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<sst xmlns="http://schemas.openxmlformats.org/spreadsheetml/2006/main" count="306972" uniqueCount="63643">
  <si>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</si>
  <si>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</si>
  <si>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</si>
  <si>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</si>
  <si>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</si>
  <si>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</si>
  <si>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</si>
  <si>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</si>
  <si>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</si>
  <si>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</si>
  <si>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</si>
  <si>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</si>
  <si>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</si>
  <si>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</si>
  <si>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</si>
  <si>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</si>
  <si>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</si>
  <si>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</si>
  <si>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</si>
  <si>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</si>
  <si>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</si>
  <si>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</si>
  <si>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</si>
  <si>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</si>
  <si>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BATANGAS STATE UNIVERSITY</t>
  </si>
  <si>
    <t>WESTERN MINDANAO STATE UNIVERSITY</t>
  </si>
  <si>
    <t>DEPARTMENT OF PUBLIC WORKS AND HIGHWAYS - PALAWAN 2ND DEO</t>
  </si>
  <si>
    <t>PHILIPPINE CHILDREN'S MEDICAL CENTER</t>
  </si>
  <si>
    <t>BARANGAY RIZAL, MAKATI CITY</t>
  </si>
  <si>
    <t>DEPARTMENT OF PUBLIC WORKS AND HIGHWAYS - REGION IV-A</t>
  </si>
  <si>
    <t>MUNICIPALITY OF ARAKAN, COTABATO</t>
  </si>
  <si>
    <t>PHILIPPINE PORTS AUTHORITY - REGION I</t>
  </si>
  <si>
    <t>PROVINCE OF QUEZON</t>
  </si>
  <si>
    <t>DEPARTMENT OF EDUCATION - DIVISION OF BUKIDNON</t>
  </si>
  <si>
    <t>MUNICIPALITY OF MANJUYOD, NEGROS ORIENTAL</t>
  </si>
  <si>
    <t>MUNICIPALITY OF TAGOLOAN, MISAMIS ORIENTAL</t>
  </si>
  <si>
    <t>NATIONAL IRRIGATION ADMINISTRATION REGION 7</t>
  </si>
  <si>
    <t>BARANGAY 08 POBLACION, CATBALOGAN CITY, SAMAR</t>
  </si>
  <si>
    <t>BARANGAY PITOGO, MAKATI CITY</t>
  </si>
  <si>
    <t>MUNICIPALITY OF GENERAL NAKAR, QUEZON</t>
  </si>
  <si>
    <t>DEPARTMENT OF EDUCATION - DIVISION OF COTABATO</t>
  </si>
  <si>
    <t>SAN NICOLAS CENTRAL ELEMENTARY SCHOOL - DON CARLOS BUKIDNON</t>
  </si>
  <si>
    <t>NATIONAL IRRIGATION ADMINISTRATION - SOUTH COTABATO</t>
  </si>
  <si>
    <t>MUNICIPALITY OF PANGANTUCAN, BUKIDNON</t>
  </si>
  <si>
    <t>PROVINCE OF GUIMARAS</t>
  </si>
  <si>
    <t>MUNICIPALITY OF MANOLO FORTICH, BUKIDNON</t>
  </si>
  <si>
    <t>AKLAN STATE UNIVERSITY - KALIBO CAMPUS</t>
  </si>
  <si>
    <t>DEPARTMENT OF EDUCATION - SCHOOLS DIVISION OF SORSOGON PROVI</t>
  </si>
  <si>
    <t>MUNICIPALITY OF AMADEO, CAVITE</t>
  </si>
  <si>
    <t>DEPARTMENT OF PUBLIC WORKS AND HIGHWAYS - REGION XI</t>
  </si>
  <si>
    <t>MUNICIPALITY OF DINAGAT, DINAGAT ISLANDS</t>
  </si>
  <si>
    <t>CITY OF ANGELES, PAMPANGA</t>
  </si>
  <si>
    <t>CITY OF VIGAN, ILOCOS SUR</t>
  </si>
  <si>
    <t>CITY OF CAGAYAN DE ORO, MISAMIS ORIENTAL</t>
  </si>
  <si>
    <t>DEPARTMENT OF PUBLIC WORKS AND HIGHWAYS - BULACAN 1ST DEO</t>
  </si>
  <si>
    <t>CITY OF TACLOBAN, LEYTE</t>
  </si>
  <si>
    <t>DEPARTMENT OF PUBLIC WORKS AND HIGHWAYS - NEG. OCC. 3RD DEO</t>
  </si>
  <si>
    <t>CITY OF ILOILO</t>
  </si>
  <si>
    <t>BUREAU OF FISHERIES AND AQUATIC RESOURCES - REGION VIII</t>
  </si>
  <si>
    <t>TESDA-IX, PROVINCIAL TRAINING CENTER - SINDANGAN</t>
  </si>
  <si>
    <t>NATIONAL HOUSING AUTHORITY - REGION XI</t>
  </si>
  <si>
    <t>PHILIPPINE FIBER INDUSTRY DEVELOPMENT AUTHORITY - CARAGA</t>
  </si>
  <si>
    <t>MUNICIPALITY OF DIMASALANG, MASBATE</t>
  </si>
  <si>
    <t>MINDANAO STATE UNIVERSITY - TAWI-TAWI</t>
  </si>
  <si>
    <t>DEPARTMENT OF EDUCATION - DIVISION OF ORIENTAL MINDORO</t>
  </si>
  <si>
    <t>DEPARTMENT OF PUBLIC WORKS AND HIGHWAYS - PALAWAN 1ST DEO</t>
  </si>
  <si>
    <t>METRO ROXAS WATER DISTRICT</t>
  </si>
  <si>
    <t>MUNICIPALITY OF ORION, BATAAN</t>
  </si>
  <si>
    <t>PROVINCE OF MOUNTAIN PROVINCE</t>
  </si>
  <si>
    <t>METRO MANILA DEVELOPMENT AUTHORITY</t>
  </si>
  <si>
    <t>MUNICIPALITY OF DIMATALING, ZAMBOANGA DEL SUR</t>
  </si>
  <si>
    <t>CAVITE NATIONAL HIGH SCHOOL</t>
  </si>
  <si>
    <t>SOUTHERN LUZON STATE UNIVERSITY</t>
  </si>
  <si>
    <t>BARANGAY POBLACION NORTE - SIGMA CAPIZ</t>
  </si>
  <si>
    <t>MUNICIPALITY OF ROXAS, ISABELA</t>
  </si>
  <si>
    <t>WEST VISAYAS STATE UNIVERSITY MEDICAL CENTER - REGION VI</t>
  </si>
  <si>
    <t>MUNICIPALITY OF SAN JOSE, BATANGAS</t>
  </si>
  <si>
    <t>PHILIPPINE NAVY PROCUREMENT CENTER, AFP PROCUREMENT SERVICE</t>
  </si>
  <si>
    <t>BARANGAY 606 ZONE 60 DISTRICT VI, MANILA</t>
  </si>
  <si>
    <t>PROVINCE OF EASTERN SAMAR</t>
  </si>
  <si>
    <t>BARANGAY TEJEROS CONVENTION ROSARIO CAVITE</t>
  </si>
  <si>
    <t>PROVINCE OF AGUSAN DEL SUR</t>
  </si>
  <si>
    <t>MUNICIPALITY OF ALBUERA, LEYTE</t>
  </si>
  <si>
    <t>CITY OF MANILA</t>
  </si>
  <si>
    <t>MUNICIPALITY OF SAN NICOLAS, BATANGAS</t>
  </si>
  <si>
    <t>BARANGAY DEMAPACO - LIBUNGAN COTABATO</t>
  </si>
  <si>
    <t>DEPARTMENT OF TRADE AND INDUSTRY - RIZAL PROVINCIAL OFFICE</t>
  </si>
  <si>
    <t>BARANGAY LOWER BICUTAN, TAGUIG CITY</t>
  </si>
  <si>
    <t>DUALE ELEMENTARY SCHOOL - LIMAY BATAAN</t>
  </si>
  <si>
    <t>BARANGAY 365, ZONE 37, DISTRICT III, MANILA</t>
  </si>
  <si>
    <t>BARANGAY 389 ZONE 40 DISTRICT III</t>
  </si>
  <si>
    <t>BARANGAY 177 ZONE-16  DISTRICT 11, MANILA</t>
  </si>
  <si>
    <t>MUNICIPALITY OF MAGSAYSAY, OCCIDENTAL MINDORO</t>
  </si>
  <si>
    <t>PAG-IBIG FUND - DAVAO HUB (TECHNICAL AND ADMIN SUPPORT)</t>
  </si>
  <si>
    <t>PALOMPON INSTITUTE OF TECHNOLOGY</t>
  </si>
  <si>
    <t>CITY OF DIPOLOG, ZAMBOANGA DEL NORTE</t>
  </si>
  <si>
    <t>METRO MIDSAYAP WATER DISTRICT</t>
  </si>
  <si>
    <t>MUNICIPALITY OF NAIC, CAVITE</t>
  </si>
  <si>
    <t>BARANGAY 256 ZONE 23 DISTRICT II MANILA</t>
  </si>
  <si>
    <t>CITY GOVERNMENT OF BALANGA, BATAAN</t>
  </si>
  <si>
    <t>DEVELOPMENT BANK OF THE PHILIPPINES - HEAD OFFICE</t>
  </si>
  <si>
    <t>PNOC EXPLORATION CORPORATION - TAGUIG CITY</t>
  </si>
  <si>
    <t>MUNICIPALITY OF SARIAYA, QUEZON</t>
  </si>
  <si>
    <t>BARANGAY PALMA GIL, TALAINGOD, DAVAO DEL NORTE</t>
  </si>
  <si>
    <t>UNIVERSITY OF THE PHILIPPINES - DILIMAN</t>
  </si>
  <si>
    <t>BARANGAY SIHI, BUENAVISTA, MARINDUQUE</t>
  </si>
  <si>
    <t>BUREAU OF JAIL MANAGEMENT AND PENOLOGY - REGION 1</t>
  </si>
  <si>
    <t>DEPARTMENT OF PUBLIC WORKS AND HIGHWAYS - LEYTE 3RD DEO</t>
  </si>
  <si>
    <t>PROVINCE OF ANTIQUE</t>
  </si>
  <si>
    <t>DEPARTMENT OF ENVIRONMENT AND NATURAL RES. - PENRO DAVAO OCC</t>
  </si>
  <si>
    <t xml:space="preserve">DEPARTMENT OF PUBLIC WORKS AND HIGHWAYS - CAMARINES SUR 3RD </t>
  </si>
  <si>
    <t>CITY OF VICTORIAS, NEGROS OCCIDENTAL</t>
  </si>
  <si>
    <t>CAPIZ PROVINCIAL GOVERNMENT</t>
  </si>
  <si>
    <t>ENVIRONMENTAL MANAGEMENT BUREAU - REGION III</t>
  </si>
  <si>
    <t>DEPARTMENT OF AGRICULTURE - REGION IV-A</t>
  </si>
  <si>
    <t>PHILIPPINE NATIONAL POLICE - INTELLIGENCE GROUP</t>
  </si>
  <si>
    <t>M.V. GAMBOA ELEMENTARY SCHOOL- CADIZ CITY</t>
  </si>
  <si>
    <t>CITY OF DAVAO, DAVAO DEL SUR</t>
  </si>
  <si>
    <t>BARANGAY CHITONGCO, MONDRAGON, NORTHERN SAMAR</t>
  </si>
  <si>
    <t>SUMALIG ELEMENTARY SCHOOL</t>
  </si>
  <si>
    <t>BARANGAY ASAN SUR, SISON, PANGASINAN</t>
  </si>
  <si>
    <t>PROVINCE OF ABRA</t>
  </si>
  <si>
    <t>BARANGAY DELA PAZ, LOPEZ, QUEZON</t>
  </si>
  <si>
    <t>MALAWAG NATIONAL HIGH SCHOOL - NABUA CAMARINES SUR</t>
  </si>
  <si>
    <t>BARANGAY BANABA EAST, BATANGAS CITY, BATANGAS</t>
  </si>
  <si>
    <t>BARANGAY PISAAN - SAN FRANCISCO AGUSAN DEL SUR</t>
  </si>
  <si>
    <t>BARANGAY TULAY NA LUPA, LABO, CAMARINES NORTE</t>
  </si>
  <si>
    <t>BAGUIO CITY NATIONAL HIGH SCHOOL</t>
  </si>
  <si>
    <t>MUNICIPALITY OF SISON, PANGASINAN</t>
  </si>
  <si>
    <t>MUNICIPALITY OF LILA,  BOHOL</t>
  </si>
  <si>
    <t>BICOL MEDICAL CENTER</t>
  </si>
  <si>
    <t>BARANGAY PINYA, LABO, CAMARINES NORTE</t>
  </si>
  <si>
    <t>CITY OF TOLEDO, CEBU</t>
  </si>
  <si>
    <t>PROVINCE OF NORTHERN SAMAR</t>
  </si>
  <si>
    <t>TECHNICAL EDUCATION &amp; SKILLS DEVELOPMENT AUTHORITY - NCR</t>
  </si>
  <si>
    <t>PROVINCE OF ZAMBOANGA DEL NORTE</t>
  </si>
  <si>
    <t>MUNICIPALITY OF MAHINOG, CAMIGUIN</t>
  </si>
  <si>
    <t>BUREAU OF FISHERIES AND AQUATIC RESOURCES - RV</t>
  </si>
  <si>
    <t>GOVERNOR CELESTINO GALLARES MEMORIAL HOSPITAL</t>
  </si>
  <si>
    <t>DEPARTMENT OF PUBLIC WORKS AND HIGHWAYS - BUTUAN CITY DEO</t>
  </si>
  <si>
    <t>406TH CONTRACTING OFFICE, AFP PROCUREMENT SERVICE</t>
  </si>
  <si>
    <t>AKLAN STATE UNIVERSITY - BANGA CAMPUS</t>
  </si>
  <si>
    <t>PHILIPPINE HEART CENTER</t>
  </si>
  <si>
    <t>DEPARTMENT OF  EDUCATION - DIVISION OF SAN JOSE DEL MONTE CI</t>
  </si>
  <si>
    <t>MUNICIPALITY OF HERNANI, EASTERN SAMAR</t>
  </si>
  <si>
    <t>DEPARTMENT OF SOCIAL WELFARE AND DEVELOPMENT - MAIN</t>
  </si>
  <si>
    <t>DEPARTMENT OF AGRICULTURE - REGION V</t>
  </si>
  <si>
    <t>CANDELARIA WATER DISTRICT</t>
  </si>
  <si>
    <t>PHILIPPINE INFORMATION AGENCY</t>
  </si>
  <si>
    <t>BARANGAY NABULO - CATUBIG NORTHERN SAMAR</t>
  </si>
  <si>
    <t>NILO NATIONAL HIGH SCHOOL</t>
  </si>
  <si>
    <t>MUNICIPALITY OF TINGLOY, BATANGAS</t>
  </si>
  <si>
    <t>MUNICIPALITY OF PRESIDENT ROXAS, CAPIZ</t>
  </si>
  <si>
    <t>MUNICIPALITY OF MAGALLANES, AGUSAN DEL NORTE</t>
  </si>
  <si>
    <t>DEPARTMENT OF PUBLIC WORKS AND HIGHWAYS - PAMPANGA 2ND DEO</t>
  </si>
  <si>
    <t>DEPARTMENT OF PUBLIC WORKS AND HIGHWAYS - BATAAN 1ST DEO</t>
  </si>
  <si>
    <t>BARANGAY MASALISI, LEMERY, BATANGAS</t>
  </si>
  <si>
    <t>MUNICIPALITY OF GEN. MAMERTO NATIVIDAD, NUEVA ECIJA</t>
  </si>
  <si>
    <t>HOUSE OF REPRESENTATIVES</t>
  </si>
  <si>
    <t>MUNICIPALITY OF CALATRAVA, ROMBLON</t>
  </si>
  <si>
    <t>MUNICIPALITY OF LAMBUNAO, ILOILO</t>
  </si>
  <si>
    <t>BARANGAY CABUGAO, RAGAY, CAAMRINES SUR</t>
  </si>
  <si>
    <t>MUNICIPALITY OF GUINAYANGAN, QUEZON</t>
  </si>
  <si>
    <t>DEPARTMENT OF TRADE AND INDUSTRY - REGION XI</t>
  </si>
  <si>
    <t>PHILIPPINE MERCHANT MARINE ACADEMY</t>
  </si>
  <si>
    <t>CITY OF MALABON</t>
  </si>
  <si>
    <t>MUNICIPALITY OF BUENAVISTA, BOHOL</t>
  </si>
  <si>
    <t>MUNICIPALITY OF MARCOS, ILOCOS NORTE</t>
  </si>
  <si>
    <t>CITY  OF CANLAON, NEGROS ORIENTAL</t>
  </si>
  <si>
    <t>BARANGAY DARAHUWAY DACO, CATBALOGAN CITY, SAMAR</t>
  </si>
  <si>
    <t>DEPARTMENT OF AGRICULTURE MIMAROPA</t>
  </si>
  <si>
    <t>DEPARTMENT OF JUSTICE - MAIN</t>
  </si>
  <si>
    <t>AGRICULTURAL TRAINING INSTITUTE-REGIONAL TRAINING CENTER-8</t>
  </si>
  <si>
    <t>MARIANO MARCOS STATE UNIVERSITY</t>
  </si>
  <si>
    <t>MUNICIPALITY OF ALEGRIA, CEBU</t>
  </si>
  <si>
    <t>BUREAU OF FISHERIES AND AQUATIC RESOURCES</t>
  </si>
  <si>
    <t>MUNICIPALITY  OF MALASIQUI, PANGASINAN</t>
  </si>
  <si>
    <t>BARANGAY COGON - KAPUTIAN</t>
  </si>
  <si>
    <t>TARLAC STATE UNIVERSITY</t>
  </si>
  <si>
    <t>PROVINCE OF BENGUET</t>
  </si>
  <si>
    <t>MUNICIPALITY OF SURALLAH, SOUTH COTABATO</t>
  </si>
  <si>
    <t>BARANGAY MATANGLAD,MILAGROS,MASBATE</t>
  </si>
  <si>
    <t>MUNICIPALITY OF TRENTO, AGUSAN DEL SUR</t>
  </si>
  <si>
    <t>DEPARTMENT OF SOCIAL WELFARE AND DEVELOPMENT - REGION VI</t>
  </si>
  <si>
    <t>PROVINCE OF DAVAO OCCIDENTAL</t>
  </si>
  <si>
    <t>MUNICIPALITY OF ISABELA, NEGROS OCCIDENTAL</t>
  </si>
  <si>
    <t>BARANGAY SAN ISIDRO, VALENCIA CITY, BUKIDNON</t>
  </si>
  <si>
    <t>DEPARTMENT OF PUBLIC WORKS AND HIGHWAYS - QUIRINO DEO</t>
  </si>
  <si>
    <t>BARANGAY LIBAS, CATBALOGAN, SAMAR</t>
  </si>
  <si>
    <t>CITY OF SAN FERNANDO, LA UNION</t>
  </si>
  <si>
    <t>MUNICIPALITY OF LABASON, ZAMBOANGA DEL NORTE</t>
  </si>
  <si>
    <t>MUNICIPALITY OF LINGAYEN, PANGASINAN</t>
  </si>
  <si>
    <t>GHQ BAC1 SECRETARIAT, AFP PROCUREMENT SERVICE</t>
  </si>
  <si>
    <t>MUNICIPALITY OF EL NIDO, PALAWAN</t>
  </si>
  <si>
    <t>PROVINCE OF MISAMIS ORIENTAL</t>
  </si>
  <si>
    <t>MUNICIPALITY OF TOBIAS FORNIER,  ANTIQUE</t>
  </si>
  <si>
    <t>CAMARINES SUR INSTITUTE OF FISHERIES AND MARINE SCIENCES</t>
  </si>
  <si>
    <t>NATIONAL CONCILIATION AND MEDIATION BOARD-RBXI</t>
  </si>
  <si>
    <t>MUNICIPALITY OF SAN MIGUEL, SURIGAO DEL SUR</t>
  </si>
  <si>
    <t>BUKIDNON STATE UNIVERSITY</t>
  </si>
  <si>
    <t>MUNICIPALITY OF PADADA, DAVAO DEL SUR</t>
  </si>
  <si>
    <t>MUNICIPALITY OF DUMANJUG, CEBU</t>
  </si>
  <si>
    <t>BACOLOD CITY NATIONAL HIGH SCHOOL</t>
  </si>
  <si>
    <t>DEPARTMENT OF AGRICULTURE - REGION II</t>
  </si>
  <si>
    <t>SOUTHERN ISABELA COLLEGE OF ARTS AND TRADES</t>
  </si>
  <si>
    <t>CITY OF TALISAY, CEBU</t>
  </si>
  <si>
    <t>MAHAYAG ELEMENTARY SCHOOL - SAN FERNANDO BUKIDNON</t>
  </si>
  <si>
    <t>CONCEPCION WATER DISTRICT</t>
  </si>
  <si>
    <t>BARANGAY 5, PASUQUIN, ILOCOS NORTE</t>
  </si>
  <si>
    <t>CITY OF MALAYBALAY, BUKIDNON</t>
  </si>
  <si>
    <t>PHILIPPINE STATISTICS AUTHORITY - REGION II</t>
  </si>
  <si>
    <t>DAVAO ORIENTAL STATE COLLEGE OF  SCIENCE AND  TECHNOLOGY</t>
  </si>
  <si>
    <t>PROVINCE OF NUEVA VIZCAYA - BAYOMBONG NUEVA VIZCAYA</t>
  </si>
  <si>
    <t>MUNICIPALITY OF SANTOL, LA UNION</t>
  </si>
  <si>
    <t>BARANGAY STA. FE, ABUYOG, LEYTE</t>
  </si>
  <si>
    <t>CITY OF LAOAG, ILOCOS NORTE</t>
  </si>
  <si>
    <t>MUNICIPALITY OF MAGALLANES, SORSOGON</t>
  </si>
  <si>
    <t>DEPARTMENT OF PUBLIC WORKS AND HIGHWAYS - EASTERN SAMAR DEO</t>
  </si>
  <si>
    <t>CITY OF TAGBILARAN, BOHOL</t>
  </si>
  <si>
    <t>BARANGAY STA. MONICA - SAN LUIS, PAMPANGA</t>
  </si>
  <si>
    <t>MUNICIPALITY OF QUEZON, QUEZON</t>
  </si>
  <si>
    <t>CAPT. H. FRANCISCO ELEMENTARY SCHOOL (MAIN) PATEROS</t>
  </si>
  <si>
    <t>BARANGAY 10 POBLACION, CATBALOGAN CITY, SAMAR</t>
  </si>
  <si>
    <t>TAAL WATER DISTRICT</t>
  </si>
  <si>
    <t>DEPARTMENT OF TRADE AND INDUSTRY - REGION II, CAGAYAN VALLEY</t>
  </si>
  <si>
    <t>DEPARTMENT OF PUBLIC WORKS AND HIGHWAYS - METRO MANILA 3RD E</t>
  </si>
  <si>
    <t>DEPARTMENT OF ENVIRONMENT AND NATURAL RESOURCES - REGION V</t>
  </si>
  <si>
    <t>PHILIPPINE COMMISSION ON WOMEN</t>
  </si>
  <si>
    <t>NATIONAL IRRIGATION ADMINISTRATION - NEGROS ISLAND REGION</t>
  </si>
  <si>
    <t>MUNICIPALITY OF TIWI, ALBAY</t>
  </si>
  <si>
    <t>MUNICIPALITY OF BUGALLON - PANGASINAN</t>
  </si>
  <si>
    <t>NATIONAL POWER CORPORATION - MINDANAO GENERATION</t>
  </si>
  <si>
    <t>BARANGAY BANOYO - SAN LUIS BATANGAS</t>
  </si>
  <si>
    <t>METRO COTABATO WATER DISTRICT</t>
  </si>
  <si>
    <t>MUNICIPALITY OF BORBON, CEBU</t>
  </si>
  <si>
    <t>MUNICIPALITY OF KALAMANSIG, SULTAN KUDARAT</t>
  </si>
  <si>
    <t>DEPARTMENT OF PUBLIC WORKS AND HIGHWAYS - BUKIDNON 2ND DEO</t>
  </si>
  <si>
    <t>MUNICIPALITY OF TUPI, SOUTH COTABATO</t>
  </si>
  <si>
    <t>DEPARTMENT OF EDUCATION - SCHOOLS DIVISION OF BACOOR CITY</t>
  </si>
  <si>
    <t>PHILIPPINE HEALTH INSURANCE CORPORATION - REGION III</t>
  </si>
  <si>
    <t>BARANGAY ABIACAO - SAN LUIS BATANGAS</t>
  </si>
  <si>
    <t>DAVAO REGIONAL MEDICAL CENTER</t>
  </si>
  <si>
    <t>DEPARTMENT OF PUBLIC WORKS AND HIGHWAYS - BOHOL 1ST ED</t>
  </si>
  <si>
    <t>CITY OF BISLIG, SURIGAO DEL SUR</t>
  </si>
  <si>
    <t>EASTERN VISAYAS STATE UNIVERSITY</t>
  </si>
  <si>
    <t>MUNICIPALITY OF ALUBIJID, MISAMIS ORIENTAL</t>
  </si>
  <si>
    <t>CIVIL SERVICE COMMISSION  - CENTRAL OFFICE</t>
  </si>
  <si>
    <t>PHILIPPINE CARABAO CENTER - KABACAN COTABATO</t>
  </si>
  <si>
    <t>ANGELES CITY WATER DISTRICT</t>
  </si>
  <si>
    <t>DALAGUETE WATER DISTRICT</t>
  </si>
  <si>
    <t>MUNICIPALITY OF BAUANG, LA UNION</t>
  </si>
  <si>
    <t>MUNICIPALITY OF FAMY, LAGUNA</t>
  </si>
  <si>
    <t>PROVINCE OF ILOCOS SUR</t>
  </si>
  <si>
    <t>PROVINCE OF NEGROS ORIENTAL</t>
  </si>
  <si>
    <t>MUNICIPALITY OF BANAYBANAY, DAVAO ORIENTAL</t>
  </si>
  <si>
    <t>MUNICIPALITY OF DUMALNEG, ILOCOS NORTE</t>
  </si>
  <si>
    <t>CENTER FOR HEALTH DEVELOPMENT - REGION XI</t>
  </si>
  <si>
    <t>MUNICIPALITY OF SAN ILDEFONSO, BULACAN</t>
  </si>
  <si>
    <t>MUNICIPALITY OF LAPUYAN, ZAMBOANGA DEL SUR</t>
  </si>
  <si>
    <t>MUNICIPALITY OF CARDONA, RIZAL</t>
  </si>
  <si>
    <t>BARANGAY TUMANDING - ARAKAN COTABATO</t>
  </si>
  <si>
    <t>DEPARTMENT OF EDUCATION - DIVISION OF CABADBARAN CITY</t>
  </si>
  <si>
    <t>BARANGAY CENTRO 1 - SANCHEZ MIRA CAGAYAN</t>
  </si>
  <si>
    <t>BARANGAY MEOCAN ARAKAN COTABATO</t>
  </si>
  <si>
    <t>MUNICIPALITY OF MADRID ,  SURIGAO DEL SUR</t>
  </si>
  <si>
    <t>SOCIAL SECURITY SYSTEM - WESTERN VISAYAS DIVISION 1</t>
  </si>
  <si>
    <t>CIVIL AVIATION AUTHORITY OF THE PHILIPPINES - AKLAN</t>
  </si>
  <si>
    <t>AGRICULTURAL TRAINING INSTITUTE-REGIONAL TRAINING CENTER X</t>
  </si>
  <si>
    <t>MUNICIPALITY OF PANIQUI, TARLAC</t>
  </si>
  <si>
    <t>MUNICIPALITY OF PORO, CEBU</t>
  </si>
  <si>
    <t>BARANGAY  ANAPOLON ARAKAN COTABATO</t>
  </si>
  <si>
    <t>PHILIPPINE SCIENCE HIGH SCHOOL - CAR CAMPUS</t>
  </si>
  <si>
    <t>MUNICIPALITY OF PLACER, MASBATE</t>
  </si>
  <si>
    <t>MUNICIPALITY OF NAUJAN, ORIENTAL MINDORO</t>
  </si>
  <si>
    <t>BARANGAY MA. CARIDAD - ARAKAN COTABATO</t>
  </si>
  <si>
    <t>BARANGAY BIBINCAHAN, SORSOGON CITY</t>
  </si>
  <si>
    <t>UNIVERSITY OF THE PHILIPPINES - VISAYAS</t>
  </si>
  <si>
    <t>PHILIPPINE CENTER FOR POSTHARVEST DEV'T AND MECHANIZATION</t>
  </si>
  <si>
    <t>CENTRAL LUZON STATE UNIVERSITY</t>
  </si>
  <si>
    <t>CITY GOVERNMENT OF NAVOTAS</t>
  </si>
  <si>
    <t>MUNICIPALITY OF VINTAR, ILOCOS NORTE</t>
  </si>
  <si>
    <t>CITY OF MEYCAUAYAN, BULACAN</t>
  </si>
  <si>
    <t>MUNICIPALITY OF SAN ANTONIO, ZAMBALES</t>
  </si>
  <si>
    <t>LUBAO NATIONAL HIGH SCHOOL</t>
  </si>
  <si>
    <t>DEPARTMENT OF ENVIRONMENT AND NATURAL RESOURCES - REGION II</t>
  </si>
  <si>
    <t>MUNICIPALITY OF BANNA, ILOCOS NORTE</t>
  </si>
  <si>
    <t>DEPARTMENT OF EDUCATION - REGION VIII</t>
  </si>
  <si>
    <t>DEPARTMENT OF PUBLIC WORKS AND HIGHWAYS - IFUGAO</t>
  </si>
  <si>
    <t>NORZAGARAY WATER DISTRICT</t>
  </si>
  <si>
    <t>CAGAYAN DE ORO CITY WATER DISTRICT</t>
  </si>
  <si>
    <t>QUIRINO STATE UNIVERSITY</t>
  </si>
  <si>
    <t>CAMARINES NORTE STATE COLLEGE</t>
  </si>
  <si>
    <t>BARANGAY APALIT, FLORIDABLANCA, PAMPANGA</t>
  </si>
  <si>
    <t>DA - PHILIPPINE RURAL DEVELOPMENT PROJECT</t>
  </si>
  <si>
    <t>BARANGAY BACSAY CATARAOAN NORTE CLAVERIA CAGAYAN</t>
  </si>
  <si>
    <t>MUNICIPALITY OF MARAGUSAN COMPOSTELA VALLEY</t>
  </si>
  <si>
    <t>DEVELOPMENT BANK OF THE PHILIPPINES - BBG - NORTHERN MINDANA</t>
  </si>
  <si>
    <t>BARANGAY KABALABTIAN - ARAKAN COTABATO</t>
  </si>
  <si>
    <t>BARANGAY UGAC SUR - UGAC SUR TUGUEGARAO CITY</t>
  </si>
  <si>
    <t>AYUNGON WATER DISTRICT</t>
  </si>
  <si>
    <t>BUREAU OF FISHERIES AND AQUATIC RESOURCES - REGION IV-A</t>
  </si>
  <si>
    <t>407TH CONTRACTING OFFICE, AFP PROCUREMENT SERVICE</t>
  </si>
  <si>
    <t>DEPARTMENT OF ENVIRONMENT AND NATURAL RES. - PENRO, BUKIDNON</t>
  </si>
  <si>
    <t>MUNTINLUPA BUSINESS HIGH SCHOOL</t>
  </si>
  <si>
    <t>MUNICIPALITY OF TALIBON, BOHOL</t>
  </si>
  <si>
    <t>BARANGAY BATO, NAGUILIAN, LA UNION</t>
  </si>
  <si>
    <t>MUNICIPALITY OF JOSE PANGANIBAN, CAMARINES NORTE</t>
  </si>
  <si>
    <t>MUNICIPALITY OF IMPASUGONG, BUKIDNON</t>
  </si>
  <si>
    <t>MUNICIPALITY OF FERROL, ROMBLON</t>
  </si>
  <si>
    <t>MUNICIPALITY OF NABUNTURAN, COMPOSTELA VALLEY</t>
  </si>
  <si>
    <t>MUNICIPALITY OF DON CARLOS, BUKIDNON</t>
  </si>
  <si>
    <t>TESDA 4B MIMAROPA REGIONAL OFFICE</t>
  </si>
  <si>
    <t>CITY  OF LA CARLOTA, NEGROS OCCIDENTAL</t>
  </si>
  <si>
    <t>COMMISSION ON AUDIT - MAIN</t>
  </si>
  <si>
    <t>DEPARTMENT OF AGRARIAN REFORM - EASTERN SAMAR</t>
  </si>
  <si>
    <t>BARANGAY 1 MAON, BUTUAN CITY</t>
  </si>
  <si>
    <t>BARANGAY GOV. PACIANO BANGOY, DAVAO CITY</t>
  </si>
  <si>
    <t>GOVERNMENT SERVICE INSURANCE SYSTEM - MALAYBALAY BRANCH OFFI</t>
  </si>
  <si>
    <t>PAG-IBIG FUND - REGION II</t>
  </si>
  <si>
    <t>CITY OF PASIG</t>
  </si>
  <si>
    <t>UNIVERSITY OF NORTHERN PHILIPPINES</t>
  </si>
  <si>
    <t>BARANGAY SAN JOSE (POBLACION), SAN JOSE, DINAGAT ISLAND</t>
  </si>
  <si>
    <t>DEPARTMENT OF SCIENCE AND TECHNOLOGY - REGION VI</t>
  </si>
  <si>
    <t>MUNICIPALITY OF SAN MATEO - ISABELA</t>
  </si>
  <si>
    <t>PHILIPPINE STATISTICS AUTHORITY</t>
  </si>
  <si>
    <t>MUNICIPALITY OF COMPOSTELA, COMPOSTELA VALLEY</t>
  </si>
  <si>
    <t>SOUTHERN PHILIPPINES MEDICAL CENTER</t>
  </si>
  <si>
    <t>CITY OF NAGA, CAMARINES SUR</t>
  </si>
  <si>
    <t>DUMALAG VOCATIONAL TECHNICAL SCHOOL</t>
  </si>
  <si>
    <t>MUNICIPALITY OF LEON, ILOILO</t>
  </si>
  <si>
    <t>PHILIPPINE PORTS AUTHORITY - PMO BICOL</t>
  </si>
  <si>
    <t>DR. JOSE RIZAL MEMORIAL HOSPITAL</t>
  </si>
  <si>
    <t>MUNICIPALITY OF SAN FRANCISCO, AGUSAN DEL SUR</t>
  </si>
  <si>
    <t>DEPARTMENT OF PUBLIC WORKS AND HIGHWAYS - COTABATO CITY DEO</t>
  </si>
  <si>
    <t>NUEVA VIZCAYA STATE UNIVERSITY</t>
  </si>
  <si>
    <t>RESEARCH INSTITUTE FOR TROPICAL MEDICINE, DOH</t>
  </si>
  <si>
    <t>BARANGAY TANZA 2 - NAVOTAS CITY</t>
  </si>
  <si>
    <t>DEPARTMENT OF ENVIRONMENT AND NATURAL RES. - CENRO-APARRI</t>
  </si>
  <si>
    <t>DEPARTMENT OF LABOR AND EMPLOYMENT - REGION VIII</t>
  </si>
  <si>
    <t>AGRICULTURAL TRAINING INSTITUTE - REGION XII</t>
  </si>
  <si>
    <t>MUNICIPALITY OF TINAMBAC, CAMARINES SUR</t>
  </si>
  <si>
    <t>MUNICIPALITY OF SAN AGUSTIN , SURIGAO DEL SUR</t>
  </si>
  <si>
    <t>MUNICIPALITY OF BAYOG, ZAMBOANGA DEL SUR</t>
  </si>
  <si>
    <t>BARANGAY DALAHICAN, LUCENA CITY</t>
  </si>
  <si>
    <t>BARANGAY CABARITAN SUR, NAGUILIAN, LA UNION</t>
  </si>
  <si>
    <t>SENATE OF THE PHILIPPINES</t>
  </si>
  <si>
    <t>MUNICIPALITY OF QUINAPONDAN, EASTERN SAMAR</t>
  </si>
  <si>
    <t>MUNICIPALITY OF SAN MIGUEL, BOHOL</t>
  </si>
  <si>
    <t>BARANGAY ZONE III POBLACION, ATIMONAN, QUEZON</t>
  </si>
  <si>
    <t>DR. PAULINO J. GARCIA MEMORIAL RESEARCH AND MEDICAL CENTER</t>
  </si>
  <si>
    <t>MUNICIPALITY OF ABUYOG, LEYTE</t>
  </si>
  <si>
    <t>DEPARTMENT OF PUBLIC WORKS AND HIGHWAYS - CEBU 4TH DEO</t>
  </si>
  <si>
    <t>DEPARTMENT OF AGRICULTURE - REGION III</t>
  </si>
  <si>
    <t>MUNICIPALITY OF NARVACAN, ILOCOS SUR</t>
  </si>
  <si>
    <t>PROVINCE OF BATANES</t>
  </si>
  <si>
    <t>CITY OF SANTIAGO, ISABELA</t>
  </si>
  <si>
    <t>BARANGAY 51-B NANGALISAN WEST, LAOAG CITY</t>
  </si>
  <si>
    <t>MUNICIPALITY OF MOISES PADILLA, NEGROS OCCIDENTAL</t>
  </si>
  <si>
    <t>MUNICIPALITY OF SAN JOSE DE BUENAVISTA, ANTIQUE</t>
  </si>
  <si>
    <t>DEPARTMENT OF ENVIRONMENT AND NATURAL RES. - PENRO, ANTIQUE</t>
  </si>
  <si>
    <t>BANTON NATIONAL HIGH SCHOOL - BANTON ROMBLON</t>
  </si>
  <si>
    <t>TANGALAN NATIONAL HIGH SCHOOL</t>
  </si>
  <si>
    <t>CITY OF TUGUEGARAO, CAGAYAN</t>
  </si>
  <si>
    <t>AGRICULTURAL TRAINING INSTITUTE - REGIONAL TRAINING CENTER-R</t>
  </si>
  <si>
    <t>PILI WATER DISTRICT</t>
  </si>
  <si>
    <t>MUNICIPALITY OF TUMAUINI, ISABELA</t>
  </si>
  <si>
    <t>UNIVERSITY OF THE PHILIPPINES - LOS BAÑOS</t>
  </si>
  <si>
    <t>MUNICIPALITY OF MALITBOG, SOUTHERN LEYTE</t>
  </si>
  <si>
    <t>MINISTRY OF LABOR AND EMPLOYMENT - COTABATO CITY MAGUINDANAO</t>
  </si>
  <si>
    <t>MUNICIPALITY OF JONES, ISABELA</t>
  </si>
  <si>
    <t>MUNICIPALITY OF SAGBAYAN, BOHOL</t>
  </si>
  <si>
    <t>BARANGAY SANTA MARIA - PAGADIAN CITY</t>
  </si>
  <si>
    <t>MUNICIPALITY OF SAN JACINTO, PANGASINAN</t>
  </si>
  <si>
    <t>DEPARTMENT OF AGRARIAN REFORM - REGION VIII</t>
  </si>
  <si>
    <t>PHILIPPINE COMPETITION COMMISSION</t>
  </si>
  <si>
    <t>LIGA NG MGA BARANGAY, BANSALAN, DAVAO DEL SUR</t>
  </si>
  <si>
    <t>BARANGAY 17, SAN FRANCISCO, LAOAG CITY, ILOCOS NORTE</t>
  </si>
  <si>
    <t>MUNICIPALITY OF PATNOÑGON, ANTIQUE</t>
  </si>
  <si>
    <t>MAGALLANES ELEMENTARY SCHOOL</t>
  </si>
  <si>
    <t>MUNICIPALITY OF PINILI, ILOCOS NORTE</t>
  </si>
  <si>
    <t>AGRICULTURAL TRAINING INSTITUTE - CARAGA REGION</t>
  </si>
  <si>
    <t>BARANGAY CAPURICTAN, SOLSONA, ILOCOS NORTE</t>
  </si>
  <si>
    <t>MUNICIPALITY OF DON VICTORIANO CHIONGBIAN, MIS. OCCIDENTAL</t>
  </si>
  <si>
    <t>MOONWALK NATIONAL HIGH SCHOOL</t>
  </si>
  <si>
    <t>MUNICIPALITY OF BALAYAN, BATANGAS</t>
  </si>
  <si>
    <t>DEPARTMENT OF SOCIAL WELFARE AND DEVELOPMENT - REGION III</t>
  </si>
  <si>
    <t>ALICIA WATER DISTRICT</t>
  </si>
  <si>
    <t>PROVINCE OF CAVITE</t>
  </si>
  <si>
    <t>306TH CONTRACTING OFFICE, AFP PROCUREMENT SERVICE</t>
  </si>
  <si>
    <t>MUNICIPALITY OF TUBIGON, BOHOL</t>
  </si>
  <si>
    <t>CIVIL AVIATION AUTHORITY OF THE PHILIPPINES - ILOILO AIRPORT</t>
  </si>
  <si>
    <t>BARANGAY BAGASAWE, TUBURAN, CEBU</t>
  </si>
  <si>
    <t>MUNICIPALITY OF LUBAO, PAMPANGA</t>
  </si>
  <si>
    <t>DEPARTMENT OF PUBLIC WORKS AND HIGHWAYS - LOWER KALINGA DEO</t>
  </si>
  <si>
    <t>BICOL REGION GENERAL HOSPITAL AND GERIATRIC MEDICAL CENTER(F</t>
  </si>
  <si>
    <t>NUEVA ECIJA UNIVERSITY OF SCIENCE AND TECHNOLOGY</t>
  </si>
  <si>
    <t>CITY OF DUMAGUETE, NEGROS ORIENTAL</t>
  </si>
  <si>
    <t>MUNICIPALITY OF MACALELON, QUEZON</t>
  </si>
  <si>
    <t>NATIONAL ECONOMIC AND DEVELOPMENT AUTHORITY - MAIN</t>
  </si>
  <si>
    <t>MINISTRY OF SCIENCE AND TECHNOLOGY - COTABATO CITY MAGUINDAN</t>
  </si>
  <si>
    <t>DANIEL MARAMBA NATIONAL HIGH SCHOOL</t>
  </si>
  <si>
    <t>DEPARTMENT OF PUBLIC WORKS AND HIGHWAYS - REGION II</t>
  </si>
  <si>
    <t>CITY OF TANAUAN, BATANGAS</t>
  </si>
  <si>
    <t>SUMILAO NATIONAL HIGH SCHOOL</t>
  </si>
  <si>
    <t>DEPARTMENT OF TOURISM</t>
  </si>
  <si>
    <t>BARANGAY MARAVILLA, NAGCARLAN, LAGUNA</t>
  </si>
  <si>
    <t>SACRED HEART VILLAGE ELEMENTARY SCHOOL</t>
  </si>
  <si>
    <t>MUNICIPALITY OF KIBUNGAN, BENGUET</t>
  </si>
  <si>
    <t>DEPARTMENT OF HUMAN SETTLEMENTS AND URBAN DEVELOPMENT  - DAV</t>
  </si>
  <si>
    <t>HOME DEVELOPMENT MUTUAL FUND - CORPORATE HEADQUARTERS</t>
  </si>
  <si>
    <t>NATIONAL DEVELOPMENT COMPANY</t>
  </si>
  <si>
    <t>STO. DOMINGO NATIONAL HIGH SCHOOL</t>
  </si>
  <si>
    <t>MUNICIPALITY OF SAN TEODORO, ORIENTAL MINDORO</t>
  </si>
  <si>
    <t xml:space="preserve">DEPARTMENT OF EDUCATION, DIVISION OF DAVAO DEL SUR </t>
  </si>
  <si>
    <t>UNIVERSITY OF THE PHILIPPINES - MINDANAO</t>
  </si>
  <si>
    <t>MUNICIPALITY OF IBAJAY, AKLAN</t>
  </si>
  <si>
    <t>DEPARTMENT OF ENVIRONMENT AND NATURAL RESOURCES - CARAGA</t>
  </si>
  <si>
    <t>MUNICIPALITY OF SUMILAO, BUKIDNON</t>
  </si>
  <si>
    <t>PHILIPPINE NATIONAL POLICE - LOGISTICS SUPPORT SERVICE</t>
  </si>
  <si>
    <t>LAGUNA LAKE DEVELOPMENT AUTHORITY, DENR</t>
  </si>
  <si>
    <t>BARANGAY CAGLAYAG, CARRASCAL, SURIGAO DEL SUR</t>
  </si>
  <si>
    <t>ILOILO SCIENCE AND TECHNOLOGY UNIVERSITY BN CAMPUS</t>
  </si>
  <si>
    <t>DEPARTMENT OF SOCIAL WELFARE AND DEVELOPMENT - CAR</t>
  </si>
  <si>
    <t>MUNICIPALITY OF PLARIDEL, MISAMIS OCCIDENTAL</t>
  </si>
  <si>
    <t>DAVAO DEL SUR STATE COLLEGE - DIGOS CITY DAVAO DEL SUR</t>
  </si>
  <si>
    <t>BARANGAY DON MANUEL - QUEZON CITY</t>
  </si>
  <si>
    <t>MUNICIPALITY OF CAGWAIT, SURIGAO DEL SUR</t>
  </si>
  <si>
    <t>MUNICIPALITY OF ANINI-Y, ANTIQUE</t>
  </si>
  <si>
    <t>METROPOLITAN TUGUEGARAO WATER DISTRICT</t>
  </si>
  <si>
    <t>DEPARTMENT OF PUBLIC WORKS AND HIGHWAYS - CAMIGUIN DEO</t>
  </si>
  <si>
    <t>CEBU TECHNOLOGICAL UNIVERSITY</t>
  </si>
  <si>
    <t>MUNICIPALITY OF ANTIPAS, COTABATO</t>
  </si>
  <si>
    <t>PHILIPPINE RICE RESEARCH INSTITUTE - REGION VI</t>
  </si>
  <si>
    <t>MUNICIPALITY OF RONDA, CEBU</t>
  </si>
  <si>
    <t>BARANGAY ABELLA -  LIGAO CITY</t>
  </si>
  <si>
    <t>MUNICIPALITY OF SAN VICENTE, CAMARINES NORTE</t>
  </si>
  <si>
    <t>BARANGAY CANAMUCAN, COMPOSTELA, CEBU</t>
  </si>
  <si>
    <t>MUNICIPALITY OF BOTOLAN, ZAMBALES</t>
  </si>
  <si>
    <t>DEPARTMENT OF PUBLIC WORKS AND HIGHWAYS - AURORA DEO</t>
  </si>
  <si>
    <t>DEPARTMENT OF EDUCATION - DIVISION OF CITY SCHOOLS, TAGBILAR</t>
  </si>
  <si>
    <t>BARANGAY PATUNGAN - MARAGONDON CAVITE</t>
  </si>
  <si>
    <t>CARLOS HILADO MEMORIAL STATE COLLEGE</t>
  </si>
  <si>
    <t>MUNICIPALITY OF LOPEZ JAENA , MISAMIS OCCIDENTAL</t>
  </si>
  <si>
    <t>VIRAC WATER DISTRICT</t>
  </si>
  <si>
    <t>PHILIPPINE STATISTICS AUTHORITY - REGION XI</t>
  </si>
  <si>
    <t>BARANGAY TALANGAN, NAGCARLAN, LAGUNA</t>
  </si>
  <si>
    <t>CADIZ WEST I ELEMENTARY SCHOOL</t>
  </si>
  <si>
    <t>BARANGAY VINAS, CALAUAG, QUEZON</t>
  </si>
  <si>
    <t>MUNICIPALITY OF CANDELARIA, QUEZON</t>
  </si>
  <si>
    <t>DEPARTMENT OF PUBLIC WORKS AND HIGHWAYS - ZAMBALES 2ND DEO</t>
  </si>
  <si>
    <t>BASA AIR BASE HIGH SCHOOL</t>
  </si>
  <si>
    <t>DEPARTMENT OF PUBLIC WORKS AND HIGHWAYS - AGUSAN DEL SUR 1ST</t>
  </si>
  <si>
    <t>PROVINCE OF MISAMIS OCCIDENTAL</t>
  </si>
  <si>
    <t>DEPARTMENT OF ENVIRONMENT AND NATURAL RES. - PENRO, ILOCOS S</t>
  </si>
  <si>
    <t>MUNICIPALITY OF CUYO, PALAWAN</t>
  </si>
  <si>
    <t>CITY  OF CABANATUAN, NUEVA ECIJA</t>
  </si>
  <si>
    <t>MUNICIPALITY OF GUMACA, QUEZON</t>
  </si>
  <si>
    <t>MUNICIPALITY OF MAGDIWANG, ROMBLON</t>
  </si>
  <si>
    <t>PROVINCE OF CAMIGUIN</t>
  </si>
  <si>
    <t>PROVINCE OF SARANGANI</t>
  </si>
  <si>
    <t>PROVINCE OF ILOILO</t>
  </si>
  <si>
    <t>SULTAN KUDARAT STATE UNIVERSITY</t>
  </si>
  <si>
    <t>MUNICIPALITY OF RIZAL, NUEVA ECIJA</t>
  </si>
  <si>
    <t>BANAGO ELEMENTARY SCHOOL I BACOLOD CITY NEGROS OCCIDENTAL</t>
  </si>
  <si>
    <t>LABANGAN CENTRAL ELEMENTARY SCHOOL</t>
  </si>
  <si>
    <t>DEPARTMENT OF EDUCATION - DIVISION OF CAMARINES NORTE</t>
  </si>
  <si>
    <t>CALOOCAN NORTH ELEMENTARY SCHOOL</t>
  </si>
  <si>
    <t>CITY OF GAPAN, NUEVA ECIJA</t>
  </si>
  <si>
    <t>SAN CARLOS CITY WATER DISTRICT</t>
  </si>
  <si>
    <t>PHILIPPINE DEPOSIT INSURANCE CORPORATION</t>
  </si>
  <si>
    <t>MUNICIPALITY OF CORDON, ISABELA</t>
  </si>
  <si>
    <t>CITY OF SAN PABLO, LAGUNA</t>
  </si>
  <si>
    <t>DEPARTMENT OF PUBLIC WORKS AND HIGHWAYS - LEYTE 4TH DEO</t>
  </si>
  <si>
    <t>104TH CONTRACTING OFFICE, AFP PROCUREMENT SERVICE</t>
  </si>
  <si>
    <t>NAILE ELEMENTARY SCHOOL - IBAJAY AKLAN</t>
  </si>
  <si>
    <t>METRO KALIBO WATER DISTRICT</t>
  </si>
  <si>
    <t>MUNICIPALITY OF SAN FRANCISCO, QUEZON</t>
  </si>
  <si>
    <t>BARANGAY MAYBUNGA - PASIG CITY</t>
  </si>
  <si>
    <t>MINISTRY OF THE INTERIOR AND LOCAL GOVERNMENT - BARMM</t>
  </si>
  <si>
    <t>BARANGAY RIZAL LAPUZ SUR, ILOILO CITY</t>
  </si>
  <si>
    <t>BANGKO SENTRAL NG PILIPINAS - GEN. SANTOS BRANCH</t>
  </si>
  <si>
    <t>MAGLIMAN ELEMENTARY SCHOOL</t>
  </si>
  <si>
    <t>DEPARTMENT OF SOCIAL WELFARE AND DEVELOPMENT - REGION V</t>
  </si>
  <si>
    <t>DEPARTMENT OF ENVIRONMENT AND NATURAL RES. - PENRO N. OCCIDE</t>
  </si>
  <si>
    <t>BOHOL ISLAND STATE UNIVERSITY - CALAPE</t>
  </si>
  <si>
    <t>PAKIL WATER DISTRICT</t>
  </si>
  <si>
    <t>MUNICIPALITY OF VINCENZO SAGUN, ZAMBOANGA DEL SUR</t>
  </si>
  <si>
    <t>BARANGAY BANTAN, ORION, BATAAN</t>
  </si>
  <si>
    <t>MUNICIPALITY OF KIAMBA, SARANGANI</t>
  </si>
  <si>
    <t>MATE ELEMENTARY SCHOOL</t>
  </si>
  <si>
    <t>CITY OF BAGO, NEGROS OCCIDENTAL</t>
  </si>
  <si>
    <t>DEPARTMENT OF AGRICULTURE - CARAGA</t>
  </si>
  <si>
    <t>DEPARTMENT OF PUBLIC WORKS AND HIGHWAYS - AGUSAN DEL NORTE D</t>
  </si>
  <si>
    <t>DEPARTMENT OF HEALTH - DRUG TREATMENT AND REHABILITATION CEN</t>
  </si>
  <si>
    <t>MUNICIPALITY OF CABIAO, NUEVA ECIJA</t>
  </si>
  <si>
    <t>DEPARTMENT OF PUBLIC WORKS AND HIGHWAYS - MISAMIS ORIENTAL 1</t>
  </si>
  <si>
    <t>UNIVERSITY OF SCIENCE &amp; TECH. OF SOUTHERN PHIL.-CLAVERIA</t>
  </si>
  <si>
    <t>CITY OF EL SALVADOR, MISAMIS ORIENTAL</t>
  </si>
  <si>
    <t>BARANGAY CALUNGBOYAN, SANTA, ILOCOS SUR</t>
  </si>
  <si>
    <t>BARANGAY MALPITIC, SAN FERNANDO, PAMPANGA</t>
  </si>
  <si>
    <t>CITY OF KABANKALAN, NEGROS OCCIDENTAL</t>
  </si>
  <si>
    <t>PLARIDEL WATER DISTRICT</t>
  </si>
  <si>
    <t>PROVINCE OF ZAMBOANGA DEL SUR</t>
  </si>
  <si>
    <t>MUNICIPALITY OF TERESA, RIZAL</t>
  </si>
  <si>
    <t>PAG-IBIG FUND NAGA BUSINESS CENTER</t>
  </si>
  <si>
    <t>MUNICIPALITY OF CLARIN, BOHOL</t>
  </si>
  <si>
    <t>MALAYBALAY CITY WATER DISTRICT</t>
  </si>
  <si>
    <t>SALAPAWAN ELEMENTARY SCHOOL</t>
  </si>
  <si>
    <t>PHILIPPINE RICE RESEARCH INSTITUTE - LOS BAÑOS BRANCH</t>
  </si>
  <si>
    <t>BULACAN STATE UNIVERSITY</t>
  </si>
  <si>
    <t>MUNICIPALITY OF LOON, BOHOL</t>
  </si>
  <si>
    <t>PAMPANGA STATE AGRICULTURAL UNIVERSITY</t>
  </si>
  <si>
    <t>MUNICIPALITY OF BARILI, CEBU</t>
  </si>
  <si>
    <t>MUNICIPALITY OF DAPA, SURIGAO DEL NORTE</t>
  </si>
  <si>
    <t>PHILIPPINE SCIENCE HIGH SCHOOL - REGION V</t>
  </si>
  <si>
    <t>MUNICIPALITY OF JAGNA, BOHOL</t>
  </si>
  <si>
    <t>MUNICIPALITY OF VILLABA, LEYTE</t>
  </si>
  <si>
    <t>MUNICIPALITY OF BUENAVISTA, QUEZON</t>
  </si>
  <si>
    <t>AUTHORITY OF THE FREEPORT AREA OF BATAAN</t>
  </si>
  <si>
    <t>CITY OF LIGAO, ALBAY</t>
  </si>
  <si>
    <t>DEPARTMENT OF HEALTH - REGION X</t>
  </si>
  <si>
    <t>NATIONAL IRRIGATION ADMINISTRATION - REGION IX</t>
  </si>
  <si>
    <t>BARANGAY STA. LUCIA, SAN FERNANDO, PAMPANGA</t>
  </si>
  <si>
    <t>DEPARTMENT OF PUBLIC WORKS AND HIGHWAYS - SAMAR 1ST DEO</t>
  </si>
  <si>
    <t>BUREAU OF THE TREASURY, REGION 06</t>
  </si>
  <si>
    <t>DEPARTMENT OF SOCIAL WELFARE AND DEVELOPMENT - REGION X</t>
  </si>
  <si>
    <t>BARANGAY BAAS, HILONGOS, LEYTE</t>
  </si>
  <si>
    <t>GHQ PROCUREMENT CENTER, AFP PROCUREMENT SERVICE</t>
  </si>
  <si>
    <t>NATIONAL POWER CORPORATION - SPUG LUZON</t>
  </si>
  <si>
    <t>BUREAU OF ANIMAL INDUSTRY, DA</t>
  </si>
  <si>
    <t>MUNICIPALITY OF BURGOS, ILOCOS SUR</t>
  </si>
  <si>
    <t>MUNICIPALITY OF DARAM, SAMAR</t>
  </si>
  <si>
    <t>BUSCO ELEMENTARY SCHOOL</t>
  </si>
  <si>
    <t>BARANGAY  ALLAB - ARAKAN COTABATO</t>
  </si>
  <si>
    <t>PHILIPPINE NORMAL UNIVERSITY - ISABELA CAMPUS</t>
  </si>
  <si>
    <t>CITY OF SAN JOSE, NUEVA ECIJA</t>
  </si>
  <si>
    <t>COTABATO REGIONAL AND MEDICAL CENTER</t>
  </si>
  <si>
    <t>PHILIPPINE CROP INSURANCE CORPORATION - REGION X</t>
  </si>
  <si>
    <t>BUREAU OF FISHERIES AND AQUATIC RESOURCES - REGION XII</t>
  </si>
  <si>
    <t>BARANGAY MANA-UL, HILONGOS, LEYTE</t>
  </si>
  <si>
    <t>UNIVERSITY OF SOUTHEASTERN PHILIPPINES -REGIONAL TRADES, CRA</t>
  </si>
  <si>
    <t>SUGAR REGULATORY ADMINISTRATION - VISAYAS</t>
  </si>
  <si>
    <t>BARANGAY MAPULO - TAYSAN, BATANGAS</t>
  </si>
  <si>
    <t>NEGROS ORIENTAL STATE UNIVERSITY</t>
  </si>
  <si>
    <t>DEPARTMENT OF ENVIRONMENT AND NATURAL RES. - PENRO, DAGUPAN</t>
  </si>
  <si>
    <t>AURORA REGIONAL PILOT SCHOOL - REGULAR</t>
  </si>
  <si>
    <t>BARANGAY 55-C VIRA, LAOAG CITY</t>
  </si>
  <si>
    <t>SAWI ELEMENTARY SCHOOL</t>
  </si>
  <si>
    <t>BANGKO SENTRAL NG PILIPINAS- LA UNION REGIONAL OFFICE</t>
  </si>
  <si>
    <t>BATANGAS MEDICAL CENTER</t>
  </si>
  <si>
    <t>MUNICIPALITY OF GARCIA-HERNANDEZ, BOHOL</t>
  </si>
  <si>
    <t>BUENAVISTA WATER DISTRICT - GUIMARAS</t>
  </si>
  <si>
    <t>BARANGAY MOMBON - ZUMARRAGA SAMAR</t>
  </si>
  <si>
    <t>MUNICIPALITY OF SAN QUINTIN, ABRA</t>
  </si>
  <si>
    <t>CITY OF VALENCIA, BUKIDNON</t>
  </si>
  <si>
    <t>PROVINCE OF SURIGAO DEL SUR</t>
  </si>
  <si>
    <t>PROVINCE OF DAVAO ORIENTAL</t>
  </si>
  <si>
    <t>107TH CONTRACTING OFFICE, AFP PROCUREMENT SERVICE</t>
  </si>
  <si>
    <t>BARANGAY BILUCAO SAMPALOC QUEZON</t>
  </si>
  <si>
    <t>CITY  OF HIMAMAYLAN, NEGROS OCCIDENTAL</t>
  </si>
  <si>
    <t>DEPARTMENT OF AGRARIAN REFORM - ILOILO PROVINCIAL OFFICE</t>
  </si>
  <si>
    <t>DOÑA ROSARIO ELEMENTARY SCHOOL</t>
  </si>
  <si>
    <t>CITY OF BATANGAS, BATANGAS</t>
  </si>
  <si>
    <t>MUNICIPALITY OF STA. MARIA, ROMBLON</t>
  </si>
  <si>
    <t>LOCAL WATER UTILITIES ADMINISTRATION</t>
  </si>
  <si>
    <t>MUNICIPALITY OF ALCOY, CEBU</t>
  </si>
  <si>
    <t>SAN AGUSTIN INTEGRATED SCHOOL (ANNEX )- SAN FERNANDO CITY PA</t>
  </si>
  <si>
    <t>CULTURAL CENTER OF THE PHILIPPINES - PASAY CITY METRO MANILA</t>
  </si>
  <si>
    <t>PROVINCE OF DAVAO DEL NORTE</t>
  </si>
  <si>
    <t>SUGAR REGULATORY ADMINISTRATION</t>
  </si>
  <si>
    <t>CITY OF MATI, PROVINCE OF DAVAO ORIENTAL</t>
  </si>
  <si>
    <t>DEPARTMENT OF SCIENCE AND TECHNOLOGY REGION 1</t>
  </si>
  <si>
    <t>PHILIPPINE SCIENCE HIGH SCHOOL - REGION VI</t>
  </si>
  <si>
    <t>BARANGAY STO.ROSARIO,ANILAO,ILOILO</t>
  </si>
  <si>
    <t>MUNICIPALITY OF INFANTA, QUEZON</t>
  </si>
  <si>
    <t>DEPARTMENT OF PUBLIC WORKS AND HIGHWAYS - BUKIDNON 3RD DEO</t>
  </si>
  <si>
    <t>MUNICIPALITY OF HILONGOS, LEYTE</t>
  </si>
  <si>
    <t>PROVINCE OF BILIRAN</t>
  </si>
  <si>
    <t>DEPARTMENT OF EDUCATION - DIVISION OF NUEVA VIZCAYA</t>
  </si>
  <si>
    <t>MUNICIPALITY OF GUTALAC, ZAMBOANGA DEL NORTE</t>
  </si>
  <si>
    <t>BARANGAY NAPALICO - ARAKAN COTABATO</t>
  </si>
  <si>
    <t>BARANGAY SAN AGUSTIN - SAN FERNANDO CITY, LA UNION</t>
  </si>
  <si>
    <t>MUNICIPALITY OF CALINOG, ILOILO</t>
  </si>
  <si>
    <t>MUNICIPALITY OF BUUG - ZAMBOANGA SIBUGAY</t>
  </si>
  <si>
    <t>BARANGAY ILVITA, SABLAYAN, OCCIDENTAL MINDORO</t>
  </si>
  <si>
    <t>MUNICIPALITY OF GUIMBA, NUEVA ECIJA</t>
  </si>
  <si>
    <t>CITY OF GENERAL SANTOS , SOUTH COTABATO</t>
  </si>
  <si>
    <t>PROGRESO ELEMENTARY SCHOOL</t>
  </si>
  <si>
    <t>BARANGAY AGDANGAN, BAAO, CAMARINES SUR</t>
  </si>
  <si>
    <t>BAYUGAN WATER DISTRICT</t>
  </si>
  <si>
    <t>MUNICIPALITY OF LAS NIEVES , AGUSAN DEL NORTE</t>
  </si>
  <si>
    <t>LAND TRANSPORTATION OFFICE - NCR</t>
  </si>
  <si>
    <t>NATIONAL POWER CORPORATION</t>
  </si>
  <si>
    <t>BARANGAY NATO, ANINI-Y, ANTIQUE</t>
  </si>
  <si>
    <t>VETERANS MEMORIAL MEDICAL CENTER, DND</t>
  </si>
  <si>
    <t>CITY OF LEGAZPI, ALBAY</t>
  </si>
  <si>
    <t>PROVINCE OF ILOCOS NORTE</t>
  </si>
  <si>
    <t>URDANETA CITY WATER DISTRICT</t>
  </si>
  <si>
    <t>BARANGAY DAANGHARI, NAVOTAS CITY</t>
  </si>
  <si>
    <t>MUNICIPALITY OF CAPOOCAN, LEYTE</t>
  </si>
  <si>
    <t>MUNICIPALITY OF MAGSINGAL, ILOCOS SUR</t>
  </si>
  <si>
    <t>MUNICIPALITY OF LAAK, COMPOSTELA VALLEY</t>
  </si>
  <si>
    <t>MUNICIPALITY OF SAN NICOLAS, ILOCOS NORTE</t>
  </si>
  <si>
    <t>TECHNICAL EDUCATION &amp; SKILLS DEVELOPMENT AUTHORITY - CAMARIN</t>
  </si>
  <si>
    <t>DEPARTMENT OF EDUCATION - SCHOOLS DIVISION OF BIÑAN CITY</t>
  </si>
  <si>
    <t>CITY OF SURIGAO, SURIGAO DEL NORTE</t>
  </si>
  <si>
    <t>BARANGAY APITONG - NAUJAN, ORIENTAL MINDORO</t>
  </si>
  <si>
    <t>KABASALAN INSTITUTE OF TECHNOLOGY</t>
  </si>
  <si>
    <t>BURUANGA VOCATIONAL SCHOOL</t>
  </si>
  <si>
    <t>MUNICIPALITY OF LOBOC, BOHOL</t>
  </si>
  <si>
    <t>MUNICIPALITY OF HINIGARAN, NEGROS OCCIDENTAL</t>
  </si>
  <si>
    <t>BUREAU OF PLANT INDUSTRY - NCR</t>
  </si>
  <si>
    <t>MACABACLAY NATIONAL HIGH SCHOOL</t>
  </si>
  <si>
    <t>DEPARTMENT OF EDUCATION - DIVISION OF BENGUET</t>
  </si>
  <si>
    <t>BARANGAY NEW CARMEN, TACURONG CITY, SULTAN KUDARAT</t>
  </si>
  <si>
    <t>DA - RFO I ILOCOS NORTE RESEARCH &amp; EXPERIMENT CENTER</t>
  </si>
  <si>
    <t>MUNICIPALITY OF CORTES, SURIGAO DEL SUR</t>
  </si>
  <si>
    <t>ENVIRONMENTAL MANAGEMENT BUREAU - DENR</t>
  </si>
  <si>
    <t>ISABELA CITY WATER DISTRICT</t>
  </si>
  <si>
    <t>BARANGAY BAGUMBAYAN, TAGUIG CITY</t>
  </si>
  <si>
    <t>CITY OF SAN JUAN</t>
  </si>
  <si>
    <t>MUNICIPALITY OF MILAGROS, MASBATE</t>
  </si>
  <si>
    <t>DEPARTMENT OF AGRICULTURE (A- PRDP RPCO 8) - TACLOBAN CITY L</t>
  </si>
  <si>
    <t>LANDBANK OF THE PHILIPPINES - REGION IV-A</t>
  </si>
  <si>
    <t>BARANGAY POBLACION 06, TUBURAN, CEBU</t>
  </si>
  <si>
    <t>MUNICIPALITY OF PRESENTACION, CAMARINES SUR</t>
  </si>
  <si>
    <t>DEPARTMENT OF SOCIAL WELFARE AND DEVELOPMENT - REGION VII</t>
  </si>
  <si>
    <t>MUNICIPALITY OF BAGAC, BATAAN</t>
  </si>
  <si>
    <t>ZAMBOANGA CITY SPECIAL ECONOMIC ZONE AUTHORITY</t>
  </si>
  <si>
    <t>DEPARTMENT OF SOCIAL WELFARE AND DEVELOPMENT - REGION IX</t>
  </si>
  <si>
    <t>LAND TRANSPORTATION FRANCHISING  AND REGULATORY BOARD - REGI</t>
  </si>
  <si>
    <t>MUNICIPALITY OF BONGABONG, ORIENTAL MINDORO</t>
  </si>
  <si>
    <t>MUNICIPALITY OF ROSELLER T. LIM, ZAMBOANGA SIBUGAY</t>
  </si>
  <si>
    <t>MUNICIPALITY OF SAMAL, BATAAN</t>
  </si>
  <si>
    <t>DEPARTMENT OF PUBLIC WORKS AND HIGHWAYS - TARLAC 1ST DEO</t>
  </si>
  <si>
    <t>MUNICIPALITY OF MARIHATAG, SURIGAO DEL SUR</t>
  </si>
  <si>
    <t>BARANGAY FATIMA MALITBOG SOUTHERN LEYTE</t>
  </si>
  <si>
    <t>SPEAKER EUGENIO PEREZ NATIONAL AGRICULTURAL SCHOOL</t>
  </si>
  <si>
    <t>MUNICIPALITY OF SIBALOM, ANTIQUE</t>
  </si>
  <si>
    <t>BARANAGAY SAN JUAN - BULALACAO ORIENTAL MINDORO</t>
  </si>
  <si>
    <t>BUREAU OF PLANT INDUSTRY - LBNCRDC</t>
  </si>
  <si>
    <t>MUNICIPALITY OF TAGUDIN, ILOCOS SUR</t>
  </si>
  <si>
    <t>102ND CONTRACTING OFFICE, AFP PROCUREMENT SERVICE</t>
  </si>
  <si>
    <t>SOCIAL SECURITY SYSTEM</t>
  </si>
  <si>
    <t>LUPON VOCATIONAL HIGH SCHOOL</t>
  </si>
  <si>
    <t>BARANGAY LOWER SIBATANG - PAGADIAN CITY ZAMBOANGA DEL SUR</t>
  </si>
  <si>
    <t>MUNICIPALITY OF SOGOD, CEBU</t>
  </si>
  <si>
    <t>BARANGAY STA. CLARA, STO. TOMAS, BATANGAS</t>
  </si>
  <si>
    <t>BARANGAY SAN CARLOS,ANILAO,ILOILO</t>
  </si>
  <si>
    <t>BIODIVERSITY MANAGEMENT BUREAU</t>
  </si>
  <si>
    <t>TECHNICAL EDUCATION &amp; SKILLS DEVELOPMENT AUTHORITY - SAN JOS</t>
  </si>
  <si>
    <t xml:space="preserve">DEPARTMENT OF PUBLIC WORKS AND HIGHWAYS - CAMARINES SUR 5TH </t>
  </si>
  <si>
    <t>MINISTRY OF AGRICULTURE, FISHERIES AND AGRARIAN REFORM - COT</t>
  </si>
  <si>
    <t>PROVINCE OF QUIRINO</t>
  </si>
  <si>
    <t>DEPARTMENT OF PUBLIC WORKS AND HIGHWAYS - PANGASINAN 2ND</t>
  </si>
  <si>
    <t>PHILIPPINE PORTS AUTHORITY - PMO SURIGAO</t>
  </si>
  <si>
    <t>PROVINCE OF PAMPANGA</t>
  </si>
  <si>
    <t>MUNICIPALITY OF SAN JOSE, TARLAC</t>
  </si>
  <si>
    <t>PILI NATIONAL HIGH SCHOOL</t>
  </si>
  <si>
    <t>BARANGAY TAGUSTUSAN, BALILIHAN, BOHOL</t>
  </si>
  <si>
    <t>PROVINCE OF AURORA</t>
  </si>
  <si>
    <t>BARANGAY KAMPOOT, TUBURAN, CEBU</t>
  </si>
  <si>
    <t>MUNICIPALITY OF CATIGBIAN, BOHOL</t>
  </si>
  <si>
    <t>MUNICIPALITY OF HAMTIC, ANTIQUE</t>
  </si>
  <si>
    <t>DEPARTMENT OF SOCIAL WELFARE AND DEVELOPMENT - REGION II</t>
  </si>
  <si>
    <t>BARANGAY MAHAYAHAY, MALITBOG, SOUTHERN LEYTE</t>
  </si>
  <si>
    <t>MUNICIPALITY OF TANZA, CAVITE</t>
  </si>
  <si>
    <t>DEPARTMENT OF PUBLIC WORKS AND HIGHWAYS - DAVAO ORIENTAL 1ST</t>
  </si>
  <si>
    <t>LUNUCAN ELEMENTARY SCHOOL - MANOLO FORTICH BUKIDNON</t>
  </si>
  <si>
    <t>DEPARTMENT OF EDUCATION - GENERAL SANTOS CITY</t>
  </si>
  <si>
    <t>BARANGAY LIDONG, STO. DOMINGO, ALBAY</t>
  </si>
  <si>
    <t>SUBIC BAY METROPOLITAN AUTHORITY</t>
  </si>
  <si>
    <t>DEPARTMENT OF SOCIAL WELFARE AND DEVELOPMENT - REGION XII</t>
  </si>
  <si>
    <t>CITY OF DIGOS, DAVAO DEL SUR</t>
  </si>
  <si>
    <t xml:space="preserve">DEPARTMENT OF PUBLIC WORKS AND HIGHWAYS - ZAMBOANGA SIBUGAY </t>
  </si>
  <si>
    <t>BARANGAY LAWAGUIN, NAGCARLAN, LAGUNA</t>
  </si>
  <si>
    <t>BUREAU OF FISHERIES AND AQUATIC RESOURCES - REGION VI</t>
  </si>
  <si>
    <t>BARANGAY GUIBUANGAN - POTOTAN, ILOILO</t>
  </si>
  <si>
    <t>PROVINCE OF SAMAR</t>
  </si>
  <si>
    <t>CITY OF BOGO, CEBU</t>
  </si>
  <si>
    <t>MUNICIPALITY OF TRINIDAD, BOHOL</t>
  </si>
  <si>
    <t>SOCIAL SECURITY SYSTEM - LUZON SOUTH DIVISION 2</t>
  </si>
  <si>
    <t>GULOD ELEMENTARY SCHOOL</t>
  </si>
  <si>
    <t>PROVINCE OF CAGAYAN</t>
  </si>
  <si>
    <t>DEPARTMENT OF HEALTH - CARAGA</t>
  </si>
  <si>
    <t>PHILIPPINE PORTS AUTHORITY - PMO ZAMBOANGA DEL NORTE</t>
  </si>
  <si>
    <t>DEPARTMENT OF THE INTERIOR AND LOCAL GOVERNMENT - REGION X</t>
  </si>
  <si>
    <t>CITY OF SILAY, NEGROS OCCIDENTAL</t>
  </si>
  <si>
    <t>LAND BANK OF THE PHILIPPINES - OAH IV-B</t>
  </si>
  <si>
    <t>PROVINCE OF DINAGAT ISLANDS</t>
  </si>
  <si>
    <t>DEPARTMENT OF PUBLIC WORKS AND HIGHWAYS - BATANGAS IV DEO</t>
  </si>
  <si>
    <t>CIVIL AVIATION AUTHORITY OF THE PHILIPPINES - ANTIQUE</t>
  </si>
  <si>
    <t>BARANGAY CAHAGUIKICAN, POTOTAN, ILOILO</t>
  </si>
  <si>
    <t>PHILIPPINE STATISTICS AUTHORITY - REGION IV-A</t>
  </si>
  <si>
    <t>PHILIPPINE DRUG ENFORCEMENT AGENCY</t>
  </si>
  <si>
    <t>CAUAYAN CITY WATER DISTRICT</t>
  </si>
  <si>
    <t>MUNICIPALITY OF SANTA IGNACIA, TARLAC</t>
  </si>
  <si>
    <t>BUTING SENIOR HIGH SCHOOL</t>
  </si>
  <si>
    <t>METALS INDUSTRY RESEARCH &amp; DEVELOPMENT CENTER</t>
  </si>
  <si>
    <t>BARANGAY NAGPATAYAN, BANNA, ILOCOS NORTE</t>
  </si>
  <si>
    <t>DEPARTMENT OF EDUCATION - DIVISION OF CARCAR CITY</t>
  </si>
  <si>
    <t>SIRANGLUPA ELEMENTARY SCHOOL</t>
  </si>
  <si>
    <t>MUNICIPALITY OF IBAAN, BATANGAS</t>
  </si>
  <si>
    <t>ABRA STATE INSTITUTE OF SCIENCES AND TECHNOLOGY - BANGUED</t>
  </si>
  <si>
    <t>MUNICIPALITY OF SAN GUILLERMO, ISABELA</t>
  </si>
  <si>
    <t>DEPARTMENT OF AGRARIAN REFORM - BUKIDNON</t>
  </si>
  <si>
    <t>BARANGAY ANTONGALON, BUTUAN CITY</t>
  </si>
  <si>
    <t>DEPARTMENT OF EDUCATION - DIVISION OF DANAO CITY</t>
  </si>
  <si>
    <t>PROVINCE OF BOHOL</t>
  </si>
  <si>
    <t>BARANGAY VETERANS VILLAGE, QUEZON CITY</t>
  </si>
  <si>
    <t>MUNICIPALITY OF MALABUYOC, CEBU</t>
  </si>
  <si>
    <t>DEPARTMENT OF AGRARIAN REFORM - NORTHERN SAMAR</t>
  </si>
  <si>
    <t>MUNICIPALITY OF KAPATAGAN, LANAO DEL NORTE</t>
  </si>
  <si>
    <t>MUNICIPALITY OF SANTA BARBARA, PANGASINAN</t>
  </si>
  <si>
    <t>DEPARTMENT OF PUBLIC WORKS AND HIGHWAYS - SULTAN KUDARAT 1ST</t>
  </si>
  <si>
    <t>MUNICIPALITY OF SINDANGAN, ZAMBOANGA DEL NORTE</t>
  </si>
  <si>
    <t>DEPARTMENT OF PUBLIC WORKS AND HIGHWAYS - CAGAYAN 3RD DEO</t>
  </si>
  <si>
    <t>BARANGAY ABELLA NAGA CITY CAMARINES SUR</t>
  </si>
  <si>
    <t>NATIONAL IRRIGATION ADMINISTRATION - REGION I</t>
  </si>
  <si>
    <t>CITY OF CALAPAN, ORIENTAL MINDORO</t>
  </si>
  <si>
    <t>ENVIRONMENTAL MANAGEMENT BUREAU - NCR, DENR</t>
  </si>
  <si>
    <t>DEPARTMENT OF PUBLIC  WORKS AND HIGHWAYS - APAYAO 2ND DEO</t>
  </si>
  <si>
    <t>NATIONAL IRRIGATION ADMINISTRATION - REGIONAL OFFICE NO. 2</t>
  </si>
  <si>
    <t>SK OF BARANGAY EAST REMBO - MAKATI CITY</t>
  </si>
  <si>
    <t>BARANGAY MALIMATOC 1, MABINI, BATANGAS</t>
  </si>
  <si>
    <t>ENVIRONMENTAL MANAGEMENT BUREAU - REGION II</t>
  </si>
  <si>
    <t>BARANGAY SAN ANTONIO, MAKATI CITY</t>
  </si>
  <si>
    <t>ASSOCIATION OF BARANGAY TREASURERS - GEN. MAMERTO NATIVIDAD</t>
  </si>
  <si>
    <t>BARANGAY DANASAN DANAO CITY CEBU</t>
  </si>
  <si>
    <t>MUNICIPALITY OF SIBAGAT, AGUSAN DEL SUR</t>
  </si>
  <si>
    <t>MUNICIPALITY OF KAPALONG, DAVAO DEL NORTE</t>
  </si>
  <si>
    <t>MUNICIPALITY OF LIMASAWA, SOUTHERN LEYTE</t>
  </si>
  <si>
    <t>MUNICIPALITY OF TAGO, SURIGAO DEL SUR</t>
  </si>
  <si>
    <t>BARANGAY CASALSAGAN, POTOTAN, ILOILO</t>
  </si>
  <si>
    <t>MUNICIPALITY OF CASIGURAN, SORSOGON</t>
  </si>
  <si>
    <t>BARANGAY MURITULA, SAN LUIS, AGUSAN DEL SUR</t>
  </si>
  <si>
    <t>BARANGAY CARAATAN MALITBOG SOUTHERN LEYTE</t>
  </si>
  <si>
    <t>BUREAU OF INTERNAL REVENUE - REVENUE REGION NO. 9A-CABAMIRO</t>
  </si>
  <si>
    <t>DEPARTMENT OF EDUCATION - REGION II</t>
  </si>
  <si>
    <t>BACOLOD CITY WATER DISTRICT</t>
  </si>
  <si>
    <t>MUNICIPALITY OF ISABEL, LEYTE</t>
  </si>
  <si>
    <t>MUNICIPALITY OF STA. CRUZ, ZAMBALES</t>
  </si>
  <si>
    <t>CIVIL SERVICE COMMISSION - REGION VI</t>
  </si>
  <si>
    <t>CIVIL AVIATION AUTHORITY OF THE PHILIPPINES - DUMAGUETE</t>
  </si>
  <si>
    <t>TUMAUINI WATER DISTRICT</t>
  </si>
  <si>
    <t>MUNICIPALITY OF TIGBAUAN, ILOILO</t>
  </si>
  <si>
    <t>BARANGAY BUNGA, NAGCARLAN, LAGUNA</t>
  </si>
  <si>
    <t>CENTER FOR HEALTH DEVELOPMENT - REGION VI</t>
  </si>
  <si>
    <t>MUNICIPALITY OF CAUAYAN, NEGROS OCCIDENTAL</t>
  </si>
  <si>
    <t>CITY OF TAYABAS, QUEZON</t>
  </si>
  <si>
    <t>DEPARTMENT OF PUBLIC WORKS AND HIGHWAYS - REGION III</t>
  </si>
  <si>
    <t>HOME DEVELOPMENT MUTUAL FUND - CUBAO BRANCH</t>
  </si>
  <si>
    <t>CAGAYAN STATE UNIVERSITY - TUGUEGARAO CITY CAGAYAN</t>
  </si>
  <si>
    <t>DEPARTMENT OF TRADE AND INDUSTRY - CARAGA</t>
  </si>
  <si>
    <t>DEPARTMENT OF HEALTH - TREATMENT AND REHABILITATION CENTER -</t>
  </si>
  <si>
    <t>MUNICIPALITY OF ESPERANZA, AGUSAN DEL SUR</t>
  </si>
  <si>
    <t>MUNICIPALITY OF ALFONSO CASTAÑEDA, NUEVA VIZCAYA</t>
  </si>
  <si>
    <t>MUNICIPALITY OF SALCEDO, EASTERN SAMAR</t>
  </si>
  <si>
    <t>DEPARTMENT OF PUBLIC WORKS AND HIGHWAYS - ALBAY 3RD DEO</t>
  </si>
  <si>
    <t>MUNICIPALITY OF SAN VICENTE, PALAWAN</t>
  </si>
  <si>
    <t>DEPARTMENT OF SOCIAL WELFARE AND DEVELOPMENT - REGION XI</t>
  </si>
  <si>
    <t>MUNICIPALITY OF NAGUILIAN, ISABELA</t>
  </si>
  <si>
    <t>DEPARTMENT OF THE INTERIOR AND LOCAL GOVERNMENT - CARAGA</t>
  </si>
  <si>
    <t>DEPARTMENT OF AGRICULTURE - REGION X</t>
  </si>
  <si>
    <t>DEPARTMENT OF PUBLIC WORKS AND HIGHWAYS - CAGAYAN DE ORO CIT</t>
  </si>
  <si>
    <t>DEPARTMENT OF PUBLIC WORKS AND HIGHWAYS - CEBU 3RD DEO</t>
  </si>
  <si>
    <t>BARANGAY APALAN, TUBURAN, CEBU</t>
  </si>
  <si>
    <t>BARANGAY SAN VICENTE, BAAO, CAMARINES SUR</t>
  </si>
  <si>
    <t>ENVIRONMENTAL MANAGEMENT BUREAU - REGION VIII</t>
  </si>
  <si>
    <t>STO. ROSARIO NATIONAL HIGH SCHOOL (SENIOR HIGH) - MINALIN, P</t>
  </si>
  <si>
    <t>MUNICIPALITY OF GREGORIO DEL PILAR, ILOCOS SUR</t>
  </si>
  <si>
    <t>TOLEDO CITY WATER DISTRICT</t>
  </si>
  <si>
    <t>BARANGAY BALOCAWEHAY, ABUYOG, LEYTE</t>
  </si>
  <si>
    <t>MUNICIPALITY OF OLUTANGA, ZAMBOANGA SIBUGAY</t>
  </si>
  <si>
    <t>MUNICIPALITY OF BAGGAO, CAGAYAN</t>
  </si>
  <si>
    <t>PHILIPPINE INSTITUTE OF VOLCANOLOGY AND SEISMOLOGY</t>
  </si>
  <si>
    <t>MUNICIPALITY OF DOLORES, QUEZON</t>
  </si>
  <si>
    <t>TESDA REGIONAL TRAINING CENTER - REGION I</t>
  </si>
  <si>
    <t>CITY OF SAN CARLOS, PANGASINAN</t>
  </si>
  <si>
    <t>SAN FERNANDO WATER DISTRICT</t>
  </si>
  <si>
    <t>OCCIDENTAL MINDORO STATE COLLEGE</t>
  </si>
  <si>
    <t>MUNICIPALITY OF RIZAL, LAGUNA</t>
  </si>
  <si>
    <t>DEPARTMENT OF AGRARIAN REFORM - NEGROS ORIENTAL PROV'L OFF.</t>
  </si>
  <si>
    <t>PROVINCIAL GOVERNMENT OF CAMARINES SUR</t>
  </si>
  <si>
    <t>PROVINCE OF LAGUNA</t>
  </si>
  <si>
    <t>POLOMOLOK WATER DISTRICT</t>
  </si>
  <si>
    <t>CONCEPCION INTEGRATED SCHOOL - JUNIOR HIGH SCHOOL</t>
  </si>
  <si>
    <t>PAG-IBIG FUND (TAS-NCR WEST) - MANILA METRO MANILA</t>
  </si>
  <si>
    <t>MUNICIPALITY OF INDANG, CAVITE</t>
  </si>
  <si>
    <t>CITY OF TALISAY, NEGROS OCCIDENTAL</t>
  </si>
  <si>
    <t>CITY OF CABADBARAN, AGUSAN DEL NORTE</t>
  </si>
  <si>
    <t>DEPARTMENT OF PUBLIC WORKS AND HIGHWAYS - LAGUNA 1ST ED</t>
  </si>
  <si>
    <t>DEPARTMENT OF THE INTERIOR AND LOCAL GOVERNMENT - SURIGAO DE</t>
  </si>
  <si>
    <t>DEPARTMENT OF PUBLIC WORKS AND HIGHWAYS - NEGROS ORIENTAL 1S</t>
  </si>
  <si>
    <t>CITY OF PASSI, ILOILO</t>
  </si>
  <si>
    <t>BARANGAY SAMBUNGAN, CALATAGAN, BATANGAS</t>
  </si>
  <si>
    <t>DEPARTMENT OF PUBLIC WORKS AND HIGHWAYS - PAMPANGA 1ST DEO</t>
  </si>
  <si>
    <t>BOHOL ISLAND STATE UNIVERSITY - MAIN CAMPUS</t>
  </si>
  <si>
    <t>MUNICIPALITY OF TUBA, BENGUET</t>
  </si>
  <si>
    <t>TAGUM WATER DISTRICT</t>
  </si>
  <si>
    <t>MUNICIPALITY OF SAN FABIAN, PANGASINAN</t>
  </si>
  <si>
    <t>MUNICIPALITY OF SINAIT, ILOCOS SUR</t>
  </si>
  <si>
    <t>CITY GOVERNMENT OF BACOOR</t>
  </si>
  <si>
    <t>DEPARTMENT OF PUBLIC WORKS AND HIGHWAYS - SURIGAO DEL SUR 2N</t>
  </si>
  <si>
    <t>MUNICIPALITY OF VALENCIA, NEGROS ORIENTAL</t>
  </si>
  <si>
    <t>MUNICIPALITY OF DARAGA, ALBAY</t>
  </si>
  <si>
    <t>MUNICIPALITY OF CLAVER, SURIGAO DEL NORTE</t>
  </si>
  <si>
    <t>DOH-REGIONAL OFFICE IV-A</t>
  </si>
  <si>
    <t>MUNICIPALITY OF ISULAN, SULTAN KUDARAT</t>
  </si>
  <si>
    <t>MUNICIPALITY OF CUYAPO, NUEVA ECIJA</t>
  </si>
  <si>
    <t>DEPARTMENT OF SOCIAL WELFARE AND DEVELOPMENT - CARAGA</t>
  </si>
  <si>
    <t>MUNICIPALITY OF LIDLIDDA, ILOCOS SUR</t>
  </si>
  <si>
    <t>MUNICIPALITY OF DUMINGAG, ZAMBOANGA DEL SUR</t>
  </si>
  <si>
    <t>BARANGAY TALIBAYOG, CALATAGAN, BATANGAS</t>
  </si>
  <si>
    <t>PHILIPPINE CROP INSURANCE CORPORATION</t>
  </si>
  <si>
    <t>CITY OF KORONADAL, SOUTH COTABATO</t>
  </si>
  <si>
    <t>SILAY NORTH ELEMENTARY SCHOOL</t>
  </si>
  <si>
    <t>CITY  OF CADIZ, NEGROS OCCIDENTAL</t>
  </si>
  <si>
    <t>DEPARTMENT OF PUBLIC WORKS AND HIGHWAYS - ISABELA 4TH DEO</t>
  </si>
  <si>
    <t>MUNICIPALITY OF M'LANG, COTABATO</t>
  </si>
  <si>
    <t>VALENCIA NATIONAL HIGH SCHOOL</t>
  </si>
  <si>
    <t>BARANGAY A. BONIFACIO SUR, LLANERA, NUEVA ECIJA</t>
  </si>
  <si>
    <t>DEPARTMENT OF HEALTH - CHD, ZAMBOANGA PENINSULA</t>
  </si>
  <si>
    <t>PHILIPPINE ORTHOPEDIC CENTER</t>
  </si>
  <si>
    <t>DEPARTMENT OF EDUCATION - DIVISION OF TANJAY CITY</t>
  </si>
  <si>
    <t>NATIONAL FOOD AUTHORITY - REGION V</t>
  </si>
  <si>
    <t>MUNICIPALITY OF MATANAO, DAVAO DEL SUR</t>
  </si>
  <si>
    <t>ISLAND GARDEN CITY OF SAMAL, DAVAO DEL NORTE</t>
  </si>
  <si>
    <t>BARANGAY DUNGON, CONCEPCION, ILOILO</t>
  </si>
  <si>
    <t>TAGBONGABONG ELEMENTARY SCHOOL - R.T. ROMUALDEZ AGUSAN DEL N</t>
  </si>
  <si>
    <t>SCIENCE CITY OF MUÑOZ, NUEVA ECIJA</t>
  </si>
  <si>
    <t>TAYSAN NATIONAL HIGH SCHOOL (DEP-ED)</t>
  </si>
  <si>
    <t>AMANG RODRIGUEZ MEMORIAL MEDICAL CENTER</t>
  </si>
  <si>
    <t>MUNICIPALITY OF TALAKAG, BUKIDNON</t>
  </si>
  <si>
    <t>VICENTE SOTTO MEMORIAL MEDICAL CENTER - REGION VII</t>
  </si>
  <si>
    <t>DEPARTMENT OF AGRARIAN REFORM - REGION XI</t>
  </si>
  <si>
    <t>MUNICIPALITY OF BOAC, MARINDUQUE</t>
  </si>
  <si>
    <t>MUNICIPALITY OF CORDOVA, CEBU</t>
  </si>
  <si>
    <t>PROFESSIONAL REGULATION COMMISSION - ILOILO REGIONAL OFFICE</t>
  </si>
  <si>
    <t>BOHOL ISLAND STATE UNIVERSITY - CANDIJAY CAMPUS</t>
  </si>
  <si>
    <t>MUNICIPALITY OF SANTA FE, CEBU</t>
  </si>
  <si>
    <t>DEPARTMENT OF AGRICULTURE - MAIN</t>
  </si>
  <si>
    <t>PHILIPPINE NATIONAL POLICE - CAR</t>
  </si>
  <si>
    <t>MUNICIPALITY OF MARAMAG, BUKIDNON</t>
  </si>
  <si>
    <t>MABINI NATIONAL HIGH SCHOOL - NEGROS OCCIDENTAL</t>
  </si>
  <si>
    <t>MUNICIPALITY OF CULASI, ANTIQUE</t>
  </si>
  <si>
    <t>COMMISSION ON AUDIT - REGION X</t>
  </si>
  <si>
    <t>NATIONAL POWER CORPORATION SPUG-MINDANAO</t>
  </si>
  <si>
    <t>UNIVERSITY OF SCIENCE AND TECHNOLOGY OF SOUTHERN PHILIPPINES</t>
  </si>
  <si>
    <t>CITY OF OLONGAPO, ZAMBALES</t>
  </si>
  <si>
    <t>BARANGAY BALUCANAD, CAPOOCAN, LEYTE</t>
  </si>
  <si>
    <t>DEPARTMENT OF PUBLIC WORKS AND HIGHWAYS - CAMARINES NORTE ED</t>
  </si>
  <si>
    <t>SURALLAH WATER DISTRICT</t>
  </si>
  <si>
    <t>BARANGAY CARIGANGAN - JANIUAY, ILOILO</t>
  </si>
  <si>
    <t>CIVIL SERVICE COMMISSION - NCR</t>
  </si>
  <si>
    <t>MUNICIPALITY OF AGNO, PANGASINAN</t>
  </si>
  <si>
    <t>MUNICIPALITY OF LUPON, DAVAO ORIENTAL</t>
  </si>
  <si>
    <t>BUREAU OF INTERNAL REVENUE - REVENUE REGION NO. 19</t>
  </si>
  <si>
    <t>MUNICIPALITY OF ALCANTARA, ROMBLON</t>
  </si>
  <si>
    <t>MUNICIPALITY OF BINALONAN, PANGASINAN</t>
  </si>
  <si>
    <t>PROSPERIDAD WATER DISTRICT</t>
  </si>
  <si>
    <t>MUNICIPALITY OF TUBUNGAN, ILOILO</t>
  </si>
  <si>
    <t>MANUEL L. QUEZON ELEMENTARY SCHOOL</t>
  </si>
  <si>
    <t>DEPARTMENT OF AGRICULTURE - REGION IX</t>
  </si>
  <si>
    <t>DON CARLOS NORTE ELEMENTARY SCHOOL</t>
  </si>
  <si>
    <t>DEPARTMENT OF ENVIRONMENT AND NATURAL RES. - PENRO PAMPANGA</t>
  </si>
  <si>
    <t>BARANGAY BAGONG SILANG, CALATAGAN, BATANGAS</t>
  </si>
  <si>
    <t>OFFICE OF CIVIL DEFENSE</t>
  </si>
  <si>
    <t>APO PRODUCTION UNIT, INC.</t>
  </si>
  <si>
    <t>DEPARTMENT OF ENVIRONMENT AND NATURAL RES. - PENRO S.DEL NOR</t>
  </si>
  <si>
    <t>VETERANS REGIONAL HOSPITAL</t>
  </si>
  <si>
    <t>DEPARTMENT OF ENERGY - MAIN</t>
  </si>
  <si>
    <t>BARANGAY  PANAMOREN - LAAK COMPOSTELA VALLEY</t>
  </si>
  <si>
    <t>HOME DEVELOPMENT MUTUAL FUND - IMUS BRANCH</t>
  </si>
  <si>
    <t>MUNICIPALITY OF MALANGAS, ZAMBOANGA SIBUGAY</t>
  </si>
  <si>
    <t>HOLY SPIRIT ELEMENTARY SCHOOL</t>
  </si>
  <si>
    <t>BARANGAY POBLACION 2B - MARAGONDON, CAVITE</t>
  </si>
  <si>
    <t>VILLACIN NATIONAL HIGH SCHOOL (SENIOR HIGH)</t>
  </si>
  <si>
    <t>GOVERNMENT SERVICE INSURANCE SYSTEM</t>
  </si>
  <si>
    <t>MUNICIPALITY OF TUNGAWAN, ZAMBOANGA SIBUGAY</t>
  </si>
  <si>
    <t>BARANGAY CANTAMUAC, MALITBOG, SOUTHERN LEYTE</t>
  </si>
  <si>
    <t>304TH CONTRACTING OFFICE, AFP PROCUREMENT SERVICE</t>
  </si>
  <si>
    <t>DEPARTMENT OF EDUCATION - DIVISION OF TACLOBAN CITY</t>
  </si>
  <si>
    <t>BARAGAY MAANGAS -  PRESENTACION, CAMARINES SUR</t>
  </si>
  <si>
    <t>CITY  OF CAUAYAN, ISABELA</t>
  </si>
  <si>
    <t>CITY OF ANTIPOLO, RIZAL</t>
  </si>
  <si>
    <t>BUREAU OF INTERNAL REVENUE</t>
  </si>
  <si>
    <t>MUNICIPALITY OF NAGA, ZAMBOANGA SIBUGAY</t>
  </si>
  <si>
    <t>BUREAU OF FIRE PROTECTION - REGION IV-A (CALABARZON)</t>
  </si>
  <si>
    <t>BARANGAY 388, ZONE 39, DISTRICT III, MANILA</t>
  </si>
  <si>
    <t>STA. ANA ELEMENTARY SCHOOL</t>
  </si>
  <si>
    <t>DEPARTMENT OF PUBLIC WORKS AND HIGHWAYS - BENGUET 2ND DEO</t>
  </si>
  <si>
    <t>MUNICIPALITY OF IVISAN, CAPIZ</t>
  </si>
  <si>
    <t>NATIONAL CONCILIATION AND MEDIATION BOARD - GENERAL SANTOS C</t>
  </si>
  <si>
    <t>BARANGAY 235 ZONE 22 DISTRICT II, MANILA</t>
  </si>
  <si>
    <t>PHILIPPINE SCIENCE HIGH SCHOOL - MAIN CAMPUS</t>
  </si>
  <si>
    <t>CITY OF CABUYAO, LAGUNA</t>
  </si>
  <si>
    <t>PHILIPPINE ECONOMIC ZONE AUTHORITY - BAGUIO CITY ECOZONE</t>
  </si>
  <si>
    <t>BARANGAY 186 ZONE- 16  DISTRICT 11,MANILA</t>
  </si>
  <si>
    <t>MUNICIPALITY OF PINAMUNGAJAN, CEBU</t>
  </si>
  <si>
    <t>DEPARTMENT OF AGRICULTURE - REGION I</t>
  </si>
  <si>
    <t>LAS PIÑAS EAST NATIONAL HIGH SCHOOL - TALON 4 VILLAGE ANNEX</t>
  </si>
  <si>
    <t>CITY OF SAN PEDRO, LAGUNA</t>
  </si>
  <si>
    <t>OFFICE OF THE CHIEF MINISTER  - BARMM</t>
  </si>
  <si>
    <t>LIBMANAN WATER DISTRICT</t>
  </si>
  <si>
    <t>BARANGAY BALAYONG, NAGCARLAN, LAGUNA</t>
  </si>
  <si>
    <t>CIVIL AVIATION AUTHORITY OF THE PHILIPPINES - AREA 4</t>
  </si>
  <si>
    <t>NATIONAL IRRIGATION ADMINISTRATION - CAR</t>
  </si>
  <si>
    <t>DEPARTMENT OF AGRICULTURE - REGION IV-B (MIMAROPA)</t>
  </si>
  <si>
    <t>DEPARTMENT OF PUBLIC WORKS AND HIGHWAYS - ALBAY 2ND DEO</t>
  </si>
  <si>
    <t>MUNICIPALITY OF STO. TOMAS, DAVAO DEL NORTE</t>
  </si>
  <si>
    <t>BARANGAY PAYAGAN EAST, BALLESTEROS, CAGAYAN</t>
  </si>
  <si>
    <t>TESDA WOMEN'S CENTER</t>
  </si>
  <si>
    <t>DEPARTMENT OF PUBLIC WORKS AND HIGHWAYS - REGION VIII</t>
  </si>
  <si>
    <t>DEPARTMENT OF ENVIRONMENT AND NATURAL RESOURCES - PENRO OCCI</t>
  </si>
  <si>
    <t>QUIRINO MEMORIAL MEDICAL CENTER</t>
  </si>
  <si>
    <t>BARANGAY CONCEPCION, HILONGOS, LEYTE</t>
  </si>
  <si>
    <t>BARANGAY BANJO WEST, TANAUAN CITY, BATANGAS</t>
  </si>
  <si>
    <t>NATIONAL STATISTICS OFFICE - REGION V</t>
  </si>
  <si>
    <t>NATIONAL IRRIGATION ADMINISTRATION - LRIMO</t>
  </si>
  <si>
    <t>NORALA WATER DISTRICT</t>
  </si>
  <si>
    <t>DEPARTMENT OF PUBLIC WORKS AND HIGHWAYS - ZAMBALES 1ST DEO</t>
  </si>
  <si>
    <t>MUNICIPALITY OF UNISAN, QUEZON</t>
  </si>
  <si>
    <t>BARANGAY BAYABAS AURORA ZAMBOANGA DEL SUR</t>
  </si>
  <si>
    <t>MUNICIPALITY OF MINALIN, PAMPANGA</t>
  </si>
  <si>
    <t>PROVINCE OF ZAMBALES</t>
  </si>
  <si>
    <t>MUNICIPALITY OF KIANGAN, IFUGAO</t>
  </si>
  <si>
    <t>DEPARTMENT OF AGRARIAN REFORM - CATBALOGAN</t>
  </si>
  <si>
    <t>BUREAU OF CORRECTIONS - PUERTO PRINCESA</t>
  </si>
  <si>
    <t>DOÑA GREGORIA RAMOS MEMORIAL SCHOOL-HIMAMAYLAN CITY</t>
  </si>
  <si>
    <t>MUNICIPALITY OF SAN CLEMENTE, TARLAC</t>
  </si>
  <si>
    <t xml:space="preserve">BUBUYAN ELEMENTARY SCHOOL </t>
  </si>
  <si>
    <t>BALIWAG WATER DISTRICT</t>
  </si>
  <si>
    <t>TECHNICAL EDUCATION &amp; SKILLS DEVELOPMENT AUTHORITY - NCR, CA</t>
  </si>
  <si>
    <t>BARANGAY 842, ZONE 92, DISTRICT VI, MANILA</t>
  </si>
  <si>
    <t>MUNICIPALITY OF STO. TOMAS, BATANGAS</t>
  </si>
  <si>
    <t>MUNICIPALITY OF STA. BARBARA, ILOILO</t>
  </si>
  <si>
    <t>DEPARTMENT OF TRADE AND INDUSTRY - MISAMIS ORIENTAL</t>
  </si>
  <si>
    <t>BARANGAY STA.CRUZ -  GUINAYANGAN QUEZON</t>
  </si>
  <si>
    <t>MUNICIPALITY OF NAGUILIAN, LA UNION</t>
  </si>
  <si>
    <t>BANGKO SENTRAL NG PILIPINAS</t>
  </si>
  <si>
    <t>BARANGAY BUTING - PASIG CITY</t>
  </si>
  <si>
    <t>MUNICIPALITY OF PAGSANGHAN, SAMAR</t>
  </si>
  <si>
    <t>BASES CONVERSION AND DEVELOPMENT AUTHORITY - MAIN</t>
  </si>
  <si>
    <t>MUNICIPALITY OF TAYUG, PANGASINAN</t>
  </si>
  <si>
    <t>MUNICIPALITY OF ADAMS, ILOCOS NORTE</t>
  </si>
  <si>
    <t>BARANGAY SAN ANTONIO, PASIG CITY</t>
  </si>
  <si>
    <t>MUNICIPALITY OF AGOO, LA UNION</t>
  </si>
  <si>
    <t>GOVERNANCE COMMISSION FOR GOCC</t>
  </si>
  <si>
    <t>NATIONAL IRRIGATION ADMINISTRATION</t>
  </si>
  <si>
    <t>MINISTRY OF PUBLIC WORKS - (BARMM) MAGUINDANAO COTABATO CITY</t>
  </si>
  <si>
    <t>ILOCOS TRAINING AND REGIONAL MEDICAL CENTER</t>
  </si>
  <si>
    <t>MUNICIPALITY OF ALAMADA, COTABATO</t>
  </si>
  <si>
    <t>CABANTIAN NATIONAL HIGH SCHOOL</t>
  </si>
  <si>
    <t>MUNICIPALITY OF STA. LUCIA , ILOCOS SUR</t>
  </si>
  <si>
    <t>BARANGAY NEW LOWER BICUTAN, TAGUIG CITY</t>
  </si>
  <si>
    <t>FOOD AND NUTRITION RESEARCH INSTITUTE</t>
  </si>
  <si>
    <t>MUNICIPALITY OF DAGUIOMAN, ABRA</t>
  </si>
  <si>
    <t>DEPARTMENT OF SOCIAL WELFARE AND DEVELOPMENT - REGION IV-B</t>
  </si>
  <si>
    <t>TOURISM INFRASTRUCTURE AND ENTERPRISE ZONE AUTHORITY</t>
  </si>
  <si>
    <t>MUNICIPALITY OF BANSALAN, DAVAO DEL SUR</t>
  </si>
  <si>
    <t>MUNICIPALITY OF PILAR, SURIGAO DEL NORTE</t>
  </si>
  <si>
    <t>COMMISSION ON POPULATION AND DEVELOPMENT</t>
  </si>
  <si>
    <t>RAMON MAGSAYSAY CENTRAL ELEMENTARY SCHOOL - ZAMBOANGA DEL SU</t>
  </si>
  <si>
    <t>PROVINCE OF COTABATO</t>
  </si>
  <si>
    <t>MUNICIPALITY OF GASAN, MARINDUQUE</t>
  </si>
  <si>
    <t>BARANGAY BATUG, MACARTHUR, LEYTE</t>
  </si>
  <si>
    <t>BUREAU OF INTERNAL REVENUE - REVENUE REGION NO. 7A</t>
  </si>
  <si>
    <t xml:space="preserve">DA - PHILIPPINE RURAL DEVELOPMENT PROJECT - PSO VISAYAS </t>
  </si>
  <si>
    <t>RAMON MAGSAYSAY TECHNOLOGICAL UNIVERSITY</t>
  </si>
  <si>
    <t>IMBATUG CENTRAL ELEMENTARY SCHOOL</t>
  </si>
  <si>
    <t>BARANGAY BON-OT - SAN ANDRES, CATANDUANES</t>
  </si>
  <si>
    <t>BANGKO SENTRAL NG PILIPINAS - CAGAYAN DE ORO CITY</t>
  </si>
  <si>
    <t>MUNICIPALITY OF TANAY, RIZAL</t>
  </si>
  <si>
    <t>TUNGKONG MANGGA ELEMENTARY SCHOOL</t>
  </si>
  <si>
    <t>CARCAR CENTRAL NATIONAL HIGH SCHOOL - CARCAR CEBU</t>
  </si>
  <si>
    <t>F. G. CALDERON HIGH SCHOOL</t>
  </si>
  <si>
    <t>BARANGAY RIZAL - SAN ANDRES, CATANDUANES</t>
  </si>
  <si>
    <t>CITY OF IMUS -  CAVITE</t>
  </si>
  <si>
    <t>SEWAHON ELEMENTARY SCHOOL</t>
  </si>
  <si>
    <t>MUNICIPALITY OF BENITO SOLIVEN, ISABELA</t>
  </si>
  <si>
    <t>CADIZ VIEJO ELEMENTARY SCHOOL</t>
  </si>
  <si>
    <t>BARANGAY KATIPUNAN, KAPALONG, DAVAO DEL NORTE</t>
  </si>
  <si>
    <t>DEPARTMENT OF ENVIRONMENT AND NATURAL RES. - PENRO, CATARMAN</t>
  </si>
  <si>
    <t>DEPARTMENT OF EDUCATION - SCHOOLS DIVISION OF CALAPAN CITY</t>
  </si>
  <si>
    <t>PATRICIA HOMES ELEMENTARY SCHOOL BACOLOD CITY NEGROS OCCIDEN</t>
  </si>
  <si>
    <t>BARANGAY TAYAMAAN - MAMBURAO, OCCIDENTAL MINDORO</t>
  </si>
  <si>
    <t>PHILIPPINE NATIONAL POLICE - CRIME LABORATORY</t>
  </si>
  <si>
    <t>SECURITIES AND EXCHANGE COMMISSION</t>
  </si>
  <si>
    <t>BARANGAY LUMBIA-ESTANCIA ILOILO</t>
  </si>
  <si>
    <t>TOURISM PROMOTIONS BOARD</t>
  </si>
  <si>
    <t>MUNICIPALITY OF VICTORIA, ORIENTAL MINDORO</t>
  </si>
  <si>
    <t>MUNICIPALITY OF GIPORLOS, EASTERN SAMAR</t>
  </si>
  <si>
    <t>MUNICIPALITY OF GANDARA, SAMAR</t>
  </si>
  <si>
    <t>BARANGAY QUEZON JR - ORMOC, CITY</t>
  </si>
  <si>
    <t>AGRICULTURAL TRAINING INSTITUTE - TRECE MARTIRES</t>
  </si>
  <si>
    <t>BARANGAY POBLACION I, NAGCARLAN, LAGUNA</t>
  </si>
  <si>
    <t>BANGKO SENTRAL NG PILIPINAS - ROXAS BRANCH</t>
  </si>
  <si>
    <t>NATIONAL COMMISSION ON INDIGENOUS PEOPLES - CAR</t>
  </si>
  <si>
    <t>MUNICIPALITY OF MARGOSATUBIG, ZAMBOANGA DEL SUR</t>
  </si>
  <si>
    <t>BARANGAY TAGUIPORO - BANTAY ILOCOS SUR</t>
  </si>
  <si>
    <t>BARANGAY AMAMBUCALE - MARABUT SAMAR</t>
  </si>
  <si>
    <t>BARANGAY POBLACION - BANATE ILOILO</t>
  </si>
  <si>
    <t>NATIVIDAD HIGH SCHOOL</t>
  </si>
  <si>
    <t>MUNICIPALITY OF SILVINO LOBOS, NORTHERN SAMAR</t>
  </si>
  <si>
    <t>MALUKO ELEMENTARY SCHOOL - MANOLO FORTICH BUKIDNON</t>
  </si>
  <si>
    <t>BARANGAY MANGA - TAGBILARAN CITY</t>
  </si>
  <si>
    <t>PROVINCE OF ORIENTAL MINDORO</t>
  </si>
  <si>
    <t>DEPARTMENT OF PUBLIC WORKS AND HIGHWAYS - COTABATO SUB-DEO</t>
  </si>
  <si>
    <t>PROVINCE OF PALAWAN</t>
  </si>
  <si>
    <t>GOVERNMENT SERVICE INSURANCE SYSTEM - REGION I</t>
  </si>
  <si>
    <t>MUNICIPALITY OF STA. JOSEFA, AGUSAN DEL SUR</t>
  </si>
  <si>
    <t>PHILIPPINE HEALTH INSURANCE CORPORATION - NCR &amp; RIZAL GROUP</t>
  </si>
  <si>
    <t>CITY OF KIDAPAWAN, NORTH COTABATO</t>
  </si>
  <si>
    <t>BALA-ORO ELEMENTARY SCHOOL</t>
  </si>
  <si>
    <t>CITY OF ORMOC, LEYTE</t>
  </si>
  <si>
    <t>BARANGAY CENTRAL SIGNAL VILLAGE -TAGUIG CITY</t>
  </si>
  <si>
    <t>DEPARTMENT OF PUBLIC WORKS AND HIGHWAYS - BATANGAS 3RD ED</t>
  </si>
  <si>
    <t>MUNICIPALITY OF CONCEPCION, ROMBLON</t>
  </si>
  <si>
    <t>PROVINCE OF CEBU</t>
  </si>
  <si>
    <t>PHILIPPINE RETIREMENT AUTHORITY</t>
  </si>
  <si>
    <t>BARANGAY MAGUGPO WEST, TAGUM CITY, DAVAO DEL NORTE</t>
  </si>
  <si>
    <t>BARANGAY BINUGAO TORIL DISTRICT</t>
  </si>
  <si>
    <t>MUNICIPALITY OF PITOGO, ZAMBOANGA DEL SUR</t>
  </si>
  <si>
    <t>MUNICIPALITY OF FLORIDABLANCA, PAMPANGA</t>
  </si>
  <si>
    <t>BARANGAY 04 POBLACION, CATBALOGAN CITY</t>
  </si>
  <si>
    <t>BARANGAY 09 POBLACION, CATBALOGAN CITY</t>
  </si>
  <si>
    <t>CITY OF BAIS, NEGROS ORIENTAL</t>
  </si>
  <si>
    <t>PROVINCE OF NEGROS OCCIDENTAL</t>
  </si>
  <si>
    <t>DEPARTMENT OF EDUCATION - DIVISION OF ILAGAN CITY</t>
  </si>
  <si>
    <t>PHILIPPINE CARABAO CENTER - REGION III</t>
  </si>
  <si>
    <t>BUREAU OF FISHERIES AND AQUATIC RESOURCES CARAGA</t>
  </si>
  <si>
    <t>BARANGAY SUMALILI - ARAKAN COTABATO</t>
  </si>
  <si>
    <t>MUNICIPALITY OF RIZAL, CAGAYAN</t>
  </si>
  <si>
    <t>BARANGAY BAKIR, BAGABAG, NUEVA VIZCAYA</t>
  </si>
  <si>
    <t>NATIONAL ECONOMIC AND DEVELOPMENT  AUTHORITY - MIMAROPA REGI</t>
  </si>
  <si>
    <t>MUNICIPALITY OF SIKATUNA, BOHOL</t>
  </si>
  <si>
    <t>PONTEVEDRA NATIONAL HIGH SCHOOL- NEGROS</t>
  </si>
  <si>
    <t>DEPARTMENT OF PUBLIC WORKS AND HIGHWAYS - QUEZON 4TH ED</t>
  </si>
  <si>
    <t>BARANGAY 385, ZONE 39, DISTRICT III, MANILA</t>
  </si>
  <si>
    <t>DEPARTMENT OF EDUCATION - REGION III</t>
  </si>
  <si>
    <t>MUNICIPALITY OF KALAYAAN, PALAWAN</t>
  </si>
  <si>
    <t>MUNICIPALITY OF PASIL, KALINGA</t>
  </si>
  <si>
    <t>COMPOSTELA VALLEY STATE COLLEGE</t>
  </si>
  <si>
    <t xml:space="preserve">DEPARTMENT OF PUBLIC WORKS AND HIGHWAYS - CAMARINES SUR 1ST </t>
  </si>
  <si>
    <t>UNIVERSITY OF SOUTHEASTERN PHIL.  - TAGUM MABINI CAMPUS</t>
  </si>
  <si>
    <t>DEPARTMENT OF PUBLIC WORKS AND HIGHWAYS - MT. PROVINCE I DEO</t>
  </si>
  <si>
    <t>MUNICIPALITY OF GUIGUINTO, BULACAN</t>
  </si>
  <si>
    <t>DEPARTMENT OF PUBLIC WORKS AND HIGHWAYS - CEBU CITY DEO</t>
  </si>
  <si>
    <t>DEPARTMENT OF AGRICULTURE - REGION VII</t>
  </si>
  <si>
    <t>TECHNICAL EDUCATION &amp; SKILLS DEVELOPMENT AUTHORITY - ZAMBOAN</t>
  </si>
  <si>
    <t>PATIN-AY NATIONAL HIGH SCHOOL - PROSPERIDAD AGUSAN DEL SUR</t>
  </si>
  <si>
    <t>MUNICIPALITY OF BASCO, BATANES</t>
  </si>
  <si>
    <t>SAN MIGUEL BULACAN WATER DISTRICT</t>
  </si>
  <si>
    <t>DEPARTMENT OF NATIONAL DEFENSE - GOVERNMENT ARSENAL, BATAAN</t>
  </si>
  <si>
    <t>UNIVERSITY OF THE PHILIPPINES - MANILA</t>
  </si>
  <si>
    <t>PHILIPPINE COAST GUARD</t>
  </si>
  <si>
    <t>CITY OF PAGADIAN, ZAMBOANGA DEL SUR</t>
  </si>
  <si>
    <t>CAUAYAN CITY NATIONAL HIGH SCHOOL - CAUAYAN CITY ISABELA</t>
  </si>
  <si>
    <t>NATIONAL COMMISSION FOR CULTURE AND THE ARTS</t>
  </si>
  <si>
    <t>LOWER SINASAAN ELEMENTARY SCHOOL - LOWER SINASAAN,PORTULIN</t>
  </si>
  <si>
    <t>BARANGAY HOLY REDEEMER, BUTUAN CITY</t>
  </si>
  <si>
    <t>ALFREDO M. MONTELIBANO, SR. ELEMENTARY SCHOOL - BACOLOD CITY</t>
  </si>
  <si>
    <t>DEPARTMENT OF ENVIRONMENT AND NATURAL RESOURCES - MAIN</t>
  </si>
  <si>
    <t>BARANGAY MOMBON - PALAPAG NORTHERN SAMAR</t>
  </si>
  <si>
    <t>FR. GRATIAN MURRAY, AFSC INTEGRATED SCHOOL - BACOLOT CITY</t>
  </si>
  <si>
    <t>BARANGAY PINAMALISAN, GABALDON, NUEVA ECIJA</t>
  </si>
  <si>
    <t>MUNICIPALITY OF SAN ROQUE - NORTHERN SAMAR</t>
  </si>
  <si>
    <t>MUNICIPALITY OF SANTA FE, NUEVA VIZCAYA</t>
  </si>
  <si>
    <t>MUNICIPALITY OF DON MARCELINO - DAVAO OCCIDENTAL</t>
  </si>
  <si>
    <t>DEPARTMENT OF ENVIRONMENT AND NATURAL RES. - CENRO, TALAKAG</t>
  </si>
  <si>
    <t>PHILIPPINE HEALTH INSURANCE CORPORATION - REGION I</t>
  </si>
  <si>
    <t>NAGA NATIONAL HIGH SCHOOL</t>
  </si>
  <si>
    <t>BARANGAY SAN AGUSTIN, BAYUGAN CITY</t>
  </si>
  <si>
    <t>MUNICIPALITY OF MAKILALA, NORTH COTABATO</t>
  </si>
  <si>
    <t>PHILIPPINE VETERANS AFFAIRS OFFICE, DND</t>
  </si>
  <si>
    <t>BARANGAY VERGAÑA - LOPEZ QUEZON</t>
  </si>
  <si>
    <t>BARANGAY VILLA ONDAYON, BAYUGAN CITY</t>
  </si>
  <si>
    <t>COAST GUARD DISTRICT WESTERN VISAYAS</t>
  </si>
  <si>
    <t>BARANGAY SAN NICOLAS, SAN FERNANDO, PAMPANGA</t>
  </si>
  <si>
    <t>BARANGAY SUGUIDAN SUR, NAGUILIAN, LA UNION</t>
  </si>
  <si>
    <t>DEPARTMENT OF AGRARIAN REFORM - PANGASINAN PROVINCIAL OFFICE</t>
  </si>
  <si>
    <t>MUNICIPALITY OF NATIVIDAD -  PANGASINAN</t>
  </si>
  <si>
    <t>DEPARTMENT OF PUBLIC WORKS AND HIGHWAYS - SOUTH METRO MANILA</t>
  </si>
  <si>
    <t>MUNICIPALITY OF SAN VICENTE NORTHERN SAMAR</t>
  </si>
  <si>
    <t>CITY OF MAASIN, SOUTHERN LEYTE</t>
  </si>
  <si>
    <t>BARANGAY MADUA NORTE, DUERO, BOHOL</t>
  </si>
  <si>
    <t>PHILIPPINE CARABAO CENTER AT UBAY STOCK FARM</t>
  </si>
  <si>
    <t>PROVINCE OF LEYTE</t>
  </si>
  <si>
    <t>LIMAY WATER DISTRICT</t>
  </si>
  <si>
    <t>MUNICIPALITY OF CALANASAN, APAYAO</t>
  </si>
  <si>
    <t>BARANGAY SUMULONG - CALAUAG QUEZON</t>
  </si>
  <si>
    <t>PHILIPPINE HEALTH INSURANCE CORPORATION - REGION IV-B</t>
  </si>
  <si>
    <t>PHILIPPINE ARMY PROCUREMENT CENTER, AFP PROCUREMENT SERVICE</t>
  </si>
  <si>
    <t>MUNICIPALITY OF TALAINGOD, DAVAO DEL NORTE</t>
  </si>
  <si>
    <t>302ND CONTRACTING OFFICE, AFP PROCUREMENT SERVICE</t>
  </si>
  <si>
    <t>DIPOLOG SCHOOL OF FISHERIES</t>
  </si>
  <si>
    <t>HOME DEVELOPMENT MUTUAL FUND - REGION X</t>
  </si>
  <si>
    <t>GUIMARAS NATIONAL CROPS RESEARCH, DEVELOPMENT &amp; PRODUCTION S</t>
  </si>
  <si>
    <t>AGRICULTURAL TRAINING INSTITUTE - LIPA CITY</t>
  </si>
  <si>
    <t>BARANGAY PONGGO, NAGTIPUNAN, QUIRINO - NAGTIPUNAN QUIRINO</t>
  </si>
  <si>
    <t>BARANGAY ALTURA MATANDA, TANAUAN CITY, BATANGAS</t>
  </si>
  <si>
    <t>DEPARTMENT OF HEALTH - NCR REGIONAL OFFICE(DOH-NCRO)</t>
  </si>
  <si>
    <t>CITY OF TANJAY, NEGROS ORIENTAL</t>
  </si>
  <si>
    <t>MUNICIPALITY OF ITOGON, BENGUET</t>
  </si>
  <si>
    <t>DEPARTMENT OF HEALTH - CAR OFFICE</t>
  </si>
  <si>
    <t>BARANGAY 44, ZAMBOANGA, LAOAG CITY, ILOCOS NORTE</t>
  </si>
  <si>
    <t>BARANGAY PAMBISAN MUNTI, PINAMALAYAN, ORIENTAL MINDORO</t>
  </si>
  <si>
    <t>DEPARTMENT OF PUBLIC WORKS AND HIGHWAYS - AKLAN DEO</t>
  </si>
  <si>
    <t>MUNICIPALITY OF BACARRA, ILOCOS NORTE</t>
  </si>
  <si>
    <t>LIGA NG MGA BARANGAY, SAN LUIS, BATANGAS</t>
  </si>
  <si>
    <t>MUNICIPALITY OF PASACAO, CAMARINES SUR</t>
  </si>
  <si>
    <t>CAGAYAN VALLEY MEDICAL CENTER</t>
  </si>
  <si>
    <t>NATIONAL IRRIGATION ADMINISTRATION - UPRIIS</t>
  </si>
  <si>
    <t>MUNICIPALITY OF SANTANDER, CEBU</t>
  </si>
  <si>
    <t xml:space="preserve">TECHNICAL EDUCATION &amp; SKILLS DEVELOPMENT AUTHORITY - REGION </t>
  </si>
  <si>
    <t>EASTERN VISAYAS REGIONAL MEDICAL CENTER - DOH</t>
  </si>
  <si>
    <t>BARANGAY DON JUAN VERCELOS, SAN FRANCISCO, QUEZON</t>
  </si>
  <si>
    <t>AGRICULTURAL TRAINING INSTITUTE - REGION I</t>
  </si>
  <si>
    <t>MUNICIPALITY OF ROMBLON, ROMBLON</t>
  </si>
  <si>
    <t>DEPARTMENT OF AGRARIAN REFORM - BATANGAS PROVINCIAL OFFICE</t>
  </si>
  <si>
    <t>MUNICIPALITY OF ASINGAN, PANGASINAN</t>
  </si>
  <si>
    <t>CARAGA REGIONAL HOSPITAL</t>
  </si>
  <si>
    <t>MUNICIPALITY OF LIMAY, BATAAN</t>
  </si>
  <si>
    <t>PENAFRANCIA ELEMENTARY SCHOOL</t>
  </si>
  <si>
    <t>TALANG NATIONAL HIGH SCHOOL</t>
  </si>
  <si>
    <t>DEPARTMENT OF AGRARIAN REFORM - REGION III BULACAN</t>
  </si>
  <si>
    <t>ILOCOS SUR POLYTECHNIC STATE COLLEGE</t>
  </si>
  <si>
    <t>MUNICIPALITY OF VALLADOLID, NEGROS OCCIDENTAL</t>
  </si>
  <si>
    <t>MUNICIPALITY OF MAMBAJAO, CAMIGUIN</t>
  </si>
  <si>
    <t>METROPOLITAN NAGA WATER DISTRICT</t>
  </si>
  <si>
    <t>IFUGAO STATE UNIVERSITY</t>
  </si>
  <si>
    <t>URDANETA CITY NATIONAL HIGH SCHOOL</t>
  </si>
  <si>
    <t>PROVINCIAL GOVERNMENT OF SURIGAO DEL NORTE</t>
  </si>
  <si>
    <t>MUNICIPALITY OF KAYAPA, NUEVA VIZCAYA</t>
  </si>
  <si>
    <t>BARANGAY GILOTONGAN, CAWAYAN, MASBATE</t>
  </si>
  <si>
    <t>STA. IGNACIA WATER DISTRICT</t>
  </si>
  <si>
    <t>FORT BONIFACIO HIGH SCHOOL</t>
  </si>
  <si>
    <t>MUNICIPALITY OF ALLACAPAN, CAGAYAN</t>
  </si>
  <si>
    <t>BARANGAY GUINSULARAN, DUERO, BOHOL</t>
  </si>
  <si>
    <t>AGUISAN ELEMENTARY SCHOOL - HIMAMAYLAN CITY NEGROS OCCIDENTA</t>
  </si>
  <si>
    <t>MUNICIPALITY OF REMEDIOS T. ROMUALDEZ, AGUSAN DEL NORTE</t>
  </si>
  <si>
    <t>MUNICIPALITY OF CALABANGA, CAMARINES SUR</t>
  </si>
  <si>
    <t>MUNICIPALITY OF ASTURIAS, CEBU</t>
  </si>
  <si>
    <t xml:space="preserve">DEPARTMENT OF EDUCATION MOUNTAIN PROVINCE - BONTOC MOUNTAIN </t>
  </si>
  <si>
    <t>SAN ROQUE 2 ELEMENTARY SCHOOL - SAN JOSE OCCIDENTAL MINDORO</t>
  </si>
  <si>
    <t>CITY OF GINGOOG, MISAMIS ORIENTAL</t>
  </si>
  <si>
    <t>BARANGAY BUDIONG, ODIONGAN, ROMBLON</t>
  </si>
  <si>
    <t>MUNICIPALITY OF SAN MANUEL, PANGASINAN</t>
  </si>
  <si>
    <t>MUNICIPALITY OF SEN. NINOY AQUINO, SULTAN KUDARAT</t>
  </si>
  <si>
    <t>CITY OF ILIGAN, LANAO DEL NORTE</t>
  </si>
  <si>
    <t>ANDRES BONIFACIO ELEMENTARY SCHOOL</t>
  </si>
  <si>
    <t>LIGA NG MGA BARANGAY BATO, LEYTE CHAPTER</t>
  </si>
  <si>
    <t>MUNICIPALITY OF MULANAY, QUEZON</t>
  </si>
  <si>
    <t>MUNICIPALITY OF BAAO, CAMARINES SUR</t>
  </si>
  <si>
    <t>RAMON F. MAGSAYSAY ELEMENTARY SCHOOL</t>
  </si>
  <si>
    <t>NATIONAL ACADEMY OF SCIENCE AND TECHNOLOGY</t>
  </si>
  <si>
    <t>BICOL UNIVERSITY POLANGUI CAMPUS</t>
  </si>
  <si>
    <t>BISLIG CITY WATER DISTRICT</t>
  </si>
  <si>
    <t>GAMES AND AMUSEMENTS BOARD</t>
  </si>
  <si>
    <t>MUNICIPALITY OF CARMONA, CAVITE</t>
  </si>
  <si>
    <t>LBP RESOURCES AND DEVELOPMENT CORPORATION</t>
  </si>
  <si>
    <t>MABINI NATIONAL HIGH SCHOOL</t>
  </si>
  <si>
    <t>MUNICIPALITY OF ALFONSO LISTA, IFUGAO</t>
  </si>
  <si>
    <t>BARANGAY POBLACION 1 - BATANGAS CITY, BATANGAS</t>
  </si>
  <si>
    <t>MUNICIPALITY OF CAWAYAN, MASBATE</t>
  </si>
  <si>
    <t>BUREAU OF PLANT INDUSTRY-BNCRDPSC</t>
  </si>
  <si>
    <t>MUNICIPALITY OF LARENA, SIQUIJOR</t>
  </si>
  <si>
    <t>MUNICIPALITY OF PANDAN , CATANDUANES</t>
  </si>
  <si>
    <t>MUNICIPALITY OF LOOC, OCCIDENTAL MINDORO</t>
  </si>
  <si>
    <t>MUNICIPALITY OF BAKUN, BENGUET</t>
  </si>
  <si>
    <t>CITY OF IRIGA</t>
  </si>
  <si>
    <t>ALICANTE ELEMENTARY SCHOOL</t>
  </si>
  <si>
    <t>LAND TRANSPORTATION AND FRANCHISING REGULATORY BOARD - MAIN</t>
  </si>
  <si>
    <t>NATIONAL ELECTRIFICATION ADMINISTRATION</t>
  </si>
  <si>
    <t>MUNICIPALITY OF TAMBULIG, ZAMBOANGA DEL SUR</t>
  </si>
  <si>
    <t>PHILIPPINE COUNCIL FOR AGRICULTURE AND FISHERIES</t>
  </si>
  <si>
    <t>BARANGAY GUIOM, CAWAYAN, MASBATE</t>
  </si>
  <si>
    <t>MUNICIPALITY OF CALASIAO, PANGASINAN</t>
  </si>
  <si>
    <t>CABANGAN HIGH SCHOOL - LEGAZPI CITY ALBAY</t>
  </si>
  <si>
    <t>ENVIRONMENTAL MANAGEMENT BUREAU - CAR, DENR</t>
  </si>
  <si>
    <t>PHILIPPINE HEALTH INSURANCE CORPORATION - REGION XII</t>
  </si>
  <si>
    <t>BARANGAY LIBAS TANTANGAN SOUTH COTABATO</t>
  </si>
  <si>
    <t>MUNICIPALITY OF JOMALIG, QUEZON</t>
  </si>
  <si>
    <t>MUNICIPALITY OF PARACALE, CAMARINES NORTE</t>
  </si>
  <si>
    <t>MUNICIPALITY OF PRES. MANUEL A. ROXAS, ZAMBOANGA DEL NORTE</t>
  </si>
  <si>
    <t>MUNICIPALITY OF SIAYAN, ZAMBOANGA DEL NORTE</t>
  </si>
  <si>
    <t>CITY OF CEBU, CEBU</t>
  </si>
  <si>
    <t>BARANGAY CABUNGAHAN - CAWAYAN, MASBATE</t>
  </si>
  <si>
    <t>MUNICIPALITY OF ZUMARRAGA, SAMAR</t>
  </si>
  <si>
    <t>MUNICIPALITY OF DIPACULAO, AURORA</t>
  </si>
  <si>
    <t>MUNICIPALITY OF BOLJOON, CEBU</t>
  </si>
  <si>
    <t>BARANGAY POBLACION SUR - TOBIAS FORNIER ANTIQUE</t>
  </si>
  <si>
    <t>BARANGAY BASAG, LIGAO, ALBAY</t>
  </si>
  <si>
    <t xml:space="preserve">DEPARTMENT OF PUBLIC WORKS AND HIGHWAYS - ZAMBOANGA DEL SUR </t>
  </si>
  <si>
    <t>BARANGAY MACTAN, CAWAYAN, MASBATE</t>
  </si>
  <si>
    <t>BARANGAY MINSAPINIT GINGOOG CITY MISAMIS ORIENTAL</t>
  </si>
  <si>
    <t>BANGKO SENTRAL NG PILIPINAS (SECURITY PLANT COMPLEX) - QUEZO</t>
  </si>
  <si>
    <t>DEPARTMENT OF SCIENCE AND TECHNOLOGY - REGION II</t>
  </si>
  <si>
    <t>SCHOOLS DIVISION OFFICE OF IFUGAO</t>
  </si>
  <si>
    <t>MUNICIPALITY OF TAPAZ, CAPIZ</t>
  </si>
  <si>
    <t>MUNICIPALITY OF MARIA AURORA, AURORA</t>
  </si>
  <si>
    <t>MUNICIPALITY OF HINUNDAYAN, SOUTHERN LEYTE</t>
  </si>
  <si>
    <t>113RD CO AFP PROCUREMENT SERVICE</t>
  </si>
  <si>
    <t>DEPARTMENT OF HEALTH - SAN FERNANDO CITY PAMPANGA</t>
  </si>
  <si>
    <t>MUNICIPALITY OF KITCHARAO , AGUSAN DEL NORTE</t>
  </si>
  <si>
    <t>BARANGAY TABERNA, CAWAYAN, MASBATE</t>
  </si>
  <si>
    <t>BASILAN NATIONAL HIGH SCHOOL - ISABELA CITY BASILAN</t>
  </si>
  <si>
    <t>NATIONAL COMMISSION ON INDIGENOUS PEOPLES - REGION XII</t>
  </si>
  <si>
    <t>BARANGAY BURABOD - SAN ANTONIO NORTHERN SAMAR</t>
  </si>
  <si>
    <t>MUNICIPALITY OF LOPEZ, QUEZON</t>
  </si>
  <si>
    <t>CITY OF MARIKINA</t>
  </si>
  <si>
    <t>PAG-ASA CENTRAL SCHOOL</t>
  </si>
  <si>
    <t>BARANGAY CADINGLIAN, OTON, ILOILO</t>
  </si>
  <si>
    <t>CITY OF TARLAC, TARLAC</t>
  </si>
  <si>
    <t>MUNICIPALITY OF BOLINAO, PANGASINAN</t>
  </si>
  <si>
    <t>DEPARTMENT OF EDUCATION - REGION IV-A (CALABARZON)</t>
  </si>
  <si>
    <t>LIGHT RAIL TRANSIT AUTHORITY</t>
  </si>
  <si>
    <t>BARANGAY HABA - CANDONI NEGROS OCCIDENTAL</t>
  </si>
  <si>
    <t>PHIVIDEC INDUSTRIAL AUTHORITY, DND</t>
  </si>
  <si>
    <t>MUNICIPALITY OF CORTES, BOHOL</t>
  </si>
  <si>
    <t>MUNICIPALITY OF AURORA, ZAMBOANGA DEL SUR</t>
  </si>
  <si>
    <t>BARANGAY RAWIS, VIRAC, CATANDUANES</t>
  </si>
  <si>
    <t>CAMIGUIN POLYTECHNIC STATE COLLEGE</t>
  </si>
  <si>
    <t>DEPARTMENT OF EDUCATION - DIVISION OF AGUSAN DEL SUR</t>
  </si>
  <si>
    <t>JOHN HAY MANAGEMENT CORPORATION</t>
  </si>
  <si>
    <t>MUNICIPALITY OF BULA, CAMARINES SUR</t>
  </si>
  <si>
    <t>LAND TRANSPORTATION OFFICE - MAIN</t>
  </si>
  <si>
    <t>MUNICIPALITY OF BATARAZA</t>
  </si>
  <si>
    <t>BARANGAY NARO, CAWAYAN, MASBATE</t>
  </si>
  <si>
    <t>RENE CAYETANO ELEMENTARY SCHOOL</t>
  </si>
  <si>
    <t>MUNICIPALITY OF MAGPET - NORTH COTABATO</t>
  </si>
  <si>
    <t>PROVINCE OF ALBAY</t>
  </si>
  <si>
    <t>C.P STA. TERESA ELEMENTARY SCHOOL</t>
  </si>
  <si>
    <t>DEPARTMENT OF ENVIRONMENT AND NATURAL RESOURCES - NCR</t>
  </si>
  <si>
    <t>SOUTHERN PHILS. AGRI-BUSS. &amp; MARINE &amp; AQUATIC SCH. OF TECH.</t>
  </si>
  <si>
    <t>BARANGAY MALBUG, CAWAYAN, MASBATE</t>
  </si>
  <si>
    <t>DEPARTMENT OF ENVIRONMENT AND NATURAL RES. - PENRO, CEBU</t>
  </si>
  <si>
    <t>SABLAYAN NATIONAL COMPREHENSIVE HIGH SCHOOL</t>
  </si>
  <si>
    <t>MUNICIPALITY OF MABITAC, LAGUNA</t>
  </si>
  <si>
    <t>MUNICIPALITY OF PIKIT, NORTH COTABATO</t>
  </si>
  <si>
    <t>BINALONAN WATER DISTRICT</t>
  </si>
  <si>
    <t>BARANGAY GULOD ITAAS, BATANGAS CITY, BATANGAS</t>
  </si>
  <si>
    <t>MUNICIPALITY OF NAGCARLAN, LAGUNA</t>
  </si>
  <si>
    <t>MUNICIPALITY OF SIBUTAD, ZAMBOANGA DEL NORTE</t>
  </si>
  <si>
    <t>DEPARTMENT OF BUDGET AND MANAGEMENT</t>
  </si>
  <si>
    <t>BARANGAY CATULAYAN - SAN JUAN SIQUIJOR</t>
  </si>
  <si>
    <t>DEPARTMENT OF PUBLIC WORKS AND HIGHWAYS - ILOCOS SUR 1ST DEO</t>
  </si>
  <si>
    <t>SURIGAO STATE COLLEGE OF TECHNOLOGY</t>
  </si>
  <si>
    <t>MUNICIPALITY OF NASUGBU, BATANGAS</t>
  </si>
  <si>
    <t>MUNICIPALITY OF BINGAWAN, ILOILO</t>
  </si>
  <si>
    <t>SURIGAO DEL SUR STATE UNIVERSITY</t>
  </si>
  <si>
    <t>MUNICIPALITY OF PILAR, CAPIZ</t>
  </si>
  <si>
    <t>MUNICIPALITY OF STA. ELENA, CAMARINES NORTE</t>
  </si>
  <si>
    <t>CITY OF ALAMINOS, PANGASINAN</t>
  </si>
  <si>
    <t>COURT OF APPEALS - CAGAYAN DE ORO CITY</t>
  </si>
  <si>
    <t>BARANGAY CALAPAYAN, CAWAYAN, MASBATE</t>
  </si>
  <si>
    <t>MUNICIPALITY OF VALLEHERMOSO, NEGROS</t>
  </si>
  <si>
    <t>MAUAQUE RESETTLEMENT ELEMENTARY SCHOOL</t>
  </si>
  <si>
    <t>101ST CONTRACTING OFFICE, AFP PROCUREMENT SERVICE</t>
  </si>
  <si>
    <t>BARANGAY LIBERTAD - CAWAYAN, MASBATE</t>
  </si>
  <si>
    <t>MUNICIPALITY OF PASTRANA, LEYTE</t>
  </si>
  <si>
    <t>DEPARTMENT OF BUDGET AND MANAGEMENT - REGIONAL OFFICE XII</t>
  </si>
  <si>
    <t>CITY OF DAPITAN</t>
  </si>
  <si>
    <t>BARANGAY SAN JOSE, CAWAYAN, MASBATE</t>
  </si>
  <si>
    <t>TABUK CITY NATIONAL HIGH SCHOOL</t>
  </si>
  <si>
    <t>CITY OF TABACO, ALBAY</t>
  </si>
  <si>
    <t>MUNICIPALITY OF HINATUAN , SURIGAO DEL SUR</t>
  </si>
  <si>
    <t>BARANGAY DALAYAP, ALLACAPAN, CAGAYAN</t>
  </si>
  <si>
    <t>MUNICIPALITY OF PINTUYAN, SOUTHERN LEYTE</t>
  </si>
  <si>
    <t>DEPARTMENT OF EDUCATION - ECOTECH CENTER</t>
  </si>
  <si>
    <t>BARANGAY GUMABAO, OAS, ALBAY</t>
  </si>
  <si>
    <t>MUNICIPALITY OF PILA, LAGUNA</t>
  </si>
  <si>
    <t>PHILIPPINE STATISTICAL RESEARCH AND TRAINING INSTITUTE</t>
  </si>
  <si>
    <t>BUREAU OF AGRICULTURAL RESEARCH</t>
  </si>
  <si>
    <t>DEPARTMENT OF THE INTERIOR AND LOCAL GOVERNMENT - REGION VI</t>
  </si>
  <si>
    <t>MUNICIPALITY OF ROSALES, PANGASINAN</t>
  </si>
  <si>
    <t>SAGARAN ELEMENTARY SCHOOL</t>
  </si>
  <si>
    <t>MUNICIPALITY OF LUPI, CAMARINES SUR</t>
  </si>
  <si>
    <t>BARANGAY BUAYA, ABUYOG, LEYTE</t>
  </si>
  <si>
    <t>DEPARTMENT OF AGRARIAN REFORM - COMVAL</t>
  </si>
  <si>
    <t>MUNICIPALITY OF DINGRAS, ILOCOS NORTE</t>
  </si>
  <si>
    <t>PROVINCE OF MARINDUQUE</t>
  </si>
  <si>
    <t>MUNICIPALITY OF PINAMALAYAN, ORIENTAL MINDORO</t>
  </si>
  <si>
    <t>RIZAL EXPERIMENTAL STATION AND PILOT SCHOOL OF COTTAGE INDUS</t>
  </si>
  <si>
    <t>NATIONAL IRRIGATION ADMINISTRATION - UPRIIS, DIVISION 2</t>
  </si>
  <si>
    <t>PHILIPPINE GUARANTEE CORPORATION</t>
  </si>
  <si>
    <t>PHILIPPINE PORTS AUTHORITY - PMO SOUTH HARBOR</t>
  </si>
  <si>
    <t>MUNICIPALITY OF LAUA-AN, ANTIQUE</t>
  </si>
  <si>
    <t>MUNICIPALITY OF BUHI, CAMARINES SUR</t>
  </si>
  <si>
    <t>BARANGAY GAYA-GAYA, SAN JOSE DEL MONTE CITY</t>
  </si>
  <si>
    <t>BARANGAY CALAOA-AN, CANDON, ILOCOS SUR</t>
  </si>
  <si>
    <t>DIPOLOG CITY WATER DISTRICT</t>
  </si>
  <si>
    <t>NATIONAL IRRIGATION ADMINISTRATION - UPRIIS, DIVISION 3</t>
  </si>
  <si>
    <t>MUNICIPALITY OF MALITA, DAVAO OCCIDENTAL</t>
  </si>
  <si>
    <t>BUHANGIN CENTRAL ELEMENTARY SCHOOL</t>
  </si>
  <si>
    <t>BARANGAY NAGATTATAN, PAMPLONA, CAGAYAN</t>
  </si>
  <si>
    <t>BARANGAY ILAOR NORTE, OAS, ALBAY</t>
  </si>
  <si>
    <t>MUNICIPALITY OF MACO, COMPOSTELA VALLEY</t>
  </si>
  <si>
    <t>MUNICIPALITY OF BATAD, ILOILO</t>
  </si>
  <si>
    <t>CITY OF ZAMBOANGA, ZAMBOANGA DEL SUR</t>
  </si>
  <si>
    <t>AURORA STATE COLLEGE OF TECHNOLOGY</t>
  </si>
  <si>
    <t>BARANGAY GABI, UBAY, BOHOL</t>
  </si>
  <si>
    <t>DEPARTMENT OF FOREIGN AFFAIRS - MAIN</t>
  </si>
  <si>
    <t>DEL ROSARIO ELEMENTARY SCHOOL - PAMPANGA</t>
  </si>
  <si>
    <t>CITY OF PANABO, DAVAO DEL NORTE</t>
  </si>
  <si>
    <t>MUNICIPALITY OF KANANGA, LEYTE</t>
  </si>
  <si>
    <t>MUNICIPALITY OF DAGOHOY, BOHOL</t>
  </si>
  <si>
    <t>404TH CONTRACTING OFFICE, AFP PROCUREMENT SERVICE</t>
  </si>
  <si>
    <t>POLO NATIONAL HIGH SCHOOL VALENZUELA CITY</t>
  </si>
  <si>
    <t>MUNICIPALITY OF AMLAN, NEGROS ORIENTAL</t>
  </si>
  <si>
    <t>MUNICIPALITY  OF SAN JOSE, NEGROS ORIENTAL</t>
  </si>
  <si>
    <t>BARANGAY PALOLA, LUCBAN, QUEZON</t>
  </si>
  <si>
    <t>INDUSTRIAL TECHNOLOGY DEVELOPMENT INSTITIUTE</t>
  </si>
  <si>
    <t>PN BAC SECRETARIAT, AFP PROCUREMENT SERVICE</t>
  </si>
  <si>
    <t>MUNICIPALITY OF LABRADOR, PANGASINAN</t>
  </si>
  <si>
    <t>BARANGAY BANGKAL, COUNCIL</t>
  </si>
  <si>
    <t>BARANGAY OLD LABANGAN - LABANGAN ZAMBOANGA DEL SUR</t>
  </si>
  <si>
    <t>DEPARTMENT OF EDUCATION - DIVISION OF ZAMBOANGA SIBUGAY</t>
  </si>
  <si>
    <t>BARANGAY 29, PEMBO, MAKATI CITY</t>
  </si>
  <si>
    <t>PHILIPPINE HEALTH INSURANCE CORPORATION</t>
  </si>
  <si>
    <t>ALAMINOS CITY WATER DISTRICT</t>
  </si>
  <si>
    <t>MUNICIPALITY OF TIAONG, QUEZON</t>
  </si>
  <si>
    <t>BARANGAY MINTAL, DAVAO CITY</t>
  </si>
  <si>
    <t>MUNICIPALITY OF MANGALDAN, PANGASINAN</t>
  </si>
  <si>
    <t xml:space="preserve">DOÑA ASUNCION LEE INTEGRATED SCHOOL - SECONDARY - MABALACAT </t>
  </si>
  <si>
    <t>BUREAU OF INTERNAL REVENUE - INTRAMUROS BRANCH</t>
  </si>
  <si>
    <t>BARANGAY TUMPA, CAMALIG, ALBAY</t>
  </si>
  <si>
    <t>MUNICIPALITY OF PANDI, BULACAN</t>
  </si>
  <si>
    <t>MUNICIPALITY OF MAUBAN, QUEZON</t>
  </si>
  <si>
    <t>MUNICIPAL GOVERNMENT OF TIAONG, QUEZON</t>
  </si>
  <si>
    <t>DEPARTMENT OF PUBLIC WORKS AND HIGHWAYS - CAVITE II DISTRICT</t>
  </si>
  <si>
    <t>BARANGAY 21-C, DAVAO CITY</t>
  </si>
  <si>
    <t>MUNICIPALITY OF MARIBOJOC, BOHOL</t>
  </si>
  <si>
    <t>MUNICIPALITY OF ANDA, BOHOL</t>
  </si>
  <si>
    <t>BARANGAY MAGOGON, CAMALIG, ALBAY</t>
  </si>
  <si>
    <t>MUNICIPALITY OF SAN MIGUEL, CATANDUANES</t>
  </si>
  <si>
    <t>DEPARTMENT OF PUBLIC WORKS AND HIGHWAYS - SORSOGON 1ST DEO</t>
  </si>
  <si>
    <t>BARANGAY TICUD, LAPAZ, ILOILO CITY</t>
  </si>
  <si>
    <t>DENR-PENRO DAVAO DEL NORTE</t>
  </si>
  <si>
    <t>MALINAO SCHOOL FOR PHILIPPINE CRAFTSMEN</t>
  </si>
  <si>
    <t>MUNICIPALITY OF ALCALA, CAGAYAN</t>
  </si>
  <si>
    <t>DON MARIANO MARCOS MEMORIAL STATE UNIVERSITY - BACNOTAN</t>
  </si>
  <si>
    <t>LUIS HORA MEMORIAL REGIONAL HOSPITAL</t>
  </si>
  <si>
    <t>MUNICIPALITY OF ODIONGAN, ROMBLON</t>
  </si>
  <si>
    <t>NIEVES VILLARICA NATIONAL HIGH SCHOOL - ISLAND GARDEN CITY O</t>
  </si>
  <si>
    <t>MUNICIPALITY OF LAZI, SIQUIJOR</t>
  </si>
  <si>
    <t>MUNICIPALITY OF VILLASIS, PANGASINAN</t>
  </si>
  <si>
    <t>MUNICIPALITY OF PANTUKAN, COMPOSTELA VALLEY</t>
  </si>
  <si>
    <t>MUNICIPALITY OF SIBULAN, NEGROS ORIENTAL</t>
  </si>
  <si>
    <t>MUNICIPALITY OF JARO, LEYTE</t>
  </si>
  <si>
    <t>DASMARIÑAS NATIONAL HIGH SCHOOL</t>
  </si>
  <si>
    <t>BARANGAY SINACBAT, BAKUN, BENGUET</t>
  </si>
  <si>
    <t>MOUNTAIN PROVINCE STATE POLYTECHNIC COLLEGE</t>
  </si>
  <si>
    <t>BARANGAY CABANTIAN, DAVAO CITY</t>
  </si>
  <si>
    <t>DEPARTMENT OF EDUCATION - DIVISION OF TALISAY CITY</t>
  </si>
  <si>
    <t>MANAPLA ELEMENTARY SCHOOL -MANAPLA NEGROS OCCIDENTAL</t>
  </si>
  <si>
    <t>BARANGAY BALIWAGAN, BALAMBAN, CEBU</t>
  </si>
  <si>
    <t>ZSNHS-SENIOR HIGH SCHOOL (STAND ALONE)</t>
  </si>
  <si>
    <t>UNIVERSITY OF THE PHILIPPINES - BAGUIO</t>
  </si>
  <si>
    <t>MUNICIPALITY OF ALIMODIAN, ILOILO</t>
  </si>
  <si>
    <t>MUNICIPALITY OF NUNUNGAN, LANAO DEL NORTE</t>
  </si>
  <si>
    <t>DEPARTMENT OF AGRARIAN REFORM - ANTIQUE PROVINCIAL OFFICE</t>
  </si>
  <si>
    <t>LAGUNA WATER DISTRICT</t>
  </si>
  <si>
    <t>DEPARTMENT OF ENVIRONMENT AND NATURAL RESOURCES - RII, PENRO</t>
  </si>
  <si>
    <t>NATIONAL IRRIGATION ADMINISTRATION - MARIIS, DRD</t>
  </si>
  <si>
    <t>OFFICE OF THE SOLICITOR GENERAL</t>
  </si>
  <si>
    <t>PHILIPPINE AMUSEMENT AND GAMING CORPORATION - ANGELES</t>
  </si>
  <si>
    <t>PHILIPPINE CHARITY SWEEPSTAKES OFFICE - MANDALUYONG CITY</t>
  </si>
  <si>
    <t>MUNICIPALITY OF SAN MARIANO, ISABELA</t>
  </si>
  <si>
    <t>MUNICIPALITY OF CARCAR, CEBU</t>
  </si>
  <si>
    <t>PROVINCE OF AKLAN</t>
  </si>
  <si>
    <t>PAGADIAN WATER DISTRICT</t>
  </si>
  <si>
    <t>MUNICIPALITY OF SIPOCOT, CAMARINES SUR</t>
  </si>
  <si>
    <t>MUNICIPALITY OF IPIL, ZAMBOANGA SIBUGAY</t>
  </si>
  <si>
    <t>MUNICIPALITY OF GITAGUM , MISAMIS ORIENTAL</t>
  </si>
  <si>
    <t>MUNICIPALITY OF LINGIG, SURIGAO DEL SUR</t>
  </si>
  <si>
    <t>MUNICIPALITY OF LIBUNGAN, COTABATO</t>
  </si>
  <si>
    <t>MUNICIPALITY OF TINEG, ABRA</t>
  </si>
  <si>
    <t>ISABELA REHABILITATION CENTER</t>
  </si>
  <si>
    <t>PROVINCE OF AGUSAN DEL NORTE</t>
  </si>
  <si>
    <t>SCHISTOSOMIASIS CONTROL AND RESEARCH HOSPITAL</t>
  </si>
  <si>
    <t>DEPARTMENT OF PUBLIC WORKS AND HIGHWAYS - PAMPANGA 3RD DEO</t>
  </si>
  <si>
    <t>MUNICIPALITY OF SOLSONA, ILOCOS NORTE</t>
  </si>
  <si>
    <t>PHILIPPINE NORMAL UNIVERSITY</t>
  </si>
  <si>
    <t>DEPARTMENT OF PUBLIC WORKS AND HIGHWAYS - PANGASINAN 1ST DEO</t>
  </si>
  <si>
    <t>PROVINCE OF RIZAL</t>
  </si>
  <si>
    <t>BARANGAY ILAYANG TAYUMAN, SAN FRANCISCO, QUEZON</t>
  </si>
  <si>
    <t>PHILIPPINE HEALTH INSURANCE CORPORATION - REGION VIII</t>
  </si>
  <si>
    <t>MUNICIPALITY OF GLAN, SARANGANI PROVINCE</t>
  </si>
  <si>
    <t>COMMISSION ON POPULATION - REGION 10</t>
  </si>
  <si>
    <t>MUNICIPALITY OF BINMALEY, PANGASINAN</t>
  </si>
  <si>
    <t>MUNICIPALITY OF FLORA, APAYAO</t>
  </si>
  <si>
    <t>MUNICIPALITY OF SAN REMIGIO, CEBU</t>
  </si>
  <si>
    <t>LASAM INSTITUTE OF TECHNOLOGY</t>
  </si>
  <si>
    <t>DEPARTMENT OF BUDGET AND MANAGEMENT - NCR</t>
  </si>
  <si>
    <t>DEPARTMENT OF AGRICULTURE - REGION VIII</t>
  </si>
  <si>
    <t>CITY OF SAN JOSE DEL MONTE, BULACAN</t>
  </si>
  <si>
    <t>DEPARTMENT OF PUBLIC WORKS AND HIGHWAYS - REGION XII</t>
  </si>
  <si>
    <t>NATIONAL LIBRARY OF THE PHILIPPINES</t>
  </si>
  <si>
    <t>BARANGAY CONCEPCION PEQUEÑA, NAGA CITY</t>
  </si>
  <si>
    <t>CITY OF GENERAL TRIAS, CAVITE</t>
  </si>
  <si>
    <t>MUNICIPALITY OF KALILANGAN, BUKIDNON</t>
  </si>
  <si>
    <t>PHILIPPINE STATISTICS AUTHORITY - REGION VIII</t>
  </si>
  <si>
    <t>MUNICIPALITY OF LAUR, NUEVA ECIJA</t>
  </si>
  <si>
    <t>TIPAS NATIONAL HIGH SCHOOL</t>
  </si>
  <si>
    <t>MUNICIPALITY OF HINOBA-AN, NEGROS OCCIDENTAL</t>
  </si>
  <si>
    <t>MUNICIPALITY OF MONCADA, TARLAC</t>
  </si>
  <si>
    <t>DEPARTMENT OF ENVIRONMENT AND NATURAL RESOURCES - CAR</t>
  </si>
  <si>
    <t>ZAMBOANGA CITY MEDICAL CENTER</t>
  </si>
  <si>
    <t>CITY OF MALOLOS, BULACAN</t>
  </si>
  <si>
    <t>CITY OF BAYAWAN, NEGROS ORIENTAL</t>
  </si>
  <si>
    <t>MUNICIPALITY OF LEZO, AKLAN</t>
  </si>
  <si>
    <t>MUNICIPALITY OF POLILLO, QUEZON</t>
  </si>
  <si>
    <t>DEPARTMENT OF SOCIAL WELFARE AND DEVELOPMENT - NCR</t>
  </si>
  <si>
    <t>MUNICIPALITY OF POLOMOLOK, SOUTH COTABATO</t>
  </si>
  <si>
    <t>POLYTECHNIC UNIVERSITY OF THE PHILIPPINES</t>
  </si>
  <si>
    <t>DEPARTMENT OF ENVIRONMENT AND NATURAL RES. - PENRO, LEYTE</t>
  </si>
  <si>
    <t>BARANGAY POBLACION - SIBAGAT, AGUSAN DEL SUR</t>
  </si>
  <si>
    <t>BUREAU OF FISHERIES AND AQUATIC RESOURCES - REGION X</t>
  </si>
  <si>
    <t>APAYAO STATE COLLEGE</t>
  </si>
  <si>
    <t>BICOL STATE COLLEGE OF APPLIED SCIENCES AND TECHNOLOGY</t>
  </si>
  <si>
    <t>MUNICIPALITY OF LIBONA, BUKIDNON</t>
  </si>
  <si>
    <t>DEPARTMENT OF PUBLIC WORKS AND HIGHWAYS - REGION VI</t>
  </si>
  <si>
    <t>BARANGAY TOMADO - ALEOSAN COTABATO</t>
  </si>
  <si>
    <t>DEPT. OF HEALTH-TREATMENT AND REHAB CENTER-CAG. DE ORO</t>
  </si>
  <si>
    <t>MUNICIPALITY OF TALUSAN, ZAMBOANGA SIBUGAY</t>
  </si>
  <si>
    <t>MUNICIPALITY OF MALAY, AKLAN</t>
  </si>
  <si>
    <t>MUNICIPALITY OF LANUZA, SURIGAO DEL SUR</t>
  </si>
  <si>
    <t>DEPARTMENT OF THE INTERIOR AND LOCAL GOVERNMENT - ANTIQUE</t>
  </si>
  <si>
    <t>BARANGAY NEW VISAYAS, PANABO CITY, DAVAO DEL NORTE</t>
  </si>
  <si>
    <t>BARANGAY SAN PEDRO - TUNGAWAN ZAMBOANGA SIBUGAY</t>
  </si>
  <si>
    <t>MUNICIPALITY OF CONCEPCION, ILOILO</t>
  </si>
  <si>
    <t>MUNICIPALITY OF BALILIHAN, BOHOL</t>
  </si>
  <si>
    <t>BANGKO SENTRAL NG PILIPINAS - LUCENA</t>
  </si>
  <si>
    <t>BAHAY PARE NATIONAL HIGH SCHOOL</t>
  </si>
  <si>
    <t>DEPARTMENT OF EDUCATION - DIVISION OF MASBATE CITY</t>
  </si>
  <si>
    <t>MUNICIPALITY OF SANTA CRUZ, LAGUNA</t>
  </si>
  <si>
    <t>NATIONAL IRRIGATION ADMINISTRATION - MAGUINDANAO</t>
  </si>
  <si>
    <t>DEPARTMENT OF PUBLIC WORKS AND HIGHWAYS - ZAMBOANGA DEL NORT</t>
  </si>
  <si>
    <t>DEPARTMENT OF THE INTERIOR AND LOCAL GOVERNMENT - CALAMBA</t>
  </si>
  <si>
    <t>E. RODRIGUEZ VOCATIONAL HIGH SCHOOL</t>
  </si>
  <si>
    <t>DEPARTMENT OF PUBLIC WORKS AND HIGHWAYS - MISAMIS OCCIDENTAL</t>
  </si>
  <si>
    <t>PHILIPPINE SCIENCE HIGH SCHOOL - EASTERN VISAYAS CAMPUS</t>
  </si>
  <si>
    <t>NATIONAL IRRIGATION ADMINISTRATION - SKIMO</t>
  </si>
  <si>
    <t>PHILIPPINE INFORMATION AGENCY - REGION IX</t>
  </si>
  <si>
    <t>DEPARTMENT OF EDUCATION - DIVISION OF CITY SCHOOLS, DIGOS</t>
  </si>
  <si>
    <t>DON JESUS GONZALES HIGH SCHOOL</t>
  </si>
  <si>
    <t>SK OF BARANGAY  POBLACION - MAKATI CITY</t>
  </si>
  <si>
    <t>PHILIPPINE SCIENCE HIGH SCHOOL - CENTRAL LUZON CAMPUS</t>
  </si>
  <si>
    <t>CIVIL SERVICE COMMISSION - REGION VIII</t>
  </si>
  <si>
    <t>MARIVELES MENTAL WELLNESS AND GENERAL HOSPITAL</t>
  </si>
  <si>
    <t>MUNICIPALITY OF ROXAS, ORIENTAL MINDORO</t>
  </si>
  <si>
    <t>MUNICIPALITY OF BANTON, ROMBLON</t>
  </si>
  <si>
    <t>MUNICIPALITY OF PASUQUIN, ILOCOS NORTE</t>
  </si>
  <si>
    <t>MUNICIPALITY OF BACLAYON, BOHOL</t>
  </si>
  <si>
    <t>DEPARTMENT OF ENVIRONMENT AND NATURAL RESOURCES - PENRO NEGR</t>
  </si>
  <si>
    <t>DEPARTMENT OF ENVIRONMENT AND NATURAL RES. - PENRO TARLAC</t>
  </si>
  <si>
    <t>MUNICIPALITY OF NEW BATAAN, COMPOSTELA VALLEY</t>
  </si>
  <si>
    <t>DEPARTMENT OF PUBLIC WORKS AND HIGHWAYS - QUEZON CITY 1ST ED</t>
  </si>
  <si>
    <t>DEPARTMENT OF AGRARIAN REFORM - REGION V</t>
  </si>
  <si>
    <t>COOPERATIVE DEVELOPMENT AUTHORITY - MAIN</t>
  </si>
  <si>
    <t>BUREAU OF INTERNAL REVENUE - REVENUE REGION NO. 10</t>
  </si>
  <si>
    <t>DEPARTMENT OF PUBLIC WORKS AND HIGHWAYS - QUEZON CITY 2ND ED</t>
  </si>
  <si>
    <t>SOGOD WATER DISTRICT</t>
  </si>
  <si>
    <t>DEPARTMENT OF ENVIRONMENT AND NATURAL RESOURCES-10</t>
  </si>
  <si>
    <t>MUNICIPALITY OF TAAL, BATANGAS</t>
  </si>
  <si>
    <t>CITY OF BUTUAN, AGUSAN DEL NORTE</t>
  </si>
  <si>
    <t>MUNICIPALITY  OF BANATE, ILOILO</t>
  </si>
  <si>
    <t>DEPARTMENT OF PUBLIC WORKS AND HIGHWAYS - ILOCOS NORTE 2ND D</t>
  </si>
  <si>
    <t>TAGKAWAYAN WATER DISTRICT</t>
  </si>
  <si>
    <t>MUNICIPALITY OF URBIZTONDO, PANGASINAN</t>
  </si>
  <si>
    <t>CABUYAO WATER DISTRICT</t>
  </si>
  <si>
    <t>DEPARTMENT OF EDUCATION - DIVISION OF CALBAYOG CITY</t>
  </si>
  <si>
    <t>DEPARTMENT OF EDUCATION - DIVISION OF CAGAYAN</t>
  </si>
  <si>
    <t>MUNICIPALITY OF ROXAS, PALAWAN</t>
  </si>
  <si>
    <t>DEPARTMENT OF EDUCATION - DIVISION OF CAMIGUIN</t>
  </si>
  <si>
    <t>MASBATE-MOBO WATER DISTRICT</t>
  </si>
  <si>
    <t>PROVINCE OF KALINGA</t>
  </si>
  <si>
    <t>MUNICIPALITY OF CATANAUAN, QUEZON</t>
  </si>
  <si>
    <t>DEPARTMENT OF PUBLIC WORKS AND HIGHWAYS - SOUTHERN LEYTE DEO</t>
  </si>
  <si>
    <t>TONDO MEDICAL CENTER</t>
  </si>
  <si>
    <t>MUNICIPALITY OF MAJAYJAY, LAGUNA</t>
  </si>
  <si>
    <t>DEPARTMENT OF EDUCATION - DIVISION OF CALAMBA CITY</t>
  </si>
  <si>
    <t>PRESIDENTIAL MANAGEMENT STAFF</t>
  </si>
  <si>
    <t>NATIONAL KIDNEY AND TRANSPLANT INSTITUTE</t>
  </si>
  <si>
    <t>BARANGAY DUYOG, LA PAZ, LEYTE</t>
  </si>
  <si>
    <t>MUNICIPALITY OF BINANGONAN, RIZAL</t>
  </si>
  <si>
    <t>AGRICULTURAL TRAINING INSTITUTE - REGION XI</t>
  </si>
  <si>
    <t>MUNICIPALITY OF BUNAWAN, AGUSAN DEL SUR</t>
  </si>
  <si>
    <t>PLACER WATER DISTRICT</t>
  </si>
  <si>
    <t>BARANGAY NAMABBALAN NORTE - TUGUEGARAO CITY CAGAYAN</t>
  </si>
  <si>
    <t>MUNICIPALITY OF SIBUNAG, GUIMARAS</t>
  </si>
  <si>
    <t>BARANGAY DAL-LIPAOEN, NAGUILIAN, LA UNION</t>
  </si>
  <si>
    <t>CIVIL AVIATION AUTHORITY OF THE PHILIPPINES - AREA VIII</t>
  </si>
  <si>
    <t>BARANGAY CABALAOANGAN, SAN QUINTIN, PANGASINAN</t>
  </si>
  <si>
    <t>BARANGAY MALATIVAS - PANABO CITY</t>
  </si>
  <si>
    <t>MUNICIPALITY OF ALAMINOS, LAGUNA</t>
  </si>
  <si>
    <t>MUNICIPALITY OF BALER, AURORA</t>
  </si>
  <si>
    <t>PHILIPPINE STATISTICS AUTHORITY - REGION XIII</t>
  </si>
  <si>
    <t>BARANGAY MARIA FE, ORANI, BATAAN</t>
  </si>
  <si>
    <t>UNIVERSITY OF EASTERN PHILIPPINES</t>
  </si>
  <si>
    <t>PROVINCIAL GOVERNMENT OF CAMARINES NORTE</t>
  </si>
  <si>
    <t>NATIONAL POLICE COMMISSION</t>
  </si>
  <si>
    <t>DEPARTMENT OF AGRARIAN REFORM - ALBAY PROVINCIAL OFFICE</t>
  </si>
  <si>
    <t>MUNICIPALITY OF KALIBO, AKLAN</t>
  </si>
  <si>
    <t>MUNICIPALITY OF LA LIBERTAD, NEGROS ORIENTAL</t>
  </si>
  <si>
    <t>MUNICIPALITY OF CABANGLASAN, BUKIDNON</t>
  </si>
  <si>
    <t xml:space="preserve">DEPARTMENT OF PUBLIC WORKS AND HIGHWAYS - CAMARINES SUR 2ND </t>
  </si>
  <si>
    <t>BUSTOS WATER DISTRICT</t>
  </si>
  <si>
    <t>NATIONAL IRRIGATION ADMINISTRATION - CBIMO</t>
  </si>
  <si>
    <t>JUVENILE JUSTICE AND WELFARE COUNCIL</t>
  </si>
  <si>
    <t>DEPARTMENT OF  EDUCATION - DIVISION OF VIGAN CITY</t>
  </si>
  <si>
    <t>BARANGAY WAWA I ROSARIO CAVITE</t>
  </si>
  <si>
    <t>MUNICIPALITY OF SAN LORENZO RUIZ, CAMARINES NORTE</t>
  </si>
  <si>
    <t>MUNICIPALITY OF SEVILLA, BOHOL</t>
  </si>
  <si>
    <t>DEPARTMENT OF EDUCATION - DIVISION OF ILOCOS NORTE</t>
  </si>
  <si>
    <t>ISABELA STATE UNIVERSITY - ECHAGUE</t>
  </si>
  <si>
    <t>BARANGAY POBLACION - PATNONGON, ANTIQUE</t>
  </si>
  <si>
    <t>MUNICIPALITY OF LEGANES, ILOILO</t>
  </si>
  <si>
    <t>CORAZON LOCSIN MONTELIBANO MEMORIAL REGIONAL HOSPITAL-DOH R6</t>
  </si>
  <si>
    <t>BARANGAY BONUAN GUESET, DAGUPAN CITY</t>
  </si>
  <si>
    <t>MUNICIPALITY OF LA PAZ, ABRA</t>
  </si>
  <si>
    <t>PHILIPPINE HEALTH INSURANCE CORPORATION - REGION - IV A</t>
  </si>
  <si>
    <t>VISAYAS STATE UNIVERSITY - MAIN CAMPUS</t>
  </si>
  <si>
    <t>EULOGIO "AMANG" RODRIGUEZ INSTITUTE OF SCIENCE AND TECH.</t>
  </si>
  <si>
    <t>PHILIPPINE STATISTICS AUTHORITY-ILOCOS SUR</t>
  </si>
  <si>
    <t>BARANGAY SAMAY, RAGAY, CAMARINES SUR</t>
  </si>
  <si>
    <t>MUNICIPALITY OF SAN FERNANDO, BUKIDNON</t>
  </si>
  <si>
    <t>ENVIRONMENTAL MANAGEMENT BUREAU - CARAGA</t>
  </si>
  <si>
    <t>DEPARTMENT OF PUBLIC WORKS AND HIGHWAYS - PANGASINAN IV DEO</t>
  </si>
  <si>
    <t>BARANGAY LIGA IBAAN BATANGAS</t>
  </si>
  <si>
    <t>LAGUNA STATE POLYTECHNIC UNIVERSITY - SINILOAN CAMPUS</t>
  </si>
  <si>
    <t>PHILIPPINE COCONUT AUTHORITY - CARAGA</t>
  </si>
  <si>
    <t>MUNICIPALITY OF BALBALAN, KALINGA</t>
  </si>
  <si>
    <t>PHILIPPINE ECONOMIC ZONE AUTHORITY</t>
  </si>
  <si>
    <t>DEPARTMENT OF EDUCATION - DIVISION OF LIGAO CITY</t>
  </si>
  <si>
    <t>BARANGAY ORAS, TABACO CITY</t>
  </si>
  <si>
    <t>MUNICIPALITY OF TABANGO, LEYTE</t>
  </si>
  <si>
    <t>MUNICIPALITY OF SIERRA BULLONES, BOHOL</t>
  </si>
  <si>
    <t>MUNICIPALITY OF RAPU-RAPU, ALBAY</t>
  </si>
  <si>
    <t>MUNICIPALITY OF LAUREL, BATANGAS</t>
  </si>
  <si>
    <t>BARANGAY CARIDAD IBABA, ATIMONAN, QUEZON</t>
  </si>
  <si>
    <t>PHILIPPINE FIBER INDUSTRY DEVELOPMENT AUTHORITY</t>
  </si>
  <si>
    <t>MUNICIPALITY OF TUBOD, LANAO DEL NORTE</t>
  </si>
  <si>
    <t>MUNICIPALITY OF STA. ROSA, NUEVA ECIJA</t>
  </si>
  <si>
    <t>MUNICIPALITY OF STA. ANA, PAMPANGA</t>
  </si>
  <si>
    <t>MUNICIPALITY OF BILIRAN, BILIRAN</t>
  </si>
  <si>
    <t>CITY  OF DANAO, CEBU</t>
  </si>
  <si>
    <t>DEPARTMENT OF BUDGET AND MANAGEMENT - REGIONAL OFFICE XI</t>
  </si>
  <si>
    <t>DEPARTMENT OF EDUCATION - DIVISION OF DAVAO CITY</t>
  </si>
  <si>
    <t>LAGUNA STATE POLYTECHNIC UNIVERSITY - STA. CRUZ CAMPUS</t>
  </si>
  <si>
    <t>MUNICIPALITY OF LILOAN, SOUTHERN LEYTE</t>
  </si>
  <si>
    <t>DEPARTMENT OF PUBLIC WORKS AND HIGHWAYS - BOHOL 3RD DEO</t>
  </si>
  <si>
    <t>BARANGAY SIBAY, BANTON ROMBLON</t>
  </si>
  <si>
    <t>MUNICIPALITY OF BURGOS, PANGASINAN</t>
  </si>
  <si>
    <t>MUNICIPALITY OF KIBLAWAN, DAVAO DEL SUR</t>
  </si>
  <si>
    <t>AGRICULTURAL TRAINING INSTITUTE - REGION III</t>
  </si>
  <si>
    <t>CLARK DEVELOPMENT CORPORATION</t>
  </si>
  <si>
    <t>MISAMIS ORIENTAL GENERAL COMPREHENSIVE HIGH SCHOOL</t>
  </si>
  <si>
    <t>BARANGAY ALASASIN, MARIVELES, BATAAN</t>
  </si>
  <si>
    <t>MUNICIPALITY OF MIAG-AO, ILOILO</t>
  </si>
  <si>
    <t>BIDS AND AWARDS COMMITTEE - MUNICIPALITY OF CALATRAVA</t>
  </si>
  <si>
    <t>TAGUM NATIONAL TRADE SCHOOL</t>
  </si>
  <si>
    <t>DEPARTMENT OF SCIENCE AND TECHNOLOGY - REGION IX</t>
  </si>
  <si>
    <t>DEPARTMENT OF ENVIRONMENT AND NATURAL RESOURCES - REGION IX</t>
  </si>
  <si>
    <t>MUNICIPALITY OF AROROY, MASBATE</t>
  </si>
  <si>
    <t>MUNICIPALITY OF MERCEDES, EASTERN SAMAR</t>
  </si>
  <si>
    <t>GOV. BADO DANGWA AGRO-INDUSTRIAL SCHOOL</t>
  </si>
  <si>
    <t>DEPARTMENT OF EDUCATION - DIVISION OF CEBU PROVINCE</t>
  </si>
  <si>
    <t>PHILIPPINE STATISTICS AUTHORITY - REGION VII</t>
  </si>
  <si>
    <t>DEPARTMENT OF EDUCATION - DIVISION OF NORTHERN SAMAR</t>
  </si>
  <si>
    <t>CAVITE STATE UNIVERSITY</t>
  </si>
  <si>
    <t>MINES AND GEOSCIENCES BUREAU - REGION I</t>
  </si>
  <si>
    <t>MUNICIPALITY  OF KABAYAN, BENGUET</t>
  </si>
  <si>
    <t>NATIONAL FOOD AUTHORITY - REGION XI</t>
  </si>
  <si>
    <t>BARANGAY POCTOY, TORRIJOS, MARINDUQUE</t>
  </si>
  <si>
    <t>BOTILAO ELEMENTARY SCHOOL</t>
  </si>
  <si>
    <t>MUNICIPALITY OF AGUTAYA, PALAWAN</t>
  </si>
  <si>
    <t>UNIVERSITY OF THE PHILIPPINES - CEBU</t>
  </si>
  <si>
    <t>BOARD OF INVESTMENTS - MAKATI CITY METRO MANILA</t>
  </si>
  <si>
    <t>SOUTHERN ISABELA MEDICAL CENTER</t>
  </si>
  <si>
    <t>MUNICIPALITY OF SILANG , CAVITE</t>
  </si>
  <si>
    <t>MUNICIPALITY OF BANTAYAN, CEBU</t>
  </si>
  <si>
    <t>LA CASTELLANA NATIONAL HIGH SCHOOL (JUNIOR HIGH SCHOOL)</t>
  </si>
  <si>
    <t>BUREAU OF JAIL MANAGEMENT AND PENOLOGY - NHQ</t>
  </si>
  <si>
    <t>MUNICIPALITY OF MARIVELES, BATAAN</t>
  </si>
  <si>
    <t>DEPARTMENT OF AGRARIAN REFORM -STA. MARIA DAVAO OCCIDENTAL</t>
  </si>
  <si>
    <t>DEPARTMENT OF ENVIRONMENT AND NATURAL RESOURCES - N.ECIJA</t>
  </si>
  <si>
    <t>BUREAU OF CUSTOMS - SURIGAO CITY</t>
  </si>
  <si>
    <t>CIVIL AVIATION AUTHORITY OF THE PHILIPPINES</t>
  </si>
  <si>
    <t>CIVIL SERVICE COMMISSION - ARMM</t>
  </si>
  <si>
    <t>MAGSAYSAY ELEMENTARY SCHOOL</t>
  </si>
  <si>
    <t>MINES AND GEOSCIENCES BUREAU - MIMAROPA REGION</t>
  </si>
  <si>
    <t>BENIGNO "NINOY" AQUINO HIGH SCHOOL</t>
  </si>
  <si>
    <t xml:space="preserve">DEPARTMENT OF AGRARIAN REFORM - NEGROS OCCIDENTAL 1 </t>
  </si>
  <si>
    <t>MUNICIPALITY OF STO. NIÑO, SOUTH COTABATO</t>
  </si>
  <si>
    <t>BARANGAY ZONE IV POBLACION, ATIMONAN, QUEZON</t>
  </si>
  <si>
    <t>NATIONAL IRRIGATION ADMINISTRATION - REGION IV-B</t>
  </si>
  <si>
    <t>MUNICIPALITY OF ABULUG, CAGAYAN</t>
  </si>
  <si>
    <t>PROVINCE OF ROMBLON</t>
  </si>
  <si>
    <t>GEN. PIO DEL PILAR NATIONAL HIGH SCHOOL</t>
  </si>
  <si>
    <t>CITY OF VALENZUELA</t>
  </si>
  <si>
    <t>NATIONAL IRRIGATION ADMINISTRATION - APAYAO</t>
  </si>
  <si>
    <t>DEPARTMENT OF EDUCATION - DIVISION OF KIDAPAWAN CITY</t>
  </si>
  <si>
    <t>DEPARTMENT OF PUBLIC WORKS AND HIGHWAYS - AGUSAN DEL SUR 2ND</t>
  </si>
  <si>
    <t>DEPARTMENT OF AGRARIAN REFORM - REGION X</t>
  </si>
  <si>
    <t>DOÑA AURORA NATIONAL HIGH SCHOOL</t>
  </si>
  <si>
    <t>MUNICIPALITY OF BURAUEN, LEYTE</t>
  </si>
  <si>
    <t>ZAMBOANGA CITY STATE POLYTECHNIC COLLEGE</t>
  </si>
  <si>
    <t>MUNICIPALITY OF SINILOAN. LAGUNA</t>
  </si>
  <si>
    <t>DEPARTMENT OF EDUCATION - DIVISION OF DINAGAT ISLANDS</t>
  </si>
  <si>
    <t>PROVINCE OF ZAMBOANGA SIBUGAY</t>
  </si>
  <si>
    <t>DEPARTMENT OF EDUCATION - REGION VI</t>
  </si>
  <si>
    <t>BUNGGO ELEMENTARY SCHOOL</t>
  </si>
  <si>
    <t>MUNICIPALITY OF AMULUNG, CAGAYAN</t>
  </si>
  <si>
    <t>DEPARTMENT OF ENVIRONMENT AND NATURAL RES. - PENRO CAVITE</t>
  </si>
  <si>
    <t>NATIONAL TELECOMMUNICATIONS COMMISSION - REGION XI</t>
  </si>
  <si>
    <t>PROFESSIONAL REGULATION COMMISSION</t>
  </si>
  <si>
    <t>BARANGAY SINAWILAN, MATANAO, DAVAO DEL SUR</t>
  </si>
  <si>
    <t>DEPARTMENT OF PUBLIC WORKS AND HIGHWAYS - NORTH MANILA DEO</t>
  </si>
  <si>
    <t>MUNICIPALITY OF ESPERANZA, MASBATE</t>
  </si>
  <si>
    <t>MUNICIPALITY OF ROSARIO, CAVITE</t>
  </si>
  <si>
    <t>NATIONAL FOOD AUTHORITY - ROMBLON</t>
  </si>
  <si>
    <t>DEPARTMENT OF EDUCATION - DIVISION OF PANABO CITY</t>
  </si>
  <si>
    <t>BARANGAY VILLA HIWASAYAN - GUINAYANGAN QUEZON</t>
  </si>
  <si>
    <t>MUNICIPALITY OF BONIFACIO, MISAMIS OCCIDENTAL</t>
  </si>
  <si>
    <t>BARANGAY SAN CRISTOBAL, SAN PABLO, LAGUNA</t>
  </si>
  <si>
    <t>NATIONAL IRRIGATION ADMINISTRATION - IMO AGUSAN DEL SUR</t>
  </si>
  <si>
    <t>MUNICIPALITY OF TULUNAN, NORTH COTABATO</t>
  </si>
  <si>
    <t>JOSE B. LINGAD MEMORIAL GENERAL HOSPITAL</t>
  </si>
  <si>
    <t>BARANGAY CAPULUAN CENTRAL</t>
  </si>
  <si>
    <t>ADELA SERRA TY MEMORIAL MEDICAL CENTER</t>
  </si>
  <si>
    <t>FILM DEVELOPMENT COUNCIL OF THE PHILIPPINES</t>
  </si>
  <si>
    <t>MUNICIPALITY OF SAN MANUEL, TARLAC</t>
  </si>
  <si>
    <t>DEPARTMENT OF EDUCATION - DIVISION OF PAGADIAN CITY</t>
  </si>
  <si>
    <t>BARANGAY TALIPAN, PAGBILAO, QUEZON</t>
  </si>
  <si>
    <t>TECHNOLOGICAL UNIVERSITY OF THE PHILIPPINES - MANILA CAMPUS</t>
  </si>
  <si>
    <t>NATIONAL FOOD AUTHORITY - MAIN</t>
  </si>
  <si>
    <t>BARANGAY CABONG SUR, GUINAYANGAN, QUEZON</t>
  </si>
  <si>
    <t>DEPARTMENT OF PUBLIC WORKS AND HIGHWAYS - ILOCOS NORTE 1ST D</t>
  </si>
  <si>
    <t>MUNICIPALITY OF ARACELI, PALAWAN</t>
  </si>
  <si>
    <t>BATA ELEMENTARY SCHOOL 1 - BACOLOD CITY NEGROS OCCIDENTAL</t>
  </si>
  <si>
    <t>DEPARTMENT OF EDUCATION - DIVISION OF BAGUIO CITY</t>
  </si>
  <si>
    <t>MUNICIPALITY OF SAN JOSE, OCCIDENTAL MINDORO</t>
  </si>
  <si>
    <t>MUNICIPALITY OF MOBO, MASBATE</t>
  </si>
  <si>
    <t>GMA WATER DISTRICT</t>
  </si>
  <si>
    <t>DEPARTMENT OF AGRARIAN REFORM - ZAMBOANGA DEL SUR PO</t>
  </si>
  <si>
    <t>BARANGAY 5 - MAMBURAO OCCIDENTAL MINDORO</t>
  </si>
  <si>
    <t>BARANGAY SAN LORENZO - GUINAYANGAN QUEZON</t>
  </si>
  <si>
    <t>MUNICIPALITY OF BURUANGA, AKLAN</t>
  </si>
  <si>
    <t>FOREST MANAGEMENT BUREAU ,DENR</t>
  </si>
  <si>
    <t>DEPARTMENT OF TRADE AND INDUSTRY - MAIN</t>
  </si>
  <si>
    <t>BARANGAY 601, ZONE 59, DISTRICT VI, MANILA</t>
  </si>
  <si>
    <t>BARANGAY EASTERN, HILONGOS, LEYTE</t>
  </si>
  <si>
    <t>BICOL UNIVERSITY</t>
  </si>
  <si>
    <t>ALIMATOC ELEMENTARY SCHOOL</t>
  </si>
  <si>
    <t>DEPARTMENT OF TRANSPORTATION (DOTR) MAIN</t>
  </si>
  <si>
    <t>PNP ANTI-CYBERCRIME GROUP</t>
  </si>
  <si>
    <t>HEADQUARTERS COAST GUARD DISTRICT SOUTHERN VISAYAS</t>
  </si>
  <si>
    <t>CITY OF PUERTO PRINCESA, PALAWAN</t>
  </si>
  <si>
    <t>TIGLAWIGAN NATIONAL HIGH SCHOOL SENIOR HIGH SCHOOL</t>
  </si>
  <si>
    <t>NATIONAL IRRIGATION ADMINISTRATION - BBMP</t>
  </si>
  <si>
    <t>PROVINCE OF NUEVA ECIJA</t>
  </si>
  <si>
    <t>DEPARTMENT OF PUBLIC WORKS AND HIGHWAYS - REGION V</t>
  </si>
  <si>
    <t>MUNICIPALITY OF MANKAYAN, BENGUET</t>
  </si>
  <si>
    <t>DEPARTMENT OF PUBLIC WORKS AND HIGHWAYS - SURIGAO DEL SUR 1S</t>
  </si>
  <si>
    <t>COMMISSION ON HUMAN RIGHTS</t>
  </si>
  <si>
    <t>MUNICIPALITY OF SAN NARCISO, QUEZON</t>
  </si>
  <si>
    <t>DEPARTMENT OF PUBLIC WORKS AND HIGHWAYS - REGION I</t>
  </si>
  <si>
    <t>BARANGAY PAYAO, CATBALOGAN CITY</t>
  </si>
  <si>
    <t>ANGAT WATER DISTRICT</t>
  </si>
  <si>
    <t>TESDA - CABUCGAYAN NATIONAL SCHOOL OF ARTS AND TRADES</t>
  </si>
  <si>
    <t>BARANGAY POBLACION SOUTH EAST ZONE - LEMERY, ILOILO</t>
  </si>
  <si>
    <t>BAGONG SILANG ELEMENTARY SCHOOL</t>
  </si>
  <si>
    <t>BARANGAY CITY HEIGHTS, GENERAL SANTOS CITY, SOUTH COTABATO</t>
  </si>
  <si>
    <t>DEPARTMENT OF TRADE &amp; INDUSTRY - REGION IX</t>
  </si>
  <si>
    <t>DEPARTMENT OF AGRARIAN REFORM - REGION III PAMPANGA</t>
  </si>
  <si>
    <t>BARANGAY STA. CRUZ,SAN PABLO CITY</t>
  </si>
  <si>
    <t>MUNICIPALITY OF LAWAAN, EASTERN SAMAR</t>
  </si>
  <si>
    <t>BARANGAY LUNETA, GAMAY, NORTHERN SAMAR</t>
  </si>
  <si>
    <t>BARANGAY DUNGAWAN PANTAY - GUINAYANGAN QUEZON</t>
  </si>
  <si>
    <t>BARANGAY 494 ZONE 49 DISTRICT IV, MANILA</t>
  </si>
  <si>
    <t>GENERAL HEADQUARTERS BAC 3, AFP PROCUREMENT SERVICE</t>
  </si>
  <si>
    <t>SUM-AG NATIONAL HIGH SCHOOL</t>
  </si>
  <si>
    <t>DEPARTMENT OF PUBLIC WORKS AND HIGHWAYS - BACOLOD CITY DEO</t>
  </si>
  <si>
    <t>USUSAN ELEMENTARY SCHOOL</t>
  </si>
  <si>
    <t>NATIONAL FOOD AUTHORITY - PALAWAN PROVINCIAL OFFICE</t>
  </si>
  <si>
    <t>BARANGAY POBLACION 2 - CAMALIG ALBAY</t>
  </si>
  <si>
    <t>DINALUPIHAN ELEMENTARY SCHOOL</t>
  </si>
  <si>
    <t>MUNICIPALITY OF LAOANG, NORTHERN SAMAR</t>
  </si>
  <si>
    <t>BARANGAY LIGTONG IV ROSARIO CAVITE</t>
  </si>
  <si>
    <t>DEPARTMENT OF ENVIRONMENT AND NATURAL RES. - PENRO E. SAMAR</t>
  </si>
  <si>
    <t>BARANGAY 666 ZONE 72 DISTRICT V, MANILA</t>
  </si>
  <si>
    <t>BARANGAY UPPER PANGI, IPIL, ZAMBOANGA SIBUGAY</t>
  </si>
  <si>
    <t>CITY OF TACURONG, SULTAN KUDARAT</t>
  </si>
  <si>
    <t xml:space="preserve">BUREAU OF PLANT INDUSTRY-DAVAO </t>
  </si>
  <si>
    <t>BARANGAY SAN DIONISIO 1, MADDELA, QUIRINO</t>
  </si>
  <si>
    <t>BARANGAY LUSOD, MADDELA, QUIRINO</t>
  </si>
  <si>
    <t>DEPARTMENT OF PUBLIC WORKS AND HIGHWAYS - REGION X</t>
  </si>
  <si>
    <t>DEPARTMENT OF EDUCATION - DIVISION OF MALABON</t>
  </si>
  <si>
    <t>GOODWILL ELEMENTARY SCHOOL</t>
  </si>
  <si>
    <t>DEPARTMENT OF EDUCATION - DIVISION OF LEGAZPI CITY</t>
  </si>
  <si>
    <t>BARANGAY BATAAN - SAMPALOC QUEZON</t>
  </si>
  <si>
    <t>DEPARTMENT OF EDUCATION - DIVISION OF BOHOL</t>
  </si>
  <si>
    <t>MUNICIPALITY OF TABOGON, CEBU</t>
  </si>
  <si>
    <t>MUNICIPALITY OF JIABONG, SAMAR</t>
  </si>
  <si>
    <t>CITY OF TANGUB</t>
  </si>
  <si>
    <t>DAGUPAN CITY WATER DISTRICT</t>
  </si>
  <si>
    <t>PHILIPPINE RICE RESEARCH INSTITUTE</t>
  </si>
  <si>
    <t>DEPARTMENT OF PUBLIC WORKS AND HIGHWAYS - NEG. OCC. 1ST DEO</t>
  </si>
  <si>
    <t>MARITIME INDUSTRY AUTHORITY - REGION V</t>
  </si>
  <si>
    <t>MUNICIPALITY OF DIMIAO, BOHOL</t>
  </si>
  <si>
    <t>PROVINCE OF DAVAO DEL SUR</t>
  </si>
  <si>
    <t>BARANGAY SAPANG, STA. BARBARA, PANGASINAN</t>
  </si>
  <si>
    <t>PHILIPPINE HEALTH INSURANCE CORPORATION - REGION II</t>
  </si>
  <si>
    <t>MUNICIPALITY OF STA. PRAXEDES, CAGAYAN</t>
  </si>
  <si>
    <t>MUNICIPALITY OF BINDOY, NEGROS ORIENTAL</t>
  </si>
  <si>
    <t>MUNICIPALITY OF NARRA, PALAWAN</t>
  </si>
  <si>
    <t>CENTER FOR HEALTH DEVELOPMENT - REGION III</t>
  </si>
  <si>
    <t>BARANGAY BAGUMBUHAY, QUEZON CITY</t>
  </si>
  <si>
    <t>TESDA REGIONAL TRAINING CENTER - DAVAO</t>
  </si>
  <si>
    <t>LANDBANK OF THE PHILIPPINES - CABANATUAN CITY</t>
  </si>
  <si>
    <t>DEPARTMENT OF PUBLIC WORKS AND HIGHWAYS - NEGROS ORIENTAL 3R</t>
  </si>
  <si>
    <t>BARANGAY ARADO, PALO, LEYTE</t>
  </si>
  <si>
    <t>CARMEN NATIONAL HIGH SCHOOL</t>
  </si>
  <si>
    <t>MUNICIPALITY OF PAGUDPUD, ILOCOS NORTE</t>
  </si>
  <si>
    <t>BARANGAY MAUYLAB, BONTOC SOUTHERN LEYTE</t>
  </si>
  <si>
    <t>BARANGAY SYNDICATE, AROROY, MASBATE</t>
  </si>
  <si>
    <t>SINUDA CENTRAL ELEMENTARY SCHOOL</t>
  </si>
  <si>
    <t>PHILIPPINE HEALTH INSURANCE CORPORATION - REGION VI</t>
  </si>
  <si>
    <t>STA. MARIA WATER DISTRICT</t>
  </si>
  <si>
    <t>PHILIPPINE NATIONAL POLICE</t>
  </si>
  <si>
    <t>114TH CONTRACTING OFFICE FOR INFRASTRUCTURE, AFPPS</t>
  </si>
  <si>
    <t>CENTRAL MINDANAO UNIVERSITY</t>
  </si>
  <si>
    <t>BARANGAY CANUBING I, CALAPAN, ORIENTAL MINDORO</t>
  </si>
  <si>
    <t>BAYABAS ELEMENTARY SCHOOL - CABADBARAN CITY AGUSAN DEL NORTE</t>
  </si>
  <si>
    <t>BARANGAY BISOCOL, ALAMINOS, PANGASINAN</t>
  </si>
  <si>
    <t>HOME DEVELOPMENT MUTUAL FUND - CALAMBA BRANCH</t>
  </si>
  <si>
    <t>BARANGAY BIT-OS, BUTUAN CITY</t>
  </si>
  <si>
    <t>CESAREO VILLA ABRILLE ELEM. SCHOOL</t>
  </si>
  <si>
    <t>DON JULIAN RODRIGUEZ SR. ELEMENTARY SCHOOL</t>
  </si>
  <si>
    <t>BARANGAY MALOLOY-ON, MOLAVE, ZAMBOANGA DEL SUR</t>
  </si>
  <si>
    <t>DEPARTMENT OF EDUCATION - DIVISION OF CAMARINES SUR</t>
  </si>
  <si>
    <t>MUNICIPALITY OF CALAUAG, QUEZON</t>
  </si>
  <si>
    <t>CITY OF TAGUM, DAVAO DEL NORTE</t>
  </si>
  <si>
    <t>MUNICIPALITY OF BASAY, NEGROS ORIENTAL</t>
  </si>
  <si>
    <t>MUNICIPALITY OF ALANGALANG, LEYTE</t>
  </si>
  <si>
    <t>MUNICIPALITY OF DINAS, ZAMBOANGA DEL SUR</t>
  </si>
  <si>
    <t>ENVIRONMENTAL MANAGEMENT BUREAU-REGION XII</t>
  </si>
  <si>
    <t>MUNICIPALITY OF MABINI, BATANGAS</t>
  </si>
  <si>
    <t>BARANGAY FRANCISCO HOMES GUIJO, SAN JOSE DEL MONTE CITY, BUL</t>
  </si>
  <si>
    <t>MUNICIPALITY OF INITAO, MISAMIS ORIENTAL</t>
  </si>
  <si>
    <t>PHILIPPINE NATIONAL RAILWAYS</t>
  </si>
  <si>
    <t>NATIONAL DEFENSE COLLEGE OF THE PHILIPPINES, DND</t>
  </si>
  <si>
    <t>SUPREME COURT OF THE PHILIPPINES</t>
  </si>
  <si>
    <t>LOCAL GOVERNMENT UNIT OF OTON, ILOILO</t>
  </si>
  <si>
    <t>DEPARTMENT OF AGRARIAN REFORM - REGION VI</t>
  </si>
  <si>
    <t>LANDBANK OF THE PHILIPPINES - REGION VI</t>
  </si>
  <si>
    <t>402ND CONTRACTING OFFICE, AFP PROCUREMENT SERVICE</t>
  </si>
  <si>
    <t>BALINGASAG WATER DISTRICT</t>
  </si>
  <si>
    <t>BARANGAY CABONG - BUENAVISTA QUEZON</t>
  </si>
  <si>
    <t xml:space="preserve">TECHNICAL EDUCATION &amp; SKILLS DEVELOPMENT AUTHORITY - NEGROS </t>
  </si>
  <si>
    <t>MUNICIPALITY OF LIBMANAN, CAMARINES SUR</t>
  </si>
  <si>
    <t>NATIONAL CENTER FOR MENTAL HEALTH</t>
  </si>
  <si>
    <t>MUNICIPALITY OF RIZAL,PALAWAN</t>
  </si>
  <si>
    <t>BAGUIO WATER DISTRICT - BAGUIO CITY</t>
  </si>
  <si>
    <t>DON MARIANO MARCOS MEMORIAL STATE UNIVERSITY - MID LA UNION</t>
  </si>
  <si>
    <t>DEPARTMENT OF EDUCATION - NCR</t>
  </si>
  <si>
    <t>PHIL. ATMOSPHERIC GEOPHYSICAL &amp; ASTRONOMICAL SERVICES ADM.</t>
  </si>
  <si>
    <t>PROVINCE OF COMPOSTELA VALLEY</t>
  </si>
  <si>
    <t>BARANGAY LANANG, AROROY, MASBATE</t>
  </si>
  <si>
    <t>BARANGAY BULILIS, UBAY, BOHOL</t>
  </si>
  <si>
    <t>MUNICIPALITY OF BONGABON - NUEVA ECIJA</t>
  </si>
  <si>
    <t>DEPARTMENT OF EDUCATION - DIVISION OF COMPOSTELA VALLEY</t>
  </si>
  <si>
    <t>MUNICIPALITY OF CALAPE, BOHOL</t>
  </si>
  <si>
    <t>DEPARTMENT OF PUBLIC WORKS AND HIGHWAYS - ALBAY 1ST DEO</t>
  </si>
  <si>
    <t>BARANGAY ANINIAW, LA LIBERTAD, NEGROS OCCIDENTAL</t>
  </si>
  <si>
    <t>MARIANO MARCOS MEMORIAL HOSPITAL AND MEDICAL CENTER</t>
  </si>
  <si>
    <t>MUNICIPALITY OF WAO, LANAO DEL SUR</t>
  </si>
  <si>
    <t>KAUSWAGAN WATER DISTRICT</t>
  </si>
  <si>
    <t>MUNICIPALITY OF SALUG, ZAMBOANGA DEL NORTE</t>
  </si>
  <si>
    <t>CITY OF LAPU-LAPU</t>
  </si>
  <si>
    <t>VETERANS FEDERATION OF THE PHILIPPINES</t>
  </si>
  <si>
    <t>DEPARTMENT OF PUBLIC WORKS AND HIGHWAYS - MASBATE 2ND DEO</t>
  </si>
  <si>
    <t>DEPARTMENT OF PUBLIC WORKS AND HIGHWAYS - NEG. OCC. 4TH DEO</t>
  </si>
  <si>
    <t>BATAAN PENINSULA STATE UNIVERSITY</t>
  </si>
  <si>
    <t>DEPARTMENT OF EDUCATION - DIVISION OF SOUTH COTABATO</t>
  </si>
  <si>
    <t>MUNICIPALITY OF SAN JUAN, ILOCOS SUR</t>
  </si>
  <si>
    <t>BUNSURAN NATIONAL HIGH SCHOOL</t>
  </si>
  <si>
    <t>MUNICIPALITY OF BURGOS, LA UNION</t>
  </si>
  <si>
    <t>DEPARTMENT OF EDUCATION - DIVISION OF MISAMIS ORIENTAL</t>
  </si>
  <si>
    <t>MINDANAO STATE UNIVERSITY - GENERAL SANTOS CITY CAMPUS</t>
  </si>
  <si>
    <t>DEPARTMENT OF EDUCATION - MIMAROPA REGION</t>
  </si>
  <si>
    <t>MUNICIPALITY OF TAYSAN, BATANGAS</t>
  </si>
  <si>
    <t>AGRICULTURAL TRAINING INSTITUTE -REGIONAL TRAINING CENTER IX</t>
  </si>
  <si>
    <t>BARANGAY UGONG, PASIG CITY</t>
  </si>
  <si>
    <t>MUNICIPALITY OF SIBONGA, CEBU</t>
  </si>
  <si>
    <t xml:space="preserve">DEPARTMENT OF PUBLIC WORKS AND HIGHWAYS - SURIGAO DEL NORTE </t>
  </si>
  <si>
    <t>DEPARTMENT OF PUBLIC WORKS AND HIGHWAYS - METRO MANILA 2ND D</t>
  </si>
  <si>
    <t>BARANGAY SAN ISIDRO, CLAVERIA, CAGAYAN</t>
  </si>
  <si>
    <t>DEPARTMENT OF EDUCATION DIVISION  OF HIMAMAYLAN CITY</t>
  </si>
  <si>
    <t>DEPARTMENT OF EDUCATION - SCHOOLS DIVISION OFFICE OF DAGUPAN</t>
  </si>
  <si>
    <t>BARANGAY PAGASA, ORANI, BATAAN</t>
  </si>
  <si>
    <t>BARANGAY SAN VICENTE, PANABO CITY, DAVAO DEL NORTE</t>
  </si>
  <si>
    <t>BARANGAY 3, SAN ILDEFONSO,SAN NICOLAS, ILOCOS NORTE</t>
  </si>
  <si>
    <t>MUNICIPALITY OF STA.CRUZ, DAVAO DEL SUR</t>
  </si>
  <si>
    <t>MUNICIPALITY OF LA CASTELLANA, NEGROS OCCIDENTAL</t>
  </si>
  <si>
    <t>OFFICE FOR TRANSPORTATION SECURITY</t>
  </si>
  <si>
    <t>BARANGAY MAGACAN SANCHEZ MIRA CAGAYAN</t>
  </si>
  <si>
    <t>MUNICIPALITY OF TAMPAKAN, SOUTH COTABATO</t>
  </si>
  <si>
    <t>CITY OF SAN CARLOS, NEGROS OCCIDENTAL</t>
  </si>
  <si>
    <t xml:space="preserve">DEPARTMENT OF PUBLIC WORKS AND HIGHWAYS - NUEVA VIZCAYA 1ST </t>
  </si>
  <si>
    <t>BARANGAY CABID-AN, SORSOGON CITY</t>
  </si>
  <si>
    <t>BARANGAY 4, SAN BARTOLOME, SAN NICOLAS, ILOCOS NORTE</t>
  </si>
  <si>
    <t>MUNICIPALITY OF TOLOSA, LEYTE</t>
  </si>
  <si>
    <t>BARANGAY SANTA CRUZ, LORETO, DINAGAT ISLANDS</t>
  </si>
  <si>
    <t>DEPARTMENT OF AGRICULTURE - PANGASINAN PROVINCIAL CENTER</t>
  </si>
  <si>
    <t>BARANGAY POBLACION IB MARAGONDON CAVITE</t>
  </si>
  <si>
    <t>MUNICIPALITY OF MATNOG , SORSOGON</t>
  </si>
  <si>
    <t>MUNICIPALITY OF BALINGASAG, MISAMIS ORIENTAL</t>
  </si>
  <si>
    <t>BARANGAY FERDINAND, BASILISA, DINAGAT ISLANDS</t>
  </si>
  <si>
    <t>BARANGAY DAYHAGAN, AROROY, MASBATE</t>
  </si>
  <si>
    <t>BANI WATER DISTRICT</t>
  </si>
  <si>
    <t>MARGOSATUBIG REGIONAL HOSPITAL</t>
  </si>
  <si>
    <t>CITY OF QUEZON</t>
  </si>
  <si>
    <t>BUREAU OF CUSTOMS - DAVAO CITY</t>
  </si>
  <si>
    <t>FRANCISCO BANGOY CENTRAL ELEMENTARY SCHOOL SPED CENTER</t>
  </si>
  <si>
    <t>MUNICIPALITY OF VILLANUEVA, MISAMIS ORIENTAL</t>
  </si>
  <si>
    <t>MUNICIPALITY OF AGUINALDO, IFUGAO</t>
  </si>
  <si>
    <t>BARANGAY KANLURAN ROSARIO CAVITE</t>
  </si>
  <si>
    <t>MUNICIPALITY OF LALA,  LANAO DEL NORTE</t>
  </si>
  <si>
    <t>MUNICIPALITY OF PUERTO GALERA, ORIENTAL MINDORO</t>
  </si>
  <si>
    <t>MUNICIPALITY OF MACABEBE, PAMPANGA</t>
  </si>
  <si>
    <t>GEN. RICARDO G. PAPA SR. MEMORIAL HIGH SCHOOL - ANNEX</t>
  </si>
  <si>
    <t>NORTHERN ILOILO POLYTECHNIC STATE COLLEGE</t>
  </si>
  <si>
    <t>ROXAS CITY GOVERNMENT</t>
  </si>
  <si>
    <t>MUNICIPALITY OF NEW LUCENA, ILOILO</t>
  </si>
  <si>
    <t>DAVAO CITY WATER DISTRICT</t>
  </si>
  <si>
    <t>SOCIAL SECURITY SYSTEM - WESTERN MINDANAO DIVISION</t>
  </si>
  <si>
    <t>DEPARTMENT OF SCIENCE AND TECHNOLOGY-PCAARRD</t>
  </si>
  <si>
    <t>MUNICIPALITY OF CASTILLA, SORSOGON</t>
  </si>
  <si>
    <t>MUNICIPALITY OF MALINAO, ALBAY</t>
  </si>
  <si>
    <t>MUNICIPALITY OF IGUIG, CAGAYAN</t>
  </si>
  <si>
    <t>BARANGAY BUCAL, BATANGAS CITY, BATANGAS</t>
  </si>
  <si>
    <t>BARANGAY I(BONTOG), MATAAS NA KAHOY, BATANGAS</t>
  </si>
  <si>
    <t>T. AWAD ECHEVARRIA ELEMENTARY SCHOOL</t>
  </si>
  <si>
    <t>MUNICIPALITY OF PAOAY, ILOCOS NORTE</t>
  </si>
  <si>
    <t>BAGUIO GENERAL HOSPITAL AND MEDICAL CENTER</t>
  </si>
  <si>
    <t>PARTIDO STATE UNIVERSITY - GOA CAMPUS</t>
  </si>
  <si>
    <t>CAGAYAN STATE UNIVERSITY - APARRI</t>
  </si>
  <si>
    <t>SOCORRO WATER DISTRICT</t>
  </si>
  <si>
    <t>MUNICIPALITY OF LAVEZARES, NORTHERN SAMAR</t>
  </si>
  <si>
    <t>CITY OF CALAMBA, LAGUNA</t>
  </si>
  <si>
    <t>MUNICIPALITY OF CABAGAN, ISABELA</t>
  </si>
  <si>
    <t>MUNICIPALITY OF BATUAN, BOHOL</t>
  </si>
  <si>
    <t>BARANGAY PINAMUCAN SILANGAN -  BATANGAS CITY</t>
  </si>
  <si>
    <t>MUNICIPALITY OF MACROHON, SOUTHERN LEYTE</t>
  </si>
  <si>
    <t>BARANGAY TIGPALAY - TUNGAWAN ZAMBOANGA SIBUGAY</t>
  </si>
  <si>
    <t>MUNICIPALITY OF COLUMBIO, SULTAN KUDARAT</t>
  </si>
  <si>
    <t>LEONA DURANO ZAMORA ELEMENTARY SCHOOL - DANAO CITY CEBU</t>
  </si>
  <si>
    <t>SANTIAGO WATER DISTRICT</t>
  </si>
  <si>
    <t>NATIONAL IRRIGATION ADMINISTRATION - DISTRICT 1</t>
  </si>
  <si>
    <t>MUNICIPALITY OF TAYTAY, PALAWAN</t>
  </si>
  <si>
    <t>BARANGAY PAGKILATAN, BATANGAS CITY</t>
  </si>
  <si>
    <t>MUNICIPALITY OF BAROBO, SURIGAO DEL SUR</t>
  </si>
  <si>
    <t>CALAMBA NATIONAL HIGH SCHOOL-MAIN</t>
  </si>
  <si>
    <t>BARANGAY ZONE II LUISIANA, LAGUNA</t>
  </si>
  <si>
    <t>BARANGAY BUCAO - GUIUAN, EASTERN SAMAR</t>
  </si>
  <si>
    <t>BUREAU OF THE TREASURY</t>
  </si>
  <si>
    <t>MUNICIPALITY OF PAMPLONA, NEGROS ORIENTAL</t>
  </si>
  <si>
    <t>PARTIDO DEVELOPMENT ADMINISTRATION</t>
  </si>
  <si>
    <t>MUNICIPALITY OF UYUGAN, BATANES</t>
  </si>
  <si>
    <t>MUNICIPALITY OF PUGO, LA UNION</t>
  </si>
  <si>
    <t>DEPARTMENT OF EDUCATION - DIVISION OF DAPITAN CITY</t>
  </si>
  <si>
    <t>MUNICIPALITY OF ECHAGUE, ISABELA</t>
  </si>
  <si>
    <t>MINES &amp; GEOSCIENCES BUREAU - REGION XI</t>
  </si>
  <si>
    <t>BARANGAY PUDOC EAST, TAGUDIN, ILOCOS SUR</t>
  </si>
  <si>
    <t>MANOLO FORTICH WATER DISTRICT</t>
  </si>
  <si>
    <t>BARANGAY 176 ZONE 15 DISTRICT 2 MANILA</t>
  </si>
  <si>
    <t>DENR-PENRO,ORIENTAL MINDORO</t>
  </si>
  <si>
    <t>DEPARTMENT OF LABOR AND EMPLOYMENT - REGION IV-A</t>
  </si>
  <si>
    <t>BARANGAY MALABAN, CITY OF BIÑAN, LAGUNA</t>
  </si>
  <si>
    <t>MUNICIPALITY OF BULAN, SORSOGON</t>
  </si>
  <si>
    <t>LAS PIÑAS GENERAL HOSPITAL AND SATELLITE TRAUMA CENTER</t>
  </si>
  <si>
    <t>HIMAMAYLAN CENTRAL SCHOOL</t>
  </si>
  <si>
    <t>SANTA ROSA ELEMENTARY SCHOOL CENTRAL 3(SSES)</t>
  </si>
  <si>
    <t>BARANGAY STA. MARIA, STO. TOMAS, BATANGAS</t>
  </si>
  <si>
    <t>DEPARTMENT OF LABOR AND EMPLOYMENT - REGION XI</t>
  </si>
  <si>
    <t>BARANGAY 10, SAN PAULO, SAN NICOLAS, ILOCOS NORTE</t>
  </si>
  <si>
    <t>NATIONAL COMMISSION ON INDIGENOUS PEOPLES - REGION III</t>
  </si>
  <si>
    <t>MUNICIPALITY OF JASAAN , MISAMIS ORIENTAL</t>
  </si>
  <si>
    <t>DEPARTMENT OF PUBLIC WORKS AND HIGHWAYS - QUEZON 2ND ED</t>
  </si>
  <si>
    <t>BARANGAY SAN ANTONIO, LABO, CAMARINES NORTE</t>
  </si>
  <si>
    <t>BARANGAY BILOGO, BATANGAS CITY, BATANGAS</t>
  </si>
  <si>
    <t>DEPARTMENT OF AGRARIAN REFORM - SOUTH COTABATO PARO</t>
  </si>
  <si>
    <t>DEPARTMENT OF EDUCATION - DIVISION OF KORONADAL CITY</t>
  </si>
  <si>
    <t>MUNICIPALITY OF ALILEM, ILOCOS SUR</t>
  </si>
  <si>
    <t>MUNICIPALITY OF SUAL -  PANGASINAN</t>
  </si>
  <si>
    <t>BARANGAY BABAG, CEBU CITY, CEBU</t>
  </si>
  <si>
    <t>MUNICIPALITY OF NEW CORELLA, DAVAO DEL NORTE</t>
  </si>
  <si>
    <t>DEPARTMENT OF SOCIAL WELFARE AND DEVELOPMENT - REGION I</t>
  </si>
  <si>
    <t>DEPARTMENT OF EDUCATION - DIVISION OF ALBAY</t>
  </si>
  <si>
    <t>MARCELINO M. SANTOS NATIONAL HIGH SCHOOL</t>
  </si>
  <si>
    <t>TECHNICAL EDUCATION &amp; SKILLS DEVELOPMENT AUTHORITY - CEBU</t>
  </si>
  <si>
    <t>SAN PABLO CITY WATER DISTRICT</t>
  </si>
  <si>
    <t>405TH CONTRACTING OFFICE, AFP PROCUREMENT SERVICE</t>
  </si>
  <si>
    <t>MARITIME INDUSTRY AUTHORITY X</t>
  </si>
  <si>
    <t>NATIONAL PRINTING OFFICE</t>
  </si>
  <si>
    <t>MUNICIPALITY OF DALAGUETE, CEBU</t>
  </si>
  <si>
    <t>BARANGAY LAYONG MABILOG - MARAGONDON CAVITE</t>
  </si>
  <si>
    <t>MUNICIPALITY OF QUEZON, NUEVA VIZCAYA</t>
  </si>
  <si>
    <t>MUNICIPALITY OF CERVANTES, ILOCOS SUR</t>
  </si>
  <si>
    <t>BARANGAY PAKNAAN, MANDAUE CITY</t>
  </si>
  <si>
    <t>SAN ROQUE CENTRAL ELEMNETARY SCHOOL</t>
  </si>
  <si>
    <t>MUNICIPALITY OF LAGUINDINGAN, MISAMIS ORIENTAL</t>
  </si>
  <si>
    <t>MUNICIPALITY OF RIZAL, KALINGA</t>
  </si>
  <si>
    <t>MARIVELES NATIONAL HIGH SCHOOL POBLACION</t>
  </si>
  <si>
    <t>BARANGAY AMOINGON, BOAC, MARINDUQUE</t>
  </si>
  <si>
    <t>BARANGAY CENTRO 2, CLAVERIA,CAGAYAN</t>
  </si>
  <si>
    <t>MUNICIPALITY OF KITAOTAO, BUKIDNON</t>
  </si>
  <si>
    <t>MUNICIPALITY OF MAASIM, SARANGANI</t>
  </si>
  <si>
    <t>DEPARTMENT OF PUBLIC WORKS AND HIGHWAYS - PANGASINAN 3RD DEO</t>
  </si>
  <si>
    <t>BARANGAY BIGA, CALATAGAN, BATANGAS</t>
  </si>
  <si>
    <t>DEPARTMENT OF PUBLIC WORKS AND HIGHWAYS - BENGUET I DEO</t>
  </si>
  <si>
    <t>DOMINGO LACSON NATIONAL HIGH SCHOOL</t>
  </si>
  <si>
    <t>DEPARTMENT OF PUBLIC WORKS AND HIGHWAYS - LA UNION 1ST ED</t>
  </si>
  <si>
    <t>MABINI WATER DISTRICT</t>
  </si>
  <si>
    <t>110TH CONTRACTING OFFICE, AFP PROCUREMENT SERVICE</t>
  </si>
  <si>
    <t>BACOLOD WATER DISTRICT</t>
  </si>
  <si>
    <t>COTABATO FOUNDATION COLLEGE OF SCIENCE &amp; TECHNOLOGY</t>
  </si>
  <si>
    <t>DEPARTMENT OF EDUCATION - DIVISION OF CATANDUANES</t>
  </si>
  <si>
    <t>OBANDO WATER DISTRICT</t>
  </si>
  <si>
    <t>DEPARTMENT OF EDUCATION - DIVISION OF ZAMBALES</t>
  </si>
  <si>
    <t>BARANGAY BAKHAW, MANDURRIAO, ILOILO CITY</t>
  </si>
  <si>
    <t>UNIVERSITY OF ANTIQUE</t>
  </si>
  <si>
    <t>DANIEL M. PEREZ CENTRAL ELEMENTARY SCHOOL</t>
  </si>
  <si>
    <t>DEPARTMENT OF PUBLIC WORKS AND HIGHWAYS - ZAMBOANGA CITY DEO</t>
  </si>
  <si>
    <t>BARANGAY DAGATAN - AMADEO CAVITE</t>
  </si>
  <si>
    <t>MUNICIPALITY OF MAHAYAG, ZAMBOANGA DEL SUR</t>
  </si>
  <si>
    <t>MUNICIPALITY OF ROSARIO, LA UNION</t>
  </si>
  <si>
    <t>DEPARTMENT OF HEALTH EASTERN VISAYAS CHD - PALO LEYTE</t>
  </si>
  <si>
    <t>DEPARTMENT OF EDUCATION - CAR</t>
  </si>
  <si>
    <t>MUNICIPALITY OF LASAM, CAGAYAN</t>
  </si>
  <si>
    <t>MUNICIPALITY OF BAROTAC NUEVO, ILOILO</t>
  </si>
  <si>
    <t>BARANGAY REMEDIOS - DANAO BOHOL</t>
  </si>
  <si>
    <t>MUNICIPALITY OF CARAGA, DAVAO ORIENTAL</t>
  </si>
  <si>
    <t>ANTI-MONEY LAUNDERING COUNCIL</t>
  </si>
  <si>
    <t>BARANGAY TASTAS - LIGAO CITY ALBAY</t>
  </si>
  <si>
    <t>202ND CONTRACTING OFFICE, AFP PROCUREMENT SERVICE</t>
  </si>
  <si>
    <t>CALOOCAN CITY BUSINESS HIGH SCHOOL</t>
  </si>
  <si>
    <t>BINMALEY WATER DISTRICT</t>
  </si>
  <si>
    <t>MUNICIPALITY OF PRESIDENT CARLOS P. GARCIA, BOHOL</t>
  </si>
  <si>
    <t>MUNICIPALITY OF SAN MIGUEL, ZAMBOANGA DEL SUR</t>
  </si>
  <si>
    <t>MAYOR HILARION A. RAMIRO SR. REGIONAL TRNG &amp; TEACHING HOSP.</t>
  </si>
  <si>
    <t>LAND TRANSPORTATION OFFICE REGION V</t>
  </si>
  <si>
    <t>BARANGAY ALLANG - LIGAO CITY</t>
  </si>
  <si>
    <t>MUNICIPALITY OF TUBAO, LA UNION</t>
  </si>
  <si>
    <t>MUNICIPALITY OF CARRASCAL, SURIGAO DEL SUR</t>
  </si>
  <si>
    <t>IDIO BARANGAY COUNCIL</t>
  </si>
  <si>
    <t>MUNICIPALITY OF BANTAY, ILOCOS SUR</t>
  </si>
  <si>
    <t>MUNICIPALITY OF PITOGO, QUEZON</t>
  </si>
  <si>
    <t>MUNICIPALITY OF VALDERRAMA, ANTIQUE</t>
  </si>
  <si>
    <t>MUNICIPALITY OF PANGIL, LAGUNA</t>
  </si>
  <si>
    <t>MUNICIPALITY OF SAGUDAY, QUIRINO</t>
  </si>
  <si>
    <t>ILOCOS NORTE COLLEGE OF ARTS AND TRADES</t>
  </si>
  <si>
    <t>MUNICIPALITY OF MIDSALIP, ZAMBOANGA DEL SUR</t>
  </si>
  <si>
    <t>MUNICIPALITY OF STA. CRUZ, OCCIDENTAL MINDORO</t>
  </si>
  <si>
    <t>MUNICIPALITY OF MAGSAYSAY, MISAMIS ORIENTAL</t>
  </si>
  <si>
    <t>MABINI NATIONAL HIGH SCHOOL - JUNIOR HIGH SCHOOL</t>
  </si>
  <si>
    <t>ISABELA STATE UNIVERSITY - CABAGAN CAMPUS</t>
  </si>
  <si>
    <t>MUNICIPALITY OF MAPANDAN, PANGASINAN</t>
  </si>
  <si>
    <t>MUNICIPALITY OF SAN MATEO, RIZAL</t>
  </si>
  <si>
    <t>MUNICIPALITY OF LIAN, BATANGAS</t>
  </si>
  <si>
    <t>MUNICIPALITY OF MALAPATAN, SARANGANI</t>
  </si>
  <si>
    <t>BARANGAY 770 ZONE 84 DISTRICT V, MANILA</t>
  </si>
  <si>
    <t>BARANGAY NIPA, CONCEPCION, ILOILO</t>
  </si>
  <si>
    <t>BARANGAY BASING, LINGAYEN, PANGASINAN</t>
  </si>
  <si>
    <t>BARANGAY  POBLACION - GODOD ZAMBOANGA DEL NORTE</t>
  </si>
  <si>
    <t>MALINAO NATIONAL HIGH SCHOOL</t>
  </si>
  <si>
    <t>BARANGAY BUCAL 3A - MARAGONDON CAVITE</t>
  </si>
  <si>
    <t>MUNICIPALITY OF BONTOC, SOUTHERN LEYTE</t>
  </si>
  <si>
    <t>NATIONAL IRRIGATION ADMINISTRATION - COMPOSTELA VALLEY</t>
  </si>
  <si>
    <t>MUNICIPALITY OF SAN MIGUEL, ILOILO</t>
  </si>
  <si>
    <t>DEPARTMENT OF EDUCATION - DIVISION OF CATBALOGAN CITY</t>
  </si>
  <si>
    <t>BARANGAY LIBSONG EAST, LINGAYEN, PANGASINAN</t>
  </si>
  <si>
    <t>MUNICIPALITY  OF CALAUAN, LAGUNA</t>
  </si>
  <si>
    <t>MUNICIPALITY OF BASISTA, PANGASINAN</t>
  </si>
  <si>
    <t>DEPARTMENT OF AGRICULTURE - CARFU</t>
  </si>
  <si>
    <t>MUNICIPALITY OF LA PAZ, AGUSAN DEL SUR</t>
  </si>
  <si>
    <t>DEPARTMENT OF AGRICULTURE - PALAWAN</t>
  </si>
  <si>
    <t>DEPARTMENT OF HEALTH - REGION XII</t>
  </si>
  <si>
    <t>DEPARTMENT OF LABOR AND EMPLOYMENT - CAR</t>
  </si>
  <si>
    <t>DEPARTMENT OF PUBLIC WORKS AND HIGHWAYS - NUEVA ECIJA 1ST DE</t>
  </si>
  <si>
    <t>DR. JOSE FABELLA MEMORIAL HOSPITAL</t>
  </si>
  <si>
    <t>NATIONAL FIRE TRAINING INSTITUTE - CALAMBA CITY LAGUNA</t>
  </si>
  <si>
    <t>MUNICIPALITY OF MEXICO, PAMPANGA</t>
  </si>
  <si>
    <t>BARANGAY VILLAPOGADO, CATAINGAN, MASBATE</t>
  </si>
  <si>
    <t>MUNICIPALITY OF CAN-AVID, EASTERN SAMAR</t>
  </si>
  <si>
    <t>BARANGAY LIGTONG II  - ROSARIO CAVITE</t>
  </si>
  <si>
    <t>BARANGAY BUNGA - LANUZA SURIGAO DEL SUR</t>
  </si>
  <si>
    <t>MUNICIPALITY OF BADIAN, CEBU</t>
  </si>
  <si>
    <t>MUNICIPALITY OF SOGOD, SOUTHERN LEYTE</t>
  </si>
  <si>
    <t>DEPARTMENT OF EDUCATION - DIVISION OF LAOAG CITY</t>
  </si>
  <si>
    <t>MUNICIPALITY OF AYUNGON, NEGROS ORIENTAL</t>
  </si>
  <si>
    <t>DEPARTMENT OF THE INTERIOR AND LOCAL GOVERNMENT - MAIN</t>
  </si>
  <si>
    <t>DEPARTMENT OF LABOR AND EMPLOYMENT - REGION II</t>
  </si>
  <si>
    <t>BARANGAY STA. FILOMENA, DIPOLOG CITY, ZAMBOANGA DEL NORTE</t>
  </si>
  <si>
    <t>DEPARTMENT OF EDUCATION - REGION I</t>
  </si>
  <si>
    <t>PHILIPPINE CROP INSURANCE CORPORATION - REGION II</t>
  </si>
  <si>
    <t>ABKASA ELEMENTARY SCHOOL</t>
  </si>
  <si>
    <t>BARANGAY POBLACION, TOLOSA, LEYTE</t>
  </si>
  <si>
    <t>CITY OF SANTA ROSA, LAGUNA</t>
  </si>
  <si>
    <t>BARANGAY ALEJAL, CARMEN, DAVAO DEL NORTE</t>
  </si>
  <si>
    <t>BARANGAY MALUYO, ALLACAPAN, CAGAYAN</t>
  </si>
  <si>
    <t>BARANGAY CADARUHAN NORTE MALITBOG SOUTHERN LEYTE</t>
  </si>
  <si>
    <t>BARANGAY STO.TOMAS CLAVERIA CAGAYAN</t>
  </si>
  <si>
    <t>BARANGAY HIBAGWAN, BONTOC SOUTHERN LEYTE</t>
  </si>
  <si>
    <t>MUNICIPALITY OF POLANGUI, ALBAY</t>
  </si>
  <si>
    <t>MUNICIPALITY OF IROSIN, SORSOGON</t>
  </si>
  <si>
    <t>BARANGAY BUNG-AW, HILONGOS, LEYTE</t>
  </si>
  <si>
    <t>PHILIPPINE CROP INSURANCE CORPORATION - REGION VIII</t>
  </si>
  <si>
    <t>DEPARTMENT OF AGRICULTURE - REGION VI</t>
  </si>
  <si>
    <t>NATIONAL IRRIGATION ADMINISTRATION - SURIGAO SUR IMO</t>
  </si>
  <si>
    <t>TECHNOLOGICAL UNIVERSITY OF THE PHILIPPINES VISAYAS</t>
  </si>
  <si>
    <t>BARANGAY FREEDOM - CABANGLASAN, BUKIDNON</t>
  </si>
  <si>
    <t>MUNICIPALITY OF LUNA, LA UNION</t>
  </si>
  <si>
    <t>PHILIPPINE CARABAO CENTER</t>
  </si>
  <si>
    <t>MUNICIPALITY OF PIÑAN, ZAMBOANGA DEL NORTE</t>
  </si>
  <si>
    <t>DEPARTMENT OF PUBLIC WORKS AND HIGHWAYS - LAS PINAS- MUNTINL</t>
  </si>
  <si>
    <t>CITY OF TAGUIG</t>
  </si>
  <si>
    <t>BARANGAY SILANGAN ILAYA, NAGCARLAN, LAGUNA</t>
  </si>
  <si>
    <t>DEPARTMENT OF PUBLIC WORKS AND HIGHWAYS - LANAO DEL NORTE 1S</t>
  </si>
  <si>
    <t>BARANGAY BIEC, BINMALEY, PANGASINAN</t>
  </si>
  <si>
    <t>BUREAU OF JAIL MANAGEMENT AND PENOLOGY - REGION XII</t>
  </si>
  <si>
    <t>MINES AND GEO-SCIENCES BUREAU</t>
  </si>
  <si>
    <t>PHILIPPINE COCONUT AUTHORITY - MAIN</t>
  </si>
  <si>
    <t>BARANGAY LAGASIT, SAN QUINTIN, PANGASINAN</t>
  </si>
  <si>
    <t>BARANGAY AMANCORO, BINMALEY, PANGASINAN</t>
  </si>
  <si>
    <t>BARANGAY DAO, NAUJAN, ORIENTAL MINDORO</t>
  </si>
  <si>
    <t>DEPARTMENT OF BUDGET AND MANAGEMENT - REGIONAL OFFICE I</t>
  </si>
  <si>
    <t>MANILA INTERNATIONAL AIRPORT AUTHORITY</t>
  </si>
  <si>
    <t>BARANGAY BUNGA, MAMBUSAO, CAPIZ</t>
  </si>
  <si>
    <t>BARANGAY POBLACION - SOMINOT ZAMBOANGA DEL SUR</t>
  </si>
  <si>
    <t>CAPAS HIGH SCHOOL</t>
  </si>
  <si>
    <t>CITY OF BAYUGAN, AGUSAN DEL SUR</t>
  </si>
  <si>
    <t>DEPARTMENT OF AGRARIAN REFORM - SULTAN KUDARAT</t>
  </si>
  <si>
    <t>PAMANTASAN NG LUNGSOD NG MAYNILA</t>
  </si>
  <si>
    <t>BARANGAY LAON, MOGPOG, MARINDUQUE</t>
  </si>
  <si>
    <t>BUREAU OF LOCAL GOVERNMENT FINANCE</t>
  </si>
  <si>
    <t>BARANGAY 41 ZONE 3 DISTRICT I, MANILA</t>
  </si>
  <si>
    <t>CITY OF GUIHULNGAN, NEGROS ORIENTAL</t>
  </si>
  <si>
    <t>MUNICIPALITY OF LAKE WOOD, ZAMBOANGA DEL SUR</t>
  </si>
  <si>
    <t>MUNICIPALITY OF LICAB, NUEVA ECIJA</t>
  </si>
  <si>
    <t>PHILIPPINE RURAL DEVELOPMENT PROJECT-MINDANAO CLUSTER</t>
  </si>
  <si>
    <t>DEPARTMENT OF AGRARIAN REFORM - LAGUNA PROVINCIAL OFFICE</t>
  </si>
  <si>
    <t>MUNICIPALITY OF IGBARAS, ILOILO</t>
  </si>
  <si>
    <t>MINDANAO STATE UNIVERSITY - ILIGAN INSTITUTE OF TECHNOLOGY</t>
  </si>
  <si>
    <t>NATIONAL COUNCIL ON DISABILITY AFFAIRS</t>
  </si>
  <si>
    <t>BARANGAY INGORE, LAPAZ, ILOILO CITY</t>
  </si>
  <si>
    <t>MUNICIPALITY OF RODRIGUEZ, RIZAL</t>
  </si>
  <si>
    <t>CARAGA STATE UNIVERSITY - CABADBARAN CAMPUS</t>
  </si>
  <si>
    <t>MUNICIPALITY OF UMINGAN, PANGASINAN</t>
  </si>
  <si>
    <t>MUNICIPALITY OF ALBURQUERQUE, BOHOL</t>
  </si>
  <si>
    <t>COMMISSION ON HIGHER EDUCATION - REGION VIII</t>
  </si>
  <si>
    <t>TALAVERA WATER DISTRICT</t>
  </si>
  <si>
    <t>CITY OF BORONGAN, EASTERN SAMAR</t>
  </si>
  <si>
    <t>MUNICIPALITY OF MAMBUSAO, CAPIZ</t>
  </si>
  <si>
    <t>BARANGAY LAGUINBANWA - IBAJAY AKLAN</t>
  </si>
  <si>
    <t>CENTER FOR HEALTH DEVELOPMENT - REGION I</t>
  </si>
  <si>
    <t>DEPARTMENT OF EDUCATION - DIVISION OF STA. ROSA CITY</t>
  </si>
  <si>
    <t>CITY OF COTABATO</t>
  </si>
  <si>
    <t>LUISA MEDEL NATIONAL HIGH SCHOOL - BACOLOD CITY</t>
  </si>
  <si>
    <t>MUNICIPALITY OF MOLAVE, ZAMBOANGA DEL SUR</t>
  </si>
  <si>
    <t>NATIONAL FOOD AUTHORITY - REGION IX</t>
  </si>
  <si>
    <t>HOME DEVELOPMENT MUTUAL FUND - BACOLOD CITY</t>
  </si>
  <si>
    <t>CITY OF PALAYAN, NUEVA ECIJA</t>
  </si>
  <si>
    <t>DEPARTMENT OF PUBLIC WORKS AND HIGHWAYS - CATANDUANES ED</t>
  </si>
  <si>
    <t>LA TRINIDAD WATER DISTRICT - LA TRINIDAD BENGUET</t>
  </si>
  <si>
    <t>BALAYAN NATIONAL HIGH SCHOOL - BALAYAN BATANGAS</t>
  </si>
  <si>
    <t>MUNICIPALITY OF MONKAYO, COMPOSTELA VALLEY</t>
  </si>
  <si>
    <t>BARANGAY LUMAYAO, SAN QUINTIN, PANGASINAN</t>
  </si>
  <si>
    <t>DEPARTMENT OF PUBLIC WORKS AND HIGHWAYS - DAVAO DEL SUR DIST</t>
  </si>
  <si>
    <t xml:space="preserve">DEPARTMENT OF PUBLIC WORKS AND HIGHWAYS - MOUNTAIN PROVINCE </t>
  </si>
  <si>
    <t>NATIONAL FOOD AUTHORITY - REGION IV</t>
  </si>
  <si>
    <t>DEPARTMENT OF PUBLIC WORKS AND HIGHWAYS - SOUTH COTABATO 1ST</t>
  </si>
  <si>
    <t>BANGKO SENTRAL NG PILIPINAS - BATAC BRANCH</t>
  </si>
  <si>
    <t>MUNICIPALITY OF SABTANG, BATANES</t>
  </si>
  <si>
    <t>DEPARTMENT OF PUBLIC WORKS AND HIGHWAYS - BOHOL 2ND DEO</t>
  </si>
  <si>
    <t>TALAVERA GENERAL HOSPITAL</t>
  </si>
  <si>
    <t>MUNICIPALITY OF BAYAMBANG - PANGASINAN</t>
  </si>
  <si>
    <t>BARANGAY IBAYO-TIPAS TAGUIG CITY</t>
  </si>
  <si>
    <t>BARANGAY PINEDA, PASIG CITY</t>
  </si>
  <si>
    <t>NATIONAL IRRIGATION ADMINISTRATION - ZAMBOANGA SIBUGAY</t>
  </si>
  <si>
    <t>BARANGAY GALICIA 3 MENDEZ-NUÑEZ CAVITE</t>
  </si>
  <si>
    <t>DEPARTMENT OF EDUCATION - DIVISION OF MALAYBALAY CITY</t>
  </si>
  <si>
    <t>COMMISSION ON AUDIT - CAR</t>
  </si>
  <si>
    <t>AGUSAN DEL SUR STATE COLLEGE OF AGRICULTURE AND TECHNOLOGY</t>
  </si>
  <si>
    <t>NATIONAL IRRIGATION ADMINISTRATION - REGION V</t>
  </si>
  <si>
    <t>BARANGAY GRACEVILLE, SAN JOSE DEL MONTE, BULACAN</t>
  </si>
  <si>
    <t>MUNICIPALITY OF ROSARIO, AGUSAN DEL SUR</t>
  </si>
  <si>
    <t>MUNICIPALITY OF SAN MARCELINO, ZAMBALES</t>
  </si>
  <si>
    <t>MUNICIPALITY OF DINALUNGAN, AURORA</t>
  </si>
  <si>
    <t>CENTRAL BICOL STATE UNVERSITY OF AGRICULTURE - CALABANGA</t>
  </si>
  <si>
    <t>BARANGAY CATBANGEN - SAN FERNANDO CITY, LA UNION</t>
  </si>
  <si>
    <t>MUNICIPALITY OF MAITUM, SARANGANI</t>
  </si>
  <si>
    <t>MUNICIPALITY OF PURA, TARLAC</t>
  </si>
  <si>
    <t>MUNICIPALITY OF BROOKE'S POINT, PALAWAN</t>
  </si>
  <si>
    <t>MUNICIPALITY OF AJUY, ILOILO</t>
  </si>
  <si>
    <t>BARANGAY CABASCAN, TOMAS OPPUS, SOUTHERN LEYTE</t>
  </si>
  <si>
    <t>DEPARTMENT OF PUBLIC WORKS AND HIGHWAYS - SIQUIJOR DEO</t>
  </si>
  <si>
    <t>BARANGAY DOLIS - CALATRAVA NEGROS OCCIDENTAL</t>
  </si>
  <si>
    <t>MUNICIPALITY OF BACACAY, ALBAY</t>
  </si>
  <si>
    <t>CITY OF LIPA, BATANGAS</t>
  </si>
  <si>
    <t>MUNICIPALITY OF ALABEL, SARANGANI PROVINCE</t>
  </si>
  <si>
    <t>BARANGAY BUENAVISTA DARAM SAMAR</t>
  </si>
  <si>
    <t>SAN MARCELINO WATER DISTRICT</t>
  </si>
  <si>
    <t xml:space="preserve">BUREAU OF FISHERIES AND AQUATIC RESOURCES - REGION IV-B </t>
  </si>
  <si>
    <t>NATIONAL FOOD AUTHORITY - REGION VIII</t>
  </si>
  <si>
    <t>BARANGAY LIBAY-LIBAY, MACO, COMPOSTELA VALLEY</t>
  </si>
  <si>
    <t>CAMACHILES NATIONAL HIGH SCHOOL - MABALACAT CITY PAMPANGA</t>
  </si>
  <si>
    <t>MUNICIPALITY OF BAYOMBONG - NUEVA VISCAYA</t>
  </si>
  <si>
    <t>BARANGAY BUHANGIN BUTUAN CITY AGUSAN DEL NORTE</t>
  </si>
  <si>
    <t>MUNICIPALITY OF STA. ANA, CAGAYAN</t>
  </si>
  <si>
    <t>MUNICIPALITY OF LOAY, BOHOL</t>
  </si>
  <si>
    <t>BRGY.SAN JUAN ACCFA,CABANATUAN CITY,NUEVA ECIJA</t>
  </si>
  <si>
    <t>BARANGAY MOCPOC SUR, LOON, BOHOL</t>
  </si>
  <si>
    <t>MUNICIPALITY OF CABUGAO, ILOCOS SUR</t>
  </si>
  <si>
    <t>NATIONAL TRANSMISSION CORPORATION(TRANSCO)</t>
  </si>
  <si>
    <t>BARANGAY LOOC, TOMAS OPPUS, SOUTHERN LEYTE</t>
  </si>
  <si>
    <t>MINDORO STATE COLLEGE OF AGRICULTURE AND TECHNOLOGY</t>
  </si>
  <si>
    <t>MUNICIPALITY OF LIBERTAD, ANTIQUE</t>
  </si>
  <si>
    <t>MUNICIPALITY OF ARGAO, CEBU</t>
  </si>
  <si>
    <t>MUNICIPALITY OF SAN PABLO, ZAMBOANGA DEL SUR</t>
  </si>
  <si>
    <t>MUNICIPALITY OF MANAOAG, PANGASINAN</t>
  </si>
  <si>
    <t>NEW ORMOC CITY NATIONAL HIGH SCHOOL</t>
  </si>
  <si>
    <t>UNITED COCONUT PLANTERS BANK</t>
  </si>
  <si>
    <t>MARIKINA POLYTECHNIC COLLEGE</t>
  </si>
  <si>
    <t>MUNICIPALITY OF GUINOBATAN, ALBAY</t>
  </si>
  <si>
    <t>BARANGAY  ADTUYON, PANGANTUCAN, BUKIDNON</t>
  </si>
  <si>
    <t>KORONADAL WATER DISTRICT</t>
  </si>
  <si>
    <t>METRO LIPA WATER DISTRICT</t>
  </si>
  <si>
    <t>SCIENCE EDUCATION INSTITUTE</t>
  </si>
  <si>
    <t>MUNICIPALITY OF BUSUANGA, PALAWAN</t>
  </si>
  <si>
    <t>PUBLIC-PRIVATE PARTNERSHIP (PPP) CENTER OF THE PHILIPPI</t>
  </si>
  <si>
    <t>DEPARTMENT OF PUBLIC WORKS AND HIGHWAYS - IFUGAO 2ND DEO</t>
  </si>
  <si>
    <t>COMMISSION ON FILIPINOS OVERSEAS</t>
  </si>
  <si>
    <t>ILOILO STATE COLLEGE OF FISHERIES - BAROTAC NUEVO CAMPUS</t>
  </si>
  <si>
    <t>BARANGAY COTTA, LUCENA CITY</t>
  </si>
  <si>
    <t>PHILIPPINE STATISTICS AUTHORITY - NCR REGIONAL OFFICE</t>
  </si>
  <si>
    <t>PROVINCE OF SOUTHERN LEYTE</t>
  </si>
  <si>
    <t>MORONG WATER DISTRICT</t>
  </si>
  <si>
    <t>VALENCIA CITY WATER DISTRICT</t>
  </si>
  <si>
    <t>SAN PEDRO NATIONAL HIGH SCHOOL - SAN SIMON PAMPANGA</t>
  </si>
  <si>
    <t>BARANGAY BAGONGBAYAN, LAUA-AN, ANTIQUE</t>
  </si>
  <si>
    <t>MUNICIPALITY OF LOPE DE VEGA, NORTHERN SAMAR</t>
  </si>
  <si>
    <t>BARANGAY WAWA III ROSARIO CAVITE</t>
  </si>
  <si>
    <t>MUNICIPALITY OF PAGSANJAN, LAGUNA</t>
  </si>
  <si>
    <t>MANGSEE NATIONAL HIGH SCHOOL - BALABAC PALAWAN</t>
  </si>
  <si>
    <t>BARANGAY DULONG BAYAN, MOGPOG, MARINDUQUE</t>
  </si>
  <si>
    <t>BARANGAY MAGANG DAET CAMARINES NORTE</t>
  </si>
  <si>
    <t>JOSE R. TORRES ELEMENTARY SCHOOL - BACOLOD CITY NEGROS OCCID</t>
  </si>
  <si>
    <t>SOUTHVILLE IV ELEMENTARY SCHOOL</t>
  </si>
  <si>
    <t>DEPARTMENT OF PUBLIC WORKS AND HIGHWAYS - NORTHERN SAMAR 1ST</t>
  </si>
  <si>
    <t>BARANGAY INHOBOL - MASINLOC ZAMBALES</t>
  </si>
  <si>
    <t>METRO KIDAPAWAN WATER DISTRICT</t>
  </si>
  <si>
    <t>DEPARTMENT OF EDUCATION - DIVISION OF SURIGAO DEL NORTE</t>
  </si>
  <si>
    <t>TUNGIB ELEMENTARY SCHOOL</t>
  </si>
  <si>
    <t>BONGABON NATIONAL HIGHSCHOOL</t>
  </si>
  <si>
    <t>NATIONAL CONCILIATION AND MEDIATION BOARD - REGION IV-B</t>
  </si>
  <si>
    <t>BARANGAY ABONG - CARLES,ILOILO</t>
  </si>
  <si>
    <t>BARANGAY CORDOVA NORTE, TIGBAUAN, ILOILO</t>
  </si>
  <si>
    <t>F. BUSTAMANTE NATIONAL HIGH SCHOOL - DAVAO CITY</t>
  </si>
  <si>
    <t>DEPARTMENT OF PUBLIC WORKS AND HIGHWAYS - ISABELA 3RD DEO</t>
  </si>
  <si>
    <t>MUNICIPALITY OF DATU PIANG, MAGUINDANAO</t>
  </si>
  <si>
    <t>DEPARTMENT OF SOCIAL WELFARE AND DEVELOPMENT - REGION IV-A</t>
  </si>
  <si>
    <t>WESTERN VISAYAS MEDICAL CENTER</t>
  </si>
  <si>
    <t>BARANGAY IGTADIAO, LAUA-AN, ANTIQUE</t>
  </si>
  <si>
    <t>JULIO LEDESMA NATIONAL HIGH SCHOOL</t>
  </si>
  <si>
    <t>DEPARTMENT OF PUBLIC WORKS AND HIGHWAYS - MARINDUQUE DEO</t>
  </si>
  <si>
    <t>MUNICIPALITY OF GEN. LUNA, QUEZON</t>
  </si>
  <si>
    <t>DEPARTMENT OF PUBLIC WORKS AND HIGHWAYS - BATANGAS 2ND ED</t>
  </si>
  <si>
    <t>MUNICIPALITY OF STA. TERESITA, CAGAYAN</t>
  </si>
  <si>
    <t>TAMPARAN DISTRICT HOSPITAL- TAMPARAN LANAO DEL SUR</t>
  </si>
  <si>
    <t>DEPARTMENT OF TRADE AND INDUSTRY - ILOCOS SUR</t>
  </si>
  <si>
    <t>SAN RAFAEL ELEMENTARY SCHOOL - CADIZ CITY</t>
  </si>
  <si>
    <t>ASSOCIATION OF BARANGAY COUNCIL CEBU CITY</t>
  </si>
  <si>
    <t>MUNICIPALITY OF MOGPOG, MARINDUQUE</t>
  </si>
  <si>
    <t>BARANGAY PALIPARAN III - DASMARIÑAS CITY CAVITE</t>
  </si>
  <si>
    <t>MUNICIPALITY OF CATEEL, DAVAO ORIENTAL</t>
  </si>
  <si>
    <t>MUNICIPALITY OF SAN LUIS BATANGAS</t>
  </si>
  <si>
    <t>DEPARTMENT OF TOURISM - INTRAMUROS ADMINISTRATION</t>
  </si>
  <si>
    <t>DEPARTMENT OF TRADE AND INDUSTRY - REGION I</t>
  </si>
  <si>
    <t>BARANGAY CALARIAN, ZAMBOANGA CITY</t>
  </si>
  <si>
    <t>BARANGAY GABON, POLANGUI, ALBAY</t>
  </si>
  <si>
    <t>TALISAY ELEMENTARY SCHOOL - TALISAY CITY NEGROS OCCIDENTAL</t>
  </si>
  <si>
    <t>DEPARTMENT OF INFORMATION AND COMMUNICATIONS TECHNOLOGY REGI</t>
  </si>
  <si>
    <t>BARANGAY DESAMPARADOS - CALAPE, BOHOL</t>
  </si>
  <si>
    <t>DA-PHILIPPINE RUBBER RESEARCH INSTITUTE</t>
  </si>
  <si>
    <t>RAGAY, CAMARINES SUR WATER DISTRICT</t>
  </si>
  <si>
    <t>MUNICIPALITY OF BULALACAO, ORIENTAL MINDORO</t>
  </si>
  <si>
    <t>MUNICIPALITY OF CAPALONGA, CAMARINES NORTE</t>
  </si>
  <si>
    <t>MUNICIPALITY OF DUPAX DEL NORTE, NUEVA VIZCAYA</t>
  </si>
  <si>
    <t>BARANGAY BUROT, ALLACAPAN, CAGAYAN</t>
  </si>
  <si>
    <t>APLAYA ELEMENTARY SCHOOL</t>
  </si>
  <si>
    <t>MUNICIPALITY OF IBA, ZAMBALES</t>
  </si>
  <si>
    <t>MUNICIPALITY OF KOLAMBUGAN, LANAO DEL NORTE</t>
  </si>
  <si>
    <t>MUNICIPALITY OF CAVINTI, LAGUNA</t>
  </si>
  <si>
    <t>PHIL COUNCIL FOR IND., ENERGY AND EMERGING TECH. RES.&amp; DEV.</t>
  </si>
  <si>
    <t>CABULOHAN-PARADISE NATIONAL HIGH SCHOOL - MAIN</t>
  </si>
  <si>
    <t>MUNICIPALITY OF PIDIGAN, ABRA</t>
  </si>
  <si>
    <t>MUNICIPALITY OF STA. CATALINA, ILOCOS SUR</t>
  </si>
  <si>
    <t>CADUHA-AN NATIONAL HIGH SCHOOL</t>
  </si>
  <si>
    <t>PROVINCE OF MAGUINDANAO</t>
  </si>
  <si>
    <t>MUNICIPALITY OF PAGBILAO, QUEZON</t>
  </si>
  <si>
    <t>BARANGAY NEW MAHAYAG, CATBALOGAN, SAMAR</t>
  </si>
  <si>
    <t>DEPARTMENT OF INFORMATION AND COMMUNICATION TECHNOLOGY</t>
  </si>
  <si>
    <t>WESTERN VISAYAS SANITARIUM - DOH</t>
  </si>
  <si>
    <t>BARANGAY BAGONG PAG-ASA - QUEZON CITY METRO MANILA</t>
  </si>
  <si>
    <t>PHILIPPINE PORTS AUTHORITY - PMO GENERAL SANTOS</t>
  </si>
  <si>
    <t>BARANGAY 564 ZONE 55 DISTRICT IV, MANILA</t>
  </si>
  <si>
    <t>BARANGAY NEW GUINLO, TAYTAY, PALAWAN</t>
  </si>
  <si>
    <t>MUNICIPALITY OF MADALAG, AKLAN</t>
  </si>
  <si>
    <t>BUKANG LIWAYWAY ELEMENTARY SCHOOL - KIBAWE BUKIDNON</t>
  </si>
  <si>
    <t>CITY OF MANDAUE, CEBU</t>
  </si>
  <si>
    <t>PHILIPPINE PORTS AUTHORITY - PMO MINDORO</t>
  </si>
  <si>
    <t>BARANGAY PAMPANGO LIBACAO AKLAN</t>
  </si>
  <si>
    <t>MUNICIPALITY OF POZORRUBIO, PANGASINAN</t>
  </si>
  <si>
    <t>MUNICIPALITY OF SULAT, EASTERN SAMAR</t>
  </si>
  <si>
    <t>BUREAU OF FIRE PROTECTION - REGION X</t>
  </si>
  <si>
    <t>SAN FRANCISCO WATER DISTRICT</t>
  </si>
  <si>
    <t>EASTERN VISAYAS STATE UNIVERSITY-TANAUAN CAMPUS</t>
  </si>
  <si>
    <t>MUNICIPALITY OF LUBUAGAN, KALINGA</t>
  </si>
  <si>
    <t>MUNICIPAL GOVERNMENT OF DELFIN ALBANO, ISABELA</t>
  </si>
  <si>
    <t>BARANGAY MILAGROSA, CATANAUAN, QUEZON</t>
  </si>
  <si>
    <t>BAESA HIGH SCHOOL</t>
  </si>
  <si>
    <t>CITY OF SAGAY, NEGROS OCCIDENTAL</t>
  </si>
  <si>
    <t>QUEZON, BUKIDNON WATER DISTRICT</t>
  </si>
  <si>
    <t>MUNICIPALITY OF TUBO - ABRA</t>
  </si>
  <si>
    <t>TECHNICAL EDUCATION &amp; SKILLS DEVELOPMENT AUTHORITY - CAVITE</t>
  </si>
  <si>
    <t>MUNICIPALITY OF DUEÑAS, ILOILO</t>
  </si>
  <si>
    <t>MUNICIPALITY OF MASINLOC, ZAMBALES</t>
  </si>
  <si>
    <t>MUNICIPALITY OF ABRA DE ILOG, OCCIDENTAL MINDORO</t>
  </si>
  <si>
    <t>NATIONAL CONCILIATION AND MEDIATION BOARD - REGION 4A</t>
  </si>
  <si>
    <t>TANDAG CITY WATER DISTRICT</t>
  </si>
  <si>
    <t>BARANGAY PISIPIS, LOPEZ, QUEZON</t>
  </si>
  <si>
    <t>DEPARTMENT OF EDUCATION - DIVISION OF BAIS CITY</t>
  </si>
  <si>
    <t>PHILIPPINE COUNCIL FOR HEALTH RESEARCH AND DEVELOPMENT</t>
  </si>
  <si>
    <t>BARANGAY NUPOLAN - JOSEFINA ZAMBOANGA DEL SUR</t>
  </si>
  <si>
    <t>CNHS-ANDRES BONIFACIO EXTENSION HIGH SCHOOL - CADIZ CITY NEG</t>
  </si>
  <si>
    <t>BARANGAY 802 ZONE 87, MANILA CITY</t>
  </si>
  <si>
    <t>BARANGAY PALY, TAYTAY, PALAWAN</t>
  </si>
  <si>
    <t>BARANGAY FATIMA III, SAN JOSE DEL MONTE CITY, BULACAN</t>
  </si>
  <si>
    <t>RAGAY NATIONAL AGRICULTURAL AND FISHERIES SCHOOL</t>
  </si>
  <si>
    <t>DEPARTMENT OF EDUCATION - DIVISION OF MAKATI</t>
  </si>
  <si>
    <t>BARANGAY CENTRO WEST STA. TERESITA CAGAYAN</t>
  </si>
  <si>
    <t>PHILIPPINE NATIONAL POLICE - CES</t>
  </si>
  <si>
    <t>CONGRESS ELEMENTARY SCHOOL</t>
  </si>
  <si>
    <t>KABANKALAN CITY WATER DISTRICT</t>
  </si>
  <si>
    <t>BARANGAY BANABA SOUTH, BATANGAS CITY, BATANGAS</t>
  </si>
  <si>
    <t>BATO WATER DISTRICT - CAMARINES SUR</t>
  </si>
  <si>
    <t>BARANGAY 558 ZONE 55</t>
  </si>
  <si>
    <t>BARANGAY GENERAL LIM, ORION, BATAAN</t>
  </si>
  <si>
    <t>BARANGAY POBLACION, ALCALA, PANGASINAN</t>
  </si>
  <si>
    <t>CITY OF SIPALAY, NEGROS OCCIDENTAL</t>
  </si>
  <si>
    <t>MINTAL ELEMENTARY SCHOOL</t>
  </si>
  <si>
    <t>BARANGAY BINTAKAY, MOGPOG, MARINDUQUE</t>
  </si>
  <si>
    <t>CLARK INTERNATIONAL AIRPORT CORPORATION</t>
  </si>
  <si>
    <t>MUNICIPALITY OF CASTILLEJOS, ZAMBALES</t>
  </si>
  <si>
    <t>MUNICIPALITY OF LILOAN, CEBU</t>
  </si>
  <si>
    <t>MUNICIPALITY OF VICTORIA, TARLAC</t>
  </si>
  <si>
    <t>DEPARTMENT OF  EDUCATION - DIVISION OF SAN CARLOS CITY</t>
  </si>
  <si>
    <t>MUNICIPALITY OF SOUTH UPI, MAGUINADANAO</t>
  </si>
  <si>
    <t>BARANGAY ALOJIPAN, CULASI ANTIQUE</t>
  </si>
  <si>
    <t>MUNICIPALITY OF MAYDOLONG, EASTERN SAMAR</t>
  </si>
  <si>
    <t>DEPARTMENT OF HEALTH - MAIN</t>
  </si>
  <si>
    <t>BARANGAY KASILAWAN, MAKATI CITY</t>
  </si>
  <si>
    <t>SAN VICENTE NATIONAL HIGH SCHOOL</t>
  </si>
  <si>
    <t>MUNICIPALITY OF SAMPALOC, QUEZON</t>
  </si>
  <si>
    <t>BARANGAY  LUHONG - ANTIPAS, COTABATO</t>
  </si>
  <si>
    <t>MUNICIPALITY OF MANSALAY, ORIENTAL MINDORO</t>
  </si>
  <si>
    <t>MUNICIPALITY OF LINAMON, LANAO DEL NORTE</t>
  </si>
  <si>
    <t>BARANGAY GAHIT, CATAINGAN, MASBATE</t>
  </si>
  <si>
    <t>BARANGAY COMEMBO 28, MAKATI CITY</t>
  </si>
  <si>
    <t>BARANGAY PUNTA, DIPOLOG, ZAMBOANGA DEL NORTE</t>
  </si>
  <si>
    <t>BARANGAY ROSARIO, PASIG CITY</t>
  </si>
  <si>
    <t>BARANGAY MANHILO MAASIN CITY SOUTHERN LEYTE</t>
  </si>
  <si>
    <t>BARANGAY TALOG, TAYTAY, PALAWAN</t>
  </si>
  <si>
    <t>MUNICIPALITY OF SAN ENRIQUE, ILOILO</t>
  </si>
  <si>
    <t>MUNICIPALITY OF BADOC, ILOCOS NORTE</t>
  </si>
  <si>
    <t xml:space="preserve">DEPARTMENT OF PUBLIC WORKS AND HIGHWAYS - CAMARINES SUR 4TH </t>
  </si>
  <si>
    <t>CITY GOVERNMENT OF DASMARIÑAS CAVITE</t>
  </si>
  <si>
    <t>MUNICIPALITY OF KIBAWE , BUKIDNON</t>
  </si>
  <si>
    <t>CITY OF CANDON, ILOCOS SUR</t>
  </si>
  <si>
    <t>PEÑARANDA WATER DISTRICT</t>
  </si>
  <si>
    <t>DINALUPIHAN WATER DISTRICT</t>
  </si>
  <si>
    <t>PHILIPPINE STATISTICS AUTHORITY RSSO-III</t>
  </si>
  <si>
    <t>DEPARTMENT OF PUBLIC WORKS AND HIGHWAYS - ISABELA 1ST DEO</t>
  </si>
  <si>
    <t>BARANGAY NORTHSIDE, MAKATI CITY</t>
  </si>
  <si>
    <t>BARANGAY GUADALUPE VIEJO, MAKATI CITY</t>
  </si>
  <si>
    <t>NATIONAL HOUSING AUTHORITY</t>
  </si>
  <si>
    <t>MUNICIPALITY OF GATTARAN, CAGAYAN</t>
  </si>
  <si>
    <t>MUNICIPALITY OF PORAC, PAMPANGA</t>
  </si>
  <si>
    <t>MUNICIPALITY OF LEMERY, BATANGAS</t>
  </si>
  <si>
    <t>BARANGAY GUADALUPE NUEVO, MAKATI CITY</t>
  </si>
  <si>
    <t>BARANGAY ISABANG TAYABAS CITY QUEZON</t>
  </si>
  <si>
    <t>BARANGAY SAN JOSE - ALAMINOS, PANGASINAN</t>
  </si>
  <si>
    <t>MUNICIPALITY OF SAN QUINTIN, PANGASINAN</t>
  </si>
  <si>
    <t>BARANGAY BALANGOBONG -  ALAMINOS, PANGASINAN</t>
  </si>
  <si>
    <t>BARANGAY BARONGAPAITAN STA. MARIA PANGASINAN</t>
  </si>
  <si>
    <t>DEPARTMENT OF ENVIRONMENT AND NATURAL RES. - PENRO, ISABELA</t>
  </si>
  <si>
    <t>SAN JOSE CITY WATER DISTRICT</t>
  </si>
  <si>
    <t>MUNICIPALITY OF BILAR, BOHOL</t>
  </si>
  <si>
    <t>MONTE ALEGRE INTEGRATED SCHOOL - ELEMENTARY</t>
  </si>
  <si>
    <t>MUNICIPALITY OF BAUAN, BATANGAS</t>
  </si>
  <si>
    <t>BARANGAY POBLACION, PINAMUNGAJAN, CEBU</t>
  </si>
  <si>
    <t>BARANGAY CABARASAN-GUTI, TANAUAN, LEYTE</t>
  </si>
  <si>
    <t>MUNICIPALITY OF SOLANA, CAGAYAN</t>
  </si>
  <si>
    <t>BARANGAY PUNTOD, CAGAYAN DE ORO CITY</t>
  </si>
  <si>
    <t>COMMISSION ON HIGHER EDUCATION - MAIN</t>
  </si>
  <si>
    <t>BARANGAY DELA PAZ PULOT ITAAS, BATANGAS CITY</t>
  </si>
  <si>
    <t>BARANGAY IV -  BANTAY ILOCOS SUR</t>
  </si>
  <si>
    <t>BARANAGY NAGUIDDAYAN -  BANTAY ILOCOS SUR</t>
  </si>
  <si>
    <t>BARANGAY BUQUIG - BANTAY ILOCOS SUR</t>
  </si>
  <si>
    <t>SANDIGANBAYAN</t>
  </si>
  <si>
    <t>BARANGAY GULOD LABAC, BATANGAS CITY, BATANGAS</t>
  </si>
  <si>
    <t>BARANGAY LIM-AO, KANANGA, LEYTE</t>
  </si>
  <si>
    <t>BARANGAY SANTIAGO, LORETO, DINAGAT ISLANDS</t>
  </si>
  <si>
    <t>DAVAO PRISON AND PENAL FARM - BRAULIO E. DUJALI</t>
  </si>
  <si>
    <t>MAHAYAG NATIONAL HIGH SCHOOL - MAHAYAG ZAMBOANGA DEL SUR</t>
  </si>
  <si>
    <t>SOLSONA NATIONAL HIGH SCHOOL</t>
  </si>
  <si>
    <t>BARANGAY MUZON I ROSARIO CAVITE</t>
  </si>
  <si>
    <t>BARANGAY CARIDAD, JULITA, LEYTE</t>
  </si>
  <si>
    <t>UNIVERSITY OF THE PHILIPPINES - SYSTEM</t>
  </si>
  <si>
    <t>CADUHA-AN NATIONAL HIGH SCHOOL - TAGBANON EXTENSION HIGH SCH</t>
  </si>
  <si>
    <t>BARANGAY CABUSLIGAN - BANTAY ILOCOS SUR</t>
  </si>
  <si>
    <t>BARANGAY CABAROAN BANTAY ILOCOS SUR</t>
  </si>
  <si>
    <t>BARANGAY 3, PALUAN, OCCIDENTAL MINDORO</t>
  </si>
  <si>
    <t>BARANGAY STO. NIÑO I, SAN JOSE DEL MONTE CITY</t>
  </si>
  <si>
    <t>CITY OF PASAY</t>
  </si>
  <si>
    <t>BARANGAY NAUGUISAN, CARIGARA, LEYTE</t>
  </si>
  <si>
    <t>BARANGAY BAGONG BUHAY II, SAN JOSE DEL MONTE CITY</t>
  </si>
  <si>
    <t>BARANGAY BON-OT, CARRASCAL, SURIGAO DEL SUR</t>
  </si>
  <si>
    <t>BARANGAY PUNTA I, TANZA, CAVITE</t>
  </si>
  <si>
    <t>BARANGAY 220 ZONE 20 DISTRICT 2 TONDO,MANILA</t>
  </si>
  <si>
    <t>106TH CONTRACTING OFFICE, AFP PROCUREMENT SERVICE</t>
  </si>
  <si>
    <t>MUNICIPAL GOVERNMENT OF PALIMBANG</t>
  </si>
  <si>
    <t>CITY  OF ESCALANTE, NEGROS OCCIDENTAL</t>
  </si>
  <si>
    <t>MUNICIPALITY OF PLARIDEL, QUEZON</t>
  </si>
  <si>
    <t>PHILIPPINE RECLAMATION AUTHORITY</t>
  </si>
  <si>
    <t>BARANGAY SAPA IV ROSARIO CAVITE</t>
  </si>
  <si>
    <t>GUIMARAS STATE COLLEGE</t>
  </si>
  <si>
    <t>MUNICIPALITY OF MABALACAT, PAMPANGA</t>
  </si>
  <si>
    <t>MUNICIPALITY OF AGUILAR, PANGASINAN</t>
  </si>
  <si>
    <t>BARANGAY ALTA VISTA, ORMOC CITY</t>
  </si>
  <si>
    <t>TANZA WATER DISTRICT</t>
  </si>
  <si>
    <t>MUNICIPALITY OF DINAPIGUE, ISABELA</t>
  </si>
  <si>
    <t>MUNICIPALITY OF DUMARAN, PALAWAN</t>
  </si>
  <si>
    <t>BARANGAY LACADON, DUENAS, ILOILO</t>
  </si>
  <si>
    <t>BARANGAY MARUCLAP, BATANGAS CITY</t>
  </si>
  <si>
    <t>BOGNUYAN NATIONAL HIGH SCHOOL</t>
  </si>
  <si>
    <t>BARANGAY LICTIN - SAN ANDRES, CATANDUANES</t>
  </si>
  <si>
    <t>BARANGAY DIVINO ROSTRO - SAN ANDRES CATANDUANES</t>
  </si>
  <si>
    <t>ASSOCIATION OF BARANGAY CAPTAINS - MINALABAC, CAMARINES SUR</t>
  </si>
  <si>
    <t>STA. ANA NATIONAL HIGH SCHOOL - STA. ANA PAMPANGA</t>
  </si>
  <si>
    <t>MUNICIPALITY OF JUBAN, SORSOGON</t>
  </si>
  <si>
    <t>MUNICIPALITY OF DIVILACAN, ISABELA</t>
  </si>
  <si>
    <t>GINGOOG CITY WATER DISTRICT</t>
  </si>
  <si>
    <t>BARANGAY MAGALLANES, MAKATI CITY</t>
  </si>
  <si>
    <t>BARANGAY SAN CELESTINO, LIPA CITY, BATANGAS</t>
  </si>
  <si>
    <t>DEPARTMENT OF PUBLIC WORKS AND HIGHWAYS - SOUTH COTABATO  1S</t>
  </si>
  <si>
    <t>BARANGAY SAMPAGUITA, LIPA CITY</t>
  </si>
  <si>
    <t>JUSTICE EMILIO ANGELES GANCAYCO MEMORIAL HIGH SCHOOL</t>
  </si>
  <si>
    <t>BARANGAY SAY-OAN - BACNOTAN LA UNION</t>
  </si>
  <si>
    <t>BARANGAY SAN ISIDRO, LIPA CITY</t>
  </si>
  <si>
    <t>LUIS UY CHIAT ELEMENTARY SCHOOL</t>
  </si>
  <si>
    <t>BANGKAL ELEMENTARY SCHOOL</t>
  </si>
  <si>
    <t>BARANGAY 809 ZONE 88 DISTRICT V, MANILA</t>
  </si>
  <si>
    <t>DEPARTMENT OF PUBLIC WORKS AND HIGHWAYS - CEBU 6TH DEO</t>
  </si>
  <si>
    <t>BARANGAY PAG-IBIG SA NAYON, QUEZON CITY</t>
  </si>
  <si>
    <t>PROVINCE OF LA UNION</t>
  </si>
  <si>
    <t>MUNICIPALITY OF ARINGAY, LA UNION</t>
  </si>
  <si>
    <t>BARANGAY SAN LUIS - GINGOOG CITY MISAMIS ORIENTAL</t>
  </si>
  <si>
    <t>PANGANTUCAN NATIONAL HIGH SCHOOL</t>
  </si>
  <si>
    <t>BARANGAY TALOBATIB, LABO, CAMARINES NORTE</t>
  </si>
  <si>
    <t>BARANGAY JANAGDONG, MOGPOG, MARINDUQUE</t>
  </si>
  <si>
    <t>MUNICIPALITY OF LOOC, ROMBLON</t>
  </si>
  <si>
    <t>MUNICIPALITY OF DINGALAN, AURORA</t>
  </si>
  <si>
    <t>MUNICIPALITY OF CANTILAN, SURIGAO DEL SUR</t>
  </si>
  <si>
    <t>DEPARTMENT OF PUBLIC WORKS AND HIGHWAYS - ILOCOS SUR 2ND DEO</t>
  </si>
  <si>
    <t>NATIONAL IRRIGATION ADMINISTRATION - LIGAO CITY, ALBAY</t>
  </si>
  <si>
    <t>MUNICIPAL GOVERNMENT OF SABLAN, BENGUET</t>
  </si>
  <si>
    <t>SAN PABLO 2ND NATIONAL HIGH SCHOOL</t>
  </si>
  <si>
    <t>BARANGAY BALATASAN, CALABANGA, CAMARINES SUR</t>
  </si>
  <si>
    <t>BARANGAY SIBA-O, CALABANGA, CAMARINES SUR</t>
  </si>
  <si>
    <t>BARANGAY CENTRO, PAMPLONA, CAGAYAN</t>
  </si>
  <si>
    <t>NATIONAL IRRIGATION ADMINISTRATION - LAMISCA IMO</t>
  </si>
  <si>
    <t>BARANGAY SALVACION, PANABO CITY</t>
  </si>
  <si>
    <t>MUNICIPALITY OF BALETE, BATANGAS</t>
  </si>
  <si>
    <t>BARANGAY MATAAS NA BAYAN, MOGPOG, MARINDUQUE</t>
  </si>
  <si>
    <t>BARANGAY CALUMPANG, GENERAL SANTOS CITY, SOUTH COTABATO</t>
  </si>
  <si>
    <t>BARANGAY TABAN-FUNDADO, LIBMANAN, CAMARINES SUR</t>
  </si>
  <si>
    <t>MUNICIPALITY OF SAN ISIDRO, SURIGAO DEL NORTE</t>
  </si>
  <si>
    <t>AFP - RETIREMENT AND SEPARATION BENEFITS SYSTEM</t>
  </si>
  <si>
    <t>DEPARTMENT OF AGRARIAN REFORM - CAMARINES SUR A</t>
  </si>
  <si>
    <t>MUNICIPALITY OF TUNGA, LEYTE</t>
  </si>
  <si>
    <t>BARANGAY WEST BALABAG, VALENCIA, NEGROS ORIENTAL</t>
  </si>
  <si>
    <t>BARANGAY IMPIG, SIPOCOT, CAMARINES SUR</t>
  </si>
  <si>
    <t>ISABELA STATE UNIVERSITY - JONES CAMPUS</t>
  </si>
  <si>
    <t>DEPARTMENT OF PUBLIC WORKS AND HIGHWAYS - NORTH COTABATO 1ST</t>
  </si>
  <si>
    <t>DEPARTMENT OF PUBLIC WORKS AND HIGHWAYS - APAYAO 1ST DEO</t>
  </si>
  <si>
    <t>MUNICIPALITY OF CALATAGAN, BATANGAS</t>
  </si>
  <si>
    <t>BARANGAY VIOLETA, MALAYBALAY CITY</t>
  </si>
  <si>
    <t>KATIPUNAN NATIONAL HIGH SCHOOL</t>
  </si>
  <si>
    <t>CITY OF SORSOGON, SORSOGON</t>
  </si>
  <si>
    <t>BARANGAY LAGUILE, TAAL, BATANGAS</t>
  </si>
  <si>
    <t>BARANGAY DORULOMAN ARAKAN COTABATO</t>
  </si>
  <si>
    <t>MAA NATIONAL HIGH SCHOOL - DAVAO CITY DAVAO DEL SUR</t>
  </si>
  <si>
    <t>BARANGAY SAN RAFAEL VILLAGE, NAVOTAS</t>
  </si>
  <si>
    <t>BARANGAY NAGSUROT, BURGOS, ILOCOS NORTE</t>
  </si>
  <si>
    <t>MUNICIPALITY OF BIRI, NORTHERN SAMAR</t>
  </si>
  <si>
    <t>DEPARTMENT OF PUBLIC WORKS AND HIGHWAYS - RIZAL 1ST ED</t>
  </si>
  <si>
    <t>BARANGAY GUINHAWA, PINAMALAYAN, ORIENTAL MINDORO</t>
  </si>
  <si>
    <t>BARANGAY 18 - CABAGÑAN WEST, LEGAZPI CITY, ALBAY</t>
  </si>
  <si>
    <t>PHILIPPINE STATISTICS AUTHORITY - REGION VI</t>
  </si>
  <si>
    <t>MUNICIPALITY OF GONZAGA, CAGAYAN</t>
  </si>
  <si>
    <t>BARANGAY IGTALUNGON - IGBARAS ILOILO</t>
  </si>
  <si>
    <t>BARANGAY BEL-AIR, MAKATI CITY</t>
  </si>
  <si>
    <t>LOCAL GOVERNMENT UNIT OF DAET</t>
  </si>
  <si>
    <t>BARANGAY BATO - GAMAY NORTHERN SAMAR</t>
  </si>
  <si>
    <t>BARANGAY V-A, SAN PABLO CITY</t>
  </si>
  <si>
    <t>POWER SECTOR ASSETS AND LIABILITIES MANAGEMENT CORPORATION-Q</t>
  </si>
  <si>
    <t>PHILIPPINE SCIENCE HIGH SCHOOL - SOCCSKSARGEN REGION CAMPUS</t>
  </si>
  <si>
    <t>BARANGAY UGAC NORTE, TUGUEGARAO CITY, CAGAYAN</t>
  </si>
  <si>
    <t>BARANGAY MAYASANG, LEMERY, BATANGAS</t>
  </si>
  <si>
    <t>MUNICIPALITY OF ALFONSO, CAVITE</t>
  </si>
  <si>
    <t>BARANGAY IPONAN, CAGAYAN DE ORO CITY</t>
  </si>
  <si>
    <t>MUNICIPALITY OF  DATU ABDULLAH SANGKI- MAGUINDANAO</t>
  </si>
  <si>
    <t>MUNICIPALITY OF DINALUPIHAN, BATAAN</t>
  </si>
  <si>
    <t>COURT OF TAX APPEALS</t>
  </si>
  <si>
    <t>BARANGAY CENTRO (SAN JUAN), AGDAO, DAVAO CITY</t>
  </si>
  <si>
    <t>DEPARTMENT OF PUBLIC WORKS AND HIGHWAYS - MASBATE 1ST DEO</t>
  </si>
  <si>
    <t>CITY OF OROQUIETA, MISAMIS OCCIDENTAL</t>
  </si>
  <si>
    <t>MUNICIPALITY OF MARILAO, BULACAN</t>
  </si>
  <si>
    <t>BARANGAY RIZAL. LEMERY, BATANGAS</t>
  </si>
  <si>
    <t>DEPARTMENT OF PUBLIC WORKS AND HIGHWAYS - LA UNION 2ND ED</t>
  </si>
  <si>
    <t>DEPARTMENT OF HEALTH - CENTER FOR HEALTH DEVELOPMENT BICOL</t>
  </si>
  <si>
    <t>MUNICIPALITY OF SAN BENITO, SURIGAO DEL NORTE</t>
  </si>
  <si>
    <t>MUNICIPALITY OF SAN NICOLAS, PANGASINAN</t>
  </si>
  <si>
    <t>MUNICIPALITY OF CABATUAN, ILOILO</t>
  </si>
  <si>
    <t>BARANGAY POBLACION III, NAGCARLAN, LAGUNA</t>
  </si>
  <si>
    <t>MANGGAHAN HIGH SCHOOL</t>
  </si>
  <si>
    <t>DEPARTMENT OF AGRARIAN REFORM - CAVITE PROVINCIAL OFFICE</t>
  </si>
  <si>
    <t>CUGMAN ELEMENTARY SCHOOL</t>
  </si>
  <si>
    <t>MUNICIPALITY OF MALLIG, ISABELA</t>
  </si>
  <si>
    <t>MUNICIPALITY OF BACOLOR, PAMPANGA</t>
  </si>
  <si>
    <t>BARANGAY 35 GABU SUR, LAOAG CITY, ILOCOS NORTE</t>
  </si>
  <si>
    <t>MUNICIPALITY OF STO. TOMAS, PAMPANGA</t>
  </si>
  <si>
    <t>MUNICIPALITY OF CARMEN, BOHOL</t>
  </si>
  <si>
    <t>METRO CARIGARA WATER DISTRICT</t>
  </si>
  <si>
    <t>BARANGAY STA. MONICA, PUERTO PRINCESA CITY, PALAWAN</t>
  </si>
  <si>
    <t>COAST GUARD EDUCATION TRAINING AND DOCTRINE COMMAND -PCG</t>
  </si>
  <si>
    <t>CITY OF ILAGAN WATER DISTRICT</t>
  </si>
  <si>
    <t>CULION SANITARIUM AND GENERAL HOSPITAL</t>
  </si>
  <si>
    <t>MUNICIPALITY OF SAN PASCUAL, MASBATE</t>
  </si>
  <si>
    <t>MUNICIPALITY OF CARMEN, CEBU</t>
  </si>
  <si>
    <t>BARANGAY WHITE PLAINS, QUEZON CITY</t>
  </si>
  <si>
    <t>MUNICIPALITY OF POLANCO, ZAMBOANGA DEL NORTE</t>
  </si>
  <si>
    <t>CITY OF MAKATI</t>
  </si>
  <si>
    <t>CITY OF SAN FERNANDO, PAMPANGA</t>
  </si>
  <si>
    <t>BARANGAY SALISAY, DAGUPAN CITY</t>
  </si>
  <si>
    <t>BARANGAY II &amp; III - DAGUPAN CITY</t>
  </si>
  <si>
    <t>BARANGAY MILIGAN, MOLAVE, ZAMBOANGA DEL SUR</t>
  </si>
  <si>
    <t>CENTRAL BICOL STATE UNIVERSITY OF AGRICULTURE (CBSUA)</t>
  </si>
  <si>
    <t>PROVINCE OF BATANGAS</t>
  </si>
  <si>
    <t>BARANGAY BACAYAO NORTE, DAGUPAN CITY</t>
  </si>
  <si>
    <t>BARANGAY MALUED, DAGUPAN CITY</t>
  </si>
  <si>
    <t>MUNICIPALITY OF MAYANTOC, TARLAC</t>
  </si>
  <si>
    <t>MUNICIPALITY OF GOA, CAMARINES SUR</t>
  </si>
  <si>
    <t>DICT, FIELD OPERATIONS OFFICE, LUZON CLUSTER 1</t>
  </si>
  <si>
    <t>BARANGAY PUGARO-SUIT, DAGUPAN CITY</t>
  </si>
  <si>
    <t>DEPARTMENT OF ENVIRONMENT AND NATURAL RES. - PENRO, ILOILO</t>
  </si>
  <si>
    <t>BARANGAY SAN ANTONIO ISLA VERDE, BATANGAS CITY</t>
  </si>
  <si>
    <t>BARANGAY YANGTA DARAM SAMAR</t>
  </si>
  <si>
    <t>MUNICIPALITY OF ASUNCION, DAVAO DEL NORTE</t>
  </si>
  <si>
    <t>BARANGAY FORTUNA, MARCOS, ILOCOS NORTE</t>
  </si>
  <si>
    <t>BARANGAY BONUAN BINLOC, DAGUPAN CITY</t>
  </si>
  <si>
    <t>MUNICIPALITY OF UBAY, BOHOL</t>
  </si>
  <si>
    <t>BARANGAY MONTES KALLAGAN, ATIMONAN, QUEZON</t>
  </si>
  <si>
    <t>BARANGAY GUSTILO, LAPAZ, ILOILO CITY</t>
  </si>
  <si>
    <t>MUNICIPALITY OF GUINDULMAN, BOHOL</t>
  </si>
  <si>
    <t>BARANGAY SAN VICENTE, OAS, ALBAY</t>
  </si>
  <si>
    <t>MUNICIPALITY OF BALASAN, ILOILO</t>
  </si>
  <si>
    <t>MUNICIPALITY OF ROSARIO, BATANGAS</t>
  </si>
  <si>
    <t>LAND BANK OF THE PHILIPPINES -TUGUEGARAO CITY CAGAYAN BRANCH</t>
  </si>
  <si>
    <t>BARANGAY CARANGLAAN, DAGUPAN CITY</t>
  </si>
  <si>
    <t>BARANGAY POBLACION ROSARIO CAVITE</t>
  </si>
  <si>
    <t>BARANGAY ANUPUL, BAMBAN, TARLAC</t>
  </si>
  <si>
    <t>ENVIRONMENTAL MANAGEMENT BUREAU REGION VI</t>
  </si>
  <si>
    <t>MUNICIPALITY OF CARMEN, AGUSAN DEL NORTE</t>
  </si>
  <si>
    <t>BARANGAY SILANGANG MAYAO, LUCENA CITY</t>
  </si>
  <si>
    <t>MUNICIPALITY OF ENRILE, CAGAYAN</t>
  </si>
  <si>
    <t>PEDRO PITOGO ELEMENTARY SCHOOL</t>
  </si>
  <si>
    <t>BARANGAY LORETO, CORTES, BOHOL</t>
  </si>
  <si>
    <t>BARANGAY MAHABANG DAHILIG -BATANGAS CITY BATANGAS</t>
  </si>
  <si>
    <t>BUTUAN CITY WATER DISTRICT</t>
  </si>
  <si>
    <t>MUNICIPALITY OF MERCEDES, CAMARINES NORTE</t>
  </si>
  <si>
    <t>MUNICIPALITY OF JIMENEZ, MISAMIS OCCIDENTAL</t>
  </si>
  <si>
    <t>NATIONAL ECONOMIC AND DEVELOPMENT AUTHORITY - REGION X</t>
  </si>
  <si>
    <t>NATIONAL ECONOMIC AND DEVELOPMENT AUTHORITY - REGION I</t>
  </si>
  <si>
    <t>BANGKO SENTRAL NG PILIPINAS - REGION V</t>
  </si>
  <si>
    <t>BARANGAY TUBIGAGMANOK, ASTURIAS, CEBU</t>
  </si>
  <si>
    <t>SPECIAL EDUCATION HIGH SCHOOL</t>
  </si>
  <si>
    <t>MUNICIPALITY OF SAN AGUSTIN, ROMBLON</t>
  </si>
  <si>
    <t>CENTER FOR HEALTH DEVELOPMENT - REGION IV-B (MIMAROPA)</t>
  </si>
  <si>
    <t>NATIONAL ECONOMIC AND DEVELOPMENT AUTHORITY -  REGION III</t>
  </si>
  <si>
    <t>MUNICIPALITY OF MATALOM, LEYTE</t>
  </si>
  <si>
    <t>MUNICIPALITY OF SAN ISIDRO, LEYTE</t>
  </si>
  <si>
    <t>BARANGAY PALLOCAN WEST, BATANGAS CITY</t>
  </si>
  <si>
    <t>BARANGAY URDANETA, MAKATI CITY</t>
  </si>
  <si>
    <t>MUNICIPALITY OF DAUIN, NEGROS ORIENTAL</t>
  </si>
  <si>
    <t>NATIONAL FOOD AUTHORITY - NCR</t>
  </si>
  <si>
    <t>MUNICIPALITY OF LEBAK, SULTAN KUDARAT</t>
  </si>
  <si>
    <t>PROVINCE OF BUKIDNON</t>
  </si>
  <si>
    <t>MUNICIPALITY OF PIO V. CORPUZ, MASBATE</t>
  </si>
  <si>
    <t>BARANGAY CARRETUNAN, CALATAGAN, BATANGAS</t>
  </si>
  <si>
    <t>BARANGAY BUKAY PAIT - TANTANGAN SOUTH COTABATO</t>
  </si>
  <si>
    <t>MUNICIPALITY OF CARAMORAN, CATANDUANES</t>
  </si>
  <si>
    <t>MUNICIPALITY OF AGLIPAY, QUIRINO</t>
  </si>
  <si>
    <t>LIGA NG BARANGAY DIPLAHAN</t>
  </si>
  <si>
    <t>BARANGAY MAYAO KANLURAN, LUCENA CITY</t>
  </si>
  <si>
    <t>DEPARTMENT OF FINANCE - MAIN</t>
  </si>
  <si>
    <t>BARANGAY CABADISAN, RAGAY, CAMARINES SUR</t>
  </si>
  <si>
    <t>BARANGAY BULHAO, LABO, CAMARINES NORTE</t>
  </si>
  <si>
    <t>MUNICIPALITY LINAPACAN, PALAWAN</t>
  </si>
  <si>
    <t>MUNICIPALITY OF KAUSWAGAN, LANAO DEL NORTE</t>
  </si>
  <si>
    <t>KINOGUITAN NATIONAL AGRICULTURAL SCHOOL</t>
  </si>
  <si>
    <t>ENVIRONMENTAL MANAGEMENT BUREAU - REGION V</t>
  </si>
  <si>
    <t>DON CARLOS LEDESMA NATIONAL HIGH SCHOOL - SAN CARLOS CITY, N</t>
  </si>
  <si>
    <t>MUNICIPALITY OF LA LIBERTAD ZAMBOANGA DEL NORTE</t>
  </si>
  <si>
    <t>MUNICIPALITY OF MANAY, DAVAO ORIENTAL</t>
  </si>
  <si>
    <t>LANDBANK COUNTRYSIDE DEVELOPMENT FOUNDATION, INC.</t>
  </si>
  <si>
    <t>BARANGAY 337, ZONE 34, DISTRICT III, MANILA</t>
  </si>
  <si>
    <t>BARANGAY 116 ZONE 9, MANILA</t>
  </si>
  <si>
    <t>MUNICIPALITY OF SAN MANUEL, ISABELA</t>
  </si>
  <si>
    <t>MUNICIPALITY OF SAN DIONISIO, ILOILO</t>
  </si>
  <si>
    <t>MUNICIPALITY OF GLORIA, ORIENTAL MINDORO</t>
  </si>
  <si>
    <t>TUBOD-BAROY WATER DISTRICT</t>
  </si>
  <si>
    <t>MUNICIPALITY OF SAN JOAQUIN, ILOILO</t>
  </si>
  <si>
    <t>BARANGAY MUZON, SAN JOSE DEL MONTE CITY, BULACAN</t>
  </si>
  <si>
    <t>DEPARTMENT OF SCIENCE AND TECHNOLOGY - REGION XI</t>
  </si>
  <si>
    <t>PHILIPPINE NUCLEAR RESEARCH INSTITUTE</t>
  </si>
  <si>
    <t>PHILIPPINE AIR FORCE</t>
  </si>
  <si>
    <t>BARANGAY PACIFICO, MARCOS, ILOCOS NORTE</t>
  </si>
  <si>
    <t>MINISTRY OF PUBLIC WORKS-BARMM</t>
  </si>
  <si>
    <t>MUNICIPALITY OF MUTIA, ZAMBOANGA DEL NORTE</t>
  </si>
  <si>
    <t>BARANGAY 151 ZONE 13 DISTRICT 2, MANILA CITY</t>
  </si>
  <si>
    <t>NATIONAL IRRIGATION ADMINISTRATION - ILOCOS NORTE IRRIGATION</t>
  </si>
  <si>
    <t>DEPARTMENT OF PUBLIC WORKS AND HIGHWAYS - SULTAN KUDARAT 2ND</t>
  </si>
  <si>
    <t>MUNICIPALITY OF CAIBIRAN, BILIRAN</t>
  </si>
  <si>
    <t>BARANGAY MANALO, PUERTO PRINCESA CITY, PALAWAN</t>
  </si>
  <si>
    <t>MUNICIPALITY OF CALAMBA, MISAMIS OCCIDENTAL</t>
  </si>
  <si>
    <t>AGRICULTURAL TRAINING INSTITUTE - CAMARINES SUR</t>
  </si>
  <si>
    <t>WAO DISTRICT HOSPITAL</t>
  </si>
  <si>
    <t>MUNICIPALITY OF SABLAYAN, OCCIDENTAL MINDORO</t>
  </si>
  <si>
    <t>BARANGAY SAN PEDRO, BAUAN, BATANGAS</t>
  </si>
  <si>
    <t>DEPARTMENT OF EDUCATION - DIVISION OF MARINDUQUE</t>
  </si>
  <si>
    <t>DEPARTMENT OF PUBLIC WORKS AND HIGHWAYS - METRO MANILA 1ST E</t>
  </si>
  <si>
    <t>MUNICIPALITY OF BAROY, LANAO DEL NORTE</t>
  </si>
  <si>
    <t>DEPARTMENT OF PUBLIC WORKS AND HIGHWAYS - ILOILO 2ND DISTRIC</t>
  </si>
  <si>
    <t>BARANGAY 642, ZONE 66, DISTRICT VI MANILA</t>
  </si>
  <si>
    <t>TAWANTAWAN ELEMENTARY SCHOOL</t>
  </si>
  <si>
    <t>BUREAU OF JAIL MANAGEMENT AND PENOLOGY - REGION VII</t>
  </si>
  <si>
    <t>DEPARTMENT OF AGRICULTURE - REGION XI</t>
  </si>
  <si>
    <t>BARANGAY SAN RAFAEL - CALACA BATANGAS</t>
  </si>
  <si>
    <t>MUNICIPALITY OF BALANGIGA, EASTERN SAMAR</t>
  </si>
  <si>
    <t>BARANGAY DALUMPINAS - SAN NICOLAS PANGASINAN</t>
  </si>
  <si>
    <t>CAMARINES SUR NATIONAL HIGH SCHOOL</t>
  </si>
  <si>
    <t>BARANGAY DAGUMBAAN, TALAKAG, BUKIDNON</t>
  </si>
  <si>
    <t>BARANGAY GUMAOK EAST, SAN JOSE DEL MONTE CITY</t>
  </si>
  <si>
    <t>BATAAN GENERAL HOSPITAL AND MEDICAL CENTER</t>
  </si>
  <si>
    <t>DEPARTMENT OF TRADE AND INDUSTRY - CAMIGUIN PROVINCE</t>
  </si>
  <si>
    <t>MUNICIPALITY OF NABAS, AKLAN</t>
  </si>
  <si>
    <t>CAGAWASAN ELEMENTARY SCHOOL</t>
  </si>
  <si>
    <t>BARANGAY STA. ISABEL, STA. JOSEFA, AGUSAN DEL SUR</t>
  </si>
  <si>
    <t>DEPARTMENT OF PUBLIC WORKS AND HIGHWAYS - PALAWAN 3RD DEO</t>
  </si>
  <si>
    <t>MUNICIPALITY OF MALINAO, AKLAN</t>
  </si>
  <si>
    <t>MUNICIPALITY OF LEYTE, LEYTE</t>
  </si>
  <si>
    <t>BARANGAY TIBAL-OG, STO.TOMAS, DAVAO</t>
  </si>
  <si>
    <t>MUNICIPALITY OF LIBAGON, SOUTHERN LEYTE</t>
  </si>
  <si>
    <t>BARANGAY CONCEPCION -  MABINI BOHOL</t>
  </si>
  <si>
    <t>MUNICIPALITY OF DATU BLAH T. SINSUAT - UPI MAGUINDANAO</t>
  </si>
  <si>
    <t>DON JOSE S. MONFORT MEDICAL CENTER EXTENSION HOSPITAL</t>
  </si>
  <si>
    <t>BARANGAY TOYUNGAN - CALINOG ILOILO</t>
  </si>
  <si>
    <t>MUNICIPALITY OF PROSPERIDAD, AGUSAN DEL SUR</t>
  </si>
  <si>
    <t>DEPARTMENT OF PUBLIC WORKS AND HIGHWAYS - BATANES DEO</t>
  </si>
  <si>
    <t>BARANGAY CATUGAY, BAGGAO, CAGAYAN</t>
  </si>
  <si>
    <t>BARANGAY DALIN, BAGGAO, CAGAYAN</t>
  </si>
  <si>
    <t>BARANGAY NAVAGAN, APARRI, CAGAYAN</t>
  </si>
  <si>
    <t>BARANGAY CAMBAILAN - CATIGBIAN BOHOL</t>
  </si>
  <si>
    <t>MONCADA WATER DISTRICT</t>
  </si>
  <si>
    <t>NIA-CHICO RIVER PUMP IRRIGATION PROJECT, TUAO, CAGAYAN</t>
  </si>
  <si>
    <t>BARANGAY PATIACAN, QUIRINO, ILOCOS SUR</t>
  </si>
  <si>
    <t>BARANGAY CENTRO 11, APARRI, CAGAYAN</t>
  </si>
  <si>
    <t>BARANGAY CENTRO 2, APARRI, CAGAYAN</t>
  </si>
  <si>
    <t>MABABANABA NATIONAL HIGH SCHOOL</t>
  </si>
  <si>
    <t>MUNICIPALITY OF KASIBU, NUEVA VIZCAYA</t>
  </si>
  <si>
    <t>BARANGAY SAN PEDRO-F, SAN JOSE DEL MONTE CITY, BULACAN</t>
  </si>
  <si>
    <t>BARANGAY ZITANGA, BALLESTEROS, CAGAYAN</t>
  </si>
  <si>
    <t>BARANGAY 122 ZONE 9 DISTRICT 1 MANILA</t>
  </si>
  <si>
    <t>BARANGAY POBLACION, MUNTINLUPA CITY</t>
  </si>
  <si>
    <t>MUNICIPALITY OF SULOP, DAVAO DEL SUR</t>
  </si>
  <si>
    <t>BARANGAY BUENAVISTA, PURA, TARLAC</t>
  </si>
  <si>
    <t>BARANGAY COGON, CARIGARA, LEYTE</t>
  </si>
  <si>
    <t>BARANGAY MONTEVERDE SOCORRO ORIENTAL MINDORO</t>
  </si>
  <si>
    <t>CALINAN CENTRAL ELEMENTARY SCHOOL</t>
  </si>
  <si>
    <t>BARANGAY LEUTEBORO I, SOCORRO, ORIENTAL MINDORO</t>
  </si>
  <si>
    <t>BARANGAY STO DOMINGO, CALABANGA, CAMARINES SUR</t>
  </si>
  <si>
    <t>CADIZ VIEJO NATIONAL HIGH SCHOOL</t>
  </si>
  <si>
    <t>MUNICIPALITY OF CABA, LA UNION</t>
  </si>
  <si>
    <t>TIKALAAN CENTRAL ELEMENTARY SCHOOL</t>
  </si>
  <si>
    <t>BARANGAY LANDUSAN - CAPUL NORTHERN SAMAR</t>
  </si>
  <si>
    <t>NATIONAL POWER CORPORATION - MINGEN, PULANGI IV HEP</t>
  </si>
  <si>
    <t>MUNICIPALITY OF VIRAC , CATANDUANES</t>
  </si>
  <si>
    <t>TANJAY WATER DISTRICT</t>
  </si>
  <si>
    <t>DEPARTMENT OF ENVIRONMENT AND NATURAL RES. - PENRO, REGION I</t>
  </si>
  <si>
    <t>CITY OF BAGUIO, BENGUET</t>
  </si>
  <si>
    <t>BARANGAY PANIQUIHAN - BARAS CATANDUANES</t>
  </si>
  <si>
    <t>BARANGAY TOOG - SAN JOAQUIN, ILOILO</t>
  </si>
  <si>
    <t>TESDA PROVINCIAL TRAINING CENTER - LINGAYEN</t>
  </si>
  <si>
    <t>BARANGAY LONOC, LEON, ILOILO</t>
  </si>
  <si>
    <t>MUNICIPALITY OF BATUAN, MASBATE</t>
  </si>
  <si>
    <t>MUNICIPALITY OF BALANGKAYAN, EASTERN SAMAR</t>
  </si>
  <si>
    <t>UNIVERSITY OF THE PHILIPPINES - MANILA PGH</t>
  </si>
  <si>
    <t>TECHNOLOGICAL UNIVERSITY OF THE PHILIPPINES - CAVITE CAMPUS</t>
  </si>
  <si>
    <t>MUNICIPALITY OF LAMBAYONG, SULTAN KUDARAT</t>
  </si>
  <si>
    <t>BARANGAY CENTRAL 3, PALOMPON, LEYTE</t>
  </si>
  <si>
    <t>MUNICIPALITY OF BOKOD, BENGUET</t>
  </si>
  <si>
    <t>PROVINCE OF SIQUIJOR</t>
  </si>
  <si>
    <t>BARANGAY RIZAL, PALOMPON, LEYTE</t>
  </si>
  <si>
    <t>MUNICIPALITY OF SAN ISIDRO, BOHOL</t>
  </si>
  <si>
    <t>MUNICIPALITY OF ALEOSAN, COTABATO</t>
  </si>
  <si>
    <t>BARANGAY STA. CRUZ, JAVIER, LEYTE</t>
  </si>
  <si>
    <t>BARANGAY LAPAZ, VILLASIS, PANGASINAN</t>
  </si>
  <si>
    <t>BARANGAY PARUDDUN NORTE - APARRI CAGAYAN</t>
  </si>
  <si>
    <t>NATIONAL POWER CORPORATION - SPUG/BICOL OPERATIONS DIVISION</t>
  </si>
  <si>
    <t>BARANGAY LIPIT - DIPACULAO AURORA</t>
  </si>
  <si>
    <t>MUNICIPALITY OF DINGLE, ILOILO</t>
  </si>
  <si>
    <t>BARANGAY PATUNUNGAN STA. ANA CAGAYAN</t>
  </si>
  <si>
    <t>BARANGAY SAN SEBASTIAN, LUNA, APAYAO</t>
  </si>
  <si>
    <t>BARANGAY BAGONG SIRANG - SIPOCOT, CAMARINES SUR</t>
  </si>
  <si>
    <t>SORSOGON STATE COLLEGE - SORSOGON CITY</t>
  </si>
  <si>
    <t>MUNICIPALITY OF LABO, CAMARINES NORTE</t>
  </si>
  <si>
    <t>BARANGAY CAGUDALO -  CATBALOGAN CITY</t>
  </si>
  <si>
    <t>BARANGAY INAYANGAN, DAVAO CITY</t>
  </si>
  <si>
    <t>BARANGAY AFUSING BATU, ALCALA, CAGAYAN</t>
  </si>
  <si>
    <t>DEPARTMENT OF SCIENCE AND TECHNOLOGY - REGION  III</t>
  </si>
  <si>
    <t>FRANCES NATIONAL HIGH SCHOOL - CALUMPIT BULACAN</t>
  </si>
  <si>
    <t>MUNICIPALITY OF BANGA, AKLAN</t>
  </si>
  <si>
    <t>MUNICIPALITY OF LAGANGILANG, ABRA</t>
  </si>
  <si>
    <t>BARANGAY BULAWAN - SIPOCOT, CAMARINES SUR</t>
  </si>
  <si>
    <t>BARANGAY SAN PEDRO, SAN LUIS, AGUSAN DEL SUR</t>
  </si>
  <si>
    <t>BARANGAY MIALEM - JIMENEZ, MISAMIS OCCIDENTAL</t>
  </si>
  <si>
    <t>DEPARTMENT OF PUBLIC WORKS AND HIGHWAYS - LAGUNA III DISTRIC</t>
  </si>
  <si>
    <t>BARANGAY KAHAPONAN, VALENCIA CITY</t>
  </si>
  <si>
    <t>MUNICIPALITY OF LAPINIG, NORTHERN SAMAR</t>
  </si>
  <si>
    <t>BARANGAY POLOPINA, CONCEPCION, ILOILO</t>
  </si>
  <si>
    <t>SAN JOSE (DINAGAT ISLAND) WATER DISTRICT</t>
  </si>
  <si>
    <t>BARANGAY TIMALANG, IPIL, ZAMBOANGA SIBUGAY</t>
  </si>
  <si>
    <t>BARANGAY LISAP, BONGABONG, ORIENTAL MINDORO</t>
  </si>
  <si>
    <t>BARANGAY BOLO NORTE - SIPOCOT, CAMARINES SUR</t>
  </si>
  <si>
    <t>MUNICIPALITY OF CORELLA, BOHOL</t>
  </si>
  <si>
    <t>BARANGAY CABUYEW, NAGCARLAN, LAGUNA</t>
  </si>
  <si>
    <t>BARANGAY SAN MIGUEL, TAGUM CITY, DAVAO DEL NORTE</t>
  </si>
  <si>
    <t>MUNICIPALITY OF PANGANIBAN, CATANDUANES</t>
  </si>
  <si>
    <t>BARANGAY TUGBUNGAN, ZAMBOANGA CITY, ZAMBOANGA DEL SUR</t>
  </si>
  <si>
    <t>KAPAYAPAAN INTEGRATED SCHOOL - CALAMBA CITY LAGUNA</t>
  </si>
  <si>
    <t>MUNICIPALITY OF GENERAL TINIO, NUEVA ECIJA</t>
  </si>
  <si>
    <t>NATIONAL ECONOMIC AND DEVELOPMENT AUTHORITY - REGION XII</t>
  </si>
  <si>
    <t>BARANGAY 32-A, LA PAZ EAST, LAOAG, ILOCOS NORTE</t>
  </si>
  <si>
    <t>DEPARTMENT OF TRADE AND INDUSTRY - REGION IV-B(MIMAROPA)</t>
  </si>
  <si>
    <t>MUNICIPALITY OF GEN. M. ALVAREZ, CAVITE</t>
  </si>
  <si>
    <t>UNIVERSITY OF RIZAL SYSTEM</t>
  </si>
  <si>
    <t>NATIONAL TOBACCO ADMINISTRATION - REGION II</t>
  </si>
  <si>
    <t>NATIONAL IRRIGATION ADMINISTRATION - NVIMO</t>
  </si>
  <si>
    <t>DEPARTMENT OF PUBLIC WORKS AND HIGHWAYS - CEBU 2ND DEO</t>
  </si>
  <si>
    <t>BARANGAY MALAMA - LIGAO CITY</t>
  </si>
  <si>
    <t>MUNICIPALITY OF QUEZON , BUKIDNON</t>
  </si>
  <si>
    <t>BARANGAY BAGTIC - CATIGBIAN BOHOL</t>
  </si>
  <si>
    <t>ESCOLASTICA ELEMENTARY SCHOOL</t>
  </si>
  <si>
    <t>BARANGAY GUESSET, NAGUILIAN, LA UNION</t>
  </si>
  <si>
    <t>CITY OF BAYBAY, LEYTE</t>
  </si>
  <si>
    <t>TUBLAY SCHOOL OF HOME INDUSTRIES</t>
  </si>
  <si>
    <t>DR. E. B. ESPINOSA, SR. MEMORIAL STATE COL OF AGRIC AND TECH</t>
  </si>
  <si>
    <t>MUNICIPALITY OF DAUIS, BOHOL</t>
  </si>
  <si>
    <t>BARANGAY CECILIA, SAN LUIS, AGUSAN DEL SUR</t>
  </si>
  <si>
    <t>BARANGAY HIWACLOY - GOA CAMARINES SUR</t>
  </si>
  <si>
    <t>MUNICIPALITY OF CLAVERIA, MISAMIS ORIENTAL</t>
  </si>
  <si>
    <t>MUNICIPALITY OF SAN JUAN, SIQUIJOR</t>
  </si>
  <si>
    <t>BARANGAY SAPA 2 - ROSARIO CAVITE</t>
  </si>
  <si>
    <t>SINILOAN WATER DISTRICT</t>
  </si>
  <si>
    <t>BARANGAY CATULIN -  BUENAVISTA QUEZON</t>
  </si>
  <si>
    <t>BARANGAY BASUG - SANTA ILOCOS SUR</t>
  </si>
  <si>
    <t>BARANGAY DEL ROSARIO, OAS, ALBAY</t>
  </si>
  <si>
    <t>BARANGAY FIDEL SURTIDA, STO. DOMINGO, ALBAY</t>
  </si>
  <si>
    <t>BARANGAY PALNAB DEL NORTE - VIRAC CATANDUANES</t>
  </si>
  <si>
    <t>DEPARTMENT OF PUBLIC WORKS AND HIGHWAYS - BATANGAS 1ST DISTR</t>
  </si>
  <si>
    <t>BARANGAY  CARMELO 1 - SAN REMIGIO ANTIQUE</t>
  </si>
  <si>
    <t>NATIONAL IRRIGATION ADMINISTRATION -CAUAYAN CITY ISABELA</t>
  </si>
  <si>
    <t>MUNICIPALITY OF DUERO, BOHOL</t>
  </si>
  <si>
    <t>LAND BANK OF THE PHILIPPINES - SAN FERNANDO BRANCH</t>
  </si>
  <si>
    <t>BARANGAY TAMBO, LIPA CITY</t>
  </si>
  <si>
    <t>BARANGAY SAN ROQUE, TUBAJON, DINAGAT ISLANDS</t>
  </si>
  <si>
    <t>MUNICIPALITY OF QUIRINO, ISABELA</t>
  </si>
  <si>
    <t>BARANGAY TEJERO, HILONGOS, LEYTE</t>
  </si>
  <si>
    <t>MUNICIPALITY OF AGONCILLO, BATANGAS</t>
  </si>
  <si>
    <t>MUNICIPALITY OF LUCBAN, QUEZON</t>
  </si>
  <si>
    <t>MARINDUQUE STATE COLLEGE</t>
  </si>
  <si>
    <t>BARANGAY MURONG, BAGABAG, NUEVA VIZCAYA</t>
  </si>
  <si>
    <t>COMMISSION ON POPULATION - REGION III</t>
  </si>
  <si>
    <t>DEPARTMENT OF PUBLIC WORKS AND HIGHWAYS - LAGUNA II DEO</t>
  </si>
  <si>
    <t>PHILIPPINE PORTS AUTHORITY - PMO WESTERN LEYTE/BILIRAN</t>
  </si>
  <si>
    <t>BARANNGAY 733 ZONE 80 DISTRICT V, MANILA</t>
  </si>
  <si>
    <t>BARANGAY MALIMPIN, DASOL, PANGASINAN</t>
  </si>
  <si>
    <t>BARANGAY SANDOVAL, TAYTAY, PALAWAN</t>
  </si>
  <si>
    <t>DEPARTMENT OF PUBLIC WORKS AND HIGHWAYS - BILIRAN ED</t>
  </si>
  <si>
    <t>DEPARTMENT OF AGRICULTURE - REGION XII</t>
  </si>
  <si>
    <t>MUNICIPALITY OF BONTOC, MOUNTAIN PROVINCE</t>
  </si>
  <si>
    <t>NATIONAL IRRIGATION ADMINISTRATION - AKLAN</t>
  </si>
  <si>
    <t>PHILIPPINE AMUSEMENT AND GAMING CORPORATION-BACOLOD</t>
  </si>
  <si>
    <t>BARANGAY PALUA, MANGALDAN, PANGASINAN</t>
  </si>
  <si>
    <t>BARANGAY CABANGCALAN, AROROY, MASBATE</t>
  </si>
  <si>
    <t>TERESA WATER DISTRICT</t>
  </si>
  <si>
    <t>BARANGAY LIGTONG I ROSARIO CAVITE</t>
  </si>
  <si>
    <t>BARANGAY BARIKIR, SINAIT, ILOCOS SUR</t>
  </si>
  <si>
    <t>MUNICIPALITY OF LEMERY, ILOILO</t>
  </si>
  <si>
    <t>POLANCO WATER DISTRICT</t>
  </si>
  <si>
    <t>DEPARTMENT OF TRADE AND INDUSTRY - BOHOL PROVINCIAL OFFICE</t>
  </si>
  <si>
    <t>MATI WATER DISTRICT</t>
  </si>
  <si>
    <t>LANDBANK OF THE PHILIPPINES - HEAD OFFICE</t>
  </si>
  <si>
    <t>BARANGAY NAMNAMA, CABATUAN, ISABELA</t>
  </si>
  <si>
    <t>LEON A. GARCIA SR. ELEM. SCHOOL</t>
  </si>
  <si>
    <t>BARANGAY 43 TAMAOYAN -LEGAZPI CITY ALBAY</t>
  </si>
  <si>
    <t>MUNICIPALITY OF  PANAON, MISAMIS OCCIDENTAL</t>
  </si>
  <si>
    <t>PHILIPPINE PORTS AUTHORITY - PMO ILIGAN</t>
  </si>
  <si>
    <t>BALAYAN WATER DISTRICT</t>
  </si>
  <si>
    <t>NATIONAL BUREAU OF INVESTIGATION</t>
  </si>
  <si>
    <t>WAO WATER DISTRICT</t>
  </si>
  <si>
    <t>BARANGAY GURUYAN, JUBAN, SORSOGON</t>
  </si>
  <si>
    <t>BARANGAY CAINGIN, LAPAZ, ILOILO CITY</t>
  </si>
  <si>
    <t>STA. CRUZ NATIONAL HIGH SCHOOL - OCCIENTAL MINDORO</t>
  </si>
  <si>
    <t>BARANGAY MACABUG, AROROY, MASBATE</t>
  </si>
  <si>
    <t>MUNICIPALITY OF KABACAN, COTABATO</t>
  </si>
  <si>
    <t>MUNICIPALITY OF DOLORES, EASTERN SAMAR</t>
  </si>
  <si>
    <t>NATIONAL FOOD AUTHORITY - REGION VI</t>
  </si>
  <si>
    <t>BARANGAY SANTIAGO, MARCOS, ILOCOS NORTE</t>
  </si>
  <si>
    <t>MUNICIPALITY OF TUBLAY, BENGUET</t>
  </si>
  <si>
    <t>SILAY CITY WATER DISTRICT</t>
  </si>
  <si>
    <t>DEPARTMENT OF PUBLIC WORKS AND HIGHWAYS - CAR</t>
  </si>
  <si>
    <t>BARANGAY BALOGO, PASACAO, CAMARINES SUR</t>
  </si>
  <si>
    <t>DEPED-STA.ANA CENTRAL ELEMENTARY SCHOOL</t>
  </si>
  <si>
    <t>ARMED FORCES OF THE PHILS. LOGISTICS COMMAND ELEM. SCHOOL</t>
  </si>
  <si>
    <t>DEPARTMENT OF PUBLIC WORKS AND HIGHWAYS - MASBATE 3RD DEO</t>
  </si>
  <si>
    <t>PHILIPPINE FISHERIES DEVELOPMENT AUTHORITY- REGION IX</t>
  </si>
  <si>
    <t>PHILIPPINE POSTAL CORPORATION - REGION VII</t>
  </si>
  <si>
    <t>MUNICIPALITY OF TANAUAN, LEYTE</t>
  </si>
  <si>
    <t>DEPARTMENT OF LABOR AND EMPLOYMENT - REGION IV-B</t>
  </si>
  <si>
    <t>MUNICIPALITY OF SALLAPADAN, ABRA</t>
  </si>
  <si>
    <t>CALABANGA WATER DISTRICT</t>
  </si>
  <si>
    <t>MUNICIPALITY OF TUDELA, CEBU</t>
  </si>
  <si>
    <t>DEPED-STO. TOMAS HIGH SCHOOL</t>
  </si>
  <si>
    <t>DEPARTMENT OF EDUCATION - DIVISION OF GUIMARAS</t>
  </si>
  <si>
    <t>NATIONAL IRRIGATION ADMINISTRATION - LEYTE IMO</t>
  </si>
  <si>
    <t>DEPARTMENT OF PUBLIC WORKS AND HIGHWAYS - BATAAN 2ND DEO</t>
  </si>
  <si>
    <t>MUNICIPALITY OF ALCALA, PANGASINAN</t>
  </si>
  <si>
    <t>MUNICIPALITY OF MAHATAO, BATANES</t>
  </si>
  <si>
    <t>DEPARTMENT OF PUBLIC WORKS AND HIGHWAYS - CAGAYAN 2ND DEO</t>
  </si>
  <si>
    <t>BARANGAY KABANGBANG - BANTAYAN, CEBU</t>
  </si>
  <si>
    <t>MUNICIPALITY OF NUEVA ERA, ILOCOS NORTE</t>
  </si>
  <si>
    <t>PHILIPPINE NATIONAL POLICE - REGION VII</t>
  </si>
  <si>
    <t>BARANGAY SAN VICENTE, HINDANG, LEYTE</t>
  </si>
  <si>
    <t>BARANGAY CARANAS - JANIUAY ILOILO</t>
  </si>
  <si>
    <t>BARANGAY CAWAYAN (EXTENSION) - MASBATE CITY</t>
  </si>
  <si>
    <t>LAND BANK OF THE PHILIPPINES - REGION X</t>
  </si>
  <si>
    <t>BARANGAY SACRED HEART - QUEZON CITY</t>
  </si>
  <si>
    <t>DEPARTMENT OF PUBLIC WORKS AND HIGHWAYS - ILOILO 1ST DEO</t>
  </si>
  <si>
    <t>TORRIJOS POBLACION SCHOOL OF ARTS AND TRADES - TESDA</t>
  </si>
  <si>
    <t>BARANGAY SAN JOSE, NAVOTAS CITY</t>
  </si>
  <si>
    <t>GENERAL SANTOS CITY WATER DISTRICT</t>
  </si>
  <si>
    <t>BARANGAY BULO, ALLACAPAN, CAGAYAN</t>
  </si>
  <si>
    <t>BARANGAY BALASIAO, KIBLAWAN, DAVAO DEL SUR</t>
  </si>
  <si>
    <t>MUNICIPALITY OF DANAO, BOHOL</t>
  </si>
  <si>
    <t>BARANGAY MATINA 74-A - MATINA, DAVAO CITY</t>
  </si>
  <si>
    <t>NATIONAL FOOD AUTHORITY - REGION VII</t>
  </si>
  <si>
    <t>PROVINCE OF SORSOGON</t>
  </si>
  <si>
    <t>BARANGAY KAUNLARAN - NAVOTAS CITY</t>
  </si>
  <si>
    <t>BARANGAY VIGAAN, SIPOCOT, CAMARINES SUR</t>
  </si>
  <si>
    <t>CIVIL AVIATION AUTHORITY OF THE PHILIPPINES - DAVAO INTERNAT</t>
  </si>
  <si>
    <t>COTABATO SANITARIUM</t>
  </si>
  <si>
    <t>BARANGAY 816 ZONE 88 DISTIRCT V, MANILA</t>
  </si>
  <si>
    <t>MUNICIPALITY OF LORETO, AGUSAN DEL SUR</t>
  </si>
  <si>
    <t>MUNICIPALITY OF DOLORES, ABRA</t>
  </si>
  <si>
    <t>BARANGAY SALPAD - SAN NICOLAS PANGASINAN</t>
  </si>
  <si>
    <t>BARANGAY PRES. GARCIA, MATALOM, LEYTE</t>
  </si>
  <si>
    <t>OSPITAL NG PALAWAN</t>
  </si>
  <si>
    <t>BARANGAY 185 ZONE-16, DISTRICT 11, MANILA</t>
  </si>
  <si>
    <t>DANGEROUS DRUGS BOARD</t>
  </si>
  <si>
    <t>MUNICIPALITY OF SIGAY, ILOCOS SUR</t>
  </si>
  <si>
    <t>BARANGAY SAN MIGUEL DAO, LOPEZ, QUEZON</t>
  </si>
  <si>
    <t>BARANGAY 201 ZONE 18 DISTRICT II MANILA</t>
  </si>
  <si>
    <t>BARANGAY 726, ZONE 79, DISTRICT V, MANILA</t>
  </si>
  <si>
    <t>BARANGAY 695 ZONE 75 DISTRICT V, MANILA</t>
  </si>
  <si>
    <t>MOLAVE REGIONAL PILOT SCHOOL TRAINING CENTER</t>
  </si>
  <si>
    <t>DEPARTMENT OF PUBLIC WORKS AND HIGHWAYS - MAIN</t>
  </si>
  <si>
    <t>BALON ELEMENTARY SCHOOL</t>
  </si>
  <si>
    <t>BARANGAY MARIA PAZ - TANAUAN CITY, BATANGAS</t>
  </si>
  <si>
    <t>MUNICIPALITY OF SAN EMILIO, ILOCOS SUR</t>
  </si>
  <si>
    <t>BARANGAY 344, ZONE 35, DISTRICT 111, MANILA</t>
  </si>
  <si>
    <t>BARANGAY 331 ZONE 33 DISTRICT III, MANILA</t>
  </si>
  <si>
    <t>AGRICULTURAL CREDIT POLICY COUNCIL</t>
  </si>
  <si>
    <t>BARANGAY CALAUAG, NAGA CITY, CAMARINES SUR</t>
  </si>
  <si>
    <t>BARANGAY BABUYAN, PUERTO PRINCESA CITY, PALAWAN</t>
  </si>
  <si>
    <t>BARANGAY BANUYAO LAPAZ, ILOILO CITY</t>
  </si>
  <si>
    <t>BARANGAY POBLACION 3, BATANGAS CITY</t>
  </si>
  <si>
    <t>MUNICIPALITY OF BOSTON, DAVAO ORIENTAL</t>
  </si>
  <si>
    <t>MUNICIPALITY OF TAYASAN, NEGROS ORIENTAL</t>
  </si>
  <si>
    <t>BARANGAY SILAWE, POLANCO, ZAMBOANGA DEL NORTE</t>
  </si>
  <si>
    <t>BUREAU OF FIRE PROTECTION - REGION XII</t>
  </si>
  <si>
    <t>DEPARTMENT OF EDUCATION - DIVISION OF ANTIQUE</t>
  </si>
  <si>
    <t>MUNICIPALITY OF GETAFE, BOHOL</t>
  </si>
  <si>
    <t>LAGUNA STATE POLYTECHNIC UNIVERSITY - SAN PABLO CITY CAMPUS</t>
  </si>
  <si>
    <t>BARANGAY TINAPIAN BALENO MASBATE</t>
  </si>
  <si>
    <t>BARANGAY NATUNUAN SOUTH, SAN PASCUAL, BATANGAS</t>
  </si>
  <si>
    <t>BARANGAY MANAUL, MANSALAY, ORIENTAL MINDORO</t>
  </si>
  <si>
    <t>TARLAC AGRICULTURAL UNIVERSITY</t>
  </si>
  <si>
    <t>MUNICIPALITY OF TINGLAYAN, KALINGA</t>
  </si>
  <si>
    <t>MUNICIPALITY OF GALIMUYOD, ILOCOS SUR</t>
  </si>
  <si>
    <t>MUNICIPALITY OF SEBASTE, ANTIQUE</t>
  </si>
  <si>
    <t>MUNICIPALITY OF GAMU, ISABELA</t>
  </si>
  <si>
    <t>BARANGAY NEW LAWAAN - M'LANG COTABATO</t>
  </si>
  <si>
    <t>INSTITUTE FOR LABOR STUDIES - MANILA METRO MANILA</t>
  </si>
  <si>
    <t>NAVAL INSTITUTE OF TECHNOLOGY</t>
  </si>
  <si>
    <t>CALAOCALAO ELEMENTARY SCHOOL - DON CARLOS BUKIDNON</t>
  </si>
  <si>
    <t>SK OF BARANGAY  BARANGAY CEMBO - MAKATI CITY</t>
  </si>
  <si>
    <t>MUNICIPALITY OF CAGDIANAO, DINAGAT ISLAND</t>
  </si>
  <si>
    <t>PHILIPPINE AMUSEMENT AND GAMING CORPORATION - ILOCOS NORTE</t>
  </si>
  <si>
    <t>CABANTIAN ELEMENTARY SCHOOL</t>
  </si>
  <si>
    <t>DEPARTMENT OF PUBLIC WORKS AND HIGHWAYS - MIS. OCC. SUB-DEO</t>
  </si>
  <si>
    <t>BARANGAY SAN VICENTE, DAPITAN CITY, ZAMBOANGA DEL NORTE</t>
  </si>
  <si>
    <t>MUNICIPALITY OF LILOY, ZAMBOANGA DEL NORTE</t>
  </si>
  <si>
    <t>BARANGAY IRISAN, BAGUIO CITY</t>
  </si>
  <si>
    <t>BARANGAY BULAGAO, TUAO, CAGAYAN</t>
  </si>
  <si>
    <t>PROVINCE OF SOUTH COTABATO</t>
  </si>
  <si>
    <t>MUNICIPALITY OF TIGBAO, ZAMBOANGA DEL SUR</t>
  </si>
  <si>
    <t>BARANGAY ORANBO, PASIG CITY</t>
  </si>
  <si>
    <t>BARANGAY KANDIIS, MAGSAYSAY, MISAMIS ORIENTAL</t>
  </si>
  <si>
    <t>BARANGAY BAGONG SAN ROQUE, STO. DOMINGO, ALBAY</t>
  </si>
  <si>
    <t>BARANGAY 19-B, DAVAO CITY</t>
  </si>
  <si>
    <t>BARANGAY BACUNGAN, NAUJA, ORIENTAL MINDORO</t>
  </si>
  <si>
    <t>MUNICIPALITY OF PAMPLONA, CAMARINES SUR</t>
  </si>
  <si>
    <t>BARANGAY LEMON, BUTUAN CITY</t>
  </si>
  <si>
    <t>BARANGAY POBLACION MUSLIM - TITAY, ZAMBOANGA SIBUGAY</t>
  </si>
  <si>
    <t>BARANGAY STA. MONICA - SAN PABLO CITY, LAGUNA</t>
  </si>
  <si>
    <t>BARANGAY TUBAC MUTIA ZAMBOANGA DEL NORTE</t>
  </si>
  <si>
    <t>MUNICIPALITY OF MEDELLIN, CEBU</t>
  </si>
  <si>
    <t>MUNICIPALITY OF KABASALAN, ZAMBOANGA SIBUGAY</t>
  </si>
  <si>
    <t>MUNICIPALITY OF PEREZ, QUEZON</t>
  </si>
  <si>
    <t>BARANGAY OWAK, ASTURIAS, CEBU</t>
  </si>
  <si>
    <t>MUNICIPALITY OF SANTA, ILOCOS SUR</t>
  </si>
  <si>
    <t>BARANGAY PITOGO, CATAINGAN, MASBATE</t>
  </si>
  <si>
    <t>PEOPLE'S TELEVISION NETWORK, INC.</t>
  </si>
  <si>
    <t>MUNICIPALITY OF MABUHAY, ZAMBOANGA SIBUGAY</t>
  </si>
  <si>
    <t>BARANGAY TAGBONGABONG - R.T. ROMUALDEZ, AGUSAN DEL NORTE</t>
  </si>
  <si>
    <t>BARANGAY OBRERO, CABANATUAN CITY, NUEVA ECIJA</t>
  </si>
  <si>
    <t>MUNICIPALITY OF LOS BAÑOS, LAGUNA</t>
  </si>
  <si>
    <t>MUNICIPALITY OF MALALAG, DAVAO DEL SUR</t>
  </si>
  <si>
    <t>MUNICIPALITY OF SAN ENRIQUE, NEGROS OCCIDENTAL</t>
  </si>
  <si>
    <t>MUNICIPALITY OF CALUYA, ANTIQUE</t>
  </si>
  <si>
    <t>BARANGAY SAN FRANCISCO, NAGCARLAN, LAGUNA</t>
  </si>
  <si>
    <t>CITY OF TABUK, KALINGA</t>
  </si>
  <si>
    <t>BARANGAY MANAOL, NAGCARLAN, LAGUNA</t>
  </si>
  <si>
    <t>MUNICIPALITY OF CALINTAAN, OCCIDENTAL MINDORO</t>
  </si>
  <si>
    <t>MUNICIPALITY OF NABUA, CAMARINES SUR</t>
  </si>
  <si>
    <t>BARANGAY SAN PABLO - VIRAC CATANDUANES</t>
  </si>
  <si>
    <t>CITY OF TANDAG, SURIGAO DEL SUR</t>
  </si>
  <si>
    <t>CITY OF TRECE MARTIRES</t>
  </si>
  <si>
    <t>CITY OF MUNTINLUPA</t>
  </si>
  <si>
    <t>BARANGAY OSUKAN, LABASON, ZAMBOANGA DEL NORTE</t>
  </si>
  <si>
    <t>MUNICIPALITY OF SOMINOT, ZAMBOANGA DEL SUR</t>
  </si>
  <si>
    <t>DEPARTMENT OF HEALTH REGIONAL OFFICE II</t>
  </si>
  <si>
    <t>BARANGAY RIZAL - SORSOGON CITY SORSOGON</t>
  </si>
  <si>
    <t>MUNICIPALITY OF SAN ANDRES, ROMBLON</t>
  </si>
  <si>
    <t>ZAMBOANGA STATE COLLEGE OF MARINE SCIENCES AND TECHNOLOGY</t>
  </si>
  <si>
    <t>BARANGAY CATAYAUAN LALLO CAGAYAN</t>
  </si>
  <si>
    <t>BARANGAY STA. CRUZ, PASIG CITY</t>
  </si>
  <si>
    <t>BARAGAY MELOJAVILLA - CABANATUAN CITY</t>
  </si>
  <si>
    <t>MUNICIPALITY OF PANUKULAN, QUEZON</t>
  </si>
  <si>
    <t>DUTY FREE PHILIPPINES CORPORATION</t>
  </si>
  <si>
    <t>DR. VICENTE F. GUSTILO MEMORIAL NATIONAL HIGH SCHOOL</t>
  </si>
  <si>
    <t>BARANGAY MALHIAO, BADIAN, CEBU</t>
  </si>
  <si>
    <t>PHILIPPINE SCIENCE HIGH SCHOOL - CENTRAL VISAYAS CAMPUS</t>
  </si>
  <si>
    <t>BARANGAY BALANTANG, JARO, ILOILO CITY</t>
  </si>
  <si>
    <t>BARANGAY MINAOG - DIPOLOG CITY ZAMBOANGA DEL NORTE</t>
  </si>
  <si>
    <t>MUNICIPALITY OF HERMOSA, BATAAN</t>
  </si>
  <si>
    <t>MUNICIPALITY OF TITAY, ZAMBOANGA SIBUGAY</t>
  </si>
  <si>
    <t>BARANGAY KALANDAGAN, TACURONG, SULTAN KUDARAT</t>
  </si>
  <si>
    <t>BARANGAY TAYTAY, NAGCARLAN, LAGUNA</t>
  </si>
  <si>
    <t>MUNICIPALITY OF QUEZON, ISABELA</t>
  </si>
  <si>
    <t>BARANGAY CATAGGAMAN VIEJO - TUGUEGARAO CITY</t>
  </si>
  <si>
    <t>NATIONAL FOOD AUTHORITY - REGION I</t>
  </si>
  <si>
    <t>BARANGAY CENTRO 11 - TUGUEGARAO CITY</t>
  </si>
  <si>
    <t>MUNICIPALITY OF SIAY, ZAMBOANGA SIBUGAY</t>
  </si>
  <si>
    <t>GOVERNMENT PROCUREMENT POLICY BOARD - TECHNICAL SUPPORT OFFI</t>
  </si>
  <si>
    <t>PROVINCE OF IFUGAO</t>
  </si>
  <si>
    <t>MUNICIPALITY OF DEL GALLEGO, CAMARINES SUR</t>
  </si>
  <si>
    <t>DEPARTMENT OF PUBLIC WORKS AND HIGHWAYS - NEGROS ORIENTAL 2N</t>
  </si>
  <si>
    <t>BARANGAY PINPIN, TUBOD, LANAO DEL NORTE</t>
  </si>
  <si>
    <t>MUNICIPALITY OF MALVAR, BATANGAS</t>
  </si>
  <si>
    <t>BARANGAY SAN TEODORO, BAUAN, BATANGAS</t>
  </si>
  <si>
    <t>KIDAPAWAN CITY NATIONAL HIGH SCHOOL</t>
  </si>
  <si>
    <t>PHILIPPINE ARMY (PA)</t>
  </si>
  <si>
    <t>LIANGA WATER DISTRICT</t>
  </si>
  <si>
    <t>DEPARTMENT OF PUBLIC WORKS AND HIGHWAYS - REGION VII</t>
  </si>
  <si>
    <t>DEPARTMENT OF PUBLIC WORKS AND HIGHWAYS - CAGAYAN 1ST DEO</t>
  </si>
  <si>
    <t>MUNICIPALITY OF BUGUEY, CAGAYAN</t>
  </si>
  <si>
    <t>BARANGAY APLAYA, BAUAN, BATANGAS</t>
  </si>
  <si>
    <t>MUNICIPALITY OF SALCEDO, ILOCOS SUR</t>
  </si>
  <si>
    <t>DENR-PENRO CAMARINES SUR</t>
  </si>
  <si>
    <t>BARANGAY VILLAHERMOSA, TUDELA, CEBU</t>
  </si>
  <si>
    <t>MUNICIPALITY OF PONTEVEDRA, CAPIZ</t>
  </si>
  <si>
    <t>SULU SANITARIUM</t>
  </si>
  <si>
    <t>COMMISSION ON AUDIT - ARMM</t>
  </si>
  <si>
    <t>DEPARTMENT OF PUBLIC WORKS AND HIGHWAYS - DAVAO CITY DEO</t>
  </si>
  <si>
    <t>NATIONAL TOBACCO ADMINISTRATION</t>
  </si>
  <si>
    <t>BARANGAY ZAPAT, SINAIT, ILOCOS SUR</t>
  </si>
  <si>
    <t>BARANGAY TUGAS - LEMERY,ILOILO</t>
  </si>
  <si>
    <t>MUNICIPALITY OF CALUBIAN, LEYTE</t>
  </si>
  <si>
    <t>MUNICIPALITY OF TUY, BATANGAS</t>
  </si>
  <si>
    <t>DAPITAN CITY WATER DISTRICT</t>
  </si>
  <si>
    <t>BARANGAY AGUADA NORTE - MAGALLANES, SORSOGON</t>
  </si>
  <si>
    <t>MUNICIPALITY OF GUINSILIBAN, CAMIGUIN</t>
  </si>
  <si>
    <t>MUNICIPALITY OF ALCANTARA, CEBU</t>
  </si>
  <si>
    <t>BARANGAY ALABUG - TUAO CAGAYAN</t>
  </si>
  <si>
    <t>MUNICIPALITY OF DUMANGAS, ILOILO</t>
  </si>
  <si>
    <t>BARANGAY GIMALOTO - SORSOGON CITY SORSOGON</t>
  </si>
  <si>
    <t>COMMISSION ON APPOINTMENTS</t>
  </si>
  <si>
    <t>MUNICIPALITY OF CARMEN COTABATO</t>
  </si>
  <si>
    <t>OFFICE OF THE PRESIDENT</t>
  </si>
  <si>
    <t>MLANG WATER DISTRICT</t>
  </si>
  <si>
    <t>NORTHWEST SAMAR STATE UNIVERSITY</t>
  </si>
  <si>
    <t>BARANGAY MH DEL PILAR, GUMACA, QUEZON</t>
  </si>
  <si>
    <t>DEPARTMENT OF PUBLIC WORKS AND HIGHWAYS - BUKIDNON 1ST DEO</t>
  </si>
  <si>
    <t>BARANGAY BALISONG, ARGAO, CEBU</t>
  </si>
  <si>
    <t>ENVIRONMENTAL MANAGEMENT BUREAU - REGION VII</t>
  </si>
  <si>
    <t>BARANGAY SAN ISIDRO, SORSOGON CITY</t>
  </si>
  <si>
    <t>BARANGAY PARI-AN - ENRIQUE VILLANUEVA SIQUIJOR</t>
  </si>
  <si>
    <t>MUNICIPALITY OF STA. FE, LEYTE</t>
  </si>
  <si>
    <t>MUNICIPALITY OF SAN SIMON, PAMPANGA</t>
  </si>
  <si>
    <t>MUNICIPALITY OF PANGLAO, BOHOL</t>
  </si>
  <si>
    <t>BARANGAY BALZAIN WEST - TUGUEGARAO CITY, CAGAYAN</t>
  </si>
  <si>
    <t>MUNICIPALITY OF JAVIER, LEYTE</t>
  </si>
  <si>
    <t>MUNICIPALITY OF SUGPON, ILOCOS SUR</t>
  </si>
  <si>
    <t>DEPARTMENT OF PUBLIC WORKS AND HIGHWAYS - DAVAO ORIENTAL 2ND</t>
  </si>
  <si>
    <t>MUNICIPALITY OF MINGLANILLA, CEBU</t>
  </si>
  <si>
    <t>BANSALAN WATER DISTRICT</t>
  </si>
  <si>
    <t>MUNICIPALITY OF BAUNGON, BUKIDNON</t>
  </si>
  <si>
    <t>NAGA ANGELA ELEMENTARY SCHOOL</t>
  </si>
  <si>
    <t>BARANGAY IGANGON - SAN ISIDRO, DAVAO DEL NORTE</t>
  </si>
  <si>
    <t>MUNICIPALITY OF LAMUT, IFUGAO</t>
  </si>
  <si>
    <t>MUNICIPALITY OF BANGUI, ILOCOS NORTE</t>
  </si>
  <si>
    <t>BARANGAY CAMANCI SUR - NUMANCIA, AKLAN</t>
  </si>
  <si>
    <t>MARITIME INDUSTRY AUTHORITY (MARINA)</t>
  </si>
  <si>
    <t>BARANGAY MARIKIT, PALUAN, OCCIDENTAL MINDORO</t>
  </si>
  <si>
    <t>BARANGAY ROSARIO, GUMACA, QUEZON</t>
  </si>
  <si>
    <t>MUNICIPALITY OF MAMBURAO, OCCIDENTAL MINDORO</t>
  </si>
  <si>
    <t>BUREAU OF FISHERIES AND AQUATIC RESOURCES - REGION III</t>
  </si>
  <si>
    <t>BARANGAY SAN RAMON, OAS, ALBAY</t>
  </si>
  <si>
    <t>TECHNICAL EDUCATION &amp; SKILLS DEVELOPMENT AUTHORITY - MANILA</t>
  </si>
  <si>
    <t>MUNICIPALITY OF VIGA, CATANDUANES</t>
  </si>
  <si>
    <t>BARANGAY CANUBAY, OROQUIETA CITY</t>
  </si>
  <si>
    <t>BARANGAY CABADIANGAN, KADINGILAN, BUKIDNON</t>
  </si>
  <si>
    <t>DEPARTMENT OF PUBLIC WORKS AND HIGHWAYS - BAGUIO CITY DEO</t>
  </si>
  <si>
    <t>BARANGAY TALIBAEW, CALASIAO, PANGASINAN</t>
  </si>
  <si>
    <t>DEPARTMENT OF PUBLIC WORKS AND HIGHWAYS - DAVAO OCCIDENTAL D</t>
  </si>
  <si>
    <t>BARANGAY MANGAYON, COMPOSTELA, COMPOSTELA VALLEY</t>
  </si>
  <si>
    <t>MUNICIPALITY OF MALUNGON, SARANGANI</t>
  </si>
  <si>
    <t>MUNICIPALITY OF GAMAY, NORTHERN SAMAR</t>
  </si>
  <si>
    <t>BARANGAY SILANGAN UNO - ROSARIO CAVITE</t>
  </si>
  <si>
    <t>BARANGAY BERSEBA, BAYUGAN CITY</t>
  </si>
  <si>
    <t>MUNICIPALITY OF CANDIJAY, BOHOL</t>
  </si>
  <si>
    <t>BARANGAY CITRUS, SAN JOSE DEL MONTE CITY</t>
  </si>
  <si>
    <t>PNOC - ALTERNATIVE FUELS CORPORATION</t>
  </si>
  <si>
    <t>BARANGAY BANGON - PINABACDAO SAMAR</t>
  </si>
  <si>
    <t>MUNICIPALITY OF GIGMOTO, CATANDUANES</t>
  </si>
  <si>
    <t>MUNICIPALITY OF SUDIPEN, LA UNION</t>
  </si>
  <si>
    <t>TOLEDO NATIONAL HIGH SCHOOL - NABAS, AKLAN</t>
  </si>
  <si>
    <t>BARANGAY TINGA LABAC, BATANGAS CITY</t>
  </si>
  <si>
    <t>JERUSALEM NATIONAL HIGH SCHOOL - CADIZ CITY NEGROS OCCIDENTA</t>
  </si>
  <si>
    <t>DEPARTMENT OF PUBLIC WORKS AND HIGHWAYS - NCR</t>
  </si>
  <si>
    <t>MUNICIPALITY OF TABUELAN, CEBU</t>
  </si>
  <si>
    <t>NATIONAL NUTRITION COUNCIL - REGION III</t>
  </si>
  <si>
    <t>BARANGAY CARARAYAN, NAGA, CAMARINES SUR</t>
  </si>
  <si>
    <t>MUNICIPALITY OF PADRE GARCIA, BATANGAS</t>
  </si>
  <si>
    <t>DEPARTMENT OF PUBLIC WORKS AND HIGHWAYS - MINDORO OCCIDENTAL</t>
  </si>
  <si>
    <t>BARANGAY BULUANGAN, GUIMBAL, ILOILO</t>
  </si>
  <si>
    <t>MUNICIPALITY OF BAY, LAGUNA</t>
  </si>
  <si>
    <t>MUNICIPALITY OF PALO - LEYTE LEYTE</t>
  </si>
  <si>
    <t>MUNICIPALITY OF SANTO DOMINGO, ILOCOS SUR</t>
  </si>
  <si>
    <t>MUNICIPALITY OF SANTA MARIA, ILOCOS SUR</t>
  </si>
  <si>
    <t>BARANGAY DAS, TOLEDO CITY</t>
  </si>
  <si>
    <t>BARANGAY CAMPISONG, GINATILAN, CEBU</t>
  </si>
  <si>
    <t>MUNICIPALITY OF MATUNGAO, LANAO DEL NORTE</t>
  </si>
  <si>
    <t>DEPARTMENT OF PUBLIC WORKS AND HIGHWAYS - BULACAN 2ND DEO</t>
  </si>
  <si>
    <t>MUNICIPALITY OF USON, MASBATE</t>
  </si>
  <si>
    <t>BARANGAY SINONOC, SINACABAN, MISAMIS OCCIDENTAL</t>
  </si>
  <si>
    <t>BARANGAY 4, LUCBAN, QUEZON</t>
  </si>
  <si>
    <t>BANGUINGUI TONGKIL SULU</t>
  </si>
  <si>
    <t>MUNICIPALIY OF PANITAN, CAPIZ</t>
  </si>
  <si>
    <t>BARANGAY BAESA</t>
  </si>
  <si>
    <t>MUNICIPALITY OF DIFFUN, QUIRINO</t>
  </si>
  <si>
    <t>MARIVELES WATER DISTRICT</t>
  </si>
  <si>
    <t>MUNICIPALITY OF TABINA, ZAMBOANGA DEL SUR</t>
  </si>
  <si>
    <t>DEPARTMENT OF SCIENCE AND TECHNOLOGY - REGION IV-A</t>
  </si>
  <si>
    <t>MUNICIPALITY OF STA. MARIA, PANGASINAN</t>
  </si>
  <si>
    <t>MUNICIPALITY OF BINALBAGAN, NEGROS OCCIDENTAL</t>
  </si>
  <si>
    <t>BANGKO SENTRAL NG PILIPINAS - TUGUEGARAO BRANCH</t>
  </si>
  <si>
    <t>MUNICIPALITY OF PILAR, BATAAN</t>
  </si>
  <si>
    <t>MUNICIPALITY OF KINOGUITAN , MISAMIS ORIENTAL</t>
  </si>
  <si>
    <t>IBAJAY NATIONAL HIGH SCHOOL</t>
  </si>
  <si>
    <t>MUNICIPALITY OF MIDSAYAP, NORTH COTABATO</t>
  </si>
  <si>
    <t>BARANGAY CAPAGARAN, ALLACAPAN, CAGAYAN</t>
  </si>
  <si>
    <t>MUNICIPALITY OF BAGUMBAYAN, SULTAN KUDARAT</t>
  </si>
  <si>
    <t>BARANGAY STO. NINO - QUINAPONDAN EASTERN SAMAR</t>
  </si>
  <si>
    <t>PALACIO DEL GOBERNADOR CONDOMINIUM CORPORATION</t>
  </si>
  <si>
    <t>PROVINCE OF TARLAC</t>
  </si>
  <si>
    <t>BARANGAY IMELDA - BAYBAY CITY LEYTE</t>
  </si>
  <si>
    <t>MUNICIPALITY OF TOBOSO, NEGROS OCCIDENTAL</t>
  </si>
  <si>
    <t>DEPARTMENT OF PUBLIC WORKS AND HIGHWAYS - QUEZON 3RD ED</t>
  </si>
  <si>
    <t>CAA ELEMENTARY SCHOOL</t>
  </si>
  <si>
    <t>MUNICIPALITY OF SAMBOAN, CEBU</t>
  </si>
  <si>
    <t>MUNICIPALITY OF SAN PASCUAL, BATANGAS</t>
  </si>
  <si>
    <t>BARANGAY CARIDAD - BAYBAY CITY LEYTE</t>
  </si>
  <si>
    <t>MUNICIPALITY OF NAGTIPUNAN, QUIRINO</t>
  </si>
  <si>
    <t>BARANGAY PARIAN OESTE - BAUANG, LA UNION</t>
  </si>
  <si>
    <t>MUNICIPALITY OF BAGULIN, LA UNION</t>
  </si>
  <si>
    <t xml:space="preserve">CADIZ EAST ELEMENTARY SCHOOL </t>
  </si>
  <si>
    <t>BARANGAY MALATAB - ANTIPAS COTABATO</t>
  </si>
  <si>
    <t>UNIVERSITY OF SOUTHERN MINDANAO</t>
  </si>
  <si>
    <t>BARANGAY VILLA FLORES - PATNONGON ANTIQUE</t>
  </si>
  <si>
    <t>BARANGAY NBBS DAGAT-DAGATAN NAVOTAS CITY METRO MANILA</t>
  </si>
  <si>
    <t>PHILIPPINE AMUSEMENT AND GAMING CORPORATION</t>
  </si>
  <si>
    <t>MUNICIPALITY OF DAO, CAPIZ</t>
  </si>
  <si>
    <t>BARANGAY CAU-AYAN, POTOTAN, ILOILO</t>
  </si>
  <si>
    <t>BARANGAY  PONDANG - DARAM SAMAR</t>
  </si>
  <si>
    <t>BARANGAY MENDEZ, MOGPOG, MARINDUQUE</t>
  </si>
  <si>
    <t>BARANGAY CALLAN - POTOTAN, ILOILO</t>
  </si>
  <si>
    <t>MUNICIPALITY OF TUAO, CAGAYAN</t>
  </si>
  <si>
    <t>BARANGAY TUBOD SAN JUAN SIQUIJOR</t>
  </si>
  <si>
    <t>BARANGAY AMAMAROS, POTOTAN, ILOILO</t>
  </si>
  <si>
    <t>BARANGAY POLOT-AN, POTOTAN, ILOILO</t>
  </si>
  <si>
    <t>MUNICIPALITY OF STA. MARCELA, APAYAO</t>
  </si>
  <si>
    <t>BARANGAY UBANG, POTOTAN, ILOILO</t>
  </si>
  <si>
    <t>DEPARTMENT OF PUBLIC WORKS AND HIGHWAYS - NUEVA ECIJA 2ND DE</t>
  </si>
  <si>
    <t>CAMARINES SUR POLYTECHNIC COLLEGES - NABUA CAMPUS</t>
  </si>
  <si>
    <t>BARANGAY CAMBONG LALLO CAGAYAN</t>
  </si>
  <si>
    <t>NATIONAL POWER CORPORATION - SPUG VISAYAS</t>
  </si>
  <si>
    <t>BARANGAY PAPPAT - ANGADANAN ISABELA</t>
  </si>
  <si>
    <t>BARANGAY BAGUMBAYAN, LAL-LO, CAGAYAN</t>
  </si>
  <si>
    <t>EASTERN VISAYAS STATE UNIVERSITY-ORMOC CITY CAMPUS</t>
  </si>
  <si>
    <t>PROVINCE OF OCCIDENTAL MINDORO</t>
  </si>
  <si>
    <t>BARANGAY MINLASAG, SIBUTAD, ZAMBOANGA DEL NORTE</t>
  </si>
  <si>
    <t>NATIONAL IRRIGATION ADMINISTRATION - BANE-IMO</t>
  </si>
  <si>
    <t>BARANGAY PINAGSAMA - TAGUIG CITY</t>
  </si>
  <si>
    <t>IPIL-TITAY WATER DISTRICT</t>
  </si>
  <si>
    <t>SAGAY WATER DISTRICT</t>
  </si>
  <si>
    <t>BARANGAY JAMABALUD, POTOTAN, ILOILO</t>
  </si>
  <si>
    <t>MUNICIPALITY OF CABATUAN, ISABELA</t>
  </si>
  <si>
    <t>MUNICIPALITY OF MABINAY, NEGROS ORIENTAL</t>
  </si>
  <si>
    <t>BARANGAY KIWALO, DARAGA, ALBAY</t>
  </si>
  <si>
    <t>BARANGAY SAN JOSE, SAN JUAN, SOUTHERN LEYTE</t>
  </si>
  <si>
    <t>MUNICIPALITY OF PALOMPON, LEYTE</t>
  </si>
  <si>
    <t>BARANGAY TALIPAPA, QUEZON CITY</t>
  </si>
  <si>
    <t>BARANGAY KATIMO, TAGKAWAYAN, QUEZON</t>
  </si>
  <si>
    <t>MINISTRY OF SOCIAL SERVICES, BARMM</t>
  </si>
  <si>
    <t>NATIONAL DAIRY AUTHORITY</t>
  </si>
  <si>
    <t>NATIONAL IRRIGATION ADMINISTRATION - CARAGA</t>
  </si>
  <si>
    <t>BARANGAY SAN VICENTE, GUMACA, QUEZON</t>
  </si>
  <si>
    <t>LUNG CENTER OF THE PHILIPPINES</t>
  </si>
  <si>
    <t>BARANGAY UPPER BAGONG TUDELA, JOSEFINA, ZAMBOANGA DEL SUR</t>
  </si>
  <si>
    <t>BARANGAY SAN JOAQUIN - CALBAYOG CITY SAMAR</t>
  </si>
  <si>
    <t xml:space="preserve">DON GENEROSO M. VILLANUEVA ELEMENTARY SCHOOL, LA CASTELLANA </t>
  </si>
  <si>
    <t>MUNICIPALITY OF ESTANCIA, ILOILO</t>
  </si>
  <si>
    <t>BARANGAY MABASA,PATNONGON, ANTIQUE</t>
  </si>
  <si>
    <t>BARANGAY SAN JOSE BACON -  BACON DISTRICT, SORSOGON CITY</t>
  </si>
  <si>
    <t>AGRICULTURAL TRAINING INSTITUTE</t>
  </si>
  <si>
    <t>EASTERN SAMAR STATE UNIVERSITY - BORONGAN CITY</t>
  </si>
  <si>
    <t>MUNICIPALITY OF DANGLAS, ABRA</t>
  </si>
  <si>
    <t>DEPARTMENT OF PUBLIC WORKS AND HIGHWAYS - LEYTE 2ND DEO</t>
  </si>
  <si>
    <t>CITY GOVERNMENT OF LUCENA</t>
  </si>
  <si>
    <t>DEPARTMENT OF ENVIRONMENT AND NATURAL RESOURCES - ILOCOS NOR</t>
  </si>
  <si>
    <t>MUNICIPALITY OF RIZAL, ZAMBOANGA DEL NORTE</t>
  </si>
  <si>
    <t>PALAWAN STATE UNIVERSITY</t>
  </si>
  <si>
    <t>BARANGAY POBLACION, BAYUGAN, AGUSAN DEL SUR</t>
  </si>
  <si>
    <t>MUNICIPALITY OF ALLEN, NORTHERN SAMAR</t>
  </si>
  <si>
    <t>PHILIPPINE PUBLIC SAFETY COLLEGE</t>
  </si>
  <si>
    <t>BARANGAY AMOT, BURDEOS, QUEZON</t>
  </si>
  <si>
    <t>CITY OF TAGAYTAY, CAVITE</t>
  </si>
  <si>
    <t>MUNICIPALITY OF BARLIG MOUNTAIN PROVINCE</t>
  </si>
  <si>
    <t>MUNICIPALITY OF REAL, QUEZON</t>
  </si>
  <si>
    <t>BARANGAY TAGAYTAY HILL - JOSEFINA, ZAMBOANGA DEL SUR</t>
  </si>
  <si>
    <t>MUNICIPALITY OF MONREAL, MASBATE</t>
  </si>
  <si>
    <t>MUNICIPALITY OF MONTEVISTA, COMPOSTELA VALLEY</t>
  </si>
  <si>
    <t>MUNICIPALITY OF SAN JUAN, BATANGAS</t>
  </si>
  <si>
    <t>MUNICIPALITY OF DUPAX DEL SUR, NUEVA VIZCAYA</t>
  </si>
  <si>
    <t>MUNICIPALITY OF KATIPUNAN, ZAMBOANGA DEL NORTE</t>
  </si>
  <si>
    <t>MUNICIPALITY OF VERUELA, AGUSAN DEL SUR</t>
  </si>
  <si>
    <t>BARANGAY SAGRADA FAMILIA - TAMBULIG ZAMBOANGA DEL SUR</t>
  </si>
  <si>
    <t>BARANGAY CABUGAO SUR, PAVIA, ILOILO</t>
  </si>
  <si>
    <t>MUNICIPALITY OF MALIBCONG, ABRA</t>
  </si>
  <si>
    <t>BARANGAY STA. RITA, CALAPAN, ORIENTAL MINDORO</t>
  </si>
  <si>
    <t>MUNICIPALITY OF VILLAVICIOSA, ABRA</t>
  </si>
  <si>
    <t>MUNICIPALITY OF MAASIN, ILOILO</t>
  </si>
  <si>
    <t>BARANGAY BAG-ONG KAUSWAGAN - TAMBULIG, ZAMBOANGA DEL SUR</t>
  </si>
  <si>
    <t>OROQUIETA AGRO-INDUSTRIAL SCHOOL</t>
  </si>
  <si>
    <t>MUNICIPALITY OF VINZONS, CAMARINES NORTE</t>
  </si>
  <si>
    <t>MUNICIPALITY OF BURGOS, ISABELA</t>
  </si>
  <si>
    <t>MUNICIPALITY OF ALORAN, MISAMIS OCCIDENTAL</t>
  </si>
  <si>
    <t>MUNICIPALITY OF VALENCIA, BOHOL</t>
  </si>
  <si>
    <t>MUNICIPALITY OF BALENO, MASBATE</t>
  </si>
  <si>
    <t>MUNICIPALITY OF GUIMBAL, ILOILO</t>
  </si>
  <si>
    <t>MUNICIPALITY OF LA TRINIDAD, BENGUET</t>
  </si>
  <si>
    <t>BANGKO SENTRAL NG PILIPINAS - BUTUAN BRANCH</t>
  </si>
  <si>
    <t>DEPARTMENT OF PUBLIC WORKS AND HIGHWAYS - REGION XIII (CARAG</t>
  </si>
  <si>
    <t>IPIL NATIONAL HIGH SCHOOL</t>
  </si>
  <si>
    <t>BARANGAY 2 DAET CAMARINES NORTE</t>
  </si>
  <si>
    <t>NATIONAL MAPPING AND RESOURCE INFORMATION AUTHORITY (NAMRIA)</t>
  </si>
  <si>
    <t>MARIGONDON ELEMENTARY SCHOOL</t>
  </si>
  <si>
    <t>UNIVERSITY OF ANTIQUE - TARIO-LIM MEMORIAL CAMPUS</t>
  </si>
  <si>
    <t>MUNICIPALITY OF BALIWAG, BULACAN</t>
  </si>
  <si>
    <t>MUNICIPALITY  OF NUMANCIA, AKLAN</t>
  </si>
  <si>
    <t>MUNICIPALITY OF CORON, PALAWAN</t>
  </si>
  <si>
    <t>MUNICIPALITY OF PILAR, ABRA</t>
  </si>
  <si>
    <t>CITY OF LAMITAN, BASILAN</t>
  </si>
  <si>
    <t>BARANGAY POBLACION, INFANTA, PANGASINAN</t>
  </si>
  <si>
    <t>BARANGAY AMAGBAGAN, POZORRUBIO, PANGASINAN</t>
  </si>
  <si>
    <t>CENTRAL BICOL STATE UNIVERSITY OF AGRICULTURE-SIPOCOT CAMPUS</t>
  </si>
  <si>
    <t>MUNICIPALITY OF SILAGO, SOUTHERN LEYTE</t>
  </si>
  <si>
    <t>COMPOSTELA WATER DISTRICT</t>
  </si>
  <si>
    <t>PUERTO PRINCESA CITY WATER DISTRICT</t>
  </si>
  <si>
    <t>BARANGAY BUSO, MATI CITY</t>
  </si>
  <si>
    <t>BARANGAY ADLAY, CARRASCAL, SURIGAO DEL SUR</t>
  </si>
  <si>
    <t>BARANGAY BALETE, BATANGAS CITY, BATANGAS</t>
  </si>
  <si>
    <t>MUNICIPALITY OF NAGBUKEL, ILOCOS SUR</t>
  </si>
  <si>
    <t>BARANGAY BANABA WEST, BATANGAS CITY</t>
  </si>
  <si>
    <t>BARANGAY GASANG, MABINI, BATANGAS</t>
  </si>
  <si>
    <t>BUREAU OF FIRE PROTECTION - CARAGA REGION</t>
  </si>
  <si>
    <t>BARANGAY CRISTO REY - CAPAS TARLAC</t>
  </si>
  <si>
    <t>BARANGAY PAZ, PORO, CEBU</t>
  </si>
  <si>
    <t>MUNICIPALITY OF SAN ISIDRO, DAVAO ORIENTAL</t>
  </si>
  <si>
    <t>MUNICIPALITY OF BARUGO, LEYTE</t>
  </si>
  <si>
    <t>BARANGAY PILAHAN, MABINI, BATANGAS</t>
  </si>
  <si>
    <t>BUREAU OF FIRE PROTECTION - NATIONAL HEADQUARTERS</t>
  </si>
  <si>
    <t>BARANGAY TALOY SUR - TUBA BENGUET</t>
  </si>
  <si>
    <t>BARANGAY BULUA, CAGAYAN DE ORO CITY</t>
  </si>
  <si>
    <t>BARANGAY LA RIOJA - PATNONGON, ANTIQUE</t>
  </si>
  <si>
    <t>MUNICIPALITY OF PAVIA, ILOILO</t>
  </si>
  <si>
    <t>MUNICIPALITY OF PATNANUNGAN, QUEZON</t>
  </si>
  <si>
    <t>DEPED-ROVI-DIVISION OF AKLAN</t>
  </si>
  <si>
    <t>BARANGAY  BAGTIC - SILAY CITY</t>
  </si>
  <si>
    <t>PANGASINAN STATE UNIVERSITY - MAIN</t>
  </si>
  <si>
    <t>MARAMAG WATER DISTRICT</t>
  </si>
  <si>
    <t>BARANGAY ADA, TANAUAN, LEYTE</t>
  </si>
  <si>
    <t>DEPARTMENT OF PUBLIC WORKS AND HIGHWAYS - ISABELA 2ND DEO</t>
  </si>
  <si>
    <t>BARANGAY SOLO, MABINI, BATANGAS</t>
  </si>
  <si>
    <t>BARANGAY MAYPANGDAN, BORONGAN, EASTERN SAMAR</t>
  </si>
  <si>
    <t>BARANGAY STA. RITA KARSADA, BATANGAS CITY, BATANGAS</t>
  </si>
  <si>
    <t>BARANGAY POBLACION, MAKATI CITY</t>
  </si>
  <si>
    <t>BARANGAY ILAYA 3RD, DUMANGAS, ILOILO</t>
  </si>
  <si>
    <t>BARANGAY BULACAN, MABINI, BATANGAS</t>
  </si>
  <si>
    <t>DAGA EXTENSION HIGH SCHOOL - CADIZ CITY NEGROS OCCIDENTAL</t>
  </si>
  <si>
    <t>BARANGAY SANITO, IPIL, ZAMBOANGA SIBUGAY</t>
  </si>
  <si>
    <t>BARANGAY MAYSALAY - GOA CAMARINES SUR</t>
  </si>
  <si>
    <t>MUNICIPALITY OF BOBON, NORTHERN SAMAR</t>
  </si>
  <si>
    <t>DEPARTMENT OF TRADE AND INDUSTRY - CAR</t>
  </si>
  <si>
    <t>DEPARTMENT OF EDUCATION - DIVISION OF SAMAR</t>
  </si>
  <si>
    <t>MUNICIPALITY OF BALO-I, LANAO DEL NORTE</t>
  </si>
  <si>
    <t>PULOT NATIONAL HIGH SCHOOL</t>
  </si>
  <si>
    <t>MUNICIPALITY OF QUEZON, PALAWAN</t>
  </si>
  <si>
    <t>BARANGAY CANARVACANAN, BINALONAN, PANGASINAN</t>
  </si>
  <si>
    <t>MUNICIPALITY OF CAJIDIOCAN, ROMBLON</t>
  </si>
  <si>
    <t>DON LUIS CONSING ELEMENTARY SCHOOL</t>
  </si>
  <si>
    <t>MUNICIPALITY OF BANAYOYO, ILOCOS SUR</t>
  </si>
  <si>
    <t>MUNICIPALITY OF STA. CATALINA, NEGROS ORIENTAL</t>
  </si>
  <si>
    <t>BARANGAY SAN VICENTE, BUTUAN CITY</t>
  </si>
  <si>
    <t>ENERGY REGULATORY COMMISSION</t>
  </si>
  <si>
    <t>BARANGAY MONTE DUJALI, SAN ISIDRO DAVAO DEL NORTE</t>
  </si>
  <si>
    <t>DEPARTMENT OF PUBLIC WORKS AND HIGHWAYS - CAVITE I DEO</t>
  </si>
  <si>
    <t>MUNICIPALITY OF CULABA, BILIRAN</t>
  </si>
  <si>
    <t>BARANGAY FATIMA, PAQUIBATO DISTRICT, DAVAO CITY</t>
  </si>
  <si>
    <t>NATIONAL IRRIGATION ADMINISTRATION - PIMO</t>
  </si>
  <si>
    <t>BARANGAY GAAS - BAYBAY CITY LEYTE</t>
  </si>
  <si>
    <t>BUREAU OF JAIL MANAGEMENT AND PENOLOGY-CALABARZON</t>
  </si>
  <si>
    <t>DEPARTMENT OF ENVIRONMENT AND NATURAL RES. - PENRO, PALAWAN</t>
  </si>
  <si>
    <t>BARANGAY IMBALBALATONG, POZORRUBIO, PANGASINAN</t>
  </si>
  <si>
    <t>BARANGAY DILAN, POZORRUBIO, PANGASINAN</t>
  </si>
  <si>
    <t>BARANGAY KAMBONGGAN - BAYBAY CITY LEYTE</t>
  </si>
  <si>
    <t>BARANGAY 4 RAJAH SOLIMAN, BUTUAN CITY</t>
  </si>
  <si>
    <t>BARANGAY LIRA, SAN JUAN, ILOCOS SUR</t>
  </si>
  <si>
    <t>PHILIPPINE STATISTICS AUTHORITY - ZAMBOANGA CITY</t>
  </si>
  <si>
    <t>MUNICIPALITY OF TIGAON, CAMARINES SUR</t>
  </si>
  <si>
    <t>BARANGAY TONGONAN, KANANGA, LEYTE</t>
  </si>
  <si>
    <t>PHILIPPINE NATIONAL POLICE - HEADQUARTERS SUPPORT SERVICE</t>
  </si>
  <si>
    <t>NATIONAL IRRIGATION ADMINISTRATION - UPRIIS, DIVISION I</t>
  </si>
  <si>
    <t>MUNICIPALITY OF ARITAO, NUEVA VIZCAYA</t>
  </si>
  <si>
    <t>PROVINCE OF PANGASINAN</t>
  </si>
  <si>
    <t>DEPARTMENT OF PUBLIC WORKS AND HIGHWAYS - NORTHERN SAMAR 2ND</t>
  </si>
  <si>
    <t>BARANGAY CONAYNAY, SANTA BARBARA, ILOILO</t>
  </si>
  <si>
    <t>GENERAL SANTOS CITY NATIONAL NATIONAL SECONDARY SCHOOL OF AR</t>
  </si>
  <si>
    <t>CITY OF DAGUPAN  - PANGASINAN</t>
  </si>
  <si>
    <t>TECHNICAL EDUCATION &amp; SKILLS DEVELOPMENT AUTHORITY-  ISABELA</t>
  </si>
  <si>
    <t>BARANGAY TAGBUANE - ALBURQUERQUE, BOHOL</t>
  </si>
  <si>
    <t>BARANGAY TAGABAKID, MATI, DAVAO ORIENTAL</t>
  </si>
  <si>
    <t>BARANGAY LOWER DIMOROK - MOLAVE ZAMBOANGA DEL SU</t>
  </si>
  <si>
    <t>BARANGAY PINAMOPOAN, CAPOOCAN, LEYTE</t>
  </si>
  <si>
    <t>MUNICIPALITY OF PUDTOL, APAYAO</t>
  </si>
  <si>
    <t>LIGA NG BARANGAY MAASIN ILOILO</t>
  </si>
  <si>
    <t>CITY OF BACOLOD, NEGROS OCCIDENTAL</t>
  </si>
  <si>
    <t>MUNICIPALITY OF SAN FRANCISCO, CEBU</t>
  </si>
  <si>
    <t>MUNICIPALITY OF JAMINDAN, CAPIZ</t>
  </si>
  <si>
    <t>MUNICIPALITY OF CAOAYAN, ILOCOS SUR</t>
  </si>
  <si>
    <t>PHILIPPINE NATIONAL POLICE - SPECIAL ACTION FORCE</t>
  </si>
  <si>
    <t>MUNICIPALITY OF LABANGAN, ZAMBOANGA DEL SUR</t>
  </si>
  <si>
    <t>MUNICIPALITY OF BATO, CAMARINES SUR</t>
  </si>
  <si>
    <t>DEPARTMENT OF PUBLIC WORKS AND HIGHWAYS - MINDORO ORIENTAL D</t>
  </si>
  <si>
    <t>BARANGAY TALAHIB, DARAGA, ALBAY</t>
  </si>
  <si>
    <t>BARANGAY II-B, SAN PABLO CITY</t>
  </si>
  <si>
    <t>EAST AVENUE MEDICAL CENTER</t>
  </si>
  <si>
    <t>BARANGAY SEMIRARA, CALUYA, ANTIQUE</t>
  </si>
  <si>
    <t>MUNICIPALITY OF BASILISA, DINAGAT ISLAND</t>
  </si>
  <si>
    <t xml:space="preserve">DEPARTMENT OF PUBLIC WORKS AND HIGHWAYS - COMPOSTELA VALLEY </t>
  </si>
  <si>
    <t>MUNICIPALITY OF SUYO, ILOCOS SUR</t>
  </si>
  <si>
    <t>JOSE R. REYES MEMORIAL MEDICAL CENTER</t>
  </si>
  <si>
    <t>BARANGAY MINANGA CAMALANIUGAN CAGAYAN</t>
  </si>
  <si>
    <t>DEPARTMENT OF PUBLIC WORKS AND HIGHWAYS - ABRA ED</t>
  </si>
  <si>
    <t>MUNICIPALITY OF ZAMBOANGUITA, NEGROS ORIENTAL</t>
  </si>
  <si>
    <t>BARANGAY CAOAYAN - SUAL PANGASINAN</t>
  </si>
  <si>
    <t>DEPARTMENT OF SCIENCE AND TECHNOLOGY - REGION V</t>
  </si>
  <si>
    <t>CIVIL SERVICE COMMISSION - REGION II</t>
  </si>
  <si>
    <t>PROVINCE OF SURIGAO DEL NORTE</t>
  </si>
  <si>
    <t>MUNICIPALITY OF INOPACAN, LEYTE</t>
  </si>
  <si>
    <t>BARANGAY SUNGGIAM - ILOCOS SUR</t>
  </si>
  <si>
    <t>BARANGAY 838 ZONE 91, DISTRICT VI MANILA</t>
  </si>
  <si>
    <t>BARANGAY VILLA PANTINOPLE - BASILISA, DINAGAT ISLAND</t>
  </si>
  <si>
    <t>BUREAU OF JAIL MANAGEMENT AND PENOLOGY XI</t>
  </si>
  <si>
    <t>BARANGAY TIBANG - SAN ANDRES, CATANDUANES</t>
  </si>
  <si>
    <t>DEPARTMENT OF PUBLIC WORKS AND HIGHWAYS - CAVITE 3RD DISTRIC</t>
  </si>
  <si>
    <t>NATIONAL IRRIGATION ADMINISTRATION - SARIS</t>
  </si>
  <si>
    <t>MUNICIPALITY OF MANDAON, MASBATE</t>
  </si>
  <si>
    <t>BARANGAY SAN JOSE, BAGGAO, CAGAYAN</t>
  </si>
  <si>
    <t>MUNICIPALITY OF BATO, CATANDUANES</t>
  </si>
  <si>
    <t>MUNICIPALITY OF PAMBUJAN, NORTHERN SAMAR</t>
  </si>
  <si>
    <t>LIGA NG MGA BARANGAY, MAGSINGAL, ILOCOS SUR CHAPTER</t>
  </si>
  <si>
    <t>MUNICIPALITY OF ALOGUINSAN, CEBU</t>
  </si>
  <si>
    <t>DEPARTMENT OF PUBLIC WORKS AND HIGHWAYS - REGION IV-B</t>
  </si>
  <si>
    <t>MUNICIPALITY OF PIDDIG, PIDDIG, ILOCOS NORTE</t>
  </si>
  <si>
    <t>BARANGAY IBULO, BAGGAO, CAGAYAN</t>
  </si>
  <si>
    <t>BARANGAY POBLACION ZONE I, CAPOOCAN,LEYTE</t>
  </si>
  <si>
    <t>BARANGAY ASINGA-VIA, BAGGAO, CAGAYAN</t>
  </si>
  <si>
    <t>MUNICIPALITY OF MAPANAS, NORTHERN SAMAR</t>
  </si>
  <si>
    <t>NATIONAL IRRIGATION ADMINISTRATION - MARIIS, DIVISION II</t>
  </si>
  <si>
    <t>ISLAND GARDEN CITY OF SAMAL WATER DISTRICT</t>
  </si>
  <si>
    <t>BARANGAY SALOG, SORSOGON CITY, SORSOGON</t>
  </si>
  <si>
    <t>MUNICIPALITY OF PINABACDAO, SAMAR</t>
  </si>
  <si>
    <t>BARANGAY BAGANIAN - TABINA ZAMBOANGA DEL SUR</t>
  </si>
  <si>
    <t>MUNICIPALITY OF RAGAY, CAMARINES SUR</t>
  </si>
  <si>
    <t>MUNICIPALITY OF SAN ISIDRO, NORTHERN SAMAR</t>
  </si>
  <si>
    <t>PHILIPPINE PORTS AUTHORITY - HEAD OFFICE</t>
  </si>
  <si>
    <t>DEPARTMENT OF ENVIRONMENT AND NATURAL RESOURCES - COMPOSTELA</t>
  </si>
  <si>
    <t>MUNICIPALITY OF ILOG, NEGROS OCCIDENTAL</t>
  </si>
  <si>
    <t>BARANGAY BURABOD, CASTILLA, SORSOGON</t>
  </si>
  <si>
    <t>MUNICIPALITY OF MARIPIPI, BILIRAN</t>
  </si>
  <si>
    <t>CALAMBA WATER DISTRICT</t>
  </si>
  <si>
    <t>DEPARTMENT OF AGRARIAN REFORM - MAIN</t>
  </si>
  <si>
    <t>BARANGAY BACAO -  TAYSAN BATANGAS</t>
  </si>
  <si>
    <t>BARANGAY MALLORGA - TALALORA, SAMAR</t>
  </si>
  <si>
    <t>BARANGAY LAM-AN, OZAMIS CITY</t>
  </si>
  <si>
    <t>BARANGAY CHIMENEA, CATAINGAN, MASBATE</t>
  </si>
  <si>
    <t>BARANGAY BANGCUD, MALAYBALAY CITY</t>
  </si>
  <si>
    <t>BARANGAY DIVISORIA, CATAINGAN, MASBATE</t>
  </si>
  <si>
    <t>MUNICIPALITY OF OPOL, MISAMIS ORIENTAL</t>
  </si>
  <si>
    <t>PHILIPPINE HEALTH INSURANCE CORPORATION - REGION XI</t>
  </si>
  <si>
    <t>BARANGAY LIBERTAD - NABAS AKLAN</t>
  </si>
  <si>
    <t xml:space="preserve">BARANGAY BASUD, SAN ISIDRO, LEYTE </t>
  </si>
  <si>
    <t>BARANGAY BAGUINGIN TIGBAUAN ILO-ILO</t>
  </si>
  <si>
    <t>MUNICIPALITY OF LUBA, ABRA</t>
  </si>
  <si>
    <t>DEPARTMENT OF PUBLIC WORKS AND HIGHWAYS - LEYTE 1ST ED</t>
  </si>
  <si>
    <t>DEPARTMENT OF PUBLIC WORKS AND HIGHWAYS - LEYTE 5TH ED</t>
  </si>
  <si>
    <t>MUNICIPALITY OF LAS NAVAS, NORTHERN SAMAR</t>
  </si>
  <si>
    <t>PHILIPPINE NATIONAL POLICE - INFORMATION TECHNOLOGY MANAGEME</t>
  </si>
  <si>
    <t>MUNICIPALITY OF LUGAIT, MISAMIS ORIENTAL</t>
  </si>
  <si>
    <t>BARANGAY SAN ISIDRO, TOMAS OPPUS, SOUTHERN LEYTE</t>
  </si>
  <si>
    <t>BATANES GENERAL HOSPITAL</t>
  </si>
  <si>
    <t>DEPARTMENT OF EDUCATION - DIVISION OF ILOILO</t>
  </si>
  <si>
    <t>WESTERN PHILIPPINES UNIVERSITY</t>
  </si>
  <si>
    <t>BARANGAY TONGANTONGAN, VALENCIA CITY</t>
  </si>
  <si>
    <t>DEPARTMENT OF EDUCATION - DVISION OF PUERTO PRINCESA CITY</t>
  </si>
  <si>
    <t>MUNICIPALITY OF CALACA, BATANGAS</t>
  </si>
  <si>
    <t>PHILIPPINE NATIONAL POLICE - HEALTH SERVICE</t>
  </si>
  <si>
    <t>BARANGAY WACK-WACK GREENHILLS EAST,</t>
  </si>
  <si>
    <t>DEPARTMENT OF PUBLIC WORKS AND HIGHWAYS - RIZAL II DEO</t>
  </si>
  <si>
    <t>DEPARTMENT OF PUBLIC WORKS AND HIGHWAYS - CEBU 5TH DEO</t>
  </si>
  <si>
    <t>MUNICIPALITY OF DONSOL, SORSOGON</t>
  </si>
  <si>
    <t>DEPARTMENT OF ENVIRONMENT AND NATURAL RES. - PENRO-LOS BANOS</t>
  </si>
  <si>
    <t>KALINGA STATE UNIVERSITY</t>
  </si>
  <si>
    <t>DAVAO DEL NORTE STATE COLLEGE</t>
  </si>
  <si>
    <t>MUNICIPALITY OF SAN JUAN, SOUTHERN LEYTE</t>
  </si>
  <si>
    <t>MUNICIPALITY OF PAETE, LAGUNA</t>
  </si>
  <si>
    <t>DEPARTMENT OF ENVIRONMENT AND NATURAL RES. - PENRO - XI</t>
  </si>
  <si>
    <t>BARANGAY BAGONTAAS, VALENCIA CITY</t>
  </si>
  <si>
    <t>MUNICIPALITY OF MORONG, RIZAL</t>
  </si>
  <si>
    <t>NORTHERN NEGROS STATE COLLEGE OF SCIENCE AND TECHNOLOGY</t>
  </si>
  <si>
    <t>MUNICIPALITY OF BACNOTAN, LA UNION</t>
  </si>
  <si>
    <t>CATANDUANES STATE COLLEGES</t>
  </si>
  <si>
    <t>CITY OF DASMARIÑAS, CAVITE</t>
  </si>
  <si>
    <t>BARANGAY BAGONG LIPUNAN, HILONGOS, LEYTE</t>
  </si>
  <si>
    <t>MUNICIPALITY OF HUNGDUAN, IFUGAO</t>
  </si>
  <si>
    <t>MUNICIPALITY OF TINOC, IFUGAO</t>
  </si>
  <si>
    <t>BARANGAY CANDUGUE DARAM SAMAR</t>
  </si>
  <si>
    <t>BARANGAY MARAPAL - LEMERY, ILOILO</t>
  </si>
  <si>
    <t>BUREAU OF FIRE PROTECTION - REGION III</t>
  </si>
  <si>
    <t>DEPARTMENT OF PUBLIC WORKS AND HIGHWAYS - DAVAO DEL NORTE DE</t>
  </si>
  <si>
    <t>BARANGAY BONGOL -  SAN VICENTE, GUIMBAL, ILOILO</t>
  </si>
  <si>
    <t>MUNICIPALITY OF BAGANGA, DAVAO ORIENTAL</t>
  </si>
  <si>
    <t>MUNICIPALITY OF MANUKAN, ZAMBOANGA DEL NORTE</t>
  </si>
  <si>
    <t>BARANGAY MAILHI - BAYBAY CITY</t>
  </si>
  <si>
    <t>MUNICIPALITY OF CAPUL, NORTHERN SAMAR</t>
  </si>
  <si>
    <t>BARANGAY PANSOL - QUEZON CITY</t>
  </si>
  <si>
    <t>BARANGAY CENTRO 10 - TUGUEGARAO CITY CAGAYAN</t>
  </si>
  <si>
    <t>BARANGAY CARITAN CENTRO TUGUEGARAO CITY</t>
  </si>
  <si>
    <t>DEPARTMENT OF ENVIRONMENT AND NATURAL RES. - PENRO KALINGA</t>
  </si>
  <si>
    <t>MUNICIPALITY OF BAROTAC VIEJO, ILOILO</t>
  </si>
  <si>
    <t>MUNICIPALITY OF DATU ODIN SINSUAT, MAGUINDANAO</t>
  </si>
  <si>
    <t>MUNICIPALITY OF BALAOAN, LA UNION</t>
  </si>
  <si>
    <t>BARANGAY BIÑAN, PAGSANJAN, LAGUNA</t>
  </si>
  <si>
    <t>BARANGAY PALIPARAN II DASMARIÑAS CAVITE</t>
  </si>
  <si>
    <t>BARANGAY VELASCO - LEMERY, ILOILO</t>
  </si>
  <si>
    <t>DEPARTMENT OF PUBLIC WORKS AND HIGHWAYS - DINAGAT ISLANDS DI</t>
  </si>
  <si>
    <t>DEPARTMENT OF PUBLIC WORKS AND HIGHWAYS - MISAMIS ORIENTAL 2</t>
  </si>
  <si>
    <t>MUNICIPALITY OF CABANGAN, ZAMBALES</t>
  </si>
  <si>
    <t>BARANGAY CENTRO 06 - TUGUEGARAO CITY CAGAYAN</t>
  </si>
  <si>
    <t>MUNICIPALITY OF NASIPIT, AGUSAN DEL NORTE</t>
  </si>
  <si>
    <t>REGION I MEDICAL CENTER</t>
  </si>
  <si>
    <t>BUREAU OF JAIL MANAGEMENT AND PENOLOGY - REGION X</t>
  </si>
  <si>
    <t>PROCUREMENT SERVICE</t>
  </si>
  <si>
    <t>DIPACULAO WATER DISTRICT</t>
  </si>
  <si>
    <t>MUNICIPALITY OF CURRIMAO, ILOCOS NORTE</t>
  </si>
  <si>
    <t>MUNICIPALITY OF RIZAL, OCCIDENTAL MINDORO</t>
  </si>
  <si>
    <t>PHILIPPINE SCIENCE HIGH SCHOOL - REGION XI</t>
  </si>
  <si>
    <t>DEPARTMENT OF PUBLIC WORKS AND HIGHWAYS - CEBU 1ST DEO</t>
  </si>
  <si>
    <t>BARANGAY MALINAO, PASIG CITY</t>
  </si>
  <si>
    <t>NATIONAL IRRIGATION ADMINISTRATION - REGION 12</t>
  </si>
  <si>
    <t>TANAY WATER DISTRICT</t>
  </si>
  <si>
    <t>DEPARTMENT OF PUBLIC WORKS AND HIGHWAYS - LANAO DEL NORTE 2N</t>
  </si>
  <si>
    <t>DEPARTMENT OF TRADE AND INDUSTRY - REGION IV-A</t>
  </si>
  <si>
    <t>MUNICIPALITY OF HINABANGAN, SAMAR</t>
  </si>
  <si>
    <t>MUNICIPALITY OF SOCORRO , SURIGAO DEL NORTE</t>
  </si>
  <si>
    <t>VALENZUELA MEDICAL CENTER</t>
  </si>
  <si>
    <t>MUNICIPALITY OF LOBO, BATANGAS</t>
  </si>
  <si>
    <t>BUREAU OF FISHERIES AND AQUATIC RESOURCES - REGION VII</t>
  </si>
  <si>
    <t>MUNICIPALITY OF CAPAS, TARLAC</t>
  </si>
  <si>
    <t>F.M. CABRAS ELEMENTARY SCHOOL</t>
  </si>
  <si>
    <t>MUNICIPALITY OF CLARIN, MISAMIS OCCIDENTAL</t>
  </si>
  <si>
    <t>HUMAN RIGHTS VIOLATIONS VICTIMS' MEMORIAL COMMISSION</t>
  </si>
  <si>
    <t>MUNICIPALITY OF SAINT BERNARD, SOUTHERN LEYTE</t>
  </si>
  <si>
    <t>DEPARTMENT OF HEALTH - REGION VII</t>
  </si>
  <si>
    <t>MUNICIPALITY OF TADIAN, MOUNTAIN PROVINCE</t>
  </si>
  <si>
    <t>PA BAC SECRETARIAT, AFP PROCUREMENT SERVICE</t>
  </si>
  <si>
    <t>FOOD AND DRUG ADMINISTRATION</t>
  </si>
  <si>
    <t>BARANGAY LANCA, MATI, DAVAO ORIENTAL</t>
  </si>
  <si>
    <t>MUNICIPALITY OF GINATILAN, CEBU</t>
  </si>
  <si>
    <t>BARANGAY HINAGTIKAN, TOMAS OPPUS, SOUTHERN LEYTE</t>
  </si>
  <si>
    <t>MUNICIPALITY OF CATARMAN, NORTHERN SAMAR</t>
  </si>
  <si>
    <t>MUNICIPALITY OF BACONG, NEGROS ORIENTAL</t>
  </si>
  <si>
    <t>BARANGAY KINAN-OAN - TRINIDAD, BOHOL</t>
  </si>
  <si>
    <t>BARANGAY KATIPUNAN, SINACABAN, MISAMIS OCCIDENTAL</t>
  </si>
  <si>
    <t>YEE ON ELEMENTARY SCHOOL</t>
  </si>
  <si>
    <t>MUNICIPALITY OF CONSOLACION, CEBU</t>
  </si>
  <si>
    <t>BARANGAY KIYAAB - ANTIPAS COTABATO</t>
  </si>
  <si>
    <t>BARANGAY BUNTAY, DULAG, LEYTE</t>
  </si>
  <si>
    <t>MUNICIPALITY OF RAMON, ISABELA</t>
  </si>
  <si>
    <t>BARANGAY IGBON, CONCEPCION, ILOILO</t>
  </si>
  <si>
    <t>MUNICIPALITY OF CARLES, ILOILO</t>
  </si>
  <si>
    <t>MUNICIPALITY OF PADRE BURGOS, SOUTHERN LEYTE</t>
  </si>
  <si>
    <t>MUNICIPALITY OF MARABUT, SAMAR</t>
  </si>
  <si>
    <t>MUNICIPALITY OF JORDAN, GUIMARAS</t>
  </si>
  <si>
    <t>BARANGAY ALIMANGO ESCALANTE CITY NEGROS OCCIDENTAL NEGROS IS</t>
  </si>
  <si>
    <t>NORTHERN MINDANAO MEDICAL CENTER</t>
  </si>
  <si>
    <t>DEPARTMENT OF PUBLIC WORKS AND HIGHWAYS - SORSOGON 2ND DEO</t>
  </si>
  <si>
    <t>MUNICIPALITY OF LUNA, ISABELA</t>
  </si>
  <si>
    <t>TARLAC COLLEGE OF AGRICULTURE</t>
  </si>
  <si>
    <t>DEPARTMENT OF PUBLIC WORKS AND HIGHWAYS - UPPER KALINGA DEO</t>
  </si>
  <si>
    <t>BUREAU OF FIRE PROTECTION - REGION VIII</t>
  </si>
  <si>
    <t>MUNICIPALITY OF SIASI, SULU</t>
  </si>
  <si>
    <t>MUNICIPALITY OF ATIMONAN, QUEZON</t>
  </si>
  <si>
    <t>BARANGAY SAMPALOC IV, DASMARIÑAS CITY, CAVITE</t>
  </si>
  <si>
    <t>BARANGAY CAWIT, PILAR, CEBU</t>
  </si>
  <si>
    <t>MUNICIPAL GOVERNMENT OF ATOK, BENGUET</t>
  </si>
  <si>
    <t>MANGALDAN WATER DISTRICT</t>
  </si>
  <si>
    <t>MUNICIPALITY OF MAGDALENA, LAGUNA</t>
  </si>
  <si>
    <t>MUNICIPALITY OF MARIA, SIQUIJOR</t>
  </si>
  <si>
    <t>BARANGAY CAMANGAHAN, GUIMBAL, ILOILO</t>
  </si>
  <si>
    <t>MUNICIPALITY OF ANGADANAN, ISABELA</t>
  </si>
  <si>
    <t>DEPARTMENT OF EDUCATION - DIVISION OF SURIGAO DEL SUR</t>
  </si>
  <si>
    <t>BARANGAY PISONG-A - MARIA SIQUIJOR</t>
  </si>
  <si>
    <t>CAPIZ STATE UNIVERSITY - CENTRAL ADMINISTRATION</t>
  </si>
  <si>
    <t>DEPARTMENT OF SCIENCE AND TECHNOLOGY - REGION IV-B</t>
  </si>
  <si>
    <t>TECHNICAL EDUCATION &amp; SKILLS DEVELOPMENT AUTHORITY</t>
  </si>
  <si>
    <t>BARANGAY BALEY-A-DAAN, ALAMINOS, PANGASINAN</t>
  </si>
  <si>
    <t>PALO ALTO ELEMENTARY SCHOOL</t>
  </si>
  <si>
    <t>MUNICIPALITY OF VICTORIA, NORTHERN SAMAR</t>
  </si>
  <si>
    <t>DEPARTMENT OF AGRARIAN REFORM - MISAMIS ORIENTAL</t>
  </si>
  <si>
    <t>BUREAU OF FISHERIES AND AQUATIC RESOURCES REGION 1</t>
  </si>
  <si>
    <t>MUNICIPALITY OF JIPAPAD, EASTERN SAMAR</t>
  </si>
  <si>
    <t>BARANGAY STA. MARIA NORTE, BINALONAN, PANGASINAN</t>
  </si>
  <si>
    <t>NATIONAL POWER CORPORATION SPUG - MINDANAO(EMOD)</t>
  </si>
  <si>
    <t>MUNICIPALITY OF POTOTAN, ILOILO</t>
  </si>
  <si>
    <t>BARANGAY  PANGPANG - SORSOGON CITY SORSOGON</t>
  </si>
  <si>
    <t>DEPARTMENT OF SCIENCE AND TECHNOLOGY - CAR</t>
  </si>
  <si>
    <t>CITY  OF CAVITE</t>
  </si>
  <si>
    <t>BARANGAY SAN ANTONIO LALLO CAGAYAN</t>
  </si>
  <si>
    <t>BARANGAY PONITON, VIRAC, CATANDUANES</t>
  </si>
  <si>
    <t>METROPOLITAN CEBU WATER DISTRICT</t>
  </si>
  <si>
    <t>DEPARTMENT OF PUBLIC WORKS AND HIGHWAYS - DAVAO CITY II DEO</t>
  </si>
  <si>
    <t>MUNICIPALITY OF MATAG-OB, LEYTE</t>
  </si>
  <si>
    <t>MUNICIPALITY OF GINGOOG CITY, MISAMIS ORIENTAL</t>
  </si>
  <si>
    <t>MUNICIPALITY OF KUMALARANG, ZAMBOANGA DEL SUR</t>
  </si>
  <si>
    <t>MUNICIPALITY OF ANILAO - ILOILO</t>
  </si>
  <si>
    <t>BOHOL ISLAND STATE UNIVERSITY - CLARIN CAMPUS</t>
  </si>
  <si>
    <t>BARANGAY ANTIPOLO, RIZAL, LAGUNA</t>
  </si>
  <si>
    <t>MUNICIPALITY OF LAL-LO, CAGAYAN VALLEY</t>
  </si>
  <si>
    <t>PROVINCE OF LANAO DEL SUR</t>
  </si>
  <si>
    <t>BARANGAY POBLACION, BURGOS, ILOCOS NORTE</t>
  </si>
  <si>
    <t>PHILIPPINE INSTITUTE FOR DEVELOPMENT STUDIES</t>
  </si>
  <si>
    <t xml:space="preserve">PHILIPPINE SCIENCE HIGH SCHOOL - ZAMBOANGA PENINSULA REGION </t>
  </si>
  <si>
    <t>MUNICIPALITY OF CONCEPCION, TARLAC</t>
  </si>
  <si>
    <t>BARANGAY NAVOTAS WEST, NAVOTAS</t>
  </si>
  <si>
    <t>DEPARTMENT OF ENVIRONMENT AND NATURAL RES. - PENRO, N. VIZCA</t>
  </si>
  <si>
    <t>BARANGAY SANVICENTE - SIPOCOT CAMARINES SUR</t>
  </si>
  <si>
    <t>CABAGAN WATER DISTRICT</t>
  </si>
  <si>
    <t>EVERSLEY CHILDS SANITARIUM</t>
  </si>
  <si>
    <t>BARANGAY DALAOIG, ALCALA, CAGAYAN</t>
  </si>
  <si>
    <t>MUNICIPALITY OF BANI, PANGASINAN</t>
  </si>
  <si>
    <t>BARANGAY LAMDALAG - LAKE SEBU SOUTH COTABATO</t>
  </si>
  <si>
    <t>MUNICIPALITY OF SAN ISIDRO, ISABELA</t>
  </si>
  <si>
    <t>BARANGAY TALOTO-AN, CONCEPCION, ILOILO</t>
  </si>
  <si>
    <t>MUNICIPALITY OF SOLANO, NUEVA VIZCAYA</t>
  </si>
  <si>
    <t>CITY OF OZAMIS, MISAMIS OCCIDENTAL</t>
  </si>
  <si>
    <t>PROVINCE OF LANAO DEL NORTE</t>
  </si>
  <si>
    <t>COMMISSION ON HIGHER EDUCATION - REGION XII</t>
  </si>
  <si>
    <t>BARANGAY BUNTUN, TUGUEGARAO CITY, CAGAYAN</t>
  </si>
  <si>
    <t>MUNICIPALITY OF SAN RICARDO - SOUTHERN LEYTE</t>
  </si>
  <si>
    <t>MUNICIPALITY OF TANGCAL, LANAO DEL NORTE</t>
  </si>
  <si>
    <t>MUNICIPALITY OF BELISON, ANTIQUE</t>
  </si>
  <si>
    <t>MUNICIPALITY OF MINALABAC, CAMARINES SUR</t>
  </si>
  <si>
    <t>MUNICIPALITY OF KALAYAAN, LAGUNA</t>
  </si>
  <si>
    <t>DEPARTMENT OF EDUCATION - DIVISION OF SOUTHERN LEYTE</t>
  </si>
  <si>
    <t>DPWH - ANTIQUE DISTRICT ENGINEERING OFFICE</t>
  </si>
  <si>
    <t>PROVINCE OF ISABELA</t>
  </si>
  <si>
    <t>MUNICIPALITY OF SIOCON</t>
  </si>
  <si>
    <t>BUREAU OF BROADCAST SERVICES</t>
  </si>
  <si>
    <t>MUNICIPALITY OF TAFT, EASTERN SAMAR</t>
  </si>
  <si>
    <t>SAN LAZARO HOSPITAL</t>
  </si>
  <si>
    <t>LEYTE NORMAL UNIVERSITY</t>
  </si>
  <si>
    <t>MUNICIPALITY OF BALIGUIAN, ZAMBOANGA DEL NORTE</t>
  </si>
  <si>
    <t>ADVANCED SCIENCE AND TECHNOLOGY INSTITUTE</t>
  </si>
  <si>
    <t>DEPARTMENT OF SOCIAL WELFARE AND DEVELOPMENT - REGION VIII</t>
  </si>
  <si>
    <t>INFANTA (QUEZON) WATER DISTRICT</t>
  </si>
  <si>
    <t>MUNICIPALITY OF SARANGANI, DAVAO OCCIDENTAL</t>
  </si>
  <si>
    <t>BARANGAY PANTAY BATA, TANAUAN CITY, BATANGAS</t>
  </si>
  <si>
    <t>MINISTRY OF BASIC HIGHER AND TECHNICAL EDUCATION -  BARMM</t>
  </si>
  <si>
    <t>BARANGAY SAN ANTONIO - AJUY ILOILO</t>
  </si>
  <si>
    <t>MUNICIPALITY OF AGDANGAN, QUEZON</t>
  </si>
  <si>
    <t>BARANGAY LA VICTORIA - IMELDA ZAMBOANGA SIBUGAY</t>
  </si>
  <si>
    <t>MUNICIPALITY OF LUPAO, NUEVA ECIJA</t>
  </si>
  <si>
    <t>MUNICIPALITY OF SIRAWAI, ZAMBOANGA DEL NORTE</t>
  </si>
  <si>
    <t>BARANGAY SABANGAN - SAN JUAN, ILOCOS SUR</t>
  </si>
  <si>
    <t>BANGKO SENTRAL NG PILIPINAS - CEBU REGIONAL OFFICE</t>
  </si>
  <si>
    <t>MUNICIPALITY OF SAN VICENTE, ILOCOS SUR</t>
  </si>
  <si>
    <t>PILI INTEGRATED SCHOOL - DANAO CITY CEBU</t>
  </si>
  <si>
    <t>PROVINCE OF BASILAN</t>
  </si>
  <si>
    <t>PHILIPPINE AMUSEMENT AND GAMING CORPORATION-ANGELES</t>
  </si>
  <si>
    <t>PHILIPPINE AMUSEMENT AND GAMING CORPORATION-HYATT</t>
  </si>
  <si>
    <t>TECHNOLOGICAL UNIVERSITY OF THE PHILIPPINES - TAGUIG CAMPUS</t>
  </si>
  <si>
    <t>PROVINCE OF APAYAO</t>
  </si>
  <si>
    <t>DEPARTMENT OF ENVIRONMENT AND NATURAL RESOURCES - RIV-A</t>
  </si>
  <si>
    <t>CITY OF MANDALUYONG</t>
  </si>
  <si>
    <t>BENGUET STATE UNIVERSITY</t>
  </si>
  <si>
    <t>DEPARTMENT OF EDUCATION - DIVISION OF LANAO DEL NORTE</t>
  </si>
  <si>
    <t>NATIONAL HOUSING AUTHORITY REGION 4 - QUEZON CITY METRO MANI</t>
  </si>
  <si>
    <t>COMMISSION ON ELECTIONS</t>
  </si>
  <si>
    <t>WEST VISAYAS STATE UNIVERSITY</t>
  </si>
  <si>
    <t>BARANGAY PINAGKAWITAN, LIPA CITY</t>
  </si>
  <si>
    <t>TALISAY DISTRICT HOSPITAL</t>
  </si>
  <si>
    <t>BARANGAY CATO-OGAN TOBIAS FORNIER ANTIQUE</t>
  </si>
  <si>
    <t>NATIONAL ANTI-POVERTY COMMISSION</t>
  </si>
  <si>
    <t>BUREAU OF FIRE PROTECTION - REGION V</t>
  </si>
  <si>
    <t>HOME DEVELOPMENT MUTUAL FUND - REGION VII</t>
  </si>
  <si>
    <t>PHILIPPINE AMUSEMENT AND GAMING CORPORATION-DAVAO</t>
  </si>
  <si>
    <t>BARANGAY TARRA NEGROS ORIENTAL</t>
  </si>
  <si>
    <t>BARANGAY POTOL - DAPITAN CITY ZAMBOANGA DEL NORTE</t>
  </si>
  <si>
    <t>DEPARTMENT OF PUBLIC WORKS AND HIGHWAYS - REGION IX</t>
  </si>
  <si>
    <t>BARANGAY PANDAN - DUENAS, ILOILO</t>
  </si>
  <si>
    <t>CREDIT INFORMATION CORPORATION</t>
  </si>
  <si>
    <t>BARANGAY TALOC, BAGO CITY, NEGROS OCCIDENTAL</t>
  </si>
  <si>
    <t>DEPARTMENT OF ENVIRONMENT AND NATURAL RES. - PENRO, KIDAPAWA</t>
  </si>
  <si>
    <t>DEPARTMENT OF AGRARIAN REFORM - TARLAC CITY</t>
  </si>
  <si>
    <t>METRO ILOILO WATER DISTRICT</t>
  </si>
  <si>
    <t>INTELLECTUAL PROPERTY OF THE PHILIPPINES - TAGUIG CITY</t>
  </si>
  <si>
    <t>MUNICIPALITY OF SALVADOR, LANAO DEL NORTE</t>
  </si>
  <si>
    <t>BARANGAY TAGPOPONGAN ISLAND GARDEN CITY OF SAMAL DAVAO DEL N</t>
  </si>
  <si>
    <t>MUNICIPALITY OF MAHAPLAG - LEYTE</t>
  </si>
  <si>
    <t>BARANGAY GUINUANGAN LOPEZ QUEZON</t>
  </si>
  <si>
    <t>DENR-MASBATE</t>
  </si>
  <si>
    <t>METRO TAYUG WATER DISTRICT</t>
  </si>
  <si>
    <t>MUNICIPALITY OF MANAPLA, NEGROS OCCIDENTAL</t>
  </si>
  <si>
    <t>BARANGAY 2 POBLACION, TIGBAUAN, ILOILO</t>
  </si>
  <si>
    <t>BARANGAY MALANDAY, MARIKINA CITY</t>
  </si>
  <si>
    <t>MUNICIPALITY OF SERGIO OSMENA, ZAMBOANGA DEL NORTE</t>
  </si>
  <si>
    <t>BARANGAY BATO - BORONGAN EASTERN SAMAR</t>
  </si>
  <si>
    <t>Procurement for the Supply and Fabrication of Computer Tables for BatStateU Lemery Campus</t>
  </si>
  <si>
    <t>Supply and Delivery of Various Medicines for the Dental Clinic</t>
  </si>
  <si>
    <t>Supply and Delivery of Various Office Supplies and Materials for the University Press</t>
  </si>
  <si>
    <t>20CSEF02	Parcellary Survey for the Construction of Various Roads and Bridges - Palawan Circumferential Road Rio Tuba-Buliluyan (S00063PW)</t>
  </si>
  <si>
    <t>Supply and Delivery of Various Medicines for the University Health Services</t>
  </si>
  <si>
    <t>Supply and Delivery of Various IT Equipment for the University</t>
  </si>
  <si>
    <t>Supply and Delivery of Various Janitorial Supplies and Materials for the University</t>
  </si>
  <si>
    <t>SUPPLY AND DELIVERY OF ONE (1) UNIT THERMAL SCANNER with FACE RECOGNITION</t>
  </si>
  <si>
    <t>General Administrative Service - Office Supplies</t>
  </si>
  <si>
    <t>20CSD002 : CONSULTANCY SERVICES FOR THE PREPARATION OF RIGHT-OF-WAY ACTION PLAN (RAP) FOR THE PREPARATION OF THE CALAMBA-LOS BAÑOS-BAY BYPASS ROAD</t>
  </si>
  <si>
    <t>Supply and Delivery of Various Office Supplies and Materials for the MISTO, HRMO &amp; Finance Office</t>
  </si>
  <si>
    <t>20CSEF08	Parcellary Survey for the Construction of Various Roads and Bridges - Palawan Circumferential Road Culandanum-Panalingaan Cross Country Road (S00065PW), Palawan</t>
  </si>
  <si>
    <t>20CSEF07	Parcellary Survey for the Construction of Various Roads and Bridges - Palawan Circumferential Road Aramaywan-Berong-Puerto Princesa Road (S00064PW), Palawan</t>
  </si>
  <si>
    <t>SUPPLY OF SPARE PARTS OF MUN. BULLDOZER</t>
  </si>
  <si>
    <t>20CSEF05	Parcellary Survey for the Construction of Various Roads and Bridges - Palawan Circumferential Road Quezon-Aramaywan Road (S00015PW), Palawan</t>
  </si>
  <si>
    <t>Procurement of Various Supplies</t>
  </si>
  <si>
    <t>WMSU Water Refilling Station</t>
  </si>
  <si>
    <t>3091-20 Procurement of T-shirt</t>
  </si>
  <si>
    <t>Procurement of Security Services</t>
  </si>
  <si>
    <t>Procurement of Athletic Uniforms</t>
  </si>
  <si>
    <t>3123-20 Procurement of Other Supplies</t>
  </si>
  <si>
    <t>2312-20 Procurement of Animal Zoological Supplies</t>
  </si>
  <si>
    <t>3058-20 Procurement of Office Supplies</t>
  </si>
  <si>
    <t>2968-20 Procurement of Tires</t>
  </si>
  <si>
    <t>3089-20 Procurement of Office Supplies</t>
  </si>
  <si>
    <t>Purchase of 150cc Motorcycle,f.i. and 125cc motorcycle, f.i. 15% building permits fees and charges from sept. 2016 to sept. 2019</t>
  </si>
  <si>
    <t>3080-20 Procurement of Tire</t>
  </si>
  <si>
    <t>20CSEF03	Parcellary Survey for the Construction of Various Roads and Bridges - Palawan Circumferential Road Quezon-Punta Baja Road, Palawan</t>
  </si>
  <si>
    <t>2997-20 Procurement of Office Supplies</t>
  </si>
  <si>
    <t>20CSEF04	Parcellary Survey for the Construction of Various Roads and Bridges - Palawan Circumferential Road PPSR Jct. Poblacion Brooke’s Point Road (S00011PW), Palawan</t>
  </si>
  <si>
    <t>Supply and Delivery of Various Office Equipment, Furnitures &amp; Fixtures for the University</t>
  </si>
  <si>
    <t>3090-20 Procurement of Other Supplies</t>
  </si>
  <si>
    <t>Procurement/Acquisition of Boom Truck</t>
  </si>
  <si>
    <t>Furnishing of Construction Materials for Office Renovation of MDIP Building</t>
  </si>
  <si>
    <t>2996-20 Procurement of Other Supplies and Materials</t>
  </si>
  <si>
    <t>3128-20 Procurement of Office Supplies</t>
  </si>
  <si>
    <t>3129-20 Procurement of Other Supplies</t>
  </si>
  <si>
    <t>Invitation to Bid</t>
  </si>
  <si>
    <t>3048-20 Procurement of Other Supplies</t>
  </si>
  <si>
    <t>3079-20 Procurement of Fire Extinguisher Refill</t>
  </si>
  <si>
    <t>3050-20 Procurement of Airconditioning Unit</t>
  </si>
  <si>
    <t>3122-20 Procurement of Office Supplies</t>
  </si>
  <si>
    <t>2896-20 Procurement of Medical, Dental and Laboratory Supplies</t>
  </si>
  <si>
    <t>OFFICE SUPPLIES AND MATERIALS</t>
  </si>
  <si>
    <t>Supply and Delivery of Disaster Supplies and Materials</t>
  </si>
  <si>
    <t>Food and Venue for the Conduct of Quality Assurance of the Central and Regional Initiated Self-Instructional Learning Modules (SLIMs) assigned to Cotabato Division</t>
  </si>
  <si>
    <t>School and Office Supplies for First Quarter of 2020</t>
  </si>
  <si>
    <t>REQUEST FOR QUOTATION FOR USE OF EX200-01 EXCAVATOR WITH PROP. # FF21-02 ASSIGNED AT SCIMO</t>
  </si>
  <si>
    <t>20CSEF06	Parcellary Survey for the Construction of Various Roads and Bridges - Palawan Circumferential Road Quezon-Punta Baja Road (S00022PW) Phase II, Palawan</t>
  </si>
  <si>
    <t>Purchase of System Database for PBCC</t>
  </si>
  <si>
    <t>One Job Supply of Materials and  Labor for the Support to Municipal Nursery/Barangay Nurseries (Construction of Working Cottage).</t>
  </si>
  <si>
    <t>PURCHASE OF MATERIALS FOR THE CONSTRUCTION OF 2 MAKESHIFT CLASSROOMS AT MANTIBUGAO INTEGRATED SCHOOL</t>
  </si>
  <si>
    <t>2315-20 Procurement of Materials for the Repainting OR and DR Complex</t>
  </si>
  <si>
    <t>RFQ 064 ICT EQUIPMENT (OSA)</t>
  </si>
  <si>
    <t>Construction of Water Impounding System intended for Municipal Water Supply System Brgy. Minahan Sur,  General Nakar, Quezon</t>
  </si>
  <si>
    <t>Purchase of Plumbing Materials for PWA</t>
  </si>
  <si>
    <t>3127-20 Procurement of Office Supplies</t>
  </si>
  <si>
    <t>Invitation to Bid for REPAIR OF CLASSROOMS UNDER CY 2020 QUICK RESPONSE FUND (QRF) (Lots 4,9, 11, 22 and 32 – Rebid)</t>
  </si>
  <si>
    <t>20CSEF01-Parcellary Survey for the Construction of Various Roads and Bridges - Palawan Circumferential Road Panalingaan-Tagbita-Latud (S00041PW &amp; S00042PW)</t>
  </si>
  <si>
    <t>PURCHASE OF FORMS TO BE USED BY ASSESSOR'S OFFICE</t>
  </si>
  <si>
    <t>20L00138 : Reconstruction of Concrete Road Along Bypass Road at Jct. Davao – Cotabato Rd. (Matina Crossing Section) – Matina Aplaya Rd. – Jct. Tulip Drive (Davao – Cotabato Rd.) – Ecoland Drive – Jct.</t>
  </si>
  <si>
    <t>20L00146 : Construction of Concrete Road – Bypass Road at Ma-a Radio Station – Datu Loho St. – Riverside – Jct. Bacaca Road, Davao City</t>
  </si>
  <si>
    <t>IMPROVEMENT OF MULTI-PURPOSE BUILDING (Escolta)</t>
  </si>
  <si>
    <t>Procurement of Heparin, hemodialysis treatment packages</t>
  </si>
  <si>
    <t>Water System at Brgy. Sta. Monica CY 2019-20% EDF</t>
  </si>
  <si>
    <t>Procurement of amlodipine</t>
  </si>
  <si>
    <t>SOLAR POWERED STREETLIGHTS</t>
  </si>
  <si>
    <t>Supply and Delivery of Mineral Oil, Vegetable Oil and Citronella Plants</t>
  </si>
  <si>
    <t>PURCHASE OF MATERIALS FOR THE CONSTRUCTION OF BASE FOR TRANSFER OF HEDCOR BUILDING AT MALUKO</t>
  </si>
  <si>
    <t>Supply, Delivery and Installation of Brand New Repeater Radio Equipment and Accessories for the Enhancement of Communication System of CDRRMO</t>
  </si>
  <si>
    <t>PURCHASE OF JANITORIAL SUPPLIES TO BE USED BY DIFFERENT OFFICES</t>
  </si>
  <si>
    <t>PURCHASE OF OFFICE SUPPLIES TO BE USED BY DIFFERENT OFFICES</t>
  </si>
  <si>
    <t>Supply and Delivery of 1 Lot Drugs and Medicines; PR No. 20-1387 dated May 12, 2020</t>
  </si>
  <si>
    <t>IMPROVEMENT/WIDENING OF ENSOMO STREET (White Beach)</t>
  </si>
  <si>
    <t>FABRICATION AND INSTALLATION OF BARANGAY DAGATAN STREETLIGHTING LOCATED @ BRGY. DAGATAN, AMADEO, CAVITE</t>
  </si>
  <si>
    <t>INSTALLATION OF CCTV CAMERA @ VARIOUS BARANGAY LOCATED @ AMADEO, CAVITE</t>
  </si>
  <si>
    <t>20L00158 : Construction of Asphalt Road – Davao City Coastal Bypass Road (Bago Aplaya – Times Beach – Roxas Avenue), Package 21, Davao City</t>
  </si>
  <si>
    <t>3161-20 Procurement of Drugs and Medicines</t>
  </si>
  <si>
    <t>Water System Improvement @ Barangay Bagtic CY 2019-20% EDF.</t>
  </si>
  <si>
    <t>3176-20 Procurement of Medical Oxygen Tank</t>
  </si>
  <si>
    <t>Supply and delivery of various Construction Materials to be used for the markings along General Alejo Santos Highway Road</t>
  </si>
  <si>
    <t>20L00157 : Construction of Asphalt Road – Davao City Coastal Bypass Road (Bago Aplaya – Times Beach – Roxas Avenue), Package 20, Davao City</t>
  </si>
  <si>
    <t>Procurement of DRUGS AND MEDICINES</t>
  </si>
  <si>
    <t>Supply and Delivery of 12 Units Airconditioner &amp; Other Items; PR No. 20-1426 dated May 29, 2020</t>
  </si>
  <si>
    <t>3155-20 Procurement of Office Supplies</t>
  </si>
  <si>
    <t>PURCHASE OF MEDICINE TO BE USED BY RHU</t>
  </si>
  <si>
    <t>20L00162 : Construction of Asphalt Road – Davao City Coastal Bypass Road (Bago Aplaya – Times Beach – Roxas Avenue), Package 25, Davao City</t>
  </si>
  <si>
    <t>PURCHASE OF SAFETY GEARS FOR MDRRMO RESPONDERS</t>
  </si>
  <si>
    <t>CONCRETING OF TALYER ROAD LOCATED @ BRGY. SALABAN, AMADEO, CAVITE</t>
  </si>
  <si>
    <t>20L00163 : Construction of Asphalt Road – Davao City Coastal Bypass Road (Bago Aplaya – Times Beach – Roxas Avenue), Package 26, Davao City</t>
  </si>
  <si>
    <t>20L00161 : Construction of Asphalt Road – Davao City Coastal Bypass Road (Bago Aplaya – Times Beach – Roxas Avenue), Package 24, Davao City</t>
  </si>
  <si>
    <t>PURCHASE OF MEDICAL SUPPLIES TO BE USED BY RHU</t>
  </si>
  <si>
    <t>20GM0063 (RE-BIDDING) - Upgrading/Improvement/Expansion of Lorenzo D. Zayco, District Hospital, Kabankalan City, Negros Occidental.</t>
  </si>
  <si>
    <t>IMPROVEMENT OF AMADEO POLICE STATION LOCATED @ AMADEO, CAVITE</t>
  </si>
  <si>
    <t>Supply and Delivery of Relief Goods (PR No. 20-06-0229)</t>
  </si>
  <si>
    <t>20-03-0422 Materials to be used for elevated seaweed solar dryer for E. Samar</t>
  </si>
  <si>
    <t>Procurement of Goods vit C, july 2</t>
  </si>
  <si>
    <t>PURCHASE OF WHEEL CLAMP TO BE USED FOR BALIK KALSADA PROGRAM OF PNP</t>
  </si>
  <si>
    <t>20L00159 : Construction of Asphalt Road – Davao City Coastal Bypass Road (Bago Aplaya – Times Beach – Roxas Avenue), Package 22, Davao City</t>
  </si>
  <si>
    <t>20L00160 : Construction of Asphalt Road – Davao City Coastal Bypass Road (Bago Aplaya – Times Beach – Roxas Avenue), Package 23, Davao City</t>
  </si>
  <si>
    <t>20-03-0423 Additional materials for deep sea payao in E. Samar</t>
  </si>
  <si>
    <t>Procurement of supplies and materials to be used for Skills Training Cum Production in Wooden Poultry House for Organic Chicken Production</t>
  </si>
  <si>
    <t>Request for Price Quotation for Office Chairs (4th Supplemental 2019 APP)</t>
  </si>
  <si>
    <t>PROVISION OF PLACENTA / MEDICAL WASTE PIT</t>
  </si>
  <si>
    <t>Procurement of Fertilizer</t>
  </si>
  <si>
    <t>Supply and Delivery of Various Office Supplies; PR No. 20-1432 dated 11 June 2020; SN 131 - 2020</t>
  </si>
  <si>
    <t>Supply and Delivery of Farm Input (Seeds &amp; Fertilizer)</t>
  </si>
  <si>
    <t>CONSTRUCTION OF CANAL LINING LOCATED @ BRGY. #7, AMADEO, CAVITE</t>
  </si>
  <si>
    <t>Construction of 30-Meter Fence Perpendicular to MSU-TCTO Main Gate</t>
  </si>
  <si>
    <t>PROCUREMENT AND RESTORATION OF RADIO COMMUNICATION</t>
  </si>
  <si>
    <t>Repair of Boys' Dormitory</t>
  </si>
  <si>
    <t>PROCUREMENT AND DELIVERY OF MATERIALS FOR THE CONSTRUCTION OF 84 BY 1 METER PERIMETER FENCE OF LEUTEBORO NHS</t>
  </si>
  <si>
    <t>20EE0132 Repair/Maintenance of DPWH Building Super Area (Storage Room) Brgy. III, Roxas, Palawan</t>
  </si>
  <si>
    <t>PURCHASE OF BUSINESS PLATES, 2020 STICKER AND TODA STICKER FOR THE USE OF BPLO</t>
  </si>
  <si>
    <t>Installation of Garbage Bins in Barangay Poblacion and other adjacent Barangays</t>
  </si>
  <si>
    <t>20EE0134 Cluster 2-Construction of Rainwater Collection System (RWCS): 1. Tagumpay Elementary School, Tagumpay, Coron 2. Tagum Elementary School, Tagum, Coron 3. Claudio Sandoval Elementary School, Po</t>
  </si>
  <si>
    <t>20L00166 : Construction of Esplanade (Times Beach Section) Along Davao City Coastal Bypass Road (Bago Aplaya – Times Beach – Roxas Avenue), Davao City</t>
  </si>
  <si>
    <t>20EE0128 Repair/Maintenance of DPWH Building, Langogan Resthouse, Bgy. Langogan Brgy Langogan, Puerto Princesa City, Palawan</t>
  </si>
  <si>
    <t>Supply and Delivery of Farm Input (Vegetable Seeds &amp; Tools/Inputs)</t>
  </si>
  <si>
    <t>SUPPLY AND DELIVERY OF VARIOUS CONSTRUCTION MATERIALS AND ROLL UP DOOR</t>
  </si>
  <si>
    <t>Labor and Materials for Rehabilitation of Multicab Cabin for Meat Transport</t>
  </si>
  <si>
    <t>PROCUREMENT OF SERVICES FOR REWINDING OF TWO (2) UNITS 25 KVA DISTRIBUTION TRANSFORMER</t>
  </si>
  <si>
    <t>Supply of Office Supplies</t>
  </si>
  <si>
    <t>Drainage Improvement and Concreting at Barangay Sauyo, District VI, Quezon City</t>
  </si>
  <si>
    <t>Drainage Improvement along Esperanza St. and Vicinities, District II, Valenzuela City</t>
  </si>
  <si>
    <t>Construction of Four (4) Storey Sixteen (16) Classroom Building at Lapaz National High School, Lapaz, Iloilo City (Bid No. 20-125)</t>
  </si>
  <si>
    <t>20EE0126 Repainting of Concrete Bridges along El Nido - Jct. New Ibajay Road Section, K0276+268 - K0329+005 (S00059PW) and Jct Paglaum-Bato Road Section K0189+138 - K0198+910 (S00045PW) Taytay &amp; El Ni</t>
  </si>
  <si>
    <t>PURCHASE OF ISOLATION AMENITIES</t>
  </si>
  <si>
    <t>Supply and Delivery of Kitchenware</t>
  </si>
  <si>
    <t>Rehabilitation / Improvement and Maintenance of Drainage System along Beata St., and Vicinity, Pandacan, District VI, Manila City</t>
  </si>
  <si>
    <t>Drainage Improvement and Concreting at Barangay Vasra, District I, Quezon City</t>
  </si>
  <si>
    <t>Supply and Delivery of Laptop with Printer and Other Supplies and Equipment.</t>
  </si>
  <si>
    <t>Supply and Delivery of Office Supplies and Devices</t>
  </si>
  <si>
    <t>PROCUREMENT OF DIRECT DIGITAL RADIOGRAPHY SYSTEM</t>
  </si>
  <si>
    <t>Procurement of 1 unit Mini-Truck for Rescue Program</t>
  </si>
  <si>
    <t>Supply and Delivery of Const. Materials for the Const. of Multi-Purpose Pavement @ Lanting, Roxas, Isabela</t>
  </si>
  <si>
    <t>Drainage Improvement along C5, District II, Makati City</t>
  </si>
  <si>
    <t>RE-BIDDING- PROCUREMENT OF 1 LOT VARIOUS LABORATORY REAGENTS</t>
  </si>
  <si>
    <t>Supply and Delivery of Office Supplies, Office of the Municipal Mayor, San Jose, Batangas</t>
  </si>
  <si>
    <t>Drainage Improvement along Kalayaan Avenue, District II, Makati City</t>
  </si>
  <si>
    <t>Supply and Delivery of Communication Equipment Parts and Accessories (NISF)</t>
  </si>
  <si>
    <t>Procurement of  CCTV Camera</t>
  </si>
  <si>
    <t>Improvement / Deepening of Estero De Concordia, Pandacan,  District VI, Manila</t>
  </si>
  <si>
    <t>2020-06-281 PROCUREMENT OF CATERING SERVICES - VGO</t>
  </si>
  <si>
    <t>PURCHASE OF SUPPLIES FOR USE OF OSCA</t>
  </si>
  <si>
    <t>CCTV PACKAGE</t>
  </si>
  <si>
    <t>Rehabilitation/Construction of Roads at Brgy. Bakhaw, Mandurriao, Iloilo City (Bid No. 20-128)</t>
  </si>
  <si>
    <t>Procurement of Construction Materials and Supplies Use for the Maintenance of NRJ (Loreto) Sto. Nino-Bugdangan-Ferdinand Comval Boundary Road at Loreto ADS</t>
  </si>
  <si>
    <t>PROCUREMENT OF ANTHROPOMORHIC PHANTOM FOR BS RADIOLOGIC TECHNOLOGY</t>
  </si>
  <si>
    <t>Construction/Rehabilitation of Existing Drainage System at Brgy. Navais, Mandurriao, Iloilo City (Bid No. 20-129)</t>
  </si>
  <si>
    <t>Supply and Delivery of One (1) Lot Various Materials for the Improvement of Tourist Facilities</t>
  </si>
  <si>
    <t>20L00165 : Construction of Asphalt Road – Davao City Coastal Bypass Road (Bago Aplaya – Times Beach – Roxas Avenue), Package 28, Davao City</t>
  </si>
  <si>
    <t>Supply and Delivery of One (1) Various Materials for the Construction of RCA (residual Containment Area )Building</t>
  </si>
  <si>
    <t>Dredging of Maricaban Creek, at the Back of Magallanes Village, Makati City and Villamor Barangay 183 Pasay City</t>
  </si>
  <si>
    <t>Improvement of Malabon-Tullahan River, Muzon-Concepcion,  Malabon City</t>
  </si>
  <si>
    <t>Drainage Improvement / Declogging along R-10, Pacheco St. and Vicinity, Tondo, District I, Manila City</t>
  </si>
  <si>
    <t>Drainage Improvement / Declogging along J. Luna St., H. Lopez Blvd., C-2 Road and Vicinity, Tondo, District II, Manila</t>
  </si>
  <si>
    <t>CAN - Food and Drinks UDM PR No. 834</t>
  </si>
  <si>
    <t>Drainage Improvement and Concreting at Barangay BagongSilangan, District II, Quezon City</t>
  </si>
  <si>
    <t>20GM0080 - Upgrading/Improvement/Expansion of Candoni RHU, Negros Occidental.</t>
  </si>
  <si>
    <t>Supply and Delivery of Diesel and Unleaded Gasoline Including Installation of Petroleum Underground Storage Tanks and Fuel Dispensers; PR No. 20-1431 dated 16 June 2020; SN 132 - 2020</t>
  </si>
  <si>
    <t>Supply and Delivery of  One (1) Lot of Various Materials for Improvement of Drainage System</t>
  </si>
  <si>
    <t>20L00164 : Construction of Asphalt Road – Davao City Coastal Bypass Road (Bago Aplaya – Times Beach – Roxas Avenue), Package 27, Davao City</t>
  </si>
  <si>
    <t>3158-20 Procurement of Surgical Mask</t>
  </si>
  <si>
    <t>Purchase of  Dump Truck to be used in Solid Waste Management at the Municipality of San Nicolas, Batangas</t>
  </si>
  <si>
    <t>3156-20 Procurement of Ceftriaxone vial</t>
  </si>
  <si>
    <t>CONSTRUCTION OF POTABLE WATER SYSTEM LEVEL II</t>
  </si>
  <si>
    <t>Repair of Classroom at Melchor L. Nava National High School, Calaparan, Arevalo, Iloilo City (Bid No. 20-127)</t>
  </si>
  <si>
    <t>PURCHASE OF IT EQUIPMENTS TO BE USED BY LGU-AMADEO</t>
  </si>
  <si>
    <t>Supply and Delivery of Starter Kit Packages for Sari-Sari Store through the Implementation of Negosyo Center Serbisyo sa Barangay (NSB) in Jalajala and Baras, Rizal</t>
  </si>
  <si>
    <t>20L00155 : Construction of Concrete Bridge (Substructure Only) - Davao City Coastal Bypass Road (Bago Aplaya - Times Beach - Roxas Avenue), Package 5B, Davao City</t>
  </si>
  <si>
    <t>20L00156 : Construction of Bridge Approach – Davao City Coastal Bypass Road (Bago Aplaya –Times Beach – Roxas Avenue), Package 4A, Davao City</t>
  </si>
  <si>
    <t>Supply and Delivery of Veterinary Supplies</t>
  </si>
  <si>
    <t>Registry of Barangay Inhabitant (RBI), Certifications, Cases,and Website</t>
  </si>
  <si>
    <t>Supply and delivery of Curtains and Curtain Rods</t>
  </si>
  <si>
    <t>Supply and Delivery of Medical Oxygen</t>
  </si>
  <si>
    <t>Procurement of Infrastructure for Concreting of Road Going to Evacuation Center</t>
  </si>
  <si>
    <t>Medicines CY 2020 General Fund</t>
  </si>
  <si>
    <t>3188-20 Procurement of Drugs and Medicines</t>
  </si>
  <si>
    <t>3130-20 Procurement of Other Supplies</t>
  </si>
  <si>
    <t>Supply and delivery of Water Treatment Equipment</t>
  </si>
  <si>
    <t>Procurement of Infrastructure for Concreting of Road Public Market Area</t>
  </si>
  <si>
    <t>Supply and Delivery of Medical, Dental and Labarotary Supplies (Lot No. and Lot No. 2); PR No. 20-1412 dated 29 May 2020; SN 130 - 2020</t>
  </si>
  <si>
    <t>3033-20 Procurement of Airconditioning Unit</t>
  </si>
  <si>
    <t>RFQ</t>
  </si>
  <si>
    <t>Construction/Rehabilitation of Existing Drainage System at Brgy. Tacas, Jaro, Iloilo City (Bid No. 20-136)</t>
  </si>
  <si>
    <t>3160-20 Procurement of I.V Fluids</t>
  </si>
  <si>
    <t>Procurement of Infrastructure for Completion of Concreting of School Fence(TCC)</t>
  </si>
  <si>
    <t>Procurement of Clean and Beautification</t>
  </si>
  <si>
    <t>Construction/Rehabilitation of Existing Drainage System at Brgy. Pali-Benedicto, Mandurriao, Iloilo City (Bid No. 20-132)</t>
  </si>
  <si>
    <t>PURCHASE OF MATERIALS FOR THE CONSTRUCTION OF 2 MAKESHIFT CLASSROOMS AT DAHILAYAN INTEGRATED SCHOOL</t>
  </si>
  <si>
    <t>Construction/Rehabilitation/Improvement of Multi-Purpose Hall at Brgy. Bakhaw, Mandurriao, Iloilo City (Bid No. 20-135)</t>
  </si>
  <si>
    <t>PURCHASE OF MEDICAL EQUIPMENT TO BE USED BY DIFFERENT OFFICES</t>
  </si>
  <si>
    <t>PURCHASE OF PHOTOGRAPHIC EQUIPMENT TO BE USED BY DIFFERENT OFFICES</t>
  </si>
  <si>
    <t>Fabrication and Installation of Grills in Classrooms of PAGCOR Building and Four (4) Storey BEEF Building at Iloilo City National High School, Molo, Iloilo City (Bid No. 20-131)</t>
  </si>
  <si>
    <t>Procurement of  CCTV Camera Procurement of Fire Extinguisher</t>
  </si>
  <si>
    <t>Procurement of Air Conditioning (Split Type)</t>
  </si>
  <si>
    <t>Request for Quotation - Office supplies for the 1st Qtr of Y2020 - HBC (with CNAS 06.17.20)</t>
  </si>
  <si>
    <t>PURCHASE OF OFFICE EQUIPMENT TO BE USED BY DIFFERENT OFFICES</t>
  </si>
  <si>
    <t>Supply and Delivery of Communication Equipment Parts and Accessories (NCEBde)</t>
  </si>
  <si>
    <t>PURCHASE OF IT EQUIPMENTS TO BE USED BY DIFFERENT OFFICES</t>
  </si>
  <si>
    <t>Procurement of HARDWARE SUPPLIES</t>
  </si>
  <si>
    <t>Supply and Delivery of Common Computer Inks</t>
  </si>
  <si>
    <t>Good Lumber etc. (06-0578-A) CEO</t>
  </si>
  <si>
    <t>PURCHASE OF FURNITURE AND FIXTURES TO BE USED BY DIFFERENT OFFICES</t>
  </si>
  <si>
    <t>Repair and Maintenance of LGU Service Vehicles, MGSO, San Jose, Batangas</t>
  </si>
  <si>
    <t>SUPPLY AND DELIVERY OF VARIOUS CI AND MECHANICAL FITTINGS FOR POTABLE WATER</t>
  </si>
  <si>
    <t>Construction of Perimeter Fence at School Grounds at Hillview, Brgy. Timalan Balsahan, Naic, Cavite</t>
  </si>
  <si>
    <t>Procurement of Clean and Beautification Procurement of Water Tank</t>
  </si>
  <si>
    <t>Repair/Maintenance of Public Elementary Schools, Naic, Cavite</t>
  </si>
  <si>
    <t>Supply and delivery of medicines to be used in Veterinary  extension services</t>
  </si>
  <si>
    <t>Repair of Girls' Dormitory</t>
  </si>
  <si>
    <t>(Re-bidding)  Procurement of Multi-Purpose Vehicle for Office of the Mayor</t>
  </si>
  <si>
    <t>Concreting of Road (Ph.3) at Dumpsite, Brgy. Sabang, Naic, Cavite</t>
  </si>
  <si>
    <t>Wide Format Multi Function Printer etc. - REBID (01-0001) OBO</t>
  </si>
  <si>
    <t>G-2020-15: SERVICE PROVIDER FOR BANKWIDE GENERAL SUPPORT SERVICES OF THE DEVELOPMENT BANK OF THE PHILIPPINES</t>
  </si>
  <si>
    <t>Procurement of Construction Materials and Supplies use for the Maintenance of NRJ (San Francisco) Lapinigan-Mate-Cabantao Road at San Francisco, ADS</t>
  </si>
  <si>
    <t>Supply and Delivery of Various Hardware Materials for MCT - (2 Lots) (“Project”)</t>
  </si>
  <si>
    <t>Supply and Delivery of Sanitation and disfectant Supplies.</t>
  </si>
  <si>
    <t>Procurement of Construction Materials and Supplies use for the Establishment of 1 Residual Containment Area (RCA) at Sitio Kalimutan, San Vicente,Loreto, ADS</t>
  </si>
  <si>
    <t>Supply and Delivery of Materials for the Installation of Loadside Wire at Mamala 2 Water Pump, Brgy. Mamala 2, Sariaya, Quezon</t>
  </si>
  <si>
    <t>IMPROVEMENT OF MULTI PURPOSE BUILDING</t>
  </si>
  <si>
    <t>Construction/Rehabilitation/Improvement of Multi-Purpose Hall at Brgy. Rizal , Lapaz, Iloilo City (Bid No. 20-138)</t>
  </si>
  <si>
    <t>PBD 20-046A Light Absorption  Apparatus with Accessories</t>
  </si>
  <si>
    <t>Construction/Rehabilitation/Improvement of Multi-Purpose Hall at Brgy. Rizal Pala-Pala I, City Proper, Iloilo City (Bid No. 20-137)</t>
  </si>
  <si>
    <t>Maintenance of Waterworks System</t>
  </si>
  <si>
    <t>Height Extension of Perimeter Fence and Installation of Combat Wire (Re Post)</t>
  </si>
  <si>
    <t>Procurement of General Merchandise</t>
  </si>
  <si>
    <t>20IE0101 - REPAIR/MAINTENANCE OF DILG BUILDING LEYTE POLICE STATION Paz St., Poblacion, Leyte, Leyte</t>
  </si>
  <si>
    <t>CONSTRUCTION OF EVACUATION CENTER(Brgy. Magsaysay, Culasi, Antique)/IB. NO. K-2020-060(SC)</t>
  </si>
  <si>
    <t>Procurement of Construction Materials and Supplies use for the maintenance of NRJ (Trento) Pulang-lupa-Upper New Visayas-Monkayo Boundary Road at Trento ADS</t>
  </si>
  <si>
    <t>2020-06-011 PROCUREMENT OF CONSTRUCTION MATERIALS AND SUPPLY</t>
  </si>
  <si>
    <t xml:space="preserve">Procurement of Construction Materials and Supplies USE FOR THE ESTABLISHMENT OF 1 RESIDUAL CONTAINMENT AREA (RCA) AT SITIO BACLISE, BARANGAY ANGAS, STA. JOSEFA, ADS UNDER THE PROJECT ESTABLISHMENT OF </t>
  </si>
  <si>
    <t>P.R. No. 2020-06-0035 - Procurement of Materials for Carriageway Maintenance Work Category No. 10 Act. 121 &amp; 122 - Patching Concrete &amp; Joint Sealing on Concrete Pavements for 3rd Qtr. CY-2020</t>
  </si>
  <si>
    <t>Construction of Veterinary Clinic at CPSU Campus, Brgy XIV, Victorias City</t>
  </si>
  <si>
    <t>P.R. No. 2020-06-0033 - Procurement of Materials for Act. 302: Repainting of Centerlines &amp; Lanelines for 3rd Qtr. CY-2020</t>
  </si>
  <si>
    <t>Procurement of Construction Materials and Supplies  USE FOR THE ESTABLISHMENT OF 1 RESIDUAL CONTAINMENT AREA (RCA) AT ECO PARK, PULANG LUPA, TRENTO, ADS UNDER THE PROJECT ESTABLISHMENT OF PROVINCIAL E</t>
  </si>
  <si>
    <t>Supply and Delivery of One (1)  Lot Various Materials for the Construction of Vermiculture Production Building</t>
  </si>
  <si>
    <t>Public Bidding of 2 Lots for the Supply and Delivery of Office Supplies &amp; Janitorial Supplies for Mambusao District Hospital, under ITB No. 2020-012R</t>
  </si>
  <si>
    <t>Procurement of ENVIRONMENTAL HEALTH/SAFETY EQUIPMENT</t>
  </si>
  <si>
    <t>PROCUREMENT AND DELIVERY OF PRINTING SUPPLIES</t>
  </si>
  <si>
    <t>Procurement of 498 bags Urea for use in implementation of Various Research Projects under Rice RND FY 2020</t>
  </si>
  <si>
    <t>PURCHASE OF AUDIO AND VISUAL EQUIPMENT TO BE USED BY DIFFERENT OFFICES</t>
  </si>
  <si>
    <t>Other Supplies and Materials Expenses</t>
  </si>
  <si>
    <t>Repair and Maintenance-Motor Vehicles</t>
  </si>
  <si>
    <t>Office Supplies Expenses</t>
  </si>
  <si>
    <t>P.R. No. 2020-06-0034 - Procurement of Materials for Act. 303: Guardrails Maintenance  for 3rd Qtr. CY-2020</t>
  </si>
  <si>
    <t>Food Supplies Expenses</t>
  </si>
  <si>
    <t>Procurement for Graduation and Recognition Exercises 2020</t>
  </si>
  <si>
    <t>RFQ-DVO-PR.NO. 2002418 CAT. 10 COMPUTER EQUIPMENT AND ACCESSORIES</t>
  </si>
  <si>
    <t>Medical, Dental and Laboratory Supplies Expenses</t>
  </si>
  <si>
    <t>RFQ-DVO-PR.NO. 2002389 CAT. 10 COMPUTER EQUIPMENT AND ACCESSORIES</t>
  </si>
  <si>
    <t>REPAIR OF STAGE &amp; BASKETBALL COURT (FLOORING) at Brgy. Chitongco, Mondragon N. Samar</t>
  </si>
  <si>
    <t>RFQ-DVO-PR.NO. 1911195 CAT. 3 AUDIO- EQUIPMENT</t>
  </si>
  <si>
    <t>RFQ-DVO-PR.NO. 2002088 CAT. 10 COMPUTER EQUIPMENT &amp; ACCESSORIES</t>
  </si>
  <si>
    <t>LOWER USUGAN ES MOOE MARCH AND APRIL 2020</t>
  </si>
  <si>
    <t>Purchase of cement</t>
  </si>
  <si>
    <t>RFQ-DVO-PR.NO. 2002421 CAT. 10 COMPUTER EQUIPMENT AND ACCESSORIES</t>
  </si>
  <si>
    <t>CONSTRUCTION OF HEALTH CENTER</t>
  </si>
  <si>
    <t>PBD 20-072A Equipment for Recombinant Expression of Bioactive Compounds</t>
  </si>
  <si>
    <t>PURCHASE OF SOIL AMELIORANT</t>
  </si>
  <si>
    <t>PURCHASE OF POST HARVEST AND FARM MACHINERY EQUIPMENT</t>
  </si>
  <si>
    <t>RFQ-DVO-PR.NO. 2002081 CAT. 62 VEHICLES AND ACCESSORIES</t>
  </si>
  <si>
    <t>Improvement of Street Lights</t>
  </si>
  <si>
    <t>RFQ-DVO-PR.NO. 2006175 CAT. 49 PRINTED FORMS AND PRINTING SERVICES</t>
  </si>
  <si>
    <t>RFQ-DVO-PR.NO. 2006164 CAT. 80 FUEL, OIL, LUBRICANTS AND SERVICING</t>
  </si>
  <si>
    <t>RFQ-DVO-PR.NO. 2006131 CAT. 80 FUEL, OIL, LUBRICANTS AND SERVICING</t>
  </si>
  <si>
    <t>Procurement of School and Office Supplies</t>
  </si>
  <si>
    <t>RFQ-DVO-PR.NO. 2002293 NO CATEGORY</t>
  </si>
  <si>
    <t>Concreting of Barangay Road &amp; Consruction of Sidewalk at Sitio Ibaba Banaba East, Batangas City</t>
  </si>
  <si>
    <t>RFQ-DVO-PR.NO. 2002339 CAT. 86 OFFICE EQUIPMENT</t>
  </si>
  <si>
    <t>RFQ-DVO-PR.NO. 2002396 CAT. 62 VEHICLES AND ACCESSORIES</t>
  </si>
  <si>
    <t>SUPPLY AND DELIVERY OF CONSTRUCTION MATERIALS FOR BARANGAY STREETLIGHTS, PISAAN, SAN FRANCISCO, AGUSAN DEL SUR</t>
  </si>
  <si>
    <t>RFQ-DVO-PR.NO. 2002458 CAT. 62 VEHICLE AND ACCESSORIES</t>
  </si>
  <si>
    <t>RFQ-DVO-PR.NO. 2002306 CAT. FURNITURE AND FIXTURES</t>
  </si>
  <si>
    <t>RFQ-DVO-PR.NO. 2002287 CAT. 26 FERTILIZERS, FUNGICIDE AND INSECTICIDE</t>
  </si>
  <si>
    <t>MATERIALS FOR THE RIPRAPPING OF CREEK BETWEEN LOT NO. 3511 AND 3514, TS 203</t>
  </si>
  <si>
    <t>Procurement of Goods</t>
  </si>
  <si>
    <t>CONSTRUCTION OF FLOOD AND EROSION CONTROL PROJECT AT THE BACK OF PUBLIC MARKET, BRGY. PALDIT, SISON, PANGASINAN</t>
  </si>
  <si>
    <t>CONSTRUCTION OF MULTI-PURPOSE COVERED PAVEMENT</t>
  </si>
  <si>
    <t>REQUEST FOR QUOTATION FOR THE  COMPLETION OF ISOLATION FACILITIES (ROOFING/FLOORING/PARTIION)</t>
  </si>
  <si>
    <t>RFQ-DVO-PR.NO. 2002372 CAT. 52 RADIO COMMUNICATIONS EQUIPMENT</t>
  </si>
  <si>
    <t>Manual Resuscitator Bag</t>
  </si>
  <si>
    <t>construction of pathway</t>
  </si>
  <si>
    <t>Purchase Request of Medical Equipments for Toledo City Hospital (DOH Standard)</t>
  </si>
  <si>
    <t>Outside Labor (with necessary tools/equipment and materials for fabrication including installation/ mounting of tempered glass window with sliding window and fixed grills for BMC Cashier office at 8 S</t>
  </si>
  <si>
    <t>Outside Labor (w/ necessary tools/equipment) &amp; Materials for the Fabrication &amp; Mounting/ Installation of new OPD Signage (panaflex/Sticker)</t>
  </si>
  <si>
    <t>Purchase Request of Hospital Equipments for Toledo City Hospital (DOH Standard)</t>
  </si>
  <si>
    <t>Purchase of Office Supplies 2020-06-0207</t>
  </si>
  <si>
    <t>Plastic Chair with back rest, stackable,</t>
  </si>
  <si>
    <t>Supply and Delivery of Trash Bins</t>
  </si>
  <si>
    <t>Purchase of Construction Materials &amp; Supplies 2020-06-0224</t>
  </si>
  <si>
    <t>Procurement of Various Housekeeping Supplies-06-011(E)PTO</t>
  </si>
  <si>
    <t>Supply &amp; Delivery of Rescue Equipment and Accessories</t>
  </si>
  <si>
    <t>PREVENTIVE MAINTENANCE OF 1 UNIT ELEVATOR NIPPON BRAND, LOCATED AT 3-STOREY PAYWARD BUILDING</t>
  </si>
  <si>
    <t>Supply and Delivery of Advocacy Jacket, Longsleeves and Washable Face Masks Under FishCORAL Project</t>
  </si>
  <si>
    <t>Cefixime 200mg capsule</t>
  </si>
  <si>
    <t>RFQ - Assorted Diesel/Oil for use for All Service Vehicles and Equipments (Maintenance Section)</t>
  </si>
  <si>
    <t>HHSSG-RMHHC-20-2104-30026</t>
  </si>
  <si>
    <t>Procurement of Motorcycle for BAC &amp; Supply Office Use</t>
  </si>
  <si>
    <t>20 pcs Oxygen Gauge</t>
  </si>
  <si>
    <t>Renovation and Ground Improvement of Schools Division Office</t>
  </si>
  <si>
    <t>PURCHASE OF ANTI VIRUS FOR SB</t>
  </si>
  <si>
    <t>RFQ NO. 20-0585 NP-SVP - Procurement of Service Provider for Kilometer Check-up, Maintenance Check-up of Air-conditioning and Check/Replace Speedometer Cable of Mitsubishi Adventure 2012</t>
  </si>
  <si>
    <t>PROPOSAL FOR (LOT 1) FOOD &amp; ACCOMMODATION IN ALBAY, (LOT 2) FOOD &amp; ACCOMMODATION IN CAMARINES SUR, (LOT 3) FOOD &amp; ACCOMMODATION IN CAMARINES NORTE, (LOT 4) FOOD &amp; ACCOMMODATION IN SORSOGON, (LOT 5) FO</t>
  </si>
  <si>
    <t>Supply &amp; Delivery  of Food Stuff</t>
  </si>
  <si>
    <t>50 pcs Flowmeter</t>
  </si>
  <si>
    <t>Rehabilitation of All Gabaldon Building at Montes I Elementary School, City Proper, Iloilo City (Bid No. 20-130)</t>
  </si>
  <si>
    <t>SUPPLY AND DELIVERY OF  WRIST WATCH INCENTIVE FOR RETIREE (LOT2)</t>
  </si>
  <si>
    <t>Suction liner,</t>
  </si>
  <si>
    <t>Purchase of Electrical Supplies 2020-05-0186</t>
  </si>
  <si>
    <t>Street Cementing (Phase II)</t>
  </si>
  <si>
    <t>Purchase of Garments 2020-06-0218</t>
  </si>
  <si>
    <t>Procurement of IT Equipment for RDS &amp; OARDC Use</t>
  </si>
  <si>
    <t>Test for COVID-19 (SARS-Cov-2 IgG)</t>
  </si>
  <si>
    <t>Purchase Office Supplies</t>
  </si>
  <si>
    <t>Supply and Delivery of Rice and other food essentials in response to BAYANIHAN ACT for COVID PANDEMIC situation of the Island Municipality of Tingloy, Batangas</t>
  </si>
  <si>
    <t>HHSSG-RMBLDG-20-1205-30029</t>
  </si>
  <si>
    <t>MATERIALS FOR THE IMPROVEMENT OF EVACUATION CENTER</t>
  </si>
  <si>
    <t>Purchase of Fuel 2020-06-0210</t>
  </si>
  <si>
    <t>RFQ NO. 20-0584 NP-SVP - Procurement of Service Provider for the Maintenance Check-up, Replacement of Defective Compressor and Other Defective Parts of Mitsubishi Montero 2013</t>
  </si>
  <si>
    <t>Procurement of Office Supplies for the 3rd Quarter of 2020</t>
  </si>
  <si>
    <t>CIVIL WORKS FOR THE CONCRETING OF COASTAL ROAD BRGY. STO NIÑO TO BRGY. CALOC-AN (CONTINUATION), MAGALLANES, AGUSAN DEL NORTE</t>
  </si>
  <si>
    <t>Repair/Maintenance of Revetment along Porac River, San Isidro, Floridablanca, Pampanga</t>
  </si>
  <si>
    <t>Purchase of  Various  Spre Parts (PR No. 20-06-0021)</t>
  </si>
  <si>
    <t>Procurement of Various Housekeeping Supplies-06-007(I)COA</t>
  </si>
  <si>
    <t>Purchase of Electrical Supplies</t>
  </si>
  <si>
    <t>Purchase of Standing Wreath for the Late Resident of the municipalty</t>
  </si>
  <si>
    <t>Supply, delivery and installation of various parts for Kone Elevator as per PR 20-05-0260</t>
  </si>
  <si>
    <t>SECOND QUARTER CONFERENCE OF CALATRAVANHONG BANTOANON AG ATI OFFICERS ON JUNE 26, 2020(FRIDAY) AT 2:00 PM</t>
  </si>
  <si>
    <t>Purchase of Materials for the Regravelling of KABSAKA Road, Brgy. Burirao- Binabaan Tirador, Lambunao, Iloilo</t>
  </si>
  <si>
    <t>Rehabilitation of Barangay Outpost and extension of VAWC Desk</t>
  </si>
  <si>
    <t>Procurement of Various IT Equipments-06-009(C)PPDO</t>
  </si>
  <si>
    <t>Supply and Delivery of Construction Materials - ITB 024B-2020 GQ</t>
  </si>
  <si>
    <t>Supply &amp; Delivery of Construction Materials for Fabrication of 4 Modular Tents</t>
  </si>
  <si>
    <t>RFQ-DVO-PR.NO. 2001195 CAT. 10 COMPUTER EQUIPMENT AND ACCESSORIES</t>
  </si>
  <si>
    <t>Rent to Own for Three (3) months Laptop with License</t>
  </si>
  <si>
    <t>ACQUISITION OF RICE COOKER AND PUSH CART FOR MESS UNIT</t>
  </si>
  <si>
    <t>PROPOSED GREENING AND BEAUTIFICATION OF LETRE CENTER ISLAND, SIDEWALK AND EASEMENT, LOCATED AT BRGY. TONSUYA, CITY OF MALABON</t>
  </si>
  <si>
    <t>PROCUREMENT OF WOODEN ARMCHAIRS FOR BCC, BUENAVISTA, BOHOL</t>
  </si>
  <si>
    <t>Construction of Building to Accommodate COVID 19 Patients at Brgy. Lydia (Phase 02)</t>
  </si>
  <si>
    <t>1,100 ltrs Diesel Fuel</t>
  </si>
  <si>
    <t>PURCHASE OF AVR FOR MCR</t>
  </si>
  <si>
    <t>invitation to bid</t>
  </si>
  <si>
    <t>Supply and delivery of various motor oils &amp; lubricants for farm tractor &amp; brush cutter at DA-RIARC, Victoria, Oriental Mindoro</t>
  </si>
  <si>
    <t>REQUEST FOR QUOTATION - Purchase and Delivery of Various Office Supplies for NPS Region V</t>
  </si>
  <si>
    <t>Purchase &amp; delivery of Fertilizers for FSTP Phase 2 (Corn)</t>
  </si>
  <si>
    <t>Procurement of Air condition for the MMSU-CIT Bindery Project</t>
  </si>
  <si>
    <t>Procurement of Various Electrical Supplies-06-353(O)PEO</t>
  </si>
  <si>
    <t>PROPOSAL FOR THE SUPPLY AND DELIVERY OF                      LOT 1- REGULAR MILLED RICE AND LOT 2- OTHER SUPPLIES FOR USE IN THE IMPLEMENTATION OF ENHANCED KADIWA NI ANI AT KITA</t>
  </si>
  <si>
    <t>PURCHASE OF ADDITIONAL PUMP SUPPORT FOR TUBOD SPRING</t>
  </si>
  <si>
    <t>Procurement of Various Construction Supplies and Materials-06-002-PEO</t>
  </si>
  <si>
    <t>Maintenance and Calibration of Laboratory Equipments and Instruments</t>
  </si>
  <si>
    <t>GROCERY ITEMS</t>
  </si>
  <si>
    <t>SUPPLY AND DELIVERY OF VARIOUS GI FITTINGS FOR POTABLE WATER</t>
  </si>
  <si>
    <t>Supply and Delivery of Construction Materials for the Improvement of Water System at Brgy Cogon, Talicud Island, Kaputian Dist., IGaCoS under PR No. 003</t>
  </si>
  <si>
    <t>IT CONSUMABLES</t>
  </si>
  <si>
    <t>Construction/Rehabilitation of Water Supply/Septage and  Sewerage/Rain Water Collectors – Rain Water Collectors  in Public Facilities  2nd District Pampanga</t>
  </si>
  <si>
    <t>Weaving Looms, 50" x 50" and warping</t>
  </si>
  <si>
    <t>Procurement of fuel, oil &amp; lubricants</t>
  </si>
  <si>
    <t>CONSTRUCTION OF QUARANTINE FACILITY (LIGHT MATERIALS)</t>
  </si>
  <si>
    <t>Supply/Delivery of  Rice for Provision of Support to Auxilliary Army Group  (PR# 20-06-0604)</t>
  </si>
  <si>
    <t>PURCHASE OF OFFICE EQUIPMENT AND SUPPLIES</t>
  </si>
  <si>
    <t>Supply and Delivery of Construction Materials for the Extension of School Multi-Purpose Hall of Sinamar E/S, Sinamar, Roxas, Isabela</t>
  </si>
  <si>
    <t>Procurement of Various Spare Parts-06-346(A)PGO</t>
  </si>
  <si>
    <t>RFQ No.: 2020-06-0520 Catering with Free Venue for the conduct of "Orientation for Local Government Units (LGUs) in the implementation of Social Amelioration Program (SAP) through the Livelihood Assis</t>
  </si>
  <si>
    <t>Procurement of Construction Materials and Supplies for the Concreting of Sitio Road in Sitio Pulo, Brgy. Pantalan, President Roxas, Capiz</t>
  </si>
  <si>
    <t>MDH-FOOD STUFF</t>
  </si>
  <si>
    <t>Procurement of Various Spare Parts-06-348(O)PEO</t>
  </si>
  <si>
    <t>Concreting of Farm to Market Road with Slope Protection at Sitio 4, Brgy. Tabucbuc</t>
  </si>
  <si>
    <t>Procurement of 1 unit 4WD Double Cab / Multi-Purpose Vehicle, Isabela, Neg. Occ.</t>
  </si>
  <si>
    <t>SUPPLY DELIVERY AND INSTALLATION INCLUDING COMMISSIONING &amp; WARRANTY OF SOLAR STREETLIGHTS</t>
  </si>
  <si>
    <t>20M0028 - Purchase of Materials for use in Crack/joint sealant along National Roads &amp; Bridges, within the district</t>
  </si>
  <si>
    <t>ESLF Equipment</t>
  </si>
  <si>
    <t>Purchase of Construction Materials for Renovation of Day Care Center at Gil Sanchez, Lab. ZN:</t>
  </si>
  <si>
    <t>RFQ NO. 20-0586 NP-SVP - Procurement of Service Provider for the Maintenance Check-up of Air-conditioning of Mitsubishi Montero 2013 UMQ 605</t>
  </si>
  <si>
    <t>PURCHASE OF MEDICAL SUPPLIES</t>
  </si>
  <si>
    <t>Publication of Municipal Ordinance No. 80,81,82,83 &amp; 84 Series 2020</t>
  </si>
  <si>
    <t>Procurement of Two (2) Units New Elevator of AFP Health Service COmmand</t>
  </si>
  <si>
    <t>Procurement of Meals and Snacks</t>
  </si>
  <si>
    <t>SUPPLY OF RISO MACHINE</t>
  </si>
  <si>
    <t>Request for qoutation PR No. 0951-20</t>
  </si>
  <si>
    <t>Procurement of 1 unit Dump Truck, Isabela, Neg. Occ.</t>
  </si>
  <si>
    <t>PURCHASE OF OFFICE SUPPLIES</t>
  </si>
  <si>
    <t>Purchase of Office Supplies - Treasury (2nd Quarter)</t>
  </si>
  <si>
    <t>RFQ 2020 - 06 - 024 Boltless 5 Layers Filling Rack</t>
  </si>
  <si>
    <t>Supply and Delivery of Laptop</t>
  </si>
  <si>
    <t>Supply and Delivery of Medical Supplies</t>
  </si>
  <si>
    <t>Supply &amp; Delivery of Janitorial Supplies</t>
  </si>
  <si>
    <t>EXPANSION OF DRAINAGE CANAL SYSTEM ( LAPU- LAPU STREET, QUIRINO &amp; HARADA BUTAI, PADADA, DAVAO DEL SUR )</t>
  </si>
  <si>
    <t>Construction of 2 Units Picnic Shed and Boardwalk at Katunggan Park</t>
  </si>
  <si>
    <t>Procurement of Various Spare Parts-06-347(A)PGO</t>
  </si>
  <si>
    <t>Repair and Maintenace of Patient Transport Vehicle HYUNDAI STAREX 234</t>
  </si>
  <si>
    <t>lot a-provision of office and operation supplies that facilitates a safe and sanitary teaching and learning environment</t>
  </si>
  <si>
    <t>PR NO. 1430 Repair of Comfort Rooms</t>
  </si>
  <si>
    <t>For Administration Building Comfort Rooms</t>
  </si>
  <si>
    <t>Improvement of Multipurpose - Brgy, Tapul</t>
  </si>
  <si>
    <t>Souvenir Shirts</t>
  </si>
  <si>
    <t>Supply and Delivery of Agricultural Supplies and Equipment - ITB 026B-2020 GQ</t>
  </si>
  <si>
    <t>Procurement of Various Spare Parts-06-349(A)PGO</t>
  </si>
  <si>
    <t>Procurement of MOOE Supplies of Mahayag ES 1st Quarter</t>
  </si>
  <si>
    <t>Procurement of Construction Materials and Supplies for the Construction of Core Road in Brgy. Cubay, President Roxas, Capiz</t>
  </si>
  <si>
    <t>Supply &amp; Delivery of Concrete Cutter</t>
  </si>
  <si>
    <t>Purchase of CCTV</t>
  </si>
  <si>
    <t>For use in the operation of City Nursery</t>
  </si>
  <si>
    <t>PROCUREMENT OF T-SHIRT WITH EMBROIDERY FOR THE JULY 2020 LABOR FORCE SURVEY (LFS)  / 2020 ANNUAL POVERTY INDICATORS SURVEY (APIS)</t>
  </si>
  <si>
    <t>Supply and Delivery of Office Supplies and Consumables - MISO</t>
  </si>
  <si>
    <t>Nursery Materials and Supplies</t>
  </si>
  <si>
    <t>(PGSO) REQUEST FOR QUOTATION (RFQ) For the Procurement of Construction Materials (III) (Improvement of LMET Guard Post) For the Provincial General Services Office--200,000.00</t>
  </si>
  <si>
    <t>Construction of Sanitary Landfill, Category 1</t>
  </si>
  <si>
    <t>Procurement of Various Spare Parts-06-348(A)PGO</t>
  </si>
  <si>
    <t>BLGU-STAFE-AL-G-01-2020 PURCHASE/INSTALLATION SOLAR STREET LIGHT BRGY. STA. FE, ABUYOG, LEYTE</t>
  </si>
  <si>
    <t>Purchase of 2 lots 16 Channel CCTV Systems &amp; 3 lots 8 Channel CCTV Systems for use of the City Government of Laoag</t>
  </si>
  <si>
    <t>Purchase of construction materials.</t>
  </si>
  <si>
    <t>Supply and Delivery of Agricultural Supplies &amp; Equipment - ITB 027B-2020 GQ</t>
  </si>
  <si>
    <t>20GIB0035: Procurement of Security Services for Eastern Samar District Engineering Office (ESDEO) Borongan City</t>
  </si>
  <si>
    <t>Procurement of Various Housekeeping Supplies-06-342(A)PGO</t>
  </si>
  <si>
    <t>RFQ No.: 2020-06-0509 LGU Orientation in the conduct of  On Demand Application (ODA) and Validation on August 17-18, 2020 in Iloilo City</t>
  </si>
  <si>
    <t>RFQ No. 2006-311 Proc. of Goods (Tools for Transportation and MotorpoolUse)(Repost)</t>
  </si>
  <si>
    <t>Purchase of medicine of Barangay Sta. Monica San Luis Batangas</t>
  </si>
  <si>
    <t>Construction of Line Canal, Barangay 5</t>
  </si>
  <si>
    <t>Request for qoutation PR No. 0942-20</t>
  </si>
  <si>
    <t>Procurement of 1 unit Manlift Truck, Isabela, Neg. Occ.</t>
  </si>
  <si>
    <t>Procurement of Various Spare Parts-06-355(A)PGO</t>
  </si>
  <si>
    <t>HANDWASHING FACILITY</t>
  </si>
  <si>
    <t>Purchase &amp; delivery of feeds for Expanded Livestock &amp; Poultry Livelihood Project for Covid-19 Response</t>
  </si>
  <si>
    <t>PURCHASE OF MATERIALS FOR PROPOSED REPAIR OF INGHOY RESERVOIR AND PIPELINES</t>
  </si>
  <si>
    <t>PR NO. 1421 Construction of Elevated Concrete Reservoir</t>
  </si>
  <si>
    <t>SUPPLY AND DELIVERY OF COLD MIX ASPHALT</t>
  </si>
  <si>
    <t>Supply and delivery of office equipment for DTI R02</t>
  </si>
  <si>
    <t>P.R. # 20-06-056 Air-con 1.0HP, Split type with Inverter For use of Quality Assurance Section</t>
  </si>
  <si>
    <t>Request for qoutation PR No. 0938-20</t>
  </si>
  <si>
    <t>printing of signage</t>
  </si>
  <si>
    <t>Rental of PRINTER, A3 Wi-Fi Duplex, All-in-One Ink Tank per RFQ-148-2020-SMD</t>
  </si>
  <si>
    <t>PURCHASE OF ADDITIONAL DISTRIBUTION PIPES FOR STACA, COMPOSTELA AND LEGASPI</t>
  </si>
  <si>
    <t>Isosorbide Dinitrate 1mg/ml, 10ml inj. amp</t>
  </si>
  <si>
    <t>Supply and Delivery of Rackmount Servers</t>
  </si>
  <si>
    <t>Supply and Delivery of Office Supplies and Consumables per RFQ-133-2020-SMD</t>
  </si>
  <si>
    <t>PURCHASE OF CONSTRUCTION MATERIALS</t>
  </si>
  <si>
    <t>Supply and Delivery of Ductless 1.5 HP split type inverter aircon with service warranty, installation and free cleaning</t>
  </si>
  <si>
    <t>Procurement of Various Construction Supplies and Materials-06-355(O)PEO</t>
  </si>
  <si>
    <t>Procurement of Various Construction Supplies and Materials-06-356(O)PEO</t>
  </si>
  <si>
    <t>Procurement of Povidone Iodine</t>
  </si>
  <si>
    <t>Electric Trike</t>
  </si>
  <si>
    <t>Purchase of Office Supplies - MPDO 1st &amp; 2nd quarter</t>
  </si>
  <si>
    <t>To be used at RHU I and RHU II for Suspected Dengue Patient</t>
  </si>
  <si>
    <t>UPGRADING OF FIRE DETECTION ALARM SYSTEM</t>
  </si>
  <si>
    <t>SUPPLY AND DELIVERY OF PRODUCTION METER, 2" (TAILPIECE TYPE)</t>
  </si>
  <si>
    <t>Supply and Delivery of Office Equipment - ITB 023B-2020  GQ</t>
  </si>
  <si>
    <t>Concreting of Barangay road</t>
  </si>
  <si>
    <t>(DDH) 2nd REQUEST FOR QUOTATION (RFQ)  For the Procurement of Hospital Equipment</t>
  </si>
  <si>
    <t>Request for qoutation PR No. 0939-20</t>
  </si>
  <si>
    <t>carbonless print paper</t>
  </si>
  <si>
    <t>Procurement of Janitorial Supplies for the 3rd Quarter of 2020</t>
  </si>
  <si>
    <t>Purchase of medicine for Barangay Banoyo San Luis Batangas</t>
  </si>
  <si>
    <t>Water Service Connection Materials / Fittings</t>
  </si>
  <si>
    <t>Supply and Delivery of Laboratory Reagents - ITB 028B-2020 GQ</t>
  </si>
  <si>
    <t>PURCHASE OF ANTI-RABIES VACCINE (ARV) TO CLIENTS OF THE MUNICIPALITY OF BORBON</t>
  </si>
  <si>
    <t>Procurement of Various Electrical Supplies-06-357(O)PEO</t>
  </si>
  <si>
    <t>Supply and Delivery of Office Supplies and Consumables - CPDO</t>
  </si>
  <si>
    <t>Procurement of Various Electrical Supplies-06-358(O)PEO</t>
  </si>
  <si>
    <t>Diesel Fuel(SBO)</t>
  </si>
  <si>
    <t>Purchase of Toner TN220 Black for Ineo 281 + Printer for use in the Office of the Planning and Design Section</t>
  </si>
  <si>
    <t>THE SUPPLY AND DELIVERY OF OFFICE AND OTHER SUPPLIES</t>
  </si>
  <si>
    <t>For use in operation of Backhoe 03, DT 02 &amp; 08, RG-05 and DT-02 assigned at City Engineer's Office.</t>
  </si>
  <si>
    <t>COVID 19 MEDICAL SUPPLIES</t>
  </si>
  <si>
    <t>For Landscaping and Garden Beautification</t>
  </si>
  <si>
    <t>lot c-provision of cleaning equipment that facilitates a safe and sanitary teaching and learning environment</t>
  </si>
  <si>
    <t>seedlings</t>
  </si>
  <si>
    <t>Supply and Delivery of Construction Materials - ITB 031B-2020 GQ</t>
  </si>
  <si>
    <t>RFQ for the Procurement of Supplies for Building Reapir and Maintenance</t>
  </si>
  <si>
    <t>Purchase of medicine for Barangay Abiacao San Luis Batangas</t>
  </si>
  <si>
    <t>Supply, Delivery, Installation &amp; Commissioning of Brand New Digital Radiography/Fluoroscopy X-ray Machine</t>
  </si>
  <si>
    <t>For Cashier's Office Use</t>
  </si>
  <si>
    <t>R.F.Q. (P.R. No.) 20-06-89 - Joint Sealer (25 kgs/pack)</t>
  </si>
  <si>
    <t>Agricultural Materials &amp; Supplies</t>
  </si>
  <si>
    <t>RFQ No.: 2020-06-0515 Printing of Forms for On Demand Application and Validation 2020</t>
  </si>
  <si>
    <t>Supply and Delivery of Meals and Snacks for Dengue Control and Prevention Program</t>
  </si>
  <si>
    <t>RFQ 05-0401-20 ADMIN SUPPLY AND DELIVERY OF AIRCONDITIONING</t>
  </si>
  <si>
    <t>Request for qoutation PR No. 0659-20</t>
  </si>
  <si>
    <t>PROCUREMENT OF MONO BLOCK CHAIR</t>
  </si>
  <si>
    <t>Supply and Delivery of 100,000 Gallon Liquid Disinfectant</t>
  </si>
  <si>
    <t>REQUEST FOR QUOTATION (RFQ)  For the Procurement of One (1) unit Pharmacy Biomedical Ref</t>
  </si>
  <si>
    <t>Supply and Delivery of Packaging Supplies and Materials</t>
  </si>
  <si>
    <t>SUPPLY OF LABOR AND MATERIALS FOR THE DRILLING OF ONE (1) UNIT PRODUCTION WELL LOCATED AT VILLA CZARINA SUBDIVISION, BARANGAY CUAYAN, ANGELES CITY</t>
  </si>
  <si>
    <t>1 unit digital leak detector</t>
  </si>
  <si>
    <t>Procurement of materials for the improvement of municipal building, People's hall and Slaughterhouse</t>
  </si>
  <si>
    <t>Purchase of Furniture &amp; Fixtures of Mayor's Office</t>
  </si>
  <si>
    <t>Tobacco Farmers/Cooperatives' Hybrid Corn Seed Subsidy for Alternative Farming Livelihood Project</t>
  </si>
  <si>
    <t>Supply and Delivery of Laboratory Supplies</t>
  </si>
  <si>
    <t>RFQ No.: 2020-06-0512 For Social Pension Information Campaign in July and August 2020</t>
  </si>
  <si>
    <t>Improvement of Brgy. Road, Brgy. Cambagahan Bais City(N-174-2020)</t>
  </si>
  <si>
    <t>FOR REPAIR AND MAINTENANCE OF MUNICIPAL HEAVY EQUIPMENT (WHEEL LOADER HYUNDAI HL-757-9S)</t>
  </si>
  <si>
    <t>IMPROVEMENT OF TRIBAL HUT COMFORT ROOM OF LGU DUMALNEG</t>
  </si>
  <si>
    <t>Rubber Boots (Personal Protective Equipment for Birthing Facilities)</t>
  </si>
  <si>
    <t>Alcohol (National Immunization Program Outbreak Campaign)</t>
  </si>
  <si>
    <t>Supply and Delivery of Window Blinds - VP ACAD</t>
  </si>
  <si>
    <t>ROAD CONCRETING AT BARANGAY MALIPAMPANG</t>
  </si>
  <si>
    <t>Procurement of Linens Requirement of VLMC, AFPHSC</t>
  </si>
  <si>
    <t>IMPROVEMENT OF THE MUNICIPAL CIVIL REGISTRAR'S OFFICE OF LGU DUMALNEG</t>
  </si>
  <si>
    <t>PROCUREMENT OF IT EQUIPMENT (PB-LAP-2020-071)</t>
  </si>
  <si>
    <t>Request for qoutation PR No. 0826-20</t>
  </si>
  <si>
    <t>Purchase of Equipment Logbook to be used of Heavy Equipment and Service Vehicle of DPWH Bukidnon 2nd DEO for CY 2020</t>
  </si>
  <si>
    <t>CONSTRUCTION OF APARTMENT TYPE NICHES</t>
  </si>
  <si>
    <t>RFQ No.: 2020-06-0516 Printing of Initial List of Poor Household</t>
  </si>
  <si>
    <t>Supply and Delivery of Office Supplies for Provincial Auditor's Office</t>
  </si>
  <si>
    <t>Construction of Multi-purpose Bldg. @ sitio side B</t>
  </si>
  <si>
    <t>Supply and Delivery of Construction Materials - ITB 029B-2020 GQ</t>
  </si>
  <si>
    <t>Supply of various construction materials for the Expansion of Drainage Canal ( U-Type Drainage System )</t>
  </si>
  <si>
    <t>RFQ Altertaive Learning System IT Equipment PR #2020-107</t>
  </si>
  <si>
    <t>P.R. # 20-06-058 For the repair and maintenance of national roads and bridges within Caloocan City and Valenzuela City, C.Y. 2020 Routine Maintenance 2nd Quarter (April to June)</t>
  </si>
  <si>
    <t>Procurement of Gasoline Fuel-06-358(A)PGO</t>
  </si>
  <si>
    <t>Procurement of construction materials for the construction of Multi-purpose building</t>
  </si>
  <si>
    <t>Purchase of Vehicle Parts for the Repair &amp; Maintenance of Government Vehicle</t>
  </si>
  <si>
    <t>office supplies</t>
  </si>
  <si>
    <t>Installation of P.E Pipes @ Sitio Upper Meocan</t>
  </si>
  <si>
    <t>Chlorine Granules (DOH-DCHD re: COVID-19)</t>
  </si>
  <si>
    <t>SUPPLY, DELIVERY AND INSTALLATION OF CCTV</t>
  </si>
  <si>
    <t>SSS Bacolod Branch Diesel Fuel</t>
  </si>
  <si>
    <t>ROAD CONCRETING AT BARANGAY PASONG BANGKAL</t>
  </si>
  <si>
    <t>PURCHASE AND DELIVERY OF LED BULB 15WATTS</t>
  </si>
  <si>
    <t xml:space="preserve">Request for Quotation for the Provision of Printing services to be used for the conduct of RCM Briefing Batch 1 and Batch 2 on September 29, 2020 at Tagoloan, Misamis Oriental and October 29, 2020 at </t>
  </si>
  <si>
    <t>Concreting of Road From the Evacuation Center Down to the End Potion after Gilbert Laxina's Residence Bais City(N-172-2020)</t>
  </si>
  <si>
    <t>Supply &amp; Delivery of various Medicine, Medical, Dental &amp; Laboratory  Supplies for RHU-I,  RHU-II and PGH, LGU-Paniqui, Tarlac</t>
  </si>
  <si>
    <t>Acquisition of Rural Health Unit Service Van</t>
  </si>
  <si>
    <t>Concrete Perimeter Fence of Brgy Hall</t>
  </si>
  <si>
    <t>Provisions for fabrication of table divider, faceshield, and face mask</t>
  </si>
  <si>
    <t>PROCUREMENT OF ZOOLOGICAL MEDICINES FOR LIVESTOCK</t>
  </si>
  <si>
    <t>Supply and Delivery of Parts to be used in the Repair and Maintenance of Naujan PNP Vehicle and Motorcycle, Naujan, Oriental Mindoro</t>
  </si>
  <si>
    <t>Supply and Installation of P.E Tanks, 1 Unit</t>
  </si>
  <si>
    <t>THE SUPPLY AND DELIVERY OF CONSTRUCTION MATERIALS AND SUPPLIES FOR THE CONSTRUCTION OF BAHAY PAG-ASA</t>
  </si>
  <si>
    <t>Security Services for the Provincial Government of Ilocos Sur</t>
  </si>
  <si>
    <t>SUPPLY, INSTALLATION AND COMMISSIONING OF MATERIALS, EQUIPMENT, PUMPING UNIT AND DISCHARGE LINE FOR CUTUD PUMPING STATION, BARANGAY CUTUD, ANGELES CITY</t>
  </si>
  <si>
    <t>lot b-provision of cleaning equipment that facilitates a safe and sanitary teaching and learning environment</t>
  </si>
  <si>
    <t>purchase of construction materials for repair of tanod outpost SPPVS</t>
  </si>
  <si>
    <t>Transfer of Aircon of UPV Humanities ( RFQ 2020-4076)</t>
  </si>
  <si>
    <t>RFQ - Notarization Services for MOA and DOD</t>
  </si>
  <si>
    <t>RFQ for the Services of Pulling and Transplanting for Research IGP</t>
  </si>
  <si>
    <t>ROAD CONCRETING AT BARANGAY MAKAPILAPIL</t>
  </si>
  <si>
    <t>RFQ-L-PROCUREMENT OF ICT EQUIPMENT AND COMMUNICATION EQUIPMENT FOR THE USE OF SCHOOL DIVISION OFFICE-DEPED-NAVOTAS CITY</t>
  </si>
  <si>
    <t>Procurement of Hardware and Construction Materials for Temporary Makeshift Bridge at Lipay, Dagupan &amp; Dipilat -Alsem River</t>
  </si>
  <si>
    <t>Publication of City Ordinances for 2020 for the City of Meycauayan, Bulacan</t>
  </si>
  <si>
    <t>Purchase of 1 unit Multi-functional Machine with Dual-scan Document Processor</t>
  </si>
  <si>
    <t>HEALTH SUPPLIES</t>
  </si>
  <si>
    <t>request for quotation for UPS 625VA, etc. (PMD)</t>
  </si>
  <si>
    <t>SUPPLY AND DELIVERY OF ONE (1) UNIT BRAND NEW DUMP TRUCK</t>
  </si>
  <si>
    <t>Procurement of Internet Services -BEC</t>
  </si>
  <si>
    <t>Provisions for Covid-19 prevention and monitoring</t>
  </si>
  <si>
    <t>2020-06-128 PROCUREMENT OF VEHICLE PARTS AND ACCESSORIES - PGO</t>
  </si>
  <si>
    <t>To hire contractor to provide materials, labor and equipment for two (2) Infrastructure Projects, viz: 1) Construction of River Control Barangay Cabugan Bindoy, Negros Oriental; 2) Concreting of Baran</t>
  </si>
  <si>
    <t>Procurement of Various IT Equipments-06-361(A)PGO</t>
  </si>
  <si>
    <t>Procurement for Catering Services for 17 Days during the Series of Activities in Preparation for the ISO 9001:2015 2nd Surveillance Audit</t>
  </si>
  <si>
    <t>PR2020-06-024 - Purchase and Delivery of Office Equipment, Supplies and Consumables</t>
  </si>
  <si>
    <t>Supply and Delivery of Drugs and Medicines - BEC</t>
  </si>
  <si>
    <t>EXTENSION OF LOCAL RISK REDUCTION MANAGEMENT OFFICE</t>
  </si>
  <si>
    <t>Supply and Delivery of Spare Parts for the use in CaPenro</t>
  </si>
  <si>
    <t>Request for Quotation for the supply and delivery of 2 sets of read and bill device</t>
  </si>
  <si>
    <t>( PR NO. 20-06-04-0071 SUPPLY AND DELIVERY OF 10 pcs Concrete Cutter Blade(18-inches), 6 pcs Concrete Cutter Blade(14-inches), 5 pcs Belt, 10 pcs (Pillow Block)Bearing)</t>
  </si>
  <si>
    <t>Supply &amp; Delivery of Printer for Cashier's Office 01D(CO) F11-2020</t>
  </si>
  <si>
    <t>Supply and Delivery of Medical/Office Supplies</t>
  </si>
  <si>
    <t>Rehabilitation of Brgy. Road, Brgy. Bucalan, Canlaon City</t>
  </si>
  <si>
    <t>INSTALLATION OF SOLAR STREET LIGHTS</t>
  </si>
  <si>
    <t>Supply, Delivery and Installation of Tires for PRDP Vehicles (PRAS No. 2020-042 &amp; SH-016-2020)</t>
  </si>
  <si>
    <t>Procurement of COnstruction Materials &amp; Supplies for Line Canal at Barangay Bacsay Cataraoan Norte, Claveria, Cagayan Valley</t>
  </si>
  <si>
    <t>Supply and Delivery of Meals and Snacks for Conduct of Tsunami Forum &amp; Planning Workshop</t>
  </si>
  <si>
    <t>Purchase of CCTV with Installation for PNP Labason Station Surveillance:</t>
  </si>
  <si>
    <t>Bid No. 20-0276 - PROCUREMENT OF OFFICE SUPPLIES - MHO OPERATIONS</t>
  </si>
  <si>
    <t>P.R. # 20-06-060 Maintenance and Repair of Infrastructure Facilities and other Related Activities-Routine Maintenance of National roads &amp; bridges for the Purchase of Uniform Requirements of Roadside M</t>
  </si>
  <si>
    <t>Supply &amp; Delivery of Tires and Battery</t>
  </si>
  <si>
    <t>RFQ for the Procurement of Expand-A-Wall</t>
  </si>
  <si>
    <t>PROCUREMENT OF OFFICE SUPPLIES FOR THE 2ND QUARTER OF YEAR 2020</t>
  </si>
  <si>
    <t>SUPPLY , DELIVERY, INSTALLATION, COMMISSIONING &amp; TESTING OF FIVE (5) UNITS OF CEILING CASSETTE SPLIT TYPE INVERTER AIRCON 5 TONNER</t>
  </si>
  <si>
    <t>Procurement of Various Electrical Supplies-06-360(O)PEO</t>
  </si>
  <si>
    <t>PR NO. 1523 Annual Report 2019 Book</t>
  </si>
  <si>
    <t>Purchase of Rescue Vehicle Bonggo</t>
  </si>
  <si>
    <t>Installation/fabrication of window grills and canopy at Market Office, Lingayen, Pangasinan</t>
  </si>
  <si>
    <t>Procurement of Construction Materials for the Concreting of Perimeter Fence, new PNP bldg.</t>
  </si>
  <si>
    <t>Construction of Multi-Purpose Building (New Building Phase I), Ugac Sur, Tuguegarao City</t>
  </si>
  <si>
    <t>Procurement of Boat Rental Services - RDE</t>
  </si>
  <si>
    <t>office equipment</t>
  </si>
  <si>
    <t>Procurement of Various Electrical Supplies-06-361(O)PEO</t>
  </si>
  <si>
    <t>Procurement of Various Canon Cartridge</t>
  </si>
  <si>
    <t>Construction Materials &amp; Supplies</t>
  </si>
  <si>
    <t>Office Equipment of GDSS for Official use of  DENR-INREMP  BUKIDNON</t>
  </si>
  <si>
    <t>Supplies June 2020 B3</t>
  </si>
  <si>
    <t>Purchase o Laptop Computer with Printer-Treasury</t>
  </si>
  <si>
    <t>80 pax of lunch and snacks for the turn over ceremony of the newly renovated SB SESSION HALL, SB OFFICE AND VM OFFICE</t>
  </si>
  <si>
    <t>CONSTRUCTION OF LINE CANAL</t>
  </si>
  <si>
    <t>Procurement of Agricultural supplies for use in implementation of various Research Projects under Rice RND FY 2020</t>
  </si>
  <si>
    <t>REBLOCKING OF MUNICIPAL ROAD AND RECONSTRUCTION OF SLOPE PROTECTION (BRGY CALERO)</t>
  </si>
  <si>
    <t>Vehicle repair &amp; maintenance</t>
  </si>
  <si>
    <t>REHABILITATION &amp; PRESERVATION OF CULTURAL AND HISTORICAL SITES, POBLACION, IMPASUGONG, BUKIDNON</t>
  </si>
  <si>
    <t>Procurement of Service  for the Review and Validation of documented information and completion of the gap findings in preparation for the ISO 9001:2015 2nd Surveillance Audit for 17-days</t>
  </si>
  <si>
    <t>( PR NO. 20-06-05A-0029 SUPPLY AND DELIVERY OF 100 boxes Computerized Billing Form 6000 pcs/box (as per sample))</t>
  </si>
  <si>
    <t>Supply and Delivery of Office Supplies - IPTBM</t>
  </si>
  <si>
    <t>RFQ-L-PROCUREMENT OF ICT EQUIPMENT FOR THE USE OF VARIOUS OFFICE-NAVOTAS CITY</t>
  </si>
  <si>
    <t>Supply and Delivery of Office Supplies for Dengue Control and Prevention Program</t>
  </si>
  <si>
    <t>Procurement of  Materials for the  Repair &amp; Maintenance of Parks and Plaza</t>
  </si>
  <si>
    <t>R.F.Q. (P.R. No.) 20-06-87 - Office Supplies (Nylon #250)</t>
  </si>
  <si>
    <t>Procurement of Various Electrical Supplies-06-362(O)PEO</t>
  </si>
  <si>
    <t>PURCHASE OF IT EQUIPMENT</t>
  </si>
  <si>
    <t>Airconditioner 1.5Hp Window Type with Installation</t>
  </si>
  <si>
    <t>Furnishing Labor for Improvement of Brgy. Multi-purpose Building, Brgy. Ninoy Aquino, Canlaon City (AIP 2018)</t>
  </si>
  <si>
    <t>Supply and Delivery of Various spareparts intended for Municipal Heavy Equipment (Grader 120k &amp; Grader 120H) of this Municipality</t>
  </si>
  <si>
    <t>Procurement of Various Electrical Supplies-06-363(O)PEO</t>
  </si>
  <si>
    <t>Supply of various construction materials for Road Rehabilitation at Rizal Street, Padada Davao del Sur</t>
  </si>
  <si>
    <t>repair of Municipal Seal infront of Municipal Building</t>
  </si>
  <si>
    <t>Procurement of Tiles and Tile Adhesive for TESDA MIMAROPA Regional Office and TESDA Oriental Mindoro Provincial Office- Tiles of newley erected building at Tawiran, Calapan City.</t>
  </si>
  <si>
    <t>Foods</t>
  </si>
  <si>
    <t>OFFICE SUPPLIES</t>
  </si>
  <si>
    <t>SUPPLY OF SPARE PARTS OF HILUX</t>
  </si>
  <si>
    <t>To purchase and Deliver Farm Machinery and Equipment and tools</t>
  </si>
  <si>
    <t>Improvement of Barangay Hall Phase II</t>
  </si>
  <si>
    <t>Procurement of additional CCTV camera needed for BDRRMC Operations</t>
  </si>
  <si>
    <t>Supply/Delivery of Latex Paint, 7 Liter</t>
  </si>
  <si>
    <t>Proposed Opening/Improvement of Toledo City Hospital Circumferential Road @ Brgy. Poblacion, Toledo City</t>
  </si>
  <si>
    <t>SUPPLY AND DELIVERY OF COMMON-USE ITEMS (PAPER PRODUCTS) &amp; PAPER BONDS</t>
  </si>
  <si>
    <t>Construction of Flood Control Dike Barangay Bagawines Vallehermoso NegOr.(N-144-2020)</t>
  </si>
  <si>
    <t>SUPPLY AND DELIVERY OF 3 UNITS BRAND NEW LASER RANGE METER  FOR Pag-IBIG FUND, TUGUEGARAO HUB</t>
  </si>
  <si>
    <t>Construction of 10 Post Solar Street Lights at Brgy. New Rizal, Catarman, Northern Samar</t>
  </si>
  <si>
    <t>Request for the purchase of various supplies for the use of City Treasurer Office, Pasig City.</t>
  </si>
  <si>
    <t>CONSTRUCTION SUPPLIES AND MATERIALS (College of Technology)</t>
  </si>
  <si>
    <t>RFQ No.: 2020-06-0517 PPEs of Field Staff for Listahanan 3 Validation Phase</t>
  </si>
  <si>
    <t>CONSTRUCTION OF PATHWAY AND STAIRWAY ALONG PUROK 5 AND PUROK 6</t>
  </si>
  <si>
    <t>Computer Set</t>
  </si>
  <si>
    <t>Concreting of Road From the Evacuation Center Bais City Negros Oriental (N-173-2020)</t>
  </si>
  <si>
    <t>Purchase of Television</t>
  </si>
  <si>
    <t>RFQ-L-PROCUREMENT OF IT EQUIPMENT FOR THE USE OF LOCAL BUILDING OFFICIAL OFFICE-NAVOTAS CITY</t>
  </si>
  <si>
    <t>Hiring of Technical Experts who will provide consulatancy services for 3 firms for the Consultancy for Agricultural Productivity Enhancement (CAPE) Program</t>
  </si>
  <si>
    <t>Concreting of Irrigation Service Road in Daramuangan Norte</t>
  </si>
  <si>
    <t>Bid No. 20-0277 - PROCUREMENT OF OFFICE SUPPLIES - MAGRO/FYDP</t>
  </si>
  <si>
    <t>Installation of soalr light post at the top corner of Municipal Hall, Barangay Poblacion, Lingayen, Pangasinan</t>
  </si>
  <si>
    <t>Supply and Delivery of ICT Equipments to be used for Alternative Learning System at District III, Naujan, Oriental Mindoro</t>
  </si>
  <si>
    <t>Repost: Server Rack Power</t>
  </si>
  <si>
    <t>Purchase of Appliances</t>
  </si>
  <si>
    <t>R.F.Q. (P.R. No.) 20-06-88 - Office Supplies</t>
  </si>
  <si>
    <t>Supply and delivery of common office supplies for SMEDD (admin) for the 2nd and 3rd Quarter</t>
  </si>
  <si>
    <t>P.R. # 20-06-061 For the repair and maint. of National roads &amp; bridges within Caloocan City &amp; Valenzuela City, C.Y. 2020 Routine Maintenance Purchase of Hand tools &amp; Others.</t>
  </si>
  <si>
    <t>Procurement of Office Supplies for Different Offices (2nd &amp; 3rd Qtr.)</t>
  </si>
  <si>
    <t>Procurement of Various Electrical Supplies-06-365(O)PEO</t>
  </si>
  <si>
    <t>Improvement  of Road  Brgy. Talongon  Bais City Negros Oriental(N-147-2020)</t>
  </si>
  <si>
    <t>To hire contractor to provide materials, labor, and equipment for the “Additional Appropriation for the improvement of LDRRMD Multi-Purpose Evacuation and Operation Center, Capitol Area, Dumaguete Cit</t>
  </si>
  <si>
    <t>RFQ: VACUUM FOR ASSISTED VAGINAL DELIVERY</t>
  </si>
  <si>
    <t>Procurement of Various Electrical Supplies-06-364(O)PEO</t>
  </si>
  <si>
    <t>Office Supplies &amp; Equipment</t>
  </si>
  <si>
    <t>Construction of River Control , Barangay  Sacsac Bacong(N-164-2020)</t>
  </si>
  <si>
    <t>Procurement of Various Fuji Toner</t>
  </si>
  <si>
    <t>RFQ 02-0219-20 DOST-PCHRD SUPPLY AND DELIVERY OF FOOD</t>
  </si>
  <si>
    <t>Construction of building to accommodate COVID patients &amp; person under monitoring/investigations Phase II</t>
  </si>
  <si>
    <t>IMPROVEMENT OF 2 CLASSROOMS AT ABCEDE ES, BGY. BAGUMBAYAN SUR, NAGA CITY</t>
  </si>
  <si>
    <t>Rehabilitation/Improvement of Box Culvert connecting 2 Barangays: Batinguel and Camanjac, Dumaguete City, (N-165-2020)</t>
  </si>
  <si>
    <t>E- Learning Refurbishment</t>
  </si>
  <si>
    <t>Installation/delivery of detachable stage</t>
  </si>
  <si>
    <t>FURNITURES AND FIXTURES (BLIND),  Liga ng mga Barangay</t>
  </si>
  <si>
    <t>R.F.Q. (P.R. No.) 20-06-85 - Office Supplies</t>
  </si>
  <si>
    <t>P.R. # 20-06-062 For the repair and Maint. of National roads &amp; bridges within Caloocan City &amp; Valenzuela City, C.Y. 2020 Routine Maintenance Purchase of Handtools &amp; Others</t>
  </si>
  <si>
    <t>INSTALLATION OF GARDEN CHAIN FENCE AND FIXTURES AT GAZEEBO, PLAZA RIZAL, NAGA CITY</t>
  </si>
  <si>
    <t>POPCOM Supplies</t>
  </si>
  <si>
    <t>Purchase of Canopy</t>
  </si>
  <si>
    <t>RFQ No.: 2020-06-0499 Vehicle Rental for Monitoring of SLP projects and other Activites for 2020</t>
  </si>
  <si>
    <t>Purchase of Business Plate for LGU Labason:</t>
  </si>
  <si>
    <t>Printing of Port Charges Computation Sheet (PCCS), PPA Property Stickets (vinyl) and Bundy Clock Cards</t>
  </si>
  <si>
    <t>PROCUREMENT OF DRUGS AND MEDICINES, DR. JOSE RIZAL MEMORIAL HOSPITAL</t>
  </si>
  <si>
    <t>Purchase of Office Supplies for all offices of LGU Isabela, Neg. Occ.</t>
  </si>
  <si>
    <t>SUPPLY OF SPARE PARTS OF MUN. DUMPTRUCK</t>
  </si>
  <si>
    <t>SUPPLY AND DELIVERY OF BASIC FOOD COMMODITIES FOR COVID-19 OPERATIONS, LGU SFADS</t>
  </si>
  <si>
    <t>CONCRETING OF ACCESS ROAD (BRGY STA ELENA)</t>
  </si>
  <si>
    <t>Procurement of Hardware and Construction Supplies - 20GMA0005</t>
  </si>
  <si>
    <t>RET</t>
  </si>
  <si>
    <t>Supply, Delivery and Installation of Vortex Mixer (PR#20-02-0119)</t>
  </si>
  <si>
    <t>Installation of stainless marker at Barangay Poblacion, Lingayen, Panagsinan (NGA Building)</t>
  </si>
  <si>
    <t>FILLING CABINET</t>
  </si>
  <si>
    <t>CONTRACT OF SERVICE S FOR THE HAULING AND INSTALLATION OF FOUR HUNDRED THIRTY ONE (431) FABRICATED MONUMENT WITHIN BAUA WATERSHED FOREST RESERVE</t>
  </si>
  <si>
    <t>PR NO. 1426 Air Conditioning</t>
  </si>
  <si>
    <t>Supply and delivery of 40 units fabricated pedicab for DOLE NLFO livelihood implementation Batch 1 - 2020</t>
  </si>
  <si>
    <t>CONCRETING OF BARANGAY ROAD</t>
  </si>
  <si>
    <t>Janitorial Supplies</t>
  </si>
  <si>
    <t>Supply and Delivery of Junior Boar (pure breed) Duroc and Large White for AI Breeder sa Barangay Project in support to National Livestock Program for ATI-RTC XII.</t>
  </si>
  <si>
    <t>20GIE0011 -  Supply and Delivery of Wire and Accessories for 150KVA Generator, Supply and Procurement of Materials Only. DPWH, Leyte Third District Engineering Office, Villaba, Leyte</t>
  </si>
  <si>
    <t>Repair and Maintenance of Garbage Truck (Materials) - SWMP</t>
  </si>
  <si>
    <t>For Deworming of Farm Animals</t>
  </si>
  <si>
    <t>RFQ-L-PROCUREMENT OF FURNITURE AND FIXTURES FOR THE USE OF LOCAL BUILDING OFFICIAL OFFICE-NAVOTAS CITY</t>
  </si>
  <si>
    <t>Supply and Delivery of Medicines</t>
  </si>
  <si>
    <t>Office Supplies and Equipment for June</t>
  </si>
  <si>
    <t>PROCUREMENT OF ISOLATION BUILDING EQUIPMENT'S AND SUPPLIES</t>
  </si>
  <si>
    <t>Request for qoutation PR No. 0950-20</t>
  </si>
  <si>
    <t>“SUPPLY AND DELIVERY OF VARIOUS SUPPLIES AND MATERIALS”</t>
  </si>
  <si>
    <t>DRAINAGE (PHASE II) AT UPVILLE SUBD. TO OUTFALL, BGY. SAN FELIPE, NAGA CITY</t>
  </si>
  <si>
    <t>Purchase of Drugs and Medicines</t>
  </si>
  <si>
    <t>REPAIR AND MAINTENANCE OF MULTICAB</t>
  </si>
  <si>
    <t>RSQ NO.20-06-006/PR NO.20-05-171(LPS)</t>
  </si>
  <si>
    <t>RFQ-L-SUMMARY OF PROCUREMENT REQUEST FOR THE PROCUREMENT OF COMMUNICATION EQUIPMENT FOR THE USE OF CTPMO AND LBO NAVOTAS CITY</t>
  </si>
  <si>
    <t>Repost: Vegas Pro 13</t>
  </si>
  <si>
    <t>Supply and Delivery of Assorted Farm and Garden Tools for the establishment of Barangay Level Vegetable Technology Demonstration Farm/YRRP ESSETS</t>
  </si>
  <si>
    <t>Improvement/ Concreting of Access Road</t>
  </si>
  <si>
    <t>Repost: Charger for Samsung Tab S2 Model SM-T719Y</t>
  </si>
  <si>
    <t>IMPROVEMENT OF PSDS OFFICE AT DON MANUEL ABELLA ES, BGY. CARARAYAN, NAGA CITY</t>
  </si>
  <si>
    <t>CONSTRUCTION OF WATER SUPPLY SYSTEM</t>
  </si>
  <si>
    <t>RFQ No.: 2020 – 107 - Installation of Various Aluminum Cabinet</t>
  </si>
  <si>
    <t>Bid No. 20-0278 - PROCUREMENT OF OFFICE SUPPLIES - MAGSO</t>
  </si>
  <si>
    <t>P.R NO. 300-2020-06-0335 PURCHASE OF LAPTOP AND ACCESSORIES USE FOR LESSON &amp; SOCIAL DISTANCING LEARNING DUE TO COVID-19 ABUYOG WEST DISTRICT</t>
  </si>
  <si>
    <t>20CSHG0002 - Consultancy Services for the Conduct of Appraisal of Lots involving Organizational Outcome 1: Ensure Safe and Reliable National Road System; Network Development Program, Construction of M</t>
  </si>
  <si>
    <t>1152 bot POVIDONE IODINE ANTISEPTIC 10% SOLUTION, 120ML</t>
  </si>
  <si>
    <t>Supply and delivery of Other supplies to be used in storing data of PRIME project w/ an ABC of P63,000.00 and PR#2020-06-11-171.</t>
  </si>
  <si>
    <t>Procurement of Office Supply (Budget Office)</t>
  </si>
  <si>
    <t>S &amp; D of Construction Materials (P. Agri.)</t>
  </si>
  <si>
    <t>SUPPLY AND DELIVERY OF OFFICE EQUIPMENT PARTS AND ACCESSORIES FOR CITY GENERAL SERVICES OFFICE USE</t>
  </si>
  <si>
    <t>CONSTRUCTION OF DRAINAGE CANAL AT SITIO 3 AND 4 AT BARANGAY 51-B NANGALISAN WEST, LAOAG CITY</t>
  </si>
  <si>
    <t>RFQ for the Purchase of Office Equipment</t>
  </si>
  <si>
    <t>Repost: Visio Professional 2019</t>
  </si>
  <si>
    <t>Supplies to be used for livelihood program PWD’s</t>
  </si>
  <si>
    <t>Procurement of 4 units Motorcycle  under the  Enforcement Section of PENRO Antique</t>
  </si>
  <si>
    <t>P.R. # 20-06-059 For the repair and maint. of National roads and bridges within Caloocan City &amp; Valenzuela City, C.Y. 2020 Routine Maintenance Purchase of Handtools &amp; Other.</t>
  </si>
  <si>
    <t>Purchase of intercom</t>
  </si>
  <si>
    <t>purchase of goods for water supply</t>
  </si>
  <si>
    <t>Purchase of Construction Materials for Perimeter Fencing of 330 Lm Gulayan sa Paaralan at KAFHS, Kipit, Lab. ZN:</t>
  </si>
  <si>
    <t>DepED-RO6-D1- “TNHS” PURCHASE OF TRANSFORMER FOR JUNIOR HIGH SCHOOL (GAD)-001-2020</t>
  </si>
  <si>
    <t>Proposed Road Opening (Hospital-Hinulawan Road) Brgy. Poblacion, Toledo City (L=162.00m.; W=15.00m.)</t>
  </si>
  <si>
    <t>Supply and Delivery of Laboratory Supplies (TCPGH)</t>
  </si>
  <si>
    <t>Farmer-Scientist Training Program Phase II or the On-Farm Experimentation and Technology Adoption</t>
  </si>
  <si>
    <t>Purchase &amp; Delivery of Animal Feeds for the Carabao Stocks at Ilocos Sur Dairy Production &amp; Processing Center</t>
  </si>
  <si>
    <t>Construction Materials</t>
  </si>
  <si>
    <t>Rehabilitation of Drainage Canal</t>
  </si>
  <si>
    <t>SUPPLY AND DELIVERY OF TIRE AND TUBE FOR GOVERNMENT MOTOR VEHICLES</t>
  </si>
  <si>
    <t>Purchase &amp; Delivery of Covid-19 Antibody Rapid Testing Kits for the Province</t>
  </si>
  <si>
    <t>Office Supplies</t>
  </si>
  <si>
    <t>Contract of Services for the hauling and installation of 431 fabricated monument within Wangag Watershed Forest Reserve</t>
  </si>
  <si>
    <t>Procurement of spare parts for repair and maintenance of LGU Vehicles and Heavy Equipment</t>
  </si>
  <si>
    <t>Repost: Machine Printer and Paper Collator</t>
  </si>
  <si>
    <t>UPLB-RQ-6-132-20-RES SUPPLY AND DELIVERY OF CHEMICALS &amp; CHEMICAL PRODUCTS FOR BIOTECH</t>
  </si>
  <si>
    <t>PURCHASE OF FUELS AND LUBRICANTS (For the Month of July 2020)</t>
  </si>
  <si>
    <t>Supply, Delivery and Installation of Office Cubicle/Modular Table and Ergonomic/movable chair with arm</t>
  </si>
  <si>
    <t>RIPRAPPING OF SLOPE PROTECTION</t>
  </si>
  <si>
    <t>Supply of Materials, Labor and Equipment for the Concreting and Continuation of Bridge Approach with Stone Masonry and Guard Railings at Dicamay I, Jones, Isabela.</t>
  </si>
  <si>
    <t>IMPROVEMENT OF CALANGAHAN WATER PUMPING SYSTEM</t>
  </si>
  <si>
    <t>Supply and delivery of various Medical Supplies and Equipments for TAS SSWM Clinic use</t>
  </si>
  <si>
    <t>Bid No. 20-0279 - PROCUREMENT OF OFFICE SUPPLIES - MAGRO/RIC</t>
  </si>
  <si>
    <t>BARANGAY KAWIT RIPRAPPING OF ROAD AT PUROK RIVERSIDE</t>
  </si>
  <si>
    <t>Repair &amp; Maintenance of Office Building (LDRRMO)</t>
  </si>
  <si>
    <t>PROCUREMENT OF MULTI-FUNCTION PRINTER A3</t>
  </si>
  <si>
    <t>Procurement of ICT Supplies for the Digital Forensic Laboratory - Repost</t>
  </si>
  <si>
    <t>Repair and Maintenance of Barangay Farm to Market Road</t>
  </si>
  <si>
    <t>CONSTRUCTION OF SLOPE PROTECTION (FENCE)</t>
  </si>
  <si>
    <t>PURCHASE OF FUELS, MAYORS OFFICE</t>
  </si>
  <si>
    <t>PROCUREMENT OF CONTAINER VAN</t>
  </si>
  <si>
    <t>Request for Quotation for the Provision of Agricultural Products to be used for the conduct of RCM Briefing Batch 1 and Batch 2 on September 29, 2020 at Tagoloan, Misamis Oriental and October 29, 2020</t>
  </si>
  <si>
    <t>MES-Education Materials And Supplies/Basic Services</t>
  </si>
  <si>
    <t>SUPPLY OF SPAREPARTS FOR THE REPAIR AND MAINTENANCE OF DIFFERENT VEHICLES</t>
  </si>
  <si>
    <t>UPLB-RQ-6-131-20-RES SUPPLY AND DELIVERY OF INFORMATION TECHNOLOGY FOR BIOTECH</t>
  </si>
  <si>
    <t>Anti-Covid-19 Supplies</t>
  </si>
  <si>
    <t>Construction Supplies &amp; Materials for LSA - Amparitas Integrated Natural Farm</t>
  </si>
  <si>
    <t>RFQ 02-0214-20 LIBRARY SUPPLY AND DELIVERY OF VARIOUS OFFICE SUPPLIES</t>
  </si>
  <si>
    <t>Rehabilitation of Multi- Purpose Hall</t>
  </si>
  <si>
    <t>4,608 bot ETHYL ALCOHOL WITH MOISTURIZER, 250ML</t>
  </si>
  <si>
    <t>S &amp; D of Construction Materials (PEO)</t>
  </si>
  <si>
    <t>PROPOSED MATERIAL RECOVERY FACILITY (MRF)</t>
  </si>
  <si>
    <t>Purchasing Office Supplies</t>
  </si>
  <si>
    <t>SUPPLY AND DELIVERY OF BASIC FOOD COMMODITIES FOR COVID-19 OPERATIONS, (MAY 31-JUNE 2,2020) LGU SFADS</t>
  </si>
  <si>
    <t>PROVISION OF MATERIALS FOR THE FABRICATION OF 231 MONUMENTS (2 INCH DIAMETERS AND 200 MONUMENTS (1 INCH) AND INSTALLATION OF SAME WITHIN THE IDENTIFIED 2 HAS. PERMANENT BIODIVERSITY MONITORING AREA UN</t>
  </si>
  <si>
    <t>Supply and delivery of materials for the repair and maintenance of municipal building</t>
  </si>
  <si>
    <t>REPAIR AND IMPROVEMENT OF CAPABILITY BUILDING SECTION (CBS) OFFICE SPACE FOR THE LEARNING FOR THE ESTABLISHMENT OF REGIONAL LEARNING RESOURCE CENTER (RLRC)</t>
  </si>
  <si>
    <t>BARANGAY MULTI PURPOSE CENTER CONSTRUCTION FOR VILLA ELIOT AT VILLA ELIOT, PATNONGON, ANTIQUE</t>
  </si>
  <si>
    <t>Drilling of Two(2) Exploratory/Production Wells</t>
  </si>
  <si>
    <t>SUPPLY AND DELIVERY OF VARIOUS SUPPLIES FOR THE USE IN THE OFFICE OF THE VICE GOVERNOR</t>
  </si>
  <si>
    <t>39IB-2020-06-003 Vehicle Parts and Accessories</t>
  </si>
  <si>
    <t>Rental of Equipment for the Road Opening at Sitio Masungil Pinayagan Sur, Tubigon, Bohol</t>
  </si>
  <si>
    <t>4500 pcs N95 MASK SMALL</t>
  </si>
  <si>
    <t>SUPPLY, DELIVERY AND INSTALLATION OF RANK "A" PREVENTIVE MAINTENANCE AND SERVICING OF FOUR (4) UNITS MITSUBISHI DEGS MODEL NO. S6A3-PTA-S MODEL DIESEL AT ILOILO INTERNATIONAL AIRPORT (RE-POST)</t>
  </si>
  <si>
    <t>Procurement of Materials for the Rehabilitation of Basketball Court</t>
  </si>
  <si>
    <t>Video documentation of coastal and marine ecosystems (seagrass, corals and reef fishes) for the four marine Protected Area in the Municipality of Pandan, Antique under the Mag-aba Marine Protected Are</t>
  </si>
  <si>
    <t>MATERIALS FOR UPGRADING/CONCRETING OF ACCESS ROAD AND HOUSING OF MOTOR PUMP AT BANCAL PUGAD</t>
  </si>
  <si>
    <t>20PL0123 - Concreting of Brgy. Magnao FMR, Brgy. Magnao, Tabuk City, Kalinga</t>
  </si>
  <si>
    <t>UNIVERSAL REFRIGERATION TRAINING SYSTEM</t>
  </si>
  <si>
    <t xml:space="preserve">23 cu.m Concrete Premix (3000 psi @28 days) CF: 9 bags/cu.m for 1st revision-continuance concreting of Dumaguete Balugo road from existing PCCP near building's residence connecting existing PCCP near </t>
  </si>
  <si>
    <t>ROAD UPGRADING/CONCRETE PAVING P. HERRERA FMR</t>
  </si>
  <si>
    <t>Office Supplies for use at Treasury Office</t>
  </si>
  <si>
    <t>CONSTRUCTION OF LIRIO M. ESCANO NATIONAL HIGH SCHOOL GYMNASIUM (PHASE V) , BRGY. CARIT AN , PATNONGON, ANTIQUE</t>
  </si>
  <si>
    <t>PROCUREMENT OF MULTI-PURPOSE SHREDDER/PULVERIZER</t>
  </si>
  <si>
    <t>First Rebidding for the Supply of labor and parts for the repair of one (1) unit 2009 Toyota Avanza</t>
  </si>
  <si>
    <t>Live out Seminar</t>
  </si>
  <si>
    <t>Procurement of Digital Duplicator machine and Photocopier machine</t>
  </si>
  <si>
    <t>P.R. 20-06-065 Air-con, 2.5HP, Split type with Inverter and Air-Con, 2.0HP, Window type with Inverter, Branded for use of Network Room</t>
  </si>
  <si>
    <t>20GB00021: Purchase and Delivery of Office Supplies for stock of DPWH RO2</t>
  </si>
  <si>
    <t>Purchase of meals for IATF   meeting Re: Covid- 19</t>
  </si>
  <si>
    <t>OFFICE EQUIPMENT, OFFICE SUPPLIES AND CONSUMABLES</t>
  </si>
  <si>
    <t>PROCUREMENT OF PERSONAL PROTECTIVE EQUIPMENT (FOR DOT-OSEC)</t>
  </si>
  <si>
    <t>BRGY. COVERED COURT STEEL FENCE</t>
  </si>
  <si>
    <t>Supply and Delivery of office supplies</t>
  </si>
  <si>
    <t>Supply and Delivery of janitorial supplies</t>
  </si>
  <si>
    <t>WEST CITY CENTRAL SCHOOL EDUCATIONAL MATERIALS AND SUPPLIES</t>
  </si>
  <si>
    <t>MATERIALS FOR THE CONSTRUCTION OF BODEGA(WAREHOUSE) WITH AN OPEN SPACE AREA-2ND FLOOR at Benigwayan, Alubijid, Misamis Oriental</t>
  </si>
  <si>
    <t>Fabrication of sinks for Concoction Area</t>
  </si>
  <si>
    <t>PROCUREMENT OF ENGINE FOR FOTON AMBULANCE</t>
  </si>
  <si>
    <t>SUPPLY AND DELIVERY OF ONE (1) JANITORIAL/MESSENGERIAL SERVICES FOR DHSUD RFO XII</t>
  </si>
  <si>
    <t>1 set  coring machine</t>
  </si>
  <si>
    <t>( PR NO. 20-03-08-0032 Re-canvass SUPPLY AND DELIVERY OF 1 unit Vertical Turbine pump)</t>
  </si>
  <si>
    <t>PROVISION  OF MATERIALS FOR THE FABRICATION OF 231 MONUMENTS ( 2 DIAMETER) AND 200 MONUMENTS (1 INCH) AND INSTALLATION OF SAME WITHIN THE IDENTIFIED 2 HAS. PERMANENT BIODIVERSITY MONITORING AREA UNDER</t>
  </si>
  <si>
    <t>OFFICE SUPPLIES PR 0194</t>
  </si>
  <si>
    <t>Proposed Road Rehabilitation/Improvement @ Sitio Dakit, Brgy. Cambang-ug, Toledo City</t>
  </si>
  <si>
    <t>Pag-IBIG Fund CHQ (SUPPLY AND DELIVERY OF VARIOUS HARDWARE SUPPLIES)</t>
  </si>
  <si>
    <t>Procurement of Various Office Supplies</t>
  </si>
  <si>
    <t>Procurement of one (1) unit of laptop for the office of the General Manager</t>
  </si>
  <si>
    <t>SUPPLY AND DELIVERY OF BASIC FOOD COMMODITIES FOR COVID-19 OPERATIONS,(MAY 24-26) LGU SFADS</t>
  </si>
  <si>
    <t>Booster Pump and Submersible Pump</t>
  </si>
  <si>
    <t>Electrical Supplies</t>
  </si>
  <si>
    <t>Invitation to Bid for the Construction of Lined Canal at Sitio Agsambalilo, Calsapa</t>
  </si>
  <si>
    <t>Procurement of Supply and Materials for the Construction of 39 TLS within the Municipality of Bansalan, Davao del Sur</t>
  </si>
  <si>
    <t>Replacement/Repair of CSM Circuit Breaker</t>
  </si>
  <si>
    <t>SUPPLY AND DELIVERY OF TWO (2) SECURITY SERVICES FOR DHSUD RO XII</t>
  </si>
  <si>
    <t>Purchase of supplies and materials for use in the Maintenance of Two (2) Units Ambulance of MDRRMO</t>
  </si>
  <si>
    <t>Purchase &amp; delivery of Live animals Pig for Expanded livestock &amp; Poultry Livelihood Project for Covid-19 response at Leyte area (Abuyog, Mayorga, Dulag)</t>
  </si>
  <si>
    <t>Painting Works of Fitness Gym 2nd Floor Area</t>
  </si>
  <si>
    <t>Supply and delivery of Office &amp; Other Supplies for use in AWA-Regulatory Division w/ an ABC of P52,45.00 and PR#2020-06-09-108..</t>
  </si>
  <si>
    <t>Supply and Delivery of aircondition</t>
  </si>
  <si>
    <t>Supply and  Delivery of Fertilizers for TOT on Inbred Rice Seed Production and Farm Mechanization for ATI-RTC XII.</t>
  </si>
  <si>
    <t>PROCUREMENT OF INFORMATION TECHNOLOGY (IT) EQUIPMENT</t>
  </si>
  <si>
    <t>2LSSM2020A-213 Office Supplies</t>
  </si>
  <si>
    <t>Integrated Pest Management Control</t>
  </si>
  <si>
    <t>COMPLETION OF BARANGAY OFFICE</t>
  </si>
  <si>
    <t>ICT Equipment</t>
  </si>
  <si>
    <t>Procurement Materials for the Installation of 10 Unit Street Lighting</t>
  </si>
  <si>
    <t>PANTAWID PAMILYA SUPPLIES FOR 2ND SEMESTER 2020 (JULY 2020)</t>
  </si>
  <si>
    <t>PROCUREMENT OF 50 UNITS FOLDING BEDS</t>
  </si>
  <si>
    <t>2LSSM2020A-214 Office Supplies</t>
  </si>
  <si>
    <t>PROCUREMENT OF IT EQUIPMENT (REBID)</t>
  </si>
  <si>
    <t>Procurement of Office Supplies and Materials</t>
  </si>
  <si>
    <t>Purchase of CCTV Camera</t>
  </si>
  <si>
    <t>supply and delivery of various electrical materials for the repair and rehabilitation of street lights (Re-wiring)</t>
  </si>
  <si>
    <t>Concreting of Tagaytay Barangay Road</t>
  </si>
  <si>
    <t>3,000 ltrs Diesel Fuel for various vehicle and equipments assigned to the different offices/general services office</t>
  </si>
  <si>
    <t>PR NO. 20-06-227 (2020-06-212) PROCUREMENT OF SUBMERSIBLE PUMP CABLE</t>
  </si>
  <si>
    <t>SUPPLY AND DELIVERY OF KITCHENWARE AND OTHER COMMODITIES USE FOR COVID-19 OPERATION, LGU-SFADS</t>
  </si>
  <si>
    <t>Supply of Fuel of various DPWH Vehicles &amp; other Equipment for the 3rd Quarter CY 2020</t>
  </si>
  <si>
    <t>Supply, Delivery and Configuration of LTE CPE Broadband Device for CTU Flexible Learning System (FLS) with Globe Telecom Network</t>
  </si>
  <si>
    <t>Tires</t>
  </si>
  <si>
    <t>Various Hardware Materials</t>
  </si>
  <si>
    <t>Local Access Road-Road Upgrading (Concrete Paving of Barangay Amontay FMR)</t>
  </si>
  <si>
    <t>SUPPLY AND DELIVERY OF POWER SPRAY AND PVC DRUM FOR TASK FORCE KONTRA ASF</t>
  </si>
  <si>
    <t>Materials for staffhouse perimeter fence development under PR 20-corp-06-085</t>
  </si>
  <si>
    <t>SUPPLY OF LABOR AND MATERIALS FOR THE REPAIR OF CANOPY TENT</t>
  </si>
  <si>
    <t>FURNISHING OF MATERIALS &amp; RENTAL OF EQUIPMENT FOR THE FENCING OF MEDICINAL GARDEN AT BRGY HALL &amp; DCC</t>
  </si>
  <si>
    <t>Procurement of Surveying Equipments</t>
  </si>
  <si>
    <t>BRGY. ROAD CONCRETING EXPANSION (PUROK TABAY)</t>
  </si>
  <si>
    <t>Concreting of Lisub-B Barangay Road</t>
  </si>
  <si>
    <t>2LSSM2020A-215 Office Supplies</t>
  </si>
  <si>
    <t>Purchase of Office Supplies and Equipments for printing of modules for the delivery of flexible learning through provision of Printed Modules for College Students, AY 2020-2021, Polytechnic College of</t>
  </si>
  <si>
    <t>Solar Lamp and Post</t>
  </si>
  <si>
    <t>20CN0153 - Asset Preservation Program – Rehabilitation/Reconstruction/Upgrading of Damaged Paved Roads – Secondary Roads, Baler-Casiguran Rd (Baler-Dinadiawan) - K0232+609 - K0232+773, K0239+773 – K02</t>
  </si>
  <si>
    <t>PROCUREMENT OF OFFICE &amp; IT EQUIPMENT</t>
  </si>
  <si>
    <t>SUPPLY AND DELIVERY OF AGRICULTURAL SUPPLIES FOR URBAN GARDENING PROGRAM</t>
  </si>
  <si>
    <t>Purchase of 25 Thermal Scanner for Elementary and Secondary Schools of City Schools-Tagbilaran</t>
  </si>
  <si>
    <t>Purchase &amp; installation of solar street lights</t>
  </si>
  <si>
    <t>4 units diamond core, drill bit</t>
  </si>
  <si>
    <t>Procurement of Various Consumables for Printers and Photocopier of the Four (4) Campuses (2nd Pub)</t>
  </si>
  <si>
    <t>20CN0101 - Construction of Municipal Slaughterhouse, Baler, Aurora</t>
  </si>
  <si>
    <t>Procurement of Sigue-Sigue Corn Seeds(Corn Production)-DA,Lopez Jaena</t>
  </si>
  <si>
    <t>Rehabilitation of Francia Distribution Line</t>
  </si>
  <si>
    <t>Supply and Delivery of 1 unit Emergency Response Vehicle under Purchase Request No. 900-20</t>
  </si>
  <si>
    <t>Food, Venue and Accommodation for the  2020 Census of Population and Housing (2020 CPH) Third Level Training on  August 3-8, 2020</t>
  </si>
  <si>
    <t>Supply and Delivery of Milk and Diaper for children</t>
  </si>
  <si>
    <t>EPSON L360 printer</t>
  </si>
  <si>
    <t>INSTALLATION OF BARANGAY STREETLIGHTING SYSTEM</t>
  </si>
  <si>
    <t>SUPPLY AND DELIVERY OF IT EQUIPMENT FOR SEF USE</t>
  </si>
  <si>
    <t>Catering Services for the 2020 Census of Population and Housing (2020 CPH) Fourth Level Training in Banaybanay, Davao Oriental on 10-15 August 2020</t>
  </si>
  <si>
    <t>Proposed Bahay Pag-asa Building (Phase II-A) - (Maitum, Upper Puerto); SN 129 - 2020</t>
  </si>
  <si>
    <t>SUPPLY AND DELIVERY OF INDUSTRIAL WALL FAN FOR VENTILATION OF INTEGRATED TERMINAL 1 AND 2</t>
  </si>
  <si>
    <t>Lot 2 Supply &amp; Delivery of IT Equipment for the use of Procurement Unit</t>
  </si>
  <si>
    <t>Purchase of trash bin</t>
  </si>
  <si>
    <t>SUPPLY AND DELIVERY OF TWO (2) UNITS MULTI-PURPOSE RESCUE VEHICLE, MDRRMO, LGU CANDELARIA, QUEZON</t>
  </si>
  <si>
    <t>SUPPLY AND DELIVERY OF VARIOUS SUPPLIES FOR NURSERY USE</t>
  </si>
  <si>
    <t>PR-2020-05-0020 - Procurement of Paint Materials for Routine Maintenance of Pedestrian Lane, Center Lane and Side Lane along Olongapo-Bugallon Road (S01359LZ)</t>
  </si>
  <si>
    <t>Office supplies under PR v20-bdd-06-045</t>
  </si>
  <si>
    <t>Desktop Computer</t>
  </si>
  <si>
    <t>SUPPLY AND DELIVERY OF OFFICE EQUIPMENT FOR EARLY CHILDHOOD CARE &amp; DEVELOPMENT PROGRAM</t>
  </si>
  <si>
    <t>Office Equipment supplies and consumables</t>
  </si>
  <si>
    <t>PURCHASE OF OFFICE SUPPLIES FOR MCR</t>
  </si>
  <si>
    <t>Supply and Delivery of Janitorial Supplies for use in DPWH-1st District Engineering Office, Agusan del Sur</t>
  </si>
  <si>
    <t>2020-04-421 "Procurement of Kitchen Wares for PGO Kitchen" (803,047.00)</t>
  </si>
  <si>
    <t>Accessories for Mavic 2 Drone</t>
  </si>
  <si>
    <t>Supply and Delivery of Assorted Medicines for Municipal Health Office of Cuyo</t>
  </si>
  <si>
    <t>20-01-0005</t>
  </si>
  <si>
    <t>SUPPLY AND DELIVERY OF CONSTRUCTION MATERIALS FOR REPAIR AND MAINTENANCE OF SLAUGHTERHOUSE</t>
  </si>
  <si>
    <t>Supply and Installation of Hospital Information Management System</t>
  </si>
  <si>
    <t>Purchase of Office Equipment (Split Type Room Air conditioner) for Municipal Accounting Office Gumaca, Quezon</t>
  </si>
  <si>
    <t>Supply and Delivery of 35 units Multicabs under Purchase Request No. 590-20</t>
  </si>
  <si>
    <t>Provision of Fuel for Various Municipal Health Vehicle for the month of July 2020</t>
  </si>
  <si>
    <t>SUPPLY AND DELIVERY OF VARIOUS SUPPLIES FOR SLAUGHTERHOUSE USE</t>
  </si>
  <si>
    <t>SUPPLY AND DELIVERY OF OFFICE EQUIPMENT FOR CITY COOPERATIVE OFFICE USE</t>
  </si>
  <si>
    <t>SUPPLEMENTAL FEEDING</t>
  </si>
  <si>
    <t>RFQ No.: 2020-06-0492 For OP/PWD use</t>
  </si>
  <si>
    <t>Procurement of Medical Equipment</t>
  </si>
  <si>
    <t>2LSSM2020A-217 Office Supplies</t>
  </si>
  <si>
    <t>2LSSM2020A-220 Office Supplies</t>
  </si>
  <si>
    <t>Purchase of Construction Materials for Renovation of Day Care Center at Ubay, Lab. ZN:</t>
  </si>
  <si>
    <t>Purchase &amp; Delivery of Various Medical, Dental &amp; Laboratory Supplies for Maitum MH (Re-bid)</t>
  </si>
  <si>
    <t>Procurement of ISO-Re Certification</t>
  </si>
  <si>
    <t>GSO-20-0576-NP2(SV) PURCHASE OF PLUMBING SUPPLIES</t>
  </si>
  <si>
    <t>RENOVATION AND IMPROVEMENT OF THE MAIN BUILDING WITH MULTI-PURPOSE HALL AND EVACUATION CENTER</t>
  </si>
  <si>
    <t>Catering Services for the 2020 Census of Population and Housing (2020 CPH) Fourth Level Training in Lupon, Davao Oriental on 10-15 August 2020</t>
  </si>
  <si>
    <t>2LSSM2020A-218 Office Supplies</t>
  </si>
  <si>
    <t>Supply/Delivery of Weather Station for Climate Change</t>
  </si>
  <si>
    <t>2LSSM2020A-219 Office Supplies</t>
  </si>
  <si>
    <t>SUPPLY AND DELIVERY OF OFFICE EQUIPMENT FOR CHO EPIDEMIOLOGY AND SURVEILLANCE UNIT OPERATIONAL CENTER USE</t>
  </si>
  <si>
    <t>GSO-20-0498-NP2(SV) PURCHASE OF ELECTRICAL SUPPLIES</t>
  </si>
  <si>
    <t>Purchase of Laptop for MSWDO</t>
  </si>
  <si>
    <t>SUPPLY AND DELIVERY OF CONSTRUCTION MATERIALS FOR REPAIR AND MAINTENANCE OF BALAY NAMNAMA AND HALFWAY HOME</t>
  </si>
  <si>
    <t>20-01-0005A</t>
  </si>
  <si>
    <t>SUPPLY AND DELIVERY OF VEHICLE PARTS AND ACCESSORIES FOR VARIOUS GOVERNMENT VEHICLES</t>
  </si>
  <si>
    <t>PUBLICATION/ADVERTISING OF ORDINANCE NO. 645, S-2019</t>
  </si>
  <si>
    <t>Provision of School and Office Supplies</t>
  </si>
  <si>
    <t>Construction Materials and Supplies</t>
  </si>
  <si>
    <t>Fabrication of Protective Acrylic Glass Shield and Table Top</t>
  </si>
  <si>
    <t>2LSSM2020A-223 Office Supplies</t>
  </si>
  <si>
    <t>Tires (R15 185/65 and R16 205/55)</t>
  </si>
  <si>
    <t>REPAIR AND MAINTENANCE OF VEHICLE (SBO)</t>
  </si>
  <si>
    <t>INSTALLATION OF COVERED COURT BLEACHERS</t>
  </si>
  <si>
    <t>20GIE0013 - Purchase of -10,000- liters of Diesel Fuel for use in Planning and Design Section. DPWH, Leyte Third District Engineering Office, Villaba, Leyte</t>
  </si>
  <si>
    <t>SUPPLY &amp; DELIVERY OF PROJECTOR</t>
  </si>
  <si>
    <t>Purchase of HUmidifier Oil scents</t>
  </si>
  <si>
    <t>2LSSM2020A-224 Office Supplies</t>
  </si>
  <si>
    <t>Various Janitorial Supplies</t>
  </si>
  <si>
    <t>RFQ - Supply of labor and consumable materials for complete reconditioning (Stator rewinding, replacement of bearing, lubrication, alignment, balancing, etc.) of induction motors of the Centralized Ai</t>
  </si>
  <si>
    <t>UPLB-RQ-6-133-20-I SUPPLY AND DELIVERY OF GENERAL CONTRACTOR FOR IC</t>
  </si>
  <si>
    <t>LGU-MLPT-2020-02</t>
  </si>
  <si>
    <t>Catering Services for the 2020 Census of Population and Housing (2020 CPH) Fourth Level Training in San Isidro, Davao Oriental on 10-15 August 2020</t>
  </si>
  <si>
    <t>Formulation of Feasibility Study for the Improvement of Water System in the City of San Pablo.</t>
  </si>
  <si>
    <t>CID NO. 20IF0139-CY 2020 BEFF, CONSTRUCTION OF CLASSROOMS, LILOAN NATIONAL HIGH SCHOOL (ANNEX), BARANGAY SALVACION, ORMOC CITY</t>
  </si>
  <si>
    <t>Procurement of Construction Supplies</t>
  </si>
  <si>
    <t>PROCUREMENT OF CONSTRUCTION MATERIALS FOR PROVISION OF ADDITIONAL SCHOOL HANDWASHING AND FOOTWASHING FACILITIES, PROVISION OF WINDOW GRILLS OF VI-A CLASSROOM AND REPAIR OF SCHOOL ENTRANCE DOOR GRILLS,</t>
  </si>
  <si>
    <t>Supply and Delivery of Various Water Service Connection Materials for Installation of 75mm dia. uPVC Distribution Line for Expansion Projects at Kalibo, Banga &amp; New Washington Areas</t>
  </si>
  <si>
    <t>Construction of Multi-Purpose Hall (Phase II) at Barangay Huyon-Uyon, San Francisco, Quezon</t>
  </si>
  <si>
    <t>purchase of nutrition supplies for 3rd quarter</t>
  </si>
  <si>
    <t>Construction of Covered Court (Phase II) at Barangay Silongin, San Francisco, Quezon</t>
  </si>
  <si>
    <t>RFQ for the Procurement of Computer Devices and Supplies during Regional Virtual Rollout of MILG's Programs</t>
  </si>
  <si>
    <t>PURCHASE OF FOOD PACKS FOR MODERATELY ACUTE MALNOURISHED CHILDREN</t>
  </si>
  <si>
    <t>Construction of Covered Court (Phase II) at Barangay Nasalaan, San Francisco, Quezon</t>
  </si>
  <si>
    <t>2LSSM2020A-221 Office Supplies</t>
  </si>
  <si>
    <t>PURCHASE OF PAINTING MATERIALS FOR TODA (TRICYCLE)</t>
  </si>
  <si>
    <t>PURCHASE OF MEDICINE SUPPLIES</t>
  </si>
  <si>
    <t>purchase of spare parts of vehicles for 3rd quarter</t>
  </si>
  <si>
    <t>PURCHASE OF OFFICE SUPPLIES FOR 3RD QUARTER</t>
  </si>
  <si>
    <t>PROVISION OF SUPPORT FOR THE ESTABLISHMENT OF COMPACT/DETACHEMENTS.</t>
  </si>
  <si>
    <t>2LSSM2020A-222 Office Supplies</t>
  </si>
  <si>
    <t>purchase of printing forms for 3rd quarter</t>
  </si>
  <si>
    <t>Digital Clock</t>
  </si>
  <si>
    <t>2LSSM2020A-225 Food Supplies</t>
  </si>
  <si>
    <t>SUPPLY AND DELIVERY OF MODULES FROM KINDER TO GRADE 6</t>
  </si>
  <si>
    <t>Procurement of Supply and Materials for the Construction of 65 TLS to be delivered within the Municipality of Magsaysay, Davao del Sur</t>
  </si>
  <si>
    <t>Purchase of PPE (Alcohol) for use during DSWD FO V COVID-19 operations</t>
  </si>
  <si>
    <t>Purchase of Laboratory Reagents and Supplies for Municipal Health Office Gumaca, Quezon</t>
  </si>
  <si>
    <t>20GIE0012 - Purchase of Toner for use in the Photocopier Machine in Planning and Design Section. DPWH, Leyte Third District Engineering Office, Villaba, Leyte</t>
  </si>
  <si>
    <t>Catering Services 2020</t>
  </si>
  <si>
    <t>Procurement of Software (AGISOFT)</t>
  </si>
  <si>
    <t>Invitation to Bid for the Procurement of Office Supplies for Instructional Materials</t>
  </si>
  <si>
    <t>Supply, Delivery and Configuration of LTE CPE Broadband Device for CTU Flexible Learning System (FLS) with Smart/PLDT Telecom Network</t>
  </si>
  <si>
    <t>SUPPLY &amp; DELIVERY OF OFFICE EQUIPMENTS</t>
  </si>
  <si>
    <t>PROCUREMENT OF CONSTRUCTION MATERIALS FOR THE CONSTRUCTION OF SOLAR DRIER AT UPPER PUROK 2- POBLACION, SUMILAO, BUKIDNON</t>
  </si>
  <si>
    <t>2LSSM2020A-216 Office Supplies</t>
  </si>
  <si>
    <t>SUPPLY AND DELIVERY OF VERMICAST FOR URBAN GARDENING PROGRAM</t>
  </si>
  <si>
    <t>Supply and Delivery of Automation Equipment</t>
  </si>
  <si>
    <t>Delivery/installation of Municipal Names</t>
  </si>
  <si>
    <t>Installation of Street Lighting System</t>
  </si>
  <si>
    <t>RFQ for the Procurement of Computer Devices and Supplies during Strengthening of LGU's capacities towards Good Moral Local Governance</t>
  </si>
  <si>
    <t>Rehabilitation of Open Canal</t>
  </si>
  <si>
    <t>Motorcycle - Treasury</t>
  </si>
  <si>
    <t>Purchase of OfficeSuplies</t>
  </si>
  <si>
    <t>Rehabilitation/Improvement of Level II Water System in Luma, Lebe</t>
  </si>
  <si>
    <t>Procurement of ICT Parts</t>
  </si>
  <si>
    <t>20CN0154- Network Development Program, Off-Carriageway Improvement – Secondary Roads, Baler – Casiguran Road (Dinadiawan – Casiguran Section), K0322+404 – K0323+617, K0332+000 – K0333+725, K0334+732 –</t>
  </si>
  <si>
    <t>MOOE FOR THE MONTHS OF APRIL-MAY 2020</t>
  </si>
  <si>
    <t>FOR SIPHONING OF SEPTIC TANK OF BAGO CITY HOSPITAL</t>
  </si>
  <si>
    <t>Provision of 1 minuter TV Plug</t>
  </si>
  <si>
    <t>PURCHASE OF MEDICINE FOR 3RD QUARTER</t>
  </si>
  <si>
    <t>REPAIR OF HEALTH CENTER</t>
  </si>
  <si>
    <t>P.R. No. 2020-06-0049 Procurement of Construction Materials and Supplies</t>
  </si>
  <si>
    <t>PROCUREMENT OF REPAIR, PREVENTIVE MAINTENANCE AND CALIBRATION SERVICES FOR VARIOUS MEDICAL EQUIPMENT</t>
  </si>
  <si>
    <t>Procurement of Electrical Supplies for Rural Health Unit</t>
  </si>
  <si>
    <t>20GKK0032 – Supply and Delivery of Fuel to be used by DPWH-MOFDEO Service Vehicle and Equipment of All Section</t>
  </si>
  <si>
    <t>Pre-Engineering Survey for Improvement of Road Network and Drainage (P2)</t>
  </si>
  <si>
    <t>104 bags Portland Cement 40 kgs and other items for the construction of Barangay Multi-Purpose Hall (Phase I) at Barangay Mangnao.</t>
  </si>
  <si>
    <t>PROCUREMENT OF TWO HUNDRED (200) TRUCKLOAD FILLING MATERIALS INCLUDING FUEL, OIL AND RIGHTS AT SAMBULAWAN, EL SALVADOR CITY</t>
  </si>
  <si>
    <t>Invitation to Bid for the Procurement of Stainless Steel Demonstration Tables and Sink for Food Laboratory</t>
  </si>
  <si>
    <t>Construction of Multi-Purpose Hall</t>
  </si>
  <si>
    <t>P.R. No. 2020-06-0047 Procurement of Vehicle Repair and Maintenance</t>
  </si>
  <si>
    <t>PB-Procurement of Cardiac Surgery Instruments (ITB No. 2020-15)</t>
  </si>
  <si>
    <t>Supply and Delivery of Construction Materials for the Repair/Rehabilitation of Line Canal at Barangay Malpitic, City of San Fernando, Pampanga</t>
  </si>
  <si>
    <t>Procurement of Polyethylene Bag</t>
  </si>
  <si>
    <t>P.R. No. 2020-06-0050 Procurement of Fuels/Fuel Additives and Lubriacants</t>
  </si>
  <si>
    <t>Various Infrastructure Projects (Infra-20-09), Kabankalan City, Negros Occidental</t>
  </si>
  <si>
    <t>Cement, Sand and Gravel - 1st Quarter 2020</t>
  </si>
  <si>
    <t>Supply and Delivery of Uniform for Responders at Emergency Operation Center</t>
  </si>
  <si>
    <t>Purchase of Assistive Devices for Distribution to the Needy PWD's and for use of the PWD Center</t>
  </si>
  <si>
    <t>Purchase and Delivery of Various Materials for Rehabilitation of Hanging Bridge at Sitio Korokan, Brgy. Dalig, Teresa, Rizal</t>
  </si>
  <si>
    <t>Television Set for Legazpi, Sorsogon and Catanduanes Branches</t>
  </si>
  <si>
    <t>Supply/Delivery of Standard ISO PE Pipes</t>
  </si>
  <si>
    <t>Concreting of Farm to Market Road-Katipunan, Clarin, Bohol</t>
  </si>
  <si>
    <t>PR NO. 0994 Laboratory Supplies</t>
  </si>
  <si>
    <t>Procurement of Electrical Supplies for MDRRM Office</t>
  </si>
  <si>
    <t>Supply and Delivery of Granular/Powder Chlorine</t>
  </si>
  <si>
    <t>Concreting of Access Road to Police and health Station</t>
  </si>
  <si>
    <t>Request for Quotation of Datu Libayao ES and Galacia ES</t>
  </si>
  <si>
    <t>RCEF PC AND LAPTOP RENTAL ( RCEF 2020-05-054)</t>
  </si>
  <si>
    <t>Repainting of Wall and Ceiling (Hallway) at Flores Hall</t>
  </si>
  <si>
    <t>Purchase of Motorcycle for Purposes of Monitoring Against COVID-19</t>
  </si>
  <si>
    <t>TEMPORARY RELOCATION OF STEEL PIPE IN AGNAYA (MATERIALS)</t>
  </si>
  <si>
    <t>1 unit Server  etc. (06-0633) CMO</t>
  </si>
  <si>
    <t>Procurement of Supply and Materials for the Construction of 17 TLS to be delivered at Municipality of Sta. Cruz</t>
  </si>
  <si>
    <t>Supply and Delivery of Desktop Computers to be used for Computer Aided Drafting (CAD) and Geodetic Information System (GIS) Subjects</t>
  </si>
  <si>
    <t>MAINTENANCE OF GOV'T VEHICLE Ambulance, Nissan NV350</t>
  </si>
  <si>
    <t>Purchase of Office Equipment for Mayor's Office</t>
  </si>
  <si>
    <t>Cleaning &amp; maintenance Check Up of ACUs</t>
  </si>
  <si>
    <t>2LSSM2020A-226 Food Supplies</t>
  </si>
  <si>
    <t>PROVISION OF OLD AGE ADVANTAGE BONUS BIRTHDAY GIFT ( CAKE) FOR SENIOR CITIZENS</t>
  </si>
  <si>
    <t>Repainting of Pancho Hall at Bustos Campus</t>
  </si>
  <si>
    <t>CONSTRUCTION OF NATIONAL CHILD DEVELOPMENT CENTER : SOURCE OF FUND- EARLY CHILDHOOD CARE AND DEVELOPMENT COUNCIL TRUST FUND</t>
  </si>
  <si>
    <t>PROCUREMENT OF MEDICAL/SURGICAL SUPPLIES (REBID), DR. JOSE RIZAL MEMORIAL HOSPITAL</t>
  </si>
  <si>
    <t>P.R. No. 2020-06-0051C Procurement of Vehicle Parts and Accessories</t>
  </si>
  <si>
    <t>Procurement of Coco Lumber for the Construction of 39 TLS to be delivered within the Municipality of Bansalan</t>
  </si>
  <si>
    <t>Procurement of Hospital/Medical Equipment</t>
  </si>
  <si>
    <t>Iprovement/Concreting of Sitio Yabaan Road, Brgy. Maligaya, Buenavista, Quezon</t>
  </si>
  <si>
    <t>8 cu.m Sand std. specs and other items for the construction of Barangay Multi-Purpose Hall (Phase I) at Barangay Mangnao.</t>
  </si>
  <si>
    <t>35 heads Piglets, black, mixed breed, 2 months old etc.</t>
  </si>
  <si>
    <t>Rippled &amp; Plain paper cups</t>
  </si>
  <si>
    <t>Purchase of Office Equipment for Bids and Awards Committee (BAC) Office</t>
  </si>
  <si>
    <t>CID NO. 20IF0140-CY 2020 BEFF, CONSTRUCTION OF CLASSROOMS, ORMOC CITY CENTRAL SCHOOL, ORMOC CITY</t>
  </si>
  <si>
    <t>PURCHASE OF PERSONAL PROTECTIVE EQUIPMENT</t>
  </si>
  <si>
    <t>Provision of Food</t>
  </si>
  <si>
    <t>Supply and Delivery of Materials and Equipment to be used for the Maintenance at the PESR/Sports Facilities</t>
  </si>
  <si>
    <t>Job Order: Information Education Campaign for the celebration of Nutrition month 2020/CNO</t>
  </si>
  <si>
    <t>Procurement of IEC Materials</t>
  </si>
  <si>
    <t>Package 59: Supply and Delivery of Catering Services for COVID-19 Emergency Operation Center in Cagayan de Oro City</t>
  </si>
  <si>
    <t>Supply &amp; Delivery of Office Equipment for the use of Operations Section, NIA-Regional Office, Labangan, Zamboanga del Sur</t>
  </si>
  <si>
    <t>Supply and Delivery of Construction Materials for the Concreting and Widening of Road (Phase II) at Purok 3, Barangay Sta. Lucia, City of San Fernando, Pampanga</t>
  </si>
  <si>
    <t>Materials for BulSU Analytical Testing Laboratory</t>
  </si>
  <si>
    <t>CONTRACT ID 20GIJ-0002 SUPPLY OF 40,000 LITRES DIESEL FUEL, 10,000 LITRES PREMIUM GASOLINE &amp; 40,000 LITRES UNLEADED GASOLINE FOR THE 2ND &amp; 3RD QUARTER PROCUREMENT OF F.Y. 2020.</t>
  </si>
  <si>
    <t>Package 58: Supply and Delivery of Catering Services (Live-Out) in Cagayan de Oro City</t>
  </si>
  <si>
    <t>Request for Quotation Supply and Installation of Air-conditioning Units and Television Sets</t>
  </si>
  <si>
    <t>Supply and Materials for the Construction of 68 Classroom TLS to be delivered to Municipality of Matanao</t>
  </si>
  <si>
    <t>CONSTRUCTION OF E-READING CENTER (PHASE II)</t>
  </si>
  <si>
    <t>supply and delivery of other supplies for HG clients 3rd qtr2020</t>
  </si>
  <si>
    <t>Improvement/Concreting of Cadlit Road, Brgy. Cadlit, Buenavista, Quezon</t>
  </si>
  <si>
    <t>Purchase o Office Supplies-SB Legislative</t>
  </si>
  <si>
    <t>PROCUREMENT FOR FOOD SUPPLY/RICE</t>
  </si>
  <si>
    <t>Representation Expenses (AFPSEO-PhP508,240.00)</t>
  </si>
  <si>
    <t>2LSSM2020A-228 Food Supplies</t>
  </si>
  <si>
    <t>purchase &amp; delivery of Mallard breeder duck Male &amp; female  for Expanded Livestocks &amp; POultry  Livelihood  Project for Covid-19 Response(Taft &amp; Oras Eastern, Samar)</t>
  </si>
  <si>
    <t>Internet Connectivity Network at BOAC DPP</t>
  </si>
  <si>
    <t>Purchase &amp; delivery of Heritage free range Chicken (male &amp; female) for Expanded Livestock &amp; Poultry Livelihood Project for Covid-19 Response(Isabel &amp; Hindang, Leyte)</t>
  </si>
  <si>
    <t>REQUEST FOR QUOTATION FOR USE OF CONSTRUCTION OF GARAGE AT SCIMO</t>
  </si>
  <si>
    <t>ASF 2020-06-038 - Supply and delivery of Calcium Carbonate (apog) for use in ASF</t>
  </si>
  <si>
    <t>Improvement of Multi-Purpose Pavement (Bleachers) - Callitong</t>
  </si>
  <si>
    <t>Request for Quotation for the Provision of Telecommunications Provider to be used for the conduct of RCM Briefing Batch 1 and Batch 2 on September 29, 2020 at Tagoloan, Misamis Oriental and October 29</t>
  </si>
  <si>
    <t>Purchase of Office Equipment for MPDC Office</t>
  </si>
  <si>
    <t>Procurement of beddings for the Isolation facility in responce for COVID-19 pandemic.</t>
  </si>
  <si>
    <t>1st Quarter Supply ( BUSCO CES) 2020</t>
  </si>
  <si>
    <t>Installation of Culverts</t>
  </si>
  <si>
    <t xml:space="preserve">Installation and Implementation of pre-developed and customized Application Systems for establishment of centralized Data Banking System Website for International Connection of the City Government of </t>
  </si>
  <si>
    <t>Improvement/Concreting of Cawa-Cabong Road, Brgy. Cawa - Cabong, Buenavista, Quezon</t>
  </si>
  <si>
    <t>SUPPLY AND DELIVERY OF MATERIALS FOR THE PAINTING OF DY BLDG.</t>
  </si>
  <si>
    <t>Maintenance and Services for Various Vehicle, SAN JOSE CITY NUEVA ECIJA</t>
  </si>
  <si>
    <t>SUPPLY &amp; DELIVERY OF HARDWARE SUPPLIES</t>
  </si>
  <si>
    <t>Procurement of Office Supplies</t>
  </si>
  <si>
    <t>Glass Works</t>
  </si>
  <si>
    <t>Information Technology Parts aaand Accessories &amp; Perip</t>
  </si>
  <si>
    <t>Printing of 2021 Calendar with rice production tips for RCEF Seed beneficiaries under PR 20-06-164</t>
  </si>
  <si>
    <t>Repair &amp; Maintenance of Buildings (OTQMG-PhP208,390.39)</t>
  </si>
  <si>
    <t>Supply and Delivery of Post-Harvest Equipment (Refrigerator/Freezer) under SAAD Livelihood Project</t>
  </si>
  <si>
    <t>RFQ for the Procurement of Computer Devices and Supplies during Regional Peace and Order Council Meeting for CY 2020</t>
  </si>
  <si>
    <t>For CSS NC II Instructional Materials</t>
  </si>
  <si>
    <t>Procurement of Musical Instrument Parts</t>
  </si>
  <si>
    <t>Purchase of Flashdrives</t>
  </si>
  <si>
    <t>RFQ 2020-03-1979A PROCUREMENT UNIT CONSUMABLE 164 1ST QUARTER 2020</t>
  </si>
  <si>
    <t>Invitation to Bid for the Procurement of I.T. Equipment</t>
  </si>
  <si>
    <t>FABRICATION OF VIEWING DECK RAILING, FENCE AND CONSTRUCTION OF GRILLING &amp; WASHING AREA AT BAMR,	 BRGY. ILIJAN, BAGO CITY</t>
  </si>
  <si>
    <t>ITB - Fertilizers (COB)</t>
  </si>
  <si>
    <t>Supply and Delivery of Assorted Supplies for Personnel Protection and Maintenance of a Safe and Clean Environment as Mitigation for COVID 19 in the Division Office</t>
  </si>
  <si>
    <t>REPAIR AND MAINTENANCE OF BARANGAY HALL OF BRGY. MAPULO -002</t>
  </si>
  <si>
    <t>Procurement of Workbooks for Kindergarten</t>
  </si>
  <si>
    <t>Procurement of Vehicle Spare Parts</t>
  </si>
  <si>
    <t>Supply/Delivery of Food Packs</t>
  </si>
  <si>
    <t>4 bags pre starter feed, 50 kgs etc.</t>
  </si>
  <si>
    <t>RFQ-DVO-PR.NO. 2002004 CAT. 85 MECHANICAL TOOLS AND MATERIALS</t>
  </si>
  <si>
    <t>Meals and Accommodation for 2 days live-in workshop for the conduct of Re-Orientation/Workshop on Processing of Public Land Application, Land Laws, Rules and Policies...</t>
  </si>
  <si>
    <t>Purchase of Towel and Soap Dispensers</t>
  </si>
  <si>
    <t>Repair materials for School Canopy</t>
  </si>
  <si>
    <t>Supply and delivery of various Toner Cartridge, DR261CL for Brotehr 9330CDW - General Santos Branch</t>
  </si>
  <si>
    <t>2LSSM2020A-227 Food Supplies</t>
  </si>
  <si>
    <t>Upgrading of 2-way Radio Communication System</t>
  </si>
  <si>
    <t>Supply and Delivery of animal vaccination and insemination</t>
  </si>
  <si>
    <t>CONSTRUCTION OF MULTIPURPOSE HALL</t>
  </si>
  <si>
    <t>Purchase of School Supplies</t>
  </si>
  <si>
    <t>One (1) Lot Neuro-Psychological Test for Thirty Four (34) SD Personnel</t>
  </si>
  <si>
    <t>Tomato (Diamante/Red Gold), etc.</t>
  </si>
  <si>
    <t>Transportation Services/Van Rental during the Conduct of TOT on Inbred Rice Seed Production and Farm Mechanization for ATI-RTC XII.</t>
  </si>
  <si>
    <t>RFQ VARIOUS DRUGS AND MEDICINES</t>
  </si>
  <si>
    <t>CONSTRUCTION OF MULTI-PURPOSE BUILDING (GEN SET HOUSING - PHASE I)(BRGY NORTH POBLACION)</t>
  </si>
  <si>
    <t>Procurement of Computer Desktop and Laptop for Dep-Ed</t>
  </si>
  <si>
    <t>FOR REPAIR AND MAINTENANCE OF COASTER BUS.</t>
  </si>
  <si>
    <t>Supply of Materials, Labor and Equipment for the Rehabilitation/Construction of Sports Complex</t>
  </si>
  <si>
    <t>RFQ No.: 2020-06-0490 For the use during the conduct of Training on Sectoral Laws, Programs and Services with the LSWDOs on Aug. 10-14,2020</t>
  </si>
  <si>
    <t>Procurement of Water Meter 1/2" Class C</t>
  </si>
  <si>
    <t>Tokens &amp; Awards</t>
  </si>
  <si>
    <t>20PL0122 - Concreting of Brgy. Wagud to Brgy. Ballayangon FMR, Brgy. Wagud and Brgy. Ballayangon, Pinukpuk, Kalinga</t>
  </si>
  <si>
    <t>REPAIR/ REHABILITATION OF STREET LIGHTS OF BARANGAY MOMBON, ZUMARRAGA, SAMAR</t>
  </si>
  <si>
    <t>REHABILITATION / IMPROVEMENT OF POBLACION AND MAUSOC FARM TO MARKET ROAD</t>
  </si>
  <si>
    <t>CMO/BAC- SNACKS FOR THE PERIOD OF JULY, AUGUST &amp; SEPTEMBER 2020</t>
  </si>
  <si>
    <t>Prepaid cards</t>
  </si>
  <si>
    <t>Procurement of Drugs and Medicines for Lianga District Hospital Ward.</t>
  </si>
  <si>
    <t>Continuation of Barangay Community Center</t>
  </si>
  <si>
    <t>( PR NO. 20-02-07-0078 Re-canvass 19 pcs Saddle Clamp,FTE 100mmØ x 50mm, 12 pcs Saddle Clamp,FTE 75mmØ x 50mm, 32 pcs Straight ball Valve w/Lockwing MTE x FTE 50mmØ, 32 pcs Brass Straight ball Valve w</t>
  </si>
  <si>
    <t>Construction of Access Road at Allen Transport Terminal Allen, Northern Samar</t>
  </si>
  <si>
    <t>RFQ-DVO-PR.NO. 2002288 CAT. 27 FURNITURE AND FIXTURES</t>
  </si>
  <si>
    <t>Procurement of Thermal Gun Scanner and Hands Free Alcohol Dispenser with Foot Bath in Support to Mechanisms to the Public Schools for the Brigada Eskwela Program and Implementation of Health Protocols</t>
  </si>
  <si>
    <t>SSS Sagay Branch Diesel Fuel</t>
  </si>
  <si>
    <t>Furniture06-156-E</t>
  </si>
  <si>
    <t>Supply and Delivery of One (1) Unit Multi Cab (Rebuilt/Reconditioned), Ugac Sur, Tuguegarao City</t>
  </si>
  <si>
    <t>Procurement of Construction Materials for the Construction of Perimeter Niches, Brgy. Dajay, Surallah</t>
  </si>
  <si>
    <t>UPLB-RQ-6-130-20-RES SUPPLY AND DELIVERY OF CHEMICALS &amp; CHEMICAL PRODUCTS FOR IPB</t>
  </si>
  <si>
    <t>20GIE0010 - Purchase of Tires and Accessories for Nissan Navarra with Plate Number SJW-290, Supply and Procurement of Equipment Parts Only. DPWH, Leyte Third District Engineering Office, V</t>
  </si>
  <si>
    <t>( PR NO. 20-05-01A-0001 SUPPLY AND DELIVERY OF 15 bags Portland Cement (40 kg.), 30 length Deformed Reinforced Bars (16mmØ), 25 cu.m Aggregate Sub Base (item 200))</t>
  </si>
  <si>
    <t>S/D OF ONE HUNDRED (100) TAB ALMAG TABLET AND TWENTY SEVEN (27) OTHER LI OF H1BCT, PA (PHP 110,000.00)</t>
  </si>
  <si>
    <t>PR2020-06-025 - Purchase and Delivery of Airconditioning and Aircondnitioning System</t>
  </si>
  <si>
    <t>Concreting of Matu-og Num-Num FTMR Tayasan , Negros Oriental(N-139-2020)</t>
  </si>
  <si>
    <t>Supply and Delivery of Materials for the Electrification of Covered Court, Barangay Bilucao</t>
  </si>
  <si>
    <t>Procurement of Various Electrical Supplies-06-359(O)PEO</t>
  </si>
  <si>
    <t>Improvement of Drainage Canal, Brgy Poblacion Bindoy , Negros Oriental(N-142-2020)</t>
  </si>
  <si>
    <t>Construction of Apartment Type Tomb, Barangay 5</t>
  </si>
  <si>
    <t>Straight Contract for Proposed Rural Electrification Phase 2, So. Pangi, Brgy. Carabalan, Himamaylan City</t>
  </si>
  <si>
    <t>ELECTRO-MECHANICAL AND INDUSTRIAL MOTOR CONTROL TRAINING SYSTEM</t>
  </si>
  <si>
    <t>Purchase of Livestocks (Swine) and Feeds under ARBold Project</t>
  </si>
  <si>
    <t>Improvement of Computer Room</t>
  </si>
  <si>
    <t>purchase of construction/Fab./Installation of Solar Streetlights</t>
  </si>
  <si>
    <t>Supply and delivery of various Construction Materials to be used for the pavement markings along Manila North Road,Calumpit Section,Calumpit Bulacan</t>
  </si>
  <si>
    <t>Purchase of Vehicle Parts for the Repair &amp; Maintenance of Garbage Truck 1</t>
  </si>
  <si>
    <t>ROAD CONCRETING AT BARANGAY MATAAS NA PARANG</t>
  </si>
  <si>
    <t>6 Set Tire 7.50 x 16, 14 ply, CT 163, mixed lug with inner tube and flap</t>
  </si>
  <si>
    <t>RFQ for the subscription of Newspaper</t>
  </si>
  <si>
    <t>PR NO. 1530 Production of Flyers</t>
  </si>
  <si>
    <t>Concreting of Roads at So. Mother Rita, Brgy. La Paz  Bais City(N-146-2020)</t>
  </si>
  <si>
    <t>Supply and Delivery of STC</t>
  </si>
  <si>
    <t>Supply and Delivery of Improvement/Maintenance of Drainage Canal at Tubigon Poblacion Public Market</t>
  </si>
  <si>
    <t>For Office Use</t>
  </si>
  <si>
    <t>Supply and delivery of 1 unit Laptop for use in Agribusiness and Marketing Assistance Division (AMAD) w/ an ABC of P84,000.00 and PR#2020-06-19-255.</t>
  </si>
  <si>
    <t>Supply and Delivery of 15 pcs. Automatic Touchless Alcohol Dispenser.</t>
  </si>
  <si>
    <t>Supply and Delivery of Toner Cartridge</t>
  </si>
  <si>
    <t>PROCUREMENT OF SERVICE VEHICLE</t>
  </si>
  <si>
    <t>supply and delivery of clothing supplies for HG clients 3rd qtr2020</t>
  </si>
  <si>
    <t>Procurement of Diesel Fuel -06-359(A)PGO</t>
  </si>
  <si>
    <t>2LSSM2020A-212 Office Supplies</t>
  </si>
  <si>
    <t>Reproduction of Deatailed Lesson Plans and Modules for the First Quarter of SY 2020-2021</t>
  </si>
  <si>
    <t>ASF 2020-06-037 - Supply and delivery of disinfectant for use in ASF</t>
  </si>
  <si>
    <t>One (1) Year Provision for the Preventive Maintenance of One (1) Unit 2MVA MTU 12V4000G43 Standby Generator Set Located at CCP Main Building</t>
  </si>
  <si>
    <t>Purchase of EPSON Ink of EPSONSURE Color T7270 (Plotter) to be used in the Office of the Planning and Design Section</t>
  </si>
  <si>
    <t>B20200217 - TIRES FOR VARIOUS PROVINCIAL EQUIPMENT FOR PEO POOL USE</t>
  </si>
  <si>
    <t>Initial Construction of Standard Day Care Center, Brgy. San Pablo, Buenavista, Quezon</t>
  </si>
  <si>
    <t>Supply and Delivery of 1 unit Rostrum</t>
  </si>
  <si>
    <t>INVITATION TO BID FOR THE SUPPLY AND DELIVERY OF BRAND NEW SIX WHEELER MEAT VAN TRUCK</t>
  </si>
  <si>
    <t>Road Rehab Project (Dona Rosa Main Road, Brgy. Central, City of Mati)</t>
  </si>
  <si>
    <t>Cross Pipe Relocation Project in NIA CANAL (MATERIALS) for 1st Qtr</t>
  </si>
  <si>
    <t>Repair Extension of Multi-Purpose Hall (Stairs) - Callitong</t>
  </si>
  <si>
    <t>Repair, retrofitting and conversion of existing entrance gate of PSTC LU</t>
  </si>
  <si>
    <t>20 pails Hydraulics Oil AW68 and other items for various garbage truck use/GSO</t>
  </si>
  <si>
    <t>Procurement of Hardware and Construction Supplies for the construction of Perimeter Fence and Security Outpost of PFAR Office.</t>
  </si>
  <si>
    <t>Procurement of Labor and Materials for the Annual Preventive Maintenance Works for 2 Units 350 KVA Cummins Generators</t>
  </si>
  <si>
    <t>CONTRACT OF SERVICES FOR THE UPDATING OF PROTECTED AREA MANAGEMENT PLAN OF PALAUI ISLAND PROTECTED LANDSCAPE AND SEASCAPE (PIPLS)</t>
  </si>
  <si>
    <t>Hog Fattening</t>
  </si>
  <si>
    <t>Request for qoutation PR No. 0943-20</t>
  </si>
  <si>
    <t>PROCUREMENT OF SECURITY SERVICES FOR THE MUNICIPAL GOVERNMENT OF INFANTA, QUEZON</t>
  </si>
  <si>
    <t>2020-06-0099 - PROCUREMENT OF VEHICLE PARTS AND ACCESSORIES FOR USE IN THE OPERATION OF FORD RANGER 102003 AT CONSTRUCTION SECTION</t>
  </si>
  <si>
    <t>CONSTRUCTION OF TRANSPORT TERMINAL (COMPLETION) - (CONSTRUCTION OF PUBLIC TOILET)</t>
  </si>
  <si>
    <t>Purchase of Electrical Supplies 2020-05-0181</t>
  </si>
  <si>
    <t>Purchase of 8,000 Liters Diesel Fuel</t>
  </si>
  <si>
    <t>Stack Emission Testing for Various Generating Set of BOAC DPP (5X100KW MAN Containerized Genset and 2X1224 KW CKD Genset</t>
  </si>
  <si>
    <t>RFQ for RPMS Rollout</t>
  </si>
  <si>
    <t>Procurement of Various Office Supplies-06-010(E)PTO</t>
  </si>
  <si>
    <t>MONITORING OF 14 BARANGAYS</t>
  </si>
  <si>
    <t>procurement of office supplies/deped 1</t>
  </si>
  <si>
    <t>Procurement of Furniture-06-028(P)PSWDO</t>
  </si>
  <si>
    <t>RFQ-DVO-PR.NO. 2002159 CAT. 10 COMPUTER RQUIPMENT AND ACCESSORIES</t>
  </si>
  <si>
    <t>Installation of Water Tank</t>
  </si>
  <si>
    <t>Labor and Materials for the Installation of Solar Street Lighting System (Phase II) at Barangay San Agustin, City of San Fernando, Pampanga</t>
  </si>
  <si>
    <t>REHABILITATION OF BITUEN-LACUB ROAD</t>
  </si>
  <si>
    <t>CONCRETE PAVEMENT AT CALINOG TERMINAL COMPLEX</t>
  </si>
  <si>
    <t>Purchase of Tools &amp; Equipments for Repair and Maintenance of BatStateU-ARASOF Nasugbu</t>
  </si>
  <si>
    <t>Supply and Delivery of Various Agricultural Supplies for use in implementation of different Research Projects under Rice RND FY 2020</t>
  </si>
  <si>
    <t>Supply and Delivery of Agricultural supplies for use in implementation of various Research Project under Rice RND FY 2020</t>
  </si>
  <si>
    <t>CONCRETING OF FARM TO MARKET ROAD AT BRGY. LAMPAYA</t>
  </si>
  <si>
    <t>RFQ-DVO-PR.NO. 2002388 CAT. 10 COMPUTER EQUIPMENT AND ACCESSORIES</t>
  </si>
  <si>
    <t>SUPPLY OF GASOLINE FOR SANGGUNIANG BAYAN OFFICE AND VICE MAYOR"S OFFICE 3RD QTR CY 2020</t>
  </si>
  <si>
    <t>Supply and Delivery of Various Agricultural Supplies for use in implementation of various Research Project under Rice RND FY 2020</t>
  </si>
  <si>
    <t>Bid No. 20-0275 - PROCUREMENT OF OFFICE SUPPLIES - MCR (MUNICIPAL CIVIL REGISTRAR)</t>
  </si>
  <si>
    <t>Concreting of Access Road to Municipal Slaughterhouse</t>
  </si>
  <si>
    <t>CONSTRUCTION OF MULTI-PURPOSE CENTER (Phase 2)(Baghari, Barbaza, Antique)/IB. NO. K-2020-063(SC)</t>
  </si>
  <si>
    <t>Supply and Delivery of Two (2) Units Emergency Transport Vehicle to be used in the Office of the Municipal Mayor (satellite office in Aurora), Naujan, Oriental Mindoro</t>
  </si>
  <si>
    <t>Procurement of Construction Materials  for the  Concreting of  Pathway</t>
  </si>
  <si>
    <t>CONSTRUCTION OF MULTI-PURPOSE CENTER(San Antonio ES, Brgy. San Antonio, Barbaza, Antique)/IB. NO. K-2020-064(SC)</t>
  </si>
  <si>
    <t>Supply and Delivery of Other Supplies and Materials (NCEBde)</t>
  </si>
  <si>
    <t>500 pack Disposable Nurse Cap, 100's/pack</t>
  </si>
  <si>
    <t>REPAIR IMPROVEMENT OF MULTI-PURPOSED BUILDING</t>
  </si>
  <si>
    <t>RFQ-DVO-PR.NO. 2002150 CAT. 10 COMPUTER EQUIPMENT AND ACCESSORIES</t>
  </si>
  <si>
    <t>Supply and Delivery of Various Materials and Equipment for the ESU</t>
  </si>
  <si>
    <t>Fabrication of Tables and Cabinets of Different Offices, Naic, Cavite</t>
  </si>
  <si>
    <t>PBD 20-078 LED Smart TV</t>
  </si>
  <si>
    <t>SUPPLY OF RICE FOR WALK IN CLIENT OF SB</t>
  </si>
  <si>
    <t>Supply and Delivery of Various Office Supplies &amp; Materials for the University</t>
  </si>
  <si>
    <t>Supply and Delivery of Aircondition Units for the College of Liberal Arts</t>
  </si>
  <si>
    <t>Repair and Maintenance of Service Vehicle (SJB 426)	(SB)</t>
  </si>
  <si>
    <t>2LSSM2020A-229 Food Supplies</t>
  </si>
  <si>
    <t>20CB-GSC-356 REPAIR OF MITSUBISHI ESTRADA FOR CEO</t>
  </si>
  <si>
    <t>Procurement of Construction Materials, SAN JOSE CITY NUEVA ECIJA</t>
  </si>
  <si>
    <t>20CB-GSC-357 PURCHASE OF PURIFIED DRINKING WATER</t>
  </si>
  <si>
    <t>PES Printing of Tarpaulin</t>
  </si>
  <si>
    <t>Supply &amp; Delivery of Phacoemulsification-Vitrectomy Machine</t>
  </si>
  <si>
    <t>Procurement of Laptop &amp; Printer</t>
  </si>
  <si>
    <t>2LSSM2020A-231 Other Supplies and Materials</t>
  </si>
  <si>
    <t>Supply and Delivery of Various Furniture and Fixtures for the ESU</t>
  </si>
  <si>
    <t>CONCRETING OF BRGY. ROAD AT BRGY. BATICAN, INFANTA, QUEZON</t>
  </si>
  <si>
    <t>Concreting of Access Road to Municipal Cemetery</t>
  </si>
  <si>
    <t>Audio/Visual (AV), Projector Multimedia and Scanner High Speed for MARINDUQUE 69KV TL&amp;SS</t>
  </si>
  <si>
    <t>for chlorine residual test reagent use</t>
  </si>
  <si>
    <t>Renovation of Health Center at Barangay San Julian Sur, Vigan City</t>
  </si>
  <si>
    <t>SUPPLY OF RICE FOR WALK IN CLIENT OF MAYOR</t>
  </si>
  <si>
    <t>20CB-GSC-355 PURCHASE OF ENGINE OIL FOR CITY AGRI</t>
  </si>
  <si>
    <t>50 PCS 3/4"X 4'X 8' PLYBOARD</t>
  </si>
  <si>
    <t>Procurement of Coco Lumber for the Construction of 65 TLS to be delivered at Municipality of Magsaysay</t>
  </si>
  <si>
    <t>Supply and Delivery of Various Printer Ink for Various Colleges and Offices of the University</t>
  </si>
  <si>
    <t>2LSSM2020A-230 Food Supplies</t>
  </si>
  <si>
    <t>Strict Implementation of Traffic Rules &amp; Regulations</t>
  </si>
  <si>
    <t>Purchase of Office Equipment (Time Attendance Terminal) for HRMO Gumaca, Quezon</t>
  </si>
  <si>
    <t>Procurement of Computer Printer Ink and Flash drive (USB)</t>
  </si>
  <si>
    <t>HO-TMD20-008 - Supply and Delivery of Current Shunt, Resistor Standard, Caliper Digimatic and Clamp</t>
  </si>
  <si>
    <t>2LSSM2020A-232 Other Supplies and Materials</t>
  </si>
  <si>
    <t>Medical Supplies - (2nd) GLUCOSE MONITORING STRIP</t>
  </si>
  <si>
    <t>UPGRADING OF EXISTING WATER PURIFICATION</t>
  </si>
  <si>
    <t>supplies for Legazpi Public Market Office use</t>
  </si>
  <si>
    <t>Procurement of Tilapia Feeds and Fertilizer for the Provincial Agriculture Office - Tilapia Fingerlings Production of the Four fishery facilities</t>
  </si>
  <si>
    <t>B20200216 - POULTRY BREEDER PARENT STOCK (MALE &amp; FEMALE) FOR PVO USE</t>
  </si>
  <si>
    <t>Construction Of Barangay Storage Facility at Barangay Purok a Dackel, Vigan City</t>
  </si>
  <si>
    <t>20CB-GSC-358 PURCHASE OF VARIOUS OFFICE EQUIPMENT</t>
  </si>
  <si>
    <t>PR NO. 1480 Office Supplies</t>
  </si>
  <si>
    <t>CONSTRUCTION OF STAIRWAY AND OTHER RELATED WORKS</t>
  </si>
  <si>
    <t>20CB-GSC-359 PURCHASE OF IT EQUIPMENT</t>
  </si>
  <si>
    <t>REPAIR &amp; MAINTENANCE OF BRGY. VEHICLE/S - 2020</t>
  </si>
  <si>
    <t>Supply and Delivery of Various Operations Maintenance of MACONACON DPP</t>
  </si>
  <si>
    <t>2LSSM2020A-233 Other Supplies and Materials</t>
  </si>
  <si>
    <t>Supply and Delivery of Office Table, Office Chair, Steel Cabinet, Executive &amp; Visitors Chair</t>
  </si>
  <si>
    <t>Construction of Access Road to SDSSU with Drainage</t>
  </si>
  <si>
    <t>20CB-GSC-361 PURCHASE OF GENERAL MERCHANDISE</t>
  </si>
  <si>
    <t>Repair/Maintenance of Elementary Schools (Alangan, Arinaya, Barbarit, Caraisan)</t>
  </si>
  <si>
    <t>2LSSM2020A-234 Other Supplies and Materials</t>
  </si>
  <si>
    <t>20CB-GSC-362 PURCHASE OF FURNITURE AND FIXTURES</t>
  </si>
  <si>
    <t>PES Purchase of Mobile Load Card 2020-Supplemental</t>
  </si>
  <si>
    <t>2LSSM2020A-235 Other Supplies and Materials</t>
  </si>
  <si>
    <t>Supply and Delivery of 163,416 sachet Rice-Mongo-Sesame Seeds Cereal/Blend under Purchase Request No. 835-20</t>
  </si>
  <si>
    <t>Procurement of Spareparts for Police Mobile Patrol (Hilux) of Laak PNP - Laak, Davao De Oro</t>
  </si>
  <si>
    <t>Procurement of Electrical Supplies, SAN JOSE CITY NUEVA ECIJA</t>
  </si>
  <si>
    <t>purchase of fertilizers for rice farmers of SNIN</t>
  </si>
  <si>
    <t>Initial Construction of Standard Day Care Center, Brgy. Masaya, Buenavista, Quezon</t>
  </si>
  <si>
    <t>B20200215 - MEDICAL SUPPLIES FOR DDNH-KAPALONG ZONE</t>
  </si>
  <si>
    <t>REQUEST FOR QUOTATION FOR PAINTING OF SCIMO BUILDING</t>
  </si>
  <si>
    <t>Battery</t>
  </si>
  <si>
    <t>Procurement of Medical Supplies for Lianga District Hospital Nursing Service and Dental.</t>
  </si>
  <si>
    <t>2LSSM2020A-237 Other Supplies and Materials</t>
  </si>
  <si>
    <t>Supply and Delivery of IT Supplies</t>
  </si>
  <si>
    <t>Purchase &amp; Delivery of Hardware &amp; Construction Supplies to be used in Barangay Projects, Surigao City</t>
  </si>
  <si>
    <t>Supply and Labor, Equipment and Expertise to Conduct Stack Emission Testing of 1x336kW "MING" Diesel Engine of KABUGAO DPP</t>
  </si>
  <si>
    <t>Purchase to be used in Military, Police, and Security Equipment</t>
  </si>
  <si>
    <t>CONSTRUCTION MATERIALS FOR THE REPAIR, RENOVATION AND EXPANSION OF DRESSMAKING AND TAILORING NC II SCHOOL SHOP</t>
  </si>
  <si>
    <t>Supply of Labor, General Servicing and Overhauling of Four Radiators of MONGPONG DPP</t>
  </si>
  <si>
    <t>Procurement of Tools and Equipment for Electrical Installation and Maintenance NC II (ALS-EST)</t>
  </si>
  <si>
    <t>PURCHASE OF FUEL FOR MAINTENANCE OF MUNICIPAL HEAVY EQUIPMENT, LOBOC, BOHOL</t>
  </si>
  <si>
    <t>2LSSM2020A-236 Other Supplies and Materials</t>
  </si>
  <si>
    <t>20CB-GSC-363 PURCHASE OF MEDALS AND SPORT SUPPLIES</t>
  </si>
  <si>
    <t>B20200226 - TIRE, OIL FILTER AND FUEL FILTER FOR FOTON TRUCK</t>
  </si>
  <si>
    <t>Request for Quotation - Office supplies for the 3rd Qtr of Y2020 - HBC &amp; PVD (CNAS 06.23.20)</t>
  </si>
  <si>
    <t>Hog Fattening ( Feeds, Dewormer &amp; Vitamins)</t>
  </si>
  <si>
    <t>Purchase of One (1) unit Ambulance for the use of LGU-Hinigaran, Negros Occidental.</t>
  </si>
  <si>
    <t>SUPPLY/INSTALLATION OF LIGHT @ COVERED COURT, BRGY. TAGBUBUNGA, VILLABA, LEYTE : SOURCE OF FUND- BRGY. FUND 20% EDF CY2020</t>
  </si>
  <si>
    <t>SUPPLY AND DELIVERY OF PESTICIDE STANDARD</t>
  </si>
  <si>
    <t>Construction of National Child Development Center</t>
  </si>
  <si>
    <t>RENTAL OF RISOGRAPH</t>
  </si>
  <si>
    <t>Supply of Labor, Materials and Equipment for the Construction/Improvement of Birthing Clinic (Phase II), Brgy. Lalayat, San Jose, Batangas</t>
  </si>
  <si>
    <t>Cell cards for Division Webinar on Research Writing and Proposal Defense for School Heads, Teachers, and Master Teachers</t>
  </si>
  <si>
    <t>Materials (Boxing Program)</t>
  </si>
  <si>
    <t>Rehabilitation of Multi-Purpose Building (VAWC, BCPC), Brgy. Site, Brgy. New Carmen, Tacurong City</t>
  </si>
  <si>
    <t>Provision of pakyaw services as Administrative Aide II to be assigned at DA-INREC Satellite Station, San Juan, Ilocos Sur for July-December 2020</t>
  </si>
  <si>
    <t>2LSSM2020A-238 Other Supplies and Materials</t>
  </si>
  <si>
    <t>Service Vehicle Repair and Maintenance</t>
  </si>
  <si>
    <t>Equipment to be use in the Computerization Program (RPTAS) Phase 1</t>
  </si>
  <si>
    <t>PES Purchase of Office Supplies 2020-Supplemental</t>
  </si>
  <si>
    <t>Printing Services, SAN JOSE CITY NUEVA ECIJA</t>
  </si>
  <si>
    <t>SUPPLY &amp; DELIVERY OF OFFICE EQUIPMENT</t>
  </si>
  <si>
    <t>Procurement of Supplies for TCC decontamination area</t>
  </si>
  <si>
    <t>S/D OF TEN (10) PCKS TILE GROUT AND TWENTY TWO (22) OTHER LI OF FSRR, PA (PHP 200,000.00)</t>
  </si>
  <si>
    <t>PURCHASE  of OFFICE SUPPLIES AND EQUIPMENT for MPDO</t>
  </si>
  <si>
    <t>Internet connectivity to 11 E/S and 2 H/S w/ hands-on orientation on operation of learning management system</t>
  </si>
  <si>
    <t>PUBLICATION OF DENR EMB MC NO. 2020-012 RE: CONFISCATION GUIDELINES OF ILLEGAL CHEMICALS, CHEMICAL SUBSTANCES OF HAZARDOUS WASTE UNDER RA 6969 UNDER EMB-LD RFQ NO. EMB-LD-SVP-G-087-6-24-2020- 2020-059</t>
  </si>
  <si>
    <t>PES Purchase of Printer (Epson) 2020-Supplemental</t>
  </si>
  <si>
    <t>Procurement of Safety goggles</t>
  </si>
  <si>
    <t>B20200227 - TRUCK TIRE AND CLUTCH LINING FOR WATER TANKER OF PDRRMD</t>
  </si>
  <si>
    <t>Supply and Delivery of Fuel and Lubricants for use in Service Vehicles of DPWH Agusan del Sur-1st District Engineering Office</t>
  </si>
  <si>
    <t>Construction of Drainage Canal, Purok Pagkakaisa going to Children’s Grace of Mary Elementary &amp; High School, Brgy. New Carmen, Tacurong City</t>
  </si>
  <si>
    <t>20CB-GSC-360 CATERING SERVICES</t>
  </si>
  <si>
    <t>SUPPLY AND DELIVERY OF PE TUBING 1/2 SDR11</t>
  </si>
  <si>
    <t>Air Conditioner 1.5HP Split Type Inverter Air Conditioner,Refrigerator 2-Door, Inverter Technology and Grass Cutter 4 Stroke Engine for CASIGURAN DPP</t>
  </si>
  <si>
    <t>Procurement of Various Office Supplies and Consumables of Mun. Accountant's Office - Laak, Davao De Oro</t>
  </si>
  <si>
    <t>HO-OMR20-003 - Supply and Delivery of Philippine Flag and Hiking Shoes</t>
  </si>
  <si>
    <t>2LSSM2020A-239 Other Supplies and Materials</t>
  </si>
  <si>
    <t>PRINTING OF GROCERY BOOKLETS AND MEDICAL BOOKLETS</t>
  </si>
  <si>
    <t>Purchase of Construction Supplies for the Repair &amp; Maintenance of Provincial Vice Governor's Office</t>
  </si>
  <si>
    <t>Procurement of Drugs and Medicines / Two (2) Unit Thermal Gun for Provincial Governors Office use.</t>
  </si>
  <si>
    <t>CATERING SERVICES</t>
  </si>
  <si>
    <t>Procurement of Water Dispense, Printer and Plastic Storage Box of Mun. Accountant's Office - Laak, Davao De Oro</t>
  </si>
  <si>
    <t>Repairs and maintenance of PRDP Vehicle NH2879</t>
  </si>
  <si>
    <t>Procurement of Coco Lumbers for the Construction of 68 TLS to be delivered at the Municipality of Matanao</t>
  </si>
  <si>
    <t>ONE (1) LOT CHECK-UP, REPAIR AND SUPPLY AND INSTALLATION OF TIME LOCK 3-MOVEMENT CASH VAULT DOOR (INCLUDING MOBILIZATION PER DIEM) FOR LBP ROSARIO CAVITE (CEZ)</t>
  </si>
  <si>
    <t>Procurement Materials for the Completion of Poblacion 06 Community Stage</t>
  </si>
  <si>
    <t>Medical Supplies - (2nd) KLEINSASSER SCISSORS &amp; NE FIBER OPTIC</t>
  </si>
  <si>
    <t>PURCHASE OF FACEMASK FOR PNP, BRGY. OFFICIALS &amp; BRGY. TANOD</t>
  </si>
  <si>
    <t>DSWD7-20-0768; Van Rental</t>
  </si>
  <si>
    <t>Procurement of Chair</t>
  </si>
  <si>
    <t>20CB-GSC-365 PURCHASE OF DRUGS AND MEDICINES FOR DJPRH (RE-BID)</t>
  </si>
  <si>
    <t>Concreting of Road at Sermal St., Barangay Atilano Ricardo, Bagac, Bataan</t>
  </si>
  <si>
    <t>GSD-2ND QTR. OTHER SUPPLIES AND MATERIALS FOR THE USED OF OSPITAL NG MALABON</t>
  </si>
  <si>
    <t>Opening of Barangay Roads, Purok Salukag, Brgy. New Carmen, Tacurong City</t>
  </si>
  <si>
    <t>Procurement of Goods: Fuel for Light Vehicles and Generator Sets</t>
  </si>
  <si>
    <t>2LSSM2020A-240 Other Supplies and Materials</t>
  </si>
  <si>
    <t>Supply of Labor, Materials and Equipment for the Construction/Rehabilitation of Line Canal, Drainage System, Pipe Culvert/Box Culvert, Brgy. Banaybanay II, San Jose, Batangas</t>
  </si>
  <si>
    <t>2LSSM2020A-241 Other Supplies and Materials</t>
  </si>
  <si>
    <t>Supply and Delivery of Various Drugs and Medicines</t>
  </si>
  <si>
    <t>HFW : 1 LOT PERSONAL APPARELS FOR THE USE OF CLIENT AT HOME FOR WOMEN FOR 2nd SEM 2020.</t>
  </si>
  <si>
    <t>Request for Quotation for the Provision of Appliances to be used for the conduct of RCM Briefing Batch 1 and Batch 2 on September 29, 2020 at Tagoloan, Misamis Oriental and October 29, 2020 at Camigui</t>
  </si>
  <si>
    <t>LEAFLETS AND PAMPHLETS FOR THE USE OF BFP</t>
  </si>
  <si>
    <t>B20200228 - TIRE, OIL FILTER AND FUEL FILTER FOR FOTON TRUCK OF PDRRMD</t>
  </si>
  <si>
    <t>Weighing Scale</t>
  </si>
  <si>
    <t>Procurement of Three (3) Security guards</t>
  </si>
  <si>
    <t>Labor and Materials for the Installation/Retrofitting of 1-unit container van</t>
  </si>
  <si>
    <t>Provision of Plastic Drums for Municipal Agriculture Office</t>
  </si>
  <si>
    <t>Procurement of Laboratory Facilities</t>
  </si>
  <si>
    <t>Fuel and Lubricants for the Maintenace of Barangay Raod Palmera,  R. T. Lim, Zamboanga Sibugay</t>
  </si>
  <si>
    <t>IT SOFTWARES</t>
  </si>
  <si>
    <t>Supply and delivery of farm supplies/materials to be used for the implementation of the Organic Agriculture Program with PR#2020-06-18-223-225-226 and ABC of P407,150.00</t>
  </si>
  <si>
    <t>Purchase of Raincoat for Marshals @ Samal, Bataan</t>
  </si>
  <si>
    <t>IB 20CJ0154  Repair/ Maintenance of DPWH Building Water System Tarlac I District Engineering Office, Gerona, Tarlac</t>
  </si>
  <si>
    <t>COMPLETION OF VIEW DECK TREEPARK</t>
  </si>
  <si>
    <t>Supply and Delivery of Office Supplies</t>
  </si>
  <si>
    <t>OTHER SUPPLIES AND MATERIALS FOR INTENSIFICATION OF FIRE EDUCATION AND PREVENTION CAMPAIGN</t>
  </si>
  <si>
    <t>Diploma Classroom Refurbishment</t>
  </si>
  <si>
    <t>FOR THE REPLACEMENT OF DAMAGE PARTS OF FOTON VIEW AMBULANCE #1 SKL-943/BCH</t>
  </si>
  <si>
    <t>SUPPLY AND DELIVERY OF GC FILTERS AND TRAPS</t>
  </si>
  <si>
    <t>20CB-GSC-364 PURCHASE OF FOOD SUPPLIES FOR OSCA</t>
  </si>
  <si>
    <t>Rehabilitation of Multi-Purpose Hall, Barangay Cagbalogo</t>
  </si>
  <si>
    <t>RFQ - SECURITY AND SURVEILLANCE EQUIPMENT AND MATERIALS</t>
  </si>
  <si>
    <t>Bid No. 20-0280 - PROCUREMENT OF OFFICE SUPPLIES - MAGRO/MCDC</t>
  </si>
  <si>
    <t>Supply and Delivery of Materials for the Operations Maintenance of POWER BARGE 120</t>
  </si>
  <si>
    <t>Supply of Labor, Materials and Equipment for the Construction of Daycare Center, Brgy. Banaybanay I, San Jose, Batangas</t>
  </si>
  <si>
    <t>NNP-2020-VI-29-01		MOTORCYCLE (MENRO)</t>
  </si>
  <si>
    <t>Riprap Protection at Parang High School, Barangay Parang, Bagac, Bataan</t>
  </si>
  <si>
    <t>SUPPLY &amp; INSTALLATION OF STAND-BY POWER GENERATOR</t>
  </si>
  <si>
    <t>Procurement of PPE for TUPAD</t>
  </si>
  <si>
    <t>Supply and delivery of materials for the Improvement of Water System</t>
  </si>
  <si>
    <t>S/D OF TWO (2) GAL POLITUFF AND TWENTY TWO (22) OTHER LI OF FSRR, PA (PHP 200,000.00)</t>
  </si>
  <si>
    <t>purchase of books for San Nicolas Elementary School</t>
  </si>
  <si>
    <t>Procurement of Goods for Office use.</t>
  </si>
  <si>
    <t>20CB-GSC-366 PURCHASE OF VARIOUS MEDICAL, DENTAL &amp; LABORATORY</t>
  </si>
  <si>
    <t>S/D OF TWELVE (12) PCS 3 WAY ANGLE VALVE AND TWENTY TWO (22) OTHER LI OF FSRR, PA (PHP 200,000.00)</t>
  </si>
  <si>
    <t>Supply labor and materials for the tiling of comfort room in the Seed storage building</t>
  </si>
  <si>
    <t>FABRICATION/INSTALLATION OF WINDOW GRILLS TO THE NEWLY UPGRADED BLDG. MESS HALL</t>
  </si>
  <si>
    <t>INFRA2020-AG2-007 Supply of Labor and Materials for Repair of Employees Housing Quarter Two (2) Units at NPC Compound, Pawak, Saguiaran, Lanao del Sur and MRSQ, Maria Cristina, Iligan City</t>
  </si>
  <si>
    <t>Telephone Mobile Expenses (CEISSAFP-624,184,800.00)</t>
  </si>
  <si>
    <t>Procurement of Laboratory Supplies for the Physical/Laboratory Tests of LGU Employees, Tagudin, Ilocos Sur</t>
  </si>
  <si>
    <t>B20200230 - EQUIPMENT RENTAL FOR PROPOSED ROAD OPENING OF TAWINIAN - TAPAYANON ROAD SECTION, KAPALONG</t>
  </si>
  <si>
    <t>Purchase &amp; Delivery of Office Supplies &amp; Consumables for the Bids &amp; Awards Committee Office</t>
  </si>
  <si>
    <t>Procurement of IT. Equipment and Supplies, SAN JOSE CITY NUEVA ECIJA</t>
  </si>
  <si>
    <t>20CB-GSC-369 PURCHASE OF STORYBOOKS FOR EECD (SEF)</t>
  </si>
  <si>
    <t>Provision of pakyaw services as Utility Worker to be assigned at DA-INREC Satellite Station, San Juan, Ilocos Sor for July-December 2020</t>
  </si>
  <si>
    <t>(1) 6 UNITS, 5-STEP ALUMINUM LADDER; (2) 14 UNITS, PUSH CART, FOLDING; (3) 39 UNITS, DIGITAL INDOOR THERMOMETER</t>
  </si>
  <si>
    <t>Supply of Air Compressor (Atlas Copco, Model LT930) and Turbo Charger (Model: VTR 304A11) for POWER BARGE 120</t>
  </si>
  <si>
    <t>RISO MACHINE</t>
  </si>
  <si>
    <t>DRMD: 1 UNIT-10 TONNER WING VAN TO TRANSPORT 1,163 FAMILY FOOD PACK TO LILOY ZAMBOANGA DEL NORTE.</t>
  </si>
  <si>
    <t>S/D OF TWO (2) PCKS TILE GROUT AND TWENTY TWO (22) OTHER LI OF FSRR, PA (PHP 200,000.00)</t>
  </si>
  <si>
    <t>20CB-GSC-368 PURCHASE OF ANTIBACTERIALS (PARENTERALS) FOR DJPRH (RE-BID)</t>
  </si>
  <si>
    <t>Purchase &amp; Delivery of Laptop &amp; Computer Sets for distribution to various recipients</t>
  </si>
  <si>
    <t>Proposed Construction of Perimeter Fence Manticao National High School, Manticao, Misamis Oriental</t>
  </si>
  <si>
    <t>CONSTRUCTION OF DAY CARE CENTER</t>
  </si>
  <si>
    <t>Supply and Delivery of Office and Other Supplies for different offices, Bagac, Bataan</t>
  </si>
  <si>
    <t>Construction of Two (2) Storey Multi-purpose Building (Phase III)</t>
  </si>
  <si>
    <t>PURCHASE OF VARIOUS OFFICE SUPPLIES</t>
  </si>
  <si>
    <t>20CB-GSC-367 PURCHASE OF MEDICAL DENTAL &amp; LABORATORY SUPPLIES FOR DJPRH (RE-BID)</t>
  </si>
  <si>
    <t>Const/Rehab.of Local Core Roads and Ripraping</t>
  </si>
  <si>
    <t>Purchase of Medical &amp; Laboratory Supplies 2020-06-0205</t>
  </si>
  <si>
    <t>SUPPLY AND DELIVERY OF 500 PCS. DATA FILE FOLDER W/ FINGER RING</t>
  </si>
  <si>
    <t>Supply &amp; Delivery of Medical Equipment &amp; Instruments for Orthopedic Use</t>
  </si>
  <si>
    <t>SMAW NC II TWSP SAN PEDRO BATCH 1 &amp; 2</t>
  </si>
  <si>
    <t>Const./Rehab. of Brgy. StreetLights (22Units)</t>
  </si>
  <si>
    <t>20FN0103 Concreting of Brgy. Masoli Farm to Market Road, Brgy. Masoli, Bato, Camarines Sur Sta. 0+000.00 – Sta. 1+253.00</t>
  </si>
  <si>
    <t>Procurement of Auto Spare Parts</t>
  </si>
  <si>
    <t>Supply and Delivery of 1 unit Compressor for Sulu Sea  under FishCORAL Project</t>
  </si>
  <si>
    <t>Procurement of Coco Lumber for the Construction of 17 TLS to be delivered at the Municipality of Sta. Cruz, Davao del Sur</t>
  </si>
  <si>
    <t>Supply and Delivery of Office Equipment</t>
  </si>
  <si>
    <t>RFQ - Video production and documentation of Training Modules on Agri-Machinery and Business Development, and Seminar Modules on Information Drive under RCEF</t>
  </si>
  <si>
    <t>20AH0214	Concreting of Brgy. Bongalon FMR, Brgy. Bongalon, Labrador, Pangasinan</t>
  </si>
  <si>
    <t>PR. 20-05-179 (2020-05-171 2ND QUOTE) PROCUREMENT OF PVC SANITARY PIPE W/ HUB</t>
  </si>
  <si>
    <t>Supply and Delivery of Insulation Resistance and Charger Battery for CASIGURAN DPP</t>
  </si>
  <si>
    <t>PURCHASE OF FACE SHIELD FOR PNP, BRGY. OFFICIALS &amp; BRGY. TANOD</t>
  </si>
  <si>
    <t>SUPPLY OF VARIOUS OFFICE EQUIPMENT</t>
  </si>
  <si>
    <t>Outsourcing of physico chemical, heavy metal and microbiological analyses</t>
  </si>
  <si>
    <t>Rental of Forklift Equipment’s for Cargo Handling  Operation at Philippine Ports Authority – Surigao Port Services for the Period of July 4, 2020 to August 2, 2020</t>
  </si>
  <si>
    <t>PR# 20-1488- Multivitamins Supplementation Program to targeted stunted children</t>
  </si>
  <si>
    <t>Supply &amp; Delivery of  Trophies &amp; Sports Supplies at San Jose, Tarlac</t>
  </si>
  <si>
    <t>Project PROTECT</t>
  </si>
  <si>
    <t>Supply and Delivery of Janitorial Supplies of Municipality of Jones</t>
  </si>
  <si>
    <t>REPAIR/REHABILITATION OF MULTI-PURPOSE HALL</t>
  </si>
  <si>
    <t>20AH0215	Concreting of Brgy. Malabobo to Brgy. Lawak Langka FMR, Brgy. Malabobo and Brgy. Lawak Langka, Mangatarem, Pangasinan</t>
  </si>
  <si>
    <t>VITAMIN C+ ZINC, 20MG/90MG/5MG</t>
  </si>
  <si>
    <t>Rental of Welding Machine with Generator</t>
  </si>
  <si>
    <t>Procurement of Desktop Computer</t>
  </si>
  <si>
    <t>General Cleaning/Rep/Recharging/Maint. of 3 Tonners ACU, Split Type ACU, Window Type ACU In Various Offices @ Samal, Bataan</t>
  </si>
  <si>
    <t>SUPPLY AND DELIVERY OF CHEMICALS AND REAGENTS SUPPLIES</t>
  </si>
  <si>
    <t>S/D OF TWENTY SEVEN (27) PCS LED BULB 15W AND TWENTY TWO (22) OTHER LI OF FSRR, PA (PHP 300,000.00)</t>
  </si>
  <si>
    <t>Procurement Materials for the Rehabilitation of Barangay Perimeter Fence</t>
  </si>
  <si>
    <t>20AH0216	Concreting of Brgy. San Juan FMR, Brgy. San Juan, San Jacinto, Pangasinan</t>
  </si>
  <si>
    <t>SUPPLEMENTARY FEEDING FOR CHILDREN UNDER 4 YEARS OLD IN COMMUNITY SETTING FOR 30 DAYS</t>
  </si>
  <si>
    <t>UPLB-RQ-6-078-20-GOODS SUPPLY AND DELIVERY OF VEHICLE REPAIR &amp; MAINTENANCE FOR CFNR - DFPPS</t>
  </si>
  <si>
    <t>4,000 ltrs Diesel Fuel for bulldozer used/CMO-ENRO</t>
  </si>
  <si>
    <t>Rehab./ Improvement of Old Public Market</t>
  </si>
  <si>
    <t>Electrical Works</t>
  </si>
  <si>
    <t>Supply and  Delivery of  agricultural chemicals for use in the rice farming at CVRRCY.</t>
  </si>
  <si>
    <t>Procurement of Aircon</t>
  </si>
  <si>
    <t>Supply and Delivery of Materials for the Improvement of Evacuation Center</t>
  </si>
  <si>
    <t>Supply and Delivery of Current Transformer for PATNANUNGAN DPP</t>
  </si>
  <si>
    <t>PROCUREMENT OF TWO (2) UNITS PASSENGER VAN AND ONE (1) UNIT PICK UP VEHICLE FOR DISASTER RESPONSE</t>
  </si>
  <si>
    <t>(20LF0143) San Luis NHS Two (2) Storey Ten (10) Classroom, Caraga, Davao Oriental</t>
  </si>
  <si>
    <t>MOOE2020-01</t>
  </si>
  <si>
    <t>Security Services (July - December 2020) for Dadiangas North HS</t>
  </si>
  <si>
    <t>20 PCS 2"X 6" X 10FT S4S ECOWOOD</t>
  </si>
  <si>
    <t>Supply and Delivery of Office Supplies &amp; Devices</t>
  </si>
  <si>
    <t>Procurement of Generator Set, SAN JOSE CITY NUEVA ECIJA</t>
  </si>
  <si>
    <t>Const./Rehabilitation of Water System</t>
  </si>
  <si>
    <t>Repair &amp; Maintenance ICT Equipment (CEISSAFP-P67,600.00)</t>
  </si>
  <si>
    <t>(20_0102) SERVICES AND MATERIALS: FOR THE REPAIR OF BUILDING 1018, SBFZ</t>
  </si>
  <si>
    <t>Medicines for the consumption of RSCC Residents for CY- 2020.</t>
  </si>
  <si>
    <t>Fuel and Lubricants for the Rehabilitation of FMR from Little MArgos to Pres. Roxas Junction  Calula,  R. T. Lim, Zamboanga Sibugay</t>
  </si>
  <si>
    <t>Procurement of Supply and Materials for the Construction of 55 TLS to be delivered at the Municipalities of Malalag, Padada, Hagonoy, Sulop and Kiblawan</t>
  </si>
  <si>
    <t>1,000 bags Cement</t>
  </si>
  <si>
    <t>RISOGRAPH</t>
  </si>
  <si>
    <t>PR# 20-1487- 11,682 PACKS FORTIFIED POWDERED MILK DRINK</t>
  </si>
  <si>
    <t>Antibac, liquid soap, 20's &amp; etc. for Bindoy District Hospital	 (S-187-2020)</t>
  </si>
  <si>
    <t>Provision of pakyaw services as Project Evaluation Officer I to be assigned at DA-INREC Satellite Station, San Juan, Ilocos Sor for July-December 2020</t>
  </si>
  <si>
    <t>20GJI0039 - Procurement of supplies and materials For use in application of Road Markings using Thermoplastic along National Roads, Lanao-Pagadian-Zamboanga City Road, K1724+(-591) - K1756+236, Interm</t>
  </si>
  <si>
    <t>PROFESSIONAL SERVICE FEE  UNDER EMB-AFMD RFQ NO. EMB-AFMD-086-06-24-2020</t>
  </si>
  <si>
    <t>Supply and Delivery of  123 Go Bag</t>
  </si>
  <si>
    <t>Procurement of Various Medicines, SAN JOSE CITY NUEVA ECIJA</t>
  </si>
  <si>
    <t>CATERING: ON-SITE TRAINING COURSE ON FRESHWATER AQUACULTURE</t>
  </si>
  <si>
    <t>Cementing of Footwalk</t>
  </si>
  <si>
    <t>Construction of Multi-Purposed Building Damayuhan National High School, Magsaysay, Misamis Oriental</t>
  </si>
  <si>
    <t>Office Supplies For use at the Vice-Governor's Office		 (S-189-2020)</t>
  </si>
  <si>
    <t>Construction of Drainage System (Gemilina - Fairbank)</t>
  </si>
  <si>
    <t>Supply and Delivery of gear oil for diesel engine etc. for use in the rice farming at CVRRCY.</t>
  </si>
  <si>
    <t>Purchace of Airconditioning Unit</t>
  </si>
  <si>
    <t>20FN0104 Concreting of Brgy. La Victoria to Brgy. Taisan Farm to Market Road, Brgy. La Victoria and Brgy. Taisan, Bula, Camarines Sur Sta. 8+000.00 – Sta. 9+020.00</t>
  </si>
  <si>
    <t>Diesel Fuel &amp; Gasoline for Bais District Hospital			 (N-415-2020)</t>
  </si>
  <si>
    <t>Upgrading of Health Center</t>
  </si>
  <si>
    <t>Supply of Gasoline/Diesel for Service Vehicle for the period July to December 2020 of SSS Boac</t>
  </si>
  <si>
    <t>PROCUREMENT OF TWO (2) UNITS SPORTS UTILITY VEHICLE AND ONE (1) UNIT CROSSOVER UTILITY VEHICLE FOR PATROL OPERATIONS</t>
  </si>
  <si>
    <t>Supply and Delivery of Chemical and Chemical Products</t>
  </si>
  <si>
    <t>25 pcs. Printed T-shirt</t>
  </si>
  <si>
    <t>Procurement of meals of responders during disaster/calamities re: COVID-19</t>
  </si>
  <si>
    <t>Garments</t>
  </si>
  <si>
    <t>Procurement of supplies and materials to be used in the Training Cum Production in the making of Wooden Poultry House</t>
  </si>
  <si>
    <t>PROCUREMENT OF 1ST &amp; 2ND QUARTER OFFICE SUPPLIES NOT AVAILABLE IN PS-DBM, PMO ZDN, Port of Dapitan, Dapitan City, Zamboanga del Norte</t>
  </si>
  <si>
    <t>Annual Report Production</t>
  </si>
  <si>
    <t>Purchase of Construction Materials and Electrical Supplies for use in Street Lighting Installation, Prk. Mahinangpanon and Teacher's Ville ( Suga Kontra Krimen), Barangay V, Silay City.</t>
  </si>
  <si>
    <t>One (1) lot Supply and Delivery of Five (5) Units of Steel Open Shelves for Landbank Boac Accounting Unit - Boac, Marinduque</t>
  </si>
  <si>
    <t>Supply and Delivery of Janitorial Supplies</t>
  </si>
  <si>
    <t>20DD0359 Local Program, Local Infrastructure Program, Buildings and Other Structures, Multipurpose/ Facilities, Construction of Multi-Purpose Building (Auditorium) including Site Development at Brgy.</t>
  </si>
  <si>
    <t>Purchase of Other Supplies for the Repair and Maintenance of Provincial Engineer's Office</t>
  </si>
  <si>
    <t>SUPPLY AND DELIVERY OF JANITORIAL SUPPLIES AT ANTIQUE AIRPORT</t>
  </si>
  <si>
    <t>Supply and Delivery of 1 unit delivery room table (operating table hyraulic ).</t>
  </si>
  <si>
    <t>Procurement of Coco Lumber for the Construction of 55 TLS to be delivered at the Municipality of Malalag, Padada, Hagonoy, Sulop and Kiblawan</t>
  </si>
  <si>
    <t>Construction of Streetlights</t>
  </si>
  <si>
    <t>Procurement and Delivery of Meals, Venue and Accommodation  for the 2020 Census of Population and Housing (CPH)  Third Level Training – PSA Batangas</t>
  </si>
  <si>
    <t>RFQ - Preventive Maintenance with kit / Calibration</t>
  </si>
  <si>
    <t>For Quarterly New Service Connection Materials</t>
  </si>
  <si>
    <t>Purchase of  Office Equipment for IP  Legislative Office R.  T. Lim, Zamboanga Sibugay</t>
  </si>
  <si>
    <t>Supply, Delivery &amp; Installation of 11-unit Aircon for the New Mayor's Office &amp; Executive Hall</t>
  </si>
  <si>
    <t>Request for quotation for heavy duty stainless alcohol dispenser</t>
  </si>
  <si>
    <t>750 heads One (1) Meal and Two (2) Snacks</t>
  </si>
  <si>
    <t>SUPPLY AND DELIVERY OF OTHER SUPPLIES AT ANTIQUE AIRPORT</t>
  </si>
  <si>
    <t>Repair of Green House at Lalawigan Elementary School @ Samal, Bataan</t>
  </si>
  <si>
    <t>6pcs basin &amp; etc. for Bais District Hospital	 (S-205-2020)</t>
  </si>
  <si>
    <t>Construction of Drainage System (Petron - Fairbank)</t>
  </si>
  <si>
    <t>Locker Cabinets/Mobile Pedestal</t>
  </si>
  <si>
    <t>SUPPLY AND DELIVERY OF CONSTRUCTION MATERIALS FOR THE CONTINUATION OF HEALTH CENTER</t>
  </si>
  <si>
    <t>SUPPLY AND DELIVERY OF MATERIALS FOR DISINFECTION OF SCHOOL BLDGS AND FACILITIES</t>
  </si>
  <si>
    <t>Purchase of Construction Materials and Supplies for Proposed Construction of Senior Citizen Office, Elena Subd., Brgy. V, Silay City.</t>
  </si>
  <si>
    <t>Procurement of UPS and AVR for CCTV</t>
  </si>
  <si>
    <t>Request for Quotation for the month of April-June office supplies &amp;consumables</t>
  </si>
  <si>
    <t>169 vials Purified chick embryo Antirabies vaccine 0.5ml and other items for use at animal bite center.</t>
  </si>
  <si>
    <t>UPPER TIPARAK ES MOOE (MAY &amp; JUNE 2020)</t>
  </si>
  <si>
    <t>Supply &amp; Delivery of  Wheel Chairs, Crutches and Multi-Vitamines for Senior Citizens at San Jose, Tarlac</t>
  </si>
  <si>
    <t>Procurement of One (1) Unit BRAND NEW 4x2 SUV Vehicle for the Use of the Provincial Government of Davao Oriental</t>
  </si>
  <si>
    <t>Water Analysis (micro test, physical and chemical analysis) for All Sources of Municipal Waterworks System, Ibaan, Batangas</t>
  </si>
  <si>
    <t>RFQ-Office Equipment</t>
  </si>
  <si>
    <t>Food catering services for Financial Literacy Training 2 Batches at Hindang Leyte on August 11-12, 2020 B1 &amp; August 13-14, 2020 B2</t>
  </si>
  <si>
    <t>(20LF0144)Maylaya IS Bldg. 2 One (1) Storey Two (2) Classroom with Toilet at Each Classroom, Cateel, Davao Oriental</t>
  </si>
  <si>
    <t>Supply and Delivery of Potable Water in MONGPONG DPP</t>
  </si>
  <si>
    <t>Construction of Dipacamo Bridge Phase I, Dipacamo, San Guillermo, Isabela</t>
  </si>
  <si>
    <t>HAND TRACTOR</t>
  </si>
  <si>
    <t>Fabrication of Movable Stage</t>
  </si>
  <si>
    <t>Supply and Delivery of Printing Supplies and Training Materials</t>
  </si>
  <si>
    <t>PDDRMO-NC-2020-0310 PR2020-0429 REQUEST FOR QUOTATION FOR THE PROCUREMENT OF STORAGE BATTERIES</t>
  </si>
  <si>
    <t>Purchase of Office Supplies and Materials</t>
  </si>
  <si>
    <t>Supply and Delivery of Portable Steam Sterilizer ( Autoclave Machine )16.6 liter ,HY-230</t>
  </si>
  <si>
    <t>For Fabrication and Installation of Cement Bricks, Wet Market @ Pub. Uno, Malabuyoc, Cebu.</t>
  </si>
  <si>
    <t>SUBDIVISION SURVEY OF LANDHOLDING UNDER MODULE NO. 2020 CC-01 CY 2020</t>
  </si>
  <si>
    <t>Construction Materials (Concreting of Flood Control at Evacuation Center)</t>
  </si>
  <si>
    <t>Conduct PCB Testing of Transformer Oil for MONGPONG DPP</t>
  </si>
  <si>
    <t>Supply and Delivery of Drugs and Medicines</t>
  </si>
  <si>
    <t>Purchase of Hardware Firewall with Configuration</t>
  </si>
  <si>
    <t>Emergency/Injectable Drugs for RHU</t>
  </si>
  <si>
    <t>BRGY. KAWIT IMPROVEMENT OF ROAD AT PUROK BAKHAW-C PHASE 11</t>
  </si>
  <si>
    <t>RFQ-2020-06-0030-FOR USE MAINTENANCE SECTION</t>
  </si>
  <si>
    <t>Purchase of Ambulance for Brgy. Motibot, Sindangan, Zamboanga del Norte</t>
  </si>
  <si>
    <t>Procurement of Medical Oxygen for Camiguin Genral Hospital</t>
  </si>
  <si>
    <t>20GBD0028 - PURCHASE OF OFFICE SUPPLIES FOR USE IN THE OPERATIONS OF THE DPWH-UPMO</t>
  </si>
  <si>
    <t>Procurement of ICT Equipment for Various Offices</t>
  </si>
  <si>
    <t>Supply and Delivery  of Office Supplies for DVAPP Cares Card Production in the Municipality of Sta. Teresita</t>
  </si>
  <si>
    <t>Purchase of Various MV Spare parts</t>
  </si>
  <si>
    <t>Proposed Pathwalk</t>
  </si>
  <si>
    <t>Consulting Services for the Conduct of Detailed Engineering Design of Ilocos Norte-Ilocos Sur-Abra Irrigation Project</t>
  </si>
  <si>
    <t>Rehabilitation of Purok Marker</t>
  </si>
  <si>
    <t>Supply and Delivery of Medical Supplies and Laboratory Instruments</t>
  </si>
  <si>
    <t>Purchase and delivery of multivitamins and other supplements to be distributed to Calapan City residents</t>
  </si>
  <si>
    <t>Supply and Delivery of ICT supplies</t>
  </si>
  <si>
    <t>Procurement of Other Supplies</t>
  </si>
  <si>
    <t>Supply and Delivery of 500pcs. Toilet Bowl &amp; 500pcs. Plastic Blue Drums</t>
  </si>
  <si>
    <t>Construction of Street Lights, Barangay Villa Mercedes</t>
  </si>
  <si>
    <t>Captive Bolt Stunning Gun Cartridges</t>
  </si>
  <si>
    <t>4 units EENT Diagnostic Set with specs	For the use at CSR SECTION	of NOPH (N-393-2020)</t>
  </si>
  <si>
    <t>tire</t>
  </si>
  <si>
    <t>REQUEST FOR QUOTATION (RFQ)  PROCUREMENT FOR VACUUM PUMP RFQ No.039 -2020</t>
  </si>
  <si>
    <t>06-PR-2020-0032 SUPPLY &amp; DELIVERY OF MATERIALS FOR THE INSTALLATION OF THERMOPLASTIC PAVEMENT MARKINGS ALONG AYAGA-STA. MARCELA-FLORA-LASAM ROAD K0671+055-K0674+500</t>
  </si>
  <si>
    <t>FUEL OF TIS (2ND QUARTER)</t>
  </si>
  <si>
    <t>Supply and Delivery of Agricultural Chemicals</t>
  </si>
  <si>
    <t>1 unit Cardiotocogram (CTG) Machine with specs	For the use at CSR SECTION	 of NOPH (N-400-2020)</t>
  </si>
  <si>
    <t>Purchase of Office Equipment</t>
  </si>
  <si>
    <t>SK Council Management (Office enhancement program)</t>
  </si>
  <si>
    <t>repair /widening of brgy. road</t>
  </si>
  <si>
    <t>PROCUREMENT AND DELIVERY OF 3000VA SERVER UPS</t>
  </si>
  <si>
    <t>commercial rice</t>
  </si>
  <si>
    <t>Repair of Common Comfort Room 1st and 2nd Floor at RHU @ Samal, Bataan</t>
  </si>
  <si>
    <t>Purchase of Office Furniture</t>
  </si>
  <si>
    <t>2nd SEMESTER ZDS PANTAWID OFFICE SUPPLIES (July-December 2020)</t>
  </si>
  <si>
    <t>UGNAYANG PANGKALUSUGAN</t>
  </si>
  <si>
    <t>Proposed Construction of Canopy Lagtang Elementary School, Alubijid, Misamis Oriental</t>
  </si>
  <si>
    <t>INVITATION TO BID FOR THE DELIVERY OF MATERIALS FOR THE CONTINUATION OF TWO STOREY BARANGAY MULTI PURPOSE HALL</t>
  </si>
  <si>
    <t>GO-NC-2020-0309 PR2020-0428 REQUEST FOR QUOTATION FOR THE PROCUREMENT OF ENGINE OIL, WD-40, BRAKE FLUID, LABOR, AND VEHICLE SPARE PARTS</t>
  </si>
  <si>
    <t>171 pax Meals and Snacks</t>
  </si>
  <si>
    <t>GROCERY ITEMS - NON FOOD</t>
  </si>
  <si>
    <t>Purchase of Motor Vehicle</t>
  </si>
  <si>
    <t>Procurement and Delivery of Meals, Venue and Accommodation  for the 2020 Census of Population and Housing (CPH)  Third Level Training – PSA Rizal</t>
  </si>
  <si>
    <t>Epson 664 BCYM for Epson L120 Printer	 &amp; etc. For the use at Supply SECTION	of NOPH (S-194-2020)</t>
  </si>
  <si>
    <t>FLOATING TILLER</t>
  </si>
  <si>
    <t>IMPROVEMENT OF WATER SYSTEM</t>
  </si>
  <si>
    <t>FOR THE USED OF ENGINEERING OFFICE</t>
  </si>
  <si>
    <t>Supply and Delivery of Spare parts  (MHO)</t>
  </si>
  <si>
    <t>Procurement of Materials for Fabrication and Installation of G.I. Electric Post going to Evacuation Center of the Municipality of Limasawa</t>
  </si>
  <si>
    <t>20DD0361 Local Program, Local Infrastructure Program, Local Roads and Bridges, Local Bridges, Rehabilitation/Improvement of Overpass (along Calabarzon) at Brgy. Pangao, Lipa City, Batangas</t>
  </si>
  <si>
    <t>Improvement of Gamut Public Market and Parking Area</t>
  </si>
  <si>
    <t>Construction of Drainage System</t>
  </si>
  <si>
    <t>Construction of Multi-Purpose Bldg. (Phase I)</t>
  </si>
  <si>
    <t>Supply and Delivery of Pharmaceutical Refrigerator 4.6 CU FT.</t>
  </si>
  <si>
    <t>Procurement and Delivery of Meals, Venue and Accommodation  for the 2020 Census of Population and Housing (CPH)  Third Level Training – PSA Laguna</t>
  </si>
  <si>
    <t>Purchase of IT Equipments and Accessories (for MCR Office)</t>
  </si>
  <si>
    <t>PROCUREMENT OF TWO (2) AIR-CONDITIONING UNITS</t>
  </si>
  <si>
    <t>Purchase of Waste Management Supplies and Materials</t>
  </si>
  <si>
    <t>6 units Infusion Pump with specs for the use at CSR SECTION of NOPH (S-392-2020)</t>
  </si>
  <si>
    <t>CONCRETING OF MULTI-PURPOSE BLDG.</t>
  </si>
  <si>
    <t>Supply and Delivery of 1 Unit Laptop</t>
  </si>
  <si>
    <t>LABOR AND MATERIALS FOR THE REPAIR OF FRONTLINE COUNTERS (INSTALLATION OF GLASS PARTITIONS) FOR FOR PREVENTIVE MEASUREMENT OF ALL MALE AND FEMALE EMPLOYEES OF RDO58, WEST BATANGAS AGAINST COVID-19 UND</t>
  </si>
  <si>
    <t>RFQ - Supplies for COVID-19 prevention and maintenance of office sanitation</t>
  </si>
  <si>
    <t>Supply and delivery of laboratory supplies to be used in the conduct of various tests at the Integrated Laboratory Division; with an ABC of P87,340.00; PR No.179-6-11-2020</t>
  </si>
  <si>
    <t>Washable Face Mask 135</t>
  </si>
  <si>
    <t>Purchase of Crude Oil</t>
  </si>
  <si>
    <t>20DD0360 Local Program, Local Infrastructure Program, Buildings and Other Structures, Multipurpose/ Facilities, Construction of Multi-Purpose Building with facilities at Brgy. Plaridel, Lipa City, Bat</t>
  </si>
  <si>
    <t>PROCUREMENT OF VARIOUS SPARE PARTS</t>
  </si>
  <si>
    <t>REQUEST FOR A QUOTATION - PURCHASE OF MEDICINE SUPPLIES OF RHU II</t>
  </si>
  <si>
    <t>Procurement of Internet Service Subscription for CSC RO VI Regional and Field Offices</t>
  </si>
  <si>
    <t>SUPPLY AND DELIVERY OF SPINE BOARD AT DUMAGUETE AIRPORT</t>
  </si>
  <si>
    <t>B20200222 - IMPROVEMENT OF POTABLE WATER SYSTEM AT BRGY. MAGSAYSAY, CARMEN, DDN</t>
  </si>
  <si>
    <t>widening of barangay road- sitio parang</t>
  </si>
  <si>
    <t>EXPANSION PROJECTS AT BGRY. LINGLINGAY, LENZON &amp; FURAO, DRILLING OF 3 UNITS WATER SOURCE AT BRGY. GUIBANG &amp; DISTRICT III (STA. ROSA) FOR GAMU WATER DISTRICT</t>
  </si>
  <si>
    <t>diesel</t>
  </si>
  <si>
    <t>Trophy 20'	 &amp; etc. For use at the Vice-Governor's Office (N-406-2020)</t>
  </si>
  <si>
    <t>PROCUREMENT OF (1) UNIT SMART TV, ONE (1) UNIT VOICE RECORDER AND ONE (1) PROJECTOR FOR THE USE OF TOURISM OFFICE, TIGBAUAN, ILOILO.</t>
  </si>
  <si>
    <t>Supply and Delivering of School Supplies</t>
  </si>
  <si>
    <t>Purchase and delivery of 3000 bott. of alcohol to be distributed to frontliners of the City of Calapan</t>
  </si>
  <si>
    <t>Rebidding of Drugs and Medicines,  IB No. SB-2020-013</t>
  </si>
  <si>
    <t>PURCHASE OF RADIO BASE-COMMUNICATION AND INSTALLATION FEE FOR THE USE OF MDRRMOP-CAUAYAN, NEGROS OCCIDENTAL</t>
  </si>
  <si>
    <t>RFQ # 20-096      SUPPLY &amp; DELIVERY OF OFFICE SUPPLIES (TONER)- BAC OFFICE</t>
  </si>
  <si>
    <t>Supply and Delivery of Goods for Integrated Community Food Production</t>
  </si>
  <si>
    <t>Labor &amp; Materials for the Establishment of Seaweed Nursery including Seaweed Farm Implements (SFI) &amp; Seaweed Seedlings/Propagules (Kappaphycus alvarezii)</t>
  </si>
  <si>
    <t>Construction of Operation Center Building (MDRRMO)</t>
  </si>
  <si>
    <t>20DD0364 Local Program, Local Infrastructure Program, Local Roads and Bridges, Local Bridges, Construction of Pedestrian Overpass at Tambo Elementary School, Brgy. Tambo, Lipa City, Batangas</t>
  </si>
  <si>
    <t>Palyaw Labor (Concreting of Flood Control @ Evacuation Center)</t>
  </si>
  <si>
    <t>Supply and Delivery of Construction Materials and Supplies</t>
  </si>
  <si>
    <t>20DD0362 Local Program, Construction/ Repair/ Rehabilitation/ Improvement of Various Infrastructure Including Local Projects, Buildings and Other Structures, Multipurpose/ Facilities, Rehabilitation/I</t>
  </si>
  <si>
    <t>Supply and Delivery of Self-Learning Kits Reproduction Machines</t>
  </si>
  <si>
    <t>PDRRMO-NC-2020-0307 PR2020-0426 REQUEST FOR QUOTATION FOR THE PROCUREMENT OF ENGINE OIL, TIRES, CAR FRESHENERS, AND VARIOUS VEHICLE SPARE PARTS</t>
  </si>
  <si>
    <t>Catering Services for the 2020 Census of Population and Housing (2020 CPH) Fourth Level Training in Governor Generoso, Davao Oriental on 10-15 August 2020</t>
  </si>
  <si>
    <t>REI and TOR for CONTRACT ID NO. 19CSC008   Procurement of Consulting Services for the Master Plan, Feasibility Study of Aguang River Basin for Flood Control and River Improvement</t>
  </si>
  <si>
    <t>20DD0363 Local Program, Local Infrastructure Program, Local Roads and Bridges, Local Bridges, Construction/Improvement of Bridge at Brgy. Pangao, Lipa City, Batangas</t>
  </si>
  <si>
    <t>Negros Oriental Organic Agriculture management Center (NOOAMC)	(N-405-2020)</t>
  </si>
  <si>
    <t>CORN SHELLER</t>
  </si>
  <si>
    <t>PROVISION OF DOMESTIC FORWARDING/FREIGHT SERVICES FOR THE SENDING OF POUCHES FROM PAG-IBIG FUND MEMBER SERVICES OPERATIONS (MSO) NCR NORTH OFFICES TO PAG-IBIG FUND OFFICES</t>
  </si>
  <si>
    <t>for Blended - learning and Video Conferencing for CSU Carig Administration, faculty and students.</t>
  </si>
  <si>
    <t>Installation of Street Light from Crossing Victoria – Purisima Road section w/ center Island</t>
  </si>
  <si>
    <t>Consultancy Services for Regional Strategic Investment Plan (RSIP) Preparation for Rural Agro-Enterprise Partnership and Inclusive Development (RAPID) Growth Project</t>
  </si>
  <si>
    <t>Supply of Office Equipment to be Used in the Conduct of training/Siminars/Workshop in SRIP Areas &amp; RO</t>
  </si>
  <si>
    <t>SUPPLY &amp; DELIVERY OF FUEL REQUIREMENTS FOR MAYOR'S OFFICE, MENRO, POLICE AND MDRRMO AT SAN JOSE, TARLAC</t>
  </si>
  <si>
    <t>Supply and Delivery of Anti Rabies Vaccine</t>
  </si>
  <si>
    <t>Procurement of Various Semi-Expendables</t>
  </si>
  <si>
    <t>Procurement of Computer Printer for TCC</t>
  </si>
  <si>
    <t>SUPPLY &amp; DELIVERY OF CELL CARDS USE FOR MUNICIPAL OFFICIALS FOR THE 2ND QUARTER 2020 - SANGGUNIANG BAYAN OFFICE</t>
  </si>
  <si>
    <t>Supply, Delivery and Installation of Equipment for the Bioactive Extracts Project – Dual Channel Flash Chromatograph</t>
  </si>
  <si>
    <t>SUPPLY &amp; DELIVERY OF OFFICE SUPPLIES</t>
  </si>
  <si>
    <t>20DD0366 Local Program, Construction/ Repair/ Rehabilitation/ Improvement of Various Infrastructure Including Local Projects, Local Roads and Bridges, Local Bridges, Construction of Pedestrian Overpas</t>
  </si>
  <si>
    <t>RFQ-Materials for the Fabrication of Conference Table in Salcedo II District</t>
  </si>
  <si>
    <t>20FO0103 - Concreting of Caratagan FMR, Brgy. Caratagan, Pioduran, Albay</t>
  </si>
  <si>
    <t>Catering Services for the 2020 Census of Population and Housing (2020 CPH) Fourth Level Training in Mati, Davao Oriental on 10-15 August 2020</t>
  </si>
  <si>
    <t>AMP SVP-D NO: 20-06-0365 Sound System (Supply and Installation)</t>
  </si>
  <si>
    <t>dressed chicken</t>
  </si>
  <si>
    <t>RFQ # 20-097      SUPPLY &amp; DELIVERY OF OFFICE SUPPLIES- BAC OFFICE</t>
  </si>
  <si>
    <t>SUPPLY AND DELIVERY OF SOLID WASTE MANAGEMENT EQUIPMENT/MACHINERY FOR THE OPERATION OF MATERIAL RECOVERY FACILITY (MRF) IN BGY. POBLACION,  THIS MUNICIPALITY /2020-006.</t>
  </si>
  <si>
    <t>to Furnish labor and materials For Flusing and repair of Deep well for Dialysis water Tank (N-401-2020)</t>
  </si>
  <si>
    <t>AVRC-2020-04-0149 : CATERING SERVICE DURING THE QUARTERLY STAFF MEETING OF AVRC III FOR CY 2020.</t>
  </si>
  <si>
    <t>Repair of CIU Office at DSWD FO XI</t>
  </si>
  <si>
    <t>SUPPLY AND DELIVERY OF CONSTRUCTION MATERIALS FOR THE CONSTRUCTION OF BAHAY SILANGAN</t>
  </si>
  <si>
    <t>20DD0365 Local Program, Construction/ Repair/ Rehabilitation/ Improvement of Various Infrastructure Including Local Projects, Local Roads and Bridges, Local Bridges, Construction of Pedestrian Overpas</t>
  </si>
  <si>
    <t>REQUEST FOR QUOTATION (RFQ)  PROCUREMENT FOR  GLASS FIBER FILTER  TAPE RFQ No.040 -2020</t>
  </si>
  <si>
    <t>Purchase of Smart Led TV for Office use for Video Teleconferencing for Conferences, E-Learning Sessions &amp; Virtual Meetings</t>
  </si>
  <si>
    <t>ITB - Supply and Delivery of Various Office Equipment for NEAP ELC Extension Building</t>
  </si>
  <si>
    <t>Procurement and Delivery of Meals, Venue and Accommodation  for the 2020 Census of Population and Housing (CPH)  Third Level Training – PSA Cavite</t>
  </si>
  <si>
    <t>Purchase of Electrical Materials and Supplies for use in Street Lighting Installation, Purok Lagaw (SUGA KONTRA KRIMEN),  Brgy. Guinhalaran, Silay City.</t>
  </si>
  <si>
    <t>SUPPLY AND DELIVERY OF HARDWARE MATERIALS</t>
  </si>
  <si>
    <t>SUPPLY AND DELIVERY OF VARIOUS INSECTICIDES</t>
  </si>
  <si>
    <t>For Fabrication and Installation of Cement Briscks, Barrientos Street, @ Poblacion Uno, Malabuyoc, cebu</t>
  </si>
  <si>
    <t>Construction of River Protection-Barangay Magsino</t>
  </si>
  <si>
    <t>6,000 ltrs Diesel Fuel for delivery meat van and boiler/CEED/Slaughterhouse operation</t>
  </si>
  <si>
    <t>USED FOR USAD PROJECTS</t>
  </si>
  <si>
    <t>Procurement of two (2) units weighing scale for the operation of Municipal Slaughterhouse</t>
  </si>
  <si>
    <t>Purchase of Office Equipment for MPDO @ Samal, Bataan</t>
  </si>
  <si>
    <t>20KD0065: Fabrication and Installation of Road Right-of-Way Markers along National Roads</t>
  </si>
  <si>
    <t>B20200229 - FURNITURES AND FIXTURES FOR DDNH-KAPALONG ZONE</t>
  </si>
  <si>
    <t>Airconditioning Unit (ACU), 2Hp/230VAC, Window Type Inverter for CALAYAN DPP</t>
  </si>
  <si>
    <t>Haven-2020-07; LPG</t>
  </si>
  <si>
    <t>PR/RFQ NO.: 2020-06-0043-02 - Supply and Delivery of Medical Supplies for the 2nd Quarter of CY 2020</t>
  </si>
  <si>
    <t>Procurement Materials for the Rehabilitation of Barangay Plaza</t>
  </si>
  <si>
    <t>Procurement of Supplies for TUPAD</t>
  </si>
  <si>
    <t>Supply and Delivery of DRRM equipment , Early Warning System and Communication Equipment</t>
  </si>
  <si>
    <t>2020-06-115 (Procurement of Calibration and Preventive Maintenance of Various Laboratory Equipment)</t>
  </si>
  <si>
    <t>OFFICE SUPPLIES AND DEVICES</t>
  </si>
  <si>
    <t>Alcohol, 70% ethyl, 500 ml &amp; etc. for 	Negros Oriental Organic Agriculture management Center (NOOAMC)	 (S-191-2020)</t>
  </si>
  <si>
    <t>Purchase of Office Supplies</t>
  </si>
  <si>
    <t>20AH0217	Concreting of Brgy. Oraan East FMR, Brgy. Oraan East, Manaoag, Pangasinan</t>
  </si>
  <si>
    <t>RFQ:  MEAL BOX, 3 DIVISIONS,  SPORK AND  BOTTLED WATER, 500ML</t>
  </si>
  <si>
    <t>Rehabilitation of Paulin Road</t>
  </si>
  <si>
    <t>PR NO. 20-03-153 (2020-04-160 3RD QUOTE) PROCUREMENT OF ULTRASONIC BULK WATER METER</t>
  </si>
  <si>
    <t>Procurement for One (1) Lot Geo-Resistivity Study of Three (3) Areas for Development of New Source in the Central and East Section - PR 2020-06-047</t>
  </si>
  <si>
    <t>ITB - Construction of NEAP Communal Comfort Room</t>
  </si>
  <si>
    <t>20DD0367 Local Program, Local Infrastructure Program, Local Roads and Bridges, Local Bridges, Improvement of Bridge at Brgy. Pinagkawitan, Lipa City, Batangas</t>
  </si>
  <si>
    <t>Purchase of Commercial Rice for Barangay Constituents COVID-19</t>
  </si>
  <si>
    <t>OFFICE EQUIPMENT (LDRMMO)</t>
  </si>
  <si>
    <t>SURVEY OF DIVERSION ROAD</t>
  </si>
  <si>
    <t>Purchase of Veterinary  supplies and medicines for the Municipal Agriculture Office Utilization</t>
  </si>
  <si>
    <t>FIBER ANALYZER</t>
  </si>
  <si>
    <t>Supply and Delivery of One (1) lot Computer Hardware with Read-out Panel to Support Geophysical Instrument and Data</t>
  </si>
  <si>
    <t>PROCUREMENT AND DELIVERY OF MATERIALS FOR THE IMPROVEMENT OF COVERED PATHWALK AND REPAIR OF CONCRETE PATHWALK AT BAYUIN NHS.</t>
  </si>
  <si>
    <t>Procurement of Laboratory Supplies for the Use of Rural Health Unit, Tagudin, Ilocos Sur</t>
  </si>
  <si>
    <t>keyboard,uSB	 &amp; etc. for Bac-Secretariat Office			 (S-197-2020)</t>
  </si>
  <si>
    <t>RFQ No. 2020-06-027; PR No. 2020-06-060: PROCUREMENT OF ONE (1) JOB ORDER: LABOR AND MATERIALS, FOR THE REPAIR/MAINTENANCE OF CENTRAL RECORDS BUILDING LOCATED AT MOTORPOOL AREA, DPWH R.O. XI COMPOUND,</t>
  </si>
  <si>
    <t>GO-NC-2020-0306 PR2020-0425 REQUEST FOR QUOTATION FOR THE PROCUREMENT OF ATF OIL, ENGINE OIL, GEAR OIL, EPOXY, ELECTRICAL TAPE, AND VARIOUS VEHICLE SPARE PARTS</t>
  </si>
  <si>
    <t>Improvement of Public Cemetery (Veterans), Brgy. Bayanihan, Dolores, Quezon</t>
  </si>
  <si>
    <t>DRIP IRRIGATION</t>
  </si>
  <si>
    <t>Supplies and Materials  for ORGANIC AGRICULTURE PRODUCTION NC II</t>
  </si>
  <si>
    <t>MEDICAL SUPPLIES</t>
  </si>
  <si>
    <t>Catering Services for the 2020 Census of Population and Housing (2020 CPH) Fourth Level Training in Manay, Davao Oriental on 17-22 August 2020</t>
  </si>
  <si>
    <t>20GCH0009: Purchase of Three (3) Units of Printer, Cartriges &amp; Battery for use in DPWH-Pampanga 2nd DEO, Guagua, Pampanga</t>
  </si>
  <si>
    <t>Catering Services for the 2020 Census of Population and Housing (2020 CPH) Fourth Level Training in Tarragona, Davao Oriental on 17-22 August 2020</t>
  </si>
  <si>
    <t>Procurement of Communication Equipment for Various Offices</t>
  </si>
  <si>
    <t>500 BKLT TRAFFIC CITATION TICKET</t>
  </si>
  <si>
    <t>20DD0368 Local Program, Local Infrastructure Program, Local Roads and Bridges, Local Bridges, Improvement of Bridge at Brgy. Antipolo del Sur, Lipa City, Batangas</t>
  </si>
  <si>
    <t>VLD-LSD 2020-06-084 - Preventive Maintenance and Calibration</t>
  </si>
  <si>
    <t>LPG</t>
  </si>
  <si>
    <t>INFORMATION COMMUNICATION TECHNOLOGY EQUIPMENT-96,000.00</t>
  </si>
  <si>
    <t>Procurement of IT Equipment</t>
  </si>
  <si>
    <t>Procurement of One (1) Unit BRAND NEW 4x4 SUV Vehicle for the Use of the Provincial Government of Davao Oriental</t>
  </si>
  <si>
    <t>Repair of damaged Infrastructure (Water Treatment Transmission Lines at Brgy. Kidalos)</t>
  </si>
  <si>
    <t>Supply and Delivery of Electrical Supplies</t>
  </si>
  <si>
    <t>Procurement of 15KVA Generator Set for Administration Building at OMSC Labangan</t>
  </si>
  <si>
    <t>Supply &amp; Delivery of  varoius materials use for the installation of Jetmatic Pumps and Street Lights  at Moriones and other barangays of San Jose, Tarlac</t>
  </si>
  <si>
    <t>Small Value Procurement for the Supply and Delivery of office Supplies.</t>
  </si>
  <si>
    <t>Supply and Delivery of Other Supplies (Mayor's Office)</t>
  </si>
  <si>
    <t>Procurement of Farm Machineries and Equipment for Major Crop Based Block Farm Productivity for DAR in Negros Oriental (North) Rebidding for Lots No.2 &amp; 3</t>
  </si>
  <si>
    <t>AVRC : CATERING SERVICE FOR THE PROVISION  OF FOODS AND ESSENTIALS ITEMS TO PWDs UNDERGOING 14 DAYS QUARANTINE.</t>
  </si>
  <si>
    <t>Purchase of Drugs and Medicines 2020-06-0230</t>
  </si>
  <si>
    <t>Supply and Delivery of Office Supplies, Laptop and IT Peripherals</t>
  </si>
  <si>
    <t>Provision of daily meals to Laguna Police Provincial Office (LPPO) in the campaign against Covid-19 Crisis</t>
  </si>
  <si>
    <t>fuel</t>
  </si>
  <si>
    <t>PURCHASE OF SPARE PARTS FOR THE REPAIR/MAINTENANCE OF DIFFERENT HEAVY EQUIPMENTS, MUNICIPALITY OF CAUAYAN, NEGROS OCCIDENTAL</t>
  </si>
  <si>
    <t>Purchase of Office Equipment for MDRRM Office @ Samal, Bataan</t>
  </si>
  <si>
    <t>B20200223 - CONST. OF MULTI-PURPOSE/EVACUATION CENTER PHASE 1 AT DUTERTE ST. POBLACION, NEW CORELLA</t>
  </si>
  <si>
    <t>Supply, Delivery and Commissioning of Generator Sets and Automatic Transfer Switch for PS No. 9 and No 9A</t>
  </si>
  <si>
    <t>Procurement and Delivery of Meals, Venue and Accommodation  for the 2020 Census of Population and Housing (CPH)  Third Level Training – PSA Quezon</t>
  </si>
  <si>
    <t>CASSAVA GRANULATOR</t>
  </si>
  <si>
    <t>Supply and delivery of various office supplies to be used in the HR Management Section for CY 2020; with an ABC of P192,500.00; PR No. 267-6-22-2020</t>
  </si>
  <si>
    <t>Supply and Delivery of Fuel, Oil and Lubricants</t>
  </si>
  <si>
    <t>Palyaw Labor (Repair of damaged Insfrastructure-Water Treatment Transmission Lines @ Brgy. Kidalos))</t>
  </si>
  <si>
    <t>Procurement of NAAT – LAMP Reagents and Consumables, IB No. SB-2020-022</t>
  </si>
  <si>
    <t>Procurement of Furniture at MDRRM Office</t>
  </si>
  <si>
    <t>(SP) REQUEST FOR QUOTATION (RFQ)  For the Procurement 1,429 pax Meals &amp; Snacks, etc. For the Sangguniang Panlalawigan – Office of the Vice Governor--285,800,.00</t>
  </si>
  <si>
    <t>Materials for the rehabilitation/improvement of City Health Office, Old City Hall Building</t>
  </si>
  <si>
    <t>PHO-NC-2020-121 REQUEST FOR QUOTATION FOR THE PROCUREMENT OF LAPTOPS, DESKTOP COMPUTERS, EXTERNAL HARD DRIVE, PRINTER, UPS, HANDHELD RADIO, HANDHELD BARCODE READER KIT, AND DSLR CAMERA WITH LENS</t>
  </si>
  <si>
    <t>Catering Services for the 2020 Census of Population and Housing (2020 CPH) Fourth Level Training in Baganga, Davao Oriental on 17-22 August 2020</t>
  </si>
  <si>
    <t>PR NO. 1481 Office Supplies</t>
  </si>
  <si>
    <t>GO-NC-2020-0328 REQUEST FOR QUOTATION FOR THE PROCUREMENT OF FUEL (DIESEL)</t>
  </si>
  <si>
    <t>2020-05-0028-JHS - procurement of equipment and materials for the implementation of E-Enroll Project</t>
  </si>
  <si>
    <t>Completion of Barangay Health Station @ Barangay Tolosa, Malabuyoc, Cebu</t>
  </si>
  <si>
    <t>EPSON PRINTER</t>
  </si>
  <si>
    <t>Consultancy Services of a Physician for the medical needs of employees for a period of 7 months</t>
  </si>
  <si>
    <t>Catering Services for the 2020 Census of Population and Housing (2020 CPH) Fourth Level Training in Caraga, Davao Oriental on 17-22 August 2020</t>
  </si>
  <si>
    <t>Consultant on Tourism Promotional Activities</t>
  </si>
  <si>
    <t>Purchase of various Agricultural Materials and Equipment for the Pre Post Harvest Facilities of the City Agriculture Office</t>
  </si>
  <si>
    <t>PEO-NC-2020-0329 REQUEST FOR QUOTATION FOR THE PROCUREMENT OF AGGREGATE SUBBASE COURSE (ANAPOG)</t>
  </si>
  <si>
    <t>Purchase of spareparts for the repair and maintenance of Dumptruck 7- SFK973</t>
  </si>
  <si>
    <t>CATERING SERVICES FOR RESPONSE OPERATION – 2ND BIDDING</t>
  </si>
  <si>
    <t>B20200224 - REHAB. OF STA. FELOMINA-SAN ROQUE PROVINCIAL ROAD AT THE MUNICIPALITY OF ASUNCION-NEW CORELLA, DDN</t>
  </si>
  <si>
    <t>Purchase of Aggregate Base Course to be used in the Repair and Maintenance of Unpaved Shoulder (resurfacing) along various  Rizal Bdry.-Famy-Quezon Bdry. Road, K0089 + 500 to K0092 + 377 (Intermittent</t>
  </si>
  <si>
    <t xml:space="preserve">P.R. No. 20-05-009 REQUEST FOR QUOTATION FOR THE SUPPLY/DELIVERY OF REFLECTORIZED TRAFFIC PAINTS WHITE &amp; YELLOW, DPWH SPECS FOR USE IN THE REPAINTING OF BRIDGES AND ROAD SAFETY DEVICES ALONG NATIONAL </t>
  </si>
  <si>
    <t>LEASE-TO-OWN OF VARIOUS EQUIPMENT FOR CMGP PROGRAM ADMINISTRATIVE AND OPERATIONS SUPPORT (COMMUNICATION EQUIPMENT)</t>
  </si>
  <si>
    <t>Purchase of worm gear assembly for the repair and maintenance of Grader #1</t>
  </si>
  <si>
    <t>Repair and Rehabilitation of Infrastructure Facilities and other Related Activities-Routine Maintenance of National Roads and Bridges-Tertiary Roads along Mabinay-Ayungon Rd. K0131+422 – K0131+494 (LS</t>
  </si>
  <si>
    <t>Consultant on Administrative Matters</t>
  </si>
  <si>
    <t>Supply and Delivery of Agricultural Products</t>
  </si>
  <si>
    <t>1. IT Equipment/CWMO 2. Speaker &amp; Power Amplifier/LSB</t>
  </si>
  <si>
    <t>Procurement of Various Training/ Office Supplies for LRO</t>
  </si>
  <si>
    <t>Procurement of Chairs for BatStateU Lipa Campus</t>
  </si>
  <si>
    <t>Supply and Delivery of Projector</t>
  </si>
  <si>
    <t>INFRA2020-AG6-008 A6 Construction of Concrete Barrier Below Access Road Area, Agus 6/7 HEPC, Fuentes, Maria Cristina, Iligan City</t>
  </si>
  <si>
    <t>Purchase of Food Stuff and Supplies for Barangay Constituents COVID-19</t>
  </si>
  <si>
    <t>Additional materials for the rehab of Gabaldon Building OMHS</t>
  </si>
  <si>
    <t>20DD0370 Local Program, Local Infrastructure Program, Flood Control and Drainage, Drainage / Protection Works, Construction/ Rehabilitation/ Improvement of Drainage System at Brgy. Quezon, Lipa City,</t>
  </si>
  <si>
    <t>Catering Services for the 2020 Census of Population and Housing (2020 CPH) Fourth Level Training in Cateel, Davao Oriental on 17-22 August 2020</t>
  </si>
  <si>
    <t>PURCHASED OF MEDICINE</t>
  </si>
  <si>
    <t>20CG0158 - Local Infrastructure Program: Multipurpose/ Facilities – Rehabilitation of Multi-Purpose Building, San Pedro High School, San Simon, Pampanga</t>
  </si>
  <si>
    <t>SIGN PENS PR 0195</t>
  </si>
  <si>
    <t>Re-bidding of Lot 1: Supply, Delivery and Installation of Garments Technology Equipment for CTE Extension Program (PR No. 2020-02-0281) Lot 2: Supply and Delivery of Laboratory Supplies for Garments T</t>
  </si>
  <si>
    <t>Purchase and Delivery of Cell Cards for the Month of July to December 2020</t>
  </si>
  <si>
    <t>20DD0373 Local Program, Local Infrastructure Program, Flood Control and Drainage, Flood Control Structures / Facilities, Construction of Box Culvert at Villa Sa Riles, Brgy. Banay- Banay, Lipa City, B</t>
  </si>
  <si>
    <t>ICT Building Storage Area/Computer Tables and Chairs</t>
  </si>
  <si>
    <t>RFQ-2020-06-0028-FOR USE IN THE APPLICATION OF REFLECTORIZED THERMOPLASTIC PAVEMENT MARKINGS, ALONG ALL ROAD SECTION</t>
  </si>
  <si>
    <t>Consultant on Clinical Pathology</t>
  </si>
  <si>
    <t>74755_Supply &amp; Delivery of Oil and Lubricants</t>
  </si>
  <si>
    <t>Purchase of office supplies-LCR, San Fabian, Pangasinan</t>
  </si>
  <si>
    <t>Mats. for the rehabilitation of Comelec Office</t>
  </si>
  <si>
    <t>CLUSTER DF-01 (Completion, Improvement &amp; Rehabilitation of various Buildings)- Sinait, Ilocos Sur</t>
  </si>
  <si>
    <t>Supply and Delivery of Office Equipment  - ITB 042-2020  GQ</t>
  </si>
  <si>
    <t>Purchase of Uniform for CENRO Personnel - CENRO</t>
  </si>
  <si>
    <t>Procurement of Various Office Furniture</t>
  </si>
  <si>
    <t>To purchase and Deliver Agricultural Farm input</t>
  </si>
  <si>
    <t>Consultant on Legal Matters</t>
  </si>
  <si>
    <t>Completion of Barangay Health Station @ Barangay Salmeron, Malabuyoc, Cebu</t>
  </si>
  <si>
    <t>20NI0077 - Construction of Multi-Purpose Building Purok 7A, Mangagoy, Bislig City, Surigao del Sur</t>
  </si>
  <si>
    <t>20DD0374 Local Program, Local Infrastructure Program, Buildings and Other Structures, Multipurpose/ Facilities, Construction of Multi-Purpose Building at Brgy. Bolbok, Lipa City, Batangas</t>
  </si>
  <si>
    <t>For Repair and Maintenance of Valencia Waterworks System</t>
  </si>
  <si>
    <t>IT Common Supplies for the 1st &amp; 2nd Quarter (Admin Common)</t>
  </si>
  <si>
    <t>20DD0371 Local Program, Local Infrastructure Program, Buildings and Other Structures, Multipurpose/ Facilities, Completion of Multi-Purpose Building at Brgy. San Benito, Lipa City, Batangas</t>
  </si>
  <si>
    <t>Lot1-Purchase of Office &amp; IT Equipment for various offices of LGU-Baggao</t>
  </si>
  <si>
    <t>20DD0376 Repair/Rehabilitation of Damaged PCCP (Intermittent Sections) along Lipa-Rosario Road and Batangas- Quezon Road</t>
  </si>
  <si>
    <t>Materials for the construction of motorpool</t>
  </si>
  <si>
    <t>20CG0160 - Local Infrastructure Program: Multi-Purpose Building/ Facilities – Rehabilitation of Multi-Purpose Building, San Isidro, Sta. Ana, Pampanga</t>
  </si>
  <si>
    <t>Repair and Maintenance of River Control along Sta. Cruz River, Brgy. Sto. Angel Sur, Sta. Cruz, Laguna</t>
  </si>
  <si>
    <t>Supply &amp; Delivery of Medicines</t>
  </si>
  <si>
    <t>Materials for Rehabilitation and Repair of Home Economics Building-NNCHS</t>
  </si>
  <si>
    <t>PROCUREMENT OF MEALS AND SNACKS</t>
  </si>
  <si>
    <t>20DD0372 Local Program, Local Infrastructure Program, Buildings and Other Structures, Multipurpose/ Facilities, Construction of School Gym at Anangi Elementary School, Brgy. Malitlit, Lipa City, Batan</t>
  </si>
  <si>
    <t>Printing of Various COVID-19 IEC Materials (PR Nos. 20-06-152/157/158)</t>
  </si>
  <si>
    <t>JOB ORDER FOR MTOP FORMS</t>
  </si>
  <si>
    <t>SUPPLY AND DELIVERY OF 2 UNITS BRAND NEW THERMAL PRINTER  FOR Pag-IBIG FUND, CAUAYAN BRANCH</t>
  </si>
  <si>
    <t>Supply and Delivery of 2 Units Stand Fan</t>
  </si>
  <si>
    <t>ink</t>
  </si>
  <si>
    <t>GROCERY ITEMS (JULY - DECEMBER CY 2020 USAGE)</t>
  </si>
  <si>
    <t>OPA-NC-2020-0340 REQUEST FOR QUOTATION FOR THE PROCUREMENT OF HYBRID RICE SEEDS (NSIC Rc 124H VARITY)</t>
  </si>
  <si>
    <t>Purchase of Various sports uniforms to be given to different department in the Local Government Unit (LGU), City of Talisay</t>
  </si>
  <si>
    <t>PURCHASE OF LAPTOP AND EXTERNAL HDD</t>
  </si>
  <si>
    <t>Repair of Public Market Roofing @ Barangay Poblacion Uno, Malabuyoc, Cebu</t>
  </si>
  <si>
    <t>20CG0161 - Local Infrastructure Program: Multipurpose/ Facilities – Improvement of Masantol Civic Center Multi-Purpose Building, Kalsadang Bayu, San Nicolas, Masantol, Pampanga</t>
  </si>
  <si>
    <t>OPA-RASS-NC-2020-0339 REQUEST FOR QUOTATION FOR THE PROCUREMENT OF DRIP IRRIGATION SYSTEM, GASOLINE WATER PUMP, PE SILVER &amp; BLACK MULCHING FILMS</t>
  </si>
  <si>
    <t>Catering Services in the Conduct of Social Development Unit Meeting under Kalahi-CIDSS</t>
  </si>
  <si>
    <t>LAPTOP COMPUTERS PR 0203</t>
  </si>
  <si>
    <t>Supply and delivery of various office supplies to be used at Budget Section with PR # 160-6-11-2020 and ABC of Php85,040.00</t>
  </si>
  <si>
    <t>ESTABLISHMENT OF LIVELIHOOD PROJECT (POULTRY LAYER PRODUCTION) PHASE 2</t>
  </si>
  <si>
    <t>RENTAL/LEASE of MOTOR SERVICE VEHICLE (July 1-10, 2020)</t>
  </si>
  <si>
    <t>phone</t>
  </si>
  <si>
    <t>Supply and Delivery of Photocopier for Accounting Office</t>
  </si>
  <si>
    <t>INSTALLATION OF CCTV</t>
  </si>
  <si>
    <t>Purchase and delivery of 4 units laptop to be used at the City College of Calapan</t>
  </si>
  <si>
    <t>RFQ Teflon Pump Diaphragm 20-06-021-EM</t>
  </si>
  <si>
    <t>Supply of Health Maintenance Services for 2020-2021</t>
  </si>
  <si>
    <t>SEEDLINGS TO BE USED FOR TREE GROWING ON JUNE 29, 2020</t>
  </si>
  <si>
    <t>Procurement of Drugs Medicines for Botika ng Bayan IB No. SB-2020-024</t>
  </si>
  <si>
    <t>20NI0079 - Package 21 - Repair/Maintenance of DPWH Building Property &amp; Storage Building Poblacion, Bislig City, Surigao del Sur - Repair/Maintenance of DPWH Building DITSO Building Poblacion, Bislig C</t>
  </si>
  <si>
    <t>SUPPLY AND DELIVERY OF OFFICE SUPPLY AT SILAY NORTH ELEMENTARY SCHOOL (FREE DELIVERY)</t>
  </si>
  <si>
    <t>1. Office Supplies/OCSWD 2.Other Supplies/BFP 3. Office Supplies &amp; other supplies/CEEMO</t>
  </si>
  <si>
    <t>S2-CAM20-004 - Supply and Delivery of Mechanical Spare Parts for 500kW MAN B&amp;W Diesel Engine Model: 8L 20/27 of Camotes DPP</t>
  </si>
  <si>
    <t>Supply and delivery of Siren with microphone public address</t>
  </si>
  <si>
    <t>20CG0162 - Local Infrastructure Program: Multi-Purpose/ Facilities – Construction of Multi-Purpose Building, Bulacus, Masantol, Pampanga</t>
  </si>
  <si>
    <t>Concreting of Divinan (Phase 1) FMR</t>
  </si>
  <si>
    <t>Purchase of Supplies for the Repair and Maintenance of Provincial Engineer's Office and Compound</t>
  </si>
  <si>
    <t>Supply and delivery of IT Equipment for Mun. Engineer's Office use.</t>
  </si>
  <si>
    <t>Agricultural Products for Enhancement of Palayamanan Plus Project</t>
  </si>
  <si>
    <t>RFQ Digital Electrician Multimeter &amp; Insulation Tester 20-03-10-EM</t>
  </si>
  <si>
    <t>Purchase of Construction Materials and Supplies for SBM Office</t>
  </si>
  <si>
    <t>hardware materials</t>
  </si>
  <si>
    <t>Supply and Delivery of Construction Materials</t>
  </si>
  <si>
    <t>Supply and Delivery of Cleaning Supplies Tools and Materials for the Division Office</t>
  </si>
  <si>
    <t>20NI0080 - Repair/Maintenance of DPWH Building Res. Sub Area Building, Poblacion, Bislig City, Surigao del Sur</t>
  </si>
  <si>
    <t>Quotation No.20-06-357 = PROCUREMENT OF COMMON OFFICE SUPPLIES (RESU)</t>
  </si>
  <si>
    <t>IV STAND</t>
  </si>
  <si>
    <t>Provision of Catering Services for 3-Day Division Training Workshop on Basic Computer Literacy for all Non-Computer Literate School Heads and Teachers</t>
  </si>
  <si>
    <t>MARINE, AQUACULTURE &amp; OTHER RELATIVE SUPPLIES FOR USE IN SUPPORT TO THE FISHERIES PROGRAM OF THE CITY</t>
  </si>
  <si>
    <t>JOB ORDER FOR BUSINESS FORM</t>
  </si>
  <si>
    <t>(20LF0145)Maylaya IS Bldg. 1 One (1) Storey Two (2) Classroom with Toilet at Each Classroom, Cateel, Davao Oriental</t>
  </si>
  <si>
    <t>SVP FOR THE SUPPLY AND DELIVERY OF 5-UNITS AIRCONDITIONING UNITS</t>
  </si>
  <si>
    <t>SUPPLY AND DELIVERY OF ONE (1) UNIT SERVICE AMBULANCE</t>
  </si>
  <si>
    <t>Supply &amp; Delivery of Medical Equipment for Neuro-Spine Surgery Use</t>
  </si>
  <si>
    <t>PR# 20-0852- Office Furnitures</t>
  </si>
  <si>
    <t>Supply and delivery of equipment for cacao (tablea) processing</t>
  </si>
  <si>
    <t>Motor Vehicles under Philippine Coast Guard - Shoreline and Patrol Control 1st quarter under PR#2020-01-0573</t>
  </si>
  <si>
    <t>PR# 20-0661- Roller Shades and Roll Up Shades Blinds</t>
  </si>
  <si>
    <t>3700 pc PARTICULATE RESPIRATOR &amp; SURGICAL MASK N-95</t>
  </si>
  <si>
    <t>Rehabilitation of Sea Ambulance</t>
  </si>
  <si>
    <t>SCHOOL SUPPLIES FOR MINOR REPAIR OF TAGBONGABONG ELEMENTARY SCHOOL</t>
  </si>
  <si>
    <t>Quotation No.20-06-356 = PROCUREMENT OF COMMON OFFICE SUPPLIES (RLED)</t>
  </si>
  <si>
    <t>Supply and delivery of Communication Equipment GPS, WIFI with labor and installation services.</t>
  </si>
  <si>
    <t>Supplies and Materials for Repair and Maintenance of University Vehicles</t>
  </si>
  <si>
    <t>Publication of City Ordinance No. 164, 165, &amp; 166 S. 2020, this city</t>
  </si>
  <si>
    <t>Availment of Termite Control Services</t>
  </si>
  <si>
    <t>PHO-NC-2020-111 PR2020-158 REQUEST FOR QUOTATION FOR THE PROCUREMENT OF FILING RACK, FILING CABINET, MONOBLOC CHAIRS, AND STEEL CABINET</t>
  </si>
  <si>
    <t>Procurement of Uninterruptible power supply</t>
  </si>
  <si>
    <t>Consultant on Education</t>
  </si>
  <si>
    <t>PROCUREMENT OF TIRES (FOR D1 I206)</t>
  </si>
  <si>
    <t>PURCHASE OF MATERIALS FOR THE REHAB/IMPROVEMENT OF DRAINAGE SYSTEM AT BARANGAY TILING, CAUAYAN, NEGROS OCCIDENTAL</t>
  </si>
  <si>
    <t>SUPPLY AND DELIVERY OF CONSTRUCTION MATERIALS</t>
  </si>
  <si>
    <t>SUPPLY AND DELIVERY OF PROFICIENCY TESTING (PT)</t>
  </si>
  <si>
    <t>20DD0375 Repair/Rehabilitation of Damaged Paved National Road along Batangas-Lobo Road and Batangas-Quezon Road (Intermittent Sections)</t>
  </si>
  <si>
    <t>20NI0078 - Repair/Maintenance of DTI Building DTI Main Building, Mangagoy, Bislig City, Surigao del Sur</t>
  </si>
  <si>
    <t>RFQ for the Procurement of Flourescent and Pen Lights</t>
  </si>
  <si>
    <t>Procurement of Drugs and Medicines for Outreach Activities, IB No. SB-2020-023</t>
  </si>
  <si>
    <t>OPV-NC-2020-0327 REQUEST FOR QUOTATION FOR THE PROCUREMENT OF PLASTIC DRUMS WITH SAFE LOCK (ITEM NO.1)</t>
  </si>
  <si>
    <t>B20200225 - IMPROVEMENT OF POTABLE WATER SYSTEM PHASE II AT BRGY. TAGBITAN-AG, SAMAL DIST. IGACOS, DDN</t>
  </si>
  <si>
    <t>Procurement of Farm Machineries and Equipment or Major Crop Based Block Farm Productivity for DAR in Negros Oriental (South) - Rebidding</t>
  </si>
  <si>
    <t>Office supplies for Provincial Engineer’s Office (Maintenance Division)</t>
  </si>
  <si>
    <t>Procurement of Subdivision Survey Project for Davao Oriental, Mati City.</t>
  </si>
  <si>
    <t>Concreting of Turod Sur-Malapat-Cadaanan FMR</t>
  </si>
  <si>
    <t>Procurement of Catering Services</t>
  </si>
  <si>
    <t>OFFICE SUPPLIES 2020</t>
  </si>
  <si>
    <t>Procurement of MEDICAL SUPPLIES</t>
  </si>
  <si>
    <t>20DD0369 Local Program, Local Infrastructure Program, Local Roads and Bridges, Local Bridges, Improvement of Bridge at Brgy. Tangob, Lipa City, Batangas</t>
  </si>
  <si>
    <t>Purchase of spareparts for the repair and maintenance of Municipal Fire Truck 4HF Isuzu GIGA</t>
  </si>
  <si>
    <t>Concreting of Mabbayad - San Miguel FMR</t>
  </si>
  <si>
    <t>MOBILE LOAD</t>
  </si>
  <si>
    <t>Supply &amp; delivery of Office &amp; Janitorial Supplies for use at the Office of the Secretary to the Sanggunian for the 2nd quarter, Laoag City</t>
  </si>
  <si>
    <t>Supply and Delivery of One (1) Unit Sports Utility Vehicle (SUV) for official use of the Office of the Municipal Mayor</t>
  </si>
  <si>
    <t>SINGLE PASS RICE MILL</t>
  </si>
  <si>
    <t>General Revision of Market and Assessed Valuations of Real Properties within the Municipality ( Purchase of Office Equipment)</t>
  </si>
  <si>
    <t>Supply and Delivery of Office Furniture and Equipment for the use of PPD/NHTU Office</t>
  </si>
  <si>
    <t>NEGOTIATED PROCUREMENT (SMALL VALUE PROCUREMENT) OF SECURITY SERVICES (THREE GUARDS) FOR THE OFFICE OF THE PROFESSIONAL REGULATION COMMISSION, ILOILO REGIONAL OFFICE, ILOILO CITY RFQ-NP No. 2020-004</t>
  </si>
  <si>
    <t>74684_Supply &amp; Delivery of 1 unit Submersible Pump 24 LPS</t>
  </si>
  <si>
    <t>Construction of Line Canal, Barangay 1</t>
  </si>
  <si>
    <t>Supply and Delivery of Shirt and Streamer for Support to City Census Coordination Board of Bislig City</t>
  </si>
  <si>
    <t>RFQ-2020-06-0027-FOR USE OF MAINTENANCE SECTION</t>
  </si>
  <si>
    <t>20CG0159 - Local Infrastructure Program: Multipurpose/ Facilities – Rehabilitation of Multi-Purpose Building, Sto. Niño Elementary School, San Luis, Pampanga</t>
  </si>
  <si>
    <t>Supply and Delivery of Other Supplies (M.O/MPOC)</t>
  </si>
  <si>
    <t>Supply and Delivery of Materials for the Installation of Warning Device</t>
  </si>
  <si>
    <t>230 bags Tile Adhesive, 25kg.</t>
  </si>
  <si>
    <t>Repair and Maintenance of River Control along Sta. Cruz River, Brgy. Santisima, Sta. Cruz, Laguna</t>
  </si>
  <si>
    <t>Vehicle Repair and Maintenance of Government Vehicle (Sportivo)</t>
  </si>
  <si>
    <t>SUPPLY &amp; DELIVERY OF CARD PRINTER</t>
  </si>
  <si>
    <t>Purchase of IT Equipment, Nine (9) Units Laptop, Santa Fe, Cebu - Municipal</t>
  </si>
  <si>
    <t>SUPPLY AND DELIVERY OF FUEL (DIESEL &amp; GASOLINE) FOR THE CITY ENGINEER’S OFFICE – 2ND BIDDING</t>
  </si>
  <si>
    <t>SUPPLY &amp; INSTALLATION OF INDUSTRIAL CEILING FAN</t>
  </si>
  <si>
    <t>NP 094-20: DATA CENTER SERVICES: Network Facility Maintenance (PACU and UPS)</t>
  </si>
  <si>
    <t>Bid No. 20-0281 - PROCUREMENT OF CONSTRUCTION MATERIALS - MEO (CONSTRUCTION OF COVERED COURT - BRGY. TALIAN, MARAGUSAN, DAVAO DE ORO)</t>
  </si>
  <si>
    <t>PURCHASE OF HARDWARE MATERIALS FOR MUNICIPAL PUBLIC CEMETERY, PHASE II</t>
  </si>
  <si>
    <t>RFQ Fabrication of Tent for Customer shed infront of ACWD Main Building 20-05-059-A</t>
  </si>
  <si>
    <t>INSTALLATION OF STREET LIGHTS IN PUROK 1 AND 3, BARANGAY MAHABA – 2ND BIDDING</t>
  </si>
  <si>
    <t>Installation of New Chevron along Rizal Bdry.-Famy-Quezon Bdry. Road, K0090 + 000 – K0092 + 377, Siniloan, Laguna</t>
  </si>
  <si>
    <t>MOOE JULY 2020 OBJECT CLASS 755</t>
  </si>
  <si>
    <t>Proposed Concreting of municipal street, Cabinta &amp; Real Street (from Jct. Dionesio Micayabas street) with a total length of 310.915 linear meter with 0.15m thick of item 200, 0.15m thick of item 201 a</t>
  </si>
  <si>
    <t>Invitation to Bid for Various Repairs and Maintenance of the School’s Infrastructures</t>
  </si>
  <si>
    <t>REQUEST FOR QUOTATION (RFQ)  PROCUREMENT FOR INK NPS RFQ No.041 -2020</t>
  </si>
  <si>
    <t>OTHER SUPPLIES - 1ST QUARTER - GAD OFFICE</t>
  </si>
  <si>
    <t>Supply and Delivery of  toner etc. to be used by staff of DRMD.</t>
  </si>
  <si>
    <t>Request for Quotation of Office Supplies for Agricultural Services Office</t>
  </si>
  <si>
    <t>Procurement of Drugs and Medicines for National Tuberculosis Program</t>
  </si>
  <si>
    <t>Procurement of Security Services for the COA Regional Office No. 10</t>
  </si>
  <si>
    <t>To Supply Labor, Tools, Materials, Equipment and Technological Supervision for the Smoke Emission Testing / Source Emission Monitoring of Three (3) Units Daihatsu Gensets of Power Barge 119 (S3-B1920-</t>
  </si>
  <si>
    <t>RFQ-NP-SVP-1re090-2020-Procurement for  ICT Equipment 1st Quarter for Jasaan</t>
  </si>
  <si>
    <t>grocery items</t>
  </si>
  <si>
    <t>(1) 16 SETS, CUPS &amp; SAUCERS; (2) 17 SETS, CUTLERY (SPOON, TEASPOON, FORK &amp; KNIFE); (3) 14 SETS, GLASSES; (4) 16 SETS, PLATES</t>
  </si>
  <si>
    <t>PROCUREMENT FOR THE SUPPLY AND DELIVERY OF IT SUPPLIES FOR DEPED</t>
  </si>
  <si>
    <t>IMPROVEMENT OF RHU II</t>
  </si>
  <si>
    <t>Procurement of Medical Supplies</t>
  </si>
  <si>
    <t>Procurement of ambulance/emergency Response Vehicle</t>
  </si>
  <si>
    <t>Medical Supplies - (2nd) KLEINSASSER CUTTING FORCEPS &amp; 3 OTHERS</t>
  </si>
  <si>
    <t>Installation of New Chevron along Rizal Bdry.-Famy-Quezon Bdry. Road, K0082 + 000 – K0088 + 000, Siniloan, Laguna</t>
  </si>
  <si>
    <t>20GFC0022: Purchase of Materials for Regravelling of Shoulder, Sta. Elena – Capalonga Bypass Coastal Road (Section 1)</t>
  </si>
  <si>
    <t>MOOE JULY 2020 OBJECT CLASS 753</t>
  </si>
  <si>
    <t>SUPPLY, DELIVERY, AND INSTALLATION OF THREE (3) UNITS 10KVA DISTRIBUTION TRANSFORMER</t>
  </si>
  <si>
    <t>Supply and Delivery of Laptop for use of Planning &amp; Survey</t>
  </si>
  <si>
    <t>Purchase of Vest (PR No. 20-02-083)</t>
  </si>
  <si>
    <t>OFFICE SUPPLIES - 1ST QUARTER - GAD OFFICE</t>
  </si>
  <si>
    <t>Supply and Delivery of Acetylene and Oxygen for Welding Jobs, Repair of Government Vehicles and Equipments</t>
  </si>
  <si>
    <t>Procurement of Security Services for the Provincial Satellite Office (PSAO), Iligan City</t>
  </si>
  <si>
    <t>Purchase of Construction Supplies and Materials for the Repair of One (1) Unit School Building of Lantawan Primary School</t>
  </si>
  <si>
    <t>20GFC0021: Purchase of Materials for the Repair/Rehabilitation of Grouted Riprap/Stone Masonry Daang Maharlika K0346+030, Basud, Camarines Norte</t>
  </si>
  <si>
    <t>20GFC0023: Purchase of Asphalt Aggregates, Daang Maharlika (S03784LZ) – Daang Maharlika (S03789LZ)</t>
  </si>
  <si>
    <t>Supply and Delivery of Water Dispenser</t>
  </si>
  <si>
    <t xml:space="preserve">Supply &amp; Delivery of Construction Materials for the Construction Materials for Construction of Drainage Canal; Installation of Additional Street Lights (Center to River Side); and Concreting of Road, </t>
  </si>
  <si>
    <t>Pest Control Services</t>
  </si>
  <si>
    <t>Procurement of Security Services for the Provincial Satellite Office (PSAO), Malaybalay City</t>
  </si>
  <si>
    <t>MOOE JULY 2020 OBJECT CLASS 815</t>
  </si>
  <si>
    <t>Anti-Anay Spray Services</t>
  </si>
  <si>
    <t>PROCUREMENT OF ABG REAGENTS AND PROVISION OF ANALYZER</t>
  </si>
  <si>
    <t>CONSTRUCTION MATERIALS FOR THE IMPROVEMENT OF STAGE @ SITIO PANTALAN, BRGY. SAN JOSE, CITY OF KORONADAL</t>
  </si>
  <si>
    <t>Procurement of double cubicle with mobile cabinet for LGU Multi-Purpose Hall</t>
  </si>
  <si>
    <t xml:space="preserve">Proposed Concreting of municipal street, Maramag Avenue (from Jct. Pine Street to National Highway) with a total length of 1,108 linear meter with 0.15m thick of item 200, 0.15m thick of item 201 and </t>
  </si>
  <si>
    <t>Request for Quotation of Office Equipment's for Agricultural Services Office</t>
  </si>
  <si>
    <t>SCHOOL SUPPLIES OF TAGBONGABONG ELEMENTARY SCHOOL</t>
  </si>
  <si>
    <t>Supply &amp; Delivery of Electrical Materials (Development of Sport Facilities-Tennis Court)</t>
  </si>
  <si>
    <t>Supply and Delivery of Various Office Equipment</t>
  </si>
  <si>
    <t>1 LOT COVID TESTING KITS</t>
  </si>
  <si>
    <t>80 SETS TRAFFIC UNIFORM ETC FOR CTMO OPERATIONS</t>
  </si>
  <si>
    <t>RHU SERVICES AND PROGRAM (Annual Physical Exam, of Municipal Employees)</t>
  </si>
  <si>
    <t>Purchase of Laptop</t>
  </si>
  <si>
    <t>PROCUREMENT OF 400 PCS. ANGLE METER VALVE, 3/4 X 1/2, BRASS</t>
  </si>
  <si>
    <t>Steel Cabinet</t>
  </si>
  <si>
    <t>Rehabilitation and Improvement of Jimalalud - Bangcal Provincial Road, Jimalalud,(N-149-2020)</t>
  </si>
  <si>
    <t>Repair and Maintenance of Various Equipment of the Municipality of Tubungan, Iloilo</t>
  </si>
  <si>
    <t>Hardware and Construction Supplies for Repair and Repainting of Exterior of Extension Administration Building L Side</t>
  </si>
  <si>
    <t>Medical Supplies - (2ND) CAP BOUFFANT TYPE &amp;  TUBE STOMACH</t>
  </si>
  <si>
    <t>MOOE JUNE 2020 OBJECT CLASS 823</t>
  </si>
  <si>
    <t>informative videos</t>
  </si>
  <si>
    <t>05-011-20 (Supply and Delivery of Various Fertilizers and Insecticides)</t>
  </si>
  <si>
    <t>P-CFMD-20-00205 Various Hardware Supplies</t>
  </si>
  <si>
    <t>RFQ-NP-SVP-re222b-2020-Procurement of Clay Dough Mixer for Design, Fabrication and Testing of Steam Dryer, Dough Mixer and Moulder for Paper Clay Making.</t>
  </si>
  <si>
    <t>Supply and Delivery of Various Office Supplies and Equipment</t>
  </si>
  <si>
    <t>Office Supplies and Consumables</t>
  </si>
  <si>
    <t>Purchase of 3 Toner Air Conditioner Equipment (PR No. 20-06-160)</t>
  </si>
  <si>
    <t>RFQ SUPPLY OF PUBLIC ADDRESS AMPLIFIER FOR PAGING AT INFORMATION OFFICE</t>
  </si>
  <si>
    <t>Hardware and Construction Supplies for Replacement, Repair and Painting of Roofing and Ceiling of Administration Building</t>
  </si>
  <si>
    <t>Medical Supplies</t>
  </si>
  <si>
    <t>MOOE JULY 2020 OBJECT CLASS 764</t>
  </si>
  <si>
    <t>Procurement of Grocery Items for the use of the PGIN Coffee Room, 2nd Qrtr 2020</t>
  </si>
  <si>
    <t>Proposed Concreting of municipal street, Molave Street (from Jct. Quezon Avenue to Sto. Niño street) with a total length of 276.200 linear meter with 0.15m thick of item 200, 0.15m thick of item 201 a</t>
  </si>
  <si>
    <t>Procurement of  ICT Equipment  and Devices</t>
  </si>
  <si>
    <t>Supply &amp; Delivery of Electrical Spare Parts for MAN 6L21/31 of Basilan DPP (S3-BAI20-018)</t>
  </si>
  <si>
    <t>Supply and Delivery of various spare parts intended for Municipal Heavy Equipment (Backhoe) of this Municipality</t>
  </si>
  <si>
    <t>Supply and Delivery of Various Materials for the Repair of Various Pump Houses in KAMANAVA Area</t>
  </si>
  <si>
    <t>Supply and Delivery of Various Office Supplies</t>
  </si>
  <si>
    <t>Printing Services</t>
  </si>
  <si>
    <t>Purchased and Installation of Curtain Blinds</t>
  </si>
  <si>
    <t>Rehabilitation and Improvement of Dobdob-Tamlang-Avocado, Provincial Road Section, Valencia,(N-154-2020)</t>
  </si>
  <si>
    <t>Repost: Adobe Lightroom 6</t>
  </si>
  <si>
    <t>Provision of Meals and Snacks for OCD Personnel and Detailed Duty Officers (Ordering Agreement)</t>
  </si>
  <si>
    <t>REHABILITATION OF CARCARABASA-LAGPAT-IRRIGATION CANAL</t>
  </si>
  <si>
    <t>REQUEST FOR QUOTATION (RFQ)  PROCUREMENT FOR CO ANALYZER-DOAS-SPARE  PARTS KIT FOR APMA 370 RFQ No.042 -2020</t>
  </si>
  <si>
    <t>Procurement of Diesoline/Gasoline -MO ,Lopez Jaena</t>
  </si>
  <si>
    <t>Procurement of Clear Purified Drinking Paper</t>
  </si>
  <si>
    <t>Request For Quotation-TECHNICAL AND SCIENTIFIC EQUIPMENT-DRONE PHANTOM 4 VERSION 2-Php180,000.00</t>
  </si>
  <si>
    <t>Purchase of Toner</t>
  </si>
  <si>
    <t>Procurement of various Complementary &amp; Alternative Health Care Equipment's</t>
  </si>
  <si>
    <t>RFQ-2020-06-0026-FOR USE OF MAINTENANCE SECTION</t>
  </si>
  <si>
    <t>Quotation No.20-06-359 = PROCUREMENT OF COMMON OFFICE SUPPLIES (FHU)</t>
  </si>
  <si>
    <t>Bid No. 20-0319 - PROCUREMENT OF OFFICE EQUIPMENT - GSO OPERATIONS</t>
  </si>
  <si>
    <t>Rehabilitation and improvement of San Fracisco - Hingles Provincial Road Sta. Catalina(N-154-2020)</t>
  </si>
  <si>
    <t>Procurement of Hepa Filter Machines (1 lot) (ITB No. 2020-16)</t>
  </si>
  <si>
    <t>RFQ-NP-SVP-re222c-2020-Procurement of Clay Molder for Design, Fabrication and Testing of Steam Dryer, Dough Mixer and Moulder for Paper Clay Making.</t>
  </si>
  <si>
    <t>REHABILITATION/IMPROVEMENT OF LABUT-BINMONTON ACCESS ROAD PHASE I</t>
  </si>
  <si>
    <t>Supply and Delivery of Various Supplies Materials for the Installation of Canopy at Libertad Warehouse/Workshop</t>
  </si>
  <si>
    <t>INVITATION TO BID FOR THE Procurement of Supply and Delivery of EUMB-AFETD COVID-19 Health Kit as Promotional Materials under the CY2020 Locally Funded Project</t>
  </si>
  <si>
    <t>Procurement of Satin Sticker</t>
  </si>
  <si>
    <t>PUBLICATION OF ORDINANCE</t>
  </si>
  <si>
    <t>Contract Labor and Materials for the Construction of Concrete Reservoir located at Sitio 27 - BLGU Kaligutan, Laak, Davao De Oro</t>
  </si>
  <si>
    <t>P-PIMD-20-00295 Supply and Delivery of 28 Pieces Plastic Pallets</t>
  </si>
  <si>
    <t>MOOE JULY 2020 OBJECT CLASS 758</t>
  </si>
  <si>
    <t>SUPPLY AND DELIVERY OF MAINTENANCE MATERIALS</t>
  </si>
  <si>
    <t>RENOVATION/RETROFITTING OF PUBLIC MARKET BUILDING-PHASE I- DESIGN AND BUILD</t>
  </si>
  <si>
    <t>REPRODUCTION OF SUPPLEMENTARY MATERIALS OF BEGINNING READING FOR GRADE 1 LEARNERS</t>
  </si>
  <si>
    <t>Proposed Concreting of municipal street, Toribio Coruña Street (from Jct. Mabini Street to Pine street) with a total length of 306.594 linear meter with 0.15m thick of item 200, 0.15m thick of item 20</t>
  </si>
  <si>
    <t>REPAIR ND MAINTENANCE OF BARANGAY PATROL</t>
  </si>
  <si>
    <t>Supply &amp; Delivery of Bangus/Vannamei Fry</t>
  </si>
  <si>
    <t>Lot 12-School Supplies</t>
  </si>
  <si>
    <t>Supply &amp; Delivery of Covid-19 Rapid Test Kits</t>
  </si>
  <si>
    <t>05-020-20 (General Merchandise - RESEARCH)</t>
  </si>
  <si>
    <t>Proposed Concreting of municipal street, Toribio Coruña Street (from Jct. Quezon Avenue to Sto. Niño street) with a total length of 273.196 linear meter with 0.15m thick of item 200, 0.15m thick of it</t>
  </si>
  <si>
    <t>20GFC0024: Purchase of Fuel and Lubricants for Use in Various Service Vehicle and Equipment, Purchase of Fuel and Lubricants for Use in Various Service Vehicle and Equipment</t>
  </si>
  <si>
    <t>Technical Support Services for Centralized Attendance Monitoring System (CAMS)</t>
  </si>
  <si>
    <t>Supply and Delivery of Engine 4D56 with Transmission for Replacement of Worn Out Engine of Mitsubishi Strada L200 Pick Up with Plate No. SEW-808</t>
  </si>
  <si>
    <t>Rehabilitation and Improvement of Valencia - Bongbong Provincial Road, Valencia,(N-150-2020)</t>
  </si>
  <si>
    <t>Lot 13-School Equipment</t>
  </si>
  <si>
    <t>06-023-20 Procurement of UTILITY SERVICES in DA-IX, Zamboanga Peninsula</t>
  </si>
  <si>
    <t>Procurement of Construction of Makeshift Building Phase 11</t>
  </si>
  <si>
    <t>REHABILITATION (Concreting) OF ACCESS ROAD LEADING TO TWS WATER SOURCE</t>
  </si>
  <si>
    <t>Other Supplies and Materials</t>
  </si>
  <si>
    <t>PURCHASE AND DELIVERY OF ELECTRO MECHANICAL SIREN WITH METAL HOUSING (EARLY WARNING SYSTEM)</t>
  </si>
  <si>
    <t>REQUEST FOR QUOTATION (RFQ)  PROCUREMENT FOR REACH POLE, ROPE, MEASURING TAPE, FLASHLIGHT,TROLLEY,COOL BOX,ICE PACK RFQ No.043 -2020</t>
  </si>
  <si>
    <t>Supply and Delivery of Various Supplies for the Daily Operations on the Advocacy Campaign for the 100% Smoke Free Environment Policy in Metro Manila</t>
  </si>
  <si>
    <t>Actuarial Consultancy Services</t>
  </si>
  <si>
    <t>Use for the OSDS Personnel Computer Set</t>
  </si>
  <si>
    <t>PURCHASE OF UNIFORM</t>
  </si>
  <si>
    <t>Construction of Evacuation Center of Sitio Nabilog, Brgy. Tambulan Tayasan(N-167-2020)</t>
  </si>
  <si>
    <t>Supply and Delivery of One (1) unit Riding Lawn Mower for Cauayan City Sports Complex</t>
  </si>
  <si>
    <t>Procurement of CBS1 PCHC Watermark Security Check Paper and Self-Contained Carbonless Paper cb</t>
  </si>
  <si>
    <t>Additional Appropriation for the Construction of Multi-Purpose Evacuation Center, Brgy. Domolog, Bindoy, (N-168-2020)</t>
  </si>
  <si>
    <t>Lot 14- School Equipment (for modules)</t>
  </si>
  <si>
    <t>Purchase of Table Top Shield &amp; Transaction Window</t>
  </si>
  <si>
    <t>Supply and Delivery of Brand New Six Wheeler Dump Truck for Garbage Collection and Disposal (Solid Waste Management Program) - MENRO</t>
  </si>
  <si>
    <t>Supply of Labor and Materials for the Construction of Proposed Waterline Extension at Barangay Cutud, Angeles City</t>
  </si>
  <si>
    <t>NEGOTIATED PROCUREMENT OF DIESEL AND GASOLINE OF BFAR 6 FOR CY 2020</t>
  </si>
  <si>
    <t>Cluster DF-02 (Construction of Slaughterhouse Phase II &amp; Construction of Public Comfort Rooms)</t>
  </si>
  <si>
    <t>PR No. 2020-06-124 (APPLICATION SUPPORT AND MAINTENANCE FOR BIR SERVICE DESK SYSTEM)</t>
  </si>
  <si>
    <t>Concreting of Local Road at Barangay Marsolo, Naga</t>
  </si>
  <si>
    <t>OFFICE EQUIPMENT FOR PRINTING OF MODULES</t>
  </si>
  <si>
    <t>Procurement of Newsprint Paper</t>
  </si>
  <si>
    <t>Semi-Expendable Other Machinery Equipment</t>
  </si>
  <si>
    <t xml:space="preserve">Proposed Concreting of municipal street, Tamarind Street (from Jct. Toribio Coruña street to Pine Street) with a total length of 272.502 linear meter with 0.15m thick of item 200, 0.15m thick of item </t>
  </si>
  <si>
    <t>Supply &amp; Delivery of Consumable Materials &amp; Labor with Expertise &amp; Skilled Technician for the Emplementation of Preventive Maintenance Schedule of Unit #1 for Power Barge 119 (S3-B1920-012)</t>
  </si>
  <si>
    <t>RFQ_Sup_April-May</t>
  </si>
  <si>
    <t>Supply and Delivery of Various ICT Equipment to Support the Command, Control, and Communications Information System (C3IS)</t>
  </si>
  <si>
    <t>PROCUREMENT AND DELIVERY OF OTHER SUPPLIES &amp; MATERIALS FOR MEDICAL PHYSICAL EXAMINATION BOOTH OF BFP R4A FY 2020</t>
  </si>
  <si>
    <t>Procurement of CCTV Camera Procurement of supplies for Clean and Beautification</t>
  </si>
  <si>
    <t>Procurement of Electrical Supplies and Materials for the Repair and Maintenance - OMSC San Jose and Labangan</t>
  </si>
  <si>
    <t>Hardware and Construction Supplies for Installation of PPR White Pipes for New Waterline System at Administration Building 1st to 3rd Floor Comfort Rooms</t>
  </si>
  <si>
    <t>20PF0067: Construction / Rehabilitation of Flood Mitigation Facilities within Major River Basins &amp; Principal Rivers: Construction of Baney Flood Control</t>
  </si>
  <si>
    <t>Supply &amp; Delivery of Industrial Machinery &amp; Equipment for Fishpond Use</t>
  </si>
  <si>
    <t>Redevelopment of Freedom Park (Phase I) Capitol Site, Dumaguete City,(N-136-2020)</t>
  </si>
  <si>
    <t>Supply &amp; Delivery of Various O-Rings &amp; Rubber Ring for Power Barge 119 (S3-B1920-009 (Re-bid)</t>
  </si>
  <si>
    <t>20GFC0025: Purchase of Reflectorized Traffic Paint, DPWH-CNDEO Maintenance Section</t>
  </si>
  <si>
    <t>Purchase of Rapid Test for Covid-19</t>
  </si>
  <si>
    <t>03-034-20 (7 units of LAPTOP)</t>
  </si>
  <si>
    <t>IT Supplies for Accounting Operations</t>
  </si>
  <si>
    <t>CONSTRUCTION OF PANTAR-ANUPOL FMR LEADING TO FARMLANDS</t>
  </si>
  <si>
    <t>OFFICE SUPPLIES FOR PRINTING OF MODULES</t>
  </si>
  <si>
    <t>Purchase of Medical Supplies for Municipal Dental Clinic</t>
  </si>
  <si>
    <t>INVITATION TO BID FOR THE PROCUREMENT AND DELIVERY OF FUEL TO SUPPORT OPERATIONAL REQUIREMENTS FOR COVID-19 AND OTHER ACTIVITIES FOR 2ND SEMESTER (RHQ, CAVITE, LAGUNA AND RIZAL) OF BFP REGION IV-A</t>
  </si>
  <si>
    <t>Repair &amp; Maintenance of Buildings (OESPA-PhP100,000.00)</t>
  </si>
  <si>
    <t>RFQ-2020-06-0031-FOR USE OF MAINTENANCE SECTION (MAINTENANCE SHOP)</t>
  </si>
  <si>
    <t>Information Technology</t>
  </si>
  <si>
    <t>Procurement of CCTV Camera Procurement of Aircondition</t>
  </si>
  <si>
    <t>Purchase of Rice</t>
  </si>
  <si>
    <t>FEE FOR THE LABORATORY CHEMICAL WASTE DISPOSAL</t>
  </si>
  <si>
    <t>REQUEST FOR QUOTATION (RFQ)  PROCUREMENT FOR PM MONITOR-DOAS RFQ No.045 -2020</t>
  </si>
  <si>
    <t>06-021-20 Veterinary Supplies for LIVESTOCK (Animal Health Program)</t>
  </si>
  <si>
    <t>Procurement of OTG USB Drive and OTG Adapter</t>
  </si>
  <si>
    <t>Purchase of Furniture &amp; Fixtures for the VIP use of Provincial Governor's Office</t>
  </si>
  <si>
    <t>ROAD REHABILITATION (ASPHALT OVERLAY &amp; RE-BLOCKING) AT BRGY.BANLIC</t>
  </si>
  <si>
    <t>Procurement of Hardware and Construction Supplies for the Repair and Maintenance - OMSC San Jose and Labangan</t>
  </si>
  <si>
    <t>INVITATION TO BID FOR THE Procurement of Supply and Delivery  of EUMB-AFETD “Emergency Preparedness Kit” as Promotional Materials under the CY2020 Regular Budget</t>
  </si>
  <si>
    <t>06-022-20 Supply and Delivery of RUBBER BOOTS</t>
  </si>
  <si>
    <t>SUPPLY AND DELIVERY OF WIRELESS USB ADAPTERS AND BATTERIES FOR UPS</t>
  </si>
  <si>
    <t>REQUEST FOR MEDICAL AMD BIRTHING SUPPLIES TO IMPROVE THE DELIVERY OF BASIC SERVICES OF THE CONSTITUENTS OF THE MUNICIPALITY OF BORBON</t>
  </si>
  <si>
    <t>REQUEST FOR QUOTATION (RFQ)  PROCUREMENT VACUUM PUMP FOR METHOD 5(ES) RFQ No.044 -2020</t>
  </si>
  <si>
    <t>PROCUREMENT OF DIGITAL PHOTOCOPIER AND  DESKTOP COMPUTER WITH COMPLETE ACCESSORIES</t>
  </si>
  <si>
    <t>INVITATION TO BID FOR THE Procurement of Supply and Delivery of ICT Equipment: Laptops &amp; Office Equipment: Lateral Filing Cabinets under The DOE Locally Funded Project - Total Electrification Program</t>
  </si>
  <si>
    <t>Lot 6-Medicines</t>
  </si>
  <si>
    <t>Improvement of Municipal Cemetery, Ayungon,(N-161-2020)</t>
  </si>
  <si>
    <t>Comprehensive Maintenance of Additional HP Hardware Non-SAP</t>
  </si>
  <si>
    <t>Module Survey Project - Subdivision of Collective CLOA</t>
  </si>
  <si>
    <t>Medical Supplies - (2nd) ENTERAL FEEDING CONTAINER &amp; CODAN SPIKE</t>
  </si>
  <si>
    <t>Supply and Delivery of Materials use for Packaging of Food packs given to the Households affected by COVID 19 pandemic</t>
  </si>
  <si>
    <t>REPAIR &amp; MAINTENANCE OF TRACTOR</t>
  </si>
  <si>
    <t>Rehabilitation and Improvement of Dobdob-Tamlang-Avocado, Provincial Road Section, Valencia, Negros Oriental(N-151-2020)</t>
  </si>
  <si>
    <t>Supply and delivery of 10 units Communication Device to be used at the Office of the Regional Executive Director, PREC-Sta. Barbara. PREC-Sual, INREC-Dingras, INREC-Batac and ILIARC, Bacnotan</t>
  </si>
  <si>
    <t>INVITATION TO BID FOR THE Procurement of Supply and Delivery of Various ICT Equipment under the DOE Locally Funded Biofuels Program</t>
  </si>
  <si>
    <t>Repair of Black Boards</t>
  </si>
  <si>
    <t>Supply and Delivery of Tires for Replacement of City Government Vehicle with Plate Nos. BOV 534 &amp; A7 018</t>
  </si>
  <si>
    <t>PROCUREMENT OF BUILDING RENTAL OF PROJECT TABANG – BARMM</t>
  </si>
  <si>
    <t>Supply and delivery of 1 unit Disinfection Fog Machine to be used in disinfecting DA RFO 1 office premises in prevention of COVID-19</t>
  </si>
  <si>
    <t>Purchased of Cleaning Materials and Equipment for Covid 19 Mitagation</t>
  </si>
  <si>
    <t>03-015-20 (Printing Services) 400 pcs POLO SHIRT</t>
  </si>
  <si>
    <t>SUPPLY, DELIVERY AND INSTALLATION OF PROTECTIVE SCREEN FOR FRONTLINE COUNTER TABLES FOR Pag-IBIG FUND ILAGAN AND SANTIAGO MSOs  AND CAUAYAN BRANCH</t>
  </si>
  <si>
    <t>INVITATION TO BID FOR THE PROCUREMENT AND DELIVERY OF FUEL TO SUPPORT OPERATIONAL REQUIREMENTS FOR COVID-19 AND OTHER ACTIVITIES FOR 2ND SEMESTER (BATANGAS AND QUEZON) OF BFP REGION IV-A FOR CY 202</t>
  </si>
  <si>
    <t>CONSTRUCTION OF CABUYAO CITY HOSPITAL PHASE 2 (SITE DEVELOPMENT)</t>
  </si>
  <si>
    <t>REQUEST FOR QUOTATION (RFQ)  PROCUREMENT FOR FILTER PAPER FOR PM10 AND TSP RFQ No.046 -2020</t>
  </si>
  <si>
    <t>02-128-20 (Office Equipment 4 units DATA CAPTURING DEVICE (Smartphone)</t>
  </si>
  <si>
    <t>Supply and Delivery of Variable Frequency Drive</t>
  </si>
  <si>
    <t>Portable Xerox machine</t>
  </si>
  <si>
    <t>Supply and Delivery of Materials and Labor for Bi-Annual Repair/Repainting of Runway Markers/Markings at Puerto Princesa International Airport</t>
  </si>
  <si>
    <t>Non-Common IT Supplies for the Use of Different Offices under General Fund (20-06-69-E)</t>
  </si>
  <si>
    <t>02-129-20 OFFICE EQUIPMENT (Computer Desktop Set, Laptop and LCD Projector)</t>
  </si>
  <si>
    <t>PR-SP-2020-06-19/SP-For replacement of worn out tires of NIA Regional and Satellite Offices</t>
  </si>
  <si>
    <t>Purchased of USB supplies for Teachers</t>
  </si>
  <si>
    <t>Non-Common Office Supplies and Devices for Extension Operation under General Fund</t>
  </si>
  <si>
    <t>SUPPLY AND DELIVERY OF LOT 11: 9,256 BAGS COMPLETE FERTILIZER (14-14-14) FOR OCCIDENTAL MINDORO – SECOND POSTING</t>
  </si>
  <si>
    <t>Materials for the Const. of Multi-Purpose Hall at Barangay Lower Sulitan, Naga</t>
  </si>
  <si>
    <t>Non-Common Office Supplies and Equipment for Research and Extension Operations under General Fund</t>
  </si>
  <si>
    <t>Provide Hauling Services for the Shipment of Various Spare Parts, Materials &amp; Equipment from SPUG-MOD Warehouse, Zamboanga City to Siasi DPP (S3-SIA20-019)</t>
  </si>
  <si>
    <t>SUPPLY AND DELIVERY OF ANALYTICAL BALANCE</t>
  </si>
  <si>
    <t>Purchase of Construction Materials for use in the Repair and Maintenance of National Road along Daang Maharlika, K0 513+(-544) - K0 539+452, DM Jct. Legazpi Sto. Domingo Tabaco Cam. Sur brdy. Road, K0</t>
  </si>
  <si>
    <t>Purchase of Medicines for MHO use</t>
  </si>
  <si>
    <t>“Procurement of Various Materials for the Installation of Solar Streetlights”</t>
  </si>
  <si>
    <t>Rancillo Classe 7 Espresso Machine Repair</t>
  </si>
  <si>
    <t>SUPPLY AND DELIVERY OF LABORATORY EQUIPMENTS</t>
  </si>
  <si>
    <t>Other Supplies &amp; Materials Expenses (PDO-162,370.00)</t>
  </si>
  <si>
    <t>Medicines Supplies for Clinic</t>
  </si>
  <si>
    <t>06-017-20 (Printing and Binding) DA-Research Division</t>
  </si>
  <si>
    <t>Training Expense-Php73,760.00 OTAG</t>
  </si>
  <si>
    <t>OFFICE EQUIPMENT EXPENSE-518,213.69</t>
  </si>
  <si>
    <t>CID No. 20IO0091: Construction of Evacuation Center, Brgy. Larrazabal, Naval, Biliran</t>
  </si>
  <si>
    <t>PURCHASE OF 15KVA 1 PHASE TRANSFORMER</t>
  </si>
  <si>
    <t>school cleaning and maintenance tools</t>
  </si>
  <si>
    <t>OFFICE SUPPLIES FOR PRINTING OF MODULES - MATH AND SCIENCE</t>
  </si>
  <si>
    <t>SUPPLY AND DELIVERY OF LOT 1: 56,827 BAGS UREA FERTILIZER (46-0-0) - SECOND POSTING</t>
  </si>
  <si>
    <t>Supply and Delivery of Materials, Labor and Rental of Equipment for Repair of Potholes at Puerto Princesa International Airport</t>
  </si>
  <si>
    <t>MEALS AND SNACKS FOR THE CONDUCT OF GENERAL ASSEMBLY MEETING OF THE TCP RANGERS AND STAFF AT THE TAMARAW GENEPOOL FARM, MANOOT, RIZAL, OCC. MDO. AMOUNTING TO PHP19,800.00</t>
  </si>
  <si>
    <t>05-025-20 DRUM and PLASTIC CONTAINER</t>
  </si>
  <si>
    <t>01-060-20 (Animal Feeds)</t>
  </si>
  <si>
    <t>2020-03-0637 VIRTUAL TRAINING MACHINE</t>
  </si>
  <si>
    <t>20CG0165 - Local Infrastructure Program: Multipurpose/ Facilities – Construction of Multi-Purpose Building, Sto. Rosario, Sta. Ana, Pampanga</t>
  </si>
  <si>
    <t>REPAIR AND MAINTENANCE OF ROAD PUROK 9 (ROAD SURFACING)</t>
  </si>
  <si>
    <t>20CG0164 - Local Infrastructure Program: Multipurpose/ Facilities –Construction of Multi-Purpose Building, Sta. Maria, Mexico, Pampanga</t>
  </si>
  <si>
    <t>Purchase of electrical supplies at Brgy. Pob. III, Tanauan City, Batangas</t>
  </si>
  <si>
    <t>Procurement of Fuels for Agriculture Office of LGU-Naga</t>
  </si>
  <si>
    <t>LED TV 40"</t>
  </si>
  <si>
    <t>20CG0163 - Local Infrastructure Program: Multipurpose/ Facilities – Rehabilitation of Multi – Purpose Building, Baliti and Batasan, Arayat, Pampanga</t>
  </si>
  <si>
    <t>20CG0166 - Local Infrastructure Program: Multipurpose/ Facilities – Construction of Multi-Purpose Building, San Nicolas, Arayat, Pampanga</t>
  </si>
  <si>
    <t>VARIOUS CONSTRUCTION AT DA-RIARC - SECOND POSTING</t>
  </si>
  <si>
    <t>Procurement of IEC Materials for 2020 Census of Population and Housing for PSA Camarines Sur</t>
  </si>
  <si>
    <t>20CG0175 - Local Infrastructure Program: Buildings and Other Structures – Multipurpose/ Facilities – Construction of Multi-Purpose Building, Brgy. San Jose, San Luis, Pampanga</t>
  </si>
  <si>
    <t>RFQ-INFRASTRUCTURE-4AL-SVP-20-002</t>
  </si>
  <si>
    <t>SUPPLY AND DELIVERY OF VARIOUS SERVICE CONNECTION MATERIALS</t>
  </si>
  <si>
    <t>Supply &amp; delivery of materials for the Fencing of Senior Citizen's Building at Brgy. Pob. III, Tanauan City, Batangas</t>
  </si>
  <si>
    <t>20GCL0001 - Purchase of Materials for Mainntenance Works (Thermoplastic Paint) at Iba North and South for 1st Quarter.</t>
  </si>
  <si>
    <t>PURCHASE AND DELIVERY OF SUPPLIES AND MATERIALS NEEDED FOR THE PRINTING AND PUBLICATION OF GREEN FINS EDUCATIONAL MATERIALS OF APO REEF NATURAL PARK PROTECTED AREA MGMT OFFICE (ARNP PAMO)</t>
  </si>
  <si>
    <t>20CG0171 - Local Infrastructure Program: Multipurpose/ Facilities – Construction of Multi-Purpose Covered Area with Reinforced Concrete Slab, Bagang, Masantol, Pampanga</t>
  </si>
  <si>
    <t>20CG0172 - Local Infrastructure Program: Multipurpose/ Facilities – Rehabilitation of Multi-Purpose Building (Covered Court), Gulap Elementary School, Candaba, Pampanga</t>
  </si>
  <si>
    <t>INSTALLATION OF THIRTY SIX STREET LIGHT, BRGY. PUNTA, UNISAN, QUEZON</t>
  </si>
  <si>
    <t>20CG0170 - Local Infrastructure Program: Multipurpose/ Facilities – Construction of Multi-Purpose Building, Brgy. San Matias, Santo Tomas, Pampanga</t>
  </si>
  <si>
    <t>Water Pump and Pipeline Replacement</t>
  </si>
  <si>
    <t>JULIO MENDEZ ES MOOE (MAR &amp; APR 2020)</t>
  </si>
  <si>
    <t>Purchase of various supplies of goods at Brgy. Cale, Tanauan City, Batangas</t>
  </si>
  <si>
    <t>20CG0173 - Local Infrastructure Program: Buildings and Others Structures – Multipurpose/ Facilities – Construction of Multi-Purpose Building San Nicolas San Fernando, Pampanga</t>
  </si>
  <si>
    <t>PURCHASE OF 1 SETS ASSEMBLY FIBER GLASS BASKETBALL BOARD WITH RING AND ASSEMBLY MOVABLE STEEL STAND (BARANGAY LUMAD, PAGADIAN CITY)</t>
  </si>
  <si>
    <t>Supply and Delivery of Two (2) units Laptop Computer for City Disaster Risk Reduction and Management Office</t>
  </si>
  <si>
    <t>SUPPLY OF LABOR AND  MATERIALS FOR THE FABRICATION OF CONTAINER VAN CONVERT INTO MOBILE HEALTH FACILITY FOR  ISOLATION AND TREATMENT OF COVID-19 CASES                     ILITY</t>
  </si>
  <si>
    <t>Supply and Delivery of Office Equipments for use of Provincial Health Office (PHO), Iba</t>
  </si>
  <si>
    <t>20CG0169 - Local Infrastructure Program: Multipurpose/ Facilities – Construction of Multi-Purpose Covered Court Area with Reinforced Concrete Slab, San Roque, Sta. Ana, Pampanga</t>
  </si>
  <si>
    <t>KNHS CANAL DRAINAGE</t>
  </si>
  <si>
    <t>10CMOBn-2020-003 Vehicle Parts and Accessories</t>
  </si>
  <si>
    <t>Health and Hygiene Kit (Medical Supplies)</t>
  </si>
  <si>
    <t>Purchase of 1 unit Computer set w/ printer at Brgy. Cale, Tanauan City, Batangas</t>
  </si>
  <si>
    <t>20GRFQCL0002 - Purchase of Materials for Maintenance Works (Thermoplastic Applicator) of Zambales 1st DEO for 1st Quarter.</t>
  </si>
  <si>
    <t>BULLAGO ROAD IMPROVEMENT</t>
  </si>
  <si>
    <t>GenSvc. : TIRES FOR DSWD VEHICLE</t>
  </si>
  <si>
    <t>Request for Quotation Alfredo A. Aledia ES</t>
  </si>
  <si>
    <t>Procurement of Office Equipment (desktop computer UPS and Printer for IPPF Offices  )REPOST</t>
  </si>
  <si>
    <t>SUPPLY AND DELIVERY OF OFFICE SUPPLIES AND CONSUMABLES</t>
  </si>
  <si>
    <t>BALACBAC FMR CONTINUATION</t>
  </si>
  <si>
    <t>Purchase of 1 unit Portable Multi Purpose shredder and  Multi Purpose Mixer</t>
  </si>
  <si>
    <t>RFQ 2020-06-0009</t>
  </si>
  <si>
    <t>SUPPLY AND INSTALLATION OF TWO (2) UNITS 2.5 HP INVERTER SPLIT TYPE AIRCON</t>
  </si>
  <si>
    <t>20GRFQCL0006 - Purchase of Materials for Maintenance Works (Reflective Rubberized Traffic Paint) at Iba North.</t>
  </si>
  <si>
    <t>20CG0168 - Local Infrastructure Program: Multi-Purpose/ Facilities – Rehabilitation of Multi-Purpose Building, Maimpis IS, Maimpis City of San Fernando, Pampanga</t>
  </si>
  <si>
    <t>20GRFQCL0001 - Purchase of Materials for Maintenance Works (Hot Asphalt) at Iba North &amp; South for 1st Quarter.</t>
  </si>
  <si>
    <t>MUNGAYANG NATIONAL HIGH SCHOOL ROAD CONCRETING IMPROVEMENT</t>
  </si>
  <si>
    <t>SUPPLY AND DELIVERY OF MODULES FOR JHS AND SHS</t>
  </si>
  <si>
    <t>AirCooler FoldingBed</t>
  </si>
  <si>
    <t>G-2020-17: SUPPLY AND DELIVERY OF ONE HUNDRED NINETEEN (119) UNITS CROSS OVER UTILITY VEHICLE FOR THE DEVELOPMENT BANK OF THE PHILIPPINES-REBID</t>
  </si>
  <si>
    <t>Purchase of 15 units 3 in 1 Printer</t>
  </si>
  <si>
    <t>20GRFQCL0005 - Purchase of Materials for Maintenance Works (Hot Asphalt 85/100) at Iba North &amp; South for 2nd Quarter.</t>
  </si>
  <si>
    <t>BALUNGLUNG FMR CONTINUATION AND IMPROVEMENT</t>
  </si>
  <si>
    <t>IMPROVEMENT OF PEACE MUSEUM LANDSCAPE</t>
  </si>
  <si>
    <t>(20LF0146)Nursery ES Bldg. 1 One (1) Storey  Two (2) Classroom with Toilet at Each Classroom, Baganga, Davao Oriental</t>
  </si>
  <si>
    <t>20CG0174 - Local Infrastructure Program: Multipurpose/ Facilities – Repair and Rehabilitation of Multi-Purpose Building (Covered Court) San Carlos, Mexico, Pampanga</t>
  </si>
  <si>
    <t>Materials for Office Supplies, Peace and Order Supplies, Refill of Fire Extinguisher, Electrical Supplies, Medical Supplies and CCTV Camera</t>
  </si>
  <si>
    <t>PR#20-06-0304 Seeds for backyard and container gardening program (AGRI)</t>
  </si>
  <si>
    <t>Supply, Delivery and Installation of Airconditioning at the HR Office</t>
  </si>
  <si>
    <t>Deep Fryer for French Fries Set for Barangay Macabalan Fire Victims (PR#20-06-188)</t>
  </si>
  <si>
    <t>Improvement of Multi-Purpose Building</t>
  </si>
  <si>
    <t>20GRFQCL0004 - Purchase of Material for Maintenance Works (Aggregates) at Iba North &amp; South for 2nd Quarter.</t>
  </si>
  <si>
    <t>PURCHASE OF PIGLETS TO BE DISTRIBUTED TO QUALIFIED HOUSEHOLDS.</t>
  </si>
  <si>
    <t>One (1) lot Supply, Delivery, Installation, and Make Operational Package Air-conditioning Systems, including the Dismantling of Existing Units, at the BSP Head Office, as per BSP Terms of Reference</t>
  </si>
  <si>
    <t>G-2020-18: LEASE OF ONE THOUSAND (1,000) POINT OF SALE (POS) WITH TERMINAL DRIVING MODULE FOR THE DEVELOPMENT BANK OF THE PHILIPPINES (DBP)</t>
  </si>
  <si>
    <t>Purchase of rice supplies for COVID-19 relief operation for the use of Barangay Buting.</t>
  </si>
  <si>
    <t>REPAIR OF REPEATER.</t>
  </si>
  <si>
    <t>INSTALLATION OF BASKETBALL COURT LIGHT AND TIMER MACHINE (BARANGAY LUMAD, PAGADIAN CITY)</t>
  </si>
  <si>
    <t>Purchase of Diesel and Gasoline</t>
  </si>
  <si>
    <t>Supply and Delivery of Various Office Supplies for use of San Marcelino District Hospital (SMDH), San Marcelino</t>
  </si>
  <si>
    <t>ANNUAL SUBSCRIPTION OF ADOBE LICENSES FOR THE YEAR 2020</t>
  </si>
  <si>
    <t>Supply and Delivery of additional Personal Protective Equipment</t>
  </si>
  <si>
    <t>CONSTRUCTION OF ROADS</t>
  </si>
  <si>
    <t>Materials for Construction of PNP Kitchen at PNP building</t>
  </si>
  <si>
    <t>Purchase of Rapid testing kit  supplies for COVID-19 for the use of SK San Antonio.</t>
  </si>
  <si>
    <t>Procurement of Soil Conditioner with Plant Growth Stimulant (Repost)</t>
  </si>
  <si>
    <t>Purchase of Medical Equipment</t>
  </si>
  <si>
    <t>Purchase of Rapid testing kit supplies for COVID-19 for the use of SK San Antonio.</t>
  </si>
  <si>
    <t>Third Party Survey on GCG Stakeholders’ Satisfaction</t>
  </si>
  <si>
    <t>Supply and Delivery of I.T. Equipment</t>
  </si>
  <si>
    <t>Procurement of Furniture and Fixtures for the Office of the Minister</t>
  </si>
  <si>
    <t>Supply and Delivery of Milled Rice</t>
  </si>
  <si>
    <t>Procurement of Hardware/Construction Materials</t>
  </si>
  <si>
    <t>Supply and Delivery of Quarantine Steel Bed</t>
  </si>
  <si>
    <t>20-06-449 Purchase of Rice Mill (Static Rice Mill) with Installation for Rice Production, Milling and Marketing Enterprise under DAR-MinSAAD Project</t>
  </si>
  <si>
    <t>OFFICE EQUIPMENT PARTS &amp; ACCESSORIES</t>
  </si>
  <si>
    <t>Rehabilitation of Canal/Creek</t>
  </si>
  <si>
    <t>Procurement of Information and Communication Technology Equipment</t>
  </si>
  <si>
    <t>Supply and Delivery of Grocery Package for LSP NSB Recipients</t>
  </si>
  <si>
    <t>Construction of Canal and Pathway at Padilla Compound</t>
  </si>
  <si>
    <t>Supply and Delivery of Testing Kits for Covid - 19</t>
  </si>
  <si>
    <t>Purchase of various supplies for COVID-19 emergency response relief for the use of Barangay San Antonio.</t>
  </si>
  <si>
    <t>Supply and Delivery of E-Loading Kit for LSP NSB Recipients</t>
  </si>
  <si>
    <t>Supply and Delivery of Computer Desktop</t>
  </si>
  <si>
    <t>Procurement of Communication Equipment, Parts and Accessories</t>
  </si>
  <si>
    <t>Re-Supply and Delivery of Sewing Machine for LSP NSB Recipients</t>
  </si>
  <si>
    <t>Procurement of 1 Unit Television</t>
  </si>
  <si>
    <t>Invitation to Bid for the Procurement of Outsourcing of Manpower Services for CY 2020-REFERENCE # 2020-06-04</t>
  </si>
  <si>
    <t>CONSTRUCTION OF ACCESS ROAD TO SANITARY LANDFILL</t>
  </si>
  <si>
    <t>2020-05-0622 PURCHASE AND DELIVERY OF PRINTERS</t>
  </si>
  <si>
    <t>RFQ Rehabilitation of Drainage Line at Manga Pumping Station 20-02-07-PO</t>
  </si>
  <si>
    <t>SUPPLY AND DELIVERY OF INKS FOR THE USE OF PEPD-PPDD</t>
  </si>
  <si>
    <t>Supply and Delivery of 24,223 Bags Inorganic Fertilizers (46- 0- 0), Bid Lot 1</t>
  </si>
  <si>
    <t>20-06-467 Construction Materials for the Repair of Classroom at Alamada East District, Bao, Alamada, Cotabato</t>
  </si>
  <si>
    <t>Supply and Delivery of Constructions Supply and Materials</t>
  </si>
  <si>
    <t>Supply and Delivery of Hospital Supplies</t>
  </si>
  <si>
    <t>IMPROVEMENT OF DAGUIOMAN CENTRAL SCHOOL</t>
  </si>
  <si>
    <t>Supply and Delivery of Rice for LSP NSB Recipients (Rice Retailing)</t>
  </si>
  <si>
    <t>Various LED Lights</t>
  </si>
  <si>
    <t>FURNITURE &amp; FIXTURES</t>
  </si>
  <si>
    <t>Printing of Tarpaulin for Tricycle with singlet to promote Family Planning</t>
  </si>
  <si>
    <t>APR-125310VHLES</t>
  </si>
  <si>
    <t>SVP-20-0422, Supply  and Delivery of Rice for the use of  Dr. Amado Diaz Provinciasl Foundation Hospital (DADPFH)</t>
  </si>
  <si>
    <t>Supply and Delivery of Folding Medical Beds</t>
  </si>
  <si>
    <t>SVP-20-0003, Supply and delivery of Medical Supplies for the use of Dr. Amado Diaz Provincial Fooundation Hospital (DADPFH)</t>
  </si>
  <si>
    <t>SVP-20-0448,  Supply and delivery of Rice for the use of Mlang District Hospital (MDH)</t>
  </si>
  <si>
    <t>Construction of 45 L.M. Permanent Concrete Bridge</t>
  </si>
  <si>
    <t>Procurement of 2 Unit Laptop Computer</t>
  </si>
  <si>
    <t>Procurement of 1 Unit Laptop</t>
  </si>
  <si>
    <t>SVP-20-0286, Supply and Delivery of Medical Oxygen for the use Dr. Amado Diaz Provincial Foundation Hospital (DADPFH)</t>
  </si>
  <si>
    <t>Procurement of Office School Supplies</t>
  </si>
  <si>
    <t>Supply and Delivery of Various Groceries</t>
  </si>
  <si>
    <t>Const./Expansion of Open Drainage Canal along Local Roads</t>
  </si>
  <si>
    <t>MS-20-005, Procurement of Information Advocacy (Blocktime Radio Program for the use  of the Office of the Vice Governor &amp; Sangguniang Panlalawigan (VG-SP)</t>
  </si>
  <si>
    <t>Supply and Delivery of 3,710 Bags Inorganic Fertilizers (26- 0- 0), Bid Lot 2</t>
  </si>
  <si>
    <t>Supply and Delivery of Livestock Feeds Retailing Package for LSP NSB Recipients</t>
  </si>
  <si>
    <t>Procurement of Paraffin Wax Bath</t>
  </si>
  <si>
    <t>Supply and Delivery of 298 Bags Hybrid Corn Seeds (Yellow)- GMO.</t>
  </si>
  <si>
    <t>ISO 9001:2015 Re-Certification Audit</t>
  </si>
  <si>
    <t>Supply and Delivery of Vitamins and Medicines</t>
  </si>
  <si>
    <t>Procurement Toner Cartridge for reproduction of documents and reports of DA PRDP PSO Visayas</t>
  </si>
  <si>
    <t>Supply and Delivery of Personal Protective Equipment</t>
  </si>
  <si>
    <t>Supply and Delivery of Agricultural Equipment</t>
  </si>
  <si>
    <t>SCHOOL AND OFFICE SUPPLIES FOR THE MONTH OF APRIL TO JUNE 2020</t>
  </si>
  <si>
    <t>PROCUREMENT OF MATERIALS FOR REPAIR/MAINTENANCE OF STREET LIGTS</t>
  </si>
  <si>
    <t>2 units Siren (Supply &amp; Delivery)</t>
  </si>
  <si>
    <t>Hiring of Warehouse Manager/Pharmacist for Supply Chain Management from July 6 to December 31, 2020</t>
  </si>
  <si>
    <t>Proposed Supply and Installation of Additional Airconditioning Units Located at the Rizal Provincial Hospital System Tanay-Annex, Sagbat-Pililla Diversion Road, Brgy. Tandang Kutyo, Tanay,Rizal</t>
  </si>
  <si>
    <t>PURCHASE OF ONE (1) UNIT LAPTOP</t>
  </si>
  <si>
    <t>Purchase of free School Supplies 2020</t>
  </si>
  <si>
    <t>LGU PROGRAMS/PROJECTS/ACTIVITIES</t>
  </si>
  <si>
    <t>SUPPLY AND DELIVERY OF MEDICAL SUPPLIES</t>
  </si>
  <si>
    <t>Request for Quotation-Office Supplies</t>
  </si>
  <si>
    <t>Procurement of Outsourced Manpower Services and Scanner Maintenance Support</t>
  </si>
  <si>
    <t>Purchase of Mini Dumptruck for LEEA (Re-Bid)</t>
  </si>
  <si>
    <t>SVP-20-0473, Supply  and Delivery of Monoblock chair for the use of Provincial Engineer's Office (PEO)</t>
  </si>
  <si>
    <t>Supply and Delivery of Toners with free use of Printers</t>
  </si>
  <si>
    <t>SVP-20-0472, Supply of Diesel Fuel for the use of Cotabato Provincial Police Office (CPPO)</t>
  </si>
  <si>
    <t>II.T. EQUIPMENT</t>
  </si>
  <si>
    <t>PURCHASE OF JANITORIAL AND OTHER SUPPLIES</t>
  </si>
  <si>
    <t>PROCUREMENT OF MATERILAS FOR INSTALLATION OF WATER PIPELINE</t>
  </si>
  <si>
    <t>COST OF STATE OF THE CITY ADDRESS (SOCA) AUDIO VISUAL PRESENTATION (AVP) ON THE CITY GOVERNMENT OF IMUS PROGRAMS AND INITIATIVES</t>
  </si>
  <si>
    <t>Procurement of Supplies to be used in Modular Learning</t>
  </si>
  <si>
    <t>Procurement of Medical Supplies for the Conduction of Patients</t>
  </si>
  <si>
    <t>PURCHASE OF JANITORIAL SUPPLIES</t>
  </si>
  <si>
    <t>SVP-D NO: 20-06-0267B: Liquid Nitrogen Supply and Cylinder Rental</t>
  </si>
  <si>
    <t>SUPPLIES AND MATERIASL FOR THE CONSTRUCTION OF CONCRETE DRAINAGE</t>
  </si>
  <si>
    <t>Procurement of Various Supplies for Learners</t>
  </si>
  <si>
    <t>AGRICULTURAL SUPPLIES</t>
  </si>
  <si>
    <t>PR. No. 2020-06-065 Provision of Vehicles for DENR – Northern Samar</t>
  </si>
  <si>
    <t>Procurement of Security Services for July to December 2020</t>
  </si>
  <si>
    <t>Procurement of Other Supplies and Materials Exp. - Seeds for Gulayan sa Paaralan of Patricia Homes ES</t>
  </si>
  <si>
    <t>Procurement of Semi-Expendable -Other Machineries &amp; Equipment - GPP Agricultural Tools of Patricia Homes ES</t>
  </si>
  <si>
    <t>Rehabilitation of Public Market</t>
  </si>
  <si>
    <t>Purchase of hardware materials for Improvement of RHU Storage Room</t>
  </si>
  <si>
    <t>SUPPLY AND DELIVERY OF OFFICE SUPPLIES</t>
  </si>
  <si>
    <t>Construction of Equipment</t>
  </si>
  <si>
    <t>Supply and Delivery of 50 units 3-Drawer Mobile Pedestal Filing Cabinet</t>
  </si>
  <si>
    <t>ITB# 98-2020 Office Supplies Expenses</t>
  </si>
  <si>
    <t>VEHICLES</t>
  </si>
  <si>
    <t>ITB# 97-2020 Office Supplies Expenses</t>
  </si>
  <si>
    <t>Procurement of Printing Services for July to December 2020</t>
  </si>
  <si>
    <t>Production and Development Servers for the following in-house information system: (SEC Website, New Cashiering System, Capital Markets Participant Registry System, National Numbering System Certificat</t>
  </si>
  <si>
    <t>Supply, Delivery, Installation and Configuration of Active Directory License and Related Components</t>
  </si>
  <si>
    <t>Purchase of Cell Cards</t>
  </si>
  <si>
    <t>AMP SVP-D NO: 20-06-0363: Syringe Filter</t>
  </si>
  <si>
    <t>ITB# 94-2020 Office Supplies Expenses</t>
  </si>
  <si>
    <t>Procurement of Materials for Repair of 3 Door WatSan Comfort Room</t>
  </si>
  <si>
    <t>RFQ for Materials of Installation of Potable Water Supply</t>
  </si>
  <si>
    <t>ITB# 99-2020 Food Supplies Expenses</t>
  </si>
  <si>
    <t>Production, Supply and Delivery of Packaging for Hygiene Essentials  - Assistance to DOT Region  III - For OFWs arriving in Clark Int’l Airport</t>
  </si>
  <si>
    <t>Supply and Delivery of 26 units Printer for Elementary Schools in the Municipality of Victoria, Oriental Mindoro</t>
  </si>
  <si>
    <t>ITB# 95-2020 Office Supplies Expenses</t>
  </si>
  <si>
    <t>Purchase of Other Equipments for LGU 1st &amp; 2nd Quarter</t>
  </si>
  <si>
    <t>1 lot Maintenance Support and Upgrade of Network and User Activity Monitoring System for 600 User Licenses</t>
  </si>
  <si>
    <t>Procurement of Six (6) units Brand New Pickup Trucks for the Subic-Clark Railway Project (SCRP)</t>
  </si>
  <si>
    <t>REPAIR &amp; MAINTENANCE</t>
  </si>
  <si>
    <t>PROCUREMENT OF MATERIALS FOR THE COMPLETION OF 2nd FLOOR MULTI PURPOSE BUILDING</t>
  </si>
  <si>
    <t>Supply and Delivery of 2 Units 3 Tons Floor Mounted Aircon with Installation</t>
  </si>
  <si>
    <t>SVP-20-0471, Supply and Delivery of  Various Supplies for the use of Task Force Sagip Stranded North Cotabato, Provincial Governor's Office (PGO)</t>
  </si>
  <si>
    <t>SVP-20-0452,  Supply and Delivery of Toner for the use of Provincial Governor's Office (PGO)</t>
  </si>
  <si>
    <t>Purchase of Materials for Repair and Renovation of Water System Facilities</t>
  </si>
  <si>
    <t>SVP-20-0470, Supply and Delivery of  Laboratory Supplies for the use of Dr. Amado Diaz Provincial Foundation Hospital )DADPFH)</t>
  </si>
  <si>
    <t>INSTALLATION OF INTERNET CONNECTIONS AT BCDA STAFFHOUSES REDWOOD VILLAS, CLARK, PAMPANGA) FOR ONE (1) YEAR</t>
  </si>
  <si>
    <t>Rehabilitation of Local Access Road (Portion) and Construction of Multi-Purpose Building (Phase 2)</t>
  </si>
  <si>
    <t>20GRFQCL0009 - Purchase of Mobile Phone to be use in geotagging, location map, internet access and communication in implementing of our various projects in our District.</t>
  </si>
  <si>
    <t>PR#20-06-0303 Bottled Water for various events and activities (CGSO)</t>
  </si>
  <si>
    <t>Purchase and Installation of Various parts for the Repair &amp; Maintenance for (Boomtruck AGA3137 &amp; Isuzu Dumptruck GAI 3214)</t>
  </si>
  <si>
    <t>PURCHASE OF 1 SET SOUND SYSTEM (BARANGAY LUMAD, PAGADIAN CITY)</t>
  </si>
  <si>
    <t>20GRFQCL0007 - Purchase of Materials for Maintenance Works (Reflective Rubberized Traffic Paint) at Iba South.</t>
  </si>
  <si>
    <t>Supply &amp; Delivery of ICT Equipment &amp; Software</t>
  </si>
  <si>
    <t>ANNUAL SUBSCRIPTION OF GATEWAY NETWORK SECURITY SUITE LICENSE  (SONICWALL APPLIANCE, FIREWALL) FOR THE YEAR 2020</t>
  </si>
  <si>
    <t>Fabrication of Barangay Street Lights - San Agustin</t>
  </si>
  <si>
    <t>20GRFQCL0008 - Purchase of Materials for Maintenance Works (Reflective Rubberized Traffic Paint) at Iba South &amp; North.</t>
  </si>
  <si>
    <t>ITB# 96-2020 Office Supplies Expenses</t>
  </si>
  <si>
    <t>ITB# 108-2020 Other Supplies and Materials Expenses</t>
  </si>
  <si>
    <t>INSTALLATION OF CCTV CAMERA WITH COMPLETE ACCESSORIES</t>
  </si>
  <si>
    <t>(20LF0147)Nursery ES Bldg. 2 One (1) Storey  Three (3) Classroom with Toilet at Each Classroom, Baganga, Davao Oriental</t>
  </si>
  <si>
    <t>Supply and Delivery of various Agricultural Inputs for the conduct of TOT on Production of High Quality Inbrid Rice Seeds and Farm Mechanization</t>
  </si>
  <si>
    <t>ITB# 107-2020 Other Supplies and Materials Expenses</t>
  </si>
  <si>
    <t>Repair and Installation of Canal Covers - Poblacion</t>
  </si>
  <si>
    <t>ITB# 109-2020 Other Supplies and Materials Expenses</t>
  </si>
  <si>
    <t>ITB# 104-2020 Medical, Dental &amp; Laboratory Supplies</t>
  </si>
  <si>
    <t>ITB# 106-2020 Other Supplies and Materials Expenses</t>
  </si>
  <si>
    <t>Supply &amp; delivery of gasoline &amp; lubricants</t>
  </si>
  <si>
    <t>Procurement of Health Care Service Provider for the Bases Conversion and Development Authority (BCDA) CY 2020-2021</t>
  </si>
  <si>
    <t>One (1) Lot – Working Uniform – COD Personnel</t>
  </si>
  <si>
    <t>ITB# 101-2020 Food Supplies Expenses</t>
  </si>
  <si>
    <t>Supply and Delivery of Medical Equipment in Asipulo, Ifugao (1 LOT)</t>
  </si>
  <si>
    <t>ITB# 100-2020 Food Supplies Expenses</t>
  </si>
  <si>
    <t>Procurement of Furniture &amp; Fixture (2-Units Brand New Steel Cabinet) for BAC Office, LGU-Naga</t>
  </si>
  <si>
    <t>CONSTRUCTION OF 40 STALLS BESIDE WET MARKET</t>
  </si>
  <si>
    <t>Repair/Rehabilitation of Reservoir at Purok Mirasol, Pob., Margosatubig, ZDS.</t>
  </si>
  <si>
    <t>Purchase of Garbage Vehicle for Barangay Crossing Sta. Clara, Naga</t>
  </si>
  <si>
    <t>ROAD CONCRETING, BARANGAY CALANCUASAN NORTE</t>
  </si>
  <si>
    <t>ITB# 103-2020 Medical, Dental &amp; Laboratory Supplies</t>
  </si>
  <si>
    <t>ROAD CONCRETING, PUROK 2, BARANGAY VILLAFLORES</t>
  </si>
  <si>
    <t>concreting FMR</t>
  </si>
  <si>
    <t>CONSTRUCTION OF RIPRAP -BARANGAY RIZAL</t>
  </si>
  <si>
    <t>Purchase of Materials for Construction/Installation of Jetmatic Pumps</t>
  </si>
  <si>
    <t>Supply and Delivery of Construction Materials and Supplies to be used for Brigada Eskwela 2020 in the Municipality of Victoria, Oriental Mindoro</t>
  </si>
  <si>
    <t>ITB# 102-2020 Food Supplies Expenses</t>
  </si>
  <si>
    <t>Installation of Brgy. Solar Street Lights (Phase2), Brgy. Poblacion Banate, Iloilo</t>
  </si>
  <si>
    <t>Electrical rewiring</t>
  </si>
  <si>
    <t>ROAD CONCRETING, PUROK 5, BARANGAY CALANCUASAN SUR</t>
  </si>
  <si>
    <t>CONSTRUCTION OF  POTABLE WATER  SUPPLY SYSTEM  LEVEL III</t>
  </si>
  <si>
    <t>ITB# 105-2020 Medical, Dental &amp; Laboratory Supplies</t>
  </si>
  <si>
    <t>Procurement and Delivery of Supplies for the First Quarter 2020</t>
  </si>
  <si>
    <t>IB No. 2020 - 05 Procurement of Infra (Road Concreting of Saco St. ( Sta. 00+000 – Sta. 00+212.11 )</t>
  </si>
  <si>
    <t>Completion of Multi-Purpose Building at Salcedo, Bansud, Oriental Mindoro</t>
  </si>
  <si>
    <t>Completion of Evacuation Center at Maasin and Balatasan, Bulalacao, Oriental Mindoro</t>
  </si>
  <si>
    <t>CONCRETING OF MUNICIPAL  ROAD: RENOVATION  /WIDENING OF FELICIANA  STREET SEGMENT</t>
  </si>
  <si>
    <t>Construction of Drainage Canal at Sitio II-Centro, Urdaneta, Victoria, Oriental Mindoro</t>
  </si>
  <si>
    <t>AGR-20-0198-NP2(SV) Purchase of Agricultural Construction Materials and Supplies</t>
  </si>
  <si>
    <t>GEOTECHNICAL SUB SURFACE EXPLORATION: PACKAGE No. 2020-01, MLANG AND TULUNAN, NORTH COTABATO</t>
  </si>
  <si>
    <t>hardware and construction materials</t>
  </si>
  <si>
    <t>ROOM RENOVATION OF PGO-MIS OFFICE</t>
  </si>
  <si>
    <t>OFFICE SUPPLIES SHOP 1ST</t>
  </si>
  <si>
    <t>SJADS GOODS 20-08: PROCUREMENT OF PATIENT TRANSPORTATION VEHICLE (VAN TYPE 18 SEATERS)</t>
  </si>
  <si>
    <t>S &amp; D of Const. Mat. - Construction of Salagao MPB-IV (PEO)</t>
  </si>
  <si>
    <t>Supply and Delivery of Vinyl Stickers, 8.5" x 11"</t>
  </si>
  <si>
    <t>CONSTRUCTION OF BOX CULVERT -BARANGAY BONIFACIO</t>
  </si>
  <si>
    <t>COVID 19 DISINFECTION SUPPLIES</t>
  </si>
  <si>
    <t>NCR-2006-008: VARIOUS AUTO SUPPLY</t>
  </si>
  <si>
    <t>Purchase of Supplies and Material for the construction of 2 waiting shed</t>
  </si>
  <si>
    <t>S &amp; D of Fuel, Oil and Lubricants (PGSO)</t>
  </si>
  <si>
    <t>Supply and delivery of agricultural supplies and materials for the distribution to IFCP beneficiaries of the City Government of Kidapawan.</t>
  </si>
  <si>
    <t>S &amp; D of BHW Kit Refill (PHO)</t>
  </si>
  <si>
    <t>S &amp; D of Maintenance Supplies (PGSO)</t>
  </si>
  <si>
    <t>S &amp; D of Agricultural Supplies and Materials (P. Agri)</t>
  </si>
  <si>
    <t>Request For Quotation for School and Office Supplies</t>
  </si>
  <si>
    <t>20GEE0027-Supply and Delivery of Diesel Fuel, Gasoline &amp; Lubricants for use in H2-367 Stake Truck and Grass Cutter assigned at Busuanga National Road &amp; F.B. Reyes Coron Busuanga Road Section (Maintena</t>
  </si>
  <si>
    <t>20GEE0026-Supply and Delivery of Tires and Battery for Various Service Vehicle use at Quality Assurance Section, Roxas, Palawan</t>
  </si>
  <si>
    <t>S &amp; D of Trash Cans (PEO)</t>
  </si>
  <si>
    <t>20GEE0024-Supply and Delivery of Covid19 Response Items (Janitorial Supplies) for use of DPWH Pal 1st DEO, Roxas, Palawan</t>
  </si>
  <si>
    <t>Various Projects of Municipality of Bugallon.</t>
  </si>
  <si>
    <t>Labor &amp; Materials for General Conditioning of Service Vehicle for Existing TOYOTA Grandia of Sangguniang Panlungsod, Ormoc City</t>
  </si>
  <si>
    <t>RFQ-202002 Creation of Barangay Website</t>
  </si>
  <si>
    <t>20GEE0028-Purchase of Toner and Maintenance kit for use at Maintenance Section, Roxas, Palawan</t>
  </si>
  <si>
    <t>NCR-2006-007: RIBBON EPSON LQ</t>
  </si>
  <si>
    <t>20GDC0004 (Readvertised) - Purchase of Fuel and Lubricants of Service Vehicles and Equipments for the Month of July to September 2020</t>
  </si>
  <si>
    <t>20GEE0025-Supply and Delivery of Covid19 Response Items (Medical Supplies) for use of DPWH Pal 1st DEO, Roxas, Palawan</t>
  </si>
  <si>
    <t>Request for Quotation for the Provision of Telecommunications Provider to be used for the webinar series on hydroponics: Alternative to Soil Gardening Episode on July 2020</t>
  </si>
  <si>
    <t>office  supplies and consumables</t>
  </si>
  <si>
    <t>Request for Quotation for the Provision of General Merchandise to be used for the webinar series on hydroponics: Alternative to Soil Gardening Episode on July 2020</t>
  </si>
  <si>
    <t>Supply and Delivery of Two (2) Units Brand New Dump Truck to be used in the repair and maintenance of roads and for municipal infrastructure projects at Naujan, Oriental Mindoro</t>
  </si>
  <si>
    <t>Concreting/ Improvement of Vito-Cadulawan Road Section, Minglanilla, Cebu</t>
  </si>
  <si>
    <t>Request for Quotation for the Provision of Agricultural Products to be used for the webinar series on hydroponics: Alternative to Soil Gardening Episode on July 2020</t>
  </si>
  <si>
    <t>Concreting/ Improvement of Linao-Mojon Road Section, Talisay City, Cebu</t>
  </si>
  <si>
    <t>Supply and Delivery of Vegetable Seeds, Zoological Supplies and Fishing Supplies/Materials</t>
  </si>
  <si>
    <t>Supply and Delivery of Three (3) Units Window Type Airconditioning Unit</t>
  </si>
  <si>
    <t>Request for Quotation for the Provision of Live Animals For extension support to beneficiaries under the Back to Basics Program</t>
  </si>
  <si>
    <t>SJADS INFRA 20-03: CONSTRUCTION OF MUNICIPAL MRF (RCA)</t>
  </si>
  <si>
    <t>Concreting/ Improvement of Linao-Maghaway Road Section, Talisay City, Cebu</t>
  </si>
  <si>
    <t>Service for Traslating PRA Brochures</t>
  </si>
  <si>
    <t>SJADS GOODS 20-09: PROCUREMENT OF PRUNING SHEAR AND FERTILIZER</t>
  </si>
  <si>
    <t>CONSTRUCTION OF COMFORT ROOM OF BARANGAY SITE OF BARANGAY MAGUGPO WEST</t>
  </si>
  <si>
    <t>Rip-Rapping of Sitio Sto. Niño, Barangay Binugao</t>
  </si>
  <si>
    <t>Purchase of Fuel, Oil and Lubricants for the 3rd Quarter</t>
  </si>
  <si>
    <t>Procurement of Agricultural and Marine Supplies</t>
  </si>
  <si>
    <t>Purchase of One (1) Unit Passenger Van to be used for Response, Rescue and Rehabilitation Efforts During and on Aftermath of Disaster and Calamities</t>
  </si>
  <si>
    <t>Enhancement of ICT Infrastructure with internet connectivity of SDO-San Pablo City.</t>
  </si>
  <si>
    <t>CONSTRUCTION OF CANAL LINING, BARANGAY BULALA TO BARANGAY BANTUG</t>
  </si>
  <si>
    <t>S &amp; D of Construction Materials - Construction of Tuhel MPB-III (PEO)</t>
  </si>
  <si>
    <t>PROCUREMENT OF LABORATORY SUPPLIES</t>
  </si>
  <si>
    <t>40	pcs.	2" x 2" x 10', G.melina, etc. PR # 775-19 rebid</t>
  </si>
  <si>
    <t>Catering Services for PSWD-2020-0137 &amp; 0128</t>
  </si>
  <si>
    <t>35	pcs.	2" x 2" x 10' G.melina, etc. PR # 647-19 (rebid)</t>
  </si>
  <si>
    <t>PROCUREMENT OF MEDICAL, DENTAL AND LABORATORY SUPPLIES</t>
  </si>
  <si>
    <t>S &amp; D of Construction Materials - Construction of Kaumbakan MPB P-II (PEO)</t>
  </si>
  <si>
    <t>Catering Services for PEMO-2020-2066 &amp; 2058</t>
  </si>
  <si>
    <t>30	sht	6mm x 1.2m x 2.4m Marine Plywood, PR # 623-19 rebid</t>
  </si>
  <si>
    <t>FRT-20-0437-B - DENTAL SUPPLIES</t>
  </si>
  <si>
    <t>Procurement of office supplies for the operation and implementation of DRRM programs</t>
  </si>
  <si>
    <t>SUPPLY AND DELIVERY OF LIQUID NITROGEN TANKS</t>
  </si>
  <si>
    <t>PROCUREMENT OF MATERIALS FOR THE REPAIR AND MAINTENANCE OF BUILDINGS AND OTHER STRUCTURES</t>
  </si>
  <si>
    <t>FRT-20-0435-B - LABORATORY SUPPLIES</t>
  </si>
  <si>
    <t>S &amp; D of Aircon and Other Supplies (PEO)</t>
  </si>
  <si>
    <t>235	pcs.	2" x 2" x 10',Coco Lumber, etc. PR # 171-20</t>
  </si>
  <si>
    <t>S &amp; D of Const. Mat. - Development &amp; Maintenance of Farm Tourism Sites (P. Agri.)</t>
  </si>
  <si>
    <t>5	pcs.	Silicon gun, etc. PR # 112-20</t>
  </si>
  <si>
    <t>300	pc.	2" x 4" x 12' Coco Lumber, etc. PR 195-20</t>
  </si>
  <si>
    <t>Kitchenware for PSWD-2019-3483</t>
  </si>
  <si>
    <t>Purchase &amp; Delivery of Const. Materials &amp; Supplies for the  project Installation of P.E. Pipeline,  Brgy. Baybay, Surigao City</t>
  </si>
  <si>
    <t>20	pcs.	2" x 6" x 10' G.melina, etc. PR # 460-20</t>
  </si>
  <si>
    <t>Packaging Supplies for PSWD-2020-0181</t>
  </si>
  <si>
    <t>120	sets	LED, Street Lighting Luminaire, daylight, 90 watts, 9450 lumens, etc. PR # 115-20</t>
  </si>
  <si>
    <t>Construction of 8 Units Sea Base Seaweeds Solar Dryer in Surigao del Sur (A FishCORAL Project)</t>
  </si>
  <si>
    <t>S &amp; D of Construction Materials - Construction of Uvoy MPB (PEO)</t>
  </si>
  <si>
    <t>67	shts.	6mm x 1.2m x 2.4m Marine Plywood, etc. PR # 101-20</t>
  </si>
  <si>
    <t>CONSTRUCTION OF ANTIQUE DAIRY BOX (DAIRY PROCESSING PLANT AND PRODUCT OUTLET) REBID</t>
  </si>
  <si>
    <t>200	bags	Portland Cement, 40 kg./bag, etc. PR # 74-20</t>
  </si>
  <si>
    <t>15	pcs.	G-Melina Lumber- 2" x 2" x 10', PR # 839-19 rebid</t>
  </si>
  <si>
    <t>128	drum	Asphalt Cement Penetration 60-70, etc. PR # 45-20</t>
  </si>
  <si>
    <t>Purchase of One (1) Unit Mobile Multi-Purpose Shredder with Diesel Engine to be used at the MENRO Office of this Municipality</t>
  </si>
  <si>
    <t>SDH-20-0735-B MEDICAL EQUIPMENT</t>
  </si>
  <si>
    <t>FRT-20-0439-B - DRUGS AND MEDICINES</t>
  </si>
  <si>
    <t>Information Technology Equipment for PPDO-2020-1043</t>
  </si>
  <si>
    <t>ADM-20-0577-B OFFICE SUPPLIES</t>
  </si>
  <si>
    <t>Purchase &amp; Delivery of Brand New Standby Power Generator 100 KVA 240 VAC (Silent Type),  LTPC, Surigao City</t>
  </si>
  <si>
    <t>SUPPLY OF TOOLS, JIGS, EQUIPMENT AND RAW MATERIALS</t>
  </si>
  <si>
    <t>BAC-20-0748-B - OFFICE SUPPLIES</t>
  </si>
  <si>
    <t>315	pcs.	Ceramic Floor Tiles (200mm x 200mm) White, etc. PR # 396-20</t>
  </si>
  <si>
    <t>Concreting/ Improvement of Basak-Bae Road Section, Sibonga, Cebu</t>
  </si>
  <si>
    <t>Concreting/ Improvement of Ocana Beach Road Section, Carcar City, Cebu</t>
  </si>
  <si>
    <t>Concreting/ Improvement of Ocana-Napo-Guadalupe-Puesto Road Section, Carcar City, Cebu</t>
  </si>
  <si>
    <t>Concreting/ Improvement of Awayan-Can-asujan-Pit-os Road Section, Carcar City, Cebu</t>
  </si>
  <si>
    <t>FRT-20-0438-B - DRUGS AND MEDICINES</t>
  </si>
  <si>
    <t>Concreting/ Improvement of Perrelos-Can-asujan Road Section, Carcar City, Cebu</t>
  </si>
  <si>
    <t>Concreting/ Improvement of Mainit Spring Road Section, Carcar City, Cebu</t>
  </si>
  <si>
    <t>Accommodation for OPA-2020-0049 &amp; 0050</t>
  </si>
  <si>
    <t>SDH-20-0734-B MEDICAL EQUIPMENT</t>
  </si>
  <si>
    <t>Concreting/ Improvement of San Isidro-Ilaya-Cabatbatan Road Section, San Fernando, Cebu</t>
  </si>
  <si>
    <t>Concreting/ Improvement of Panadtaran-Tongo Road Section, San Fernando, Cebu</t>
  </si>
  <si>
    <t>SUPPLY AND DELIVERY OF CROSSBRED/PUREBRED BUFFALOES  (82 HEADS) REBID PCC-CSU</t>
  </si>
  <si>
    <t>Dredging of Creek</t>
  </si>
  <si>
    <t>Medical Supplies for TJPH-2020-0120</t>
  </si>
  <si>
    <t>SUPPLY AND DELIVERYSUPPLY AND DELIVERY OF CROSSBRED/PUREBRED BUFFALOES  (40 HEADS)</t>
  </si>
  <si>
    <t>370	pcs.	11 W, LED lamp, day light, etc. PR # 292-20</t>
  </si>
  <si>
    <t>ADM-20-0578-B HOUSEKEEPING SUPPLIES</t>
  </si>
  <si>
    <t>PROCUREMENT OF ELECTRICAL/PLUMBING/CARPENTRY/PAINTING SUPPLIES ITB No. 2020-14</t>
  </si>
  <si>
    <t>RFQ for the Procurement of Office Laptops and other devices used for the Upgrading of Office Desktops</t>
  </si>
  <si>
    <t>Procurement of 1 unit Mini Dumptruck</t>
  </si>
  <si>
    <t>SUPPLY AND DELIVERY OF ULTRA-PORTABLE ULTRASOUND MACHINE AND GEL ELECTROPHORESIS</t>
  </si>
  <si>
    <t>Concreting/ Improvement of Bolinawan-Dunguan Road Section, Carcar City, Cebu</t>
  </si>
  <si>
    <t>Supply and Delivery of various Agricultural Agricultural Tools, Materials and Inputs for Training on Urban Agriculture for PWD (2 Batches)</t>
  </si>
  <si>
    <t>Purchase &amp; Delivery of Const. Materials &amp; Supplies for the  project Construction of Access Road @ Purok 6 Poblacion,  Brgy. Cagniog, Surigao City</t>
  </si>
  <si>
    <t>Supply and Delivery of three units Microwave</t>
  </si>
  <si>
    <t>Supply and Delivery of Gong Molders and Metal Markers in Kalinga (1 LOT)</t>
  </si>
  <si>
    <t>PURCHASE OF GROCERY ITEMS FOR THE LOCALLY STRANDED INDIVIDUALS</t>
  </si>
  <si>
    <t>Procurement of   Equipment’s ( Wheelchair , Adult Walker, Quad Cane  Stretcher Crutches) for PWD &amp; Senior Citizen</t>
  </si>
  <si>
    <t>20GRFQCL0003 - Purchase of Materials for Maintenance Works (Gabions) at Iba North &amp; South for 2nd Quarter.</t>
  </si>
  <si>
    <t>ITB# 111-2020 Other Supplies and Materials Expenses</t>
  </si>
  <si>
    <t>ITB# 110-2020 Other Supplies and Materials Expenses</t>
  </si>
  <si>
    <t>20GCL0003 - Purchase of Materials for Special Maintenance of Carael Bridge, KO 195+390.50 (Anti-Skid Wearing Course), Botolan, Zambales (1,124.20 sq.m.)</t>
  </si>
  <si>
    <t>PURCHASE OF INFORMATION TECHNOLOGY EQUIPMENT FOR THE DIFFERENT OFFICES OF THE MUNICIPAL GOVERNMENT OF NAGUILIAN, LA UNION.</t>
  </si>
  <si>
    <t>FLORENTINO B. DAG-UMAN ES MOOE (APR &amp; MAY 2020)</t>
  </si>
  <si>
    <t>Repair and Improvement of Brgy. Road - Napalisan</t>
  </si>
  <si>
    <t>Procurement of ICT Supplies for SHS</t>
  </si>
  <si>
    <t>SUPPLY AND DELIVERY OF TONERS AND CONSUMABLES FOR SHARP COPIER MACHINE (P.R. NO. 100-20-06-0227)</t>
  </si>
  <si>
    <t>20DL0220 - CY 2020 BASIC EDUCATION FACILITIES FUND, CONSTRUCTION OF CLASSROOMS  2STY4CL ATIMONAN CES, ATIMONAN, QUEZON</t>
  </si>
  <si>
    <t>MOOE &amp; CO 2020</t>
  </si>
  <si>
    <t>Purchase of Tent Canopy Canvass of DepEd RO III</t>
  </si>
  <si>
    <t>Laboratory Supplies</t>
  </si>
  <si>
    <t>Data banking for Natural Resources.</t>
  </si>
  <si>
    <t>30	pcs.	2" x 2" x 10' G.melina, etc. PR # 428-20</t>
  </si>
  <si>
    <t>Office Improvement (Installation of Three (3) units Floor Mounted Aircondition System</t>
  </si>
  <si>
    <t>SUPPLY AND DELIVERY OF SUPPLIES AND MATERIALS (FOR GARDENING) (P.R. NO. 100-20-05-0201)</t>
  </si>
  <si>
    <t>Concreting/ Improvement of Sangat-Lantawan Road Section, San Fernando, Cebu</t>
  </si>
  <si>
    <t>PRINTING OF CITATION TICKET FOR NO MASK AND NO SOCIAL DISTANCING VIOLATORS (P.R. NO. 100-20-06-0225)</t>
  </si>
  <si>
    <t>Procurement of Coconut Seedlings</t>
  </si>
  <si>
    <t>15	pcs.	2" x 4" x 10' G.melina, etc. PR # 399-20</t>
  </si>
  <si>
    <t>Supply and Delivery of various ICT Equipment and Materials for RCM FITS Enhancement</t>
  </si>
  <si>
    <t>SUPPLY &amp; DELIVERY OF CELL CARDS- GSO</t>
  </si>
  <si>
    <t>LABORATORY SUPPLIES</t>
  </si>
  <si>
    <t>SUPPLY &amp; DELIVERY OF ALCOHOL &amp; PPE -GSO</t>
  </si>
  <si>
    <t>Laboratory Supplies for OPA-2020-0365</t>
  </si>
  <si>
    <t>Contract ID Number 20FD0066 CONSTRUCTION/REHABILITATION OF WATER SUPPLY/SEPTAGE AND SEWERAGE/RAIN WATER COLLECTORS – RAIN WATER COLLECTORS IN PUBLIC FACILITIES, SAN VICENTE E/S, MANTILA E/S, SAN ISIDR</t>
  </si>
  <si>
    <t>278	bags	Portland Cement, etc. PR # 429-20</t>
  </si>
  <si>
    <t>Supply and Delivery of Various Laboratory Equipment for AFMTC</t>
  </si>
  <si>
    <t>SUPPLY &amp; DELIVERY OF HAND DRYER, ALCOHOL &amp; PPE -GSO</t>
  </si>
  <si>
    <t>PB-Supply, Delivery, Installation &amp; Commissioning of 12 units Modular Patient Monitor (1 Lot) (ITB No. 2020-13).</t>
  </si>
  <si>
    <t>Procurement of Construction Materials for Improvement of Perimeter Fence</t>
  </si>
  <si>
    <t>RFQ No. 2020-06-001 - Purchase of Diesel Fuel for use of various Maintenance service vehicles and heavy equipment under maintenance section (PR No. 2020-2-021)</t>
  </si>
  <si>
    <t>Proposed Improvement of City Agriculturist Office at City Hall, Brgy. Poblacion, Kidapawan City.</t>
  </si>
  <si>
    <t>20DL0224 - CY 2020 BASIC EDUCATION FACILITIES FUND, CONSTRUCTION OF CLASSROOMS  2STY6CL STO. NIÑO ILAYA NHS, LOPEZ, QUEZON</t>
  </si>
  <si>
    <t>concreting of municipal road</t>
  </si>
  <si>
    <t>20HH0141-Concreting of Brgy. Kalunasan FMR, Brgy. Kalunasan, Cebu City, Cebu</t>
  </si>
  <si>
    <t>20FF0100 - Construction of Barangay Road, Barangay Carangcang, Magarao, Camarines Sur</t>
  </si>
  <si>
    <t>20DL0222 - CY 2020 BASIC EDUCATION FACILITIES FUND, CONSTRUCTION OF CLASSROOMS  2STY4CL DOÑA AURORA ES, CALAUAG, QUEZON</t>
  </si>
  <si>
    <t>SUPPLY AND DELIVERY OF BOUGAINVILLEA (P.R. NO. 100-20-03-0101)</t>
  </si>
  <si>
    <t>8	pcs.	2" x 6" x 12' G.melina, etc. PR # 398-20</t>
  </si>
  <si>
    <t>FOD-R-20-2128 (R1): Procurement of 20 units of Laptop</t>
  </si>
  <si>
    <t>Proposed Public Restroom with Rainwater Tank, Lake Danao Park, San Francisco, Camotes Island</t>
  </si>
  <si>
    <t>13	rolls	1/2"Ø x 300m/roll Polyethelene Pipe, etc. PR # 397-20</t>
  </si>
  <si>
    <t>Proposed Construction of Establishment Mini Rice Mill/DA Village Type Rice Mill (Proposed Extension of Village Type Rice Mill) at Purok 6B, Brgy. Binoligan, Kidapawan City.</t>
  </si>
  <si>
    <t>FOD-R-20-2127 (R1): Procurement of 6 units of Desktop Computer</t>
  </si>
  <si>
    <t>Concreting/ Improvement of Yati-Tayud Road Section, Liloan, Cebu</t>
  </si>
  <si>
    <t>Supply and delivery of pest control and termite control  treatment of City Hall Main Buiding, City of Balanga,  Bataan</t>
  </si>
  <si>
    <t>Construction of Flood and Erosion Control Structures Along River &amp; Waterways</t>
  </si>
  <si>
    <t>20DL0223 - CY 2020 BASIC EDUCATION FACILITIES FUND, CONSTRUCTION OF CLASSROOMS  2STY4CL MUNICIPAL SECTOR ES, CALAUAG, QUEZON</t>
  </si>
  <si>
    <t>Concreting/ Improvement of Guiwang-Cabalongan Road Section, Alcoy, Cebu</t>
  </si>
  <si>
    <t>Supply and Delivery of Firewall License (Renewal)</t>
  </si>
  <si>
    <t>Concreting of School Drainage System</t>
  </si>
  <si>
    <t>INVITATION FOR NEGOTIATED PROCUREMENT OF MATERIALS FOR THE REPAIR &amp; MAINTENANCE OF SCHOOL BUILDING AND OTHER STRUCTURES AFTER TWO FAILED BIDDING</t>
  </si>
  <si>
    <t>Supply, Delivery, Testing and Commissioning of Brand New 25 KVA/ 20KW Diesel Engine Generator Set</t>
  </si>
  <si>
    <t>Procurement of Ammunition Packaging</t>
  </si>
  <si>
    <t>PURCHASE OF ONE UNIT VEHICLE (AMBULANCE) FOR MUNICIPAL HEALTH OFFICE USE</t>
  </si>
  <si>
    <t>20DL0221 - CY 2020 BASIC EDUCATION FACILITIES FUND, CONSTRUCTION OF CLASSROOMS  2STY6CL CARIDAD IBABA ES, ATIMONAN, QUEZON</t>
  </si>
  <si>
    <t>Courier service for Lot 4 and 5 of the Terms of Reference_PR 7745</t>
  </si>
  <si>
    <t>Contract ID Number 20FD0068 CONSTRUCTION OF WATER SYSTEM LEVEL II, BRGY. POBLACION, DEL GALLEGO, CAMARINES SUR</t>
  </si>
  <si>
    <t>Purchase &amp; Delivery of Const. Materials &amp; Supplies for the  project Improvement of Brgy. Street,  Brgy. Zaragosa, Surigao City</t>
  </si>
  <si>
    <t>AVRC : 1 LOT PERSONAL PROTECTIVE EQUIPMENT ANTI-COVID MEASURES: PROVISION OF PERSONAL PROTECTIVE EQUIPMENT TO PWD CLIENTS AT AVRC III</t>
  </si>
  <si>
    <t>HFE:  PERSONAL EFFECT FOR THE USE OF CLIENT AT HOME FOR THE ELDERLY FOR 2nd SEM 2020.</t>
  </si>
  <si>
    <t>HFE: MEDICAL EQUIPMENT AND SUPPLIES FOR THE USE OF CLIENT AT HOME FOR THE ELDERLY</t>
  </si>
  <si>
    <t>Construction of Apolong Multi-Purpose Building</t>
  </si>
  <si>
    <t>20PC0001G SUPPLY &amp; DELIVERY OF MATERIALS FOR THE REPAINTING OF BRIDGES ALONG VARIOUS ROAD SECTION PUDTOL, LUNA, CALANASAN, STA. MARCELA &amp; FLORA, APAYAO</t>
  </si>
  <si>
    <t>CONC./IMPVT.BRGY. BULATOK ROAD   2SAIP20-8000-C1a5</t>
  </si>
  <si>
    <t>Purchase of Information and Communication Technology Equipment for MASSO use</t>
  </si>
  <si>
    <t>Riso SF5130</t>
  </si>
  <si>
    <t>Procurement of Design, Supply, Installation, and Commissioning of Cinema Equipment and Audio Systems, Acoustic Treatment and Theatre Curtains for the Metropolitan Theatre</t>
  </si>
  <si>
    <t>MOOE PROCUREMENT 1</t>
  </si>
  <si>
    <t>RE-POST: Proposed Drainage Canal at Barangay Covered Court, Brgy. Holy Redeemer, Butuan City</t>
  </si>
  <si>
    <t>RE-POST: Proposed Drainage Canal at Purok 3-A, Brgy. Holy Redeemer, Butuan City</t>
  </si>
  <si>
    <t>20HH0142-Concreting of Brgy. Sapang Dako FMR, Brgy. Sapang Dako, Cebu City, Cebu</t>
  </si>
  <si>
    <t>Improvement of Barangay Apolong Multi-Purpose Building</t>
  </si>
  <si>
    <t>PROCUREMENT OF PRINTER AND USB FOR REPRODUCTION OF MODULES FOR KINDER TO GRADE 6 PUPILS</t>
  </si>
  <si>
    <t>Procurement of Photography Equipment</t>
  </si>
  <si>
    <t>IB No. 2006-323 Proc. of Infra [Fabrication and Installation of City Traffic Signage with Post (400 units)]</t>
  </si>
  <si>
    <t>Repair and Maintenance of 5 units Wescor Transformer</t>
  </si>
  <si>
    <t>Supply and delivery of tires to be used for the replacement  of worn out tires of Dump trucks of CENRO</t>
  </si>
  <si>
    <t>DELIVERY OF CONSTRUCTION MATERIALS AND SUPPLIES</t>
  </si>
  <si>
    <t>HFE: MEDICINE FOR THE maintenance of clients in the HOME FOR THE ELDERLY. 2nd semester CY 2020.</t>
  </si>
  <si>
    <t>20HH0143-Concreting of Brgy. Adlaon FMR, Brgy. Adlaon, Cebu City, Cebu</t>
  </si>
  <si>
    <t>Supply and delivery of tokens of the father employees in  celebration of the Father's day</t>
  </si>
  <si>
    <t>20-06-455 Meals and Snacks for Retirement Program of Five (5) Retiring Employees of LGU Alamada</t>
  </si>
  <si>
    <t>20-05-420 Purchase of Spare parts for the Maintenance of SER 503</t>
  </si>
  <si>
    <t>Contract ID Number 20FD0069 CONSTRUCTION OF WATER SYSTEM LEVEL II, BRGY. ALDEZAR, SIPOCOT, CAMARINES SUR</t>
  </si>
  <si>
    <t>Procurement of medical supplies</t>
  </si>
  <si>
    <t>Installation of Solar Lighting System (Phase I &amp; Phase II)</t>
  </si>
  <si>
    <t>PURCHASE OF FERTILIZERS</t>
  </si>
  <si>
    <t>Procurement of Cleaning Supplies</t>
  </si>
  <si>
    <t>Procurement of one (1) unit 3-in-1 Printer</t>
  </si>
  <si>
    <t>Supply of Drugs and Medicines for Paracelis District Hospital</t>
  </si>
  <si>
    <t>Procurement of Electric Bulbs</t>
  </si>
  <si>
    <t>Procurement of Cleaning and Suctioning of Septic Tank</t>
  </si>
  <si>
    <t>Old Garbage Compactor</t>
  </si>
  <si>
    <t>Street Light</t>
  </si>
  <si>
    <t>Food Stuff</t>
  </si>
  <si>
    <t>Procurement of 3 units LED TV</t>
  </si>
  <si>
    <t>(20-0144) FABRICATION &amp; INSTALLATION OF VARIOUS TRAFFIC SIGNAGES</t>
  </si>
  <si>
    <t>Installation of Streetlights (Solar)</t>
  </si>
  <si>
    <t>PURCHASE AND DELIVERY OF MEDICINE FOR COVID-19 RESPONSE</t>
  </si>
  <si>
    <t>Supply, Delivery and Installation of Cabinet for Chemical, Corrosive materials (PR#20-05-0667)</t>
  </si>
  <si>
    <t>INREMP Office Supplies</t>
  </si>
  <si>
    <t>AGR-20-0315-B Purchase of Construction Materials and Supplies</t>
  </si>
  <si>
    <t>SIC-98 Hiring of Consultancy Services (Individual Consultant), i.e, Business Development Officer</t>
  </si>
  <si>
    <t>Supply of Fuel to LHIO La Union for CY2020</t>
  </si>
  <si>
    <t>PROCUREMENT OF SMART TV AND LAPTOP</t>
  </si>
  <si>
    <t>SIC-97 Hiring of Consultancy Services (Individual Consultant), i.e, Monitoring &amp; Evaluation Officer</t>
  </si>
  <si>
    <t>PURCHASE MATERIALS FOR THE CONSTRUCTION OF ELEMENTARY SCHOOL KITCHEN PHASE II</t>
  </si>
  <si>
    <t>20-05-418 Office Equipment to be Used in the Office of the Municipal Mayor</t>
  </si>
  <si>
    <t>SCHOOL SUPPLIES</t>
  </si>
  <si>
    <t>Multi-purpose Hall (Baracbac)</t>
  </si>
  <si>
    <t>20HH0144-Repair and Maintenance of Drainage System along Legaspi Extension, Brgy. San Roque, Cebu City</t>
  </si>
  <si>
    <t>SIC-96 Hiring of Consultancy Services (Individual Consultant), i.e, Financial Analyst 1</t>
  </si>
  <si>
    <t>Supply and Delivery of Grocery Items for Kabuhayan Individual Starter /Enhancement Kits</t>
  </si>
  <si>
    <t>Supply and Delivery of Various Laboratory Supplies (PR#20-05-0695)</t>
  </si>
  <si>
    <t>A-2020-17: Subscription to Various Newspapers for One Year</t>
  </si>
  <si>
    <t>Purchase of Streetlight High Pressure Sodium Road Lighting Fixture</t>
  </si>
  <si>
    <t>Quotation No. 20-06-0352- Vehicle Rental for the Monitoring and Evaluation on Mass Drug Administration Activity on July 6-11, 2020; Itinerary: Isabela City, Basilan</t>
  </si>
  <si>
    <t>Meat Inspection Certificate (Carbonized) for Slaughterhouse</t>
  </si>
  <si>
    <t>Supply and Delivery of Microplate, 96 well, polypropylene (PR#19-09-1292)</t>
  </si>
  <si>
    <t>Supply and Delivery of Electrical Supplies and Door Lock Set</t>
  </si>
  <si>
    <t>installation of additional solar street lights</t>
  </si>
  <si>
    <t>Supply and Delivery of Automotive Supplies</t>
  </si>
  <si>
    <t>ICT EQUIPMENT</t>
  </si>
  <si>
    <t xml:space="preserve">Quotation No. 20-06-0351- Vehicle Rental for the Monitoring and Evaluation on Mass Drug Administration Activity on July 6-11, 2020 (Batch 1- 2 unit) and July 13-18, 2020 (Batch 2- 1 unit); Itinerary: </t>
  </si>
  <si>
    <t>Purchase of Two (2) Units E – Trike – Barangay Patrol Electronic Vehicle Civil Security Office Catarman, Northern Samar</t>
  </si>
  <si>
    <t>PURCHASE MATERIALS FOR THE ROOFING OF BARANGAY MULTI-PURPOSE HALL</t>
  </si>
  <si>
    <t>Procurement of Tires</t>
  </si>
  <si>
    <t>(20-0108) SUPPLY AND DELIVERY OF REFLECTORIZED TRAFFIC PAINTS</t>
  </si>
  <si>
    <t>Supply and Delivery of Electrical Materials to be used for the Repair and Maintenance of Street Lights at Barangay San Nicolas, City of San Fernando, Pampanga</t>
  </si>
  <si>
    <t>PROCUREMENT OF BOOKS FOR LUBAO EAST DISTRICT</t>
  </si>
  <si>
    <t>SUPPLY &amp; DELIVERY OF PRINTING SUPPLIES</t>
  </si>
  <si>
    <t>REPAIR OF HANGING BRIDGE</t>
  </si>
  <si>
    <t>Sustainable Livelihood Support to Disaster Affected Areas under CRFPS</t>
  </si>
  <si>
    <t>CRCF-2020-06-0210 (CONSTRUCTION OF RAIN WATER COLLECTOR FOR MESS HALL AND MULTI-PURPOSE BUILDING AT PCDP, TALON-TALON)</t>
  </si>
  <si>
    <t>Medical Supplies and Laboratory Equipment</t>
  </si>
  <si>
    <t>Purchase of Five (5) units Floor Standing Air Conditioner including Installation for Various Offices</t>
  </si>
  <si>
    <t>Purchase of Hardware Supplies/Materials</t>
  </si>
  <si>
    <t>Provision of agricultural supplies for Farmer-Scientist Training Program Phase II or on the On-Farm Experimentation and Technology Adoption</t>
  </si>
  <si>
    <t>20GOH0004-Proposed  Purchase of Uniforms for Maintenance Workers along Various National Roads within SMDEO Jurisdiction</t>
  </si>
  <si>
    <t>Design and Build for the Improvement of Water Supply System Level III</t>
  </si>
  <si>
    <t>AGRICULTURAL CHEMICALS</t>
  </si>
  <si>
    <t>Purchase of Children's Books</t>
  </si>
  <si>
    <t>Purchase of Hardware Materials for the Improvement of Municipal Building Water System, Isabela, Neg. Occ.</t>
  </si>
  <si>
    <t>Supply &amp; Delivery of IT Equipment for office use (CPDO).</t>
  </si>
  <si>
    <t>Office Supplies and Devices</t>
  </si>
  <si>
    <t>Construction Projects - Completion of Multi-Purpose Building - Roofing - Madua Norte, Duero, Bohol</t>
  </si>
  <si>
    <t>RFQ-Agricutural Equipment ( Manure Spreader)</t>
  </si>
  <si>
    <t>Construction of Multi-Purpose Bldg. (Phase 2) in Matag-ob, Leyte, ABC PHP19,998,728.19</t>
  </si>
  <si>
    <t>Procurement of PVC pipes with gasket</t>
  </si>
  <si>
    <t>Procurement of I.T. Equipment, SAN JOSE CITY NUEVA ECIJA</t>
  </si>
  <si>
    <t>request for quotation for Desktop and Laptop (PMD)</t>
  </si>
  <si>
    <t>Purchase of photocopier machine  for the Engineering Office</t>
  </si>
  <si>
    <t>RFQ PALLET 1200 X 1000MM, PLASTIC</t>
  </si>
  <si>
    <t>SUPPLY &amp; DELIVERY OF GROCERY ITEMS USE FOR CAFGU/AFP under 26th IB COMPANY ASSIGNED IN THIS MUNICIPLAITY</t>
  </si>
  <si>
    <t>CONSTRUCTION OF BARANGAY FOOTBRIDGE</t>
  </si>
  <si>
    <t>TIRES per PR# 2020-06-095</t>
  </si>
  <si>
    <t>Request for Price Quotation for Official Clerical Tables (140cm x 70cm) (4th Supplemental 2019 APP)</t>
  </si>
  <si>
    <t>Supply and Delivery of Tubeless Tires and Batteries for COC 122 (“Project”)</t>
  </si>
  <si>
    <t>PROCUREMENT OF HOTEL ACCOMODATION OF THE RETURNING OFW UNDER THE BALIK PROBINSYA PROGRAM (OCM – BARMM)</t>
  </si>
  <si>
    <t>S/D of 25 boxes	Betahismine 24mg tab x 100s &amp; 24 others</t>
  </si>
  <si>
    <t>PROCUREMENT OF CERTIFIED PALAY SEEDS</t>
  </si>
  <si>
    <t>PURCHASE OF OFFICE SUPPLIES FOR ASSESSOR'S OFFICE</t>
  </si>
  <si>
    <t>Improvement of Road along Tagadtaran-Calao-Villa Aurora Road Section in Burauen, Leyte, ABC PHP9,999,200.55</t>
  </si>
  <si>
    <t>Drugs-Isophane Insulin Human (Recombinant DNA) 100IU/ml, 10ml (2nd Posting)</t>
  </si>
  <si>
    <t>Plastic Chair (MO?GAD)</t>
  </si>
  <si>
    <t>Request for Quotation for the Provision of Office Supplies and Devices to be used during the conduct of various trainings and activities under Rice Program for CY 2020.</t>
  </si>
  <si>
    <t>Request for Quotation of Construction Materials for Repair &amp; Maintenance of Parks and Plaza</t>
  </si>
  <si>
    <t>Reblocking of Provincial Road along Brgy. Maghubas-Libas (Burauen, Leyte) - Cambucao (Tabontabon, Leyte) Road Section, ABC PHP19,200,292.68</t>
  </si>
  <si>
    <t>General Merchandise SW-1008-2020-0074</t>
  </si>
  <si>
    <t>HANDWASHING MATERIALS FOR LEARNERS AND OFFICE SUPPLIES</t>
  </si>
  <si>
    <t>Supply and Delivery of Various Laboratory Supplies(PR#19-03-0418)</t>
  </si>
  <si>
    <t>LABORATORY SUPPLIES &amp; EQUIPMENT</t>
  </si>
  <si>
    <t>Reblocking of Road along MacArthur-Palale-San Antonio Provincial Road Section in MacArthur, Leyte, ABC PHP9,969,583.12</t>
  </si>
  <si>
    <t>SUBSIDIES SUPPLIES FOR RESIDENTS (BDSK)</t>
  </si>
  <si>
    <t>Supply &amp; Delivery of Construction materials &amp; supplies</t>
  </si>
  <si>
    <t>PURCHASE OF VEHICLE MAINTENANCE PARTS AND SUPPLIES</t>
  </si>
  <si>
    <t>HIRE OF VEHICLE FOR THE CONDUCT OF CCAM PAYOUT AND OTHER RELATED ACTIVITIES OF DRMD IN IFUGAO</t>
  </si>
  <si>
    <t>PROCUREMENT OF OFFICE EQUIPMENT FOR MPDC OFFICE</t>
  </si>
  <si>
    <t>Provision for consultancy services for Physician for Pag-IBIG Fund Northern Mindanao</t>
  </si>
  <si>
    <t>Supply &amp; Delivery of Office Supplies &amp; Materials</t>
  </si>
  <si>
    <t>Drip irigation</t>
  </si>
  <si>
    <t>CONSTRUCTION OF NGO'S OFFICE PHASE-II</t>
  </si>
  <si>
    <t>Purchase of Fishing Gears and Other Fishing Paraphernalia for Subsidized Assistance Project Provincial Agriculture Office Province of Northern Samar</t>
  </si>
  <si>
    <t>MDH-FOOD SUPPLIES</t>
  </si>
  <si>
    <t>Catering Services in the Conduct of Strengthening Participatory Governance (Makilahok) under Kalahi-CIDSS NCDDP</t>
  </si>
  <si>
    <t>Request for the EMT training package for the use of PCDRRMO, Pasig City</t>
  </si>
  <si>
    <t>Supply and Delivery of Laboratory Supplies and Reagents for the use in Mambusao District Hospital</t>
  </si>
  <si>
    <t>Procurement of Money Counting Machine, SAN JOSE CITY NUEVA ECIJA</t>
  </si>
  <si>
    <t>Medical Supplies -1008-2020-0070</t>
  </si>
  <si>
    <t>Supply and Delivery of CALAMITY EQUIPMENT AND SUPPLY @Brgy Ulango, Tanauan City, Batangas</t>
  </si>
  <si>
    <t>General Merchandise-1008-2020-0071</t>
  </si>
  <si>
    <t>Request for the emergency telecommunicators certification course for the use of PCDRRMO, Pasig City</t>
  </si>
  <si>
    <t>Procurement of Office Supplies, SAN JOSE CITY NUEVA ECIJA</t>
  </si>
  <si>
    <t>Black Junior Executive Chairs, Long Back with arm rest, Faux leather</t>
  </si>
  <si>
    <t>Procurement of Hardware and Construction Supplies for the Renovation of Vice Governors Comfort Room.</t>
  </si>
  <si>
    <t>Catering Services in the Conduct of Strengthening Community Participation in Local Governance (Makilahok) [Madrid, SDS]</t>
  </si>
  <si>
    <t>Construction of Suspension Support and Crossover Pipeline along Cogon-San Joaquin Bridge in Palo, Leyte, ABC PHP5,776,634.39</t>
  </si>
  <si>
    <t>Supply &amp; Delivery of Painting Materials for painting of pedestrian lanes, traffic signs on poblacion roads/street (OCES).</t>
  </si>
  <si>
    <t>Construction Of Hanging Bridge From Brgy. Canal to Brgy. Bislig in Carigara, Leyte, ABC PHP5,999,929.43</t>
  </si>
  <si>
    <t>General Merchandise</t>
  </si>
  <si>
    <t>Supply and Delivery of Spare Parts for Fire Truck D1P031 and Generator</t>
  </si>
  <si>
    <t>Drugs-Ephedrine 50mg/ml, 1ml (as Sulfate) &amp; 4 others (2nd Posting)</t>
  </si>
  <si>
    <t>Procurement of Laboratory and Medical Supplies for Rural Health Unit</t>
  </si>
  <si>
    <t>Cont. Ref. No. 017-20: Construction of Canal at Naiba (near Josie Fagyan Residence) at Tuding, Itogon, Benguet</t>
  </si>
  <si>
    <t>Procurement of Android Smart Phone</t>
  </si>
  <si>
    <t>Request for the Technical training course package for the use of PCDRRMO, Pasig City</t>
  </si>
  <si>
    <t>Improvement of Flood Control and Single Box Culvert in Brgy. Calao, Burauen, Leyte, ABC PHP7,018,489.20</t>
  </si>
  <si>
    <t>General Merchandise-1008-2020-0079</t>
  </si>
  <si>
    <t>REHABILITATION OF CABADBARAN DISTRICT HOSPITAL (REHAB / REPAIR / IMPROVEMENT OF CDH)</t>
  </si>
  <si>
    <t>CONTINUATION OF COVERED COURT</t>
  </si>
  <si>
    <t>MATERIALS FOR THE REHABILITATION OF WATER SUPPLY SYSTEM</t>
  </si>
  <si>
    <t>20GA0226-Construction of (15) Fifteen School Site and Public Building Rainwater Collector System Province of Aklan</t>
  </si>
  <si>
    <t>Purchase of Supplies</t>
  </si>
  <si>
    <t>Procurement of IT Supplies</t>
  </si>
  <si>
    <t>Procurement of IT Supplies parts and accessories</t>
  </si>
  <si>
    <t>Executive Chair</t>
  </si>
  <si>
    <t>Purchase of Cellphone of Barangay Balite, San Luis, Batangas</t>
  </si>
  <si>
    <t>2.0 Megapixel HD CCTV Packages with 1TB Hard Drives</t>
  </si>
  <si>
    <t>Construction Supplies-1008-2020-0078</t>
  </si>
  <si>
    <t>Catering Services in the Conduct of Strengthening Community Participation in Local Governance (Makilahok) [Del Carmen, SDN]</t>
  </si>
  <si>
    <t>Concreting of Road along JNR Rizal-Cambinoy-San Pedro Cancosme San Guillermo Provincial Road Section in Palompon, Leyte, ABC PHP4,999,751.78</t>
  </si>
  <si>
    <t>Catering Services in the Conduct of Strengthening Community Participation in Local Governance (Makilahok) [San Francisco, SDN]</t>
  </si>
  <si>
    <t>General Merchandise-1008-2020-0076</t>
  </si>
  <si>
    <t>SUPPLY OF PLATES</t>
  </si>
  <si>
    <t>PRINTER TONERS &amp; RIBBON</t>
  </si>
  <si>
    <t>Catering Services in the Conduct of Strengthening Community Participation in Local Governance (Makilahok) [Sibagat, ADS]</t>
  </si>
  <si>
    <t>SUPPLY &amp; DELIVERY OF ELECTRICAL SUPPLIES</t>
  </si>
  <si>
    <t>Purchase &amp; Delivery of Office Supplies &amp; Consumables for the Office of SPM Janina Carine S. Medina-Fariñas</t>
  </si>
  <si>
    <t>HO-EMA20-020 - Supply and Delivery of Vision Headlights</t>
  </si>
  <si>
    <t>RFQ WIRE PASSER</t>
  </si>
  <si>
    <t>SUPPLY AND DELIVERY OF LABORATORY SUPPLIES</t>
  </si>
  <si>
    <t>Catering Services in the Conduct of Strengthening Community Participation in Local Governance (Makilahok) [Sta. Josefa, SDN]</t>
  </si>
  <si>
    <t>Supply/Delivery of Appliances to Use for Birthing Unit. (PR# 20-02-0177)"</t>
  </si>
  <si>
    <t>Supply of Calamansi Seedlings</t>
  </si>
  <si>
    <t>For Accounting Section used</t>
  </si>
  <si>
    <t>Purchase of Steel Filing Cabinet (4 Layer Drawer)</t>
  </si>
  <si>
    <t>Catering Services in the Conduct of Strengthening Community Participation in Local Governance (Makilahok) [Rosario, ADS]</t>
  </si>
  <si>
    <t>Request for Quotation for Harris Hematoxylin stain per PR No. 20-05-0155</t>
  </si>
  <si>
    <t>Parts and Labor Services (Repair of Service Vehicle)</t>
  </si>
  <si>
    <t>Construction of Vermicomposting Shed in support to Organic Agriculture Program CY 2020</t>
  </si>
  <si>
    <t>Repair and Maintenance of Pathway</t>
  </si>
  <si>
    <t>for Laboratory testing: Blood Chemistry and Hermatology : Creatinine and BUN and Differential Lyse</t>
  </si>
  <si>
    <t>Supply and Delivery of Materials/Tools to be used in the fabrication of FRP Boat Target CY2020</t>
  </si>
  <si>
    <t>Starter kit for the conduct of Onsite Training on Urban Gardening: Intensifying Vegetable Production towards a Food Secure Society</t>
  </si>
  <si>
    <t>Catering Services in the Conduct of Strengthening Community Participation in Local Governance (Makilahok) [Trento, ADS]</t>
  </si>
  <si>
    <t>Drugs-Influenza Polyvalent (Quadrivalent) Vaccine 0.5ml Vial + PFS Diluent/0.5ml Suspension in Prefilled Syringe (2nd Posting)</t>
  </si>
  <si>
    <t>Request for Quotation of Laptop at NORSU Main Campus</t>
  </si>
  <si>
    <t>Procurement of Diesel and Gasoline for maintenance of Garbage Trucks, Services Vehicles &amp; Heavy Equipments (CGSO)</t>
  </si>
  <si>
    <t>Purchase of office supplies of Barangay Balite, San Luis, Batangas</t>
  </si>
  <si>
    <t>New Construction of Level - II Potable Water System at Sitio Luway, Brgy, Cajimos, Romblon, Romblon - MEO</t>
  </si>
  <si>
    <t>BROILER PRODUCTION AND TRADING IN BILIBINWANG, AGONCILLO</t>
  </si>
  <si>
    <t>Construction Supplies-1008-2020-0077</t>
  </si>
  <si>
    <t>Construction of Hand Washing Facility and Canteen Improvement at San Vicente East Elementary School.</t>
  </si>
  <si>
    <t>PROCUREMENT OF DORMITORY WATER SUPPLY</t>
  </si>
  <si>
    <t>Catering Services in the Conduct of Strengthening Community Participation in Local Governance (Makilahok) [Malimono, SDN]</t>
  </si>
  <si>
    <t>CONSTRUCTION OF COVERED CANAL AND CONCRETING OF PATHWALK AT PUROK I</t>
  </si>
  <si>
    <t>MEDICAL AND JANITORIAL SUPPLY OF PENAFRANCIA ELEMENTARY SCHOOL</t>
  </si>
  <si>
    <t>Purchase of Medical Supplies</t>
  </si>
  <si>
    <t>SUPPLY AND DELIVERY OF ANIMAL FEEDS, DRUGS &amp; VITAMINS USE FOR ORGANIC SWINE FOR 3rd &amp; 4th QUARTER 2020</t>
  </si>
  <si>
    <t>Procurement of Farm Productivity Assistance to ARBs under the PaSSOver: ARBold Move for Deliverance of our Farmers from the COVID-19 Pandemic</t>
  </si>
  <si>
    <t>Catering Services in the Conduct of Strengthening Community Participation in Local Governance (Makilahok) [San Jose, PDI]</t>
  </si>
  <si>
    <t>Construction of Multi-Purpose Bldg. with Slope Protection in Brgy. Lanoy, Kananga, Leyte, ABC PHP4,955,494.22</t>
  </si>
  <si>
    <t>Catering Services in the Conduct of Strengthening Community Participation in Local Governance (Makilahok) [Placer, SDN]</t>
  </si>
  <si>
    <t>Purchase of External Hardrive 2TB</t>
  </si>
  <si>
    <t>Furnish of labor and materials for the production of pamphlets as IEC materials of Social Pension Program for CY 2020</t>
  </si>
  <si>
    <t>Request for Quotation for the Provision of Printing services to be used during the conduct of various trainings and activities under Rice Program for CY 2020.</t>
  </si>
  <si>
    <t>Supply of Livestock &amp; Poultry Supplies</t>
  </si>
  <si>
    <t>1001BDE-2020-002-0002 Other Supplies and Materials</t>
  </si>
  <si>
    <t>Catering Services in the Conduct of Strengthening Community Participation in Local Governance (Makilahok) [Basilisa, PDI]</t>
  </si>
  <si>
    <t>Procurement of Drugs and Medicines for Cortes Municipal Hospital Pharmacy.</t>
  </si>
  <si>
    <t>Provision of Security Guards for Six Months Contract</t>
  </si>
  <si>
    <t>Construction of Waiting Shed in Front of Roman Catholic Church</t>
  </si>
  <si>
    <t>Cont. Ref. No. 056-20: Installation of Water Pump and Construction of Housing Tomtombek at Ampucao, Itogon, Benguet</t>
  </si>
  <si>
    <t>CONSTRUCTION OF MULTI-PURPOSE HALL - PHASE II AT HINIGDAAN, EL SALVADOR CITY</t>
  </si>
  <si>
    <t>Purchase of  goods for	Disaster Equipment</t>
  </si>
  <si>
    <t>Concreting of Farm-to-Market Road in Brgy. Bitanhuan, Baybay City, Leyte, ABC PHP3,525,816.55</t>
  </si>
  <si>
    <t>Drugs-0.9 Sodium Chloride 100ml, Plastic (2nd Posting)</t>
  </si>
  <si>
    <t>Cont. Ref. No. 021-20: Completion of Pathway at Lower Mangga from Yucmos to Wannis Residence at Tuding, Itogon, Benguet</t>
  </si>
  <si>
    <t>Cont. Ref. No. 029-20: Construction of Pathway with Drainage Canal at Lower Mangga (L. Cabangen  to  T. Justo Area) at Tuding, Itogon, Benguet</t>
  </si>
  <si>
    <t>Supply abd Delivery of Laboratory Supplies and Equipment(PR#20-06-0247)</t>
  </si>
  <si>
    <t>Procurement of Computer Laboratory Materials</t>
  </si>
  <si>
    <t>Supply and Installation of Polycarbonate Roofing Materials Bended Accessories,  Labor Installation and Trucking Services for the Repair and Maintenance of PVGO Office Building</t>
  </si>
  <si>
    <t>Printers</t>
  </si>
  <si>
    <t>REHABILITATION OF DAMAGED ROADS/BRIDGES/SLOPE PROTECTION OF BRIDGE APPROACHES/ OTHER STRUCTURES</t>
  </si>
  <si>
    <t>Supply and Delivery of CM for the construction of tire path @ Kellet -Ba-neng phase II</t>
  </si>
  <si>
    <t>Repair/ Improvement of Multi-purpose Bldg.</t>
  </si>
  <si>
    <t>Cont. Ref. No. 043-20: Construction of Drainage Canal at Nangileg at Ampucao, Itogon, Benguet</t>
  </si>
  <si>
    <t>Purchase of Water Treatment Supply for the 3 Pumping Stations of SIWAD</t>
  </si>
  <si>
    <t>HO-EMA20-021 - Supply, Delivery and Commissioning of Analyzer Chemical Oxygen Demand at NPC-EMD Analytical Services Laboratory</t>
  </si>
  <si>
    <t>Installation of Handwashing Facilities</t>
  </si>
  <si>
    <t>REVERSIBLE, MAGNETIC WHITEBOARD WITH ALUMINUM FRAME AND STAND 4 X 5 FT (2nd Posting)</t>
  </si>
  <si>
    <t>Procurement of Wardrobes and Accessories for the Miss Earth Philippines</t>
  </si>
  <si>
    <t>Construction of Multi-Purpose Bldg. (Phase 2) in Brgy. Potot, Capoocan, Leyte, ABC PHP3,899,090.61</t>
  </si>
  <si>
    <t>SUPPLY AND DELIVERY OF ONE (1) UNIT 4X4 PICK-UP FOR THE CITY SECURITY AND TRAFFIC MANAGEMENT TASKFORCE OFFICE – 2ND BIDDING</t>
  </si>
  <si>
    <t>Construction Projects - Construction of Flood Control - Guinsularan, Duero, Bohol</t>
  </si>
  <si>
    <t>RFQ Aguisan ES Celinas</t>
  </si>
  <si>
    <t>Supply and Delivery of Construction Materials and Supplies for the Construction of Additional Air Ventilation</t>
  </si>
  <si>
    <t>Construction of 2 Units 3-Chamber Septic Vault Beside Prov’l Budget &amp;Tourism Offices, New Capitol Bldg. Brgy. Dalakit, Catarman, N. Samar</t>
  </si>
  <si>
    <t>Procurement of chicken for the Provide Livelihood Assistance to Solo Parent and Women Sector</t>
  </si>
  <si>
    <t>Construction of Kitchen and Water Sanitation Facility at Palaris Elementary School.</t>
  </si>
  <si>
    <t>Various Office Supplies</t>
  </si>
  <si>
    <t>Rent of 10 Ea	20ftr Container van-Manila to 9FSSU/11ID,PA Zamboanga City (Door to Door Delivery)</t>
  </si>
  <si>
    <t>R/M of HINO Dump Truck, JM-3201 under PR# 2020-01-0679 (re-canvass #2)</t>
  </si>
  <si>
    <t>Supply of foods (July-August 2020)</t>
  </si>
  <si>
    <t>Supply of Met-Egg Type Colored Chicken</t>
  </si>
  <si>
    <t>Purchase of Materials to be used for the Construction of School Stage</t>
  </si>
  <si>
    <t>Materials for WebMinar on Simplifying Science Modules as instrument for home-based learning</t>
  </si>
  <si>
    <t>Catering Services in the Conduct of Strengthening Community Participation in Local Governance (Makilahok) [Lianga, SDS]</t>
  </si>
  <si>
    <t>REPAIR OF CONCRETE ROAD WITH COVERED CROSS DRAIN AT PUROK I</t>
  </si>
  <si>
    <t>SOUND SYSTEM 1</t>
  </si>
  <si>
    <t>Make --Over Services for the Miss Earth Philippines</t>
  </si>
  <si>
    <t>COMPLETION OF DORMITORY AND CAFETERIA OF FARM TECHNOLOGY TRAINING CENTER FOR PAMPLONA CAMPUS</t>
  </si>
  <si>
    <t>Purchase of Toilet Bowl For Assistance to Indigent Families to Declare Gingoog Zero Open Defecation Under P.R. No. 100-20-04-080</t>
  </si>
  <si>
    <t>SUPPLY &amp; DELIVERY OF INFORMATION TECHNOLOGY ACCESSORIES</t>
  </si>
  <si>
    <t>Procurement of Petroleum (Diesel, Engine Oil and Unleaded Gas)</t>
  </si>
  <si>
    <t>CONSTRUCTION OF DRAINAGE OPEN CANAL PUROK ILANG-ILANG - Budiong, Odiongan Romblon</t>
  </si>
  <si>
    <t>Procurement of Hospital/Medical Equipment to be distributed to different City/Municipality, Province of Surigao del Sur.</t>
  </si>
  <si>
    <t>CONSTRUCTION OF ONE ROOM AT NARRA BARANGAY HEALTH CENTER, BRGY. NARRA, SAN MANUEL, PANGASINAN</t>
  </si>
  <si>
    <t>Purchase of Garments (Support to COVID - 19 Frontliners)</t>
  </si>
  <si>
    <t>Purchase of Fire Fighting &amp; Safety Equipment to Respond to an emergency Under P.R. No. 30-20-06-065</t>
  </si>
  <si>
    <t>Procurement of Janitorial Supplies</t>
  </si>
  <si>
    <t>Repair of Brgy Stage</t>
  </si>
  <si>
    <t>PR#20-06-0289 Repair and Maintenance of City Hall Vehicle</t>
  </si>
  <si>
    <t>SUPPLY AND DELIVERY OF ONE (1) UNIT COMBINE RICE HARVESTER AND ONE (1) UNIT FARM TRACTOR FOR THE CITY AGRICULTURIST OFFICE</t>
  </si>
  <si>
    <t>purchase of load for communication purposes #3</t>
  </si>
  <si>
    <t>Supply and Delivery of Various Construction Materials for the Fabrication of 1 Unit, 5 Rooms Isolation Room Barangay Kalangaman Bato, Leyte</t>
  </si>
  <si>
    <t>Construction of Slope Protection (Building Protection) under CY 2019 QRF Savings</t>
  </si>
  <si>
    <t>Rehabilitation of LGU Owned Potable Water System - M.O</t>
  </si>
  <si>
    <t>Widening of Tresher Crossing at Macuban, Brgy. Domanpot, Asingan, Pangasinan.</t>
  </si>
  <si>
    <t>INSTALLATION OF TWO (2) UNITS ARTESIAN WELL FOR IRRIGATION SYSTEM (LABOR SERVICES) - TWO FAILED BIDDING</t>
  </si>
  <si>
    <t>Purchase of Spareparts for the Repair and Maintenance and Reconditioning of Rescue Vehicle (Starex Hyundai) for DRRM Operation</t>
  </si>
  <si>
    <t>Purchase of Sliding Windows and Door for Rehabilitation of Mayor's Office Phase 2</t>
  </si>
  <si>
    <t>SOUND SYSTEM 2</t>
  </si>
  <si>
    <t>MOOE Request for Mar-May 2020</t>
  </si>
  <si>
    <t>Labor, Automotive Supplies, Oil and Lubricants PMS POZ853</t>
  </si>
  <si>
    <t>STRAIGHT FORWARD TELESCOPE 0 DEGREE, ENLARGED VIEW, DIAMETER 5MM LENGTH 29CM, AUTOCLAVE, FIBER OPTIC LIGHT TRANSMISSION INCORPORATED  &amp; 3 OTHERS (2nd Posting)</t>
  </si>
  <si>
    <t>ONE PAGE NEWSPAPER ADVERTISEMENT IN MAJOR DAILY  FOR THE 2020 NAST AWARDS</t>
  </si>
  <si>
    <t>Catering services for KSL and Technical Briefing on Hybrid Rice Production</t>
  </si>
  <si>
    <t>Purchase of Rescue Equipment</t>
  </si>
  <si>
    <t>CONSTRUCTION OF BS IN ENTREPRENEURSHIP DISPLAY AND PRODUCTION ROOM</t>
  </si>
  <si>
    <t>Procurement of Computer Lab. Materials</t>
  </si>
  <si>
    <t>PROCUREMENT OF SUBMERSIBLE PUMP MOTOR</t>
  </si>
  <si>
    <t>General Merchandise SW 1008-2020-0072</t>
  </si>
  <si>
    <t>Supply and Delivery of Medical UV Lights and Air Purifier</t>
  </si>
  <si>
    <t>Delivery and Installation of Roof</t>
  </si>
  <si>
    <t>LBP Various NCR Projects (Supply of Personal Protective Equipments)</t>
  </si>
  <si>
    <t>Procurement of Meals and Snacks for Miss Earth Pageant</t>
  </si>
  <si>
    <t>DES -SANDWICH BAG &amp; 1 OTHER (2ND POSTING)</t>
  </si>
  <si>
    <t>Content Delivery Network (CDN) Business Plan – Subscription for One (1) year</t>
  </si>
  <si>
    <t>Part of Plumbing tools for 1st Qtr</t>
  </si>
  <si>
    <t>05 - 02 Ink Refill</t>
  </si>
  <si>
    <t>Supply and Delivery of Office Equipment for the use in Provincial Assessor's Office</t>
  </si>
  <si>
    <t>Concreting of Tourism Eco-Park Access Road-Sto. Domingo</t>
  </si>
  <si>
    <t>Procurement of Aircondition to be used at the classrooms</t>
  </si>
  <si>
    <t>Procurement of Food Stuff</t>
  </si>
  <si>
    <t>Cellphone Load Cards for Key Officials and Drivers</t>
  </si>
  <si>
    <t>Drugs-Midazolam 15mg Tab &amp; 4 others (2nd Posting)</t>
  </si>
  <si>
    <t>Videoshoot services for the Miss Earth Philippines Pageant</t>
  </si>
  <si>
    <t>Purchase of Water Pump</t>
  </si>
  <si>
    <t>Procurement of Expanded Newborn Screening Kits to be used for RHU-Birthing Station</t>
  </si>
  <si>
    <t>2nd Posting: Purchase of Office Equipment used in the Office of the MSWD</t>
  </si>
  <si>
    <t>Supply and Delivery of Construction Supplies and Materials for City Treasurer's office use.</t>
  </si>
  <si>
    <t>Improvement of Road in Brgy. Uguisan, MacArthur, Leyte, ABC PHP9,999,195.07</t>
  </si>
  <si>
    <t>Materials for Improvement of Ginablan Bird Sanctuary and Mangroves - MEO</t>
  </si>
  <si>
    <t>1001BDE-2020-002-0001 Office Supplies</t>
  </si>
  <si>
    <t>CONSTRUCTION OF 1-UNIT SEPTIC VAULT BRGY. GATA</t>
  </si>
  <si>
    <t>Preventive maintenance of GC Instrument ECD</t>
  </si>
  <si>
    <t>Procurement of Vehicle Parts and Accessories</t>
  </si>
  <si>
    <t>Civil Works by Contract for the Improvement of Water Supply System Level III (Damula-an)</t>
  </si>
  <si>
    <t>Supply and Delivery of Multifarious Hardware Materials</t>
  </si>
  <si>
    <t>LAPTOP FOR EXECUTIVE - 20060269 (MAM)</t>
  </si>
  <si>
    <t>REHABILITATION OF DRAINAGE AT FILACS LOWER TUNDOL</t>
  </si>
  <si>
    <t>Procurement of Construction Materials and Supplies</t>
  </si>
  <si>
    <t>Construction of Seawall (between Guitna and Bonbon) P-I</t>
  </si>
  <si>
    <t>PR#20-06-0293 Repair and Maintenance of City Hall Vehicle</t>
  </si>
  <si>
    <t>Procurement of Desktop and Netbook for the Assessors Office</t>
  </si>
  <si>
    <t>Labor and Materials for Construction and Landscaping at San Pedro National High School, San Pedro, Iriga City</t>
  </si>
  <si>
    <t>SECOND QUARTER SUPPLIES 2020</t>
  </si>
  <si>
    <t>SMART TV 86"</t>
  </si>
  <si>
    <t>Procurement of 2019 NEA Annual Report</t>
  </si>
  <si>
    <t>Labor and Materials for the Construction of Drainage Canal &amp; Pathway at New Government Center, Sta. Cruz Sur, Iriga City</t>
  </si>
  <si>
    <t>Installation of Street Lights</t>
  </si>
  <si>
    <t>GRINDING MACHINE - MSWMO</t>
  </si>
  <si>
    <t>Purchase of one (1) unit Photocopier for use at the Office of the Municipal Treasurer.</t>
  </si>
  <si>
    <t>DES -PLASTIC CONTAINER WITH COVER &amp; 1 OTHER (7TH POSTING)</t>
  </si>
  <si>
    <t>PURCHASE OF DRUGS AND MEDICINES FOR MUNICIPAL HEALTH OFFICE</t>
  </si>
  <si>
    <t>Repairs and Maintenance for CCTV - 2nd Quarter 2020</t>
  </si>
  <si>
    <t>supply &amp; delivery of electrical supplies for buksu talakag campus</t>
  </si>
  <si>
    <t>Procurement of Headsets, Webcams and Laptops</t>
  </si>
  <si>
    <t>Supply and Delivery of bondpaper and staple wire for printing of contracts needed in the native chicken dispersal re: COVID 19 pandemic</t>
  </si>
  <si>
    <t>CONCRETING OF PATHWAY AT PUROK 5</t>
  </si>
  <si>
    <t>Purchase of Certified Seeds for Farmers of Calasiao, Pangasinan</t>
  </si>
  <si>
    <t>Proposed Kapate Tribal Village (IP Housing Project) @ Brgy. Kapate, Kiamba, Sarangani Province</t>
  </si>
  <si>
    <t>Printing of Souvenir Program &amp; Invitations, Certificates and Diploma  for the graduates and completers for S.Y 2019-2020</t>
  </si>
  <si>
    <t>Supply and Delivery of Construction Materials and Supplies for the Fabrication of Emergency Quarantine Facility (6 units)</t>
  </si>
  <si>
    <t>Personal Protective Equipment: Bunny Suit, Goggles, Gloves, Alcohol</t>
  </si>
  <si>
    <t>Request for Quotation_Office Supplies</t>
  </si>
  <si>
    <t>PROCUREMENT OF KOREAN COMBI BLINDS TO BE USED IN THE ADMINISTRATIVE, ACCOUNTING &amp; BUDGET OFFICE</t>
  </si>
  <si>
    <t>Procurement of 2hp compressor motor for the aircon maintenance of DSWD FO XII</t>
  </si>
  <si>
    <t>ITB 2020-GS-009A HFEP EQUIPMENT (PACKAGE 1)</t>
  </si>
  <si>
    <t>Improvement of Multipurpose Hall/Concreting Drainage System &amp; Barangay Site</t>
  </si>
  <si>
    <t>Interior Blinds (roller type) with installation</t>
  </si>
  <si>
    <t>73IB-2020-004 Food Supplies</t>
  </si>
  <si>
    <t>Procurement of Laboratory Supplies</t>
  </si>
  <si>
    <t>Construction of Local Core Road Barangay Apad</t>
  </si>
  <si>
    <t>Purchase of One (1) Unit Wall Mounted Air Condition for BM Dacal Office use</t>
  </si>
  <si>
    <t>Purchase of  Mental Health	Medicines</t>
  </si>
  <si>
    <t>Supply and Delivery of Water System Materials</t>
  </si>
  <si>
    <t>HARDWARE MATERIALS</t>
  </si>
  <si>
    <t>Procurement of Protective Supplies</t>
  </si>
  <si>
    <t>DESKTOP (BASIC), DESKTOP (MID-RANGE) &amp; LAPTOP (MID-RANGE) - 20060271</t>
  </si>
  <si>
    <t>SUPPLY &amp; DELIVERY OF OFFICE SUPPLIES-SCHOLARSHIP</t>
  </si>
  <si>
    <t>Request for Quotation of Salapawan ES and Kiman-anao ES</t>
  </si>
  <si>
    <t>INVITATION TO BID FOR THE SUPPLY &amp; DELIVERY OF DIESEL FOR MMO WITH PR#2020-GF-06-299 AND ABC OF P518,803.34</t>
  </si>
  <si>
    <t>SUPPLY &amp; DELIVERY OF BUDDED RUBBER &amp; GRAFTED EXOTIC TROPICAL FRUIT TREES</t>
  </si>
  <si>
    <t>Construction of Local Core Road Barangay Gango</t>
  </si>
  <si>
    <t>Procurement of Sodium Hypochlorite (Waterine) to be used for Sanitary Section</t>
  </si>
  <si>
    <t>Supply and Delivery of 1 Unit 2020 Commuter Van 2.8L M/T and 2 units Automatic Motorcycle 150i.</t>
  </si>
  <si>
    <t>CONCRETING OF PATHWAY AT PUROK 1</t>
  </si>
  <si>
    <t>SUPPLY &amp; DELIVERY OF FURNITURE PARTS &amp; ACCESSORIES</t>
  </si>
  <si>
    <t>PURCHASE OF DRUGS AND MEDICINES</t>
  </si>
  <si>
    <t>MEALS AND SNACKS</t>
  </si>
  <si>
    <t>Office Supplies (1st &amp; 2nd Qtr)</t>
  </si>
  <si>
    <t>Clustered Project 1</t>
  </si>
  <si>
    <t>Supply of Fuel and Lubricants for Maintenance of City Mayor’s and Other City Government Service Vehicle</t>
  </si>
  <si>
    <t>Purchase of medicines &amp; Family Planning Supplies</t>
  </si>
  <si>
    <t>Concreting of Lined Canal with cover (Materials)</t>
  </si>
  <si>
    <t>FURNISHING OF MATERIALS FOR THE CONSTRUCTION OF WATER TANK AT PUROK 3</t>
  </si>
  <si>
    <t>PROCUREMENT OF DIESEL FUEL</t>
  </si>
  <si>
    <t>For use in Planning &amp; Design Section, DPWH, Pagadian City</t>
  </si>
  <si>
    <t>Construction of Local Core Road Barangay Bukal</t>
  </si>
  <si>
    <t>Purchase of One (1) unit Brand New 4-wheeler Vehicle, 10 feet w/ Aircon (Back to Back). For use of Kabankalan City Police Station.</t>
  </si>
  <si>
    <t>Supply and Delivery of Various Office Equipment and Paraphernalia</t>
  </si>
  <si>
    <t>PURCHASE OF MEDICAL SUPPLIES OF MUNICIPAL HEALTH OFFICE 2020</t>
  </si>
  <si>
    <t>SUPPLY, DELIVERY AND INSTALLATION OF LABORATORY EQUIPMENT FOR THE ENHANCEMENT OF THE LABORATORY OF BIOSYSTEMS, AGRICULTURE AND OTHER RELATED PROGRAMS</t>
  </si>
  <si>
    <t>CONCRETING OF PATHWAY AT PUROK 2 TO 3</t>
  </si>
  <si>
    <t>DES -PITCHER STAINLESS &amp; 4 OTHERS (7TH POSTING)</t>
  </si>
  <si>
    <t>DES -STRAINER &amp; 5 OTHERS (7TH POSTING)</t>
  </si>
  <si>
    <t>CONSTRUCTION OF DRAINAGE OPEN CANAL PUROK MARY GOLD - Budiong, Odiongan Romblon</t>
  </si>
  <si>
    <t>Clustered Project 2</t>
  </si>
  <si>
    <t>INVITATION TO BID FOR THE SUPPLY &amp; DELIVERY OF MEALS&amp;SNACKS FOR MSWDO WITH PR#2020-GF-06-351 AND ABC OF P216,000.00</t>
  </si>
  <si>
    <t>EXTENSION OF RHU WAITING AREA AND PHARMACY EXTENSION, LGU CAMPUS, VILLABA, LEYTE - PHILHEALTH CAPITATION</t>
  </si>
  <si>
    <t>INSTALLATION OF SOLAR PANEL STREET LIGHTS</t>
  </si>
  <si>
    <t>PR#20-06-0291 Repair and Maintenance of City Hall Vehicle</t>
  </si>
  <si>
    <t>1. Tools (for the use of Motorpool Section)/CMO-Motorpool 2. Battery (12 volts,11 plates)/CWMO</t>
  </si>
  <si>
    <t>Supply and Delivery of Various Office Supplies (6 items)</t>
  </si>
  <si>
    <t>SUBSCRIPTION OF EXPENSES for ONESTORE PROJECT - second posting</t>
  </si>
  <si>
    <t>Alcohol with moisturizer</t>
  </si>
  <si>
    <t>Procurement of tires and battery for MDRR Van and LGU Ambulance</t>
  </si>
  <si>
    <t>PR NO. 122-20 MEDICAL SUPPLIES FOR COVID-19 PREPAREDNESS AND REAPONSE (DRRM)</t>
  </si>
  <si>
    <t>Procurement of Devices to be used by AO and Security unit for Documentation</t>
  </si>
  <si>
    <t>Procurement for the Procurement of Four (4) units Motorcycle, Tapaz, Capiz</t>
  </si>
  <si>
    <t>REPLACEMENT OF DEFECTIVE TIRES AND BATTERY</t>
  </si>
  <si>
    <t>HMO-DIGITAL B&amp;W MULTI FUNCTION COPIER/PRINTER/COLOR SCANNER WITH BUILT IN DUPLEX</t>
  </si>
  <si>
    <t>Supply and Delivery of Materials for Replacement of Early Warning Device Wiring</t>
  </si>
  <si>
    <t>Drugs-Epoetin Alfa (Recombinant Human Erythropoetin) 4000IU/0.4ml Prefilled Syringe (2nd Posting)</t>
  </si>
  <si>
    <t>1. Other Supplies/PCC 2. Office Supplies &amp; Other Supplies/Assessor's Office 3. Office Supplies &amp; Other Supplies/Agriculture's Office</t>
  </si>
  <si>
    <t>Procurement of Rice Seeds</t>
  </si>
  <si>
    <t>RFQ 2020-06-020: SUPPLY AND DELIVERY OF OFFICE SUPPLIES FOR QUALITY ASSURANCE SECTION, DPWH CDOC 2ND DEO, MACABALAN, CDOC</t>
  </si>
  <si>
    <t>Repair/Improvement of Portion of PSWDO Building &amp; Construction of 1 Unit 3-Chamber Septic Vault Brgy. Dalakit, Catarman, Northern Samar</t>
  </si>
  <si>
    <t>Procurement of Others Supplies of 522ECB, 51EBde, PA amounting to Php 97,550.00</t>
  </si>
  <si>
    <t>Supply and Delivery of 1 Unit Brandnew FORKLIFT, 4 x 2, 10 tons, diesel engine, 4 cycle water.</t>
  </si>
  <si>
    <t>Supply and Installation of Fire Detection, Alarm and Suppression for Three (3) Storey New Municipal Hall Bldg.</t>
  </si>
  <si>
    <t>0368 Alcohol</t>
  </si>
  <si>
    <t>Purchase of Oder Eliminator &amp; Disenfectant</t>
  </si>
  <si>
    <t>For use in Planning &amp; Design Section Service Vehicle, DPWH, Pagadian CIty</t>
  </si>
  <si>
    <t>Repair and Maintenance of RBC chamber of Hematology Analyzer</t>
  </si>
  <si>
    <t>Procurement of Veterinary Products for Deworming of Large &amp; Small Animals, Anti-Rabies Vaccination for Dogs &amp; Cats and to Treat Diseases of Animals.</t>
  </si>
  <si>
    <t>Procurement of various Medical Supplies for BCDA offices</t>
  </si>
  <si>
    <t>Motorpool Construction Phase I</t>
  </si>
  <si>
    <t>Additional Requirements for the Imrpovement of Wet Market - MEO</t>
  </si>
  <si>
    <t>supply &amp; delivery of electrical supplies and transformer 5KVA for buksu talakag campus</t>
  </si>
  <si>
    <t>Repair of Mulit-purpose Hall</t>
  </si>
  <si>
    <t>Supply and Delivery of Materials for the Repair and Improvement of PWD and senior Citizen Office, Brgy. Carida, Tapaz, Capiz</t>
  </si>
  <si>
    <t>Procurement of Heavy Duty Tractor And Trailer</t>
  </si>
  <si>
    <t>Construction materials and supplies</t>
  </si>
  <si>
    <t>Procurement for Digital Printing Machine and Ink Supplies for Basilan National High School (JHS &amp; SHS)</t>
  </si>
  <si>
    <t>PURCHASE OF IT EQUIPMENTS FOR LGU OFFICES AND FOR CBMS SURVEY</t>
  </si>
  <si>
    <t>After training support and demo materials for the conduct of Training on Animal Health Care Management for Barangay Animal Health Workers (BAHW)</t>
  </si>
  <si>
    <t>Purchase of 4 Units Servo Type AVR with TVSS for PE3, PE4, PE5 and PE6 (3rd posting)</t>
  </si>
  <si>
    <t>1 PC. BRAKE PAD</t>
  </si>
  <si>
    <t>Catering Services and Accommodation</t>
  </si>
  <si>
    <t>SUBSCRIPTION OF VIDEO CONFERENCING/MEETING SOLUTION  FOR TWELVE (12) MONTHS</t>
  </si>
  <si>
    <t>INVITATION TO BID FOR THE SUPPLY &amp; DELIVERY OF VARIOUS MATERIALS-MIF FOR SB-CCV WITH PR#2020-GF-06-308 AND ABC OF P 50,790.00</t>
  </si>
  <si>
    <t>PROCUREMENT OF RESCUE VEHICLE</t>
  </si>
  <si>
    <t>Repair/Rehab. of Day Care Center &amp; Grouted Riprap Wall Patching</t>
  </si>
  <si>
    <t>COMPLETION OF MULTI-PURPOSE HALL - PHASE III AT COGON, EL SALVADOR CITY</t>
  </si>
  <si>
    <t>Rebidding of MEDICAL, DENTAL &amp; LABORATORY SUPPLIES (1st Quarter-2020)</t>
  </si>
  <si>
    <t>Supply and Delivery of Airconditioning Unit for Public Information Office</t>
  </si>
  <si>
    <t>Purchase of Solar Panel</t>
  </si>
  <si>
    <t>PCS-Office and Teachers Supplies -2020-06-007</t>
  </si>
  <si>
    <t>Construction of Footwalk</t>
  </si>
  <si>
    <t>Supply and Delivery of One (1) Unit 3 Tonner Airconditioner with Installation for Tarlac City Mayor's Office use</t>
  </si>
  <si>
    <t>PROCUREMENT OF MEDICAL SUPPLIES</t>
  </si>
  <si>
    <t>Procurement of various office supplies for different office use</t>
  </si>
  <si>
    <t>Supply and Delivery of Office Supplies, M.O., Tapaz, Capiz</t>
  </si>
  <si>
    <t>PROCUREMENT OF PPE'S FOR DEPED PERSONNEL</t>
  </si>
  <si>
    <t>SUPPLY OF 24 PCS. MEGAPHONE UNDER PR NO. SSD-0610-010 AND ITB NO. 2006-030-12</t>
  </si>
  <si>
    <t>REHAB./REPAIR OF BALITE TENNIS COURT, BRGY. BALITE, VILLABA, LEYTE - BRGY. FUND</t>
  </si>
  <si>
    <t>REPAIR/IMPROVEMENT OF FOOT BRIDGE</t>
  </si>
  <si>
    <t>SUPPLY AND DELIVERY OF MATERIALS AND EQUIPMENT TO BE USED FOR THE TKDL-AYTA PROJECT</t>
  </si>
  <si>
    <t>For use in Procurement Unit, DPWH, PagadianCity</t>
  </si>
  <si>
    <t>SUPPLY AND DELIVERY OF RESCUE EQUIPMENT</t>
  </si>
  <si>
    <t>GSD J-20-282 CPU BOX [GPR]</t>
  </si>
  <si>
    <t>SH 032-20: NON-PS SUPPLIES: TO BE USED FOR THE BUDGET KITS THAT WILL BE SUBMITTED TO BOTH HOUSES OF REPRESENTATIVES AND SENATE FOR 2020</t>
  </si>
  <si>
    <t>MS OFFICE STANDARD (PRODUCTIVITY TOOL)</t>
  </si>
  <si>
    <t>20CN0066 - Construction of Slope Protection along Madela – Dinadiawan Road, K0410+100 – K0410+146, Aurora</t>
  </si>
  <si>
    <t>MEDICINES AND MEDICAL SUPPLIES/MATERIALS</t>
  </si>
  <si>
    <t>PROCUREMENT OF ANTI-RABIES VACCINE</t>
  </si>
  <si>
    <t>Purchase of Fuel, Oil and Lubricants 1st and 2nd Quarter</t>
  </si>
  <si>
    <t>Procurement of Seven (7) Units Ambulance Vehicle</t>
  </si>
  <si>
    <t>Barangay Road Concreting - Seven (7) Barangays - LGU Cortes Bohol</t>
  </si>
  <si>
    <t>Rehab./Improvement of Solid Waste Management - MSWMO</t>
  </si>
  <si>
    <t>Procurement of PPEs for Frontliners</t>
  </si>
  <si>
    <t>CONCRETING OF PATHWAY- PROCUREMENT OF MATERIALS</t>
  </si>
  <si>
    <t>RFQ-2020-168 Procurement, Supply &amp; Delivery of Materials &amp; Services for GSO use.</t>
  </si>
  <si>
    <t>PR NO. 20-06-00200 INFRASTRUCTURE PROJECT</t>
  </si>
  <si>
    <t>PURCHASE OF OFFICE AND SCHOOL SUPPLIES FOR LIBERTAD CES</t>
  </si>
  <si>
    <t>RFQ No. 2020-040: Procurement of Meals and Snacks for the Asset Disposition Program (ADP) Committee Meetings/Activities for CY 2020</t>
  </si>
  <si>
    <t>SUPPLY AND DELIVERY OF MEDICAL EQUIPMENTS, MEDICAL SUPPLIES, LABORATORY SUPPLIES AND MEDICINES</t>
  </si>
  <si>
    <t>(PSWDO) 3rd REQUEST FOR QUOTATION (RFQ)  For the Procurement Meals &amp; Snacks, etc (2nd Quarter) For the Provincial Social Welfare &amp; Development Office--192,000.00</t>
  </si>
  <si>
    <t>Purchase of  goods for	Provision of medical services</t>
  </si>
  <si>
    <t>Procurement of 24 units Lateral Cabinet (4 Drawers)</t>
  </si>
  <si>
    <t>Purchase of Filing Cabinet for Accounting Office</t>
  </si>
  <si>
    <t>0367 Printing Services</t>
  </si>
  <si>
    <t>INVITATION TO BID FOR THE SUPPLY &amp; DELIVERY OF VARIOUS MATERIALS-MIF FOR SB-GEC,JR. WITH PR#2020-GF-06-315 AND ABC OF P50,790.00</t>
  </si>
  <si>
    <t>DES -CHOPPING BOARD &amp; 4 OTHERS (7TH POSTING)</t>
  </si>
  <si>
    <t>Materials for Roll out Series on Bridging Equitable Access to quality Education</t>
  </si>
  <si>
    <t>AIRING OF RADIO PLUG AND PANTAWID RADIO MAGAZINE PROGRAM</t>
  </si>
  <si>
    <t>General Repair and Maintenance Services</t>
  </si>
  <si>
    <t>Purchase of Vegetable Grinder Jomalig Quezon</t>
  </si>
  <si>
    <t>RFQ No. 2020-031: Procurement of Four (4) CPUs  (2nd Posting)</t>
  </si>
  <si>
    <t>Procurement of 4 units External HDD Back-Up, 3TB</t>
  </si>
  <si>
    <t>1 PAIL GREASE</t>
  </si>
  <si>
    <t>Jaliobong Cluster Access Road Concreting Phase I</t>
  </si>
  <si>
    <t>SUPPLY &amp; DELIVERY OF OTHER MACHENIRIES &amp; EQUIPMENT</t>
  </si>
  <si>
    <t>Supply and Delivery of Materials for the  Re-painting of Tapaz Civic Center</t>
  </si>
  <si>
    <t>Repair and Maintenance of Motor Vehicle (Firetruck)</t>
  </si>
  <si>
    <t>CONCRETING OF PATHWAY AT PUROK 3 TO 2</t>
  </si>
  <si>
    <t>Purchase of Medicine for the 1st and 2nd Quarter</t>
  </si>
  <si>
    <t>SUPPLY &amp; DELIVERY OF MEDICAL SUPPLIES</t>
  </si>
  <si>
    <t>CID No. 20OD0194 - Construction of 4-Storey 8-Classroom School Building Caruhatan East ES, Valenzuela City</t>
  </si>
  <si>
    <t>For use in Maintenance Section, Service Vehicle, DPWH. Pagadian City</t>
  </si>
  <si>
    <t>OFFICE EQUIPMENT/APPLIANCES (WASHING MACHINE, WASHING DRYER, WINDOW TYPE AIRCON 2HP, CABINET 4-DRAWER)</t>
  </si>
  <si>
    <t>Civil Works by Contract for the Construction of Two Storey Evacuation Center (Damula-an)</t>
  </si>
  <si>
    <t>Heightening of School Fence</t>
  </si>
  <si>
    <t>Fabrication of Table Signages</t>
  </si>
  <si>
    <t>INVITATION TO BID FOR THE SUPPLY &amp; DELIVERY OF VARIOUS MATERIALS-MIF FOR SB-HLB WITH PR#2020-GF-06-309 AND ABC OF P50,790.00</t>
  </si>
  <si>
    <t>Construction of 38 Units Temporary Shelter</t>
  </si>
  <si>
    <t>Purchase of Materials for the Improvement of Loon Waterworks System at Canhangdon Oriental, Loon</t>
  </si>
  <si>
    <t>Purchase of Office Supplies for use at Albay Provincial Health Office PR No. (100(01)20-02-0561)</t>
  </si>
  <si>
    <t>Materials for LGU Service Vehicle (Green and White Truck, Backhoe and Ambulance) - MGSO</t>
  </si>
  <si>
    <t>Procurement of Treasurer's Office supplies</t>
  </si>
  <si>
    <t>INVITATION TO BID FOR THE SUPPLY &amp; DELIVERY OF VARIOUS MATERIALS-MIF FOR SB-LCB WITH PR#2020-GF-06-310 AND ABC OF P50,790.00</t>
  </si>
  <si>
    <t>Repair/Rehabilitation of Handwashing Facility</t>
  </si>
  <si>
    <t>Facilitator, Documentor and Writer (2020-148)</t>
  </si>
  <si>
    <t>Procurement of Plastic storage box for the Registrar's office in SPAMAST Digos Campus (Storage of Student Documents)</t>
  </si>
  <si>
    <t>CONCRETING OF MULTI-PURPOSE PAVEMENT</t>
  </si>
  <si>
    <t>Procurement of Office Equipment (Diving Gears)</t>
  </si>
  <si>
    <t>Noodles - beef and chicken and 3 in 1 Coffee to be given to all Frontliners of the Municipality of Talibon</t>
  </si>
  <si>
    <t>ROLLERLID</t>
  </si>
  <si>
    <t>Supply and delivery of printer for Malatuntong Ext. School &amp; Admin.'s Office supplies</t>
  </si>
  <si>
    <t>Procurement of Battery, Dry Cell, AAA</t>
  </si>
  <si>
    <t>REHAB./IMPROVEMENT OF ISOLATION ROOM, BRGY. BALITE, VILLABA, LEYTE - BRGY. FUND</t>
  </si>
  <si>
    <t>Purchase of Personal Protective Equipment</t>
  </si>
  <si>
    <t>INVITATION TO BID FOR THE SUPPLY &amp; DELIVERY OF VARIOUS MATERIALS-MIF FOR SB-LCM,SR. WITH PR#2020-GF-06-311 AND ABC OF P50,790.00</t>
  </si>
  <si>
    <t>Proposed Installation of Split Solar Street Lights in Barangays Amuyong and San Mguel, Mabitac, Laguna</t>
  </si>
  <si>
    <t>Supply of Fuel for Patrolling and Police Visibility</t>
  </si>
  <si>
    <t>DES -FORK STAINLESS &amp; 5 OTHERS (8TH POSTING)</t>
  </si>
  <si>
    <t>Rehabilitation of Multi-Purpose Hall, Barangay Cometa</t>
  </si>
  <si>
    <t>PIKCOT-SUPP-002020-00140 (SUPPLY AND DELIVERY OF OFFICE EQUIPMENT )</t>
  </si>
  <si>
    <t>0366 Office Supplies</t>
  </si>
  <si>
    <t>Procurement of Plumbing materials/fittings</t>
  </si>
  <si>
    <t>Fuel, Oil and Lubricants - MGSO</t>
  </si>
  <si>
    <t>(PGSO) 3RD REQUEST FOR QUOTATION (RFQ)  For the Procurement 1 unit Desktop Computer For the Provincial General Services Office--96,800.00</t>
  </si>
  <si>
    <t>supply and delivery of Janitorial Supplies for DSWD 10 office</t>
  </si>
  <si>
    <t>Supply and delivery of Two (2) unit Emergency Light to be used in the Office of the Municipal Mayor</t>
  </si>
  <si>
    <t>IMPROVEMENT OF PIÑAHON ISLAND FACILITIES SIBUTAD, ZAMBOANGA DEL NORTE</t>
  </si>
  <si>
    <t>CID No. 20OD0196 - Construction of Multi-purpose Building Brgy. Parada, Valenzuela City (Phase 2)</t>
  </si>
  <si>
    <t>Supply and Delivery of Freon R410A for Various Offices</t>
  </si>
  <si>
    <t>Construction of River Landing Brgy. Matelarag, Las Navas Northern Samar</t>
  </si>
  <si>
    <t>Installation/Subscription of Internet Services</t>
  </si>
  <si>
    <t>20CSAC05 - Geotechnical Investigation of the Proposed CY 2020 Construction of Flood Control Set 2</t>
  </si>
  <si>
    <t>Supply and Delivery of Total Station Equipment for Civil Engineering Program</t>
  </si>
  <si>
    <t>Procurement of Civil Works ITB 20-08</t>
  </si>
  <si>
    <t>For use in operation of DT-14,15,&amp;16,DT-01,RG-02 CAT Manlifter SHH-860 &amp; Hyundai SHZ-871 assigned in City Engineer's Office.</t>
  </si>
  <si>
    <t>INVITATION TO BID FOR THE SUPPLY &amp; DELIVERY OF VARIOUS MATERIALS-MIF FOR SB-LOA WITH PR#2020-GF-06-312 AND ABC OF P 50,790.00</t>
  </si>
  <si>
    <t>20CN0069 - Construction of Slope Protection Along Baler – Casiguran Road (Baler – Dinadiawan Section), (K0259+735 – K0259+775), Casiguran, Aurora</t>
  </si>
  <si>
    <t>PURCHASE OF MATERIALS FOR THE REHABILITATION OF WATER SYSTEM</t>
  </si>
  <si>
    <t>PURCHASE OF SEMI-EXPENDABLES FOR PANTAWID PAMILYA 2020</t>
  </si>
  <si>
    <t>Supply and delivery of Fan Belt</t>
  </si>
  <si>
    <t>Supply and Delivery of Office Supplies of SDSSU Tagbina Campus</t>
  </si>
  <si>
    <t>ONE (1) YEAR CONTRACT FOR THE SUPPLY AND DELIVERY, INSTALLATION AND MAINTENANCE OF PRINTER-ON-LOAN WITH CONTINUOUS INK SUPPLY (BLACK AND COLORED)</t>
  </si>
  <si>
    <t>Purchase of Various Vehicle Parts for Repair of 4 Units Innova</t>
  </si>
  <si>
    <t>SUPPLY AND DELIVERY OF ARM CHAIRS AND SALA SETS (PR NO. 2020-02-0376, 2020-02-0240, 2020-02-0371)</t>
  </si>
  <si>
    <t>Construction of Multi Purpose Building - Brgy. San Silvestre, Pilar, Capiz</t>
  </si>
  <si>
    <t>Construction of Residual Containment Area (Module 3) - Materials Only</t>
  </si>
  <si>
    <t>Supply and delivery of Food for various meeting</t>
  </si>
  <si>
    <t>Meals &amp; snacks served to speaker and participants on the Mental Health Program for the COVID-19/ ASF Crisis, Alaminos City</t>
  </si>
  <si>
    <t>Lease Contract for Office Space Building</t>
  </si>
  <si>
    <t>Procurement of Multi-Shredding &amp; Pulveriser Machine for MENRO</t>
  </si>
  <si>
    <t>CONCRETING OF MULTI-PURPOSE PAVEMENT AT PUROK 4</t>
  </si>
  <si>
    <t>20CN0070 - Construction of Slope Protection Along Baler – Casiguran Road (Dinadiawan – Casiguran Section), K0292+910 – K0292+988, Aurora</t>
  </si>
  <si>
    <t>Construction Materials/Supplies (Construction of Historical Monument of Dr. Jose P. Rizal, Basak elem. School, Talaingod)</t>
  </si>
  <si>
    <t>Office Equipment</t>
  </si>
  <si>
    <t>SECOND QUARTER REPAIR 2020</t>
  </si>
  <si>
    <t>20CSAC06 - Geotechnical Investigation of the Proposed CY 2020 Construction of Flood Control Set 3</t>
  </si>
  <si>
    <t>costumized stainless twin lavatory</t>
  </si>
  <si>
    <t>To Support The Logistical Requirements of GADO,1ID,PA</t>
  </si>
  <si>
    <t>UV TREATED PLASTIC FILM</t>
  </si>
  <si>
    <t>CONCRETING OF PATHWAY AT PUROK 3 to PUROK 5</t>
  </si>
  <si>
    <t>Supply and Delivery of battery for repair and maintenance of various heavy equipment</t>
  </si>
  <si>
    <t>Supply and delivery of Plumbing Materials for Brgy. Sil. Lazaan, Nagcarlan, Laguna</t>
  </si>
  <si>
    <t>For use in operation of MOTORPOOL, DT-12 SJP-913, DT-08, DT-03 assigned in City Engineer's Office.</t>
  </si>
  <si>
    <t>Procurement of One (1) Units Service Vehicle</t>
  </si>
  <si>
    <t>INVITATION TO BID FOR THE SUPPLY &amp; DELIVERY OF VARIOUS MATERIALS-MIF FOR VM-IAR,JR. WITH PR#2020-GF-06-305 AND ABC OF P 74,766.00</t>
  </si>
  <si>
    <t>Supply of 4 units size (255/70/R16), 4 units (265/70/R16) and 4 units 215/70/R15 tire for DBM12 vehicle</t>
  </si>
  <si>
    <t>Procurement of Office Supplies PR # 2020-05-15-162, 2020-06-11-191, 2020-06-16-196</t>
  </si>
  <si>
    <t>EBMS -AIRCON OUTLET &amp; 1 OTHER (2ND POSTING)</t>
  </si>
  <si>
    <t>Concreting of Pathway at Purok 2</t>
  </si>
  <si>
    <t>S &amp; Dof Airconditioning Unit (PHO)</t>
  </si>
  <si>
    <t>Procurement of Fixed Glass for Guidance Office and Library</t>
  </si>
  <si>
    <t>FOOD FOR REVALIDA PANELIST AND SUPPORT STAFF FOR THE REVALIDA ON JUNE 27-28, 2020</t>
  </si>
  <si>
    <t>Publication of the City Ordinance</t>
  </si>
  <si>
    <t>ESWM Fuel, Oil and Lubricants</t>
  </si>
  <si>
    <t>ESWM Dumptruck &amp; Multicab Maintenance</t>
  </si>
  <si>
    <t>Continuation of the Multi Purpose Building</t>
  </si>
  <si>
    <t>Procurement of Office and IT Equipment for Mayor's and KALAHI Office</t>
  </si>
  <si>
    <t>Supply &amp; delivery of Car Battery</t>
  </si>
  <si>
    <t>Assorted Medical Supplies for Emergency Operations and Equipments Supplies</t>
  </si>
  <si>
    <t>PURCHASE OF 1 UNIT WATER DISPENSER</t>
  </si>
  <si>
    <t>Other Structure</t>
  </si>
  <si>
    <t>Supply and delivery of Materials for the Improvement of Existing Evacuation @ Municipal Compound, Nagcarlan, Laguna</t>
  </si>
  <si>
    <t>Food Supplies for 75th IB, PNP, Coast Guard, SAF and BFP for the Month of July 2020</t>
  </si>
  <si>
    <t>to purchase office equipment and accessories</t>
  </si>
  <si>
    <t>Hiring of Highly Confidential, Technical and Policy Determining Positions at the Office of the City Mayor on Consultancy Basis Pursuant to Applicable Laws and Subject to Availability of Funds Consonan</t>
  </si>
  <si>
    <t>Request for Quotation of Fuel at NORSU Mabinay Campus</t>
  </si>
  <si>
    <t>Procurement of Table &amp; Chair</t>
  </si>
  <si>
    <t>CID No. 20OD0198 - Repair/Maintenance/Rehabilitation along Mac Arthur Highway, Valenzuela City</t>
  </si>
  <si>
    <t>PR#2020-06-085</t>
  </si>
  <si>
    <t>For use in operation of Multicab SFR-982, Hyudai SHZ-871, DT-08 Stake Truck SHH-839 Gallloper SGT-331, Motorpool Shop, &amp; PL-01 assigned in City Engineer's Office.</t>
  </si>
  <si>
    <t>Purchase of Materials for Municipal Building Maintenance</t>
  </si>
  <si>
    <t>Materials for Quick Response during the State of Calamity - MDRRMO</t>
  </si>
  <si>
    <t>INVITATION TO BID FOR THE SUPPLY &amp; DELIVERY OF VARIOUS MATERIALS-MIF FOR SB-RGA WITH PR#2020-GF-06-314 AND ABC OF P 50,790.00</t>
  </si>
  <si>
    <t>20CSAC04 - Geotechnical Investigation of the Proposed CY 2020 Construction of Flood Control Set 1</t>
  </si>
  <si>
    <t>Procurement of Body painting of ambulance interior and exterior (Labor and Materials), Tapaz, Capiz</t>
  </si>
  <si>
    <t>Irex Toner Cyan, Yellow, Magenta &amp; Black</t>
  </si>
  <si>
    <t>Supply and delivery of Materials for the Rehabilitation of Ana Kalang Statue at Municipality of Nagcarlan, Laguna</t>
  </si>
  <si>
    <t>CID No. 20OD0197 - Construction/Rehabilitation of Multi-purpose Building Brgy. 18, Caloocan City</t>
  </si>
  <si>
    <t>Supply and Delivery of Nipa Hut 6x10ft</t>
  </si>
  <si>
    <t>RFQ 20-22</t>
  </si>
  <si>
    <t>publication and information of the General Public</t>
  </si>
  <si>
    <t>Procurement of One (1) Units Service Vehicle (Patient Transport Vehicle)</t>
  </si>
  <si>
    <t>Purchase of school and office supplies.</t>
  </si>
  <si>
    <t>Materials/Tables for the Installation of Plastic Shield/Cubicle of Office Tables @ MCTC - Talibon Municipal Hall, Poblacion, Talibon, Bohol</t>
  </si>
  <si>
    <t>Procurement of Hardware and Construction Supplies for BAGONG SIKAT</t>
  </si>
  <si>
    <t>Procurement of Prepaid Cards  PR # 2020-06-11-192</t>
  </si>
  <si>
    <t>PROCUREMENT OF INFORMATION TECHNOLOGY (IT) EQUIPMENT OF THE MUNICIPALITY OF LIMASAWA, SOUTHERN LEYTE</t>
  </si>
  <si>
    <t>INVITATION TO BID FOR THE SUPPLY &amp; DELIVERY OF VARIOUS MATERIALS-MIF FOR MMO-JHIV WITH PR#2020-GF-06-307 AND ABC OF P 175,265.00</t>
  </si>
  <si>
    <t>Supply and Delivery of IT Equipment Used for Online Learning of the Division Office</t>
  </si>
  <si>
    <t>Purchase of Commercial Rice and Supplies for Barangay Constituents COVID-19</t>
  </si>
  <si>
    <t>Construction of Welcome Arch Sign-Barangay 1</t>
  </si>
  <si>
    <t>SUPPLY TO BE USE IN THE TEMPORARY TREATMENT AND MONITORING FACILITY</t>
  </si>
  <si>
    <t>PROCUREMENT OF INFORMATION AND COMMUNICATION TECHNOLOGY EQUIPMENTS</t>
  </si>
  <si>
    <t>Catering Services for the food provision and water consumption to 50 LGU Personnels, BHERTS and quarantiners iin all Ligtas Covid 19 Centers in the Municipality for the period June 15 - June 30, 2020.</t>
  </si>
  <si>
    <t>supplying fuel (diesel) for the Provision of Nutri-bun Provincewide, PNO/PGO, Boac, Marinduque</t>
  </si>
  <si>
    <t>S/D of 100 sack	Rice (25 kilos) &amp; 21 others</t>
  </si>
  <si>
    <t>CID No. 20OD0199 - Repair/Maintenance/Rehabilitation along Mac Arthur Highway, Valenzuela City</t>
  </si>
  <si>
    <t>interior for replacement of worn out parts of Komatzu Payloader</t>
  </si>
  <si>
    <t>S &amp; D of Const. Mat. - Construction of San Vicente MPB P-IV (PEO)</t>
  </si>
  <si>
    <t>PURCHASE OF OFFICE EQUIPMENTS</t>
  </si>
  <si>
    <t>Supply and Delivery of Video Camera for 2nd Qtr. 2020 for LGU Use</t>
  </si>
  <si>
    <t>Construction of River Dike in Brgy. Caghalo, Carigara, Leyte, ABC PHP3,506,084.15</t>
  </si>
  <si>
    <t>IMPROVEMENT OF PRINCIPAL'S OFFICE</t>
  </si>
  <si>
    <t>Fabrication of advocacy Jacket: for Bued, Balili, and Upper Amburayan WQMA GB</t>
  </si>
  <si>
    <t>Fuel</t>
  </si>
  <si>
    <t>20CN0072 - Construction of Slope Protection along Nueva Ecija – Aurora Road, K0171+150 – K0171+195.52, Aurora</t>
  </si>
  <si>
    <t>RFQ-ISO Consultant</t>
  </si>
  <si>
    <t>Rental of one (1) unit ELF Truck</t>
  </si>
  <si>
    <t>LOT- 1 SUPPLY AND DELIVERY OF GRASS CUTTER IN OCCIDENTAL MINDORO</t>
  </si>
  <si>
    <t>Construction of Box Culvert w/ Climate Resilient Design at Maria, Laua-an, Antique</t>
  </si>
  <si>
    <t>PURCHASE OF PARTS, OIL &amp; OTHER MATERIALS FOR THE REPAIR &amp; MAINTENANCE OF DUMP TRUCKS &amp; EQUIPMENT AT MOTORPOOL</t>
  </si>
  <si>
    <t>Consulting Services for the Conduct of Social Media-based Advertisement for Stakeholder Awareness and Competition Enforcement</t>
  </si>
  <si>
    <t>Riprapping of 3 Layers of Slope Protection (24m Long)</t>
  </si>
  <si>
    <t>Contruction of Pathway and Drainage</t>
  </si>
  <si>
    <t>Supply and Delivery of Electrical Materials &amp; Supplies ( D-025-0277-20 )</t>
  </si>
  <si>
    <t>Spareparts</t>
  </si>
  <si>
    <t>Supply and Delivery of Materials to be used in the Concreting of Roads in different barangays, Naujan, Oriental Mindoro</t>
  </si>
  <si>
    <t>Supply and Delivery of Classroom Chair of SDSSU Tagbina Campus</t>
  </si>
  <si>
    <t>Construction of Barangay Health Center</t>
  </si>
  <si>
    <t>Laptop</t>
  </si>
  <si>
    <t>CONST. OF 1 UNIT - TWO CLASSROOM SCHOOL BUILDING</t>
  </si>
  <si>
    <t>RFQ CORRECTIVE MAINTENANCE OF SERVICE VEHICLE</t>
  </si>
  <si>
    <t>ST. JUDE ES-SC JUNE 2020</t>
  </si>
  <si>
    <t>CONTINUATION OF STREETLIGHTS-SOLAR</t>
  </si>
  <si>
    <t>SUPPLY AND DELIVERY OF GENERAL MERCHANDISE</t>
  </si>
  <si>
    <t>20CN0071 - Construction of Slope Protection Along Baler – Casiguran Road (Dinadiawan – Casiguran Section), (K0302+490 – K0302+570), Casiguran, Aurora</t>
  </si>
  <si>
    <t>Liquefied Petroleum Gas, 50KG/CYL</t>
  </si>
  <si>
    <t>To be used at SB/VM Office</t>
  </si>
  <si>
    <t>Rehabilitation  of Multi-Purpose  Hall</t>
  </si>
  <si>
    <t>For Installation &amp; Upgrading of Information and Billing System on Cementery, Market an Slaughterhouse Operations.</t>
  </si>
  <si>
    <t>PURCHASE OF PARTS, OIL &amp; OTHER MATERIALS FOR THE REPAIR OF GARBAGE TRUCKS AT MENRO</t>
  </si>
  <si>
    <t>Training Expense-Php59,500.00 AFPREO</t>
  </si>
  <si>
    <t>Purchase of electrical supplies</t>
  </si>
  <si>
    <t>71,155 liters Gasoline Fuel and 117,070 liters Diesel Fuel</t>
  </si>
  <si>
    <t>Supply and Delivery of one (1) Unit Photocopier POCMOC-100000</t>
  </si>
  <si>
    <t>PURCHASE OF PARTS, OIL &amp; OTHER MATERIALS FOR THE REPAIR OF AMBULANCES</t>
  </si>
  <si>
    <t>SUPPLY AND DELIVERY OF DIGITAL COLOR COPIER</t>
  </si>
  <si>
    <t>Paper Shredder</t>
  </si>
  <si>
    <t>FOODSTUFF FOR DIETARY</t>
  </si>
  <si>
    <t>20CN0074 - Construction of Slope Protection along Nueva Ecija – Aurora Road, K0196+230 – K0196+277, Aurora</t>
  </si>
  <si>
    <t>Procurement of Hardware and Construction Supplies for DEL CARMEN-2ND. SCHEDULE</t>
  </si>
  <si>
    <t>Improvement of Solar Dryer</t>
  </si>
  <si>
    <t>20CN0124 - Slope Protection along Nueva Ecija – Aurora Road, K0176+200 – K0176+360</t>
  </si>
  <si>
    <t>Thermal Paper</t>
  </si>
  <si>
    <t>20CN0125 - Slope Protection along Nueva Ecija – Aurora Road, K0184+800 – K0184+880, K0184+980 – K0185+090</t>
  </si>
  <si>
    <t>Procurement of OUIER's Information and Communication Technology (ICT) Equipment</t>
  </si>
  <si>
    <t>Procurement of office Equipment/Furnitures</t>
  </si>
  <si>
    <t>HIGH YIELDING VARIETY OF CANEPOINTS-PHIL99-1793</t>
  </si>
  <si>
    <t>Purchase of Office Supplies for use at GO- Maintenance PR No. (100(01)20-02-0607)</t>
  </si>
  <si>
    <t>Fabrication of 2 Units Detachable Tent, Governor's Guest House. PR No. (100(01)20-06-1158)</t>
  </si>
  <si>
    <t>20CN0123 - Construction of Slope Protection along Baler - Casiguran Road (Dinadiawan-Casiguran Section), K0297+060 – K0297+143, K0297+190 – K0297+300, Casigura, Aurora</t>
  </si>
  <si>
    <t>20CN0075 - Construction of Slope Protection along Nueva Ecija – Aurora Road, K0204+325 – K0204+386, Aurora</t>
  </si>
  <si>
    <t>Construction of Lavatories</t>
  </si>
  <si>
    <t>Digital Cow Scale</t>
  </si>
  <si>
    <t>SUPPLY AND DELIVERY OF OFFICE SUPPLES</t>
  </si>
  <si>
    <t>Procurement of Various Materials &amp; Equipment for the Fabrication of Coffin and Kananga Waterworks System (KMWS) Repair and Maintenance use</t>
  </si>
  <si>
    <t>Purchase of Fuels for LGU Vehicles and Equipment for the Month of July</t>
  </si>
  <si>
    <t>Supply of  grocery items for food packs</t>
  </si>
  <si>
    <t>EBMS -STAPLE WIRE &amp; 2 OTHERS (2ND POSTING)</t>
  </si>
  <si>
    <t>pply and Delivery of Materials to be used in the Repair and Maintenance of Motorpool at Naujan Agricultural Center, Andres Ylagan, Naujan, Oriental Mindoro</t>
  </si>
  <si>
    <t>Rehabilitation of Furnitures, Bench &amp; Bamboo Cottages, Albay Farmers Bounty Village, Brgy. Cabangan, Camalig, Albay. PR No. (100(01)20-05-1090)</t>
  </si>
  <si>
    <t>Cable Network Subscription (Jul. 2020 to Dec. 2022); Multi-Year Budget: Php 793,822.50; Jul. 2020 to Dec. 2020 - Php 148,500.00; Jan. 2021 to Dec. 2021 - Php 300,150.00, Jan. 2022 to Dec. 2022 - Php 3</t>
  </si>
  <si>
    <t>HANDWASHING AREA</t>
  </si>
  <si>
    <t>Procurement of T-shirts for the Culmination of the 70th Founding Anniversary Celebration</t>
  </si>
  <si>
    <t>Proc of 15 pcs 3/4? G.I Ball Valve &amp; 21 other LI</t>
  </si>
  <si>
    <t>Reproduction of Learning Packets for Quarter 1 Week 1 to 4 All Subjects</t>
  </si>
  <si>
    <t>Delivery of Electrical Supplies</t>
  </si>
  <si>
    <t>Improvement of Multi-Purpose Center/Evacuation Center at Poblacion</t>
  </si>
  <si>
    <t>Purchase of Typewriter</t>
  </si>
  <si>
    <t>Proc of 25 pcs Plaque &amp; 6 other LI</t>
  </si>
  <si>
    <t>CONSTRUCTION OF FOOTPATH</t>
  </si>
  <si>
    <t>Supply and Delivery of Rapid Covid-19 Antibody test for use of PGC hospitals  and PGC checkpoints</t>
  </si>
  <si>
    <t>ITDI-200377 - SUPPLY OF LABOR AND MATERIALS OF FLUKE 4181 REPAIR AND CALIBRATION</t>
  </si>
  <si>
    <t>Procurement of Vehicle Tire PR # 2020-06-15-195</t>
  </si>
  <si>
    <t>SUPPLY AND DELIVERY OF CLERICAL TABLES, COMPUTER TABLES AND CABINET (CMPO)</t>
  </si>
  <si>
    <t>ITB No. 2020-06-23 Provision of Security Services for DA-RFO 02 and its Research Centers and Experiment Stations and other Facilities</t>
  </si>
  <si>
    <t>Road Rehabilitation (0.2mX5.0mX18km) at Tugas, Riverside, Kanmangasang, Caipe, Cagcagan-Adela &amp; Sta. Rita, Poro, Cebu</t>
  </si>
  <si>
    <t>20DD0304 (Re-Advertised) Local Program, Local Infrastructure Program, Buildings and Other Structures, Multipurpose/ Facilities, Improvement of Multi-Purpose Building in Various Barangays, San Jose, Ba</t>
  </si>
  <si>
    <t>Procurement of Flash Hoods, Gloves, and Inflatable Life Jackets</t>
  </si>
  <si>
    <t>FABRICATION AND INSTRALLATION OF STEEL GRILLS AND STEEL GATE IN FRONT OF PERIMETER FENCE OF KADAMPAT GYMANASIUM @ SITIO KADAMPAT, BOLO, LABRADOR, PANGAS1NAN</t>
  </si>
  <si>
    <t>CCTV Cameras</t>
  </si>
  <si>
    <t>CONSTRUCTION OF MULTI - PURPOSE BUILDING @ BRGY. OLD LABANGAN, LABANGAN, ZDS</t>
  </si>
  <si>
    <t>EBMS -PAINT, LATEX SEMI-GLOSS &amp; 4 OTHERS (4TH POSTING)</t>
  </si>
  <si>
    <t>PURCHASE OF EMERGENCY LIGHTS</t>
  </si>
  <si>
    <t>Procurement of Aircondition unit</t>
  </si>
  <si>
    <t>Repair/Maintenance of DOF Building RO V - Main Building Bureau of Local Government Finance, Rawis, Legazpi City</t>
  </si>
  <si>
    <t>Procurement of Office Equipment   PR # 2020-06-15-194</t>
  </si>
  <si>
    <t>For the Use of Payroll Unit</t>
  </si>
  <si>
    <t>EBMS -MARINE EPOXY 2 OTHERS (4TH POSTING)</t>
  </si>
  <si>
    <t>Hardware and construction supplies</t>
  </si>
  <si>
    <t>Purchase of Anti rabies Vaccine For Animal rabies control and prevention use Silay City.</t>
  </si>
  <si>
    <t>Procurement of Fuel PR # 2020-06-16-197</t>
  </si>
  <si>
    <t>Supply &amp; Delivery of I.T. EQUIPMENT</t>
  </si>
  <si>
    <t>OFFICE ENHANCEMENT PROGRAM</t>
  </si>
  <si>
    <t>Supplies of Ink and Toners</t>
  </si>
  <si>
    <t>Supply &amp; Delivery of MOTOR VEHICLES for the use of Lopez PNP</t>
  </si>
  <si>
    <t>20-0062 ID Cord Lace</t>
  </si>
  <si>
    <t>SALE OF VARIOUS UNSERVICEABLE MATERIALS AND EQUIPMENT “As is, Where is” Basis</t>
  </si>
  <si>
    <t>PURCHASE AND DELIVERY OF 120 ROLLS OF COPPER WIRE FOR PGSO</t>
  </si>
  <si>
    <t>Procurement of meals for PGC Checkpoint of JNCT.Luna ,Abulug ,Cagayan</t>
  </si>
  <si>
    <t>Procurement of Fresh Flowers  PR # 2020-06-16-199</t>
  </si>
  <si>
    <t>Proc of 2 sets Connecting rod assy and 6 L/I</t>
  </si>
  <si>
    <t>Supply &amp; Delivery of Printed Shirts (Cutter Plotter with Heat Press Machine) to be used by Youth, PWD, Senior Citizen, Women, SK Uniform</t>
  </si>
  <si>
    <t>Installation &amp; Purchase of Supplies of Food press Sanitizer Stand (Covid 19)</t>
  </si>
  <si>
    <t>Drugs-Evacuated Blood Collection Tube, 5ml Capacity, 1.8ml to 2.0ml, Blood Draw, Size 13MMx75MM, Blue Stopper, w/ 3.2% Citrate (and/or 0.109M) Plastic, 100’s (1st Posting)</t>
  </si>
  <si>
    <t>BROILER PRODUCTION AND TRADING IN BILIBINWANG, AGONCILLO UNDER CRFPSP</t>
  </si>
  <si>
    <t>CONSTRUCTION OF LOCAL  ROAD- Sitio Panghulan 2, Brgy. Bula</t>
  </si>
  <si>
    <t>EBMS -GI PLUG &amp; 1 OTHER (4TH POSTING)</t>
  </si>
  <si>
    <t>PR NO. 1420 Drilling and Installation of Submersible Pump</t>
  </si>
  <si>
    <t>Procurement of Vehicle (6-Wheeler Dump Truck)</t>
  </si>
  <si>
    <t>Purchase of Infrared Thermal Imager</t>
  </si>
  <si>
    <t>Improvement of Motorpool</t>
  </si>
  <si>
    <t>Purchase of Various Electrical Materials to be use at Plaza Fountain</t>
  </si>
  <si>
    <t>Additional Backfilling and Construction of Retaining Wall (Ripraps) of Slaughterhouse Premises, Sitio Asiotes, Barangay Polo</t>
  </si>
  <si>
    <t>20DD0349 Local Program, Local Infrastructure Program, Flood Control and Drainage, Drainage/ Protection Works, Rehabilitation/ Construction of Drainage at District III (Pookan), Marawoy, Lipa City, Bat</t>
  </si>
  <si>
    <t>Purchase of Office Equipment for printing of Modules and Reports per Department Heads</t>
  </si>
  <si>
    <t>PURCHASE OF I.V. FLUIDS-RTH-20-0216-B</t>
  </si>
  <si>
    <t>PURCHASE OF TRASH BIN FOR DORMITORY</t>
  </si>
  <si>
    <t>AdmD20-06-039_Mailing Envelope</t>
  </si>
  <si>
    <t>NEGOTIATED PROCUREMENT OF IMPROVEMENT/CONCRETING OF MSS BARANGAY ROAD-Brgy. Sto. Nino Ibaba/Ilaya Lopez, Quezon</t>
  </si>
  <si>
    <t>Concreting of Barangay Road</t>
  </si>
  <si>
    <t>CONSTRUCTION OF MRF (Re-Bid)</t>
  </si>
  <si>
    <t>Supply and delivery of School Equipment for use in Implementation of new learning and teaching methods under new normal condition (due to Covid-19 Pandemic) in all public elementary and High School in</t>
  </si>
  <si>
    <t>Personal Protective Equipment for Responders</t>
  </si>
  <si>
    <t>20DD0351 Local Program, Construction/ Repair/ Rehabilitation/ Improvement of Various Infrastructure Including Local Projects, Water Management Facilities, Water Supply, Construction/Completion of Wate</t>
  </si>
  <si>
    <t>RFQ 005-06-2020: 20GSDG0017</t>
  </si>
  <si>
    <t>Package Project: A.) Construction of Multi Purpose Building at Block 65, Barangay 21-C, Poblacion District, Davao City B.) Construction of Barangay Hall at Block 65, Barangay 21-C, Poblacion District,</t>
  </si>
  <si>
    <t>Drugs-Furosemide 10mg/ml, 2ml Inj. (1st Posting)</t>
  </si>
  <si>
    <t>Other Supplies (Emergency Suplies/Equiment) under PR# 2020-04-2124</t>
  </si>
  <si>
    <t>LAYOUT AND PRINTING OF GRADUATION PROGRAM</t>
  </si>
  <si>
    <t>Completion / Concreting of Motor Pool and Slaughter House Access Road</t>
  </si>
  <si>
    <t>Renovation of Pavillion 104 and Fabrication of Railings and Fabrication of Proposed Fence at BAMR, Brgy Ilijan, Bago City</t>
  </si>
  <si>
    <t>NEGOTIATED PROCUREMENT OF MAINTENANCE OF 3V'S BARANGAY ROAD-Brgy. Villa Espina Lopez, Quezon</t>
  </si>
  <si>
    <t>Inks and Toners</t>
  </si>
  <si>
    <t>Construction of Disposal Chamber for Infectious Waste, Poblacion, Anda, Bohol</t>
  </si>
  <si>
    <t>Repair/Improvement of Multi-Purpose Building</t>
  </si>
  <si>
    <t>GSD J-20-284 MTRLS FOR PIE-MO DEEPWELL PUMPS  AND OTHERS</t>
  </si>
  <si>
    <t>Concreting of Farm to Market Road (Tobrehon Road Section)</t>
  </si>
  <si>
    <t>Drugs-Ceftriaxone Inj. 1GM + 10ml Diluent (as disodium/sodium) (1st Posting)</t>
  </si>
  <si>
    <t>2020-06-0032-STAAD/SACD (Planning &amp; Design Section)</t>
  </si>
  <si>
    <t>CONCRETING OF PUBLIC ALLEY (ZONE 1- 2)</t>
  </si>
  <si>
    <t>Repair and overhauling of RP Vehicle SHE 439 of CENRO Panabo</t>
  </si>
  <si>
    <t>Construction of 24 Units Hand Washing Facility</t>
  </si>
  <si>
    <t>Concreting of Ochoa St. Extension</t>
  </si>
  <si>
    <t>Rebidding: 7 cu.m Sand Std. Specs and other items for the construction of two guard houses at entrance and exit gates of categorized final disposal facility (Sanitary Landfill) at Barangay Candau-ay.</t>
  </si>
  <si>
    <t>Drugs-Sodium Bicarbonate 1760MG, Sodium Citrate 630MG, Citric Acid 720MG Tantaric Acid 890mg per Sachet, 4G Effervescent Granules (1st Posting)</t>
  </si>
  <si>
    <t>Concreting of Sanitary Landfill Access Road Phase I</t>
  </si>
  <si>
    <t>Renovation of Storage Room</t>
  </si>
  <si>
    <t>Repair of Tissue Culture Laboratory - Tile Works</t>
  </si>
  <si>
    <t>Bantay Bayan Traffic Equipment</t>
  </si>
  <si>
    <t>Repair of Submersible Pump and Submersible Motor</t>
  </si>
  <si>
    <t>RFQ Fortinet Renewal</t>
  </si>
  <si>
    <t>PCDP : 5000	BOTTLES	ALCOHOL UP TO 8	BOXES	AMLODIPINE MEDICAL SUPPLIES FOR PCDP.</t>
  </si>
  <si>
    <t>PURCHASE OF EXPANDED NEWBORN SCREENING FILTER CARDS</t>
  </si>
  <si>
    <t>Request for Quotation for Formalin and Syringe</t>
  </si>
  <si>
    <t>meals and venue for the conduct of RJJWC-X Bi-monthly 2020</t>
  </si>
  <si>
    <t>Drugs-Hydrocortisone 100mg (with diluent) Powder 750mg/ml, 2ml (IM,IV) (as sodium succinate) (1st Posting)</t>
  </si>
  <si>
    <t>20DD0353 Local Program, Local Infrastructure Program, Buildings and Other Structures, Multipurpose/ Facilities, Improvement and Rehabilitation of Multi-Purpose Hall, Brgy. Poblacion, Ibaan, Batangas</t>
  </si>
  <si>
    <t>Student HandBook</t>
  </si>
  <si>
    <t>Rebidding: 16 cu.m Sand (Std. Specs) and other items for construction of Steel foot bridge at Purok Makoguihon connecting Villa Fortunata (Phase I) at Barangay Junob.</t>
  </si>
  <si>
    <t>Concreting of San Juan Barangay Road</t>
  </si>
  <si>
    <t>OFFICE EQUIPMENT FOR USE OF PDAO OFFICE</t>
  </si>
  <si>
    <t>Installation Fee and Equipment for Internet Subscription</t>
  </si>
  <si>
    <t>Procurement of meals for PGC Checkpoints of Ayaga Abulug,Cagayan</t>
  </si>
  <si>
    <t>Purchase of Fertilizers</t>
  </si>
  <si>
    <t>PURCHASE OF MEDICAL SUPPLIES-RTH-20-0181-B(RE-BID)</t>
  </si>
  <si>
    <t>Bareangay Two Wheel Patrol</t>
  </si>
  <si>
    <t>20DD0352 Local Program, Local Infrastructure Program, Buildings and Other Structures, Multipurpose/ Facilities, Construction/ Completion of Multi-Purpose Building, Brgy. Laiya Ibabao, San Juan, Batang</t>
  </si>
  <si>
    <t>Supply of Autodelfia Neonatal Kit/Solutions/Reagents (Rebid)</t>
  </si>
  <si>
    <t>Purchase of Garments for use of the Municipal Officials and Sb Secretary, LGU Villasis, Pangasinan</t>
  </si>
  <si>
    <t>Personal Protective Equipment of Solid Waste</t>
  </si>
  <si>
    <t>Barangay Patrol Multi-Cab</t>
  </si>
  <si>
    <t>FABRICATION AND INSTALLATION OF STEEL GOAL (FIBER GLASS)</t>
  </si>
  <si>
    <t>PURCHASE OF MATERIALS – CONCRETING OF LOOC ROAD LEADING TO SLAUGHTERHOUSE – BRGY. LOOC</t>
  </si>
  <si>
    <t>Proc. of Office supplies Masso</t>
  </si>
  <si>
    <t>Paper Materials for printing of Activity Sheets of DIHS JHS students</t>
  </si>
  <si>
    <t>Procurement of meals for PGC Checkpoint of San Miguel Sta.Praxedes Cagayan</t>
  </si>
  <si>
    <t>Construction of Nagattatan-Utan Retailing Wall</t>
  </si>
  <si>
    <t>Concreting of Barangay Road @Brgy Bucal, Sariaya, Quezon</t>
  </si>
  <si>
    <t>Construction Materials (MEO-Repair of Public Building Maintenance)</t>
  </si>
  <si>
    <t>Procurement of One Set Laptop and One Printer</t>
  </si>
  <si>
    <t>RFQ 107-06-2020 REHABILITATION OF ROOFINGS - Liwayway Multi-purpose Hall</t>
  </si>
  <si>
    <t>Construction of Multi-Purpose Hall in Balugo, Albuera, Leyte, ABC PHP3,098,838.91</t>
  </si>
  <si>
    <t>20-06-135SG</t>
  </si>
  <si>
    <t>Rebidding of Concreting of Barangay Road at Brgy. Morong, Sitio Purok 7, Sariaya, Quezon</t>
  </si>
  <si>
    <t>RFQ - Maintenance of Air conditioning units</t>
  </si>
  <si>
    <t>MULTI-PURPOSE HALL AT COUNTRY HOMES PHASE 2</t>
  </si>
  <si>
    <t>ADVERTISING EXPENSES FOR OneStore Project - second posting</t>
  </si>
  <si>
    <t>TWC Photocopying Services</t>
  </si>
  <si>
    <t>Concreting of Barangay Road at Brgy. Bignay 1, Sitio Aplaya, Sariaya, Quezon</t>
  </si>
  <si>
    <t>NEGOTIATED PROCUREMENT OF CONCRETING OF CRITICAL PORTION OF DEL ROSARIO-VERONICA BARANGAY ROAD-Brgy. Del Rosario Lopez, Quezon</t>
  </si>
  <si>
    <t>Construction of River Protection-Barangay Mascarina</t>
  </si>
  <si>
    <t>20DD0350 Local Program, Local Infrastructure Program, Local Roads and Bridges, Local Roads, Concreting of Local Road, Brgy. Salaban I, Ibaan, Batangas</t>
  </si>
  <si>
    <t>Purchase of Office Supplies for Division Office use</t>
  </si>
  <si>
    <t>CPH - PREVENTIVE MAINTENANCE of One Elevator</t>
  </si>
  <si>
    <t>Rebidding: 8 gals Latex Paint flat white and other items for the construction of two guard houses at entrance and exit gates of categorized final disposal facility (Sanitary Landfill) at Barangay Cand</t>
  </si>
  <si>
    <t>Manapla ES_MOOE2nd_Medical Equipment</t>
  </si>
  <si>
    <t>Procurement of Stenography Machine for BSOA Simulation Room and AACCUP Preparation - Fortune Towne Campus</t>
  </si>
  <si>
    <t>PURCHASE OF OFFICE SUPPLIES - PRENZA, BALAMBAN, CEBU</t>
  </si>
  <si>
    <t>Just Ka Click</t>
  </si>
  <si>
    <t>Supply and Delivery of Various Food Processing Equipment</t>
  </si>
  <si>
    <t>Rebidding of Concreting of Core Local Road to Barangay Sta. Elena, Brgy. San Pedro Lopez, Quezon</t>
  </si>
  <si>
    <t>Drugs-0.9% Sodium Chloride, 2ml &amp; 3 others (1ss Posting)</t>
  </si>
  <si>
    <t>Concreting of Barangay Road @Brgy Mamala 2, Sariaya Quezon</t>
  </si>
  <si>
    <t>Purchase of 1 unit Multi-Purpose Photocopier, Scanner, Printer and Fax with Duplex and Document Feeder</t>
  </si>
  <si>
    <t>Concreting of Frontage and Constructioin of Drainage System of New Market Stalls, Bago City Public Market, Brgy Poblacion, Bago City</t>
  </si>
  <si>
    <t>Concreting of Barangay Road @Brgy Lutucan Malabag, Sitio Lagnas, Sariaya, Quezon</t>
  </si>
  <si>
    <t>REQUEST FOR QUOTATION</t>
  </si>
  <si>
    <t>Payment of Security Service for the period of July 2020 to December 2020 of Doña Leonila Park, San Pablo City.</t>
  </si>
  <si>
    <t>Slope Protection (Binagasbasan, Paraiso)</t>
  </si>
  <si>
    <t>PURCHASE OF MEDICAL SUPPLIES AND JANITORIAL SUPPLIES</t>
  </si>
  <si>
    <t>Techno Kit on Rice Production for Patria IA at Patria, Pandan, Antique</t>
  </si>
  <si>
    <t>PR 097-05-20 SCUBA DIVING GEAR - MDRRMO</t>
  </si>
  <si>
    <t>(NVPH) 2ND REQUEST FOR QUOTATION (RFQ)  For the Procurement of Desktop Computer, Laptop &amp; Scanner For the Nueva Vizcaya Provincial Hospital--140,000.00</t>
  </si>
  <si>
    <t>meals and venue for UCT validators2020(LDN area)</t>
  </si>
  <si>
    <t>Advisory And Review Consultant</t>
  </si>
  <si>
    <t>PURCHASE OF MEDICAL SUPPLIES-RTH-20-0180-B(RE-BID)</t>
  </si>
  <si>
    <t>Meals, Snacks and Supplies - Training on Policy Development and Monitoring and Evaluation (Forestland Management Project)</t>
  </si>
  <si>
    <t>20DD0356 Local Program, Local Infrastructure Program, Local Roads and Bridges, Local Roads, Rehabilitation/Improvement of Road at Brgy. Plaridel, Lipa City, Batangas</t>
  </si>
  <si>
    <t>Supply and Delivery of Materials for Tuna Handline, Squid Jigger and Hook &amp; Line under SAAD Project of PFO-Sultan Kudarat</t>
  </si>
  <si>
    <t>SERVICES: Health and Accident Insurance for Barangay Peacekeeping Action Team (BPATs)</t>
  </si>
  <si>
    <t>Procurement of meals for PGC Checkpoints of Sta.Praxedes - Ilocos Cagayan</t>
  </si>
  <si>
    <t>Construction of Senior High School Computer Laboratory</t>
  </si>
  <si>
    <t>Construction and Rehabilitation of Drainage Canal @ Purok 1, Sto. Nino, Talaingod, DDN</t>
  </si>
  <si>
    <t>Purchase of IT Equipment &amp; Computer Table at Barangay Poblacion IV, Tanauan City, Batangas</t>
  </si>
  <si>
    <t>Supply, Delivery and Installation of Internet Subscription for 24 months</t>
  </si>
  <si>
    <t>Rehabilitation of Pussian SWIP Access Road</t>
  </si>
  <si>
    <t>(Request for Quotation) Procurement of Laid Paper and Notepad for the Office of the Solicitor General</t>
  </si>
  <si>
    <t>20KK0128 - Construction of 2 STY 6 CL, Sangalan Integrated School, Brgy. Sangalan, Gingoog City, Misamis Oriental</t>
  </si>
  <si>
    <t>Health is Well, All is Well!</t>
  </si>
  <si>
    <t>SH 033-20: Supply and Delivery of Various Vehicle Equipment for Official Use  of Various Vehicles</t>
  </si>
  <si>
    <t>Procurement of Fuel &amp; Lubricants -For Rehabilitation of Barangay Road @ Sitio Baluno, Brgy. San Pedro</t>
  </si>
  <si>
    <t>ITB NO. SV20-06-002ANG SUPPLY AND DELIVERY OF VARIOUS PRINTED FORMS</t>
  </si>
  <si>
    <t>Purchase of Machinery and Equipment for White Corn  Processing Center</t>
  </si>
  <si>
    <t>20DD0355 Local Program, Local Infrastructure Program, Water Management Facilities, Water Supply, Construction/ Completion of Water System at Brgy. Halang, Lipa City Batangas (Phase 2)</t>
  </si>
  <si>
    <t>PURCHASE OF MEDICINES - ARPILI, BALAMBAN, CEBU</t>
  </si>
  <si>
    <t>GENERAL ADMINISTRATION AND SUPPORT</t>
  </si>
  <si>
    <t>PROCUREMENT OF MEDICAL OXYGEN REGULATOR</t>
  </si>
  <si>
    <t>PURCHASE AND DELIVERY OF ONE UNIT OF LAPTOP COMPUTER PBO</t>
  </si>
  <si>
    <t>Various Electrical Supplies</t>
  </si>
  <si>
    <t>Repair of Isuzu Double Axle Dump Truck # 1 SHZ-955 / CEO, Bago City</t>
  </si>
  <si>
    <t>EBMS -SLOAN FLUSH VALVE &amp; 5 OTHERS (4TH POSTING)</t>
  </si>
  <si>
    <t>Procurement of Hardware Supplies PR # 2020-06-16-200</t>
  </si>
  <si>
    <t>Concreting of Farm-To-Market Road (Brgy. Bonifacio - Brgy. Burgos Road Section) in Mayorga, Leyte, ABC PHP3,184,316.98</t>
  </si>
  <si>
    <t>Supply And  Delivery of Food Supplies for Indigent Family</t>
  </si>
  <si>
    <t>Re-bid: Purchase of One (1) unit Computer Server with Complete Accessories – MASSO</t>
  </si>
  <si>
    <t>PROCUREMENT OF GRASS CUTTER FOR GROUND MAINTENANCE USE</t>
  </si>
  <si>
    <t>PURCHASE OF MEDICAL SUPPLIES-RTH-20-0177-B(RE-BID)</t>
  </si>
  <si>
    <t>Procurement of Multicab Rescue Type and Multicab Van Type</t>
  </si>
  <si>
    <t>20DD0354 Local Program, Local Infrastructure Program, Flood Control and Drainage, Flood Control Structures / Facilities, Rehabilitation/Improvement of Flood Control Structure at Brgy. Tambo, Lipa City</t>
  </si>
  <si>
    <t>Procurement of Diesel  and Oil for maintenance of Various Provincial Roads &amp; Bridges, Province of Aklan /ITB no: 2020-364</t>
  </si>
  <si>
    <t>ITB-SUPPLY AND DELIVERY OF 1250 PIECES MULTI-JET WATER METERS</t>
  </si>
  <si>
    <t>Procurement of Program Materials - MSWDO</t>
  </si>
  <si>
    <t>20DD0358 Local Program, Local Infrastructure Program, Water Management Facilities, Water Supply, Construction of Water System at Padre Valerio Malabanan Elementary School, Brgy. 1, Lipa City, Batangas</t>
  </si>
  <si>
    <t>MEALS AND SNACKS-Mayor's Office</t>
  </si>
  <si>
    <t>ITB and Bid Docs for Contract ID:    19GC00091   Contract Name:      Procurement of Reflectorized Thermoplastic (Yellow and White) and other Related Materials for Application and Improvement of Traffi</t>
  </si>
  <si>
    <t>CONSTRUCTION  CLOSURE OF OPEN DUMPSITE</t>
  </si>
  <si>
    <t>(GO-PDRRMO) 2ND REQUEST FOR QUOTATION (RFQ)  For the Procurement 1 unit ADF High Speed Scanner For the Governor’s Office – Provincial Disaster Risk Reduction Management Office--45,000.00</t>
  </si>
  <si>
    <t>For the use in the establishment and maintenance of Gitagum Ligtas Covid Center in line with mitigation, infection prevention and control of COVID-19 in the Municipality of Gitagum</t>
  </si>
  <si>
    <t>Training in Housekeeping</t>
  </si>
  <si>
    <t>PURCHASE OF DIESEL &amp; GASOLINEFOR MDRRM OFFICE</t>
  </si>
  <si>
    <t>Supply and Delivery of Office Supplies and Training Supplies under SAAD Project of PFO- Sultan Kudarat</t>
  </si>
  <si>
    <t>Purchase of IT Equipment</t>
  </si>
  <si>
    <t>Rehabilitation/Improvement of Municipal Public Market Incorporating w/ Disaster Resilient Design at Brgy. Guisijan, Laua-an, Antique</t>
  </si>
  <si>
    <t>REINFORCEMENT OF CANOPY POST</t>
  </si>
  <si>
    <t>Supply Me Right</t>
  </si>
  <si>
    <t>Hauling of New and Old Concrete Pole, Excavation and Erection of New Concrete Pole, and Uprooting of Old Concrete Pole, 50 ft.</t>
  </si>
  <si>
    <t>Catering Services - MSWDO</t>
  </si>
  <si>
    <t>Procurement of Heavy Equipment Parts</t>
  </si>
  <si>
    <t>Purchase of school construction supplies</t>
  </si>
  <si>
    <t>Improvement of Municipal Building Electrical and Plumbing System</t>
  </si>
  <si>
    <t>Purchase of 1 unit Desktop Computer for Mun. Agriculture office</t>
  </si>
  <si>
    <t>Procurement of Hygiene kit - MSWDO</t>
  </si>
  <si>
    <t>Construction of Multi-Purpose Bldg. (Phase 1) in Brgy. Don Luis, Calubian, Leyte, ABC PHP2,531,475.87</t>
  </si>
  <si>
    <t>SUPPLY AND DELIVERY OF TWO (2) UNITS WINDOW TYPE AIRCON USE FOR THE ANTI-SMOKING &amp; PHILHEALTH OFFICE, RHU-SFADS</t>
  </si>
  <si>
    <t>PURCHASE OF MATERIALS – CONSTRUCTION OF MULTIPURPOSE HALL – PROPER TUBIGON</t>
  </si>
  <si>
    <t>Supply and Delivery of ACU consumables for official use of Building Maintenance for the 2nd Qtr. of 2020</t>
  </si>
  <si>
    <t>Purchase of Other Machineries &amp; Equipment (Chainsaw)</t>
  </si>
  <si>
    <t>GROCERY ITEMS (3RD QUARTER USAGE)</t>
  </si>
  <si>
    <t>HP TONER 79A</t>
  </si>
  <si>
    <t>2020-06-0119 Provision of Labor Services for Painting of External Wall of Dormitory Buildings and Damaged Ceiling of DOH-DATRC City of Ilagan, Isabela</t>
  </si>
  <si>
    <t>I.T. EQUIPMENT</t>
  </si>
  <si>
    <t>PR-2020-1383 Laboratory Supplies-CDH</t>
  </si>
  <si>
    <t>Supply and Delivery of Janitorial Supplies PR/RFQ# 2020-06-100</t>
  </si>
  <si>
    <t>Concrete Paving of Gymnasium Approach</t>
  </si>
  <si>
    <t>SUPPLY OF VARIOUS MATERIAL FOR USE IN REPAIR/MAINTENANCE ALONG VARIOUS NATIONAL ROADS WITHIN 1ST DISTRICT OF PAMPANGA (3rd QUARTER)</t>
  </si>
  <si>
    <t>Purchase of Submersible Pump Set for Bolokbolok Water Source</t>
  </si>
  <si>
    <t>20GDC0006 - Supply, Delivery and Application of Thermoplastic Pavement Markings for Center Line and Lane Line more than 1 kilometer long along Manila – Batangas Road and Banay – Banay Mojon Road</t>
  </si>
  <si>
    <t>PURCHASE OF VARIOUS I.T. EQUIPMENTS &amp; SUPPLIES (MDRRMO &amp; ASSESSOR) NEG. PROC 2 FAILED BIDDING</t>
  </si>
  <si>
    <t>Supply and Delivery of Thermal Imaging Thermometer for the University Health Services Unit</t>
  </si>
  <si>
    <t>Procurement of Construction of Water System (Construction Materials) - Loboc, Tungawan, Zamboanga Sibugay</t>
  </si>
  <si>
    <t>All-in-One PC(20-06-0171TC)</t>
  </si>
  <si>
    <t>20AG0125-Construction of Modified Standard Two-Storey (4 Classrooms) School Building AT San Vicente ES,  Alaminos City, Pangasinan</t>
  </si>
  <si>
    <t>SUPPLY OF DIESEL FOR USE IN SERVICE VEHICLES, HEAVY EQUIPMENTS AND MINOR EQUIPMENTS OF MAINTENANCE SECTION</t>
  </si>
  <si>
    <t>Request for Quotation for 70% CHLORINE ( Granules ) per PR No. 20-05-0154</t>
  </si>
  <si>
    <t>Supply and Delivery of Materials for the Application of Traffic Lane Markings on Various Locations within Metro Manila</t>
  </si>
  <si>
    <t>PROCUREMENT OF ANTIBODY RAPID TEST</t>
  </si>
  <si>
    <t>Purchase of Hand Sanitizer</t>
  </si>
  <si>
    <t>Procurement of feed for Swine Breeding Station at Agricultural Center</t>
  </si>
  <si>
    <t>Rice (DILG-CAFGU Assistance)</t>
  </si>
  <si>
    <t>Diesel</t>
  </si>
  <si>
    <t>Rebidding of Concreting of Cogorin Ibaba Barangay Road, Brgy. Cogorin Ibaba Lopez, Quezon</t>
  </si>
  <si>
    <t>20GDC0007 - Supply, Delivery and Application of Thermoplastic Pavement Markings for Center Line and Lane Line more than 1 kilometer long along Tanauan – Talisay – Tagaytay Road, Lake – Taal – Tagaytay</t>
  </si>
  <si>
    <t>Purchase of Hand Pump for Montara and Bonyod, Brgy. Camangcamang, Isabela, Neg. Occ.</t>
  </si>
  <si>
    <t>Junior Executive Table(20-06-140SG)</t>
  </si>
  <si>
    <t>Construction of Multi-Purpose Bldg. (Phase 1) in Brgy. Borseth, Alangalang, Leyte, ABC PHP2,510,675.73</t>
  </si>
  <si>
    <t>Purchase of Other Machineries &amp; Equipment (Meat Grinder)</t>
  </si>
  <si>
    <t>Procurement of Fuel, oil and lubricants for Naval LHIO</t>
  </si>
  <si>
    <t>Supply &amp; Delivery of Aircon-MAO</t>
  </si>
  <si>
    <t>PURCHASE OF MEDICAL SUPPLIES-JCH-20-0231-B</t>
  </si>
  <si>
    <t>CPH - Housekeeping Supplies</t>
  </si>
  <si>
    <t>Supply and Delivery of Materials for the Operation of Vermi Worm Facility and Municipal Nursery.</t>
  </si>
  <si>
    <t>Rehabilitation of Multi-Purpose Hall, Barangay Silangan</t>
  </si>
  <si>
    <t>Procurement of Airconditioning Unit for the Office of the Register of Deeds.</t>
  </si>
  <si>
    <t>PR-2020-1423 Fuel &amp; Oil Filters-PEO</t>
  </si>
  <si>
    <t>Construction of Barangay Health Station-Barangay San Miguel Dao, Lopez, Quezon</t>
  </si>
  <si>
    <t>TOS ANTIQUE TILAPIA HATCHERY OPERATION SUPPLIES</t>
  </si>
  <si>
    <t>Supply of High Performance Liquid Chromatography (HPLC)</t>
  </si>
  <si>
    <t>Resizing of Office Cubicle</t>
  </si>
  <si>
    <t>Cloth Face Mask</t>
  </si>
  <si>
    <t>Procurement of Sliding Doors</t>
  </si>
  <si>
    <t>SUPPLY AND DELIVERY OF MATERIALS FOR THE CONSTRUCTION OF COMMUNAL COMFORT ROOM WITH CHB SEPTIC TANK AT BARANGAY SABANGAN</t>
  </si>
  <si>
    <t>Purchase of office supplies</t>
  </si>
  <si>
    <t>Construction of Drainage</t>
  </si>
  <si>
    <t>ITB-SUPPLY AND DELIVERY OF ONE (1) UNIT  BRAND NEW PASSENGER VAN</t>
  </si>
  <si>
    <t>PROCUREMENT OF FOOD SUPPLIES OF NATIVE PIG AND RANGE CHICKEN AT FLORA MULTIPLIER FARM</t>
  </si>
  <si>
    <t>ABE DOST-PCAARRD Cacao Agricultural &amp; Bio-systems Engineering Supplies</t>
  </si>
  <si>
    <t>Office Supplies-HRMO-GAD</t>
  </si>
  <si>
    <t>Supply and Delivery of Office Supplies for PNP Marikina</t>
  </si>
  <si>
    <t>Disinfectin rug tray w/ rubber foot mat(20-06-220HS)</t>
  </si>
  <si>
    <t>Concreting of  Tambongon Public market road</t>
  </si>
  <si>
    <t>Information Technology Parts &amp; Accessories</t>
  </si>
  <si>
    <t>(GO-PAIAD) 2ND REQUEST FOR QUOTATION (RFQ)  For the Procurement 1 unit Unmanned Aerial Vehicle (Drone) &amp; Digital SLR Camera  For the Governor’s Office – Public Affairs &amp; Information Assistance Divisio</t>
  </si>
  <si>
    <t>RFQ-TPB-PR.2020.06.186 CAKES WITH DELIVERY SERVICES (2nd Posting)</t>
  </si>
  <si>
    <t>Supply and Delivery of Colored Paper (Yellow)</t>
  </si>
  <si>
    <t>Materials for the used of Various Barangays and Schools, La Carlota City</t>
  </si>
  <si>
    <t>Procurement of Water Service Connection Materials/ Fittings</t>
  </si>
  <si>
    <t>FOR THE PURCHASE OF MAINTENANCE SUPPLIES</t>
  </si>
  <si>
    <t>Purchase of Uniform ( Brgy. Tanod ) at Barangay Pob. IV, Tanauan City, Batangas</t>
  </si>
  <si>
    <t>Request for Quotation for Repair and Maintenance of Lung Ventilator Machines per PR No. 20-06-0150</t>
  </si>
  <si>
    <t>Proc. of Aircondition and Scanners</t>
  </si>
  <si>
    <t>Supply Catering Services,Venue and Accommodation for the Regional Retooling on Pest Risk Identification &amp; Management (PRIME) Crop Health Assessment in Tacloban City</t>
  </si>
  <si>
    <t>Purchase of Information Material on CoVid - 19 for dissemination to constituents</t>
  </si>
  <si>
    <t>meals and venue for UCT validators2020(MisOr area)</t>
  </si>
  <si>
    <t>Supply and Delivery of Insecticides/Pesticides.</t>
  </si>
  <si>
    <t>20M00080-Repair/Maintenance of DPWH Building (former Utility Building), DPWH Region 12 Compound, Corner Alunan-Mabini Street, Koronadal City, South Cotabato</t>
  </si>
  <si>
    <t>Supply and Delivery of Electrical Materials, Installation of SLT Card and Telephone Installation Peripherals</t>
  </si>
  <si>
    <t>Training in SMAW NC-I UAQTE</t>
  </si>
  <si>
    <t>1 UNIT DESKTOP COMPUTER WITH PRINTER-MENRO</t>
  </si>
  <si>
    <t>2020-07_ITB - Proposed Pathwalk/Covered Drainage at Zone 4-A, Saint Claire, Concepcion Pequeña, Naga City</t>
  </si>
  <si>
    <t>20KK0129 - Construction of 3 STY 12 CL, Binitinan ES, Brgy. Binitinan, Balingasag, Misamis Oriental</t>
  </si>
  <si>
    <t>Purchase of Other Machineries &amp; Equipment (Fogging Machine/Portable Thermal Fogger)</t>
  </si>
  <si>
    <t>Drugs-Azithromycin 500mg Tab (as abase/adihydrate) Azithromycin 500mg Tab (1st Posting)</t>
  </si>
  <si>
    <t>meals and venue for UCT validators2020(Bukidnon area)</t>
  </si>
  <si>
    <t>GOODS-PB-2020-036- PURCHASE OF VARIOUS MEDICINES AND MEDICAL SUPPLIES USE BY MEDICARE HOSPITAL CITY OF GENERAL TRIAS</t>
  </si>
  <si>
    <t>Rehabilitation of BHS Caturay Village macaopao</t>
  </si>
  <si>
    <t>Completion of Barangay Evacuation Center - Katipunan</t>
  </si>
  <si>
    <t>Procurement of CCTV</t>
  </si>
  <si>
    <t>Construction of Barangay Health Station-Barangay Sta. Maria, Lopez, Quezon</t>
  </si>
  <si>
    <t>Purchase of Essential Items for 2020 CPH Training</t>
  </si>
  <si>
    <t>EBMS -REPLACEMENT OF PATIENT MONITOR ACCESSORIES (6TH POSTING)</t>
  </si>
  <si>
    <t>Albendazole</t>
  </si>
  <si>
    <t>Poster Calendar (Year 2021)</t>
  </si>
  <si>
    <t>Purchase of Office Supplies (common use) of all Offices of LGU at Laur, Nueva Ecija</t>
  </si>
  <si>
    <t>Fuel &amp; Lubricants-Vice Mayor's Office</t>
  </si>
  <si>
    <t>Purchase of 1 Unit Floor Mounted Aircondition for the Conference Room - M.O</t>
  </si>
  <si>
    <t>General Disenfection of LWUA Building and perimeter areas using FDA-approved disenfectant Method of Control.</t>
  </si>
  <si>
    <t>Purchase of Information Material on CoVid - 19 for dissemination to transport sector</t>
  </si>
  <si>
    <t>Drugs-Suggamadex 100mg/ml, 2ml (as sodium) (2nd Posting)</t>
  </si>
  <si>
    <t>Repair and Maintenance of Barangay Road (KALAHI Project)</t>
  </si>
  <si>
    <t>Hardware</t>
  </si>
  <si>
    <t>Supply and Delivery of Appliance PR/RFQ# 2020-06-101</t>
  </si>
  <si>
    <t>PURCHASE OF OFFICE SUPPLIES AND CONSUMABLES</t>
  </si>
  <si>
    <t>Senior Citizen Agri Supply Store Project</t>
  </si>
  <si>
    <t>Purchase and delivery of One (1) Unit Motorcycle</t>
  </si>
  <si>
    <t>Supply and Delivery of Multi Parameter Water Quality Checker for Academic Use</t>
  </si>
  <si>
    <t>PURCHASE OF DRUGS AND MEDICINES-JCH-20-0456-B</t>
  </si>
  <si>
    <t>Construction of Multi-Purpose Bldg. (Phase 2) in Brgy. Uguis, Mahaplag, Leyte, ABC PHP2,403,455.26</t>
  </si>
  <si>
    <t>Layout, Graphic Design, and Photography for the 2019 GCG Annual Report</t>
  </si>
  <si>
    <t>Supply &amp; delivery of Vehicle Top-up and accessories</t>
  </si>
  <si>
    <t>Procurement of Vehicle Spare Parts and Accessories</t>
  </si>
  <si>
    <t>Construction of Barangay Health Station-Barangay Silang, Lopez, Quezon</t>
  </si>
  <si>
    <t>Supply and Delivery of Potable Water (May-July 2020) water = PhP. 30.00/Ton or PhP. 30.00/cu.m. Delivery = PhP. 120.00/trip</t>
  </si>
  <si>
    <t>Tire 205/65 R16 for the use of City Assessor and CSWDO</t>
  </si>
  <si>
    <t>EBMS -REPLACEMENT OF DEFECTIVE SPARE PARTS (9TH POSTING)</t>
  </si>
  <si>
    <t>Delivery of parts needed for Dumptruck No. DT-33, Motorgrader No. MG-09, Drilling Machine No.01 &amp; Backhoe No.02 and Acetylene &amp; Oxygen Gas Refill for various Dumptruck and Heavy Equipment.(SVP 20-0324</t>
  </si>
  <si>
    <t>Construction of Local Access Road @ Brgy. Cogon</t>
  </si>
  <si>
    <t>EBMS -PM AND CALIBRATION OF CO2 &amp; SPO2 MONITORING DEVICE (7TH POSTING)</t>
  </si>
  <si>
    <t>Construction of Double Barrel Box Culvert in Brgy. Herrera, Calubian, Leyte, ABC PHP2,374,493.61</t>
  </si>
  <si>
    <t>PROCUREMENT OF 5 UNITS COLLAPSIBLE TENT OF THE MUNICIPALITY OF LIMASAWA, SOUTHERN LEYTE</t>
  </si>
  <si>
    <t>REPAIR &amp; MAINTENANCE-GOVERNMENT BUILDINGS &amp; OTHER STRUCTURES (MDRRM OFFICE)-BRGY. POBLACION, POLILLO, QUEZON</t>
  </si>
  <si>
    <t>SUPPLY AND DELIVERY OF 2,016 HEADS READY TO LAY CHICKEN (PULLETS) IN OCCIDENTAL MINDORO - SECOND POSTING</t>
  </si>
  <si>
    <t>REHABILITATION OF MULTI-PURPOSE HALL – CAWAYAN, IMPASUGONG, BUKIDNON</t>
  </si>
  <si>
    <t>Purchase of Lamivudine for the use of City Health Office</t>
  </si>
  <si>
    <t>Procurement of various water service connection materials/fittings for BWS</t>
  </si>
  <si>
    <t>Request for Quotation for the Provision of Catering services to be served during the conduct of the 3 Batches Blended Course on Training of Trainers on Production of High-Quality Inbred Rice and Seeds</t>
  </si>
  <si>
    <t>Procurement of Electrical Supplies</t>
  </si>
  <si>
    <t>Construction of Barangay Health Station-Barangay Binahian B, Lopez, Quezon</t>
  </si>
  <si>
    <t>PR-2020-0617 Laboratory Supplies-PHO</t>
  </si>
  <si>
    <t>HARDWARE AND CONSTRUCTION SUPPIES</t>
  </si>
  <si>
    <t>Procurement of Fuel (Gasoline and Diesel) through Fleet Card System for DSWD-NCR Field Office/Centers/Residential Care Facilities Vehicles (Nego ITB 2020-06-11)</t>
  </si>
  <si>
    <t>PROCUREMENT OF ADDITIONAL CONSTRUCTION MATERIALS FOR IMPROVEMENT OF WALKWAY GOING TO COVERED COURT</t>
  </si>
  <si>
    <t>Rehabilitation of Aguinaldo St.</t>
  </si>
  <si>
    <t>purchase of External disk and anti virus</t>
  </si>
  <si>
    <t>SUPPLIES FOR STI AND HIV TESTING KIT FOR PREGNANT MOTHERS - MHO (20-03-0642X)</t>
  </si>
  <si>
    <t>Purchase of Desktop Computer for Office use of TRU</t>
  </si>
  <si>
    <t>Purchase of Fuel to be used for R.P. Vehicles at this City (Motorpool Supply)</t>
  </si>
  <si>
    <t>20KK0130 - Repair and Rehabilitation of Multi-Purpose Building (Covered Court), Brgy. Panabol, Kinoguitan, Misamis Oriental</t>
  </si>
  <si>
    <t>927 boxes - Shipping of Family Planning Commodities (Progestin Sub-Dermal Implant-PSI)</t>
  </si>
  <si>
    <t>Supply and Delivery of One (1) Unit Brand New 4 x 4 Pick-up</t>
  </si>
  <si>
    <t>PR-2020-0820 Laboratory Supplies-PHO</t>
  </si>
  <si>
    <t>DRUGS &amp; MEDICINES - MHO (20-06-0946)</t>
  </si>
  <si>
    <t>SUPPLY AND DELIVERY OF LOT 7: 83 HEADS CARABAO (CARAHEIFER) - SECOND POSTING</t>
  </si>
  <si>
    <t>Procurement of Reference Books and Instructional Materials for College of Engineering Library</t>
  </si>
  <si>
    <t>Supply and Delivery of Seven (7) Days Catering Services for Lake Danao Natural Park – Technical Working Group (LDNP – TWG) Meeting for C.Y. 2020</t>
  </si>
  <si>
    <t>Purchase of Janitorial Supplies for the use of Ospital ng Lungsod ng San Jose Del Monte</t>
  </si>
  <si>
    <t>SUPPLY AND DELIVERY FOR THE INSTALLATION OF STREETLIGHTS AT PUROK 14 &amp; 15,POBLACION,SIBAGAT,AGUSAN DEL SUR</t>
  </si>
  <si>
    <t>SUPPLY AND DELIVERY OF IT PARAPHERNALIA FOR REPAIR AND MAINTENANCE OF ICT EQUIPMENT</t>
  </si>
  <si>
    <t>RFQ - Subscription Services for Solidworks Software</t>
  </si>
  <si>
    <t>Rehabilitation of various Barangay Roads</t>
  </si>
  <si>
    <t>INVITATION TO BID FOR THE CONSTRUCTION OF MOTORPOOL PHASE-I</t>
  </si>
  <si>
    <t>Repair and Maintenance Labor and Materials</t>
  </si>
  <si>
    <t>PROCUREMENT OF INFORMATION TECHNOLOGY EQUIPMENT</t>
  </si>
  <si>
    <t>Procurement of meals for PGC Checkpoints of Magapit Lallo,cagayan</t>
  </si>
  <si>
    <t>PRINTING EXPENSES</t>
  </si>
  <si>
    <t>Supply and Delivery of Office Equipment and Appliances, rebid</t>
  </si>
  <si>
    <t>(PGSO) REQUEST FOR QUOTATION (RFQ)  For the Procurement of Siphoning of Various Septic Tanks/Vaults at Capitol Compound For the Provincial General Services Office--75,000.00</t>
  </si>
  <si>
    <t>20G00102 - Construction/Rehabilitation of Water Supply/Septage and Sewerage/Rain Water Collectors – Rainwater Collector in Public Facilities in Region VI – Ten (10) units at NEGROS OCCIDENTAL AREA</t>
  </si>
  <si>
    <t>MG-TSE20-009</t>
  </si>
  <si>
    <t>PURCHASE OF I.V. FLUIDS-JCH-20-0224-B</t>
  </si>
  <si>
    <t>Multifunction copier(20-06-145SG)</t>
  </si>
  <si>
    <t>SUPPLY AND DELIVERY OF ONE-UNIT 4X4 CUSTOMIZED UTILITY RESCUE VEHICLE WITH AMENITIES</t>
  </si>
  <si>
    <t>SUPPLY AND DELIVERY OF LPG REFILL, 50 KG</t>
  </si>
  <si>
    <t>PURCHASE OF 4 UNITS DESKTOP COMPUTER</t>
  </si>
  <si>
    <t>Purchase of Other Machineries &amp; Equipment (Shredder, Multi-Purpose)</t>
  </si>
  <si>
    <t>2 UNITS AIRCON 1.5 HP (WINDOW TYPE)</t>
  </si>
  <si>
    <t>Construction of Barangay Health Station-Barangay Sto. Nino Ibaba, Lopez, Quezon</t>
  </si>
  <si>
    <t>Contruction Materials and Supply for ICT Tables</t>
  </si>
  <si>
    <t>SUPPLY AND DELIVERY OF LOT 10: 4,885 BAGS CERTIFIED PALAY SEEDS IN ROMBLON AND MARINDUQUE – SECOND POSTING</t>
  </si>
  <si>
    <t>Purchase of Office, Janitorial and other supplies of San Pablo City General Hospital 2nd Quarter.</t>
  </si>
  <si>
    <t>20G00103 - Construction/Rehabilitation of Water Supply/Septage and Sewerage/Rain Water Collectors – Rainwater Collector in Public Facilities in Region VI – Nine (9) units at ILOILO AREA for Various Na</t>
  </si>
  <si>
    <t>SUPPLY AND DELIVERY OF LOT 4: 5,800 LITERS MICRONUTRIENT FOLIAR/SOIL FERTILIZER - SECOND POSTING</t>
  </si>
  <si>
    <t>PR-2020-1558 Various Food Supplies-PGO</t>
  </si>
  <si>
    <t>office supplies and materials</t>
  </si>
  <si>
    <t>Vehicle Repair &amp; Maintenance</t>
  </si>
  <si>
    <t>Procurement of 60 kits Expanded Newborn Screening Filter Cards (10pcs./kit) for indigent patients of RHU I and II, Bolinao, Pangasinan</t>
  </si>
  <si>
    <t>Purchase of Visitor's Chairs for the Conference Room of the Office of the Municipal Mayor - M.O.</t>
  </si>
  <si>
    <t>MG-TSE20-006</t>
  </si>
  <si>
    <t>Procurement of Office and Janitorial Supplies for BFP Malay</t>
  </si>
  <si>
    <t>PROCUREMENT OF ONE (1) UNIT PATIENT TRANSPORT VEHICLE</t>
  </si>
  <si>
    <t>Procurement of General Repair &amp; Maintenance Services PR/RFQ# 2020-06-102</t>
  </si>
  <si>
    <t>Concreting of Farm to Market Road (Gosi Sur, Tuguegarao City)</t>
  </si>
  <si>
    <t>Drilling Machine-MAO</t>
  </si>
  <si>
    <t>Purchase of tires for service vehicle with plate no YTO 904</t>
  </si>
  <si>
    <t>PURCHASE INDOOR CCTV</t>
  </si>
  <si>
    <t>MG-TSE20-015</t>
  </si>
  <si>
    <t>Hiring of Technical Consultant for Supply Chain Management from July 6 – December 31, 2020</t>
  </si>
  <si>
    <t>Procurement of meals for PGC Checkpoint of Palao,Solana,Cagayan</t>
  </si>
  <si>
    <t>Purchase of Communication Equipment (2-Way Radio, dual band)</t>
  </si>
  <si>
    <t>Purchase of Anti-Virus tobe used at the BPLO Business-One-Stop-Shop</t>
  </si>
  <si>
    <t>CPH - Chemical Laboratories</t>
  </si>
  <si>
    <t>Repair of Multi-Purpose Center</t>
  </si>
  <si>
    <t>20AG0126-Construction of Modified Standard Two-Storey (4 Classrooms) School Building AT Centro Toma ES,  Bani, Pangasinan</t>
  </si>
  <si>
    <t>INSTALLATION OF 15KVA TRANSFORMER @ EVACUATION CENTER, SITIO CAYANGIAN, BRGY. TINGHUB, VILLABA, LEYTE</t>
  </si>
  <si>
    <t>MG-TSE20-010</t>
  </si>
  <si>
    <t>Supply and Delivery of Materials for the In-House Installation of Traffic Signal Facilities as per Request of Various LGUs</t>
  </si>
  <si>
    <t>Procurement of Fuel &amp; Lubricants</t>
  </si>
  <si>
    <t>Procurement of one (1) lot Blowing and Percussion Instruments for the use of MMDA Band – Public Affairs Office</t>
  </si>
  <si>
    <t>Procurement of meals for PGC Checkpoints of Divisoria Enrile Cagayan</t>
  </si>
  <si>
    <t>Bid No. 20-0263 - PROCUREMENT OF CATERING SERVICES - MO (LGU ACTIVITIES-3RD QUARTER 2020)</t>
  </si>
  <si>
    <t>MG-TSE20-019</t>
  </si>
  <si>
    <t>ITB 2020-GS-009B HFEP EQUIPMENT PACKAGE 2</t>
  </si>
  <si>
    <t>supply and delivery of UCT office equipments2020</t>
  </si>
  <si>
    <t>To Support The Logistical Requirements of OG1,1ID,PA</t>
  </si>
  <si>
    <t>Purchase of Sound System for the Conference Room of the Office of the Municipal Mayor</t>
  </si>
  <si>
    <t>1 unit Motorcycle to be used in the Assessor's Office</t>
  </si>
  <si>
    <t>Construction Materials (Installation of Door and Window Grills @ Sto. Nino central Elem. school, Talaingod, DDN)</t>
  </si>
  <si>
    <t>Purchase of Office Equipment (Photocopier)</t>
  </si>
  <si>
    <t>SUPPLY AND DELIVERY OF LOT 8: 379 HEADS SWINE (GILT) - SECOND POSTING</t>
  </si>
  <si>
    <t>Supplies of Materials for Repair of Balilihan Public Market</t>
  </si>
  <si>
    <t>ITB 2020-GS-009C HFEP EQUIPMENT PACKAGE 3</t>
  </si>
  <si>
    <t>2020-06-0107 Supply and Delivery of Various Dental Supplies of DOH - Drug Abuse Treatment and Rehabilitation Center, Centro San Antonio, City of Ilagan, Isabela</t>
  </si>
  <si>
    <t>LAPTOP - MO (20-CT-0017)</t>
  </si>
  <si>
    <t>Purchase of Storage boxes</t>
  </si>
  <si>
    <t>22 PAA SHOES, CHAROL</t>
  </si>
  <si>
    <t>Construction Multi-Purpose Bldg. at San Pedro Elem. School in Albuera, Leyte, ABC PHP2,071,838.60</t>
  </si>
  <si>
    <t>Construction of Barangay Health Station-Barangay Pisipis Lopez, Quezon</t>
  </si>
  <si>
    <t>PROCUREMENT OF NCD (Non Communicable Disease) Maintenance Medicines</t>
  </si>
  <si>
    <t>PURCHASE OF 1,150 CERTIFIED SEEDS (40 KGS/BAG)</t>
  </si>
  <si>
    <t xml:space="preserve">Procurement of Meals &amp; Snacks during the Assessment of the following Activities Simultaenously Conducted, Lupong Tagapamayapa Incentives Awards, Bgry. Peace &amp; Order Council, Brgy. Development Council </t>
  </si>
  <si>
    <t>SUPPLY AND DELIVERY OF VARIOUS INSECTICIDES IN ORIENTAL MINDORO, PALAWAN, ROMBLON &amp; MARINDUQUE PROVINCES</t>
  </si>
  <si>
    <t>PURCHASE OF OFFICE EQUIPMENTS SUPPLIES AND CONSUMABLES</t>
  </si>
  <si>
    <t>Procurement of One Lot Network Firewall</t>
  </si>
  <si>
    <t>FREIGHT AND TRUCKING SERVICES PACKAGES FOR THE DELIVERY OF TEXTBOOKS TO THE DIFFERENT MUNICIPAL DISTRICTS/SECONDARY SCHOOLS IN THE DIVISION OF MASBATE</t>
  </si>
  <si>
    <t>Procurement of Reference Books and Instructional Materials for PUP Branches and Campuses</t>
  </si>
  <si>
    <t>OFFICE SUPPLIES - MHO (NP-20-0897X)</t>
  </si>
  <si>
    <t>Construction of Multi-Purpose Bldg. (Phase 2) in Brgy. Mohon, Tabontabon, Leyte, ABC PHP2,056,768.58</t>
  </si>
  <si>
    <t>20BD0126 – CONSTRUCTION OF TWO (2) STOREY EIGHT (8) CLASSROOM, CAPATAN ELEMENTARY SCHOOL, TUGUEGARAO CITY, CAGAYAN</t>
  </si>
  <si>
    <t>MG-CEN20-013</t>
  </si>
  <si>
    <t>Lunch,Snack AM and Snacks PM for 2020 District Capability Building for Raters and Ratees on the Philippine Professional Standards for Teachers (PPST) NEXT 12 indicators of RPMS S.Y 2020-2021</t>
  </si>
  <si>
    <t>Individual Consultant for the Improvement and Project Management/Supervision on Repair of POPCOM CO/NCR/Region IV Building Complex and its Facilities</t>
  </si>
  <si>
    <t>MG-CEN20-019</t>
  </si>
  <si>
    <t>PURCHASE OUTDOOR CCTV</t>
  </si>
  <si>
    <t>20BD0127 – CONSTRUCTION OF TWO (2) STOREY SIX (6) CLASSROOM, NAMABBALAN ELEMENTARY SCHOOL, TUGUEGARAO CITY</t>
  </si>
  <si>
    <t>Supply and delivery of Office Equipment/Supplies for PNP</t>
  </si>
  <si>
    <t>SAPALAN RIP CY 2020 PACKAGE 7</t>
  </si>
  <si>
    <t>Purchase of electrical supplies for repalcement of lighting system, switch and outlet at various school.</t>
  </si>
  <si>
    <t>SEEDLINGS-MCO-GAD</t>
  </si>
  <si>
    <t>Concreting of Road Infront of Municipal Hall</t>
  </si>
  <si>
    <t>Procurement of Diesel Fuel-06-360(A)PGO</t>
  </si>
  <si>
    <t>20BD0128 – CONSTRUCTION OF TWO (2) STOREY SIX (6) CLASSROOM, LEMU ELEMENTARY SCHOOL, ENRILE, CAGAYAN</t>
  </si>
  <si>
    <t>MG-CEN20-020</t>
  </si>
  <si>
    <t>ITB 2020-GS-009D HFEP EQUIPMENT PACKAGE 4</t>
  </si>
  <si>
    <t>20JD0109 - Construction of 1 Unit Two Storey (8) Classrooms School Building Sicayab ES, Sicayab, Dapitan City, Zambaonga del Norte</t>
  </si>
  <si>
    <t>Purchase of Furniture &amp; Fixture (Steel Cabinet, Teacher's Table w/ Office Chair, Sala Set, Filing Cabinet, Monoblock Chair w/ armrest, Study Chair w/ armrest, Monoblock Chair)</t>
  </si>
  <si>
    <t>Extension of Pathway</t>
  </si>
  <si>
    <t>Procurement  of meals for PGC Checkpoint of Taribubu Tuao,Cagayan</t>
  </si>
  <si>
    <t>Provision of Internet Connection for the Regional Office for Virtual Activities from July to December 2020</t>
  </si>
  <si>
    <t>Installation of Pipes &amp; Road Expansion</t>
  </si>
  <si>
    <t>MEALS AND SNACKS (FOR FORMULATION OF CFPP)</t>
  </si>
  <si>
    <t>TALAYAN RIS EXTENSION PROJECT CY 2020</t>
  </si>
  <si>
    <t>Supply and Delivery of Vegetable Seeds</t>
  </si>
  <si>
    <t>Purchase of Fuel for Covid 19 Tansaction</t>
  </si>
  <si>
    <t>Supply and delivery of Submersible Pump  for use in the Repair of Water Supply at the Municipal Hall Bldg.</t>
  </si>
  <si>
    <t>Purchase of furniture for Library use at Tanauan City College.</t>
  </si>
  <si>
    <t>EBMS -FREON GAS &amp; 1 OTHER (7TH POSTING)</t>
  </si>
  <si>
    <t>20AG0127-Construction of Modified Standard Two-Storey (4 Classrooms) School Building AT Patar ES,  Bolinao, Pangasinan</t>
  </si>
  <si>
    <t>PAINTING  SUPPLIES</t>
  </si>
  <si>
    <t>Purchase of Other Supplies and Materials for Covid 19 Quarantine facility</t>
  </si>
  <si>
    <t>20GDKJ0071</t>
  </si>
  <si>
    <t>MG-CEN20-021</t>
  </si>
  <si>
    <t>Procurement of Acrylic</t>
  </si>
  <si>
    <t>Purchase of Electrical Supplies for Sindangan Municipal Hall Annex Building</t>
  </si>
  <si>
    <t>2ND QUARTER CY 2020 OFFICE EQUIPMENT</t>
  </si>
  <si>
    <t>SUPPLY AND DELIVERY OF 35 UNITS PUMPS &amp; ENGINE SETS WITH COMPLETE ACCESSORIES</t>
  </si>
  <si>
    <t>Supply and delivery of Office Equipment for IDU CDTS use</t>
  </si>
  <si>
    <t>Philippine Information Agency Purchase Office Devices (Handhel Microphone Set)</t>
  </si>
  <si>
    <t>Procurement of Various Drugs and Medicines-06-097(Q)ZNCM</t>
  </si>
  <si>
    <t>SUPPLY AND DELIVERY 1 (ONE) UNIT 35-44HP 4WD TRACTOR WITH IMPLEMENTS</t>
  </si>
  <si>
    <t>20AG0128-Construction of Modified Standard Two-Storey (4 Classrooms) School Building AT Sual Central School,  Sual, Pangasinan</t>
  </si>
  <si>
    <t>Concreting of road Mun. Compound</t>
  </si>
  <si>
    <t>Rehabilitation of Water System - Balatohan</t>
  </si>
  <si>
    <t>Medical Supplies 20-05-022</t>
  </si>
  <si>
    <t>Procurement of Ten (10) units AED Plus Defibrillator with Complete set Accessories for the use of Road Emergency Group</t>
  </si>
  <si>
    <t>OFFICE SUPPLIES EXPENSE (OJ2-PHP66,750.76)</t>
  </si>
  <si>
    <t>PURCHASE OF ELECTRIFICATION SUPPLIES OF BARANGAY MAGUGPO WEST</t>
  </si>
  <si>
    <t>RFQ MEALS FOR PATIENTS FOR THE PERIOD OF JULY 1-15, 2020</t>
  </si>
  <si>
    <t>Construction Projects -Upgrading of Barangay Water System (Macalibre Alto)-MEO,Lopez Jaena</t>
  </si>
  <si>
    <t>School Hand Washing &amp; Equipment</t>
  </si>
  <si>
    <t>CONCRETING OF FARM TO MARKET ROAD</t>
  </si>
  <si>
    <t>PR-2020-1393 Drugs &amp; Medicines-Fluids-PHO</t>
  </si>
  <si>
    <t>To be given to Frontliners during Extreme Enhance Community Quarantine</t>
  </si>
  <si>
    <t>Repair and Maintenance of Water Supply System</t>
  </si>
  <si>
    <t>Purchase of Other Machineries &amp; Equipment (Aircon, Freezer, Chiller, Industrial Exhaust Fan with installation)</t>
  </si>
  <si>
    <t>Construction of Flood Control Structure in Brgy. District III, Babatngon, Leyte, ABC PHP1,996,389.20</t>
  </si>
  <si>
    <t>EBMS -CAPACITOR &amp; 14 OTHERS (4TH POSTING)</t>
  </si>
  <si>
    <t>SK ENHANCEMENT PROGRAM</t>
  </si>
  <si>
    <t>Medical Supplies for COVID-19</t>
  </si>
  <si>
    <t>Supply and Delivery of Information Communication Technology (ICT) Equipments CY 2020</t>
  </si>
  <si>
    <t>Supply and Delivery of Laboratory Chemicals of PSHS-CLC (REPOSTING)</t>
  </si>
  <si>
    <t>1 lot Materials for the fabrication of window grills for CSC LFO I Building in Abucay, Tacloban City</t>
  </si>
  <si>
    <t>Purchase of equipment/construction tools to be used in the MEO</t>
  </si>
  <si>
    <t>Materials and Labor for Rehabilitation of Damaged Ceiling and Partition of Former Nursing Conference Room for Psychology Unit Office</t>
  </si>
  <si>
    <t>Construction of Perimeter Fence-Brgy. Lekep-Butao, San Fabian, Pangasinan</t>
  </si>
  <si>
    <t>ITB 2020-GS-009F HFEP EQUIPMENT LINE ITEM 2</t>
  </si>
  <si>
    <t>20BD0130 – CONSTRUCTION OF TWO (2) STOREY SIX (6) CLASSROOM, DASSUN ELEMENTARY SCHOOL, SOLANA, CAGAYAN</t>
  </si>
  <si>
    <t>MG-CEN20-024</t>
  </si>
  <si>
    <t>Supply and Delivery of Laboratory Materials of PSHS-CLC (REPOSTING)</t>
  </si>
  <si>
    <t>RENOVATION OF ROXAS AMUSEMENT CENTER PHASE I</t>
  </si>
  <si>
    <t>20BD0129 – CONSTRUCTION OF TWO (2) STOREY SIX (6) CLASSROOM, ALIBAGO ELEMENTARY SCHOOL, ENRILE</t>
  </si>
  <si>
    <t>Purchase of Air conditioner units for Tanauan Musuem use.</t>
  </si>
  <si>
    <t>20BD0132 – CONSTRUCTION OF TWO (2) STOREY SIX (6) CLASSROOM, MANAOAG ELEMENTARY SCHOOL, IGUIG</t>
  </si>
  <si>
    <t>20AG0129-Construction of Modified Standard Two-Storey (6 Classrooms) School Building AT Alaminos City Central School, Alaminos City, Pangasinan</t>
  </si>
  <si>
    <t>Purchase of Facility Equipment</t>
  </si>
  <si>
    <t>MAINTENANCE OF ENGINEERING BUILDING</t>
  </si>
  <si>
    <t>Improvement of Multi Purpose Hall (materials only)</t>
  </si>
  <si>
    <t>Security Services for DENR-PENRO Negros Oriental and DENR-CENRO I Ayungon for the period July to December 2020</t>
  </si>
  <si>
    <t>Purchase of Information &amp; Communication Technology Equipment (Desktop Computer, Desktop Computer with bottomless printer, Laptop, Printer, Computer Monitor)</t>
  </si>
  <si>
    <t>Materials for Construction of Pathway as per Requested of Sitio Masipag Barangay Duhat, Santa Cruz, Laguna</t>
  </si>
  <si>
    <t>SUPPLY AND DELIVERY OF COCO PEAT FOR OFFICIAL USE OF MECHANIZED AND MODERNIZED FOREST NURSERY (MMFN) AT TRP, SAN JUAN DE VALDEZ, SAN JOSE, TARLAC</t>
  </si>
  <si>
    <t>Construction and/or Repair/Rehabilitation of Multi Purpose Building, Brgy. J. Rizal, Siniloan, Laguna</t>
  </si>
  <si>
    <t>CONSTRUCTION OF ROAD IMPROVEMENT OF CM RECTO AND ESPAÑOLA AVE. WITH SOLAR LIGHT COMPONENT PHASE IV</t>
  </si>
  <si>
    <t>Construction of Multi-Purpose Bldg. at Waterloo National High School in Matalom, Leyte, ABC PHP1,985,283.28</t>
  </si>
  <si>
    <t>PR-2020-1130 Medical Supplies-PHO</t>
  </si>
  <si>
    <t>Printing services for use in Social Amelioration Program intended for Covid 19 Pandemic.</t>
  </si>
  <si>
    <t>MG-CMT20-014</t>
  </si>
  <si>
    <t>20GOF0010 Supply and Delivery of Clearance Light (Amber) and Sixteen others for use of Drop Side Truck with DPWH No. H2-348/Property Plate No. DOQ-314 assigned at Maintenance Section, Quezon City I En</t>
  </si>
  <si>
    <t>Procrument of meals for the PGC Checkpoints of san Luis Tuao Cagayan</t>
  </si>
  <si>
    <t>Central Processing Unit CPU</t>
  </si>
  <si>
    <t>PROCUREMENT OF MATERIALS FOR IMPROVEMENT OF MULTI-PURPOSE HALL-MARASKA</t>
  </si>
  <si>
    <t>SUPPLY AND DELIVERY OF CHLORINE GRANULES FOR POTABLE WATER</t>
  </si>
  <si>
    <t>SUPPLY, DELIVERY, INSTALLATION AND COMMISSIONING OF AIRCON (3 UNITS)</t>
  </si>
  <si>
    <t>Rehabilitation of Water System - Pagsangahan</t>
  </si>
  <si>
    <t>REHABILITATION OF DAVILA FARM-TO-MARKET ROAD</t>
  </si>
  <si>
    <t>EBMS -FLUORESCENT TUBE &amp; 14 OTHERS (4TH POSTING)</t>
  </si>
  <si>
    <t>OFFICE SUPPLIES EXPENSE (OJ2-PHP65,895.56)</t>
  </si>
  <si>
    <t>2ND QUARTER CY 2020 OFFICE SUPPLIES</t>
  </si>
  <si>
    <t>RFQ Aguisan ES Supplies</t>
  </si>
  <si>
    <t>Supply and Delivery of Motor Vehicle Tires and Batteries</t>
  </si>
  <si>
    <t>Renewal of Design Software for use of this Office QCSDEO, Q.C.</t>
  </si>
  <si>
    <t>ONE-TIME WEB APPLICATION PROTECTION SUBSCRIPTION FOR (1) YEAR UNDER EMB-PPPDD-MIS RFQ NO. EMB-PPPDD-MIS.-SHOPPING-G-074 6-23-2020-4th Posting PR NO. 2020-0396</t>
  </si>
  <si>
    <t>2ND AND 3RD QTR SUPPLIES FOR (BDSK)</t>
  </si>
  <si>
    <t>THE SUPPLY AND DELIVERY OF ONE (1) UNIT ASIAN UTILITY VEHICLE (AUV) (RE-BID)</t>
  </si>
  <si>
    <t>Procurement of Supplies and Materials  - MDRRMO</t>
  </si>
  <si>
    <t>Construction of Access Road to Core Shelter Area in Brgy. Pinamonoan, Mahaplag, Leyte, ABC PHP1,695,126.59</t>
  </si>
  <si>
    <t>Procurement and Delivery of Thermal Paper 3"</t>
  </si>
  <si>
    <t>Supply and delivery of additional equipment ( Gambrel with roller) of Municipal Double AA Slaughterhouse use.</t>
  </si>
  <si>
    <t>CY 2020 Quick Response Fund /Rehabilitation of Classrooms (Cluster 3 – Masipit ES, Tawagan ES)</t>
  </si>
  <si>
    <t>Supply and Delivery of One (1) lot Various Outdoor Supplies and Materials per PR# 2020-05-0257</t>
  </si>
  <si>
    <t>corrective maintenace for toyota fortuner</t>
  </si>
  <si>
    <t>To Support The Logistical Requirements of 5IB,1ID,PA</t>
  </si>
  <si>
    <t>Supply and Delivery of Office Furnitures for SSCT City Campus, Mainit Campus, Malimono Campus &amp; Del Carmen Campus</t>
  </si>
  <si>
    <t>PURCHASE MATERIALS NEEDED FOR CITY WAREHOUSE.(SVP 20-0654)</t>
  </si>
  <si>
    <t>20GOF0011 Supply and Delivery of Data Arch File Folder and one (1) other for use of various Sections at Quezon City I District Engineering Office</t>
  </si>
  <si>
    <t>RIPRAPPING OF SITIO COGCOG GOING TO ANGIN (CONTINUATION)</t>
  </si>
  <si>
    <t>Procurement of meals for PGC Checkpoint of Namabbalan Tuguegarao,Cagayan</t>
  </si>
  <si>
    <t>IT Parts</t>
  </si>
  <si>
    <t>20BD0131 – CONSTRUCTION OF TWO (2) STOREY SIX (6) CLASSROOM, AMULUNG NATIONAL HIGH SCHOOL, AMULUNG, CAGAYAN</t>
  </si>
  <si>
    <t>MG-CEN20-028</t>
  </si>
  <si>
    <t>20AG0130-Construction of Modified Standard Two-Storey (6 Classrooms) School Building AT Magsaysay ES, Alaminos City, Pangasinan</t>
  </si>
  <si>
    <t>Concreting of Pathwalk in Brgy. Calugtugan, Dagami, Leyte, ABC PHP1,888,784.09</t>
  </si>
  <si>
    <t>RFQ:Maintenance of Various Government Vehicle(PR No.2020-0080)</t>
  </si>
  <si>
    <t>Procurement of Services under P.R.Nos. 2370-2020 and 2371-2020-Office of the City Engineer-1Lot</t>
  </si>
  <si>
    <t>PURCHASE OF ONE (1) UNIT MUNICIPAL VEHICLE (Sports Utility Vehicle), Banate, Iloilo</t>
  </si>
  <si>
    <t>Repair of Elevator</t>
  </si>
  <si>
    <t>20AB0121: REPAIR/ REHABILITATION OF SLOPE PROTECTION ALONG ILOCOS NORTE - APAYAO ROAD AT K0517+817 TO K0517+842</t>
  </si>
  <si>
    <t>SUPPLY AND DELIVERY OF MATERIALS FOR THE ELECTRICAL SERVICE LINE AT BAMBAN LABAK PUMPING STATION</t>
  </si>
  <si>
    <t>ONE-TIME FIREWALL SOFTWARE SUBSCRIPTION FOR (1) YEAR UNDER EMB-PPPDD-MIS RFQ NO. EMB-PPPDD-MIS.-SHOPPING-G-076 6-23-2020 – 4th Posting PR NO. 2020-0397</t>
  </si>
  <si>
    <t>MG-COM20-021</t>
  </si>
  <si>
    <t>Communication Equipment</t>
  </si>
  <si>
    <t>RFQ Aguisan ES Supplies 2</t>
  </si>
  <si>
    <t>20AG0131-Construction of Modified Standard Two-Storey (6 Classrooms) School Building AT Barlo Integrated School, Mabini, Pangasinan</t>
  </si>
  <si>
    <t>PROCUREMENT OF CONST./INSTALLATION MATERIALS OF TWENTY UNITS STREETLIGHTS-LIBERTAD</t>
  </si>
  <si>
    <t>Repair and replacement of circuit board (Kolin AC Floor Standing)</t>
  </si>
  <si>
    <t>SUPPLY AND DELIVERY OF DIGITAL CHLORINATOR</t>
  </si>
  <si>
    <t>PR-2020-0594 Medical Supplies-PHO</t>
  </si>
  <si>
    <t>Supply and delivery of Office Equipment-DSLR Camera for use of K2MIPP</t>
  </si>
  <si>
    <t>PR 20-06-008a Procurement of Medical &amp; Hygiene supplies</t>
  </si>
  <si>
    <t>Janitorial Services for DENR-PENRO, Negros Oriental for the period July to December 2020</t>
  </si>
  <si>
    <t>20GOF0013 Supply and Delivery of Flat Latex Paint (White) for use in Maintenance of various National Roads within District I, II, V and VI, Q.C.</t>
  </si>
  <si>
    <t>REPRESENTATION EXPENSE (OSPS-PHP115,694.00)</t>
  </si>
  <si>
    <t>PR-2020-1422 Drugs &amp; Medicines-Fluids-JMH</t>
  </si>
  <si>
    <t>SUPPLY AND DELIVERY OF VARIOUS HOSPITAL  SUPPLIES.REBID</t>
  </si>
  <si>
    <t>Supply and Delivery of Office Supplies and Consumables for the 2nd Quarter</t>
  </si>
  <si>
    <t>MG-IPP20-007</t>
  </si>
  <si>
    <t>BROADCASTING OF KALIMPYO KAHAPSAY SURIGAO (KKS) PROGRAM</t>
  </si>
  <si>
    <t>SUPPLY AND DELIVERY OF FUEL FOR RESCUE VEHICLES</t>
  </si>
  <si>
    <t>FOOD SUPPLIES (BDSK)</t>
  </si>
  <si>
    <t>Supply and Delivery of SATA to USB 3.0 Dual Bay External Hard Drive and 8TB SATA 3.5 Hard Drive</t>
  </si>
  <si>
    <t>Repair and Rehabilitation of the Hall of Justice Building in Villaba, Leyte, ABC PHP1,278,839.87</t>
  </si>
  <si>
    <t>Procurement of meals for PGC Checkpoint of Abbut ,Tuao,Cagayan</t>
  </si>
  <si>
    <t>PURCHASE OF 2 UNITS OF LED FLOOD LIGHT</t>
  </si>
  <si>
    <t>Office Supplies for CID office use</t>
  </si>
  <si>
    <t>Purchase of Three (3) Units Toner for Xerox Machine</t>
  </si>
  <si>
    <t>Farm Inputs/Materials (MAGRO)</t>
  </si>
  <si>
    <t>MG-ISD20-030</t>
  </si>
  <si>
    <t>Supply and Delivery of Meter Reading and Billing System Equipment for MMWD</t>
  </si>
  <si>
    <t>CONSTRUCTION OF DIEGO SILANG STREET DRAINAGE CANAL BRGY. CABINUANGAN, NEW BATAAN</t>
  </si>
  <si>
    <t>PURCHASE OF 3 UNITS OF INDUSTRIAL ELECTRIC FAN</t>
  </si>
  <si>
    <t>RIVER DREDGING, PUROK 4, LAYA WEST</t>
  </si>
  <si>
    <t>Construction of 2-Storey Multi-Purpose Bldg. in Brgy. Mabunga, Mahaplag, Leyte, ABC PHP1,889,118.96</t>
  </si>
  <si>
    <t>SUPPLY AND DELIVERY OF FRUIT TREES SEEDLINGS FOR FOOD SECURITY 2020, IMPASUGONG, BUKIDNON</t>
  </si>
  <si>
    <t>20IE0097 -  REPAIR/MAINTENANCE OF DPWH BUILDING, MOTORPOOL/BODEGA, LEYTE III DISTRICT ENGINEERING OFFICE  Brgy. Suba, Villaba, Leyte</t>
  </si>
  <si>
    <t>Labor &amp; Materials for Vehicle Repair (Coaster - SLB 245)</t>
  </si>
  <si>
    <t>20GOF0015 Supply and Delivery of Thermoplastic Paint White and One (1) other, to be used along various National Roads in District I, II, V and VI, Q.C.</t>
  </si>
  <si>
    <t>SUPPLY AND DELIVERY OF GENERATOR SET ( INC. MECHANICAL AND ELECTRICAL INSTALLATION) OF LGU-CATANAUAN, QUEZON</t>
  </si>
  <si>
    <t>20GIL0040(PURCHASE OF CONSTRUCTION MATERIALS,DPWH-SLDEO, MAASIN CITY, SOUTHERN LEYTE)</t>
  </si>
  <si>
    <t>Construction of Climate Proof Multi-Purpose/Evacuation Center at Lugta, Laua-an, Antique</t>
  </si>
  <si>
    <t>Construction of Health Center in Brgy. Malbog, Tolosa, Leyte, ABC PHP1,003,799.13</t>
  </si>
  <si>
    <t>PROCUREMENT OF EQUIPMENTS FOR MUNICIPAL NURSERY</t>
  </si>
  <si>
    <t>20GOF0012 Supply and Delivery of L-Type Table with Partition and four (4) others for use of Construction Section at Quezon City I District Engineering Office</t>
  </si>
  <si>
    <t>20GOF0014 Supply and Delivery of Cold Mix Asphalt for use in Maintenance/Rehabilitation and Improvement of National Roads in District I, II, V and VI, Q.C.</t>
  </si>
  <si>
    <t>Procurement of service vehicle to be used for the implementation and maintenance of Peace &amp; Order</t>
  </si>
  <si>
    <t>Purchase of One (1) Unit Motorcycle (4 Stroke, 175 CC) &amp; One (1) Unit Side Car (Garong Type) to be used for Waste Management Service in Various Barangays</t>
  </si>
  <si>
    <t>ONE-TIME DIGITAL SIGNING SERVICES SUBSCRIPTION FOR 1 YEAR UNDER EMB-PPPDD-MIS RFQ NO. EMB-PPPDD-MIS.-SHOPPING-G-072 6-23-2020-4th Posting  PR NO. 2020-0402</t>
  </si>
  <si>
    <t>Purchase of Janitorial Supplies</t>
  </si>
  <si>
    <t>PR-2020-1495 Vegetable Seeds-PAO</t>
  </si>
  <si>
    <t>EMERGENCY CART FOR EMERGENCY DEPARTMENT</t>
  </si>
  <si>
    <t>RFQ Aguisan ES Construction Supplies</t>
  </si>
  <si>
    <t>Vacuum Emasculator</t>
  </si>
  <si>
    <t>Improvement of Multi-Purpose Bldg. at Matlang National High School in Isabel, Leyte, ABC PHP1,253,752.35</t>
  </si>
  <si>
    <t>Seed Counter 2020-06-122</t>
  </si>
  <si>
    <t>CONSTRUCTION OF MUNICIPAL DISASTER RISK AND MANAGEMENT OFFICE BUILDING</t>
  </si>
  <si>
    <t>MG-CEN20-023</t>
  </si>
  <si>
    <t>SUPPLY AND DELIVERY OF BLACK RICE SEEDS</t>
  </si>
  <si>
    <t>ITB 2020-GS-009E HFEP EQUIPMENT LINE ITEM 1</t>
  </si>
  <si>
    <t>SUPPLY AND DELIVERY OF COVID 19 RESPONSE ITEMS - RFQ 2020-06-021</t>
  </si>
  <si>
    <t xml:space="preserve">Supply and delivery of various agricultural supplies to be used in the project "Upscaling Innovative Family Enterprise Development (IFED) through Improved Free Range Chicken Production in Sta. Maria, </t>
  </si>
  <si>
    <t>PROCUREMENT OF HP TONER CARTRIDGE</t>
  </si>
  <si>
    <t>Purchase of Food Assistance for Covid-19 Frontliners</t>
  </si>
  <si>
    <t>CPH - Micro Kjeldahl Digestion Unit</t>
  </si>
  <si>
    <t>Procurement of various Plumbing Materials</t>
  </si>
  <si>
    <t>SUPPLY AND DELIVERY OF MATERIALS FOR REHABILITATION OF RURAL HEALTH UNIT-CATANAUAN, QUEZON</t>
  </si>
  <si>
    <t>Extension of Multi-Purpose Hall, Barangay 4</t>
  </si>
  <si>
    <t>Procurement of Suplies</t>
  </si>
  <si>
    <t>Door Signages</t>
  </si>
  <si>
    <t>20,000 pcs LABEL STICKERS</t>
  </si>
  <si>
    <t>Procurement of meals for PGC Checkpoint of Roma,Enrile,Cagayan</t>
  </si>
  <si>
    <t>Supply and Delivery of Food Stuff</t>
  </si>
  <si>
    <t>PRINTING AND DELIVERY OF WALL CALENDAR WITH METAL HANGER HOOK</t>
  </si>
  <si>
    <t>RFQ No. 20-080: Supply and Delivery of Three Hundred Eighty-Two (382) gallons of Disinfectant, High Level (Aldehyde Free) For Medical/Dental/ Surgical Instrument. For Non-Autoclavable Device</t>
  </si>
  <si>
    <t>SLOPE PROTECTION</t>
  </si>
  <si>
    <t>Purchase of vehicle parts and accessories for preventive maintenance of various City Government vehicles and equipment</t>
  </si>
  <si>
    <t>CONCRETING OF 2.5m x 0.2m x 70m road</t>
  </si>
  <si>
    <t>EBMS -ELECTRONIC CONTROL BOARD &amp; 10 OTHERS (4TH POSTING)</t>
  </si>
  <si>
    <t>INSTALLATION AND MAINTENANCE OF STREETLIGHTS,</t>
  </si>
  <si>
    <t>Supply and Delivery of Maintenance and Laundry Equipments for use of San Marcelino District Hospital (SMDH), San Marcelino</t>
  </si>
  <si>
    <t>MEDICAL, DENTAL &amp; LAB. SUPPLIES - MHO - (NP-20-0914)</t>
  </si>
  <si>
    <t>RFQ2020-06-036_SUPPLY &amp; DELIVERY OF VARIOUS OFFICE SUPPLIES FOR OFFICE USE (STOCK ITEMS) – 2ND QUARTER PROCUREMENT</t>
  </si>
  <si>
    <t>MG-CEN20-008</t>
  </si>
  <si>
    <t>Supply and delivery of animal supplies to be used for the implementation of the Organic Agriculture Program with PR#2020-06-18-221 and ABC of P91,500.00</t>
  </si>
  <si>
    <t>Acquisition of One (1) Unit 4x4 Brand New Rescue Vehicle - Rebid</t>
  </si>
  <si>
    <t>INSTALLATION OF EMERGENCY EXIT DOOR / PANTRY AT AGUS 7 CONTROL ROOM</t>
  </si>
  <si>
    <t>SUPPLY OF FERTILIZER</t>
  </si>
  <si>
    <t>Supply and Delivery of Maintenance Medicines for Municipal Health Office</t>
  </si>
  <si>
    <t>Procurement of plastic cover as protective material to be used in the various offices of City Hall, Carcar City College, City Jail and other various government office in the City of Cacar for the tran</t>
  </si>
  <si>
    <t>Construction of Barangay Health Station-Barangay Canda Ibaba, Lopez, Quezon</t>
  </si>
  <si>
    <t>20GOF0017 Supply and Delivery of Raincoat with Print (DPWH-QCIDEO) and six (6) others for use of DPWH-Roadside Maintenance Workers of Quezon City I District Engineering Office</t>
  </si>
  <si>
    <t>EGG INCUBATOR FOR BACK-TO-BASIC: SCIENTIFIC AND SUSTAINABLE LIVESTOCK AND POULTRY PRODUCTION</t>
  </si>
  <si>
    <t>PROCUREMENT OF NURSING SUPPLIES</t>
  </si>
  <si>
    <t>20GOF0016 Gender and Development (GAD) Activities in the observance of National Women’s Celebration and 18-Day End VAW Campaign</t>
  </si>
  <si>
    <t>PR-2020-1315 Laboratory Supplies-JMH</t>
  </si>
  <si>
    <t>20IE0098 - REPAIR/MAINTENANCE OF DPWH BUILDING, MAINTENANCE SECTION BUILDING, LEYTE III DISTRICT ENGINEERING OFFICE Brgy. Suba, Villaba, Leyte</t>
  </si>
  <si>
    <t>Supply and Delivery of Rehabilitation Center supplies</t>
  </si>
  <si>
    <t>Purchase of Double Arm Steel Tapered Lamp Post for Rehabilitation/ Improvement of Center Island and Street Lights, San Teodoro, Bunawan, Agusan del Sur</t>
  </si>
  <si>
    <t>SUPPLY AND DELIVERY OF LOT 9: 467 HEADS UPGRADED GOATS - SECOND POSTING</t>
  </si>
  <si>
    <t>Supply and Delivery of Steel Shelves</t>
  </si>
  <si>
    <t>Supply and Delivery of One (1) Unit Brand New 4x4 Pick-up</t>
  </si>
  <si>
    <t>Supply and Delivery of Materials for Fabrication of Computer Tables  for Computer Lab</t>
  </si>
  <si>
    <t>Procurement of Various Service Connection Materials</t>
  </si>
  <si>
    <t>Construction of Masonry Drainage, Along National Highway, Namabbalan Norte, Tuguegarao City, Cagayan</t>
  </si>
  <si>
    <t>CY 2020 Quick Response Fund Repair/Rehabilitation of Classrooms (Cluster 4 – Suqui ES, Guinobatan ES &amp; N. Aboboto MS)</t>
  </si>
  <si>
    <t>Supply and Delivery of General Medicines for Municipal Health Office</t>
  </si>
  <si>
    <t>Supply and delivery of various animal/zoological supplies to be used in the project "Upscaling Innovative Family Enterprise Development (IFED) through Improved Free Range Chicken Production in Sta. Ma</t>
  </si>
  <si>
    <t>Appliances</t>
  </si>
  <si>
    <t>PURCHASE OF HEMOGLOBIN STRIPS FOR  HEMOGLOBIN DETERMINATION TO ALL PREGNANT WOMAN</t>
  </si>
  <si>
    <t>PROCUREMENT OF CHLORINE LIQUID (FOR DISINFECTION OF PIPELINES)</t>
  </si>
  <si>
    <t>Office Supplies of MHO</t>
  </si>
  <si>
    <t>Digital Weighing Scale</t>
  </si>
  <si>
    <t>RFQ - Laboratory Instrument</t>
  </si>
  <si>
    <t>UPGRADING/IMPROVEMENT OF ROAD, CALBAYAN, CALBAYAN</t>
  </si>
  <si>
    <t>SUPPLY AND DELIVERY OF ONE (1) UNIT MOTORCYCLE WITH SIDECAR</t>
  </si>
  <si>
    <t>Procurement of Office Furniture for use in this District, DPWH 1st DEO, Diplahan, Zamboanga Sibugay</t>
  </si>
  <si>
    <t>PRINTER</t>
  </si>
  <si>
    <t>REPRESENTATION EXPENSE (OSSSM-PHP182,750.00)</t>
  </si>
  <si>
    <t>Supply and delivery of Fuel for MDRRM service vehicles use.</t>
  </si>
  <si>
    <t>PR-2020-1298 One Job Order- Labor Cost for the Construction of Composting Facility at Brgy. Bonifacio, Las Nieves, Agusan del Norte</t>
  </si>
  <si>
    <t>20GOF0018 Supply and Delivery of Safety Shoes and one (1) other for use of DPWH-Roadside Maintenance Workers of Quezon City I District Engineering Office</t>
  </si>
  <si>
    <t>HAZARD MITIGATION PROJECT (MAYO RIVER) BRGY. ANDAP, NEW BATAAN, DAVAO DE ORO</t>
  </si>
  <si>
    <t>Supply and Delivery of Laboratory Supplies and Equipment</t>
  </si>
  <si>
    <t>RFQ for the Procurement of Catering Services for SGLG Coordination Meeting with Partners Agencies</t>
  </si>
  <si>
    <t>Catering Services 2020-06-0211</t>
  </si>
  <si>
    <t>Purchase of Materials and Supplies of Covid 19 Quarantine Facility &amp; Frontliners Use</t>
  </si>
  <si>
    <t>PURCHASE OF MEDICINES/VITAMINS</t>
  </si>
  <si>
    <t>Training in Masonry NC II (Duran)</t>
  </si>
  <si>
    <t>PR#20-06-0301 Prevathon for insecticides (AGRI)</t>
  </si>
  <si>
    <t>Construction of a 2-Classroom School Building at Campin Elem. School in Mahaplag, Leyte, ABC PHP2,109,050.00</t>
  </si>
  <si>
    <t>Supply and Delivery of Thermoplastic Pavement Marking Materials for the Periodic Maintenance of Existing Truck Lanes and Motorcycle Lanes at Various Locations within Metro Manila</t>
  </si>
  <si>
    <t>REPAIR AND REPAINTING OF SERVICE VEHICLE MAINTENANCE</t>
  </si>
  <si>
    <t>Drugs &amp; Medicines (MHO) RFQ</t>
  </si>
  <si>
    <t>Procurement of Drugs and Medicines</t>
  </si>
  <si>
    <t>REPAIR / CONSTRUCTION OF DAYCARE CENTER/HEALTH CENTER</t>
  </si>
  <si>
    <t>Supply and delivery of Plaques, Ceremonial Checks and Tarpaulin to be used during awarding of Regional OA Achievers' Awards with PR#2020-06-18-220 and ABC of P130,600.00</t>
  </si>
  <si>
    <t>PURCHASE OF MEDICAL EQUIPMENT-JCH-20-0306-B</t>
  </si>
  <si>
    <t>REHABILITATION OF MULTI PURPOSE HALL (HEALTH CENTER) BRGY MALATIVAS PANABO CITY</t>
  </si>
  <si>
    <t>Supply and Delivery of Misting Machine for Anti-Dengue(Brand New and Branded)</t>
  </si>
  <si>
    <t>PR-2020-1297 Equipment Rental for the Construction of Composting Facility at Brgy. Bonifacio, Las Nieves, Agusan del Norte</t>
  </si>
  <si>
    <t>20GIL0041(SUPPLY/DELIVERY OF ASPHALT CEMENT,DPWH-SLDEO, MAASIN CITY, SOUTHERN LEYTE)</t>
  </si>
  <si>
    <t>CONSTRUCTION OF THREE (3) – UNITS FARMER CENTERS AT BRGY. MERCED, BRGY.CARMELO &amp; BRGY.LIBERTAD, BANATE, ILOILO</t>
  </si>
  <si>
    <t>ELECTRIC STAND FAN</t>
  </si>
  <si>
    <t>Procurement of Printing Services PR/RFQ# 2020-06-103</t>
  </si>
  <si>
    <t>SUPPLY AND DELIVERY OF CONSTRUCTION MATERIALS FOR THE IMPROVEMENT OF CONFERENCE HALL</t>
  </si>
  <si>
    <t>PROCUREMENT OF GARBAGE BINS</t>
  </si>
  <si>
    <t>20IE0099 - REPAIR/MAINTENANCE OF DAR BUILDING SAN ISIDRO AGRARIAN REFORM OFFICE BUILDING San Isidro, Leyte</t>
  </si>
  <si>
    <t>PROCUREMENT OF CATERING SERVICES FOR THE 4TH LEVEL TRAINING OF 2020 CENSUS OF POPULATION AND HOUSING (2020 CPH) IN CARAGA REGION-SECOND BIDDING</t>
  </si>
  <si>
    <t>TRANSFORMER OIL</t>
  </si>
  <si>
    <t>CONSTRUCTION OF STREETLIGHTS</t>
  </si>
  <si>
    <t>Supply and delivery of 2,100 heads Day Old Chicks (Free Range Chicken) to be used in the project "Upscaling Innovative Family Enterprise Development (IFED) through Improved Free Range Chicken Producti</t>
  </si>
  <si>
    <t>PROCUREMENT OF OFFICE SUPPLIES</t>
  </si>
  <si>
    <t>Supply and Delivery of T-Shirt with Embroidered 102th Founding Anniversary Logo</t>
  </si>
  <si>
    <t>Supply and Delivery of Refilled Fire Extinguisher</t>
  </si>
  <si>
    <t>Maintenance of Mun. Fish Port and Calabogo Landing Center - FISHPORT</t>
  </si>
  <si>
    <t>INVITATION TO BID FOR THE PURCHASE AND  DELIVERY OF VARIOUS FURNITURE AND FIXTURES AT MAYOR'S EXTENSION OFFICE(LINGAYEN CIVIC CENTER), MAYOR'S OFFICE AND EVACUATION CENTER-CONFERENCE ROOM AND PURCHASE</t>
  </si>
  <si>
    <t>MG-TSE20-034</t>
  </si>
  <si>
    <t>Construction of a 2-Classroom School Building at Jones Elem. School in Pastrana, Leyte, ABC PHP2,111,096.82</t>
  </si>
  <si>
    <t>EBMS -GREASE &amp; 9 OTHERS (4TH POSTING)</t>
  </si>
  <si>
    <t>CONSTRUCTION OF CANAL LINING  AT PUROK 1-C BRGY MALATIVAS PANABO CITY</t>
  </si>
  <si>
    <t>SUPPLY AND DELIVERY OF FULL HD 1080p DOCUMENT CAMERA UNDER EMB-PPPDD-SISMS RFQ NO. EMB-SISMS.-SHOPPING-G-080-06-23-2020-2nd POSTING- PR. NO. 2020-0413</t>
  </si>
  <si>
    <t>To provide farm implements for EPAHP Project Implementation EPAHP</t>
  </si>
  <si>
    <t>SUPPLY AND DELIVERY OF VARIOUS OFFICE SUPPLIES AND PRINTED FORMS - SB</t>
  </si>
  <si>
    <t>Construction of Two-Storey Four Classroom School Building (Phase 1)</t>
  </si>
  <si>
    <t>JOB ORDER: CONSTRUCTION OF DON PAULINO WATER SYSTEM DAPA, SURIGAO DEL NORTE</t>
  </si>
  <si>
    <t>Supply and Delivery of Disposable Syringe</t>
  </si>
  <si>
    <t>REHABILITATION OF DRAINAGE SYSTEM ( CANAL LINING / CANAL COVER )</t>
  </si>
  <si>
    <t>SUPPLY AND DELIVERY OF MEDICAL EQUIPMENT ACCESSORIES</t>
  </si>
  <si>
    <t>REQUEST FOR QUOTATION OF INFORMATION TECHNOLOGY FOR THE IMPLEMENTATION OF KALAHI-CIDSS:NCDDP EXTENSION 2020</t>
  </si>
  <si>
    <t>REPRESENTATION EXPENSE (OSSSM-PHP94,774.00)</t>
  </si>
  <si>
    <t>ONE-TIME PALOALTO FIREWALL SUBSCRIPTION FOR 1 YEAR UNDER EMB-PPPDD-SISMS RFQ NO. EMB-SISMS.-SHOPPING-G-083-06-23-2020-2nd Posting PR. NO. 2020-0434</t>
  </si>
  <si>
    <t>Purchase of Rapid Test Kit for COVID-19 lgG&amp;lgM, LGU Villasis, Pangasinan</t>
  </si>
  <si>
    <t>Purchase of Materials for Construction of Multi-Purpose Building R (PNP KITHCHEN)</t>
  </si>
  <si>
    <t>Asphalt Cold Mix</t>
  </si>
  <si>
    <t>Supply and Delivery of Raincoat &amp; 4 others</t>
  </si>
  <si>
    <t>PURCHASE OF SUPPLIES AND MATERIALS FOR THE CONDUCT OF KNOWLEDGE AND ATTITUDE PRACTICES (KAP) SURVEY AND SURVEY AND REGISTRATION OF PROTECTED AREA OCCUPANTS (SRPAO) IN MT. ARAYAT NATIONAL PARK (MANP)</t>
  </si>
  <si>
    <t>Supply and Delivery of Animal Feeds</t>
  </si>
  <si>
    <t>20FE0127 – CONSTRUCTION OF CLASSROOMS, SAN JUAN NATIONAL HIGH SCHOOL, LIBMANAN, CAMARINES SUR</t>
  </si>
  <si>
    <t>Supply and delivery of Knapsack Sprayer, Grasscutter and Carbonizer to be used in the implementation of Organic Agriculture Program with PR#2020-06-18-224 and ABC of P116,000.00</t>
  </si>
  <si>
    <t>Office Supplies-MCO-GAD</t>
  </si>
  <si>
    <t>Purchase of Diesel for MMO</t>
  </si>
  <si>
    <t>Procurement of Server and Accessories (Re-Canvass)</t>
  </si>
  <si>
    <t>Supply and Delivery of Hydraulic Oil #10 at NIA CBIMO Maddarulug, Solana, Cagayan</t>
  </si>
  <si>
    <t>Materials for the Repair and Maintenance of School Building @ San Isidro High School - San Isidro, Talibon, Bohol</t>
  </si>
  <si>
    <t>PR-2020-1296 Equipment Rental for the Construction of Composting Facility at Brgy. Dalao-an, Rizal, Buenavista, Agusan del Norte</t>
  </si>
  <si>
    <t>Procurement of Consultancy Services (Firm) for the JJWC Knowledge Management Portal</t>
  </si>
  <si>
    <t>Repair of ASDS Office</t>
  </si>
  <si>
    <t>Supply and Delivery of Aircon with Installation</t>
  </si>
  <si>
    <t>PR-2020-1299 One Job Order-Labor Cost for the Construction of Composting Facility at Brgy. Dalao-an, Rizal, Buenavista, Agusan del Norte</t>
  </si>
  <si>
    <t>20IE0100 - REPAIR/MAINTENANCE OF DOJ BUILDING, HALL OF JUSTICE, VILLABA TRIAL COURT, Brgy. Poblacion del Sur, Villaba, Leyte</t>
  </si>
  <si>
    <t>RECONSTRUCTION OF CANAL LINING W/ COVER @ SABALAS ST. WAWA1, ROSARIO, CAVITE</t>
  </si>
  <si>
    <t>One (1) lot Supply of Two (2) Minimum Wage Outsourced Personnel-CMS ROSS, as per BSP Terms of Reference and Terms and Conditions</t>
  </si>
  <si>
    <t>EXHAUST FAN, WALL MOUNTED, INDUSTRIAL TYPE, 220V (16”)</t>
  </si>
  <si>
    <t>Supply and Delivery of Materials for the Construction of Covered Flood Drain Manhole with Extended Sidewalk @ Roosevelt St. Poblacion, Tapaz, Capiz</t>
  </si>
  <si>
    <t>Buhangin Central ES-SC APRIL-JUNE 2020</t>
  </si>
  <si>
    <t>Extension/Construction of SLR Covered Court as Evacuation Center</t>
  </si>
  <si>
    <t>For Fencing of Sitio Barangbang, Millan Water System</t>
  </si>
  <si>
    <t>Improvement of MPP Training Center cum mess Hall to be used for isolation facility during Pandemic</t>
  </si>
  <si>
    <t>PUBLICATION OF MUNICIPAL ORDINANCE (SANGGUNIANG BAYAN)</t>
  </si>
  <si>
    <t>2020-06-1000 Cadaver Bag</t>
  </si>
  <si>
    <t>Purchase of Office equipment</t>
  </si>
  <si>
    <t>Rental of Heavy Equipments</t>
  </si>
  <si>
    <t>PURCHASE OF ONE (1) UNIT MOBILE CORN MILL FOR MUNICIPAL AGRICULTURE’S OFFICE, AITC, POBLACION, IMPASUGONG, BUKIDNON</t>
  </si>
  <si>
    <t>BATTERY FOR LAPTOP( ASUS X550ZE)</t>
  </si>
  <si>
    <t>Supply and Delivery of Vegetable Seeds, Fertilizers &amp; Pesticides</t>
  </si>
  <si>
    <t>Supply and delivery of Safety Devices for use of K2MIPP Engineering &amp; IDU Personnel</t>
  </si>
  <si>
    <t>For Learners with Special Educational Needs</t>
  </si>
  <si>
    <t>IT and Office Equipmnent and Accessories: Laptop, Headphone, HDMI to VGA, Splitter, Document Camera</t>
  </si>
  <si>
    <t>PR-2020-1497 Diesel, Gasoline &amp; Oil-PEO</t>
  </si>
  <si>
    <t>SPORTS SUPPLIES (BDSK)</t>
  </si>
  <si>
    <t>Improvement of various offices of the Schools Division of Ilocos Norte</t>
  </si>
  <si>
    <t>Solar Pump Irrigation System &amp; Accessories</t>
  </si>
  <si>
    <t>CONSTRUCTION OF BULLETIN BOARD AND SIGNAGES, BANATE, ILOILO</t>
  </si>
  <si>
    <t>20GAC0023 - Supply and Delivery of Asphalt Sealant for the Sealing of Cracks and Joints Along NSR</t>
  </si>
  <si>
    <t>Supply and Delivery of Laboratory Supplies PR/RFQ# 2020-06-104</t>
  </si>
  <si>
    <t>Purchase of motorcycles</t>
  </si>
  <si>
    <t>Improvement of Barangay road (FTMR) (Sitio Tigmanali)</t>
  </si>
  <si>
    <t>PR # 2020-06-100 - Supply and Delivery of Safety Gears to be used by Maintenance Laborers</t>
  </si>
  <si>
    <t>Purchase of one (1) unit Multi-purpose vehicle</t>
  </si>
  <si>
    <t>FETAL MONITOR MACHINE</t>
  </si>
  <si>
    <t>Construction/Rehabilitation/Renovation of the Existing Capitol Building located at the Provincial Capitol Compound, Province of Laguna, Sta. Cruz, Laguna</t>
  </si>
  <si>
    <t>Bid No. 20-0266 - PROCUREMENT OF AGRICULTURAL EQUIPMENT - MENRO (DEVELOPMENT AND OPERATIONS OF ESWM-PARK)</t>
  </si>
  <si>
    <t>SUPPLY AND DELIVERY OF DRONE UNDER EMB-PPPDD-SISMS RFQ NO. EMB-SISMS.-SHOPPING-G-079-06-23-2020-2nd Posting PR. NO. 2020-0400</t>
  </si>
  <si>
    <t>Purchase of  medicine</t>
  </si>
  <si>
    <t>CID No. 20CSOD01- Procurement for the Conduct of Preliminary Detailed Engineering (PDE) Activities for Soil Testing (Soil and Sub-Surface Exploration and Dynamic Cone Penetration Test) for the Various</t>
  </si>
  <si>
    <t>Bid No. 20-0267 - PROCUREMENT OF FOOD SUPPLIES - MO/MPOC (CAFGU) FOR THE MONTH OF SEPTEMBER 2020</t>
  </si>
  <si>
    <t>Construction of RHU Building</t>
  </si>
  <si>
    <t>Public Bidding for Engagement of Mailing Service for PRO IVA for CY 2020</t>
  </si>
  <si>
    <t>Supply and Delivery of Farm Supplies and Equipment</t>
  </si>
  <si>
    <t>SUPPLY AND DELIVERY OF IT EQUIPMENT</t>
  </si>
  <si>
    <t>Purchase of veterinary supplies</t>
  </si>
  <si>
    <t>Supply and delivery of various supplies to be used by Research Division projects with PR#2020-06-18-219 and ABC of P149,650.00</t>
  </si>
  <si>
    <t>(PVSO) 2ND INVITATION TO BID FOR THE SUPPLY AND DELIVERY OF VETERINARY MEDICAL SUPPLIES (VACUUM BLOOD COLLECTION TUBE, ETC.) FOR THE  PROVINCIAL VETERINARY SERVICES OFFICE--263,975.00</t>
  </si>
  <si>
    <t>30 heads Piglets for Sustainable Livelihood Project of Bansan Seaweeds Farmers Association @ Bansan, Talibon, Bohol</t>
  </si>
  <si>
    <t>Publicity and IEC Materials for the 2020 CPH</t>
  </si>
  <si>
    <t>Supply and Delivery of One (1) Unit Brand New 4x2 SUV</t>
  </si>
  <si>
    <t>CONTRACT OF SERVICE AS LEARNING SERVICE PROVIDER FOR THE CITY COLLEGE OF SAN JOSE DEL MONTE  ASSOCIATE PROFESSOR V</t>
  </si>
  <si>
    <t>Rehabilitation/ Improvement of Barangay Road</t>
  </si>
  <si>
    <t>PROPOSED MULTI-PURPOSE HALL (E-LIBRARY)</t>
  </si>
  <si>
    <t>Purchase of Spare parts (Bill Housing 1006550) for the maintenance of Heavy Equipment Grader 135H CAT</t>
  </si>
  <si>
    <t>Procurement of CONSULTING SERVICES</t>
  </si>
  <si>
    <t>20AJ0105-Construction of Two (2) Storey Six (6) Classroom School Building, Balite Sur E/S, San Carlos City, Pangasinan</t>
  </si>
  <si>
    <t>Purchase of spareparts</t>
  </si>
  <si>
    <t>2nd Hand Motor Vehicle Patrol @ Barangay Palindan, Ibaan, Batangas</t>
  </si>
  <si>
    <t>Rehabilitation/ Improvement of Two (2) Storey 8 Classroom Academic Bldg. (Phase II) LSPU Siniloan Campus, Siniloan, Laguna</t>
  </si>
  <si>
    <t>Procurement of Others Supplies of ARMOR, DIV, PA amounting to Php 591,454.00</t>
  </si>
  <si>
    <t>PR # 2020-06-099 - Supply and Delivery of Uniforms to be used by the Roadside Maintenance Personnel</t>
  </si>
  <si>
    <t>SUPPLY AND DELIVERY OF HOUSEHOLD PLATES</t>
  </si>
  <si>
    <t>Supply and Delivery of One (1) Unit Laptop and One (1) Computer Set for Ormoc Superdome, Ormoc City</t>
  </si>
  <si>
    <t>Repair and Maintenance of PCA Service Vehicle Toyota Hilux and Foton</t>
  </si>
  <si>
    <t>20GIL0042(PURCHASE OF THERMOPLASTIC PAINT,DPWH-SLDEO, MAASIN CITY, SOUTHERN LEYTE)</t>
  </si>
  <si>
    <t>Supply and Delivery of One (1) Unit Laptop and Three (3) Sets Computer for Tourism Office, Ormoc City</t>
  </si>
  <si>
    <t>REHABILITATION OF UPPER POBLACION CONCRETE FOOTSTEPS</t>
  </si>
  <si>
    <t>Supply of Office Furniture andFixtures for barangay @ Palinda, Ibaan, Batangas</t>
  </si>
  <si>
    <t>Supplies used at Isolation Unit (TPC)</t>
  </si>
  <si>
    <t>Supply and Delivery of Various Furniture and Fixtures for PRO IVA</t>
  </si>
  <si>
    <t>SUPPLY AND DELIVERY OF ONE (1) UNIT BRAND NEW PHOTOCOPYING MACHINE  FOR Pag-IBIG FUND, TUGUEGARAO HUB</t>
  </si>
  <si>
    <t>Supply and delivery of Personal Protective Equipment for Engineering Section (construction/planning unit/survey)</t>
  </si>
  <si>
    <t>20IE0102 - REHABILITATION/IMPROVEMENT ALONG CABUNGAAN-TABUNOK-CONSUEGRA ROAD K1028+465-K1030+047; TABANGO-CATMON-LA FORTUNA-MANLAWAAN-GIMARCO ROAD K1038+810-K1040+783; CALUBIAN-SAN ISIDRO-TABANGO-VILL</t>
  </si>
  <si>
    <t>NC#2020-0288-PR2020-0406 Procurement for Slotted Rack (Installation of Shelves and Racks) for the use at the Provincial Human Resource Management and Development Office, New Capitol Building, Tagbilar</t>
  </si>
  <si>
    <t>Supply and delivery of Raincoat, Ranger Hat and Long-sleeves to be used by R&amp;D projects with PR#2020-06-18-218 and ABC of P78,000.00</t>
  </si>
  <si>
    <t>RFQ2020-06-037_SUPPLY &amp; DELIVERY OF TWENTY-FIVE (25) PAILS CALCIUM HYPOCHLORITE GRANULES (45KGS. /PAIL, 70% CHLORINE CONTENT) FOR WATER TREATMENT USE</t>
  </si>
  <si>
    <t>Supply and Delivery of Load Card for the  Communication Supply of UEP Faculty</t>
  </si>
  <si>
    <t>SUPPLY AND DELIVERY OF CALIBRATION GASES FOR PHOTOIONIZATION DETECTOR (PID) UNDER EMB-AQMS RFQ NO. EMB-AQMS-SHOPPING-G-081--6-23-2020-2nd posting PR NO. 2019-0440</t>
  </si>
  <si>
    <t>Procurement of Moving Services</t>
  </si>
  <si>
    <t>Supply and Delivery of CM for the construction of Takadang-Pilig-Buhlagan-Ganza Road,Babadi,KNV</t>
  </si>
  <si>
    <t>SUPPLY AND DELIVERY OF MATERIALS FOR GROUNDS MAINTENANCE RFQ NO. EMB-EMB-PGSS 2020-085-06-23-2020-2nd Posting PR NO.2020-009792</t>
  </si>
  <si>
    <t>PURCHASE OF ONE (1) UNIT MOBILE RICE MILL FOR MUNICIPAL AGRICULTURE’S OFFICE, AITC, POBLACION, IMPASUGONG, BUKIDNON</t>
  </si>
  <si>
    <t>Procurement of Office Supplies and Materials for the First Quarter of CY 2020 of DepED Schools Division of Ligao City</t>
  </si>
  <si>
    <t>Drip Irrigation System &amp; Accessories</t>
  </si>
  <si>
    <t>Bid No. 20-0269 - PROCUREMENT OF OFFICE SUPPLIES - MO/RADIO ROOM SECTION</t>
  </si>
  <si>
    <t>Procurement of ID Lanyard</t>
  </si>
  <si>
    <t>20PC0060 CONCRETING OF BRGY. CADACLAN FMR, CADACLAN, CALANASAN, APAYAO</t>
  </si>
  <si>
    <t>Supply and Delivery of Agricultural Fishery Machineries and Equipment</t>
  </si>
  <si>
    <t>Invitation to Bid for the Procurement of Materials for the Improvement of Multi-purpose Building at Barangay Bangkilingan, Tabaco City</t>
  </si>
  <si>
    <t>Procurement &amp; Installation of Solar Street Lights</t>
  </si>
  <si>
    <t>20AC0098 - Repair / Maintenance of DILG Building PNP - P12 PPO BOQ Building, Camp Quirino, Bulag, Bantay, Ilocos Sur</t>
  </si>
  <si>
    <t>Purchase of sink for MPDC Office as one of the measures to prevent the spread of corona virus</t>
  </si>
  <si>
    <t>Purchase of Tire (Municipal Heavy Equipment DT-04) - LGU</t>
  </si>
  <si>
    <t>Construction and/or Repair/Rehabilitation of Multi Purpose Building, Brgy. Gonzales Poblacion, Pakil, Laguna</t>
  </si>
  <si>
    <t>CONTRACT OF SERVICE AS LEARNING SERVICE PROVIDER FOR THE CITY COLLEGE OF SAN JOSE DEL MONTE  INSTRUCTOR I</t>
  </si>
  <si>
    <t>Purchase of Drugs and Medicines (SB No. 1 )</t>
  </si>
  <si>
    <t>Bid No. 20-0268 - PROCUREMENT OF FOOD SUPPLIES - MO/MPOC (CAFGU) FOR THE MONTH OF OCTOBER 2020</t>
  </si>
  <si>
    <t>PURCHASE AND DELIVERY OF MEDICINES</t>
  </si>
  <si>
    <t>Construction of Drainage canal</t>
  </si>
  <si>
    <t>20GAC0024 - Supply and Delivery of Reflectorized White Paint for the Repainting of Faded Edgeline and Centerline Along NSR</t>
  </si>
  <si>
    <t>Purchase of Supplies for Emergency Rescue Team</t>
  </si>
  <si>
    <t>Supply of Labor and Materials for the Improvement of FUTD Wet Lab Area</t>
  </si>
  <si>
    <t>20GJI0036 - Procurement of tire tubeless 265/60 R18 for use in replacement of worn-out tire of service vehicle Nissan Navarra with Plate no. F1-J399, assign in the Maintenance Section.</t>
  </si>
  <si>
    <t>HEMOGLOBIN MICROCUVETTE</t>
  </si>
  <si>
    <t>Supply and Delivery of Furniture PR/RFQ# 2020-06-108</t>
  </si>
  <si>
    <t>For Impv't of Drainage System in the Municipal Site</t>
  </si>
  <si>
    <t>Procurement of 3 sets Desktop Computer, 1 unit Laptop Computer and Accessories (Re-Canvass)</t>
  </si>
  <si>
    <t>Contract for the Improvement of Water System, Barangay Bobongon, Santo Tomas</t>
  </si>
  <si>
    <t>Purchase of Diesel and motor oil</t>
  </si>
  <si>
    <t>CONSTRUCTION/DEVELOPMENT OF SANITARY LANDFILL   Barangay Tubaran, Tubod, Lanao del Norte</t>
  </si>
  <si>
    <t>Supply and Delivery of One (1) Unit Medical X-ray Vertical Cassette Holder (Movable/Non-Fixed) for City Health Office, Ormoc City</t>
  </si>
  <si>
    <t>Purchase of Fuel, Oil and Lubricants Expenses (DSWD &amp; Engineering)</t>
  </si>
  <si>
    <t>Bid No. 20-0270 - PROCUREMENT OF OFFICE SUPPLIES - MHO (USE FOR HIV/AIDS/STD PROGRAM)</t>
  </si>
  <si>
    <t>RECONSTRUCTION OF CANAL LINING W/ COVER @ NEWYORK COMPOUND WAWA1, ROSARIO, CAVITE</t>
  </si>
  <si>
    <t>Supply and Delivery of Fuel and Oil for the Excavation of Sanitary Landfill at MRF, Sitio Plum, Barangay Soledad</t>
  </si>
  <si>
    <t>Procurement and Installation/fabrication of Digital / Analog Repeater, Portable Handheld Radios, Base Station, Monopole Mast Tower, Lightning Arrrester Equipment and Concrete Communication Shelter</t>
  </si>
  <si>
    <t>PROCUREMENT OF ENGLISH WORKBOOK GRADE 2</t>
  </si>
  <si>
    <t>Supply and Delivery of Inorganic Fertilizer</t>
  </si>
  <si>
    <t>Procurement of Painting Materials and Supplies for the repainting of Mun. Bldg.</t>
  </si>
  <si>
    <t>CONTRACT OF SERVICE AS LEARNING SERVICE PROVIDER FOR THE CITY COLLEGE OF SAN JOSE DEL MONTE  ASSISTANT PROFESSOR III</t>
  </si>
  <si>
    <t>CONTRACT OF SERVICE AS LEARNING SERVICE PROVIDER FOR THE CITY COLLEGE OF SAN JOSE DEL MONTE  INSTRUCTOR III</t>
  </si>
  <si>
    <t>Supply and Delivery of Tarpaulins for Various Activities of City Mayor's Office, Ormoc City</t>
  </si>
  <si>
    <t>Repair/rehabilitation of Barangay Nutrition Center at Brgy. Zone 6, Cadiz City</t>
  </si>
  <si>
    <t>REHAB OF BREAK WATER/SEAWALL BRGY SAN ROQUE, BILIRAN, BILIRAN</t>
  </si>
  <si>
    <t>Printing Senior High School ID</t>
  </si>
  <si>
    <t>Purchase of 2 units Desktop Computer &amp; 2 units All-in-one Deskjet Printer for use at the Laoag City Public Market &amp; Commercial Complex, Laoag City</t>
  </si>
  <si>
    <t>PROPOSED CONSTRUCTION OF SLOPE PROTECTION (BALBALINO)</t>
  </si>
  <si>
    <t>SUPPLY AND DELIVERY OF INDUSTRIAL EQUIPMENT - CNC LASER CUTTER, ETC.</t>
  </si>
  <si>
    <t>Purchase of Fuel, Oil and Lubricants Expenses (MO)</t>
  </si>
  <si>
    <t>20AC0100 - Repair / Maintenance of DPWH Building Power House II Building, Ilocos Sur I District Engineering Office, Brgy. 6, Bantay, Ilocos Sur</t>
  </si>
  <si>
    <t>CONSTRUCTION OF MULTI-PURPOSE HALL AT PEDRO SA BACULIO, EL SALVADOR CITY</t>
  </si>
  <si>
    <t>Invitation to Bid - Infrastructure Project for Construction of Evacuation Center at Barangay Sabang, Danao City</t>
  </si>
  <si>
    <t>Rehabilitation of Farm to Market Road in JCT National Highway-Antolanga, Brgy. Tinongan, Isabela, Neg. Occ.</t>
  </si>
  <si>
    <t>Supply and Delivery of Various Spare Parts for the Existing Gov't. Service Fuso Canter of City Mayor's Office, Ormoc City</t>
  </si>
  <si>
    <t>To Support The Logistical Requirements of 500ECBN,PA</t>
  </si>
  <si>
    <t>CONTRACT OF SERVICE AS LEARNING SERVICE PROVIDER FOR THE CITY COLLEGE OF SAN JOSE DEL MONTE  ASSOCIATE PROFESSOR IV</t>
  </si>
  <si>
    <t>20IE0103 - REPAIR/MAINTENANCE OF DOJ BUILDING HALL OF JUSTICE Brgy. Veloso, Calubian, Leyte</t>
  </si>
  <si>
    <t>PROCUREMENT AND DELIVERY OF ICT EQUIPMENT</t>
  </si>
  <si>
    <t>Procurement of Fourteen (14) units Color Laser Jet Printer - Print, Wireless</t>
  </si>
  <si>
    <t>URBAN GREENING/LANDSCAPING BRGY SAN ISIDRO, BILIRAN, BILIRAN</t>
  </si>
  <si>
    <t>Bid No. 20-0273 - PROCUREMENT OF CONSTRUCTION MATERIALS - MEO (CONSTRUCTION OF COVERED COURT - BRGY. TUPAS, MARAGUSAN, DAVAO DE ORO)</t>
  </si>
  <si>
    <t>Office Supplies and Equipment (OSCA)</t>
  </si>
  <si>
    <t>SUPPLY AND DELIVERY OF THREE (3) UNITS BRAND NEW EVAPORATIVE AIR COOLER  FOR Pag-IBIG FUND, TUGUEGARAO HUB</t>
  </si>
  <si>
    <t>PURCHASE OF PNP PATROL VEHICLE</t>
  </si>
  <si>
    <t>PR#20-05-0059 - Personal Protective Equipment</t>
  </si>
  <si>
    <t>Supply and Delivery of 1160 Box Examining Gloves; PR No. 20-1442 dated May 29, 2020</t>
  </si>
  <si>
    <t>Procurement of Supplies for the Registrars Office</t>
  </si>
  <si>
    <t>20AC0099 - Repair / Maintenance of DPWH Building BOE - Administration Building, Bantay, Ilocos Sur</t>
  </si>
  <si>
    <t>Purchase of Electrical Fixtures and Accessories</t>
  </si>
  <si>
    <t>PR/IPG No.: 20-05-0006 Purchase/Rental of Service Vehicle, Planning and Design Section, DPWH-Bohol III DEO</t>
  </si>
  <si>
    <t>Bid No. 20-0271 - PROCUREMENT OF OFFICE SUPPLIES - MO/MTC</t>
  </si>
  <si>
    <t>Supply and Delivery of Materials for the Repair/Improvement of Comfort Room at UEP College of LAW</t>
  </si>
  <si>
    <t>Purchase of Tire (Municipal Heavy Equipment DT-05) - LGU</t>
  </si>
  <si>
    <t>Supply and delivery of 833 bags Urea Fertilizer (50kg/bag) to be distributed to rice and corn farmers of Region III with PR # 88-6-8-2020 and ABC of Php791,350.00</t>
  </si>
  <si>
    <t>Procurement of Compressor &amp; Spray Gun</t>
  </si>
  <si>
    <t>Supply, Delivery and Installation of Mosquito screen at Evacuation Center and Alum. Partition at TB DOTS Center</t>
  </si>
  <si>
    <t>ROAD CONCRETING (LOCAL ACCESS ROAD FROM BARANGAY TABUNAN TO BARANGAY BAGACAY)</t>
  </si>
  <si>
    <t>Continuation of Sibay Evacuation Center</t>
  </si>
  <si>
    <t>20FE0128 – CONSTRUCTION OF CLASSROOMS, MANTALISAY ES, LIBMANAN, CAMARINES SUR</t>
  </si>
  <si>
    <t>Purchase of Bush Cutter</t>
  </si>
  <si>
    <t>Construction of Multi-Purpose Bldg. (Phase 1) in Brgy. Rizal, Javier, Leyte, ABC PHP2,499,134.05</t>
  </si>
  <si>
    <t>FABRICATION AND INSTALLATION OF SIGNAGE/BILLBOARD IN PALAUI ISLAND PROTECTED LANDSCAPE AND SEASCAPE (PIPLS)</t>
  </si>
  <si>
    <t>Forehead Thermometer</t>
  </si>
  <si>
    <t>EBMS -PM AND CALIBRATION OF HYDROCOLATOR (7TH POSTING)</t>
  </si>
  <si>
    <t>Construction of Camiguin Gymnasium, Poblacion, Mambajao, Camiguin</t>
  </si>
  <si>
    <t>PROCUREMENT OF MATERIALS FOR THE IMPROVEMENT OF PHIL. ARMY DETACHMENT AT BARANGAY MARAGA-A</t>
  </si>
  <si>
    <t>PROCUREMENT OF INFORMATION AND COMMUNICATION TECHNOLOGY EQUIPMENT (ICT)</t>
  </si>
  <si>
    <t>Repair and Maintenance of DepEd Vehicle</t>
  </si>
  <si>
    <t>FURNITURE &amp; FIXTURES - MHO -(20-0082X)</t>
  </si>
  <si>
    <t>Renovation of University Students Services Office</t>
  </si>
  <si>
    <t>20IE0104 - REPAIR/MAINTENANCE OF TABANGO FLOOD CONTROL Brgy. Poblacion, Tabango, Leyte</t>
  </si>
  <si>
    <t>Supply and delivery of various supplies for Tissue Culture Laboratory in DA-RIARC</t>
  </si>
  <si>
    <t>Supply and Delivery of Agricultural Supplies as Extension Support to be distributed to the participants of Alagang Gala, Galing Alaga (Free-Range Chicken Production)</t>
  </si>
  <si>
    <t>Procurement of Various Swimming Pool Supplies</t>
  </si>
  <si>
    <t>Rental of Equipment for the Const. of New Cemetery</t>
  </si>
  <si>
    <t>CONTRACT OF SERVICE AS LEARNING SERVICE PROVIDER FOR THE CITY COLLEGE OF SAN JOSE DEL MONTE  INSTRUCTOR II</t>
  </si>
  <si>
    <t>Procurement of Chicken Products, Fruits and Vegetables for the Nutrition Program</t>
  </si>
  <si>
    <t>PR#20-06-0300 Medical Supplies for BEMONC (CHO)</t>
  </si>
  <si>
    <t>Bid No. 20-0274 - PROCUREMENT OF CONSTRUCTION MATERIALS - MEO (CONSTRUCTION OF COVERED COURT - BRGY. TUPAS, MARAGUSAN, DAVAO DE ORO)</t>
  </si>
  <si>
    <t>Video Conferencing Equipment</t>
  </si>
  <si>
    <t>Procurement of  Volt Meter Data Logger</t>
  </si>
  <si>
    <t>PURCHASE AND DELIVERY OF WATER PIPES</t>
  </si>
  <si>
    <t>(PEO) 2ND INVITATION TO BID FOR THE SUPPLY AND DELIVERY OF CONSTRUCTION MATERIALS    FOR THE  PROVINCIAL ENGINEERING OFFICE (PEO)</t>
  </si>
  <si>
    <t>Medals for MOGCHS Junior High School Awardees</t>
  </si>
  <si>
    <t>CONSTRUCTION OF EXTENSION OF MB/TODA TERMINAL</t>
  </si>
  <si>
    <t>CID No. 20CSOD02- Procurement for the Conduct of Preliminary Detailed Engineering (PDE) Activities for Soil Testing (Soil and Sub-Surface Exploration and Dynamic Cone Penetration Test) for the Various</t>
  </si>
  <si>
    <t>Procurement of Colored Printer</t>
  </si>
  <si>
    <t>Consultancy Services for the Updating and Enhancement of the Gender and Development (GAD) Sectoral Module on Good Governance</t>
  </si>
  <si>
    <t>SUPPLY AND DELIVERY OF TIRES AND OTHER SPARE PARTS FOR UNIVERISTY VEHCLES</t>
  </si>
  <si>
    <t>Procurement of Jetmatic Pump</t>
  </si>
  <si>
    <t>Purchase of 1 unit Copier Machine for use at the Laoag City Public Market &amp; Commercial Complex, Laoag City</t>
  </si>
  <si>
    <t>Procurement of Colored Laser Printer for the Office of the University Registrar (OUR)</t>
  </si>
  <si>
    <t>Supply and Delivery of Nineteen (19) lots Bee Nucleus of City Agriculture Office, Ormoc City</t>
  </si>
  <si>
    <t>Repair of School Building (Cultural Hall, Dressmaking and EIM Building)</t>
  </si>
  <si>
    <t>FOR THE REPAIR/MAINTENANCE OF BUILDINGS</t>
  </si>
  <si>
    <t>Reproduction Services</t>
  </si>
  <si>
    <t>Procurement of One Year Subscription of Autodesk AutoCAD</t>
  </si>
  <si>
    <t>Supply &amp; Delivery of Ten (10) Heads Pregnant Holstein X Jersey Heifers Crosses (50:50)</t>
  </si>
  <si>
    <t>Procurement of Garments</t>
  </si>
  <si>
    <t>UV Germicidal and Sterilization Lamp</t>
  </si>
  <si>
    <t>Supply and Delivery of Incubator</t>
  </si>
  <si>
    <t>Animal Feeds</t>
  </si>
  <si>
    <t>PURCHASE AND DELIVERY OF CASSAVA GRATER AND DRESSER</t>
  </si>
  <si>
    <t>Bacteriological Test Water Quality Testing and Physical &amp; Chemical Water Quality Testing for ENRO, Ormoc City</t>
  </si>
  <si>
    <t>Procurement of Information Technology Parts &amp; Accessories &amp; Peripherals for the School Wi-fi System</t>
  </si>
  <si>
    <t>ITB No. GOP/20-DSWD-040 - PROVISION OF MULTI-YEAR CONTRACT FOR  SUBSCRIPTION TO A WATER TESTING AND ANALYSIS FOR THE WATER SUPPLY OF DSWD-CENTRAL OFFICE FOR CY 2020-2022</t>
  </si>
  <si>
    <t>Supply and Delivery of Distillation Set-up</t>
  </si>
  <si>
    <t>Purchase of Office Equipment  (MSWD GAD)</t>
  </si>
  <si>
    <t>Supply and Delivery of Heating Mantle</t>
  </si>
  <si>
    <t>Purchase of various medical supplies for the use of Barangay San Antonio.</t>
  </si>
  <si>
    <t>Consultancy Services for the Updating and Enhancement of the Gender and Development (GAD) Sectoral Module on Climate Change and Disaster Risk Reduction Management</t>
  </si>
  <si>
    <t>CID No. 20CSOD03- Procurement for the Conduct of Preliminary Detailed Engineering (PDE) Activities for Soil Testing (Soil and Sub-Surface Exploration and Dynamic Cone Penetration Test) for the Various</t>
  </si>
  <si>
    <t>Supply and Delivery of Various Supplies for CSWDO, Ormoc City</t>
  </si>
  <si>
    <t>SUPPLY AND DELIVERY OF VARIOUS EXERCISE EQUIPMENT FOR DOST IX WELLNESS CENTER</t>
  </si>
  <si>
    <t>Supply and Delivery of Sand &amp; Gravel for the const. of new cemetery</t>
  </si>
  <si>
    <t>Purchase of Plastic Chairs for LGU Acitivities - M.O</t>
  </si>
  <si>
    <t>DENR-9 HOSTEL CONSTRUCTION SUPPLIES</t>
  </si>
  <si>
    <t>PROCUREMENT OF CONSULTANCY SERVICES FOR THE PREPARATION OF  ENVIROMENTAL IMPACT STATEMENT (EIS) REPORT FOR THE  ENVIRONMENTAL COMPLIANCE CERTIFICATE (ECC) OF THE PROPOSED  PORT AREA RECLAMATION EXPANS</t>
  </si>
  <si>
    <t>PROPOSED BRGY. SUNG-AN &amp; BRGY. SAN JOSE ECO-PARK DEVELOPMENT (PHASE 1)</t>
  </si>
  <si>
    <t>PURCHASE OF LABORATORY REAGENTS-JCH-20-0174-B(RE-BID)</t>
  </si>
  <si>
    <t>CID No. 20CSOD06- Procurement for the Conduct of Preliminary Detailed Engineering (PDE) Activities for Soil Testing (Soil and Sub-Surface Exploration and Dynamic Cone Penetration Test) for the Various</t>
  </si>
  <si>
    <t>Purchase of Information and Communication Equipment (MSWD Gad)</t>
  </si>
  <si>
    <t>Supply and Delivery of Waterbath</t>
  </si>
  <si>
    <t>Purchase of various equipment supplies for the use of Barangay San Antonio.</t>
  </si>
  <si>
    <t>CID No. 20CSOD04- Procurement for the Conduct of Preliminary Detailed Engineering (PDE) Activities for Soil Testing (Soil and Sub-Surface Exploration and Dynamic Cone Penetration Test) for the Various</t>
  </si>
  <si>
    <t>PR 6.031  ITB TPB 2020-029 Janitorial Services for 6 months</t>
  </si>
  <si>
    <t>School materials and supplies</t>
  </si>
  <si>
    <t>Construction Supervision and Management Consultancy Services for the Two (2) Storey Office Building With Records Room and Warehouse Located RGC Compound, Carig Sur, Tuguegarao City</t>
  </si>
  <si>
    <t>RFQ No.: 2020 – 105 - Installation of Aluminum Glass and Sliding windows</t>
  </si>
  <si>
    <t>CID No. 20CSOD05- Procurement for the Conduct of Preliminary Detailed Engineering (PDE) Activities for Soil Testing (Soil and Sub-Surface Exploration and Dynamic Cone Penetration Test) for the Various</t>
  </si>
  <si>
    <t>Supply &amp; Delivery of Medical Supplies for DepEd Cebu Province DRRM</t>
  </si>
  <si>
    <t>Construction of Multi-Purpose Bldg. (Phase 1) in Brgy. Rizal II, Babatngon, Leyte, ABC PHP2,499,999.84</t>
  </si>
  <si>
    <t>Supply and Delivery of Various Vaccines for City Health Office, Ormoc City</t>
  </si>
  <si>
    <t>Purchase of Fuel, Oil and Lubricants Expenses (RHU)</t>
  </si>
  <si>
    <t>Supply and Delivery of Information Education Campaign (IEC) Materials, Manuals, and Administrative Forms for the 2020 Census of Population and Housing (2020 CPH) of PSA Region 7 - Reposting</t>
  </si>
  <si>
    <t>SAFETY AND HEALTH SUPPLIES FOR CONSTRUCTION</t>
  </si>
  <si>
    <t>Consultancy Services for the Updating and Enhancement of the Gender and Development (GAD) Sectoral Module on Women’s Economic Empowerment</t>
  </si>
  <si>
    <t>Purchase of various medicine supplies for the use of Barangay San Antonio.</t>
  </si>
  <si>
    <t>2020, Division Ranking in all Levels (Elementary, Secondary and Senior High School)</t>
  </si>
  <si>
    <t>Supply and Delivery of Office Equipment for CON</t>
  </si>
  <si>
    <t>Vehicle Hire</t>
  </si>
  <si>
    <t>Extension of Pan aw - Ballay FMR</t>
  </si>
  <si>
    <t>Purchase of 4 units Copier Machine for use of the different offices of the City Government of Laoag, Laoag City</t>
  </si>
  <si>
    <t>Improvement of Farm to Market Road, So. Dalinson, Brgy. Minapasuk</t>
  </si>
  <si>
    <t>Procurement of Trucking Services for the Intra-Regional Transfer of Grains of NFA Region XI for the Year 2020</t>
  </si>
  <si>
    <t>SMARTPHONE</t>
  </si>
  <si>
    <t>Purchase of various supplies for the use of Barangay San Antonio.</t>
  </si>
  <si>
    <t>Purchase and installation of fiber optic cable &amp; components supplies for the use of Barangay San Antonio.</t>
  </si>
  <si>
    <t>Improvement of Farm to Market Road, Brgy. Laga-an</t>
  </si>
  <si>
    <t>SUPPLY AND DELIVERY OF MATERIALS FOR THE IMPROVEMENT OF MULTI-PURPOSE BUILDING</t>
  </si>
  <si>
    <t>Agri Crops Production NC II Tools and Equipments</t>
  </si>
  <si>
    <t>Grocery Items</t>
  </si>
  <si>
    <t>Purchase of Furniture and Fixture ( DA-GAD)</t>
  </si>
  <si>
    <t>Purchase of Office Equipment (LDRRMF)</t>
  </si>
  <si>
    <t>Supply and delivery of Office Equipment for use of Printing PVC ID</t>
  </si>
  <si>
    <t>Purchase of Information and Communication Technology Equipment (Assessor)</t>
  </si>
  <si>
    <t>Supply and Delivery of ICT Accessories for OVPRE-PCAARRD-IP-TBM SUSTAIN Project</t>
  </si>
  <si>
    <t>Purchase of tires and spare parts supplies for the use of Barangay San Antonio.</t>
  </si>
  <si>
    <t>IMPROVEMENT OF PACSO BARANGAY HEALTH STATION</t>
  </si>
  <si>
    <t>PROCUREMENT OF HYGIENE KIT AND OTHER FOR KINDER LEARNER OF AGUTAYA</t>
  </si>
  <si>
    <t>Supply, Delivery and Installation of Furniture and Fixtures for Workstation of OVPRE-PCAARRD-IP-TBM SUSTAIN Project</t>
  </si>
  <si>
    <t>Purchase and installation of stickers &amp; sneeze guard supplies for the use of Barangay San Antonio.</t>
  </si>
  <si>
    <t>Construction of Academic Classroom Phase I @ Cambayobo Elementary School, Brgy. Cambayobo</t>
  </si>
  <si>
    <t>Supply and Delivery of Hardware and Construction Supplies and Materials - Ref. PR 3167 OSA &amp; PR 3344 CCAD</t>
  </si>
  <si>
    <t>Purchase of Other Machinery &amp; Equipment (LDRRMF)</t>
  </si>
  <si>
    <t>IMPROVEMENT OF TINALEB ELEMENTARY SCHOOL GROUNDS</t>
  </si>
  <si>
    <t>Purchase of Other Machinery &amp; Equipment (MSWD Gad)</t>
  </si>
  <si>
    <t>CID No. 20CSOD08- Procurement for the Conduct of Preliminary Detailed Engineering (PDE) Activities for Soil Testing (Soil and Sub-Surface Exploration and Dynamic Cone Penetration Test) for the Various</t>
  </si>
  <si>
    <t>CID No. 20CSOD07- Procurement for the Conduct of Preliminary Detailed Engineering (PDE) Activities for Soil Testing (Soil and Sub-Surface Exploration and Dynamic Cone Penetration Test) for the Various</t>
  </si>
  <si>
    <t>Supply and Delivery of Seventy (70) Headsets for GAD Webinars and Online Meetings</t>
  </si>
  <si>
    <t>OFFICE SUPPLIES PR 0199</t>
  </si>
  <si>
    <t>Supply and Delivery of Rice Allowance</t>
  </si>
  <si>
    <t>PROCUREMENT FOR MEDICAL EQUIPMENT PR NO. 0518 S.2020</t>
  </si>
  <si>
    <t>Supply and Delivery of 2 units motorcycle</t>
  </si>
  <si>
    <t>Imprinting of various Printed Form</t>
  </si>
  <si>
    <t>RFQ No.: 2020 – 106 -Freezer, 14 cu. ft. and Chiller, 14 cu. ft. upright, inverter</t>
  </si>
  <si>
    <t>IMPROVEMENT OF COLONG MULTI-PURPOSE HALL (BUILDING 2)</t>
  </si>
  <si>
    <t>AVRC : Livelihood Assistance for Graduates on Self - Employment (HOUSEKEEPING)</t>
  </si>
  <si>
    <t>Purchase of Books</t>
  </si>
  <si>
    <t>PROCUREMENT OF OFFICE EQUIPMENT AND DEVICES</t>
  </si>
  <si>
    <t>2020-06-0196-Supply &amp; Delivery of Materials &amp; Supplies for the maintenance of Marine Sanctuary for 17 Barangay in this Municipality</t>
  </si>
  <si>
    <t>INVITATION TO BID for the Purchase of Seven (7) Units Vending Machine for OneStore Project</t>
  </si>
  <si>
    <t>Procurement of Computer Supplies</t>
  </si>
  <si>
    <t>Purchase of VHF Radio Transceiver, Two-Way 7W</t>
  </si>
  <si>
    <t>Supply and Delivery of Plaques and Unit Sash for the 29th BJMP'S Best</t>
  </si>
  <si>
    <t>EMERGENCY PURCHASE OF RELIEF GOODS TO BE DISTRIBUTED IN EVERY HOUSEHOLD DURING COVID-19 OUTBREAK</t>
  </si>
  <si>
    <t>SURVEY CONTRACT FOR SPLITTING PROJECTS IN DAVAO OCCIDENTAL</t>
  </si>
  <si>
    <t>IMPROVEMENT OF MUNICIPAL MATERIALS RECOVERY FACILITY POTABLE WATER SYSTEM</t>
  </si>
  <si>
    <t>Supply and Delivery of Tag Label for OVPRE-CHED MASKS Project</t>
  </si>
  <si>
    <t>IMPROVEMENT OF BATENGAN - APONAN FOOTPATH</t>
  </si>
  <si>
    <t>Repair and Maintenance of 13 FMP Motorcycles with labor and materials under Forestland Management Project (FMP) for official use of DENR PENRO Nueva Ecija</t>
  </si>
  <si>
    <t>Purchase of various construction supplies for the use of Barangay San Antonio.</t>
  </si>
  <si>
    <t>PROCUREMENT OF GOODS AND SERVICES FOR THE INSTALLATION OF CUSTOMER CARE CENTER</t>
  </si>
  <si>
    <t>EMERGENCY PURCHASE OF RELIEF GOODS TO BE DISTRIBUTED DURING COVID-19 PANDEMIC</t>
  </si>
  <si>
    <t>IMPROVEMENT ALONG MINAC - PADAGAN FARM TO MARKET ROAD</t>
  </si>
  <si>
    <t>REQUEST FOR QUOTATION FOR THE Supply and Delivery of One (1) Lot Spare Parts for Air Conditioning Repair and Maintenance</t>
  </si>
  <si>
    <t>Supply of Labor, Equipment and Restoration Materials for the Installation, Testing and Commissioning of 300mm Dia. And 150mm Dia. Transmission Line Along Main Avenue, San Gabriel, Tuguegarao City Phas</t>
  </si>
  <si>
    <t>IMPROVEMENT OF ADAOAY PROPER POTABLE WATER SYSTEM</t>
  </si>
  <si>
    <t>Purchase of Automatic Alcohol Dispenser</t>
  </si>
  <si>
    <t>EMERGENCY PURCHASE OF RELIEF GOODS TO BE DISTRIBUTED DURING COVID-19 OUTBREAK</t>
  </si>
  <si>
    <t>Supply and Delivery of Various Supplies and Materials for CvSU Imus Campus</t>
  </si>
  <si>
    <t>PURCHASE of VARIOUS OFFICE SUPPLIES for REPLENISHMENT of STOCKS for the SECOND SEMESTER of 2020</t>
  </si>
  <si>
    <t>SUPPLY AND DELIVERY OF DIGITAL CALIPER</t>
  </si>
  <si>
    <t>RFQ FOR VARIOUS OFFICE SUPPLIES AND CONSUMABLE SUPPLIES</t>
  </si>
  <si>
    <t>SUPPLY, DELIVERY AND INSTALLATION OF AIRCON</t>
  </si>
  <si>
    <t>EMERGENCY PURCHASE OF RELIEF GOODS TO BE DISTRIBUTED IN EVERY HOUSEHOLD DURING COVID-19 PANDEMIC</t>
  </si>
  <si>
    <t>CONSULTANCY SERVICES FOR THE CONDUCT OF FEASIBILITY STUDY, PLANNING AND STRUCTURAL DESIGN FOR THE CONSTRUCTION OF GABION DAM IN MOGPOG RIVER, BRGY. BOCBOC MARINDUQUE</t>
  </si>
  <si>
    <t>SUPPLY AND DELIVERY OF WATER HEATER</t>
  </si>
  <si>
    <t>Electrification Project, So. Hangalay B, Brgy. Macasilao</t>
  </si>
  <si>
    <t>Printing of Souvenir Program</t>
  </si>
  <si>
    <t>IMPROVEMENT ALONG DINAMILI - TINALEB - ALTA FARM TO MARKET ROAD (TINALEB-ALTA SECTION)</t>
  </si>
  <si>
    <t>Supply and Delivery of Office Equipment Supplies and Consumables for the official use of STOD, LTID, LAD, DARMOs and Survey Section of DAR Provincial Office, Negros Occidental 1.</t>
  </si>
  <si>
    <t>Purchase of Waterproof Professional Two-Way Radio</t>
  </si>
  <si>
    <t>SUPPLY AND DELIVERY OF INKJET EPSON</t>
  </si>
  <si>
    <t>Procurement of transformer and its installation at Dumpsite Safe Disclosure and Rehabilitation</t>
  </si>
  <si>
    <t>AVRC : Livelihood Assistance for Graduates on Self - Employment (BEAUTY CARE)</t>
  </si>
  <si>
    <t>Procurement of various Office Supplies</t>
  </si>
  <si>
    <t>Supply and Delivery of Two (2) New Pedicart</t>
  </si>
  <si>
    <t>SUPPLY, DELIVERY &amp; INSTALLATION OF NEW SPLIT-TYPE AIRCONS AND DISMANTLING OF EXISTING AIR CONDITIONING UNIT</t>
  </si>
  <si>
    <t>PB-202002 Supply and Delivery of Portable Alcohol Stand with alcohol pump bottle through SK Funds</t>
  </si>
  <si>
    <t>2020-06-0641 / 0642 /0643 Purchase and Delivery of Office Supplies for the use of all Division in DSWD FO IV-MIMAROPA for the 2nd Quarter of CY-2020</t>
  </si>
  <si>
    <t>EMERGENCY PURCHASE OF PACKED MEALS FOR FRONTLINERS DURING COVID-19 PANDEMIC</t>
  </si>
  <si>
    <t>IMPROVEMENT ALONG BALANGABANG - LUHONG - PEGLEYTO FARM TO MARKET ROAD</t>
  </si>
  <si>
    <t>IMPROVEMENT ALONG DINAMILI - TAKITAK - MOGAO FARM TO MARKET ROAD</t>
  </si>
  <si>
    <t>IMPROVEMENT ALONG HIPITAN - BALLAY PROPER FARM TO MARKET ROAD</t>
  </si>
  <si>
    <t>REHABILITATION OF EXISTING MUNICIPAL MAIN BUILDING ROOF AT BARANGAY CENTRO</t>
  </si>
  <si>
    <t>PROCUREMENT FOR MEDICAL EQUIPMENT PR NO. 0519 S.2020</t>
  </si>
  <si>
    <t>IT Equipment Parts &amp; Accessories</t>
  </si>
  <si>
    <t>SUPPLY AND DELIVERY OF LAPTOP</t>
  </si>
  <si>
    <t>EMERGENCY PURCHASE OF 8,000 SACKS OF RICE FOR SEVERELY AFFECTED FAMILIES DURING COVID-19 OUTBREAK</t>
  </si>
  <si>
    <t>2020-06-0665 VAN RENTAL (8 Days-On Call) FOR THE USE OF DSWD MIMAROPA FIELD OFFICE STAFF DURING GENERAL COMMUNITY QUARANTINE</t>
  </si>
  <si>
    <t>CID No. 20CSOD10- Procurement for the Conduct of Preliminary Detailed Engineering (PDE) Activities for Soil Testing (Soil and Sub-Surface Exploration and Dynamic Cone Penetration Test) for the Various</t>
  </si>
  <si>
    <t>SUPPLY AND DELIVERY OF DESKTOP BUNDLE</t>
  </si>
  <si>
    <t>IMPROVEMENT OF BESANG FARM TO MARKET ROAD</t>
  </si>
  <si>
    <t>Purchase of collapsible tent supplies for the use of Barangay San Antonio.</t>
  </si>
  <si>
    <t>FOR USE IN THE IMMEDIATE REPAIR / MAINTENANCE OF VARIOUS LIGHT AND HEAVY EQUIPMENT AT PROVINCIAL ENGINEERING OFFICE, ROMBLON, ROMBLON AND ALCANTARA, ROMBLON</t>
  </si>
  <si>
    <t>IMPROVEMENT OF TAAW FARM TO MARKET ROAD</t>
  </si>
  <si>
    <t>Procurement of Computer Supplies for On-Line Learning</t>
  </si>
  <si>
    <t>IMPROVEMENT OF TAWANGAN DAY CARE CENTER GROUNDS</t>
  </si>
  <si>
    <t>IMPROVEMENT ALONG TENEBTEB FARM TO MARKET ROAD, PHASE II</t>
  </si>
  <si>
    <t>Supply and Delivery of 1 lot Palay Seeds (Certified Seeds) 10 Cavans, 1 lot Organic Fertilizer (Bokashi) 10 tons, and 1 lot Vermi-Worms 150 Kgs. to five (5) Location sites for Crop Establishment of Or</t>
  </si>
  <si>
    <t>20GFC0017: Purchase of Cold Mix Asphalt Materials, DPWH – CNDEO Maintenance Section</t>
  </si>
  <si>
    <t>NNP No. 20-TFB-004 Supply and Delivery of Motor Vehicles for DSWD Central Office</t>
  </si>
  <si>
    <t>essential needs</t>
  </si>
  <si>
    <t>AVRC : Livelihood Assistance for Graduates on Self - Employment (INDUSTRIAL ARTS)</t>
  </si>
  <si>
    <t>PURCHASE of JANITORIAL SUPPLIES for REPLENISHMENT of STOCKS for the SECOND SEMESTER of 2020</t>
  </si>
  <si>
    <t>20GFC0016: Purchase of Lakbay Alalay Uniform PPE for DPWH Budgetary Personnel, DPWH-CNDEO Maintenance Section</t>
  </si>
  <si>
    <t>PRN 006-MODULE NANAY TEACHER-LSB-GOODS-2020</t>
  </si>
  <si>
    <t>PROCUREMENT FOR MEDICAL EQUIPMENT PR NO. 0520 S.2020</t>
  </si>
  <si>
    <t>Procurement of Spareparts</t>
  </si>
  <si>
    <t>essential needs 2</t>
  </si>
  <si>
    <t>Supply and Delivery of Drugs &amp; Medicines</t>
  </si>
  <si>
    <t>IMPROVEMENT  ALONG MINAC - BATOAN FARM TO MARKET ROAD</t>
  </si>
  <si>
    <t>Procurement of Materials and Labor for the Concreting of Road at the Back of Poblacion Barangay Hall</t>
  </si>
  <si>
    <t>Supply and Delivery of Multi-Purpose Truck</t>
  </si>
  <si>
    <t>EMERGENCY PURCHASE OF HOSPITAL BEDS AND DISINFECTING MATERIALS TO BE USED DURING COVID-19 OUTBREAK</t>
  </si>
  <si>
    <t>EMERGENCY PURCHASE OF PACKED MEALS FOR FRONTLINERS DURING COVID-19 OUTBREAK</t>
  </si>
  <si>
    <t>Supply and Delivery of Laboratory Equipment</t>
  </si>
  <si>
    <t>20GFC0020: Purchase of Office Supplies, DPWH-CNDEO Maintenance Section</t>
  </si>
  <si>
    <t>CID No. 20CSOD09- Procurement for the Conduct of Preliminary Detailed Engineering (PDE) Activities for Soil Testing (Soil and Sub-Surface Exploration and Dynamic Cone Penetration Test) for the Various</t>
  </si>
  <si>
    <t>Supply, Delivery and Installation of CCTV Cameras</t>
  </si>
  <si>
    <t>20GFC0019: Purchase of Brush Cutter, Blade, Piles and Accessories, DPWH-CNDEO Maintenance Section</t>
  </si>
  <si>
    <t>IMPROVEMENT ALONG SADOL - APONAN FARM TO MARKET ROAD</t>
  </si>
  <si>
    <t>Provision of meals and snacks</t>
  </si>
  <si>
    <t>Supply &amp; Delivery of Camera with Tripod, Office of the Municipal Mayor, Buenavista, Quezon</t>
  </si>
  <si>
    <t>CONSTRUCTION OF SADENGSENGAN - SAWAY FARM TO MARKET ROAD, PHASE II</t>
  </si>
  <si>
    <t>IMPROVEMENT OF UJOSAN FARM TO MARKET ROAD</t>
  </si>
  <si>
    <t>HFW: 1 LOT  FURNITURE AND FIXTURE FOR THE USE OF HOME FOR WOMEN.</t>
  </si>
  <si>
    <t>Contract ID No. 20NC0131 - Repair/Rehabilitation of Concrete Pavement (Reblocking of Pumping and Depression) along Daang Maharlika (Agusan – Davao Road)(See attached Station Limits)</t>
  </si>
  <si>
    <t>IMPROVEMENT OF BASHOY - NANBUSHUSAN FARM TO MARKET ROAD</t>
  </si>
  <si>
    <t>Purchase and Delivery of Prepaid Cellular Cards</t>
  </si>
  <si>
    <t>20GFC0018: Purchase of Paint for the Repainting of Bridges and Guardrails, DPWH-CNDEO Maintenance Section</t>
  </si>
  <si>
    <t>SUPPLY, DELIVERY AND INSTALLATION OF POINT TO POINT NETWORK CONNECTION, CENTRALIZED WIFI CONNECTION AND INTERCONNECTION OF DOÑA AURORA NATIONAL HIGH SCHOOL CAMPUSES.</t>
  </si>
  <si>
    <t>Contract ID No. 20NC0132 - Rehabilitation of Santa Josefa Public Memorial Park, Sta. Josefa, Agusan del Sur</t>
  </si>
  <si>
    <t>Supply and Delivery of Cleaning Supplies of PSHS-CLC (REPOSTING)</t>
  </si>
  <si>
    <t>Construction of Access Road to Brgy. Marcelo Evacuation Center</t>
  </si>
  <si>
    <t>PR-2020-1457 Various Food Supplies-PDRRMO</t>
  </si>
  <si>
    <t>Procurement of Supply, Delivery, Installation, Testing, Applications Training and Commissioning of Various Medical Equipment (Batch 3)</t>
  </si>
  <si>
    <t>Supply and Delivery of Building Maintenance Supplies of PSHS-CLC (REPOSTING)</t>
  </si>
  <si>
    <t>PURCHASE OF CONSTRUCTION MATERIAL FOR DRAINAGE SYSTEM SLAUGHTERHOUSE COMPOUND BURAUEN,LEYTE</t>
  </si>
  <si>
    <t>PURCHASE OF MEDICAL SUPPLIES-JCH-20-0230-B(RE-BID)</t>
  </si>
  <si>
    <t>Office Supplies-Vice Mayor's Office</t>
  </si>
  <si>
    <t>Supply and Delivery of Crude Oil &amp; Premium Gasoline.</t>
  </si>
  <si>
    <t>Q-098-20 PROCUREMENT OF HARDWARE AND CONSTRUCTION SUPPLIES</t>
  </si>
  <si>
    <t>Furnishing and Delivery of Materials for Repair of Line Canal Market Site</t>
  </si>
  <si>
    <t>IMPROVEMENT OF LOWER BESOCOL FARM TO MARKET ROAD</t>
  </si>
  <si>
    <t>4 dia. x 6.0m G.I Pipe sch.40</t>
  </si>
  <si>
    <t>PRN 052-WORKTEXT 2020-LSB-GOODS-2020</t>
  </si>
  <si>
    <t>Advertise the Services for the Advocacy on Good Governance</t>
  </si>
  <si>
    <t>Supply and Delivery of Engine Oil and Spare Parts for Repair and Maintenance of Division Service Vehicles (STRADA)</t>
  </si>
  <si>
    <t>Portable Hand washing Facilities</t>
  </si>
  <si>
    <t>IMPROVEMENT OF PUBLIC MARKET BRGY. POBLACION, POLILLO, QUEZON</t>
  </si>
  <si>
    <t>PR-2020-1396 Batteries-PEO</t>
  </si>
  <si>
    <t>Drugs-Piperacillin 4GM/Tazobactam 500mg Inj. per Vial (as sodium salt) (IV Infusion) (1st Posting)</t>
  </si>
  <si>
    <t>IMPROVEMENT ALONG PROPER BASHOY - NAYBALIW FOOTPATH</t>
  </si>
  <si>
    <t>20GKD0003: PURCHASE OF HOT ASPHALT 60/70 FOR MAINTENANCE SECTION, CDOC END DEO, MACABALAN, CAGAYAN DE ORO CITY</t>
  </si>
  <si>
    <t>Repair of Sound System (XLR Connector, etc) &amp; Maintenance of Musical Instrument (Drum and Guitars) (PR No. 100-2020-0290, 0583, &amp; 0709) - PGO &amp; OPAD</t>
  </si>
  <si>
    <t>OFFICE SUPPLIES, JANITORIAL AND CONSUMABLE SUPPLIES</t>
  </si>
  <si>
    <t>Supply and Delivery of Office Supplies and Other Materials for the official use of STOD, LTID, LAD, DARMOs and Survey Section of DAR Provincial Office, Negros Occidental 1.</t>
  </si>
  <si>
    <t>Supply and Delivery of 141 Bags Fertilizer.</t>
  </si>
  <si>
    <t>Supply, Delivery &amp; Installation of Generator Set</t>
  </si>
  <si>
    <t>Purchase of Other Machineries &amp; Equipment (Smart TV, Portable Public Address)</t>
  </si>
  <si>
    <t>Maintenance of IT (PR No. 100-2020-0131,0252, 0665, 0710 &amp; 0780) - Various Offices</t>
  </si>
  <si>
    <t>IMPROVEMENT ALONG PINANCHAY - TIKET FOOTPATH</t>
  </si>
  <si>
    <t>Supply &amp; Delivery of Fuel, Oil &amp; Lubricant for IPPF  Government Vehicle JULY _ SEPTEMBER. 3rd qrt. 2020</t>
  </si>
  <si>
    <t>Request for Quotation for the Procurement of Doormat of the Department of Education Regional Office VI</t>
  </si>
  <si>
    <t>Goggles garterized</t>
  </si>
  <si>
    <t>IMPROVEMENT ALONG DANAS - IDIAN FARM TO MARKET ROAD</t>
  </si>
  <si>
    <t>Janitorial/school and office supplies</t>
  </si>
  <si>
    <t>IMPROVEMENT ALONG BESANG - PACSO ACCESS ROAD</t>
  </si>
  <si>
    <t>IMPROVEMENT OF TAWANGAN PROPER - BALAT FARM TO MARKET ROAD</t>
  </si>
  <si>
    <t>IMPROVEMENT OF BANENGBENG FMR</t>
  </si>
  <si>
    <t>RFQ-202001-3 Supply and Delivery of Brand New Tires (2 Failed Bidding)</t>
  </si>
  <si>
    <t>Procurement of Materials for MRF Phase 1</t>
  </si>
  <si>
    <t>2 Units Measuring Wheel, 1000m, 3 Units Steel Tape, 100m with Magnet, 7 Units Biometric Machine, 1 Unit Television &amp; 1 Unit Refrigerator (PR No. 100-2020-0717, 0721, 0768 &amp; 0825) - PEO, PGO &amp; BM Samon</t>
  </si>
  <si>
    <t>CONSTRUCTION OF PACSO PROPER - DAKET ACCESS ROAD</t>
  </si>
  <si>
    <t>Construction of Day Care Center at Dadda (Kalookan), Amulung Cagayan</t>
  </si>
  <si>
    <t>IMPROVEMENT ALONG PONGIL ACCESS ROAD, PHASE II</t>
  </si>
  <si>
    <t>IMPROVEMENT ALONG ABUYON - IDIAN FOOTPATH</t>
  </si>
  <si>
    <t>Construction of Materials and Supplies</t>
  </si>
  <si>
    <t>Procurement of Scuba Tank and Diving Knives for the use of Coastal and Marine Management Unit</t>
  </si>
  <si>
    <t>Training Supplies</t>
  </si>
  <si>
    <t>Materials and Supplies and Labor for Relocation of Gate, Construction of Handwashing Facility with Roof, Installation of Fence Lights, Handrail, Steel Gate and Repair of Roof of DepED Ligao City Div</t>
  </si>
  <si>
    <t>Supply, Delivery &amp; Installation of Smoke Detector</t>
  </si>
  <si>
    <t>Invitation to Bid for the Procurement of Two (2) units of Mobile Phone</t>
  </si>
  <si>
    <t>15 Units Shelves, 1 Unit Office Table, 1 Set Sala Set &amp; 3 Units Junior Executive Chair (PR No. 100-2020-0423, 0633, 0678, 0767 &amp; 0822) - Various Offices</t>
  </si>
  <si>
    <t>Supplies and Materials for Heavy Equipment Maint. (PR No. 100-2020-0556) - PEO</t>
  </si>
  <si>
    <t>Procurement of Various Materials and Supplies for the Sanitation and Prevention of Covid 19 virus and Materials for PWD Railing at Main Lobby</t>
  </si>
  <si>
    <t>Procurement Reproduction of Periodic Test 2020</t>
  </si>
  <si>
    <t>Request fpr Quotation for the One job for the comprehensive subterranean Termite Control System and preventive Maintenance Services through Conventional Method of DepEd Regional Office VI</t>
  </si>
  <si>
    <t>CONSTRUCTION OF DRAINAGE CANAL AT SITIO CHALEKONG</t>
  </si>
  <si>
    <t>3 Units Printers &amp; 2 Units (LCD) Projector (PR No. 100-2020-0738, 0823 &amp; 0828) - Various Offices</t>
  </si>
  <si>
    <t>Construction and Repair of Motorpool Building at Centro, Amulung Cagayan</t>
  </si>
  <si>
    <t>CONTRUCTIONOF BEKES - BARAO - TOJAKAP- BODAKI ACCESS ROAD</t>
  </si>
  <si>
    <t>CONSTRUCTION OF PUBLIC MARKET BASEMENT ACCESS ROAD</t>
  </si>
  <si>
    <t>Supply, Printing and Delivery of PERRC</t>
  </si>
  <si>
    <t>Contract ID No. 20NC0133 - Expansion of Rosario Public Cemetery, Rosario, Agusan del Sur</t>
  </si>
  <si>
    <t>Procurement on Repair and Maintenance of Toyota Fortuner with plate number SKN 101</t>
  </si>
  <si>
    <t>Supply and Delivery of Supplies and Materials for the Improvement of Multi-Purpose Building</t>
  </si>
  <si>
    <t>IMPROVEMENT OF COLONG - AKIKIAN ACCESS ROAD, PHASE II</t>
  </si>
  <si>
    <t>Invitation to Bid for the Procurement of THREE (3) units Laptop</t>
  </si>
  <si>
    <t>Contract ID No.: 20OE0203 - Construction of Four (4) Storey Twelve (12) Classroom School Building at P. Guevarra Elementary School, Manila City (Based on 2017 Plan, Revised 3-24-17)</t>
  </si>
  <si>
    <t>Supply and Delivery of Drinking Water of SEC employees for SEC Head Office for one (1) year</t>
  </si>
  <si>
    <t>Supply and Delivery of Materials and Supplies for the Opening of Barangay Site Road With Culvert</t>
  </si>
  <si>
    <t>Procurement of Tractor Implement (Disc Harrow), Spare Parts and Accessories</t>
  </si>
  <si>
    <t>Contract ID No.: 20OE0202 - Completion of Four (4) Storey Eight (8) Classroom School Building at Andres Bonifacio Elementary School (Based on 2017 Plan, Revised 3-24-17)</t>
  </si>
  <si>
    <t>Procurement of materials for Physical Development of Municipal Cemetery</t>
  </si>
  <si>
    <t>IMPROVEMENT OF MULTI-PURPOSE BUILDING</t>
  </si>
  <si>
    <t>Construction of Day Care Center at Nagsabaran, Amulung Cagayan</t>
  </si>
  <si>
    <t>CONSTRUCTION OF ASO-PAC ELEMENTARY SCHOOL ANNEX ACCESS ROAD</t>
  </si>
  <si>
    <t>CONSTRUCTION OF HANDRAILS AT ASOKONG</t>
  </si>
  <si>
    <t>CONSTRUCTION OF FOOTPATH AT BANGAO RESIDENTIAL (PHASE II)</t>
  </si>
  <si>
    <t>5 Units Desktop Computer &amp; 1 Unit Laptop (PR No. 100-2020-0817, 0821 &amp; 0827) - Various Offices</t>
  </si>
  <si>
    <t>CONSTRUCTION OF OPEN DRAINAGE CANAL AT SOYSOYAN (PHASE II)</t>
  </si>
  <si>
    <t>Repair of Pupm Station at Barangay Poblacion, Rosario, Cavite</t>
  </si>
  <si>
    <t>Repair of Pump Station at Karlaville Subdivision, Barangay Wawa III, Rosario, Cavite</t>
  </si>
  <si>
    <t>IMPROVEMENT ALONG LOWER TA-AW FMR</t>
  </si>
  <si>
    <t>INVITATION TO SUBMIT PRICE QUOTATION FOR THE SUPPLY AND DELIVERY OF ADMINISTRATIVE FACILITIES/EQUIPMENT</t>
  </si>
  <si>
    <t>Upgrading of Electrification for Schools at San Vicente  National High School under the CY 2020 Upgrading of Electrification of Un-energized Schools and Modernization of Electrical Systems on Grid Sch</t>
  </si>
  <si>
    <t>Repair of Pump Station at New Market, Barangay Tejeros Convention, Rosario, Cavite</t>
  </si>
  <si>
    <t>Enhancement/Additional Works for the Completion of Municipal Hall Building</t>
  </si>
  <si>
    <t>purchased of laptop</t>
  </si>
  <si>
    <t>(PVSO) INVITATION TO BID FOR THE SUPPLY AND DELIVERY OF RABIES VACCINE,  HOG CHOLERA VACCINE, ETC.) FOR THE  PROVINCIAL VETERINARY SERVICES OFFICE--262,545.00</t>
  </si>
  <si>
    <t>Facebook Social Media Facebook Management with Boosting</t>
  </si>
  <si>
    <t>Supply and Delivery of Construction Materials at Andanan RIS</t>
  </si>
  <si>
    <t>SUPPLY AND DELIVERY OF LABORATORY SUPPLIES IN THE MUNICIPAL HEALTH OFFICE, LGU TULUNAN, COTABATO</t>
  </si>
  <si>
    <t>Procurement of Amiodarone and other drugs and medicine</t>
  </si>
  <si>
    <t>Contract ID No.: 20OE0206 - Construction of Four (4) Storey Twenty (20) Classroom School Building at Francisco Balagtas Elementary School (Based on 2018 Plan)</t>
  </si>
  <si>
    <t>Procurement of Diesel</t>
  </si>
  <si>
    <t>Supply and Delivery of Construction Materials at Angas CIS</t>
  </si>
  <si>
    <t>IMPROVEMENT OF BLEACHER FOR STOCKROOM PURPOSES @ PUBLIC AUDITORIUM</t>
  </si>
  <si>
    <t>Procurement of Housekeeping Supplies</t>
  </si>
  <si>
    <t>Development of an active website for Safe Filming program of the FDCP</t>
  </si>
  <si>
    <t>PB-20-304, Supply &amp; Delivery of IV Fluids for Mlang District Hospital, Mlang, Cotabato</t>
  </si>
  <si>
    <t>CONSTRUCTION OF IRRIGATION FACILITIES - STA MARIA, MALAGGA, ADAMS, ILOCOS NORTE</t>
  </si>
  <si>
    <t>Construction of Community Health Care Center (Phase 1)</t>
  </si>
  <si>
    <t>CONSTRUCTION OF DRAINAGE CANAL AT SITIO ASOKONG</t>
  </si>
  <si>
    <t>PB-20-303, Supply &amp; Delivery of Medical Supplies for Mlang District Hospital, Mlang, Cotabato</t>
  </si>
  <si>
    <t>Procurement of BP cuff adult with inflation bag and other medical and surgical supplies</t>
  </si>
  <si>
    <t>Procurement of School Furniture’s and Fixtures for the identified Schools of the Division Office of Pagadian City</t>
  </si>
  <si>
    <t>Purchase of Food Supplies for Relief Goods</t>
  </si>
  <si>
    <t>RFQ-INVERTER WINDOW TYPE AC PR#20-06-0048</t>
  </si>
  <si>
    <t>Procurement of tongue depressor</t>
  </si>
  <si>
    <t>20-05-378 Other Supplies (Table Sinages) Use by the Office of the SB Legislative for 3rd Quarter 2020</t>
  </si>
  <si>
    <t>Purchase of Materials, Tools &amp; Spare Parts for Use in Planning and Design Section</t>
  </si>
  <si>
    <t>Purchase of Vehicle (Van) MO-BAC&amp;GSO</t>
  </si>
  <si>
    <t>ONE (1) LOT INTERNET SECURITY GATEWAY LICENSE SUBSCRIPTION SOPHOS SG 550</t>
  </si>
  <si>
    <t>RFQ-HARDWARE AND CONSTRUCTION SUPPLY for TUP-BATANGAS</t>
  </si>
  <si>
    <t>Purchase of Tools and Equipment’s for Use in Reshaping of Unpaved Road Shoulder along Makilala-Allah Valley Road K1621+000 - K1644+817 (Selected Portions)</t>
  </si>
  <si>
    <t>4 Units Microphone &amp; 2 Units Cellphone (PR No. 100-2020-0735 &amp; 0824) - PVGO &amp; BM Samonte</t>
  </si>
  <si>
    <t>PB-20-313, Supply &amp; Delivery of Brochures to be distributed to walk-in clients (farmers) of the Office of Provincial Agriculturist, Amas, Kidapawan City</t>
  </si>
  <si>
    <t>Upgrading &amp; Modernization Thru Automation of Kapingkong Dam (Electrical &amp; Mechanical Aspects), Package #14 for the Rehabilitation and Improvement of Lambayong River Irrigation System</t>
  </si>
  <si>
    <t>PB-20-308, Supply &amp; Delivery of Various Agricultural Supplies for the Office of Provincial Agriculturist, Amas, Kidapawan City</t>
  </si>
  <si>
    <t>Improvement of Evacuation Center</t>
  </si>
  <si>
    <t>PB-20-306, Supply &amp; Delivery of Office Equipment for the Office of the Provincial Veterinarian, Amas, Kidapawan City</t>
  </si>
  <si>
    <t>Development of Cinelokal Web Application and streaming platform</t>
  </si>
  <si>
    <t>Purchase of Office Equipment’s and Supplies for Use in the Office of the District Engineer</t>
  </si>
  <si>
    <t>Invitation to Bid for Procurement of Microwave Digestion System 968f-REFERENCE # 2020-06-03</t>
  </si>
  <si>
    <t>20GAA0075: Procurement of Turbo Diesel fro use of various Vehicles at DPWH-INFDEO, Laoag City</t>
  </si>
  <si>
    <t>Purchase of Office Equipment’s and Supplies for use of the Finance Section</t>
  </si>
  <si>
    <t>Rehabilitation of Tribal Hall @ JBL, Sto. Nino, Talaingod, DDN</t>
  </si>
  <si>
    <t>IPH-20-0206-B - PURCHASE OF HOUSEKEEPING SUPPLIES</t>
  </si>
  <si>
    <t>SUPPLY AND DELIVERY OF ONE (1) UNIT AIR OVEN FOR NFA - TRLD LABORATORY USE</t>
  </si>
  <si>
    <t>IPH-20-0170-B - PURCHASE OF LABORATORY SUPPLIES</t>
  </si>
  <si>
    <t>Development of a National Registry App</t>
  </si>
  <si>
    <t>Supply and Delivery of Spare Parts use for the repair and Maintenance of Backhoe Loader.</t>
  </si>
  <si>
    <t>PB-20-339, Supply &amp; Delivery of Office Supplies for Sangguniang Panlalawigan, Amas, Kidapawan City</t>
  </si>
  <si>
    <t>IPH-20-0166-B - PURCHASE OF MEDICAL OXYGEN</t>
  </si>
  <si>
    <t>Supply &amp; Delivery of 1 unit Global Navigation Satellite System (GNSS) Satellite Signal Tracked Simultaneously Specification for K2MIPP</t>
  </si>
  <si>
    <t>20GAA0064-Labor – Repair/Maintenance of Slope Protection along Laoag-Balacad Road, SO4146LZ KO482+807-KO482+867, KO484+065-KO484+091, Laoag City, Ilocos Norte</t>
  </si>
  <si>
    <t>PROCUREMENT OF ROUTER, WIFI EXTENDER, AND SWITCH HUB</t>
  </si>
  <si>
    <t>(P.R. # 20-06-005) Purchase of Office Equipment For RAP and Environmental Impact Assessment (Planning and Design Section), Cebu City</t>
  </si>
  <si>
    <t>RFQ&gt;&gt;&gt; Office and Janitorial Supplies for Josefa Carino ES | ABC=PhP57,092.50</t>
  </si>
  <si>
    <t>Procurement / Acquisition of Communication and Early Warning Devices (Handheld radio and Radio base with antenna and accessories)</t>
  </si>
  <si>
    <t>CONSTRUCTION  OF WATER SYSTEM @ BRGY. SAMBULAWAN, MOBO, MASBATE</t>
  </si>
  <si>
    <t>Supply and Delivery of Water Meters</t>
  </si>
  <si>
    <t>Procurement of Office Equipment for PARPO I Office</t>
  </si>
  <si>
    <t>RFQ&gt;&gt;&gt; Office and Janitorial Supplies for Apolinario Mabini ES | ABC=PhP91,505.00</t>
  </si>
  <si>
    <t>HFW: 1 LOT PERSONAL EFFECTS	 FOR THE CLIENT AT HOME FOR WOMEN 2nd SEMESTER 2020.</t>
  </si>
  <si>
    <t>Purchase of Wheelchair, Quad Cane, Walker and Crutches for Senior Citizens and PWDs</t>
  </si>
  <si>
    <t>Procurement / Acquisition of Emergency Rescue Equipment and Supplies (Circular Concrete Saw, Concrete Chain Saw and Demolition Hammer)</t>
  </si>
  <si>
    <t>Fabrication of Session Table</t>
  </si>
  <si>
    <t>SUPPLY AND DELIVERY OF VARIOUS LIVE ANIMALS IN SUPPORT TO THE LIVELIHOOD ASSISTANCE PROGRAM OF THE LIVESTOCK PROGRAM FOR CY 2020</t>
  </si>
  <si>
    <t>ROUTE SURVEY ON LOT TRAVERSED FROM CABUDWAN TO HINUGTAN ROAD</t>
  </si>
  <si>
    <t>Construction of Pathway @ Tibucag Elementary School, Dagohoy, Talaingod, DDN</t>
  </si>
  <si>
    <t>General cleaning of Airconditioning System of Hyundai Tucson SKW-470 officially used by GAB</t>
  </si>
  <si>
    <t>Purchase of 4x4 Service Vehicle for Monitoring of GAD Programs and Services</t>
  </si>
  <si>
    <t>Procurement of Smartphone</t>
  </si>
  <si>
    <t>Supply and Delivery of Labor and Materials, and Provision of Service for the Renovation of the DTI-CITE 2020</t>
  </si>
  <si>
    <t>Procurement of MS Office</t>
  </si>
  <si>
    <t>REHABILITATION OF STALLS INSIDE WET MARKET</t>
  </si>
  <si>
    <t>Procurement of Bluetooth Speaker</t>
  </si>
  <si>
    <t>Materials for Public Address System</t>
  </si>
  <si>
    <t>HFW : 1 LOT  VEGETABLE SUPPLIES  FOR THE CONSUMPTION OF HFW CLIENT FOR 2nd SEMESTER OF 2020</t>
  </si>
  <si>
    <t>Procurement of Hard Drive</t>
  </si>
  <si>
    <t>PROCUREMENT OF RICE FOR HOUSEHOLD DISTRIBUTION</t>
  </si>
  <si>
    <t>Supply and Delivery of ICT Supplies for use of BUCE Offices and Departments  for 1st to 3rd Quarter</t>
  </si>
  <si>
    <t>RFQ-DVO-PR.NO. 2006163 CAT. 1 AUDIO-VIDEO EQUIPMENT</t>
  </si>
  <si>
    <t>1ST internet connection</t>
  </si>
  <si>
    <t>Establishment of Sari-sari Store and General Merchandising</t>
  </si>
  <si>
    <t>RFQ-DVO-PR.NO. 2006170 CAT. 10 COMPUTER AND ACCESSORIES</t>
  </si>
  <si>
    <t>PURCHASE OF PHOTOCOPIER TONER</t>
  </si>
  <si>
    <t>TUGUEGARAO AIRPORT DEVELOPMENT PROJECT (Expansion of Apron)</t>
  </si>
  <si>
    <t>MEDICAL DENTAL AND OTHER SUPPLIES AND MATERIALS FOR COVID-19 RESPONSE</t>
  </si>
  <si>
    <t>Procurement of Mushroom Fruiting Bags</t>
  </si>
  <si>
    <t>PROCUREMENT OF OFFICE SUPPLIES FOR CGDSV AND SUBSTATIONS</t>
  </si>
  <si>
    <t>RFQ-DVO-PR.NO. 2006215 CAT. 80 FUEL, OIL, LUBRICANTS AND SERVICING</t>
  </si>
  <si>
    <t>100-2020-01-130 Supply and delivery of 2 units mini bus-aircon</t>
  </si>
  <si>
    <t>PROCUREMENT OF LABOR FOR STEEL FENCE</t>
  </si>
  <si>
    <t>RFQ-DVO-PR.NO. 2006134 CAT. 80 FUEL, OIL, LUBRICANTS AND SERVICING</t>
  </si>
  <si>
    <t>RFQ-DVO-PR.NO. 2006040 CAT. 18 ELECTRICAL EQUIPMENT AND APPLIANCES</t>
  </si>
  <si>
    <t>100-2020-03-496 Supply and delivery of 4 units 4 wheel drive diesel tractor with trailing harrow (20x24),etc</t>
  </si>
  <si>
    <t>RFQ-DVO-PR.NO. 2006094 CAT. 32 JANITORIAL SUPPLIES AND MATERIALS</t>
  </si>
  <si>
    <t>100-2020-03-497 Supply and delivery of 4 units trailing harrow (20x24)</t>
  </si>
  <si>
    <t>RFQ-DVO-PR.NO. 2006092 CAT. 35 GROCERIES</t>
  </si>
  <si>
    <t>100-2020-06-738 Supply and delivery of gasoline and diesel</t>
  </si>
  <si>
    <t>RFQ-DVO-PR.NO. 2006061 CAT. 41 OFFICE EQUIPMENT</t>
  </si>
  <si>
    <t>RFQ-DVO-PR.NO. 2006093 CAT. 32 JANITORIAL SUPPLIES AND MATERIALS</t>
  </si>
  <si>
    <t>Procurement of Surveying Instruments Battery</t>
  </si>
  <si>
    <t>SUPPLY AND DELIVERY OF BASKETBALL BACKSTOP</t>
  </si>
  <si>
    <t>Procurement of Engineering &amp; laboratory Equipment</t>
  </si>
  <si>
    <t>100-2020-03-479 Supply and delivery of 1 unit mobile x-ray bus</t>
  </si>
  <si>
    <t>20F00107 - Local Program – National Roads and Bridges – National Roads – Local Infrastructure Program – Rehabilitation/Reconstruction of National Roads with Slips, Slope Collapsed and Landslide Andaya</t>
  </si>
  <si>
    <t>Procurement of Hydrological Instruments</t>
  </si>
  <si>
    <t>CONSTRUCTION MATERIALS AND SUPPLIES FOR MAGGANGAN ROAD  (Grouted Riprap)phase II, GUINAOANG, MANKAYAN, BENGUET</t>
  </si>
  <si>
    <t>(20CSNH05) Consulting Services for the Conduct of Soil Explor. &amp;/Or Geotech'l Investigation in Prep. of the Prelim. &amp; Det. Eng'g of Prop. Various FY 2021 Reg Infra Projects(Package 3)Madrid,Tandag,Tag</t>
  </si>
  <si>
    <t>PROFESSIONAL SERVICE (CHARGING MECHANISM) 20060273 (NLR)</t>
  </si>
  <si>
    <t>DSLR Camera</t>
  </si>
  <si>
    <t>PARTIAL CONSTRUCTION OF MULTI-PURPOSE PAVEMENT @ SITIO CAGAS, BRGY. GUINHALINAN</t>
  </si>
  <si>
    <t>100-2020-06-745 Supply and delivery of gasoline and diesel</t>
  </si>
  <si>
    <t>20CSA006: Geotechnical and Geological Survey (Soil Boring Exploration) of Various Buildings in Region I (Package 2)</t>
  </si>
  <si>
    <t>Procurement of Various Electrical and Plumbing Materials</t>
  </si>
  <si>
    <t xml:space="preserve">(20CSNH04) Consulting Services for the Conduct of Soil Exploration &amp;/Or Geotech'l Invest'n in Prep. of the Prelim &amp; Det. Eng'g of Prop. Various FY 2021 Reg. Infras. Proj. (Package 2)Tago, Surigao del </t>
  </si>
  <si>
    <t>RFQ Supply &amp; Delivery of  G.I &amp; BRASS FITTING</t>
  </si>
  <si>
    <t>For Construction of Administration Building 2nd Gate Entrance Covered Walk, Phase 1</t>
  </si>
  <si>
    <t>Invitation to Bid Construction of Multi-Purpose Building</t>
  </si>
  <si>
    <t>20CSA005: Geotechnical and Geological Survey (Soil Boring Exploration) of Various Buildings in Region I (Package 1)</t>
  </si>
  <si>
    <t>1ST IMPROVEMENT OF HANDWASHING AREA</t>
  </si>
  <si>
    <t>(20CSNH03)Consulting Services for the Conduct of Soil Explor. And/Or Geotech. Investigation in Prep. of the Prelim. &amp; Det. Eng'g of Prop. Various FY 2021 Reg. Infras Proj(Package 1)Cantilan, Carmen &amp;</t>
  </si>
  <si>
    <t>IMPROVEMENT OF THE SCHOOL'S MAIN GATE</t>
  </si>
  <si>
    <t>Proposed Drainage and Pathway</t>
  </si>
  <si>
    <t>Procurement of Various Printed Materials, DSW-PR 690</t>
  </si>
  <si>
    <t>SUPPLIES FOR THE NEW NORMAL LEARNING MODALITY</t>
  </si>
  <si>
    <t>Request for Quotation for the Provision of Catering services to be served and used during the conduct of various trainings and activities under Rice Program for CY 2020</t>
  </si>
  <si>
    <t>PROCUREMENT OF MOTOR VEHICLES</t>
  </si>
  <si>
    <t>Procurement of Various Office Supplies, DSW-PR-742</t>
  </si>
  <si>
    <t>Request for Quotation for the Provision of Printing services to be used for the establishment of six (6) community garden/adopt a community starting July to October 2020 at Cagayan de Oro City</t>
  </si>
  <si>
    <t>Procurement of Printing Equipment</t>
  </si>
  <si>
    <t>Procurement of Office supplies and materials</t>
  </si>
  <si>
    <t>Radio Spots Airtime for the Months of July to December 2020.</t>
  </si>
  <si>
    <t>Request for Quotation for the Provision of Office Supplies and Devices to be used during the video documentation and production for the conduct of webinar series.</t>
  </si>
  <si>
    <t>SUPPLY AND DELIVERY OF IT EQUIPMENT FOR TULUNAN PEACE INSTITUTE OF SCIENCE AND TECHNOLOGY (TPIST), TULUNAN, COTABATO</t>
  </si>
  <si>
    <t>Supply and Delivery of Firearms for the MSU-TCTO Security Force Office</t>
  </si>
  <si>
    <t>EMR for XDP Care Project (Tablet)</t>
  </si>
  <si>
    <t>Supplies and Materials of MASONRY NC II (Training Cum Production) Dormitory</t>
  </si>
  <si>
    <t>RFQ-DVO-PR.NO. 2006171 CAT. 44 OFFICE EQUIPMENT</t>
  </si>
  <si>
    <t>100-2020-06-779 Supply and delivery of diesel</t>
  </si>
  <si>
    <t>RFQ-DVO-PR.NO. 2006111 CAT. 39 MEDICAL SUPPLIES AND MATERIALS</t>
  </si>
  <si>
    <t>RFQ-DVO-PR.NO. 2006095 CAT. 49 PRINTED FORMS AND PRINTING SERVICES</t>
  </si>
  <si>
    <t>RFQ re Office supplies of DARRO III personnel for 3rd quarter of CY-2020</t>
  </si>
  <si>
    <t>RFQ-DVO-PR.NO. 2006158 CAT. 10 COMPUTER EQUIPMENT AND ACCESSORIES</t>
  </si>
  <si>
    <t>Repair and replacement of parts of HITACHI LOADER</t>
  </si>
  <si>
    <t>REHABILITATION OF WATER SYSTEM FOR HCGDSV</t>
  </si>
  <si>
    <t>RFQ-DVO-PR.NO. 2006006 CAT. 10 COMPUTER EQUIPMENT AND ACCESSORIES</t>
  </si>
  <si>
    <t>100-2020-06-766 Supply and delivery of carburandum size 1x2x8inches,etc</t>
  </si>
  <si>
    <t>1ST POSTING MEDICAL AND DENTAL PROJECT WINS SUPPLIES</t>
  </si>
  <si>
    <t>HFW: 1 LOT FROZEN GOODS OF HFW CLIENT FOR 2nd SEM OF 2020.</t>
  </si>
  <si>
    <t>RFQ-DVO-PR.NO. 2003499 CAT. 73 CONSTRUCTION REPAIR</t>
  </si>
  <si>
    <t>RENTAL OF CGDSV WAREHOUSE, PERSONNEL BARRACKS AND LFMC-SV OFFICE</t>
  </si>
  <si>
    <t>100-2020-06-783 Supply and delivery of gasoline and diesel</t>
  </si>
  <si>
    <t>Proposed Purchase of three (3) sets of Computer at Brgy. Sta Cruz (Putol) San Pablo City.</t>
  </si>
  <si>
    <t>RFQ-DVO-PR.NO. 2006172 CAT. 52 RADIO COMMUNICATIONS EQUIPMENT</t>
  </si>
  <si>
    <t>Request for Quotation for PPE's for LGU-Lawaan</t>
  </si>
  <si>
    <t>Procurement of One (1) set Total Station/Surveying Equipment</t>
  </si>
  <si>
    <t>Procurement of Disaster Equipment</t>
  </si>
  <si>
    <t>PURCHASE OF PPE AND THERMAL SCANNER</t>
  </si>
  <si>
    <t>Supply and Delivery of Tire w/Interior use for the repair and maintenance of Backhoe Loader.</t>
  </si>
  <si>
    <t>Materials for Medical Kits, Refill of Fire Extinguisher, Medical Equipment and CCTV Camera</t>
  </si>
  <si>
    <t>IPH-20-0207-B - PURCHASE OF OFFICE SUPPLIES</t>
  </si>
  <si>
    <t>Retrofitting of GHQ Building (5th Rebidding)</t>
  </si>
  <si>
    <t>1ST POSTING OF SUPPLIES AND MATERIALS FOR MODULE REPRODUCTION</t>
  </si>
  <si>
    <t>Provision of 5 units Air-Condition for Principal's Office &amp; Audio Visual Room</t>
  </si>
  <si>
    <t>IPH-20-0372-B - PURCHASE OF DRUGS AND MEDICINES</t>
  </si>
  <si>
    <t>INSTALLATION OF EIGHT (8)  UNITS SOLAR INTEGRATED LIGHTS @ BRGY. MABUHAY, MOBO, MASBATE</t>
  </si>
  <si>
    <t>20GO0102 - 71X-SPECIAL MAINTENANCE (INSTALLATION OF ROAD SAFETY FACILITIES ALONG BACOLOD CITY NATIONAL ROADS), BACOLOD CITY</t>
  </si>
  <si>
    <t>PROCUREMENT OF LABOR FOR CANTEN ELECTRIFICATION</t>
  </si>
  <si>
    <t>SUPPLY AND DELIVERY OF MONOBLOCK CHAIRS AND TABLES</t>
  </si>
  <si>
    <t>PROVISION OF HAND WASHING FACILITY</t>
  </si>
  <si>
    <t>IPH-20-0167-B - PURCHASE OF MEDICAL SUPPLIES</t>
  </si>
  <si>
    <t>PB-20-305, Supply &amp; Delivery of Veterinary Equipment for the Office of the Provincial Veterinarian, Amas, Kidapawan City</t>
  </si>
  <si>
    <t>Tire &amp; Spare Parts (MEO-For Light &amp; Heavy Equipment)</t>
  </si>
  <si>
    <t>IPH-20-0169-B - PURCHASE OF LABORATORY SUPPLIES</t>
  </si>
  <si>
    <t>Procurement of Office Equipment for Legal Division</t>
  </si>
  <si>
    <t>COMPLETION OF EVACUATION CENTER</t>
  </si>
  <si>
    <t>ITB No. GOP/20-DSWD-038 - Provision of Multi-Year Contract for the Hiring of Service Provider for the Termite Treatment and General Pest Control of DSWD - Central Office and Other Satellite Offices</t>
  </si>
  <si>
    <t>Supply and Delivery of Various Office Supplies and Devices for the Feed Chemical Analysis Laboratory with an ABC of P 84,998.00 and PR #: DA3-2020-06-16-190</t>
  </si>
  <si>
    <t>FREEDOM PARK OFF-GRID SOLAR SYSTEM</t>
  </si>
  <si>
    <t>Supply and Delivery of Aluminum Glass</t>
  </si>
  <si>
    <t>CONSTRUCTION OF SOLAR DRYER</t>
  </si>
  <si>
    <t>GEOTECHNICAL AND TOPOGRAPHICAL INVESTIGATION SURVEY, NFA PALAWAN</t>
  </si>
  <si>
    <t>(PT &amp; KMH) INVITATION TO BID FOR THE SUPPLY &amp; DELIVERY OF DESKTOP COMPUTERS, LAPTOP, ETC. FOR THE  PROVINCIAL TREASURY &amp; KASIBU MUNICIPAL HOSPITAL--290,000.00</t>
  </si>
  <si>
    <t>Extention of Street Lights</t>
  </si>
  <si>
    <t>Contract ID No.: 20OE0204 - Construction of Four (4) Storey Twelve (12) Classroom School Building at Laon Laan  Elementary School  (Based on 2017 Plan, Revised 3-24-17)</t>
  </si>
  <si>
    <t>CONSTRUCTION OF HANDRAILS AT CHALEKONG</t>
  </si>
  <si>
    <t>SUPPLY AND DELIVERY OF TIRES FOR VARIOUS HEAVY EQUIPMENT AND VEHICLES OF PGNE</t>
  </si>
  <si>
    <t>ENVIRONMENTAL HEALTH / SAFETY EQUIPMENT</t>
  </si>
  <si>
    <t>PURCHASE OF BRAND NEW AMBULANCE</t>
  </si>
  <si>
    <t>Supply and Delivery of Spare Parts</t>
  </si>
  <si>
    <t>Supply and Delivery of Various Laptop Computers</t>
  </si>
  <si>
    <t>Labor on Installation of 3 Units Transformer 100KVA (PR No. 100-2020-0819) - ZSPH</t>
  </si>
  <si>
    <t>Proposed Construction of Level 1 Potable Water Supply System  (2nd Publication)</t>
  </si>
  <si>
    <t>CONSTRUCTION OF TAWANGAN PROPER - SPRING CONCRETE CANAL</t>
  </si>
  <si>
    <t>Invitation to Bid for the Procurement of SIX (6) units Computer</t>
  </si>
  <si>
    <t>CONCRETING OF BARANGAY ROAD PHASE 2</t>
  </si>
  <si>
    <t>Request for Quotation for the Procurement of Hardware Materials and Supplies of Department of Education Regional Office VI</t>
  </si>
  <si>
    <t>Procurement of Early Registration and Strong Advocacy for K-12 2020</t>
  </si>
  <si>
    <t>Rehabilitation/improvement of Water System in Brgy. Hinabuyan, Villaba, Leyte, ABC PHP2,884,283.42</t>
  </si>
  <si>
    <t>IMPROVEMENT OF MUNICIPAL NURSERY</t>
  </si>
  <si>
    <t>Purchase of Mini Dumptruck</t>
  </si>
  <si>
    <t>2 Units Submersible Pump 3HP &amp; 5HP with Accessories and Installation) (PR No. 100-2020-0812) - ZSPH</t>
  </si>
  <si>
    <t>Construction of Box Culvert Approach's Slope Protection, Tibungan Creek</t>
  </si>
  <si>
    <t>Supply and Delivery of Grass Cutter - RFQ 058-2020 GQ</t>
  </si>
  <si>
    <t>Purchase of Uniform ( Brgy. Officials &amp; BHW ) at Barangay Pob. IV, Tanauan City, Batangas</t>
  </si>
  <si>
    <t>GSD J-20-293 DEEP CYCLE BATTERY</t>
  </si>
  <si>
    <t>Hiring of Regional Knowledge Management Specialist</t>
  </si>
  <si>
    <t>Contract ID No.: 20OE0205 - Construction of Four (4) Storey Sixteen (16) Classroom School Building at Mariano Ponce Elementary School  (Based on 2017 Plan, Revised 3-24-17)</t>
  </si>
  <si>
    <t>Manapla ES_MOOE2nd_Repair</t>
  </si>
  <si>
    <t>Construction of River Protection-Barangay Del Pilar</t>
  </si>
  <si>
    <t>Purchase of Information &amp; Communication Technology Equipment (Laptop)</t>
  </si>
  <si>
    <t>Concreting of Barangay Road at Sitio Macagpo (Phase 2) in Brgy. Cambalading, Albuera, Leyte, ABC PHP3,005,619.74</t>
  </si>
  <si>
    <t>2020-06-0982 Disinfectant wipes/tissue for machine</t>
  </si>
  <si>
    <t>Procurement of Food Stuff PR # 2020-06-16-198</t>
  </si>
  <si>
    <t>Procurement of Agricultural Supply  and Equipments</t>
  </si>
  <si>
    <t>BHW Uniforms, Health Kits &amp; Protective Gear</t>
  </si>
  <si>
    <t>Purchase of Assorted Fruits and Vegetables Seeds</t>
  </si>
  <si>
    <t>Purchase of Heavy Duty Photocopier, Scanner and Printer</t>
  </si>
  <si>
    <t>PURCHASE AND DELIVERY OF VEHICLE PARTS FOR PADO</t>
  </si>
  <si>
    <t>Construction of the Tanjay City Evacuation Center (Phase III)</t>
  </si>
  <si>
    <t>Sanitizing supplies(20-06-225SPMO)</t>
  </si>
  <si>
    <t>PROCUREMENT OF VARIOUS OFFICE SUPPLIES AND MATERIALS</t>
  </si>
  <si>
    <t>Construction of Comfort Room for Male and Female and VAW-C Room at Brgy. 3, Kabankalan City, Negros Occidental</t>
  </si>
  <si>
    <t>Barangay 666 C.O/BDF 2020</t>
  </si>
  <si>
    <t>Purchase of Laptop and External Hard Drive</t>
  </si>
  <si>
    <t>MISC. - LIQUID DETERGENT (8th POSTING)</t>
  </si>
  <si>
    <t>(Request for Quotation) Procurement of Hard Hats and etc. for the Office of the Solicitor General</t>
  </si>
  <si>
    <t>Rehabilitation of Barangay Road</t>
  </si>
  <si>
    <t>Various Office Enhancement</t>
  </si>
  <si>
    <t>Desktop Computer and Laptop - Office of the City Mayor</t>
  </si>
  <si>
    <t>REPAINTING OF ROOF, INTERIOR &amp; EXTERIOR CEILING AND WALL OF BUILDINGS AT LIMAY PARK</t>
  </si>
  <si>
    <t>Medical, Dental &amp; Laboratory Supplies - City Health Services Office - Medical Section</t>
  </si>
  <si>
    <t>Request for Quotation for the Provision of Agricultural Products to be used for the establishment of six (6) community garden/adopt a community starting July to October 2020 at Cagayan de Oro City</t>
  </si>
  <si>
    <t>20DD0357 Local Program, Local Infrastructure Program, Buildings and Other Structures, Multipurpose/ Facilities, Construction and/or Repair/Rehabilitation of Multi-Purpose Building (Phase 2), Brgy. Ban</t>
  </si>
  <si>
    <t>Medical, Dental &amp; Laboratory Supplies - City Health Services Office - Laboratory Section</t>
  </si>
  <si>
    <t>Request for Quotation on Various Printing Ink (for HP Printer)</t>
  </si>
  <si>
    <t>Supply and Delivery of Janitorial Supplies PR/RFQ# 2020-06-099</t>
  </si>
  <si>
    <t>Supply and Delivery of 148 Pcs Tarpaulin; PR No. 20-1399 dated February 07, 2020</t>
  </si>
  <si>
    <t>One (1) Unit All-in-One PC - Office of the City Mayor</t>
  </si>
  <si>
    <t>Supply and Delivery of 1 Lot Wreath; PR No. 20-1402 dated February 10, 2020</t>
  </si>
  <si>
    <t>Dental Supplies/Equipment - City Health Services Office</t>
  </si>
  <si>
    <t>Hydraulic Hose etc. (06-0603)Motorpool</t>
  </si>
  <si>
    <t>Supply and Delivery of 1 Lot Wreath; PR No. 20-1401 dated April 20, 2020</t>
  </si>
  <si>
    <t>Supply &amp; Delivery of Materials for the Improvement of Multi Purpose Building</t>
  </si>
  <si>
    <t>Supply and Delivery of 1 Lot Tarpaulin; PR No. 20-1400 dated April 21, 2020</t>
  </si>
  <si>
    <t>Gang Chair (06-0602) Land Transport Terminal</t>
  </si>
  <si>
    <t>Purchase of 1 Unit Biometric</t>
  </si>
  <si>
    <t>Supply and Delivery of 17 Pcs. Toner (CE285A BN) &amp; Other Item; PR No. 20-1417 dated February 26, 2020</t>
  </si>
  <si>
    <t>Flexible Hose 3/4" etc. (06-0600) CGSO</t>
  </si>
  <si>
    <t>Construction Materials and Supplies for use in the Installtion of Free Flowing at Dulangan I, Baco/ Installation of Deepwell at Malinao, Naujan, Oriental Mindoro/ Installation of Free Flowing at Sitio</t>
  </si>
  <si>
    <t>Supply/Delivery of One (1) Unit Police Patrol Car (20-06-0617)</t>
  </si>
  <si>
    <t>Medical Supplies and Laboratory Instrument for use during the conduct of laboratory  examination &amp; dental check-up of all regular employees of PGOM</t>
  </si>
  <si>
    <t>Information Technology use for client information terminal in Capitol Complex and OMPH</t>
  </si>
  <si>
    <t>Airconditioning and Airconditioning System for use of the Governor’s Office</t>
  </si>
  <si>
    <t>Supply and Delivery of 70 Packs Black Coffee &amp; Other Items; PR No. 20-1422 dated May 20, 2020</t>
  </si>
  <si>
    <t>Fertilizer for use in Aquaculture Development Program as fishery input support to fish farmers/growers in the province</t>
  </si>
  <si>
    <t>Supply &amp; Delivery of Materials for the Installation of Streetlight (SAN DIONISIO)</t>
  </si>
  <si>
    <t>1 lot  Project Billboard - Construction of City Health Office Phase III (06-0631) CMO</t>
  </si>
  <si>
    <t>Hospital/Medical Equipment for the use of OMSDH</t>
  </si>
  <si>
    <t>Construction of Multi-Purpose Drying Pavement</t>
  </si>
  <si>
    <t>Construction Materials and Supplies for use in the Provision of P.E. Pipes S40 for Brgy. Antipolo, Naujan, Oriental Mindoro/ Provision of 300 meter Pipe for Sitio 3 at Barangay Buhangin Naujan, Orient</t>
  </si>
  <si>
    <t>Agricultural Products (Seeds, Seedlings, Plants…) for Distribution of Cacao Planting Materials for Coconut  intercrop in farmers of different Municipalities under High Value Commercial Crops Productio</t>
  </si>
  <si>
    <t>Live Animals (Livestock, Birds, Live Fish &amp; etc.) for use in the Aquaculture Development Program as fishery  input support to fish farmers/growers in the province</t>
  </si>
  <si>
    <t>Agricultural Products (Seeds, Seedlings, Plants…) for Distribution of Calamansi Planting Materials in Calamansi  Farmers of different Municipalities under High Value Commercials Crops Production of Ag</t>
  </si>
  <si>
    <t>Contract ID No. 19CSK00058 - Real Property Appraisal Services for Properties Affected by the projects:  1.	Construction of Valencia By Pass/ Diversion Road, including Row, Bukidnon; Construction/ Reha</t>
  </si>
  <si>
    <t>EMERGENCY PURCHASE OF IT SUPPLIES AND MATERIALS FOR PRINTING OF APPOINTMENT, PAYROLL AND OTHER DOCUMENTS FROM VARIOUS OFFICES</t>
  </si>
  <si>
    <t>Request for Quotation for the Provision of Catering services to be used for the establishment of six (6) community garden/adopt a community starting July to October 2020 at Cagayan de Oro City</t>
  </si>
  <si>
    <t>Fertilizer for Distribution under Mindoro Dinorado Rice Production Program-Agro  Technology Resource and Management Services Division</t>
  </si>
  <si>
    <t>Other Supplies/Janitorial Supplies - Office of the Sangguniang Panlungsod</t>
  </si>
  <si>
    <t>PROCUREMENT AND DELIVERY OF DESICCATOR CABINET</t>
  </si>
  <si>
    <t>20CN0126 - Slope Protection along Nueva Ecija – Aurora Road, (K0190+740 – K0190+890), (K0191+211 – K0191+260)</t>
  </si>
  <si>
    <t>Improvement of Principal's Office</t>
  </si>
  <si>
    <t>Office Supplies - Office of the Sangguniang Panlungsod - Support &amp; Legislative</t>
  </si>
  <si>
    <t>Proposed Construction of Suspended Slab on Existing Porch &amp; delivery of Steel Handwashing Facility</t>
  </si>
  <si>
    <t>13,260 liters Gasoline Fuel and 111,600 liters Diesel Fuel</t>
  </si>
  <si>
    <t>Supply and Delivery of Various Building Supplies (20 items), as per BSP Technical Specifications and Terms and Conditions</t>
  </si>
  <si>
    <t>Veterinary Medical Supplies</t>
  </si>
  <si>
    <t>20CN0073 - Construction of Slope Protection along Nueva Ecija – Aurora Road, K0212+155 – K0212+203, Aurora</t>
  </si>
  <si>
    <t>Supply and Delivery of Office Chairs</t>
  </si>
  <si>
    <t>Supply and Delivery of Materials for the Repair/Improvement of Day Care Center, Barangay Bataan</t>
  </si>
  <si>
    <t>Reblocking/Concreting of Road from Brgy. Los Martires to Brgy. San Antonio Dist. 5 in Dagami, Leyte, ABC PHP3,517,944.70</t>
  </si>
  <si>
    <t>Materials for the Talibon Polytechnic College - Computer Laboratory @ San Isidro, Talibon, Bohol</t>
  </si>
  <si>
    <t>VARIOUS SUPPLIES FOR GULAYAN SA TUGKARAN</t>
  </si>
  <si>
    <t>Aggregate Levelling Coarse</t>
  </si>
  <si>
    <t>Printing of Mushroom Catalogue Volume 2</t>
  </si>
  <si>
    <t>1 Unit Laptop, 5 Units HDMI to VGA Converter, 3 Units Portable Wifi Router &amp; 12 Units Wireless Speaker</t>
  </si>
  <si>
    <t>Purchase of Tablet for use at SPA- Legislative PR No. (100(01)20-06-1227)</t>
  </si>
  <si>
    <t>GSD J-20-283 CPU BOX [EAD]</t>
  </si>
  <si>
    <t>Request for Quotation for the Provision of Transportation services to be used for the establishment of six (6) community garden/adopt a community starting July to October 2020 at Cagayan de Oro City</t>
  </si>
  <si>
    <t>Supply/Delivery of Grocery Items for Peace and Order Activity (Provision of Support to Auxilliary Army Group)(PR# 20-06-0626)</t>
  </si>
  <si>
    <t>Repair and Maintenance of the Division Office Including 35% of the Labor Cost</t>
  </si>
  <si>
    <t>supplying various medical supplies for use of Laboratory, OR and Nursing Service, SCDH, Sta. Cruz, Marinduque</t>
  </si>
  <si>
    <t>Computer Inks, Toners and Accessories to be Used in DepEd Division Office for July to December 2020</t>
  </si>
  <si>
    <t>supplying various food stuff for the Provision of Nutri-bun provincewide, PNO/PGO, Boac, Marinduque</t>
  </si>
  <si>
    <t>Food Supplies (20-05-431)</t>
  </si>
  <si>
    <t>Supply and Delivery of Materials with Labor</t>
  </si>
  <si>
    <t>Supply and Delivery of Meals and Snacks</t>
  </si>
  <si>
    <t>Ceramic Floor Tiles etc. (06-0577-A) CEO</t>
  </si>
  <si>
    <t>20CSAC08 - Geotechnical Investigation of the Proposed CY 2020 Construction of Multi-Purpose Buildings Set 2</t>
  </si>
  <si>
    <t>Request for Quotation for the Provision of Telecommunications Provider to be used for the establishment of six (6) community garden/adopt a community starting July to October 2020 at Cagayan de Oro Ci</t>
  </si>
  <si>
    <t>Supply and Delivery of Various Food Supplies</t>
  </si>
  <si>
    <t>Portland Cement etc. (05-0490) CEO</t>
  </si>
  <si>
    <t>Supply and Delivery of Chicken Supplies</t>
  </si>
  <si>
    <t>Supply and Delivery of Agricultural Supplies</t>
  </si>
  <si>
    <t>Emergency Purchase in resp to covid19 mayor's off</t>
  </si>
  <si>
    <t>Agricultural Products (Seeds, Seedlings, Plants…) for Distribution of Agro-Technology Resource  Management Services – Organic Vegetable Production</t>
  </si>
  <si>
    <t>Conduct of Dog Owners and Dog's Registration and RABMIS for rabies control activities</t>
  </si>
  <si>
    <t>Procurement of ICT Equipment</t>
  </si>
  <si>
    <t>Supply and Installation of Public Address System</t>
  </si>
  <si>
    <t>Supply and Delivery of Garbage Truck for various Barangays of San Pablo City.</t>
  </si>
  <si>
    <t>Emergency Purchase o in response to covid19 RHU Office</t>
  </si>
  <si>
    <t>Supply and Delivery of Motorcycle Maintenance for CSD</t>
  </si>
  <si>
    <t>Sand etc. (05-0491) CEO</t>
  </si>
  <si>
    <t>Repair and Improvement of Rockefeller #4 &amp; #5 at PhilRice Central Experiment Station (PB Infra 20-02-03)</t>
  </si>
  <si>
    <t>20GK0223 - Repair/Maintenance of Flood Control System at Sangay Bridge, Silay Lantawan Road, S00028NR, K0032+339</t>
  </si>
  <si>
    <t>Contract ID: 20- 06 - 087 - PROCUREMENT OF LABORATORY SUPPLIES</t>
  </si>
  <si>
    <t>Supply and Delivery of Motorcycle Maintenance for CMD</t>
  </si>
  <si>
    <t>HIRING FOR TWO (2) SECURITY GUARD</t>
  </si>
  <si>
    <t>CONCRETING OF 100 METERS FMR AT SITIO ARADO, BRGY. PAGDADAMAYAN</t>
  </si>
  <si>
    <t>Supply and Delivery of Crablet Scylla serrata</t>
  </si>
  <si>
    <t>20GK0222 - Repair/Maintenance of Flood Control and Drainage Structures of Umapog River along Bacolod North Road, Cadiz City, Negros Occidental, K0058+279 - K0058+304</t>
  </si>
  <si>
    <t>Contract ID: 20- 06 - 086- PROCUREMENT OF MOTOR PARTS VEHICLE &amp; ACCSSORIES AND FUEL, OIL &amp; LUBRICANTS</t>
  </si>
  <si>
    <t>LSI MEALS (EMERGENCY FOR COVID-19)</t>
  </si>
  <si>
    <t>CONSTRUCTION OF LINED CANAL AT CENTRO, BRGY. WHITE CLIFF</t>
  </si>
  <si>
    <t>Construction of Seawall</t>
  </si>
  <si>
    <t>For the installation of 50 kva transfromer</t>
  </si>
  <si>
    <t>Resource Person/Facilitator on Transformational Leadership (4 months), PR# 2020-06-0357</t>
  </si>
  <si>
    <t>Emergency Purchase o in response to covid19 RHU Office 28A</t>
  </si>
  <si>
    <t>Supply and Delivery of Materials for Streamer</t>
  </si>
  <si>
    <t>Supply and Delivery of Vehicle Parts &amp; Accessories</t>
  </si>
  <si>
    <t>Disaster Response and Rescue Equipment for Emergency Response Operations of the Provincial Disaster Risk Reduction Management Office (PDRRMO)</t>
  </si>
  <si>
    <t>Supply and Delivery of Vehicle Parts &amp; Supplies</t>
  </si>
  <si>
    <t>Purchase &amp; Delivery of Covid-19 Medical Supplies for the Province</t>
  </si>
  <si>
    <t>Provincial Government of Ilocos Sur Tourism Promotions App and Advertising Services</t>
  </si>
  <si>
    <t>Supply/Delivery of Drugs and Medicines</t>
  </si>
  <si>
    <t>Purchase of 2 unit Laptop use by the Bernadette P. Suelto and Ma. Antonette C. Laud of the Office of the Mun. Budget Officer</t>
  </si>
  <si>
    <t>Procurement of Motor Vehicle</t>
  </si>
  <si>
    <t>Anodized Frame Glass etc. (06-0606) CEO</t>
  </si>
  <si>
    <t>Purchase &amp; Delivery of Janitorial &amp; Other Supplies for the Office of SPM Janina Carine S. Medina-Fariñas</t>
  </si>
  <si>
    <t>Supply and Delivery of Purified Chick Embryo Cell 2.5iu</t>
  </si>
  <si>
    <t>Purchase of Materials for Concreting of Barangay Road</t>
  </si>
  <si>
    <t>Supply and Delivery of Motorcycle Maintenance for CAD</t>
  </si>
  <si>
    <t>Emergency Purchase in response to covid19 dswd Office 31A</t>
  </si>
  <si>
    <t>Supply and Delivery of IEC Materials</t>
  </si>
  <si>
    <t>Purchase of Materials for the improvement of Level II Water System</t>
  </si>
  <si>
    <t>Supply and Delivery of Fuel</t>
  </si>
  <si>
    <t>Purchase of Materials for Concreting of Municipal Streets</t>
  </si>
  <si>
    <t>Supply and Delivery of Anti-Rabies Serum</t>
  </si>
  <si>
    <t>PB-PROCUREMENT OF ENT EQUIPMENT &amp; INSTRUMENTS ITB No. 2020-12</t>
  </si>
  <si>
    <t>Purchase of Materials for Concreting of Concrete Pavement Drier</t>
  </si>
  <si>
    <t>TPB-PR.2020.06.183 PROCUREMENT OF EXTERNAL HARD DRIVES</t>
  </si>
  <si>
    <t>installation of 15 units streetlights at zone 2-4</t>
  </si>
  <si>
    <t>Supply and Delivery of Meat Supplies</t>
  </si>
  <si>
    <t>RFQ NO. 20-0579 NP-SV - SUPPLY AND DELIVERY OF 8 UNITS LED FLOODLIGHT AT NROC, PASAY CITY</t>
  </si>
  <si>
    <t>Procurement of Advertisement</t>
  </si>
  <si>
    <t>Organization of LYDC &amp; Crafting of LYDC Plan</t>
  </si>
  <si>
    <t>Supply and Delivery of Electrical Material for Improvement of Mun. Gymnasium</t>
  </si>
  <si>
    <t>Supply and Delivery of FRP Crab box and other agricultural supplies</t>
  </si>
  <si>
    <t>INSTALLATION OF TRANSFORMER WITH METERING ACCESSORIES AND MAIN CABLE AT CUYO DISTRICT HOSPITAL (MUNICIPALITY OF CUYO, PALAWAN)</t>
  </si>
  <si>
    <t>PROCUREMENT OF COVID19 TEST KITS (rdt)</t>
  </si>
  <si>
    <t>RFQ re: conduct of DAR-BJMP MOU Signing on the Enhanced Partnership Against Hunger and Poverty on June 26, 2020</t>
  </si>
  <si>
    <t>SUPPLY &amp; DELIVERY OF MATERIALS FOR SERVICE LINE OF NWSS CONSUMERS FOR WATER CONNECTIONS</t>
  </si>
  <si>
    <t>Project C- IEC Materials</t>
  </si>
  <si>
    <t>PURCHASE OF ECG MACHINE</t>
  </si>
  <si>
    <t>Project B Drugs and Medicines</t>
  </si>
  <si>
    <t>Provision of Security Services for Technical Education and Skills Development Authority-XI (TESDA XI)</t>
  </si>
  <si>
    <t>CONSTRUCTION OF RIVERBANK STABILIZATION-REVETMENT, Valladolid, Loboc, Bohol</t>
  </si>
  <si>
    <t>CONSTRUCTION OF OFFSITE ATM BOOTH AT LGU LICAB, NUEVA ECIJA BY LANDBANK TALAVERA BRANCH</t>
  </si>
  <si>
    <t>CONSTRUCTION OF SEWAGE TREATMENT PLANT (NARRA MUNICIPAL HOSPITAL, NARRA, PALAWAN)</t>
  </si>
  <si>
    <t>Project A Rabies Vaccine</t>
  </si>
  <si>
    <t>CONSTRUCTION OF SEWAGE TREATMENT PLANT (EL NIDO COMMUNITY HOSPITAL, EL NIDO, PALAWAN)</t>
  </si>
  <si>
    <t>CONSTRUCTION OF SEWAGE TREATMENT PLANT (BATARAZA DISTRICT HOSPITAL BATARZA, PALAWAN)</t>
  </si>
  <si>
    <t>PR No. 2020-06-0051 - Supply and delivery of 3,000 liters Diesel Fuel for use in the various service vehicles and equipment in Planning &amp; Design Section.</t>
  </si>
  <si>
    <t>PR No. 2020-06-0050 - Supply and delivery of 5,000 liters Diesel Fuel for use in the various service vehicles and equipment in Maintenance Section.</t>
  </si>
  <si>
    <t>Phase VI Procurement of ICT Hardware and Equipment for Enhancement of Information and Communication Technology Information and Communication Technology Infrastructure in the Freeport Area of Bataan (F</t>
  </si>
  <si>
    <t>PR No. 2020-06-0052 - Supply and delivery of 2,000 liters Diesel Fuel for use in the various service vehicles and equipment in Construction Section.</t>
  </si>
  <si>
    <t xml:space="preserve">PR No. 2020-06-0048 - Supply and delivery of 156 pieces Long Sleeves neon orange T-Shirt with dark blue sleeves, DPWH Logo at front upper left side and DPWH MAINTENANCE print at the back (sizes: 2XL, </t>
  </si>
  <si>
    <t>PR No. 2020-06-0047 - Supply and delivery of 400 bags Thermoplastic Paint (white) and five (5) other items for use in the centerline/edgeline repainting along DSR, DCVBR, SCPTR, BMR and BKR.</t>
  </si>
  <si>
    <t>PR No. 2020-06-0053 - OUTSIDE JOB ORDER- To furnish labor and materials for the repair of Mitsubishi Strada SJC-118 - Maintenance Section.</t>
  </si>
  <si>
    <t>BOBLE BILID CANAL LINING</t>
  </si>
  <si>
    <t>PR No. 2020-06-0049 - Supply and delivery of 3,000 liters Unleaded Gasoline for use in the various service vehicles and equipment in Maintenance Section.</t>
  </si>
  <si>
    <t>TUPLAC ES MULTI-PURPOSE PAVEMENT</t>
  </si>
  <si>
    <t>BOYANGAN-ANGADAL-HUYONG WS</t>
  </si>
  <si>
    <t>SUPPLY AND DELIVERY OF RESPONSE VEHICLE</t>
  </si>
  <si>
    <t>IMPROVEMENT OF DALLIGAN MULTI-PURPOSE BLDG.  (Brgy Hall Electrical, Ceiling, Etc.)</t>
  </si>
  <si>
    <t>Office Supplies and Equipment</t>
  </si>
  <si>
    <t>Installation of 10-Single Unit Handwashing Lavatory with Sensor Faucet</t>
  </si>
  <si>
    <t>PROCUREMENT OF 3 UNITS OF ELECTRICAL DISTRIBUTION TRANSFORMER, 100 KVA</t>
  </si>
  <si>
    <t>PCDP : 50	box	DISPOSABLE MASK UP TO 10	box	ASCORBIC ACID TABLETS PROTECTIVE EQUIPMENT AND MEDICAL SUPPLIES TO BE USE FOR THE UPCOMING ARRIVAL OF DEPORTEES</t>
  </si>
  <si>
    <t>BAE CUL-DE SAC PAVEMENT (PCCP)</t>
  </si>
  <si>
    <t>Acquisition of Municipal Equipment for Engineering Office (other Machinery and Equipment)</t>
  </si>
  <si>
    <t>PB-PROCUREMENT OF ONE (1) UNIT 2D-ECHO MACHINE ITB No. 2020-11</t>
  </si>
  <si>
    <t>CONSTRUCTION OF POTABLE WATER SYSTEM, NEW NAZARETH, BASILISA</t>
  </si>
  <si>
    <t>CONCRETING OF ROAD LEADING TO WOMEN AND CHILDREN CRISIS AND DEVELOPMENT CENTER (WCCDC), SAN JOSE</t>
  </si>
  <si>
    <t>BACWAWAN WATER SYSTEM IMPROVEMENT</t>
  </si>
  <si>
    <t>CONCRETING OF PROVINCIAL ROAD (PAMOQS SECTION)</t>
  </si>
  <si>
    <t>Supply and Delivery of Tshirt with print (asstd. in sizes)</t>
  </si>
  <si>
    <t>Purchase of Seeds</t>
  </si>
  <si>
    <t>CONCRETING OF ACCESS ROAD, PUROK 1 TO PUROK 4, LLAMERA, LIBJO</t>
  </si>
  <si>
    <t>Construction of Drainage Canal (0.60m x 0.80m x75.0m)</t>
  </si>
  <si>
    <t>CONSTRUCTION OF POTABLE WATER SYSTEM, (Sitio Melody, Sitio Payo-Payo, Sitio Katipunan and Sitio Botong), SAN ANTONIO, LIBJO</t>
  </si>
  <si>
    <t>PROCUREMENT OF RENTAL SERVICES (LEASE OF ADDITIONAL OFFICE SPACE OF LHIO CAPIZ) AT LEAST 90 SQ. M.</t>
  </si>
  <si>
    <t>Procurement of Consultancy Services for the Preparation of RAPID Regional Strategic Investment Plan for Cacao in Region 9</t>
  </si>
  <si>
    <t>Supply and Delivery of Air Release Valves, Butterfly and Gate Valves Requirement of the SMWD for CY 2020</t>
  </si>
  <si>
    <t>CONSTRUCTION OF POTABLE WATER SYSTEM, SERING, BASILISA</t>
  </si>
  <si>
    <t>Office Supplies Expenses (PCADG-5020301000-1069-2020)</t>
  </si>
  <si>
    <t>Supply &amp; Delivery of Fuel, Oil &amp; Lubricants for Ambulance and Other Emergency Vehicle for the month of July 2020</t>
  </si>
  <si>
    <t>Proc of Veh Parts &amp; Acc, 32IB</t>
  </si>
  <si>
    <t>Supply, Delivery and Installation of Various Air-Conditioning Units ("Projects")</t>
  </si>
  <si>
    <t>RFQ for Auto Bench Planer</t>
  </si>
  <si>
    <t>INSTALLATION OF STREETLIGHTS</t>
  </si>
  <si>
    <t>Sanghan ES Supplies for June</t>
  </si>
  <si>
    <t>Construction of Line Canal at Barangay Bisocol, Alaminos City, Pangasinan</t>
  </si>
  <si>
    <t>Provision of a Maintenance Services for the Generator Set of Pag-IBIG Fund Calamba Hub from July to December 2020</t>
  </si>
  <si>
    <t>PURCHASE OF GOODS</t>
  </si>
  <si>
    <t>Construction of 13.8KV Underground Cabling System including SUpply and Installation of Metal Clad Switching Panels (Outdoor Type) Stage1</t>
  </si>
  <si>
    <t>cvaes.mandatory bills and school supplies</t>
  </si>
  <si>
    <t>Don Julian Rodriguez Sr. ES- Office Supplies and Consumables</t>
  </si>
  <si>
    <t>CONSTRUCTION OF PERIMETER FENCE IN QUEZON MEDICARE HOSPITAL (MUNICIPALITY OF QUEZON, PALAWAN)</t>
  </si>
  <si>
    <t>Provision for General Pest Control of Pag-IBIG Fund Lipa Branch located at 3MJ Building Brgy. Marawoy, Lipa City Batangas for the year 2020</t>
  </si>
  <si>
    <t>Purchase of Materials for the Construction of Waiting at Purok Domingo, Sudlon, Molave, Zamboanga del Sur</t>
  </si>
  <si>
    <t>Other Supplies &amp; Materials Expenses (PCADG-5020399000-1072-2020)</t>
  </si>
  <si>
    <t>CLUSTER 1, 2, 3 and 4 - TEMPORARY LEARNING SPACE</t>
  </si>
  <si>
    <t>Construction/Improvement of Bantulinao-Tabansak-Capaluhan FMR at Brgy. Capaluhan, Calauag, Quezon</t>
  </si>
  <si>
    <t>Purchase of 1 Lot Dx-Transformer 100 KVA, Conventional Type for Provincial Capitol</t>
  </si>
  <si>
    <t>Regular Bidding 30/June/2020 - Procurement of Goods: Electrical Materials &amp; Supplies for the use of CEO (Repair &amp; Maintenance of Electrical Facilities at Public Shool Gym of Tagum) (PR#200-20-06-0164)</t>
  </si>
  <si>
    <t>Purchase of One (1) Unit Brand New Garbage Compactor</t>
  </si>
  <si>
    <t>Office  Supplies  Expenses (PCADG-5020301000-1071-2020)</t>
  </si>
  <si>
    <t>RFQ PR No. 2020-06-065 (Re-Advertised) Purchase of Fuel and Lubricants of Service Vehicles and Equipment for the month of July - September CY 2020</t>
  </si>
  <si>
    <t>PURCHASE DIESEL AND PREMIUM FOR ALL MUNICIPAL VEHICLES AND EQUIPMENTS FROM JULY 1 TO 15,2020</t>
  </si>
  <si>
    <t>PURCHASE OF DISINFECTANTS</t>
  </si>
  <si>
    <t>WOMEN'S MONTH CELEBRATION</t>
  </si>
  <si>
    <t>GSD F-20-069 Supply of Electrical Materials for PHIVIDEC - IA Makati Fit-Out (recanvass)</t>
  </si>
  <si>
    <t>PURCHASE DIESEL AND PREMIUM FOR ALL MUNICIPAL VEHICLES AND EQUIPMENTS FROM JULY 16 TO 31, 2020</t>
  </si>
  <si>
    <t>RFQ Audio Equipment and accessories for EMB XII Conference Hall Partition.</t>
  </si>
  <si>
    <t>Printing &amp; Publication Expenses (PCADG-5029902000-1073-2020</t>
  </si>
  <si>
    <t>CONSTRUCTION/REHABILITATION/IMPROVEMENT OF MABINI COVERED COURT (PHASE 3) AT POBLACION, MABINI, BATANGAS</t>
  </si>
  <si>
    <t>CONSTRUCTION OF PATHWAY AND INSTALLATION OF CANOPY</t>
  </si>
  <si>
    <t>Supply and Delivery of Fogging Machine</t>
  </si>
  <si>
    <t>Supply and Delivery of Cast Iron (CI) and Ductile Iron (DI) Fittings Requirements of the SMWD for CY 2020</t>
  </si>
  <si>
    <t>PROCUREMENT OF ONE (1) UNIT WATER PUMP FOR PNR EXECUTIVE BUILDING WATER PUMP CIRCUIT USE</t>
  </si>
  <si>
    <t>Supply &amp; Delivery of Fuel, Oil &amp; Lubricants for the use of Operation of Garbage Collection for the month of July 2020</t>
  </si>
  <si>
    <t>RFQ for the Purchase of Batteries</t>
  </si>
  <si>
    <t>Purchase of Distribution Line Materials for the Municipality of Basay</t>
  </si>
  <si>
    <t>Request for Quotation (TOYOTA HI-ACE Plate#SEW 194 )</t>
  </si>
  <si>
    <t>Construction/Improvement of Apad Lutao-Kuyaoyao FMR at Brgy. Kuyaoyao, Calauag, Quezon</t>
  </si>
  <si>
    <t>Purchase of 1-unit Mini Van with Roof Rack</t>
  </si>
  <si>
    <t>PROC-20-00306 Medical and Dental Equipment</t>
  </si>
  <si>
    <t>Request for the purchase of safety vault for the use of HRDO, Pasig City.</t>
  </si>
  <si>
    <t>LGU-COR. 2020-067</t>
  </si>
  <si>
    <t>Construction of Kunalum Centro-Sitio Ilaya FMR at Brgy. Kunalum, Calauag, Quezon</t>
  </si>
  <si>
    <t>RFQ for Milking Machine</t>
  </si>
  <si>
    <t>Procurement of Customized Medal for Integrated School</t>
  </si>
  <si>
    <t>Construction/Improvement of Tabansak-Sito Buli FMR at Brgy. Tabansak, Calauag, Quezon</t>
  </si>
  <si>
    <t>CONSTRUCTION/IMPROVEMENT OF MULTI-PURPOSE HALL AT BRGY. POBLACION, MABINI, BATANGAS</t>
  </si>
  <si>
    <t>Purchase &amp; Delivery of One (1) Unit Service Utility Vehicle for PGSO</t>
  </si>
  <si>
    <t>PROCUREMENT OF VARIOUS MATERIALS FOR THE FABRICATION OF ELEVATED WATER TANK STAND</t>
  </si>
  <si>
    <t>CONSTRUCTION OF EVACUATION/MULTI-PURPOSE COVERED COURT (PHASE 1) AT BRGY. MAJUBEN, MABINI, BATANGAS</t>
  </si>
  <si>
    <t>uplb-rq-6-075-20 Goods (Vehicel Parts and supplies for UPMO)</t>
  </si>
  <si>
    <t>Training For DOMRAC</t>
  </si>
  <si>
    <t>SUPPLY OF CATERING SERVICES</t>
  </si>
  <si>
    <t>CONTRACT OF SERVICE FURNISHING LABOR ONLY FOR THE REPAIR AND MAINTENANCE OF MACO CONFERENCE HALL, STOCK ROOM, 1 &amp; 2 , AND FITS CENTER</t>
  </si>
  <si>
    <t>Purchase of 2 Units Industrial UV Light 4 Fluorescent Bulb for Biliran Provincial Hospital</t>
  </si>
  <si>
    <t>Request For Quotation - Desktop Computer and Printer</t>
  </si>
  <si>
    <t>Purchase of 6 Pcs Bulb F30 T8 GL for UV Light &amp; 10 doz Natural Absorbable Round Taper for Biliran Provincial Hospital</t>
  </si>
  <si>
    <t>The Supply and Delivery of Isolation Gate Valves and Fittings for Air Scouring Implementation</t>
  </si>
  <si>
    <t>Purchase of 2200 Liters Diesel Fuel &amp; 7 Liters Oil Forte</t>
  </si>
  <si>
    <t>uplb-rq-6-076-20 Goods (Laboratory Equuipment for IBS)</t>
  </si>
  <si>
    <t>PURCHASE OF ONE (1) UNIT HEAVY DUTY BILL COUNTER</t>
  </si>
  <si>
    <t>Materials for Construction of Adjoining Room and Lavatory at SB Office</t>
  </si>
  <si>
    <t>Office Supplies &amp; Devices</t>
  </si>
  <si>
    <t>Request for Qoutation for the Supply and Delivery of  DPD Tablet</t>
  </si>
  <si>
    <t>Supply and Delivery of Construction Materials for the Rehabilitation of CAPT SUAREZ Pier</t>
  </si>
  <si>
    <t>Supply and Delivery of Construction Materials for Improvement of Multi-Purpose Building</t>
  </si>
  <si>
    <t>TWC Elevator Annual Preventive Maintenance</t>
  </si>
  <si>
    <t>PROCUREMENT OF TENT RENTAL (OCM – BARMM)</t>
  </si>
  <si>
    <t>Procurement of ICT Equipment for the establishment of Provincial Command Center for Assessment (PCCA)</t>
  </si>
  <si>
    <t>Supply and Delivery of Construction Materials for the Const. of School Perimeter Fence at Matusalem  National High School, Matusalem, Roxas, Isabela</t>
  </si>
  <si>
    <t>RENTAL / LEASE OF 180 UNITS OF DESKTOP COMPUTERS (6 MONTHS) CY 2020</t>
  </si>
  <si>
    <t>SUPPLY AND DELIVERY OF CD ONLINE READING MATERIALS  UNDER EMB-LEGAL- RFQ NO. EMB-LEGAL-SHOPPING-CD ONLINE READING-0031-6-01-2020</t>
  </si>
  <si>
    <t>CONSTRUCTION OF MULTI-PURPOSE COVERED COURT AT BRGY. NAG-IBA, MABINI, BATANGAS</t>
  </si>
  <si>
    <t>rechargeable lead acid battery - 12V - 7.2 Ah ( UPS Battery )</t>
  </si>
  <si>
    <t>Purchase &amp; Delivery of One (1) Unit Ambulance  for DCMMH</t>
  </si>
  <si>
    <t>Purchase &amp; Delivery of One (1) Unit Service Utility Vehicle for PGO</t>
  </si>
  <si>
    <t>Supply &amp; Delivery of Office Supplies</t>
  </si>
  <si>
    <t>Quotation No. 20-06-0343-Toner for Brother Printer: MFC-L5900DN TN-3478</t>
  </si>
  <si>
    <t>Request for Quotation for the Provision of Transportation Services to be used for the webinar series on hydroponics: Alternative to Soil Gardening Episode on July 2020</t>
  </si>
  <si>
    <t>PEST CONTROL OUTSOURCING SERVICE</t>
  </si>
  <si>
    <t>PROCUREMENT OF 2 LOTS CATERING SERVICES</t>
  </si>
  <si>
    <t>Construction/Improvement of Guinosayan FMR at Brgy. Guinosayan, Calauag, Quezon</t>
  </si>
  <si>
    <t>Repair/ Supply/ Delivery/ Maintenance and Replacement of Damaged Spare Parts of Various Vehicle</t>
  </si>
  <si>
    <t>Construction/Improvement of Capaluhan-Talinting FMR at Brgy. Capaluhan, Calauag, Quezon</t>
  </si>
  <si>
    <t>RFQ PR No. 2020-05-036 (Re-Advertised) Supply and Delivery of Office Supplies</t>
  </si>
  <si>
    <t>RFQ for Plankton Collector, etc</t>
  </si>
  <si>
    <t>60 pails Powder Chlorine, 65% available chlorine as calcium hypochlorite</t>
  </si>
  <si>
    <t>Procurement of Consultancy Services for the Preparation of RAPID Regional Strategic Investment Plan for Coffee in Region 9</t>
  </si>
  <si>
    <t>Office Supplies (Diploma Jacket)</t>
  </si>
  <si>
    <t>Supply &amp; Delivery of Laminated Marine Plywood, Powder Coated Post, Worktop Table</t>
  </si>
  <si>
    <t>latex paint - gloss , white</t>
  </si>
  <si>
    <t>Supply and Delivery of IT Parts &amp; Accessories for Marikina City Electrification Office</t>
  </si>
  <si>
    <t>Request for Quotation (ETSD-2020-06-0296 Tires)</t>
  </si>
  <si>
    <t>Purchase of Fuel for the Second Quarter (Rebidding)</t>
  </si>
  <si>
    <t>Purchase of Disinfectant for the Implementation of General Community Quarantine (GCQ) for Tricycle Drivers of the Office of the Vice Mayor, Ibaan, Batangas</t>
  </si>
  <si>
    <t>Procurement of the following service vehicles-B-20-0191</t>
  </si>
  <si>
    <t>Fabrication of Two (2) units Sidecars</t>
  </si>
  <si>
    <t>Installation of Street Lights (17 units)</t>
  </si>
  <si>
    <t>Supply and Delivery of Office Supplies for Official Use of Deped San Pedro Laguna</t>
  </si>
  <si>
    <t>05c-07-2020 - PURCHASE OF MEDICAL, DENTAL AND LABORATORY SUPPLIES</t>
  </si>
  <si>
    <t>PROCUREMENT OF OFFICE/SCHOOL SUPPLIES FOR ADOPT A SCHOOL IN NEW NORMAL</t>
  </si>
  <si>
    <t>Medicine for the Use of Siniloan Laguna RHU</t>
  </si>
  <si>
    <t>COMPLETION OF ULBUJAN MULTIPURPOSE COVERED COURT (EQUIPMENT ONLY) - ULBUJAN, CALAPE, BOHOL</t>
  </si>
  <si>
    <t>Procurement and Deliveries of Basic Sanitation Tunnel , etc., for use in DPWH, Albay 1st DEO (COVID19-Sanitation).</t>
  </si>
  <si>
    <t>Other Supplies &amp; Materials Expenses (PCADG-5020399000-1070-2020)</t>
  </si>
  <si>
    <t>RFQ 20-06-060, VINYL FLOOR STICKER</t>
  </si>
  <si>
    <t>RFQ 20-06-062 CORE i3 (QUAD CORES/ 4 THREADS, 3.7 GHz, 3Mb cache..</t>
  </si>
  <si>
    <t>Provision of Equipment, Other Supplies and Materials, Streamer for the Conduct of Summer INSET 2020</t>
  </si>
  <si>
    <t>Office Supplies Expenses (PCADG-5020301000-1074-2020)</t>
  </si>
  <si>
    <t>Procurement of Laptop for Office Use (MPDC)</t>
  </si>
  <si>
    <t>FOR NEW SERVICE CONNECTIONS</t>
  </si>
  <si>
    <t>Procurement of One Hundred Twelve (112) Sacks Fertilizers</t>
  </si>
  <si>
    <t>supply and delivery of advocacy materials for Mental Health Stress Debrief(B2) for DSWD FO10 staff</t>
  </si>
  <si>
    <t>SUPPLY AND DELIVERY OF ACCELERATOR GOVERNOR FOR CAT 320</t>
  </si>
  <si>
    <t>Improvement of Rice Processing Plant (1- Phase Line and Transformer hang-up).</t>
  </si>
  <si>
    <t>GOODS 2020-06-0005 PURCHASE OF TRANSPORT VEHICLE (AMBULANCE)</t>
  </si>
  <si>
    <t>Concreting of Barangay Road(Brgy Laboy)</t>
  </si>
  <si>
    <t>RHU MATERNAL CARE</t>
  </si>
  <si>
    <t>PR 20-06-0658</t>
  </si>
  <si>
    <t>Emergency Purchase o in response to covid19 dswd Office 33A</t>
  </si>
  <si>
    <t>FLOW METER</t>
  </si>
  <si>
    <t>Request for the purchase of facepass algorithm for the use of HRDO, Pasig City.</t>
  </si>
  <si>
    <t>RFQ for Streamer, etc</t>
  </si>
  <si>
    <t>Purchase of Medical Supplies Front Liners at Biliran Brigde COVID-19 Response</t>
  </si>
  <si>
    <t>Supply and Delivery of Construction Materials for the Repair of ENS MAJINI Pier Phase-III</t>
  </si>
  <si>
    <t>PROCUREMENT OF PRESIDENTIAL CHAIR (RE-POST)</t>
  </si>
  <si>
    <t>Supply and Delivery of Well Drilling Materials</t>
  </si>
  <si>
    <t>Multi Purpose Vehicle etc. (06-0640)CMO</t>
  </si>
  <si>
    <t>BANGUS PRODUCTION AND MARKETING - CALAPE, BOHOL</t>
  </si>
  <si>
    <t>PR 20-06-0657</t>
  </si>
  <si>
    <t>Supply and Delivery of Foot Pedal Bin &amp; 5 others</t>
  </si>
  <si>
    <t>Blue Guard Security Services</t>
  </si>
  <si>
    <t>Supply and Delivery of Furniture and Fixtures</t>
  </si>
  <si>
    <t>Purchase of Materials to be used for Street Lighting</t>
  </si>
  <si>
    <t>CONSTRUCTION OF DRAINAGE CANAL, DANGOY</t>
  </si>
  <si>
    <t>20CSHL0001 - Consulting Services for the conduct of Geotechnical Investigation for Widening of Permanent Bridges along Dumaguete South Road:</t>
  </si>
  <si>
    <t>Goods2020-05-007 -Purchase of four (4) pcs. Tire,Tubeless (Size: 265/70/ R17) MT for one (1) unit Mitsubishi STRADA  (Field Master) w/ DPWH No. H1-6111 (NLO733) &amp; Work Order No. R05-A6-20-CP-0073 date</t>
  </si>
  <si>
    <t>20GN0091-Repair/Maintenance of DPWH Building, DPWH Field Office Laboratory &amp; Living Quarters Buildings at Brgy. Lag-asan, Bago City, Negros Occidental</t>
  </si>
  <si>
    <t>For the Use of Siniloan Laguna RHU (Medicines)</t>
  </si>
  <si>
    <t>Pea Sized Gravel etc. (03-0418) CEO</t>
  </si>
  <si>
    <t>Proposed repair/rehabilitation of road including construction of drainage at Brgy. San Gabriel, San Pablo City.</t>
  </si>
  <si>
    <t>Construction Materials and Supplies for use in the Construction of Stockroom at Brgy. Hall, Bagong Buhay, Naujan, Oriental Mindoro/ Construction of Covered Pathwalk at Antipolo E/S, Naujan, Oriental M</t>
  </si>
  <si>
    <t>Emergency Purchase o in response to covid19 dswd Office 30A</t>
  </si>
  <si>
    <t>Supply and Delivery of Office Equipment and Consumables for Offiicial Use of Deped San Pedro Laguna</t>
  </si>
  <si>
    <t>BPSU:OC-BPE and BSESS Instruction</t>
  </si>
  <si>
    <t>INSTALLATION (Purchase) OF CCTV - SAN JUAN, ILOCOS SUR</t>
  </si>
  <si>
    <t>Purchase of Various Office Supplies and Equipments</t>
  </si>
  <si>
    <t>IMPROVEMENT OF BASKETBALL RING AT BARANGAY IMELDA</t>
  </si>
  <si>
    <t>For the use of Malaybalay City Jail Office.</t>
  </si>
  <si>
    <t>To provide assorted fruit tress seedlings for the affected farmers of COVID-19 @ Shorelines, Easternlines @ Masaralines Brgys.</t>
  </si>
  <si>
    <t>various laboratory chemicals/reagents</t>
  </si>
  <si>
    <t>Purchase of Butanol and Lab Supplies of UPV Marfish ( RFQ 2019-3345A</t>
  </si>
  <si>
    <t>Training Expense-Php59,328.41 JSOG</t>
  </si>
  <si>
    <t>CONSTRUCTION OF DRAINAGE CANAL W/ COVER ( PHASE I) - PRENZA, BALAMBAN, CEBU</t>
  </si>
  <si>
    <t>Security Services for DepEd Misamis Oriental</t>
  </si>
  <si>
    <t>Repair and Maintenance of Water System (Barangay PUGON)</t>
  </si>
  <si>
    <t>Purchase of Rice to use as relief goods for COVID-19 Pandemic of Barangay Dawahon Bato, Leyte</t>
  </si>
  <si>
    <t>Chemical Product</t>
  </si>
  <si>
    <t>Angle Bar etc. (06-0568) CEO</t>
  </si>
  <si>
    <t>Steel Tubing - Project 2</t>
  </si>
  <si>
    <t>20CSAC06 - Geotechnical Investigation of the Proposed CY 2020 Construction of Flood Control Set 4</t>
  </si>
  <si>
    <t>Repair &amp; Maintenance of Office Building</t>
  </si>
  <si>
    <t>Dining table - Project 2</t>
  </si>
  <si>
    <t>Procurement of Supplies and Materials for the Repair of Ceiling, Roofing Works and Tile Works at 5th Floor of NEAP-RELC MIMAROPA at Poblacion, Puerto Galera, Oriental Mindoro</t>
  </si>
  <si>
    <t>PURCHASE 100 PCS. COVID-19 ANTIBODY TESTING KITS.</t>
  </si>
  <si>
    <t>Procurement of Multi Commodity Solar Tunnel Drier &amp; Tamban PR # 2018-05-11-199</t>
  </si>
  <si>
    <t>PURCHAE OF DIESEL POWERED GENERATOR FOR BARANGAY BILOGO TAYSAN BATANGAS</t>
  </si>
  <si>
    <t>Test tubes - Project 2</t>
  </si>
  <si>
    <t>Training and Training Related Activities (KSL and Technical Briefing) Batch 14</t>
  </si>
  <si>
    <t>Purchase of Protective Supplies and Materials for COVID 19</t>
  </si>
  <si>
    <t>Installation of Street Lighting at 60 Poles per Barangay at Bahay, Lindogon, Tubod &amp; Simala, Sibonga, Cebu</t>
  </si>
  <si>
    <t>Purchase &amp; Delivery of Office Supplies &amp; Consumables for the Office of SPM Efren Sr,. A. Rafanan</t>
  </si>
  <si>
    <t>Other Supplies &amp; Materials Expenses (PCADG-5020399000-1075-2020)</t>
  </si>
  <si>
    <t>Various Inks</t>
  </si>
  <si>
    <t xml:space="preserve">20NF0068:CONSTRUCTION OF RWCS (2020 CLUSTER)_Re-Ad A.	CONSTRUCTION OF RWCS @ STA. PAZ PRIMARY SCHOOL, BRGY. STA. PAZ, SAN ISIDRO, SURIGAO DEL NORTE B.	CONSTRUCTION OF RWCS @ PELAEZ ELEMENTARY SCHOOL, </t>
  </si>
  <si>
    <t>CONSTRUCTION OF PUBLIC TOILET OF LINUAN</t>
  </si>
  <si>
    <t>Parafilm - Project 2</t>
  </si>
  <si>
    <t>Repair/Maintenance of DPWH Metro Manila II District Engineering Office, Sub-Office, Sucat Road, Parañaque City, Metro Manila</t>
  </si>
  <si>
    <t>RFQ No. 20-0576 NP-SVP - Supply and Delivery of Philippine National Flag, Flexibox Classic and Travel Umbrella</t>
  </si>
  <si>
    <t>Procurement for the Cleaning Services of Aurconditioning Units in DepEd MIMAROPA Region</t>
  </si>
  <si>
    <t>Regular Bidding 30/June/2020 - Procurement of Goods: Const'n Materials for the use of DEPED (Completion of Perimeter Fence at Pagsabangan Elementary School) (PR#200-20-06-0165)</t>
  </si>
  <si>
    <t>REQUEST FOR QUOTATION-PURCHASE OF CELLPHONE</t>
  </si>
  <si>
    <t>Supply and delivery of Misting Machine and Solution for Anti-Dengue Program of the  City of Sto. Tomas, Batangas</t>
  </si>
  <si>
    <t>Procurement of Office and Consumables for 2nd Quarter of 2020</t>
  </si>
  <si>
    <t>2020-06-0026 - IT EQUIPMENT FOR BUDGET OFFICER, EPS-LR, TOP MANAGEMENT</t>
  </si>
  <si>
    <t>For the use of Malaybalay City Fire Station.</t>
  </si>
  <si>
    <t>Procurement of Medicines and Medical Supplies for ILHZ Medical and Dental Activities</t>
  </si>
  <si>
    <t>Face Mask - Project 2</t>
  </si>
  <si>
    <t>Construction Materials and Supplies for use in the Rehabilitation of Barangay Hall at Barangay Zone III, Socorro, Oriental Mindoro/ Rehabilitation of Barangay Hall at Barangay Zone I, Socorro, Orienta</t>
  </si>
  <si>
    <t>PROCUREMENT OF ONE (1) UNIT BRAND NEW AMBULANCE (RE-BID)</t>
  </si>
  <si>
    <t>Concreting of Barangay Road (Brgy Salay)</t>
  </si>
  <si>
    <t>Purchase of Eye Scanner and Camera for Treasurers Office Documentation</t>
  </si>
  <si>
    <t>Request for Quotation for the Provision of Transportation services to ferry ATI Staff, guests and participants on official business for July-September 2020.</t>
  </si>
  <si>
    <t>Training for DOMRAC</t>
  </si>
  <si>
    <t>Supply and Delivery of Materials for Proposed Construction of Open canal(outfall) at Brgy.Bagong Silang,City of San Pedro Laguna</t>
  </si>
  <si>
    <t>Quotation No. 20-06-0345-Storage Cabinet Five Shelves</t>
  </si>
  <si>
    <t>Quotation No. 20-06-0344-Laminator</t>
  </si>
  <si>
    <t>Progestin Sub-dermal Implant Removal &amp; Re-insertion (Purchase of Implanon)</t>
  </si>
  <si>
    <t>Purchase of Land Transportation (2 Units Pick up)</t>
  </si>
  <si>
    <t>PEO-2020-0154 Rebidding INVITATION TO BID FOR THE PROCUREMENT OF DIESEL</t>
  </si>
  <si>
    <t>Procurement and Delivery of ICT and Office Equipment and Furniture and Fixture to Various Offices</t>
  </si>
  <si>
    <t>Repair/Maintenance of DOTR Building, LTO Building, Parañaque City, Metro Manila</t>
  </si>
  <si>
    <t>Supply and Delivery of Submersible Pump 5Hp</t>
  </si>
  <si>
    <t>INSTALLATION OF WATER LINE AND TWO(2) UNITS OUTDOOR LAVATORY AT PRK. 25 - BRGY. HEALTH CENTER &amp; DAY CARE CENTER IV</t>
  </si>
  <si>
    <t>Construction/Rehabilitation of Drainage Canal Cover</t>
  </si>
  <si>
    <t>20CN0068 - Construction of Slope Protection Along A. Castañeda – Ma. Aurora San Luis Road, (K0211+175 – K0211+310), Aurora</t>
  </si>
  <si>
    <t>PROCUREMENT OF DIESOLINE FOR COVID OPERATIONS AND OTHER DRRM RELATED ACTIVITIES -1ST POSTING (ITB No. 20-Goods-2020)</t>
  </si>
  <si>
    <t>INVITATION TO BID FOR THE SUPPLY &amp; DELIVERY OF VARIOUS MATERIALS-MIF FOR SB-JPM WITH PR#2020-GF-06-313 AND ABC OF P 50,790.00</t>
  </si>
  <si>
    <t>Supply of Labor and materials for the repair of Storage Room at NSPRDC, Tiaong, Quezon</t>
  </si>
  <si>
    <t>GSD J-20-297 CPU BOX [SSD]</t>
  </si>
  <si>
    <t>Computer w/ Printer (complete accessories)MHO</t>
  </si>
  <si>
    <t>RFQ for View Binder and Clear Sheets</t>
  </si>
  <si>
    <t>Purchase of Seeds, Fertilizers, Insecticides and Fungicide for the Cacao Nursery Program of Provincial Governor’s Office</t>
  </si>
  <si>
    <t>PROPOSED DRAINAGE &amp; REPAIR OF ROOFING (POLICE STATION)</t>
  </si>
  <si>
    <t>PROCUREMENT OF SECURITY SERVICES FOR 3rd – 4th QUARTER CY 2020</t>
  </si>
  <si>
    <t>CONSTRUCTION OF DRAINAGE CANAL</t>
  </si>
  <si>
    <t>PURCHASE OF HARDWARE AND CONSTRUCTION MATERIALS FOR LIBERTAD CES</t>
  </si>
  <si>
    <t>PERIMETER FENCING OF MULTI-PURPOSE HALL</t>
  </si>
  <si>
    <t>20CN0067 - Construction of Slope Protection Along A. Castañeda – Ma. Aurora San Luis Road, (K0198+120 – K0198+171.84), Aurora</t>
  </si>
  <si>
    <t>Construction of Nangaligan Box Culvert</t>
  </si>
  <si>
    <t>Supply &amp; Delivery of Various Gun Parts use for the repair &amp; maintenance of Two (2) units M4 Asault Riffle of PNP, Himamaylan City</t>
  </si>
  <si>
    <t>Emergency Purchase o in response to covid19 dswd Office 34A</t>
  </si>
  <si>
    <t>HO-LVD20-002 - Supply of Labor, Tools &amp; Equipment for Accuracy Testing of 21 IPP Revenue Meters</t>
  </si>
  <si>
    <t>LOT Procurement of MEDICAL SUPPLIES for the Use of DOPMC</t>
  </si>
  <si>
    <t>IMPROVEMENT OF DRAINAGE SYSTEM AT GUIJO ROAD</t>
  </si>
  <si>
    <t>RFQ No. 20-06-038P Supply and Delivery of Matting Heavy Traffic</t>
  </si>
  <si>
    <t>PR 1-20-02-0375, FOR THE USE OF OF BUREAU OF JAIL MANAGEMENT AND PENOLOGY OFFICE.</t>
  </si>
  <si>
    <t>PR 1-20-03-0418, FOR USE OF THE CITY ENVIRONMENT MANAGEMENT OFFICE, CEMO, THIS CITY.</t>
  </si>
  <si>
    <t>FOR DOH OFFICE SUPPLIES</t>
  </si>
  <si>
    <t>Procurement of 5 cart toner, Black, Epson 9731 etc. for use in the Planning &amp; Design Section</t>
  </si>
  <si>
    <t>SUPPLY OF LABOR AND MATERIALS FOR EXTENSION OF INFORMATION AREA OF NPQSD-CENTRAL OFFICE BUILDING</t>
  </si>
  <si>
    <t>Procurement of Agricultural Inputs</t>
  </si>
  <si>
    <t>RFQ for Limestone</t>
  </si>
  <si>
    <t>Repair/Maintenance/Rehabilitation of DOF-BIR Makati, Senator Gil Puyat Ave., Makati City, Metro Manila</t>
  </si>
  <si>
    <t>Construction Of Open Line Canal</t>
  </si>
  <si>
    <t>Purchase of materials for Maintenance of Barangay Patrol</t>
  </si>
  <si>
    <t>PURCHASE OF ONE UNIT MOTOR VEHICLE FOR MUNICIPAL BIDS AND AWARDS COMMITTEE OFFICE USE</t>
  </si>
  <si>
    <t>Supply of Fuel (Diesoline/Gasoline) for LGU Operations</t>
  </si>
  <si>
    <t>HO-TFM20-037 - Preventive Maintenance Cleaning and Replacement of Water Filter, Ultra Violet, Carbon and Chemical Cleaning of 17 units Drinking Fountains at NPC-Head Office</t>
  </si>
  <si>
    <t>Procurement of 2 Units Floor Mounted Aircon for the Use of PDRRMO</t>
  </si>
  <si>
    <t>Purchase of various materials for the repair/maintenance of various vehicles/heavy equipment use in LGU Villasis, Pangasinan</t>
  </si>
  <si>
    <t>Improvement of Covered Court</t>
  </si>
  <si>
    <t>PROCUREMENT OF 1 LOT VEHICLE PARTS &amp; ACCESSORIES</t>
  </si>
  <si>
    <t>Purchase of Materials for the Const.of Meat processing Center at Brgy. Opong, Tolosa, Leyte</t>
  </si>
  <si>
    <t>CONSTRUCTION OF CONCRETE PAVEMENT AT PUROK 1 LAUBAN</t>
  </si>
  <si>
    <t>IMPROVEMENT OF SITIO DARUC WATER SUPPLY</t>
  </si>
  <si>
    <t>REQUEST FOR QUOTATION FOR THE  PURCHASE AND INSTALLATION OF IT EQUIPMENT</t>
  </si>
  <si>
    <t>PR 1-20-02-0381, FOR USE OF CITY HEALTH OFFICE.</t>
  </si>
  <si>
    <t>Water System (Brgy Borlongan)</t>
  </si>
  <si>
    <t>Supply and Delivery of Office supplies to be used for Admin and Finance Section</t>
  </si>
  <si>
    <t>Construction of Kamudyawan Slope Protection Phase III</t>
  </si>
  <si>
    <t>Bid No. 20-0282 - PROCUREMENT OF VEHICLE - SB/LEGISLATIVE OFFICE</t>
  </si>
  <si>
    <t>Construction of Rainwater Collector System (RWCS), Parañaque City, Metro Manila</t>
  </si>
  <si>
    <t>FOR MBO USED</t>
  </si>
  <si>
    <t>meals and accommodation for Mental Health Stress Debrief(B1) for DSWD FO10</t>
  </si>
  <si>
    <t>Chemicals - Project 2</t>
  </si>
  <si>
    <t>Purchase of uniform of barangay Officials</t>
  </si>
  <si>
    <t>IMPROVEMENT OF BARANGAY MATIM</t>
  </si>
  <si>
    <t>CONCRETING OF PUROK 1, MALTANA ROAD</t>
  </si>
  <si>
    <t>PROCUREMENT OF OFFICE SUPPLIES AND CONSUMABLES FOR USE OF THE SANGGUNIANG BAYAN</t>
  </si>
  <si>
    <t>RFQ for Sim Card and Load Card</t>
  </si>
  <si>
    <t>Procurement and Delivery of Construction Supplies and Materials for the Concreting of San Isidro-Kibalus Road</t>
  </si>
  <si>
    <t>PR 1-20-03-0426, CONSTRUCTION OF 6 STOREY CITY HALL ANNEX BUILDING PHASE 2 - (GROUND FLOOR).</t>
  </si>
  <si>
    <t>HO-TFM20-038 - Supply of Labor and Materials for the Preventive Maintenance of Multi-Media Water Purifier at Basement, NPC-Head Office, Diliman, Quezon City</t>
  </si>
  <si>
    <t>Completion of brgy. Multipurpose Hall</t>
  </si>
  <si>
    <t>Supply, Installation and Delivery of Integrated Solar Lights.</t>
  </si>
  <si>
    <t>HO-TFM20-039 - Supply of Labor and Tools for the Preventive Maintenance of the Water Sprinkler System at NPC-Head Office, Diliman, Quezon City</t>
  </si>
  <si>
    <t>Procurement of 400 pieces Water Meter for New Connections and Change Meter</t>
  </si>
  <si>
    <t>Procurement of Hazard Material Suit</t>
  </si>
  <si>
    <t>GF-20-02-00117 - Various Office Supplies (Ballpen, Envelope and Others)</t>
  </si>
  <si>
    <t>DISMANTLING &amp; RETRIEVAL OF DAMAGE BUENOS AIRES BAILEY BRIDGE, BRGY. ILIJAN, BAGO CITY</t>
  </si>
  <si>
    <t>materials for replacement/maintenance of jetmatic handpumps @ various barangay, Cadiz City</t>
  </si>
  <si>
    <t>Water System Phase 2 (Brgy Dibutunan)</t>
  </si>
  <si>
    <t>PROCUREMENT OF LGU VEHICLE FUELS AND LUBRICANTS</t>
  </si>
  <si>
    <t>Training on Vegetable Production/Cash Crop Production</t>
  </si>
  <si>
    <t>Repair/Maintenance of DILG Building, NAPOLCOM Building, Makati City, Metro Manila</t>
  </si>
  <si>
    <t>materials foe installation of water supply pipelines, Cadiz City Food PArk, Brgy. Zone IV, Cadiz City</t>
  </si>
  <si>
    <t>Procurement of one unit Emergency Rescue Vehicle</t>
  </si>
  <si>
    <t>(SBMA-BAC-GOODS-ITB-08-20) Supply and Delivery of Various Office Supplies</t>
  </si>
  <si>
    <t>CONSTRUCTION OF BARANGAY HEALTH STATION (BARANGAY LOS ANGELES, MAGSAYSAY, PALAWAN)</t>
  </si>
  <si>
    <t>Food Supplies Expenses (PCADG-5020305000-1076-2020)</t>
  </si>
  <si>
    <t>Emergency Purchase o in response to covid19 mdrrm Office 35A</t>
  </si>
  <si>
    <t>Supply and Delivery of IT Supplies and Accessories</t>
  </si>
  <si>
    <t>Supply and Delivery of Various Construction Materials and Supplies for Parks Development Office</t>
  </si>
  <si>
    <t>CONTINUATION FOR THE CONCRETING OF THE ACCESS ROAD TO SANITARY LANDFILL, BALANTOY</t>
  </si>
  <si>
    <t>SUPPLY, DELIVERY &amp; INSTALLATION OF ROLLER BLINDS</t>
  </si>
  <si>
    <t>MOOE-dahes</t>
  </si>
  <si>
    <t>PR 1-20-03-0438, FOR USE OF BAC SECRETARIAT &amp; PROCUREMENT DIVISION OF CITY MAYOR'S OFFICE, THIS CITY.</t>
  </si>
  <si>
    <t>Materials for Backfilling of School Ground</t>
  </si>
  <si>
    <t>PURCHASE AND REPLACEMENT OF DAMAGED FIRE PUMP FOR THE LGU FIRETRUCK</t>
  </si>
  <si>
    <t>Procurement of 4 unit meter tap, 10 meter etc. for use in the Planning &amp; Design Section</t>
  </si>
  <si>
    <t>Meals and snacks for the conduct of Training on Animal Health Care Management  for Barangay Animal Health Workers (BAHW)</t>
  </si>
  <si>
    <t>CONSTRUCTION OF TWO(2)-STOREY PROCESSING BUILDING WITH WAREHOUSE IN SUPPORT TO THE GEONET PRODUCTION AND MARKETING ENTERPRISES</t>
  </si>
  <si>
    <t>Acquisition of Third - Party Research Agency Conduct of the GCG Prescribed Customer Satisfaction Survey</t>
  </si>
  <si>
    <t>CONSTRUCTION OF CANAL LINING WITH PATHWAY AT P.BURGOS ST. KANLURAN ROSARIO,CAVITE (PHASE 2)</t>
  </si>
  <si>
    <t>Concrete Paving of Cleveland Street</t>
  </si>
  <si>
    <t>PR 1-20-03-0435, FOR USE OF ADMINISTRATIVE, CITY ENGINEERING DEPARTMENT.</t>
  </si>
  <si>
    <t>SUPPLY AND INSTALLATION OF CEILING FANS ON VARIOUS ECHP PROJECT (CONST. &amp; REPAIR)</t>
  </si>
  <si>
    <t>SUPPLY AND DELIVERY OF ELEVEN UNIT TENT,M OUTDOOR, 8x8</t>
  </si>
  <si>
    <t>PROCUREMENT OF MAYORS PERMIT FORMS FOR MAYOR'S OFFICE</t>
  </si>
  <si>
    <t>Executive Chair, long, black with arm rest</t>
  </si>
  <si>
    <t>Supply &amp; delivery of Radiology Supplies for use at the Laoag City General Hospital, Laoag City</t>
  </si>
  <si>
    <t>Supply &amp; Delivery of Materials for the  Construction of Washing Area and Kitchen and Installation of Portable Handwashing Facility</t>
  </si>
  <si>
    <t>Air Conditioners</t>
  </si>
  <si>
    <t>Refresher Course for Seed Growers</t>
  </si>
  <si>
    <t>RENOVATION OF COMFORT ROOM (GRPMHS-ANNEX)</t>
  </si>
  <si>
    <t>Repair &amp; Maintenance of Municipal vehicles &amp; Dumptrucks</t>
  </si>
  <si>
    <t>PR 1-20-03-0444, FOR USE OF THE 2ND MANEUVER PLATOON, 605TH MOBILE FORCE COMPANY, REGIONAL MOBILE FORCE BATTALION 6, THIS CITY.</t>
  </si>
  <si>
    <t>Supply / Delivery of Hospital Supplies</t>
  </si>
  <si>
    <t>AHWD 2020-06-139 - Supply and delivery of office supplies for use in Animal Health and Welfare Division</t>
  </si>
  <si>
    <t>PROCUREMENT OF MEDICAL INSTRUMENTS FOR OR USE</t>
  </si>
  <si>
    <t>Procurement of Canvass Bag &amp; Tags - NIPSC Estancia Campus</t>
  </si>
  <si>
    <t>SEF-20-02-00378 - LED TV AND WALL FAN</t>
  </si>
  <si>
    <t>Catering Services serve during Turn-over and Oath Taking Ceremony of New OSCA Head</t>
  </si>
  <si>
    <t>Supply and Delivery of Construction Materials for the use of City Engineer’s Office</t>
  </si>
  <si>
    <t>PURCHASE OF ONE UNIT MOTOR VEHICLE FOR MUNICIPAL AGRICULTURE OFFICE USE</t>
  </si>
  <si>
    <t>SD of 40 pcs G.I. Corrugated roofing sht nr26 x 10 ft &amp; 69 others</t>
  </si>
  <si>
    <t>For Construction of Administration Building 2nd Gate Entrance Covered Walk, Phase 2</t>
  </si>
  <si>
    <t>PROCUREMENT OF CARPENTRY MAINTENANCE</t>
  </si>
  <si>
    <t>Repair and Improvement of Gov. FGR Sports Complex</t>
  </si>
  <si>
    <t>Procurement and Delivery of Construction Supplies and Materials for the Concreting of Cesar-Calawag Road</t>
  </si>
  <si>
    <t>Purchase of Passenger Van</t>
  </si>
  <si>
    <t>Bid No. 20-0283 - PROCUREMENT OF OFFICE EQUIPMENT - MO/RADIO ROOM SECTION</t>
  </si>
  <si>
    <t>Supply &amp; Delivery of Materials for the  Repair of School Building – Villaflor Elementary School</t>
  </si>
  <si>
    <t>Supply &amp; Delivery of Materials for the  Concrete Pavement and Repair of Drainage Canal –  Puerto Galera National High School</t>
  </si>
  <si>
    <t>SPARE PARTS FOR THE REPAIR AND MAINTENANCE OF THE GOVERNMENT VEHICLES OF THE LGU (PB-LAP-2020-70)</t>
  </si>
  <si>
    <t>Supply of eight (8) units Thermocouple Thermometer Two Channel Thermometer</t>
  </si>
  <si>
    <t>SUPPLY AND DELIVERY OF DIGITAL CORDLESS PHONE WITH 1 HANDSET UNDER EMB-EIAMD RFQ NO. EMB-EIAMD-SHOPPING-0028-3-09-2020-3rd Posting</t>
  </si>
  <si>
    <t>20AA0349 - REPAINTING/MAINTENANCE OF MANGATO BRIDGE (B02760LZ) K0485+339 ALONG LAOAG-BALACAD ROAD AND SAN MATEO BRIDGE (B00769LZ) K0492+207 ALONG LAOAG-SARRAT-PIDDIG-SOLSONA ROAD, LAOAG CITY, ILOCOS N</t>
  </si>
  <si>
    <t>Bid No. 20-0318 - PROCUREMENT OF AGRICULTURAL PRODUCTS (SEEDLINGS) - MENRO/ ESTABLISHMENT OF ROAD GREENBELT</t>
  </si>
  <si>
    <t>PR 1-20-03-0462, FOR USE OF VARIOUS EQUIPMENT ASSIGNED AT CED, THIS CITY.</t>
  </si>
  <si>
    <t>Supply and Delivery of Kabuhayan Individual Starter and Enhancement kits (Fruits, Drinks and Supplies)</t>
  </si>
  <si>
    <t>2020 TERMITE TREATMENT AND CONTROL FOR SSS ZAMBOANGA BRANCH</t>
  </si>
  <si>
    <t>Office Supplies Expenses (PCADG-5020301000-1077-2020)</t>
  </si>
  <si>
    <t>Supply and Delivery of Office Furniture, Devices and Electrical, Building and Utility Supplies</t>
  </si>
  <si>
    <t>PURCHASE OF ASSORTED LABORATORY SUPPLIES FOR THE MUNICIPAL HEALTH OFFICE LABORATORY SERVICES</t>
  </si>
  <si>
    <t>Procurement of Airconditioning and Cabinets for TNHS &amp; GHS</t>
  </si>
  <si>
    <t>Improvement of Brgy. Multipurpose Building, Brgy. Ninoy Aquino City (AIP 2020)</t>
  </si>
  <si>
    <t>Procurement of HDPE Pipe and Compression Fittings for the Improvement of Sta. Elena Water System</t>
  </si>
  <si>
    <t>SD of 360 units Cot Bed</t>
  </si>
  <si>
    <t>Supply and Delivery of Agricultural Equipment for Banana Production, Processing and Marketing Project under DAR-MINSAAD</t>
  </si>
  <si>
    <t>Installation of Closed Circuit Television</t>
  </si>
  <si>
    <t>Purchase of Hardware and Construction Materials (PR NO. 100(01)20-02-0558)</t>
  </si>
  <si>
    <t>PR 1-20-03-0446, TO BE USE BY THE CITY TOURISM OFFICE.</t>
  </si>
  <si>
    <t>Purchase of Collapsible Tents</t>
  </si>
  <si>
    <t>PROCUREMENT OF LARGE MOBILE STAND ROUND FACE ANEROID SPHYGMOMANOMETER</t>
  </si>
  <si>
    <t>Partition of Session Hall</t>
  </si>
  <si>
    <t>T. AWAD ECHEVARRIA ELEM SCHOOL - GENERAL MERCHANDISE</t>
  </si>
  <si>
    <t>Request for Quotation Of Lumiad E/S and Victor Bernal Integrated School</t>
  </si>
  <si>
    <t>Representation Expenses (AFPPS-PhP63,600.00)</t>
  </si>
  <si>
    <t>Concrete Elevated Water Tank (Public Market)</t>
  </si>
  <si>
    <t>Procurement of Sound System</t>
  </si>
  <si>
    <t>Purchase of office equipment to be use at the Municipal Social Welfare and Development Office</t>
  </si>
  <si>
    <t>Supply of one (1) unit Multi-parameter Meter</t>
  </si>
  <si>
    <t>Supply and Delivery of Document Scanner</t>
  </si>
  <si>
    <t>Other Supplies &amp; Materials Expenses (PCADG-5020399000-1078-2020)</t>
  </si>
  <si>
    <t>Office Equipment Supplies and Consumables</t>
  </si>
  <si>
    <t>For Organic Agriculture Production NC II</t>
  </si>
  <si>
    <t>Printing &amp; Publication Expenses (PCADG-5029902000-1079-2020)</t>
  </si>
  <si>
    <t>ID CASE WITH LANYARD FOR STUDENTS ID</t>
  </si>
  <si>
    <t>Procurement and Delivery of Construction Supplies and Materials for the Construction of  Drainage</t>
  </si>
  <si>
    <t>FOR THE INSTALLATION OF OFFICE CUBICLES OF GYMPLEX</t>
  </si>
  <si>
    <t>Procurement of 23 Desktop CPU</t>
  </si>
  <si>
    <t>SUPPLY AND DELIVERY OF CONSTRUCTION MATERIALS FOR THE CONSTRUCTION OF STEEL BILLBOARD FRAMES (PB-LAP-2020-069)</t>
  </si>
  <si>
    <t>1 lot Catering services of OG3,PA (Attached is the Terms and Conditions)</t>
  </si>
  <si>
    <t>PROCUREMENT OF SERVICE CONNECTION SUPPLIES</t>
  </si>
  <si>
    <t>Supply and Delivery of Filling Materials (Phase 2) for Municipal Site Development, Lavezares N. Samar</t>
  </si>
  <si>
    <t>Supply and Delivery of Equipments for College Clinic use</t>
  </si>
  <si>
    <t>PR 1-20-05-0581, FOR USE OF THE NEGROS OCCIDENTAL POLICE PROVINCIAL OFFICE.</t>
  </si>
  <si>
    <t>Emergency Purchase in response to covid19 V.Mayor Office 36A</t>
  </si>
  <si>
    <t>PR 1-20-06-0693, FOR USE OF VARIOUS SERVICE VEHICLES &amp; OTHER EQUIPMENTS ASSIGNED AT THE OFFICE OF THE CITY AGRICULTURIST.</t>
  </si>
  <si>
    <t>Supply and Delivery of Pest Control Products and Other Supplies</t>
  </si>
  <si>
    <t>Supply and Delivery of DESKTOP COMPUTER (BRANDED)</t>
  </si>
  <si>
    <t>Completion of Brgy. VAWC Building</t>
  </si>
  <si>
    <t>GF-20-02-00119 LATERAL STEEL FILING CABINET AND MOBILE STORAGE CABINET</t>
  </si>
  <si>
    <t>PR 1-20-06-0638, FOR USE OF OFFICE SERVICE VEHICLE IN LINE WITH ECCD FOR THE FIRST 1000 DAYS MONITORING OF 18 BRGYS.</t>
  </si>
  <si>
    <t>Purchase of Office Equipment use in the Office of Municipal Mayor</t>
  </si>
  <si>
    <t>General Repair and Maintenance Services for Green St., Concepcion 2 (PUMPING STATION), Engineering, Marikina City</t>
  </si>
  <si>
    <t>G-2020-339 Supply and Delivery of Meals &amp; Snacks, Sangguniang Panlungsod</t>
  </si>
  <si>
    <t>Printer (A3 B&amp;W Multifunctional)</t>
  </si>
  <si>
    <t>FOR TRACTOR MAINTENANCE</t>
  </si>
  <si>
    <t>PURCHASE OF DIESEL FOR PNP PATROL CAR</t>
  </si>
  <si>
    <t>Supply and Delivery of Fuel and Lubricants for the Rescue Vehicles</t>
  </si>
  <si>
    <t>Supply and Delivery of cement and aggregates</t>
  </si>
  <si>
    <t>Supply and Delivery of 1 set - Multi beam Sensor for Mitsubishi Elevator as per PR 20-03-0247</t>
  </si>
  <si>
    <t>Procurement of Diesel Fuel for TSP-SPM Rainera M. Nazareno service vehicle.</t>
  </si>
  <si>
    <t>PR 1-20-06-0701, FOR THE USE OF THE CPDC OFFICE.</t>
  </si>
  <si>
    <t>Supply and Delivery of Various Supplies for the use of City Mayor’s Office</t>
  </si>
  <si>
    <t>Purchase of various Medicine</t>
  </si>
  <si>
    <t>PROCUREMENT OF DRUGS AND MEDICINES</t>
  </si>
  <si>
    <t>SD of 1 set IBM Storage Expansion &amp; 1 other</t>
  </si>
  <si>
    <t>SUPPLY AND DELIVERY OF NOTEBOOK/LAPTOP COMPUTER UNDER EMB-EIAMD RFQ NO. EMB-EIAMD-SHOPPING-0030-6-22-2020-3rd Posting</t>
  </si>
  <si>
    <t>Supply and Delivery of Medicines and Medical Supplies</t>
  </si>
  <si>
    <t>PROCUREMENT OF HDPE PIPES SUPPLIES</t>
  </si>
  <si>
    <t>Supply and Delivery of HDPE Pond Liner</t>
  </si>
  <si>
    <t>Replacement of Balulan Bridge along Manapla Punta Balulan Road, Manapla, Neg. Occ. PEO-2020-0722</t>
  </si>
  <si>
    <t>Construction of Legislative Building (Phase 5)</t>
  </si>
  <si>
    <t>Procurement of Rehabilitation (Fuel and Lubricants)</t>
  </si>
  <si>
    <t>for RHU Consultation</t>
  </si>
  <si>
    <t>PROCUREMENT AND DELIVERY OF ICT EQUIPMENT FOR TOURISM OFFICE, MENR OFFICE &amp; OMM-SLAUGHTERHOUSE</t>
  </si>
  <si>
    <t>BID BULLETIN NO.1 - SUPPLY AND DELIVERY OF TIRES AND BATTERIES FOR GOVERNMENT HEAVY EQUIPMENT USE</t>
  </si>
  <si>
    <t>G-2020-347 Supply and Delivery of Office &amp; Janitorial Supplies, Sangguniang Panlungsod</t>
  </si>
  <si>
    <t>Drugs and Medicines Expense-P59,262.00 JTF</t>
  </si>
  <si>
    <t>Provision of Solar Panel for damaged units at barangay Poblacion</t>
  </si>
  <si>
    <t>SD of 2 pcs Work Table stainless 122" x 44"</t>
  </si>
  <si>
    <t>Supply and Delivery of HDPE Tubing and Plastic Fitting Requirements of the SMWD for CY 2020</t>
  </si>
  <si>
    <t>Supply and Delivery of Network Cable, CAT 6, COLOR BLUE/GREY/WHITE</t>
  </si>
  <si>
    <t>Procurement of Printing Services for the Printing and Binding of Revised Revenue Code 2020 of Ilocos Norte</t>
  </si>
  <si>
    <t xml:space="preserve">100 pcs LED Bulb w/ warranty warm white 23 watts latest generation 72mm x 712mm and other items for rehabilitation, improvement and installation of street lighting facilities and equipment, Dumaguete </t>
  </si>
  <si>
    <t>PURCHASE OF 2 UNITS OF SPLIT TYPE AIRCON</t>
  </si>
  <si>
    <t>LAPTOP USE AT THE OFFICE OF THE MUNICIPAL CIVIL REGISTRAR</t>
  </si>
  <si>
    <t>PEO-20-0502 B (REBID) - Procurement of Diesel Fuel for use in truck team operation for the repair and maintenance of provincial roads and bridges in the Province of Iloilo</t>
  </si>
  <si>
    <t>Watchman Services (March 2020-Dec.2020)</t>
  </si>
  <si>
    <t>Provision for toners/inks</t>
  </si>
  <si>
    <t>HO-ETD20-001 - Supply and Delivery of Toner Cartridge for Fuji Xerox Docuprint</t>
  </si>
  <si>
    <t>For Sewing of Face Mask</t>
  </si>
  <si>
    <t>SUPPLY AND DELIVERY OF FITTINGS FOR NEW SERVICE CONNECTION/ RELOCATION/RECONNECTION/REHABILITATION OF WATER METER ASSEMBLY (AGING 5 YEARS-UP)</t>
  </si>
  <si>
    <t>Supply and Delivery of Materials for various Masonry &amp; carpentry Works at the Isuzu Training Centre</t>
  </si>
  <si>
    <t>Furnishing and Delivery of Office Chair for the Use of Municipal Employee</t>
  </si>
  <si>
    <t>TO BE USED IN THE ACCOUNTANT'S OFFICE FOR BARANGAY UNIT/CMO</t>
  </si>
  <si>
    <t>Refill of 79 Fire Extinguishers</t>
  </si>
  <si>
    <t>PREVENTIVE MAINTENANCE OF CLOSED-CIRCUIT TELEVISION (CCTV) UNDER MINDANAO WEST DIVISION</t>
  </si>
  <si>
    <t>PURCHASE AND DELIVERY OF EQUIPMENT FOR IMPLEMENTATION OF DA-BAR PROMOTION OF RECOMMENDED RICE VARIETIES PROJECT</t>
  </si>
  <si>
    <t>Medical Supplies and Laboratory Instrument</t>
  </si>
  <si>
    <t>SUPPLY &amp; DELIVERY OF FUEL  FOR LEGISLATIVE OFFICE OPERATION</t>
  </si>
  <si>
    <t>Emergency Purchase in response to covid19 RHU Office 37A</t>
  </si>
  <si>
    <t>Streetlighting Project Along Provincial Road</t>
  </si>
  <si>
    <t>CONSTRUCTION OF ONE(1) UNIT GPG-TYPE SCHOOL BUILDING AS SAN ISIDRO E/S -057</t>
  </si>
  <si>
    <t>Construction of Covered Canal at Morillo St. and Rizal St., Barangay Zone II, Luisiana, Laguna.</t>
  </si>
  <si>
    <t>Request for quotation PR No. 0941-20</t>
  </si>
  <si>
    <t>SUPPLY AND DELIVERY OF MATERIALS FOR PROPOSED BRGY. ROAD CONCRETING AT SITIO CABCAO, BRGY. BUCAO, GUIUAN, EASTERN SAMAR</t>
  </si>
  <si>
    <t>Construction of Comfort Room- Improvement of Motorpool</t>
  </si>
  <si>
    <t>RFQ ISOSORBIDE DINITRATE 1MG/ML, 10ML</t>
  </si>
  <si>
    <t>Hygiene Kit for the Day Care Center</t>
  </si>
  <si>
    <t>PROCUREMENT OF SUPPLY OF LABOR AND MATERIALS FOR THE REPLACEMENT OF UNSERVICEABLE COMPRESSOR OF AIR CONDITIONING SYSTEM SERVICING 3RD FLOOR QUANDRANT C OF PALACIO DEL GOBERNADOR BUILDING</t>
  </si>
  <si>
    <t>Installation/Construction of Solar Powered Street Lightning Along Municipal Streets, Lavezares N. Samar</t>
  </si>
  <si>
    <t>NOTICE FOR NEGOTIATED PROCUREMENT OF PROGRAMMING EQUIPMENT AND MATERIALS</t>
  </si>
  <si>
    <t>Supply and Delivery of Office Consumables</t>
  </si>
  <si>
    <t>materials for the Additional Funding for Spillway @ Sitio Binantangan, Calicanan-re-bid</t>
  </si>
  <si>
    <t>materials for the Construction of Municipal Morgue- Re-bid</t>
  </si>
  <si>
    <t>Supply of Labor and Materials for the Rehabilitation/Installation of Additional Service PIpelines 3"</t>
  </si>
  <si>
    <t>PR 1-20-06-0706,  REHABILITATION OF REHEARSAL ROOM FLOORING AT CITY AUDITORIUM.</t>
  </si>
  <si>
    <t>SD of 24 box Facial Tissue (3ply) &amp; 32 others</t>
  </si>
  <si>
    <t>SUPPLY, DELIVERY, INSTALLATION AND COMMISSIONING OF VARIOUS MEDICAL EQUIPMENT (HFEP)</t>
  </si>
  <si>
    <t>REPAIR AND MAINTENANCE OF OTHER INFRASTRUCTURE AT POB. TAYSAN, BATANGAS-058</t>
  </si>
  <si>
    <t>Construction of Mati Creek Verdant Wall</t>
  </si>
  <si>
    <t>Request for CONSULTANCY SERVICES OF (6) SIX PHYSICIANS WHICH ARE HIGHLY TECHNICAL OR PRIMARILY CONFIDENTIAL OR POLICY DETERMINING WHICH REQUIRES TRUST AND CONFIDENCE OF THE PROCURING ENTITY.</t>
  </si>
  <si>
    <t>SUPPLY AND DELIVERY OF FUEL, OIL AND LUBRICANTS FOR THE REHABILITATION/ IMPROVEMENT OF LOCAL ROADS, MUNICIPAL WIDE ROXAS, PALAWAN</t>
  </si>
  <si>
    <t>INVITATION TO BID FOR SUPPLY AND DELIVERY OF OFFICE SUPPLIES</t>
  </si>
  <si>
    <t>Purchase of Materials for Construction of Monitoring Wells, Municipal Sanitary Landfill</t>
  </si>
  <si>
    <t>Supply &amp; Delivery of Two (2) units LAPTOP use for Global Information System and CDRRM Program, Himamaylan City</t>
  </si>
  <si>
    <t>SUPPLY AND DELIVERY OF EQUIPMENTS FOR THE ESTABLISHMENT OF RBDO PRODUCTION FACILITY FOR ROMBLON</t>
  </si>
  <si>
    <t>Road Rehabilitation and Drainage System at Upper Madang &amp; Banahaw - 2</t>
  </si>
  <si>
    <t>Supply and Delivery of  Construction Materials and Supplies for the Rehabilitation of Gazzebo at Kalayaan, Marikina Heights, GSO-BGMD, Marikina City</t>
  </si>
  <si>
    <t>Supply and Delivery of Grocery Items (PNFC)</t>
  </si>
  <si>
    <t>PR2020-06-018 - Purchase and Delivery of Personal Protective Equipment and Supplies</t>
  </si>
  <si>
    <t>Supply of 48 pieces Mechanical Shaft Seal (single spring)</t>
  </si>
  <si>
    <t>( PR NO. 20-02-07-0097 Re-canvass SUPPLY AND DELIVERY OF 2 pcs (DATA LOGGER) Internal Pressure TRansducer Connection)</t>
  </si>
  <si>
    <t>SD of 50 pcs Air Freshener 100G &amp; 45 others</t>
  </si>
  <si>
    <t>RFQ ASCORBIC ACID (VITAMINS C) 500MG, MULTIVITAMINS, FOLIC ACID 5MG, VITAMIN B1B5B12 100MG B1 + 5MG B6 + 50MCG B12, METHOTREXATE 25MG/ML 2ML (IM, IV, INTRATHECAL) (AS BASE), METHOTREXATE 25MG/ML 2ML I</t>
  </si>
  <si>
    <t>PROCUREMENT OF OFFICE SUPPLIES AND MATERIALS FOR DIVISION OFFICE USE</t>
  </si>
  <si>
    <t>Riprapping of Canamucan 3 Basketball Court</t>
  </si>
  <si>
    <t>EXPENSES   ON  UGNAYAN SA BARANGAY; SPECIAL LAW MEDICAL AND DENTAL MISSION, TRAINING SEMINAR  OF BARANGAY TANOD,MONTHLY MEETING OF ADAC/MADAC/BARANGAY VISITATION</t>
  </si>
  <si>
    <t>Improvement of Rice Processing Plant (Primary Metering) Brgy. Kulaman, Malaybalay City.</t>
  </si>
  <si>
    <t>Proposed Road Concreting in Sitio Bontilao - Liki, Sogod, Cebu</t>
  </si>
  <si>
    <t>Supply and Delivery of Equipment/Tools/Utensils for Kabuhayan Individual Starter /Enhancement Kits</t>
  </si>
  <si>
    <t>Supply and delivery of various Dextrose and Medical Fluids for use in Hilongos District Hospital. ABC PHP197,780.00</t>
  </si>
  <si>
    <t>MGB XI - ISO Recertification Audit</t>
  </si>
  <si>
    <t>Purchase of Spare Parts for PNP Patrol Vehicles</t>
  </si>
  <si>
    <t>Procurement of Supplies for the Rehabilition of Multi-Porpuse Hall Barangay Pudoc East,Tagudin,Ilocos Sur</t>
  </si>
  <si>
    <t>Purchase of weldable ring</t>
  </si>
  <si>
    <t>Barangay Supplies &amp; Equipment</t>
  </si>
  <si>
    <t>20GIL0037(SUPPLY/DELIVERY OF ASPHALT CEMENT,DPWH-SLDEO, MAASIN CITY, SOUTHERN LEYTE)</t>
  </si>
  <si>
    <t>Supply/Delivery of Office Supplies</t>
  </si>
  <si>
    <t>PROVISION OF LABOR AND MATERIAL SERVICES FOR THE INSTALLATION AND GENERAL SERVICING/RECONDITIONING OF 6 AIR-CONDITIONING UNITS OF CENRO SOCORRO</t>
  </si>
  <si>
    <t>Sporting Goods</t>
  </si>
  <si>
    <t>BIGASAN PACKAGE</t>
  </si>
  <si>
    <t>PURCHASE OF AIR CONDITIONING SYSTEM FOR BRGY. MALABAN CITY OF BINAN LAGUNA</t>
  </si>
  <si>
    <t>Supplies and Materials for the conduct of Community Training in Raise Free Range Chicken at Brgy. Tambobong, Baguio District Davao City</t>
  </si>
  <si>
    <t>PROCUREMENT OF JANITORIAL,OFFICE SUPPLIES AND MATERIALS FOR MUNICIPAL ACCOUNTING OFFICE</t>
  </si>
  <si>
    <t>Rpr &amp; Maint DRR Equipment (57,000.00)OJ5</t>
  </si>
  <si>
    <t>REHABILITATION OF MAGBABADIL BRIDGE I (BGY. MABINI, ABORLAN, PALAWAN)</t>
  </si>
  <si>
    <t>Dressing Carriage</t>
  </si>
  <si>
    <t>REPRESENTATION  EXPENSES OF THE MAYOR</t>
  </si>
  <si>
    <t>Supply and delivery of 300 cylinder Refilled Medical Oxygen, standard refill for use in Hilongos District Hospital. ABC PHP255,000.00</t>
  </si>
  <si>
    <t>Request for quotation of Himamaylan CS Office Supplies</t>
  </si>
  <si>
    <t>Proposed Road Concreting in Sitio Ocao - Barangay Takay, Sogod, Cebu</t>
  </si>
  <si>
    <t>Procurement of 2019 NIPSC Annual Report</t>
  </si>
  <si>
    <t>SARI-SARI STORE PACKAGE</t>
  </si>
  <si>
    <t>Procurement Of Medical Supplies for COVID-19</t>
  </si>
  <si>
    <t>SUPPLY AND DELIVERY OF CUSTOMIZED NOTEBOOK AND PLANNER</t>
  </si>
  <si>
    <t>Supply/Delivery of Janitorial Supplies, Bed Sheets &amp; Pillows</t>
  </si>
  <si>
    <t>Supply and delivery of various Dextrose and Medical Fluids for use in  Tabango Community Hospital. ABC PHP91,800.00</t>
  </si>
  <si>
    <t>BP Apparatus Desk type</t>
  </si>
  <si>
    <t>PR2020-06-019 - Purchase and delivery of COVID 19 Test Kits</t>
  </si>
  <si>
    <t>SUPPLY AND DELIVERY OF THERMAL FAX MACHINE UNDER EMB-EIAMD RFQ NO. EMB-EIAMD-SHOPPING-0022-6-22-2020-3rd Posting</t>
  </si>
  <si>
    <t>PAYMENT FOR THE BARANGAY AMBULANCE STICKERS AND ACCESSORIES</t>
  </si>
  <si>
    <t>G-2020-348 Supply and Delivery of Assorted Commodities, City Health Services Department</t>
  </si>
  <si>
    <t>Supply of 20 lb Packing 1/2"</t>
  </si>
  <si>
    <t>Procurement of IT Equipment’s</t>
  </si>
  <si>
    <t>DOLE XI PROCUREMENT OF BIOMETRICS FOR FIELD OFFICES, SATELLITE OFFICE AND REGIONAL OFFICE</t>
  </si>
  <si>
    <t>Supply of Labor and Materials for Rehabilitation of Pipe Bridge Crossing</t>
  </si>
  <si>
    <t>Supply of one (1) unit Spectrophotometer Visible</t>
  </si>
  <si>
    <t>Construction of Roof Deck of Barangay Multi-Purpose Hall</t>
  </si>
  <si>
    <t>Procurement of Two Units Interactive Projector</t>
  </si>
  <si>
    <t>Supply and Delivery of Vehicle Parts and Accessories</t>
  </si>
  <si>
    <t>PR 1-20-06-0702, FOR USE AT THE OFFICE OF THE CITY AGRICULTURIST, THIS CITY.</t>
  </si>
  <si>
    <t>PROCUREMENT OF GOODS</t>
  </si>
  <si>
    <t>TO BE USED IN THE ACCOUNTANT'S OFFICE FOR ELECTRONIC PAYROLL PROGRAM/ACCOUNTANT'S OFFICE</t>
  </si>
  <si>
    <t>BUNDY CLOCK</t>
  </si>
  <si>
    <t>Supply and Delivery of Office Supplies for official use of the Office of Coun.Edgardo Berroya for the 2nd Quarter of 2020</t>
  </si>
  <si>
    <t>Procurement of Fuel for SPM Henrich M. Pimentel Service Vehicle.</t>
  </si>
  <si>
    <t>Rehabilitation of Farm to Market Road</t>
  </si>
  <si>
    <t>CONSTRUCTION OF ISOLATION FACILITY FOR COVID-19 AT EVACUATION CENTER BRGY. POB. EAST-056</t>
  </si>
  <si>
    <t>SD of 840 lot breakfast &amp; 2 others</t>
  </si>
  <si>
    <t>INVITATION TO BID FOR SUPPLY AND DELIVERY OF MATERIALS FOR THE IMPROVEMENT AND DEVELOPMENT OF WATER SUPPLY SYSTEM - BGCHS</t>
  </si>
  <si>
    <t>PROCUREMENT OF TRANSMISSION AND DISTRIBUTION FITTINGS/SUPPLIES</t>
  </si>
  <si>
    <t>PROCUREMENT OF 1 LOT WASTE, WATER TREATMENT SUPPLY &amp; DISPOSAL</t>
  </si>
  <si>
    <t>Stand Aircon</t>
  </si>
  <si>
    <t>Purchase of Paper Materials and Supply For Publication of the Local Government Unit's News Letter Under P.R. No. 110-20-05-186</t>
  </si>
  <si>
    <t>RFQ No.02-0342-20 PRESIDENT OFFICE, OFFICE SUPPLIES</t>
  </si>
  <si>
    <t>Construction of 1-Storey Evacuation Center, Barangay Bato, Makilala, Cotabato</t>
  </si>
  <si>
    <t>EBMS -ADO WITH PUMP (1ST POSTING)</t>
  </si>
  <si>
    <t>Purchase of construction materials for use in the Repair and Maintenance of National Roads and Bridges along Quezon 2nd District Engineering Office, Lucena City</t>
  </si>
  <si>
    <t>Supply / Delivery of Hardware Supplies and Materials</t>
  </si>
  <si>
    <t>FURNISHING OF LABOR AND MATERIALS FOR THE REPAIR OF AGUS 6      NATURE'S PARK SPRING WATERPIPE</t>
  </si>
  <si>
    <t>Materials for the Improvement of Columbio Infirmary (Augmentation)</t>
  </si>
  <si>
    <t>Purchase of Emergency Response Vehicle</t>
  </si>
  <si>
    <t>PURCHASE OF SCHOOL SUPPLIES -023R</t>
  </si>
  <si>
    <t>Healthy Lifestyle (Provision of Total Blood Chemistry to all LGU Employee</t>
  </si>
  <si>
    <t>20GIL0035(PURCHASE OF ROAD "O" TUBE, ETC.,DPWH-SLDEO, MAASIN CITY, SOUTHERN LEYTE)</t>
  </si>
  <si>
    <t>Purchase of various Equipment</t>
  </si>
  <si>
    <t>RFQ BUDESONIDE (FOR NEBULIZATION) 250MCG/ML, 2ML, RESPIRATORY SOLUTION AND IPRATROPIUM + SALBUTAMOL 500 MICROGRAMS IPRATROPIUM (AS BROMIDE ANHYDROUS) + 2.5 MG SALBUTAMOL (AS BASE) X 2.5ML (UNIT DOSE)</t>
  </si>
  <si>
    <t>CONSTRUCTION OF BARANGAY HEALTH STATION (BARANGAY LAGAORIAO, CUYO, PALAWAN)</t>
  </si>
  <si>
    <t>PURCHASE OF COVID ESSENTIALS FOR TEACHERS</t>
  </si>
  <si>
    <t>Request for the purchase of various office supplies for the use of HRDO, Pasig City.</t>
  </si>
  <si>
    <t>LABOR &amp; MATERIALS FOR THE USE OF SLD-979</t>
  </si>
  <si>
    <t>Supply of one (1) unit Incubator</t>
  </si>
  <si>
    <t>Construction of Multi-Purpose Hall Barangay Dulangan</t>
  </si>
  <si>
    <t>supply and delivery of clothing supplies of 1st sem RRCY 2020</t>
  </si>
  <si>
    <t>Supply and Delivery of DESKJET PRINTER, Ink Tank</t>
  </si>
  <si>
    <t>PROCUREMENT OF SUPPLIES AND MATERIALS TO PREVENT COVID-19</t>
  </si>
  <si>
    <t>supply and delivery of advocacy materials for Mental Health Stress Debrief(B1) for DSWD FO10 staff</t>
  </si>
  <si>
    <t>SD of 2 pr Philippine Army Rubber Shoes Black &amp; 12 others</t>
  </si>
  <si>
    <t>Supply of one (1) unit PH Meter</t>
  </si>
  <si>
    <t>Procurement of Books</t>
  </si>
  <si>
    <t>REPAIR OF CID OFFICE</t>
  </si>
  <si>
    <t>Purchase of Rescue Equipments and Tools for COERT – MDRRMO</t>
  </si>
  <si>
    <t>(SBMA-BAC-GOODS-ITB-12-20) SERVICES AND MATERIALS FOR THE SUPPLY, DELIVERY AND INSTALLATION OF PREMIUM QUALITY FABRIC WINDOW COMBI-BLINDS AT VARIOUS SBMA OFFICE BUILDINGS</t>
  </si>
  <si>
    <t>20GDKJ0070</t>
  </si>
  <si>
    <t>Upgrading of Lampitak Potable Water System</t>
  </si>
  <si>
    <t>UPCM-Digital Histologic Image Analysis Software for Hirschsprung's Disease</t>
  </si>
  <si>
    <t>Proposed Road Concreting in Pansoy - Mohon Barangay Road - Sitio Mangalao Section</t>
  </si>
  <si>
    <t>Improvement of Barangay Health Station as Medical Facilities and Quarantine Area</t>
  </si>
  <si>
    <t>Supply &amp; delivery of materials for the Cementing of Pathway at Barangay Sulpoc, Tanauan City, Batangas</t>
  </si>
  <si>
    <t>Supply and delivery of various Appliances (Washing Machine, Aircon, and Ceiling Fan) for use in Leyte Provincial Hospital. ABC PHP618,700.00</t>
  </si>
  <si>
    <t>Supply of 30 lb Packing 3/8"</t>
  </si>
  <si>
    <t>G-2020-375 Supply and Delivery of Office &amp; Janitorial Supplies, Public Order and Safety Office</t>
  </si>
  <si>
    <t>RFQ No. 20-0572 NP-SV: Supply, Delivery and Installation of Acrylic Sheet</t>
  </si>
  <si>
    <t>PROCUREMENT OFFICE SUPPLIES - OFFICE OF THE VICE MAYOR</t>
  </si>
  <si>
    <t>Office and Training Supplies/ Materials</t>
  </si>
  <si>
    <t>CONTRACT ID: 20-06-089 = PROCUREMENT OF HARDWARE AND CONSTRUCTION SUPPLIES (EXPANSION OF DOH-ZP-CHD WAREHOUSE)</t>
  </si>
  <si>
    <t>RFQ CLINDAMYCIN 150MG, CLINDAMYCIN 300MG (AS HYDROCHLORIDE) AND ERYTHROMYCIN 0.5% 5GM EYE OINTMENT</t>
  </si>
  <si>
    <t>Supply and Delivery of Communication Equipment</t>
  </si>
  <si>
    <t>Internet Service for MDRRMO @ NCD</t>
  </si>
  <si>
    <t>G-2020-359 Supply and Delivery of Office Supplies, City Human Resource and Management Office</t>
  </si>
  <si>
    <t>Construction/Rehabilitation of Local Access Road at Batchelor West</t>
  </si>
  <si>
    <t>PORTABLE SPEAKER</t>
  </si>
  <si>
    <t>Quotation No. 20-06-0354- Vehicle Rental for the Monitoring and Evaluation on Mass Drug Administration Activity on July 6-11, 2020 (Batch 1) and July 13-18, 2020 (Batch 2); Itinerary: Zamboanga Del Su</t>
  </si>
  <si>
    <t>(SBMA-BAC-GOODS-ITB-11-20) SERVICES AND MATERIALS FOR THE INSTALLATION OF AUDIOVISUAL EQUIPMENT AT THE BOARDROOM</t>
  </si>
  <si>
    <t>Quotation No. 20-06-0353- Vehicle Rental for the Monitoring and Evaluation on Mass Drug Administration Activity on July 6-11, 2020; Itinerary: Zamboanga City</t>
  </si>
  <si>
    <t>PROCUREMENT OF SUPPLY AND INSTALLATION OF ONE YEAR LICENSES TO EXISTING NETWORK SECURITY AND TRAFFIC ANALYZER OF THE BUREAU OF THE TREASURY</t>
  </si>
  <si>
    <t>Quotation No. 20-06-0350- Vehicle Rental for the Monitoring and Evaluation on Mass Drug Administration Activity on July 6-11, 2020 (Batch 1) and July 13-18, 2020 (Batch 2); Itinerary: Zamboanga Sibuga</t>
  </si>
  <si>
    <t>DSWD FO 1 Toiletry Supplies for 2nd, 3rd and 4th Quarter CY 2020</t>
  </si>
  <si>
    <t>Procurement of Printer of Guinobatan East Central School</t>
  </si>
  <si>
    <t>Supply &amp; Delivery of Agricultural Products for City Nursery use (OCAS).</t>
  </si>
  <si>
    <t>Construction of Hanging Footbridge - Brgy. Bagumbayan</t>
  </si>
  <si>
    <t>supply and delivery of various supplies of Marcelino M. Santos National High School</t>
  </si>
  <si>
    <t>OFFICE EQUIPMENT</t>
  </si>
  <si>
    <t>Purchase of medicines  at Brgy. Sala, Tanauan City, Batangas</t>
  </si>
  <si>
    <t>Supply &amp; Delivery of Assorted Janitorial Supplies (w/ requirements)</t>
  </si>
  <si>
    <t>Supply of two (2) units Vertical Multi-Stage Centrifugal Pumps and Control with Complete Accessories</t>
  </si>
  <si>
    <t>Procurement of two (2) steel cabinets with 4 drawers for efficient safe keeping of school files and data management purposes in the office of the principal</t>
  </si>
  <si>
    <t>CONSTRUCTION OF TWO (2) BARREL RCBC W/ CONCRETE SLOPE PROTECTION (BGY. MAGSAYSAY, MUNICIPALITY OF DUMARAN, PALAWAN)</t>
  </si>
  <si>
    <t>Office Equipment Parts and Accessories</t>
  </si>
  <si>
    <t>Purchase of Electrical supplies at Barangay Sala, Tanauan City, Batangas</t>
  </si>
  <si>
    <t>Supply and Delivery of Toners and Inks</t>
  </si>
  <si>
    <t>Supply &amp; Delivery of Assorted Computer Inks (w/ requirements)</t>
  </si>
  <si>
    <t>LAPTOP (F 164)</t>
  </si>
  <si>
    <t>Disinfection</t>
  </si>
  <si>
    <t>Purchase of food packs</t>
  </si>
  <si>
    <t>Supply of Labor and Materials for Repair/Replacement of Damaged PRV Steel Plate</t>
  </si>
  <si>
    <t>Supply and delivery of various Drugs and Medicines for Tabango Community Hospital. ABC PHP187,000.00</t>
  </si>
  <si>
    <t>GF-20-05-00709 PRINTING OF ORDER OF PAYMENT</t>
  </si>
  <si>
    <t>Supply, Delivery &amp; Installation of 20 Units Complete Set of Computers and 30 Units Adobe Creative Cloud (CC) ALL APPS_July 14, 2020</t>
  </si>
  <si>
    <t>For Tire replacement of emergency vehicles and dumptruck</t>
  </si>
  <si>
    <t>Purchase of Uniform of Barangay</t>
  </si>
  <si>
    <t>Supply and Delivery of Emergency Response Equipment and Supplies</t>
  </si>
  <si>
    <t>Supply and Delivery of Various Spareparts of Municipal Heavy Equipment intended for Grader, Roller &amp; Backhoe of this Municipality</t>
  </si>
  <si>
    <t>SUPPLY OF FUEL-SBO</t>
  </si>
  <si>
    <t>Supply and Delivery of Coverall, Biological/Chemical Protective (PR#19-08-1044)</t>
  </si>
  <si>
    <t>Drugs - Losartan 50mg (2nd Posting)</t>
  </si>
  <si>
    <t>Supply and Delivery of One (1) unit Corn Mill under Corn Program CY 2020</t>
  </si>
  <si>
    <t>EENT Diagnostic Set with Otoscope and Ophthalmoscope</t>
  </si>
  <si>
    <t>SUPPLY&amp; DELIVERYOFONE(1) UNITBRANDNEWSIXWHEELER DUMPTRUCKOF BARANGAYPAKNAAN</t>
  </si>
  <si>
    <t>Supply and Installation of Military, Police and Security Equipment</t>
  </si>
  <si>
    <t>DON FRANCISCO S. DIZON SR. ELEMENTARY SCHOOL</t>
  </si>
  <si>
    <t>SUPPLY AND DELIVERY OF APPLY MAGIC KEYBOARD (US ENGLISH)  UNDER EMB-EQMD-HWMS RFQ NO. EMB-EQMD-KEYBOARD-0025-6-22-2020-3rd Posting</t>
  </si>
  <si>
    <t>PR 4-20-02-0377, USE OF THE CITY WATERWORKS DEPARTMENT.</t>
  </si>
  <si>
    <t>Purchase of Office Devices and Accessories</t>
  </si>
  <si>
    <t>Dalaguete Public Structures Suctioning(1 Police station,2 Public market, 2 RHU-1)</t>
  </si>
  <si>
    <t>PR 4-20-06-0633, FOR USE OF THE CITY WATERWORKS DEPARTMENT.</t>
  </si>
  <si>
    <t>PR 4-20-02-0285, FOR USE OF HONDA XRM 125 RED W/ PLATE NO. SG 7639 ASSIGNED AT CWD, THIS CITY.</t>
  </si>
  <si>
    <t>Emergency Cart/Trolley</t>
  </si>
  <si>
    <t>Procurement of Vehicle for Vice Mayor's Office</t>
  </si>
  <si>
    <t>medical supplies and equipment (SDRRMC and CLINIC)</t>
  </si>
  <si>
    <t>Procurement on the Delivery of Materials for Improvement &amp; Rehabilitation of Old Multi-Purpose Bldg.including construction of New Septic Tank</t>
  </si>
  <si>
    <t>Purchase and Installation Surveillance Camera</t>
  </si>
  <si>
    <t>SUPPY AND DELIVERY OF COMMUNICATION EQUIPMENT (CELLPHONE) - MPDO</t>
  </si>
  <si>
    <t>GF-20-02-00034-GARDEN SOIL, POTTING BAG AND OTHERS</t>
  </si>
  <si>
    <t>IT-Equipment (Risograph Machine) - DepEd Maasim 2 District</t>
  </si>
  <si>
    <t>Concreting of Brgy. San Roque to Brgy. Barangobong FMR, Brgy. San Roque (San Nicolas) and Brgy. Barangobong (Natividad, Pangasinan)</t>
  </si>
  <si>
    <t>GF-20-03-00569 FOOD AND DRINKS AND TARPAULIN</t>
  </si>
  <si>
    <t>Purchase of seedlings</t>
  </si>
  <si>
    <t>Completion of Benguet Sports Gymnasium, Wangal, La Trinidad, Benguet</t>
  </si>
  <si>
    <t>Purchase of 1 unit Digital B&amp;W Multi Function Printer</t>
  </si>
  <si>
    <t>PURCHASE OF MEDICINES AND OTHER SUPPLIES FOR SENIOR HIGH SCHOOL</t>
  </si>
  <si>
    <t>PROCUREMENT OF MEDICAL AND DENTAL LABORATORY SUPPLIES</t>
  </si>
  <si>
    <t>Concreting of Brgy. Gonzalo to Brgy. Carayacan FMR, Brgy. Gonzalo and Brgy. Carayacan, San Quintin, Pangasinan</t>
  </si>
  <si>
    <t>20AE0071: Construction of 2 Storey 4 Classroom School Building at Butubut National High School, Balaoan, La Union</t>
  </si>
  <si>
    <t>Provision of meals and snacks to be served during the conduct of DA-INREC general monthly meeting for June-December 2020</t>
  </si>
  <si>
    <t>PR 9-20-05-0610, FOR THE USE OF SAN CARLOS CITY HOSPITAL, THIS CITY.</t>
  </si>
  <si>
    <t>Purchase of Office Equipment fo Senior Citezen Center at Laur, Nueva Ecija</t>
  </si>
  <si>
    <t>PR 9-20-06-0666, FOR THE USE OF SAN CARLOS CITY HOSPITAL, THIS CITY.</t>
  </si>
  <si>
    <t>DRILLING OF ONE (1) PRODUCTION WELL  AT BRGY. P. LUPA, MABINI, BATANGAS</t>
  </si>
  <si>
    <t>PURCHASE OF MOBILE PHONES FOR OFFICE USE</t>
  </si>
  <si>
    <t>IT-Equipment (Risograph Machine) - DepEd Maasim 1 District</t>
  </si>
  <si>
    <t>Supply and Delivery of General Merchandise for VATG, TRADOC, PA</t>
  </si>
  <si>
    <t>Purchase of brass water meter 1/2"</t>
  </si>
  <si>
    <t>REQUEST FOR QUOTATION-PURCHASE OF SUBMERSIBLE MOTOR</t>
  </si>
  <si>
    <t>YMKT Color ribbon</t>
  </si>
  <si>
    <t>PR 8-20-06-0705, FOR THE USE OF PUBLIC MARKET AND SLAUGHTERHOUSE DEPARTMENT ELECTRICAL CONTOL ROOM, THIS CITY.</t>
  </si>
  <si>
    <t>CONSTRUCTION OF BAJEN-BUMAGAT FARM TO MARKET ROAD</t>
  </si>
  <si>
    <t>Labor and materials- Construction and improvement of concrete fence and concrete gate arc of San Vicente Elem. School</t>
  </si>
  <si>
    <t>REQUEST FOR QUOTATION - Purchase and Delivery of Semi-Expendable Office Furniture and Fixtures - RPO V</t>
  </si>
  <si>
    <t>REHABILITATION OF SANGGUNIANG BAYAN OFFICE</t>
  </si>
  <si>
    <t>REQUEST FOR QUOTATION SHOPPING OF CONFERENCE TABLE WITH CLERICAL CHAIR, CLERICAL TABLE WITH CLERICAL CHAIR, CENTER TABLE, SOFA &amp; STEEL CABINET</t>
  </si>
  <si>
    <t>purchase of laptop</t>
  </si>
  <si>
    <t>PROCUREMENT OF LAPTOP AND PERIPHERALS- 2ND POSTING</t>
  </si>
  <si>
    <t>ACQUISITION OF PROCUREMENT AND INVENTORY MANAGEMENT SYSTEM (SUPPLY, DELIVERY, INSTALLATION AND CONFIGURATION INTO OPERATIONAL STATE)</t>
  </si>
  <si>
    <t>SUPPLY AND DELIVERY OF THORACOTOMY SET P.R. 0492 SERIES OF 2020</t>
  </si>
  <si>
    <t>CATERING SERVICES FOR MEALS &amp; SNACKS-SBO</t>
  </si>
  <si>
    <t>REHABILITATION OF DRAINAGE SYSTEM</t>
  </si>
  <si>
    <t>Vehicle Maintenance of Service Vehicle Assigned PEO, Salugan Camalig, Albay PR No. (100(01)20-05-1147)</t>
  </si>
  <si>
    <t>Procurement of Construction Materials</t>
  </si>
  <si>
    <t>MOOE April-June 2020</t>
  </si>
  <si>
    <t>20JA0080 - REPAIR AND MAINTENANCE OF FLOOD CONTROL STRUCTURE @ BOLONG RIVER, MANGGA BUNGUIAO SECTION, BUNGUIAO, ZAMBOANGA CITY</t>
  </si>
  <si>
    <t>IMPROVEMENT ALONG NRJ, BANAO-BESOCOL-MOGAO ACCESS ROAD (BESOCOL SECTION)</t>
  </si>
  <si>
    <t>INSTALLATION OF SOLAR STREETLIGHTS AT BARANGAY #7, AMADEO, CAVITE</t>
  </si>
  <si>
    <t>Procurement of Construction IP Housing (Labor)</t>
  </si>
  <si>
    <t>Purcahse of Computer laptop I7 processor</t>
  </si>
  <si>
    <t>PRE-BID CONFERENCE 30/June/2020 - Procurement of Goods: Furniture &amp; Fixture for the use of CMO (Tagum City Police Station) (PR#100-20-06-0175)</t>
  </si>
  <si>
    <t>Supply and delivery of 2 units Desktop Computer and 2 units Printer 3 in 1 DeskJet Ink Tank for use in Northwestern Leyte District Hospital, Calubian, Leyte. ABC PHP107,000.00</t>
  </si>
  <si>
    <t>Procurement of snacks, Mayor's Office</t>
  </si>
  <si>
    <t>Air Conditioning Unit, 2HP window type with labor and materials for installation (Heavy duty and brandnew).</t>
  </si>
  <si>
    <t>Office Supplies Consumables</t>
  </si>
  <si>
    <t>PURCHASE OF TOILET BOWL (UNDER SUSTAINABLE SANITATION PROGRAM)</t>
  </si>
  <si>
    <t>G-2020-377 Supply and Delivery of Office &amp; Janitorial Supplies, City Civil Registry Office</t>
  </si>
  <si>
    <t>KITCHEN SUPPLIES (BDSK)</t>
  </si>
  <si>
    <t>PROCUREMENT OF SOUND ABSORBENT CLOTH</t>
  </si>
  <si>
    <t>Plankton net</t>
  </si>
  <si>
    <t>Purchase of 89 pcs Handcuff for use at the Laoag City Police Station, Laoag City</t>
  </si>
  <si>
    <t>CATERING SERVICES FOR THE TRAINING – WORKSHOP IN WRITING BASIC RESEARCH PROPOSAL</t>
  </si>
  <si>
    <t>Procurement of 15 units Cellular Phone (TouchScreen)</t>
  </si>
  <si>
    <t>Purchase of Office Supplies for 2nd Quarter Commonly used Supplies CY-2020</t>
  </si>
  <si>
    <t>Concrete Paving of Canroma-Buenavista Road, Rural Access (Road Upgrading), Brgy.Canroma-Buenavista, Pontevedra, Neg. Occ./PEO-2020-0964</t>
  </si>
  <si>
    <t>Installation of Electrical Facilities( Streetlights), Brgy. Palaciawan, Barotac Nuevo, Iloilo</t>
  </si>
  <si>
    <t>TF-20-03-00600 Food and Drinks</t>
  </si>
  <si>
    <t>Mayo Table</t>
  </si>
  <si>
    <t>Procurement of Air-conditioning and Air-conditioning Systems for the Administration Office</t>
  </si>
  <si>
    <t>INVITATION TO BID FOR NO CATEGORY (OUTDOOR LED BILLBOARD) (BID NO. 200716-01)</t>
  </si>
  <si>
    <t>Supply of 26 units Hard Disk External</t>
  </si>
  <si>
    <t>Supply and Delivery of Construction Materials and Equipment:Rehabilitation of Barangay Road</t>
  </si>
  <si>
    <t>To Support The Logistical Requirements of OG8,1ID,PA</t>
  </si>
  <si>
    <t>IMPROVEMENT OF SHARED SERVICE FACILITY</t>
  </si>
  <si>
    <t>PROCUREMENT OF DRUGS AND MEDICINES (BUPIVACAINE)-REBID, DR. JOSE RIZAL MEMORIAL HOSPITAL</t>
  </si>
  <si>
    <t>Concrete Pavement of New Municipal Building, Brgy. Tabucan, Barotac Nuevo, Iloilo</t>
  </si>
  <si>
    <t>Short-Throw Projector</t>
  </si>
  <si>
    <t>FURNISHING OF MATERIALS FOR THE ENHANCEMENT OF BARANGAY HALL</t>
  </si>
  <si>
    <t>RFQ for Premium Wallright Cement, etc</t>
  </si>
  <si>
    <t>APPAREL SEWING PROJECT</t>
  </si>
  <si>
    <t>ITB FOR PROCUREMENT OF OFFICE  SUPPLIES FOR MODULAR LEARNING 2020</t>
  </si>
  <si>
    <t>20JA0082 - REPAIR AND MAINTENANCE OF FLOOD CONTROL STRUCTURE @ SINUNUC RIVER, KATILINGBAN SECTION, KATILINGBAN, ZAMBOANGA CITY</t>
  </si>
  <si>
    <t>Construction/Extension of Road Concreting at Brgy. Urdaneta, Lavezares N. Samar</t>
  </si>
  <si>
    <t>CCTV MAINTENANCE</t>
  </si>
  <si>
    <t>Fire Fighting and Rescue Equipment</t>
  </si>
  <si>
    <t>Fencing of School Building ( 8 Spans) of Bagongbong Elementary School, Barangay Bagongbong, Barotac Nuevo, Iloilo</t>
  </si>
  <si>
    <t>Supply and Delivery of construction Materials for the improvement of PIS at Dangsal Besong and Construction of CIS @ Tidang Village</t>
  </si>
  <si>
    <t>PROVISION FOR CONCRETE BENCHES AT COVERED PATHWALK</t>
  </si>
  <si>
    <t>MEALS AND SNACKS-MCO-GAD</t>
  </si>
  <si>
    <t>G-2020-379 Supply and Delivery of Agricultural Inputs: Quail Egg Production, Local Disaster Risk Reduction Management Division</t>
  </si>
  <si>
    <t>MOOE April-June 2020 2</t>
  </si>
  <si>
    <t>LED Wall System</t>
  </si>
  <si>
    <t>Other Supplies-MBO</t>
  </si>
  <si>
    <t>Supply and delivery of  Metering Pumps, 24-hour Timer and other accessories</t>
  </si>
  <si>
    <t>INVITATION TO BID FOR HEAVY EQUIPMENT (BID NO. 200716-02)</t>
  </si>
  <si>
    <t>Procurement of Tire</t>
  </si>
  <si>
    <t>REHABILITATION/ IMPROVEMENT OF CARAGA NORTH DISTRICT</t>
  </si>
  <si>
    <t>PROVISION/INSTALLATION OF PRINCIPAL'S AND ADMIN OFFICE AT SENIOR HIGH SCHOOL</t>
  </si>
  <si>
    <t>G-2020-380 Labor &amp; Materials for the Repair &amp; Maintenance of Various Offices at Calamba City Hall Building, City Engineering and Infrastructure Development Department</t>
  </si>
  <si>
    <t>Purchase of Rapid Test Kits</t>
  </si>
  <si>
    <t>PROCUREMENT OF SOUND SYSTEM (RE-POST)</t>
  </si>
  <si>
    <t>Global Positioning System</t>
  </si>
  <si>
    <t>SUPPLY OF MATERIALS FOR RIPRAP WORKS (DRAINAGE/LINE CANAL)</t>
  </si>
  <si>
    <t>Procurement construction materials for the installation of streetlights at Matalipni</t>
  </si>
  <si>
    <t>REPAIR OF SECURITY RAILINGS AT THE PARKING AREA AT DUMAGUETE AIRPORT</t>
  </si>
  <si>
    <t>Drugs &amp; Medicines 2020</t>
  </si>
  <si>
    <t>Food Expense During Conduct of Checkpoint &amp; Monitoring gal Drugs</t>
  </si>
  <si>
    <t>Request for Price Quotation for Repair and Maintenance of Air Conditioning Units in LTO Regional Office</t>
  </si>
  <si>
    <t>Drugs - Vancomycin 500mg (2nd Posting)</t>
  </si>
  <si>
    <t>Procurement of Cacao Planting Materials &amp; Soil Enhancer-DA,Lopez Jaena,Misamis Occidental</t>
  </si>
  <si>
    <t>CONCRETING OF BARANGAY ROAD at Barangay Baubo, Maria Aurora, Aurora</t>
  </si>
  <si>
    <t>FURNISHING OF MATERIALS FOR THE CONSTRUCTION OF 7 UNITS LED STREETLIGHTS AT PUROK 2B</t>
  </si>
  <si>
    <t>Sari-Sari Store Negosyo Starter Kit for Barangay Puerto (PR#20-06-128)</t>
  </si>
  <si>
    <t>Purchase of Desktop Computer with UPS</t>
  </si>
  <si>
    <t>Supply and Delivery of CM for the construction of Multi-purpose building/covered court phase II</t>
  </si>
  <si>
    <t>Supply and Delivery of Various Medical and Dental Supplies as per PR NO. 20-01-0044</t>
  </si>
  <si>
    <t>PROVISION FOR PERIMETER FENCE BETWEEN CHURCH AND SCHOOL</t>
  </si>
  <si>
    <t>CONSTRUCTION OF LOCAL ROADS- CAOIGUE</t>
  </si>
  <si>
    <t>Construction Materials (Construction of Drainage Canal(EMBARCADERO Continuation))</t>
  </si>
  <si>
    <t>Supply and Delivery of Desiccator, PR# 2020-02-0634, NP-COE-04</t>
  </si>
  <si>
    <t>One-Year Preventive Maintenance of 9 Airconditioning Units</t>
  </si>
  <si>
    <t>20CB-GSC-344 PURCHASE OF OIL &amp; LUBRICANTS</t>
  </si>
  <si>
    <t>concreting and Improvement of Ground to Multipurpose Hall (Phase 2)</t>
  </si>
  <si>
    <t>Supply &amp; Delivery of Various Hardware &amp; Construction Materials &amp; Supplies use for the Maintenance of Eco Center &amp; City Health Office, Himamaylan City</t>
  </si>
  <si>
    <t>Purchase of Electrical Supplies at RHU</t>
  </si>
  <si>
    <t>CONCRETING OF BARANGAY ROAD at Barangay San Joaquin, Maria Aurora, Aurora</t>
  </si>
  <si>
    <t>20GIL0038 (SUPPLY/DELIVERY OF OIL AND LUBRICANTS, MAASIN CITY, SOUTHERN LEYTE)</t>
  </si>
  <si>
    <t>Supply and Delivery of Laboratory Supplies and Reagents for Tapaz District Hospital</t>
  </si>
  <si>
    <t>1 unit Desktop Computer</t>
  </si>
  <si>
    <t>REPAIR AND MAINTENANCE OF PMWS (PURCHASE OF ALTERNATIVE/RESERVE PUMP)</t>
  </si>
  <si>
    <t>PURIFIED DRINKING WATER</t>
  </si>
  <si>
    <t>Projection Screen</t>
  </si>
  <si>
    <t>Procurement of Catering Services-06-060(B)SP-Legislative</t>
  </si>
  <si>
    <t>PROCUREMENT OF MATERIALS FOR THE REHABILITATION/IMPROVEMENT OF FMR AT BRGY. BOROCBOROC, VALDERRAMA, ANTIQUE</t>
  </si>
  <si>
    <t>Supply and Delivery of Grocery Items for Provincial Governor's Office</t>
  </si>
  <si>
    <t>PROCUREMENT OF MEDICINE</t>
  </si>
  <si>
    <t>G-2020-382 Supply and Delivery of I.T. Equipment, City General Services Office</t>
  </si>
  <si>
    <t>2 unit ASUS ROG STRIX G531GB-ALO30T CORE i5-9300H-8gb DDR4 512gb SSD-GTX 1050 4GB VRAM "15.6"</t>
  </si>
  <si>
    <t>Construction of Concrete Road at Municipal Cemetery.Concreting of Road L-90.00 mts. W-3.00 mts. T-0.10 mts</t>
  </si>
  <si>
    <t>PR 9-20-06-0709, FOR USE OF THE SAN CARLOS CITY HOSPITAL, THIS CITY.</t>
  </si>
  <si>
    <t>Procurement of IT Equipment -  MEO ,Lopez Jaena,Misamis Occidental</t>
  </si>
  <si>
    <t>INSTALLATION OF CLOSE CIRCUIT TELEVISION CAMERA (CCTV)</t>
  </si>
  <si>
    <t>UPGRADING OF EQUIPMENT FOR SCHOOLS EDUCATIONAL FM BROADCAST STATION (DWAT)</t>
  </si>
  <si>
    <t>SUPPLY &amp; DELIVERY OF CONSTRUCTION MATERIALS USE FOR CONSTRUCTION OF MULTI PURPOSE BUILDING AT PUROK 4 NURSERY, BRGY. BUNAGUIT ,ESPERANZA ,ADS.</t>
  </si>
  <si>
    <t>construction materials and supplies</t>
  </si>
  <si>
    <t>Rice Trading Negosyo Starter Kit for Barangay 18 Cagayan de Oro (PR# 20-06-130)</t>
  </si>
  <si>
    <t>PROCUREMENT OF MATERIALS FOR THE REHABILITATION/IMPROVEMENT OF FMR AT BRGY. BUGNAY, VALDERRAMA, ANTIQUE</t>
  </si>
  <si>
    <t>PROVISION OF THERMAL SCANNER</t>
  </si>
  <si>
    <t>Supply and Delivery of Tires for PGO/Equipment Pool Division</t>
  </si>
  <si>
    <t>ITB No. 19-DSWD-059-A - Supply and Delivery of Workstation Computer for DSWD-UCT NPMO</t>
  </si>
  <si>
    <t>(P.R. # 20-03-009) Purchas of Horizontal Blinds for DPWH – CCDEO Building Use, Cebu City</t>
  </si>
  <si>
    <t>REQUEST FOR QUOTATION-INSTALLATION OF SMS MESSENGER FOR POWER MONITORING</t>
  </si>
  <si>
    <t>Publication of Zoning Ordinance</t>
  </si>
  <si>
    <t>Publication of Municipal Ordinance for SB Office</t>
  </si>
  <si>
    <t>Supply and Delivery of CM for the improvement of Hanging Foot Bridge @ Pacac,Cabalatan Alang KNV</t>
  </si>
  <si>
    <t>cONSTRUCTION OF pUBLIC Market ( Phase 1)</t>
  </si>
  <si>
    <t>Provision of Internet Service and Domestic Multi-Protocol Label Switching Services for Bicol University (3rd Publication)</t>
  </si>
  <si>
    <t>Procurement of Various Agricultural Chemicals-06-056(M)OPAG</t>
  </si>
  <si>
    <t>PURCHASE OF RAPID ELECTRIC VEHICLE CHARGER (FOR  E-TRIKE)</t>
  </si>
  <si>
    <t>MES - Educational Materials and Supplies, Services</t>
  </si>
  <si>
    <t>For use in the establishment of Extension Nursery , Province of Romblon</t>
  </si>
  <si>
    <t>Drugs - MULTIVITAMINS (2nd Posting)</t>
  </si>
  <si>
    <t>Document Camera/Reader</t>
  </si>
  <si>
    <t>supply &amp; delivery of hardware/construction supplies &amp; materials for NGP Project</t>
  </si>
  <si>
    <t>INVITATION TO BID FOR VEHICLES (4 WHEELS) AND ACCESSORIES (BID NO. 200716-06)</t>
  </si>
  <si>
    <t>Medicines Supplies for COVID19( PREVENTION</t>
  </si>
  <si>
    <t>Procurement of Hardware Supplies-06-058(M)OPAG</t>
  </si>
  <si>
    <t>Advance GPS Asset Tracking and Fleet Management Subscription</t>
  </si>
  <si>
    <t>Furnishing &amp; Delivery of  Medical Supplies for RHU/BEMONC</t>
  </si>
  <si>
    <t>INVITATION TO BID FOR VEHICLE (4 WHEELS) AND ACCESSORIES (BID NO. 200716-05)</t>
  </si>
  <si>
    <t>Procurement of Materials for Improvement of Water System @ Sitio Alang,Brgy. Daan Suyan,MSP</t>
  </si>
  <si>
    <t>Supply and Delivery of Medicine To MHO, Lavezares N. Samar</t>
  </si>
  <si>
    <t>(P.R. # 20-03-006) Purchase of 20 pcs. – Door Knob and Four (4) other items for DPWH – CCDEO Building Maintenance Use, Cebu City</t>
  </si>
  <si>
    <t>Barangay 770 BDF/CLEAN &amp; GREEN/ RRMF/ REFILL OF FIRE EXTINGUISHER /TWO WAY RADIO/ FIRE FIGHTING</t>
  </si>
  <si>
    <t>INVITATION TO BID FOR NO CATEGORY - (VARIOUS LECHON) (BID NO. 200716-04)</t>
  </si>
  <si>
    <t>INVITATION TO BID FOR ELECTRICAL EQUIPMENT AND APPLIANCES -A (BID NO. 200716-07)</t>
  </si>
  <si>
    <t>Procurement of Spare Parts for Repair of Municipal Light Vehicle (2nd Qtr.) – GSO</t>
  </si>
  <si>
    <t>Materials for const/repair/improvement of water system @ Don R. Jesena E/S, Brgy. MAgsaysay, Cadiz City</t>
  </si>
  <si>
    <t>Invitation to Bid for the  Rehabilitation of Multi Purpose Auditoruim at Barangay Basing, Lingayen, Pangasinan</t>
  </si>
  <si>
    <t>VARIOUS SEMI NON-EXPENDABLES FOR THE USE DIETARY</t>
  </si>
  <si>
    <t>Closed-Circuit Television (CCTV) System</t>
  </si>
  <si>
    <t>PR 18-20-06-0644, THIS PROJECT INCLUDES THE CONSTRUCTION OF ONE (1) UNIT ARTESIAN WELL AT HAD. SAN JOSE BRGY. GUADALUPE, THAT INVOLVES PLUMBING WORKS, CONCRETING, MASONRY, CARPENTRY WORKS, EARTH WORKS</t>
  </si>
  <si>
    <t>Purchase of Mini Dump Truck 6 Wheeler 4 ton Garbage Truck High Side (Refurbish)</t>
  </si>
  <si>
    <t>Repair/Maintenance of Provincial Roads and Bridges (Bagacay to Lonos Road Section) Romblon, Romblon</t>
  </si>
  <si>
    <t>Improvement of Bagongbong "B" Elementary School, Bagongbong, Barotac Nuevo, Iloilo</t>
  </si>
  <si>
    <t>Proposed Water Supply Rehabilitation</t>
  </si>
  <si>
    <t>Purchase of semi-expendable office equipment</t>
  </si>
  <si>
    <t>FABRICATION OF CANAL GRILLS</t>
  </si>
  <si>
    <t>PROCUREMENT OF MATERIALS FOR THE CONSTRUCTION/REHABILITATION OF MULTI-PURPOSE DRYING PAVEMENT (MPDP) AT BRGY. BUGNAY, VALDERRAMA, ANTIQUE</t>
  </si>
  <si>
    <t>PURCHASE OF WINDOW BLINDS</t>
  </si>
  <si>
    <t>1 unit Office Laptop</t>
  </si>
  <si>
    <t>Procurement of Various Aggregates Supplies-06-349(O)PEO</t>
  </si>
  <si>
    <t>Purchase of Various Construction Materials for the Repair of Municipal Fire Station</t>
  </si>
  <si>
    <t>Furnishing &amp; Delivery of  Meals &amp; Snacks to be used in the committee hearing and public hearing of all proposed municipal ordinances for the month of June to August 2020</t>
  </si>
  <si>
    <t>Supply and Delivery of Office/IT Equipment for use in Planning and Design Section</t>
  </si>
  <si>
    <t>Sari-Sari Store Negosyo Starter Kit for Barangay 18 Cagayan de Oro (PR#20-06-129)</t>
  </si>
  <si>
    <t>G-2020-381 Supply and Delivery of Electrical Materials, City Engineering and Infrastructure Development Department</t>
  </si>
  <si>
    <t>Drugs - Lactulose 3.3G/5ML (2nd Posting)</t>
  </si>
  <si>
    <t>Drugs - Vitamin B Complex (2nd Posting)</t>
  </si>
  <si>
    <t>Procurement of Supplies &amp; Medicines For Poblacion Birthing Home,MSP</t>
  </si>
  <si>
    <t>Supply and Delivery of CM for the Improvement of Gusaran-Addon-Bineng Road and Improvement of Sta Cruz Hanging Foot bridge @ Sta Cruz Pingkian</t>
  </si>
  <si>
    <t>INVITATION TO BID FOR GROCERIES (BID NO. 200716-03)</t>
  </si>
  <si>
    <t>JANITORIAL AND PERSONAL EFFECTS SUPPLIES</t>
  </si>
  <si>
    <t>Ultra-Durable Water Purifier</t>
  </si>
  <si>
    <t>Supply &amp; Delivery of Hardware &amp; Construction Materials for Salvacion-Union CIS (CY 2020 FAW)</t>
  </si>
  <si>
    <t>SUPPLY AND DELIVERY OF MOBILE PEDESTAL FILING CABINET-BLACK  UNDER EMB-AFMD-RFQ NO. EMB-AFMD-SHOPPING-CABINET -0024-6-22-2020-3rd Posting</t>
  </si>
  <si>
    <t>Procurement of One (1) Unit Laptop Computer for Mayor's Office Day-To-Day Use</t>
  </si>
  <si>
    <t>Purchase of Construction Materials (for various Program of Local Governemtn od San Matel</t>
  </si>
  <si>
    <t>PURCHASE OF OFFICE SUPPLIES EXPENSES FOR ALL DEPARTMENTS</t>
  </si>
  <si>
    <t>CONCRETING OF BARANGAY ROAD at Barangay San Jose, Maria Aurora, Aurora</t>
  </si>
  <si>
    <t>Procurement of Monitoring and Medical/dental supplies in the implementation of SBFP and other Health and Nuitrition Programs 2019-2020</t>
  </si>
  <si>
    <t>materials for repair/maintenance of water system at various barangay, Cadiz City</t>
  </si>
  <si>
    <t>PROCUREMENT OF CORING MACHINE</t>
  </si>
  <si>
    <t>20CB-GSC-346 PURCHASE OF OFFICE EQUIPMENT (RE-BID)</t>
  </si>
  <si>
    <t>INVITATION TO BID FOR THE INSTALLATION OF SOLAR STREETLIGHT AT BARANGAY LIBSONG EAST, LINGAYEN, PANGASINAN AND REPAIR AND REHABILITATION OF DRAINAGE CANAL AT BARANGAY LIBSONG EAST, LINGAYEN, PANGASINA</t>
  </si>
  <si>
    <t>Hauling and disposal of Municipal Residual Waste at Material Recovery Facility (MRF), Brgy. Balayhangin, Calauan, Laguna</t>
  </si>
  <si>
    <t>Procurement of Computer Parts and Accessories</t>
  </si>
  <si>
    <t>Procurement of Essential Supplies and Materials for the Project HEART (Health Awareness, Resistance and Treatment to Infection) 1st Wave</t>
  </si>
  <si>
    <t>SNACKS-MCO-GAD</t>
  </si>
  <si>
    <t>PROVISION OF TOILETRIES AND CLEANING MATERIALS</t>
  </si>
  <si>
    <t>Procurement of Diesel Fuel -06-351(A)PGO</t>
  </si>
  <si>
    <t>Procurement of Diesel Fuel -06-350(A)PGO</t>
  </si>
  <si>
    <t>PURCHASE OF TV AND WATER DISPENSER</t>
  </si>
  <si>
    <t>Customized Uniform for the IMT</t>
  </si>
  <si>
    <t>Construction of Residual Containment Facility ( RCF) Phase 1, Barangay Lico-an, Dump Site, Barotac Nuevo, Iloilo</t>
  </si>
  <si>
    <t>Construction of Residual Containment Facility (RCF) Phase 2, Barangay Lico-an, Barotac Nuevo, Iloilo</t>
  </si>
  <si>
    <t>Materials for drilling of water supply syste at various barangay, Cadiz City</t>
  </si>
  <si>
    <t>Procurement of Vehicle Parts for RP Vehicle Isuzu D'Max (SKX 797)</t>
  </si>
  <si>
    <t>06-PR-2020-0029 FOR USE OF DOOSAN HYDRAULIC EXCAVATION DX225LCA F16-43</t>
  </si>
  <si>
    <t>Meals, Snacks and Accommodation for the National Livestock Program 4th Quarter Assessment</t>
  </si>
  <si>
    <t>RFQ-NP-SVP-257-2020-Procurement of  ICT  Equipment for Balubal Campus.</t>
  </si>
  <si>
    <t>20CB-GSC-347 PURCHASE OF CAMERA FOR CITY ASSESSORS (RE-BID)</t>
  </si>
  <si>
    <t>Procurement of Office Supplies for use in ENRO, Odiongan, Romblon</t>
  </si>
  <si>
    <t>Rebidding: Job Order: 1 unit floor mounted aircon for City Council (Conference Room) use.</t>
  </si>
  <si>
    <t>PROCUREMENT OF MATERIALS FOR THE CONSTRUCTION/REHABILITATION OF DAY CARE CENTER AT BRGY. BUNSOD, VALDERRAMA, ANTIQUE</t>
  </si>
  <si>
    <t>INVITATION TO BID FOR SPARE PARTS FOR LIGHT &amp; HEAVY EQUIPMENT (BID NO. 200716-08)</t>
  </si>
  <si>
    <t>Procurement of Diesel Fuel -06-352(A)PGO</t>
  </si>
  <si>
    <t>RFQ-NP-SVP-258-2020-Procurement of  Office  Equipment for Balubal Campus.</t>
  </si>
  <si>
    <t>Supply &amp; Delivery of Construction Materials for the Water System Development at AKLIYANG E/S</t>
  </si>
  <si>
    <t>SUPPLY AND DELIVERY OF SPARE PARTS OF MUNICIPAL ROAD GRADER AND BULLDOZER</t>
  </si>
  <si>
    <t>Supply/Delivery for Office Supplies of Palimbang Campus</t>
  </si>
  <si>
    <t>Supply and Delivery of Motorcycle</t>
  </si>
  <si>
    <t>Supply and Delivery of 600 Cavans Well Milled Rice 50 kilos/cavan (2nd quarter)</t>
  </si>
  <si>
    <t>Materials for Construction of Proposed Fence of San Jose de Buenavista Municipal Fish Port</t>
  </si>
  <si>
    <t>Supply and Delivery of Laboratory Supplies and Equipment for various diagnostic services at DA-SADDL Puerto Princesa City  Palawan</t>
  </si>
  <si>
    <t>20CB-GSC-350 PURCHASE OF DELIVERY VAN STICKER</t>
  </si>
  <si>
    <t>PR 18-20-06-0647, CONSTRUCTION AND DEVELOPMENT OF LAND CIRCUMFERENTIAL ROAD (C-1 BOULEVARD) PORT AREA, BRGY VI, SAN CARLOS CITY (FILLING FOR EMBANKMENT).</t>
  </si>
  <si>
    <t>Supply and delivery of Promotional Items for the National Livestock Program 4th quarter assessment (PR 236</t>
  </si>
  <si>
    <t>AB-2020-0011:Supply and Delivery of  Paint Latex Gloss White for use in Repainting of Concrete Bridges along National Roads within Ilocos Norte 2nd District</t>
  </si>
  <si>
    <t>Collaterals for DOH Anniversary</t>
  </si>
  <si>
    <t>NEWSPAPER PUBLICATION (Local Circulation) OF THE 2019 REVISED REVENUE CODE OF THE MUNICIPALITY OF TIGBAUAN, ILOILO.</t>
  </si>
  <si>
    <t>LAP-ANGAN-PALIDAN ROAD, SUYOC, MANKAYAN, BENGUET</t>
  </si>
  <si>
    <t>SUPPLY AND DELIVERY OF VOICE RECORDER UNDER EMB-EQMD-HWMS  RFQ NO. EMB-EQMD-VOICE RECORDER-0026-6-22-2020-3rd Posting</t>
  </si>
  <si>
    <t>100 reams Book paper long</t>
  </si>
  <si>
    <t>Surber sampler</t>
  </si>
  <si>
    <t>20CB-GSC-349 PURCHASE OF PURIFIED DRINKING WATER</t>
  </si>
  <si>
    <t>supply and delivery of ICT office supplies  and other materials to be used at RADDL with PR#51 dated 03/04/2020 with an ABC of 177,300.00</t>
  </si>
  <si>
    <t>PR 18-20-06-0645, THIS PROJECT INCLUDES PLUMBING WORK, CONCRETE WORK, MASONRY WORK, PAINTING WORKS, HYDROTESTING, FLUSHING AND DISINFECTION.</t>
  </si>
  <si>
    <t>Supply and Delivery of Office Equipment Supplies and Consumables for use in DPWH Agusan del Sur 1st District Engineering Office</t>
  </si>
  <si>
    <t>Construction of Two – Storey Six (6) Classroom PAGCOR Design  School Building at Panitan NHS, Panitan, Capiz Affected by  Typhoon Yolanda (Rebid)</t>
  </si>
  <si>
    <t>Procurement of Diesel Fuel -06-353(A)PGO</t>
  </si>
  <si>
    <t>DILP ASSISTANCE 2020-06-01-MP</t>
  </si>
  <si>
    <t>Printing of Senior Citizen Booklet &amp; ID, PWD Booklet &amp; ID and Solo Parent ID</t>
  </si>
  <si>
    <t>20GCE0007: Procurement of Materials for use in the Activity 309 - Other Traffic Services (Centerline and Laneline Repainting) and in the Repair and Maintenance of Various National Roads</t>
  </si>
  <si>
    <t>PROVISION FOR THE PROCUREMENT OF FACE SHIELDS, FACE MASKS AND HYGIENE KIT</t>
  </si>
  <si>
    <t>EBMS -PM &amp; CALIBRATION OF BIOSAFETY CABINET (1ST POSTING)</t>
  </si>
  <si>
    <t>SUPPLY AND DELIVERY OF FUEL/FUELS, ADDITIVES &amp; LUBRICANTS &amp; ANTI-CORROSIVE (JULY 2020)</t>
  </si>
  <si>
    <t>20CB-GSC-352 PURCHASE OF GENERAL MERCHANDISE</t>
  </si>
  <si>
    <t>20CB-GSC-354 PURCHASE OF PRINTER FOR SEF</t>
  </si>
  <si>
    <t>RFQ - Examination Gloves (Medium)</t>
  </si>
  <si>
    <t>Supply and Delivery of 18 Watts Bulb</t>
  </si>
  <si>
    <t>Tissue Grinder</t>
  </si>
  <si>
    <t>Procurement of Supplies and Materials for Plumbing Maintenance of NFTI</t>
  </si>
  <si>
    <t>WASTE DISPOSAL OF INFECTIOUS / TOXIC WASTE FOR MCH</t>
  </si>
  <si>
    <t>Supply and delivery of Fuel for Mlang PNP vehicles use.</t>
  </si>
  <si>
    <t>PB BAC1-20-006 SUPPLY AND DELIVERY OF VARIOUS CONSTRUCTION SUPPLIES - PABX –  FOR 2020</t>
  </si>
  <si>
    <t>Purchase &amp; Delivery of Information Technology Parts &amp; Accessories for use in City Mayor's Office, S.C.</t>
  </si>
  <si>
    <t>EBMS -PM &amp; CALIBRATION OF ANESTHESIA MACHINE W/ VAPORIZER (1ST POSTING)</t>
  </si>
  <si>
    <t>Supply and Delivery of Whole Chicken for distribution to the affected families in relation to the State of Calamity GCQ (under COVID-19)</t>
  </si>
  <si>
    <t>Procurment of Vehicle Parts for RP Vehicle New Isuzu Dumptruck</t>
  </si>
  <si>
    <t>12 Months Video conference Subscription</t>
  </si>
  <si>
    <t>REHAB./IMPROVEMENT OF BIRTHING CLINIC</t>
  </si>
  <si>
    <t>Office Supplies for Budget Office</t>
  </si>
  <si>
    <t>FLU VACCINATION</t>
  </si>
  <si>
    <t>PROCUREMENT OF HARDWARE MATERIALS FOR REHABILITATION OF EXISTING BUSANAMCO RATTAN PROCESSING CENTER AT BARANGAY BUNGA, LANUZA, SURIGAO DEL SUR</t>
  </si>
  <si>
    <t>SURVEY OF LOTS</t>
  </si>
  <si>
    <t>Procurement of IT Suppes and Materials for official use at DOH-TRC (Dulag) with PR No. 2020-06-201</t>
  </si>
  <si>
    <t>PROCUREMENT OF 4 UNITS MOTORCYCLE FOR MUNICIPAL OFFICES USAGE</t>
  </si>
  <si>
    <t>PROCUREMENT OF  CONSTRUCTION MATERIALS FOR CONCRETING OF ALGECIRAS FMR</t>
  </si>
  <si>
    <t>Procurement of SEAFOOD PRODUCTS for Dietary Use of Davao Oriental Provincial Medical Center (DOPMC)</t>
  </si>
  <si>
    <t>Installationof Streetlights( Fronting &amp; Beside Mun. BLDG. &amp; DENR Bldg.)</t>
  </si>
  <si>
    <t>Procurement of Goods (Assorted Supplies for Locally Stranded Indivuduals used in effect of the COVID-19 Pandemic)</t>
  </si>
  <si>
    <t>Office Supplies for use at Accounting Office</t>
  </si>
  <si>
    <t>Replacement of damaged network equipments</t>
  </si>
  <si>
    <t>Purchase of materials and supplies for remote learning (radio recording room)</t>
  </si>
  <si>
    <t>EBMS -PM &amp; CALIBRATION OF MERCK-MILLIPORE (6TH POSTING)</t>
  </si>
  <si>
    <t>20CB-GSC-348 REPAIR FOR MOTOR VEHICLE FOR CHO</t>
  </si>
  <si>
    <t>Other Supplies-MENRO</t>
  </si>
  <si>
    <t>PR 221-20-06-0637, FOR USE OF REPAIR OF ROOFING AND TRUSSES OF 1 CLASSROOM BUILDING AT QUEZON ELEMENTARY SCHOOL, SAN CARLOS CITY.</t>
  </si>
  <si>
    <t>PROPOSED REHABILITATION OF MUNICIPAL ROADS</t>
  </si>
  <si>
    <t>Purchase &amp; Delivery of Information Technology Parts &amp; Accessories for use in City Accounting Office, S.C.</t>
  </si>
  <si>
    <t>PROCUREMENT OF TWO (2) UNITS MOTORCYCLE FOR MUNICIPAL AGRICULTURE OFFICE USE AT MUNICIPALITY OF AYUNGON, NEGROS ORIENTAL</t>
  </si>
  <si>
    <t>RFQ NO. 2020-162</t>
  </si>
  <si>
    <t>Supply &amp; Delivery of Eddy Current Dynamometer</t>
  </si>
  <si>
    <t xml:space="preserve">Request for Quotation for the Provision of Catering services to be used for the conduct of RCM Briefing Batch 1 and Batch 2 on September 29, 2020 at Tagoloan, Misamis Oriental and October 29, 2020 at </t>
  </si>
  <si>
    <t>INVITATION TO BID FOR FABRICATION (BID NO. 200716-10)</t>
  </si>
  <si>
    <t>Materials for making Traffic Signages</t>
  </si>
  <si>
    <t>supply and delivery of LAPTOP FOR THE CONFERENCE ROOM DURING VIRTUAL MEETINGS AND PRESENTATIONS</t>
  </si>
  <si>
    <t>Purchase &amp; Delivery of Hardware &amp; Construction Supplies for the project Construction of School Perimeter Fence (Phase III)-Bonok-Bonok Awardee Mat-i Nat'l. High School, Brgy. Mat-i, Surigao City</t>
  </si>
  <si>
    <t>Drugs - Ertapenem 1GM (2nd Posting)</t>
  </si>
  <si>
    <t>Supply and delivery of Various Field Supplies</t>
  </si>
  <si>
    <t>Purchase of Air Conditioning units for use at APSEMO (Traffic Division Office and New Office for COVID-19)</t>
  </si>
  <si>
    <t>Consolidated PR- Other/janitorial supplies for various offices for 1st quarter-C Place of Delivery: Warehouse, City General Services Office at City Hall Compound, Peñaplata, IGaCoS under CONSOLIDATED-</t>
  </si>
  <si>
    <t>Sand And Gravel</t>
  </si>
  <si>
    <t>Printing of Certificate of Cover</t>
  </si>
  <si>
    <t>Procurement of Furniture and Fixtures for the use of Different Offices</t>
  </si>
  <si>
    <t>INVITATION TO BID FOR OIL AND LUBRICANTS (BID NO. 200716-11)</t>
  </si>
  <si>
    <t>RFQ - Bench</t>
  </si>
  <si>
    <t>RFQ Supply &amp; Delivery of  STAINLESS STEEL WATER TANK</t>
  </si>
  <si>
    <t>Procurement of various IT equipment/ accesories to be used at the City Accounting Office, Alaminos City</t>
  </si>
  <si>
    <t>PR OFFICE SUPPLIES AND CONSUMABLES (INSET)2020</t>
  </si>
  <si>
    <t>Supply and Installation of Solar Streetlights at Brgy. Poblacion, Tolosa, Leyte</t>
  </si>
  <si>
    <t>INVITATION TO BID FOR LABORATORY REAGENTS AND CHEMICALS (BID NO. 200716-12)</t>
  </si>
  <si>
    <t>Procurement of Portable Speaker System as Learning Resource Material for Sports Track</t>
  </si>
  <si>
    <t>Supply, Delivery and Installation of Customized Furniture and Fixtures for the use of Office of the Building Official</t>
  </si>
  <si>
    <t>ELECTRICAL SUPPLIES</t>
  </si>
  <si>
    <t>SUPPLY AND DELIVERY OF VASCULAR DOPPLER</t>
  </si>
  <si>
    <t>INSPECTION SUPPLIES 2020-TSSD-16</t>
  </si>
  <si>
    <t>MEALS AND SNACKS-SB-Legislative</t>
  </si>
  <si>
    <t>Supply and Delivery of 36 Units GSPS Prepaid Load</t>
  </si>
  <si>
    <t>PROCUREMENT OF OFFICE SUPPLIES FOR THE USE OF SANGGUNIANG BAYAN OFFICE, TIGBAUAN, ILOILO.</t>
  </si>
  <si>
    <t>Purchase &amp; Delivery of Vehicle Parts &amp; Accessories for use in Replacement of Tire for CSAM Vehicles, City Engineering Office, Surigao City</t>
  </si>
  <si>
    <t>Medical Supplies for Renal Program</t>
  </si>
  <si>
    <t>Procurement of Office Equipment for use of ENRO, Odiongan, Romblon</t>
  </si>
  <si>
    <t>PR 401-20-03-0443, FOR DISTRIBUTION TO PREGNANT WOMEN OF DIETARY SUPPLEMENTAL PROGRAM OF 18 BARANGAYS.</t>
  </si>
  <si>
    <t>Procurement of Learning Resource Materials for Cookery Track</t>
  </si>
  <si>
    <t>FURNITURE AND FIXTURES</t>
  </si>
  <si>
    <t>Supply and Delivery of Materials for Road Concreting at Sitio Abaca, 				  Nug-as, Alcoy, Cebu</t>
  </si>
  <si>
    <t>SUPPLY AND DELIVERY OF WIRELESS MOUSE, WIRED MOUSE,  POWERBANK AND USB UNDER EMB-EQMD-PEPP  RFQ NO. EMB-EQMD-PEPP-SHOPPING-0020-6-22-2020-3rd posting</t>
  </si>
  <si>
    <t>Supply and Delivery of Various Spare Parts for Heavy Equipment</t>
  </si>
  <si>
    <t>Concreting of Road</t>
  </si>
  <si>
    <t>20HG0176 - Construction/Rehabilitation of Water Supply/Septage and Sewerage/Rain Water Collectors – Rain Water Collectors in Public Facilities at (1) Obo ES, Dalaguete, (2) Cangcabalong ES, Dalaguete,</t>
  </si>
  <si>
    <t>Supply, Delivery and Installation of Airconditioning Units for the use of Office of the Building Official</t>
  </si>
  <si>
    <t>CONSTRUCTION OF SLF SORTING AREA</t>
  </si>
  <si>
    <t>Purchase &amp; Delivery of Hardware &amp; Construction Supplies for use in Repair of Drainage Canal, Purok 2, Brgy. Lipata, Surigao City</t>
  </si>
  <si>
    <t>100 ltrs. Premium Gasoline for Concrete Mixer @ TPC School Building (AVR)</t>
  </si>
  <si>
    <t>Supply and delivery of Fertilizers</t>
  </si>
  <si>
    <t>Procurement of Netbooks and Printers for Subject Coordinators, Property Custodian, Assistant Principal &amp; Registrar for Work from Home</t>
  </si>
  <si>
    <t>RFQ-NP-SVP-256b-2020-Procurement of  Ferrocement Structural Components Molded From Ordinary PVC Pipes: Tests for Low-Cost Housing Use.</t>
  </si>
  <si>
    <t>Drugs - Eperisone HCL 50mg (2nd Posting)</t>
  </si>
  <si>
    <t>INVITATION TO BID FOR VETERINARY DRUGS AND MEDICINES (BID NO. 200716-13)</t>
  </si>
  <si>
    <t>PROCUREMENT OF NON-GLUTARALDEHYDE SOLUTION</t>
  </si>
  <si>
    <t>PB BAC1-20-007 SUPPLY AND DELIVERY OF VARIOUS CONSTRUCTION SUPPLIES - CARPENTRY –  FOR 2020</t>
  </si>
  <si>
    <t>STRAIGHT CONTRACT - PROVISION/INSTALLATION OF CUBICLES FOR CONSULTATION OF SUSPECTED COVID-19 PATIENTS</t>
  </si>
  <si>
    <t>For use of ENRO in the implementation of Mt. Guiting-guiting Conservation &amp; Protection Assistance), Province of Romblon</t>
  </si>
  <si>
    <t>PROVISION FOR THE REPRODUCTION OF LEARNING MATERIALS AND MODULES OF SHS TEACHERS AND STUDENTS</t>
  </si>
  <si>
    <t>Water Sampler</t>
  </si>
  <si>
    <t>Request for Quotation (Digital Mirror Less Camera; etc.)</t>
  </si>
  <si>
    <t>Printing of Modules for June 2020</t>
  </si>
  <si>
    <t>Repair/Rehabilitation of Cajidiocan Central School, Cajidiocan, Romblon</t>
  </si>
  <si>
    <t>SUPPLY AND DELIVERY OF EXTERNAL MEMORY DRIVE UNDER EMB-EQMD-HWMS  RFQ NO. EMB-EQMD-MEMORY DRIVE-0027-6-22-2020-3rd posting</t>
  </si>
  <si>
    <t>SUPPLY AND DELIVERY OF INFUSION PUMP</t>
  </si>
  <si>
    <t>REQUEST FOR QUOTATION-PURCHASE OF FIRE EXTINGUISHER</t>
  </si>
  <si>
    <t>Purchase of Electric Supplies and Lighting Components</t>
  </si>
  <si>
    <t>Organic for Agriculture NC II for Practical Work Area</t>
  </si>
  <si>
    <t>PURCHASE OF OFFICE EQUIPMENT (MENRO) (HRMO)</t>
  </si>
  <si>
    <t>RFQ-NP-SVP-256-2020-Procurement of  Ferrocement Structural Components Molded From Ordinary PVC Pipes: Tests for Low-Cost Housing Use.</t>
  </si>
  <si>
    <t>Supplies and Materials of Power House at East Campus</t>
  </si>
  <si>
    <t>SUPPLY AND DELIVERY OF OFFICE EQUIPMENT FOR RHU LYINNG IN</t>
  </si>
  <si>
    <t>Procurement of ICT Equipment for the use of Different Offices</t>
  </si>
  <si>
    <t>CONST. OF DRAINAGE CANAL</t>
  </si>
  <si>
    <t>OFFICE TABLE</t>
  </si>
  <si>
    <t>SUPPLY AND DELIVERY OF SYRINGE PUMP</t>
  </si>
  <si>
    <t>Supply and Delivery of Various Lumber and Plywood (7 items), as per BSP Technical Specifications and Terms and Conditions</t>
  </si>
  <si>
    <t>Procurement of Supply &amp; Delivery of 56 heads Caracows (Typhoon Ursula)</t>
  </si>
  <si>
    <t>Procurement of Office Supplies for the use of Different Offices</t>
  </si>
  <si>
    <t>BARANGAY 770 MOOE" OFFICE SUPPLIES" /RRMF"DRUGS &amp; MEDICINES, MEDICAL SUPPLIES/CCTV CAMERA</t>
  </si>
  <si>
    <t>REQUEST FOR QUOTATION-PREPAID CARDS</t>
  </si>
  <si>
    <t>Supply of Aggregates for Malibho CIS</t>
  </si>
  <si>
    <t>Purchase and Delivery of Office Supplies (Bond Paper)</t>
  </si>
  <si>
    <t>SUPPLY AND DELIVERY OG BASSINET WITH OPEN BIN</t>
  </si>
  <si>
    <t>PURCHASE OF MINI DUMPTRUCK</t>
  </si>
  <si>
    <t>Purchase &amp; Delivery of Medical Supplies for use in City Veterinary Office for Animal Vaccination, Surigao City.</t>
  </si>
  <si>
    <t>Office Supplies for Assessors Office Use</t>
  </si>
  <si>
    <t>SUPPLY AND DELIVERY OF VEGETABLE SEEDS</t>
  </si>
  <si>
    <t>Construction of Drainage System ( Back side of Mun. Building), Brgy. Tabucan, Barotac Nuevo, Iloilo</t>
  </si>
  <si>
    <t>Procurement of Supply &amp; Delivery of Goat (Typhoon Ursula)</t>
  </si>
  <si>
    <t>RFQ-NP-SVP-re201-2020-Procurement of  Supplies and Materials for Infrastructure Repair and Maintenance.</t>
  </si>
  <si>
    <t>INVITATION TO BID FOR COMPUTER SUPPLIES AND MATERIALS (BID NO. 200716-15)</t>
  </si>
  <si>
    <t>Purchase of Megaphone</t>
  </si>
  <si>
    <t>(VJLN - KMD) DEVELOPMENT OF WEBSITE AND MOBILE APPLICATION FOR E-PUBLICATION AND PCC KNOWLEDGE PRODUCTS</t>
  </si>
  <si>
    <t>Supplies for Family Planning</t>
  </si>
  <si>
    <t>OUTDOOR PROJECTOR AND LAPTOP WITH PRINTER</t>
  </si>
  <si>
    <t>INVITATION TO BID FOR OFFICE SUPPLIES AND MATERIALS (BID NO. 200716-14)</t>
  </si>
  <si>
    <t>PROCUREMENT OF 1,476 PCS. 9mm AMMOS (HARDBALL) USE FOR MARKMANSHIP TRAINING OF PNP PERSONNEL</t>
  </si>
  <si>
    <t>Desktop - CoMedicine</t>
  </si>
  <si>
    <t>ROAD IMPROVEMENT ALONG BATONG BUHAY TO COLAYO FMR</t>
  </si>
  <si>
    <t>Office Supplies for OMAS Office</t>
  </si>
  <si>
    <t>Procurement of Goods (Tires for Isuzu Forward Rescue Vehicles for MDRRMC Office use.)</t>
  </si>
  <si>
    <t>Annual Medical Exam for Job Order Employees for CY 2020</t>
  </si>
  <si>
    <t>Supply and Delivery of Diesel and Gasoline of SDSSU San Miguel Campus</t>
  </si>
  <si>
    <t>SUPPLY AND DELIVERY OF FIXTURE AND FURNITURE</t>
  </si>
  <si>
    <t>2020-06-010 (SVP): Maintenance and Operation of DPWH Floating Equipment Amphibious Excavator 19 (K4-25) for the Maintenance Dredging of Las Piñas-Zapote River (savings of SR-2019-07-007517)</t>
  </si>
  <si>
    <t>Materials for Environmental Program</t>
  </si>
  <si>
    <t>PROVISION OF SUPPLIES AND MATERIALS NEEDED FOR SHS STUDENTS AND TEACHERS</t>
  </si>
  <si>
    <t>Supply and Delivery, Installation and Commissioning of a Web Based Total Information Systems Management with Citizen Mobile App (Phase 2)</t>
  </si>
  <si>
    <t>Electrical System and Lightning Components</t>
  </si>
  <si>
    <t>PROCUREMENT OF SENIOR CITIZENS ID, MEDICINE BOOKLETS AND GROCERY BOOKLETS FOR THE USE OF SENIOR CITIZENS, TIGBAUAN, ILOILO</t>
  </si>
  <si>
    <t>EBMS -PM AND CALIBRATION OF FA-12 HEARING EVALUATOR (7TH POSTING)</t>
  </si>
  <si>
    <t>Purchase of Information Technology for Local School Board of the Municipality of Dingras, Ilocos Norte.</t>
  </si>
  <si>
    <t>REHABILITATION OF FENCE (WEST SIDE AT LAMAO ELEMENTARY SCHOOL</t>
  </si>
  <si>
    <t>PROVISION OF DOMESTIC FORWARDING OR FREIGHT SERVICES  FOR THE TRANSMITTAL OF VARIOUS DOCUMENTS OF  Pag-IBIG FUND, CAGAYAN VALLEY REGION</t>
  </si>
  <si>
    <t>Procurement of 46,700 bottles Rifampicin 200mg/5ml (REBID)</t>
  </si>
  <si>
    <t>PROCUREMENT AND DELIVERY OF PRINTING SERVICESFOR RECRUITMENT OF FIRE OFFICER 1 ATTRITION QUOTA 1ST SEM OF BFP R4A FOR FY 2020</t>
  </si>
  <si>
    <t>PROCUREMENT OF THREE (3) UNIT PRINTER AND THREE (3) UNITS AUTOMATIC VOLTAGE REGULATOR FOR LEGAL DIVISION</t>
  </si>
  <si>
    <t>Purchase of generator Set</t>
  </si>
  <si>
    <t>REPAIR/REHAB OF MUNICIPAL TRIAL COURT</t>
  </si>
  <si>
    <t>Refill of Medical Oxygen Cylinders (GCH)</t>
  </si>
  <si>
    <t>PROCUREMENT OF 800 LITERS OF ADF, 1 PAIL OF OIL 40 AND 2 PAIL OF OIL 10 USE FOR EMBANKMENT OF PROPOSED EVACUATION CENTER AT POBLACION NORTH, PIÑAN, ZN</t>
  </si>
  <si>
    <t>Procurement of Supply &amp; Delivery of Native Chicken (Typhoon Ursula)</t>
  </si>
  <si>
    <t>SLOPE PROTECTION (at MLGU Premises)</t>
  </si>
  <si>
    <t>Disaster Equipments</t>
  </si>
  <si>
    <t>2020-06-009 (SVP): Maintenance and Operation of DPWH Floating Equipment Amphibious Excavator 9 (K4-15) for the Maintenance Dredging of Las Piñas-Zapote River (savings of SR-2019-07-007520)</t>
  </si>
  <si>
    <t>20GKG0029 (PR No. 20-06-088)- Procurement of Construction Materials and Supplies for use in the Construction of  DPWH Materials Quality Control Building, DPWH-Lanao del Norte 1st District Engineering</t>
  </si>
  <si>
    <t>PROCUREMENT OF CHEST FREEZER</t>
  </si>
  <si>
    <t>CONCRETING OF PATHWAYS</t>
  </si>
  <si>
    <t>Sewing Machine (MO/WOMENS)</t>
  </si>
  <si>
    <t>For use of ENRO for the Project Provincial Reforestation Program, Province of Romblon</t>
  </si>
  <si>
    <t>Repair and Maintenance of Alabel District Jail Facility of BJMPRO-XII for the Second Quarter of 2020</t>
  </si>
  <si>
    <t>One Lot Information and Technology Parts &amp; Accessories &amp; Peripherals</t>
  </si>
  <si>
    <t>ROAD LANDSLIDE CLEARING &amp; PROTECTION PASIL ROAD ACCESS (BALINSAT SECTION )</t>
  </si>
  <si>
    <t>Procurement of Supply &amp; Delivery of Piglets (Typhoon Ursula)</t>
  </si>
  <si>
    <t>REPAIR AND MAINTENANCE OF HEAVY EQUIPMENT</t>
  </si>
  <si>
    <t>PROVISION OF DISINFECTANT FOOT BATH</t>
  </si>
  <si>
    <t>Office Supplies - CoMedicine</t>
  </si>
  <si>
    <t>Supply and Delivery of COVID-19 supplies for use at the Office of the Legislative Building. 0300-2020</t>
  </si>
  <si>
    <t>18 cu.m Sand (Std. Specs) and  other items for construction of drainage canal with cover at Purok Gumamela going to Purok Sampaguita at Brgy. Calindagan.</t>
  </si>
  <si>
    <t>For School Grounds Sanitaion and Proper Waste Segregation</t>
  </si>
  <si>
    <t>Procurement of 600 bottles Immersion Oil</t>
  </si>
  <si>
    <t>Repair/Restoration of Slope Protection along Romblon-Sawang-Agpanabat Road (Agnay Section), Romblon, Romblon</t>
  </si>
  <si>
    <t>Purchase of Spare Parts for Repair and Maintenance of Transportation Equipment for VMO use</t>
  </si>
  <si>
    <t>CONCRETING OF BRGY. SAN PEDRO APARTADO FMR, BRGY. SAN PEDRO APARTADO, ALCALA, PANGASINAN</t>
  </si>
  <si>
    <t>Repair, Parts and accessories of SJB 723</t>
  </si>
  <si>
    <t>PROCUREMENT / INSTALLATION OF REPEATER ANTENNA ( HANDHELD RADIO )</t>
  </si>
  <si>
    <t>CONSTRUCTION OF MULTI-PURPOSE OFFICE (PHASE II)</t>
  </si>
  <si>
    <t>PB BAC1-20-008 SUPPLY AND DELIVERY OF VARIOUS CONSTRUCTION SUPPLIES - PAINTING  FOR 2020</t>
  </si>
  <si>
    <t>20 pax 1 Meals &amp; 2 Snacks for 5 days serve during Field Validation &amp; Database Encoding of SAP Beneficiares</t>
  </si>
  <si>
    <t>For use in Service Vehicle SGS-506/HI-4582 and SAE-397/HI-2770 of Maintenance Section 3rd Quarter.</t>
  </si>
  <si>
    <t>PROCUREMENT AND DELIVERY OF CATERING SERVICES FOR RECRUITMENT OF FIRE OFFICER 1 ATTRITION QUOTA 1ST SEM OF BFP R4A FOR FY 2020</t>
  </si>
  <si>
    <t>Procurement of 42 set CD4 Machine Control (Rebid)</t>
  </si>
  <si>
    <t>Appliances - CoMedicine</t>
  </si>
  <si>
    <t>2020-06-011 (SVP): Wall Partition with Installation for the use of Construction Section</t>
  </si>
  <si>
    <t>Construction of Multi-Purpose Building Sta. Monica Lubao, Pampanga</t>
  </si>
  <si>
    <t>Purchase of Photo Copier for the Office of the Municipal Treasurer</t>
  </si>
  <si>
    <t>Procurement of Supplies &amp; Materials for the use of Dr. Rafael S. Tumbokon Memorial Hospital-EEDD, Kalibo, Aklan/ITB no: 2020-363</t>
  </si>
  <si>
    <t>Procurement of Desktop computer and Printer</t>
  </si>
  <si>
    <t>OB-GYNE -RE-CHARGEABLE EMERGENCY LIGHT (4TH POSTING)</t>
  </si>
  <si>
    <t>SUPPLY AND DELIVERY OF MATERIALS TO BE USED FOR THE INSTALLATION OF STREET LIGHTS, DIFFERENT SITIOS</t>
  </si>
  <si>
    <t>PROCUREMENT OF REPAIR AND MAINTENANCE SERVICES AND UPGRADE OF CCTV SYSTEM</t>
  </si>
  <si>
    <t>SUPPLY AND DELIVERY OF EXTERNAL HARD DRIVE</t>
  </si>
  <si>
    <t>PROCUREMENT AND DELIVERY OF OTHER SUPPLIES &amp; MATERIALS FOR ORIENTATION PROGRAM OF NEWLY APPOINTED FIRE OFFICEER 1 ATTRITION QUOTA 1ST SEM OF BFP R4A FOR FY 2020</t>
  </si>
  <si>
    <t>Drugs - Amlodipine 5MG (2nd Posting)</t>
  </si>
  <si>
    <t>PROCUREMENT AND DELIVERY OF OFFICE SUPPLIES FOR ORIENTATION PROGRAM OF NEWLY APPOINTED FIRE OFFICER 1 ATTRITION QUOTA 1ST SEM OF BFP R4A FOR FY 2020</t>
  </si>
  <si>
    <t>For use in the Construction of Provincial Buyback Center, Province of Romblon</t>
  </si>
  <si>
    <t>Re-Painting of Provincial Engineering Office  (PEO) and Motorpool, Romblon, Romblon</t>
  </si>
  <si>
    <t>One (1) Job Order for the Supply of Labor and Materials for Construction of Perimeter Fence at Brgy. Bunga, Mambusao, Capiz</t>
  </si>
  <si>
    <t>RFQ Supply &amp; Delivery of  COMPUTER SETS</t>
  </si>
  <si>
    <t>Procurement of Supply &amp; Delivery of 64 heads Cattle (Typhoon Ursula)</t>
  </si>
  <si>
    <t>NEGOTIATED PROCUREMENT FOR THE PURCHASE OF MATERIALS FOR INSTALLATION OF 48" RCCP AT RIZAL STREET</t>
  </si>
  <si>
    <t>Construction of Multi-Purpose Building Sto. Domingo Elementary School, Brgy. Sto. Domingo Lubao, Pampanga</t>
  </si>
  <si>
    <t>Drugs and Medicines-MHO TF MCP</t>
  </si>
  <si>
    <t>“EVENT MANAGEMENT - VENUE RENTAL, FOOD AND ACCOMMODATION”</t>
  </si>
  <si>
    <t>REHABILITATION OF FENCE (EAST SIDE) AT LAMAO ELEMENTARY SCHOOL</t>
  </si>
  <si>
    <t>Procurement of 1,700 pcs. Etonogestrel Subdermal Implant</t>
  </si>
  <si>
    <t>Purchase of Expanded NBS Specimen Collection Kit for Newborn Screening Test.</t>
  </si>
  <si>
    <t>Supply &amp; Delivery of Various Vehicle Parts &amp; Accessories use for the Maintenance of Various City Vehicles, Himamaylan City</t>
  </si>
  <si>
    <t>Office supplies and other consumables</t>
  </si>
  <si>
    <t>One (1) Lot Information and Technology</t>
  </si>
  <si>
    <t>2020-06-013 (SHOP): Construction Materials for the use of Annual Routine Maintenance of Various National Roads &amp; Bridges for the 2nd Quarter of CY-2020</t>
  </si>
  <si>
    <t>2020-06-012 (SVP): Furniture &amp; Fixtures with Installation for the use of Construction Section</t>
  </si>
  <si>
    <t>Supply and Delivery of School Equipment</t>
  </si>
  <si>
    <t>Supply and Delivery of   Booklets and Identification Cards for Senior Citizens</t>
  </si>
  <si>
    <t>Office Desk-CoMedicine</t>
  </si>
  <si>
    <t>Supply and On Site Delivery of Farm Machineries</t>
  </si>
  <si>
    <t>PROCUREMENT OF JANITORIAL SUPPLIES FOR THE MAINTENANCE OF THE CLEANLINESS OF THE MUNICIPAL SURROUNDINGS, TIGBAUAN, ILOILO.</t>
  </si>
  <si>
    <t>1 Lot Procurement of Fuel, Oil and Lubricants (Fleet Card Service Program)</t>
  </si>
  <si>
    <t>Repair/Maintenance of Roofing of Repair Bay and Window Glass at Provl. Engg. Sub-Office at Alcantara, Romblon</t>
  </si>
  <si>
    <t>Purchase of Medical supplies</t>
  </si>
  <si>
    <t>Purchase of native chicken for dispersal</t>
  </si>
  <si>
    <t>SECURITIES AND FACILITIES ENHANCEMENT</t>
  </si>
  <si>
    <t>EBMS -TERMITE ELIMINATION SERVICES &amp; 1 OTHER (4TH POSTING)</t>
  </si>
  <si>
    <t>SUPPLY AND DELIVERY OF OCP AND PCB STANDARDS UNDER EMB-ERLSD-ELSS</t>
  </si>
  <si>
    <t>supply &amp; delivery of Various Maintenance Materials</t>
  </si>
  <si>
    <t>Construction of Multi-Purpose Building Brgy. Manibaug Libutad, Porac, Pampanga</t>
  </si>
  <si>
    <t>Bidding 14, 2020</t>
  </si>
  <si>
    <t>Priniting and Supply of NAPOLCOM Newsletter</t>
  </si>
  <si>
    <t>Push Cart Foldable (Records)</t>
  </si>
  <si>
    <t>20GKG0030 (PR No. 20-06-089)- Procurement of Construction Materials and Supplies for use in the Construction of DPWH Building Praying Center , DPWH-Lanao del Norte 1st District Engineering Office, 005</t>
  </si>
  <si>
    <t>Purchase of 1 unit Surveying Equipment for use of the Municipality of Dingras, Ilocos Norte.</t>
  </si>
  <si>
    <t>RFQ - Preventive Maintenance of GCMS PDEA RO7</t>
  </si>
  <si>
    <t>Supply and Delivery of DMMMSU-PERF Animal Feeds</t>
  </si>
  <si>
    <t>Drugs and Medicines</t>
  </si>
  <si>
    <t>Procurement of drugs and biologics of livestock animal for farmer distribution</t>
  </si>
  <si>
    <t>Supplies &amp; Delivery for  Disaster Related  Equipment</t>
  </si>
  <si>
    <t>Repair and Maintenance of Motor Vehicle, Calasiao, Pangasinan</t>
  </si>
  <si>
    <t>CONSTRUCTION OF WAITING SHED / REST AREA, BRGY. COBRADOR, ROMBLON, ROMBLON</t>
  </si>
  <si>
    <t>CONSTRUCTION OF TWO (2) STOREY, FOUR (4) CLASSROOM SCHOOL BUILDING, MABURAC ELEMENTARY SCHOOL, AT VILLASIS, PANGASINAN</t>
  </si>
  <si>
    <t>RIS# 20-13-186 DIESEL FUEL</t>
  </si>
  <si>
    <t>Procurement of Hydralazine 20mg/ml, 1ml</t>
  </si>
  <si>
    <t>One (1) Lot Provision of Security Services for 2020 (August-December)</t>
  </si>
  <si>
    <t>P.R. LASER PRINTER</t>
  </si>
  <si>
    <t>Barangay 41 BDF 2020</t>
  </si>
  <si>
    <t>RFQ SIPHONING WORKS OF BATMC SEPTIC TANKS</t>
  </si>
  <si>
    <t>Livelihood Food Cart</t>
  </si>
  <si>
    <t>Purchase of Construction Materials and Supplies</t>
  </si>
  <si>
    <t>PBD OF DIESEL USE FOR ALL GOVERNMENT VEHICLE OF THIS MUNICIPALITY</t>
  </si>
  <si>
    <t>Fabrication &amp; Installation of Basketball Goal at Mohon Sports Complex</t>
  </si>
  <si>
    <t>Repair of 2 Air Conditioning Units for RHU Office</t>
  </si>
  <si>
    <t>MATERIALS USED DURING  COVID 19 PANDEMIC</t>
  </si>
  <si>
    <t>supply &amp; delivery of Various Construction Materials</t>
  </si>
  <si>
    <t>Construction of Pagsanaan Sur Post Harvest Facility</t>
  </si>
  <si>
    <t>Procurement of Consultancy Services (July to December 2020)</t>
  </si>
  <si>
    <t>Supply and Delivery of Equipment for Women Meat Processing Project</t>
  </si>
  <si>
    <t>Procurement of Agricultural Inputs..diff. vegetable seeds ant other inputs under DAR ARBold program</t>
  </si>
  <si>
    <t>Procurement of various supplies given to pregnant women during the National Celebration of Nutrition Month 2020, Alaminos City</t>
  </si>
  <si>
    <t>NANAY PATROLERS</t>
  </si>
  <si>
    <t>Construction of Administrative Office at Palo National High School</t>
  </si>
  <si>
    <t>One (1) Lot Laboratory Equipment</t>
  </si>
  <si>
    <t>Training Expense-Php 283,232.00 AFPPS</t>
  </si>
  <si>
    <t>PURCHASE OF FUEL, OIL AND LUBRICANTS FOR THE CONSTRUCTION OF BRGY. INDALUYON-PINAOPAWAN-IGPIGUS ROAD SECTION</t>
  </si>
  <si>
    <t>Delivery and Supply of Meals, Venue and Accommodation 2020 CPH Second Level Training BATANGAS &amp; RSSO Cluster</t>
  </si>
  <si>
    <t>books - CoMedicine</t>
  </si>
  <si>
    <t>Construction of Multi-Purpose Building beside the Diosdado Macapagal Building, San Jose Sta. Rita, Pampanga</t>
  </si>
  <si>
    <t>2 units Digital Overhead Stirrer....</t>
  </si>
  <si>
    <t>Procurement of 433 pcs. Advocacy Jacket, reversible</t>
  </si>
  <si>
    <t>Rehabilitation of Lumbang Weste Bridge, Cajidiocan, Romblon</t>
  </si>
  <si>
    <t>LABOR AND MATERIALS FOR THE CONSTRUCTION OF MUNICIPAL WAREHOUSE AT POBLACION,BADIAN,CEBU</t>
  </si>
  <si>
    <t>PB BAC1-20-010 SUPPLY AND DELIVERY OF VARIOUS CONSTRUCTION SUPPLIES – MECHANICAL/CMGVS - FOR 2020</t>
  </si>
  <si>
    <t>supply &amp; delivery of Chlorine Tablets &amp; Water Purification Tablets</t>
  </si>
  <si>
    <t>Procurement of costumized face mask to be given to participants of national celebration of Nutrition Month 2020, Alaminos City</t>
  </si>
  <si>
    <t>FURNITURE</t>
  </si>
  <si>
    <t>PURCHASE OF CCTV CAMERA</t>
  </si>
  <si>
    <t>PURCHASE OF WATER PUMP WITH HOSE</t>
  </si>
  <si>
    <t>Supply and Delivery of   Furniture &amp; Fixtures for City Health Office</t>
  </si>
  <si>
    <t>Labor &amp; Materials for the Completion of Municipal Library, Brgy. Balite, Rodriguez, Rizal</t>
  </si>
  <si>
    <t>Oil 10, Brake Fluid and Coolant foe Excavator</t>
  </si>
  <si>
    <t>Procurement of 1,091 cannister Effervescent Chlorine Tablet 1.7 g</t>
  </si>
  <si>
    <t>Supply and Delivery of Laboratory Supplies and Equipment for various diagnostic services at DA-SADDL Puerto Princesa,City Palawan</t>
  </si>
  <si>
    <t>Procurement of Office Equipment for the use of Different Offices</t>
  </si>
  <si>
    <t>Supplies &amp; Delivery for  I.T  Equipment</t>
  </si>
  <si>
    <t>Construction of Multi-Purpose Building Brgy. San Basilio Sta. Rita, Pampanga</t>
  </si>
  <si>
    <t>FURNITURE ACCESSORIES</t>
  </si>
  <si>
    <t>PURCHASE OF TELEVISION SET</t>
  </si>
  <si>
    <t>Procurement of Cefepime 1g</t>
  </si>
  <si>
    <t>PROCUREMENT ON SUPPLY AND DELIVERY OF CONSTRUCTION MATERIALS FOR FABRICATION OF CSUCC MAIN GATE</t>
  </si>
  <si>
    <t>Purchase/Delivery of Office Supplies for Mun. Treas. Office - LGU, Umingan, Pangasinan.</t>
  </si>
  <si>
    <t>VAWC OFFICERS IDENTITY ENHANCEMENT</t>
  </si>
  <si>
    <t>PROCUREMENT OF PROFESSIONAL CONSULTING SERVICE FOR THE CONDUCT OF FEASIBILITY STUDY ON THE SOLID WASTE MANAGEMENT FACILITY (LGU SANITARY LANDFILL) FOR LOCAL GOVERNMENT UNIT-CLUSTER (LGU CLUSTER)</t>
  </si>
  <si>
    <t>Supply and Delivery of Shredder Machine</t>
  </si>
  <si>
    <t>Purchase 1 unit motorcycle for Agriculture Technician’s service foe field monitoring to Barangay Farmers</t>
  </si>
  <si>
    <t>Purchase of Materials for Construction of Multi-Purpose Pavement Phase 1</t>
  </si>
  <si>
    <t>Construction of Multi-Purpose Building San Nicolas 1st Sasmuan, Pampanga</t>
  </si>
  <si>
    <t>CONCRETING OF BRGY. TUMANA WEST FMR, BRGY. TUMANA WEST, ROSALES, PANGASINAN</t>
  </si>
  <si>
    <t>Rehabilitation of Multi-Purpose Building Brgy. San Matias Sta. Rita, Pampanga</t>
  </si>
  <si>
    <t>Purchase of Water Purifying Equipment</t>
  </si>
  <si>
    <t>Refill of Fire Extinguisher (GCH)</t>
  </si>
  <si>
    <t>Request for Quotation (SLPRSD-2020-06-0298 Hydrogen)</t>
  </si>
  <si>
    <t>Procurement of One (1) Unit  Garbage Compactor (8CBM)</t>
  </si>
  <si>
    <t>PROCUREMENT AND DELIVERY OF CARDS FOR SCHOOLS DIVISION OFFICE USE.</t>
  </si>
  <si>
    <t>Delivery and Supply of Meals, Venue and Accommodation 2020 CPH Second Level Training LAGUNA &amp; QUEZON Cluster</t>
  </si>
  <si>
    <t>Procurement of Security Services July 2020-2021</t>
  </si>
  <si>
    <t>ELECTRICAL SYSTEM &amp; LIGHTNING COMPONENTS</t>
  </si>
  <si>
    <t>Repair and Maintenance of Various Heavy Equipment</t>
  </si>
  <si>
    <t>Supply and Delivery of CI Sleeve Type Coupling</t>
  </si>
  <si>
    <t>SUPPLY &amp; DELIVERY OF INFRARED CAMERA</t>
  </si>
  <si>
    <t>Procurement of Communication Equipment</t>
  </si>
  <si>
    <t>Construction of Multi-Purpose Building Bodega Floridablanca, Pampanga</t>
  </si>
  <si>
    <t>Bulldozer Rental</t>
  </si>
  <si>
    <t>Procurement of various Janitorial Equipment (Janitorial cart...)</t>
  </si>
  <si>
    <t>Labor &amp; Materials for Various Improvement @ Municipal Trial Court, Brgy. Balite, Rodriguez, Rizal</t>
  </si>
  <si>
    <t>10ID-2020-01-0004 Office Supplies</t>
  </si>
  <si>
    <t>plotting &amp; blue printing of plans</t>
  </si>
  <si>
    <t>Supply and Delivery of 50 pcs. Survey Research Kit Bag, 7 pcs. Long Document Bag and 500 pcs. Laptop Bag Black</t>
  </si>
  <si>
    <t>Training Expense-Php 112,932.50 AFPPS</t>
  </si>
  <si>
    <t>Laundry Services for 9 curtains w/ valance for SB Office</t>
  </si>
  <si>
    <t>PROCUREMENT OF OFFICE SUPPLIES (MDRRMO)</t>
  </si>
  <si>
    <t>Office Supplies for Assessor’s Office Use</t>
  </si>
  <si>
    <t>Procurement of Various Drugs/Medicines to be used during emergencies and disasters</t>
  </si>
  <si>
    <t>1 lot Test Board PCB Design...</t>
  </si>
  <si>
    <t>PURCHASE OF AIRCON</t>
  </si>
  <si>
    <t>SUPPLY AND DELIVERY OF GENERAL MERCHANDISE FOR VARIOUS PURCHASE REQUESTS OF THE CITY UNDER SMALL VALUE PROCUREMENT</t>
  </si>
  <si>
    <t>Meals &amp; snacks served to culling operation team on the culling of hogs at Brgy. Sabangan,Tangcarang and Pangapisan, Alaminos City</t>
  </si>
  <si>
    <t>Construction/Repair/Rehabilitation/Improvement of Various Infrastructure including Local Projects – Flood Control and Drainage – Flood Control Structures/Facilities – Rehabilitationof Berde Creek, Brg</t>
  </si>
  <si>
    <t>Supply and Delivery of Supplies and Materials for the Native Swine Production of SDSSU San Miguel Campus</t>
  </si>
  <si>
    <t>LABOR AND MATERIALS FOR THE CONSTRUCTION OF MUNICIPAL AGRICULTURE OFFICE AT POBLACION,BADIAN,CEBU</t>
  </si>
  <si>
    <t>Labor Charge for the Repair of Handheld Radio and Spare Parts of Speaker</t>
  </si>
  <si>
    <t>Printing Services for the Senior Citizen Purchase Booklet</t>
  </si>
  <si>
    <t>1 set 3-port Rework Station.....etc</t>
  </si>
  <si>
    <t>PROJECT 1 - Procurement and Delivery of Various Medical Equipment for the use of Rural Health Unit (RHU) in Region 1</t>
  </si>
  <si>
    <t>Supply &amp; Delivery of Office Supplies @ GAD, Rodriguez, Rizal</t>
  </si>
  <si>
    <t>For TESDA Muntiparlastapat District Office use</t>
  </si>
  <si>
    <t>Emergency Purchase in response to covid19 mayor's Office 38A</t>
  </si>
  <si>
    <t>Training Expense-Php 154,320.00 AFPPS</t>
  </si>
  <si>
    <t>Procurement of PPES</t>
  </si>
  <si>
    <t>Construction of Slope Protection at Manzante Beach Road Adjacent to Farmlands</t>
  </si>
  <si>
    <t>Purchase/Delivery of Office Equipment for Mun. Treas. Office - LGU, Umingan, Pangasinan.</t>
  </si>
  <si>
    <t>Proposed Aluminum  Composite Panel Partition Walls and Door or its Equivalent of the Comfort Rooms at the  Ground Floor and Second Floor both Right and Left wing of the People's Palace Building, Cotab</t>
  </si>
  <si>
    <t>REHABILITATION OF FENCE (SOUTH SIDE) AT LAMAO ELEMENTARY SCHOOL</t>
  </si>
  <si>
    <t>printing of Newsletter</t>
  </si>
  <si>
    <t>Provision of Materials for Facemask (SHS)</t>
  </si>
  <si>
    <t>Procurement of T-shirt and Pants</t>
  </si>
  <si>
    <t>Construction of Multi-Purpose Building Basa Air Base Floridablanca, Pampanga</t>
  </si>
  <si>
    <t>Security Surveillance and Detection Equipment</t>
  </si>
  <si>
    <t>ONE (1) YEAR CONTRACT FOR THE SUPPLY AND DELIVERY OF PURIFIED WATER WITH FREE USE OF HOT AND COLD WATER DISPENSER</t>
  </si>
  <si>
    <t>SUPPLY AND DELIVERY OF LABORATORY SUPPLIES FOR USE OF MUNICIPAL HEALTH OFFICE</t>
  </si>
  <si>
    <t>PURCHASE OF JETMATIC PUMP</t>
  </si>
  <si>
    <t>Procurement of various computer ink and maintenance box to be used at City Engineering Office, Alaminos City</t>
  </si>
  <si>
    <t>repair &amp; maintenance of various service vehicles</t>
  </si>
  <si>
    <t>PROJECT 2 – Procurement and Delivery of Various Medical Equipment for the use of District Hospitals in Region 1</t>
  </si>
  <si>
    <t>Procurement of Medicine</t>
  </si>
  <si>
    <t>Procurement of Office Supplies Intended for the 3rd Quarter of CY 2020</t>
  </si>
  <si>
    <t>Peak Flow Meter, Pediatric</t>
  </si>
  <si>
    <t>Purchase of Spareparts to be Used for the Repair and Maintenance of Grader (Terex)</t>
  </si>
  <si>
    <t>REPAIR/IMPROVEMENT OF NFA PROVINCIAL OFFICE INCLUDING CONSTRUCTION FOR ONE SEPTIC VAULT, SELECTIVE REPAIR &amp; REPLACEMENT OF G.I. CORRUGATED ROOF, GUTTER, FASCIA COVER, DOWNSPOUT AND CATCH BASIN GRILL A</t>
  </si>
  <si>
    <t>Regular Bidding 30/June/2020 - Procurement of Goods: Const'n Materials for the use of CEO (Asphalting of School Oval at Lafilipina NHS, La Filipina, T.C.) (PR#200-20-06-0140)</t>
  </si>
  <si>
    <t>Supply and Delivery of Various Audio and Visual  Accessories</t>
  </si>
  <si>
    <t>Request for Qoutation for the Supply and Delivery of  Repair Clamp</t>
  </si>
  <si>
    <t>20GKG0031 (PR No. 20-06-090)- Procurement of Construction Materials and Supplies for use in the Repair/Reconstruction of of DAR Office Building, Sapad, Lanao del Norte</t>
  </si>
  <si>
    <t>Supply and Delivery of various toners: (35) pcs Toner 283A and (6) pcs Toner 285A for Pag-IBIG Fund Iloilo Molo Branch</t>
  </si>
  <si>
    <t>Construction of Mango Processing Center</t>
  </si>
  <si>
    <t>Emergency Purchase in response to covid19 dswd Office 39Af</t>
  </si>
  <si>
    <t>Materials for the MSWD Office Improvement @ Poblacion, Talibon, Bohol</t>
  </si>
  <si>
    <t>PR # 2020-05-076 - Supply and Delivery of Tubeless Tire to be used for Repair/Maintenance of Toyota Hilux with Temp. Plate. No. VE-8727</t>
  </si>
  <si>
    <t>PROCUREMENT OF 1 UNIT DESKTOP COMPUTER WITH PRINTER, RECHARGEABLE VOICE RECORDER AND DIGITAL CAMERA</t>
  </si>
  <si>
    <t>Procurement of Construction Supplies for BatStateU Lemery Campus</t>
  </si>
  <si>
    <t>Rubber Boots &amp; Rain Coats for use of Traffic Enforcers</t>
  </si>
  <si>
    <t>REQUEST FOR QUOTATION OF MEDICAL SUPPLIES FOR INFIRMARY MEDICINES AND MEDICAL SUPPLIES</t>
  </si>
  <si>
    <t>Raw Materials for Women Meat Processing Project</t>
  </si>
  <si>
    <t>PURCHASE OF FUEL, OIL AND LUBRICANTS FOR THE OPENING OF MULANGAN-BAGAY ROAD (RE-BID)</t>
  </si>
  <si>
    <t>Purchase of Veterinary Products and Supplies</t>
  </si>
  <si>
    <t>Supply and Delivery of Three Hundred Sixty (360) pieces Environment Month Polo Shirt per PR# 2020-06-0298</t>
  </si>
  <si>
    <t>20GFH0012 SUPPLY AND DELIVERY OF SPARE PARTS FOR USE IN THE REPLACEMENT OF WORN-OUT PARTS OF SERVICE VEHICLE ASSIGNED  IN THE DPWH-PLANNING &amp; DESIGN SECTION, VIRAC, CATANDUANES (PR#20-05-021 DATED 5/2</t>
  </si>
  <si>
    <t>Supply / Delivery of Drugs and Medicines</t>
  </si>
  <si>
    <t>SUPPLY AND DELIVERY OF 100 PCS PLASTIC UNION COUPLING 2" DIA NLC</t>
  </si>
  <si>
    <t>Purchase/Delivery of Office Supplies for Mayor's Office - LGU, Umingan, Pangasinan.</t>
  </si>
  <si>
    <t>supply and delivery of medical supplies</t>
  </si>
  <si>
    <t>INVITATION TO BID FOR THE PROCUREMENT OF FUEL FOR MOBILIZATION OF VARIOUS OFFICES</t>
  </si>
  <si>
    <t>OFFICE SUPPLIES AND DEVICES - MO</t>
  </si>
  <si>
    <t>1 lot Board PCB Design Fabrication and Assembly...</t>
  </si>
  <si>
    <t>CONCRETING OF BARANGAY ROAD / SHOULDER</t>
  </si>
  <si>
    <t>Procurement of various office supplies to be used at the office of various councilors, Alaminos City</t>
  </si>
  <si>
    <t>Repair and maintenance of Various vehicle</t>
  </si>
  <si>
    <t>Procurement of 528,635 cap. Cefalexin 500mg capsule</t>
  </si>
  <si>
    <t>Supply &amp; Delivery of Parts for Repair of Service Vehicle @ SWMO, Rodriguez, Rizal</t>
  </si>
  <si>
    <t>Procurement of Tilapia Feeds</t>
  </si>
  <si>
    <t>Supply and Delivery of Acrylic name plate, information holder, wall displayer, wall clock, white board, glass board magnetic, white board wall mount.</t>
  </si>
  <si>
    <t>Supply &amp; Delivery of Office Equipment @ BPLO, Rodriguez, Rizal</t>
  </si>
  <si>
    <t>REHABILITATION OF FENCE (NORTH SIDE) AT LAMAO ELEMENTARY SCHOOL</t>
  </si>
  <si>
    <t>20GL00008; P.R. No. 2020-05-057 DATED 05/26/2020: PROCUREMENT OF VARIOUS CONSTRUCTION SUPPLIES &amp; MATERIALS, FOR USE IN THE CONVERSION OF U.P. MINDANAO MULTI-PURPOSE HUMAN KINETICS BUILDING, BAGO OSHIR</t>
  </si>
  <si>
    <t>Purchase of 1 unit Desktop Computer with complete accessories &amp; printer (BPLO) - Second Posting</t>
  </si>
  <si>
    <t>Bidding for the project "Procurement of One (1) Unit of RISO Coppier"</t>
  </si>
  <si>
    <t>Procurement of Extra Oral Aerosol Suction Machine</t>
  </si>
  <si>
    <t>Purchase of Oral Contraceptive Pills</t>
  </si>
  <si>
    <t>Procurement of Laptop</t>
  </si>
  <si>
    <t>20CG0142 - Local Infrastructure Program: Multipurpose/ Facilities – Construction of Multi-Purpose Building (Evacuation Center), Brgy. Plazang Luma, Arayat, Pampanga</t>
  </si>
  <si>
    <t>Proposed Canopy for COA office and HOME TECH . Building canal trench drain</t>
  </si>
  <si>
    <t>PR # 2020-06-107 - Supply and Delivery of Paint to be used for Bridge Repainting along BCIR</t>
  </si>
  <si>
    <t>20GLD0042-Procurement of 50 cu.m. Gravel G3/4, etc.-For use in Maintenance Section</t>
  </si>
  <si>
    <t>OTHER SUPPLIES AND MATERIALS - MO</t>
  </si>
  <si>
    <t>Supply &amp; Delivery of Construction Materials (Construction of Pulverizer House)</t>
  </si>
  <si>
    <t>Labor and Materials for Replacement of Front Gate (3) - Talisay Campus</t>
  </si>
  <si>
    <t>PURCHASE OF IT EQUIPMENTS AND ACCESSORIES</t>
  </si>
  <si>
    <t>PURCHASE OF CONSTRUCTION MATERIALS FOR REPAIR AND MAINTENANCE OF ROAD SAFETY FACILITIES</t>
  </si>
  <si>
    <t>1 LOT SUPPLY AND DELIVERY OF VARIOUS SIZES OF SPIRAL WELDED PIPES</t>
  </si>
  <si>
    <t>Purchase/Acquisition of Fuel for the Maintenance of Municipal Vehicles &amp; Heavy Equipment</t>
  </si>
  <si>
    <t>PURCHASE OF FUEL AND LUBRICANTS FOR JULY, 2020 - LGU, CALAPE, BOHOL</t>
  </si>
  <si>
    <t>LUMPSUM LABOR &amp; MATERIALS FOR THE REPAIR OF FOOTBATH FOR THE PREVENTION OF COVID-19 TRANSMISSION, PORTS OF SURIGAO, LIPATA, SAN JOSE AND DAPA</t>
  </si>
  <si>
    <t>MEDICAL SUPPLIES USED DURING COVID19 PANDEMIC</t>
  </si>
  <si>
    <t>EBMS -FLOAT VALVE (4TH POSTING)</t>
  </si>
  <si>
    <t>supply and delivery of Toiletries supplies for Haven 1st Sem2020</t>
  </si>
  <si>
    <t>CONTRACT ID: 20-06-088- PROCUREMENT OF VARIOUS DRUGS AND MEDICINES</t>
  </si>
  <si>
    <t>20GLD0043-Procurement of 8 pcs. R6-8 - REGULATORY SIGN, High Composite 4mm thk (750mm dia) "PEDESTRIAN CROSSING" Black symbol and border on retro-reflective fluorescent yellow-green background (see pl</t>
  </si>
  <si>
    <t>20CG0143 - Local Infrastructure Program: Multipurpose/ Facilities – Construction of Multi-Purpose Building, Brgy. Bulacus Masantol, Pampanga</t>
  </si>
  <si>
    <t>Labor, Automotive Spare Parts PMS POT373</t>
  </si>
  <si>
    <t>480 can GLUCERNA TRIPLE CARE VANILLA 900GMS</t>
  </si>
  <si>
    <t>Invitation to Submit Price Quotation Hiring of Professional Engineer Services</t>
  </si>
  <si>
    <t>Purchase Aircon for Treasurer’s Office Use</t>
  </si>
  <si>
    <t>Drugs - Isosorbide-Dinitrate 5mg Sublingual (2nd Posting)</t>
  </si>
  <si>
    <t>20GAC0021 - Activity 71X - Supply and Delivery of Traffic Safety Devices Along Manila North Road</t>
  </si>
  <si>
    <t>EBMS -WOOD FILLER (4TH POSTING)</t>
  </si>
  <si>
    <t>JANITORIAL SUPPLIES - MO</t>
  </si>
  <si>
    <t>OFFICE SUPPLIES AND OTHER SUPPLIES AND MATERIALS - MO-IT</t>
  </si>
  <si>
    <t>20CG0144 - Construction/ Repair/ Rehabilitation/ Improvement of Various Infrastructure including Local Projects: Multi-purpose/ Facilities – Construction of Multi-Purpose Building Sindalan, San Fernan</t>
  </si>
  <si>
    <t>INSTALLATION OF SOLAR STREETLIGHTING AT BONOTBONOT, BUENAVISTA, BOHOL</t>
  </si>
  <si>
    <t>20GFH0013 - SUPPLY AND DELIVERY OF LUBRICANTS &amp; SPARE PARTS/MAINTENANCE OF SPARE PARTS FOR USE IN THE OPERATION OF ISUZU DMAX H1-5515, L300 VAN HI-6548, TOYOTA HI-LUX (POA 217) AND TOYOTA HI-LUX (PON</t>
  </si>
  <si>
    <t>RFQ Aguisan ES Medicine</t>
  </si>
  <si>
    <t>INVITATION TO BID FOR THE PROCUREMENT OF MATERIALS FOR PUBLIC BUILDING MAINTENANCE</t>
  </si>
  <si>
    <t>Supply and Delivery of Agricultural Supplies of SDSSU San Miguel Campus</t>
  </si>
  <si>
    <t>Procurement of Const. materials and supplies of the Office of the Governor to be donated to Brgy. Agsao Magdiwang, Romblon</t>
  </si>
  <si>
    <t>SUPPLY &amp; DELIVERY OF CONSTRUCTION MATERIALS AND SUPPLIES</t>
  </si>
  <si>
    <t>Supply &amp; Delivery of Medical Supplies @ MDRRMO, Rodriguez, Rizal</t>
  </si>
  <si>
    <t>Procurement of Materials for Construction of Labut Footbridge leading to Farmlands</t>
  </si>
  <si>
    <t>Emergency Purchase in response to covid19 mayor's Office 41A</t>
  </si>
  <si>
    <t>Transformer at Administration Building</t>
  </si>
  <si>
    <t>Procurement of Materials for the Extension of H.E. Room as Stock Room (SJES)</t>
  </si>
  <si>
    <t>PURCHASE OF I.T. EQUIPMENT FOR MBO</t>
  </si>
  <si>
    <t>BOLTS AND KNOTS AND BOOK COVER - SBO</t>
  </si>
  <si>
    <t>G-2020-0058 Supply/Delivery of Surveying Supplies for use in the conduct of Road-Right-of-Way validation, Road-Right-of-Way Action Plan (RAP) survey and Environmental Impact Assessment (EIA) and other</t>
  </si>
  <si>
    <t>IMPROVEMENT OF MULTI-PURPOSE SITE (NUEVA MONTANA)</t>
  </si>
  <si>
    <t>Quotation No. 20-06-0346-HRDU Office Supplies</t>
  </si>
  <si>
    <t>20GFH0014 - SUPPLY AND DELIVERY OF TIRES FOR USE IN THE OPERATION OF SERVICE VEHICLE NISSAN NAVARA FI-X700, NISSAN NAVARA FI-X440, ALTERA NJQ-720 AND TOYOTA HI-LUX POA 227, DPWH SAN ISIDRO VILLAGE, VI</t>
  </si>
  <si>
    <t>Purchase of Hardware Materials</t>
  </si>
  <si>
    <t>RFQ No.: 2020 – 101 Replacement of Oxygen Wall Terminal Outlet</t>
  </si>
  <si>
    <t>20CG0145 - Local Infrastructure Program: Multipurpose/ Facilities – Construction and /or Repair/ Rehabilitation of Multi-Purpose Building, Telebastagan Integrated School, City of San Fernando, Pampang</t>
  </si>
  <si>
    <t>DILP ASSISTANCE Kal-2020-06-06 (APATAN FARMERS INDIGENOUS ASSOCIATION)</t>
  </si>
  <si>
    <t>Supply and delivery of Various Genuine Spare Parts for Armored Vehicles</t>
  </si>
  <si>
    <t>Purchase Computer Desktop for Budget Office</t>
  </si>
  <si>
    <t>PROVISION AND INSTALLATION OF HEAVY DUTY GENERATOR</t>
  </si>
  <si>
    <t>Procurement of Room Equipment (SJES)</t>
  </si>
  <si>
    <t>20GLD0045-Procurement of 2 pcs. R6-8 - REGULATORY SIGN, High Composite 4mm thk (750mm dia) "PEDESTRIAN CROSSING" Black symbol and border on retro-reflective fluorescent yellow-green background (see pl</t>
  </si>
  <si>
    <t>20CG0146 - Construction/ Repair/ Rehabilitation/ Improvement of Various Infrastructure Including Local Projects: Multipurpose/ Facilities – Rehabilitation of Multi-Purpose Buildings, Del Carmen and Al</t>
  </si>
  <si>
    <t>Purchase and Delivery of Office Equipment of the MBO</t>
  </si>
  <si>
    <t xml:space="preserve">Purchase of Materials (Nylon Line) to be used in the Maintenance activities, vegetation control  (grass cutters) along various national roads within Laguna I District Engineering Office,  Santa Cruz, </t>
  </si>
  <si>
    <t>COMPUTER SUPPLIES - SBO</t>
  </si>
  <si>
    <t>Supply and Delivery of Various Ink Cart, Ribbon Cart and Toner Cart</t>
  </si>
  <si>
    <t>G-2020-0057 Supply/Delivery of Surveying Supplies for use in the conduct of various DPWH-South Cotabat 2nd District Engineering Office proposed projects, Koronadal City, South Cotabato</t>
  </si>
  <si>
    <t>PR # 2020-06-115 - Purchase of Safety Devices to be used during Road Repair</t>
  </si>
  <si>
    <t>San Roque CES-Offices Supplies and Devices</t>
  </si>
  <si>
    <t>Purchase of Office Equipment  &amp; Furniture &amp; Fixtures-Municipal Budget Office</t>
  </si>
  <si>
    <t>Construction of 5-storey training laboratory &amp; equipment for HRM (Buksu Hotel ),signed and sealed , mechanical and gas plan</t>
  </si>
  <si>
    <t>Purchase/Delivery of Papaya, Banana and Calamansi Seedlings for Mun. Agriculture's Office - LGU, Umingan, Pangasinan.</t>
  </si>
  <si>
    <t>Procurement of Materials for the Construction of Napo Footbridge Leading to Farmlands</t>
  </si>
  <si>
    <t>Supply and Delivery of 2 units MOTORCYCLE for General Services Office</t>
  </si>
  <si>
    <t>20HC0182- CONSTRUCTION &amp; IMPROVEMENT OF THE MUNICIPAL HALL OF SAN MIGUEL, BOHOL</t>
  </si>
  <si>
    <t>PURCHASE OF SEWING MACHINE</t>
  </si>
  <si>
    <t>Re-Bidding of Supply and Delivery of Various Medical and Hospital Supplies for January 1 to December 31, 2020</t>
  </si>
  <si>
    <t>RFQ for Repair of PNP Patrol Car</t>
  </si>
  <si>
    <t>INSTALLATION OF ELECTRICAL LINES FOR WATER WORKS SYSTEM AT SITIO CENTRO, BRGY. MAPULO -001</t>
  </si>
  <si>
    <t>RFQ - Procurement of Goods: IT Equipment for the use of DEPED - For Various Schools (PR#200-20-06-0180)</t>
  </si>
  <si>
    <t>Procurement of Jute Tagboard</t>
  </si>
  <si>
    <t>20GLD0044-Procurement of 8 pcs. R6-8 - REGULATORY SIGN, High Composite 4mm thk (750mm dia) "PEDESTRIAN CROSSING" Black symbol and border on retro-reflective fluorescent yellow-green background (see pl</t>
  </si>
  <si>
    <t>SUPPLY AND DELIVERY OF DAY CARE PRE-SCHOOLER SUPPLIES</t>
  </si>
  <si>
    <t>Emergency Purchase in response to covid19 mayor's Office 42A</t>
  </si>
  <si>
    <t>Supply, Delivery, Installation and Commissioning of (One) 1 Set Water Refilling Station</t>
  </si>
  <si>
    <t>Procurement of Catering Services for the 4th Level Training of the 2020 Census of Population and Housing (2020 CPH) of PSA Region 7 – Reposting (Failed Items)</t>
  </si>
  <si>
    <t>Procurement of SDO Vaccine</t>
  </si>
  <si>
    <t>20CG0147 - Local Infrastructure Program: Multipurpose/ Facilities – Rehabilitation/ Improvement of Multi – Purpose Building (Covered Court) Bulaon Resettlement Center, Brgy. Bulaon, San Fernando City,</t>
  </si>
  <si>
    <t>Request for Quotation for the Provision of Transportation Services to be used for the conduct of RCM Briefing Batch 1 and Batch 2 on September 29, 2020 at Tagoloan, Misamis Oriental and October 29, 20</t>
  </si>
  <si>
    <t>RB2020-06-205 Monobloc chairs delivered to various Barangay</t>
  </si>
  <si>
    <t>20GKG0032 (PR No. 20-06-091)- Procurement of Construction Materials and Supplies for use in the Construction of DPWH Building Guardhouse, 0054 Seminary Drive , Del Carmen, Iligan City</t>
  </si>
  <si>
    <t>20GAC0020 - Activity 71x - Supply and Delivery of Road Signs Along Manila North Road</t>
  </si>
  <si>
    <t>RFQ No.: 2020 – 102 Various Materials for Replacement of Gutter and Facia Board of OR &amp; DR Complex</t>
  </si>
  <si>
    <t>RFQ - GCMS Tools</t>
  </si>
  <si>
    <t>OFFICE SUPPLIES 1ST &amp; 2ND QUARTER</t>
  </si>
  <si>
    <t>Drugs - Amoxicillin 500mg (2nd Posting)</t>
  </si>
  <si>
    <t>PURCHASE OF NETWORKING EQUIPMENT &amp; SUPPLIES (MUNICIPAL TREASURER'S/ASSESSOR'S OFFICE)</t>
  </si>
  <si>
    <t>QUOTATION nO. 20-06-0355 - Procurement of Ceftriaxone 1g+10ml diluent</t>
  </si>
  <si>
    <t>Procurement of Materials for the Improvement/Rehabilitation of Sta. Monica Farmer’s Multi-Purpose Hall</t>
  </si>
  <si>
    <t>EBMS -RUBBER PLUG (4TH POSTING)</t>
  </si>
  <si>
    <t>CCTV EQUIPMENT AND ACCESORIES</t>
  </si>
  <si>
    <t>Procurement of Office Equipment Parts &amp; Accessories (MHO)</t>
  </si>
  <si>
    <t>Supply &amp; Delivery of Trash Racks and Intake Gates for Gandiangan SIP</t>
  </si>
  <si>
    <t>Emergency Purchase in response to covid19 mdrrmOffice 40A</t>
  </si>
  <si>
    <t>PROCUREMENT OF ELECTRICAL EQUIPMENT AND ACCESSORIES TO BE USED AT PESO OFFICE</t>
  </si>
  <si>
    <t>RFQ No.: 2020 – 103 Various IT Materials for 6th and 7th Floor Use</t>
  </si>
  <si>
    <t>Procurement of Office  Supplies and Equipment for HRTD</t>
  </si>
  <si>
    <t>COMPUTER SUPPLIES - MACCO</t>
  </si>
  <si>
    <t>PROCUREMENT FOR THE SUBSCRIPTION OF POSTPAID CABLE TELEVISION SERVICES</t>
  </si>
  <si>
    <t>Purchase of Office Equipment - MPDC</t>
  </si>
  <si>
    <t>80 PC ANGLE BAR 1 1/2 X 1 1/2 X 1/4</t>
  </si>
  <si>
    <t>CONSTRUCTION OF VARIOUS INFRASTRUCTURE PROJECTS FOR THE CITY OF NAVOTAS UNDER OTHER INFRASTRUCTURE ASSETS</t>
  </si>
  <si>
    <t>Construction/ Rehabilitation of Drainage Canal and Concrete Cover</t>
  </si>
  <si>
    <t>PURCHASE OF MOBILE CLINIC</t>
  </si>
  <si>
    <t>Purchase of Tires to be used in the Service Vehicles of Maintenance Section of Laguna I District Engineering Office, Santa Cruz, Laguna</t>
  </si>
  <si>
    <t>Use for the repainting of the Administration Building</t>
  </si>
  <si>
    <t>RFQ20-6-45-Storage at Dorm</t>
  </si>
  <si>
    <t>Procurement of Flexible Learning and Working Arrangement Supplies and Equipment for Digital Infrastructure (Rebidding)</t>
  </si>
  <si>
    <t>Conduct of  Surface and Subsurface Geological and Geotechnical Investigation of OCAMPO SRIP (rebid), Ocampo, Camarines Sur</t>
  </si>
  <si>
    <t>20CG0148 - Local Infrastructure Program: Buildings and Other Structures – Multipurpose/ Facilities – Construction of Multi-Purpose Covered San Matias, Sto. Tomas, Pampanga</t>
  </si>
  <si>
    <t>20GLD0046-Procurement of 1 pc. Oil Filter, Spin-On (Genuine Parts), etc.-For use in Maintenance Section</t>
  </si>
  <si>
    <t>IMPROVEMENT / REHABILITATION OF DAY CARE CENTER</t>
  </si>
  <si>
    <t>OTHER SUPPLIES AND MATERIALS - SBO</t>
  </si>
  <si>
    <t>Supply of 720 pcs Amakan and 500 pcs Nipa</t>
  </si>
  <si>
    <t>Procurement of Cameras (For Pupils utilization in Photo-Journalism Practice/Competition - SCCES, Tuban ES and A. Franco ES)</t>
  </si>
  <si>
    <t>CONSTRUCTION OF RAILINGS</t>
  </si>
  <si>
    <t>INVITATION TO BID FOR THE PROCUREMENT OF IT EQUIPMENT</t>
  </si>
  <si>
    <t>20GAC0022 - Supply and Delivery of Maintenance Kits for Use in Maintenance Activities</t>
  </si>
  <si>
    <t>Procurement of Laboratory Supplies (MHO)</t>
  </si>
  <si>
    <t>PR NO. 2020-05-010</t>
  </si>
  <si>
    <t>For RHU 1 &amp; 2 Facility Maintenance</t>
  </si>
  <si>
    <t>PR NO. 20-06-042 - Procurement of Materials for use in Resurfacing of Unpaved Road Shoulders along Jct. Bagonawa-La Castellana Road (S00175NR), K0041+200-K0042+116(both sides), La Carlota City, Neg. O</t>
  </si>
  <si>
    <t>Purchase of Automotive Spare Parts</t>
  </si>
  <si>
    <t>RFQ20-6-46-RD Cottage</t>
  </si>
  <si>
    <t>SANGGUNIANG KABATAAN MOBILE SCHOOL</t>
  </si>
  <si>
    <t>Purchase and Delivery Hardware Materials</t>
  </si>
  <si>
    <t>Procurement of Materials for Government Building</t>
  </si>
  <si>
    <t>Construction of Two Public Restroom and Urinals in Support to Sanitation Program</t>
  </si>
  <si>
    <t>Procurement of material for In Service Training and Materials for Printing of Modules</t>
  </si>
  <si>
    <t>Procurement of materials for Rice Production 2nd Cropping</t>
  </si>
  <si>
    <t>Purchase of Paint Materials  to be used in the Maintenance  activities, (repainting of traffic  safety devices, bridge and road markings) of DPWH- Laguna I District Engineering Office, Santa Cruz, Lag</t>
  </si>
  <si>
    <t>20CG0150 - Local Infrastructure Program: Multipurpose/ Facilities – Construction/ Rehabilitation of Multi-Purpose Building, Brgy. San Pedro, Minalin, Pampanga</t>
  </si>
  <si>
    <t>Supply &amp; Delivery of  Construction Equipment for   Sibuguey Valley Irrigation System, Bayog, Zamboanga del Sur</t>
  </si>
  <si>
    <t>Purchase of Medicines</t>
  </si>
  <si>
    <t>OFFICE SUPPLIES AND MATERIALS - SBO</t>
  </si>
  <si>
    <t>SUPPLY AND DELIVERY OF  CONSTRUCTION MATERIALS FOR BDSIP</t>
  </si>
  <si>
    <t>Procurement of Plastic Chairs and Tables (for Livelihood Assistance to OFW Family Circle Associations)</t>
  </si>
  <si>
    <t>Tire for PNP use</t>
  </si>
  <si>
    <t>OFFICE SUPPLIES AND DEVICES - MHO</t>
  </si>
  <si>
    <t>Purchase of 25 units of Alcohol Dispenser</t>
  </si>
  <si>
    <t>20FO0101 - Construction of Multi-Purpose Building, Albay Provincial Hospital, Out Patient Dept., Ligao, Albay</t>
  </si>
  <si>
    <t>Supply and Delivery of 14 Units Laptop, Intel Core i5-7200 for the Municipality of Binangonan</t>
  </si>
  <si>
    <t>20CG0149 - Local Infrastructure Program: Multipurpose/ Facilities – Construction of Multi-Purpose Building, Sta. Monica Elementary School, Brgy. Sta. Monica, San Luis, Pampanga</t>
  </si>
  <si>
    <t>COMPUTER SUPPLIES - MHO</t>
  </si>
  <si>
    <t>Procurement of Foodstuff (for conduct of Checkpoints and Mobile Patrols)</t>
  </si>
  <si>
    <t>EXPANSION OF PIER AT BRGY. AMOTAG_2ND POSTING</t>
  </si>
  <si>
    <t>Supply and Delivery of Office Equipment (Lot I), Fuel (lot II), Various Supplies (Lot III and Motor Parts (Lot IV) for the use of Sports Office, Brooke’s Point, Palawan.</t>
  </si>
  <si>
    <t>Purchase of CCTV System for use at the PNP Station and Municipal Town Hall</t>
  </si>
  <si>
    <t>20CG0151 - Local Infrastructure Program: Multipurpose/ Facilities – Construction of Multi-Purpose Building (Covered Court) San Jose Malino, Mexico, Pampanga</t>
  </si>
  <si>
    <t>Spare Parts and Motor Vehicles</t>
  </si>
  <si>
    <t>Supply and Delivery of Office Equipment for the use of District Supervisor and District Office, Brooke’s Point, Palawan.</t>
  </si>
  <si>
    <t>GSD J--20-276 Supply, Installation and Commissioning of the Airconditioner for PHIVIDEC - IA Makati Fit-Out</t>
  </si>
  <si>
    <t>20CG0152 - Local Infrastructure Program: Multipurpose/ Facilities – Construction of Multi-Purpose Building, Brgy. San Juan, San Luis, Pampanga</t>
  </si>
  <si>
    <t>Purchase of Equipment for Use in Ajuy Rural Health Unit</t>
  </si>
  <si>
    <t>PURCHASE OF 2 UNITS WASHING MACHINE</t>
  </si>
  <si>
    <t>85 PCS G.I. SHEET 4'X 8'GAUGE 24</t>
  </si>
  <si>
    <t>PURCHASE OF ELECTRICAL SUPPLIES</t>
  </si>
  <si>
    <t>20HM0091- Capital Outlay – Construction/Rehabilitation of Water Supply/Septage and Sewerage/Rain Water Collectors – Rain Water Collectors in Public Facilities – Region VII</t>
  </si>
  <si>
    <t>20CG0153 - Local Infrastructure Program: Multipurpose/ Facilities – Construction of Multi-Purpose Building (Covered Court) Brgy. Calibutbut, Bacolor, Pampanga</t>
  </si>
  <si>
    <t>Knapsack Sprayer for OA Program Extension Support</t>
  </si>
  <si>
    <t>OFFICE SUPPLIES AND DEVICES - MASSO</t>
  </si>
  <si>
    <t>Procurement of Camera (24.2 Megapixel CMOS Sensor, 19 point all cross-type AF, Hybrid CMOS AF III, Wi-fi and NFC Supported and touchscreen LCD panel)</t>
  </si>
  <si>
    <t>FOOD STUFF</t>
  </si>
  <si>
    <t>INVITATION TO BID FOR THE PROCUREMENT OF LABOR &amp; MATERIALS FOR THE PROJECT OF CONSTRUCTION FOR KABANGKALAN ELEM. SCHOOL MULTI-PURPOSE HALL, LOCATED @ SCHOOL SITE, KABANGKALAN ELEM. SCHOOL, CASOON, MON</t>
  </si>
  <si>
    <t>RIPRAPPING OF AMBOLONG CREEK</t>
  </si>
  <si>
    <t>Purchase of Construction Materials</t>
  </si>
  <si>
    <t>S &amp; D of Vegetable Seeds (P. Agri.)</t>
  </si>
  <si>
    <t>REPAIR AND MAINTENANCE OF SERVICE VEHICLE (TOYOTA-REVO)</t>
  </si>
  <si>
    <t>I.T Equipment for CBAPA</t>
  </si>
  <si>
    <t>Supply and deliveryf of T-shirt with print to be given to COVID-19 Frontliners.</t>
  </si>
  <si>
    <t>Construction of Two (2) Storey, Four (4) Classrooms School Building, Cal-litang Elmentary School at Sta. Maria, Pangasinan</t>
  </si>
  <si>
    <t>Procurement of Supply &amp; Delivery of Various Fertilizers (Rebid)</t>
  </si>
  <si>
    <t>Purchase of CCTV Cameras and Other Peripherals for Updating of CCTV System</t>
  </si>
  <si>
    <t>Procurement of Various Groceries, SAN JOSE CITY NUEVA ECIJA</t>
  </si>
  <si>
    <t>CPR Pocket Mask Resuscitator</t>
  </si>
  <si>
    <t>Purchase of Hardware and Construction Materials</t>
  </si>
  <si>
    <t>(SBMA-BAC-GOODS-ITB-09-20) SBMA MOTOROLA TRUNKED RADIO COMMUNICATION SYSTEM UPGRADE</t>
  </si>
  <si>
    <t>OFFICE SUPPLIES AND DEVICES - MACCO</t>
  </si>
  <si>
    <t>Supply and Delivery of Laptops to be Used by Department of Education</t>
  </si>
  <si>
    <t>PR NO. 20-06-043 - Procurement of Materials for use in Resurfacing of Unpaved Road Shoulders along Jct. Pontevedra-La Castellana Road (S00200NR), K0052+000-K0052+833(both sides), Pontevedra, Neg. Occ.</t>
  </si>
  <si>
    <t>Procurement of Fuel</t>
  </si>
  <si>
    <t>20CG0156 - Construction/ Repair/ Rehabilitation/ Improvement of Various Infrastructure Including Local Projects: Local Roads – Construction of Buensuceso Road, Buensuceso Arayat, Pampanga</t>
  </si>
  <si>
    <t>Agricultural Products for OA Program Extension Support</t>
  </si>
  <si>
    <t>20CG0154 - Local Infrastructure Program: Local Roads – Improvement/ Rehabilitation of Brgy. Road, Laug Mexico, Pampanga</t>
  </si>
  <si>
    <t>Purchase of Equipment for Coastal Resource Management Program</t>
  </si>
  <si>
    <t>Computer Inks for all LGU Offices</t>
  </si>
  <si>
    <t>Medical Supplies  for BEMONC Use</t>
  </si>
  <si>
    <t>20FO0102 - Repair/Maintenance of Road Safety Facilities along Daang Maharlika, Albay West Coast Road, Ligao-Pioduran Road, and Dancalan-Sta. Cruz, Donsol-Pioduran Road</t>
  </si>
  <si>
    <t>Purchase of Hygienic Materials for Employees of DPWH- Laguna I District Engineering Office, Santa Cruz, Laguna</t>
  </si>
  <si>
    <t>Supply 1 set Computer Desktop</t>
  </si>
  <si>
    <t>Supply, Delivery of Submersible Pump  for San Marcelino Water District</t>
  </si>
  <si>
    <t>Labor and Materials for the Improvement of DSWD FO 1 Procurement Office</t>
  </si>
  <si>
    <t>SUPPLY &amp; DELIVERY OF MATERIALS FOR THE CONSTRUCTION OF MARKET SITE ROAD AT BRGY. MALINAO</t>
  </si>
  <si>
    <t>PROCUREMENT OF FORTY (40) PIECES PRISMATIC DIFFUSER 2.7mmx24”x48” FOR PNR EXECUTIVE BUILDING USE</t>
  </si>
  <si>
    <t>General Merchandise as Starter Kits for Corn By-products and Utilization</t>
  </si>
  <si>
    <t>Procurement of Meat Processing Equipment, Utensils, and Tools to be used for Meat Processing Trainings</t>
  </si>
  <si>
    <t>20CG0155 - Local Infrastructure Program: Local Roads – Concreting of Brgy. Road, Batasan, Arayat, Pampanga</t>
  </si>
  <si>
    <t>PR. 20-06-222 (2020-06-211) PROCUREMENT OF ACRYLIC GLASS PLAQUE</t>
  </si>
  <si>
    <t>INVITATION TO BID FOR THE REPAIR OF POST-HARVEST FACILITIES BUILDING IN NAVAL, BILIRAN</t>
  </si>
  <si>
    <t>Improvement of Health Center</t>
  </si>
  <si>
    <t>SUPPLY &amp; DELIVERY OF VARIOUS GOODS</t>
  </si>
  <si>
    <t>Construction of Don Mariano Perez Irrigation Pipeline System</t>
  </si>
  <si>
    <t>Supply and delivery of Laboratory Supplies for X-Ray Department use in Leyte Provincial Hospital, Palo,Leyte  ABC PHP698,000.00</t>
  </si>
  <si>
    <t>Supply and Delivery of Common  Use Janitorial Supplies ,1st Quarter, Cy 2020</t>
  </si>
  <si>
    <t>RE-POST: Rehabilitation of Footbridge at Purok 4, Brgy. Buhangin, Butuan City</t>
  </si>
  <si>
    <t>Stainless Steel Table for Meat Processing Hub</t>
  </si>
  <si>
    <t>Installation of Lighting System at Visitacion</t>
  </si>
  <si>
    <t>Purchase of Copier and Toner for SPPJACMS</t>
  </si>
  <si>
    <t>Supply and Delivery of Tablets to be Used by Department of Education</t>
  </si>
  <si>
    <t>Supply and Delivery of Agricultural Supplies as Extension Support to be distributed to the participants of Tapat Ko, Tanim Ko. Gulayan sa Bakuran, Laban sa Kagutuman: Training on Household Vegatable P</t>
  </si>
  <si>
    <t>PAPER SHREDDER - MO</t>
  </si>
  <si>
    <t>Information Technology Office</t>
  </si>
  <si>
    <t>Contract ID: 20-06-090- PROCUREMENT OF INFORMATION TECHNOLOGY AND PERIPHERALS</t>
  </si>
  <si>
    <t>Repair / Replacement of Injection Pump of LGU Truck</t>
  </si>
  <si>
    <t>Purchase of Medicines and Medical supplies to be used by Women about to give birth in Ajuy Birthing Center</t>
  </si>
  <si>
    <t>Meat Processing Equipment for Meat Processing Hub</t>
  </si>
  <si>
    <t>Supply and Delivery of Feeds and Fertilizer</t>
  </si>
  <si>
    <t>CONSTRUCTION OF SHELTER HOME PERIMETER FENCE</t>
  </si>
  <si>
    <t>Completion/Repair/Renovation of RHU</t>
  </si>
  <si>
    <t>Expansion/Installation of Wireless Automesh Infrastructure and Video Surveillance System (Phase IV)</t>
  </si>
  <si>
    <t>Supply/Delivery of Computer for Climate Resillient</t>
  </si>
  <si>
    <t>Improvement of Multipurpose Hall</t>
  </si>
  <si>
    <t>Request for quotation of Safety and Occupational Products</t>
  </si>
  <si>
    <t>Purchase of Fuel for the use of MDRRMO</t>
  </si>
  <si>
    <t>Procurement og Meals and Snacks</t>
  </si>
  <si>
    <t>20GFO0016 - Purchase of Fuel to be Used in Various Equipments/Service Vehicles Assigned at Albay 3rd DEO for the 2nd &amp; 3rd Quarters, CY 2020</t>
  </si>
  <si>
    <t>Purchase of 3 Units Laptop and 1 Unit Desktop</t>
  </si>
  <si>
    <t>NEGOTIATED PROCUREMENT ON THE PROVISION OF LABOR, MATERIALS, EQUIPMENT AND OTHER INCIDENTALS NEEDED FOR THE REHABILITATION/IMPROVEMENT OF BUNGRO DIVERSION DAM (DD) AT BRGY. BUNGRO, PINILI, ILOCOS NORT</t>
  </si>
  <si>
    <t>ICT EQUIPMENT AND ACCESSORIES PR 0198</t>
  </si>
  <si>
    <t>Free-Range Chicken for Livestock Livelihood Program</t>
  </si>
  <si>
    <t>PREVENTIVE MAINTENANCE SERVICES OF VARIOUS TRANSCO MINDANAO VEHICLES</t>
  </si>
  <si>
    <t>Installation of CCTV Cameras with Wireless AutoMesh Technology (Phase V)</t>
  </si>
  <si>
    <t>SUPPLY &amp; DELIVERY OF MEALS &amp; SNACKS</t>
  </si>
  <si>
    <t>Supply and Delivery of Office Supplies, Equipment and Fixture for Various Offices in MinSCAT Main Campus</t>
  </si>
  <si>
    <t>20CSA007 (Rebid): GEOTECHNICAL AND GEOLOGICAL SURVEY (SOIL BORING EXPLORATION) OF VARIOUS BUILDINGS IN LA UNION</t>
  </si>
  <si>
    <t>Construction of Community Activity Center (Negotiated)</t>
  </si>
  <si>
    <t>Training Expense-Php 86,275.00 AFPPS</t>
  </si>
  <si>
    <t>Supply and Delivery of Tires and Batteries</t>
  </si>
  <si>
    <t>PURCHASE OF FURNITURES &amp; FIXTURES</t>
  </si>
  <si>
    <t>Purchase of 1 unit laptop and 1 unit printer for the office of the Municipal Assessor.</t>
  </si>
  <si>
    <t>Procurement of Services under P.R Nos. 2473-2020(Operational Support to Maritime Police), etc.-1Lot.</t>
  </si>
  <si>
    <t>Procurement of Vehicle Repair and Maintenance under P.R.Nos. 1974-2020(City Social Welfare Development Office), and 2110-2020(Commission on Election)-1Lot.</t>
  </si>
  <si>
    <t>Fuel and Lubricants for the Road Opening of Mabini Barangay Road (P/ Ipil-ipil to P/Sibucao), Mabini,  R. T. Lim, Zamboanga Sibugay</t>
  </si>
  <si>
    <t>Purchase of Anti Rabies Vaccine for the Operational use in the Office of the Municipal Agriculturist</t>
  </si>
  <si>
    <t>Purchase of Office Equipment Supplies and Consumables</t>
  </si>
  <si>
    <t>Fogging Machine to be used for defogging in 38 barangays</t>
  </si>
  <si>
    <t>Training Expense-Php89,555.00 ETDC</t>
  </si>
  <si>
    <t>REBIDDING ON THE PROVISION OF LABOR, MATERIALS, EQUIPMENT AND OTHER INCIDENTALS NEEDED FOR THE IMPROVEMENT OF NAGPATPATAN CANAL LINING AT BRGY. NAGPATPATAN, SOLSONA, ILOCOS NORTE</t>
  </si>
  <si>
    <t>Catering Services during the Conduct of T.O.T. on Inbred Rice Seed Production and Farm Mechanization  (Batch 1) for ATI-RTC XII.</t>
  </si>
  <si>
    <t>RFQ - Action Figures Plates</t>
  </si>
  <si>
    <t>PROCUREMENT OF MATERIALS FOR THE ADDITIONAL 3-75KVA TRANSFORMER, INCLUDES INSTALATION ,TRANSFORMER TESTING AND OTHER FEES, LGU, Bayombong, Nueva Vizcaya</t>
  </si>
  <si>
    <t>PROCUREMENT OF IPVPN (IP based VIRTUAL PRIVATE NETWORK) SERVICE FOR LIWAYWAY PASAY OFFSITE ATM</t>
  </si>
  <si>
    <t>PURCHASE OF OFFICE SUPPLIES-059</t>
  </si>
  <si>
    <t>For Office Supplies, Board Room Equipment and BOT Meetings.</t>
  </si>
  <si>
    <t>Purchase of Office Supplies for the daily operation of the Office of the SB Secretariat, LGU Guinobatan, Albay</t>
  </si>
  <si>
    <t>Rehabilitation Of Water Supply System</t>
  </si>
  <si>
    <t>Rehabilitation of Spring Box Libertad Municipal Water Supply System (Re-Bid)</t>
  </si>
  <si>
    <t>A.C. Dagani Central CES Supplies for June</t>
  </si>
  <si>
    <t>11ISU-2020-04-004 Vehicle Parts and Accessories</t>
  </si>
  <si>
    <t>Invitation to Bid for  Supply and Delivery of Various uPVC Pipes for Service Expansion Project 2020</t>
  </si>
  <si>
    <t>For MLWD Drilling Projects - PR # 2020-12011</t>
  </si>
  <si>
    <t>Purchase of Supplies for the daily operation of the Office of the Sangguniang Legislative, LGU, Guinobatan, Albay</t>
  </si>
  <si>
    <t>20CSAC03 - Geotechnical Investigation of the Proposed CY 2020 Construction of Multi-Purpose Buildings</t>
  </si>
  <si>
    <t>Procurement of Hardware Supplies PR # 2018-05-02-161</t>
  </si>
  <si>
    <t>Invitation to Bid for  Supply and Delivery of Various Fittings for Pipelines Service Expansion 2020</t>
  </si>
  <si>
    <t>Supply of Labor and Materials for the dismantling and re-installing of window glass (PR#20-06-0402)</t>
  </si>
  <si>
    <t>r/m machineryand equipment, construction &amp; heavy equipment (dumptruck 4), mun.of miagao</t>
  </si>
  <si>
    <t>CONSTRUCTION OF WATER SUPPLY SYSTEM, MIAGAO FIRE STATION, BRGY. GUIBONGAN, MIAGAO, ILOILO</t>
  </si>
  <si>
    <t>Concreting of Road at Panangkilon/Rehabilitation of Road at Brgy. Panangkilon (Re-Bid)</t>
  </si>
  <si>
    <t>SUPPLY &amp; DELIVERY OF ONE(1) UNIT CONTAINER VAN FOR THE STORAGE OF ACCOUNTING OFFICE FILES</t>
  </si>
  <si>
    <t>Procurement of Supplies and Materials for the Utilization and Improvement of Experimental Agroforestry- OMSC Murtha</t>
  </si>
  <si>
    <t>SUPPLY AND DELIVERY OF BRAND NEW LASER RANGE METER FOR  Pag-IBIG FUND, CAGAYAN VALLEY REGION</t>
  </si>
  <si>
    <t>PROCUREMENT TO REPLACE AND UPGRADE UCPB DAGUPAN FROM 2MBPS TO 4MBPS IPVPN</t>
  </si>
  <si>
    <t>Procurement of Animal Feeds under ARBold Project of DAR</t>
  </si>
  <si>
    <t>Training Expense-Php403,675.00 OJ4</t>
  </si>
  <si>
    <t>CONSTRUCTION OF MULTI-PURPOSE BUILDING (SENIOR CITIZENS CENTER), BRGY. GUIBONGAN, MIAGAO, ILOILO</t>
  </si>
  <si>
    <t>PROCUREMENT OF FUEL, OIL &amp; LUBRICANTS FOR MOTOR VEHICLES OF SANGGUNIAN BAYAN, CY 2020, LGU, BAYOMBONG, NUEVA VIZCAYA</t>
  </si>
  <si>
    <t>PROCUREMENT OF VARIOUS OFFICE EQUIPMENT FOR THE OPERATIONS DEPARTMENT</t>
  </si>
  <si>
    <t>Construction of Bulacan Birthing Facility</t>
  </si>
  <si>
    <t>Supply and Delivery of Various Products</t>
  </si>
  <si>
    <t>LGU-AL-30-2020 CONSTRUCTION OF BARANGAY WATER SYSTEM PHASE 1 BRGY. ANIBONGON ABUYOG, LEYTE</t>
  </si>
  <si>
    <t>TPB-PR.2020.06.185 PROCUREMENT OF VIDEO CONFERENCE EQUIPMENTS</t>
  </si>
  <si>
    <t>Procurement of Hardware Supplies PR # 2018-05-07-172</t>
  </si>
  <si>
    <t>Invitation to Bid for   Supply, Delivery and Commissioning  of  One (1) unit Brand New Portable Air Compressor</t>
  </si>
  <si>
    <t>Supply of Labor, Equipment and Restoration Materials for the Installation, Testing and Commissioning of 250mm Dia. Transmission Line along Amulung Solana Road, Centro, Solana, Cagayan (Calamagui Upgra</t>
  </si>
  <si>
    <t>20GPJ0006:PR 2020-06-006 Purchase and Delivery of Fuels and Lubricants</t>
  </si>
  <si>
    <t>Medical Supplies &amp; Equipment for CoVID-19 Response</t>
  </si>
  <si>
    <t>EMERGENCY PURCHASE OF RELIEF GOODS TO BE DISTRIBUTED IN EVERY HOUSEHOLDS OF MARIVELES DURING COVID-19 PANDEMIC</t>
  </si>
  <si>
    <t>VAN RENTAL FOR FIELD OFFICE USES AND EMERGENCIES TRAVELS(UCT FUND)</t>
  </si>
  <si>
    <t>Supply and Delivery of Personalized CFO-PESO SENSE Polo Shirt</t>
  </si>
  <si>
    <t>Supply, Delivery and Commissioning  of  One (1) unit Brand New Portable Generator Set</t>
  </si>
  <si>
    <t>Consultancy Services for the Enhancement and Maintenance of the  Tourism Promotions Board ISO 9001:2015  Quality Management System</t>
  </si>
  <si>
    <t>Security Services</t>
  </si>
  <si>
    <t>For NSC &amp; MLWD Projects - PR # 2020-11978</t>
  </si>
  <si>
    <t>EMERGENCY PURCHASE OF RELIEF GOODS TO BE DISTRIBUTED IN EVERY HOUSEHOLDS OF MARIVELES DURING COVID-19 OUTBREAK</t>
  </si>
  <si>
    <t>Invitation to Bid for  PROVISION OF TWO-YEAR CONTRACT SECURITY SERVICES</t>
  </si>
  <si>
    <t>CONSTRUCTION OF 2 UNITS DEEP WELL</t>
  </si>
  <si>
    <t>Supply, Delivery and Installation of Air Conditioning Units</t>
  </si>
  <si>
    <t>Improvement of Municipal Emergency Operation Center (Re-Bid)</t>
  </si>
  <si>
    <t>Procurement of ICT Supplies and Equipment</t>
  </si>
  <si>
    <t>EMERGENCY PURCHASE OF 2,000 SACKS OF RICE TO BE DISTRIBUTED DURING COVID-19 PANDEMIC</t>
  </si>
  <si>
    <t>For NSC &amp; MLWD Projects - PR # 2020-12030</t>
  </si>
  <si>
    <t>Supply and Delivery of PNP Field Service Uniform</t>
  </si>
  <si>
    <t>SUPPLY AND DELIVERY OF DISTILLED WATER FOR FRONTLINERS DURING COVID-19 OUTBREAK</t>
  </si>
  <si>
    <t>purchase of computer</t>
  </si>
  <si>
    <t>FULL PACKAGE OF CATERING SERVICES FOR THE 3rd LEVEL TRAINING OF THE July 2020 LFS and 2020 APIS</t>
  </si>
  <si>
    <t>Supply &amp; Delivery of Swab Kit</t>
  </si>
  <si>
    <t>20GFC0011: Purchase of Materials for the Fabrication of Road Right-of-Way Marker, Primary and Secondary National Road, Sta. Elena – Basud, Camarines Norte</t>
  </si>
  <si>
    <t>SUPPLY &amp; DELIVERY OF VARIOUS TIRES</t>
  </si>
  <si>
    <t>Supply &amp; Delivery of PPE Lot 2</t>
  </si>
  <si>
    <t>Supply and Delivery of Various Flags</t>
  </si>
  <si>
    <t>Supply &amp; Delivery of PPE Lot 1</t>
  </si>
  <si>
    <t>EMERGENCY PURCHASE OF BOTTLES FOR ALCOHOL TO BE DISTRIBUTED DURING COVID-19 OUTBREAK</t>
  </si>
  <si>
    <t>Procurement of Food Processing Equipment PR # 2018-05-11-196</t>
  </si>
  <si>
    <t>Supply &amp; Delivery of Purified Water</t>
  </si>
  <si>
    <t>Supply &amp; Delivery of Ambulance</t>
  </si>
  <si>
    <t>Supply and Delivery of 50hp Submersible Motor</t>
  </si>
  <si>
    <t>PROCUREMENT AND INSTALLATION OF SIX (6) SETS FLOOR MOUNTED 6HP AIRCON FOR THE VARIOUS PNR OFFICES</t>
  </si>
  <si>
    <t>NEGOTIATED PROCUREMENT ON THE PROVISION OF LABOR, MATERIALS, EQUIPMENT AND OTHER INCIDENTALS NEEDED FOR THE REHABILITATION/IMPROVEMENT OF SAMAC SMALL WATER IMPOUNDING PROJECT (SWIP) AT BRGY. SAMAC, SA</t>
  </si>
  <si>
    <t>SUPPLY OF LABOR SERVICES, SUPPLIES AND MATERIALS FOR THE INSTALLATION OF 5KW GRID-TIED INVERTER IN SUPPORT TO THE MAINTENANCE OF SCREEN HOUSE OF BPI-DNCRDPSC, BAGO OSHIRO, DAVAO CITY</t>
  </si>
  <si>
    <t>SUPPLY AND DELIVERY OF LIQUID GAS CHLORINE FOR VALENCIA CITY WATER DISTRICT</t>
  </si>
  <si>
    <t>Supply and Delivery of Medical Supplies - Ref. PR 3442 &amp; 3448 HSU</t>
  </si>
  <si>
    <t>For NSC &amp; MLWD Projects - PR # 2020-11872</t>
  </si>
  <si>
    <t>Purchase of Office Supplies, Covid Items and other Consumables</t>
  </si>
  <si>
    <t>20GFC0015: Regravelling of Roadway along Sta. Elena – Capalonga By-Pass Coastal Road (Section 3), Regravelling of Roadway along Sta. Elena – Capalonga By-Pass Coastal Road (Section 3)</t>
  </si>
  <si>
    <t>Improvement of Day Care Center</t>
  </si>
  <si>
    <t>Purchase of Medical Supplies use in the Rural Health Unit</t>
  </si>
  <si>
    <t>Procurement of Food Processing Equipment PR # 2018-05-11-197</t>
  </si>
  <si>
    <t>20GFC0014: Regravelling of Shoulder along Daang Maharlika Road (K0294+500 – K0309+110), Brgy. Malatap, Labo, Camarines Norte</t>
  </si>
  <si>
    <t>CID No. 20GI0-05-080 - Purchase/delivery of two (2) sets steel plan file cabinet with industrial wheels (A1 size, 10 drawers, 116cm x 75.5cm x 94.5cm – external dimensions, 105cm x 73cm – usable drawe</t>
  </si>
  <si>
    <t>Supply and Delivery of Digital Color Multi-Function Device with Document Management System</t>
  </si>
  <si>
    <t>20GFC0013: Purchase of Maintenance Small Field Equipment, DPWH-CNDEO, Daet, Camarines Norte</t>
  </si>
  <si>
    <t>Purchase of Medical, Dental and Lab. Supply (RHU)</t>
  </si>
  <si>
    <t>20GPJ0008:PR No. 2020-06-008 Procurement of Tires and spare parts for the use of  service vehicles RHX646,XNT499,&amp; UNF111</t>
  </si>
  <si>
    <t>CID No. 20GI00002 - Purchase/Delivery/Installation of RTIA Traffic Count Equipment of Planning Section, Planning and Design Division, DPWH Regional Office VIII, Baras, Palo, Leyte</t>
  </si>
  <si>
    <t>Procurement of Veterinary Supplies PR # 2018-12-28-620</t>
  </si>
  <si>
    <t>Procurement of Hardware Supplies PR # 2018-05-29-236</t>
  </si>
  <si>
    <t>PROCUREMENT OF MATERIALS FOR THE CONSTRUCTION OF 26 UNITS SANITARY LATRINE</t>
  </si>
  <si>
    <t>Procurement of Polybag PR # 2018-05-22-220-A</t>
  </si>
  <si>
    <t>SUPPLY OF LABOR, EQUIPMENT AND RESTORATION MATERIALS FOR THE INSTALLATION, TESTING AND COMMISSIONING OF 250MM DIA. TRANSMISSION LINE ALONG AMULUNG SOLANA ROAD, BASI, SOLANA, CAGAYAN (CALAMAGUI UPGRADI</t>
  </si>
  <si>
    <t>PROCUREMENT OF FOUR (4) PIECES TIRES 235/70 R15 FOR REPLACEMENT OF OLD TIRES OF SERVICE VEHICLE ISUZU CROSSWIND CN6155</t>
  </si>
  <si>
    <t>pathways at boracay and little baguio</t>
  </si>
  <si>
    <t>Dumping Fee of Municipal Waste</t>
  </si>
  <si>
    <t>PROCUREMENT OF VARIOUS SPARE PARTS FOR PNR ENGINEERING DEPARTMENT SERVICE TRUCK (ISUZU ELF) SHX 627 (ENGINE # 4JB1-NHR/ISUZO ELF TRUCK DROPSIDE/4 WHEELS)</t>
  </si>
  <si>
    <t>ROAD CONCRETING (BRGY. BANGUIAN)</t>
  </si>
  <si>
    <t>Procurement of Hardware Supplies PR # 2018-11-28-601</t>
  </si>
  <si>
    <t>MAINTENANCE AND SUPPLY</t>
  </si>
  <si>
    <t>Purchase of Drugs and Medicine (GAD)</t>
  </si>
  <si>
    <t>CONSTRUCTION OF MRF</t>
  </si>
  <si>
    <t>Supplies &amp; Delivery of Concreting of Street Shoulder &amp; Portion of Pavement</t>
  </si>
  <si>
    <t>395 pcs Gift Check/Cards</t>
  </si>
  <si>
    <t>Procurement of DOLE Kabuhayan Starter Kit, Barangay Mancruz, Daet, Camarines Norte</t>
  </si>
  <si>
    <t>Procurement of Medical Supplies PR # 2018-07-09-316</t>
  </si>
  <si>
    <t>Purchase of Drugs and Medicines (NTP)</t>
  </si>
  <si>
    <t>Procurement of Fishing Supply PR # 2018-11-22-588-A</t>
  </si>
  <si>
    <t>ROOFING REPAIR (Bldg.17 Rm. 1-3, Bldg. 14 R. 1-2 &amp; Bldg. 6 Rm. 1-3)</t>
  </si>
  <si>
    <t>PROCUREMENT OF JANITORIAL SUPPLIES</t>
  </si>
  <si>
    <t>RFQ# 2020-04-015-Supply/Delivery of CCMC Asphalt for Routine Maintenance of National Roads and Bridges, DPWH-NSFDEO, Catarman, N. Samar</t>
  </si>
  <si>
    <t>Procurement of Electrical Supplies PR # 2019-09-20-347</t>
  </si>
  <si>
    <t>20GFC0012: Purchase of Spare Parts Accessories for Service Vehicle and Equipment, Purchase of Spare Parts Accessories for Service Vehicle and Equipment</t>
  </si>
  <si>
    <t>Concreting of Pathway Along Phase 1 to Phase 3</t>
  </si>
  <si>
    <t>Installation of Beanch Seat for Covered Court</t>
  </si>
  <si>
    <t>Procurement of Hardware Supplies PR # 2018-10-17-512</t>
  </si>
  <si>
    <t>Procurement of Hardware Supplies PR # 2019-03-18-109</t>
  </si>
  <si>
    <t>Procurement of Hardware Supplies PR # 2019-04-30-170</t>
  </si>
  <si>
    <t>Procurement of Electrical Supplies PR # 2019-02-26-061</t>
  </si>
  <si>
    <t>Procurement of Misting Machine for Dengue Prevention</t>
  </si>
  <si>
    <t>Procurement of Hardware Supplies PR # 2019-03-21-116</t>
  </si>
  <si>
    <t>20HH0137-Repair and Maintenance of Drainage System along Natalio Bacalso Avenue – Bulacao Section, Cebu City</t>
  </si>
  <si>
    <t>DESKTOP COMPUTERS PR 0197</t>
  </si>
  <si>
    <t>DOCUMENT SCANNER PR 0196</t>
  </si>
  <si>
    <t>Procurement of Janitorial Supplies PR # 2019-02-07-031</t>
  </si>
  <si>
    <t>cellphone</t>
  </si>
  <si>
    <t>Hire of Vehicle for Various DSWD-CAR Activities to All Provinces of Cordillera Administrative Region (CAR) from August to December 2020</t>
  </si>
  <si>
    <t>INVITATION TO BID FOR THE PROCUREMENT OF SUPPLY AND INSTALLATION OF VARIOUS EQUIPMENT AND FACILITIES</t>
  </si>
  <si>
    <t>Repainting of Guardrails along Jct. Del Carmen-Sta. Monica-San Isidro Road</t>
  </si>
  <si>
    <t>Procurement of Medical Supplies for the OK sa DepEd Services in the Division and Schools</t>
  </si>
  <si>
    <t>PB BAC1-20-012 FOR THE SUPPLY AND DELIVERY OF VARIOUS CONSTRUCTION SUPPLIES –  REFRIGERATION &amp; AIRCON - FOR 2020</t>
  </si>
  <si>
    <t>Procurement of Electrical Supplies PR # 2019-08-29-317-A</t>
  </si>
  <si>
    <t>Supply and Delivery of Electrical Equipment and Construction Materials</t>
  </si>
  <si>
    <t>Supplies related to prevention and mitigation of COVID 19 virus</t>
  </si>
  <si>
    <t>Procurement for the Supply &amp; Delivery of Agricultural Products</t>
  </si>
  <si>
    <t>PB BAC1-20-009 SUPPLY AND DELIVERY OF VARIOUS CONSTRUCTION SUPPLIES - ELECTRICAL FOR 2020</t>
  </si>
  <si>
    <t>ROAD CONCRETING (BRGY. CALOG SUR)</t>
  </si>
  <si>
    <t>Supply, Delivery and Installation of 73 sets of Automatic Emergency Lighting System</t>
  </si>
  <si>
    <t>PB BAC1-20-011 Supply and Delivery of Various Construction Supplies  PLUMBING - for 2020</t>
  </si>
  <si>
    <t>Supply &amp; Delivery of Aircondition</t>
  </si>
  <si>
    <t>20HH0138-Repair / Maintenance of Drainage System along Old Cadre Rd. (S00037CB) Chainage 327 – Chainage 537, Brgy. Kasambagan, Cebu City</t>
  </si>
  <si>
    <t>Supply and Delivery of I.T equipments (repost)</t>
  </si>
  <si>
    <t>Procurement for the Supply, Delivery &amp; Printing of Traffic  Citation Ticket</t>
  </si>
  <si>
    <t>Concreting of Brgy. Tarcan FMR, Brgy. Tarcan, Baliuag, Bulacan</t>
  </si>
  <si>
    <t>REHABILITATION OF WATER SYSTEM</t>
  </si>
  <si>
    <t>Construction Materials for the Repair of Multi Purpose Hall</t>
  </si>
  <si>
    <t>ITDI-200081_REBID - SUPPLY OF LABOR AND MATERIALS FOR THE FABRICATION OF WOODEN DRYING RACKS/SHELVES</t>
  </si>
  <si>
    <t>Construction of three storey six classroom – Batia Elementary School, Bocaue, Bulacan</t>
  </si>
  <si>
    <t>FURNISHING OF LABOR AND MATERIALS FOR THE INSTALLATION OF  COMPAC SOLAR LED STREETLIGHT</t>
  </si>
  <si>
    <t>CONSTRUCTION OF MULTI-PURPOSE HALL/CENTER (Cato-ogan ES, Brgy. Cato-ogan, Tobias Fornier, Antique)/IB. NO. K-2020-058(SC)</t>
  </si>
  <si>
    <t>Supply and Delivery of Meals and Snacks for the Participants to the 3 days Training on Traffic Management and Safety on june 23-25, 2020</t>
  </si>
  <si>
    <t>Procurement of Office Supplies for the Second Quarter</t>
  </si>
  <si>
    <t>Construction of Flood Control Structure along Bocaue River and Its Tributaries, Bunlo-Lolomboy Section, Bocaue, Bulacan</t>
  </si>
  <si>
    <t>2020-06-0039 IT Equipment Parts and Accessories</t>
  </si>
  <si>
    <t>CONCRETING OF BUAYAN SITIO NAREK ROAD</t>
  </si>
  <si>
    <t>Upgrading of Barangay Road, Brgy. Sta. Ines, Bulakan, Bulacan</t>
  </si>
  <si>
    <t>REHABILITATION OF JICA BUILDING</t>
  </si>
  <si>
    <t>Provision of Catering Services and Accommodation during the 2020 Performance Workshop on Financial and Organizational Management</t>
  </si>
  <si>
    <t>Common Computer Consumables for Planning &amp; Design Section, 2nd quarter 2020</t>
  </si>
  <si>
    <t>Laundry services</t>
  </si>
  <si>
    <t>CONCRETING OF BARANGAY ROAD (Purok I, Maybato North, San Jose, Antique)/IB. NO. K-2020-057(SC)</t>
  </si>
  <si>
    <t>Purchase of Various Drum and Toner for Mayors Office Digital Copier</t>
  </si>
  <si>
    <t>Supplies needed by students related to prevention and mitigation of COVID 19 virus</t>
  </si>
  <si>
    <t>CONCRETING OF PROVINCIAL ROAD(Brgy. San Isidro, Tibiao, Antique)/IB. NO. K-2020-062(SC)</t>
  </si>
  <si>
    <t>PB BAC1-20-005 SUPPLY AND DELIVERY OF VARIOUS CONSTRUCTION SUPPLIES - BIOMEDICAL –  FOR 2020</t>
  </si>
  <si>
    <t>Cooking Gas &amp; Cleaning &amp; maint of gas burner 2nd sem 2020-HE</t>
  </si>
  <si>
    <t>PROCUREMENT OF MATERIALS FOR THE CONTINUING CONSTRUCTION OF MULTI PURPOSE/EVACUATION CENTER (PHASE III)</t>
  </si>
  <si>
    <t>Procurement of Supplies for Sanitation and Disinfecting</t>
  </si>
  <si>
    <t>CONSTRUCTION OF FLOOD CONTROL/RIVER WALL PROJECT (Sitio Camangahan, Brgy. Buluangan I, Valderrama, Antique)/IB. NO. K-2020-061(SC)</t>
  </si>
  <si>
    <t>Procurement for the Supply &amp; Delivery of Vehicle Parts &amp;  Accessories</t>
  </si>
  <si>
    <t>Engine Oil Fully Synthetic use for Service Vehicles</t>
  </si>
  <si>
    <t>PB BAC1-20-014 SUPPLY AND DELIVERY OF VARIOUS CONSTRUCTION SUPPLIES –  TRANSPORTATION - FOR 2020</t>
  </si>
  <si>
    <t>Small Value Procurement - declogging and siphoning of one septic tank</t>
  </si>
  <si>
    <t>Various office supplies (Ballpen, etc.)</t>
  </si>
  <si>
    <t>Procurement of Computer sets and other peripherals</t>
  </si>
  <si>
    <t>ITDI-200445 - SUPPLY, DELIVERY, AND INSTALLATION OF 2 COMPRESSOR UNITS ON ACCU 3</t>
  </si>
  <si>
    <t>REHABILITATION OF GATE ENTRANCE</t>
  </si>
  <si>
    <t>RIPRAPPING OF STEEP ROAD SIDE(Brgy. Codiong, Libertad, Antique)/IB. NO. K-2020-059(SC)</t>
  </si>
  <si>
    <t>ITDI-200444 - SUPPLY AND DELIVERY OF COMPUTER FOR INSTRUMENT CONTROL</t>
  </si>
  <si>
    <t>REHABILITATION OF CANOPY &amp; HAND WASHING AREA (NEAR MAIN GATE)</t>
  </si>
  <si>
    <t>Procurement of Various PPE and Laparatomy Packs for COVID-19 Patients Use</t>
  </si>
  <si>
    <t>Procurement of CD4</t>
  </si>
  <si>
    <t>Rapid Test Kit (FDA Approved) for the conduct of COVID-19 rapid testing of the District Office Employee</t>
  </si>
  <si>
    <t>05d-07-2020 - PEST/TERMITE CONTROL APPLICATION</t>
  </si>
  <si>
    <t>PURCHASE OF THREE DIGITAL DUPLICATORS (RISOGRAPHING MACHINES)</t>
  </si>
  <si>
    <t>PURCHASE OF ADDITIONAL RE-RICE AID PROGRAM UNDER BGCM PROGRAM</t>
  </si>
  <si>
    <t>RIP RAPPING OF ROAD EMBANKMENT (BRGY. CANAYUN)</t>
  </si>
  <si>
    <t>Procurement of Hardware Supplies PR # 2018-05-22-220-A</t>
  </si>
  <si>
    <t>Procurement of Medicines for the Operations of the Rural Health Unit</t>
  </si>
  <si>
    <t>Purchase of Printer</t>
  </si>
  <si>
    <t>PARTITION REPAIR OF GUIDANCE OFFICE &amp; RECORDS ROOM (Building 18 Rm. 1)</t>
  </si>
  <si>
    <t>Homelife supplies-Common Electrical &amp; Janitorial supplies etc.-2nd Qtr. 2020-BT</t>
  </si>
  <si>
    <t>SUPPLY AND DELIVERY OF VARIOUS ICT EQUIPMENT  (Laptops/Printers/Printer Ink)</t>
  </si>
  <si>
    <t>Procurement of Construction Materials for the Construction of Sanitary Latrine</t>
  </si>
  <si>
    <t>Procurement of Livestock....Day Old Chick..under ARBold Project of DAR</t>
  </si>
  <si>
    <t>20EA0054 - Repainting of Mangamnan Bridges</t>
  </si>
  <si>
    <t>Purchase of Supplies for decotamination/disinfection of all school building and facilities</t>
  </si>
  <si>
    <t>Package III: Construction of Multi-Purpose Hall, Barangay Balincaguing, San Felipe and Concreting of Purok 1 and 2, Barangay Paite, San Narciso</t>
  </si>
  <si>
    <t>Procurement of Supplies for CoVID-19 Response</t>
  </si>
  <si>
    <t>Various grocery items (Alcohol, etc.)</t>
  </si>
  <si>
    <t>CONSTRUCTION OF MULTI-PURPOSE BUILDING</t>
  </si>
  <si>
    <t>PB PUR20-02-0135 SUPPLY AND DELIVERY OF CHARGE SLIP AND STICK-ON LABEL FOR 2020</t>
  </si>
  <si>
    <t>Supply and Delivery of Paper Shredder</t>
  </si>
  <si>
    <t>Construction Materials for the Construction of Comfort Room</t>
  </si>
  <si>
    <t>20EA0053 - Application of Thermoplastic Pavement Markings along Marinduque Circumferential Road (S00001MQ), Dr. Damian Reyes Memorial Road (Boac Side) (S00029MQ), Dr. Damian Reyes Memorial Road (Torri</t>
  </si>
  <si>
    <t>SUPPLY &amp; DELIVERY OF COMMON USED OFFICE  SUPPLIES, 1ST QUARTER, CY 2020, LGU, Bayombong, Nueva Vizcaya</t>
  </si>
  <si>
    <t>NP 093-20: PROVISION OF PEST AND TERMITE CONTROL SERVICES FOR DA-ADMIN AND NEW BUILDING, BAFS BUILDING, ICTS BUILDING AND ADC BUILDING FOR CY 2020</t>
  </si>
  <si>
    <t>Construction of Brgy. S.M.H. Multi-Purpose Hall</t>
  </si>
  <si>
    <t>20DE0147 Concreting of Brgy. San Vicente FMR, Brgy. San Vicente, Bauan, Batangas</t>
  </si>
  <si>
    <t>SUPPLY AND DELIVERY OF SURVEYING INSTRUMENTS &amp; ACCESSORIES</t>
  </si>
  <si>
    <t>Provision of Meals and Snacks for the conduct of Training on Farm Fabrication of Improvised Farm Tools and Equipment - July 13 - 16, 2020</t>
  </si>
  <si>
    <t>REQUEST FOR QUOTATION DRUGS AND MEDICINE  &amp; HOSPITAL MEDICAL SUPPLIES</t>
  </si>
  <si>
    <t>COFFEE MAKER PR 0192</t>
  </si>
  <si>
    <t>20DE0146 Concreting of Brgy. San Jose Sico FMR, Brgy. San Jose Sico, Batangas City, Batangas</t>
  </si>
  <si>
    <t>Provision of Recovery Livelihood Projects for the Micro Entrepreneurs of Sta. Lucia, Ilocos Sur to be held on June 29-30, 2020 at Ayusan, Sta. Lucia, Ilocos Sur</t>
  </si>
  <si>
    <t>Security Paper</t>
  </si>
  <si>
    <t>20GOH0033 RFQ-Purchase of Materials for the Repainting of Corner Curbs at Intersection, Center Islands/Divider Islands along National Roads within SMDEO Jurisdiction</t>
  </si>
  <si>
    <t>20DE0145 Concreting of Brgy. Tulo FMR, Brgy. Tulo, Batangas City, Batangas</t>
  </si>
  <si>
    <t>Supply, Delivery and Testing of Smart LED Television.</t>
  </si>
  <si>
    <t>Construction of Water Tank</t>
  </si>
  <si>
    <t>20GOH0034 RFQ-Proposed Purchase of Materials for the Repainting of Faded/Damaged Lane Line Markings along various National Roads within SMDEO Jurisdiction</t>
  </si>
  <si>
    <t>20GOH0031 RFQ-Purchase of Engine for Use of Mini Dump Truck SEB-835</t>
  </si>
  <si>
    <t>PR NO. 2020-05-016 - OFFICE SUPPLIES</t>
  </si>
  <si>
    <t>20GOH0021 RFQ Re-ads-Purchase of Protective Suits and Floodguard including Minor Equipments &amp; Tools for the Repair of National Roads  and for Manual Cleaning Lines within SMDEO</t>
  </si>
  <si>
    <t>Contract ID No.: 20GOE0013 - Procurement / Acquisition of Portable Weigh-In-Motion (WIM) Axle Weigher Set for NMDEO ATOME Operations</t>
  </si>
  <si>
    <t>Supply and Delivery of Bottom Load Water Dispenser</t>
  </si>
  <si>
    <t>PB BAC1-20-004 SUPPLY AND DELIVERY OF CHEMICALS AND REAGENTS – REAL TIME POLYMERASE CHAIN REACTION (RT-PCR) REAGENTS - CY 2020</t>
  </si>
  <si>
    <t>Construction Materials for the Repair of Health Station</t>
  </si>
  <si>
    <t>Purchase of supplies and equipment for covid 19 operation</t>
  </si>
  <si>
    <t>Magnetic Stirrer and Heater; Vortex Mixer</t>
  </si>
  <si>
    <t>Purchase of Brand New Mini Dump Truck, Mogpogf</t>
  </si>
  <si>
    <t>Procurement of antimicrobial soap and other medical and surgical supplies</t>
  </si>
  <si>
    <t>INSTALLATION OF PUBLIC ADDRESS</t>
  </si>
  <si>
    <t>PROCUREMENT OF ONE (1) LOT PROFESSIONAL/ CONSULTING SERVICE FOR THE CONDUCT OF WATER POLLUTION LOAD ASSESSMENT FOR SEVEN (7) RIVERS IN REGION III</t>
  </si>
  <si>
    <t xml:space="preserve">NEGOTIATED PROCUREMENT ON THE PROVISION OF LABOR, MATERIALS, EQUIPMENT AND OTHER INCIDENTALS NEEDED FOR THE IMPROVEMENT OF NAGTRIGOAN SMALL WATER IMPOUNDING PROJECT (SWIP) AT BRGY. NAGTRIGOAN PINILI, </t>
  </si>
  <si>
    <t>Construction Materials - Repair and Extension of Barangay Hall for VAWC Office and Tanod Outpost</t>
  </si>
  <si>
    <t>PURCHASE OF ICT EQUIPMENT FOR USE AS AN INSTRUCTIONAL EQUIPMENT IN BUIA LABORATORY</t>
  </si>
  <si>
    <t>Purchase of Diesel and Lubricant for Road Graveling of Barangay Villakapa, San Pablo, ZDS.</t>
  </si>
  <si>
    <t>Supply/Delivery for Air condition unit for CTE</t>
  </si>
  <si>
    <t>Procurement of Fuel &amp; Lubricants (Covid-19 Response)</t>
  </si>
  <si>
    <t>OFFICE SUPPLIES AND DEVICES - MTO</t>
  </si>
  <si>
    <t>COMPUTER SUPPLIES - MTO</t>
  </si>
  <si>
    <t>SUPPLY AND DELIVERY OF VARIOUS COMMON OFFICE SUPPLY</t>
  </si>
  <si>
    <t>Supply and Delivery of Office Equipment for the use of Municipal Engineering Office, Brooke’s Point, Palawan.</t>
  </si>
  <si>
    <t>Vehicle Parts for Repair and Maintenance of Light Vehicle</t>
  </si>
  <si>
    <t>Purchase of Agricultural Materials to help farmers in increasing their income, Office of the Mun. Agriculturist, MUNICIPALITY OF SAN LUIS, BATANGAS</t>
  </si>
  <si>
    <t>20CG0157 - Bridge Program – Replacement of Permanent Weak Bridge Mexico Br. (B01478LZ) along Jose Abad Santos Ave. (JASA) Rd., Mexico, Pampanga</t>
  </si>
  <si>
    <t>RIPRAPPING AT GOVERNMENT CENTER (PHASE II)</t>
  </si>
  <si>
    <t>20GOH0038 RFQ-Proposed Purchase of Materials for the Re-painting of Faded/damaged Lane Line Markings along Various National Roads within SMDEO Jurisdiction</t>
  </si>
  <si>
    <t>TESDA BUSINESS CARDS - PR 0191</t>
  </si>
  <si>
    <t>Supply and Delivery of Professional Video Camera with SD Card Storage</t>
  </si>
  <si>
    <t>PROCUREMENT OF SEVENTY – FIVE (75) LAPTOP UNITS FOR TOURISM PROMOTIONS BOARD EMPLOYEES</t>
  </si>
  <si>
    <t>20GOH0037 RFQ-Proposed Purchase of Materials for the Repair/Re-installation of Damaged and Missing Steel Railings along Bridges with SMDEO Jurisdiction</t>
  </si>
  <si>
    <t>Supply and Delivery of various Agricultural Tools, Materials and Inputs for the conduct of Seminar on Urban Agriculture with Starter Kits (5 Batches) - August to October 2020</t>
  </si>
  <si>
    <t>Design and Development of Intramuros Administration Integrated Information System</t>
  </si>
  <si>
    <t>SUPPLY &amp; DELIVERY OF ADVERTISING EXPENSES</t>
  </si>
  <si>
    <t>Supply and Delivery of MSME Livelihood Kit (Sari-Sari Store) for KIPO and Calamity and Fire Victims</t>
  </si>
  <si>
    <t>CONSTRUCTION OF  WELCOME  LANDMARK  AT  BARANGAY CALARIAN</t>
  </si>
  <si>
    <t>REHAB OF DRAINAGE CANAL-Purok 3, Gabon Polangui Albay</t>
  </si>
  <si>
    <t>SUPPLY AND DELIVERY OF CONSTRUCTION MATERIALS AND SUPPLIES/2ND QUARTER MOOE- TALISAY ES</t>
  </si>
  <si>
    <t>Supply and Delivery of various Training Supplies and Materials for the conduct of Seminar on Urban Agriculture with Starter Kits (5 Batches) - August to October 2020</t>
  </si>
  <si>
    <t>Purchase of COVID-19 Response Items</t>
  </si>
  <si>
    <t>rfq supplies</t>
  </si>
  <si>
    <t>SECURITY SERVICES</t>
  </si>
  <si>
    <t>purchase of emergency vehicle</t>
  </si>
  <si>
    <t>PROCUREMENT OF VARIOUS INFRASTRUCTURE PROJECTS</t>
  </si>
  <si>
    <t>RFQ No.: 2020 – 104 Various Electrical Materials</t>
  </si>
  <si>
    <t>RE-BID: Supply and Delivery of Five Thousand Five Hundred (5,500) Ltrs. Gasoline and Fifty-Two  Thousand (52,000) Ltrs. Diesel for next six (6) months or from July 2020 to December 2020 and with a pro</t>
  </si>
  <si>
    <t>Procurement of Catering Services (1 Lunch and 2 Snacks for 15 Days) (for conduct of Training Cum Production on Masonry)</t>
  </si>
  <si>
    <t>CONTRACT ID: 19-12-272 2ND REBID-PROCUREMENT OF VARIOUS LABORATORY REAGENTS, MEDICAL DEVICES, DENTAL SUPPLIES AND INSTRUMENTS</t>
  </si>
  <si>
    <t>20GOH0036 RFQ-Purchase of Rubberized Cones, Plastic Barriers and Bollards with Reflectorized sticker that will be used by Maintenance Crew during Road Maintenance/Repairs within SMDEO Jurisdiction</t>
  </si>
  <si>
    <t>PR NO. 1405 CATERING SERVICES</t>
  </si>
  <si>
    <t>IP RADIO</t>
  </si>
  <si>
    <t>Drugs - Sodium Bicarbonate 1MEQ/ML 50ML (2nd Posting)</t>
  </si>
  <si>
    <t>20GOH0032 RFQ-Purchase of Materials for the Installation of Reflectorized  Deleanator along Roxas Boulevard, Manila</t>
  </si>
  <si>
    <t>Supply and Delivery of Fuel for the use of Sangguniang Bayan service Vehicles, Brooke’s Point, Palawan.</t>
  </si>
  <si>
    <t>20GOH0035 RFQ-Purchase of Materials for the Repair of Road Deficiencies (Potholes) using Coldmix Asphalt along Various National Roads within SMDEO</t>
  </si>
  <si>
    <t>RB2020-06-204 Office supplies and consumables</t>
  </si>
  <si>
    <t>PR # 2020-02-029 - Supply and Delivery of Tubeless Tire to be used for Repair/Maintenance of Ford Ranger with Temp. No. 101602B</t>
  </si>
  <si>
    <t>20GLD0041-Procurement of 1 pc.Solenoid Valve (As per sample) For: H3-6482, Man Diesel Dump Truck, etc.-For use in Maintenance Section</t>
  </si>
  <si>
    <t>RFQ - GCMS Consumables</t>
  </si>
  <si>
    <t>Procurement of Civil works for the Electical Lighting at Rizal Park, Municipal Compound Poblaion A, Mlang, Cotabato.</t>
  </si>
  <si>
    <t>INVITATION TO BID FOR  SUPPLY, DELIVERY, INSTALLATION, TESTING AND COMMISSIONING OF MEDICAL EQUIPMENT FOR FY2020</t>
  </si>
  <si>
    <t>CONSTRUCTION OF SNP ROOM AND BNC OFFICE</t>
  </si>
  <si>
    <t>Supply/delivery and installation of office cubicles-laminated panel</t>
  </si>
  <si>
    <t>Supply and Delivery of Agricultural Materials</t>
  </si>
  <si>
    <t>Procurement of 3,061 kits Hygiene Kit</t>
  </si>
  <si>
    <t>Procurement of Materials for the Improvement/Fabrication of Peri-meter Fence (SJSJES)</t>
  </si>
  <si>
    <t>Medical Supplies for Non-Communicable Diseases</t>
  </si>
  <si>
    <t>Repair of transmission lines and distribution mains</t>
  </si>
  <si>
    <t>Titling and Registration of Real Properties of the Municipal Government of Bulalacao</t>
  </si>
  <si>
    <t>Office Supplies-PNP</t>
  </si>
  <si>
    <t>For use in Campalingo Elementary School, Campalingo, San Fernando, Romblon.</t>
  </si>
  <si>
    <t>ITB20-5(infra)</t>
  </si>
  <si>
    <t>RIPRAPPING AT MADERAL COMPOUND</t>
  </si>
  <si>
    <t>Supply and Delivery of Information and Technology Equipment</t>
  </si>
  <si>
    <t>Supply and Delivery of Information Technology Equipments and Supplies for the use of Office of the Building Official</t>
  </si>
  <si>
    <t>INVITATION TO BID FOR ROAD CONSTRUCTION MATERIALS (BID NO. 200716-09)</t>
  </si>
  <si>
    <t>CY 2019 Repair/Rehabilitation of Department of Education  Regional Office VI, Duran Street, Iloilo City (Rebid)</t>
  </si>
  <si>
    <t>PR 221-20-06-0635, FOR USE OF REPAIR OF 2 CLASSROOM AT BALABAG ELEMENTARY SCHOOL, BRGY QUEZON, SAN CARLOS CITY.</t>
  </si>
  <si>
    <t>Toner Cartridge for stock and distribution of General Services Office</t>
  </si>
  <si>
    <t>Construction of Mabasa Potable Water Supply System (Level II)</t>
  </si>
  <si>
    <t>Vacuum pump</t>
  </si>
  <si>
    <t>Supply and Delivery of Materials, Labor, Tools and Equipment including  				  Supervision for the Proposed Construction of National Child   Development Center</t>
  </si>
  <si>
    <t>Painting Materials for use of Improv’t/ Expansion of Multipurpose Bldg. Brgy. Matinao, Pantukan-SVP-20-C0704</t>
  </si>
  <si>
    <t>REFILLING OF FIRE EXTINGUISHER</t>
  </si>
  <si>
    <t>Roof and Grills of the Paglaum Building ( Jalaud), Brgy. Jalaud, Barotac Nuevo, Iloilo</t>
  </si>
  <si>
    <t>For use in equipment and supplies assistance for Multi-Purpose Center ( Mt. Guiting-guiting Conservation &amp; Protection Assistance), Province of Romblon</t>
  </si>
  <si>
    <t>WANTAI SARS-COV-2 Ab Rapid Test 50’s</t>
  </si>
  <si>
    <t>Supply and Delivery of MSME Livelihood Kit (Pastry Making) in Vintar, Ilocos Norte</t>
  </si>
  <si>
    <t>Rehabilitation of Road</t>
  </si>
  <si>
    <t>Supply and Delivery of COVID-19 materials of Aplaya ES</t>
  </si>
  <si>
    <t>ITB NO. GOP/20-DSWD-039 Provision of Multi-Year Contract for the Hiring of Service Provider for the Preventive Maintenance and Service Repair of Generator Sets of DSWD – Central Office (DSWD-CO) and N</t>
  </si>
  <si>
    <t>20CB-GSC-351 PURCHASE OF HARDWARE SUPPLIES</t>
  </si>
  <si>
    <t>Supply and Delivery of MSME Livelihood Kit (Pastry Making) in Burgos, Ilocos Norte</t>
  </si>
  <si>
    <t>SUPPLY AND DELIVERY OF BRAND NEW SINGLE NEEDLE LOCKSTITCH MACHINE (HIGH SPEED)  (GOODS 2020-05)</t>
  </si>
  <si>
    <t>Improvement Kolambugan Level III Water System Project</t>
  </si>
  <si>
    <t>SUPPLY AND DELIVERY OF PORTABLE WELDING MACHINES AND PARAPHERNALIAS FOR DSWD SKILLS TRAINING</t>
  </si>
  <si>
    <t>Supply and Delivery of MSME Livelihood Kit (Peanut Processing) in Piddig, Ilocos Norte</t>
  </si>
  <si>
    <t>Construction of Concrete Bridge  (2.0m x 40.0 ln.m. bridge with railings, 2.0m x 6.0 ln.m. x 0.15 thick PCCP  extended along the concrete bridge)</t>
  </si>
  <si>
    <t>Goods 2020-02 - Procurement of Dump Truck</t>
  </si>
  <si>
    <t>ITB NO. GOP/19-DSWD-058-A Supply and Delivery of Motor Vehicles for DSWD-Unconditional Cash Transfer (UCT) National Program Management Office (NPMO)</t>
  </si>
  <si>
    <t>20GOH0041 RFQ-Purchase of  Materials  for the repair of road deficiencies (potholes) using coldmix asphalt along various national roads within SMDEO</t>
  </si>
  <si>
    <t>Provision of labor and materials for the repair of the Office of the ARD TO and repair/repainting of old cubicles and furnitures</t>
  </si>
  <si>
    <t>PROCUREMENT OF ZOOM SUBSCRIPTION LICENSES FOR DOST-PCIEERD WEBINARS 2020</t>
  </si>
  <si>
    <t>20GOH0039 RFQ-Purchase of Various Spare Parts and Labor for Use of Dump Truck H3-6442</t>
  </si>
  <si>
    <t>20CB-GSC-353 PURCHASE OF DIESEL AND GASOLINE FOR CVMO (REBID)</t>
  </si>
  <si>
    <t>office equipment, supplies &amp; consumables-jhs</t>
  </si>
  <si>
    <t>Goods 2020-03 - Supply and Delivery of Grafted Calamansi Seedlings</t>
  </si>
  <si>
    <t>CONSTRUCTION OF BANAY BRIDGE</t>
  </si>
  <si>
    <t>20GOH0040 RFQ-Purchase of Paints and Materials for the Repainting of Curbs and Nosing along Various National Roads within SMDEO Jurisdiction</t>
  </si>
  <si>
    <t>Gasoline-MCO-GAD</t>
  </si>
  <si>
    <t>IMPROVEMENT OF POB. WEST COMMUNAL IRRIGATION SYSTEM</t>
  </si>
  <si>
    <t>IMPROVEMENT OF KAKOTONAN-MATEDTEDTED FMR</t>
  </si>
  <si>
    <t>HFE : IT EQUIPMENT AND SUPPLIES For the HOME FOR THE ELDERLY operation, 2nd semester CY 2020.</t>
  </si>
  <si>
    <t>Livelihood Assistance to Tricycle Drivers</t>
  </si>
  <si>
    <t>Procurement and Delivery of Office Supplies and Devices for BAC Operations</t>
  </si>
  <si>
    <t>IMPROVEMENT OF MATEDTED-BANAY FMR</t>
  </si>
  <si>
    <t>Livelihood Assistance to Farmers in the form of Fertilizer</t>
  </si>
  <si>
    <t>Construction of Proposed Slaughterhouse – San Teodoro</t>
  </si>
  <si>
    <t>35 pcs. Brown Envelope long</t>
  </si>
  <si>
    <t>Procurement and Delivery of Construction Materials for Wall Partition and Division of 4/20 Building Room 3</t>
  </si>
  <si>
    <t>Goods 2020-01 - Procurement of Ambulance</t>
  </si>
  <si>
    <t>INVITATION TO BID FOR CONSTRUCTION OF MULTI PURPOSE BUILDING – BRGY. BANATIN</t>
  </si>
  <si>
    <t>Extension of Multi-Purpose Building</t>
  </si>
  <si>
    <t>Canepoints for Sta. Barbara Farmers Association ABC Php 103,950.00</t>
  </si>
  <si>
    <t>Procurement and Delivery of Branded Safety Gears Package</t>
  </si>
  <si>
    <t>Procurement of Various Drugs and Medicines</t>
  </si>
  <si>
    <t>IMPROVEMENT OF NAGDAINGAN-ISSAYOT FMR</t>
  </si>
  <si>
    <t>Canepoints for Sta. Barbara Farmers Association ABC Php 117,654.00</t>
  </si>
  <si>
    <t>Canepoints for Sta. Barbara Farmers Association ABC Php 122,568.00</t>
  </si>
  <si>
    <t>Supply and delivery of lubricants and additives for the use of the various Heavy Equipments(Motorpool) of the City Government of Kidapawan.</t>
  </si>
  <si>
    <t>Paper materials and Others</t>
  </si>
  <si>
    <t>Procurement and Delivery of Noise Cancelling Headphone with Microphone</t>
  </si>
  <si>
    <t>Procurement and Delivery of Branded Wired Over-ear Headset with Flip-up Mic</t>
  </si>
  <si>
    <t>Supply of fuels for the Proposed road rehabilitation/spot gravelling/quarrying of limestone, and compaction of various barangay roads of different barangays(Katipunan, Kalaisan, Kalasuyan, Junction) o</t>
  </si>
  <si>
    <t>construction materials &amp; supplies - shs</t>
  </si>
  <si>
    <t>SUPPLY &amp; DELIVERY OF MATERIALS FOR THE RENOVATION OF PWD BUILDING</t>
  </si>
  <si>
    <t>construction materials &amp; supplies - jhs</t>
  </si>
  <si>
    <t>Supply of fuels for the Proposed road rehabilitation/spot gravelling/quarrying of limestone, spreading and compaction of various barangay roads of different barangays(Malinan, Magsaysay, Macebolig, Lu</t>
  </si>
  <si>
    <t>Rehabilitation of Local Access Road, Subec, Sta. Catalina, Ilocos Sur</t>
  </si>
  <si>
    <t>RSCC: 1 LOT ASSORTED GROCERY ITEMS FOR THE CONSUMPTION OF CHILDREN AT RSCC FOR 3rd  QUARTER 2020.</t>
  </si>
  <si>
    <t>Health and Sanitation</t>
  </si>
  <si>
    <t>Installation of Glass at PICO for COVID 19 prevention</t>
  </si>
  <si>
    <t>BDF, BDRRMF, MOOE 2020</t>
  </si>
  <si>
    <t>Geographic Information Mapper Services for HRVC in MinSCAT</t>
  </si>
  <si>
    <t>Supply and Delivery of Office Supplies and Consumables</t>
  </si>
  <si>
    <t>VEGETATION CONTROL AT SIQUIJOR AIRPORT</t>
  </si>
  <si>
    <t>Construction of Sanitary Toilet &amp; Hygiene Facility, Poblacion, Sta. Catalina, Ilocos Sur</t>
  </si>
  <si>
    <t>SUPPLY AND DELIVERY OF OFFICE SUPPLIES, FURNITURE AND EQUIPMENT FOR LGU-ROXAS, PALAWAN</t>
  </si>
  <si>
    <t>20GIL0039(SUPPLY/DELIVERY OF FUEL,DPWH-SLDEO, MAASIN CITY, SOUTHERN LEYTE)</t>
  </si>
  <si>
    <t>office equipment, supplies &amp; consumables-shs</t>
  </si>
  <si>
    <t>Procurement and Delivery of Construction Materials for Wall Partition and Division of 4/16Building 2nd-4th Floor</t>
  </si>
  <si>
    <t>RSCC : 1 LOT FORMULA MILK FOR INFANT AND CHILDREN FOR THE CONSUMPTION OF CHILDREN AT RSCC FOR 3rd  QUARTER 2020.</t>
  </si>
  <si>
    <t>Supply and Delivery of MSME Livelihood Kit (Sari-Sari Store) in Pinili, Ilocos Norte</t>
  </si>
  <si>
    <t>Contruction Materials and Supplies (20-06-428)</t>
  </si>
  <si>
    <t>20CB-GSC-345 PURCHASE OF DRUGS &amp; MEDICAL SUPPLIES FOR DEPED (RE-BID)</t>
  </si>
  <si>
    <t>Stackable Bin Box/Storage Organizer</t>
  </si>
  <si>
    <t>Supply of fuels for the use of the RP Vehicles of the City ENRO Operations and Services.</t>
  </si>
  <si>
    <t>Supply and delivery of Veterinary and medical supplies to be used by the Office of the City Veterinarian for the Prevention of African Swine Fever Disease in Kidapawan City</t>
  </si>
  <si>
    <t>Various Projects</t>
  </si>
  <si>
    <t>Proposed Completion of Second Floor (Outpost)(Completion of Existing Building) at Mega Market, Brgy. Poblacion, Kidapawan City</t>
  </si>
  <si>
    <t>Supply and delivery of desktop computers, Tablet and Printer for the use of the City Assessor’s Office, Kidapawan City</t>
  </si>
  <si>
    <t>Local Bridges in Logohon-Singay, Brgy. Logohon and Singay, Madalag, Aklan</t>
  </si>
  <si>
    <t>INVITATION TO BID FOR CONSTRUCTION OF MULTI PURPOSE BUILDING – BRGY. BUGCASAN NORTE</t>
  </si>
  <si>
    <t>INVITATION TO BID FOR CONSTRUCTION OF MULTI PURPOSE BUILDING – BRGY. NANGI</t>
  </si>
  <si>
    <t>INVITATION TO BID FOR CONSTRUCTION OF MULTI PURPOSE BUILDING – BRGY. SAPAD</t>
  </si>
  <si>
    <t>INVITATION TO BID FOR CONSTRUCTION OF MULTI PURPOSE BUILDING – BRGY. MATAYA</t>
  </si>
  <si>
    <t>PROCUREMENT OF PLANTMATE ORGANIC FERTILIZER</t>
  </si>
  <si>
    <t>INVITATION TO BID FOR CONSTRUCTION OF MULTI PURPOSE BUILDING – BRGY. NARRA</t>
  </si>
  <si>
    <t>INVITATION TO BID FOR CONSTRUCTION OF MULTI PURPOSE BUILDING – BRGY. LADIA</t>
  </si>
  <si>
    <t>INVITATION TO BID FOR CONSTRUCTION OF MULTI PURPOSE BUILDING – BRGY. CENTRAL LANGCONG</t>
  </si>
  <si>
    <t>INVITATION TO BID FOR CONSTRUCTION OF MULTI PURPOSE BUILDING – BRGY. MINABAY</t>
  </si>
  <si>
    <t>Road Concreting @ Central I Binugao</t>
  </si>
  <si>
    <t>VET-20-0469-B Purchase of Other Supplies and Materials</t>
  </si>
  <si>
    <t>SUPPLY AND DELIVERY OF SCHOOL SUPPLIES AT BUKANG LIWAYWAY ELEMENTARY SCHOOL</t>
  </si>
  <si>
    <t>INVITATION TO BID FOR CONSTRUCTION OF MULTI PURPOSE BUILDING – BRGY. DARUGAO</t>
  </si>
  <si>
    <t>Supply and delivery of heavy equipments for the use of the City Government of Kidapawan.</t>
  </si>
  <si>
    <t>Science Equipment (SEF-0519-042420)</t>
  </si>
  <si>
    <t>uplb-rq-6-077-20 goods (Customized System furniture for Grad School)</t>
  </si>
  <si>
    <t>Repair of Port Lighting System, Port of Lubang, Occidental Mindoro</t>
  </si>
  <si>
    <t>Construction of Concrete Bridge</t>
  </si>
  <si>
    <t>IB Construction of Drainage Lined Canal at Barangay Alipangpang, Pozorrubio, Pangasinan</t>
  </si>
  <si>
    <t>Purchase of heavy equipment for the Livestock Development of the City Government of Kidapawan</t>
  </si>
  <si>
    <t>IB Construction of Stone Masonry with Gabion Foundation for Road Concreting at Barangay Balacag, Pozorrubio, Pangasinan</t>
  </si>
  <si>
    <t>INVITATION TO BID FOR CONSTRUCTION OF MULTI PURPOSE BUILDING – BRGY. CROSSING SIMUAY</t>
  </si>
  <si>
    <t>Repair of Temporary Public Comfort Room, Port of Calapan, Oriental Mindoro</t>
  </si>
  <si>
    <t>IMPROVEMENT/UPGRADING OF SAN ISIDRO TO BRGY. STO. TOMAS FMR, BRGY. SAN ISIDRO, SULAT, EASTERN SAMAR</t>
  </si>
  <si>
    <t>Procurement of Oil and Lubricants</t>
  </si>
  <si>
    <t>PROCUREMENT OF 10 INCHES CAST IRON CHECK VALVE</t>
  </si>
  <si>
    <t>Re-bidding of various Office Supplies for SP Office use.</t>
  </si>
  <si>
    <t>Re-bidding of Construction Materials to be given to various Barangays.</t>
  </si>
  <si>
    <t>Re-bidding of K to 12 books to be given to the Department of Education, Kabankalan City (various Elementary Schools).</t>
  </si>
  <si>
    <t>SUPPLY AND DELIVERY OF FURNITURE FOR MAYOR'S OFFICE</t>
  </si>
  <si>
    <t>SUPPLY AND DELIVERY OF DIESEL</t>
  </si>
  <si>
    <t>IB-2020-VII-13-02 FARM TO MARKET ROAD OF VARIOUS BARANGAY</t>
  </si>
  <si>
    <t>LOCAL BRIDGE IN MABONGTOT</t>
  </si>
  <si>
    <t>Repair of Concrete Ramp and Covered Walk at PTB-2, Port of Calapan, Oriental Mindoro</t>
  </si>
  <si>
    <t>PACKAGE 19-27: IMPROVEMENT OF DANGOY MULTI-PURPOSE HALL</t>
  </si>
  <si>
    <t>SUPPLY AND DELIVERY OF VEGETABLE SEEDS BATCH 1</t>
  </si>
  <si>
    <t>SUPPLY AND DELIVERY OF VEGETABLE SEEDS BATCH 2</t>
  </si>
  <si>
    <t>Procurement of Consulting Services for the Topographic Survey of Road Connections for the proposed Water System of the Municipality</t>
  </si>
  <si>
    <t>SUPPLY AND DELIVERY OF COPIERS AND PRINTERS</t>
  </si>
  <si>
    <t>Procurement of Heavy Duty Digital Copier</t>
  </si>
  <si>
    <t>Supply and Delivery of Dump Trucks for the use of the City Government of Kidapawan.</t>
  </si>
  <si>
    <t>REPAIRS OF THE INFORMATION TECHNOLOGY (FELIPE AGONCILLO) BLDG., ORGANIC CENTER (MRF BLDG.) AND 2-STOREY LABORATORY (PEDRO PATERNO) BLDG.  AT OMSC LABANGAN DAMAGED BY TYPHOON URSULA</t>
  </si>
  <si>
    <t>NEGOTIATED PROCUREMENT  FOR THE  Fabrication and Delivery of  Prisoner’s Vehicle (PR-2020-9999-0185)</t>
  </si>
  <si>
    <t>Rehabilitation of Manpower development Center</t>
  </si>
  <si>
    <t>Electrical Wiring System Repair</t>
  </si>
  <si>
    <t>4,000 LITERS OF DIESOLINE FOR AEMSMDH-REBID</t>
  </si>
  <si>
    <t>IB Road Concreting at Barangays Nama &amp; Inoman, Pozorrubio, Pangasinan</t>
  </si>
  <si>
    <t>IB Road Concreting at Barangays Malokiat &amp; Manaol, Pozorrubio, Pangasinan</t>
  </si>
  <si>
    <t>QBWD Office Supplies for 2nd Semester</t>
  </si>
  <si>
    <t>IB-2020-VII-13-01-Office Supplies Inks &amp; Toners (Legislative)</t>
  </si>
  <si>
    <t>PES Purchase of Various Office Supplies available to PS 2020.</t>
  </si>
  <si>
    <t>Common Office Supplies - 2nd Quarter</t>
  </si>
  <si>
    <t>Construction of Multi-Purpose Building at Barangay Sta.Lucia, Maria Aurora</t>
  </si>
  <si>
    <t>IMPROVEMENT OF MULTI-PURPOSE HALL PHASE III AND IV</t>
  </si>
  <si>
    <t>REPAIR OF AIRCONDITION UNIT AND REPLACEMENT OF ARM CYLINDER</t>
  </si>
  <si>
    <t>INVITATION TO BID FOR CONSTRUCTION OF MULTI PURPOSE BUILDING – BRGY. GANG</t>
  </si>
  <si>
    <t>PACKAGE 2020-29: CONCRETING OF TANG-AGAN COMMUNAL IRRIGATION SYSTEM, MABONGTOT</t>
  </si>
  <si>
    <t>Supply and Delivery General Merchandise PR/RFQ# 2020-06-097</t>
  </si>
  <si>
    <t>Purchase of Hardware Supplies for use at Maintenance Division PR No. (100(01)20-06-1188)</t>
  </si>
  <si>
    <t>20JA0081 - REPAIR AND MAINTENANCE OF FLOOD CONTROL STRUCTURE @ BOLONG RIVER, ZONE 2 BUNGUIAO SECTION, BUNGUIAO, ZAMBOANGA CITY</t>
  </si>
  <si>
    <t>Farm Inputs &amp; Machinery Assistance for Livelihood on Tobacco Production</t>
  </si>
  <si>
    <t>IB Road Concreting at Barangays Alipangpang &amp; Cablong, Pozorrubio, Pangasinan</t>
  </si>
  <si>
    <t>copier rental</t>
  </si>
  <si>
    <t>Procurement of One (1) Unit Brand New Ambulance</t>
  </si>
  <si>
    <t>PROVISION OF ALUMINUM FRAMED GLASS WALL - MASINLOC MALL/LIBRARY HUB/FOOD COURT</t>
  </si>
  <si>
    <t>20GJG0023 - Supply &amp; Delivery of 420 bags Thermoplastic Powder White, 25kg and others to be use in Reflectorized Thermoplastic Pavement Markings for Pedestrian lane, center line and edge line along Du</t>
  </si>
  <si>
    <t>20GJG0022 - Supply &amp; Delivery of 187 pails Reflectorized Traffic Paint, white, 20ltrs./pail and others to be use in repainting of guardrails and concrete bridges along primary and tertiary roads.</t>
  </si>
  <si>
    <t>Procurement of One (1) Unit Brand New Pickup Vehicle</t>
  </si>
  <si>
    <t>Completion of Alfonso Castañeda Rural Health Unit Building (INFRA2020-02)</t>
  </si>
  <si>
    <t>Contract ID No. 20K00352 - Reconstruction/ Rehabilitation of Bridge along Barangay Road at Kurmatan Matampay</t>
  </si>
  <si>
    <t>CONSTRUCTION OF MATANA CREEK SLOPE PROTECTION SLOPE PROTECTION, SITIO MATANA, BRGY. TAPUAC</t>
  </si>
  <si>
    <t>Supply and Delivery of Materials for the Construction of Local Access Road</t>
  </si>
  <si>
    <t>Procurement of One (1) Unit Brand New Pickup FX Vehicle</t>
  </si>
  <si>
    <t>Supply and Delivery of Materials for the Construction of RMG Office</t>
  </si>
  <si>
    <t>PROVISION OF FOOD COURT ALUMINUM FRAMED GLASS WALL-2ND FLOOR NEW WET MARKET, BRGY. NORTH POBLACION, MASINLOC, ZAMBALES</t>
  </si>
  <si>
    <t>Supply and Delivery of Materials for the Repair and Maintenance of Public Building and Other Structures</t>
  </si>
  <si>
    <t>Catering Services</t>
  </si>
  <si>
    <t>Procurement of VArious Vehicle Parts &amp; Accessories(Tractor)-DA,Lopez Jaena</t>
  </si>
  <si>
    <t>PROCUREMENT OF DIETARY SUPPLIES (MEAT &amp; POULTRY), DR. JOSE RIZAL MEMORIAL HOSPITAL</t>
  </si>
  <si>
    <t>Ekman Dredge</t>
  </si>
  <si>
    <t>Procurement of Wireless CCTV Installation w/ NTC License, 16 Channel Network Vedio Recording, 4mp Bullet Camera Big, 2mp BullerCamera %, CCTV HD 4 TB, LED TV Monitor 50'', Lite Power Beam, Toughtcable</t>
  </si>
  <si>
    <t>Procurement of Clear Glass with Frameless Door and LGU Logo</t>
  </si>
  <si>
    <t>Shouldering of Municipal Streets, E Biron Street, Brgy. Ilaya Poblacion, Barotac Nuevo, Iloilo</t>
  </si>
  <si>
    <t>Penlight</t>
  </si>
  <si>
    <t>Construction of Evacuation Center at Barangay Bangco, Maria Aurora</t>
  </si>
  <si>
    <t>Information Technology Parts &amp; Accessories &amp; Perip</t>
  </si>
  <si>
    <t>G-2020-378 Supply and Delivery of Office &amp; Janitorial Supplies, Business Permits and Tricycle Franchising Office</t>
  </si>
  <si>
    <t>Procurement of One (1) Unit Brand New Combined Rice Harvester with Corn Kit &amp; Heavy Duty Trailer</t>
  </si>
  <si>
    <t>IT EQUIPMENT</t>
  </si>
  <si>
    <t>Communication Equipment &amp; Parts and Accessories</t>
  </si>
  <si>
    <t>IT-Equipment (Risograph Machine) - DepEd Maasim 3 District</t>
  </si>
  <si>
    <t>Procurement of Construction IP Housing (Materials)</t>
  </si>
  <si>
    <t>PROCUREMENT OF PERSONAL PROTECTIVE EQUIPMENT (PPE), MEDICAL AND HYGIENE SUPPLIES IN THE MIDST OF COVID-19 PANDEMIC SITUATION-2ND POSTING</t>
  </si>
  <si>
    <t>G-2020-376 Supply and Delivery of Office &amp; Janitorial Supplies, Local Disaster Risk Reduction Management Division</t>
  </si>
  <si>
    <t>REQUEST FOR QUOTATION - DIESEL FUEL</t>
  </si>
  <si>
    <t>Supply and Delivery of Common-use Supplies for the Second Quarter of 2020</t>
  </si>
  <si>
    <t>LAPTOP (F 101)</t>
  </si>
  <si>
    <t>Supply and Delivery of Materials for the Maintenance of Water System</t>
  </si>
  <si>
    <t>CONCRETING OF MAGARA BGY. ROAD PHASE II (MUNICIPALITY OF ROXAS, PALAWAN)</t>
  </si>
  <si>
    <t>PR 4-20-02-0304, FOR USE OF FORD RANGER XLS (PICK-UP STYLE) ASSIGNED AT CWD, THIS CITY.</t>
  </si>
  <si>
    <t>Purchase of B.I. pipes</t>
  </si>
  <si>
    <t>spring development (water system)</t>
  </si>
  <si>
    <t>20FF0101 - Construction  of Barangay Road, Barangay Pinit, Ocampo, Camarines Sur</t>
  </si>
  <si>
    <t>20-05-377 Meals and Snacks Use during Committee Hearings, Meeting, Conferences of SB Members and Vice Mayor for 3rd Quarter 2020</t>
  </si>
  <si>
    <t>Procurement of Light Bulb</t>
  </si>
  <si>
    <t>Furnish Materials &amp; Labor for the Installation of 2 sets Glass Partition &amp; Sliding Door at the 2nd Floor of DepEd Bais CIty Division Office</t>
  </si>
  <si>
    <t>Supply and delivery of Adobe Creative Cloud and Visual Paradigm Upgrade</t>
  </si>
  <si>
    <t>Fabrication of Basketball Fiber Glass Board</t>
  </si>
  <si>
    <t>Supply and delivery of agricultural supplies for use in the implementation of different projects at DA-INREC Batac Station</t>
  </si>
  <si>
    <t>Purchase construction materials for use in the Repair and Maintenance for use in the Repair and Maintenance of various National Roads and Bridges along Quezon 2nd District Engineering Office, Lucena C</t>
  </si>
  <si>
    <t>OFFICE SUPPLIES NP SVP - 1ST</t>
  </si>
  <si>
    <t>MODULE PRINTING SHS</t>
  </si>
  <si>
    <t>20CG0177 - Construction/ Repair/ Rehabilitation/ Improvement of Various Infrastructure including Local Projects: Multipurpose/ Facilities – Construction of Multi-Purpose Building, Sta. Maria, Sta. Ana</t>
  </si>
  <si>
    <t>20CG0176 - Construction/ Repair/ Rehabilitation/ Improvement of Various Infrastructure including Local Projects: Multipurpose/ Facilities – Construction (Completion) of Multi-Purpose Building at Purok</t>
  </si>
  <si>
    <t>20GCL0002 - Purchase of Materials for Maintenance (Paints) at Iba North &amp; South for 2nd Quarter.</t>
  </si>
  <si>
    <t>Printing &amp; Publication Expense (AFPEBSO P69,125.00)</t>
  </si>
  <si>
    <t>MODULE PRINTING JHS</t>
  </si>
  <si>
    <t>Grocer Items</t>
  </si>
  <si>
    <t>20CG0167 - Local Infrastructure Program: Multipurpose/ Facilities – Construction of Multi-Purpose Building, San Mateo, Arayat, Pampanga</t>
  </si>
  <si>
    <t>FABRICATION AND INSTALLATION OF STREETLIGHTS</t>
  </si>
  <si>
    <t>PROCUREMENT OF CONSTRUCTION MATERIALS FOR THE REPAIR OF COMFORT ROOM FOR COA AND ACCOUNTING OFFICE</t>
  </si>
  <si>
    <t>Supply and Delivery of Smart TV for Official Use of All Public Schools – DEPED San Pedro Laguna</t>
  </si>
  <si>
    <t>Contract ID Number 20FD0067 CONSTRUCTION OF WATER SYSTEM LEVEL II, BRGY. BAGONG SIRANG, SIPOCOT, CAMARINES SUR</t>
  </si>
  <si>
    <t>Supply and Delivery of Venetian Blinds</t>
  </si>
  <si>
    <t>Supply and Delivery of Customized Leather Padfolio and Acrylic Clipboard for the use of SDO Makati ISO Team</t>
  </si>
  <si>
    <t>CONTINUATION FOR THE IMPROVEMENT OF MULTI-PURPOSE BUILDING</t>
  </si>
  <si>
    <t>MAINTENANCE CLEANING OF AIRCON-GSO</t>
  </si>
  <si>
    <t>PROCUREMENT AND DELIVERY OF CONSTRUCTION MATERIAL FOR BRGY. MASAGANA SO. CAALAN</t>
  </si>
  <si>
    <t>Contract ID No. 20K00353 - Construction of 2-Lane PCCP Pantar (Lanao del Norte)-Marawi City (Lanao del Sur) Road</t>
  </si>
  <si>
    <t>PROJECT 2 - Construction of Isic-Isic BHS, Brgy. Isic, Vintar, Ilocos Norte</t>
  </si>
  <si>
    <t>PROCUREMENT AND DELIVERY OF CONSTRUCTION MATERIAL FOR BRGY. SAN FERNANDO</t>
  </si>
  <si>
    <t>PROJECT 1 – Expansion of Balaoan District Hospital, Brgy. Bungol, Balaoan, La Union</t>
  </si>
  <si>
    <t>Barangay Day</t>
  </si>
  <si>
    <t>PROCUREMENT OF VARIOUS FITTINGS RESERVE FOR MAINTENANCE, DISCONNECTION AND NEW SERVICE CONNECTION</t>
  </si>
  <si>
    <t>R&amp;DL-20-0483: Procurement of Assorted Feeds and Supplements</t>
  </si>
  <si>
    <t>Renovation of Repair and Maintenance Section</t>
  </si>
  <si>
    <t>CATERING SERVICES NEEDED FOR THE CONDUCT OF QUARTERLY PROTECTED AREA MGMT. BOARD (PAMB) MEETING OF APO REEF NATURAL PARK (ARNP) FOR CY 2020 AMOUNTING TO PHP59,400.00</t>
  </si>
  <si>
    <t>ANTI-COVID19 MATERIALS/SUPPLIES</t>
  </si>
  <si>
    <t>Other Supplies &amp; Materials Expenses (EBSO-144,550.00)</t>
  </si>
  <si>
    <t>RFQ-INFRASTRUCTURE-4AL-SVP-20-001</t>
  </si>
  <si>
    <t>SUpply &amp; delivery of 1700 Carboys Liquid Chlorine</t>
  </si>
  <si>
    <t>PROCUREMENT AND DELIVERY OF CONSTRUCTION MATERIAL FOR BRGY. NEW IBAJAY</t>
  </si>
  <si>
    <t>PURCHASE OF VARIOUS MEDICINES</t>
  </si>
  <si>
    <t>Suction hose and foot valve for the use of the water pump of Talibon Fire Station</t>
  </si>
  <si>
    <t>Procurement of Spare Parts for Various Motor Vehicles</t>
  </si>
  <si>
    <t>CONSTRUCTION/REHABILITATION OF CONCRETE PAVEMENT, BRGY. LAPU-LAPU, UNISAN, QUEZON</t>
  </si>
  <si>
    <t>Procurement of Medicines</t>
  </si>
  <si>
    <t>Supplies for Water Supply at Quarantine /Isolation Areas of Municipality of Talibon</t>
  </si>
  <si>
    <t>IT Equipment</t>
  </si>
  <si>
    <t>Procurement of Supplies for Solid Waste Managaement</t>
  </si>
  <si>
    <t>Supply and Delivery of PR No. 2020-06-0010, 100 pieces Brass Water Meter ½” Ø Multi Jet Class B for Replenishment Stock Materials and Supply for BWD Maintenance and Operations</t>
  </si>
  <si>
    <t>Procurement of Emergency Supplies</t>
  </si>
  <si>
    <t>Procurement of 1 Projector (1080p 4K 3000 lumins), 2 pcs 3 in1 Printer, 1 pc cellular phone dual (for DRRM Hotline), 1 pcs 50 inches TV (for CCTV Monitor)</t>
  </si>
  <si>
    <t>Hardware and Construction Supplies to be used for the project entitled "Growth and Yield Response of Pilinut (Canarium ovatum Engl.) to Bio-fertilizer Application for Year 1 Implementation</t>
  </si>
  <si>
    <t>Supply and Delivery of Various ICT Equipment</t>
  </si>
  <si>
    <t>DISINFECTING SUPPLY IN RESPONDING COVID-19 EMERGENCY AND TO BE USED IN THE MUNICIPAL TEMPORARY TREATMENT AND ISOLATION  FACILITY</t>
  </si>
  <si>
    <t>SK FUND 2020 I.T EQUIPMENT TENT SUPPLIES DEVICE AND GENERAL MERCHANDISE</t>
  </si>
  <si>
    <t>06-018-20 (Testing Kits for Agricultural Engineers for Agricultural Machinery and Equipments)</t>
  </si>
  <si>
    <t>Procurement of one (1) unit 7.7 cubic 2 doors refrigerator</t>
  </si>
  <si>
    <t>Procurement of IT Equipment for BOR Secretary's Office Use</t>
  </si>
  <si>
    <t>LABOR AND MATERIALS FOR THE CONSTRUCTION OF OPEN CANAL @ PUROK 1 BRGY. GEN. LIM, ORION, BATAAN</t>
  </si>
  <si>
    <t>Supply and delivery of 7 units Biometrics to be used at DA RFO-1 4th Floor, 5th Floor, PREC-Sual, ILD and buffer stock</t>
  </si>
  <si>
    <t>Supply and delivery of Spare Parts for the use of Toyota Land Cruiser with Plate No. SDW-833</t>
  </si>
  <si>
    <t>RICE THRESHER</t>
  </si>
  <si>
    <t>Procurement of Submersible Deppwell Pump for ASU Water System Use</t>
  </si>
  <si>
    <t>Repair &amp; Maintenance Other Structure (OESPA-50,000.00)</t>
  </si>
  <si>
    <t>Supplies/materials for PPA &amp; TPC Quarantine/Isolation Area</t>
  </si>
  <si>
    <t>Representation Expenses (OTSG-PhP238,000.00)</t>
  </si>
  <si>
    <t>Supply and Delivery of Senior Citizen ID and Purchase Booklet as per request of CSWD</t>
  </si>
  <si>
    <t>OFFICE SUPPLIES FOR PRINTING OF MODULES - AP AND FILIPINO</t>
  </si>
  <si>
    <t>Procurement of Materials for the Repair and maintenance of Guest house at SPAMAST Malita Campus</t>
  </si>
  <si>
    <t>REPAIR AND MAINTENANCE OF STREETLIGHTS</t>
  </si>
  <si>
    <t>Various Drugs And Medicines</t>
  </si>
  <si>
    <t>Procurement of the Upgrade of Existing fiber Optic backbone to a gigabit Passive Optical Network (GPON) with IP-PABX and CCTV Services, Province of Aklan-Re Bidding /ITB no: 2020-359</t>
  </si>
  <si>
    <t>2020-05-0022-JHS - procurement of Janitorial Supplies for the 2nd Quarter</t>
  </si>
  <si>
    <t>Garments for SYDO-2020-0015 &amp; 0017</t>
  </si>
  <si>
    <t>Payment for thirty (30) heads piglets for Livelihood Project for Calituban Womens Association Calituban, Talibon, Bohol</t>
  </si>
  <si>
    <t>Conference table &amp; chairs (12 seaters)</t>
  </si>
  <si>
    <t>PROCUREMENT AND DELIVERY OF CONSTRUCTION MATERIAL FOR BRGY. VILLA PAZ</t>
  </si>
  <si>
    <t>Barangay Road Gravelling from Sitio Malunay going to Sitio Sumonop, Dawa, Josefina, ZDS</t>
  </si>
  <si>
    <t>Supply and Delivery of Fuel to be used on Service Vehicles of City of Sipalay, Negros Occidental</t>
  </si>
  <si>
    <t>BES Office Supplies and Devices</t>
  </si>
  <si>
    <t>Supply &amp; delivery of 100 Pail Calcium Hypochlorite/Chlorine Granules</t>
  </si>
  <si>
    <t>4 pcs. tire-Gaja tunggal used for Excavator</t>
  </si>
  <si>
    <t>Furniture's for PEO-2020-0349</t>
  </si>
  <si>
    <t>Payment for 2 pcs Hydraulic Hose used for Boom Truck SKL 216</t>
  </si>
  <si>
    <t>ACUs and Furniture for Repair and Maintenance Section</t>
  </si>
  <si>
    <t>CONSTRUCTION OF LINED CANAL</t>
  </si>
  <si>
    <t>Survey Services</t>
  </si>
  <si>
    <t>Materials for the Construction of Perimeter Fence of NCDC (Phase-II) at Municipal Site, Poblacion, Naga</t>
  </si>
  <si>
    <t>20-06-022 = PREVENTIVE MAINTENANCE OF VARIOUS SPLIT AC</t>
  </si>
  <si>
    <t>Agricultural Supplies to be used for the project, Enhancing Pilinut Propagation and Distribution System for Y1 Quarter 1-2</t>
  </si>
  <si>
    <t>Supply and Delivery of Various Supplies for the Replacement of Worn-Out Parts of Isuzu Dump Truck with Body No. DT-25 and Plate No. SJM-240</t>
  </si>
  <si>
    <t>Supply and Delivery of Materials for the Livelihood Assistance to Fisher Folk</t>
  </si>
  <si>
    <t>MOOE JULY 2020 OBJECT CLASS 765</t>
  </si>
  <si>
    <t>RFQ-NP-SVP-re222a-2020-Procurement of Steam Dryer for Design, Fabrication and Testing of Steam Dryer, Dough Mixer and Moulder for Paper Clay Making.</t>
  </si>
  <si>
    <t>PURCHASE OF CELLPHONES</t>
  </si>
  <si>
    <t>Supply and Delivery of Office Equipment for CEO</t>
  </si>
  <si>
    <t>Construction/Completion of Multi-Purpose Gymnasium</t>
  </si>
  <si>
    <t>REQUEST FOR QUOTATION ON DRUGS AND MEDICINES</t>
  </si>
  <si>
    <t>05-026-20 Various Supplies and Materials</t>
  </si>
  <si>
    <t>For collection and disposal of Infectious Wastes from the Barangay and Municipal Isolation Centers for COVID-19 PUM</t>
  </si>
  <si>
    <t>PURCHASE OF MULTI CULTIVATOR MACHINE FOR  LIVELIHOOD PROGRAM OF AMIA</t>
  </si>
  <si>
    <t>PROCUREMENT AND DELIVERY OF CONSTRUCTION MATERIAL FOR BRGY. PASADEÑA</t>
  </si>
  <si>
    <t>Request for Qoutation</t>
  </si>
  <si>
    <t>SUPPLY AND DELIVERY OF GENERAL MERCHANDISE FOR VARIOUS PURCHASE REQUEST OF THE BARANGAY UNDER SMALL VALUE PROCUREMENT</t>
  </si>
  <si>
    <t>Purchase of meals relative to the conduct of Series of Division Webinars in Conducting Online Trainings, Development of Interactive Digital Learning Resources and Designing of Offline Learning Managem</t>
  </si>
  <si>
    <t>PROCUREMENT AND DELIVERY OF CONSTRUCTION MATERIAL FOR BRGY. VILLA LIBERTAD</t>
  </si>
  <si>
    <t>PROCUREMENT OF VARIOUS WELFARE GOODS OF BRGY KUYA TO SUPPORT IN COVID-19 PANDEMIC</t>
  </si>
  <si>
    <t>Animal Feeds for OPA-2020-0103</t>
  </si>
  <si>
    <t>TIME STAMP MACHINE (4th Posting)</t>
  </si>
  <si>
    <t>Package 1 of 1: Supply of Services and Materials for the Printing and Delivery of 2021 DCWD Wall Calendars - 240,000 sets Medium Size (17" x 22”) and 10,000 sets Large Size (22” x 34")</t>
  </si>
  <si>
    <t>Supply and Delivery of Chainsaw and Accessories</t>
  </si>
  <si>
    <t>PROCUREMENT AND DELIVERY OF CONSTRUCTION MATERIAL FOR BRGY. MABINI</t>
  </si>
  <si>
    <t>Other Supplies and Materials in Swine Production Project</t>
  </si>
  <si>
    <t>Sofa set with center table</t>
  </si>
  <si>
    <t>Supply and Delivery of Hospital Equipments for use of San Marcelino District Hospital (SMDH), San Marcelino</t>
  </si>
  <si>
    <t>ITB FOR PROCUREMENT OF INTERNET LOAD</t>
  </si>
  <si>
    <t>PURCHASE OF VARIOUS SUPPLIES FOR COVID 19 ISOLATION CENTER</t>
  </si>
  <si>
    <t>03-035-20 (330 sachets of Organic Fertilizer - DA HVCDP)</t>
  </si>
  <si>
    <t>Procurement of Book Paper 70 GSM, 12.5"RW</t>
  </si>
  <si>
    <t>Procurement of Weighing Scale</t>
  </si>
  <si>
    <t>Installation of Closed Circuit Television (CCTV)</t>
  </si>
  <si>
    <t>Supply and Delivery of Airconditioning Units For COVID-19 Quarantine Facilities</t>
  </si>
  <si>
    <t>PURCHASE OF SUPPLIES FOR BIRTHING STATION AT RHU 1(1st &amp; 2nd qtr 2020)</t>
  </si>
  <si>
    <t>bangus Fingerlings</t>
  </si>
  <si>
    <t>Procurement of HIV Rapid Diagnostic Test-2 (For rHIVda Confirmation) Re-Bid under IB No. 2020-208-A</t>
  </si>
  <si>
    <t>PROCUREMENT AND DELIVERY OF FERTILIZERS</t>
  </si>
  <si>
    <t>INFORMATION AND COMMUNICATION TECHNOLOGY EQUIPMENT</t>
  </si>
  <si>
    <t>Lanscaping Services for PPS-2020-0041</t>
  </si>
  <si>
    <t>MILITARY POLICE AND SECURITY EQUIPMENT</t>
  </si>
  <si>
    <t>Delivery of Various Food Supplies for Frontliners (Bayanihan Grant to Cities &amp; Municipalities).NP 53.2_0720</t>
  </si>
  <si>
    <t>Quotation No.20-06-358 = PROCUREMENT OF COMMON OFFICE SUPPLIES (RESU)</t>
  </si>
  <si>
    <t>INVITATION TO BID FOR OPENING OF FARM TO MARKET ROAD AT BRGY. PINGGUIAMAN</t>
  </si>
  <si>
    <t>RFQ_Sup_Covid-AM</t>
  </si>
  <si>
    <t>PROCUREMENT AND DELIVERY OF CONSTRUCTION MATERIAL FOR BRGY. BAROTUAN</t>
  </si>
  <si>
    <t>EDUCATIONAL SUPPLIES AND MATERIALS</t>
  </si>
  <si>
    <t>IMPROVEMENT OF PUBLIC MARKET</t>
  </si>
  <si>
    <t>PURCHASE OF ONE UNIT COMPACT FIRE FIGHTING PUMP FOR BFP VICTORIA USE</t>
  </si>
  <si>
    <t>20FF0097 - Construction of Multi-Purpose Building, Brgy. San Felipe, Naga City</t>
  </si>
  <si>
    <t>06-020-20 Soil Sampling Apparatus and Stainless Steel Mesh Sieve Set</t>
  </si>
  <si>
    <t>Opening of Barangay Road, Mahabang Tanaw to CSAP Site, Barangay Taquico</t>
  </si>
  <si>
    <t>MOBILE RICE MILL</t>
  </si>
  <si>
    <t>Procurement of Surgical Supply for the OR use of Dr. Rafael S. Tumbokon Memorial Hospital-EEDD, Kalibo, Aklan- /ITB no: 2020-361</t>
  </si>
  <si>
    <t>Biometeric machine</t>
  </si>
  <si>
    <t>PURCHASE OF MEDICINE SUPPLIES FOR RHU 1 &amp; RHU 2 (1st &amp; 2nd qtr 2020)</t>
  </si>
  <si>
    <t>20FF0095 - Construction of Multi-Purpose Building, Barangay Binaliw, Calabanga, Camarines Sur</t>
  </si>
  <si>
    <t>OTHER SUPPLIES AND MATERIALS</t>
  </si>
  <si>
    <t>Purchase and Deliver of Materials for Improvement of Sangguniang Bayan Building (SB Member Cubicle)</t>
  </si>
  <si>
    <t>20FF0096 - Construction of Multi-Purpose Building (Covered Court), Barangay Lugsad, Calabanga,, Camarines Sur</t>
  </si>
  <si>
    <t>Veterinary Supplies</t>
  </si>
  <si>
    <t>INVITATION TO BID FOR SUPPLY AND DELIVERY OF CONSTRUCTION MATERIALS FOR THE PROPOSED ROAD CONCRETING (PHASE 1) AT POBLACION, LINAMON, LANAO DEL NORTE</t>
  </si>
  <si>
    <t>Calibration of all Hospital Bio-Medical Equipment</t>
  </si>
  <si>
    <t>desludging/siphoning service</t>
  </si>
  <si>
    <t>INVITATION TO BID FOR  QUARTERLY COMPREHENSIVE MAINTENANCE PROGRAM FOR PHILIPS ALLURA FD 10/10 CARDIAC CATH. LAB MACHINE FOR ONE YEAR IB NO. GS 2020-003</t>
  </si>
  <si>
    <t>NOTICE FOR NEGOTIATED PROCUREMENT OF INTERNET MODEM</t>
  </si>
  <si>
    <t>PROCUREMENT AND DELIVERY OF CONSTRUCTION MATERIAL FOR BRGY. BUCANA</t>
  </si>
  <si>
    <t>Quotation No. 20-06-0341-Colored and Black ink for Brother DCP-T710W</t>
  </si>
  <si>
    <t>Supply, Delivery, Installation and Commissioning of Various Material Handling Units, as per BSP Technical Specifications and Terms of Reference, including Equipment Handling/Safety Seminar/Training of</t>
  </si>
  <si>
    <t>PURCHASE OF CERTIFIED SEEDS FOR LGU SUBSIDY PROGRAM (RE-BID)</t>
  </si>
  <si>
    <t>RFQ-NP-SVP-re219-2020-Procurement for  Additional Internet Bandwidth (redundancy).</t>
  </si>
  <si>
    <t>MOOE JULY 2020 OBJECT CLASS 841</t>
  </si>
  <si>
    <t>1.ON-GOING CONSTRUCTION OF MULTI-PURPOSE HALL 2.REHAB./IMPROVEMENT OF BRGY. PLAZA3.INSTALLATION OF STREET LIGHTS 4IMPROVEMENT OF PERIMETER FENCE.</t>
  </si>
  <si>
    <t>Quotation No. 20-06-0340- IT EQUIPMENTS AND SUPPLIES</t>
  </si>
  <si>
    <t>Proposed Proposed Concreting of municipal street, Mabini Street (from Jct. T. Coruña street to Pine Street) with a total length of 389.957 linear meter with 0.15m thick of item 200, 0.15m thick of ite</t>
  </si>
  <si>
    <t>Rebidding of Construction of Line Canal @ Barangay. Poblacion 6, Sariaya, Quezon</t>
  </si>
  <si>
    <t>PURCHASE OF EQUIPMENT FOR VEGETABLE  PRODUCTION OF DA</t>
  </si>
  <si>
    <t>Purchase and Deliver of Materials for Improvement of Sangguniang Bayan Building (Grills on Windows, Canopy)</t>
  </si>
  <si>
    <t>Representation Expenses</t>
  </si>
  <si>
    <t>Procurement of One (1) Unit Brand New Tractor Head for the use in projects, repair and maintenance of various Provincial Roads, Province of Aklan/ITB no: 2020-362</t>
  </si>
  <si>
    <t>To Support the Logistical Requirements of OG1,1ID,PA</t>
  </si>
  <si>
    <t>IMPROVEMENT OF FENCING &amp; GATE  AT MUNICIPAL COMPOUND</t>
  </si>
  <si>
    <t>CW20-026-Rebid-1 Lot Construction of Water System, Liwanag Center, Brgy. Libasan (Construction of elevated tank, well drilling, installation of pipelines and 1 set 5.0Hp single phase submersible pump)</t>
  </si>
  <si>
    <t>PURCHASE OF MEDICAL SUPPLIES FOR SPECIAL PROGRAMS OF RHU 1 &amp; RHU 2 (1st &amp; 2nd Qtr)</t>
  </si>
  <si>
    <t>SUPPLY OF LABOR &amp; MATLS FOR THE CONSTRUCTION OF MRF BUILDING</t>
  </si>
  <si>
    <t>IEC Prepation -LED TV</t>
  </si>
  <si>
    <t>BARANGAY HALL IMPROVEMENTS</t>
  </si>
  <si>
    <t>CONCRETING OF ROAD AT SITIO MAROCCO STA BARBARA</t>
  </si>
  <si>
    <t>SUPPLY, DELIVERY, INSTALLATION, TESTING &amp; COMMISSIONING OF ONE (1) MULTI MEDIA QUEUING MANAGEMENT SYSTEM</t>
  </si>
  <si>
    <t>Quotation No. 20-06-0342-Back-up UPS -230V ,AVR, Universal and IEC Sockets- Output power capacity 550watts/1.1kVA, Output connections (2) IEC 320 C13 (battery backup) Nominal Output voltage -230V, Nom</t>
  </si>
  <si>
    <t>PURCHASE OF MEDICINE</t>
  </si>
  <si>
    <t>CONSTRUCTION OF ENCLOSED PATHWAY WITH SCREEN AT VICTORIA PROCESSING PLANT AT BULO</t>
  </si>
  <si>
    <t>Quotation No. 20-06-0348- Catering Services in Connection with the Conduct of Mediacal Assessment of Filipino Deportees at Mampang, Zamboanga City (3rd and 4th Quarter)</t>
  </si>
  <si>
    <t>Supply and Delivery of Various Supplies and Materials for the Official Use of Public Affairs Staff</t>
  </si>
  <si>
    <t>Procurement and Implementation of Personnel Management Information with Centralized Payroll System</t>
  </si>
  <si>
    <t>PURCHASE OF VARIOUS SUPPLIES FOR BDRRM</t>
  </si>
  <si>
    <t>CATERING SERVICES FOR HEALS 911 MONITORING SYSTEM COMPONENT 1: DATA GATHERING AND DOCUMENTATION (SIARGAO ISLAND)</t>
  </si>
  <si>
    <t>To Support the Logistical Requirements of 1DCAU,1ID,PA</t>
  </si>
  <si>
    <t>REHABILITATION OF MULTI-PURPOSE HALL</t>
  </si>
  <si>
    <t>Installation of Aerial Street lights</t>
  </si>
  <si>
    <t>2020-016 Supply and delivery of various office supplies for use by RPCO 1 personnel for the 3rd Quarter of CY 2020</t>
  </si>
  <si>
    <t>CONSTRUCTION OF FENCE (PHASE-1)</t>
  </si>
  <si>
    <t>Procurement of One (1) unit Hydraulic Wheel Type Excavator with Hydraulic Breaker unit</t>
  </si>
  <si>
    <t>CAN-JJASGH 172 OUTSOURCING</t>
  </si>
  <si>
    <t>To Support the Logistical Requirements of 1DTS,1ID,PA</t>
  </si>
  <si>
    <t>CW20-030- 1 lot Improvement of Gabi - Cabacungan - Sto. Niño Provincial Road (Cabacungan Section) (Concreting of 2.47kms. road, installation of 3 lines - 910mmØ RCPC with headwall, 1 line - 1220mmØ RC</t>
  </si>
  <si>
    <t>Proposed Improvement of Day Care Center, Brgy. San Antonio, San Enrique, Iloilo</t>
  </si>
  <si>
    <t>PEO-20-0473-B (Rebid) - Diesel Fuel for use in truck team operation for the repair/maintenance of Provincial roads and bridges in the Province of Iloilo</t>
  </si>
  <si>
    <t>CW20-031-1 lot Improvement of Hijo - Dumlan - Libay-libay - Sangab - Limbo Provincial Road(New Visayas - Sangab Section)(Concreting of 2.12kms. road,</t>
  </si>
  <si>
    <t>CAN - Various Supplies and Materials PR No. 476 UDM</t>
  </si>
  <si>
    <t>PURCHASE OF DESKTOP COMPUTER FOR THE USE OF MUNICIPAL HEALTH OFFICE</t>
  </si>
  <si>
    <t>To Support the Logistical Requirements of 42IB,9IB,PA</t>
  </si>
  <si>
    <t>Procurement of Garbage Compactor (5 cum capacity)</t>
  </si>
  <si>
    <t>20FG0101 - Site Development of DPWH Camarines Sur 4th Engineering District Complex Caraycayon, Tigaon, Camarines Sur</t>
  </si>
  <si>
    <t>Construction of Perimeter Fence at Brgy. 9, Kabankalan City, Negros Occidental</t>
  </si>
  <si>
    <t>Vehicle Repair and Maintenance</t>
  </si>
  <si>
    <t>Supply and Delivery of One (1) Lot Spare Parts for the Repair of Soft Starter of Pump Panel No. 7 of Tripa De Gallina Pumping Station</t>
  </si>
  <si>
    <t>CONSTRUCTION OF MULTI-PURPOSE BUILDING LOCATED AT BRGY. SAMPALOC IV, CITY OF DASMARIÑAS, CAVITE</t>
  </si>
  <si>
    <t>INFRA2020-CDD-001/ MG-COM20-002 Repair/Rehab of Wharf with Integrated Elevation 702 masl. Marker at Brgy. Maindig, Binidayan, Lanao del Sur</t>
  </si>
  <si>
    <t>RENOVATION/IMPROVEMENT OF OPEN SPACE AND MULTI-FUNCTION HALL AT CITY HOMES, BRGY. SAMPALOC IV, CITY OF DASMARIÑAS, CAVITE</t>
  </si>
  <si>
    <t>Purchase and Deliver of Materials for the Construction of Office Pantry of Sangguniang Bayan</t>
  </si>
  <si>
    <t>REHABILITATION OF BARANGAY ROADS OF 7 BARANGAYS AT KIBAWE (UPPER  PULANGI AREA) 2020</t>
  </si>
  <si>
    <t>Soil Fill and Aggregate Sub Base Course for Parking Lot of Senior Citizens Office, Daycare Center and TODA located at Brgy. San Nicolas</t>
  </si>
  <si>
    <t>Drilling of One (1) Exploratory/Production Well at Brgy. Sinasajan, Peñaranda, Nueva Ecija</t>
  </si>
  <si>
    <t>To Support the Logistical Requirements of OG4/DIVHQS,1ID,PA</t>
  </si>
  <si>
    <t>Request for Quotation (SPLIT TYPE AIRCON)</t>
  </si>
  <si>
    <t>supplies and delivery of Concrete FootBridge</t>
  </si>
  <si>
    <t>CW20-032-1 lot Road and Bridge Improvement of Alegria - Panag - Camanlangan (Fatima and Camanlangan Section) (Concreting of 3.392kms. road, installation of 2 lines - 910mmØ RCPC with headwall, constru</t>
  </si>
  <si>
    <t>Supply and Delivery of (1 LOT) Personal Computer with accessories.</t>
  </si>
  <si>
    <t>Repair &amp; Maintenance- Buildings and Other Structures</t>
  </si>
  <si>
    <t>Assorted Medical Supplies for Use at City Health Office Lying-in</t>
  </si>
  <si>
    <t>Procurement and delivery of supplies and materials for the 2020 Census of Population and Housing (CPH)- Raincoat</t>
  </si>
  <si>
    <t>PURCHASE OF FARM MACHINERIES</t>
  </si>
  <si>
    <t>Repair and Maintenance - Infrastructure Assets</t>
  </si>
  <si>
    <t>PR NO. 1476 NATIVE GOAT</t>
  </si>
  <si>
    <t>Procurement and delivery of supplies and materials for the 2020 Census of Population and Housing (CPH)- Tumbler</t>
  </si>
  <si>
    <t>PR NO. 1441 MOTOR CONTROL</t>
  </si>
  <si>
    <t>Construction of Perimeter Fence Ticket Booth and Movable Basketball Goal at Evacuation Center, Brgy. Camansi, Kabankalan City, Negros Occidental</t>
  </si>
  <si>
    <t>Supply and Delivery of Batteries for the Replacement of Worn-Out Batteries for Various Equipment and Service Vehicles</t>
  </si>
  <si>
    <t>CONSTRUCTION OF DRAINAGE SYSTEM</t>
  </si>
  <si>
    <t>PR NO. 1499 CATERING SERVICES</t>
  </si>
  <si>
    <t>20BE0048 (re-adv.) - CONSTRUCTION OF TWO-STOREY  (4 -CLASSROOMS) SCHOOL BUILDING CANSAN ES, CABAGAN, ISABELA</t>
  </si>
  <si>
    <t>Supply and Delivery of Various Inks for Canon Maxify MB5170 Printer</t>
  </si>
  <si>
    <t>INFRA2020-CDD-002/ MG-COM20-003 Construction of Wharf with Integrated Elevation 702 masl. Marker at Brgy. Taliogon, Ganassi, Lanao del Sur</t>
  </si>
  <si>
    <t>LIDOCAINE 2% ADRENALINE CARPULE 50’S (LIDOCAINE-20 MG ,EPI 0.015-0.016 MG)</t>
  </si>
  <si>
    <t>Procurement of Multi-Purpose Shredder (200-300 kls/hr capacity)</t>
  </si>
  <si>
    <t>PR NO. 1502 CATERING SERVICES</t>
  </si>
  <si>
    <t>CONSOLIDATED CONSTRUCTION SUPPLY</t>
  </si>
  <si>
    <t>Waste Management Project</t>
  </si>
  <si>
    <t>Supply, Delivery &amp; Installation of One (1) Set Outdoor Playground Equipment</t>
  </si>
  <si>
    <t>Quotation #: 20-04-0301 REBID = PLUMBING SUPPLIES</t>
  </si>
  <si>
    <t>Purchase of Multi Utility Vehicle Improvement Project</t>
  </si>
  <si>
    <t>Construction Projects</t>
  </si>
  <si>
    <t>Ref. No. 2020-011 Procurement of Fully Developed Lots and Completed Housing Units Under NHA's Yolanda Permanent Housing Program - Las Casas Del Flor Phase 1,2,3,4 &amp; Matlang Heights Subd. Sites 1 &amp; 2</t>
  </si>
  <si>
    <t>Purchase of Seven Hundred Sixty Five (765) Bags of Cement to be given to the Different Barangays of this Municipality</t>
  </si>
  <si>
    <t>Construction of Boat / Fish Landing (Phase I) @ Brgy. Buluan, Ipil, Zamboanga Sibugay (INFR-2020-028)</t>
  </si>
  <si>
    <t>Purchase of Goods/Materials for the Improvement of Public Building and Facilities</t>
  </si>
  <si>
    <t>Ref. No. 2020-014 Procurement of Fully Developed Lots and Completed Housing Units Under NHA's Yolanda Permanent Housing Program - Sta. Fe Residences, Pandan</t>
  </si>
  <si>
    <t>CONSTRUCTION OF THREE CLASSROOM SCHOOL BUILDING AT SITIO PINUTULAN, CAPISSAYAN NORTE, GATTARAN, CAGAYAN</t>
  </si>
  <si>
    <t>Construction of Multi-Purposed Building (Tourism Information and Assistance Center) @ Brgy Sapang Uwak, Porac, Pampanga</t>
  </si>
  <si>
    <t>COMPLETION OF GYMNASIUM/EVACUATION CENTER</t>
  </si>
  <si>
    <t>Construction/ Improvement/ Rehabilitation of Water System Facilities at Barangay Talaga, Lemery, Batangas</t>
  </si>
  <si>
    <t>Site Clearing &amp; Loading of Garbage at Transfer Station, Pandaguirig, Floridablanca, Pampanga</t>
  </si>
  <si>
    <t>CONTRACT ID #: 20-03-066 REBID = PROCUREMENT OF HARDWARES AND CONSTRUCTION MATERIALS</t>
  </si>
  <si>
    <t>CAN-JJASGH 175 CALIBRATION MED. EQUIPMENT</t>
  </si>
  <si>
    <t>Ref. No. 2020-012 Procurement of Fully Developed Lots and Completed Housing Units Under NHA's Yolanda Permanent Housing Program - Our Lady of Assumption, Tanauan</t>
  </si>
  <si>
    <t>CONCRETING OF PALAGAO-SUR-TAGUMAY ROAD (CONTINUATION) AT GATTARAN, CAGAYAN</t>
  </si>
  <si>
    <t>Ref. No. 2020-013 Procurement of Fully Developed Lots and Completed Housing Units Under NHA's Yolanda Permanent Housing Program - Prime Town IV, Tanauan</t>
  </si>
  <si>
    <t>Purchase of Various Medicines for RHU</t>
  </si>
  <si>
    <t>SUPPLY AND DELIVERY OF 1 UNIT BRAND NEW MOBILE X-RAY MACHINE TRUCK</t>
  </si>
  <si>
    <t>Communication and Response Enhancement Program-Installation of Public Address System (Phase 2)</t>
  </si>
  <si>
    <t>Quotation #: 20-06-0349 = PROCUREMENT OF VARIOUS DRUGS AND MEDICINES AND MEDICAL SUPPLIES</t>
  </si>
  <si>
    <t>Supply and Delivery of Agricultural supplies to be planted in the PREC Station for the establishment of scion groove at DA-PREC, Sta. Barbara, Pangasinan</t>
  </si>
  <si>
    <t>Purchase of Dairy Goat &amp; Cattle, Dairy Buffalo, and Meat-type goat including animal feeds</t>
  </si>
  <si>
    <t>20FH0087 - CONSTRUCTION OF FOUR (4) STOREY SIXTEEN (16) CLASSROOM – TWO (2) UNITS (7X18) SCIENCE LABORATORY, TWO (2) UNITS (7X18) ICT LABORATORY AND FOUR (4) UNITS (7X18) REGULAR WORKSHOP SCHOOL BUILD</t>
  </si>
  <si>
    <t>Functionality of VAWC Desk</t>
  </si>
  <si>
    <t>PR NO. 1482 TONER</t>
  </si>
  <si>
    <t>UVC LIGHT BULB WITH HOUSING AND BALLAST</t>
  </si>
  <si>
    <t>20FH0085 - LOCAL ROADS AND BRIDGES-LOCAL ROADS-CONSTRUCTION/REHABILITATION/IMPROVEMENT OF BRGY. DUGUI TOO TO DUGUI WALA, VIRAC, CATANDUANES</t>
  </si>
  <si>
    <t>Purchase of Other Supplies and Materials</t>
  </si>
  <si>
    <t>RFQ 20-06-050 (NEBULIZER, HEAVY DUTY)</t>
  </si>
  <si>
    <t>Construction of Water System (Drilling) @ Brgy. Tupilac, R.T. Lim, Zamboanga Sibugay (INFR-2020-031)</t>
  </si>
  <si>
    <t>INVITATION TO BID FOR LABOR AND MATERIALS FOR THE CONSTRUCTION OF TINAGO FALLS DEVELOPMENT PROJECT (MULTI-PURPOSE HALL) PHASE 2</t>
  </si>
  <si>
    <t>SUPPLY AND DELIVIVERY OF INK CART CANON PG-810 BLACK, HP 680 TRICOLOR AND BLACK</t>
  </si>
  <si>
    <t>Procurement of Office Equipment (SMSES)</t>
  </si>
  <si>
    <t>20FF0099 - Construction of Multi-Purpose Building (Covered Court), Brgy. San Francisco, Calabanga, Camarines Sur</t>
  </si>
  <si>
    <t>supply and delivery of AI supplies to be used in Artificial Insemination Program at Livestock Section with PR#121 dated 06/09/2020 with an ABC of 300,000.00</t>
  </si>
  <si>
    <t>Supply and delivery of various office supplies to be used in the promotion and development of Organic Agriculture Program with PR#2020-06-05-77 and ABC of P69,100.00</t>
  </si>
  <si>
    <t>Job order labor and materials for the installation of CCTV System at DA-PREC, Sta. Barbara, Pangasinan</t>
  </si>
  <si>
    <t>Construction/ Improvement/ Rehabilitation of Water System Facilities at Sitio Bagong Paraiso, Barangay San Isidro Itaas, Lemery, Batangas</t>
  </si>
  <si>
    <t>Purchase of 98 vials verorab and 5 boxes insulin syringe for immunization of technicians and vaccinators againts rabies</t>
  </si>
  <si>
    <t>PROJECT: 20-06-28 - Supply and Delivery of Construction Materials for the Construction/Rehabilitation of Multi-Purpose Hall</t>
  </si>
  <si>
    <t>Procurement of various office supplies for barangay office used, Brgy. San Jose, Alaminos CIty, Pangasinan</t>
  </si>
  <si>
    <t>Construction of Foot Bridge at Brgy. Gandaan - Brgy. Galas, Olutanga, Zamboanga Sibugay (INFR-2020-037)</t>
  </si>
  <si>
    <t>RFQ on ID, ID Lace with Print and ID Jacket for the 2020 CPH</t>
  </si>
  <si>
    <t>Procurement of Beractant Suspension</t>
  </si>
  <si>
    <t>ITB-Materials for the Repair/Rehabilitation of 45 LM Boardwalk in Caridad</t>
  </si>
  <si>
    <t>Construction of Water System (Drilling) @ Brgy. San Pedro, Tungawan, Zamboanga Sibugay (INFR-2020-032)</t>
  </si>
  <si>
    <t>Concreting of Tomitom Brgy. Road @ Brgy. Tomitom, Ipil, Zamboanga Sibugay (INFR-2020-036)</t>
  </si>
  <si>
    <t>Construction of Multi-Purpose Building @ Lindang, Diplahan, Zamboanga Sibugay (INFR-2020-035)</t>
  </si>
  <si>
    <t>Procurement of Office Equipment Parts &amp; Accessories (MTO)</t>
  </si>
  <si>
    <t>Installation of Airconditioned unit at Multi Purpose Hal, Child Development Center &amp; Barangay Health Center at Brgy. San Jose, Alaminos City, Pangasinan</t>
  </si>
  <si>
    <t>RPT-20-0294-B DRUGS AND MEDICINES</t>
  </si>
  <si>
    <t>Supply and delivery of materials for the construction of Palay Working Shed in Talavera, Nueva Ecija with PR#2020-06-09-113 and ABC of P100,000.00</t>
  </si>
  <si>
    <t>Maintenance &amp; Upgrading of CCTV Units</t>
  </si>
  <si>
    <t>CDH-20-0713-B DRUGS AND MEDICINES</t>
  </si>
  <si>
    <t>CDH-20-0714-B DRUGS AND MEDICINES</t>
  </si>
  <si>
    <t>Purchase and Maintenance of Emergency Vehicles</t>
  </si>
  <si>
    <t>RFQ on Clipboard for the 2020 CPH</t>
  </si>
  <si>
    <t>RFQ on Raincoat for the 2020 CPH</t>
  </si>
  <si>
    <t>Health and Protective Equipments</t>
  </si>
  <si>
    <t>RFQ on T-shirt for the 2020 CPH</t>
  </si>
  <si>
    <t>CDH-20-0712-B DRUGS AND MEDICINES</t>
  </si>
  <si>
    <t>INVITATION TO BID PROCUREMENT OF WAREHOUSE HANDLING (AND ALLIED) SERVICES FOR GRAINS FOR NFA EASTERN VISAYAS REGION (REGION VIII) FOR CALENDAR YEAR 2020</t>
  </si>
  <si>
    <t>Installation of Airconditioned Unit and Electrical Works at Multi Purpose Hall, Brgy. Balangobong, Alaminos City, Pangasinan</t>
  </si>
  <si>
    <t>CDH-20-0711-B DRUGS AND MEDICINES</t>
  </si>
  <si>
    <t>RFQ on Permanent Marker and Shoelace for the 2020 CPH</t>
  </si>
  <si>
    <t>Procurement of Spare Tires for Heavy Equipments (2nd Qtr) – MOTORPOOL</t>
  </si>
  <si>
    <t>Construction of Mangrove Boardwalk @ Brgy. Buluan, Ipil, Zamboanga Sibugay (INFR-2020-030)</t>
  </si>
  <si>
    <t>Digitization, Upgrading and Updating of Tabaco City Tax Map (Rebid)</t>
  </si>
  <si>
    <t>supply and delivery of various supplies for Poultry and Livestock Projects at DA-CLIARC UD Magalang with PR#37 dated 5/18/20 with an ABC 107,500.00 (REPOST)</t>
  </si>
  <si>
    <t>RFQ on Printing Services for the 2020 CPH</t>
  </si>
  <si>
    <t>Construction of Brgy Evacuation Center @ Brgy. Casacon, R.T. Lim, Zamboanga Sibugay (No. INFR-2020-029)</t>
  </si>
  <si>
    <t>Invitation to Bid for the Rehabilitation of multi-purpose hall at Brgy. San Patricio Sta. Maria Pangasinan</t>
  </si>
  <si>
    <t>Supply and delivery of Various Construction Materials</t>
  </si>
  <si>
    <t>CDH-20-0434-B DENTAL SUPPLIES</t>
  </si>
  <si>
    <t>PURCHASE OF OFFICE EQUIPMENTS OFFICIAL USE of PENRO ISABELA(Drone)</t>
  </si>
  <si>
    <t>Improvement of Municipal Cemetery (Concreting of Pathway, Improvement of Stage, Septic Vault and Painting)</t>
  </si>
  <si>
    <t>leak detection services at San Jose City Water District's waterlines</t>
  </si>
  <si>
    <t>Catering Services for Blood Donation</t>
  </si>
  <si>
    <t>ACQUISITION OF HEAVY EQUIPMENT</t>
  </si>
  <si>
    <t>Installation of WIFI Facility (Procurement of Amenities for the Training &amp; Production Center)</t>
  </si>
  <si>
    <t>Labor and Materials for the Construction of Office Cabinet and Pantry at New RHU, Wawa, Orion, Bataan</t>
  </si>
  <si>
    <t>Office Supplies and Construction Supplies &amp; Materials</t>
  </si>
  <si>
    <t>Installation of Floor Tiles – Stage Covered Tennis and Basketball Court</t>
  </si>
  <si>
    <t>Preventive maintenance of centralized air-conditioning unit of Municipal Hall Building at Bauan, Batangas</t>
  </si>
  <si>
    <t>Purchase of various kitchen wares to be used in the Office of the Mayor, Bauan, Batangas</t>
  </si>
  <si>
    <t>PROCUREMENT OF IT EQUIPMENT</t>
  </si>
  <si>
    <t>Concreting of Brgy, Road @ Sitio Targetan</t>
  </si>
  <si>
    <t>Procurement of Televison set with Cable (Procurement of Amenities for the Training &amp; Production Center)</t>
  </si>
  <si>
    <t>Purchase of office equipment to be used in the Office of the Municipal Assessor and Land Tax Section of Bauan, Batangas</t>
  </si>
  <si>
    <t>PROCUREMENT OF 3  UNITS SPEAKERS &amp; 5 TRANSISTOR RADIO WITH BLUETOOTH</t>
  </si>
  <si>
    <t>Pathway</t>
  </si>
  <si>
    <t>Purchase of garbage bins to be distributed to various barangay's of LGU Bauan, Batangas</t>
  </si>
  <si>
    <t>Purchase of sphygmomanometer and nebulizer to be distributed to various barangay health centers of Bauan, Batangas</t>
  </si>
  <si>
    <t>supply and delivery of spareparts for the repair of manlift (boom truck)</t>
  </si>
  <si>
    <t>Overhauling of Mini Dump Truck</t>
  </si>
  <si>
    <t>Equipment Rental: Additional Improvement of Covered Court</t>
  </si>
  <si>
    <t>Purchase of janitorial supplies to be distributed to various schools during the mass general clean-up of schools at Bauan, Batangas</t>
  </si>
  <si>
    <t>supply &amp; delivery of supplies used in RCPC office &amp; laboratory PR#2020-06-09-364 w/ ABC of P279,640.00</t>
  </si>
  <si>
    <t>Pag-IBIG Fund-CHQ (SUPPLY AND DELIVERY OF THREE (3) UNITS TELEVISION)</t>
  </si>
  <si>
    <t>PB2020-06-005 GAA Modernization of Two (2) Units Passenger Elevators in the Higher Education Development Center (HEDC) Building</t>
  </si>
  <si>
    <t>Construction of Deep Wells Potable Water 5 Sitio's ( Quarry, Apalili, Centro, Hantud &amp; Kagisukan)</t>
  </si>
  <si>
    <t>Improvement of Barangay Hall</t>
  </si>
  <si>
    <t>Concreting of Farm-to Market Road w/ Drainage Canal</t>
  </si>
  <si>
    <t>Concreting &amp; Widening of Barangay Road</t>
  </si>
  <si>
    <t>Construction of  40 Units Niches</t>
  </si>
  <si>
    <t>Construction of Drainage Canal - East</t>
  </si>
  <si>
    <t>286 DOSES ANTI-FLU VACCINE</t>
  </si>
  <si>
    <t>Rehabilitation &amp; Construction of Drainage Canal - West</t>
  </si>
  <si>
    <t>Installation of Jetmatic Pump (3sets)</t>
  </si>
  <si>
    <t>supply and delivery of basketball backboard (fiber glass)</t>
  </si>
  <si>
    <t>supply and delivery of spareparts for the general overhauling of dumptruck #3</t>
  </si>
  <si>
    <t>Publication of Ordinance Nos. 19-12-0215, 20-04-0221, 20-04-0223 &amp; 20-04-0224 of the SB Office, Bauan, Batangas</t>
  </si>
  <si>
    <t>INVITATION TO BID FOR LABOR AND MATERIALS FOR THE IMPROVEMENT/ENHANCEMENT OF HISTORICAL SITES</t>
  </si>
  <si>
    <t>Construction of Multi-Purpose Hall for Livelihood for Barangay Lim-ao Resettlement Site Home Owners Association (BLRSHOA)</t>
  </si>
  <si>
    <t>Construction of Drainage Canal</t>
  </si>
  <si>
    <t>CONSTRUCTION OF 120.00 LN.M. CONCRETE DRAINAGE CANAL W STEEL COVER</t>
  </si>
  <si>
    <t>Office equipment, school supplies and other categories</t>
  </si>
  <si>
    <t>IMPROVEMENT OF SCHOOL CLINIC</t>
  </si>
  <si>
    <t>ROAD CONCRETING CROSSING P-2 GOING TO BRGY. GYM</t>
  </si>
  <si>
    <t>Request for Quotation - Supply and Delivery of Toner Cartridge for Stock (GSO)</t>
  </si>
  <si>
    <t>Procurement of Fertilizers-B-20-0193</t>
  </si>
  <si>
    <t>SUPPLY AND DELIVERY OF FUEL FOR CY 2020</t>
  </si>
  <si>
    <t>Request for Quotation - Supply and Delivery of Office Supplies for Stock (GSO)</t>
  </si>
  <si>
    <t>Request for Quotation - Supply and Delivery of Hardware Materials used to Disconnect Delinquents Waterworks Division Consumer Accounts and Replace Worn Out Bulb at the Pumping Station (City Admin./Wat</t>
  </si>
  <si>
    <t>supply &amp; delivery of agricultural supplies used to control BPH, Worm and Weeds PR#2020-05-20-344 w/ ABC of P991,250.00</t>
  </si>
  <si>
    <t>Procurement of 1 unit serofuge-B-20-0129-Rebid</t>
  </si>
  <si>
    <t>Request for Quotation - Supply and Delivery of Annual Subscription for Updating Real Property Tax Collection System (CTO)</t>
  </si>
  <si>
    <t>EXTENSION OF LANATAN ELEMENTARY SCHOOL MULTI-PURPOSE BUILDING- BARANGAY LANATAN</t>
  </si>
  <si>
    <t>Repair of Lined Canal, Agan Road, Brgy. Sta.Cruz, City of Koronadal</t>
  </si>
  <si>
    <t>Purchase of tire for motor grader</t>
  </si>
  <si>
    <t>LOWER TIPARAK PURCHASE OF SUPPLIES &amp; MATERIALS</t>
  </si>
  <si>
    <t>Supply &amp; delivery of various Hardware Materials</t>
  </si>
  <si>
    <t>Procurement for the Supply and Delivery of Various Construction Materials Lot 1, 2 &amp; 3, City of Koronadal</t>
  </si>
  <si>
    <t>Request for Quotation - Supply and Delivery of Battery for Stock (GSO)</t>
  </si>
  <si>
    <t>Pag-IBIG Fund-CHQ (ENGAGEMENT OF PROFESSIONAL LAND SURVEYING SERVICES (REBIDDING))</t>
  </si>
  <si>
    <t>Purchase of Mini Dump Truck</t>
  </si>
  <si>
    <t>SUPPLY OF MATERIALS FOR THE CONSTRUCTION OF SOLAR STREET LIGHTS</t>
  </si>
  <si>
    <t>PBS 20-073A STRUCTURED CABLING FOR UP ITDC</t>
  </si>
  <si>
    <t>ADDITIONAL PUBLIC ADDRESS SYSTEM</t>
  </si>
  <si>
    <t>Pag-IBIG Fund-CHQ (SUPPLY AND DELIVERY OF VARIOUS PREPAID CARDS)</t>
  </si>
  <si>
    <t>RFQ on Vest for the 2020 CPH</t>
  </si>
  <si>
    <t>Provision of Security Services to the various District Hospitals of the Provincial Government of Cagayan (PGC)</t>
  </si>
  <si>
    <t>RFQ - CONCRETING OF 44 LN.M. ACCESS ROAD LEADING TO BRGY. SANTIAGO MULTI-PURPOSE BLDG.</t>
  </si>
  <si>
    <t>Procurement of 20 sets cutting edges w/bolts. Nuts and washers-B-20-0192</t>
  </si>
  <si>
    <t>One (1) unit Aircon 2 HP for BPLO office</t>
  </si>
  <si>
    <t>Purchase of various construction for parks &amp; plaza &amp; public cemetery (football field railings &amp; monument )use</t>
  </si>
  <si>
    <t>Peace Keeping Action Team Assistance Program</t>
  </si>
  <si>
    <t>RFQ on Enumerator's Bag for the 2020 CPH</t>
  </si>
  <si>
    <t>RFQ No.: 2020-52 Repost Various Laboratory Supplies</t>
  </si>
  <si>
    <t>P.B. No. 2020-31 (GOODS) Sustainability of Document Processing Division Back-end Infrastructure</t>
  </si>
  <si>
    <t>Procurement for the Supply and Delivery of 200 Units Printer (3 in 1) for DepEd City Division, City of Koronadal</t>
  </si>
  <si>
    <t>Supply and Delivery of the following Security Uniforms, as per  BSP Terms of Reference, Specifications and Drawings</t>
  </si>
  <si>
    <t>Provision of Free School Supplies</t>
  </si>
  <si>
    <t>INVITATION TO APPLY FOR ELIGIBILITY AND TO BID</t>
  </si>
  <si>
    <t>ITB Laboratory Equipment and Field Monitoring Equipment</t>
  </si>
  <si>
    <t>RFQ on Umbrella for the 2020 CPH</t>
  </si>
  <si>
    <t>Procurement for the Supply and Delivery of Thirteen (13) Units Duplicating Machine for DepEd City Division, City of Koronadal</t>
  </si>
  <si>
    <t>Improvement of School Drainage System</t>
  </si>
  <si>
    <t>Procurement of 1 lot Soil Investigation Test for Roads and Bridge-B-20-0198</t>
  </si>
  <si>
    <t>ADDITIONAL AND INSTALLATION OF CCTV SYSTEM</t>
  </si>
  <si>
    <t>Procurement of 1 lot Supply and installation of Aluminium fixed glass wall, aluminium   Glass doors and windows-B-20-0197</t>
  </si>
  <si>
    <t>RFQ on Tumbler for the 2020 CPH</t>
  </si>
  <si>
    <t>Invitation to Bid for Service Vehicle (Chariot)</t>
  </si>
  <si>
    <t>Ceiling Board Acoustic</t>
  </si>
  <si>
    <t>REHABILITATION OF ROAD</t>
  </si>
  <si>
    <t>CONSTRUCTION OF OPEN CANAL</t>
  </si>
  <si>
    <t>REHABILITATION OF OPEN CANAL</t>
  </si>
  <si>
    <t>Proposed Repair and Maintenance of Service Vehicle L-300 with Plate No. SHU-533 (RFQ2020-06-090)</t>
  </si>
  <si>
    <t>CONSTRUCTION OF EVACUATION CENTER.</t>
  </si>
  <si>
    <t>SUPPLY OF LABOR AND MATERIALS FOR THE ESTABLISHMENT OF FARM MACHINERY SHED OF (BPI-LBNCRDPSC, LOS BAÑOS, LAGUNA</t>
  </si>
  <si>
    <t>PROCUREMENT OF ONE (1) UNIT MOTORCYCLE W/ SIDECAR &amp; ONE (1) UNIT MOTORCYCLE XR 150L MT</t>
  </si>
  <si>
    <t>HFW: 6 UNIT NETBOOK AND SAFETY VAULT FOR THE USE OF HOME FOR WOMEN STAFF</t>
  </si>
  <si>
    <t>PCDP : 1 LOT FRUIT SUPPLIES  CONSUMPTION OF PCDP CLIENT/DEPORTEES</t>
  </si>
  <si>
    <t>ROAD CONCRETING AT BRGY. MULTI PURPOSE GYM GROUND</t>
  </si>
  <si>
    <t>SUPPLY AND DELIVERY OF LABOR AND MATERIALS FOR THE RE-IMPROVEMENT OF BASKETBALL@ BRGY pUNTA I.TANZA CAVITE</t>
  </si>
  <si>
    <t>PCDP : 1 LOT VEGETABLE SUPPLIES CONSUMPTION OF PCDP CLIENT/DEPORTEES	FOR 2ND SEMESTER 2020</t>
  </si>
  <si>
    <t>SUPPLY AND DELIVERY OF MEDICINES</t>
  </si>
  <si>
    <t>RFQ Aguisan ES Aqua Dragon</t>
  </si>
  <si>
    <t>Cctv camera</t>
  </si>
  <si>
    <t>CONSTRUCTION OF HAND GRILL</t>
  </si>
  <si>
    <t>Procurement for the Supply and Delivery of 40 Units Laptop Computers for DepEd City Division, City of Koronadal</t>
  </si>
  <si>
    <t>CONSTRUCTION OF PERIMETER FENCE Lanatan Munting Tubig Elementary School</t>
  </si>
  <si>
    <t>NOTICE FOR NEGOTIATED PROCUREMENT OF ICT EQUIPMENT AND MATERIALS</t>
  </si>
  <si>
    <t>PROCURMENT OF 15 UNITS 40" SMART TV</t>
  </si>
  <si>
    <t>Procurement of construction supplies-B-20-0196</t>
  </si>
  <si>
    <t>Procurement of 1 package web hosting (9 months)-B-20-0195</t>
  </si>
  <si>
    <t>Improvement of Barangay Health Center at Brgy. Ipil Heights, Ipil, Zamboanga Sibugay (INFR-2020-009) -REBID</t>
  </si>
  <si>
    <t>106CO-1MECH BDE-2020-450</t>
  </si>
  <si>
    <t>Purchase of Information and Communication Technology Equipment (MCR)</t>
  </si>
  <si>
    <t>CONSTRUCTION OF STAGE AT RIZAL NATIONAL HIGH SCHOOL, BRGY. RIZAL, KANANGA, LEYTE - REPOST</t>
  </si>
  <si>
    <t>Procurement of 2 units computer, desktop core i5 with complete accessories-B-20-0194</t>
  </si>
  <si>
    <t>VEGETABLE PRODUCTION</t>
  </si>
  <si>
    <t>Purchase of Fuel &amp; Oil for the Farm to Market Road (Concreting), Brgy. Lanot Grande, Lambunao, Iloilo</t>
  </si>
  <si>
    <t>DRAINAGE CANAL, EVENT CENTER</t>
  </si>
  <si>
    <t>VARIOUS TONER CARTRIDGE  FOR EPSON WORKFORCE PRINTERS</t>
  </si>
  <si>
    <t>RFQ Aguisan ES Chinamart</t>
  </si>
  <si>
    <t>Procurement of Two (2) Units Multifunction Scanner/Copier Machine, Brand New</t>
  </si>
  <si>
    <t>PAGING SYSTEM AND INTERCOM FOR PUBLIC ADDRESS, CMO</t>
  </si>
  <si>
    <t>DRUGS AND MEDICINES FOR CHO PHARMACY USE (2ND QUARTER OF 2020)</t>
  </si>
  <si>
    <t>AIR-CONDITIONING UNITS AND ACCESSORIES FOR CITY MAYOR’S OFFICE &amp; SURVEILLANCE SYSTEM/CCTV COMMAND CENTER, NEW ADMINISTRATIVE BUILDING</t>
  </si>
  <si>
    <t>Construction of Multi-Purpose Building @ Brgy. New Canaan, Titay, Zamboanga Sibugay (INFR-2020-034)</t>
  </si>
  <si>
    <t>ELECTRICAL MATERIALS FOR FOUNTAIN IMPROVEMENT, PUBLIC PLAZA</t>
  </si>
  <si>
    <t>DUG WELL IMPROVEMENTS, BRGY. HDA. FE</t>
  </si>
  <si>
    <t>Procurement of Elastomeric Infusion Pump and Gas Sampling Line</t>
  </si>
  <si>
    <t>Supply and delivery of one (1) unit PRINTER, DOT MATRIX, 900 cps speed, payroll printer for the use of HRMDO (RFQ2020-06-093)</t>
  </si>
  <si>
    <t>RICE FOR PREVENTIVE SECURITY MEASURES TO ENSURE PUBLIC SAFETY, CMO</t>
  </si>
  <si>
    <t>RFQ on Cap for the 2020 CPH</t>
  </si>
  <si>
    <t>supply and delivery of various animals for the recovery of Hog and Swine Raisers affected by African Swine Fever Outbreak with PR# 44 dated May 18, 2020 with an ABC 215,296. (REPOST)</t>
  </si>
  <si>
    <t>Installation of THree (3) Unit Deepwell at Nazareno St. C. Abueg St., A.Abadilla St. Brgy. Sapa IV,Rosario,Cavite</t>
  </si>
  <si>
    <t>Other Supplies for the IGP Garments of Guimaras State College (Salvador Campus)</t>
  </si>
  <si>
    <t>Procurement of Water Filter and Purifier for Child Development Center</t>
  </si>
  <si>
    <t>ONE (1) UNIT SERVICE MOTORCYCLE FOR CITY VICE MAYOR’S OFFICE AND SP OFFICE USE</t>
  </si>
  <si>
    <t>CONSTRUCTION OF TAMPAC BRIDGE</t>
  </si>
  <si>
    <t>FABRICATION OF STEEL FOOTBRIDGE</t>
  </si>
  <si>
    <t>CONSTRUCTION OF CHILD DEVELOPMENT CENTER</t>
  </si>
  <si>
    <t>Construction of Water System (Drilling) @ Brgy. Tilasan Roseller R.T. Lim, Zamboanga Sibugay (INFR-2020-033)</t>
  </si>
  <si>
    <t>SUPPLY AND DELIVERY OF CHLORINE DIOXIDE FOR WATER TREATMENT OF TANZA WATER   DISTRICT (TWD)</t>
  </si>
  <si>
    <t>Procurement of Drugs and Medicines to be used by Central Pharmacy</t>
  </si>
  <si>
    <t>One (1) Lot - Supply of Forty-three (43) Minimum Wage Personnel and Related Services, as per BSP Terms of Reference</t>
  </si>
  <si>
    <t>Municipal Drainage System Plan at Dinapigue, Isabela</t>
  </si>
  <si>
    <t>Procurement of medical Supplies and Laboratory Equipment</t>
  </si>
  <si>
    <t>Purchase of Fruit Tree Seedlings</t>
  </si>
  <si>
    <t>PROCUREMENT OF SURGICAL AND WOUND CARE SUPPLIES</t>
  </si>
  <si>
    <t>Procurement of Various Janitorial and Other Maintenance Supplies for the use of the Departments of LGU- Mabalacat City</t>
  </si>
  <si>
    <t>SUPPLY AND DELIVERY OF DRUGS AND MEDICINES FOR ANIMAL BITE</t>
  </si>
  <si>
    <t>ITDI-200381 - SUPPLY AND DELIVERY OF VITAMINS C WITH ZINC</t>
  </si>
  <si>
    <t>MATERIALS, IMPROVEMENT OF MULTI-PURPOSE HALL, BRGY. LACADON, DUENAS, ILOILO</t>
  </si>
  <si>
    <t>Consolidated Other Supplies (1st batch) of Guimaras State College (Salvador Campus)</t>
  </si>
  <si>
    <t>Consolidated IT Equipment &amp; Software/ Other Supplies &amp; Materials (1st batch) of Guimaras State College (Salvador Campus)</t>
  </si>
  <si>
    <t>Supply and Delivery of Executive Chair</t>
  </si>
  <si>
    <t>Furniture &amp; Fixture for the Extension Office of Guimaras State College (Salvador Campus)</t>
  </si>
  <si>
    <t>Procurement of medical Supplies</t>
  </si>
  <si>
    <t>Supply &amp; Delivery of Construction Materials</t>
  </si>
  <si>
    <t>Purchase of Various Medicines</t>
  </si>
  <si>
    <t>Consolidated Office Supplies/Other Supplies &amp; Materials (Supplemental) of Guimaras State College (Salvador Campus)</t>
  </si>
  <si>
    <t>Other Supplies &amp; Materials for the Guimaras State College (Baterna Campus)</t>
  </si>
  <si>
    <t>Geps JHS 2020-05-0025 Ink Supplies for Printers for the Second Quarter</t>
  </si>
  <si>
    <t>ITDI-200390 - SUPPLY AND DELIVERY OF VARIOUS LABORATORY SUPPLIES</t>
  </si>
  <si>
    <t>ITDI-200393 - SUPPLY AND DELIVERY OF EXTERNAL HARD DRIVE</t>
  </si>
  <si>
    <t>PROCUREMENT OF 1 COMBO SET OF CCTV</t>
  </si>
  <si>
    <t>ITDI-200392 - SUPPLY AND DELIVERY OF EXTERNAL HARD DRIVE</t>
  </si>
  <si>
    <t>ITDI-200387 - SUPPLY AND DELIVERY OF VARIOUS LABORATORY SUPPLIES</t>
  </si>
  <si>
    <t>I.T. Equipment/Office Equipment/Furniture &amp; Fixture of Guimaras State College (Mosqueda Campus)</t>
  </si>
  <si>
    <t>ITDI-200391 - SUPPLY AND DELIVERY OF MILLI-Q INTEGRAL 3 CONSUMABLES</t>
  </si>
  <si>
    <t>2-Tubes Toner for the Photocopier UBIX TN 311 for the College of Business Management of Guimaras State College (Salvador Campus)</t>
  </si>
  <si>
    <t>ITDI-200386 - SUPPLY AND DELIVERY OF DNA EXTRACTION FROM SOIL KIT</t>
  </si>
  <si>
    <t>Consolidated IT Equipment/Office Equipment (Supplemental) of Guimaras State College (Salvador Campus)</t>
  </si>
  <si>
    <t>2-Tubes Toner for the Photocopier Sharp MX-237 FT for the College of Business Management of Guimaras State College (Salvador Campus)</t>
  </si>
  <si>
    <t>ITDI-200418 - SUPPLY OF LABOR AND MATERIALS FOR THE REPAIR OF LAPTOP</t>
  </si>
  <si>
    <t>Office Supplies and Other Supplies &amp; Materials for the Guidance Office of Guimaras State College (Salvador Campus)</t>
  </si>
  <si>
    <t>I.T. Equipment for the College of Business Management of Guimaras State College (Salvador Campus)</t>
  </si>
  <si>
    <t>SUPPLY AND DELIVERY OF DIESEL AND GASOLINE FOR DUMARAN MUNICIPAL POLICE STATION USE</t>
  </si>
  <si>
    <t>ITDI-200417 - SUPPLY AND DELIVERY OF TEST LEAD KIT</t>
  </si>
  <si>
    <t>Geps JHS 2020-06-031 Supplies for School Financial Records</t>
  </si>
  <si>
    <t>Furniture &amp; Fixture and Other Supplies &amp; Materials for the College of Business Management of Guimaras State College (Salvador Campus)</t>
  </si>
  <si>
    <t>Geps JHS 2020-06-030 Supplies for Students Records</t>
  </si>
  <si>
    <t>ITDI-200404 - SUPPLY AND DELIVERY OF DISH PAN</t>
  </si>
  <si>
    <t>ITDI-200400 - SUPPLY AND DELIVERY OF SPECIMEN BOTTLES</t>
  </si>
  <si>
    <t>I.T. Equipment for the Graduate School of Guimaras State College (Salvador Campus)</t>
  </si>
  <si>
    <t>Geps JHS 2020-06-029 Common Medicine Supplies for the School Clinic (2nd Q)</t>
  </si>
  <si>
    <t>ITDI-200399 - SUPPLY AND DELIVERY OF NITRILE GLOVES</t>
  </si>
  <si>
    <t>ITDI-200398 - SUPPLY AND DELIVERY OF VARIOUS LABORATORY SUPPLIES</t>
  </si>
  <si>
    <t>ITDI-200397 - SUPPLY AND DELIVERY OF VARIOUS HARDWARE SUPPLIES</t>
  </si>
  <si>
    <t>ITDI-200401 - SUPPLY AND DELIVERY OF SURGICAL FACE MASK</t>
  </si>
  <si>
    <t>CONSTRUCTION OF GOVERNMENT BUILDING/STRUCTURE - PROCURMENT OF MATERIALS</t>
  </si>
  <si>
    <t>PROCUREMENT FOR CATERING SERVICES</t>
  </si>
  <si>
    <t>Geps JHS 2020-05-0025 Ink Supplies for Printers for the Third Quarter</t>
  </si>
  <si>
    <t>Invitation to Bid - Supply and Delivery of Hardware Materials for Construction of Ticket Outpost at Looc, Danao City</t>
  </si>
  <si>
    <t>Invitation to Bid - Supply and Delivery of Hardware Materials for Improvement of Multi-Purpose Building at Masaba, Danao City</t>
  </si>
  <si>
    <t>SUPPLY AND DELIVERY OF APPLIANCES</t>
  </si>
  <si>
    <t>SUPPLY , DELIVERY AND TRAINING FOR THE UPDATING AND ANNUAL REGISTRATION OF ELECTRONIC SERVICE TOOL AND DIAGNOSTIC SOFTWARE OF PERKINS 2506A/1606A/1106A ELECTRONIC ENGINES</t>
  </si>
  <si>
    <t>PURCHASE OF OFFICE SUPPLIES AND CONSUMMABLES</t>
  </si>
  <si>
    <t>Invitation to Bid - Supply and Delivery of Eighteen (18) Units Computer Laptop (SP)</t>
  </si>
  <si>
    <t>SUPPLY AND DELIVERY OF ELECTRICAL SPARE PARTS OF ORIENTAL MINDORO S/S AND 69KV T/L</t>
  </si>
  <si>
    <t>PROCUREMENT OF SUPPLY AND DELIVERY OF SPORTS EQUIPMENTS</t>
  </si>
  <si>
    <t>Invitation to Bid - Supply and Delivery of Limestone for Embankment/Site Development/Construction of Motorpool Building at Barangay Cambanay, Danao City</t>
  </si>
  <si>
    <t>SUPPLY &amp; DELIVERY OF MATERIALS FOR CONSTRUCTION OF  COCONUT OIL PLANT, Calunasan Norte, Loboc, Bohol</t>
  </si>
  <si>
    <t>PROCUREMENT OF ASSORTED GOODS</t>
  </si>
  <si>
    <t>Geps SHS 2020-05-017 School Clinic Supplies</t>
  </si>
  <si>
    <t>PROCUREMENT OF MATERIALS - REHABILITATION OF WATER SYSTEM</t>
  </si>
  <si>
    <t>CONSTRUCTION OF WATER SYSTEM - PROCUREMENT OF MATERIALS</t>
  </si>
  <si>
    <t>Procurement of medical and Laboratory Supplies</t>
  </si>
  <si>
    <t>PROCUREMENT OF OFFICE OR SCHOOL SUPPLIES AND EQUIPMENTS</t>
  </si>
  <si>
    <t>ITDI-200395 - SUPPLY AND DELIVERY OF iCAP Q/QNOVA CALIBRATION SOLUTION</t>
  </si>
  <si>
    <t>PROCUREMENT OF MATERIALS - REHABILITATION OF WATER SYSTEM and PLUMBING TOOLS</t>
  </si>
  <si>
    <t>ITDI-200394 - SUPPLY AND DELIVERY OF MONODISPERSED SILVER AND GOLD NANOPARTICLES</t>
  </si>
  <si>
    <t>Geps JHS 2020-06-028 Materials for Project RIDE (Research Innovation and Development)</t>
  </si>
  <si>
    <t>ITDI-200370 - SUPPLY AND DELIVERY OF VARIOUS LABORATORY SUPPLIES</t>
  </si>
  <si>
    <t>SUPPLY AND DELIVERY OF ELECTRICAL SPARE PARTS FOR THE 80 KW CUMMINS GENSET OF MONGPONG DPP</t>
  </si>
  <si>
    <t>One (1) Job Pakyaw Contract for the Supply of Materials and Labor for the Floor Tiling of CTE Class Rooms of Guimaras State College (Salvador Campus)</t>
  </si>
  <si>
    <t>CONSTRUCTION OF CONCRETE PATHWAY AT ZONE 5 BRGY. BALIUAG VIEJO</t>
  </si>
  <si>
    <t>INVITATION TO BID FOR SUPPLY AND DELIVERY OF VARIOUS MATERIALS  FOR THE CONSTRUCTION OF THE MAIN OFFICE BUILDING EXTENSION</t>
  </si>
  <si>
    <t>procurement of supplies</t>
  </si>
  <si>
    <t>Invitation to Bid - Supply and Delivery of One (1) Unit Consumables for 10,000 ID use of AYUDA Program</t>
  </si>
  <si>
    <t>IMPROVEMENT OF SCHOOL WATER LINE / INSTALLATION OF GETMATIC</t>
  </si>
  <si>
    <t>ITDI-200402 - SUPPLY AND DELIVERY OF ANIMAL FEEDS</t>
  </si>
  <si>
    <t>Invitation to Bid - Supply and Delivery of Hardware Materials for Construction of Ticket Outpost at Terminal Cashier</t>
  </si>
  <si>
    <t>Repair and Maintenance Transportation Equipment</t>
  </si>
  <si>
    <t>FURNISHING AND DELIVERY OF TOOLS AND EQUIPMENT FOR THE SMAW NC 1, TAILORING NC II , AND EQUIPMENT FOR JUBAN, TRAINING CENTER</t>
  </si>
  <si>
    <t>CONSTRUCTION AND IMPROVEMENT OF DRAINAGE CANAL BRGY. NORTH POBLACION &amp; EMBARCADERO, JUBAN, SORSOGON</t>
  </si>
  <si>
    <t>FURNISHING AND DELIVERY OF MATERIALS AND EQUIPMENT FOR THE CONSTRUCTION OF MULTI PURPOSE COVERED COURT PHASE 2 AT BARANGAY, BACOLOD, JUBAN, SORSOGON</t>
  </si>
  <si>
    <t>Invityation to Bid - Supply and Delivery of Hardware Materials for Slope Protection in Landslide Prone Area at Sitio Awihaw Brgy. Sta. Rosa, Danao City</t>
  </si>
  <si>
    <t>Construction of Sapinit Evacuation Center</t>
  </si>
  <si>
    <t>SUPPLY AND DELIVERY OF 50KVA STANDBY GENERATOR FOR BARANGAY 26 PUMPING STATION OF GINGOOG CITY WATER DISTRICT</t>
  </si>
  <si>
    <t>Supply and Delivery of Vehicle for National Capital Regional Office</t>
  </si>
  <si>
    <t>Invitation to Bid - Supply and Delivery of Office Equipment for PNP-Danao City</t>
  </si>
  <si>
    <t>Installation of Satellite Broadband Internet Service</t>
  </si>
  <si>
    <t>Invitation to Bid - Supply and Delivery of One (1) Unit Multicab Van Type for BFP-Danao City</t>
  </si>
  <si>
    <t>Invitation to Bid - Supply and Delivery of One (1) Unit 2HP Airconditioning System use for RTC Branch 91 (CMO)</t>
  </si>
  <si>
    <t>Procurement of One (1) Unit Backhoe</t>
  </si>
  <si>
    <t>CONCRETING OF LOCAL ROAD PHASE 11 BARANGAY BALIUAG VIEJO</t>
  </si>
  <si>
    <t>ITDI-200426 - SUPPLY OF LABOR AND MATERIALS FOR THE REPAIR AND CALIBRATION OF DENVER ANALYTICAL BALANCE</t>
  </si>
  <si>
    <t>Design and Construction of Housing Facilities for Waste Granulator and Brick Making Equipment at Vitas Pumping Station, Tondo, Manila</t>
  </si>
  <si>
    <t>SUPPLY AND DELIVERY OF 4,000 PACKS FALL ARMY-LURE (PHEROMONE LURE) TO BE USED FOR THE PREVENTION AND CONTROL MANAGEMENT AGAINST FALL ARMYWORM UNDER CORN PROGRAM FOR CY 2020</t>
  </si>
  <si>
    <t>ITDI-200425 - SUPPLY AND DELIVERY OF VARIOUS LABORATORY SUPPLIES</t>
  </si>
  <si>
    <t>SUPPLY &amp; DELIVERY OF MATERIALS FOR WATER METER AND GATE VALVES FOR WATER CONNECTIONS OF NWSS CONSUMERS</t>
  </si>
  <si>
    <t>Supply and Replacement of LED Streetlights at the following locations: Along Buendia Ave., (Taft Ave. to Tramo St.), Makati City along Mayor Ignacio Diaz St. (N. Domingo St. to EDSA), Quezon City alon</t>
  </si>
  <si>
    <t>ITDI-200424 - SUPPLY AND DELIVERY OF VARIOUS LABORATORY SUPPLIES</t>
  </si>
  <si>
    <t>Development and Testing of Android Application for Enumerators and Website Development for Management and Reports</t>
  </si>
  <si>
    <t>Procurement of Office Supplies of Barangay Magallanes</t>
  </si>
  <si>
    <t>ITDI-200422 - SUPPLY AND DELIVERY OF LCR METER</t>
  </si>
  <si>
    <t>ITDI-200432 - SUPPLY AND DELIVERY OF VARIOUS LABORATORY SUPPLIES</t>
  </si>
  <si>
    <t>ITDI-200439 - SUPPLY AND DELIVERY OF PEEK FILAMENT</t>
  </si>
  <si>
    <t>ITDI-200385 - SUPPLY AND DELIVERY OF VARIOUS LABORATORY SUPPLIES</t>
  </si>
  <si>
    <t>SUPPLY AND DELIVERY OF MATERIALS REQUIREMENT FOR DAY TO DAY OPERATIONS OF BOAC DPP</t>
  </si>
  <si>
    <t>ITDI-200407 - SUPPLY AND DELIVERY OF 4-WIRE LOW THERMAL CABLE WITH SHIELD</t>
  </si>
  <si>
    <t>PB-20-186, Supply &amp; Installation of Transformer form the BioCon and Food Laboratory Building of the Office of the Provincial Agriculturist, Amas, Kidapawan City</t>
  </si>
  <si>
    <t>STREETLIGHTS PROJECT FOR BLACK SPOT LOCATIONS (GAD PROJECT) Along Aurora Blvd. / Marcos Highway (Katipunan Ave. To Marikina Bridge 1.20 Kilometers)</t>
  </si>
  <si>
    <t>ITDI-200423 - SUPPLY AND DELIVERY OF COUNTER/TIMER</t>
  </si>
  <si>
    <t>ITDI-200436 - SUPPLY AND DELIVERY OF VARIOUS OFFICE SUPPLIES</t>
  </si>
  <si>
    <t>ITDI-200427 - SUPPLY, DELIVERY, AND INSTALLATION OF 2-HP WINDOW-TYPE AIRCONDITIONER</t>
  </si>
  <si>
    <t>SUPPLY AND DELIVERY OF 1,175 BOTTLES SPINETORAM AND 1,000 BOTTLES CHLORANTRANILIPROLE PESTICIDES TO BE USED FOR THE PREVENTION AND CONTROL MANAGEMENT AGAINST FALL ARMYWORM UNDER CORN PROGRAM FOR CY 20</t>
  </si>
  <si>
    <t>ITDI-200435 - SUPPLY AND DELIVERY OF UNINTERRUPTIBLE POWER SUPPLY (UPS)</t>
  </si>
  <si>
    <t>ITDI-200437 - SUPPLY AND DELIVERY OF VARIOUS LABORATORY SUPPLIES</t>
  </si>
  <si>
    <t>PB-20-260, Supply &amp; Delivery of Janitorial Supplies for Mlang District Hospital, Mlang, Cotabato</t>
  </si>
  <si>
    <t>CONSTRUCTION OF PATHWAYS</t>
  </si>
  <si>
    <t>Supply and Replacement of LED Solar Powered Streetlights along Quirino Highways 3.75 Kilometers (from Quezon City / Caloocan Boundary to Malaria St.)</t>
  </si>
  <si>
    <t>Board Strategic Planning Conference - Facilitator/Resource Speaker</t>
  </si>
  <si>
    <t>RFQ NO. 2020-05-014-0006-(SHOPPING) Procurement of  Common Office Supplies and  Janitorial Supplies for use in the Office of Maintenance Section for 2nd Quarter of CY 2020.</t>
  </si>
  <si>
    <t>SUPPLY AND DELIVERY OF GPE ITEMS FOR BATAN DPP</t>
  </si>
  <si>
    <t>supply and Delivery of Medicines and Medical Supplies for the 1st and 2nd quarter 2020</t>
  </si>
  <si>
    <t>PB-20-290, Supply &amp; Delivery of Handheld Radio for response operation use of PDRRMO</t>
  </si>
  <si>
    <t>PURCHASE, DELIVERY &amp; INSTALLATION OF 2 UNITS HIGH VOLUME LOW   SPEED (HVLS) CEILING FAN</t>
  </si>
  <si>
    <t>PB-20-284, Procurement of Food &amp; Accommodation for various training activities of PDRRMO, Amas, Kidapawan City</t>
  </si>
  <si>
    <t>purchase of barangay patrol</t>
  </si>
  <si>
    <t>ITDI-200442 - SUPPLY AND DELIVERY OF VARIOUS LABORATORY SUPPLIES</t>
  </si>
  <si>
    <t>Printing &amp; Publication Expenses (PCADG-5029902000-1067-2020)</t>
  </si>
  <si>
    <t>ITDI-200443 - SUPPLY AND DELIVERY OF GPIB CONTROLLER FOR HI-SPEED USB</t>
  </si>
  <si>
    <t>RSCC: 1 LOT OFFICE AND COMPUTER TABLE</t>
  </si>
  <si>
    <t>Shielded metal arc welding</t>
  </si>
  <si>
    <t>ITDI-200438 - SUPPLY AND DELIVERY OF THERMOGUN</t>
  </si>
  <si>
    <t>PB-20-262, Supply &amp; Delivery of Laboratory Supplies for Cotabato Provincial Hospital, Amas, Kidapawan City</t>
  </si>
  <si>
    <t>ITDI-200441 - SUPPLY AND DELIVERY OF TRYPTIC SOY BROTH</t>
  </si>
  <si>
    <t>ITDI-200440 - SUPPLY AND DELIVERY OF ACETATE/PCV FILM</t>
  </si>
  <si>
    <t>Rehabilitation of Brgy. Multi-Purpose Hall</t>
  </si>
  <si>
    <t>PB-20-258, Supply &amp; Delivery of IV Fluids for Aleosan District Hospital, Aleosan, Cotabato</t>
  </si>
  <si>
    <t>SUPPLY AND DELIVERY OF MATERIALS FOR THE OVERHAULING OF UNIT 2 AND UNIT 3, 600 KW CUMMINS GENSET OF TICAO DPP</t>
  </si>
  <si>
    <t>ITDI-200433 - SUPPLY AND DELIVERY OF VARIOUS LABORATORY SUPPLIES</t>
  </si>
  <si>
    <t>ITDI-200431 - SUPPLY AND DELIVERY OF VARIOUS LABORATORY SUPPLIES</t>
  </si>
  <si>
    <t>ITDI-200428 - SUPPLY AND DELIVERY OF HIGH CURRENT SHUNT AND DC SHUNT</t>
  </si>
  <si>
    <t>PB-20-264, Supply &amp; Delivery of Medicines for Cotabato Provincial Hospital, Amas, Kidapawan City</t>
  </si>
  <si>
    <t>ITDI-200434 - SUPPLY AND DELIVERY OF VARIOUS LABORATORY SUPPLIES</t>
  </si>
  <si>
    <t>SUPPLY AND DELIVERY OF 5 x 2HP WINDOW TYPE INVERTER AIR-CONDITIONING UNITS FOR SPUG-LOD BUILDING</t>
  </si>
  <si>
    <t>ITDI-200419 - SUPPLY AND DELIVERY OF INTERCONNECT CABLES FOR A40A</t>
  </si>
  <si>
    <t>ITB for REPRODUCTION OF LEARNING MODULES 2020</t>
  </si>
  <si>
    <t>SUPPLY AND DELIVERY OF OFFICE FURNITURE AND EQUIPMENT FOR OM-BOD AND LIGAO STOCKYARD</t>
  </si>
  <si>
    <t>RRPTP : PROVISION OF WELFARE ASSISTANCE  TO THE TRAFFICKING 		 IN PERSON ON VICTIM-SURVIVORS</t>
  </si>
  <si>
    <t>SUPPLY AND DELIVERY OF 2,000 BOTTLES ORGANIC PESTICIDES TO BE USED FOR THE PREVENTION AND CONTROL MANAGEMENT AGAINST FALL ARMYWORM UNDER CORN PROGRAM FOR CY 2020</t>
  </si>
  <si>
    <t>ITDI-200420 - SUPPLY AND DELIVERY OF CURRENT SHANT ADAPTER</t>
  </si>
  <si>
    <t>CONCRETING OF BARANGAY ROAD (SECTION-2), Candasag, Loboc, Bohol</t>
  </si>
  <si>
    <t>RENTAL OF HEAVY EQUIPMENT FOR QUARRYING OF ANAPOG, Bonbon Upper, Loboc, Bohol</t>
  </si>
  <si>
    <t>CONCRETING OF BARANGAY ROAD (SECTION-1), Candasag, Loboc, Bohol</t>
  </si>
  <si>
    <t>Printing &amp; Publication Expenses (PCADG-5029902000-1068-2020)</t>
  </si>
  <si>
    <t>Budget School Supplies (June 2020) - Bangkal Elementary School (City of Malolos, Bulacan)</t>
  </si>
  <si>
    <t>SUPPLY &amp; DELIVERY OF MATERIALS FOR CONSTRUCTION OF  NEW MOTORPOOL, Calunasan Norte, Loboc, Bohol</t>
  </si>
  <si>
    <t>GENSERV:  REPAIR OF AIR CONDITION OF DSWD FIELD OFFICE IX</t>
  </si>
  <si>
    <t>Road Concreting at Barangay Balliao</t>
  </si>
  <si>
    <t>PROCUREMENT OF EXPENDABLE MEDICAL SUPPLIES (RE-BID)</t>
  </si>
  <si>
    <t>Barangay 809 MOOE "PEACE &amp; ORDER, REFILL OF FIRE EXTINGUISHER" / BDF "CLEAN &amp; BEAUTIFICATION" / RRMF "MEGAPHONE, PUBLIC ADDRESS SYSTEM" 2020</t>
  </si>
  <si>
    <t>PB-20-334, Supply &amp; Delivery of Office Equipment for Provincial Engineer’s Office, Amas, Kidapawan City</t>
  </si>
  <si>
    <t>PB-20-332, Supply &amp; Delivery of IT &amp; Office Equipment for Persons with Disability Affairs Office, Amas, Kidapawan City</t>
  </si>
  <si>
    <t>RENOVATION OF COA OFFICE AND BREASTFEEDING ROOM, Municipal Bldg., Pob. Sawang, Loboc, Bohol</t>
  </si>
  <si>
    <t>REHABILITATION OF KALIPAPA-DUAMINANGA FLOOD CONTROL DIKE</t>
  </si>
  <si>
    <t>DE-CLOGGING OF CANALS</t>
  </si>
  <si>
    <t>ITDI-200388 - SUPPLY AND DELIVERY OF VARIOUS BOOKS</t>
  </si>
  <si>
    <t>2020-04-0047 Repainting of Mitsubishi L300 service vehicle</t>
  </si>
  <si>
    <t>PB-20-333, Supply &amp; Delivery of IT &amp; Office Equipment for Provincial Governor’s Office, Amas, Kidapawan City</t>
  </si>
  <si>
    <t>REHABILITATION OF BUAYAN FLOOD CONTROL DIKE</t>
  </si>
  <si>
    <t>ITDI-200421 - SUPPLY AND DELIVERY OF PHASE METER</t>
  </si>
  <si>
    <t>Concreting of Core Local Access Road of Barangay Villaluz to New Magsaysay</t>
  </si>
  <si>
    <t>ITDI-200389 - SUPPLY AND DELIVERY OF VARIOUS LABORATORY SUPPLIES</t>
  </si>
  <si>
    <t>2020-05-0057 Procurement of Office Supplies and Devices</t>
  </si>
  <si>
    <t>ITDI-200405 - SUPPLY AND DELIVERY OF LABORATORY REFRIGERATOR</t>
  </si>
  <si>
    <t>Purchase of Various Supplies and Materials for BCPC</t>
  </si>
  <si>
    <t>ITDI-200403 - SUPPLY AND DELIVERY OF DISPOSABLE SYRINGE</t>
  </si>
  <si>
    <t>Construction of Pagdildilan Farm to Market Road, San Juan</t>
  </si>
  <si>
    <t>ITDI-200409 - SUPPLY AND DELIVERY OF 0.1 Ω RESISTANCE STANDARD</t>
  </si>
  <si>
    <t>Purchase of Solid Wast Management Supplies and Materials</t>
  </si>
  <si>
    <t>Invitation to Bid for the Construction of Farm to Market Road at Sitio Riverside, San Juan East, Aringay, La Union.</t>
  </si>
  <si>
    <t>PURCHASE AND DELIVERY OF MACHINERY AND EQUIPMENT FOR OMM-OPERATION OF SLAUGHTERHOUSE</t>
  </si>
  <si>
    <t>Ring Light with Tripod set and Wireless Mouse (2020-433)</t>
  </si>
  <si>
    <t>Procurement of Procurement of Rescue Utility Vehicle-Bongo and XRM Motor Vehicle, Barangay San Luis, Gingoog City</t>
  </si>
  <si>
    <t>Purchase of Various Supplies and Materials for Rehabilitatioin/Construction of Drainage, Canal and Concreting Pathwalk</t>
  </si>
  <si>
    <t>Repair/Maintenance of DPWH Building, Main Building, QAS and Others</t>
  </si>
  <si>
    <t>Rehabilitation and Improvement of Bacnotan-San Gabriel Road (San Juan Section), San Juan</t>
  </si>
  <si>
    <t>Supply of Fuel (Gasoline and Diesel) – Part2</t>
  </si>
  <si>
    <t>Invitation to Bid for the Construction of Slope Protection at Dulao Creek, Dulao, Aringay, La Union.</t>
  </si>
  <si>
    <t>2020-05-0055 Dismantling and re-installation charges with supply and delivery of installation materials (mechanical and electrical) for 5 A/C outdoor units with excess refrigerant tubings</t>
  </si>
  <si>
    <t>Peace and Order Supplies and Materials and Food and Drinks</t>
  </si>
  <si>
    <t>Purchase of BDRRM Equipments</t>
  </si>
  <si>
    <t>Municipal Crisis Intervention Center Completion (Lot D &amp; E)</t>
  </si>
  <si>
    <t>3001-20 Procurement of Office Supplies</t>
  </si>
  <si>
    <t>School Supplies and Instructional Materials of Senior High School for the First Quarter</t>
  </si>
  <si>
    <t>Procurement of Various Janitorial Supplies and Materials (2020-425)</t>
  </si>
  <si>
    <t>CONSTRUCTION OF BARANGAY PUBLIC MARKET</t>
  </si>
  <si>
    <t>Construction of Luna Farmers Trading Center, Luna</t>
  </si>
  <si>
    <t>3032-20 Procurement of Office Supplies</t>
  </si>
  <si>
    <t>Supplies &amp; Delivery of materials for Extension of Evacuation center Phase 2</t>
  </si>
  <si>
    <t>3039-20 Procurement of Printer Ink</t>
  </si>
  <si>
    <t>3028-20 Procurement of Office Supplies</t>
  </si>
  <si>
    <t>2278-20 Procurement of Other Supplies and Materials</t>
  </si>
  <si>
    <t>3041-20 Procurement of Other Supplies and Materials</t>
  </si>
  <si>
    <t>Procurement and Delivery of Construction Materials for Gate Extension Improvement</t>
  </si>
  <si>
    <t>2282-20 Procurement of Mango Seedlings (Grafted)</t>
  </si>
  <si>
    <t>Purchase of Various Supplies and Materials for BADAC</t>
  </si>
  <si>
    <t>2273-20 Procurement of Banana Suckers</t>
  </si>
  <si>
    <t>Purchase of Various Supplies and Materials for GAD</t>
  </si>
  <si>
    <t>Collection, Transportation, Treatment and Proper Disposal of Hazardous and Toxic Health Care Wastes Generated using Non-burn Technology for the 5 District Hospitals</t>
  </si>
  <si>
    <t>Construction of Calaocan and Bayangbayang Irrigation Pipeline System located at the Municipality of Carranglan, Nueva Ecija under FMP for official use of PENRO NE</t>
  </si>
  <si>
    <t>Construction of Rimos National High School Pavilion and Completion of School Perimeter Fence, Luna</t>
  </si>
  <si>
    <t>2020-05-0058 Procurement of Janitorial Supplies</t>
  </si>
  <si>
    <t>ITDI-200396 - SUPPLY AND DELIVERY OF MIRRORLESS CAMERA AND OTHER ACCESSORIES</t>
  </si>
  <si>
    <t>Supply and Delivery of Various Office Equipment for MDRRM Office</t>
  </si>
  <si>
    <t>Supply, Delivery and Installation of Office Furnitures and Fixtures</t>
  </si>
  <si>
    <t>Procurement/Installation of CCTV</t>
  </si>
  <si>
    <t>Supply &amp; Delivery of Materials for Rehabilitation of Julve Street, Cantilan</t>
  </si>
  <si>
    <t>3029-20 Procurement of Trash Bags</t>
  </si>
  <si>
    <t>2303-20 Procurement of Mushroom Spawns</t>
  </si>
  <si>
    <t>Supply &amp; Delivery of Agricultural Supplies for Establishment of Rice Model Farm</t>
  </si>
  <si>
    <t>Supply,Delivery and Installation of Modular Workstations and fit-outs for Additional Office Space for SEC Head Office</t>
  </si>
  <si>
    <t>2288-20 Procurement of Assorted Plating Materials</t>
  </si>
  <si>
    <t>20GAD0004: Supply and Delivery of materials for the Repair and Maintenance, along Tagudin-Cervantes Road</t>
  </si>
  <si>
    <t>Supply &amp; Delivery of Materials for Installation of Deep &amp; Shallow Payao</t>
  </si>
  <si>
    <t>2439-20 Procurement of Assorted Vegetable Seeds</t>
  </si>
  <si>
    <t>Supply &amp; Delivery of Materials for Establishment of Vermi Culture</t>
  </si>
  <si>
    <t>20-05-0564 Supply and Delivery of Materials for Tilapia Culture in Fish Cage as Livelihood Support Project of BFAR 8 under the “Ahon Lahat, Pagkaing Sapat Kontra sa Covid-19 (ALPAS)” in the Region</t>
  </si>
  <si>
    <t>Supply &amp; Delivery of Tires and Batteries for Toyota Prado with plate no. WMC-843, prop. no. CMIS-03 and Hino Dump Truck with plate no. SCN-294, prop. no. 13-680  (Ref. No. AL-LFP-006-2020RFQ)</t>
  </si>
  <si>
    <t>2020-04-0048 Supply in-place Solar Pavement Levelled Marker/Stud, (Type G105), 122mm diameter x 45mm depth, Color: White)</t>
  </si>
  <si>
    <t>3134-20 Procurement of Drugs and Medicines</t>
  </si>
  <si>
    <t>2020-05-0059 Supply in-place Solar Pavement Levelled Marker/Stud, (Type G105), 122mm diameter x 45mm depth, Color: White)</t>
  </si>
  <si>
    <t>20-04-0511 Supply and Delivery of Materials for the Intensive Tilapia Culture in Pond (with Life Support System) as Livelihood Support Project of BFAR 8 under the “Ahon Lahat, Pagkaing Sapat Kontra sa</t>
  </si>
  <si>
    <t>SUPPLY AND DELIVERY OF IT AND ACCESSORIES</t>
  </si>
  <si>
    <t>20-03-0414 Supply and Delivery of Feeds and Fingerlings for Bangus Production in Cage Project for the Municipalities of Tabango, Calubian and San Isidro, Leyte under SAAD Program 2020</t>
  </si>
  <si>
    <t>20-04-0473 Supply and Delivery of 20-30 Grammers Tiger Lobster Juveniles (Parulinos ornatus) to be given to identified beneficiaries of the Municipalities of Southern Leyte under SAAD Program 2020</t>
  </si>
  <si>
    <t>GAD</t>
  </si>
  <si>
    <t>2020-04-0042 Supply in-place Cold Asphalt Plant mix</t>
  </si>
  <si>
    <t>Supply and Delivery of Laptop (2020-432)</t>
  </si>
  <si>
    <t>3126-20 Procurement of Office Supplies</t>
  </si>
  <si>
    <t>Furnishing Labor and Materials for the Repair of Toyota Prado with plate no. WMC-843, prop. no. CMIS-03 (Ref. No. AL-LFP-005-2020RFQ)</t>
  </si>
  <si>
    <t>PB-20-338, Supply &amp; Delivery of Medicines for Mlang District Hospital, Mlang, Cotabato</t>
  </si>
  <si>
    <t>Procurement of mats. for Road Concreting</t>
  </si>
  <si>
    <t>Procurement of mats. for Toilet Facilities</t>
  </si>
  <si>
    <t>PROCUREMENT OF LABORATORY EQUIPMENT</t>
  </si>
  <si>
    <t>Construction of River Dike Phase II</t>
  </si>
  <si>
    <t>PROCUREMENT OF CIVIL WORKS FOR BALINGASAG RIS 2020 CCAW (SUPP)</t>
  </si>
  <si>
    <t>PURCHASE OF BARANGAY DISASTER RISK REDUCTION MANAGEMENT COMMITTEE RESCUE VEHICLE (BONGO) OF BRGY. SALVACION, PANABO CITY.</t>
  </si>
  <si>
    <t>IMPROVEMENT OF MAIN ELECTRICAL POWER SUPPLY LINES - LGU BALETE (MATAERIALSONLY) RE-BID</t>
  </si>
  <si>
    <t>Supplies &amp; Delivery of Materials for Construction of Evacuation Center/Second Floor of Day Care Center</t>
  </si>
  <si>
    <t>PURCHASE OF ONE (1) UNIT PATROL CAR</t>
  </si>
  <si>
    <t>SUPPLY &amp; DELIVERY OF MATERIALS FOR GENERATION, TRANSMISSION AND DISTRIBUTION OF NWSS SERVICES 2ND QTR CY 2020</t>
  </si>
  <si>
    <t>Drainage Canal</t>
  </si>
  <si>
    <t>20-04-0503 Supply and Delivery of Tilapia Feeds for Tilapia Culture Livelihood and Techno Demo Projects of BFAR 8 under the “Ahon Lahat, Pagkaing Sapat Kontra sa Covid-19 (ALPAS)” in the Region</t>
  </si>
  <si>
    <t>Supply &amp; Delivery of Materials for Rehabilitation of Brgy. Road at Toog to Hibjok (Timber Bridge)</t>
  </si>
  <si>
    <t>supply and delivery of COVID-19 RAPID TEST KITS</t>
  </si>
  <si>
    <t>Procurement of Maintenance and Support Service Agreement for Existing Firewall /VPN Appliance</t>
  </si>
  <si>
    <t>IAEB FOR SUPPLY AND DELIVERY OF AGRICULTURAL INPUTS AND FARM MACHINERY AND EQUIPMENT UNDER CLIMATE RESILIENT FARM PRODUCTIVITY SUPPORT PROJECT (CRFPSP)</t>
  </si>
  <si>
    <t>CONCRETING OF BARANGAY STREET, Brgy. Can-ilay, Can-avid Eastern Samar</t>
  </si>
  <si>
    <t>Reproduction of UHC Individual Household Member Health Profiling Booklet to be used for the Individual Household Member Health Planning</t>
  </si>
  <si>
    <t>Procurement and Installation of CCTV</t>
  </si>
  <si>
    <t>DLL (SMS Component Professional License)</t>
  </si>
  <si>
    <t>1ot 1 Supply and Delivery of Various Medicines; Lot 2 Supply and Delivery of Various Medical Supplies; Lot 3 Supply and Delivery of Various Dental Supplies</t>
  </si>
  <si>
    <t>Purchase of Emergency Rescue Vehicle, Brgy. Caidiocan</t>
  </si>
  <si>
    <t>Rehabilitation of Barangay Road - Zone 2&amp;3</t>
  </si>
  <si>
    <t>Concreting of Barangay Road - Zone 3</t>
  </si>
  <si>
    <t>Supply and Delivery of GSM Modem</t>
  </si>
  <si>
    <t>BID OPENING - PROCUREMENT OF 1 UNIT BRAND NEW 12 SEATER VAN</t>
  </si>
  <si>
    <t>Purchase of Office Supplies for use in the Planning and Design Section  charge to 2020 PDE funds</t>
  </si>
  <si>
    <t>Repair/Maintenance of : A. Nabuangan Flood Control , Ripang, Conner Sta. o+000-Sta 0+050 &amp; Sta 0+053-Sta 0+171, Apayao B. Karikitan Flood Control, Conner, Apayao Sta. 000+000-Sta.000+018</t>
  </si>
  <si>
    <t>PURCHASE OF PICK UP WITH CANOPY</t>
  </si>
  <si>
    <t>Purchase of Spare Parts for use in the Office Generator for the Consumption of DPWH – Cotabato 2nd DEO, Lanao, Kidapawan City for the 2nd Quarter of  CY 2020</t>
  </si>
  <si>
    <t>Concreting of Barangay Road - Zone 7</t>
  </si>
  <si>
    <t>IMPROVEMENT OF CANAL AT BARANGAY REAL</t>
  </si>
  <si>
    <t>SK OFFICE REHABILITATION</t>
  </si>
  <si>
    <t>SECURITY GUARDS SERVICES</t>
  </si>
  <si>
    <t>BIOMETRIC MACHINE</t>
  </si>
  <si>
    <t>SUPPLY AND DELIVERY OF CONSTRUCTION SUPPLIES FOR THE REHABILITATION OF MAYOR’S OFFICE PHASE 2</t>
  </si>
  <si>
    <t>Concreting of Barangay Road - Zone 2</t>
  </si>
  <si>
    <t>REHABILITATION OF COVERED CANAL ALONG APACIBLE ST, POBLACION IV</t>
  </si>
  <si>
    <t>DISPENSER</t>
  </si>
  <si>
    <t>2020-05-0617 SFP OFFICE SUPPLIES</t>
  </si>
  <si>
    <t>SOIL TESTING/EXPLORATION (FOR CY 2021 REGULAR INFRASTRUCTURE PROJECTS, BATCH 2)</t>
  </si>
  <si>
    <t>Procurement of Various IT supplies, Repair of Printer and Replacement of Drum cartridge for HFEP use</t>
  </si>
  <si>
    <t>DISINFECTANTS FOR ROOMS AND OFFICES</t>
  </si>
  <si>
    <t>Repair/Maintenance of National Road (Activity 411-Emergency Project) along Conner - Kabugao Road, K0588+(-130) - K0588+(-100) Kabugao, Apayao</t>
  </si>
  <si>
    <t>School Supplies and Instructional Materials of JUNIOR High School for the First Quarter</t>
  </si>
  <si>
    <t>Preventive Maintenance of Cold Room Units of DOH CHD I</t>
  </si>
  <si>
    <t>Supply &amp; Delivery of Materials for Fencing of Municipal Agriculture Office Compound</t>
  </si>
  <si>
    <t>20GAD0005 : Purcahse of Road/Traffic Warning Signs for use along Manila North Road, Tagudin-Santa Section ( accident blackspot), K0313+(-103)-K0395+149</t>
  </si>
  <si>
    <t>SUPPLY &amp; DELIVERY OF MATERIALS FOR THE CONSTRUCTION OF MULTIPURPOSE STALLS (PAVILION)</t>
  </si>
  <si>
    <t>CONSTRUCTION OF CONCRETE PATHWAY AT ZONE 1 BRGY. BALIUAG VIEJO</t>
  </si>
  <si>
    <t>SUPPLY AND DELIVERY OF CONSTRUCTION SUPPLIES FOR THE IMPROVEMENT OF ACCOUNTING OFFICE PHASE 2</t>
  </si>
  <si>
    <t>Invitation to Bid - Supply and Delivery of Hardware Materials for Installation of Road Barriers at Barangay Malapoc, Danao City</t>
  </si>
  <si>
    <t>SUPPLY AND DELIVERY  OF CORRUGATED   GI SHEET FOR THE IDENTIFIED PARTIALLY DAMAGED OF TYPHOON TISOY IN THE CITY OF SORSOGON (2ND CALL)</t>
  </si>
  <si>
    <t>Supply &amp; Delivery of Materials for Construction of Open Canal at Poblacion Cantilan</t>
  </si>
  <si>
    <t>SUPPLY &amp; DELIVERY OF MATERIALS FOR THE CONSTRUCTION OF MULTIPURPOSE STALLS (PAVILION)-B</t>
  </si>
  <si>
    <t>PURCHASE OF PATROL VEHICLE</t>
  </si>
  <si>
    <t>Supply and Delivery of Construction Materials for Routine Maintenance (Construction Materials / Hand Tools &amp; Paints) (Bridges) (CY-2020-2nd Quarter).</t>
  </si>
  <si>
    <t>IMPROVEMENT OF PANAAD BOOTH AT THE PANAAD PARK,BRGY. ALIJIS, BACOLOD CITY</t>
  </si>
  <si>
    <t>SUPPLY AND DELIVERY OF MEALS AND SNACKS and FACILITATOR’S ACCOMMODATION FOR THE BASIC SKILLS TRAINING IN DRESSMAKING AND BEADS MAKING</t>
  </si>
  <si>
    <t>Supply of Item 310 (FD) for the use of MMIIDEO for Various 	National Roads (CY-2020-2nd Quarter).</t>
  </si>
  <si>
    <t>PROCUREMENT OF 1 COMPUTER SET</t>
  </si>
  <si>
    <t>PROCUREMENT OF 12 UNIT OF SELFIE RING LIGHT WITH STAND</t>
  </si>
  <si>
    <t>PROCUREMENT OF 12 UNIT PROFESSIONAL SUSPENSION MICROPHONE KIT STUDIO LIVE STREAM BROADCASTING RECORDING CONDENSER MICROPHONE SET</t>
  </si>
  <si>
    <t>PROCUREMENT OF 12 UNIT WEBCAM (PC/LAPTOP)</t>
  </si>
  <si>
    <t>Purchase of Supplies and Materials for Flood Control Program Declogging and Navotas Ko Love Ko (Clean-up Drive)</t>
  </si>
  <si>
    <t>SUPPLY AND DELIVERY TRAINING MATERIALS with 8-units SEWING MACHINE and STARTER-KIT FOR THE BASIC SKILLS TRAINING IN DRESSMAKING AND BEADS MAKING</t>
  </si>
  <si>
    <t>Construction of Covered Court Phase I</t>
  </si>
  <si>
    <t>Establishment of Passenger's Terminal Phase 1 at Barangay Poblacion, Biri, Northern Samar</t>
  </si>
  <si>
    <t>PROCUREMENT OF 1 UNIT OF PRINTER (WITH LONG/ SHORT PHOTOCOPIER AND SCANNER)</t>
  </si>
  <si>
    <t>Contract for the Rehabilitation of Drainage Canal Back of COA Building, PNP &amp; Hall of Justice</t>
  </si>
  <si>
    <t>20DN0166 - CONSTRUCTION AND/OR REPAIR/REHABILITATION OF MULTI - PURPOSE BUILDING, BRGY. SAN ISIDRO, ANGONO, RIZAL</t>
  </si>
  <si>
    <t>20DN0134 (Re-bid) - REHABILITATION OF ROADS WITH DRAINAGE SYSTEM, PUROK 4, COLLEGE VIEW PARK, BRGY. CUPANG, ANTIPOLO CITY, RIZAL</t>
  </si>
  <si>
    <t>Grocery food supplies</t>
  </si>
  <si>
    <t>Purchase of Motorcycles for MDRRMO use</t>
  </si>
  <si>
    <t>2020-05-0053 Supply in-place Solar Pavement Levelled Marker/Stud, (Type G105), 122mm diameter x 45mm depth, Color: White)</t>
  </si>
  <si>
    <t>20DN0131 (Re-Schedule) - REHABILITATION OF ROAD AND DRAINAGE SYSTEM, ANTIPOLO HILLS MUNICIPAL ROAD, BRGY. SAN LUIS, ANTIPOLO CITY</t>
  </si>
  <si>
    <t>20DN0130 (Re-Schedule) - REHABILITATION OF ROAD WITH DRAINAGE AT ORCHID ST., GREENHEIGHTS SUBD., MAYAMOT , ANTIPOLO CITY, RIZAL</t>
  </si>
  <si>
    <t>Repair and Maintenance of Equipment for MBO use</t>
  </si>
  <si>
    <t>Purchase of Spare Parts for the Preventive Maintenance of the different Machineries of MEO</t>
  </si>
  <si>
    <t>Purchase of Petroleum, Oil and Lubricants for the Operations of MEO Projects</t>
  </si>
  <si>
    <t>Establishment of Passenger's Terminal at Barangay Sto. Nino, Biri, Northern Samar</t>
  </si>
  <si>
    <t>Purchase of Information and Communication Technology Equipment for MACCO and OMA use</t>
  </si>
  <si>
    <t>20DN0128 (Re-Schedule) - CONCRETING OF ROAD, BRGY. SAN JUAN, ANTIPOLO CITY, RIZAL</t>
  </si>
  <si>
    <t>Purchase of Power Generator for MEEDMO use</t>
  </si>
  <si>
    <t>20DN0129 (Re-Schedule) - CONSTRUCTION/ REHABILITATION OF MULTI - PURPOSE BUILDING, ANTIPOLO CITY, RIZAL</t>
  </si>
  <si>
    <t>CONSTRUCTION/COMPLETION OF MULTI-PURPOSE HALL</t>
  </si>
  <si>
    <t>Purchase of Petroleum, Oil and Lubricants for the Operational use of MEEDMO - Market, MEEDMO - Slaughterhouse, MEEDMO - Waterworks and MASSO</t>
  </si>
  <si>
    <t>Procurement of Printing of Blown-ups for the 2020 Census of Population and Housing (CPH) different training levels of PSA RSSO 6</t>
  </si>
  <si>
    <t>Purchase of Cell Cards for VMO use</t>
  </si>
  <si>
    <t>Supply and Delivery of Medical Supplies and Consumables</t>
  </si>
  <si>
    <t>Procurement of Printing of CPH Forms for the 2020 Census of Population and Housing (CPH) different training levels of PSA RSSO 6</t>
  </si>
  <si>
    <t>Purchase of Fuel for use in the Assistant District Engineer Office for 3rd  quarter of 2020</t>
  </si>
  <si>
    <t>Purchase of Meals and Snacks for Mentally Challenged Monthly Check-Up</t>
  </si>
  <si>
    <t>ITDI-200415- SUPPLY AND DELIVERY OF LOW THERMAL TEST LEADS</t>
  </si>
  <si>
    <t>SUPPLY AND DELIVERY OF GPE ITEMS FOR MAINTENANCE AND MONITORING OF ROMBLON DPP</t>
  </si>
  <si>
    <t>PURCHASE OF MATERIALS FOR THE CONSTRUCTION/REHAB OF DRAINAGE SYSTEM/DECLOGGING OF CANALS</t>
  </si>
  <si>
    <t>Invitation to Bid - Supply and Delivery of Hardware Materials for Construction of Ticket Outpost at Poblacion, Danao City</t>
  </si>
  <si>
    <t>Supply of medicines RHU San Remigio</t>
  </si>
  <si>
    <t>Purchase of Meals and Snacks for various meetings of MO use</t>
  </si>
  <si>
    <t>SUPPLY AND DELIVERY OF GENERAL PLANT EQUIPMENT FOR ROMBLON DPP</t>
  </si>
  <si>
    <t>Repair/Maintenance of DILG Building NAPOLCOM RO-V Main Building Rawis, Legazpi City, Albay</t>
  </si>
  <si>
    <t>Office Supplies for the CAO Office of Guimaras State College (Salvador Campus)</t>
  </si>
  <si>
    <t>Supply and Delivery of Dining Set &amp; Air Cooler</t>
  </si>
  <si>
    <t>Invitation to Bid - Supply and Delivery of Hardware Materials for Construction of Ticket Outpost at Danao City Fish Port</t>
  </si>
  <si>
    <t>Purchase of Air-conditioning Unit for various offices of Municipality of Samal, Bataan</t>
  </si>
  <si>
    <t>Other Supplies &amp; Materials for the Guidance Office of Guimaras State College (Salvador Campus)</t>
  </si>
  <si>
    <t>Construction of Barangay Plaza Perimeter Drainage System</t>
  </si>
  <si>
    <t>Procurement of Drugs and Medicines to be used by City Health Office</t>
  </si>
  <si>
    <t>Purchase of Assorted Vegetable Seeds</t>
  </si>
  <si>
    <t>Garbage Collection at Barangay Bel-Air for CY 2020</t>
  </si>
  <si>
    <t>20DN0167 - CONSTRUCTION/ REHABILITATION OF WATER SUPPLY/ SEPTAGE AND SEWERAGE/RAINWATER COLLECTORS – RAINWATER COLLECTORS IN PUBLIC FACILITIES, RIZAL 1ST LEGISLATIVE DISTRICT</t>
  </si>
  <si>
    <t>Construction of Multi-Purpose Hall/Day Care Center at San Isidro, Daet, Camarines Norte</t>
  </si>
  <si>
    <t>Invitation to Bid - Supply and Delivery of Hardware Materials for Construction of Ticket Outpost at Mitsumi Gate 3, Sabang, Danao City</t>
  </si>
  <si>
    <t>SUPPLY AND DELIVERY OF GPE ITEMS FOR REGULAR OPERATION AND MAINTENANCE OF ORIENTAL MINDORO S/S AND 69KV T/L</t>
  </si>
  <si>
    <t>ITDI-200412 - SUPPLY AND DELIVERY OF CALIBRATION KIT</t>
  </si>
  <si>
    <t>ITDI-200371 - SUPPLY AND DELIVERY OF VARIOUS LABORATORY SUPPLIES</t>
  </si>
  <si>
    <t>Construction of Multi-Purpose Hall at Mancruz, Daet, Camarines Norte</t>
  </si>
  <si>
    <t>ITDI-200411 - SUPPLY AND DELIVERY OF SHUNT ADAPTER</t>
  </si>
  <si>
    <t>Procurement of Fuel &amp; Lubricants of LGU Vehicles &amp; Heavy Equipment for 3rd Quarter Allotment 2020</t>
  </si>
  <si>
    <t>Procurement of Air conditioning Unit Split and Window type for HFEP use</t>
  </si>
  <si>
    <t>Purchase of Office Equipment use in the Office of the Municipal Accountant</t>
  </si>
  <si>
    <t>20GDN0004 - SUPPLY OF 5.10 DRUMS BITUMINOUS TACK COAT AND 298.41 M.T. BITUMINOUS CONCRETE SURFACE COURSE ALONG CAINTA KAYTIKLING ANTIPOLO ROAD, K0021+730 – K0021+973 (S01598LZ), TAYTAY, RIZAL</t>
  </si>
  <si>
    <t>Supply &amp; delivery of materials for Improvement of Road at Barangay Boot, Tanauan City, Batangas</t>
  </si>
  <si>
    <t>20DN0139 (Re-Schedule) - CONSTRUCTION OF PEDESTRIAN OVERPASS, BRGY. DELA PAZ, ANTIPOLO CITY</t>
  </si>
  <si>
    <t>ITDI-200414 - SUPPLY AND DELIVERY OF SHIELDED TEST LEADS</t>
  </si>
  <si>
    <t>20GDN0003 - REPAIR AND MAINTENANCE OF VARIOUS NATIONAL ROADS (REFLECTORIZED THERMOPLASTIC PAVEMENT MARKINGS), DPWH – RIZAL I DISTRICT ENGINEERING OFFICE BINANGONAN, RIZAL</t>
  </si>
  <si>
    <t>ITDI-200413 - SUPPLY AND DELIVERY OF SIGNAL TEST LEAD SET</t>
  </si>
  <si>
    <t>Supplies &amp; Materials for the Repair &amp; Maintenance of College Motor Vehicle of Guimaras State College (Salvador Campus)</t>
  </si>
  <si>
    <t>ITDI-200410 - SUPPLY AND DELIVERY OF FREQUENCY COUNTER</t>
  </si>
  <si>
    <t>ITDI-PB-CS-2020-GIA-01 STD - CONSULTING SERVICES FOR THE ADDITION &amp; RENOVATION OF ITDI-STD ANIMAL LABORATORY BUILDING</t>
  </si>
  <si>
    <t>ITDI-200408 - SUPPLY AND DELIVERY OF LOW THERMAL CABLES</t>
  </si>
  <si>
    <t>20DN0140 (Re-Schedule) - CONSTRUCTION OF PEDESTRIAN OVERPASS, BRGY. STA. CRUZ, ANTIPOLO CITY</t>
  </si>
  <si>
    <t>20DN0142 (Re-Schedule) - CONSTRUCTION OF MULTI - PURPOSE BUILDING, BRGY. LIBID, BINANGONAN, RIZAL</t>
  </si>
  <si>
    <t>20DN0144 (Re-Schedule) - CONSTRUCTION OF PEDESTRIAN OVERPASS, BRGY. MAMBUGAN, ANTIPOLO CITY</t>
  </si>
  <si>
    <t>20DN0137 (Re-Schedule) - CONSTRUCTION/ IMPROVEMENT OF CLIFFSIDE AND ROAD WIDENING WITH DRAINAGE SYSTEM, BRGY. MACAMOT, BINANGONAN, RIZAL</t>
  </si>
  <si>
    <t>CONSTRUCTION OF ADDITIONAL TOMBS / BONE VAULTS AT MUNICIPAL CEMETERY, BRGY. MONTEBELLO, KANANGA, LEYTE</t>
  </si>
  <si>
    <t>20DN0135 (Re-Schedule) - CONSTRUCTION AND/ OR REPAIR/ REHABILITATION OF MULTI - PURPOSE BUILDING, BRGY. KALAWAAN, BINANGONAN, RIZAL</t>
  </si>
  <si>
    <t>20DN0141 (Re-Schedule) - ASPHALT OVERLAY, BRGY.MAYAMOT, ANTIPOLO CITY</t>
  </si>
  <si>
    <t>Concreting of Sta. Maria Street to Bernardo Street at 100 meters at Brgy. Bato, Gamay, Northern Samar</t>
  </si>
  <si>
    <t>ITDI-200416 - SUPPLY AND DELIVERY OF FUNCTION GENERATOR/FREQUENCY SYNTHESIZER</t>
  </si>
  <si>
    <t>PROCUREMENT OF  ONE (1) UNIT MOTOR VEHICLE (PASSENGER VAN)</t>
  </si>
  <si>
    <t>20DN0138 (Re-Schedule) - REHABILITATION OF ROAD AND DRAINAGE SYSTEM AT BROOKSIDE HILLS, BRGY. SAN JUAN, CAINTA, RIZAL</t>
  </si>
  <si>
    <t>CONCRETING OF ROADS MUNICIPAL WIDE AT  BRGY. POBLACION, KANANGA, LEYTE</t>
  </si>
  <si>
    <t>CONSTRUCTION OF FLOOD CONTROL AND RETAINING WALL AT BRGY. MAHAWAN, KANANGA, LEYTE</t>
  </si>
  <si>
    <t>ITDI-200290_REBID - SUPPLY AND DELIVERY OF VARIOUS LABORATORY SUPPLIES</t>
  </si>
  <si>
    <t>20DN0136 (Re-Schedule) - REPAIR/ REHABILITATION OF DRAINAGE SYSTEM, A. RODRIGUEZ AVE.,  BRGY. SAN ANDRES, CAINTA, RIZAL</t>
  </si>
  <si>
    <t>RFQ&gt;&gt;&gt; Supply and Delivery of Graduation Rites and Moving Up Ceremony Supplies and Materials for Dona Aurora ES | ABC=PhP84,280.00</t>
  </si>
  <si>
    <t>Proposed rehabilitation of multi purpose hall at Barangay V-A San Pablo City</t>
  </si>
  <si>
    <t>20DN0143 (Re-Schedule) - CONSTRUCTION OF MULTI - PURPOSE BUILDING, BRGY. TATALA, BINANGONAN, RIZAL</t>
  </si>
  <si>
    <t>Purchase of office supplies for various offices of Municipality of Samal, Bataan</t>
  </si>
  <si>
    <t>Procurement of Comprehensive Maintenance Service Agreement for Virtualization Software</t>
  </si>
  <si>
    <t>Concreting of Diego Naing Street Phase 1, Barangay 1, Daet, Camarines Norte</t>
  </si>
  <si>
    <t>ITDI-200209_REBID - SUPPLY AND DELIVERY OF SYRINGE FILTER AND SYRINGER WITH LUER LOCK</t>
  </si>
  <si>
    <t>SUPPLY AND DELIVERY OF SPARE PARTS OF MAN CXZ GENERATING SETS FOR LUBANG DPP</t>
  </si>
  <si>
    <t>ITDI-200292_REBID - SUPPLY AND DELIVERY OF VARIOUS LABORATORY SUPPLIES</t>
  </si>
  <si>
    <t>ITDI-200205_REBID - SUPPLY AND DELIVERY OF SYRINGE FILTER AND NARROW NECK ROUND BOTTON</t>
  </si>
  <si>
    <t>ITDI-200189_REBID - SUPPLY AND DELIVERY OF SODIUM SULFITE (S-34 ISOTOPE)</t>
  </si>
  <si>
    <t>Procurement of One (1) Unit Boom truck w/ complete Accessories  PR # 20-06-992</t>
  </si>
  <si>
    <t>ITDI-200303_REBID - SUPPLY AND DELIVERY OF VARIOUS LABORATORY SUPPLIES</t>
  </si>
  <si>
    <t>INSTALLATION OF POWER,  DISTRIBUTION LINE AND COMMUNICATION SYSTEMS</t>
  </si>
  <si>
    <t>ITDI-200274_REBID - SUPPLY AND DELIVERY OF SAMPLING VIALS AND STIRRING GLASS ROD</t>
  </si>
  <si>
    <t>ITDI-200210_REBID - SUPPLY AND DELIVERY OF FLORISIL 100-200 MESH</t>
  </si>
  <si>
    <t>ITDI-200190_REBID - SUPPLY AND DELIVERY OF LANTHANUM CHLORIDE</t>
  </si>
  <si>
    <t>SUPPLY AND DELIVERY OF LINE CLEARING AND SAFETY EQUIPMENT OF CATANDUANES 69KV T/L AND S/S</t>
  </si>
  <si>
    <t>SUPPLY AND DELIVERY OF SECURITY PARTS OF 163KW DALE PERKINS GENSET OF BANTON DPP</t>
  </si>
  <si>
    <t>20DN0175 - REHABILITATION OF MULTI - PURPOSE BUILDING SITIO GUMAMELA, BRGY. STA. CRUZ, ANTIPOLO CITY</t>
  </si>
  <si>
    <t>20DN0174 - REHABILITATION OF NHA ROAD WITH DRAINAGE, BRGY. SAN ISIDRO, ANTIPOLO CITY</t>
  </si>
  <si>
    <t>Concreting of Samaka Road Phase 2, Barangay Camambugan, Daet, Camarines Norte</t>
  </si>
  <si>
    <t>PREVENTIVE MAINTENANCE for one (1) lot Various MEDICAL EQUIPMENT of the Radiology Department of the PCGH (August to December 2020)</t>
  </si>
  <si>
    <t>ITDI-200141_REBID - SUPPLY AND DELIVERY OF HF ACID FIRST AID KIT</t>
  </si>
  <si>
    <t>ITDI-200092_REBID - SUPPLY AND DELIVERY OF COPY PAPER</t>
  </si>
  <si>
    <t>ITDI-200406 - SUPPLY AND DELIVERY OF PRT THERMOMETER FOR OIL BATH</t>
  </si>
  <si>
    <t>Supply, Delivery &amp; Installation of Emergency Paging System</t>
  </si>
  <si>
    <t>SUPPLY AND DELIVERY OF MATERIALS INTENDED FOR DAY TO DAY MAINTENANCE OF CATNADUANES 69KV AND S/S</t>
  </si>
  <si>
    <t>rehabilitation/improvement of waterworks</t>
  </si>
  <si>
    <t>Supply and delivery of bags of groceries for gift giving project for Senior Citizens, Alfonso, Cavite</t>
  </si>
  <si>
    <t>ITDI-200127_REBID - SUPPLY AND DELIVERY OF ELECTRIC POTTERY WHEEL AND KICK-TYPE POTTERY WHEEL</t>
  </si>
  <si>
    <t>Invitation to Bid (Multicab Patrol Car Type)</t>
  </si>
  <si>
    <t>ITDI-200145_REBID - SUPPLY AND DELIVERY OF MRS BROTH</t>
  </si>
  <si>
    <t>ITDI-200144_REBID - SUPPLY AND DELIVERY OF EPSON ORIGINAL LQ2180-2190 RIBBON AND HP 61 INK CARTRIDGE</t>
  </si>
  <si>
    <t>Repair and Maintenance of St. Lighting @ Barangay Coliat, Ibaan, Batangas</t>
  </si>
  <si>
    <t>ITDI-200308_REBID - SUPPLY AND DELIVERY OF VARIOUS LABORATORY SUPPLIES</t>
  </si>
  <si>
    <t>Invitation to Bid (Supply and Delivery of Various Construction Materials for the Rehabilitation of Main Drainage at Zone 4 Maagad – Abella Area Going to River (Phase I))</t>
  </si>
  <si>
    <t>Supply and delivery of Various DRUGS AND MEDICINES - for various programs of the City Health Office</t>
  </si>
  <si>
    <t>ITDI-200061_REBID - SUPPLY AND DELIVERY OF HALF FACE REUSABLE RESPIRATOR AND PEC-PAD NON-ABRASIVE WIPES</t>
  </si>
  <si>
    <t>Supply, delivery &amp; installation of TV, Speaker and Microphones (Mayor's Office - Conf. Room)</t>
  </si>
  <si>
    <t>ITDI-200280_REBID - SUPPLY AND DELIVERY OF COAGULASE PLASMA</t>
  </si>
  <si>
    <t>ITDI-200276_REBID - SUPPLY AND DELIVERY OF VARIOUS LABORATORY SUPPLIES</t>
  </si>
  <si>
    <t>20DN0173 - CONSTRUCTION OF SPORTS FACILITY BUILDING AT BLUEBELLS, BRGY. MAYAMOT, ANTIPOLO CITY, RIZAL</t>
  </si>
  <si>
    <t>ITDI-200281_REBID - SUPPLY OF LABOR AND MATERIALS FOR THE CALIBRATION OF DIGITAL CALIPER</t>
  </si>
  <si>
    <t>20DN0170 - REHABILITATION OF MULTI - PURPOSE BUILDING (ANTIPOLO SPORTS HUB), SITIO ORETA, BARANGAY SAN ISIDRO, ANTIPOLO CITY</t>
  </si>
  <si>
    <t>Proposed Construction of Four (4) Storey-Forty Eight (48) Rooms – School Building and Facilities at PNSB - Phase 2</t>
  </si>
  <si>
    <t>Contract for the Concreting of Road Section at Cosmos St. to Fd. Rd. #4, Phase 2</t>
  </si>
  <si>
    <t>ITDI-200197_REBID - SUPPLY AND DELIVERY OF SODIUM SULFITE</t>
  </si>
  <si>
    <t>Construction of Multi-Purpose Building (Evacuation Center)</t>
  </si>
  <si>
    <t>Improvement of Child Friendly Park</t>
  </si>
  <si>
    <t>20DN0172 - CONSTRUCTION OF MULTI-PURPOSE BUILDING BRGY. TAYUMAN, BINANGONAN, RIZAL</t>
  </si>
  <si>
    <t>Invitation to Bid (Cab and Chasis 4x2 MT Dual Aircon with Ambulance Body)</t>
  </si>
  <si>
    <t>Purchase of Fuel  (3rd Quarter 2020)</t>
  </si>
  <si>
    <t>R/M - Transportation Equipment</t>
  </si>
  <si>
    <t>SUPPLY AND DELIVERY OF OFFICE SUPPLIES FOR THE CY 2020 OF THE MUNICIPALITY OF PORO</t>
  </si>
  <si>
    <t>Purchase of Supplies for Dishwashing Liquid Making</t>
  </si>
  <si>
    <t>Ref. No. 2020-015 Procurement of Fully Developed Lots and Completed Housing Units Under NHA's Yolanda Permanent Housing Program - Tingib Homes, Pandan</t>
  </si>
  <si>
    <t>Purchase of Assorted Supplies to be used for Drug Clearing Operations</t>
  </si>
  <si>
    <t>Supply and Delivery of Two (2) Units Desktop Computer (i5 Processor, 1TB Storage) with Complete Accessories</t>
  </si>
  <si>
    <t>INVITATION TO BID FOR SUPPLY AND DELIVERY OF CONSTRUCTION MATERIALS FOR THE PROPOSED TWO-STOREY MULTI-PURPOSE BUILDING (PHASE 1) AT SITIO MANADI, BRGY. PURAKAN, LINAMON, LANAO DEL NORTE</t>
  </si>
  <si>
    <t>20BE0049 (re-adv.) - CONSTRUCTION OF ONE-STOREY   (3 -CLASSROOMS) SCHOOL BUILDING SAN JUAN E/S , CABAGAN, ISABELA</t>
  </si>
  <si>
    <t>20BE0047 (re-adv.) - CONSTRUCTION OF TWO-STOREY  (6-CLASSROOMS) SCHOOL BUILDING SAN FELIPE E/S, CITY OF ILAGAN, ISABELA</t>
  </si>
  <si>
    <t>05-2020 RFQ-Network Switch</t>
  </si>
  <si>
    <t>IMPROVEMENT OF MULTI-PURPOSE BUILDING AT PUROK SAN MIGUEL, BARANGAY CENTRO, AGDAO DISTRICT, DAVAO CITY</t>
  </si>
  <si>
    <t>Supply snd Delivery of 2 units Camera and 2 Units Wireless Lavalier Microphone</t>
  </si>
  <si>
    <t>Purchase of 198 bags cement for construction of niches for Indigent Family use</t>
  </si>
  <si>
    <t>Catheter Foley 2 way FR 10, 15-30cc cap balloon, latex, 100% silicone-coated sterile, single package, hypoallergenic w/good spherical configuration</t>
  </si>
  <si>
    <t>PACKAGE OF PROJECTS, IMPROVEMENT OF DRAINAGE SYSTEM AT PUROK SAN MARCUS AND REHABILITATION AND CONSTRUCTION OF CONCRETE CANAL COVER FOR THE EXISTING CONCRETE CANAL FROM MINTRADE DRIVE TO PUROK FATIMA</t>
  </si>
  <si>
    <t>Consulting Service for the National Survey on the Awareness of Private Firms on the Philippine Competition Act and the Philippine Competition Commission</t>
  </si>
  <si>
    <t>20CSFM0001 Consulting Services for Sub-Soil Investigation for FY 2021 Proposed Bridge, Flood Control/Shore Protection and Slope Protection Projects, Ticao Island and Burias Island, Masbate</t>
  </si>
  <si>
    <t>ITDI-200383 - SUPPLY OF LABOR AND MATERIALS FOR THE CALIBRATION OF AIR PARTICLE COUNTER</t>
  </si>
  <si>
    <t>REI NO. GOP/20-DSWD-001- HIRING OF CONSULTANCY FIRM FOR THE CONDUCT OF EXTERNAL SPOT CHECK OF THE PANTAWID PAMILYANG PILIPINO PROGRAM OPERATIONS (SPOT CHECK 2020)</t>
  </si>
  <si>
    <t>Supply and delivery of one (1) lot various ELECTRICAL MATERIALS for the City Engineering Office for the upgrading of panelboard to be installed at CIDG, ANCAR Office (RFQ2020-06-089)</t>
  </si>
  <si>
    <t>ITDI-200382 - SUPPLY AND DELIVERY OF ELECTRONIC BALANCE</t>
  </si>
  <si>
    <t>ITDI-200187_REBID - SUPPLY AND DELIVERY OF LAPTOP</t>
  </si>
  <si>
    <t>ITDI-200229_REBID - SUPPLY AND DELIVERY OF FACE MASK AND N95 PARTICLE MASK</t>
  </si>
  <si>
    <t>Supply and delivery of one (1) lot various ELECTRICAL MATERIALS for the City Engineering Office for Fire Pump Booster at G/F Pasay City Hall Bldg. (RFQ2020-06-088)</t>
  </si>
  <si>
    <t>Supply &amp; Delivery of Five (5) units Mini Dump truck - Surplus Reconditioned for use of Various Barangays, Himamaylan City</t>
  </si>
  <si>
    <t>Straight Contract for Water Project (Bingig, Valencia, Verde), Brgy. III-Poblacion, Himamaylan City</t>
  </si>
  <si>
    <t>Supply and Delivery of Poulty Animal</t>
  </si>
  <si>
    <t>Straight Contract for Rehabilitation of Covered Court, Brgy. Sara-et, Himamaylan City</t>
  </si>
  <si>
    <t>ITDI-200232_REBID - SUPPLY, DELIVERY, AND INSTALLATION OF ELECTRONIC FINGERPRINT PASSWORD DOOR LOCK</t>
  </si>
  <si>
    <t>Straight Contract for Construction of Multi-Purpose Building - Dialysis Center at City Health Compound, Brgy. I-Pob., Himamaylan City</t>
  </si>
  <si>
    <t>INVITATION TO BID FOR THE CONCRETING/REHABILITATION  OF BARANGAY TUYABANG BAJO-PUROK 3 ROAD,  BARANGAY TUYABANG BAJO, OROQUIETA CITY</t>
  </si>
  <si>
    <t>ADDITIONAL ROAD CONCRETING, CANAL AND PATHWALK AT LIWASANG PANGKALIKASAN, PRENZA I</t>
  </si>
  <si>
    <t>FILLING MATERIAL FOR ROADWAY FROM VILLA MONTEVERDE TO TABON CREEK, NAGBALON</t>
  </si>
  <si>
    <t>Straight Contract for Improvement of Commission House, Brgy. Aguisan, Himamaylan City</t>
  </si>
  <si>
    <t>CONCRETING OF ROAD WITH COVERED CANALS BOTH SIDES AT PUROK SAN FRANCISCO ENTRANCE ROAD, BARANGAY CENTRO (SAN JUAN), AGDAO DISTRICT DAVAO CITY</t>
  </si>
  <si>
    <t>Straight Contract for Installation of Street Lights (Phase 2) Along National Highway, Brgy. Talaban to So. Naga, Brgy. Su-ay, Himamaylan City</t>
  </si>
  <si>
    <t>Installation of Additional Streetlights</t>
  </si>
  <si>
    <t>20AF0079, CONCRETING OF SITIO TIMMORE, BRGY. SAN FERMIN FMR, CABA, BRGY. SAN FERMIN, CABA, LA UNION</t>
  </si>
  <si>
    <t>Procurement of Office Supplies (Printer ink)</t>
  </si>
  <si>
    <t>SUPPLY &amp; DELIVERY OF INFANT INCUBATOR</t>
  </si>
  <si>
    <t>SUPPLY &amp; DELIVERY OF WHEELED STRETCHER</t>
  </si>
  <si>
    <t>Modernization of the Campus Secretary's Office and Archiving and digitizing of MSU-TCTO Records (per lot)</t>
  </si>
  <si>
    <t>INVITATION TO BID FOR THE CONSTRUCTION OF COVERED COURT (PHASE 1) BARANGAY CIRIACO PASTRANO, OROQUIETA CITY</t>
  </si>
  <si>
    <t>20L00137 : Construction of Concrete Bridge – Matina Aplaya Bridge, Davao City</t>
  </si>
  <si>
    <t>DEEP WELL (SUBMERSIBLE) FOR LIWASANG PANGKALIKASAN PRENZA I</t>
  </si>
  <si>
    <t>Supply of Labor and Materials for the repair of service vehicle SGX-465 &amp; SGC-134</t>
  </si>
  <si>
    <t>20L00140 : Construction of Concrete Bridge (Substructure Only) – Ma-a Bridge II, Davao City</t>
  </si>
  <si>
    <t>20GPI0006 - PURCHASE OF OFFICE SUPPLIES FOR USE AT THE PLANNING &amp; DESIGN SECTION, ADMINISTRATIVE SECTION AND QUALITY ASSURANCE SECTION</t>
  </si>
  <si>
    <t>20AF0078, CONCRETING OF BRGY. GALLANO FMR, BRGY. GALLANO ARINGAY LA UNION</t>
  </si>
  <si>
    <t>20L00043 : Construction of Concrete Road – Bypass Road at Jct. Daang Maharlika Road – Carmelite Road – Mahayag St. – Jct. Davao City Diversion Road, Davao City</t>
  </si>
  <si>
    <t>SUPPLY &amp; DELIVERY OF OPERATING ROOM LED LIGHT, AND OPERATING ROOM TABLE</t>
  </si>
  <si>
    <t>Regular Bidding 30/June/2020 - Procurement of Goods: Const'n Materials &amp; Supplies for the use of CEO (Asphalting of School Oval at Pipisan Maug NHS, Bincungan, T.C.) (PR#200-20-02-0142)</t>
  </si>
  <si>
    <t>Construction Of San Benito Multi-purpose Building</t>
  </si>
  <si>
    <t>Various vehicle spare of Isuzu Sportivo</t>
  </si>
  <si>
    <t>PROCUREMENT OF MONOBLOCK CHAIRS MIRELLA BIEGE WITH EMBOSSED MUNICIPAL SEAL</t>
  </si>
  <si>
    <t>Regular Bidding 30/June/2020 - Procurement of Goods: Const'n Materials &amp; Supplies for the use of CEO-Industrial Plant Div.(Asphalting of School Oval at Laureta HS, San Miguel,T.C.) (PR#200-20-06-0143)</t>
  </si>
  <si>
    <t>Materials for the Construction of Footwalk with Shed along San Agustin Street, Public Plaza, Cabatuan, Iloilo</t>
  </si>
  <si>
    <t>INVITATION TO BID FOR THE RENOVATION/IMPROVEMENT OF BARANGAY HALL (PHASE 1), BARANGAY DULAPO, OROQUIETA CITY</t>
  </si>
  <si>
    <t>Materials for the Installation of Speakers</t>
  </si>
  <si>
    <t>Oils and Lubricants for the Use of LGU Vehicles, Cabatuan, Iloilo</t>
  </si>
  <si>
    <t>Materials for the Concreting of Farm to Market Road, Brgy. Acao, Cabatuan, Iloilo</t>
  </si>
  <si>
    <t>Tires for the use of LGU Vehicles, Cabatuan, Iloilo</t>
  </si>
  <si>
    <t>Materials for the Construction of Mausoleum, Municipal Cemetery, Brgy. Banguit, Cabatuan, Iloilo</t>
  </si>
  <si>
    <t>Slope Protection and PCCP at Yabo River, Bgy. Carolina</t>
  </si>
  <si>
    <t>Supply and delivery of medicines</t>
  </si>
  <si>
    <t>Supply and Delivery of Materials for the Rehabilitation of Barangay Water System</t>
  </si>
  <si>
    <t>PROCUREMENT OF CONST. MATERIALS &amp; SUPPLIES FOR INST. OF ARTIFICIAL REEF AT PACLASAN &amp; SAN JOSE</t>
  </si>
  <si>
    <t>Procurement of Digital Copier and other Consumables</t>
  </si>
  <si>
    <t>SUPPLY &amp; DELIVERY OF VARIOUS LABORATORY  AND DIAGNOSTIC EQUIPMENT</t>
  </si>
  <si>
    <t>Regular Bidding 30/June/2020 - Procurement of Goods: Consolidated Portland Cement (Gen. Fund) 4,339 Bags for Various Projects in Tagum City 6 PR's</t>
  </si>
  <si>
    <t>20AH0213  Construction of Modified Standard Three (3) Storey, Six (6) Classroom School Building at Sta. Rosa Elementary School, Binmaley, Pangasinan</t>
  </si>
  <si>
    <t>Purchase of Communication Equipment</t>
  </si>
  <si>
    <t>20AH0212  Construction of Modified Standard Two (2) Storey, Four (4) Classroom School Building at Basing Elementary School, Binmaley, Pangasinan</t>
  </si>
  <si>
    <t>Regular Bidding 30/June/2020 - Procurement of Goods: Office Supplies for the use of City Budget Office (PR#100-20-06-0133)</t>
  </si>
  <si>
    <t>20AH0211  Construction of Modified Standard One (1) Storey, Two (2) Classroom School Building at Lipit Elementary School, Manaoag, Pangasinan</t>
  </si>
  <si>
    <t>20AH0210  Construction of Modified Standard Two (2) Storey, Four (4) Classroom School Building at Matalava Elementary School, Lingayen, Pangasinan</t>
  </si>
  <si>
    <t>Regular Bidding 30/June/2020 - Procurement of Goods: Const'n Materials &amp; Supplies for the use of CMO (Const'n of Wildlife Cage at Sitio Mandapaan,Balamban, T.C.) (PR#100-20-06-0127)</t>
  </si>
  <si>
    <t>Road Concreting (half-lane) and RCBC at Sta. Cruz HS Access Road, Bgy. Sta. Cruz, Naga City</t>
  </si>
  <si>
    <t>SUPPLY, DELIVERY, AND INSTALLATION OF X-RAY MACHINE</t>
  </si>
  <si>
    <t>OF CONSTN. MATERIALS FOR THE REPAIR AND MAINTENANCE OF PUB. MARKET BLDG AND C.R. AND MUNICIPAL COMPLEX</t>
  </si>
  <si>
    <t>Regular Bidding 30/June/2020 - Procurement of Goods: Const'n Materials &amp; Supplies for the use of CEO (Asphalting of School Oval at Jose Tuason Jr. Memorial NHS, Madaum, T.C.) (PR#200-20-02-0141)</t>
  </si>
  <si>
    <t>Procurement of Drugs and Medicines for Non Communicable Disease Program</t>
  </si>
  <si>
    <t>CRFPS-MOKUSAKU RICE - FARM MACHINERIES AND EQUIPMENT (FME)</t>
  </si>
  <si>
    <t>CRFPS-MUSHROOM PRODUCTION - FARM MACHINERIES AND EQUIPMENT (FME)</t>
  </si>
  <si>
    <t>PB-202001 One (1) Lot - Procurement for the Maintenance of Motor Vehicles</t>
  </si>
  <si>
    <t>SUPPLY AND DELIVERY OF VARIOUS MATERIALS FOR CAPTURE FISHERIES LIVELIHOOD PROJECTS</t>
  </si>
  <si>
    <t>Improvement of JMR Museum at J. Miranda Avenue corner Taal Avenue, Bgy. Concepcion Pequena, Naga City</t>
  </si>
  <si>
    <t>School Forms JHS</t>
  </si>
  <si>
    <t>Completion of Earthfilling and Rip-rap at Sta. Cruz HS Access Road, Bgy. Sta. Cruz, Naga City</t>
  </si>
  <si>
    <t>Repair &amp; Maintenance of School Building &amp; Facilities</t>
  </si>
  <si>
    <t>Supply and Delivery of One (1) Lot Various Garbage Bins for the Implementation of Waste Segregation in the Solid Waste Management Program</t>
  </si>
  <si>
    <t>GUSA ELEMENTARY SCHOOL</t>
  </si>
  <si>
    <t>Straight Contract for Water Project Level 2, Brgy. Cabanbanan (Old Mojon), Himamaylan City</t>
  </si>
  <si>
    <t>Straight Contract for Construction of Health Center, GIDA Area, Brgy. Carabalan, Himamaylan City</t>
  </si>
  <si>
    <t>PROCUREMENT FOR DEPED RO8 CY 2020 GENERAL SUPPLIES</t>
  </si>
  <si>
    <t>Purchase of One (1) Unit Backhoe (Brand New)</t>
  </si>
  <si>
    <t>Invitation to Bid for Concreting of San Pedro Farm to Market Road</t>
  </si>
  <si>
    <t>IMPROVEMENT/CONCRETING OF SAN VICENTE BRGY. ROAD</t>
  </si>
  <si>
    <t>Purchase of Laboratory Supplies  to be used for Rural Health Unit</t>
  </si>
  <si>
    <t>Request for Quotation for PR Number 2020-06-053: Purchase of Office Supplies to be used by Various Offices/Sections</t>
  </si>
  <si>
    <t>Straight Contract for Construction of Health Center, GIDA Area, Brgy. Buenavista, Himamaylan City</t>
  </si>
  <si>
    <t>Supply &amp; Delivery of Seven (7) units Motorcycles use for Mayor's Office &amp; Barangay Buenavista, Himamaylan City</t>
  </si>
  <si>
    <t>20OI0124: Construction/Rehabilitation of Multi-Purpose Building, Pulanglupa 1, Las Pinas City</t>
  </si>
  <si>
    <t>Regular Bidding 30/June/2020 - Procurement of Goods: Consolidated Portland Cement (Gen. Fund) 4,328 Bags for Various Projects in Tagum City 5 PR's</t>
  </si>
  <si>
    <t>SUPPLY &amp; DELIVERY OF IUD INSERTION SET</t>
  </si>
  <si>
    <t>CONSTRUCTION OF DRAINAGE AT SITIO 2 &amp; 3</t>
  </si>
  <si>
    <t>Supply, delivery, and installation of Audio Conference System for CBC</t>
  </si>
  <si>
    <t>Straight Contract for Water Project Level 3, Brgy. Cabanbanan (Bakyas), Himamaylan City</t>
  </si>
  <si>
    <t>Flood Control Project: Clearing of Waterways Sitio Culubong, San Matias</t>
  </si>
  <si>
    <t>Purchase of Materials for Barangay Development Projects - Aid to Various Barangays @ LGU - Carmen, Bohol (Second Schedule)</t>
  </si>
  <si>
    <t>Purchase of Common Office Supplies, Computer Ink and Janitorial Supplies for Stock, for Various Related Office Works (Recanvass)</t>
  </si>
  <si>
    <t>INSTALLATION OF STREET LIGHT IN BARANGAY STA. MONICA</t>
  </si>
  <si>
    <t>Supply and delivery of various hardware ans contruction supplies for repairs and maintence use</t>
  </si>
  <si>
    <t>Procurement Requirement for Repair CGSSMA</t>
  </si>
  <si>
    <t>Electro mechanical Equipments &amp; Appurtenances &amp; Electrical Wiring &amp; Control</t>
  </si>
  <si>
    <t>Straight Contract for Water Project Level 3, Brgy. Cabanbanan (Balanggaan), Himamaylan City</t>
  </si>
  <si>
    <t>Regular Bidding 30/June/2020 - Procurement of Goods: Consolidated Portland Cement (Gen. Fund) 3,238 Bags for Various Projects in Tagum City 16 PR's</t>
  </si>
  <si>
    <t>SUPPLY AND DELIVERY OF 3HP SUBMERSIBLE PUMP WITH MOTOR</t>
  </si>
  <si>
    <t>Purchase of Wrenches, Shovel and Beach Umbrella to be Used for Construction &amp; Maintenance in Engineering &amp; Construction Division (Recanvass)</t>
  </si>
  <si>
    <t>RFQ: Computer Set and Printer (PR #20-06-539)</t>
  </si>
  <si>
    <t>PROCUREMENT OF CONST. MATERIALS AND SUPPLIES IMPROVEMENT OF MTC COURT OFFICE</t>
  </si>
  <si>
    <t>Rehabilitation/Repair of Day Care Center at Bacong</t>
  </si>
  <si>
    <t>20OI0127: Construction  of Multi-Purpose Building, Brgy. Putatan, Muntinlupa City</t>
  </si>
  <si>
    <t>20OI0123:Construction of Multi-Purpose Building and other Improvement at Brgy. Talon 2, Las Pinas City</t>
  </si>
  <si>
    <t>RFQ: Trifuse IV Extension (PR #20-05-498)</t>
  </si>
  <si>
    <t>Supply of Fuel for the Third Quarter</t>
  </si>
  <si>
    <t>Supply and delivery of various IT supplies from various externally-funded project for 3rd quarter</t>
  </si>
  <si>
    <t>SUPPLY &amp; DELIVERY OF HOSPITAL EQUIPMENT AND FURNITURE</t>
  </si>
  <si>
    <t>Purchase of 56 units Jet-type Pitcher Location: Pura, Tarlac ABC: Php150,000.00</t>
  </si>
  <si>
    <t>Purchase of Fuselinks</t>
  </si>
  <si>
    <t>Local Access Road: Upgrading/Concreting of Molave Street Blue Diamond Subd., Brgy. San Vicente</t>
  </si>
  <si>
    <t>ASPHALTING OF ROAD AT CLIMACO ST., POBLACION-BARING, CARMEN, CEBU</t>
  </si>
  <si>
    <t>Supply and Delivery of Ten (10) Units of Desktop Computer with Ink Tank Printer</t>
  </si>
  <si>
    <t>Supply and Delivery of One (1) lot Various Furniture &amp; Fixtures</t>
  </si>
  <si>
    <t>Supply and Delivery of Flu Vaccine and Pneumococcal Vaccine</t>
  </si>
  <si>
    <t>Purchase of Long &amp; Office Table</t>
  </si>
  <si>
    <t>Rehabilitation of Water Supply System @ Brgy. San Pedro</t>
  </si>
  <si>
    <t>SUPPLY AND DELIVERY OF LABORATORY SUPPLIES (APHERESIS KIT FOR RED CELL-PLASMA EXCHANGE-APHERESIS KIT FOR PLATELET)</t>
  </si>
  <si>
    <t>SAAD-20-2264: Procurement of Vegetable Seeds to be used for the DA SAAD Vegetables Production Project in Siquijor Province</t>
  </si>
  <si>
    <t>Supply and Delivery of Construction Materials, Tools and Equipment to be used for the Flood Mitigation Projects 2020 in the City of San Fernando, Pampanga subject to Ordering Agreement</t>
  </si>
  <si>
    <t>Supply and Delivery of Various  Supplies and Materials for the Rehabilitation,Fabrication,Repainting of Cabinet and Long Bench of the Different Satellite Offices</t>
  </si>
  <si>
    <t>Purchase of of Flower Pot  for beautification of Public Plaza</t>
  </si>
  <si>
    <t>Purchase of Kilowatt Hour Meter &amp; Meter Base, Electrical &amp; Other Various Materials for Installation of Transformer to Increase Electric Power Supply (Recanvass)</t>
  </si>
  <si>
    <t>Various Material to be use for patching of roads Brgy. Casisang, Malaybalay City</t>
  </si>
  <si>
    <t>Supply and delivery of various IT equipment Outlay</t>
  </si>
  <si>
    <t>20OI0126:Construction  of Multi-Purpose Building, Putatan Elem. School, Brgy. Putatan, Muntinlupa City</t>
  </si>
  <si>
    <t>Procurement of Medical Laboratory Equipment</t>
  </si>
  <si>
    <t>Supply and Delivery of One (1) Airconditioning Unit and Five (5) Units of Desktop Computer</t>
  </si>
  <si>
    <t>Supply and Delivery of Main Board of Large Format Plotter Printer</t>
  </si>
  <si>
    <t>RFQ - Surgical Gloves (Size 6.5)</t>
  </si>
  <si>
    <t>Construction of Pathways of Purok Mabini and Purok Sidlak</t>
  </si>
  <si>
    <t>Supply and Delivery of Wireless Microphone</t>
  </si>
  <si>
    <t>Procurement of Advertising Services</t>
  </si>
  <si>
    <t>CONSTRUCTION OF OYSTER MUSHROOM BUILDING (PHASE 1), MUNICIPAL AGRICULTURE’S OFFICE, BARANGAY 3, SFADS</t>
  </si>
  <si>
    <t>CONSTRUCTION/REHABILITATION OF BAGO CITY HOSPITAL, BRGY. BALINGASAG, BAGO CITY</t>
  </si>
  <si>
    <t>USE IN VARIOUS CITY ACTIVITIES, BAGO CITY</t>
  </si>
  <si>
    <t>Construction of Multi-Purpose Hall at So. Catama, Bgy. Ilian, Dumaran, Palawan</t>
  </si>
  <si>
    <t>Purchase of Three (3) Units Three-Inch Thermal Printer and One (1) Unit DS4 Rugged Mobile Computer for Water Meter Reading and Printing of Statement of Accounts</t>
  </si>
  <si>
    <t>CONCRETING OF LOCAL CORE ACCESS ROAD ALONG BARANGAY 3 TO BARANGAY STA. ANA, SFADS</t>
  </si>
  <si>
    <t>Supply and delivery of materials for the construction of temporary office of the Municipal Mayor, LGU-Matanao, Davao del Sur</t>
  </si>
  <si>
    <t>Office Equipment, Supplies and Consumables</t>
  </si>
  <si>
    <t>Supply and Delivery of Cleaning Materials and Tools to be used for "Oplan Linis Daan 2020" in the City of San Fernando, Pampanga subject to Ordering Agreement</t>
  </si>
  <si>
    <t>IMPROVEMENT OF MULTI-PURPOSE BUILDING - PANDAYAN (SLAUGHTERHOUSE), SAN  JUAN, ILOCOS SUR</t>
  </si>
  <si>
    <t>20OI0125: Drainage Improvement including Rehabilitation of Road, Brgy. CAA,  Las Pinas City</t>
  </si>
  <si>
    <t>IMPROVEMENT OF MULTI-PURPOSE BUILDING (Repainting &amp; Equipping Hanging &amp; Steel Cabinets)</t>
  </si>
  <si>
    <t>Hardware Supplies</t>
  </si>
  <si>
    <t>Request for Quotation for PR Number: 2020-06-054: Purchase of Medical and Janitorial Supplies to be used for Workplace Sanitation and Basic Hygiene of Various Offices/Sections for Protection and Preve</t>
  </si>
  <si>
    <t>PURCHASE OF ONE(1) UNIT EMERGENCY RESCUE VEHICLE FOR EMERGENCY AND DISASTER RESPONSE, LA CARLOTA CITY</t>
  </si>
  <si>
    <t>Supply and Delivery of Conference Room Chairs</t>
  </si>
  <si>
    <t>Provision of Motor Vehicle, and Motorcycle (G-20-03-A)</t>
  </si>
  <si>
    <t>Rehabilitation of Water Supply Project at Bgy. Magsaysay, Dumaran, Palwan</t>
  </si>
  <si>
    <t>RFQ: Power Tools and Equipment (PR #20-05-536)</t>
  </si>
  <si>
    <t>LBP Tubod Branch Renovation (Aluminum Louver Vent)</t>
  </si>
  <si>
    <t>Supply &amp; Delivery of Construction Materials &amp; Supplies for fabrication and installation of Isolation Facility Partition &amp; Electrical Works (OCES).</t>
  </si>
  <si>
    <t>Procurement of Spare Parts and Accessories</t>
  </si>
  <si>
    <t>Supply, delivery, installation CCTV System for BDD</t>
  </si>
  <si>
    <t>1.	Rehabilitation/Improvement of Provincial Road at Brgy. Dalima, Tuy, Batangas</t>
  </si>
  <si>
    <t>Procurement of Fuel &amp; Lubricants (Diesel)</t>
  </si>
  <si>
    <t>Vehicles</t>
  </si>
  <si>
    <t>Supply and delivery including commissioning of mobile shredder with hand tractor with trailer</t>
  </si>
  <si>
    <t>Improvement of Municipal Fitness Center</t>
  </si>
  <si>
    <t>PURCHASE &amp; DELIVERY OF JETMATIC PUMP</t>
  </si>
  <si>
    <t>Supply &amp; Delivery of Four (4) units Mist Blower for use in COVID-19 Pandemic Operations in Maasin City (CMO-CDRRMO).</t>
  </si>
  <si>
    <t>2.	Construction of Barangay / Farm to Market Road at Brgy. Prenza, Lian, Batangas</t>
  </si>
  <si>
    <t>Replacement of Polycarbonate Roofing of PBBD Screenhouse (Drought Tolerance Program) at PhilRice Central Experiment Station (2020-06-1122)</t>
  </si>
  <si>
    <t>Supply and Delivery of One (1) lot  Various Materials for the Rehabilitation of Fish Sanctuaries</t>
  </si>
  <si>
    <t>CPAR-20-2201: Procurement of Various Agricultural Supplies to be used as support in the project implementation of the Community-based Participatory Action Research (CPAR) Project..</t>
  </si>
  <si>
    <t>INVITATION TO BID FOR THE PURCHASE OF BRANDNEW EMERGENCY TRANSPORT VEHICLE</t>
  </si>
  <si>
    <t>Supply and Delivery of Office Supplies, Consumables &amp; Engineering Supplies</t>
  </si>
  <si>
    <t>CONSTRUCTION OF SOLAR STREETLIGHTS AT BGY. BELEN, GOA, CAMARINES SUR.</t>
  </si>
  <si>
    <t>PROVISION OR LABOR AND MATERIALS FOR THE REPAIR OF THE PROPOSED INTERNET TECH4ED CENTER, TUGUEGARAO, CAGAYAN</t>
  </si>
  <si>
    <t>Purchase of Office Supplies for use in the Planning and Design Section charge to 2020 PDE funds.</t>
  </si>
  <si>
    <t>SUPPLY &amp; DELIVERY OF ULTRASOUND SCANNER MACHINE  WITH TRANS-VAGINAL PROBE</t>
  </si>
  <si>
    <t>PROVISION OR LABOR AND MATERIALS FOR THE REPAIR OF THE PROPOSED SPACE FOR POP AT VIGAN CITY, ILOCOS SUR</t>
  </si>
  <si>
    <t>Construction of Multi-Purpose Hall at Bgy. Catep, Dumaran, Palawan</t>
  </si>
  <si>
    <t>20FE0124 – CONSTRUCTION OF CLASSROOMS, PAMPLONA NHS, PAMPLONA, CAMARINES SUR</t>
  </si>
  <si>
    <t>9.	Construction of Barangay / Farm to Market Road at Brgy. Balete, Batangas City</t>
  </si>
  <si>
    <t>5.	Construction of Barangay / Farm to Market Road at Brgy. Caloocan, Balayan, Batangas</t>
  </si>
  <si>
    <t>PROVISION OR LABOR AND MATERIALS FOR THE REHABILITATION OF PROPOSES SPACE FOR POP ROOM AND TECH4ED CENTER AT TABUK, KALINGA</t>
  </si>
  <si>
    <t>PURCHASE OF PHOTOCOPYING MACHINE FOR USE IN THE OFFICE OF THE MUNICIPAL TREASURER-LGU CATANAUAN, QUEZON</t>
  </si>
  <si>
    <t>small value procuremnet of Faulty Electrical Wirings</t>
  </si>
  <si>
    <t>CONSTRUCTION OF PANURAN-SITIO AGILAN-TABULWANG ACCESS ROAD OF PENRO, ILOILO</t>
  </si>
  <si>
    <t>CONSTRUCTION OF CANAUILLIAN HANGING BRIDGE OF PENRO, Iloilo</t>
  </si>
  <si>
    <t>8.	Construction of Barangay / Farm to Market Road at Brgy. Banaba West, Batangas City</t>
  </si>
  <si>
    <t>ARDA: 1 UNIT REFRIGERATOR-1 UNIT LEATHER OFFICE EXECUTIVE CHAIR, FOR THE USE AT THE OFFICE OF THE ASSISTANT REGIONAL DIRECTOR FOR ADMIN</t>
  </si>
  <si>
    <t>Supply and Delivery of Medical Supplies and CBC Reagents to be used at City Health Office for 1st Semester of 2020 in the City of San Fernando, Pampanga</t>
  </si>
  <si>
    <t>7.	Construction of Barangay / Farm to Market Road at Brgy. Durungao, San Luis, Batangas</t>
  </si>
  <si>
    <t>2 Lots Adobe Creative Cloud Complete &amp; 19 Lots Windows 10 Pro (64 Bit)</t>
  </si>
  <si>
    <t>6.	Construction of Street Lighting System at Brgy. Magahis, Tuy, Batangas</t>
  </si>
  <si>
    <t>Supply and Delivery of One (1) Unit Laptop</t>
  </si>
  <si>
    <t>Hygiene Kit Assistance for Senior Citizens</t>
  </si>
  <si>
    <t>Supply and Delivery of Four (4) Units AED Plus Defibrillator with Complete Set of Accessories for the PRFS</t>
  </si>
  <si>
    <t>Construction of Water System</t>
  </si>
  <si>
    <t>Supply and Delivery of Plumbing Materials to be used at Various Barangay for 2020 in the City of San Fernando, Pampanga</t>
  </si>
  <si>
    <t>Purchase of Groceries for Livelihood Starter Kits for the parents of child labor</t>
  </si>
  <si>
    <t>Supply &amp; Delivery of 2-sets High Volume Low Speed Fan</t>
  </si>
  <si>
    <t>Drilling of Water System</t>
  </si>
  <si>
    <t>Supply and Delivery of Brand New Bedding Sets</t>
  </si>
  <si>
    <t>3.	Construction of Barangay / Farm to Market Road at Brgy. Catandaan, Nasugbu, Batangas</t>
  </si>
  <si>
    <t>Installation of Streetlight</t>
  </si>
  <si>
    <t>Construction of Drainage System Phase 1 at Poblacion</t>
  </si>
  <si>
    <t>PROCUREMENT OF SUPPLIES AND MATERIALS FOR THE CONSTRUCTION OF EVACUATION CENTER PHASE-1 AT BALAYNAN, GOA, CAMARINES SUR.</t>
  </si>
  <si>
    <t>SUPPLY AND DELIVERY OF OFFICE EQUIPMENTS</t>
  </si>
  <si>
    <t>SUPPLY AND DELIVERY OF DENTAL SET, AND DENTAL UNIT</t>
  </si>
  <si>
    <t>SUPPLY OF MATERIALS FOR THE PROPOSED ROAD CONCRETING AT SITIO-DALANAWAN, BARANGAY CATANG, ARGAO, CEBU</t>
  </si>
  <si>
    <t>SUPPLY &amp; DELIVERY OF WEIGHING SCALE (ADULT AND INFANT)</t>
  </si>
  <si>
    <t>Rehabilitation of Multi-Purpose (Phase III)</t>
  </si>
  <si>
    <t>Purchase of Office Chair and table</t>
  </si>
  <si>
    <t>ITDI-200222_REBID - SUPPLY AND DELIVERY OF INDUSTRIAL MULTIMETER</t>
  </si>
  <si>
    <t>Supply and Delivery of Medical and Dental Supplies</t>
  </si>
  <si>
    <t>ITDI-200213_REBID - SUPPLY AND DELIVERY OF VARIOUS LABORATORY SUPPLIES</t>
  </si>
  <si>
    <t>ITDI-200188_REBID - SUPPLY AND DELIVERY OF 6 BAY NETWORK ATTACHED STORAGE</t>
  </si>
  <si>
    <t>SUPPLY AND DELIVERY OF ONE (1) – UNIT RESCUE VEHICLE</t>
  </si>
  <si>
    <t>Supply and Delivery of Various Inks and Toner</t>
  </si>
  <si>
    <t>PROCUREMENT AND DELIVERY OF PPE</t>
  </si>
  <si>
    <t>RFQ - Examination Gloves (Large)</t>
  </si>
  <si>
    <t>4.	Construction of Water Supply System, Drilling of Production Well, Installation of Submersible Pump and Construction of Elevated Water Tank at Brgy. Mataas na Bayan, Lemery, Batangas</t>
  </si>
  <si>
    <t>SUPPLY &amp; DELIVERY OF PHOTOTHERAPY UNIT</t>
  </si>
  <si>
    <t>12.	Construction of Footbridge at Brgy. Tabangao-Ambulong (Phase II), Batangas City</t>
  </si>
  <si>
    <t>CONSTRUCTION OF DRAINAGE SYSTEM (ZONE 2)</t>
  </si>
  <si>
    <t>OFFICE SUPPLIES EXPENSES</t>
  </si>
  <si>
    <t>Supply and Delivery of IT Equipment to be used for the Preparation of Schedule of Market Values and Conduct of General Revision of Real Property Assessments in the City of San Fernando, Pampanga</t>
  </si>
  <si>
    <t>Hauling Services for the Shipment of 150 KVA Power Transformer from Sacol DPP to MRMD, Muntinlupa City, Metro Manila (S3-SCL20-022)</t>
  </si>
  <si>
    <t>11.	Construction/Completion of Multi-Purpose Covered Court at Brgy. San Martin (Phase II), San Luis, Batangas</t>
  </si>
  <si>
    <t>SUPPLY &amp; DELIVERY OF VENTILATOR</t>
  </si>
  <si>
    <t>ITDI-200226_REBID - SUPPLY AND DELIVERY OF DISPOSABLE SURGICAL MASK</t>
  </si>
  <si>
    <t>Supply and delivery  of materials for the completion of multi-purpose hall/installation of floor tiles in barangay Cansiwang, Guindulman, Bohol.</t>
  </si>
  <si>
    <t>CONSTRUCTION OF CARATAGAN IRRIGATION PIPELINE SYSTEM OF PENRO, ILOILO</t>
  </si>
  <si>
    <t>Upgrading of 3 units computer</t>
  </si>
  <si>
    <t>ITDI-200184_REBID - SUPPLY AND DELIVERY OF VACUUM LOW SHEAR MIXER</t>
  </si>
  <si>
    <t>SUPPLY &amp; DELIVERY OF 1,424 LITERS ORGANIC FOLIAR FERTILIZER FOR DISTRIBUTION TO FARMERS UNDER FY 2019 SAAD PROGRAM</t>
  </si>
  <si>
    <t>17.	Construction of Barangay / Farm to Market Road at Brgy. Cale (Asphalt Overlay), Tanauan City, Batangas</t>
  </si>
  <si>
    <t>Construction of 9 Units Led Streetlights</t>
  </si>
  <si>
    <t>16.	Construction of Multi-Purpose Covered Court at Brgy. Tayuman, Lobo, Batangas</t>
  </si>
  <si>
    <t>Rental of Service Vehicle for use in the Supervision of Maintenance  Activities along Makilala-Ala Valley Rd. and Kidapawan-Calunasan-Mlang  Road (Makilala-Sinkatulan Sect.; Kidapawan-Calunasan Sect.)</t>
  </si>
  <si>
    <t>15.	Construction of Multi-Purpose Covered Court at Brgy. San Pedro, Bauan, Batangas</t>
  </si>
  <si>
    <t xml:space="preserve">Printing and Delivery of Newsletter to be used for Information Dissemination of the City's Projects, Programs and Activities for the 1st Semester of 2020 in the City of San Fernando, Pampanga subject </t>
  </si>
  <si>
    <t>Supply and delivery of materials for the installation of streetlighting in Barangay Guio-ang, Guindulman, Bohol.</t>
  </si>
  <si>
    <t>18.	Construction of Canal/Drainage System, Seawall, Riprapping at Brgy. Luyos, Tanauan City, Batangas</t>
  </si>
  <si>
    <t>Procurement of Three(3) units Motorcycles to be used for Mayor's/Engineering/Building Office and Municipal Agriculturist Office, Municipality of Balasan</t>
  </si>
  <si>
    <t>SUPPLY &amp; DELIVERY OF VARIOUS MEDICAL EQUIPMENT</t>
  </si>
  <si>
    <t>Rental of Service Vehicle for use in the Supervision of Maintenance Activities along Pob.Magpet-Nowa-Basak-Greenfield Rd. (Pob.Magpet-Greenfield Sect.) (July 3 - 15, 2020) (Equipment Rental Only)</t>
  </si>
  <si>
    <t>PROCUREMENT OF FURNITURE’S</t>
  </si>
  <si>
    <t>Procurement of Medicines, Medical and Dental Supplies</t>
  </si>
  <si>
    <t>CONSTRUCTION OF 3-barrel box culvert , BRGY. SAN ROQUE</t>
  </si>
  <si>
    <t>Rental of Service Vehicle for use in the Supervision of Maintenance  Activities along Paco-Roxas-Arakan Valley Rd. (Antipas-Katipunan Sect.) (July 3 - 15, 2020) (Equipment Rental Only)</t>
  </si>
  <si>
    <t>Provision of Electrical Layout for Offsite ATM at LGU Baggao as proposed by LBP Tuguegarao Capitol Branch</t>
  </si>
  <si>
    <t>Fuel for the use of RSCC 3 Vehicles/ Generator/ Lawn Mower intended for RSCC Residents for 2nd Semester 2020</t>
  </si>
  <si>
    <t>Supply and Delivery of Office Supplies for VSU External Campuses-REBID</t>
  </si>
  <si>
    <t>20.	Construction of Barangay / Farm to Market Road at Brgy. Inosluban, Lipa City, Batangas</t>
  </si>
  <si>
    <t>CCTV Camera</t>
  </si>
  <si>
    <t>19.	Construction of Barangay / Farm to Market Road at Brgy. Marawoy, Lipa City, Batangas</t>
  </si>
  <si>
    <t>Construction of Manpower Development Center at Bgy. Itangil, Dumaran, Palawan</t>
  </si>
  <si>
    <t>21.	Construction of Barangay / Farm to Market Road at Brgy. Bulihan, Rosario, Batangas</t>
  </si>
  <si>
    <t>20GG00018 - Procurement of Pest Control Treatment of DPWH Buildings and Disinfection Premises and Working Area, DPWH Regional Office VI, Iloilo City</t>
  </si>
  <si>
    <t>Improvement of Multi-Purpose Hall</t>
  </si>
  <si>
    <t>Rental of Service Vehicle for use in the Supervision of Routine Maintenance Activities along Davao-Cotabato Rd. (Bulatukan – East Patadon Section) (July 3 - 15, 2020) (Equipment Rental Only)</t>
  </si>
  <si>
    <t>22.	Construction of Barangay / Farm to Market Road at Brgy. Malaya, Rosario, Batangas</t>
  </si>
  <si>
    <t>INSTALLATION OF SOLAR STREETLIGHTS AT BARANGAY POBLACION, ROSARIO, CAVITE</t>
  </si>
  <si>
    <t>SUPPLY &amp; DELIVERY OF OFFICE FURNITURE AND FIXTURES FOR USE OF SAAD PROGRAM RPMO AND PPMO FOR FY 2020</t>
  </si>
  <si>
    <t>Furnishing of Labor and Materials for the rehabilitation of Barangay Hall, Barangay Anupul, Bamban,Tarlac</t>
  </si>
  <si>
    <t>HAULING, TRANSFER AND DISPOSAL OF SOLID WASTE FROM TRANSFER STATION TO A LICENSED SANITARY LANDFILL FACILITY INCLUDING OPERATION AND MAINTENANCE OF TRANSFER STATION AT STA ROSA II. (FOR THE MONTH OF J</t>
  </si>
  <si>
    <t>FOR THE SUPPLY AND DELIVERY OF ICT SUPPLIES AND OTHER PERIPHERALS OF EMB REGION VI CY 2020 (RE-BID)</t>
  </si>
  <si>
    <t>27.	Construction of Canal/Drainage System, Seawall, Riprapping at Brgy. Pag-olingin Bata, Lipa City, Batangas</t>
  </si>
  <si>
    <t>PURCHASE OF SPARE PARTS OF VEHICLES</t>
  </si>
  <si>
    <t>25.	Construction of Barangay / Farm to Market Road at Brgy. San Roque, Rosario, Batangas</t>
  </si>
  <si>
    <t>24.	Construction of Barangay / Farm to Market Road at Brgy. Natu, Rosario, Batangas</t>
  </si>
  <si>
    <t>Drilling Service for the Construction / Rehabilitation of Potable Water System</t>
  </si>
  <si>
    <t>20GFN0005 Furnishing and delivery of Materials for use in the Planning &amp; Design Section – CY 2020 Gender and Development (GAD) Expenditures in DPWH Camarines Sur 5th DEO, Sta. Teresita, Baao, Camarine</t>
  </si>
  <si>
    <t>PROCUREMENT OF TWO THOUSAND (2,000) BAGS CERTIFIED SEEDS</t>
  </si>
  <si>
    <t>Supply, Delivery, Installation and Testing of Cotton Ginning and Baling Equipment</t>
  </si>
  <si>
    <t>Negotiated Procurement for Multi-Purpose Vehicle</t>
  </si>
  <si>
    <t>Rental of Service Vehicle for use in the Supervision of Maintenance Activities along Paco-Roxas-Arakan Valley Road and Matalam- Lampayan-Antipas Rd. (Paco-Antipas Section and Antipas Sect. (July 3 - 1</t>
  </si>
  <si>
    <t>Rental of Service Vehicle for use in the Supervision of Maintenance Activities along Kidapawan-Ilomavis Tourist Rd and Kidapawan-Magpet-Pangao-an Rd.  (Kidapawan-Sayaban Sect.; Kidapawan-Magpet Sect.)</t>
  </si>
  <si>
    <t>PURCHASE OF TWO (2) UNITS MOTORCYCLES FOR MONITORING PURPOSES</t>
  </si>
  <si>
    <t>20GFN0007 FURNISHING AND DELIVERY OF CONSTRUCTION SUPPLIES, CONSTRUCTION EQUIPMENT/DEVICE, MEDICAL SUPPLIES, OTHER SUPPLIES &amp; CONSTRUCTION TOOLS FOR USE IN THE MAINTENANCE SECTION, DPWH, CAMARINES 5TH</t>
  </si>
  <si>
    <t>23.	Construction of Barangay / Farm to Market Road at Brgy. Cahigam, Rosario, Batangas</t>
  </si>
  <si>
    <t>29.	Construction/Completion of Multi-Purpose                           Covered Court at Brgy. San Isidro (Phase II), Rosario, Batangas</t>
  </si>
  <si>
    <t>SUPPLY &amp; DELIVERY OF FOUR (4) UNITS MECHANICAL REAPER FOR IMPLEMENTATION UNDER 2020 SAAD</t>
  </si>
  <si>
    <t>Rebidding of the requirement To hire contractor to provide materials, labor, and equipment for the “Construction of River Control Barangay Butong, Manjuyod, Negros Oriental” (B-86-2020)</t>
  </si>
  <si>
    <t>Purchase of Various Electrical Supplies</t>
  </si>
  <si>
    <t>215 Inc Phosphide</t>
  </si>
  <si>
    <t>Improvement of Local Access Roads/Drainage Canal with Paved Shoulders</t>
  </si>
  <si>
    <t>Rental of Service Vehicle for Supervision/Implementation of Regular Infra Projects (July 1 - 15, 2020) (Equipment Rental Only), (4x4 Pick-Up type A/T)</t>
  </si>
  <si>
    <t>28.	Construction of Canal/Drainage System, Seawall, Riprapping at Brgy. Pangao, Lipa City, Batangas</t>
  </si>
  <si>
    <t>REPAIR AND MAINTENANCE OF GOVERNMENT VEHICLES (GRADER)</t>
  </si>
  <si>
    <t>35 sht. 10mm thick 4x8 Marine Plywood</t>
  </si>
  <si>
    <t>PROCUREMENT OF LABORATORY SUPPLIES FOR MCH</t>
  </si>
  <si>
    <t>Procurement of One-Shot Assistance for the Marginalized Families</t>
  </si>
  <si>
    <t>small value for procurement of medecines and wash in school</t>
  </si>
  <si>
    <t>SUPPLY, DELIVERY AND INSTALLATION OF VARIOUS IT EQUIPMENTS FOR THE OFFICE OF THE MUNICIPAL ENGINEER</t>
  </si>
  <si>
    <t>20GFN0006 Furnishing of Fuel Oil &amp; Lubricants for use in Service Vehicles and Equipment assigned in Maintenance, Planning &amp; Design, Construction, Quality Assurance Section &amp; Gender and Development (GA</t>
  </si>
  <si>
    <t>Bid No. 20-0311 - PROCUREMENT OF OFFICE SUPPLIES - MEO OPERATIONS</t>
  </si>
  <si>
    <t>Procurement of Materials in the Installation/Rehabilitation of Streetlight System Along National Road &amp; Provincial Road</t>
  </si>
  <si>
    <t>SUPPLY AND DELIVERY OF TB MEDS AND FAMILY PLANNING SUPPLIES</t>
  </si>
  <si>
    <t>SUPPLY AND DELIVERY OF ANTI RABIES VACCINE</t>
  </si>
  <si>
    <t>PROCUREMENT OF OFFICE SUPPLIES FOR MCH</t>
  </si>
  <si>
    <t>14.	Construction of Multi-Purpose Hall at Brgy. Tejero, San Luis, Batangas</t>
  </si>
  <si>
    <t>Supply and Delivery of Printer &amp; Consumables Supplies</t>
  </si>
  <si>
    <t>Procurement of Services under P.R.Nos. 2455-2020(SP Rosario-Committee on Infrastructure Development),etc.-1Lot</t>
  </si>
  <si>
    <t>PURCHASE OF HANDHELD RADIO WITH BASE  FOR  RHU, Buruanga, Aklan</t>
  </si>
  <si>
    <t>Labor and Materials for the Construction of Public Toilet</t>
  </si>
  <si>
    <t>Supply &amp; Delivery of Five (5) units Portable Toilet with sink for use in Isolation/Quarantine area during Panedmic or Disaster (CMO).</t>
  </si>
  <si>
    <t>Purchase of Handheld Radio</t>
  </si>
  <si>
    <t>Suppyly of BSTFA + TMCS, 99:1_PR 10921</t>
  </si>
  <si>
    <t>Supply and Delivery of Four (4) 2HP Window Type Inverter and One (1) 3TR Ceiling Mounted Inverter Airconditioning Units with Installation Cost at the Court Rooms at Traffic Adjudication Division</t>
  </si>
  <si>
    <t>Supply and Delivery of Materials for Improvement of Waterworks system</t>
  </si>
  <si>
    <t>ITDI-200138_REBID - SUPPLY AND DELIVERY OF DATA FILE FOLDER</t>
  </si>
  <si>
    <t>RE-INVITATION TO BID FOR THE CONSTRUCTION OF ATIMONAN IRRIGATION PIPELINE SYSTEM OF PENRO, ILOILO</t>
  </si>
  <si>
    <t>CONSTRUCTION OF HANGING BRIDGE PHASE II</t>
  </si>
  <si>
    <t>Package 03 -2020: Vehicle Rental Services of Eighteen (18) Units Vehicle with Tracker (Global Positioning System) for the Year 2020</t>
  </si>
  <si>
    <t>PURCHASE OF ONE (1) UNIT BRAND NEW HIGH LEVEL MODEL AMBULANCE WITH COMPLETE EQUIPMENT AND ACCESSORIES- 2nd POSTING</t>
  </si>
  <si>
    <t>Procurement of Communication Equipment &amp; Accessories for MDRRM Office</t>
  </si>
  <si>
    <t>SUPPLY AND DELIVERY OF WALL FANS FOR ALL PUBLIC ELEMENTARY AND SECONDARY SCHOOLS IN MAKATI CITY</t>
  </si>
  <si>
    <t>SUPPLY AND DELIVERY OF CUSTOMIZED ON-THE-GO (OTG) FLASHDRIVES FOR DISTRIBUTION TO ALL PUBLIC ELEMENTARY AND SECONDARY STUDENTS, TEACHERS AND TEACHING RELATED PERSONNEL IN MAKATI CITY</t>
  </si>
  <si>
    <t>32.	Construction of Street Lighting System at Brgy. Inosluban, Lipa City, Batangas</t>
  </si>
  <si>
    <t>Labor and Materials for the Construction of Concrete Bleachers</t>
  </si>
  <si>
    <t>Third-party Audit for NEDA-X’s re-certification to ISO 9001:2015 standard</t>
  </si>
  <si>
    <t>13.	Construction of Evacuation Center at Brgy. Aplaya (Phase III), Bauan, Batangas</t>
  </si>
  <si>
    <t>Rental of Service Vehicle for Use in the Soil Survey &amp; Supervision of Various Projects within the District (July 1 - 15, 2020) (Equipment Rental Only)</t>
  </si>
  <si>
    <t>Catering Service Provider - 3rd Quarter of Year 2020</t>
  </si>
  <si>
    <t>10.	Construction/Completion of Multi-Purpose Covered Court at Brgy. Dulangan (Phase II),                                      San Luis, Batangas</t>
  </si>
  <si>
    <t>20OF0318 Construction of four (4) storey twelve (12) classroom School Building at Lucas R. Pascual E/S, Q.C.</t>
  </si>
  <si>
    <t>Reproduction of Modules</t>
  </si>
  <si>
    <t>26.	Construction of Barangay / Farm to Market Road at Brgy. Maalas-as, Rosario, Batangas</t>
  </si>
  <si>
    <t>SUPPLY AND DELIVERY OF CUSTOMIZED WASHABLE/REUSABLE CLOTH FACE MASKS WITH POUCH FOR DISTRIBUTION TO ALL PUBLIC ELEMENTARY AND SECONDARY STUDENTS IN MAKATI CITY</t>
  </si>
  <si>
    <t>20OF0317 Construction of four (4) storey sixteen (16) classroom School Building at Rosa L. Susano E/S, Q.C.</t>
  </si>
  <si>
    <t>Installation of Tow Hitch Receiver</t>
  </si>
  <si>
    <t>Procurement of Drugs &amp; Medicines for LGU Jimenez</t>
  </si>
  <si>
    <t>22 rolls HDPE Pipe 1" x 90m -CTS / SDR11</t>
  </si>
  <si>
    <t>30.	Construction of Street Lighting System at Brgy. Quezon, Lipa City, Batangas</t>
  </si>
  <si>
    <t>20FF0098 - Construction of Multi-Purpose Building, Brgy. San Isidro, Magarao, Camarines Sur</t>
  </si>
  <si>
    <t>RFQ-NP-SVP-re180-2020-Procurement of Supplies and Materials for Repair of 22KW3P Submersible Pump</t>
  </si>
  <si>
    <t>SUPPLY AND DELIVERY OF GENERAL MERCHANDISE FOR VARIOUS PURCHASE REQUEST OF THE CITY UNDER SMALL VALUE PROCUREMENT</t>
  </si>
  <si>
    <t>Semi-Expendable Furniture and Fixture</t>
  </si>
  <si>
    <t>2 units Laptop</t>
  </si>
  <si>
    <t>Contract Labor and Materials for the Construction of Concrete Reservoir - BLGU Kaligutan, Laak, Davao De Oro</t>
  </si>
  <si>
    <t>31.	Construction of Street Lighting System at Brgy. Marawoy, Lipa City, Batangas</t>
  </si>
  <si>
    <t>Concreting of Roads at Bgy. Poblacion, Dumaran, Palawan</t>
  </si>
  <si>
    <t>CONSTRUCTION MATERIALS FOR THE IMPROVEMENT OF STAGE @ PRK. UPPER LIBERTAD, BRGY. TOPLAND, CITY OF KORONADAL</t>
  </si>
  <si>
    <t>UPGRADING AND REHABILITATION OF DAMAGED PAVED ROADS AND DRAINAGE CANAL</t>
  </si>
  <si>
    <t>One (1) lot Work Environment Measurement</t>
  </si>
  <si>
    <t>20OF0319 Construction of four (4) storey twelve (12) classroom School Building at Placido Del Mundo E/S, Q.C.</t>
  </si>
  <si>
    <t>Purchase of Office Equipment for Office use of OLCS</t>
  </si>
  <si>
    <t>RFQ for the Supply and Delivery of regular IT Supplies for PRO III use for the 3rd and 4th Qtr 2020</t>
  </si>
  <si>
    <t>TO PROVIDE ESSENTIAL MEDICINES FOR MENTALLY CHALLENGED PERSONS</t>
  </si>
  <si>
    <t>20FE0125 – CONSTRUCTION OF CLASSROOMS, TINANQUIHAN PS, LIBMANAN, CAMARINES SUR</t>
  </si>
  <si>
    <t>Procurement of Security Services for the Provincial Satellite Office (PSAO), Ozamiz City</t>
  </si>
  <si>
    <t>MOOE JULY 2020 OBJECT CLASS 781</t>
  </si>
  <si>
    <t>ROAD CONCRETING OF PUROK 2</t>
  </si>
  <si>
    <t>Stack Emission Testing</t>
  </si>
  <si>
    <t>Labor for Aircondition Unit Installation</t>
  </si>
  <si>
    <t>Purchase of Multicab</t>
  </si>
  <si>
    <t>SUPPLY OF GASOLINE FOR GOVERNMENT VEHICLES FOR 3RD QTR. CY 2020</t>
  </si>
  <si>
    <t>ICT EQUIPMENT AND SUPPLIES</t>
  </si>
  <si>
    <t>20OF0320 Construction of Retaining Wall at Kaligayahan E/S, Q.C.</t>
  </si>
  <si>
    <t>Labor and Materials for the Construction of the City of San Fernando Town Center Esplanade at City Town Center, Calulut, City of San Fernando, Pampanga</t>
  </si>
  <si>
    <t>Supply and Delivery of High-End Branded and Brand New Desktop PC with Monitor and Application Software</t>
  </si>
  <si>
    <t>Rental of service Vehicle for RBIA Survey Activities charge to PDE fund 2020 (July 1 - 15, 2020)</t>
  </si>
  <si>
    <t>20GFN0008 FURNISHING AND DELIVERY OF COMMON OFFICE DEVICE AND EQUIPMENT FOR USE AT THE EMPLOYEES QUARTER AND LOBBY IN DPWH, CAMARINES 5TH DISTRICT ENGINEERING OFFICE, STA. TERESITA, BAAO, CAMARINES SU</t>
  </si>
  <si>
    <t>CONSTRUCTION MATERIALS FOR 7-UNITS HOUSING PROJECT</t>
  </si>
  <si>
    <t>PRINTING/REPRODUCTION OF SELF-DIRECTED LEARNER'S MODULES FOR ALL PUBLIC ELEMENTARY AND SECONDARY SCHOOLS IN MAKATI CITY</t>
  </si>
  <si>
    <t>Negotiated Procurement for Passenger Van</t>
  </si>
  <si>
    <t>Supply and Delivery of Filling Materials to be used for the Land Development of the City Town Center (Embankment) Phase III at Calulut, City of San Fernando, Pampanga</t>
  </si>
  <si>
    <t>PURCHASE OF MATERIALS FOR THE CONSTRUCTION OF LINE CANAL AND STORM DRAINAGE @ POBLACION</t>
  </si>
  <si>
    <t>33.	Construction of Street Lighting System at Brgy. San Celestino, Lipa City, Batangas</t>
  </si>
  <si>
    <t>PUBLIC BIDDING FOR THE SUPPLY AND DELIVERY OF FAMILY PLANNING COMMODITIES (LINE ITEM)</t>
  </si>
  <si>
    <t>Supply and Delivery of Piston w/ Ring &amp; Piston Liner ( A-061-0061-20 )</t>
  </si>
  <si>
    <t>CRN 029- CONST/SPORTS PARK-WPULO-TF-INFRA-2020</t>
  </si>
  <si>
    <t>20FE0126 – CONSTRUCTION OF CLASSROOMS, MALITBOG ES, MINALABAC, CAMARINES SUR</t>
  </si>
  <si>
    <t>20OF0321 Construction/Rehabilitation of Multi-Purpose Building, Vargas Compound, Brgy. Culiat, Q.C.</t>
  </si>
  <si>
    <t>Purchase of Materials for the Const. of Water Shield Toilet, Brgy. Jayubo, Lambunao, Iloilo</t>
  </si>
  <si>
    <t>20 pcs. Dishwashing</t>
  </si>
  <si>
    <t>34.	Construction of Street Lighting System at Brgy. Pag-olingin East, Lipa City, Batangas</t>
  </si>
  <si>
    <t>Purchase of IT Equipment for Office use of OCLS</t>
  </si>
  <si>
    <t>35.	Construction of Street Lighting System at Brgy. Masaya, Rosario, Batangas</t>
  </si>
  <si>
    <t xml:space="preserve">Rebidding:1 unit Concrete Lamp Post w/ ionic 3 wing capital (for Quezon Park) and other items for 1st Revision-rehabilitation/improvement/installation of electrical system of government buildings and </t>
  </si>
  <si>
    <t>Medical Supplies - (7th) PERSONAL PROTECTIVE EQUIPMENT KIT</t>
  </si>
  <si>
    <t>Rehabilitation of Flood Mitigation Structures along Pasig – Potrero River Upstream of SCTEX Bridge (Phase 1), Sta. 0+000 – Sta. 0+275.95 Porac Pampanga</t>
  </si>
  <si>
    <t>100 sacks Cement</t>
  </si>
  <si>
    <t>Supply and Delivery of Brass and Gi Street Elbow 1/2" Fittings ( F-031-0396-20 )</t>
  </si>
  <si>
    <t>Request for Quotation</t>
  </si>
  <si>
    <t>Emergency Quick Response for CY 2020 (Ambulance Rescue)</t>
  </si>
  <si>
    <t>ITB - Procurement of Meals and Snacks</t>
  </si>
  <si>
    <t>37.	Repair of Putat - Papaya Provincial Road (Cavite Bdry.), Nasugbu, Batangas (Bridge approach and Riprapping)</t>
  </si>
  <si>
    <t>Supply and Delivery of Water Meter 1/2" diam. ( F-046-0411-20 )</t>
  </si>
  <si>
    <t>REPAIR / REHABILITATION OF MULTI-PURPOSE PAVEMENT</t>
  </si>
  <si>
    <t>20G00099 - Repair/Maintenance of DPWH Buildings, Regional Office</t>
  </si>
  <si>
    <t>DRUGS AND MEDICINES FOR BOTIKA NG BAYAN</t>
  </si>
  <si>
    <t>PURCHASE OF MATERIALS FOR THE CONSTRUCTION OF PERIMETER FENCE AT MUNICIPAL AGRICULTURAL DEMO FARM</t>
  </si>
  <si>
    <t>Labor and Materials for Completion of Line Canal, Purok Yellow Bell, Brgy. Taluya, Glan, Sarangani Province.</t>
  </si>
  <si>
    <t>SAAD-20-0980(R1): Procurement of Jute Sacks to be used for the DA SAAD Peanut Production Project in Siquijor Province</t>
  </si>
  <si>
    <t>36.	Construction of Street Lighting System at Brgy. Sabang, Ibaan, Batangas</t>
  </si>
  <si>
    <t>Labor for the Installation of Glass Office Cubicle and Tables</t>
  </si>
  <si>
    <t>CPAR-20-2200: Procurement of Other Supplies to be used as support in the project implementation of the Community-based Participatory Action Research (CPAR) Project in Valencia, Negros Oriental</t>
  </si>
  <si>
    <t>SUPPLY, DELIVERY AND INSTALLATION OF FLOOR MOUNTED AIR-CONDITIONING UNIT</t>
  </si>
  <si>
    <t>20OF0322 Construction of Multi-Purpose Building (Novaliches Convention and Sports Center), Phase I, Brgy. Fairview, Q.C.</t>
  </si>
  <si>
    <t>Purchase of Grocery Items to be used in Bahay Pag-Asa and Home for the Aged</t>
  </si>
  <si>
    <t>Supply and Delivery of Brass and Gi Fittings ( F-039-0404-20 )</t>
  </si>
  <si>
    <t>ELECTRIFICATION OF MATERIALS RECOVERY FACILITY-PROPOSED SANITARY LANDFILL, BRGY. GABOC, MERCEDES, CAMARINES NORTE-2nd Posting</t>
  </si>
  <si>
    <t>Rental of Service Vehicle for Supervision various Projects, Makilala, Cotabato (July 1 - 15, 2020) (Equipment Rental Only), (4x4 Pick-Up)</t>
  </si>
  <si>
    <t>Supply and Delivery of materials for the Construction of Concrete Water Tank at Bgy. Capayas, Dumaran, Palawan</t>
  </si>
  <si>
    <t>ILD-20-1786(R1): Validation of Fumehoods to be used to prolong the Lifespan of the Laboratory Equipment</t>
  </si>
  <si>
    <t>Bid No. 20-0312 - PROCUREMENT OF OFFICE SUPPLIES - MO/ADMIN SECTION</t>
  </si>
  <si>
    <t>Gasoline/ Diesoline for use of the Municipal Vehicles during the official transactions of the Municipality for the period of 2nd - 4th Quarter of 2020. (RE-BID)</t>
  </si>
  <si>
    <t>Annual Laboratory Examination of Barangay Employees</t>
  </si>
  <si>
    <t>Supply and Installation of CCTV at Salcedo Village</t>
  </si>
  <si>
    <t>Bid No. 20-0313 - PROCUREMENT OF OFFICE SUPPLIES - BFP (BUREAU OF FIRE) DEPARTMENT</t>
  </si>
  <si>
    <t>238 bags Portland Cement (40kgs/bag) and other items for construction of drainage canal with cover at Purok Gumamela going to Purok Sampaguita at Brgy. Calindagan.</t>
  </si>
  <si>
    <t>PROCUREMENT OF WAREHOUSE HANDLING (AND ALLIED) SERVICES FOR GRAINS FOR NFA-NCR AND BATANES FOR AUGUST 1 TO DECEMBER 31, 2020</t>
  </si>
  <si>
    <t>ILD-20-0610(R1): Procurement of Chemical and Filtering Supplies to be used at Regional Soils Laboratory</t>
  </si>
  <si>
    <t>39.	Repair of San Pedro - Sta. Cruz Provincial Road, Sto. Tomas, Batangas</t>
  </si>
  <si>
    <t>20OF0323 Construction of Multi-Purpose Building and Integrated Learning Facilities at Brgy. Santa Monica, Q.C.</t>
  </si>
  <si>
    <t>Labor for Computer Laboratory Repair</t>
  </si>
  <si>
    <t>Conduct of Preliminary and Detailed Engineering (Sub-Soil Exploration) of Proposed Various FY-2020  Projects (Additional) Pampanga 2 nd  District</t>
  </si>
  <si>
    <t>50 pcs LED Bulb 9 Watts and other items for maintenance of the Public Market complex, Dumaguete City.</t>
  </si>
  <si>
    <t>CAKE BE WITH YOU</t>
  </si>
  <si>
    <t>Procurement of Materials for the Installation of Solar Street Lights</t>
  </si>
  <si>
    <t>PROCUREMENT AND DELIVERY OF ICT EQUIPMENT FOR SDO PERSONNEL USE.</t>
  </si>
  <si>
    <t>Rehabilitation of CCTV at Jaime Velasquez Park</t>
  </si>
  <si>
    <t>40.	Repair of Poblacion, Rosario - Mahanadiong, Taysan Provincial Road, Rosario, Batangas</t>
  </si>
  <si>
    <t>30 sacks Cement</t>
  </si>
  <si>
    <t>38.	Repair of Brgy. 6 - Madalunot Provincial Road, Calaca, Batangas (Asphalt Overlay)</t>
  </si>
  <si>
    <t>41.	Repair of Poblacion - Dagatan Provincial Road, Taysan, Batangas</t>
  </si>
  <si>
    <t>50 gals. Gloss enamel paint</t>
  </si>
  <si>
    <t>SUPPLY AND DELIVERY OF CHEMICALS FOR FOGGING AND SOAKING (rfq#2020-01-1,138)-(pho)</t>
  </si>
  <si>
    <t>150 pcs. Gloss latex paint</t>
  </si>
  <si>
    <t>PR # 2020-05-069 - Supply and Delivery of Tubeless Tires to be used for the Repair/Maintenance of Isuzu DMAX with Temp. Plate No. 100804/ABC-2101</t>
  </si>
  <si>
    <t>20 pcs. Metal Primer</t>
  </si>
  <si>
    <t>SUPPLY AND DELIVERY OF CONSTRUCTION MATERIALS FOR THE CONSTRUCTION OF VIEW DECK PHASE II (PB-LAP-2020-066)</t>
  </si>
  <si>
    <t>SUPPLY AND DELIVERY OF CONSTRUCTION MATERIALS FOR THE REPAIR OF RADIO STATION BUILDING (PB-LAP-2020-067)</t>
  </si>
  <si>
    <t>PURCHASE OF OFFICE SUPPLIES (APPROPRIATION PER DEPARTMENT/OFFICES FOR 2ND, 3RD &amp; 4TH QUARTER OF 2020)</t>
  </si>
  <si>
    <t>SUPPLY, DELIVERY AND COMMISSIONING OF ENDOSCOPIC VIDEO INFORMATION SYSTEM WITH BUILT-IN NARROW BAND IMAGING SYSTEM</t>
  </si>
  <si>
    <t>42.	Repair of Salaban Bridge Approach along Poblacion 3, San Jose - Poblacion, Ibaan Provincial Road, San Jose, Batangas</t>
  </si>
  <si>
    <t>SUPPLY AND DELIVERY OF MEALS AND SNACKS (rfq#2020-02-1,261)-(pgo-popdev)</t>
  </si>
  <si>
    <t>43.	Repair of PSWDO at Provincial Capitol Compound, Brgy. Kumintang Ibaba, Batangas City</t>
  </si>
  <si>
    <t>PURCHASE OF FARM INPUTS AND EQUIPMENTS</t>
  </si>
  <si>
    <t>320 shts Ordinary Corrugated Aluminum Coated Sht. 0.5mm x 12’ and other items for construction of Temporary G.I. sheet fence walling along the detour road at the back of sky cable tower at Barangay Ta</t>
  </si>
  <si>
    <t>CONSTRUCTION OF HAZARDOUS WASTE SEPTIC VAULT AT MUNICIPAL DUMPSITE, DAMILAG, BARANGAY PISAAN, SFADS</t>
  </si>
  <si>
    <t>Labor for the Installation of Water Booster</t>
  </si>
  <si>
    <t>SUPPLY AND DELIVERY OF I.T. SUPPLIES (rfq#2020-02-1,501)-(pgo)</t>
  </si>
  <si>
    <t>REPAIR / REPLACEMENT OF DEFECTIVE CCTV CAMERA</t>
  </si>
  <si>
    <t>ILD-20-0794(R1): Procurement of Other Supplies to be used in the Maintenance of Laboratories of RCPC, Mandaue City</t>
  </si>
  <si>
    <t>Supply and Delivery of Laboratory Equipment for Agricultural  Biosystems Engineering in Main Campus-Repost</t>
  </si>
  <si>
    <t>SUPPLY AND DELIVERY OF LABOR AND MATERIALS OF THE PROJECT CONSTRUCTION/REHABILITATION OF DRAINAGE  SYSTEM, BRGY POBLACION &amp; BRGY. MADULAO, CATANAUAN, QUEZON</t>
  </si>
  <si>
    <t>SUPPLY AND DELIVERY OF DRUGS AND MEDICINES (rfq#2020-05-2,511)-(bpmc)</t>
  </si>
  <si>
    <t>10 reels Service Drop Wire #6 and other items for 2nd Revision-rehabilitation, improvement and installation of street lighting  facilities and equipment, Dumaguete City (Additional materials).</t>
  </si>
  <si>
    <t>Repair and Maintenance of WATER SUPPLY SYSTEM</t>
  </si>
  <si>
    <t>CIVIL WORKS FOR THE COMPLETION OF ROAD CONCRETING OF DIGAL ST. EXTENSION LEADING TO P-4 STO. NIÑO, MAGALLANES, A.D.N</t>
  </si>
  <si>
    <t>LBP CAR Lending Center Renovation (Supply of Panel Board)</t>
  </si>
  <si>
    <t>HYDRAULIC OIL</t>
  </si>
  <si>
    <t>Supply of Diesel</t>
  </si>
  <si>
    <t>OTHER SUPPLIES AND MATERIALS EXPENSES</t>
  </si>
  <si>
    <t>Supply &amp; Delivery of Rewinding Materials for Unit # &amp; Unit #2, for Siasi DPP (S3-SIA20-015)</t>
  </si>
  <si>
    <t>Rehabilitation of Water System, Brgy. Bayog, Canlaon City</t>
  </si>
  <si>
    <t>Procurement of Medical Supplies and equipment</t>
  </si>
  <si>
    <t>MAINTENANCE OF CCTV CAMERAS</t>
  </si>
  <si>
    <t>IMPROVEMENT OF MUNICIPAL HALL STAIR AND STAIR COVER</t>
  </si>
  <si>
    <t>Supply &amp; Delivery of Office Supplies, Consumables &amp; Equipment</t>
  </si>
  <si>
    <t>SUPPLY AND DELIVERY OF VETERINARY SUPPLIES (rfq#2020-05-2,409)-(pvo)</t>
  </si>
  <si>
    <t>20GFG0019 - Procurement of Manual Total Station for use in the Survey Works at DPWH, Camarines Sur 4th District Engineering Office DPWH, Camarines Sur 4th DEO, Caraycayon, Tigaon, Camarines Sur</t>
  </si>
  <si>
    <t>LODGING, MEALS AND SNACKS (rfq#2020-05-2,454)-(provl administrator's office-nutrition)</t>
  </si>
  <si>
    <t>SUPPLY AND DELIVERY OF DRUG TESTING KIT (rfq#2020-06-2,583)-(pgo-pdea)</t>
  </si>
  <si>
    <t>COMPLETION OF ULBUJAN MULTIPURPOSE COVERED COURT (MATERIALS ONLY) - ULBUJAN, CALAPE, BOHOL</t>
  </si>
  <si>
    <t>SUPPLY AND DELIVERY OF DIESEL AND GASOLINE (rfq#2020-06-2,593)-(pgo-pdea)</t>
  </si>
  <si>
    <t>4 pcs. IntelCore i5-9400 3.400</t>
  </si>
  <si>
    <t>for the construction of local roads</t>
  </si>
  <si>
    <t>PQ# 035-2020 Purified Drinking Water</t>
  </si>
  <si>
    <t>EMB-NCB-GOODS-05-2020 (Supply and Delivery of Information and Communication Equipment)</t>
  </si>
  <si>
    <t>SUPPLY AND DELIVERY OF SPARE PARTS FOR VEHICLE MAINTENANCE-(rfq#2020-06-2,566)-(sp-gayon)</t>
  </si>
  <si>
    <t>Supply &amp; Delivery of Labor &amp; Materials for the Painting of Power House Roofing of Siasi DPP (S3-SIA20-017)</t>
  </si>
  <si>
    <t>Concreting of pathway</t>
  </si>
  <si>
    <t>2 units Computer Set</t>
  </si>
  <si>
    <t>Procurement of One (1) Year Subscription of Anti-Plagiarism Software for Research Teachers and Students of PSHS-CLC</t>
  </si>
  <si>
    <t>Purchase of Projector</t>
  </si>
  <si>
    <t>SUPPLY AND DELIVERY OF CLUTCH PRESSURE AND CLUTCH LINING OF TRACTOR (rfq#2020-06-2,587)-(peo-motorpool)</t>
  </si>
  <si>
    <t>ROAD CONCRETING (PCCP) at Bgy. Barangonan</t>
  </si>
  <si>
    <t>PROCUREMENT OF CAB AND CHASIS EURO 4 VEHICLE</t>
  </si>
  <si>
    <t>SUPPLY, DELIVERY AND INSTALLATION OF PROVINCIAL SEAL AND SIGNAGE (rfq#2020-06-2,614)-(p.e.o.)</t>
  </si>
  <si>
    <t>ROAD CONCRETING (PCCP) at Bgy. Cabunlawan</t>
  </si>
  <si>
    <t>CONCRETING OF BARANGAY ROAD  AT BRGY. SAG-ANG</t>
  </si>
  <si>
    <t>Proposed Basement of HRMO Office located at New City Hall Building</t>
  </si>
  <si>
    <t>MOSQUITO CONTROL PROGRAM</t>
  </si>
  <si>
    <t>LGU-COR. 2020-065</t>
  </si>
  <si>
    <t>Supply &amp; Delivery of Chemicals, Paints &amp; Painting Materials for Pandami DPP (</t>
  </si>
  <si>
    <t>PURCHASE OF VARIOUS EQUIPMENT  &amp; SUPPLIES FOR QUARANTINE FACILITIES OF THE MUNICIPALITY OF LA CASTELLANA</t>
  </si>
  <si>
    <t>Supply &amp; Delivery of Labor &amp; Materials for the Servicing of Radiator of Pandami DPP (S3-PDM20-010)</t>
  </si>
  <si>
    <t>130 cu.m Sand (Std Specs.) and other items for construction of perimeter fence for Colencica Gono Pal Technical vocational school site at Barangay Batinguel.</t>
  </si>
  <si>
    <t>Purchase of Electric Fan</t>
  </si>
  <si>
    <t>Supply and Delivery of Multivitamins and Alcohol for PSHS-CLC COVID-19 Emergency Response</t>
  </si>
  <si>
    <t>SUPPLY AND DELIVERY OF CONSTRUCTION MATERIALS FOR FACILITY IMPROVEMENT OF PERIMETER FENCE OF SMALL &amp; LARGE RUMINANTS</t>
  </si>
  <si>
    <t>SUPPLY AND DELIVERY OF CONSTRUCTION MATERIALS FOR FACILITY IMPROVEMENT OF CATTLE BARN</t>
  </si>
  <si>
    <t>CALIBRATION OF LABORATORY EQUIPMENT AND APPARATUS (rfq#2020-06-2,609)-(p.e.o.)</t>
  </si>
  <si>
    <t>SUPPLY AND DELIVERY OF OFFICE, COMPUTER, JANITORIAL SUPPLIES &amp; OTHERS SUPPLIES, MACHINERIES AND FURNITURES &amp; FIXTURES OF LGU-CATANAUAN, QUEZON</t>
  </si>
  <si>
    <t>Concreting of Pathway, Po. Greenhills, Brgy. Mabigo, Canlaon City</t>
  </si>
  <si>
    <t>Supply and Delivery of Laboratory Chemicals Research July</t>
  </si>
  <si>
    <t>Supply &amp; Delivery of Consumable Materials, Labor &amp; Expertise in the Repair of Crankshaft of 260KW, Perkins of Siasi DPP (S3-SIA20-016)</t>
  </si>
  <si>
    <t>for the construction of Sanitary landfill</t>
  </si>
  <si>
    <t>JOB REQUEST OF TABLES AND OFFICE PARTITION FOR OFFICIAL USE OF PEMU SORSOGON</t>
  </si>
  <si>
    <t>Installation of Streetlights</t>
  </si>
  <si>
    <t>Regular Bidding 30/June/2020 - Procurement of Goods: Const'n Materials for the use of DEPED (Completion of Perimeter Fence at Visayan Village Central ES, Visayan Village, T.C.) (PR#200-20-06-0171)</t>
  </si>
  <si>
    <t>Supply and Delivery of High Speed Scanner for Website</t>
  </si>
  <si>
    <t>for Barangay sorroundings purposes</t>
  </si>
  <si>
    <t>Procurement of Critical Logistic Emergency Supplies</t>
  </si>
  <si>
    <t>FOR EMERGENCY/DISASTER PREPAREDNESS</t>
  </si>
  <si>
    <t>ROAD CONCRETING (PCCP) at Bgy. Calibangbangan</t>
  </si>
  <si>
    <t>Rebidding: 207 bags Portland Cement (40 kgs/bag) Type 1 and other items for concreting of interior road at Purok Periko, Barangay Pulantubig.</t>
  </si>
  <si>
    <t>Supply &amp; Delivery of Cabinet + 9 Items for Pandami DPP (S3-PDM20-016)</t>
  </si>
  <si>
    <t>Regular Bidding 30/June/2020 - Procurement of Goods: Const'n Materials for the use of DEPED (Completion of Perimeter Fence at Suabaguio Riña ES, Magugpo North, T.C.) (PR#200-20-06-0170)</t>
  </si>
  <si>
    <t>Supply &amp; Delivery of Labor &amp; Materials for the Painting of Perimeter Fence of Pandami DPP (S3-PDM20-009)</t>
  </si>
  <si>
    <t>Improvement/Rehabilitation of Administrative Building, City Engineering, Brgy. Pabnubigan, Canlaon City</t>
  </si>
  <si>
    <t>for Childrens Protection Fence</t>
  </si>
  <si>
    <t>LBRDC Most Commonly Used Materials (Supply of Construction Materials)</t>
  </si>
  <si>
    <t>Procurement of Daily Newspaper &amp; Business World July to December 2020</t>
  </si>
  <si>
    <t>ITB ESCOMBRO FOR REHABILITATION OF RIZAL-BAYANHIHAN ROAD</t>
  </si>
  <si>
    <t>Supply and Delivery of Digital Certificate (SSL) for SEC Website</t>
  </si>
  <si>
    <t>20AE0069: Construction of 2 Storey 4 Classroom School Building at Corrooy Elementary School, Santol, La Union</t>
  </si>
  <si>
    <t>Procurement of Lacquer Red Varnish</t>
  </si>
  <si>
    <t>CONSTRUCTION OF CABAMBANGAN CHB LINED CANAL</t>
  </si>
  <si>
    <t>Supply and Delivery of toner</t>
  </si>
  <si>
    <t>Supply &amp; Delivery of Building Materials for Tandubas DPP (S3-TAN20-008)</t>
  </si>
  <si>
    <t>20G00100 - Construction of Concrete Road – Barangay Comon – San Pedro Coastal Road leading to San Jose Port and Beaches, Resorts and Sunset Viewing, San Jose, Antique</t>
  </si>
  <si>
    <t>Repair of Footbridge, Proper &amp; Sitio banban, Brgy. Bucalan, Canlaon City</t>
  </si>
  <si>
    <t>Repair and Improvement of PCARRD Housing Unit #4 at PhilRice Central Experiment Station (PR#2020-05-1090)</t>
  </si>
  <si>
    <t>Procurement of Materials and installation of office cubicle and glass partition of RPIMU and RFIMC internet network system/storage room.</t>
  </si>
  <si>
    <t>Procurement Requierement of 2nd Quarter Supplies for HCGETDC and RTC</t>
  </si>
  <si>
    <t>SUPPLY AND DELIVERY OF AGRICULTURAL SUPPLIES FOR USE IN TRAPPING FALL ARMY WORM UNDER 2020 STO-QRF-FAW</t>
  </si>
  <si>
    <t>SUPPLY AND DELIVERY OF LABOR AND MATERIALS FOR THE PROJECT, CONCRETING OF LOCAL ACCESS ROAD WITH 5M WIDTH AND 200MM THICK, BRGY. CAMANDIISON, CATANAUAN, QUEZON</t>
  </si>
  <si>
    <t>Procurement of CCTV Cameras and Typewriter</t>
  </si>
  <si>
    <t>Regular Bidding 30/June/2020 - Procurement of Goods: Const'n Materials for the use of CDRRMO (Rehabilitation of Drainage at Magugpo Pilot Imelda ES, Magugpo South, T.C.) (PR#100-20-06-0172)</t>
  </si>
  <si>
    <t>Supply &amp; Delivery of Materials for the Conduct of Preventive Maintenance Schedule of Gensets for Siasi DPP per PR # S3-SIA20-009, S3-SIA20-010, S3-SIA20-011, S3-SIA20-012 &amp; S3-SIA20-014  (S3-SPUGWM20-</t>
  </si>
  <si>
    <t>PROPOSED SERVICE ENTRANCE COLLEGE OF MEDICINE UNIVERSITY OF THE PHILIPPINES MANILA</t>
  </si>
  <si>
    <t>Barangay 116 MOOE" PEACE &amp; ORDER, OFFICE SUPPLIES, R/M OF MOTOR VEHICLE, ELECTRICAL SUPPLIES" /C.O. " DIGITAL CAMERA"/ RRMF "PUBLIC ADDRESS SYSTEM" BDF "CCTV CAMERA" 2020</t>
  </si>
  <si>
    <t>LGU-COR. 2020-066</t>
  </si>
  <si>
    <t>Supply &amp; Delivery of Materials for the Construction of Multi-Purpose Hall for Farmer-Irrigators Associations (FIAs)</t>
  </si>
  <si>
    <t>Supply and Delivery of Water Meter of Various Sizes for Replenishment of Stocks</t>
  </si>
  <si>
    <t>Bid No. 20-0315 - PROCUREMENT OF INDUSTRIAL EQUIPMENT - MEO &amp; MOTORPOOL OPERATIONS</t>
  </si>
  <si>
    <t>RFQ for Samples Hydrometer, etc.</t>
  </si>
  <si>
    <t>PROCUREMENT OF ONE (1) UNIT GARBAGE TRUCK COMPACTOR</t>
  </si>
  <si>
    <t>Construction of Barangay Health Center (ONE JOB)</t>
  </si>
  <si>
    <t>COMPLETION OF ULBUJAN MULTIPURPOSE COVERED COURT (LABOR ONLY) - ULBUJAN, CALAPE, BOHOL</t>
  </si>
  <si>
    <t>20GJI0035 - Procurement of materials and supplies for use in the pavement maintenance (Installation of Guardrails) Routine     Maintenance 71x Special Maintenance Project along Lanao-    Pagadian-Zamb</t>
  </si>
  <si>
    <t>TAKAHASHI FORCEPS</t>
  </si>
  <si>
    <t>Bulaklakan Farm to Market Road (FMR) Concreting</t>
  </si>
  <si>
    <t>1 set Shear Test Fixture/JIG....</t>
  </si>
  <si>
    <t>Bid No. 20-0314 - PROCUREMENT OF OFFICE SUPPLIES - MDRRMO OPERATIONS</t>
  </si>
  <si>
    <t>20AE0068: Construction of 2 Storey 6 Classroom School Building at Duplas National High School, Sudipen, La Union</t>
  </si>
  <si>
    <t>20AE0070: Construction of 2-Storey 4-Classroom School Building at Lipay Integrated School, San Gabriel, La Union</t>
  </si>
  <si>
    <t>Rebidding: 450 bots oil-based mosquito repellant lotion with Citronella and other items for dengue prevention and control program (target clients: Public Elementary School children and Day Care Pupils</t>
  </si>
  <si>
    <t>Installation of Plumbing NC II work stations</t>
  </si>
  <si>
    <t>PROPOSED MATERIALS RECOVERY FACILITY  (8-UNITS)</t>
  </si>
  <si>
    <t>ROAD CONCRETING (PCCP) at Bgy. New Colaylayan</t>
  </si>
  <si>
    <t>Improvement of Multi-Purpose Building, Brgy. Binalbagan, Canlaon City</t>
  </si>
  <si>
    <t>Supply &amp; Delivery of 20 roll PE Pipe 1/2 x 300m SDR11</t>
  </si>
  <si>
    <t>Concreting of Roads in Different Barangays  (Malinao, San Nicolas, General Esco, Mahabang Parang, San Luis, Inarawan, Banuton, Caburo &amp; Tagumpay), Naujan, Oriental Mindoro</t>
  </si>
  <si>
    <t>Riprapping of Arman Creek at Purok Pikaw</t>
  </si>
  <si>
    <t>Procurement of 2 unit DATA COLLECTOR</t>
  </si>
  <si>
    <t>AMP SVP-S NO: 20-06-0356 Maintenance Services for the Oblation Pool  (One Year)</t>
  </si>
  <si>
    <t>Procurement of Office Supplies for Various Offices of LGU-San Joaquin</t>
  </si>
  <si>
    <t>Various Laboratory Supplies_PR 11039</t>
  </si>
  <si>
    <t>Procurement of Television Sets (Consruction of Quarantine Facilities and Aminities)</t>
  </si>
  <si>
    <t>Construction of Organic Fertilizer Production Center</t>
  </si>
  <si>
    <t>Proposed Renovation/Upgrading of Legislative Hall (materials only), Municipal Hall, Balasan, Iloilo</t>
  </si>
  <si>
    <t>Furnishing of Office Equipment Supplies and Consumables for NIA Bohol IDSU 2nd Quarter</t>
  </si>
  <si>
    <t>Supply &amp; Delivery of Three (3) Units Air Condition</t>
  </si>
  <si>
    <t>20G00101 - Construction of Revetment Wall along Cangaranan River at Cangaranan Bridge (Abutment A), Bugasong, Antique</t>
  </si>
  <si>
    <t>For Quarterly Repairs and Maintenance</t>
  </si>
  <si>
    <t>Furnishing of Office Equipment Supplies and Consumables for NIA Bohol Equipment Sub-unit 2nd Quarter</t>
  </si>
  <si>
    <t>Supply &amp; Delivery of Heavy Duty Shredder with Trailer</t>
  </si>
  <si>
    <t>RFQ for Fuels</t>
  </si>
  <si>
    <t>Labor &amp; Materials for Replacement of Damaged 25KVA Transformer</t>
  </si>
  <si>
    <t>PURCHASE OF VARIOUS RESCUE SUPPLIES</t>
  </si>
  <si>
    <t>CEMETERY-OTHER SUPPLIES</t>
  </si>
  <si>
    <t>Supply and Delivery of the Newspaper and Tabloid Subscription for the year 2020-2021</t>
  </si>
  <si>
    <t>INFRA 2K20-45 CONST. OF FOUR (4) UNITS ELEVATED STEEL TANK STAND &amp; INSTALLATION OF 2,600 LTRS. CAP. STAINLESS TANK @ FARMERS' HALL, FISHERMEN'S HALL, FLORAL HALL &amp; SHEPHERDS' HALL</t>
  </si>
  <si>
    <t>Procurement of Column for HPLC</t>
  </si>
  <si>
    <t>Procurement of One (1) Unit thimble-Type Ionization Chamber with Electrometer and Water Proofing Sleeves - (Rebid)</t>
  </si>
  <si>
    <t>Completion of Concrete Bridge/Bongolanon-Kinarum Road Leading to Kirungdong Waterfalls and Wildlife Rescue Center, Brgy. Kinarum, Magpet, North Cotabato</t>
  </si>
  <si>
    <t>SUPPLY AND DELIVERY OF LABOR AND MATERIALS FOR THE PROJECT, CONCRETING OF LOCAL ACCESS ROAD WITH 5M WIDTH AND 200MM THICK, BRGY.DAHICAN, CATANAUAN, QUEZON</t>
  </si>
  <si>
    <t>SUPPLY AND DELIVERY OF LABOR AND MATERIALS FOR THE PROJECT, CONCRETING OF LOCAL ACCESS  ROAD WITH 4M WIDTH AND 200MM THICK, BRGY. CANCULAJAO (SITIO GUIPA), CATANAUAN, QUEZON</t>
  </si>
  <si>
    <t>Rehabilitation/Expansion of Water System</t>
  </si>
  <si>
    <t>S1-CAT20-004 - Supply and Delivery of Electrical Security Parts for Various Gensets under Bicol Operations Division</t>
  </si>
  <si>
    <t>Liferaft</t>
  </si>
  <si>
    <t>Spares and Services for the Repair and Overhaul of the Engine System of MD-520MG #395, 410 and 417</t>
  </si>
  <si>
    <t>Bid No. 20-0317 - PROCUREMENT OF AGRICULTURAL PRODUCTS (SEEDLINGS) - MENRO/ REFORESTATION PROGRAM</t>
  </si>
  <si>
    <t>Regular Bidding 30/June/2020 - Procurement of Goods: Const'n Materials for the use of CMO (Repair &amp; Maintenance of RTC at Provincial Capitol Compound, Hall of Justice) (PR#100-20-06-0166)</t>
  </si>
  <si>
    <t>Bid No. 20-0316 - PROCUREMENT OF CONSTRUCTION MATERIALS - MEO (COMPLETION OF DAY CENTER - MUNICIPAL COMPOUND, MARAGUSAN DAVAO DE ORO)</t>
  </si>
  <si>
    <t>Procurement of Desktop and Laptop Computers with Accessories - (Rebid)</t>
  </si>
  <si>
    <t>Supply and Delivery of 1 Set Submersible Pump 5HP Single Phase, including Installation</t>
  </si>
  <si>
    <t>RFQ for Metal Analysis</t>
  </si>
  <si>
    <t>Procurement of Construction Materials and Supplies under P.R.Nos. 2184-2020 and 2185-2020-Enforcement of Traffic Laws -1Lot</t>
  </si>
  <si>
    <t>Annual Preventive Maintenance of Fumehood_PR 11041</t>
  </si>
  <si>
    <t>SUPPLY AND DELIVERY OF LABOR AND MATERIALS FOR THE PROJECT, CONCRETING OF LOCAL ACCESS ROAD WITH 5M WIDTH AND 200MM THICK, BRGY. SAN JOSE ANYAO, CATANAUAN, QUEZON</t>
  </si>
  <si>
    <t>Supplies and Materials needed for Installation of CCTV system with audio as requirement</t>
  </si>
  <si>
    <t>Procurement of Materials for the maintenance of Teen Center at Lawigan National High School</t>
  </si>
  <si>
    <t>Supply and Delivery of Branded Brand New RTK-Net PPK/GNSS-Centric Receiver System (base/rover configurate) with internal radio TRx, 2 watts including hands on training on hardware and software.</t>
  </si>
  <si>
    <t>Supply &amp; Delivery of office Supply [Accounting]</t>
  </si>
  <si>
    <t>PROJ. 151 - C.O 2020</t>
  </si>
  <si>
    <t>BUAGAO SIP/REMAINING WORKS SMALL IRRIGATION PROJECTS FUND/CY 2019</t>
  </si>
  <si>
    <t>20GMH049 - Rental of Service Vehicle for use in the Conduct of Environmental Impact Assessment (EIA) and Inspection/Validation of Regional Budget Proposal (RBP) along Awang-Upi-Lebak-Kalamansig-Palimb</t>
  </si>
  <si>
    <t>Procurement of Catering Services, Venue, and Accommodation for 2020 Census of Population and Housing (Re-Bidding)</t>
  </si>
  <si>
    <t>SUPPLY AND DELIVERY OF LABOR AND MATERIALS FOR THE PROJECT, CONCRETING OF LOCAL ACCESS ROAD WITH 2.5M WIDTH AND 200MM THICK, BRGY. PACABIT, CATANAUAN, QUEZON</t>
  </si>
  <si>
    <t>Spares and Services for the Installation of Multi-Function Display of S-211 Aircraft Nr 008 and 802</t>
  </si>
  <si>
    <t>Purchase of IT Equipment (computer desktop and printer) to be use at the Office of the Meat Inspector</t>
  </si>
  <si>
    <t>Acquisition o Tubeless Tire</t>
  </si>
  <si>
    <t>Printing of certificate of ownership form to be used at the Springfields Memorial Park</t>
  </si>
  <si>
    <t>AMP SVP-S NO: 20-06-0361 Regular Maintenance Program for the UP  Football Field Artificial Grass Sports</t>
  </si>
  <si>
    <t>Procurement of Hand Washing Kiosk</t>
  </si>
  <si>
    <t>Supply &amp; Delivery of office Supply [MCR]</t>
  </si>
  <si>
    <t>Construction of Multipurpose Hall Bleachers</t>
  </si>
  <si>
    <t>PROCUREMENT OF MATERIALS FOR TEMPORARY HOLDING FACILITY</t>
  </si>
  <si>
    <t>Procurement of Equipment for Search, rescue and retrieval team -MDRRMO</t>
  </si>
  <si>
    <t>Spares for the Scheduled Maintenance of FA-50PH Aircraft</t>
  </si>
  <si>
    <t>Procurement of personalized eco bags</t>
  </si>
  <si>
    <t>SUPPLY AND DELIVERY OF LABOR AND MATERIALS FOR THE PROJECT, CONCRETING OF LOCAL ACCESS ROAD WITH 5M WIDTH AND 200MM THICK, BRGY. TAGBACAN IBABA, CATANAUAN, QUEZON</t>
  </si>
  <si>
    <t>Supply &amp; Delivery of Materials for the Conduct of Preventive Maintenance Schedule of Gensets for Tandubas DPP per PR # S3-TAN20-012, S3-TAN20-013 &amp; S3-TAN20-014 (S3-SPUGWM20-013)</t>
  </si>
  <si>
    <t>Purchase of Office equipment to be use at the Municipal Engineering Office</t>
  </si>
  <si>
    <t>Construction of Anaao MPH, Phase VI</t>
  </si>
  <si>
    <t>20MH0107 - Construction of Two(2)-Storey, Six(6)-Classrooms School Building at Sen. Ninoy Aquino National High School, Sen. Ninoy Aquino, Sultan Kudarat</t>
  </si>
  <si>
    <t>CID No. 20OD0195 - Construction of 4-Storey 12-Classroom School Building Barrio San Jose ES, Caloocan City</t>
  </si>
  <si>
    <t>SUPPLY AND DELIVERY OF 5 UNITS STAND FAN AND 1 UNIT TELEVISION FOR Pag-IBIG FUND, TUGUEGARAO HUB</t>
  </si>
  <si>
    <t>SUPPLY OF WATERWORKS MATERIALS AT BRGY. SAN PEDRO, BAUAN, BATANGAS</t>
  </si>
  <si>
    <t>20MH0105 - Construction of Two(2)-Storey, Six(6)-Classrooms School Building at Bagumbayan National High School, Bagumbayan, Sultan Kudarat</t>
  </si>
  <si>
    <t>Supply and Delivery of Table Top Water Dispenser intended for Isolation Area – The Bayanihan to Heal as One Act</t>
  </si>
  <si>
    <t>CID No. 20OD0193 - Construction of 4-Storey 16-Classroom School Building Caruhatan East ES, Valenzuela City</t>
  </si>
  <si>
    <t>Various ICT Equipment</t>
  </si>
  <si>
    <t>Printing of business registration plate to be use at the Municipal Treasurer's Office</t>
  </si>
  <si>
    <t>CID No. 20OD0192 - Construction of 4-Storey 12-Classroom School Building Caruhatan East ES, Valenzuela City</t>
  </si>
  <si>
    <t>Supply and Delivery of JANITORIAL SUPPLIES FOR THE 3RD AND 4TH QUARTERS CY 2020 FOR SDO USE</t>
  </si>
  <si>
    <t>20MH0106 - Construction of Two(2)-Storey, Six(6)-Classrooms School Building at Esperanza National High School, Esperanza, Sultan Kudarat</t>
  </si>
  <si>
    <t>SUPPLY AND DELIVERY OF THERMO SCANNER AND GLOVES</t>
  </si>
  <si>
    <t>SUPPLY AND DELIVERY OF SUBSIDIZED PALAY, HYBRID CORN SEEDS, VEGETABLE SEEDS AND PROVISION OF OPV VEGETABLES FOR BACKYARD GARDENING</t>
  </si>
  <si>
    <t>Contract ID No.: 20OB0336 Contract Name: Construction of Multi-Purpose Building and Site Development, Brgy. New Lower Bicutan, Taguig City</t>
  </si>
  <si>
    <t>Transportation &amp; Delivery Services (FDA-CSL-DTQAL)</t>
  </si>
  <si>
    <t>20MH0108 - Repair/Maintenance of River Bank Protection at Magon Bridge along Sen. Ninoy Aquino-Lebak-Kalamansig Road, K1881 + 940</t>
  </si>
  <si>
    <t>SUPPLY, DELIVERY and INSTALLATION of ROTARY EVAPORATOR FOR THE UNIVERSITY OF THE PHILIPPINES BAGUIO</t>
  </si>
  <si>
    <t>Solar Streetlights</t>
  </si>
  <si>
    <t>IMPROVEMENT OF EVACUATION CENTER/MUNICIPAL AUDITORIUM</t>
  </si>
  <si>
    <t>Supply and Delivery of Laboratory Chemicals and Consumables Research</t>
  </si>
  <si>
    <t>20GG0181 - CONSTRUCTION OF ONE (1) UNIT ONE (1) STOREY THREE (3) CLASSROOMS WITH TOILET, DOMINADOR ABANG MNHS, SAN ENRIQUE, ILOILO</t>
  </si>
  <si>
    <t>RFQ for Dynamic Light Scattering</t>
  </si>
  <si>
    <t>20GG0179 - CONSTRUCTION OF ONE (1) UNIT ONE (1) STOREY THREE (3) CLASSROOMS WITH TOILET, AYUYAN ELEMENTARY SCHOOL,  CITY OF PASSI, ILOILO</t>
  </si>
  <si>
    <t>20GG0180 - CONSTRUCTION OF ONE (1) UNIT ONE (1) STOREY TWO (2) CLASSROOMS WITH TOILET, TRANGKA INTEGRATED SCHOOL, MAASIN, ILOILO</t>
  </si>
  <si>
    <t>20GG0177 - CONSTRUCTION OF ONE (1) UNIT ONE (1) STOREY TWO (2) CLASSROOMS, AGCAROPE ELEMENTARY SCHOOL, JANIUAY II, ILOILO</t>
  </si>
  <si>
    <t>Contract ID No.: 20OB0328 Contract Name: Construction of Multi-Purpose Building (Senior Citizens Center), Brgy. Sta. Ana, Taguig City</t>
  </si>
  <si>
    <t>Contract ID No.: 20OB0318 Contract Name: Construction (Completion) of Multi-Purpose Building (TUP Hostel), Brgy. Western Bicutan, Taguig City</t>
  </si>
  <si>
    <t>Construction of Command Operation Center (Public Safety Building) P1- MEO</t>
  </si>
  <si>
    <t>PROJ. 642 - MOOE, BDF &amp; RRMF 2020</t>
  </si>
  <si>
    <t>20GG0178 - CONSTRUCTION OF ONE (1) UNIT TWO (2) STOREY FOUR (4) CLASSROOMS, PUGHANAN INTEGRATED SCHOOL, LAMBUNAO WEST, ILOILO</t>
  </si>
  <si>
    <t>Rosalia Aglay Ayag Elem . School ,office supplies and devices</t>
  </si>
  <si>
    <t>Contract ID No.: 20OB0433 Contract Name: Construction of Four (4) Storey Twelve (12) Classroom with Roofdeck, Aguho Elementary School, Pateros, Metro Manila</t>
  </si>
  <si>
    <t>2020-151-I PROCUREMENT AND DELIVERY OF VERMICAST AND  MOLASSES UNDER OAP CY 2020</t>
  </si>
  <si>
    <t>Contract ID No.: 20OB0382 Contract Name: Rehabilitation of Roads, Barangay North Daanghari, Taguig City</t>
  </si>
  <si>
    <t>SUPPLY AND DELIVERY OF VARIOUS SEMI-EXPANDABLE FURNITURES  FOR Pag-IBIG FUND, TUGUEGARAO HUB</t>
  </si>
  <si>
    <t>05b-07-2020 -INSTALLATION, CONFIGURATION &amp; TESTING OF LGU PUBLIC WIFI &amp; CCTV SURVEILLANCE SYSTEM</t>
  </si>
  <si>
    <t>Contract ID No.: 20OB0434 Contract Name: Construction of Four (4) Storey, Sixteen (16) Classroom with Roofdeck at Buting SHS, Brgy. Buting, Pasig City</t>
  </si>
  <si>
    <t>CONSTRUCTION OF TWO STOREY MULTI PURPOSE HALL AT BRGY. SAN RAFAEL, CALACA, BATANGAS</t>
  </si>
  <si>
    <t>Supply and Delivery of FUTD Chemicals and Consumables July</t>
  </si>
  <si>
    <t>Contract ID No.: 20OB0436 Contract Name: Construction of Four (4) Storey, Eight (8) Classroom at Kalawaan Elementary School, Brgy. Kalawaan, Pasig City</t>
  </si>
  <si>
    <t>Contract ID No.: 20OB0435 Contract Name: Construction of Four (4) Storey, Sixteen (16) Classroom at Oranbo Elementary School, Pasig City</t>
  </si>
  <si>
    <t>SUPPLY AND DELIVERY OF MAINTENANCE PARTS OF L300 VAN</t>
  </si>
  <si>
    <t>RFQ for Conical Tubes, etc.</t>
  </si>
  <si>
    <t>Contract ID No.: 20OB0349 Contract Name: Rehabilitation of Maharlika Trade Center including Site Development, Brgy. Maharlika, Taguig City</t>
  </si>
  <si>
    <t>Purchase of one[1] unit Desktop and 2 pcs. UPS [Accounting]</t>
  </si>
  <si>
    <t>SUPPLY, DELIVERY AND INSTALLATION OF NINE (9) AIRCONDITIONING UNITS</t>
  </si>
  <si>
    <t>Contract ID No.: 20OB0343 Contract Name: Construction of Multi-Purpose Building, Brgy. Sta. Ana, Taguig City</t>
  </si>
  <si>
    <t>Supply and Installation of Surveillance Cameras</t>
  </si>
  <si>
    <t>Contract ID No.: 20OB0437 Contract Name: Construction of Four (4) Storey, Eight (8) Classroom at San Miguel Elementary School, Brgy. San Miguel, Pasig City</t>
  </si>
  <si>
    <t>assorted hardware/lumber materials</t>
  </si>
  <si>
    <t>SUPPLY AND DELIVERY OF LABOR AND MATERIALS FOR THE PROJECT, CONCRETING OF LOCAL ACCESS ROAD WITH 5M WIDTH AND 200MM THICK, BRGY. TAGABAS IBABA, CATANAUAN, QUEZON</t>
  </si>
  <si>
    <t>SUPPLY AND DELIVERY OF ALCOHOL</t>
  </si>
  <si>
    <t>Rehabilitation of Multi-Purpose Building 1</t>
  </si>
  <si>
    <t>2020-04-0043 Procurement of Engine Oil and Lubricants</t>
  </si>
  <si>
    <t>Supply &amp; Delivery of Two (2) Units Passenger Van</t>
  </si>
  <si>
    <t>Supply and Delivery of GelRed Nucleic Acid Stain, Bst DNA Polymerase and Taq DNA Polymerase</t>
  </si>
  <si>
    <t>20MH0104 - Construction of Two(2)-Storey, Six(6)-Classrooms School Building at Bagumbayan Central Elementary School, Bagumbayan, Sultan Kudarat</t>
  </si>
  <si>
    <t>UPLB-I-017-06-20 SUPPLY AND DELIVERY OF CONSTRUCTION MATERIALS AND SUPPLIES FOR UHO</t>
  </si>
  <si>
    <t>Supply and Delivery of Brand New Service Vehicle (MPV)</t>
  </si>
  <si>
    <t>RFQ for Particle Size Analysis</t>
  </si>
  <si>
    <t>Invitation to Bid for Concreting of Centro 2 Farm to Market Road</t>
  </si>
  <si>
    <t>FABRICATION AND INSTALLATION OF STREET LIGHTS (16 UNITS)</t>
  </si>
  <si>
    <t>Purchase of IT Equipment [MPDC]</t>
  </si>
  <si>
    <t>Purchase of Polo Shirts [PNP]</t>
  </si>
  <si>
    <t>2020 15TH PUBLIC BIDDING FOR PROCUREMENT OF MEDICAL EQUIPMENT</t>
  </si>
  <si>
    <t>RFQ for Mounting Sheet and Tagboards</t>
  </si>
  <si>
    <t>Invitation to Bid for Concreting of San Jose Norte 2 to Casili Farm to Market Road</t>
  </si>
  <si>
    <t>Purchase of Furniture &amp; Fixture [wood cabinet]</t>
  </si>
  <si>
    <t>Proposed Upgrading of Talacogon District Hospital (Construction of Isolation Building), Talacogon District Hospital, Agusan del Sur</t>
  </si>
  <si>
    <t>Proposed Construction of Cadaver Holding, Lianga District Hospital, Surigao del Sur</t>
  </si>
  <si>
    <t>BARANGAY SERVICE AND RESCUE MOTOR VEHICLE WITH SIDECAR OF ANTIPOLO</t>
  </si>
  <si>
    <t>Negosyo Serbisyo sa Barangay Starter Kits</t>
  </si>
  <si>
    <t>PROCUREMENT OF MEDICINES/ SUPPLEMENTS</t>
  </si>
  <si>
    <t>Supply and delivery of school MOOE of Cagawasan Elementary School</t>
  </si>
  <si>
    <t>STA ISABEL GOODS: INCIDENT COMMAND CENTER (PHASE 2)</t>
  </si>
  <si>
    <t xml:space="preserve">20CSEG01-Geotechnical Investigation for the Proposed  FY 2021 Infrastructure Program-Bridges Replacement of Weak Bridge – Tanabag Bridge 1 (B00100PW), K0065+179, Puerto  Princesa North Road, Widening </t>
  </si>
  <si>
    <t>Invitation to Bid for Concreting of Centro 1 Farm to Market Road (Road 2)</t>
  </si>
  <si>
    <t>Rental for Three (3) Months - Laptops</t>
  </si>
  <si>
    <t>assorted construction materials</t>
  </si>
  <si>
    <t>2020-04-0049 Supply and delivery of materials, fabrication, installation/erection of roof catwalk with access ladder</t>
  </si>
  <si>
    <t>Purchase of Misting Fan</t>
  </si>
  <si>
    <t>Supply &amp; Delivery of office Supply [Engineering]</t>
  </si>
  <si>
    <t>ITDI-PB-INFRA-2020-CO-01 EBD - REPAIR/RENOVATION OF SELECTED OFFICES/STAFF ROOMS, LABORATORIES &amp; FACILITIES OF ENVIRONMENT &amp; BIOTECHNOLOGY DIVISION (EBD)</t>
  </si>
  <si>
    <t>Purchase of one[1] unit Conditioning Unit [MDRRMO]</t>
  </si>
  <si>
    <t>Purchase of one[1] unit Printer[MPDC]</t>
  </si>
  <si>
    <t>Assorted painting materials/supplies</t>
  </si>
  <si>
    <t>2020-143-I PROCUREMENT AND DELIVERY OF FEEDS FOR SAAD PROGRAM CY 2020</t>
  </si>
  <si>
    <t>Proposed Upgrading of  Bunawan District Hospital (Construction of Additional Ward Building), Bunawan District Hospital, Agusan del Sur</t>
  </si>
  <si>
    <t>CONCRETING OF SAN RAMON BARANGAY ROAD (PUROK 3)</t>
  </si>
  <si>
    <t>ADH-20-0300-B PURCHASE OF LABORATORY SUPPLIES</t>
  </si>
  <si>
    <t>NOTICE FOR NEGOTIATED PROCUREMENT OF OFFICE SUPPLIES</t>
  </si>
  <si>
    <t>Purchase of Diesel Fuel and Special Gasoline [PNP]</t>
  </si>
  <si>
    <t>ADH-20-0299-B PURCHASE OF LABORATORY SUPPLIES</t>
  </si>
  <si>
    <t>ADH-20-0298-B PURCHASE OF MEDICAL SUPPLIES</t>
  </si>
  <si>
    <t>RPT-20-0430-B LABORATORY SUPPLIES</t>
  </si>
  <si>
    <t>Proposed Construction of Malimono District Hospital Admin Building, Surigao del Norte</t>
  </si>
  <si>
    <t>RPT-20-0360-B DRUGS AND MEDICINES</t>
  </si>
  <si>
    <t>Construction of Farm-to-Market Road (Sta.1+505-Sta.1+575)</t>
  </si>
  <si>
    <t>ADH-20-0297-B PURCHASE OF MEDICAL SUPPLIES</t>
  </si>
  <si>
    <t>SUPPLY AND DELIVERY OF SUPPLEMENTAL FEEDING SUPPLIES FOR PRE-SCHOOL CHILDREN IN THE MUNICIPALITY OF TULUNAN, COTABATO</t>
  </si>
  <si>
    <t>2020-04-0050 Supply of materials and labor for the renovation of office comfort room</t>
  </si>
  <si>
    <t>Construction of Perimeter Fence (Covered Court) Phase II</t>
  </si>
  <si>
    <t>Supply &amp; Delivery of 120 boxes Drug Testing Kit &amp; Other Items;PR No.20-0760a dated March 10, 2020</t>
  </si>
  <si>
    <t>Rehabilitation of Junior Fence</t>
  </si>
  <si>
    <t>Supply and delivery for the Construction of Waterworks System at Purok 1, Concepcion, Mabini, Bohol</t>
  </si>
  <si>
    <t>Proposed Upgrading of Nasipit District Hospital (Construction of Laundry Building and Repair Renovation of BEMONC Building)</t>
  </si>
  <si>
    <t>Construction of 1-Unit Municipal Motor Pool Facility with Basic Amenities, Equipment and Concrete Perimeter Fence</t>
  </si>
  <si>
    <t>ADH-20-0301-B PURCHASE OF LABORATORY SUPPLIES</t>
  </si>
  <si>
    <t>CONCRETING OF BARANGAY ROAD (BANAYBANAY)</t>
  </si>
  <si>
    <t>IB 2020-007-008 POSE Procurement of Office Supplies &amp; Equipment, Furnitures &amp; Fixtures 2020-08</t>
  </si>
  <si>
    <t>Concreting of Barangay Road at Brgy. Abang-Abang</t>
  </si>
  <si>
    <t>RPT-20-0359-B DRUGS AND MEDICINES</t>
  </si>
  <si>
    <t>Concreting of Barangay Road at Brgy. Ubodan</t>
  </si>
  <si>
    <t>Concreting of Barangay Road at Brgy. Bancal</t>
  </si>
  <si>
    <t>CONSTRUCTION OF DRAINAGE AND CANAL WITH PATHWALK</t>
  </si>
  <si>
    <t>Improvement of Multi-Purpose Pavement Building @ Brgy. Ugbo</t>
  </si>
  <si>
    <t>SUPPLY AND DELIVERY OF VARIOUS OFFICE SUPPLIES FOR TULUNAN PEACE INSTITUTE OF SCIENCE AND TECHNOLOGY (TPIST), TULUNAN, COTABATO</t>
  </si>
  <si>
    <t>Concreting of Barangay Road at Brgy. Tugaslon</t>
  </si>
  <si>
    <t>Construction of Farm-to-Market Road (Sta.1+575-Sta.1+645)</t>
  </si>
  <si>
    <t>20EE0138 Construction of Slope Protection for 2 Storey 8 Classroom Bucana Elementary School, El Nido, Palawan</t>
  </si>
  <si>
    <t>Expansion of Distribution Pipelines along Liloan-Lower Usogan</t>
  </si>
  <si>
    <t>REBIDDING OF LOT 1: SUPPLY AND DELIVERY OF VARIOUS MEDICAL AND SURGICAL SUPPLIES</t>
  </si>
  <si>
    <t>Procurement of HIV Test Kits</t>
  </si>
  <si>
    <t>REHABILITION OF MULIT-PURPOSE HALL Phase II</t>
  </si>
  <si>
    <t>AIRCON UNIT AND INSTALLATION</t>
  </si>
  <si>
    <t>CDH-19-1434-B (RE-BID) MEDICAL EQUIPMENT</t>
  </si>
  <si>
    <t>CDH-20-0396-B X-RAY SUPPLIES</t>
  </si>
  <si>
    <t>RFQ No. 20-06-050 Procurement of Office Supplies and Consumables</t>
  </si>
  <si>
    <t>RPT-20-0358-B DRUGS AND MEDICINES</t>
  </si>
  <si>
    <t>Procurement of Personal Protective Equipment</t>
  </si>
  <si>
    <t>PROCUREMENT OF 2 LOTS DRUGS AND MEDICINES</t>
  </si>
  <si>
    <t>PROCUREMENT OF SECURITY SURVEILLANCE &amp; DETECTION EQUIPMENT (CCTV CAMERAS)</t>
  </si>
  <si>
    <t>Procurement of HIV Supplies</t>
  </si>
  <si>
    <t>RFQ No. 20-06-049 Procurement of Office Supplies</t>
  </si>
  <si>
    <t>Procurement of Fetal Doppler</t>
  </si>
  <si>
    <t>PROCUREMENT OF POWER GENERATION &amp; MACHINERY EQUIPMENT</t>
  </si>
  <si>
    <t>Concreting of Road at Sta. Maria, Mansalay, Or. Mindoro</t>
  </si>
  <si>
    <t>PROCUREMENT OF SECURITY SURVEILLANCE &amp; DETECTION EQUIPMENT (DRONE)</t>
  </si>
  <si>
    <t>Purchase of  materials for the construction of canal lining at Catugay, Baggao, Cagayan</t>
  </si>
  <si>
    <t>Procurement of Medical Equipment (BHS Package)</t>
  </si>
  <si>
    <t>PROCUREMENT OF 1 LOT FURNITURE PARTS AND ACCESSORIES</t>
  </si>
  <si>
    <t>Completion of Evacuation Center at M. Adriatico, Gloria, Or. Mindoro</t>
  </si>
  <si>
    <t>CDH-20-0433-B TIRES</t>
  </si>
  <si>
    <t>PROCUREMENT OF 1 LOT INFORMATION TECHNOLOGY PARTS AND ACCESSORIES</t>
  </si>
  <si>
    <t>Construction of Water System at Panikian, Naujan, Oriental Mindoro</t>
  </si>
  <si>
    <t>RPT-20-0432-B LABORATORY SUPPLIES</t>
  </si>
  <si>
    <t>Purchase of  materials for the construction/completion of Multi-Purpose Building at Catugay, Baggao, Cagayan</t>
  </si>
  <si>
    <t>PROCUREMENT OF 1 LOT  JANITORIAL SUPPLIES</t>
  </si>
  <si>
    <t>2 s.g. Security Services, etc.</t>
  </si>
  <si>
    <t>2 s.g. Security Services Without NSP (Mon-Sun), etc.</t>
  </si>
  <si>
    <t>CDH-19-1245-B (RE-BID) MEDICAL EQUIPMENT</t>
  </si>
  <si>
    <t>3 guard guard with night premium</t>
  </si>
  <si>
    <t>2 guards Security Services</t>
  </si>
  <si>
    <t>Concreting of Barangay Road at Brgy. Agsing</t>
  </si>
  <si>
    <t>PROCUREMENT OF 1 LOT WATER &amp; WASTE WATER TREATMENT SUPPLY &amp; DISPOSAL</t>
  </si>
  <si>
    <t>Supply and delivery of Drugs and Medicines for 48 Barangays and City Health Office use.  (1st and 2nd Quarter) Re- Bid</t>
  </si>
  <si>
    <t>4 units Job Order: labor and Materials 1.	For One (1) unit Ford Ranger 2.2 L 4x4 Pick up with Engine NO. P4AT2634553, etc.</t>
  </si>
  <si>
    <t>2 units Motor Vehicles</t>
  </si>
  <si>
    <t>4.851 cu.m 539-0.05 x 0.05 x 3.60 (Hardwood), etc.</t>
  </si>
  <si>
    <t>2 SG w/o NSP, etc.</t>
  </si>
  <si>
    <t>Purchase of  materials for the construction of perimeter fence at Catugay, Baggao, Cagayan</t>
  </si>
  <si>
    <t>55 pails Cold Mix Emulsified Asphalt, etc.</t>
  </si>
  <si>
    <t>Procurement of Various Drugs and Medicines-06-096(Q)ZNMC</t>
  </si>
  <si>
    <t>Purchase of materials for the construction of canal lining (zone 1) at Dalin, Baggao, Cagayan</t>
  </si>
  <si>
    <t>LABOR SERVICES AND OTHER ENVIRONMENTAL AND SANITARY SERVICES FOR THE MAINTENANCE OF CLEANLINESS OF NAGA CITY PREMISES AMD OTHER CITY FACILITIES</t>
  </si>
  <si>
    <t>4.5 cu.m 500 pcs.-0.025 x 0.15 x 2.40 (coco) lumber, etc.</t>
  </si>
  <si>
    <t>Concreting of Pathway</t>
  </si>
  <si>
    <t>Concreting of Balite-Pachoca-Lalud Road, Calapan City, Or. Mindoro</t>
  </si>
  <si>
    <t>For Education &amp; Training Services</t>
  </si>
  <si>
    <t>Improvement of Cultivars Laboratory</t>
  </si>
  <si>
    <t>PROCUREMENT OF SAFETY &amp; OCCUPATIONAL PRODUCTS</t>
  </si>
  <si>
    <t>Purchase of Equipment for the use of Municipal Slaughterhouse, Lambunao, Iloilo</t>
  </si>
  <si>
    <t>PROCUREMENT OF 6 LOTS FUEL, OIL AND LUBRICANTS</t>
  </si>
  <si>
    <t>FABRICATION OF PUMP BOAT</t>
  </si>
  <si>
    <t>ESTABLISHMENT OF READING CENTER</t>
  </si>
  <si>
    <t>Construction of Water Pump House</t>
  </si>
  <si>
    <t>02 units UPS 6KVA for X-Ray Machine and CCTV</t>
  </si>
  <si>
    <t>Procurement of One (1) Unit Drone with complete accessories</t>
  </si>
  <si>
    <t>PROCUREMENT OF GOODS FOR THE CONSTRUCTION OF CANAL ALONG PRECILLO BAWINGAN TO MOISES DOMEPNAS AT PATIACAN, QUIRINO, ILOCOS SUR</t>
  </si>
  <si>
    <t>Rehabilitation of Various Streetlights</t>
  </si>
  <si>
    <t>1 unit Uninterrupted Power Supply</t>
  </si>
  <si>
    <t>1000	pcs Posters, etc.</t>
  </si>
  <si>
    <t>6 packs Bag, Poly - 3 x 8, 100s/pack, etc.</t>
  </si>
  <si>
    <t>1 Unit LAPTOP, COMPUTER, etc.</t>
  </si>
  <si>
    <t>SJH-20-0675-B I.V FLUIDS</t>
  </si>
  <si>
    <t>Development of Eco Park at Cagayan Sports Complex, Tuguegarao City Cagayan</t>
  </si>
  <si>
    <t>Concreting of Road at Roma, Mansalay, Oriental Mindoro</t>
  </si>
  <si>
    <t>SJH-20-0674-B DRUGS AND MEDICINES</t>
  </si>
  <si>
    <t>Proposed concreting of road at Patria Village, Brgy. Del Remedio, San Pablo City.</t>
  </si>
  <si>
    <t>Fence Repair, Entrance Arch, Gates and Signages Cagayan Farm School and Agri – Tourism Center, Anquiray, Amulung, Cagayan</t>
  </si>
  <si>
    <t>COMPUTER EQUIPMENT AND PRINTERS</t>
  </si>
  <si>
    <t>Cluster 3 a – (Dev’t of Ballesteros Agri – Eco Tourism Park Project) Animal Farm Development (Cagayan Breeding Farm) and Forage and Pasture Development Zitanga, Ballesteros, Cagayan</t>
  </si>
  <si>
    <t>Concreting of Road at Brgy. Mabuhay, Roxas, Or. Mindoro</t>
  </si>
  <si>
    <t>Concreting of Road at Sitio Proper West II, Nag-iba II, Naujan, Oriental Mindoro</t>
  </si>
  <si>
    <t>Q-095-20 PROCUREMENT OF DISTILLED WATER</t>
  </si>
  <si>
    <t>1.0km Boardwalk (Phase 01) 96 Spans x 3.00m (Cagayan Eco Tourism Forest Park) Nassiping, Gattaran, Cagayan</t>
  </si>
  <si>
    <t>Construction of PENRO Admin Building Nassiping, Gattaran, Cagayan</t>
  </si>
  <si>
    <t>Improvement of Multi Purpose Tuao Central Elementary School (Repair of Roof – School) Gymnasium</t>
  </si>
  <si>
    <t>Concreting of Road Network with Line Drainage Tuao District Hospital, Tuao, Cagayan</t>
  </si>
  <si>
    <t>Proposed construction of line canal at Brgy. San Nicolas, San Pablo City.</t>
  </si>
  <si>
    <t>SUPPLY AND DELIVERY OF TWENTY (20) UNITS BRAND NEW MULTI-PURPOSE VEHICLES (MULTICAB) FOR DISASTER PREPARED BARANGAYS</t>
  </si>
  <si>
    <t>DRYDOCKING AND REPAIR WORKS OF VARIOUS BFAR PATROL VESSELS.</t>
  </si>
  <si>
    <t>Concreting of Road at Wasig, Mansalay, Oriental Mindoro</t>
  </si>
  <si>
    <t>CONSTRUCTION OF COVERED COURT-NANTAWAKAN</t>
  </si>
  <si>
    <t>PPD-20-0661-B - Purchase of Office Equipment</t>
  </si>
  <si>
    <t>Completion of Multi Purpose Building (Back of Aranz Granstand) Cagayan Sports Complex, Tuguegarao City</t>
  </si>
  <si>
    <t>Construction of OPA Admin Building Anquiray, Amulung, Cagayan</t>
  </si>
  <si>
    <t>Concreting of Culung – Bugnay Farm to Market Road at Tuao, Cagayan</t>
  </si>
  <si>
    <t>Q-082-20 PROCUREMENT OF IT EQUIPMENT AND PERIPHERALS</t>
  </si>
  <si>
    <t>Q-057-20 PROCUREMENT OF CONTINUOUS PAPER</t>
  </si>
  <si>
    <t>Cluster 6 Anquiray Farm Tourism Development Project (Farm Service Area Network Development, Farm Utilities Development (Construction of Tanks and Pipelines), Farm Utilities Development (Electrical Sys</t>
  </si>
  <si>
    <t>Construction of Second Floor of Cagayan Provincial Jail Grid Line A-G, 1-10, Tuguegarao City</t>
  </si>
  <si>
    <t>LOCAL ACCESS ROAD-TADJI</t>
  </si>
  <si>
    <t>SUPPLY AND DELIVERY OF ONE (1) UNIT BRAND NEW DISASTER MONITORING VEHICLE (SPORTS UTILITY VEHICLE) FOR CITY DISASTER RISK REDUCTION AND MANAGEMENT OFFICE</t>
  </si>
  <si>
    <t>Various Infrastructure Projects @ Rodriguez, Rizal</t>
  </si>
  <si>
    <t>Q-084-20 PROCUREMENT OF MEDICAL SUPPLIES</t>
  </si>
  <si>
    <t>Spare Parts for PEO-2020-0123 &amp; 0111</t>
  </si>
  <si>
    <t>DIS-19-1554-B - Purchase of Construction Materials</t>
  </si>
  <si>
    <t>Janitorial Supplies for IADH-2020-0121 &amp; 0123</t>
  </si>
  <si>
    <t>PPD-20-0662-B - Purchase of Office Supplies</t>
  </si>
  <si>
    <t>Construction of Multi Purpose Building Sub Capitol Bangag Lallo Cagayan</t>
  </si>
  <si>
    <t>Assorted Janitorial Supplies</t>
  </si>
  <si>
    <t>Assorted school/Office Supplies and Devices</t>
  </si>
  <si>
    <t>CONCRETING OF OPEN CANAL</t>
  </si>
  <si>
    <t>“Procurement of Various Materials for the Procurement &amp; Installation of Solar Streetlights”</t>
  </si>
  <si>
    <t>Nassiping Eco Park Development Project Construction of Water System (Tanks and Distribution Lines) Nassiping, Gattaran, Cagayan</t>
  </si>
  <si>
    <t>“Procurement of Various Materials for the Improvement/Rehabilitation of Multi-Purpose Hall”</t>
  </si>
  <si>
    <t>EXPANSION OF EVACUATION CENTER</t>
  </si>
  <si>
    <t>20-06-460 Purchase of Base External 35W Radio (Wireless) for Survey</t>
  </si>
  <si>
    <t>Supply, Delivery and Installation of Office Equipment and Other Machineries</t>
  </si>
  <si>
    <t>Supply and delivery of aircon</t>
  </si>
  <si>
    <t>ROAD IMPROVEMENT (RIPRAP MASONRY  OF PROTECTION WALL CORNER CABARROGUIS –MUNICIPAL ROAD TO BRIMO STREET</t>
  </si>
  <si>
    <t>LOCAL ACCESS ROAD-PAQUET</t>
  </si>
  <si>
    <t>CONSTRUCTION OF MULTIPURPOSE BUILDING AND COVERED COURT</t>
  </si>
  <si>
    <t>100-2020-01-068 Supply and delivery of 55 cu.m. ready mixed concrete 3500psi</t>
  </si>
  <si>
    <t>Concreting of Road Leading to Parola at Brgy. San Jose, Roxas, Oriental Mindoro</t>
  </si>
  <si>
    <t>100-2020-01-069 Supply and delivery of 55cu.m. ready mixed concrete (3500psi)</t>
  </si>
  <si>
    <t>MACHINERIES &amp; EQUIPMENT</t>
  </si>
  <si>
    <t>Rice Cooker, Pressure Cooker and Stove</t>
  </si>
  <si>
    <t>Electrical Supplies for CDH-2020-0035</t>
  </si>
  <si>
    <t>PURCHASE OF VEHICLE</t>
  </si>
  <si>
    <t>Supply of Printers and Genuine Desktop Computer</t>
  </si>
  <si>
    <t>Supply &amp; Delivery of Two (2) units 1.0 HP Split type Air Conditioner ("Project")</t>
  </si>
  <si>
    <t>PROCUREMENT OF WATCHES under SVP NO. 2020-034</t>
  </si>
  <si>
    <t>SUPPLY AND INSTALLATION OF STREET LIGHTS.</t>
  </si>
  <si>
    <t>Supply &amp; Delivery of Well Drilling &amp; Construction Services</t>
  </si>
  <si>
    <t>Calinan Central School Supplies and Materials</t>
  </si>
  <si>
    <t>Supply and delivery of materials for the construction of Luparan PWS</t>
  </si>
  <si>
    <t>Supply &amp; Delivery of Construction Materials and Supplies</t>
  </si>
  <si>
    <t>Procurement of mats. for rehabilitation of Dirty Kitchen</t>
  </si>
  <si>
    <t>Spare Parts for GSO-2020-0073</t>
  </si>
  <si>
    <t>Procurement of Materials for the repair  of BFAR-13 Regional Office at Surigao City.</t>
  </si>
  <si>
    <t>Procurement of Diesel use for All government vehicle in this Municipality-2</t>
  </si>
  <si>
    <t>procurement for reproduction of learning modules</t>
  </si>
  <si>
    <t>20EE0137 Construction of Bridge, So. Dimachikchik Barangay Salvacion, Busuanga, Palawan</t>
  </si>
  <si>
    <t>ITB, San Carlos pavement</t>
  </si>
  <si>
    <t>School Supplies</t>
  </si>
  <si>
    <t>INVITATION TO BID FOR THE SUPPLY AND DELIVERY OF 16 AIR-CONDITIONING UNITS FOR CY 2020</t>
  </si>
  <si>
    <t>Installation of CCTV for Surveillance @ Santa Cruz Public Market and within the Vicinity of Municipal Building, Santa Cruz, Laguna</t>
  </si>
  <si>
    <t>REHABILITATION/IMPROVEMENT OF ROAD</t>
  </si>
  <si>
    <t>Supply and Delivery of 2,000,000 Pieces of Bangus Fry</t>
  </si>
  <si>
    <t>Procurement of Diesel Fuel for Provincial Equipments from Barobo-Lingig, Surigao del Sur (For the Month of June 2020 2nd Quarter)</t>
  </si>
  <si>
    <t>MG-PAT20-027 - SUPPLY AND DELIVERY OF 31.5MVA TRANSFORMER PRESSURE RELIEF DEVICE ALARM SWITCH AND ELECTRICAL CONNECTION</t>
  </si>
  <si>
    <t>Procurement-Supply &amp; Delivery of Office Equipment</t>
  </si>
  <si>
    <t>“PROCUREMENT OF LIFE INSURANCE”</t>
  </si>
  <si>
    <t>Concreting of Roads: Kapanickian Norte- Cataratan</t>
  </si>
  <si>
    <t>HMO-OFFICE SUPPLIES</t>
  </si>
  <si>
    <t>Concreting of Roads: Centro East-Burot</t>
  </si>
  <si>
    <t>( PR NO. 20-03-07-0117 Re-canvass SUPPLY AND DELIVERY OF 20 lgths UPVC Pipe, Class 150, S8 with Rubber Rings 200mmØ)</t>
  </si>
  <si>
    <t>PR# 2020-05-10 Various Materials for New Connection and Maintenance use</t>
  </si>
  <si>
    <t>PURCHASE OF MATERIALS – LAND DEVELOPMENT OF LOT 425-G</t>
  </si>
  <si>
    <t>( PR NO. 20-03-07-0144 Re-canvass SUPPLY AND DELIVERY OF 1 set CI STD Pavement Manhole Cover, 1mØ)</t>
  </si>
  <si>
    <t>Delivery of various Agricultural supplies (1st Semester 2020 - Consolidated) (re-bid) (ITB 20-073)</t>
  </si>
  <si>
    <t>SUPPLY AND DELIVERY OF VARIOUS MEDICAL EQUIPMENT</t>
  </si>
  <si>
    <t>PURCHASE OF ONE (1) UNIT MOTOR VEHICLE – WATER TRUCK (ENGINEERING OFFICE)</t>
  </si>
  <si>
    <t>CP 2020-39 BIDDING FOR THE SUPPLY, DELIVERY AND INSTALLATION OF COMBI BLINDS C/O CTO</t>
  </si>
  <si>
    <t>( PR NO. 20-06-08-0044 SUPPLY AND DELIVERY OF 20 btls Chlorine Reagents CI₂-1, 10 btls Chlorine Reagents CI2-2)</t>
  </si>
  <si>
    <t>Procurement of Diesel Fuel for Provincial Equipments from Marihatag-Lianga, Surigao del Sur (For the Month of June 2020 2nd Quarter)</t>
  </si>
  <si>
    <t>PROCUREMENT &amp; DELIVERY OF CONSTRUCTION MATERIALS &amp; SUPPLIES FOR THE CONSTRUCTION OF OUTPOST/REBID</t>
  </si>
  <si>
    <t>Repair of Roofing and Ceiling of Barangay Health Station</t>
  </si>
  <si>
    <t>Supply and Delivery of Tilapia Feeds at Buhi Freshwater Fishery Farm, Sta. Clara, Buhi, Camarines Sur</t>
  </si>
  <si>
    <t>PURCHASE OF MACHINES/EQUIPMENT/MATERIALS – DEVELOPMENT AND OR/UPGRADING OF MUNICIPAL WASTE RECOVERY AND RECYCLING PROCESSING SYSTEM</t>
  </si>
  <si>
    <t>Improvement of Multi-Purpose Hall (Phase 1)</t>
  </si>
  <si>
    <t>SP-SECRETARIAT-TIRE</t>
  </si>
  <si>
    <t>SUPPLY AND DELIVERY AND INSTALLATION OF ONE UNIT SIREN</t>
  </si>
  <si>
    <t>Procurement of Diesel and Gasoline Fuel for the Provincial Government of Surigao del Sur Equipments and Vehicles for the Month of June 2nd Quarter of the Year 2020</t>
  </si>
  <si>
    <t>LT STAGE RENOVATION</t>
  </si>
  <si>
    <t>TLDH-WELL MILLED RICE</t>
  </si>
  <si>
    <t>Improvement of Barangay Health Station</t>
  </si>
  <si>
    <t>PURCHASE OF MATERIALS – CONSTRUCTION OF MUNICIPAL HALL ANNEX BUILDING</t>
  </si>
  <si>
    <t>Delivery of Oil and Lubricants (1st, 2nd &amp; 3rd Quarter 2020) (ITB 20-074)</t>
  </si>
  <si>
    <t>Procurement of Equipment in Refrigeration and Air-Condition Servicing NC II</t>
  </si>
  <si>
    <t>supply and delivery of materials and fittings</t>
  </si>
  <si>
    <t>SUPPLY &amp; DELIVERY OF HOSPITAL BED</t>
  </si>
  <si>
    <t>CATTLE FATTENING PROJECT</t>
  </si>
  <si>
    <t>Procurement of Const. Supplies for Repair of Ceiling in Gr. 1 Classroom at Buan Elem. School</t>
  </si>
  <si>
    <t>( PR NO. 20-06-04-0069 SUPPLY AND DELIVERY OF 4 units IPAD MINI)</t>
  </si>
  <si>
    <t>189 bags Portland Cement 40 kgs and other items for completion of the 2nd Floor 2 classroom building at Taclobo National High School at Barangay Batinguel.</t>
  </si>
  <si>
    <t>20-008 PURCHASE OF DUMPTRUCK</t>
  </si>
  <si>
    <t>Construction of MEO Building, Phase 1</t>
  </si>
  <si>
    <t>SVP PUR20-05-0432 Procurement of Broadcast Messaging System for PGH</t>
  </si>
  <si>
    <t>Procurement of Const. Supplies for Repair of Classroom Partition at Pamacaun Elem.</t>
  </si>
  <si>
    <t>Procurement of Dedicated Internet Connection</t>
  </si>
  <si>
    <t>1 set Dosing Pump - Bala Pump Station</t>
  </si>
  <si>
    <t>FRT-20-0440-B - DRUGS AND MEDICINES</t>
  </si>
  <si>
    <t>Labor and Materials (Backhoe)</t>
  </si>
  <si>
    <t>Rehabilitation of Drainage Canal (Magallanes St. &amp; San Francisco St.)</t>
  </si>
  <si>
    <t>FRT-20-0436-B - MEDICAL SUPPLIES</t>
  </si>
  <si>
    <t>Request for quotation PR No. 0919-20</t>
  </si>
  <si>
    <t>Supply and Delivery of Commercial Feeds for Tilapia (Floating Type)</t>
  </si>
  <si>
    <t>Medical Supplies, Rescue Materials and Evacuation Facilities for DRRM Operations</t>
  </si>
  <si>
    <t>Procurement-Supply &amp; Delivery of Office Equipment &amp; Furniture &amp; Fixture</t>
  </si>
  <si>
    <t>Provision of Diesel fuel for the month of July-December, 2020</t>
  </si>
  <si>
    <t>PROOCUREMENT OF MICRO-INFRA PROJECTS CLUSTER 03-2020 (MDF 2019/2020), BILA/ BOBOK-BISAL, BENGUET</t>
  </si>
  <si>
    <t>Supply of Materials for Construction of Multi-Purpose Building, Phase V</t>
  </si>
  <si>
    <t>PROCUREMENT OF MICRO-INFRA PROJECTS CLUSTER 04-2020 (MDF 2020), DAKLAN, BENGUET</t>
  </si>
  <si>
    <t>Development of Waterworks System</t>
  </si>
  <si>
    <t>SUPPLY, DELIVERY AND REPAIR OF SPAREPARTS OF HEAVY EQUIPMENT (VIBRATORY COMPACTOR), LGU ALEOSAN, COTABATO</t>
  </si>
  <si>
    <t>Procurement-Supply &amp; Delivery of Office, Other &amp; Janitorial Supplies</t>
  </si>
  <si>
    <t>BLGU-STACRUZ-G-01-2020 PURCHASE OF PUBLIC ADDRESS AMPLIFIER</t>
  </si>
  <si>
    <t>Purchase of Curtains</t>
  </si>
  <si>
    <t>CONSTRUCTION OF BLEACHER &amp;  STAGE AT BASKETBALL COURT(BRGY.SAN NICOLAS,VILLASIS,PANG)</t>
  </si>
  <si>
    <t>Improvement of Multi-purpose Hall</t>
  </si>
  <si>
    <t>Procurement of Const. Supplies for REpair of Feeding Center and Canteen at Cabaywa Upper Elem. School</t>
  </si>
  <si>
    <t>Construction of Barangay Tanod Outpost</t>
  </si>
  <si>
    <t>Heavy Duty Storage Tub (Small, Medium &amp; Large)</t>
  </si>
  <si>
    <t>SUPPLY &amp; DELIVERY OF ECG MACHINE WITH ANALYZER</t>
  </si>
  <si>
    <t>( PR NO. 20-06-04-0068 SUPPLY AND DELIVERY OF 5 pcs SERVICE WATCH FOR FEMALE, 1 pc SERVICE WATCH FOR MALE)</t>
  </si>
  <si>
    <t>Procurement of Diesel Fuel for Provincial Equipments ( for the Month of June 2020 2nd Quarter)</t>
  </si>
  <si>
    <t>Procurement-Supply &amp; Delivery of Office Supplies</t>
  </si>
  <si>
    <t>Procurement of Janitorial Supplies for OSDS Use.</t>
  </si>
  <si>
    <t>SUPPLY &amp; DELIVERY OF MEDICAL EQUIPMENT/ INSTRUMENT PACKAGES</t>
  </si>
  <si>
    <t>( PR NO. 20-06-04-0067 SUPPLY AND DELIVERY OF 5 pcs SERVICE  RINGS)</t>
  </si>
  <si>
    <t>PROCUREMENT OF MICRO-INFRA PROJECTS CLUSTER 05-2020 (MDF 2020), PITO, BENGUET</t>
  </si>
  <si>
    <t>Supply and Delivery of Rehabilitation of DCWD Well ( F-001-0366-20 )</t>
  </si>
  <si>
    <t>SUPPLY AND DELIVERY OF HOTEL PROPERTY MANAGEMENT SYSTEM SOFTWARE PR NO. 2020-03-0474)</t>
  </si>
  <si>
    <t>SUPPLY &amp; DELIVERY OF ELECTRICAL SUPPLIES OF MARINAWA DPP</t>
  </si>
  <si>
    <t>( PR NO. 20-06-04-0066 SUPPLY AND DELIVERY OF 44 pcs PLAQUE)</t>
  </si>
  <si>
    <t>Construction Materials (Construction of Concrete Marker)</t>
  </si>
  <si>
    <t>Meals and Accommodation during the conduct of 2nd Quarter BIFIRDEN Meeting on August 19-21, 2020 in Sorsogon City</t>
  </si>
  <si>
    <t>SUPPLY &amp; DELIVERY OF AUTOCLAVE</t>
  </si>
  <si>
    <t>CONSTRUCTION OF MULTI-PURPOSE BUILDING DINGLE, ILOILO</t>
  </si>
  <si>
    <t>Request for quotation PR No. 0935-20</t>
  </si>
  <si>
    <t>Repair/Maintenance of DPWH Building (Rediras Building) Albay II District Engineering Office, Airport Site, Legazpi City, Albay</t>
  </si>
  <si>
    <t>Purchase &amp; Delivery of Communication Equipment for use in Enforcement of Traffic Laws and Ordinances, S.C.</t>
  </si>
  <si>
    <t>Ozone Generator</t>
  </si>
  <si>
    <t>Request for quotation PR No. 0923-20</t>
  </si>
  <si>
    <t>Purchase of Materials for the Concreting of Municipal Streets, Latañafrancia and Ladrido Sts., Pob. Ilawod, Lambunao, Iloilo</t>
  </si>
  <si>
    <t>Procurement of Const. Supplies for Repair of School Canteen at Cambanogoy Central Elem School</t>
  </si>
  <si>
    <t>Construction of Multi-Purpose Hall Phase IV</t>
  </si>
  <si>
    <t>Repair and Maintenance of Lab Instruments</t>
  </si>
  <si>
    <t>Fuel for use in City Mayor's Office, Surigao City</t>
  </si>
  <si>
    <t>Supply and Delivery of Materials for the Concreting of Farm To Market Road at Purok Sadiri Connected to Purok Saniata</t>
  </si>
  <si>
    <t>SUPPLY &amp; DELIVERY OF VARIOUS MAINTENANCE MATERIALS OF MARINAWA DPP2</t>
  </si>
  <si>
    <t>PROCUREMENT ON SUPPLY AND DELIVERY OF ICT EQUIPMENT (3RD AND 4TH QUARTER)</t>
  </si>
  <si>
    <t>SVP PUR20-05-0451 Provision of High Speed Direct Internet Service for PGH</t>
  </si>
  <si>
    <t>Procurement-Supply &amp; Delivery of Diesel</t>
  </si>
  <si>
    <t>ITB No. 2020-06-22 Supply and Delivery of Seventy-one (71) sets - Brand New, Four Stroke cycle, diesel engine, 6.0 - 7.0 hp., air cooled, 3,000-3,600 rpm belt driven to high pressure Horizontal Triple</t>
  </si>
  <si>
    <t>Improvement of Waterworks System</t>
  </si>
  <si>
    <t>SUPPLY &amp; DELIVERY OF DEFIBRILLATOR WITH MONITOR</t>
  </si>
  <si>
    <t>( PR NO. 20-06-09-0018 SUPPLY AND DELIVERY OF 6 pcs MECHANICAL SUBMERSIBLE Self-Priming flexible suction water pump)</t>
  </si>
  <si>
    <t>Construction of Farm to Market Road</t>
  </si>
  <si>
    <t>Procurement of Const. Supplies for Repair and REpainting of Two Room School Building at New Loon Elem. School</t>
  </si>
  <si>
    <t>Purchase of Office Supplies and Equipments of the Engineering Office</t>
  </si>
  <si>
    <t>Purchase of Medical supplies and materials for School Clinic use at Sorsogon City Campus</t>
  </si>
  <si>
    <t>Request for quotation PR No. 0912-20</t>
  </si>
  <si>
    <t>BIDDING (VEHICLE)</t>
  </si>
  <si>
    <t>Fuel &amp; Fuel Addtives for use in Emergency Response Services Ambulance, Surigao City</t>
  </si>
  <si>
    <t>FRT-20-0394-B - DRUGS AND MEDICINES</t>
  </si>
  <si>
    <t>Construction of Open Canal - Zone 1</t>
  </si>
  <si>
    <t>Purchase of Medicines and Medical Supplies</t>
  </si>
  <si>
    <t>Supplies for Quarantine Isolation Facility use</t>
  </si>
  <si>
    <t>A. ROAD CONCRETING AT PUROK 28, BARANGAY INAYANGAN, CALINAN DISTRICT B. ROAD CONCRETING AT PUROK 28, BARANGAY INAYANGAN, CALINAN DISTRICT, DAVAO CITY</t>
  </si>
  <si>
    <t>SUPPLY &amp; DELIVERY OF DRESSING CART WITH DRESSING SET</t>
  </si>
  <si>
    <t>Augmentation of Barangay Hall</t>
  </si>
  <si>
    <t>Procurement-Supply &amp; Delivery of Other Supplies</t>
  </si>
  <si>
    <t>Request for quotation PR No. 0936-20</t>
  </si>
  <si>
    <t>Purchase &amp; Delivery of Electrical Supplies for use in Decoration at Sangguniang Panlungsod Building, Surigao City.</t>
  </si>
  <si>
    <t>FURNISHING AND DELIVERY OF MATERIALS FOR THE REPAIR AND IMPROVEMENT OF SIPAYA AND CALATEO ROAD</t>
  </si>
  <si>
    <t>20-06-206 Procurement of Various Medical Supplies</t>
  </si>
  <si>
    <t>Purchase of Materials for the Const. of Slope Protection Retaining Wall - Phase II (Garments), Pob. Ilawod, Lambunao, Iloilo</t>
  </si>
  <si>
    <t>Implementation of 2020 TCT CAPEon Program</t>
  </si>
  <si>
    <t>Procurement of Const. Supplies for Repair of School Feeding Center of New Bantayan Elem. School</t>
  </si>
  <si>
    <t>Request for quotation PR No. 0908-20</t>
  </si>
  <si>
    <t>Construction of Sibanjan Retaining Wall &amp; Storm Drain Canal</t>
  </si>
  <si>
    <t>Request for quotation PR No. 0915-20</t>
  </si>
  <si>
    <t>PROCUREMENT OF MICRO-INFRA PROJECTS CLUSTER 06-2020 (MDF 2020), KARAO, BENGUET</t>
  </si>
  <si>
    <t>Repair/Maintenance of Mabinit River 1 Revetment 2, Legazpi (F40032LZ)</t>
  </si>
  <si>
    <t>Purchase &amp; Delivery of Vehicle for use at CSWD-SLP, Surigao City.</t>
  </si>
  <si>
    <t>Office and Other Supplies</t>
  </si>
  <si>
    <t>Hauling Services of Garbage for the Month of May 19- June 30, 2020</t>
  </si>
  <si>
    <t>Purchase of Thirteen (13) Units Brand New Laptop</t>
  </si>
  <si>
    <t>REHABILITATION / IMPROVEMENT OF LOCAL ACCESS ROADS</t>
  </si>
  <si>
    <t>SUPPLY &amp; DELIVERY OF FETAL DOPPLER AND FETAL MONITOR</t>
  </si>
  <si>
    <t>PROCUREMENT OF BANYAN TREE AND BAMBOO SEEDLINGS</t>
  </si>
  <si>
    <t>Purchase of Medical and Laboratory Supplies for School Clinic use at Sorsogon City Campus</t>
  </si>
  <si>
    <t>Procurement of Exhaust Fan and Industrial Fan</t>
  </si>
  <si>
    <t>Construction of Public Toilet for Men &amp; Women</t>
  </si>
  <si>
    <t>COMPLETION OF MULTI PURPOSE BUILDING AT PITO, BOKOD, BENGUET (MDF 2020)</t>
  </si>
  <si>
    <t>REHABILITATION OF MULTI-PURPOSE BUILDING</t>
  </si>
  <si>
    <t>20-06-209 Procurement of Liquid Hand Soap</t>
  </si>
  <si>
    <t>Purchase of Two-Way Radios</t>
  </si>
  <si>
    <t>Procurement-Supply &amp; Delivery of Maternal Milk</t>
  </si>
  <si>
    <t>Materials for Maintenance of Transmission Pipeline</t>
  </si>
  <si>
    <t>Procurement of materials and rental of equipment for Improvement of Early Childhood Development Center</t>
  </si>
  <si>
    <t>Procurement of Materials and supplies for Municipal MRF &amp; Other SWW program</t>
  </si>
  <si>
    <t>Fabrication of Wooden Hull Fishing Banca with Outrigger</t>
  </si>
  <si>
    <t>Supply, Delivery, Installation, Testing and Commissioning of various Air condition of CFO</t>
  </si>
  <si>
    <t>Procurement of materials for Improvement of Multi-Purpose Building</t>
  </si>
  <si>
    <t>PURCHASE OF MEDICAL SUPPLIES RE: TB DOTS (JOSE PANGANIBAN - LGU)</t>
  </si>
  <si>
    <t>20DP0042-R1: Network Development Program – Road Widening - Primary Road - San Pablo- Calauan Rd. – K0081 + 095 - K0081 + 586, K0081 + 593 – K0082 + 000</t>
  </si>
  <si>
    <t>Supply and Delivery of Android Phone for Barangay Officials of Kahaponan, City of Valencia, Bukidnon</t>
  </si>
  <si>
    <t>Supply of four (4) lengths Riser Pipe Coupling 6" diameter x 10ft.</t>
  </si>
  <si>
    <t>Service Vehicle for Repair &amp; Maintenance</t>
  </si>
  <si>
    <t>SUPPLY &amp; DELIVERY OF DELIVERY LIGHT,  DELIVERY SET &amp; DELIVERY TABLE</t>
  </si>
  <si>
    <t>20CB-GSC-343-CATERING SERVICES</t>
  </si>
  <si>
    <t>Local Access Road/Upgrading</t>
  </si>
  <si>
    <t>GOODS-ITB 2020-06-014 SUPPLY AND DELIVERY OF ASSORTED CROP SEEDS FOR DISTRIBUTION TO HIGH-VALUED CROPS (HVC) GROWERS  IN LAPINIG, N. SAMAR  (1ST POSTING)</t>
  </si>
  <si>
    <t>Procurement of Materials for the Construction of Tagcatong Multi-Purpose Building Phase 2</t>
  </si>
  <si>
    <t>Supply of one (1) unit Business Notebook</t>
  </si>
  <si>
    <t>Repair/Maintenance of Malabog River Revetment 12, Malabog, Daraga, Albay (F40141LZ)</t>
  </si>
  <si>
    <t>Purchase of Materials for the Const. of Visitors Center/ IP Museum (Phase II), POb. Ilawod, Lambunao, Iloilo</t>
  </si>
  <si>
    <t>PROCUREMENT OF DISINFECTANT FOR DISINFECTION OF THE OFFICE</t>
  </si>
  <si>
    <t>Request for quotation PR No. 0934-20</t>
  </si>
  <si>
    <t>Construction of Drainage Canal( Sitio Talisay)</t>
  </si>
  <si>
    <t>IMPROVEMENT OF WATERWORKS SYSTEM, BALANI, LUCOG</t>
  </si>
  <si>
    <t>Supply of 2,000 pieces Alcohol, (Ethyl) 70% Solution 250ml.</t>
  </si>
  <si>
    <t>Supply &amp; Delivery of Materials for 250 Household New Service Connections-UPIS</t>
  </si>
  <si>
    <t>Road Opening Tinago Falls/Cave</t>
  </si>
  <si>
    <t>PURCHASE OF SARS-COV-2 IgM/IgG ANTIBODY TEST KIT (COLLOIDAL GOLD METHOD)</t>
  </si>
  <si>
    <t>Supply of 201 boxes Face Mask (50 pcs./box)</t>
  </si>
  <si>
    <t>Supply and Delivery of Construction Materials and Supplies for the Concreting of Barangay Road (So. Siange)</t>
  </si>
  <si>
    <t>Procurement of Materials for the Construction of S. Pedrosa Street &amp; N Honculada  Street Drainage Canal</t>
  </si>
  <si>
    <t>FOR RHU ANTI RABIES VACCINATION</t>
  </si>
  <si>
    <t>Supply of 230 pieces Liquid Handsoap 500ml</t>
  </si>
  <si>
    <t>Construction of Pathway - Zone 5</t>
  </si>
  <si>
    <t>PURCHASE AND INSTALLATION OF HANDHELD RADIO REPEATER</t>
  </si>
  <si>
    <t>INVITATION TO BID FOR: CONSTRUCTION OF MANPOWER TRAINING CENTER PHASE III – CORELLA, BOHOL</t>
  </si>
  <si>
    <t>Supply and Delivery of Solar Streetlights</t>
  </si>
  <si>
    <t>Procurement of materials for Improvement of Water System</t>
  </si>
  <si>
    <t>UPGRADING/IMPROVEMENT/REHABILITATION OF NGIBAT-TULGAO PROVINCIAL ROAD, TULGAO</t>
  </si>
  <si>
    <t>Purchase of 2 unit Laptop</t>
  </si>
  <si>
    <t>Bongo frontier cats eye</t>
  </si>
  <si>
    <t>CONSTRUCTION OF CANAL LINING, NANENG</t>
  </si>
  <si>
    <t>REPAIR AND MAINTENANCE OF FARM TO MARKET ROADS</t>
  </si>
  <si>
    <t>SUPPLY &amp; DELIVERY GENERATOR SET</t>
  </si>
  <si>
    <t>Procurement of Fertilizers, Insecticides and Dessuckerides</t>
  </si>
  <si>
    <t>Supply of seven (7) pieces Ladies Watch</t>
  </si>
  <si>
    <t>Purchase of 1,000 pcs. Garnent Bag for Gown and 1,000 pcs. Garment Bag for Coat (2nd Posting)</t>
  </si>
  <si>
    <t>Drug Testing Kits</t>
  </si>
  <si>
    <t>Purchase of Materials for the Farm to Market Road (Concreting), Brgy. Bayuco, Lambunao, Iloilo</t>
  </si>
  <si>
    <t>20GA0220-Concreting of Brgy. Guinatuan to Sitio Datag Brgy. Tigbawan FMR Brgy. Guinatuan and Brgy. Tigbawan, Madalag, Aklan</t>
  </si>
  <si>
    <t>Supply of ten (10) boxes Partitioned Tubes, Coated</t>
  </si>
  <si>
    <t>SUPPLY &amp; DELIVERY OF OFFICE EQUIPMENT &amp; SUPPLIES OF MARINAWA DPP2</t>
  </si>
  <si>
    <t>PROCUREMENT OF  TWO (2) UNITS 6 WHEELER MINI DUMP TRUCK</t>
  </si>
  <si>
    <t>Purchase of Solar Street Lights</t>
  </si>
  <si>
    <t>REHABILITATION OF ROAD AT TROPICAL, PUROK 7, TUGBUNGAN, ZAMBOANGA CITY</t>
  </si>
  <si>
    <t>IMPROVEMENT OF FARM TO MARKET ROAD, LUCOG</t>
  </si>
  <si>
    <t>PROCUREMENT OF ORGANIC FERTILIZER</t>
  </si>
  <si>
    <t>Purchase of Materials for the Farm to Market Road (Concreting), Brgy. Cunarom, Lambunao, Iloilo</t>
  </si>
  <si>
    <t>CONSTRUCTION OF DRAINAGE CANAL, P3, RAMIREZ ST.,  BULANAO NORTE</t>
  </si>
  <si>
    <t>Procurement of Construction Equipment</t>
  </si>
  <si>
    <t>Construction of Rural Access Road (Sitio Talisay)</t>
  </si>
  <si>
    <t>GENERAL MERCHANDISE</t>
  </si>
  <si>
    <t>Renovation of Old Barangay Hall to Sub-Station</t>
  </si>
  <si>
    <t>REPAIR/ IMPROVEMENT OF NEDA XII BUILDING</t>
  </si>
  <si>
    <t>SUPPLY &amp; DELIVERY OF VARIOUS MATERIALS OF OM-BOD</t>
  </si>
  <si>
    <t>Procurement of Furniture and Fixtures for the New Academic Building</t>
  </si>
  <si>
    <t>Procurement of Large Format A3 Printer</t>
  </si>
  <si>
    <t>Fabrication, Delivery, and Installation of SSF Signage for New and Existing SSF Cooperators in MIMAROPA</t>
  </si>
  <si>
    <t>PURCHASE OF 2 UNITS BRAND NEW RESCUE VEHICLES WITH ACCESSORIES</t>
  </si>
  <si>
    <t>Invitation to Bid for the Provision of Security Services for URS Antipolo City, Angono, Binangonan, Cainta, Cardona, Morong, Pililla, Rodriguez, Tanay and Taytay Campuses, 2nd Bidding</t>
  </si>
  <si>
    <t>Proposed Improvement of City Engineer's Office Building</t>
  </si>
  <si>
    <t>Supply and Delivery of Construction Materials and Supplies for the Concreting of Barangay Road (So. Alyanon)</t>
  </si>
  <si>
    <t>Procurement of Smart TVs and Ceiling Fans for the New Academic Building</t>
  </si>
  <si>
    <t>SUPPLY AND DELIVERY OF FERTILIZER REQUIREMENTS OF WET SEASON RICE 2020</t>
  </si>
  <si>
    <t>Supply and Delivery of Laptop Computer for NIA-NVIMO, Bayombong, Nueva Vizcaya.</t>
  </si>
  <si>
    <t>Procurement of Piston Ring std, Connecting Rod Bearing, Silicon Oil, Piston std, Fan Blade, Air Cleaner Filter, Oil Filter, Fuel Filter, Clutch Booster, Cluctch Disk</t>
  </si>
  <si>
    <t>VEHICLE REPAIR AND MAINTENANCE</t>
  </si>
  <si>
    <t>CONSTRUCTION OF DISASTER OPERATION CENTER (PHASE IV) Poblacion, Lingig, Surigao Del Sur</t>
  </si>
  <si>
    <t>CONSTRUCTION OF RIPRAP FRONT OF WESTERN KALINGA NHS, BUAYA</t>
  </si>
  <si>
    <t>Supply of 12 pieces Submersible Pump Chamber</t>
  </si>
  <si>
    <t>Purchase of Hospital bed and equipment for School Clinic use at Sorsogon City Campus</t>
  </si>
  <si>
    <t>LRDD-ORGANIC 2020-02-022 (R-1) - Supply and delivery of hardware supplies for use in the development and construction of solar forage drier at NSPRDC, Tiaong, Quezon</t>
  </si>
  <si>
    <t>20HE0119 Repair and Maintenance of Road Safety Facility – 1. Installation of Internally Illuminated (Solar) Pavement Levelled Marker/Stud Flush Type (Bi-Directional) along Natalio Bacalso Avenue at K0</t>
  </si>
  <si>
    <t>FURNISHING OF MATERIALS &amp; RENTAL OF EQUIPMENT FOR CONSTRUCTION OF PUBLIC CR AT PUROK 2</t>
  </si>
  <si>
    <t>Repair/Maintenance of Big Mateo Bridge Revetment along Kidapawan-Magpet-Pangao-an Road, Big Mateo Bridge approach “B” (Downstream) (Re-Published)</t>
  </si>
  <si>
    <t>20GA0222-Concreting of Brgy. Pang-itan to Brgy. San Jose FMR  Brgy. Pang-itan and Brgy. San Jose, Madalag, Aklan</t>
  </si>
  <si>
    <t>CONSTRUCTION OF SCHOOL &amp; EVACUATION CENTER COMFORT ROOM, LIWAN EAST</t>
  </si>
  <si>
    <t>CONSTRUCTION/IMPROVEMENT OF MULTI-PURPOSE HALL BRGY.SAN MIGUEL-RE POST</t>
  </si>
  <si>
    <t>RFQ NO. 20-078 SUPPLY AND DELIVERY OF ONE HUNDRED FIFTY (150) KITS EG7+CARTRIDGE 25 TEST/KIT</t>
  </si>
  <si>
    <t>Labor Cost for Repair of Facilities</t>
  </si>
  <si>
    <t>Purchase of Materials for the Farm to Market Road (Concreting), Brgy. Cabugao, Lambunao, Iloilo</t>
  </si>
  <si>
    <t>CONSTRUCTION OF DEEPWELL WITH ELEVATED TANK, AGBANNAWAG NATIONAL HIGH SCHOOL, AGBANNAWAG</t>
  </si>
  <si>
    <t>HAULING SERVICES (LUBE OIL) OF RAPU-RAPU DPP</t>
  </si>
  <si>
    <t>Procurement of Desktop Computers</t>
  </si>
  <si>
    <t>Implementation of 2020 TCT MiMPEX Program</t>
  </si>
  <si>
    <t>Supply of 200 pieces Rubber Bearing 1-11/16" x 2-5/8" x 5-1/2"</t>
  </si>
  <si>
    <t>IMPROVEMENT OF FMR, CENTRO SANTOR-ANONANG, SANTOR</t>
  </si>
  <si>
    <t>ELECTRIFICATION OF NEW CLASSROOM BUILDING(INSTALLATION OF ELECTRICITY OF THE 8 CLASSROOM OF THE NEW SCHOOL BUILDING)</t>
  </si>
  <si>
    <t>Supply of 15 units Polyurethane Composite</t>
  </si>
  <si>
    <t>Supply of 13 pieces Mens Watch</t>
  </si>
  <si>
    <t>PROCUREMENT OF 4 WHEELER MULTI PURPOSE VEHICLE (MPV)</t>
  </si>
  <si>
    <t>Supply and Delivery of Construction Materials and Supplies for the Installation of Solar Streetlights (So. Hingin I &amp; Alyanon)</t>
  </si>
  <si>
    <t>Thermometer (digital, armored, with probe)</t>
  </si>
  <si>
    <t>Procurement of Medicines for use at RHU I and II.</t>
  </si>
  <si>
    <t>BRIGADA</t>
  </si>
  <si>
    <t>SUPPLY &amp; DELIVERY OF ACU 2HP OF MARINAWA DPP</t>
  </si>
  <si>
    <t>IMPROVEMENT OF BARANGAY HEALTH CENTER, SAN PASCUAL</t>
  </si>
  <si>
    <t>Construction of Typical Fire Station with Mezzanine of Alubijid Fire Station</t>
  </si>
  <si>
    <t>PROCUREMENT OF DRUGS AND MEDICINE-REPOST</t>
  </si>
  <si>
    <t>PROPOSED RENOVATION OF M.T.M.O OFFICE</t>
  </si>
  <si>
    <t>IMPROVEMENT OF MULTI-PURPOSE HALL</t>
  </si>
  <si>
    <t>Supply of ten (10) units Battery Pack for ABB Electromagnetic Flowmeter</t>
  </si>
  <si>
    <t>Extension of Boardwalk, Construction of Shed and Entrance Pavement - ITB 041-2020 GQ</t>
  </si>
  <si>
    <t>RFQ No. 20-0565 NP-SVP - Supply and Delivery of Token for the Activity of Foreign Delegates Study Visit in the Philippines</t>
  </si>
  <si>
    <t>SUPPLY &amp; DELIVERY OF VEGETABLE SEEDS</t>
  </si>
  <si>
    <t>Supply of one (1) lot Subscription Data Back-up Software</t>
  </si>
  <si>
    <t>Purchase of Lateral Filing Steel Cabinet for School Clinic use at Sorsogon City Campus</t>
  </si>
  <si>
    <t>CONSTRUCTION OF CIS, SUKIAP, TANGLAG</t>
  </si>
  <si>
    <t>Repair/Maintenance of DILG Building Cotabato Police Prov’l Office Building, Amas, Kidapawan City (Re-Published)</t>
  </si>
  <si>
    <t>IMPROVEMENT OF MANPAY-AS FMR, BULALACAO, MANKAYAN, BENGUET</t>
  </si>
  <si>
    <t>Procurement of Agricultural and Marine Supplies, LGU (for various brgys), Baybay City, Leyte</t>
  </si>
  <si>
    <t>PROPOSED REHABILITATION OF SLOPE PROTECTION</t>
  </si>
  <si>
    <t>Laptop Computer and Dot Matrix Printer for Finance &amp; Commercial Division</t>
  </si>
  <si>
    <t>Construction of One Septic Tank</t>
  </si>
  <si>
    <t>SUPPLY, DELIVERY &amp; TESTING OF FOUR (4) UNITS DIGITAL PORTABLE MONEY COUNTER</t>
  </si>
  <si>
    <t>Procurement of Office Supplies for Use in the NSTP Office</t>
  </si>
  <si>
    <t>Procurement of Agricultural Supply (Livestock and Feeds), LGU (various brgys), Baybay City, Leyte</t>
  </si>
  <si>
    <t>IMPROVEMENT OF ROAD, SAN JUAN</t>
  </si>
  <si>
    <t>office and other supplies - SHS</t>
  </si>
  <si>
    <t>PROCUREMENT OF FALCATA SEEDLINGS</t>
  </si>
  <si>
    <t>Supply, Delivery and Installation of Fixtures at RHU Dauis, Bohol</t>
  </si>
  <si>
    <t>Supply of four (4) sets Two-Way Radio (pair)</t>
  </si>
  <si>
    <t>CONST.OF MULTI-PURPOSE BUILDING (PHASE-2)</t>
  </si>
  <si>
    <t>Purchase of Materials for the Farm to Market Road (Concreting), Brgy. Malag-it, Lambunao, Iloilo</t>
  </si>
  <si>
    <t>Tipping Fee of Garbage for the Month of May 19- June 30, 2020</t>
  </si>
  <si>
    <t>CONCRETING OF PATHWAY SITIO PINAYAGAN</t>
  </si>
  <si>
    <t>Street Illumination at the Municipal Plaza</t>
  </si>
  <si>
    <t>Procurement-Supply &amp; Delivery Veterinary Supplies</t>
  </si>
  <si>
    <t>Procurement of Const. Supplies for Repair of School Perimeter Fence at Katipunan Elem. School</t>
  </si>
  <si>
    <t>Rehabilitation of Water System</t>
  </si>
  <si>
    <t>Procurement of Common Use Office Supplies for OSDS Use.</t>
  </si>
  <si>
    <t>Procurement of materials  for proposed Level III Water System Upgrading  at Barangay  Pelaez</t>
  </si>
  <si>
    <t>SUPPLY &amp; DELIVERY OF 300KW PERKINS SPAREPARTS OF RAPU-RAPU DPP</t>
  </si>
  <si>
    <t>Invitation to Bid for Purchase of Materials for Brigada Eskuela 2020</t>
  </si>
  <si>
    <t>Purchase &amp; Delivery of Electrical Supplies for use in the City Police Station, Surigao City.</t>
  </si>
  <si>
    <t>Inatallation of CCTV</t>
  </si>
  <si>
    <t>INVITATION TO BID FOR: SUPPLY, DELIVERY AND INSTALLATION OF AIR-CONDITIONING SYSTEM FOR GROUND FLOOR OFFICES (MUNICIPAL BUILDING – LEGISLATIVE WING) - CORELLA, BOHOL</t>
  </si>
  <si>
    <t>“Supply and Delivery of Plumbing Fixtures”</t>
  </si>
  <si>
    <t>Construction of Tourism Multi-Purpose Building with Complete Facilities</t>
  </si>
  <si>
    <t>Request for quotation PR No. 0913-20</t>
  </si>
  <si>
    <t>SUPPLY &amp; DELIVERY OF EXAMINING TABLE WITH STIRRUPS</t>
  </si>
  <si>
    <t>PROCUREMENT ON SUPPLY AND DELIVERY OF CONSTRUCTION EQUIPMENT FOR FABRICATION OF CSUCC MAIN GATE</t>
  </si>
  <si>
    <t>Procurement of Repair of Tuburan Bridge (Labor)</t>
  </si>
  <si>
    <t>CONDUCT OF INSET</t>
  </si>
  <si>
    <t>CONSTRUCTION OF WATERWORKS AT TAWANGAN, KABAYAN, BENGUET</t>
  </si>
  <si>
    <t>Supply and Delivery of Construction Materials for the Rehabilitation of Farm to Market Road</t>
  </si>
  <si>
    <t>IMPROVEMENT OF CLASSROOM BUILDING, AYOSEP ELEMENTARY SCHOOL, BALILI, MANKAYAN</t>
  </si>
  <si>
    <t>Purchase of Materials for the Farm to Market Road (Concreting), Brgy. Maite Pequeño, Lambunao, Iloilo</t>
  </si>
  <si>
    <t>IMPROVEMENT ALONG ANCHOKEY FMR (OTBONG PORTION) ANCHOKEY, KABAYAN, BENGUET</t>
  </si>
  <si>
    <t>PROVISION FOR SUPPORT FACILITIES AT CAUAYAN CITY SPORTS COMPLEX (PHASE 1)</t>
  </si>
  <si>
    <t>Supply &amp; Delivery of Learning Materials - ITB 040-2020 GQ</t>
  </si>
  <si>
    <t>REHABILITATION OF BASKETBALL COURT OF BOKLAOAN ELEMENTARY SCHOOL, KAPANGAN,BENGUET</t>
  </si>
  <si>
    <t>IMPROVEMENT OF OBANGA-DEKAN-LENGAOAN FMR, BACULONGAN SUR, BUGUIAS, BENGUET</t>
  </si>
  <si>
    <t>CONSTRUCTION OF SLOPE PROTECTION ALONG PROVINCIAL ROAD, PANTIKIAN</t>
  </si>
  <si>
    <t>Supply and Delivery of Construction Materials for Construction of VAWC Office Phase 2</t>
  </si>
  <si>
    <t>Construction of Multi-Purpose Building (Storage Room)</t>
  </si>
  <si>
    <t>Procurement of Repair of Tuburan Bridge (Materials)</t>
  </si>
  <si>
    <t>IMPROVEMENT OF JFMR-BPLS-PUGO-CUDAL-LAMMANGAN-JFMR OCDL (TUPINAW SECTION) BACULONGAN NORTE, BUGUIAS, BENGUET</t>
  </si>
  <si>
    <t>GROUND IMPROVEMENT OF CA-EW ELEMENTARY SCHOOL, BULALACAO, MANKAYAN, BENGUET</t>
  </si>
  <si>
    <t>CONTRACT OF SERVICE AS LEARNING SERVICE PROVIDER FOR THE CITY COLLEGE OF SAN JOSE DEL MONTE  PROFESSOR I</t>
  </si>
  <si>
    <t>CONSTRUCTION MATERIALS AND SUPPLIES</t>
  </si>
  <si>
    <t>Procurement-Supply &amp; Delivery of Food Commodities</t>
  </si>
  <si>
    <t>Voice Expansion (IP-PBX System) for the New Academic Building, Administration Building, Student Center and InfoTech Building</t>
  </si>
  <si>
    <t>INSTALLATION OF BARANGAY UNDERGROUND FIBER CCTV</t>
  </si>
  <si>
    <t>ROAD RE-BLOCKING</t>
  </si>
  <si>
    <t>IMPROVEMENT OF PASNA-AN - AYOSEP COMMUNITY/BARANGAY ROADS, BALILI, MANKAYAN, BENGUET</t>
  </si>
  <si>
    <t>CONCRETING OF BARANGAY ACCESS ROAD (CRITICAL SECTION) Sitio Bentigan, Barangay Pagtilaan, Lingig, Surigao Del Sur</t>
  </si>
  <si>
    <t>Purchase of Materials for the Farm to Market Road (Concreting), Brgy. Binabaan Labayno, Lambunao, Iloilo</t>
  </si>
  <si>
    <t>COMPLETION OF THE NEW CONSTRUCTED BARANGAY HALL - LABOR</t>
  </si>
  <si>
    <t>Retainer Fee for Medical and Dental Services for CY 2020.</t>
  </si>
  <si>
    <t>Construction of Solar Dryer</t>
  </si>
  <si>
    <t>CONSTRUCTION OF UBAY OPEN MARKET STORE BAGSAKAN CENTER</t>
  </si>
  <si>
    <t>REHABILITATION OF ASOKONG BARANGAY WATERWORKS SYSTEM,GUSARAN,KABAYAN,BEGUET</t>
  </si>
  <si>
    <t>20DB0135 Construction/Rehabilitation of Water Supply/Septage and Sewerage/Rain Water Collectors-Rain Water Collectors in Public Facilities</t>
  </si>
  <si>
    <t>Supply and Delivery of Risograph Machine to be used for production of learning modules, worksheets, activity and lesson exemplars</t>
  </si>
  <si>
    <t>CONDUCT OF PROFESSIONAL MEETING</t>
  </si>
  <si>
    <t>Food/ Groceries Supplies for the use/ consumption of RSCC Residents for CY- 2020</t>
  </si>
  <si>
    <t>PRINTING OF TARPAULINS</t>
  </si>
  <si>
    <t>CONDUCT WORLD TEACHERS DAY</t>
  </si>
  <si>
    <t>CONSTRUCTION OF STAGE AT KIBUNGAN NATIONAL HIGH SCHOOL</t>
  </si>
  <si>
    <t>IMPROVEMENT OF JFMR LKP-PUGO-LENGAT ROAD, BACULONGAN NORTE</t>
  </si>
  <si>
    <t>20GA0223-Concreting of Brgy. Sta. Cruz FMR Brgy. Sta. Cruz, Lezo, Aklan</t>
  </si>
  <si>
    <t>CONCRETING OF CADSI AMONY ELEMENTARY SCHOOL - MAIN GROUND PAVEMENT, BILIG, KAYAPA, BAKUN</t>
  </si>
  <si>
    <t>Construction Materials (Construction/Rehabilitation of Brgy. Roads)-Re-Bid</t>
  </si>
  <si>
    <t>SUPPLY AND DELIVERY OF COMPUTER LAPTOP, PARTS AND ACCESSORIES (2020-06-0033)</t>
  </si>
  <si>
    <t>ICT Equipments</t>
  </si>
  <si>
    <t>Office Equipment- Purchase of Office Equipment (DepEd School) - Duero, Bohol</t>
  </si>
  <si>
    <t>PAYMENT FOR INTERNET LOAD</t>
  </si>
  <si>
    <t>CONSTRUCTION OF DRAINAGE CANAL AT BAHAY PAGASA, WANGAL, LA TRINIDAD</t>
  </si>
  <si>
    <t>Procurement of Office Equipment for the use of DM Leo L. Santos</t>
  </si>
  <si>
    <t>CONSTRUCTION OF WAITING SHED ALONG SITIO COPLO, BAYABAS, SABLAN</t>
  </si>
  <si>
    <t>INSTALLATION OF HAND RAILINGS ALONG THE CRITICAL SECTIONS OF ALO - ELI PATHWAY, SITIO BANGAO, AMBUKLAO</t>
  </si>
  <si>
    <t>Provisions of Office Supplies</t>
  </si>
  <si>
    <t>(20NH0075 (RE-AD))Rehabilitation of Park, Brgy. Poblacion, Lianga, Surigao del Sur</t>
  </si>
  <si>
    <t>CONSTRUCTION OF FOOTPATH WITH RAILINGS NEAR BAUSTISTA AREA TO BOTED, TAWANG, LA TRINIDAD, BENGUET</t>
  </si>
  <si>
    <t>ROAD CONCRETING-LIPA HEIGTHS SUBD., BARANGAY TAMBO, LIPA CITY</t>
  </si>
  <si>
    <t>Supply and Delivery of Deodorizer for the Municipality</t>
  </si>
  <si>
    <t>PROCUREMENT OF CONSTRUCTION MATERIALS FOR THE IMPROVEMENT OF BRGY. SAN ROQUE MULTI – PURPOSE GYM</t>
  </si>
  <si>
    <t>PROVISION OF MEDICAL SUPPLIES</t>
  </si>
  <si>
    <t>CONSTRUCTION OF BOX CULVERT AT PUNAS CREEK, ANDOLOR, TABAAN SUR, TUBA</t>
  </si>
  <si>
    <t>PHOTOCOPY OF LIQUIDATION &amp; OTHER SCHOOL REPORTS</t>
  </si>
  <si>
    <t>CONSTRUCTION OF SPILLWAY AT HIMAYA, EL SALVADOR CITY - RE-BIDDING</t>
  </si>
  <si>
    <t>IMPROVEMENT OF AMBANGEG TO NAYBALIW FOOT TRAIL, DACLAN, BOKOD</t>
  </si>
  <si>
    <t>Supply and Delivery of Supplies to be used for production of learning modules, worksheets, activity and lesson exemplars</t>
  </si>
  <si>
    <t>CONSTRUCTION OF THE COMMUNITY CENTER OF TOBACCO PRODUCING BARANGAY (SANTIAGO - PHASE II)</t>
  </si>
  <si>
    <t>Supply and Delivery of Bond Paper to be used for production of learning modules, worksheets, activity and lesson exemplars</t>
  </si>
  <si>
    <t>Purchase of Materials for the Farm to Market Road (Concreting), Brgy. Binabaan Armada, Lambunao, Iloilo</t>
  </si>
  <si>
    <t>COMPLETION OF BUILDING 4 OF THE QUIRINO MUNICIPAL MARKET</t>
  </si>
  <si>
    <t>SUPPLY &amp; DELIVERY OF VARIOUS MATERIALS (EQPT) OF VIGA DPP</t>
  </si>
  <si>
    <t>Procurement of Materials for Riprapping of communal garden</t>
  </si>
  <si>
    <t>Office Equipment- Purchase of One Audio Visual Set - IA,  Duero, Bohol</t>
  </si>
  <si>
    <t>CONSTRUCTION OF BOX CULVERT AT CENTRAL UPPER AMBIONG (NEAR JUANITO'S RESIDENCE), AMBIONG, LA TRINIDAD, BENGUET</t>
  </si>
  <si>
    <t>PROVISIONS OF SCHOOL ID &amp; CORD</t>
  </si>
  <si>
    <t>Supply and delivery of various appliances for new CBC building</t>
  </si>
  <si>
    <t>IMPROVEMENT (PAVEMENT) OF UBOD FMR, TABA-AO, KAPANGAN, BENGUET</t>
  </si>
  <si>
    <t>PROVISION OF SPORTS MATERIALS</t>
  </si>
  <si>
    <t>Procurement of Construction of School Clinic Phase III (Labor)</t>
  </si>
  <si>
    <t>Procurement of Improvement of Evacuatiuon Center (Labor)</t>
  </si>
  <si>
    <t>SUPPLY &amp; DELIVERY OF VARIOUS MATERIALS OF BURIAS DPP</t>
  </si>
  <si>
    <t>Modification and Repair of the Universal Testing Machine (UTM)</t>
  </si>
  <si>
    <t>(20NH0091)Construction of Multi-Purpose Building, Municipality of Cantilan, Surigao del Sur</t>
  </si>
  <si>
    <t>Supply and Delivery of Medical, Dental and Laboratory Supplies for Municipal Health Office</t>
  </si>
  <si>
    <t>Improvement of Manpower Development Center @ Poblacion Including Acquisition of Transformer</t>
  </si>
  <si>
    <t>IMPROVEMENT OF ALANG - KADAYGAN ROAD, POBLACION, BUGUIAS, BENGUET</t>
  </si>
  <si>
    <t>PROVISIONS OF TEST PAPERS</t>
  </si>
  <si>
    <t>MATERIALS AND APPARATUS NEEDED IN THE CMS CENTRALIZE MONITORING SYSTEM</t>
  </si>
  <si>
    <t>IMPROVEMENT OF PANIG-AN TAMANGAN FMR (SUYONG SECTION), SEBANG, BUGUIAS, BENGUET</t>
  </si>
  <si>
    <t>Purchase of Materials for the Farm to Market Road (Concreting), Brgy. Agtuman, Lambunao, Iloilo</t>
  </si>
  <si>
    <t>20CSCE003 - CONSULTING SERVICES FOR THE CONDUCT OF SOIL/GEOTECHNICAL INVESTIGATION FOR THE PROPOSED WIDENING OF PERMANENT BRIDGES WITHIN THE 1st  AND 2nd LEGISLATIVE DISTRICT OF NUEVA ECIJA</t>
  </si>
  <si>
    <t>CONCRETING OF BARANGAY ACCESS ROAD, BARANGAY SAN ROQUE, LINGIG, SURIGAO DEL SUR</t>
  </si>
  <si>
    <t>PROVISION OF SCHOOL SUPPLIES</t>
  </si>
  <si>
    <t>CONSTRUCTION OF PERIMETER FENCE OF  AMPUSONGAN ELEMENTARY SCHOOL, AMPUSONGAN, BAKUN, BENGUET</t>
  </si>
  <si>
    <t>PROCUREMENT OF CONSTRUCTION MATERIALS FOR THE REHABILITATION OF BRGY. SAN ROQUE WATER PIPE LINE</t>
  </si>
  <si>
    <t>Construction of Line Canal at Barangay 01, Maria Aurora, Aurora</t>
  </si>
  <si>
    <t>Supply and Delivery of One (1) Lot of Construction Materials for the Installation of transmission and distribution of Pipe Line (Phase 2) Tabuelan, Cebu (7-Upland Barangays)</t>
  </si>
  <si>
    <t>Supply and Delivery of Assorted Gate Valves</t>
  </si>
  <si>
    <t>CONSTRUCTION OF WATERWORKS SYSTEM AT SITIO BOCAO, CUBA, KAPANGAN, BENGUET</t>
  </si>
  <si>
    <t>Supply and Delivery of Hardware Supplies, DMMMSU-OUS</t>
  </si>
  <si>
    <t>various laboratory supplies (autoclavable waste disposal bag, syringe etc.)</t>
  </si>
  <si>
    <t>FURNITURES</t>
  </si>
  <si>
    <t>Supply and Delivery of Various Processing Equipment for MSC Gasan</t>
  </si>
  <si>
    <t>IMPROVEMENT OF PUGO FMR, BACULONGAN NORTE, BUGUIAS, BENGUET</t>
  </si>
  <si>
    <t>CONCRETING OF ZAMORA ST. PHASE 3-PUROK 3, REAL ST. PHASE 3-PUROK 3, QUEZON ST. PHASE 2-PUROK 2, MABINI ST. PHASE 2-PUROK 2</t>
  </si>
  <si>
    <t>Production of Responsible Parenthood and Family Planning (RPFP) Go Kits</t>
  </si>
  <si>
    <t>CAUAYAN CITY FREEDOM PARK</t>
  </si>
  <si>
    <t>20DI0160- Repair/ Maintenance of DENR Building, CENRO – Records Building, Brgy. Lalakay, Los Baños, Laguna</t>
  </si>
  <si>
    <t>Procurement of Various Agricultural Products-03-016(M)OPAG</t>
  </si>
  <si>
    <t>Procurement of Various Spare Parts-06-332(A)PGO</t>
  </si>
  <si>
    <t>RM Feeding Center</t>
  </si>
  <si>
    <t>ECG CABLE, ECG CHEST ELECTRODE BULB ETC. FOR ER</t>
  </si>
  <si>
    <t>Procurement of Various Construction Supplies and Materials-06-344(O)PEO</t>
  </si>
  <si>
    <t>SUPPLY &amp; DELIVERY OF CARDIAC MONITOR WITH PULSE OXIMETER</t>
  </si>
  <si>
    <t>20IL0195 (REPAIR/MAINTENANCE OF SAN JOSE FLOOD CONTROL ALONG BDRY. SO. LEYTE-MAASIN-MACROHON-SOGOD-DAANG MAHARLIKA (S00194LT), MAASIN CITY, SOUTHERN LEYTE Contract Location	: BRGY. SAN JOSE, MAASIN CI</t>
  </si>
  <si>
    <t>Procurement of Various Agricultural Products-03-020(M)OPAG</t>
  </si>
  <si>
    <t>Repair of Xerox Machine w/ PR # 425</t>
  </si>
  <si>
    <t>CONCRETING OF BARANGAY ACCESS ROAD, BARANGAY HANDAMAYAN, LINGIG, SURIGAO DEL SUR</t>
  </si>
  <si>
    <t>20DI0161- Repair/Maintenance of DPWH Building, Area Equipment Services Building, Los Baños, Laguna</t>
  </si>
  <si>
    <t>Supply and Delivery of Assorted Service Connection Materials</t>
  </si>
  <si>
    <t>Procurement of Various Construction Supplies and Materials-06-345(O)PEO</t>
  </si>
  <si>
    <t>LOT Procurement of FOOD SUPPLIES for the Use of Indigent People Affected by Pandemic in the Province of Davao Oriental</t>
  </si>
  <si>
    <t>Procurement of Various Spare Parts-06-336(A)PGO</t>
  </si>
  <si>
    <t>RFQ No. 20-0563 NP-SVP - Supply and Delivery of Solid Tire for Forklift of DSWD-NRLMB</t>
  </si>
  <si>
    <t>Agricultural Products (Seeds, Seedlings, Plants…) for Distribution under Binhian sa Barangay and Mindoro Dinorado Rice Production Program-Agro Technology Resource and Management Services Division</t>
  </si>
  <si>
    <t>RM Kindergarten</t>
  </si>
  <si>
    <t>Hospital/Medical Equipment for use of OMSDH/ for the Covid &amp; Non Covid patients of OMSDH</t>
  </si>
  <si>
    <t>SUPPLY &amp; DELIVERY OF ELECTROLYTE ANALYZER</t>
  </si>
  <si>
    <t>GOGGLES, GOWN ETC. FOR CSR</t>
  </si>
  <si>
    <t>CONCRETING OF BARANGAY ROAD at Barangay Detailen, Maria Aurora, Aurora</t>
  </si>
  <si>
    <t>SUPPLY, DELIVERY AND INSTALLATION OF 3-75KVA TRANSFORMERS, INCLUDING ACCESORIES, PORT OF ORMOC, LEYTE</t>
  </si>
  <si>
    <t>Procurement of Various Spare Parts-06-335(A)PGO</t>
  </si>
  <si>
    <t>AGRICULTURAL PRODUCT (SEEDS, SEEDLINGS, PLANTS)</t>
  </si>
  <si>
    <t>Mail Cloud Server</t>
  </si>
  <si>
    <t>Supply and Delivery of Assorted Materials for the Establishment of District Metering Area</t>
  </si>
  <si>
    <t>CONSTRUCTION OF RIVER CONTROL</t>
  </si>
  <si>
    <t>PURCHASE AND INSTALLATION OF RADIO TELECOMMUNICATION ANTENNA &amp; EQUIPMENT</t>
  </si>
  <si>
    <t>Supply and delivery of two(2) unit Projector with white screen intended for DepEd  District Office of this Municipality</t>
  </si>
  <si>
    <t>CONTRACT OF SERVICE AS LEARNING SERVICE PROVIDER FOR THE CITY COLLEGE OF SAN JOSE DEL MONTE  ASSOCIATE PROFESSOR III</t>
  </si>
  <si>
    <t>CONSTRUCTION OF BRGY DAY CARE CENTER (GOMEZ)</t>
  </si>
  <si>
    <t>Procurement of Various Spare Parts-06-344(A)PGO</t>
  </si>
  <si>
    <t>RFQ-PR NO. 03-022 - PROCUREMENT OF COMMON ICT EQUIPMENT AND ACCESSORIES</t>
  </si>
  <si>
    <t>SUPPLY AND DELIVERY OF CONSTRUCTION MATERIALS FOR REHABILITATION OF WATER SYSTEM AT BARANGAY UNION, LINGIG, SURIGAO DEL SUR</t>
  </si>
  <si>
    <t>purchase of dash cam</t>
  </si>
  <si>
    <t>RM Portable Handwashing</t>
  </si>
  <si>
    <t>GSD J-20-263 CLEANING CONSUMABLES</t>
  </si>
  <si>
    <t>GIGLI WIRE, KELLY PAD ETC. FOR CSR</t>
  </si>
  <si>
    <t>20DI0164- Repair/ Maintenance of Flood Control Structures, Biñan City, Laguna</t>
  </si>
  <si>
    <t>20DI0165- Repair and Maintenance of Road Safety Facilities (Overhead Signages and Stud Flash Type),  Along Manila South Road</t>
  </si>
  <si>
    <t>Procurement of Various Spare Parts-06-343(A)PGO</t>
  </si>
  <si>
    <t>Procurement of Various Spare Parts-06-337(A)PGO</t>
  </si>
  <si>
    <t>20DI0163- Repair/ Maintenance of DILG Building, Anti-Cybercrime Building Camp Vicente Lim, Calamba City, Laguna</t>
  </si>
  <si>
    <t>RM Library Hub</t>
  </si>
  <si>
    <t>Supply &amp; Delivery of Medical Oxygen</t>
  </si>
  <si>
    <t>Supply, Delivery and Installation of ICT Equipment &amp; Supplies of SDSSU Tandag Campus</t>
  </si>
  <si>
    <t>Procurement of Various Spare Parts-06-334(A)PGO</t>
  </si>
  <si>
    <t>20DI0162- Repair/ Maintenance of DND Building MESS Hall Building Camp Gen. Macario Sakay, Los Baños, Laguna</t>
  </si>
  <si>
    <t>BARANGAY 733 MOOE 2020</t>
  </si>
  <si>
    <t>PETAL 06-2020 - construction of concrete fence at brgy hall</t>
  </si>
  <si>
    <t>LOT Procurement of LAPTOP and PRINTER for the Use of Brgy. Macambol, City of Mati, Davao Oriental</t>
  </si>
  <si>
    <t>Goods</t>
  </si>
  <si>
    <t>CONSTRUCTION OF PERIMETER FENCE IN PNP BUILDING</t>
  </si>
  <si>
    <t>IMPROVEMENT OF THE ERODED PORTION BESIDE PHILEX MINES ELEMENTARY SCHOOL,PADCAL, CAMP 3, TUBA, BENGUET</t>
  </si>
  <si>
    <t>SUPPLY &amp; DELIVERY OF CARBON BRUSH &amp; CARBON BRUSH HOLDER OF BALONGBONG HPP</t>
  </si>
  <si>
    <t>Procurement of Various Spare Parts-06-333(A)PGO</t>
  </si>
  <si>
    <t>Bid No. 20-0287 - PROCUREMENT OF OFFICE SUPPLIES - MPDO (MUNICIPAL PLANNING AND DEVELOPMENT OFFICE)</t>
  </si>
  <si>
    <t>DOUBLE LUMEN TUBE FOR CSR</t>
  </si>
  <si>
    <t>20GIA005 Procurement of Road Signs</t>
  </si>
  <si>
    <t>Purchase of Construction Materials and Supplies for Fabrication of Fifty (50) Units Barricade, Silay City (REBID).</t>
  </si>
  <si>
    <t>20IL0196 (CONCRETING OF BRGY. POBLACION-SITIO COOT, BRGY. DINAHUGAN FMR (PHASE II) Contract Location	: BRGY. POBLACION &amp; DINAHUGAN, PADRE BURGOS, SOUTHERN LEYTE)</t>
  </si>
  <si>
    <t>INSTALLATION OF CCTV AT BALONGBONG HPP</t>
  </si>
  <si>
    <t>Procurement of Various Aggregates Supplies-06-346(O)PEO</t>
  </si>
  <si>
    <t>20AG0121-Construction of Modified Standard One-Storey (2 Classrooms) School Building at Patar ES, Agno, Pangasinan</t>
  </si>
  <si>
    <t>Bid No. 20-0289 - PROCUREMENT OF OFFICE SUPPLIES - MPDO/MDC REPRODUCTION OF AIP, PROJECT PROPOSAL AND PROJECT PROFILE</t>
  </si>
  <si>
    <t>CONSTRUCTION OF MULTI-PURPOSE COVERED COURT/EVACUATION CENTER PHASE 2, @ DUNGON INTEGRATED SCHOOL, BRGY. DUNGON, SISON, PANGASINAN</t>
  </si>
  <si>
    <t>ABSORBABLE HAEMOSTAT, ABSORBENT HEMOSTATIC SPONGE ETC. FOR CSR</t>
  </si>
  <si>
    <t>Procurement of Various Electrical Supplies-06-352(O)PEO</t>
  </si>
  <si>
    <t>Formulation  of Comprehensive Development (CDP) of Pangil, Laguna Mainstreaming Climate and Disaster Risk Assessment (CDRA) as per compliance of Local Government Unit</t>
  </si>
  <si>
    <t>Purchase of Drugs and Medicines, Fluids &amp; Electrolytes</t>
  </si>
  <si>
    <t>Supply &amp; Delivery of Training Supplies ABC:95,934.00</t>
  </si>
  <si>
    <t>Agricultural Products (Seeds, Seedlings, Plants…) for Distribution of Fruit tress high quality Planting Materials to qualified Organization/Association/Cooperators of different Municipalities under Hi</t>
  </si>
  <si>
    <t>Water Dispenser</t>
  </si>
  <si>
    <t>Purchase of Seeds and Fertilizers to be used in PLANT, PLANT, PLANT PROGRAM in the Office of Department of Agriculture, Silay City (REBID).</t>
  </si>
  <si>
    <t>CONSTRUCTION OF ENTRANCE GATE &amp; GUARD HOUSE</t>
  </si>
  <si>
    <t>SUPPLY AND DELIVERY OF OFFICE SUPPLIES, MATERIALS AND EQUIPMENT</t>
  </si>
  <si>
    <t>SUPPLY &amp; INSTALLATION OF VARIOUS FURNITURE, STEEL SIGNAGE &amp; COMBI. BLINDS AT HEALTH SERVICES, Contract ID No. SVP-13-20</t>
  </si>
  <si>
    <t>INVITATION TO BID FOR PROVISION OF SANITARY TOILET AND HYGIENE FACILITIES</t>
  </si>
  <si>
    <t>20AG0122-Construction of Modified Standard One-Storey (2 Classrooms) School Building at San Jose ES, Anda, Pangasinan</t>
  </si>
  <si>
    <t>Procurement of Improvement/ Cleaning and Maintenance of Drainage Canal (Labor)</t>
  </si>
  <si>
    <t>CONSTRUCTION OF LOCAL ROADS</t>
  </si>
  <si>
    <t>Procurement of Hardware Materials</t>
  </si>
  <si>
    <t>RFQ-PR NO. 2020-06-060-PROCUREMENT OF VARIOUS MATERIALS FOR USE IN THE IMROVEMENT OF DPWH, LEYTE IV DEO</t>
  </si>
  <si>
    <t>Procurement of CSU  Uniform</t>
  </si>
  <si>
    <t>RFQ-PR NO. 2020-06-061-PROCUREMENT OF 130 SETS OF PAVEMENT MORTAR CEMENT FOR USE IN THE REPAIR OF NATIONAL ROADS WITHIN THE DISTRICT</t>
  </si>
  <si>
    <t>Bid No. 20-0291 - PROCUREMENT OF OFFICE SUPPLIES - MPDO/MPRC OPERATIONS</t>
  </si>
  <si>
    <t>Bid No. 20-0290 - PROCUREMENT OF OFFICE SUPPLIES - MPDO OPERATIONS (CONDUCT OF FPIC TO ALL PROJECTS WITHIN CADT AREA)</t>
  </si>
  <si>
    <t>DELIVERY OF VARIOUS SUPPLIES FOR USE OF GEAMH</t>
  </si>
  <si>
    <t>RFQ-PR NO. 2020-05-057-PROCUREMENT OF COMMON AND JANITORIAL SUPPLIES</t>
  </si>
  <si>
    <t>DUPLO INK- MDA14,DC14</t>
  </si>
  <si>
    <t>Supply &amp; Delivery of Various Materials ABC:61,700.00</t>
  </si>
  <si>
    <t>20KK0126 - Construction of 1 STY 2 CL, Damayuhan NHS, Magsaysay (Linugos), Misamis Oriental</t>
  </si>
  <si>
    <t>Invitation to Bid for PROCUREMENT OF OFFICE SUPPLIES AND EQUIPMENT</t>
  </si>
  <si>
    <t>Procurement of Improvement/ Cleaning and Maintenance of Drainage Canal (Materials)</t>
  </si>
  <si>
    <t>CONSTRUCTION OF DAYCARE CENTER-CAPISAAN</t>
  </si>
  <si>
    <t>Supply and Delivery of Construction Materials for Mambusao RIS</t>
  </si>
  <si>
    <t>Procurement of F&amp;B Concessionaire for CF-Bacolod Customers, Guests and Officers for a Period of Three (3) Years</t>
  </si>
  <si>
    <t>Purchase of 1 unit Multi-cab (Re-condition) for Brgy. Inlambo Mangaldan,Pangasinan</t>
  </si>
  <si>
    <t>RFQ-PR NO. 2020-06-062-PROCUREMENT OF MATERIALS FOR USE IN THE REPAINTING OF DPWH BUILDING, LEYTE IV DEO</t>
  </si>
  <si>
    <t>Supply &amp; Delivery of Ink ABC:60,000.00</t>
  </si>
  <si>
    <t>CONSTRUCTION OF TUBURAN, TUNGA-TUNGA RIVER CONTROL</t>
  </si>
  <si>
    <t>Bid No. 20-0292 - PROCUREMENT OF OFFICE SUPPLIES - MPDO/MPWDC OPERATIONS</t>
  </si>
  <si>
    <t>SUPPLY AND DELIVERY OF RICE FOR VARIOUS LAW ENFORCEMENT AGENCIES (3RD QUARTER)</t>
  </si>
  <si>
    <t>Procurement of Construction of Multi-purpose Building Phase III</t>
  </si>
  <si>
    <t>Airconditioning Unit</t>
  </si>
  <si>
    <t>Supply and Delivery of Construction Materials for Tina II PCIP</t>
  </si>
  <si>
    <t>Completion of Brgy. Compostela Health Station</t>
  </si>
  <si>
    <t>Procurement of Marine Supplies.</t>
  </si>
  <si>
    <t>Supply and Delivery of Construction Materials and supplies</t>
  </si>
  <si>
    <t>Labor and Materials for Construction of Pathway at Brgy Inlambo Mangaldan, Pangasinan</t>
  </si>
  <si>
    <t>Provision of Food (meals &amp; snacks) ABC:165,000.00</t>
  </si>
  <si>
    <t>1. Spareparts (for the use of DAEWOO DE12TIS)/CMO-Motorpool 2.Spareparts (for the use of Transit Mixer)/CMO-Motorpool</t>
  </si>
  <si>
    <t>IMPROVEMENT OF GUSING NORTE COVERED COURT LOCATED AT GUSING NORTE, NAGUILIAN, LA UNION.</t>
  </si>
  <si>
    <t>Bid No. 20-0293 - PROCUREMENT OF OFFICE SUPPLIES - MPDO/MINSAAD PROGRAM</t>
  </si>
  <si>
    <t>Electrical Services</t>
  </si>
  <si>
    <t>Supply and Delivery of Various Service Connection Materials</t>
  </si>
  <si>
    <t>Medical Health Service at Barangay Ligtong I, Rosario, Cavite</t>
  </si>
  <si>
    <t>Bid No. 20-0295 - PROCUREMENT OF OFFICE SUPPLIES - MO/TOURISM OPERATIONS</t>
  </si>
  <si>
    <t>Provision of Food &amp; Accommodation ABC:81,000.00</t>
  </si>
  <si>
    <t>Supply, Installation, Testing and Commissioning of City-Barangay Governance Service Information System in the City of San Fernando, Pampanga</t>
  </si>
  <si>
    <t>RFQ-PR NO. 2020-06-063-PROCUREMENT OF EQUIPMENT FOR DISASTER RESPONSE AT LEYTE IV DEO</t>
  </si>
  <si>
    <t>Supply and Delivery of Medical Equipment intended for Rapid Testing (COVID-19)</t>
  </si>
  <si>
    <t>2ND ITB SUPPLY AND DELIVERY 7 UNITS MECHANICAL RICE TRANSPLANTER UNDER 2020 RICE PROGRAM</t>
  </si>
  <si>
    <t>RFQ-PR NO. 2020-06-064-PROCUREMENT OF CONSTRUCTION MATERIALS FOR THE CONSTRUCTION SECTION BUILDING OF DPWH-LEYTE IV DEO</t>
  </si>
  <si>
    <t>Construction of FMR</t>
  </si>
  <si>
    <t>20AG0124-Construction of Modified Standard One-Storey (2 Classrooms) School Building at Viga ES, Dasol, Pangasinan</t>
  </si>
  <si>
    <t>INVITATION TO BID FOR CONSTRUCTION OF MULTIPURPOSE HALL AT BATINAO,SAN PEDRO</t>
  </si>
  <si>
    <t>Procurement of Construction of DRRM Operations Center Phase I</t>
  </si>
  <si>
    <t>Provide Labor &amp; Materials for RP Vehicle Repair (Plate # SAA-5044) ABC:156,460.00</t>
  </si>
  <si>
    <t>Procurement of Cafeteria Concessionaire for CF-Iloilo Employees for a period of Two (2) Years</t>
  </si>
  <si>
    <t>SUPPLY &amp; DELIVERY OF VARIOUS SPAREPARTS 300KW FG WILSON) OF TICAO DPP</t>
  </si>
  <si>
    <t>Supply of Labor and Equipment for Hauling of Diesel Fuel from Torrijos DPP Hub to Mongpong DPP, Sta. Cruz Marinduque</t>
  </si>
  <si>
    <t>Purchase of Furnitures and Fixtures</t>
  </si>
  <si>
    <t>Supply of Materials and Accessories for the Water Source Development</t>
  </si>
  <si>
    <t>Procuremement of Concreting of 120 meters Unpaved road</t>
  </si>
  <si>
    <t>SUPPLY AND DELIVERY OF 245 BAGS HYBRID PALAY SEEDS</t>
  </si>
  <si>
    <t>Supply &amp; Delivery of Various Supplies ABC:169,500.00</t>
  </si>
  <si>
    <t>Construction of RC Culvert &amp; Concreting of Brgy. Road., Brgy. Hibunawan, Baybay City, Leyte</t>
  </si>
  <si>
    <t>CONSTRUCTION OF STANDARD DAY CARE CENTER</t>
  </si>
  <si>
    <t>Bid No. 20-0296 - PROCUREMENT OF OFFICE SUPPLIES - MO/MCMC OPERATIONS</t>
  </si>
  <si>
    <t>SUPPLY &amp; DELIVERY OF ENERGY METER OF TICAO DPP</t>
  </si>
  <si>
    <t>Invittion to Bid Purchase of Office Supplies</t>
  </si>
  <si>
    <t>REQUEST FOR QUOTATION (RFQ)  PROCUREMENT FOR EMB-NCR BUILDING  EXTERIOR PAINTING WORKS RFQ No.038 -2020</t>
  </si>
  <si>
    <t>Acquisition of Garbage Truck</t>
  </si>
  <si>
    <t>Improvement of Concrete Pavement, Brgy. Candadam, Baybay City, Leyte</t>
  </si>
  <si>
    <t>MGB XI - office supplies (MMD)</t>
  </si>
  <si>
    <t>Procurement of Construction of Community Police Assistance Center (COMPAC)</t>
  </si>
  <si>
    <t>INVITATION TO BID FOR SUPPLY, DELIVERY, INSTALLATION &amp; COMMISSIONING OF ELECTRO-MECHANICAL EQUIPMENT FOR PUMP STATION 6, INCLUDING INTERCONNECTION TO TRANSMISSION MAIN.</t>
  </si>
  <si>
    <t>Purchase of Materials for the Farm to Market Road (Concreting), Brgy. Lanot Grande, Lambunao, Iloilo</t>
  </si>
  <si>
    <t>LABOR SERVICE FOR THE CONCRETING OF ZAMORA ST. PHASE 3-PUROK 3, REAL ST. PHASE 3-PUROK 3, QUEZON ST. PHASE 2-PUROK 2, MABINI ST. PHASE 2-PUROK 2</t>
  </si>
  <si>
    <t>INREMP SSF Equipment for NAMANUGA</t>
  </si>
  <si>
    <t>Labor and Materials for Rehabilitation of Streetlights at Brgy Inlambo Mangaldan, Pangasinan</t>
  </si>
  <si>
    <t>Procurement of Xerox Copier Machine</t>
  </si>
  <si>
    <t>20AG0123-Construction of Modified Standard One-Storey (2 Classrooms) School Building at Uli ES, Dasol,  Pangasinan</t>
  </si>
  <si>
    <t>20KK0127 - Construction of 2 UNITS 1 STY 2 CL, Lantad IS, Balingasag, Misamis Oriental</t>
  </si>
  <si>
    <t>Bid No. 20-0294 - PROCUREMENT OF OFFICE SUPPLIES - MDRRMO (FOR DISTRIBUTION OF FAMILY PREPAREDNESS GUIDE)</t>
  </si>
  <si>
    <t>Purchase of Two (2) units of Water pump with complete set of Accessories and Black Hose for the Irrigation Support Assistance and Cacao Development Project of the City of Talisay</t>
  </si>
  <si>
    <t>For the Procurement of uPVC Pipes for Mati Water District, City of Mati, Davao Oriental</t>
  </si>
  <si>
    <t>RFQ-GS-20200616-01 - Subscription and Installation of IP VPN Lines using 2Mbps Bandwidth for Various LANBBANK Sites</t>
  </si>
  <si>
    <t>DELIVERY OF MEDICAL AND LABORATORY SUPPLIES FOR USE OF KKH</t>
  </si>
  <si>
    <t>20KK0125 - Construction of 2 STY 4 CL, Talisay Elementary School, Gingoog City, Misamis Oriental</t>
  </si>
  <si>
    <t>Supply &amp; Delivery of Transformer	 ABC:90,000.00</t>
  </si>
  <si>
    <t>Supply/Purchase and Delivery of One (1) Unit Backhoe</t>
  </si>
  <si>
    <t>Furnishing of materials for the Construction of Perimeter Fence</t>
  </si>
  <si>
    <t>Supply &amp; Delivery of Various Inorganic Fertilizers ABC:80,600.00</t>
  </si>
  <si>
    <t>CONSTRUCTION OF BARANGAY HEALTH STATION AT BARANGAY BARBAR</t>
  </si>
  <si>
    <t>Purchase of Materials for the Construction of Covered Court at Maluko Central Elementary School</t>
  </si>
  <si>
    <t>LARYNGOSCOPE BLADES FOR ER</t>
  </si>
  <si>
    <t>LGES - OFFICE SUPPLIES</t>
  </si>
  <si>
    <t>Procurement of Services under P.R.Nos. 2454-2020(City Procurement Management Office),etc.-1Lot.</t>
  </si>
  <si>
    <t>Supplies and Materials needed for Construction of extension laboratory of EIM NC II</t>
  </si>
  <si>
    <t>SWINE PRODUCTION</t>
  </si>
  <si>
    <t>SUPPLY &amp; DELIVERY OF CHEMISTRY ANALYZER;  AND HEMATOLOGY ANALYZER</t>
  </si>
  <si>
    <t>RFQ-PR NO. 2020-06-065 - PROCUREMENT OF CONSRUCTION SUPPLIES  OF LEYTE IV DEO</t>
  </si>
  <si>
    <t>Bid No. 20-0288 - PROCUREMENT OF OFFICE SUPPLIES - MO/SPORTS OPERATION</t>
  </si>
  <si>
    <t>BPSU Abucay Campus: Supply, Delivery and Installation of Hybrid Soil and Plant Laboratory Equipment for the Rehabilitation of BSA/BTVTE Building</t>
  </si>
  <si>
    <t>Procurement of Various Spare Parts-06-351(O)PEO</t>
  </si>
  <si>
    <t>GSD J-20-273 CPU BOX</t>
  </si>
  <si>
    <t>Road Concreting located starting at Approach Hacienda Manaul, Barangay Matab-ang</t>
  </si>
  <si>
    <t>B20200218 - CONDUCT OF ENGINEERING GEOLOGICAL &amp; GEO-HAZARD ASSESSMENT (EGGA)</t>
  </si>
  <si>
    <t>INREMP SSF Equipment for SUSFAA</t>
  </si>
  <si>
    <t>Bid No. 20-0298 - PROCUREMENT OF OFFICE SUPPLIES - MEEDO/CEMETERY OPERATIONS</t>
  </si>
  <si>
    <t>Bid No. 20-0286 - PROCUREMENT OF OFFICE SUPPLIES - MPDO/BDP REVISION AND PACKAGING OF BARANGAY DEVELOPMENT PLANS</t>
  </si>
  <si>
    <t>Supply &amp; Delivery of Various Rice Seeds (RS &amp; CS) ABC:292,500.00</t>
  </si>
  <si>
    <t>SUPPLY &amp; DELIVERY OF COUPLING VULASTIC OF TICAO DPP</t>
  </si>
  <si>
    <t>Rabbies Vaccine</t>
  </si>
  <si>
    <t>Two (2) Units Dot Matrix Printer</t>
  </si>
  <si>
    <t>Delivery of Construction Materials and Supplies for the Repair/Rehabilitation of Barangay Outpost</t>
  </si>
  <si>
    <t>Procurement of One (1) Unit K2500 Double Cab (Procurement of Goods)</t>
  </si>
  <si>
    <t>Bid No. 20-0297 - PROCUREMENT OF JANITORIAL SUPPLIES - GSO OPERATIONS</t>
  </si>
  <si>
    <t>Construction Materials for Cubilcles and Tables</t>
  </si>
  <si>
    <t>Supply and Delivery of Materials for Footbridge Construction at Sitio Sinatalan to Sitio Sumibang</t>
  </si>
  <si>
    <t>Up keeping and Maintenance of the Port Physical Facilities for a period of  Eleven (11) Months, Port of Iligan, Iligan City</t>
  </si>
  <si>
    <t>Procurement of Various Spare Parts-06-345(A)PGO</t>
  </si>
  <si>
    <t>Procurement of Construction of Multi-purpose Building (DSWD)</t>
  </si>
  <si>
    <t>Construction of Evacuation Center at Barangay Diaat, Maria Aurora</t>
  </si>
  <si>
    <t>Supply and Delivery of GSM/SMS Data Logger (Flow Pressure) and Accessories</t>
  </si>
  <si>
    <t>REPAIR OF COOLANT PUMP OF 300KW PERKINS  &amp; FG WILSON</t>
  </si>
  <si>
    <t>Procurement of Construction of School Building Phase III (Labor)</t>
  </si>
  <si>
    <t>CONSTRUCTION OF A PERMANENT FENCE OF ALICAY - SEGUNDO ELEMENTARY SCHOOL AT DALINGOAN, SINACBAT, BAKUN, BENGUET</t>
  </si>
  <si>
    <t>Procurement of Educational Materials &amp; Supplies for SHS Faculty</t>
  </si>
  <si>
    <t>Procurement of ordinary plastic water meters</t>
  </si>
  <si>
    <t>Purchase and Delivery of Certified Seeds</t>
  </si>
  <si>
    <t>RM Electrical Wiring</t>
  </si>
  <si>
    <t>IMPROVEMENT OF BOX CULVERT AT CENTRAL AMBIONG, PITDAWAN, LA TRINIDAD, BENGUET</t>
  </si>
  <si>
    <t>CONSTRUCTION OF LEPAAK RIVER SPILLWAY, BEDBED, MANKAYAN, BENGUET</t>
  </si>
  <si>
    <t>Procurement of Various Agricultural Products-03-013(M)OPAG</t>
  </si>
  <si>
    <t>IMPROVEMENT OF MALANAC -SHEKDAN ROAD, DACLAN, TUBLAY, BENGUET</t>
  </si>
  <si>
    <t>REPAIR OF MASALIN PRIMARY SCHOOL BUILDING, DALIPEY, BAKUN, BENGUET</t>
  </si>
  <si>
    <t>Supply and Delivery of Office Equipment, DMMMSU-OUS</t>
  </si>
  <si>
    <t>Bid No. 20-0301 - PROCUREMENT OF OFFICE EQUIPMENT - MEO OPERATIONS</t>
  </si>
  <si>
    <t>Supply and Delivery of Diesel</t>
  </si>
  <si>
    <t>SUPPLY AND DELIVERY OF VERTICAL STEEL FILING CABINETS</t>
  </si>
  <si>
    <t>Medicines</t>
  </si>
  <si>
    <t>SUPPLY, DELIVERY, LABOR, MATERIALS, INSTALLATION, TESTING AND COMMISSIONING OF STEP CHAIN AND RUBBER RAIL OF EXISTING ESCALATOR UNITS</t>
  </si>
  <si>
    <t>Lead Gown with Thyroid 0.25mmPb</t>
  </si>
  <si>
    <t>Bid No. 20-0300 - PROCUREMENT OF OFFICE SUPPLIES - MEEDO OPERATI</t>
  </si>
  <si>
    <t>Supply &amp; Delivery of Animals ABC:120,000.00</t>
  </si>
  <si>
    <t>INREMP SSF Equipment for MVEGEGRO</t>
  </si>
  <si>
    <t>REQUEST FOR QUOTATION OF WATER METER</t>
  </si>
  <si>
    <t>RFQ-PR NO. 2020-06-066 - PROCUREMENT OF VARIOUS CONSTRUCTION FOR USE IN THE IMPROVEMENT OF DPWH STAFF QUARTERS OF LEYTE IV DEO</t>
  </si>
  <si>
    <t>PROCUREMENT OF GLASS OFFICE CUBICLES</t>
  </si>
  <si>
    <t>Bid No. 20-0299 - PROCUREMENT OF JANITORIAL SUPPLIES - MEEDO/CEMETERY OPERATIONS</t>
  </si>
  <si>
    <t>Repair &amp; Improvement of Multi Purpose Hall</t>
  </si>
  <si>
    <t>INREMP SSF Equipment for DAFAMUPCO</t>
  </si>
  <si>
    <t>Purchase of Rack/Shelves</t>
  </si>
  <si>
    <t>CONCRETING OF PUBLIC ALLEY</t>
  </si>
  <si>
    <t>office supplies and devices</t>
  </si>
  <si>
    <t>Bid No. 20-0304 - PROCUREMENT OF JANITORIAL SUPPLIES - MPDO OPERATIONS</t>
  </si>
  <si>
    <t>Purchase of Materials for the Farm to Market Road (Concreting), Brgy. Pajo, Lambunao, Iloilo</t>
  </si>
  <si>
    <t>Q-096-20 PROCUREMENT OF DIAGNOSTIC EXAMINATION SERVICES</t>
  </si>
  <si>
    <t>RFQ-PR NO. 2020-06-067 - PROCUREMENT OF EQUIPMENT SUPPLIES FOR USE IN THE REPAIR OF NATIONAL ROADS WIHIN LEYTE IV DEO</t>
  </si>
  <si>
    <t>Installation of street lighting system</t>
  </si>
  <si>
    <t>Laboratory Supplies and Equipments</t>
  </si>
  <si>
    <t>Construction of Residual Containment Area (RCA)</t>
  </si>
  <si>
    <t>INSTALLATION OF BARANGAY STREET LIGHTS (20% DF-CY 2020) - BARANGAY MAGATAS</t>
  </si>
  <si>
    <t>Concreting of Pavement at Bukang Liwayway St. - Abellera Extension, Brgy. Poblacion</t>
  </si>
  <si>
    <t>Bid No. 20-0303 - PROCUREMENT OF OFFICE EQUIPMENT - MEO OPERATIONS</t>
  </si>
  <si>
    <t>CONSTRUCTION LEVEL II WATER SUPPLY SYSTEM</t>
  </si>
  <si>
    <t>Construction of Processing Center and Storage Facilities</t>
  </si>
  <si>
    <t>REPAIR OF BATCH-TYPE MECHANICAL DRYERS (5 UNITS) IN SIGMA AND DUMALAG, CAPIZ</t>
  </si>
  <si>
    <t>MGB XI - Polo shirt</t>
  </si>
  <si>
    <t>Labor for Arconditioning Unit Installation</t>
  </si>
  <si>
    <t>Supply &amp; Delivery of  Laboratory  Supplies (for molecular test (polymerase chain reaction for African Swine fever) ABC: 73,100.00</t>
  </si>
  <si>
    <t>Bid No. 20-0307 - PROCUREMENT OF OFFICE EQUIPMENT - MENRO OPERATIONS</t>
  </si>
  <si>
    <t>Procurement of Information Technology Parts &amp; Accessories &amp; Peripherals for the TVE Laboratories</t>
  </si>
  <si>
    <t>SUPPLY AND DELIVERY OF 100 UNITS PALLET FOR USE UNDER 2020 RICE PROGRAM</t>
  </si>
  <si>
    <t>Procurement of supply and delivery of Office Supplies</t>
  </si>
  <si>
    <t>IMPROVEMENT OF SAPUAN FARM-TO-MARKET ROAD AT AMBASSADOR, TUBLAY, BENGUET</t>
  </si>
  <si>
    <t>INFORMATION TECHNOLOGY</t>
  </si>
  <si>
    <t>MGB XI - ICT parts replacement</t>
  </si>
  <si>
    <t>Rehab./Improvement of Junction National Road to San Vicente, Sitio San Vicente, Sitio Centro, Brgy. Kilim, Baybay City, Leyte</t>
  </si>
  <si>
    <t>Equipment Rental</t>
  </si>
  <si>
    <t>Supply &amp; Delivery of Common Office Supplies ABC:112,000.00</t>
  </si>
  <si>
    <t>(20NH0092)Construction/ Rehabilitation of Multi-Purpose Building in Cantilan, Surigao del Sur</t>
  </si>
  <si>
    <t>BARANGAY ROAD REHABILITATION (0.10Mx5.0Mx200M) AT SITIO KAMBANGON, BRGY. ADELA, PORO, CEBU</t>
  </si>
  <si>
    <t>Supply and Delivery of Two (2) Pieces F/F Gate Valve, C.I 200mm (8") and M/F Adaptor C.I. 200mm to be installed for the isolation of bridge crossing pipeline located in Matagoy Bridge II, Rizal Street</t>
  </si>
  <si>
    <t>MGB XI - ord supplies for covid</t>
  </si>
  <si>
    <t>20P00041 Completion of Satellite laboratory Building – DPWH Ifugao First DEO Compound, Poblacion North, Lagawe, Ifugao</t>
  </si>
  <si>
    <t>PURCHASE AND DELIVERY OF CONSTRUCTION MATERIALS AND SUPPLIES FOR PEO</t>
  </si>
  <si>
    <t>Supply and Delivery of 5,100 Liters Diesel Fuel and 2,960 Liters Gasoline (Octane Rating 93-96%) for Replenishment of Stocks</t>
  </si>
  <si>
    <t>Supply &amp; Delivery of Various Chemicals ABC:151,300.00</t>
  </si>
  <si>
    <t>RFQ-PR NO. 2020-06-068-PROCUREMENT OF SUPPLIES FOR USE IN THE REPAIR OF NATIONAL ROADS WITHIN THE DISTRICT</t>
  </si>
  <si>
    <t>Supply &amp; Delivery of Laboratory Supplies ABC:121,625.00</t>
  </si>
  <si>
    <t>Procurement of Feeds, Minerals and Fertilizers  for Provincial Veterinary Office</t>
  </si>
  <si>
    <t>Construction of Concrete Pathway</t>
  </si>
  <si>
    <t>Supply of one (1) unit Mobile Phone</t>
  </si>
  <si>
    <t>Bid No. 20-0306 - PROCUREMENT OF OFFICE EQUIPMENT - MENRO</t>
  </si>
  <si>
    <t>Supply &amp; Delivery of Laboratory Supplies ABC:54,250.00</t>
  </si>
  <si>
    <t>Purchase of 2 Unit Computer Desktop w/Complete Accessories</t>
  </si>
  <si>
    <t>ROAD IMPROVEMENT (0.15Mx6.0Mx800M) AT SITIO ATIPO BRGY. ADELA TO BRGY.STA. RITA, PORO, CEBU</t>
  </si>
  <si>
    <t>MGB XI - ICT supplies and devices</t>
  </si>
  <si>
    <t>Purchasae of Rescue Equipment, etc. for MDRRMO use.</t>
  </si>
  <si>
    <t>Supply and Installation of Airconditioning Unit and Supply of Appliances for MDIP Building</t>
  </si>
  <si>
    <t>PROCUREMENT OF MATERIALS FOR VARIOUS INFRA PROJECT</t>
  </si>
  <si>
    <t>Bid No. 20-0302 - PROCUREMENT OF OFFICE EQUIPMENT - MOTORPOOL &amp; MEO OPERATION</t>
  </si>
  <si>
    <t>Curriculum</t>
  </si>
  <si>
    <t>Procurement of Expansion/ Improvement of Level III Water System</t>
  </si>
  <si>
    <t>Procurement of Medical Supply (Medicines), CHO/TB-DOTS, Baybay City, Leyte</t>
  </si>
  <si>
    <t>OFFICE SUPPLIES AND OTHER MATERIALS</t>
  </si>
  <si>
    <t>Provision of Food  for 4 batches ABC:63,000.00</t>
  </si>
  <si>
    <t>Bid No. 20-0308 - PROCUREMENT OF OFFICE EQUIPMENT - PESO/CTEC OPERATION</t>
  </si>
  <si>
    <t>20FJ0027 - Repair/ Maintenance of DPWH Building, Motorpool, Masbate III District Engineering Office</t>
  </si>
  <si>
    <t>Bid No. 20-0305 - PROCUREMENT OF OFFICE EQUIPMENT - MO/RADIO ROOM SECTIONS</t>
  </si>
  <si>
    <t>Supply of Furnitures for MDIP Building</t>
  </si>
  <si>
    <t>Supply and Delivery of Office/I.T Supplies for use in the Implementation of RRP-ALPAS Program under 2020 Rice Program</t>
  </si>
  <si>
    <t>Procurement of 400 Pcs ARAD Water System</t>
  </si>
  <si>
    <t>Supply and Delivery of Plastic Barriers, Rubberized Traffic Cones and Plastic Pedestrian Barriers to be used along the City's Major Thoroughfares for the 1st Semester of 2020 in the City of San Fernan</t>
  </si>
  <si>
    <t>RFQ-PR NO. 2020-06-069 - PROCUMENT OF SUPPLIES FOR USE IN THE REPAIR OF NATIONAL ROADS WITHIN THE DISTRICT</t>
  </si>
  <si>
    <t>Installation of Dedicated Internet Services Access/Connectivity for the City University of Pasay</t>
  </si>
  <si>
    <t>Purchase of Materials for the Farm to Market Road (Concreting), Brgy. Pandan, Lambunao, Iloilo</t>
  </si>
  <si>
    <t>PROCUREMENT OF VARIOUS MATERIALS FOR DESCALING OF WATER COOLING JACKETS OF 5-UNITS HASEGAWA REFRIGERATING COMPRESSORS</t>
  </si>
  <si>
    <t>MGB XI - ICT equipment(FAD)</t>
  </si>
  <si>
    <t>Bid No. 20-0309 - PROCUREMENT OF OFFICE SUPPLIES - MPDO/SMPS OPE</t>
  </si>
  <si>
    <t>RFQ No. 2020-06-024; PR No. 2020-05-056 (Rebid): PROCUREMENT OF VARIOUS SUPPLIES AND MATERIALS FOR PORTABLE HANDWASHING BOOTH AND DE-FOGGING MACHINE, FOR PREVENTION ON THE COVID-19 INFECTION, UNDER TH</t>
  </si>
  <si>
    <t>Bid No. 20-0310 - PROCUREMENT OF OFFICE EQUIPMENT - MO/MTC OPERATIONS</t>
  </si>
  <si>
    <t>20DD0343 Local Program, Local Infrastructure Program, Local Roads and Bridges, Local Roads, Rehabilitation/Improvement of Road including Drainage System at Brgy. 7, Lipa City, Batangas</t>
  </si>
  <si>
    <t>RFQ No. 2020-06-026; PR No. 2020-05-054: PROCUREMENT OF 720 REAMS BOND PAPER, FOR USE IN THE DPWH R.O. XI, UNDER ADMINISTRATIVE DIVISION, DAVAO CITY</t>
  </si>
  <si>
    <t>Provision of Food &amp; Accommodation for 2 days ABC:102,500.00</t>
  </si>
  <si>
    <t>20DD0342 Local Program, Local Infrastructure Program, Buildings and Other Structures, Multipurpose/ Facilities, Rehabilitation/ Improvement of Multi-Purpose Facilities at Sen. Claro M. Recto Integrate</t>
  </si>
  <si>
    <t>GENERAL BODY REPAIR OF MITSUBISHI CANTER</t>
  </si>
  <si>
    <t>Procurement of Veterinary drugs for Livestock Services -OMA</t>
  </si>
  <si>
    <t>BARANGAY ROAD REHABILITATION (0.10Mx5.0Mx200M) AT SITIO MELENDRES BARANGAY ESPERANZA, PORO, CEBU</t>
  </si>
  <si>
    <t>BARANGAY ROAD REHABILITATION (0.10Mx5.0Mx200M) AT SITIO ILIHAN BARANGAY CANSABUSAB, PORO, CEBU</t>
  </si>
  <si>
    <t>SUPPLY AND DELIVERY OF BATTERY, INTERIOR AND EXTERIOR WITH FLAP FOR DUMP TRUCK</t>
  </si>
  <si>
    <t>MHO Maintenance &amp; Other Expenses (MOOE - Office Supplies Expense)</t>
  </si>
  <si>
    <t>Supply and Delivery of Cellular Phones</t>
  </si>
  <si>
    <t>MGB XI - ICT devices (ord)</t>
  </si>
  <si>
    <t>MGB XI - laptop</t>
  </si>
  <si>
    <t>LGU201820%DFGoods-002</t>
  </si>
  <si>
    <t>IMPROVEMENT/REHABILITATION OF FMR-PAO</t>
  </si>
  <si>
    <t>20DD0341 Local Program, Local Infrastructure Program, Buildings and Other Structures, Multipurpose/ Facilities, Construction and Completion of Padre Garcia Community Hospital, Padre Garcia, Batangas</t>
  </si>
  <si>
    <t>RFQ No. 2020-06-025; PR No. 2020-05-055 (Rebid): PROCUREMENT OF MEDICAL SUPPLIES, FOR PREVENTION ON THE COVID-19 INFECTION, UNDER THE ADMINISTRATIVE DIVISION, DPWH R.O. XI, DAVAO CITY</t>
  </si>
  <si>
    <t>20DD0339 Local Program, Local Infrastructure Program, Buildings and Other Structures, Multipurpose/ Facilities, Construction of a Multi-Purpose Building (Municipal Hall) at Brgy. Poblacion, Padre Garc</t>
  </si>
  <si>
    <t>PREVENTIVE MAINTENANCE for Cooling Tower, Cooling Water Treatment, Condenser Barrel &amp; Air Handling Units (Cuneta Astrodome)</t>
  </si>
  <si>
    <t>CONSTRUCTION OF SLOPE (LUGSAD SPRING INCLUDING INTAKE BOX) - LABOR AND MATERIALS</t>
  </si>
  <si>
    <t>INVITATION TO BID FOR CONCRETING OF CONNECTING ROAD FROM NHJ TO CALAPAGAN ROAD,POBLACION</t>
  </si>
  <si>
    <t>20DD0340 Local Program, Local Infrastructure Program, Buildings and Other Structures, Multipurpose/ Facilities, Construction/ Improvement of Multi-Purpose Building including facilities (Plaza Independ</t>
  </si>
  <si>
    <t>Procurement of Transportation Service for 5 Shuttle Vans for 30 Working Days_June 25, 2020</t>
  </si>
  <si>
    <t>USE FOR THE INSTALLATION OF TRENCH MAINTENANCE BOX-18 UNIT &amp; SAFETY COVER OF EXISTING BOXES AT BONG SOURCE, KABANGKALAN, VILLAHERMOSA, TUDELA, CEBU</t>
  </si>
  <si>
    <t>Supply &amp; Delivery of Supplies &amp; Materials ABC:176,900.00</t>
  </si>
  <si>
    <t>SUPPLY AND DELIVERY OF MEDICO-GENITAL SUPPLIES</t>
  </si>
  <si>
    <t>Safety COVID Supplies</t>
  </si>
  <si>
    <t>20DD0346 Local Program, Local Infrastructure Program, Local Roads and Bridges, Local Roads, Concreting of Local Road at Brgy. Tulay na Patpat, Ibaan, Batangas</t>
  </si>
  <si>
    <t>Supply / Delivery of Catering Services</t>
  </si>
  <si>
    <t>20DD0345 Local Program, Local Infrastructure Program, Buildings and Other Structures, Multipurpose/ Facilities, Construction of Multi-Purpose Building at Plaridel National High School, Lipa City, Bata</t>
  </si>
  <si>
    <t>Baganga Water District - Well Drilling of 1 Production Well Gravel Pack Design 200mm (8") Spiral Steel Casing, Stainless Steel Screens</t>
  </si>
  <si>
    <t>Improvement of PotableWaterworks System (P7, Brgy. Ulab)</t>
  </si>
  <si>
    <t>20GPI0005 - PURCHASE OF SPARE PARTS AND LABOR SERVICES: A.) For use on the repair of fuel system and replacement of wornout tires of HI-7377, Ford Everest 3.0, 2011 	B.) For use of 141204 (HI-5871) an</t>
  </si>
  <si>
    <t>COMPLETION OF COMPUTER ROOM-TADJI</t>
  </si>
  <si>
    <t>20DD0347 Local Program, Construction/ Repair/ Rehabilitation/ Improvement of Various Infrastructure Including Local Projects, Buildings and Other Structures, Multipurpose/ Facilities, Construction of</t>
  </si>
  <si>
    <t>Procurement of Supplies and Materials for OMA Programs</t>
  </si>
  <si>
    <t>Fabrication and Installation of Build-up Signage in Front of the Evacuation Center and Multipurpose Facility (Notice of Award)</t>
  </si>
  <si>
    <t>INREMP SSF Equipment for CUFAS</t>
  </si>
  <si>
    <t>General Administration and Support (GAS) - Office Supplies</t>
  </si>
  <si>
    <t>Purchase of Materials for the Farm to Market Road (Concreting), Brgy. Caninguan, Lambunao, Iloilo</t>
  </si>
  <si>
    <t>BARANGAY ROAD REHABILITATION (0.10Mx5.0Mx200M) AT MAHAYAHAY SAN JOSE, PORO, CEBU</t>
  </si>
  <si>
    <t>20CSB005: Consulting Services for the Geotechnical Investigation for Proposed Flood Control Projects, Provinces of Cagayan</t>
  </si>
  <si>
    <t>Purchase of Kits and materials for the Responsible Parenthood and Family Planning (RPFP) Go Kits</t>
  </si>
  <si>
    <t>SUPPLY &amp; DELIVERY OF VARIOUS SPAREPARTS (450KW FG WILSON) OF BURIAS DPP</t>
  </si>
  <si>
    <t>BARANGAY ROAD REHABILITATION (0.10Mx5.0Mx200M) AT SITIO BAGAKAY BARANGAY STA. RITA, PORO, CEBU</t>
  </si>
  <si>
    <t>20AJ0101-Construction of Four (4) Storey Eight (8) Classroom School Building, Primicias NHS, Mapandan, Pangasinan</t>
  </si>
  <si>
    <t>Procurement of Purchase of Medicines for MMH</t>
  </si>
  <si>
    <t>Procurement of Medicine for Botika ng Bayan and Other Programs</t>
  </si>
  <si>
    <t>Printing and Delivery of Tarpaulins to be used for the various programs and projects of the City Government of San Fernando, Pampanga</t>
  </si>
  <si>
    <t>SUPPLY AND DELIVERY OF LABORATORY REAGENTS AND KITS</t>
  </si>
  <si>
    <t>CONSTRUCTION OF BARANGAY ROAD</t>
  </si>
  <si>
    <t>Construction of Temporary Learning Space in Various Schools</t>
  </si>
  <si>
    <t>SUPPLY AND DELIVERY OF VARIOUS OFFICE SUPPLIES</t>
  </si>
  <si>
    <t>Construction of Multi-Purpose Building Kagitingan, Magay, Brgy. Don Martin Marundan</t>
  </si>
  <si>
    <t>Purchase of safety vault</t>
  </si>
  <si>
    <t>SUPPLY AND DELIVERY OF FACILITIES AND EQUIPMENT USE FOR MODEL HOME OF KILING NATIONAL HIGH SCHOOL</t>
  </si>
  <si>
    <t>Procurement of 4 Units Aircon Floor Standing 3HP with Installation</t>
  </si>
  <si>
    <t>SUPPLY AND DELIVERY OF HP 680 INK (BLACK AND COLORED)</t>
  </si>
  <si>
    <t>Labor and Materials for the Desilting/ Declogging of Alasas Creek (Solana Bridge to Alasas Bridge) at San Agustin and Alasas, City of San Fernando, Pampanga</t>
  </si>
  <si>
    <t>BNLSL-LCB-04A-2019 – Construction of Canal System of Sto. Niño CIP, Babatngon, Leyte</t>
  </si>
  <si>
    <t>Purchase of Electrical Materials-Poblacion, San Fabian, Pangasinan</t>
  </si>
  <si>
    <t>MGB XI - vehicle rental</t>
  </si>
  <si>
    <t>Procurement of Medical Supplies - MHO</t>
  </si>
  <si>
    <t>20AJ0102-Construction of Four (4) Storey Eight (8) Classroom School Building, Botao NHS, Sta. Barbara, Pangasinan</t>
  </si>
  <si>
    <t>Procurement of 1 Washing Machine with Spinner</t>
  </si>
  <si>
    <t>FOR THE SUPPLY AND DELIVERY OF ICT EQUIPMENT OF EMB REGION VI CY 2020 (RE-BID)</t>
  </si>
  <si>
    <t>Installtion of RCPC (Spillway) @ Barangay Burgos</t>
  </si>
  <si>
    <t>NP-SVP-2020-0003 Leasing of Service Vehicle chargeable to Preliminary and Detailed Engineering (PDE) of the Planning and Design Section for use in project validation (for School Building, MPB and Loca</t>
  </si>
  <si>
    <t>Monthly supply of Unleaded Gasoline for the month of June to December 2020 under FishCORAL Project</t>
  </si>
  <si>
    <t>Procurement of Health Equipment, 1 set Prestan Mannequin 3 pack w/ CPR Monitor</t>
  </si>
  <si>
    <t>2LSSM2020B-182 Office Supplies</t>
  </si>
  <si>
    <t>BNLSL-LCB-34-2020 – Construction of Diversion Works, Canal and Farm Level System of Tabion SIP, Leyte, Leyte</t>
  </si>
  <si>
    <t>General Administration and Support (GAS) - Janitorial Supplies</t>
  </si>
  <si>
    <t>MGB XI - ICT supplies and devices (GD)</t>
  </si>
  <si>
    <t>20GDJ0008/N-2020-06-066 Provision of Three (3) Security Guards at DPWH Quezon II DEO, Lucena City</t>
  </si>
  <si>
    <t>Supply and Delivery of Eight Hundred (800) Pieces Peerless Box</t>
  </si>
  <si>
    <t>20AJ0104-Construction of Two (2) Storey Six (6) Classroom School Building at Tuliao E/S, Sta. Barbara, Pangasinan</t>
  </si>
  <si>
    <t>INREMP SSF for BFA (Coco Kiosk)</t>
  </si>
  <si>
    <t>Supply and Delivery of Toners and Inks, 1 Lot, for the Utilization of Pantawid Pamilya staff in RPMO, POO1, POO2, POO3, POO4 and Its municipalities</t>
  </si>
  <si>
    <t>Contract of Service for the Termite Treatment and Control to be used at City Hall Compound, City Health Office and RHU's and Birthing Stations in the City of San Fernando, Pampanga</t>
  </si>
  <si>
    <t>20AJ0103-Construction of Four (4) Storey, Eight (8) Classroom School Building, Mabuletic I.S., Malasiqui, Pangasinan</t>
  </si>
  <si>
    <t>Procurement of Security Service with one (1) Security Guard that shall render twelve hours (12 hours) of night shift duty including saturdays, sundays and holidays.</t>
  </si>
  <si>
    <t>REPAIR OF BATCH-TYPE MECHANICAL DRYERS (5 UNITS) IN JARO AND DUMANGAS, ILOILO</t>
  </si>
  <si>
    <t>(2nd Bid Notice) for the Purchase and Installation of Medical Waste Autoclave, San Marcelino District Hospital (SMDH), San Marcelino</t>
  </si>
  <si>
    <t>Procurement of Medical Supplies for MMH</t>
  </si>
  <si>
    <t>PROVISION OF LABOR, MATERIALS, EQUIPMENT RENTALS AND OTHER INCIDENTALS NEEDED FOR THE RECONSTRUCTION OF (2 UNITS) GOAT HOUSE IN PREC-SUAL, PANGASINAN</t>
  </si>
  <si>
    <t>20CB0072: Construction of Two(2) Storey Four(4) Classroom at Capunitan ES, Orion, Bataan</t>
  </si>
  <si>
    <t>REHABILITATION OF MUNICIPAL PLAZA</t>
  </si>
  <si>
    <t>NP-SVP-2020-0004 Leasing of Service Vehicle chargeable to Preliminary and Detailed Engineering (PDE) or use in the conduct of surveys (for Roads, Flood Control and Bridge Projects) and for use in geot</t>
  </si>
  <si>
    <t>Procurement of Supply, Delivery, Installation, Testing, Applications Training and Commissioning of Various Medical Equipment (Batch 2)</t>
  </si>
  <si>
    <t>Improvement of Multi-Purpose Hall at Barangay Kisikis, Alcala, Pangasinan</t>
  </si>
  <si>
    <t>2LSSM2020C-184 Procurement of Equipment/Furniture</t>
  </si>
  <si>
    <t>INVITATION TO BID FOR CONSTRUCTION OF 80 LN.M FOOBRIDGE AT SITIO CUSOY (CORE LOCAL ACCESS ROAD) AT SAN JOSE</t>
  </si>
  <si>
    <t>2LSSM2020A-188 Other Supplies and Materials</t>
  </si>
  <si>
    <t>Procurement of Construction Materials for Rehabilitation of Brgy. Hañib Multi-Purpose Building</t>
  </si>
  <si>
    <t>SUPPLY AND DELIVERY OF CONSTRUCTION MATERIALS FOR THE CONSTRUCTION OF APARTMENT TYPE NICHES (CONTINUING PROJECT)</t>
  </si>
  <si>
    <t>ITB-Supply and Delivery of School Supplies and Equipment-Rebidding</t>
  </si>
  <si>
    <t>20CB0071: Construction of Two(2) Storey Four(4) Classroom at Bantan ES, Orion, Bataan</t>
  </si>
  <si>
    <t>Supply &amp; Delivery of Various Chemicals ABC:78,500.00</t>
  </si>
  <si>
    <t>INREMP SSF Equipment for SCPFPA</t>
  </si>
  <si>
    <t>Various Drugs And Medicines (SK)</t>
  </si>
  <si>
    <t>Package II:Const.of Water System (Spring Dev't.), Brgy.Aglao &amp; Buhawen; Const.of MP Hall (Child Dev’t Center) Purok 7, Buhawen; Slope Protection Works at Purok 3, Consuelo Norte; all in San Marcelino</t>
  </si>
  <si>
    <t>2LSSM2020A-187 Office Supplies</t>
  </si>
  <si>
    <t>20CB0074: Construction of Two(2) Storey Four(4) Classroom at Sabatan ES, Orion, Bataan</t>
  </si>
  <si>
    <t>20GBC0007 - Furnishing/Delivery of Pavement Marking Materials for use along National Roads (Thermoplastic Paint Yellow)</t>
  </si>
  <si>
    <t>Supply, Delivery &amp; Installation of Solar Street Lights in Brgy. Kabangbang, Bantayan, Cebu</t>
  </si>
  <si>
    <t>Installation of Electrical Facilities at PS# 482 Bugtong 5 (Sunnyvale), Brgy. Bugtong na Pulo, Lipa City</t>
  </si>
  <si>
    <t>Supply and Delivery of Assorted Oil and Crude Oil</t>
  </si>
  <si>
    <t>INREMP SSF Equipment for BFA</t>
  </si>
  <si>
    <t>20GJF0100 - Hot Asphalt 60/70, Emulsified Asphalt, General Repair and Maintenance Services for use in the Resealing of Cracks and Joints &amp; For use in the Maintenance of NAtional Roads and Bridges</t>
  </si>
  <si>
    <t>Meals, Snack and Lodging - Training on Natural Farming System</t>
  </si>
  <si>
    <t>2LSSM2020A-191 Office Supplies</t>
  </si>
  <si>
    <t>CONSTRUCTION OF EARLY CHILDHOOD CARE AND  DEVELOPMENT CENTER</t>
  </si>
  <si>
    <t>IMPROVEMENT OF JPMR LLPB-LANAS-TABA-AO SUMILALAW JPMR BPLS (UPPER TOGTOGYON SECTION) LOO, BUGUIAS</t>
  </si>
  <si>
    <t>20GJF0099 - Blown Asphalt, Asphalt Coldmix (fine grade) and Reflectorized Traffic Paint (White) (20ltrs/pails) for use in PAtching Potholes and Repainting of Bridges along Lanao-Pagadian-Zamboanga Cit</t>
  </si>
  <si>
    <t>2LSSM2020A-190 Other Supplies and Materials</t>
  </si>
  <si>
    <t>IMPROVEMENT OF MODAYAN BECAEG KITONGAN FMR, LOO, BUGUIAS</t>
  </si>
  <si>
    <t>Various Laboratory Supplies_PR 11128</t>
  </si>
  <si>
    <t>PROVISION OF LABOR, MATERIALS, EQUIPMENT RENTALS AND OTHER INCIDENTALS NEEDED FOR THE RECONSTRUCTION OF PERIMETER FENCE WITH GATE AT DA-PREC, SUAL, PANGASINAN</t>
  </si>
  <si>
    <t>2LSSM2020A-189 Office Supplies</t>
  </si>
  <si>
    <t>Procurement of Educational Materials &amp; Supplies for the Reproduction of JHS Modules</t>
  </si>
  <si>
    <t>20GJF0097 - Vehicle Parts, Accessories and Consumables for use in the Replacement of worn-out Parts of Service Vehicle XTT-684, MAD-7096, SGD-201, TQL-496, Bongo 101710 &amp; For use in the Maintenance Se</t>
  </si>
  <si>
    <t>20CB0076: Construction of Three(3) Storey Six(6) Classroom at City of Balanga National High School, Balanga City, Bataan</t>
  </si>
  <si>
    <t>2LSSM2020A-193 Medical Dental and Laboratory Supplies</t>
  </si>
  <si>
    <t>Construction/Renovation</t>
  </si>
  <si>
    <t>2LSSM2020A-197 Other Supplies and Materials</t>
  </si>
  <si>
    <t>Construction of Access Road (Pathway)</t>
  </si>
  <si>
    <t>2LSSM2020A-196 Office Supplies</t>
  </si>
  <si>
    <t>Improvement of Water System, Barangay Caranas, Janiuay, Iloilo</t>
  </si>
  <si>
    <t>CawExt2020-002 Supply and Delivery of Materials for the Construction of Line Canal</t>
  </si>
  <si>
    <t>20CB0077: Construction of Two(2) Storey Eight(8) Classroom at Balanga City National Science High School, Balanga City, Bataan</t>
  </si>
  <si>
    <t>Construction/Improvement</t>
  </si>
  <si>
    <t>2LSSM2020A-195 Food Supplies</t>
  </si>
  <si>
    <t>20GJF0098 - Office Device and Accessories for use in the Maintenance Section, this district</t>
  </si>
  <si>
    <t>Supply, Delivery, Installation, Testing and Commissioning of one (1) unit 3.0 TR Ceiling Mounted (Inverter Type)two (2) units 2.0 TR Wall Mounted ACU (Inverter Type) Air-conditioning unit, complete wi</t>
  </si>
  <si>
    <t>2LSSM2020A-194 Food Supplies</t>
  </si>
  <si>
    <t>Procurement of Office Equipments</t>
  </si>
  <si>
    <t>Regravelling of Farm-to-Market Road at Barangay San Pedro Ili, Alcala, Pangasinan</t>
  </si>
  <si>
    <t>Provision of Steel Savings Cash Box and other training  materials for Gender and Financial Literacy;</t>
  </si>
  <si>
    <t>PROVISION OF LABOR, MATERIALS, EQUIPMENT RENTALS AND OTHER INCIDENTALS NEEDED FOR THE REHAB AND ENHANCEMENT OF FIELD OPERATIONS UNIT BUILDING AT DA-INREC STATION, BATAC CITY STATION, ILOCOS NORTE</t>
  </si>
  <si>
    <t>PROVISION OF LABOR, MATERIALS, EQUIPMENT RENTALS AND OTHER INCIDENTALS NEEDED FOR THE REHABILITATION AND ENHANCEMENT OF DORMITORY BUILDING AT DA-PREC, SUAL, PANGASINAN</t>
  </si>
  <si>
    <t>SUPPLY AND DELIVERY OF TRANSCO MINDANAO VARIOUS VEHICLE PARTS AND ACCESSORIES</t>
  </si>
  <si>
    <t>Supply and Delivery of Sand and Gravel for the  Regravelling of Farm-to-Market Road (Including Road Shoulder and Approach)at Barangay Gualsic, Alcala, Pangasinan</t>
  </si>
  <si>
    <t>20CB0075: Construction of Two(2) Storey Four(4) Classroom at Mariveles NHS Malaya, Mariveles, Bataan</t>
  </si>
  <si>
    <t>2LSSM2020A-186 Other Supplies and Materials</t>
  </si>
  <si>
    <t>20GGF0014 – Procurement of five (5) pcs. Tires 255/70/R16 and one (1) pc. Aircon Filter for use in the Planning and Design Section, Iloilo 1st District Engineering Office, Fort San Pedro Iloilo City.</t>
  </si>
  <si>
    <t>2LSSM2020A-185 Office Supplies</t>
  </si>
  <si>
    <t>IMPROVEMENT OF JUNCTION 204-AGUDAY AMGALEYGUEY ROAD, AMGALEYGUEY, BUGUIAS</t>
  </si>
  <si>
    <t>2LSSM2020A-192 Other Supplies and Materials</t>
  </si>
  <si>
    <t>SUPPLY, DELIVERY AND COMMISSIONING OF LITHOTRIPTOR SET FOR STONE SURGERIES</t>
  </si>
  <si>
    <t>Purchase of Various Office Supplies (Various Offices)</t>
  </si>
  <si>
    <t>20CB0073: Construction of Two(2) Storey Four(4) Classroom at Mariveles SHS-Sitio Mabuhay, Mariveles, Bataan</t>
  </si>
  <si>
    <t>Procurement of Food Supplies for affected individuals/families</t>
  </si>
  <si>
    <t>Stainless Steel Brass Letter Cut Signage (Brgy. Vacante Muliti Purpose Hall)</t>
  </si>
  <si>
    <t>Procurement of Educational Materials &amp; Supplies for the Reproduction of Modules</t>
  </si>
  <si>
    <t>Construction of 3 Type Public Market Building No.3-C</t>
  </si>
  <si>
    <t>PROCUREMENT OF INSTRUCTIONAL TOOLS AND EQUIPMENT FOR ORGANIC AGRICULTURE PRODUCTION (AOP) NC II</t>
  </si>
  <si>
    <t>PROCUREMENT OF GARBAGE TRUCK - 2020</t>
  </si>
  <si>
    <t xml:space="preserve">Purchase and Installation of Digital Monitoring Device w/ Automatic Online Weather Station and Accessories to be used for virtual monitoring and presentation of various hazards, maps, for information </t>
  </si>
  <si>
    <t>Labor and Materials for the Construction of Slope Protection (Phase II) at San Agustin, City of San Fernando, Pampanga</t>
  </si>
  <si>
    <t>SUPPLY AND DELIVERY OF VARIOUS LABORATORY CONSUMABLES</t>
  </si>
  <si>
    <t>20CSB004: Consulting Services for the Geotechnical Investigation for Proposed Flood Control Projects, Provinces of Isabela and Nueva Vizcaya</t>
  </si>
  <si>
    <t>Project 2020-15: Purchase of Assorted Sizes uPVC Pipes S-8 &amp; S-10, Fixed Seal</t>
  </si>
  <si>
    <t>2LSSM2020A-199 Other Supplies and Materials</t>
  </si>
  <si>
    <t>Supply and delivery of Materials for the Roofing Repair of Barikir Day Care Center</t>
  </si>
  <si>
    <t>Materials for SMAW work shop</t>
  </si>
  <si>
    <t>Construction of Composting Facility, Bulala Agri Eco Farm, Bayabas, Sablan Benguet (1st Rebid)</t>
  </si>
  <si>
    <t>MALIMPIN 04-2020 - construction of mini-park phase1</t>
  </si>
  <si>
    <t>Renovation Work</t>
  </si>
  <si>
    <t>2LSSM2020A-204 Office Supplies</t>
  </si>
  <si>
    <t>INVITATION TO BID FOR CONSTRUCTION OF DAY CARE CENTER BUILDING AT PALO 4, PM SOBRECAREY</t>
  </si>
  <si>
    <t>PURCHASE OF SPARE PARTS OF 5 TPH SATAKE RICEMILL IN DUMANGAS, ILOILO</t>
  </si>
  <si>
    <t>Construction of C.R with Septic Tank at Central School, Malaybalay City</t>
  </si>
  <si>
    <t>Contract ID No.: 20GOE0009 - Procurement of Asphaltic Materials (Cationic Cold Mix Blend) to be used in Various Maintenance Activities within NMDEO Jurisdiction – First Quarter</t>
  </si>
  <si>
    <t>Concreting of Farm to Market Road San Manuel Road at Baculud, Amulung Cagayan</t>
  </si>
  <si>
    <t>RFQ2020-05-029_SUPPLY AND DELIVERY OF VARIOUS WATER SERVICE CONNECTION MATERIALS FOR MAINTENANCE USE FOR 2ND QUARTER PROCUREMENT OF CY 2020_2ND PUBLICATION</t>
  </si>
  <si>
    <t>20DD0348 Local Program, Local Infrastructure Program, Buildings and Other Structures, Multipurpose/ Facilities, Construction of Footbridge at Brgy. Balintawak, Lipa City, Batangas</t>
  </si>
  <si>
    <t>Contract ID No.: 20GOE0008 - Procurement of Cationic Emulsified Asphalt, Rapid Setting (RSC-CRS-2) to be used in Squaring / Patching along Various National Roads – First Quarter</t>
  </si>
  <si>
    <t>2LSSM2020A-202 Other Supplies and Materials</t>
  </si>
  <si>
    <t>2LSSM2020A-201 Office Supplies</t>
  </si>
  <si>
    <t xml:space="preserve">2nd Invitation for the Supply &amp; Delivery of Lot 3- 5 units Copier for use in the office and staff of RPMSO and PPMSO Sorsogon, Catanduanes and Masbate Special Area for Agricultural Development (SAAD) </t>
  </si>
  <si>
    <t>2LSSM2020A-200 Other Supplies and Materials</t>
  </si>
  <si>
    <t>2LSSM2020A-203  Food Supplies</t>
  </si>
  <si>
    <t>Repair/Renovation and Demolition/Dismantling</t>
  </si>
  <si>
    <t>20DD0344 Local Program, Local Infrastructure Program, Buildings and Other Structures, Multipurpose/ Facilities, Rehabilitation/ Improvement of Multi-Purpose Facilities at Brgy. Bugtong, Lipa City, Bat</t>
  </si>
  <si>
    <t>PROCUREMENT OF ONE (1) UNIT RESCUE VEHICLE</t>
  </si>
  <si>
    <t>MGB XI - other supplies (GD)</t>
  </si>
  <si>
    <t>Supply and Delivery of Office Supplies for Various Offices of the Municipality</t>
  </si>
  <si>
    <t>Procurement for the Provision of Preventive Maintenance Services of Airconditioning Units of PSHS-CLC</t>
  </si>
  <si>
    <t>2LSSM2020A-198 Office Supplies</t>
  </si>
  <si>
    <t>20CSB003: Consulting Services for the Feasibility Study of Proposed Baybayog Bypass Road at Alcala in the Province of Cagayan</t>
  </si>
  <si>
    <t>20CB0078: Construction of Two(2) Storey Ten(10) Classroom at Bilolo ES, Orion, Bataan</t>
  </si>
  <si>
    <t>Provision of Fuel Consumption &amp; Lubricants ABC:52,950.00</t>
  </si>
  <si>
    <t>Contract ID No. 20NC0129 - Concreting of Sitio Gasa - Brgy. Tudela Road, Brgy. Basa, Trento, Agusan del Sur</t>
  </si>
  <si>
    <t>MGB XI - ICT supplies (MMD)</t>
  </si>
  <si>
    <t>CONSTRUCTION OF DRAINAGE SYSTEM (PRK. 3, RIGHT PORTION ALONG BRGY ROAD)</t>
  </si>
  <si>
    <t>Construction of 1 Building 1 Classroom at Bacbacon E/S, Kadingilan</t>
  </si>
  <si>
    <t>2LSSM2020A-208 Other Supplies and Materials</t>
  </si>
  <si>
    <t>Contract ID No. 20NC0130 - Construction of Bunawan-Veruela Road, Veruela, Agusan del Sur</t>
  </si>
  <si>
    <t>Contract ID No.: 20GOE0012 - Procurement of Parts for the Repair of NMDEO Equipment Isuzu Pick-Up SDA-827, Toyota Corona PGR-745, Ford Ranger C2-C893</t>
  </si>
  <si>
    <t>20FJ0028 - Repair/ Maintenance of DPWH Building, Area Equipment Quarter, Airport Road, Brgy. Kalipay, Masbate City</t>
  </si>
  <si>
    <t>2LSSM2020A-209 Food Supplies</t>
  </si>
  <si>
    <t>Contract ID No. 20NC0128 - Concreting of NRJ-Bunawan Brook (Rock Island), Brgy. Bunawan Brook, Bunawan, Agusan del Sur</t>
  </si>
  <si>
    <t>ROAD OPENING BARANGAY KISULAN, KIBLAWAN, DAVAO DL SUR</t>
  </si>
  <si>
    <t>2LSSM2020A-206 Office Supplies</t>
  </si>
  <si>
    <t>Concreting of Farm to Market Road Zone 2 Road at Nabbialan, Amulung Cagayan</t>
  </si>
  <si>
    <t>Concreting of Farm to Market Road Pallalay Road at Estefania, Amulung Cagayan</t>
  </si>
  <si>
    <t>Contract ID No.: 20GOE0011 - Procurement of Parts for the Repair Service Vehicle (Mitsubishi Adventure SFN-936) of DPWH-NMDEO</t>
  </si>
  <si>
    <t>20DD0263 (Re-Advertised) Local Program, Local Infrastructure Program, Buildings and Other Structures, Multipurpose/ Facilities, Rehabilitation/ Improvement of M.B. Medrano Plaza, Brgy. Poblacion, Ibaa</t>
  </si>
  <si>
    <t>Upgrading of Barangay Sports Center</t>
  </si>
  <si>
    <t>Supply and Delivery of LOT 1-Office/I.T Supplies and Lot 2-Consumable Supplies for Copying Machine</t>
  </si>
  <si>
    <t>REHABILITATION OF SAN ISIDRO BARANGAY HEALTH STATION (BHS)</t>
  </si>
  <si>
    <t>SUPPLY &amp; DELIVERY OF VARIOUS MATERIALS OF VIGA DPP</t>
  </si>
  <si>
    <t>Contract ID No.: 20GOE0010 - Procurement for the Supply and Delivery of Sand and Gravel to be used in Various Maintenance Activities within NMDEO Jurisdiction CY 2020 – First Quarter</t>
  </si>
  <si>
    <t>INVITATION TO BID FOR REHABILITATION OF MULTIPURPOSE SPORTS FACILITIES AT BRGY. SAN MIGUEL</t>
  </si>
  <si>
    <t>2LSSM2020A-205 Other Supplies and Materials</t>
  </si>
  <si>
    <t>2LSSM2020A-207 Food Supplies</t>
  </si>
  <si>
    <t>IMPROVEMENT / REHABILITATION OF LOCAL ACCESS ROAD OF BARANGAY CABATUAN</t>
  </si>
  <si>
    <t>ROAD CONCRETING AT CONCEPCION COMPOUND, SANTIAGO &amp; STO. NINO</t>
  </si>
  <si>
    <t>Construction of 1 Unit 1 Classroom at Minsamongan E/S, Quezon</t>
  </si>
  <si>
    <t>IMPROVEMENT / REHABILITATION OF LOCAL ACCESS ROAD OF BARANGAY CARBON</t>
  </si>
  <si>
    <t>2020-02-0317 CATERING SERVICE and VENUE RENTAL for 1 Day FOR THE LAUNCHING OF LISTAHANAN 3 DATABASE: REGIONAL PROFILE OF THE POOR</t>
  </si>
  <si>
    <t>PROCUREMENT OF OFFICE SUPPLIES AND CONSUMABLES</t>
  </si>
  <si>
    <t>INVITATION TO BID FOR CONSTRUCTION OF DAY CARE CENTER  AT SITIO CALIONGAN,PICHON</t>
  </si>
  <si>
    <t>2LSSM2020A-211 Medical Dental and Laboratory Supplies</t>
  </si>
  <si>
    <t>PROCUREMENT OF 1 UNIT MOTORCYCLE</t>
  </si>
  <si>
    <t>PR NO.2020-157 RICE BRAN AND SOYA</t>
  </si>
  <si>
    <t>NOTICE OF INVITATION TO SUBMIT PRICE QUOTATION FOR THE SMALL VALUE PROCUREMENT OF 2020 CAPITAL OUTLAY PROJECTS OF NFA COMPOUND, CIP COMPLEX, NRA, CEBU CITY</t>
  </si>
  <si>
    <t>GEOTECHNICAL INVESTIGATION SURVEY FOR THE INSTALLATION OF 80 TONS CAPACITY ELECTRONIC TRUCKSCALE IN JARO, ILOILO CITY</t>
  </si>
  <si>
    <t>2LSSM2020B-183 Other Supplies and Materials</t>
  </si>
  <si>
    <t>CLUSTER I - Bulan, Sorsogon</t>
  </si>
  <si>
    <t>Construction of Shoulder &amp; Concrete Line Canal at Cumadcad-Canjela Road</t>
  </si>
  <si>
    <t>PR NO. 2020-208 CONSTRUCTION OF 1 UNIT 500M2 NURSERY SHED</t>
  </si>
  <si>
    <t>AB '20 UPGRADING OF ALLEY AND IMPROVEMENT OF DRAINAGE CANAL (Alakaak Extension, Phase 1A, NBBS Kaunlaran, Navotas)</t>
  </si>
  <si>
    <t>Procurement of Materials for the Completion of Tourism Multi-Purpose Building</t>
  </si>
  <si>
    <t>INVITATION TO BID FOR CONSTRUCTION/IMPROVEMENT OF DRAINAGE SYSTEM PHASE II</t>
  </si>
  <si>
    <t>REPAIR OF TYPHOON-DAMAGED AKLAN PROVINCIAL OFFICE AND STAFFHOUSE (URSULA)</t>
  </si>
  <si>
    <t>IMPROVEMENT / REHABILITATION OF LOCAL ACCESS ROAD OF BARANGAY SAN MIGUEL TO REMEDIOS ROAD</t>
  </si>
  <si>
    <t>PURCHASE OF SPARE PARTS OF 5 TPH SATAKE RICEMILL IN SAN JOSE, ANTIQUE</t>
  </si>
  <si>
    <t>AB '20 UPGRADING OF ALLEY AND IMPROVEMENT OF DRAINAGE CANAL (Between Blk 2 and 3 Bangus st., Phase 1C, NBBS Kaunlaran, Navotas)</t>
  </si>
  <si>
    <t>PURCHASE OF SPARE PARTS OF 5 TPH SATAKE RICEMILL IN JARO, ILOILO CITY</t>
  </si>
  <si>
    <t>IMPROVEMENT / REHABILITATION OF LOCAL ACCESS ROAD OF BARANGAY TAMING</t>
  </si>
  <si>
    <t>Concreting of Road Shoulder</t>
  </si>
  <si>
    <t>Improvement of Multi - Purpose Hall</t>
  </si>
  <si>
    <t>INVITATION TO BID FOR CONSTRUCTION OF CHILD DEVELOPMENT CENTER AT LAHI, PALMA GIL</t>
  </si>
  <si>
    <t>Purchase of Materials for the Maintenance of St. Lights</t>
  </si>
  <si>
    <t>“SUPPLY AND DELIVERY OF VARIOUS SCUBA DIVING GEARS FOR 10 UNITS 30m. MCS PATROL VESSELS, 4 UNITS OF 11m. MCS PATROL VESSELS, 2 UNITS MMOV, F/V TAMBAKOL AND MRG TECHNICIANS”</t>
  </si>
  <si>
    <t>PROCUREMENT OF FLOURESECENT LAMPS DULUX 24W AND ITS COMPONENTS</t>
  </si>
  <si>
    <t>PROCUREMENT OF LED COM LIGHT</t>
  </si>
  <si>
    <t>Medical Equipment</t>
  </si>
  <si>
    <t>MOOE, CO, BDF &amp; 70% RRMF 2020</t>
  </si>
  <si>
    <t>CONSTRUCTION OF CULTURAL AND RECREATION PARK</t>
  </si>
  <si>
    <t>OPENING / IMPROVEMENT OF LOCAL ACCESS ROAD OF BARANGAY NAHUD</t>
  </si>
  <si>
    <t>Opening of Salucag - Calumbaya Road (Road Component)</t>
  </si>
  <si>
    <t>IMPROVEMENT / REHABILITATION OF LOCAL ACCESS ROAD OF BARANGAY REMEDIOS</t>
  </si>
  <si>
    <t>REPAIR OF TYPHOON-DAMAGED DRYER SHED AND MOTORPOOL (URSULA)</t>
  </si>
  <si>
    <t>Enhancement of ATIng Gulayan</t>
  </si>
  <si>
    <t>PBD Const/of 1.2 k. Pakong Road Gravelling</t>
  </si>
  <si>
    <t>REHABILITATION OF COMPOSTING FACILITY</t>
  </si>
  <si>
    <t>Concreting of Pavement at MH del Pilar St, Purok Masagana, Brgy. Poblacion</t>
  </si>
  <si>
    <t>Purchase of Vehicles</t>
  </si>
  <si>
    <t>PROCUREMENT OF VARIOUS HARDWARE AND CONSTRUCTION MATERIALS AND SUPPLIES TO BE USED FOR THE IMPROVEMENT OF MUNICIPAL GYMNASIUM</t>
  </si>
  <si>
    <t>Supply of Cloud Services for PCIC Data Storage</t>
  </si>
  <si>
    <t>ITB - REPLACEMENT OF DEFECTIVE TRANSMISSION PIPE LINES OF WATER SYSTEM</t>
  </si>
  <si>
    <t>IB-Goods-2020-10- Procurement of Medical Equipment under HFEP 2020</t>
  </si>
  <si>
    <t>IMPROVEMENT / REHABILITATION OF LOCAL ACCESS ROAD OF BARANGAY CONCEPCION</t>
  </si>
  <si>
    <t>Opening of Salucag - Calumbaya Road (RCDG Bridge Component)</t>
  </si>
  <si>
    <t>PURCHASE OF FUEL (DIESEL AND GASOLINE) FOR THE SOLID WASTE MANAGEMENT OFFICE - 3RD QUARTER CY 2020</t>
  </si>
  <si>
    <t>CONSTRUCTION OF PIG PEN</t>
  </si>
  <si>
    <t>CLUSTER II - Donsol, Sorsogon</t>
  </si>
  <si>
    <t>Grocery</t>
  </si>
  <si>
    <t>PROCUREMENT FOR INSTALLATION OF NETWORK AND INFORMATION TECHNOLOGY INFRASTRUCTURE FOR DANGEROUS DRUGS BOARD-MANAGEMENT INFORMATION SYSTEM UNIT</t>
  </si>
  <si>
    <t>REHABILITATION OF WATERWAY AT LYCEUM, BRGY. CENTRO</t>
  </si>
  <si>
    <t>CONSTRUCTION OF BARANGAY HEALTH STATION</t>
  </si>
  <si>
    <t>COMPLETION OF 5 BARANGAYS PUBLIC TOILETS</t>
  </si>
  <si>
    <t>Contract ID No.: 20OB0315 Contract Name: Completion of Multi-Purpose Building (Health Center) at Barangay Ligid Tipas, Taguig City</t>
  </si>
  <si>
    <t>improvement of multi-purpose building</t>
  </si>
  <si>
    <t>PROCUREMENT OF VARIOUS OFFICE SUPPLY AND EQUIPMENT</t>
  </si>
  <si>
    <t>Supply and Delivery of FOOD SUPPLIES FOR THE CONSUMPTION OF MILITARY COMBAT/INTEL OPERATION (2ND QUARTER 2020)</t>
  </si>
  <si>
    <t>AB '20 UPGRADING OF ALLEY AND IMPROVEMENT OF DRAINAGE CANAL (Between Bidbid st., and Bisugo st., Blk 15 Phase 1B,  NBBS Kaunlaran, Navotas)</t>
  </si>
  <si>
    <t>PROCUREMENT OF IT SUPPLIES INK,FLASH DRIVE AND OTHER ACCESSORIES</t>
  </si>
  <si>
    <t>Contract ID No.: 20OB0378 Contract Name: Rehabilitation of Roads at Brgy. South Daanghari, Taguig City  Contract Location: Taguig City</t>
  </si>
  <si>
    <t>UCT: 6	unit	MONITOR UP TO 4	unit	UPS SEMI EXPENDABLE  ICT EQUIPMENT FOR UCT-RPMO/DSWD FO IX STAFF</t>
  </si>
  <si>
    <t>Barangay 201 MOOE "OFFICE SUPPLIES, PEACE &amp; ORDER, ELECTRICAL SUPPLIES" / RRMF "MEGAPHONE, PUBLIC ADDRESS SYSTEM, CCTV CAMERA" 2020</t>
  </si>
  <si>
    <t>Barangay 726 C.O. "MOTORCYCLE WITH SIDECAR" 2020</t>
  </si>
  <si>
    <t>Barangay 695 MOOE "ELECTRICAL SUPPLIES" / BDF/RRMF "CCTV CAMERA" 2020</t>
  </si>
  <si>
    <t>Procurement of School Repair &amp; Maintenance and Office Supplies</t>
  </si>
  <si>
    <t>Contract ID No.: 20OB0413 Contract Name: Construction/Rehabilitation of Concepcion Uno Multi-Purpose Buildings, Marikina City</t>
  </si>
  <si>
    <t>PROCUREMENT OF FERTILIZER</t>
  </si>
  <si>
    <t>Bidding (Infra Project)</t>
  </si>
  <si>
    <t>PROCUREMENT OF LAPTOPS FOR BLENDED LEARNING</t>
  </si>
  <si>
    <t>Contract ID No.: 20OB0415 Contract Name: Construction/Rehabilitation of Multi-Purpose Building, Second District, Marikina City</t>
  </si>
  <si>
    <t>20GPF0012: Supply and Delivery of Lubricants, Tires, various vehicle and heavy equipment parts &amp; accessories for use of Maintenance Section of DPWH-BSDEO (CLUSTER I-2020 GOODS).</t>
  </si>
  <si>
    <t>Supply &amp; Delivery of 7,179 liters Foliar Fertilizer for distribution to affected farmers of Typhoon Tisoy</t>
  </si>
  <si>
    <t>19CSZ014- Consulting Services for the Construction Supervision of Davao City Bypass Construction Project - Package I-1 and Tender Assistance for Packages I-2 and I-3 (JICA Loan Agreement No. PH-P261)</t>
  </si>
  <si>
    <t>Health and Safety Supplies</t>
  </si>
  <si>
    <t>Contract ID No.: 20OB0381 Contract Name: Rehabilitation of Roads, Barangay Bambang, Taguig City</t>
  </si>
  <si>
    <t>Contract ID No.: 20OB0393 Contract Name: Improvement of Amang Rodriguez Memorial Medical Center,   Marikina City</t>
  </si>
  <si>
    <t>Supply and Delivery of FOOD SUPPLIES FOR THE CONSUMPTION IN ESTABLISHMENT FOR MAINTENANCE OF INTEGRATED DEFENSE SYSTEM FOR MPOC</t>
  </si>
  <si>
    <t>IES Office Supplies and Devices</t>
  </si>
  <si>
    <t>Contract ID No.: 20OB0399 Contract Name: Construction/Rehabilitation of Multi-Purpose Building including Site Development, Marikina City</t>
  </si>
  <si>
    <t>UCT: 4	UNIT	CPU  AND 1 UNIT	LAPTOP ICT EQUIPMENT FOR UCT-RPMO/DSWD FO IX STAFF</t>
  </si>
  <si>
    <t>Supply and Delivery SPARE PARTS OF HEAVY EQUIPMENT - MEO</t>
  </si>
  <si>
    <t>Supply and Delivery of Various Computer Equipment</t>
  </si>
  <si>
    <t>CONSTRUCTION/REHABILITATION/IMPROVEMENT  OF  DRAINAGE  SYSTEM  AT  PUROK  3A,  PDEA  COMPOUND , CALARIAN</t>
  </si>
  <si>
    <t>Purchase of Office Equipment and Office Furniture &amp; Fixture at Brgy. Santor, Tanauan City, Batangas</t>
  </si>
  <si>
    <t>CONSTRUCTION/REHABILITATION/IMPROVEMENT  OF  DRAINAGE  SYSTEM  AT  5TH  STREET SOUTHCOM VILLAGE , CALARIAN</t>
  </si>
  <si>
    <t>Purchase of Shredder Machines</t>
  </si>
  <si>
    <t>Construction of 1 Unit 1 Classroom at Gutalid E/S, Kitaotao</t>
  </si>
  <si>
    <t>INVITATION TO BID FOR CONSTRUCTION OF DAY CARE CENTER  AT SITIO BUTAY,PICHON</t>
  </si>
  <si>
    <t>Purchase of DRR Related Equipment</t>
  </si>
  <si>
    <t>IMPROVEMENT OF KAKAIWAN-TABEYO FARM-TO-MARKET ROAD AT AMBASSADOR, TUBLAY, BENGUET</t>
  </si>
  <si>
    <t>SUPPLY AND DELIVERY OF MATERIALS FOR THE CONSTRUCTION OF STREETLIGHTS, BRGY. MULIGUIN, UNISAN, QUEZON</t>
  </si>
  <si>
    <t>Purchase of DRR Rescue Vehicle (3 units Multi-Purpose Vehicle)</t>
  </si>
  <si>
    <t>CONSTRUCTION OF SLOPE PROTECTION DIKE AT SITIO GARRETA</t>
  </si>
  <si>
    <t>Completion of Manpower Development Center @ JBL, Sto. Nino, Talaingod, DDN</t>
  </si>
  <si>
    <t>20OH0049 Re-ads-Local Program-Local Infrastructure Program-Flood Control and Drainage-Drainage / Protection Works-Rehabilitation of Estero with Footbridge, Estero Tripa de Gallina, Paco, Manila</t>
  </si>
  <si>
    <t>IMPROVEMENT OF PALANCA-SALAKSAK FARM-TO-MARKET ROAD AT AMBASSADOR, TUBLAY, BENGUET</t>
  </si>
  <si>
    <t>Purchase of DRR Rescue Vehicle (2 units Pick-up type Vehicle)</t>
  </si>
  <si>
    <t>Contract ID No.	: 20CSOB0015 Name of Project	: Sub-Surface Soil Exploration for the Bank Improvement/ Protection along Pateros River, Brgy. Aguho (Phase VIII &amp; IX) and Brgy. Martirez (Phase IX &amp; X) bo</t>
  </si>
  <si>
    <t>Construction of Star Women's Building @ Sto. Nino, Talaingod, DDN</t>
  </si>
  <si>
    <t>Silid Aklatan para sa Kabataan</t>
  </si>
  <si>
    <t>Concreting of Pavement (continuation) at Sitio Liton, Brgy. Kayaga</t>
  </si>
  <si>
    <t>Construction of Student Food Processing Innovation Center</t>
  </si>
  <si>
    <t>Contract ID No.	: 20CSOB0014 Name of Project	: Sub-Surface Soil Exploration for the Bank Improvement at Brgy. Aguho (Phase VI &amp; VII), Pateros, Metro Manila</t>
  </si>
  <si>
    <t>Contract ID No.	: 20CSOB0013 Name of Project	: Sub-Surface Soil Exploration for the: a) Construction of Southern Police District Crime Laboratory Building; b) Construction of Multi-Purpose Building at</t>
  </si>
  <si>
    <t>Provision of Security Services (July-Dec 2020)</t>
  </si>
  <si>
    <t>20-03-251 Purchase of Goat as Livelihood Assistance for PWD, Solo and Women Welfare Program under the Office of MSWD</t>
  </si>
  <si>
    <t>Peace and Order -Drug Clearing Operations - Food pack</t>
  </si>
  <si>
    <t>CONSTRUCTION OF BOX CULVERT BESIDE AMBONGDOLAN BARANGAY HALL</t>
  </si>
  <si>
    <t>Purchase of Computer</t>
  </si>
  <si>
    <t>Contract ID No.	: 20CSOB0012 Name of Project	: Sub-Surface Soil Exploration for the Construction of Multi-Purpose Building at Sunny Ville 2, Gen. Ordoñez, Marikina City</t>
  </si>
  <si>
    <t>Repair and Maintenance Machinery and Equipment</t>
  </si>
  <si>
    <t>Concreting of Pavement at  Villanueva Village Road 1 (junction Mercado St - Abellera St.), Brgy. Poblacion</t>
  </si>
  <si>
    <t>20-03-225 Purchase of Brand New 10 Wheeler Dumptruck for Garbage Collection</t>
  </si>
  <si>
    <t>Ibalik Sigla sa Pag-aaral</t>
  </si>
  <si>
    <t>IMPROVEMENT OF LOWER COROZ FARM-TO-MARKET ROAD AT AMBASSADOR, TUBLAY, BENGUET</t>
  </si>
  <si>
    <t>Contract ID No.	: 20CSOB0011 Name of Project	: Sub-Surface Soil Exploration for the: a) Construction of Multi-Purpose Building at Brgy. Mabini J. Rizal; b) Construction of Multi-Purpose Building at Br</t>
  </si>
  <si>
    <t>Contract ID No.: 20OB0380 Contract Name: Rehabilitation of Roads, Barangay Bagumbayan, Taguig City</t>
  </si>
  <si>
    <t>Construction of Damutan Irrigation Project, Brgy. Damutan, Hinoba-an, Negros Occidental (Negotiated Procurement)/(OPA-2019-1262)</t>
  </si>
  <si>
    <t>PROCUREMENT OF BLADE CUTTER AND PROPER SHAFT ASSEMBLY WITH CROSS JOINT</t>
  </si>
  <si>
    <t>Concreting of Farm to Market Road Gangauan Road at Gangauan, Amulung Cagayan</t>
  </si>
  <si>
    <t>Acquisition of Modular Tent</t>
  </si>
  <si>
    <t>PROPOSED DRAINAGE AND DRAINAGE COVER</t>
  </si>
  <si>
    <t>2LSSM2020A-210 Medical Dental and Laboratory Supplies</t>
  </si>
  <si>
    <t>Improvements of Barangay Health Center</t>
  </si>
  <si>
    <t>20-03-219 Furniture and Fixtures for the Office of the Municipal Mayor &amp; Different Offices of LGU Alamada</t>
  </si>
  <si>
    <t>LABOR AND MATERIALS FOR THE REPAIR OF FLOORING OF ENGINEERING LABORATORY AND AUTOCAD ROOM AT SORSOGON CITY CAMPUS</t>
  </si>
  <si>
    <t>Supply &amp; Delivery of 7,179 packs Plant Growth Enhancer for distribution to affected farmers of Typhoon Tisoy</t>
  </si>
  <si>
    <t>PR NO. 2020-217 Ginger Rhizomes Mother Plant</t>
  </si>
  <si>
    <t>PROCUREMENT OF TILT CARRIER BEARING FOR BHS</t>
  </si>
  <si>
    <t>Installation of Solar Panel for Street lighting</t>
  </si>
  <si>
    <t>BID FOR THE REPARATION OF MUNICIPAL GYMNASIUM at Bgy. San Miguel</t>
  </si>
  <si>
    <t>Various Medicines</t>
  </si>
  <si>
    <t>Concreting of Pavement at Bonifacio St. (Lugares Compound), Brgy. Poblacion</t>
  </si>
  <si>
    <t>PROPOSED SOLAR POWERED IRRIGATION SYSTEM</t>
  </si>
  <si>
    <t>SUPPLY AND DELIVERY OF OFFICE AND JANITORIAL SUPPLIES &amp; CONSUMABLES</t>
  </si>
  <si>
    <t>Contract ID No.	: 20CSOB0027 Name of Project	: Sub-Surface Soil Exploration for the Construction of Multi-Purpose Building &amp; Site Development, Brgy. Maharlika, Taguig City</t>
  </si>
  <si>
    <t>Innovation to Go</t>
  </si>
  <si>
    <t>Kapwa! Responsibilidad ko</t>
  </si>
  <si>
    <t>Concreting of Pavement at Kabacan National H/S to Brgy. Kilagasan</t>
  </si>
  <si>
    <t>Contract ID No.	: 20CSOB0025 Name of Project	: Sub-Surface Soil Exploration for the Construction of New Brgy. Hall, Brgy. Pinagsama, Taguig City</t>
  </si>
  <si>
    <t>Contract ID No.	: 20CSOB0018 Name of Project	: Sub-Surface Soil Exploration for the: a) Construction of 9th Post Engineer Detachment Building with Motorpool Fort Andres Bonifacio &amp; Construction of Mil</t>
  </si>
  <si>
    <t>Barangay Operations and Monitoring System (BOMS)</t>
  </si>
  <si>
    <t>IMPROVEMENT AND EXTENSION OF CHAGAO-ANTAHAY ROAD AT DACLAN, TUBLAY, BENGUET</t>
  </si>
  <si>
    <t>Contract ID No.	: 20CSOB0017 Name of Project	: Sub-Surface Soil Exploration for the: Construction of Connecting Road from Cayetano Boulevard via Ruhale Road, Brgy. Ususan to Brgy. Calzada Tipas, Tagui</t>
  </si>
  <si>
    <t>Disaster Preparedness Program</t>
  </si>
  <si>
    <t>Contract ID No.	: 20CSOB0016 Name of Project	: Sub-Surface Soil Exploration for the Bank Improvement/ Protection along Pateros River, Brgy. Martirez (Phase XI &amp; XII) Pateros, Metro Manila</t>
  </si>
  <si>
    <t>Contract ID No.	: 20CSOB0026 Name of Project	: Sub-Surface Soil Exploration for the Construction of Multi-Purpose Building &amp; Site Development, Brgy. Central Bicutan, Taguig City</t>
  </si>
  <si>
    <t>Purchase of Food for the Training on Constitution and By-laws and Internal Policies of the Barangay Water System Association (BAWASA)</t>
  </si>
  <si>
    <t>20CSCE004 - CONSULTING SERVICES FOR a.) PARCELLARY SURVEY b.) DETAILED ENGINEERING SURVEY c.) MONUMENTING d.) RESEARCH WORKS for the CONSTRUCTION OF SAN ROQUE-MATURANOC ROAD GUIMBA BY-PASS, NUEVA ECIJ</t>
  </si>
  <si>
    <t>Concreting of Pavement at Osias National H/S - Junction Bonifacio St.</t>
  </si>
  <si>
    <t>Labor Cost for Demolition &amp; Reconstruction of MPB</t>
  </si>
  <si>
    <t>Barangay Profiling Laptop</t>
  </si>
  <si>
    <t>CP 2020-40 BIDDING FOR THE SUPPLY AND DELIVERY OF PERSONAL PROTECTIVE EQUIPMENT (PPE) C/O GSO</t>
  </si>
  <si>
    <t>Purchase of Food for the Training on Basic Leadership and Team Building of the Barangay Water System Association (BAWASA)</t>
  </si>
  <si>
    <t>Procurement of Const. Supplies for REpair of School Feeding Center at Mahayahay Elem. School</t>
  </si>
  <si>
    <t>IMPROVEMENT OF KM.58-CALASIPAN-APANBERANG FMR, CATTUBO, ATOK, BENGUET</t>
  </si>
  <si>
    <t>Procurement of Major Repair of One (1) Unit Motor Grader (Inclusive Labor &amp; Parts)</t>
  </si>
  <si>
    <t>Purchase of medical,dental and laboratory supplies</t>
  </si>
  <si>
    <t>Purchase of Food for the Training on Cost of Operation and Maintenance of the Barangay Water System Association (BAWASA)</t>
  </si>
  <si>
    <t>Supply and Delivery of 200 Roll ECG Paper (for existing machine); PR No. 20-1359 dated May 15, 2020</t>
  </si>
  <si>
    <t>Supply and Delivery of 6 Pcs. Metzenbaum Scissor, Stainless, Medium &amp; Other Items; PR No. 20-1360 dated May 12, 2020</t>
  </si>
  <si>
    <t>Provision of Security Services for Tayasan Public Market &amp; Tayasan Municipal Hall.</t>
  </si>
  <si>
    <t>Supply and Delivery of 20 Units Desktop Computer w/ computer accessories; PR No. 20-1372 dated April 22, 2020</t>
  </si>
  <si>
    <t>Procurement of Rescue/Emergency Vehicle</t>
  </si>
  <si>
    <t>Purchase of office supplies ( SPorts Office)</t>
  </si>
  <si>
    <t>SUPPLIES FOR TEACHERS 6 3 2020</t>
  </si>
  <si>
    <t>Rehabilitation of Multi-Purpose Building</t>
  </si>
  <si>
    <t>Supply and Delivery of 1 Unit Transmission Assembly &amp; Other Item; PR No. 20-1365 dated April 7, 2020</t>
  </si>
  <si>
    <t>SUPPLY AND DELIVERY OF MEDICAL OXYGEN AND COMPRESSED AIR FOR USE OF GEAMH</t>
  </si>
  <si>
    <t>Repair and Maintenance of Street Lighting</t>
  </si>
  <si>
    <t>Supply and Delivery of 1 Unit Wireless Tri-band gigabit router &amp; Other Items; PR No. 20-1371 dated April 1, 2020</t>
  </si>
  <si>
    <t>SUPPLY AND DELIVERY OF VARIOUS HOSPITAL SUPPLIES FOR USE OF KPFP</t>
  </si>
  <si>
    <t>Installation of Fire Hydrant</t>
  </si>
  <si>
    <t>Construction of Pigcawayan Fire Station Building</t>
  </si>
  <si>
    <t>PB-I-2020-05-615 "Procurement of Civil Works for the Rehabilitation of Capitol Drive Front Road and Improvement of Capitol Park and Street Lights</t>
  </si>
  <si>
    <t>Construction of Magpet Fire Station Building</t>
  </si>
  <si>
    <t>Construction of Norala Fire Station Building</t>
  </si>
  <si>
    <t>CONCRETING OF SINKHOLE AT ZONE 2, DES-OK, PROVINCIAL HOUSING, WANGAL, LA TRINIDAD</t>
  </si>
  <si>
    <t>SUPPLY AND DELIVERY OF DENTAL SUPPLIES FOR USE IN LIBRENG PUSTISO PROGRAM OF THE PROVINCIAL GOVERNMENT OF CAVITE</t>
  </si>
  <si>
    <t>Completion of  Irrigation System,  Brgy. Trinidad, Surigao City</t>
  </si>
  <si>
    <t>Purchase of office supplies (MPDO)</t>
  </si>
  <si>
    <t>CLUSTER 2 REPAIR AND REHABILITATION OF CLASSROOMS DAMAGED BY FIRE INCIDENTS AND VARIOUS CALAMITIES AND CONSTRUCTION OF SLOPE PROTECTION OF SCHOOL BUILDINGS (CY 2020 QUICK RESPONSE FUND)</t>
  </si>
  <si>
    <t>CLUSTER 1 REPAIR AND REHABILITATION OF CLASSROOMS DAMAGED BY FIRE INCIDENTS AND VARIOUS CALAMITIES AND CONSRTUCTION OF SLOPE PROTECTION OF SCHOOL BUILDINGS (CY 2020 QUICK RESPONSE FUND)</t>
  </si>
  <si>
    <t>Purchase of Fuel use for Solid Waste Management</t>
  </si>
  <si>
    <t>REHABILITATION/IMPROVEMENT OF  UNIVERSITY MAIN GATE (PHASE I</t>
  </si>
  <si>
    <t>Purchase of Fuel use for Mayor's Office</t>
  </si>
  <si>
    <t>Rehabilitation of Parug-parug Diversion Dam</t>
  </si>
  <si>
    <t>Purchase of All New Pick-up 4 x 2 E 2.4L Diesel Manual Transmission, CSWD, Surigao City</t>
  </si>
  <si>
    <t>Purchase &amp; Delivery of Const. &amp; Electrical Supplies for the  project Install./Improvement of Street Lights at Seven (7) Barangays of Arellano District, Surigao City</t>
  </si>
  <si>
    <t>SOLAR STREET LIGHT INSTALLED</t>
  </si>
  <si>
    <t>Purchase of  office supplies ( BAC)</t>
  </si>
  <si>
    <t>Installation of CCTV</t>
  </si>
  <si>
    <t>Improvement of Multi Purpose Hall Phase III</t>
  </si>
  <si>
    <t>ITB-GS-20200408-01 - Three (3) Years Hardware Maintenance and License Subscription of Axway Secure Transport Server</t>
  </si>
  <si>
    <t>Purchase of anti-rabies vaccines</t>
  </si>
  <si>
    <t>Completion of  Irrigation System,    Sitio Dacuman, Brgy. Ipil, Surigao City</t>
  </si>
  <si>
    <t>CLUSTER 9 REPAIR AND REHABILITATION OF CLASSROOMS DAMAGED BY FIRE INCIDENTS AND VARIOUS CALAMITIES AND CONSTRUCTION OF SLOPE PROTECTION OF SCHOOL BUILDINGS (CY 2020 QUICK RESPONSE FUND)</t>
  </si>
  <si>
    <t>Purchase of Plastic Bag ( Slaughterhouse)</t>
  </si>
  <si>
    <t>CLUSTER 5 REPAIR AND REHABILITATION OF CLASSROOMS DAMAGED BY FIRE INCIDENTS AND VARIOUS CALAMITIES AND CONSTRUCTION OF SLOPE PROTECTION OF SCHOOL BUILDINGS (CY 2020 QUICK RESPONSE FUND)</t>
  </si>
  <si>
    <t>ITB-GS-20200227-02 - One (1) Year Support and Maintenance of Single Back-up Systems Solution for Midrange and Enterprise Platforms</t>
  </si>
  <si>
    <t>CLUSTER 4 REPAIR AND REHABILITATION OF CLASSROOMS DAMAGED BY FIRE INCIDENTS AND VARIOUS CALAMITIES AND CONSTRUCTION OF SLOPE PROTECTION OF SCHOOL BUILDINGS (CY 2020 QUICK RESPONSE FUND)</t>
  </si>
  <si>
    <t>Bladder Type Tank etc. (05-0554) CGSO</t>
  </si>
  <si>
    <t>PURCHASE OF CRYSTAL LAMP</t>
  </si>
  <si>
    <t>Purchase of Fuel use for Peace and Order</t>
  </si>
  <si>
    <t>Oil Filter etc. (06-0588)Motorpool</t>
  </si>
  <si>
    <t>CLUSTER 6 REPAIR AND REHABILITATION OF CLASSROOMS DAMAGED BY FIRE INCIDENTS AND VARIOUS CALAMITIES AND CONSTRUCTION OF SLOPE PROTECTION OF SCHOOL BUILDINGS (CY 2020 QUICK RESPONSE FUND)</t>
  </si>
  <si>
    <t>SAAD-20-2039:Procurement of One Hundred Eighty-Eight (188) Units Plow (Manual Cultivator Plow)</t>
  </si>
  <si>
    <t>FOD-R-20-2346 : Procurement of Forty  (40) Units of  Pump  Irrigation  System  for Open Source ( PISOS)</t>
  </si>
  <si>
    <t>CONSTRUCTION OF BURAUEN COMMUNITY COLLEGE BUILDING (ADMINISTRATION BUILDING) BURAUEN SPORTS COMPLEX, BURAUEN, LEYTE</t>
  </si>
  <si>
    <t>CLUSTER 7 REPAIR AND REHABILITATION OF CLASSROOMS DAMAGED BY FIRE INCIDENTS AND VARIOUS CALAMITIES AND CONSTRUCTION OF SLOPE PROTECTION OF SCHOOL BUILDINGS (CY 2020 QUICK RESPONSE FUND)</t>
  </si>
  <si>
    <t>CLUSTER 3 REPAIR AND REHABILITATION OF CLASSROOMS DAMAGED BY FIRE INCIDENTS AND VARIOUS CALAMITIES AND CONSTRUCTION OF SLOPE PROTECTION OF SCHOOL BUILDINGS (CY 2020 QUICK RESPONSE FUND)</t>
  </si>
  <si>
    <t>ITB-GS-20200609-01 - Online Competency Assessment</t>
  </si>
  <si>
    <t>ITB-GS-20200604-01 - 1 Lot Supply, Delivery and Installation of Signages, Acrylic Frame Panels, ATM Sunshade &amp; Thru-the-Wall ATM Enclosure, including Dismantling of existing signages, when necessary,</t>
  </si>
  <si>
    <t>Construction of Dananao Multi-purpose building</t>
  </si>
  <si>
    <t>Supply of Labor, Materials and Equipment for the Improvement of Multi-Purpose Building, Brgy. Salaban, San Jose, Batangas</t>
  </si>
  <si>
    <t>PURCHASE OF BRAND NEW AMBULANCE FOR USE IN DISASTER PREPAREDNESS PROGRAM OF PDRRMO</t>
  </si>
  <si>
    <t>Supply and Delivery of Other Supplies and Materials (Insecticide), Office of the Municipal Health Officer, San Jose, Batangas</t>
  </si>
  <si>
    <t>Tricycle RE F1 etc. - REBID (05-0509)OBO</t>
  </si>
  <si>
    <t>REBIDDING OF THE SUPPLY AND DELIVERY OF VARIOUS LABORATORY REAGENTS AND SUPPLIES</t>
  </si>
  <si>
    <t>Portland Cement etc. (06-0567-A)CEO</t>
  </si>
  <si>
    <t>Construction of Multi-Purpose Building - Sapang, Galimuyod, Ilocos Sur</t>
  </si>
  <si>
    <t>Purchase &amp; Delivery of Const. Materials &amp; Supplies for the project Construction of Line Canal at Purok 1A, Brgy. San Juan, Surigao City</t>
  </si>
  <si>
    <t>COMPLETION OF THE OFFICE OF THE MUNICIPAL AGRICULTURIST</t>
  </si>
  <si>
    <t>REPAIR &amp; IMPROVEMENT OF COMFORT ROOM IN THE MAIN BUILDING &amp; THE OFFICE OF THE MHO</t>
  </si>
  <si>
    <t>Medical Oxygen etc. (06-0599)</t>
  </si>
  <si>
    <t>Rehabilitation of Piñahon Island</t>
  </si>
  <si>
    <t>All In One Desktop Computer with Software for Fabrication Laboratory (FabLab)</t>
  </si>
  <si>
    <t>Upgrading of Marine Science Museum Building</t>
  </si>
  <si>
    <t>Upgrading of Research and Extension Office</t>
  </si>
  <si>
    <t>CDH-19-1151-B (Re-Bid) Proposed Ward Extension of Dr. Ricardo S. Provido Sr. Memorial district Hospital  Calinog, Iloilo</t>
  </si>
  <si>
    <t>Laptop etc.(06-0601) CIO</t>
  </si>
  <si>
    <t>Office Forms etc. (06-0560)CCAH</t>
  </si>
  <si>
    <t>Supply of Labor, Materials and Equipment for the Improvement of Multi-Purpose Building, Brgy. Banaybanay I, San Jose, Batangas</t>
  </si>
  <si>
    <t>20DP0075 : Construction of Four (4) Storey Eight (8) Classroom at Masapang Elementary School, Victoria, Laguna</t>
  </si>
  <si>
    <t>CDH-19-1003-B (Re-Bid) Proposed Concreting of Parking Area of Dr. Ricardo S. Provido Sr. Memorial District Hospital, Calinog, Iloilo</t>
  </si>
  <si>
    <t>CLUSTER 8 REPAIR AND REHABILITATION OF CLASSROOMS DAMAGED BY FIRE INCIDENTS AND VARIOUS CALAMITIES AND CONSTRUCTION OF SLOPE PROTECTION OF SCHOOL BUILDINGS (CY 2020 QUICK RESPONSE FUND)</t>
  </si>
  <si>
    <t>CDH-19-1112-B (Re-Bid) Proposed Dietary Extension of Dr. Ricardo S. Provido Memorial District Hospital Calinog, Iloilo</t>
  </si>
  <si>
    <t>20DP0073 : Construction of Four (4) Storey Sixteen (16) Classroom at Alaminos Central School, Alaminos, Laguna</t>
  </si>
  <si>
    <t>CONSTRUCTION AND/ OR REPAIR/ REHABILITATION OF MULTI-PURPOSE BUILDING, BRGY. POBLACION, URDANETA CITY, PANGASINAN</t>
  </si>
  <si>
    <t>Construction of DA-RIARC Irrigation Canal</t>
  </si>
  <si>
    <t>CDH-19-1114-B (Re-Bid) Renovation of Rehab of Dr. Ricardo S. Provido Memorial District Hospital (Phase 1) Calinog, Iloilo</t>
  </si>
  <si>
    <t>CONSTRUCTION OF DRAINAGE CANAL FOR TEN (10) BARANGAYS</t>
  </si>
  <si>
    <t>20DP0076 : Construction of Four (4) Storey Eight (8) Classroom at Guerilla Elementary School, San Pablo City, Laguna</t>
  </si>
  <si>
    <t>20DP0074 : Construction of Four (4) Storey Twelve (12) Classroom at San Francisco Elementary School, Nagcarlan, Laguna</t>
  </si>
  <si>
    <t>Rehabilitation of various Brgy. Roads</t>
  </si>
  <si>
    <t>20DP0077 : Construction of Four (4) Storey Twenty (20) Classroom at Col. Lauro D. Dizon Memorial National High School, San Pablo City, Laguna</t>
  </si>
  <si>
    <t>CONSTRUCTION OF 2 UNITS MATERIALS RECOVERY FACILITY</t>
  </si>
  <si>
    <t>SUPPLY, DELIVERY &amp; TESTING OF ONE (1) HEAVY DUTY MONEY COUNTER</t>
  </si>
  <si>
    <t>CONSTRUCTION OF TANOD OUTPOST</t>
  </si>
  <si>
    <t>Procurement of Office Equipment/Furniture and Fixture</t>
  </si>
  <si>
    <t>Procurement of Ink for Computer Printers</t>
  </si>
  <si>
    <t>2020-NPSV-08 Various Office Equipment</t>
  </si>
  <si>
    <t>Engagement of Service Provider for Group Life and Accident Insurance Plan (GLAIP) for PNOC EC (Rebid)</t>
  </si>
  <si>
    <t>ROAD REHABILITATION</t>
  </si>
  <si>
    <t>Procurement for various Information Technology Equipment</t>
  </si>
  <si>
    <t>PB-C-2020-05-620 "Procurement Consulting Services for the Architectural Design, Detailed Engineering Design and Conceptual Design of the New Doña Maria D. Tan Memorial Hospital (DMDTMH)" (P 9,000,000.</t>
  </si>
  <si>
    <t>FOD-R-20-0232: Supply of Labor and Materials for the Construction of Cangkue Diversion Dam located at Brgy. Sto. Niño, Tanjay City, Negros Oriental</t>
  </si>
  <si>
    <t>ARPA-RADAR Simulator  (Full Mission Ship Bridge Simulator) with complete accessories (1 Instructor Station and 6 Students Station) including installation and training orientation.</t>
  </si>
  <si>
    <t>ITB # 20ODGS-0001 For the Repair/Maintenance/Repainting of Faded Reflectorized Pavement Markings along various road in Caloocan City &amp; Valenzuela City (C.Y. 2020 Routine / Special Maintenance)</t>
  </si>
  <si>
    <t>CDH-18-2436-B (Re-Bid) Concreting of Access Road of Dr. Ricardo S. Provido Sr. Memorial District Hospital, Calinog, Iloilo</t>
  </si>
  <si>
    <t>Concreting of Union Brgy. Road</t>
  </si>
  <si>
    <t>Procurement of Toilet Bowl</t>
  </si>
  <si>
    <t>Procurement of Ceramic Toilet Bowls</t>
  </si>
  <si>
    <t>Supply and Delivery of Janitorial and Garbage Collection Services of NIF-Eastern Mindanao</t>
  </si>
  <si>
    <t>SSF Equipment for MAGROW MPC (Garments Making)</t>
  </si>
  <si>
    <t>Establishment of Tricycle Terminals and Rehabilitation of Municipal Fence</t>
  </si>
  <si>
    <t>Concreting of Brgy. Maatas Street</t>
  </si>
  <si>
    <t>Procurement of PSA Security Guard Services for Two (2) Years under ITB No.PB20-06-003ILO</t>
  </si>
  <si>
    <t>Rehabilitation/Improvement of Various Local Roads</t>
  </si>
  <si>
    <t>Constrution of Rizal Mourning Shed</t>
  </si>
  <si>
    <t>june request</t>
  </si>
  <si>
    <t>CONSTRUCTION OF BARANGAY TANOD OUTPOST OYAN, SIBUTAD, Z.N.</t>
  </si>
  <si>
    <t>Supply and Delivery of OPTAR Requirements of PMC LOT 3 - Other Supplies &amp; Materials Expenses</t>
  </si>
  <si>
    <t>20GKJ0004: Supply and Delivery of Materials for Activity 111 – Premix Patching Bituminous Pavement, Misamis Occidental 2nd</t>
  </si>
  <si>
    <t>Barangay Session Table and Rack</t>
  </si>
  <si>
    <t>ILD-20-2344: Procurement of Other Supplies to be used in the Laboratories in M. Velez</t>
  </si>
  <si>
    <t>20KJ0179: Construction/Maintenance of Flood Mitigation Structures and Drainage Systems, Construction of Ozamis City Drainage System, Package 1, Misamis Occidental</t>
  </si>
  <si>
    <t>Supplies/Materials for PMC CCIE</t>
  </si>
  <si>
    <t>SUPPLY &amp; DELIVERY OF IT EQUIPMENTS FOR MHO-NARRA</t>
  </si>
  <si>
    <t>Rafael Lacson box culvert</t>
  </si>
  <si>
    <t>Improvement/expansion LGU (Fatima Purok 5) Water System</t>
  </si>
  <si>
    <t>20KJ0151: Construction/Completion of 10 units Multi-Purpose Building, Tangub City, Misamis Occidental</t>
  </si>
  <si>
    <t>GENERATOR SET</t>
  </si>
  <si>
    <t>Procurement of Tires for Service Vehicles and Heavy Equipment Province of Northern Samar</t>
  </si>
  <si>
    <t>Improvement of Multi-Purpose Hall Building (Angara Building)</t>
  </si>
  <si>
    <t>CONSTRUCTION OF CROSS DRAINAGE CANAL</t>
  </si>
  <si>
    <t>CORN PRODUCTION</t>
  </si>
  <si>
    <t>20KJ0180: Construction of Convention Center, Ozamis City, Misamis Occidental</t>
  </si>
  <si>
    <t>Supplies of Materials for Training Requirements of Naval Enlisted Personnel Schools Center Courses (NEPSC)</t>
  </si>
  <si>
    <t>Multi Tester 360 etc. (06-0552) CGSO</t>
  </si>
  <si>
    <t>Rehabilitation/ Improvement  of Second floor of BASIL/NIFEP Building</t>
  </si>
  <si>
    <t>SUPPLY OF ONE UNIT PICK-UP VEHICLE FOR PROVINCIAL INTERNAL AUDIT OFFICE</t>
  </si>
  <si>
    <t>Supply and Delivery of Janitorial and Garbage Collection Services at Naval Base Rafael Ramos (NBRR)</t>
  </si>
  <si>
    <t>Supply of Labor, Materials and Equipment for the Construction of Line Canal, Brgy. Aya, San Jose, Batangas</t>
  </si>
  <si>
    <t>SUPPLY &amp; DELIVERY OF I.T. EQUIPMENT, PERIPHERALS AND CONSUMABLES</t>
  </si>
  <si>
    <t>INF-ITB 20-031 Construction of Water System at Sitio Tanting, Tantangan, South Cotabato</t>
  </si>
  <si>
    <t>2020 - B4- Project A - Various Hospital and Medical Equipment for the Province of Bulacan (LGU2020 Hospitals) - P4,000,000.00</t>
  </si>
  <si>
    <t>SUPPLY &amp; DELIVERY OF BLOOD CULTURE SENSITIVITY MACHINE</t>
  </si>
  <si>
    <t>Fuel and Oil for Improvement of Jct. National Highway to Purok Gulay FMR, Upper Nilo, Tigbao, Zds</t>
  </si>
  <si>
    <t>Emergency Go Bags</t>
  </si>
  <si>
    <t>Construction/Improvement of Water System</t>
  </si>
  <si>
    <t>Supply and Delivery of   6-Wheeler Truck (PR No. 20-03-0121)</t>
  </si>
  <si>
    <t>IMPROVEMENT OF BARANGAY WATER SYSTEM</t>
  </si>
  <si>
    <t>20FM0050 Repair/Maintenance of Various Buildings of DPWH  Masbate 1st District Engineering Office, Barangay Bayanihan, San Fernando, Masbate</t>
  </si>
  <si>
    <t>MOTORCYCLE BIKE-XRM 125 DUAL SPORT</t>
  </si>
  <si>
    <t>20FM0049 Construction of  Various Rainwater Collection System  (RWCS), Ticao Island, Masbate</t>
  </si>
  <si>
    <t>SUPPLY OF ONE UNIT PICK-UP VEHICLE FOR PROVINCIAL VETERINARY OFFICE</t>
  </si>
  <si>
    <t>PURCHASE OF COMMON OFFICE SUPPLIES TO BE USED IN THE DIFFERENT COLLEGES AND OFFICES OF THE UNIVERSITY</t>
  </si>
  <si>
    <t>RFQ-2020-06-0044-Activity 71x - (Bridge and Structure Maintenance ) Premix Patching of Bridge Approach along National Road within the District</t>
  </si>
  <si>
    <t>Purchase of Rescue Ambulance for the PDRRMO  Province of Northern Samar</t>
  </si>
  <si>
    <t>Purchase of Biotek-M Dengue Package and Biotek-M Lamp Heater With Easyview LED Transilluminator for NSPH and District Hospitals Province of Northern Samar</t>
  </si>
  <si>
    <t>RFQ-2020-06-0043-Activity 112 - Penetration Patching Bituminous Pavements (Furnishing of Hot Asphalt, Grade 60-70) along Pangasinan - Zambales Road, K0324+000 to K0340+000 with exception</t>
  </si>
  <si>
    <t>SUPPLY AND DELIVERY OF THREE (3) UNITS MOTORCYCLE</t>
  </si>
  <si>
    <t>IB No. 2001-22 Proc. of Goods (Books)(Rebid)</t>
  </si>
  <si>
    <t>Books for the Library (CAS &amp; CIT References)</t>
  </si>
  <si>
    <t>SUPPLY AND DELIVERY OF MATERIALS TO BE USED IN INSTALLATION OF POTABLE WATER SUPPLY SYSTEM LEVEL 1 &amp; 2, SITIO KANLURAN</t>
  </si>
  <si>
    <t>One (1) Lot Cluster Bidding (Pamplona) (B-84-2020)</t>
  </si>
  <si>
    <t>DRILLING &amp; CONST. OF TWO (2) TEST/PRODUCTION WELL FOR THE PAMPLONA WATER DISTRICT</t>
  </si>
  <si>
    <t>INF-ITB 20-032 Construction of Multipurpose Drying Pavement with Warehouse, Brgy. Miasong, Tupi, South Cotabato</t>
  </si>
  <si>
    <t>One (1) Lot Repair and Maintenance – Infrastructure Assets (Provincial Roads &amp; Bridges), Province of Negros Oriental (B-85-2020)</t>
  </si>
  <si>
    <t>2020 - B4 - Project C - Various Hospital and Medical Equipment for the Province of Pampanga (LGU2020 Hospitals) - P15,000,000.00</t>
  </si>
  <si>
    <t>INVITATION TO BID FOR THE CONSTRUCTION OF DRAINAGE CANAL AT P-2 CASTILLO VILLAGE</t>
  </si>
  <si>
    <t>Purchase of 1 Bonggo Vihecle</t>
  </si>
  <si>
    <t>RFQ-2020-06-0042-Activity 111 - Premix Patching Bituminous Pavement (Furnishing of Premix Asphalt) along Burgos - Agno Road, K0303+ (-961) to K0309+000 with exception</t>
  </si>
  <si>
    <t>t One (1) Lot Cluster Bidding (Jimalalud) (B-83-2020)</t>
  </si>
  <si>
    <t>procurement of spareparts/lgu motorpool</t>
  </si>
  <si>
    <t>MG-PLM20-104 - MAINTENANCE OF POWER INTAKE ELECTRICAL WIRINGS AND FIXTURES INCLUDING THE STREET &amp; PERIMETER LIGHTINGS</t>
  </si>
  <si>
    <t>Purchase of Various Hospital Other Supplies and Materials Northern Samar Provincial Hospital Catarman, Northern Samar</t>
  </si>
  <si>
    <t>Procurement of Various Construction Supplies and Materials-06-336(O)PEO</t>
  </si>
  <si>
    <t>PROPOSED PURCHASE OF VARIOUS CCTV AND PUBLIC ADDRESS MATERIALS AND EQUIPMENTS AT BRGY. STA. MONICA, SAN PABLO CITY</t>
  </si>
  <si>
    <t>Purchase of (1) one unit Multicab</t>
  </si>
  <si>
    <t>PROPOSED CONSULTANCY SERVICES</t>
  </si>
  <si>
    <t>PROCUREMENT OF ONE (1) UNIT OF BRAND NEW MINI DUMP TRUCK (3 CUBIC)</t>
  </si>
  <si>
    <t>Procurement of Various Live Animals-06-027(AA)ProVet</t>
  </si>
  <si>
    <t>RFQ-2020-06-0047-Activity 41x - Emergency Projects (Pavement Maintenance) - Furnishing of Emulsified Asphalt (Cationic SS1) for use in the recitation of defects on Asphalt Pavement along Alaminos - Bo</t>
  </si>
  <si>
    <t>RFQ-2020-06-0046-Activity 111 - Premix Patching Bituminous Pavement (Furnishing of Premix Asphalt) along Alaminos - Bolinao Road (S05901LZ)  K0336+ 000 to K0345+000 with exception</t>
  </si>
  <si>
    <t>Concreting of Sidewalk @ Brgy Jalung Porac, Pampanga</t>
  </si>
  <si>
    <t>Construction of Line Canal @ Brgy Manibaug Libutad, Porac, Pampanga</t>
  </si>
  <si>
    <t>2020 - B4- Project B - Various Hospital and Medical Equipment for the Province of Nueva Ecija (LGU2020 Hospitals)  - P18,000,000.00</t>
  </si>
  <si>
    <t>SUPPLY &amp; DELIVERY OF ADVOCACY MATERIALS (T-SHIRTS, BAGS, UMBRELLAS, ETC)</t>
  </si>
  <si>
    <t>REHABILITATION OF TULAY NG PANGULO (APPROACH B-BANKER)</t>
  </si>
  <si>
    <t>2020- B4 - Project D - Various Hospital and Medical Equipment for the Province of Zambales (LGU2020 Hospitals) - P 5,000,000.00</t>
  </si>
  <si>
    <t>Supplies &amp; materials for Rescuers</t>
  </si>
  <si>
    <t>Construction of 1 Unit 2 Classrooms at Sitio Sinaca, Barangay Anticala, Butuan City</t>
  </si>
  <si>
    <t>SUPPLY &amp; DELIVERY OF ANESTHESIA MACHINE</t>
  </si>
  <si>
    <t>Construction of Drainage Canal for Various Barangays</t>
  </si>
  <si>
    <t>VEGETABLE SEEDS DISTRIBUTION</t>
  </si>
  <si>
    <t>Supply and Delivery of Four (4) units Brand New AMBULANCE for MCDRRMO, City Government of Marikina</t>
  </si>
  <si>
    <t>Re-Blocking of Feeder Road with Canal Improvement, Brgy. Sangirin (Materials)</t>
  </si>
  <si>
    <t>CY 2020 QUICK RESPONSE FUND (QRF) REPAIR/REHABILITATION OF CLASSROOMS DAMAGED BY VARIOUS CALAMITIES</t>
  </si>
  <si>
    <t>20FM0051 Repair/Maintenance of Various Flood Control  Structures at Alcantara Bridge, Buyo River, and  San Fernando East Dike along Brgy. Baybay Dagat Section, Monreal, and San Fernando, Masbate</t>
  </si>
  <si>
    <t>Construction of Tanod's Outpost under the Covered Court Bleacher (Materials)</t>
  </si>
  <si>
    <t>SUPPLY &amp; DELIVERY OF LABORATORY REAGENTS  IB NO. 20-10</t>
  </si>
  <si>
    <t>PURCHASE AND DELIVERY OF OFFICE SUPPLIES</t>
  </si>
  <si>
    <t>Feeding Requirements of Molobicus saline tilapia hybrids for the 2nd-4th quarter FY 2020</t>
  </si>
  <si>
    <t>INSTALLATION OF SOLAR LIGHTS (S.K FUND)</t>
  </si>
  <si>
    <t>Street Concreting Brgy. Magsaysay Bobon Northern Samar</t>
  </si>
  <si>
    <t>Purchase of Materials for the Completion of Spring Development Project</t>
  </si>
  <si>
    <t>SVP No. 2020-0003 Purchase of NHK and PTV Programs Data for the period January to December 2019</t>
  </si>
  <si>
    <t>Procurement of Various Medicines for COVID-19 Prevention</t>
  </si>
  <si>
    <t>For Emergency Purchase of BFAR-NSTDC relating to COVID-19</t>
  </si>
  <si>
    <t>LANDSCAPING OF BAYWALK AT BARANGAY BARANAYAN</t>
  </si>
  <si>
    <t>Repair &amp; Maintenance of Machinery &amp; Equipment (Tools &amp; Parts- Ambulance, Nissan Van, Volvo Truck, Pay Loader)</t>
  </si>
  <si>
    <t>REPRODUCTION &amp; DELIVERY OF BLOOD BAG LABER STICKER WITH PROVISION OF 1 UNIT BARCODE PRINTER</t>
  </si>
  <si>
    <t>Supply and Delivery of 600 pcs. of SEC Logo Pin and 600 pcs. of Philippine Flag Pin</t>
  </si>
  <si>
    <t>Procurement of Additional Construction Materials for COVID-19 Isolation Building</t>
  </si>
  <si>
    <t>20BK0146  Construction of 2 Units 1STY3CL Aglipay East CS 	  Aglipay, Quirino</t>
  </si>
  <si>
    <t>RENOVATION OF MALE COMFORT ROOM</t>
  </si>
  <si>
    <t>Supply and Delivery of Four (4) units Brand New DUMP TRUCK 8x4 for MCDRRMO, City Government of Marikina</t>
  </si>
  <si>
    <t>20BK0145  Construction/Rehabilitation of Water Supply/Septage and Sewerage/Rain Water Collectors a)Mariano Gadingan Sr. Elementary School,Maddela; b)San Bernabe Elementary School,Maddela; c)San Salvad</t>
  </si>
  <si>
    <t>Procurement of Materials for Evacuation Center</t>
  </si>
  <si>
    <t>SUPPLY AND DELIVERY OF VARIOUS HARDWARE SUPPLIES</t>
  </si>
  <si>
    <t>20BK0144  Construction/ Rehabilitation of Water Supply/Septage and Sewerage/Rain Water Collectors a)DepEd Division Office NEAP Building, Cabarroguis; b)DepEd Division Office CID Building, Cabarroguis;</t>
  </si>
  <si>
    <t>Procurement of Water Supply Accessories and Materials for the Improvement of Water System of Barangay Tagbongabong</t>
  </si>
  <si>
    <t>BARANGAY ROAD CONCRETING - SITIO GAANG - LAMESA, BALAMBAN, CEBU</t>
  </si>
  <si>
    <t>Concreting of Refazo Street Extension (Materials)</t>
  </si>
  <si>
    <t>Rehabilitation/Improvement of NFA Warehouse</t>
  </si>
  <si>
    <t>SUPPLY, DELIVERY, INSTALLATION, TESTING AND COMMISSIONING OF FOUR (4) UNITS BRAND NEW POWER SUPPLY OF 2-200KVA UPS</t>
  </si>
  <si>
    <t>Purchase of gambrel and hog trolley</t>
  </si>
  <si>
    <t>REHABILITATION OF PACIANO RIZAL ELEMENTARY SCHOOL, LOS BAÑOS, LAGUNA</t>
  </si>
  <si>
    <t>Supply and Delivery of One (1) Unit Fabricated Plastic and Cellophane Pulverizer Equipment</t>
  </si>
  <si>
    <t>Construction of Box Culvert</t>
  </si>
  <si>
    <t>PROCUREMENT OF DIESEL FUEL AND GASOLINE FOR ENERGIZATION PROGRAM  CONSUMPTION OF LGU-CALUYA FOR THE MONTH OF JUNE TO AUGUST 2020</t>
  </si>
  <si>
    <t>Re-Blocking of Barangay Road, Maurang</t>
  </si>
  <si>
    <t>PROCUREMENT OF MATERIALS FOR IMPROVEMENTS OF WATER SYSTEM</t>
  </si>
  <si>
    <t>INVITATION TO BID FOR THE CONSTRUCTION OF MULTI-PURPOSE OPEN GYM</t>
  </si>
  <si>
    <t>Procurement of One (1) unit Laptop with Complete Accessories - Sangguniang Bayan Office, Laak, Davao De Oro</t>
  </si>
  <si>
    <t>RFQ-2020-06-0045-Activity 41x - (Bridge and Structure Maintenance) Premix Patching of Bridge Deck along Pangasinan - Zambales Road, Amandiego Bridge, K0318+682 and Bogtong Bridge, K0319+586</t>
  </si>
  <si>
    <t>Supply and Delivery of Materials for the Const/Rehab. of Potable Watersystem, Ibo Malalag Davao del Sur</t>
  </si>
  <si>
    <t>VETERINARY SERVICES</t>
  </si>
  <si>
    <t>Repair and Maintenance of Aircon</t>
  </si>
  <si>
    <t>REHABILITATION OF BARANGAY ROADS</t>
  </si>
  <si>
    <t>REHABILITATION OF LOPEZ ELEMENTARY SCHOOL AUDITORIUM STAGE</t>
  </si>
  <si>
    <t>Enhancement of Engineering and Technology Green Building (ETGB) Roof Skirting (Labor and Materials) - Talisay Campus, Brgy. Zone 1, Mabini St., Talisay City, Negros Occidental</t>
  </si>
  <si>
    <t>Procurement of 1 Unit Self-Bailing Raft of CDRRMC</t>
  </si>
  <si>
    <t>Supply and Delivering of Materials for the  Waterworks System</t>
  </si>
  <si>
    <t>PROCUREMENT OF ONE (1) UNIT BRAND NEW RESCUE VEHICLE</t>
  </si>
  <si>
    <t>Procurement of Vehicle Repair and Maintenance under P.R.Nos. 2186-2020 and 2193-2020-Office of the City Engineer-1Lot</t>
  </si>
  <si>
    <t>Procurement of 1 unit Ambulance for City Mayor's Office</t>
  </si>
  <si>
    <t>Concreting of Local Road with Riprapping, Binoyoan, Sto. Domingo, Nabua, Camarines Sur</t>
  </si>
  <si>
    <t>INVITATION TO BID FOR PACKAGE – XIII A.) REBLOCKING OF F. CLAR STREET B.) CONCRETING OF ROAD @ PUROK 4 HERSANA STREET CARAMCAM DISTRICT</t>
  </si>
  <si>
    <t>PROCUREMENT OF SERVICE VEHICLE FOR SOLID WASTE MANAGEMENT COLLECTION/DISASTER MANAGEMENT</t>
  </si>
  <si>
    <t>CONSTRUCTION OF ROAD AT LOS BAÑOS SENIOR HIGH SCHOOL</t>
  </si>
  <si>
    <t>Purchase of Various Ornamental Plants and Decorative Terracota Jars for SEC Head Offcie</t>
  </si>
  <si>
    <t>Various IT Equipment for Engineering Office</t>
  </si>
  <si>
    <t>Goat Dispersal Livelihood Program in Barangay Mabini, Malalag Davao del Sur</t>
  </si>
  <si>
    <t>Diesel Fuel</t>
  </si>
  <si>
    <t>Procurement of Laptops of ICT</t>
  </si>
  <si>
    <t>Procurement of UV Light and Medicine &amp; Vaccine Refrigerator</t>
  </si>
  <si>
    <t>Purchase of Training Equipment for Livelihood Program – CLDO</t>
  </si>
  <si>
    <t>SOUVENIR (BANTAYOG NG 13 MARTYRS)</t>
  </si>
  <si>
    <t>Supply and Delivery of Generator</t>
  </si>
  <si>
    <t>Extension of Manlogon Street (Brgy. Bagong Silang) (Materials)</t>
  </si>
  <si>
    <t>RFQ-Business cards and Memo pads</t>
  </si>
  <si>
    <t>Construction of Manpower &amp; Training w/GSO Building City Hall Site, Brgy. Awasian, Tandag City</t>
  </si>
  <si>
    <t>GENERAL OVERHAULING OF EXISTING GENERATOR SET AT BRDRL</t>
  </si>
  <si>
    <t>SUPPLY AND DELIVERY OF SIX (6) UNIT MOTORCYCLE</t>
  </si>
  <si>
    <t>COMPLETION WORKS FOR THE SITE DEVELOPMENT &amp; CONSTRUCTION OF FLOOD CONTROL SYSTEM AT COLEGIO DE MUNTINLUPA, POSADAS AVE., BRGY. SUCAT, MUNTINLUPA CITY</t>
  </si>
  <si>
    <t>Rehabilitation of Water Source at Purok 3 Brgy. Mapayag, Malaybalay City.</t>
  </si>
  <si>
    <t>Proposed Design and Build for the Construction of Covered Court (Phase-1) - Binalbagan Campus, Brgy. Enclaro, Binalbagan City, Negros Occidental (2nd Publication)</t>
  </si>
  <si>
    <t>CONSTRUCTION OF MULTI-PURPOSE COVERED STAGE, BLEACHER, AND PERIMETER FENCE AT VILLA CAROLINA 2, BRGY. TUNASAN, MUNTINLUPA CITY</t>
  </si>
  <si>
    <t>CONSTRUCTION OF RAIN WATER COLLECTOR, CONCRETING OF ACCESS ROAD &amp; PERIMETER CANAL AT PANDAMI DIESEL POWER PLANT (S3-PDM20-007 (NP-2)</t>
  </si>
  <si>
    <t>Procurement of Uniforms for the POSO Personnel</t>
  </si>
  <si>
    <t>Purchase of One (1) Unit 125 Dual Sport Motorcycle for Barangay Osukan:</t>
  </si>
  <si>
    <t>Personal Protective Equipment (PPE) for Laguna Medical Center</t>
  </si>
  <si>
    <t>Purchase of sala set</t>
  </si>
  <si>
    <t>Acquisition of Air Conditioner</t>
  </si>
  <si>
    <t>IB 2020-07-08(06) Goods Cat I Drugs and Meds</t>
  </si>
  <si>
    <t>Procurement of 13 Pack Absorbent 150g/pack,etc. under P.R.No. 1407-2020-Office of the City Veterinarian</t>
  </si>
  <si>
    <t>CONSTRUCTION OF WET MARKET - PHASE 2</t>
  </si>
  <si>
    <t>Procurement of Business and Tricycle Plate of Mayor's Office</t>
  </si>
  <si>
    <t>Purchase of Office Supplies and Equipment</t>
  </si>
  <si>
    <t>REQUEST FOR QUOTATION - Purchase of two (2) units Television and two (2) units Refrigerator (REPOSTING)</t>
  </si>
  <si>
    <t>Procurement of Various Supplies and Materials P.R. No. 637 - DEPW</t>
  </si>
  <si>
    <t>Procurement of Various Dietary Supplies P.R. No. 605 - SAH</t>
  </si>
  <si>
    <t>SMALL VALUE PROCUREMENT OF WATER SUPPLY</t>
  </si>
  <si>
    <t>Construction of Ambato High School Stage</t>
  </si>
  <si>
    <t>Supply &amp; Delivery of Medicines (Second Bidding)</t>
  </si>
  <si>
    <t>for INF-ITB 20-034 Construction of Multipurpose Drying Pavement with Warehouse, Brgy. Cabuling, Tantangan, South Cotabato</t>
  </si>
  <si>
    <t>INF-ITB 20-033 Construction of Multipurpose Drying Pavement with Warehouse, Brgy. Lamsalome, T'boli, South Cotabato</t>
  </si>
  <si>
    <t>Procurement of Medicines &amp; Medical Supplies for the use of Emergency Preparedness and Response of Provincial Disaster Risk Reduction and Management Office /ITB no: 2020-356</t>
  </si>
  <si>
    <t>PURCHASE AND INSTALLATION OF COMBI BLINDS OF THE MEDICAL AND DENTAL CLINIC</t>
  </si>
  <si>
    <t>B-033-2020 PROCUREMENT OF .NET DOMAIN NAME REGISTRATION, DNS HOSTING, CLOUD WEB HOSTING AND STORAGE (BUNDLED SERVICE) - SVP</t>
  </si>
  <si>
    <t>RENT OF PRINTER WITH CONTINUOUS INK TO BE USED AT OSPITAL NG MUNTINLUPA</t>
  </si>
  <si>
    <t>various supplies for zero waste management</t>
  </si>
  <si>
    <t>CONSTRUCTION OF RAIN WATER COLLECTOR AT LANGUYAN DIESEL POWER PLANT, S3-LGY20-005 (NP-1)</t>
  </si>
  <si>
    <t>small value procurement for the School Landscaping</t>
  </si>
  <si>
    <t>SUPPLY &amp; DELIVERY OF IV FLUIDS IN BAG TO BE USED AT OSPITAL NG MUNTINLUPA</t>
  </si>
  <si>
    <t>Procurement of Vehicle Repair and Maintenance under P.R.Nos. 1416-2020(Office of the City Treasurer),etc.-1Lot</t>
  </si>
  <si>
    <t>Supply and Delivery of Additional Materials for the Fabrication and Installation of New Steel Pipelines for Interconnection and Revision due to the Construction of New Malisbog Bridge in Brgy. E. Lope</t>
  </si>
  <si>
    <t>20PJ0052: Construction/ Rehabilitation of water Supply/ Rain Water Collectors</t>
  </si>
  <si>
    <t>Supply, Delivery and Installation of Seven (7) TV Stand Mount for SEC Head Office</t>
  </si>
  <si>
    <t>Repair &amp; Rehabilitation of Drainage Canal</t>
  </si>
  <si>
    <t>OFFICE FURNITURES AND EQUIPMENT</t>
  </si>
  <si>
    <t>Purchase of ICT Equipment  (Desktop, Laptop &amp; Printer)</t>
  </si>
  <si>
    <t>Supply and Delivery of 1 set Electro-hydraulic Cutter under Purchase Request No. 587-20</t>
  </si>
  <si>
    <t>SUPPLY AND DELIVERY OF TWO (2) UNITS MOTORCYCLE</t>
  </si>
  <si>
    <t>TEN (10) UNITS WHEELCHAIR</t>
  </si>
  <si>
    <t>SUPPLY AND DELIVERY OF MATERIALS AND FITTINGS OF WATERWORKS MAINTENANCE FOR 3RD QUARTER REQUIREMENT, THIS MUNICIPALITY /2020-001</t>
  </si>
  <si>
    <t>Supply and Delivery of Painting Materials for Repainting of Senior High School Building</t>
  </si>
  <si>
    <t>SUPPLY &amp; DELIVERY OF VARIOUS MEDICAL SUPPLIES TO BE USED AT OSPITAL NG MUNTINLUPA</t>
  </si>
  <si>
    <t>Procurement of 1 Package TV/LED Telecast under P.R.No. 2231-2020-Office of the City Mayor</t>
  </si>
  <si>
    <t>PROCUREMENT OF ELECTRICAL SUPPLIES AND MATERIALS, PLAZALIGHTINGS</t>
  </si>
  <si>
    <t>B-034-2020 PROCUREMENT OF 12-MONTHS INTERNET SUBSCRIPTION - SVP</t>
  </si>
  <si>
    <t>DENGUE PREVENTION AND CONTROL PROGRAM</t>
  </si>
  <si>
    <t>PURCHASE OF APPLIANCES</t>
  </si>
  <si>
    <t>LUPON TAGAPAMAYAPA SUSTAINABILITY PROGRAM: MONTHLY MEETING</t>
  </si>
  <si>
    <t>Procurement of 6 Piece Philippine Flag, Nylon Tafetta, Size: 15 x 30 under P.R.No. 2374-2020-City Tourism Office</t>
  </si>
  <si>
    <t>SUPPLY AND DELIVERY OF HARDWARE MATERIALS FOR THE CONSTRUCTION OF SHED FOR 2 UNITS CONTAINER VAN,  THIS MUNICIPALITY /2020-003</t>
  </si>
  <si>
    <t>SUPPLY &amp; DELIVERY OF DRUGS AND MEDICINES</t>
  </si>
  <si>
    <t>LIVE ANIMALS</t>
  </si>
  <si>
    <t>Purchase of Various Construction Materials</t>
  </si>
  <si>
    <t>INF-ITB 20-035 Construction of Multipurpose Drying Pavement with Warehouse, Brgy. Lampitak, Tampakan, South Cotabato</t>
  </si>
  <si>
    <t>Procurement of two unit air-condition for senior high school computer laboratory</t>
  </si>
  <si>
    <t>Supplying  one (1) unit Brand New Asian/Cross Over Utility Vehicle (AUV/CUV) not exceeding 2500cc engine displacement, diesel fed, 4 cylinder, a four wheel enclosed vehicle having dual side doors, a m</t>
  </si>
  <si>
    <t>PROCUREMENT OF TIRE FOR WHEEL LOADER</t>
  </si>
  <si>
    <t>Spareparts (for Grader Tiangong PY160M)/Motorpool</t>
  </si>
  <si>
    <t>Completion of Old Multi-Purpose Hall At Brgy. Minaog</t>
  </si>
  <si>
    <t>Supply and Delivery of Farm Supplies for PCC</t>
  </si>
  <si>
    <t>SUPPLY &amp; DELIVERY OF SEVOFLURANE (WET FORMULATION) TO BE USED AT OSPITAL NG MUNTINLUPA</t>
  </si>
  <si>
    <t>MEDICAL MISSION PROGRAM</t>
  </si>
  <si>
    <t>SUPPLY AND DELIVERY OF MEDICINES INTENDED FOR PSYCHE, ANIMAL BITE TREATMENT CENTER AND PULMONARY TUBERCULOSIS PATIENTS, THIS MUNICIPALITY /2020-002</t>
  </si>
  <si>
    <t>1. Other Supplies/PCC 2. Office Supplies/CIO</t>
  </si>
  <si>
    <t>Supply of Materials, Labor and Equipment for the Hermosa River Channels Flood Mitigation Project (Construction of Box Culvert &amp; Slope Protection)</t>
  </si>
  <si>
    <t>Supply and Delivery of Materials for the Completion of MUlti-Purpose Building of BLGU Andap, Laak, Davao De Oro</t>
  </si>
  <si>
    <t>SUPPLY &amp; DELIVERY OF CERVICAL INSPECTION SET</t>
  </si>
  <si>
    <t>PROCUREMENT OF GOODS AND SERVICES: SUPPLY, DELIVERY AND INSTALLATION OF DATA MANAGEMENT SYSTEM WITH  PAPERLESS SESSION SET-UP INCLUDING ITS HARDWARE AND SOFTWARE REQUIREMENTS  FOR SANGGUNIANG BAYAN OF</t>
  </si>
  <si>
    <t>Purchase of fuel &amp; lubricants  for the opening/gravelling of Farm to Market Road  @ Brgy. Kipit, Titay, Zamboanga Sibugay</t>
  </si>
  <si>
    <t>AMBULANCE SUPPLIES</t>
  </si>
  <si>
    <t>CONSTRUCTION OF MUNICIPAL POLICE STATION (PARKING AREA)</t>
  </si>
  <si>
    <t>NATIONAL DENTAL HEALTH MONTH</t>
  </si>
  <si>
    <t>PROCUREMENT OF PERSONAL PROTECTIVE EQUIPMENT</t>
  </si>
  <si>
    <t>Purchase of Office Cabinets</t>
  </si>
  <si>
    <t>Procurement of Electronics Supplies for 2nd Quarter</t>
  </si>
  <si>
    <t>REHABILITATION OF MPBLDG FOR VAWC/BCPC OFFICE</t>
  </si>
  <si>
    <t>Materials for installation of solar streetlight</t>
  </si>
  <si>
    <t>INVITATION TO SUBMIT FOR BID QUOTATION</t>
  </si>
  <si>
    <t>Supply &amp; delivery of materials for the opening/gravelling of Farm to Market Road  @ Brgy. Kipit, Titay, Zamboanga Sibugay</t>
  </si>
  <si>
    <t>Supply and Delivery of Materials for Concreting of Road, MSSD to Wet Public Market, Poblacion Malalag Davao del Sur</t>
  </si>
  <si>
    <t>PURCHASE OF 1 UNIT MPV(MULTI-PURPOSE VEHICLE) 2.8L G DIESEL AT</t>
  </si>
  <si>
    <t>Construction Materials for Drainage and Hand washing Facilities.</t>
  </si>
  <si>
    <t>Concreting of Furao Brgy. Road (San Enrique St., Purok 4)</t>
  </si>
  <si>
    <t>Construction of Masonry Drainage, Along Atal Street, Cataggaman Viejo, Tuguegarao City</t>
  </si>
  <si>
    <t>REHAB./IMPROVEMENT OF BRGY. PLAZA (ON-GOING) S.K FUND</t>
  </si>
  <si>
    <t>CONCRETING OF COVERED COURT - SITIO GAANG - LAMESA, BALAMBAN, CEBU</t>
  </si>
  <si>
    <t>Supply and Delivery of Ci Sleeve type Coupling and Stainless Bolt w/ nut and Double Washer ( F-028-0393-20 )</t>
  </si>
  <si>
    <t>Procurement of 30 Bottle alcohol-70% Ethyl,500 ML,etc. under P.R.No. 0945-2020-5% City Disaster Risk Reduction and Management Fund</t>
  </si>
  <si>
    <t>Improvement of Public Cemetery, Brgy. Sangirin (Materials)</t>
  </si>
  <si>
    <t>CONSTRUCTION OF RECORDS /STORAGE ROOM EXTENSION IN NFA –  LA UNION COMPOUND, SAN JUAN, LA UNION</t>
  </si>
  <si>
    <t>Construction of Masonry Drainage Structure, Along Soriano Street, Centro 11, Balzain East, Tuguegarao City</t>
  </si>
  <si>
    <t>SUPPLY &amp; DELIVERY OF FOOD SUPPLIES (REBID)</t>
  </si>
  <si>
    <t>PURCHASE AND DELIVERY OF TWO (2) UNITS COMPUTER LAPTOP AND OTHER EQUIPMENT AND ACCESSORIES</t>
  </si>
  <si>
    <t>PR #2019-12-0051 - Purchase of Construction and Electrical Materials for the Construction of Kitchen at the CEC</t>
  </si>
  <si>
    <t>INVITATION TO BID FOR THE PROCUREMENT OF FUEL, OIL AND LUBRICANTS FOR USE OF LGU LIGHT AND HEAVY VEHICLES (1ST QUARTER 2020 – MOOE) RE-BID</t>
  </si>
  <si>
    <t>Procurement of Supplies and Materials for Day Care Service (Other Supplies) 2nd Quarter – CSWDO</t>
  </si>
  <si>
    <t>REHABILITATION OF SAN ANTONIO ELEMENTARY SCHOOL, LOS BAÑOS, LAGUNA</t>
  </si>
  <si>
    <t>Pakyaw Labor for the Improvement of Barangay Hall</t>
  </si>
  <si>
    <t>Procurement of Medicines for CHO, RHU 1, RHU 2 and RHU 3</t>
  </si>
  <si>
    <t>RFQ-2020-06-0048-Activity 71x - Special Maintenance (Pavement Maintenance) Reblocking of Concrete Pavement along Bani - Agno Road, K0337+500 to K0340+000 with exception and along Burgos - Agno Road, K</t>
  </si>
  <si>
    <t>Concreting of Salvacion-Balat Balud Farm to Market Road Bobon Northern Samar</t>
  </si>
  <si>
    <t>SUPPLY &amp; DELIVERY OF ELECTROCAUTERY MACHINE WITH ARGON PLASMA COAGULATOR</t>
  </si>
  <si>
    <t>IB 2020-07-08(06) Goods Cat II Med/Lab Supplies &amp; Reagents</t>
  </si>
  <si>
    <t>Psychological Tests for Recruitment of Personnel in the GPPB-TSO</t>
  </si>
  <si>
    <t>Procurement of Various Construction Supplies and Materials-06-332(O)PEO</t>
  </si>
  <si>
    <t>RFQ-2020-06-0049-Activity 71x - Special Maintenance , Replacement of Damaged Canal Covers and Steel Gratings along Pangasinan - Zambales Road, K0320+000 to K0321+000 with exception</t>
  </si>
  <si>
    <t>PROCUREMENT OF WHEEL TYPE BACKHOE (BRAND NEW)</t>
  </si>
  <si>
    <t>SUPPLY AND DELIVERY OF OFFICE SUPPLIES AND EQUIPMENT NOT AVAILABLE AT PROCUREMENT SERVICE (PS)-DEPOT INTENDED FOR DIFFERENT OFFICES FOR CY 2020, THIS MUNICIPALITY /2020-005</t>
  </si>
  <si>
    <t>Invitation to Bid for The Improvement of Barangay Health Station</t>
  </si>
  <si>
    <t>UPGRADING OF JCT. NATIONAL BUA-BULALA-MUTA-MACABENGA ROAD Located at Kasibu, Nueva Vizcaya</t>
  </si>
  <si>
    <t>PUBLICATION NO. 34-2020-G (NEGOTIATED PROCUREMENT: TWO FAILED BIDDING) Vehicle Tires and Spare Parts</t>
  </si>
  <si>
    <t>Procurement of One Unit Brand New SUV for LGU Operations</t>
  </si>
  <si>
    <t>PUBLICATION NO. 33-2020-G (NEGOTIATED PROCUREMENT: TWO FAILED BIDDING) Common Office Supplies</t>
  </si>
  <si>
    <t>20CB-GSC-335 PURCHASE OF TEXTILES AND SEWING SUPPLIES FOR DJPRH</t>
  </si>
  <si>
    <t>PURCHASE OF FUELS/FUEL ADDITIVES, LUBRICANTS &amp; ANTI CORROSIVE</t>
  </si>
  <si>
    <t>Supply and Delivery of Medical, Dental and laboratory Equipment and Supplies at Bgy. San Miguel, Linapacan, Palawan</t>
  </si>
  <si>
    <t>THE MSWD OFFICE USE (LCPC)</t>
  </si>
  <si>
    <t>THE PERSON WITH DISABILITY OFFICE USE</t>
  </si>
  <si>
    <t>Supplying  one (1) unit SWAT Patrol Vehicle, AUV or CUV, Manual Transmission, Diesel Fed, Displacement not exceeding 2500cc, Brand New, Government Plate for use in PNP Patrol Operation in the province</t>
  </si>
  <si>
    <t>Supply and Delivery of Fuel for use uin the Planningn and Design Section's Service Vehicles.</t>
  </si>
  <si>
    <t>BARANGAY ROAD REHABILITATION (FARM TO MARKET ROAD)   PUROK 5, 6 &amp; 7 SITIO CAMP 13, BRGY. PINPIN, TUBOD, LANAO DEL NORTE</t>
  </si>
  <si>
    <t>SMALL VALUE PROCUREMENT FOR LAWN MOWER</t>
  </si>
  <si>
    <t>SUPPLY AND DELIVERY OF HARDWARE MATERIALS FOR THE CONSTRUCTION OF STANDARD COMFORT ROOM LOCATED AT MUNICIPAL GROUND CENTER,  THIS MUNICIPALITY /2020-004</t>
  </si>
  <si>
    <t>PURCHASE OF 30 SACK OF RICE FOR SENIOR CITIZEN (JOSE PANGANIBAN- LGU)</t>
  </si>
  <si>
    <t>CONSTRUCTION OF HANDWASH AREA AT TMC SENIOR HIGH SCHOOL, BRGY. GREGORIO</t>
  </si>
  <si>
    <t>PURCHASE AND INSTALLATION OF CCTV CAMERA AT BARANGAY SAN FERNANDO MALVAR BATANGAS</t>
  </si>
  <si>
    <t>PURCHASE OF TOILET BOWLS</t>
  </si>
  <si>
    <t>Construction of Perimeter Fence at the Municipal Engineered Sanitary Landfill ( Phase I) at brgy. Suyo, Dingras, Ilocos Norte.</t>
  </si>
  <si>
    <t>Supply and Delivery of 2 sets Digital Scoreboard with Shoot Clock and Buzzer ,3x4( with free installation)</t>
  </si>
  <si>
    <t>Concreting of Guibang Brgy. Road (Vidania and Busto St., Purok3)</t>
  </si>
  <si>
    <t>Construction of Barangay Health Building at Barangay San Teodoro, Bauan, Batangas</t>
  </si>
  <si>
    <t>2020-06-668</t>
  </si>
  <si>
    <t>ORD PABAC 046-19 (Re-bid) Procurement of 186,538 rds Ctg, 7.62x51mm, Ball</t>
  </si>
  <si>
    <t>LOT Procurement of MEDICAL SUPPLIES for the Use of DOPH Gov. Generoso</t>
  </si>
  <si>
    <t>Request for Quotation No. 03-2020-03 (Water Meter)</t>
  </si>
  <si>
    <t>SUPP &amp; MATERIALS FOR IMPROVEMENT OF DRAINAGE SYSTEM &amp; PATHWAYS AT STELLA MARIS &amp; FLOODWAY</t>
  </si>
  <si>
    <t>PURCHASE &amp; DELIVERY  OF CUSTOMIZED RESCUE AMBULANCE</t>
  </si>
  <si>
    <t>20H00068 - Construction/Rehabilitation/Improvement of Facilities for Persons with Disabilities (PWD) and Elderlies/Senior Citizens, including Gender-Responsive Facilities, DPWH Regional Office VII and</t>
  </si>
  <si>
    <t>PURCHASE OF TEN (10) UNITS LAPTOP COMPUTER</t>
  </si>
  <si>
    <t>SUPPLY AND DELIVERY OF TRASH BINS FOR SENIOR HIGH SCHOOL.</t>
  </si>
  <si>
    <t>UPGRADING OF DIFFUDAY-BONIFACIO ROAD Located at Quezon, Nueva Vizcaya</t>
  </si>
  <si>
    <t>Retrofitting/Repair of Pier No. 2 Urungan Bridge K0552+069 (B) 1082LZ along Cagayan Valley Road, Gattaran, Cagayan</t>
  </si>
  <si>
    <t>20NF0079:REPAIR/MAINTENANCE OF DPWH BUILDING VARIOUS OFFICES/BUILDING (ROOFTOP) BRGY. 12, DAPA, SURIGAO DEL NORTE</t>
  </si>
  <si>
    <t>CONSTRUCTION OF DEEPWELL WITH WATER TANK, SITIO BANGKAG, NAMBARAN</t>
  </si>
  <si>
    <t>PROCUREMENT OF ONE (1) UNIT PATROL CAR</t>
  </si>
  <si>
    <t>PURCHASE OF SECURITY SUPPLIES</t>
  </si>
  <si>
    <t>UPGRADING OF CVR BATU-MAGAPUY-PAITAN ROAD Located at Bayombong, Nueva Vizcaya</t>
  </si>
  <si>
    <t>REHABILITATION/IMPROVEMENT OF DEEPWELL, SITIO MADOPDOP, LACNOG</t>
  </si>
  <si>
    <t>Vegetable Seeds (for the Hardin sa Panimalay Program of the City Agriculture Office)/City Agriculture Office</t>
  </si>
  <si>
    <t>Riprapping of Riverside &amp; Construction of Canal at Barangay Aplaya, Bauan, Batangas</t>
  </si>
  <si>
    <t>Construction of Perimeter Fence of Slaughterhouse (Phase I) at brgy. Cali, Dingras, Ilocos Norte.</t>
  </si>
  <si>
    <t>PURCHASE OF 2 UNITS BIO-METRIC WITH SOFTWARE SYSTEM (JOSE PANGANIBAN - LGU)</t>
  </si>
  <si>
    <t>CONCRETING OF JCT. NATIONAL-GALINTUJA-DELACTAN-MAGINO ROAD Located at Alfonso Catañeda, Nueva Vizcaya</t>
  </si>
  <si>
    <t>20BB0125 - Repair/Maintenance of DoTr Building LTO-Administration Building, Minanga, Aparri, Cagayan</t>
  </si>
  <si>
    <t>Improvement/Rehabilitation of Farm to Market Roads (Package IV) of the Municipality of Dingras, Ilocos Norte.</t>
  </si>
  <si>
    <t>LOT Procurement of MATERIALS for Use in the Construction of Car Port at Provincial Tourism Office</t>
  </si>
  <si>
    <t>MATERIALS FOR REHABILITATION OF IRRIGATION SYSTEM at Atabay, Salcedo, Ilocos Sur</t>
  </si>
  <si>
    <t>LOT Procurement of MEDICAL FLUIDS for the Use of DOPH MANAY</t>
  </si>
  <si>
    <t>20JAGS009 - Procurement of office equipment/vehicle spare parts for the preventive/corrective maintenance of office vehicles of this office, DPWH-DEO Zamboanga City</t>
  </si>
  <si>
    <t>Construction of Flood Control along Poblacion Areas (Phase III) of the Municipality of Dingras, Ilocos Norte.</t>
  </si>
  <si>
    <t>PROCUREMENT OF MATERIALS FOR THE CONSTRUCTION OF K-9 HOUSE (ADDITIONAL WITH FENCE &amp; LIGHT)</t>
  </si>
  <si>
    <t>PROCUREMENT OF ELECTRICAL SUPPLIES AND MATERIALS, STREETLIGHTING</t>
  </si>
  <si>
    <t>G-2020-19: SUPPLY AND DELIVERY OF ONE HUNDRED FIFTY (150) UNITS OF BRAND-NEW 2KVA UNINTERRUPTIBLE POWER SUPPLY (UPS) FOR THE DEVELOPMENT BANK OF THE PHILIPPINES - REBID</t>
  </si>
  <si>
    <t>Maintenance and Monitoring of Watershed Instrumentation at Iriga City and Bula, Camarines Sur</t>
  </si>
  <si>
    <t>ONE LOT Publication of the Approved Provincial Ordinance (Approved Schedule of Market Values) for Three Consecutive Publications with Affidavit of Publication Notaries</t>
  </si>
  <si>
    <t>SUPPLY AND DELIVERY OF BUNTIS KIT</t>
  </si>
  <si>
    <t>Improvement /Rehabilitation of Farm to Market Roads (Repair of Bridge Abutment/Approach) at sitio Birucao, Suyo, Dingras, Ilocos Norte.</t>
  </si>
  <si>
    <t>CONCRETING OF BARESBES-BOLIWAO-INATUB ROAD Located at Quezon, Nueva Vizcaya</t>
  </si>
  <si>
    <t>Solar Street Light project for Barangay Villahermosa Tudela Cebu</t>
  </si>
  <si>
    <t>Excavation and Riprapping of Ilaya-Malag-it Creek</t>
  </si>
  <si>
    <t>One (1) Job Upgrading and Retraining of Electronic Business Permit and Licensing System/ BPLO</t>
  </si>
  <si>
    <t>Purchase of Construction Materials and Supplies for Construction of Drainage System, St. Francis Subd. Phase 3, Brgy. 5, Silay City.</t>
  </si>
  <si>
    <t>Purchase of Construction Materials and Supplies for Construction of Drainage System at Guinhalaran, Brgy. Guinhalaran, Silay City.</t>
  </si>
  <si>
    <t>BARANGAY CULTURAL EVENTS AND PROMOTION PROGRAM: BARANGAY DAY</t>
  </si>
  <si>
    <t>Publication No. 35-2020-G (First Publication) IT Equipments</t>
  </si>
  <si>
    <t>SUPPLY AND DELIVERY OF BHW KIT</t>
  </si>
  <si>
    <t>Construction of Concrete Footbridge  (Connecting to Multipurpose Building)</t>
  </si>
  <si>
    <t>procurement  for Electrical supply</t>
  </si>
  <si>
    <t>Maintenance/Improvement of Municipal Hall (Upgrading of Electrical System-Phase III) of the Municipality of Dingras, Ilocos Norte.</t>
  </si>
  <si>
    <t>20CB-GSC-337 PURCHASE OF FUSE BOX FOR CEO</t>
  </si>
  <si>
    <t>Construction of Rizal Barangay Health Station</t>
  </si>
  <si>
    <t>Installation of Water Rain Catchment</t>
  </si>
  <si>
    <t>Tire Changer/CMO-Motorpool</t>
  </si>
  <si>
    <t>FURNITURE AND FIXTURE FOR YOUTH</t>
  </si>
  <si>
    <t>1.Professional Audio Amplified Speaker (for Bacuranan Elem. School)/LSB 2. Printer/CEEMO 3. IT Equipment with Complete Accessories and Camera/OCCR 4.Office Equipment (Air Conditioner)/Tourism 5. One (</t>
  </si>
  <si>
    <t>Janitorial supplies</t>
  </si>
  <si>
    <t>20CB-GSC-341 PURCHASE OF AGRICULTURAL EQUIPMENT</t>
  </si>
  <si>
    <t>CONSTRUCTION OF CABINUANGAN BRIDGE Located at Quezon, Nueva Vizcaya</t>
  </si>
  <si>
    <t>CONSTRUCTION OF PROCOR MAIN GATE</t>
  </si>
  <si>
    <t>SUPPLY AND DELIVERY OF VARIOUS SUPPLIES AND EQUIPMENT MDRRMO OPERATION</t>
  </si>
  <si>
    <t>20CB-GSC-336 PURCHASE OF LIQUID PETROLEUM GAS</t>
  </si>
  <si>
    <t>20CB-GSC-340 PURCHASE OF GARDENING SUPPLIES</t>
  </si>
  <si>
    <t>Procurement of Supply, Delivery, Installation, Testing, Applications Training, And Commissioning of Various Medical Equipment (Batch 1)</t>
  </si>
  <si>
    <t>20LB0187 - Reconstruction to Concrete Pavement along Daang Maharlika (MN) - K1510 + 617</t>
  </si>
  <si>
    <t>PROCUREMENT OF SUIT FOR LDRRMC Members/Local Responders</t>
  </si>
  <si>
    <t>Supply and Delivery of 18 units 3 in 1 Printer</t>
  </si>
  <si>
    <t>Procurement of Industrial Equipment</t>
  </si>
  <si>
    <t>Rehabilitation of SB Session Hall</t>
  </si>
  <si>
    <t>Procurement of 60,088 cans of Canned Tuna Flakes and 149,770 sachets of Powdered Cereal Drinks as Raw Materials for Family Food Packs Production under ITB NO. GOP-20-DSWD-2020-05-03 (2nd Posting)</t>
  </si>
  <si>
    <t>Supply, Delivery and Installation of 1 Lot 645KVA Generator Set of Bukidnon State University</t>
  </si>
  <si>
    <t>Invitation to Bid Supply and Installation of Streetlights</t>
  </si>
  <si>
    <t>Construction of Water System, Brgy. Bucalan, (So. Inomolan) Canlaon City</t>
  </si>
  <si>
    <t>20LB0185 - Jct. Davao-Cotabato Old Road (Bago Gallera Section) Leading to Philippine Coconut Authority (PCA), Davao City</t>
  </si>
  <si>
    <t>Road Re-blocking</t>
  </si>
  <si>
    <t>Procurement of Vehicle Parts</t>
  </si>
  <si>
    <t>Fabrication and Installation of 88 Units Streetlights in Various Barangays</t>
  </si>
  <si>
    <t>SUPPLY AND DELIVERY OF VARIOUS MATERIALS FOR RESCUE EQUIPMENTS</t>
  </si>
  <si>
    <t>Supply and Delivery of Ultrasonic Bulk Water Meter</t>
  </si>
  <si>
    <t>CONTINUATION OF ABBOT CALBAYAN FMR, CATABBOGAN</t>
  </si>
  <si>
    <t>Concreting of Barangay Road at Nabannagan West, Lasam, Cagayan</t>
  </si>
  <si>
    <t>20LB0235 - Construction / Rehabilitation of Ecoland Creek Protecting ABS-CBN Diversion Rd up to Davao River Outfall, Davao City</t>
  </si>
  <si>
    <t>seeds</t>
  </si>
  <si>
    <t>PWD OFFICE EQUIPMENT</t>
  </si>
  <si>
    <t>20LB0233 - Construction of Drainage Along Jct. F. Torres – Mt. Mayon – E. Quirino Road, Davao City</t>
  </si>
  <si>
    <t>Labor and Materials for the Desilting/Declogging of Alasas - Del Rosario Creek (Alasas Bridge to Del Rosario Bridge) at Alasas and Del Rosario, City of San Fernando, Pampanga</t>
  </si>
  <si>
    <t>LOT Procurement of MATERIALS for Use in the Construction of Staff House at Tourism Complex, Brgy. Don Martin Marundan, City of Mati, Davao Oriental</t>
  </si>
  <si>
    <t>Provision of agricultural supplies for Back to Basics: Scientific and Sustainable Livestock and Poultry Production Livelihood Program</t>
  </si>
  <si>
    <t>PURCHASE OF FUEL, OIL AND LUBRICANTS</t>
  </si>
  <si>
    <t>CONSTRUCTION OF THREE STOREY (9-CLASSROOM) SCHOOL BUILDING (PHASE 1)</t>
  </si>
  <si>
    <t>Supply, Delivery and Installation of 1 Lot Skills Laboratory Equipment for New Nursing Laboratory of Bukidnon State University</t>
  </si>
  <si>
    <t>20LB0261 - Road Widening &amp; Replacement of Bridge along Jct. Davao-Cotabato Old Road (Bago Gallera Section) Leading to Philippine Coconut Authority (PCA), Davao City</t>
  </si>
  <si>
    <t>SUPPLY AND DELIVERY OF MATERIALS FOR REHABILITATION OF MAGDAGOOC SPRING BOX - MAGDAGOOC PAGSA, PORO, CEBU</t>
  </si>
  <si>
    <t>Rebidding - Office Table for the Use of the Presiding Officer and SB Members, San Jose de Buenavista</t>
  </si>
  <si>
    <t>Supply, Delivery and Installation of 1 Lot Heavy Duty Variable Perfect Binder with Built-in Automatic/Digital Thickness Caliper and Fully Automatic Laminator of Bukidnon State University</t>
  </si>
  <si>
    <t>Labor and Materials for the Declogging/Desilting of Calulut Creek at Calulut, City of San Fernando, Pampanga</t>
  </si>
  <si>
    <t>Construction of Municipal Nursery Gate</t>
  </si>
  <si>
    <t>Installation of Swimming Pool Perimeter Railing</t>
  </si>
  <si>
    <t>REPAIR/REHABILITATION OF PUMP HOUSES FOR WATER SYSTEM</t>
  </si>
  <si>
    <t>20LB0257 - Reconstruction to Concrete Pavement along Jct. R. Magsaysay Ave. - L. Ma. Guerrero St. - Guzman St. - Vinzon St. - T. Palma Gil St. - Jct. Dacudao - Jct. J.P. Cabaguio Ave., (Phase 1) Davao</t>
  </si>
  <si>
    <t>Procurement of Relief/Search and Rescue Operations Vehicle/Equipment - (Rescue Utility Van)</t>
  </si>
  <si>
    <t>B-035-2020 SUPPLY AND DELIVERY OF 1 UNIT BIOLOGICAL SAFETY CABINET - SVP</t>
  </si>
  <si>
    <t>Land Scaping in-front of Multi-purpose Hall, Brgy. Mabigo, Canlaon City</t>
  </si>
  <si>
    <t>Procurement of Materials for Installation of the Street Lighst (16 Units)</t>
  </si>
  <si>
    <t>FURNISHING OF LABOR AND MATERIALS FOR THE REHABILITATION OF SOLID WASTE MANAGEMENT ECOLOGICAL CENTER AT BRGY. CAPALIZ, DUMANGAS, ILOILO (REBIDDING)</t>
  </si>
  <si>
    <t>fertilizers</t>
  </si>
  <si>
    <t>CONSTRUCTION OF MAMBUAYA TRAINING CENTER</t>
  </si>
  <si>
    <t>Construction of MDRRM Ofice, Mogpog</t>
  </si>
  <si>
    <t>Construction of Local Roads and Bridge at Purok 1, 3, 6 &amp; 7, Brgy. Gimaloto, West District, Sorsogon City</t>
  </si>
  <si>
    <t>Supply and delivery of Rapid Test Covid-19 to be used by Nagcarlangin</t>
  </si>
  <si>
    <t>Invitation to Bid for Health Care Benefits</t>
  </si>
  <si>
    <t>Purchase/Supply/Delivery of Office Supplies for Various Offices</t>
  </si>
  <si>
    <t>Removal and Replacement of Sidewalk &amp; Drainage at Orchid St.</t>
  </si>
  <si>
    <t>PUBLIC BIDDING / PR 20-02-0095  /  NEWSPAPER PUBLICATION SERVICES</t>
  </si>
  <si>
    <t>Construction of 5m x 4m Pumphouse for Tulunan Water District</t>
  </si>
  <si>
    <t>20CB-GSC-342 PURCHASE OF IT EQUIPMENT</t>
  </si>
  <si>
    <t>CW-Construction of Level 2 Water System &amp; Extension of Lines</t>
  </si>
  <si>
    <t>Construction of Reservoir</t>
  </si>
  <si>
    <t>Supply and delivery of School and Office Supplies for Modules</t>
  </si>
  <si>
    <t>SUPPLY AND DELIVERY OF LAPTOP COMPUTERS FOR MAIN CAMPUS</t>
  </si>
  <si>
    <t>REHABILITATION OF MULTI - PURPOSE HALL</t>
  </si>
  <si>
    <t>Materials for Construction of Multi-Purpose Building, Tradetown Dalipe, San Jose Antique</t>
  </si>
  <si>
    <t>20LB0304 - Repair/Maintenance of DAR Building RO-XI-Kalayaan Building, Phase 3, Catalunan Pequeño, Davao City</t>
  </si>
  <si>
    <t>20KA0143 Reblocking of Damaged Portland Cement Concrete Pavement (PCCP)  along Sayre Highway Kisolon - Lumbo Road km1490+000 -km 1491+000 (Selected Section) Malaybalay City, Bukidnon</t>
  </si>
  <si>
    <t>Request for Quotation for Repair, Replace and Install of Defective Parts, Calibration and Compression Test of Engine Wheel alignment and correction etc. 0350</t>
  </si>
  <si>
    <t>CONSTRUCTION OF THREE UNITS COMMUNAL TOILET &amp; WASHING AREA</t>
  </si>
  <si>
    <t>RFQ-20-06-022</t>
  </si>
  <si>
    <t>Supply and Delivery of 1 Lot Consolidated ICT Printing Consumables (Main Campus) of Bukidnon State University</t>
  </si>
  <si>
    <t>PROCUREMENT OF VARIOUS MEDICINE SUPPLIES</t>
  </si>
  <si>
    <t>Supply and delivery of Overall Gown &amp; Gloves to be used by Frontliners in Nagcarlan</t>
  </si>
  <si>
    <t>Procurement of one unit Mini-Ambulance</t>
  </si>
  <si>
    <t>PROCUREMENT OF FUEL FOR OPERATION AND MAINTENANCE OF FARM TO MARKET ROAD (FMR)-CONCEPCION-BAGUMBAYAN-HAMPANGAN</t>
  </si>
  <si>
    <t>20LB0302 - Repair/Maintenance of DENR Building CENRO – Land Management Section Building Bangkal, Davao City</t>
  </si>
  <si>
    <t>Repair/Maintenance of Liliongan Cave road - Sitio Matingao Malapag Road</t>
  </si>
  <si>
    <t>Concreting of Barangay Road at Cabatacan East, Lasam, Cagayan</t>
  </si>
  <si>
    <t>Supply and Delivery of One (1) lot Various Office  Equipment</t>
  </si>
  <si>
    <t>INVITATION TO BID FOR BARANGAY ROAD CONCRETING</t>
  </si>
  <si>
    <t>Procurement of Construction Materials and Supplies (Repair/Rehab. of School Stage, Nonoc, Larena, Siquijor)</t>
  </si>
  <si>
    <t>Labor and Materials for the Desilting/ Declogging of St. Jude Creek (Maniknik Creek to Solana Bridge) at San Agustin, City of San Fernando, Pampanga</t>
  </si>
  <si>
    <t>Supply and Delivery of Laboratory Supplies(Negotiated Procurement: Two Failed Biddings) ITB NO. 2020-15</t>
  </si>
  <si>
    <t>INVITATION TO BID FOR EMB-REGION VII STANDARD SOURCE EMISSION TESTING EQUIPMENT</t>
  </si>
  <si>
    <t>20LB0303 - Repair/Maintenance of DENR Building CENRO – Forestry Building Bangkal, Davao City</t>
  </si>
  <si>
    <t>Procurement of Fuel and Lubricants</t>
  </si>
  <si>
    <t>CPAR-20-2338: Procurement of Two (2) Pieces Climate Bulletin Board to serve as Guidance and Source of Climate Information for AMIA Villages of CPAR-CRA project in Daanbantayan, Cebu</t>
  </si>
  <si>
    <t>Bid No. 20-0285 - PROCUREMENT OF JANITORIAL SUPPLIES - MO/DXLM SECTION</t>
  </si>
  <si>
    <t>CONSTRUCTION OF TWO STOREY BUILDING (PHASE-1)</t>
  </si>
  <si>
    <t>MATERIALS FOR THE FABRICATION OF JACKSTONE REEF AT DUMANGAS, ILOILO (REBIDDING)</t>
  </si>
  <si>
    <t>Construction of Slope Protection w/ Parapet at Barangay Centro 01, Lasam, Cagayan</t>
  </si>
  <si>
    <t>RFQ-20-06-023</t>
  </si>
  <si>
    <t>CPAR-20-2335:Procurement of 1,000(kgs)Peanut Seeds to be used as Inputs for On-Farm Corn-Peanut Rotation Technology Demonstration and Corn+Peanut Intercropping Trial..</t>
  </si>
  <si>
    <t>Supply and delivery of various office supplies and consumables</t>
  </si>
  <si>
    <t>Improvement / Rehab of Water System</t>
  </si>
  <si>
    <t>Construction of Barangay Pari-an Multi-Purpose Hall and its Facilities Phase 1</t>
  </si>
  <si>
    <t>INVITATION TO BID FOR THE  PROCUREMENT OF 13 PCS SWIVEL CHAIR STA. FE, LEYTE (BDG-2020-03)</t>
  </si>
  <si>
    <t>Procurement of Materials for Rehabilitation of Spring box and pipelines</t>
  </si>
  <si>
    <t>Supply and Delivery of Brand New 6 Wheeler Dump Truck - ITB 015-2020 GQ</t>
  </si>
  <si>
    <t>Concreting of Road at Carmen Eco Tourism Park and Spring Rosort</t>
  </si>
  <si>
    <t>CONSTRUCTION OF BRIDGE at Balidbid, Salcedo, Ilocos Sur</t>
  </si>
  <si>
    <t>Concreting of Violita St. (from Sampaguita Ave. - Orchid St.)</t>
  </si>
  <si>
    <t>Labor and Materials for the Construction of Slope Protection at San Isidro, City of San Fernando, Pampanga</t>
  </si>
  <si>
    <t>DESILTING OF CREEKS</t>
  </si>
  <si>
    <t>cultivator</t>
  </si>
  <si>
    <t>Supply and Delivery of 15 units External Hard Drive for Reading Program- Dumaran Island District</t>
  </si>
  <si>
    <t>Supply and Delivery of 40 rolls AWG ACSR Duplex Wire #6 (1000m/roll) for Electrification Project Expansion of different Barangays, Brooke’s Point, Palawan</t>
  </si>
  <si>
    <t>Supply and Delivery of One (1) lot Various Information Communication and Technology Equipment</t>
  </si>
  <si>
    <t>Construction of Slope Protection w/ Parapet at Barangay Centro 03</t>
  </si>
  <si>
    <t>farm tools</t>
  </si>
  <si>
    <t>Supply and Delivery of 2 units Photocopying Machine (Resograph)</t>
  </si>
  <si>
    <t>REHABILITATION/IMPROVEMENT OF PIPELINES OF PANGLAO WATERWORKS SYSTEM, PANGLAO, BOHOL</t>
  </si>
  <si>
    <t>Procurement of One unit Dump Truck (Brand new)</t>
  </si>
  <si>
    <t>Installation of Solar Panel Street Lights, Along Zone 01, 02 &amp; 03, Centro 12, Balzain West, Tuguegarao City</t>
  </si>
  <si>
    <t>Procurement of Two (2)  Units Brand New  Ambulance to be Utilized as Emergency Vehicle for Probable/Suspect and/or Confirmed COVID - 19 case  and for other Health and/or Emergency Related Activities @</t>
  </si>
  <si>
    <t>Supply, Delivery and Installation of 1 Lot IPGC Solar Street Light with Pole (60watts) of Bukidnon State University</t>
  </si>
  <si>
    <t>Food Assistance</t>
  </si>
  <si>
    <t>Supplying labor and materials on the installation of Local Area Network (LAN) at Marinduque Provincial Hospital ICT Division, MPH, Boac, Marinduque</t>
  </si>
  <si>
    <t>Concreting of Sampaguita ave. (from San Francisco St. - Violita St.</t>
  </si>
  <si>
    <t>R&amp;DL-20-1828(R1):Procurement of Animal/Zoological Supplies to be used in support to the Native Swine and Native Chicken production project at DA-SR Caipilan, Siquijor, Siquijor for C.Y. 2020</t>
  </si>
  <si>
    <t>Labor and Materials for the Improvement/Construction of Road at Panipuan, City of San Fernando, Pampanga</t>
  </si>
  <si>
    <t>20CB-GSC-338 PURCHASE OF PURIFIED DRINKING WATER</t>
  </si>
  <si>
    <t>RFQ No. 20-06-131 for PR No. 20-06-126</t>
  </si>
  <si>
    <t>Supply and Delivery of Medical Equipment and Facilities for BEmONC in the Municipality of Victoria, Oriental Mindoro</t>
  </si>
  <si>
    <t>Various medical and laboratory supplies</t>
  </si>
  <si>
    <t>PROCUREMENT OF BREEDED CHICKEN (MALE &amp; FEMALE) FOR CHICKEN DISPERSAL PROGRAM OF MUNICIPAL AGRICULTURE</t>
  </si>
  <si>
    <t>Installation of Fiber Glass Window on Public Market Tower, Rebid</t>
  </si>
  <si>
    <t>Supply labor and materials for the calibration of laboratory equipment</t>
  </si>
  <si>
    <t>CONSTRUCTION OF DRAINAGE CANAL WITH CONCRETE COVER</t>
  </si>
  <si>
    <t>Supply and Delivery of 2,000 Bottles of Organic Neem Insecticide for Use in the Management of Fall Army Worm under 2020 STO - QRF FAW</t>
  </si>
  <si>
    <t>PROCUREMENT FOR THE SUPPLY AND DELIVERY OF VARIOUS SUPPLIES FOR 1ST AND 2ND QUARTER CY 2020 (2ND BATCH)</t>
  </si>
  <si>
    <t>Concreting of Barangay Road at Barangay Minanga Sur (TET)</t>
  </si>
  <si>
    <t>IMPROVEMENT/ CONSTRUCTION OF DRAINAGE SYSTEM AT BRGY. TULAY, MINGLANILLA, CEBU</t>
  </si>
  <si>
    <t>Procurement of One pc. G.I. Pipe Threader 2" Rigid</t>
  </si>
  <si>
    <t>Supply and Delivery of Livelihood Kits for Livelihood Seeding Program – Negosyo Serbisyo sa Barangay (LSP-NSB) Beneficiaries of Department of Trade and Industry in the Province of Isabela</t>
  </si>
  <si>
    <t>Procurement of Powdered Milk (Negotiated Procurement: Two Failed Biddings) ITB#2020-14</t>
  </si>
  <si>
    <t>Supplying various breeder animals to be dispersed to Marginalized farmers, solo parents, unemployed parents, parents with children with disability, families of person in conflict w/ the law and batter</t>
  </si>
  <si>
    <t>PROCUREMENT OF TWO (2) UNITS FOUR WHEELED TRACTOR FOR RICE AND CORN PRODUCTION SUPPORT MACHINERIES (BOTH PADDY AND DRY LAND) OF THE MUNICIPAL AGRICULTURE; (2ND BIDDING)</t>
  </si>
  <si>
    <t>For Inventory</t>
  </si>
  <si>
    <t>Farm to Market Roads - Sabangan</t>
  </si>
  <si>
    <t>Instructional Learning Materials and office Supplies</t>
  </si>
  <si>
    <t>REHABILITATION OF ACCESS ROAD at Boguibog, Salcedo, Ilocos Sur</t>
  </si>
  <si>
    <t>Construction of Multi-purpose Pavement</t>
  </si>
  <si>
    <t>Package 001- Procurement of Common Used Office Supplies &amp; Equipment ( Reposting )</t>
  </si>
  <si>
    <t>REHABILITATION OF BURBUR DAM LOCATED AT BRGY. PAYAC</t>
  </si>
  <si>
    <t>Purchase of Printers for 10 Elementary Schools of Sindangan Central District</t>
  </si>
  <si>
    <t>SUPPLY AND DELIVERY OF VARIOUS VEGETABLE SEEDS</t>
  </si>
  <si>
    <t>Concreting of Gymnasium Flooring of LAsam Central School  at Centro 02, Lasam, Cagayan</t>
  </si>
  <si>
    <t>IMPROVEMENT  OF BRGY. LINAO COVERED COURT/ MULTI-PURPOSE HALL AT LINAO, MINGLANILLA, CEBU</t>
  </si>
  <si>
    <t>SUPPLY AND DELIVERY OF ONE (1) UNIT MOBILE CLINIC BUS</t>
  </si>
  <si>
    <t>Rehabilitation of Multi-purpose Building</t>
  </si>
  <si>
    <t>CONSTRUCTION OF MULTI-PURPOSE BUILDING/EVACUATION CENTER (PHASE 1)</t>
  </si>
  <si>
    <t>SMALLVALUE PROCUREMENT OF REPRODUCTION OF TEST PAPERS</t>
  </si>
  <si>
    <t>PROCUREMENT OF CONSULTANCY SERVICES FOR THE IMPLEMENTATION OF PROFICIENCY STAGE OF THE PGS WITHIN THE MARINA ORGANIZATION</t>
  </si>
  <si>
    <t>Invitation to Bid for Rehabilitation of Day Care Center of Brgy. Marikit</t>
  </si>
  <si>
    <t>CONTINUATION OF MULTI - PURPOSE HALL</t>
  </si>
  <si>
    <t>PURCHASE OF INORGANIC FERTILIZERS</t>
  </si>
  <si>
    <t>Supply and Delivery of Chemicals for Use in the Management of Fall Army Worm under 2020 STO - QRF FAW</t>
  </si>
  <si>
    <t>SUPPLY AND DELIVERY OF FUEL</t>
  </si>
  <si>
    <t>Supply and Delivery of Anti-Scale, Anti-Foam and Calcium Chloride</t>
  </si>
  <si>
    <t>CONSTRUCTION OF FOOTBRIDGE AT BRGY. TUNGKIL, MINGLANILLA, CEBU</t>
  </si>
  <si>
    <t>Procurement of Const. Supplies for Repair of Junior High School Makeshift Building at Magatos I/S</t>
  </si>
  <si>
    <t>Supply and delivery of materials for multi-purpose flat form at Sitio Canlupe 				  Barangay Poblacion, Alcoy, Cebu</t>
  </si>
  <si>
    <t>Purchase of Medical Supplies for Laboratory, RHU-Pagsanghan, Samar</t>
  </si>
  <si>
    <t>20GJC0206 – 1,400 liters Reflectorized Traffic Paint (White) etc.</t>
  </si>
  <si>
    <t>20D00075 - CONSTRUCTION OF EVACUATION CENTER AT BAUAN, BATANGAS</t>
  </si>
  <si>
    <t>SUPPLY AND DELIVERY OF COMPUTER SUPPLIES FOR 1ST &amp; 2ND QUARTER 2020</t>
  </si>
  <si>
    <t>SMALL VALUE FOR PROCUREMENT OF TARPAULINS</t>
  </si>
  <si>
    <t>Construction of Municipal Disaster Risk Reduction and Management Office Building</t>
  </si>
  <si>
    <t>Procurement of Const. Supplies for Repair of Ceiling and partition at Concepcion elem School</t>
  </si>
  <si>
    <t>Procurement of Const. Supplies for Repair and Repainting of Gr. 6 Venus Classroom at Cabaywa Elem School</t>
  </si>
  <si>
    <t>Supply and delivery of various materials for official use in the production of ABMAC Station in Dipaculao, Aurora</t>
  </si>
  <si>
    <t>Supply and Delivery of Additional Subsistence Allowance (ASA) / Food Support Meals of Military Personnel / Security for Cotabato Airport Development Project CY-2018 (Runway Strip Grade Correction)</t>
  </si>
  <si>
    <t>CONSTRUCTION OF CONCRETE PERIMETER FENCE WITH PLASTER BACK TO BACK AT TAWALA ELEMENTARY SCHOOL</t>
  </si>
  <si>
    <t>Supply and Delivery of Responders Kit</t>
  </si>
  <si>
    <t>20GJC0210 – 131.60 bags Portland Cement etc.</t>
  </si>
  <si>
    <t>Safety and Occupational Products</t>
  </si>
  <si>
    <t>20D00076 - CONSTRUCTION OF EVACUATION CENTER AT LOBO, BATANGAS</t>
  </si>
  <si>
    <t>ITB - Supply and Delivery of Linen Supplies and Materials for CY 2020</t>
  </si>
  <si>
    <t>DataFolder5</t>
  </si>
  <si>
    <t>Procurement of Const. Supplies for Repair of Classroom Comfort Rooms Gr.1 &amp; 2 at New Santiago E/S</t>
  </si>
  <si>
    <t>Procurement of Const. Supplies for REpair of Makeshift classroom of Madasigon Extension, Camoning Elem. School</t>
  </si>
  <si>
    <t>20CSMH01 - SUB-SURFACE EXPLORATION (SOIL EXPLORATION) OF BRIDGES ALONG AWANG-UPI-LEBAK-KALAMANSIGPALIMBANG- SARANGANI RD. AND ALONG SNA-LEBAK-KALAMANSIG RD. (CLUSTER A), LEBAK AND KALAMANSIG, SULTAN K</t>
  </si>
  <si>
    <t>20CSMH02 - SUB-SURFACE EXPLORATION (SOIL EXPLORATION) OF SARMIENTO BR. (B00609MN) ALONG ISULAN JCT. - NINOY AQUINO RD (CLUSTER B), BAGUMBAYAN, SULTAN KUDARAT</t>
  </si>
  <si>
    <t>Procurement of Const. Supplies for REpair and Painting of Outer Part of One Room School at Sta. Felomina Elem. Sch.</t>
  </si>
  <si>
    <t>Procurement of Const. Supplies for Repair of Ceiling of Gr. 11 and Gr. 111 Classroom at Canatan Elem. School</t>
  </si>
  <si>
    <t>20GJC0209 – 48 bag Portland Cement etc.</t>
  </si>
  <si>
    <t>Improvement of Water System @ Mabini- Salintubig 2019</t>
  </si>
  <si>
    <t>Supply and Delivery of Concrete Restoration Materials in Connection with the Waterline Extension Project from NHA Yolanda Ressettlement Site No. 1 to Hda. Daniel, Brgy. E. Lopez for Silay City Water D</t>
  </si>
  <si>
    <t>Procurement of Const. Supplies for REpair of Stock Rook at Sagayen Elem. School</t>
  </si>
  <si>
    <t>20GJC0207 – 504 bags Thermoplastic Paint (White) etc.</t>
  </si>
  <si>
    <t>Procurement of Const. Supplies for REpair of School Office at Buclad Elem. School</t>
  </si>
  <si>
    <t>Procurement of Const. Supplies for Repair of School Canteen at Rizal Integrated School</t>
  </si>
  <si>
    <t>20FC0119 : CONCRETING OF BRGY. MABILO I FMR, Brgy. Mabilo I, Labo, Camarines Norte</t>
  </si>
  <si>
    <t>Procurement of Const. Supplies for REpair of Comfort Room of Gr. 11,111 &amp; Gr. V at Camansa E/S</t>
  </si>
  <si>
    <t>Procurement of Const. Supplies for REpair of Ceiling in 2 Classroom at Camansa Lower Elem. School</t>
  </si>
  <si>
    <t>CONCRETING / REHABILITATION OF BARANGAY CANUBAY ROAD- HAYO STREET</t>
  </si>
  <si>
    <t>Construction of Day Care Center @ Botinagan</t>
  </si>
  <si>
    <t>Improvement of RHU Buiding ( Isolation Room)</t>
  </si>
  <si>
    <t>Procurement of Const. Supplies for REpair of Wall Classroom at Bangkawan E/S</t>
  </si>
  <si>
    <t>20FC0117 : CONCRETING OF BRGY. MATANGO FMR, Brgy. Matango, Vinzons, Camarines Norte</t>
  </si>
  <si>
    <t>Procurement of Const. Supplies for REpair of Comfort Room at New Visayas Elem.  School</t>
  </si>
  <si>
    <t>Safe Closure and Rehabilitation of Existing Disposal Site</t>
  </si>
  <si>
    <t>Procurement of Const. Supplies for REpair of School Canteen Roof at San Vicente Elem. School</t>
  </si>
  <si>
    <t>Procurement of Const. Supplies for REpair of School Canteen of Sonlon Elem. School</t>
  </si>
  <si>
    <t>Procurement of Const. Supplies for Concretion of pathway at Magbaad Elem. School</t>
  </si>
  <si>
    <t>Construction of Crisis Center</t>
  </si>
  <si>
    <t>Construction/ Rehabilitation of Water Supply/ Septage and Sewerage/ Rain Water Collectors - Rain Water Collectors in Public Facilities 1. Baguio City National High School (Main), Gov. Pack Rd., Baguio</t>
  </si>
  <si>
    <t>Public bidding for Installation  of Solar Lighting System</t>
  </si>
  <si>
    <t>20JG0085 - Repair/Maintenance of DA Building, Betinan, San Miguel, Zamboanga del Sur</t>
  </si>
  <si>
    <t>20JG0083 - Repair/Maintenance of DPWH Building, Warehouse Building (Warehouse - Mezzanine Floor), Zamboanga del Sur 2nd District Engineering Office, Brgy.Poblacion, Guipos, Zamboanga del Sur</t>
  </si>
  <si>
    <t>20FC0118 : CONCRETING OF BRGY. SAN ISIDRO FMR, Brgy. San Isidro, San Lorenzo Ruiz, Camarines Norte</t>
  </si>
  <si>
    <t>Procurement of Const. Supplies for REpair of Canteen at Napungas Elem. School</t>
  </si>
  <si>
    <t>improvement of road -BRGY. SAMPALOCAN, BALETE, BATS.</t>
  </si>
  <si>
    <t>CID NO. 20LE0122 REPAIR / MAINTENANCE OF BUHANGIN FLOOD CONTROL, MALITA, DAVAO OCCIDENTAL (STA. 0+000.00 - STA. 0+045.00)</t>
  </si>
  <si>
    <t>SMALL VALUE FOR PROCUREMENT OF OFFICE AND SCHOOL FORMS</t>
  </si>
  <si>
    <t>20JG0080 - Repair/Maintenance of DPWH Main Building, Zamboanga del Sur II District Engineering Office, Poblacion, Guipos, Zamboanga del Sur</t>
  </si>
  <si>
    <t>Procurement of Const. Supplies for Repair of Roofing and Ceiling of Gr. 1 Room at New Talisay Elem. School</t>
  </si>
  <si>
    <t>Rehabilitation of Barangay Roads</t>
  </si>
  <si>
    <t>20JG0078 - Repair/Maintenance of DPWH Building (Finance Section), Zamboanga del Sur II District Engineering Office, Poblacion, Guipos, Zamboanga del Sur</t>
  </si>
  <si>
    <t>20JG0081 - Maintenance, Repair and Rehabilitation of Materials Quality Control Building of DPWH Building Zamboanga del Sur II DEO (Phase 4)</t>
  </si>
  <si>
    <t>20JG0079 - Repair/Maintenance of DPWH Building (Planning &amp; Design Section), Zamboanga del Sur II District Engineering Office, Poblacion, Guipos, Zamboanga del Sur</t>
  </si>
  <si>
    <t>Purchase of Two(2) Sets of Abaca Stripping Machine for IP's in GIDA Barangays</t>
  </si>
  <si>
    <t>FURNISHED LABOR &amp; MATERIALS FOR THE NEW CONSTRUCTION OF MUNICIPAL DRUG REHABILITATION FACILITY-MEO-PHP 9,852,000.00-1ST POSTING</t>
  </si>
  <si>
    <t>20JG0076 - Repair/Maintenance of Pantad River Control, Brgy. Pantad, Dumalinao, Zamboanga del Sur</t>
  </si>
  <si>
    <t>FURNISHED LABOR &amp; MATERIALS FOR THE IMPROVEMENT OF MALUNGON PUBLIC MARKET-MEO-PHP 4,000,000.00-1ST POSTING</t>
  </si>
  <si>
    <t>PB INFRA 20-038_Construction of Multi-Purpose Building (Birthing Center), Lepaga, Mlang, Cotabato</t>
  </si>
  <si>
    <t>Supply and Installation of Sound System</t>
  </si>
  <si>
    <t>20JG0082 - Repair/Maintenance of DPWH Motorpool Building (Mezzanine Floor), Zamboanga del Sur II District Engineering Office, Poblacion, Guipos, Zamboanga del Sur</t>
  </si>
  <si>
    <t>REPAIR /REHABILITATION OF DAMAGED DRAINAGE FACILITY AT BRGY. CENTRAL, GAMAY, NORTHERN SAMAR</t>
  </si>
  <si>
    <t>INSTALLATION OF SOLAR STREETLIGHTS AT BIAC NA BATO ST., BRGY. SILANGAN I, ROSARIO, CAVITE</t>
  </si>
  <si>
    <t>SMALL VALUE PROCUREMENT OF SCHOOL FORMS</t>
  </si>
  <si>
    <t>PURCHASE MATERIALS FOR THE CONSTRUCTION OF DAY CARE BUILDING PUROK 1</t>
  </si>
  <si>
    <t>CONSTRUCTION OF MULTI-PURPOSE BUILDING FOR SOLID WASTE MANAGEMENT EQUIPMENT AND MOTOR VEHICLES AT BRGY. BURABOD, GAMAY, NORTHERN SAMAR</t>
  </si>
  <si>
    <t>Supply and Delivery of One Unit Heavy Duty Document Scanner with Heavy Duty Paper Shredder</t>
  </si>
  <si>
    <t>CONSTRUCTION OF PATHWALK</t>
  </si>
  <si>
    <t>CONCRETING OF PATHWALK</t>
  </si>
  <si>
    <t>PB INFRA 20-043_Construction of Multi-Purpose Drying Pavement, Sinawilan, Libungan, Malagap, Banisilan, Magallon, Mlang, Malagakit, Pigcawwayan, New Pontevedra, Antipas, Cotabato</t>
  </si>
  <si>
    <t>Procurement of Supplies and Materials for the Conduct of Vegetable Demo Farm</t>
  </si>
  <si>
    <t>REHABILITATION OF PATHWALK</t>
  </si>
  <si>
    <t>PB INFRA 20-039_Completion of Covered Court, College of Agriculture, University of Southern Mindanao, Kabacan, Cotabato</t>
  </si>
  <si>
    <t>RIPRAPPING OF CREEKBANK</t>
  </si>
  <si>
    <t>Supply and Delivery of One Unit Desktop PC and Twelve Units iPAD</t>
  </si>
  <si>
    <t>CONSTRUCTION OF PATHWALK WITH DRAINAGE</t>
  </si>
  <si>
    <t>PB INFRA 20-040_Construction of Covered Court with Stage, Bleachers &amp; Basketball Rings, Lower Paatan, Kabacan, Cotabato</t>
  </si>
  <si>
    <t>PB INFRA 20-041_Construction of Covered Court with Stage, Buliok Elementary School, Sitio Katipunan, Buliok , Pikit, Cotabato</t>
  </si>
  <si>
    <t>maintenance of street lights P1 - P6</t>
  </si>
  <si>
    <t>20DE0144 Construction of Evacuation Center in Bolbok, Batangas City, Batangas</t>
  </si>
  <si>
    <t>PROCUREMENT OF BRAND NEW MOTOR VEHICLE (COMMUTER VAN) FOR LGU'S SERVICES - MSWD = P2,000,000.00</t>
  </si>
  <si>
    <t>Procurement of MDRRM Protective Equipment</t>
  </si>
  <si>
    <t>GOODS-ITB 2020-06-013-A SUPPLY AND DELIVERY OF MATERIALS FOR THE CONSTRUCTION OF HANDWASHING FACILITY IN DIFFERENT DESIGNATED QUARANTINE FACILITY IN DIFFERENT BARANGAYS IN LAPINIG, N. SAMAR  (2ND POST</t>
  </si>
  <si>
    <t>20JG0084 - Repair/Maintenance of DPWH Building ( Guardhouse ), Zamboanga del Sur II District Engineering Office, Poblacion, Guipos, Zamboanga del Sur</t>
  </si>
  <si>
    <t>BREATH ALCOHOL ANALYZER</t>
  </si>
  <si>
    <t>Procurement of Supply &amp; Delivery of Pheromone Lure</t>
  </si>
  <si>
    <t>GOODS-ITB 2020-06-012(1)-A SUPPLY AND DELIVERY OF CONSTRUCTION MATERIALS FOR THE PROVISION OF WATER SYSTEM AT ELEVATED EVACUATION CENTER IN LAPINIG, N. SAMAR  (2ND POSTING)</t>
  </si>
  <si>
    <t>One (1) Lot – Supply and delivery of 5,000 Learning Experience Platform (LXP) subscriptions, including customization, implementation, maintenance, technical support, and user training, as per BSP Term</t>
  </si>
  <si>
    <t>Construction of Landmark</t>
  </si>
  <si>
    <t>Installation of 7 units Purok Signages</t>
  </si>
  <si>
    <t>SUPPLY AND DELIVERY OF MEALS AND SNACKS FOR THE USE OF  GOVERNOR’S OFFICE (RE-BID)</t>
  </si>
  <si>
    <t>CONSTRUCTION OF FOOTBRIDGE</t>
  </si>
  <si>
    <t>Purchase of Twenty (20) Sets of Looms for IP's in GIDA Barangays</t>
  </si>
  <si>
    <t>Supply and Delivery of Personal Protective Equipments and Supplies for Solid Waste Management (Rebid)</t>
  </si>
  <si>
    <t>100-2019-11-1714 Supply and delivery of passenger van with response accessories 2.5L diese-fed, engine displacement 2494cc,etc, (RDANA)</t>
  </si>
  <si>
    <t>Supply and delivery of various materials for the official use in the production of ABMAC Station in Dipaculao, Aurora</t>
  </si>
  <si>
    <t>Construction of San Pedro Evacuation Center</t>
  </si>
  <si>
    <t>CONSTRUCTION OF STAIR PATHWALK</t>
  </si>
  <si>
    <t>REHABILITATION OF FARM TO MARKET ROAD (NAMALTUGAN – UP-UPLAS ROAD) LOCATED AT BARANGAY UP-UPLAS, SUDIPEN, LA UNION</t>
  </si>
  <si>
    <t>REHABILITATION OF FARM TO MARKET ROAD (SITIO BITTAO) LOCATED AT BARANGAY DUPLAS, SUDIPEN, LA UNION</t>
  </si>
  <si>
    <t>100-2019-11-1710 Supply and delivery of 245.50 cu.m. ready mixed concrete 3500psi</t>
  </si>
  <si>
    <t>100-2019-10-1635 Supply and delivery of multi-purpose vehicle (brand new single cab with FB body dual AC with response accessories</t>
  </si>
  <si>
    <t>SMALL VALUE FOR PROCUREMENT OF COVERED FOOTWALK</t>
  </si>
  <si>
    <t>100-2020-01-129 Supply and delivery of 1 unit truck (light cargo truck) with open/drop-side cargo hol, 18 ft.</t>
  </si>
  <si>
    <t>Procurement of ICT Equipment (Desktop Computers and Laptops)</t>
  </si>
  <si>
    <t>SMALL VALUE PROCUREMENT OF SCHOOL STAGE</t>
  </si>
  <si>
    <t>100-2020-02-308 Supply and delivery of 4 units ambulance</t>
  </si>
  <si>
    <t>COMPLETION OF THE NEW CONSTRUCTED BARANGAY HALL</t>
  </si>
  <si>
    <t>Notice to Prospective Bidders re: the Resumption of Bidding Activities for the Procurement of Data Center and Network Security Licenses Subscription</t>
  </si>
  <si>
    <t>100-2020-01-015 Supply and delivery of 1 unit light cargo truck 11 ft</t>
  </si>
  <si>
    <t>PROCUREMENT OF EDUCATIONAL/OFFICE SUPPLIES</t>
  </si>
  <si>
    <t>20AH0192 (republished)  Repainting of Bridge along Pangasinan-Zambales Road, Padilla Bridge (B02144LZ), K0359+504, Bugallon, Pangasinan</t>
  </si>
  <si>
    <t>20AH0208  Repair/Restoration of Slope Protection along Lingayen-Labrador Road, K0368+430-K0368+495, Labrador, Pangasinan</t>
  </si>
  <si>
    <t>CALIBRATION OF VARIOUS METERS</t>
  </si>
  <si>
    <t>CONCRETE PAVING OF FARM TO MARKET ROAD (SITIO GUDEL) LOCATED AT BARANGAY NAMALTUGAN, SUDIPEN, LA UNION</t>
  </si>
  <si>
    <t>20AH0209  Installation/Application of Road Safety Devices along Judge Jose De Venecia Boulevard Extension Road, Island Section, Dagupan City, Pangasinan</t>
  </si>
  <si>
    <t>20AH0207  Repair/Maintenance of Lateral Drainage along Mangaldan-Manaoag-Binalonan Road, K0205+917-K0206+000 w/ exception, San Jacinto, Pangasinan</t>
  </si>
  <si>
    <t>20AH0206	Repair/Maintenance of Asphalt Overlay (Thin Overlay) along Pangasinan-Tarlac Road, K0196+827-K0197+018, Bugallon, Pangasinan</t>
  </si>
  <si>
    <t>small value procurement of printer</t>
  </si>
  <si>
    <t>FABRICATION AND INSTALLTION OF STREETLIGHTS (10-UNITS)</t>
  </si>
  <si>
    <t>PB INFRA 20-042_Construction of Box Culvert, Sta. Cruz, Midsayap, Cotabato</t>
  </si>
  <si>
    <t>Installation of solar lightings</t>
  </si>
  <si>
    <t>SUPPLIES FOR WINS (WASH IN SCHOOL)PROGRAM JHS</t>
  </si>
  <si>
    <t>20JG0075 - Repair/Maintenance of Bayog River Control, Poblacion, Bayog, Zamboanga del Sur, Sta.1+550 - Sta.1+608.01 R/S</t>
  </si>
  <si>
    <t>Procurement of Supply &amp; Delivery of Organic and Inorganic Insecticide (By Lot)</t>
  </si>
  <si>
    <t>20JG0086 - Repair/Maintenance of DND Building, Phil. Army - 53rd Infantry Battalion ( Officer's Quarter), Brgy.Poblacion, Guipos, Zamboanga del Sur</t>
  </si>
  <si>
    <t>20FC0123 : CONCRETING OF BRGY. BULALA FMR, Brgy. Bulala, Sta. Elena, Camarines Norte</t>
  </si>
  <si>
    <t>20JG0077 - Repair/Maintenance of DPWH Building (Maintenance Section), Zamboanga del Sur II District Engineering Office, Poblacion, Guipos, Zamboanga del Sur</t>
  </si>
  <si>
    <t>20FC0122 : CONCRETING OF BRGY. BINAWANGAN FMR, Brgy. Binawangan, Capalonga, Camarines Norte</t>
  </si>
  <si>
    <t>20FC0121 : CONCRETING OF BRGY. ITOK FMR, Brgy. Itok, Capalonga, Camarines Norte</t>
  </si>
  <si>
    <t>ELECTRIFICATION OF 2 STOREY, 16 CLASS ROOMS</t>
  </si>
  <si>
    <t>Desilting of Canals</t>
  </si>
  <si>
    <t>Construction of Flood Control Structures along Bayanan River, Brgy. Bayanan, Muntinlupa City,  Sta. 0+000 to Sta. 0+325 (Contract ID No. 20O00059)</t>
  </si>
  <si>
    <t>Procurement of Const. Supplies for Repair of Kitchen  of Liguyon Elem. School</t>
  </si>
  <si>
    <t>20D00078 - CONSTRUCTION OF EVACUATION CENTER AT PLARIDEL, QUEZON</t>
  </si>
  <si>
    <t>Supply and Delivery of Dump Truck</t>
  </si>
  <si>
    <t>20CSMH04 - SUB-SURFACE EXPLORATION (SOIL EXPLORATION) OF BRIDGES ALONG ISULAN JCT.- NINOY AQUINO RD. (CLUSTER D), SEN. NINOY AQUINO, SULTAN KUDARAT</t>
  </si>
  <si>
    <t>concreting of farm to market road</t>
  </si>
  <si>
    <t>20CSMH03 - SUB-SURFACE EXPLORATION (SOIL EXPLORATION) OF BARANAYAN BR. ALONG AWANG-UPI-LEBAK-KALAMANSIGPALIMBANG- SARANGANI RD (CLUSTER C), PALIMBANG, SULTAN KUDARAT</t>
  </si>
  <si>
    <t>Rehabilitation of Health Center</t>
  </si>
  <si>
    <t>Provision of Information Technology (IT) equipments for the Education Technology laboratory and for the conduct of mobile laboratory assessment for computer subject of BSIT &amp; SHS-CSS Track of the Poly</t>
  </si>
  <si>
    <t>20D00077 -CONSTRUCTION OF EVACUATION CENTER AT STO.TOMAS, BATANGAS</t>
  </si>
  <si>
    <t>20CSMH05 - SUB-SURFACE EXPLORATION (SOIL EXPLORATION) OF CONSTRUCTION OF RIVER BANK PROTECTION/FLOOD CONTROL (UPSTREAM SIDE) AT LIMULAN RIVER (CLUSTER E), KALAMANSIG, SULTAN KUDARAT</t>
  </si>
  <si>
    <t>20GJC0208 – 43.20 bag Portland Cement etc.</t>
  </si>
  <si>
    <t>MODERNIZATION OF LABORATORY EQUIPMENT FOR BACHELOR OF SCIENCE IN ELECTRICAL ENGINEERING</t>
  </si>
  <si>
    <t>Procurement of Security Services for Bulacan State University</t>
  </si>
  <si>
    <t>Establishment of Governor’s Satellite Office at GADTC</t>
  </si>
  <si>
    <t>20FC0120 : CONCRETING OF BRGY. GUISICAN FMR, Brgy. Guisican, Labo, Camarines Norte</t>
  </si>
  <si>
    <t>maintenance of water system</t>
  </si>
  <si>
    <t>Supply labor and materials for the Improvement of Activity Center in Barangay Tigbawan of the Municipality of Tabuelan, Cebu</t>
  </si>
  <si>
    <t>CID NO. 20LE0123 REPAIR / MAINTENANCE OF LAWA FLOOD CONTROL, DON MARCELINO, DAVAO OCCIDENTAL  (STA. 0+000.00 - STA. 0+083.00 LS)</t>
  </si>
  <si>
    <t>Purchase of One (1) Unit Dump Truck to be used in this Municipality</t>
  </si>
  <si>
    <t>20GGK0006 - Supply and Delivery of Materials for use in the Repair/Roadside Maintenance of National Roads along Bacolod North Road (S00025NR, S00393NR, S00389NR, S00406NR) 3rd LD, K0005+-790 - K0033+0</t>
  </si>
  <si>
    <t>F1K Days TV plugs in 1 TV station</t>
  </si>
  <si>
    <t>PROPOSED ROAD CONCRETING</t>
  </si>
  <si>
    <t>Supply and Delivery of Materials, Labor and Equipment for the Construction/Completion of Public Market in Brgy. Poblacion, Padre Garcia, Batangas</t>
  </si>
  <si>
    <t>20GGK0005 - Supply and Delivery of Materials for use in the Repair and Maintenance of National Roads along Bacolod North Road (S00406NR), K0013+000 - K0071+000; (S00408NR) K0077+000 - K0161+117; Bacol</t>
  </si>
  <si>
    <t>20GEB0058: Procurement/Supply/Delivery of Traffic Counting Machine Accessories for use in Conduct of NRTSP, DPWH – Mindoro Occidental DEO Planning and Design Section (Lubang Field Office)</t>
  </si>
  <si>
    <t>20GEB0021: Procurement/Supply/Delivery of Office Equipment Supplies and Consumables for use in DPWH – Mindoro Occidental DEO  Planning and Design Section</t>
  </si>
  <si>
    <t>F1K Days radio plugs in 1 radio station</t>
  </si>
  <si>
    <t>CONSTRUCTION OF CONCRETE BLEACHER &amp; CONCRETE FLOORING @ BRGY. MARINTOC, MOBO, MASBATE</t>
  </si>
  <si>
    <t>AGR-20-0338-B Purchase of Kitchenware</t>
  </si>
  <si>
    <t>ITB 2020-06-89 Procurement of 92,500 pcs. Birthday Cake for the period July to December 31, 2020 for OM-OSCA</t>
  </si>
  <si>
    <t>HMO-20-0354-B - PURCHASE OF AMBULANCE WITH COMPLETE MEDICAL EQUIPMENT</t>
  </si>
  <si>
    <t>20GEB0010: Procurement/Supply of Personnel Protective Equipment for use of Maintenance Crew for the Repair/Maintenance of  National Roads and Bridges (1st to 4th Quarter)- Maintenance Section</t>
  </si>
  <si>
    <t>ILD-20-2315: Procurement of *3,600 packs of PHROMONE LURE (5 sachets/pack)</t>
  </si>
  <si>
    <t>Construction of Concrete Footwalk</t>
  </si>
  <si>
    <t>REHABILITATION OF LOCAL ROADS Sitio Napo, Caatihan, Boston, Davao Oriental</t>
  </si>
  <si>
    <t>19GF00031 - Procurement of Hydraulic Breaker and Hydraulic Grapple for use at EMD (PR No. 20-05-103 dated 5/29/2020), DPWH Regional Office No. V, Rawis, Legazpi City</t>
  </si>
  <si>
    <t>20GEB0023: Procurement/Supply/Delivery of IT for use of DPWH-Mindoro Occidental DEO Planning and Design Section</t>
  </si>
  <si>
    <t>Construction of Salug Multi Purpose Center</t>
  </si>
  <si>
    <t>ILD-20-2314: Procurement of Various Chmical and Filtering Supplies (450 bottles Lambda Cyhalothrin (500ml/bot) et al...)</t>
  </si>
  <si>
    <t>Supply and Delivery of Various Office Supplies for Various Offices in the Municipality (2nd &amp; 3rd Quarter)</t>
  </si>
  <si>
    <t>Delivery of labor and materials for the project of Rehabilitation of Health Center at  Brgy. San Nicolas, Bay, Laguna</t>
  </si>
  <si>
    <t>Repair of Gazebo Building Canopy at the Municipal Hall Compound of Palo, Leyte  JR No. 20-06-112</t>
  </si>
  <si>
    <t>SDH-20-0361-B DRUGS AND MEDICINES</t>
  </si>
  <si>
    <t>Delivery of labor and materials for the project of Construction of Pathway at Brgy. Puypuy, Bay,  Laguna</t>
  </si>
  <si>
    <t>PROPOSED DRAINAGE WITH ROAD WIDENING</t>
  </si>
  <si>
    <t>PROCUREMENT OF OFFICE SUPPLIES FOR DIFFERENT OFFICES (1st – 2nd Quarter), MALAPATAN, SARANGANI PROVINCE</t>
  </si>
  <si>
    <t>Improvement of Kalibo-New Buswang Road and Junction Going to Toting Reyes Street (Construction of Drainage Cover at New Buswang and Toting Segment), Kalibo, Aklan</t>
  </si>
  <si>
    <t>Procurement of Photocopiers for distribution to elementary and secondary  schools of Bay District</t>
  </si>
  <si>
    <t>20GEB0012: Procurement/Supply/Delivery of Grass Cutter, Accessories and Spare parts for use in the Repair/Maintenance of National Roads and Bridges (1st to 4th quarter)- Maintenance Section</t>
  </si>
  <si>
    <t>Reblocking of Man-up-Lupit-Ambolong-Batan Road, Batan, Aklan</t>
  </si>
  <si>
    <t>REHABILITATION OF FORTICH STREET (LAYOS)</t>
  </si>
  <si>
    <t>Construction of Duangan Multi Purpose Center</t>
  </si>
  <si>
    <t>Supply &amp; Delivery of One (1) Unit Brand New Service Vehicle for the City Veterinary Office, Ormoc City</t>
  </si>
  <si>
    <t>Concreting of Venturanza Road, Banga, Aklan</t>
  </si>
  <si>
    <t>Supply &amp; Delivery of Medical, Dental &amp; Laboratory Supplies for City Health Office-OPD, Dental, Laboratory Section &amp; Six (6) District Health Center in Ormoc City, Ormoc City</t>
  </si>
  <si>
    <t>PROPOSED PATHWALK</t>
  </si>
  <si>
    <t>PROCUREMENT OF OFICE EQUIPMENT FOR MUNICIPAL INFORMATION OFFICE, MALAPATAN, SARANGANI PROVINCE</t>
  </si>
  <si>
    <t>PROCUREMENT OF MATERIALS FOR THE MAINTENANCE AND DEVELOPMENT OF HRIS SYSTEM, MALAPATAN, SARANGANI PROVINCE</t>
  </si>
  <si>
    <t>Supply &amp; Delivery of Drugs &amp; Medicines for the Responsible Parenting &amp; Reproductive Health Program of the City Health Office, Ormoc City</t>
  </si>
  <si>
    <t>1-LOT SUPPLY OF LABOR &amp; MATERIALS FOR THE  IMPROVEMENT SAGAY PUBLIC PLAZA-PHASE 2</t>
  </si>
  <si>
    <t>Concreting of Makato-Cayangwan-Libang Road (Cayangwan Segment), Makato, Akla</t>
  </si>
  <si>
    <t>SUPPLY AND DELIVERY OF ONE (1) LOT OF VARIOUS ELECTRICAL SUPPLIES FOR THE USE OF THE IMPROVEMENT OF LIGHTING SYSTEM IN THE ASTRODOME MUNICIPALITY OF TABUELAN</t>
  </si>
  <si>
    <t>Rehabilitation and Improvement of Laguinbanua-Bagacay-Unat-Agdugayan Road, Ibajay, Aklan</t>
  </si>
  <si>
    <t>Construction of Sanitary Landfill (PEO)</t>
  </si>
  <si>
    <t>Repair/Improvement of Slope Protection (Construction of Apron and Cut-off Wall), Tagbaya, Ibajay, Aklan</t>
  </si>
  <si>
    <t>SAAD-20-1185 (REBID 2): Procurement of Assorted Feeds</t>
  </si>
  <si>
    <t>SAAD-20-1237 (REBID 2): Procurement of 3,600 heads of Native Chicken</t>
  </si>
  <si>
    <t>ILD-20-2316: Procurement of *571 bottles of Azadirahtin (1 liter/bot. Organic Pesticide) and *100 boxes of Bacillus Thuringiensis (5 x 100 gram/box)</t>
  </si>
  <si>
    <t>Construction of Perimeter Fence of Bay-ang Elementary School Catholic Chapel &amp; 7th Day Adventist Chapel, Bay-ang-Magpag-ong, Batan, Aklan</t>
  </si>
  <si>
    <t>PROJECT: CONTINUATION OF EVACUATION CENTER</t>
  </si>
  <si>
    <t>Repair of Persons with Disability Affairs Office Building, Capitol Site, Kalibo, Aklan</t>
  </si>
  <si>
    <t>SAAD-20-0992 (REBID 2): Procurement of Various Feeds</t>
  </si>
  <si>
    <t>Rental of Financial program for Accounting Office</t>
  </si>
  <si>
    <t>Reblocking of Alegria-Balusbos-Habana Road, Buruanga, Aklan</t>
  </si>
  <si>
    <t>REHABILITATION OF PENNED DAM</t>
  </si>
  <si>
    <t>Construction of Evacuation Center (Phase 2) (Drainage System and Roof Gutter), Barangay Naile, Ibajay, Aklan</t>
  </si>
  <si>
    <t>Construction of Laundry Area of Godofredo P. Ramos Hospital (Phase 2), Altavas, Aklan</t>
  </si>
  <si>
    <t>PROPOSED CONSTRUCTION OF DRAINAGE SYSTEM @ PUROK dascc</t>
  </si>
  <si>
    <t>Proposed Construction of Pathways  at Purok QCRO</t>
  </si>
  <si>
    <t>REHABILITATION OF ZAMORA STREET</t>
  </si>
  <si>
    <t>Bidding for the Supply &amp; Delivery of Medicines for MHO use</t>
  </si>
  <si>
    <t>REHABILITATION OF M.H DEL PILAR STREET</t>
  </si>
  <si>
    <t>PROCUREMENT OF MATERIALS FOR WATER SYSTEM DEVELOPMENT</t>
  </si>
  <si>
    <t>Concreting of Laguinbanua-Bubog-Albasan Road, Numancia, Aklan</t>
  </si>
  <si>
    <t>Bidding for the Supply &amp; Delivery of Medical Supplies for MHO use</t>
  </si>
  <si>
    <t>FOD-L-20-2347: Procurement of Assorted Feeds</t>
  </si>
  <si>
    <t>CONSTRUCTION OF RESIDUAL CONTAINMENT AREA</t>
  </si>
  <si>
    <t>Purchase of Hospital/Medical Equipment of CSTH for Level 1 (Medical Waste Decomposer Thermal Insulation), Ciriaco S. Tirol Hospital, Boracay Island, Malay, Aklan</t>
  </si>
  <si>
    <t>Completion of Supply Room, Family Planning and Social Hygiene Clinic @ Godofredo P. Ramos Hospital, Poblacion, Altavas, Aklan (Re-biding)</t>
  </si>
  <si>
    <t>SAAD-20-2131: Procurement of 100 rolls of Range Nets</t>
  </si>
  <si>
    <t>REHABILITATION OF G.H DEL PILAR STREET</t>
  </si>
  <si>
    <t>REHABILITATION OF JUAN LUNA STREET</t>
  </si>
  <si>
    <t>Construction of Evacuation Center, Arcanghel, Balete, Aklan</t>
  </si>
  <si>
    <t>Supply &amp; Delivery of 100 Heads of F1 Meat Type Hogs for Kadiwa Ani at Kita Project</t>
  </si>
  <si>
    <t>FOD-H-20-2345: Procurement of 4,185 kilos of Ginger (Planting Materials)</t>
  </si>
  <si>
    <t>Improvement of Odiong Circumferential Road, Altavas, Aklan</t>
  </si>
  <si>
    <t>SDH-20-0364-B I.V. FLUIDS</t>
  </si>
  <si>
    <t>INVITATION TO BID CONCRETING OF 0.670 KM BARANGAY POBLACION TO COMPRA ROAD at Barangay Poblacion-Barangay Puntod, Matungao, Lanao del Norte</t>
  </si>
  <si>
    <t>REHABILITATION OF FARM TO MARKET ROAD LOCATED AT BARANGAY SAN FRANCISCO NORTE, SUDIPEN, LA UNION</t>
  </si>
  <si>
    <t>Road Concreting at Brgy. Valencia, Ormoc City</t>
  </si>
  <si>
    <t>REHABILITATION OF FARM TO MARKET ROAD LOCATED AT BARANGAY BIGBIGA, SUDIPEN, LA UNION</t>
  </si>
  <si>
    <t>Purchase of One (1) Unit Bottle and Glass Crusher to be used at the MENRO Office of this Municipality</t>
  </si>
  <si>
    <t>Provision of Potable Water System</t>
  </si>
  <si>
    <t>Contract ID No. 19CSK00041 – Consultancy Services for the Conduct of Geotechnical &amp; Geological Investigation and Survey Works for the Proposed Construction of Sabo Dam on Upper and Lower Dinanggasan R</t>
  </si>
  <si>
    <t>20GEB0093: Procurement/Supply/Delivery of Desktop Computer for use of DPWH – Mindoro Occidental DEO Administrative Section (Records Unit)</t>
  </si>
  <si>
    <t>UTILITY VEHICLE FOR MDRRMO (Rescue Vehicle)</t>
  </si>
  <si>
    <t>SUPPLY AND DELIVERY OF HARDWARE MATERIALS FOR THE CONSTRUCTION OF WATER SYSTEM OF SITIO SAN ROQUE,BARANGAY MAGSAYSAY,SIBAGAT,AGUSAN DEL SUR</t>
  </si>
  <si>
    <t>Repair/Rehabilitation of Valenzuela-Obando-Meycauayan Flood Control Structures along Palasan River (Panghulo to Paliwas Sec.) Obando, Bulacan</t>
  </si>
  <si>
    <t>INSTALLATION OF FIBER GLASS BASKETBALL GOAL @ BRGY. NEW LABANGAN, LABANGAN ZDS</t>
  </si>
  <si>
    <t>Emergency Shelter Assistance</t>
  </si>
  <si>
    <t>20BC0208-Repair/Maintenance of DOJ Building Regional Trial Court Main Building</t>
  </si>
  <si>
    <t>Procurement of office Supplies for the Municipal Health Services Office use</t>
  </si>
  <si>
    <t>20BC0206-Repair/Maintenance of DILG Building Provincial Public Safety Company 2nd Maneuver Platoon Building</t>
  </si>
  <si>
    <t>Farm Inputs (Urea)  -  Ambugat</t>
  </si>
  <si>
    <t>20GM0064 (RE-BIDDING) - Improvement of Bridge, Sit-an Creek at Brgy. East, Candoni, Negros Occidental</t>
  </si>
  <si>
    <t>Lease of Private Vehicle with Driver as Temporary Service Vehicle of Bataan Lending Center</t>
  </si>
  <si>
    <t>CIVIL WORKS FOR THE CONCRETING OF ROAD GAP BETWEEN P-3 AND P-4 BRGY. STO. NIÑO, MAGALLANES, AGUSAN DEL NORTE</t>
  </si>
  <si>
    <t>PROCUREMENT OF ONE (1) SET BUTT FUSION MACHINE</t>
  </si>
  <si>
    <t>IMPROVEMENT OF DRAINAGE CANAL (BOQUET ST.)</t>
  </si>
  <si>
    <t>PURCHASE OF MEDICINES (2ND SEMESTER-2020) FOR THE MUNICIPALITY OF SUDIPEN, LA UNION</t>
  </si>
  <si>
    <t>Invitation to bid for the supply and delivery of one (1) set brand new garbage granulator with brick making machine</t>
  </si>
  <si>
    <t>INSTALLATION OF PUBLIC ADDRESS SYSTEM</t>
  </si>
  <si>
    <t>SPLIT TYPE AIRCON</t>
  </si>
  <si>
    <t>Repair/Improvement of SP Offices at New Capitol Building Brgy. Dalakit Catarman, Northern Samar</t>
  </si>
  <si>
    <t>Improvement of Sinonoc Public Buildings</t>
  </si>
  <si>
    <t>For Brgy. Can-ayan, Sitio Kilap agan use. Improvement of Sitio office</t>
  </si>
  <si>
    <t>Concreting of Farm to Market Road (Sitio 3-Market Road</t>
  </si>
  <si>
    <t>Purchase of 1 Unit Aircondition (2.5 hp. Split Type) for Agricultural services office</t>
  </si>
  <si>
    <t>COMPUTER DESK TOP</t>
  </si>
  <si>
    <t>Const. of Gymnasium located at Sitio Kilongag, Brgy. Bolila, Malita, Davao Occidental</t>
  </si>
  <si>
    <t>Supply &amp; Delivery of One (1) Unit Brand New Emergency Medical Service Vehicle for the Ormoc Bureau of Fire Protection, CDRRMO, Ormoc City</t>
  </si>
  <si>
    <t>Fabrication of Canal Grills</t>
  </si>
  <si>
    <t>Rehabilitation of Multi-Purpose Building at Lake Pinamaloy Area  In Don Carlos, Bukidnon (Straight Contract)</t>
  </si>
  <si>
    <t>Construction of Day Care Center at Brgy Calamay</t>
  </si>
  <si>
    <t>CONSTRUCTION OF WOMEN'S LIVELIHOOD &amp; RECREATIONAL CENTER</t>
  </si>
  <si>
    <t>REHABILITATION OF ROAD, BRGY. MANGILAG SUR, CANDELARIA, QUEZON</t>
  </si>
  <si>
    <t>CONSTRUCTION OF MULTI-PURPOSE BUILDING, BRGY. MAYABOBO, CANDELARIA, QUEZON</t>
  </si>
  <si>
    <t>Construction of Two-Storey Hall of Justice Building,  Don Carlos, Bukidnon – Phase II (Straight Contract)</t>
  </si>
  <si>
    <t>STOCK FILE</t>
  </si>
  <si>
    <t>Completion of Evacuation Center, Guinbaliwan, New Washington, Aklan</t>
  </si>
  <si>
    <t>Procurement of Rescue Equipment and Supplies</t>
  </si>
  <si>
    <t>Improvement of Dadivas Civic Center, Pob. Ilawod, Panitan, Capiz (20% IRA 2020)</t>
  </si>
  <si>
    <t>Purchase of 1 Unit Laptop for use by the Budget Office</t>
  </si>
  <si>
    <t>PURCHASE OF OFFICE SUPPLIES AND MATERIALS</t>
  </si>
  <si>
    <t>Repair/Improvement of Emergency Room at G.B. Tan Memorial Hospital Laoang, Northern Samar</t>
  </si>
  <si>
    <t>PURCHASE OF MEDICAL SUPPLIES (2ND SEMESTER-2020) FOR THE MUNICIPALITY OF SUDIPEN, LA UNION</t>
  </si>
  <si>
    <t>PURCHASE OF RELIEF SUPPLIES FOR THE MDRRM OPERATION CENTER OF THE MUNICIPALITY OF SUDIPEN, LA UNION</t>
  </si>
  <si>
    <t>BALIK ESKWELA PROGRAM</t>
  </si>
  <si>
    <t>Improvement of Health Center at Phase 3 Site, Brgy. Paliparan III, City of Dasmarinas, Cavite</t>
  </si>
  <si>
    <t>Const. of Multi-Purpose Building located at Lais Capitol Complex (Motorpool), Malita, Davao Occidental</t>
  </si>
  <si>
    <t>SUPPLY AND DELIVERY OF VARIOUS PHARMACEUTICAL DRUGS, MEDICINES AND CONTRAST MEDIA (NEGOTIATED PROCUREMENT- TWO FAILED BIDDING)</t>
  </si>
  <si>
    <t>Concreting &amp; Improvement of Municipal Streets/Roads,  Municipal Hall Access Road, Diffun, Quirino</t>
  </si>
  <si>
    <t>Supply and Delivery of S/S Submersible Pump</t>
  </si>
  <si>
    <t>CONSTRUCTION OF TWO  (2 ) STOREY OFFICE AND TRAINING CENTER, BRGY. MASALUKOT III, CANDELARIA, QUEZON</t>
  </si>
  <si>
    <t>Supply and Delivery of Spare Pump and Pump Accessories ( F-018-0383-20 )</t>
  </si>
  <si>
    <t>CONSTRUCTION/REHABILITATION/MAINTENANCE OF SANITARY LANDFILL (COMPLETION WORKS ), BRGY. MASALUKOT III, CANDELARIA, QUEZON</t>
  </si>
  <si>
    <t>REPAIR/EXPANSION OF MULTI-PURPOSE BUILDING, BRGY. MASALUKOT I, CANDELARIA, QUEZON</t>
  </si>
  <si>
    <t>PEACE AND ORDER AND PUBLIC SAFETY VEHICLE</t>
  </si>
  <si>
    <t>INSTALLATION OF CONCRETE DRAINAGE SYSTEM OF TAMBUNAN - STA. LUCIA TOURISM ROAD</t>
  </si>
  <si>
    <t>Medium-Term Information and Communication Technology Harmonization Initiative (MITHI)</t>
  </si>
  <si>
    <t>20FF0094 - Expansion of Bombon Public Market, San Jose, Bombon, Camarines Sur</t>
  </si>
  <si>
    <t>PURCHASE OF BOOKS / LEARNING MATERIALS FOR CHILD DEVELOPMENT CENTER (DAYCARE PUPILS)</t>
  </si>
  <si>
    <t>Proposed Development of Municipal Cemetery in Norte, Don Carlos, Bukidnon – Phase II (Straight Contract)</t>
  </si>
  <si>
    <t>Construction Materials (Construction of Drainage Canal(BAYBAYContinuation))</t>
  </si>
  <si>
    <t>PEO-2020-0173 PR2020-0436 INVITATION TO BID FOR THE PROCUREMENT OF LABOR, MATERIALS, AND EQUIPMENT FOR THE REHABILITATION AND IMPROVEMENT OF PEO BUILDING</t>
  </si>
  <si>
    <t>MUNICIPAL ROAD CONCRETING OF PUROK 2(ALONG MORESCA RESIDENCE TO SERRANO RESIDENCE)</t>
  </si>
  <si>
    <t>WATER SUPPLY SYSTEM (PHASE I), BRGY. PAHINGA SUR, CANDELARIA, QUEZON</t>
  </si>
  <si>
    <t>PROCUREMENT OF MULTI-FUNCTIONAL COPIER FOR VARIOUS SCHOOLS IN THE MUNICIPALITY OF BINALBAGAN (DISTRICT 1 &amp; 2) NEGROS OCCIDENTAL</t>
  </si>
  <si>
    <t>Procurement of 450 liters of Insecticide for use to control the fall army worm (FAW) in the flint corn production project</t>
  </si>
  <si>
    <t>Leachate Pond Completion at Sanitary Landfill</t>
  </si>
  <si>
    <t>Improvement of ECO-PARK Peripheral Fencing (28-Span), Brgy. Intampilan, Panitan, Capiz (20% 2018)</t>
  </si>
  <si>
    <t>Fabrication of Steel Gate at Provincial Sports Center in Brgy. Cawayan, Catarman, Northern Samar</t>
  </si>
  <si>
    <t>SUPPLY AND DELIVERY OF SERVICE VEHICLE, MUNICIPAL ENGINEERING OFFICE, LGU CANDELARIA, QUEZON</t>
  </si>
  <si>
    <t>REPAIR OF MULTI-PURPOSE BUILDING STEEL STRUCTURE, BRGY. STA. CATALINA NORTE ELEMENTARY SCHOOL, CANDELARIA, QUEZON</t>
  </si>
  <si>
    <t>Concreting &amp; Improvement of Municipal Streets/Roads,  EDSA Portion from Hipolito St., Diffun, Quirino</t>
  </si>
  <si>
    <t>Supply, delivery and installation of One (1) unit Shrink Wrapping Machine per BSP Specifications</t>
  </si>
  <si>
    <t>SUPPLY AND DELIVERY OF OUTDOOR LED DISPLAY, OFFICE OF THE MAYOR, LGU CANDELARIA, QUEZON (REBID)</t>
  </si>
  <si>
    <t>Supply/Delivery of Motorized Banca</t>
  </si>
  <si>
    <t>Supply and delivery of one (1) unit Dump truck for LGU Pilar, Bataan</t>
  </si>
  <si>
    <t>Farm Mechanization as Climate Change Adaptation Measures to Build the Resiliency of the ARBs under SLSDAA-CFFPS</t>
  </si>
  <si>
    <t>Supply, delivery and installation of Barcode Scanner, PDT per BSP Specifications</t>
  </si>
  <si>
    <t>Procurement of Agricultural Machinery and Equipment for Establishment of Flint Corn Processing Center</t>
  </si>
  <si>
    <t>Concreting &amp; Improvement of Municipal Streets/Roads,  Pimentel Drive Extension, Diffun, Quirino</t>
  </si>
  <si>
    <t>Establishment of Automated Weather Station Sitio Tabuk, Brgy. E. Laodenio, Mapanas, Northern Samar</t>
  </si>
  <si>
    <t>PROCUREMENT OF PHOTOCOPIER AND DOCUMENT MANAGEMENT SYSTEM WITH CAPTURE SCANNER (ITB No. 2020-158)-(bpmc)</t>
  </si>
  <si>
    <t>REPAIR AND IMPROVEMENT OF MULTI-PURPOSE BUILDING, MUNICIPAL COMPOUND, CANDELARIA, QUEZON</t>
  </si>
  <si>
    <t>Concreting of Suarez – Salubsob FMR and Buko By-pass road</t>
  </si>
  <si>
    <t>Establishment of Stock Room for Livestock and Poultry Multiplier Farm</t>
  </si>
  <si>
    <t>2020-063, CONSTRUCTION OF WATER SYSTEM LEVEL II AT PUROK BOUGAINVILLE,  BUAL NORTE, MIDSAYAP, COTABATO</t>
  </si>
  <si>
    <t>Repair of Gamma Bridge</t>
  </si>
  <si>
    <t>Construction of Sumalag School Road &amp; Construction of Road to Water Reservoir – Bolisong</t>
  </si>
  <si>
    <t>PURCHASE OF BOOKS / LEARNING MATERIALS FOR KINDERGARTEN PUPILS</t>
  </si>
  <si>
    <t>Supply/Delivery of  Tubeless Tire</t>
  </si>
  <si>
    <t>2020-062, CONSTRUCTION OF 3 UNITS WATER SYSTEM LEVEL II AT PUROK 1, 3 AND 7,   ILBOCEAN, MIDSAYAP, COTABATO</t>
  </si>
  <si>
    <t>Farm Mechanization as Climate Change Adaptation Measures to Build the Resiliency of ARBs under SLSDAA-CRFPS</t>
  </si>
  <si>
    <t>Supply and delivery of Twenty Five (25) pcs Ammunition Bag, heavy duty</t>
  </si>
  <si>
    <t>OPENING OF FARM TO MARKET ROAD, Barangay Mabilbila Sur, SANTA</t>
  </si>
  <si>
    <t>PROCUREMENT FOR THE 30,260 LITERS OF DIESOLINE FOR THE REHABILITATION OF LOCAL ROADS (3RD QUARTER).</t>
  </si>
  <si>
    <t>SUPPLY AND DELIVERY OF LOCAL DISASTER RISK INFORMATION SYSTEM, MDRRMO, LGU CANDELARIA, QUEZON (REBID)</t>
  </si>
  <si>
    <t>Construction Materials (Construction of Drainage Canal(SACA Continuation))</t>
  </si>
  <si>
    <t>ACQUISITION OF PATROL VEHICLES</t>
  </si>
  <si>
    <t>SUPPLY AND DELIVERY OF MATERIALS FOR THE IMPLEMENTATION OF AQUAPONICS SYSTEM IN URBAN AREAS USING RENEWABLE ENERGY</t>
  </si>
  <si>
    <t>Repainting (including Roof Farming) and Repair of Gutter for Covered Court (Re-Bid)</t>
  </si>
  <si>
    <t>2020-065, CONSTRUCTION OF (14M X 18M) MULTI-PURPOSE DRYING PAVEMENT AT ANONANG, MIDSAYAP, COTABATO</t>
  </si>
  <si>
    <t>One (1) lot Neuro-Psychological Test for 29 Security Division personnel per BSP Terms of Reference</t>
  </si>
  <si>
    <t>PROCUREMENT OF PNP RESPONSE VEHICLE, MALAPATAN, SARANGANI PROVINCE</t>
  </si>
  <si>
    <t>Upgading of MDRRMC operation center, Dadivas Civic Center, Poblacion Ilawod, Panitan, Capiz (MDDRM Fund 2020)</t>
  </si>
  <si>
    <t>Const. of Gym/Evacuation Center located at Buca, Sta. Maria, Davao Occidental</t>
  </si>
  <si>
    <t>REPAIR/IMPROVEMENT OF ROAD, BRGY. BUKAL SUR - BUENAVISTA WEST, CANDELARIA, QUEZON</t>
  </si>
  <si>
    <t>Repiping Work of AHU Water Supply in all Quadrants.</t>
  </si>
  <si>
    <t>INSTALLATION OF RADIO TOWER AND ANTENNA AND RELOCATION OF RADIO STATION,SIBAGAT,AGUSAN DEL SUR</t>
  </si>
  <si>
    <t>2020-066, CONSTRUCTION OF WATER SYSTEM AT DILANGALEN NATIONAL HIGH SCHOOL, POBLACION 1, MIDSAYAP, COTABATO</t>
  </si>
  <si>
    <t>RFQ No. 20-0550 NP-SVP - Supply and Delivery of Materials/Devices for the Operation of Audio-Visual and Lighting System</t>
  </si>
  <si>
    <t>Rehabilitation of Local Road – Perimeter Road along Public Market, Poblacion Sur, Don Carlos, Bukidnon (Straight Contract)</t>
  </si>
  <si>
    <t>Acquisition of Laptop (for Engineering Design)</t>
  </si>
  <si>
    <t>Healthcare Waste Management Program (Rehabilitation of Sewerage Treatment Plant) at GOTMH, Malacampa, Camiling, Tarlac (Rebid) - B-CW-2020-023</t>
  </si>
  <si>
    <t>Rehabilitation of Handpump, Barangay 5</t>
  </si>
  <si>
    <t>Rehabilitation of Barangay Tanod Hall (Finishing), Barangay 5</t>
  </si>
  <si>
    <t>PROCUREMENT OF PLANTING MATERIALS</t>
  </si>
  <si>
    <t>CONFERENCE SYSTEM</t>
  </si>
  <si>
    <t>20CSDM06 – Conduct of Geotechnical Investigation along Piris River and Mulanay River in Buenavista and Mulanay, Quezon</t>
  </si>
  <si>
    <t>20CSDM05 – Conduct of Geotechnical Investigation of San Andres - San Narciso Road</t>
  </si>
  <si>
    <t>ITB CLASROOM TABLE 35 PCS AMOUNTING TO 315,000.00</t>
  </si>
  <si>
    <t>20L00032 : Reconstruction to Concrete Pavement – Jct. R. Magsaysay Ave. – L. Ma. Guerrero St. - Guzman St. – Vinzon St. – T. Palma Gil St. – Jct. Dacudao – Jct. J.P. Cabaguio Ave., Davao City</t>
  </si>
  <si>
    <t>CONSTRUCTION OF MULTI-PURPOSE BUILDING AT BRGY. SAMPALOC I, CITY OF DASMARIÑAS, CAVITE</t>
  </si>
  <si>
    <t>REHABILITATION OF SAN JOSE - CASTRO ROAD (SAN JOSE SECTION) LOCATED AT BARANGAY SAN JOSE, SUDIPEN, LA UNION</t>
  </si>
  <si>
    <t>20CSDM04 – Conduct of Geotechnical Investigation for Basiao Seawall, Agdangan River, Poblacion and Pansoy Seawall, Talisay River, in Quezon III L.D</t>
  </si>
  <si>
    <t>SUPPLY &amp; DELIVERY OF MOTOR VEHICLE (MOTORCYCLE)</t>
  </si>
  <si>
    <t>Supply and Delivery of Consolidated ICT Equipment, IT Supplies and Photocopier (Sub-lot) of Bukidnon State University</t>
  </si>
  <si>
    <t>Improvement of Sewerage Treatment Plant at Tarlac Provincial Hospital, San Vicente, Tarlac City (Rebid) - B-CW-2020-022</t>
  </si>
  <si>
    <t>SUPPLY, DELIVERY, INSTALLATION AND COMMISSIONING OF CCTV CAMERAS</t>
  </si>
  <si>
    <t>PURCHASE OF BRAND-NEW PICKUP TYPE MOTOR VEHICLES (REBID)</t>
  </si>
  <si>
    <t>20L00148 : Construction of Concrete Road – Jct. R. Magsaysay Ave. – L. Ma. Guerrero St. - Guzman St. – Vinzon St. – T. Palma Gil St. – Jct. Dacudao – Jct. J.P. Cabaguio Ave., Davao City</t>
  </si>
  <si>
    <t>Concreting of Farm to Market Road at Sitio Malamig, Barangay Leido, Victoria, Oriental Mindoro</t>
  </si>
  <si>
    <t>Supply and delivery of materials for Street Lighting at Sitio Sta. Cruz 				   Barangay Poblacion, Alcoy, Cebu</t>
  </si>
  <si>
    <t>Supply and Delivery of 6,000 Packs of Lure (Pheromone) for Use in the Management of Fall Army Worm under 2020 STO - QRF FAW</t>
  </si>
  <si>
    <t>REHABILITATION OF CASTRO – PORPORIKET ROAD LOCATED AT BARANGAY CASTRO &amp; PORPORIKET, SUDIPEN, LA UNION</t>
  </si>
  <si>
    <t>CONCRETE PAVING OF FARM TO MARKET ROAD (SITIO MINDANAO) LOCATED AT BARANGAY NAMALTUGAN, SUDIPEN, LA UNION</t>
  </si>
  <si>
    <t>CONSTRUCTION OF DRAINAGE CANAL WITH COVER AT TUNGKIL, MINGLANILLA, CEBU</t>
  </si>
  <si>
    <t>IMPROVEMENT  OF BRGY. WARD I COVERED COURT/ MULTI-PURPOSE BUILDING (PHASE III) AT BRGY. WARD I, MINGLANILLA, CEBU</t>
  </si>
  <si>
    <t>Concreting of Roads: Centro West(Roads and Canals)</t>
  </si>
  <si>
    <t>CONSTRUCTION OF SAN GASPAR WAREHOUSE</t>
  </si>
  <si>
    <t>Procurement of Meals/Snacks</t>
  </si>
  <si>
    <t>Construction of Multi-purpose Building</t>
  </si>
  <si>
    <t>20CSAE01: SUBSURFACE EXPLORATION FOR THE PROPOSED 2021 PROJECTS WITHIN THE FIRST DISTRICT OF LA UNION</t>
  </si>
  <si>
    <t>Supply &amp; Delivery of Office Supplies for Tourism Office, Rodriguez, Rizal</t>
  </si>
  <si>
    <t>SUPPLY AND DELIVERY OF OFFICE SUPPLIES FOR 1ST QUARTER 2020</t>
  </si>
  <si>
    <t>Purchase of Diesel and Lubricants for Rehabilitation of Barangay Roads, Hilop Poblacion, Cabanglasan, Bukidnon Lot 1,2</t>
  </si>
  <si>
    <t>Supply and delivery of one (1) unit backhoe for LGU Pilar, Bataan</t>
  </si>
  <si>
    <t>Road Concreting @ Sitio Lomboy</t>
  </si>
  <si>
    <t>Enhancing Rice Agricultural Productivity through thr Provision of Agri-extension and FArm Mechanization to DAR Assisted ARBS under MCBFPS-CRFPS</t>
  </si>
  <si>
    <t>Purchase &amp; Delivery of Medical Equipment for Ilocos District Hospitals-Tagudin, Sta. Lucia &amp; Narvacan Ilocos Sur</t>
  </si>
  <si>
    <t>Purchase of Materials for Maintenance of Roads and Bridges at Cabanglasan Area 2020 Lot 1,2,3</t>
  </si>
  <si>
    <t>Concrete Pav. Construction Dawis - San Sebastian</t>
  </si>
  <si>
    <t>PVC CARD PRINTER AND LAMINATOR</t>
  </si>
  <si>
    <t>Enhancing Rice Productivity through the Provision of Agei-extension and Farm Mechanization to DAR Assisted ARBs under MCBFPS-CRFPS</t>
  </si>
  <si>
    <t>ITB No. 20-24 Procurement of Maintenance Supplies</t>
  </si>
  <si>
    <t>OPENING OF FARM TO MARKET ROAD, Barangay Bucalag, SANTA</t>
  </si>
  <si>
    <t>Proposed Road Concreting/Rehabilitation Abad St,Chrysanthemum, Brgy. Chrysanthemum</t>
  </si>
  <si>
    <t>CONSTRUCTION /INSTALLATION OF STREET LIGHTING SYSTEM @ GELERANG KAWAYAN</t>
  </si>
  <si>
    <t>ITB No. 20-25 Negotiated Procurement of Calibration Services for Medical Equipment (Lot Bidding)</t>
  </si>
  <si>
    <t>CONSTRUCTION OF NATIONAL CHILD DEVELOPMENT CENTER</t>
  </si>
  <si>
    <t>Purchase &amp; Delivery of Food Packs for Adults &amp; Nutri Packs for Children for distribution Provincewide</t>
  </si>
  <si>
    <t>Supply &amp; Delivery of Mini Dumptruck (Brand New)</t>
  </si>
  <si>
    <t>BID 2020-06-91 DCS LAPTOP</t>
  </si>
  <si>
    <t>GD2020-06-008_Supply and Delivery of Ninety (90) Cylinders Liquid Gas Chlorine (68kgs./cylinder) for Water Treatment Use</t>
  </si>
  <si>
    <t>Purchase &amp; Delivery of Medical Equipment for Ilocos Sur Provincial Hospital-Gabriela Silang &amp; Ilocos District Hospitals-Sinait &amp; Magsingal Ilocos Sur</t>
  </si>
  <si>
    <t>IMPROVEMENT OF BRGY HALL &amp; LUPON OFFICE (TILES, PAINTING &amp; ROOFING)</t>
  </si>
  <si>
    <t>Purchase of Materials for Construction of Multi-Purpose Building X Poblacion ,Cabanglasan, Bukidnon</t>
  </si>
  <si>
    <t>2020-069, CONCRETING OF ROAD FROM LOWER KATINGAWAN TO BAGUMBA, LOWER KATINGAWAN, MIDSAYAP, COTABATO</t>
  </si>
  <si>
    <t>Rehab/Repair of Cottages and Pavillion at Picnic Area</t>
  </si>
  <si>
    <t>Purchase of Materials for Construction of Multi-Purpose Building V (Perimeter Fence) Mandaing, Cabanglasan, Bukidnon</t>
  </si>
  <si>
    <t>Purchase of Materials for Construction of Multi-Purpose Building W (Perimeter Fence) Mauswagon, Cabanglasan, Bukidnon</t>
  </si>
  <si>
    <t>Purchase of Materials for Construction of Multi-Purpose Building Q (Perimeter Fence)Cabulohan, Cabanglasan, Bukidnon</t>
  </si>
  <si>
    <t>Procurement of 1-Unit Brand New Ambulance</t>
  </si>
  <si>
    <t>Labor and Materials for the Improvement/Construction of Lined Canal at San Isidro, City of San Fernando, Pampanga</t>
  </si>
  <si>
    <t>SUPPLY OF MATERIALS FOR THE CONCRETE ROAD REPAIR AT ALIBANGSAY</t>
  </si>
  <si>
    <t>Purchase of Materials for Construction of Multi-Purpose Building U Canangaan,Cabanglasan, Bukidnon Lot 1,2</t>
  </si>
  <si>
    <t>BID-2020-06-92 DCS SIM CARDS</t>
  </si>
  <si>
    <t>Supply and Delivery of Agricultural Supplies and Materials for the NICER Project</t>
  </si>
  <si>
    <t>Purchase of Materials for Construction of Multi-Purpose Building T Imbatug,Cabanglasan, Bukidnon</t>
  </si>
  <si>
    <t>CONSTRUCTION OF CAGLAYAG ELEM. SCHOOL FENCE</t>
  </si>
  <si>
    <t>Provision of Pedicab (Small Transport) Sewing Machine &amp; Motorboat Engines to Selected Informal Sector Workers</t>
  </si>
  <si>
    <t>Proposed Patching and Asphalt Overly Along Hernandez St. Purok 7 Pulo, Brgy. Landayan</t>
  </si>
  <si>
    <t>PROJECT COVID-MODULES</t>
  </si>
  <si>
    <t>Office Supplies for all LGU Offices for the 3rd Quarter of 2020</t>
  </si>
  <si>
    <t>SUPPLY AND DELIVERY OF CONSTRUCTION MATERIALS FOR CANAL LINING</t>
  </si>
  <si>
    <t>BID 2020-06-90- DCS VARIOUS TABLETS</t>
  </si>
  <si>
    <t>RFQ-GS-20200609-01 - Subscription and Installation of IP VPN Lines for Three (3) LANDBANK Offices and Five (5) Offsite ATMs</t>
  </si>
  <si>
    <t>Construction of Access Road to Bayongon Housing Site</t>
  </si>
  <si>
    <t>20KI0089 Contract Name	: Concreting of Brgy. Roxas FMR,  			  Brgy. Roxas, Aloran, Misamis Occidental</t>
  </si>
  <si>
    <t>Supply and Delivery of Various Materials for the Installation of Fire Hydrant</t>
  </si>
  <si>
    <t>Badiangan to Villa Flores Road Opening</t>
  </si>
  <si>
    <t>PROCUREMENT FOR THE SUPPLY AND DELIVERY OF NINETY (90) CONTAINERS OF BIO-ENZYME FOR SANITARY LANDFILL</t>
  </si>
  <si>
    <t>Purchase of Materials for Construction Steel Goal at Pangian, Tagawili, Bawa Cabanglasan, Bukidnon</t>
  </si>
  <si>
    <t>Supply and Delivery of 1500 packs Fortified Powdered Milk (600gms) and 122 packs 370gms Fortified Powdered Milk &amp; 5 Kilos Rice</t>
  </si>
  <si>
    <t>LABOR &amp; MATERIALS FOR UPGRADING OF ALLEY WITH IMPROVEMENT OF DRAINAGE CANAL, BLK. 27A PHASE 2 AREA 1, BRGY. NBBS DAGAT-DAGATAN, NAVOTAS CITY</t>
  </si>
  <si>
    <t>20KI0088 Contract Name	: Concreting of Brgy. Usocan to Brgy. Bato FMR,  			  Brgy. Usocan and Brgy. Bato, Plaridel, Misamis Occidental</t>
  </si>
  <si>
    <t>Rebidding for the Repair and Renovation of Second Floor Bonifacio P. Sibayan Hall</t>
  </si>
  <si>
    <t>LABOR &amp; MATERIALS FOR UPGRADING OF ALLEY WITH IMPROVEMENT OF DRAINAGE CANAL, BLK. 33 PHASE 2 AREA 2, BRGY. NBBS DAGAT-DAGATAN, NAVOTAS CITY</t>
  </si>
  <si>
    <t>SUPPLY AND DELIVERY OF VARIOUS LABORATORY SUPPLIES AND MATERIALS (LINE ITEM BIDDING)</t>
  </si>
  <si>
    <t>Supply and Delivery of Laboratory Equipment for the Native Pig NICER project</t>
  </si>
  <si>
    <t>Purchase of Ambulance (Hi-Roof), Lambunao, Iloilo</t>
  </si>
  <si>
    <t>CONSTRUCTION / ESTABLISHMENT OF TOURISM INFORMATION AND PASALUBONG CENTER</t>
  </si>
  <si>
    <t>Purchase of Materials for Construction Calacapan Swimming Pool (Additional) Cabanglasan, Bukidnon</t>
  </si>
  <si>
    <t>CONCRETING OF BARANGAY ROAD AT BARANGAY SAWANG</t>
  </si>
  <si>
    <t>Provision of Security Services</t>
  </si>
  <si>
    <t>LOT 1 - MOBILE POSTPAID PLAN OF THE PROCUREMENT OF TWO (2) YEAR SUBSCRIPTION FOR TWO (2) LOTS OF MOBILE POSTPAID AND PREPAID PLAN FOR PAGCOR OFFICERS AND KEY PERSONNEL - ITB NO. PB20-04-034COR</t>
  </si>
  <si>
    <t>Purchase of Diesel for the maint. of govt. vehicles @ RHU, MEO and MAO Office (2nd qrtr. 2020)</t>
  </si>
  <si>
    <t>Supply and Delivery of Mineral Water for Nutrtion and Dietetics Service</t>
  </si>
  <si>
    <t>72 heads Swine (Gilts and Boars), etc.</t>
  </si>
  <si>
    <t>Purchase of Construction materials</t>
  </si>
  <si>
    <t>Completion of Road Concreting at Sitio Ruston, San Antonio Ogbon to La Opinion, Sitio Ruston San Antonio Ogbon, Nabua, Camarines Sur</t>
  </si>
  <si>
    <t>SUPPLY &amp; DELIVERY OF PICK UP TYPE VEHICLE</t>
  </si>
  <si>
    <t>Purchase of Materials for Pasalubong Center Lot 1,2</t>
  </si>
  <si>
    <t>LOT 2 - MOBILE PREPAID PLAN OF THE PROCUREMENT OF TWO (2) YEAR SUBSCRIPTION FOR TWO (2) LOTS OF MOBILE POSTPAID AND PREPAID PLAN FOR PAGCOR OFFICERS AND KEY PERSONNEL - ITB NO. PB20-04-034COR</t>
  </si>
  <si>
    <t>Purchase of Generator Set to for the use of Municipal Slaughterhouse, Brgy. Pandan, Lambunao, Iloilo</t>
  </si>
  <si>
    <t>Concreting of Local Road at Barangay Angustia Going to Brgy. Salvacion Que Gatos, Nabua, Camarines Sur</t>
  </si>
  <si>
    <t>Supply/Delivery of Tire with Tube</t>
  </si>
  <si>
    <t>Construction of Ticket Booth Barangay Cau-ayan, Pototan, Iloilo</t>
  </si>
  <si>
    <t>Construction of Multi-purpose Hall</t>
  </si>
  <si>
    <t>Repair / Rehabilitation of Multi-Purpose Hall</t>
  </si>
  <si>
    <t>Supply and Delivery of One (1) Lot Various Materials for the Improvement of Municipal Building</t>
  </si>
  <si>
    <t>Construction of Covered Court, Barangay Apasan</t>
  </si>
  <si>
    <t>200 sets Drift Gill Net</t>
  </si>
  <si>
    <t>Drilling of one Deep Well through Percussion Drilling Method</t>
  </si>
  <si>
    <t>SUPPLY AND DELIVERY OF COMMUNICATION EUQIPMENT'S (CELLPHONES) - SBO</t>
  </si>
  <si>
    <t>IB No. 2003-206 Proc. of Goods (Operational Tent)(Rebid)</t>
  </si>
  <si>
    <t>Purchase and Delivery of 2 unit Mini Elf(Multi-Purpose Vehicle)</t>
  </si>
  <si>
    <t>PROCUREMENT OF ONE (1) UNIT RESCUE VEHICLE (VAN)</t>
  </si>
  <si>
    <t>(PEO) INVITATION TO BID FOR THE SUPPLY AND DELIVERY OF VEHICLE PARTS (III) FOR   HEAVY EQUIPMENT   FOR THE PROVINCIAL ENGINEERING OFFICE (PEO)</t>
  </si>
  <si>
    <t>Invitation to bid for Completion of Public Toilet</t>
  </si>
  <si>
    <t>Procurement of 3 set Door Knob etc.</t>
  </si>
  <si>
    <t>Sari-sari Store</t>
  </si>
  <si>
    <t>IB No. 2005-299 Proc. of Goods (Water Meter and Others)(Rebid)</t>
  </si>
  <si>
    <t>Supply and Delivery of  Animal Dispersal (Chicken) - MAO</t>
  </si>
  <si>
    <t>Construction of Lanzones Park</t>
  </si>
  <si>
    <t>Supply and Delivery of Brand New Electric Generator Set (Trailer Mounted)</t>
  </si>
  <si>
    <t>CONSTRUCTION OF MATERIAL RECOVERY FACILITY</t>
  </si>
  <si>
    <t>Design and Build for the Construction of Alternative Water Supply (Level III)</t>
  </si>
  <si>
    <t>Const. of Sidewalk (1 Job), Loberiza St. (Going to National Highway), Lambunao, Iloilo</t>
  </si>
  <si>
    <t>Concreting of Local Road, Sitio Sogod, Sto. Domingo, Nabua, Camarines Sur</t>
  </si>
  <si>
    <t>PROPOSED FARM TO MARKET ROAD CONCRETING   (MACATCATUIT – SUBOL ROAD, GUIMBA, NUEVA ECIJA)</t>
  </si>
  <si>
    <t>20FH0096 - REPAIR/MAINTENANCE OF DPWH BUILDING, MAIN OFFICE BUILDING, CATANDUANES DEO, VIRAC, CATANDUANES</t>
  </si>
  <si>
    <t>Acquisition of 6 units Motorcycle</t>
  </si>
  <si>
    <t>PROCUREMENT OF SUPPLIES/MATERIALS FOR THE IMPROVEMENT OF ELIAS K. BULUT MEMORIAL GYMNASIUM (ELECTRICAL WIRING, LIGHTING, MAIN SERVICE)</t>
  </si>
  <si>
    <t>Supply and Delivery of One (1) Lot Various Materials for Repair and Maintenance of Artesian Wells, Reservoir, Pumping Stations and Conduits</t>
  </si>
  <si>
    <t>Construction of Rain Water Collectors in Public Facilities</t>
  </si>
  <si>
    <t>supply and delivery of various construction materials for the extension of Protection dike at Barangay Tawagan</t>
  </si>
  <si>
    <t>20H00062 - Construction/Repair/Rehabilitation/Improvement of Various Infrastructure including Local Projects-Structural Improvement of Public Buildings and Construction of Evacuation Centers-Construct</t>
  </si>
  <si>
    <t>IMPROVEMENT OF STA. MARCELA MULTI-PURPOSE BUILDING (EVACUATION CENTER)</t>
  </si>
  <si>
    <t>Improvement of  Day Care Center</t>
  </si>
  <si>
    <t>supply and delivery 2000 liters diesel fuel for the filling of barangay site of barangay Poblacion</t>
  </si>
  <si>
    <t>RFQ - Assorted Construction Materials for use for Flood Control Activities - PR No. 2020-06-0113 dated 6-15-20</t>
  </si>
  <si>
    <t>1 unit Comprehensive School Management Suite (ISM-SUITE) for TPC Registrar's Office Data Server (School Management System)</t>
  </si>
  <si>
    <t>FOD-R-20-2203: Procurement of One (1) Unit Multi-rotor Drone to be used for Documentation of Rice Activities and Rapid Assessment of Damages on Rice during Calamities</t>
  </si>
  <si>
    <t>20PF0068: Construction / Rehabilitation of Flood Mitigation Facilities within Major River Basins &amp; Principal Rivers: Construction of Copias Flood Control</t>
  </si>
  <si>
    <t>PURCHASE OF MEDICAL SUPPLIES FOR THIRD QUARTER</t>
  </si>
  <si>
    <t>supply and delivery of 2400 liters diesel fuel for filling of barangay site of barangay Poblacion</t>
  </si>
  <si>
    <t>20GFH0011 - SUPPLY AND DELIVERY OF OFFICE EQUIPMENT FOR USE IN THE DPWH-DEO CATANDUANES, VIRAC, CATANDUANES (PR#20-06-025 DATED 6/8/2020)</t>
  </si>
  <si>
    <t>PURCHASE OF MEDICINE SUPPLIES FOR THIRD QUARTER</t>
  </si>
  <si>
    <t>RFQ - Assorted Office Equipment for use for Maintenance Activities - PR No. 2020-06-0119</t>
  </si>
  <si>
    <t>20H00064 - Construction/Repair/Rehabilitation/Improvement of Various Infrastructure including Local Projects-Structural Improvement of Public Buildings and Construction of Evacuation Centers-Construct</t>
  </si>
  <si>
    <t>Supply and Delivery of Two unit Computer Desktop - MCRO</t>
  </si>
  <si>
    <t>20AD0096 : Construction (Completion) of Candon City Hospital        (Satellite ITRMC) Buildings, Candon City, Ilocos Sur</t>
  </si>
  <si>
    <t>Backyard Gardening in support to Covid 19</t>
  </si>
  <si>
    <t>RENEGOTIATION for the Procurement of Supply &amp; Delivery of Various NSIC Approved Rice Certified Seeds</t>
  </si>
  <si>
    <t>20H00063 - Construction/Repair/Rehabilitation/Improvement of Various Infrastructure including Local Projects-Structural Improvement of Public Buildings and Construction of Evacuation Centers-Construct</t>
  </si>
  <si>
    <t>20GCF0001 Procurement of Fuel/Fuel Additives &amp; Anti-Corrosive for use in Desilting of Digmala River, Bongabon, Nueva Ecija and for use in Transporting Medical Workers in Relation with COVID-19 and Typ</t>
  </si>
  <si>
    <t>RAED-20-1072(R1): Procurement of Various Office Supplies to be used in the DA-RFO7 offices in support to the Implementation of Various Projects</t>
  </si>
  <si>
    <t>PROCUREMENT OF CONSTRUCTION MATERIALS AND SUPPLIES USE FOR CONSTRUCTION OF PERIMETER FENCE – WATER SOURCE @ BARANGAY CALICAN</t>
  </si>
  <si>
    <t>PROPOSED CONSTRUCTION AND REPAIR OF BOX CULVERT</t>
  </si>
  <si>
    <t>Completion of Evacuation Center (Phase 1)</t>
  </si>
  <si>
    <t>PROCUREMENT OF EQUIPMENT FOR COE PHYSICS &amp; CHEMISTRY LABORATORY</t>
  </si>
  <si>
    <t>Procurement of Brand New Backhoe</t>
  </si>
  <si>
    <t>SMALL VALUE PROCUREMENT OF 2 PERIMETER FENCE</t>
  </si>
  <si>
    <t>SUPPLY AND DELIVERY OF ONE (1) UNIT PICK-UP AND ONE (1) UNIT PASSENGER VAN</t>
  </si>
  <si>
    <t>Supply and Delivery of Laboratory Equipment for VSU Main Campus</t>
  </si>
  <si>
    <t>REPAINTING OF BRGY GYM, BARANGAY HALL, DAY CARE CENTER &amp; WATER SYSTEM</t>
  </si>
  <si>
    <t>1 LOT IT SUPPLIES FOR CY 2020</t>
  </si>
  <si>
    <t>Use of RHU for nutrition month celebration</t>
  </si>
  <si>
    <t>Flood Control Project: Desilting/Channel Improvement of Talimundung River</t>
  </si>
  <si>
    <t>20H00067 - Construction/Repair/Rehabilitation/Improvement of Various Infrastructure including Local Projects-Structural Improvement of Public Buildings and Construction of Evacuation Centers-Construct</t>
  </si>
  <si>
    <t>Bid No. 20-0215 - PROCUREMENT OF RESCUE VEHICLE - MDRRMO (MUNICIPAL DISASTER RISK REDUCTION MANAGEMENT OFFICE)</t>
  </si>
  <si>
    <t>Supply and Delivery of Seedlings (Cacao &amp; Banana Com) - MAO</t>
  </si>
  <si>
    <t>Supply and Delivery of Computer Laptop during conduct evaluation on Brgy. Nutrition Plan for 35 barangays 2020</t>
  </si>
  <si>
    <t>Procurement of Service Vehicle for the Municipal Engineering Office</t>
  </si>
  <si>
    <t>PROPOSED EMBANKMENT AND SLOPE PROTECTION</t>
  </si>
  <si>
    <t>SUPPLY AND DELIVERY OF VARIOUS MECHANICAL SPARE PARTS FOR UNIT 3 - 336 KW CUMMINS INTENDED FOR DOONG DPP</t>
  </si>
  <si>
    <t>Supply and Delivery of Two unit Computer Laptop - POPDEV OFFICE</t>
  </si>
  <si>
    <t>Procurement of Reference Books &amp; Professional Journals (Lot 1-2)</t>
  </si>
  <si>
    <t>20H00065 - Construction/Repair/Rehabilitation/Improvement of Various Infrastructure including Local Projects-Structural Improvement of Public Buildings and Construction of Evacuation Centers-Construct</t>
  </si>
  <si>
    <t>SUPPLY AND DELIVERY OF CONSTRUCTION MATERIALS FOR THE CONSTRUCTION OF RIC BUILDING</t>
  </si>
  <si>
    <t>IMPROVEMENT OF BARANGAY HALL</t>
  </si>
  <si>
    <t>Job Order: Equipment rental for site grading, stabilization and final cover of Dumpsite (Closure Plan) Phase I, Barangay Candau-ay.</t>
  </si>
  <si>
    <t>Supply and Delivery of One (1) Lot Other Machineries and Equipment</t>
  </si>
  <si>
    <t>REQUEST FOR QUOTATION- Diploma Holder with Gold Seal</t>
  </si>
  <si>
    <t>Supply, Installation and Commissioning of One (1) Unit Plasma Sterilizer</t>
  </si>
  <si>
    <t>20KB0167   Construction of Multi-Purpose Building (Municipal Risk Reduction Management Office), Maramag, Bukidnon</t>
  </si>
  <si>
    <t>PHO-2020-038 PR2020-0150 INVITATION TO BID FOR THE PROCUREMENT OF BASIC LIFE SUPPORT AMBULANCE</t>
  </si>
  <si>
    <t>Removal of collapsed retaining wall and replacing it with gabion wall (Road width incl. shoulder, 9.1m; Carriage width, 6.1m; Pavement thickness, 0.23m)</t>
  </si>
  <si>
    <t>SUPPLY &amp; DELIVERY OF VARIOUS MECHANICAL SPARE PARTS FOR 163KW PERKINS GENSET MODEL: 2006-TGI, ENGINE NO.: 8B27396U86225V INTENDED FOR LIMASAWA DPP</t>
  </si>
  <si>
    <t>Supply and Delivery of Communication Equipment’s (Cellphone) -MMO-ABC</t>
  </si>
  <si>
    <t>Supply and Delivery of One (1) Lot Various Construction Materials &amp; Supplies for the Improvement of Tourist Facilities</t>
  </si>
  <si>
    <t>Procurement of Construction of MRF and RCA</t>
  </si>
  <si>
    <t>AU 64 - Suppy &amp; Delivery of Car Parts for TOYOTA Pick-up plate number WSO 333 w/ PN NO-I1-1805</t>
  </si>
  <si>
    <t>ILD-L-20-2298: Procurement of Various Laboratory Supplies to be used at the Vaccine Production Laboratory</t>
  </si>
  <si>
    <t>SUPPLY AND DELIVERY OF CONSTRUCTION SUPPLIES FOR THE COMPLETION OF PRESIDENT'S HOUSING</t>
  </si>
  <si>
    <t>Job Order: Supply and planting of Bermuda Grass and others for site grading, stabilization and final cover of Dumpsite (Closure Plan) Phase I, Barangay Candau-ay.</t>
  </si>
  <si>
    <t>Procurement and Deployment of Artificial Reef (Phase VI)</t>
  </si>
  <si>
    <t>Improvement of Water Supply System (Intake Box, Pipe Concrete Blanket) Brgy. Bagte - Buenavista, Relocation Site, Quinapondan E. Samar (Re-bid)</t>
  </si>
  <si>
    <t>Supply, Installation and Commissioning of One (1) unit Operating Table (Electric-Motorized Type)</t>
  </si>
  <si>
    <t>Procurement of Materials for the support to Brigada Eskwela 2020</t>
  </si>
  <si>
    <t>OFFICE EQUIPMENT SUPPLIES AND CONSUMABLES</t>
  </si>
  <si>
    <t>SUPPLY &amp; DELIVERY OF VARIOUS MECHANICAL SPARE PARTS FOR 163KW PERKINS, MODEL NO.: 2006-TGI, SERIAL NO.: 48 INTENDED FOR STO NINO DPP</t>
  </si>
  <si>
    <t>For repair and maintenance of Nissan Frontier 2.75 with plate number SFM-460 assigned at CSWDO</t>
  </si>
  <si>
    <t>Supply and Delivery of Computer Laptop - HRMO</t>
  </si>
  <si>
    <t>Supply, Installation and Commissioning of Two (2) units Ultraviolet Germicidal Irradiction Disinfection System</t>
  </si>
  <si>
    <t>3 units Negative Pressure Wound Therapy</t>
  </si>
  <si>
    <t>SMALL VALUE PROCUREMENT FOR THE GRADUATION</t>
  </si>
  <si>
    <t>(SP) 	  2nd REQUEST FOR QUOTATION (RFQ) For the Procurement of Office Supplies (1st Quarter) For the Sangguiang Panlalawigan  (SP)</t>
  </si>
  <si>
    <t>Concrete Pav. Construction Suba Cambigong Barangay Road</t>
  </si>
  <si>
    <t>Construction of Two-Storey Legislative Session Hall (Expansion)</t>
  </si>
  <si>
    <t>20B00052 (re-ad): Construction of Evacuation Center, Brgy. Lublub, Alfonso Castañeda, Nueva Vizcaya</t>
  </si>
  <si>
    <t>Barangay Road Concreting at Barangay LIbo, Bahay, Guimbangco-an, Dugo-an, Cagay, Banlot, Lamacan-Magcagong, Tubod, Mangyan, Sayao, Cantularoy, Bagacay and Bato, Sibonga, Cebu</t>
  </si>
  <si>
    <t>20KB0170   Construction of Multi-Purpose Building, Mindanaw Tribal School Inc., Purok 6A, Panadtalan, Maramag, Bukidnon</t>
  </si>
  <si>
    <t>Supply and Delivery Construction Materials for the Safe Closure and Rehabilitation of Existing open Dump site at Brgy. San Pedro, Quinapondan, Eastern Samar (Re-bid)</t>
  </si>
  <si>
    <t>Supply and Delivery of  Drugs and Medicines RHU Use - MHO</t>
  </si>
  <si>
    <t>20H00066 - Construction/Repair/Rehabilitation/Improvement of Various Infrastructure including Local Projects-Structural Improvement of Public Buildings and Construction of Evacuation Centers-Construct</t>
  </si>
  <si>
    <t>Concrete Pav. Construction Monteverde Barangay Road</t>
  </si>
  <si>
    <t>SUPPLY AND DELIVERY OF VARIOUS MECHANICAL SPARE PARTS FOR 163 KW DALE PERKINS INTENDED FOR DOONG DPP</t>
  </si>
  <si>
    <t>20KB0169   Construction of Municipal Jail, Municipal Compound, Brgy. Libertad, Quezon, Bukidnon   :	Brgy. Libertad, Quezon, Bukidnon</t>
  </si>
  <si>
    <t>RFQ No. 20-06-129 for PR No. 20-06-125`</t>
  </si>
  <si>
    <t>RAED-20-1959(R1): Supply of Fuel and Oil for Vehicles at PATCO Bohol Province</t>
  </si>
  <si>
    <t>Water Service Connection Materials/Fittings</t>
  </si>
  <si>
    <t>Supply and Delivery of  LCD Projector - SBO</t>
  </si>
  <si>
    <t>Concrete Pav. Construction Cambalidyo-San Sebastian</t>
  </si>
  <si>
    <t>Completion of Multi Purpose Hall - Barangay Lawaan</t>
  </si>
  <si>
    <t>PROCUREMENT OF NFA - REGION 1 2020 PESTICIDES REQUIREMENT (LEFT-OUT LOTS) (REBIDDING)</t>
  </si>
  <si>
    <t>20KB0174   Construction of Multi-Purpose Building (Kibawe Sports Complex), Brgy. East Kibawe, Kibawe, Bukidnon</t>
  </si>
  <si>
    <t>20GB00013 (re-ad): Purchase, Delivery and Installation of One (1) Unit Bridge Design Software</t>
  </si>
  <si>
    <t>Construction of Slope Protection (Phase II), Municipal Landfill, Maoasoas Norte, Pugo, La Union</t>
  </si>
  <si>
    <t>Concrete Pav. Construction Cambigong &amp; Canorong Brgy Road</t>
  </si>
  <si>
    <t>1 unit High Speed Drill System</t>
  </si>
  <si>
    <t>Concrete Pav. Construction Camburoy Barangay Road</t>
  </si>
  <si>
    <t>SSS Bago Branch Diesel Fuel for the period July to December 2020</t>
  </si>
  <si>
    <t>SUPPLY &amp; DELIVERY OF VARIOUS MECHANICAL SPARE PARTS FOR 163KW PERKINS, MODEL NO.: 2006-TGI. SERIAL NO.: 52/ ENGINE NO.: 8B27396U86224V INTENDED FOR SAN VICENTE DPP</t>
  </si>
  <si>
    <t>DRILLING OF ONE (1) EXPLORATORY /PRODUCTION WELL AT BRGY. RAFAELA BARRERA</t>
  </si>
  <si>
    <t>Line Upgrading 3 Phase Load (Tayasan Public Market) at Brgy. Poblacion, Tayasan,Negros Oriental.</t>
  </si>
  <si>
    <t>CONCRETING OF PATHWAY, GALDANG</t>
  </si>
  <si>
    <t>Supply and Delivery of Laboratory Equipment for VSU External Campuses</t>
  </si>
  <si>
    <t>Completion of Covered Court</t>
  </si>
  <si>
    <t>SUPPLY AND DELIVERY OF  VARIOUS MECHANICAL SPARES INTENDED PANAY MINIGRID</t>
  </si>
  <si>
    <t>2020-070, SUPPLY AND DELIVERY OF BUSINESS REGISTRATION PLATE AT LGU MIDSAYAP, COTABATO</t>
  </si>
  <si>
    <t>20KB0178   Construction/Completion of Multi-Purpose Building, Brgy. Libertad, Quezon, Bukidnon</t>
  </si>
  <si>
    <t>Procurement of Construction Materials for Multipurpose Drying Pavement (MPDP)</t>
  </si>
  <si>
    <t>Rehabilitation of Barangay and Municipal Roads</t>
  </si>
  <si>
    <t>20KB0177   Construction of Multi-Purpose Building, Brgy. Poblacion, Kadingilan, Bukidnon</t>
  </si>
  <si>
    <t>Supply and Delivery of Assorted and Common Office Supplies and Devices (Re-bid)</t>
  </si>
  <si>
    <t>20KB0173   Construction/Completion of the Development of Municipal Ground/Plaza, Anahawon, Maramag, Bukidnon</t>
  </si>
  <si>
    <t>Purchase of  ANC &amp; FBD Incentives for Postpartum Mothers – MHO R.  T. Lim, Zamboanga Sibugay</t>
  </si>
  <si>
    <t>Procurement of Fuel and Oil</t>
  </si>
  <si>
    <t>Procurement of Office Equipment, Supplies and Consumables</t>
  </si>
  <si>
    <t>20KB0176   Construction of Multi-Purpose Building, Brgy. Minsalagan, Don Carlos, Bukidnon</t>
  </si>
  <si>
    <t>Purchase of 1-Unit Tractor with complete accessories</t>
  </si>
  <si>
    <t>PhilRice-20-2205: Procurement of Diesel and Gasoline to be used in the Establishment of 10 hectares Rice Seed Production Project at DA-BES, Gabi, Ubay, Bohol for Cropping Season Jun-Dec. 2020</t>
  </si>
  <si>
    <t>Construction of Roads and Alleys, Municipal Landfill, Maoasoas Norte, Pugo, La Union</t>
  </si>
  <si>
    <t>Concrete Pav. Construction Canorong Tuka Road</t>
  </si>
  <si>
    <t>Road Concreting of Barangay Road</t>
  </si>
  <si>
    <t>Purchase of Equipment for the Establishment of 21st Century Classroom at BCES</t>
  </si>
  <si>
    <t>20KB0172   Rehabilitation of Multi-Purpose Building (Day Care Center) Brgy. Kianggat, Dangcagan, Bukidnon</t>
  </si>
  <si>
    <t>Purchase of Clinical Equipment for the use of Lambunao MHO-Laboratory, Lambunao, Iloilo</t>
  </si>
  <si>
    <t>Supply and delivery of Office Supplies to be used in the Office of the Municipal Mayor</t>
  </si>
  <si>
    <t>20PL0120 - Repair of Cross Drainage Inlet and Canal Lining along Mt. Province-Boundary-Calanan-Pinukpuk-Abbut Road (Cagaluan-Calanan Section), K0485+710-K0485+780, Tabuk City, Kalinga</t>
  </si>
  <si>
    <t>20KB0175   Construction of Covered Court, Brgy. Kalumihan, Kitaotao, Bukidnon</t>
  </si>
  <si>
    <t>Supply and delivery of Two (2) pcs. Tire for SB Vehicle Pregio with Plate No. SHF-967</t>
  </si>
  <si>
    <t>SUPPLY AND DELIVERY OF VARIOUS ELECTRICAL SPARES INTENDED FOR BOHOL MINI GRID I</t>
  </si>
  <si>
    <t>20KB0168   Construction of Multi-Purpose Building (Kibawe Sports Complex) Brgy. East Kibawe, Kibawe, Bukidnon</t>
  </si>
  <si>
    <t>SUPPLY AND DELIVERY OF VARIOUS ELECTRICAL SPARE PARTS FOR 300 KW CUMMINS INTENDED FOR GIGANTES DPP</t>
  </si>
  <si>
    <t>SUPPLY &amp; DELIVERY OF VARIOUS MECHANICAL SPARE PARTS FOR 100KW PERKINS, MODEL NO.: 1006-TAG; ENGINE TYPE: 2330/1500; SERIAL NO.: YB37574 INTENDED FOR ALMAGRO DPP</t>
  </si>
  <si>
    <t>Concreting of Road at Ecopark -  Phase II  Sta. (0+000 to 0+130), San Jose, R. T. Lim, Zamboanga Sibugay.</t>
  </si>
  <si>
    <t>SUPPLY &amp; DELIVERY OF VARIOUS MECHANICAL SPARE PARTS FOR 163KW PERKINS, MODEL NO.: 2006-TGI, SERIAL NO.: 8B27396U86337U INTENDED FOR SAN ANTONIO DPP</t>
  </si>
  <si>
    <t>Construction of Multipurpose Building</t>
  </si>
  <si>
    <t>20DI0148- Construction of Multi-purpose Building (Basketball Court), Juana Complex III, Brgy. San Francisco, Biñan, Laguna</t>
  </si>
  <si>
    <t>Procurement of ICT Equipment for the MDRRMC Operation Center</t>
  </si>
  <si>
    <t>20DI0147- Construction of Multi-Purpose Building, Brgy. Aplaya, Sta. Rosa City, Laguna</t>
  </si>
  <si>
    <t>20DI0146- Construction of Multi-Purpose Building, Brgy. Pacita I, San Pedro, Laguna</t>
  </si>
  <si>
    <t>Procurement of communication Equipment</t>
  </si>
  <si>
    <t>20PL0119 - Improvement of Shoulder Structure and Repair of Cross Drainage along Mt. Province-Boundary-Calanan-Pinukpuk-Abbut Road (Cagaluan-Calanan Section), K0484+550-K0485+590, Tabuk City, Kalinga</t>
  </si>
  <si>
    <t>INSTALLATION OF GLASS DOORS AT THE MP BUILDING (Mayor's, Vice Mayor's &amp; SB Office)</t>
  </si>
  <si>
    <t>Opening of Farm-to-Market Road at Patunungan</t>
  </si>
  <si>
    <t>GSM CONTROLLER</t>
  </si>
  <si>
    <t>20KB0171   Improvement of Public Plaza, Brgy. Poblacion, Dangcagan, Bukidnon</t>
  </si>
  <si>
    <t>JANITORIAL SUPPLIES</t>
  </si>
  <si>
    <t>Concrete Pav. Construction Kalatagan-Tangbo Barangay Road</t>
  </si>
  <si>
    <t>20DI0145- Rehabilitation of Drainage Canal, Juana Complex VI, Brgy. San Francisco, Biñan, Laguna</t>
  </si>
  <si>
    <t>PROCUREMENT OF DATABASE SERVER</t>
  </si>
  <si>
    <t>FB20-06-008COR - PROCUREMENT OF TWO (2) YEARS SUBSCRIPTION OF POCKET WIFI</t>
  </si>
  <si>
    <t>Concrete Pav. Construction Canorong Bulangsuran Road</t>
  </si>
  <si>
    <t>20PL0118 - Improvement of Roadside Structures and Shoulder along Mt. Province-Boundary-Calanan-Pinukpuk-Abbut Road (Cagaluan-Calanan Section), K0483+790-K0483+870, Tabuk City, Kalinga</t>
  </si>
  <si>
    <t>20DI0155- Construction of Multi-Purpose Building (A), Sta. Rosa City, Laguna</t>
  </si>
  <si>
    <t>Construction of Access Road from P-2 to Brgy Road</t>
  </si>
  <si>
    <t>Procurement of Ten (10) Units Laptop for Online Classes of Brgy San Lorenzo</t>
  </si>
  <si>
    <t>Supply and Delivery of One (1) Lot Wireless CCTV System (including installation)</t>
  </si>
  <si>
    <t>Purchase of 1 set of Mortar Mixer and CHB Machine Maker</t>
  </si>
  <si>
    <t>20DI0152- Construction of Multi-purpose Building, Brgy. Dita, Sta. Rosa City, Laguna</t>
  </si>
  <si>
    <t>BARANGAY TELECOMMUNICATION, PAGING AND PUBLIC ADDRESS SYSTEM</t>
  </si>
  <si>
    <t>20DI0151- Construction of Multi-Purpose Building, Brgy. Macabling, Sta. Rosa City, Laguna</t>
  </si>
  <si>
    <t>Purchase of t-shirts</t>
  </si>
  <si>
    <t>20PL0121 - Rehabilitation of National road, K0534+056 - K0534+106 (Babalag-Kinama-San Francisco Section), Rizal, Kalinga</t>
  </si>
  <si>
    <t>Supply and Delivery of Communication Load - PR 3441 CENVI</t>
  </si>
  <si>
    <t>20DI0153- Construction of Multi-purpose Building, Brgy. Pulong Santa Cruz, Sta. Rosa City, Laguna</t>
  </si>
  <si>
    <t>SMALL VALUE FOR PROCUREMENT FOR FREE SCHOOL SUPPLY</t>
  </si>
  <si>
    <t>SUPPLY &amp; DELIVERY OF VARIOUS MECHANICAL SPARE PARTS FOR 300KW CUMMINS, MODEL NO.: KTA19-G2; SERIAL NO.: 41232997 INTENDED FOR SAN ANTONIO DPP</t>
  </si>
  <si>
    <t>Procurement of Audio Visual Production Set-up Bundle</t>
  </si>
  <si>
    <t>Supply and delivery of Vehicle Parts &amp; Accessories for the Repair and Maintenance of L-300 FB  with Plate No. B3-B030</t>
  </si>
  <si>
    <t>INVITATION TO BID FOR THE PROCUREMENT OF DOE INTERNET SUBSCRIPTION (POCKET-WIFI) UNDER THE DOE REGULAR FUND</t>
  </si>
  <si>
    <t>20DI0154- Construction of Multi-purpose Building, Brgy. Sinalhan, Sta. Rosa City, Laguna</t>
  </si>
  <si>
    <t>INVITATION TO BID FOR THE Procurement Of Energy Various ICT Equipment under the DOE CY2020 ISSP</t>
  </si>
  <si>
    <t>Supply, Installation and Commissioning  of One (1) Operating Light (LED dual ceiling mounted with camera and pendant surgical monitor)</t>
  </si>
  <si>
    <t>SUPPLY &amp; DELIVERY OF VARIOUS MECHANICAL SPARE PARTS FOR 315KW FG WILSON PERKINS, MODEL 2506A-E15TAG3; SERIAL NO.: MGDF7150U10595A INTENDED FOR MARIPIPI DPPD</t>
  </si>
  <si>
    <t>Procurement of Motorcycle with side car</t>
  </si>
  <si>
    <t>20DI0159- Construction of Multi-purpose Building (C), Sta. Rosa City, Laguna</t>
  </si>
  <si>
    <t>Road Opening of Baribi-Pasmacanan Road (Phase-I)</t>
  </si>
  <si>
    <t>(KMH) 2ND INVITATION TO BID FOR THE SUPPLY AND DELIVERY OF HOSPITAL EQUIPMENT</t>
  </si>
  <si>
    <t>Rehab/Improvement of Various Barangay Road(San Roque-Catigahan-Hinagbuan)</t>
  </si>
  <si>
    <t>PR No. 2020-02-0182-MAIN-Supply and Delivery of Stenograph Machine for Stenograph Laboratory of CBAS</t>
  </si>
  <si>
    <t>CONSTRUCTION OF FMR LOCATED AT SAN JUAN, AGOO, LA UNION</t>
  </si>
  <si>
    <t>SMALL VALUE PROCUREMENT FOR COMMUNICATION LOAD</t>
  </si>
  <si>
    <t>PURCHASE OF SUPPLIES AND MATERIALS FOR SMOKE FREE BARANGAY AND SOLID WASTE MANAGEMENT CAMPAIGN PROGRAM</t>
  </si>
  <si>
    <t>20CF0002-Geotechnical Survey/Soil Exploration of Fourteen (14) Construction of Flood Mitigation Structure and Three (3) Widening of Bridge</t>
  </si>
  <si>
    <t>REQUEST FOR QUOTATION FOR THE Supply and Delivery of One (1) Lot Electrical Supplies and Devices</t>
  </si>
  <si>
    <t>Supply and delivery of Plumbing Materials to be used in the Improvement of Waterworks System at Nagcarlan, Laguna</t>
  </si>
  <si>
    <t>CONSTRUCTION OF FARM TO MARKET ROAD LOCATED AT BALAWARTE, AGOO, LA UNION</t>
  </si>
  <si>
    <t>SUPPLY &amp; DELIVERY OF VARIOUS MECHANICAL SPARE PARTS FOR 150KW CUMMINS.  MODEL 6CT, 6CTA 8.3; SERIAL NO.: 21283036 INTENDED FOR MARIPIPI DPP</t>
  </si>
  <si>
    <t>HO-IST20-009 - Subscription of Messaging and Collaboration Services</t>
  </si>
  <si>
    <t>HO-IST20-003 - Supply, Delivery, Installation, Configuration, Testing and Commissioning of CPU Hyper-Converged Integrated System (HCIS) Servers</t>
  </si>
  <si>
    <t>REQUEST FOR QUOTATION FOR THE Supply and Delivery of One (1) Lot Medical Supplies</t>
  </si>
  <si>
    <t>PR No. 2020-02-0277-MAIN-Supply and Delivery of Steel Filing Cabinets for the different offices</t>
  </si>
  <si>
    <t>Supply, Delivery and Implementation of HIMS of Tarlac Provincial Hospital (Rebid) - B-G-2020-081</t>
  </si>
  <si>
    <t>PURCHASE OF COMMUNICATION EQUIPMENT</t>
  </si>
  <si>
    <t>Supply, Delivery and Commissioning of Submersible Pumps and Motors, Motor Controller (VFD) and Accessories for PS No. 7</t>
  </si>
  <si>
    <t>PURCHASE OF ADDITIONAL CCTV</t>
  </si>
  <si>
    <t>Rehabilitation of Old Municipal Cemetery (Phase II), San Antonio, Agoo, La Union</t>
  </si>
  <si>
    <t>PURCHASE OF SUPPLIES AND MATERIALS FOR  TREE TRIMMING AND STREET LIGHTING PURPOSES</t>
  </si>
  <si>
    <t>OPENING OF FMR LOCATED AT SAN JOSE NORTE, AGOO, LA UNION</t>
  </si>
  <si>
    <t>20CF0130 Repair/Maintenance of Public Buildings</t>
  </si>
  <si>
    <t>05-07-2020 - CONCRETING OF FARM TO MARKET ROAD WITH INSTALLATION OF SOLAR STREETLIGHTS</t>
  </si>
  <si>
    <t>PURCHASE OF OFFICE EQUIPMENT</t>
  </si>
  <si>
    <t xml:space="preserve">19GL00110; P.R. No. 2020-03-034 DATED 03/03/2020: PROCUREMENT OF VARIOUS JOB ORDERS: LABOR AND MATERIALS, FOR THE REPLACEMENT OF WORN-OUT PARTS, FOR USE OF VARIOUS GOVERNMENT VEHICLES WITH PLATE NOS. </t>
  </si>
  <si>
    <t>PURCHASE OF OTHER SUPPLIES AND MATERIALS</t>
  </si>
  <si>
    <t>Construction of Spillway</t>
  </si>
  <si>
    <t>HFEP ITB 2020-001 Equipment</t>
  </si>
  <si>
    <t>INVITATION TO BID: PROCUREMENT (SUPPLY AND DELIVERY) OF BRAND NEW MOTOR VEHICLES</t>
  </si>
  <si>
    <t>PURCHASE OF FURNITURE AND FIXTURES</t>
  </si>
  <si>
    <t>Procurement of Laboratory Supplies for use at the Laboratory Section of GOTMH, Camiling, Tarlac (Rebid) - B-G-2020-086</t>
  </si>
  <si>
    <t>Engagement of Consulting Services for PCC Market Study on Philippine Construction Industry</t>
  </si>
  <si>
    <t>ESTABLISHMENT OF ECO-TOURISM FACILITIES (IMPROVEMENT OF MP BUILDING)</t>
  </si>
  <si>
    <t>Upgrading of BiPSU Electrical System Main Campus and Biliran Campus</t>
  </si>
  <si>
    <t>20-06-445 Purchase of Fuel for Oplan Ligtas na Pamayanan Program under Bureau of Fire Protection (BFP)</t>
  </si>
  <si>
    <t>20-05-409 Purchase of Cacao Seedlings for Cacao Production, Processing and Marketing Project under DAR-MinSAAD</t>
  </si>
  <si>
    <t>Supply, Delivery and Commissioning of Submersible Pumps and Motors with Accessories for PS No. 4, PS N0. 9 and PS No. 9A</t>
  </si>
  <si>
    <t>Procurement of ICT Equipment for the Relocation of the Servers to the New Server Room (Rebid) - B-G-2020-085</t>
  </si>
  <si>
    <t xml:space="preserve">19GL00112; P.R. No. 2020-06-061 DATED 06/04/2020: PROCUREMENT OF VARIOUS FILTERS &amp; LUBRICANT, FOR USE IN THE CORRECTIVE &amp; PREVENTIVE MAINTENANCE OF VARIOUS SERVICE VEHICLES, ASSIGNED AT DPWH R.O. XI, </t>
  </si>
  <si>
    <t>Procurement of Various Surveying, Printing and Geotagging Equipment for PRDP Project Preparation (Rebid) - B-G-2020-084</t>
  </si>
  <si>
    <t>Procurement of Laboratory Supplies for use of the IPHO-TPH (Rebid) - B-G-2020-082</t>
  </si>
  <si>
    <t>20GKA0005 / 2020-06-0136  Supply and delivery of Office supplies not available in PS DBM for the 2nd Quarter of CY 2020 DPWH Bukidnon 1st DEO, Malaybalay City</t>
  </si>
  <si>
    <t>Supply, Delivery and Commissioning of Submersible Pumps and Motors, Motor Controller (VFD) and Accessories for PS No. 8</t>
  </si>
  <si>
    <t>PROCUREMENT OF FOOD PACKS FOR DISTRIBUTION TO HOUSEHOLDS IN THE MUNICIPALITY SEVERELY AFFECTED BY THE ONSLAUGHT OF TYPHOON TISOY IN DECEMBER 2019</t>
  </si>
  <si>
    <t>19GL00111; P.R. No. 2020-06-061 DATED 06/04/2020: PROCUREMENT OF VARIOUS TIRES, FOR USE IN THE CORRECTIVE &amp; PREVENTIVE MAINTENANCE OF VARIOUS SERVICE VEHICLES ASSIGNED AT DPWH R.O. XI, UNDER THE EQUIP</t>
  </si>
  <si>
    <t>Supply, Delivery and Commissioning of Generator Set for PS No. 7 and No. 8</t>
  </si>
  <si>
    <t>REHABILITATION/IMPROVEMENT OF LEVEL II POTABLE WATER SYSTEM</t>
  </si>
  <si>
    <t>PURCHASE OF SUPPLIES AND MATERIALS FOR WASTE MANAGEMENT</t>
  </si>
  <si>
    <t>Procurement of Drugs and Medicines for use at the Pharmacy Section of the IPHO-TPH (Rebid) - B-G-2020-083</t>
  </si>
  <si>
    <t>Supply and Delivery of ICT Equipment for 2020</t>
  </si>
  <si>
    <t>Garbage hauling services for August 01, 2020 - December 31, 2020</t>
  </si>
  <si>
    <t>PROCUREMENT OF VARIOUS VACCINES COBAC IB NO. 003 (G) S. 2020</t>
  </si>
  <si>
    <t>SUPPLY AND DELIVERY OF DEVICES AND EQUIPMENTS FOR MUNICIPAL BIRTHING HOME, ALEOSAN, COTABATO</t>
  </si>
  <si>
    <t>Supply and Delivery of Pick-up Truck</t>
  </si>
  <si>
    <t>Construction of Overhead Hoist</t>
  </si>
  <si>
    <t>CY 2020 Basic Educational Facilities Fund (BEFF) - Construction of 4 Storey, 8 Classrooms, San Vicente Elementary School, Camp 8, San Vicente, Baguio City</t>
  </si>
  <si>
    <t xml:space="preserve">19GL00113; P.R. No. 2020-02-031 DATED 02/27/2020: PROCUREMENT OF VARIOUS FURNITURES, FOR USE IN THE SATELLITE MATERIALS TESTING LABORATORY (SMTL) LOCATED AT DPWH DAVAO ORIENTAL 2ND DEO, CITY OF MATI, </t>
  </si>
  <si>
    <t>INVITATION TO BID FOR THE Procurement of Energy Various ICT Equipment and Corel Draw Graphics Software under the DOE Locally Funded Philippine Conventional Energy Contracting Program</t>
  </si>
  <si>
    <t>PROCUREMENT OF HARDWARE MATERIALS FOR OFFICE WINDOWS AND DIVISION WALL INCLUDING INSTALLATION SERVICE</t>
  </si>
  <si>
    <t>20DI0157- Construction of Multi-purpose Building, Brgy. Tagapo, Sta. Rosa City, Laguna</t>
  </si>
  <si>
    <t>20DI0156- Construction of Multi-purpose Building (B), Sta. Rosa City, Laguna</t>
  </si>
  <si>
    <t>Procurement of One (1) Unit Brand New Fully Equipped Van Rescue Ambulance</t>
  </si>
  <si>
    <t>PROPOSED EXPANSION OF MULTI-PURPOSE BLDG.</t>
  </si>
  <si>
    <t>20DI0150- Construction of Trash Trap along Biñan River, Brgy. Sto. Tomas, Biñan, Laguna</t>
  </si>
  <si>
    <t>Supply and Delivery of Electrical Supplies ( F-007-0372-20 )</t>
  </si>
  <si>
    <t>20DI0149- Construction of Multi-Purpose Building, San Pedro, Laguna</t>
  </si>
  <si>
    <t>PR No. 2020-06-0561-MAIN-Supply and Delivery of Inks and Toners for Existing Printers of the different BISU Offices</t>
  </si>
  <si>
    <t>Consulting Services for Cabacanan Small Reservoir Irrigation Project-Detailed Engineering</t>
  </si>
  <si>
    <t>PRINTING AND BINDING</t>
  </si>
  <si>
    <t>Procurement of Fuel, Oil and Lubricants for Construction of Brash Dam - MEO</t>
  </si>
  <si>
    <t>Implementation of Essential Health Care Program - B-G-2020-094</t>
  </si>
  <si>
    <t>Concreting of Access Road to Municipal Water Storage Area - Phase I , Municipal Site, R. T. Lim, Zamboanga Sibugay</t>
  </si>
  <si>
    <t>Procurement of Hygiene Kits with Pouch Bag for use during the implementation of Kits for Kids 7th Wave - B-G-2020-093</t>
  </si>
  <si>
    <t>Procurement of Reading Materials for use during the implementation of Library on Wheels - B-G-2020-092</t>
  </si>
  <si>
    <t>PROCUREMENT OF VARIOUS MEDICAL EQUIPMENT (DIGITAL MASS CHEST RADIOGRAPHY, NAVIGATIONAL BRONCHOSCOPE, ELECTROSURGICAL MACHINE WITH ADVANCED VESSEL SEALING MODULE, CARDIOPULMONARY EXERCISE TEST MACHINE,</t>
  </si>
  <si>
    <t>Procurement of Office Supplies for use of different offices of the Provincial Government of Tarlac - B-G-2020-091</t>
  </si>
  <si>
    <t>Procurement of Sevoflurane Inhalation for use at the Operating Room of the IPHO-TPH - B-G-2020-090</t>
  </si>
  <si>
    <t>20DI0158- Construction of Multi-Purpose Building (Laboratory Building) JZGM School of Arts and Trade, Brgy. San Antonio, Biñan, Laguna</t>
  </si>
  <si>
    <t>REHABILITATION OF BARANGAY ROAD</t>
  </si>
  <si>
    <t>Procurement of Automated Immunoassay System for use at the Bloodbank Section of the IPHO-TPH - B-G-2020-089</t>
  </si>
  <si>
    <t>(PA) INVITATION TO BID FOR THE SUPPLY &amp; DELIVERY OF DESKTOP COMPUTERS, LAPTOP, NETWORK SWITCH, ETC. FOR THE  PROVINCIAL ADMINISTRATOR’S OFFICE--401,500.00</t>
  </si>
  <si>
    <t>SUPPLY AND DELIVERY OF IT EQUIPMENT: LARGE FORMAT SCANNER</t>
  </si>
  <si>
    <t>Procurement of Siren and Installation for early warning system - MDRRMO</t>
  </si>
  <si>
    <t>SUPPLY &amp; DELIVERY OF VARIOUS MECHANICAL SPARE PARTS FOR 100KW CUMMINS.  MODEL 6BTA59G2; SERIAL NO.: 78333492 INTENDED FOR LIMASAWA DPP</t>
  </si>
  <si>
    <t>Completion/Concreting of Barangay Road, Brgy. Lumbog, Hinunangan, Southern Leyte</t>
  </si>
  <si>
    <t>PROCUREMENT OF VEHICLES FOR SOLID WASTE MANAGEMENT PROGRAM</t>
  </si>
  <si>
    <t>Procurement of Meals and Snacks for meetings, visitors and other activity - MO</t>
  </si>
  <si>
    <t>Improvement and Installation of Slaughter House Facility – MEO 2nd Bid</t>
  </si>
  <si>
    <t>Construction of Canopy of Covered Court, Barangay Cantutang, Padre Burgos, Southern Leyte</t>
  </si>
  <si>
    <t>Construction of San Ramon CHB Canal, Barangay San Ramon, Bontoc, Southern Leyte</t>
  </si>
  <si>
    <t>Supply of Fuel for the Repair and Maintenance of Mababanaba, San Jose-Sta. Ines West, Sta. Ignacia Provincial Road - B-G-2020-088</t>
  </si>
  <si>
    <t>INVITATION TO BID FOR THE PROCUREMENT OF BOOKS FOR THE UNIVERSITY LIBRARY OF THE LAGUNA STATE POLYTECHNIC UNIVERSITY MAIN CAMPUS</t>
  </si>
  <si>
    <t>Completion of Cabul-anonan Seawall, Barangay Cabul-anonan, Malitbog, Southern Leyte</t>
  </si>
  <si>
    <t>Procurement of Medical Supplies Lot 1</t>
  </si>
  <si>
    <t>Procurement of Male Condom</t>
  </si>
  <si>
    <t>Rehabilitation of Barangay Pandan Multi-Purpose Building, Barangay Pandan, Liloan, Southern Leyte</t>
  </si>
  <si>
    <t>Procurement of Lynestrenol</t>
  </si>
  <si>
    <t>20GFO0015 - Supply and Delivery of Materials for Work Cat. 10: Activity 122 - Cracks and Joint of Concrete Pavement along National Roads within the 3rd District of Albay</t>
  </si>
  <si>
    <t>Procurement of Electrical Supplies  - PENRMO</t>
  </si>
  <si>
    <t>Office Supplies , Equipment and consumables</t>
  </si>
  <si>
    <t>Procurement of Vehicle Spare Parts &amp; Labor - PDRRMO</t>
  </si>
  <si>
    <t>Procurement of Catering Services &amp; Venue - Lot 2 - Venue - PDRRMO</t>
  </si>
  <si>
    <t>Procurement of Vehicle Spare Parts - OSP</t>
  </si>
  <si>
    <t>Procurement of Furniture and Fixtures</t>
  </si>
  <si>
    <t>Procurement of Catering Services &amp; Venue - Lot 1 - Catering services - PDRRMO</t>
  </si>
  <si>
    <t>CONSTRUCTION OF EVACUATION CENTER PHASE 4</t>
  </si>
  <si>
    <t>Procurement of Vehicle Spare Parts - PENRMO</t>
  </si>
  <si>
    <t>Procurement of Vehicle Spare Parts &amp; Labor - OVG/OSP</t>
  </si>
  <si>
    <t>Procurement of Various Housekeeping Supplies - PLSO</t>
  </si>
  <si>
    <t>Rehabilitation of Spring Development Project, Barangay Mahayag, St. Bernard, Southern Leyte</t>
  </si>
  <si>
    <t>Construction of Magaupas River Control, Barangay Magaupas, Liloan, Southern Leyte</t>
  </si>
  <si>
    <t>Procurement of 1 Unit Chest Type Freezer - ADH</t>
  </si>
  <si>
    <t>Procurement of Various Office Supplies - PGO</t>
  </si>
  <si>
    <t>Procurement of Various Housekeeping Supplies - OVG</t>
  </si>
  <si>
    <t>Procurement of Greenhouse-Materials &amp; Installation  with complete Accessories &amp; Irrigation Facilities - PAGSO</t>
  </si>
  <si>
    <t>LAND EXPANSION OF MOBO PORT @ BRGY. PINAMARBUHAN, MOBO, MASBATE</t>
  </si>
  <si>
    <t>INVITATION TO BID FOR PROVISION OF SECURITY SERVICES FOR 2020</t>
  </si>
  <si>
    <t>Procurement of Various IT Equipment and Supplies - OVG</t>
  </si>
  <si>
    <t>Procurement of Various IT Equipment - ADMIN &amp; PSAO</t>
  </si>
  <si>
    <t>Procurement of Housekeeping Supplies - PDH</t>
  </si>
  <si>
    <t>Financial Assistance for the Concreting Barangay Road</t>
  </si>
  <si>
    <t>Materials for Construction and Painting Supplies</t>
  </si>
  <si>
    <t>ITB No. (INF) 2020-06-091REHABILITATION/CONSTRUCTION OF BRGY. HALL/MULTI-PURPOSE BUILDING, Brgy. Mara-mara, Sulat, Eastern Samar</t>
  </si>
  <si>
    <t>ITB No. (INF) 2020-06-090 CONSTRUCTION OF MULTI-PURPOSE BUILDING (PHASE II), Brgy. Abucay, Sulat, Eastern Samar</t>
  </si>
  <si>
    <t>Construction of Multi-Purpose Hall, Barangay San Antonio, Tomas Oppus, Southern Leyte, Southern Leyte</t>
  </si>
  <si>
    <t>Supply and Delivery of Construction Materials - ITB 033-2020 GQ</t>
  </si>
  <si>
    <t>ITB No. (INF) 2020-06-089 CONCRETING OF CAROLINA – HINOLASO PROVINCIAL ROAD, Can-avid &amp; Dolores, Eastern Samar</t>
  </si>
  <si>
    <t>Procurement of Office Supplies - PGO</t>
  </si>
  <si>
    <t>Supply and Delivery of Construction Materials - ITB 032-2020 GQ</t>
  </si>
  <si>
    <t>Procurement of Catering Services - PPO</t>
  </si>
  <si>
    <t>REPAIR/IMPROVEMENT OF MULTIPURPOSE BLDG. (HEALTH CENTER)</t>
  </si>
  <si>
    <t>INVITATION TO BID FOR THE PROVISION OF AGRICULTURAL SUPPLIES FOR THE CONDUCT OF URBAN AGRICULTURE, GLAMOURIZING YOUTH IN AGRICULTURE, ESTABLISHMENT OF COMMUNITY GARDENS IN EIGHT SITES/BARANGAYS, AND M</t>
  </si>
  <si>
    <t>Supply and Delivery of Construction Materials - ITB 035-2020 GQ</t>
  </si>
  <si>
    <t>Filling at ESSU Mini Park at ESSU Main Campus</t>
  </si>
  <si>
    <t>CONSTRUCTION OF MULTI-PURPOSE BUILDING, BRGY. SUGUIT ,MARIA AURORA, AURORA</t>
  </si>
  <si>
    <t>Procurement of Various Animal Feeds-06-026(AA)ProVet</t>
  </si>
  <si>
    <t>Purchase of Other Accessories and Supply and Repair of L300 Vehicle Services</t>
  </si>
  <si>
    <t>“Acquisition of One (1) Unit Supply, Delivery and Installation of Gas Chromatography-Mass Spectrometry (GCMS)”</t>
  </si>
  <si>
    <t>SUPPLY AND DELIVERY OF METER READING GADGET</t>
  </si>
  <si>
    <t>Purchase of Materials For the Construction of Access Road/Pathway to Guincalaban Waterfalls (Phase II) at Brgy. Guincalaban,Tayasan,Neg. Or.</t>
  </si>
  <si>
    <t>SUPPLY &amp; DELIVERY OF CONSTRUCTION MATERIALS FOR THE CONSTRUCTION OF SLAUGHTER HOUSE BLDG. @ BRGY. PILINTANGAN, WAO, LANAO DEL SUR</t>
  </si>
  <si>
    <t>Purchase of Materials for the Construction of Road/Pathway to Bago Waterfalls (Phase II) at Brgy Bago, Tayasan, Neg. Or,</t>
  </si>
  <si>
    <t>Supply and Delivery of Construction Materials - ITB 036-2020 GQ</t>
  </si>
  <si>
    <t>Construction &amp; Development of Sanitary Landfill.</t>
  </si>
  <si>
    <t>DIMIAO GYM QUARANTINE FACILITIES</t>
  </si>
  <si>
    <t>Procurement of IT and Office Equipment - Lot 2 - Office Equipment - PAIASO</t>
  </si>
  <si>
    <t>SUPPLY &amp; DELIVERY OF CONSTRUCTION MATERIALS FOR THE COMPLETION OF SECOND FLOOR OF WAO MUNICIPAL HALL, MUNICIPAL SITE, BRGY. WESTERN, WAO, LANAO DEL SUR</t>
  </si>
  <si>
    <t>PROCUREMENT OF BACKHOE FOR MENRO/SLF OPERATION (Rebid)</t>
  </si>
  <si>
    <t>SUPPLY &amp; DELIVERY OF IT EQUIPMENT (DESKTOP WITH PRINTER)</t>
  </si>
  <si>
    <t>20ID0073 - Concreting of Poblacion District 9 to Brgy. Gamay FMR, Brgy. Gamay,Burauen, Leyte</t>
  </si>
  <si>
    <t>Supply and Delivery of Construction Materials - ITB 037-2020 GQ</t>
  </si>
  <si>
    <t>Rehabilitation of Barangay Farm to Market Roads Osawan-Tigao to Burgos, Cortes Surigao del Sur</t>
  </si>
  <si>
    <t>RFQ No. 20-06-058 - Purchase of Coring Bit for use in the QualityAssurance Section (Laboratory)</t>
  </si>
  <si>
    <t>IMPROVEMENT AND UPGRADING OF DINGALAN UMIRAY- PROVINCIAL ROAD, DINGALAN, AURORA</t>
  </si>
  <si>
    <t>Construction of Fence for Tenement Housing Project, Barangay Marketview, Lucena City</t>
  </si>
  <si>
    <t>DENR-CENRO Bangui, 3 Year Comprehensive Site Development at Brgy. Balaoi, Pagudpud, Ilocos Norte</t>
  </si>
  <si>
    <t>Construction Project</t>
  </si>
  <si>
    <t>REHABILITATION OF EVACUATION CENTER</t>
  </si>
  <si>
    <t>Supply and Installation of Renewable, Clean Solar Powered Streetlights &amp; Other Related Works Along Lipa-Alaminos Road (80 Watts LED, Integrated Solar Streetlights)</t>
  </si>
  <si>
    <t>Construction Of Multi-Purpose Building, Brgy. Ditaelen, Maria Aurora, Aurora</t>
  </si>
  <si>
    <t>Procurement of Machinery &amp; Equipment for ESSU Can-Avid use PR#20-06-091</t>
  </si>
  <si>
    <t>Supply and Delivery of Construction Materials - ITB 034-2020 GQ</t>
  </si>
  <si>
    <t>BSF and Traffic Enforcers Uniforms and Accessories</t>
  </si>
  <si>
    <t>Proposed Box Culvert at Public Plaza, Brgy. III-Poblacion, Hinigaran, Negros Occidental.</t>
  </si>
  <si>
    <t>PEO-20-0504 B (REBID)- Purchase of Spare Parts for use of Isuzu Dump Truck (NDT-37) Model:FTR33FLD assigned at PEP, Sta. Barbara, Iloilo</t>
  </si>
  <si>
    <t>ITB No. (INF) 2020-06-092 CONSTRUCTION OF TRIPLE BARREL BOX CULVERT (DRAINAGE SYSTEM), Brgy. Siha, Borongan City, Eastern Samar</t>
  </si>
  <si>
    <t>“Acquisition of One (1) Lot Supply and Delivery of Various Security Equipment”</t>
  </si>
  <si>
    <t>Construction Of Multi-Purpose Building , Brgy. Dikildit, Maria Aurora, Aurora</t>
  </si>
  <si>
    <t>Construction of MRF &amp; Purchase of Plastic Bins</t>
  </si>
  <si>
    <t>“Acquisition of One (1) Lot Health Care Services through Health Maintenance Organization"</t>
  </si>
  <si>
    <t>INVITATION TO BID FOR PURCHASE OF COMMON OFFICE SUPPLIES FOR F.Y. 2020</t>
  </si>
  <si>
    <t>RFQ No. 20-06-057 - Procurement of Diesel Fuel and Lubricants for use of Service Vehicle and Heavy Equipment for the 1st &amp; and Quarter</t>
  </si>
  <si>
    <t>COMPLETION OF ARCHITECTURE BUILDING, PSU MAIN CAMPUS</t>
  </si>
  <si>
    <t>Procurement of Logbook - PDH</t>
  </si>
  <si>
    <t>PURCHASE OF MATERIALS FOR THE CONSTRUCTION OF CONCRETE PAVEMENT AROUND BARANGAY SITE</t>
  </si>
  <si>
    <t>Construction of Water System at Giayan N.Q.</t>
  </si>
  <si>
    <t>CONSTRUCTION OF IGANG BRIDGE ALONG CASIGURAN – DILASAG PROVINCIAL ROAD, Casiguran-Dilasag, Auraora</t>
  </si>
  <si>
    <t>Construction</t>
  </si>
  <si>
    <t>Construction of Niches, Lucena Public Cemetery, Barangay Marketview, Lucena City</t>
  </si>
  <si>
    <t>One (1) Job Contract for the Electrification (Installation of 25Kva, 760Vac Primary / 230Vac, Secondary, 60Hz, 1-Phase, OISC, Distribution Transformer and Construction of Streetlights)/Brgy. Gegacjac/</t>
  </si>
  <si>
    <t>Construction of Slope Protection for Tenement Housing Project, Barangay Marketview, Lucena City</t>
  </si>
  <si>
    <t>Rehabilitation of Concrete Pavement</t>
  </si>
  <si>
    <t>PROCUREMENT AND INSTALLATION OF AIR-CONDITIONING UNITS FOR THE OFFICES &amp; CLASSROOMS OF THE NFSTI</t>
  </si>
  <si>
    <t>UPGRADE EXISTING FARM-TO-MARKET ROAD TO CLIMATE RESILIENT DESIGN STANDARDS</t>
  </si>
  <si>
    <t>PROCUREMENT OF VARIOUS FRUITS SEEDLINGS FOR THE SUSTAINABLE LAND RESOURCE MANAGEMENT APPROACH (SLRMA) FOR AGRI-ENVIRONMENTAL DEVELOPMENT OF UPLANDS AND HILLY LANDS AT SITIO NANGKA, PUNTIAN, SUMILAO, B</t>
  </si>
  <si>
    <t>CONSTRUCTION OF BARANGAY STAGE (PAHASE I), BARANGAY AMOT, BURDEOS, QUEZON</t>
  </si>
  <si>
    <t>Concreting of Lacangan Road</t>
  </si>
  <si>
    <t>Procurement of Various Medicines and Vitamins - PHSO</t>
  </si>
  <si>
    <t>PROCUREMENT OF DIESOLINE (FOR LGU USE)</t>
  </si>
  <si>
    <t>Construction of Sewer Treatment Plant and Drying Area at Slaughter House, Brgy. Guinhawa North, Tagaytay City</t>
  </si>
  <si>
    <t>Completion of Paagan Water System</t>
  </si>
  <si>
    <t>Payment for Security Service for the period of July 2020 to December 2020 at San Pablo City General Hospital, San Pablo City.</t>
  </si>
  <si>
    <t>ITB 20-0063 - Supply and Delivery of 5 drums Hydraulic Oil, AW 68 &amp; etc.</t>
  </si>
  <si>
    <t>Supply of four (4) pieces Steel Cabinet</t>
  </si>
  <si>
    <t>IMPROVEMENT OF MUNICIPAL IP HALL GROUND</t>
  </si>
  <si>
    <t>Supply and Delivery of Construction Materials - ITB 038-2020 GQ</t>
  </si>
  <si>
    <t>Books, Maps and Other Publications for Distribution to all Barangays of Oriental Mindoro</t>
  </si>
  <si>
    <t>Concreting of Pathway with Line Canal - ITB 039-2020 GQ</t>
  </si>
  <si>
    <t>Purchase of 12 Units Portable Generator set</t>
  </si>
  <si>
    <t>ITB 20-0062 - Supply and Delivery of 7,000 bags Cement, Portland, Quick Dry &amp; etc.</t>
  </si>
  <si>
    <t>ITB 20-0065 - Supply and Delivery of 1 unit X-Ray Machine.</t>
  </si>
  <si>
    <t>SUPPLY AND INSTALL OF BY-PASS POTABLE WATER PIPE LINE QUINANLIMAN, BRGY. POB. 1, REAL, QUEZON</t>
  </si>
  <si>
    <t>Renovation of Public Market</t>
  </si>
  <si>
    <t>Completion of Climate Resilient Multi-Purpose Hall  @Brgy. Capalong, Real, Quezon</t>
  </si>
  <si>
    <t>SUPPLY AND DELIVERY WITH INSTALLATION OF MATERIALS FOR SANITARY TOILET CONSTRUCTIONS</t>
  </si>
  <si>
    <t>One (1) Lot Information Technology</t>
  </si>
  <si>
    <t>SUPPLIES AND MATERIALS FOR MAGSAYSAY COLLEGE</t>
  </si>
  <si>
    <t>Supply Labor and Materials including Printing for the Production of 500 pieces Customized Corporate Bag</t>
  </si>
  <si>
    <t>Hospital/Medical Equipment for the use of Naujan Community Hospital</t>
  </si>
  <si>
    <t>1. Materials and Equipment Rental for the Repair and Improvement of School Stage , Efraim Santibañez National High School, Brgy. Sto. Tomas, Passi City, Iloilo/LSB/P 139,460.00,2. Materials for the Ba</t>
  </si>
  <si>
    <t>Procurement of Survey Equipment - PEO</t>
  </si>
  <si>
    <t>Furniture to be used/installed in the executive building</t>
  </si>
  <si>
    <t>Rehabilitation of Extension/Satellite Office @ Brgy. Llavac, Real, Quezon</t>
  </si>
  <si>
    <t>Payment for Janitorial Service for the period of July 2020 to December 2020 at San Pablo City General Hospital, San Pablo City.</t>
  </si>
  <si>
    <t>Supply of Labor, Materials and Equipment Rentals for the Rehabilitation of Liglican, Diversion Dam in Poblacion, Bakun, Benguet</t>
  </si>
  <si>
    <t>Q-092-20 UPGRADING OF FIBER LINE WITH WI-FI AND VOICE OVER IP WITH HARDWARE</t>
  </si>
  <si>
    <t>Water Supply System at Pasalubong Center</t>
  </si>
  <si>
    <t>CONCRETING OF BARANGAY ROAD (Brgy. Pulangbato)</t>
  </si>
  <si>
    <t>Re-shaping and Gravelling of Barangay Road</t>
  </si>
  <si>
    <t>CONDUCT OF SOIL BEARING CAPACITY TEST FOR LGU  4 STOREYS MULTI-PURPOSE BUILDING</t>
  </si>
  <si>
    <t>ITB 20-0064 - Supply and Delivery of 71 units Television, LED, Smart TV.</t>
  </si>
  <si>
    <t>Vehicle for use of Bulalacao Community Hospital (BCH)</t>
  </si>
  <si>
    <t>Construction Materials and Supplies for Provision of Cement and Painting Materials to Various Schools Provincewide</t>
  </si>
  <si>
    <t>CONCRETING OF A. BONIFACIO ST. JCT QUIRINO ST. AND ROXAS ST.</t>
  </si>
  <si>
    <t>Construction Of Senior Citizen Hall (Phase II), Brgy Dikildit , Maria Aurora, Aurora</t>
  </si>
  <si>
    <t>Construction of Multipurpose Bldg. (Mini-Gym)</t>
  </si>
  <si>
    <t>SUPPLY, DELIVERY &amp; INSTALLATION OF CALAMITY RELATED ALARM &amp; SECURITY MONITORING SYSTEM</t>
  </si>
  <si>
    <t>CONSTRUCTION OF MULTI-PURPOSE HALL AT BRGY STA. CRUZ</t>
  </si>
  <si>
    <t>Construction of Solar Drying Pavement (Phase II)</t>
  </si>
  <si>
    <t>CONSTRUCTION OF TWO STOREY MULTI-PURPOSE (MUNICIPAL ISOLATION) BUILDING, MUNICIPALITY OF MALIBCONG, ABRA</t>
  </si>
  <si>
    <t>Sporting Goods for distribution to Outstanding pupils and students in public and private schools in Oriental Mindoro</t>
  </si>
  <si>
    <t>Construction Of Multi-Purpose Building, Brgy. Decoliat, Maria Aurora, Aurora</t>
  </si>
  <si>
    <t>PROCUREMENT OF CORN SEEDS &amp; FERTILIZERS FOR THE SUSTAINABLE LAND RESOURCE MANAGEMENT APPROACH (SLRMA) FOR AGRI-ENVIRONMENTAL DEVELOPMENT OF UPLANDS AND HILLY LANDS AT SITIO NANGKA, PUNTIAN, SUMILAO, B</t>
  </si>
  <si>
    <t>CONCRETING OF BARANGAY STREET, Brgy. 08, Can-avid Eastern Samar</t>
  </si>
  <si>
    <t>Installation of Street Lights along E-Poblacion - Manaba, Garcia-Hernandez, Bohol</t>
  </si>
  <si>
    <t>Concreting of Gattac Road</t>
  </si>
  <si>
    <t>Hospital supplies and equipment</t>
  </si>
  <si>
    <t>CONSTRUCTION OF PROPER KALEO DRAINAGE</t>
  </si>
  <si>
    <t>Procurement of Food Stuff PR # 2020-06-04-178</t>
  </si>
  <si>
    <t>20BE0089: CLUSTER: (1) REPAIR/MAINTENANCE OF ALINGUIGAN 2ND FLOOD CONTROL (2) REPAIR/MAINTENANCE OF UGAD FLOOD CONTROL, ALINGUIGAN 2ND, CITY OF ILAGAN, ISABELA  &amp; CABAGAN (UGAD, SAN PABLO), ISABELA</t>
  </si>
  <si>
    <t>IB-05-0399-20HRND SUPPLY AND DELIVERY OF ESPRESSO MACHINE (HRND)</t>
  </si>
  <si>
    <t>Procurement of Various Equipment and Furniture and Fixtures for Instructional use of BSHM - Talisay Campus</t>
  </si>
  <si>
    <t>CONSTRUCTION OF SIKLING FOOTBRIDGE BARANGAY LATANG</t>
  </si>
  <si>
    <t>20GA0191-Re-Invitation-Construction of Revetment Wall (Flood Control) in Brgy. Poblacion Tangalan, Aklan Brgy. Poblacion, Tangalan, Aklan</t>
  </si>
  <si>
    <t>Construction of Multipurpose Bldg.-Nanginan</t>
  </si>
  <si>
    <t>Procurement of Navigation Equipment under the Hybrid Trimaran Project</t>
  </si>
  <si>
    <t>CONCRETING OF ROAD,  SO. PULO BRGY. ZARAH, SAN LUIS, AURORA</t>
  </si>
  <si>
    <t>CONCRETING OF ROAD, PUROK I, DITEKI, SAN LUIS, AURORA</t>
  </si>
  <si>
    <t>PROCUREMENT OF MEDICAL EQUIPMENT</t>
  </si>
  <si>
    <t>20BE0088: REPAIR AND MAINTENANCE OF DRAINAGE STRUCTURES ALONG CALAMAGUI-ILAGAN ROAD  KO398+(-250)-KO399+(-200), KO398+220-KO398+320 (RS),KO399+400-KO399+515(LS), KO399+542.70(LS), KO400+000-KO400+050</t>
  </si>
  <si>
    <t>Construction of Isolation Unit</t>
  </si>
  <si>
    <t>PROCUREMENT OF TECHNICAL AND SCIENTIFIC EQUIPMENT FOR RESEARCH AND DEVELOPMENT ACTIVITIES</t>
  </si>
  <si>
    <t>Procurement of Various Office Supplies - PAGSO</t>
  </si>
  <si>
    <t>IMPROVEMENT OF TAMAC DALIT FARM TO MARKET ROAD</t>
  </si>
  <si>
    <t>20ID0075	- Repair/ Rehabilitation of Damaged Concrete Pavement along Dulag-Julita-Burauen Road, K0946+000-K0947+500 with exceptions</t>
  </si>
  <si>
    <t>2nd posting for School Stage</t>
  </si>
  <si>
    <t>COMPLETION OF COMMERCIAL BUILDING - GOA</t>
  </si>
  <si>
    <t>SUPPLY AND DELIVERY OF VARIOUS CONSTRUCTION MATERIALS FOR TRUCK GARAGE AND BODEGA</t>
  </si>
  <si>
    <t>20HN0083 (Re-advertisement) -LP: Construction/Repair/ Rehabilitation/Improvement of  Various Infrastructure including Local Projects - Local Roads  and Bridges - Local Roads - Construction of Local Ro</t>
  </si>
  <si>
    <t xml:space="preserve">20BC0212-Repair/Improvement of carriageway along Manila North road and Claveria-Diabalio-Luzon Cagayan boundary road                                                                                    </t>
  </si>
  <si>
    <t>20GA0195-Re-Invitation-Concreting of Barangay Road Brgy. Dumatad, Tangalan, Aklan</t>
  </si>
  <si>
    <t>Purchase of Payloader - LGU-Maasin, Iloilo</t>
  </si>
  <si>
    <t>20BC0205-Repair/Maintenance of DOJ Building Regional Trial Court Main Building</t>
  </si>
  <si>
    <t>20BC0157 re-adv.-Local Infrastructure Program-Local Roads and Bridges-Concreting of Road Brgy. Balatubat, Calayan, Cagayan</t>
  </si>
  <si>
    <t>20GGF0016 – Procurement  of Global Navigation Satellite System (GNSS) Equipment (1 base, 2 rovers) with Complete Accessories for use in the Planning and Design Section, Iloilo 1st District Engineering</t>
  </si>
  <si>
    <t>Supply and Delivery of Outer Tire with Inner Tube and Flap.</t>
  </si>
  <si>
    <t>RFQ (20-06-059) Various Laboratory Supplies and Reagents</t>
  </si>
  <si>
    <t>Construction of Multi-Purpose Building (Phase II), Brgy. Dibut,San Luis, Aurora</t>
  </si>
  <si>
    <t>installation of fiber glass board and lighting of basketball court</t>
  </si>
  <si>
    <t>Supply and Delivery of Various IT Training Tools &amp; Equip. (2)</t>
  </si>
  <si>
    <t>Procurement of Various Housekeeping Supplies - ADMIN</t>
  </si>
  <si>
    <t>REHABILITATION OF PUBLIC MARKET - POBLACION I, VINZONS, CAM. NORTE</t>
  </si>
  <si>
    <t>RFQ (20-06-054) Oxygen</t>
  </si>
  <si>
    <t>CONSTRUCTION OF EVACUATION CENTER (COMPLETION) @ MUNICIPAL COMPOUND, BURGOS, ISABELA</t>
  </si>
  <si>
    <t>Extension of the Provincial Treasury Office, Brgy. Suklayin, Baler, Aurora</t>
  </si>
  <si>
    <t>REHABILITATION OF BREAKWATER (SABANG) - BRGY. SABANG, VINZONS, CAM. NORTE</t>
  </si>
  <si>
    <t>Procurement of Various Catering Services - OVG/OSP</t>
  </si>
  <si>
    <t>INVITATION TO BID FOR THE IMPROVEMENT OF ALORAN WATER SUPPLY SYSTEM (BARANGAY OSPITAL-DULLAN)</t>
  </si>
  <si>
    <t>Procurement of Various IT Supplies  - ADH</t>
  </si>
  <si>
    <t>Purchase of Laptop for Sangguniang Bayan Office</t>
  </si>
  <si>
    <t>PROCUREMENT OF HRIS AND PAYROLL SYSTEM</t>
  </si>
  <si>
    <t>CONCRETING OF BURGOS – QUIRINO PROVINCIAL ROAD @ BURGOS, ISABELA</t>
  </si>
  <si>
    <t>Procurement of CCTV Equipment and Accessories under the Hybrid Trimaran Project</t>
  </si>
  <si>
    <t>20GA0199-Re-Invitation-Concreting of Barangay Road Brgy. Tondog, Tangalan, Aklan</t>
  </si>
  <si>
    <t>Invitation to Apply for Eligibility and to Bid for IMPROVEMENT OF BGRY. POBLACION LEVEL II WATER SYSTEM, BALENO, MASBATE</t>
  </si>
  <si>
    <t>Delivery of labor and materials for the project of Rehabilitation of Foot bridge at Brgy. San Isidro, Bay,  Laguna</t>
  </si>
  <si>
    <t>INSTALLATION OF SOLAR STREETLIGHTS (Brgy. Poctol)</t>
  </si>
  <si>
    <t>Purchase of construction materials and supplies with labor on pakyaw or takay basis supplied by local laborers for the Repair/Improvement/Construction of Metro Sindangan Canal Phase 2</t>
  </si>
  <si>
    <t>Procurement of Various Machinery and Equipment - PEO ENGINEERING</t>
  </si>
  <si>
    <t>PURCHASE/DELIVERY OF 1 UNIT BACKHOE</t>
  </si>
  <si>
    <t>CONSTRUCTION OF ISOLATION FACILITY BUILDING</t>
  </si>
  <si>
    <t>PRINTING OF UNIVERSITY YEARBOOK (COCOON 2018)</t>
  </si>
  <si>
    <t>CONSTRUCTION OF MULTI-PURPOSE HALL AT BRGY SISIMON</t>
  </si>
  <si>
    <t>PACKAGE 2020:26:CONSTRUCTION OF ACCESS ROAD GOING TO CHICO RIVER</t>
  </si>
  <si>
    <t>Procurement of Various Catering Services - PGO</t>
  </si>
  <si>
    <t>Concreting of Municipal Roads</t>
  </si>
  <si>
    <t>FURNISHING AND DELIVERY OF MEDICAL SUPPLIES FOR MHO</t>
  </si>
  <si>
    <t>20ID0074	- Concreting of Sitio Diyo to Sitio Kapitugan Brgy. Libo FMR,Brgy. Libo,Carigara,Leyte</t>
  </si>
  <si>
    <t>PROCUREMENT OF TRAVELLING RICE MILL  (FOR SAN ISIDRO RICE FARMER ASSOCIATION, BUB 2015)</t>
  </si>
  <si>
    <t>Construction supplies</t>
  </si>
  <si>
    <t>CONSTRUCTION OF LOCAL ROAD/BRIDGE, PUROK 5</t>
  </si>
  <si>
    <t>CONSTRUCTION OF FENCE</t>
  </si>
  <si>
    <t>Rehabilitation/Major Repair of Permanent Bridges, Jones Bridge (B01204LZ) along Jct. Ipil-Quirino Bdry. Road</t>
  </si>
  <si>
    <t>SUPPLY &amp; DELIVERY OF VEGETABLE SEEDS FOR THE ESTABLISHMENT OF HOPE GARDENS</t>
  </si>
  <si>
    <t>PROCUREMENT OF VEHICLE (SB)</t>
  </si>
  <si>
    <t>Various COD Working Unifrom</t>
  </si>
  <si>
    <t>Agricultural Machinery and Equipment for subsidy/assistance to Local Government Units,  Other (Farmers Association/Cooperative)</t>
  </si>
  <si>
    <t>PROCUREMENT OF TWENTY (20) PIECES INVERTER – TYPE SV008iG5A-2</t>
  </si>
  <si>
    <t>Cocreting of Gecobe Road</t>
  </si>
  <si>
    <t>Procurement of Vehicle Spare Parts - SDH</t>
  </si>
  <si>
    <t>PROCUREMENT OF FIFTY- FIVE (55) PIECES SEALED BEAM PAR 56 FOR HEADLIGHT ON DIESEL ELECTRIC LOCOMOTIVE</t>
  </si>
  <si>
    <t>Procurement of Medical/Hospital Equipment  - ADH</t>
  </si>
  <si>
    <t>Procurement of Kitchen Equipment - SOYMPH</t>
  </si>
  <si>
    <t>Procurement of Vehicle Spare Parts &amp; Labor - PGO</t>
  </si>
  <si>
    <t>Procurement of Vehicle Spare Parts - PEO ENGINEERING</t>
  </si>
  <si>
    <t>ITB-140 Installation of Fire Sprinkler, Fire Detection and Alarm System,  Nasipit District Hospital, Nasipit, Agusan del Norte (REBID)</t>
  </si>
  <si>
    <t>20CSN012; CONSULTING SERVICES FOR THE GEOTECHNICAL AND GEOLOGICAL SURVEY/ INVESTIGATIONS FOR THE CONSTRUCTION OF STA. JOSEFA BRIDGE (PARALLEL) ALONG NRJ CUEVAS- SAMPAGUITA ROAD, AGUSAN DEL SUR</t>
  </si>
  <si>
    <t>Procurement of Engine Oil, Oil Filter &amp; Labor - PGO</t>
  </si>
  <si>
    <t>Concreting of Pandan Road, Barangay Pandan, Sogod, Southern Leyte</t>
  </si>
  <si>
    <t>Concreting of Dagsa Barangay Road, Barangay Dagsa, Sogod, Southern Leyte</t>
  </si>
  <si>
    <t>Reblocking of St. Bernard Municipal Road, Barangay Himatagon, St. Bernard, Southern Leyte</t>
  </si>
  <si>
    <t>Procurement of IT and Office Equipment - Lot 1 - IT Equipment - PAIASSO</t>
  </si>
  <si>
    <t>Fabrication &amp; Installation of PAIASO Shelves, Capitol Site, Asuncion, Maasin City, Southern Leyte</t>
  </si>
  <si>
    <t>Procurement of Various Office Supplies  - SOYMPH</t>
  </si>
  <si>
    <t>Rehabilitation of Brgy. Madanding FMR</t>
  </si>
  <si>
    <t>PRE-BID CONFERENCE 23/June/2020 - Procurement of Goods: Supply and Installation of Panoramic/Scenic ELEVATOR for the use of CMO (Const'n &amp; Maint. of City Hall Bldg. of Tagum) (PR#100-20-06-0032)</t>
  </si>
  <si>
    <t>Construction of Ilihan Concrete Pavement, Barangay Ilihan, Macrohon, Southern Leyte</t>
  </si>
  <si>
    <t>Supply of Fuel for the Repair and Maintenance of Dueg, San Clemente Labney, Mayantoc Provincial Road - B-G-2020-087</t>
  </si>
  <si>
    <t>SMALL VALUE PROCUREMENT FOR CATERING SERVICES</t>
  </si>
  <si>
    <t>Concreting of Soro-Soro-Hanginan Barangay Road, Maasin City, Southern Leyte</t>
  </si>
  <si>
    <t>Hiring of 2 Agency Security Guards</t>
  </si>
  <si>
    <t>Supply Labor and Materials for the Concreting of Roads at Different Sitios of the Municipality of Tabuelan, Cebu</t>
  </si>
  <si>
    <t>REHABILITATION/REPAINTING OF MULTI-PURPOSE BLDG., Barangay V, Daet Camarines Norte</t>
  </si>
  <si>
    <t>SECURITY CAMERA AND CCTV EQUIPMENTS</t>
  </si>
  <si>
    <t>RFQ - Assorted Construction Materials for use for Flood Control Activities - PR No. 2020-06-0114 dated 6-15-20</t>
  </si>
  <si>
    <t>Concrete Pavement of Access Road to the Existing Waste Disposal Area</t>
  </si>
  <si>
    <t>Procurement of ICT Resources for Geospatial Information and System Management Use</t>
  </si>
  <si>
    <t>Procurement of Window Blinds and Glass Sticker - Lot 1 - Window Blinds - OVG</t>
  </si>
  <si>
    <t>20OH0152-Local Program - Local   Infrastructure  Program - Buildings  and  other  Structures - Multi-Purpose/Facilities-Construction/Rehabilitation of Various Multi-purpose Building, Baseco Port Area,</t>
  </si>
  <si>
    <t>Supply of Delivery of construction material for Marigondon Elementary School</t>
  </si>
  <si>
    <t>PROCUREMENT OF MECHANICAL BEDS, MATTRESS AND BP APPARATUS (ITB No. 2020-155)-(bph-kalilangan)</t>
  </si>
  <si>
    <t>PROCUREMENT OF MEDICAL SUPPLIES AND EQUIPMENT (ITB No. 2020-154)-(bpmc)</t>
  </si>
  <si>
    <t>20GFO0014 - Purchase of One (1) Set - Portable Weigh-in-Motion (WIM) Axle Weigher, for Use in Axle Load Survey Program of DPWH Albay 3rd DEO, Paulog, Ligao City</t>
  </si>
  <si>
    <t>SUPPLY AND DELIVERY OF HANDHELD RADIO (ITB No. 2020-156)-(sp-maramara)</t>
  </si>
  <si>
    <t>Bid No. 20-0265 - PROCUREMENT OF OFFICE SUPPLIES - MTO (MUNICIPAL TREASURER'S OFFICE)</t>
  </si>
  <si>
    <t>REPOSTING  FOR MACHINERY  &amp;  EQUIPMENT OUTLAY FOR THE PURCHASE OF ONE UNIT NURSING SIMULATOR FOR THE USE OF COLLEGE OF HEALTH SCIENCES</t>
  </si>
  <si>
    <t>Invitation to Apply for Eligibility and to Bid for INSTALLATION OF LIGHTINGS FOR STORM-SURGE-PREVENTING BREAKWATER AND SEA WALL    (PHASE II)</t>
  </si>
  <si>
    <t>20GA0203-Construction of Bridge (Local Bridge) in Brgy. Laguinbanua, Ibajay, Aklan  Brgy. Laguinbanua, Ibajay, Aklan</t>
  </si>
  <si>
    <t>One (1) Lot – Operation and Maintenance Services of Air-conditioning System at ITIOD Data Center, BSP Head Office, as per BSP Terms of Reference</t>
  </si>
  <si>
    <t>Supply and Delivery of Live Animals and feeds</t>
  </si>
  <si>
    <t>20GA0054-Construction of Bridge (Local Bridge) from Malandayon to  Lilo-an in Brgy. Malandayon, Malinao, Aklan Brgy. Malandayon, Malinao, Aklan</t>
  </si>
  <si>
    <t>Procurement of Technical and Scientific Equipment (Lot 1. Water bath/holding tank with thermometer heater stainless steel bracing pan, etc</t>
  </si>
  <si>
    <t>Invitation to Apply for Eligibility and to Bid for IMPROVEMENT OF VALDEMORO SPORTS COMPLEX: CONSTRUCTION OF MUSIC ROOM</t>
  </si>
  <si>
    <t>20GDC0005 - Supply, Delivery and Installation of New Traffic Signs (7x) along Various National Roads</t>
  </si>
  <si>
    <t>20HC0181- CONSTRUCTION/COMPLETION OF WATER SYSTEM (LEVEL III), BRGY. LOMANGOG, UBAY, BOHOL</t>
  </si>
  <si>
    <t>Lease of Office and IT Equipment</t>
  </si>
  <si>
    <t>Landingan View Point Improvement</t>
  </si>
  <si>
    <t>PROPOSED RENOVATION OF CAMPUS PLANNING  DEVELOPMENT AND MAINTENANCE OFFICE UNIVERSITY OF THE PHILIPPINES MANILA</t>
  </si>
  <si>
    <t>RFQ (20-06-052) Entera Nutrition - Pediatric POlymeric 400g 1-3 years old</t>
  </si>
  <si>
    <t>PURCHASE OF ONE YEAR SSL SUBSCRIPTION FOR THE MUNICIPALITY OF BALIWAG</t>
  </si>
  <si>
    <t>SMALL VALUE PROCUREMENT OF IMPROVEMENT OF GULAYAN SA PAARALAN</t>
  </si>
  <si>
    <t>CONSTRUCTION OF LOCAL ACCESS ROAD</t>
  </si>
  <si>
    <t>Construction of Multi-Purpose Building and Stage, Brgy. Bangco, Maria Aurora, Aurora</t>
  </si>
  <si>
    <t>RFQ (20-06-049) Various Supplies for Mechanical Ventilator Rental Use</t>
  </si>
  <si>
    <t>Construction of Hanging Bridge at Sitio Tabiis Anak, N.Q.</t>
  </si>
  <si>
    <t>REHABILITATION / IMPROVEMENT OF POTABLE WATER SYSTEM - LEVEL II AT CORONON, DAVAO DEL SUR</t>
  </si>
  <si>
    <t>Concreting of Road w/ Line Canal, Brgy. Caragsacan, Dingalan, Aurora</t>
  </si>
  <si>
    <t>REPOSTING  FOR MACHINERY  &amp;  EQUIPMENT OUTLAY FOR THE PURCHASE OF VARIOUS EQUIPMENT FOR THE SCIENCE LABORATORY SKSU-KALAMANSIG CAMPUS</t>
  </si>
  <si>
    <t>Procurements of Spare Parts</t>
  </si>
  <si>
    <t>Procurement of Technical and Scientific Equipment (Lot 2. Spectrophotometer, Digital sugar refractometer, etc.)</t>
  </si>
  <si>
    <t>PURCHASE OF STOCK PILES</t>
  </si>
  <si>
    <t>1	Materials &amp; Equipment Rental for the Improvement of Agriculture Office, Brgy. Sablogon, Passi City, Iloilo, (P 83,910.39), 2	Materials and Equipment Rental for the Construction of Kiosk at Bus Termi</t>
  </si>
  <si>
    <t>RFQ (20-06-057) Tolda and Sodium hypochlorite (sprayer decontamination)</t>
  </si>
  <si>
    <t>2nd posting for Faulty Electrical Wirings</t>
  </si>
  <si>
    <t>CONSTRUCTION OF CORE LOCAL ACCESS ROAD @ KAUSWAGAN ST., BRGY. CROSSING, SAN ISIDRO, LEYTE</t>
  </si>
  <si>
    <t>Procurement of Technical and Scientific Equipment (Lot 5. Dual powered solar dryer)</t>
  </si>
  <si>
    <t>Procurement of Drugs &amp; Medicines</t>
  </si>
  <si>
    <t>Procurement of Various Agricultural Supplies - PAGSO</t>
  </si>
  <si>
    <t>CONSTRUCTION OF 24 UNITS STREETLIGHT AT AMAYA III</t>
  </si>
  <si>
    <t>CONSTRUCTION OF MULTI-PURPOSE HALL BRGY CANTONGTONG JIABONG SAMAR</t>
  </si>
  <si>
    <t>Procurement of Technical and Scientific Equipment (Lot 4. Small smoke house)</t>
  </si>
  <si>
    <t>CONSTRUCTION OF PACKAGE 1: 20% LDF CY 2020</t>
  </si>
  <si>
    <t>Purchase of Construction &amp; Other Materials for use in the rehabilitation of former City Engineering Office at Brgy. Ibabang Dupay, Lucena City for the use of City Engineering Office as requested by CM</t>
  </si>
  <si>
    <t>INSTALLATION OF STREETLIGHTS (Solar Panel) (Brgy. Sampiro)</t>
  </si>
  <si>
    <t>CONSTRUCTION OF ROOFING OF HEALTH CENTER PARKING AREA AT AMAYA VII</t>
  </si>
  <si>
    <t>CONSTRUCTION OF WATER SYSTEM @ SITIO SINAMBAG, BARANGAY DAJA DAKU</t>
  </si>
  <si>
    <t>Procurement of Rescue and Communication Equipment</t>
  </si>
  <si>
    <t>Procurement of Technical and Scientific Equipment (Lot 7. Chest type freezer/chiller, Ice cream machine, etc.)</t>
  </si>
  <si>
    <t>Supply and Delivery of One (1) Unit Brand New Rescue Vehicle (Ambulance)</t>
  </si>
  <si>
    <t>PUrchase of Materials for the Concreting of Municipal Streets (DELMES Access Road and New Govt Center), Pob. Ilawod, Lambunao, Iloilo</t>
  </si>
  <si>
    <t>Procurement of Troclosene Sodium under IB No. 2020-176</t>
  </si>
  <si>
    <t>CONSTRUCTION OF SEPTIC VAULT FOR HEALTH CARE WASTE</t>
  </si>
  <si>
    <t>Purchase of Laboratory Equipment  and Reagents for the Official Use of MHO</t>
  </si>
  <si>
    <t>CONSTRUCTION OF FLOOD CONTROL</t>
  </si>
  <si>
    <t>CONSTRUCTION OF MULTIPURPOSE HALL AT LAMBINGAN</t>
  </si>
  <si>
    <t>Procurement of Common-Use Office Supplies</t>
  </si>
  <si>
    <t>PROCUREMENT OF TOOLS AND EQUIPMENT FOR CITY ENGINEER'S OFFICE</t>
  </si>
  <si>
    <t>CONSTRUCTION AND IMPROVEMENT OF CANAL LINING AT JULUGAN I</t>
  </si>
  <si>
    <t>Procurement of Technical and Scientific Equipment (Lot 6. Water retort chamber with accessories)</t>
  </si>
  <si>
    <t>20NA0070 Concreting of Brgy. Sangay FMR, Buenavista, Agusan del Norte</t>
  </si>
  <si>
    <t>REPOSTING  FOR MACHINERY  &amp;  EQUIPMENT OUTLAY FOR THE PURCHASE OF VARIOUS EQUIPMENT FOR THE USE OF SCIENCE LABORATORY - SKSU TACURONG CAMPUS</t>
  </si>
  <si>
    <t>CONCRETING OF ROAD AT CASANUEVA-BIGA (PHASE 4)</t>
  </si>
  <si>
    <t>Procurement of Various Catering Services &amp; Training Materials - Lot 1 - Catering Services - PAGSO</t>
  </si>
  <si>
    <t>Consultancy and Training for Comprehensive Land Use Plan (CLUP) and Zoning Ordinance Formulation/Revision</t>
  </si>
  <si>
    <t>DISSILTING OF CREEK FOR FLOOD PREVENTION</t>
  </si>
  <si>
    <t>PRE-BID CONFERENCE 23/June/2020 - Procurement of Goods: Consolidated Office Supplies 2020 (2nd Quarter) (PR#100-20-05-0095, 100-20-05-0110, 100-20-05-0111, 100-20-05-0182)</t>
  </si>
  <si>
    <t>Procurement of Catering Services, Venue/Rental, Training Supplies &amp; Materials and Agricultural Supplies - Lot 4 - Agricultural Supplies - PAGSO</t>
  </si>
  <si>
    <t>CONCRETING OF ACCESS ROAD @ SAN ROQUE ST., POBLACION, INFANTA, PANGASINAN</t>
  </si>
  <si>
    <t>Construction of Fence at Evacuation Center</t>
  </si>
  <si>
    <t>Procurement of Various Catering Services &amp; Training Materials - Lot 2 - Training Materials</t>
  </si>
  <si>
    <t>Construction of Mini-Library</t>
  </si>
  <si>
    <t>Procurement of Catering Services, Venue/Rental, Training Supplies &amp; Materials and Agricultural Supplies - Lot 3 - Training Supplies - PAGSO</t>
  </si>
  <si>
    <t>CONSTRUCTION OF FARM TO MARKET ROAD, PUROK 3, BARANGAY PACPACO, CITY OF SAN FERNANDO</t>
  </si>
  <si>
    <t>Procurement of Executive Order (Tarpaulin ) Schedule Barangay</t>
  </si>
  <si>
    <t>Procurement of Catering Services, Venue/Rental, Training Supplies &amp; Materials and Agricultural Supplies - Lot 2 - Venue/Rental</t>
  </si>
  <si>
    <t>Construction of Bridge ( Phase I &amp; Phase II) at Antipolo Old, Nabua, Camarines Sur</t>
  </si>
  <si>
    <t>165 gallons Acid, muriatic, etc.</t>
  </si>
  <si>
    <t>Design and Build for the Construction of the Proposed Sewerage Treatment Plant of the Municipality of Coron.</t>
  </si>
  <si>
    <t>SUPPLY AND DELIVERY OF IT EQUIPMENT AND ACCESSORIES FOR THE CITY HEALTH OFFICE – 2ND BIDDING</t>
  </si>
  <si>
    <t>Procurement of Air-Conditioner (City Engineering Office)</t>
  </si>
  <si>
    <t>Design and Build of 3-Storey Solar Powered Gender-Neutral Student Dormitory Building</t>
  </si>
  <si>
    <t>City Projects</t>
  </si>
  <si>
    <t>20PJ0053: Repair/ Rehabilitation of National Road along Nueva Vizcaya- Ifugao Mt. Province Boundary Road, K0335+550- K0351+187 (Intermitent Section)</t>
  </si>
  <si>
    <t>Supply and Delivery of  DENTAL EQUIPMENT/FACILITY</t>
  </si>
  <si>
    <t>Supply, Delivery and Installation of Electro-Mechanical Equipment and Design for Pump Station, Construction of Pump House and Installation of Medium/Voltage for Pumping Station Power Supply</t>
  </si>
  <si>
    <t>REHABILITATION OF BARANGAY ROAD, PUROK 2, BARANGAY PAO SUR</t>
  </si>
  <si>
    <t>ITB NO. GOP/20-DSWD-041 - Provision of Multi-Year Contract for the Hiring of Service Provider for the Preventive Maintenance of the Passenger Elevator at DSWD - Central Office for CY 2020-2022</t>
  </si>
  <si>
    <t>SUPPLY AND DELIVERY OF OFFICE SUPPLIES (2nd Bidding)</t>
  </si>
  <si>
    <t>Construction of Camaa Hanging Footbridge</t>
  </si>
  <si>
    <t>Bantay Mangrove Outpost</t>
  </si>
  <si>
    <t>Supply and Delivery of Construction Materials &amp; Supplies</t>
  </si>
  <si>
    <t>Construction of Multi-Purpose Building (IT Building with Canopy)</t>
  </si>
  <si>
    <t>REHABILITATION OF DAM, BARANGAY CALABUGAO</t>
  </si>
  <si>
    <t>CONSTRUCTION OF SLOPE PROTECTION PUROK 1,2,3,4 &amp; 6, BARANGAY SANTIAGO NORTE</t>
  </si>
  <si>
    <t>Procurement of Technical and Scientific Equipment (Lot 2. Science Laboratory Equipment)</t>
  </si>
  <si>
    <t>Construction of Multi-Purpose Building</t>
  </si>
  <si>
    <t>SUPPLY AND DELIVERY OF SUPPLIES AND MATERIALS  FOR BARANGAY ROAD CONCRETING-Ilihan Public Market</t>
  </si>
  <si>
    <t>Rehabilitation of 10 Child Development Centers</t>
  </si>
  <si>
    <t>CONTINUATION OF FARM TO MARKET ROAD, BARANGAY PAO NORTE LEADING TO SACYUD</t>
  </si>
  <si>
    <t>Procurement of Technical and Scientific Equipment (Lot 1. Speech Lab. [additional])</t>
  </si>
  <si>
    <t>Procurement of Banana Cardava Plantlets - PAGSO</t>
  </si>
  <si>
    <t>SUPPLY, DELIVERY AND COMMISSIONING OF OPHTHALMIC ULTRASOUND A/B SCAN WITH UBM</t>
  </si>
  <si>
    <t>CONSTRUCTION OF RUBBLE-MOUND SEAWALL</t>
  </si>
  <si>
    <t>Supply and Delivery of Two (2) Units Brand New Elf Trucks of the Municipality of Tabuelan, Cebu</t>
  </si>
  <si>
    <t>SUPPLY AND DELIVERY OF ONE (1) UNIT BRAND NEW GENERATOR SET FOR THE CITY HEALTH OFFICE – 2ND BIDDING</t>
  </si>
  <si>
    <t>Painting of Guinsiliban Covered Court Roofing</t>
  </si>
  <si>
    <t>IMPROVEMENT OF POB. EAST ACCESS ROAD</t>
  </si>
  <si>
    <t>20PJ0055: Repair/ Maintenance of DPWH Building, Alfonso Lista, Ifugao</t>
  </si>
  <si>
    <t>LAPTOP AND PRINTER</t>
  </si>
  <si>
    <t>Construction of TB Dots</t>
  </si>
  <si>
    <t>Procurement of Various Catering Services - PAGSO</t>
  </si>
  <si>
    <t>20PJ0054: Repair/ Rehabilitation of Damage Existing Portland Cement Concrete Pavement (PCCP) along Banaue- Mayoyao- Alfonso Lista- Isabela Boundary Road, K0430+400- K0431+500, (Intermittent Section)</t>
  </si>
  <si>
    <t>2020-060, COMPLETION OF COVERED COURT AT BARANGAY NALIN, MIDSAYAP, COTABATO</t>
  </si>
  <si>
    <t>DREDGING OF CAYAPA RIVER</t>
  </si>
  <si>
    <t>CONSTRUCTION OF CONCRETE FLUME TYPE DRAINAGE CANAL, PUROK 2 &amp; 3, BARANGAY DALLANGAYAN ESTE</t>
  </si>
  <si>
    <t>RIPRAPPING OF FLOOD CONTROL @ SITIO KATAGBAKAN BRGY. GASANG, MABINI, BATANGAS</t>
  </si>
  <si>
    <t>Procurement of Various Planting Materials and Fertilizers - Lot 1 - Planting Materials - PAGSO</t>
  </si>
  <si>
    <t>SO-OPD20-012 - Seven (7) New Areas in Bohol under the Off-Grid Electrification Project</t>
  </si>
  <si>
    <t>CONSTRUCTION OF MULTI-PURPOSE ALL WEATHER FACILITY</t>
  </si>
  <si>
    <t>Construction of San Miguel Fire Station Building, San Miguel, Surigao del Norte, Caraga Region</t>
  </si>
  <si>
    <t>PROCUREMENT OF CCTV  INSTALLATION</t>
  </si>
  <si>
    <t>CONSTRUCTION OF MULTI-PURPOSE CENTER/EVACUATION CENTER IN BARANGAY BINANOGAN, VALDERRAMA (Brgy. Binanogan, Valderrama, Antique)/IB. NO. K-2020-023(SC)</t>
  </si>
  <si>
    <t>REHABILITATION OF CALANASAN SPORTS &amp; CULTURAL/EVACUATION CENTER</t>
  </si>
  <si>
    <t>20PL0117 - Construction/Concreting of the Tabuk City, Kalinga - Tuao, Cagayan Road via the Burayugan-San Francisco-Naruangan Section, Cagayan Road, Tabuk City, Kalinga</t>
  </si>
  <si>
    <t>Procurement of Various Medical Equipment for CY 2020</t>
  </si>
  <si>
    <t>PROCUREMENT OF BRAND NEW OF 10W DUMP TRUCK</t>
  </si>
  <si>
    <t>CONSTRUCTION OF MULTI-PURPOSE CENTER/EVACUATION CENTER IN BARANGAY MANLACBO, VALDERRAMA (Brgy. Manlacbo, Valderrama, Antique)/IB. NO. K-2020-024(SC)</t>
  </si>
  <si>
    <t>20PL0116 - Concreting of Sitio Turod to Sitio Burubur (Phase II) FMR, Brgy. Bulo, Tabuk City, Kalinga</t>
  </si>
  <si>
    <t>REHABILITATION OF FARM TO MARKET ROAD, PUROK 1, BARANGAY NAGYUBUYUBAN</t>
  </si>
  <si>
    <t>IMPROVEMENT ALONG ILOCOS SUR-ABRA ROAD</t>
  </si>
  <si>
    <t>20PJ0056: Repair/ Maintenance of DPWH Building Satellite Building, Gate and Perimeter Wall, Banaue, Ifugao</t>
  </si>
  <si>
    <t>DETAILED ENGINEERING  STUDY/DESIGN  OF WARAS  SRIP,  IRIGA CITY, CAMARINES SUR</t>
  </si>
  <si>
    <t>ESTABLISHMENT OF A CENTRALIZED EEM CCTV: AUXILIARY WET MARKET AND DRY MARKET</t>
  </si>
  <si>
    <t>20PL0104 - Construction of Pinukpuk-Balbalan Road (Bal - Aba-Aba Section), Brgy. Ballayangon, Pinukpuk, Kalinga</t>
  </si>
  <si>
    <t>ROAD CONSTRUCTION WITH DRAINAGE CANAL AT PUROK 8A, BACACA, BARANGAY 19-B, POBLACION DISTRICT, DAVAO CITY</t>
  </si>
  <si>
    <t>Procurement of Fuel, Oil and Lubricants - PAGSO</t>
  </si>
  <si>
    <t>ITB-B13-2020</t>
  </si>
  <si>
    <t>2020-061, CONSTRUCTION OF 2 UNITS WATER SYSTEM LEVEL II AT PUROK 5 AND 10,   MALAMOTE, MIDSAYAP, COTABATO</t>
  </si>
  <si>
    <t>Purchase of Materials for the Stage Improvement/Construction</t>
  </si>
  <si>
    <t>Procurement of Technical and Scientific Equipment (Lot 3. Automated rain gauge and Water level monitoring)</t>
  </si>
  <si>
    <t>Procurement of Catering Services, Venue/Rental, Training Supplies &amp; Materials and Agricultural Supplies - Lot 1 - Catering Services - PAGSO</t>
  </si>
  <si>
    <t>Concreting of Perlita Road</t>
  </si>
  <si>
    <t>Procurement of Red Evacuated Tube under IB No. 2020-189</t>
  </si>
  <si>
    <t>RFQ (20-06-053) Compressed Air</t>
  </si>
  <si>
    <t>PROC. OF VCM&amp;S FOR ROAD REHABILITATION AT KABAISANAN, PUROK PERLAS, BATOBATO, SAN ISIDRO, DAVAO ORIENTAL</t>
  </si>
  <si>
    <t>Completion of Concreting of Local Road, Inapatan to Angustia, Nabua, Camarines Sur</t>
  </si>
  <si>
    <t>Procurement of Window Blinds and Glass Sticker - Lot 2 - Glass Sticker</t>
  </si>
  <si>
    <t>PROC. OF WORKS FOR THE CONST'N OF 1 UNIT - 67.20 SQ.M. AND 3 UNITS - 25.5 SQ.M. MRF AT BRGY BATOBATO, TALISAY AND CAMBALEON</t>
  </si>
  <si>
    <t>Installation of 167 KVA Transformer, Brgy. Caragsacan, Dingalan, Aurora</t>
  </si>
  <si>
    <t>Hybrid Trimaran Vessel Classification</t>
  </si>
  <si>
    <t>PROC. OF WORKS FOR THE CONST'N OF CRISIS CENTER INCL. MADAC DRUG TREATMENT OFFICE</t>
  </si>
  <si>
    <t>Upgrading of Staboardside Main Engine of BRP Hydrographer Ventura</t>
  </si>
  <si>
    <t>Procurement of One (1) Unit Evacuation and Relief Vehicle  (Customized Stake Truck) (Brand New) Local Government Unit, Barugo, Leyte</t>
  </si>
  <si>
    <t>Supply and Delivery of Various Common-Use Office Supplies (Fund 161-IGP) LOT BIDDING</t>
  </si>
  <si>
    <t>20GA0221-Concreting of Sitio Liong to Sitio Tacube, Brgy. Calimbajan FMR Brgy. Calimbajan, Makato, Aklan</t>
  </si>
  <si>
    <t>DELIVERY OF MATERIALS FOR THE IMPROVEMENT OF WATERWORKS SYSTEM (BRGY. BUYOG)</t>
  </si>
  <si>
    <t>SUPPLY, DELIVERY, INSTALLATION OF SOLAR STREET LIGHTS FOR VARIOUS BARANGAY'S OF BUKIDNON (ITB No. 2020-157)-(sp-maramara, sp dinlayan and sp-gayon)</t>
  </si>
  <si>
    <t>Procurement of Fuel and Lubricants' Fleet Card for Official use of BFAR-13 July-December CY 2020</t>
  </si>
  <si>
    <t>Supply &amp; Delivery of Inks, Computer &amp; Accessories</t>
  </si>
  <si>
    <t>20KI0090 Contract Name	: Concreting of Brgy. Small Potongan FMR,  			  Brgy. Small Potongan, Concepcion, Misamis Occidental</t>
  </si>
  <si>
    <t>Procurement of Various Housekeeping Supplies  - PGO</t>
  </si>
  <si>
    <t>Purchase of Solar Lights at Buso/P11 Poblacion/Jasaan/Salimbobonog Capinonan &amp; Calagutay Capinonan, Cabanglasan, Bukidnon Lot 1,2</t>
  </si>
  <si>
    <t>REHABILITATION OF MULTI-PURPOSE HALL @ BRGY. TALAGA PROPER, MABINI, BATANGAS</t>
  </si>
  <si>
    <t>PURCHASE OF MONOBLOC CHAIRS</t>
  </si>
  <si>
    <t>PRE-PRINTED ID CARDS (CY2020)</t>
  </si>
  <si>
    <t>S3-B0820-002 - Supply of Labor, Special Tools, Consumable Materials and Equipment with Specialized Technicians/Mechanic for the On-site Restoration of Unit No.1 Daihatsu 6DK-32 Engine of PB 108</t>
  </si>
  <si>
    <t>REPAIR AND IMPROVEMENT OF BFP-NHQ MAIN BUILDING (Rehabilitation of Sanitary Line System)</t>
  </si>
  <si>
    <t>PROCUREMENT OF OFFICE SUPPLIES, IT SUPPLIES AND JANITORIAL SUPPLIES</t>
  </si>
  <si>
    <t>Concreting of Local Road Zone 5, Angustia, Nabua, Camarines Sur</t>
  </si>
  <si>
    <t>IMPROVEMENT OF BRGY. BALAWEG-MAPISI CIS</t>
  </si>
  <si>
    <t>Procurement of OR Equipment (HFEP)</t>
  </si>
  <si>
    <t>Construction/ Repair/ Rehabilitation/ Improvement of Various Infrastructure Including Local Projects – Rehabilitation of Road Teodora Alonzo, Baguio City</t>
  </si>
  <si>
    <t>SUPPLY, DELIVERY, INSTALLATION, CABLING, CONFIGURATION AND COMMISSIONING OF ICT EQUIPMENT FOR OPERATION CENTERS, REGION 2, 10, 12 AND CARAGA</t>
  </si>
  <si>
    <t>Procurement of Various Catering Services, Venue &amp; Accommodation - Lot 3 - Accommodation - PVET</t>
  </si>
  <si>
    <t>Improvement of Slaughter House</t>
  </si>
  <si>
    <t>SO-SPU20-006 - Supply and Delivery of Various Personnel Protective Equipment (PPE) for SPUG Plant Personnel</t>
  </si>
  <si>
    <t>Procurement of Various Catering Services, Venue &amp; Accommodation - Lot 2 - Venue - PVET</t>
  </si>
  <si>
    <t>Contract ID No. 20NC0127 - Construction of Multi-Purpose Building, Brgy. San Isidro, San Francisco, Agusan del Sur</t>
  </si>
  <si>
    <t>Contract ID No. 20NC0126 - Construction of Satellite Materials Laboratory Building, Agusan del Sur 2nd District Engineering Office, San Francisco, Agusan del Sur</t>
  </si>
  <si>
    <t>CONSTRUCTION OF WATER PUMPING SYSTEM</t>
  </si>
  <si>
    <t>CONCRETING OF POJO-HATAY-HATAY ROAD (Bugasong, Antique)/IB. NO. K-2020-056(SC)</t>
  </si>
  <si>
    <t>Construction/ Repair/ Rehabilitation/ Improvement of Various Infrastructure Including Local Projects - Rehabilitation of Road at Purok 2 and 3, Brgy. Sta. Escolastica Village, Baguio City</t>
  </si>
  <si>
    <t xml:space="preserve">INVITATION TO BID FOR Supply, Delivery, Installation, Configuration, Documentation and User’s Training of Firewall Appliance with UTM Subscription and User’s Training of Classroom Management Solution </t>
  </si>
  <si>
    <t>Procurement of Battery (12 Volts 9 Plates) - SOYMPH</t>
  </si>
  <si>
    <t>Procurement of Various Catering Services, Venue &amp; Accommodation - Lot 1 - Catering Services - PVET</t>
  </si>
  <si>
    <t>Procurement of One (1) Unit Motor Service Vehicle - PHSO</t>
  </si>
  <si>
    <t>Construction of Flood Control, Barangay San Jose (Additional Allocation)</t>
  </si>
  <si>
    <t>the Procurement of Various Planting Materials and Fertilizers - Lot 2 - Fertilizers - PAGSO</t>
  </si>
  <si>
    <t>Construction/ Repair/ Rehabilitation/ Improvement of Various Infrastructure Including Local Projects - Rehabilitation of Multi-Purpose Hall, Baguio City</t>
  </si>
  <si>
    <t>REHABILITATION OF BARANGAY HEALTH CENTER, STA. MONICA</t>
  </si>
  <si>
    <t>IMPROVEMENT OF FARM TO MARKET ROAD AT PALINA BALINSAWANG</t>
  </si>
  <si>
    <t>Procurement of Various Brand New Aircondition with Installation  - SOYMPH, PAIASO, SDH &amp; ADH</t>
  </si>
  <si>
    <t>CONSTRUCTION OF SEBIT-CAUCALAN WATER WORKS SYSTEM (PHASE 2)</t>
  </si>
  <si>
    <t>Supply of Services for the Conduct of Various In-House Trainings/Courses, as per BSP Terms of References:</t>
  </si>
  <si>
    <t>REHAB.OF BULUA BRGY.WATER SYSTEM, Barangay Bulua,Cagayan de Oro City.</t>
  </si>
  <si>
    <t>Improvement of Barangay Road (FTMR) ( Tomyong 1 &amp; 2 Sts.)</t>
  </si>
  <si>
    <t>PURCHASE OF MEDICINES AND MEDICAL SUPPLIES</t>
  </si>
  <si>
    <t>20MH0103 - Concreting Local Road, Purok Narra, Brgy.Poblacion, Sultan Kudarat</t>
  </si>
  <si>
    <t>20MH0085 - Concreting of Upper Balayan to Kinadao, Barangay Badiangon, Palimbang, Sultan Kudarat</t>
  </si>
  <si>
    <t>Invitation to Bid for the Purchase of  Brand New Motor Vehicle for the use of SB Office</t>
  </si>
  <si>
    <t>CONSTRUCTION OF MULTIPURPOSE HALL= TALOY SUR, TUBA, BENGUET</t>
  </si>
  <si>
    <t>PROCUREMENT OF  FUEL FOR 3rd QUARTER OF 2020 , SAN ISIDRO, DAVAO ORIENTAL</t>
  </si>
  <si>
    <t>Procurement of Security Services (1 Year Contract)</t>
  </si>
  <si>
    <t>Purchase of One (1) unit Ambulance for MDRRM use</t>
  </si>
  <si>
    <t>Small Value Value Procurement for Heavy Duty Printer</t>
  </si>
  <si>
    <t>CONSTRUCTION OF BANIWAS RCDG BRIDGE AT BARANGAY CABARUYAN</t>
  </si>
  <si>
    <t>PROJECT # 20-053 - PROCUREMENT OF CCTV CAMERA WITH TV MONITOR SYSTEM AND NETWORK INFRASTRUCTURE – CITY SCHOOL DIVISION OFFICE</t>
  </si>
  <si>
    <t>INVITATION TO BID FOR SUPPLY AND DELIVERY OF TEXTBOOKS AND REFERENCES FOR CY 2020 (REBIDDING)</t>
  </si>
  <si>
    <t>Invitation to Bid for the Purchase of one (1) unit Fully Reconditioned Double Cab Fire Truck of the MDRRM Office</t>
  </si>
  <si>
    <t>Construction of Masonry Drainage Structure along Bassig Street (Simangan Alley)</t>
  </si>
  <si>
    <t>Procurement of Various Food Stuff - PHSO</t>
  </si>
  <si>
    <t>PROJECT # 20-055 – PROCUREMENT OF RESPONSE / VEHICLE 4 WHEELER -LDRRMO</t>
  </si>
  <si>
    <t>8918-20-017) CONCRETING AND SIDEWALK IMPROVEMENT AT M. H. DEL PILAR ST, BURNHAM-LEGARDA C/O CEO</t>
  </si>
  <si>
    <t>Invitation to Bid for the Catering Services for Various Activities of the HRM Office and Mayor’s Office</t>
  </si>
  <si>
    <t>20GEB0041-R1: Procurement/Supply/Delivery of Office Equipment Supplies and Consumables for use in DPWH – Mindoro Occidental DEO  (Office of the DE/ Procurement Unit)</t>
  </si>
  <si>
    <t xml:space="preserve">20GEB0032-R1: Procurement/Supply/Delivery of Multi-Function Printer/ Copier/Scanner Heavy Duty with one (1) unit Colored Printer/ Copier for use of DPWH-Mindoro Occidental DEO (Administrative Section </t>
  </si>
  <si>
    <t>2860-20 Construction of Convention Center, Phase 2, (Northern Quezon Auditorium), Brgy. Comon, Infanta, Quezon - PEO</t>
  </si>
  <si>
    <t>20GEB0005-R1: Procurement/Supply/Delivery of Spare Parts for use in the Repair/Replacement of worn-out parts of various Service Vehicles in DPWH – Mindoro Occidental DEO (Construction Section)</t>
  </si>
  <si>
    <t>Supply and Delivery of Various construction Materials</t>
  </si>
  <si>
    <t>PROJECT # 20-043 – PROCUREMENT OF MOTOR VEHICLE (RESCUE VEHICLE CUSTOMIZED PICK-UP) -LDRRMO</t>
  </si>
  <si>
    <t>SUPPLY AND DELIVERY OF ONE (1) UNIT LED OR LIGHT</t>
  </si>
  <si>
    <t>SUPPLY AND DELIVERY OF ONE (1) UNIT ANESTHESIA MACHINE</t>
  </si>
  <si>
    <t>PROCUREMENT OF THE CONSTRUCTION  OF DOH REGIONAL OFFICE VI BUILDING, PHASE 2 DOH-REGIONAL OFFICE VI BRGY. BOLONG OESTE, STA. BARBARA, ILOILO IB NO.2020-06-001I</t>
  </si>
  <si>
    <t>Supply and Delivery of Laptops for various Public Schools.</t>
  </si>
  <si>
    <t>Invitation to Bid for the Purchase of Furniture and Fixtures for Mayor’s Office and MENR Office</t>
  </si>
  <si>
    <t>Procurement of Supply and Delivery of Nine (9) units Rice Combine Harvester (Rebid)</t>
  </si>
  <si>
    <t>SUPPLY OF DIESOLINE AND SPL GAS FOR THE CONSUMPTION OF THE DIFFERENT VEHICLE/OFFICES OF LGU-MOLAVE, ZDS</t>
  </si>
  <si>
    <t>RPT-20-0429-B LABORATORY SUPPLIES</t>
  </si>
  <si>
    <t>RPT-20-0431-B LABORATORY SUPPLIES</t>
  </si>
  <si>
    <t>RPT-20-0400-B LABORATORY SUPPLIES</t>
  </si>
  <si>
    <t>SUPPLY AND DELIVERY OF TWO (2) UNITS EXAMINATION TABLE WITH STIRRUPS</t>
  </si>
  <si>
    <t>Concreting &amp; Drainage Rehabilitation of J.M. Ceniza St., Looc, Mandaue City (21-2020)</t>
  </si>
  <si>
    <t>RPT-20-0399-B LABORATORY SUPPLIES</t>
  </si>
  <si>
    <t>RPT-20-0398-B LABORATORY SUPPLIES</t>
  </si>
  <si>
    <t>Proposed Asphalt overlay at Brgy. Sta. Ana, San Pablo City.</t>
  </si>
  <si>
    <t>RPT-20-0397-B LABORATORY SUPPLIES</t>
  </si>
  <si>
    <t>CY 2020 Quick Response Fund (QRF) Repair and Rehabilitation of School Building – Lot 1 – Repair and Rehabilitation of  Classrooms at Buruanga Elementary School, Buruanga, Aklan and Din-ut Elementary S</t>
  </si>
  <si>
    <t>Security Services for CTU Tuburan Campus</t>
  </si>
  <si>
    <t>RPT-20-0296-B MEDICAL SUPPLIES</t>
  </si>
  <si>
    <t>20GEB0064-R1: Procurement/Supply/Delivery of Office Equipment Supplies and Consumables for use in DPWH – Mindoro Occidental DEO  (Administrative Section – Property Unit)</t>
  </si>
  <si>
    <t>20GEB0042-B-R1: Procurement/Supply/Delivery of Multi-Function Printer/ Copier/Scanner Heavy Duty with one (1) unit Colored Printer/ Copier for use of DPWH-Mindoro Occidental DEO (Office of the DE/ Pro</t>
  </si>
  <si>
    <t>RPT-20-0401-B LABORATORY SUPPLIES</t>
  </si>
  <si>
    <t>Small Value Procurement OF 2 SETS 18X20 CANOPY</t>
  </si>
  <si>
    <t>CONSTRUCTION OF WATER SYSTEM FOR DOMESTIC USE</t>
  </si>
  <si>
    <t>CONSTRUCTION OF PESKONG DRAINAGE</t>
  </si>
  <si>
    <t>One (1) Lot – Subscription to e-Learning Program on Bankwide and Leadership &amp; Management (L&amp;M) Courseware, as per BSP Terms of Reference</t>
  </si>
  <si>
    <t>RPT-20-0295-B DRUGS AND MEDICINES</t>
  </si>
  <si>
    <t>Purchase of Two (2) units Rescue Vehicle for the use of Emergency response</t>
  </si>
  <si>
    <t>Multi purpose vehicle(surplus)</t>
  </si>
  <si>
    <t>RPT-20-0357-B DRUGS AND MEDICINES</t>
  </si>
  <si>
    <t>CONSTRUCTION OF SA-ONG COVERED DRAINAGE</t>
  </si>
  <si>
    <t>2020-GOODS-035_Upgrading of Engineering and Technology Laboratories of the Pangasinan State University</t>
  </si>
  <si>
    <t>CONSTRUCTION OF SAFIANGON-CHALLOS FOOTBRIDGE</t>
  </si>
  <si>
    <t>Invitation to Bid for the Improvement of School at Pagsanga-an Elementary School (Repair of Ceiling and Electrical Wiring in Library and Computer Room, Improvement of H.E. Room and Extension of School</t>
  </si>
  <si>
    <t>2020-GOODS-034_Modernization of Information Technology and Network Communication Laboratory Facility of College of Computing Sciences</t>
  </si>
  <si>
    <t>Construction of Masonry Drainage Structure along Bassig Street (Bangayan Alley)</t>
  </si>
  <si>
    <t>REPAIR AND IMPROVEMENT OF PERIMETER FENCE,SEPARATOR WALL,MAIN GATE AND PEDESTRIAN GATE</t>
  </si>
  <si>
    <t>20GMH048 - Supply/Delivery of Diesel Tire and Battery for use of Service Vehicle assigned at the Planning and Design Section, DPWH-Sultan Kudarat 2nd District Engineering Office</t>
  </si>
  <si>
    <t>20GD00003: PROVSION OF 14 SECURITY SERVICES AT DPWH REGIONAL OFFICE NO. IV-A, EDSA, QUEZON CITY FOR   SIX (6) MONTHS</t>
  </si>
  <si>
    <t>PROJECT # 20-039 - PROCUREMENT OF ICT EQUIPMENT FOR TEACHING AND LEARNING PURPOSES – CITY SCHOOL DIVISION OFFICE</t>
  </si>
  <si>
    <t>20GMH047 - Supply/Delivery of Diesel Fuel and Engine Oil for use of service vehicle assigned at the Planning and Design Section, DPWH-Sultan Kudarat 2nd District Engineering Office</t>
  </si>
  <si>
    <t>Drilling of One (1) Production Well</t>
  </si>
  <si>
    <t>Improvement of Designated Excavation Center</t>
  </si>
  <si>
    <t>Invitation to Bid for the Improvement of School at Aganan-Ungka Elementary School (Elevation of Classroom, Canteen and Pathways)</t>
  </si>
  <si>
    <t>CONSTRUCTION OF FLUE CURING BARN</t>
  </si>
  <si>
    <t>AGR-19-1448-B  Construction of Crab Hatchery</t>
  </si>
  <si>
    <t>2nd Invitation to Bid for the  CONSTRUCTION OF NAMANGEGAN ALLOY CIS PHASE III Located at Kasibu, Nueva Vizcaya</t>
  </si>
  <si>
    <t>PROC of HARDWARE/SOFTWARE EQIPEMENTS FOR AUTOMATION OF PERMITS &amp; LICENSES (EASE OF DOIMG BUSINESS</t>
  </si>
  <si>
    <t>PURCHASE OF ELECTRICAL SUPPLIES  USE FOR BRGY. BULUA CAGAYAN DE ORO CITY.</t>
  </si>
  <si>
    <t>EXTENSION OF NVPH SLOPE PROTECTION Located at Almaguer North, Bambang, Nueva Vizcaya</t>
  </si>
  <si>
    <t>2nd Invitation to Bid for the  CONSTRUCTION OF PANIKI UPPER TALLA, CORDON CIS Located at Cordon, Kasibu, Nueva Vizcaya</t>
  </si>
  <si>
    <t>SDH-20-0449-B LABORATORY SUPPLIES</t>
  </si>
  <si>
    <t>2nd Invitation to Bid for the  CONSTRUCTION OF UBUN-PAPAYA-DOMANG CIS Located at Kasibu, Nueva Vizcaya</t>
  </si>
  <si>
    <t>Construction of Teen Activity Center at Poblacion, Nabunturan, Davao de Oro</t>
  </si>
  <si>
    <t>SDH-20-0441-B MEDICAL SUPPLIES</t>
  </si>
  <si>
    <t>SDH-20-0444-B LABORATORY SUPPLIES</t>
  </si>
  <si>
    <t>20GEB0047-A-R1: Procurement/Supply/Delivery of Desktop Computer, Laptop Computer and IT Peripherals for use of DPWH – Mindoro Occidental DEO (Construction Section)</t>
  </si>
  <si>
    <t>REHAB./RESTORATION OF ARTC GREENHOUSE INSTALLATION OF NET COVER AND DRIP IRRIGATION (CONST. OF ELEVATED CONC. WATER TANK) Located at Prov’l. Nursery, Magsaysay, Bay., Nueva Vizcaya</t>
  </si>
  <si>
    <t>SDH-20-0446-B LABORATORY SUPPLIES</t>
  </si>
  <si>
    <t>REHAB./RESTORATION OF ARTC GREENHOUSE INSTALLATION OF NET COVER AND DRIP IRRIGATION (INST. OF DRIP IRRIGATION SYSTEM) Located at Prov’l. Nursery, Magsaysay, Bay., Nueva Vizcaya</t>
  </si>
  <si>
    <t>REHAB./RESTORATION OF ARTC GREENHOUSE INSTALLATION OF NET COVER AND DRIP IRRIGATION (INST. OF NET COVER) Located at Prov’l. Nursery, Magsaysay, Bay., Nueva Vizcaya</t>
  </si>
  <si>
    <t>SDH-20-0445-B LABORATORY SUPPLIES</t>
  </si>
  <si>
    <t>Invitation to Bid for the Improvement of School at Pandac Elementary School (Extension of Covered Court, Roofing and Ceiling of Classrooms)</t>
  </si>
  <si>
    <t>REHAB./RESTORATION OF ARTC GREENHOUSE INSTALLATION OF NET COVER AND DRIP IRRIGATION (INST. OF SOLAR PUMP IRRIGATION SYSTEM) Located at Prov’l. Nursery, Magsaysay, Bay., Nueva Vizcaya</t>
  </si>
  <si>
    <t>Delivery of various ICT Equipment needed for various offices (Consolidated) (ITB 20-072)</t>
  </si>
  <si>
    <t>CONTRACT ID : 20GLF0031 - PROCUREMENT OF OFFICE SUPPLIES/CONSUMABLES FOR USE IN THE MAINTENANCE SECTION DPWH DAVAO ORIENTAL FIRST DEO, BAGANGA, DAVAO ORIENTAL (FOR 3RD QUARTER CY-2020) WITH PR NO.  20</t>
  </si>
  <si>
    <t>CONSTRUCTION PROJECT (LOCAL ACCESS ROADS, SO. LAKE DANAO, BGY. POBLACION, TAYTAY, PALAWAN)</t>
  </si>
  <si>
    <t>Supply and Delivery of 165 m.t. Bituminous Concrete Surface Course (FD-Sandmix) 416 m.t. Bituminous Concrete  Surface Course (FD) to be used in the repair  and maintenance of various national roads in</t>
  </si>
  <si>
    <t>20BF0060: Construction of Rainwater Collection System (RWCS)</t>
  </si>
  <si>
    <t>Re-Bidding for the Supply &amp; Delivery of Medical Supplies for MDRRMO use</t>
  </si>
  <si>
    <t>Supply of Labor and Materials for the Installation of New Cooling Coils for Air Handling Units at NAIA Terminal 3</t>
  </si>
  <si>
    <t>Construction of Multi-Purpose Pavement</t>
  </si>
  <si>
    <t>SUPPLY, DELIVERY, INSTALLATION AND COMMISSIONING OF ONE (1) UNIT ENT-HNS DIGITAL VIDEO STROBOSCOPE</t>
  </si>
  <si>
    <t>PACKAGE I- CONSTRUCTION  &amp; RIPRAPPING OF BARANGAY ROAD  @ SITIO HULO WEST, RIPRAPPING OF BARANGAY ROAD AT SITIO LOOBAN, BRGY. SOLO, MABINI, BATANGAS&amp;</t>
  </si>
  <si>
    <t>SDH-20-0363-B DRUGS AND MEDICINES</t>
  </si>
  <si>
    <t>CONSTRUCTION OF CONCRETE CANAL</t>
  </si>
  <si>
    <t>ITB - Supply and Delivery of Laboratory Supplies for CY 2020 (Supplemental)</t>
  </si>
  <si>
    <t>Procurement of Supply and Delivery of Eight (8) units Rice Transplanter (Ride-on) Rebid</t>
  </si>
  <si>
    <t>PROCUREMENT FOR THE SUPPLY AND DELIVERY OF VARIOUS LABORATORY EQUIPMENT FOR USE OF CENTRAL POST ENTRY QUARANTINE STATION OF NATIONAL PLANT QUARANTINE SERVICES DIVISION (NPQSD)</t>
  </si>
  <si>
    <t>4 set Surgical Instruments for Gynecology Major</t>
  </si>
  <si>
    <t>BNLSL-LCB-31A-2020 – Construction of Canal, Farm Level, Drainage and Road System (Package II) of Bahay SIP, San Miguel, Leyte</t>
  </si>
  <si>
    <t>20GJC0193 – 8 units Desktop Computer etc.</t>
  </si>
  <si>
    <t>6 set Surgical Instruments for NSD</t>
  </si>
  <si>
    <t>BNLSL-LCB-31-2020 – Construction of Pump Works (Package I) of Bahay SIP, San Miguel, Leyte</t>
  </si>
  <si>
    <t>REHABILITATION OF MULTI-PURPOSE BUILDING - CAMINDOROAN - SAN  JUAN, ILOCOS SUR</t>
  </si>
  <si>
    <t>8 sets Surgical Instruments for Caesarian Section</t>
  </si>
  <si>
    <t>SUPPLY AND DELIVERY OF ONE (1) UNIT PULMONARY FUNCTION TEST MACHINE</t>
  </si>
  <si>
    <t>CONTRACT ID: 20-06-084 - SUPPLY, DELIVERY,INSTALLATION, TESTING AND COMMISSIONING OF VARIOUS MEDICAL EQUIPMENT</t>
  </si>
  <si>
    <t>eMail Infrastructure Technology Refresh</t>
  </si>
  <si>
    <t>IB No. 2020-221 PROCUREMENT OF BEDAQUILINE FUMARATE</t>
  </si>
  <si>
    <t>CONTRACT ID: 20-06-085 - PROCUREMENT OF POLYETHYLENE NET / SCREEN</t>
  </si>
  <si>
    <t xml:space="preserve">20CSKG01 :Sub-Surface Exploration for the 1) Construction of New SINDIG Bridge (35 Lin.m.) Chainage 3700  along LDNICR (S0097MN), 2) Construction of 1-NEW Concrete Bridge, Chainage 22054 of S00963MN, </t>
  </si>
  <si>
    <t>SDH-20-0362-B DRUGS AND MEDICINES</t>
  </si>
  <si>
    <t>CONTRACT ID: 20GLF0032 - PROCUREMENT OF OFFICE SUPPLIES/CONSUMABLES FOR USE IN THE  DPWH DAVAO ORIENTAL FIRST DEO, BAGANGA, DAVAO ORIENTAL (CONSOLIDATED PR FOR 3RD QUARTER CY-2020) WITH PR NO.  2020-0</t>
  </si>
  <si>
    <t>Non-Prod Infrastructure Technology Refresh</t>
  </si>
  <si>
    <t>Supply and Delivery of Thermoplastic Paint to be used in Lane Markings in Various national roads in Quezon City (Dist. III &amp; IV)</t>
  </si>
  <si>
    <t>Purchase of Xerox Machine</t>
  </si>
  <si>
    <t>Construction of Access Road From Brgy. Poblacion to Brgy. Guadalupe</t>
  </si>
  <si>
    <t>SDH-20-0447-B LABORATORY SUPPLIES</t>
  </si>
  <si>
    <t>SDH-20-0448-B LABORATORY SUPPLIES</t>
  </si>
  <si>
    <t>AGR-20-0668-B Purchase of Water Supply Accessories</t>
  </si>
  <si>
    <t>CONTRACT ID: 20GLF0033 - Procurement of Various Spare Parts for use in the Repair of Double Cab. KIA Bongo H1-7299/MAE-6368, Double Cab KIA Bongo H1-7298 and HINO Mini Dumptruck H3-6787 for use in the</t>
  </si>
  <si>
    <t>Fabrication of 4-Units Waste Management Segregation</t>
  </si>
  <si>
    <t>SDH-20-0443-B OFFICE SUPPLIES</t>
  </si>
  <si>
    <t>SDH-20-0442-B MEDICAL SUPPLIES</t>
  </si>
  <si>
    <t>SDH-20-0273-B OFFICE SUPPLIES</t>
  </si>
  <si>
    <t>REHABILITATION OF SOLAR DRYER</t>
  </si>
  <si>
    <t>Completion of Cajidiocan Sports Complex Concrete Bleacher Cajidiocan, Romblon</t>
  </si>
  <si>
    <t>BNLSL-LCB-30-2020 – Construction of Diversion Works, Canal, Farm Level and Drainage System of Buli SIP, Bato, Leyte</t>
  </si>
  <si>
    <t>Supply and Delivery of Construction Supplies and Materials</t>
  </si>
  <si>
    <t>GIVING IN FAMILY TOGETHER (GIFT)</t>
  </si>
  <si>
    <t>SDH-20-0395-B HOUSEKEEPING SUPPLIES</t>
  </si>
  <si>
    <t>ENVIRONMENTAL AWARENESS AND EDUCATION REPUBLIC ACT 9512 OF 2008</t>
  </si>
  <si>
    <t>MUSIK LABAN</t>
  </si>
  <si>
    <t>Construction of Second Floor Food Court  Phase 2</t>
  </si>
  <si>
    <t>SAMPIRO LIVELIHOOD FESTIVAL</t>
  </si>
  <si>
    <t>HELP:HONING AND EDUCATING LEADERS OF POBLACION</t>
  </si>
  <si>
    <t>CAREER DAY FOR POBLACION KIDS</t>
  </si>
  <si>
    <t>CONCRETING OF SITIO ALIGTUS-IGPALGE ROAD, BARBAZA (Barbaza, Antique)/IB. NO. K-2020-049(SC)</t>
  </si>
  <si>
    <t>EDUCATION SUMMIT</t>
  </si>
  <si>
    <t>FEELING PASKO SA POBLACION</t>
  </si>
  <si>
    <t>Construction of Basketball Post, Board, and Ring</t>
  </si>
  <si>
    <t>IB No. 2006-320 Proc. of Infra (Road Concreting of F. Dagohoy Circumferential Road (J.A. Clarin St. – C. Darunday St.)</t>
  </si>
  <si>
    <t>SUPPLY OF LABOR AND MATERIALS FOR INSTALLATION OF TOP ROOFING OF NPQSD-CENTRAL OFFICE BUILDING (NPQSD)</t>
  </si>
  <si>
    <t>Procurement of High Speed Drill System for Neuro and ENT Surgery (HFEP)</t>
  </si>
  <si>
    <t>Construction of Perimeter Fence (Phase I) for the Bureau of Jail Management and Penology (BJMP) Facility at Barangay Lonos (Sitio Wireless) Romblon, Romblon</t>
  </si>
  <si>
    <t>Procurement of One (1) Unit Service Veicle for use of the City Government of Tarlac. B2020-075-A</t>
  </si>
  <si>
    <t>Concrete Paving of Provincial Road to Public Cemetery (Additional Fund), Looc, Romblon</t>
  </si>
  <si>
    <t>Local Infrastructure Program – Renovation of PFVR Building, Department of Education Division Office, Brgy. Military Cut Off, Baguio City, Benguet</t>
  </si>
  <si>
    <t>CONTSRUCTION/IMPROVEMENT/REHABILITATION OF LINE CANAL &amp; PATHWA7Y @ BRGY. BULACAN, MABINI, BATANGAS</t>
  </si>
  <si>
    <t>CONSTRUCTION OF MULTI-PURPOSE HALL (Brgy. Inabasan Sur, Hamtic, Antique )/IB. NO. K-2020-028(SC)</t>
  </si>
  <si>
    <t>Students Hygiene Kit</t>
  </si>
  <si>
    <t>Construction of Concrete Pavement at Public Market Area, R. T. Lim, Zamboanga Sibugay.</t>
  </si>
  <si>
    <t>Procurement of Ultrasonic Assisted Generators and Debridement thru low frequency ultrasound cavitation (25kHz and 35kHz) (HFEP)</t>
  </si>
  <si>
    <t>LABOR &amp; MATERIALS FOR UPGRADING OF ALLEY WITH IMPROVEMENT OF DRAINAGE CANAL, BLK. 32A PHASE 2 AREA 2, BRGY. NBBS DAGAT-DAGATAN, NAVOTAS CITY</t>
  </si>
  <si>
    <t>DELIVERY OF MATERIALS FOR THE IMPROVEMENT OF BRGY. MULTI PURPOSE BUILDING</t>
  </si>
  <si>
    <t>Invitation to Bid for the Concreting of Farm to Market Road @ Brgy. Pug-os (Balay-oac), Cabugao, Ilocos Sur</t>
  </si>
  <si>
    <t>Invitation to Bid for the Improvement of Water System @ Cabugao, Ilocos Sur</t>
  </si>
  <si>
    <t>Invitation to Bid for the Construction of Slope Protection @ Brgy. Quezon, Cabugao, Ilocos Sur</t>
  </si>
  <si>
    <t>Invitation to Bid for the Construction of Multi-Purpose Building @ Brgy. Carusipan (Proper), Cabugao, Ilocos Sur</t>
  </si>
  <si>
    <t>Invitation to Bid for the Construction of Multi-Purpose Drying Pavement (MPDP) @ Brgy. Quezon, Cabugao, Ilocos Sur</t>
  </si>
  <si>
    <t>Invitation to Bid for the Construction of Multi-Purpose Drying Pavement (MPDP) @ Brgy. Bato, Cabugao, Ilocos Sur</t>
  </si>
  <si>
    <t>CP 2020-38 BIDDING FOR THE SUPPLY, DELIVERY, INSTALLATION AND MAINTENANCE OF ENERGY EFFICIENT SOLID STATE LUMINAIRES C/O CEO</t>
  </si>
  <si>
    <t>CP 2020-37 BIDDING FOR THE SUPPLY AND DELIVERY OF ANTI-RABIES VACCINES C/O HSO</t>
  </si>
  <si>
    <t>4 set Surgical Instruments for Gynecology Minor</t>
  </si>
  <si>
    <t>Concreting of Barangay Road Station 2 going to P/Dona Eming &amp; Balabag-bato</t>
  </si>
  <si>
    <t>DALOY NG KASAYSAYAN POBLACION RIVER CRUISE</t>
  </si>
  <si>
    <t>8918-20-002)CONSTRUCTION OF SEWERLINE FROM PORTA VAGA AREA TO POST OFFICE AT KABAYANIHAN C/O CEPMO</t>
  </si>
  <si>
    <t>Drainage Construction along Gen. Luna St.</t>
  </si>
  <si>
    <t>Improvement of Municipal Waterworks System</t>
  </si>
  <si>
    <t>invitation to Bid</t>
  </si>
  <si>
    <t>Improvement/Repair of Bobon Integrated Food and Transport Terminal (Damaged by Typoon Tisoy)</t>
  </si>
  <si>
    <t>Repair/Rehabilitation of Main Building and Completion of Wards at Tablas Island District Hospital (TIDH) San Agustin, Romblon</t>
  </si>
  <si>
    <t>PROCUREMENT FOR THE SUPPLY AND DELIVERY OF GC COLUMNS FOR USE IN LABORATORIES OF PLANT PRODUCT SAFETY SERVICES DIVISION (PPSSD)</t>
  </si>
  <si>
    <t>COFFEE PROCESSING PROJECT OF THE LUBU-ONG BIMMOBLE ORGANIZATION – LOT 2</t>
  </si>
  <si>
    <t>STRENGTHENING OF THE WEAVING PROJECT OF HUNGDUAN WEAVER’S ASSOCIATION – LOT 2</t>
  </si>
  <si>
    <t>Procurement &amp; Distribution of 576 Head Chicken to the TD-Usman affected Farmers in Bobon, Northern Samar</t>
  </si>
  <si>
    <t>DEVELOPING THE HANDICRAFT INDUSTRY OF THE AGAYAP AGRICULTURE AND LIVELIHOOD ORGANIZATION – LOT 3</t>
  </si>
  <si>
    <t>Riprapping of Provincial Road Poblacion, Sta. Fe, Romblon</t>
  </si>
  <si>
    <t>STRENGTHENING OF THE WEAVING PROJECT OF HUNGDUAN WEAVER’S ASSOCIATION – LOT 1</t>
  </si>
  <si>
    <t>Developing the Handicraft Industry of the Agayap Agriculture and Livelihood Organization – Lot 2</t>
  </si>
  <si>
    <t>Concreting of Rerouting Road From Legislative to In Front of MSWD Office - Phase I, Municipal Site, R. T. Lim, Zamboanga Sibugay.</t>
  </si>
  <si>
    <t>Invitation to Bid for the Concreting of Farm to Market Road @ Brgy. Pug-os (Inanama Norte), Cabugao, Ilocos Sur</t>
  </si>
  <si>
    <t>COFFEE PROCESSING PROJECT OF THE LUBU-ONG BIMMOBLE ORGANIZATION – LOT 3</t>
  </si>
  <si>
    <t>Concrete Paving of Farm to Market Road, Cambalo, Cajidiocan, Romblon</t>
  </si>
  <si>
    <t>Developing the Food Processing Industry of the Baang Women’s Organization and Rural Improvement Club – Lot 2</t>
  </si>
  <si>
    <t>Completion of Food Court    Poblacion, Cajidiocan, Romblon</t>
  </si>
  <si>
    <t>Construction of Maternity Half-Way House, San Jose District Hospital, Poblacion, San Jose, Romblon</t>
  </si>
  <si>
    <t>DEVELOPING THE FOOD PROCESSING INDUSTRY OF THE BAANG WOMEN’S ORGANIZATION AND RURAL IMPROVEMENT CLUB – LOT 1</t>
  </si>
  <si>
    <t>Repair of Sitio Sinongtan Bridge Brgy. Lanas, San Jose, Romblon</t>
  </si>
  <si>
    <t>Stone Masonry - Entrance going to P/Dona Eming &amp; Balabag-bato</t>
  </si>
  <si>
    <t>Repair of Sitio Tinap-an Bridge Brgy. Lanas, San Jose, Romblon</t>
  </si>
  <si>
    <t>Site Development for Municipal Housing Project at Brgy. Poblacion San Agustin, Romblon</t>
  </si>
  <si>
    <t>Slope Protection at Sitio Bagulayag, Tubigon, Ferrol, Romblon</t>
  </si>
  <si>
    <t>Concrete Paving of Farm to Market Road, Gutivan, Cajidiocan, Romblon</t>
  </si>
  <si>
    <t>Provision of Coffee Pre-Processing Facilities</t>
  </si>
  <si>
    <t>INVITATION TO BID FOR CONCRETING OF REBUKEN ROAD – TESDA ROAD</t>
  </si>
  <si>
    <t>Provision of Coffee Processing Center and Facilities</t>
  </si>
  <si>
    <t>PROVISION OF CITRUS PROCESSING EQUIPMENT AND FACILITIES</t>
  </si>
  <si>
    <t>Invitation to Bid for the Concreting of Farm to Market Road @ Brgy. Pug-os (Inanama Sur), Cabugao, Ilocos Sur</t>
  </si>
  <si>
    <t>DEVELOPING THE ROOT CROPS INDUSTRY OF THE AHIN FARMERS DEVELOPMENT ORGANIZATION INCORPORATED – LOT 4</t>
  </si>
  <si>
    <t>Completion of Educ’l Facilities (Completion of Stage) at Tampayan Elementary School Magdiwang, Romblon</t>
  </si>
  <si>
    <t>DEVELOPING THE ROOT CROPS INDUSTRY OF THE AHIN FARMERS DEVELOPMENT ORGANIZATION INCORPORATED – LOT 2</t>
  </si>
  <si>
    <t>LOT 8 - CY2020 Repair and Rehabilitation Program</t>
  </si>
  <si>
    <t>PROVISION OF VEGETABLE BREAD PROCESSING FACILITIES</t>
  </si>
  <si>
    <t>LOT 7 - CY2020 Repair and Rehabilitation Program</t>
  </si>
  <si>
    <t>LOT 6 - CY2020 Repair and Rehabilitation Program</t>
  </si>
  <si>
    <t>LOT 5 - CY2020 Repair and Rehabilitation Program</t>
  </si>
  <si>
    <t>LOT 3 - CY2020 Repair and Rehabilitation Program</t>
  </si>
  <si>
    <t>COFFEE PROCESSING PROJECT OF THE LUBU-ONG BIMMOBLE ORGANIZATION – LOT 1</t>
  </si>
  <si>
    <t>LOT 2 - CY2020 Repair and Rehabilitation Program</t>
  </si>
  <si>
    <t>LOT 1 - CY2020 Repair and Rehabilitation Program</t>
  </si>
  <si>
    <t>Construction of Roofing in the Parking Area</t>
  </si>
  <si>
    <t>8918-20-014)  REHABILITATION OF DRAINAGE AT EAST QUIRINO HILL TOWARDS MAGSAYSAY AVENUE, EAST QUIRINO HILL C/O CEO</t>
  </si>
  <si>
    <t>LOT 4 - CY2020 Repair and Rehabilitation Program</t>
  </si>
  <si>
    <t>Computer Consumables</t>
  </si>
  <si>
    <t>Procurement of Office Supplies for Different Offices</t>
  </si>
  <si>
    <t>One (1) Lot – Software Subscription for the existing 3,560 HCL Domino Enterprise Processor Value Unit (PVU) licenses, as per BSP Terms of Reference</t>
  </si>
  <si>
    <t>INVITATION TO BID FOR OPENING/REHABILITATION OF FARM TO MARKET ROAD</t>
  </si>
  <si>
    <t>DEVELOPING THE ROOT CROPS INDUSTRY OF THE AHIN FARMERS DEVELOPMENT ORGANIZATION INCORPORATED – LOT 3</t>
  </si>
  <si>
    <t>INVITATION TO BID FOR CONSTRUCTION OF TUDOK - PALAO ROAD</t>
  </si>
  <si>
    <t>One (1) Lot – Hardware and Software Maintenance and Technical Support Services for the Endpoint Data Leakage Protection, as per BSP Terms of Reference and Service Level Agreement</t>
  </si>
  <si>
    <t>INVITATION TO BID FOR CONSTRUCTION OF SENDITAN - SAMBOLAWAN ROAD</t>
  </si>
  <si>
    <t>REHABILITATION OF MULTI-PURPOSE HALL (PHASE V)</t>
  </si>
  <si>
    <t>Slope/Shore Protection of Barangay Pandan, Sta. Fe, Romblon</t>
  </si>
  <si>
    <t>Repair/Improvement of Brgy. Water System Bachawan, San Agustin, Romblon</t>
  </si>
  <si>
    <t>Concrete Paving of Poblacion-Jao-asan Provincial Road, Magdiwang, Romblon</t>
  </si>
  <si>
    <t>payments under the contract for the project CY 2020 Quick Response Fund (QRF) Repair and Rehabilitation of School Building – Lot 12 – Repair and Rehabilitation of Classrooms at Agbago Elementary Schoo</t>
  </si>
  <si>
    <t>CY 2020 Quick Response Fund (QRF) Repair and Rehabilitation of School Building – Lot 9 – Repair and Rehabilitation of  Classrooms at Unidos Elementary School, Nabas, Aklan</t>
  </si>
  <si>
    <t>CY 2020 Quick Response Fund (QRF) Repair and Rehabilitation of School Building – Lot 13 – Repair and Rehabilitation of Classrooms at Maloco Elementary School, Ibajay, Aklan, Ondoy Elementary School, I</t>
  </si>
  <si>
    <t>CY 2020 Quick Response Fund (QRF) Repair and Rehabilitation of School Building – Lot 8 – Repair and Rehabilitation of  Classrooms at Batan Elementary School, Batan, Aklan, Mina-a Elementary School, Ib</t>
  </si>
  <si>
    <t>CY 2020 Quick Response Fund (QRF) Repair and Rehabilitation of School Building – Lot 11 – Repair and Rehabilitation of Classrooms at Cabugao Primary School, Buruanga, Aklan, Katipunan Elementary Schoo</t>
  </si>
  <si>
    <t>DEVELOPING THE HANDICRAFT INDUSTRY OF THE AGAYAP AGRICULTURE AND LIVELIHOOD ORGANIZATION – LOT 1</t>
  </si>
  <si>
    <t>DEVELOPING THE ROOT CROPS INDUSTRY OF THE AHIN FARMERS DEVELOPMENT ORGANIZATION INCORPORATED – LOT 1</t>
  </si>
  <si>
    <t>Construction of River Walk/Promenade, Poblacion, Madiwang, Romblon</t>
  </si>
  <si>
    <t>CY 2020 Quick Response Fund (QRF) Repair and Rehabilitation of School Building – Lot 4 – Repair and Rehabilitation of  Classrooms at Bakhaw Norte Integrated School, Kalibo, Aklan and Naile Elementary</t>
  </si>
  <si>
    <t>payments under the contract for the project CY 2020 Quick Response Fund (QRF) Repair and Rehabilitation of School Building – Lot 10 – Repair and Rehabilitation of Classrooms at Tayhawan Elementary Sch</t>
  </si>
  <si>
    <t>CY 2020 Quick Response Fund (QRF) Repair and Rehabilitation of School Building – Lot 3 – Repair and Rehabilitation of  Classrooms at Tangalan National High School, Tangalan, Aklan</t>
  </si>
  <si>
    <t>Furnishing of Construction Materials for Carol-an Dagyangaw SIP, Ayungon, Neg. Or.</t>
  </si>
  <si>
    <t>CY 2020 Quick Response Fund (QRF) Repair and Rehabilitation of School Building – Lot 7 – Repair and Rehabilitation of  Classrooms at Guanko Elementary School, Balete, Aklan, Pepe Elementary School, Bu</t>
  </si>
  <si>
    <t>PROCUREMENT OF HABAL-HABAL MINI SPAREPARTS STORE WITH CARWASH WELDING AND VULCANIZING SHOP AT BARANGAY MAMPI, LANUZA, SURIGAO DEL SUR</t>
  </si>
  <si>
    <t>S  PUR20-05-0443 Procurement of Alcohol 69-72% ethanol for PSD</t>
  </si>
  <si>
    <t>CY 2020 Quick Response Fund (QRF) Repair and Rehabilitation of School Building – Lot 6 – Repair and Rehabilitation of  Classrooms at Rizal Elementary School, Ibajay, Aklan and Muguing Elementary Schoo</t>
  </si>
  <si>
    <t>Supply and Delivery of 10pcs Water Resistant 2-way Radio</t>
  </si>
  <si>
    <t>CY 2020 Quick Response Fund (QRF) Repair and Rehabilitation of School Building – Lot 27 – Repair and Rehabilitation of Classrooms at Tamalagon Integrated School, Tangalan, Aklan and San Roque Integrat</t>
  </si>
  <si>
    <t>CY 2020 Quick Response Fund (QRF) Repair and Rehabilitation of School Building – Lot 26 – Repair and Rehabilitation of Classrooms at Union National High School, Nabas, Aklan</t>
  </si>
  <si>
    <t>CY 2020 Quick Response Fund (QRF) Repair and Rehabilitation of School Building – Lot 25 – Repair and Rehabilitation of Classrooms at Malinao School for Phlippine Craftsmen, Malinao, Aklan, Toledo Nati</t>
  </si>
  <si>
    <t>CY 2020 Quick Response Fund (QRF) Repair and Rehabilitation of School Building – Lot 23 – Repair and Rehabilitation of Classrooms at Guinbaliwan Elementary School, New Washington, Aklan, Sergio L. Tal</t>
  </si>
  <si>
    <t>CY 2020 Quick Response Fund (QRF) Repair and Rehabilitation of School Building – Lot 22 – Repair and Rehabilitation of Classrooms at Solido Elementary School, Nabas, Aklan, Union Elementary School, Na</t>
  </si>
  <si>
    <t>CY 2020 Quick Response Fund (QRF) Repair and Rehabilitation of School Building – Lot 20 – Repair and Rehabilitation of Classrooms at Libertad Elementary School, Nabas, Aklan, Nagustan Elementary Schoo</t>
  </si>
  <si>
    <t>SVP PUR20-03-0248 Procurement of Alcohol ethyl 70% for DPPS, PGH</t>
  </si>
  <si>
    <t>REHABILITATION OF CAMBICANG MULTI-PURPOSE HALL, MARIGONDON, CAJIDIOCAN, ROMBLON</t>
  </si>
  <si>
    <t>CY 2020 Quick Response Fund (QRF) Repair and Rehabilitation of School Building – Lot 24 – Repair and Rehabilitation of Classrooms at New Washington Elementary School, New Washington, Aklan, Habana Int</t>
  </si>
  <si>
    <t>CY 2020 Quick Response Fund (QRF) Repair and Rehabilitation of School Building – Lot 21 – Repair and Rehabilitation of Classrooms at Rizal Elementary School, Nabas, Aklan, Badio Elementary School, Num</t>
  </si>
  <si>
    <t>PROCUREMENT OF HARDWARE MATERIALS FOR PROPOSED NURSERY ESTABLISHMENT</t>
  </si>
  <si>
    <t>Supply of Gasoline and Diesel through Fleet Card Technology System for Two (2) Years under ITB NO. PB20-01-015CORa-06</t>
  </si>
  <si>
    <t>CONSTRUCTION OF FMR-ILAYA MARIGONDON, CAJIDIOCAN, ROMBLON</t>
  </si>
  <si>
    <t>PB PM20-010 COMPREHENSIVE PREVENTIVE MAINTENANCE SUPPORT SERVICES OF THE PGH SIEMENS HI-PATH 4000 IP-PBX EQUIPMENT</t>
  </si>
  <si>
    <t>REHABILITATION OF MULTI-PURPOSE HALL LUMBANG WESTE, CAJIDIOCAN, ROMBLON</t>
  </si>
  <si>
    <t>PB PUR20-03-0308 SUPPLY, DELIVERY, COMMISSIONING AND INSTALLATION OF TELEPHONE VOICE AND DATA, VOICE BACKBONE AND NEW MAIN DISTRIBUTION FRAME (MDF) AT P-01 OBAS-ER AND DRUG TESTING FACILITY</t>
  </si>
  <si>
    <t>CONSTRUCTION FOR COCONUT PROCESSING CENTER FOR LIVELIHOOD PHASE II, LUMBANG ESTE, CAJIDIOCAN, ROMBLON</t>
  </si>
  <si>
    <t>IMPROVEMENT OF MULTI-PURPOSE HALL PHASE II- MUNICIPAL BUILDING, POBLACION, CAJIDIOCAN, ROMBLON</t>
  </si>
  <si>
    <t>REHABILITATION OF MULTI-PURPOSE HALL, LICO, CAJIDIOCAN, ROMBLON</t>
  </si>
  <si>
    <t>REHABILITATION OF WATER SUPPLY SYSTEM LUMBANG WESTE, CAJIDIOCAN, ROMBLON</t>
  </si>
  <si>
    <t>20HA0131 - REPAIR/MAINTENANCE OF MACAAS FLOOD CONTROL</t>
  </si>
  <si>
    <t>CONSTRUCTION OF FMR- SITIO SAED, TAGUILOS, CAJIDIOCAN, ROMBLON</t>
  </si>
  <si>
    <t>REHABILITATION OF MULTI-PURPOSE HALL LUMBANG ESTE, CAJIDIOCAN, ROMBLON</t>
  </si>
  <si>
    <t>PB PUE20-03-0274 SUPPLY, DELIVERY, INSTALLATION AND TESTING OF ELECTROCARDIOGRAPH MACHINE, DIGITAL, MULTI- CHANNEL FOR ADULT AND  PEDIATRIC PATIENTS</t>
  </si>
  <si>
    <t>COMPLETION OF MULTI-PURPOSE HALL (CES), CAMBALO, CAJIDIOCAN, ROMBLON</t>
  </si>
  <si>
    <t>CY 2020 Quick Response Fund (QRF) Repair and Rehabilitation of School Building – Lot 5 – Repair and Rehabilitation of  Classrooms at Gibon Elementary School, Nabas, Aklan and Jose F. Meñez Memorial Na</t>
  </si>
  <si>
    <t>PB BAC1-20-003 MANNING OF EXISTING CCTV MONITORING STATION – ONE (1) YEAR CONTRACT</t>
  </si>
  <si>
    <t>PB PUR20-04-0356 SUPPLY AND DELIVERY OF STEEL CABINET, BOOK SHELF TYPE for Medical Records Div., PGH</t>
  </si>
  <si>
    <t xml:space="preserve">CY 2020 Quick Response Fund (QRF) Repair and Rehabilitation of School Building – Lot 19 – Repair and Rehabilitation of Classrooms at Caticlan Elementary School, Malay, Aklan, Malay Elementary School, </t>
  </si>
  <si>
    <t>CY 2020 Quick Response Fund (QRF) Repair and Rehabilitation of School Building – Lot 17 – Repair and Rehabilitation of Classrooms at Cabatanga Elementary School, Makato, Aklan, Castillo Elementary Sch</t>
  </si>
  <si>
    <t>PB BAC1-20-013 SUPPLY AND DELIVERY OF CHEMICALS AND REAGENTS FOR 2020</t>
  </si>
  <si>
    <t>CY 2020 Quick Response Fund (QRF) Repair and Rehabilitation of School Building – Lot 16 – Repair and Rehabilitation of Classrooms at Catabana Primary School, Madalag, Aklan, Banay Banay Elementary Sch</t>
  </si>
  <si>
    <t>CY 2020 Quick Response Fund (QRF) Repair and Rehabilitation of School Building – Lot 15 – Repair and Rehabilitation of Classrooms at San Isidro Elementary School, Ibajay, Aklan, New Buswang Elementary</t>
  </si>
  <si>
    <t>Supply and Delivery of Low Bed Truck</t>
  </si>
  <si>
    <t>INVITATION TO BID FOR CONSTRUCTION OF MAGNO – BRGY. RENTI ROAD</t>
  </si>
  <si>
    <t>Construction of Ambaracao Farmers Multi-Purpose Center, Naguilian</t>
  </si>
  <si>
    <t>Improvement of Barangay I Farm to Market Road, San Fernando City</t>
  </si>
  <si>
    <t>PB PUR20-03-0341  SUPPLY AND DELIVERY OF VARIOUS COMPUTERS AND PRINTERS</t>
  </si>
  <si>
    <t>Construction of Farmers' Multi-Purpose Hall-Naguimba</t>
  </si>
  <si>
    <t>CY 2020 Quick Response Fund (QRF) Repair and Rehabilitation of School Building – Lot 18 – Repair and Rehabilitation of Classrooms at Mantiguib Elementary School, Makato, Aklan, Argao Elementary School</t>
  </si>
  <si>
    <t>SUPPLY AND DELIVERY OF OFFICE EQUIPMENT</t>
  </si>
  <si>
    <t>CY 2020 Quick Response Fund (QRF) Repair and Rehabilitation of School Building – Lot 14 – Repair and Rehabilitation of Classrooms at Cabugao Primary School, Ibajay, Aklan, Naisud Central School, Ibaja</t>
  </si>
  <si>
    <t>Supply and Delivery of IT Equipment for RHU</t>
  </si>
  <si>
    <t>Rehabilitation and Improvement of Pagbennecan - Tallaoen Road, Luna</t>
  </si>
  <si>
    <t>CONST. OF SK BUILDING</t>
  </si>
  <si>
    <t>Supply and Delivery of Materials for Installation of Municipal Streetlighting System</t>
  </si>
  <si>
    <t>Procurement of Security Services (For the Energy regulatory Commission's Main Office, Visayas Area Operations Service and Mindanao Area Operations Service)</t>
  </si>
  <si>
    <t>2020-06: ITB - Proposed Drainage at Zone 2, Happy Homes to Outfall, Concepcion Pequeña, Naga City</t>
  </si>
  <si>
    <t>Furnishing of Construction Materials for Carol-an Dagyangaw SIP (CY 2019), Ayungon, Neg. Or.</t>
  </si>
  <si>
    <t>Rehabilitation of FMR- (Cudiamat Section), Bagbagotot</t>
  </si>
  <si>
    <t>Provision of Corn Mill with Storage Facility</t>
  </si>
  <si>
    <t>2265-20 Purchase of Transformer, etc.</t>
  </si>
  <si>
    <t>PROCUREMENT OF HARDWARE MATERIALS FOR CONSTRUCTION OF 83.95 LM. OPEN CANAL ALONG THE NATIONAL HIGHWAY AT ZONE II, LANUZA SURIGAO DEL SUR</t>
  </si>
  <si>
    <t xml:space="preserve">20DF0188 - 20DF0190 (By Contract) - Local Program – Local Infrastructure Program, Buildings and Other Structure,  Multipurpose/Facilities, Construction of Multipurpose Building Tierra El Pueblo Phase </t>
  </si>
  <si>
    <t>2484-20 Procurement of Other Suppplies and Materials</t>
  </si>
  <si>
    <t>PROCUREMENT OF VARIOUS ICT</t>
  </si>
  <si>
    <t>ACQUISITION OF FORENSIC TOOLS AND EQUIPMENT FOR CYBERCRIME DIVISION (CCD)</t>
  </si>
  <si>
    <t>Purchase of 1 Unit Emergency/Rescue Respond Vehicle, LGU-Culaba, Biliran</t>
  </si>
  <si>
    <t>Road Concreting @ Sitio Sta. Ana Barangay Fatima Davao City</t>
  </si>
  <si>
    <t>2583-20 Purchase of Assorted Palay Seeds</t>
  </si>
  <si>
    <t>SUPPLY AND DELIVERY OF MOTORCYCLE VEHICLES</t>
  </si>
  <si>
    <t>CONSTRUCTION OF BAYAOAS SRIP – IRRIGATION FACILITIES (PHASE I)</t>
  </si>
  <si>
    <t>Concreting of 100 Linear Meter Soriano Street</t>
  </si>
  <si>
    <t>Concreting of 700 Linear Meter Barangay Sigayan Farm to Market Road</t>
  </si>
  <si>
    <t>Supply and Delivery of Materials for Repair of Agriculture Office</t>
  </si>
  <si>
    <t>Procurement of Janitorial Supplies for Barangay Magallanes use</t>
  </si>
  <si>
    <t>Procurement of Waste Segregation Program para sa Barangay Magallanes</t>
  </si>
  <si>
    <t>CONSTRUCTION OF BRGY. HALL/MULTI-PURPOSE BUILDING (PHASE I)</t>
  </si>
  <si>
    <t>Procurement of Cooling fans for Barangay Magallanes use</t>
  </si>
  <si>
    <t>2020-05: ITB - Proposed Drainage at Zone 2, Canuto Village, Concepcion Pequeña, Naga City</t>
  </si>
  <si>
    <t>Procurement of Medical equipment for Barangay Clinic use</t>
  </si>
  <si>
    <t>Concreting of 100 Linear Meter Brgy. Buenavista Farm to Market Road</t>
  </si>
  <si>
    <t>Public Bidding for the Supply and Delivery of Construction Materials for the Repair/Rehab of Board Member’s Office at 3rd Floor Annex Building, Capiz Provincial Capitol, under ITB No. 2020-011R</t>
  </si>
  <si>
    <t>Construction/ Improvement of Access Roads leading to Declared Tourism Destinations, Caglayan-Paddig-Cupis Road leading to Nabuangan River, Banselan Cave, Cupis Loomweaving, Conner, Apayao</t>
  </si>
  <si>
    <t>Improvement of Slaughter Building at Barangay Sto Nino 1st</t>
  </si>
  <si>
    <t>Procurement of Barangay ID Printer colored for Barangay Magallanes use</t>
  </si>
  <si>
    <t>Procurement of Motor vehicle for Barangay Peace and Order use</t>
  </si>
  <si>
    <t>INVITATION TO BID FOR Drugs and Medicines 01-2020-06</t>
  </si>
  <si>
    <t>HIRING OF RESEARCH BOAT AND MOTOR LAUNCH FOR OFFICIAL USE OF TUBBATAHA REEFS NATURAL PARK – MANAGEMENT OFFICE</t>
  </si>
  <si>
    <t>Procurement of LDRRM IT Equipment (1 lot CCTV Supply and Installation)</t>
  </si>
  <si>
    <t>Procurement of Fuel, Oil &amp; Lubricants for Road Rehabilitation (Guiron Creek,Brgy. Lagnas,Victoria, Tagumpay Ilvita)</t>
  </si>
  <si>
    <t>Procurement of Materials for the Construction of Stage - MEO</t>
  </si>
  <si>
    <t>Procurement of Fuel, Oil and Lubricants for the Road Rehabilitation at Batong Buhay, So. Pandan, Claudio Salgado, Malisbong, San Nicolas, San Vicente, Eco Park, Cemetery Road(sto.niño) - MEO</t>
  </si>
  <si>
    <t>Concreting of Road at Zone 5 Barangay Tondod</t>
  </si>
  <si>
    <t>One (1) Lot – BSP Web Security and Content Filtering System Enhancement Project, consisting of Supply, Delivery, Installation, Configuration, Testing and Commissioning of Blue Coat Secure Gateway (PRO</t>
  </si>
  <si>
    <t>Finishing Wokrs of Brgy. Imbalbalatong Multi-Purpose Hall</t>
  </si>
  <si>
    <t>Finishing Wokrs of Brgy. Dilan Multi-Purpose Hall</t>
  </si>
  <si>
    <t>CONSTRUCTION OF DUMOLOC SRIP – FIELD OFFICE</t>
  </si>
  <si>
    <t>Procurement of Materials for  Repair and Maintenance of Infrastructure Assets - MEO</t>
  </si>
  <si>
    <t>Construction of Slope Protection - (Balot Section) Pila</t>
  </si>
  <si>
    <t>CONSTRUCTION/IMPROVEMENT OF MULTI-PURPOSE BUILDING (PHASE I)</t>
  </si>
  <si>
    <t>Procurement of Office Equipment for Barangay use</t>
  </si>
  <si>
    <t>Construction / Rehabilitation of Water Supply / Septage and Sewerage / Rain Water Collector Systems - Rain Water Collectors in Public Facilities - CAR</t>
  </si>
  <si>
    <t>CONSTRUCTION OF SOLID WASTE MANAGEMENT FACILITIES @ BRGY. TABUC, MOBO, MASBATE</t>
  </si>
  <si>
    <t>SUPPLY AND INSTALLATION OF AIRCON 2.5HP INVERTER SPLIT TYPE</t>
  </si>
  <si>
    <t>REHABILITATION OF BASKETBALL COURT</t>
  </si>
  <si>
    <t>Purchase of Hand Tractor</t>
  </si>
  <si>
    <t>PROPOSED WATER TANK FOR MUNICIPAL DISASTER RISK REDUCTION MANAGEMENT OFFICE (MDRRMO)FOR WATER SUPPLY OF  TEMPORARY FACILITY TO ACCOMMODATE COVID-19 PATIENT</t>
  </si>
  <si>
    <t>Procurement of Catering Services for the conduct of the 3rd Level Training for the 2020 CPH Enumeration</t>
  </si>
  <si>
    <t>Procurement of Supplies and Materials for Barangay Traffic Enforcers</t>
  </si>
  <si>
    <t>Supply and Delivery of Air Conditioner  for Sangguniang Bayan Office and Session Hall</t>
  </si>
  <si>
    <t>Purchase of Fertilizer</t>
  </si>
  <si>
    <t>Continuation of Farmers' Multi-Purpose Hall-Lintic</t>
  </si>
  <si>
    <t>Retrofitting/Strengthening of Bridge 1 and Bridge 4, Caba and Naguilian</t>
  </si>
  <si>
    <t>Completion/Expansion of Vinegar Processing Center, Maragayap, Bacnotan</t>
  </si>
  <si>
    <t>Procurement of Anti-flu vaccines for the Oplan Bantay-Kalusugan : Immunization Program 2020</t>
  </si>
  <si>
    <t>Supply, Delivery, Testing and Commissioning of Brand New Land Ambulance (17 units)</t>
  </si>
  <si>
    <t>CONSTRUCTION OF VARIOUS INFRA PROJECTS</t>
  </si>
  <si>
    <t>REHABILITATION OF MULTI PURPOSED BUILDING (GYM) THRU REPAIR AND WATER COLLECTION FOR ENVIRONMENT PROTECTION</t>
  </si>
  <si>
    <t>Construction of PCCP at Sitio Arinaar Road, Brgy. Magsaysay</t>
  </si>
  <si>
    <t>Repair of Roof Taliba St. Near Brgy. Hall, Brgy. SRV. Navotas City</t>
  </si>
  <si>
    <t>PURCHASE OF METAL PUSH CART FOR GARBAGE TRUCK</t>
  </si>
  <si>
    <t>2020-059, EXPANSION OF RURAL HEALTH UNIT(RHU) BUILDING, POBLACION 3, MIDSAYAP, COTABATO</t>
  </si>
  <si>
    <t>REPAIR OF MULTI PURPOSE BUILDING (GYM)</t>
  </si>
  <si>
    <t>PURCHASE OF TANOD SUPPLIES</t>
  </si>
  <si>
    <t>Purchase of 3pcs T.V Monitor, 1pc. Refrigerator, 2pcs Sprayer</t>
  </si>
  <si>
    <t>HO-MSD20-005 - Supply and Delivery of Heat Treatment Equipment</t>
  </si>
  <si>
    <t>FEASIBILITY STUDY OF BAYAMBANG PUMP IRRIGATION PROJECT</t>
  </si>
  <si>
    <t>Construction of Payocpoc Sur Slope Protection, Bauang</t>
  </si>
  <si>
    <t>2020-058, CONSTRUCTION OF MULTI-PURPOSE HALL AT PUROK 6, BARANGAY NALIN, MIDSAYAP, COTABATO</t>
  </si>
  <si>
    <t>5020399000-282-2020</t>
  </si>
  <si>
    <t>5021304001-075-2020</t>
  </si>
  <si>
    <t>INVITATION TO BID NO. UPRIIS-DI-CW-2020-04</t>
  </si>
  <si>
    <t>Asset Preservation - Rehabilitation/Reconstruction of National Roads with Slips, Slope Collapse, and Landslide - Secondary Roads, Abbut-Conner Road, K0558+(-282) - K0558+ (-247)</t>
  </si>
  <si>
    <t>Contract Package 7: Preventive Maintenance: a. Abanao Ext. – Chainage 008 – Chainage 111 (SO5052LZ) b. Major Mane Rd. – Chainage 057 – Chainage 112 (SO0489LZ) c. Quezon Hill Drive – Chainage 000 – Cha</t>
  </si>
  <si>
    <t>20GFG0016 - Procurement of Tree Seedlings for use in the Tree Cutting and Replacement along Tigaon-Goa-San Jose-Lagonoy-Guijalo via San Vicente Road, Goa-San Jose Section Goa/San Jose, Camarines Sur</t>
  </si>
  <si>
    <t>PURCHASE OF FOODS FOR FEEDING</t>
  </si>
  <si>
    <t>Supply and Delivery of Disaster Equipment</t>
  </si>
  <si>
    <t>One (1) Lot – Maintenance Support for Enterprise Storage Systems and Storage Area Network Devices, as per BSP Terms of Reference and Service Level Agreement (Multi-Year Contract)</t>
  </si>
  <si>
    <t>furnishing/delivery of fuel, oil and lubricants</t>
  </si>
  <si>
    <t>Construction/ Improvement of Access Roads leading to Declared Tourism Destinations, Manag-Liwan Road leading to Purag River, Purag Cave and Bellang Cave, Conner, Apayao</t>
  </si>
  <si>
    <t>Rehabilitation/ Reconstruction of Roads with Slips, Slope Collapse, and Landslide – Quezon Hill Rd #1 – K0308+153 – K0308+175, K0308+428 – K0308+447</t>
  </si>
  <si>
    <t>2020-057, COMPLETION OF COVERED COURT AT BARANGAY SAN ISIDRO, MIDSAYAP, COTABATO</t>
  </si>
  <si>
    <t>CY 2020 Quick Response Fund (QRF) Repair and Rehabilitation of School Building – Lot 2 – Repair and Rehabilitation of  Classrooms at Cayangwan Elementary School, Makato, Aklan and Rosal Elementary Sch</t>
  </si>
  <si>
    <t>Procurement of Janitorial Services</t>
  </si>
  <si>
    <t>Construction of Covered Court at Gayusan Integrated School</t>
  </si>
  <si>
    <t>Roofing of Existing Bleachers at Longos E/S, Calasiao, Pangasinan</t>
  </si>
  <si>
    <t>PURCHASE OF SACKS</t>
  </si>
  <si>
    <t>IMPROVEMENT OF LEVEL III WATER SYSTEM</t>
  </si>
  <si>
    <t>IB-01-0206-20 VPAFEA SUPPLY, DELIVERY AND INSTALLATION OF GENERATOR SET</t>
  </si>
  <si>
    <t>IB-01-0186-20 COE-CE SUPPLY AND DELIVERY OF LABORATORY EQUIPMENT</t>
  </si>
  <si>
    <t>PROCUREMENT AND DELIVERY OF OFFICE AND IT EQUIPMENT</t>
  </si>
  <si>
    <t>20GEB0006: Procurement/Supply of Diesel Fuel for use in the operation of DPWH Service Vehicles for Mindoro Occidental DEO Construction Section</t>
  </si>
  <si>
    <t>Rehab/Maintenance of Manlin-Pamintayan &amp; Delmonte Road</t>
  </si>
  <si>
    <t>20II0061, Repair and Maintenance of Road Safety Facilities (Supply, Delivery and Installation of Danger, Hazard, Warning, Regulatory and Informative Signages) along Catarman Laoang Road, Laoang –Catub</t>
  </si>
  <si>
    <t>Installation of Solar Streetlights</t>
  </si>
  <si>
    <t>PURCHASE OF OFFICE SUPPLIES LGU, CAJIDIOCAN, ROMBLON</t>
  </si>
  <si>
    <t>20EB0125: Cluster 2020OPB-01: Repair/Maintenance of various DPWH Buildings: 1.	DPWH-Office Building (used by PNP Admin/Officer's Quarter/Male Barracks, Airport Road, Brgy. 9, Mamburao, Occ. Mindoro 2.</t>
  </si>
  <si>
    <t>Repair of One (1) unit, Three (3) Classroom School Building at Mangatarem II Central E/S</t>
  </si>
  <si>
    <t>20CSA003: LIDAR DATA MAPPING AND PARCELLARY/ UTILITIES, FACILITIES/ TOPOGRAPHIC SURVEY FOR THE PROPOSED CONSTRUCTION OF MISSING LINK/NEW ROADS, BOLINAO-DASOL COASTAL ROAD, PANGASINAN</t>
  </si>
  <si>
    <t>20CSDM03 – Conduct of Preliminary Detailed Engineering (Parcellary Survey) along San Francisco-San Andres-San Narciso Road, Quezon Province</t>
  </si>
  <si>
    <t>Supply and Delivery of Raw Materials/Ingredients (Foodstuff) for the Livelihood Program-Meat Processing of Salaknib Farmers Association</t>
  </si>
  <si>
    <t>Supply and Delivery of Office Equipment for MDRRM  Office</t>
  </si>
  <si>
    <t>CONSTRUCTION OF MAKESHIFT ELEVEN (11) – CLASSROOM TEMPORARY LEARNING SHELTER FOR BURABOD ELEMENTARY SCHOOL, LIBON, ALBAY (RE-BID)</t>
  </si>
  <si>
    <t>SHS SUPPLIES FOR REPRODUCTION OF MODULES</t>
  </si>
  <si>
    <t>PROPOSED IMPROVEMENT/REHABILITATION OF THE CITY PEOPLE’S ASTRODOME (INTERIOR AND INCLUDING FAÇADE) AT BARANGAY TAPUAC, DAGUPAN CITY</t>
  </si>
  <si>
    <t>SUPPLIES FOR REPRODUCTION OF LEARNING MODULES</t>
  </si>
  <si>
    <t>LOT 9 - CY2020 Repair and Rehabilitation Program</t>
  </si>
  <si>
    <t>PROVISION OF COFFEE PRE-PROCESSING FACILITIES</t>
  </si>
  <si>
    <t>Enhancing the Livelihood of Ay-aywanan Organization Incorporated Through the Provision of Food Processing Facilities and Equipment</t>
  </si>
  <si>
    <t>20CSA004: LIDAR DATA MAPPING AND PARCELLARY/ UTILITIES, FACILITIES/ TOPOGRAPHIC SURVEY FOR THE PROPOSED CONSTRUCTION OF MISSING LINK/NEW ROADS, SAN MANUEL (PANGASINAN)- ITOGON (BENGUET) ROAD</t>
  </si>
  <si>
    <t>COVID 19 RESPONSE ITEMS</t>
  </si>
  <si>
    <t>Procurement of Services of DENR-EMB Recognized/Registered PCB Laboratory to Perform Oil Sampling and Analysis of Polychlorinated Biphenyls (PCBs) of Six (6) units of Unserviceable Transformers</t>
  </si>
  <si>
    <t>Construction of Multi- Purpose Hall at Barangay Santiago, Naujan, Oriental Mindoro</t>
  </si>
  <si>
    <t>COMPLETION OF SENIOR CITIZEN'S BUILDING - MATERIALS ONLY</t>
  </si>
  <si>
    <t>PROCUREMENT OF ASSORTED ITEMS FOR MEALS AND SNACKS DURING THE REGULAR MEETING OF THE MUNICIPAL OFFICIALS AND DEPUTY MAYORS</t>
  </si>
  <si>
    <t>PROCUREMENT OF ONE HUNDRED SIXTY (160) BAGS OF RICE (25 KILOS)</t>
  </si>
  <si>
    <t>Completion of Damilag Public Market (Construction of Waste Water Treatment Facilty)</t>
  </si>
  <si>
    <t>PURCHASE OF ONE(1)UNIT MINI-DUMP TRUCK SURPLUS</t>
  </si>
  <si>
    <t>Purchase and Delivery of Medical, Dental and Laboratory Supplies - MHO</t>
  </si>
  <si>
    <t>Procurement of Supplies and Materials for the Improvement of Water System</t>
  </si>
  <si>
    <t>Procurement of One (1) unit Motorcycle</t>
  </si>
  <si>
    <t>Supply and Delivery of 577 MT Asphalt Pre-Mix</t>
  </si>
  <si>
    <t>Procurement of Educational Materials and Supplies (Rebidding)</t>
  </si>
  <si>
    <t>Purchase and Delivery of Automated External Defibrillator (AED) Complete Set - MO-MDRRMO</t>
  </si>
  <si>
    <t>CONSTRUCTION OF ISOLATION FACILITY, POBLACION, KITAOTAO, BUKIDNON</t>
  </si>
  <si>
    <t>20CN0149 - Retrofitting/Strengthening of Permanent Bridge – Aguang Br. (B03015LZ) along Baler – Casiguran Rd (Baler – Dinadiawan)</t>
  </si>
  <si>
    <t>PURCHASE OF ONE MOTOR VEHICLE (AUV-BRAND NEW) FOR CITY MAYOR’S OFFICE USE</t>
  </si>
  <si>
    <t>Invitation to Bid Purchase of IT Equipments</t>
  </si>
  <si>
    <t>Supply and Delivery of Meals and Snacks Buffet for VIP Guests and Visitors for the 2nd Semester of 2020</t>
  </si>
  <si>
    <t>bangus fingerlings</t>
  </si>
  <si>
    <t>INVITATION TO BID USED FOR THE MAINTENANCE OF MUNICIPAL VEHICLES &amp; HEAVY EQUIPMENT (MINI DUMP TRUCK, WATER TRUCK, CANTER TRUCK, FORWARD GARBAGE TRUCK, FORWARD WATER TRUCK, HOWO TRACK, TRACTOR, LOADER.</t>
  </si>
  <si>
    <t>animal feeds</t>
  </si>
  <si>
    <t>CONSTRUCTION OF MULTIPURPOSE BUILDING PHASE II, TAWAS, KITAOTAO, BUKIDNON</t>
  </si>
  <si>
    <t>security services</t>
  </si>
  <si>
    <t>Improvement of Barangay Health Station at Bulala</t>
  </si>
  <si>
    <t>CONCRETING OF ROAD WITH DRAINAGE</t>
  </si>
  <si>
    <t>Procurement of Supplies and Materials for the Improvement of Multi-Purpose Center</t>
  </si>
  <si>
    <t>Supply and Delivery of Education Supplies for BALIK ESKWELA PROGRAM (2nd posting)</t>
  </si>
  <si>
    <t>PURCHASE OF HIGH SPEED FULL COLOR INKJET PRINTER</t>
  </si>
  <si>
    <t>Supply and Installation of CCTV Fiber Optic</t>
  </si>
  <si>
    <t>Improvement of Barangay Health Station at Belance</t>
  </si>
  <si>
    <t>Supply and Delivery of Siren</t>
  </si>
  <si>
    <t>Supply of 153 boxes Plain Continous Form 279mm x 241mm, Single Ply (2,000 sheets/box)</t>
  </si>
  <si>
    <t>PROCUREMENT OF SERVICE VEHICLE FOR MAYOR’S OFFICE</t>
  </si>
  <si>
    <t>Soil Covering of the Existing Open Dumpsite</t>
  </si>
  <si>
    <t>Road Rehabilitation/Improvement of Various Brgy. Roads</t>
  </si>
  <si>
    <t>MUNICIPAL BUILDING FACADE &amp; RELOCATION OF FLAGPOLE at Brgy. Poblacion, Jamindan, Capiz</t>
  </si>
  <si>
    <t>INSTALLATION OF 4 UNITS FLOOR MOUNTED INVERTER TYPE AIRCONDITIONING UNITS</t>
  </si>
  <si>
    <t>Purchase and Deliver of Materials for the Construction of Water System Level II Phase III</t>
  </si>
  <si>
    <t>Supply of 1 unit Pick up type Vehicle 4x4</t>
  </si>
  <si>
    <t>PURCHASE OF 4 WHEELER-TRUCK FOR SOCIO ECONOMIC ENTERPRISE UNIT-MARKETS USE</t>
  </si>
  <si>
    <t>Supply and Delivery of 160 MT Asphalt Pre-Mix and 8 drums Emulsified Asphalt</t>
  </si>
  <si>
    <t>Acquisition of Close Circuit Television (CCTV)</t>
  </si>
  <si>
    <t>SUPPLY,DELIVERY AND INSTALLATION OF 24 UNITS STEEL RACK</t>
  </si>
  <si>
    <t>20PI0096 - Maint, Repair and Rehab of Infrastructure Facilities and Other Related Activities 2. Calacaban Bridge Abutment Support, Sta. 0+000 - Sta. 0+150 (I.S.), Tadian, Mt. Province</t>
  </si>
  <si>
    <t>PROCUREMENT OF THREE (3) UNITS BRAND NEW MOTORCYCLE</t>
  </si>
  <si>
    <t>consultancy services</t>
  </si>
  <si>
    <t>Supply and Delivery of Meals and Snacks Regular  for the 2nd Semester of 2020</t>
  </si>
  <si>
    <t>Supply and Delivery of One (1) lot Sealed Lead Acid Battery</t>
  </si>
  <si>
    <t>SUPPLY AND DELIVERY OF ONE (1) UNIT RING NET (2nd Publication</t>
  </si>
  <si>
    <t>Supply and Delivery of Spareparts for Various Heavy Equipment Machineries</t>
  </si>
  <si>
    <t>Supply, Delivery and Installation of CCTV Based Video Surveillance System at Municipal Annex Building at Poblacion, Dauis, Bohol.</t>
  </si>
  <si>
    <t>Improvement of Barangay Health Station at New Gumiad</t>
  </si>
  <si>
    <t>20KB0165   Road Widening along Sayre Highway (Jct. Bukidnon – Davao City Rd – Cotabato Bdry) – K1586+100 – K1586+515  :	Spring, Kibawe, Bukidnon</t>
  </si>
  <si>
    <t>Supply of Plain Continous Form 140mm x 241mm, Single Ply (4,000 sheets/box)</t>
  </si>
  <si>
    <t>Construction of PCO/VIP Lounge at SAF Museum, HSAF, Camp Bagong Diwa, Bicutan, Taguig City</t>
  </si>
  <si>
    <t>Supply and Delivery of One (1) Unit Brand New 4x4 Pickup Vehicle</t>
  </si>
  <si>
    <t>Supply and Delivery of Various I.T. Equipment for UTDC</t>
  </si>
  <si>
    <t>Rehabilitation/Improvement of Brgy. Malino, Jiabong, Samar</t>
  </si>
  <si>
    <t>Cluster XXXX</t>
  </si>
  <si>
    <t>CONSTRUCTION OF FRUIT STAND</t>
  </si>
  <si>
    <t>Furnishing/Delivery of Labor, Materials and Equipment</t>
  </si>
  <si>
    <t>Furnishing and Delivery of Various Construction Materials for use in the Routine/ Maintenance Activities along Calapan South Road, CSR Jct. Pola Road &amp; CSR Jct. Minas Road, Calapan North Road and Repa</t>
  </si>
  <si>
    <t>CONDUCT OF ALTERNATIVE LIVELIHOOD TRAINING</t>
  </si>
  <si>
    <t>ESTABLISHMENT OF WEAVING FACILITY</t>
  </si>
  <si>
    <t>Construction of Vermi Culture Facility and Wood Vinegar Facility</t>
  </si>
  <si>
    <t>CONSTRUCTION AND IMPROVEMENT OF WATER SYSTEM</t>
  </si>
  <si>
    <t>POROPOSED CONSTRUCTION OF CANAL AT BRGY II-B, SAN PABLO CITY</t>
  </si>
  <si>
    <t>Completion of Livelihood Center</t>
  </si>
  <si>
    <t>Rehabilitation/Improvement of Brgy. Bagacay-Concord Road</t>
  </si>
  <si>
    <t>PROCUREMENT OF GENUINE HP TONER CARTRIDGES (For Existing units of HP Printers) (ITB # M20-06-01)</t>
  </si>
  <si>
    <t>Bidding for Supply, Delivery, Installation and Commissioning of Various Medical Equipment - III</t>
  </si>
  <si>
    <t>Infrastructure Project: Renovation of Treasurer's Office ceiling, Barangay Semirara, Caluya, Antique</t>
  </si>
  <si>
    <t>EMBANKMENT/EARTFILLING OF SITE FOR NATIONAL LINE AGENCY BUILDING</t>
  </si>
  <si>
    <t>Procurement of Office Supplies (1st and 2nd Quarter of 2020)</t>
  </si>
  <si>
    <t>Repair and Rehabilitation of Tarangnan Community Hospital</t>
  </si>
  <si>
    <t>CONCRETING OF JOSE SAGUIN AND FLORENTINO SAGUIN STREETS AT POBLACION SOUTH, PIÑAN, Z.N.</t>
  </si>
  <si>
    <t>Development of Cold Spring Resort</t>
  </si>
  <si>
    <t>INVITATION TO APPLY FOR ELIGIBILITY AND TO BID FOR THE SCIENCE RESEARCH FACILITY UNDER DESIGN AND BUILD SCHEME (REBIDDING)</t>
  </si>
  <si>
    <t>PURCHASE OF DISASTER RESPONSE/RESCUE VEHICLE</t>
  </si>
  <si>
    <t>20FK0054-Network Development-Const. of By-Pass and Diversion Roads-Barcelona-Casiguran Diversion Road, Casiguran Section, (Package 2) Casiguran, Sorsogon</t>
  </si>
  <si>
    <t>PR 2020-04-061 Supply and Delivery of Materials for use in 71X – (Special Maintenance – Road Signages) along Daang Maharlika Road and Surigao – Davao Coastal Road w/ Exception. (Daang Maharlika (K1377</t>
  </si>
  <si>
    <t>Purchase of Office Supplies for Various Offices</t>
  </si>
  <si>
    <t>Supply and Delivery of Branded Brand New SLR/DSL Camera</t>
  </si>
  <si>
    <t>2020-MS-101 Compressed Air (Rebid)</t>
  </si>
  <si>
    <t>Procurement of Supply &amp; Delivery of Farm Inputs (Typhoon Ursula)</t>
  </si>
  <si>
    <t>Supply and Delivery of BFAR Computer Hardware for the Office Productivity Project</t>
  </si>
  <si>
    <t>BPSU Abucay Campus: Supply, Delivery and Installation of Laboratory Equipment for the Rehabilitation of BSA/BTVTE Building at BPSU Abucay Campus</t>
  </si>
  <si>
    <t>FURNISHING &amp; DELIVERY OF VARIOUS  MATERIALS FOR CONCRETING OF BARANGAY ROAD AT MINANGA, CAMALANIUGAN, CAGAYAN - 1ST POSTING</t>
  </si>
  <si>
    <t>PR 2020-03-049 Supply and Delivery of Materials for the use in 71X – (Special Maintenance – Kilometer Post) along Daang Maharlika Road, Surigao – Davao Coastal Road, Nabunturan – Mainit Park Road, and</t>
  </si>
  <si>
    <t>Supply, Delivery, and Installation of Enterprise Database Management Software for Linux Platform</t>
  </si>
  <si>
    <t>Re-Bidding for Lot Bid Supply, Delivery, Installation and Commissioning for Central Monitor (2 units)  with Cardiac Monitor (16 units)</t>
  </si>
  <si>
    <t>Supply and Delivery of Plastic Pallets</t>
  </si>
  <si>
    <t>Repair/Improvement of Office</t>
  </si>
  <si>
    <t>PROCUREMENT OF ONE (1) BRAND NEW VACUUM EXCAVATION TRUCK</t>
  </si>
  <si>
    <t>Lease Contract for 32 units of Digital Copier Machines for SEC Head Office and Extension Offices for a period of one (1) year.</t>
  </si>
  <si>
    <t>20CSPA001 NOTICE OF SHORT LIST AND REQUEST FOR PROPOSALS (RFP) : DETAILED ENGINEERING DESIGN OF ABRA COLISEUM AND CONVENTION CENTER, La Paz, Abra</t>
  </si>
  <si>
    <t>Renovation of Market offices , Poblacion, Lapu-Lapu City</t>
  </si>
  <si>
    <t>CONSTRUCTION / IMPROVEMENT OF GOVERNMENT BUILDINGS: Repair/Rehab &amp; Improvement of Government Building</t>
  </si>
  <si>
    <t>DESIGN AND BUILD FOR THE CONSTRUCTION OF 2-STOREY PASSENGER TERMINAL BUILDING AT MALATAPAY, BARANGAY MALUAY, ZAMBOANGUITA, NEGROS ORIENTAL</t>
  </si>
  <si>
    <t>20DI0128- Construction of Multi-Purpose Building (Livelihood Training Center), Brgy. Maharlika, San Pedro City, Laguna</t>
  </si>
  <si>
    <t>INFRASTRUCTURE WORKS FOR THE CONSTRUCTION OF LINE CANAL AT BARANGAY CALANGO, ZAMBOANGUITA, NEGROS ORIENTAL</t>
  </si>
  <si>
    <t>PROCUREMENT OF ONE (1) UNIT BRAND NEW 6-WHEELER WATER TRUCK</t>
  </si>
  <si>
    <t>Package 50: Supply and Delivery of Small Ticket Medical Equipment</t>
  </si>
  <si>
    <t>PURCHASE OF COMPLETE SET DESKTOP AND LAPTOP COMPUTERS FOR OFFICIAL USE OF DENR-PENRO PALAWAN</t>
  </si>
  <si>
    <t>Supply and Delivery of 4WD 90Hp Farm Tractor</t>
  </si>
  <si>
    <t>20DI0129- Repair of Road, Brgy. Langgam, San Pedro City, Laguna</t>
  </si>
  <si>
    <t>20FN0102 Local Program – Building and Other Structures – Multipurpose/Facilities – Local Infrastructure Program Construction of Multi-Purpose Covered Court at San Ramon Elementary School Compound, San</t>
  </si>
  <si>
    <t>COMPLETION OF AGRICULTURAL TRADING CENTER (BAGSAKAN CENTER)</t>
  </si>
  <si>
    <t>Construction of Brgy. Road at Sitio Dating Daan</t>
  </si>
  <si>
    <t>Package 52: Supply and Delivery of Medical Instruments</t>
  </si>
  <si>
    <t>20PA0134 : CONCRETING OF BARANGAY TABACDA FMR, Barangay Tabacda, Tubo, Abra</t>
  </si>
  <si>
    <t>20FK0055-Network Development-Const. of By-Pass and Diversion Roads-Barcelona-Casiguran Diversion Road, Casiguran Section, (Package 2-B) Casiguran, Sorsogon</t>
  </si>
  <si>
    <t>Supply and Delivery of Construction Materials and Supplies for the Improvement of Multi-Purpose Building</t>
  </si>
  <si>
    <t>Package 51: Supply and Delivery of Surgical Equipment</t>
  </si>
  <si>
    <t>Procurement of Plumbing and Hardware Supplies</t>
  </si>
  <si>
    <t xml:space="preserve">20FN0100 Construction/Repair/Rehabilitation/Improvement of Various Infrastructure including Local Projects – Construction of Flood Control (Slope Protection, Rip-Rap) Project, Brgy. La Medalla, Baao, </t>
  </si>
  <si>
    <t>SUPPLY AND DELIVERY OF FOOD PROCESSING EQUIPMENT FOR THE LIVELIHOOD PROGRAM-MEAT PROCESSING OF SALAKNIB FARMERS ASSOCIATION</t>
  </si>
  <si>
    <t>20FN0098 Construction/Repair/Rehabilitation/ Improvement of Various Infrastructure including Local Projects – Flood Control Structures/Facilities – Construction and Improvement of River Waterways alon</t>
  </si>
  <si>
    <t>(Cluster IX) Local Program; Construction/ Repair/ Rehabilitation/ Improvement of Building and other Structures; Multi-Purpose/ Facilities: Construction of Multi-Purpose Building in Various Barangays a</t>
  </si>
  <si>
    <t>20DI0133- Construction/ Rehabilitation of Multi-Purpose Building, Brgy. Dita, Santa Rosa, Laguna</t>
  </si>
  <si>
    <t>Construction of Barangay Buaya Health Center (Phase I) , Buaya, Lapu-Lapu City</t>
  </si>
  <si>
    <t>20DI0132- Construction of Multi-Purpose Building, Brgy. Caingin, Sta. Rosa City, Laguna</t>
  </si>
  <si>
    <t>Purchase of IT Equipment as Subsidy to PNP by the Provincial Government of Zamboanga del Sur</t>
  </si>
  <si>
    <t>Supply and Delivery of Robotics Kit (Re-Post)</t>
  </si>
  <si>
    <t>Supply And Delivery of Unmanned Aerial Vehicle (UAV) “Drone” and Accessories</t>
  </si>
  <si>
    <t>Local Infrastructure Program; Building and other Structures; Multi-Purpose/ Facilities: Improvement/Rehabilitation of City Hall, Brgy. Tabon, Mabalacat City, Pampanga</t>
  </si>
  <si>
    <t>Infrastructure Project: Renovation of stage ceiling , barangay Semirara, Caluya, Antique</t>
  </si>
  <si>
    <t>Supply and Delivery of Compact  Digital Camera</t>
  </si>
  <si>
    <t>20FN0101 Local Program – Local Infrastructure Program-Local Roads Concreting of Laganac - Tomatarayo - Cayogcog Road, Balatan, Camarines Sur Section A: Sta. 0+000.00 – Sta. 0+365.15 Sta. 0+650.00 – St</t>
  </si>
  <si>
    <t>Local Infrastructure Program; Building and other Structures; Multi-Purpose/ Facilities: Construction and/or Repair/ Rehabilitation of Multi-Purpose Building, Brgy. Balibago, Angeles City, Pampanga</t>
  </si>
  <si>
    <t>20DI0131- Construction and/or Repair/Rehabilitation of Multi-Purpose Building, Brgy. Magsaysay, San Pedro City, Laguna</t>
  </si>
  <si>
    <t>Package 49: Supply and Delivery of Medical Equipment</t>
  </si>
  <si>
    <t>Stock Room, Concoction Center, Vermi Compositing and Plant Nursery</t>
  </si>
  <si>
    <t>20FN0099 Construction/Repair/Rehabilitation/ Improvement of Various Infrastructure including Local Projects – Flood Control Structures/Facilities – Construction of Flood Control Structure along Anolin</t>
  </si>
  <si>
    <t>Cluster XXXXII</t>
  </si>
  <si>
    <t>Supply and Delivery of Various Chairs for SEC Head Office and Extension Offices.</t>
  </si>
  <si>
    <t>20DI0130- Rehabilitation of Drainage Canal, Brgy. Mayapa, Calamba City, Laguna</t>
  </si>
  <si>
    <t>Cluster XXXXIII</t>
  </si>
  <si>
    <t>ITB - Vehicles (SIDA)</t>
  </si>
  <si>
    <t>Package 56: Supply and delivery of Blood Bags</t>
  </si>
  <si>
    <t>Purchase of Various Materials for the Cacao Nursery Program of the Provincial Government of Zamboanga del Sur</t>
  </si>
  <si>
    <t>HO-FAU20-003 - Supply and Delivery of Scanner/Printer, Camera Digital &amp; Shredder Paper</t>
  </si>
  <si>
    <t>HO-CCS20-001 - Supply and Delivery of Scanner, Over-ear Headphone &amp; Bluetooth Earphones</t>
  </si>
  <si>
    <t>Package 48: Supply and Delivery of Laboratory Equipment</t>
  </si>
  <si>
    <t>IMPROVEMENT/CONCRETING OF MACABAKLE BRGY. ROAD</t>
  </si>
  <si>
    <t>Package 55: Supply and delivery of Testing Kit</t>
  </si>
  <si>
    <t>20DI0137- Construction of Multipurpose Building, Brgy. San Nicolas, Municipality of Bay, Laguna</t>
  </si>
  <si>
    <t>20DI0136- Construction/ Repair/ Rehab of Multi-Purpose Building, Brgy. Tagapo, Santa Rosa, Laguna</t>
  </si>
  <si>
    <t>Invitation to Bid for Construction of Two (2) Units Potable Water Supply System Level 3 Baybay Norte &amp; Baybay Sur, Sual, Pangasinan</t>
  </si>
  <si>
    <t>Concreting of Lupang Tagalog Farm to Market Road (217 meters)</t>
  </si>
  <si>
    <t>CONSTRUCTION OF MULTI PURPOSE BUILDING (WAREHOUSE) AT SIARGAO DISTRICT HOSPITAL</t>
  </si>
  <si>
    <t>S4-NPB20-002 - Supply and Delivery of Speaker, Table/PV, Shredder, Earphone &amp; Wireless Presenter Laser Pointer</t>
  </si>
  <si>
    <t>INVITATION TO BID FOR THE CONCRETING OF ROAD AT GALLEMIT STREET, BARANGAY LANGATIAN WITH PR#2020-20%-06-016 FOR MEO AND ABC OF P 999,872.30</t>
  </si>
  <si>
    <t>Supply &amp; Delivery of One (1) Unit Motor Vehicle for Mass Transportation</t>
  </si>
  <si>
    <t>Re- Bidding for Supply, Delivery, Installation and Commissioning of Various Medical Equipment - II</t>
  </si>
  <si>
    <t>Construction of One (1) Storey, 1-Classroom School Building @ San Andres Elementary School, Brgy. Banquerohan, Cadiz City</t>
  </si>
  <si>
    <t>Labor and Materials for the Fabrication and Installation of 31 Units of Oyster Plot Hanging Method under SAAD 2020 Livelihood Assistance for the Province of Sorsogon</t>
  </si>
  <si>
    <t>Purchase of IT Equipment for Various Offices</t>
  </si>
  <si>
    <t>20DI0143- Construction of Drainage System, Brgy. Dela Paz,Biñan, Laguna</t>
  </si>
  <si>
    <t>INSTALLATION OF LINED CANALS AND SLOPE PROTECTION AT SITIO UPPER CABACUNGAN TO BOUNDARY SITIO WALO, BARANGAY BULACAN, MALALAG, DAVAO DEL SUR all in accordance to plans, specifications and scope of wor</t>
  </si>
  <si>
    <t>20DI0144- Rehabilitation of Drainage, Old National Highway Brgy. Sto. Niño and Brgy. Vicente, Biñan City, Laguna</t>
  </si>
  <si>
    <t>MBO &amp; MACCO Budgeting and Recording System</t>
  </si>
  <si>
    <t>20DI0141- Construction of Multi - purpose Building, San Pedro City, Laguna</t>
  </si>
  <si>
    <t>20DI0140-Construction of Multi-Purpose Building (Welness Center), Brgy. San Nicolas, Bay, Laguna</t>
  </si>
  <si>
    <t>Invitation to Bid and Bidding Documents</t>
  </si>
  <si>
    <t>Supply &amp; Delivery of One (1) Unit Diesel Power Generator Set, 75KVA, Silent Type</t>
  </si>
  <si>
    <t>2LSSM2020A-132 Office Supplies</t>
  </si>
  <si>
    <t xml:space="preserve">CONSTRUCTION OF JUNCTIONS FOR THE REHABILITATION OF SAN ISIDRO, HAGONOY TO KM. 67, MATANAO FMR all in accordance to plans, specifications and scope of work and the Green Procurement Policy as adopted </t>
  </si>
  <si>
    <t>20DI0142- Construction/ Repair/ Rehab of Multi-Purpose Building, Brgy. Don Jose, Santa Rosa, Laguna</t>
  </si>
  <si>
    <t>COMPLETION OF INSTALLATION OF STREETLIGHTING SYSTEM @ BANGQUEROHAN AREA</t>
  </si>
  <si>
    <t>Construction of Waiting Shed</t>
  </si>
  <si>
    <t>SUPPLY AND DELIVERY OF LABORATORY EQUIPMENT-C, DMMMSU-SRDI, Sapilang, Bacnotan, La Union</t>
  </si>
  <si>
    <t>PURCHASE OF BRAND NEW MULTI-PURPOSE STAINLESS WATER TANKER FOR THE MUNICIPALITY OF ALEGRIA USE</t>
  </si>
  <si>
    <t>20DI0135- Construction/ Repair/ Rehab of Multi-Purpose Building, Bayshore Ville Phase II, Brgy. Sinalhan, Santa Rosa Laguna</t>
  </si>
  <si>
    <t>Construction of City Fire Hydrants &amp; Accessories @ City Proper,  Cadiz City</t>
  </si>
  <si>
    <t>2LSSM2020A-133 Office Supplies</t>
  </si>
  <si>
    <t>20HC0180- CONSTRUCTION OF LEVEL III  WATER SUPPLY SYSTEM, BUENAVISTA, BOHOL</t>
  </si>
  <si>
    <t>20GEF009 (Re-bid 1) Cluster IV – 1. Supply and Delivery of Office Equipment for use of Maintenance Section 2. Supply and Delivery of I.T. Equipment for use of Maintenance Section Palawan 2nd DEO, Narr</t>
  </si>
  <si>
    <t>20HH0135-Local Program: Local Infrastructure Program – Buildings and other Structure – Multi Purpose / Facilities – Construction and / or Repair / Rehabilitation of Multi Purpose Building, Brgy. Laban</t>
  </si>
  <si>
    <t>Supply and Delivery of One (1) Unit Brand New Big Bus, 6 Wheeler, Completely Build Unit (CBU)</t>
  </si>
  <si>
    <t>HFEP ITB 2020-002 Infrastructure</t>
  </si>
  <si>
    <t>Construction of Comfort Rooms (Oval &amp; Park), DMMMSU-NLUC, Sapilang, Bacnotan, La Union</t>
  </si>
  <si>
    <t>INVITATION TO BID FOR THE CONCRETING OF ROAD AT SERGIO OSMEÑA ST., BRGY.LANGATIAN WITH PR#2020-20%-03-010 FOR MEO AND ABC OF P 999,329.49</t>
  </si>
  <si>
    <t>Supply, Delivery and Installation of 4 Units High Volume Low Speed Fan</t>
  </si>
  <si>
    <t>SUPPLY AND DELIVERY OF THIRTY FOUR (34) UNITS BRAND NEW TRACTOR WITH IMPLEMENTS</t>
  </si>
  <si>
    <t>CONSTRUCTION/CONCRETING OF PROVINCIAL ROADS, HIGHWAYS AND BRIDGES (PATAG-SAN MATEO ROAD)</t>
  </si>
  <si>
    <t>Supply and Delivery of Two (2) Units Brand New Mini Bus, 4x2 M/T Diesel</t>
  </si>
  <si>
    <t>CONCRETING OF BAYATAKAN ROAD PHASE II</t>
  </si>
  <si>
    <t>INVITATION TO BID FOR  THE CONCRETING OF ROAD AT BARANGAY MINANG WITH PR#2020-20%-03-011 FOR MEO AND ABC OF P 998,241.05</t>
  </si>
  <si>
    <t>20HH0139-Repair and Maintenance of Road Safety Facilities (Installation of Road Safety Devices) along Cebu South Properties (Tunnel), Cebu South Road Properties and Gov. Cuenco Avenue, Cebu City</t>
  </si>
  <si>
    <t>Procurement of 313, 150 Liters Diesel Fuel</t>
  </si>
  <si>
    <t xml:space="preserve">20EF0121 Cluster IV – 1. Construction of Rain Water Collection System (RWCS) Mangkongon Elementary School 2. Construction of Rain Water Collection System (RWCS) Amas Elementary School 3. Construction </t>
  </si>
  <si>
    <t>REHABILITATION OF MULTI-PURPOSE HALL – CAPITAN BAYONG – BARANGAY PROPER, IMPASUGONG, BUKIDNON</t>
  </si>
  <si>
    <t>20HH0138-Repair / Maintenance of Drainage System along Old Cadre Rd. (S00037CB) Chainage 330 – Chainage 539, Brgy. Kasambagan, Cebu City</t>
  </si>
  <si>
    <t>CID No. 20OD0191 - Repair/Maintenance of DPWH Building, Building I &amp; II, Metro Manila III District Engineering Office, APDC Compound, Valenzuela City</t>
  </si>
  <si>
    <t>Improvement of Water System Brgy. Malire to Brgy. Poblacion Proper, Antipas, Cotabato</t>
  </si>
  <si>
    <t>20EF0120 Cluster III – 1. Construction of Rain Water Collection System (RWCS) New Panay Elementary School 2. Construction of Rain Water Collection System (RWCS) Irader Elementary School 3. Constructio</t>
  </si>
  <si>
    <t>2LSSM2020A-139 Other Supplies and Materials</t>
  </si>
  <si>
    <t>IMPROVEMENT OF PANGANIBAN MUNICIPAL WATER SYSTEM</t>
  </si>
  <si>
    <t>20EF0119 Cluster II – 1. Construction of Rain Water Collection System (RWCS) El Salvador Elementary School 2. Construction of Rain Water Collection System (RWCS) Olympic Elementary School 3. Construct</t>
  </si>
  <si>
    <t>PROJ. 838 - YDP 2020</t>
  </si>
  <si>
    <t>2LSSM2020A-137 Other Supplies and Materials</t>
  </si>
  <si>
    <t>SUPPLY AND DELIVERY OF FURNITURE AND FIXTURES, DMMMSU-OUS, City of San Fernando, La Union</t>
  </si>
  <si>
    <t>2LSSM2020A-136 Other Supplies and Materials</t>
  </si>
  <si>
    <t>20CSBG002: Geotechnical Investigation for Proposed Bridge Project – (2) Saraga Bridge, San Mariano, Isabela, (2) Bigao Bridge, San Mariano, Isabela, (2) Tinabukolan Bridge, San Mariano, Isabela, (2) V</t>
  </si>
  <si>
    <t>2LSSM2020A-135 Office Supplies</t>
  </si>
  <si>
    <t>2LSSM2020A-174 Office Supplies</t>
  </si>
  <si>
    <t>REHABILITATION OF EXISTING MUNICIPAL ROADS</t>
  </si>
  <si>
    <t>Package 57: Supply and delivery of Insecticides</t>
  </si>
  <si>
    <t>2LSSM2020A-172 Office Supplies</t>
  </si>
  <si>
    <t>2LSSM2020A-138 Other Supplies and Materials</t>
  </si>
  <si>
    <t>CONSTRUCTION OF DRAINAGE CANAL – SEWER SYSTEM 690 Lm</t>
  </si>
  <si>
    <t xml:space="preserve">PR 2020-05-088 Supply and Delivery of Materials for the use in Activity 121 (Patching Concrete Pavement) along Daang Maharlika Road and Surigao – Davao Coastal Road (intermittent section) K1377±203 – </t>
  </si>
  <si>
    <t>PR 2020-05-087 Supply and Delivery of Materials for the use in Activity 112 (Penetration Patching Bituminous Pavement) along Daang Maharlika Road and Surigao – Davao Coastal Road (Intermittent Section</t>
  </si>
  <si>
    <t>2LSSM2020A-171 Office Supplies</t>
  </si>
  <si>
    <t>COMPLETION OF  BAGSAKAN VEGETABLE CENTER-OTHER STRUCTURE</t>
  </si>
  <si>
    <t>PR 2020-05-086 Supply and Delivery of Consolidated I.T. Consumables, for use in the Office of the District Engineer DEO, Nabunturan, Davao De Oro (for the 3rd quarter of 2020)</t>
  </si>
  <si>
    <t>Purchase of medicine fluids for sale in the Pharmacy of Bauan General Hospital, Bauan, Batangas</t>
  </si>
  <si>
    <t>20DI0139- Construction of Multi-Purpose Building, Women's Development Center, Cabuyao, Laguna</t>
  </si>
  <si>
    <t>20HH0140-Repair and Maintenance of Road Safety Facilities (Installation of Road Safety Devices) along Cebu Balamban Transcentral Highway, Cebu City</t>
  </si>
  <si>
    <t>2LSSM2020A-134 Office Supplies</t>
  </si>
  <si>
    <t>2LSSM2020A-142 Food Supplies</t>
  </si>
  <si>
    <t>2LSSM2020A-141 Other Supplies and Materials</t>
  </si>
  <si>
    <t>Procurement of 1 Lot Various Drugs and Medicines for the 3rd Quarter of 2020</t>
  </si>
  <si>
    <t>2LSSM2020A-143 Food Supplies</t>
  </si>
  <si>
    <t>2LSSM2020A-180 Other Supplies and Materials</t>
  </si>
  <si>
    <t>2LSSM2020B-169 Office Supplies</t>
  </si>
  <si>
    <t>CONSTRUCTION OF DRAINAGE SYSTEM COVER - PROCUREMENT OF MATERIALS</t>
  </si>
  <si>
    <t>Procurement of Consulting Services - Preparation of EIS and Facilitation of ECC Application</t>
  </si>
  <si>
    <t>2LSSM2020A-178 Food Supplies</t>
  </si>
  <si>
    <t>2LSSM2020A-179 Other Supplies and Materials</t>
  </si>
  <si>
    <t>20DQ0115 - LOCAL PROGRAM – Local Infrastructure Program – Buildings and Other Structures- Multi-Purpose /Facilities – Rehabilitation (Completion) of Multi-Purpose Building, Brgy. Francisco Reyes, Gen.</t>
  </si>
  <si>
    <t>Procurement of 1 Lot Fuel, Oil and Lubricant Expenses for the 3rd Quarter of 2020</t>
  </si>
  <si>
    <t>Procurement of 1 Lot Rehabilitation Supplies for the 3rd Quarter of 2020</t>
  </si>
  <si>
    <t>2LSSM2020A-170 Office Supplies</t>
  </si>
  <si>
    <t>20DQ0114 - LOCAL PROGRAM – Local Infrastructure Program – Local Roads and Bridges – Local Roads – Rehabilitation of road and reblocking at Springville Heights, Bacoor, Cavite and Rehabilitation of Roa</t>
  </si>
  <si>
    <t>Purchase of medical supplies to be used at Bauan General Hospital, Bauan, Batangas</t>
  </si>
  <si>
    <t>2LSSM2020A-177 Food Supplies</t>
  </si>
  <si>
    <t>Construction of Tulunan Public Cemetery</t>
  </si>
  <si>
    <t xml:space="preserve">20BG0147: Local Program - Construction/Repair/Rehabilitation/Improvement of Various Infrastructure including Local Projects –Local Roads and Bridges – Local Bridges – Construction of Over-pass (Phase </t>
  </si>
  <si>
    <t>2020-GOODS-032_One (1) Year Subscription of Electronic Books for the University</t>
  </si>
  <si>
    <t>2020-GOODS-031_Procurement and Installation of Various Aircondition Units for the Different Campuses of the University</t>
  </si>
  <si>
    <t>2020-GOODS-030_Procurement and Installation of Radio Station Equipment</t>
  </si>
  <si>
    <t>2 lots Card Production and Personalization for the PhilID Cards Project</t>
  </si>
  <si>
    <t>Procurement of One (1) Lot Cremation Equipment for Small Animals and One (1) Lot Individually Ventilated Caging (IVC) System for Mice</t>
  </si>
  <si>
    <t>Delivery of Supplies : Electrical Supplies</t>
  </si>
  <si>
    <t>Delivery of Supplies - Electrical Supplies</t>
  </si>
  <si>
    <t>CONSTRUCTION OF CANAL &amp; CANAL STRUCTURES, SUPPLY &amp; INSTALLATION OF STEEL PIPE SIPHON &amp; uPVC PIPE SIPHON AT DONGOS SIP PHASE III CY 2018 (INFRA)  (2nd Call)</t>
  </si>
  <si>
    <t>Completion/Rehabilitation of Multi-Purpose Building in Brgy. Manubuan, Matalam, North Cotabato</t>
  </si>
  <si>
    <t>Construction / Completion / Rehabilitation of Multi-Purpose Building in Brgy. Manubuan, Matalam, North Cotabato</t>
  </si>
  <si>
    <t>Supply &amp; Delivery of Construction Materials for  DONGOS SIP PHASE III: PACKAGE II – GOODS (2nd Call)</t>
  </si>
  <si>
    <t>Procurement of 1 Lot Military Supplies (Ammunition) for the 3rd Quarter of 2020</t>
  </si>
  <si>
    <t>Procurement of Consulting Services - Conduct of Geo-technical (Soil) Investigation</t>
  </si>
  <si>
    <t>Procurement of 1 Lot Printing and Publication for the 3rd Quarter of 2020</t>
  </si>
  <si>
    <t>CONSTRUCTION OF CANAL STRUCTURES AND INSTALLATION OF STEEL PIPE SIPHON: CANIPAY SIP PHASE VI (2nd Call)</t>
  </si>
  <si>
    <t>Development  and Deployment of the Philippines Anti-Illegal Drugs Strategy – Agency Reporting and Monitoring System (PADS-ARMS)</t>
  </si>
  <si>
    <t>2LSSM2020A-181 Other Supplies and Materials</t>
  </si>
  <si>
    <t>20CSBG004: Geotechnical Investigation for Proposed Flood Control Project – Approaches of Ganano Bridge (Revetment), Alicia, Isabela</t>
  </si>
  <si>
    <t>GENERATOR SET INSTALLATION AND RE-WIRING</t>
  </si>
  <si>
    <t>Delivery of Supplies -Electrical Supplies</t>
  </si>
  <si>
    <t>2LSSM2020A-173 Office Supplies</t>
  </si>
  <si>
    <t>Construction of Dome Shape Gymnasium for Senior High School at San Nicolas 3 (Greenvalley) City of Bacoor (Repost)</t>
  </si>
  <si>
    <t>PURCHASE OF MATERIALS FOR THE CONSTRUCTION/INSTALLATION OF STREETLIGHTS (SOLAR) AT SAN JOSE, BAGGAO, CAGAYAN</t>
  </si>
  <si>
    <t>Procurement of two (2) units BRAND NEW DRR VEHICLE</t>
  </si>
  <si>
    <t>Procurement of one (1) lot Laboratory Examinations and Diagnostic Procedures Send Out for 2020</t>
  </si>
  <si>
    <t>2LSSM2020A-176 Food Supplies</t>
  </si>
  <si>
    <t>Supply and Delivery of Various Materials Needed for the Repair of Roofing for OSCA, LIGA, LEGISLATIVE, EXECUTIVE, D.A., MRF and EVACUATION Building Damage for Typhoon</t>
  </si>
  <si>
    <t>Supply and Delivery of  various medicines (3rd Quarter) for use in Municipal Health Office, Villasis, Pangasinan</t>
  </si>
  <si>
    <t>construction of water reservoir(Macatcatud)</t>
  </si>
  <si>
    <t>20CSBG003: Geotechnical Investigation for Proposed Bridge Project – (2) Nueva Era Bridge, Cabatuan, Isabela</t>
  </si>
  <si>
    <t>20E00084 - LIP - Construction of Odiongan By-pass Road (Phase 4), Odiongan, Romblon</t>
  </si>
  <si>
    <t>IB 2020-07-007 PVSV Procurement of Passenger Van Service Vehicle  2020-07</t>
  </si>
  <si>
    <t>Fabrication of Stair Railings, Wooden Steps, Tables, Chairs and Electrical Fixtures in LGU Multi- Purpose Hall at Brgy. San Pedro, Tumauini, Isabela</t>
  </si>
  <si>
    <t>Poblacion - Dicklum Water System Phase I</t>
  </si>
  <si>
    <t>SUPPLY AND DELIVERY OF FAMILY PLANNING COMMODITIES</t>
  </si>
  <si>
    <t>Supply and Delivery of Construction Supplies and Materials for the various projects of Brgy. Anao</t>
  </si>
  <si>
    <t>Construction/Rehabilitation/Repair/Widening of Roads at Brgy. Tabuc Suba (Urban Poor Village Petals Ville) Jaro, Iloilo City (Bid No. 20-117)</t>
  </si>
  <si>
    <t>Construction/Rehabilitation of Existing Drainage System at Brgy. Tabuc Suba, Jaro, Iloilo City (Bid No. 20-113)</t>
  </si>
  <si>
    <t>Construction of LGU Multi-Purpose Hall- Phase VII at Brgy. San Pedro, Tumauini, Isabela</t>
  </si>
  <si>
    <t>Rehabilitation of All Gabaldon Building at Iloilo Central Elementary School, City Proper, Iloilo City (Bid No. 20-110)</t>
  </si>
  <si>
    <t>Construction/Rehabilitation/Repair/Widening of Roads at ICAG Road, Molo, Iloilo City (Bid No. 20-118)</t>
  </si>
  <si>
    <t>Construction/Rehabilitation of Existing Drainage System at Brgy. San Isidro, Lapaz, Iloilo City (Bid No. 20-114)</t>
  </si>
  <si>
    <t>Purchase of materials for the improvement of farm to market road (canal lining) at Ibulo,  Baggao, Cagayan</t>
  </si>
  <si>
    <t>Repair of Classrooms at Sambag Elementary School, Jaro, Iloilo City (Bid No. 20-109)</t>
  </si>
  <si>
    <t>Procurement of 1 Lot Various Office Supplies for the 3rd Quarter of 2020</t>
  </si>
  <si>
    <t xml:space="preserve">PEO-19-1503-B Construction of the Various Water Systems in the 2nd District of Iloilo: 1) Construction of Water System:      a. Sitio Bitin, Brgy. Jelicuon Oeste, New Lucena, Iloilo 2) Improvement of </t>
  </si>
  <si>
    <t>Supply and Delivery of One (1) Unit Dropside Truck; PR No. 20-1367 dated 01 April 2020; SN 127 - 2020</t>
  </si>
  <si>
    <t>Construction/Rehabilitation of Existing Drainage System at Brgy. Don Esteban, Lapuz, Iloilo City (Bid No. 20-108)</t>
  </si>
  <si>
    <t>PURCHASE OF MATERIALS FOR THE CONSTRUCTION OF BDRRM OFFICE AT SAN JOSE, BAGGAO, CAGAYAN</t>
  </si>
  <si>
    <t>Upgrading of Electrical Installation at Talaba Elementary School (repost)</t>
  </si>
  <si>
    <t>Construction of School Building Digman Elementary School at Digman Bacoor City, Cavite (Repost)</t>
  </si>
  <si>
    <t>CONCRETING OF FARM TO MARKET ROAD- BRGY. ABUNG</t>
  </si>
  <si>
    <t>SUPPLY AND DELIVERY OF MEDICINES &amp; PSYCHOTROPIC DRUGS</t>
  </si>
  <si>
    <t>Purchase of materials for the fabrication/installation of Solar Streetlights at Asinga-Via, Baggao, Cagayan</t>
  </si>
  <si>
    <t>NEGOTIATED PROCUREMENT OF SUPPLY, DELIVERY, INSTALLATION AND CONFIGURATION OF VARIOUS ICT EQUIPMENT, OFFICE EQUIPMENT AND COMPUTER SOFTWARE IN SUPPORT TO OPERATIONS AND RESEARCH DIVISION</t>
  </si>
  <si>
    <t>BNLSL-LCB-05A-2019 Construction of Canal System of Labiranan CIP, Dulag, Leyte</t>
  </si>
  <si>
    <t>Improvement of Water System (Phase 2)</t>
  </si>
  <si>
    <t>2020-17 “SUPPLY, DELIVERY AND INSTALLATION OF MARINE SPARE PARTS AND AIR-CONDITIONING SYSTEM TO BFAR VESSELS”</t>
  </si>
  <si>
    <t>INSTALLATION OF VARIOUS SOLAR STREET LIGHTS, BRGY. BALITE, BUGA,BUGA, POBLACION DEL NORTE, POBLACION DEL SUR, CALBUGOS, CAPINAHAN, HIBULANGAN, JALAS, JORDAN, SAN FRANCISCO, ABIJAO, STA. CRUZ, SULPA, T</t>
  </si>
  <si>
    <t>Construction of Flood Control Project (Gabion Type) Along Paliwan River at Brgy. Guinbanga-an, Laua-an, Antique</t>
  </si>
  <si>
    <t>20CSKK0004 -  Conduct of Relocation Survey of Road-Right-of-Way (RROW) of Municipalities of Kinoguitan, Balingoan and Talisayan, All Barangays along Butuan-Cagayan de Oro-Iligan Road (BCIR) within Mun</t>
  </si>
  <si>
    <t>20CW-GSC-022 ESTABLISHMENT OF ORGANIC TRADING POST CITY OF GENERAL SANTOS CITY</t>
  </si>
  <si>
    <t>ITB 2020-06-56A Procurement of Food and Drinks for OM</t>
  </si>
  <si>
    <t>ITB 2020-06-51A Procurement of Thirty-One (31) Air Conditioning Units for MCL</t>
  </si>
  <si>
    <t>ITB 2020-06-65A Procurement of Various Office Supplies for OM</t>
  </si>
  <si>
    <t>ITB 2020-06-55A Procurement of Various I.T. Equipment for MCL</t>
  </si>
  <si>
    <t>PROCUREMENT OF 1 UNIT AMBULANCE FOR LGU-MAPANAS, NORTHERN SAMAR</t>
  </si>
  <si>
    <t>CONCRETING OF FARM TO MARKET ROAD- BRGY. CALUBCUB 1.0</t>
  </si>
  <si>
    <t>SUPPLY AND DELIVERY OF HARDWARE SUPPLIES FOR THE COMPLETION OF AUXILIARY BUILDING (3RD FLOOR)</t>
  </si>
  <si>
    <t>20FO0100 - Construction of Water Supply Systems Level II within the 3rd District of Albay (10 sites)</t>
  </si>
  <si>
    <t>Improvement of Canal Service Road (2019-DII-ICSR#3-ALICIA-SAVINGS POW)</t>
  </si>
  <si>
    <t>Construction of ICARE Center at Time Square Gaisano, Gaisano Time Square Center Compound, B. Aquino Ave. Mandurriao, Iloilo City (Bid No. 20-123)</t>
  </si>
  <si>
    <t>Construction of Three (3) Storey 6 Classroom with Demolition at A. Mirasol Elementary School, mandurriao, Iloilo City (Bid No. 20-062)</t>
  </si>
  <si>
    <t>Proposed Additional Floor and its completion of Dormitory Type Hotel at Brgy. San Jose, San Pablo City.</t>
  </si>
  <si>
    <t>Insurance Services for PAFF-2020-0080 &amp; 0081</t>
  </si>
  <si>
    <t>Completion of Two (2) Storey Building Six (6) Classrooms at Uswag San Isidro Elementary School, Jaro, Iloilo City (Bid No. 20-122)</t>
  </si>
  <si>
    <t>2LSSM2020A-175 Food Supplies</t>
  </si>
  <si>
    <t>Improvement of Canal Service Road (2019-DII-ICSR#3-ANGADANAN-SAVINGS POW)</t>
  </si>
  <si>
    <t>20DQ0112 - LOCAL PROGRAM - Local Infrastructure Program - Flood Control and Drainage - Drainage / Protection Works – Rehabilitation of Drainage, Brgy. Zapote IV, Bacoor City, Cavite; Rehabilitation of</t>
  </si>
  <si>
    <t>Construction/Rehabilitation/Repair/Widening of Roads at Brgy. Claudio Castilla, EL-98, Jaro, Iloilo City (Bid No. 20-119)</t>
  </si>
  <si>
    <t>2LSSM2020A-140 Other Supplies and Materials</t>
  </si>
  <si>
    <t>Construction / Rehabilitation of Damawato Bridge</t>
  </si>
  <si>
    <t>20HH0136-Local Program: Local Infrastructure Program – Buildings and other Structure – Multi Purpose / Facilities – Construction of Multi – Purpose Building, Barangay Labangon, Cebu City</t>
  </si>
  <si>
    <t>Construction of Two (2) Storey Eight (8) Classrooms Building at N.J. Elementary School, Lapaz, Iloilo City (Bid No. 20-121)</t>
  </si>
  <si>
    <t>SUPPLY AND DELIVERY OF IT EQUIPMENT, DMMMSU-CA, Sapilang, Bacnotan, La Union</t>
  </si>
  <si>
    <t>(20NH0089(RE-AD))Construction/ Rehabilitation of Water Supply/ Septage and Sewerage/ Rain Water Collectors with Handwashing</t>
  </si>
  <si>
    <t>Purchase of injectable medicines for sale in the Pharmacy of Bauan General Hospital, Bauan, Batangas</t>
  </si>
  <si>
    <t>Package 54: Supply and delivery of Medical and Laboratory Supplies and Materials</t>
  </si>
  <si>
    <t>20EF0118 Cluster I – 1. Construction of Rain Water Collection System (RWCS) Batang-Batang Beach Elementary School 2. Construction of Rain Water Collection System (RWCS) Cabuluan Elementary School 3. C</t>
  </si>
  <si>
    <t>Package 53: Supply and Delivery of Pediatric Equipment</t>
  </si>
  <si>
    <t>Purchase of Furniture’s and Fixtures for Various Offices</t>
  </si>
  <si>
    <t>Completion of City Hospital - Lumbia (Phase II); SN 128 - 2020</t>
  </si>
  <si>
    <t>Cluster XXXXI</t>
  </si>
  <si>
    <t>Supply and Delivery of Various I.T. and Office Equipment for IMEAS</t>
  </si>
  <si>
    <t>20DI0138- Concreting of Access Road and Improvement of Drainage, Brgy. Santo Nino and Canlalay, Biñan, Laguna</t>
  </si>
  <si>
    <t>HO-CCD20-002 - Supply and Delivery of Camera Mirrorless &amp; Piano Digital</t>
  </si>
  <si>
    <t>20DI0134- Construction/ Rehabilitation of Multi-Purpose Building,Brgy. Pulong, Santa Cruz, Laguna</t>
  </si>
  <si>
    <t>Continuation of CIT Building (Remaining Portion)</t>
  </si>
  <si>
    <t>CONCRETING OF ROAD @ PAJAYON STREET, BRGY. IRIRON, CALINTAAN OCCIDENTAL MINDORO</t>
  </si>
  <si>
    <t>PURCHASE OF MICRONUTRIENT POWDER FOR COMPREHENSIVE NUTRITION PROGRAM</t>
  </si>
  <si>
    <t>10	boxes	Aciclovir 400mg tablet, 100's, etc. PR # 231-20</t>
  </si>
  <si>
    <t>improvement of evacuation center (2nd floor)</t>
  </si>
  <si>
    <t>SUPPLY AND DELIVERY OF BRAND NEW SERVICE VEHICLES, INCLUDING PREVENTIVE MAINTENANCE SERVICE (2 LOTS)</t>
  </si>
  <si>
    <t>IT Equipments for the Use of LGU-Cabatuan, Iloilo</t>
  </si>
  <si>
    <t>PROCUREMENT FOR THE SUPPLY, DELIVERY, INSTALLATION, TESTING AND COMMISSIONING OF TWO (2) UNITS OF PUMPING EQUIPMENT FOR THE IGACOS WATER DISTRICT’S WATER SUPPLY SYSTEM AND IMPROVEMENT PROJECT</t>
  </si>
  <si>
    <t>CONSTRUCTION/IMPROVEMENT OF MULTI PURPOSE BUILDING (PHASE1)</t>
  </si>
  <si>
    <t>20BF0059: Renovation of Planning and Design Section Office, Isabela Second District Engineering Office, San Antonio, Roxas, Isabela</t>
  </si>
  <si>
    <t>Procurement of Civil Works-Construction of 2 storey building to accommodate PUIs/PUMs</t>
  </si>
  <si>
    <t>SUPPLY AND DELIVERY OF BRAND NEW MOTORCYCLE WITH SINGLE PASSENGER SIDE CAR</t>
  </si>
  <si>
    <t>Repair of Brgy. Mambog Multi-purpose School Building (District Office)</t>
  </si>
  <si>
    <t>CONSTRUCTION OF LOCAL ROAD AND LINE CANAL</t>
  </si>
  <si>
    <t>Industrial Shredder for HOD-2020-0386</t>
  </si>
  <si>
    <t>Airconditioning System for PEO-2020-0856</t>
  </si>
  <si>
    <t>Veterinary Drugs &amp; Supplies for VET-2020-0140</t>
  </si>
  <si>
    <t>Supply of Labor, Materials and Equipment for the Construction of Pathways, Brgy. Pinagtung-Ulan, San Jose, Batangas</t>
  </si>
  <si>
    <t>SUPPLY AND DELIVERY OF VARIOUS INSTRUMENTS/EQUIPMENT FOR MAKATI HEALTH DEPARTMENT</t>
  </si>
  <si>
    <t>20BF0058: Repair/Maintenance of Mallig River Flood Control Structure at Brgy. San Pedro, Roxas, Isabela Sta. 0+000-Sta. 0+120, Roxas, Isabela</t>
  </si>
  <si>
    <t>Supply of Labor, Materials and Equipment for the Purchase and Installation of Street Lights, Various Barangay, San Jose, Batangas</t>
  </si>
  <si>
    <t>BARANGAY RESCUE VEHICLE(BONGGO DOUBLE CAB)</t>
  </si>
  <si>
    <t>Second Quarter Various Office Supplies</t>
  </si>
  <si>
    <t>PW-2020-08</t>
  </si>
  <si>
    <t>Supply of Labor, Materials and Equipment for Riprapping, Brgy. Pinagtung-Ulan, San Jose, Batangas</t>
  </si>
  <si>
    <t>SUPPLY AND DELIVERY OF OFFICE EQUIPMENT AND SUPPLIES FOR VARIOUS DEPARTMENTS/OFFICES OF THE CITY GOVERNMENT OF MAKATI</t>
  </si>
  <si>
    <t>Rehabilitation of Farm-to-Market Road - Lubing (Arsadanan)</t>
  </si>
  <si>
    <t>CONSTRUCTION OF LINE CANAL, BRGY. HINABUYAN, ILIGAY, SAN VICENTE, VILLABA, LEYTE SOURCE OF FUND: 20% AIP 2020</t>
  </si>
  <si>
    <t>SUPPLY &amp; DELIVERY OF ASSORTED VEGETABLE SEEDS UNDER DA YRRP-ESETS PROGRAM</t>
  </si>
  <si>
    <t>OUTSOURCING OF BASIC CLINICAL AND DIAGNOSTIC LABORATORY SUPPLIES AND SERVICES THROUGH AN ORDERING AGREEMENT</t>
  </si>
  <si>
    <t>CONSTRUCTION OF DAY CARE CENTER @ SO. MALATIKWANG, BRGY. NEW DAGUPAN, CALINTAAN OCCIDENTAL MINDORO</t>
  </si>
  <si>
    <t>Supply of Labor, Materials and Equipment for Riprapping, Brgy. Galamay Amo, San Jose, Batangas</t>
  </si>
  <si>
    <t>20CN0151 - A. Repair/Maintenance of Pingit Creek Revetment 2 &amp; 3 Flood Control, Brgy. Pingit, Baler, Aurora and B. Repair/Maintenance of Cabatangan River Revetment 2 Flood Control, Brgy. Dikildit, Mar</t>
  </si>
  <si>
    <t>20CN0150 -Construction of Multi-Purpose Building, Brgy. Dibaraybay, Dinalungan, Aurora</t>
  </si>
  <si>
    <t>Purchase of Various Office Supplies for the use of LGU Laua-an</t>
  </si>
  <si>
    <t>MPBRIS-LCB-08A-2019 Construction of Canal System of Mainit RIS, Alangalang, Leyte</t>
  </si>
  <si>
    <t>20CN0152 - Repair/Rehabilitation of Slope Protection along National Roads, A. Castañeda – Ma. Aurora San Luis Road, K0226+375, K0202+850, Dimasalang Bridge</t>
  </si>
  <si>
    <t>20KB0166   Road Widening along Sayre Highway (Jct. Bukidnon – Davao City Rd – Cotabato Bdry) – K1586+515 – k1588+100  :	Spring, Kibawe, Bukidnon</t>
  </si>
  <si>
    <t>CONSTRUCTION OF BAHAY SILANGAN</t>
  </si>
  <si>
    <t>Construction of Stone Masonry Riverwall (Portion) Along Labahan Creek at Palemon Street, Crestview Subdivision, Brgy. Cupang, Antipolo City</t>
  </si>
  <si>
    <t>REHABILITATION OF SLAUGHTER HOUSE</t>
  </si>
  <si>
    <t>INF ITB 20-028 Spring Development at Sitio Blit, Brgy. Ned, Lake Sebu, South Cotabato</t>
  </si>
  <si>
    <t>Repair/Rehabilitation Works of Three (3) Storey Six (6) Rooms PLED Building at San Isidro National High School Brgy San Isidro, Antipolo City</t>
  </si>
  <si>
    <t>Supply and Delivery for the City Disaster Risk Reduction and Management Office (CDRRMO) under P.R.No. 0693-2020-Subject to Ordering Agreement Arrangement</t>
  </si>
  <si>
    <t>Purchase of Laptop and Extension Cords</t>
  </si>
  <si>
    <t>SUPPLY AND DELIVERY OF APPLIANCES AND OTHER EQUIPMENT FOR VARIOUS DEPARTMENTS/OFFICES OF THE CITY GOVERNMENT OF MAKATI</t>
  </si>
  <si>
    <t>OUTSOURCING OF IMAGING SERVICES FOR VULNERABLE GROUPS THROUGH AN ORDERING AGREEMENT</t>
  </si>
  <si>
    <t>20GFD0008 – Supply and Delivery of Materials for the Repair and Maintenance of National Roads and Bridges along Rolando R. Andaya Highway K0282+(-916) to K0312+000  &amp; Sipocot-Cabusao Road K0394+(-816)</t>
  </si>
  <si>
    <t>Procurement of TRAFFIC CONTROL SYSTEM</t>
  </si>
  <si>
    <t>Procurement for the Supply and Delivery of Pipeline Materials for Operation &amp; Maintenance of 3rd &amp; 4th Quarter of CY 2020</t>
  </si>
  <si>
    <t>SUPPLY AND DELIVERY OF JANITORIAL AND CLEANING SUPPLIES FOR VARIOUS DEPARTMENTS/OFFICES IN THE CITY GOVERNMENT OF MAKATI</t>
  </si>
  <si>
    <t>Construction of Drainage Canal along Magbanua Street</t>
  </si>
  <si>
    <t>Construction of Stone Masonry Riverwall Along Creek at Antipolo Hills Subdivision, Brgy. San Luis, Antipolo City</t>
  </si>
  <si>
    <t>Contract ID No. 20K00349 - Const. of By-Pass and Diversion Road Jct. CDO Talakag Road/ Macapagal Drive-Upper Carmen-Patag-Jct. BCIR/ Kauswagan, Cagayan de Oro City</t>
  </si>
  <si>
    <t>Procurement of Farm Implements and Equipments</t>
  </si>
  <si>
    <t xml:space="preserve">Public Bidding of 3 Lots for the Supply and Delivery of Office Supplies, Computer Inks &amp; Cartridges and Janitorial Supplies for the use of Various Offices in the Roxas City Government (2nd Qtr) under </t>
  </si>
  <si>
    <t>Waterworks Materials</t>
  </si>
  <si>
    <t>SOIL/ GEOTECHNICAL INVESTIGATION FOR THE PROPOSED CONSTRUCTION OF VARIOUS FLOOD CONTROL PROJECTS AND PROPOSED CONSTRUCTION OF BUILDING PROJECT WITHIN 5TH AND 6TH DISTRICT OF PANGASINAN</t>
  </si>
  <si>
    <t>Solid Waste Management (Hauling), Office of the Municipal Agriculturist, San Jose, Batangas</t>
  </si>
  <si>
    <t>Fabrication &amp; Installation of Street Lights</t>
  </si>
  <si>
    <t>Improvement/ Replacement/ Repair/ Repainting at Various Schools, Brgy. Cupang, Antipolo City  (2020 – Package 20)</t>
  </si>
  <si>
    <t>Procurement for the Supply and Delivery of Plumbing Fixtures &amp; Fitting Materials for the 3rd and 4th Quarter Operation and Maintenance Requirement</t>
  </si>
  <si>
    <t>Repair/Repainting of School Canteen at Bagong Nayon II National Highschool - Annex, Brgy. San Isidro, Antipolo City</t>
  </si>
  <si>
    <t>Various Infrastructure Projects (Infra-20-08), Kabankalan City, Negros Occidental</t>
  </si>
  <si>
    <t>SUPPLY AND DELIVERY OF GROCERY SUPPLIES FOR VARIOUS OFFICES OF THE CITY GOVERNMENT OF MAKATI</t>
  </si>
  <si>
    <t>Delivery of one (1) unit Payloader</t>
  </si>
  <si>
    <t>IB-GOODS-2020-09 Procurement of Drugs and Medicines</t>
  </si>
  <si>
    <t>Supply and Delivery of Office and IT Equipment</t>
  </si>
  <si>
    <t>Procurement and Delivery of Various Goods</t>
  </si>
  <si>
    <t>Delivery of one (1) unit Dump truck</t>
  </si>
  <si>
    <t>20GFD0007 – Supply and Delivery of Materials for Repair and Maintenance of Road Safety Facilities along Daang Maharlika  (selected station limits) K0394+000 - K0396+000 and Rolando R. Andaya Highway K</t>
  </si>
  <si>
    <t>Medical, Laboratory and Birthing Facility Supplies for the 1st and 2nd Quarter 2020</t>
  </si>
  <si>
    <t>Concreting of Ilang-Ilang St. at Bermuda Heights Subd., Brgy. San Luis, Antipolo City</t>
  </si>
  <si>
    <t>Improvement of Covered Pathwalk at Bagong Nayon II Elementary School, Brgy. San Isidro, Antipolo City</t>
  </si>
  <si>
    <t>Supply and Delivery of Multi-Purpose Vehicles</t>
  </si>
  <si>
    <t>Supply and Delivery of Fuel, Oil and Lubricants use for the Construction/Rehab. of Local Roads.</t>
  </si>
  <si>
    <t>Purchase of One (1) Unit 4x4 Pick up Vehicle</t>
  </si>
  <si>
    <t>Repair/ Improvement of Two(2) Storey, Four(4) Classrooms AUS-AID Building at Old Boso-Boso Elementary School, Sitio Boso-Boso Brgy. San Jose, Antipolo City</t>
  </si>
  <si>
    <t>Construction of Covered Pathwalk  and Repair/ Improvement of Sitio Hall at Brgy. San Jose, Antipolo City (2020 – Package 21)</t>
  </si>
  <si>
    <t>Livestocks</t>
  </si>
  <si>
    <t>Purchase of Multi-Purpose Vehicle for the use of Ilog Rural Health Unit. Ilog, Negros Occidental</t>
  </si>
  <si>
    <t>Construction of Drainage System Phase IV at Maguey Road, Barangay San Luis, Antipolo City</t>
  </si>
  <si>
    <t>Purchase of 1 unit municipal ambulance</t>
  </si>
  <si>
    <t>REPAIR/IMPROVEMENT OF BRGY. RECREATION CENTER, BRGY. SAN VICENTE, VILLABA, LEYTE SOURCE OF FUND: BRGY. SAN VICENTE FUND</t>
  </si>
  <si>
    <t>Contract ID No. 20K00351 - Const. of By-Pass and Diversion Roads, Claveria-Balingoan By-Pass Road, (Kabangasan-Mapua Section), Misamis Oriental</t>
  </si>
  <si>
    <t>Procurement of Sacks for the operation of Municipal Reaper Machine</t>
  </si>
  <si>
    <t>Purchase of materials for the construction of Drainage Canal, Purok Kapitan Andres-Mabini, Barangay I, Pob. Ilog, Neg. Occ</t>
  </si>
  <si>
    <t>Construction of Foundation of Niches at City Public Cemetery No. 2, Sto. Niño St., Barangay San Jose, Antipolo  City</t>
  </si>
  <si>
    <t>Invitation to bid for the construction of 200 sq. meters reinforced concrete solar dryer pavement at Del Carmen, Uson, Masbate</t>
  </si>
  <si>
    <t>Construction of Drainage Canal along Panes-Laud Street</t>
  </si>
  <si>
    <t>20HG0174 - Repair/Maintenance of Slope Protection along Santander-Barili-Toledo Road, Looc Malabuyoc, K0160+800</t>
  </si>
  <si>
    <t>Contract ID No. 20K00350 - Const. of By-Pass and Diversion Roads Cagayan de Oro Diversion Road, (Jct. Balubal Sayre Highway-Pueblo de Oro, CDO-Old Airport Road Diversion Road (Pueblo de Oro/ Jct. CDO-</t>
  </si>
  <si>
    <t>Dismantling / Transfer / Erection of Elevated Steel Tank from San Juan Water Service Multi - Purpose Cooperative (SJWSMC), Sitio Buntong Palay, Brgy. San Juan to Kaysakat National High School, Brgy. S</t>
  </si>
  <si>
    <t>Invitation to bid for the barangay road concreting at Candelaria, Uson, Masbate</t>
  </si>
  <si>
    <t>Labor &amp; Materials for the Proposed Construction of 1 Unit Deepwell</t>
  </si>
  <si>
    <t>Concreting of Road 1 and Construction of Drainage Canal at Bayugo-Padi Heights Subd., Brgy. San Luis, Antipolo City</t>
  </si>
  <si>
    <t>Purchase of materials for the road concreting, Purok Santan, BRgy. Vista Alegre, Ilog, Neg. Occ.</t>
  </si>
  <si>
    <t>Repair/ Improvement of Two (2) Storey Six(6) Classrooms Sumulong Building at San Juan National High School, Brgy. San Juan, Antipolo City</t>
  </si>
  <si>
    <t>Concreting of Joaquin Orpilla FMR</t>
  </si>
  <si>
    <t>Purchase of materials for the improvement of Farm to Market Roads at Siito Toril, Purok Patino and Purok Cordova, Barangay Bocana, Ilog, Neg. Occ.</t>
  </si>
  <si>
    <t>Purchase of materials for the concrete pavement BRgy. Balicotoc, Ilog, Neg. Occ.</t>
  </si>
  <si>
    <t>Invitation to bid for the purchase of 20 units seafood stall</t>
  </si>
  <si>
    <t>Construction of Material Recovery Facility (MRF) at Brgy. Calawis, Antipolo City</t>
  </si>
  <si>
    <t>Construction of River/Flood Control - Hitoma, Caramoran</t>
  </si>
  <si>
    <t>Construction of Drainage System Phase III at Maguey Road, Barangay San Isidro, Antipolo City</t>
  </si>
  <si>
    <t>Purchase of Emergency Medical Service for MDRR Use</t>
  </si>
  <si>
    <t>SSF for Mini Food Processing Center for the LGU of Island Garden City of Samal</t>
  </si>
  <si>
    <t>Repair/ Repainting of Covered Court and Rewiring of School Building at Brgy. Sta. Cruz and Brgy. San Isidro, Antipolo City (2020 – Package 19)</t>
  </si>
  <si>
    <t>CONSTRUCTION OF CONCRETE WATER SHED</t>
  </si>
  <si>
    <t>20CSHN09 -Appraisal Services for Road-Right-of-Way Acquisition – Road Widening - Secondary Roads - Consolacion-Tayud-Liloan  Road - Chainage 1920 - Chainage 2823, Consolacion, Cebu</t>
  </si>
  <si>
    <t>Procurement of Various Office and IT Equipment of Different Offices - LGU Laak, Davao De Oro</t>
  </si>
  <si>
    <t>Procurement of 3 unit Computer Desktop,etc. under P.R.No. 2173-2020-5% City Disaster Risk Reduction and Management Fund(Continuing).</t>
  </si>
  <si>
    <t>Outsourcing of Ten (10) Personnel to Perform the Distribution of Water Bills within the Service Areas of the District (Rebidding)</t>
  </si>
  <si>
    <t>REQUEST FOR QUOTATION -One Year Lease of Network Performance monitoring System</t>
  </si>
  <si>
    <t>RE-BIDDING FOR THE COMPLETION OF ROXAS RURAL HEALTH UNIT (TB DOTS AND BIRTHING FACILITY) &amp; SAN VICENTE RURAL HEALTH UNIT (TB DOTS BUILDING) IN ROXAS AND SAN VICENTE, PALAWAN - PHASE 2 (LOT 2)</t>
  </si>
  <si>
    <t>INF ITB 20-029 Construction of Lying-in Center, Brgy. Lumakil, Polomolok, South Cotabato</t>
  </si>
  <si>
    <t>Purchase of Emergency Medical Service for Rural Health Unit Use</t>
  </si>
  <si>
    <t>INF ITB 20-030 Completion of Stage and Additional 2-Span Gym, Brgy. Polonuling, Tupi, South Cotabato</t>
  </si>
  <si>
    <t>20HG0175 - Repair/Maintenance of Flood Control Structure along Lengigon Bridge, Argao, Cebu</t>
  </si>
  <si>
    <t>Improvement of Drainage Canal at Dela Paz St. (Portion), Brgy. Dela Paz, Antipolo City</t>
  </si>
  <si>
    <t>CONCRETING OF BARANGAY ROADS AT SITIO DUHAT BACAO, TAYSAN BATANGAS</t>
  </si>
  <si>
    <t>Purchase of 6 units Multicab and 3 Units Prisoner’s Van Province of Northern Samar</t>
  </si>
  <si>
    <t>Invitation to bid for the barangay road concreting at Arado, Uson, Masbate</t>
  </si>
  <si>
    <t>Construction of Dike 2 Purok 3 at Barangay Pto. Rivas Lote, City of Balanga, Bataan (Rebidding)</t>
  </si>
  <si>
    <t>Repair/ Repainting of Two (2) Storey, Six (6) Rooms Pled School Building 4 at Antipolo National High School, Brgy. Sta. Cruz, Antipolo City</t>
  </si>
  <si>
    <t>Tobacco Farmers/Cooperatives' Farm Mechanization and Post-Harvest Facility Assistance Project</t>
  </si>
  <si>
    <t>Rehabilitation of Multi-Purpose Hall (phase 2), located at Barangay Mallorga, Talalora, Samar</t>
  </si>
  <si>
    <t>20FK0052-Local Program-Local Infrastructure-Concreting of Sitio Cagbalod Road Pilar, Sorogon</t>
  </si>
  <si>
    <t>PACKAGE 10-LDF20</t>
  </si>
  <si>
    <t>Purchase and Installation of Twelve (12) units of Solar Lights, Lam-an, Ozamiz City</t>
  </si>
  <si>
    <t>Construction of Barangay Stage - Tubli, Caramoran, Catanduanes</t>
  </si>
  <si>
    <t>Invitation to bid for the construction of circumferential concrete pathway at Campana, Uson, Masbate</t>
  </si>
  <si>
    <t>IMPROVEMENT OF BASKETBALL COURT (S.K FUND)</t>
  </si>
  <si>
    <t>CONSTRUCTION OF CONCRETE CANAL @ PUROK 03</t>
  </si>
  <si>
    <t>EMBANKMENT AND CEMENTING OF PROPOSED BASKETBALL COURT AND PARKING AREA (Phase I)</t>
  </si>
  <si>
    <t>Rehabilitation/Gravelling of Afusing Bato FMR</t>
  </si>
  <si>
    <t>20FK0051-Bridge-Refrofitting/Strenthening of Permanent Bridges-Mauhang Bridge (B04697LZ) along Daan Maharlika (LZ) Casiguran Sorsogon</t>
  </si>
  <si>
    <t>Invitation to bid for the barangay road concreting at Purok 5 to 6, Armenia, Uson, Masbate</t>
  </si>
  <si>
    <t>PROCUREMENT OF ROTARY COMPOSTER</t>
  </si>
  <si>
    <t>Installation of Automatic Fire Sprinkler System (with Automatic Fire Detection, Automatic Fire Alarm, Water Tank, Pump House and Power Supply) @ Cadiz City Hall Building 1, Cabahug Street, Cadiz City”</t>
  </si>
  <si>
    <t>Invitation to bid for the barangay road concreting at Purok 4, Buenavista, Uson, Masbate</t>
  </si>
  <si>
    <t>INSTALLATION OF GUARDRAILS (Procuring Entity: BLGU-Guinhadap)</t>
  </si>
  <si>
    <t>Invitation to bid for the purchase of 165 pails paint and 1,000 sacks cement</t>
  </si>
  <si>
    <t>Supply and Delivery of Cooking Tools and Materials</t>
  </si>
  <si>
    <t>Repair/ Repainting of Various School Buildings at Brgy. Sta. Cruz, Antipolo City (2020 – Package 22)</t>
  </si>
  <si>
    <t>Construction of Power House</t>
  </si>
  <si>
    <t>Purchase of materials for the construction of drainage canal, Barangay Dancalan, Ilog, neg. Occ.</t>
  </si>
  <si>
    <t>Supply and Delivery of Various Medicines for 2nd Quarter 2020</t>
  </si>
  <si>
    <t>Invitation to bid for the construction of 130 meters concrete pathway at Purok 1, Buenavista, Uson, Masbate</t>
  </si>
  <si>
    <t>20DD0331 Local Program, Construction/ Repair/ Rehabilitation/ Improvement of Various Infrastructure Including Local Projects, Local Roads and Bridges, Local Roads, Construction/Rehabilitation/Improvem</t>
  </si>
  <si>
    <t>Negotiated Lease of Office Space for PRO XI LHIO Tagum through MYOA</t>
  </si>
  <si>
    <t>Materials for the Concreting of Farm to Market Road, Brgy. Ito Sur, Cabatuan, Iloilo</t>
  </si>
  <si>
    <t>20DD0328 Local Program, Construction/ Repair/ Rehabilitation/ Improvement of Various Infrastructure Including Local Projects, Buildings and Other Structures, Multipurpose/ Facilities, Rehabilitation/</t>
  </si>
  <si>
    <t>Improvement of All Nurses Station</t>
  </si>
  <si>
    <t>20DD0327 Local Program, Local Infrastructure Program, Buildings and Other Structures, Multipurpose/ Facilities, Completion of Multi-Purpose Building, Brgy. Poblacion, San Juan, Batangas</t>
  </si>
  <si>
    <t>20DD0326 Local Program, Construction/ Repair/ Rehabilitation/ Improvement of Various Infrastructure Including Local Projects, Flood Control and Drainage, Drainage / Protection Works, Construction/ Reh</t>
  </si>
  <si>
    <t>20DD0329 Local Program, Local Infrastructure Program, Buildings and Other Structures, Multipurpose/ Facilities, Construction/ Improvement of Multi-Purpose Building in various Barangays, San Juan, Bata</t>
  </si>
  <si>
    <t>Rehabilitation/Improvement of EMCH Building Phase II for Non-COVID-19 Patients</t>
  </si>
  <si>
    <t>Public Bidding for the Supply and Delivery of Medical Supplies for the use of Roxas City Disaster Risk Reduction Management Office under ITB No. 2020-010</t>
  </si>
  <si>
    <t>Negotiated Lease of Office Space for PRO XI LHIO Nabunturan through MYOA</t>
  </si>
  <si>
    <t>Concreting of Barangay Road - Sto. Nino Street, Baybay, Caramoran</t>
  </si>
  <si>
    <t>CONSTRUCTION AND INSTALLATION OF MUNICIPAL SOLAR STREET LIGHTING Poblacion, Tubod, Lanao del Norte</t>
  </si>
  <si>
    <t>PROCUREMENT OF CONSTRUCTION SUPPLIES &amp; MATERIALS</t>
  </si>
  <si>
    <t>Office &amp; Housekeeping Supplies for BACC-2020-0019</t>
  </si>
  <si>
    <t>PR 9-20-05-0588, FOR THE USE OF SAN CARLOS CITY HOSPITAL, THIS CITY.</t>
  </si>
  <si>
    <t>Desilting of Cataning Sibacan River Malabia Section at Barangay Malabia, City of Balanga, Bataan (Rebidding)</t>
  </si>
  <si>
    <t>INFRA 2K20-39 CONSTRUCTION OF DAGUM-MATALANG ROAD</t>
  </si>
  <si>
    <t>Concreting of NRJ (Rosario) Poblacion-Novele-Sta. Cruz Circumferential Road</t>
  </si>
  <si>
    <t>Supply/Delivery of Grocery Item for Relief Packs to be given to Senior Citizen. (PR # 20-06-0603)</t>
  </si>
  <si>
    <t>Purchase of School Supplies for Balik-Eskwela (Grade 3) in support for the educational services program of the City Government as requested by CMO(PR# 220)</t>
  </si>
  <si>
    <t>PR 040 -02-2020 OFFICE SUPPLIES AND DEVICES 1ST QTR 2020</t>
  </si>
  <si>
    <t>20DD0330 Local Program, Construction/ Repair/ Rehabilitation/ Improvement of Various Infrastructure Including Local Projects, Local Roads and Bridges, Local Roads, Rehabilitation of Road including Dra</t>
  </si>
  <si>
    <t>Purchase of School Supplies for Balik-Eskwela (Grade 1) in support for the educational services program of the City Government as requested by CMO(PR# 227)</t>
  </si>
  <si>
    <t>20DD0338 Local Program, Construction/ Repair/ Rehabilitation/ Improvement of Various Infrastructure Including Local Projects, Water Management Facilities, Water Supply, Rehabilitation of Water Supply</t>
  </si>
  <si>
    <t>Purchase of School Supplies for Balik-Eskwela (Grade 2) in support for the educational services program of the City Government as requested by CMO(PR# 226)</t>
  </si>
  <si>
    <t>BPSU Main Campus:Supply, delivery and installation of equipment, instruments and software for the research project entitled “Improving Productivity of Philippine Carabao Mango through Introduction of</t>
  </si>
  <si>
    <t>CONSTRUCTION OF FARM TO MARKET ROAD AT ZONE II</t>
  </si>
  <si>
    <t>Desilting of Creek Monark and Jacoba Ville at Barangay Tuyo, City of Balanga, Bataan (Rebidding)</t>
  </si>
  <si>
    <t>Purchase of Fourteen Thousand Two Hundred (14,200) pieces of Binder Notebook in support for the educational services program of the City Government as requested by CMO(PR# 224)</t>
  </si>
  <si>
    <t>EXPANSION / IMPROVEMENT OF BARANGAY HALL</t>
  </si>
  <si>
    <t>Negotiated Lease of Office Space for PRO XI Annex Building 1 through MYOA</t>
  </si>
  <si>
    <t>5020301000-273-2020</t>
  </si>
  <si>
    <t>5020301000-278-2020</t>
  </si>
  <si>
    <t>HO-QAS20-001 &amp; HO-TMD20-003 - Supply and Delivery of Jacket, Hiking Shoes, Disposable Gloves and Mask</t>
  </si>
  <si>
    <t>20DB0134 Repair/Maintenance of Talisay Bridge Revetment (K0116+846), Brgy. Talisay, Calatagan, Batangas</t>
  </si>
  <si>
    <t>Public Bidding for the Supply and Delivery of Detachable Tablet Laptop, Printer and Heavy-Duty Shredder for City Administrator’s Office under ITB No. 2020-015</t>
  </si>
  <si>
    <t>Public Bidding for the Supply and Delivery of Construction Materials for the Repair and Maintenance of various City streets, Roxas City (2nd Qtr.) under ITB No. 2020-012</t>
  </si>
  <si>
    <t>FURNISHING OF LABOR AND MATERIALS FOR THE CONSTRUCTION/REHABILITATION OF LOCAL ROAD</t>
  </si>
  <si>
    <t>Purchase of School Supplies for Balik-Eskwela (Kinder) in support for the educational services program of the City Government as requested by CMO(PR# 225)</t>
  </si>
  <si>
    <t>Installation of Solar Power for Water System at San Quintin, Abra</t>
  </si>
  <si>
    <t>Water treatment facility Dapdap</t>
  </si>
  <si>
    <t>Purchase of School Supplies for Balik-Eskwela (Grade 6) in support for the educational services program of the City Government as requested by CMO(PR# 223)</t>
  </si>
  <si>
    <t>Procurement of Furniture &amp; Fixtures for PRO XI CY 2020</t>
  </si>
  <si>
    <t>5020399000-277-2020</t>
  </si>
  <si>
    <t>5020301000-276-2020</t>
  </si>
  <si>
    <t>PROCUREMENT OF  FOOD PROCESSING EQUIPMENT</t>
  </si>
  <si>
    <t>20DD0337 Local Program, Local Infrastructure Program, Buildings and Other Structures, Multipurpose/ Facilities, Construction and/or Repair/Rehabilitation of Multi-Purpose Building, Brgy. Banay-Banay,</t>
  </si>
  <si>
    <t>PURCHASE OF ONE (1) UNIT AIR CONDITION</t>
  </si>
  <si>
    <t>Purchase of Back Pack Bags and Pens for Balik-Eskwela (Junior/Senior High School) in support for the educational services program of the City Government as requested by CMO(PR# 248)</t>
  </si>
  <si>
    <t>Public Bidding for the Supply and Delivery of Diesel for Solid Waste Management Unit under ITB No. 2020-013</t>
  </si>
  <si>
    <t>PROCUREMENT OF COMMON-USED OFFICE SUPPLIES</t>
  </si>
  <si>
    <t>Purchase of School Supplies for Balik-Eskwela (Grade 5) in support for the educational services program of the City Government as requested by CMO(PR# 222)</t>
  </si>
  <si>
    <t>5020399000-274-2020</t>
  </si>
  <si>
    <t>CID No. 20IC0076: Const. of Rain Water Collection System (RWCS) at (22) Various Locations in Alangalang, Babatngon, San Miguel, Sta. Fe, Tanauan, Tolosa and Palo, Leyte; ABC: P4,378,687.50; 90 CD</t>
  </si>
  <si>
    <t>SUPPLY, DELIVERY, POSITIONING, COMMISSIONING AND TESTING OF ONE (1) UNIT BRAND NEW AND COMPLETE SOUNDPROOF ELECTRIC GENERATING SET 15 KVA WITH BUILT-IN AUTOMATIC TRANSFER SWITCH (ATS), SOLENOID CHANGE</t>
  </si>
  <si>
    <t>Purchase of School Supplies for Balik-Eskwela (Grade 4) in support for the educational services program of the City Government as requested by CMO(PR# 221)</t>
  </si>
  <si>
    <t>Construction of Ramp, Open Parking, Open Canal and Perimeter Fence for the DRRM Facility in  Fort Ramon Magsaysay (OCDRO III)</t>
  </si>
  <si>
    <t>Delivery of Integrated Water Supply (Pipes) needed for Construction of Tayawan-Minaba Water System (ITB 20-070)</t>
  </si>
  <si>
    <t>5020305000-275-2020</t>
  </si>
  <si>
    <t>Purchase of Equipments, Furniture and Fixtures for the Teen Center of Luca National High Schoo</t>
  </si>
  <si>
    <t>SUPPLY AND DELIVERY OF FOOD ITEMS (NUTRIPACKS) FOR THE IMPLEMENTATION OF SUPPLEMENTARY FEEDING PROGRAM DURING COMMUNITY QUARANTINE (9TH CYCLE - TWICE A DAY FEEDING)</t>
  </si>
  <si>
    <t>SUPPLY, DELIVERY &amp; INSTALLATION OF IT EQUIPMENT</t>
  </si>
  <si>
    <t>20GKG0027 (PR No. 20-04-069)- Procurement of 76 Drums Hot Asphalt 60/70 for use in the Patching of Potholes along National Roads, DPWH-Lanao del Norte 1st Engineering District</t>
  </si>
  <si>
    <t>Concreting of Fulay Farm to Market Road</t>
  </si>
  <si>
    <t>PROCUREMENT OF MENTAL MEDICINE SUPPLIES FOR RHU I &amp; II - 2ND QUARTER OF 2020</t>
  </si>
  <si>
    <t>PROCUREMENT OF  CAR VEHICLE</t>
  </si>
  <si>
    <t>Construction of Concrete Revetment Sitio Sampaloc at Barangay Central, City of Balanga, Bataan (Rebidding)</t>
  </si>
  <si>
    <t>S3-DIN20-004 - Lease of 3.5 MW Modular Diesel Gensets for Dinagat DPP, Dinagat Island, Surigao Del Norte</t>
  </si>
  <si>
    <t>20PA0131 (PACKAGE) : REPAIR/MAINTENANCE OF DPWH BUILDINGS, a.) Multi-Purpose Building, Zone 7, Bangued, Abra b.) Canteen, Zone 7, Bangued, Abra</t>
  </si>
  <si>
    <t>SUPPLY, DELIVERY &amp; INSTALLATION OF AIRCONDITIONERS AND AIRCONDITIONING SYSTEM</t>
  </si>
  <si>
    <t>Drugs, Medicines, Medical &amp; LAboratory Supplies for CDH-2020-0036-0038,0040,0048-0050,0056,0057,0059-0063, HOD-2020-0061, LZDH-2020-0037,0043,0045,0061, NFBC-2020-0014,  TJPH-2020-0050, 0103, 0106, 01</t>
  </si>
  <si>
    <t>CONSTRUCTION OF INFIRMARY HOSPITAL (Roof framing &amp; Roofing)</t>
  </si>
  <si>
    <t>20LA0337 Construction of Water System, Poblacion, Nabunturan, Compostela Valley</t>
  </si>
  <si>
    <t>INFRA 2K20-41 REHAB. &amp; IMPROVEMENT OF ZAMBO. DEL SUR PROVINCIAL COLLEGE</t>
  </si>
  <si>
    <t>5020305000-280-2020</t>
  </si>
  <si>
    <t>5020399000-279-2020</t>
  </si>
  <si>
    <t>20DD0336 Local Program, Construction/ Repair/ Rehabilitation/ Improvement of Various Infrastructure Including Local Projects, Buildings and Other Structures, Multipurpose/ Facilities, Rehabilitation/I</t>
  </si>
  <si>
    <t>PROCUREMENT OF SUPPLIES AND MATERIALS FOR AGRICULTURAL AND MARINE PROJECTS OF THE MAO</t>
  </si>
  <si>
    <t>REBIDDING OF SECURITY SERVICES FOR DSWD REGION 10 OFFICE, CENTERS AND SUB OFFICES 2020</t>
  </si>
  <si>
    <t>PR No. 20030903 – Supply and Delivery of Two (2) units Truck Dropside 6 Wheeler</t>
  </si>
  <si>
    <t>S1-SVD20-007 - Lease of 0.6 MW Modular Diesel Gensets for San Vicente DPP, San Vicente, Palawan</t>
  </si>
  <si>
    <t>20LA0341 Rehabilitation/Major Repair of Soop Br. (B01566MN) along Asuncion – San Isidro – Laak – Veruela Rd., Laak, Compostela Valley</t>
  </si>
  <si>
    <t>5020399000-281-2020</t>
  </si>
  <si>
    <t>PROCUREMENT OF MEDICINE SUPPLIES FOR RHU I, II &amp; III - 2ND QUARTER OF 2020</t>
  </si>
  <si>
    <t>Reconstruction of Box Culvert San Rafael at Barangay Tuyo, City of Balanga, Bataan (Rebidding)</t>
  </si>
  <si>
    <t>Contract ID 2020-IG-020 - Purchase of Various Laboratory Testing Equipment &amp; Apparatus for use in the Quality Assurance Section, DPWH, Leyte 5th Engineering District, Baybay City, Leyte</t>
  </si>
  <si>
    <t>PROCUREMENT OF OFFICE EQUIPMENT</t>
  </si>
  <si>
    <t>Public Bidding for the Supply and Delivery of Motorcycles for the use of City Mayor’s Office under ITB No. 2020-011</t>
  </si>
  <si>
    <t>20LA0340 Construction of Level II Water Supply System, Purok Maitom, Brgy. Tambongon, Pantukan, Compostela Valley</t>
  </si>
  <si>
    <t>20NA0073 (CLUSTER) Construction of Rainwater Collection System (RWCS), Agusan del Norte</t>
  </si>
  <si>
    <t>REHABILITATION/IMPROVEMENT OF LAWIS TO TALISAY WATER PIPELINES (MATERIALS ONLY)- CALAPE, BOHOL</t>
  </si>
  <si>
    <t>1 Lot	Catering Services of OG3, PA (Attached is the Terms and Conditions)</t>
  </si>
  <si>
    <t>S1-MAM20-010 - Lease of 4.0 MW Modular Diesel Gensets for Mamburao DPP, Mamburao, Occidental Mindoro</t>
  </si>
  <si>
    <t>PR No. 2020-02-0293-MAIN-Supply, Delivery and Installation of Laboratory Equipment for Garments Technology Instruction for the College of Teacher Education</t>
  </si>
  <si>
    <t>INFRA 2K20-46 REHABILITATION OF POB. LAKEWOOD – BAKING – DAGUM ROAD</t>
  </si>
  <si>
    <t>2020-056, CONSTRUCTION OF COVERED COURT AT SITIO BULOD, BARANGAY TUGAL, MIDSAYAP, COTABATO</t>
  </si>
  <si>
    <t>ACQUISITION OF MOTOR VEHICLE BPSO (RESCUE)</t>
  </si>
  <si>
    <t>20GKG0028 (PR No. 20-05-070)- Procurement of Construction Materials and Supplies for use in the Repair/Maintenance of Drainage along Tagoloan-Baloi Road (Tagoloan Section), Tagoloan, Lanao del Norte,</t>
  </si>
  <si>
    <t>PR No. 2020-02-0384-MAIN-Supply and Delivery of Cheque Paper for Registrar’s Office</t>
  </si>
  <si>
    <t>PROCUREMENT OF APPLIANCES</t>
  </si>
  <si>
    <t>Upgrading of the Tissue Culture Laboratory, Area: 315.0 Sq.M. at  Isabela State University, Cabagan, Isabela</t>
  </si>
  <si>
    <t>S3-KDP20-001 - Lease of 3.0 MW Modular Diesel Gensets for Kalamansig DPP, Kalamansig, Sultan Kudarat</t>
  </si>
  <si>
    <t>IB-2020-VI-30-06-CONSTRUCTION OF BARANGAY HEALTH STATION (ODIONG)</t>
  </si>
  <si>
    <t>SUPPLY AND DELIVERY OF SEEDLINGS AND VEGETABLE SEEDS</t>
  </si>
  <si>
    <t>Service Contract for the Janitorial and Utility Manpower Services for SEC Head Office and Extension Offices for a period of one (1) year</t>
  </si>
  <si>
    <t>Supply and Delivery of Fuels/Fuel Additives &amp; Lubricants &amp; Anti-Corrosive</t>
  </si>
  <si>
    <t>IB-2020-VI-30-05 CONSTRUCTION OF bRGY HEALTH STATION (CUBAY NAPULTAN)</t>
  </si>
  <si>
    <t>Concreting of Sitio Baccugon, Barangay Pullaan FMR, Lagawe, Ifugao</t>
  </si>
  <si>
    <t>Delivery of various construction materials needed for Brgy. Multi-Purpose Gym and Evacuation Center - Brgy. San Miguel, Bayawan City (ITB 20-071)</t>
  </si>
  <si>
    <t>20NA0072 Completion of Conference/Seminar Building, Brgy. Poblacion, Jabonga, Agusan del Norte</t>
  </si>
  <si>
    <t>INFRA 2K20-49 CONCRETING OF BINUAY TO BALUNO ROAD SECTION</t>
  </si>
  <si>
    <t>2020-055, CONSTRUCTION OF DAY CARE CENTER HALL AT LOMOPOG, MIDSAYAP, COTABATO</t>
  </si>
  <si>
    <t>PR No. 2020-02-0190-MAIN-Supply and Delivery of Hotel Housekeeping Instructional and Laboratory Materials for the College of Business Arts and Sciences</t>
  </si>
  <si>
    <t>20OI0121: CONSTRUCTION OF SLOPE PROTECTION AT ALMIRANTE CREEK AT BRGY. TALON 4, LAS PINAS CITY</t>
  </si>
  <si>
    <t>IB-2020-VI-30-04 TRAFFIC SIGN WITH STAND</t>
  </si>
  <si>
    <t>REPAIR/IMPROVEMENT OF PNP HEADQUARTERS, LA CARLOTA CITY</t>
  </si>
  <si>
    <t>INVITATION TO BID FOR Supply and Delivery of  ONE (1) UNIT BRAND NEW MOTOR VEHICLE  FOR UP BAGUIO Bid Reference No.: UPB-BID-2020-04A</t>
  </si>
  <si>
    <t>PR No. 2020-02-0192-MAIN-Supply and Delivery of Audio and Visual Equipment (TV Sets) for Instructional Purposes of CTAS</t>
  </si>
  <si>
    <t>Supply and Delivery of Auto Supplies and Equipment</t>
  </si>
  <si>
    <t>IB-2020-VI-30-02 CONSTRUCTION MATERIALS (TORDESILLAS &amp; LUNA)- P216,400.00</t>
  </si>
  <si>
    <t>3 lots Strapping and Bundling Materials and Band Rolls</t>
  </si>
  <si>
    <t>Procurement for the Renewal of DOH Blade Chassis and Blade Servers Maintenance Agreement – Rebid</t>
  </si>
  <si>
    <t>IB-2020-VI-30-03 FARM TO MARKET ROAD</t>
  </si>
  <si>
    <t>SUPPLY AND DELIVERY OF WASHABLE FACE MASK</t>
  </si>
  <si>
    <t>SUPPLY AND DELIVERY OF FERTILIZER</t>
  </si>
  <si>
    <t>PROCUREMENT OF GENERATOR SET</t>
  </si>
  <si>
    <t>S3-JOL20-030 - Lease of 1.0 Mw Modular Diesel Gensets for Jolo DPP, Jolo, Sulu</t>
  </si>
  <si>
    <t>Medicine</t>
  </si>
  <si>
    <t>S/D of 24 gals	Sanding sealer &amp; 20 others</t>
  </si>
  <si>
    <t>ITB- PROVISION OF MEALS AND DRINKING WATER FOR PROJECT SAGIP BATANG SOLVENT (PSBS)</t>
  </si>
  <si>
    <t>Supply of Printing Services (High Speed Printers capable of printing at least 55ppm and 75ppm) for a period of one (1) year</t>
  </si>
  <si>
    <t>Supply and Delivery of 2 sets Particle Board Office Cubicles with 2 shelves and Drawer lock and (10) other items under Purchase Request No. 896-20</t>
  </si>
  <si>
    <t>S1-TIN20-010 - Lease of 0.6 MW Modular Diesel Gensets for Tingloy DPP, Tingloy, Batangas</t>
  </si>
  <si>
    <t>S1-END20-011 - Lease of 1.0 MW Modular Diesel Gensets for El Nido DPP, El Nido, Palawan</t>
  </si>
  <si>
    <t>DEVELOPMENT/EMBANKMENT OF BAYWALK</t>
  </si>
  <si>
    <t>20LA0338 Construction of Water System, Purok Nagas, Tambongon, Pantukan, Compostela Valley</t>
  </si>
  <si>
    <t>Repair and Maintenance of LGU Service Vehicles</t>
  </si>
  <si>
    <t>Rebidding of 3 Projects Construction Materials (B-82-2020)</t>
  </si>
  <si>
    <t>Concreting of Pal-ew-Sto. Niño Road, Barangay Pal-ew (Additional Allocation) and Concreting of Sto. Niño-Pal-ew Road, Barangay Sto. Niño (Additional Allocation)</t>
  </si>
  <si>
    <t>20LA0339 Construction of Level III Water Supply System, Brgy. Poblacion, Nabunturan, Compostela Valley</t>
  </si>
  <si>
    <t>S/D of 4 pcs	Glow Plug &amp; 16 others</t>
  </si>
  <si>
    <t>Supply and Delivery of Medical Supplies for RHU, BEMONC and Philhealth</t>
  </si>
  <si>
    <t>PUBLIC BIDDING / PR 19-11-1126 RE-BID / REHABILITATION/RESTORATION OF KALAYAAN HALL EXTERIOR</t>
  </si>
  <si>
    <t>S1-LDP20-013 - Lease of 0.5 MW Modular Diesel Gensets for Lubang DPP, Lubang, Occidental Mindoro</t>
  </si>
  <si>
    <t>Concrete Pavement of Municipal Road to Climate Resilient Design Standards Located in Subdivision Area Poblacion</t>
  </si>
  <si>
    <t>Procurement of One (1) Lot Information and Communications Technology (ICT) Equipment for the Philippine National Police Anti- Kidnapping Group (PNP AKG) - PNPTR-AKG-DP-20-03</t>
  </si>
  <si>
    <t>CONSTRUCTION/CONCRETING OF 270 LN. M. LOCAL ACCESS ROAD   Purok 5, TCES, Poblacion, Tubod, Lanao del Norte</t>
  </si>
  <si>
    <t>Supply and Delivery of Medicines for RHU, BEMONC and Philhealth</t>
  </si>
  <si>
    <t>Supply, Delivery and Installation of Kitchenwares and Equipment for SIP Hub Kitchen of the Univertsity</t>
  </si>
  <si>
    <t>IB-2020-VI-30-07 CONSTRUCTION OF BARANGAY HEALTH STATION (IGCOCOC)</t>
  </si>
  <si>
    <t>PUBLIC BIDDING / PR 20-03-0161 /  125 BRAND NEW MULTI-FUNCTION PRINTERS (MFP)</t>
  </si>
  <si>
    <t>Purchase and Installation of Public Address System for COVID-19 Operation</t>
  </si>
  <si>
    <t>IB-2020-VI-30-08 CONSTRUCTION BARANGAY HEALTH STATION (TABONGTABONG)</t>
  </si>
  <si>
    <t>Purchase of 1-Unit Brand New Vehicle (AMBULANCE TYPE) for the Municipal Healht of LGU Lugait, Misamis Oriental.</t>
  </si>
  <si>
    <t>PURCHASE OF MATERIALS FOR THE CONSTRUCTION OF MULTI-PURPOSE BLDG./EVACUATION CENTER</t>
  </si>
  <si>
    <t>Supply &amp; Delivery of Various Medicines</t>
  </si>
  <si>
    <t>Repair/ Rehabilitation of Classroom Damaged by Typhoon Ursula under Quick Response Fund (QRF) CY 2020 Batch 1 Lot 2 at Kinalkalan ES and Mamhut ES at Balasan, Iloilo.</t>
  </si>
  <si>
    <t>PROCUREMENT FOR THE SUPPLY, DELIVERY AND INSTALLATION OF VARIOUS LABORATORY EQUIPMENT FOR USE OF NATIONAL PLANT QUARANTINE SERVICES DIVISION (NPQSD)</t>
  </si>
  <si>
    <t>Invitation to Bid for Supply, Delivery and Installation of Digital Speech Laboratory</t>
  </si>
  <si>
    <t>20PA0132 : CONCRETING OF BARANGAY GUINGUINABANG FMR, Barangay Guinguinabang, Lacub, Abra</t>
  </si>
  <si>
    <t>CONSTRUCTION OF MULTIPURPOSE BUILDING ( PHASE III) LAWIN DAY CARE</t>
  </si>
  <si>
    <t>supply and delivery of one unit dosing pump</t>
  </si>
  <si>
    <t>CONSTRUCTION OF PERIMETER FENCE OF NATIONAL CHILD DEVELOPMENT CENTER</t>
  </si>
  <si>
    <t>Construction Materials(Construction of Drainage Canal(Gamuton Continuation))</t>
  </si>
  <si>
    <t>IB-2020-VI-30-10 CONSTRUCTION MATERIALS (EGANA &amp;SALVACION)</t>
  </si>
  <si>
    <t>Re-Blocking and Upgrading of Existing Streets of Poblacion Las Navas, N. Samar</t>
  </si>
  <si>
    <t>CY 2020 Basic Educational Facilities Fund (BEFF)- Electrification of Un-Energized Schools and  Modernization of Electrical Systems On-Grid Schools Batch 2  (Repost)</t>
  </si>
  <si>
    <t>Invitation to Bid for Supply and Delivery of Agricultural Supplies at Mun. Agriculture Office, Calaca, Batangas</t>
  </si>
  <si>
    <t>Concreting of Road Leading to Jacinto Aguilar M/S Barangay Tugas, Concreting of Road Leading to Buyao-Tugas and Concreting of Road Sito Canlibot, Barangay Tugas</t>
  </si>
  <si>
    <t>supply and delivery of 10 unit smartphone, android</t>
  </si>
  <si>
    <t>INFRA 2K20-50 CONCRETING OF ROAD FROM JOSEFINA TO BALINTAWAK, MARGOSATUBIG (PHASE I)</t>
  </si>
  <si>
    <t>Procurement of OFFICE FURNITURE ADDITIONAL (Office Tables, Cabinet &amp; Chairs) Delivery &amp; Installation for the use of LGU Lugait, Misamis Oriental.</t>
  </si>
  <si>
    <t>Repair/ Rehabilitation of Classroom Damaged by Typhoon Ursula under Quick Response Fund (QRF) CY 2020 Batch 1 Lot 7 at Cawayan ES, Cawayan NHS, Carles, Iloilo and Balasan NHS, Balasan, Iloilo.</t>
  </si>
  <si>
    <t>20GHF0006 - Supply and Delivery of Construction Materials and Supplies for use in office repair purposes and in the Repaint of National Bridges, Concrete Parapet and Informative Road Safety Signages a</t>
  </si>
  <si>
    <t>Publication No. 29-2020-G (First Publication) IT Equipment</t>
  </si>
  <si>
    <t>Supply and Delivery of Monthly Security Services for Various Government Buildings</t>
  </si>
  <si>
    <t>Repair/ Rehabilitation of Classroom Damaged by Typhoon Ursula under Quick Response Fund (QRF) CY 2020 Batch 1 Lot 1 at Bacolod PS, Balasan CES, Batuan ES, Gimamanay ES, Quisan ES and Mamhut PS at Bala</t>
  </si>
  <si>
    <t>SUPPLY AND DELIVERY OF  SUPPLIES / MATERIALS FOR LIVELIHOOD PROGRAM FOR FISHERFOLK (FISHING GEARS)</t>
  </si>
  <si>
    <t>Publication No. 28-2020-G (First Publication) Office Equipment</t>
  </si>
  <si>
    <t>Bidding for the Supply &amp; Delivery of Medical Equipment for COVID-19 Operation</t>
  </si>
  <si>
    <t>Repair/ Rehabilitation of Classroom Damaged by Typhoon Ursula under Quick Response Fund (QRF) CY 2020 Batch 1 Lot 11 at Talingting NHS, Carles, Iloilo.</t>
  </si>
  <si>
    <t>Repair/ Rehabilitation of Classroom Damaged by Typhoon Ursula under Quick Response Fund (QRF) CY 2020 Batch 1 Lot 10 at San Fernando ES and Talingting ES, Carles, Iloilo.</t>
  </si>
  <si>
    <t>Procurement for the Supply and Delivery of One Unit Mobile Patrol Vehicle with Complete Accessories, City of Koronadal</t>
  </si>
  <si>
    <t>Supply and Delivery of Farm Machineries and Equipment</t>
  </si>
  <si>
    <t>Repair/ Rehabilitation of Classroom Damaged by Typhoon Ursula under Quick Response Fund (QRF) CY 2020 Batch 1 Lot 3 at Pedro Bedez ES and Zaragosa ES at Balasan, Iloilo.</t>
  </si>
  <si>
    <t>Concreting of Sitio Mabuyucan to Sitio Pun-Ayagan, Barangay Umalbong FMR, Barangay Umalbong, Hingyon, Ifugao</t>
  </si>
  <si>
    <t>Procurement for the Supply and Delivery of One (1) Unit Six (6) Wheeler Reconditioned Water Truck for CENRO, City of Koronadal</t>
  </si>
  <si>
    <t>Supply and Delivery of Various Agricultural Supplies and Materials</t>
  </si>
  <si>
    <t>Invitation to Bid for Supply and Delivery of Notebook, Writing Pad and Bond Paper for Day Care Children to Senior High School Students at DepEd Calaca District, Calaca, Batangas</t>
  </si>
  <si>
    <t>Procurement for the Supply and Delivery of 3,700 Pieces School Bags for Public School Grade – 1 Pupils of the City</t>
  </si>
  <si>
    <t>Electrical Distribution for Sinalhan Senior High School, Brgy. Sinalhan</t>
  </si>
  <si>
    <t>Procurement of Various Medical Equipment (HFEP)</t>
  </si>
  <si>
    <t>Procurement of Laparoscopy Tower</t>
  </si>
  <si>
    <t>Procurement of Medical, Dental &amp; Laboratory Supplies</t>
  </si>
  <si>
    <t>Repair/ Rehabilitation of Classroom Damaged by Typhoon Ursula under Quick Response Fund (QRF) CY 2020 Batch 1 Lot 21 at Binuluangan IS, Carles, Iloilo.</t>
  </si>
  <si>
    <t>Repair/ Rehabilitation of Classroom Damaged by Typhoon Ursula under Quick Response Fund (QRF) CY 2020 Batch 1 Lot 9 at Naborot ES and Pantalan IS, Carles, Iloilo</t>
  </si>
  <si>
    <t>Publication No. 32-2020-G (First Publication) Computer Server</t>
  </si>
  <si>
    <t>Repair/ Rehabilitation of Classroom Damaged by Typhoon Ursula under Quick Response Fund (QRF) CY 2020 Batch 1 Lot 19 at San Roque Es and Tanza ES, Estancia, Iloilo. B</t>
  </si>
  <si>
    <t>Repair/ Rehabilitation of Classroom Damaged by Typhoon Ursula under Quick Response Fund (QRF) CY 2020 Batch 1 Lot 18 at Botongon ES and Estancia CES, Estancia, Iloilo</t>
  </si>
  <si>
    <t>Repair/ Rehabilitation of Classroom Damaged by Typhoon Ursula under Quick Response Fund (QRF) CY 2020 Batch 1 Lot 16 at Bayas ES, Longuingot ES, and Bayas NHS, Estancia, Iloilo.</t>
  </si>
  <si>
    <t>Additional Supply and Delivery of Printers for Distribution to Various Elementary and Secondary Schools</t>
  </si>
  <si>
    <t>Repair/ Rehabilitation of Classroom Damaged by Typhoon Ursula under Quick Response Fund (QRF) CY 2020 Batch 1 Lot 4 at Binon-an ES, Jose Gonzaludo ES, Malico Es and Pasayan ES Batad, Iloilo.</t>
  </si>
  <si>
    <t>Repair/ Rehabilitation of Classroom Damaged by Typhoon Ursula under Quick Response Fund (QRF) CY 2020 Batch 1 Lot 15 at Lantangan ES, Carles, Iloilo.</t>
  </si>
  <si>
    <t>Repair/ Rehabilitation of Classroom Damaged by Typhoon Ursula under Quick Response Fund (QRF) CY 2020 Batch 1 Lot 17 at Taloto-an Es, Concepcion, Iloilo, Amayong PS, Madanlog Es, Malunoy ES, San Dioni</t>
  </si>
  <si>
    <t>EXTENSION OF KALASAG</t>
  </si>
  <si>
    <t>Supply and Delivery of Poultry Animal</t>
  </si>
  <si>
    <t>Supply and Delivery of Various Seedlings</t>
  </si>
  <si>
    <t>Repair/ Rehabilitation of Classroom Damaged by Typhoon Ursula under Quick Response Fund (QRF) CY 2020 Batch 1 Lot 20 at Granada NHS - Ballesteros Campus, Carles, Iloilo.</t>
  </si>
  <si>
    <t>Repair/ Rehabilitation of Classroom Damaged by Typhoon Ursula under Quick Response Fund (QRF) CY 2020 Batch 1 Lot 12 at Bagotao ES, Manlot IS and Barangcalan IS, Carles, Iloilo.</t>
  </si>
  <si>
    <t>Repair/ Rehabilitation of Classroom Damaged by Typhoon Ursula under Quick Response Fund (QRF) CY 2020 Batch 1 Lot 14 at Tarong ES and Martin Azuelo MS, Carles, Iloilo.</t>
  </si>
  <si>
    <t>Invitation to Bid for Supply and Delivery of Plastic Protractor, ID Lace and Holder, Plastic Envelope, Calculator, Pencil Sharpener &amp; Crayons for Day Care Children to Senior High School Students at De</t>
  </si>
  <si>
    <t>Completion of Multi-Purpose Building located at Palibu, Novele, Rosario, Agusan del Sur</t>
  </si>
  <si>
    <t>RFQ2020-05-026_SUPPLY AND DELIVERY OF VARIOUS WATER SERVICE CONNECTION MATERIALS FOR REPAIR/MAINTENANCE OF DISTRIBUTION LINES_2nd PUBLICATION</t>
  </si>
  <si>
    <t>SUPPLY &amp; INSTALLATION OF CCTV CAMERA FOR PUBLIC MARKET, DIST 9, BURAUEN BUS TERMINAL, DISTRICT II, STO NIÑO ST, COR. STA ANA, BURAUEN SPORT COMPLEX BURAUEN, LEYTE</t>
  </si>
  <si>
    <t>Rehabilitation of Public Market at Brgy. Poblacion, President Roxas, Cotabato (Re-Published)</t>
  </si>
  <si>
    <t>S1-B1420-001 (PB2) - Furnishing Labor and Materials for Dry Docking and Ship Repair of PB 114</t>
  </si>
  <si>
    <t>Repair/ Rehabilitation of Classroom Damaged by Typhoon Ursula under Quick Response Fund (QRF) CY 2020 Batch 1 Lot 13 at Buenavista IS and Tabugon IS, Carles, Iloilo.</t>
  </si>
  <si>
    <t>Supply &amp; Delivery of Drugs, Medicines and Laboratory Supplies</t>
  </si>
  <si>
    <t>Repair/ Rehabilitation of Classroom Damaged by Typhoon Ursula under Quick Response Fund (QRF) CY 2020 Batch 1 Lot 23 at Tinigban IS, Toong ES, and Batuan IS, Carles, Iloilo. B</t>
  </si>
  <si>
    <t>C-2020-01: ENGAGEMENT OF AN ADVERTSING /DESIGN AGENCY FOR THE DESIGN, CONTENT DEVELOPMENT, PRINTING AND DELIVERY OF THE 2019 ANNUAL REPORT OF THE DEVELOPMENT BANK OF THE PHILIPPINES (DBP)</t>
  </si>
  <si>
    <t>Contract ID No.: 20OB0237 Contract Name: Construction of 9-Classroom School Building at Senate President Neptali A. Gonzales Integrated School, Brgy. Mauway, Mandaluyong City, Metro Manila</t>
  </si>
  <si>
    <t>Proposed Construction of Evacuation Center/Multi-Purpose Building at Purok 3, Brgy. Sinalhan</t>
  </si>
  <si>
    <t>Consulting Services for the Detailed Architectural And Engineering Design for the Proposed Construction of the Multi-Purpose Building (Barangay Hall and Fire and Rescue Brigade Headquarters) for Baran</t>
  </si>
  <si>
    <t>20GFE0011 – SUPPLY OF MATERIALS FOR EROSION CONTROL, TRAFFIC SERVICES, PAVEMENT, PAVEMENT AND BRIDGE MAINTENANCE ALONG NATIONAL ROADS – 2ND QUARTER</t>
  </si>
  <si>
    <t>PIKCOT-002020-014 (SUPPLY AND DELIVERY OF MUSCOVY DUCK)</t>
  </si>
  <si>
    <t>2020-145-I PROCUREMENT AND DELIVERY OF  834 BAGS OF GM HYBRID YELLOW CORN SEEDS FOR HIGH ELEVATION  CORN AREAS @ 9KG/ BAG</t>
  </si>
  <si>
    <t>Contract ID No.: 20OB0044 Contract Name: Construction of Multi-Purpose Building including Site Development of Mandaluyong City Jail at Barangay Plainview, Mandaluyong City</t>
  </si>
  <si>
    <t>20-DO-0083: Repair/Maintenance of Flood Control &amp; Drainage Structures along Manila East Road, Halayhayin Bridge, Pililla, Rizal</t>
  </si>
  <si>
    <t>20HI0080 - Construction and/or Repair/Rehabilitation of Multi-Purpose Building, Brgy. Yati, Liloan, Cebu</t>
  </si>
  <si>
    <t>20HI0072 - Construction of Multi-Purpose Building/Brgy. Hall, Brgy. Villahermosa, Tudela, Cebu</t>
  </si>
  <si>
    <t>REHABILITATION OF LEVEL II WATER SYSTEM OF BARANGAY ANONANG WITH PROVISION FOR LEVEL III BURAUEN, LEYTE (RE-BIDDING)</t>
  </si>
  <si>
    <t>PIKCOT-002020-013 (CONSTRUCTION OF MUNICIPAL NURSERY)</t>
  </si>
  <si>
    <t>2020-144-I PROCUREMENT AND DELIVERY OF 901 BAGS OF GM HYBRID YELLOW CORN SEEDS @ 9KG/ BAG</t>
  </si>
  <si>
    <t>Supply &amp; Delivery of White Bookpaper_July 7, 2020</t>
  </si>
  <si>
    <t>PBD 20-061A DRYDOCKING AND HULL SERVICES</t>
  </si>
  <si>
    <t>20HI0075 - Construction of Multi-Purpose Building, Brgy. Jubay, Liloan, Cebu</t>
  </si>
  <si>
    <t>PURCHASE OF IN-ORGANIC FERTILIZER FOR RICE ENHANCEMENT PROGRAM (NEGOTIATED PROCUREMENT)</t>
  </si>
  <si>
    <t>HO-GRF20-001 - Split Type Metal Enclosure (STME) and Other Accessories Needed for the Reinforcement of the Buckle Anomaly and Damaged Flange Connection of Ilijan Natural Gas Pipeline</t>
  </si>
  <si>
    <t>20HI0071 - Construction of Multi-Purpose Building (Multi-purpose Building) at Brgy. Jubay, Liloan, Cebu</t>
  </si>
  <si>
    <t>Construction of Perimeter Fence</t>
  </si>
  <si>
    <t>PROCUREMENT FOR THE EXPANSION OF EXISTING SOLID STATE DRIVE (SSD) IB NO. 2020-222</t>
  </si>
  <si>
    <t>Improvement of New Public Building</t>
  </si>
  <si>
    <t>Contract ID No.: 20OB0432 Contract Name: Repair and Maintenance of National Government Owned Building at Commission on Population, Mandaluyong City</t>
  </si>
  <si>
    <t>Contract ID No.: 20OB0082 Contract Name: Rehabilitation of Multi-Purpose Building, Mandaluyong Justice Hall, Mandaluyong City</t>
  </si>
  <si>
    <t>One (1) Lot Preventive Maintenance of Integrated Electronic Security System for BSP Head Office 2020, as per BSP Terms of Reference and Service Level Agreement</t>
  </si>
  <si>
    <t>Proposed Installation of 10 Passenger Elevator at LCA Building, Brgy. Tagapo</t>
  </si>
  <si>
    <t>PIKCOT-002020-012 (CONSTRUCTION OF MINI VETERINARY CLINIC)</t>
  </si>
  <si>
    <t>Contract ID No.: 20OB0409 Contract Name: Rehabilitation of Road Network including Laterals, 2nd District,   Marikina City</t>
  </si>
  <si>
    <t>Fabrication and installation of Six (6) Trash Trap  along San Cristobal River, San Juan River, Cabuyao River and Binan River in the Province of Laguna</t>
  </si>
  <si>
    <t>Improvement of Tourism Building (Governor’s Guest House)</t>
  </si>
  <si>
    <t>Contract ID No.: 20OB0292 Contract Name: Rehabilitation of Multi-Purpose Building at Filemon Javier Elementary School, Mandaluyong City</t>
  </si>
  <si>
    <t>Completion of Motorpool- Bulanao Campus</t>
  </si>
  <si>
    <t>Procurement of Other Supplies &amp; Materials</t>
  </si>
  <si>
    <t>RE-BID FOR THE PURCHASE OF SERVICE BUS FOR OFFICIAL TRANSACTIONS OF THE COLLEGE</t>
  </si>
  <si>
    <t>SUPPLY OF LABOR AND MATERIALS FOR THE ESTABLISHMENT MULTI-PURPOSE R&amp;D BUILDING LOCATED AT CLIARCUD MAGALANG, PAMPANGA FOR THE YEAR 2020(REBID)</t>
  </si>
  <si>
    <t>Contract ID No.: 20OB0297 Contract Name: Rehabilitation of Multi-Purpose Building at Mandaluyong Elementary School, Mandaluyong City</t>
  </si>
  <si>
    <t>Procurement of Medicines &amp; Medical Supplies-2nd Quarter (GAD Fund)</t>
  </si>
  <si>
    <t>PIKCOT-002020-015(SUPPLY AND DELIVERY OF NET)</t>
  </si>
  <si>
    <t>Improvement / Construction of Stone Masonry for Slope Protection and Concreting of Creek bed, Brgy. Malakaban, Binangonan, Rizal</t>
  </si>
  <si>
    <t>Repainting/Improvement of Ynares Multi-Purpose Covered Court &amp; Const. of Comfort Room at Rainbow Village 1, Brgy. Kalayaan, Angono, Rizal</t>
  </si>
  <si>
    <t>Improvement (Provision of Tiles) of School Buildings at San Vicente Elem.School, Brgy. San Vicente, Angono, Rizal</t>
  </si>
  <si>
    <t>Concreting of Farm to Market Road at Brgy. Pong-oy</t>
  </si>
  <si>
    <t>Contract ID No.: 20OB0288 Contract Name: Rehabilitation of Multi-Purpose Building (Covered Court), Brgy. Ilaya, Mandaluyong City</t>
  </si>
  <si>
    <t>Invitation to Bid for Local Access Road, Concreting of C.M. Recto, C. Cajumban St., C. Mila., and A. Caguin Sr. St. Barangay Ermita and Quinale</t>
  </si>
  <si>
    <t>CONSTRUCTION OF FLOOD CONTROL -DARDARAT, SAN  JUAN, ILOCOS SUR</t>
  </si>
  <si>
    <t>20GSDG0014: Furnishing and Delivery of 120 m.t. Hot Asphalt Mix and 5 Drums of SS-1 for use in the Repair and Maintenance of Concrete and Asphalt Pavement along Tagaytay-Manila via Silang Road, K0054+</t>
  </si>
  <si>
    <t>Office Supplies and Devices/Other Supplies for use of PGOM Office Supplies 3rd Quarter Based on the  Consolidated Annual Procurement Plan for the year 2020</t>
  </si>
  <si>
    <t>Repair/Improvement of Ynares Multi-Purpose Covered Court &amp; Repair of Comfort Room at Brgy. San Jose, Brgy. Dalig &amp; Brgy. Mayamot, Antipolo City; a) Repair/Improvement of Ynares Multi-Purpose Covered C</t>
  </si>
  <si>
    <t>Improvement/Repair of Ynares Multi-Purpose Covered Court, Brgy. Pilapila, Binangonan, Rizal</t>
  </si>
  <si>
    <t>Construction of 2-storey, 6-rooms Ynares School Building at Abuyod Elem. School, Brgy. Dalig, Teresa, Rizal</t>
  </si>
  <si>
    <t>Repair of Various Ynares School Building at Tanay National High School, Brgy. Plaza Aldea, Tanay, Rizal</t>
  </si>
  <si>
    <t>Concreting / Construction of Drainage Canal of Road at Daang Tubo East, Brgy. Guitnang Bayan I, San Mateo, Rizal</t>
  </si>
  <si>
    <t>Const. of Ynares Stage at Phase 2 Eastwood Greenview Subd., Brgy. San Isidro, Rodriguez, Rizal</t>
  </si>
  <si>
    <t>Concreting (portion) of Road at Pililla GK Village, Pililla, Rizal</t>
  </si>
  <si>
    <t>Construction of 2-Units Artesian Well, Brgy. Bagumbong, Jalajala, Rizal</t>
  </si>
  <si>
    <t>Asphalt Overlaying/Concrete Reblocking (portion) of Serafin Reyes St., Brgy. Punta, Jalajala, Rizal</t>
  </si>
  <si>
    <t>Asphalt Overlaying of A. Kalaw St., Sitio Sambungan, Brgy. Bagumbong, Jalajala, Rizal</t>
  </si>
  <si>
    <t>Rehabilitation / Concreting of Bayanihan Street, Brgy. 3rd District, Jalajala, Rizal</t>
  </si>
  <si>
    <t>Improvement of Visitor’s Center- (Ogod)</t>
  </si>
  <si>
    <t>Invitation to Bid for Improvement of Drainage Canal at San Rafael St., Kapt Aguinaldo St., &amp; E. Cagayan St., Barangay 1 Ibaba Del Sur Paete, Laguna</t>
  </si>
  <si>
    <t>Construction of Perimeter Fence of Rural Health Unit at Southville 9 Phase 2, Brgy. Pinugay, Baras, Rizal</t>
  </si>
  <si>
    <t>Replacement of CHB Wall &amp; Steel Matting Fence at Rotary Day Care Center Southville 9 Phase 1, Brgy. Pinugay, Baras, Rizal</t>
  </si>
  <si>
    <t>Supply and Delivery of Materials for the Establishment of Municipal Demonstration Farm at Poblacion, Patnanungan, Quezon</t>
  </si>
  <si>
    <t>Rehabilitation / Improvement of Road at Sitio Pinagkitran, Brgy. Boor, Cardona, Rizal</t>
  </si>
  <si>
    <t>Construction of 2-storey, 10-rooms Ynares School Building Don Jose Ynares Sr. Mem. School, Brgy. San Carlos, Binangonan, Rizal</t>
  </si>
  <si>
    <t>Construction/Provision of Wash Facilities (Water, Sanitation &amp; Hygiene) at Bangad Elem. School, Brgy. Bangad, Binangonan, Rizal</t>
  </si>
  <si>
    <t>Construction/Provision of Wash Facilities (Water, Sanitation &amp; Hygiene) at Casimiro A. Ynares Sr. Elem. School, Brgy. Mambog, Binangonan, Rizal</t>
  </si>
  <si>
    <t>Improvement of School building, Concreting of Ground &amp; Construction of Gate at Darangan Elem. School, Brgy. Darangan, Binangonan, Rizal</t>
  </si>
  <si>
    <t>ROAD OPENING AT PUROK 5 TO SITIO SICUPET, CATUNGI, BOLINAO, PANGASINAN</t>
  </si>
  <si>
    <t>Construction of 2-storey, 8-rooms Ynares School Building at Looc Elem. School, Brgy. Looc, Cardona, Rizal</t>
  </si>
  <si>
    <t>Construction of 4-storey, 8-rooms Ynares School Building at Rosario Ocampo Elem.School, Brgy. San Juan, Taytay, Rizal</t>
  </si>
  <si>
    <t>Improvement / Concreting of Burbank Street (Area 10 &amp; 11) at Brookside Hills Subd., Brgy. San Isidro, Cainta, Rizal</t>
  </si>
  <si>
    <t>20GPC0018 RE-INVITATION PROCUREMENT OF HEAVY EQUIPMENT &amp; TRUCK ( 1 PAYLOADER &amp; 1 DUMP TRUCK)</t>
  </si>
  <si>
    <t>One (1) lot Procurement of Supply and Delivery of Fifty-One (51) units of Desktop PC intended for DOBS (Front-end) for LANDBANK (Laguna, Quezon and Marinduque Branches)</t>
  </si>
  <si>
    <t>Establishment of 1,000 cu.m. Gabions</t>
  </si>
  <si>
    <t>PROCUREMENT OF CONSULTING SERVICES TO STRENGTHEN PUBLIC RELATIONS AND MEDIA VISIBILITY OF DOH HEALTH EVENTS REI NO. 2020-013</t>
  </si>
  <si>
    <t>PIKCO-002020-011 (CONSTRUCTION OF GSO OFFICE BUILDING- PHASE III)</t>
  </si>
  <si>
    <t>Contract ID No.: 20OB0278 Contract Name: Construction of Multi-Purpose Building at Barangay Vergara, Mandaluyong City</t>
  </si>
  <si>
    <t>Construction of Purok Stage</t>
  </si>
  <si>
    <t>City Project</t>
  </si>
  <si>
    <t>20CSA002: CONSULTANCY SERVICES FOR THE CONDUCT OF FEASIBILITY STUDY OF PROPOSED CONSTRUCTION OF MISSING LINKS AND NEW ROADS NAGUILIAN-BAGULIN (LA UNION) - KAPANGAN (BENGUET) ROAD (REGION I)</t>
  </si>
  <si>
    <t>PROCUREMENT OF MEDICINES AND SUPPLY FOR RURAL HEALTH UNIT BURAUEN, LEYTE</t>
  </si>
  <si>
    <t>Other General Services</t>
  </si>
  <si>
    <t>Procurement of Medicines &amp; Medical Supplies-2nd Quarter (General Fund)</t>
  </si>
  <si>
    <t>Supply of 1 unit Plastic Shredder Machine</t>
  </si>
  <si>
    <t>Procurement of External Hard Disk</t>
  </si>
  <si>
    <t>Construction/Opening of Junction Balono Road Bayugan 3 - Sitio Narra Junction Wasian, RADS (Phase II)</t>
  </si>
  <si>
    <t>Publication No. 31-2020-G (First Publication) Two (2) units Brandnew Dump Truck (5 cu.m capacity) and Two (2) units Brandnew Dump Truck (20 cu.m capacity)</t>
  </si>
  <si>
    <t>Procurement for the Supply and Delivery of One (1) Unit Four Wheeled Vehicle (Pick-Up) for CSU Operations, City of Koronadal</t>
  </si>
  <si>
    <t>Publication No. 30-2020-G (First Publication) Heavy Equipments</t>
  </si>
  <si>
    <t>Repair/ Rehabilitation of Classroom Damaged by Typhoon Ursula under Quick Response Fund (QRF) CY 2020 Batch 1 Lot 22 at Don Casimero Andrada NHS, Carles, Iloilo and Estancia NHS, Estancia, Iloilo.</t>
  </si>
  <si>
    <t>Procurement of 1 Unit Ambulance to provide immediate, reliable and efficient Emergency medical response to calls for urgent ambulance service</t>
  </si>
  <si>
    <t>Supply and Delivery of Insecticide</t>
  </si>
  <si>
    <t>Supply and Delivery of Fertilizers</t>
  </si>
  <si>
    <t>Invitation to Bid for Supply and Delivery of Back Pack for Day Care Children to Senior High School Students at DepEd Calaca District, Calaca, Batangas</t>
  </si>
  <si>
    <t>Rebidding of Laboratory Supplies for STI, HIV and AIDS Program,  IB No. SB-2020-012</t>
  </si>
  <si>
    <t>5020301000-237-2020</t>
  </si>
  <si>
    <t>Installation of Electrical Lighting System of Ynares Multi-Purpose Covered Courts at Brgy. Dalig, Teresa, Rizal; a) 	Installation of Electrical Lighting System of Ynares Multi-Purpose Covered Court at</t>
  </si>
  <si>
    <t>10607010-235-2020</t>
  </si>
  <si>
    <t>10605020-236-2020</t>
  </si>
  <si>
    <t>Purchase and Delivery of Drugs and Medical Supplies for 2nd Quarter 2020</t>
  </si>
  <si>
    <t>Repair/ Rehabilitation of Classroom Damaged by Typhoon Ursula under Quick Response Fund (QRF) CY 2020 Batch 1 Lot 8 at Bolo ES and Tupaz ES, Carles, Iloilo.</t>
  </si>
  <si>
    <t>Supply, Installation and Testing of Wall Mounted  Air Conditioning Units (Inverter)</t>
  </si>
  <si>
    <t>Construction of Side Walk with Benches and Streetlights in Enverga Blvd., Brgy. Sadsaran (Gat-Uban to Regidor St.) Mauban, Quezon</t>
  </si>
  <si>
    <t>Construction of Masonry Wall in Enverga Blvd., Brgy. Sadsaran (Near Gat-Uban Park), Mauban, Quezon</t>
  </si>
  <si>
    <t>Supply and delivery of Laboratory Supplies for RHU Laboratory</t>
  </si>
  <si>
    <t>20GGM0010 - Procurement of various construction materials for use in the Repair and Maintenance of National Roads and Bridges within the district, DPWH, Negros Occidental 3rd District Engineering Offi</t>
  </si>
  <si>
    <t>Rebidding of Supplies for Water Purification and Testing,  IB No. SB-2020-006</t>
  </si>
  <si>
    <t>Aviation Oil and Lubricants</t>
  </si>
  <si>
    <t>Procurement of Hardware Materials for Improvement of Bridges along Purok 9 to Purok 6 Mangayon</t>
  </si>
  <si>
    <t>PROCUREMENT OF VARIOUS OFFICE SUPPLIES &amp; CONSUMABLES FOR 2020 SECOND QUARTER</t>
  </si>
  <si>
    <t>5020301000-248-2020</t>
  </si>
  <si>
    <t>5020301000-247-2020</t>
  </si>
  <si>
    <t>5020399000-245-2020</t>
  </si>
  <si>
    <t>5029905003-244-2020</t>
  </si>
  <si>
    <t>Rebidding of TB Drugs,  IB No. SB-2020-009</t>
  </si>
  <si>
    <t>10604010-243-2020</t>
  </si>
  <si>
    <t>G-2020-324 Supply and Delivery of Rabies Vaccine, City Health Services Department</t>
  </si>
  <si>
    <t>Supply and Delivery of 21 Units 2.5HP Non-Inverter iCool Green with Remote and other various appliances.</t>
  </si>
  <si>
    <t>Purchase of Aircon, Brgy. South Poblacion.</t>
  </si>
  <si>
    <t>PROCUREMENT OF ONE (1) UNIT MULTI-CAB FOR ENGINEERING OFFICE LGU- BURAUEN, LEYTE</t>
  </si>
  <si>
    <t>I-2020-010 Construction of Retaining Wall, Barangay Barandal (Calamba Hills)</t>
  </si>
  <si>
    <t>5020201000-246-2020</t>
  </si>
  <si>
    <t>I-2020-008 Construction of Two Storey Canteen Bldg. with Roof Deck (Additional), Calamba City Hall Complex, Barangay Real</t>
  </si>
  <si>
    <t>CONSTRUCTION OF DRAINAGE SYSTEM AT BARANGAY SAN PIOQUINTO, MALVAR BATANGAS</t>
  </si>
  <si>
    <t>G-2020-284 Supply and Delivery of Agricultural Inputs: Broiler Production, Gender and Development</t>
  </si>
  <si>
    <t>G-2020-278 Supply and Delivery of Hearing Aid, Office of the City Mayor</t>
  </si>
  <si>
    <t>I-2020-013 Construction of Drainage Facility, E. Barretto Sr. ES, Barangay Pansol</t>
  </si>
  <si>
    <t>G-2020-200 Supply and Installation of Dry Container Van with Pedestal, Office of the City Mayor</t>
  </si>
  <si>
    <t>Procurement of Medical Equipment for the official use of the Gov. Roque B. Ablan Sr. Memorial Hospital</t>
  </si>
  <si>
    <t>Purchase of various materials for Improvement of Drainage Canal, Brgy. South Poblacion</t>
  </si>
  <si>
    <t>Concreting of Pathwalk at Core Shelter Project(Pabahay)</t>
  </si>
  <si>
    <t>20HI0093 - Construction/Rehabilitation of Water Supply/Septage and Sewerage/Rainwater Collectors – Rain Water Collectors in Public Facilities</t>
  </si>
  <si>
    <t>5020201000-251-2020</t>
  </si>
  <si>
    <t>G-2020-277 Supply and Delivery of Nebulizer, Office of the City Mayor</t>
  </si>
  <si>
    <t>ROAD IMPROVEMENT AT BARANGAY HAGNAYA, CARMEN, CEBU</t>
  </si>
  <si>
    <t>G-2020-209 Supply and Installation of CCTV, Various Schools</t>
  </si>
  <si>
    <t>Concreting of Rafael Lacson Street</t>
  </si>
  <si>
    <t>IMPROVEMENT OF SENIOR CITIZEN BUILDING AT BARANGAY SANTIAGO, MALVAR BATANGAS</t>
  </si>
  <si>
    <t>DUPLICATOR MACHINE-JCH-20-0225-B</t>
  </si>
  <si>
    <t>10604010-242-2020</t>
  </si>
  <si>
    <t xml:space="preserve">20PL0112 - Package 2: A.) Repair/Maintenance of Kintoy Kasabaan Flood Control, Bulanao, Tabuk City, Kalinga, B.) Repair/Maintenance of Wakki Creek Flood Control, Sagpat, Bulanao, Tabuk City, Kalinga, </t>
  </si>
  <si>
    <t>5020399000-250-2020</t>
  </si>
  <si>
    <t>ENVIRONMENTAL SIGNAGES, MATERIALS AND LABOR</t>
  </si>
  <si>
    <t>Equipment for Banana Tissue Culture Laboratory</t>
  </si>
  <si>
    <t>Construction Projects-Concreting of Access Road (Rizal,Lopez Jaena)-MEO,Lopez Jaena</t>
  </si>
  <si>
    <t>Supply and Delivery of Various Information and Communication Technology Equipment, Bacnotan, La Union</t>
  </si>
  <si>
    <t>Supply and Delivery of Furniture and Fixture for Bacnotan Farmer’s Agri-Tourism Center, Baroro, Bacnotan, La Union</t>
  </si>
  <si>
    <t>DDH-19-2097-B - Purchase of Medical Equipment(Serological Centrifuge)</t>
  </si>
  <si>
    <t>SUPPLY OF MATERIALS FOR THE REPAIR &amp; MAINTENANCE OF MOTOR VEHICLES REPAIR &amp; INSTALLATION &amp; MAINTENANCE AND SUPPLY OF MATERIALS FOR SJA 587</t>
  </si>
  <si>
    <t>G-2020-279 Supply and Delivery of Monoblock Chairs, Office of the City Mayor</t>
  </si>
  <si>
    <t>20HI0092 - Concreting of Brgy. Easter Poblacion to Brgy. Altavista FMR, Poro, Cebu</t>
  </si>
  <si>
    <t>5029905003-249-2020</t>
  </si>
  <si>
    <t>CONSTRUCTION OF CANAL AT BARANGAY SANTIAGO, MALVAR, BATANGAS</t>
  </si>
  <si>
    <t>SITE DEVELOPMENT/ CONSTRUCTION/ EXTENSION OF BARANGAY ROAD ALONG SHORE PROTECTION, BRGY. POBLACION 1, ZUMARRAGA, SAMAR</t>
  </si>
  <si>
    <t>20IB0142 - Construction of Shelves Commission on Audit Office ESDEO-DPWH Brgy. Alang-Alang, Borongan City, Eastern Samar</t>
  </si>
  <si>
    <t>20HI0073 (re-ad) - Construction of Multi-Purpose Building, Brgy. Poblacion, Borbon, Cebu</t>
  </si>
  <si>
    <t>5021305002-257-2020</t>
  </si>
  <si>
    <t>5021305002-256-2020</t>
  </si>
  <si>
    <t>Supply/Installation of Isolation Facility Accessories</t>
  </si>
  <si>
    <t>IMPROVEMENT OF MULTI-PURPOSE BUILDING AT BARANGAY SAN JUAN, MALVAR, BATANGAS</t>
  </si>
  <si>
    <t>Purchase and Delivery of Office Equipment</t>
  </si>
  <si>
    <t>SUPPLY AND DELIVERY OF DRUGS AND MEDICINES, BACNOTAN, LA UNION</t>
  </si>
  <si>
    <t>LOT 1 Supply and Delivery of Materials for the Sustainment of Unit/Office Daily Operations of BRP TARLAC (LD601) and BRP DAVAO DEL SUR (LD602) LOT 2 Supply and Delivery of Materials for the Sustainmen</t>
  </si>
  <si>
    <t>5021305002-258-2020</t>
  </si>
  <si>
    <t>PURCHASE OF CONSTRUCTION MATERIALS FOR INDIVIDUAL LATRINES, ASSISTANCE TO BARANGAY PROJECTS AND MENRO OFFICE, LGU ZUMARRAGA, SAMAR</t>
  </si>
  <si>
    <t>CONSTRUCTION OF MULTI-PURPOSE HALL (PHASE 1) BRGY. SAN ISIDRO, ZUMARRAGA, SAMAR</t>
  </si>
  <si>
    <t>5021306001-254-2020</t>
  </si>
  <si>
    <t>FRT-19-1689-B(rebid) - PURCHASE OF DEFIBRILLATOR</t>
  </si>
  <si>
    <t>Invitation to Bid for PROCUREMENT OF FISHING BOATS  (BANGKA PARA SA MANGINGISDA)</t>
  </si>
  <si>
    <t>5021305003-268-2020</t>
  </si>
  <si>
    <t>5021305003-267-2020</t>
  </si>
  <si>
    <t>20PL0114 - Concreting of Brgy. Ballayangon FMR, Brgy. Ballayangon, Pinukpuk, Kalinga</t>
  </si>
  <si>
    <t>5021305003-266-2020</t>
  </si>
  <si>
    <t>IMPROVEMENT OF MULTI-PURPOSE BUILDING (LGU PERIMETER FENCE AND GATE) BRGY. POBLACION 1, ZUMARRAGA, SAMAR</t>
  </si>
  <si>
    <t>5021305003-264-2020</t>
  </si>
  <si>
    <t>Supply and Delivery of Dental Supplies and Materials for use of 1301st PNDD</t>
  </si>
  <si>
    <t>5021306001-255-2020</t>
  </si>
  <si>
    <t>5021305002-263-2020</t>
  </si>
  <si>
    <t>5021305002-261-2020</t>
  </si>
  <si>
    <t>Procurement of Hardware &amp; Electrical Materials</t>
  </si>
  <si>
    <t>ROAD IMPROVEMENT AT CANTIPAY, CARMEN, CEBU</t>
  </si>
  <si>
    <t>5021305002-259-2020</t>
  </si>
  <si>
    <t>IMPROVEMENT OF MULTI-PURPOSE BUILDING AT BARANGAY SAN ISIDRO, MALVAR, BATANGAS</t>
  </si>
  <si>
    <t>PURCHASE OF ORGANIC BASED DEODORIZER FOR THE CONTROLLED DUMPSITE OF THE CITY OF DASMARIÑAS</t>
  </si>
  <si>
    <t>Establishment of Three Units Isolation Facilities in the Brgy. in Ralation to COVID-19 Situation</t>
  </si>
  <si>
    <t>CONSTRUCTION OF BARANGAY HEALTH STATION AT CAURASAN, CARMEN, CEBU</t>
  </si>
  <si>
    <t>cLUSTER bC6-2020</t>
  </si>
  <si>
    <t>5021305002-262-2020</t>
  </si>
  <si>
    <t>Purchase of One (1) Unit Mini Dump Truck</t>
  </si>
  <si>
    <t>5021305003-265-2020</t>
  </si>
  <si>
    <t>PROPOSED MUNICIPAL BUILDING FRONT YARD LANDSCAPING (PHASE 1) &amp; REHABILITATION OF STREET LIGTH</t>
  </si>
  <si>
    <t>Construction of Bleacher @ Covered Court</t>
  </si>
  <si>
    <t>Invitation to Bid Completion of 1-Unit 2-CL Elem. School Building</t>
  </si>
  <si>
    <t>5021305002-260-2020</t>
  </si>
  <si>
    <t>Construction of Sto. Domingo Fire Station, Nueva Ecija</t>
  </si>
  <si>
    <t>ROAD OPENING AT SITIO KALAG-ITAN, PANGHAGBAN, BUENAVISTA, BOHOL</t>
  </si>
  <si>
    <t>Purchase and Delivery of Information and Communication Technology Equipment</t>
  </si>
  <si>
    <t>PCADG-5020399000-1057-2020 Other Supplies &amp; Materials Expenses (DPCR)</t>
  </si>
  <si>
    <t>5021305002-272-2020</t>
  </si>
  <si>
    <t>Purchase and Delivery of Furnitures and Fixtures</t>
  </si>
  <si>
    <t>Road Opening &amp; Gravelling of Pananacpan Road</t>
  </si>
  <si>
    <t>PCADG-1058-2020	Renovation of FJGADD Office, DPCR</t>
  </si>
  <si>
    <t>ITB - Supply and Delivery of Foodstuff for July-December 2020</t>
  </si>
  <si>
    <t>PCADG-5020399000-1059-2020 Other Supplies &amp; Materials Expenses (DPCR)</t>
  </si>
  <si>
    <t>5021305003-270-2020</t>
  </si>
  <si>
    <t>5021305003-269-2020</t>
  </si>
  <si>
    <t>5020305000-253-2020</t>
  </si>
  <si>
    <t>20LC0155 - Tanglaw Bridge 2 (B00187MN) along Tagum －Panabo Circumferential Road</t>
  </si>
  <si>
    <t>Supplies of Materials for Training Requirements of Sailors Basic Course CY 2020</t>
  </si>
  <si>
    <t>Pasalubong Center</t>
  </si>
  <si>
    <t>5020399000-252-2020</t>
  </si>
  <si>
    <t>20GII0009 Repair and Maintenance of Defective Roadways under D.O. 41 s2016 along Catarman-Laoang Road and Rawis-Catubig Road, Northern Samar Second District</t>
  </si>
  <si>
    <t>HAHLUL-CAMILING COMMUNAL IRRIGATION SYSTEM IMPROVEMENT</t>
  </si>
  <si>
    <t>Procurement of Infrastructure - Installation of Solar LED Street Light at Barangay Salingcomot</t>
  </si>
  <si>
    <t>Purchase of One (1) Unit Wheeled Backhoe</t>
  </si>
  <si>
    <t>20PL0113 - Concreting of Brgy. Sandara FMR, Brgy. Sandara, Rizal, Kalinga</t>
  </si>
  <si>
    <t>5029905003-203-2020</t>
  </si>
  <si>
    <t>5020305000-177-2020</t>
  </si>
  <si>
    <t>20DC0207 - LOCAL PROGRAM, Local Infrastructure Program, Buildings  			and Other Structures, Multipurpose/Facilities,  			Construction (Completion)/Repair/Rehab/Improvement of Multi-Purpose Building, B</t>
  </si>
  <si>
    <t>REHABILITATION OF MULTI-PURPOSE HALL (OLD MUNICIPAL BUILDING)</t>
  </si>
  <si>
    <t>COMPUTERIZATION OF INTEGRATED FINANCIAL MANAGEMENT INFORMATION AND OPERATIONS LINKED WITH REVENUE SYSTEM, BACNOTAN, LA UNION</t>
  </si>
  <si>
    <t>BATOG-MATALANAK COMMUNAL IRRIGATION SYSTEM IMPROVEMENT</t>
  </si>
  <si>
    <t>5021305003-271-2020</t>
  </si>
  <si>
    <t>Procurement of Infrastructure - Road Opening at Ikog Buaya, Sitio Nonocan</t>
  </si>
  <si>
    <t>FABRICATION OF ELEVATED WATER TANK</t>
  </si>
  <si>
    <t>Road Opening of Brgy. Maitom – Maticdum Farm to Market Road (Tandag City, Surigao del Sur   ).</t>
  </si>
  <si>
    <t>Supply and Installation of Streetlights</t>
  </si>
  <si>
    <t>FURNISHING OF LABOR AND MATERIALS FOR THE CLEANING/CLEARING OF WATERLILIES, LOGS, WASTES AND OTHER DEBRIS AT AGUS 7  HEP DAM, SPILLWAY &amp; INTAKE</t>
  </si>
  <si>
    <t>Concreting of Barangay Malatas - Barangay Telim, Farm to Market Road</t>
  </si>
  <si>
    <t>Renovation of Capitol Multi-purpose building 1 and building 2 (Capitol Hills, Brgy. Telaje, Tandag City, Surigao del Sur  ).</t>
  </si>
  <si>
    <t>Construction of 1 unit Day Care Center at Barangay Cambayobo, Calatrava Negros Occidental</t>
  </si>
  <si>
    <t>Supply and Delivery of Fuel and Lubricants</t>
  </si>
  <si>
    <t>Concreting of Barangay Agpangi - Barangay Bagacay, Farm to Market Road</t>
  </si>
  <si>
    <t>PROCUREMENT OF EMERGENCY RESCUE MOTOR VEHICLE</t>
  </si>
  <si>
    <t>Completion of Halfway House Building (Dayuan, Tago, Surigao del Sur  ).</t>
  </si>
  <si>
    <t>Training package of Security, body guard and traffic enforcers of Mauban, Quezon.</t>
  </si>
  <si>
    <t>20PC0052 RE-CONSTRUCTION OF THE APAYAO LIVELIHOOD TRAINING CENTER LOCATED AT APAYAO NATIONAL GOVERNMENT CENTER, LUNA, APAYAO</t>
  </si>
  <si>
    <t>Construction of Limay Fire Station, Bataan</t>
  </si>
  <si>
    <t>Procurement of Infrastructure - Rehabilitation of Barangay Road from Diversion Road to Sitio Paopagon</t>
  </si>
  <si>
    <t>BARANGAY DAY PARADE</t>
  </si>
  <si>
    <t>Repair/Maintenance of DPWH Building Bolo Field Office, Bokod, Benguet</t>
  </si>
  <si>
    <t>Construction of Multi-Purpose Building, Centro 10, Tuguegarao City, Cagayan</t>
  </si>
  <si>
    <t>Construction of Masonry Drainage Structure, Along Highway Road, Caritan Centro, Tuguegarao City</t>
  </si>
  <si>
    <t>CLEANING MATERIALS</t>
  </si>
  <si>
    <t>20GAB0003: Supply and Delivery of Thermoplastic Paint (White) and Thermoplastic Paint (Yellow)  for use Along National Roads Within Ilocos Norte 2nd District Engineering Office</t>
  </si>
  <si>
    <t>Clustered Repair/Maintenance of DPWH Building, (Poyopoy Marcos Highway Public Restroom, Taloy Sur and Baguio city Limit - Sto. Tomas Field Office), Tuba, Benguet</t>
  </si>
  <si>
    <t>additional CCTV</t>
  </si>
  <si>
    <t>Lot 1 (Lucio Vivero CS)-Bid Docs_2020 QRF-Repair - Tacloban City</t>
  </si>
  <si>
    <t>Cluster P17-2020</t>
  </si>
  <si>
    <t>Procurement of Various Agricultural Inputs and Post-Harvest Facilities for Technology Demonstration and Post-Harvest Projects Implementation under the National Fisheries Program for CY 2020</t>
  </si>
  <si>
    <t>Construction of Masonry Drainage Structure, Along Reyno Street, Caritan Centro, Tuguegarao City</t>
  </si>
  <si>
    <t>Construction of Orani Fire Station, Bataan</t>
  </si>
  <si>
    <t>Procurement of Hospital Beds 3 Cranks Panel Type Complete Set w/6  “Bed Mattress, side rails for the use of Dr. Rafael S. Tumbokon Memorial Hospital-EEDD, Kalibo, Aklan/ITB no: 2020-335</t>
  </si>
  <si>
    <t>PROCUREMENT OF FIRST AND SECOND QUARTER VARIOUS OFFICE SUPPLIES</t>
  </si>
  <si>
    <t>Cluster H8-2020</t>
  </si>
  <si>
    <t>CONSTRUCTION/REHABILITATION/IMPROVEMENT OF ROAD- SO. TALINGKAPOR BRGY. STA MARIA EAST, SNP.</t>
  </si>
  <si>
    <t>PROCUREMENT OF LAN ADAPTER TYPE-C</t>
  </si>
  <si>
    <t>procurement of motorcycle 125 cc</t>
  </si>
  <si>
    <t>20NF0078: INSTALLATION OF ROAD SAFETY DEVICES AND ROAD SIGNAGES ALONG DAPA-UNION-GENERAL LUNA ROAD (S00366SG)</t>
  </si>
  <si>
    <t>CONSTRUCTION/IMPROVEMENT OF REINFORCED BOX CULVERT @ SO. NAGSIMBAWAAN BARANGAY CACABUGAOAN</t>
  </si>
  <si>
    <t>20NF0077: CLUSTER: A. INSTALLATION/APPLICATION OF ROAD SIGN AND ROAD SAFETY DEVICES ALONG ALL NATIONAL ROAD, SIARGAO ISLAND, SURIGAO DEL NORTE B. REPAIR/MAINTENANCE OF MAASIN BRIDGE AT JCT. OSMENA-PIL</t>
  </si>
  <si>
    <t>Clustered Repair/Maintenance of DPWH Building, (AES - Annex Building, AES - Planning and Repair Bay Building, AES - Utility Building, and Materials Quality Control Lab. Building Benguet I District Eng</t>
  </si>
  <si>
    <t>20PC0059 CONSTRUCTION/REHABILITATION OF WATER SUPPLY /SEPTAGE AND SEWERAGE/RAIN WATER COLLECTORS-RAIN WATER COLLECTORS IN PUBLIC FACILITIES</t>
  </si>
  <si>
    <t>DISASTER REHABILITATION AND RECOVERY, PURCHASE OF RESCUE VEHICLE</t>
  </si>
  <si>
    <t>Procurement of electrical wirings and water system materials for use of the 5 SUSIMO Buildings of DENR-INREMP Kalinga</t>
  </si>
  <si>
    <t>Repair/Maintenance of Flood Control along Kennon Road, K0216+120, Camp 1, Tuba, Benguet</t>
  </si>
  <si>
    <t>WIDENING OF MUNICIPAL STREETS  AT PUROK RIVERSIDE, BRGY. ROBLES</t>
  </si>
  <si>
    <t>Clustered Repair/Maintenance of DOST Building, (Regional Office - CAR, Provincial Science &amp; Technology, Sericulture Building, and Training Center), Km. 6, La Trinidad, Benguet</t>
  </si>
  <si>
    <t>20DI0116- Repair/ Rehabilitation/ Improvement of Multi – Purpose Building, Brgy. Masaya, Bay, Laguna</t>
  </si>
  <si>
    <t>Concreting of Local Roads at Barangay Tipan, Naga, Zamboanga Sibugay</t>
  </si>
  <si>
    <t>Concreting of Roads (Shoulders), Along Highway Road, Caritan Centro, Tuguegarao City</t>
  </si>
  <si>
    <t>supply and delivery of construction materials</t>
  </si>
  <si>
    <t>B20200206 - REHAB. OF FLORIDA-SUAON-GUPITAN PROVINCIAL ROAD</t>
  </si>
  <si>
    <t>Cluster H9-2020</t>
  </si>
  <si>
    <t>Improvement of Multi-Purpose Hall - Lucaban</t>
  </si>
  <si>
    <t>Procurement of Brand New Passenger Van</t>
  </si>
  <si>
    <t>Supply and Delivery of 6X6 Saddam Truck Rescue Vehicle (Surplus)</t>
  </si>
  <si>
    <t>Concreting of Farm to Market Road (Roma Norte-Batu Road)</t>
  </si>
  <si>
    <t>Construction of Flood Control (Stone Masonry) - Cadacad</t>
  </si>
  <si>
    <t>Contract ID No. 20NC0121 - Repair/Maintenance of Bank Protection along Butuan City-Talacogon-La Paz-Loreto-Sta. Josefa Road, Ihawan Bridge (B01631MN), k1401+126 – k1401+240, Loreto, Agusan del Sur</t>
  </si>
  <si>
    <t>Rehab. of Water System - Lucaban</t>
  </si>
  <si>
    <t>Rehab. of Irrigation Canals w/ Transfer Pump - Ambugat-Bangbangar-Subadi Sur</t>
  </si>
  <si>
    <t>ITB No. 20-23 Procurement of Drugs and Medicines</t>
  </si>
  <si>
    <t>supply  and delivery of construction materials</t>
  </si>
  <si>
    <t>20DI0115-Construction of Multi – Purpose Building (Barangay Hall Annex), Brgy. Canlubang, Calamba City, Laguna</t>
  </si>
  <si>
    <t>Procurement of Thermal Printer Card &amp; Printer Ribbon for F+M Family Medical Card for Indigents Project, Province of Aklan/ITB no: 2020-333</t>
  </si>
  <si>
    <t>Office Supplies, Consumables, Janitorial Supplies, Electrical Supplies and PPE Supplies for the 2nd Quarter</t>
  </si>
  <si>
    <t>Supply of Materials for the Repair Parts of M &amp; R: Power System of LMSs</t>
  </si>
  <si>
    <t>Improvement of Hummaning-Puulen Pathway</t>
  </si>
  <si>
    <t>Purchase and Delivery of Office Equipment and Materials</t>
  </si>
  <si>
    <t>Procurement of Infrastructure - Rehabilitation of Barangay Road from Sitio Cabanbanan, Barangay Dapnan to Sitio Lapaz &amp; Sitio Calinaban, Barangay San Isidro</t>
  </si>
  <si>
    <t>Supply of Materials for the Repair Parts of M &amp; R: Communication Equipment of LMSs</t>
  </si>
  <si>
    <t>Procurement of Government Vehicle</t>
  </si>
  <si>
    <t>Procurement of Various USB Flash Drive under IB No. 2020-210</t>
  </si>
  <si>
    <t>Improvement of Municipal Mini Museum</t>
  </si>
  <si>
    <t>PROCUREMENT OF MEDICAL/SURGICAL/LABORATORY/DENTAL &amp; X-RAY SUPPLIES FOR USE AT KALINGA PROVINCIAL HOSPITAL, 20-05-940</t>
  </si>
  <si>
    <t>Supply and Delivery of Office and Housekeeping Supplies for Stock at GSO</t>
  </si>
  <si>
    <t>procurement of double cab truck (garbage truck)</t>
  </si>
  <si>
    <t>20DI0119- Construction/ Completion of Covered Court, Brgy. Aplaya, Sta. Rosa City, Laguna</t>
  </si>
  <si>
    <t>Construction of 1 unit Health Station at Barangay Cambayobo, Calatrava Negros Occidental</t>
  </si>
  <si>
    <t>Construction of Two (2) Storey Men’s Dormitory Building at ESSU Salcedo Campus Re-Bidding</t>
  </si>
  <si>
    <t>Procurement of IT Equipment, Supplies, Peripherals &amp; Devices</t>
  </si>
  <si>
    <t>Construction of Pang-ot View Deck</t>
  </si>
  <si>
    <t>20H00061 - Cluster Project: Construction of Rain Water Supply/Septage and Sewerage/Rain Water Collectors-Rain Water Collectors in Public Facilities-19 Units</t>
  </si>
  <si>
    <t>Procurement of Infrastructure - Rehabilitation of Barangay Road from Proper San Victor to Sitio Heni</t>
  </si>
  <si>
    <t>IMPROVEMENT/ REHABILITATION / UPGRADING OF SANITARY TOILET AND HYGIENE FACILITY FOR PUBLIC PLACES,PUBLIC MARKET, POBLACION, BACNOTAN, LA UNION</t>
  </si>
  <si>
    <t>PURCHASE OF PROPERTY, PLANT &amp; EQUIPMENT (PPE), SEMI-EXPENDABLE EQUIPMENT (ICT EQUIPMENT) AND FURNITURE AND FIXTURES TO BE USED BY VARIOUS OFFICES/PROGRAMS OF DSWD FO III FOR THE 1ST SEMESTER OF 2020</t>
  </si>
  <si>
    <t>REPAIR AND IMPROVEMENT OF BARANGAY BINONGA-AN HEALTH STATION (BHS), BARANGAY BULI (BHS), BARANGAY CAWAYAN (BHS),BARANGAY DONA JUANA (BHS) AND BARANGAY MA-BAYBAY (BHS) (PACKAGE A)</t>
  </si>
  <si>
    <t>CawExt2020-001 Supply and Delivery of Materials for the Construction of Water System</t>
  </si>
  <si>
    <t>Construction of Teacher Education Building, NIPSC, Estancia, Iloilo</t>
  </si>
  <si>
    <t>Procurement of Disinfectants,  IB No. SB-2020-020</t>
  </si>
  <si>
    <t>Improvement of Cemetery Road</t>
  </si>
  <si>
    <t>Construction of Pa-o Farmers Multi-purpose Pavement</t>
  </si>
  <si>
    <t>Improvement of Sector 7 Calungbuyan Farm to Market Road</t>
  </si>
  <si>
    <t>Procurement for the Supply and Delivery of Forty Four (44) units Pedicab and One (1) unit Fabricated Side Car with Signage, Public Employment Service Office, Barugo, Leyte</t>
  </si>
  <si>
    <t>Ref. No. 2020-010 Proposed Repair and Refurbishment of HTREX Building Located at NHA Main Compound, Elliptical Road, Diliman, Quezon City</t>
  </si>
  <si>
    <t>Improvement of Bet-ang Farmers Multi-purpose Pavement</t>
  </si>
  <si>
    <t>IMPROVEMENT/ REHABILITATION / UPGRADING OF SANITARY TOILET AND HYGIENE FACILITY FOR PUBLIC PLACES, PUBLIC MARKET NORTH, POBLACION, BACNOTAN, LA UNION</t>
  </si>
  <si>
    <t>20DI0123- Improvement/ Repair/ Rehabilitation of Roads, NIA Road, Brgy. Mamatid to Brgy. Sala,Cabuyao City, Laguna</t>
  </si>
  <si>
    <t>Improvement of Bet-ang Farmers Multi-purpose Building</t>
  </si>
  <si>
    <t>Repair of Public Market (5 Units Roll UP and Canal Gretings)</t>
  </si>
  <si>
    <t>Lot 2 (Tagpuro ES)-Bid Docs_2020 QRF-Repair - Tacloban City-compressed</t>
  </si>
  <si>
    <t>INVITATION TO BID FOR THE SUPPLY AND DELIVERY OF 2 UNITS BRANDNEW UTILITY VAN FOR EFFICIENT DELIVERY OF SERVICES TO THE CONSTITUENT OF THE CITY GOVERNMENT OF VALENCIA, BUKIDNON</t>
  </si>
  <si>
    <t>CONSTRUCTION OF MULTI-PURPOSE PAVEMENT - BRGY. A. TUMAMAK, CABUNGAHAN, BANGKAL, CAMPUROG, CANQUIASON, CASILION, CATAGBACAN, FATIMA, LIBAGONG, NEW BALANAC, PAYAO, SAMBULAWAN, SUBA, TINGHUB, VILLABA, LE</t>
  </si>
  <si>
    <t>CONCRETING OF FMR located at KIMLAWIS, KIBLAWAN, DAVAO DEL SUR all in accordance to plans, specifications and scope of work and the Green Procurement Policy as adopted by Executive Order No. 30 series</t>
  </si>
  <si>
    <t>CONSTRUCTION OF PERIMETER FENCE (MINI PLAYGROUND)</t>
  </si>
  <si>
    <t>REBIDDING ON THE PROVISION OF LABOR, MATERIALS, EQUIPMENT AND OTHER INCIDENTALS NEEDED FOR THE IMPROVEMENT OF TANGAOAN SMALL WATER IMPOUNDING PROJECT (SWIP) CANAL LINING AT BRGY. TANGAOAN, PIDDIG, ILO</t>
  </si>
  <si>
    <t>Negotiation of Supply &amp; Delivery of Various Drugs &amp; Medicine for January 1 to December 31, 2020</t>
  </si>
  <si>
    <t>CONSTRUCTION OF PATHWALK AT BRGY. LANGKAAN II, CITY OF DASMARÑAS, CAVITE</t>
  </si>
  <si>
    <t>2020-053, CONCRETING OF BARANGAY ROAD AT PUROK 3-PUROK 5, LAGUMBINGAN, MIDSAYAP, COTABATO</t>
  </si>
  <si>
    <t>Procurement of N95 Mask,  IB No. SB-2020-021</t>
  </si>
  <si>
    <t>PROCUREMENT OF SOUND SYSTEM</t>
  </si>
  <si>
    <t>20DI0122- Construction of Flood Control Structure, Brgy. Loma, Biñan, Laguna</t>
  </si>
  <si>
    <t>REBIDDING ON THE PROVISION OF LABOR, MATERIALS, EQUIPMENT AND OTHER INCIDENTALS NEEDED FOR THE REHABILITATION/IMPROVEMENT OF BIMOYAYONG DIVERSION DAM (DD) AT BRGY. VIRBIRA, CARASI, ILOCOS NORTE</t>
  </si>
  <si>
    <t>20CSA001: CCONSULTANCY SERVICES FOR THE CONDUCT OF FEASIBILITY STUDY OF PROPOSED CONSTRUCTION OF MISSING LINKS AND NEW ROADS CERVANTES (ILOCOS SUR) - BESAO-SAGADA (MT. PROVINCE) ROAD VIA LAYLAYA (REGI</t>
  </si>
  <si>
    <t>REBIDDING ON THE PROVISION OF LABOR, MATERIALS, EQUIPMENT AND OTHER INCIDENTALS NEEDED FOR THE REHABILITATION/IMPROVEMENT OF PIMENTEL SMALL WATER IMPOUNDING PROJECT (SWIP) CANAL LINING AT BRGY. PIMENT</t>
  </si>
  <si>
    <t>REBIDDING ON THE PROVISION OF LABOR, MATERIALS, EQUIPMENT AND OTHER INCIDENTALS NEEDED FOR THE REHABILITATION OF BUNGAD DIVERSION DAM (DD) AT BRGY. ANGSET, CARASI, ILOCOS NORTE</t>
  </si>
  <si>
    <t>Procurement of Link Load Balancer under IB No. 2020-219</t>
  </si>
  <si>
    <t>Supply and delivery of Materials for Improvement of Multi-Purpose Hall in Brgy. Bato, Mauban, Quezon</t>
  </si>
  <si>
    <t>20DI0120- Replacement of Cambantoc Bridge, Brgy. Paciano Rizal,  Bay, Laguna</t>
  </si>
  <si>
    <t>20PL0115 - Upgrading/Improvement of Local Road from Employees Village-Upper CARAA Ground-NIA Access Road, Bulanao, Tabuk City, Kalinga</t>
  </si>
  <si>
    <t>Cluster P16-2020</t>
  </si>
  <si>
    <t>20DI0126- Concreting of Road with Drainage, Barangays Casile and Malaban,</t>
  </si>
  <si>
    <t>20DI0127- Construction of Multi-Purpose Building, Brgy. Macabling, Santa Rosa, Laguna</t>
  </si>
  <si>
    <t>Completion of Covered Court of VSU Isabel</t>
  </si>
  <si>
    <t>2020-054, CONCRETING OF BARANGAY ROAD FROM BARANGAY HALL TO PUROK 6, MALAMOTE, MIDSAYAP, COTABATO</t>
  </si>
  <si>
    <t>IMPROVEMENT/ REHABILITATION / UPGRADING OF SANITARY TOILET AND HYGIENE FACILITY FOR PUBLIC PLACES, PUBLIC MARKET SOUTH, BACNOTAN, LA UNION</t>
  </si>
  <si>
    <t>CONSTRUCTION OF PERIMETER FENCE WITH PERGOLA OF EARLY CHILDHOOD CARE AND DEVELOPMENT CENTER AT POBLACION ZONE II, JAVIER LEYTE</t>
  </si>
  <si>
    <t>20DI0121- Construction of Flood Control Structure, Brgy. San Francisco, Biñan, Laguna</t>
  </si>
  <si>
    <t>ITB-GS-20200313-01 - Supply and Delivery of 11,360 bundles Clear Plastic Jacket for Savings, Signature Card  and 10,400 reams Whitewove Paper Mimeo</t>
  </si>
  <si>
    <t>20DI0124- Construction of Tagumpay Bridge, Brgy. Tagumpay, Bay, Laguna</t>
  </si>
  <si>
    <t>Lot 3 (Cabalawan ES)-Bid Docs_2020 QRF-Repair - Tacloban City-compressed</t>
  </si>
  <si>
    <t>Road Concreting - Dirdirig</t>
  </si>
  <si>
    <t>IMPROVEMENT / REHABILITION OF EVACUATION CENTER, AGTIPAL, BACNOTAN, LA UNION</t>
  </si>
  <si>
    <t>Installation of Water Supply to Community Fish Landing Center</t>
  </si>
  <si>
    <t>20PA0130 : CONCRETING OF BARANGAY TUBTUBA FMR, Barangay Tubtuba, Tubo, Abra</t>
  </si>
  <si>
    <t>Purchase of 3,571 bags Fertilizer (50 kg./bag) Triple 14 (N14-P14-K14). 50/50 Scheme Fertilizer Subsidy for Rice production under Food Security Program.</t>
  </si>
  <si>
    <t>Procurement of Infrastructure - Barangay Road Opening</t>
  </si>
  <si>
    <t>Procurement of Infrastructure - Construction of PDAO Office Extension Building</t>
  </si>
  <si>
    <t>Cont. Ref. No. 063-20: Construction of Veteran’s Multi-Purpose Building and Freedom Park at Virac, Itogon, Benguet</t>
  </si>
  <si>
    <t>2020-052, CONCRETING OF ROAD FROM PUROK 5-PUROK 9, SAN ISIDRO, MIDSAYAP, COTABATO</t>
  </si>
  <si>
    <t>Procurement of Infrastructure - Construction of 1 unit Multi-Purpose Pavement</t>
  </si>
  <si>
    <t>SUPPLY AND DELIVERY OF ONE (1) UNIT UTILITY VEHICLE (PICK UP)</t>
  </si>
  <si>
    <t>20DI0125- Construction of San Jose – Bucal Bypass Road, Calamba City, Laguna</t>
  </si>
  <si>
    <t>INVITATION TO BID FOR IMPROVEMENT OF BULALACAO BAY PARK FOR URBAN GREENING/EXPANSION OF FISH LANDING PORT</t>
  </si>
  <si>
    <t>CONSTRUCTION OF  “MABUHAY SILVINO  LUBOS” SIGNAGE</t>
  </si>
  <si>
    <t>20NE0089 - Construction/Rehabilitation of Water Supply/Rain Water Collector, Office of the Governor, Office of the Vice-Governor, GSO Building of the Provincial Capitol, Provincial Police Office Build</t>
  </si>
  <si>
    <t>20PA0129 : CONCRETING OF BARANGAY ALANGTIN FMR, Barangay Alangtin, Tubo, Abra</t>
  </si>
  <si>
    <t>20KL009 (Goods)</t>
  </si>
  <si>
    <t>Supply and Delivery of Four (4) Units Motorcycle- DRR Rescue Vehicle</t>
  </si>
  <si>
    <t>Construction of Masonry Drainage Structure, Along Del Rosario Street, Centro 06, Tuguegarao City, Cagayan</t>
  </si>
  <si>
    <t>Improvement of Public Bus Terminal (Road Concreting of the Rear Portion of Bus Terminal) and Construction of Public Bus Terminal Drainage System, Brgy. Triangulo</t>
  </si>
  <si>
    <t>BNLSL-LCB-28A-2020 – Construction of Supplementary Dam of Cambalading SIP, Albuera, Leyte (Package II)</t>
  </si>
  <si>
    <t>20KL008 (Goods)</t>
  </si>
  <si>
    <t>Procurement of Infrastructure - Rehabilitation of Sunrise Boulevard</t>
  </si>
  <si>
    <t>Procurement of Security Manpower Services FY 2020 for NORSU Campuses</t>
  </si>
  <si>
    <t>BNLSL-LCB-28-2020 – Construction of Diversion Works, Canal and Farm Level System of Cambalading SIP, Albuera, Leyte (Package I)</t>
  </si>
  <si>
    <t>Supply &amp; Delivery of One (1) Unit UTILITY VAN</t>
  </si>
  <si>
    <t>Lot 6 (NTCNHS)-Bid Docs_2020 QRF-Repair - Tacloban City_compressed</t>
  </si>
  <si>
    <t>Procurement of One (1) unit Brand New Van (for Mobile Blood Donation)</t>
  </si>
  <si>
    <t>REPAIR AND  MAINTENANCE OF  PUBLIC  INFRASTRUCTURE</t>
  </si>
  <si>
    <t>PROCUREMENT OF  GROCERIES</t>
  </si>
  <si>
    <t>R1MC Tubular Slatch Wind Pressure Support &amp; Water Proofing of Elevator Rooftop</t>
  </si>
  <si>
    <t>Proposed Spring Development Rehabilitation</t>
  </si>
  <si>
    <t>REPAIR OF CAS SCHOOL BUILDING AT NORSU BAYAWAN-STA. CATALINA CAMPUS</t>
  </si>
  <si>
    <t>Supply &amp; Delivery of OTHER SUPPLIES for the use of Different Offices (1st Quarter)</t>
  </si>
  <si>
    <t>REPAIR OF HANGING BRIDGE AT SITIO RONGO</t>
  </si>
  <si>
    <t>Concreting of Farm to Market Road at Purok 1, Brgy. Balite, Pura, Tarlac</t>
  </si>
  <si>
    <t>PROCUREMENT OF DRUGS AND MEDICINES 3RD QUARTER CY 2020</t>
  </si>
  <si>
    <t>HO-DMD20-005 - Supply and Delivery of Heavy Duty Stapler and OTG Flashdrive</t>
  </si>
  <si>
    <t>Supply and Delivery of 40 Units Brand New Customized Police Patrol Vehicle</t>
  </si>
  <si>
    <t>ITB and Bid Docs for Procurement ID/Contract ID:    20C00046 -Construction of the DENR – Environmental Management Bureau Region 3 Building (Completion)</t>
  </si>
  <si>
    <t>PACKAGE 4-2020</t>
  </si>
  <si>
    <t>PROPOSED OFFICE FOR DISASTER SIMULATION CENTER 2ND  FLOOR, JUAQUIN  GONZALES COMPOUND UNIVERSITY OF THE PHILIPPINES MANILA</t>
  </si>
  <si>
    <t>Supply &amp; Delivery of OFFICE SUPPLIES for the use of Different Offices (1st Quarter)</t>
  </si>
  <si>
    <t>Supply, Delivery, Installation and Commissioning of Air-Conditioning System for the Bureau of Quarantine</t>
  </si>
  <si>
    <t>BNLSL-LCB-24-2020 – Construction of Diversion Works, Canal, Farm Level and Road System of Montebello SIP, Kananga, Leyte</t>
  </si>
  <si>
    <t>20CSBG001: Geotechnical Investigation for Proposed Bridge Project – (3) Turod-Banquero Overflow Bridge, Reina Mercedes, Isabela</t>
  </si>
  <si>
    <t>Contract ID No. 20NC0123 - Repair/Maintenance of Bank Protection along Butuan City-Talacogon-La Paz-Loreto-Veruela-Sta. Josefa Road (Panagangan  Bridge II) (B01579MN) K1370+734-K1370+749, La Paz, Agus</t>
  </si>
  <si>
    <t>Design and Build of Single - storey Administration Building for Dipaculao Water District, Dipaculao, Aurora (Rebidding)</t>
  </si>
  <si>
    <t>Purchase of Patient Transport Vehicle</t>
  </si>
  <si>
    <t>Supply &amp; Delivery of BRAND NEW FIRE TRUCK (400 Gallons) with Complete Accessories</t>
  </si>
  <si>
    <t>CONSTRUCTION OF MULTI-PURPOSE HALL (BGY. PULARAQUEN, TAYTAY, PALAWAN)</t>
  </si>
  <si>
    <t>PROCUREMENT OF  CEILING HELICOPTER</t>
  </si>
  <si>
    <t>Purchase of Cellcards</t>
  </si>
  <si>
    <t>CONSTRUCTION/IMPROVEMENT OF DANLAGAN BY PASS ROAD-Brgy. Danlagan Lopez, Quezon</t>
  </si>
  <si>
    <t>Procurement of Tires for the Various City Vehicles</t>
  </si>
  <si>
    <t>Contract ID No. 20NC0122 - Repair/Maintenance of Bank Protection along Butuan City-Talacogon-La Paz-Loreto-Veruela-Sta. Josefa Road (Panagangan Bridge I) K1370+008-K1370+030, La Paz, Agusan del Sur</t>
  </si>
  <si>
    <t>Rehabilitation/Improvement of Bartolome H. Miranda Road</t>
  </si>
  <si>
    <t>19B00060: Repair/Rehabilitation of National Road along Cagayan Valley Road, K0476+800 – K0477+100, Alimanao, Peñablanca, Cagayan</t>
  </si>
  <si>
    <t>Supply &amp; Delivery of DRUGS &amp; MEDICINES (1st Quarter)</t>
  </si>
  <si>
    <t>CONSTRUCTION OF MULTI-PURPOSE HALL (BGY. BETON, TAYTAY, PALAWAN)</t>
  </si>
  <si>
    <t>20CB0066: Concreteing of Brgy. Ibis Farm-to-Market Road, Brgy. Ibis, Bagac, Bataan</t>
  </si>
  <si>
    <t>ITB NO. GOP/20-DSWD-037 - Supply and Delivery of Document Scanners for DSWD Central Office</t>
  </si>
  <si>
    <t>20BC0204-Repair/Maintenance of DOJ Building Registry of Deeds Main Building</t>
  </si>
  <si>
    <t>19B00061: Repair/Rehabilitation of National Road along Peñablanca  Callao Cave Road, Quibal, Peñablanca, Cagayan</t>
  </si>
  <si>
    <t>PROCUREMENT OF  FARM EQUIPMENT/MACHINERY</t>
  </si>
  <si>
    <t>INVITATION TO BID FOR THE  NEGOTIATED PROCUREMENT OF RESEARCH LABORATORY EQUIPMENT FOR CY 2020</t>
  </si>
  <si>
    <t>Supply, Delivery, Installation, Testing and Commissioning of Two (2) Units Synchronizing Unit Module for the Two (2) Units Doosan Electric Generators</t>
  </si>
  <si>
    <t>Supply and Delivery for the  Procurement of One (1)  Unit Drone (Search and  Rescue and Mapping  Drone)</t>
  </si>
  <si>
    <t>SUPPLY AND DELIVERY OF ONE (1) LOT HEALTH MANAGEMENT SYSTEM WITH STRUCTURED CABLING AND LICENSES</t>
  </si>
  <si>
    <t>Contract ID No. 20NC0125 - Construction of Agusan River Flood Control Sta. 0+000-0+050.00, Veruela, Agusan del Sur</t>
  </si>
  <si>
    <t>Contract ID No. 20NC0124 - Construction of Riverbank Protection of Ihawan River Sta. 0+000-0+060.00, Loreto, Agusan del Sur</t>
  </si>
  <si>
    <t>20BC0202-Repair/Maintenance of DPWH Field Office Building</t>
  </si>
  <si>
    <t>Procurement of ABG Cassette/Cartridge with the Provision of ABG Analyzer Machine (Tie-Up)</t>
  </si>
  <si>
    <t>20CB0065: Concreting of Sitio Kinaragan to Sitio Batitaw Brgy. Duale Farm-to-Market Road, Brgy. Duale, Limay, Bataan</t>
  </si>
  <si>
    <t>Purchase of Response Vehicle</t>
  </si>
  <si>
    <t>Supply &amp; Delivery of One Lot Office Supplies 2020-149</t>
  </si>
  <si>
    <t>Procurement of Communication Equipment and Accessories for the OPS</t>
  </si>
  <si>
    <t>20HD0093 - Repair/Maintenance of DPWH Building, Main Building, Cebu I District Engineering Office, Medellin, Cebu</t>
  </si>
  <si>
    <t>Completion of Covered Court of VSU Villaba</t>
  </si>
  <si>
    <t>Repair and Rehabilitation of Various School Buildings at Cabacungan Elementary School</t>
  </si>
  <si>
    <t>Supply &amp; Delivery of MOTOR VEHICLES (Patrol Vehicles) for the use of 16 Barangays of Lopez, Quezon</t>
  </si>
  <si>
    <t>Repair and Rehabilitation of Various School Buildings at Pili Elementary School</t>
  </si>
  <si>
    <t>Rehabilitation of Court</t>
  </si>
  <si>
    <t>Supply and Delivery for the  Procurement of One (1)  Unit Electronic Total  Station</t>
  </si>
  <si>
    <t>SUPPLY AND DELIVERY OF IT EQUIPMENT  UNDER PB 20-02-15A (FOR BRANCH STATION)</t>
  </si>
  <si>
    <t>INVITATION TO BID TO SUPPLY AND DELIVERY OF GOODS FOR MULTI ELECTRODE RESISTIVITY</t>
  </si>
  <si>
    <t>Invitation to Bid for Supply, Delivery and Installation of equipment for the DA-ACEF indigenous fruits project</t>
  </si>
  <si>
    <t>CONSTRUCTION OF MULTI-PURPOSE HALL (BGY. TALOG, TAYTAY, PALAWAN)</t>
  </si>
  <si>
    <t>Repair and Rehabilitation of Various School Buildings at Kinaguitman Elementary School</t>
  </si>
  <si>
    <t>Repair and Rehabilitation of Various School Buildings at Jubasan Elementary School</t>
  </si>
  <si>
    <t>Procurement of One ( 1 ) unit CHEMISTRY ANALYZER with one ( 1 ) unit Multi media 4 in 1</t>
  </si>
  <si>
    <t>20BC0210-Repair/Maintenance of DILG Building Bureau of Fire Protection Main Building</t>
  </si>
  <si>
    <t>PROCUREMENT FOR THE SUPPLY OF FUELS/FUEL ADDITIVE &amp; LUBRICANTS AND ANTI CORROSIVE</t>
  </si>
  <si>
    <t>20BC0209-Repair/Maintenance of DENR Building Main Building</t>
  </si>
  <si>
    <t>Repair and Rehabilitation of Various School Buildings at Allen Central Elementary School</t>
  </si>
  <si>
    <t>Supply and Delivery of 1,796 UNITS 15MMØ MULTI-JET BRASS WATER METER</t>
  </si>
  <si>
    <t>20BC0207-Repair/Maintenance of DILG Building Bureau of Fire Protection Main Building</t>
  </si>
  <si>
    <t>Repair and Rehabilitation of Various School Buildings at Calarayan Elementary School, Guin-arawayan Elementary School and Lipata Elementary School</t>
  </si>
  <si>
    <t>Purchase of Six (6) Units MIni Dump Truck</t>
  </si>
  <si>
    <t>Construction of Multi-Purpose Building Phase II (Beside Municipal Hall)</t>
  </si>
  <si>
    <t>20CB0070: Repair/Maintenance of DPWH Building, Main Building Bataan II District Engineering Office, Balanga City, Bataan</t>
  </si>
  <si>
    <t>Repair and Rehabilitation of Various School Buildings at Somoge Elementary School</t>
  </si>
  <si>
    <t>20MF0087-Construction of Multi Purpose Building (SK Tourism Hall), Brgy. Kenam, Isulan, Sultan Kudarat</t>
  </si>
  <si>
    <t>20CB0069: Concreting of Purok 6, Brgy. Gen. Lim Farm-to-Market Road, Brgy. Gen. Lim, Orion, Bataan</t>
  </si>
  <si>
    <t>SUPPLY AND DELIVERY OF IT EQUIPMENT UNDER PB 20-02-14A</t>
  </si>
  <si>
    <t>Repair and Rehabilitation of Various School Buildings at Lagundi Elementary School</t>
  </si>
  <si>
    <t>20DL0207 - CONSTRUCTION/REHABILITATION OF WATER SUPPLY/SEPTAGE AND SEWERAGE/RAIN WATER COLLECTORS - RAIN WATER COLLECTORS IN PUBLIC FACILITIES - REGION IV-A  A. COMETA ELEMENTARY SCHOOL, BRGY. COMETA,</t>
  </si>
  <si>
    <t>Repair and Rehabilitation of Various School Buildings at Baybay Elementary School</t>
  </si>
  <si>
    <t>20CB0068: Concreting of Brgy. Balagtas to Roman Super Highway Farm-to-Market Road, Brgy. Balagtas, Orion, Bataan</t>
  </si>
  <si>
    <t>20DL0206 - 71X-SPECIAL MAINTENANCE H. PLACING NEW TRAFFIC SIGNS ALONG DAANG MAHARLIKA, K0159+000 - K0181+000</t>
  </si>
  <si>
    <t>20CB0067: Concreting of Brgy. Alangan Farm-to-Market Road, Brgy. Alangan, Limay, Bataan</t>
  </si>
  <si>
    <t>20MF0085-Construction of  Multi Purpose Building/Disaster Center at Brgy. Rajah Muda, Tacurong City, Sultan Kudarat</t>
  </si>
  <si>
    <t>20DL0204 - REPAIR/MAINTENANCE OF DRAINAGE ALONG QUEZON-ALABAT-PEREZ ROAD, KM.022+050-KM.022+097 (RIGHT SIDE)</t>
  </si>
  <si>
    <t>20DL0205 - A)	REPAIR/MAINTENANCE OF DILG BUILDING, PNP – STORAGE ROOM/BARRACKS BUILDING, GUMACA, QUEZON 	 B)	REPAIR/MAINTENANCE OF DPWH BUILDING, DPWH SUB OFFICE (FIELD ENGR. OFFICE), BRGY. LAGYO, GUM</t>
  </si>
  <si>
    <t>20MF0082-Construction of  Multi Purpose Building for Dialysis Center New Capitol Site, Brgy. Kenram, Isulan, Sultan Kudarat</t>
  </si>
  <si>
    <t>Repair and Rehabilitation of Various School Buildings at Guba Elementary School and New Rizal Elementary School</t>
  </si>
  <si>
    <t>20MF0081-Construction of  Tacurong Multi-Purpose Building, Brgy. Poblacion, Tacurong City, Sultan Kudarat</t>
  </si>
  <si>
    <t>Invitation to Bid for Supply and Delivery of Customized Polo Shirt and Sling Bag</t>
  </si>
  <si>
    <t>20MF0083-Construction of  Multi Purpose Building, Brgy. Kenram, Isulan, Sultan Kudarat</t>
  </si>
  <si>
    <t>20MF0084-Construction of  Povincial Tourism Multi Purpose Building, New Capitol Site, Brgy. Kenram, Isulan, Sultan Kudarat</t>
  </si>
  <si>
    <t>20MF0080-Construction of Bridge along Dulawan-Marbel Road (Pinguiaman Section), Lambayong, Sultan Kudarat</t>
  </si>
  <si>
    <t>PROCUREMENT OF  FURNITURE</t>
  </si>
  <si>
    <t>20DL0203 - REPAIR/MAINTENANCE OF FLOOD CONTROL &amp; DRAINAGE STRUCTURES ALONG BAYOD BRIDGE, TALABA-SUMMIT-PANAON ROAD, KM.180+728, ATIMONAN, QUEZON</t>
  </si>
  <si>
    <t>20MF0086-Construction of Multi Purpose Building (City Civic Center), Tacurong City, Sultan Kudarat</t>
  </si>
  <si>
    <t>IMPROVEMENT OF SHELTER FOR YOUTH OFFENDER &amp; CRISIS CENTER BRGY. TINAMNAN LUCBAN, QUEZON</t>
  </si>
  <si>
    <t>DRAINAGE IMPROVEMENT (RIPRAP), GEGONCILLO VILLAGE, BRGY. BALINTAWAK (STRAIGHT CONTRACT LABOR &amp; MATERIALS)</t>
  </si>
  <si>
    <t>RFQ2020-06-034_SUPPLY AND DELIVERY OF VARIOUS WATER SERVICE CONNECTION MATERIALS FOR INTERCONNECTION AND ACTIVATION OF BALETE WATER SUPPLY PROJECT</t>
  </si>
  <si>
    <t>Repair and Rehabilitation of Various School Buildings at Old Rizal Elementary School</t>
  </si>
  <si>
    <t>Repair and Rehabilitation of Various School Buildings at Guibuangan Elementary School</t>
  </si>
  <si>
    <t>20CE0209: Construction of Multi-Purpose Building, Brgy. Abar 1st, City of San Jose, Nueva Ecija</t>
  </si>
  <si>
    <t>Repair and Rehabilitation of Various School Buildings at Daganas Elementary School</t>
  </si>
  <si>
    <t>Repair and Rehabilitation of Various School Buildings at McKinley Elementary School</t>
  </si>
  <si>
    <t>Savings of CY 2019 Quick Response Fund (Batch 1) Savings – Repair and Rehabilitation of Classrooms</t>
  </si>
  <si>
    <t>Procurement of Meals and Snacks for meetings, visitors and other activities – MO 2nd Bid</t>
  </si>
  <si>
    <t>Repair and Rehabilitation of Various School Buildings at Hinatad Elementary School</t>
  </si>
  <si>
    <t>Repair and Rehabilitation of Various School Buildings at Bangon Elementary School</t>
  </si>
  <si>
    <t>Procurement of Office Equipment for RHU Main, South and North – 2nd Bid</t>
  </si>
  <si>
    <t>CY 2020 Quick Response Fund – Repair/Rehabilitation of Classrooms</t>
  </si>
  <si>
    <t>Procurement of Consultancy Services for the “Implementation of the 2020 PhilHealth Client Awareness and Satisfaction Survey”</t>
  </si>
  <si>
    <t>20GKF0035-Purchase of Materials for Regravelling of Road Shoulders along Tubod-Ganassi Road K1600+000-K1605+000.</t>
  </si>
  <si>
    <t>Supply and Delivery of Customized Gift Certificates for DTI Pangkabuhayan sa Pag-Bangon at Ginhawa (DTI-PBG)</t>
  </si>
  <si>
    <t>20GKF0032- Purchase of Materials for Regravelling of Shoulders along Linamon-Zamboanga Road K1561+000-K1564+000.</t>
  </si>
  <si>
    <t>Repair &amp; Maintenance of Conduit Pipelines</t>
  </si>
  <si>
    <t>Procurement of  Medical Equipment for RHU Main, South and North – 2nd Bid</t>
  </si>
  <si>
    <t>20GKF0034-Purchase of Materials for Regravelling of Road Shoulders along LDNICR (Magsaysay-Tubod Section) K1588+000- K1591+600.</t>
  </si>
  <si>
    <t>cONSTRUCTION OF pERIMETER fENCE</t>
  </si>
  <si>
    <t>20GKF0030-Purchase of Various Office Supply for use in DPWH-Lanao del Norte 2nd DEO</t>
  </si>
  <si>
    <t>CY 2020 Quick Response Fund – Construction of Slope Protection</t>
  </si>
  <si>
    <t>Installation of Slope Protection Dike</t>
  </si>
  <si>
    <t>20OH0151-Proposed Construction/Rehabilitation of Water Supply/Septage and Sewerage/Rainwater Collector-Rainwater Collector System at: 1)	Aurora A. Quezon E/S San Andres cor. Vasquez, Malate, Manila 2)</t>
  </si>
  <si>
    <t>PB-20-316, Supply of Diesel Fuel for the use of various activities and official vehicles of the Office of the Vice Governor and Sangguniang Panlalawigan, Amas, Kidapawan City</t>
  </si>
  <si>
    <t>20GKF0031-Purchase of Materials for Regravelling of Shoulders along Linamon-Zamboanga Road K1570+000-K1573+000.</t>
  </si>
  <si>
    <t>20OH0150-Renovation of Planning Service Offices, DPWH Head Office, Bonifacio Drive, Port Area, Manila</t>
  </si>
  <si>
    <t xml:space="preserve">20OH0148-Local  Program - Construction/Repair/Rehabilitation/Improvement  of  various   Infrastructure including Local Projects-Buildings and other Structures-Multi-Purpose/facilities-Construction of </t>
  </si>
  <si>
    <t>Construction/Rehabilitation of Local Roads</t>
  </si>
  <si>
    <t>20GKF0033-Purchase of Materials for Regravelling of Road Shoulders along Tubod-Ganassi Road K1590+000-K1595+000.</t>
  </si>
  <si>
    <t>20OH0102 Re-ads-Local Program-Local  Infrastructure  Program-Buildings  and other Structures - Multi-Purpose/Facilities-Construction of Multi-Purpose Building Villamor Air Base, Pasay City</t>
  </si>
  <si>
    <t>Supply and Delivery of Construction Materials and Solar Street Lamp, (Rebid)</t>
  </si>
  <si>
    <t>Invitation to Bid for Supply and Delivery of Materials and Equipment for DA-ACEF Mango Project</t>
  </si>
  <si>
    <t>Improvement of Water System Transmission Line (Diversion Road)</t>
  </si>
  <si>
    <t>20OH0149-Local Program-Local Infrastructure Program-Buildings and other Structures-  Multipurpose / Facilities - Construction of Multi-purpose Building and Facilities, Pres. Corazon C. Aquino Senior H</t>
  </si>
  <si>
    <t>Procurement of Aggregates used for Road Concreting of Brgy. Street @ Brgy. San Roque, Socorro, SDN</t>
  </si>
  <si>
    <t>Procurement of Hardware Materials used for Road Concreting of Brgy. Street @ Brgy. San Roque, Socorro, SDN</t>
  </si>
  <si>
    <t>One (1) Lot Supply, Delivery, Installation, Configuration and Testing of Six (6) units High Speed Line Matrix Printer including Consumables, as per BSP Terms of Reference</t>
  </si>
  <si>
    <t>Upgrading of Water System</t>
  </si>
  <si>
    <t>20GKF0036-Purchase of Materials for Regravelling of Shoulders along Linamon-Zamboanga Road K1590+000-K1593+000.</t>
  </si>
  <si>
    <t>20GKF0038-Purchase of Materials for Regravelling of Road Shoulders along Tubod-Ganassi Road K1605+000-K1610+000.</t>
  </si>
  <si>
    <t>20GKF0040-Purchase of Materials for Regravelling of Shoulders along Linamon-Zamboanga Road K1576+000-K1579+000.</t>
  </si>
  <si>
    <t>20GKF0029-Purchase of Various Janitorial Office Supply for use in DPWH-Lanao del Norte 2nd DEO</t>
  </si>
  <si>
    <t>Construction of SLF Multi-Purpose Hall</t>
  </si>
  <si>
    <t>Repair and Rehabilitation of Various School Buildings at Bayho Elementary School, Henaronagan Elementary School and Osmeña Elementary School</t>
  </si>
  <si>
    <t>20GKF0037-Purchase of Materials for Regravelling of Shoulders along Linamon-Zamboanga Road K1585+000-K1588+000.</t>
  </si>
  <si>
    <t>Purchase of Generator Set to be installed at New Public Market, Barangay Poblacion, Lobo, Batangas</t>
  </si>
  <si>
    <t>Repair and Rehabilitation of Various School Buildings at May-igot Elementary School</t>
  </si>
  <si>
    <t>Repair and Rehabilitation of Various School Buildings at Talisay Elementary School</t>
  </si>
  <si>
    <t>Supply and Delivery of Construction Materials for the Construction/Rehabilitation of Local Roads, bgry. Janagdong (Rebid)</t>
  </si>
  <si>
    <t>PROCUREMENT OF INFORMATION AND COMMUNICATION TECHNOLOGY EQUIPMENT</t>
  </si>
  <si>
    <t>Repair and Rehabilitation of Various School Buildings at Bulao Elementary School</t>
  </si>
  <si>
    <t>Repair and Rehabilitation of Various School Buildings at Paticua Elementary School</t>
  </si>
  <si>
    <t>Repair and Rehabilitation of Various School Buildings at Lo-ok Elementary School and Palanas Elementary School</t>
  </si>
  <si>
    <t>20GKF0039-Purchase of Materials for Regravelling of Road Shoulders along Tubod-Ganassi Road K1605+000-K1610+000.</t>
  </si>
  <si>
    <t>Repair and Rehabilitation of Various School Buildings at Bocsol Elementary School</t>
  </si>
  <si>
    <t>To hire contractor to provide materials, labor and equipment for two (4) Infrastructure Projects (Sibulan) (B-81-2020)</t>
  </si>
  <si>
    <t>Concreting of Farm to Market Road at Purok 2, Brgy Naya, Pura, Tarlac</t>
  </si>
  <si>
    <t>Supply &amp; Delivery of One (1) Unit AMBULANCE with Complete Accessories</t>
  </si>
  <si>
    <t>Supply and Delivery of Materials for the Improvement/Repair of Motor Pool in Civic Center, Barangay Poblacion.</t>
  </si>
  <si>
    <t>PROCUREMENT OF HYDRAULIC STAMPING MACHINE</t>
  </si>
  <si>
    <t>CONSTRUCTION OF LOCAL  ROAD -Sitio Alvarez, Brgy. Lusacan</t>
  </si>
  <si>
    <t>Supply and Delivery of Pipes and Fittings for the Rehabilitation/Improvement of Poblacion/Barangay Waterworks System (rebid)</t>
  </si>
  <si>
    <t>Repair and Rehabilitation of Various School Buildings at Salvacion Elementary School</t>
  </si>
  <si>
    <t>PROCUREMENT OF JANITORIAL SERVICES 2020 FOR NORSU CAMPUSES</t>
  </si>
  <si>
    <t>Purchase of Various Office Supplies for LGU of San Jose (2nd Quarter)</t>
  </si>
  <si>
    <t>Repair and Rehabilitation of Various School Buildings at Barobaybay Elementary School</t>
  </si>
  <si>
    <t>Lot 5 (Sagkahan NHS)-Bid Docs_2020 QRF-Repair - Tacloban City</t>
  </si>
  <si>
    <t>ITB and Bid Docs for Procurement ID/Contract ID:    20C00047 -Rehabilitation/Restoration of Deteriorated Dikes/Eroded Riverbanks along Pampanga River including Candaba Cut-Off Channel</t>
  </si>
  <si>
    <t>Purchase of One  (1) Unit  Heavy Equipment  for use at DPWH-Bataan 1st   District Engineering Office  (DEO), Orani,Bataan</t>
  </si>
  <si>
    <t>Diesel Fuel etc. (05-0543) CMO</t>
  </si>
  <si>
    <t>Procurement of Mental Drugs Lot 2</t>
  </si>
  <si>
    <t>Construction of Cordova Public Market (Cordova Town Square)</t>
  </si>
  <si>
    <t>Procurement of Mental Drugs Lot 1</t>
  </si>
  <si>
    <t>PR# 20-02-359 &amp; 20-02-360 (REPOSTING) PROCUREMENT OF TWO (2) UNITS MULTI-PURPOSE VEHICLE</t>
  </si>
  <si>
    <t>PR# 20-01-110 (REPOSTING) PROCUREMENT OF FIFTEEN (15) UNITS 7HP MARINE ENGINE (GASOLINE FED) WITH COMPLETE ACCESSORIES UNDER TARGET 2020 FOR COASTAL MUNICIPALITY OF BOHOL</t>
  </si>
  <si>
    <t>PR# 20-02-356 (REPOSTING) PROCUREMENT OF EIGHT (8) UNITS 7HP MARINE ENGINE (GASOLINE FED) WITH COMPLETE ACCESSORIES UNDER SAAD 2020 FOR COASTAL MUNICIPALITY OF BOHOL</t>
  </si>
  <si>
    <t>PR# 19-12-1700 (REPOSTING) PROCUREMENT OF TEN (10) UNITS 20HP MARINE ENGINE (DIESEL) WITH COMPLETE ACCESSORIES FOR CEBU PROVINCE</t>
  </si>
  <si>
    <t>20F00124 - 1. Drainage at Brgy. Rawis, Legazpi City Junction to Secondary National Road, Legazpi City – Sto. Domingo-Tabaco-Tiwi-Camarines Sur Bdry. Road, Brgy. Rawis, Legazpi City, Albay 2nd Legislat</t>
  </si>
  <si>
    <t>Supply and delivery of various construction materials for Various Projects LOT 5</t>
  </si>
  <si>
    <t>Supply and Delivery of Desktop Computer and Other Equipment</t>
  </si>
  <si>
    <t>Cont. Ref. No. 065-20: Improvement along Carantes Road at Poblacion, Itogon, Benguet</t>
  </si>
  <si>
    <t>20GA0215-Construction of Road Slope Protection Structures along Aklan West Road Aklan West Road (Kalibo-Nabas) (S00480PN) K0243+981.00 – K0244+045.00</t>
  </si>
  <si>
    <t>PROCUREMENT OF PHOTOCOPIER</t>
  </si>
  <si>
    <t>ITB-B12-2020</t>
  </si>
  <si>
    <t>Construction of Proposed Monreal Municipal Port</t>
  </si>
  <si>
    <t>REHABILITATION OF FISH PONDS</t>
  </si>
  <si>
    <t>20GA0214-Construction of Drainage Structure along Aklan East Road Aklan East Road – K0280+350 – K0280+827  Aklan East Road</t>
  </si>
  <si>
    <t>ITB-REBID03-2020</t>
  </si>
  <si>
    <t>CONSTRUCTION OF TALONGSONG POBLACION BAILEY BRIDGE</t>
  </si>
  <si>
    <t>19GF00030 - Supply and Delivery of Additional Global Navigation Satellite System assigned at PDD (PR No. 20-03-074 dated 3/09/2020), DPWH Regional Office No. V, Rawis, Legazpi City</t>
  </si>
  <si>
    <t>Proposed Construction of Level II Portable Water System(Drilling/Construction of Steel Tank/Pipelines) at Sitio Puas Inda, Brgy. Amas, Kidapawan City.</t>
  </si>
  <si>
    <t>Procurement of Mental Drugs Lot 3</t>
  </si>
  <si>
    <t>Proposed Construction of Level II Portable Water System(Drilling/Construction of Steel Tank/Pipelines) at Sitio Lika, Brgy. Onica, Kidapawan City</t>
  </si>
  <si>
    <t>19GF00029 - Supply and Installation of Additional 3-units Air Conditioning Units at Construction Division DPWH RO-V, (PR No. 20-02-038 dated 2/19/2020), DPWH Regional Office No. V, Rawis, Legazpi City</t>
  </si>
  <si>
    <t>Procurement of Space Spray (cyphenothrin 5%,BTL)</t>
  </si>
  <si>
    <t>Procurement of Mental Drugs Lot 6</t>
  </si>
  <si>
    <t>PR# 20-02-355 (REPOSTING) PROCUREMENT OF VARIOUS MATERIALS FOR FABRICATION OF 8 UNITS (22FT) MOTORIZED FRP BOAT UNDER SAAD 2020 FOR COASTAL MUNICIPALITY OF BOHOL</t>
  </si>
  <si>
    <t>Procurement of Mental Drugs Lot 5</t>
  </si>
  <si>
    <t>Procurement of Mental Drugs Lot 4</t>
  </si>
  <si>
    <t>Procurement of Infrastructure - Installation of Solar LED Street Light at Barangay Dapnan</t>
  </si>
  <si>
    <t>PR# 19-12-1699 (REPOSTING) PROCUREMENT OF NINETY (90) UNITS 7.5HP MARINE ENGINE (DIESEL) WITH COMPLETE ACCESSORIES FOR CEBU PROVINCE</t>
  </si>
  <si>
    <t>Improvement and Reblocking of Abasag St.</t>
  </si>
  <si>
    <t>Proposed Road Concreting of Circumferential Road/Ninoy Aquino Extension at junction Kidapawan-Calunasan Mlang Road-Purslane Section, Brgy. Magsaysay, Kidapawan City</t>
  </si>
  <si>
    <t>Procurement of Mental Drugs Lot 7</t>
  </si>
  <si>
    <t>Proposed Improvement of Multi-Purpose Building (Improvement and Completion of Second Floor) at JP Laurel Street, Brgy. Poblacion, Kidapawan City</t>
  </si>
  <si>
    <t>CONDUCT WORLD TEACHER'S DAY (October 2020)</t>
  </si>
  <si>
    <t>Proposed Construction of Level II Portable Water System(Drilling/Construction of Steel Tank/Pipelines) at Purok 7, Brgy. Macebolig, Kidapawan City</t>
  </si>
  <si>
    <t>Lot 4 (Sta. Elena ES)-Bid Docs_2020 QRF-Repair - Tacloban City_compressed</t>
  </si>
  <si>
    <t>Procurement of Bottle and Glass Crusher</t>
  </si>
  <si>
    <t>CONSTRUCTION OF  0.20M X 4.00M X  90.00M CLIMATE  PROOFED CONCRETE  PAVEMENT,  POBLACION 3</t>
  </si>
  <si>
    <t>Solar Lights - Dirdirig</t>
  </si>
  <si>
    <t>Proposed Construction of Feedmill Plant (15.0m x 15.0m One(1) Storey Building) at Brgy. Paco, Kidapawan City</t>
  </si>
  <si>
    <t>CONSTRUCTION OF FOOT BRIDGE LOCATED AT BRGY. ABNATE, KIBLAWAN, DAVAO DEL SUR all in accordance to plans, specifications and scope of work and the Green Procurement Policy as adopted by Executive Order</t>
  </si>
  <si>
    <t>Repair of Brgy. Botoc Health Station and Installation of Facilities</t>
  </si>
  <si>
    <t>Installation of Solar Street Lights Panel for Clarin Town Center, Pob. 2, Clarin, Misamis Occidental</t>
  </si>
  <si>
    <t>INSTALLATION OF SOLAR STREET LIGHTS, JUNCTION NATIONAL ROAD, FATIMA, POBACION DEL NORTE, TERMINAL, POBLACION DEL SUR, VILLABA, LEYTE SOURCE OF FUND: 20% EDF 2020</t>
  </si>
  <si>
    <t>Installation of Solar Street Lights ALong San Pedro Calungsod Parish going to Brgy. Upper Katungal, City of Tacurong</t>
  </si>
  <si>
    <t>Improvement of Sector 4&amp;5 Bungol Farm to Market Road</t>
  </si>
  <si>
    <t>Improvement of Pa-o Farmers Multi-purpose Building</t>
  </si>
  <si>
    <t>REBIDDING ON THE PROVISION OF LABOR, MATERIALS, EQUIPMENT AND OTHER INCIDENTALS NEEDED FOR THE REHABILITATION/IMPROVEMENT OF SARICAO SMALL WATER IMPOUNDING PROJECT (SWIP) AT BRGY. SARICAO, VINTAR, ILO</t>
  </si>
  <si>
    <t>Supply and Installation of Renewable, Clear Solar Powered Streetlights (50 watts LED-Integrated Solar Streetlights) Along  Brgys. San Juan &amp; San Andres Road,, Alaminos, Laguna</t>
  </si>
  <si>
    <t>Invitation to bid for Rehabilitation of Manpower Development &amp; Multi-Purpose Center</t>
  </si>
  <si>
    <t>20DI0118- Rehabilitation of Multi – Purpose Building, Camp Vicente Lim, Brgy. Mayapa, Calamba, Laguna</t>
  </si>
  <si>
    <t>Construction of Butubut Sur Civic Center</t>
  </si>
  <si>
    <t>Improvement of Sector 07 Camiling Farm to Market Road</t>
  </si>
  <si>
    <t>Pag-IBIG Fund CHQ (Supply and Delivery of One (1) Unit Passenger Van Vehicle (PV))</t>
  </si>
  <si>
    <t>CONSTRUCTION OF LOCAL ROAD</t>
  </si>
  <si>
    <t>INVITATION TO BID FOR THE PROPOSED CONSTRUCTION OF MULTI-PURPOSE BUILDING PHASE I AT BARANGAY SAN ISIDRO, VALENCIA CITY, BUKIDNON</t>
  </si>
  <si>
    <t>Procurement of various Medical Equipment</t>
  </si>
  <si>
    <t>20DI0117- Construction and/or Repair/ Rehabilitation of Multi – Purpose Building, Brgy. Tuntungin – Putho, Los Baños, Laguna</t>
  </si>
  <si>
    <t>Supply and delivery of 2 units Motorcycle use at Engineering Office as Service for Inspection of Projects, Mauban, Quezon.</t>
  </si>
  <si>
    <t>20KL007 (Goods)</t>
  </si>
  <si>
    <t>Procurement of Infrastructure - Installation of Solar LED Street Light at Barangay San Isidro</t>
  </si>
  <si>
    <t>FABRICATION AND SUPPLY OF FIBER GLASS MOTORIZED MOTORBOAT AND NON-MOTORIZED MOTORBOAT(SIBID-SIBID)</t>
  </si>
  <si>
    <t>BID - Various Manila Aide Uniforms, Supplies and Materials - DPS 2nd qtr</t>
  </si>
  <si>
    <t>20JG0051 - rebid - Construction / Improvement of Access Roads leading to Seaports - Construction of Concrete Road Rebokon-Palaran-Tubopait-Sacbulan-Senior-Sagasan Road leading to San Pablo Port, Dumal</t>
  </si>
  <si>
    <t>Purchase and Delivery of Traditional Instruments (Gongs-Kalsa &amp; Pinsak and Solibao-Solibao &amp; Kimbal)</t>
  </si>
  <si>
    <t>INVITATION TO BID FOR PROCUREMENT OF ONE (1) CROSSOVER UTILITY VEHICLE AND ONE (1) PASSENGER VAN</t>
  </si>
  <si>
    <t>Improvement of Public Bus Terminal (Building), Brgy. Triangulo</t>
  </si>
  <si>
    <t>Procurement of Oxygen Tanks and Refill</t>
  </si>
  <si>
    <t>IMPROVEMENT OF LOWER SISI-MANTAE-LIMAN ROAD</t>
  </si>
  <si>
    <t>Completion of Slaughterhouse</t>
  </si>
  <si>
    <t>Improvement of Almeida Farmers Multi-purpose Pavement</t>
  </si>
  <si>
    <t>Improvement health Center/Extention of RHU</t>
  </si>
  <si>
    <t>Procurement of Infrastructure - Construction of 2 units Single Detached Commercial Hometel at Sunrise Boulevard</t>
  </si>
  <si>
    <t>CONCRETING OF FMR (KAKIDUGEN-CATARAWAN)</t>
  </si>
  <si>
    <t>20GA0167-Construction of Multi-Purpose Building  In Brgy. Balabag, Malay, Aklan</t>
  </si>
  <si>
    <t>SUPPLY AND DELIVERY OF ONE (1) UNIT 6-WHEELER 4 x 4, 6 CUBIC METER DUMPTRUCK</t>
  </si>
  <si>
    <t>20GA0157-Construction of Multi-Purpose Building  Brgy. Balabag, Malay, Aklan</t>
  </si>
  <si>
    <t>Concrete Paving along River Park 100LM(Phase 1) (06-0592)CPDO</t>
  </si>
  <si>
    <t>Procurement of Dental Digital Panoramic X-ray Machine with Complete Accessories and Installation</t>
  </si>
  <si>
    <t>PROCUREMENT OF 2 UNIT AMBULANCE (TYPE 1) BAC 2020-E06</t>
  </si>
  <si>
    <t>Construction of Perimeter fence at the reforestation project located at Malabbac</t>
  </si>
  <si>
    <t>Cluster N14-2020</t>
  </si>
  <si>
    <t>CONSTRUCTION OF STANDARD DAYCARE CENTER BUILDING WITH COMPLETE FACILITIES</t>
  </si>
  <si>
    <t>20GA0130-Improvement/Continuing Const. of Multi-Purpose Building  Brgy. Poblacion, Balete, Aklan</t>
  </si>
  <si>
    <t>Procurement of Various Construction Supplies and Materials - DEPW</t>
  </si>
  <si>
    <t>Procurement of Various Electrical Supplies and Materials P.R. No. 636 - DEPW</t>
  </si>
  <si>
    <t>PEO-20-0383-B CONCRETING OF LEON-OMAMBONG-CORDOVA ROAD, Leon, Iloilo</t>
  </si>
  <si>
    <t>PEO-20-0381-B Concreting of Barasan-Bantay Road Santa Barbara, Iloilo (Brgy. Dalid-Brgy. Buayahon)</t>
  </si>
  <si>
    <t>PEO-19-2099-B Concreting of Municipal Road in Zones 1, 2 and 3 at Barangay Captain Agustin Tirador Janiuay, Iloilo</t>
  </si>
  <si>
    <t>SDH-18-2253-B (RE-BID) Construction of PHU Complex with Conference Hall and Storage Area of Sara District Hospital (Phase 1) Sara, Iloilo</t>
  </si>
  <si>
    <t>PEO-20-0554-B Concreting of Estancia - Gogo Road Estancia, Iloilo</t>
  </si>
  <si>
    <t xml:space="preserve">PEO-19-1487-B (RE-BID) Construction/Improvement of Water System in the 3rd District of Iloilo  1)Construction of Water System:    Brgy. Guibuangan Tigbauan, Iloilo 2) Improvement of Water System:     </t>
  </si>
  <si>
    <t>IPH-19-1021-B (Re-Bid) Proposed Landscaping of Iloilo Provincial Hospital, Pototan, Iloilo</t>
  </si>
  <si>
    <t>IMPROVEMENT OF FMR-EDRALIN-ATAN ROAD</t>
  </si>
  <si>
    <t>COA-20-020-B  Proposed Repair/Improvement Commission on Audit Storage Building  Provincial Equipment Pool Compound, Sta. Barbara, Iloilo</t>
  </si>
  <si>
    <t>CONSTRUCTION OF MUNICIPAL CEMETERY EXTENSION (PHASE III) LOCATED AT SAN ANTONIO, AGOO, LA UNION</t>
  </si>
  <si>
    <t>PEO-19-1489-B (RE-BID) Construction of Various Water Systems in the 4th District of Iloilo</t>
  </si>
  <si>
    <t>Re-bidding Supply and Delivery of Ground Penetrating Radar</t>
  </si>
  <si>
    <t>REHABILITATION OF CAGUBATAN DOMESTIC DOMESTIC WATER SYSTEM</t>
  </si>
  <si>
    <t>COMPLETION OF STANDARD BIRTHING CLINIC - ALIMIT</t>
  </si>
  <si>
    <t>PEO-20-0482-B CONCRETING OF CABATUAN – ACAO – ITO ROAD  Cabatuan, Iloilo</t>
  </si>
  <si>
    <t>ENG’G PASBAC 001-20 Supply and Delivery of Three (3) Units Well Drilling Truck/Rig (Rotary) with Trailer and Accessories</t>
  </si>
  <si>
    <t>Supply, Delivery and Installation of Office Furniture And Fixture For Use In CASC, Sci Lab, D Post Office, CESC, Guidance Office, KMS And Registration And Admission Office</t>
  </si>
  <si>
    <t>PEO-19-1502-B Construction of Elementary School Water Systems in the 3rd District of Iloilo; 1) Construction of Water System       a. San Gregorio  Elementary School, Lambunao, Iloilo      b. Pajo Ele</t>
  </si>
  <si>
    <t>ITB No. 2020-003-CSL - SUPPLY AND DELIVERY OF VARIOUS LABORATORY SUPPLIES, GLASSWARE AND INSTRUMENT CONSUMABLES FOR ALABANG TESTING AND QUALITY ASSURANCE LABORATORY (ATQAL) AND CEBU TESTING AND QUALIT</t>
  </si>
  <si>
    <t>Procurement of Various Supplies and Materials, DSW-PR-575</t>
  </si>
  <si>
    <t>CONSTRUCTION OF TWO CLASSROOM AT GABIHAN HIGH SCHOOL</t>
  </si>
  <si>
    <t>PEO-20-0551-B Concreting of Duyan-Duyan- Bacan Road Cabatuan, Iloilo</t>
  </si>
  <si>
    <t>Supply and Delivery of  Equipment, Supplies and Consumables For Use in CASC, CEng, Sci Lab, CEngSC, D Post, CASSC, CESC, GAD, KMS, Guidance And Registration &amp; Admission Office/ (IAEB NO. 2020-005)</t>
  </si>
  <si>
    <t>CONSTRUCTION OF EVACUATION CENTER</t>
  </si>
  <si>
    <t>ITB No. 2020-002-CSL - SUPPLY AND DELIVERY OF VARIOUS LABORATORY STANDARDS, REAGENTS AND MEDIA FOR ALABANG TESTING AND QUALITY ASSURANCE LABORATORY (ATQAL) AND CEBU TESTING AND QUALITY ASSURANCE LABOR</t>
  </si>
  <si>
    <t>Package 017- Construction of Lamut Sanitary LandFill- Cell 3</t>
  </si>
  <si>
    <t>SUPPLY/DELIVERY OF VARIOUS EMERGENCY EVACUATION EQUIPMENT</t>
  </si>
  <si>
    <t>INVITATION TO BID FOR THE PROCUREMENT OF SUBMERSIBLE PUMPS WITH CAPACITOR</t>
  </si>
  <si>
    <t>Procurement of VEHICLES</t>
  </si>
  <si>
    <t>Supply &amp; Delivery of Materials for Proposed Closure and Rehabilitation of Open Dumpsite at Banate Capungagan, Kapalong, Davao del Norte</t>
  </si>
  <si>
    <t>Supply &amp; Delivery One (1) unit Mini Hydraulic Excavator</t>
  </si>
  <si>
    <t>ITB Motorcycles</t>
  </si>
  <si>
    <t>Rebidding of the requirement To hire contractor to provide materials, labor, and equipment for the “Concreting of Road, Barangay Kagawasan, Guihulngan City, Negros Oriental”  (B-79-2020)</t>
  </si>
  <si>
    <t>ENG’G PASBAC 013-20 Supply and Delivery of Materials for the Repair and Renovation of Veterans Center Building at Camp Aguinaldo, Quezon City</t>
  </si>
  <si>
    <t>Construction/Rehabilitation of River Control</t>
  </si>
  <si>
    <t>PROCUREMENT OF FUEL (JULY TO DECEMBER 2020)</t>
  </si>
  <si>
    <t>ENG’G PASBAC 012-20 Supply and Delivery of Materials and Labor for the Enhancement of Financial Records Branch (FRB) Building at Fort Bonifacio, MM</t>
  </si>
  <si>
    <t>PROCUREMENT OF RESCUE ROPES FOR BASIC ROPE RESCUE SKILLS</t>
  </si>
  <si>
    <t>SUPPLY AND DELIVERY OF MOBILE CARS FOR THE PHILIPPINE NATIONAL POLICE - MALABON</t>
  </si>
  <si>
    <t>Supply/Delivery of Electrical Resistivity Instrument</t>
  </si>
  <si>
    <t>PURCHASE OF MATERIALS FOR CONSTRUCTION WATER SYSTEM</t>
  </si>
  <si>
    <t>Procurement of one (1) lot Molecular Laboratory Set Up, OMMC-PR-555</t>
  </si>
  <si>
    <t>Construction of Apartment Type Tomb at Catarman Public Cemetery</t>
  </si>
  <si>
    <t>CONSTRUCTION OF SCHOOL STAGE AT PULONG TAMO ELEMENTARY SCHOOL</t>
  </si>
  <si>
    <t>CONSTRUCTION OF DAYCARE CENTER AT BRGY. SAPANG PUTIK</t>
  </si>
  <si>
    <t>CONSTRUCTION OF DAYCARE CENTER AT BRGY. BUBULONG MUNTI</t>
  </si>
  <si>
    <t>CY 2020 QRF SCHOOL GROUND SLOPE PROTECTION AT GOHANG NHS, GOHANG, BANAUE, IFUGAO</t>
  </si>
  <si>
    <t>Procurement of Various Vehicle Spare Parts P.R. Nos. 635 &amp; 634 - DEPW</t>
  </si>
  <si>
    <t>CONSTRUCTION OF SCHOOL CANTEEN AT SAN ILDEFONSO NATIONAL HIGH SCHOOL</t>
  </si>
  <si>
    <t>CONSTRUCTION OF SCHOOL STAGE AT STA. CATALINA BATA ELEMENTARY SCHOOL</t>
  </si>
  <si>
    <t>BID-2020-06-75 JJASGH -TWO UNITS BED PASSENGER ELEVATOR</t>
  </si>
  <si>
    <t>BID-2020-06-78 JJASGH- PROC OF VARIOUS AIRCONDITIONING UNITS</t>
  </si>
  <si>
    <t>CONSTRUCTION OF LOOM RIVER FRONT PARK AT BARANGAY TABOC, BORONGAN CITY EASTERN SAMAR</t>
  </si>
  <si>
    <t>Rental of Heavy Equipment P.R. No. 137 - DEPW</t>
  </si>
  <si>
    <t>Procurement of Fully Automated Digital Radiography Ceiling Mounted with Design and Build with Integrated Radiololy Information System (RIS)</t>
  </si>
  <si>
    <t>Procurement of One (1) unit Brand New MPV</t>
  </si>
  <si>
    <t>Procurement of Catering Services for the 4th Level Training 2020 CPH of PSA RSSO IX and the Provinces</t>
  </si>
  <si>
    <t>Preventive Maintenance Services for Various Hospital and Medical Equipment - SAH</t>
  </si>
  <si>
    <t>IMPROVEMENT OF THE GUANG-GUANG MANGROVE PARK</t>
  </si>
  <si>
    <t>PROCUREMENT OF FOUR (4) UNITS GENERATOR SET FOR THE PPSC HEAD OFFICE AND NPC SILANG</t>
  </si>
  <si>
    <t>20GA0141-Road Widening along Ibajay-Antique Road Ibajay-Antique Road - K0229 + (-176) – K0231 + 254, K0231 + 278 – K0231 + 297</t>
  </si>
  <si>
    <t>1	unit	6 Wheeler Brand New Garbage Compactor, PR # 207-20</t>
  </si>
  <si>
    <t>Procurement of office supplies of INREMP Kalinga for the First Semester CY-2020</t>
  </si>
  <si>
    <t>20OF0316 Construction/Rehabilitation of Water Supply/Septage and Sewerage/Rain Water Collectors-Rain Water Collectors in Public Facilities, Q.C.</t>
  </si>
  <si>
    <t>Improvement of Multi-purpose Hall,  Tubod Bacong, Negros Oriental</t>
  </si>
  <si>
    <t>Procurement of Chemicals, Laboratory Equipment &amp; Supplies</t>
  </si>
  <si>
    <t>DRRM COMMAND CENTER/CCTV CONTROL BUILDING - COMPLETION</t>
  </si>
  <si>
    <t>20OF0315 General Repair and Rehabilitation of the Main Building Roofing HREP Compound, Batasan Road, Brgy. Batasan Hills, Q.C.</t>
  </si>
  <si>
    <t>PROPOSED CONSTRUCTION OF CONCRETE PERIMETER FENCE</t>
  </si>
  <si>
    <t>IMPROVEMENT OF TOURISM INFRASTRUCTURE - PARKS</t>
  </si>
  <si>
    <t>Procurement of Aerial Vehicle (Drone) for Surveillance and Monitoring Device during Emergencies</t>
  </si>
  <si>
    <t>ITB 2020-06-74 Procurement of Food and Drinks for MCC</t>
  </si>
  <si>
    <t>Procurement of Spare Parts for the Repair and Maintenance of Transportation Equipment</t>
  </si>
  <si>
    <t>Municipal Sta. Rita Housing Project Phase II</t>
  </si>
  <si>
    <t>20OF0314 Repair/Repainting of Exterior Walls and Doors of House Members Offices in the North and Batasan Complex, Brgy. Batasan Hills, Q.C.</t>
  </si>
  <si>
    <t>SUPPLY AND DELIVERY OF DRONE &amp; IPAD MINI FOR OFFICIAL USE OF DENR TARLAC</t>
  </si>
  <si>
    <t>CONSTRUCTION OF OFFICE CUBICLE AND OFFICE EQUIPMENT, BRGY AMOT, BURDEOS, QUEZON</t>
  </si>
  <si>
    <t>Package 019- Construction of Material Recovery Facility &amp; Extension of Trading Post Building</t>
  </si>
  <si>
    <t>Invitation to Bid for the Procurement of One (1) Unit Passenger Van (converted into an ambulance and fitted with necessary medical equipment and apparatus) for the use in this municipality.</t>
  </si>
  <si>
    <t>SUPPLY AND INSTALLATION OF AGISOFT SOFTWARE FOR OFFICIAL USE OF DENR TARLAC</t>
  </si>
  <si>
    <t>Rehabilitation/Maintenance of Farm to Market Road</t>
  </si>
  <si>
    <t>20GG00017 - Procurement of Various IT Equipment for use of Cash Section - Administrative Division, DPWH Regional Office VI, Iloilo City</t>
  </si>
  <si>
    <t>Construction of Potable Water System, Brgy. Kanapawan, Labo, Camarines Norte</t>
  </si>
  <si>
    <t>PROCUREMENT OF SPARE PARTS FOR FARM TRACTOR-OMAG-1ST POSTING=PHP 327,100.00</t>
  </si>
  <si>
    <t>Construction of Multi-Purpose Hall (Phase 1)  Breeding Station Casisiitan, Minanga, San Mariano, Isabela</t>
  </si>
  <si>
    <t>Construction of Various Infrastructure Projects, San Mariano, Isabela</t>
  </si>
  <si>
    <t>Procurement of Personal Watercrafts with Trailer and Rescue Sled for Water Search and Rescue Operations</t>
  </si>
  <si>
    <t>Purchase of Gasoline</t>
  </si>
  <si>
    <t>20GAG0003- Furnishing of Materials, Furniture and Equipment  for the Completion of DPWH Main Building, DPWH Pangasinan 1st DEO, Alaminos City, Pangasinan</t>
  </si>
  <si>
    <t>Concreting of Roads Infront of Breeding Station, Barangay Minanga, San Mariano, Isabela</t>
  </si>
  <si>
    <t>Installation of Waste Water Treatment Facility at Consolacion Public Market, Cansaga,Consolacion, Cebu</t>
  </si>
  <si>
    <t>Supply and Delivery of Various Fingerlings</t>
  </si>
  <si>
    <t>Package 021- Construction of Interconnector of Buildings, Entrance/Exit gate, vault for Special Wastes &amp; Comfort Room</t>
  </si>
  <si>
    <t>Construction Of 1-Unit Tribal Hall</t>
  </si>
  <si>
    <t>SUPPLY AND DELIVERY OF ONE (1) UNIT MINI DUMPTRUCK (BRAND NEW) AND (1) UNIT MINI PAYLOADER (BRAND NEW) OF LGU POLILLO</t>
  </si>
  <si>
    <t>SUPPLY AND DELIVERY OF CONSTRUCTION MATERIALS FOR THE CONSTRUCTION OF CONCRETE DRAINAGE COVER (PERFORATED), BRGY. BUNTAY, DULAG LEYTE</t>
  </si>
  <si>
    <t>20GAG0002- Provision of Office Equipment and Accessories for the use of office Personnel at Pangasinan First District Engineering Office, Alaminos City, Pangasinan</t>
  </si>
  <si>
    <t>CONSTRUCTION OF INFRASTRUCTURE PROJECT, SAN MARIANO, ISABELA</t>
  </si>
  <si>
    <t>20GAG0001- Furnishing of Materials for the Completion of DPWH Main Building, DPWH Pangasinan 1st DEO, Alaminos City, Pangasinan</t>
  </si>
  <si>
    <t>20GKI0027 (Public Bidding) Contract Name: Purchase of Construction Materials and Other Various Items for use in the DPWH Office 		  (Hand Washing Facility) as a GAD Program</t>
  </si>
  <si>
    <t>SUPPLY AND DELIVERY OF STARTER KITS FOR DOLE DRESSMAKING, BAKING &amp; SMALL MOTOR ENGINE SERVICE (SMES) PROGRAM</t>
  </si>
  <si>
    <t>PROPOSED CONCRETING OF PAVEMENT AND COVERED DRAINAGE AT DIVISION OFFICE, BRGY. POBLACION OESTE, DAGUPAN CITY</t>
  </si>
  <si>
    <t>SUPPLY &amp; DELIVERY OF LIMESTONE FOR THE MAINTENANCE OF PROVINCIAL ROADS &amp; BRIDGES (MACHINE GRADING, REGRAVELLING SAND, GRAVEL&amp; LIMESTONE)</t>
  </si>
  <si>
    <t>20PI0092 - Constn/Rehab/Impvt of Waterworks, Brgy. Bontoc Ili, Poblacion and Calutit, Bontoc, Mountain Province</t>
  </si>
  <si>
    <t>INVITATION TO BID FOR THE SUPPLY AND DELIVERY OF FUEL AND LUBRICANTS FOR GARBAGE COLLECTION</t>
  </si>
  <si>
    <t>To provide materials, labor, fuel and equipment needed for the development of Bayawan City Waterfront Park (DBM-LGSF-FUND) (NP/PB 20-0672)</t>
  </si>
  <si>
    <t>20LA0336 Construction of Rainwater Collection System (RCWS), 1. Compostela valley State College, Compostela; 2. Compostela Valley Sports Complex, Compostela; 3. Tandawan Elementary School, New Bataan;</t>
  </si>
  <si>
    <t>ITB no. 2020-06-20 Supply and Delivery of various Fertilizers</t>
  </si>
  <si>
    <t>Invitation to Bid for the CONSTRUCTION OF STA. ISABEL CIP, Bato, Catanduanes</t>
  </si>
  <si>
    <t>Improvement of Drainage Line at Pulpogan II (along Municipal Road), Pulpogan, Consolacion, Cebu</t>
  </si>
  <si>
    <t>Supply and Delivery of Materials for the Construction and Upgrading of Potable  Water System</t>
  </si>
  <si>
    <t>20LA0335 Repair/Maintenance of San Jose Revetment (Tigbawan Creek) Montevista, Compostela Valley</t>
  </si>
  <si>
    <t>CONSTRUCTION OF ECCD LEARNING CENTER, SITIO COTO, BRGY. TALTAL, MASINLOC, ZAMBALES</t>
  </si>
  <si>
    <t>PROVISION OF POTABLE WATER SUPPLY FOR TOBACCO FARMERS OF SITIO SARAGCAO, MAAS-ASIN, MAGSINGAL, ILOCOS SUR</t>
  </si>
  <si>
    <t>ITB No. 2020-06-21 Supply and Delivery of Various Agricultural Supplies</t>
  </si>
  <si>
    <t>Rehabilitation of Solar Streetlights, Cory Aquino Boulevard, Camarines Norte</t>
  </si>
  <si>
    <t>Construction/Improvement of Drainage System of Libertad Public Market</t>
  </si>
  <si>
    <t>Purchase of Catering Services</t>
  </si>
  <si>
    <t>Procurement of Post Processing Software for FARO 3D Laser Scanner</t>
  </si>
  <si>
    <t>Construction of Rural Access Road</t>
  </si>
  <si>
    <t>SUPPLY AND DELIVERY OF SCHOOL SUPPLIES (REBID)</t>
  </si>
  <si>
    <t>Repair of Brgy.Mambog Baily Bridge</t>
  </si>
  <si>
    <t>20GIA004 Procurement of Instant Cold Mix Asphalt (Megacol) and Joint Sealant</t>
  </si>
  <si>
    <t>Package 018- Construction of Livelihood Center for DSWD Clients ( OFW, Solo Parents, PWDs, Women, &amp; AMMA) Phase 4</t>
  </si>
  <si>
    <t>INVITATION TO BID FOR SUPPLY AND DELIVERY OF TIRES AND BATTERIES FOR GOVERNMENT HEAVY EQUIPMENT USE</t>
  </si>
  <si>
    <t>Construction of Brgy. Health Station at Barangay Tabugon, Carles, Iloilo</t>
  </si>
  <si>
    <t>Package 020- Construction of Bridge to Memorial Park - Phase II</t>
  </si>
  <si>
    <t>20OF0313 Repair and Re-Painting of HREP Perimeter Fence Batasan Complex, Brgy. Batasan Hills, Q.C.</t>
  </si>
  <si>
    <t>Procurement of paints, lights and construction materials for the repair and maintenance of the Municipal Auditorium and Municipal Hall</t>
  </si>
  <si>
    <t>SUPPLY AND DELIVERY OF LIMESTONE FOR REHABILITATION OF BARANGAY ROADS OF 16 BARANGAYS  BALINTAWAK,EAST KIBAWE, GUTAPOL, KIORAO, LABUAGON, MARAPANGE,MASCARIÑAS, NATULONGAN, NEW KIDAPAWAN, OLD KIBAWE, P</t>
  </si>
  <si>
    <t>1	unit	6 Wheeler Brand New Garbage Compactor, PR # 208-20</t>
  </si>
  <si>
    <t>Procurement of Reference Books (Lot 1-7)</t>
  </si>
  <si>
    <t>2020-GOODS-04; SUPPLY OF DIESEL FUEL FOR USE IN THE SERVICE VEHICLES OF DPWH REGIONAL OFFICE XIII FOR 3RD QUARTER AND 4TH QUARTER OF CY 2020, J. ROSALES AVENUE, BUTUAN CITY</t>
  </si>
  <si>
    <t>PURCHASE OF OFFICE FURNITURE'S FOR THE OFFICE OF THE MAYOR AND SANGGUNIANG BAYAN</t>
  </si>
  <si>
    <t>Purchase of Computer set and Accessories</t>
  </si>
  <si>
    <t>PCADG-1060-2020 Procurement of Audio Equipment for PNP Media Center (Last Phase) (PIO)</t>
  </si>
  <si>
    <t>Construction/Improvement of Barangay Road (Phase II), Brgy. Tabas, Paracale, Camarines Norte</t>
  </si>
  <si>
    <t>Construction/Improvement/Widening of Box Culvert at Purok 4 in Brgy. San Miguel</t>
  </si>
  <si>
    <t>FOOD PACKS FOR THE STAFF IN CHARGE AND PUI’S AT THE MUNCIPAL QUARATINE CENTER RELATED TO LGU COVID 19 INTERVENTION ACTIVITIES FOR 60 DAYS</t>
  </si>
  <si>
    <t>20OF0312 Repair of Hallways and Ceiling at the South Wing Annex Building from the Second to the Fourth Floors, including Aluminum Swing Door Enclosures at the East and West Stairwells HREP Compound, B</t>
  </si>
  <si>
    <t>Procurement of Agricultural Machinery and Equipment</t>
  </si>
  <si>
    <t>Contract Package for the Concreting of Farm to Market Road with Stone Masonry, Barangay Pudoc West, Tagudin, Ilocos Sur</t>
  </si>
  <si>
    <t>Procurement of Backhoe Track Shoe Type</t>
  </si>
  <si>
    <t>SUPPLY &amp; DELIVERY OF DIESEL FOR ROAD ROLLER AND ROAD GRADER FOR THE MAINTENANCE OF PROVINCIAL ROADS &amp; BRIDGES (MACHINE GRADING, REGRAVELLING SAND, GRAVEL&amp; LIMESTONE)</t>
  </si>
  <si>
    <t>20PI0094 - Repair/Maintenance of: 1. DPWH Building Old DE's Quarters, Caluttit, Bontoc, Mountain Province</t>
  </si>
  <si>
    <t>Road Concreting at Sitio Antipolo, Jugan, Consolacion, Cebu</t>
  </si>
  <si>
    <t>20NA0069 Concreting of Brgy. Guinabsan FMR, Buenavista, Agusan del Norte</t>
  </si>
  <si>
    <t>CONSTRUCTION OF ECCD LEARNING CENTER, BRGY. STO ROSARIO, MASINLOC, ZAMBALES</t>
  </si>
  <si>
    <t>Road Rehabilitation of General Fullon Street to Zaldivar Street</t>
  </si>
  <si>
    <t>Provision of Sixteen (16) Sets Solar Streetlight at Brgy Estipona Local Access Road, Pura, Tarlac</t>
  </si>
  <si>
    <t>20KI0066 (Re-ad) - Construction of Multi-Purpose Building (Coastal Esplanade),  			  Brgy. Southern Poblacion &amp; Brgy. Northern Poblacion, Plaridel Misamis Ocidental</t>
  </si>
  <si>
    <t>SUPPLY AND DELIVERY OF FUEL FOR REHABILITATION OF BARANGAY ROADS OF 16 BARANGAYS</t>
  </si>
  <si>
    <t>RELOCATION OF THREE LOCAL HEROES MONUMENT</t>
  </si>
  <si>
    <t>CONSTRUCTION OF ECCD LEARNING CENTER, SITIO UBAT, BRGY. BALOGANON, MASINLOC, ZAMBALES</t>
  </si>
  <si>
    <t>Supply and Delivery of Various Furniture and Fixtures for the College of Human Ecology and Food Sciences</t>
  </si>
  <si>
    <t>20NA0068 Concreting of Brgy. Mahaba FMR, Cabadbaran City, Agusan del Norte</t>
  </si>
  <si>
    <t>REHABILITATION AND IMPROVEMENT OF POBLACION LICUAN-DOMINGLAY ROAD</t>
  </si>
  <si>
    <t>Procurement of Civil Works for the Expansion of Material Recovery Facility,  Brgy. Bukid (Ecopark), Barugo, Leyte</t>
  </si>
  <si>
    <t>Supply and Delivery of Various Office Equipment for the College of Human Ecology and Food Science</t>
  </si>
  <si>
    <t>Construction and Development of Auxiliary Source Water</t>
  </si>
  <si>
    <t>Procurement of Manlift Platform Truck with Folding Boom</t>
  </si>
  <si>
    <t>REPAIR AND REHABILITATION WORKS OF ELECTRICAL LINES AND PERIMETER LIGHTINGS CAUSED BY STY LAWIN AGGRAVATED BY STY OMPONG</t>
  </si>
  <si>
    <t>Supply Labor and Materials for the Expansion of Tabunok Covered Court of the Municipality of Tabuelan, Cebu</t>
  </si>
  <si>
    <t>Concreting of Barangay Roads at Balingasag, Sinapsapan, Jordan, Guimaras</t>
  </si>
  <si>
    <t>Repair of Government Facilities for use During the Operation of Covid 19 Pandemic</t>
  </si>
  <si>
    <t>Rescue Vehicle for MDRRMO Operation</t>
  </si>
  <si>
    <t>CONCRETING OF ACCESS ROAD (MATERIALS) AT CAMBUHAT</t>
  </si>
  <si>
    <t>Purchase &amp; Delivery of one (1) unit Brand New Rescue Vehicle</t>
  </si>
  <si>
    <t>20PI0095 - Concreting of Brgy. Agawa FMR, Brgy. Agawa, Besao, Mountain Province</t>
  </si>
  <si>
    <t>CONCRETING OF ACCESS ROAD (EQUIPMENT) AT CAMBUHAT</t>
  </si>
  <si>
    <t>Supply and Delivery of Various Agricultural Machinery and Equipment</t>
  </si>
  <si>
    <t>SUPPLY &amp; DELIVERY OF SAND &amp; GRAVEL FOR THE MAINTENANCE OF PROVINCIAL ROADS &amp; BRIDGES (MACHINE GRADING, REGRAVELLING SAND, GRAVEL&amp; LIMESTONE)</t>
  </si>
  <si>
    <t>20NA0071 Construction of Covered Court, Poblacion, Brgy. 1, Tubay, Agusan del Norte</t>
  </si>
  <si>
    <t>Purchase of Supplies for use in the Conduct of Automated Traffic Count along National Roads in Albay 2nd District</t>
  </si>
  <si>
    <t>Purchase &amp; Delivery of one (1) unit Brand New Boom Truck</t>
  </si>
  <si>
    <t>Construction of SK Office and Fitness Facility (Phase I) Public Auditorium, Barangay Magtaking, Bugallon, Pangasinan</t>
  </si>
  <si>
    <t>PR 9-20-04-0560, FOR THE USE OF SAN CARLOS CITY HOSPITAL, THIS CITY.</t>
  </si>
  <si>
    <t>Supply, Delivery and Installation of Various Furniture and Fixtures for Geographic Information System &amp; Indigenous Crops Laboratory</t>
  </si>
  <si>
    <t>Contract ID No. 19CSK00053 – Consulting Services for the Conduct of Soil Testing/Exploration for Bridge Projects - Geotechnical Investigation - Construction of Pigsuotan Bridge, Brgy. Mandulog, Iligan</t>
  </si>
  <si>
    <t>Const. of MRF</t>
  </si>
  <si>
    <t>SUPPLY AND DELIVERY OF COMPLETE FERTILIZER FOR RUBBER PLANTATION – MUNICIPAL WIDE, IMPASUGONG, BUKIDNON</t>
  </si>
  <si>
    <t>Supply and Delivery of Various I.T. and Office Equipment for Geographic Information System and Indigenous Crops Laboratory</t>
  </si>
  <si>
    <t>IB No.2020-06-30(05)Goods Cat I Med/Lab Supplies &amp; Reagents</t>
  </si>
  <si>
    <t>SUPPLY AND DELIVERY OF VARIOUS PRINTED FORMS, STICKERS AND TIN PLATES FOR THE PROJECT "REGISTRATION AND FRANCHISING OF TRICYCLES, PEDICABS AND E-TRIKES"</t>
  </si>
  <si>
    <t>Supply and Delivery of Various Laboratory Equipment for the College of Human Ecology and Food Sciences-Food Technology Department</t>
  </si>
  <si>
    <t>Drainage Improvement (Installation of 0.60m dia RCPC, Construction of manhole 12 units)</t>
  </si>
  <si>
    <t>PROCUREMENT OF VARIOUS PHARMACEUTICALS</t>
  </si>
  <si>
    <t>Road Concreting</t>
  </si>
  <si>
    <t>20FL0084-Rehabilitation/Construction of Road, Barangay Carayat, Prieto Diaz, Sorsogon,Sorsogon 2nd Legislative District</t>
  </si>
  <si>
    <t>20FL0078-Construction of Water Supply System, Barangay Bolo, Matnog, Sorsogon, Sorsogon 2nd Legislative District</t>
  </si>
  <si>
    <t>SUPPLY AND DELIVERY OF VARIOUS EQUIPMENT FOR THE UPGRADING OF CROP PROCESSING CENTER</t>
  </si>
  <si>
    <t>Proc of various MTPB uniforms, supplies and materials</t>
  </si>
  <si>
    <t>Renovation and Improvements of Boardwalk and Waiting Shed - Phase 1</t>
  </si>
  <si>
    <t>Supply and delivery of Hog Feeds to various MIC Farmer Associations in Leyte, ABC PHP18,453,380.00</t>
  </si>
  <si>
    <t>PROCUREMENT OF DRUGS AND MEDICINES FOR CHO USE</t>
  </si>
  <si>
    <t>PR 31-20-02-0344, FOR THE USE OF PUBLIC SCHOOLS STUDENTS OF DEPED DIVISION OF SAN CARLOS CITY NEGROS OCCIDENTAL.</t>
  </si>
  <si>
    <t>Repair/Rehab of Cansaga Bay Park (Bridge Under) located at Tayud, Consolacion, Cebu</t>
  </si>
  <si>
    <t>UPGRADING (EARTH TO CONCRETE) OF ROAD GAP ALONG MAMBABANGA - CONCEPCION ROAD</t>
  </si>
  <si>
    <t>Supply and delivery of 900 sets Galvanized Metal Layer Cages with 48 heads of ready-to-lay Pullets per set of cages, ABC PHP46,350,000.00</t>
  </si>
  <si>
    <t>PR 1-20-03-0520, FOR BANTAY DAGAT SEA BORNE PATROL OPERATION AND OTHER CRM RELATED ACTIVITIES.</t>
  </si>
  <si>
    <t>Contract ID No. 19CSK00055 – Consulting Services for the Conduct of Soil Testing/Exploration for Bridge Projects - Geotechnical Investigation - Construction of Concrete Bridge, Impasug-ong Bdry. Bukid</t>
  </si>
  <si>
    <t>Invitation to Bid for Const. of Two Storey Four Classroom Bldg. at Calantas ES, Brgy. Calantas, Calaca, Batangas</t>
  </si>
  <si>
    <t>Fabrication of 8 units Barangay MRF</t>
  </si>
  <si>
    <t>PR 18-20-04-0549, ROAD CONCRETING OF ROADWAYS &amp; IMPROVEMENT OF DRAINAGE WITH SIDEWALK OF ALL INTERIOR ROADS OF STAGES 1 &amp; 2 OF URBAN RELOCATION SITE, PHASE 4.</t>
  </si>
  <si>
    <t>Contract ID No. 19CSK00054 – Consulting Services for the Conduct of Soil Testing/Exploration for Bridge Projects - Geotechnical Investigation - Construction of Concrete Bridge, Magsaysay-Butuan City C</t>
  </si>
  <si>
    <t>Contract ID No. 19CSK00056 – Consulting Services for the Conduct of Soil Testing/Exploration for Bridge Projects - Geotechnical Investigation - Construction of Bridge, Cagayan de Oro Diversion Road, J</t>
  </si>
  <si>
    <t>20GID0016 - Supply and Delivery of Reflectorized Traffic Paints for use in Repainting of Bridges, Guardrails and Headwall within the 2nd District of Leyte</t>
  </si>
  <si>
    <t>“SUPPLY AND DELIVERY OF VARIOUS FIRST AID SUPPLIES AND MATERIALS”</t>
  </si>
  <si>
    <t>SUPPLY AND DELIVERY OF TWO (2) UNITS BRAND NEW SERVICE VEHICLES (PASSENGER VANS) FOR THE CITY GENERAL SERVICES OFFICE (REBID)</t>
  </si>
  <si>
    <t>CONCRETING OF PROVINCIAL ROAD, 500 meters FROM BARANGAY ILAYA TO BARANGAY SABANG EAST, BUGASONG (Ilaya-Sabang East, Bugasong, Antique)/IB. NO. K-2020-026(SC)</t>
  </si>
  <si>
    <t>CONSTRUCTION OF MULTI-PURPOSE CENTER/EVACUATION CENTER IN BARANGAY BUGNAY, VALDERRAMA (Brgy. Bugnay, Valderrama, Antique)/IB. NO. K-2020-025(SC)</t>
  </si>
  <si>
    <t>Rehabilitation of Brgy. Matho Access Road (Cortes,  Surigao del Sur ).</t>
  </si>
  <si>
    <t>Concreting of Roads - Cluster II Area</t>
  </si>
  <si>
    <t>20FO0098 - Construction of Multi-Purpose Building, Ligao City National Technical Vocational High School, Nasisi, Ligao City, Albay</t>
  </si>
  <si>
    <t>20FO0097 - Repair/Maintenance of: 1. DPWH Building, AES-Old Bay Area Storage, Paulog, Ligao City; 2. DOJ Main Building, Salvacion St., Sta. Cruz, Ligao City; 3. DA Building, Phil. Coconut Authority, B</t>
  </si>
  <si>
    <t>Concreting of Roads - Cluster I Area</t>
  </si>
  <si>
    <t>20FO0096 - Repair/Maintenance of Busac Flood Control along Cabilogan River, Busac, Oas, Albay</t>
  </si>
  <si>
    <t>SUPPLY AND DELIVERY OF TWO (2) UNITS BRAND NEW SERVICE VEHICLES (SPORTS UTILITY VEHICLES) FOR THE SANGGUNIANG PANLUNGSOD OFFICE (REBID)</t>
  </si>
  <si>
    <t>Concreting of Roads - Cluster III Area</t>
  </si>
  <si>
    <t>CONTRACT ID: 19-10-208 REBID- SUPPLY, DELIVERY, TESTING AND COMMISSIONING OF BRAND NEW AMBULANCE (TYPE I)</t>
  </si>
  <si>
    <t>Improvement of Buildings and Estates/Planning Office</t>
  </si>
  <si>
    <t>Rehabilitation of JNR – Bogak – Raja – Kabunsuhan Road (Lingig, Surigao del Sur  ).</t>
  </si>
  <si>
    <t>Construction of Three (3) Phase Primary Distribution Line for Tuguegarao City Slaughter House (Ipil-Ipil Street, Capatan, Tuguegarao City)</t>
  </si>
  <si>
    <t>2020-012 GOODS SUPPLY AND INSTALLATION OF SOLAR PANELS FOR THE SATELLITE POULTRY BREEDING PROJECT</t>
  </si>
  <si>
    <t>Supply and delivery pf Various Injectable Medicines for the different Hospitals in Leyte,10,274,000.00</t>
  </si>
  <si>
    <t>PROCUREMENT FOR THE SUPPLY AND DELIVERY OF MEDICAL SUPPLIES FOR JLGMH</t>
  </si>
  <si>
    <t>SUPPLY AND DELIVERY OF 3 UNITS MOTOR VEHICLES</t>
  </si>
  <si>
    <t>Supply &amp; Delivery of One Lot Consumables &amp; I.T Supplies 2020-151</t>
  </si>
  <si>
    <t>Contract ID No. 20GSK00012 - Supply and Installation of Office Furnitures &amp; Fixtures for use in the Road Right of Way New Office, Planning and Design Division</t>
  </si>
  <si>
    <t>Supply and delivery of various Medicines for the Leyte Provincial Health Caravan, ABC PHP 10,867,184.00</t>
  </si>
  <si>
    <t>Procurement of Power Supply System</t>
  </si>
  <si>
    <t>Supply and delivery of 330 heads Gilt and 22 heads Boar to various MIC Farmers Associations in Leyte, ABC PHP15,840,000.00</t>
  </si>
  <si>
    <t>LGU-COR. 2020-059</t>
  </si>
  <si>
    <t>“SUPPLY AND DELIVERY OF EMERGENCY AND RESCUE EQUIPMENT FOR FLOOD AND EARTHQUAKE”</t>
  </si>
  <si>
    <t>Supply and delivery of Poultry Feeds to Various Farmer - Associations in Leyte, ABC PHP5,064,000.00</t>
  </si>
  <si>
    <t>CONSTRUCTION OF CADIAO ROAD(Cadiao, Barbaza, Antique)/IB. NO. K-2020-054(SC)</t>
  </si>
  <si>
    <t>PROCUREMENT OF VEHICLE</t>
  </si>
  <si>
    <t>Repair of Parasanon National High School Multi-Purpose Building</t>
  </si>
  <si>
    <t>Rehabilitation of Tubo-Tubo – Mam-on Road (Cagwait, Surigao del Sur  ).</t>
  </si>
  <si>
    <t>CONTRACT FOR THE PROCUREMENT OF JANITORIAL SERVICES</t>
  </si>
  <si>
    <t>Construction of Masonry Drainage along Sampaguita Street (Panacal Village), Caggay-Tanza, Tuguegarao City</t>
  </si>
  <si>
    <t>Contract ID No. 20GSK00011 - Supply and Delivery of Office Supplies for the use in the Planning and Design Division for 2nd quarter, 2020</t>
  </si>
  <si>
    <t>CONSTRUCTION OF VARIOUS INFRASTRUCTURE PROJECTS FOR THE CITY OF NAVOTAS UNDER LGSF</t>
  </si>
  <si>
    <t>IB NO. 2020-06-30 (05) Goods Category II – Drugs and Medicines</t>
  </si>
  <si>
    <t>20PK0069 - Cluster 1 - Repair and Rehabilitation of Infrastructure Facilities and Other Related Activities - Flood Control and Drainage Systems, Structures and Related Facilities, Mabilong and Dangoy,</t>
  </si>
  <si>
    <t>Procurement of Fuel for use of the Service Vehicles of the City Government of Tarlac. B2020-074-A</t>
  </si>
  <si>
    <t>Concreting of Badong Feeder Road Phase II (Tago, Surigao del Sur  ).</t>
  </si>
  <si>
    <t>Procurement of various Medicines for the Animal Bite and Treatment Center of the City Government of Tarlac. B2020-073-A</t>
  </si>
  <si>
    <t>Procurement for the Supply, Delivery, Installation and Commissioning of 3D Printer for USTP-CDO</t>
  </si>
  <si>
    <t>CONSTRUCTION OF JIABONG FIRE STATION</t>
  </si>
  <si>
    <t>Invitation to Bid for Const. of Two Storey Two Classroom Bldg. at Puting Kahoy ES, Brgy. Puting Kahoy, Calaca, Batangas</t>
  </si>
  <si>
    <t>ROAD IMPROVEMENT AT SITIO MALBAGO, LUYANG, CARMEN, CEBU</t>
  </si>
  <si>
    <t>Contract ID No. 20GSK00010 - Supply and Installation for Air Conditioning Units for use in the Planning and Design Division (RROW), 1st Quarter</t>
  </si>
  <si>
    <t>PEO-20-0382-B CONCRETING OF STA. MONICA-CORDOVA ROAD  Oton, Iloilo</t>
  </si>
  <si>
    <t>ICT EQUIPMENT FOR EODB ONE STOP SHOP</t>
  </si>
  <si>
    <t>20PA0128 : CONCRETING OF BARANGAY BUDAC TO BARANGAY GADDANI FMR, Barangay Budac and Barangay Gaddani, Tayum, Abra</t>
  </si>
  <si>
    <t>NCB Publication No. 2020- 17 (First Publication)- Perimeter Fencing (Provincial Breeding Center)</t>
  </si>
  <si>
    <t>Melt Loading System</t>
  </si>
  <si>
    <t>Purchase of PPE, Isolation Building Equipment and Supplies, Testing Kits and Medicines</t>
  </si>
  <si>
    <t>20FO0099 - Construction of Multi-Purpose Building, Brgy. Sto. Cristo, Pio Duran, Albay</t>
  </si>
  <si>
    <t>SUPPLY AND DELIVERY OF LABOR AND MATERIALS FOR THE PROJECT CONSTRUCTION OF TAGABAS ILAYA LEVEL II POTABLE WATER SUPPLY SYSTEM, BRGY. TAGABAS ILAYA, CATANAUAN, QUEZON</t>
  </si>
  <si>
    <t>CONSTRUCTION OF PINABACDAO FIRE STATION</t>
  </si>
  <si>
    <t>Invitation to Bid for Const. of Two Storey Four Classromm Bldg. at P.A. Paterno MES, Brgy. Puting Bato East, Calaca, Batangas</t>
  </si>
  <si>
    <t>Invitation to Bid for Concreting of Barangay Road at Sitio Buliran, Lumbang na Matanda, Calaca, Batangas</t>
  </si>
  <si>
    <t>Medical Supplies for Re-Enlistment of Air Force City Personnel</t>
  </si>
  <si>
    <t>CONSTRUCTION OF 2-STOREY MUNICIPAL MULTI PURPOSE BUILDING</t>
  </si>
  <si>
    <t>REHABILITATION/IMPROVEMENT OF LEVEL III WATER SYSTEM</t>
  </si>
  <si>
    <t>Invitation to Bid for Const. of Two Storey Administration Bldg. at Puting Bato ES, Brgy. Puting Bato West, Calaca, Batangas</t>
  </si>
  <si>
    <t>20GHF0005 - Supply and Delivery of Spare Parts and Lubricants for the Preventive &amp; Corrective Maintenance of Service Vehicles, Heavy Equipment and Miscellaneous Equipment assigned in DPWH Cebu 3rd Dis</t>
  </si>
  <si>
    <t>Generators Set Type</t>
  </si>
  <si>
    <t>Spares for the Maintenance of C-295 Aircraft Nr 140 &amp; 142</t>
  </si>
  <si>
    <t>Conditional Spares for the Maintenance and Repair of Bell 412 and UH-1 Helicopters</t>
  </si>
  <si>
    <t>Supply and delivery of HARDWARE MATERIALS  RE: For Land Development of Relocation Site @, Brgy. Talaba</t>
  </si>
  <si>
    <t>PEO-19-1450-B (RE-BID) Construction of Various Water Systems in the 1st District of Iloilo Brgy. Cataan, San Joaquin; Brgy. Malagyan, Brgy. Maninila, Miag-ao, Iloilo</t>
  </si>
  <si>
    <t>CONSTRUCTION OF PADRE BURGOS FIRE STATION</t>
  </si>
  <si>
    <t>SUPPLY AND DELIVERY OF HDPE PIPES AND COMPRESSION FITTINGS</t>
  </si>
  <si>
    <t>IPH-19-1149-B (Re-Bid) Transformer and Wirings (Relocation of 3-units 75KVA Transformer and 2-unit Generator) Iloilo Provincial Hospital, Pototan, Iloilo</t>
  </si>
  <si>
    <t>CONCRETING OF IMAN STREET- BARANGAY MAGCAMIGUING</t>
  </si>
  <si>
    <t>SUPPLY AND DELIVERY OF LABOR AND MATERIALS FOR THE PROJECT, CONSTRUCTION OF STA. MARIA DAO LEVEL II POTABLE WATER SUPPLY SYSTEM, BRGY. STA. MARIA DAO, CATANAUAN, QUEZON</t>
  </si>
  <si>
    <t>20LD0129-Repair/Maintenance of Drainage along Davao-Cotabato Road (Camanchiles Section), K1574+400 to K1575+237.5, Davao del Sur</t>
  </si>
  <si>
    <t>CONSTRUCTION OF CANAL LINING AT TALISAYAN, BRGY. SAMPALOC IV, CITY OF DASMARIÑAS, CAVITE</t>
  </si>
  <si>
    <t>Supply and delivery of HARDWARE MATERIALS  RE: For Land Development of Local Economic Enterprise Compound @ New Slaughterhouse, Brgy. Talaba</t>
  </si>
  <si>
    <t>Invitation to Bid for Concreting of Barangay Road at Brgy. Coral ni Lopez, Calaca, Batangas</t>
  </si>
  <si>
    <t>Invitation to Bid for Rehabilitation/ Concreting of Road at Brgy. Matipok, Calaca, Batangas</t>
  </si>
  <si>
    <t>NCB Publication No. 2020- 18 (First Publication)- FMR Improvement at Sanafe</t>
  </si>
  <si>
    <t>Invitation to Bid for Construction of Slope Protection at Brgy. Makina, Calaca, Batanga</t>
  </si>
  <si>
    <t>VARIOUS  PROJECTS UNDER CLUSTER I-2020, KAYAPA, BAKUN, BENGUET</t>
  </si>
  <si>
    <t>Procurement of Hospital Engineering &amp; Facilities Management Unit (HEMU) Supplies and ICT Equipment</t>
  </si>
  <si>
    <t>Tailored Fit Uniform for Pre-Entry Training CY-2020</t>
  </si>
  <si>
    <t>Supply and Delivery of Materials to be used in the Installation/ Rehabilitation of Water System Level II &amp; III in Different Barangays, Naujan, Oriental Mindoro</t>
  </si>
  <si>
    <t>Spares and Services for the Repair and Maintenance of DLM Equipment</t>
  </si>
  <si>
    <t>Invitation to Bid for Const. of Stage with Dressing Room and Perimeter Fence at Brgy. Matipok, Calaca, Batangas</t>
  </si>
  <si>
    <t>IMPROVEMENT OF BRGY. HEALTH CENTER-BRGY. PALSARA, BALETE, BATS.</t>
  </si>
  <si>
    <t>INSTALLATION OF SOLAR STREET LIGHTS - BRGY. SOLIS, BALETE, BATANGAS</t>
  </si>
  <si>
    <t>2020-049 REHABILITATION OF BUREAU OF FIRE PROTECTION (BFP) BUILDING AT MUNICIPAL HALL COMPOUND, MIDSAYAP, COTABATO</t>
  </si>
  <si>
    <t>Furnishing of Labor, Materials, handtools and Equipment RE: Construction of Community Fish Landing Center, @Zone 4 Poblacion, Atimonan, Quezon</t>
  </si>
  <si>
    <t>INVITATION TO BID FOR THE Procurement of Five (5) Units of Fire Suppression System for ICT Equipment and Two (2) Units of Network Switch under the DOE CY2020 ISSP</t>
  </si>
  <si>
    <t>Furnishing of Labor, Materials, handtools and Equipment RE: Construction of Level II Potable Water Supply @ Brgy. Tagbakin Atimonan, Quezon</t>
  </si>
  <si>
    <t>Invitation to Bid for Const. of Three Storey Nine Classroom Bldg. at DGAES, Brgy. Dacanlao, Calaca, Batangas</t>
  </si>
  <si>
    <t>SUPPLY AND DELIVERY OF LABOR AND MATERIALS FOR THE PROJECT, CONSTRUCTION OF BRGY. TAGBACAN IBABA LEVEL II POTABLE WATER SUPPLY SYSTEM, BRGY. TAGBACAN IBABA, CATANAUAN, QUEZON</t>
  </si>
  <si>
    <t>Invitation to Bid for Const. of Two Storey "ALS" Building at Calaca Central ES, Brgy. 2, Calaca, Batangas</t>
  </si>
  <si>
    <t>Procurement of Various Airconditioning units and Supplies and Materials for Installation P.R. No. 159 - SAH</t>
  </si>
  <si>
    <t>PEO-19-1551-B Improvement of Various Water Systems in the 3rd District of Iloilo Brgy. Nasaka, Maasin; Brgy. Corot-on, Lambunao, Iloilo</t>
  </si>
  <si>
    <t>Invitation to Bid for Const. of Two Storey Four Classroom Bldg. at Calaca Central ES, Brgy. 2, Calaca, Batangas</t>
  </si>
  <si>
    <t>Invitation to Bid for Const. of Two Storey Four Classroom Bldg. at Talisay ES, Brgy. Talisay, Calaca, Batangas</t>
  </si>
  <si>
    <t>PEO-20-0613-B Concreting of JNR, Agtambo-Sto. Tomas- Nueva Union Road Passi City, Iloilo</t>
  </si>
  <si>
    <t>SUPPLY AND DELIVERY OF LABOR AND MATERIALS FOR THE PROJECT, CONSTRUCTION OF BRGY. NAVITAS LEVEL II POTABLE WATER SUPPLY SYSTEM, BRGY. NAVITAS, CATANAUAN, QUEZON</t>
  </si>
  <si>
    <t>2020-050, CONSTRUCTION OF BOX CULVERT AT PUROK 3, MILAYA, MIDSAYAP, COTABATO</t>
  </si>
  <si>
    <t>Hydraulic Mule</t>
  </si>
  <si>
    <t>REI 20CSCJ01 Consulting Services for the Conduct of Sub-surface Soil Exploration and Geotechnical Investigation for the  Construction of various Buildings and Other Structures in Tarlac.</t>
  </si>
  <si>
    <t>2020-051, SUPPLY AND DELIVERY OF ELECTRONIC DEVICES AND EQUIPMENT FOR EXPLOSIVE ORDNANCE DISPOSAL (EOD) UNIT AT LGU MIDSAYAP, COTABATO</t>
  </si>
  <si>
    <t>Contract I.D. No. 20OE0201 - Construction / Rehabilitation of Water Supply / Septage and Sewerage / Rain Water Collectors – Rain Water Collectors in Public Facilities – Construction of 16 Units Rainwa</t>
  </si>
  <si>
    <t>2020-039, CONSTRUCTION OF BAILEY BRIDGE CONNECTING PUROK 4 AND PUROK 5, POBLACION 5, MIDSAYAP, COTABATO</t>
  </si>
  <si>
    <t>20HI0060 - Construction of Multi-Purpose Building, Brgy. Maslog, Danao City, Cebu</t>
  </si>
  <si>
    <t>Contract I.D. No. 20OE0200 - MOOE – Maintenance, Repair and Rehabilitation of Infrastructure Facilities and Other Related Activities – Public Buildings – Repair / Maintenance / Rehab. –  DPWH Building</t>
  </si>
  <si>
    <t>20LC0153 - Locutan Bridge 1 (B00190MN) along Tagum － Panabo Circumferential Road</t>
  </si>
  <si>
    <t>Invitation to Bid for Const. of Two Unit Communal Toilets at DGANHS, Brgy. Dacanlao, Calaca, Batangas</t>
  </si>
  <si>
    <t>20HI0078 - Construction of Multi-Purpose Building, Barangay Estaca, Compostela, Cebu</t>
  </si>
  <si>
    <t>2020-036, CONSTRUCTION OF STEEL BRIDGE AT SITIO PANGPANG, PUROK 4, BARANGAY UPPER GLAD 1, MIDSAYAP, COTABATO</t>
  </si>
  <si>
    <t>Concreting of Brgy. Siling Bata to Brgy. Cacarong Matanda FMR, Brgy. Siling Bata and brgy. Cacarong Matanda, Pandi, Bulacan</t>
  </si>
  <si>
    <t>Concreting of Brgy. Tanawan to Brgy. Poblacion FMR, Brgy. Tanawan and Brgy. Poblacion, Bustos, Bulacan</t>
  </si>
  <si>
    <t>Concreting of Brgy. Catacte FMR, Brgy. Catacte, Bustos, Bulacan</t>
  </si>
  <si>
    <t>Proposed Street Lighting</t>
  </si>
  <si>
    <t>20HI0067 - Construction of Infirmary Hospital at Tudela, Cebu – Phase 1</t>
  </si>
  <si>
    <t>Construction of three storey nine classroom – Longos Elementary School, Malolos, Bulacan</t>
  </si>
  <si>
    <t>Construction of three storey twelve classroom – Bungahan Elementary School, Malolos, Bulacan</t>
  </si>
  <si>
    <t>Construction of three storey nine classroom – Pres. Corazon Cojuangco Aquino MNHS, Malolos, Bulacan</t>
  </si>
  <si>
    <t>Construction of three storey nine classroom – Tikay Elementary School, Malolos, Bulacan</t>
  </si>
  <si>
    <t>Construction of three storey nine classroom – Bulihan National High School, Malolos, Bulacan</t>
  </si>
  <si>
    <t>CONSTRUCTION OF SLOPE PROTECTION AND COMPLETION OF EVACUATION CENTER</t>
  </si>
  <si>
    <t>UPGRADING OF ELECTRICAL SYSTEM, PHASE I</t>
  </si>
  <si>
    <t>CONSTRUCTION OF INTEGRATED TERMINAL</t>
  </si>
  <si>
    <t>PROCUREMENT OF MINI-DUMP TRUCK</t>
  </si>
  <si>
    <t>Construction of four storey eight classroom – Lolomboy National High School, Bocaue, Bulacan</t>
  </si>
  <si>
    <t>Rehabilitation and Construction of Barangay Street Lights</t>
  </si>
  <si>
    <t>MDF CLUSTER 11-2020 PROJECT: REHABILITATION OF IRRIGATION CANAL AT CASDAN</t>
  </si>
  <si>
    <t>INVITATION TO BID FOR PROCUREMENT OF 8 LAPTOP UNITS, 1 HIGH-END VIDEO EDITING LAPTOP AND 20 DESKTOP UNITS</t>
  </si>
  <si>
    <t>Supply and Delivery of Plastic Melter for City ENRO</t>
  </si>
  <si>
    <t>Supply and Delivery of Medical Equipment for Community  Hospital</t>
  </si>
  <si>
    <t>Procurement of Computed Radiography Laser Imaging System(HFEP)</t>
  </si>
  <si>
    <t>Procurement of Ultrasound (HFEP)</t>
  </si>
  <si>
    <t>PROCUREMENT OF FURNITURE &amp; FIXTURES &amp; OTHER EQUIPMENT</t>
  </si>
  <si>
    <t>PH-NPC-162238-GO-RFB - Solar Home Systems (SHS) for Access to Sustainable Energy Project Philippines, Window 2</t>
  </si>
  <si>
    <t>REPAIR AND RENOVATION OF ADMINISTRATION BUILDING</t>
  </si>
  <si>
    <t>Procurement of Medicines and Medical Supplies</t>
  </si>
  <si>
    <t>INVITATION TO BID FOR THE ACQUISITION OF 55 UNITS LAPTOP FOR CY 2020</t>
  </si>
  <si>
    <t>Construction of two storey six classroom – Guiguinto Central School, Guiguinto, Bulacan</t>
  </si>
  <si>
    <t>INVITATION TO BID MESS FOODSTUFF LOT F. VEGETABLES LEGUMES AND DESSERT</t>
  </si>
  <si>
    <t>Procurement of Fertilizer and Insecticide</t>
  </si>
  <si>
    <t>MDRRMF CLUSTER 3-2020 PROJECT: REHABILITATION OF KM. 288-BETAC-WAGI ROAD</t>
  </si>
  <si>
    <t>INVITATION TO BID MESS FOODSTUFF LOT E. GROCERIES</t>
  </si>
  <si>
    <t>INVITATION TO BID MESS FOODSTUFF LOT G. COLD CUTS</t>
  </si>
  <si>
    <t>INVITATION TO BID MESS FOODSTUFF LOT C. POULTRY</t>
  </si>
  <si>
    <t>IB 2020-06-005 PORL Procurement of Operating Room Light 2020-05</t>
  </si>
  <si>
    <t>2020-TF-04: WATERWORKS SYSTEM PROJECT IN BARANGAY WESTERN UMA</t>
  </si>
  <si>
    <t>REHABILITATION OF BARANGAY STREET LIGHT</t>
  </si>
  <si>
    <t>REHABILITATION OF MABINI STREET</t>
  </si>
  <si>
    <t>IMPROVEMENT/ UPGRADING OF ABATAN- BAGNEN ROAD</t>
  </si>
  <si>
    <t>IMPROVEMENT/ UPGRADING OF BONTOC- MAINIT ROAD</t>
  </si>
  <si>
    <t>Installation / Rehabilitation of Street Lighting System &amp; Pathway (Plaza and Around the Church &amp; National Hiway from Tumagbok Bridge to Sapa Bridge), Poblacion Miagao</t>
  </si>
  <si>
    <t>IMPROVEMENT/ UPGRADING OF SADSADAN- CUBA ROAD</t>
  </si>
  <si>
    <t>Procurement of food supplies (meals and snacks)within Davao de Oro-B-20-0189</t>
  </si>
  <si>
    <t>Procurement of spareparts (heavy equipment)-B-20-0190</t>
  </si>
  <si>
    <t>INVITATION TO BID MESS FOODSTUFF LOT B. MEAT</t>
  </si>
  <si>
    <t>IMPROVEMENT/ UPGRADING OF MAMAGA- SACLIT ROAD</t>
  </si>
  <si>
    <t>SUPPLY AND DELIVERY OF BACKYARD GARDENING SUPPLIES AND ASSORTED VEGETABLE SEEDS</t>
  </si>
  <si>
    <t>CONCRETING OF BALACTASAN-PANG-ITAN ROAD, BRGY. BALACTASAN, MADALAG, AKLAN</t>
  </si>
  <si>
    <t>Widening of San Nicolas Road at Barangay San Nicolas, Floridablanca, Pampanga</t>
  </si>
  <si>
    <t>ONE JOB ORDER FOR LABOR AND MATERIALS FOR THE CONSTRUCTION OF DOH RO 7 (PHASE II),TANJAY GENERAL HOSPITAL AND DOH WAREHOUSE AT EVERSELY CHILDS SANITARIUM (BAC 2020-I01)</t>
  </si>
  <si>
    <t>Concreting (NRJ Camagong-Resettlement Site) Barangay Road, Brgy. Camagong</t>
  </si>
  <si>
    <t>Procurement of Food Supplies</t>
  </si>
  <si>
    <t>Procurement of Office Equipment</t>
  </si>
  <si>
    <t>Procurement of Milk and Vitamins</t>
  </si>
  <si>
    <t>Procurement of Surveying Equipment</t>
  </si>
  <si>
    <t>Construction of Multi-Purpose Building (Phase III), Brgy. Cubi-Cubi</t>
  </si>
  <si>
    <t>INVITATION TO BID MESS FOODSTUFF LOT A. RICE</t>
  </si>
  <si>
    <t>Procurement of Spare Parts</t>
  </si>
  <si>
    <t>LAYOUT AND PRINTING OF VARIOUS MANUALS under IB NO. 2020-183</t>
  </si>
  <si>
    <t>CONCRETING OF TAMBO BARANGAY ROAD, AYUNGON, NEGROS ORIENTAL</t>
  </si>
  <si>
    <t>CONCRETING OF SITIO KANLUKDUHAN, BARANGAY GOMENTOC, BARANGAY ROAD, AYUNGON, NEGROS ORIENTAL</t>
  </si>
  <si>
    <t>Procurement of Dermatology Equipment</t>
  </si>
  <si>
    <t>Construction of Five (5) Units Multi-purpose Building of Barangay Sta. Felomina, Kisante, Rodero, Cabilao &amp; Old Bulatukan</t>
  </si>
  <si>
    <t>(20LF0142) NRJ Salingcomot-Languyon Leading to Languyon Mangove Park, Brgy. Salingcomot, Baganga, Davao Oriental</t>
  </si>
  <si>
    <t>Supply of Labor and Materials for the Expansion of Distribution Lines for Water Supply At Brgy. Osiem, Mangaldan, Pangasinan</t>
  </si>
  <si>
    <t>CONCRETING OF JANDALAMANON BARANGAY ROAD, AYUNGON, NEGROS ORIENTAL</t>
  </si>
  <si>
    <t>UPGRADING OF POWER SYSTEM</t>
  </si>
  <si>
    <t>CONTINUATION OF THE REPAIR AND RENOVATION OF RESEARCH OFFICE / FTC (PHASE II)</t>
  </si>
  <si>
    <t>(20LF0141)NRJ San Isidro-Campawan Leading to Curtain Falls, Barangay Campawan, Baganga, Davao Oriental</t>
  </si>
  <si>
    <t>INVITATION TO BID FOR CONSTRUCTION OF ROAD (0.20M X 4.0M X 713M) AT BRGY. BUENAVISTA</t>
  </si>
  <si>
    <t>CONCRETING OF INACBAN BARANGAY ROAD, AYUNGON, NEGROS ORIENTAL</t>
  </si>
  <si>
    <t>INVITATION TO BID MESS FOODSTUFF LOT D. FRESH AND DRIED FISH</t>
  </si>
  <si>
    <t>Construction of Drainage System 88 Linear Meter at L. Cambonga St., Poblacion, Sibonga, Cebu</t>
  </si>
  <si>
    <t>CONCRETING OF KILABAN BARANGAY ROAD, AYUNGON, NEGROS ORIENTAL</t>
  </si>
  <si>
    <t>CLUSTER 1, 2, 3, 4, 5, 6, 7, 8, 9, 10, 11, 12 &amp; 13 - REPAIR/REHABILITATION OF CLASSROOMS/CONSTRUCTION OF SLOPE PROTECTION (CY 2020 QRF)</t>
  </si>
  <si>
    <t>(20-0167) HARDWARE SUPPLIES FOR EMS STORAGE AREA</t>
  </si>
  <si>
    <t>PROCUREMENT OF RESPONSE VEHICLE</t>
  </si>
  <si>
    <t>CONSTRUCTION OF SANITARY LANDFILL FACILITY, CELL 2 BRGY. KALYAAT</t>
  </si>
  <si>
    <t>Bidding for the Supply &amp; Delivery of Medicines for Municipal Health Office use</t>
  </si>
  <si>
    <t>Bidding for the Supply &amp; Delivery of Materials for Toilet Sanitation Program</t>
  </si>
  <si>
    <t>Procurement of Dog Trap in Support to Dog Termination Program</t>
  </si>
  <si>
    <t>Malinao Dam Improvement Project, Pacakge 2 (Const. of Lined Canal &amp; Canal Structures)</t>
  </si>
  <si>
    <t>PROCUREMENT OF VARIOUS FERTILIZERS</t>
  </si>
  <si>
    <t>Proposed Construction of Fence at Animal Pound OfficE, Brgy. San Gregorio, San Pablo City.</t>
  </si>
  <si>
    <t>Construction of Five (5) Units Multi-purpose Building of Barangay Saguing, Biangan, Indangan, New Baguio and Luayon</t>
  </si>
  <si>
    <t>COMPLETION OF TB DOTS</t>
  </si>
  <si>
    <t>Rehabilitation/Improvement of 32 Classroom School Building Rear Exterior, PGMNHS, Sta. Cruz, Laguna</t>
  </si>
  <si>
    <t>Supply and Delivery of One Hundred Fifty (150) units Smart Television</t>
  </si>
  <si>
    <t>Organic Fertilizer and Assorted Vegetable Seeds for Distribution to Households in the Province of Laguna as Food Security Measure for COVID-19 Pandemic</t>
  </si>
  <si>
    <t>Laboratory Supplies for LPH-Majayjay District Hospital No Balance Billing (NBB)</t>
  </si>
  <si>
    <t>Medicines for LPH-San Pablo City District Hospital</t>
  </si>
  <si>
    <t>Malinao Dam Improvement Project, Pacakge 1 (Const. of Sabo Dam &amp; Slope Protection)</t>
  </si>
  <si>
    <t>Procurement of Medical and Laboratory Supplies</t>
  </si>
  <si>
    <t>Proposed Construction of Four (4) Storey-Forty Four (44) Rooms – School Building and Facilities at JUAN SUMULONG ELEMENTARY SCHOOL – Phase 3</t>
  </si>
  <si>
    <t>SUPPLIES USED FOR AGRICULTURE OFFICE</t>
  </si>
  <si>
    <t>IMPROVEMENT OF PEOPLES CENTER/MPAC REBIDDING</t>
  </si>
  <si>
    <t>INSTALLATION OF STREETLIGHTS ALONG MALINAO RIVER EASEMENT (REBID)</t>
  </si>
  <si>
    <t>20L00171 : Repair/Maintenance of: I. DPWH Building Presidential Guest House Building DPWH – Region XI – Equipment Management Division; II. DPWH Building Annex Building (Cabinet Secretaries Holding Bui</t>
  </si>
  <si>
    <t>Elevated Water Tank at Birthing Center</t>
  </si>
  <si>
    <t>Procurement of Machineries, Equipment, Furniture’s and Fixtures for the University use at ESSU Main Campus</t>
  </si>
  <si>
    <t>CONSTRUCTION OF DAY CARE CENTER PHASE 2</t>
  </si>
  <si>
    <t>CONCRETING OF LINCONAN-LIKI ROAD</t>
  </si>
  <si>
    <t>Proposed Construction of City Veterinary Office at Brgy. San Gregorio, San Pablo City.</t>
  </si>
  <si>
    <t>20BE0087 - REPAIR/MAINTENANCE OF DOJ BUILDING NBI – MAIN BUILDING OSMEÑA, CITY OF ILAGAN, ISABELA</t>
  </si>
  <si>
    <t>Purchase of Personal Protective Equipment (PPE) For Electrical Division Personnel</t>
  </si>
  <si>
    <t>20BE0085 - CLUSTER II - REPAIR/MAINTENANCE OF PUBLIC  BUILDINGS (A) PNP-ISABELA POLICE PROVINCIAL OFFICE – BOQ 3 (B) PNP-ISABELA POLICE PROVINCIAL OFFICE-PIDMB BUILDING (C) PNP-ISABELA POLICE PROVINCI</t>
  </si>
  <si>
    <t>Supply, Delivery, Testing and Commissioning of Brand New Mobile Dental Vehicle under IB No. 2020-144</t>
  </si>
  <si>
    <t>Diesel, gas, and lubricants (PR No.100-2020-0781)</t>
  </si>
  <si>
    <t>Procurement of Two (2) Units of Water Tank Truck</t>
  </si>
  <si>
    <t>20BE0086 - CLUSTER III - REPAIR/MAINTENANCE OF PUBLIC BUILDINGS (A) CONSTITUTIONAL OFFICES BUILDING-CIVIL SERVICE COMMISSION BUILDING, ALIBAGU, CITY OF ILAGAN, ISABELA (B) DILG BUILDING PNP-ISABELA PO</t>
  </si>
  <si>
    <t>20BE0084 - CLUSTER I - REPAIR/MAINTENANCE OF PUBLIC  BUILDINGS (A) DPWH PLANNING &amp; DESIGN SECTION BUILDING (B)  DPWH MAIN BUILDING (C) DPWH  GUESTHOUSE BUILDING (D) DPWH  GARAGE BUILDING OSMEÑA, CITY</t>
  </si>
  <si>
    <t>20BE0083 - CONSTRUCTION OF RAINWATER COLLECTION SYSTEM (RWCS) CITY OF ILAGAN, TUMAUINI, CABAGAN, STO. TOMAS, DELFIN ALBANO, STA. MARIA &amp; SAN PABLO, ISABELA</t>
  </si>
  <si>
    <t>Medical Equipment (PR No. 100-2020-0756) ZSPH</t>
  </si>
  <si>
    <t>2 Units Service Vehicle (PR No. 100-2020-0736) PVGO</t>
  </si>
  <si>
    <t>GS 2020-04 CALIBRATION OF VARIOUS HEALTH CARE EQUIPMENT</t>
  </si>
  <si>
    <t>Termite/Pest Control Services for the Facilities of LPH-Luisiana District Hospital, LPH-Bay District Hospital, LPH-Nagcarlan District Hospital, LPH-San Pablo City District Hospital, LPH-Dr. J.P. Rizal</t>
  </si>
  <si>
    <t>PURCHASE OF FARM INPUTS FOR BANGUS FISH CULTURE/BANGUS PRODUCTION</t>
  </si>
  <si>
    <t>PURCHASE OF FARM INPUTS FOR TILAPIA FISH CULTURE/TILAPIA PRODUCTION</t>
  </si>
  <si>
    <t>Procurement of Supply &amp; Delivery of Banana Plantlet</t>
  </si>
  <si>
    <t>RE-BID SUPPLY AND DELIVERY OF TWO HUNDRED SIXTY FOUR (264) UNITS WEIGHING SCALE AND 4,000 BOTTLES MULTI-VITAMINS</t>
  </si>
  <si>
    <t>Procurement of Solar Lamp in Support to Youth Development</t>
  </si>
  <si>
    <t>1 Unit Newborn Hearing Screening Machine (PR No. 100-2020-0734) PMH</t>
  </si>
  <si>
    <t>CONCRETING OF LAMIGAN (ABURAO SECTION) BARANGAY ROAD AT AYUNGON, NEGROS ORIENTAL</t>
  </si>
  <si>
    <t>Local Road Upgrading (Improvement of Bato Road) Barangay Bato, Makilala, Cotabato</t>
  </si>
  <si>
    <t>Provision of Security Services (PR No. 100-2020-0806) PGO</t>
  </si>
  <si>
    <t>INVITATION TO BID NO. 2020-06-0013 PROCUREMENT OF ELECTRICAL SUPPLIES AND EQUIPMENT OF CAPSU SIGMA SATELLITE COLLEGE</t>
  </si>
  <si>
    <t>Delivery of Brand New Rescue Vehicle needed for Disaster (PNP) (NP/PB 20-0658)</t>
  </si>
  <si>
    <t>(20LF0140)Jct. San Antonio Baybay Leading to Creamsand Longbeach, Brgy. Baybay, Cateel, Davao Oriental</t>
  </si>
  <si>
    <t>IMPROVEMENT/REBLOCKING/SHOULDER/CANAL OF MUNICIPAL STREET- KAPITANA TIRAY STREET, DEGUIT STREET, TABURAZA STREET, ENARDECIDO STREET AND VILLANUEVA STREET, BRGY. POBLACION, AYUNGON, NEGROS ORIENTAL</t>
  </si>
  <si>
    <t>REHABILITATION OF JUDGE PIANG D. PAISO STREET</t>
  </si>
  <si>
    <t>Procurement of Laboratory Equipment (HFEP)</t>
  </si>
  <si>
    <t>ROAD CONCRETING OF MUNICIPAL CEMETERY ACCESS ROAD AT AYUNGON, NEGROS ORIENTAL</t>
  </si>
  <si>
    <t>RE-BID FOR PROJECT # 19 – 171–PROCUREMENT OF Acquisition of Road Right-of-Way (RROW) for East Road/West Road/ Government Center (PARCELLARY SURVEY FOR EAST ROAD) –Office of the City Mayor</t>
  </si>
  <si>
    <t>2020-19 Supply, Delivery &amp; Installation of Technical and Scientific Equipment for Both Campuses</t>
  </si>
  <si>
    <t>2020-18A Supply, Delivery &amp; Installation of Laboratory Equipment for Research &amp; Development Project-Bayombong Campus</t>
  </si>
  <si>
    <t>Construction of Temporary Office, Municipal Compound, Makilala, Cotabato</t>
  </si>
  <si>
    <t>SUPPLY AND DELIVERY OF EQUIPMENT, PAINTS AND OTHER MATERIALS FOR TRAFFIC SIGNAGE AND ROAD PEDXING</t>
  </si>
  <si>
    <t>ITB 20-03-142 - SUPPLY, DELIVERY AND INSTALLATION OF ICT EQUIPMENT FOR MONITORING OF PROJECT MITHI</t>
  </si>
  <si>
    <t>Provision of Security Services Requirements for the TESDA Central Office for FY 2020 - Rebidding</t>
  </si>
  <si>
    <t>2020-19 Supply &amp; Delivery of Medical Supplies for Both Campuses</t>
  </si>
  <si>
    <t>Construction of Riverbank Protection, Brgy. Frantilla, Miagao, Iloilo</t>
  </si>
  <si>
    <t>05-003-20 (PROCUREMENT of SECURITY SERVICES in Department of Agriculture IX)</t>
  </si>
  <si>
    <t>Installation of Survellance camera at Multi Purpose Hall, Brgy. Baley-Adaan, Alaminos City, Pangasinan</t>
  </si>
  <si>
    <t>CONSULTANCY SERVICES-PREPARATION AND APPROVAL OF COMPREHENSIVE LAND USE AND DEVELOPMENT PLAN OF THE CITY.</t>
  </si>
  <si>
    <t>2020-17A Procurement of Motor Vehicle-Bayombong Campus (2nd Advertisement)</t>
  </si>
  <si>
    <t>Supply &amp; Delivery of 2 Units Shuttle Bus</t>
  </si>
  <si>
    <t>ITB No. (INF) 2020-06-084 CONSTRUCTION/IMPROVEMENT OF STA. MARGARITA ROAD, Quinapondan, Eastern Samar</t>
  </si>
  <si>
    <t>ITB NO. (GDS)  2020-06-014 PROCUREMENT OF CONSTRUCTION MATERIALS FOR THE REHABILITATION &amp; MAINTENANCE OF HINOLASO – DAMPIGAN FMR, Dolores, Eastern Samar</t>
  </si>
  <si>
    <t>ITB No. (INF) 2020-06-083 CONSTRUCTION OF BUABUA – BALUD FARM-TO-MARKET ROAD, Salcedo, Eastern Samar</t>
  </si>
  <si>
    <t>ITB No. (INF) 2020-06-081 REPAIR/REHABILITATION OF SAURONG BRIDGE, Brgy. Saurong, Oras, Eastern Samar</t>
  </si>
  <si>
    <t>ITB No. (INF) 2020-06-080 CONSTRUCTION/IMPROVEMENT OF MAYTIGBAO – STO. TOMAS, Sulat, Eastern Samar</t>
  </si>
  <si>
    <t>Supply and Delivery of Diesel for the Rehabilitation of Roads Leading to Resettlement Sites of Earthquake-Affected Communities</t>
  </si>
  <si>
    <t>CONSTRUCTION/IMPROVEMENT OF IRRIGATION SYSTEM</t>
  </si>
  <si>
    <t>ITB No. (INF) 2020-06-085 CONSTRUCTION/IMPROVEMENT OF BRGY. SULONG ROAD, Can-avid, Eastern Samar</t>
  </si>
  <si>
    <t>Slope Protection Project, Brgy. Cagbang, Miagao, Iloilo</t>
  </si>
  <si>
    <t>MCP-June 2020</t>
  </si>
  <si>
    <t>Supply and Delivery of Office Furniture and Fixtures</t>
  </si>
  <si>
    <t>ITB No. (INF) 2020-06-082 ROAD CONCRETING OF MACAANGA ROAD, Brgy. Macaanga, Llorente, Eastern Samar</t>
  </si>
  <si>
    <t>Supply and Delivery of Two (2) Units Motorcycle</t>
  </si>
  <si>
    <t>2020-22 Supply, Delivery &amp; Installation of Printing Equipment and Supplies for the University</t>
  </si>
  <si>
    <t>2020-21 Supply, Delivery &amp; Installation of Laboratory Furniture and Fixture for Analytical Building</t>
  </si>
  <si>
    <t>Rehabilitation of Water System of Barangay Maparat</t>
  </si>
  <si>
    <t>Construction of Pumping Station located at Brgy. Villa Luna Cauayan City, Isabela</t>
  </si>
  <si>
    <t>Evaporation Kettle</t>
  </si>
  <si>
    <t>PROCUREMENT OF DRUGS AND MEDICINES FOR USE AT KALINGA PROVINCIAL HOSPITAL, 20-05-941</t>
  </si>
  <si>
    <t>Supply &amp; Delivery of Various Medicines (RFP 2020-03)</t>
  </si>
  <si>
    <t>Fabrication and Delivery of Fiberglass Motorized Fishing Boat</t>
  </si>
  <si>
    <t>CONTRACT FOR SECURITY SERVICES, UPM-SHS PALO LEYTE</t>
  </si>
  <si>
    <t>REHABILITATION OF TAGO TOWN HALL</t>
  </si>
  <si>
    <t>CONSTRUCTION/IMPROVEMENT OF MARKETS</t>
  </si>
  <si>
    <t>ITB No. (INF) 2020-06-079 CONCRETING OF BARANGAY ROAD, Brgy. 1, San Julian, Eastern Samar</t>
  </si>
  <si>
    <t>100-2020-05-695 Supply and delivery of 1 unit mixer truck euro IV 6x4 380hp 10m³, etc.</t>
  </si>
  <si>
    <t>Procurement of Service Provider for the Phase II of Enhanced Farmland Geographic Information System (FGIS Digitization of Parcellary Maps and Farmland Database Development)</t>
  </si>
  <si>
    <t>Purchase of 50 units Handheld Radios</t>
  </si>
  <si>
    <t>PROCUREMENT  OF ONE  (1) UNIT  BRAND NEW NON- REFRIGERATED CLOSE MEAT DELIVERY VAN</t>
  </si>
  <si>
    <t>Concreting of Barangay Road and Construction of Overflow, Brgy. Paro-on, Miagao, Iloilo.</t>
  </si>
  <si>
    <t>Hiring of a Service Provider particularly Media Agency to Develop a Media Plan and Procure Media Placements to Amplify the DOH COVID-19 Nationwide Community Campaign</t>
  </si>
  <si>
    <t>PROCUREMENT  OF TWO (2) UNITS  BRAND NEW MEDICAL AMBULANCE</t>
  </si>
  <si>
    <t>ITB No. (INF) 2020-06-088 CONSTRUCTION OF BRGY. ROAD, CANTEROS FARM-TO-MARKET ROAD, Can-avid, Eastern Samar</t>
  </si>
  <si>
    <t>Purchase of 50 sets uniforms for JERU, MDRRMO staffs and LCE</t>
  </si>
  <si>
    <t>20BF0057: Maintenance, Repair and Rehabilitation of Infrastructure Facilities and Other Related Activities - Public Buildings at Roxas, Isabela and Naguilian, Isabela</t>
  </si>
  <si>
    <t>SERVICE MAINTENANCE OF VARIOUS AIR-CONDITIONING (AC) UNITS OF THE DEPARTMENT OF AGRICULTURE – CENTRAL OFFICES (MAIN/NEW BUILDING) INCLUDING THE INFORMATION AND COMMUNICATIONS TECHNOLOGY SERVICE BUILDI</t>
  </si>
  <si>
    <t>ITB No. (INF) 2020-06-087 CONCRETING OF HOLLYWOOD TO BUNGTOD ROAD, Guiuan, Eastern Samar</t>
  </si>
  <si>
    <t>Supply, Delivery &amp; Installation of 15 Units Desktop Computers with SSD OS, Word Processing &amp; Antivirus Software</t>
  </si>
  <si>
    <t>PROCUREMENT OF TIRES</t>
  </si>
  <si>
    <t>Construction of Evacuation Center at Barangay Malvar, Naujan, Oriental Mindoro</t>
  </si>
  <si>
    <t>PB2020-06-004 GAA Waterproofing/Concrete Repair, Cleaning of Water Storage Tanks (Cistern/Elevated), Troubleshooting and Repair of Water Pumps (Rebid)</t>
  </si>
  <si>
    <t>PROVISION OF SECURITY SERVICES FOR CY2020</t>
  </si>
  <si>
    <t>Supply and Delivery of One (1) Unit Ambulance to be used in the Municipal Health Office, Naujan, Oriental Mindoro</t>
  </si>
  <si>
    <t xml:space="preserve">REQUEST FOR JOB ORDER: REPAIR AND REPAINTING OF MMTSD STAFFHOUSES, OFFICE, STOCKROOM AND LAWN FENCE JO No. F3138S3 (S3-MMT20-006) and REPAIR  AND  RENOVATION  OF  MMTSD LABORATORY ROOM JO No. F3139S3 </t>
  </si>
  <si>
    <t>Rehabilitation of Burgos Street</t>
  </si>
  <si>
    <t>REHABILITATION OF AMPATUA STREET</t>
  </si>
  <si>
    <t>PROVISION OF JANITORIAL SERVICES FOR CY2020</t>
  </si>
  <si>
    <t>(20LF0139)Junction Brgy. Old Macopa Centro to Sitio Madsayap, Brgy. Old Macopa, Connecting Manay Public Terminal to Abaca Processing and Corn Milling in Support to Agribusiness, Manay, Davao oOriental</t>
  </si>
  <si>
    <t>CONTINUATION OF LABORATORY CUM TRAINING CENTER FOR IHM AND TOURISM PROGRAM (PHASE II)</t>
  </si>
  <si>
    <t>IB 2020-06-006 PSS Procurement of Steam Sterilizer 2020-06</t>
  </si>
  <si>
    <t>IMPROVEMENT OF MUNICIPAL PARK</t>
  </si>
  <si>
    <t>ITB No. (INF) 2020-06-086 CONSTRUCTION/IMPROVEMENT OF BRGY. NAPARAAN TO ABEJAO ROAD, Salcedo, Eastern Samar</t>
  </si>
  <si>
    <t>One(1) Job Labor, Materials &amp; Equipment Rentals for the Concreting of Municipal Road of Guanco Street, Pototan, Iloilo</t>
  </si>
  <si>
    <t>PROCUREMENT OF EMERGENCY TRANSPORT VEHICLE</t>
  </si>
  <si>
    <t>20DC0206 - LOCAL PROGRAM, Local Infrastructure Program, Buildings And Other Structures, Multipurpose/Facilities, Construction of Multi-Purpose Building, San Nicolas, Batangas</t>
  </si>
  <si>
    <t>20DC0204 - LOCAL PROGRAM, Local Infrastructure Program, Buildings and Other Structures, Multipurpose/Facilities, Rehabilitation and Improvement of San Nicolas Municipal Building, San Nicolas, Batangas</t>
  </si>
  <si>
    <t>PROCUREMENT OF IT &amp; OTHER OFFICE EQUIPMENT</t>
  </si>
  <si>
    <t>20DC0203 - LOCAL PROGRAM, Construction/Repair/Rehabilitation/Improvement of Various Infrastructure including Local Projects, Buildings And Other Structures, Multipurpose/Facilities, Construction of Mu</t>
  </si>
  <si>
    <t xml:space="preserve">20DC0201 - LOCAL PROGRAM, Construction/Repair/Rehabilitation/Improvement of Various Infrastructure including Local Projects, Buildings And Other Structures, Multipurpose/Facilities, Rehabilitation of </t>
  </si>
  <si>
    <t xml:space="preserve">20DC0205 - LOCAL PROGRAM, Construction/Repair/Rehabilitation/Improvement of Various Infrastructure including Local Projects, Buildings And Other Structures, Multipurpose/Facilities, Rehabilitation of </t>
  </si>
  <si>
    <t>Construction of two storey six classroom – Lolomboy Elementary School, Bocaue, Bulacan</t>
  </si>
  <si>
    <t>IB_Cluster 15- Sewerage and Waste Water Facility and Boardwalk, Puerto Galera, Oriental Mindoro</t>
  </si>
  <si>
    <t>CONSTRUCTION OF SPORTS LIBRARY BUILDING</t>
  </si>
  <si>
    <t xml:space="preserve">20DC0202 - LOCAL PROGRAM, Construction/Repair/Rehabilitation/Improvement of Various Infrastructure including Local Projects, Buildings And Other Structures, Multipurpose/Facilities, Rehabilitation of </t>
  </si>
  <si>
    <t>CONSTRUCTION OF ONE CLASSROOM SCHOOL BUILDING (ALS)</t>
  </si>
  <si>
    <t>20HI0088 - Construction of Local Road, Brgy. Tayud, Liloan, Cebu</t>
  </si>
  <si>
    <t>CONSTRUCTION OF ONE CLASSROOM SCHOOL BUILDING (SPED)</t>
  </si>
  <si>
    <t>20HI0059 - Concreting of Road to Villahermosa Marine Sanctuary and Mangrove Ecopark, Tudela, Cebu</t>
  </si>
  <si>
    <t>Contract I.D. No. 20OE0199 - MOOE – Maintenance, Repair and Rehabilitation of Infrastructure Facilities and Other Related Activities – Public Buildings – Repair / Maintenance / Rehab. –  Office of the</t>
  </si>
  <si>
    <t>PROCUREMENT OF OFFICE SUPPLIES AND DEVICES</t>
  </si>
  <si>
    <t>Contract I.D. No. 20OE0198 - MOOE – Maintenance, Repair and Rehabilitation of Infrastructure Facilities and Other Related Activities – Public Buildings – Repair / Maintenance / Rehab. OP Building, Mul</t>
  </si>
  <si>
    <t>20HI0035 - Amancion Road Opening, Brgy. Amancion, Catmon, Cebu</t>
  </si>
  <si>
    <t>PROCUREMENT OF PICK-UP TRUCK</t>
  </si>
  <si>
    <t>CID No. 20GI00003 - Purchase/delivery of one (1) set Portable Weigh-In Motion System (with mobilization, manpower, equipment, project management, supervision including programming, testing and commiss</t>
  </si>
  <si>
    <t>CONCRETING OF ROAD - BRGY. SALA, BALETE, BATS.</t>
  </si>
  <si>
    <t>Invitation to Bid for Const. of Two Storey Six Classroom Bldg. at Matipok ES, Brgy. Matipok, Calaca, Batangas</t>
  </si>
  <si>
    <t>Supply and Delivery of One (1) Unit Brand New Mini Dump Truck for the use of Municipal Government of Calauag for Solid Waste Management</t>
  </si>
  <si>
    <t>PEO-20-0553-B Concreting of Aldeguer - Salcedo Road Sara, Iloilo</t>
  </si>
  <si>
    <t>RFQ - Supply and Delivery of PHilMech Group Accident Insurance Provider</t>
  </si>
  <si>
    <t>Construction of Evacuation Center at Barangay San Andres, Naujan, Oriental Mindoro</t>
  </si>
  <si>
    <t>IPH-19-616-B (Re-Bid) Construction of Pathological Tank, Vault for Sharps and Materials Recovery Facility for Iloilo Provincial Hospital  Pototan, Iloilo</t>
  </si>
  <si>
    <t>Concreting of Manggagawa Barangay Road - ITB 030-2020 GQ</t>
  </si>
  <si>
    <t>1 lot Catering Services</t>
  </si>
  <si>
    <t>Invitation to Bid for Const., of Two Storey Multi Purpose Bldg. at Cahil ES, Brgy. Cahil, Calaca, Batangas</t>
  </si>
  <si>
    <t>SUPPLY AND DELIVERY OF ONE (1) UNIT BRAND NEW SERVICE VEHICLE (PICK-UP) FOR THE SANGGUNIANG PANLUNGSOD OFFICE (REBID)</t>
  </si>
  <si>
    <t>PROCUREMENT FOR THE SUPPLY AND DELIVERY OF BASIC LIFE SUPPORT (BLS) TRAINING EQUIPMENT OF OLONGAPO CDRRMC</t>
  </si>
  <si>
    <t>PROVISION OF FUEL FOR ALL AUTHORIZED MOTOR VEHICLE OF THE DEPARTMENT OF AGRICULTURE  (DA) THROUGH THE USE OF FLEET CARDS FOR CALENDAR YEAR 2020</t>
  </si>
  <si>
    <t>Supply &amp; Delivery of Office Equipment for the use of NIA-Regional Office IX, NIA-Regional Office, Labangan, Zambo. Sur</t>
  </si>
  <si>
    <t>Procurement of Supply and Delivery of Wooden Arm Chair with Steel Frame</t>
  </si>
  <si>
    <t>20CG0141 - Various Repair and Improvement of Facilities of College of Computing Studies Building, Integrated HRM Building and CEP Building at Main Campus,  DHVSU, Bacolor, Pampanga</t>
  </si>
  <si>
    <t>Construction of 1 Classroom and 1 Computer Laboratory at Bungoy Elementary School</t>
  </si>
  <si>
    <t>Supply and Delivery of Various Laboratory Equipment for Food Processing Nutrition and Dietetics Department</t>
  </si>
  <si>
    <t>SUPPLY AND DELIVERY OF ONE (1) UNIT BRAND NEW SERVICE VEHICLE (PICK-UP) FOR THE CITY VETERINARY OFFICE (REBID)</t>
  </si>
  <si>
    <t>Upgrading and Improvement of Kuli-kuli Road 3</t>
  </si>
  <si>
    <t>Supply and delivery of 500 units High Density Utility Folding Bed, ABC PHP1,975,000.00</t>
  </si>
  <si>
    <t>20FL0085-Construction of Road Barangay Diamante, Prieto Diaz, Sorsogon, Sorsogon 2nd Legislative District</t>
  </si>
  <si>
    <t>Supply and Delivery of Materials for the Construction of Day Care Center</t>
  </si>
  <si>
    <t>20KI0087 Contract Name	: Repair/Maintenance of Palilan Revetment 2,  			  Brgy. Palilan, Jimenez Misamis Ocidental</t>
  </si>
  <si>
    <t>PROCUREMENT FOR THE SUPPLY AND DELIVERY OF RESCUE TOOLS AND EQUIPMENT FOR OLONGAPO DRRMO-OLONGAPO FIRE RESCUE</t>
  </si>
  <si>
    <t>Supply and Delivery of Petroleum for FY 2020</t>
  </si>
  <si>
    <t>Proc of various IT and Office Equipment</t>
  </si>
  <si>
    <t>LOCAL PROGRAM, LOCAL INFRASTRUCTURE PROGRAM, CONSTRUCTION OF MULTI PURPOSE BUILDING-PHASE 1 (MUNICIPAL HALL) AT DOLORES, QUEZON</t>
  </si>
  <si>
    <t>20PK0070 - Repair/Maintenance of DPWH Building, Quality Assurance Section Office Building, P-6, Bulanao, Tabuk City, Kalinga</t>
  </si>
  <si>
    <t>20LC0154 - Tanglaw Bridge 2 (B00187MN) along Tagum －Panabo Circumferential Road</t>
  </si>
  <si>
    <t>Procurement for the Supply, Delivery and Installation of Window Blinds and Office Furniture and Fixtures for Improvement of Government Building</t>
  </si>
  <si>
    <t>Construction of Seventy (70) Spans-Concrete Fence</t>
  </si>
  <si>
    <t>IMPROVEMENT OF MULTI-PURPOSE GYMNASIUM AT BARANGAY SAN GREGORIO, MALVAR BATANGAS</t>
  </si>
  <si>
    <t>20CG0140 - Various Improvement of Facilities of Mechanical Building, Automotive Building and Embankment Works including Spreading of Filling Materials at Mexico Campus,  Various Improvement of Facilit</t>
  </si>
  <si>
    <t>20PI0093 - Construction/Rehabilitation/Improvement of Various Footbridges, Brgy. Betwagan, Sadanga, Mountain Province</t>
  </si>
  <si>
    <t>CONSTRUCTION/IMPROVEMENT OF MULTI-PURPOSE BUILDING AT BARANGAY BAGONG POOK, MALVAR BATANGAS</t>
  </si>
  <si>
    <t>5020399000-241-2020</t>
  </si>
  <si>
    <t>20LC0152 - Jct. Tagum City Bypass Road － San Agustin － New Bohol, New Corella, leading to Matin-ao Inland Resort, New Corella, Davao del Norte</t>
  </si>
  <si>
    <t>5020305000-240-2020</t>
  </si>
  <si>
    <t>Procurement of Various Office Supplies-A</t>
  </si>
  <si>
    <t>5020399000-239-2020</t>
  </si>
  <si>
    <t>5020305000-238-2020</t>
  </si>
  <si>
    <t>Supply and Delivery of 1 Lot 5 Units Floor Standing Type 3.0 tons Inverter Air Conditioner and 10 units window type aircon.</t>
  </si>
  <si>
    <t>Road Network at Brgy. Luna, Ormoc City</t>
  </si>
  <si>
    <t>Repair &amp; Maintenance: Infrastructure Assets - Road Network along Milagro-Cabintan Brgy. Road At Brgy. Cabintan, Ormoc City</t>
  </si>
  <si>
    <t>IMPROVEMENT OF MULTI-PURPOSE GYMNASIUM AT BARANGAY SAN JUAN, MALVAR BATANGAS</t>
  </si>
  <si>
    <t>Source Development in Ressettlement Areas (Drilling of Water Well) at Brgy. Cagbuhangin, Ormoc City</t>
  </si>
  <si>
    <t>Expansion/Renovation (Clinical Laboratory/Blood Station, Emergency Room and PWD at Nurse Station), Calatrava Municipal Hospital, Calatrava, Negros Occidental /(PEO-2020-0413)</t>
  </si>
  <si>
    <t>Concreting of 400 Linear Meter Brgy. Bangko to Bulao Farm to Market Road</t>
  </si>
  <si>
    <t>Interior Fit-out of PNB 4th Floor, Lacson St., Bacolod City, Negros Occidental / (PEO-2020-0485)</t>
  </si>
  <si>
    <t>Supply/Delivery of Materials for the Repair/Replacement Installation of LED Street Lights along the National Highway at  Brgy. Salvacion, San Miguel, Cavite East, Cavite West and Arado, Palo, Leyte</t>
  </si>
  <si>
    <t>Concreting of 150 Linear Meter Sigayan to Bualan Farm to Market Road (AM Counterpart)</t>
  </si>
  <si>
    <t>Construction of Double Barrel Reinforced Concrete Box Culvert Phase I at Barangay Placer</t>
  </si>
  <si>
    <t>Concrete Paving of Guinpana-an – Alingasao Road, Moises Padilla, Negros Occ.  (Sta. 0+271.47 to 0+457.15, Sta. 0+998.28 to 1+122.98, Sta. 1+248.38 to 1+646.44)/PEO-2020-0603)</t>
  </si>
  <si>
    <t>Concrete Paving of Caningay-Balicotoc-Canlamay Road Phase II, Candoni, Negros Occidental /(PEO-2020-0070)</t>
  </si>
  <si>
    <t>Procurement of Materials for the Integrated Community Food Production (ICFP) Project</t>
  </si>
  <si>
    <t>FURNISHING OF LABOR AND MATERIALS FOR THE INSTALLATION OF DISTRIBUTION LINE AT ZONE 1 BARAS, CANAMAN, CAMARINES SUR (INFRA 2020-009)</t>
  </si>
  <si>
    <t>ADDITIONAL SCHOOL AND OFFICE SUPPLIES SHS</t>
  </si>
  <si>
    <t>CONSTRUCTION OF LOCAL ROAD/BRIDGE &amp; IMPLEMENTATION OF FLOOD &amp; EROSION CONTROL PROJECT BARANGAY PANGPANG, JANABAN COMPOUND, WEST DISTRICT, SORSOGON CITY</t>
  </si>
  <si>
    <t>REPAINTING OF SCHOOL GROUND SHS</t>
  </si>
  <si>
    <t>INSTALLATION OF WASTE MANAGEMENT FACILITY</t>
  </si>
  <si>
    <t>Concrete Paving of Sicaba Monte – Dalayapan Provincial Road, Rural Access (Road Upgrading), Brgy. Sicaba Monte, Manapla, Negros Occidental (STA 9+081.96 – STA. 9+441.96) / (PEO-2020-0745).</t>
  </si>
  <si>
    <t>SUPPLY, DELIVERY, AND INSTALLATION  OF VARIOUS ICT EQUIPMENT UNDER THE 2020 MITHI PROJECT</t>
  </si>
  <si>
    <t>Procurement of One (1) unit Service Vehicle  Pick-up</t>
  </si>
  <si>
    <t>Completion of Covered Court (Roofing Works) at Barangay Gomez</t>
  </si>
  <si>
    <t>CONSTRUCTION OF MULTI-PURPOSE BUILDING WITH WHARF AND LANDING AREA</t>
  </si>
  <si>
    <t>MG-ADM20-005..REPLACEMENT OF EXISTING STREET LIGHTING INSIDE NPC MINGEN MRC</t>
  </si>
  <si>
    <t>Public Bidding for the Supply and Delivery of Water Dispenser, Computer Set &amp; Plastic Chair for the Office of the Vice Governor, under ITB No. 2020-009R</t>
  </si>
  <si>
    <t>Repair of Multi-purpose Hall (Day Care 2) Brgy. Pangpang, West District, Sor. City</t>
  </si>
  <si>
    <t>MEALS FOR TEAM SUPERVISION</t>
  </si>
  <si>
    <t>Construction of Slope Protection at Brgy. Waygan Spillway, Mansalay, Oriental Mindoro</t>
  </si>
  <si>
    <t>2821-20 Procurement of Medical Oxygen</t>
  </si>
  <si>
    <t>MG-A5M20-001..AG4 SUPPLY, DELIVERY, INST., COMMISSIONING OF OIL-WATER SEPARATOR AT SUMP PIT</t>
  </si>
  <si>
    <t>Completion of Hanging Footbridge</t>
  </si>
  <si>
    <t>Procurement of Fuel, Oil &amp; Lubricants</t>
  </si>
  <si>
    <t>ITB NO. 2020-0013 Supply, Delivery, Installation, Testing, Commissioning and Training of Six (6) Units of  Audio Processors for the Manila, Zamboanga, Guimaras, Naga, and Cotabato Transmitter  Station</t>
  </si>
  <si>
    <t>Construction of Bridge at Sta. Maria, Mansalay, Or. Mindoro</t>
  </si>
  <si>
    <t>ITB NO. 2020-0011  Provision of Security  Services of People’s Television Network, Inc. Manila Office and its Provincial Station</t>
  </si>
  <si>
    <t>Procurement of One (1) unit Ambulance</t>
  </si>
  <si>
    <t>Supply &amp; Delivery of Electrical System &amp; Lighting Components (OCES)</t>
  </si>
  <si>
    <t>20-05-0545 Supply and Delivery of Materials for Intensive Tilapia Farming in Pond and Tank for the Fisherfolk beneficiaries in the Province of Leyte under SAAD Program 2020.</t>
  </si>
  <si>
    <t>Contract for the Concreting of Road Section at Purok 6 Rd. A (Sitjar Area) 300m, Brgy. Tibal - Og</t>
  </si>
  <si>
    <t>Improvement of Roadway &amp; Slope Protection &amp; Drainage</t>
  </si>
  <si>
    <t>MG-PLM20-015..REPLACEMENT OF POWERHOUSE STATION BATTERIES</t>
  </si>
  <si>
    <t>Development Center Fencing &amp; Water Tank &amp; Site Development</t>
  </si>
  <si>
    <t>REHABILITATION OF 8-UNITS COMFORM ROOM AT SANGLEY POINT NATIONAL HIGH SCHOOL, SAN ANTONIO, CAVITE CITY</t>
  </si>
  <si>
    <t>Supply &amp; Delivery of Medical Supplies for CDRRMO use (CDRRMO).</t>
  </si>
  <si>
    <t>CONSTRUCTION OF BARANGAY DAY CARE CENTER AT DALAHICAN ELEMENTARY SCHOOL, DALAHICAN, CAVITE CITY</t>
  </si>
  <si>
    <t>CONSTRUCTION OF 2-STOREY, 6-UNITS CLASSROOM BUILDING AT PORTA VAGA ELEMENTARY SCHOOL, SAN ROQUE, CAVITE CITY</t>
  </si>
  <si>
    <t>CONSTRUCTION OF 2-STOREY, 6-UNITS CLASSROOM BUILDING</t>
  </si>
  <si>
    <t>CONSTRUCTION OF SLAUGHTERHOUSE (PHASE IV), SAN ROQUE, CAVITE CITY</t>
  </si>
  <si>
    <t>Supply and delivery of Medical Oxygen/Flask Type/Compressed Air/Carbon Dioxide for the period July 1, 2020 to December 31, 2020 requirement of PCGH</t>
  </si>
  <si>
    <t>CONSTRUCTION OF BARANGAY DAY CARE CENTER AT STA. CRUZ ELEMENTARY SCHOOL, STA. CRUZ, CAVITE CITY</t>
  </si>
  <si>
    <t>CONSTRUCTION OF DRAINAGE SYSTEM ALONG DE LEON STREET JCT. P. BURGOS AVE.-J.FELIPE BLVD, CARIDAD, CAVITE CITY</t>
  </si>
  <si>
    <t>Installation of Automatic Fire Suppression System at Oriental Mindoro Southern District Hospital, Roxas, Or. Mindoro</t>
  </si>
  <si>
    <t>Construction of New Male Dormitory</t>
  </si>
  <si>
    <t>CONSTRUCTION OF BARANGAY DAY CARE CENTER AT ESTANSUELA ELEMENTARY SCHOOL, STA. CRUZ, CAVITE CITY</t>
  </si>
  <si>
    <t>Procurement of Two (2) units Rescue Vehicle for Barangays of LGU Laak, Davao De Oro</t>
  </si>
  <si>
    <t>Site Development of Bancasi Rotunda JCT BCI Highway and DOP Avenue-2nd Bidding</t>
  </si>
  <si>
    <t>20OI0120: Construction of Drainage System, Brgy. Tunasan, Muntinlupa City</t>
  </si>
  <si>
    <t>Installation of Additional Water System</t>
  </si>
  <si>
    <t>20-05-0550 Supply and Delivery of Materials for Aquaponics with Intensive Tilapia Culture System in all the Provincial Fishery Offices and Centers of BFAR 8 as Livelihood Support Project under the “Ah</t>
  </si>
  <si>
    <t>Construction of Barangay Health Station, Poblacion I, Hamtic, Antique</t>
  </si>
  <si>
    <t>Procurement of 1,000 Vial Rabies Vaccine(10 Dose/Vial),etc. under P.R.No. 1408-2020-Office of the City Veterinarian-2nd Bidding</t>
  </si>
  <si>
    <t>INVITATION TO BID FOR THE PROCUREMENT OF DRUGS &amp; MEDICINES FOR MUNICIPAL HEALTH CENTER VARIOUS PROGRAM-1st SEMESTER</t>
  </si>
  <si>
    <t>Construction of 1 Unit 3 Classroom Bldg at Gaboc Elementary School</t>
  </si>
  <si>
    <t>Public Bidding of 3 Lots for the Supply and Delivery of Fuel, Oil &amp; Lubricants for Equipment Pool Division, under ITB No. 2020-010R</t>
  </si>
  <si>
    <t>Purchase of one (1) Set Sand Separator / Filter bag housing for Pura Water System Pumping Station at Brgy Estipona, Pura, Tarlac</t>
  </si>
  <si>
    <t>Contract Labor and Materials for the Concreting of Toribio Suan Street, Laac (Pob.), Laak, Davao De Oro</t>
  </si>
  <si>
    <t>Construction of Streetlights (Procuring Entity: BLGU-Sto. Nino)</t>
  </si>
  <si>
    <t>Contract Labor and Materials for the Construction of Concrete Pavement of Public Night Market Stalls at Laac (Pob.), Laak, Davao De Oro</t>
  </si>
  <si>
    <t>20OI0119: Rehabilitation of Road, Brgy. Talon 1, Las Pinas City</t>
  </si>
  <si>
    <t>Procurement of Solar</t>
  </si>
  <si>
    <t>REGULAR HAULING OF RESIDUAL WASTE FROM MRF TO DENR ACCREDITED SANITARY LANDFILL</t>
  </si>
  <si>
    <t>Purchase of three (3) sets Sand Separator/ Filter bag housing for Pura Water System Pumping Station at Brgy Singat, Nilasin 2nd and Poblacion 3, Pura, Tarlac</t>
  </si>
  <si>
    <t>CONSTRUCTION OF 2-STOREY, 6 UNITS CLASSROOM BUILDING AT SAN LORENZO RUIZ ELEMENTARY SCHOOL, DALAHICAN, CAVITE CITY</t>
  </si>
  <si>
    <t>REPAIR AND REHABILITATION OF E-LIBRARY HUB AT LADISLAO DIWA ELEMENTARY SCHOOL, CARIDAD, CAVITE CITY</t>
  </si>
  <si>
    <t>Concreting of Pili - Banilad Road, Pinamalayan, Or Mindoro</t>
  </si>
  <si>
    <t>Procurement of Seven (7) units Rescue Vehicle for Barangays of LGU Laak, Davao De Oro</t>
  </si>
  <si>
    <t>INVITATION TO RE-BID FOR THE  SUPPLY AND DELIVERY OF COMPUTER NOTEBOOK PR Nos. 27619-001 to 27619-003</t>
  </si>
  <si>
    <t>20B00022: Organizational Outcome 1: Ensure Safe and Reliable National Road System: Bridge Program: Widening of Permanent Bridges: Minanga Bridge (B01129LZ) along Daang Maharlika (LZ) (Parallel Bridge)</t>
  </si>
  <si>
    <t>INVITATION TO RE-BID FOR THE  SUPPLY, DELIVERY, AND INSTALLATION OF FIRE SUPRESSION SYSTEM PR No. 27388-001</t>
  </si>
  <si>
    <t>ITB No. 20-22 Procurement of Medical Equipment (Re-bidding)</t>
  </si>
  <si>
    <t>INVITATION TO RE-BID FOR THE  SUPPLY AND DELIVERY OF GIS DESKTOP SOFTWARE PR No. 27611-001</t>
  </si>
  <si>
    <t>Purchase of Eight (8) units of Assualt Rifle for the use of Talisay PNP of the City of Talisay</t>
  </si>
  <si>
    <t>Provision of Solar Street Lighting at Centro 1 and Centro 2, San Guillermo, Isabela</t>
  </si>
  <si>
    <t>Supply and Delivery of One (1) Unit Passenger Van</t>
  </si>
  <si>
    <t>Construction of Road from Brgy. Talandang to Sitio Luman, New Valencia to Brgy. New Carmen, Tugbok District, Davao City</t>
  </si>
  <si>
    <t>Procurement of Seven (7) units Steel Goal with Ring &amp; Board and Complete Accessories for Barangay Langtud, Melale, Sto. Niño, Mangloy, Kidawa and Datu Ampunan - Laak, Davao De Oro</t>
  </si>
  <si>
    <t>SUPPLY AND DELIVERY OF MEDICAL, DENTAL AND LABORATORY SUPPLIES FOR VARIOUS DEPARTMENTS/OFFICES OF THE CITY GOVERNMENT OF MAKATI</t>
  </si>
  <si>
    <t>Procurement of One (1) Brand New Emergency Vehicle (DOH Standard Ambulance) of LGU Laak, Davao De Oro</t>
  </si>
  <si>
    <t>Electrical Equipment</t>
  </si>
  <si>
    <t>CY 2020 ENHANCED NATIONAL GREENING PROGRAM- HAULING OF SEEDLINGS UNDER MECHANIZED AND MODENIZED FOREST NURSERY per DENR-ENGP-MMFN-HAULING-2020-001</t>
  </si>
  <si>
    <t>Construction of Barangay Health Station, Poblacion 5, Hamtic, Antique</t>
  </si>
  <si>
    <t>Proposed Slaughterhouse</t>
  </si>
  <si>
    <t>SUPPLY AND DELIVERY OF MEDICAL EQUIPMENT ACCESSORIES FOR INFUSION PUMPS (JMS AND TERUMO BATTERIES)</t>
  </si>
  <si>
    <t>Local Access Road Upgrading</t>
  </si>
  <si>
    <t>20DJ0090-LOCAL PROGRAM, Construction/Repair/Rehabilitation/Improvement of Various Infrastructure including Local Projects, Rehabilitation of Multi-Purpose Building in Barangay Poblacion, San Antonio,</t>
  </si>
  <si>
    <t>Road Concreting at Barangay Sto. Niño, Tugbok District, Davao City</t>
  </si>
  <si>
    <t>SUPPLY, DELIVERY AND INSTALLATION OF LABORATORY INFORMATION SYSTEM (LIS) FOR OSPITAL NG MAKATI</t>
  </si>
  <si>
    <t>SUPPLY AND DELIVERY OF FABRICATED RECYCLABLE BINS</t>
  </si>
  <si>
    <t>INVITATION TO BID FOR: CONSTRUCTION OF EVACUATION CENTER PHASE VI – CORELLA, BOHOL</t>
  </si>
  <si>
    <t>REPAIR OF VARIOUS MEDICAL EQUIPMENT (2 LOTS)</t>
  </si>
  <si>
    <t>SUPPLY, DELIVERY AND INSTALLATION OF FURNITURE AND FIXTURES FOR THE CITY CIVIL REGISTRATION OFFICE</t>
  </si>
  <si>
    <t>PURCHASE OF DAIRY STOCKS UNDER P.R. NO. 50-20-05-042</t>
  </si>
  <si>
    <t>PRINTING OF MAKATI ANNUAL REPORTS 2019 WITH DOCUMENTARY ENVELOPE</t>
  </si>
  <si>
    <t>PURCHASE OF SUPPLIES AND MATERIALS FOR ACTIVITIES/PROGRAMS OF VARIOUS OFFICES/DEPARTMENTS OF THE CITY GOVERNMENT OF MAKATI</t>
  </si>
  <si>
    <t>CONSTRUCTION OF RIVER CONTROL AT BRGY. TABUNOK</t>
  </si>
  <si>
    <t>Road Concreting at Barangay Toril Poblacion, Toril District, Davao City</t>
  </si>
  <si>
    <t>DESIGN, LAYOUT AND PRINTING OF MAKATI TOURIST MAPS</t>
  </si>
  <si>
    <t>BPSU Abucay Campus: – Supply, Delivery and Installation of Laboratory Equipment and Facilities for the Rehabilitation of Old Engineering Building</t>
  </si>
  <si>
    <t>20DJ0095-LOCAL PROGRAM, Local Infrastructure Program, Construction of Multi-Purpose Building (Phase II), Brgy. Poblacion 6, Sariaya, Quezon</t>
  </si>
  <si>
    <t>PURCHASE OF DIESEL (Improvement/Rehabilitation of Pilot Road of NRJ Suminalum-Kitaan Dagat-Limamawan-Bogayo NRJ (Phase 1))</t>
  </si>
  <si>
    <t>20DJ0091-LOCAL PROGRAM, Construction/Repair/Rehabilitation/Improvement of Various Infrastructure including Local Projects, Rehabilitation of Multi-Purpose Building in Barangay Poblacion, Candelaria, Q</t>
  </si>
  <si>
    <t>Contract ID No. 20GP00033 - Purchase of Heavy Equipment and Service Vehicles for use of DPWH-CAR Regional Office LOT A: Heavy Equipment for Quick Response Equipment (QRE) LOT B: Service Vehicles for u</t>
  </si>
  <si>
    <t>PRINTING OF MATERIALS AND FORMS FOR VARIOUS DEPARTMENTS</t>
  </si>
  <si>
    <t>CONSTRUCTION OF EVACUATION CENTER &amp; MULTI-PURPOSE HALL - PHASE V AT BUGALLON PROPER, RAMON, ISABELA</t>
  </si>
  <si>
    <t>Purchase of Sustainable Agri-Fishery based Livelihood and other Agri-Fishery Business Investment (Corn Agribusiness)</t>
  </si>
  <si>
    <t>Procurement of Motor Vehicle (Passenger Van)</t>
  </si>
  <si>
    <t>Construction of Kulafu River Bridge at Barangay Magsaysay, Marilog District, Davao City</t>
  </si>
  <si>
    <t>SUPPLY AND DELIVERY OF BIRTHDAY CAKES FOR THE CITY EMPLOYEES THROUGH ORDERING AGREEMENT</t>
  </si>
  <si>
    <t>20DJ0092-LOCAL PROGRAM, Construction/Repair/Rehabilitation/Improvement of Various Infrastructure including Local Projects, Preventive Maintenance-Primary Roads, Daan Maharlika (LZ) K0118+224.00-K0118+</t>
  </si>
  <si>
    <t>PROPOSED REHABILITATION AND RENOVATION OF  REMAINING BASIC SCIENCE LABORATORIES SALCEDO HALL, COLLEGE OF MEDICINE UNIVERSITY OF THE PHILIPPINES MANILA</t>
  </si>
  <si>
    <t>INVITATION TO RE-BID FOR THE  SUPPLY, DELIVERY, AND INSTALLATION OF LOCAL AREA NETWORK (LAN) STRUCTURED CABLING IN THE NEW MSSD BUILDING, TALAMBAN, CEBU CITY PR No. 27608-001</t>
  </si>
  <si>
    <t>Supply and Delivery of 9,375 heads Free Ranged Chicken and 1,768 heads Ducks for use under Livestock and Poultry Program</t>
  </si>
  <si>
    <t>Supply and Delivery of Poultry Feeds for use under Livestock and Poultry Program</t>
  </si>
  <si>
    <t xml:space="preserve">20CSCE001-CONSULTING SERVICES FOR THE CONDUCT OF SOIL/GEOTECHNICAL INVESTIGATION FOR THE PROPOSED CONSTRUCTION OF VARIOUS MULTI-PURPOSE AND SCHOOL BUILDING PROJECTS WITHIN THE 1st AND 2nd LEGISLATIVE </t>
  </si>
  <si>
    <t>20CSCE002-CONSULTING SERVICES FOR THE CONDUCT OF SOIL/GEOTECHNICAL INVESTIGATION FOR THE PROPOSED CONSTRUCTION/REHABILITATION OF VARIOUS FLOOD CONTROL AND BRIDGE PROJECTS WITHIN THE 1st AND 2nd LEGISL</t>
  </si>
  <si>
    <t>PR-2020-05-100 CLA Supply &amp; Delivery of Photocopier for CTAS and Admin Offices</t>
  </si>
  <si>
    <t>PR-2020-05-116 Supply &amp; Delivery of ICT Equipment for the Laboratory Rooms &amp; Offices</t>
  </si>
  <si>
    <t>Improvement of Multipurposed Building at Brgy, Antipolo, Rizal, Laguna</t>
  </si>
  <si>
    <t>PROPOSED CONSTRUCTION OF COLUMBARIUM COMPLEX LOCATED AT KALAYAAN AVENUE CORNER N. GARCIA STREET, BARANGAY VALENZUELA, MAKATI CITY</t>
  </si>
  <si>
    <t>CW-APAYAO-LARIP-01-2020/ LOWER APAYAO RIVER IRRIGATION PROJECT</t>
  </si>
  <si>
    <t>20GH00002 Cluster - Supply and Delivery of Brand New Heavy Equipment, Trucks, and Service Vehicles for use of DPWH Regional Office VII for Dredging Activities and Quick Response Equipment (QRE)</t>
  </si>
  <si>
    <t>Re-Bidding of the Procurement for the Supply, Delivery, Installation and Commissioning of ICT Equipment for USTP-CDO (1st Quarter)</t>
  </si>
  <si>
    <t>Supply and Delivery of Plated Meals for Admitted Patients at Jose L. Amante Emergency Hospital for July to December 2020</t>
  </si>
  <si>
    <t>Construction of waiting shed (materials only</t>
  </si>
  <si>
    <t>20GHC0003- FURNISHING/SUPPLYING OF THE FOLLOWING LABORATORY EQUIPMENT FOR USE IN QUALITY ASSURANCE SECTION</t>
  </si>
  <si>
    <t>Rebid: Supply and Delivery of Various Drugs and Medicines for Community Hospital- 3  rd Quarter (GF- 2020)</t>
  </si>
  <si>
    <t>(2020-020-II) - Construction of Feed Mill Facility</t>
  </si>
  <si>
    <t>(2020-019-II) Procurement Of Five (5) Units Brand New Hauling Truck</t>
  </si>
  <si>
    <t>20PK0066 - Repair / Maintenance of DPWH Building, Area Parts and Component Building, P-6, Bulanao, Tabuk City, Kalinga</t>
  </si>
  <si>
    <t>(2020-018-II) - PROCUREMENT OF ONE (1) UNIT 45 hp 4WD FARM TRACTOR WITH DISC PLOW</t>
  </si>
  <si>
    <t>Supply and Delivery of Janitorial Services for Various Government Buildings</t>
  </si>
  <si>
    <t>Rebid: Supply and Delivery of Drugs and Medicines  for City Health Office-3  rd Quarter</t>
  </si>
  <si>
    <t>Procurement of Calibration Services</t>
  </si>
  <si>
    <t>20FL0083- Construction/Rehabilitation of Water Supply/Septage and Sewerage/Rain Water Collectors in Public Facilities, Sorsogon Second Congressional District</t>
  </si>
  <si>
    <t>Procurement of 9mm Case and Bullet</t>
  </si>
  <si>
    <t>PROCUREMENT OF OFFICE AND JANITORIAL SUPPLIES</t>
  </si>
  <si>
    <t>Procurement of Production Chemicals</t>
  </si>
  <si>
    <t>Installation of 120 Watts Solar Lights within Poblacion Area</t>
  </si>
  <si>
    <t>Construction of U-Ditch Canal with Cover (Re-Bid)</t>
  </si>
  <si>
    <t>QUARTERLY PREVENTIVE MAINTENANCE OF 194 MOTORVEHICLES</t>
  </si>
  <si>
    <t>San Vicente Farm to Market Road Concreting</t>
  </si>
  <si>
    <t>Procurement of 5 Units Rice Transplanter with accessories for distribution as production support to farmers in Ilocos Norte</t>
  </si>
  <si>
    <t>CONSTRUCTION OF PUBLIC CEMETERY</t>
  </si>
  <si>
    <t>PROCUREMENT OF 11 UNITS LAPTOP</t>
  </si>
  <si>
    <t>Procurement of 1 Unit Brand New Motor Grader for use of PEO for the Repair/Maintenance of various Provincial Road Projects</t>
  </si>
  <si>
    <t>Concreting of Local Road at Sitio Mahapo, Barangay Poblacion, Mansalay, Oriental Mindoro</t>
  </si>
  <si>
    <t>PROCUREMENT OF THREE (3) UNITS WATER PURIFIER WITH SOLAR BATTERY  AND 100 PIECES FILTER</t>
  </si>
  <si>
    <t>20M0096-101</t>
  </si>
  <si>
    <t>Procurement of Handheld Radio</t>
  </si>
  <si>
    <t>Rebid: Supply and Delivery of Various Drugs and Medicines including Anti-rabies Vaccines for Community Hospital- 3rd Quarter (GAD-2020)</t>
  </si>
  <si>
    <t>PROCUREMENT OF 50 LAPTOP COMPUTERS</t>
  </si>
  <si>
    <t>Contract ID: 20KH0045:Repair/Maintenance of Drainage System Along CDO – Airport – Bukidnon Road, K1443+800 – K1444+028, Cagayan de Oro City</t>
  </si>
  <si>
    <t>RFQ No. 20-074: Supply and Delivery of Various Laboratory Tissue Cassette (Line Items)</t>
  </si>
  <si>
    <t>20CSDM01 – Consultancy Services for the Conduct of Preliminary Detailed Engineering (Parcellary Survey) along Padre Burgos-Pototanin Road, Province of Quezon</t>
  </si>
  <si>
    <t>20CSDM02 – Consultancy Services for the Conduct of Preliminary Detailed Engineering (Parcellary Survey) along Missing Gap of San Francisco-San Andres-San Narciso Road, Province of Quezon</t>
  </si>
  <si>
    <t>SUPPLY AND DELIVERY OF VARIOUS WATER SERVICE CONNECTION MATERIALS FOR 2ND QUARTER PROCUREMENT OF CY 2020</t>
  </si>
  <si>
    <t>SUPPLY AND DELIVERY OF CAMSHAFT WITH DRIVE GEAR FOR 500KW CXZ MAN DIESEL, 6L20/27 INTENDED FOR LORETO DIESEL POWER PLANT</t>
  </si>
  <si>
    <t>Procurement of Laptop Computers and Rack Mounted Servers</t>
  </si>
  <si>
    <t>SUPPLY AND DELIVERY OF ELECTRICAL SPARES FOR 163KW DALE PERKINS (MODEL: EM222/DRR) AND 160KW FG WILSON (MODEL: 1606A-E93TAG4), LOT AWARD</t>
  </si>
  <si>
    <t>SUPPLY AND DELIVERY OF MECHANICAL SECURITY PARTS FOR 163KW PERKINS (MODEL: 2006-TG1), 160KW FG WILSON (MODEL:1606A-E93TAG4), 80KW FG WILSON (MODEL: 1106A-70TAG2), LOT AWARD</t>
  </si>
  <si>
    <t>20PK0067 - Repair/Maintenance of DPWH BUILDING, AES Office-Repair Bay and Planning Office, P-6 Bulanao, Tabuk City, Kalinga</t>
  </si>
  <si>
    <t>Supply and Delivery of Trash Bags (1 lot) (Republication)</t>
  </si>
  <si>
    <t>INVITATION TO BID FOR THE CONSTRUCTION OF DORMITORY III (MALE) REBID (Design and Build)</t>
  </si>
  <si>
    <t>Construction of Tanjay City Adolescent Friendly Health Service Center at Barangay Sta. Cruz Viejo</t>
  </si>
  <si>
    <t>SUPPLY AND DELIVERY OF ELECTRICAL SPARE PARTS FOR STANFORD GENERATING SET, LOT AWARD INTENDED FOR KALAMANSIG DIESEL POWER PLANT</t>
  </si>
  <si>
    <t>SUPPLY AND DELIVERY OF ELECTRICAL SPARE PARTS FOR DALE (EM:2006-TAG) &amp; FG WILSON (EM:1606A-E93TAG4; EM:1106A-70TAG2) GENSETS, LOT AWARD</t>
  </si>
  <si>
    <t>SUPPLY AND DELIVERY OF MECHANICAL SPARE PARTS FOR KTA38-G1 SECURITY PARTS EN:41238155 AND SN:SO66416, LOT AWARD INTENDED FOR KALAMANSIG DIESEL POWER PLANT</t>
  </si>
  <si>
    <t>COMPLETION OF EVACUATION/MULTI-PURPOSE CENTER IN BARANGAY SAN ISIDRO SUR</t>
  </si>
  <si>
    <t>FEEDS SUPPLY FOR VARIOUS FARMS OF SAGAY CITY (DAIRY, 	RICKY &amp; POULTRY FARMS)</t>
  </si>
  <si>
    <t>Labor and Materials for the Concreting of Road (Bypass Road) at Brgy. Sta Rita - Brgy. San Francisco, Concepcion, Tarlac</t>
  </si>
  <si>
    <t>Upgrading of Alley w/ Improvement of Drainage Canal Int. Davila St., (Near Totoy Bidang Res.) brgy. Navotas West, Navotas City</t>
  </si>
  <si>
    <t>SUPPLY AND DELIVERY OF MECHANICAL SPARE PARTS FOR 200KW CUMMINS GENSET (EN:6LTAA8.9-G3 SN:78545489), LOT AWARD INTENDED FOR TALICUD DIESEL POWER PLANT</t>
  </si>
  <si>
    <t>Construction of San Fabian Small Water Impounding System (SWIS)</t>
  </si>
  <si>
    <t>SUPPLY AND DELIVERY OF MECHANICAL SPARE PARTS INTENDED FOR UNIT 3, 260KW DALE PERKINS AT NINOY AQUINO DPP, LOT AWARD</t>
  </si>
  <si>
    <t>EXTENSION OF MULTI-PURPOSE HALL</t>
  </si>
  <si>
    <t>20HA0130 - CONSTRUCTION OF CATIGBIAN WATER SUPPLY, CATIGBIAN, BOHOL</t>
  </si>
  <si>
    <t>Construction of Bansing Small Water Impounding System (SWIS)</t>
  </si>
  <si>
    <t>CONSTRUCTION OF DRAINAGE &amp; PROVISION OF COVER (at Brgy. Pandacan)</t>
  </si>
  <si>
    <t>SUPPLY AND DELIVERY OF CURRENT TRANSFORMER SPARES FOR SPUG MINDANAO DIESEL POWER PLANT, LOT AWARD</t>
  </si>
  <si>
    <t>REPAIR/RENOVATION OF PERIMETER FENCE AT OMSC LABANGAN SHS</t>
  </si>
  <si>
    <t>Procurement of Drugs and Medicines (Re-bid)</t>
  </si>
  <si>
    <t>Well Drilling Project</t>
  </si>
  <si>
    <t xml:space="preserve">20GKI0026 (Public Bidding) Contract Name: Furnishing of Materials for Work Category No. 10 – Pavement Maintenance 		  Act. 111 – Premix Patching of Bituminous Pavement along National Primary Roads 		 </t>
  </si>
  <si>
    <t>Construction of Cabuaan Small Water Impounding System (SWIS)</t>
  </si>
  <si>
    <t>Construction of Banila Small Water Impounding System (SWIS)</t>
  </si>
  <si>
    <t>Construction of Villaflores Small Water Impounding System (SWIS)</t>
  </si>
  <si>
    <t>BARANGAY  ROAD CONCRETING AT GUIMBAWIAN</t>
  </si>
  <si>
    <t>Procurement of Various Construction Supplies and Materials-06-321(O)PEO</t>
  </si>
  <si>
    <t>20GKI0024 (Public Bidding) (Re-ad) Contract Name: Furnishing of Materials for Work Category No.18 – Traffic Services Maintenance Act. 303 – Guardrail Maintenance, Districtwide, Misamis Occidental 1st</t>
  </si>
  <si>
    <t>REPAIR AND MAINTANNCE OF MITSUBISHI STRADA</t>
  </si>
  <si>
    <t>Supply, Delivery and Installation of Digital X-Ray  Machine for Community Hospital</t>
  </si>
  <si>
    <t>Supply and Delivery of Medical and Laboratory  Supplies for Community Hospital- GAD 2020</t>
  </si>
  <si>
    <t>Supply, Delivery, Installation, and Commissioning of One (1) Unit Fully Automated System for Coagulation</t>
  </si>
  <si>
    <t>Concreting of Alley Road  at Sitio Batog</t>
  </si>
  <si>
    <t>Supply and Delivery of Medical and Laboratory  Supplies for Community Hospital- GF 2020</t>
  </si>
  <si>
    <t>Construction of Drainage Line Canal and Access Road at Pintuyan Eco-Park and Resort</t>
  </si>
  <si>
    <t>Concreting of Alley Road at Sitio Capacuan</t>
  </si>
  <si>
    <t>20GM0079 - Concreting of Brgy. Abaca FMR, Brgy. Abaca, Cauayan, Negros Occidental</t>
  </si>
  <si>
    <t>20GM0078 - Concreting of Zone 2 to Sitio Cantukong, Brgy. Manlucahoc FMR, Brgy. Manlucahoc, Sipalay City, Negros Occidental</t>
  </si>
  <si>
    <t>Procurement of Farm Equipment</t>
  </si>
  <si>
    <t>Upgrading of Alley w/ Improvement of Drainage Canal Int. Davila St. (Near Echol) Brgy. Navotas West, Navotas City</t>
  </si>
  <si>
    <t>Construction of Canabay Small Water Impounding System (SWIS)</t>
  </si>
  <si>
    <t>20GKI0017 (Public Bidding) (Re-ad) Contract Name: Supply of Customized Binder and other Various Items for use in the DPWH Office</t>
  </si>
  <si>
    <t>20GM0077 - Concreting of Sitio Piliopiliohan, Brgy. Inapoy FMR, Brgy. Inapoy, Kabankalan City, Negros Occidental</t>
  </si>
  <si>
    <t>OPENING OF FARM TO MARKET ROAD</t>
  </si>
  <si>
    <t>20GM0073 - Concreting of Purok Cordova, Brgy. Bocana FMR, Brgy. Bocana, Ilog, Negros Occidental</t>
  </si>
  <si>
    <t>Supply and Delivery of Five (5) sets High Availability Firewall Appliance (2 paired units)</t>
  </si>
  <si>
    <t>Concreting of Roads in Different Barangays  (Panikian to Magtibay), Naujan, Oriental Mindoro</t>
  </si>
  <si>
    <t xml:space="preserve">20GKI0025 (Public Bidding) (Re-ad) Contract Name: Furnishing of Materials for Work Category No.18 – Traffic Services Maintenance 		  Act. 302 – Centerline &amp; Lane Line Repainting (Reflectived Pavement </t>
  </si>
  <si>
    <t>20PF0066: Repair and Maintenance of Road Safety Facilities</t>
  </si>
  <si>
    <t>Concreting of Farm to Market Road (Tubigan)</t>
  </si>
  <si>
    <t>Agricultural Service Support</t>
  </si>
  <si>
    <t>Delivery of labor and materials for the Improvement of Evacuation Center at Barangay Dila, Bay, Laguna for their implementation of 20% Economic  Development Fund (C.Y. 2020)</t>
  </si>
  <si>
    <t>SUPPLY AND DELIVERY OF ELECTRICAL SPARES FOR LEROY SOMER AT PALIMBANG DPP, LOT AWARD</t>
  </si>
  <si>
    <t>IMPROVEMENT/REHABILITATION OF PUBLIC MARKET</t>
  </si>
  <si>
    <t>CONSTRUCTION OF SLOPE PROTECTION-SAN JULIAN</t>
  </si>
  <si>
    <t>20GG00016 - Procurement of Safety and Emergency Equipment for use in the Quick Response Operation for the Big One Earthquake, DPWH Regional Office VI, Iloilo City</t>
  </si>
  <si>
    <t>Const. of MP Facility (Covered Court) @ Barangay Minsapinit, Gingoog City, Mis. Or. under Contract Ref. No. 2020-INFRA-038</t>
  </si>
  <si>
    <t>Installation of Street Lightings</t>
  </si>
  <si>
    <t>CATERING SERVICES FOR HEALTH EMERGENCY MONITORING</t>
  </si>
  <si>
    <t>REPAIR OF TWO STOREY 12-CLASSROOM BUILDING (GREGORIO DEL PILAR) AND REPAIR OF GYMNASIUM AT OMSC LABANGAN</t>
  </si>
  <si>
    <t>Supply and Delivery of Medical, Dental and Laboratory Supplies for City Health Office</t>
  </si>
  <si>
    <t>Construction of Two Storey Multi-Purpose Building Macad, Pasacao,  Camarines Sur</t>
  </si>
  <si>
    <t>Construction of Covered Canal @ Barangay 9, Gingoog City, Mis. Or. under Contract Ref. no. 2020-INFRA-037</t>
  </si>
  <si>
    <t>Construction of CAMSUR Environmental Laboratory Capitol Complex, Cadlan, Pili, Camarines Sur</t>
  </si>
  <si>
    <t>20GM0076 - Concreting of Brgy. Baclao FMR, Brgy. Baclao, Cauayan, Negros Occidental</t>
  </si>
  <si>
    <t>TOBACCO FARMERS EQUIPMENT ASSISTANCE</t>
  </si>
  <si>
    <t>Adv. 20-007 Supply and Delivery of Various Medical Supplies, for use in Cebu Provincial Health Office</t>
  </si>
  <si>
    <t>CONSULTANCY SERVICES FOR SAMAR URBAN DEVELOPMENT PLAN</t>
  </si>
  <si>
    <t>CONSTRUCTION OF DAY CARE CENTER AT BARANGAY SITE (PERPETUAL SUCCOR)</t>
  </si>
  <si>
    <t>Concreting of Access Road to Evacuation Center Phase 1, Brgy. Awasian, Tandag City</t>
  </si>
  <si>
    <t>Supply &amp; Delivery of Vegetable Seeds for the Community Based Vegetable Gardening of the Municipal Agriculturist's Office</t>
  </si>
  <si>
    <t>Procurement of Household-Level Data Management System</t>
  </si>
  <si>
    <t>20GM0075 - Concreting of Purok 6 to Purok 7, Brgy. Culipapa FMR, Brgy. Culipapa, Hinoba-an, Negros Occidental</t>
  </si>
  <si>
    <t>Construction of Municipal Hall Building(Annex 1)-Phase 2</t>
  </si>
  <si>
    <t>Purchase of multifilament net &amp; accessories</t>
  </si>
  <si>
    <t>Supply &amp; Delivery of 1 Unit of Payloader for the MENRO</t>
  </si>
  <si>
    <t>CONSTRUCTION OF GUITABAYAG BRIDGE (Gomez to Nagbukel)</t>
  </si>
  <si>
    <t>20GM0074 - Concreting of Brgy. Asia FMR, Brgy. Asia, Hinoba-an, Negros Occidental</t>
  </si>
  <si>
    <t>Concreting/Improvement of Roxas Barangay Road</t>
  </si>
  <si>
    <t>PROCUREMENT OF 1,225 HEADS OF LIVE NATIVE CHICKEN (HEN) &amp; 245 HEADS OF LIVE COCKEREL (MALE CHICKEN)</t>
  </si>
  <si>
    <t>PROCUREMENT OF 205 HEADS OF LIVE DOE &amp; 7 HEADS OF LIVE BUCK</t>
  </si>
  <si>
    <t>Completion &amp; Rehab. Of MP Facility (Covered Court) @ Barangay Minsapinit, Gingoog City, Mis. Or. under Contract Ref. No. 2020-INFRA-039</t>
  </si>
  <si>
    <t>MAINTENANCE OF CORE LOCAL ROADS AT ATOK CIS SERVICE ROAD</t>
  </si>
  <si>
    <t>Provision of 1 Unit Four Wheeled Farm Tractor for the Municipal Agriculturist Office</t>
  </si>
  <si>
    <t>IMPROVEMENT OF GUEDAY IRRIGATION SYSTEM, BESAO</t>
  </si>
  <si>
    <t>Supply &amp; Delivery of Various Materials for the Installation of Solar Street Light</t>
  </si>
  <si>
    <t>CONTINUATION OF PANABUNGEN MULTIPURPOSE HALL, BESAO</t>
  </si>
  <si>
    <t>Livelihood Project, Hog Fattening (Sitio Guinmisahan)</t>
  </si>
  <si>
    <t>PROCUREMENT OF 14 HEADS OF LIVE CARABAO/COW</t>
  </si>
  <si>
    <t>Negotiated Procurement for the Provisions of Barangay Health Station at Barangay RH-2,Cotabato City and Provisions o fLying-Inns for  Strategic Barangays at Barangay RH-9, Cotabato City</t>
  </si>
  <si>
    <t>Supply &amp; Delivery of Laboratory Reagents for Hematology Analyzer</t>
  </si>
  <si>
    <t>SIC-95 Hiring of Consultancy Services (Individual Consultant), i.e, Procurement Officer</t>
  </si>
  <si>
    <t>Construction of Drainage Line Canal (Phase I) at Vasquez Street, Poblacion Ubos, Pintuyan, Southern Leyte</t>
  </si>
  <si>
    <t>Supply and Delivery of Twenty (20) units Solar Charge Controllers/Regulators</t>
  </si>
  <si>
    <t>Completion of Session Hall at ABC Hall Building, Aguada, Ozamiz City</t>
  </si>
  <si>
    <t>Use for the augmentation of Secondary Transmission Line to Main Tank at Bong Borlasa source Kabangkalan, Villahermosa, Tudela, Cebu</t>
  </si>
  <si>
    <t>Re-bidding of the Procurement for the Supply, Deliver, Installation and Commissioning of ICT Equipment for Digital Transformation Project of USTP-CDO</t>
  </si>
  <si>
    <t>Dairy Animal Shed (Phase II) @ Barangay Lunotan, Gingoog City, Mis. Or. under Contract Ref. no. 2020-INFRA-044</t>
  </si>
  <si>
    <t>CONSTRUCTION OF GUITABAYAG BRIDGE (Gomez to Villaflor)</t>
  </si>
  <si>
    <t>Construction / Fabrication of Block Tienda (materials only)</t>
  </si>
  <si>
    <t>PURCHASE OF VARIOUS BOOKS &amp; MODULES FOR BACOLOR SOUTH &amp; NORTH</t>
  </si>
  <si>
    <t>CW-APAYAO-LARIP-02-2020// LOWER APAYAO RIVER IRRIGATION PROJECT(LARIP)</t>
  </si>
  <si>
    <t>CW-KALINGA-UCRIS-03-2020/Upper Chico River Irrigation System(UCRIS)</t>
  </si>
  <si>
    <t>20PK0068 - Repair/Maintenance of DPWH Building, Adiministrative/Main Building, P-6 Bulanao, Tabuk City, Kalinga</t>
  </si>
  <si>
    <t>PURCHASE OF DIESEL (River Diversion, Widening and Dredging along Sicade River (Phase 1))</t>
  </si>
  <si>
    <t>IMPROVEMENT OF TERMINAL COMPLEX</t>
  </si>
  <si>
    <t>PROCUREMENT OF BABY KITS FOR NEW BORN BABIES</t>
  </si>
  <si>
    <t>Supply &amp; Delivery of ICT Equipment for the Municipal Budget Office &amp; (BPLO), Municipality of Bongabong, Oriental Mindoro</t>
  </si>
  <si>
    <t>Supply &amp; Delivery of Drugs &amp; Medicines for Municipal Health Office (1st Semester)</t>
  </si>
  <si>
    <t>Public Bidding for the Repair of Roof and Roof Framing of Capitol Building, Roxas City, Under ITB No. 2020-002C</t>
  </si>
  <si>
    <t>REHABILITATION OF MAIN ELECTRIC LINE OF MUNICIPAL HALL BUILDING</t>
  </si>
  <si>
    <t>Construction of Barangay Health Station, Casalngan, Hamtic</t>
  </si>
  <si>
    <t>Contract ID No. 20NC0120 - Flood Control Project - Improvement/Rehabilitation of Adlayan Riverbank Sta. 0+000.00 – Sta. 0+120.00</t>
  </si>
  <si>
    <t>COMPLETION OF NAGUILIAN COMMUNITY CENTER</t>
  </si>
  <si>
    <t>Contract ID No. 20NC0119 -Road Widening, Daang Maharlika (Agusan-Davao Section),</t>
  </si>
  <si>
    <t>Rehabilitation/Improvement of Isulan Integrated Public Terminal</t>
  </si>
  <si>
    <t>Supply and Delivery of Materials (Lot #1), Good Lumber (Lot #2) Fuel (Lot #3) and Labor (Lot #4) for Proposed Road Concreting from National Highway Sta. 00+400 to Sta. 00+990m leading to Tagpirara Ele</t>
  </si>
  <si>
    <t>PROCUREMENT OF COASTAL CLEAN UP DRIVE SUPPLIES</t>
  </si>
  <si>
    <t>Purchase of Twenty (20) Units Brand New Single Motorcycle</t>
  </si>
  <si>
    <t>Supply and delivery of Materials (Lot #1), Good Lumber (Lot #2), Fuel (Lot #3) Drainage Structure (Lot #4) and Labor (Lot #5) for Proposed Road Concreting from National Highway sta. 00+350 to Sta. 00+</t>
  </si>
  <si>
    <t>Construction of New Public Market (Main Building 1), Burgos St., Brgy. Tablang, Paniqui, Tarlac</t>
  </si>
  <si>
    <t>CLUSTER 29-2020</t>
  </si>
  <si>
    <t>Construction of Slope Protection along Magsaysay-Paco Road</t>
  </si>
  <si>
    <t>20FL0069-Construction (Completion) of Multi-Purpose Building, Brgy. Perles, Prieto-Diaz, Sorsogon Barangay Perlas, Prieto Diaz, Sorsogon</t>
  </si>
  <si>
    <t>20DJ0093-LOCAL PROGRAM, Construction/Repair/Rehabilitation/Improvement of Various Infrastructure including Local Projects, Construction (Completion) of Multi-Purpose Building in Barangay Guis-Guis Tal</t>
  </si>
  <si>
    <t>Supply and Delivery of Fitting &amp; Valves (Lot #1), Fuel &amp; Diesel (Lot #2), Chlorine Granules (Lot #3) and Chlorine Test Kit (Lot #4) for the use of Brooke’s Point Water System Office, Brooke’s Point, P</t>
  </si>
  <si>
    <t>SUPPLY AND DELIVERY OF COMMERCIAL RICE FOR MAKATI CITY JAIL</t>
  </si>
  <si>
    <t>SUPPLY AND DELIVERY OF MEALS FOR ACTIVITIES OF VARIOUS DEPARTMENTS/OFFICES OF THE CITY GOVERNMENT OF MAKATI</t>
  </si>
  <si>
    <t>One (1) unit Tying Machine</t>
  </si>
  <si>
    <t>20FL0064-Construction of Road , Brgy. Recto and Danao, Bulan, Sorsogon Barangay Recto and Danao, Bulan, Sorsogon</t>
  </si>
  <si>
    <t>SUPPLY AND DELIVERY OF CRAWLER EXCAVATOR</t>
  </si>
  <si>
    <t>SUPPLY AND INSTALLATION OF CCTV CAMERA IN ADMIN AND ACADEMIC BUILDING</t>
  </si>
  <si>
    <t>Purchase of 1 Unit Brand New Asian Utility Vehicle</t>
  </si>
  <si>
    <t>Maintenance of LAN Active Components (7 months warranty)</t>
  </si>
  <si>
    <t>Supply And Delivery of Materials (Lot #1), Good Lumber (Lot #2), Fuel (Lot #3) Drainage Structure (Lot #4) and Labor (Lot #5) for Proposed Road Concreting from National Highway Sta. 00+015 to Sta. 00+</t>
  </si>
  <si>
    <t>Construction of Barangay Health Station, Gov. Evelio B. Javier (EBJ), Hamtic, Antique</t>
  </si>
  <si>
    <t>SUPPLY AND DELIVERY OF MATERIALS, TOOLS AND PPES FOR VARIOUS PROJECTS OF EEMO,DEPW AND GSD</t>
  </si>
  <si>
    <t>Purchase of One (1) 150 KVA 120 KW, 220/240 Voltage, 60Hz, three phase Sound proof GENERATOR SET for Isolation Facility</t>
  </si>
  <si>
    <t>20DJ0094-LOCAL PROGRAM, Construction/Repair/Rehabilitation/Improvement of Various Infrastructure including Local Projects, Road Widening of Quezon Eco-Tourism Road (S06104LZ), Secondary Road, K0167+96</t>
  </si>
  <si>
    <t>Supply &amp; Delivery of Construction Materials for the Improvement of School Workshop (BBCS) at BBII</t>
  </si>
  <si>
    <t>Construction of Barangay Health Station, Piapi I, Hamtic, Antique</t>
  </si>
  <si>
    <t>20G00098 - Construction of Revetment at Sibalom Bridge (Abutment B Downstream and Upstream) Pangpang, Sibalom, Antique</t>
  </si>
  <si>
    <t>CLUSTER 31-2020</t>
  </si>
  <si>
    <t>Cluster XXXIII</t>
  </si>
  <si>
    <t>MUNICIPAL ROAD CONCRETING ALONG LADGADAN ROAD, BARANGAY LADGADAN, SFADS</t>
  </si>
  <si>
    <t>Supply &amp; Delivery of Medical Supplies for Municipal Health Office (1st Semester)</t>
  </si>
  <si>
    <t>Construction of Barangay Health Station, Lapaz-Tubog, Hamtic, Antique</t>
  </si>
  <si>
    <t>20GDM0098 (2020-06-0098) Provision of DPWH Security Services for its office buildings and compound requiring at least six (6) Security Guards at any time of the 24-hour round-the-clock duty, DPWH, Que</t>
  </si>
  <si>
    <t>Construction of Evacuation Center @ Barangay Banta-awan, Gingoog City, Mis. Or. under Contract Ref. No. 2020-INFRA-040</t>
  </si>
  <si>
    <t>CLUSTER 30-2020</t>
  </si>
  <si>
    <t>Ref. No. 2020-S001 Construction of Secondary and Tertiary Roads with Solar Lamps and Utilities in the Most Affected Area (MAA), Marawi City, Lanao Del Sur</t>
  </si>
  <si>
    <t>Supply &amp; Delivery of Construction Materials for the Holding Pen Extension (Slaughterhouse)</t>
  </si>
  <si>
    <t>Ref. No. 2020-S002 Construction of Primary Road with Solar Lamps and Underground Utilities in the Most Affected Area (MAA), Marawi City, Lanao Del Sur</t>
  </si>
  <si>
    <t>Construction of Barangay Health Station, Guintas, Hamtic, Antique</t>
  </si>
  <si>
    <t>Procurement and Installation of NAVSENS and COMMELEX Equipment for PS35 Lot 2 - Procurement and Installation of NAVSENS Equipment for PS35</t>
  </si>
  <si>
    <t>Cluster XXXVIII</t>
  </si>
  <si>
    <t>Sukol River Night Lights at Poblacion</t>
  </si>
  <si>
    <t>Cluster XXXVII</t>
  </si>
  <si>
    <t>SUPPLY AND DELIVERY OF FOOD SUPPLIES FOR FOOD ASSISTANCE AND NUTRI-BATA PROJECTS (2 LOTS)</t>
  </si>
  <si>
    <t>CARUSIPAN SIP/CY 2020 SIP FUND</t>
  </si>
  <si>
    <t>Completion/Painting of MP Hall @ Barangay 22-A, Gingoog City, Mis. Or. under Contract Ref. No. 2020-INFRA-042</t>
  </si>
  <si>
    <t>CONCRETING OF ROAD ALONG DAYAG STREET</t>
  </si>
  <si>
    <t>LOT Procurement of SPAREPARTS for the Use of Light and Heavy Equipment</t>
  </si>
  <si>
    <t>CONSTRUCTION OF SOLID WASTE SEGREGATION FACILITY AT DUMPSITE , SITIO DAMILAG, BARANGAY PISAAN, SFADS</t>
  </si>
  <si>
    <t>NAGBETTEDAN SIP/CY 2020 SIP FUND</t>
  </si>
  <si>
    <t>CONSTRUCTION OF SAYANGAN, LUBO BIRTHING HOME FACILITY</t>
  </si>
  <si>
    <t>Rehabilitation and Improvement of Manay Public Market at Manay, Davao Oriental</t>
  </si>
  <si>
    <t>"Revised" Concreting of Streets @ Purok 2 to Rehabilitation Center, Barangay 26, Gingoog City, Mis. Or. under Contract Ref. No. 2020-INFRA-041</t>
  </si>
  <si>
    <t>S3-PDM20-001 - Construction of Operator's Quarter and Office in Pandami Diesel Power Plant (DPP)</t>
  </si>
  <si>
    <t>LUBNAC-PATOC-AO CIS/CY 2020 CARP-IC FUND</t>
  </si>
  <si>
    <t>SUPPLY AND DELIVERY OF TWO (2) UNITS MOTOR VEHICLE (PATROL CAR), PNP, SFADS</t>
  </si>
  <si>
    <t>02. BD - Procurement and Installation of NAVSENS and COMMELEX Equipment for PS35 LOT 1 Procurement and Installation of NAVSENS Equipment for PS35</t>
  </si>
  <si>
    <t>REHABILITATION OF MASONRY DRAINAGE ALONG MARUZZO STREET</t>
  </si>
  <si>
    <t>Cluster XXXIV</t>
  </si>
  <si>
    <t>PROCUREMENT OF STOCK PILE</t>
  </si>
  <si>
    <t>SUPPLY, DELIVERY AND INSTALLATION OF DESKTOP AND LAPTOP COMPUTERS FOR VARIOUS OFFICES/DEPARTMENTS OF CITY GOVERNMENT OF MAKATI</t>
  </si>
  <si>
    <t>SUPPLY AND DELIVERY OF STENOGRAPH MACHINES</t>
  </si>
  <si>
    <t>Road Concreting at Barangay Mintal, Tugbok District, Davao City</t>
  </si>
  <si>
    <t>Provision of Farm Inputs (Purchase of Fertilizer)</t>
  </si>
  <si>
    <t>Construction of Grouted Riprap</t>
  </si>
  <si>
    <t>Cluster XXXV</t>
  </si>
  <si>
    <t>PROCUREMENT FOR THE SUPPLY AND DELIVERY OF CHEMICALS AND REAGENTS FOR USE IN LABORATORIES OF PLANT PRODUCT SAFETY SERVICES DIVISION (PPSSD)</t>
  </si>
  <si>
    <t>Cluster XXXVI</t>
  </si>
  <si>
    <t>PROCUREMENT OF TRUCKING SERVICES FOR THE INTRA AND INTER REGIONAL TRANSFER OF GRAINS OF NFA SOUTHERN TAGALOG REGION FOR THE SECOND SEMESTER OF CY 2020</t>
  </si>
  <si>
    <t>Construction of Chocolate Processing Facility (In Support to Chocolate Processing Enterprise)</t>
  </si>
  <si>
    <t>Proposed Construction of National Child Development Center</t>
  </si>
  <si>
    <t>Contract ID: 20MB0153 Contract Name:  Construction/Rehabilitation of Water Supply/Septage and Sewerage/Rain Water Collectors</t>
  </si>
  <si>
    <t>2020-134-I ASSORTED LOWLAND AND UPLAND VEGETABLE SEEDS  UNDER HVCDP CY 2020</t>
  </si>
  <si>
    <t>Cluster XXXIX</t>
  </si>
  <si>
    <t>2020-133-I MUNGBEAN, PEANUT, AND WATERMELON SEEDS  UNDER HVCDP CY 2020</t>
  </si>
  <si>
    <t>One (1) Lot Hiring of a Courier Service Provider for mailing/delivery of documents/mails/parcels of departments/offices in the BSP Head Office for dispatch to domestic and international stakeholders o</t>
  </si>
  <si>
    <t>2020-136-I LABORATORY SUPPLIES FOR THE SECOND QUARTER OF CY 2020</t>
  </si>
  <si>
    <t>20FL0070-Road Opening at Irosin, Sorsogon (Cluster XVI), Irosin, Sorsogon The Procurement/Contract ID: 20FL0070</t>
  </si>
  <si>
    <t>Purchase of Sixteen (16) unit Android Tablet with Back-up Charger (Battery Pack) for CBMS Program/Data Gathering</t>
  </si>
  <si>
    <t>REHABILITATION OF BOX CULVERT</t>
  </si>
  <si>
    <t>Municipal Nursery cum Training and Info Building (4 units)</t>
  </si>
  <si>
    <t>PROCUREMENT FOR THE SUPPLY AND DELIVERY OF SPE REAGENTS FOR USE IN LABORATORIES OF PLANT PRODUCT SAFETY SERVICES DIVISION (PPSSD)</t>
  </si>
  <si>
    <t>Improvement of Drainage Canal Provincial Government Offices (PEO)</t>
  </si>
  <si>
    <t>Construction of Water Supply System</t>
  </si>
  <si>
    <t>Purchase of Laptops and Printers</t>
  </si>
  <si>
    <t>Road Concreting at Barangay Crossing Bayabas, Toril District, Davao City</t>
  </si>
  <si>
    <t>BANAOANG PIS/CY 2020 FUND (CCAW)</t>
  </si>
  <si>
    <t>Procurement of WCEIS Equipment of PBL1, PBL2, PBL5 AND 9MTR RIB 02 Lot 1 - Procurement of WCEIS Equipment of PBL1, PBL2, PBL5 and 9MTR RIB 02</t>
  </si>
  <si>
    <t>Purchase of IT Equipments</t>
  </si>
  <si>
    <t>Construction (Completion) of Multi-Purpose Building, 3rd Infantry Batallion HQ, Brgy. Malagos, Baguio District, Davao City</t>
  </si>
  <si>
    <t>Procurement of WCEIS Equipment of PBL1, PBL2, PBL5 AND 9MTR RIB 02 Lot 2 - Procurement of WCEIS Equipment of PBL1, PBL2, PBL5 and 9MTR RIB 02</t>
  </si>
  <si>
    <t>PROCUREMENT FOR THE SUPPLY AND DELIVERY OF MYCOTOXIN SUPPLIES FOR USE IN LABORATORIES OF PLANT PRODUCT SAFETY SERVICES DIVISION (PPSSD)</t>
  </si>
  <si>
    <t>Road Concreting at Barangay Marilog Proper, Marilog District, Davao City</t>
  </si>
  <si>
    <t>infrastructure Project-LOWER SIBUGUEY II RIS EXTENSION PROJECT PACKAGE 2 CY 2017 REMAINING WORKS Imelda, Zamboanga Sibugay</t>
  </si>
  <si>
    <t>20FC0105 : CONSTRUCTION OF TWO-STOREY BUILDING (DPWH STANDARD DESIGN) OF CAMARINES NORTE DEO, Pasig, Daet, Camarines Norte</t>
  </si>
  <si>
    <t>REHABILITATION OF ROAD FROM POBLACION TO BUBONG</t>
  </si>
  <si>
    <t>20FC0091 : CONCRETING OF BRGY. MATANLANG TO BRGY. BAYAN-BAYAN ROAD, LABO CAMARINES NORTE</t>
  </si>
  <si>
    <t>PROCUREMENT FOR THE SUPPLY, DELIVERY, AND INSTALLATION OF CENTRIFUGE AND ROTARY EVAPORATOR SET FOR USE IN SATELLITE LABORATORIES OF PLANT PRODUCT SAFETY SERVICES DIVISION (PPSSD)</t>
  </si>
  <si>
    <t>Construction of Multi-Purpose Building, Brgy. Calinan Poblacion, Calinan District, Davao City</t>
  </si>
  <si>
    <t>20GMH045 - Supply/Delivery of Thermoplastic Paints for the Repair/Maintenance of National Road &amp; Bridges, Sultan Kudarat 2nd District Engineering Office, (Reflectorized Pavement Marking of Edge, Cente</t>
  </si>
  <si>
    <t>20FC0073 : NETWORK DEVELOPMENT PROGRAM – ROAD WIDENING – PRIMARY ROADS, Daang Maharlika (LZ) K0319+027-K0319+951, K0323+800-K0324+284</t>
  </si>
  <si>
    <t>20FC0084 : CONSTRUCTION/ MAINTENANCE OF FLOOD MITIGATING STRUCTURE AND DRAINAGE SYSTEM, CONSTRUCTION OF SULA SEAWALL BRGY. SULA, VINZONS, CAMARINES NORTE</t>
  </si>
  <si>
    <t>20GMH042 - Supply/Delivery of  Asphalt Cold Mix for the Repair/Maintenance of National Roads &amp; Bridges, Sultan Kudarat 2nd District Engineering Office K1775+-736-Km. 1781+000, K1775+-620-K1775+288</t>
  </si>
  <si>
    <t>20-05-399 Construction of Water System at Maracabac, Guiling, Alamada, Cotabato</t>
  </si>
  <si>
    <t>Procurement Medical Supplies</t>
  </si>
  <si>
    <t>Road Concreting at  Polog to Cabangahan Road,  Consolacion, Cebu</t>
  </si>
  <si>
    <t>Construction of One (1) Storey Barangay Health Station in Barangay Concepcion</t>
  </si>
  <si>
    <t>CONSTRUCTION OF FARMER’S MULTI-PURPOSE COVERED COURT AT SANIJUBAR ELEMENTARY SCHOOL, AGOO, LA UNION</t>
  </si>
  <si>
    <t>20-06-443 Purchase of 8 in 1 Assorted Vegetables Seeds for Sustainable Integrated Natural Garden (SUSING) Livelihood Program-Livelihood Seeds Distribution for Alamada Constituents</t>
  </si>
  <si>
    <t>PURCHASE OF 2 UNITS STAINLESS WATER LORRY TRUCK</t>
  </si>
  <si>
    <t>Supply and Delivery of Robotics (LSB)</t>
  </si>
  <si>
    <t>PROCUREMENT FOR THE SUPPLY AND DELIVERY OF PHEROMONE LURE FOR USE OF CROP PEST MANAGEMENT DIVISION (CPMD)</t>
  </si>
  <si>
    <t>20GMH043 - Supply/Delivery of  Fuel &amp; Oil Lubricants for use of various vehicle, chainsaw, and grass cutter assigned in Maintenance Section along Awang-Upi-Lebak-Kalamansig-Palimbang-Sarangani Road K1</t>
  </si>
  <si>
    <t>STACK EMISSION TESTING</t>
  </si>
  <si>
    <t>20FL0066-Construction (Road Opening) of Mapaso-Patag-Cawayan Irosin Road, Irosin, Sorsogon Sorsogon 2nd Congressional District</t>
  </si>
  <si>
    <t>ESTABLISHMENT OF THREE (3) UNITS OF SMALL WATER IMPOUNDING SYSTEM (SWIS) AT BRGY. SAN ROQUE, BULALACAO, ORIENTAL MINDORO</t>
  </si>
  <si>
    <t>SUPPLY OF LABOR AND MATERIALS FOR THE ESTABLISHMENT OF PROCESSING AND SOLAR DRYING FACILITY OF BPI-LGNCRDPSC, LA CARLOTA CITY, NEGROS OCCIDENTAL</t>
  </si>
  <si>
    <t>PR# 20-0554- To supply labor, materials and necessary tools and equipment for the Improvement of Six (6) Classroom School Building with Comfort Rooms at Magumbali Elementary School, Magumbali, Candaba</t>
  </si>
  <si>
    <t>SUPPLY OF LABOR SERVICE, SUPPLIES, AND MATERIALS FOR THE ESTABLISHMENT OF 20KW GRID-TIED SOLAR PV ENERGY SYSTEM FOR TISSUE CULTURE LABORATORY OF BPI-DNCRDPSC, BAGO OSHIRO, DAVAO CITY</t>
  </si>
  <si>
    <t>PROCUREMENT FOR THE SUPPLY AND DELIVERY OF ANALYTICAL AND TOP LOADING BALANCE FOR USE IN SEED TESTING AND SEED CERTIFICATION OF NATIONAL SEED QUALITY CONTROL SERVICES DIVISION (NSQCSD)</t>
  </si>
  <si>
    <t>THE PROCUREMENT FOR THE SUPPLY AND DELIVERY OF DIGITAL DUPLICATOR FOR USE IN SEED TESTING AND SEED CERTIFICATION OF NATIONAL SEED QUALITY CONTROL SERVICES DIVISION (NSQCSD)</t>
  </si>
  <si>
    <t>THE PROCUREMENT FOR THE SUPPLY AND DELIVERY OF PRECISION DIVIDER FOR USE IN SEED TESTING AND SEED CERTIFICATION OF NATIONAL SEED QUALITY CONTROL SERVICES DIVISION (NSQCSD)</t>
  </si>
  <si>
    <t>20L00152 : Road Widening &amp; Replacement of Bridge Along Jct. Davao City Diversion Rd. – Magtuod Rd. – New Carmen – Biao Escuela – Biao Joaquin – Jct. Davao – Bukidnon Rd., Davao City</t>
  </si>
  <si>
    <t>PROCUREMENT OF HYBRID WHITE CORN SEEDS, MALAPATAN SARANGANI PROVINCE</t>
  </si>
  <si>
    <t>20L00151 : Rehabilitation of Paved Road Along Matina Crossing Road (Jct. Davao – Cotabato Road – Jct. Davao City Diversion Road), Davao City</t>
  </si>
  <si>
    <t>IA. Riprapping of Sitio Sala River;IB. Construction of Open Canal, Brgy. San Antonio</t>
  </si>
  <si>
    <t>ESTABLISHMENT OF MULTI COMMODITY DRYING PAVEMENT AT SITIO KITULAG, BRGY. KINAM &amp; SITIO BOLOLKALON, BRGY. LUN PADIDU, MALAPATAN SARANGANI PROVINCE</t>
  </si>
  <si>
    <t>20L00150 : Rehabilitation of Paved Road Along Bypass Rd. at Jct. Davao –Cotabato Rd. – Central Park (Cordillera Rd.) – Jct. Matina Aplaya Rd., Davao City</t>
  </si>
  <si>
    <t>20L00028 : Reconstruction of Concrete Pavement – Matina Crossing Road (Jct. Davao – Cotabato Road – Jct. Davao City Diversion Road), Davao City</t>
  </si>
  <si>
    <t>SUPPLY OF LABOR AND MATERIALS FOR THE CONSTRUCTION OF SEED STORAGE OF BPI-LGNCRDPSC, LA CARLOTA CITY, NEGROS OCCIDENTAL</t>
  </si>
  <si>
    <t>Supply and Delivery of One (1) Unit Basic Life Support (BLS) Ambulance Vehicle; PR No. 20-1182 dated 24 January 2020; SN 124 - 2020</t>
  </si>
  <si>
    <t>Construction and Operation of Sanitary Landfill (Pagalungan); SN 125 - 2020</t>
  </si>
  <si>
    <t>Supply and Delivery of Various Medical, Dental and Laboratory Supplies (Lot No. 1 and Lot No. 9); PR No. 20-0946 dated 30 March 2020; SN 96a - 2020</t>
  </si>
  <si>
    <t>PROCUREMENT OF MATERIALS FOR PROPOSED EXPANSION OF WATER SYSTEM AT SITIO ASPANG- MALYANG, BRGY. POBLACION, MALAPATAN, SARANGANI PROVINCE</t>
  </si>
  <si>
    <t>20GMH044 - Supply/Delivery of  Road Sign for the Maintenance/Improvement of National Road, Sultan Kudarat 2nd District Engineering Office, K1957+000-K2018+000 w/ exception</t>
  </si>
  <si>
    <t>Supply and Delivery of Various Medical, Dental and Laboratory Supplies (Lot No. 1 to Lot No. 5); PR No. 20-1165 dated 06 April 2020; SN 122-2020</t>
  </si>
  <si>
    <t>Supply and Delivery of Circuit Breakers and Other Items; PR No. 20-1244 dated 04 May 2020; SN 121 - 2020</t>
  </si>
  <si>
    <t>Procurement of Multi-purpose Vehicle of Municipal Mayor’s Office</t>
  </si>
  <si>
    <t>QRF CY 2020 CONSTRUCTION OF SLOPE PROTECTION</t>
  </si>
  <si>
    <t>20GMH046 - Supply/Delivery of Road Safety Facilities for the Maintenance/Improvement Of National Road, Sultan Kudarat 2nd District Engineering Office, K1943+000-K1943+935 w/ exception</t>
  </si>
  <si>
    <t>PROCUREMENT OF ONE (1) UNIT FIRETRUCK FORWARD FTR SINGLE CAB FOR BUREAU OF FIRE PROTECTION, MALAPATAN, SARANGANI PROVINCE</t>
  </si>
  <si>
    <t>PROCUREMENT OF RESCUE/ EXTRICATION EQUIPMENT OF MDRRMO, MALAPATAN, SARANGANI PROVINCE</t>
  </si>
  <si>
    <t>Procurement of Medicines and Medical Supplies for Pana-on ILHZ 2020 Program Implementation</t>
  </si>
  <si>
    <t>PROCUREMENT OF UREA AND TRIPLE 14 (14-14-14) FERTILIZERS, MALAPATAN SARANGANI PROVINCE</t>
  </si>
  <si>
    <t>20GB0123 - Concreting of Brgy. Maybunga FMR, Brgy. Maybunga, Laua-an, Antique</t>
  </si>
  <si>
    <t>Construction  of Rattan Processing Center Facility, Phase 1, Cabisera 10, City of Ilagan, Isabela</t>
  </si>
  <si>
    <t>PROCUREMENT OF LABOR AND MATERIALS FOR INSTALLATION AND REHABILITATION OF TRANSMISSION AND DISTRIBUTION LINES IN VARIOUS LOCATIONS (4 LOTS)</t>
  </si>
  <si>
    <t>Service Vehicle of PNP Personnel</t>
  </si>
  <si>
    <t>Repair Maintenance of Municipal Vehicle</t>
  </si>
  <si>
    <t>Proposed Asphalt overlay at Brgy. San Juan, San Pablo City.</t>
  </si>
  <si>
    <t>Construction  of Slope Protection at KM 8+945 to KM 8+969, Ilagan &amp; Divilacan, Isabela</t>
  </si>
  <si>
    <t>PR# 20-0906 - 2 units Brand New Multi-Purpose Vehicle/ Passenger-Type Vehicle</t>
  </si>
  <si>
    <t>Q-085-20 PROCUREMENT OF HARDWARE AND CONSTRUCTION SUPPLIES</t>
  </si>
  <si>
    <t>Purchase of commonly used drugs and medicines to be use at the Rural Health Unit</t>
  </si>
  <si>
    <t>PR# 20-0842- Supply and Commissioning of 70 Air-Conditioning Units at the Legislative Building</t>
  </si>
  <si>
    <t>PR# 20-1204- 5,000 M3 Hauling and Transport of Residual Waste and General Waste (Tipping Fee)</t>
  </si>
  <si>
    <t>Construction  of Nanaguan Bridge, Brgy. Nanaguan, City of Ilagan, Isabela</t>
  </si>
  <si>
    <t>LABOR AND MATERIALS FOR THE EVACUATION CENTER AND DISASTER RISK REDUCTION-RELATED EQUIPMENT AT POBLACION,BADIAN,CEBU</t>
  </si>
  <si>
    <t>20L00154 : Road Widening Along Jct. Davao City Diversion Road – Langub Road – Magtuod Road, Davao City</t>
  </si>
  <si>
    <t>Concreting of Farm-to-Market Road at Sitio Lamao</t>
  </si>
  <si>
    <t>Construction  of Slope Protection at KM 10+860 to KM 10+990, Ilagan &amp; Divilacan, Isabela</t>
  </si>
  <si>
    <t>Purchase of medical, dental and laboratory supplies to be use at the Rural Health Unit</t>
  </si>
  <si>
    <t>20LA0332 Repair/Maintenance of Hijo Revetment along Hijo River, Brgy. Hijo, Maco, Compostela Valley</t>
  </si>
  <si>
    <t>BPSU Abucay Campus: – Supply, Delivery and Installation of Equipment and Laboratory Instruments for the Completion of 2-Storey Academic Building 2</t>
  </si>
  <si>
    <t>Roofing Materials for Rehabilitation and Improvement of LGU Main Building</t>
  </si>
  <si>
    <t>20LA0287 Completion of Multi-Purpose Building, MIB Compound, Tuburan 10th Division Philippine Army, Mawab, Compostela Valley</t>
  </si>
  <si>
    <t>Improvement of Processing Center of Quirino Coffee Enterprise</t>
  </si>
  <si>
    <t>Improvement of Processing Center of Quirino Banana Enterprise</t>
  </si>
  <si>
    <t>Rehabilitation of Diffun – Liwayway - Sitio Pallutan Road</t>
  </si>
  <si>
    <t>Rehabilitation of Rizal – Villa Pascua Road</t>
  </si>
  <si>
    <t>20LA0327 Asphalt Overlay along Daang Maharlika Highway, Tuburan Section, Brgy. Tuburan, Mawab, Compostela Valley</t>
  </si>
  <si>
    <t>CONSULTANCY SERVICES ON CLUP/CDP FORMULATION</t>
  </si>
  <si>
    <t>20PC0002CS-Consultancy Services for the Geotechnical Investigation for the Construction of Multi-Purpose Building Luna, Apayao</t>
  </si>
  <si>
    <t>Replacement of Elevators PE1, PE2 and SE4 at NAIA Terminal 1</t>
  </si>
  <si>
    <t>The Supply and Delivery of One (1) Unit Ambulance with Complete Accessories (Re-Bid)</t>
  </si>
  <si>
    <t>PR No. 2020-02-0267-MAIN-Supply and Delivery of Cosmetology Equipment for the Cosmetology Technology Laboratory of CTAS</t>
  </si>
  <si>
    <t>SUPPLY AND DELIVERY OF WHITE CORN SEEDS (OPV) TO BE DISTRIBUTED TO FARMERS IN UPLAND BARANGAYS OF MOLAVE, ZDS</t>
  </si>
  <si>
    <t>Publication No. 26-2020-G (First Publication) Common Office Supplies (Lot 2)</t>
  </si>
  <si>
    <t>Supply and Installation of Additional Split Type – Inverter Airconditioner at PBB Fixed Link, NAIA Terminal 3</t>
  </si>
  <si>
    <t>PROCUREMENT OF SERVICES FOR THE ONE (1) LOT – EVENT ORGANIZING</t>
  </si>
  <si>
    <t>PROCUREMENT OF MEDICINES &amp; LABORATORY SUPPLIES FOR USE AT MCH/MCHC</t>
  </si>
  <si>
    <t>20GM0072 - Concreting of Sitio Banman, Brgy. Locotan FMR, Brgy. Locotan, Kabankalan City, Negros Occidental</t>
  </si>
  <si>
    <t>PR# 20-0910- Supply and Delivery of Various Heavy Equipment</t>
  </si>
  <si>
    <t>Labor and Materials for the Perimeter Fence of the New Rural Health Unit at Sitio Pag-asa, Brgy. Wawa, Orion, Bataan</t>
  </si>
  <si>
    <t>Purchase and Delivery of Inorganic Fertilizers and Pesticides</t>
  </si>
  <si>
    <t>20GKK0025 – Supply, Delivery and Installation of Regulatory Signs along GCVR</t>
  </si>
  <si>
    <t>FINANCIAL ASSIST. TO B-KAWAYAN FOR ROAD CONCRETING</t>
  </si>
  <si>
    <t>One (1) lot Supply of Materials, Labor, Tools, Equipment, Consumables, Supervision, and Other Services for the Application of Solar/Heat Reflective Roof Coating at the Coin Blank Storage, as per BSP S</t>
  </si>
  <si>
    <t>SUPPLY AND DELIVERY OF HAULING TRUCK LOT 1: TWO (2) UNITS HAULING TRUCK (ALUMINUM VAN TYPE) LOT 2: ONE (1) UNIT HAULING TRUCK (DROP SIDE TYPE)</t>
  </si>
  <si>
    <t>20GKK0026 – Supply, Delivery and Replacement/Installation of Pavement Studs</t>
  </si>
  <si>
    <t>ITB - Vehicles (Rebid)</t>
  </si>
  <si>
    <t>GEOTECHNICAL INVESTIGATION FOR BUILDING PROJECT SITES, Lamut, Lagawe and Hungduan, Ifugao</t>
  </si>
  <si>
    <t>Procurement of Various Common Use Supplies and Equipment (Not Available in DBM-PS Depot) to be Used in the Different Offices of LGU-Molave, ZDS for the First(1st) Quarter 2020</t>
  </si>
  <si>
    <t>Procurement of FUEL</t>
  </si>
  <si>
    <t>Proposed Land Development of Cemetery Area</t>
  </si>
  <si>
    <t>Procurement of Vehicles to be Used for Mitigation, Preparedness, Rescue, and Emergency Response Operations – BDRRMO</t>
  </si>
  <si>
    <t>CONSTRUCTION OF MNHS SITE-B DRAINAGE SYSTEM AT MNHS SITE-B SCHOOL SITE, BRGY. POBLACION, MALAPATAN SARANGANI PROVINCE</t>
  </si>
  <si>
    <t>POTABLE WATER SUPPLY</t>
  </si>
  <si>
    <t>Proposed Rehabilitation &amp; Expansion of Equipment Workshop at Napindan Equipment Yard (Phase II) Napindan Hydraulic Control Structure Compound, J.P. Rizal St., Brgy. East Rembo, Makati City</t>
  </si>
  <si>
    <t>DSWD Center and Residential Care Facilities Grocery for CY 2020</t>
  </si>
  <si>
    <t>20PC0001CS- Consultancy Services for the Geotechnical Investigation for Bridge and Flood Control Projects  Package I: 1.)  Construction of Rakiang Bridge-Cadaclan, Construction of Kirut Bridge-Eva Gar</t>
  </si>
  <si>
    <t>20GKK0024 – Supply and Delivery of Consumable Supplies to be used for Kyocera Printers at BAC, Supply, Cash Unit, Construction, PDS and Maintenance Section</t>
  </si>
  <si>
    <t>Renovation of MDRRMO Building, Carmen, Cotabato</t>
  </si>
  <si>
    <t>Construction of Seawall, Barangay 4</t>
  </si>
  <si>
    <t>Improvement/Desilting of EDSA - Lumbang Drainage Main, District I, Makati City</t>
  </si>
  <si>
    <t>Disinfection Machine</t>
  </si>
  <si>
    <t>Construction of Flood Protection and Control Project (Phase IV) for Tanjay River</t>
  </si>
  <si>
    <t>IMPROVEMENT OF STREET LIGHTING-NASIPIT-BOLOCBOLOC</t>
  </si>
  <si>
    <t>Laboratory Equipment</t>
  </si>
  <si>
    <t>IMPROVEMENT OF STREET LIGHTING-POBLACION</t>
  </si>
  <si>
    <t>20GKK0031 – Supply and Delivery of Nylon to be used for Vegetation Control along BCIR and GCVR Section</t>
  </si>
  <si>
    <t>20GKK0029 – Supply and Delivery of Sand to be used for Asphalting Works along BCIR</t>
  </si>
  <si>
    <t>COMPLETION OF BUAYA BARANGAY HEALTH CLINIC, MAPITPITA,BUAYA, BALBALAN</t>
  </si>
  <si>
    <t>20GKK0027 – Supply and Delivery of Grasscutter/BrushCutter to be used by Maintenance Roadside Worker for Vegetation Control along BCIR and GCVR</t>
  </si>
  <si>
    <t>REHABILITATION OF BARANGAY HALL</t>
  </si>
  <si>
    <t>PR# 20-0843- 6,500 prefilled syringe epoetin ALFA 4000iu 1ml 5,000 prefilled syringe epoetin BETA 5000iu 3ml 500 prefilled syringe INSULIN GLARGINE 100iu/ml 3ml 250 vials ISOPHANE INSULIN HUMAN (Recom</t>
  </si>
  <si>
    <t>20GKK0028 – Supply and Delivery of Asphalt Pen. Grade 60/70 to be used for Act. 122 - Cracks and Joint Sealing of Concrete Pavement along BCIR</t>
  </si>
  <si>
    <t>Rehabilitation of Magallanes Medicare Community Hospital</t>
  </si>
  <si>
    <t>Concreting of Open Space at Carmen Eco Park &amp; Resort</t>
  </si>
  <si>
    <t>Construction of Warehouse at PEO/PGSO</t>
  </si>
  <si>
    <t>Construction/Establishment of Emergency Operation Center (EOC) DRRM Operation Center</t>
  </si>
  <si>
    <t>Construction of Pathway at Sitio Sagkahan, Brgy. Piot</t>
  </si>
  <si>
    <t>Supply and Delivery of Bailing Machine (for Residual Waste)</t>
  </si>
  <si>
    <t>Repair/Rehabilitation of Drainage Canals and Canal Covering Surrounding the Tanjay City Public Market</t>
  </si>
  <si>
    <t>Construction/Development of Water System at Brgy. Manlabong</t>
  </si>
  <si>
    <t>Construction of Multi-Purpose Pavement at DFBDSMH (Phase II)</t>
  </si>
  <si>
    <t>Concreting of Access Road to Community Fish Landing at Brgy. Central</t>
  </si>
  <si>
    <t>Construction and Rehabilitation of Brgy. Child Development Centers</t>
  </si>
  <si>
    <t>20EB0123: Repair/Maintenance of Tilik  Flood Control, Lubang, Occidental Mindoro</t>
  </si>
  <si>
    <t>CONDUCT OF SONAR SURVEY</t>
  </si>
  <si>
    <t>Construction of Flood Control/Protection at San Antonio (Sapa)</t>
  </si>
  <si>
    <t>INVITATION TO BID FOR THE PROCUREMENT OF SITE DEVELOPMENT (PHASE V) Design and Build</t>
  </si>
  <si>
    <t>20GKK0030 – Supply and Delivery of Road Primer to be used for the Thermoplastic Application along BCIR</t>
  </si>
  <si>
    <t>CLUSTER IX - Gubat, Sorsogon</t>
  </si>
  <si>
    <t>Desilting / Cleaning of Pacheco Drainage Main, Tondo, District I, Manila</t>
  </si>
  <si>
    <t>CLUSTER VIII - Irosin &amp; Bulusan, Sorsogon</t>
  </si>
  <si>
    <t>Improvement of Catmon-Niugan Creek, Malabon City</t>
  </si>
  <si>
    <t>Construction of Access Road within the Sanitary Landfill</t>
  </si>
  <si>
    <t>FERTILIZERS AND SEEDS FOR URBAN AGRICULTURE GARDENING</t>
  </si>
  <si>
    <t>Improvement of Casili Creek, District II, Caloocan City</t>
  </si>
  <si>
    <t>CLUSTER VI - Donsol &amp; Castilla, Sorsogon</t>
  </si>
  <si>
    <t>SUPPLY AND DELIVERY OF ONE HUNDRED FIFTY THOUSAND (150,000) KILOGRAMS OF SEAWEED SEEDLINGS (Kappaphycus alvarezii)</t>
  </si>
  <si>
    <t>Drugs &amp; Medicines use in Siocon District Hospital</t>
  </si>
  <si>
    <t>Improvement / Maintenance of Blumentritt Interceptor and Vicinities, Sampaloc, District IV, Manila</t>
  </si>
  <si>
    <t>Construction of Covered Court in Tabao-Ambil</t>
  </si>
  <si>
    <t>Rehabilitation / Bank Improvement of Estero De Magdalena Tondo, District II, Manila</t>
  </si>
  <si>
    <t>Improvement of Saranai Creek (Phase II) District I, Caloocan City</t>
  </si>
  <si>
    <t>Procurement of Materials and Supplies for Pro-poor Project at North Section (Brgy. Sto. Niño to Dumlog) - PR 2020-05-044</t>
  </si>
  <si>
    <t xml:space="preserve">20BA0060: CONSTRUCTION OF RAINWATER COLLECTION SYSTEM (RWCS): 1. BASCO MUNICIPAL BUILDING 2. CHANARIAN BRGY. HALL 3. DPWH BATANES DEO ADMIN. BUILDING 4. DPWH BATANES DEO, AREA EQUIPMENT BLDG. 5. DPWH </t>
  </si>
  <si>
    <t>Dredging / Deepening of Buwaya Creek and its Vicinities, (Inside Camp Aguinaldo) District III, Quezon City</t>
  </si>
  <si>
    <t>B20200182 - RURAL ELECTRIFICATION AT RAMADA COMPOUND, STO NINO, CUMABUGAN, TAGUM CITY, DDN</t>
  </si>
  <si>
    <t>B20200198 - RENOVATION OF TEEN TAMBAYAN, DDNSC COMPOUND TAGUM CITY, DDN</t>
  </si>
  <si>
    <t>Replacement of Windows at College Building</t>
  </si>
  <si>
    <t>B20200181 - CONSTRUCTION OF POTABLE WATER SYSTEM, PUROK 6 (REVISED) AT BRGY. SANTIAGO, ASUNCION, DDN</t>
  </si>
  <si>
    <t>Construction of Riprap at Paniquian Irrigation at Poblacion, Pilar, Bataan</t>
  </si>
  <si>
    <t>Repair of the ORC Building</t>
  </si>
  <si>
    <t>Construction of Two Units Makeshift Building for Livelihood Project in Sitio Limite, Brgy. Daja Daku, San Isidro, Leyte, ABC PHP1,318,234.84</t>
  </si>
  <si>
    <t>B20200199 - ESTABLISHMENT OF MULTIPLIER FARM PROJECT (PHASE 2)</t>
  </si>
  <si>
    <t>Rehabilitation of Slaughter House</t>
  </si>
  <si>
    <t>B20200183 - CONSTRUCTION OF BAHAY SILANGAN FOR REFORMATION OF DRUG PERSONALITIES AT BRGY. MANKILAM, TAGUM CITY, DDN</t>
  </si>
  <si>
    <t>Construction of Multi-purpose Building (Agricultural Training Institute)</t>
  </si>
  <si>
    <t>Concreting of City Road (Purok 4)</t>
  </si>
  <si>
    <t>Concreting of City Road (Bayuga Street)</t>
  </si>
  <si>
    <t>Consulting Services for CLUP Formulation</t>
  </si>
  <si>
    <t>CLUSTER V - Matnog &amp; Sta. Magdalena, Sorsogon</t>
  </si>
  <si>
    <t>CLUSTER IV - Juban, Sorsogon</t>
  </si>
  <si>
    <t>CLUSTER I - Irosin, Sorsogon</t>
  </si>
  <si>
    <t>Concreting of Diangas to Guimotan Road</t>
  </si>
  <si>
    <t>Completion of Highway Junction Tumbaga Road</t>
  </si>
  <si>
    <t>Rehabilitation/Reconstruction of Single Barrel Box Culvert at Brgy. Central</t>
  </si>
  <si>
    <t>Improvement/Deepening of Makati-Pateros River, District II, Makati City</t>
  </si>
  <si>
    <t>Completion of Multi-Purpose Hall Cum Evacuation Center at Gallanosa National High School</t>
  </si>
  <si>
    <t>SUPPLY &amp; DELIVERY OF VEHICLES (HEAVY EQUIPMENTS)</t>
  </si>
  <si>
    <t>Construction of Reception/Guardhouse Building (Phase I) Carmen Eco Park</t>
  </si>
  <si>
    <t>Procurement of One (1) Lot Internet Subscription Expenses for PNP DICTM- 5020503000-PNP-DICTM-20-04</t>
  </si>
  <si>
    <t>Procurement of One (1) Lot Information and Communications Technology (ICT) Equipment for the PNP CPSM- PNPTR-CPSM-DP-20-01</t>
  </si>
  <si>
    <t>Concreting of Tanguile St. (from Molave Ave. - Sampaloc St. to Lawaan St.)</t>
  </si>
  <si>
    <t>PROCUREMENT OF VARIOUS IT SUPPLIES/ EQUIPMENT, JANITORIAL AND ELECTRICAL SUPPLIES AND OFFICE SUPPLIES OF BFAR6 FOR CY 2020</t>
  </si>
  <si>
    <t>Construction of Incarizan Footbridge with Slope Protection</t>
  </si>
  <si>
    <t>CONSTRUCTION OF FLOOD CONTROL - PANDAYAN,  SAN  JUAN, ILOCOS SUR</t>
  </si>
  <si>
    <t>Two (2) Years and Six (6) Months Contract for Janitorial Services (July 2020 to December 2022)</t>
  </si>
  <si>
    <t>IB No. 2004-254 Proc. of Goods (Security Services)(Rebid)</t>
  </si>
  <si>
    <t>Purchase of 60 Heads Female Carabao for the used of integrated Carabao  based Production project</t>
  </si>
  <si>
    <t>UPGRADED GOAT PROGRAM</t>
  </si>
  <si>
    <t>Supply and Delivery of PCB Board Cutter and Other Items (2nd Bidding)</t>
  </si>
  <si>
    <t>INFRA 2K20-42 CONST. OF CAPABILITY DEVELOPMENT CENTER FOR LAW ENFORCERS &amp; DISASTER RISK REDUCTION MANAGEMENT OFFICES (RENOV./IMPROV’T. OF FORMERLY ZAMBOANGA DEL SUR SPORTS ACADEMY FOR THE PROPOSED PDR</t>
  </si>
  <si>
    <t>Improvement of Bangkulasi Cut-Off Channel and Vicinity, Navotas City</t>
  </si>
  <si>
    <t>Local Program - Rehabilitation/Improvement of along Daang Maharlika Highway Jct. Legazpi-Sto. Domingo-Camarines Sur Bdry. Road - K0528+760-K0529+533, K0530+000-K0532+616, Legazpi City</t>
  </si>
  <si>
    <t>FUEL, OIL LUBRICANTS (LGU)</t>
  </si>
  <si>
    <t>Supply and Delivery of Laptops and Other Items (2nd Bidding)</t>
  </si>
  <si>
    <t>ITB-GS-20200323-01 - 1 Lot Supply, Delivery and Installation of Systems Furniture for LANDBANK Malolos Highway Office Building</t>
  </si>
  <si>
    <t>Concreting of Rosal St.. (from Lawaan St. - Rambutan St. and Everlasting St. - Cadena de Amor St.)</t>
  </si>
  <si>
    <t>IB No. 2006-309 Proc. of Goods (Rabies Vaccine and Others)</t>
  </si>
  <si>
    <t>CLUSTER II - Magallanes &amp; Sta. Magdalena, Sorsogon</t>
  </si>
  <si>
    <t>INFRA 2K20-43 RENOVATION AND IMPROVEMENT OF 2- STOREY PSWD BUILDING</t>
  </si>
  <si>
    <t>IB No. 2006-310 Proc. of Goods (Supply and Installation of Close Circuit Television Security)</t>
  </si>
  <si>
    <t>INVITATION TO BID FOR Drugs and Medicines for the Month of AUGUST 2020</t>
  </si>
  <si>
    <t>INFRA 2K20-44 REPAIR/IMPROVEMENT OF COMMON BUILDING AND FACILITIES (BUILDING B) FOR RTC AND ZDSMC WARD</t>
  </si>
  <si>
    <t>Procurement of Brand New Ambulance Vehicle for the use of Malay Municipal Hospital, Malay, Aklan/ITB no: 2020-328</t>
  </si>
  <si>
    <t>CONSTRUCTION OF GOAT BARN, CARE TAKER'S  HUT AND PERIMETER FENCE</t>
  </si>
  <si>
    <t>20GM0071 - Concreting of Sitio Batbat to Sitio Tis-an, Brgy. Isio FMR,  Brgy. Isio, Cauayan, Negros Occidental</t>
  </si>
  <si>
    <t>Purchase of Materials for the Construction of Sea Ambulance</t>
  </si>
  <si>
    <t>Contracting of Security Services (Blue Guards) for Twelve Months Province of Northern Samar</t>
  </si>
  <si>
    <t>Concreting of Kawayan St. (from Sampaguita Ave. - Gumamela St.)</t>
  </si>
  <si>
    <t>Supply and Delivery of Various Medical Supplies</t>
  </si>
  <si>
    <t>Procurement of Powdered Milk Drink for the use in Supplemental Feeding to Pre-School Children, Province of Aklan /ITB no: 2020-327</t>
  </si>
  <si>
    <t>Procurement of construction materials for Concreting of Municipal Road at Ngileb</t>
  </si>
  <si>
    <t>BPSU Abucay Campus: – Supply, Delivery and Installation of Furniture and Fixtures for the Completion of 2-Storey Academic Building 2</t>
  </si>
  <si>
    <t>PR# 20-0904- 2 units Brand New Barge</t>
  </si>
  <si>
    <t>Const. Of NCDC Building</t>
  </si>
  <si>
    <t>Procurement of  construction  of  multi-purpose  building at Sitio Daruca, Poblacion</t>
  </si>
  <si>
    <t>CONSTRUCTION OF LOCAL ACCESS ROAD TO SANITARY LANDFILL BRGY. KALYAAT LUCBAN, QUEZON</t>
  </si>
  <si>
    <t>ITB for Procurement of Water Dispenser</t>
  </si>
  <si>
    <t>Concreting of Molave St. (from Lawaan St. - Kawayan St.)</t>
  </si>
  <si>
    <t>PEO-20-0543 B- Procurement of Balance Weight for use in the Material Testing and Quality Control Section assigned at PEP, Sta. Barbara, Iloilo</t>
  </si>
  <si>
    <t>PEO-20-0501 B- Procurement of Construction Materials for the Improvement of Leon – Omambong – Cordova Road, Tigbauan, Iloilo</t>
  </si>
  <si>
    <t>Supply and Delivery of Lot 1- 1-unit Light Cargo Truck, 6 wheelers &amp; Lot 2- 1-unit Light Cargo Truck 4 or 6 Wheelers for the Implementation</t>
  </si>
  <si>
    <t>20LA0309 Rehabilitation of Multi-Purpose Building (Senior Citizen B uilding) Brgy. Poblacion, Nabunturan, Compostela Valley</t>
  </si>
  <si>
    <t>Supply and Delivery of Furniture and Fixtures for Community Based Processing Facility Establishment</t>
  </si>
  <si>
    <t>Rehabilitation of Maria Clara-San Isidro Road</t>
  </si>
  <si>
    <t>Procurement BY LOT of DISTRIBUTION TRANSFORMER, ELECTRIC GENERATOR SET and AUTOMATIC TRANSFER SWITCH for the Use of the Provincial DRRM Council Command Center</t>
  </si>
  <si>
    <t>PEO-20-0545 B- Procurement of Technical and Scientific Equipment for use in the Material Testing and Quality Control Section, PEP, Sta, Barbara, Iloilo</t>
  </si>
  <si>
    <t>PEO-20-0547 B- Procurement of Spare Parts for use in the repair and maintenance of Hino Dump Trucks (NDT-41-50) Model: FG1JGUE-TGL assigned at PEP, Sta. Barbara, Iloilo</t>
  </si>
  <si>
    <t>20M00079- Construction/Improvement of Various Infrastructure in Support of National Security – Construction of SK Pendatun Municipal Police Station Building, Gen. Salipada SK Pendatun, Maguindanao</t>
  </si>
  <si>
    <t>Supply and Delivery of Various Agricultural Equipment</t>
  </si>
  <si>
    <t>Supply and Delivery of Agricultural and Forestry Equipment for Community Based Processing Facility Establishment</t>
  </si>
  <si>
    <t>PB 2020-29 (GOODS) - Lease of Servers for Datawarehouse Systems</t>
  </si>
  <si>
    <t>20CSHN02 -Conduct of Appraisal Services involving Road Widening – Tertiary Roads - Hernan Cortes St - Chainage 1380 –  Chainage 2330, Mandaue City</t>
  </si>
  <si>
    <t>WDDSP-TWD-IFB-G03b</t>
  </si>
  <si>
    <t>CONSTRUCTION OF CONCRETE FOOT BRIDGE (CALAIS)</t>
  </si>
  <si>
    <t>20BF0054: Concreting of Katuday-Simimbaan Road, Brgy. Bantug and Brgy. Simimbaan, Sta. 0+000 to Sta. 3+600, Roxas, Isabela</t>
  </si>
  <si>
    <t>20BF0052: Concreting of Road, Brgy. Bannawag, Aurora, Isabela</t>
  </si>
  <si>
    <t>Procurement of STEEL PLATE, 16MM X 4' X 8' CRS (5/8")</t>
  </si>
  <si>
    <t>20FO0092 - Construction of Covered Court, Brgy. La Medalla, Polangui, Albay</t>
  </si>
  <si>
    <t>Petroleum, Oil and Lubricants</t>
  </si>
  <si>
    <t>20LA0279 Construction of Concrete Road, Lumatab to Binuangan, Maco, Compostela Valley</t>
  </si>
  <si>
    <t>SUPPLY AND DELIVERY OF LOT 1: 100 BAGS GLUTINOUS CORN SEEDS @ 18KG/BAG</t>
  </si>
  <si>
    <t>20LA0256 Rehabilitation of MPB (GYM), Brgy. Ampawid, Laak, Compostela Valley</t>
  </si>
  <si>
    <t>20BF0053: Concreting of Road, Brgy. San Antonio, Roxas, Isabela</t>
  </si>
  <si>
    <t>PB INFRA 20-029_Concreting of Bulacaon Road, Pigcawayan, Cotabato</t>
  </si>
  <si>
    <t>20LA0280 Construction of Concrete Road, Libaylibay-New Visayas, Sangab, Calabcab Limbo to Mawab-Maragusan Road, Mawab, Compostela Valley</t>
  </si>
  <si>
    <t>PB INFRA 20-032_Concreting of Road, Purok 5, Gubatan, Magpet, Cotabato</t>
  </si>
  <si>
    <t>Construction of 4KM Covered Canal (Phase 2) - ITB 025-2020 GQ</t>
  </si>
  <si>
    <t>For MLWD Collectors - PR # 2020-11991</t>
  </si>
  <si>
    <t>CONSTRUCTION OF PWD'S TRAINING CENTER</t>
  </si>
  <si>
    <t>PB INFRA 20-023_Concreting of Road, Lower Glad, Midsayap, Cotabato</t>
  </si>
  <si>
    <t>PB 2020-30 (GOODS) - Lease of Storage and Automated Tape Library for Datawarehouse and Various Systems</t>
  </si>
  <si>
    <t>NE 63R - PAITAN SWIP</t>
  </si>
  <si>
    <t>Renovation of Old Female Comfort Room</t>
  </si>
  <si>
    <t>INVITATION TO BID FOR THE PROCUREMENT OF LABOR &amp; MATERIALS FOR RENOVATION OF DRY MARKET LOCATED AT BLOCK 2, MARKET SITE, BARANGAY POBLACION, MONKAYO DAVAO DE ORO</t>
  </si>
  <si>
    <t>NE 62R - SIMIMBAAN SWIP</t>
  </si>
  <si>
    <t>ITB-GS-20200407-01 - Supply, Delivery, Installation &amp; Configuration of Privileged Access Management (PAM) Solution  with Hardware Appliance with Three (3) Years Warranty</t>
  </si>
  <si>
    <t>Two (2) Years and Six (6) Months Contract for Security Services (July 2020 to December 2022)</t>
  </si>
  <si>
    <t>ITB-GS-20200402-01 - Supply and Delivery of 250 Units Gigabit Ethernet Switch</t>
  </si>
  <si>
    <t>Procurement of Assorted Goods for Centers/Institutions (HFG &amp; RSCC)</t>
  </si>
  <si>
    <t>INVITATION TO BID FOR THE PROCUREMENT OF LABOR &amp; MATERIALS FOR ESTABLISHMENT OF TOURISM INFORMATION CENTER LOCATED AT POBLACION MONKAYO DAVAO DE ORO</t>
  </si>
  <si>
    <t>(19Z00042) Contract Package -1, Design and Build of the Ambal-Simuay River and Rio Grande De Mindanao Flood Control Projects</t>
  </si>
  <si>
    <t>ITB-GS-20200325-01 - One (1) Year Courier Services for LANDBANK Credit Cards, Statement of Accounts and Other Credit Card Related Parcels</t>
  </si>
  <si>
    <t>PB INFRA 20-031_Concreting of Road, Brgy. Tubon,Pigcawayan, Cotabato</t>
  </si>
  <si>
    <t>(PGSO) REQUEST FOR QUOTATION (RFQ)  For the Procurement of RSS Refrigerant 30 pounds/13.60kg, (SF) w/ Recyclable Cylinder, etc. For the Provincial General Services Office--216,075.00</t>
  </si>
  <si>
    <t>Completion for Sergio Osmeña Street going Mabuhay Central Elementary School</t>
  </si>
  <si>
    <t>Supply and Delivery of various Plumbing Materials and Fittings for Upgrading of Water Meters</t>
  </si>
  <si>
    <t>CONSTRUCTION OF ROCK CAUSEWAY (SOLAR)</t>
  </si>
  <si>
    <t>VEHICLE PARTS AND ACCESSORIES</t>
  </si>
  <si>
    <t>Contract Labor and Materials for the Expansion of Potable Water System Level III at Prk. 14, Poblacion Laak, Davao De Oro</t>
  </si>
  <si>
    <t>Contract Labor and Materials for the Expansion of Potable Water System Level III at Prk. 15 &amp; 16, Poblacion Laak, Davao De Oro</t>
  </si>
  <si>
    <t>INVITATION TO SUBMIT QUOTATION  FOR CATERING SERVICES WITH VENUE AND ACCOMMODATION  DURING THE 2020 CENSUS OF POPULATION AND HOUSING (2020 CPH)  SECOND LEVEL TRAINING ON JULY 20-JULY 25, 2020  AT TUGU</t>
  </si>
  <si>
    <t>Contract Labor and Materials for the Expansion of Potable Water System Level III at Prk. 17 &amp; 18, Poblacion Laak, Davao De Oro</t>
  </si>
  <si>
    <t>Contract Labor and Materials for the Expansion of Potable Water System at Prk. 6, 7, 8 &amp; 9, Poblacion Laak, Davao De Oro</t>
  </si>
  <si>
    <t>Supply and Delivery of Forest Trees Seedlings under Municipal Greening Program of MENRO - Laak, Davao De Oro</t>
  </si>
  <si>
    <t>Lot1-Purchase of Anti-rabies vaccine for MHO use</t>
  </si>
  <si>
    <t>Contract Labor and Materials for the Expansion of Potable Water System Level III at Brgy. Concepcion, Laak, Davao De Oro</t>
  </si>
  <si>
    <t>SD of 100 pcs Interment flag 3 ftx6 ft &amp; 2 others</t>
  </si>
  <si>
    <t>ROAD CONCRETING (DOUBLE LANE) BULAWAN ST., MABILA, (8000-2-2-14), SARANGANI, DAVAO OCCIDENTAL.</t>
  </si>
  <si>
    <t>Office supplies</t>
  </si>
  <si>
    <t>Procurement of Vacuum Truck for the Septage Treatment Plant of Norzagaray Water District</t>
  </si>
  <si>
    <t>20CSBF0001: Soil Testing/Exploration for the Construction of Flood Control @ Aurora; Luna; Quirino; Roxas; Burgos, Isabela</t>
  </si>
  <si>
    <t>CONTRACT ID: 20-05-083 - PROCUREMENT OF FAMILY PLANNING COMMODITIES</t>
  </si>
  <si>
    <t>CONSTRUCTION OF BOX CULVERT CREEK 2 TORANG, CAMALIG, (8000-2-2-9), SARANGANI, DAVAO OCCIDENTAL.</t>
  </si>
  <si>
    <t>Procurement of School Armchairs for Marawi Rehabilitation Program</t>
  </si>
  <si>
    <t>Supply and Delivery of Construction Materials for the Municipal Eco-Park Development</t>
  </si>
  <si>
    <t>20GAE0007: Supply and Delivery of Global Navigation Satellite System (GNSS) Equipment for use in the Pre-Detailed Engineering Activities of Personnel Under Planning and Design Section, DPWH-LU 1st DEO</t>
  </si>
  <si>
    <t>20KA0141 Paving of Unpaved Roads with Construction of Road Slope Protection Structure along Jct SH Aglayan-Zamboanguita Rd (S00631MN) - K1569 + 187 - K1570 + 092 (Package 2 - K1569 + 607 - K1570 + 092</t>
  </si>
  <si>
    <t>20KA0140 Paving of Unpaved Roads with Construction of Road Slope Protection Structure along Kapalong-Talaingod-Valencia (Bukidnon) Rd (S00641MN) -  K1582 + 587 - K1582 + 734 (Package 2 - K1582 + 587 -</t>
  </si>
  <si>
    <t>20KA0139 Road Widening along Jct SH Aglayan-Zamboanguita Rd (S00631MN) - K1523 + 850 - K1525 + 500 (Package 2 - K1525 + 340 - K1525 + 500) Malaybalay City, Bukidnon</t>
  </si>
  <si>
    <t>20KA0138 Construction of Multi Purpose Building - Construction of Multi-Purpose  Building, Brgy. Iba, Cabanglasan, Bukidnon (Phase I) Cabanglasan, Bukidnon</t>
  </si>
  <si>
    <t>20KA0137 Paving of Unpaved Roads with Construction of Road Slope Protection Structure along Jct SH Aglayan-Zamboanguita Rd (S00631MN) - K1569 + 187 - K1570 + 092 (Package 1 - K1569 + 187 - K1569 + 607</t>
  </si>
  <si>
    <t>20HG0161 (RE-BID) - Local Program, Local Roads and Bridges, Local Bridge, Construction of Canbantug-Linut-od Bridge</t>
  </si>
  <si>
    <t>CONSTRUCTION OF BOX CULVERT CREEK 3 TORANG, CAMALIG, (8000-2-2-10), SARANGANI, DAVAO OCCIDENTAL</t>
  </si>
  <si>
    <t>SUPPLY AND DELIVERY OF DRUGS AND MEDICINES</t>
  </si>
  <si>
    <t>20-DO-0079:LOCAL PROGRAM - Local Infrastructure Program - Building and Other Structures - Multipurpose/Facilities - Construction of Multi-Purpose Building and Facilities, San Francisco St., Brgy. Patu</t>
  </si>
  <si>
    <t>PROCUREMENT FOR THE SUPPLY, DELIVERY, AND INSTALLATION OF CENTER LABORATORY TABLE WITH SINK AND LABORATORY FUMEHOOD FOR USE IN SATELLITE LABORATORIES OF PLANT PRODUCT SAFETY SERVICES DIVISION (PPSSD)</t>
  </si>
  <si>
    <t>PROCUREMENT FOR THE SUPPLY, DELIVERY, AND INSTALLATION OF MICROWAVE DIGESTION SYSTEM FOR USE IN SATELLITE LABORATORIES OF PLANT PRODUCT SAFETY SERVICES DIVISION (PPSSD)</t>
  </si>
  <si>
    <t>Various Projects of Barangay Poblacion, Bugallon, Pangasinan</t>
  </si>
  <si>
    <t>PROCUREMENT FOR THE SUPPLY, DELIVERY, AND INSTALLATION OF INDUCTIVELY COUPLED PLASMA-OPTICAL EMISSION SPECTROMETRY FOR USE IN SATELLITE LABORATORIES OF PLANT PRODUCT SAFETY SERVICES DIVISION (PPSSD)</t>
  </si>
  <si>
    <t>Concreting of Sitio Malbog Road</t>
  </si>
  <si>
    <t>Catering services for the food provision and water consumption to 50 LGU personnel,BHERT's and Quarantiners in all Ligtas COVIS 19 Centers in the Municipality for the May 27 to June 30, 2020.</t>
  </si>
  <si>
    <t>20HG0162 (RE-BID) - Local Program, Local Roads and Bridges, Local Bridge, Construction of Lanao Bridge</t>
  </si>
  <si>
    <t>Contract Labor and Materials for the Expansion of Potable Water System Level III - Brgy. Poblacion (Prk. 13), Laak, Davao De Oro</t>
  </si>
  <si>
    <t>Rehabilitation/Improvement of Level II Water System</t>
  </si>
  <si>
    <t>Improvement Of Barangay Road</t>
  </si>
  <si>
    <t>RE-BIDDING-Procurement of IT Equipment &amp; Office Equipment(Smoke Free Program)-RHU,Lopez Jaena</t>
  </si>
  <si>
    <t>Contract Labor and Materials for the Expansion of Potable Water System Level III at Prk. 4 &amp; 5, Poblacion Laak, Davao De Oro</t>
  </si>
  <si>
    <t>(20P00009)- (BLISTT), Asin - Nangalisan Jct. - Bayabas - Monglo Jct. (Section 1 of BLISTT Outer Ring Circumferential Road), Benguet</t>
  </si>
  <si>
    <t>(20P00005)- (BLISTT) Taloy Norte Jct. - San Pascual Brgy. Hall Jct. (Section 7 of BLISTT Outer Ring Circumferential Road)</t>
  </si>
  <si>
    <t>Supply and Delivery of Agriculture Machinery Equipment</t>
  </si>
  <si>
    <t>(20P00017)-(BLISTT), Labey – Lacamen Provincial Road (Section 4A of BLISTT Outer Ring Circumferential Road), Sta. 0 + 317 – Sta. 1 + 378, Sta.  4 + 632 - Sta. 5 + 250, Sta. 6 + 014 - Sta. 6 + 518</t>
  </si>
  <si>
    <t>Purchase of High Angle Rescue Equipment</t>
  </si>
  <si>
    <t>ITB and Bid Docs for Procurement ID/Contract ID:    20C00036  Contract Name:      Local Program – Local Infrastructure Program – Buildings and Other Structures – Multi Purpose Facilities – Constructio</t>
  </si>
  <si>
    <t>Invitation to Bid for the Purchase of One (1) Unit Multi-Purpose Vehicle for MDRRMO</t>
  </si>
  <si>
    <t>(20P00006)- (BLISTT), Labey – Lacamen Provincial Road (Section 4B of BLISTT Outer Ring Circumferential Road), Package 1 and 2, Sta. 2 + 324 – Sta. 2 + 494, Sta. 2 + 510 - Sta. 2 + 880</t>
  </si>
  <si>
    <t>RE-BIDDING-Procurement of PTZ High Difinition Camera(monitor accident prone areas)-MDRRMO,Lopez Jaena</t>
  </si>
  <si>
    <t>NATURAL FERTILIZER MAKING LIVELIHOOD PROJECT</t>
  </si>
  <si>
    <t>WHITE CORN PROCESSING LIVELIHOOD PROJECT</t>
  </si>
  <si>
    <t>Various Laboratory Supplies_PR 10809</t>
  </si>
  <si>
    <t>Purchase of Eleven (11) Units Laptop for the Use of Sangguniang Bayan</t>
  </si>
  <si>
    <t>ENHANCING THE LIVELIHOOD OF TINANANG INCORPORATED (TI) THROUGH HEIRLOOM RICE PROCESSING</t>
  </si>
  <si>
    <t>BANANA AND TARO PROCESSING</t>
  </si>
  <si>
    <t>HEIRLOOM RICE PROCESSING</t>
  </si>
  <si>
    <t>One (1) Lot – Software Subscription, Maintenance and Local Support Services for Oracle Software Licenses as per BSP Terms of Reference and Service Level Agreement (Multi-year Contract for Three Years)</t>
  </si>
  <si>
    <t>CONSTRUCTION OF STORM SURGE PROTECTION, BULARAN, BANATE, ILOILO</t>
  </si>
  <si>
    <t>SUSTAINING THE LIVELIHOOD OF SMALL COFFEE FARM-HOLDERS ALONG THE PINUKPUK-TABUK (PITA) WATERSHED AREA THROUGH ENHANCED COFFEE PRODUCTION AND PROCESSING</t>
  </si>
  <si>
    <t>Local Program: Construction/ Repair/ Rehabilitation/ Improvement of Buildings and Other Structures; Multi-Purpose/ Facilities; Construction of Multi-Purpose Building (Auditorium) at Brgy. Sto. Nino, M</t>
  </si>
  <si>
    <t>20FC0116 : ROAD OPENING / CONCRETING OF BRGY. ROAD OF VILLA BELEN – BRGY. SAN ANTONIO – BRGY. MABINI, CAPALONGA, CAMARINES NORTE</t>
  </si>
  <si>
    <t>FRUIT WINE PROCESSING</t>
  </si>
  <si>
    <t>20FC0114 : ROAD OPENING / CONCRETING OF BRGY. CANAPAWAN – BRGY. CABATUHAN, LABO, CAMARINES NORTE</t>
  </si>
  <si>
    <t>BANANA CHIPS PROCESSING LIVELIHOOD PROJECT</t>
  </si>
  <si>
    <t>20FC0113 : CONSTRUCTION OF DRAINAGE SYSTEM, BARANGAY GUMAMELA, LABO CAMARINES NORTE</t>
  </si>
  <si>
    <t>(19Z00001) Arterial Road Bypass Project (Plaridel Bypass), Phase III, Contract Packages 1 &amp; 2, KO0034+900.00 to KO0047+400.00, JICA Loan Agreement No. PH-P266</t>
  </si>
  <si>
    <t>PROVISION OF PROCESSING CENTER AND PROCESSING FACILITIES FOR THE ENHANCEMENT OF BANANA PROCESSING INDUSTRY</t>
  </si>
  <si>
    <t>Conduct of  Feasibility Study of BOSIGON  IRRIGATION PROJECT, Labo, Vinzons, &amp; Paracale, Camarines Norte</t>
  </si>
  <si>
    <t>20FC0115 : ROAD OPENING / CONCRETING OF BRGY. CABATUHAN, LABO, CAMARINES NORTE</t>
  </si>
  <si>
    <t>HARDWARE SUPPLIES, ASSTD</t>
  </si>
  <si>
    <t>UPS</t>
  </si>
  <si>
    <t>20FC0112 : CONSTRUCTION OF TWELVE (12) UNITS REINFORCED CONCRETE RAINWATER COLLECTOR SYSTEM (RWCS), Labo, Paracale, Jose Panganiban, Mercedes, Talisay, Daet, Camarines Norte</t>
  </si>
  <si>
    <t>DEVELOPMENT OF TOURIST PARKING(Construction of Perimeter Fence with Entrance Gate)</t>
  </si>
  <si>
    <t>VEGETABLE PROCESSING LIVELIHOOD PROJECT (INREMP-LES2) – LOT 2</t>
  </si>
  <si>
    <t>VEGETABLE PROCESSING LIVELIHOOD PROJECT (INREMP-LES2) – LOT 1</t>
  </si>
  <si>
    <t>Consulting Service for the Support and Maintenance of the Business Name Registration System Next Generation (BNRSNextGEN)</t>
  </si>
  <si>
    <t>SUPPLY, DELIVERY AND INSTALLATION OF SSF EQUIPMENT FOR SUGARCANE PROCESSING</t>
  </si>
  <si>
    <t>CONSTRUCTION OF WOOD VINEGAR FACILITY</t>
  </si>
  <si>
    <t>ENHANCING THE LIVELIHOOD OF MALING FARMERS SAVINGS AND LIVELIHOOD ASSOCIATION (MAFASLA) THROUGH COFFEE PROCESSING</t>
  </si>
  <si>
    <t>ENHANCING THE LIVELIHOOD OF THE SURUNG WATERSHED COMMUNITY THRU COFFEE PROCESSING CENTER AND FACILITIES</t>
  </si>
  <si>
    <t>Concreting of 1KM Culasian-Motong Farm to Market Road.</t>
  </si>
  <si>
    <t>Supply of Labor, Tools, Materials and Technical Supervision for the General Cleaning and Repair of Aircondition Units.</t>
  </si>
  <si>
    <t>Supply and Delivery of Upland Rice Seeds in Occidental Mindoro</t>
  </si>
  <si>
    <t>20CSJD02 - Consultancy Services for the Geotechnical and Geological for the Proposed Construction of Four (4) Bridges (CLUSTER BATCH 1)</t>
  </si>
  <si>
    <t>PURCHASE OF REFLECTORIZED VEST WITH NAME PLATE &amp; LOGO</t>
  </si>
  <si>
    <t>20CSJD01 -  Consultancy Services for the Geotechnical and Geological Survey/Investigation for the Proposed Construction/Extension of Three (3) Flood Control Structures (CLUSTER BATCH 1)</t>
  </si>
  <si>
    <t>One (1) Lot Engagement of Consultant for the Assessment of Enterprise Risk, Business Continuity Management Frameworks and Development of Compliance Management Framework and Program for the Bangko Sent</t>
  </si>
  <si>
    <t>Construction of Bridge, Brgy. Bonga Menor, Bustos, Bulacan</t>
  </si>
  <si>
    <t>Purchase &amp; Installation of Communications Equipment for Bicol ( New Legazpi) International Airport (Re-Bid)</t>
  </si>
  <si>
    <t>1 Lot Provision of Labor, Materials and Equipment for the Repair/ Improvement of Isolation Room of Western Leyte Provincial Hospital in Baybay City, Leyte. ABC PHP701,936.82</t>
  </si>
  <si>
    <t>Procurement of Consultancy Services as Systems Integrator for the Supply, Delivery, Installation, and Maintenance of the Philippine Identification System</t>
  </si>
  <si>
    <t>Handheld Radios</t>
  </si>
  <si>
    <t>Supply and Delivery of Materials, Labor, Tools and Equipment for the Construction and Completion of Two (2) 110kW Hoist Foundation and Shelter of Mine 3 Project</t>
  </si>
  <si>
    <t>Lot 1: One (1) Lot Application of Polyurethane Foam on all BSP Buildings of BSP Cebu RO (see attached Scope of Work and Specifications)                                                                L</t>
  </si>
  <si>
    <t>20BG0137-Local Infrastructure Program - Buildings and Other Structures - Multipurpose/Facilities - Construction of Multi-Purpose Building (San Mariano Evacuation Center-Phase 2), Brgy. Minanga, San Ma</t>
  </si>
  <si>
    <t>20BG0136-Local Infrastructure Program - Buildings and Other Structures - Multipurpose/Facilities - Construction of Multi-Purpose Building (Municipal Building), Brgy. Napaccu Pequeño, Reina Mercedes, I</t>
  </si>
  <si>
    <t>ENHANCING THE LIVELIHOOD OF GAANG TRIBAL UNITY FOR DEVELOPMENT (GATUD) THROUGH HEIRLOOM RICE PROCESSING</t>
  </si>
  <si>
    <t>Lot 1: One (1) Unit Motor Vehicle for BSP Bacolod Branch, as per attached specifications  Lot 2: One (1) Unit Motor Vehicle for BSP Dumaguete Branch, as per attached specifications  Lot 3: One (1) Uni</t>
  </si>
  <si>
    <t>20BG0131-Local Infrastructure Program - Buildings and Other Structures - Multipurpose/ Facilities - Construction of Multi-purpose Building, Barangay Napaccu Pequeño, Reina Mercedes, Isabela</t>
  </si>
  <si>
    <t>CONSTRUCTION OF BOX CULVERT CREEK 1 TORANG, CAMALIG, (8000-2-2-12), 000000000SARANGANI, DAVAO OCCIDENTAL</t>
  </si>
  <si>
    <t>20BG0135-Local Infrastructure Program - Buildings and Other Structures - Multipurpose/Facilities - Construction of Multi-Purpose Building (Terminal Building), Brgy. Napaccu Pequeño, Reina Mercedes, Is</t>
  </si>
  <si>
    <t>THREE (3) - YEAR CONTRACT FOR SECURITY SERVICES:  NCR OPERATIONS GROUP</t>
  </si>
  <si>
    <t>CY 2020 BASIC EDUCATIONAL FACILITIES FUND (BEFF) REPAIR/IMPROVEMENT OF VARIOUS SCHOOL BUILDINGS – LOOC ES (ITB 2020-Infra-002)</t>
  </si>
  <si>
    <t>BIDDING FOR THE PROCUREMENT OF ONE (1) LOT INTEGRATED SECURITY SUITE FOR TWO (2) YEARS</t>
  </si>
  <si>
    <t>ITB No. GOP/20-DSWD-032 - Hiring of Service Provider for Customs Brokerage and Cargo Hauling Services for FY 2020</t>
  </si>
  <si>
    <t>20CSH022 - Procurement of  Consultancy Services for the Detailed Engineering Design (DED) Activities for various projects, Construction of Elevated Highway along Gen. Maxilom Ave. covering the junctio</t>
  </si>
  <si>
    <t xml:space="preserve">20CSH020 - Procurement of  Consultancy Services for the Detailed Engineering Design (DED) Activities for various projects, Construction of Interchange along F. Sotto St., cor. Gorordo Ave., Cebu City </t>
  </si>
  <si>
    <t>20CSH021 - Procurement of Consultancy Services for the Detailed Engineering Design (DED) Activities for various projects, Construction of Flyover along P. del Rosario St. from the junction of Osmena B</t>
  </si>
  <si>
    <t>CY 2020 BASIC EDUCATIONAL FACILITIES FUND (BEFF) REPAIR/IMPROVEMENT OF VARIOUS SCHOOL BUILDINGS – JOSE PLATON MS (ITB 2020-Infra-001)</t>
  </si>
  <si>
    <t>20CSH019 - Procurement of  Consultancy Services for the Detailed Engineering Design (DED) Activities for various projects, Construction of Underpass along Juan Luna Ave. from the junction of Archbisho</t>
  </si>
  <si>
    <t>20CSH016 - Procurement of Consultancy Services for the Detailed Engineering Design (DED) Activities for Various Infrastructure Projects, Construction of Interchange (Tri-Level) along M.C. Briones St.</t>
  </si>
  <si>
    <t>ITB and Bid Docs for Procurement ID/Contract ID:    20C00042 - Local Program-Construction/Repair/Rehabilitation/Improvement of various Infrastructure including Local Projects – Flood Control &amp; Drainag</t>
  </si>
  <si>
    <t>Supply and Delivery of Tools for the Repair and Maintenance of all OBM-Patrol Boats</t>
  </si>
  <si>
    <t>CONSTRUCTION OF WATER TANK, SO. GINATUNGAN, BARANGAY AMOT, BURDEOS, QUEZON</t>
  </si>
  <si>
    <t>Purchase of 2,600 Bags of Syntethic Fertilizers to be distributed to the farmers of Porac, Pampanga</t>
  </si>
  <si>
    <t>SUPPLY AND DELIVERY OF TOILET BOWL, CONSTITUENTS WITHOUT PUBLIC TOILET IN BARANGAY AMOT, BURDEOS, QUEZON</t>
  </si>
  <si>
    <t>WIDENING OF BARANGAY ROAD, (1) LAND OF TANCINCO AND (2) IN FRONT OF SCHOOL COMPONUD, BARANGAY AMOT, BURDEOS, QUEZON</t>
  </si>
  <si>
    <t>Procurement of Printing Services</t>
  </si>
  <si>
    <t>SIC-92 Hiring of Consultancy Services (Individual Consultant), i.e, Rural Infrastructure Engineer</t>
  </si>
  <si>
    <t>Construction of Balikatan Pumping Station (Civil Works)</t>
  </si>
  <si>
    <t>CY 2020 BASIC EDUCATIONAL FACILITIES FUND (BEFF) REPAIR/IMPROVEMENT OF VARIOUS SCHOOL BUILDINGS – SAN JUAN ES (ITB 2020-Infra-004)</t>
  </si>
  <si>
    <t>ITB-GS-20200305-03 - Supply &amp; Delivery of 4,300 Pcs. Ribbon for EPSON Printer FX2190 &amp; 440 Pcs.  Genuine Burroughs Black Multiline Print Inkjet Cartridge</t>
  </si>
  <si>
    <t>REFURBISHING OF 5 UNITS CR @ A6</t>
  </si>
  <si>
    <t>Procurement of supply and delivery of farm chemicals</t>
  </si>
  <si>
    <t>Procurement Requirement of CGETDC (DTF) Swimming Pool</t>
  </si>
  <si>
    <t>Supply and Delivery of Ink and Printer</t>
  </si>
  <si>
    <t>ITB- Upgrading Central Agriculture Laboratory Building (ASIST Lagangilang)</t>
  </si>
  <si>
    <t>Supply and Installation of Accessories of RP Vehicle (CS-VI-5357)</t>
  </si>
  <si>
    <t>Supply and Delivery of FRP Materials, Underwater Fittings and Marine Engine</t>
  </si>
  <si>
    <t>Upgrading of Desktop Computer</t>
  </si>
  <si>
    <t>Installation of CCTV's in Various Barangays</t>
  </si>
  <si>
    <t>Supply and Delivery of Six (6) Units of Cellphone</t>
  </si>
  <si>
    <t>Supply and Delivery of FSP Computer Equipment</t>
  </si>
  <si>
    <t>Supply and Delivery of Office Supplies intended for printing and processing of FRMS official documents</t>
  </si>
  <si>
    <t>Procurement of supply and delivery of various NSIC approve hybrid rice seeds</t>
  </si>
  <si>
    <t>CONSTRUCTION REHAB PROVISION OF AMENTIES OF DETENTION CELL</t>
  </si>
  <si>
    <t>CY 2020 BASIC EDUCATIONAL FACILITIES FUND (BEFF) ELECTRICAL UPGRADE OF BUBUYAN NATIONAL HIGH SCHOOL (ITB 2020-Infra-007)</t>
  </si>
  <si>
    <t>Supply and Installation of Accessories of RP Vehicle (SHY-144)</t>
  </si>
  <si>
    <t>CY 2020 BASIC EDUCATIONAL FACILITIES FUND (BEFF) ELECTRICAL UPGRADE OF MAKILING NATIONAL HIGH SCHOOL (ITB 2020-Infra-006)</t>
  </si>
  <si>
    <t>CY 2020 BASIC EDUCATIONAL FACILITIES FUND (BEFF) REPAIR/IMPROVEMENT OF VARIOUS SCHOOL BUILDINGS – ULANGO ES (ITB 2020-Infra-005)</t>
  </si>
  <si>
    <t>supplying meals (lunch) for the Conduct of Promoting Nutrition and Healthy Eating in the Workplace, PGO/PNO, Boac, Marinduque</t>
  </si>
  <si>
    <t>Construction of Level III Water Supply System, Manito, Albay</t>
  </si>
  <si>
    <t>Supply and Delivery of Common-Use Office Supplies</t>
  </si>
  <si>
    <t>20JE0087 Construction/Improvement of Access Roads leading to Trades, Industries and Economic Zones, NRJ to Brgy. San Juan, Aurora-Brgy. Man-ilan, Tukuran, in support of Coco Activated Carbon  Zamboang</t>
  </si>
  <si>
    <t>CY 2020 BASIC EDUCATIONAL FACILITIES FUND (BEFF) REPAIR/IMPROVEMENT OF VARIOUS SCHOOL BUILDINGS – PUNTA ES (ITB 2020-Infra-003)</t>
  </si>
  <si>
    <t>SUPPLY AND DELIVERY OF LOT 1: 230 PIECES PLANNER NOTEBOOK</t>
  </si>
  <si>
    <t>Procurement of Agregates Base Course , Fuel &amp; Lubricants ( FMR Road Macalibre Bajo -Dampalan Road ) -MEO Lopez Jaena</t>
  </si>
  <si>
    <t>20JE0086 Network Development – Construction of By-Pass and Diversion Roads, NRJ Poblacion Tambulig-Tungawan-Pasingkalan Zamboanga del Sur</t>
  </si>
  <si>
    <t>20HM0083 (Re-IB) - Local Program, Local Infrastructure Program, Buildings And Other Structures, Multipurpose/Facilities, Construction of Multi-Purpose Building, Brgy. Candanay Norte, Siquijor, Siquijo</t>
  </si>
  <si>
    <t>SD of 10 pcs Travelling Bag trolley good for 40kg &amp; 5 others</t>
  </si>
  <si>
    <t>PROVISION OF LOT 1: 30 PAX MEALS AND SNACKS FOR 5 DAYS FOR THE CONDUCT OF TECHNICAL BRIEFING ON CORN &amp; CASSAVA</t>
  </si>
  <si>
    <t>Supply and Delivery of Tilapia Feeds</t>
  </si>
  <si>
    <t>SIG PABAC 003-20  Supply and Delivery of One Hundred Fifty (150) sets Rechargeable Battery RF-7800H MP Radio</t>
  </si>
  <si>
    <t xml:space="preserve">PROCUREMENT OF LAPTOP, DRONE &amp; GPS DEVICE  Formulation of Comprehensive Development Plan (CDP), Comprehensive Land Use Plan (CLUP) Plan, Municipal Disaster Risk Reduction and Management Plan (MDRRMP) </t>
  </si>
  <si>
    <t>20LA0251 Construction of concreting road with Rotonda, Concepcion, Maco, Compostela Valley</t>
  </si>
  <si>
    <t>CATERING SERVICES (Meals &amp; Snacks) Formulation of Comprehensive Development Plan (CDP), Comprehensive Land Use Plan (CLUP) Plan, Municipal Disaster Risk Reduction and Management Plan (MDRRMP) Continge</t>
  </si>
  <si>
    <t>Purchase of Tsunami Early Warning Device - Alerting Siren Components</t>
  </si>
  <si>
    <t>Procurement of Gazebo-MO,Lopez Jaena</t>
  </si>
  <si>
    <t>GD2020-05-005_SUPPLY AND DELIVERY OF TWO THOUSAND THREE HUNDRED NINETY (2,390) SETS CHLORINE DIOXIDE (BUG BUST 4322 &amp; 4324) FOR WATER TREATMENT AND MAINTENANCE USE- 2ND QUARTER OF CY 2020</t>
  </si>
  <si>
    <t>LUBRICANT, WIRE ROPE</t>
  </si>
  <si>
    <t>20AC0084 -Construction of River Control Along Bical River, San Juan, Ilocos Sur</t>
  </si>
  <si>
    <t>20AC0082 - Construction of Box Culvert and Improvement of Drainage Canal Along Cabasaan Creek, Brgy. VIII, Vigan City, Ilocos Sur</t>
  </si>
  <si>
    <t>20AC0090 - Construction of Multi-Purpose Building, Magsingal, Ilocos Sur</t>
  </si>
  <si>
    <t>20AC0080 - Construction of Drainage Canal Along Sta. Elena Creek to Mestizo River, Brgy. VIII, Vigan City, Ilocos Sur</t>
  </si>
  <si>
    <t>20AC0089 - Construction / Rehabilitation of Multi-Purpose Building, Poblacion East, San Ildefonso, Ilocos Sur</t>
  </si>
  <si>
    <t>20AC0087 - Rehabilitation of Tamorong Road with Slope Protection and Culvert, Brgy. Tamorong, Sta. Catalina, Ilocos Sur</t>
  </si>
  <si>
    <t>REMOVAL OF WATERLILIES &amp; OTHER DEBRIS AT THE APPROACH CHANNEL OF AGUS 6 POWER INTAKE</t>
  </si>
  <si>
    <t>20AC0091 - Construction of Multi-Purpose Building, Brgy. San Vicente, Magsingal, Ilocos Sur</t>
  </si>
  <si>
    <t>PROVISION OF WATCHMAN SERVICES FROM MARCH 1-DECEMBER 31, 2020</t>
  </si>
  <si>
    <t>Supply &amp; Delivery of One (1) Unit Brand New Sea Ambulance for Emergency Rescue which Transport Patients to the Treatment Facility</t>
  </si>
  <si>
    <t>20AC0088 - Construction of Multi-Purpose Building, Brgy. Bungro, San Ildefonso, Ilocos Sur</t>
  </si>
  <si>
    <t>20AC0083 - Construction of Flood Control Structure Along Mestizo River, Brgy. Pandan-Manangat, Caoayan, Ilocos Sur</t>
  </si>
  <si>
    <t>ITB-GS-20200212-01 - Supply and Delivery of 600 Units Passbook Printer</t>
  </si>
  <si>
    <t>Procurement of Gate Valves, Combi Flange w/ Sealing  and STC with Brass Tensile Ring</t>
  </si>
  <si>
    <t>20AC0081 - Rehabilitation of Rivero Street, Including Construction of Drainage Canal, Brgy. Sta. Elena, Vigan City, Ilocos Sur</t>
  </si>
  <si>
    <t>20NG0086 - CONCRETING OF ROAD, BRGY. CAMPO - PAUTAO/ BACUAG, SURIGAO DEL NORTE</t>
  </si>
  <si>
    <t>20AC0079 - Construction of Don Dimas - Don Alejandro Road, Caoayan, Ilocos Sur</t>
  </si>
  <si>
    <t>RFQ / PR 20-02-0103 / PROCUREMENT OF EXTERNAL HARD DRIVE FOR THE 1ST SEMESTER OF 2020</t>
  </si>
  <si>
    <t>RFQ / PR 20-03-1385 / PROCUREMENT OF OFFICE EQUIPMENT</t>
  </si>
  <si>
    <t>20FC0109 : FLOOD CONTROL STRUCTURES/FACILITIES – REPAIR/IMPROVEMENT AND RESTORATION OF DAET RIVER CONTROL, DAET, CAMARINES NORTE</t>
  </si>
  <si>
    <t>Procurement of Anti-Rabies Vaccines, IB No. SB-2020-019</t>
  </si>
  <si>
    <t>Procurement of Two (2) Units Brand New 4 x 2 Pick –Up Vehicle Diesel Engine M/T, EURO 4 Emission Standard</t>
  </si>
  <si>
    <t>Procurement of Medical Supplies and Materials, IB No. SB-2020-017</t>
  </si>
  <si>
    <t>ITB-GS-20191202-01 - Additional License for the Existing Solarwinds Servers, Networks, Database and Application Monitoring Tool</t>
  </si>
  <si>
    <t>PURCHASE OF STRONG MOTION ACCELEROGRAPH FOR SEISMIC MONITORING</t>
  </si>
  <si>
    <t>Procurement of Drugs and Medicines, IB No. SB-2020-018</t>
  </si>
  <si>
    <t>Rebidding of Hospital Equipment, IB No. SB-2020-001</t>
  </si>
  <si>
    <t>GSO-20-0202-B / JANITORIAL SERVICES</t>
  </si>
  <si>
    <t>20AC0078 - Construction of Multi-Purpose Building (Covered Court), Brgy. Paing, Bantay, Ilocos Sur</t>
  </si>
  <si>
    <t>ITB-GS-20200217-01 - Three (3) Years ATM Cash Loading and First Level Maintenance Services for 600 LANDBANK ATM Units</t>
  </si>
  <si>
    <t>20FC0110 : REPAIR/IMPROVEMENT AND RESTORATION OF MABULAO CREEK, BRGY. III, DAET, CAMARINES NORTE, Brgy. III, Daet, Camarines Norte</t>
  </si>
  <si>
    <t>20AC0071 - Construction of Drainage Canal Along Barangay Road Going to Tamag Elementary School, Tamag, Vigan City, Ilocos Sur</t>
  </si>
  <si>
    <t>20AC0076 - Construction of Multi-Purpose Building (Covered Court), Brgy. San Julian, Bantay, Ilocos Sur</t>
  </si>
  <si>
    <t>PEO- 20-068-B NORTHERN ILOILO FISHERY REHABILITATION AND DEVELOPMENT PROJECT (NI-FRDP) - REHABILITATION AND IMPROVEMENT OF CONCEPCION FISH PORT,Concepcion, Iloilo</t>
  </si>
  <si>
    <t>WORK ENVIRONMENT MEASUREMENT</t>
  </si>
  <si>
    <t>20AC0065 - Construction of Flood Control Brgy. Nagsabaran Bical River, San Juan, Ilocos Sur</t>
  </si>
  <si>
    <t>Invitation to Bid for the Procurement of 15,000 reams of Book Paper</t>
  </si>
  <si>
    <t>Procurement of Detailed Engineering Design for Lucac Water Supply System Project of San Francisco Water District</t>
  </si>
  <si>
    <t>B-026-2020 PROCUREMENT OF VARIOUS ID CONSUMABLES</t>
  </si>
  <si>
    <t>20AC0066 - Construction of Revetment Wall, Cadanglaan, Sinait, Ilocos Sur</t>
  </si>
  <si>
    <t>Supply, Delivery, Installation, Testing and Commissioning of Fire Suppression System, 5-KW Aircon, UPS, Door Access Control, Temperature and Humidity Monitoring System, Server Rack and Retrofitting of</t>
  </si>
  <si>
    <t>UPLB-RES-031-04-20  SUPPLY AND DELIVERY OF BRANDED AND BRAND NEW CHEMICALS AND CHEMICAL PRODUCTS FOR BIOTECH &amp; IPB</t>
  </si>
  <si>
    <t>20FC0111 : CONSTRUCTION OF MERCEDES FLOOD MITIGATION STRUCTURE, BRGY. II – BRGY III, MERCEDES, CAMARINES NORTE, Brgy. II, Mercedes, Camarines Norte</t>
  </si>
  <si>
    <t>ITB-GS-20191023-01(2) - 1 Lot Supply, Delivery &amp; Installation of 50 Units Thru-The-Wall Cash Deposit Machine with Four (4) – Year Maintenance Package and Spare Parts</t>
  </si>
  <si>
    <t>20-DO-0075: LOCAL PROGRAM - Local Infrastructure Program - Building and Other Structures - Multipurpose/Facilities - Construction of Multi-Purpose Building at Gen. Luna St. Brgy. Dulong Bayan 1, San M</t>
  </si>
  <si>
    <t>20AC0075 - Construction of Multi-Purpose Building, Fuerte, Caoayan, Ilocos Sur</t>
  </si>
  <si>
    <t>Supply and Delivery of Ten (10) Lots Consolidated I.T. Equipment and Other Peripherals for Corporate and SOG 4 (Lot 5:Supply and Delivery of Barcode Scanner, Box Type)</t>
  </si>
  <si>
    <t>Supply and Delivery of Ten (10) Lots Consolidated I.T. Equipment and Other Peripherals for Corporate and SOG 4 (Lot 4:Supply and Delivery of Mid-Range Scanner with Scanning Solution)</t>
  </si>
  <si>
    <t>20AC0077 - Construction of Multi-Purpose Building (Covered Court), Brgy. Malingeb, Bantay, Ilocos Sur</t>
  </si>
  <si>
    <t>20CE0204: Construction of Multi-Purpose Building (School Gym), Kita-Kita High School, Brgy. Kita-Kita, San Jose City, Nueva Ecija</t>
  </si>
  <si>
    <t>Supply and Delivery of Ten (10) Lots Consolidated I.T. Equipment and Other Peripherals for Corporate and SOG 4 (Lot 2:Supply and Delivery of Branded Small Form Factor Computer)</t>
  </si>
  <si>
    <t>Purchase of Desktop Computer w/ Accessories</t>
  </si>
  <si>
    <t>PB20-00-008CORa-02 Supply and Delivery of 8 Lots Various Spare Parts for Repair and Maintenance of Motor Vehicles (Lot 8-Tires, Tire Flap And Tire Interior)</t>
  </si>
  <si>
    <t>PB20-00-008CORa-02 Supply and Delivery of 8 Lots Various Spare Parts for Repair and Maintenance of Motor Vehicles (Lot 6-Various Spare Parts For Motorpool Use)</t>
  </si>
  <si>
    <t>PB20-00-008CORa-02 Supply and Delivery of 8 Lots Various Spare Parts for Repair and Maintenance of Motor Vehicles (Lot 5-Spark Plugs)</t>
  </si>
  <si>
    <t>PB20-00-008CORa-02 Supply and Delivery of 8 Lots Various Spare Parts for Repair and Maintenance of Motor Vehicles (Lot 2-Oil Filter)</t>
  </si>
  <si>
    <t>PB20-00-008CORa-02 Supply and Delivery of 8 Lots Various Spare Parts for Repair and Maintenance of Motor Vehicles (Lot 7-Batteries)</t>
  </si>
  <si>
    <t>Supply and Delivery of Ten (10) Lots Consolidated I.T. Equipment and Other Peripherals for Corporate and SOG 4 (Lot 1:Supply and Delivery of Branded Laptop and Desktop)</t>
  </si>
  <si>
    <t>PB20-00-008CORa-02 Supply and Delivery of 8 Lots Various Spare Parts for Repair and Maintenance of Motor Vehicles (Lot3-Air Filters)</t>
  </si>
  <si>
    <t>PROCUREMENT OF OTHER SUPPLIES AND MATERIALS (SUPPLIES AND TOOLS ON SHIELDED METAL ARTS &amp; WELDING) FOR SAN ROQUE NHS (UNDER SCHOOLS DIVISION OFFICE)</t>
  </si>
  <si>
    <t>20AC0060 - Construction of Seawall at Paratong-Subec, Sta. Catalina, Ilocos Sur</t>
  </si>
  <si>
    <t>PB20-00-008CORa-02 SUPPLY AND DELIVERY OF 8 LOTS VARIOUS SPARE PARTS FOR REPAIR AND MAINTENANCE OF MOTOR VEHICLES (LOT 1-Engine Oil)</t>
  </si>
  <si>
    <t>UPGRADING OF EQUIPMENT FOR PROCESSING LABORATORY OF PRESIDENT RAMON MAGSAYSAY STATE UNIVERSITY</t>
  </si>
  <si>
    <t>PB20-00-008CORa-02 Supply and Delivery of 8 Lots Various Spare Parts for Repair and Maintenance of Motor Vehicles (Lot 4-Fuel Filters)</t>
  </si>
  <si>
    <t>20AC0063: Concreting of Roads, Baclig-Margaay-Salapasap, Cabugao, Ilocos Sur</t>
  </si>
  <si>
    <t>ITB No. 20-047: Supply and Delivery of Two Hundred Fifty-Two Thousand (252,000) Heparin Sodium, 1000IU/mL 5mL, Vial  (FRAMEWORK AGREEMENT)</t>
  </si>
  <si>
    <t>Supply and Delivery of Two (2) Lots Jumbo Tissue Roll and Paper Towel - Lot 1 : Jumbo Tissue Roll</t>
  </si>
  <si>
    <t>20AC0069 - Construction of Multi-Purpose Building (Covered Court), Brgy. An-annam, Bantay, Ilocos Sur</t>
  </si>
  <si>
    <t>Labor for the Repair of FARMC Office</t>
  </si>
  <si>
    <t>Supply and Delivery of Ten (10) Lots Consolidated I.T. Equipment and Other Peripherals for Corporate and SOG 4 (Lot 10: Supply and Delivery of Scanner Mid-Range Large Format)</t>
  </si>
  <si>
    <t>Supply and Delivery of Ten (10) Lots Consolidated I.T. Equipment and Other Peripherals for Corporate and SOG 4 (Lot 7: Supply and Delivery of Various Software Licenses)</t>
  </si>
  <si>
    <t>B-025-2020 REPIPING OF WATER LINES AT CHEMISTRY LABORATORY</t>
  </si>
  <si>
    <t>20AC0062 - Construction of Multi-Purpose Building (Covered Court), Brgy. Cabaroan, Magsingal, Ilocos Sur</t>
  </si>
  <si>
    <t>Supply and Delivery of Two (2) Lots Jumbo Tissue Roll and Paper Towel under ITB no. PB20-03-004MAL- Lot 2 : Paper Towel</t>
  </si>
  <si>
    <t>Contract I.D. No. 20OE0197 - Construction and / or Repair / Rehabilitation of Multi – Purpose Building Brgy. 72, Zone 6, Tondo Manila</t>
  </si>
  <si>
    <t>B-024-2020 REPAIR AND MAINTENANCE OF HIGH ACE GRANDIA GL  SJE-963 AND COLORADO TRAILBLAZER SAA-4045</t>
  </si>
  <si>
    <t>Supply and Delivery of Ten (10) Lots Consolidated I.T. Equipment and Other Peripherals for Corporate and SOG 4 (Lot 8: Supply and Delivery of Architectural License)</t>
  </si>
  <si>
    <t>Purchase of Electrical Supplies for Barangay Streetligths</t>
  </si>
  <si>
    <t>Pocurement of IBM SPSS Statistics Standard Campus Edition Authorized User License for UP Cebu</t>
  </si>
  <si>
    <t>Supply and Delivery of Ten (10) Lots Consolidated I.T. Equipment and Other Peripherals for Corporate and SOG 4 (Lot 3:Supply and Delivery of Various Computers, Printers, Hard Disks and Other Periphera</t>
  </si>
  <si>
    <t>Supply and Delivery of Ten (10) Lots Consolidated I.T. Equipment and Other Peripherals for Corporate and SOG 4 (Lot 6: Supply and Delivery of Receipt Printer)</t>
  </si>
  <si>
    <t>Psychological Testing Materials for Guidance use</t>
  </si>
  <si>
    <t>Contract I.D. No. 20OE0091 - Construction of Retention Basin at Estero de Sampaloc, Manila City</t>
  </si>
  <si>
    <t>Procurement of 114 Books for Learning Resources Center (LRC)</t>
  </si>
  <si>
    <t>Supply and Delivery Farm Input (Assistance to Farmers)</t>
  </si>
  <si>
    <t>Contract ID No. 19CSK00047 – Consulting Services for the Conduct of Feasibility Study for Region X Priority Road Infrastructure Projects-27 (REXPRIP-27) a.	PIA Bypass Road, Misamis Oriental 2nd Legisl</t>
  </si>
  <si>
    <t>Supply and Delivery of Ten (10) Lots Consolidated I.T. Equipment and Other Peripherals for Corporate and SOG 4 (Lot 9: Supply and Delivery of Handheld Barcode Scanner)</t>
  </si>
  <si>
    <t>Improvement/Rehabilitation/Repair of Apayao Child Development Center, San Isidro Sur, Luna, Apayao</t>
  </si>
  <si>
    <t>Office Supplies / Materials for Registration &amp; Admission</t>
  </si>
  <si>
    <t>Supply and Delivery of Manual Thermosonic Wedge and Ball Bonder for UP Cebu</t>
  </si>
  <si>
    <t>Construction of Tourism Stalls, Lussok, Dagupan, Luna, Apayao</t>
  </si>
  <si>
    <t>Improvement of Caglayan-Ripang-Paddaoan-Talifugo-Manag Provincial Road (Paddaoan Section) Sta. 0+000-Sta. 9+800, Conner, Apayao</t>
  </si>
  <si>
    <t>Improvement of Tanglagan-Bucarot Provincial Road, Calanasan, Apayao</t>
  </si>
  <si>
    <t>Procurement of Technical and Scientific Equipment (2nd posting)</t>
  </si>
  <si>
    <t>HO-IST20-006 - Subscription of Data Analytics License and Partner Support for NPC Head Office, Diliman, Quezon City</t>
  </si>
  <si>
    <t>Construction of Retaining Wall at Alem-Poblacion Provincial Road, Pudtol, Apayao</t>
  </si>
  <si>
    <t>20AC0059 - Construction of Multi-Purpose Building, Bahet, San Ildefonso, Ilocos Sur</t>
  </si>
  <si>
    <t>UPLB-RES-030-04-20  SUPPLY AND DELIVERY OF BRANDED AND BRAND NEW LABORATORY AND SCIENTIFIC EQUIPMENT FOR BIOTECH AND IPB</t>
  </si>
  <si>
    <t>Procurement of Works for the establishment of wood vinegar facility</t>
  </si>
  <si>
    <t>Completion of VIP Cottages, Payanan, San Gregorio, Luna, Apayao</t>
  </si>
  <si>
    <t>Improvement of Municipal Hall, Conner, Apayao</t>
  </si>
  <si>
    <t>Supply and Delivery of X-Ray Films LABORATORY SUPPLIES AND EQUIPMENT for Mandaluyong City Medical Center, City Of Mandaluyong</t>
  </si>
  <si>
    <t>Supply and Delivery of Medicines DRUGS AND MEDICINES for Mandaluyong City Medical Center, City Of Mandaluyong</t>
  </si>
  <si>
    <t>Supply and Delivery of OBY-Gyne Supplies MEDICAL SUPPLIES AND LABORATORY INSTRUMENT for Mandaluyong City Medical Center, City Of Mandaluyong</t>
  </si>
  <si>
    <t>20AC0064 - Construction of River Control Along Parsua River, Magsingal, Ilocos Sur</t>
  </si>
  <si>
    <t>Supply and Delivery of Medical Equipment MEDICAL AND DENTAL EQUIPMENT for Mandaluyong City Medical Center, City Of Mandaluyong</t>
  </si>
  <si>
    <t>Supply and Delivery of Medical Devices  MEDICAL AND DENTAL EQUIPMENT for Mandaluyong City Medical Center, City Of Mandaluyong</t>
  </si>
  <si>
    <t>Supply and Delivery of  Medicines DRUGS AND MEDICINES for the Continuous Provision of Basic Health Services, City of Mandaluyong</t>
  </si>
  <si>
    <t>Supply and Delivery of Scannable Answer Sheet EDUCATIONAL MATERILAS AND SUPPLIES for School Division Office, City of Mandaluyo</t>
  </si>
  <si>
    <t>Provision of Garbage Hauling Services</t>
  </si>
  <si>
    <t>20GFC0007: Purchase of Hardware Materials, DPWH-CNDEO Daet, Camarines Norte</t>
  </si>
  <si>
    <t>Supply and Delivery of Medical Supplies MEDICAL SUPPLIES AND LABORATORY INSTRUMENT for O.R. Department, Mandaluyong City Medical Center, City Of Mandaluyong</t>
  </si>
  <si>
    <t>Purchase of Garland Leaves</t>
  </si>
  <si>
    <t>HO-CWA19-001 &amp; 4 OTHERS - Supply and Delivery if Materials, Maintenance Spare Parts, Batteries and Tires for Service Vehicles</t>
  </si>
  <si>
    <t>SUPPLY AND DELIVERY OF STUDY CHAIR</t>
  </si>
  <si>
    <t>20AC0061 - Construction of Seawall, Sitio Mindanao, Barangay Paratong, Sta. Catalina, Ilocos Sur</t>
  </si>
  <si>
    <t>Supply and Delivery of  Anti Rabies Vaccines DRUGS AND MEDICINES for the Continuous Provision of Basic Health Services, City of Mandaluyong</t>
  </si>
  <si>
    <t>Contract ID No. 20FA0050: REHABILITATION/RECONSTRUCTION OF NATIONAL ROADS W/SLIPS, SLOPE COLLAPSE AND LANDSLIDE-SECONDARY ROADS, DM JCT-LEGAZPI-STO. DOMINGO-TABACO-CAMARINES SUR BDRY. RD- K0582+330-K0</t>
  </si>
  <si>
    <t>20AC0058 - Construction of Seawall at Paratong Sitio Mindanao, Sta. Catalina, Ilocos Sur</t>
  </si>
  <si>
    <t>Supply and Delivery of  Multi-Vitamins DRUGS AND MEDICIENES for Nutrition Program City of Mandaluyong</t>
  </si>
  <si>
    <t>B-023-2020 SUPPLY AND DELIVERY OF 1 LOT FOOD PROCESSING EQUIPMENT (FIC)</t>
  </si>
  <si>
    <t>Supply and Delivery of Tires to be used for the Motorcycles for 1st Semester of 2020 in the City of San Fernando, Pampanga subject to Ordering Agreement</t>
  </si>
  <si>
    <t>Supply and Delivery of Hygiene and Sanitation Equipment for Food Safety Program in the City of San Fernando, Pampanga</t>
  </si>
  <si>
    <t>UPGRADING OF MILKFISH AND TILAPIA PROCESSING FACILITY AT PRMSU CANDELARIA CAMPUS</t>
  </si>
  <si>
    <t>Supply and Delivery of Garden Tools to be used for the Implementation of Ordinance on Organic Agriculture in the City of San Fernando Pampanga</t>
  </si>
  <si>
    <t>Contract I.D. No. 20OE0196 - Installation of Pumping Station (Mini Pump) at Barangay 598 Zone 59, Manila City</t>
  </si>
  <si>
    <t>Supply and Delivery of Small Animal Cages and Plastic Mats to be used for the Askal Operation in the City of San Fernando, Pampanga</t>
  </si>
  <si>
    <t>Supply and delivery of one (1) lot Various MEDALS</t>
  </si>
  <si>
    <t>SO-OPD18-008 (PB3/NP2) - 1 x 200 kW and 1 x 100 kW Modular Diesel Gensets and Associated Electrical Equipment for Sarangani Diesel Power Plant</t>
  </si>
  <si>
    <t>Supply and delivery of 12,099 pcs DIPLOMA HOLDER</t>
  </si>
  <si>
    <t>Minor Repair &amp; Modification of Branch Onsite ATM as proposed by LBP Roxas Branch</t>
  </si>
  <si>
    <t>Supply and Delivery of Biometrics Time Keeping Machine to be used at the City Information and Communications Technology Office in the City of San Fernando, Pampanga</t>
  </si>
  <si>
    <t>Supply and Delivery of Painting Materials to be used for the Production of Streamers for 1st Semester of 2020 in the City of San Fernando, Pampanga</t>
  </si>
  <si>
    <t>20IL0175 (LOCAL – BUILDINGS AND OTHER STRUCTURES – MULTI-PURPOSE/FACILITIES – LOCAL INFRASTRUCTURE PROGRAM, CONSTRUCTION/REHABILITATION OF DISTRICT ENGINEER’S OFFICE Contract Location	: IBARRA, MAASIN</t>
  </si>
  <si>
    <t>Proposed FDLRC (Furnishing, Delivery, Laying, Rolling and Compacting of Asphalt)</t>
  </si>
  <si>
    <t>Continuation of the Terminated Renovation of  former Cyber City Buildings (Phase II) (Package IV)</t>
  </si>
  <si>
    <t>Restoration, Repair and Maintenance of Data Center (Information Technology)</t>
  </si>
  <si>
    <t>ITB - Procurement of Security Personnel Services</t>
  </si>
  <si>
    <t>PROCUREMENT OF PROFESSIONAL/CONSULTING  SERVICE FOR THE CONDUCT OF AIR DISPERSION  MODELLING FOR THE PIESTTA AIRSHED</t>
  </si>
  <si>
    <t>PROCUREMENT OF VARIOUS CONSTRUCTION, PLUMBING AND ELECTRICAL SUPPLIES-IB NO. 2020 08</t>
  </si>
  <si>
    <t>PROCUREMENT OF TIRES AND BATTERIES</t>
  </si>
  <si>
    <t>Supply and Delivery of Drugs DRUGS AND MEDICINES for Mandaluyong City Medical Center, City Of Mandaluyong</t>
  </si>
  <si>
    <t>S1-PWN19-033 - Supply of Two (2) Years Security Services for SPUG Palawan Operations Division (POD) Plants and Installations</t>
  </si>
  <si>
    <t>Supply and Delivery of Hematology 5 Parts Machine LABORATORY SUPPLIES AND EQUIPMENT for Mandaluyong City Medical Center, City Of Mandaluyong</t>
  </si>
  <si>
    <t>Procurement of Full Retrofitting, Rehabilitation, and Renovation of the DFA Building</t>
  </si>
  <si>
    <t>HO-PIC20-001 (PB3) - 3 x 50 kW Modular Diesel Gensets, Associated Electrical Equipment and Balance of Plant for the Electrification of New Area in Sulu under Package 11A</t>
  </si>
  <si>
    <t>EXTENSION OF MULTI-PURPOSE BUILDING AT BRGY. MACATIW, CITY OF ALAMINOS, PANGASINAN</t>
  </si>
  <si>
    <t>RFQ Fixtures for College of Fisheries</t>
  </si>
  <si>
    <t>CONSTRUCTION OF WINGS OF MULTI-PURPOSE BUILDING AT BRGY. TELBANG, CITY OF ALAMINOS, PANGASINAN</t>
  </si>
  <si>
    <t>Contract ID No. 20FA0049: REPLACEMENT AND CONCRETING OF TRAMO BRIDGE WHICH CONNECTS BRGYS. STO. CRISTO AND SAN ROQUE TO BRGY. TAGAS AND NEIGHBORING BARANGAYS IN TABACO CITY, ALBAY</t>
  </si>
  <si>
    <t>CONSTRUCTION OF MULTI-PURPOSE BUILDING AT BRGY. TANGCARANG, CITY OF ALAMINOS, PANGASINAN</t>
  </si>
  <si>
    <t>WATER POTABILITY TESTING</t>
  </si>
  <si>
    <t>RFQ / PR 20-02-0140 / PROCUREMENT OF CONSTRUCTION MATERIALS AND SUPPLIES FOR THE FABRICATION OF THREE (3) UNITS CUSTOMIZED TYPE TABLE</t>
  </si>
  <si>
    <t>Supply and delivery of LEARNING MATERIALS (WORKSHEET/BOOKS) for Day Care Children</t>
  </si>
  <si>
    <t>20CE0200: Construction of Multi-Purpose Building, Central Luzon State University, Muñoz, Nueva Ecija</t>
  </si>
  <si>
    <t>Lease of Various Printing Machines and Equipment with Operational and Technical Support System (Davao Area) (PB-04-20)</t>
  </si>
  <si>
    <t>INVITATION TO BID-SECURITY SERVICE PROVIDER FOR A PERIOD OF ONE (1) YEAR</t>
  </si>
  <si>
    <t>Package 16 of 17: Supply and Delivery of 3,656 pcs. - G.I. Cross Tee, 19mm.Ø  (Standard)</t>
  </si>
  <si>
    <t>Supply &amp; Delivery of Six (6) Units 18-Drawer Signature Card Cabinet as proposed by LBP Tuguegarao Capitol Branch</t>
  </si>
  <si>
    <t>Package 15 of 17: Supply and Delivery of 650 pcs. – Valve Box Cover, 160mm. (Cast Iron or Ductile Iron)</t>
  </si>
  <si>
    <t>Lease of Various Paper Printing Machine/s and Finishing Equipment with Technical and Operational Support System (Lot 1 for Luzon Area and Lot 2 for Mindanao Area) (PB-03-20)</t>
  </si>
  <si>
    <t>Package 13 of 17: Supply and Delivery of 33 pcs. – D.I. Gate  Valve  Flange Type, 200mm. (8”), Non-Rising Stem with Operating Nut</t>
  </si>
  <si>
    <t>Package 17 of 17: Supply and Delivery of 18,931 pcs. - G.I. Bushing, 19mm. x 12mm (Standard)</t>
  </si>
  <si>
    <t>Procurement for the Repair of Classrooms at Lanao del Norte Provincial Science and Technology High School under CY 2020 BEFF - Lot 6 (Rebid)</t>
  </si>
  <si>
    <t>Procurement of Cloud Subscription/Services for the National Electrification Administration's NEA BIT Project</t>
  </si>
  <si>
    <t>Package 14 of 17: Supply and Delivery of 328 pcs. D.I. Mechanical Sleeve Type Coupling, 100mm. (4”) Ø (Universal Type)</t>
  </si>
  <si>
    <t>UPLB-S-044-03-20, SUPPLY, DELIVERY AND INSTALLATION OF BRANDED AND BRAND NEW VARIOUS LABORATORY EQUIPMENT</t>
  </si>
  <si>
    <t>S3-SIB20-002 - Renovation of Powerhouse and Facilities Improvements for Sibutu Diesel Power Plant</t>
  </si>
  <si>
    <t>20GO0038 - WIDENING/IMPROVEMENT/ UPGRADING OF HONORATA MANALO (BURI ROAD), BRGY. MANDALAGAN , BACOLOD CITY</t>
  </si>
  <si>
    <t>R4-INFRA2020-01-004 Construction of 1-Unit Materials Recovery Facility (MRF) &amp; 1-Unit, 2-Classroom Day Care Center, Package 1 located at Southville 9 Housing Project - Phase 4, Brgy. Pinugay, Baras, R</t>
  </si>
  <si>
    <t>R4-INFRA2020-01-003 Construction of 1-Unit Multi-Purpose Livelihood and Training Center located at Southville 8B Housing Project - Phase 2, Brgy. San Isidro, Rodriguez, Rizal</t>
  </si>
  <si>
    <t>UPLB-S-031-03-20, SUPPLY AND DELIVERY OF BRANDED AND BRAND NEW INFORMATION TECHNOLOGY PARTS, ACCESSORIES AND PERIPHERALS</t>
  </si>
  <si>
    <t>20GFC0006: Purchase of Thermoplastic Paint Materials, National Road (Primary and Secondary)</t>
  </si>
  <si>
    <t>20GFC0005: Purchase of Spare Parts, Accessories for Service Vehicle and Equipment, DPWH-Maintenance Section</t>
  </si>
  <si>
    <t>20GFC0003: Purchase of Fuel and Lubricants for Use in Various Service Vehicle and Equipment, DPWH-CNDEO, Maintenance Section</t>
  </si>
  <si>
    <t>Supply and Delivery of Microsoft Office Home and Business for Installation in the Computers with Installed Ubuntu Operating System in the Main and Field Offices of the Commission – 2nd Bidding</t>
  </si>
  <si>
    <t>HO-PIB20-006 - Repair of Dike / Seawall and Repair / Restoration of CHB Perimeter Fence of NPC Property at BO. Obrero, Iloilo City</t>
  </si>
  <si>
    <t>20-DO-0067: LOCAL PROGRAM - Local Infrastructure Program – Buildings and Other Structures – Multipurpose/Facilities – Construction and/or Repair/ Rehabilitation of Multi-Purpose Building, Brgy. Rizal,</t>
  </si>
  <si>
    <t>20GFC0004: Purchase of Hazard Markers, Chevron Signs along Daang Maharlika (LZ) K0270+500 - K0274+400 (with exception), Sta. Elena, Camarines Norte</t>
  </si>
  <si>
    <t>Procurement of Various Library Books  for ULRC and COM (Re-bidding)</t>
  </si>
  <si>
    <t>20HD0089 - Repair/Maintenance including Road Slips, Sitio Anapog, Brgy. Tinubdan, Daanbantayan, Cebu</t>
  </si>
  <si>
    <t>Purchase of Solid Waste Management Equipments</t>
  </si>
  <si>
    <t>19CSN023: CONSULTANCY SERVICES FOR THE CONDUCT OF FEASIBILITY STUDY FOR THE PROPOSED NRJ BCIR TO NRJ BUTUAN CITY- MALAYBALAY ROAD (VIA DUMALAGAN- NONGNONG- BIT-OS DIVERSION ROAD), AGUSAN DEL NORTE</t>
  </si>
  <si>
    <t>20BK0129  Water Distribution System for Cabarroguis and Diffun,  Quirino</t>
  </si>
  <si>
    <t>Procurement and Delivery of ICT Equipment</t>
  </si>
  <si>
    <t>20BK0130  Water Distribution System for Maddela,  Quirino</t>
  </si>
  <si>
    <t>Supply and delivery of various laboratory supplies in Barcenaga, Naujan, Oriental Mindoro - Lot 2</t>
  </si>
  <si>
    <t>Contract ID No. 20FA0047: CLUSTER 26 WIDENING AND CONCRETING OF BANAO-BICAL ROAD, BACACAY AND STO. DOMINGO, ALBAY AND REHABILITATION OF PAWA-TULIW-LABNIG-ESTANCIA-PARAPUTO ROAD, MALINAO AND TABACO CIT</t>
  </si>
  <si>
    <t>20BG0116-Repair of Overflow Bridge in Turod-Banquero, Reina Mercedes, Isabela</t>
  </si>
  <si>
    <t>Laboratory Supplies / Materials for Instructional use - BET-CT</t>
  </si>
  <si>
    <t>Engineer's Transit with Tripod for Instructional use - BET-CT</t>
  </si>
  <si>
    <t>S1-SID20-001 (PB2) - Supply and Delivery of Mechanical Spare Parts for 3 x 600kW Cummins Diesel Engine Model KTA38-G1 of Sibuyan DPP</t>
  </si>
  <si>
    <t>Contract ID No. 20FA0048: CLUSTER 27 CONSTRUCTION OF WATER SYSTEM IN THE FIRST DISTRICT OF ALBAY</t>
  </si>
  <si>
    <t>UPLB-S-042-03-20 (FORMERLY UPLB-S-120-12-19), UPGRADE / REHABILITATION OF INTERNET CONNECTION OF BIOTECH</t>
  </si>
  <si>
    <t>HO-PIB20-008 - Rehabilitation/Improvement of Mooring Facility at BO. OBRERO, ILOILO CITY</t>
  </si>
  <si>
    <t>REPAIR OF CCTV</t>
  </si>
  <si>
    <t>SO-OPD20-005 (PB2) - Eight (8) Units of Modular Diesel Generating Sets and Electrical Equipment for Panay and Agutaya SPUG Areas under Schedule IID</t>
  </si>
  <si>
    <t>CID No. 20IO0070: Construction of Slope Protection Structure along Daang Maharlika (LT) (S00223LT), K1009+410 - K1009+480, K1009+870 - K1010+140, K1010+900 - K1010+950, K1011+840 - K1011+950, Southern</t>
  </si>
  <si>
    <t>Provision of Sidewalk and Drainage along IE-5 Service Road (Second Bidding)</t>
  </si>
  <si>
    <t>ITB-GS-20200204-01 - 1 Lot Supply, Delivery &amp; Installation of Signage, ATM Acrylic Frame Panels, Glass Panel Stickers, Rehabilitation of ATM Sunshade, Dismantling of Existing Signage &amp; Removal of Exis</t>
  </si>
  <si>
    <t>HO-PIG20-004 (SO-OPD19-005) (PB3) - Supply, Delivery, Installation, Test and Commissioning of Eight (8) Units of 50KW Modular Diesel Gensets, Associated Electrical Equipment and Balance of Plant for D</t>
  </si>
  <si>
    <t>20CG0119 - Local Infrastructure Program: Multipurpose/ Facilities – Construction of Multi-Purpose Building, Brgy Alasas, San Fernando City, Pampanga</t>
  </si>
  <si>
    <t>Pag-IBIG Fund CHQ (Nego 2-Bid Failures for the Supply and Delivery of One (1) Unit Custom-Built Motor Vehicle (Mobile Office Vehicle))</t>
  </si>
  <si>
    <t>Contract I.D. No. 20OE0114 - Rehabilitation of School Building at Gen. Licerio Geronimo School, Barangay 412, Manila</t>
  </si>
  <si>
    <t>UPLB-S-038-03-20, SUPPLY AND DELIVERY OF BRANDED AND BRAND NEW VARIOUS WINDOW TYPE AIRCONDITIONING UNITS</t>
  </si>
  <si>
    <t>CID No. 20OD0180 - Construction/Rehabilitation of Multi-purpose Building, Brgy. 162, Caloocan City</t>
  </si>
  <si>
    <t>S3-PPP20-001 (PB2) - Construction of Operator's Quarter and Rain Water Collector for Pangutaran DPP, Pangutaran, Sulu</t>
  </si>
  <si>
    <t>Supply and delivery of various laboratory supplies in Barcenaga, Naujan, Oriental Mindoro - Lot 3</t>
  </si>
  <si>
    <t>20CE0201: Construction of Multi-Purpose Building (Barangay Gym), Brgy. Capintalan, Carranglan, Nueva Ecija</t>
  </si>
  <si>
    <t>One Job Order for the Supply and Delivery of ABG Reagent Kits with Free Use of One (1) Unit ABG Analyzer for a Period of One (1) Year (BAC 2020-015)</t>
  </si>
  <si>
    <t>Procurement of Various Office Supplies (BAC 2020-018)</t>
  </si>
  <si>
    <t>UPLB-S-030-03-20, PROCUREMENT OF SIPHONING SERVICES OF SEPTIC TANKS FOR UPLB DORMITORIES (NEW DORMITORY, VETMED DORMITORY, FORESTRY RESIDENCE HALL, NEW FORESTRY RESIDENCE HALL)</t>
  </si>
  <si>
    <t>One Job Order for the Supply and Delivery of Immunoassay Test kits and Consumables with free use of One (1) Unit Fully Automated Chemiluminescent Immunoassay (CLIA) Analyzer (BAC 2020-019)</t>
  </si>
  <si>
    <t>One Job Order for the Supply and Delivery of Rapid Quantitative Fluorescence Immunochromatographic Assay Test kits and Consumables with free use of One (1) Unit Fluorescence Immunochromatographic Anal</t>
  </si>
  <si>
    <t>Procurement of Various IT Supplies and Equipment (BAC 2020-012)</t>
  </si>
  <si>
    <t>REHABILITATION / UPGRADING OF FARM TO MARKET ROAD (SABANGAN PORTION) AT BRGY. SABANGAN, CITY OF ALAMINOS, PANGASINAN</t>
  </si>
  <si>
    <t>Contract I.D. No. 20OE0108 - Rehabilitation of School Building at P. Burgos Elementary School, Barangay 581, Manila</t>
  </si>
  <si>
    <t>20JD0100 - Construction of Water Supply System Level III Barangay Sulangon-Barangay Burgos Dapitan City, Zamboanga del Norte</t>
  </si>
  <si>
    <t>SO-OPD20-002 (PB2) - Thirty-One (31) Units of Modular Diesel Generating Sets and Electrical Equipment for Samar SPUG Areas under Schedule IIA</t>
  </si>
  <si>
    <t>Contract I.D. No. 20OE0193 - Improvement of Multi – Purpose Facilities, Brgy. 617, Manila City</t>
  </si>
  <si>
    <t>19CSN022 RE-AD; CONSULTING SERVICES FOR THE CONDUCT OF MASTER PLAN AND FEASIBILITY STUDY OF A COMPREHENSIVE DRAINAGE PLAN FOR SURIGAO CITY</t>
  </si>
  <si>
    <t>Contract I.D. No. 20OE0191 - Rehabilitation / Reconstruction / Improvement of Multi – Purpose Building, Patricia Paraiso Complex, Brgy. 177, Tondo, Manila</t>
  </si>
  <si>
    <t>HO-PIG20-002 (PB3) - Seven (7) Units of Modular Diesel Gensets and Associated Electrical Equipment for Three (3) Areas of Barangay Power Association (BAPA) in Palawan</t>
  </si>
  <si>
    <t>INVITATION TO BID FOR THE UPGRADING OF THE LOCAL AREA NETWORK (LAN) OF DARCO TO IMPROVE THE PERFORMANCE AND RELIABILITY OF NETWORK SERVICES (Re-bid) Reference Number:PBD-20-02</t>
  </si>
  <si>
    <t>Contract I.D. No. 20OE0190 - Continuation of Multi – Purpose Building, Brgy. 259, Tondo, Manila</t>
  </si>
  <si>
    <t>Contract I.D. No. 20OE0188 - Rehabilitation of Multi – Purpose Building (Bacood Health Center), Manila</t>
  </si>
  <si>
    <t>Supply and Delivery of Sheet Fed Scanners for the Document Management System (DMS) Project of the Commission</t>
  </si>
  <si>
    <t>Contract I.D. No. 20OE0187 - Preventive Maintenance – Secondary Roads – Plaza Sta. Cruz – (S02423LZ) (FLR) Chainage 000 – Chainage 104, Manila City</t>
  </si>
  <si>
    <t>CID No. 20OD0168 - Construction (Completion) of Multi-purpose Building (Covered Court), Brgy. 176, Caloocan City</t>
  </si>
  <si>
    <t>Network Development – Road Widening – Primary Roads, Manila North Road, K0087+701 – K0089+402, K0090+854 – K0091+104, Mabalacat City, Pampanga</t>
  </si>
  <si>
    <t>Supply and Delivery of Printer Toner Cartridges for Replenishment of Stocks for 1st Quarter FY 2020</t>
  </si>
  <si>
    <t>Procurement of supply and delivery of services for equipment calibration</t>
  </si>
  <si>
    <t>ITB-CW-20200121-01 - LANDBANK Baguio Corporate Center Building Construction</t>
  </si>
  <si>
    <t>Contract I.D. No. 20OE0192 - Construction of Multi – Purpose Building at the Department of Social Welfare and Development – National Cpital Region, Manila</t>
  </si>
  <si>
    <t>Construction of Drainage Facility</t>
  </si>
  <si>
    <t>RFQ Laboratory Equipment for Tuklas Lunas Project 2</t>
  </si>
  <si>
    <t>ITB-CW-20200124-01 - LANDBANK Marawi (Lanao del Sur) Building Construction</t>
  </si>
  <si>
    <t>Supply and Delivery of Brand New Three (3) Units Pick Up  Patrol Vehicles</t>
  </si>
  <si>
    <t>Procurement of ICT Supplies</t>
  </si>
  <si>
    <t>UPLB-CSLT-002-03-20 DETAILED ARCHITECTURAL AND ENGINEERING DESIGN (DAED) OF THE PROPOSED CONSTRUCTION OF THE ELECTRICAL ENGINEERING BUILDING PHASE 2.</t>
  </si>
  <si>
    <t>CID No. 20OD0164 - Construction of Multi-Purpose Building, Phase 1, Brgy. 175, Caloocan City</t>
  </si>
  <si>
    <t>Procurement of Cellular Load Cards for the 4th Quarter of 2020</t>
  </si>
  <si>
    <t>20JD0094 - Construction of Water System Level II Barangay Owaon, Dapitan City Zamboanga del Norte</t>
  </si>
  <si>
    <t>Procurement of Cellular Load Cards for the 3rd Quarter of 2020</t>
  </si>
  <si>
    <t>INVITATION TO BID to the 4th Public Bidding of the Procurement for the Site Development Works for the NDC Industrial Estate (NDCIE)Project in Brgy. Langkaan, Dasmariñas City, Cavite</t>
  </si>
  <si>
    <t>RFQ Chemicals and Reagents for DBS</t>
  </si>
  <si>
    <t>UPLB-CSLT-001-03-20 DETAILED ARCHITECTURAL AND ENGINEERING DESIGN (DAED) OF THE PROPOSED PILOT PLANT AND SCREENHOUSES FOR BIOFERTILIZERS, BIOSTIMULANTS AND BIOPESTICIDES AT BIOTECH-UPLB</t>
  </si>
  <si>
    <t>CONSTRUCTION OF GOA FIRE STATION, CAMARINES SUR</t>
  </si>
  <si>
    <t>PROCUREMENT OF VARIOUS LABORATORY SUPPLIES (BAC 2020-016)</t>
  </si>
  <si>
    <t>CONSTRUCTION OF BARCELONA FIRE STATION, SORSOGON</t>
  </si>
  <si>
    <t>ITB-GS-20190807-01 - Supply, Delivery and Installation of Digital Corner Counter at Various LANDBANK Offices</t>
  </si>
  <si>
    <t>Contract I.D. No. 20OE0189 - Rehabilitation of Multi – Purpose Building, Brgy 636, Sta. Mesa, Manila</t>
  </si>
  <si>
    <t>CONSTRUCTION OF SIPOCOT FIRE STATION, CAMARINES SUR</t>
  </si>
  <si>
    <t>20L00108 : Construction of Concrete Road-NHJ Dawan-Mamali-Macambol-Magum-Cabuaya Road, Mati City, Package 2, Davao Oriental</t>
  </si>
  <si>
    <t>Improvement of Cavite City Campus – Construction of Storm Drainage</t>
  </si>
  <si>
    <t>IT Supplies for Office use - BASD</t>
  </si>
  <si>
    <t xml:space="preserve">20-DO-0068: LOCAL PROGRAM - Local Infrastructure Program – Buildings and Other Structures – Multipurpose/Facilities – Construction of Multi-Purpose Building (Barangay Health Center), Dela Costa Homes </t>
  </si>
  <si>
    <t>Contract I.D. No. 20OE0173 - Rehabilitation / Reconstruction / Improvement of Multi-purpose Building, Brgy. 152, Tondo, Manila</t>
  </si>
  <si>
    <t>20JC0063 Construction of Box Culvert, Liloy National High School, Zamboanga del Norte</t>
  </si>
  <si>
    <t>CONSTRUCTION OF DEL GALLEGO FIRE STATION, CAMARINES SUR</t>
  </si>
  <si>
    <t>CID No. 20OD0156 - Rehabilitation of Roads and Drainage along Darlucio III, Brgy. Ugong, Valenzuela City</t>
  </si>
  <si>
    <t>CID No. 20OD0153 - Rehabilitation of Roads and Drainage along Anneville Subd., Brgy. Maysan, Valenzuela City</t>
  </si>
  <si>
    <t>Contract I.D. No. 20OE0185 - Construction of Multi-Purpose Building (Rizal Covered Court), City of Manila</t>
  </si>
  <si>
    <t>Consulting Services for the Conduct of Detailed Site Development Plan of Areas included under Phase 1-A of the CFZ Master Development Plan and Business Plan</t>
  </si>
  <si>
    <t>CID No. 20OD0161 - Construction of Multi-Purpose Building, Phase 1, Brgy. 171, Caloocan City</t>
  </si>
  <si>
    <t>20JC0055 Construction of Multi-Purpose Building at Leon B. Postigo, Zamboanga del Norte</t>
  </si>
  <si>
    <t>Widening and Improvement of Prince Balagtas Avenue (Package I) (STA. 0+000 to STA. 3+988)</t>
  </si>
  <si>
    <t>CID No. 20OD0155 - Rehabilitation of Roads and Drainage along Engracia St., Brgy. Marulas, Valenzuela City</t>
  </si>
  <si>
    <t>Procurement of Various Cellcards</t>
  </si>
  <si>
    <t>INVITATION TO BID  FOR THE CONSTRUCTION OF 4-STOREY W/ ROOF DECK ACADEMIC BUILDING (PHASE II-STRUCTURE)</t>
  </si>
  <si>
    <t>Contract I.D. No. 20OE0194 - Construction of Multi – Purpose Buildings ( Daycare Centers), Manila City</t>
  </si>
  <si>
    <t>CDC Group Life Insurance (Second Bidding)</t>
  </si>
  <si>
    <t>One (1) Lot Structural Engineering Consultancy Services for the Proposed Structural Audit and Retrofitting Design of the Buildings in BSP Cebu and Davao Regional Offices, as per BSP Terms of Reference</t>
  </si>
  <si>
    <t>Supply, Delivery and Installation of Attendance Capturing Machines under ITB No. PB20-01-017COR</t>
  </si>
  <si>
    <t>Contract ID No. 19CSK00049 – Consultancy Services for the Conduct of Feasibility Study for Misamis Occidental Economic Zone Diversion Road (ReXPRIP-29), Misamis Occidental 1st and 2nd Legislative Dist</t>
  </si>
  <si>
    <t>Contract I.D. No. 20OE0195 - Re – Development of Estero de Binondo, Dasmariñas St., Brgy. 282, Zone 26, District 3, Manila</t>
  </si>
  <si>
    <t>Contract ID No. 20FA0040: CLUSTER 22 - REHABILITATION/CONSTRUCTION/IMPROVEMENT OF VARIOUS RIVER CONTROL AT STO. DOMINGO, MALINAO AND MALILIPOT, ALBAY</t>
  </si>
  <si>
    <t>Road Improvement along R. Magsaysay Avenue</t>
  </si>
  <si>
    <t>Printing of Newsletter for 1st Term Publication Issues S.Y. 2019-2020 - The Philippine Artisan</t>
  </si>
  <si>
    <t>Contract I.D. No. 20OE0166 - Construction of 3 Storey Multi – purpose Building, Brgy. 282, Manila</t>
  </si>
  <si>
    <t>Contract ID No. 19CSK00048 – Consultancy Services for the Conduct of Feasibility Study for Tubod-Kapatagan Bypass Road, Sapad-Pualas Road, Kauswagan-Poona Piagapo-Marantao Road, Balo-i Bypass Road, (R</t>
  </si>
  <si>
    <t>Supply and Delivery of Assorted Food Supplies, Paper Cups and Other Non-Food Supplies for VIP Bar (Lot 1)</t>
  </si>
  <si>
    <t>20GFC0001: Purchase of Office Supplies, DPWH-CNDEO, Maintenance Section</t>
  </si>
  <si>
    <t>Supply and Delivery of Assorted Food Supplies, Paper Cups and Other Non-Food Supplies for VIP Bar (Lot 2)</t>
  </si>
  <si>
    <t>IMPROVEMENT OF SAN POLICARPO FIRE STATION</t>
  </si>
  <si>
    <t>Subscription of Magazines for Learning Resource Center(LRC)</t>
  </si>
  <si>
    <t>Package 12 of 17: Supply and Delivery of 100 pcs. – D.I. Gate  Valve  Flange Type 100mm. (4”), Non-Rising Stem with Operating Nut</t>
  </si>
  <si>
    <t>20OH0121-Local Program - Local Infrastructure Program - Flood Control and Drainage - Drainage / Protection Works - Drainage and Protection Works at Estero Tripa de Gallina – Maricaban Creek, Pasay Cit</t>
  </si>
  <si>
    <t>HO-PIG20-012 - Supply and Erection / Installation of TAP - USON 69kV Transmission Line Project</t>
  </si>
  <si>
    <t>HO-LVD20-001 - Repair of Concrete Access Road to Pagbilao CFTPP at Brgy. Ibabang Polo, Pagbilao, Quezon</t>
  </si>
  <si>
    <t>Supply and Delivery of Assorted Food Supplies, Paper Cups and Other Non-Food Supplies for VIP Bar (Lot 3)</t>
  </si>
  <si>
    <t>Provision of Security Services for Pag-IBIG Fund Central and Eastern Visayas Branches, Offices and Warehouses covering the period Y2020-2021</t>
  </si>
  <si>
    <t>S3-B1920-002 - Furnishing of Labor and Materials for Dry Docking and Ship Repair of PB 119</t>
  </si>
  <si>
    <t>Procurement of One (1) Lot, Three (3) Years Private Security Agency (PSA) Services for CF-Davao and Apo View Satellite</t>
  </si>
  <si>
    <t>ITB-GS-20200224-01 - Three (3) Years Managed Laser Print Services with Consumables</t>
  </si>
  <si>
    <t>ITB-GS-20200218-01 - One (1) Lot Supply and Delivery of EMV VISA Debit Card and Paywave Debit Card for OFBANK</t>
  </si>
  <si>
    <t>Proposed Improvement of Drainage System and Concrete Pavement of SAN JUAN STREET, Pasay City</t>
  </si>
  <si>
    <t>20GFC0002: Purchase of Hot Asphalt (60/70), Primary and Secondary National Road</t>
  </si>
  <si>
    <t>HO-PIB20-007 - Design, Supply, Delivery, Test and Commissioning of Two (2) Units of 5MW Power Barge at Mooring Facility, Bo. Obrero, Iloilo City</t>
  </si>
  <si>
    <t>CID No. 20OD0121 - Rehabilitation of Roads and Drainage Improvement along Candido St., Brgy. Mapulang Lupa, Valenzuela City</t>
  </si>
  <si>
    <t>ITB-GS-20200219-01 - Supply and Delivery of 1,100 Units Desktop Computer</t>
  </si>
  <si>
    <t>Supply &amp; Delivery of Four (4) units 16-Drawer Signature Card Cabinet as proposed by LBP Santiago Branch</t>
  </si>
  <si>
    <t>20CG0080 - Construction of Multi Purpose Building Dolores, City of San Fernando, Pampanga</t>
  </si>
  <si>
    <t>20CG0079 - Construction (Completion) of Multi Purpose Building, Del Rosario, City of San Fernando, Pampanga</t>
  </si>
  <si>
    <t>20CG0082 - Rehabilitation of Multi-Purpose Building, Guemasan, Arayat, Pampanga</t>
  </si>
  <si>
    <t>20CG0081 - Construction of Multi-Purpose Building Sindalan, San Fernando, Pampanga (Phase 1)</t>
  </si>
  <si>
    <t>20CG0089 - Asset Preservation Program: Rehabilitation/ Reconstruction/ Upgrading of Damaged Paved Roads- Primary Roads – Manila North Rd – K0064+192 – K0064+393, Sto. Tomas, Pampanga</t>
  </si>
  <si>
    <t>Proposed Renovation, Rehabilitation and Restoration of School Building and Other Facilities at MARICABAN ELEMENTARY SCHOOL (MES) – Phase 4</t>
  </si>
  <si>
    <t>CID No. 20OD0137 - Rehabilitation of Drainage along Liwayway St., Brgy. Paso De Blas, Valenzuela City</t>
  </si>
  <si>
    <t>CID No. 20OD0120 - Construction of Multipurpose Building at Don Simeon Purok III (Phase II), Brgy. Mapulang Lupa, Valenzuela City</t>
  </si>
  <si>
    <t>(19Z00011) PR-01a, Gutalac-Baliguian Alternative Road, Zamboanga Del Norte, K2027+802.62–K2055+764.93</t>
  </si>
  <si>
    <t>20CG0091 - Construction of Slope Protection, Mesalipit Creek, Bacolor, Pampanga</t>
  </si>
  <si>
    <t>REHABILITATION OF BARANGAY STREETS</t>
  </si>
  <si>
    <t>CID No. 20OD0136 - Rehabilitation of Roads and Drainage along Gomez St., Brgy. Maysan, Valenzuela City</t>
  </si>
  <si>
    <t>Supply and Delivery of Armchair for CED-SHS CvSU Indang Campus</t>
  </si>
  <si>
    <t>CID No. 20OD0117 - Rehabilitation of Roads and Drainage along Zafra St., Brgy. Maysan, Valenzuela City</t>
  </si>
  <si>
    <t>PGO-EXEC-COMBINATION BLINDS</t>
  </si>
  <si>
    <t>Construction of Road within Hollywood Park</t>
  </si>
  <si>
    <t>PROPOSED REHABILITATION OF POTOL BRGY. HALL</t>
  </si>
  <si>
    <t>20HD0019 - Construction of DPWH Cebu 1st District Engineering Office, Brgy. Poblacion, Medellin, Cebu</t>
  </si>
  <si>
    <t>Procurement of Monochrome and Color CMOS Image Sensor for Telescope</t>
  </si>
  <si>
    <t>20HD0017 - Construction of Multi-Purpose Building, Brgy. Taba-ao, Tabogon, Cebu</t>
  </si>
  <si>
    <t>20HD0015 - Construction of Multi-Purpose Building, Brgy. Curva, Medellin, Cebu</t>
  </si>
  <si>
    <t>Construction of Tourist Visitor Center I (Second Bidding)</t>
  </si>
  <si>
    <t>Procurement of Maintenance Supplies</t>
  </si>
  <si>
    <t>Improvement of Comfort Rooms at Lower Ground Floor of Admin Building at CvSU Indang Campus</t>
  </si>
  <si>
    <t>Procurement of Office Supplies and Consumables</t>
  </si>
  <si>
    <t>Provision of Data Privacy Services (Phase I)</t>
  </si>
  <si>
    <t>CID No. 20OD0135 - Rehabilitation of Roads and Drainage along Service Road C-5, Brgy. Parada, Valenzuela City</t>
  </si>
  <si>
    <t>PB No. 19-341-7 Engineering, Procurement, Construction and Commissioning (EPCC) Contract for the Subic-Clark Railway Project for the Department of Transportation (DOTr)</t>
  </si>
  <si>
    <t>CID No. 20OD0148 - Construction / Rehabilitation of Roads and Drainage along Macawili Road, Brgy. 167, Caloocan City</t>
  </si>
  <si>
    <t>20AC0057 - Construction of Seawall at Paratong, Sta. Catalina, Ilocos Sur</t>
  </si>
  <si>
    <t>Package 11 of 17: Supply and Delivery of 25 units Fire Hydrant Head 4"Ø (Angle Type) and 15 units Fire Hydrant Head 6"Ø (3-Way) (re-bidding)</t>
  </si>
  <si>
    <t>20AC0068 - Construction of Flood Control of Catabeng Brook Along Brgy. San Clemente, San Julian, San Basilio and Bacar, Magsingal, Ilocos Sur</t>
  </si>
  <si>
    <t>B-011-2020 SUPPLY AND DELIVERY 1 UNIT STEEL CABINET - REBID</t>
  </si>
  <si>
    <t>For the use of Malaybalay City Band.</t>
  </si>
  <si>
    <t>R&amp;D-OA-20-0868: Procurement of Agricultural Supplies</t>
  </si>
  <si>
    <t>20AC0074 - Construction of Multi-Purpose Building (Covered Court), Brgy. San Clemente, Magsingal, Ilocos Sur</t>
  </si>
  <si>
    <t>20AC0067 - Construction of Seawall, Brgy. Solot-solot, San Juan, Ilocos Sur</t>
  </si>
  <si>
    <t>S3-SCL20-013 - Construction of Operator's Quarter and Office in Sacol DPP, Sacol Island, Zamboanga City</t>
  </si>
  <si>
    <t>UPLB-RES-029-04-20  PROCUREMENT OF DIAGNOSTIC AND LABORATORY SERVICES FOR IPB AND IBS</t>
  </si>
  <si>
    <t>20KA0101(Readvertisement) Cluster 2 1.) Construction of Flood Control Structure along Malaybalay -Gingoog Road (Kulaman Br.), Malaybalay City, Bukidnon 2.) Construction of Flood Control Structure alon</t>
  </si>
  <si>
    <t>B-010-2020 PROCUREMENT OF EQUIPMENT AND FIXTURES FOR THE RESEARCH WORKSHOP ROOM  - REBID</t>
  </si>
  <si>
    <t>Construction of Multi-Purpose Building (Covered Court) Brgy. Bensican, San Nicolas, Pangasinan</t>
  </si>
  <si>
    <t>Contract I.D. No. 20OE0138 - Rehabilitation of Roads and Drainage at Cordillera St. and Ext., Manila</t>
  </si>
  <si>
    <t>UPLB-RES-027-04-20  SUPPLY AND DELIVERY OF BRANDED AND BRAND NEW INFORMATION TECHNOLOGY FOR ICS</t>
  </si>
  <si>
    <t>Geotechnical Investigation (Subsurface Exploration) of:  1. Construction of Multi-Storey Buildings of the following sites (3 holes-15 meters deep per hole): a)	CTU-Guba, Brgy. Guba, b) Brgy. Labangon,</t>
  </si>
  <si>
    <t>20GFC0010: Purchase of Information Technology Office Equipment Hardware, DPWH-CNDEO, Daet, Camarines Norte</t>
  </si>
  <si>
    <t>20AC0073 - Construction of Flood Control Structure Along Mestizo River, Brgy. Fuerte (Sabangan), Caoayan, Ilocos Sur</t>
  </si>
  <si>
    <t>Supply and Delivery of Business Metal Plate to be used at the CADMINO - Business License and Permit Division in the City of San Fernando, Pampanga</t>
  </si>
  <si>
    <t>UPLB-IF-016-03-20 CONSTRUCTION OF AREA DRAIN WITH INTERCEPTOR CANAL, DEPARTMENT OF MILITARY SCIENCE AND TACTICS, UPLB, COLLEGE, LAGUNA</t>
  </si>
  <si>
    <t>20GFC0009: Purchase of Materials for the Repair of Lined Canal, Talobatib - Jose Panganiban Pob. - Port</t>
  </si>
  <si>
    <t>UPLB-IF-015-03-20 IMPROVEMENT OF SITE ORNAMENTAL CROPS NURSERY, LUZ ONATE ST., UPLB CAMPUS</t>
  </si>
  <si>
    <t>20GFC0008: Purchase of IT Equipment for Construction Section, DPWH-CNDEO, Daet, Camarines Norte</t>
  </si>
  <si>
    <t>20AC0072 - Construction of Multi-Purpose Building (Covered Court), Brgy. Lingsat, Bantay, Ilocos Sur</t>
  </si>
  <si>
    <t>Construction of Sta. Barbara Arena, Phase I under Design and Build Scheme</t>
  </si>
  <si>
    <t>20J00180 - Construction of slope protection along Camp Andres Romandier National Road KM 29+000-KM 34+000 [with exemption], Sulu</t>
  </si>
  <si>
    <t>MATERIALS, IMPROVEMENT OF MULTI-PURPOSE HALL, BRGY. PANDAN, DUENAS, ILOILO</t>
  </si>
  <si>
    <t>Construction of Multi-Purpose Building (Public Auditorium/Gym), San Nicolas, Pangasinan</t>
  </si>
  <si>
    <t>FOD-OA-20-1916: Procurement of Molasses</t>
  </si>
  <si>
    <t>20J00173 - Construction of Bypass Road from Barangay Limook Emergency Hospital-Barangay Maligaya Isla Verde-Barangay Maganda Junction National Highway, Lamitan City, Basilan</t>
  </si>
  <si>
    <t>Contract ID No. 20K00347 - Construction of By-Pass and Diversion Road Jct. CDO-Talakag Road/ Macapagal Drive-Upper Carmen-Patag-Jct. BCIR/Kauswagan, Cagayan de Oro City</t>
  </si>
  <si>
    <t>20HD0078 - Construction of Multi-Purpose Building, Brgy. Tabagak, Madridejos, Cebu</t>
  </si>
  <si>
    <t>Procurement of Security Services for Agus 5 Hydroelectric Power Plant</t>
  </si>
  <si>
    <t>Procurement of One (1) Lot, Three (3) Years Janitorial Services for CF-Davao and Apo View Satellite</t>
  </si>
  <si>
    <t>Procurement of Managed Security Services</t>
  </si>
  <si>
    <t>ITB-GS-20190703-01 (2) - One (1) Lot Supply, Delivery, Installation, Testing and Commissioning of Variable Refrigerant Flow (VRF) Air-Conditioning Units at LANDBANK Sta. Cruz Office Building</t>
  </si>
  <si>
    <t>CID No. 20OD0142 - Rehabilitation of Roads and Drainage along Cordero St., Brgy. Marulas, Valenzuela City</t>
  </si>
  <si>
    <t>Supply, Delivery, Installation and Commissioning of One (1) Unit Automatic Coin Measuring Machine, including Consumables and Training of Personnel, as per BSP Technical Specifications and Terms of Ref</t>
  </si>
  <si>
    <t>Procurement of Security Services for Agus 6 &amp; 7 Hydroelectric Power Plants</t>
  </si>
  <si>
    <t>POSTPONEMENT OF THE SUBMISSION AND OPENING OF BIDS FOR THE INFRASTRUCTURE PROJECTS AND GOODS</t>
  </si>
  <si>
    <t>THIS VEHICLE WILL BE SERVE AS TRANSPORTATION DURING EMERGENCY CASES, BRGY RELATED ACTIVITIES AND FOR OTHER PURPOSES THAT WOULD BE BENEFICIAL FOR THE COMMUNITY.</t>
  </si>
  <si>
    <t>Asset Preservation Program; Preventive Maintenance – Primary Roads; Manila North Road – K0083+605 – K0083+828, K0083+888 – K0084+679, K0085+428 – K0085+684, Angeles City, Pampanga</t>
  </si>
  <si>
    <t>Supply and Delivery of DRRM Rescue Vehicles</t>
  </si>
  <si>
    <t>20KA0135 Road Widening along Jct SH Aglayan-Zamboanguita Rd (S00631MN) - K1523 + 850 - K1525 + 500 (Package 1 - K1523 + 850 - K1525 + 340) Malaybalay City, Bukidnon</t>
  </si>
  <si>
    <t>Procurement of Laptop &amp; Desktop (Set)  Computers</t>
  </si>
  <si>
    <t>Supply and Delivery of 288 Unit 10Lbs. Fire Extinguisher MAP (Dry Chemical), 254 Unit Smoke Alarm (Photo electronic, Battery operated), 	and 29 Set 150mmØ Alarm Bell w/ Manual Call Point AC 220V w/con</t>
  </si>
  <si>
    <t>Supply and Delivery of Twenty Five (25) Units Specific Purpose Motor Vehicles</t>
  </si>
  <si>
    <t>20KA0136 Paving of Unpaved Roads with Construction of Road Slope Protection Structure along Kapalong-Talaingod-Valencia (Bukidnon) Rd (S00641MN) -  K1582 + 587 - K1582 + 734 (Package 1 - K1582 + 680 -</t>
  </si>
  <si>
    <t>Supply and Delivery of Fertilizers in support to the Corn and Corn-Based Farming System/YRRP (Re-bid)</t>
  </si>
  <si>
    <t>ITB-GS-20200304-01 - One (1) Lot Supply and Delivery of 65,500 pcs. EMV VISA Debit Card with Personalization</t>
  </si>
  <si>
    <t>Procurement of the Services of a Private Radiologist to Read Computerized Digital X-ray in the Health Services Office, City Government of Baguio</t>
  </si>
  <si>
    <t>PROCUREMENT OF TERMITE TREATMENT AND GENERAL PEST CONTROL MAINTENANCE UNDER IB NO. 2020-215</t>
  </si>
  <si>
    <t>(19Z00043) Contract Package -2, Design and Build of the Ambal-Simuay River and Rio Grande De Mindanao Flood Control Projects</t>
  </si>
  <si>
    <t>Supply and Delivery of Floor Mounted Air conditioner (Including Installation)</t>
  </si>
  <si>
    <t>Supply and Delivery of Brand New 4x4 Manual Transmission Pick-up - MSWDO</t>
  </si>
  <si>
    <t>Local Program; Local Infrastructure Program; Local Roads and Bridges; Local Roads; Construction of Cutcut Flyover, Cutcut, Angeles City</t>
  </si>
  <si>
    <t>Procurement of Customized Ambulance with Medical Kits</t>
  </si>
  <si>
    <t>PROCUREMENT OF BIFENTHRIN  UNDER IB NO. 2020-212</t>
  </si>
  <si>
    <t>20KA0142 Construction of Multi Purpose Building - Construction of Multi-Purpose  Building, Brgy. Iba, Cabanglasan, Bukidnon (Phase II) Cabanglasan, Bukidnon</t>
  </si>
  <si>
    <t>PB 2020-28 (GOODS) - Lease of Servers for Various Systems</t>
  </si>
  <si>
    <t>IB No. 2005-304 Proc. of Goods (Fuel and Lubricants)</t>
  </si>
  <si>
    <t>Construction Materials of Water Reservoir, at M.Francisco Evacuation Cenetr</t>
  </si>
  <si>
    <t>PRN 049-MOTOR VEHICLE-TF-GOODS-2020</t>
  </si>
  <si>
    <t>Construction of Multi-Purpose Building with Storage Room and Two Public Comfort Room at Brgy. Tumbaga 1, Sariaya, Quezon</t>
  </si>
  <si>
    <t>PROCUREMENT OF CONSULTING SERVICES FOR SUBDIVISION SURVEY OF 247 HECTARES NEW LANDS</t>
  </si>
  <si>
    <t>PEO-20-0597 B- Procurement of Construction Materials for use in the Improvement of Drainage Canal along Batad Pob.-Bulak Road, Batad, Iloilo</t>
  </si>
  <si>
    <t>Supply, Delivery, Installation and Commissioning of Airconditioning Units for Philippine Ports Authority Head Office</t>
  </si>
  <si>
    <t>PROCUREMENT FOR THE SUPPLY, DELIVERY, AND INSTALLATION OF SPECTROPHOTOMETER FOR USE OF NATIONAL PLANT QUARANTINE SERVICES DIVISION (NPQSD)</t>
  </si>
  <si>
    <t>PROCUREMENT FOR THE SUPPLY, AND DELIVERY OF GASES FOR GAS CHROMATOGRAPHY FOR USE IN RESIDUE LABORATORIES OF PLANT PRODUCT SAFETY SERVICES DIVISION (PPSSD)</t>
  </si>
  <si>
    <t>PROCUREMENT FOR THE SUPPLY AND DELIVERY OF LC, HPLC CONSUMABLES FOR USE IN LABORATORIES OF PLANT PRODUCT SAFETY SERVICES DIVISION (PPSSD)</t>
  </si>
  <si>
    <t>PROCUREMENT FOR THE SUPPLY AND DELIVERY OF PARKER NEEM TONIC, SPINETORAM AND CHLORANTRANILIPROLE FOR USE OF CROP PEST MANAGEMENT DIVISION (CPMD)</t>
  </si>
  <si>
    <t>PROCUREMENT FOR THE SUPPLY AND DELIVERY OF ELECTRIC HEAVY DUTY CUTTER FOR USE IN SEED TESTING AND SEED CERTIFICATION OF NATIONAL SEED QUALITY CONTROL SERVICES DIVISION (NSQCSD)</t>
  </si>
  <si>
    <t>fishing gears</t>
  </si>
  <si>
    <t>PROCUREMENT FOR THE SUPPLY AND DELIVERY OF CHEMICAL AND FILTERING SUPPLIES FOR USE OF NATIONAL PLANT QUARANTINE SERVICES DIVISION (NPQSD)</t>
  </si>
  <si>
    <t>Construction of Drainage Canal - Phase 2</t>
  </si>
  <si>
    <t>PROCUREMENT OF VARIOUS OFFICE EQUIPMENT AND SUPPLIES USE IN SPECIAL AMELIORATION PROGRAM (SAP) DISTRIBUTION AT 22 BARANGAYS</t>
  </si>
  <si>
    <t>Completion of MP Facility Covered Court @ Barangay 18-A, Gingoog City, Mis. Or. under Contract Ref. No. 2020-INFRA-043</t>
  </si>
  <si>
    <t>REHABILITATION OF ROOFING OF STAGE AT SANGLEY POINT NATIONAL HIGH SCHOOL, SAN ANTONIO, CAVITE CITY</t>
  </si>
  <si>
    <t>PROCUREMENT FOR THE SUPPLY AND DELIVERY OF PURITY WORKBOARD, DIAPHANOSCOPE, AND CIRCLINE MAGNIFIER FOR USE IN SEED TESTING AND SEED CERTIFICATION OF NATIONAL SEED QUALITY CONTROL SERVICES DIVISION (NS</t>
  </si>
  <si>
    <t>20OI0118:Rehabilitation of ALS , brgy. Bayanan, Muntinlupa City</t>
  </si>
  <si>
    <t>PROCUREMENT OF  CIVIL WORKS OF VARIOUS FACILITIES</t>
  </si>
  <si>
    <t>Concreting of Road Section at Brgy. Sta.Rosa II, Binaybay, Baco, Or. Mindoro</t>
  </si>
  <si>
    <t>Concreting of Road at Brgy Batong Dalig, Socorro, Oriental Mindoro</t>
  </si>
  <si>
    <t>INFRA 2K20-40 CONSTRUCTION OF 14 LN.M. HANGING BRIDGE</t>
  </si>
  <si>
    <t>PROCUREMENT FOR THE SUPPLY AND DELIVERY OF QUECHERS TUBES FOR USE IN LABORATORIES OF PLANT PRODUCT SAFETY SERVICES DIVISION (PPSSD)</t>
  </si>
  <si>
    <t>PR# 20-1417- To supply labor, materials and necessary tools and equipment for the Construction of Multi-Purpose Covered Area at Purok 1, San Jose Ponduan, City of San Fernando, Pampanga.</t>
  </si>
  <si>
    <t>20OI0103; Rehabilitation of Road, Brgy. Pilar, Las pinas City</t>
  </si>
  <si>
    <t>Supply and Delivery of 1-unit Passenger Van for Bicol University</t>
  </si>
  <si>
    <t>Construction of Pathwalk, Access Ramp and Stairs at Valladolid District Hospital, Valladolid, Negros Occidental / (PEO-2020-0695)</t>
  </si>
  <si>
    <t>Construction of Barangay Health Station, Poblacion II &amp; III, Hamtic, Antique</t>
  </si>
  <si>
    <t>Concreting of Yeban Norte-Punit Road (530 Meters)</t>
  </si>
  <si>
    <t>Supply and Delivery of Computer Paper Continuous Forms for the Regional Payroll Services Unit of the Department of Education, Regional Office VI</t>
  </si>
  <si>
    <t>Construction of Farmers Multi-Purpose Center, Juan Cartas, Caba</t>
  </si>
  <si>
    <t>Supply and Delivery of 1-unit Sports Utility Vehicle for Bicol University</t>
  </si>
  <si>
    <t>ITB NO. 2020-0012 Design, Supply, Fabrication of Mounting Brackets and Installation and Testing of Antenna Panels for the Zamboanga Transmitter Station of the People’s Television Network Inc. (PTNI)</t>
  </si>
  <si>
    <t>Procurement of Trucking Services for the Intra-Regional and Intra-Provincial Transfer of Grains of NFA Region VI for the Year 2020 (Negotiated Procurement: Two-Failed Biddings)</t>
  </si>
  <si>
    <t>Improvement/Widening of Balecbec-Basca Farm to Market Road, Naguilian</t>
  </si>
  <si>
    <t>Construction of Gabion at Sitio Tagascan, Brgy. San Vicente, Roxas, Oriental Mindoro</t>
  </si>
  <si>
    <t>Rehabilitation of Lingsat Farm to Market Road (Hufano Street), San Fernando City</t>
  </si>
  <si>
    <t>Improvement of Rimos #4  Road, Luna</t>
  </si>
  <si>
    <t>Rehabilitation and Improvement of Sapilang Road, Bacnotan</t>
  </si>
  <si>
    <t>Invitation to Bid for the Contract for Supply and Delivery ot Two (2) Units Brand New Office Vehicles-Rebid</t>
  </si>
  <si>
    <t>Improvement of Naguilian-San Fernando Road, Naguilian</t>
  </si>
  <si>
    <t>Procurement of One (1) Lot Back-up as a Service (BaAs) and Disaster Recovery as a Service (DrAs) Solution</t>
  </si>
  <si>
    <t>Construction of Bulacon Barangay Multi-Purpose Building, Concreting of Lapu Lapu St (140.00 m) and Concreting of Aguinaldo St, 200.00m</t>
  </si>
  <si>
    <t>Construction of Dallangayan Este Creek Slope Protection, San Fernando City</t>
  </si>
  <si>
    <t>Rehabilitation and Improvement of Biday-Mameltac-Saoay-Dallangayan Road, San Fernando City</t>
  </si>
  <si>
    <t>Repair/ Rehabilitation of Classroom Damaged by Typhoon Ursula under Quick Response Fund (QRF) CY 2020 Batch 1 Lot 6 at Asluman ES, Granada ES, Piagao PS and Granada NHS Carles, Iloilo.</t>
  </si>
  <si>
    <t>CID No. 19IO0159: Rehabilitation of DENR-EMB RO 8 Laboratory Building, Baras, Palo, (Phase III), Government Center, Baras, Palo, Leyte</t>
  </si>
  <si>
    <t>Procurement of One (1) Lot Firewall Software Subscription Support</t>
  </si>
  <si>
    <t>Repair/ Rehabilitation of Classroom Damaged by Typhoon Ursula under Quick Response Fund (QRF) CY 2020 Batch 1 Lot 5 at Abong ES, Alipata ES. Bito-on ES and Cana PS Carles, Iloilo.</t>
  </si>
  <si>
    <t>20PA0133 : CONCRETING OF BARANGAY NAGCANASAN FMR, Barangay Nagcanasan, Pilar, Abra</t>
  </si>
  <si>
    <t>20OI0122: Construction of Flood Control Structures along Zapote River and its Tributaries (Upstream), Las Pinas City</t>
  </si>
  <si>
    <t>Re-Bidding of Supply and Delivery of One (1) Lot Various Engineering and Maintenance Materials for January 1 to December 31, 2020</t>
  </si>
  <si>
    <t>Invitation to Bid for Supply and Delivery of Pencil with Eraser, Ballpen, Pentel Pen and Colored Paper for Day Care Children to Senior High School Students at DepEd Calaca District, Calaca, Batangas</t>
  </si>
  <si>
    <t>Construction and Rehab of All Drainage Canal/Ditches at 100cm width with Cover to Climate Variability Design Standards</t>
  </si>
  <si>
    <t>infrastructure Project-LOWER SIBUGUEY I RIS EXTENSION PROJECT PACKAGE 3 CY 2016 REMAINING WORKS, Diplahan, Zamboanga Sibugay</t>
  </si>
  <si>
    <t>PR 9-20-05-0601, FOR THE USE OF SAN CARLOS CITY HOSPITAL, THIS CITY.</t>
  </si>
  <si>
    <t>REPAIR OF BARANGAY HALL (BRGY LULUGAYAN) Jiabong, Samar</t>
  </si>
  <si>
    <t>Supply and Delivery of 2 units Mechanical Ventilator, Digital</t>
  </si>
  <si>
    <t>Procurement of One (1) Lot Information and Communications Technology (ICT) Equipment for the Philippine National Police Directorate for Logistics (PNP DL)- PNPTR-DL-DP-20-04</t>
  </si>
  <si>
    <t>20DD0333 Local Program, Local Infrastructure Program, Local Roads and Bridges, Local Roads, Construction of Brgy. Road at Brgy. Halang, Lipa City, Batangas</t>
  </si>
  <si>
    <t>Supply and Delivery of Brand New Utility Vehicle (pick-up) - MAO</t>
  </si>
  <si>
    <t>Construction of Gymnatorium with State-of-the-Art Facilities (Phase II) MMSU, City of Batac</t>
  </si>
  <si>
    <t xml:space="preserve">20NA0074 ACT NO. 71X (Special Maintenance) Selective Replacement of Damaged Concrete Slabs along National Primary, Secondary &amp; Tertiary Roads (Concrete Reblocking), with Pavement Markings 1st Quarter </t>
  </si>
  <si>
    <t>20DD0325 Local Program, Construction/ Repair/ Rehabilitation/ Improvement of Various Infrastructure Including Local Projects, Buildings and Other Structures, Multipurpose/ Facilities, Construction of</t>
  </si>
  <si>
    <t>20DD0332 Local Program, Local Infrastructure Program, Buildings and Other Structures, Multipurpose/ Facilities, Rehabilitation/ Improvement of Multi-Purpose Facilities at Duhatan Elementary School, Br</t>
  </si>
  <si>
    <t>Construction of Poblacion Drainage System (Magsaysay Street)</t>
  </si>
  <si>
    <t>Construction of Outpatient Department Building for Non-COVID-19 Patients</t>
  </si>
  <si>
    <t>CONSTRUCTION OF MULTI-PURPOSE BUILDING (PHANSE II) ADARNA DAY CARE</t>
  </si>
  <si>
    <t>20DD0335 Local Program, Construction/ Repair/ Rehabilitation/ Improvement of Various Infrastructure Including Local Projects, Water Management Facilities, Water Supply, Rehabilitation of Water Supply</t>
  </si>
  <si>
    <t>Fertilizer</t>
  </si>
  <si>
    <t>Concreting of NRJ (Bayugan City) Sta. Teresita-Mt. Carmel-Osmeña Circumferential Road</t>
  </si>
  <si>
    <t>Supply and Delivery of Various Brand New Heavy Equipments and  Brand New Six (6) Wheelers Dump truck</t>
  </si>
  <si>
    <t>Rehabilitation of San Isidro RHU (Phase I)</t>
  </si>
  <si>
    <t>Invitation to bid for the purchase of 1 unit garbage truck</t>
  </si>
  <si>
    <t>20FK0053-Cluster XIV 1.) Asset Preservation Program-Rehab./Reconstruction/ Upgrading of Damaged Paved Roads-Secondary Roads-Salvador H. Escudero III Diversion Road -K0577+(-013)-k0577+424, K0583+245-K</t>
  </si>
  <si>
    <t>Procurement and Delivery of Technical and Scientific Equipment</t>
  </si>
  <si>
    <t>2,485 cu.m. Loose Earth Soil for Vegetation and other items for site grading, stabilization and final cover of Dumpsite (Closure Plan) Phase I, Barangay Candau-ay.</t>
  </si>
  <si>
    <t>Feeds</t>
  </si>
  <si>
    <t>Concreting of NRJ (Sibagat) San Vicente-Esperanza Road</t>
  </si>
  <si>
    <t>Supply and Delivery of Printing Supplies for different departments (Non-PS) (PR No. 2020-06-0560)</t>
  </si>
  <si>
    <t>INVITATION TO BID FOR SUPPLY AND DELIVERY OF MATERIALS FOR THE Improvement of Water System at Barangay Tagpopongan, Babak District, IGaCoS under PR No. 004</t>
  </si>
  <si>
    <t>Construction of Bleacher, Canopy and Perimeter Fence at Sierra Vista Subdivision, Brgy. Cupang, Antipolo City</t>
  </si>
  <si>
    <t>Supply of three (3) units Tool Box</t>
  </si>
  <si>
    <t>Construction/ Concreting of Provincial Roads, Highways and Bridges (Panhutungan Feeder Road Slope Protection)</t>
  </si>
  <si>
    <t>Invitation to bid for the major repair of community fish landing center at Sitio Impapanan, Armenia, Uson, Masbate</t>
  </si>
  <si>
    <t>ITB NO. 2020-0014N Supply, Delivery, Testing, Integration, Training and  Commissioning of News Production Editing System with  Complete Accessories for the Mindanao Media Hub of the People’s Televisio</t>
  </si>
  <si>
    <t>Acquisition of Brand New Ambulance</t>
  </si>
  <si>
    <t>Acquisition of Brand New Mini Dump Truck</t>
  </si>
  <si>
    <t>20DD0334 Local Program, Local Infrastructure Program, Buildings and Other Structures, Multipurpose/ Facilities, Rehabilitation/ Improvement of Multi-Purpose Facilities at Tambo Elementary School, Brgy</t>
  </si>
  <si>
    <t>PURCHASE OF BRAND NEW SERVICE VEHICLE FOR USE AS SERVICE VEHICLE OF PUBLIC WORK DIVISION, CEO</t>
  </si>
  <si>
    <t>CONSTRUCTION OF FACILITY (FUNCTION HALL) in Suhoton Cave, Brgy. Agcagay, Jamindan, Capiz</t>
  </si>
  <si>
    <t>PURCHASE OF MOTOR VEHICLE FOR CITY ADMINISTRATOR'S OFFICE USE</t>
  </si>
  <si>
    <t>Acquisition of Brand New Garbage Truck</t>
  </si>
  <si>
    <t>INVITATION TO BID ON DRILLING ONE (1) EXPLORATION/PRODUCTION WELL</t>
  </si>
  <si>
    <t>Procurement of Various Materials, Fuel and Lubricants for the Implementation of Road Rehabilitation Program.</t>
  </si>
  <si>
    <t>Supply and Delivery of Agricultural Products for the Support to Purok System (2nd posting)</t>
  </si>
  <si>
    <t>RENOVATION OF STORAGE AND DISTRIBUTION DEPARTMENT (RE-BID) (BAC-IB NO. 2020-31)</t>
  </si>
  <si>
    <t>Procurement of Supplies and Materials for the Construction of Garage</t>
  </si>
  <si>
    <t>Purchase of Construction Materials for the Construction Truss and Roof System with Retro Fit for Covert Court of Rizal, San Guillermo, Isabela</t>
  </si>
  <si>
    <t>Construction of Breakwater for Storm Surge Mitigation</t>
  </si>
  <si>
    <t>4411-19-022) IMPROVEMENT AND EXTENSION OF THE EXISTING SCOUT BARRIO HEALTH CENTER AT SCOUT BARRIO C/O CBAO</t>
  </si>
  <si>
    <t>Supply and Delivery of Materials and Fittings  for Service Connections and Maintenance of GMAWD’s Water Supply System</t>
  </si>
  <si>
    <t>Purchase of Materials for Construction of Multi-Purpose Building P Poblacion, Cabanglasan, Bukidnon</t>
  </si>
  <si>
    <t>Improvement of Barangay Health Station at Mabasa</t>
  </si>
  <si>
    <t>Supply and Delivery of Pre-Mix Asphalt and Emulsified Asphalt</t>
  </si>
  <si>
    <t>INVITATION TO BID FOR CONSTRUCTION OF PIGKALAGAN – MATENGEN ROAD</t>
  </si>
  <si>
    <t>Procurement of Materials for the Construction of Concrete Pathway at Sitio Maitom, Brgy. Cuatro De Agosto, Mahaplag, Leyte</t>
  </si>
  <si>
    <t>FOR GENERAL REPAIR OF POLICE MOBILE PATROL (MAHINDRA)</t>
  </si>
  <si>
    <t>Purchase of Materials for Construction of Multi-Purpose C Poblacion, Cabanglasan, Bukidnon</t>
  </si>
  <si>
    <t>Purchase of Various IT Equipment</t>
  </si>
  <si>
    <t>Procurement of Internet Connection Service</t>
  </si>
  <si>
    <t>Proposed Road Concreting / Rehabilitation Main Road, Brgy. Riverside</t>
  </si>
  <si>
    <t>Installation of Street Lights Phase III - Brgy. San Fernando, Pilar, Capiz</t>
  </si>
  <si>
    <t>Purchase of Three (3) Units 3.0 TR Floor Mounted Airconditioner.</t>
  </si>
  <si>
    <t>Installation of Street Lights - Brgy. Balogo, Pilar, Capiz</t>
  </si>
  <si>
    <t>Concreting of Barangay Road - Brgy. Binaobawan, Pilar, Capiz</t>
  </si>
  <si>
    <t>OPV-2020-0174 PR2020-0440 INVITATION TO BID FOR THE PROCUREMENT OF OFFICE FURNITURE AND FIXTURES</t>
  </si>
  <si>
    <t>Road Opening at Brgy. Odlot, Bogo City, Cebu</t>
  </si>
  <si>
    <t>PROCUREMENT OF VARIOUS CONSTRUCTION MATERIALS FOR THE IMPROVENT OF MULTI-PURPOSE HALL SITE AT BRGY. DAGUMA BSK</t>
  </si>
  <si>
    <t>Purchase of Materials for Construction of Market Stalls (Phase II) Market Site Poblacion Lot 1,2</t>
  </si>
  <si>
    <t>Construction of Drainage Canal at Purok 1-B(BARANGAY BOBONGON)</t>
  </si>
  <si>
    <t>Supply and Delivery of Influenza Vaccine to Increase the Immunity and Protection of the Elderly Against Flu Wherein Can Minimize the Effect of Covid 19 if Vaccinated</t>
  </si>
  <si>
    <t>Replacement of Escalator East and Escalator West at NAIA Terminal 1</t>
  </si>
  <si>
    <t>Procurement of Various Projects (Package 3)</t>
  </si>
  <si>
    <t>Procurement of Materials for Repair of Public Market Roofing</t>
  </si>
  <si>
    <t>CONSTRUCTION OF COMFORT ROOM BUILDING (PROGRESSIVE TYPE) AT ALEOSAN PUBLIC MARKET, LGU ALEOSAN, COT.</t>
  </si>
  <si>
    <t>Concreting of Barangay Road at Barangay Minanga Sur</t>
  </si>
  <si>
    <t>Supplying various medical oxygen for use of the three (3) hospitals owned by the Marinduque Provincial Government, SCDH/TMH/MPH, Boac, Marinduque</t>
  </si>
  <si>
    <t>Supplying various breeder animals to be dispersed to Solo Parents of Torrijos Municipality, Provincial Veterinary Office, Boac, Marinduque</t>
  </si>
  <si>
    <t>SUPPLY AND DELIVERY OF MISTING MACHINE (ITB No. 2020-145-A)-(pgo-pdrrmd)</t>
  </si>
  <si>
    <t>DENR-RFQMS-2020-032</t>
  </si>
  <si>
    <t>Printing and Installation of Hazard Warning Signage (Reflective Caution Sign)</t>
  </si>
  <si>
    <t>PROCUREMENT OF GOATS UPGRADED (FEMALE, 100 HEADS) FOR GOAT DISPERSAL PROGRAM OF MUNICIPAL AGRICULTURE; (2ND BIDDING)</t>
  </si>
  <si>
    <t>Purchase of Rubber Seedlings</t>
  </si>
  <si>
    <t>Water Service Connection Fittings/Materials</t>
  </si>
  <si>
    <t>Procurement of Six (6) Units of Motorcycle for Official Use of P/CENR Offices</t>
  </si>
  <si>
    <t>Supply of Materials for the Rehabilitation of Public Market (Awning)</t>
  </si>
  <si>
    <t>Supply And Delivery of One (1) unit Meat Van (Brand New) and Two (2) units LED TV CCTV Monitor to be used for delivery of dressed meat from slaughter house to Public Market and Market Satey and Securi</t>
  </si>
  <si>
    <t>Supply and Delivery of Construction Materials for the Cotabato Airport Development Project CY 2018 (Runway Strip Grade Correction)</t>
  </si>
  <si>
    <t>Supply and Delivery of IT Equipment, Furnitures &amp; Other Equipment</t>
  </si>
  <si>
    <t>20A00070: Construction of By-pass and Diversion Roads, Laoag-San Nicolas Bypass Road (San Nicolas Section), Ilocos Norte</t>
  </si>
  <si>
    <t>REHABILITATION OF PERIMETER FENCE AT PANGLAO PUBLIC MARKET, POBLACION, PANGLAO, BOHOL</t>
  </si>
  <si>
    <t>INVITATION TO BID FOR THE SUPPLY AND DELIVERY OF 1 UNIT SURPLUS REFRIGERATED MEAT VAN FOR CEEDO, OROQUIETA CITY  (SECOND NOTICE)</t>
  </si>
  <si>
    <t>Design And Build For The Construction Of New Manapla Public Market</t>
  </si>
  <si>
    <t>Supply and Delivery of 15 units Television for Reading Program</t>
  </si>
  <si>
    <t>Supply and Delivery of 16 rolls AWG ACSR Duplex Wire #2 (1000m/roll) to be used for expansion/installation of NEW Electrical Lines of different Barangays, Brooke’s Point, Palawan</t>
  </si>
  <si>
    <t>20A00021: Construction of By-Pass and Diversion Roads, Bauang-San Fernando-San Juan Bypass Road (Bauang Section), La Union</t>
  </si>
  <si>
    <t>Concreting of Ilang-Ilang St. (From Cadena de Amor - Everlasting St. and From Caimito - Lawaan St.)</t>
  </si>
  <si>
    <t>FURNISHING OF LABOR AND MATERIALS FOR THE INSTALLATION OF COMPAC SOLAR STREETLIGHT (HIGH BRID SOLAR)</t>
  </si>
  <si>
    <t>Rehabilitation/Construction of Lined Canals, Curbs &amp; Gutter at Brgy. Pinagtalleran/Baclaran/Pob.Cinco/Pob.Cuatro, Calauag, Quezon</t>
  </si>
  <si>
    <t>Construction of Pathway, Po. Rose A Brgy. Malaiba, Canlaon City</t>
  </si>
  <si>
    <t>Rehabilatation of various FMRs</t>
  </si>
  <si>
    <t>CONST. OF TIAONG MUN. HOSPITAL (HOSPITAL LIFT ELEVATOR/RESTRUCTURING/ROOFING)-MUNICIPAL GROUND, BRGY.POB.3</t>
  </si>
  <si>
    <t>2 Units Electric Tricycle with Accessories</t>
  </si>
  <si>
    <t>PURCHASE OF DISASTER EQUIPMENTS/MATERIALS/SUPPLIES &amp; INVENTORIES - SAN JUAN, ILOCPS SUR</t>
  </si>
  <si>
    <t>Bid No. 20-0284 - PROCUREMENT OF FURNITURE &amp; FIXTURES - MO/RADIO ROOM SECTION</t>
  </si>
  <si>
    <t>For Utilization of Tinago Line 2 Phase 1</t>
  </si>
  <si>
    <t>Labor and Materials for the Construction of Slope Protection at Malpitic, City of San Fernando, Pampanga.</t>
  </si>
  <si>
    <t>Rental of Equipment for the Construction of Antonino Farm to Market Road</t>
  </si>
  <si>
    <t>PROCUREMENT OF IT AND GEOGRAPHIC INFORMATION SYSTEM EQPT. WITH ACCESSORIES</t>
  </si>
  <si>
    <t>Labor and Materials for the Construction of Slope Protection at Saguin, City of San Fernando, Pampanga.</t>
  </si>
  <si>
    <t>20LB0193 - Shoulder Paving along Davao - Cotabato Rd. (Davao City - Jct Digos Sect) - K1514+265 - K1514+530, K1521+235 - K1521+415</t>
  </si>
  <si>
    <t>20LB0157 - Construction of Drainage along Pagatpat St. S.I.R., PH. 1, New Matina, Brgy. 76-A, Davao City</t>
  </si>
  <si>
    <t>2nd ITB for the  UPGRADING OF NVPH WATER SYSTEM Located at Bambang, Nueva Vizcaya</t>
  </si>
  <si>
    <t>ITB-2020-002 Repair of Covered Court Gutter</t>
  </si>
  <si>
    <t>Labor and Materials for the Construction of Day Care Center at Magliman, City of San Fernando, Pampanga</t>
  </si>
  <si>
    <t>20CB-GSC-339 CLEANING AND CHECK UP AIRCONDITIONING UNITS</t>
  </si>
  <si>
    <t>IMPROVEMENT OF BARANGAY ROAD, SAN JUAN</t>
  </si>
  <si>
    <t>PUBLICATION OF VARIOUS ORDINANCES (ORD. NO.2020-332,333,336,337,338)</t>
  </si>
  <si>
    <t>REHABILITATION OF ACCESS ROAD at Baybayading, Salcedo, Ilocos Sur</t>
  </si>
  <si>
    <t>20LB0224 - Construction (Completion) of Multi-Purpose Building (Brgy. Hall), Brgy. Malabog, Davao City</t>
  </si>
  <si>
    <t>CONCRETING OF JCT. CALAOCAN-DIFFUNCIAN ROAD Located at Quezon, Nueva Vizcaya</t>
  </si>
  <si>
    <t>20LB0166 - Construction of Flood Mitigation Structure, El Rio Vista Village Section, Davao River, Brgy. 19-B, Davao City</t>
  </si>
  <si>
    <t>Batangas</t>
  </si>
  <si>
    <t>Zamboanga Del Sur</t>
  </si>
  <si>
    <t>Palawan</t>
  </si>
  <si>
    <t>Metro Manila</t>
  </si>
  <si>
    <t>Laguna</t>
  </si>
  <si>
    <t>Cotabato</t>
  </si>
  <si>
    <t>La Union</t>
  </si>
  <si>
    <t>Quezon</t>
  </si>
  <si>
    <t>Bukidnon</t>
  </si>
  <si>
    <t>Negros Oriental</t>
  </si>
  <si>
    <t>Misamis Oriental</t>
  </si>
  <si>
    <t>Bohol</t>
  </si>
  <si>
    <t>Samar</t>
  </si>
  <si>
    <t>South Cotabato</t>
  </si>
  <si>
    <t>Guimaras</t>
  </si>
  <si>
    <t>Aklan</t>
  </si>
  <si>
    <t>Sorsogon</t>
  </si>
  <si>
    <t>Cavite</t>
  </si>
  <si>
    <t>Davao Del Sur</t>
  </si>
  <si>
    <t>Dinagat Island</t>
  </si>
  <si>
    <t>Pampanga</t>
  </si>
  <si>
    <t>Ilocos Sur</t>
  </si>
  <si>
    <t>Bulacan</t>
  </si>
  <si>
    <t>Leyte</t>
  </si>
  <si>
    <t>Negros Occidental</t>
  </si>
  <si>
    <t>Iloilo</t>
  </si>
  <si>
    <t>Zamboanga Del Norte</t>
  </si>
  <si>
    <t>(Independent City)</t>
  </si>
  <si>
    <t>Agusan Del Norte</t>
  </si>
  <si>
    <t>Masbate</t>
  </si>
  <si>
    <t>Tawi-Tawi</t>
  </si>
  <si>
    <t>Oriental Mindoro</t>
  </si>
  <si>
    <t>Capiz</t>
  </si>
  <si>
    <t>Bataan</t>
  </si>
  <si>
    <t>Mountain Province</t>
  </si>
  <si>
    <t>Isabela</t>
  </si>
  <si>
    <t>Eastern Samar</t>
  </si>
  <si>
    <t>Agusan Del Sur</t>
  </si>
  <si>
    <t>Rizal</t>
  </si>
  <si>
    <t>Occidental Mindoro</t>
  </si>
  <si>
    <t>Zamboanga Sibugay</t>
  </si>
  <si>
    <t>Davao Del Norte</t>
  </si>
  <si>
    <t>Marinduque</t>
  </si>
  <si>
    <t>Antique</t>
  </si>
  <si>
    <t>Davao Occidental</t>
  </si>
  <si>
    <t>Camarines Sur</t>
  </si>
  <si>
    <t>Pangasinan</t>
  </si>
  <si>
    <t>Abra</t>
  </si>
  <si>
    <t>Camarines Norte</t>
  </si>
  <si>
    <t>Benguet</t>
  </si>
  <si>
    <t>Cebu</t>
  </si>
  <si>
    <t>Northern Samar</t>
  </si>
  <si>
    <t>Camiguin</t>
  </si>
  <si>
    <t>Nueva Ecija</t>
  </si>
  <si>
    <t>Romblon</t>
  </si>
  <si>
    <t>Zambales</t>
  </si>
  <si>
    <t>Ilocos Norte</t>
  </si>
  <si>
    <t>Albay</t>
  </si>
  <si>
    <t>Tarlac</t>
  </si>
  <si>
    <t>Quirino</t>
  </si>
  <si>
    <t>Surigao Del Sur</t>
  </si>
  <si>
    <t>Cagayan</t>
  </si>
  <si>
    <t>Davao Oriental</t>
  </si>
  <si>
    <t>Nueva Vizcaya</t>
  </si>
  <si>
    <t>Lanao Del Norte</t>
  </si>
  <si>
    <t>Sultan Kudarat</t>
  </si>
  <si>
    <t>Ifugao</t>
  </si>
  <si>
    <t>Compostela Valley</t>
  </si>
  <si>
    <t>Maguindanao</t>
  </si>
  <si>
    <t>Batanes</t>
  </si>
  <si>
    <t>Southern Leyte</t>
  </si>
  <si>
    <t>Misamis Occidental</t>
  </si>
  <si>
    <t>Kalinga</t>
  </si>
  <si>
    <t>Philippines</t>
  </si>
  <si>
    <t>Aurora</t>
  </si>
  <si>
    <t>Catanduanes</t>
  </si>
  <si>
    <t>Sarangani</t>
  </si>
  <si>
    <t>Surigao Del Norte</t>
  </si>
  <si>
    <t>Biliran</t>
  </si>
  <si>
    <t>Apayao</t>
  </si>
  <si>
    <t>Basilan</t>
  </si>
  <si>
    <t>Lanao Del Sur</t>
  </si>
  <si>
    <t>Sulu</t>
  </si>
  <si>
    <t>Marinduque,Occidental Mindoro,Oriental Mindoro,Palawan,Romblon</t>
  </si>
  <si>
    <t>Siquijor</t>
  </si>
  <si>
    <t>Eastern Samar,Northern Samar,Southern Leyte</t>
  </si>
  <si>
    <t>Agusan Del Norte,Agusan Del Sur,Surigao Del Norte,Surigao Del Sur,Dinagat Island</t>
  </si>
  <si>
    <t>Bukidnon,Bulacan</t>
  </si>
  <si>
    <t>Antique,Capiz,Guimaras,Iloilo,Negros Occidental</t>
  </si>
  <si>
    <t>sample province</t>
  </si>
  <si>
    <t>Batanes,Cavite,Metro Manila,Rizal</t>
  </si>
  <si>
    <t>Albay,Camarines Norte,Camarines Sur,Catanduanes,Masbate,Sorsogon</t>
  </si>
  <si>
    <t>Metro Manila,Misamis Occidental</t>
  </si>
  <si>
    <t>Bohol,Cebu,Negros Oriental</t>
  </si>
  <si>
    <t>Antique,Negros Occidental</t>
  </si>
  <si>
    <t>Batangas,Bukidnon,Cagayan,Camarines Sur,Cotabato,Davao Del Sur,Isabela,Pampanga,Tarlac</t>
  </si>
  <si>
    <t>Cotabato,Davao Del Norte</t>
  </si>
  <si>
    <t>Aklan,Antique,Capiz,Iloilo</t>
  </si>
  <si>
    <t>Bohol,Cebu,Negros Oriental,Siquijor</t>
  </si>
  <si>
    <t>Aklan,Antique,Capiz,Guimaras,Iloilo,Negros Occidental</t>
  </si>
  <si>
    <t>BSU Project No. 2020-213</t>
  </si>
  <si>
    <t>PR-20-01-022</t>
  </si>
  <si>
    <t>PR-20-02-051</t>
  </si>
  <si>
    <t>20CSEF02</t>
  </si>
  <si>
    <t>Pr-20-01-021</t>
  </si>
  <si>
    <t>PR-20-01-026</t>
  </si>
  <si>
    <t>PR-20-01-013</t>
  </si>
  <si>
    <t>RFQ - 2020-257</t>
  </si>
  <si>
    <t>2020-01</t>
  </si>
  <si>
    <t>20csd02</t>
  </si>
  <si>
    <t>PR-20-01-015</t>
  </si>
  <si>
    <t>20CSEF08</t>
  </si>
  <si>
    <t>20CSEF07</t>
  </si>
  <si>
    <t>2020--059</t>
  </si>
  <si>
    <t>20CSEF05</t>
  </si>
  <si>
    <t>20-05SF</t>
  </si>
  <si>
    <t>3091-20</t>
  </si>
  <si>
    <t>PB-01-06-2020-0006</t>
  </si>
  <si>
    <t>20-024SF</t>
  </si>
  <si>
    <t>3123-20</t>
  </si>
  <si>
    <t>2312-20</t>
  </si>
  <si>
    <t>3058-20</t>
  </si>
  <si>
    <t>2968-20</t>
  </si>
  <si>
    <t>3089-20</t>
  </si>
  <si>
    <t>1002006-400-008</t>
  </si>
  <si>
    <t>3080-20</t>
  </si>
  <si>
    <t>20CSEF03</t>
  </si>
  <si>
    <t>2997-20</t>
  </si>
  <si>
    <t>20CSEF04</t>
  </si>
  <si>
    <t>PR-20-01-030</t>
  </si>
  <si>
    <t>3090-20</t>
  </si>
  <si>
    <t>LGUTMO BAC 2020-16</t>
  </si>
  <si>
    <t>RFQ-2020-06-15-441</t>
  </si>
  <si>
    <t>2996-20</t>
  </si>
  <si>
    <t>3128-20</t>
  </si>
  <si>
    <t>3129-20</t>
  </si>
  <si>
    <t>Barangay 08 Poblacion 001-2020</t>
  </si>
  <si>
    <t>3048-20</t>
  </si>
  <si>
    <t>3079-20</t>
  </si>
  <si>
    <t>3050-20</t>
  </si>
  <si>
    <t>3122-20</t>
  </si>
  <si>
    <t>2896-20</t>
  </si>
  <si>
    <t>Pitogo 2020-06-05</t>
  </si>
  <si>
    <t>PB-DSM-2020-04</t>
  </si>
  <si>
    <t>041-2020</t>
  </si>
  <si>
    <t>2020-001</t>
  </si>
  <si>
    <t>065-2020</t>
  </si>
  <si>
    <t>20CSEF06</t>
  </si>
  <si>
    <t>RFQ NO: 2020-07-046</t>
  </si>
  <si>
    <t>2020-06-357</t>
  </si>
  <si>
    <t>081 - 2020</t>
  </si>
  <si>
    <t>2315-20</t>
  </si>
  <si>
    <t>rfq064</t>
  </si>
  <si>
    <t>PB-GE3-2020-16</t>
  </si>
  <si>
    <t>ITB NO: 2020-007-028</t>
  </si>
  <si>
    <t>3127-20</t>
  </si>
  <si>
    <t>20-06-003</t>
  </si>
  <si>
    <t>20CSEF01</t>
  </si>
  <si>
    <t>1101-20-03-134</t>
  </si>
  <si>
    <t>20L00138</t>
  </si>
  <si>
    <t>20L00146</t>
  </si>
  <si>
    <t>AAE JUNE22-2020(2)</t>
  </si>
  <si>
    <t>0702</t>
  </si>
  <si>
    <t>1002006-406-009</t>
  </si>
  <si>
    <t>Pitogo 2020-06-06</t>
  </si>
  <si>
    <t>2020-06-353</t>
  </si>
  <si>
    <t>079 - 2020</t>
  </si>
  <si>
    <t>07122020-089</t>
  </si>
  <si>
    <t>1071-20-05-197</t>
  </si>
  <si>
    <t>1071-20-05-196</t>
  </si>
  <si>
    <t>20-1387</t>
  </si>
  <si>
    <t>AAE JUNE22-2020(1)</t>
  </si>
  <si>
    <t>84-20-5-012</t>
  </si>
  <si>
    <t>84-20-5-011</t>
  </si>
  <si>
    <t>20L00158</t>
  </si>
  <si>
    <t>3161-20</t>
  </si>
  <si>
    <t>1002006-409-010</t>
  </si>
  <si>
    <t>3176-20</t>
  </si>
  <si>
    <t>PR NO. 20-06-047</t>
  </si>
  <si>
    <t>20L00157</t>
  </si>
  <si>
    <t>REF #042-06-2020</t>
  </si>
  <si>
    <t>20-1426</t>
  </si>
  <si>
    <t>3155-20</t>
  </si>
  <si>
    <t>4411-20-6-238</t>
  </si>
  <si>
    <t>20L00162</t>
  </si>
  <si>
    <t>1011-20-03-139</t>
  </si>
  <si>
    <t>84-20-5-010</t>
  </si>
  <si>
    <t>20L00163</t>
  </si>
  <si>
    <t>20L00161</t>
  </si>
  <si>
    <t>4411-20-6-239</t>
  </si>
  <si>
    <t>20GM0063 (RE-BIDDING)</t>
  </si>
  <si>
    <t>9999-20-05-005</t>
  </si>
  <si>
    <t>20-06-0229</t>
  </si>
  <si>
    <t>20-03-0422</t>
  </si>
  <si>
    <t>1011-20-6-235A</t>
  </si>
  <si>
    <t>20L00159</t>
  </si>
  <si>
    <t>20L00160</t>
  </si>
  <si>
    <t>20-03-0423</t>
  </si>
  <si>
    <t>PTCZN-2020-06-0044</t>
  </si>
  <si>
    <t>2019-APP-014</t>
  </si>
  <si>
    <t>4411-20-6-236</t>
  </si>
  <si>
    <t>20-001</t>
  </si>
  <si>
    <t>131 - 2020</t>
  </si>
  <si>
    <t>ITB-06-2020-005</t>
  </si>
  <si>
    <t>84-20-6-14</t>
  </si>
  <si>
    <t>2020-I-082</t>
  </si>
  <si>
    <t>1011-20-01-017A</t>
  </si>
  <si>
    <t>2020-I-079</t>
  </si>
  <si>
    <t>SDO GOODS 2020-026</t>
  </si>
  <si>
    <t>ECV-20EE0132 (RE BID)</t>
  </si>
  <si>
    <t>1091-20-02-048</t>
  </si>
  <si>
    <t>ITB-06-2020-007</t>
  </si>
  <si>
    <t>ECV-20EE0134 RE BID</t>
  </si>
  <si>
    <t>20L00166</t>
  </si>
  <si>
    <t>ECV-20EE0128 RE BID</t>
  </si>
  <si>
    <t>ITB-06-2020-006</t>
  </si>
  <si>
    <t>060-2020</t>
  </si>
  <si>
    <t>20RFQ-02-00041-INFRA</t>
  </si>
  <si>
    <t>061-2020</t>
  </si>
  <si>
    <t>lgm</t>
  </si>
  <si>
    <t>IB-2020-100-INFRA</t>
  </si>
  <si>
    <t>IB-2020-099-INFRA</t>
  </si>
  <si>
    <t>20-125</t>
  </si>
  <si>
    <t>ECV-20EE0126  (RE BID)</t>
  </si>
  <si>
    <t>PR-180-100-2020</t>
  </si>
  <si>
    <t>2020-06-352</t>
  </si>
  <si>
    <t>IB-2020-097-INFRA</t>
  </si>
  <si>
    <t>IB-2020-101-INFRA</t>
  </si>
  <si>
    <t>2020-06-351</t>
  </si>
  <si>
    <t>2020-06-002</t>
  </si>
  <si>
    <t>00008308</t>
  </si>
  <si>
    <t>20-06-009</t>
  </si>
  <si>
    <t>LGU-ROX-35-2020</t>
  </si>
  <si>
    <t>IB-2020-096-INFRA</t>
  </si>
  <si>
    <t>IB NSCV2020-03</t>
  </si>
  <si>
    <t>SanJoseBatsAeb2020-092</t>
  </si>
  <si>
    <t>IB-2020-095-INFRA</t>
  </si>
  <si>
    <t>NISF-049-20</t>
  </si>
  <si>
    <t>606-2020-001</t>
  </si>
  <si>
    <t>IB-2020-098-INFRA</t>
  </si>
  <si>
    <t>2020-06-281</t>
  </si>
  <si>
    <t>5461-20-6-253</t>
  </si>
  <si>
    <t>2020-06-001 CCTV</t>
  </si>
  <si>
    <t>20-128</t>
  </si>
  <si>
    <t>ADS-0965-20</t>
  </si>
  <si>
    <t>00008312</t>
  </si>
  <si>
    <t>20-129</t>
  </si>
  <si>
    <t>2020-06-018B</t>
  </si>
  <si>
    <t>20L00165</t>
  </si>
  <si>
    <t>2020-06-019B</t>
  </si>
  <si>
    <t>IB-2020-106-INFRA</t>
  </si>
  <si>
    <t>IB-2020-105-INFRA</t>
  </si>
  <si>
    <t>IB-2020-104-INFRA</t>
  </si>
  <si>
    <t>IB-2020-103-INFRA</t>
  </si>
  <si>
    <t>2020-06-349</t>
  </si>
  <si>
    <t>IB-2020-102-INFRA</t>
  </si>
  <si>
    <t>20GM0080</t>
  </si>
  <si>
    <t>132 - 2020</t>
  </si>
  <si>
    <t>2020-06-017B</t>
  </si>
  <si>
    <t>20L00164</t>
  </si>
  <si>
    <t>3158-20</t>
  </si>
  <si>
    <t>2020-G001</t>
  </si>
  <si>
    <t>3156-20</t>
  </si>
  <si>
    <t>01-2020</t>
  </si>
  <si>
    <t>20-127</t>
  </si>
  <si>
    <t>1011-20-5-198A</t>
  </si>
  <si>
    <t>RIZRFQ20-02</t>
  </si>
  <si>
    <t>20L00155</t>
  </si>
  <si>
    <t>20L00156</t>
  </si>
  <si>
    <t>2020-06-344</t>
  </si>
  <si>
    <t>20200622</t>
  </si>
  <si>
    <t>2020-06-355</t>
  </si>
  <si>
    <t>2020-06-343</t>
  </si>
  <si>
    <t>LGUTMO BAC 2020-10</t>
  </si>
  <si>
    <t>1002006-412-011</t>
  </si>
  <si>
    <t>3188-20</t>
  </si>
  <si>
    <t>3130-20</t>
  </si>
  <si>
    <t>2020-03-224</t>
  </si>
  <si>
    <t>LGUTMO BAC 2020-17</t>
  </si>
  <si>
    <t>130 - 2020</t>
  </si>
  <si>
    <t>3033-20</t>
  </si>
  <si>
    <t>DUA2020-06-0012</t>
  </si>
  <si>
    <t>20-136</t>
  </si>
  <si>
    <t>3160-20</t>
  </si>
  <si>
    <t>LGUTMO BAC 2020-14</t>
  </si>
  <si>
    <t>365-2020-002</t>
  </si>
  <si>
    <t>20-132</t>
  </si>
  <si>
    <t>080 - 2020</t>
  </si>
  <si>
    <t>20-135</t>
  </si>
  <si>
    <t>1011-20-5-198G</t>
  </si>
  <si>
    <t>1011-20-5-198D</t>
  </si>
  <si>
    <t>389-2020-001</t>
  </si>
  <si>
    <t>20-131</t>
  </si>
  <si>
    <t>177-2020-001</t>
  </si>
  <si>
    <t>RFQ 101-2020</t>
  </si>
  <si>
    <t>HBC20-03-178 TO 189, HBC20-03-191</t>
  </si>
  <si>
    <t>1011-20-5-198</t>
  </si>
  <si>
    <t>NCEBDE-108-20</t>
  </si>
  <si>
    <t>1011-20-5-198B</t>
  </si>
  <si>
    <t>REF #041(1)-06-2020</t>
  </si>
  <si>
    <t>SUC 2020-06-001</t>
  </si>
  <si>
    <t>200-20-06-0578-A</t>
  </si>
  <si>
    <t>1011-20-5-198C</t>
  </si>
  <si>
    <t>SanJoseBatsAeb2020-104</t>
  </si>
  <si>
    <t>MMWD-0017-2020</t>
  </si>
  <si>
    <t>PB-2020-06-035</t>
  </si>
  <si>
    <t>256-2020-001</t>
  </si>
  <si>
    <t>PB-2020-06-036</t>
  </si>
  <si>
    <t>RFQ 2020-90</t>
  </si>
  <si>
    <t>2020-I-078</t>
  </si>
  <si>
    <t>PB-2020-06-033</t>
  </si>
  <si>
    <t>PB-2020-06-034</t>
  </si>
  <si>
    <t>300-20-01-0001</t>
  </si>
  <si>
    <t>G-2020-15</t>
  </si>
  <si>
    <t>ADS-0973-20</t>
  </si>
  <si>
    <t>MCT 20-003 and MCT 20-004</t>
  </si>
  <si>
    <t>2020-06-356</t>
  </si>
  <si>
    <t>ADS-1351-20</t>
  </si>
  <si>
    <t>SAR-GOODS-05-005-2020</t>
  </si>
  <si>
    <t>BLGU P2</t>
  </si>
  <si>
    <t>20-138</t>
  </si>
  <si>
    <t>20-046A</t>
  </si>
  <si>
    <t>20-137</t>
  </si>
  <si>
    <t>626973</t>
  </si>
  <si>
    <t>2020-06-22</t>
  </si>
  <si>
    <t>ADS-1355-20</t>
  </si>
  <si>
    <t>20IE0101</t>
  </si>
  <si>
    <t>IB. NO. K-2020-060(SC)</t>
  </si>
  <si>
    <t>ADS-0970-20</t>
  </si>
  <si>
    <t>2020-06-011</t>
  </si>
  <si>
    <t>ADS-1353-20</t>
  </si>
  <si>
    <t>P.R. No. 2020-06-0035</t>
  </si>
  <si>
    <t>vict-eps20-029</t>
  </si>
  <si>
    <t>P.R. No. 2020-06-0033</t>
  </si>
  <si>
    <t>ADS-1352-20</t>
  </si>
  <si>
    <t>2020-06-020B</t>
  </si>
  <si>
    <t>2020-012R</t>
  </si>
  <si>
    <t>ADS-1354-20</t>
  </si>
  <si>
    <t>G-2020-032</t>
  </si>
  <si>
    <t>RFQ-181-2020</t>
  </si>
  <si>
    <t>1011-20-5-198E</t>
  </si>
  <si>
    <t>5020399000-45-SRSA-20</t>
  </si>
  <si>
    <t>5020399000-44-ARSA-20</t>
  </si>
  <si>
    <t>5021306001-47-JFMR-20</t>
  </si>
  <si>
    <t>5020301000-42-SRSA-20</t>
  </si>
  <si>
    <t>P.R. No. 2020-06-0034</t>
  </si>
  <si>
    <t>5020301000-41-ARSA-20</t>
  </si>
  <si>
    <t>5020305000-39-JASS-20</t>
  </si>
  <si>
    <t>5020305000-38-JASR-20</t>
  </si>
  <si>
    <t>20-004</t>
  </si>
  <si>
    <t xml:space="preserve">RFQ-DVO-PR.NO. 2002418 CAT. 10 COMPUTER EQUIPMENT </t>
  </si>
  <si>
    <t>5020308000-46-JASRS-20</t>
  </si>
  <si>
    <t>5020399000-43-JRSA-20</t>
  </si>
  <si>
    <t xml:space="preserve">RFQ-DVO-PR.NO. 2002389 CAT. 10 COMPUTER EQUIPMENT </t>
  </si>
  <si>
    <t>chitongco 2020-02</t>
  </si>
  <si>
    <t xml:space="preserve">RFQ-DVO-PR.NO. 2002088 CAT. 10 COMPUTER EQUIPMENT </t>
  </si>
  <si>
    <t>001</t>
  </si>
  <si>
    <t>chitongco 2020-01</t>
  </si>
  <si>
    <t xml:space="preserve">RFQ-DVO-PR.NO. 2002421 CAT. 10 COMPUTER EQUIPMENT </t>
  </si>
  <si>
    <t>06-012020</t>
  </si>
  <si>
    <t>20-072A</t>
  </si>
  <si>
    <t>InTB-PGA7171OPAG2020-GDS2</t>
  </si>
  <si>
    <t>5020301000-40-JRSA-20</t>
  </si>
  <si>
    <t>InTB-PGA7171OPAG2020-GDS1</t>
  </si>
  <si>
    <t>RFQ-DVO-PR.NO. 2002081 CAT. 62 VEHICLES AND ACCESS</t>
  </si>
  <si>
    <t>1</t>
  </si>
  <si>
    <t>RFQ-DVO-PR.NO. 2006175 CAT. 49 PRINTED FORMS AND P</t>
  </si>
  <si>
    <t>RFQ-DVO-PR.NO. 2006164 CAT. 80 FUEL, OIL, LUBRICAN</t>
  </si>
  <si>
    <t>RFQ-DVO-PR.NO. 2006131 CAT. 80 FUEL, OIL, LUBRICAN</t>
  </si>
  <si>
    <t>2020- INFR- 001</t>
  </si>
  <si>
    <t>RFQ-DVO-PR.NO. 2002396 CAT. 62 VEHICLES AND ACCESS</t>
  </si>
  <si>
    <t>01</t>
  </si>
  <si>
    <t>RFQ-DVO-PR.NO. 2002458 CAT. 62 VEHICLE AND ACCESSO</t>
  </si>
  <si>
    <t>RFQ-DVO-PR.NO. 2002287 CAT. 26 FERTILIZERS, FUNGIC</t>
  </si>
  <si>
    <t>2020-0602</t>
  </si>
  <si>
    <t>SN-2020-010</t>
  </si>
  <si>
    <t>100-2020-Infra-375</t>
  </si>
  <si>
    <t>InTB-PGAPEO2MBP2020EDF-CW1</t>
  </si>
  <si>
    <t>LGULILA-06-2020</t>
  </si>
  <si>
    <t>RFQ-DVO-PR.NO. 2002372 CAT. 52 RADIO COMMUNICATION</t>
  </si>
  <si>
    <t>BMC-N-20-198</t>
  </si>
  <si>
    <t>bagong silang 3 pr1</t>
  </si>
  <si>
    <t>ITB No. G11-03-2020</t>
  </si>
  <si>
    <t>BMC-N-20-196</t>
  </si>
  <si>
    <t>BMC-N-20-195</t>
  </si>
  <si>
    <t>ITB No. G12-03-2020</t>
  </si>
  <si>
    <t>NS-2020-06-0207</t>
  </si>
  <si>
    <t>BMC-N-20-193</t>
  </si>
  <si>
    <t>2020-06-0209</t>
  </si>
  <si>
    <t>NS-2020-06-0224</t>
  </si>
  <si>
    <t>100(01)20-06-011(E)</t>
  </si>
  <si>
    <t>2020-GOODS-065</t>
  </si>
  <si>
    <t>BMC-N-20-197</t>
  </si>
  <si>
    <t>BFAR5BAC-2020-109</t>
  </si>
  <si>
    <t>2020-06-1057</t>
  </si>
  <si>
    <t>RFQ - PR No. 2020-06-0120 dated 6-10-20</t>
  </si>
  <si>
    <t>RQ No. 2020-06-85</t>
  </si>
  <si>
    <t>2</t>
  </si>
  <si>
    <t>PR-20-06-27</t>
  </si>
  <si>
    <t>2020-41</t>
  </si>
  <si>
    <t>RFQ NO. 20-0585 NP-SVP</t>
  </si>
  <si>
    <t>SVP-35</t>
  </si>
  <si>
    <t>2020-06-09</t>
  </si>
  <si>
    <t>20-130</t>
  </si>
  <si>
    <t>20-06-033</t>
  </si>
  <si>
    <t>BMC-N-20-199</t>
  </si>
  <si>
    <t>NS-2020-05-0186</t>
  </si>
  <si>
    <t>GEPS-2020-0624</t>
  </si>
  <si>
    <t>NS-2020-06-0218</t>
  </si>
  <si>
    <t>RQ No. 2020-06-4</t>
  </si>
  <si>
    <t>BMC-N-20-192</t>
  </si>
  <si>
    <t>2020-0304</t>
  </si>
  <si>
    <t>2020-06-01</t>
  </si>
  <si>
    <t>2020-0601</t>
  </si>
  <si>
    <t>NS-2020-06-0210</t>
  </si>
  <si>
    <t>RFQ NO. 20-0584 NP-SVP</t>
  </si>
  <si>
    <t>ITB-MPR-Goods-2020-020</t>
  </si>
  <si>
    <t>Civil Works 022-2020</t>
  </si>
  <si>
    <t>20CH0074</t>
  </si>
  <si>
    <t>PR No. 20-06-0021</t>
  </si>
  <si>
    <t>100(01)20-06-007(I)</t>
  </si>
  <si>
    <t>2020-004</t>
  </si>
  <si>
    <t>POG/OE/45-2020</t>
  </si>
  <si>
    <t>PR 20-05-0260</t>
  </si>
  <si>
    <t>Q-52</t>
  </si>
  <si>
    <t>MPQ-062420-095</t>
  </si>
  <si>
    <t>005</t>
  </si>
  <si>
    <t>100(01)20-06-009(C)</t>
  </si>
  <si>
    <t>ITB No. 024B-2020 GQ</t>
  </si>
  <si>
    <t>2020-GOODS-066</t>
  </si>
  <si>
    <t xml:space="preserve">RFQ-DVO-PR.NO. 2001195 CAT. 10 COMPUTER EQUIPMENT </t>
  </si>
  <si>
    <t>pr#2020-06-054</t>
  </si>
  <si>
    <t>pmma-svp-40-20</t>
  </si>
  <si>
    <t>038-20</t>
  </si>
  <si>
    <t>BUE-06242020-01</t>
  </si>
  <si>
    <t>IB 2020-035</t>
  </si>
  <si>
    <t>2020-06-182-B</t>
  </si>
  <si>
    <t>2020-43</t>
  </si>
  <si>
    <t>2020-Barangay darahuway-001</t>
  </si>
  <si>
    <t>032 20-1102</t>
  </si>
  <si>
    <t>RFQ 2020-06-015</t>
  </si>
  <si>
    <t>2020-06-23-0129</t>
  </si>
  <si>
    <t>2020-06-125(06207512)</t>
  </si>
  <si>
    <t>100(18)20-06-353(O)</t>
  </si>
  <si>
    <t>SVP 37</t>
  </si>
  <si>
    <t>2020-06-008</t>
  </si>
  <si>
    <t>100(200)20-06-002</t>
  </si>
  <si>
    <t>20-06-642</t>
  </si>
  <si>
    <t>20-143</t>
  </si>
  <si>
    <t>MMWD-0019-2020</t>
  </si>
  <si>
    <t>003</t>
  </si>
  <si>
    <t>191-2020</t>
  </si>
  <si>
    <t>20CH0075</t>
  </si>
  <si>
    <t>SV-0714-2020</t>
  </si>
  <si>
    <t>550-20</t>
  </si>
  <si>
    <t>MATANGLAD-INFR-06-01</t>
  </si>
  <si>
    <t>PR# 20-06-0604</t>
  </si>
  <si>
    <t>20-141</t>
  </si>
  <si>
    <t>LGU-ROX-36-2020</t>
  </si>
  <si>
    <t>100(01)20-06-346(A)</t>
  </si>
  <si>
    <t>RFQ No.: 2020-06-0520</t>
  </si>
  <si>
    <t>ITB-MPR-Goods-2020-021</t>
  </si>
  <si>
    <t>000187</t>
  </si>
  <si>
    <t>100(01)20-06-348(O)</t>
  </si>
  <si>
    <t>IB 2020-036</t>
  </si>
  <si>
    <t>2020-06-012</t>
  </si>
  <si>
    <t>2020-08</t>
  </si>
  <si>
    <t>20M0028</t>
  </si>
  <si>
    <t>2020-Barangay Cabugawan-001</t>
  </si>
  <si>
    <t>2020-SVP-275</t>
  </si>
  <si>
    <t>2020-0623-34G</t>
  </si>
  <si>
    <t>RFQ NO. 20-0586 NP-SVP</t>
  </si>
  <si>
    <t>20-144</t>
  </si>
  <si>
    <t>epslingayen2020-37</t>
  </si>
  <si>
    <t>GHQBAC1-PB-013-GHQ-20</t>
  </si>
  <si>
    <t>2020-06-383</t>
  </si>
  <si>
    <t>2020-061</t>
  </si>
  <si>
    <t>0951-20</t>
  </si>
  <si>
    <t>2020-06-013</t>
  </si>
  <si>
    <t>20-145</t>
  </si>
  <si>
    <t>AMP2020-094</t>
  </si>
  <si>
    <t>XI-20-06-014</t>
  </si>
  <si>
    <t>100-20-06-345</t>
  </si>
  <si>
    <t>20-03-597</t>
  </si>
  <si>
    <t>lgu padada-0020-06-24-2020</t>
  </si>
  <si>
    <t>2020-INFRA-008</t>
  </si>
  <si>
    <t>100(01)20-06-347(A)</t>
  </si>
  <si>
    <t>2020-06-0027</t>
  </si>
  <si>
    <t>bcnhs00151</t>
  </si>
  <si>
    <t>1430</t>
  </si>
  <si>
    <t>20-06-121</t>
  </si>
  <si>
    <t>ITB-Improvement of Multi-Purpose-Brgy. Tapul</t>
  </si>
  <si>
    <t>20-146</t>
  </si>
  <si>
    <t>189-2020</t>
  </si>
  <si>
    <t>ITB No. 026B-2020 GQ</t>
  </si>
  <si>
    <t>100(01)20-06-349(A)</t>
  </si>
  <si>
    <t>Mahayag ES 1st Quarter MOOE</t>
  </si>
  <si>
    <t>ITB-MPR-Goods-2020-022</t>
  </si>
  <si>
    <t>RFQ-20-06-019</t>
  </si>
  <si>
    <t>2020-06-03</t>
  </si>
  <si>
    <t>20201225</t>
  </si>
  <si>
    <t>2020-06-016</t>
  </si>
  <si>
    <t>20-06-045</t>
  </si>
  <si>
    <t>2020-SVP-277</t>
  </si>
  <si>
    <t>062420-R1</t>
  </si>
  <si>
    <t>2020-032</t>
  </si>
  <si>
    <t>100(01)20-06-348(A)</t>
  </si>
  <si>
    <t>BLGU-STAFE-AL-G-01-2020</t>
  </si>
  <si>
    <t>2020-043J</t>
  </si>
  <si>
    <t>LGU-RFQ-2020-60</t>
  </si>
  <si>
    <t>ITB No. 027B-2020 GQ</t>
  </si>
  <si>
    <t>20GIB0035</t>
  </si>
  <si>
    <t>100(01)20-06-342(A)</t>
  </si>
  <si>
    <t>RFQ No.: 2020-06-0509</t>
  </si>
  <si>
    <t>2020-311</t>
  </si>
  <si>
    <t>RFQ-003</t>
  </si>
  <si>
    <t>2020-05-11</t>
  </si>
  <si>
    <t>0942-20</t>
  </si>
  <si>
    <t>2020-06-014</t>
  </si>
  <si>
    <t>100(01)20-06-355(A)</t>
  </si>
  <si>
    <t>captmain136893-02</t>
  </si>
  <si>
    <t>2020-Barangay 10 Poblacion-03</t>
  </si>
  <si>
    <t>2020-06-16-0120</t>
  </si>
  <si>
    <t>2020-06-010</t>
  </si>
  <si>
    <t>1421</t>
  </si>
  <si>
    <t>RFQ-2020-8</t>
  </si>
  <si>
    <t>PR 2020-06-213</t>
  </si>
  <si>
    <t>P.R. # 20-06-056</t>
  </si>
  <si>
    <t>0938-20</t>
  </si>
  <si>
    <t>2020-SVP-276</t>
  </si>
  <si>
    <t>RFQ-148-2020-SMD</t>
  </si>
  <si>
    <t>2020-06-009</t>
  </si>
  <si>
    <t>2020-06-1056</t>
  </si>
  <si>
    <t>2020-06-071</t>
  </si>
  <si>
    <t>RFQ-133-2020-SMD</t>
  </si>
  <si>
    <t>20-142</t>
  </si>
  <si>
    <t>NIA-NOIMO-2020-06-0192</t>
  </si>
  <si>
    <t>100(18)20-06-355(O)</t>
  </si>
  <si>
    <t>100(18)20-06-356(O)</t>
  </si>
  <si>
    <t>RFQ2020-06-0184 (PR#8980-20-06-0274)</t>
  </si>
  <si>
    <t>2020-SVP-279</t>
  </si>
  <si>
    <t>AMP2020-095</t>
  </si>
  <si>
    <t>2020-06-17</t>
  </si>
  <si>
    <t>MG-A7T20-052</t>
  </si>
  <si>
    <t>MMWD-0018-2020</t>
  </si>
  <si>
    <t>ITB No. 023B-2020 GQ</t>
  </si>
  <si>
    <t>006</t>
  </si>
  <si>
    <t>062420-H01</t>
  </si>
  <si>
    <t>0939-20</t>
  </si>
  <si>
    <t>2020-SVP-280</t>
  </si>
  <si>
    <t>2020-06-605</t>
  </si>
  <si>
    <t>PR#20-06-0329</t>
  </si>
  <si>
    <t>ITB No. 028B-2020 GQ</t>
  </si>
  <si>
    <t>120</t>
  </si>
  <si>
    <t>100(18)20-06-357(O)</t>
  </si>
  <si>
    <t>20-06-046</t>
  </si>
  <si>
    <t>100(18)20-06-358(O)</t>
  </si>
  <si>
    <t>2020-06-017</t>
  </si>
  <si>
    <t>20-06-000074</t>
  </si>
  <si>
    <t>ITB-023-2020</t>
  </si>
  <si>
    <t>20201226</t>
  </si>
  <si>
    <t>2020-QR06-00014</t>
  </si>
  <si>
    <t>20-06-122</t>
  </si>
  <si>
    <t>bcnhs00152</t>
  </si>
  <si>
    <t>2020-SVP-281</t>
  </si>
  <si>
    <t>ITB No. 031B-2020 GQ</t>
  </si>
  <si>
    <t>RM 2020-052</t>
  </si>
  <si>
    <t>2020-06-0126</t>
  </si>
  <si>
    <t>20-06-124</t>
  </si>
  <si>
    <t>R.F.Q. (P.R. No.) 20-06-89</t>
  </si>
  <si>
    <t>2020-SVP-282</t>
  </si>
  <si>
    <t>RFQ No.: 2020-06-0515</t>
  </si>
  <si>
    <t>100-2004-339-GF</t>
  </si>
  <si>
    <t>RFQ 05-0401-20 ADMIN</t>
  </si>
  <si>
    <t>0659-20</t>
  </si>
  <si>
    <t>2020-63</t>
  </si>
  <si>
    <t>2020-051</t>
  </si>
  <si>
    <t>062420-H02</t>
  </si>
  <si>
    <t>20-049</t>
  </si>
  <si>
    <t>20-06-08-PO</t>
  </si>
  <si>
    <t>LGU-BLU-20-06-047</t>
  </si>
  <si>
    <t>RFQ 2020-009</t>
  </si>
  <si>
    <t>06-24-2020-230</t>
  </si>
  <si>
    <t>20-06-638</t>
  </si>
  <si>
    <t>RFQ No.: 2020-06-0512</t>
  </si>
  <si>
    <t>N-174-2020</t>
  </si>
  <si>
    <t>20-482</t>
  </si>
  <si>
    <t>2020-RFQ-021</t>
  </si>
  <si>
    <t>PR 20-06-1669</t>
  </si>
  <si>
    <t>PR 20-06-1729</t>
  </si>
  <si>
    <t>20-06-047</t>
  </si>
  <si>
    <t>INFRASIB-2020-10</t>
  </si>
  <si>
    <t>GHQBAC1-PB-018-GHQ-20</t>
  </si>
  <si>
    <t>2020-RFQ-020</t>
  </si>
  <si>
    <t>PB-LAP-2020-071</t>
  </si>
  <si>
    <t>0826-20</t>
  </si>
  <si>
    <t>20-06-000075</t>
  </si>
  <si>
    <t>06-007-2020</t>
  </si>
  <si>
    <t>RFQ No.: 2020-06-0516</t>
  </si>
  <si>
    <t>2020-06-001</t>
  </si>
  <si>
    <t>2020 Tumanding 7</t>
  </si>
  <si>
    <t>ITB No. 029B-2020 GQ</t>
  </si>
  <si>
    <t>lgu padada-0021-06-24-2020</t>
  </si>
  <si>
    <t>RFQ Alternative Learning System IT Equipment PR#20</t>
  </si>
  <si>
    <t>P.R. # 20-06-058</t>
  </si>
  <si>
    <t>100(01)20-06-358(A)</t>
  </si>
  <si>
    <t>525-20</t>
  </si>
  <si>
    <t>RFQ 2020-010</t>
  </si>
  <si>
    <t>ITB 2020-07 GOODS</t>
  </si>
  <si>
    <t>2020 Meocan 21</t>
  </si>
  <si>
    <t>PR 20-06-1762</t>
  </si>
  <si>
    <t>MSDS-6-2020-G8</t>
  </si>
  <si>
    <t>vw1-20-06-0022</t>
  </si>
  <si>
    <t>INFRASIB-2020-12</t>
  </si>
  <si>
    <t>CAAPKIA2020-019</t>
  </si>
  <si>
    <t>ATI2020-06-144</t>
  </si>
  <si>
    <t>n-172-2020</t>
  </si>
  <si>
    <t>G-2020-005</t>
  </si>
  <si>
    <t>PR. NO. 2020060722</t>
  </si>
  <si>
    <t>2020 Anapolon 4</t>
  </si>
  <si>
    <t>2020-PR-66A-CAR</t>
  </si>
  <si>
    <t>GOODS 2020-06-PLA006</t>
  </si>
  <si>
    <t>AMP-RFQ 2020-040</t>
  </si>
  <si>
    <t>2020 Ma. Carirada 13</t>
  </si>
  <si>
    <t>ITB-024-2020</t>
  </si>
  <si>
    <t>06-24-2020-231</t>
  </si>
  <si>
    <t>19-12-062-EM</t>
  </si>
  <si>
    <t>bcnhs00153</t>
  </si>
  <si>
    <t>19</t>
  </si>
  <si>
    <t>RFQ 2020-4076</t>
  </si>
  <si>
    <t>RFQ NO. 20-06-400</t>
  </si>
  <si>
    <t>5788-clsu-2020</t>
  </si>
  <si>
    <t>INFRASIB-2020-13</t>
  </si>
  <si>
    <t>RFQ-L-PROCUREMENT OF ICT EQUIPMENT AND COMMUNICATI</t>
  </si>
  <si>
    <t>20-06209PR</t>
  </si>
  <si>
    <t>062420</t>
  </si>
  <si>
    <t>SAZ-2020-06-004</t>
  </si>
  <si>
    <t>06-2020-005</t>
  </si>
  <si>
    <t>2020-19</t>
  </si>
  <si>
    <t>BANNA-ITB-70(DUMP TRUCK)</t>
  </si>
  <si>
    <t>20-06-049</t>
  </si>
  <si>
    <t>2020-PR-65-CAR</t>
  </si>
  <si>
    <t>2020-06-128</t>
  </si>
  <si>
    <t>N2FB-310-2019(2020)</t>
  </si>
  <si>
    <t>100(01)20-06-361(A)</t>
  </si>
  <si>
    <t>CBT-QMS-2nd-SA-2020</t>
  </si>
  <si>
    <t>PR2020-06-024</t>
  </si>
  <si>
    <t>20-06-048</t>
  </si>
  <si>
    <t>INFRASIB-2020-14</t>
  </si>
  <si>
    <t>RFQ-2020-07_read and bill</t>
  </si>
  <si>
    <t>20-06-04-0071</t>
  </si>
  <si>
    <t>QSU-BAC-F-11-2020</t>
  </si>
  <si>
    <t>CNSCMEDICALSUP2020</t>
  </si>
  <si>
    <t>2020-06-051-D</t>
  </si>
  <si>
    <t>00061</t>
  </si>
  <si>
    <t>SH-016-2020</t>
  </si>
  <si>
    <t>2020-BCA. CAT. NORTE- 001</t>
  </si>
  <si>
    <t>100-2004-324-GF</t>
  </si>
  <si>
    <t>2020-0623-36G</t>
  </si>
  <si>
    <t>Bid No. 20-0276</t>
  </si>
  <si>
    <t>P.R. # 20-06-060</t>
  </si>
  <si>
    <t>2020-GOODS-RFQ-067</t>
  </si>
  <si>
    <t>R3-2020-05-011</t>
  </si>
  <si>
    <t>2020-64</t>
  </si>
  <si>
    <t>2020-025 CDO</t>
  </si>
  <si>
    <t>100(18)20-06-360(O)</t>
  </si>
  <si>
    <t>1523</t>
  </si>
  <si>
    <t>2020 Kabalantian 3</t>
  </si>
  <si>
    <t>epslingayen2020-38</t>
  </si>
  <si>
    <t>546-2020</t>
  </si>
  <si>
    <t>PB-INF-001-2020</t>
  </si>
  <si>
    <t>20-06-050</t>
  </si>
  <si>
    <t>016</t>
  </si>
  <si>
    <t>100(18)20-06-361(O)</t>
  </si>
  <si>
    <t>BFAR IV-A.PR20-0315</t>
  </si>
  <si>
    <t>HPMA-2020-06-0372</t>
  </si>
  <si>
    <t>PENRO-BUK.-20-040</t>
  </si>
  <si>
    <t>252-878-056-000</t>
  </si>
  <si>
    <t>AMP2020-96</t>
  </si>
  <si>
    <t>proc123</t>
  </si>
  <si>
    <t>2020</t>
  </si>
  <si>
    <t>RFQ-184-2020</t>
  </si>
  <si>
    <t>20200624-001</t>
  </si>
  <si>
    <t>HSG-2020-02-047</t>
  </si>
  <si>
    <t>PR No. 20-1060</t>
  </si>
  <si>
    <t>CBT-QMS-2nd-SA-2020-Services</t>
  </si>
  <si>
    <t>20-06-05A-0029</t>
  </si>
  <si>
    <t>20-06-164A&amp;B</t>
  </si>
  <si>
    <t xml:space="preserve">RFQ-L-PROCUREMENT OF ICT EQUIPMENT FOR THE USE OF </t>
  </si>
  <si>
    <t>554-2020</t>
  </si>
  <si>
    <t>R.F.Q. (P.R. No.) 20-06-87</t>
  </si>
  <si>
    <t>100(18)20-06-362(O)</t>
  </si>
  <si>
    <t>FER2020-016</t>
  </si>
  <si>
    <t>20-0053</t>
  </si>
  <si>
    <t>HPMA-2020-06-0378</t>
  </si>
  <si>
    <t>2020-06-026-D</t>
  </si>
  <si>
    <t>06-64-2020</t>
  </si>
  <si>
    <t>100(18)20-06-363(O)</t>
  </si>
  <si>
    <t>lgu padada-0022-06-24-2020</t>
  </si>
  <si>
    <t>epslingayen2020-39</t>
  </si>
  <si>
    <t>20-06-0004</t>
  </si>
  <si>
    <t>2020-0164</t>
  </si>
  <si>
    <t>2020-062</t>
  </si>
  <si>
    <t>2020-012</t>
  </si>
  <si>
    <t>04</t>
  </si>
  <si>
    <t>06-24-2020</t>
  </si>
  <si>
    <t>G-PGO-048-20</t>
  </si>
  <si>
    <t>ITB No. I31-03-2020</t>
  </si>
  <si>
    <t>MLY1902104092-2P-2020070</t>
  </si>
  <si>
    <t>N-144-2020</t>
  </si>
  <si>
    <t>2020-02-104</t>
  </si>
  <si>
    <t>NS-06-25-20-01</t>
  </si>
  <si>
    <t>bac-20-0624a</t>
  </si>
  <si>
    <t>NP-2020-34</t>
  </si>
  <si>
    <t>RFQ No.: 2020-06-0517</t>
  </si>
  <si>
    <t>SJPOB 2020-004</t>
  </si>
  <si>
    <t>2020-0165</t>
  </si>
  <si>
    <t>N-173-2020</t>
  </si>
  <si>
    <t>SAR-GOODS-06-070-2020</t>
  </si>
  <si>
    <t>RFQ-L-PROCUREMENT OF IT EQUIPMENT FOR THE USE OF L</t>
  </si>
  <si>
    <t>20-06-0492</t>
  </si>
  <si>
    <t>INFRA 2020-12</t>
  </si>
  <si>
    <t>Bid No. 20-0277</t>
  </si>
  <si>
    <t>epslingayen2020-40</t>
  </si>
  <si>
    <t>AMP-RFQ 2020-041</t>
  </si>
  <si>
    <t>PR-ITDS02-20-06-00011</t>
  </si>
  <si>
    <t>SAR-GOODS-06-072-2020</t>
  </si>
  <si>
    <t>R.F.Q. (P.R. No.) 20-06-88</t>
  </si>
  <si>
    <t>PR 2020-06-215</t>
  </si>
  <si>
    <t>P.R. # 20-06-061</t>
  </si>
  <si>
    <t>Consolidated PR (GF)</t>
  </si>
  <si>
    <t>100(18)20-06-365(O)</t>
  </si>
  <si>
    <t>N-147-2020</t>
  </si>
  <si>
    <t>B-91-2020</t>
  </si>
  <si>
    <t>2020_06_293</t>
  </si>
  <si>
    <t>100(18)20-06-364(O)</t>
  </si>
  <si>
    <t>HPMA-2020-06-0376</t>
  </si>
  <si>
    <t>N-164-2020</t>
  </si>
  <si>
    <t>BFAR IV-A.PR20-0314</t>
  </si>
  <si>
    <t>RFQ 02-0219-20 DOST-PCHRD</t>
  </si>
  <si>
    <t>PR. NO. 2020060724</t>
  </si>
  <si>
    <t>007147-2020-01</t>
  </si>
  <si>
    <t>N-165-2020</t>
  </si>
  <si>
    <t>epslingayen2020-42</t>
  </si>
  <si>
    <t>2020-03-0146</t>
  </si>
  <si>
    <t>R.F.Q. (P.R. No.) 20-06-85</t>
  </si>
  <si>
    <t>P.R. # 20-06-062</t>
  </si>
  <si>
    <t>007159-0000-00</t>
  </si>
  <si>
    <t>SAR-GOODS-06-073-2020</t>
  </si>
  <si>
    <t>SAR-GOODS-06-071-2020</t>
  </si>
  <si>
    <t>RFQ No.: 2020-06-0499</t>
  </si>
  <si>
    <t>2020-0623-37</t>
  </si>
  <si>
    <t>06242020</t>
  </si>
  <si>
    <t>IB NO. N-2020-06-83</t>
  </si>
  <si>
    <t>2020-06-081</t>
  </si>
  <si>
    <t>2020-063</t>
  </si>
  <si>
    <t>20-05-683</t>
  </si>
  <si>
    <t>20200624-002</t>
  </si>
  <si>
    <t>20GMA0005</t>
  </si>
  <si>
    <t>BAY-TF-2020-06-433</t>
  </si>
  <si>
    <t>20-02-0119</t>
  </si>
  <si>
    <t>epslingayen2020-41</t>
  </si>
  <si>
    <t>TANZA 2 2020-10-006</t>
  </si>
  <si>
    <t>06252020</t>
  </si>
  <si>
    <t>1426</t>
  </si>
  <si>
    <t>doletac8-2020-14</t>
  </si>
  <si>
    <t>00062</t>
  </si>
  <si>
    <t>HPMA-2020-06-0377</t>
  </si>
  <si>
    <t>ATI-RTC 2020-0040</t>
  </si>
  <si>
    <t>20GIE0011</t>
  </si>
  <si>
    <t>AMP2020-097</t>
  </si>
  <si>
    <t>2020-06-18</t>
  </si>
  <si>
    <t>RFQ-L-PROCUREMENT OF FURNITURE AND FIXTURES FOR TH</t>
  </si>
  <si>
    <t>SVP-20-84</t>
  </si>
  <si>
    <t>2020-SL03-0021</t>
  </si>
  <si>
    <t>00131-2020</t>
  </si>
  <si>
    <t>0950-20</t>
  </si>
  <si>
    <t>2020-02-103</t>
  </si>
  <si>
    <t>007125-0000-00</t>
  </si>
  <si>
    <t>M01-06-2020</t>
  </si>
  <si>
    <t>RFQ-L-SUMMARY OF PROCUREMENT REQUEST FOR THE PROCU</t>
  </si>
  <si>
    <t>PR-ITDS02-20-06-00009</t>
  </si>
  <si>
    <t>QES-06-024-20</t>
  </si>
  <si>
    <t>2020-06-24-01</t>
  </si>
  <si>
    <t>PR-NCS01-20-03-00021</t>
  </si>
  <si>
    <t>007049-2020-01</t>
  </si>
  <si>
    <t>PR#9</t>
  </si>
  <si>
    <t>RFQ 2020-107</t>
  </si>
  <si>
    <t>Bid No. 20-0278</t>
  </si>
  <si>
    <t>P.R NO. 300-2020-06-0335</t>
  </si>
  <si>
    <t>HTG-2020-06-0077</t>
  </si>
  <si>
    <t>20CSHG0002</t>
  </si>
  <si>
    <t>DA3-2020-06-11-171</t>
  </si>
  <si>
    <t>PR-NarvBAC2020-030</t>
  </si>
  <si>
    <t>2020-283-03</t>
  </si>
  <si>
    <t>06-20-30</t>
  </si>
  <si>
    <t>2020-51b-002</t>
  </si>
  <si>
    <t>778</t>
  </si>
  <si>
    <t>PR-ITDS02-20-06-00010</t>
  </si>
  <si>
    <t>101-06-20-1011</t>
  </si>
  <si>
    <t>2020-12</t>
  </si>
  <si>
    <t>P.R. # 20-06-059</t>
  </si>
  <si>
    <t>2020-02</t>
  </si>
  <si>
    <t>21</t>
  </si>
  <si>
    <t>2020-0623-38G</t>
  </si>
  <si>
    <t>DepED-RO6-D1- “TNHS” PURCHASE OF TRANSFORMER FOR J</t>
  </si>
  <si>
    <t>ITB No. I30-03-2020</t>
  </si>
  <si>
    <t>RFQ-G-2020-078</t>
  </si>
  <si>
    <t>RFQ-6-24-2020</t>
  </si>
  <si>
    <t>06-24-2020-232</t>
  </si>
  <si>
    <t>20-05-113c</t>
  </si>
  <si>
    <t>00063</t>
  </si>
  <si>
    <t>06-20-31</t>
  </si>
  <si>
    <t>06-24-2020-233</t>
  </si>
  <si>
    <t>HTG-2020-06-0075</t>
  </si>
  <si>
    <t>06272020</t>
  </si>
  <si>
    <t>2020-32</t>
  </si>
  <si>
    <t>PR-ITDS05-20-02-00006</t>
  </si>
  <si>
    <t>2020-03-014</t>
  </si>
  <si>
    <t>UPLB-RQ-6-132-20-RES CHEMICALS &amp; CHEMICAL PRODUCTS</t>
  </si>
  <si>
    <t>2020-06-018</t>
  </si>
  <si>
    <t>013-06-2020</t>
  </si>
  <si>
    <t>00064</t>
  </si>
  <si>
    <t>Infra-2020-10</t>
  </si>
  <si>
    <t>TAS20-06-162</t>
  </si>
  <si>
    <t>Bid No. 20-0279</t>
  </si>
  <si>
    <t>BRGY. KAWIT</t>
  </si>
  <si>
    <t>BAC2020-06-34B-21</t>
  </si>
  <si>
    <t>027-20</t>
  </si>
  <si>
    <t>2020-05-0073</t>
  </si>
  <si>
    <t>Tubod 2020-06-001</t>
  </si>
  <si>
    <t>2020-06-23</t>
  </si>
  <si>
    <t>2020-65</t>
  </si>
  <si>
    <t>ATI2020-06-145</t>
  </si>
  <si>
    <t>none</t>
  </si>
  <si>
    <t>PIN2020-081</t>
  </si>
  <si>
    <t>UPLB-RQ-6-131-20-RES INFORMATION TECHNOLOGY</t>
  </si>
  <si>
    <t>BAC2020-06-34B-22</t>
  </si>
  <si>
    <t>20-06-096</t>
  </si>
  <si>
    <t>RFQ 02-0214-20 LIBRARY</t>
  </si>
  <si>
    <t>2020- 06- 001</t>
  </si>
  <si>
    <t>2020-391-05</t>
  </si>
  <si>
    <t>DV-2020-I11</t>
  </si>
  <si>
    <t>062020-01</t>
  </si>
  <si>
    <t>20-05-848</t>
  </si>
  <si>
    <t>06282020</t>
  </si>
  <si>
    <t>JRF-2020-002-RFQ</t>
  </si>
  <si>
    <t>20200624-22</t>
  </si>
  <si>
    <t>2020-06-24</t>
  </si>
  <si>
    <t>nlontoc-RFQ-188-2020</t>
  </si>
  <si>
    <t>0866</t>
  </si>
  <si>
    <t>3</t>
  </si>
  <si>
    <t>BSVP 2012</t>
  </si>
  <si>
    <t>2020-13</t>
  </si>
  <si>
    <t>20PL0123</t>
  </si>
  <si>
    <t>3-52</t>
  </si>
  <si>
    <t>0624202002</t>
  </si>
  <si>
    <t>0020-0125-0755-2020</t>
  </si>
  <si>
    <t>2020-06-312-ME</t>
  </si>
  <si>
    <t>BAC2020-06-34A-23</t>
  </si>
  <si>
    <t>2020-06-25</t>
  </si>
  <si>
    <t>GOODSIB-2020-03</t>
  </si>
  <si>
    <t>20-06-037</t>
  </si>
  <si>
    <t>012</t>
  </si>
  <si>
    <t>2020-06-0026</t>
  </si>
  <si>
    <t>P.R. # 20-06-065</t>
  </si>
  <si>
    <t>20GB00021</t>
  </si>
  <si>
    <t>CGT- Goods- 2020- 00099</t>
  </si>
  <si>
    <t>2020-06-0068  (2nd  Posting)</t>
  </si>
  <si>
    <t>2020-06</t>
  </si>
  <si>
    <t>JRF-2020-003-RFQ</t>
  </si>
  <si>
    <t>JRF-2020-004-RFQ</t>
  </si>
  <si>
    <t>0006</t>
  </si>
  <si>
    <t>2020-66</t>
  </si>
  <si>
    <t>6-29</t>
  </si>
  <si>
    <t>PN 2020-13</t>
  </si>
  <si>
    <t>RFQ XI 2020 004</t>
  </si>
  <si>
    <t>SV-0776-2020</t>
  </si>
  <si>
    <t>20-03-08-0032 Re-canvass</t>
  </si>
  <si>
    <t>TESDA PR-0194</t>
  </si>
  <si>
    <t>ITB No. I28-03-2020</t>
  </si>
  <si>
    <t>ECA-20-06-0495</t>
  </si>
  <si>
    <t>BFAR IV-A.PR20-0300</t>
  </si>
  <si>
    <t>MR20-06-046</t>
  </si>
  <si>
    <t>20-05-814</t>
  </si>
  <si>
    <t>193-2020</t>
  </si>
  <si>
    <t>CS-ES-006-001</t>
  </si>
  <si>
    <t>ITB No. 2020-09</t>
  </si>
  <si>
    <t>BID NO.0620-137</t>
  </si>
  <si>
    <t>2020-065</t>
  </si>
  <si>
    <t>RFQ XI 2020 003</t>
  </si>
  <si>
    <t>2020-06-070</t>
  </si>
  <si>
    <t>2020-06-003</t>
  </si>
  <si>
    <t>DA3-2020-06-09-108</t>
  </si>
  <si>
    <t>JRF-2020-005-RFQ</t>
  </si>
  <si>
    <t>ATI-RTC 2020-0042</t>
  </si>
  <si>
    <t>2020-29</t>
  </si>
  <si>
    <t>2LSSM2020A-213</t>
  </si>
  <si>
    <t>S20-096</t>
  </si>
  <si>
    <t>Goods - 2020 - 09</t>
  </si>
  <si>
    <t>2020-002</t>
  </si>
  <si>
    <t>2020-06-411</t>
  </si>
  <si>
    <t>2020-PLA-063</t>
  </si>
  <si>
    <t>2LSSM2020A-214</t>
  </si>
  <si>
    <t>IB NO. N-2020-06-84</t>
  </si>
  <si>
    <t>202000206</t>
  </si>
  <si>
    <t>344-2020</t>
  </si>
  <si>
    <t>2020-17</t>
  </si>
  <si>
    <t>0003-0086-1066-2020</t>
  </si>
  <si>
    <t>PR. 20-06-227 (2020-06-212)</t>
  </si>
  <si>
    <t>20-05-847</t>
  </si>
  <si>
    <t>20GKE0006 Lot1</t>
  </si>
  <si>
    <t>20-ICT1</t>
  </si>
  <si>
    <t>2020-ANT-GOODS-0116</t>
  </si>
  <si>
    <t>195-2020</t>
  </si>
  <si>
    <t>2020-06-314-ME</t>
  </si>
  <si>
    <t>06-20-32</t>
  </si>
  <si>
    <t>20-corp-06-085</t>
  </si>
  <si>
    <t>2020-34</t>
  </si>
  <si>
    <t>ABELLA 2020-002</t>
  </si>
  <si>
    <t>2020-18</t>
  </si>
  <si>
    <t>2LSSM2020A-215</t>
  </si>
  <si>
    <t>SF- GOODS-2020-007</t>
  </si>
  <si>
    <t>196-2020</t>
  </si>
  <si>
    <t>20CN0153</t>
  </si>
  <si>
    <t>IB NO. N-2020-06-81</t>
  </si>
  <si>
    <t>06-20-34</t>
  </si>
  <si>
    <t>2020-06-08</t>
  </si>
  <si>
    <t>SV-0775-2020</t>
  </si>
  <si>
    <t>0003-0087-1067-2020</t>
  </si>
  <si>
    <t>CHMSC 20-021-0624-G</t>
  </si>
  <si>
    <t>20CN0101</t>
  </si>
  <si>
    <t>20-006</t>
  </si>
  <si>
    <t>00116</t>
  </si>
  <si>
    <t>900-20</t>
  </si>
  <si>
    <t>20-06-005</t>
  </si>
  <si>
    <t>0003-0085-1065-2020</t>
  </si>
  <si>
    <t>PR-2020</t>
  </si>
  <si>
    <t>50</t>
  </si>
  <si>
    <t>06-20-33</t>
  </si>
  <si>
    <t>20-06-016</t>
  </si>
  <si>
    <t>129 - 2020</t>
  </si>
  <si>
    <t>06-20-37</t>
  </si>
  <si>
    <t>20GKE0006 Lot2</t>
  </si>
  <si>
    <t>202000306</t>
  </si>
  <si>
    <t>GOODS-06-24-2020-01</t>
  </si>
  <si>
    <t>06-20-36</t>
  </si>
  <si>
    <t>PR-2020-05-0020</t>
  </si>
  <si>
    <t>20-bdd-06-045</t>
  </si>
  <si>
    <t>190-2020</t>
  </si>
  <si>
    <t>06-20-41</t>
  </si>
  <si>
    <t>202006003</t>
  </si>
  <si>
    <t>20-06-0038</t>
  </si>
  <si>
    <t>2020-04-421</t>
  </si>
  <si>
    <t>SN# 2020-06-10</t>
  </si>
  <si>
    <t>06-20-39</t>
  </si>
  <si>
    <t>I.B. No. 2020-0030</t>
  </si>
  <si>
    <t>2020-0073</t>
  </si>
  <si>
    <t>590-20</t>
  </si>
  <si>
    <t>2020-07-0001</t>
  </si>
  <si>
    <t>06-20-38</t>
  </si>
  <si>
    <t>06-20-40</t>
  </si>
  <si>
    <t>RFQ No.: 2020-06-0492</t>
  </si>
  <si>
    <t>022-2020</t>
  </si>
  <si>
    <t>2LSSM2020A-217</t>
  </si>
  <si>
    <t>2LSSM2020A-220</t>
  </si>
  <si>
    <t>2020-0623-35G</t>
  </si>
  <si>
    <t>GOODS-2020-46-2ND</t>
  </si>
  <si>
    <t>2-17</t>
  </si>
  <si>
    <t>GSO-20-0576-NP2(SV)</t>
  </si>
  <si>
    <t>PN 11-2020</t>
  </si>
  <si>
    <t>20-06-015</t>
  </si>
  <si>
    <t>2LSSM2020A-218</t>
  </si>
  <si>
    <t>0186-20</t>
  </si>
  <si>
    <t>2LSSM2020A-219</t>
  </si>
  <si>
    <t>06-20-43</t>
  </si>
  <si>
    <t>GSO-20-0498-NP2(SV)</t>
  </si>
  <si>
    <t>2020-44</t>
  </si>
  <si>
    <t>06-20-42</t>
  </si>
  <si>
    <t>06-20-44</t>
  </si>
  <si>
    <t>2020-30</t>
  </si>
  <si>
    <t>BESI2019-10-032</t>
  </si>
  <si>
    <t>20200625</t>
  </si>
  <si>
    <t>2LSSM2020A-223</t>
  </si>
  <si>
    <t>R20-237</t>
  </si>
  <si>
    <t>03</t>
  </si>
  <si>
    <t>20GIE0013</t>
  </si>
  <si>
    <t>GoodSSVP-44-2020</t>
  </si>
  <si>
    <t>0013-2020</t>
  </si>
  <si>
    <t>2LSSM2020A-224</t>
  </si>
  <si>
    <t>2020-14</t>
  </si>
  <si>
    <t>2020-0041</t>
  </si>
  <si>
    <t>UPLB-RQ-6-133-20-I GENERAL CONTRACTOR</t>
  </si>
  <si>
    <t>20-06-014</t>
  </si>
  <si>
    <t>PB NO. 2020-043</t>
  </si>
  <si>
    <t>20IF0139</t>
  </si>
  <si>
    <t>AROMIN-10878</t>
  </si>
  <si>
    <t>DepED-RO6-D1-CONSTRUCTION MATERIALS-001-2020</t>
  </si>
  <si>
    <t>MKWD2020-054</t>
  </si>
  <si>
    <t>2020-06-12</t>
  </si>
  <si>
    <t>30-S-20</t>
  </si>
  <si>
    <t>2020-06-11</t>
  </si>
  <si>
    <t>2020-06-216</t>
  </si>
  <si>
    <t>121</t>
  </si>
  <si>
    <t>2020-06-10</t>
  </si>
  <si>
    <t>2LSSM2020A-221</t>
  </si>
  <si>
    <t>23-S-20</t>
  </si>
  <si>
    <t>28-S-20</t>
  </si>
  <si>
    <t>29-S-20</t>
  </si>
  <si>
    <t>2020-06-019</t>
  </si>
  <si>
    <t>2LSSM2020A-222</t>
  </si>
  <si>
    <t>27-S-20</t>
  </si>
  <si>
    <t>RFQ-2020-13</t>
  </si>
  <si>
    <t>2LSSM2020A-225</t>
  </si>
  <si>
    <t>0015</t>
  </si>
  <si>
    <t>BID NO. 0620-138</t>
  </si>
  <si>
    <t>NF 2006-0240</t>
  </si>
  <si>
    <t>2020-0076</t>
  </si>
  <si>
    <t>20GIE0012</t>
  </si>
  <si>
    <t>52</t>
  </si>
  <si>
    <t>penrneg2020-gs06</t>
  </si>
  <si>
    <t>PRN-615-2019</t>
  </si>
  <si>
    <t>20-ICT2</t>
  </si>
  <si>
    <t>GoodSSVP-45-2020</t>
  </si>
  <si>
    <t>2LSSM2020A-216</t>
  </si>
  <si>
    <t>06-20-35</t>
  </si>
  <si>
    <t>epslingayen2020-44</t>
  </si>
  <si>
    <t>VS-2020-029</t>
  </si>
  <si>
    <t>2020-06-218</t>
  </si>
  <si>
    <t>AMP2020-098</t>
  </si>
  <si>
    <t>2020-06-00002</t>
  </si>
  <si>
    <t>011</t>
  </si>
  <si>
    <t>HHSBN-10881</t>
  </si>
  <si>
    <t>20CN0154</t>
  </si>
  <si>
    <t>002</t>
  </si>
  <si>
    <t>BAGO-BAC-RFQ-20-1121</t>
  </si>
  <si>
    <t>20-06-ORD044</t>
  </si>
  <si>
    <t>26-S-20</t>
  </si>
  <si>
    <t>P.R. No. 2020-06-0049</t>
  </si>
  <si>
    <t>021-2020</t>
  </si>
  <si>
    <t>RFQ No. 2020-041</t>
  </si>
  <si>
    <t>2020-06-105</t>
  </si>
  <si>
    <t>20-04-50</t>
  </si>
  <si>
    <t>0020-0186-1044-2020</t>
  </si>
  <si>
    <t>lgu-es-20-06-136</t>
  </si>
  <si>
    <t>PRN-489-2019</t>
  </si>
  <si>
    <t>20-06-02</t>
  </si>
  <si>
    <t>P.R. No. 2020-06-0047</t>
  </si>
  <si>
    <t>ITB-2020-15</t>
  </si>
  <si>
    <t>2020-05-001</t>
  </si>
  <si>
    <t>20-06-RES0433</t>
  </si>
  <si>
    <t>P.R. No. 2020-06-0050</t>
  </si>
  <si>
    <t>Infra-20-09</t>
  </si>
  <si>
    <t>PLAWD 2020-06-044</t>
  </si>
  <si>
    <t>100-2002-120-GF</t>
  </si>
  <si>
    <t>SVP-2020-06-98</t>
  </si>
  <si>
    <t>100-2006-0357</t>
  </si>
  <si>
    <t>PR No. 20-06-171/172</t>
  </si>
  <si>
    <t>G-PPDO-050-20</t>
  </si>
  <si>
    <t>B-001-20</t>
  </si>
  <si>
    <t>0994</t>
  </si>
  <si>
    <t>RFQ. No. 2020-042</t>
  </si>
  <si>
    <t>0620-034</t>
  </si>
  <si>
    <t>343-2020</t>
  </si>
  <si>
    <t>RCEF 2020-05-054</t>
  </si>
  <si>
    <t>G-2020-06-0292</t>
  </si>
  <si>
    <t>2006155</t>
  </si>
  <si>
    <t>PLAWD 2020-06-045</t>
  </si>
  <si>
    <t>100-20-06-0633</t>
  </si>
  <si>
    <t>BID NO. 0620-140</t>
  </si>
  <si>
    <t>SHA-2020-161-013</t>
  </si>
  <si>
    <t>Negotiated-2020-046</t>
  </si>
  <si>
    <t>DAPA-078-2020</t>
  </si>
  <si>
    <t>2LSSM2020A-226</t>
  </si>
  <si>
    <t>20200624</t>
  </si>
  <si>
    <t>G-2020-06-0293</t>
  </si>
  <si>
    <t>ITB2020-07-03</t>
  </si>
  <si>
    <t>IB NO. N-2020-06-82</t>
  </si>
  <si>
    <t>P.R. No. 2020-06-0051C</t>
  </si>
  <si>
    <t>BID NO. 0620-141</t>
  </si>
  <si>
    <t>ADS-0961-20</t>
  </si>
  <si>
    <t>BQ-Infra-2020-016</t>
  </si>
  <si>
    <t>0020-0186-1044A2020</t>
  </si>
  <si>
    <t>SV-0745-2020</t>
  </si>
  <si>
    <t>2020-03-0013</t>
  </si>
  <si>
    <t>DAPA-079-2020</t>
  </si>
  <si>
    <t>CID NO. 20IF0140</t>
  </si>
  <si>
    <t>PN 2020-17</t>
  </si>
  <si>
    <t>250-06-AM0029</t>
  </si>
  <si>
    <t>SHA-2020-184-014</t>
  </si>
  <si>
    <t>0027-0009-1050-2020</t>
  </si>
  <si>
    <t>GOODS-NP-2020-093</t>
  </si>
  <si>
    <t>ITB-0624 #2 Package 59</t>
  </si>
  <si>
    <t>NIAREG9-06-2020-IDPFunds-079 (SH)</t>
  </si>
  <si>
    <t>F-2020-03-0096</t>
  </si>
  <si>
    <t>20GIJ-0002</t>
  </si>
  <si>
    <t>20-06-AM0030</t>
  </si>
  <si>
    <t>ITB-0624 #1 Package 58</t>
  </si>
  <si>
    <t>01-06-2020</t>
  </si>
  <si>
    <t>BID NO. 0620-139</t>
  </si>
  <si>
    <t>2020-6-6835</t>
  </si>
  <si>
    <t>BQ-Infra-2020-015</t>
  </si>
  <si>
    <t>AMP2020-099</t>
  </si>
  <si>
    <t>Baas 2020-04</t>
  </si>
  <si>
    <t>AFPSEO-REPE-1218-20</t>
  </si>
  <si>
    <t>2LSSM2020A-228</t>
  </si>
  <si>
    <t>RFQ-2020-060</t>
  </si>
  <si>
    <t>ADS-0960-20</t>
  </si>
  <si>
    <t>066-2020</t>
  </si>
  <si>
    <t>ASF 2020-06-038</t>
  </si>
  <si>
    <t>2020-0624-1</t>
  </si>
  <si>
    <t>ATI2020-06-146</t>
  </si>
  <si>
    <t>DAPA-080-2020</t>
  </si>
  <si>
    <t>RFQ2020-24</t>
  </si>
  <si>
    <t>20-06-AM0028</t>
  </si>
  <si>
    <t>009</t>
  </si>
  <si>
    <t>2020 Allab 3</t>
  </si>
  <si>
    <t>300-20-05-0496</t>
  </si>
  <si>
    <t>BQ-Infra-2020-017</t>
  </si>
  <si>
    <t>PNUNL GD 03</t>
  </si>
  <si>
    <t>SVP-2020-06-24-01</t>
  </si>
  <si>
    <t>2020-06-325-37</t>
  </si>
  <si>
    <t>10FSSU-9387</t>
  </si>
  <si>
    <t>2020-043</t>
  </si>
  <si>
    <t>AHWD 2020-04-124</t>
  </si>
  <si>
    <t>20-06-164</t>
  </si>
  <si>
    <t>OTQMG-RMB-1219-20</t>
  </si>
  <si>
    <t>PR#465</t>
  </si>
  <si>
    <t>Mana-ul 2020-05</t>
  </si>
  <si>
    <t>2020-06-217</t>
  </si>
  <si>
    <t>20-06-125</t>
  </si>
  <si>
    <t>HHSBN-10880</t>
  </si>
  <si>
    <t>2020-06-00003</t>
  </si>
  <si>
    <t>PR 2020-03-1979 A</t>
  </si>
  <si>
    <t>PRN-614-2019</t>
  </si>
  <si>
    <t>BAGO-BAC-RFQ-20-1122</t>
  </si>
  <si>
    <t>SRAVIS 20-06-284</t>
  </si>
  <si>
    <t>039-2-2020</t>
  </si>
  <si>
    <t>MAPULO2020-002</t>
  </si>
  <si>
    <t>20-06208PR</t>
  </si>
  <si>
    <t>HHSBN-10879</t>
  </si>
  <si>
    <t>G-PGO-049-20</t>
  </si>
  <si>
    <t>20-06-200</t>
  </si>
  <si>
    <t>SV-0770-2020</t>
  </si>
  <si>
    <t>RFQ-DVO-PR.NO. 2002004 CAT. 85 MECHANICAL TOOLS AN</t>
  </si>
  <si>
    <t>NP-20-015</t>
  </si>
  <si>
    <t>0014-2020</t>
  </si>
  <si>
    <t>2020-06-02</t>
  </si>
  <si>
    <t>GEN20-05-042</t>
  </si>
  <si>
    <t>Tubod 2020-06-002</t>
  </si>
  <si>
    <t>2LSSM2020A-227</t>
  </si>
  <si>
    <t>PR. NO. 2020060723</t>
  </si>
  <si>
    <t>JRF-2020-001-RFQ</t>
  </si>
  <si>
    <t>2020-55c-001</t>
  </si>
  <si>
    <t>109881-2020-07</t>
  </si>
  <si>
    <t>RMASS-LAU-042020-177</t>
  </si>
  <si>
    <t>SV-0769-2020</t>
  </si>
  <si>
    <t>ATI-RTC 2020-0041</t>
  </si>
  <si>
    <t>RFQ 2020-06-0123</t>
  </si>
  <si>
    <t>20200624-003</t>
  </si>
  <si>
    <t>2020-A-06-115</t>
  </si>
  <si>
    <t>20-488</t>
  </si>
  <si>
    <t>Infra-2020-09</t>
  </si>
  <si>
    <t>RFQ No.: 2020-06-0490</t>
  </si>
  <si>
    <t>20-06-03</t>
  </si>
  <si>
    <t>HTG-2020-06-0078</t>
  </si>
  <si>
    <t>20PL0122</t>
  </si>
  <si>
    <t>BF 2020-001</t>
  </si>
  <si>
    <t>BAY-TF-2020-06-434</t>
  </si>
  <si>
    <t>2020-21</t>
  </si>
  <si>
    <t>HPMA-2020-06-0379</t>
  </si>
  <si>
    <t>20-306</t>
  </si>
  <si>
    <t>R20-233</t>
  </si>
  <si>
    <t>2020-06-0360</t>
  </si>
  <si>
    <t>2020-31</t>
  </si>
  <si>
    <t>20-02-07-0078 Re-canvass</t>
  </si>
  <si>
    <t>NS-06-25-20-02</t>
  </si>
  <si>
    <t>RFQ-DVO-PR.NO. 2002288 CAT. 27 FURNITURE AND FIXTU</t>
  </si>
  <si>
    <t>PR0092-20 VGO</t>
  </si>
  <si>
    <t>VW1-20-06-023</t>
  </si>
  <si>
    <t>CGT- Goods- 2020- 00098</t>
  </si>
  <si>
    <t>PB-G-001-2020</t>
  </si>
  <si>
    <t>547-2020</t>
  </si>
  <si>
    <t>UPLB-RQ-6-130-20-RES CHEMICAL &amp; CHEMICAL PRODUCTS</t>
  </si>
  <si>
    <t>20GIE0010</t>
  </si>
  <si>
    <t>20-05-01A-0001</t>
  </si>
  <si>
    <t>H1BCT-NAF-08-2020</t>
  </si>
  <si>
    <t>PR2020-06-025</t>
  </si>
  <si>
    <t>N-139-2020</t>
  </si>
  <si>
    <t>Project No. 01-2020</t>
  </si>
  <si>
    <t>100(18)20-06-359(O)</t>
  </si>
  <si>
    <t>N-142-2020</t>
  </si>
  <si>
    <t>2020-05-12</t>
  </si>
  <si>
    <t>06-00760</t>
  </si>
  <si>
    <t>0624202001</t>
  </si>
  <si>
    <t>2020-PR-64-CAR</t>
  </si>
  <si>
    <t>20</t>
  </si>
  <si>
    <t>PR NO. 20-06-048</t>
  </si>
  <si>
    <t>RFQ 2020-011</t>
  </si>
  <si>
    <t>INFRASIB-2020-11</t>
  </si>
  <si>
    <t>SV-0546-2020</t>
  </si>
  <si>
    <t>BAC-PG-0011</t>
  </si>
  <si>
    <t>1530</t>
  </si>
  <si>
    <t>N-146-2020</t>
  </si>
  <si>
    <t>002-2020</t>
  </si>
  <si>
    <t>0865</t>
  </si>
  <si>
    <t>20-06-123</t>
  </si>
  <si>
    <t>DA3-2020-06-19-255</t>
  </si>
  <si>
    <t>LWUA_GSD20-095</t>
  </si>
  <si>
    <t>LGU-ALCOY-2020-035</t>
  </si>
  <si>
    <t>GOODS 2020-06-PLA005</t>
  </si>
  <si>
    <t>2020-6-6834</t>
  </si>
  <si>
    <t>100(01)20-06-359(A)</t>
  </si>
  <si>
    <t>2LSSM2020A-212</t>
  </si>
  <si>
    <t>ASF 2020-06-037</t>
  </si>
  <si>
    <t>RIS# 20-02-012</t>
  </si>
  <si>
    <t>20-06-000072</t>
  </si>
  <si>
    <t>20063692</t>
  </si>
  <si>
    <t>BQ-Infra-2020-018</t>
  </si>
  <si>
    <t>JR# 20-146</t>
  </si>
  <si>
    <t>100-2002-141-GF</t>
  </si>
  <si>
    <t>RFQ No. 0825-20</t>
  </si>
  <si>
    <t>PLAWD 2020-06-046</t>
  </si>
  <si>
    <t>2020-0624-2</t>
  </si>
  <si>
    <t>DOSTR01-RFQ2020-26</t>
  </si>
  <si>
    <t>0003-0083-1040-2020</t>
  </si>
  <si>
    <t>2020-06-0361</t>
  </si>
  <si>
    <t>0943-20</t>
  </si>
  <si>
    <t>P. R. No. 2020-0366</t>
  </si>
  <si>
    <t>2020-06-0099</t>
  </si>
  <si>
    <t>HILONGOS 2020-188</t>
  </si>
  <si>
    <t>NS-2020-05-0181</t>
  </si>
  <si>
    <t>PR# 20-0780</t>
  </si>
  <si>
    <t>RFQ-2020-059</t>
  </si>
  <si>
    <t>2020-39</t>
  </si>
  <si>
    <t>100(01)20-06-010(E)</t>
  </si>
  <si>
    <t>20-483</t>
  </si>
  <si>
    <t>2020-095</t>
  </si>
  <si>
    <t>100(01)20-06-028(P)</t>
  </si>
  <si>
    <t xml:space="preserve">RFQ-DVO-PR.NO. 2002159 CAT. 10 COMPUTER RQUIPMENT </t>
  </si>
  <si>
    <t>2020 Napalico 6</t>
  </si>
  <si>
    <t>InTB-PGAPEOROADS2020EDF-CW2</t>
  </si>
  <si>
    <t>06232020B</t>
  </si>
  <si>
    <t>2020-035</t>
  </si>
  <si>
    <t>RFQ-185-2020</t>
  </si>
  <si>
    <t>RFQ-183-2020</t>
  </si>
  <si>
    <t>06232020A</t>
  </si>
  <si>
    <t xml:space="preserve">RFQ-DVO-PR.NO. 2002388 CAT. 10 COMPUTER EQUIPMENT </t>
  </si>
  <si>
    <t>100-2020-GOODS-371</t>
  </si>
  <si>
    <t>RFQ-182-2020</t>
  </si>
  <si>
    <t>Bid No. 20-0275</t>
  </si>
  <si>
    <t>349-2020</t>
  </si>
  <si>
    <t>IB. NO. K-2020-063(SC)</t>
  </si>
  <si>
    <t>GOODS 2020-018</t>
  </si>
  <si>
    <t>001-07-2020</t>
  </si>
  <si>
    <t>IB. NO. K-2020-064(SC)</t>
  </si>
  <si>
    <t>NCEBDE-086-20</t>
  </si>
  <si>
    <t>RFQ-DVO-PR.NO. 2002150 CAT. 10 COMPUTER EQUIPMENT</t>
  </si>
  <si>
    <t>PR-20-01-043</t>
  </si>
  <si>
    <t>PB-2020-06-037</t>
  </si>
  <si>
    <t>PBD 20-078</t>
  </si>
  <si>
    <t>2020-059</t>
  </si>
  <si>
    <t>SUC 2020-06-002</t>
  </si>
  <si>
    <t>PR-20-02-070</t>
  </si>
  <si>
    <t>2020-060</t>
  </si>
  <si>
    <t>PR-20-01-045</t>
  </si>
  <si>
    <t>2020-06-169</t>
  </si>
  <si>
    <t>2LSSM2020A-229</t>
  </si>
  <si>
    <t>SVP-2020-06-24-02</t>
  </si>
  <si>
    <t>023-2020 PES Printing of Tarpaulin</t>
  </si>
  <si>
    <t>2020-06-0128</t>
  </si>
  <si>
    <t>2LSSM2020A-231</t>
  </si>
  <si>
    <t>PR-20-01-042</t>
  </si>
  <si>
    <t>ADS-0959-20</t>
  </si>
  <si>
    <t>P. R. No. 2020-0354</t>
  </si>
  <si>
    <t>347-2020</t>
  </si>
  <si>
    <t>RFQ-2020-058</t>
  </si>
  <si>
    <t>pr# 2020-06-113</t>
  </si>
  <si>
    <t>06292020-090</t>
  </si>
  <si>
    <t>2020-058</t>
  </si>
  <si>
    <t>4</t>
  </si>
  <si>
    <t>BID NO. 0620-142</t>
  </si>
  <si>
    <t>PR-20-02-054</t>
  </si>
  <si>
    <t>2LSSM2020A-230</t>
  </si>
  <si>
    <t>2020-0074</t>
  </si>
  <si>
    <t>GOODS-2020-06-016</t>
  </si>
  <si>
    <t>BCS-2020-0139</t>
  </si>
  <si>
    <t>2LSSM2020A-232</t>
  </si>
  <si>
    <t>NS 1239-20</t>
  </si>
  <si>
    <t>2020-06-326-38</t>
  </si>
  <si>
    <t>100-20-03-374</t>
  </si>
  <si>
    <t>8711-20-003</t>
  </si>
  <si>
    <t>20053460</t>
  </si>
  <si>
    <t>06292020-091</t>
  </si>
  <si>
    <t>1480</t>
  </si>
  <si>
    <t>2020-013</t>
  </si>
  <si>
    <t>20-06-001</t>
  </si>
  <si>
    <t>RFQ-2020-057</t>
  </si>
  <si>
    <t>2LSSM2020A-233</t>
  </si>
  <si>
    <t>GOODS-2020-NPSVP-029</t>
  </si>
  <si>
    <t>348-2020</t>
  </si>
  <si>
    <t>20-06-253</t>
  </si>
  <si>
    <t>2LSSM2020A-234</t>
  </si>
  <si>
    <t>024-2020 PES Purchase of Mobile Load Card 2020-Sup</t>
  </si>
  <si>
    <t>2LSSM2020A-235</t>
  </si>
  <si>
    <t>835-20</t>
  </si>
  <si>
    <t>2020-0519</t>
  </si>
  <si>
    <t>SVP-2020-06-24-03</t>
  </si>
  <si>
    <t>2020-06-55</t>
  </si>
  <si>
    <t>BQ-Infra-2020-019</t>
  </si>
  <si>
    <t>067-2020</t>
  </si>
  <si>
    <t>tesda cs po 0008</t>
  </si>
  <si>
    <t>2020-06-0362</t>
  </si>
  <si>
    <t>2LSSM2020A-237</t>
  </si>
  <si>
    <t>RFQ-4A-BNN-PSU-2020-0006</t>
  </si>
  <si>
    <t>pgeps#02727-2020</t>
  </si>
  <si>
    <t>RFQ-2020-056</t>
  </si>
  <si>
    <t>2020-2</t>
  </si>
  <si>
    <t>20-06-104</t>
  </si>
  <si>
    <t>RFQ-2020-055</t>
  </si>
  <si>
    <t>DepEd-R06-D1-BVS-TOOLSANDEQUIPMENT(ALS-EST)-001-20</t>
  </si>
  <si>
    <t>1274-06-20</t>
  </si>
  <si>
    <t>2LSSM2020A-236</t>
  </si>
  <si>
    <t>20063835</t>
  </si>
  <si>
    <t>HBC20-06-257; 262 TO 264; 267 TO 269</t>
  </si>
  <si>
    <t>100-2020-006-023</t>
  </si>
  <si>
    <t>ADS-0958-20</t>
  </si>
  <si>
    <t>ITB2020-07-01 TAGBUBUNGA</t>
  </si>
  <si>
    <t>0201-20BAC</t>
  </si>
  <si>
    <t>350-2020</t>
  </si>
  <si>
    <t>SanJoseBatsAeb2020-096</t>
  </si>
  <si>
    <t>2020-127</t>
  </si>
  <si>
    <t>RFQ No. 0816-20</t>
  </si>
  <si>
    <t>2020-06-043</t>
  </si>
  <si>
    <t>2LSSM2020A-238</t>
  </si>
  <si>
    <t>tesda cs po 0009</t>
  </si>
  <si>
    <t>LGU PR. No.  101-186 dated  June 1, 2020</t>
  </si>
  <si>
    <t>025-2020 PES Purchase of Office Supplies 2020-Supp</t>
  </si>
  <si>
    <t>SVP-2020-06-24-04</t>
  </si>
  <si>
    <t>2020-06-327-39</t>
  </si>
  <si>
    <t>RFQ2020-06-0186 (PR#8980-20-06-0275)</t>
  </si>
  <si>
    <t>fsrr-naf-32-20</t>
  </si>
  <si>
    <t>2020-45</t>
  </si>
  <si>
    <t>2020-06-56</t>
  </si>
  <si>
    <t>RFQ NO. EMB-LD-SVP-G-087-6-24-2020- 2020-0599</t>
  </si>
  <si>
    <t>026-2020 PES Purchase of Printer (Epson) 2020-Supp</t>
  </si>
  <si>
    <t>RFQ2020-06-0187 (PR#8980-20-06-0276)</t>
  </si>
  <si>
    <t>20063836</t>
  </si>
  <si>
    <t>20-06-0035</t>
  </si>
  <si>
    <t>PR NO. 016-06-20</t>
  </si>
  <si>
    <t>RFQ-2020-063</t>
  </si>
  <si>
    <t>2020-0508</t>
  </si>
  <si>
    <t>BCS-2020-0140</t>
  </si>
  <si>
    <t>2LSSM2020A-239</t>
  </si>
  <si>
    <t>OSCA200221-062</t>
  </si>
  <si>
    <t>SVP-2020-06-99</t>
  </si>
  <si>
    <t>2020-06-0363</t>
  </si>
  <si>
    <t>MIL-GOODS-2020-06-06</t>
  </si>
  <si>
    <t>2020-0509</t>
  </si>
  <si>
    <t>IS-20-06-0173</t>
  </si>
  <si>
    <t>BID NO. 0620-143</t>
  </si>
  <si>
    <t>2020-006</t>
  </si>
  <si>
    <t>OTORHI 1242-20</t>
  </si>
  <si>
    <t>2020-06-24-177</t>
  </si>
  <si>
    <t>DSWD7-20-0768</t>
  </si>
  <si>
    <t>6-09</t>
  </si>
  <si>
    <t>20CB-GSC-365 PURCHASE OF DRUGS AND MEDICINES FOR D</t>
  </si>
  <si>
    <t>MOB-BAC-2020-06-020-INFRA</t>
  </si>
  <si>
    <t>2020-227</t>
  </si>
  <si>
    <t>2020-03</t>
  </si>
  <si>
    <t>PR No. 004-06-2020</t>
  </si>
  <si>
    <t>2LSSM2020A-240</t>
  </si>
  <si>
    <t>SanJoseBatsAeb2020-097</t>
  </si>
  <si>
    <t>2LSSM2020A-241</t>
  </si>
  <si>
    <t>2020-0028</t>
  </si>
  <si>
    <t>HFW-2020-06-0216</t>
  </si>
  <si>
    <t>ATI2020-06-147</t>
  </si>
  <si>
    <t>BFP200224067</t>
  </si>
  <si>
    <t>20063834</t>
  </si>
  <si>
    <t>RFQ No. 0817-20</t>
  </si>
  <si>
    <t>20-06-56</t>
  </si>
  <si>
    <t>DOSTR01-RFQ2020-27</t>
  </si>
  <si>
    <t>2020-AMP-062</t>
  </si>
  <si>
    <t>6-09-A</t>
  </si>
  <si>
    <t>PR062000638</t>
  </si>
  <si>
    <t>2020-03-015</t>
  </si>
  <si>
    <t>DA3-2020-06-18-223-225-226</t>
  </si>
  <si>
    <t>mos-20-0247</t>
  </si>
  <si>
    <t>20CJ0154</t>
  </si>
  <si>
    <t>000</t>
  </si>
  <si>
    <t>BFP200224066</t>
  </si>
  <si>
    <t>BAGO-BAC-RFQ-20-1124</t>
  </si>
  <si>
    <t>0199-20BAC</t>
  </si>
  <si>
    <t>518-59</t>
  </si>
  <si>
    <t>Bid No. 20-0280</t>
  </si>
  <si>
    <t>RFQ-2020-066</t>
  </si>
  <si>
    <t>SanJoseBatsAeb2020-098</t>
  </si>
  <si>
    <t>NNP-2020-VI-29-01	Motorcycle (MENRO)</t>
  </si>
  <si>
    <t>MOB-BAC-2020-06-021-INFRA</t>
  </si>
  <si>
    <t>2020-06-328-40</t>
  </si>
  <si>
    <t>RFQ2020-06-0190 (PR#1011-20-06-0280)</t>
  </si>
  <si>
    <t>fsrr-naf-34-20</t>
  </si>
  <si>
    <t>2020-06-57</t>
  </si>
  <si>
    <t>PR No. 012-02-20</t>
  </si>
  <si>
    <t>20CB-GSC-366 PURCHASE OF VARIOUS MEDICAL, DENTAL &amp;</t>
  </si>
  <si>
    <t>fsrr-naf-33-20</t>
  </si>
  <si>
    <t>2020-06-533</t>
  </si>
  <si>
    <t>RRCY 2020-045</t>
  </si>
  <si>
    <t>INFRA2020-AG2-007 Supply of Labor and Materials fo</t>
  </si>
  <si>
    <t>GHQPC-CEISS-TELM-1122-20</t>
  </si>
  <si>
    <t>2020-06-RFQ05</t>
  </si>
  <si>
    <t>20021479</t>
  </si>
  <si>
    <t>06-24-2020-234</t>
  </si>
  <si>
    <t>SVP-2020-06-24-06</t>
  </si>
  <si>
    <t>2020-06-044</t>
  </si>
  <si>
    <t>102CO-2020-238</t>
  </si>
  <si>
    <t>2020-0079</t>
  </si>
  <si>
    <t>RFQ-2020-061</t>
  </si>
  <si>
    <t>DRMD-2020-06-0219</t>
  </si>
  <si>
    <t>fsrr-naf-35-20</t>
  </si>
  <si>
    <t>20CB-GSC-368 PURCHASE OF ANTIBACTERIALS (PARENTERA</t>
  </si>
  <si>
    <t>06-24-2020-235</t>
  </si>
  <si>
    <t>0955-20</t>
  </si>
  <si>
    <t>Barangay Balintawak-2020-1</t>
  </si>
  <si>
    <t>MOB-BAC-2020-03-006-GOODS</t>
  </si>
  <si>
    <t>HPMA-2020-06-0374</t>
  </si>
  <si>
    <t>01P-2020</t>
  </si>
  <si>
    <t>sta. clara-2020-001</t>
  </si>
  <si>
    <t>20CB-GSC-367 PURCHASE OF MEDICAL DENTAL &amp; LABORATO</t>
  </si>
  <si>
    <t>NS-2020-06-0205</t>
  </si>
  <si>
    <t>MIL-GOODS-2020-06-08</t>
  </si>
  <si>
    <t>BMB 20-033</t>
  </si>
  <si>
    <t>2020-06-0129</t>
  </si>
  <si>
    <t>20-009</t>
  </si>
  <si>
    <t>20FN0102</t>
  </si>
  <si>
    <t>RFQ2020-06-0193 (PR#1011-20-06-0286)</t>
  </si>
  <si>
    <t>MAFAR-06-92-2020</t>
  </si>
  <si>
    <t>BID NO. 0620-144</t>
  </si>
  <si>
    <t>GS-GF-2020-0269</t>
  </si>
  <si>
    <t>RFQ NO. R-20-06-67</t>
  </si>
  <si>
    <t>20AH0214</t>
  </si>
  <si>
    <t>PR. 20-05-179 (2020-05-171 2ND QUOTE)</t>
  </si>
  <si>
    <t>RFQ-2020-062</t>
  </si>
  <si>
    <t>2020-06-24-178</t>
  </si>
  <si>
    <t>HPMA-2020-05-0069</t>
  </si>
  <si>
    <t>S20-107</t>
  </si>
  <si>
    <t>GOODS-SPS-01-2020</t>
  </si>
  <si>
    <t>ITB 2020-19</t>
  </si>
  <si>
    <t>RFQ-2020-028</t>
  </si>
  <si>
    <t>SVP-2020-15</t>
  </si>
  <si>
    <t>20AH0215</t>
  </si>
  <si>
    <t>2020-06-2335</t>
  </si>
  <si>
    <t>RFQ2020-06-0192 (PR#8918-20-06-0284)</t>
  </si>
  <si>
    <t>RFQ2020-06-0195 (PR#1011-20-06-0288)</t>
  </si>
  <si>
    <t>mos-20-0248</t>
  </si>
  <si>
    <t>0155-20BAC</t>
  </si>
  <si>
    <t>fsrr-naf-36-20</t>
  </si>
  <si>
    <t>20AH0216</t>
  </si>
  <si>
    <t>2020-06-062</t>
  </si>
  <si>
    <t>UPLB-RQ-6-078-20-GOODS VEHICLE REPAIR &amp; MAINTENANC</t>
  </si>
  <si>
    <t>0001-0144-1034-2020</t>
  </si>
  <si>
    <t>IB No. 2020-038</t>
  </si>
  <si>
    <t>2020-0029</t>
  </si>
  <si>
    <t>2020-044</t>
  </si>
  <si>
    <t>20-017</t>
  </si>
  <si>
    <t>RFQ2020-06-0194 (PR#1011-20-06-0287)</t>
  </si>
  <si>
    <t>HTG-2020-06-0074</t>
  </si>
  <si>
    <t>2020-06-004</t>
  </si>
  <si>
    <t>RFQ-2020-068</t>
  </si>
  <si>
    <t>GOODS-2020-06-09</t>
  </si>
  <si>
    <t>20LF0143</t>
  </si>
  <si>
    <t>DEPED-DADIANGASNORTHHS 2020-001</t>
  </si>
  <si>
    <t>5</t>
  </si>
  <si>
    <t>GS-GF-2020-0270</t>
  </si>
  <si>
    <t>SVP-2020-06-24-05</t>
  </si>
  <si>
    <t>GHQPC-CEISS-RMICTE-11215-20</t>
  </si>
  <si>
    <t>00045-20-0109-0102</t>
  </si>
  <si>
    <t>2020-03-0268 RSCC</t>
  </si>
  <si>
    <t>PR062000639</t>
  </si>
  <si>
    <t>BID NO. 0620-145</t>
  </si>
  <si>
    <t>2020-870</t>
  </si>
  <si>
    <t>0005</t>
  </si>
  <si>
    <t>BAC 2020-72</t>
  </si>
  <si>
    <t>S-187-2020</t>
  </si>
  <si>
    <t>2020-06-045</t>
  </si>
  <si>
    <t>20GJI0039</t>
  </si>
  <si>
    <t>RFQ NO. EMB-AFMD-086-06-24-2020-</t>
  </si>
  <si>
    <t>102CO-2020-239</t>
  </si>
  <si>
    <t>RFQ2020-06-0185 (PR#1011-20-06-0289)</t>
  </si>
  <si>
    <t>SVP-2020-06-24-07</t>
  </si>
  <si>
    <t>20-06-076</t>
  </si>
  <si>
    <t>SF Goods 005</t>
  </si>
  <si>
    <t>0953-20</t>
  </si>
  <si>
    <t>60024012020</t>
  </si>
  <si>
    <t>S-189-2020</t>
  </si>
  <si>
    <t>PR#20-085</t>
  </si>
  <si>
    <t>20-018</t>
  </si>
  <si>
    <t>SN20-06-655</t>
  </si>
  <si>
    <t>20FN0104</t>
  </si>
  <si>
    <t>N-415-2020</t>
  </si>
  <si>
    <t>LS2-2020-23</t>
  </si>
  <si>
    <t>GOODS-2020-06-08</t>
  </si>
  <si>
    <t>GEPS-20-001</t>
  </si>
  <si>
    <t>2020-2029</t>
  </si>
  <si>
    <t>S00216-2020</t>
  </si>
  <si>
    <t>2020-06-473</t>
  </si>
  <si>
    <t>PTCZN-2020-06-0045</t>
  </si>
  <si>
    <t>BAC-PMO-ZDN-2020-007</t>
  </si>
  <si>
    <t>20-06-321</t>
  </si>
  <si>
    <t>RFQ2020-06-0197 (PR#1011-20-02-0057)</t>
  </si>
  <si>
    <t>QTN#0359, PR#0257 - 2020</t>
  </si>
  <si>
    <t>GOODS 2020-198(SVP)</t>
  </si>
  <si>
    <t>ITB (CW-06-2020-021) 20DD0359</t>
  </si>
  <si>
    <t>SVP-2020-06-100</t>
  </si>
  <si>
    <t>ASVP 2009</t>
  </si>
  <si>
    <t>S00228-2020</t>
  </si>
  <si>
    <t>BID NO. 0620-146</t>
  </si>
  <si>
    <t>2020-RBAC-06-002</t>
  </si>
  <si>
    <t>2020-</t>
  </si>
  <si>
    <t>202006K</t>
  </si>
  <si>
    <t>PR062000640</t>
  </si>
  <si>
    <t>100-20-06-78</t>
  </si>
  <si>
    <t>003-2020</t>
  </si>
  <si>
    <t>2020-2111</t>
  </si>
  <si>
    <t>ASVP 2010</t>
  </si>
  <si>
    <t>mos-20-0249</t>
  </si>
  <si>
    <t>S-205-2020</t>
  </si>
  <si>
    <t>PR#20-084</t>
  </si>
  <si>
    <t>20060259</t>
  </si>
  <si>
    <t>NAGPATAYAN-ITB-01(HEALTH CENTER)-2020</t>
  </si>
  <si>
    <t>11</t>
  </si>
  <si>
    <t>QTN#0360, PR#0321 - 2020</t>
  </si>
  <si>
    <t>RFQ2020-06-0191 (PR#9998-20-06-0281)</t>
  </si>
  <si>
    <t>20-06-002</t>
  </si>
  <si>
    <t>0015-0029-1042-2020</t>
  </si>
  <si>
    <t>06-002</t>
  </si>
  <si>
    <t>RFQ-2020-029</t>
  </si>
  <si>
    <t>PR0024-20 PGO NEGO</t>
  </si>
  <si>
    <t>ibaan-2020-096</t>
  </si>
  <si>
    <t>2020-48</t>
  </si>
  <si>
    <t>2020-05-13-0094</t>
  </si>
  <si>
    <t>20LF0144</t>
  </si>
  <si>
    <t>RFQ-2020-064</t>
  </si>
  <si>
    <t>2020-06-018-101</t>
  </si>
  <si>
    <t>2020-018</t>
  </si>
  <si>
    <t>20-06-39</t>
  </si>
  <si>
    <t>PDDRMO-NC-2020-0310 PR2020-0429</t>
  </si>
  <si>
    <t>202006001</t>
  </si>
  <si>
    <t>S00229-2020</t>
  </si>
  <si>
    <t>2020-005</t>
  </si>
  <si>
    <t>REI-001-2020</t>
  </si>
  <si>
    <t>2020-75</t>
  </si>
  <si>
    <t>RFQ-2020-065</t>
  </si>
  <si>
    <t>2020-0032</t>
  </si>
  <si>
    <t>SN20-06-650</t>
  </si>
  <si>
    <t>RFQ 2020-64</t>
  </si>
  <si>
    <t>RFQ-2020-06-0030</t>
  </si>
  <si>
    <t>20GBD0028</t>
  </si>
  <si>
    <t>BSU Project No. 2020-210</t>
  </si>
  <si>
    <t>20-019</t>
  </si>
  <si>
    <t>R1-INIMO-20-06-016</t>
  </si>
  <si>
    <t>BLGU-PBD-Binisitahan Norte-2020-25.1</t>
  </si>
  <si>
    <t>GOODS 2020-201(SVP)</t>
  </si>
  <si>
    <t>2020-062401</t>
  </si>
  <si>
    <t>GOODS 2020-199(SVP)</t>
  </si>
  <si>
    <t>DCAU-10891</t>
  </si>
  <si>
    <t>GOODS 2020-04</t>
  </si>
  <si>
    <t>ASF 2020-06-036</t>
  </si>
  <si>
    <t>N-393-2020</t>
  </si>
  <si>
    <t>60024032020</t>
  </si>
  <si>
    <t>RFQ No.039 -2020</t>
  </si>
  <si>
    <t>06-PR-2020-0032</t>
  </si>
  <si>
    <t>TIS-2020-06-17</t>
  </si>
  <si>
    <t>GOODS 2020-200(SVP)</t>
  </si>
  <si>
    <t>N-400-2020</t>
  </si>
  <si>
    <t>202006004</t>
  </si>
  <si>
    <t>SKER-2020-06-001</t>
  </si>
  <si>
    <t>doc 1</t>
  </si>
  <si>
    <t>DCAU-10890</t>
  </si>
  <si>
    <t>EMBR02-SHPNG-GOODS-MIS062020-012</t>
  </si>
  <si>
    <t>60024022020</t>
  </si>
  <si>
    <t>mos-20-0250</t>
  </si>
  <si>
    <t>202006006</t>
  </si>
  <si>
    <t>ZDS-2020-007</t>
  </si>
  <si>
    <t>rec-2020-27</t>
  </si>
  <si>
    <t>0954-20</t>
  </si>
  <si>
    <t>GO-NC-2020-0309 PR2020-0428</t>
  </si>
  <si>
    <t>2020-2057</t>
  </si>
  <si>
    <t>RFQ-2020-223</t>
  </si>
  <si>
    <t>202006005</t>
  </si>
  <si>
    <t>2020-RBAC-06-005</t>
  </si>
  <si>
    <t>S-194-2020</t>
  </si>
  <si>
    <t>2020-06-019-101</t>
  </si>
  <si>
    <t>I.T.B-2020-01</t>
  </si>
  <si>
    <t>KAPALONG2020109</t>
  </si>
  <si>
    <t>144</t>
  </si>
  <si>
    <t>ITB (CW-06-2020-021) 20DD0361</t>
  </si>
  <si>
    <t>TAG-SDS-058-2020</t>
  </si>
  <si>
    <t>PR#20-087</t>
  </si>
  <si>
    <t>DCAU-10892</t>
  </si>
  <si>
    <t>S00230-2020</t>
  </si>
  <si>
    <t>2020-RBAC-06-004</t>
  </si>
  <si>
    <t>027-2020</t>
  </si>
  <si>
    <t>202006002</t>
  </si>
  <si>
    <t>N-392-2020</t>
  </si>
  <si>
    <t>19-2020</t>
  </si>
  <si>
    <t>2020-06-264</t>
  </si>
  <si>
    <t>DA3-179-6-11-2020</t>
  </si>
  <si>
    <t>PR# 20-06-135</t>
  </si>
  <si>
    <t>ITB (CW-06-2020-021) 20DD0360</t>
  </si>
  <si>
    <t>IL-2020-U-27</t>
  </si>
  <si>
    <t>050-RFQ-CSCRO6 VPN Subscription</t>
  </si>
  <si>
    <t>06-04 (06-040-20)</t>
  </si>
  <si>
    <t>20063670</t>
  </si>
  <si>
    <t>GWD-TWDPA-2020-06-01</t>
  </si>
  <si>
    <t>600240042020</t>
  </si>
  <si>
    <t>DCAU-10893</t>
  </si>
  <si>
    <t>N-406-2020</t>
  </si>
  <si>
    <t>RFQ-17</t>
  </si>
  <si>
    <t>2020-062402</t>
  </si>
  <si>
    <t>SB-2020-013</t>
  </si>
  <si>
    <t>20-06-201</t>
  </si>
  <si>
    <t>RFQ # 20-096</t>
  </si>
  <si>
    <t>2020-ANT-GOODS-0117</t>
  </si>
  <si>
    <t>BFAR IV-A.PR20-0249</t>
  </si>
  <si>
    <t>TAG-SDS-059-2020</t>
  </si>
  <si>
    <t>ITB (CW-06-2020-021) 20DD0364</t>
  </si>
  <si>
    <t>2020-76</t>
  </si>
  <si>
    <t>GOODS 2020-202(SVP)</t>
  </si>
  <si>
    <t>ITB (CW-06-2020-021) 20DD0362</t>
  </si>
  <si>
    <t>PR#20-088</t>
  </si>
  <si>
    <t>PDRRMO-NC-2020-0307 PR2020-0426</t>
  </si>
  <si>
    <t>20-06-013</t>
  </si>
  <si>
    <t>19CSC008</t>
  </si>
  <si>
    <t>ITB (CW-06-2020-021) 20DD0363</t>
  </si>
  <si>
    <t>N-405-52020</t>
  </si>
  <si>
    <t>2020-06-020-101</t>
  </si>
  <si>
    <t>20-06-011</t>
  </si>
  <si>
    <t>QN2020-006-007</t>
  </si>
  <si>
    <t>TAG-SDS-061-2020</t>
  </si>
  <si>
    <t>DTI XIII 20-06-19-003</t>
  </si>
  <si>
    <t>RFQ-2020-06-02-443</t>
  </si>
  <si>
    <t>RFQ-2020-030</t>
  </si>
  <si>
    <t>DCAU-10894</t>
  </si>
  <si>
    <t>2020-0031</t>
  </si>
  <si>
    <t>PB-2020- 003</t>
  </si>
  <si>
    <t>RFQ2020-06-0196 (PR#3323-20-01-0052)</t>
  </si>
  <si>
    <t>337</t>
  </si>
  <si>
    <t>2020-066</t>
  </si>
  <si>
    <t>RFQ2020-06-01</t>
  </si>
  <si>
    <t>ITB (CW-06-2020-021) 20DD0366</t>
  </si>
  <si>
    <t>2020-06-0123</t>
  </si>
  <si>
    <t>20FO0103</t>
  </si>
  <si>
    <t>20-06-012</t>
  </si>
  <si>
    <t>AMP SVP-D NO: 20-06-0365</t>
  </si>
  <si>
    <t>60024052020</t>
  </si>
  <si>
    <t>RFQ # 20-097</t>
  </si>
  <si>
    <t>N-401-2020</t>
  </si>
  <si>
    <t>AVRC-2020-04-0149</t>
  </si>
  <si>
    <t>20-06-SO107</t>
  </si>
  <si>
    <t>ITB (CW-06-2020-021) 20DD0365</t>
  </si>
  <si>
    <t>RFQ No.040 -2020</t>
  </si>
  <si>
    <t>RFQ No. 2020-025</t>
  </si>
  <si>
    <t>2020-06-257</t>
  </si>
  <si>
    <t>2020-RBAC-06-003</t>
  </si>
  <si>
    <t>QTN#0358, PR#0222 - 2020</t>
  </si>
  <si>
    <t>435</t>
  </si>
  <si>
    <t>DCAU-10895</t>
  </si>
  <si>
    <t>BAC A1-2020-06-3843</t>
  </si>
  <si>
    <t>0023-0075-1049-2020</t>
  </si>
  <si>
    <t>062420201</t>
  </si>
  <si>
    <t>LGU-BLU-20-06-048</t>
  </si>
  <si>
    <t>mos-20-0251</t>
  </si>
  <si>
    <t>20KD0065</t>
  </si>
  <si>
    <t>20063773</t>
  </si>
  <si>
    <t>RFQ-2020-067</t>
  </si>
  <si>
    <t>Haven-2020-07</t>
  </si>
  <si>
    <t>PR/RFQ NO.: 2020-06-0043-02</t>
  </si>
  <si>
    <t>RFQ2020-06-0188 (PR#1011-20-06-0275)</t>
  </si>
  <si>
    <t>ITB-2020-03</t>
  </si>
  <si>
    <t>2020-06-115</t>
  </si>
  <si>
    <t>PR NO:2020-06-001</t>
  </si>
  <si>
    <t>S-191-2020</t>
  </si>
  <si>
    <t>MIL-GOODS-2020-06-07</t>
  </si>
  <si>
    <t>Goods-20-015</t>
  </si>
  <si>
    <t>20AH0217</t>
  </si>
  <si>
    <t>2020_06_295</t>
  </si>
  <si>
    <t>PR#20-086</t>
  </si>
  <si>
    <t>PR. 20-03-153 (2020-04-160 3RD QUOTE)</t>
  </si>
  <si>
    <t>2020-06-047</t>
  </si>
  <si>
    <t>2020-06-243</t>
  </si>
  <si>
    <t>ITB (CW-06-2020-021) 20DD0367</t>
  </si>
  <si>
    <t>BLGU-BALOCAWEHAY-AL-G-01-2020</t>
  </si>
  <si>
    <t>OGDS 06-24-20</t>
  </si>
  <si>
    <t>422</t>
  </si>
  <si>
    <t>SV-2020-039</t>
  </si>
  <si>
    <t>FS 2020-06-088</t>
  </si>
  <si>
    <t>320200602624</t>
  </si>
  <si>
    <t>SDO GOODS 2020-027</t>
  </si>
  <si>
    <t>2020-06-RFQ04</t>
  </si>
  <si>
    <t>S-197-2020</t>
  </si>
  <si>
    <t>RFQ No. 2020-06-027</t>
  </si>
  <si>
    <t>GO-NC-2020-0306 PR2020-0425</t>
  </si>
  <si>
    <t>GEN-8918-11-2020</t>
  </si>
  <si>
    <t>2020-06-021-101</t>
  </si>
  <si>
    <t>20060080</t>
  </si>
  <si>
    <t>0007</t>
  </si>
  <si>
    <t>20-06-007</t>
  </si>
  <si>
    <t>20GCH0009</t>
  </si>
  <si>
    <t>20-06-006</t>
  </si>
  <si>
    <t>BSU Project No. 2020-211</t>
  </si>
  <si>
    <t>20gso_424</t>
  </si>
  <si>
    <t>ITB (CW-06-2020-021) 20DD0368</t>
  </si>
  <si>
    <t>VLD-LSD 2020-06-084</t>
  </si>
  <si>
    <t>60024062020</t>
  </si>
  <si>
    <t>GHQPC-PKOC-ICT-1223-20</t>
  </si>
  <si>
    <t>CSFWD-005.20</t>
  </si>
  <si>
    <t>PR0025-20 PGO NEGO</t>
  </si>
  <si>
    <t>2020-77</t>
  </si>
  <si>
    <t>GOODS 2020-203(SVP)</t>
  </si>
  <si>
    <t>OMSC RFQ 20-014</t>
  </si>
  <si>
    <t>RFQ-2030-2031</t>
  </si>
  <si>
    <t>24-06-036</t>
  </si>
  <si>
    <t>KAPALONG2020110</t>
  </si>
  <si>
    <t>NO 2020-011</t>
  </si>
  <si>
    <t>AVRC-2020-06-0220</t>
  </si>
  <si>
    <t>NS-2020-06-0230</t>
  </si>
  <si>
    <t>GDS-299-2020</t>
  </si>
  <si>
    <t>PGL-20 NEGO 30-06</t>
  </si>
  <si>
    <t>60024072020</t>
  </si>
  <si>
    <t>20-06-202</t>
  </si>
  <si>
    <t>mos-20-0252</t>
  </si>
  <si>
    <t>20063683</t>
  </si>
  <si>
    <t>2003-55</t>
  </si>
  <si>
    <t>2020-RBAC-06-006</t>
  </si>
  <si>
    <t>2020-06-023-101</t>
  </si>
  <si>
    <t>DA3-267-06-22-2020</t>
  </si>
  <si>
    <t>60024082020</t>
  </si>
  <si>
    <t>GOODS 2020-204(SVP)</t>
  </si>
  <si>
    <t>2020-78</t>
  </si>
  <si>
    <t>SB-2020-022</t>
  </si>
  <si>
    <t>RFQ No. 2020-043</t>
  </si>
  <si>
    <t>062420-TFB1</t>
  </si>
  <si>
    <t>2020-062403</t>
  </si>
  <si>
    <t>PHO-NC-2020-121</t>
  </si>
  <si>
    <t>1481</t>
  </si>
  <si>
    <t>GO-NC-2020-0328</t>
  </si>
  <si>
    <t>2020-05-0028-JHS</t>
  </si>
  <si>
    <t>2020-4</t>
  </si>
  <si>
    <t>55</t>
  </si>
  <si>
    <t>2006167</t>
  </si>
  <si>
    <t>20-06-008</t>
  </si>
  <si>
    <t>20-030</t>
  </si>
  <si>
    <t>tgs 12-20</t>
  </si>
  <si>
    <t>PEO-NC-2020-0329</t>
  </si>
  <si>
    <t>SV-2020-041</t>
  </si>
  <si>
    <t>2020-328</t>
  </si>
  <si>
    <t>20063653</t>
  </si>
  <si>
    <t>Lgn1-SVP2020-07-0012</t>
  </si>
  <si>
    <t>2020-06-006</t>
  </si>
  <si>
    <t>SV-2020-042</t>
  </si>
  <si>
    <t>20HJ0119</t>
  </si>
  <si>
    <t>20-029</t>
  </si>
  <si>
    <t>GOODS 2020-206(SVP)</t>
  </si>
  <si>
    <t>N-19-2020</t>
  </si>
  <si>
    <t>2020-068</t>
  </si>
  <si>
    <t>BSU Project No. 2020-212</t>
  </si>
  <si>
    <t>INFRA2020-AG6-008 A6 Construction of Concrete Barr</t>
  </si>
  <si>
    <t>2020-062404</t>
  </si>
  <si>
    <t>ITB (CW-06-2020-021) 20DD0370</t>
  </si>
  <si>
    <t>GOODS 2020-205(SVP)</t>
  </si>
  <si>
    <t>20-06-010</t>
  </si>
  <si>
    <t>2020-G-BRGY SAMBUNGAN</t>
  </si>
  <si>
    <t>20CG0158</t>
  </si>
  <si>
    <t>TESDA PR-0195</t>
  </si>
  <si>
    <t>2020-02-0281</t>
  </si>
  <si>
    <t>ITB 2020-06-035(GOODS)</t>
  </si>
  <si>
    <t>ITB (CW-06-2020-021) 20DD0373</t>
  </si>
  <si>
    <t>2020-79</t>
  </si>
  <si>
    <t>GOODS 2020-207(SVP)</t>
  </si>
  <si>
    <t>RFQ-2020-06-0028</t>
  </si>
  <si>
    <t>20-031</t>
  </si>
  <si>
    <t>PR 74755</t>
  </si>
  <si>
    <t>sfbac2020</t>
  </si>
  <si>
    <t>2020-062405</t>
  </si>
  <si>
    <t>2020-06-06</t>
  </si>
  <si>
    <t>ITB No. 042-2020 GQ</t>
  </si>
  <si>
    <t>2021-01M03</t>
  </si>
  <si>
    <t>044-RFQ-CSCRO6 Office Furnitures</t>
  </si>
  <si>
    <t>20-032</t>
  </si>
  <si>
    <t>2020-5</t>
  </si>
  <si>
    <t>20NI0077</t>
  </si>
  <si>
    <t>ITB (CW-06-2020-021) 20DD0374</t>
  </si>
  <si>
    <t>20-06-0314</t>
  </si>
  <si>
    <t>20-05-56-B</t>
  </si>
  <si>
    <t>ITB (CW-06-2020-021) 20DD0371</t>
  </si>
  <si>
    <t>G-(NP)-2020-003</t>
  </si>
  <si>
    <t>ITB (CW-06-2020-021) 20DD0376</t>
  </si>
  <si>
    <t>2020-062406</t>
  </si>
  <si>
    <t>20CG0160</t>
  </si>
  <si>
    <t>Lgn1-20-DH-0086</t>
  </si>
  <si>
    <t>GDS 20-053</t>
  </si>
  <si>
    <t>60024092020</t>
  </si>
  <si>
    <t>100-20-06-1376</t>
  </si>
  <si>
    <t>PR 2020-05-348</t>
  </si>
  <si>
    <t>ITB (CW-06-2020-021) 20DD0372</t>
  </si>
  <si>
    <t>DOH4A-2020-SVP-010</t>
  </si>
  <si>
    <t>0524</t>
  </si>
  <si>
    <t>2020-05-292</t>
  </si>
  <si>
    <t>600240122020</t>
  </si>
  <si>
    <t>600240112020</t>
  </si>
  <si>
    <t>RFQ-2020-222</t>
  </si>
  <si>
    <t>OPA-NC-2020-0340</t>
  </si>
  <si>
    <t>N096-2020</t>
  </si>
  <si>
    <t>PR_2529JUN20_001</t>
  </si>
  <si>
    <t>2020-6</t>
  </si>
  <si>
    <t>20CG0161</t>
  </si>
  <si>
    <t>OPA-RASS-NC-2020-0339</t>
  </si>
  <si>
    <t>20-CRG-20-06-1050</t>
  </si>
  <si>
    <t>TESDA PR-0203</t>
  </si>
  <si>
    <t>DA3-2020-160-6-11-2020</t>
  </si>
  <si>
    <t>2020-07-001</t>
  </si>
  <si>
    <t>2006168</t>
  </si>
  <si>
    <t>600240132020</t>
  </si>
  <si>
    <t>202006118</t>
  </si>
  <si>
    <t>2020-GGSS-BRGY-TALIBAYOG</t>
  </si>
  <si>
    <t>2020-062407</t>
  </si>
  <si>
    <t>20-06-021-EM</t>
  </si>
  <si>
    <t>2020-JUNE-014</t>
  </si>
  <si>
    <t>20-06-0683 CENRO</t>
  </si>
  <si>
    <t>SB-2020-024</t>
  </si>
  <si>
    <t>20NI0079</t>
  </si>
  <si>
    <t>SV-48-2020</t>
  </si>
  <si>
    <t>BCS-2020-0138</t>
  </si>
  <si>
    <t>nego-1A</t>
  </si>
  <si>
    <t>20CG0162</t>
  </si>
  <si>
    <t>20BH0145</t>
  </si>
  <si>
    <t>SVP-2020-06-101</t>
  </si>
  <si>
    <t>PR-2006-674</t>
  </si>
  <si>
    <t>20-06-097</t>
  </si>
  <si>
    <t>20-03-010-EM</t>
  </si>
  <si>
    <t>20-06-86</t>
  </si>
  <si>
    <t>600240142020</t>
  </si>
  <si>
    <t>ABS-01-06-20-GOODS</t>
  </si>
  <si>
    <t>027-06-2020</t>
  </si>
  <si>
    <t>20NI0080</t>
  </si>
  <si>
    <t>Quotation No.20-06-357</t>
  </si>
  <si>
    <t>20-06-0425</t>
  </si>
  <si>
    <t>20-06-0684 AGRI</t>
  </si>
  <si>
    <t>0523</t>
  </si>
  <si>
    <t>20LF0145</t>
  </si>
  <si>
    <t>RPC-2020-E-03</t>
  </si>
  <si>
    <t>GOODS-04-2020</t>
  </si>
  <si>
    <t>2020-06-0130</t>
  </si>
  <si>
    <t>ITB 2020-20</t>
  </si>
  <si>
    <t>24-2019 (REBID)</t>
  </si>
  <si>
    <t>2020-06-1958</t>
  </si>
  <si>
    <t>6</t>
  </si>
  <si>
    <t>PG-RFQ-2020-03 Malangabang</t>
  </si>
  <si>
    <t>Quotation No.20-06-356</t>
  </si>
  <si>
    <t>PR-2006-673</t>
  </si>
  <si>
    <t>20-06-58</t>
  </si>
  <si>
    <t>SCM 0624-01-2020</t>
  </si>
  <si>
    <t>PHO-NC-2020-111 PR2020-158</t>
  </si>
  <si>
    <t>Goods2020-025</t>
  </si>
  <si>
    <t>20-033</t>
  </si>
  <si>
    <t>RFQ-20-06101</t>
  </si>
  <si>
    <t>20-06-203</t>
  </si>
  <si>
    <t>PR 2020-06-1897</t>
  </si>
  <si>
    <t>1236-20BAC</t>
  </si>
  <si>
    <t>ITB (CW-06-2020-021) 20DD0375</t>
  </si>
  <si>
    <t>20NI0078</t>
  </si>
  <si>
    <t>2020-05-03-BA</t>
  </si>
  <si>
    <t>600240102020</t>
  </si>
  <si>
    <t>SB-2020-023</t>
  </si>
  <si>
    <t>OPV-NC-2020-0327</t>
  </si>
  <si>
    <t>20032279</t>
  </si>
  <si>
    <t>NO 2020-012</t>
  </si>
  <si>
    <t>PGL-20 S-31-06</t>
  </si>
  <si>
    <t>REI-06-24-2020</t>
  </si>
  <si>
    <t>20BH0144</t>
  </si>
  <si>
    <t>GOODS 2020-208(SVP)</t>
  </si>
  <si>
    <t>56</t>
  </si>
  <si>
    <t>REF #043-06-2020</t>
  </si>
  <si>
    <t>ITB (CW-06-2020-021) 20DD0369</t>
  </si>
  <si>
    <t>SV-2020-040</t>
  </si>
  <si>
    <t>20BH0143</t>
  </si>
  <si>
    <t>57</t>
  </si>
  <si>
    <t>2020-044J</t>
  </si>
  <si>
    <t>BPB 2020-017</t>
  </si>
  <si>
    <t>2020-06-022-101</t>
  </si>
  <si>
    <t>17202006056</t>
  </si>
  <si>
    <t>2020-04-0301 PPD-NHTU</t>
  </si>
  <si>
    <t>PR 74684</t>
  </si>
  <si>
    <t>GOODS 2020-209(SVP)</t>
  </si>
  <si>
    <t>2020-06-26</t>
  </si>
  <si>
    <t>100-2006-432-GF</t>
  </si>
  <si>
    <t>RFQ-2020-06-0027</t>
  </si>
  <si>
    <t>20CG0159</t>
  </si>
  <si>
    <t>KAPALONG2020111</t>
  </si>
  <si>
    <t>PR#20-06-0345</t>
  </si>
  <si>
    <t>Lgn1-20-DH-0087</t>
  </si>
  <si>
    <t>20-05-95</t>
  </si>
  <si>
    <t>0522</t>
  </si>
  <si>
    <t>20-06-04</t>
  </si>
  <si>
    <t>2020-329</t>
  </si>
  <si>
    <t>600240152020</t>
  </si>
  <si>
    <t>SN20-06-653</t>
  </si>
  <si>
    <t>NP 094-20</t>
  </si>
  <si>
    <t>Bid No. 20-0281</t>
  </si>
  <si>
    <t>2020-06-24-179</t>
  </si>
  <si>
    <t>20-05-059-A</t>
  </si>
  <si>
    <t>2020-330</t>
  </si>
  <si>
    <t>Lgn1-20-DH-0088</t>
  </si>
  <si>
    <t>PROCOR GOODS 07-01-2020</t>
  </si>
  <si>
    <t>ITB 07-01-2020</t>
  </si>
  <si>
    <t>20-06-023</t>
  </si>
  <si>
    <t>RFQ No.041 -2020</t>
  </si>
  <si>
    <t>2020-138</t>
  </si>
  <si>
    <t>20-020</t>
  </si>
  <si>
    <t>SHOPPING-2020-015</t>
  </si>
  <si>
    <t>GOODS-NP-2020-096</t>
  </si>
  <si>
    <t>RFQ-2020-06-047</t>
  </si>
  <si>
    <t>S3-B1920-017</t>
  </si>
  <si>
    <t>RFQ-NP-SVP-1re090-2020</t>
  </si>
  <si>
    <t>600240172020</t>
  </si>
  <si>
    <t>2020-0081</t>
  </si>
  <si>
    <t>OC-67(DEPED-02) 20 GD</t>
  </si>
  <si>
    <t>ABC20-06-002</t>
  </si>
  <si>
    <t>GOODS-NP-2020-095</t>
  </si>
  <si>
    <t>Goods-2020-PB-O2</t>
  </si>
  <si>
    <t>OTORHI 1243-20</t>
  </si>
  <si>
    <t>Lgn1-20-DH-0089</t>
  </si>
  <si>
    <t>20GFC0022</t>
  </si>
  <si>
    <t>PROCOR GOODS 07-02-2020</t>
  </si>
  <si>
    <t>NIA-NOIMO-2020-06-0186</t>
  </si>
  <si>
    <t>DOH4A-2020-SVP-011</t>
  </si>
  <si>
    <t>2020-137</t>
  </si>
  <si>
    <t>100-2004-327-GF</t>
  </si>
  <si>
    <t>RFQ-2020-06-050</t>
  </si>
  <si>
    <t>SVP-2020-06-102</t>
  </si>
  <si>
    <t>20GFC0021</t>
  </si>
  <si>
    <t>20GFC0023</t>
  </si>
  <si>
    <t>2020-06-005</t>
  </si>
  <si>
    <t>barangay carigangan-2020-01</t>
  </si>
  <si>
    <t>RFQ2020-06-027</t>
  </si>
  <si>
    <t>RFQ-2020-06-051</t>
  </si>
  <si>
    <t>PROCOR GOODS 07-04-2020</t>
  </si>
  <si>
    <t>2020-06-035</t>
  </si>
  <si>
    <t>20-06-0131</t>
  </si>
  <si>
    <t>20-06-0687 CMO-BDP</t>
  </si>
  <si>
    <t>2020-33</t>
  </si>
  <si>
    <t>ITB 07-03-2020</t>
  </si>
  <si>
    <t>SHOPPING-2020-016</t>
  </si>
  <si>
    <t>059-20</t>
  </si>
  <si>
    <t>RFQ-2020-063A-GOODS</t>
  </si>
  <si>
    <t>20-06-0686 CTMO</t>
  </si>
  <si>
    <t>2020-020</t>
  </si>
  <si>
    <t>BINALONAN-2020-060</t>
  </si>
  <si>
    <t>PR#20-013</t>
  </si>
  <si>
    <t>NVQSD 2020-06-095</t>
  </si>
  <si>
    <t>N-149-2020</t>
  </si>
  <si>
    <t>1002006321</t>
  </si>
  <si>
    <t>MLQES 2020-006-011</t>
  </si>
  <si>
    <t>NS 1238-20</t>
  </si>
  <si>
    <t>PROCOR GOODS 07-05-2020</t>
  </si>
  <si>
    <t>600240182020</t>
  </si>
  <si>
    <t>05-011-20</t>
  </si>
  <si>
    <t>P-CFMD-20-00205</t>
  </si>
  <si>
    <t>RFQ-NP-SVP-re222b-2020</t>
  </si>
  <si>
    <t>RFQ-2020-059A-GOODS</t>
  </si>
  <si>
    <t>CHD4-2020-SH-050</t>
  </si>
  <si>
    <t>RFQ 2020-06-0124</t>
  </si>
  <si>
    <t>MLQES 2020-006-012</t>
  </si>
  <si>
    <t>F-2020-06-0118</t>
  </si>
  <si>
    <t>PROCOR GOODS 07-08-2020</t>
  </si>
  <si>
    <t>1011-05-08</t>
  </si>
  <si>
    <t>ITB 07-04-2020</t>
  </si>
  <si>
    <t>PS-2020-01</t>
  </si>
  <si>
    <t>S3-BAI20-018</t>
  </si>
  <si>
    <t>06-65-2020</t>
  </si>
  <si>
    <t>RFQ-2020-045A-GOODS</t>
  </si>
  <si>
    <t>RFQ-2020-067A-GOODS</t>
  </si>
  <si>
    <t>20-06-692</t>
  </si>
  <si>
    <t>2020-GGSS-BRGY BAGONG SILANG</t>
  </si>
  <si>
    <t>N-151-2020</t>
  </si>
  <si>
    <t>PR-ITDS02-20-06-00008</t>
  </si>
  <si>
    <t>ITB NO. OCD 2020-07 (REPOSTING)</t>
  </si>
  <si>
    <t>2020-07-002</t>
  </si>
  <si>
    <t>RFQ No.042 -2020</t>
  </si>
  <si>
    <t>20-413</t>
  </si>
  <si>
    <t>948950</t>
  </si>
  <si>
    <t>DENR-PENRO SDN 06-24-2020</t>
  </si>
  <si>
    <t>BINALONAN-2020-061</t>
  </si>
  <si>
    <t>06242001</t>
  </si>
  <si>
    <t>RFQ-2020-06-0026</t>
  </si>
  <si>
    <t>Quotation No.20-06-359</t>
  </si>
  <si>
    <t>Bid No. 20-0319</t>
  </si>
  <si>
    <t>N-154-2020</t>
  </si>
  <si>
    <t>ITB-2020-16</t>
  </si>
  <si>
    <t>RFQ-NP-SVP-re222c-2020</t>
  </si>
  <si>
    <t>2020-07-003</t>
  </si>
  <si>
    <t>RFQ-2020-040A-GOODS</t>
  </si>
  <si>
    <t>PB-07162020-A</t>
  </si>
  <si>
    <t>948945</t>
  </si>
  <si>
    <t>PR 2020-06-401</t>
  </si>
  <si>
    <t>BLGU Kaligutan 2020-006-001</t>
  </si>
  <si>
    <t>P-PIMD-20-00295</t>
  </si>
  <si>
    <t>PROCOR GOODS 07-07-2020</t>
  </si>
  <si>
    <t>20-06-141 to 144</t>
  </si>
  <si>
    <t>20-06-214</t>
  </si>
  <si>
    <t>ITB 07-06-2020</t>
  </si>
  <si>
    <t>20-05-94</t>
  </si>
  <si>
    <t>012-SHS-2020</t>
  </si>
  <si>
    <t>2020-GOODS-077</t>
  </si>
  <si>
    <t>05-020-20</t>
  </si>
  <si>
    <t>ITB 07-05-2020</t>
  </si>
  <si>
    <t>20GFC0024</t>
  </si>
  <si>
    <t>gsis/npsvp-226-20</t>
  </si>
  <si>
    <t>RFQ-2020-011B-GOODS</t>
  </si>
  <si>
    <t>N-150-2020</t>
  </si>
  <si>
    <t>013-SHS-2020</t>
  </si>
  <si>
    <t>06-023-20</t>
  </si>
  <si>
    <t>100-06-20-450</t>
  </si>
  <si>
    <t>ABC20-06-003</t>
  </si>
  <si>
    <t>HNSLG-0320-0013</t>
  </si>
  <si>
    <t>2020-07-004</t>
  </si>
  <si>
    <t>RFQ No.043 -2020</t>
  </si>
  <si>
    <t>RFQ-2020-037A-GOODS</t>
  </si>
  <si>
    <t>gsis/npsvp-227-20</t>
  </si>
  <si>
    <t>013-GSB50-CY2020</t>
  </si>
  <si>
    <t xml:space="preserve">2020-06-24-022                                    </t>
  </si>
  <si>
    <t>N-167-2020</t>
  </si>
  <si>
    <t>CYN-BAC-SVP-2020-120</t>
  </si>
  <si>
    <t>948942</t>
  </si>
  <si>
    <t>N-168-2020</t>
  </si>
  <si>
    <t>014-SHS-2020</t>
  </si>
  <si>
    <t>2020-165</t>
  </si>
  <si>
    <t>ITB 07-08-2020</t>
  </si>
  <si>
    <t>20-06-013-X</t>
  </si>
  <si>
    <t>20-06-077</t>
  </si>
  <si>
    <t>2020-06-07</t>
  </si>
  <si>
    <t>PR No. 2020-06-124</t>
  </si>
  <si>
    <t>N20-LDF-098</t>
  </si>
  <si>
    <t>2020-06-050JHS</t>
  </si>
  <si>
    <t>948943</t>
  </si>
  <si>
    <t>HNSLG-0620-00022</t>
  </si>
  <si>
    <t>ITB 07-07-2020</t>
  </si>
  <si>
    <t>S3-B1920-012</t>
  </si>
  <si>
    <t>107889-06-016</t>
  </si>
  <si>
    <t>ITB NO. OCD 2020-11</t>
  </si>
  <si>
    <t>BFPRHQSR4A-080</t>
  </si>
  <si>
    <t>388-2020-001</t>
  </si>
  <si>
    <t>OMSC RFQ 20-025</t>
  </si>
  <si>
    <t>SAES 2020-006-004</t>
  </si>
  <si>
    <t>20PF0067</t>
  </si>
  <si>
    <t>20-05-99</t>
  </si>
  <si>
    <t>N-136-2020</t>
  </si>
  <si>
    <t>S3-B1920-009 (Re-bid)</t>
  </si>
  <si>
    <t>20GFC0025</t>
  </si>
  <si>
    <t>IV NP 04-2020-29</t>
  </si>
  <si>
    <t>03-034-20</t>
  </si>
  <si>
    <t>0-06-57-A</t>
  </si>
  <si>
    <t>2020-07-005</t>
  </si>
  <si>
    <t>2020-06-046JHS</t>
  </si>
  <si>
    <t>BINALONAN-2020-062</t>
  </si>
  <si>
    <t>BFPRHQSR4A-081</t>
  </si>
  <si>
    <t>GHQPC-OESPA-RMB-1224-20</t>
  </si>
  <si>
    <t>RFQ-2020-06-0031</t>
  </si>
  <si>
    <t>06212020</t>
  </si>
  <si>
    <t>235-2020-001</t>
  </si>
  <si>
    <t>IV NP 04-2020-30</t>
  </si>
  <si>
    <t>0232-20BAC</t>
  </si>
  <si>
    <t>RFQ No.045 -2020</t>
  </si>
  <si>
    <t>06-021-20</t>
  </si>
  <si>
    <t>20-06-064</t>
  </si>
  <si>
    <t>SVP-2020-06-103</t>
  </si>
  <si>
    <t>2020-07-01</t>
  </si>
  <si>
    <t>OMSC RFQ 20-026</t>
  </si>
  <si>
    <t>PB-07162020-C</t>
  </si>
  <si>
    <t>06-022-20</t>
  </si>
  <si>
    <t>PR20-06-47</t>
  </si>
  <si>
    <t>123</t>
  </si>
  <si>
    <t>RFQ No.044 -2020</t>
  </si>
  <si>
    <t>PR 2020-06-399</t>
  </si>
  <si>
    <t>PB-07162020-B</t>
  </si>
  <si>
    <t>015-SHS-2020</t>
  </si>
  <si>
    <t>N-161-2020</t>
  </si>
  <si>
    <t>gsis/npsvp-225-20</t>
  </si>
  <si>
    <t>MC-06-02</t>
  </si>
  <si>
    <t>NS 1235-20</t>
  </si>
  <si>
    <t>202006119</t>
  </si>
  <si>
    <t>186-2020-001</t>
  </si>
  <si>
    <t>MUNPINCE-2006-112</t>
  </si>
  <si>
    <t>2020-PR20-734-192</t>
  </si>
  <si>
    <t>PB-07162020-D</t>
  </si>
  <si>
    <t>LPENHS_TVA_202002</t>
  </si>
  <si>
    <t>0489</t>
  </si>
  <si>
    <t>SVP-TABANG-062020-127</t>
  </si>
  <si>
    <t>2020-PR20-736-191</t>
  </si>
  <si>
    <t>RFQ20-MBL05-0011</t>
  </si>
  <si>
    <t>03-015-20</t>
  </si>
  <si>
    <t>2020-06-377</t>
  </si>
  <si>
    <t>BFPRHQSR4A-082</t>
  </si>
  <si>
    <t>2020-07-02</t>
  </si>
  <si>
    <t>RFQ No.046 -2020</t>
  </si>
  <si>
    <t>02-128-20</t>
  </si>
  <si>
    <t>2020-06-0105</t>
  </si>
  <si>
    <t>20-06-69-E</t>
  </si>
  <si>
    <t>02-129-20</t>
  </si>
  <si>
    <t>PR-SP-2020-06-19</t>
  </si>
  <si>
    <t>RFQ20-0012</t>
  </si>
  <si>
    <t>20-06-69-D</t>
  </si>
  <si>
    <t>PG-20-56</t>
  </si>
  <si>
    <t>N20-LDF-100</t>
  </si>
  <si>
    <t>20-06-69-C</t>
  </si>
  <si>
    <t>S3-SIA20-019</t>
  </si>
  <si>
    <t>0294-20BAC</t>
  </si>
  <si>
    <t>20GFB04</t>
  </si>
  <si>
    <t>RBG20-12-01</t>
  </si>
  <si>
    <t>ITB 01-2020</t>
  </si>
  <si>
    <t>0561</t>
  </si>
  <si>
    <t>948944</t>
  </si>
  <si>
    <t>0198-20BAC</t>
  </si>
  <si>
    <t>GHQPC-PDO-OTSM-1232-20</t>
  </si>
  <si>
    <t>2020-SL06-005</t>
  </si>
  <si>
    <t>06-017-20</t>
  </si>
  <si>
    <t>GHQPC-OTAG-TRNG-1231-20</t>
  </si>
  <si>
    <t>PDO-OFE-1231-20</t>
  </si>
  <si>
    <t>CID No. 20IO0091</t>
  </si>
  <si>
    <t>FER2020-017</t>
  </si>
  <si>
    <t>bcnhs00154</t>
  </si>
  <si>
    <t>2020-06-045JHS</t>
  </si>
  <si>
    <t>PG-20-57</t>
  </si>
  <si>
    <t>20-06-063</t>
  </si>
  <si>
    <t>SVP-2020-058</t>
  </si>
  <si>
    <t>05-025-20</t>
  </si>
  <si>
    <t>01-060-20</t>
  </si>
  <si>
    <t>20CG0165</t>
  </si>
  <si>
    <t>Barangay Concepcion 2020-06-003</t>
  </si>
  <si>
    <t>20CG0164</t>
  </si>
  <si>
    <t>N20-MAO-101</t>
  </si>
  <si>
    <t>2020-SL06-006</t>
  </si>
  <si>
    <t>20CG0163</t>
  </si>
  <si>
    <t>20CG0166</t>
  </si>
  <si>
    <t>PW-20-17</t>
  </si>
  <si>
    <t>2020-028</t>
  </si>
  <si>
    <t>20CG0175</t>
  </si>
  <si>
    <t>RFQ-INFRA-4AL-SVP-20-002</t>
  </si>
  <si>
    <t>P.R. No. 20-06-005P</t>
  </si>
  <si>
    <t>2020-057</t>
  </si>
  <si>
    <t>20GCL0001</t>
  </si>
  <si>
    <t>SVP-2020-060</t>
  </si>
  <si>
    <t>20CG0171</t>
  </si>
  <si>
    <t>20CG0172</t>
  </si>
  <si>
    <t>BRGY 006-2020</t>
  </si>
  <si>
    <t>20CG0170</t>
  </si>
  <si>
    <t>2020-SL06-007</t>
  </si>
  <si>
    <t>06-001</t>
  </si>
  <si>
    <t>20CG0173</t>
  </si>
  <si>
    <t>ITB-001-06-2020</t>
  </si>
  <si>
    <t>CYN-BAC-SVP-2020-119</t>
  </si>
  <si>
    <t>MN  310</t>
  </si>
  <si>
    <t>RFQ 085-2020</t>
  </si>
  <si>
    <t>20CG0169</t>
  </si>
  <si>
    <t>2020091</t>
  </si>
  <si>
    <t>10CMOBn-2020-003 Vehicle Parts &amp; Accessories</t>
  </si>
  <si>
    <t>RFQ-2020-06-03</t>
  </si>
  <si>
    <t>2020-053</t>
  </si>
  <si>
    <t>20GRFQCL0002</t>
  </si>
  <si>
    <t>2020090</t>
  </si>
  <si>
    <t>GENSERV-2020-06-0192</t>
  </si>
  <si>
    <t>004</t>
  </si>
  <si>
    <t>RFQ 2020-06-60</t>
  </si>
  <si>
    <t>117074DGRMS</t>
  </si>
  <si>
    <t>2020089</t>
  </si>
  <si>
    <t>2020-11</t>
  </si>
  <si>
    <t>2020-06-0009</t>
  </si>
  <si>
    <t>2020-51</t>
  </si>
  <si>
    <t>20GRFQCL0006</t>
  </si>
  <si>
    <t>20CG0168</t>
  </si>
  <si>
    <t>20GRFQCL0001</t>
  </si>
  <si>
    <t>2020094</t>
  </si>
  <si>
    <t>0016</t>
  </si>
  <si>
    <t>PR-2020-06-007</t>
  </si>
  <si>
    <t>G-2020-17</t>
  </si>
  <si>
    <t>20GRFQCL0005</t>
  </si>
  <si>
    <t>2020093</t>
  </si>
  <si>
    <t>2020092</t>
  </si>
  <si>
    <t>20LF0146</t>
  </si>
  <si>
    <t>20CG0174</t>
  </si>
  <si>
    <t>2020-842-022</t>
  </si>
  <si>
    <t>GSO-20-06-0283</t>
  </si>
  <si>
    <t>2020-06-137</t>
  </si>
  <si>
    <t>Deep Fryer for French Fries Set for Barangay Macab</t>
  </si>
  <si>
    <t>20GRFQCL0004</t>
  </si>
  <si>
    <t>GOODS2020-44</t>
  </si>
  <si>
    <t>BAC-HO-GS No. 2020-0240 dated 27 May 2020 (FMED)</t>
  </si>
  <si>
    <t>G-2020-18</t>
  </si>
  <si>
    <t>BB2020-01</t>
  </si>
  <si>
    <t>GOODS2020-43</t>
  </si>
  <si>
    <t>ITB-002-06-2020</t>
  </si>
  <si>
    <t>2020-23</t>
  </si>
  <si>
    <t>RFQ 084-2020</t>
  </si>
  <si>
    <t>BG2020-120-802</t>
  </si>
  <si>
    <t>2020-06-007</t>
  </si>
  <si>
    <t>RDD CW-2019 LGSF-01</t>
  </si>
  <si>
    <t>2020-06-155</t>
  </si>
  <si>
    <t>SA2020-033</t>
  </si>
  <si>
    <t>AGGDS2020-0625</t>
  </si>
  <si>
    <t>2020-007</t>
  </si>
  <si>
    <t>SA2020-034</t>
  </si>
  <si>
    <t>2020-QR06-00015</t>
  </si>
  <si>
    <t>20-0032</t>
  </si>
  <si>
    <t>C-061-2020</t>
  </si>
  <si>
    <t>RFQ-08-2020</t>
  </si>
  <si>
    <t>RFQ-2020-06-0822</t>
  </si>
  <si>
    <t>20-06-449</t>
  </si>
  <si>
    <t>NONE</t>
  </si>
  <si>
    <t>20-11-Infra</t>
  </si>
  <si>
    <t>2020-06-183</t>
  </si>
  <si>
    <t>2020-06-015</t>
  </si>
  <si>
    <t>SA2020-036</t>
  </si>
  <si>
    <t>2020-06-186</t>
  </si>
  <si>
    <t>C-063-2020</t>
  </si>
  <si>
    <t>RFQ-2020-06-0827</t>
  </si>
  <si>
    <t>2020-QR06-00016</t>
  </si>
  <si>
    <t>2020-06-185</t>
  </si>
  <si>
    <t>RFQ-2020-06-0824</t>
  </si>
  <si>
    <t>2020-06-084</t>
  </si>
  <si>
    <t>juneinfra04</t>
  </si>
  <si>
    <t>DSWD 4B 2020-05-0622</t>
  </si>
  <si>
    <t>20-02-07-PO</t>
  </si>
  <si>
    <t>TIEZA-69-2020</t>
  </si>
  <si>
    <t>IB NO. 2020– 058/ JJL</t>
  </si>
  <si>
    <t>20-06-467</t>
  </si>
  <si>
    <t>juneinfra03</t>
  </si>
  <si>
    <t>2020-06-184</t>
  </si>
  <si>
    <t>2020-0068</t>
  </si>
  <si>
    <t>gsis/npsvp-228-20</t>
  </si>
  <si>
    <t>29</t>
  </si>
  <si>
    <t>BAC-20-06-060 (IMCD)</t>
  </si>
  <si>
    <t>125310vhles</t>
  </si>
  <si>
    <t>SVP-20-0422</t>
  </si>
  <si>
    <t>SVP-20-0003</t>
  </si>
  <si>
    <t>SVP-20-0448</t>
  </si>
  <si>
    <t>2020-015</t>
  </si>
  <si>
    <t>RFQ-2020-06-0820</t>
  </si>
  <si>
    <t>RFQ-2020-01-0115R</t>
  </si>
  <si>
    <t>SVP-20-0286</t>
  </si>
  <si>
    <t>MS-20-005</t>
  </si>
  <si>
    <t>2020-06-187</t>
  </si>
  <si>
    <t>RFQ-2020-06-0821</t>
  </si>
  <si>
    <t>IB NO. 2020 – 059/ JJL</t>
  </si>
  <si>
    <t>92</t>
  </si>
  <si>
    <t>2020-QR06-00017</t>
  </si>
  <si>
    <t>2020-06-028</t>
  </si>
  <si>
    <t>SA2020-035</t>
  </si>
  <si>
    <t>PSO-VIS-GOODS-006-20</t>
  </si>
  <si>
    <t>RFQ NO.: 2020-06-023-082</t>
  </si>
  <si>
    <t>geps-2020-002</t>
  </si>
  <si>
    <t>PR 1000032940</t>
  </si>
  <si>
    <t>BAC-20-06-059 (OED)</t>
  </si>
  <si>
    <t>2020-52</t>
  </si>
  <si>
    <t>20-007</t>
  </si>
  <si>
    <t>30</t>
  </si>
  <si>
    <t>2020-003</t>
  </si>
  <si>
    <t>2020-06-029</t>
  </si>
  <si>
    <t>C-068-2020</t>
  </si>
  <si>
    <t>ITB NO: 2020-007-031</t>
  </si>
  <si>
    <t>SVP-20-0473</t>
  </si>
  <si>
    <t>2020-031</t>
  </si>
  <si>
    <t>SVP-20-0472</t>
  </si>
  <si>
    <t>32</t>
  </si>
  <si>
    <t>2020-006-001</t>
  </si>
  <si>
    <t>2020-624</t>
  </si>
  <si>
    <t>SES 2020_014</t>
  </si>
  <si>
    <t>SVP-D NO: 20-06-0267B</t>
  </si>
  <si>
    <t>katipunan062420</t>
  </si>
  <si>
    <t>SES 2020_013</t>
  </si>
  <si>
    <t>34</t>
  </si>
  <si>
    <t>PR. No. 2020-06-065</t>
  </si>
  <si>
    <t>PHES JULY2020-014</t>
  </si>
  <si>
    <t>PHES JULY2020-013</t>
  </si>
  <si>
    <t>06-2020-961</t>
  </si>
  <si>
    <t>2020-06-24-180</t>
  </si>
  <si>
    <t>RFQ - 2020-0270</t>
  </si>
  <si>
    <t>2020-06-031</t>
  </si>
  <si>
    <t>014-06-2020</t>
  </si>
  <si>
    <t>33</t>
  </si>
  <si>
    <t>20200625b</t>
  </si>
  <si>
    <t>Public Bidding No. 2019-01</t>
  </si>
  <si>
    <t>Public Bidding No. 2020-017</t>
  </si>
  <si>
    <t>2020-0070</t>
  </si>
  <si>
    <t>AMP SVP-D NO: 20-06-0363</t>
  </si>
  <si>
    <t>20-008</t>
  </si>
  <si>
    <t>SES 2020_017</t>
  </si>
  <si>
    <t>2020-6-003</t>
  </si>
  <si>
    <t>TPB - RFQ 2020.06.188</t>
  </si>
  <si>
    <t>202006017</t>
  </si>
  <si>
    <t>SES 2020_015</t>
  </si>
  <si>
    <t>ITB NO: 2020-007-030</t>
  </si>
  <si>
    <t>Public Bidding No. 2020-016</t>
  </si>
  <si>
    <t>BG2019-151</t>
  </si>
  <si>
    <t>31</t>
  </si>
  <si>
    <t>geps-2020-001</t>
  </si>
  <si>
    <t>2020-0069</t>
  </si>
  <si>
    <t>SVP-20-0471</t>
  </si>
  <si>
    <t>SVP-20-0452</t>
  </si>
  <si>
    <t>SES 2020_016</t>
  </si>
  <si>
    <t>SVP-20-0470</t>
  </si>
  <si>
    <t>BG2020-012-801</t>
  </si>
  <si>
    <t>GOODS 2020-06-004</t>
  </si>
  <si>
    <t>20GRFQCL0009</t>
  </si>
  <si>
    <t>GSo-20-06-0282</t>
  </si>
  <si>
    <t>2020-06-141A</t>
  </si>
  <si>
    <t>ITB-003-06-2020</t>
  </si>
  <si>
    <t>20GRFQCL0007</t>
  </si>
  <si>
    <t>C-027-2020-RC</t>
  </si>
  <si>
    <t>BG2020-133-800</t>
  </si>
  <si>
    <t>2020-06-24-02</t>
  </si>
  <si>
    <t>20GRFQCL0008</t>
  </si>
  <si>
    <t>ITB# 108-2020 Other Supplies and Materials Expense</t>
  </si>
  <si>
    <t>INFRA 2020-05-24</t>
  </si>
  <si>
    <t>20LF0147</t>
  </si>
  <si>
    <t>RFQ-ATI-RTC4A-2020-06-080</t>
  </si>
  <si>
    <t>ITB# 107-2020 Other Supplies and Materials Expense</t>
  </si>
  <si>
    <t>ITB# 109-2020 Other Supplies and Materials Expense</t>
  </si>
  <si>
    <t>ITB# 104-2020 Medical, Dental &amp; Laboratory Supplie</t>
  </si>
  <si>
    <t>ITB# 106-2020 Other Supplies and Materials Expense</t>
  </si>
  <si>
    <t>BG2020-110</t>
  </si>
  <si>
    <t>1000033237</t>
  </si>
  <si>
    <t>RFQ-2020-59</t>
  </si>
  <si>
    <t>N20-BAC-102</t>
  </si>
  <si>
    <t>PR-MOC20-1219JUN02JUL-006</t>
  </si>
  <si>
    <t>MZDS-BAC-CW-2020-07</t>
  </si>
  <si>
    <t>N20-LDF-103</t>
  </si>
  <si>
    <t>PR-MOC20-1219JUN02JUL-003</t>
  </si>
  <si>
    <t>ITB# 103-2020 Medical, Dental &amp; Laboratory Supplie</t>
  </si>
  <si>
    <t>PR-MOC20-1219JUN02JUL-002</t>
  </si>
  <si>
    <t>PR-MOC20-1219JUN02JUL-004</t>
  </si>
  <si>
    <t>202006016</t>
  </si>
  <si>
    <t>20-01-001</t>
  </si>
  <si>
    <t>PR-MOC20-1219JUN02JUL-001</t>
  </si>
  <si>
    <t>ITB# 105-2020 Medical, Dental &amp; Laboratory Supplie</t>
  </si>
  <si>
    <t>2020-05</t>
  </si>
  <si>
    <t>IB NO. CW 2020-100</t>
  </si>
  <si>
    <t>IB NO. CW 2020 - 099</t>
  </si>
  <si>
    <t>IB NO. CW 2020 - 098</t>
  </si>
  <si>
    <t>AGR-20-0198-NP2(SV) Purchase of Agricultural Mater</t>
  </si>
  <si>
    <t>20CSM00101</t>
  </si>
  <si>
    <t>100-20-05-599</t>
  </si>
  <si>
    <t>PMISDP 200-20-03-02449</t>
  </si>
  <si>
    <t>GSISLAU/SHOP-2020005</t>
  </si>
  <si>
    <t>SJADS GOODS 20-08</t>
  </si>
  <si>
    <t>2020-507-06</t>
  </si>
  <si>
    <t>2020-05-354</t>
  </si>
  <si>
    <t>PR-MOC20-1219JUN02JUL-005</t>
  </si>
  <si>
    <t>Q-50</t>
  </si>
  <si>
    <t>NCR-2006-008</t>
  </si>
  <si>
    <t>2020-496-06</t>
  </si>
  <si>
    <t>PB2020-07-069G</t>
  </si>
  <si>
    <t>2020-497-06</t>
  </si>
  <si>
    <t>2020-495-06</t>
  </si>
  <si>
    <t>2020-405-05 (02)</t>
  </si>
  <si>
    <t>0</t>
  </si>
  <si>
    <t>ICR-20GEE0027</t>
  </si>
  <si>
    <t>ICR-20GEE0026</t>
  </si>
  <si>
    <t>2020-500-06</t>
  </si>
  <si>
    <t>ICR-20GEE0024</t>
  </si>
  <si>
    <t>2020-06-14</t>
  </si>
  <si>
    <t>201681</t>
  </si>
  <si>
    <t>RFQ-202002</t>
  </si>
  <si>
    <t>ICR-20GEE0028</t>
  </si>
  <si>
    <t>NCR-2006-007</t>
  </si>
  <si>
    <t>BTG3-20GDC0004 (Readvertised)</t>
  </si>
  <si>
    <t>ICR-20GEE0025</t>
  </si>
  <si>
    <t>ATI2020-06-135</t>
  </si>
  <si>
    <t>ITB- 2020- 061</t>
  </si>
  <si>
    <t>ATI2020-06-133</t>
  </si>
  <si>
    <t>GOODS 2020-020</t>
  </si>
  <si>
    <t>Adv. 20-045</t>
  </si>
  <si>
    <t>ATI2020-06-132</t>
  </si>
  <si>
    <t>Adv. 20-044</t>
  </si>
  <si>
    <t>BPB 2020-016</t>
  </si>
  <si>
    <t>BPB 2020-015</t>
  </si>
  <si>
    <t>ATI2020-06-131</t>
  </si>
  <si>
    <t>SJADS INFRA 20-03</t>
  </si>
  <si>
    <t>Adv. 20-043</t>
  </si>
  <si>
    <t>PR 05-20-081</t>
  </si>
  <si>
    <t>SJADS GOODS 20-09</t>
  </si>
  <si>
    <t>2020-06-046</t>
  </si>
  <si>
    <t>PZDS-2020-06-045-IB</t>
  </si>
  <si>
    <t>PREDP 200-20-05-05633</t>
  </si>
  <si>
    <t>ITB No. 20-06-14</t>
  </si>
  <si>
    <t>2020-Brgy. 04 Pob.-002</t>
  </si>
  <si>
    <t>PB NO. 2020-042</t>
  </si>
  <si>
    <t>2020-Brgy. 13 Pob-005</t>
  </si>
  <si>
    <t>PR-MOC20-1219JUN02JUL-007</t>
  </si>
  <si>
    <t>2020-508-06</t>
  </si>
  <si>
    <t>GAMOT 200-20-06-06523</t>
  </si>
  <si>
    <t>cgb2020-213</t>
  </si>
  <si>
    <t>PSWD-2020-0137 &amp; 0128</t>
  </si>
  <si>
    <t>cgb2020-212</t>
  </si>
  <si>
    <t>CODH 200-20-06-06238</t>
  </si>
  <si>
    <t>2020-Brgy. 13 Pob.-003</t>
  </si>
  <si>
    <t>2020-504-06</t>
  </si>
  <si>
    <t>PEMO-2020-2066 &amp; 2058</t>
  </si>
  <si>
    <t>cgb2020-211</t>
  </si>
  <si>
    <t>FRT-20-0437-B</t>
  </si>
  <si>
    <t>6222020</t>
  </si>
  <si>
    <t>ln2_2020</t>
  </si>
  <si>
    <t>NMH 200-20-06-06525</t>
  </si>
  <si>
    <t>FRT-20-0435-B</t>
  </si>
  <si>
    <t>2020-512-06</t>
  </si>
  <si>
    <t>cgb2020-220</t>
  </si>
  <si>
    <t>2020-456-05 (02)</t>
  </si>
  <si>
    <t>cgb2020-218</t>
  </si>
  <si>
    <t>cgb2020-221</t>
  </si>
  <si>
    <t>PSWD-2019-3483</t>
  </si>
  <si>
    <t>ITB No. 082-Brgy-2020</t>
  </si>
  <si>
    <t>cgb2020-210</t>
  </si>
  <si>
    <t>PSWD-2020-0181</t>
  </si>
  <si>
    <t>cgb2020-219</t>
  </si>
  <si>
    <t>072-20</t>
  </si>
  <si>
    <t>2020-511-06</t>
  </si>
  <si>
    <t>cgb2020-217</t>
  </si>
  <si>
    <t>antique_rebid2020</t>
  </si>
  <si>
    <t>cgb2020-216</t>
  </si>
  <si>
    <t>cgb2020-214</t>
  </si>
  <si>
    <t>cgb2020-215</t>
  </si>
  <si>
    <t>ITB No. 20-06-15</t>
  </si>
  <si>
    <t>SDH-20-0735-B</t>
  </si>
  <si>
    <t>FRT-20-0439-B</t>
  </si>
  <si>
    <t>PPDO-2020-1043</t>
  </si>
  <si>
    <t>ADM-20-0577-B</t>
  </si>
  <si>
    <t>ITB No. 080-Goods-2020</t>
  </si>
  <si>
    <t>Sumalili DILP 001</t>
  </si>
  <si>
    <t>BAC-20-0748-B</t>
  </si>
  <si>
    <t>cgb2020-224</t>
  </si>
  <si>
    <t>Adv. 20-055</t>
  </si>
  <si>
    <t>Adv. 20-054</t>
  </si>
  <si>
    <t>Adv. 20-053</t>
  </si>
  <si>
    <t>Adv. 20-052</t>
  </si>
  <si>
    <t>FRT-20-0438-B</t>
  </si>
  <si>
    <t>Adv. 20-051</t>
  </si>
  <si>
    <t>Adv. 20-049</t>
  </si>
  <si>
    <t>OPA-2020-0049 &amp; 0050</t>
  </si>
  <si>
    <t>SDH-20-0734-B</t>
  </si>
  <si>
    <t>Adv. 20-048</t>
  </si>
  <si>
    <t>Adv. 20-046</t>
  </si>
  <si>
    <t>animalscsu_rebid</t>
  </si>
  <si>
    <t>011-2020</t>
  </si>
  <si>
    <t>TJPH-2020-0120</t>
  </si>
  <si>
    <t>usfanimals3_2020</t>
  </si>
  <si>
    <t>cgb2020-222</t>
  </si>
  <si>
    <t>ADM-20-0578-B</t>
  </si>
  <si>
    <t>ITB No. 2020-14</t>
  </si>
  <si>
    <t>2020-06-215</t>
  </si>
  <si>
    <t>ITB-2020-001</t>
  </si>
  <si>
    <t>labequip_pigproject</t>
  </si>
  <si>
    <t>Adv. 20-050</t>
  </si>
  <si>
    <t>RFQ-ATI-RTC4A-2020-06-082</t>
  </si>
  <si>
    <t>ITB No. 081-Brgy-2020</t>
  </si>
  <si>
    <t>2020-06-039</t>
  </si>
  <si>
    <t>RFQ-2020-58</t>
  </si>
  <si>
    <t>2020-06-70</t>
  </si>
  <si>
    <t>RFQ 2020-06-61</t>
  </si>
  <si>
    <t>20GRFQCL0003</t>
  </si>
  <si>
    <t>ITB# 111-2020 Other Supplies and Materials Expense</t>
  </si>
  <si>
    <t>ITB# 110-2020 Other Supplies and Materials Expense</t>
  </si>
  <si>
    <t>20GCL0003</t>
  </si>
  <si>
    <t>GOODS2020-42</t>
  </si>
  <si>
    <t>2020-06-24-03</t>
  </si>
  <si>
    <t>2020-P06-011</t>
  </si>
  <si>
    <t>100-20-06-0227</t>
  </si>
  <si>
    <t>20DL0220</t>
  </si>
  <si>
    <t>385202001</t>
  </si>
  <si>
    <t>R3G-2020-024</t>
  </si>
  <si>
    <t>SVP-2020-0091</t>
  </si>
  <si>
    <t>RFQ-98-2020</t>
  </si>
  <si>
    <t>cgb2020-228</t>
  </si>
  <si>
    <t>1011-101-2020-05-197</t>
  </si>
  <si>
    <t>100-20-05-0201</t>
  </si>
  <si>
    <t>Adv. 20-047</t>
  </si>
  <si>
    <t>100-20-06-0225</t>
  </si>
  <si>
    <t>CADP 200-20-02-01329</t>
  </si>
  <si>
    <t>cgb2020-227</t>
  </si>
  <si>
    <t>RFQ-ATI-RTC4A-2020-06-081</t>
  </si>
  <si>
    <t>PR NO:2020-06-176</t>
  </si>
  <si>
    <t>SVP-2020-0090</t>
  </si>
  <si>
    <t>PR NO: 2020-06-173</t>
  </si>
  <si>
    <t>OPA-2020-0365</t>
  </si>
  <si>
    <t>20FD0066</t>
  </si>
  <si>
    <t>cgb2020-229</t>
  </si>
  <si>
    <t>PR NO: 2020-06-170</t>
  </si>
  <si>
    <t>ITB No. 2020-13</t>
  </si>
  <si>
    <t>2020-06-027</t>
  </si>
  <si>
    <t>RFQ No. 2020-06-001</t>
  </si>
  <si>
    <t>PB2020-07-050I</t>
  </si>
  <si>
    <t>20DL0224</t>
  </si>
  <si>
    <t>GTO-2020-57</t>
  </si>
  <si>
    <t>20HH0141</t>
  </si>
  <si>
    <t>20FF0100</t>
  </si>
  <si>
    <t>20DL0222</t>
  </si>
  <si>
    <t>100-20-03-0101</t>
  </si>
  <si>
    <t>cgb2020-226</t>
  </si>
  <si>
    <t>DA7-07-FOD-R-20-2128 (R1)</t>
  </si>
  <si>
    <t>Re-Adv. No. 20-039</t>
  </si>
  <si>
    <t>cgb2020-225</t>
  </si>
  <si>
    <t>PB2020-07-049I</t>
  </si>
  <si>
    <t>DA7-07-FOD-R-20-2127 (R1)</t>
  </si>
  <si>
    <t>Re-Adv. No. 20-041</t>
  </si>
  <si>
    <t>2020-06-0036</t>
  </si>
  <si>
    <t>RFQ 2020-87</t>
  </si>
  <si>
    <t>20-03-0175</t>
  </si>
  <si>
    <t>20DL0223</t>
  </si>
  <si>
    <t>Re-Adv. No. 20-040</t>
  </si>
  <si>
    <t>2020-BAC-022</t>
  </si>
  <si>
    <t>GOODS 2020-18</t>
  </si>
  <si>
    <t>006-2020</t>
  </si>
  <si>
    <t>GA-BAC-2020DP-11-R</t>
  </si>
  <si>
    <t>2020088</t>
  </si>
  <si>
    <t>20DL0221</t>
  </si>
  <si>
    <t>7745</t>
  </si>
  <si>
    <t>20FD0068</t>
  </si>
  <si>
    <t>ITB No. 083-Goods-2020</t>
  </si>
  <si>
    <t>AVRC -2020-06-0184</t>
  </si>
  <si>
    <t>HFE-2020-06-0208</t>
  </si>
  <si>
    <t>HFE-2020-06-0207</t>
  </si>
  <si>
    <t>20-05-0265</t>
  </si>
  <si>
    <t>23-06-20-07-2020</t>
  </si>
  <si>
    <t>20PC0001G</t>
  </si>
  <si>
    <t>INFRA-2020-07-01</t>
  </si>
  <si>
    <t>20-06-0016</t>
  </si>
  <si>
    <t>2019was</t>
  </si>
  <si>
    <t>PB2020-04</t>
  </si>
  <si>
    <t>2020-1</t>
  </si>
  <si>
    <t>2020-017</t>
  </si>
  <si>
    <t>20HH0142</t>
  </si>
  <si>
    <t>20-05-0266</t>
  </si>
  <si>
    <t>RFQ-09A-2020</t>
  </si>
  <si>
    <t>2020-323</t>
  </si>
  <si>
    <t>AMP-RFQ-2020-086</t>
  </si>
  <si>
    <t>RFQ 2020-89</t>
  </si>
  <si>
    <t>HFE-2020-06-0206</t>
  </si>
  <si>
    <t>20HH0143</t>
  </si>
  <si>
    <t>RFQ 2020-88</t>
  </si>
  <si>
    <t>20-06-455</t>
  </si>
  <si>
    <t>20-05-420</t>
  </si>
  <si>
    <t>20FD0069</t>
  </si>
  <si>
    <t>ELEM2020-06-06</t>
  </si>
  <si>
    <t>SLS-20200623</t>
  </si>
  <si>
    <t>FER2020-015</t>
  </si>
  <si>
    <t>ELEM2020-06-04</t>
  </si>
  <si>
    <t>ELEM2020-06-03</t>
  </si>
  <si>
    <t>ELEM2020-06-02</t>
  </si>
  <si>
    <t>2020-160</t>
  </si>
  <si>
    <t>SF-G- MENRO/GF-2020-20</t>
  </si>
  <si>
    <t>POBSF-CW-DF-2020-01</t>
  </si>
  <si>
    <t>DM-BAC-2020-0039</t>
  </si>
  <si>
    <t>ELEM2020-06-05</t>
  </si>
  <si>
    <t>ELEM2020-06-01</t>
  </si>
  <si>
    <t>00041-20-0204-0144</t>
  </si>
  <si>
    <t>SPP-20200623</t>
  </si>
  <si>
    <t>2020-40</t>
  </si>
  <si>
    <t>20-05-0667</t>
  </si>
  <si>
    <t>INREMP 2020-06-002</t>
  </si>
  <si>
    <t>AGR-20-0315-B Purchase of Construction Supplies an</t>
  </si>
  <si>
    <t>SIC-98-2020-PRDP-RPCO 1</t>
  </si>
  <si>
    <t>RFQ#2020-025</t>
  </si>
  <si>
    <t>SIC-97-2020-PRDP-RPCO 1</t>
  </si>
  <si>
    <t>20-05-418</t>
  </si>
  <si>
    <t>RRCY 2020000-040</t>
  </si>
  <si>
    <t>SF-G- BDA/19-2020-23</t>
  </si>
  <si>
    <t>20HH0144</t>
  </si>
  <si>
    <t>SIC-96-2020-PRDP-RPCO 1</t>
  </si>
  <si>
    <t>20-05-0695</t>
  </si>
  <si>
    <t>A-2020-17</t>
  </si>
  <si>
    <t>2020-157</t>
  </si>
  <si>
    <t>Quotation No. 20-06-0352</t>
  </si>
  <si>
    <t>PR#100-20-06-455</t>
  </si>
  <si>
    <t>19-09-1292</t>
  </si>
  <si>
    <t>PVAO-RFQ-35-ELECTRICALSUPPLIES-2020</t>
  </si>
  <si>
    <t>PVAO-RFQ-34-AUTOMOTIVESUPPLIES-2020</t>
  </si>
  <si>
    <t>2020-RL04-019</t>
  </si>
  <si>
    <t>Quotation No. 20-06-0351</t>
  </si>
  <si>
    <t>NS-06-24-20-01</t>
  </si>
  <si>
    <t>CGDWV-0620-05</t>
  </si>
  <si>
    <t>00041-20-0116-0108</t>
  </si>
  <si>
    <t>2020-048</t>
  </si>
  <si>
    <t>20-06-829(BROTHER)</t>
  </si>
  <si>
    <t>DAR-PANG-010-2020</t>
  </si>
  <si>
    <t>CRCF-2020-06-0210</t>
  </si>
  <si>
    <t>FOG NSPRDC 2020-06-025</t>
  </si>
  <si>
    <t>108-2020</t>
  </si>
  <si>
    <t>2020-158</t>
  </si>
  <si>
    <t>RFQ-6-23-2020</t>
  </si>
  <si>
    <t>20GOH0004</t>
  </si>
  <si>
    <t>2020-06-04B</t>
  </si>
  <si>
    <t>DARFO2.CVRC.115.REC.2020-06-747.00</t>
  </si>
  <si>
    <t>NTP-003-2020</t>
  </si>
  <si>
    <t>2020-06-078</t>
  </si>
  <si>
    <t>2020-06-0252</t>
  </si>
  <si>
    <t>ADMIN 2020-06-119</t>
  </si>
  <si>
    <t>2020-062-15-1</t>
  </si>
  <si>
    <t>2020-0623001</t>
  </si>
  <si>
    <t>SVP-2020-06-23-01</t>
  </si>
  <si>
    <t>2020-01-8751-44</t>
  </si>
  <si>
    <t>RFQ 2020-06-0117</t>
  </si>
  <si>
    <t>336</t>
  </si>
  <si>
    <t>20-06-13</t>
  </si>
  <si>
    <t>PDD 20-002</t>
  </si>
  <si>
    <t>SVP-OCM-062020-126</t>
  </si>
  <si>
    <t>PAPC-AGH_HHSG-2020-11137-5167</t>
  </si>
  <si>
    <t>PR 2020-06-400</t>
  </si>
  <si>
    <t>2020-062-15-3</t>
  </si>
  <si>
    <t>PHS-1210-20</t>
  </si>
  <si>
    <t>100-20-06-392</t>
  </si>
  <si>
    <t>20-06-829(HP)</t>
  </si>
  <si>
    <t>ATI2020-06-141</t>
  </si>
  <si>
    <t>GOODS-2020-014</t>
  </si>
  <si>
    <t>2020-062-15-2</t>
  </si>
  <si>
    <t>SW 1008-2020-0074</t>
  </si>
  <si>
    <t>2020-RL04-020</t>
  </si>
  <si>
    <t>19-03-0418</t>
  </si>
  <si>
    <t>DARFO2.CVRC.115.REC.2020-06-748.00</t>
  </si>
  <si>
    <t>GS-GF-2020-0256</t>
  </si>
  <si>
    <t>2020-062-15-5</t>
  </si>
  <si>
    <t>RRCY 2020-041</t>
  </si>
  <si>
    <t>2020-06-0102</t>
  </si>
  <si>
    <t>2020-06-410</t>
  </si>
  <si>
    <t>2020-050</t>
  </si>
  <si>
    <t>TAS20-06-094</t>
  </si>
  <si>
    <t>PR # 20-06-0218</t>
  </si>
  <si>
    <t>20-06-369</t>
  </si>
  <si>
    <t>CW-RFQ-1-2020</t>
  </si>
  <si>
    <t>NS-06-24-20-02</t>
  </si>
  <si>
    <t>20-CRG-20-06-1041</t>
  </si>
  <si>
    <t>bac-20-0623a</t>
  </si>
  <si>
    <t>00-2020-036</t>
  </si>
  <si>
    <t>SVP-2020-06-23-02</t>
  </si>
  <si>
    <t>Sw-1008-2020-0070</t>
  </si>
  <si>
    <t>2020-06-05</t>
  </si>
  <si>
    <t>1008-2020-0071</t>
  </si>
  <si>
    <t>bac-20-0623c</t>
  </si>
  <si>
    <t>SVP-2020-06-23-03</t>
  </si>
  <si>
    <t>2020-159</t>
  </si>
  <si>
    <t>DOH-MMCHD-2020-06-174-G</t>
  </si>
  <si>
    <t>2020-06-0356</t>
  </si>
  <si>
    <t>20-CRG-20-06-1040</t>
  </si>
  <si>
    <t>2020-062-15-8</t>
  </si>
  <si>
    <t>2020-06-0235</t>
  </si>
  <si>
    <t>2020-062-15-7</t>
  </si>
  <si>
    <t>TCMO 20-129</t>
  </si>
  <si>
    <t>PHS-1162-20</t>
  </si>
  <si>
    <t>RFQ No. 2020-040</t>
  </si>
  <si>
    <t>017-20</t>
  </si>
  <si>
    <t>RFQ 20-550</t>
  </si>
  <si>
    <t>bac-20-0623b</t>
  </si>
  <si>
    <t>2020-062-15-6</t>
  </si>
  <si>
    <t>SW-1008-2020-0079</t>
  </si>
  <si>
    <t>2020-324</t>
  </si>
  <si>
    <t>20GA0226</t>
  </si>
  <si>
    <t>20-301</t>
  </si>
  <si>
    <t>RFQ 20-551</t>
  </si>
  <si>
    <t>RFQ 20-540A</t>
  </si>
  <si>
    <t>DOH-MMCHD-2020-06-175-G</t>
  </si>
  <si>
    <t>030</t>
  </si>
  <si>
    <t>DOH-MMCHD-2020-06-173-G</t>
  </si>
  <si>
    <t>SW-1008-2020-0078</t>
  </si>
  <si>
    <t>20-CRG-20-06-1038</t>
  </si>
  <si>
    <t>2020-062-15-9</t>
  </si>
  <si>
    <t>20-CRG-20-06-1039</t>
  </si>
  <si>
    <t>SW-1008-2020-0076</t>
  </si>
  <si>
    <t>PRN 2020-06-008</t>
  </si>
  <si>
    <t>H-2020-06-04</t>
  </si>
  <si>
    <t>20-CRG-20-06-1046</t>
  </si>
  <si>
    <t>2020-06-319-31</t>
  </si>
  <si>
    <t>06-23-2020-229</t>
  </si>
  <si>
    <t>BCS-2020-0136</t>
  </si>
  <si>
    <t>SAR-GOODS-06-068-2020</t>
  </si>
  <si>
    <t>RFQ 2020-06-0118</t>
  </si>
  <si>
    <t>PR 2020-06-1850</t>
  </si>
  <si>
    <t>20-CRG-20-06-1037</t>
  </si>
  <si>
    <t>PR# 20-02-0177</t>
  </si>
  <si>
    <t>RFQ 2020-06-016</t>
  </si>
  <si>
    <t>RFQ 20-552</t>
  </si>
  <si>
    <t>GO-20-007-RFQ</t>
  </si>
  <si>
    <t>20-325</t>
  </si>
  <si>
    <t>2020-06-30</t>
  </si>
  <si>
    <t>S-293-2020</t>
  </si>
  <si>
    <t>20-CRG-20-06-1036</t>
  </si>
  <si>
    <t>20-05-0155</t>
  </si>
  <si>
    <t>RFQ-685-2020</t>
  </si>
  <si>
    <t>RF-2020-001</t>
  </si>
  <si>
    <t>SVP-2020-0092</t>
  </si>
  <si>
    <t>PR#453</t>
  </si>
  <si>
    <t>2020-06-0068</t>
  </si>
  <si>
    <t>20-CRG-20-06-1044</t>
  </si>
  <si>
    <t>S-295-2020</t>
  </si>
  <si>
    <t>PHS-1260-20</t>
  </si>
  <si>
    <t>RFQ0201</t>
  </si>
  <si>
    <t>2020-06-0255</t>
  </si>
  <si>
    <t>031</t>
  </si>
  <si>
    <t>PR No. 2006-003</t>
  </si>
  <si>
    <t>SW-1008-2020-0077</t>
  </si>
  <si>
    <t>lgu-111-2020</t>
  </si>
  <si>
    <t>RFQ NO. 2020-06-18-(8076)</t>
  </si>
  <si>
    <t>20-CRG-20-06-1035</t>
  </si>
  <si>
    <t>GF-I-37-2020</t>
  </si>
  <si>
    <t>RFQ 20-554</t>
  </si>
  <si>
    <t>MOOE-2020-001</t>
  </si>
  <si>
    <t>SAR-GOODS-06-069-2020</t>
  </si>
  <si>
    <t>ESP-GOODS-014-2020</t>
  </si>
  <si>
    <t>20-CRG-20-06-1045</t>
  </si>
  <si>
    <t>2020-062-15-10</t>
  </si>
  <si>
    <t>RFQ 20-555</t>
  </si>
  <si>
    <t>20-CRG-20-06-1042</t>
  </si>
  <si>
    <t>S-294-2020</t>
  </si>
  <si>
    <t>NF 2002-0096</t>
  </si>
  <si>
    <t>ATI2020-06-142</t>
  </si>
  <si>
    <t>1001BDE-2020-002-0002 Other Supplies &amp; Materials</t>
  </si>
  <si>
    <t>20-CRG-20-06-1043</t>
  </si>
  <si>
    <t>2020-06-0357</t>
  </si>
  <si>
    <t>ISPSC-2020-G-K010</t>
  </si>
  <si>
    <t>POB-01-2020</t>
  </si>
  <si>
    <t>056-20</t>
  </si>
  <si>
    <t>lgu-es-20-06-133</t>
  </si>
  <si>
    <t>2020-26</t>
  </si>
  <si>
    <t>2020-062-15-12</t>
  </si>
  <si>
    <t>PHS-1215-20</t>
  </si>
  <si>
    <t>021-20</t>
  </si>
  <si>
    <t>029-20</t>
  </si>
  <si>
    <t>PR 20-06-0247</t>
  </si>
  <si>
    <t>20-06-142</t>
  </si>
  <si>
    <t>SVP-2020-06-96</t>
  </si>
  <si>
    <t>PR 2020-036</t>
  </si>
  <si>
    <t>INFR-024-2020</t>
  </si>
  <si>
    <t>043-20</t>
  </si>
  <si>
    <t>2020-06-013A</t>
  </si>
  <si>
    <t>2020-24</t>
  </si>
  <si>
    <t>SS-1245-20</t>
  </si>
  <si>
    <t>2020-062-15-11</t>
  </si>
  <si>
    <t>2020-326</t>
  </si>
  <si>
    <t>RFQ Aguisan ES Celinaz</t>
  </si>
  <si>
    <t>PBgoods018-2020</t>
  </si>
  <si>
    <t>NS-06-24-20-03</t>
  </si>
  <si>
    <t>cal06222020-01</t>
  </si>
  <si>
    <t>LGU-112-2020</t>
  </si>
  <si>
    <t>DOH-MMCHD-2020-06-176-G</t>
  </si>
  <si>
    <t>PAPC-OG3_ASCOM-2020-11125-5172</t>
  </si>
  <si>
    <t>2020-06-1931</t>
  </si>
  <si>
    <t>GO-21-008-RFQ</t>
  </si>
  <si>
    <t>ASTGOODS12</t>
  </si>
  <si>
    <t>PR # 2020-06-107</t>
  </si>
  <si>
    <t>20-CRG-20-06-1047</t>
  </si>
  <si>
    <t>GF-I--38-2020</t>
  </si>
  <si>
    <t>2020-022</t>
  </si>
  <si>
    <t>INFRA20200002</t>
  </si>
  <si>
    <t>100-20-04-080</t>
  </si>
  <si>
    <t>2020-06-320-32</t>
  </si>
  <si>
    <t>NP-SVP-296-2020</t>
  </si>
  <si>
    <t>canalilang2</t>
  </si>
  <si>
    <t>2020-06-0358</t>
  </si>
  <si>
    <t>BIDDING20-25</t>
  </si>
  <si>
    <t>101-20-06-139</t>
  </si>
  <si>
    <t>30-20-06-065</t>
  </si>
  <si>
    <t>CGSO-20-045(NP/SV)</t>
  </si>
  <si>
    <t>RF-2020-002</t>
  </si>
  <si>
    <t>GSO-20-06-0275</t>
  </si>
  <si>
    <t>2020-325</t>
  </si>
  <si>
    <t>054</t>
  </si>
  <si>
    <t>KALANGAMANSVP2020-02</t>
  </si>
  <si>
    <t>PR # 2020-06-108</t>
  </si>
  <si>
    <t>PR No. 2006-135</t>
  </si>
  <si>
    <t>LGU-113-2020</t>
  </si>
  <si>
    <t>2020-327</t>
  </si>
  <si>
    <t>06-041-20</t>
  </si>
  <si>
    <t>2020-072-RFQ</t>
  </si>
  <si>
    <t>2020-023</t>
  </si>
  <si>
    <t>NP-SVP-297-2020</t>
  </si>
  <si>
    <t>DORL-HNS-1252-20</t>
  </si>
  <si>
    <t>2020-06-0079</t>
  </si>
  <si>
    <t>2020-06-04</t>
  </si>
  <si>
    <t>LR_2020_05_2005</t>
  </si>
  <si>
    <t>20-06-141</t>
  </si>
  <si>
    <t>2020- 028 SVP</t>
  </si>
  <si>
    <t>SW-1008-2020-0072</t>
  </si>
  <si>
    <t>2020-06-01-25</t>
  </si>
  <si>
    <t>RFQ 2020-108</t>
  </si>
  <si>
    <t>DES 1217-20</t>
  </si>
  <si>
    <t>TPB-RFQ 2020-06-184</t>
  </si>
  <si>
    <t>PLAWD 2020-06-042</t>
  </si>
  <si>
    <t>05 - 02</t>
  </si>
  <si>
    <t>GS-GF-2020-0257</t>
  </si>
  <si>
    <t>020-002</t>
  </si>
  <si>
    <t>232</t>
  </si>
  <si>
    <t>20-06-143</t>
  </si>
  <si>
    <t>CMO(ADM)20-089(NP/SV)</t>
  </si>
  <si>
    <t>ISPSC-2020-G-K009</t>
  </si>
  <si>
    <t>PHS-1157-20</t>
  </si>
  <si>
    <t>Bac-Pg-001-20</t>
  </si>
  <si>
    <t>06-040-20</t>
  </si>
  <si>
    <t>P.R. No. 00514-2020</t>
  </si>
  <si>
    <t>2020-062-15-4</t>
  </si>
  <si>
    <t>P No. 2006-138</t>
  </si>
  <si>
    <t>00130-2020</t>
  </si>
  <si>
    <t>06-043-20</t>
  </si>
  <si>
    <t>GOODS-030-2020</t>
  </si>
  <si>
    <t>2020-06-016B</t>
  </si>
  <si>
    <t>2020 AIP (General Fund) G-07-06162020</t>
  </si>
  <si>
    <t>20060269</t>
  </si>
  <si>
    <t>GF-I-39-2020</t>
  </si>
  <si>
    <t>CGSO-20-013(NP/SV)</t>
  </si>
  <si>
    <t>PB 06-06-2020</t>
  </si>
  <si>
    <t>GSO-20-06-0277</t>
  </si>
  <si>
    <t>2020-22</t>
  </si>
  <si>
    <t>ICRFQ06232020B</t>
  </si>
  <si>
    <t>117018</t>
  </si>
  <si>
    <t>LTFRB-006-020</t>
  </si>
  <si>
    <t>20-02-020</t>
  </si>
  <si>
    <t>ICRFQ06232020A</t>
  </si>
  <si>
    <t>RF-2020-003</t>
  </si>
  <si>
    <t>PR No. 2006-142</t>
  </si>
  <si>
    <t>LGU-114-2020</t>
  </si>
  <si>
    <t>DES 0441-20</t>
  </si>
  <si>
    <t>2020-42</t>
  </si>
  <si>
    <t>PLAWD 2020-06-043</t>
  </si>
  <si>
    <t>20-06-849</t>
  </si>
  <si>
    <t>S00212-2020</t>
  </si>
  <si>
    <t>2020-104</t>
  </si>
  <si>
    <t>'023</t>
  </si>
  <si>
    <t>CHS2020-06-0001</t>
  </si>
  <si>
    <t>SVP014-2020</t>
  </si>
  <si>
    <t>EMBCAR-2020-6-28</t>
  </si>
  <si>
    <t>PR#20-06190217</t>
  </si>
  <si>
    <t>LR_2020_05_2006</t>
  </si>
  <si>
    <t>2020-06-0451 ADMIN</t>
  </si>
  <si>
    <t>DOH4A-ITB-2020-GS-009A</t>
  </si>
  <si>
    <t>DOH-MMCHD-2020-06-177-G</t>
  </si>
  <si>
    <t>20-06-FOD0134</t>
  </si>
  <si>
    <t>INFRA-CP-2020-003</t>
  </si>
  <si>
    <t>SVP-2020-06-97</t>
  </si>
  <si>
    <t>2020-27</t>
  </si>
  <si>
    <t>GS-GF-2020-0264</t>
  </si>
  <si>
    <t>RFQ-143-2020</t>
  </si>
  <si>
    <t>20-04-FOD0096</t>
  </si>
  <si>
    <t>20060271</t>
  </si>
  <si>
    <t>PR NO: 2020-06-175</t>
  </si>
  <si>
    <t>100(07-02-2020)</t>
  </si>
  <si>
    <t>3125</t>
  </si>
  <si>
    <t>INFRA-CP-2020-005</t>
  </si>
  <si>
    <t>06-042-20</t>
  </si>
  <si>
    <t>20-06-00391</t>
  </si>
  <si>
    <t>2020-16</t>
  </si>
  <si>
    <t>2020-06-321-33</t>
  </si>
  <si>
    <t>LF 2020-027</t>
  </si>
  <si>
    <t>RFQ-144-2020</t>
  </si>
  <si>
    <t>PR No. 100-20-05-142</t>
  </si>
  <si>
    <t>INFRA-CP-2020-001</t>
  </si>
  <si>
    <t>100-2006-451-GF</t>
  </si>
  <si>
    <t>0034/June/20</t>
  </si>
  <si>
    <t>PobSur-2020-001</t>
  </si>
  <si>
    <t>BASAG 2020-001</t>
  </si>
  <si>
    <t>00129-2020</t>
  </si>
  <si>
    <t>RFQ # 20-06-057 (Goods)</t>
  </si>
  <si>
    <t>INFRA-CP-2020-004</t>
  </si>
  <si>
    <t>ITB No. GOODS-20-115</t>
  </si>
  <si>
    <t>2020 AIP (General Fund) G-08-06162020</t>
  </si>
  <si>
    <t>PB-2020-184-007</t>
  </si>
  <si>
    <t>2020-15</t>
  </si>
  <si>
    <t>DES 0361-20</t>
  </si>
  <si>
    <t>DES 0362-20</t>
  </si>
  <si>
    <t>canalmarygold</t>
  </si>
  <si>
    <t>INFRA-CP-2020-002</t>
  </si>
  <si>
    <t>100(07-02-2020)1</t>
  </si>
  <si>
    <t>ITB2020 -07-01</t>
  </si>
  <si>
    <t>GSO-20-06-0276</t>
  </si>
  <si>
    <t>SV-51-2020</t>
  </si>
  <si>
    <t>1000032318</t>
  </si>
  <si>
    <t>PR No. 2020-06-111</t>
  </si>
  <si>
    <t>2020-06-0015</t>
  </si>
  <si>
    <t>cal06222020-02</t>
  </si>
  <si>
    <t>122-20</t>
  </si>
  <si>
    <t>20-06-144</t>
  </si>
  <si>
    <t>06-23-2020</t>
  </si>
  <si>
    <t>000262</t>
  </si>
  <si>
    <t>062320</t>
  </si>
  <si>
    <t>PHS-1227-20</t>
  </si>
  <si>
    <t>SV-52-2020</t>
  </si>
  <si>
    <t>20-04-FOD0094</t>
  </si>
  <si>
    <t>2020-06-020</t>
  </si>
  <si>
    <t>NS-06-24-20-04</t>
  </si>
  <si>
    <t>UPR No 522ECB-MO2-80-2020</t>
  </si>
  <si>
    <t>20-06-00394</t>
  </si>
  <si>
    <t>'024</t>
  </si>
  <si>
    <t>0368</t>
  </si>
  <si>
    <t>GDS 20-060</t>
  </si>
  <si>
    <t>RFQ # 20-06-058 (Goods)</t>
  </si>
  <si>
    <t>20-06-ILD0046</t>
  </si>
  <si>
    <t>LGU-115-2020</t>
  </si>
  <si>
    <t>BG2020-017-799</t>
  </si>
  <si>
    <t>07-2020</t>
  </si>
  <si>
    <t>PR No. 2006-004</t>
  </si>
  <si>
    <t>20-06-848</t>
  </si>
  <si>
    <t>036-2020-AMP</t>
  </si>
  <si>
    <t>MACH-GF-2020-001</t>
  </si>
  <si>
    <t>20-06-161</t>
  </si>
  <si>
    <t>SDG-06-23-2020</t>
  </si>
  <si>
    <t>LF 2020-028</t>
  </si>
  <si>
    <t>2020-06-0080</t>
  </si>
  <si>
    <t>RIS# 20-02-018</t>
  </si>
  <si>
    <t>RFQ-145-2020</t>
  </si>
  <si>
    <t>06232020</t>
  </si>
  <si>
    <t>2020-033</t>
  </si>
  <si>
    <t>100(07-02-2020)2</t>
  </si>
  <si>
    <t>PRN 2020-06-009</t>
  </si>
  <si>
    <t>RFQ # 20-06-056 (Goods)</t>
  </si>
  <si>
    <t>lgu-es-20-06-134</t>
  </si>
  <si>
    <t>2020-04-012</t>
  </si>
  <si>
    <t>Mkna-GSO-20-281</t>
  </si>
  <si>
    <t>EQUIP-MA-001</t>
  </si>
  <si>
    <t>PCS -Office and Teachers Supplies-2020-07-007</t>
  </si>
  <si>
    <t>0231-2020</t>
  </si>
  <si>
    <t>GOODS2020-043</t>
  </si>
  <si>
    <t>037-2020-AMP</t>
  </si>
  <si>
    <t>2006-030-12</t>
  </si>
  <si>
    <t>ITB2020-07-01 BALITE</t>
  </si>
  <si>
    <t>2020 INFRA 01</t>
  </si>
  <si>
    <t>PB-2020-184-008</t>
  </si>
  <si>
    <t>RFQ # 20-06-055 (Goods)</t>
  </si>
  <si>
    <t>2020-06-322-34</t>
  </si>
  <si>
    <t>RFQ 2020-0263</t>
  </si>
  <si>
    <t>PIA-2020-029</t>
  </si>
  <si>
    <t>SH 032-20</t>
  </si>
  <si>
    <t>20060267</t>
  </si>
  <si>
    <t>20CN0066</t>
  </si>
  <si>
    <t>RFQ-147-2020</t>
  </si>
  <si>
    <t>HILONGOS 2020-187</t>
  </si>
  <si>
    <t>FUEL-SUP-2020-002</t>
  </si>
  <si>
    <t>GTO-2020-53</t>
  </si>
  <si>
    <t>06-2020-23</t>
  </si>
  <si>
    <t>PR No. 2006-115</t>
  </si>
  <si>
    <t>baz-azds-rfq-023-2020</t>
  </si>
  <si>
    <t>0001-2020</t>
  </si>
  <si>
    <t>RFQ-2020-168</t>
  </si>
  <si>
    <t>20-06-00200</t>
  </si>
  <si>
    <t>2020-06-036</t>
  </si>
  <si>
    <t>GDS-151</t>
  </si>
  <si>
    <t>062320-1</t>
  </si>
  <si>
    <t>2020-28</t>
  </si>
  <si>
    <t>LTO-SU-20-038</t>
  </si>
  <si>
    <t>2020-06-173</t>
  </si>
  <si>
    <t>0367</t>
  </si>
  <si>
    <t>100(07-02-2020)3</t>
  </si>
  <si>
    <t>DES 0360-20</t>
  </si>
  <si>
    <t>PR # 2020-06-106</t>
  </si>
  <si>
    <t>2020-06-367</t>
  </si>
  <si>
    <t>FOG NSPRDC 2020-06-026</t>
  </si>
  <si>
    <t>EQUIP-MA-002</t>
  </si>
  <si>
    <t>GDS-44</t>
  </si>
  <si>
    <t>LTO-SU-20-039</t>
  </si>
  <si>
    <t>RFQ-146-2020</t>
  </si>
  <si>
    <t>08-2020</t>
  </si>
  <si>
    <t>2020-466</t>
  </si>
  <si>
    <t>039-2020-AMP</t>
  </si>
  <si>
    <t>2020-06-172</t>
  </si>
  <si>
    <t>MED-SUP-2020-002</t>
  </si>
  <si>
    <t>2020-06-323-35</t>
  </si>
  <si>
    <t>20OD0194</t>
  </si>
  <si>
    <t>RFQ # 20-06-061 (Goods)</t>
  </si>
  <si>
    <t>RFQ-148-2020</t>
  </si>
  <si>
    <t>2020-06-015B</t>
  </si>
  <si>
    <t>20200623</t>
  </si>
  <si>
    <t>GDS 20-061</t>
  </si>
  <si>
    <t>100(07-02-2020)4</t>
  </si>
  <si>
    <t>PB039-20</t>
  </si>
  <si>
    <t>20030201</t>
  </si>
  <si>
    <t>100(01)20-02-0561</t>
  </si>
  <si>
    <t>PR No. 2006-132</t>
  </si>
  <si>
    <t>PR-NarvBAC2020-029</t>
  </si>
  <si>
    <t>100(07-02-2020)6</t>
  </si>
  <si>
    <t>RFQ-24-20</t>
  </si>
  <si>
    <t>DENR-NCR, PR No. 2020-148 dtd 03/09/2020</t>
  </si>
  <si>
    <t>20-06-145</t>
  </si>
  <si>
    <t>2006-003</t>
  </si>
  <si>
    <t>P-22-06-2020</t>
  </si>
  <si>
    <t>2020-02-0435 Rollerlid</t>
  </si>
  <si>
    <t>SNCHS# 2020-0013</t>
  </si>
  <si>
    <t>LTO-SU-20-040</t>
  </si>
  <si>
    <t>ITB2020-04-02 BALITE</t>
  </si>
  <si>
    <t>GDS 20-062</t>
  </si>
  <si>
    <t>100-2006-452-GF</t>
  </si>
  <si>
    <t>DES 0358-20</t>
  </si>
  <si>
    <t>2020-05-10</t>
  </si>
  <si>
    <t>PIKCOT-SUPP-002020-00140</t>
  </si>
  <si>
    <t>0366</t>
  </si>
  <si>
    <t>PR No. 2006-133</t>
  </si>
  <si>
    <t>062320-2</t>
  </si>
  <si>
    <t>2020-6-6818</t>
  </si>
  <si>
    <t>2020-ODY-06-185</t>
  </si>
  <si>
    <t>2020-06-324-36</t>
  </si>
  <si>
    <t>CA100-2020-06-005</t>
  </si>
  <si>
    <t>20OD0196</t>
  </si>
  <si>
    <t>NS-06-24-20-05-R3</t>
  </si>
  <si>
    <t>20CSAC05</t>
  </si>
  <si>
    <t>PR# 20-06-0765</t>
  </si>
  <si>
    <t>Nasugbu ITB 20-08</t>
  </si>
  <si>
    <t>20201200</t>
  </si>
  <si>
    <t>100(07-02-2020)7</t>
  </si>
  <si>
    <t>20CN0069</t>
  </si>
  <si>
    <t>2020-06-409</t>
  </si>
  <si>
    <t>PG-0007-20</t>
  </si>
  <si>
    <t>43</t>
  </si>
  <si>
    <t>BMB 20-032</t>
  </si>
  <si>
    <t>PR# 20-0755</t>
  </si>
  <si>
    <t>2020-02-0376</t>
  </si>
  <si>
    <t>1011-20-140</t>
  </si>
  <si>
    <t>2020-ODY-06-184</t>
  </si>
  <si>
    <t>20060470</t>
  </si>
  <si>
    <t>GTO-2020-54</t>
  </si>
  <si>
    <t>2020-20</t>
  </si>
  <si>
    <t>20CN0070</t>
  </si>
  <si>
    <t>100-20-06-363</t>
  </si>
  <si>
    <t>06-23-01</t>
  </si>
  <si>
    <t>20CSAC06</t>
  </si>
  <si>
    <t>2020-06-0006</t>
  </si>
  <si>
    <t>P-0631</t>
  </si>
  <si>
    <t>20-06-162</t>
  </si>
  <si>
    <t>S00213-2020</t>
  </si>
  <si>
    <t>2020-ODY-06-186</t>
  </si>
  <si>
    <t>20201201</t>
  </si>
  <si>
    <t>GTO-2020-55</t>
  </si>
  <si>
    <t>6-23-20</t>
  </si>
  <si>
    <t>100(07-02-2020)9</t>
  </si>
  <si>
    <t>20-476</t>
  </si>
  <si>
    <t>DBMXII-RFQ-2020-06-0001</t>
  </si>
  <si>
    <t>2020159</t>
  </si>
  <si>
    <t>EBMS 0257-20</t>
  </si>
  <si>
    <t>06-23-03</t>
  </si>
  <si>
    <t>20-531-06</t>
  </si>
  <si>
    <t>2020-06-38</t>
  </si>
  <si>
    <t>QN2020-06-003B</t>
  </si>
  <si>
    <t>2020-06-0083</t>
  </si>
  <si>
    <t>BAC-06-1046</t>
  </si>
  <si>
    <t>BAC-06-1044</t>
  </si>
  <si>
    <t>conrmpb2020-june1</t>
  </si>
  <si>
    <t>Competitive Bidding 2020-21</t>
  </si>
  <si>
    <t>M2020-06-0019</t>
  </si>
  <si>
    <t>06-23-02</t>
  </si>
  <si>
    <t>2020-06-</t>
  </si>
  <si>
    <t>2020-ODY-06-188</t>
  </si>
  <si>
    <t>BAC-06-1045</t>
  </si>
  <si>
    <t>JOB ORDER NO.0070 - 2020</t>
  </si>
  <si>
    <t>RFQ031-06-20M</t>
  </si>
  <si>
    <t>20-06-146</t>
  </si>
  <si>
    <t>20OD0198</t>
  </si>
  <si>
    <t>20201199</t>
  </si>
  <si>
    <t>0035/June/20</t>
  </si>
  <si>
    <t>PR No. 2006-139</t>
  </si>
  <si>
    <t>100(07-02-2020)8</t>
  </si>
  <si>
    <t>20CSAC04</t>
  </si>
  <si>
    <t>038-2020-AMP</t>
  </si>
  <si>
    <t>2020-101-056</t>
  </si>
  <si>
    <t>2020-ODY-06-187</t>
  </si>
  <si>
    <t>20OD0197</t>
  </si>
  <si>
    <t>GS-GF-2020-0267</t>
  </si>
  <si>
    <t>ROSAL 0338-2020</t>
  </si>
  <si>
    <t>100-20-06-714</t>
  </si>
  <si>
    <t>GTO-2020-56</t>
  </si>
  <si>
    <t>760-000-620-96000</t>
  </si>
  <si>
    <t>2020-08B</t>
  </si>
  <si>
    <t>2020160</t>
  </si>
  <si>
    <t>100(07-02-2020)10</t>
  </si>
  <si>
    <t>0025-06-2020</t>
  </si>
  <si>
    <t>BLGU-BUAYA-AL-G-01-2020</t>
  </si>
  <si>
    <t>2020-05-13</t>
  </si>
  <si>
    <t>20-475</t>
  </si>
  <si>
    <t>2020-06-0162</t>
  </si>
  <si>
    <t>2020-06-263</t>
  </si>
  <si>
    <t>2020-0158</t>
  </si>
  <si>
    <t>goods 164-2020</t>
  </si>
  <si>
    <t>PAPC-ASPA-2020-11321-5268</t>
  </si>
  <si>
    <t>20OD0199</t>
  </si>
  <si>
    <t>100-20-06-718</t>
  </si>
  <si>
    <t>2020-525-06</t>
  </si>
  <si>
    <t>RFQ 2020-77</t>
  </si>
  <si>
    <t>2020-062-15-14</t>
  </si>
  <si>
    <t>RFQ-12-2020</t>
  </si>
  <si>
    <t>2020-06-099</t>
  </si>
  <si>
    <t>EMBCAR-2020-6-29</t>
  </si>
  <si>
    <t>06-23-05</t>
  </si>
  <si>
    <t>20CN0072</t>
  </si>
  <si>
    <t>PGC-RFQ-20200623-1</t>
  </si>
  <si>
    <t>5438</t>
  </si>
  <si>
    <t>SVP 20-752-1</t>
  </si>
  <si>
    <t>BUHIGOODS202006-001</t>
  </si>
  <si>
    <t>REI 2020-06-0077</t>
  </si>
  <si>
    <t>0002</t>
  </si>
  <si>
    <t>D-025-0277-20</t>
  </si>
  <si>
    <t>06-23-07</t>
  </si>
  <si>
    <t>GOODS 2020-016</t>
  </si>
  <si>
    <t>44</t>
  </si>
  <si>
    <t>DIII-2020-06-079</t>
  </si>
  <si>
    <t>E2006-403</t>
  </si>
  <si>
    <t>RFQ 2020-06-0119</t>
  </si>
  <si>
    <t>None</t>
  </si>
  <si>
    <t>PR 2020-06-1852</t>
  </si>
  <si>
    <t>20CN0071</t>
  </si>
  <si>
    <t>2020-06-1012 Liquefied Petroleum Gas, 50KG/CYL</t>
  </si>
  <si>
    <t>2020-06-15</t>
  </si>
  <si>
    <t>Barangay Ilaor Norte</t>
  </si>
  <si>
    <t>100-2020-05-0084</t>
  </si>
  <si>
    <t>BUHIGOODS202006-003</t>
  </si>
  <si>
    <t>GHQPC-AFPREO-TRNG-1040-20</t>
  </si>
  <si>
    <t>PR#2020-06-001-E</t>
  </si>
  <si>
    <t>Solicitation No. Goods 20-0624-0044R</t>
  </si>
  <si>
    <t>A2-0202-0494</t>
  </si>
  <si>
    <t>BUHIGOODS202006-002</t>
  </si>
  <si>
    <t>DOH-MMCHD-2020-06-179-G</t>
  </si>
  <si>
    <t>RFQ-2020-256</t>
  </si>
  <si>
    <t>20CN0074</t>
  </si>
  <si>
    <t>2020-09B</t>
  </si>
  <si>
    <t>20CN0124</t>
  </si>
  <si>
    <t>DOH-MMCHD-2020-06-178-G</t>
  </si>
  <si>
    <t>20CN0125</t>
  </si>
  <si>
    <t>BAC 19-20</t>
  </si>
  <si>
    <t>20-06-147</t>
  </si>
  <si>
    <t>100(01)20-02-0607</t>
  </si>
  <si>
    <t>100(01)20-06-1158</t>
  </si>
  <si>
    <t>20CN0123</t>
  </si>
  <si>
    <t>20CN0075</t>
  </si>
  <si>
    <t>PR 2020-06-1854</t>
  </si>
  <si>
    <t>PR 2020-06-1851</t>
  </si>
  <si>
    <t>GOODS20-06-032</t>
  </si>
  <si>
    <t>20-06-120</t>
  </si>
  <si>
    <t>PR 2020-06-1853</t>
  </si>
  <si>
    <t>EBMS 0254-20</t>
  </si>
  <si>
    <t>GOODS 2020-017</t>
  </si>
  <si>
    <t>100(01)20-05-1090</t>
  </si>
  <si>
    <t>gsis/npsvp-224-20</t>
  </si>
  <si>
    <t>0003</t>
  </si>
  <si>
    <t>GOODS20-06-033</t>
  </si>
  <si>
    <t>NFWM-20-04-051</t>
  </si>
  <si>
    <t>pr2020-0447</t>
  </si>
  <si>
    <t>ITB 20-141a</t>
  </si>
  <si>
    <t>SJ-20-161</t>
  </si>
  <si>
    <t>ITB 20-141b</t>
  </si>
  <si>
    <t>NFWM-20-04-033</t>
  </si>
  <si>
    <t>S00214-2020</t>
  </si>
  <si>
    <t>ITDI-200377</t>
  </si>
  <si>
    <t>2020162</t>
  </si>
  <si>
    <t>RFQ NO. 2020-0232</t>
  </si>
  <si>
    <t>PR. NO. 2020060699</t>
  </si>
  <si>
    <t>ITB (CW-06-2020-020) 20DD0304 (Re-Advertised)</t>
  </si>
  <si>
    <t>GS-PNBAC2-2020-31</t>
  </si>
  <si>
    <t>ITB 20-141e</t>
  </si>
  <si>
    <t>BOLO LABRADOR -06-01</t>
  </si>
  <si>
    <t>20-06-17A</t>
  </si>
  <si>
    <t>007-2020</t>
  </si>
  <si>
    <t>EBMS 0628-20</t>
  </si>
  <si>
    <t>ITB 20-141d</t>
  </si>
  <si>
    <t>PR 0202-05-350</t>
  </si>
  <si>
    <t>20-06-148</t>
  </si>
  <si>
    <t>20FB0156</t>
  </si>
  <si>
    <t>2020161</t>
  </si>
  <si>
    <t>EBMS 0582-20</t>
  </si>
  <si>
    <t>0620-002</t>
  </si>
  <si>
    <t>QTN#NO.0324-A,PR#NO.0344-SCG</t>
  </si>
  <si>
    <t>2020163</t>
  </si>
  <si>
    <t>2020-04-013</t>
  </si>
  <si>
    <t>Pembo 20-06-067</t>
  </si>
  <si>
    <t>ITB 20-141f</t>
  </si>
  <si>
    <t>RIS#20-03-017</t>
  </si>
  <si>
    <t>2020-04-014</t>
  </si>
  <si>
    <t>20-0062</t>
  </si>
  <si>
    <t>APDC-ITB NO. 2020-06-002</t>
  </si>
  <si>
    <t>RFQ 2020-06-0726</t>
  </si>
  <si>
    <t>S00215-2020</t>
  </si>
  <si>
    <t>2020165</t>
  </si>
  <si>
    <t>NIFWM-20-05-083</t>
  </si>
  <si>
    <t>RFQ-2020-012</t>
  </si>
  <si>
    <t>PR #00690</t>
  </si>
  <si>
    <t>DOP-1230-20</t>
  </si>
  <si>
    <t>026</t>
  </si>
  <si>
    <t>EBMS 0585-20</t>
  </si>
  <si>
    <t>1420</t>
  </si>
  <si>
    <t>2020-161</t>
  </si>
  <si>
    <t>PR. NO. 2020060698</t>
  </si>
  <si>
    <t>BAC 06/23/20-02</t>
  </si>
  <si>
    <t>ITB (CW-06-2020-020) 20DD0349</t>
  </si>
  <si>
    <t>PR NO. 02020-06-002</t>
  </si>
  <si>
    <t>RTH-20-0216-B</t>
  </si>
  <si>
    <t>pmma-svp-38-20</t>
  </si>
  <si>
    <t>2020-06-001-NP-INFRA</t>
  </si>
  <si>
    <t>Tumpa-Infra-06232020</t>
  </si>
  <si>
    <t>BP-INFRA-2020-008</t>
  </si>
  <si>
    <t>ITB 20-141j</t>
  </si>
  <si>
    <t>ITB (CW-06-2020-020) 20DD0351</t>
  </si>
  <si>
    <t>20GSDG0017</t>
  </si>
  <si>
    <t>BDF-2019-001</t>
  </si>
  <si>
    <t>PHS-1225</t>
  </si>
  <si>
    <t>2020-06-1934</t>
  </si>
  <si>
    <t>pmma-svp-39-20</t>
  </si>
  <si>
    <t>BAGO-BAC-2020-0149</t>
  </si>
  <si>
    <t>2020-06-002-NP-INFRA</t>
  </si>
  <si>
    <t>RIS#20-03-019</t>
  </si>
  <si>
    <t>Magogon-Infra-06232020</t>
  </si>
  <si>
    <t>PIA-2020-031</t>
  </si>
  <si>
    <t>025-FTC 2020</t>
  </si>
  <si>
    <t>PHS-1223-20</t>
  </si>
  <si>
    <t>2020-06-0032</t>
  </si>
  <si>
    <t>BAC 2020-06-10</t>
  </si>
  <si>
    <t>2020-0020</t>
  </si>
  <si>
    <t>0020-0158-0925B2020</t>
  </si>
  <si>
    <t>PHS-1222-20</t>
  </si>
  <si>
    <t>2020-0021</t>
  </si>
  <si>
    <t>202006J</t>
  </si>
  <si>
    <t>2020-50213040 99-167</t>
  </si>
  <si>
    <t>20-06-17C</t>
  </si>
  <si>
    <t>20-06-128</t>
  </si>
  <si>
    <t>PCDP-2020-06-0201</t>
  </si>
  <si>
    <t>2020-06-087</t>
  </si>
  <si>
    <t>2020-6-6824</t>
  </si>
  <si>
    <t>PHS-1224-20</t>
  </si>
  <si>
    <t>ITB (CW-06-2020-020) 20DD0353</t>
  </si>
  <si>
    <t>0623202001</t>
  </si>
  <si>
    <t>0020-0154-0913A2020</t>
  </si>
  <si>
    <t>2020-67</t>
  </si>
  <si>
    <t>RFQ 117-06-2020</t>
  </si>
  <si>
    <t>G-003-06-2020</t>
  </si>
  <si>
    <t>S00217-2020</t>
  </si>
  <si>
    <t>2020-016</t>
  </si>
  <si>
    <t>RTH-20-0181-B(RE-BID)</t>
  </si>
  <si>
    <t>20-06-17B</t>
  </si>
  <si>
    <t>ITB (CW-06-2020-020) 20DD0352</t>
  </si>
  <si>
    <t>BAC3-NIH-IHG-PR10402</t>
  </si>
  <si>
    <t>2006094</t>
  </si>
  <si>
    <t>2020-049</t>
  </si>
  <si>
    <t>20-06-17</t>
  </si>
  <si>
    <t>2020-06-063</t>
  </si>
  <si>
    <t>SVP-084-20</t>
  </si>
  <si>
    <t>S00218-2020</t>
  </si>
  <si>
    <t>2020-68</t>
  </si>
  <si>
    <t>PBI-2020-15</t>
  </si>
  <si>
    <t>100-20-05-323</t>
  </si>
  <si>
    <t>RFQ 107-06-2020</t>
  </si>
  <si>
    <t>2020-062-15-16</t>
  </si>
  <si>
    <t>PBI-2020-13</t>
  </si>
  <si>
    <t>2020-06-256</t>
  </si>
  <si>
    <t>06-82-2020</t>
  </si>
  <si>
    <t>PR No. 2020-06-112</t>
  </si>
  <si>
    <t>DOH-MMCHD-2020-06-180-G</t>
  </si>
  <si>
    <t>0560</t>
  </si>
  <si>
    <t>PBI-2020-14</t>
  </si>
  <si>
    <t>2020-06-003-NP-INFRA</t>
  </si>
  <si>
    <t>2020-05-17</t>
  </si>
  <si>
    <t>ITB (CW-06-2020-020) 20DD0350</t>
  </si>
  <si>
    <t>PR 10715</t>
  </si>
  <si>
    <t>0020-0158-0925A2020</t>
  </si>
  <si>
    <t>MOOE2nd2020</t>
  </si>
  <si>
    <t>RFQ 20-155</t>
  </si>
  <si>
    <t>2020-06-Prenza</t>
  </si>
  <si>
    <t>UPB2020.045</t>
  </si>
  <si>
    <t>2020-08-018-INFRA</t>
  </si>
  <si>
    <t>0220-003</t>
  </si>
  <si>
    <t>PHS-1221-20</t>
  </si>
  <si>
    <t>PBI-2020-17</t>
  </si>
  <si>
    <t>2020-052</t>
  </si>
  <si>
    <t>BAGO-BAC-2020-0150</t>
  </si>
  <si>
    <t>PBI-2020-16</t>
  </si>
  <si>
    <t>RFQ-2020-179</t>
  </si>
  <si>
    <t>026-FTC 2020</t>
  </si>
  <si>
    <t>a.20.06.19</t>
  </si>
  <si>
    <t>PR 097-05-2020</t>
  </si>
  <si>
    <t>062320-3</t>
  </si>
  <si>
    <t>2020-6-6829b</t>
  </si>
  <si>
    <t>J.O. NO. 2006-024</t>
  </si>
  <si>
    <t>RTH-20-0180-B</t>
  </si>
  <si>
    <t>ITB (CW-06-2020-020) 20DD0356</t>
  </si>
  <si>
    <t>PR#464</t>
  </si>
  <si>
    <t>S00219-2020</t>
  </si>
  <si>
    <t>2020-25</t>
  </si>
  <si>
    <t>100-20-05-321</t>
  </si>
  <si>
    <t>2020-056</t>
  </si>
  <si>
    <t>PURCHASE REQUEST NO. 2020-PR-153</t>
  </si>
  <si>
    <t>2020-0022</t>
  </si>
  <si>
    <t>OSG-020-06-064</t>
  </si>
  <si>
    <t>20KK0128</t>
  </si>
  <si>
    <t>SH 033-20</t>
  </si>
  <si>
    <t>100-06-20-448</t>
  </si>
  <si>
    <t>ITB NO. SV20-06-002ANG SUPPLY AND AND DELIVERY OF</t>
  </si>
  <si>
    <t>ITB 20-141i</t>
  </si>
  <si>
    <t>2020-0023</t>
  </si>
  <si>
    <t>ITB (CW-06-2020-020) 20DD0355</t>
  </si>
  <si>
    <t>20-06-16C</t>
  </si>
  <si>
    <t>2020-06-Arpili</t>
  </si>
  <si>
    <t>Pembo 20-06-068</t>
  </si>
  <si>
    <t>20-03-086</t>
  </si>
  <si>
    <t>ITB 20-141h</t>
  </si>
  <si>
    <t>RFQ 2020-06-0727</t>
  </si>
  <si>
    <t>20-06-004</t>
  </si>
  <si>
    <t>BAGO-BAC-2020-0146</t>
  </si>
  <si>
    <t>EBMS 0584-20</t>
  </si>
  <si>
    <t>2020166</t>
  </si>
  <si>
    <t>2020-062-15-15</t>
  </si>
  <si>
    <t>Goods-ETG-20-06-013</t>
  </si>
  <si>
    <t>PR NO. 100-1101-20-06-0610</t>
  </si>
  <si>
    <t>pmma-svp-37-20</t>
  </si>
  <si>
    <t>RTH-20-0177-B(RE-BID)</t>
  </si>
  <si>
    <t>2020-306</t>
  </si>
  <si>
    <t>ITB (CW-06-2020-020) 20DD0354</t>
  </si>
  <si>
    <t>Aklan BAC ITB 364 Series of 2020</t>
  </si>
  <si>
    <t>20-06-16B</t>
  </si>
  <si>
    <t>20-01.048</t>
  </si>
  <si>
    <t>Sip-2020-071</t>
  </si>
  <si>
    <t>ITB (CW-06-2020-020) 20DD0358</t>
  </si>
  <si>
    <t>2020-458</t>
  </si>
  <si>
    <t>19GC00091</t>
  </si>
  <si>
    <t>062320-4</t>
  </si>
  <si>
    <t>24</t>
  </si>
  <si>
    <t>MDRRM-01-06-2020</t>
  </si>
  <si>
    <t>PR#470</t>
  </si>
  <si>
    <t>2020-162</t>
  </si>
  <si>
    <t>0004</t>
  </si>
  <si>
    <t>PR20-06-44</t>
  </si>
  <si>
    <t>Sip-2020-072</t>
  </si>
  <si>
    <t>74-2020</t>
  </si>
  <si>
    <t>CW06232020-2</t>
  </si>
  <si>
    <t>Sip-2020-073</t>
  </si>
  <si>
    <t>2020-062-15-19</t>
  </si>
  <si>
    <t>RHU-20-06-833</t>
  </si>
  <si>
    <t>20-06-038</t>
  </si>
  <si>
    <t>0467</t>
  </si>
  <si>
    <t>2020-1-06-05-990-160</t>
  </si>
  <si>
    <t>RFQ-2020-258</t>
  </si>
  <si>
    <t>LTFRB-006-021</t>
  </si>
  <si>
    <t>2020-06-0119</t>
  </si>
  <si>
    <t>G-2020-04</t>
  </si>
  <si>
    <t>PR-2020-1383</t>
  </si>
  <si>
    <t>PR/RFQ# 2020-06-100</t>
  </si>
  <si>
    <t>CW06232020-3</t>
  </si>
  <si>
    <t>20GCI0002</t>
  </si>
  <si>
    <t>BTG3-20GDC0006</t>
  </si>
  <si>
    <t>SVP FB 2020-06-001</t>
  </si>
  <si>
    <t>PNU2020-0051</t>
  </si>
  <si>
    <t>100-06-20-449</t>
  </si>
  <si>
    <t>20-06-0171TC</t>
  </si>
  <si>
    <t>20-06-AFD0093</t>
  </si>
  <si>
    <t>20AG0125</t>
  </si>
  <si>
    <t>20GCI0003</t>
  </si>
  <si>
    <t>20-05-0154</t>
  </si>
  <si>
    <t>IB-20-005-GOODS-TEC</t>
  </si>
  <si>
    <t>20-0084</t>
  </si>
  <si>
    <t>2020-163</t>
  </si>
  <si>
    <t>100-20-06-407</t>
  </si>
  <si>
    <t>2020-06-2330</t>
  </si>
  <si>
    <t>2020-08-019-INFRA</t>
  </si>
  <si>
    <t>RF-2019-001</t>
  </si>
  <si>
    <t>BTG3-20GDC0007</t>
  </si>
  <si>
    <t>2020-06-079</t>
  </si>
  <si>
    <t>20-06-140SG</t>
  </si>
  <si>
    <t>2020-062-15-20</t>
  </si>
  <si>
    <t>2020-1-06-05-990-161</t>
  </si>
  <si>
    <t>20220-05-006</t>
  </si>
  <si>
    <t>RFQ-20-06-027</t>
  </si>
  <si>
    <t>JCH-20-0231-B</t>
  </si>
  <si>
    <t>PR 11182</t>
  </si>
  <si>
    <t>RFQ 100-2020-06-02</t>
  </si>
  <si>
    <t>2020-05-14</t>
  </si>
  <si>
    <t>2020-06-0359</t>
  </si>
  <si>
    <t>PR-2020-1423</t>
  </si>
  <si>
    <t>2020-08-020-INFRA</t>
  </si>
  <si>
    <t>20-06-075</t>
  </si>
  <si>
    <t>BAC3-NIH-IHG-PR10897</t>
  </si>
  <si>
    <t>DOH-MMCHD-2020-06-181-G</t>
  </si>
  <si>
    <t>2020-06-154</t>
  </si>
  <si>
    <t>6-25</t>
  </si>
  <si>
    <t>101-020-006-066</t>
  </si>
  <si>
    <t>shop5</t>
  </si>
  <si>
    <t>027-FTC 2020</t>
  </si>
  <si>
    <t>20-03-010</t>
  </si>
  <si>
    <t>FLGU-G-2020-31</t>
  </si>
  <si>
    <t>2020-425</t>
  </si>
  <si>
    <t>Mkna-GSO-20-282</t>
  </si>
  <si>
    <t>20-06-220HS</t>
  </si>
  <si>
    <t>958</t>
  </si>
  <si>
    <t>2020-06-101</t>
  </si>
  <si>
    <t>062320-5</t>
  </si>
  <si>
    <t>RFQ-TPB-PR.2020.06.186</t>
  </si>
  <si>
    <t>DBM-NCR-2020-009</t>
  </si>
  <si>
    <t>2020-0159</t>
  </si>
  <si>
    <t>233</t>
  </si>
  <si>
    <t>Q-51</t>
  </si>
  <si>
    <t>20-06-0150</t>
  </si>
  <si>
    <t>SVP-085-20</t>
  </si>
  <si>
    <t>DA 8 SVP Goods 2020-06-0081 (Rice 20-02-11-0394)</t>
  </si>
  <si>
    <t>20-06-0042</t>
  </si>
  <si>
    <t>2020-6-6829c</t>
  </si>
  <si>
    <t>RFQ 100-2020-06-04</t>
  </si>
  <si>
    <t>20M00080</t>
  </si>
  <si>
    <t>nlp2020-14</t>
  </si>
  <si>
    <t>20-06-AFD0092</t>
  </si>
  <si>
    <t>2020-449</t>
  </si>
  <si>
    <t>2020-07</t>
  </si>
  <si>
    <t>20KK0129</t>
  </si>
  <si>
    <t>2020-50203210 99-164</t>
  </si>
  <si>
    <t>PHS-1229-20</t>
  </si>
  <si>
    <t>2020-6-6829d</t>
  </si>
  <si>
    <t>GOODS-PB-2020-036</t>
  </si>
  <si>
    <t>20-06-RES0430</t>
  </si>
  <si>
    <t>Nego/SVP 2020-06-035</t>
  </si>
  <si>
    <t>028-FTC 2020</t>
  </si>
  <si>
    <t>SJ-20-164</t>
  </si>
  <si>
    <t>2020-08-021-INFRA</t>
  </si>
  <si>
    <t>2020-0800-RFQ-65</t>
  </si>
  <si>
    <t>EBMS 1025-20</t>
  </si>
  <si>
    <t>2020-06-2319</t>
  </si>
  <si>
    <t>2020-06-157</t>
  </si>
  <si>
    <t>L-13-2020</t>
  </si>
  <si>
    <t>2020-447</t>
  </si>
  <si>
    <t>PR NO. 100-1011-20-06-0725</t>
  </si>
  <si>
    <t>LWUA_GSD20-094</t>
  </si>
  <si>
    <t>20-06-0043</t>
  </si>
  <si>
    <t>PHS-1228-20</t>
  </si>
  <si>
    <t>RF-2019-002</t>
  </si>
  <si>
    <t>2020-06-102</t>
  </si>
  <si>
    <t>PR/RFQ# 2020-06-101</t>
  </si>
  <si>
    <t>010</t>
  </si>
  <si>
    <t>MH-GOODS-TLDC-SC-AGRI-SUPPLY-685</t>
  </si>
  <si>
    <t>mda127</t>
  </si>
  <si>
    <t>PR # 20-06-0764</t>
  </si>
  <si>
    <t>JCH-20-0456-B</t>
  </si>
  <si>
    <t>2020-062-15-23</t>
  </si>
  <si>
    <t>20-0031</t>
  </si>
  <si>
    <t>2020-06-218 Top-Up for Mitsubishi Strada (2019)  B</t>
  </si>
  <si>
    <t>CMO(RM-HE)20-016(NP/SV)</t>
  </si>
  <si>
    <t>2020-08-022-INFRA</t>
  </si>
  <si>
    <t>PR-2020-06-811</t>
  </si>
  <si>
    <t>EBMS 0497-20</t>
  </si>
  <si>
    <t>SVP 20-0324</t>
  </si>
  <si>
    <t>LGU-LEZO-2020-010</t>
  </si>
  <si>
    <t>EBMS 0656-20</t>
  </si>
  <si>
    <t>2020-062-15-24</t>
  </si>
  <si>
    <t>02-2020</t>
  </si>
  <si>
    <t>ITB 2020-013</t>
  </si>
  <si>
    <t>PG-20-50</t>
  </si>
  <si>
    <t>PR No. 20-1036</t>
  </si>
  <si>
    <t>20-06-0033</t>
  </si>
  <si>
    <t>GOODS2020-044</t>
  </si>
  <si>
    <t>ATI2020-06-143</t>
  </si>
  <si>
    <t>RFQ2020-06-0178 (PR#1061-20-06-0265)</t>
  </si>
  <si>
    <t>2020-08-023-INFRA</t>
  </si>
  <si>
    <t>PR-2020-0617</t>
  </si>
  <si>
    <t>2020-0010</t>
  </si>
  <si>
    <t>ITB 2020-06-11</t>
  </si>
  <si>
    <t>Nego/SVP 2020-06-037</t>
  </si>
  <si>
    <t>0034-35-36-2020</t>
  </si>
  <si>
    <t>20-06-0642X</t>
  </si>
  <si>
    <t>20-05-0032</t>
  </si>
  <si>
    <t>20-06-0046</t>
  </si>
  <si>
    <t>20KK0130</t>
  </si>
  <si>
    <t>BAC-20-06-057 (OED)</t>
  </si>
  <si>
    <t>GOODS 2020-04(PB)</t>
  </si>
  <si>
    <t>PR-2020-0820</t>
  </si>
  <si>
    <t>20-06-0946</t>
  </si>
  <si>
    <t>PG-20-64</t>
  </si>
  <si>
    <t>Procurement of Reference Books and Instructional M</t>
  </si>
  <si>
    <t>2020-06-77</t>
  </si>
  <si>
    <t>RFQ NO. 20-06-387</t>
  </si>
  <si>
    <t>Nego/SVP 2020-06-038</t>
  </si>
  <si>
    <t>DV-2020-I10</t>
  </si>
  <si>
    <t>DOH-MMCHD-2020-06-182-G</t>
  </si>
  <si>
    <t>BAC RESOLUTION 06-19 SERIES OF 2020</t>
  </si>
  <si>
    <t>S00220-2020</t>
  </si>
  <si>
    <t>2020-06-SG-065</t>
  </si>
  <si>
    <t>19-20</t>
  </si>
  <si>
    <t>062320-6</t>
  </si>
  <si>
    <t>20G00102</t>
  </si>
  <si>
    <t>JCH-20-0224-B</t>
  </si>
  <si>
    <t>20-06-145SG</t>
  </si>
  <si>
    <t>20-06-0041</t>
  </si>
  <si>
    <t>RFQ# 2020-06-253</t>
  </si>
  <si>
    <t>pr-2020-06-822</t>
  </si>
  <si>
    <t>2020-50203210 99-163</t>
  </si>
  <si>
    <t>2020-05-698</t>
  </si>
  <si>
    <t>2020-08-024-INFRA</t>
  </si>
  <si>
    <t>2020-SL06-001</t>
  </si>
  <si>
    <t>PG-20-55</t>
  </si>
  <si>
    <t>RFQ-2020-180</t>
  </si>
  <si>
    <t>2020-06-103</t>
  </si>
  <si>
    <t>20G00103</t>
  </si>
  <si>
    <t>PG-20-60</t>
  </si>
  <si>
    <t>PR-2020-1558</t>
  </si>
  <si>
    <t>2020-011</t>
  </si>
  <si>
    <t>TAL-06-39-2020</t>
  </si>
  <si>
    <t>GOODS2020-045</t>
  </si>
  <si>
    <t>PR NO. 100-1011-20-06-0728</t>
  </si>
  <si>
    <t>100-20-05-0328b</t>
  </si>
  <si>
    <t>P-0632</t>
  </si>
  <si>
    <t>101-20-06-087</t>
  </si>
  <si>
    <t>PR/RFQ# 2020-06-102</t>
  </si>
  <si>
    <t>RFQ-INF-2020-023</t>
  </si>
  <si>
    <t>2020-369</t>
  </si>
  <si>
    <t>CGT- Goods- 2020- 00092</t>
  </si>
  <si>
    <t>06.24.2020</t>
  </si>
  <si>
    <t>BAC-20-06-058 (OED)</t>
  </si>
  <si>
    <t>S00221-2020</t>
  </si>
  <si>
    <t>2020-1-06-05-070-156</t>
  </si>
  <si>
    <t>20-02-0135</t>
  </si>
  <si>
    <t>PR 11227</t>
  </si>
  <si>
    <t>029-FTC 2020</t>
  </si>
  <si>
    <t>20AG0126</t>
  </si>
  <si>
    <t>ITB2020-07-02</t>
  </si>
  <si>
    <t>IB-20-008-GOODS-TEC</t>
  </si>
  <si>
    <t>100-06-20-001</t>
  </si>
  <si>
    <t>IB-20-007-GOODS-PIO</t>
  </si>
  <si>
    <t>S00222-2020</t>
  </si>
  <si>
    <t>Bid No. 20-0263</t>
  </si>
  <si>
    <t>DOH4A-ITB-2020-GS-009B</t>
  </si>
  <si>
    <t>2020-6-6827</t>
  </si>
  <si>
    <t>P-0633</t>
  </si>
  <si>
    <t>PR NO. 100-1011-20-06-0730</t>
  </si>
  <si>
    <t>PG-RFQ-2020-06-03</t>
  </si>
  <si>
    <t>100-20-06-414</t>
  </si>
  <si>
    <t>2020-1-06-05-020-154</t>
  </si>
  <si>
    <t>PG-20-62</t>
  </si>
  <si>
    <t>2020-06-253</t>
  </si>
  <si>
    <t>DOH4A-ITB-2020-GS-009C HFEP EQUIPMENT PACKAGE 3</t>
  </si>
  <si>
    <t>2020-SL06-002</t>
  </si>
  <si>
    <t>2020-06-0107</t>
  </si>
  <si>
    <t>NP-20-CT-0017</t>
  </si>
  <si>
    <t>0029-2020</t>
  </si>
  <si>
    <t>PR NO. 100033120 DATED 11 JUNE 2020</t>
  </si>
  <si>
    <t>PR NO.02020-06-001</t>
  </si>
  <si>
    <t>2020-062-15-27</t>
  </si>
  <si>
    <t>2020-08-026-INFRA</t>
  </si>
  <si>
    <t>2020-06-0132</t>
  </si>
  <si>
    <t>PR-2020-05-651</t>
  </si>
  <si>
    <t>GFP100-2020-03-029</t>
  </si>
  <si>
    <t>PG-20-67</t>
  </si>
  <si>
    <t>062020</t>
  </si>
  <si>
    <t>umcbac20-15</t>
  </si>
  <si>
    <t>ISQ 2020-06-069</t>
  </si>
  <si>
    <t>Procurementof Reference Books and Instructional Ma</t>
  </si>
  <si>
    <t>NP-20-0897</t>
  </si>
  <si>
    <t>2020-062-15-28</t>
  </si>
  <si>
    <t>20BD0126</t>
  </si>
  <si>
    <t>HPMA-2020-06-0375</t>
  </si>
  <si>
    <t>STC-GOOD- NO. 2020-0042</t>
  </si>
  <si>
    <t>BAC-20-06-056 (AMS)</t>
  </si>
  <si>
    <t>06.24.2020-A</t>
  </si>
  <si>
    <t>20BD0127</t>
  </si>
  <si>
    <t>2020-06-314</t>
  </si>
  <si>
    <t>20-0052</t>
  </si>
  <si>
    <t>CGT- Goods- 2020- 00094</t>
  </si>
  <si>
    <t>2020-433</t>
  </si>
  <si>
    <t>2020-LAN-002</t>
  </si>
  <si>
    <t>GOODS 2020-05(PB)</t>
  </si>
  <si>
    <t>100(01)20-06-360(A)</t>
  </si>
  <si>
    <t>20BD0128</t>
  </si>
  <si>
    <t>2020-0162</t>
  </si>
  <si>
    <t>DOH4A-ITB-2020-GS-009D HFEP EQUIPMENT PACKAGE 4</t>
  </si>
  <si>
    <t>CW-109</t>
  </si>
  <si>
    <t>2020-1-06-07-010-162</t>
  </si>
  <si>
    <t>RF-2019-003</t>
  </si>
  <si>
    <t>S00224-2020</t>
  </si>
  <si>
    <t>2020-024</t>
  </si>
  <si>
    <t>PR #00692</t>
  </si>
  <si>
    <t>RFQ-20-03028</t>
  </si>
  <si>
    <t>ERVHS 2020-06-02</t>
  </si>
  <si>
    <t>DA 8 SVP Goods 2020-06-0082 (SAAD 20-06-15-0168 )</t>
  </si>
  <si>
    <t>Nego/SVP 2020-06-042</t>
  </si>
  <si>
    <t>PR-2006-665</t>
  </si>
  <si>
    <t>CGT- Goods- 2020- 00095</t>
  </si>
  <si>
    <t>EBMS 0463-20</t>
  </si>
  <si>
    <t>20AG0127</t>
  </si>
  <si>
    <t>H-2020-06-06</t>
  </si>
  <si>
    <t>Shopping 2020-06-031</t>
  </si>
  <si>
    <t>EM-20-103</t>
  </si>
  <si>
    <t>2020-06-166</t>
  </si>
  <si>
    <t>2020-06-56C</t>
  </si>
  <si>
    <t>PG-20-66</t>
  </si>
  <si>
    <t>RFQ#164-2020</t>
  </si>
  <si>
    <t>PIA 2020-13</t>
  </si>
  <si>
    <t>TF-20-06-097(Q)</t>
  </si>
  <si>
    <t>PG-20-68</t>
  </si>
  <si>
    <t>20AG0128</t>
  </si>
  <si>
    <t>959</t>
  </si>
  <si>
    <t>030-FTC 2020</t>
  </si>
  <si>
    <t>20-05-022</t>
  </si>
  <si>
    <t>IB-20-009-GOODS-TEC</t>
  </si>
  <si>
    <t>OJ2-SPOF-1209-20</t>
  </si>
  <si>
    <t>RFQ 2020-06-0120</t>
  </si>
  <si>
    <t>PR-2020-1393</t>
  </si>
  <si>
    <t>2020-06-16</t>
  </si>
  <si>
    <t>RF-2020-004</t>
  </si>
  <si>
    <t>2020-1-06-05-990-159</t>
  </si>
  <si>
    <t>2020-062-15-29</t>
  </si>
  <si>
    <t>EBMS 0462-20</t>
  </si>
  <si>
    <t>2020-POBSK-001</t>
  </si>
  <si>
    <t>2020-SL06-003</t>
  </si>
  <si>
    <t>073-20</t>
  </si>
  <si>
    <t>2020-02-006-03</t>
  </si>
  <si>
    <t>PR No. 2020-06-0060</t>
  </si>
  <si>
    <t>PG-RFQ-2020-06-04</t>
  </si>
  <si>
    <t>2020-89</t>
  </si>
  <si>
    <t>sfbac2020-AIP-1000-23</t>
  </si>
  <si>
    <t>DOH4A-ITB-2020-GS-009F HFEP EQUIPMENT LINE ITEM 2</t>
  </si>
  <si>
    <t>20BD0130</t>
  </si>
  <si>
    <t>2020-02-006-04</t>
  </si>
  <si>
    <t>2020-0015</t>
  </si>
  <si>
    <t>20BD0129</t>
  </si>
  <si>
    <t>CGT- Goods- 2020- 00096</t>
  </si>
  <si>
    <t>20BD0132</t>
  </si>
  <si>
    <t>2020-0163</t>
  </si>
  <si>
    <t>20AG0129</t>
  </si>
  <si>
    <t>2020-36</t>
  </si>
  <si>
    <t>MGPIN-2020-06-059</t>
  </si>
  <si>
    <t>PENRO06232020</t>
  </si>
  <si>
    <t>2020-1-06-05-030-155</t>
  </si>
  <si>
    <t>STC-GOOD- NO. 2020-0043</t>
  </si>
  <si>
    <t>2020-G-011</t>
  </si>
  <si>
    <t>Lgn1-20-DH-0083</t>
  </si>
  <si>
    <t>AIEB 2020-023</t>
  </si>
  <si>
    <t>2020-062-15-30</t>
  </si>
  <si>
    <t>PR-2020-1130</t>
  </si>
  <si>
    <t>CGT- Goods- 2020- 00097</t>
  </si>
  <si>
    <t>RFQ 2020-06-0121</t>
  </si>
  <si>
    <t>20GOF0010</t>
  </si>
  <si>
    <t>S00225-2020</t>
  </si>
  <si>
    <t>DAR5-2020-06-Q025</t>
  </si>
  <si>
    <t>RFQ 2020-0024</t>
  </si>
  <si>
    <t>0472-20</t>
  </si>
  <si>
    <t>2020-010</t>
  </si>
  <si>
    <t>HTG-2020-05-0073</t>
  </si>
  <si>
    <t>031-FTC 2020</t>
  </si>
  <si>
    <t>MGPIN-2020-06-060</t>
  </si>
  <si>
    <t>EBMS 0267-20</t>
  </si>
  <si>
    <t>OJ2-SPOF-1210-20</t>
  </si>
  <si>
    <t>2020-06-56B</t>
  </si>
  <si>
    <t>supporting documents</t>
  </si>
  <si>
    <t>geps 10-2020</t>
  </si>
  <si>
    <t>20 - OG - 051</t>
  </si>
  <si>
    <t>RFQ NO. EMB-PPPDD-MIS.-SHOPPING-G-074 6-23-2020-4t</t>
  </si>
  <si>
    <t>RRCY 2020-042</t>
  </si>
  <si>
    <t>RFQ 2020-06-0122</t>
  </si>
  <si>
    <t>ITB-022-2020</t>
  </si>
  <si>
    <t>Sip-2020-074</t>
  </si>
  <si>
    <t>2020-062-15-33</t>
  </si>
  <si>
    <t>20-06-021</t>
  </si>
  <si>
    <t>PR-2006-640</t>
  </si>
  <si>
    <t>DENR10 2020-05-0257</t>
  </si>
  <si>
    <t>20-06-878</t>
  </si>
  <si>
    <t>P-0634</t>
  </si>
  <si>
    <t>PR# 20-06-0778</t>
  </si>
  <si>
    <t>SVP 20-0654</t>
  </si>
  <si>
    <t>20GOF0011</t>
  </si>
  <si>
    <t>S00227-2020</t>
  </si>
  <si>
    <t>PR 2020-037</t>
  </si>
  <si>
    <t>20BD0131</t>
  </si>
  <si>
    <t>20AG0130</t>
  </si>
  <si>
    <t>2020-062-15-32</t>
  </si>
  <si>
    <t>PR No.2020-0080</t>
  </si>
  <si>
    <t>2020-211</t>
  </si>
  <si>
    <t>20200623-019</t>
  </si>
  <si>
    <t>20-0644-1031-5</t>
  </si>
  <si>
    <t>20AB0121</t>
  </si>
  <si>
    <t>RFQ 003-20-TWD</t>
  </si>
  <si>
    <t xml:space="preserve">RFQ NO. EMB-PPPDD-MIS.-SHOPPING-G-076 6-23-2020 – </t>
  </si>
  <si>
    <t>DM-BAC-2020-0040</t>
  </si>
  <si>
    <t>RF-2020-005</t>
  </si>
  <si>
    <t>20AG0131</t>
  </si>
  <si>
    <t>RFQ 2020-0025</t>
  </si>
  <si>
    <t>goods2020040</t>
  </si>
  <si>
    <t>2020-026</t>
  </si>
  <si>
    <t>PR-2020-0594</t>
  </si>
  <si>
    <t>RFQ#165-2020</t>
  </si>
  <si>
    <t>2020-06-008a</t>
  </si>
  <si>
    <t>PENRO06232020-2</t>
  </si>
  <si>
    <t>20GOF0013</t>
  </si>
  <si>
    <t>OSPS-REPE-1211-20</t>
  </si>
  <si>
    <t>PR-2020-1422</t>
  </si>
  <si>
    <t>20-04-00328, 20-04-00329, 20-04-00330</t>
  </si>
  <si>
    <t>Goods2020-028</t>
  </si>
  <si>
    <t>RFQ-20-06-0480</t>
  </si>
  <si>
    <t>rfq 2020-06-05</t>
  </si>
  <si>
    <t>RRCY 2020-043</t>
  </si>
  <si>
    <t>LWUA_GSD 20-096</t>
  </si>
  <si>
    <t>2020-062-15-34</t>
  </si>
  <si>
    <t>S00226-2020</t>
  </si>
  <si>
    <t>062020075</t>
  </si>
  <si>
    <t>goods2020041</t>
  </si>
  <si>
    <t>100-20-06-377</t>
  </si>
  <si>
    <t>PR # 20-06-039</t>
  </si>
  <si>
    <t>AIEB 2020-024</t>
  </si>
  <si>
    <t>6911-10-1141-20</t>
  </si>
  <si>
    <t>2020-062-15-31</t>
  </si>
  <si>
    <t>PR No.20-0923</t>
  </si>
  <si>
    <t>20IE0097</t>
  </si>
  <si>
    <t>HPMA-2020-06-0355</t>
  </si>
  <si>
    <t>20-06-095</t>
  </si>
  <si>
    <t>20GOF0015</t>
  </si>
  <si>
    <t>101-1011-2020-03-80</t>
  </si>
  <si>
    <t>20GIL0040</t>
  </si>
  <si>
    <t>2020-062-15-36</t>
  </si>
  <si>
    <t>0465-20</t>
  </si>
  <si>
    <t>20GOF0012</t>
  </si>
  <si>
    <t>20GOF0014</t>
  </si>
  <si>
    <t>2020-307</t>
  </si>
  <si>
    <t>goods2020042</t>
  </si>
  <si>
    <t>RFQ NO. EMB-PPPDD-MIS.-SHOPPING-G-072 6-23-2020-4t</t>
  </si>
  <si>
    <t>PR-2020-06-807</t>
  </si>
  <si>
    <t>PR-2020-1495</t>
  </si>
  <si>
    <t>NP-SVP-20-051</t>
  </si>
  <si>
    <t>2020-06-121</t>
  </si>
  <si>
    <t>2020-062-15-35</t>
  </si>
  <si>
    <t>2020-06-122</t>
  </si>
  <si>
    <t>MJJLECINFRA001-2020-02</t>
  </si>
  <si>
    <t>RFQ-20-06-0473</t>
  </si>
  <si>
    <t>DOH4A-ITB-2020-GS-009E HFEP EQUIPMENT LINE ITEM 1</t>
  </si>
  <si>
    <t>RFQ 2020-06-021</t>
  </si>
  <si>
    <t>2020-PR20-809-188</t>
  </si>
  <si>
    <t>PR 2020-06-0207</t>
  </si>
  <si>
    <t>Nego/SVP 2020-06-041</t>
  </si>
  <si>
    <t>PR 10772</t>
  </si>
  <si>
    <t>06132001</t>
  </si>
  <si>
    <t>101-1011-2020-03-144</t>
  </si>
  <si>
    <t>2020-05-15</t>
  </si>
  <si>
    <t>0463-20</t>
  </si>
  <si>
    <t>RFQ2020-06-0179 (PR#1032-20-06-0266)</t>
  </si>
  <si>
    <t>2020-6-1488</t>
  </si>
  <si>
    <t>S00223-2020</t>
  </si>
  <si>
    <t>20-044</t>
  </si>
  <si>
    <t>RCEF 2020-06-077</t>
  </si>
  <si>
    <t>RFQ No. 20-080: Supply and Delivery of Three Hundr</t>
  </si>
  <si>
    <t>CGT- Goods- 2020- 00093</t>
  </si>
  <si>
    <t>EBMS 0464-20</t>
  </si>
  <si>
    <t>20-03</t>
  </si>
  <si>
    <t>RFQ 083-2020</t>
  </si>
  <si>
    <t>NP-20-0914</t>
  </si>
  <si>
    <t>MKWD2020-052</t>
  </si>
  <si>
    <t>DA3-2020-06-18-221</t>
  </si>
  <si>
    <t>101-20-05-126</t>
  </si>
  <si>
    <t>MG-A7O20-013</t>
  </si>
  <si>
    <t>PIN2020-080</t>
  </si>
  <si>
    <t>ITB - 07 JUNE 2020</t>
  </si>
  <si>
    <t>2020-309</t>
  </si>
  <si>
    <t>2020-08-025-INFRA</t>
  </si>
  <si>
    <t>20GOF0017</t>
  </si>
  <si>
    <t>2020-06-51</t>
  </si>
  <si>
    <t>024-2020</t>
  </si>
  <si>
    <t>20GOF0016</t>
  </si>
  <si>
    <t>PR-2020-1315</t>
  </si>
  <si>
    <t>20IE0098</t>
  </si>
  <si>
    <t>2020-06-MEO-NW-GF-0022</t>
  </si>
  <si>
    <t>PG-20-61</t>
  </si>
  <si>
    <t>2020-0161</t>
  </si>
  <si>
    <t>GOODS 2020-06(PB)</t>
  </si>
  <si>
    <t>PR# 20-06-0779</t>
  </si>
  <si>
    <t>20-06-036</t>
  </si>
  <si>
    <t>20200623_2</t>
  </si>
  <si>
    <t>ITB - 08 JUNE 2020</t>
  </si>
  <si>
    <t>2020-PR20-806-189</t>
  </si>
  <si>
    <t>2020-06-104</t>
  </si>
  <si>
    <t>RFQ-20-06082</t>
  </si>
  <si>
    <t>Bid No. 2020-017</t>
  </si>
  <si>
    <t>2020-06-120</t>
  </si>
  <si>
    <t>8918-5-1632-20 LDF-2020</t>
  </si>
  <si>
    <t>PNU-NL GD 2020-02</t>
  </si>
  <si>
    <t>20GJI0038</t>
  </si>
  <si>
    <t>MG-A7A20-017</t>
  </si>
  <si>
    <t>OSSSM-REPE-1212-20</t>
  </si>
  <si>
    <t>PR-2006-662</t>
  </si>
  <si>
    <t>PR-2020-1298</t>
  </si>
  <si>
    <t>20GOF0018</t>
  </si>
  <si>
    <t>AIEB 2020-025</t>
  </si>
  <si>
    <t>DA 8 SVP Goods 2020-06-0083 (STO 20-05-15-0227)</t>
  </si>
  <si>
    <t>NS-2020-06-0211</t>
  </si>
  <si>
    <t>Shopping 2020-06-040</t>
  </si>
  <si>
    <t>GSO-20-06-0281</t>
  </si>
  <si>
    <t>2020-062-15-26</t>
  </si>
  <si>
    <t>IB-20-006-GOODS-TEC</t>
  </si>
  <si>
    <t>100-20-06-411</t>
  </si>
  <si>
    <t>CMO(ADM)20-102(NP/SV)</t>
  </si>
  <si>
    <t>DA3-2020-06-18-220</t>
  </si>
  <si>
    <t>JCH-20-0306-B</t>
  </si>
  <si>
    <t>2020 002</t>
  </si>
  <si>
    <t>6-36-20</t>
  </si>
  <si>
    <t>PR-2020-1297</t>
  </si>
  <si>
    <t>20GIL0041</t>
  </si>
  <si>
    <t>20200623-020</t>
  </si>
  <si>
    <t>DES-1196-20</t>
  </si>
  <si>
    <t>nego1</t>
  </si>
  <si>
    <t>PR/RFQ# 2020-06-103</t>
  </si>
  <si>
    <t>0475-20</t>
  </si>
  <si>
    <t>MGB_RF-2020-0037</t>
  </si>
  <si>
    <t>20IE0099</t>
  </si>
  <si>
    <t>ADNPR2020-05-029,ADS-017,SDN-023,SDS-023,PDI-027</t>
  </si>
  <si>
    <t>MG-A7O20-005</t>
  </si>
  <si>
    <t>mariafe_infras2020-06-001</t>
  </si>
  <si>
    <t>2020-PR20-885-190</t>
  </si>
  <si>
    <t>20-0085</t>
  </si>
  <si>
    <t>ITB Goods-2020-7</t>
  </si>
  <si>
    <t>PR No. 20061192</t>
  </si>
  <si>
    <t>PR No. 2006-123</t>
  </si>
  <si>
    <t>epslingayen2020-36</t>
  </si>
  <si>
    <t>RSPQ NO. 2020-06-031</t>
  </si>
  <si>
    <t>2020-062-15-25</t>
  </si>
  <si>
    <t>EBMS 0351-20</t>
  </si>
  <si>
    <t>2020 001</t>
  </si>
  <si>
    <t>RFQ NO. EMB-SISMS.-SHOPPING-G-080-06-23-2020-2nd P</t>
  </si>
  <si>
    <t>BAC-20-0091</t>
  </si>
  <si>
    <t>06-014-406-20</t>
  </si>
  <si>
    <t>RFQ-20-06-0482</t>
  </si>
  <si>
    <t>PR No. 20061210</t>
  </si>
  <si>
    <t>2020-04</t>
  </si>
  <si>
    <t>PR 2020-04-1401</t>
  </si>
  <si>
    <t>801</t>
  </si>
  <si>
    <t>OSSSM-REPE-1213-20</t>
  </si>
  <si>
    <t>RFQ NO. EMB-SISMS.-SHOPPING-G-083-06-23-2020-2nd P</t>
  </si>
  <si>
    <t>2006095</t>
  </si>
  <si>
    <t>RFQ-2020-20</t>
  </si>
  <si>
    <t>20-06-137,20-05-113B</t>
  </si>
  <si>
    <t>PR No. 20061195</t>
  </si>
  <si>
    <t>PA-2020-04</t>
  </si>
  <si>
    <t>20-06-686</t>
  </si>
  <si>
    <t>20FE0127</t>
  </si>
  <si>
    <t>DA3-2020-06-18-224</t>
  </si>
  <si>
    <t>2020-427</t>
  </si>
  <si>
    <t>RFQ-2020-21</t>
  </si>
  <si>
    <t>20-027</t>
  </si>
  <si>
    <t>HO-2020-06-0349</t>
  </si>
  <si>
    <t>PR-2020-1296</t>
  </si>
  <si>
    <t>JJWC-NNP-20-010</t>
  </si>
  <si>
    <t>depedvigancity-2020-008</t>
  </si>
  <si>
    <t>GS-GF-2020-0268</t>
  </si>
  <si>
    <t>PR-2020-1299</t>
  </si>
  <si>
    <t>20IE0100</t>
  </si>
  <si>
    <t>SPC PR No. 2020-001</t>
  </si>
  <si>
    <t>OPHTHA-1192-20</t>
  </si>
  <si>
    <t>040-2020-AMP</t>
  </si>
  <si>
    <t>INFRA-2020-05</t>
  </si>
  <si>
    <t>Bid No. 2020-018</t>
  </si>
  <si>
    <t>INFRA-2020-06</t>
  </si>
  <si>
    <t>2020-06-161</t>
  </si>
  <si>
    <t>nego-2</t>
  </si>
  <si>
    <t>2020-06-00479</t>
  </si>
  <si>
    <t>PR No.20-0936</t>
  </si>
  <si>
    <t>LTFRB-006-022</t>
  </si>
  <si>
    <t>PR No. 20061212</t>
  </si>
  <si>
    <t>RFQ#166-2020</t>
  </si>
  <si>
    <t>BAC-06-1048</t>
  </si>
  <si>
    <t>EMBCAR-2020-6-30</t>
  </si>
  <si>
    <t>PR-2020-1497</t>
  </si>
  <si>
    <t>RRCY 2020-044</t>
  </si>
  <si>
    <t>2020-081</t>
  </si>
  <si>
    <t>6232020</t>
  </si>
  <si>
    <t>PR No. 20061226</t>
  </si>
  <si>
    <t>20200623-021</t>
  </si>
  <si>
    <t>20GAC0023</t>
  </si>
  <si>
    <t>PR/RFQ# 2020-06-104</t>
  </si>
  <si>
    <t>nego3</t>
  </si>
  <si>
    <t>2020-06-100</t>
  </si>
  <si>
    <t>2020-03-003</t>
  </si>
  <si>
    <t>20-06-024</t>
  </si>
  <si>
    <t>Lgn1-20-DH-0084</t>
  </si>
  <si>
    <t>Bid No. 20-0266</t>
  </si>
  <si>
    <t>RFQ NO. EMB-SISMS.-SHOPPING-G-079-06-23-2020-2nd P</t>
  </si>
  <si>
    <t>RSPQ NO. 2020-06-032</t>
  </si>
  <si>
    <t>20CSOD01</t>
  </si>
  <si>
    <t>Bid No. 20-0267</t>
  </si>
  <si>
    <t>LPZ - 2020 - 008</t>
  </si>
  <si>
    <t>2020-PB-05</t>
  </si>
  <si>
    <t>GOODS-20-34</t>
  </si>
  <si>
    <t>RFQ-2020-005</t>
  </si>
  <si>
    <t>P-0636</t>
  </si>
  <si>
    <t>nego4</t>
  </si>
  <si>
    <t>DA3-2020-06-18-219</t>
  </si>
  <si>
    <t>062320-B1</t>
  </si>
  <si>
    <t>PSAPSOISUR-2020-001</t>
  </si>
  <si>
    <t>GOODS 2020-07(PB)</t>
  </si>
  <si>
    <t>Continuing 2019 (10704010)</t>
  </si>
  <si>
    <t>059-2020</t>
  </si>
  <si>
    <t>PR No. 20061225</t>
  </si>
  <si>
    <t>EMB13-2020-06-034</t>
  </si>
  <si>
    <t>20AJ0105</t>
  </si>
  <si>
    <t>nego5</t>
  </si>
  <si>
    <t>Ibaan/2020/238</t>
  </si>
  <si>
    <t>LSPUSinC-2020-003PB</t>
  </si>
  <si>
    <t>UPR No ARMOR-OG4-MOOE12-019-2020</t>
  </si>
  <si>
    <t>GF-G-57-2020</t>
  </si>
  <si>
    <t>200872</t>
  </si>
  <si>
    <t>PR 2020 06 0078</t>
  </si>
  <si>
    <t>20GIL0042</t>
  </si>
  <si>
    <t>201695</t>
  </si>
  <si>
    <t>2020-02-poblacion-01</t>
  </si>
  <si>
    <t>Ibaan/2020/239</t>
  </si>
  <si>
    <t>nego6</t>
  </si>
  <si>
    <t>2020-PB-06</t>
  </si>
  <si>
    <t>2020-06-372</t>
  </si>
  <si>
    <t>RFQ#167-2020</t>
  </si>
  <si>
    <t>20IE0102</t>
  </si>
  <si>
    <t>NC#2020-0288-PR2020-0406</t>
  </si>
  <si>
    <t>DA3-2020-06-18-218</t>
  </si>
  <si>
    <t>MKWD2020-053</t>
  </si>
  <si>
    <t>ITB Goods-2020-8</t>
  </si>
  <si>
    <t>RFQ NO. EMB-AQMS-SHOPPING-G-081--6-23-2020-2nd pos</t>
  </si>
  <si>
    <t>PEZA-HO-2020-01</t>
  </si>
  <si>
    <t>2020-53</t>
  </si>
  <si>
    <t>RFQ NO. EMB-EMB-PGSS 2020-085-06-23-2020-2nd Posti</t>
  </si>
  <si>
    <t>PR No.20-0935</t>
  </si>
  <si>
    <t>CY2020-GOODS-002</t>
  </si>
  <si>
    <t>Bid No. 20-0269</t>
  </si>
  <si>
    <t>RFQ2020-06-0181 (PR#3323-20-06-0268)</t>
  </si>
  <si>
    <t>20PC0060</t>
  </si>
  <si>
    <t>GOODS 2020-08(PB)</t>
  </si>
  <si>
    <t>2020-02-010</t>
  </si>
  <si>
    <t>nego7</t>
  </si>
  <si>
    <t>2020-06-06-20</t>
  </si>
  <si>
    <t>20AC0098</t>
  </si>
  <si>
    <t>BUE-06232020-01</t>
  </si>
  <si>
    <t>G-06232020-Purchase of Tire - LGU</t>
  </si>
  <si>
    <t>Lgn1-20-DH-0085</t>
  </si>
  <si>
    <t>202006055</t>
  </si>
  <si>
    <t>Bid No. 20-0268</t>
  </si>
  <si>
    <t>LGU LAUREL 20-06-006</t>
  </si>
  <si>
    <t>008</t>
  </si>
  <si>
    <t>20GAC0024</t>
  </si>
  <si>
    <t>BARANGAY CARIDAD IBABA 20-06-20s</t>
  </si>
  <si>
    <t>02</t>
  </si>
  <si>
    <t>PR2006195</t>
  </si>
  <si>
    <t>20GJI0036</t>
  </si>
  <si>
    <t>20-06-025</t>
  </si>
  <si>
    <t>PR/RFQ# 2020-06-108</t>
  </si>
  <si>
    <t>Bid No. 2020-019</t>
  </si>
  <si>
    <t>12</t>
  </si>
  <si>
    <t>20-028</t>
  </si>
  <si>
    <t>BARANGAY CARIDAD IBABA 20-06-21s</t>
  </si>
  <si>
    <t>B20-19-01</t>
  </si>
  <si>
    <t>RSPQ NO. 2020-06-033</t>
  </si>
  <si>
    <t>nego</t>
  </si>
  <si>
    <t>ITB-2020-JDL-006</t>
  </si>
  <si>
    <t>201747</t>
  </si>
  <si>
    <t>202006056</t>
  </si>
  <si>
    <t>Bid No. 20-0270</t>
  </si>
  <si>
    <t>06042720</t>
  </si>
  <si>
    <t>2020-308</t>
  </si>
  <si>
    <t>AMP-GOODS-2020-06-0015</t>
  </si>
  <si>
    <t>GOODS 2020-09(PB)</t>
  </si>
  <si>
    <t>2020-06-06-21</t>
  </si>
  <si>
    <t>8</t>
  </si>
  <si>
    <t>201748</t>
  </si>
  <si>
    <t>contract1</t>
  </si>
  <si>
    <t>IPW 2020-03-01</t>
  </si>
  <si>
    <t>RFQ2020-06-0180 (PR#3323-20-06-0267)</t>
  </si>
  <si>
    <t>HPMA-2020-06-0371</t>
  </si>
  <si>
    <t>2020-040J</t>
  </si>
  <si>
    <t>9000-3-03-001-004-003-007</t>
  </si>
  <si>
    <t>RFQ-2020-006</t>
  </si>
  <si>
    <t>202006057</t>
  </si>
  <si>
    <t>2020-06-106</t>
  </si>
  <si>
    <t>20AC0100</t>
  </si>
  <si>
    <t>13</t>
  </si>
  <si>
    <t>lgu-es-20-06-135</t>
  </si>
  <si>
    <t>DC-20-17</t>
  </si>
  <si>
    <t>2020-06-080</t>
  </si>
  <si>
    <t>201756</t>
  </si>
  <si>
    <t>P-0637</t>
  </si>
  <si>
    <t>20IE0103</t>
  </si>
  <si>
    <t>EMBR02-SVP-GOODS-MIS062020-013</t>
  </si>
  <si>
    <t>PR No.  2020-06-039</t>
  </si>
  <si>
    <t>IPW 2020-03-02</t>
  </si>
  <si>
    <t>Bid No. 20-0273</t>
  </si>
  <si>
    <t>PR No.100-20-06-176</t>
  </si>
  <si>
    <t>7</t>
  </si>
  <si>
    <t>2020-06-358</t>
  </si>
  <si>
    <t>Continuing 2019-10706010</t>
  </si>
  <si>
    <t>pr#20-05-0059</t>
  </si>
  <si>
    <t>20-1442</t>
  </si>
  <si>
    <t>LSPURFQ-2020-24</t>
  </si>
  <si>
    <t>20AC0099</t>
  </si>
  <si>
    <t>GOODS-2020-29</t>
  </si>
  <si>
    <t>PR/IPG No.: 20-05-0006</t>
  </si>
  <si>
    <t>Bid No. 20-0271</t>
  </si>
  <si>
    <t>ITB Goods-2020-9</t>
  </si>
  <si>
    <t>DA3-2020-88-6-88-2020</t>
  </si>
  <si>
    <t>RFQ2020-06-0182 (PR#1011-20-06-0272)</t>
  </si>
  <si>
    <t>2020-06-23-01</t>
  </si>
  <si>
    <t>113</t>
  </si>
  <si>
    <t>20FE0128</t>
  </si>
  <si>
    <t>SJ-20-165</t>
  </si>
  <si>
    <t>2020-062-15-22</t>
  </si>
  <si>
    <t>15</t>
  </si>
  <si>
    <t>ITB2020-06-10</t>
  </si>
  <si>
    <t>EBMS 0503-20</t>
  </si>
  <si>
    <t>20KE0064</t>
  </si>
  <si>
    <t>20-03-0225</t>
  </si>
  <si>
    <t>LGU LAUREL 20-06-007</t>
  </si>
  <si>
    <t>20-06-0082</t>
  </si>
  <si>
    <t>INFRA-20-07</t>
  </si>
  <si>
    <t>20IE0104</t>
  </si>
  <si>
    <t>031 20-1165</t>
  </si>
  <si>
    <t>ATI-RTC3-2020-0084</t>
  </si>
  <si>
    <t>AMP-20-06-020</t>
  </si>
  <si>
    <t>28</t>
  </si>
  <si>
    <t>100-20-06-0382</t>
  </si>
  <si>
    <t>Bid No. 20-0274</t>
  </si>
  <si>
    <t>ITD 20-06-057</t>
  </si>
  <si>
    <t>AMP-20-06-019</t>
  </si>
  <si>
    <t>2020-06-457</t>
  </si>
  <si>
    <t>PR 2020-02-01</t>
  </si>
  <si>
    <t>ITB- 062320-1</t>
  </si>
  <si>
    <t>27</t>
  </si>
  <si>
    <t>BA 2020-06</t>
  </si>
  <si>
    <t>20CSOD02</t>
  </si>
  <si>
    <t>AMP-20-06-023</t>
  </si>
  <si>
    <t>2020/06/067</t>
  </si>
  <si>
    <t>RFQ No.Good-117-2020</t>
  </si>
  <si>
    <t>2020-06-426</t>
  </si>
  <si>
    <t>RFQ2020-06-0183 (PR#1011-20-06-0279)</t>
  </si>
  <si>
    <t>23</t>
  </si>
  <si>
    <t>2020-041J</t>
  </si>
  <si>
    <t>AMP-20-06-021</t>
  </si>
  <si>
    <t>201754</t>
  </si>
  <si>
    <t>100-20-06-0845</t>
  </si>
  <si>
    <t>2020-06-434</t>
  </si>
  <si>
    <t>AMP-20-06-022</t>
  </si>
  <si>
    <t>2020-06-446</t>
  </si>
  <si>
    <t>2020-0160</t>
  </si>
  <si>
    <t>PRDP-IR-R04A-BTG-003-TAN-001-2017</t>
  </si>
  <si>
    <t>CGSO-20-022(NP/SV)</t>
  </si>
  <si>
    <t>DOH-MMCHD-2020-06-183-G</t>
  </si>
  <si>
    <t>AMP-20-06-027</t>
  </si>
  <si>
    <t>2020-06-107</t>
  </si>
  <si>
    <t>2006-0605</t>
  </si>
  <si>
    <t>PR 2020-02-06</t>
  </si>
  <si>
    <t>201483</t>
  </si>
  <si>
    <t>26</t>
  </si>
  <si>
    <t>ITB No. GOP/20-DSWD-040</t>
  </si>
  <si>
    <t>AMP-20-06-025</t>
  </si>
  <si>
    <t>202006059</t>
  </si>
  <si>
    <t>AMP-20-06-024</t>
  </si>
  <si>
    <t>SA2020-024</t>
  </si>
  <si>
    <t>2020/06/068</t>
  </si>
  <si>
    <t>20CSOD03</t>
  </si>
  <si>
    <t>201714</t>
  </si>
  <si>
    <t>PR-20-03-0087</t>
  </si>
  <si>
    <t>PR NO. 100-1011-20-06-0726</t>
  </si>
  <si>
    <t>093.2020</t>
  </si>
  <si>
    <t>ITB 2020 - 82</t>
  </si>
  <si>
    <t>INFRA-2020-007</t>
  </si>
  <si>
    <t>JCH-20-0174-B(RE-BID)</t>
  </si>
  <si>
    <t>20CSOD06</t>
  </si>
  <si>
    <t>202006061</t>
  </si>
  <si>
    <t>AMP-20-06-026</t>
  </si>
  <si>
    <t>SA2020-027</t>
  </si>
  <si>
    <t>20CSOD04</t>
  </si>
  <si>
    <t>PR 6.031 ITB TPB 2020-029 JANITORIAL SERVICES</t>
  </si>
  <si>
    <t>Construction Supervision and Management Consultanc</t>
  </si>
  <si>
    <t>RFQ 2020-105</t>
  </si>
  <si>
    <t>20CSOD05</t>
  </si>
  <si>
    <t>00282020</t>
  </si>
  <si>
    <t>2020-062-15-21</t>
  </si>
  <si>
    <t>201710</t>
  </si>
  <si>
    <t>202006058</t>
  </si>
  <si>
    <t>0700-2020-06-020</t>
  </si>
  <si>
    <t>094.2020</t>
  </si>
  <si>
    <t>2020/06/069</t>
  </si>
  <si>
    <t>SA2020-025</t>
  </si>
  <si>
    <t>20-0110</t>
  </si>
  <si>
    <t>INFRA JULY 2020-003</t>
  </si>
  <si>
    <t>2020-042J</t>
  </si>
  <si>
    <t>2006-0754</t>
  </si>
  <si>
    <t>NFA-RXI-2020-06</t>
  </si>
  <si>
    <t>095.2020</t>
  </si>
  <si>
    <t>SA2020-026</t>
  </si>
  <si>
    <t>SA2020-029</t>
  </si>
  <si>
    <t>2006-0745</t>
  </si>
  <si>
    <t>ITB 2020 06-01</t>
  </si>
  <si>
    <t>2020-06-72</t>
  </si>
  <si>
    <t>2020-06-108</t>
  </si>
  <si>
    <t>202006063</t>
  </si>
  <si>
    <t>202006064</t>
  </si>
  <si>
    <t>RFQ#168-2020</t>
  </si>
  <si>
    <t>202006066</t>
  </si>
  <si>
    <t>20-0109</t>
  </si>
  <si>
    <t>SA2020-028</t>
  </si>
  <si>
    <t>RFQ MAY BOTILAO ES</t>
  </si>
  <si>
    <t>INFRA JULY 2020-006</t>
  </si>
  <si>
    <t>2020-003-1</t>
  </si>
  <si>
    <t>20-0111</t>
  </si>
  <si>
    <t>SA2020-030</t>
  </si>
  <si>
    <t>2006-0753</t>
  </si>
  <si>
    <t>UPC SVP2020-06-025</t>
  </si>
  <si>
    <t>202006065</t>
  </si>
  <si>
    <t>INFRA JULY 2020-005</t>
  </si>
  <si>
    <t>202006060</t>
  </si>
  <si>
    <t>20CSOD08</t>
  </si>
  <si>
    <t>20CSOD07</t>
  </si>
  <si>
    <t>TESDA PR-0199</t>
  </si>
  <si>
    <t>PR No. 0518 S.2020</t>
  </si>
  <si>
    <t>062-2020</t>
  </si>
  <si>
    <t>2020-6-00856</t>
  </si>
  <si>
    <t>RFQ 2020-106</t>
  </si>
  <si>
    <t>INFRA JULY 2020-004</t>
  </si>
  <si>
    <t>AVRC-2020-06-0211</t>
  </si>
  <si>
    <t>202006062</t>
  </si>
  <si>
    <t>GOODS JULY 2020-003</t>
  </si>
  <si>
    <t>BANTAYAN-2020-06-0196</t>
  </si>
  <si>
    <t>PR No. 2020-06-113</t>
  </si>
  <si>
    <t>2006-0723</t>
  </si>
  <si>
    <t>RFQ-SVP-2020-010</t>
  </si>
  <si>
    <t>G2020-06-061E</t>
  </si>
  <si>
    <t>079-2020</t>
  </si>
  <si>
    <t>INFRA JULY 2020-010</t>
  </si>
  <si>
    <t>20-0112</t>
  </si>
  <si>
    <t>INFRA JULY 2020-008</t>
  </si>
  <si>
    <t>DENR N.Ecija-2020-035</t>
  </si>
  <si>
    <t>SA2020-032</t>
  </si>
  <si>
    <t>1220-20BAC</t>
  </si>
  <si>
    <t>G2020-06-062E</t>
  </si>
  <si>
    <t>INFRA JULY 2020-013</t>
  </si>
  <si>
    <t>Supply of Labor, Equipment and Restoration Materia</t>
  </si>
  <si>
    <t>INFRA JULY 2020-009</t>
  </si>
  <si>
    <t>2020-164</t>
  </si>
  <si>
    <t>G2020-06-065E</t>
  </si>
  <si>
    <t>20-0113</t>
  </si>
  <si>
    <t>RFQ-2020-06-071</t>
  </si>
  <si>
    <t>1223-20BAC</t>
  </si>
  <si>
    <t>2020-23-1</t>
  </si>
  <si>
    <t>1225-20BAC</t>
  </si>
  <si>
    <t>G2020-06-067E</t>
  </si>
  <si>
    <t>MGB MIMA-20-012</t>
  </si>
  <si>
    <t>1219-20BAC</t>
  </si>
  <si>
    <t>2006-0703</t>
  </si>
  <si>
    <t>INFRA JULY 2020-017</t>
  </si>
  <si>
    <t>DAR NO1 2020-06-015</t>
  </si>
  <si>
    <t>2006-0713</t>
  </si>
  <si>
    <t>1216-20BAC</t>
  </si>
  <si>
    <t>SN-GOODS-20-006</t>
  </si>
  <si>
    <t>AVRC-2020-06-0212</t>
  </si>
  <si>
    <t>SN-GOODS-20-002</t>
  </si>
  <si>
    <t>Barangay Zone IV Poblacion 20-06-09s</t>
  </si>
  <si>
    <t>2020-06-064</t>
  </si>
  <si>
    <t>PB-202002</t>
  </si>
  <si>
    <t>DSWD 4B 2020-06-0641 / 0642 /0643</t>
  </si>
  <si>
    <t>G2020-06-066E</t>
  </si>
  <si>
    <t>INFRA JULY 2020-015</t>
  </si>
  <si>
    <t>INFRA JULY 2020-016</t>
  </si>
  <si>
    <t>INFRA JULY 2020-014</t>
  </si>
  <si>
    <t>PB 2020-06-13</t>
  </si>
  <si>
    <t>PR No. 0519 S.2020</t>
  </si>
  <si>
    <t>TDC-0220-012</t>
  </si>
  <si>
    <t>1222-20BAC</t>
  </si>
  <si>
    <t>G2020-06-064E</t>
  </si>
  <si>
    <t>DSWD 4B 2020-06-0665</t>
  </si>
  <si>
    <t>20CSOD10</t>
  </si>
  <si>
    <t>1221-20BAC</t>
  </si>
  <si>
    <t>INFRA JULY 2020-011</t>
  </si>
  <si>
    <t>SA2020-031</t>
  </si>
  <si>
    <t>PR NO. 622</t>
  </si>
  <si>
    <t>INFRA JULY 2020-019</t>
  </si>
  <si>
    <t>INFRA JULY 2020-007</t>
  </si>
  <si>
    <t>INFRA JULY 2020-012</t>
  </si>
  <si>
    <t>DAR NO1 2020-06-014</t>
  </si>
  <si>
    <t>20GFC0017</t>
  </si>
  <si>
    <t>NNP No. 20-TFB-004</t>
  </si>
  <si>
    <t>G2020-06-063E</t>
  </si>
  <si>
    <t>AVRC-2020-06-0213</t>
  </si>
  <si>
    <t>RFQ-2020-06-072</t>
  </si>
  <si>
    <t>RFQ BOTILAOE ES MAY</t>
  </si>
  <si>
    <t>20GFC0016</t>
  </si>
  <si>
    <t>PRN 006</t>
  </si>
  <si>
    <t>PR No. 0520 S.2020</t>
  </si>
  <si>
    <t>PR-SP-2020-06-13</t>
  </si>
  <si>
    <t>Barangay Zone IV Poblacion 20-06-11s</t>
  </si>
  <si>
    <t>INFRA JULY 2020-018</t>
  </si>
  <si>
    <t>SN-INFR-20-003</t>
  </si>
  <si>
    <t>Barangay Zone IV Poblacion 20-06-10b</t>
  </si>
  <si>
    <t>G2020-06-069E</t>
  </si>
  <si>
    <t>G2020-06-070E</t>
  </si>
  <si>
    <t>ICWS-16-001(CB)</t>
  </si>
  <si>
    <t>20GFC0020</t>
  </si>
  <si>
    <t>20CSOD09</t>
  </si>
  <si>
    <t>20GFC0019</t>
  </si>
  <si>
    <t>INFRA JULY 2020-024</t>
  </si>
  <si>
    <t>RFQ-A-018-2020</t>
  </si>
  <si>
    <t>INFRA JULY 2020-023</t>
  </si>
  <si>
    <t>INFRA JULY 2020-022</t>
  </si>
  <si>
    <t>HFW-2020-06-0214</t>
  </si>
  <si>
    <t>20NC0131</t>
  </si>
  <si>
    <t>INFRA JULY 2020-021</t>
  </si>
  <si>
    <t>RFQ-CC-20065-28</t>
  </si>
  <si>
    <t>20GFC0018</t>
  </si>
  <si>
    <t>20NC0132</t>
  </si>
  <si>
    <t>G2020-06-068E</t>
  </si>
  <si>
    <t>2020-02-002</t>
  </si>
  <si>
    <t>2006-0746</t>
  </si>
  <si>
    <t>PR-2020-1457</t>
  </si>
  <si>
    <t>2020-02-001</t>
  </si>
  <si>
    <t>PG-Shopping- 047-2020</t>
  </si>
  <si>
    <t>JCH-20-0230-B(RE-BID)</t>
  </si>
  <si>
    <t>2020-444</t>
  </si>
  <si>
    <t>RFQ 100-2020-06-05</t>
  </si>
  <si>
    <t>Q-098-20</t>
  </si>
  <si>
    <t>102</t>
  </si>
  <si>
    <t>INFRA JULY 2020-020</t>
  </si>
  <si>
    <t>2020-06-2322</t>
  </si>
  <si>
    <t>PRN 052</t>
  </si>
  <si>
    <t>SVP20-0006</t>
  </si>
  <si>
    <t>RFQ# 2020-06-256</t>
  </si>
  <si>
    <t>ITB 2020-012</t>
  </si>
  <si>
    <t>PR-2020-1396</t>
  </si>
  <si>
    <t>PHS-1226-20</t>
  </si>
  <si>
    <t>INFRA JULY 2020-027</t>
  </si>
  <si>
    <t>20GKD0003</t>
  </si>
  <si>
    <t>100-2020-0290, 0583, &amp; 0709</t>
  </si>
  <si>
    <t>G-2020-05</t>
  </si>
  <si>
    <t>DAR NO1 2020-06-016</t>
  </si>
  <si>
    <t>RFQ 100-2020-06-03</t>
  </si>
  <si>
    <t>2020-1-06-05-990-158</t>
  </si>
  <si>
    <t>100-2020-0131,0252, 0665, 0710 &amp; 0780</t>
  </si>
  <si>
    <t>INFRA JULY 2020-028</t>
  </si>
  <si>
    <t>RFQ 2020-06-59</t>
  </si>
  <si>
    <t>RFQ No. 59, s. 2020</t>
  </si>
  <si>
    <t>2020-06-1062</t>
  </si>
  <si>
    <t>202009</t>
  </si>
  <si>
    <t>INFRA JULY 2020-046</t>
  </si>
  <si>
    <t>INFRA JULY 2020-034</t>
  </si>
  <si>
    <t>INFRA JULY 2020-026</t>
  </si>
  <si>
    <t>INFRA JULY 2020-025</t>
  </si>
  <si>
    <t>RFQ-202001</t>
  </si>
  <si>
    <t>100-2020-0717, 0721, 0768 &amp; 0825</t>
  </si>
  <si>
    <t>T3-0620-001</t>
  </si>
  <si>
    <t>INFRA JULY 2020-033</t>
  </si>
  <si>
    <t>06232020-A</t>
  </si>
  <si>
    <t>INFRA JULY 2020-031</t>
  </si>
  <si>
    <t>INFRA JULY 2020-029</t>
  </si>
  <si>
    <t>2020-06-030</t>
  </si>
  <si>
    <t>20-109</t>
  </si>
  <si>
    <t>TDC-0220-009</t>
  </si>
  <si>
    <t>2020-INFRA-21</t>
  </si>
  <si>
    <t>RFQ No. 004-06-2020</t>
  </si>
  <si>
    <t>100-2020-0423, 0633, 0678, 0767 &amp; 0822</t>
  </si>
  <si>
    <t>100-2020-0556</t>
  </si>
  <si>
    <t>RFQ-06242020-B</t>
  </si>
  <si>
    <t>RFQ No. 61, s. 2020</t>
  </si>
  <si>
    <t>INFRA JULY 2020-037</t>
  </si>
  <si>
    <t>100-2020-0738, 0823 &amp; 0828</t>
  </si>
  <si>
    <t>06232020-C</t>
  </si>
  <si>
    <t>INFRA JULY 2020-032</t>
  </si>
  <si>
    <t>INFRA JULY 2020-036</t>
  </si>
  <si>
    <t>RFQ No. 2020-10</t>
  </si>
  <si>
    <t>20NC0133</t>
  </si>
  <si>
    <t>RFQ-06242020-A</t>
  </si>
  <si>
    <t>Barangay Lower Marber 2020-002</t>
  </si>
  <si>
    <t>INFRA JULY 2020-030</t>
  </si>
  <si>
    <t>RFQ No. 005-06-2020</t>
  </si>
  <si>
    <t>20OE0203</t>
  </si>
  <si>
    <t>RFQ No. 2020-SVP-037</t>
  </si>
  <si>
    <t>Barangay Sinawilan 2020-001</t>
  </si>
  <si>
    <t>ESPERANZA-GDS-2020-06-12</t>
  </si>
  <si>
    <t>20OE0202</t>
  </si>
  <si>
    <t>SN-GOODS-20-007</t>
  </si>
  <si>
    <t>06232020-B</t>
  </si>
  <si>
    <t>0620-0003</t>
  </si>
  <si>
    <t>INFRA JULY 2020-035</t>
  </si>
  <si>
    <t>INFRA JULY 2020-044</t>
  </si>
  <si>
    <t>INFRA JULY 2020-043</t>
  </si>
  <si>
    <t>100-2020-0817, 0821 &amp; 0827</t>
  </si>
  <si>
    <t>INFRA JULY 2020-042</t>
  </si>
  <si>
    <t>0714202003</t>
  </si>
  <si>
    <t>0714202001</t>
  </si>
  <si>
    <t>INFRA JULY 2020-041</t>
  </si>
  <si>
    <t>Request to Submit Quotation for the Supply and Del</t>
  </si>
  <si>
    <t>PR No.2020-01-064</t>
  </si>
  <si>
    <t>0714202002</t>
  </si>
  <si>
    <t>ITB 06-018-2020</t>
  </si>
  <si>
    <t>062320-B3</t>
  </si>
  <si>
    <t>PR 06-20-036</t>
  </si>
  <si>
    <t>PR-2020-6-083</t>
  </si>
  <si>
    <t>BAC SVP 2020-45</t>
  </si>
  <si>
    <t>2020 - 07 - 001 (92 - Shopping)</t>
  </si>
  <si>
    <t>20OE0206</t>
  </si>
  <si>
    <t>PR-2020-6-088</t>
  </si>
  <si>
    <t>RFQ NO. 426</t>
  </si>
  <si>
    <t>FDCP-SHP-2020-0623-002</t>
  </si>
  <si>
    <t>PB-20-304</t>
  </si>
  <si>
    <t>RDD-CW 2020-15</t>
  </si>
  <si>
    <t>INFRA JULY 2020-038</t>
  </si>
  <si>
    <t>PB-20-303</t>
  </si>
  <si>
    <t>2020 - 07 - 001 (91 - Shopping)</t>
  </si>
  <si>
    <t>GEPS-009-2020</t>
  </si>
  <si>
    <t>RFQ NO. 428</t>
  </si>
  <si>
    <t>2020 - 07 - 001 (90 - Shopping)</t>
  </si>
  <si>
    <t>20-05-378</t>
  </si>
  <si>
    <t>20GM00154</t>
  </si>
  <si>
    <t>100-20-06-355</t>
  </si>
  <si>
    <t>20-005</t>
  </si>
  <si>
    <t>20-NFA-EPS-06-003</t>
  </si>
  <si>
    <t xml:space="preserve">RFQ-HARDWARE AND CONSTRUCTION SUPPLY-TUP BATANGAS </t>
  </si>
  <si>
    <t>20GM00153</t>
  </si>
  <si>
    <t>100-2020-0735 &amp; 0824</t>
  </si>
  <si>
    <t>PB-20-313</t>
  </si>
  <si>
    <t>ITB#25-2020</t>
  </si>
  <si>
    <t>PB-20-308</t>
  </si>
  <si>
    <t>PB-20-306</t>
  </si>
  <si>
    <t>FDCP-SHP-2020-0623-004</t>
  </si>
  <si>
    <t>20GM00152</t>
  </si>
  <si>
    <t>2020-06-083</t>
  </si>
  <si>
    <t>20GAA0075</t>
  </si>
  <si>
    <t>20GM00151</t>
  </si>
  <si>
    <t>100-20-05-326</t>
  </si>
  <si>
    <t>IPH-20-0206-B</t>
  </si>
  <si>
    <t>20-NFA-EPS-06-004</t>
  </si>
  <si>
    <t>IPH-20-0170-B</t>
  </si>
  <si>
    <t>FDCP-SHP-2020-0623-003</t>
  </si>
  <si>
    <t>PB-20-339</t>
  </si>
  <si>
    <t>IPH-20-0166-B</t>
  </si>
  <si>
    <t>ITB#24-2020</t>
  </si>
  <si>
    <t>20GAA0064-Labor</t>
  </si>
  <si>
    <t>20CCDEO0026</t>
  </si>
  <si>
    <t>6232020-1</t>
  </si>
  <si>
    <t>sjom-goods-0008-2020</t>
  </si>
  <si>
    <t>2020-INFRA-001</t>
  </si>
  <si>
    <t>Contract No. 03 - 2020</t>
  </si>
  <si>
    <t>6232020-2</t>
  </si>
  <si>
    <t>HFW-2020-06-0215</t>
  </si>
  <si>
    <t>sjom-goods-0010-2020</t>
  </si>
  <si>
    <t>sjom-goods-0009-2020</t>
  </si>
  <si>
    <t>DA3-2019-10-29-03 (2020)</t>
  </si>
  <si>
    <t>100-20-05-322</t>
  </si>
  <si>
    <t>2020-06-23 SR</t>
  </si>
  <si>
    <t>sjom-goods-0013-2020</t>
  </si>
  <si>
    <t>2020-06-038</t>
  </si>
  <si>
    <t>DTI-BAC-20-011</t>
  </si>
  <si>
    <t>2020-06-037</t>
  </si>
  <si>
    <t>PR-MOC20-24JUN01JUL24JUL_001</t>
  </si>
  <si>
    <t>2020-601-020</t>
  </si>
  <si>
    <t>HFW-2020-06-0217</t>
  </si>
  <si>
    <t>E20062301</t>
  </si>
  <si>
    <t>BU Cluster 1-2020-008</t>
  </si>
  <si>
    <t>RFQ-DVO-PR.NO. 2006163 CAT. 1 AUDIO-VIDEO EQUIPMEN</t>
  </si>
  <si>
    <t>sjom-goods-0012-2020</t>
  </si>
  <si>
    <t>RFQ-DVO-PR.NO. 2006170 CAT. 10 COMPUTER AND ACCESS</t>
  </si>
  <si>
    <t>E20062304</t>
  </si>
  <si>
    <t>BAC-AIR-INFR-2020-01</t>
  </si>
  <si>
    <t>2ACGM2020RFQ-04</t>
  </si>
  <si>
    <t>HCGDSV-0620-002</t>
  </si>
  <si>
    <t>RFQ-DVO-PR.NO. 2006215 CAT. 80 FUEL, OIL, LUBRICAN</t>
  </si>
  <si>
    <t>100-2020-01-130</t>
  </si>
  <si>
    <t>040-2020</t>
  </si>
  <si>
    <t>RFQ-DVO-PR.NO. 2006134 CAT. 80 FUEL, OIL, LUBRICAN</t>
  </si>
  <si>
    <t>RFQ-DVO-PR.NO. 2006040 CAT. 18 ELECTRICAL EQUIPMEN</t>
  </si>
  <si>
    <t>100-2020-03-496</t>
  </si>
  <si>
    <t>RFQ-DVO-PR.NO. 2006094 CAT. 32 JANITORIAL SUPPLIES</t>
  </si>
  <si>
    <t>100-2020-03-497</t>
  </si>
  <si>
    <t>100-2020-06-738</t>
  </si>
  <si>
    <t>RFQ-DVO-PR.NO. 2006093 CAT. 32 JANITORIAL SUPPLIES</t>
  </si>
  <si>
    <t>PR No. 20-052</t>
  </si>
  <si>
    <t>06-23-2020-04</t>
  </si>
  <si>
    <t>PR No. 20-033</t>
  </si>
  <si>
    <t>100-2020-03-479</t>
  </si>
  <si>
    <t>20F00107</t>
  </si>
  <si>
    <t>PR No. 20-034</t>
  </si>
  <si>
    <t>2020-078</t>
  </si>
  <si>
    <t>20CSNH05</t>
  </si>
  <si>
    <t>20060273</t>
  </si>
  <si>
    <t>2020-045-snq</t>
  </si>
  <si>
    <t>100-2020-06-745</t>
  </si>
  <si>
    <t>20CSA006</t>
  </si>
  <si>
    <t>Barangay Erenas Payao-001-2020</t>
  </si>
  <si>
    <t>2020-0019</t>
  </si>
  <si>
    <t>20CSNH04</t>
  </si>
  <si>
    <t>2020050243</t>
  </si>
  <si>
    <t>20CSA005</t>
  </si>
  <si>
    <t>2020-021</t>
  </si>
  <si>
    <t>20CSNH03</t>
  </si>
  <si>
    <t>2020-06-93</t>
  </si>
  <si>
    <t>ATI2020-06-125</t>
  </si>
  <si>
    <t>PB BCH 002-2020 PROCUREMENT OF MOTOR VEHICLES</t>
  </si>
  <si>
    <t>2020-06-94</t>
  </si>
  <si>
    <t>ATI2020-06-126</t>
  </si>
  <si>
    <t>PR #20-020</t>
  </si>
  <si>
    <t>ATI2020-06-123</t>
  </si>
  <si>
    <t>20-06-0076</t>
  </si>
  <si>
    <t>DTI-IX-2020-06-02 (F14)</t>
  </si>
  <si>
    <t>ATI2020-06-121</t>
  </si>
  <si>
    <t>ATI2020-06-120</t>
  </si>
  <si>
    <t>BAC SHP 2020-007</t>
  </si>
  <si>
    <t>2020-G-075</t>
  </si>
  <si>
    <t>10674</t>
  </si>
  <si>
    <t>20-06-0075</t>
  </si>
  <si>
    <t>ATI2020-06-124</t>
  </si>
  <si>
    <t>100-2020-06-779</t>
  </si>
  <si>
    <t>RFQ-DVO-PR.NO. 2006111 CAT. 39 MEDICAL SUPPLIES AN</t>
  </si>
  <si>
    <t>RFQ-DVO-PR.NO. 2006095 CAT. 49 PRINTED FORMS AND P</t>
  </si>
  <si>
    <t xml:space="preserve">RFQ-DVO-PR.NO. 2006158 CAT. 10 COMPUTER EQUIPMENT </t>
  </si>
  <si>
    <t>2020-02-080SVP</t>
  </si>
  <si>
    <t>HCGDSV-0620-003</t>
  </si>
  <si>
    <t xml:space="preserve">RFQ-DVO-PR.NO. 2006006 CAT. 10 COMPUTER EQUIPMENT </t>
  </si>
  <si>
    <t>E20062303</t>
  </si>
  <si>
    <t>100-2020-06-766</t>
  </si>
  <si>
    <t>2020-019</t>
  </si>
  <si>
    <t>HFW-2020-06-0218</t>
  </si>
  <si>
    <t>HCGDSV-0620-001</t>
  </si>
  <si>
    <t>100-2020-06-783</t>
  </si>
  <si>
    <t>6-1-20</t>
  </si>
  <si>
    <t>RFQ-DVO-PR.NO. 2006172 CAT. 52 RADIO COMMUNICATION</t>
  </si>
  <si>
    <t>ATI2020-06-122</t>
  </si>
  <si>
    <t>29-2020</t>
  </si>
  <si>
    <t>sjom-goods-0011-2020</t>
  </si>
  <si>
    <t>PR 2020-06-23-001-G</t>
  </si>
  <si>
    <t>E20062302</t>
  </si>
  <si>
    <t>2020-06-105R</t>
  </si>
  <si>
    <t>2020-494-021</t>
  </si>
  <si>
    <t>IPH-20-0207-B</t>
  </si>
  <si>
    <t>GB3-PB-002-19</t>
  </si>
  <si>
    <t>2020 JHS 023</t>
  </si>
  <si>
    <t>IPH-20-0372-B</t>
  </si>
  <si>
    <t>20GO0102</t>
  </si>
  <si>
    <t>039-2020</t>
  </si>
  <si>
    <t>06-23-2020-03</t>
  </si>
  <si>
    <t>IPH-20-0167-B</t>
  </si>
  <si>
    <t>PB-20-305</t>
  </si>
  <si>
    <t>100-20-05-324</t>
  </si>
  <si>
    <t>IPH-20-0169-B</t>
  </si>
  <si>
    <t xml:space="preserve">ITB No. GOP/20-DSWD-038 - Provision of Multi-Year </t>
  </si>
  <si>
    <t>DA3-2020-06-16-190</t>
  </si>
  <si>
    <t>06-23-2020-02</t>
  </si>
  <si>
    <t>PR-2020-6-086</t>
  </si>
  <si>
    <t>RDD-CW 2020-14</t>
  </si>
  <si>
    <t>PWN-INFRA-2020-F-003</t>
  </si>
  <si>
    <t>062320-B2</t>
  </si>
  <si>
    <t>Infra-Brgy02</t>
  </si>
  <si>
    <t>20OE0204</t>
  </si>
  <si>
    <t>INFRA JULY 2020-045</t>
  </si>
  <si>
    <t>06-23-2020-01</t>
  </si>
  <si>
    <t>RDD-GO 2020-LGSF-0A1</t>
  </si>
  <si>
    <t>PR-2020-6-087B</t>
  </si>
  <si>
    <t>FDCP-SHP-2020-0623-001</t>
  </si>
  <si>
    <t>100-2020-0819</t>
  </si>
  <si>
    <t>40</t>
  </si>
  <si>
    <t>INFRA JULY 2020-039</t>
  </si>
  <si>
    <t>RFQ No. 006-06-2020</t>
  </si>
  <si>
    <t>PR# 20-06-0613</t>
  </si>
  <si>
    <t>RFQ No. 60, s. 2020</t>
  </si>
  <si>
    <t>20-002</t>
  </si>
  <si>
    <t>CTO-20-024(CB)</t>
  </si>
  <si>
    <t>2020-062-15-18</t>
  </si>
  <si>
    <t>INFRA JULY 2020-040</t>
  </si>
  <si>
    <t>L4-2020-003</t>
  </si>
  <si>
    <t>100-2020-0812</t>
  </si>
  <si>
    <t>CW06232020</t>
  </si>
  <si>
    <t>RFQ No. 058-2020 GQ</t>
  </si>
  <si>
    <t>PIA-2020-032</t>
  </si>
  <si>
    <t>RFQ-RKMS-2006-29</t>
  </si>
  <si>
    <t>20OE0205</t>
  </si>
  <si>
    <t>2020-05-16</t>
  </si>
  <si>
    <t>2020-1-06-05-030-165</t>
  </si>
  <si>
    <t>2020-062-15-17</t>
  </si>
  <si>
    <t>2020-06-0982 Disinfection wipes / tissue for machi</t>
  </si>
  <si>
    <t>2020164</t>
  </si>
  <si>
    <t>20-06-FOD0183</t>
  </si>
  <si>
    <t>ITB 20-141g</t>
  </si>
  <si>
    <t>20-06-17D</t>
  </si>
  <si>
    <t>SJ-20-163</t>
  </si>
  <si>
    <t>RFQ 2020-06-0725</t>
  </si>
  <si>
    <t>BAC 06/23/20-01</t>
  </si>
  <si>
    <t>20-06-225SPMO</t>
  </si>
  <si>
    <t>P.R. No. 2020-06-125</t>
  </si>
  <si>
    <t>ITB No. Infra-2020-01</t>
  </si>
  <si>
    <t>0614-001</t>
  </si>
  <si>
    <t>2020-0067</t>
  </si>
  <si>
    <t>OB-0147-20</t>
  </si>
  <si>
    <t>OSG-020-06-066</t>
  </si>
  <si>
    <t>20-06-16A</t>
  </si>
  <si>
    <t>PR 0820-20</t>
  </si>
  <si>
    <t>GF-I-40-2020</t>
  </si>
  <si>
    <t>PR 0749-20</t>
  </si>
  <si>
    <t>ITB 20-141c</t>
  </si>
  <si>
    <t>ATI2020-06-127</t>
  </si>
  <si>
    <t>ITB (CW-06-2020-020) 20DD0357</t>
  </si>
  <si>
    <t>PR 0750-20</t>
  </si>
  <si>
    <t>20-016</t>
  </si>
  <si>
    <t>PR/RFQ# 2020-06-099</t>
  </si>
  <si>
    <t>20-1399</t>
  </si>
  <si>
    <t>PR 0801-20</t>
  </si>
  <si>
    <t>20-1402</t>
  </si>
  <si>
    <t>PR 0741-20</t>
  </si>
  <si>
    <t>00-20-06-0603</t>
  </si>
  <si>
    <t>20-1401</t>
  </si>
  <si>
    <t>20SANDIO002</t>
  </si>
  <si>
    <t>20-1400</t>
  </si>
  <si>
    <t>100-20-06-0602</t>
  </si>
  <si>
    <t>SJ-20-162</t>
  </si>
  <si>
    <t>20-1417</t>
  </si>
  <si>
    <t>100-20-06-0600</t>
  </si>
  <si>
    <t>IB No. GS-2020 – 063-A</t>
  </si>
  <si>
    <t>PR# 20-06-0617</t>
  </si>
  <si>
    <t>IB No. GS-2020 – 057-A</t>
  </si>
  <si>
    <t>IB No. GS-2020 – 056-A</t>
  </si>
  <si>
    <t>IB No. GS-2020 – 083</t>
  </si>
  <si>
    <t>20-1422</t>
  </si>
  <si>
    <t>IB No. GS-2020 – 081</t>
  </si>
  <si>
    <t>20SANDIO001</t>
  </si>
  <si>
    <t>INFRA-20-06-0631</t>
  </si>
  <si>
    <t>IB No. GS-2020 – 082</t>
  </si>
  <si>
    <t>20LUSOD001</t>
  </si>
  <si>
    <t>IB No. GS-2020 – 062-A</t>
  </si>
  <si>
    <t>IB No. GS-2020 – 077</t>
  </si>
  <si>
    <t>IB No. GS-2020 – 079</t>
  </si>
  <si>
    <t>IB No. GS-2020 – 076</t>
  </si>
  <si>
    <t>19CSK00058</t>
  </si>
  <si>
    <t>2020-06-0013</t>
  </si>
  <si>
    <t>ATI2020-06-128</t>
  </si>
  <si>
    <t>IB No. GS-2020 – 078</t>
  </si>
  <si>
    <t>PR 0813 &amp; 0810 - 20</t>
  </si>
  <si>
    <t>EMBR02-SVP-GOODS-EMED052020-033</t>
  </si>
  <si>
    <t>20CN0126</t>
  </si>
  <si>
    <t>PR 0812 &amp; 0809 -20</t>
  </si>
  <si>
    <t>Solicitation No. Goods 20-0624-0045R</t>
  </si>
  <si>
    <t>DGS PR No. 1000031877</t>
  </si>
  <si>
    <t>06-23-06</t>
  </si>
  <si>
    <t>20CN0073</t>
  </si>
  <si>
    <t>RFQ-2020-01</t>
  </si>
  <si>
    <t>2020-062-15-13</t>
  </si>
  <si>
    <t>M2006-399</t>
  </si>
  <si>
    <t>2020-06-0084</t>
  </si>
  <si>
    <t>2020-06-538</t>
  </si>
  <si>
    <t>2020-101-057</t>
  </si>
  <si>
    <t>100(01)20-06-1227</t>
  </si>
  <si>
    <t>PIA-2020-030</t>
  </si>
  <si>
    <t>ATI2020-06-129</t>
  </si>
  <si>
    <t>PR# 20-06-0626</t>
  </si>
  <si>
    <t>0024-06-2020</t>
  </si>
  <si>
    <t>goods 165-2020</t>
  </si>
  <si>
    <t>DEPED-BOHOL-2020-06-085</t>
  </si>
  <si>
    <t>PR No. 20061159</t>
  </si>
  <si>
    <t>goods 163-2020</t>
  </si>
  <si>
    <t>PR No. 20061158</t>
  </si>
  <si>
    <t>20-06-433</t>
  </si>
  <si>
    <t>PR No. 20061144</t>
  </si>
  <si>
    <t>20-02-222</t>
  </si>
  <si>
    <t>PR No. 20061160</t>
  </si>
  <si>
    <t>200-20-06-0577-A</t>
  </si>
  <si>
    <t>20CSAC08</t>
  </si>
  <si>
    <t>ATI2020-06-130</t>
  </si>
  <si>
    <t>PR No. 20061136</t>
  </si>
  <si>
    <t>300-20-05-0490</t>
  </si>
  <si>
    <t>PR No. 20061148</t>
  </si>
  <si>
    <t>20-06-675</t>
  </si>
  <si>
    <t>Jiab-2020-29A</t>
  </si>
  <si>
    <t>IB No. GS-2020 – 080</t>
  </si>
  <si>
    <t>2020-093</t>
  </si>
  <si>
    <t>BAC Resolution 06-03-2020 LC</t>
  </si>
  <si>
    <t>PB-06232020-01</t>
  </si>
  <si>
    <t>PB NO. 2020-041</t>
  </si>
  <si>
    <t>Jiab-2020-27A</t>
  </si>
  <si>
    <t>RFQ- 019 2020</t>
  </si>
  <si>
    <t>300-20-05-0491</t>
  </si>
  <si>
    <t>PB Infra 20-02-03</t>
  </si>
  <si>
    <t>20GK0223</t>
  </si>
  <si>
    <t>CONTRACT ID # 20-06-087</t>
  </si>
  <si>
    <t>RFQ 021 -2020</t>
  </si>
  <si>
    <t>2020-051-snq</t>
  </si>
  <si>
    <t>20-06-674</t>
  </si>
  <si>
    <t>20GK0222</t>
  </si>
  <si>
    <t>CONTRACT ID # 20-06-086</t>
  </si>
  <si>
    <t>20-06-183</t>
  </si>
  <si>
    <t>2020-050-snq</t>
  </si>
  <si>
    <t>ASTCIVILGOODS619</t>
  </si>
  <si>
    <t>Jiab-2020-32A</t>
  </si>
  <si>
    <t>Jiab-2020-28A</t>
  </si>
  <si>
    <t>PR No. 20061176</t>
  </si>
  <si>
    <t>PR No. 20061174</t>
  </si>
  <si>
    <t>PR No. 20061167</t>
  </si>
  <si>
    <t>06-19-2020-228</t>
  </si>
  <si>
    <t>PGL 20-079</t>
  </si>
  <si>
    <t>PR No. 20061166</t>
  </si>
  <si>
    <t>06-19-2020-227</t>
  </si>
  <si>
    <t>06-19-2020-226</t>
  </si>
  <si>
    <t>G-108-20</t>
  </si>
  <si>
    <t>PR No. 20061185</t>
  </si>
  <si>
    <t>100-2020-06-0059</t>
  </si>
  <si>
    <t>DPF19 300-20-03-02964</t>
  </si>
  <si>
    <t>200-20-06-0606</t>
  </si>
  <si>
    <t>PR No. 20061175</t>
  </si>
  <si>
    <t>06-19-2020-225</t>
  </si>
  <si>
    <t>PR No. 20061216</t>
  </si>
  <si>
    <t>ASTGOODS08</t>
  </si>
  <si>
    <t>RFQ 020 -2020</t>
  </si>
  <si>
    <t>PR No. 20061193</t>
  </si>
  <si>
    <t>Jiab-2020-31A</t>
  </si>
  <si>
    <t>PR No. 20061182</t>
  </si>
  <si>
    <t>ASTGOODS10</t>
  </si>
  <si>
    <t>PR No. 20061181</t>
  </si>
  <si>
    <t>PR No. 20061215</t>
  </si>
  <si>
    <t>ITB No. 2020-12</t>
  </si>
  <si>
    <t>ASTGOODS11</t>
  </si>
  <si>
    <t>TPB-PR.2020.06.183</t>
  </si>
  <si>
    <t>12345</t>
  </si>
  <si>
    <t>PR No. 20061137</t>
  </si>
  <si>
    <t>RFQ NO. 20-0579 NP-SV</t>
  </si>
  <si>
    <t>2020-094</t>
  </si>
  <si>
    <t>PR No. 20061184</t>
  </si>
  <si>
    <t>ITB-Goods-2020-06-037</t>
  </si>
  <si>
    <t>20-06-639</t>
  </si>
  <si>
    <t>B2 PEO 300-20-06-07368</t>
  </si>
  <si>
    <t>COVID19-011</t>
  </si>
  <si>
    <t>2020-WSERVICE_LINE-001</t>
  </si>
  <si>
    <t>07142020C</t>
  </si>
  <si>
    <t>07142020B</t>
  </si>
  <si>
    <t>028-2020</t>
  </si>
  <si>
    <t>2020-014</t>
  </si>
  <si>
    <t>B2 PEO 300-20-06-07370</t>
  </si>
  <si>
    <t>07142020=A</t>
  </si>
  <si>
    <t>B2 PEO 300-20-06-07371</t>
  </si>
  <si>
    <t>B2 PEO 300-20-06-07369</t>
  </si>
  <si>
    <t>PR No. 2020-06-0051</t>
  </si>
  <si>
    <t>PR No. 2020-06-0050</t>
  </si>
  <si>
    <t>IB07142020</t>
  </si>
  <si>
    <t>PR No. 2020-06-0052</t>
  </si>
  <si>
    <t>PR No. 2020-06-0048</t>
  </si>
  <si>
    <t>PR No. 2020-06-0047</t>
  </si>
  <si>
    <t>PR No. 2020-06-0053</t>
  </si>
  <si>
    <t>2020084</t>
  </si>
  <si>
    <t>PR No. 2020-06-0049</t>
  </si>
  <si>
    <t>2020081</t>
  </si>
  <si>
    <t>2020080</t>
  </si>
  <si>
    <t>GOODS - ARADO 2020-06-015</t>
  </si>
  <si>
    <t>2020079</t>
  </si>
  <si>
    <t>2020-06-0046</t>
  </si>
  <si>
    <t>2020-06-0039</t>
  </si>
  <si>
    <t>IB NO. 2020-07-16 (13)</t>
  </si>
  <si>
    <t>PCDP-2020-06-0203</t>
  </si>
  <si>
    <t>2020083</t>
  </si>
  <si>
    <t>MGPIN 2020-017</t>
  </si>
  <si>
    <t>ITB No. 2020-11</t>
  </si>
  <si>
    <t>INFRA 2020-36</t>
  </si>
  <si>
    <t>INFRA 2020-38</t>
  </si>
  <si>
    <t>2020082</t>
  </si>
  <si>
    <t>INFRA 2020-33</t>
  </si>
  <si>
    <t>PR No. 20061183</t>
  </si>
  <si>
    <t>INFRA 2020-34</t>
  </si>
  <si>
    <t>INFRA 2020-37</t>
  </si>
  <si>
    <t>0021-2020</t>
  </si>
  <si>
    <t>DTI-IX-2020-06-03 (F15)</t>
  </si>
  <si>
    <t>BD2020-J-002-G</t>
  </si>
  <si>
    <t>INFRA 2020-35</t>
  </si>
  <si>
    <t>PCADG-06-22-2020</t>
  </si>
  <si>
    <t>2020-06-177-RFQ</t>
  </si>
  <si>
    <t>32IB-2020-06-11</t>
  </si>
  <si>
    <t>OSS 20-034</t>
  </si>
  <si>
    <t>RFQ-TF-118</t>
  </si>
  <si>
    <t>ASTGOODS09</t>
  </si>
  <si>
    <t>Geps-2020-001</t>
  </si>
  <si>
    <t>06-06</t>
  </si>
  <si>
    <t>bisbc-2020-06-01</t>
  </si>
  <si>
    <t>GA07142020</t>
  </si>
  <si>
    <t>B2 PEO 300-20-06-07367</t>
  </si>
  <si>
    <t>2020-05-050D</t>
  </si>
  <si>
    <t>1-2020</t>
  </si>
  <si>
    <t>ITB 2020-06-02</t>
  </si>
  <si>
    <t>020-06-2020</t>
  </si>
  <si>
    <t>PR# 20-0762</t>
  </si>
  <si>
    <t>20-21</t>
  </si>
  <si>
    <t>AMP 06-2020-010 (PR No. 2020-06-065) Re-Advertised</t>
  </si>
  <si>
    <t>20-06-319</t>
  </si>
  <si>
    <t>RFQ-036-2020</t>
  </si>
  <si>
    <t>OGDS 06-22-20</t>
  </si>
  <si>
    <t>PIA-2020-027</t>
  </si>
  <si>
    <t>20-06-320</t>
  </si>
  <si>
    <t>2020-06-0031</t>
  </si>
  <si>
    <t>DOC1</t>
  </si>
  <si>
    <t>INFRA 2020-06-001</t>
  </si>
  <si>
    <t>6222020-027</t>
  </si>
  <si>
    <t>BD2020-J-003-G</t>
  </si>
  <si>
    <t>RFQ NO. SVP-014-2020</t>
  </si>
  <si>
    <t>2020-06-176-RFQ</t>
  </si>
  <si>
    <t>NDCP-RFQ-042-06-209</t>
  </si>
  <si>
    <t>JO-067-20</t>
  </si>
  <si>
    <t>021-06-2020</t>
  </si>
  <si>
    <t>06-020-376-20</t>
  </si>
  <si>
    <t>102CO-2020-234</t>
  </si>
  <si>
    <t>bac-20-0622a</t>
  </si>
  <si>
    <t>LGU-COR 2020-067</t>
  </si>
  <si>
    <t>023-06-2020</t>
  </si>
  <si>
    <t>RFQ-STF-75</t>
  </si>
  <si>
    <t>BSU Project No. 2020-208</t>
  </si>
  <si>
    <t>024-06-2020</t>
  </si>
  <si>
    <t>DOC3</t>
  </si>
  <si>
    <t>GOODS-2020-60</t>
  </si>
  <si>
    <t>RFQ NO. SVP-013-2020</t>
  </si>
  <si>
    <t>DOC2</t>
  </si>
  <si>
    <t>uplb-rq-6-075-20 Goods (Vehicle parts and supplies</t>
  </si>
  <si>
    <t>20-06-116</t>
  </si>
  <si>
    <t>P.R. No. 2020-06-124</t>
  </si>
  <si>
    <t>230</t>
  </si>
  <si>
    <t>NP-SV 2020-39</t>
  </si>
  <si>
    <t>PR# 20-0768</t>
  </si>
  <si>
    <t>darro6</t>
  </si>
  <si>
    <t>PR# 20-0773</t>
  </si>
  <si>
    <t>BID 001-2020</t>
  </si>
  <si>
    <t>PR# 20-0769</t>
  </si>
  <si>
    <t>uplb-rq-6-076-20 goods (Laboratory Equipment for I</t>
  </si>
  <si>
    <t>PRF # 2020-113</t>
  </si>
  <si>
    <t>2020-ANT-GOODS-0114</t>
  </si>
  <si>
    <t>AFPHSC-26-2ND-20OS</t>
  </si>
  <si>
    <t>20-06-11</t>
  </si>
  <si>
    <t>INFRA-PNBAC2-2020-07</t>
  </si>
  <si>
    <t>0404</t>
  </si>
  <si>
    <t>SVP-OCM-062020-125</t>
  </si>
  <si>
    <t>LGU-ROX-34-2020</t>
  </si>
  <si>
    <t>2020-182</t>
  </si>
  <si>
    <t>NCMH-PB-RENTAL(180 DESKTOP COMPUTER) CY 2020</t>
  </si>
  <si>
    <t>RFQ NO. EMB-LEGAL-SHOPPING-CD ONLINE READING-0031-</t>
  </si>
  <si>
    <t>DOC4</t>
  </si>
  <si>
    <t>2020-06-1034</t>
  </si>
  <si>
    <t>GOODS-2020-61</t>
  </si>
  <si>
    <t>GOODS-2020-62</t>
  </si>
  <si>
    <t>2020-06-0082</t>
  </si>
  <si>
    <t>Quotation No. 20-06-0343</t>
  </si>
  <si>
    <t>ATI2020-06-137</t>
  </si>
  <si>
    <t>NCMH-PRB-PEST CONTROL SERVICE CY-2020</t>
  </si>
  <si>
    <t>GO-2020-06-99</t>
  </si>
  <si>
    <t>022-06-2020</t>
  </si>
  <si>
    <t>PR# 20-06-0632</t>
  </si>
  <si>
    <t>019-06-2020</t>
  </si>
  <si>
    <t>AMP 06-2020-009 (PR No. 2020-05-036) Re-Advertised</t>
  </si>
  <si>
    <t>SJ-20-160</t>
  </si>
  <si>
    <t>RFQ-TF-112</t>
  </si>
  <si>
    <t>06-066P-U</t>
  </si>
  <si>
    <t>DTI-IX-2020-06-04 (F16)</t>
  </si>
  <si>
    <t>06-22-20-110MLUC</t>
  </si>
  <si>
    <t>202006-03</t>
  </si>
  <si>
    <t>2020-06-1033</t>
  </si>
  <si>
    <t>Mkna-GSO-20-276</t>
  </si>
  <si>
    <t>ETSD-2020-06-0296</t>
  </si>
  <si>
    <t>6222020-028</t>
  </si>
  <si>
    <t>ibaan-2020-095</t>
  </si>
  <si>
    <t>PDDO-20-2125</t>
  </si>
  <si>
    <t>ITB 2020-06-005</t>
  </si>
  <si>
    <t>0471</t>
  </si>
  <si>
    <t>05C-07-2020 - PURCHASE OF MEDICAL, DENTAL AND LABO</t>
  </si>
  <si>
    <t>RFQ 2006-102</t>
  </si>
  <si>
    <t>99</t>
  </si>
  <si>
    <t>SF EQUIPMENT NO. 08- (6-22-20)</t>
  </si>
  <si>
    <t>20-06-073</t>
  </si>
  <si>
    <t>RFQ 20-06-060</t>
  </si>
  <si>
    <t>20-06-062</t>
  </si>
  <si>
    <t>2020 JHS 022</t>
  </si>
  <si>
    <t>goods2020_34</t>
  </si>
  <si>
    <t>ITB 2020-06-006</t>
  </si>
  <si>
    <t>2020-6-6814a</t>
  </si>
  <si>
    <t>06-20-28</t>
  </si>
  <si>
    <t>20201187</t>
  </si>
  <si>
    <t>2020-06-0005</t>
  </si>
  <si>
    <t>20-05-01</t>
  </si>
  <si>
    <t>0023-06-2020</t>
  </si>
  <si>
    <t>20-06-0658</t>
  </si>
  <si>
    <t>Jiab-2020-33A</t>
  </si>
  <si>
    <t>20-06-117</t>
  </si>
  <si>
    <t>bac-20-0622b</t>
  </si>
  <si>
    <t>06-22-20-109MLUC</t>
  </si>
  <si>
    <t>RFQ-TF-111</t>
  </si>
  <si>
    <t>PR# 20-0723</t>
  </si>
  <si>
    <t>INFRA-PNBAC2-2020-06</t>
  </si>
  <si>
    <t>20-06-076-N</t>
  </si>
  <si>
    <t>SB4 ASA 300-20-05-05805</t>
  </si>
  <si>
    <t>300-20-06-0640</t>
  </si>
  <si>
    <t>PR No. 20061180</t>
  </si>
  <si>
    <t>SF-GOODS NO. 64 (6-22-20)</t>
  </si>
  <si>
    <t>20-06-0657</t>
  </si>
  <si>
    <t>PR No. 20061179</t>
  </si>
  <si>
    <t>PR No. 20061178</t>
  </si>
  <si>
    <t>POP 200-20-01-00295</t>
  </si>
  <si>
    <t>PR No. 20061177</t>
  </si>
  <si>
    <t>ASTGOODS07</t>
  </si>
  <si>
    <t>6911-05-1237-19</t>
  </si>
  <si>
    <t>20CSHL0001</t>
  </si>
  <si>
    <t>Goods2020-05-007</t>
  </si>
  <si>
    <t>CONTRACT ID NO. 20GN0091</t>
  </si>
  <si>
    <t>100</t>
  </si>
  <si>
    <t>100-20-03-0418</t>
  </si>
  <si>
    <t>PB NO. 2020-040</t>
  </si>
  <si>
    <t>IB No. GS-2020 – 064-A</t>
  </si>
  <si>
    <t>06-23-04</t>
  </si>
  <si>
    <t>Jiab-2020-30A</t>
  </si>
  <si>
    <t>0470</t>
  </si>
  <si>
    <t>06222020-A</t>
  </si>
  <si>
    <t>DSC-20-06-112</t>
  </si>
  <si>
    <t>20-00048</t>
  </si>
  <si>
    <t>2020-BLU-IMELDA-SKF-06-01</t>
  </si>
  <si>
    <t>20201120</t>
  </si>
  <si>
    <t>100-2020-06-0031</t>
  </si>
  <si>
    <t>R20-122</t>
  </si>
  <si>
    <t>RFQ 2020-3345 A</t>
  </si>
  <si>
    <t>GHGQPC-JSOG-TRNG-1206-20</t>
  </si>
  <si>
    <t>2020-06-22-001</t>
  </si>
  <si>
    <t>06-20-29</t>
  </si>
  <si>
    <t>PF-020-051</t>
  </si>
  <si>
    <t>Dawahonsvpsk2020-02</t>
  </si>
  <si>
    <t>2020-SVP-271</t>
  </si>
  <si>
    <t>100-20-06-0568</t>
  </si>
  <si>
    <t>RFQ #458-20</t>
  </si>
  <si>
    <t>PF-0220-176</t>
  </si>
  <si>
    <t>20CSAC07</t>
  </si>
  <si>
    <t>34-01-20-8751</t>
  </si>
  <si>
    <t>RFQ 459-20</t>
  </si>
  <si>
    <t>RFQ20-001-SV-HRDD</t>
  </si>
  <si>
    <t>20-04-230</t>
  </si>
  <si>
    <t>2020158</t>
  </si>
  <si>
    <t>BILOGO-2020-01N2</t>
  </si>
  <si>
    <t>RFQ 460-20</t>
  </si>
  <si>
    <t>S-2020-0077</t>
  </si>
  <si>
    <t>UBC-024-2020</t>
  </si>
  <si>
    <t>2020-0152</t>
  </si>
  <si>
    <t>IAEB 229-20</t>
  </si>
  <si>
    <t>06-19-2020-224</t>
  </si>
  <si>
    <t>DOH-MMCHD-2020-06-164-G</t>
  </si>
  <si>
    <t>20NF0068</t>
  </si>
  <si>
    <t>2020-BLU-LINUAN-20%DF-06-01</t>
  </si>
  <si>
    <t>RFQ 462-20</t>
  </si>
  <si>
    <t>20OC0101</t>
  </si>
  <si>
    <t>PF-0520-500</t>
  </si>
  <si>
    <t>REQUEST FOR QUOTATION (RFQ) No. 20-0576 NP-SVP</t>
  </si>
  <si>
    <t>RFQ20-002-ASD-SV</t>
  </si>
  <si>
    <t>REQUEST FOR QUOTATION 2020</t>
  </si>
  <si>
    <t>20-06-030</t>
  </si>
  <si>
    <t>2006003</t>
  </si>
  <si>
    <t>20201183</t>
  </si>
  <si>
    <t>Competitive Bidding 2020-20</t>
  </si>
  <si>
    <t>RFQ #461-20</t>
  </si>
  <si>
    <t>IB No. GS-2020 – 065-A</t>
  </si>
  <si>
    <t>pagasa_infras2020-06-001</t>
  </si>
  <si>
    <t>20-04-157</t>
  </si>
  <si>
    <t>20-05-02</t>
  </si>
  <si>
    <t>UBC-026-2020</t>
  </si>
  <si>
    <t>ATI2020-06-138</t>
  </si>
  <si>
    <t>0459</t>
  </si>
  <si>
    <t>Quotation No. 20-06-0345</t>
  </si>
  <si>
    <t>Quotation No. 20-06-0344</t>
  </si>
  <si>
    <t>17202006055</t>
  </si>
  <si>
    <t>G06222020-1</t>
  </si>
  <si>
    <t>PEO-2020-0154 Rebidding</t>
  </si>
  <si>
    <t>MGPIN 2020-016</t>
  </si>
  <si>
    <t>20OC0100</t>
  </si>
  <si>
    <t>GS-GF-2020-0266</t>
  </si>
  <si>
    <t>PF-0320-335</t>
  </si>
  <si>
    <t>61</t>
  </si>
  <si>
    <t>03-2020-06-001</t>
  </si>
  <si>
    <t>20CN0068</t>
  </si>
  <si>
    <t>20-06-160</t>
  </si>
  <si>
    <t>20-Goods-2020</t>
  </si>
  <si>
    <t>100(07-02-2020)5</t>
  </si>
  <si>
    <t>FOG NSPRDC 2020-06-027</t>
  </si>
  <si>
    <t>100-20-06-386</t>
  </si>
  <si>
    <t>RFQ-TF-96</t>
  </si>
  <si>
    <t>GOODS-2020-133</t>
  </si>
  <si>
    <t>RFQ No.18-2020</t>
  </si>
  <si>
    <t>RE-ITB-2020-002</t>
  </si>
  <si>
    <t>2020-BLU-LINUAN-20%DF-06-03</t>
  </si>
  <si>
    <t>20CN0067</t>
  </si>
  <si>
    <t>CW06222020-1</t>
  </si>
  <si>
    <t>03-00389</t>
  </si>
  <si>
    <t>Jiab-2020-34A</t>
  </si>
  <si>
    <t>BCS-2020-0131</t>
  </si>
  <si>
    <t>PR0212-20 DOPMC (23PRs)</t>
  </si>
  <si>
    <t>TAMP-PB-INFRA-06-2020</t>
  </si>
  <si>
    <t>RfQ No. 20-06-038P</t>
  </si>
  <si>
    <t>PR 1-20-02-0375 - BJMP (REBIDDING)</t>
  </si>
  <si>
    <t>PR 1-20-03-0418 - CEMO (REBIDDING)</t>
  </si>
  <si>
    <t>TAL-06-37-2020</t>
  </si>
  <si>
    <t>20GBI008</t>
  </si>
  <si>
    <t>1089-20BAC</t>
  </si>
  <si>
    <t>MAFAR-06-91-2020</t>
  </si>
  <si>
    <t>RFQ-TF-116</t>
  </si>
  <si>
    <t>20OC0102</t>
  </si>
  <si>
    <t>2020085</t>
  </si>
  <si>
    <t>PR-171-06-9-2020</t>
  </si>
  <si>
    <t>BCS-2020-0132</t>
  </si>
  <si>
    <t>PR0091-20 DOPMC</t>
  </si>
  <si>
    <t>2006093</t>
  </si>
  <si>
    <t>04-2020-06-001</t>
  </si>
  <si>
    <t>GO-2020-06-100</t>
  </si>
  <si>
    <t>Purchase of Materials for the Const.of Meat proces</t>
  </si>
  <si>
    <t>STA. CRUZ INFRA_06222020</t>
  </si>
  <si>
    <t>2020-BLU-LINUAN-20%DF-06-02</t>
  </si>
  <si>
    <t>PR 1-20-02-0381 - CHO (REBIDDING)</t>
  </si>
  <si>
    <t>20-05-03</t>
  </si>
  <si>
    <t>2020-0060</t>
  </si>
  <si>
    <t>CW06222020-2</t>
  </si>
  <si>
    <t>2020-SVP-272</t>
  </si>
  <si>
    <t>Bid No. 20-0282</t>
  </si>
  <si>
    <t>20OC0103</t>
  </si>
  <si>
    <t>TAL-07-03-2020</t>
  </si>
  <si>
    <t>2020-6-6814b</t>
  </si>
  <si>
    <t>RFQ #463-20</t>
  </si>
  <si>
    <t>TAMP-PB-INFRA-07-2020</t>
  </si>
  <si>
    <t>AMP2020-028</t>
  </si>
  <si>
    <t>RFQ-TF-115</t>
  </si>
  <si>
    <t>LGU-BALINGASAG-9005-20-059</t>
  </si>
  <si>
    <t>PR 1-20-03-0426 - CED (REBIDDING)</t>
  </si>
  <si>
    <t>BCS-2020-0133</t>
  </si>
  <si>
    <t>BCS-2020-0134</t>
  </si>
  <si>
    <t>2020-06-280</t>
  </si>
  <si>
    <t>GF-20-02-00117</t>
  </si>
  <si>
    <t>BAGO-BAC-RFQ-20-1095</t>
  </si>
  <si>
    <t>infra-01</t>
  </si>
  <si>
    <t>20-05-04</t>
  </si>
  <si>
    <t>S-2020-0079</t>
  </si>
  <si>
    <t>20OC0104</t>
  </si>
  <si>
    <t>infra-02</t>
  </si>
  <si>
    <t>2020-06-171-B</t>
  </si>
  <si>
    <t>SBMA-BAC-GOODS-ITB-08-20</t>
  </si>
  <si>
    <t>B2 PEO 300-20-06-07372</t>
  </si>
  <si>
    <t>Jiab-2020-35A</t>
  </si>
  <si>
    <t>DA 8 SVP Goods 2020-06-0079 (STO 20-03-16-0159)</t>
  </si>
  <si>
    <t>Mkna-GSO-20-277</t>
  </si>
  <si>
    <t>2020-02-INFRA-JUNE-08</t>
  </si>
  <si>
    <t>2020-0153</t>
  </si>
  <si>
    <t>2020-06-0020</t>
  </si>
  <si>
    <t>PR 1-20-03-0438 - BAC (REBIDDING)</t>
  </si>
  <si>
    <t>2020-121</t>
  </si>
  <si>
    <t>20-06-256</t>
  </si>
  <si>
    <t>20GBI007</t>
  </si>
  <si>
    <t>RFQ # 20-06-060 (Goods)</t>
  </si>
  <si>
    <t>GS-GF-2020-0265</t>
  </si>
  <si>
    <t>2020-06-0081</t>
  </si>
  <si>
    <t>PRDP-IR-R013-SDN-002-000-000-2016-R2</t>
  </si>
  <si>
    <t>20-02-025</t>
  </si>
  <si>
    <t>bk-2020-02</t>
  </si>
  <si>
    <t>03-2020-06-002</t>
  </si>
  <si>
    <t>PR 1-20-03-0435 - CED (REBIDDING)</t>
  </si>
  <si>
    <t>20-06-22</t>
  </si>
  <si>
    <t>20-06-132/20-06-133/20-06-134</t>
  </si>
  <si>
    <t>DOH-MMCHD-2020-06-172-G</t>
  </si>
  <si>
    <t>2020-038J</t>
  </si>
  <si>
    <t>ITB-2020-014</t>
  </si>
  <si>
    <t>C-2020-0040</t>
  </si>
  <si>
    <t>PB-2020-04</t>
  </si>
  <si>
    <t>100-20-06-73</t>
  </si>
  <si>
    <t>PR 1-20-03-0444 - CMO (REBIDDING)</t>
  </si>
  <si>
    <t>0658</t>
  </si>
  <si>
    <t>AHWD 2020-06-139</t>
  </si>
  <si>
    <t>RFQ NO. 2020-06-18-(8081)</t>
  </si>
  <si>
    <t>102CO-2020-235</t>
  </si>
  <si>
    <t>GOODS - 2020-06-048</t>
  </si>
  <si>
    <t>SEF-20-02-00378</t>
  </si>
  <si>
    <t>RFQ NO. 0168</t>
  </si>
  <si>
    <t>2020086</t>
  </si>
  <si>
    <t>PAPC-HHSG-2020-11282-5260</t>
  </si>
  <si>
    <t>2020050244</t>
  </si>
  <si>
    <t>2020-03-035</t>
  </si>
  <si>
    <t>RFQ-TFB-09-2020</t>
  </si>
  <si>
    <t>LGU-BALINGASAG-9005-20-060</t>
  </si>
  <si>
    <t>Bid No. 20-0283</t>
  </si>
  <si>
    <t>ITB-2020-015</t>
  </si>
  <si>
    <t>ITB-2020-016</t>
  </si>
  <si>
    <t>PB-LAP-2020-070</t>
  </si>
  <si>
    <t>RQ 06-164</t>
  </si>
  <si>
    <t>RFQ NO. EMB-EIAMD-SHOPPING-0028-3-09-2020-3rd Post</t>
  </si>
  <si>
    <t>20AA0349</t>
  </si>
  <si>
    <t>Bid No. 20-0318</t>
  </si>
  <si>
    <t>PR 1-20-03-0462 - CED (REBIDDING)</t>
  </si>
  <si>
    <t>2020 TERMITE TREATMENT AND CONTROL FOR SSS ZAMBOAN</t>
  </si>
  <si>
    <t>IB No. 20-06-11</t>
  </si>
  <si>
    <t>20-06-247</t>
  </si>
  <si>
    <t>RFQ-2020-019</t>
  </si>
  <si>
    <t>2020-B-06-025</t>
  </si>
  <si>
    <t>06-050-D</t>
  </si>
  <si>
    <t>2020-06-220</t>
  </si>
  <si>
    <t>PAPC-OG4_ASCOM-2020-11214-5261</t>
  </si>
  <si>
    <t>ICCTV-14</t>
  </si>
  <si>
    <t>100(01)20-02-0558</t>
  </si>
  <si>
    <t>PR 1-20-03-0446 - TOURISM (REBIDDING)</t>
  </si>
  <si>
    <t>RFQ NO. 2020-06-18-(8080)</t>
  </si>
  <si>
    <t>020-005-002</t>
  </si>
  <si>
    <t>AFPPS-REPE-1190-20</t>
  </si>
  <si>
    <t>20-05-05</t>
  </si>
  <si>
    <t>2020-06-154-E</t>
  </si>
  <si>
    <t>RQ 06-161</t>
  </si>
  <si>
    <t>RFQ2020-06-0958</t>
  </si>
  <si>
    <t>AFVDBCD 2020-06-043</t>
  </si>
  <si>
    <t>2020050245</t>
  </si>
  <si>
    <t>rfq 005-441 AR</t>
  </si>
  <si>
    <t>LGU-BALINGASAG-9005-20-061</t>
  </si>
  <si>
    <t>BAC-A-2020-06-004</t>
  </si>
  <si>
    <t>PR No. 2020-06-035</t>
  </si>
  <si>
    <t>PB-LAP-2020-069</t>
  </si>
  <si>
    <t>PAPC-OG3PA_HHSG-2020-11259-5262</t>
  </si>
  <si>
    <t>itb06222020a</t>
  </si>
  <si>
    <t>PR# 20-06-0771</t>
  </si>
  <si>
    <t>PR 1-20-05-0581 - CMO (REBIDDING)</t>
  </si>
  <si>
    <t>Jiab-2020-37A</t>
  </si>
  <si>
    <t>PR 1-20-06-0693 - AGRI</t>
  </si>
  <si>
    <t>DA 8 SVP Goods 2020-06-0080 (Corn 20-02-21-0135)</t>
  </si>
  <si>
    <t>2020-06-0023</t>
  </si>
  <si>
    <t>RFQ2020-06-0961</t>
  </si>
  <si>
    <t>2020- 02</t>
  </si>
  <si>
    <t>GF-20-02-00119</t>
  </si>
  <si>
    <t>PR 1-20-06-0638 - CSWDO</t>
  </si>
  <si>
    <t>Mkna-GSO-20-278</t>
  </si>
  <si>
    <t>G-2020-339</t>
  </si>
  <si>
    <t>2020-0154</t>
  </si>
  <si>
    <t>PR 20-03-0205</t>
  </si>
  <si>
    <t>PR 20-03-0247</t>
  </si>
  <si>
    <t>2020-06-0354</t>
  </si>
  <si>
    <t>PR 1-20-06-0701 - CPDCO</t>
  </si>
  <si>
    <t>RFQ No. 0171</t>
  </si>
  <si>
    <t>RFQ NO. 2020-06-18-(8079)</t>
  </si>
  <si>
    <t>PAPC-OESPA_HHSG-2020-10917-5263</t>
  </si>
  <si>
    <t>RFQ NO. EMB-EIAMD-SHOPPING-0030-6-22-2020-3rd Post</t>
  </si>
  <si>
    <t>DSC-20-05-100</t>
  </si>
  <si>
    <t>20-06-682</t>
  </si>
  <si>
    <t>PEO-2020-0722</t>
  </si>
  <si>
    <t>INFRA-2020-08</t>
  </si>
  <si>
    <t>2020-079</t>
  </si>
  <si>
    <t>MGPIN 2020-002</t>
  </si>
  <si>
    <t>06222020A</t>
  </si>
  <si>
    <t>2020-0155</t>
  </si>
  <si>
    <t>G-2020-347</t>
  </si>
  <si>
    <t>GHQPC-JTFNCR-DMED-1192-20</t>
  </si>
  <si>
    <t>PAPC-AGH_HHSG-2020-11264-5264</t>
  </si>
  <si>
    <t>BD2020-J-004-G</t>
  </si>
  <si>
    <t>RFQ2020-06-0954</t>
  </si>
  <si>
    <t>1091-20-06-01</t>
  </si>
  <si>
    <t>0020-0088-0566.2020</t>
  </si>
  <si>
    <t>DOH-MMCHD-2020-06-166-G</t>
  </si>
  <si>
    <t>G2020-06-051E</t>
  </si>
  <si>
    <t>MGPIN 2019-093</t>
  </si>
  <si>
    <t>PEO-20-0502 B (REBID)</t>
  </si>
  <si>
    <t>2020-02-005</t>
  </si>
  <si>
    <t>DOH-MMCHD-2020-06-165-G</t>
  </si>
  <si>
    <t>PF-0520-577</t>
  </si>
  <si>
    <t>BCS-2020-0135</t>
  </si>
  <si>
    <t>2020060266</t>
  </si>
  <si>
    <t>ONM2020-06-008</t>
  </si>
  <si>
    <t>009-06-020</t>
  </si>
  <si>
    <t>101</t>
  </si>
  <si>
    <t>BAGO-BAC-RFQ-20-1098</t>
  </si>
  <si>
    <t>2020 006J-001</t>
  </si>
  <si>
    <t>MGPIN 2020-085</t>
  </si>
  <si>
    <t>0620-040</t>
  </si>
  <si>
    <t>775</t>
  </si>
  <si>
    <t>TAMP-PB-GOODS-05-2020</t>
  </si>
  <si>
    <t>TAYSAN2020-057</t>
  </si>
  <si>
    <t>2020-06-022</t>
  </si>
  <si>
    <t>2020-zone2-01</t>
  </si>
  <si>
    <t>0941-20</t>
  </si>
  <si>
    <t>RFQ No. 0812-20</t>
  </si>
  <si>
    <t>RFQ 2020-06-0112</t>
  </si>
  <si>
    <t>BIDSTAC # SB 026-2020</t>
  </si>
  <si>
    <t>2020-SVP-273</t>
  </si>
  <si>
    <t>2020-06-0169 FMD</t>
  </si>
  <si>
    <t>itb06222020b</t>
  </si>
  <si>
    <t>20-03-015</t>
  </si>
  <si>
    <t>20-06-643</t>
  </si>
  <si>
    <t>06-08-2020</t>
  </si>
  <si>
    <t>06-09-2020</t>
  </si>
  <si>
    <t>PR#2020-06-074</t>
  </si>
  <si>
    <t>PR 1-20-06-0706 - CED</t>
  </si>
  <si>
    <t>PAPC-OG2PA_HHSG-2020-11191-5267</t>
  </si>
  <si>
    <t>2020-GOODS-015-01-0623</t>
  </si>
  <si>
    <t>TAYSAN2020-058</t>
  </si>
  <si>
    <t>ITB No. 2020 – 76</t>
  </si>
  <si>
    <t>JOB ORDER NO.0069 - 2020</t>
  </si>
  <si>
    <t>2020-06-315-27</t>
  </si>
  <si>
    <t>itb 2020-29</t>
  </si>
  <si>
    <t>100-06-11-20-064</t>
  </si>
  <si>
    <t>mdf_2019</t>
  </si>
  <si>
    <t>06-00784</t>
  </si>
  <si>
    <t>RFQ No. 0810-20</t>
  </si>
  <si>
    <t>Mkna-GSO-20-279</t>
  </si>
  <si>
    <t>PNFC-06-20-046</t>
  </si>
  <si>
    <t>PR2020-06-018</t>
  </si>
  <si>
    <t>RQ 06-156</t>
  </si>
  <si>
    <t>20-02-07-0097 Re-canvass</t>
  </si>
  <si>
    <t>PAPC-OG3PA_HHSG-2020-11255-5266</t>
  </si>
  <si>
    <t>RFQ 2020-06-0113</t>
  </si>
  <si>
    <t>6876056-2</t>
  </si>
  <si>
    <t>2020-06-033</t>
  </si>
  <si>
    <t>20201191</t>
  </si>
  <si>
    <t>0004-2020</t>
  </si>
  <si>
    <t>SVP20-496</t>
  </si>
  <si>
    <t>06-2020-014</t>
  </si>
  <si>
    <t>2020-06-22-02</t>
  </si>
  <si>
    <t>GS-PUDOC EAST-2020-01</t>
  </si>
  <si>
    <t>P.R. No. 20-06-165</t>
  </si>
  <si>
    <t>176</t>
  </si>
  <si>
    <t>20GIL0037</t>
  </si>
  <si>
    <t>0568</t>
  </si>
  <si>
    <t>DENR-ORMIN-019-2020</t>
  </si>
  <si>
    <t>sporting_goods_1</t>
  </si>
  <si>
    <t>2020-01-aircon</t>
  </si>
  <si>
    <t>2020-06-095</t>
  </si>
  <si>
    <t>GHQPC-OJ5-RMDRRE-1193-20</t>
  </si>
  <si>
    <t>B2 PEO 300-20-06-07376</t>
  </si>
  <si>
    <t>2020-0280</t>
  </si>
  <si>
    <t>2020-06-032</t>
  </si>
  <si>
    <t>SVP20-497</t>
  </si>
  <si>
    <t>0005-2020</t>
  </si>
  <si>
    <t>GOODS - 2020-06-049</t>
  </si>
  <si>
    <t>SRESC3_202006</t>
  </si>
  <si>
    <t>0370-30BAC</t>
  </si>
  <si>
    <t>0672</t>
  </si>
  <si>
    <t>SVP20-495</t>
  </si>
  <si>
    <t>2020-0279</t>
  </si>
  <si>
    <t>PR2020-06-019</t>
  </si>
  <si>
    <t>RFQ NO. EMB-EIAMD-SHOPPING-0022-6-22-2020-3rd Post</t>
  </si>
  <si>
    <t>sta.maria-2020-008</t>
  </si>
  <si>
    <t>G-2020-348</t>
  </si>
  <si>
    <t>RQ 06-157</t>
  </si>
  <si>
    <t>2020-06-22-01</t>
  </si>
  <si>
    <t>IMSD-2020-06-098</t>
  </si>
  <si>
    <t>PR#2020-06-PR077</t>
  </si>
  <si>
    <t>RQ 06-155</t>
  </si>
  <si>
    <t>10-2020-06-03</t>
  </si>
  <si>
    <t>PR No. 2020-06-036</t>
  </si>
  <si>
    <t>EQP2020-05-22</t>
  </si>
  <si>
    <t>PR 1-20-06-0702 - AGRI</t>
  </si>
  <si>
    <t>NCIP-20-06-005</t>
  </si>
  <si>
    <t>BAGO-BAC-RFQ-20-1100</t>
  </si>
  <si>
    <t>TANZA 2 2020-07-06</t>
  </si>
  <si>
    <t>BIDSTAC # SB 025-2020</t>
  </si>
  <si>
    <t>20-06-669</t>
  </si>
  <si>
    <t>0419</t>
  </si>
  <si>
    <t>2020-06-0355</t>
  </si>
  <si>
    <t>10-2020-03-02</t>
  </si>
  <si>
    <t>TAYSAN2020-056</t>
  </si>
  <si>
    <t>PAPC-OAFM_HHSG-2020-11295-5265</t>
  </si>
  <si>
    <t>100-06-1-20-044</t>
  </si>
  <si>
    <t>PF-0520-578</t>
  </si>
  <si>
    <t>GO-2020-06-101</t>
  </si>
  <si>
    <t>2020-06-0465</t>
  </si>
  <si>
    <t>110-20-05-186</t>
  </si>
  <si>
    <t>RFQ No. 03-0342-20</t>
  </si>
  <si>
    <t>2020-06-314-26</t>
  </si>
  <si>
    <t>EBMS 1287-20</t>
  </si>
  <si>
    <t>GOODS-2020-04</t>
  </si>
  <si>
    <t>0679</t>
  </si>
  <si>
    <t>MG-A7C20-026</t>
  </si>
  <si>
    <t>005-2020</t>
  </si>
  <si>
    <t>TAYSAN2020-023R</t>
  </si>
  <si>
    <t>MGPIN 2020-015</t>
  </si>
  <si>
    <t>NCIP-20-06-004</t>
  </si>
  <si>
    <t>20GIL0035</t>
  </si>
  <si>
    <t>RFQ 2020-06-0114</t>
  </si>
  <si>
    <t>B2 PEO 300-20-06-07373</t>
  </si>
  <si>
    <t>06002020</t>
  </si>
  <si>
    <t>RQ 06-166</t>
  </si>
  <si>
    <t>ITB-2020-013</t>
  </si>
  <si>
    <t>2020-6-6820</t>
  </si>
  <si>
    <t>RFQ2020-06-0956</t>
  </si>
  <si>
    <t>BAC RESOLUTION 05-14 SERIES OF 2020</t>
  </si>
  <si>
    <t>2020-6-6814d</t>
  </si>
  <si>
    <t>PAPC-OG9PA_HHSG-2020-11237-5259</t>
  </si>
  <si>
    <t>RQ 06-165</t>
  </si>
  <si>
    <t>EM-20-102</t>
  </si>
  <si>
    <t>PR NO. 100-1192-3-20-06-0595</t>
  </si>
  <si>
    <t>SBMA-BAC-GOODS-ITB-12-20</t>
  </si>
  <si>
    <t>TAMP-PB-GOODS-06-2020</t>
  </si>
  <si>
    <t>CM-Hirschsprung's Disease 001</t>
  </si>
  <si>
    <t>0006-2020</t>
  </si>
  <si>
    <t>Bidding-01-June-Amilongan2020</t>
  </si>
  <si>
    <t>SVP20-498</t>
  </si>
  <si>
    <t>RQ 06-158</t>
  </si>
  <si>
    <t>G-2020-375</t>
  </si>
  <si>
    <t>RFQ No. 20-0572 NP-SVP</t>
  </si>
  <si>
    <t>6-20-42</t>
  </si>
  <si>
    <t>DOH-MMCHD-2020-06-167-G</t>
  </si>
  <si>
    <t>CONTRACT ID: 20-06-089</t>
  </si>
  <si>
    <t>RFQ 2020-06-0115</t>
  </si>
  <si>
    <t>07132020-001</t>
  </si>
  <si>
    <t>713</t>
  </si>
  <si>
    <t>G-2020-359</t>
  </si>
  <si>
    <t>114-2020</t>
  </si>
  <si>
    <t>admin 2020-06-118</t>
  </si>
  <si>
    <t>TANZA 22020-08-06</t>
  </si>
  <si>
    <t>Quotation No. 20-06-0354</t>
  </si>
  <si>
    <t>SBMA-BAC-GOODS-ITB-11-20</t>
  </si>
  <si>
    <t>Quotation No. 20-06-0353</t>
  </si>
  <si>
    <t>2020-06-0168 MISS</t>
  </si>
  <si>
    <t>Quotation No. 20-06-0350</t>
  </si>
  <si>
    <t>2006-0521-PSMS</t>
  </si>
  <si>
    <t>NIU-069-2020</t>
  </si>
  <si>
    <t>2020-06-0246</t>
  </si>
  <si>
    <t>SN20-06-027</t>
  </si>
  <si>
    <t>2020-055</t>
  </si>
  <si>
    <t>Contract No. 2020-133</t>
  </si>
  <si>
    <t>RQ 06-160</t>
  </si>
  <si>
    <t>07132020-004</t>
  </si>
  <si>
    <t>BCNHS00147</t>
  </si>
  <si>
    <t>B2 PEO 300-20-06-07381</t>
  </si>
  <si>
    <t>TOW-WEST-20-06-0060</t>
  </si>
  <si>
    <t>2020-462</t>
  </si>
  <si>
    <t>2020-054</t>
  </si>
  <si>
    <t>Contract No. 2020-131</t>
  </si>
  <si>
    <t>2020-06-BG-063</t>
  </si>
  <si>
    <t>2020-RL04-018</t>
  </si>
  <si>
    <t>Bidding-02-Amilongan-June2020</t>
  </si>
  <si>
    <t>EQP2020-05-27</t>
  </si>
  <si>
    <t>PR#2020-06-PR076</t>
  </si>
  <si>
    <t>20-06-829(EPSON)</t>
  </si>
  <si>
    <t>07132020-002</t>
  </si>
  <si>
    <t>SVP20-500</t>
  </si>
  <si>
    <t>GF-20-05-00709</t>
  </si>
  <si>
    <t>1906200268</t>
  </si>
  <si>
    <t>QNV-034-2020</t>
  </si>
  <si>
    <t>06-63-2020</t>
  </si>
  <si>
    <t>0511</t>
  </si>
  <si>
    <t>GEPS-G-008-2020.59.3</t>
  </si>
  <si>
    <t>19-08-1044</t>
  </si>
  <si>
    <t>1906200267</t>
  </si>
  <si>
    <t>PHS-1204-20</t>
  </si>
  <si>
    <t>RFQ-179-2020</t>
  </si>
  <si>
    <t>2020-0281</t>
  </si>
  <si>
    <t>2020-06-023</t>
  </si>
  <si>
    <t>07132020-005</t>
  </si>
  <si>
    <t>RFQ NO. EMB-EQMD-KEYBOARD-0025-6-22-2020-3rd Posti</t>
  </si>
  <si>
    <t>PR 4-20-02-0377 - CWD (REBIDDING)</t>
  </si>
  <si>
    <t>1906200265</t>
  </si>
  <si>
    <t>PR 4-20-06-0633 - CWD</t>
  </si>
  <si>
    <t>PR 4-20-02-0285 - CWD (REBIDDING)</t>
  </si>
  <si>
    <t>2020-0282</t>
  </si>
  <si>
    <t>ITB - 2020-01</t>
  </si>
  <si>
    <t>NG-GOODS-2020-15</t>
  </si>
  <si>
    <t>GF-20-02-00034</t>
  </si>
  <si>
    <t>062220-59</t>
  </si>
  <si>
    <t>20AI0172</t>
  </si>
  <si>
    <t>GF-20-03-00569</t>
  </si>
  <si>
    <t>CMO-CDRRMO(C)20-050(NP/SV)</t>
  </si>
  <si>
    <t>2020-GGSS-BRGY BIGA</t>
  </si>
  <si>
    <t>20PE0070</t>
  </si>
  <si>
    <t>L-12-2020</t>
  </si>
  <si>
    <t>6/22/2020</t>
  </si>
  <si>
    <t>2020-06-034</t>
  </si>
  <si>
    <t>20AI0171</t>
  </si>
  <si>
    <t>20AE0071: Construction of 2 Storey 4 Classroom Sch</t>
  </si>
  <si>
    <t>2020-06-042</t>
  </si>
  <si>
    <t>PR 9-20-05-0610 - CITY HOSPITAL (REBIDDING)</t>
  </si>
  <si>
    <t>L-11-2020</t>
  </si>
  <si>
    <t>PR 9-20-06-0666 - CITY HOSPITAL</t>
  </si>
  <si>
    <t>BID REF. NO. 2020-002</t>
  </si>
  <si>
    <t>062220-58</t>
  </si>
  <si>
    <t>VATG2-16-20</t>
  </si>
  <si>
    <t>P.R. No. 20-06-170</t>
  </si>
  <si>
    <t>20200604</t>
  </si>
  <si>
    <t>PR 8-20-06-0705 - PMSD</t>
  </si>
  <si>
    <t>INFRA JULY 2020-001</t>
  </si>
  <si>
    <t>RFQ 2020-06-014</t>
  </si>
  <si>
    <t>rdd-go-04-2020</t>
  </si>
  <si>
    <t>DEPEDZAM-020-2020</t>
  </si>
  <si>
    <t>ITB-SSS-GOODS-2020-017</t>
  </si>
  <si>
    <t>P.R. 0492 SERIES 2020</t>
  </si>
  <si>
    <t>0510</t>
  </si>
  <si>
    <t>525789</t>
  </si>
  <si>
    <t>100(01)20-05-1147</t>
  </si>
  <si>
    <t>2020.02.097;03.522;06.568</t>
  </si>
  <si>
    <t>20JA0080</t>
  </si>
  <si>
    <t>INFRA JULY 2020-002</t>
  </si>
  <si>
    <t>2020-06-006 &amp; 007</t>
  </si>
  <si>
    <t>LGUPROC 2020 -131B</t>
  </si>
  <si>
    <t>rdd go-2020-03</t>
  </si>
  <si>
    <t>20-23</t>
  </si>
  <si>
    <t>SVP20-499</t>
  </si>
  <si>
    <t>DAS2020-047</t>
  </si>
  <si>
    <t>PR No. 2020-0555 (Lumbres)</t>
  </si>
  <si>
    <t>0014-2015</t>
  </si>
  <si>
    <t>G-2020-377</t>
  </si>
  <si>
    <t>RRCY 2020-038</t>
  </si>
  <si>
    <t>Procurement of Sound Absorbent Cloth with Installa</t>
  </si>
  <si>
    <t>R20-212</t>
  </si>
  <si>
    <t>2020-039J</t>
  </si>
  <si>
    <t>RFQ 20-06-041</t>
  </si>
  <si>
    <t>LGUPROC 2020 -132B</t>
  </si>
  <si>
    <t>2020-074</t>
  </si>
  <si>
    <t>PEO-2020-0964</t>
  </si>
  <si>
    <t>2020-02-50</t>
  </si>
  <si>
    <t>TF-20-03-00600</t>
  </si>
  <si>
    <t>2020-0283</t>
  </si>
  <si>
    <t xml:space="preserve">Air-conditioning and Air-conditioning Systems for </t>
  </si>
  <si>
    <t>DVO-200716-01</t>
  </si>
  <si>
    <t>RQ 06-159</t>
  </si>
  <si>
    <t>P-0628</t>
  </si>
  <si>
    <t>0420-351-344</t>
  </si>
  <si>
    <t>IB NO. N-2020-06-80</t>
  </si>
  <si>
    <t>2020-02-83</t>
  </si>
  <si>
    <t>PR 20-010</t>
  </si>
  <si>
    <t>TASTAS 2020-002</t>
  </si>
  <si>
    <t>RFQ-TF-101</t>
  </si>
  <si>
    <t>20-06-022</t>
  </si>
  <si>
    <t>20JA0082</t>
  </si>
  <si>
    <t>itb06222020c</t>
  </si>
  <si>
    <t>202nd-06-65-20</t>
  </si>
  <si>
    <t>2020-03-109</t>
  </si>
  <si>
    <t>2020-49</t>
  </si>
  <si>
    <t>2020-430</t>
  </si>
  <si>
    <t>G-2020-379</t>
  </si>
  <si>
    <t>GS No. 2020-0032</t>
  </si>
  <si>
    <t>2029-379</t>
  </si>
  <si>
    <t>DVO-200716-02</t>
  </si>
  <si>
    <t>2020.06.596</t>
  </si>
  <si>
    <t>0620-489-480</t>
  </si>
  <si>
    <t>G-2020-380</t>
  </si>
  <si>
    <t>Goods2020-10</t>
  </si>
  <si>
    <t>R20-214</t>
  </si>
  <si>
    <t>06-22-2020</t>
  </si>
  <si>
    <t>2020-Matalipni-001</t>
  </si>
  <si>
    <t>06-02 (2020-050)</t>
  </si>
  <si>
    <t>2020-00-02</t>
  </si>
  <si>
    <t>MOV-G-2020-010</t>
  </si>
  <si>
    <t>PHS-1208-20</t>
  </si>
  <si>
    <t>2020-06-076</t>
  </si>
  <si>
    <t>ALLANG 2020-001</t>
  </si>
  <si>
    <t>Sari-Sari Negosyo Starter Kit for Barangay Puerto</t>
  </si>
  <si>
    <t>2020-156</t>
  </si>
  <si>
    <t>2020-50</t>
  </si>
  <si>
    <t>PR NO. 20-01-0044</t>
  </si>
  <si>
    <t>TLU2020-007-I</t>
  </si>
  <si>
    <t>Invitation to Bid 20-36</t>
  </si>
  <si>
    <t>2020-02-0634</t>
  </si>
  <si>
    <t>PERI-PR No. 10793</t>
  </si>
  <si>
    <t>2020-01-005</t>
  </si>
  <si>
    <t>01-00061</t>
  </si>
  <si>
    <t>037</t>
  </si>
  <si>
    <t>2020-06-077</t>
  </si>
  <si>
    <t>0620-042</t>
  </si>
  <si>
    <t>20GIL0038</t>
  </si>
  <si>
    <t>20-05-019</t>
  </si>
  <si>
    <t>2020-1574</t>
  </si>
  <si>
    <t>PURCHASE REQUEST NO. 101-2020-04-087</t>
  </si>
  <si>
    <t>PR 20-06-059</t>
  </si>
  <si>
    <t>PR 20-011</t>
  </si>
  <si>
    <t>100(01)20-06-060(B)</t>
  </si>
  <si>
    <t>20-015</t>
  </si>
  <si>
    <t>pops-01</t>
  </si>
  <si>
    <t>TANZA 2 2020-09-06</t>
  </si>
  <si>
    <t>G-2020-382</t>
  </si>
  <si>
    <t>2020-503</t>
  </si>
  <si>
    <t>ITB-2020-008</t>
  </si>
  <si>
    <t>PR 9-20-06-0709 - CITY HOSPITAL</t>
  </si>
  <si>
    <t>20-286</t>
  </si>
  <si>
    <t>335</t>
  </si>
  <si>
    <t>100-20-15-103</t>
  </si>
  <si>
    <t>Rice Trading Negosyo Starter Kit (PR# 20-06-130)</t>
  </si>
  <si>
    <t>2020SHS1</t>
  </si>
  <si>
    <t>ITB No. GOP/19-DSWD-059-A</t>
  </si>
  <si>
    <t>20CCDEO0025</t>
  </si>
  <si>
    <t>20200605</t>
  </si>
  <si>
    <t>32-2020 RFQ</t>
  </si>
  <si>
    <t>2020--06-022-002</t>
  </si>
  <si>
    <t>BUGASS-2020-052</t>
  </si>
  <si>
    <t>100(01)20-06-056(M)</t>
  </si>
  <si>
    <t>PR NO. 529</t>
  </si>
  <si>
    <t>PHS-1206-20</t>
  </si>
  <si>
    <t>PR 20-012</t>
  </si>
  <si>
    <t>DVO-200716-06</t>
  </si>
  <si>
    <t>infra3</t>
  </si>
  <si>
    <t>216-04-20-101</t>
  </si>
  <si>
    <t>100(01)20-06-058(M)</t>
  </si>
  <si>
    <t>100200600906</t>
  </si>
  <si>
    <t>33-2020 RFQ</t>
  </si>
  <si>
    <t>DVO-200716-05</t>
  </si>
  <si>
    <t>2020-06-362</t>
  </si>
  <si>
    <t>itb06222020d</t>
  </si>
  <si>
    <t>20CCDEO0024</t>
  </si>
  <si>
    <t>DVO-200716-04</t>
  </si>
  <si>
    <t>DVO-200716-07</t>
  </si>
  <si>
    <t>PR NO. 100-1011-20-06-0660</t>
  </si>
  <si>
    <t>PG-RFQ-2020-03</t>
  </si>
  <si>
    <t>infra-4</t>
  </si>
  <si>
    <t>basing2020-01</t>
  </si>
  <si>
    <t>RFQ-2020-252</t>
  </si>
  <si>
    <t>PR 20-013</t>
  </si>
  <si>
    <t>PR 18-20-06-0644 - CWD</t>
  </si>
  <si>
    <t>PR-2020-03-459</t>
  </si>
  <si>
    <t>PR NO. 548</t>
  </si>
  <si>
    <t>2020-03-110</t>
  </si>
  <si>
    <t>rfq 2020-06-017</t>
  </si>
  <si>
    <t>JOB ORDER NO.0068 - 2020</t>
  </si>
  <si>
    <t>2020-428</t>
  </si>
  <si>
    <t>2020-1712</t>
  </si>
  <si>
    <t>100(18)20-06-349(O)</t>
  </si>
  <si>
    <t>31-2020 RFQ</t>
  </si>
  <si>
    <t>20-06-0034</t>
  </si>
  <si>
    <t>Sari-Sari Negosyo Starter Kits for Barangay 18 Cag</t>
  </si>
  <si>
    <t>G-2020-381</t>
  </si>
  <si>
    <t>PHS-1207-20</t>
  </si>
  <si>
    <t>PHS-1209-20</t>
  </si>
  <si>
    <t>2020-06-363</t>
  </si>
  <si>
    <t>DVO-200716-03</t>
  </si>
  <si>
    <t>RRCY 2020-039</t>
  </si>
  <si>
    <t>2020-06-659</t>
  </si>
  <si>
    <t>POG NO. DDO 2020-003-CM</t>
  </si>
  <si>
    <t>RFQ NO. EMB-AFMD-SHOPPING-CABINET -0024-6-22-2020-</t>
  </si>
  <si>
    <t>2020-06-604</t>
  </si>
  <si>
    <t>procurementofmonitoringandmedical/dentalsuppliesin</t>
  </si>
  <si>
    <t>infra5</t>
  </si>
  <si>
    <t>2020-1733</t>
  </si>
  <si>
    <t>GOODS JULY 2020-001</t>
  </si>
  <si>
    <t>libsongeast2020-01</t>
  </si>
  <si>
    <t>RFQ20-002-SV-ESSD</t>
  </si>
  <si>
    <t>2020-438</t>
  </si>
  <si>
    <t>2020-429</t>
  </si>
  <si>
    <t>2020SHS2</t>
  </si>
  <si>
    <t>100(01)20-06-351(A)</t>
  </si>
  <si>
    <t>100(01)20-06-350(A)</t>
  </si>
  <si>
    <t>2020-SVP-274</t>
  </si>
  <si>
    <t>2020-04-193</t>
  </si>
  <si>
    <t>2020-04-211</t>
  </si>
  <si>
    <t>infra-6</t>
  </si>
  <si>
    <t>06-PR-2020-0029</t>
  </si>
  <si>
    <t>2020-02-236</t>
  </si>
  <si>
    <t>RFQ-NP-SVP-257-2020</t>
  </si>
  <si>
    <t>20CB-GSC-347 PURCHASE OF CAMERA FOR CITY ASSESSORS</t>
  </si>
  <si>
    <t>PR NO. 134-S</t>
  </si>
  <si>
    <t>0007-0031-0915-2020</t>
  </si>
  <si>
    <t>2020svp - 224-543</t>
  </si>
  <si>
    <t>2020svp - 226-544</t>
  </si>
  <si>
    <t>DVO-200716-08</t>
  </si>
  <si>
    <t>100(01)20-06-352(A)</t>
  </si>
  <si>
    <t>RFQ-NP-SVP-258-2020</t>
  </si>
  <si>
    <t>2020-AMP-061</t>
  </si>
  <si>
    <t>0283-20</t>
  </si>
  <si>
    <t>2020-080</t>
  </si>
  <si>
    <t>PR#20-06-043</t>
  </si>
  <si>
    <t>PR-2020-05-657</t>
  </si>
  <si>
    <t>PAL 20-742-1</t>
  </si>
  <si>
    <t>PR 18-20-06-0647 - CED</t>
  </si>
  <si>
    <t>AB-2020-0011</t>
  </si>
  <si>
    <t>06-0039-20</t>
  </si>
  <si>
    <t>RFQ-15</t>
  </si>
  <si>
    <t>2020-082</t>
  </si>
  <si>
    <t>RFQ NO. EMB-EQMD-VOICE RECORDER-0026-6-22-2020-3rd</t>
  </si>
  <si>
    <t>2020-1899</t>
  </si>
  <si>
    <t>R20-215</t>
  </si>
  <si>
    <t>2020-03-04-51</t>
  </si>
  <si>
    <t>PR 18-20-06-0645 - CWD</t>
  </si>
  <si>
    <t>20-06-0037</t>
  </si>
  <si>
    <t>2020-N-004</t>
  </si>
  <si>
    <t>100(01)20-06-353(A)</t>
  </si>
  <si>
    <t>100-20-06-74</t>
  </si>
  <si>
    <t>20GCE0007</t>
  </si>
  <si>
    <t>2020SHS3</t>
  </si>
  <si>
    <t>EBMS 0811-20</t>
  </si>
  <si>
    <t>PURCHASE REQUEST NO. 101-2020-06-119</t>
  </si>
  <si>
    <t>JFMH-051-20-RFQ</t>
  </si>
  <si>
    <t>R20-216</t>
  </si>
  <si>
    <t>NFTI BAC RFQ No. GS-2020-006</t>
  </si>
  <si>
    <t>GF-2020-09</t>
  </si>
  <si>
    <t>PR-2006-631</t>
  </si>
  <si>
    <t>BAC1-20-006</t>
  </si>
  <si>
    <t>pgeps#0266-2020</t>
  </si>
  <si>
    <t>EBMS 0784-20</t>
  </si>
  <si>
    <t>0477</t>
  </si>
  <si>
    <t>2020-06-365</t>
  </si>
  <si>
    <t>Infra-03</t>
  </si>
  <si>
    <t>03-06-2020</t>
  </si>
  <si>
    <t>2020-05-03</t>
  </si>
  <si>
    <t>GOODS JULY 2020-002</t>
  </si>
  <si>
    <t>PR No. 2020-06-201</t>
  </si>
  <si>
    <t>OM-192-V-2020</t>
  </si>
  <si>
    <t>2020-001-2</t>
  </si>
  <si>
    <t>PR0217-20 DOPMC</t>
  </si>
  <si>
    <t>2020-05-257</t>
  </si>
  <si>
    <t>BAC2020-06-32A-16</t>
  </si>
  <si>
    <t>QN2020-006-005</t>
  </si>
  <si>
    <t>2020-G-010</t>
  </si>
  <si>
    <t>EBMS 0402-20</t>
  </si>
  <si>
    <t>2020-414</t>
  </si>
  <si>
    <t>PR 221-20-06-0637 - CED</t>
  </si>
  <si>
    <t>INFRA-2020-004</t>
  </si>
  <si>
    <t>pgeps#0267-2020</t>
  </si>
  <si>
    <t>ATI2020-06-139</t>
  </si>
  <si>
    <t>DVO-200716-10</t>
  </si>
  <si>
    <t>6/133/2020</t>
  </si>
  <si>
    <t>pgeps#0268-2020</t>
  </si>
  <si>
    <t>PHS-1213-20</t>
  </si>
  <si>
    <t>2020-02-0355, 2020-02-0358 etc.</t>
  </si>
  <si>
    <t>100(01)20-03-0737</t>
  </si>
  <si>
    <t>2020-06-1923</t>
  </si>
  <si>
    <t>2020-03-013</t>
  </si>
  <si>
    <t>2020-06-45</t>
  </si>
  <si>
    <t>IB 2020-031</t>
  </si>
  <si>
    <t>DVO-200716-11</t>
  </si>
  <si>
    <t>JFMH-052-20-RFQ</t>
  </si>
  <si>
    <t>20060452</t>
  </si>
  <si>
    <t>00018</t>
  </si>
  <si>
    <t>202001</t>
  </si>
  <si>
    <t>DVO-200716-12</t>
  </si>
  <si>
    <t>bcnhs00148</t>
  </si>
  <si>
    <t>G-2020-219</t>
  </si>
  <si>
    <t>PR#43</t>
  </si>
  <si>
    <t>PR 2020-06-1860</t>
  </si>
  <si>
    <t>2020-424</t>
  </si>
  <si>
    <t>20-06-685</t>
  </si>
  <si>
    <t>RFQ-13</t>
  </si>
  <si>
    <t>pgeps#0269-2020</t>
  </si>
  <si>
    <t>BAC2020-05-21B-18</t>
  </si>
  <si>
    <t>PR NO. 511</t>
  </si>
  <si>
    <t>PR 401-20-03-0443 - CSWDO</t>
  </si>
  <si>
    <t>bcnhs00149</t>
  </si>
  <si>
    <t>20-06-032</t>
  </si>
  <si>
    <t>LGU-ALCOY-2020-034</t>
  </si>
  <si>
    <t xml:space="preserve">RFQ NO. EMB-EQMD-PEPP-SHOPPING-0020-6-22-2020-3rd </t>
  </si>
  <si>
    <t>I.B. No. 2020-0024</t>
  </si>
  <si>
    <t>concreting2020-june-1FA</t>
  </si>
  <si>
    <t>20HG0176</t>
  </si>
  <si>
    <t>G-2020-220</t>
  </si>
  <si>
    <t>pgeps#0270-2020</t>
  </si>
  <si>
    <t>2020-02-0382 &amp; 2020-03-0535</t>
  </si>
  <si>
    <t>bcnhs00150</t>
  </si>
  <si>
    <t>RFQ-NP-SVP-256b-2020</t>
  </si>
  <si>
    <t>PHS-1195-20</t>
  </si>
  <si>
    <t>DVO-200716-13</t>
  </si>
  <si>
    <t>NP-SVP-20-049</t>
  </si>
  <si>
    <t>BAC1-20-007</t>
  </si>
  <si>
    <t>100-20-06-128</t>
  </si>
  <si>
    <t>PURCHASE REQUEST NO. 101-2020-06-114</t>
  </si>
  <si>
    <t>PR NO. 528</t>
  </si>
  <si>
    <t>2020SHS4</t>
  </si>
  <si>
    <t>R20-218</t>
  </si>
  <si>
    <t>PR No.: 2020-06-0252</t>
  </si>
  <si>
    <t>PR NO. 298</t>
  </si>
  <si>
    <t>PR#20-06-0321</t>
  </si>
  <si>
    <t>RFQ NO. EMB-EQMD-MEMORY DRIVE-0027-6-22-2020-3rd p</t>
  </si>
  <si>
    <t>PR 2020-06-1859</t>
  </si>
  <si>
    <t>2020-06-66</t>
  </si>
  <si>
    <t>RFQ-2020-041</t>
  </si>
  <si>
    <t>RFQ-NP-SVP-256-2020</t>
  </si>
  <si>
    <t>20-06-118</t>
  </si>
  <si>
    <t>RFQ-21</t>
  </si>
  <si>
    <t>BAC-0044-2020</t>
  </si>
  <si>
    <t>IB 2020-033</t>
  </si>
  <si>
    <t>BARANGAY BUNG-AW  1</t>
  </si>
  <si>
    <t>PR 2020-06-1857</t>
  </si>
  <si>
    <t>DGS PR No. 1000031880</t>
  </si>
  <si>
    <t>2020-67 (GAS)</t>
  </si>
  <si>
    <t>IB 2020-032</t>
  </si>
  <si>
    <t>PR # 20-06-152</t>
  </si>
  <si>
    <t>062220</t>
  </si>
  <si>
    <t>PR 2020-06-1858</t>
  </si>
  <si>
    <t>PB-2020-01</t>
  </si>
  <si>
    <t>pgeps#0271-2020</t>
  </si>
  <si>
    <t>2020-1101-002</t>
  </si>
  <si>
    <t>LunaLU 2020-06-23</t>
  </si>
  <si>
    <t>shop2</t>
  </si>
  <si>
    <t>2020-05-277</t>
  </si>
  <si>
    <t>2020-68 (GAS)</t>
  </si>
  <si>
    <t>RFQ-NP-SVP-re201-2020</t>
  </si>
  <si>
    <t>DVO-200716-15</t>
  </si>
  <si>
    <t>2020-443</t>
  </si>
  <si>
    <t>shop-01</t>
  </si>
  <si>
    <t>SVP-VJLN-2020-06-0625 GAA</t>
  </si>
  <si>
    <t>BAC2020-05-21B-19</t>
  </si>
  <si>
    <t>0620-508-499</t>
  </si>
  <si>
    <t>DOH-MMCHD-2020-06-168-G</t>
  </si>
  <si>
    <t>DVO-200716-14</t>
  </si>
  <si>
    <t>2020-06-068</t>
  </si>
  <si>
    <t>RFQ #487-20</t>
  </si>
  <si>
    <t>2020-20% Realignment Budget - 01 - 9000-000-003-01</t>
  </si>
  <si>
    <t>8711</t>
  </si>
  <si>
    <t>BAC-20-06-026(AD-HRDS)</t>
  </si>
  <si>
    <t>LunaLU 2020-06-24</t>
  </si>
  <si>
    <t>2020-06-010 (SVP)</t>
  </si>
  <si>
    <t>BAC2020-05-21B-20</t>
  </si>
  <si>
    <t>2020SHS5</t>
  </si>
  <si>
    <t>2020-0065</t>
  </si>
  <si>
    <t>RFQ-12</t>
  </si>
  <si>
    <t>concreting2020-june-1</t>
  </si>
  <si>
    <t>EBMS 0563-20</t>
  </si>
  <si>
    <t>2020-06-245</t>
  </si>
  <si>
    <t>SEF-I-49-2020</t>
  </si>
  <si>
    <t>2020-05-308</t>
  </si>
  <si>
    <t>IB 2020 – 051</t>
  </si>
  <si>
    <t>BFPRHQSR4A-054</t>
  </si>
  <si>
    <t>shop3</t>
  </si>
  <si>
    <t>RFQ NO. SVP-015-2020</t>
  </si>
  <si>
    <t>LGU-RFQ-2020-58</t>
  </si>
  <si>
    <t>DIM-INFRA-2020-08</t>
  </si>
  <si>
    <t>2020-03-119</t>
  </si>
  <si>
    <t>2020-06-069</t>
  </si>
  <si>
    <t>100-20-03-043</t>
  </si>
  <si>
    <t>2020-70 (GAS)</t>
  </si>
  <si>
    <t>2020-Supplemental Budget - 03 - 1000-001-03-01-001</t>
  </si>
  <si>
    <t>2020-0157</t>
  </si>
  <si>
    <t>2020-06-009 (SVP)</t>
  </si>
  <si>
    <t>shop4</t>
  </si>
  <si>
    <t>20GKG0029</t>
  </si>
  <si>
    <t>NP-SVP-20-050</t>
  </si>
  <si>
    <t>101-20-06-01</t>
  </si>
  <si>
    <t>100-20-06-384</t>
  </si>
  <si>
    <t>PR NO. 531</t>
  </si>
  <si>
    <t>RFQ-BJMP12-2020-13</t>
  </si>
  <si>
    <t>2020-06-066</t>
  </si>
  <si>
    <t>2019-MDRRMF - 03a - No AIP Code</t>
  </si>
  <si>
    <t>2020-69 (GAS)</t>
  </si>
  <si>
    <t>1-0028-20</t>
  </si>
  <si>
    <t>BARANGAY BUNG-AW 2</t>
  </si>
  <si>
    <t>PR NO. 532</t>
  </si>
  <si>
    <t>2020SHS6</t>
  </si>
  <si>
    <t>RFQ #488-20</t>
  </si>
  <si>
    <t>2020-0300</t>
  </si>
  <si>
    <t>0020-0175-1009A2020</t>
  </si>
  <si>
    <t>20-06-119</t>
  </si>
  <si>
    <t>IB 2020 – 053</t>
  </si>
  <si>
    <t>PR NO. 1676</t>
  </si>
  <si>
    <t>20-06-0015</t>
  </si>
  <si>
    <t>20AI0173</t>
  </si>
  <si>
    <t>CHO-20-025 (NP-SV)</t>
  </si>
  <si>
    <t>BAC1-20-008</t>
  </si>
  <si>
    <t>202-6-09</t>
  </si>
  <si>
    <t>BFPRHQSR4A-057</t>
  </si>
  <si>
    <t>RFQ-23</t>
  </si>
  <si>
    <t>IB 2020 – 052</t>
  </si>
  <si>
    <t>RFQ #491-20</t>
  </si>
  <si>
    <t>2020-06-011 (SVP)</t>
  </si>
  <si>
    <t>RFQ NO. 2020-06-02-(8058)</t>
  </si>
  <si>
    <t>20CH0062</t>
  </si>
  <si>
    <t>2020-06-134</t>
  </si>
  <si>
    <t>Aklan BAC ITB 363 Series of 2020</t>
  </si>
  <si>
    <t>06222001</t>
  </si>
  <si>
    <t>OB-GYNE 0406-20</t>
  </si>
  <si>
    <t>ITB 2020-07-001</t>
  </si>
  <si>
    <t>RIS# 20-16-026</t>
  </si>
  <si>
    <t>BFPRHQSR4A-050</t>
  </si>
  <si>
    <t>PHS-1214-20</t>
  </si>
  <si>
    <t>BFPRHQSR4A-053</t>
  </si>
  <si>
    <t>PR NO. 162</t>
  </si>
  <si>
    <t>PR NO. 518</t>
  </si>
  <si>
    <t>lgumambu_brgybunga_cw_june_2020_001</t>
  </si>
  <si>
    <t>2020-66 (GAS)</t>
  </si>
  <si>
    <t>20CH0065</t>
  </si>
  <si>
    <t>2020-456</t>
  </si>
  <si>
    <t>2020-02-102</t>
  </si>
  <si>
    <t>SEF-I-50-2020</t>
  </si>
  <si>
    <t>IB 2020 – 054</t>
  </si>
  <si>
    <t>LGU-110-2020</t>
  </si>
  <si>
    <t>06-00764</t>
  </si>
  <si>
    <t>100-20-03-055</t>
  </si>
  <si>
    <t>2020-06-013 (SHOP)</t>
  </si>
  <si>
    <t>2020-06-012 (SVP)</t>
  </si>
  <si>
    <t>2020-ANT-GOODS-0115</t>
  </si>
  <si>
    <t>0622-001</t>
  </si>
  <si>
    <t>RFQ #494-20</t>
  </si>
  <si>
    <t>PBDD-PR-2020-05-001; PBDD-PR-2020-05-002</t>
  </si>
  <si>
    <t>RFQ-14</t>
  </si>
  <si>
    <t>11ads20</t>
  </si>
  <si>
    <t>PR NO. 549</t>
  </si>
  <si>
    <t>LGU-RFQ-2020-59</t>
  </si>
  <si>
    <t>BUE-06222020-02</t>
  </si>
  <si>
    <t>102CO-2020-236</t>
  </si>
  <si>
    <t>REC-2020-24</t>
  </si>
  <si>
    <t>EBMS 0392-20</t>
  </si>
  <si>
    <t>RFQ NO. EMB-S-ERLSD-ELSS OCP/PCB STANDARDS 2020-03</t>
  </si>
  <si>
    <t>BAC-PG00135-20</t>
  </si>
  <si>
    <t>20CH0066</t>
  </si>
  <si>
    <t>RSPQ NO. 2020-06-026</t>
  </si>
  <si>
    <t>2020-0287</t>
  </si>
  <si>
    <t>20GKG0030</t>
  </si>
  <si>
    <t>DPERF2020-014Feeds</t>
  </si>
  <si>
    <t>100-20-06-121</t>
  </si>
  <si>
    <t>BUE-06222020-03</t>
  </si>
  <si>
    <t>2020-103</t>
  </si>
  <si>
    <t>PR NO. 605</t>
  </si>
  <si>
    <t>20AI0175</t>
  </si>
  <si>
    <t>RIS# 20-13-186</t>
  </si>
  <si>
    <t>06222003</t>
  </si>
  <si>
    <t>BLGF 036-2020</t>
  </si>
  <si>
    <t>RFQ 2020-06-0116</t>
  </si>
  <si>
    <t>20-0550-8731</t>
  </si>
  <si>
    <t>SVP2020-06-22-1116</t>
  </si>
  <si>
    <t>01M-2020</t>
  </si>
  <si>
    <t>06-111-2020</t>
  </si>
  <si>
    <t>06-22-20</t>
  </si>
  <si>
    <t>BAC-PG-00136-20</t>
  </si>
  <si>
    <t>20-06-248</t>
  </si>
  <si>
    <t>PRDP-PSO-Admin 2020-05-018 (AF)</t>
  </si>
  <si>
    <t>MH-GOODS-TLDC-MEAT-PROCESSING EQUIPMENT-686</t>
  </si>
  <si>
    <t>RFQ-TASS-06-06A-2020</t>
  </si>
  <si>
    <t>20060476</t>
  </si>
  <si>
    <t>REC-2020-26</t>
  </si>
  <si>
    <t>TAMP-PB-GOODS-07-2020</t>
  </si>
  <si>
    <t>AFPPS-TRNG-1195-20</t>
  </si>
  <si>
    <t>BAC 2020-22</t>
  </si>
  <si>
    <t>2020-RFQ-06-002</t>
  </si>
  <si>
    <t>RFQ 498-20</t>
  </si>
  <si>
    <t>20CH0068</t>
  </si>
  <si>
    <t>05-20-0393</t>
  </si>
  <si>
    <t>GOODSSVP-43-2020</t>
  </si>
  <si>
    <t>IB 2020 – 056</t>
  </si>
  <si>
    <t>102CO-2020-237</t>
  </si>
  <si>
    <t>PR NO. 606</t>
  </si>
  <si>
    <t>OM-193-2020</t>
  </si>
  <si>
    <t>BAC1-20-010</t>
  </si>
  <si>
    <t>BAC-PG-00137-20</t>
  </si>
  <si>
    <t>20060473</t>
  </si>
  <si>
    <t>202006022</t>
  </si>
  <si>
    <t>0622-002</t>
  </si>
  <si>
    <t>SVP2020-06-22-1118</t>
  </si>
  <si>
    <t>RFQ-INFRA-2020-003</t>
  </si>
  <si>
    <t>IB 2020 – 055</t>
  </si>
  <si>
    <t>PAL 20-742-4</t>
  </si>
  <si>
    <t>IB 2020-034</t>
  </si>
  <si>
    <t>20CH0067</t>
  </si>
  <si>
    <t>SVP2020-06-22-1117</t>
  </si>
  <si>
    <t>202006021</t>
  </si>
  <si>
    <t>06222002</t>
  </si>
  <si>
    <t>SHP2020-06-22-1044</t>
  </si>
  <si>
    <t>2020-06-59</t>
  </si>
  <si>
    <t>rec-2020-25</t>
  </si>
  <si>
    <t>EMBR02-PB-CONSULTINGSERVICES- EMED052020-140</t>
  </si>
  <si>
    <t>SVP 20-710-2</t>
  </si>
  <si>
    <t>BUE-06222020-01</t>
  </si>
  <si>
    <t>PB 2020-02</t>
  </si>
  <si>
    <t>20CH0064</t>
  </si>
  <si>
    <t>20AI0174</t>
  </si>
  <si>
    <t>20CH0069</t>
  </si>
  <si>
    <t>20-06-22-21</t>
  </si>
  <si>
    <t>2020-03-120</t>
  </si>
  <si>
    <t>SLPRSD-2020-06-0298</t>
  </si>
  <si>
    <t>SDO GOODS 2020-025</t>
  </si>
  <si>
    <t>2020-RFQ-06-003</t>
  </si>
  <si>
    <t>2020-04-034</t>
  </si>
  <si>
    <t>PR#50</t>
  </si>
  <si>
    <t>I.B. No. 2020-0025</t>
  </si>
  <si>
    <t>51-1</t>
  </si>
  <si>
    <t>2020-06-316-28</t>
  </si>
  <si>
    <t>2020-06-360</t>
  </si>
  <si>
    <t>20CH0070</t>
  </si>
  <si>
    <t>20-0545-8732</t>
  </si>
  <si>
    <t>06222004</t>
  </si>
  <si>
    <t>RFQ-INFRA-2020-004</t>
  </si>
  <si>
    <t>BAC-PG-00138-20</t>
  </si>
  <si>
    <t>RSPQ NO. 2020-06-027</t>
  </si>
  <si>
    <t>AFPPS-TRNG-1197-20</t>
  </si>
  <si>
    <t>lgumambu_g_june_2020_010</t>
  </si>
  <si>
    <t>IB 2020 – 059</t>
  </si>
  <si>
    <t>20-02-213A</t>
  </si>
  <si>
    <t>2019-003</t>
  </si>
  <si>
    <t>20060464-0465</t>
  </si>
  <si>
    <t>20CH0072</t>
  </si>
  <si>
    <t>OM-194-L-2020</t>
  </si>
  <si>
    <t>GOODS-06-031</t>
  </si>
  <si>
    <t>06-20-0433</t>
  </si>
  <si>
    <t>IB-2020-25-NEGO</t>
  </si>
  <si>
    <t>RFQ-GOODS-2020-074</t>
  </si>
  <si>
    <t>2020-06-0156</t>
  </si>
  <si>
    <t>TESDA-MPLTP 2020 06-015</t>
  </si>
  <si>
    <t>Jiab-2020-38A</t>
  </si>
  <si>
    <t>AFPPS-TRNG-1199-20</t>
  </si>
  <si>
    <t>SDO2020-06-PPEs</t>
  </si>
  <si>
    <t>20-06-249</t>
  </si>
  <si>
    <t>2020-06-60</t>
  </si>
  <si>
    <t>OGS-2020-28</t>
  </si>
  <si>
    <t>SEF-I-51-2020</t>
  </si>
  <si>
    <t>BAC-PG-00139-20</t>
  </si>
  <si>
    <t>RFQ-SHS-0020</t>
  </si>
  <si>
    <t>2020svp - 227-550</t>
  </si>
  <si>
    <t>20CH0025</t>
  </si>
  <si>
    <t>BMB 20-031</t>
  </si>
  <si>
    <t>RFQ-2020-027</t>
  </si>
  <si>
    <t>20060469</t>
  </si>
  <si>
    <t>EBMS 1265-20</t>
  </si>
  <si>
    <t>BAC-PG-00140-20</t>
  </si>
  <si>
    <t>IB-2020-26-NEGO</t>
  </si>
  <si>
    <t>SDO2020-06-Medicine</t>
  </si>
  <si>
    <t>2020-0284</t>
  </si>
  <si>
    <t>SVP-073-2020</t>
  </si>
  <si>
    <t>RO9-INFRA-2020-F-001</t>
  </si>
  <si>
    <t>RSPQ NO. 2020-06-028</t>
  </si>
  <si>
    <t>20-06-12</t>
  </si>
  <si>
    <t>PRDP-IR-R003-NUE-035-PAL-001-2019-R1</t>
  </si>
  <si>
    <t>Jiab-2020-39Af</t>
  </si>
  <si>
    <t>2020-05-076</t>
  </si>
  <si>
    <t>S-2020-71</t>
  </si>
  <si>
    <t>BSU Project No. 2020-209</t>
  </si>
  <si>
    <t>39-06-20-1181</t>
  </si>
  <si>
    <t>799</t>
  </si>
  <si>
    <t>MH-GOODS-TLDC-MEAT-PROCESSING-RAW-MATERIALS-687</t>
  </si>
  <si>
    <t>BAC 2020-24</t>
  </si>
  <si>
    <t>SVP2020-06-22-1119</t>
  </si>
  <si>
    <t>DENR10 2020-06-0298</t>
  </si>
  <si>
    <t>RFQ NO. 2020-06-10- (8071)</t>
  </si>
  <si>
    <t>20GFH0012</t>
  </si>
  <si>
    <t>G-107-20</t>
  </si>
  <si>
    <t>0533-06-2020</t>
  </si>
  <si>
    <t>2020-06-61</t>
  </si>
  <si>
    <t>PR 2020-06-014</t>
  </si>
  <si>
    <t>EBMS 1264-20</t>
  </si>
  <si>
    <t>NFW-06-022-20</t>
  </si>
  <si>
    <t>20-158</t>
  </si>
  <si>
    <t>2020-06-054</t>
  </si>
  <si>
    <t>06-20-0431</t>
  </si>
  <si>
    <t>20060460</t>
  </si>
  <si>
    <t>20-0546-8732</t>
  </si>
  <si>
    <t>IB 2020 – 058</t>
  </si>
  <si>
    <t>RFQ-GOODS-2020-076</t>
  </si>
  <si>
    <t>2020svp - 228-551</t>
  </si>
  <si>
    <t>RSPQ NO. 2020-06-029</t>
  </si>
  <si>
    <t>RFQ-GOODS-2020-075</t>
  </si>
  <si>
    <t>SEF-I-52-2020</t>
  </si>
  <si>
    <t>20GL00008</t>
  </si>
  <si>
    <t>PB-2020-06-005</t>
  </si>
  <si>
    <t>22-06-003</t>
  </si>
  <si>
    <t>06222005</t>
  </si>
  <si>
    <t>SVP2020-06-22-1120</t>
  </si>
  <si>
    <t>2020svp - 228-552</t>
  </si>
  <si>
    <t>20CG0142</t>
  </si>
  <si>
    <t>20-06-875</t>
  </si>
  <si>
    <t>20GLD0042</t>
  </si>
  <si>
    <t>2020-06-052</t>
  </si>
  <si>
    <t>058-20</t>
  </si>
  <si>
    <t>RFQ 20-112</t>
  </si>
  <si>
    <t>PR-139-100-2020</t>
  </si>
  <si>
    <t>20GPM006</t>
  </si>
  <si>
    <t>0534-06-2020</t>
  </si>
  <si>
    <t>PR 234-020</t>
  </si>
  <si>
    <t>SF-GOODS NO. 64-(06-22-20)</t>
  </si>
  <si>
    <t>INFRA-SMV-04-2020</t>
  </si>
  <si>
    <t>2020-1016-06-012</t>
  </si>
  <si>
    <t>EBMS 0586-20</t>
  </si>
  <si>
    <t>2020-6-6815</t>
  </si>
  <si>
    <t>20-06-088</t>
  </si>
  <si>
    <t>20GLD0043</t>
  </si>
  <si>
    <t>NFW-06-023-20</t>
  </si>
  <si>
    <t>20CG0143</t>
  </si>
  <si>
    <t>BAC-PG-00141-20</t>
  </si>
  <si>
    <t>NP-SVP-289-2020</t>
  </si>
  <si>
    <t>RO4-GOODS-2020-20</t>
  </si>
  <si>
    <t>20-04-2020</t>
  </si>
  <si>
    <t>PHS-1212-20</t>
  </si>
  <si>
    <t>20GAC0021</t>
  </si>
  <si>
    <t>EBMS 0626-20</t>
  </si>
  <si>
    <t>2020-06-053</t>
  </si>
  <si>
    <t>20CG0144</t>
  </si>
  <si>
    <t>BUE-06222020-04</t>
  </si>
  <si>
    <t>20GFH0013</t>
  </si>
  <si>
    <t>Supporting Documents</t>
  </si>
  <si>
    <t>20-164</t>
  </si>
  <si>
    <t>35</t>
  </si>
  <si>
    <t>PR NO. 553</t>
  </si>
  <si>
    <t>776</t>
  </si>
  <si>
    <t>RFQ-GOODS-2020-077</t>
  </si>
  <si>
    <t>20-06-250</t>
  </si>
  <si>
    <t>Jiab-2020-41A</t>
  </si>
  <si>
    <t>AGGDS2020-0623A</t>
  </si>
  <si>
    <t>2020-06-165</t>
  </si>
  <si>
    <t>G-2020-0058</t>
  </si>
  <si>
    <t>BUE-06222020-05</t>
  </si>
  <si>
    <t>Quotation No. 20-06-0346</t>
  </si>
  <si>
    <t>20GFH0014</t>
  </si>
  <si>
    <t>NP-SVP-290-2020</t>
  </si>
  <si>
    <t>RFQ No. 2020-101</t>
  </si>
  <si>
    <t>20CG0145</t>
  </si>
  <si>
    <t>NFW-06-024-20</t>
  </si>
  <si>
    <t>DILP ASSISTANCE kAL-2020-06-06(APATAN FARMERS INDI</t>
  </si>
  <si>
    <t>PR No. 1000031979</t>
  </si>
  <si>
    <t>02-06-2020</t>
  </si>
  <si>
    <t>PN 2020-124</t>
  </si>
  <si>
    <t>AGGDS2020-0623B</t>
  </si>
  <si>
    <t>20GLD0045</t>
  </si>
  <si>
    <t>20CG0146</t>
  </si>
  <si>
    <t>300-20-06-0009</t>
  </si>
  <si>
    <t>Lgn1-SVP2020-07-0008</t>
  </si>
  <si>
    <t>RSPQ NO. 2020-06-030</t>
  </si>
  <si>
    <t>G-2020-0057</t>
  </si>
  <si>
    <t>RFQ2020-024</t>
  </si>
  <si>
    <t>20-02-355</t>
  </si>
  <si>
    <t>2020-06-62</t>
  </si>
  <si>
    <t>20-06-251</t>
  </si>
  <si>
    <t>Mkna-GSO-20-280</t>
  </si>
  <si>
    <t>20HC0182</t>
  </si>
  <si>
    <t>IBTGH No. 2020 – 006</t>
  </si>
  <si>
    <t>777</t>
  </si>
  <si>
    <t>MAPULO-001</t>
  </si>
  <si>
    <t>200-20-06-0180</t>
  </si>
  <si>
    <t>948911</t>
  </si>
  <si>
    <t>20GLD0044</t>
  </si>
  <si>
    <t>2020-06-22-04</t>
  </si>
  <si>
    <t>Jiab-2020-42A</t>
  </si>
  <si>
    <t>06222006</t>
  </si>
  <si>
    <t>0700-2020-06-019</t>
  </si>
  <si>
    <t>SDO2020-06-Vaccine</t>
  </si>
  <si>
    <t>20CG0147</t>
  </si>
  <si>
    <t>ATI2020-06-140</t>
  </si>
  <si>
    <t>RB2020-06-205</t>
  </si>
  <si>
    <t>S-2020-0080</t>
  </si>
  <si>
    <t>20GKG0032</t>
  </si>
  <si>
    <t>RFQ2020-025</t>
  </si>
  <si>
    <t>20GAC0020</t>
  </si>
  <si>
    <t>RFQ No. 2020-102</t>
  </si>
  <si>
    <t>2020-06-13</t>
  </si>
  <si>
    <t>PHS-1211-20</t>
  </si>
  <si>
    <t>2020-06-166-7</t>
  </si>
  <si>
    <t>QUOTATION NO. 20-06-0355</t>
  </si>
  <si>
    <t>20-06-252</t>
  </si>
  <si>
    <t>EBMS 0889-20</t>
  </si>
  <si>
    <t>P-09-20</t>
  </si>
  <si>
    <t>AGGDS2020-0623D</t>
  </si>
  <si>
    <t>NIAREG9-06222020-688</t>
  </si>
  <si>
    <t>06222020</t>
  </si>
  <si>
    <t>Jiab-2020-40A</t>
  </si>
  <si>
    <t>2020-06-097</t>
  </si>
  <si>
    <t>RFQ No. 2020-103</t>
  </si>
  <si>
    <t>20-05042</t>
  </si>
  <si>
    <t>PR 2020-06-0200</t>
  </si>
  <si>
    <t>RFQ2020-026</t>
  </si>
  <si>
    <t>CONSTRUCTION OF VARIOUS INFRASTRUCTURE PROJECTS FO</t>
  </si>
  <si>
    <t>2020-05-241</t>
  </si>
  <si>
    <t>MGB-2020-0005</t>
  </si>
  <si>
    <t>SVP2020-07-0009</t>
  </si>
  <si>
    <t>20-06-089</t>
  </si>
  <si>
    <t>FSDE18-CS-048-20</t>
  </si>
  <si>
    <t>20CG0148</t>
  </si>
  <si>
    <t>20GLD0046</t>
  </si>
  <si>
    <t>Graceville 2020-001</t>
  </si>
  <si>
    <t>2020-06-098</t>
  </si>
  <si>
    <t>2020-0250</t>
  </si>
  <si>
    <t>245</t>
  </si>
  <si>
    <t>Graceville 2020-002</t>
  </si>
  <si>
    <t>20-159</t>
  </si>
  <si>
    <t>20GAC0022</t>
  </si>
  <si>
    <t>AGGDS2020-0623E</t>
  </si>
  <si>
    <t>4411-06-22-2020</t>
  </si>
  <si>
    <t>RFQ 2020-06-037 FOR PR NO. 20-06-042</t>
  </si>
  <si>
    <t>NP-SVP-291-2020</t>
  </si>
  <si>
    <t>110-1011-017</t>
  </si>
  <si>
    <t>lgu-es-20-132</t>
  </si>
  <si>
    <t>DIN-INF-06-22-2020</t>
  </si>
  <si>
    <t>06-2020-05-051</t>
  </si>
  <si>
    <t>Lgn1-SVP2020-07-0010</t>
  </si>
  <si>
    <t>20CG0150</t>
  </si>
  <si>
    <t>cat2020-003</t>
  </si>
  <si>
    <t>ITB 2020 - 078</t>
  </si>
  <si>
    <t>547</t>
  </si>
  <si>
    <t>101-20-06-467</t>
  </si>
  <si>
    <t>2020svp - 229-554</t>
  </si>
  <si>
    <t>015</t>
  </si>
  <si>
    <t>202046</t>
  </si>
  <si>
    <t>20FO0101</t>
  </si>
  <si>
    <t>ITB - 06 JUNE 2020</t>
  </si>
  <si>
    <t>Graceville 2020-003</t>
  </si>
  <si>
    <t>20CG0149</t>
  </si>
  <si>
    <t>2020-06-088</t>
  </si>
  <si>
    <t>550</t>
  </si>
  <si>
    <t>ITB 2020 - 079</t>
  </si>
  <si>
    <t>2020-075</t>
  </si>
  <si>
    <t>20CG0151</t>
  </si>
  <si>
    <t>P-10-20</t>
  </si>
  <si>
    <t>PIA-2020-028</t>
  </si>
  <si>
    <t>20CG0152</t>
  </si>
  <si>
    <t>PR. NO. 2020-06-000011</t>
  </si>
  <si>
    <t>COVID19-012</t>
  </si>
  <si>
    <t>20HM0091</t>
  </si>
  <si>
    <t>20CG0153</t>
  </si>
  <si>
    <t>2020-88</t>
  </si>
  <si>
    <t>NFW-06-027-20</t>
  </si>
  <si>
    <t>6-17</t>
  </si>
  <si>
    <t>20-160</t>
  </si>
  <si>
    <t>ITB 2020 - 080</t>
  </si>
  <si>
    <t>2020-404-05</t>
  </si>
  <si>
    <t>2020-1021-030</t>
  </si>
  <si>
    <t>PR-2006-661</t>
  </si>
  <si>
    <t>20AI0176</t>
  </si>
  <si>
    <t>2020-71 (GAS)</t>
  </si>
  <si>
    <t>PR. NO. 2020-06-000020</t>
  </si>
  <si>
    <t>SVP-2020-06-22-01</t>
  </si>
  <si>
    <t>DOH-MMCHD-2020-06-169-G</t>
  </si>
  <si>
    <t>NP-SVP-292-2020</t>
  </si>
  <si>
    <t>NFW-06-025-20</t>
  </si>
  <si>
    <t>SBMA-BAC-GOODS-ITB-09-20</t>
  </si>
  <si>
    <t>2020-06-096</t>
  </si>
  <si>
    <t>0041-06-2020</t>
  </si>
  <si>
    <t>RFQ 2020-06-038 FOR PR NO. 20-06-043</t>
  </si>
  <si>
    <t>2020-PBGOODS-06-007</t>
  </si>
  <si>
    <t>20CG0156</t>
  </si>
  <si>
    <t>20-06-090</t>
  </si>
  <si>
    <t>20CG0154</t>
  </si>
  <si>
    <t>INFRA 2020-03</t>
  </si>
  <si>
    <t>RFQ2020-027</t>
  </si>
  <si>
    <t>300-2006-020</t>
  </si>
  <si>
    <t>NFW-06-028-20</t>
  </si>
  <si>
    <t>20FO0102</t>
  </si>
  <si>
    <t>Lgn1-SVP2020-07-0011</t>
  </si>
  <si>
    <t>2020-0274</t>
  </si>
  <si>
    <t>2020-06-318-30</t>
  </si>
  <si>
    <t>NFW-06-026-20</t>
  </si>
  <si>
    <t>SMWDSP072220</t>
  </si>
  <si>
    <t>2020-06-0180</t>
  </si>
  <si>
    <t>2006-0520-BGMS</t>
  </si>
  <si>
    <t>2019-SVP-12-027</t>
  </si>
  <si>
    <t>RFQ NO. SVP-016-2020</t>
  </si>
  <si>
    <t>20-06-091</t>
  </si>
  <si>
    <t>ATI-RTC3-2020-0083</t>
  </si>
  <si>
    <t>20CG0155</t>
  </si>
  <si>
    <t>PR. 20-06-222 (2020-06-211)</t>
  </si>
  <si>
    <t>2020-RBAC8-INFR-17</t>
  </si>
  <si>
    <t>2020-03005</t>
  </si>
  <si>
    <t>2020-463</t>
  </si>
  <si>
    <t>2020-10</t>
  </si>
  <si>
    <t>SVP20-501</t>
  </si>
  <si>
    <t>GF-20-0171</t>
  </si>
  <si>
    <t>20-06-092</t>
  </si>
  <si>
    <t>18-2020</t>
  </si>
  <si>
    <t>0042-06-2020</t>
  </si>
  <si>
    <t>ATI-RTC3-2020-0078-B</t>
  </si>
  <si>
    <t>DEPED-BOHOL-2020-06-082</t>
  </si>
  <si>
    <t>CONTRACT ID # 20-06-090</t>
  </si>
  <si>
    <t>107-1011-017</t>
  </si>
  <si>
    <t>PR. NO. 2020-06-000014</t>
  </si>
  <si>
    <t>20-06-094</t>
  </si>
  <si>
    <t>2020-06-0182</t>
  </si>
  <si>
    <t>DIM-INFRA-2020-10</t>
  </si>
  <si>
    <t>RFQ2020-028</t>
  </si>
  <si>
    <t>0418-20</t>
  </si>
  <si>
    <t>87034</t>
  </si>
  <si>
    <t>800</t>
  </si>
  <si>
    <t>RFQ2020-029</t>
  </si>
  <si>
    <t>LGUPROC 2020 -134N</t>
  </si>
  <si>
    <t>20GFO0016</t>
  </si>
  <si>
    <t>DA RFO-1-2019-INFRA-038-N</t>
  </si>
  <si>
    <t>TESDA PR-0198</t>
  </si>
  <si>
    <t>20-06-093</t>
  </si>
  <si>
    <t>NP200619-EA035</t>
  </si>
  <si>
    <t>2020-464</t>
  </si>
  <si>
    <t>MinSCAT RFQ 2020-37</t>
  </si>
  <si>
    <t>20CSA007</t>
  </si>
  <si>
    <t>N 33 C 2020</t>
  </si>
  <si>
    <t>AFPPS-TRNG-1202-20</t>
  </si>
  <si>
    <t>I.B. No. 2020-0027</t>
  </si>
  <si>
    <t>202006220003</t>
  </si>
  <si>
    <t>ppn-089-2020</t>
  </si>
  <si>
    <t>2020-209</t>
  </si>
  <si>
    <t>2020-210</t>
  </si>
  <si>
    <t>PR062000637</t>
  </si>
  <si>
    <t>LG2020MP</t>
  </si>
  <si>
    <t>PR 2020-06-002</t>
  </si>
  <si>
    <t>GHQPC-ETDC-TRNG-1201-20</t>
  </si>
  <si>
    <t>DA RFO-1-2019-INFRA-068</t>
  </si>
  <si>
    <t>ATI-RTC 2020-0039</t>
  </si>
  <si>
    <t>GF-20-030</t>
  </si>
  <si>
    <t>2020-0026</t>
  </si>
  <si>
    <t>ORF 10604-2020-06</t>
  </si>
  <si>
    <t>TAYSAN2020-059</t>
  </si>
  <si>
    <t>BACGbtn-Q-2006-1008</t>
  </si>
  <si>
    <t>N 34 C 2020</t>
  </si>
  <si>
    <t>06-07</t>
  </si>
  <si>
    <t>cmd-20-01-15</t>
  </si>
  <si>
    <t>001-06-22-2020</t>
  </si>
  <si>
    <t>20CSAC03</t>
  </si>
  <si>
    <t>2020139</t>
  </si>
  <si>
    <t>cmd-20-01-02</t>
  </si>
  <si>
    <t>2020-033-RFQ</t>
  </si>
  <si>
    <t>100-20-06-0828</t>
  </si>
  <si>
    <t>100-20-06-0832</t>
  </si>
  <si>
    <t>N 36 C 2020</t>
  </si>
  <si>
    <t>LGU-2020-041</t>
  </si>
  <si>
    <t>OMSC RFQ 20-024</t>
  </si>
  <si>
    <t>ORF 10604-06-2020</t>
  </si>
  <si>
    <t>RFQ-TASS-06-08-2020</t>
  </si>
  <si>
    <t>GHQPC-OJ4-TRNG-1171-20</t>
  </si>
  <si>
    <t>100-20-06-0833</t>
  </si>
  <si>
    <t>GF-20-0279</t>
  </si>
  <si>
    <t>RFQ NO. SVP-017-2020</t>
  </si>
  <si>
    <t>PB 06-05-2020</t>
  </si>
  <si>
    <t>RFQ 2020-06-044</t>
  </si>
  <si>
    <t>LGU-AL-30-2020</t>
  </si>
  <si>
    <t>TPB-PR.2020.06.185</t>
  </si>
  <si>
    <t>2020140</t>
  </si>
  <si>
    <t>pwr-03-017</t>
  </si>
  <si>
    <t>SUPPLY OF LABOR, EQUIPMENT AND RESTORATION MATERIA</t>
  </si>
  <si>
    <t>20GPJ0006</t>
  </si>
  <si>
    <t>DEPED-BOHOL-2020-06-084</t>
  </si>
  <si>
    <t>G2020-06-056E</t>
  </si>
  <si>
    <t>20-CRG-20-06-1048</t>
  </si>
  <si>
    <t>2020-06-051RFQ</t>
  </si>
  <si>
    <t>pwr-03-015</t>
  </si>
  <si>
    <t>G2020-06-055E</t>
  </si>
  <si>
    <t>RFQ2020.06.182</t>
  </si>
  <si>
    <t>RFQ2020-06-03</t>
  </si>
  <si>
    <t>G2020-06-053E</t>
  </si>
  <si>
    <t>003-06-22-2020</t>
  </si>
  <si>
    <t>G2020-06-052E</t>
  </si>
  <si>
    <t>agsd-2020-05-009</t>
  </si>
  <si>
    <t>Supply, Delivery and Installation of Air Condition</t>
  </si>
  <si>
    <t>N 35 C 2020</t>
  </si>
  <si>
    <t>001-2020G</t>
  </si>
  <si>
    <t>G2020-06-059E</t>
  </si>
  <si>
    <t>004-06-22-2020</t>
  </si>
  <si>
    <t>2020-743</t>
  </si>
  <si>
    <t>G2020-06-054E</t>
  </si>
  <si>
    <t>PSA-NCR-RO-20-06</t>
  </si>
  <si>
    <t>2020-06-26-119NP</t>
  </si>
  <si>
    <t>20GFC0011</t>
  </si>
  <si>
    <t>G2020-06-058E</t>
  </si>
  <si>
    <t>2020-742</t>
  </si>
  <si>
    <t>2020-06-26-118NP</t>
  </si>
  <si>
    <t>RFQ-SVP-2020-009</t>
  </si>
  <si>
    <t>G2020-06-057E</t>
  </si>
  <si>
    <t>2020141</t>
  </si>
  <si>
    <t>2020-06-26-117NP</t>
  </si>
  <si>
    <t>2020-06-26-116NP</t>
  </si>
  <si>
    <t>PR No. 20-06-162</t>
  </si>
  <si>
    <t>RFQ NO. SVP-018-2020</t>
  </si>
  <si>
    <t>DA RFO-1-2019-INFRA-040-N</t>
  </si>
  <si>
    <t>1285-20BAC</t>
  </si>
  <si>
    <t>PR. NO. 20-06-0218</t>
  </si>
  <si>
    <t>UPC SVP2020-06-024</t>
  </si>
  <si>
    <t>002-06-22-2020</t>
  </si>
  <si>
    <t>20200622 03*</t>
  </si>
  <si>
    <t>20GFC0015</t>
  </si>
  <si>
    <t>2020 07</t>
  </si>
  <si>
    <t>2020142</t>
  </si>
  <si>
    <t>20GFC0014</t>
  </si>
  <si>
    <t>RFQ No. 2020-06-032</t>
  </si>
  <si>
    <t>2020-06-052RFQ</t>
  </si>
  <si>
    <t>20GFC0013</t>
  </si>
  <si>
    <t>202006050</t>
  </si>
  <si>
    <t>20GPJ008</t>
  </si>
  <si>
    <t>ITB No. 2020-06-002</t>
  </si>
  <si>
    <t>202006052</t>
  </si>
  <si>
    <t>2020150</t>
  </si>
  <si>
    <t>2020145</t>
  </si>
  <si>
    <t>2020-GD-06-07</t>
  </si>
  <si>
    <t>2020144</t>
  </si>
  <si>
    <t>RFQ NO. SVP-020-2020</t>
  </si>
  <si>
    <t>bw3 2020-04</t>
  </si>
  <si>
    <t>PCMT 2020-045</t>
  </si>
  <si>
    <t>RFQ NO. SVP-019-2020</t>
  </si>
  <si>
    <t>SVP 2020-01</t>
  </si>
  <si>
    <t>2020149</t>
  </si>
  <si>
    <t>002-05-2020</t>
  </si>
  <si>
    <t>202006054</t>
  </si>
  <si>
    <t>2020-CW-06-09</t>
  </si>
  <si>
    <t>2020-050 NP SVP</t>
  </si>
  <si>
    <t>202006051</t>
  </si>
  <si>
    <t>ITB04-GOODS-MATERIALS-2020</t>
  </si>
  <si>
    <t>2020147</t>
  </si>
  <si>
    <t>202006053</t>
  </si>
  <si>
    <t>2020148</t>
  </si>
  <si>
    <t>2020 - 006 - 009</t>
  </si>
  <si>
    <t>SVES-2020-006PR</t>
  </si>
  <si>
    <t>2020-04-015</t>
  </si>
  <si>
    <t>2020157</t>
  </si>
  <si>
    <t>20GFC0012</t>
  </si>
  <si>
    <t>2020-06-06A</t>
  </si>
  <si>
    <t>2020146</t>
  </si>
  <si>
    <t>2020153</t>
  </si>
  <si>
    <t>2020155</t>
  </si>
  <si>
    <t>2020152</t>
  </si>
  <si>
    <t>PCMT 2020-046</t>
  </si>
  <si>
    <t>2020154</t>
  </si>
  <si>
    <t>20HH0137</t>
  </si>
  <si>
    <t>TESDA PR-0197</t>
  </si>
  <si>
    <t>TESDA PR-0196</t>
  </si>
  <si>
    <t>2020151</t>
  </si>
  <si>
    <t>bw3 2020-05</t>
  </si>
  <si>
    <t>ITB 2020-DSWD-CAR-16</t>
  </si>
  <si>
    <t>MKWD-BAC-2020-053</t>
  </si>
  <si>
    <t>MSXIII-20-06-0098</t>
  </si>
  <si>
    <t>sdn-2020-06-035</t>
  </si>
  <si>
    <t>BAC1-20-012</t>
  </si>
  <si>
    <t>2020156</t>
  </si>
  <si>
    <t>109918-2020-04</t>
  </si>
  <si>
    <t>OC-64 (CITY AGRICULTURE-01)20S</t>
  </si>
  <si>
    <t>BAC1-20-009</t>
  </si>
  <si>
    <t>SVP 2020-03</t>
  </si>
  <si>
    <t>BAC1-20-011</t>
  </si>
  <si>
    <t>2020-06-26-115NP</t>
  </si>
  <si>
    <t>20HH0138</t>
  </si>
  <si>
    <t>070620</t>
  </si>
  <si>
    <t>OC-65 (CMO-OTMPS-02) 20S</t>
  </si>
  <si>
    <t>20CC0256</t>
  </si>
  <si>
    <t>2020-CW-06-10</t>
  </si>
  <si>
    <t>2019-002</t>
  </si>
  <si>
    <t>ITDI-200081_REBID</t>
  </si>
  <si>
    <t>20CC0255</t>
  </si>
  <si>
    <t>IB. NO. K-2020-058(SC)</t>
  </si>
  <si>
    <t>2020-0622-01</t>
  </si>
  <si>
    <t>20CC0199</t>
  </si>
  <si>
    <t>PR NO. 2020-06-0039</t>
  </si>
  <si>
    <t>2020-3-22</t>
  </si>
  <si>
    <t>20CC0170</t>
  </si>
  <si>
    <t>2020-3-18</t>
  </si>
  <si>
    <t>20-06-084</t>
  </si>
  <si>
    <t>PDSXIII-20-06-0099</t>
  </si>
  <si>
    <t>SRAVIS 20-06-279</t>
  </si>
  <si>
    <t>IB. NO. K-2020-057(SC)</t>
  </si>
  <si>
    <t>IB. NO. K-2020-062(SC)</t>
  </si>
  <si>
    <t>BAC1-20-005</t>
  </si>
  <si>
    <t>2020-0622-02</t>
  </si>
  <si>
    <t>IB. NO. K-2020-061(SC)</t>
  </si>
  <si>
    <t>OC-10(GSO-10)20S</t>
  </si>
  <si>
    <t>PDSXIII-20-06-0101</t>
  </si>
  <si>
    <t>2020-03-032-B</t>
  </si>
  <si>
    <t>BAC1-20-014</t>
  </si>
  <si>
    <t>2020 - 06 - 26 (19 - Small Value Procurement)</t>
  </si>
  <si>
    <t>SRAVIS 20-06-280</t>
  </si>
  <si>
    <t>2020 - 06 - 030 (87 - Shopping)</t>
  </si>
  <si>
    <t>ITDI-200445</t>
  </si>
  <si>
    <t>2020 - 006 - 011</t>
  </si>
  <si>
    <t>IB. NO. K-2020-059(SC)</t>
  </si>
  <si>
    <t>ITDI-200444</t>
  </si>
  <si>
    <t>2020 - 006 - 010</t>
  </si>
  <si>
    <t>IB No. 2020-021</t>
  </si>
  <si>
    <t>2020 - 06 - 030 (88 - Shopping)</t>
  </si>
  <si>
    <t>ADMXIII-20-06-0100</t>
  </si>
  <si>
    <t>2020-06-69</t>
  </si>
  <si>
    <t>2020-06-22-177</t>
  </si>
  <si>
    <t>SVP 2020-02</t>
  </si>
  <si>
    <t>2020143</t>
  </si>
  <si>
    <t>PCMT 2020-044</t>
  </si>
  <si>
    <t>2020 06</t>
  </si>
  <si>
    <t>2020 - 006 - 012</t>
  </si>
  <si>
    <t>302775--2020--06-069</t>
  </si>
  <si>
    <t>2020-GD-06-06</t>
  </si>
  <si>
    <t>RFQ-TASS-06-07-2020</t>
  </si>
  <si>
    <t>G2020-06-060E</t>
  </si>
  <si>
    <t>20EA0054</t>
  </si>
  <si>
    <t>Infra EDF 05-2020</t>
  </si>
  <si>
    <t>DEPED-BOHOL-2020-06-083</t>
  </si>
  <si>
    <t>SRAVIS 20-06-281</t>
  </si>
  <si>
    <t>GLQ-2020-12</t>
  </si>
  <si>
    <t>PUR20-02-0135</t>
  </si>
  <si>
    <t>2020-06-054RFQ</t>
  </si>
  <si>
    <t>2019-004</t>
  </si>
  <si>
    <t>20EA0053</t>
  </si>
  <si>
    <t>GF-20-0385</t>
  </si>
  <si>
    <t>NP 093-20</t>
  </si>
  <si>
    <t>38</t>
  </si>
  <si>
    <t>20DE0147</t>
  </si>
  <si>
    <t>2020-G011</t>
  </si>
  <si>
    <t>RFQ-ATI-RTC4A-2020-06-075</t>
  </si>
  <si>
    <t>TDH00100074</t>
  </si>
  <si>
    <t>TESDA PR-0192</t>
  </si>
  <si>
    <t>20DE0146</t>
  </si>
  <si>
    <t>DTI-IS 2020-09</t>
  </si>
  <si>
    <t>SRAVIS 20-06-282</t>
  </si>
  <si>
    <t>20GOH0033 RFQ</t>
  </si>
  <si>
    <t>20DE0145</t>
  </si>
  <si>
    <t>2020-06-055RFQ</t>
  </si>
  <si>
    <t>117568-2020-036</t>
  </si>
  <si>
    <t>55-2020</t>
  </si>
  <si>
    <t>20GOH0034 RFQ</t>
  </si>
  <si>
    <t>20GOH0031 RFQ</t>
  </si>
  <si>
    <t>PR NO. 2020-05-016</t>
  </si>
  <si>
    <t>20GOH0021 RFQ Re-ads</t>
  </si>
  <si>
    <t>20GOE0013</t>
  </si>
  <si>
    <t>2020-06-053RFQ</t>
  </si>
  <si>
    <t>BAC1-20-004</t>
  </si>
  <si>
    <t>57-2020</t>
  </si>
  <si>
    <t>SRAVIS 20-06-283</t>
  </si>
  <si>
    <t>2020-173</t>
  </si>
  <si>
    <t>2020 - 06 - 030 (89 - Shopping)</t>
  </si>
  <si>
    <t>GEP-03-2020</t>
  </si>
  <si>
    <t>PBD-CONSULTANCY-2020-002</t>
  </si>
  <si>
    <t>DA RFO-1-2019-INFRA-039-N</t>
  </si>
  <si>
    <t>IA-GDS2020-006</t>
  </si>
  <si>
    <t>ppn-088-2020</t>
  </si>
  <si>
    <t>MDRRMO-2020-06-22-001</t>
  </si>
  <si>
    <t>2020-06-072</t>
  </si>
  <si>
    <t>2020-06-073</t>
  </si>
  <si>
    <t>PR-20-05-0114</t>
  </si>
  <si>
    <t>2020-034</t>
  </si>
  <si>
    <t>101-20-05-426</t>
  </si>
  <si>
    <t>20-035</t>
  </si>
  <si>
    <t>20CG0157</t>
  </si>
  <si>
    <t>ITB 2020 - 081</t>
  </si>
  <si>
    <t>RFQ - 2020-0266</t>
  </si>
  <si>
    <t>20GOH0038 RFQ</t>
  </si>
  <si>
    <t>TESDA PR 0191</t>
  </si>
  <si>
    <t>0620-043</t>
  </si>
  <si>
    <t>2020-06-056RFQ</t>
  </si>
  <si>
    <t>ITB-TPB-2020-028</t>
  </si>
  <si>
    <t>20GOH0037 RFQ</t>
  </si>
  <si>
    <t>RFQ-ATI-RTC4A-2020-06-078</t>
  </si>
  <si>
    <t>RFQ - 2020-0265</t>
  </si>
  <si>
    <t>IA-P-2020-01</t>
  </si>
  <si>
    <t>2020-465</t>
  </si>
  <si>
    <t>DTI-IN-2020-014</t>
  </si>
  <si>
    <t>CW 20-03</t>
  </si>
  <si>
    <t>2020-06-0179</t>
  </si>
  <si>
    <t>T1-20-06-006</t>
  </si>
  <si>
    <t>RFQ-ATI-RTC4A-2020-06-077</t>
  </si>
  <si>
    <t>RFQ - 2020-0264</t>
  </si>
  <si>
    <t>2020-06-00034tabunoknhs</t>
  </si>
  <si>
    <t>2020-ZP06-00011</t>
  </si>
  <si>
    <t>Graceville 2020-004</t>
  </si>
  <si>
    <t>58-2020</t>
  </si>
  <si>
    <t>DF-20-006-013</t>
  </si>
  <si>
    <t>RFQ No. 2020-104</t>
  </si>
  <si>
    <t>546</t>
  </si>
  <si>
    <t>CONTRACT ID: 19-12-272 2ND REBID</t>
  </si>
  <si>
    <t>20GOH0036 RFQ</t>
  </si>
  <si>
    <t>1405</t>
  </si>
  <si>
    <t>2020-04-0169</t>
  </si>
  <si>
    <t>PHS-1205-20</t>
  </si>
  <si>
    <t>20GOH0032 RFQ</t>
  </si>
  <si>
    <t>20GOH0035 RFQ</t>
  </si>
  <si>
    <t>RB2020-06-204</t>
  </si>
  <si>
    <t>2020-02-029</t>
  </si>
  <si>
    <t>20GLD0041</t>
  </si>
  <si>
    <t>PR-2006-660</t>
  </si>
  <si>
    <t>2020-06-025</t>
  </si>
  <si>
    <t>20200628</t>
  </si>
  <si>
    <t>IB 2020 – 057</t>
  </si>
  <si>
    <t>AGGDS2020-0623C</t>
  </si>
  <si>
    <t>BAC2020-05-21B-17</t>
  </si>
  <si>
    <t>RFQ 006-041-2020</t>
  </si>
  <si>
    <t>2020-0008</t>
  </si>
  <si>
    <t>109918-2020-05</t>
  </si>
  <si>
    <t>PR NO. 178</t>
  </si>
  <si>
    <t>RFQ-ETG-20-06-026</t>
  </si>
  <si>
    <t>G-2020-218</t>
  </si>
  <si>
    <t>DVO-200716-09</t>
  </si>
  <si>
    <t>2020-N-005</t>
  </si>
  <si>
    <t>PR 221-20-06-0635 - CED</t>
  </si>
  <si>
    <t>PGL-20 S-29-06</t>
  </si>
  <si>
    <t>01-0622</t>
  </si>
  <si>
    <t>R20-217</t>
  </si>
  <si>
    <t>LGU-ALCOY-2020-033</t>
  </si>
  <si>
    <t>DDOP-20-C0704</t>
  </si>
  <si>
    <t>2020-06-317-29</t>
  </si>
  <si>
    <t>2020-04-192</t>
  </si>
  <si>
    <t>PR NO. 530</t>
  </si>
  <si>
    <t>2020-0156</t>
  </si>
  <si>
    <t>DTI-IN-2020-018</t>
  </si>
  <si>
    <t>R/MBarangayRoad2020-June-1</t>
  </si>
  <si>
    <t>2020-06-007-PR</t>
  </si>
  <si>
    <t>ITB No. GOP/20-DSWD-039</t>
  </si>
  <si>
    <t>DTI-IN-2020-017</t>
  </si>
  <si>
    <t>GOODS 2020-05</t>
  </si>
  <si>
    <t>GOODS 2020-06</t>
  </si>
  <si>
    <t>DTI-IN-2020-016</t>
  </si>
  <si>
    <t>39</t>
  </si>
  <si>
    <t>Goods 2020-02</t>
  </si>
  <si>
    <t>ITB No. GOP-19-DSWD-058-A</t>
  </si>
  <si>
    <t>20GOH0041 RFQ</t>
  </si>
  <si>
    <t>20-06-0483</t>
  </si>
  <si>
    <t>033-2020</t>
  </si>
  <si>
    <t>20GOH0039 RFQ</t>
  </si>
  <si>
    <t>20CB-GSC-353 PURCHASE OF DIESEL AND GASOLINE FOR C</t>
  </si>
  <si>
    <t>Goods 2020-03</t>
  </si>
  <si>
    <t>306222020</t>
  </si>
  <si>
    <t>20GOH0040 RFQ</t>
  </si>
  <si>
    <t>2020-431</t>
  </si>
  <si>
    <t>106222020</t>
  </si>
  <si>
    <t>506222020</t>
  </si>
  <si>
    <t>HFE-2020-06-0209</t>
  </si>
  <si>
    <t>2020-06-021</t>
  </si>
  <si>
    <t>20-004-02</t>
  </si>
  <si>
    <t>406222020</t>
  </si>
  <si>
    <t>2020-06-MEO-LGSF-FA-TF-0026</t>
  </si>
  <si>
    <t>2020-1495</t>
  </si>
  <si>
    <t>20-003-02</t>
  </si>
  <si>
    <t>Goods 2020-01</t>
  </si>
  <si>
    <t>2020-INFRA-033</t>
  </si>
  <si>
    <t>2020 C-06.019</t>
  </si>
  <si>
    <t>2020-Barangay new mahayag-03</t>
  </si>
  <si>
    <t>SRAVIS 20-06-276</t>
  </si>
  <si>
    <t>IB No.2020-06-011-G</t>
  </si>
  <si>
    <t>206222020</t>
  </si>
  <si>
    <t>SRAVIS 20-06-278</t>
  </si>
  <si>
    <t>SRAVIS 20-06-277</t>
  </si>
  <si>
    <t>PB2020-07-063G</t>
  </si>
  <si>
    <t>20-03-01</t>
  </si>
  <si>
    <t>2020 B-06.298</t>
  </si>
  <si>
    <t>PB2020-07-064G</t>
  </si>
  <si>
    <t>2019-SVP-11-019</t>
  </si>
  <si>
    <t>PB2020-07-065G</t>
  </si>
  <si>
    <t>RSCC-2020-06-0205</t>
  </si>
  <si>
    <t>GEN-5780-20</t>
  </si>
  <si>
    <t>2020-Bgy564</t>
  </si>
  <si>
    <t>MinSCAT RFQ 2020-038</t>
  </si>
  <si>
    <t>109918-2020-06</t>
  </si>
  <si>
    <t>2020-06-00001</t>
  </si>
  <si>
    <t>06-03 (2020-051)</t>
  </si>
  <si>
    <t>itb 2020-30</t>
  </si>
  <si>
    <t>20GIL0039</t>
  </si>
  <si>
    <t>20-002-02</t>
  </si>
  <si>
    <t>RSCC-2020-06-0204</t>
  </si>
  <si>
    <t>DTI-IN-2020-015</t>
  </si>
  <si>
    <t>20-06-428</t>
  </si>
  <si>
    <t xml:space="preserve">20CB-GSC-345 PURCHASE OF DRUGS &amp; MEDICAL SUPPLIES </t>
  </si>
  <si>
    <t>2020-0286</t>
  </si>
  <si>
    <t>PB2020-06-062G</t>
  </si>
  <si>
    <t>PB2020-06-061G</t>
  </si>
  <si>
    <t>PB2020-05-049G</t>
  </si>
  <si>
    <t>0620-001</t>
  </si>
  <si>
    <t>PB2020-06-047I</t>
  </si>
  <si>
    <t>PB2020-05-047G</t>
  </si>
  <si>
    <t>INFRA-2020-48</t>
  </si>
  <si>
    <t>2020-INFRA-042</t>
  </si>
  <si>
    <t>2020-INFRA-044</t>
  </si>
  <si>
    <t>2020-INFRA-040</t>
  </si>
  <si>
    <t>2020-INFRA-038</t>
  </si>
  <si>
    <t>C-028-2020</t>
  </si>
  <si>
    <t>2020-INFRA-037</t>
  </si>
  <si>
    <t>2020-INFRA-036</t>
  </si>
  <si>
    <t>2020-INFRA-041</t>
  </si>
  <si>
    <t>2020-INFRA-039</t>
  </si>
  <si>
    <t>VET-20-0469-B</t>
  </si>
  <si>
    <t>202nd-06-66-20</t>
  </si>
  <si>
    <t>PR2020-06-002</t>
  </si>
  <si>
    <t>2020-INFRA-043</t>
  </si>
  <si>
    <t>PB2020-07-066G</t>
  </si>
  <si>
    <t>SEF-0519-042420</t>
  </si>
  <si>
    <t>uplb-rq-6-077-20 Goods (Customized  system furnitu</t>
  </si>
  <si>
    <t>PMOMIN 06-2020-003</t>
  </si>
  <si>
    <t>Pampango - 01</t>
  </si>
  <si>
    <t>LGU-POZ 2020-0035</t>
  </si>
  <si>
    <t>PB2020-07-067G</t>
  </si>
  <si>
    <t>LGU-POZ 2020-0034</t>
  </si>
  <si>
    <t>2020-INFRA-034</t>
  </si>
  <si>
    <t>PMOMIN 06-2020-004</t>
  </si>
  <si>
    <t>PIP 007-2020</t>
  </si>
  <si>
    <t>BFPX 2020-06</t>
  </si>
  <si>
    <t>2020-06-0088</t>
  </si>
  <si>
    <t>PR 2020-06-10-101</t>
  </si>
  <si>
    <t>ITB No. GOODS-20-114</t>
  </si>
  <si>
    <t>ITB No. GOODS-20-113</t>
  </si>
  <si>
    <t>ITB No. GOODS-20-112</t>
  </si>
  <si>
    <t>6-8-20-ID3</t>
  </si>
  <si>
    <t>6-8-20-ID8</t>
  </si>
  <si>
    <t>IB-2020-VII-13-02 FARM TO MARKET ROAD</t>
  </si>
  <si>
    <t>6-8-20-ID9</t>
  </si>
  <si>
    <t>PMOMIN 06-2020-002</t>
  </si>
  <si>
    <t>6-15-20-ID2</t>
  </si>
  <si>
    <t>5-14-20-ID3</t>
  </si>
  <si>
    <t>5-14-20-ID2</t>
  </si>
  <si>
    <t>5-11-20-ID3</t>
  </si>
  <si>
    <t>04-2020-GOODS</t>
  </si>
  <si>
    <t>012-06-2020</t>
  </si>
  <si>
    <t>PB2020-07-068G</t>
  </si>
  <si>
    <t>B-8661-20-13</t>
  </si>
  <si>
    <t>PR-2020-9999-0185</t>
  </si>
  <si>
    <t>06-16-2020-002</t>
  </si>
  <si>
    <t>LGU-Sagay-4750</t>
  </si>
  <si>
    <t>LGU-POZ 2020-0033</t>
  </si>
  <si>
    <t>LGU-POZ 2020-0032</t>
  </si>
  <si>
    <t>20-06-206</t>
  </si>
  <si>
    <t>IB-2020-VII-13-01 Office Supplies Inks &amp; Toners (L</t>
  </si>
  <si>
    <t>022-2020 PES Purchase of Various Office Supplies a</t>
  </si>
  <si>
    <t>GEN-5842-20</t>
  </si>
  <si>
    <t>2020-06-075</t>
  </si>
  <si>
    <t>EQP2020-06-33</t>
  </si>
  <si>
    <t>20-02</t>
  </si>
  <si>
    <t>EQP2020-05-20</t>
  </si>
  <si>
    <t>2020-INFRA-035</t>
  </si>
  <si>
    <t>6-15-20-ID1</t>
  </si>
  <si>
    <t>PR/RFQ# 2020-06-097</t>
  </si>
  <si>
    <t>100(01)20-06-1188</t>
  </si>
  <si>
    <t>20JA0081</t>
  </si>
  <si>
    <t>2020062302</t>
  </si>
  <si>
    <t>LGU-POZ 2020-0031</t>
  </si>
  <si>
    <t>cav2020-011</t>
  </si>
  <si>
    <t>PB20200618-040</t>
  </si>
  <si>
    <t>20GJG0023</t>
  </si>
  <si>
    <t>20GJG0022</t>
  </si>
  <si>
    <t>INFRA2020-02</t>
  </si>
  <si>
    <t>20K00352</t>
  </si>
  <si>
    <t>PB20200618-039</t>
  </si>
  <si>
    <t>22-2020</t>
  </si>
  <si>
    <t>21-2020</t>
  </si>
  <si>
    <t>20-2020</t>
  </si>
  <si>
    <t>2020-09</t>
  </si>
  <si>
    <t>PB20200618-041</t>
  </si>
  <si>
    <t>17-2020</t>
  </si>
  <si>
    <t>0620-041</t>
  </si>
  <si>
    <t>20-370</t>
  </si>
  <si>
    <t>IB NO. N-2020-06-79</t>
  </si>
  <si>
    <t>R20-213</t>
  </si>
  <si>
    <t>LGUPROC 2020 -133B</t>
  </si>
  <si>
    <t>DAS2020-048</t>
  </si>
  <si>
    <t>2020-02-48A</t>
  </si>
  <si>
    <t>2020-0285</t>
  </si>
  <si>
    <t>2020-06-074</t>
  </si>
  <si>
    <t>202nd-06-64-20</t>
  </si>
  <si>
    <t>G-2020-378</t>
  </si>
  <si>
    <t>202nd-06-63-20</t>
  </si>
  <si>
    <t>062220-60</t>
  </si>
  <si>
    <t>DEPEDZAM-019-2020</t>
  </si>
  <si>
    <t>G-2020-376</t>
  </si>
  <si>
    <t>000309</t>
  </si>
  <si>
    <t>doletac8-2020-13</t>
  </si>
  <si>
    <t>2020-06-BG-064</t>
  </si>
  <si>
    <t>P-0627</t>
  </si>
  <si>
    <t>23-2020</t>
  </si>
  <si>
    <t>B2 PEO 300-20-06-07378</t>
  </si>
  <si>
    <t>PR 4-20-02-0304 - CWD (REBIDDING)</t>
  </si>
  <si>
    <t>P. R. No. 20-06-166</t>
  </si>
  <si>
    <t>20FF0101</t>
  </si>
  <si>
    <t>20-05-377</t>
  </si>
  <si>
    <t>BCD-2020-038</t>
  </si>
  <si>
    <t>RFQ – 2020 – 021</t>
  </si>
  <si>
    <t>2020-06-041</t>
  </si>
  <si>
    <t>GSISLAU/NPSVP-2020001</t>
  </si>
  <si>
    <t>046</t>
  </si>
  <si>
    <t>20CG0177</t>
  </si>
  <si>
    <t>2020-802-001</t>
  </si>
  <si>
    <t>20CG0176</t>
  </si>
  <si>
    <t>20GCL0002</t>
  </si>
  <si>
    <t>AFPEBSO-PPE-1235-20</t>
  </si>
  <si>
    <t>047</t>
  </si>
  <si>
    <t>202206</t>
  </si>
  <si>
    <t>20CG0167</t>
  </si>
  <si>
    <t>RNAFS-2020-06-015</t>
  </si>
  <si>
    <t>ITB PR 0473</t>
  </si>
  <si>
    <t>20FD0067</t>
  </si>
  <si>
    <t>CW02-2020</t>
  </si>
  <si>
    <t>PR NO:2020-06-180</t>
  </si>
  <si>
    <t>2020-06-299</t>
  </si>
  <si>
    <t>20K00353</t>
  </si>
  <si>
    <t>C-023-2020</t>
  </si>
  <si>
    <t>IB-2020-24-NEGO-INFRA</t>
  </si>
  <si>
    <t>2020-06-308</t>
  </si>
  <si>
    <t>IB-2020-23-NEGO-INFRA</t>
  </si>
  <si>
    <t>2020-06-0087</t>
  </si>
  <si>
    <t>DA7-06-R&amp;DL-20-0483</t>
  </si>
  <si>
    <t>CES2020-26</t>
  </si>
  <si>
    <t>SVP-2020-059</t>
  </si>
  <si>
    <t>AFPEBSO-OTSM-1234-20</t>
  </si>
  <si>
    <t>4AL-SVP-20-001</t>
  </si>
  <si>
    <t>2020-06-306</t>
  </si>
  <si>
    <t>BAC-PG-002-20</t>
  </si>
  <si>
    <t>LGUPROC 2020 -130B</t>
  </si>
  <si>
    <t>LGUPROC 2020 -129B</t>
  </si>
  <si>
    <t>2020-041</t>
  </si>
  <si>
    <t>LGUPROC 2020 -126B</t>
  </si>
  <si>
    <t>BWDCS 2020-06-0010</t>
  </si>
  <si>
    <t>LGUPROC 2020 -125B</t>
  </si>
  <si>
    <t>LGUPROC 2020 -124B</t>
  </si>
  <si>
    <t>BUCAF-2020-028</t>
  </si>
  <si>
    <t>LGUPROC 2020 -128B</t>
  </si>
  <si>
    <t>20-469</t>
  </si>
  <si>
    <t>06-018-20</t>
  </si>
  <si>
    <t>LGUPROC 2020 -127B</t>
  </si>
  <si>
    <t>RQ No. 2020-06-82</t>
  </si>
  <si>
    <t>2020-PR20-735-193</t>
  </si>
  <si>
    <t>RFQ#169-2020</t>
  </si>
  <si>
    <t>2020-06-024-101</t>
  </si>
  <si>
    <t>RQ No. 2020-06-83</t>
  </si>
  <si>
    <t>GHQPC-OESPA-RMOS-1225-20</t>
  </si>
  <si>
    <t>GHQPC-OTSG-REPE-1227-20</t>
  </si>
  <si>
    <t>0488</t>
  </si>
  <si>
    <t>2020-06-047JHS</t>
  </si>
  <si>
    <t>2006-002</t>
  </si>
  <si>
    <t>INFRA 2020-06-002</t>
  </si>
  <si>
    <t>Brgy. Kisikis - 2020 - 026</t>
  </si>
  <si>
    <t>Aklan BAC ITB 359 Series of 2020</t>
  </si>
  <si>
    <t>2020-05-0022-JHS - procurement of Janitorial Suppl</t>
  </si>
  <si>
    <t>SYDO-2020-0015 &amp; 0017</t>
  </si>
  <si>
    <t>ptoc123</t>
  </si>
  <si>
    <t>Brgy. SAn Pedro Ili - 2020 - 027</t>
  </si>
  <si>
    <t>2020-06-295</t>
  </si>
  <si>
    <t>CGS-2020-G020</t>
  </si>
  <si>
    <t>PEO-2020-0349</t>
  </si>
  <si>
    <t>CES2020-27</t>
  </si>
  <si>
    <t>DM-BAC-2020-0037</t>
  </si>
  <si>
    <t>N20-MO-099</t>
  </si>
  <si>
    <t>BUCAF-2020-029</t>
  </si>
  <si>
    <t>RFQ-2020-019B-GOODS</t>
  </si>
  <si>
    <t>24-2020</t>
  </si>
  <si>
    <t>PROCOR GOODS 07-09-2020</t>
  </si>
  <si>
    <t>RFQ-NP-SVP-re222a-2020</t>
  </si>
  <si>
    <t>100-2005-392-GF</t>
  </si>
  <si>
    <t>CMPG-13</t>
  </si>
  <si>
    <t>05-026-20</t>
  </si>
  <si>
    <t>06-013-20</t>
  </si>
  <si>
    <t>2020-07-10-05</t>
  </si>
  <si>
    <t>2020-06-310</t>
  </si>
  <si>
    <t>BAC Resolution 06-07-2020 LC</t>
  </si>
  <si>
    <t>2020-321</t>
  </si>
  <si>
    <t>2020-06-301</t>
  </si>
  <si>
    <t>OPA-2020-0103</t>
  </si>
  <si>
    <t>FMD-0805-20</t>
  </si>
  <si>
    <t>JR No. 24044</t>
  </si>
  <si>
    <t>goods 2020-001</t>
  </si>
  <si>
    <t>MASO-148-20</t>
  </si>
  <si>
    <t>Brgy. Anulid - 2020 - 029</t>
  </si>
  <si>
    <t>RFQ 082-2020</t>
  </si>
  <si>
    <t>20-06-020</t>
  </si>
  <si>
    <t>100-2020-GOODS-383</t>
  </si>
  <si>
    <t>03-035-20</t>
  </si>
  <si>
    <t>948952</t>
  </si>
  <si>
    <t>GOODS-NP-2020-094</t>
  </si>
  <si>
    <t>Brgy. Poblacion West - 2020 - 028</t>
  </si>
  <si>
    <t>2020-07-10-09</t>
  </si>
  <si>
    <t>2020-SVP-266</t>
  </si>
  <si>
    <t>IB No. 2020-208-A</t>
  </si>
  <si>
    <t>2020-06-374</t>
  </si>
  <si>
    <t>PPS-2020-0041</t>
  </si>
  <si>
    <t>NP 53.2_20-0720</t>
  </si>
  <si>
    <t>Quotation No.20-06-358</t>
  </si>
  <si>
    <t>2020-INFRA-026</t>
  </si>
  <si>
    <t>107889-06-017</t>
  </si>
  <si>
    <t>2020-06-297</t>
  </si>
  <si>
    <t>06192020-05</t>
  </si>
  <si>
    <t>2020-07-10-12</t>
  </si>
  <si>
    <t>2020-07-10-08</t>
  </si>
  <si>
    <t>20FF0097</t>
  </si>
  <si>
    <t>06-020-20</t>
  </si>
  <si>
    <t>Project No. 2020-25</t>
  </si>
  <si>
    <t>LUHONG-2020-001-2</t>
  </si>
  <si>
    <t>2020-SVP-270</t>
  </si>
  <si>
    <t>Aklan BAC ITB 361 Series of 2020</t>
  </si>
  <si>
    <t>2020-SVP-269</t>
  </si>
  <si>
    <t>2020-07-10-10</t>
  </si>
  <si>
    <t>20FF0095</t>
  </si>
  <si>
    <t>2020-0052</t>
  </si>
  <si>
    <t>20FF0096</t>
  </si>
  <si>
    <t>2020-SVP-268</t>
  </si>
  <si>
    <t>LIN-LDN-06-19-20</t>
  </si>
  <si>
    <t>20-02-0086</t>
  </si>
  <si>
    <t>2020-SVP-267</t>
  </si>
  <si>
    <t>GS 2020-003 (REPOST)</t>
  </si>
  <si>
    <t>2020-06-312</t>
  </si>
  <si>
    <t>Quotation No. 20-06-0341</t>
  </si>
  <si>
    <t>BAC-GS 2020-097, 2020-098, 2020-099, 2020-100, 202</t>
  </si>
  <si>
    <t>2020-07-10-07</t>
  </si>
  <si>
    <t>RFQ-NP-SVP-re219-2020</t>
  </si>
  <si>
    <t>PROCOR GOODS 07-06-2020</t>
  </si>
  <si>
    <t>Infra-01</t>
  </si>
  <si>
    <t>Quotation No. 20-06-0340</t>
  </si>
  <si>
    <t>ITB 07-02-2020</t>
  </si>
  <si>
    <t>PBI-2020-23</t>
  </si>
  <si>
    <t>2020-07-10-06</t>
  </si>
  <si>
    <t>2020-0053</t>
  </si>
  <si>
    <t>HNSLG-0620-00021</t>
  </si>
  <si>
    <t>Aklan BAC ITB 362 Series of 2020</t>
  </si>
  <si>
    <t>P-0619</t>
  </si>
  <si>
    <t>2020-07-10-16</t>
  </si>
  <si>
    <t>Y-0620-134</t>
  </si>
  <si>
    <t>PDDO-20-1156</t>
  </si>
  <si>
    <t>2020-07-10-11</t>
  </si>
  <si>
    <t>2020-07-10-15</t>
  </si>
  <si>
    <t>comembo-2020-06-15</t>
  </si>
  <si>
    <t>2020-07-10-13</t>
  </si>
  <si>
    <t>2020-024 SFRAN</t>
  </si>
  <si>
    <t>Quotation No. 20-06-0342</t>
  </si>
  <si>
    <t>17-S-20</t>
  </si>
  <si>
    <t>2020-07-10-14</t>
  </si>
  <si>
    <t>Quotation No. 20-06-0348</t>
  </si>
  <si>
    <t>RFQ-2020-039-GOODS-PAS</t>
  </si>
  <si>
    <t>Goods 0026-2020</t>
  </si>
  <si>
    <t>18-S-20</t>
  </si>
  <si>
    <t>RFQ-20-06-0508</t>
  </si>
  <si>
    <t>P-0622</t>
  </si>
  <si>
    <t>2020-077</t>
  </si>
  <si>
    <t>PRDP-RPCO 1-2020-016</t>
  </si>
  <si>
    <t>06-001-20</t>
  </si>
  <si>
    <t>2020-06-345</t>
  </si>
  <si>
    <t>P-0621</t>
  </si>
  <si>
    <t>PDDO-20-4514</t>
  </si>
  <si>
    <t>PEO-20-0473 B (Rebid)</t>
  </si>
  <si>
    <t>PDDO-20-4515</t>
  </si>
  <si>
    <t>2020-05-254</t>
  </si>
  <si>
    <t>PF-0520-480</t>
  </si>
  <si>
    <t>NP-SV 2020-38</t>
  </si>
  <si>
    <t>P-0625</t>
  </si>
  <si>
    <t>F-0520-113</t>
  </si>
  <si>
    <t>BAC 2020-06-008</t>
  </si>
  <si>
    <t>20FG0101</t>
  </si>
  <si>
    <t>SAR-GOODS-06-064-2020</t>
  </si>
  <si>
    <t>RFQ-2020-029A-GOODS-FCSMO</t>
  </si>
  <si>
    <t>GEPS-13-2020</t>
  </si>
  <si>
    <t>INFRA2020-CDD-001/ MG-COM20-002 Repair/Rehab of Wh</t>
  </si>
  <si>
    <t>GEPS-12-2020</t>
  </si>
  <si>
    <t>2020-0054</t>
  </si>
  <si>
    <t>GA 2020-06-073</t>
  </si>
  <si>
    <t>P-0623</t>
  </si>
  <si>
    <t>PF-0520-526</t>
  </si>
  <si>
    <t>P-0620</t>
  </si>
  <si>
    <t>PR NO. 2020-03-0220</t>
  </si>
  <si>
    <t>PDDO-20-4519</t>
  </si>
  <si>
    <t>DWD#2020-031</t>
  </si>
  <si>
    <t>202006043</t>
  </si>
  <si>
    <t>GA 2020-06-072</t>
  </si>
  <si>
    <t>RFQ-2020-036</t>
  </si>
  <si>
    <t>202006042</t>
  </si>
  <si>
    <t>1476</t>
  </si>
  <si>
    <t>RFQ-2020-037</t>
  </si>
  <si>
    <t>1441</t>
  </si>
  <si>
    <t>PF-0420-417</t>
  </si>
  <si>
    <t>RFQ-2020-053-GOODS-MPCG</t>
  </si>
  <si>
    <t>2020-PLA-061</t>
  </si>
  <si>
    <t>1499</t>
  </si>
  <si>
    <t>20BE0048 (re-adv.)</t>
  </si>
  <si>
    <t>RFQ-2020-048-GOODS-PS</t>
  </si>
  <si>
    <t>INFRA2020-CDD-002/ MG-COM20-003 Construction of Wh</t>
  </si>
  <si>
    <t>2020-06-1006 LIDOCAINE 2% ADRENALINE CARPULE 50’S</t>
  </si>
  <si>
    <t>BAC 2020-06-007</t>
  </si>
  <si>
    <t>PR NO. 1502</t>
  </si>
  <si>
    <t>105</t>
  </si>
  <si>
    <t>N-06-004</t>
  </si>
  <si>
    <t>Quotation #: 20-04-0301 REBID</t>
  </si>
  <si>
    <t>BDM-BAC-2020-008</t>
  </si>
  <si>
    <t>RFQ No. 20-06-50</t>
  </si>
  <si>
    <t>INFR-2020-028</t>
  </si>
  <si>
    <t>19-10-0470</t>
  </si>
  <si>
    <t>2020-108</t>
  </si>
  <si>
    <t>2020-S-8</t>
  </si>
  <si>
    <t>B-2020-017</t>
  </si>
  <si>
    <t>RFQ No. 20-06-51</t>
  </si>
  <si>
    <t>CONTRACT ID #: 20-03-066 REBID</t>
  </si>
  <si>
    <t>202-05-38A</t>
  </si>
  <si>
    <t>2020-7</t>
  </si>
  <si>
    <t>2020-107</t>
  </si>
  <si>
    <t>106</t>
  </si>
  <si>
    <t>Quotation #: 20-06-0349</t>
  </si>
  <si>
    <t>2020-0058</t>
  </si>
  <si>
    <t>20FH0087</t>
  </si>
  <si>
    <t>N-06-003</t>
  </si>
  <si>
    <t>1482</t>
  </si>
  <si>
    <t>2020-06-0971 UVC LIGHT BULB WITH HOUSING AND BALLA</t>
  </si>
  <si>
    <t>20FH0085</t>
  </si>
  <si>
    <t>202006047</t>
  </si>
  <si>
    <t>2020-106</t>
  </si>
  <si>
    <t>INFR-2020-031</t>
  </si>
  <si>
    <t>LIN-LDN-06-19-20B</t>
  </si>
  <si>
    <t>SVP  20-1034</t>
  </si>
  <si>
    <t>AGGDS2020-0622B</t>
  </si>
  <si>
    <t>20FF0099</t>
  </si>
  <si>
    <t>202006044</t>
  </si>
  <si>
    <t>2020-06-09-121</t>
  </si>
  <si>
    <t>DA3-2020-06-05-77</t>
  </si>
  <si>
    <t>202006046</t>
  </si>
  <si>
    <t>2020-0059</t>
  </si>
  <si>
    <t>BAC-2020-603</t>
  </si>
  <si>
    <t>20-06-28</t>
  </si>
  <si>
    <t>SJBC2020-004</t>
  </si>
  <si>
    <t>INFR-2020-037</t>
  </si>
  <si>
    <t>2020-046</t>
  </si>
  <si>
    <t>INFR-2020-032</t>
  </si>
  <si>
    <t>INFR-2020-036</t>
  </si>
  <si>
    <t>INFR-2020-035</t>
  </si>
  <si>
    <t>AGGDS2020-0622A</t>
  </si>
  <si>
    <t>SJBC-2020-003</t>
  </si>
  <si>
    <t>RPT-20-0294-B</t>
  </si>
  <si>
    <t>DA3-2020-06-09-113</t>
  </si>
  <si>
    <t>CDH-20-0713-B</t>
  </si>
  <si>
    <t>CDH-20-0714-B</t>
  </si>
  <si>
    <t>CDH-20-0712-B</t>
  </si>
  <si>
    <t>2020-NFA-RBAC-8-GOODS-02</t>
  </si>
  <si>
    <t>BBC2020-004</t>
  </si>
  <si>
    <t>CDH-20-0711-B</t>
  </si>
  <si>
    <t>PR NO. 100-8751-20-06-0636</t>
  </si>
  <si>
    <t>INFR-2020-030</t>
  </si>
  <si>
    <t>2020-05-18-37</t>
  </si>
  <si>
    <t>INFR-2020-029</t>
  </si>
  <si>
    <t>PRRI-2020-033</t>
  </si>
  <si>
    <t>CDH-20-0434-B</t>
  </si>
  <si>
    <t>PEN2020-06-075</t>
  </si>
  <si>
    <t>PR-13560-2020</t>
  </si>
  <si>
    <t>2006033</t>
  </si>
  <si>
    <t>PB-13-2020</t>
  </si>
  <si>
    <t>ITB 2020-06-002</t>
  </si>
  <si>
    <t>20ITB-INF-02-00040</t>
  </si>
  <si>
    <t>NPG-2020-127</t>
  </si>
  <si>
    <t>NPG-2020-126</t>
  </si>
  <si>
    <t>RNAFS-2020-06-016</t>
  </si>
  <si>
    <t>0704-19@</t>
  </si>
  <si>
    <t>ITB 2020-06-003</t>
  </si>
  <si>
    <t>NPG-2020-125</t>
  </si>
  <si>
    <t>JHS-2020-019</t>
  </si>
  <si>
    <t>Cabarasan Guti-2020-06-001</t>
  </si>
  <si>
    <t>NPG-2020-124</t>
  </si>
  <si>
    <t>NPG-2020-123</t>
  </si>
  <si>
    <t>svp 2020-10</t>
  </si>
  <si>
    <t>NPG-2020-128</t>
  </si>
  <si>
    <t>DA3-2020-06-09-364</t>
  </si>
  <si>
    <t>RFQ-20-03-0292/20-03-0293</t>
  </si>
  <si>
    <t>PB2020-06-005 GAA</t>
  </si>
  <si>
    <t>202-001</t>
  </si>
  <si>
    <t>2020-BrgyIV-02</t>
  </si>
  <si>
    <t>2020-BrgyIV-01</t>
  </si>
  <si>
    <t>2020-Naguiddayan-01</t>
  </si>
  <si>
    <t>2020-Cabalanggan-03</t>
  </si>
  <si>
    <t>20-06-242</t>
  </si>
  <si>
    <t>2020-Cabalanggan-02</t>
  </si>
  <si>
    <t>2020-Cabalanggan-01</t>
  </si>
  <si>
    <t>svp 2020-13</t>
  </si>
  <si>
    <t>svp 2020-11</t>
  </si>
  <si>
    <t>NPG-2020-122</t>
  </si>
  <si>
    <t>LIN-LDN-06-19-20C</t>
  </si>
  <si>
    <t>LIMAO-BAC-09-20</t>
  </si>
  <si>
    <t>2020-BrgyV-02</t>
  </si>
  <si>
    <t>INFRA CONSTRUCTION OF 120.00 LN.M. CONCRETE DRAINA</t>
  </si>
  <si>
    <t>20-06-01</t>
  </si>
  <si>
    <t xml:space="preserve">INFRA ROAD CONCRETING CROSSING P-2 GOING TO BRGY. </t>
  </si>
  <si>
    <t>RFQ-2020-06-149</t>
  </si>
  <si>
    <t>PDDO-20-4450</t>
  </si>
  <si>
    <t>RFQ-2020-06-125</t>
  </si>
  <si>
    <t>RFQ-2020-06-123</t>
  </si>
  <si>
    <t>DA3-2020-05-20-344</t>
  </si>
  <si>
    <t>PDDO-20-0229</t>
  </si>
  <si>
    <t>RFQ-2020-06-156</t>
  </si>
  <si>
    <t>JRF-2020-028</t>
  </si>
  <si>
    <t>ITB-KOR: 20-06-0683 CEO</t>
  </si>
  <si>
    <t>svp 2020-12</t>
  </si>
  <si>
    <t>na</t>
  </si>
  <si>
    <t>ITB-KOR: 20-06-0684 CEO</t>
  </si>
  <si>
    <t>RFQ-2020-06-119</t>
  </si>
  <si>
    <t>ADM-20-03-0296</t>
  </si>
  <si>
    <t>m12020-03</t>
  </si>
  <si>
    <t>2020-01-001</t>
  </si>
  <si>
    <t>PBS 20-073A</t>
  </si>
  <si>
    <t>JHV-20-06-0482/20-06-0483</t>
  </si>
  <si>
    <t>Goods 0031-2020</t>
  </si>
  <si>
    <t>INFRA CONCRETING OF 44 LN.M. ACCESS ROAD LEADING T</t>
  </si>
  <si>
    <t>PDDO-20-4529</t>
  </si>
  <si>
    <t>ITB2020-06-11</t>
  </si>
  <si>
    <t>BAC-2020-614</t>
  </si>
  <si>
    <t>RFQ 2020-52</t>
  </si>
  <si>
    <t>bir_pb 2020-31</t>
  </si>
  <si>
    <t>ITB-KOR: 20-06-0685 DEPED</t>
  </si>
  <si>
    <t>Various BAC GS Nos_SSD</t>
  </si>
  <si>
    <t>014 Purchase of Free School Supplies</t>
  </si>
  <si>
    <t>002-brgy. cabusligan</t>
  </si>
  <si>
    <t>005-brgy cabaroan</t>
  </si>
  <si>
    <t>ITB-KOR: 20-06-0686 DEPED</t>
  </si>
  <si>
    <t>PDDO-20-4419</t>
  </si>
  <si>
    <t>PDDO-20-4420</t>
  </si>
  <si>
    <t>. 002-20</t>
  </si>
  <si>
    <t>2020-GSIS-PB-091</t>
  </si>
  <si>
    <t>RFQ2020-06-090</t>
  </si>
  <si>
    <t>INFRA 2020-01</t>
  </si>
  <si>
    <t>ITB PR No.: 0545-20BAC</t>
  </si>
  <si>
    <t>9th Batch 2020</t>
  </si>
  <si>
    <t>HFW-2020-06-0202</t>
  </si>
  <si>
    <t>PCDP-2020-06-0199</t>
  </si>
  <si>
    <t>Punta I 2020-001</t>
  </si>
  <si>
    <t>PCDP-2020-06-0200</t>
  </si>
  <si>
    <t>JRF-2020-030</t>
  </si>
  <si>
    <t>ITB-KOR: 20-06-0687 DEPED</t>
  </si>
  <si>
    <t>JRF-2020-029</t>
  </si>
  <si>
    <t>20-01-002</t>
  </si>
  <si>
    <t>JHS-2020-022</t>
  </si>
  <si>
    <t>PDDO-20-C0686</t>
  </si>
  <si>
    <t>PDDO-20-4424</t>
  </si>
  <si>
    <t>INFR-2020-009</t>
  </si>
  <si>
    <t>202006049</t>
  </si>
  <si>
    <t>INFRA20-06-055</t>
  </si>
  <si>
    <t>PDDO-20-4404</t>
  </si>
  <si>
    <t>NEG-2020-GDS-001</t>
  </si>
  <si>
    <t>062020-94</t>
  </si>
  <si>
    <t>ITB-2020-072</t>
  </si>
  <si>
    <t>10-2020</t>
  </si>
  <si>
    <t>2020-GSIS-PB-100</t>
  </si>
  <si>
    <t>20-06-0323</t>
  </si>
  <si>
    <t>ITB-2020-068</t>
  </si>
  <si>
    <t>ITB-2020-069</t>
  </si>
  <si>
    <t>ITB-2020-067</t>
  </si>
  <si>
    <t>INFR-2020-034</t>
  </si>
  <si>
    <t>ITB-2020-071</t>
  </si>
  <si>
    <t>ITB-2020-070</t>
  </si>
  <si>
    <t>IB No. 2020-044</t>
  </si>
  <si>
    <t>RFQ2020-06-093</t>
  </si>
  <si>
    <t>ITB-2020-063</t>
  </si>
  <si>
    <t>2020-05-18-44</t>
  </si>
  <si>
    <t>2020-06-BDF- deepwell 1</t>
  </si>
  <si>
    <t>20200619-01-G</t>
  </si>
  <si>
    <t>ITB-2020-066</t>
  </si>
  <si>
    <t>LGU-2020-166</t>
  </si>
  <si>
    <t>INFRA 2020-06-21</t>
  </si>
  <si>
    <t>LGU-2020-167</t>
  </si>
  <si>
    <t>INFR-2020-033</t>
  </si>
  <si>
    <t>20200214-02-G</t>
  </si>
  <si>
    <t>BAC-HO-GS No. 2020-0347 dtd 16 June 2020 (HRDD)</t>
  </si>
  <si>
    <t>GTLMH-20-008 MAIP</t>
  </si>
  <si>
    <t>LGU-2020-165</t>
  </si>
  <si>
    <t>IB No. 2020-045</t>
  </si>
  <si>
    <t>20200205-01-G</t>
  </si>
  <si>
    <t>2020-148</t>
  </si>
  <si>
    <t>ITDI-200381</t>
  </si>
  <si>
    <t>B-ITB-2020-001</t>
  </si>
  <si>
    <t>20-06-031</t>
  </si>
  <si>
    <t>C-057-2020</t>
  </si>
  <si>
    <t>20-03-016</t>
  </si>
  <si>
    <t>GTLMH-20-113</t>
  </si>
  <si>
    <t>SVP-069-2020</t>
  </si>
  <si>
    <t>20-06-039</t>
  </si>
  <si>
    <t>20-06-034</t>
  </si>
  <si>
    <t xml:space="preserve">Geps JHS 2020-05-0025 Ink Supplies for the Second </t>
  </si>
  <si>
    <t>ITDI-200390</t>
  </si>
  <si>
    <t>ITDI-200393</t>
  </si>
  <si>
    <t>ITDI-200392</t>
  </si>
  <si>
    <t>ITDI-200387</t>
  </si>
  <si>
    <t>20-03-013</t>
  </si>
  <si>
    <t>ITDI-200391</t>
  </si>
  <si>
    <t>20-03-020</t>
  </si>
  <si>
    <t>ITDI-200386</t>
  </si>
  <si>
    <t>20-06-040</t>
  </si>
  <si>
    <t>20-03-019</t>
  </si>
  <si>
    <t>ITDI-200418</t>
  </si>
  <si>
    <t>20-03-018</t>
  </si>
  <si>
    <t>20-03-021</t>
  </si>
  <si>
    <t>2020-149</t>
  </si>
  <si>
    <t>ITDI-200417</t>
  </si>
  <si>
    <t>Geps JHS 2020-06-031 Supplies for Preparation of t</t>
  </si>
  <si>
    <t>20-03-022</t>
  </si>
  <si>
    <t>ITDI-200404</t>
  </si>
  <si>
    <t>ITDI-200400</t>
  </si>
  <si>
    <t>20-03-014</t>
  </si>
  <si>
    <t>Geps JHS2020-06-029 Common Medicine Supplies for S</t>
  </si>
  <si>
    <t>ITDI-200399</t>
  </si>
  <si>
    <t>ITDI-200398</t>
  </si>
  <si>
    <t>ITDI-200397</t>
  </si>
  <si>
    <t>CHO-20-086</t>
  </si>
  <si>
    <t>ITDI-200401</t>
  </si>
  <si>
    <t>geps-2020-004</t>
  </si>
  <si>
    <t>SBAC-PGSO-06212020-01</t>
  </si>
  <si>
    <t>Geps JHS 2020-05-0025 Ink Supplies for Printers an</t>
  </si>
  <si>
    <t>ITB No. 2020-80</t>
  </si>
  <si>
    <t>RFQ - 2020-0259</t>
  </si>
  <si>
    <t>ITB No. 2020-79</t>
  </si>
  <si>
    <t>RFQ - 2020-0260</t>
  </si>
  <si>
    <t>S1MTS20019</t>
  </si>
  <si>
    <t>ERVHS -2020- 06-01</t>
  </si>
  <si>
    <t>ITB No. 2020-78</t>
  </si>
  <si>
    <t>S1OMS20022</t>
  </si>
  <si>
    <t>SBAC-PGSO-06212020-04</t>
  </si>
  <si>
    <t>ITB No. 2020-77</t>
  </si>
  <si>
    <t>029-2020</t>
  </si>
  <si>
    <t>SBAC-PGSO-06212020-02</t>
  </si>
  <si>
    <t>geps-2020-003</t>
  </si>
  <si>
    <t>CHO-20-083</t>
  </si>
  <si>
    <t>SBAC-PGSO-06212020-03</t>
  </si>
  <si>
    <t>ITDI-200395</t>
  </si>
  <si>
    <t>ITDI-200394</t>
  </si>
  <si>
    <t>Geps 2020-06-028 Research Innovation and Developme</t>
  </si>
  <si>
    <t>ITDI-200370</t>
  </si>
  <si>
    <t>S1MOP19004</t>
  </si>
  <si>
    <t>RFQ - 2020-0258</t>
  </si>
  <si>
    <t>20-03-023</t>
  </si>
  <si>
    <t>BV-16-20</t>
  </si>
  <si>
    <t>RFQ - 2020-0253</t>
  </si>
  <si>
    <t>PR NO. 020-05-20</t>
  </si>
  <si>
    <t>ITB No. 2020-86</t>
  </si>
  <si>
    <t>RFQ - 2020-0255</t>
  </si>
  <si>
    <t>RFQ - 2020-0256</t>
  </si>
  <si>
    <t>ITDI-200402</t>
  </si>
  <si>
    <t>ITB No. 2020-84</t>
  </si>
  <si>
    <t>RFQ - 2020-0254</t>
  </si>
  <si>
    <t>comembo-2020-06-09</t>
  </si>
  <si>
    <t>2020-06-3099</t>
  </si>
  <si>
    <t>2020-06-3098</t>
  </si>
  <si>
    <t>2020-06-3097</t>
  </si>
  <si>
    <t>ITB No. 2020-85</t>
  </si>
  <si>
    <t>2020-2Q060</t>
  </si>
  <si>
    <t>20-06-18</t>
  </si>
  <si>
    <t>DTI PB-20-009A</t>
  </si>
  <si>
    <t>ITB No. 2020-90</t>
  </si>
  <si>
    <t>2020-2Q061</t>
  </si>
  <si>
    <t>ITB No. 2020-87</t>
  </si>
  <si>
    <t>ITB No. 2020-89</t>
  </si>
  <si>
    <t>2020-2Q059</t>
  </si>
  <si>
    <t>BV-20-20</t>
  </si>
  <si>
    <t>ITDI-200426</t>
  </si>
  <si>
    <t>IB-2020-091-INFRA</t>
  </si>
  <si>
    <t>DA3-2020-06-10-130</t>
  </si>
  <si>
    <t>ITDI-200425</t>
  </si>
  <si>
    <t>2020-WMETER-001</t>
  </si>
  <si>
    <t>IB-2020-092-INFRA</t>
  </si>
  <si>
    <t>ITDI-200424</t>
  </si>
  <si>
    <t>PR2006027</t>
  </si>
  <si>
    <t>73511</t>
  </si>
  <si>
    <t>ITDI-200422</t>
  </si>
  <si>
    <t>ITDI-200432</t>
  </si>
  <si>
    <t>ITDI-200439</t>
  </si>
  <si>
    <t>ITDI-200385</t>
  </si>
  <si>
    <t>S1BOA20012</t>
  </si>
  <si>
    <t>ITDI-200407</t>
  </si>
  <si>
    <t>PB-20-186</t>
  </si>
  <si>
    <t>IB-2020-094-INFRA</t>
  </si>
  <si>
    <t>ITDI-200423</t>
  </si>
  <si>
    <t>ITDI-200436</t>
  </si>
  <si>
    <t>ITDI-200427</t>
  </si>
  <si>
    <t>DA3-2020-06-10-131</t>
  </si>
  <si>
    <t>ITDI-200435</t>
  </si>
  <si>
    <t>ITDI-200437</t>
  </si>
  <si>
    <t>PB-20-260</t>
  </si>
  <si>
    <t>IB-2020-093-INFRA</t>
  </si>
  <si>
    <t>gsis/npsvp-223-20</t>
  </si>
  <si>
    <t>RFQ NO. 2020-05-014-0006(SHOPPING)</t>
  </si>
  <si>
    <t>S1BAT20016</t>
  </si>
  <si>
    <t>20-242</t>
  </si>
  <si>
    <t>PB-20-290</t>
  </si>
  <si>
    <t>06-121-2020</t>
  </si>
  <si>
    <t>PB-20-284</t>
  </si>
  <si>
    <t>2020-038</t>
  </si>
  <si>
    <t>ITDI-200442</t>
  </si>
  <si>
    <t>PCADG-06-21-2020</t>
  </si>
  <si>
    <t>ITDI-200443</t>
  </si>
  <si>
    <t>RSCC-2020-06-0197</t>
  </si>
  <si>
    <t>6725474</t>
  </si>
  <si>
    <t>ITDI-200438</t>
  </si>
  <si>
    <t>PB-20-262</t>
  </si>
  <si>
    <t>ITDI-200441</t>
  </si>
  <si>
    <t>ITDI-200440</t>
  </si>
  <si>
    <t>PB-20-258</t>
  </si>
  <si>
    <t>S1TDP20010</t>
  </si>
  <si>
    <t>ITDI-200433</t>
  </si>
  <si>
    <t>ITDI-200431</t>
  </si>
  <si>
    <t>ITDI-200428</t>
  </si>
  <si>
    <t>PB-20-264</t>
  </si>
  <si>
    <t>ITDI-200434</t>
  </si>
  <si>
    <t>S1AFL20006</t>
  </si>
  <si>
    <t>ITDI-200419</t>
  </si>
  <si>
    <t>2020-06-0001</t>
  </si>
  <si>
    <t>S1CAT20018</t>
  </si>
  <si>
    <t>RRPTP-2020-06-0198</t>
  </si>
  <si>
    <t>DA3-2020-06-10-129</t>
  </si>
  <si>
    <t>ITDI-200420</t>
  </si>
  <si>
    <t>034-2020</t>
  </si>
  <si>
    <t>031-2020</t>
  </si>
  <si>
    <t>03-2020</t>
  </si>
  <si>
    <t>GENSERV-2020-06-0196</t>
  </si>
  <si>
    <t>06-2020-960</t>
  </si>
  <si>
    <t>IB NO. 2020-07-15 (12)</t>
  </si>
  <si>
    <t>PB-20-334</t>
  </si>
  <si>
    <t>PB-20-332</t>
  </si>
  <si>
    <t>032-2020</t>
  </si>
  <si>
    <t>2020-3-21</t>
  </si>
  <si>
    <t>2020-3-20</t>
  </si>
  <si>
    <t>ITDI-200388</t>
  </si>
  <si>
    <t>2020-04-0047</t>
  </si>
  <si>
    <t>PB-20-333</t>
  </si>
  <si>
    <t>2020-3-19</t>
  </si>
  <si>
    <t>ITDI-200421</t>
  </si>
  <si>
    <t>06-2020-962</t>
  </si>
  <si>
    <t>ITDI-200389</t>
  </si>
  <si>
    <t>2020-05-0057</t>
  </si>
  <si>
    <t>ITDI-200405</t>
  </si>
  <si>
    <t>2020-06004</t>
  </si>
  <si>
    <t>ITDI-200403</t>
  </si>
  <si>
    <t>INFRA-10-20-02</t>
  </si>
  <si>
    <t>ITDI-200409</t>
  </si>
  <si>
    <t>2020-06002</t>
  </si>
  <si>
    <t>NMF INFRA 2020-26</t>
  </si>
  <si>
    <t>MGPIN 2020-018</t>
  </si>
  <si>
    <t>DENR-NCR, PR No. 2020-433 dtd 06/19/2020</t>
  </si>
  <si>
    <t>2020-06001</t>
  </si>
  <si>
    <t>20BH0142</t>
  </si>
  <si>
    <t>INFRA-10-20-01</t>
  </si>
  <si>
    <t>ITB No. 2020-02-04</t>
  </si>
  <si>
    <t>NMF INFRA 2020-25</t>
  </si>
  <si>
    <t>2020-05-0055</t>
  </si>
  <si>
    <t>2020-06003</t>
  </si>
  <si>
    <t>BAC-06-1038</t>
  </si>
  <si>
    <t>3001-20</t>
  </si>
  <si>
    <t>SHS-01-001</t>
  </si>
  <si>
    <t>DENR-NCR, PR No. 2020-425 dtd 06/17/2020</t>
  </si>
  <si>
    <t>INFRA-10-20-03</t>
  </si>
  <si>
    <t>3032-20</t>
  </si>
  <si>
    <t>3039-20</t>
  </si>
  <si>
    <t>3028-20</t>
  </si>
  <si>
    <t>2278-20</t>
  </si>
  <si>
    <t>3041-20</t>
  </si>
  <si>
    <t>20-001-02</t>
  </si>
  <si>
    <t>2282-20</t>
  </si>
  <si>
    <t>2020-06006</t>
  </si>
  <si>
    <t>2273-20</t>
  </si>
  <si>
    <t>2020-06005</t>
  </si>
  <si>
    <t>ITB No. 2020-02-02</t>
  </si>
  <si>
    <t>DENR N.Ecija-2020-034</t>
  </si>
  <si>
    <t>INFRA-10-20-04</t>
  </si>
  <si>
    <t>2020-05-0058</t>
  </si>
  <si>
    <t>ITDI-200396</t>
  </si>
  <si>
    <t>ITB GOODS 2020-06-36</t>
  </si>
  <si>
    <t>ITB No. 2020-02-03</t>
  </si>
  <si>
    <t>06-20-011</t>
  </si>
  <si>
    <t>ITB-2020-51</t>
  </si>
  <si>
    <t>3029-20</t>
  </si>
  <si>
    <t>2303-20</t>
  </si>
  <si>
    <t>ITB-2020-48</t>
  </si>
  <si>
    <t>RFQ No. 2020-SVP-022</t>
  </si>
  <si>
    <t>2288-20</t>
  </si>
  <si>
    <t>Public Bidding 20GAD0004</t>
  </si>
  <si>
    <t>ITB-2020-50</t>
  </si>
  <si>
    <t>2439-20</t>
  </si>
  <si>
    <t>ITB-2020-49</t>
  </si>
  <si>
    <t>20-05-0564</t>
  </si>
  <si>
    <t>AL-LFP-006-2020RFQ</t>
  </si>
  <si>
    <t>2020-04-0048</t>
  </si>
  <si>
    <t>3134-20</t>
  </si>
  <si>
    <t>2020-05-0059</t>
  </si>
  <si>
    <t>20-04-0511</t>
  </si>
  <si>
    <t>2020-03-8</t>
  </si>
  <si>
    <t>20-03-0414</t>
  </si>
  <si>
    <t>20-04-0473</t>
  </si>
  <si>
    <t>2020001</t>
  </si>
  <si>
    <t>2020-04-0042</t>
  </si>
  <si>
    <t>DENR-NCR, PR No. 2020-432 dtd 06/19/2020</t>
  </si>
  <si>
    <t>3126-20</t>
  </si>
  <si>
    <t>AL-LFP-005-2020RFQ</t>
  </si>
  <si>
    <t>PB-20-338</t>
  </si>
  <si>
    <t>2020-06-21-001</t>
  </si>
  <si>
    <t>IB NO. 2020-07-13 (11)</t>
  </si>
  <si>
    <t>LAMISCA IMO 6-21-2020 CW</t>
  </si>
  <si>
    <t>2020-006-01</t>
  </si>
  <si>
    <t>g2020-013</t>
  </si>
  <si>
    <t>2020-WTRANSMISSION-001</t>
  </si>
  <si>
    <t>2020-03&amp; 2020-04</t>
  </si>
  <si>
    <t>20-04-0503</t>
  </si>
  <si>
    <t>ITB-2020-52</t>
  </si>
  <si>
    <t>2020-MUN-MDRR-GOODS-07</t>
  </si>
  <si>
    <t>AFP-RSBS 2020 PMSSA04EB01</t>
  </si>
  <si>
    <t>CSI-2020-017</t>
  </si>
  <si>
    <t>06-221-2020</t>
  </si>
  <si>
    <t>20-06-338</t>
  </si>
  <si>
    <t>3-69-2020</t>
  </si>
  <si>
    <t>RFQ No. 2020-SVP-33</t>
  </si>
  <si>
    <t>RFQ No. 2020-SVP-28</t>
  </si>
  <si>
    <t>RFQ No. 2020-SVP-34</t>
  </si>
  <si>
    <t>312</t>
  </si>
  <si>
    <t>20GMC0106</t>
  </si>
  <si>
    <t>20PB0033</t>
  </si>
  <si>
    <t>20GMC0105</t>
  </si>
  <si>
    <t>RFQ-016-2020</t>
  </si>
  <si>
    <t>JHS - 008 - 06 - 2020</t>
  </si>
  <si>
    <t>JHS -  006 - 06 - 2020</t>
  </si>
  <si>
    <t>2020-028-GDS</t>
  </si>
  <si>
    <t>JHS 007 - 06 - 2020</t>
  </si>
  <si>
    <t>EFQ-015-2020</t>
  </si>
  <si>
    <t>JHS - 005 - 06 - 2020</t>
  </si>
  <si>
    <t>20GMC0104</t>
  </si>
  <si>
    <t>DSWDMIMAROPA-2020-05-0617 NP-Shopping</t>
  </si>
  <si>
    <t>20CSPB0002</t>
  </si>
  <si>
    <t>20-06-341</t>
  </si>
  <si>
    <t>jhs - 004 - 06 - 2020</t>
  </si>
  <si>
    <t>20PB0034</t>
  </si>
  <si>
    <t>JHS-01-002</t>
  </si>
  <si>
    <t>20-06-339</t>
  </si>
  <si>
    <t>ITB-2020-53</t>
  </si>
  <si>
    <t>20GAD0005</t>
  </si>
  <si>
    <t>2020-PAVILION A-001</t>
  </si>
  <si>
    <t>BV-18-20</t>
  </si>
  <si>
    <t>2020-027-GDS</t>
  </si>
  <si>
    <t>ITB No. 2020-88</t>
  </si>
  <si>
    <t>GS 2020 -005-016</t>
  </si>
  <si>
    <t>ITB-2020-54</t>
  </si>
  <si>
    <t>2020-PAVILION B-001</t>
  </si>
  <si>
    <t>CB-Goods 2020-001</t>
  </si>
  <si>
    <t>20GOC0004</t>
  </si>
  <si>
    <t>2020-62</t>
  </si>
  <si>
    <t>2020-003-D.</t>
  </si>
  <si>
    <t>20GOC0003</t>
  </si>
  <si>
    <t>2020-06-0008</t>
  </si>
  <si>
    <t>2020-06-0007</t>
  </si>
  <si>
    <t>2020-SRV-013</t>
  </si>
  <si>
    <t>2020-002-D</t>
  </si>
  <si>
    <t>PB-infra-02-2020</t>
  </si>
  <si>
    <t>ITB NO. 2020-06-051</t>
  </si>
  <si>
    <t>B20-18-06</t>
  </si>
  <si>
    <t>20DN0166</t>
  </si>
  <si>
    <t>20DN0134</t>
  </si>
  <si>
    <t>ITB -2020-10-06</t>
  </si>
  <si>
    <t>RB20-11-01</t>
  </si>
  <si>
    <t>2020-05-0053</t>
  </si>
  <si>
    <t>20DN0131</t>
  </si>
  <si>
    <t>20DN0130</t>
  </si>
  <si>
    <t>B20-18-05</t>
  </si>
  <si>
    <t>B20-18-04</t>
  </si>
  <si>
    <t>B20-18-01</t>
  </si>
  <si>
    <t>ITB No. 2020-06-050</t>
  </si>
  <si>
    <t>RB20-11-05</t>
  </si>
  <si>
    <t>20DN0128</t>
  </si>
  <si>
    <t>RB20-11-04</t>
  </si>
  <si>
    <t>20DN0129</t>
  </si>
  <si>
    <t>RB20-11-03</t>
  </si>
  <si>
    <t>PSA-RSSO6-2020-011</t>
  </si>
  <si>
    <t>RB20-11-02</t>
  </si>
  <si>
    <t>2020-RFQ-026G</t>
  </si>
  <si>
    <t>PSA-RSSO6-2020-010</t>
  </si>
  <si>
    <t>20GMC0107</t>
  </si>
  <si>
    <t>B20-18-02</t>
  </si>
  <si>
    <t>RFQ - 2020-0257</t>
  </si>
  <si>
    <t>ITDI-200415</t>
  </si>
  <si>
    <t>S1ROM20015</t>
  </si>
  <si>
    <t>ITB No. 2020-82</t>
  </si>
  <si>
    <t>955</t>
  </si>
  <si>
    <t>B20-18-03</t>
  </si>
  <si>
    <t>S1ROM19009</t>
  </si>
  <si>
    <t>20FB0155</t>
  </si>
  <si>
    <t>20-03-017</t>
  </si>
  <si>
    <t>SVP-059-2020</t>
  </si>
  <si>
    <t>C-058-2020</t>
  </si>
  <si>
    <t>ITB No. 2020-81</t>
  </si>
  <si>
    <t>2020-MO004</t>
  </si>
  <si>
    <t>20-06-035</t>
  </si>
  <si>
    <t>20200619-02-G</t>
  </si>
  <si>
    <t>LGU-2020-164</t>
  </si>
  <si>
    <t>20DN0167</t>
  </si>
  <si>
    <t>Project Reference No. 2020-09-CW</t>
  </si>
  <si>
    <t>ITB No. 2020-83</t>
  </si>
  <si>
    <t>S1OMS20026</t>
  </si>
  <si>
    <t>ITDI-200412</t>
  </si>
  <si>
    <t>ITDI-200371</t>
  </si>
  <si>
    <t>ITDI-200411</t>
  </si>
  <si>
    <t>Project Reference No. 2020-12</t>
  </si>
  <si>
    <t>20-06-342</t>
  </si>
  <si>
    <t>20GDN0004</t>
  </si>
  <si>
    <t>20DN0139</t>
  </si>
  <si>
    <t>ITDI-200414</t>
  </si>
  <si>
    <t>20GDN0003</t>
  </si>
  <si>
    <t>ITDI-200413</t>
  </si>
  <si>
    <t>ITDI-200410</t>
  </si>
  <si>
    <t>ITDI-PB-CS-2020-GIA-01 STD</t>
  </si>
  <si>
    <t>ITDI-200408</t>
  </si>
  <si>
    <t>20DN0140</t>
  </si>
  <si>
    <t>20DN0142</t>
  </si>
  <si>
    <t>20DN0144</t>
  </si>
  <si>
    <t>20DN0137</t>
  </si>
  <si>
    <t>INFRA 20–06–052</t>
  </si>
  <si>
    <t>20DN0135</t>
  </si>
  <si>
    <t>20DN0141</t>
  </si>
  <si>
    <t>2020-06-20-01-I</t>
  </si>
  <si>
    <t>ITDI-200416</t>
  </si>
  <si>
    <t>GOODS20-06-030</t>
  </si>
  <si>
    <t>20DN0138</t>
  </si>
  <si>
    <t>INFRA20–06–053</t>
  </si>
  <si>
    <t>INFRA 20–06–054</t>
  </si>
  <si>
    <t>ITDI-200290_REBID</t>
  </si>
  <si>
    <t>20DN0136</t>
  </si>
  <si>
    <t>6202020</t>
  </si>
  <si>
    <t>2020-6-5a</t>
  </si>
  <si>
    <t>20DN0143</t>
  </si>
  <si>
    <t>2020-MO003</t>
  </si>
  <si>
    <t>2020-PB-VMWARE-030-01</t>
  </si>
  <si>
    <t>ITDI-200209_REBID</t>
  </si>
  <si>
    <t>S1LDP19010 RFQ</t>
  </si>
  <si>
    <t>ITDI-200292_REBID</t>
  </si>
  <si>
    <t>ITDI-200205_REBID</t>
  </si>
  <si>
    <t>ITDI-200189_REBID</t>
  </si>
  <si>
    <t>8th Batch 2020</t>
  </si>
  <si>
    <t>ITDI-200303_REBID</t>
  </si>
  <si>
    <t>SRC INFRA 2020-06-079</t>
  </si>
  <si>
    <t>ITDI-200274_REBID</t>
  </si>
  <si>
    <t>ITDI-200210_REBID</t>
  </si>
  <si>
    <t>ITDI-200190_REBID</t>
  </si>
  <si>
    <t>S1CTL20010 RFQ</t>
  </si>
  <si>
    <t>S1BAP20018 RFQ</t>
  </si>
  <si>
    <t>20DN0175</t>
  </si>
  <si>
    <t>20DN0174</t>
  </si>
  <si>
    <t>itb20-06-027D</t>
  </si>
  <si>
    <t>ITDI-200141_REBID</t>
  </si>
  <si>
    <t>ITDI-200092_REBID</t>
  </si>
  <si>
    <t>ITDI-200406</t>
  </si>
  <si>
    <t>S1CTL20005 RFQ</t>
  </si>
  <si>
    <t>20-06-363</t>
  </si>
  <si>
    <t>ITDI-200127_REBID</t>
  </si>
  <si>
    <t>ITDI-200145_REBID</t>
  </si>
  <si>
    <t>ITDI-200144_REBID</t>
  </si>
  <si>
    <t>Ibaan/2020/237</t>
  </si>
  <si>
    <t>ITDI-200308_REBID</t>
  </si>
  <si>
    <t>itb20-06-027A</t>
  </si>
  <si>
    <t>ITDI-200061_REBID</t>
  </si>
  <si>
    <t>itb20-06-027C</t>
  </si>
  <si>
    <t>ITDI-200280_REBID</t>
  </si>
  <si>
    <t>ITDI-200276_REBID</t>
  </si>
  <si>
    <t>20DN0173</t>
  </si>
  <si>
    <t>ITDI-200281_REBID</t>
  </si>
  <si>
    <t>20DN0170</t>
  </si>
  <si>
    <t>itb20-06-027B</t>
  </si>
  <si>
    <t>B20-18-07</t>
  </si>
  <si>
    <t>ITDI-200197_REBID</t>
  </si>
  <si>
    <t>202006048</t>
  </si>
  <si>
    <t>20DN0172</t>
  </si>
  <si>
    <t>PB 2020-10</t>
  </si>
  <si>
    <t>202006045</t>
  </si>
  <si>
    <t>PR NO. 2020040503</t>
  </si>
  <si>
    <t>LGU-2020-163</t>
  </si>
  <si>
    <t>RFQ No. 20-06-49</t>
  </si>
  <si>
    <t>RFQ-2020--062-GOODS-OAGMO</t>
  </si>
  <si>
    <t>LIN-LDN-06-19-20A</t>
  </si>
  <si>
    <t>20BE0049 (re-adv.)</t>
  </si>
  <si>
    <t>20BE0047 (re-adv.)</t>
  </si>
  <si>
    <t>05-2020</t>
  </si>
  <si>
    <t>06-003-20</t>
  </si>
  <si>
    <t>SVP 20-1006</t>
  </si>
  <si>
    <t>BAC-2020-602</t>
  </si>
  <si>
    <t>2020-01-046MS Catheter Foley 2 way FR 10, 15-30cc</t>
  </si>
  <si>
    <t>06-002-20</t>
  </si>
  <si>
    <t>REI_2020-03-0068</t>
  </si>
  <si>
    <t>20CSFM0001</t>
  </si>
  <si>
    <t>ITDI-200383</t>
  </si>
  <si>
    <t>REI NO. GOP/20-DSWD-001 - HIRING OF CONSULTANCY FI</t>
  </si>
  <si>
    <t>RFQ2020-06-089</t>
  </si>
  <si>
    <t>ITDI-200382</t>
  </si>
  <si>
    <t>ITDI-200187_REBID</t>
  </si>
  <si>
    <t>ITDI-200229_REBID</t>
  </si>
  <si>
    <t>RFQ2020-06-088</t>
  </si>
  <si>
    <t>06-00724</t>
  </si>
  <si>
    <t>06-00762</t>
  </si>
  <si>
    <t>05-00701</t>
  </si>
  <si>
    <t>ITDI-200232_REBID</t>
  </si>
  <si>
    <t>06-00756</t>
  </si>
  <si>
    <t>INF-19-June 19, 2020</t>
  </si>
  <si>
    <t>MGM 2020-036</t>
  </si>
  <si>
    <t>MGM 2020-035</t>
  </si>
  <si>
    <t>06-00754</t>
  </si>
  <si>
    <t>06-00745</t>
  </si>
  <si>
    <t>B2020-008</t>
  </si>
  <si>
    <t>20AF0079</t>
  </si>
  <si>
    <t>ITB-2020-044</t>
  </si>
  <si>
    <t>IB No. 20-56</t>
  </si>
  <si>
    <t>IB No. 20-57</t>
  </si>
  <si>
    <t>2020-G-079</t>
  </si>
  <si>
    <t>INF-20-June 19, 2020</t>
  </si>
  <si>
    <t>20L00137</t>
  </si>
  <si>
    <t>MGM 2020-034</t>
  </si>
  <si>
    <t>0662</t>
  </si>
  <si>
    <t>20L00140</t>
  </si>
  <si>
    <t>20GPI0006</t>
  </si>
  <si>
    <t>20AF0078</t>
  </si>
  <si>
    <t>20L00043</t>
  </si>
  <si>
    <t>IB No. 20-52</t>
  </si>
  <si>
    <t>BG2020-024-796</t>
  </si>
  <si>
    <t>LGU-100-2020-03-G-204</t>
  </si>
  <si>
    <t>INF-18-June 19, 2020</t>
  </si>
  <si>
    <t>006976-0000-00</t>
  </si>
  <si>
    <t>LGU-ALCOY-2020-030</t>
  </si>
  <si>
    <t>6192020-026</t>
  </si>
  <si>
    <t>2020-0014</t>
  </si>
  <si>
    <t>June 19, 2020</t>
  </si>
  <si>
    <t>IB No. 20-60</t>
  </si>
  <si>
    <t>BAC 2020-G-06-009</t>
  </si>
  <si>
    <t>20AH0213</t>
  </si>
  <si>
    <t>20AH0212</t>
  </si>
  <si>
    <t>20AH0211</t>
  </si>
  <si>
    <t>20AH0210</t>
  </si>
  <si>
    <t>007099-2020-01</t>
  </si>
  <si>
    <t>IB No. 20-53</t>
  </si>
  <si>
    <t>LGU-100-2020-06-I-009</t>
  </si>
  <si>
    <t>GOODS-NP-2020-092</t>
  </si>
  <si>
    <t>DAR-CAV-RFQ-ARBDSP-2020-13</t>
  </si>
  <si>
    <t>DAR-CAV-RFQ-ARBDSP-2020-12</t>
  </si>
  <si>
    <t>PB-202001</t>
  </si>
  <si>
    <t>Bid Ref. No. 2020-007; PR No. 2020-06-0178</t>
  </si>
  <si>
    <t>007026-2020-01</t>
  </si>
  <si>
    <t>041</t>
  </si>
  <si>
    <t>007116-2020-01</t>
  </si>
  <si>
    <t>2020-06-02B</t>
  </si>
  <si>
    <t>127944-12</t>
  </si>
  <si>
    <t>06-00743</t>
  </si>
  <si>
    <t>06-00715</t>
  </si>
  <si>
    <t>AD-ITB-2020-GS-001</t>
  </si>
  <si>
    <t>LGU-G-017-2020</t>
  </si>
  <si>
    <t>LGU-M-INFRA-11-20</t>
  </si>
  <si>
    <t>008-20</t>
  </si>
  <si>
    <t>06-00713</t>
  </si>
  <si>
    <t>06-00723</t>
  </si>
  <si>
    <t>20OI0124</t>
  </si>
  <si>
    <t>IB No. 20-41</t>
  </si>
  <si>
    <t>2020-03-0885</t>
  </si>
  <si>
    <t>06-00770</t>
  </si>
  <si>
    <t>2020 RFQ - 035</t>
  </si>
  <si>
    <t>CM 20-06-009</t>
  </si>
  <si>
    <t>2020-02-0539,2020-02-0754 etc</t>
  </si>
  <si>
    <t>CEGTDC 20-06-033</t>
  </si>
  <si>
    <t>06-00772</t>
  </si>
  <si>
    <t>06192020</t>
  </si>
  <si>
    <t>CMO(CDLO)-18-001(NP/SV)</t>
  </si>
  <si>
    <t>CM 20-06-010</t>
  </si>
  <si>
    <t>2020-147</t>
  </si>
  <si>
    <t>INFRA-NP-2020-033</t>
  </si>
  <si>
    <t>2020 RFQ - 034</t>
  </si>
  <si>
    <t>20OI0127</t>
  </si>
  <si>
    <t>20OI0123</t>
  </si>
  <si>
    <t>2020-146</t>
  </si>
  <si>
    <t>06-19-03</t>
  </si>
  <si>
    <t>GFG-2020-06-018</t>
  </si>
  <si>
    <t>2020-01-0147,2020-02-0292 etc</t>
  </si>
  <si>
    <t>IB No. 20-40</t>
  </si>
  <si>
    <t>202045</t>
  </si>
  <si>
    <t>RFQ-2020-036-GOODS-ADM. SVC</t>
  </si>
  <si>
    <t>2020-06-03B</t>
  </si>
  <si>
    <t>20-203</t>
  </si>
  <si>
    <t>BS 20-06-0664</t>
  </si>
  <si>
    <t>DA7-2020-06-SAAD-20-2264</t>
  </si>
  <si>
    <t>C9-20-0212</t>
  </si>
  <si>
    <t>RFQ-2020-043-GOODS-GASD</t>
  </si>
  <si>
    <t>20-202</t>
  </si>
  <si>
    <t>CM 20-06-011</t>
  </si>
  <si>
    <t>20200635</t>
  </si>
  <si>
    <t>2020-01-0191,2020-02-0473 etc</t>
  </si>
  <si>
    <t>63792</t>
  </si>
  <si>
    <t>20OI0126</t>
  </si>
  <si>
    <t>TF-10-045NDLS(NP/SV)</t>
  </si>
  <si>
    <t>RFQ-2020-042-GOODS-LEGAL</t>
  </si>
  <si>
    <t>RFQ-2020-051-GOODS-TDO</t>
  </si>
  <si>
    <t>JFMH-049-20-RFQ</t>
  </si>
  <si>
    <t>Brgy. Maloloy-on</t>
  </si>
  <si>
    <t>SVP-064-2020</t>
  </si>
  <si>
    <t>CMO(INFO)20-004(NP/SV)</t>
  </si>
  <si>
    <t>2020-06-021-MEO</t>
  </si>
  <si>
    <t>BAGO-BAC-RFQ-20-1077</t>
  </si>
  <si>
    <t>BAGO-BAC-RFQ-20-1078</t>
  </si>
  <si>
    <t>2020-139</t>
  </si>
  <si>
    <t>73782</t>
  </si>
  <si>
    <t>CM 20-06-008</t>
  </si>
  <si>
    <t>2020-06-020-MEO</t>
  </si>
  <si>
    <t>J3-20-0472</t>
  </si>
  <si>
    <t>20-00047</t>
  </si>
  <si>
    <t>20OI0125</t>
  </si>
  <si>
    <t>C-048-2020</t>
  </si>
  <si>
    <t>1-0027-20</t>
  </si>
  <si>
    <t>G-20-03-A</t>
  </si>
  <si>
    <t>2020-140</t>
  </si>
  <si>
    <t>2020-145</t>
  </si>
  <si>
    <t>2020-06-0240</t>
  </si>
  <si>
    <t>CGSO-20-016(NP/SV)</t>
  </si>
  <si>
    <t>2020-02-0795</t>
  </si>
  <si>
    <t>2020-001I</t>
  </si>
  <si>
    <t>100-06-20-446</t>
  </si>
  <si>
    <t>73629</t>
  </si>
  <si>
    <t>73795</t>
  </si>
  <si>
    <t>Bidding-01-June2020</t>
  </si>
  <si>
    <t>2020-GEN. FUND-RFQ-022</t>
  </si>
  <si>
    <t>2020-06-0228</t>
  </si>
  <si>
    <t>2020-06-1122</t>
  </si>
  <si>
    <t>202-06-014B</t>
  </si>
  <si>
    <t>DA7-2020-06-CPAR-20-2201</t>
  </si>
  <si>
    <t>2020-026-GDS</t>
  </si>
  <si>
    <t>C-052-2020</t>
  </si>
  <si>
    <t>359-06/15/2020</t>
  </si>
  <si>
    <t>RFQ-2020-06-008-1</t>
  </si>
  <si>
    <t>20GMC0103</t>
  </si>
  <si>
    <t>ITB No. 20-64</t>
  </si>
  <si>
    <t>73859</t>
  </si>
  <si>
    <t>RFP-2020-06-008-1</t>
  </si>
  <si>
    <t>2020-141</t>
  </si>
  <si>
    <t>20FE0124</t>
  </si>
  <si>
    <t>RFP-2020-05-006-01</t>
  </si>
  <si>
    <t>101-1091-2020-06-139</t>
  </si>
  <si>
    <t>ARDA-2020-03-0141</t>
  </si>
  <si>
    <t>M7-20-0497</t>
  </si>
  <si>
    <t>63949</t>
  </si>
  <si>
    <t>2020-101-055</t>
  </si>
  <si>
    <t>RFQ-2020-060-GOODS-OAGMFA</t>
  </si>
  <si>
    <t>OMM-2020-01</t>
  </si>
  <si>
    <t>RFQ-2020-055-GOODS-PRFS</t>
  </si>
  <si>
    <t>C9-20-0420</t>
  </si>
  <si>
    <t>2020-470</t>
  </si>
  <si>
    <t>GFG-2020-06-019</t>
  </si>
  <si>
    <t>INFRA-2020-06-001</t>
  </si>
  <si>
    <t>PR2006205</t>
  </si>
  <si>
    <t>ITB-001</t>
  </si>
  <si>
    <t>76389</t>
  </si>
  <si>
    <t>351-06/15/2020</t>
  </si>
  <si>
    <t>20-075</t>
  </si>
  <si>
    <t>ITB NO. 20-43</t>
  </si>
  <si>
    <t>202006190001</t>
  </si>
  <si>
    <t>IB No. 20-61</t>
  </si>
  <si>
    <t>Barangay Montes Kallagan Atimonan, Quezon 2020-06</t>
  </si>
  <si>
    <t>ITDI-200222_REBID</t>
  </si>
  <si>
    <t>LGU-ALCOY-2020-031</t>
  </si>
  <si>
    <t>ITDI-200213_REBID</t>
  </si>
  <si>
    <t>ITDI-200188_REBID</t>
  </si>
  <si>
    <t>PB-2020-GDS-028</t>
  </si>
  <si>
    <t>RFQ-2020-054-GOODS-BUDGET DIV.</t>
  </si>
  <si>
    <t>G-2020-029</t>
  </si>
  <si>
    <t>JFMH-050-20-RFQ</t>
  </si>
  <si>
    <t>ITB No. 20-49</t>
  </si>
  <si>
    <t>CGSO-20-020(NP/SV)</t>
  </si>
  <si>
    <t>I4-20-0556</t>
  </si>
  <si>
    <t>S3-SCL20-022</t>
  </si>
  <si>
    <t>ITB NO. 20-35</t>
  </si>
  <si>
    <t>ITDI-200226_REBID</t>
  </si>
  <si>
    <t>Barangay Cansiwang-2020-06-01</t>
  </si>
  <si>
    <t>2020-03-161 Upgrading of computer</t>
  </si>
  <si>
    <t>ITDI-200184_REBID</t>
  </si>
  <si>
    <t>SVP-21-2020</t>
  </si>
  <si>
    <t>202006190002</t>
  </si>
  <si>
    <t>20GMC0094 (Equiptment Rental Only)</t>
  </si>
  <si>
    <t>P11-20-0571</t>
  </si>
  <si>
    <t>Barangay Guio-ang-2020-06-01</t>
  </si>
  <si>
    <t>2020-06-526</t>
  </si>
  <si>
    <t>ITB No. 20-48</t>
  </si>
  <si>
    <t>BP-GOODS-2020-010</t>
  </si>
  <si>
    <t>20GMC0097 (Equiptment Rental Only)</t>
  </si>
  <si>
    <t>JUNE192020-3</t>
  </si>
  <si>
    <t>GA-BAC-AM # 2020-027</t>
  </si>
  <si>
    <t>MRB-2020-BRIDGE</t>
  </si>
  <si>
    <t>20GMC0096 (Equiptment Rental Only)</t>
  </si>
  <si>
    <t>2020-1-006</t>
  </si>
  <si>
    <t>2020-06-0465 RSCC</t>
  </si>
  <si>
    <t>C-055-2020</t>
  </si>
  <si>
    <t>SVP-065-2020</t>
  </si>
  <si>
    <t>GOODS-20-33</t>
  </si>
  <si>
    <t>64992</t>
  </si>
  <si>
    <t>2020-142</t>
  </si>
  <si>
    <t>20GG00018</t>
  </si>
  <si>
    <t>B2020-009</t>
  </si>
  <si>
    <t>20GMC0099 (Equiptment Rental Only)</t>
  </si>
  <si>
    <t>BP2020-002</t>
  </si>
  <si>
    <t>SVP-22-2020</t>
  </si>
  <si>
    <t>20200619</t>
  </si>
  <si>
    <t>MGM 2020-037</t>
  </si>
  <si>
    <t>ITB No. EMB-GOODS-NCB-2020-05-002</t>
  </si>
  <si>
    <t>16-S-20</t>
  </si>
  <si>
    <t>CAR-ADN-2020-094</t>
  </si>
  <si>
    <t>20GFN0005</t>
  </si>
  <si>
    <t>GF-2020-08</t>
  </si>
  <si>
    <t>PR2006203</t>
  </si>
  <si>
    <t>06192020A</t>
  </si>
  <si>
    <t>20GMC0098 (Equiptment Rental Only)</t>
  </si>
  <si>
    <t>20GMC0095 (Equiptment Rental Only)</t>
  </si>
  <si>
    <t>SVP-062-2020</t>
  </si>
  <si>
    <t>101-1011-2020-06-137</t>
  </si>
  <si>
    <t>20GFN0007</t>
  </si>
  <si>
    <t>SVP-20-2020</t>
  </si>
  <si>
    <t>B-86-2020</t>
  </si>
  <si>
    <t>2020-2089</t>
  </si>
  <si>
    <t>20GMC0100 (Equiptment Rental Only)</t>
  </si>
  <si>
    <t>101-8751-2020-06-131</t>
  </si>
  <si>
    <t>2020-2107</t>
  </si>
  <si>
    <t>MCH-2020-06</t>
  </si>
  <si>
    <t>020-2020</t>
  </si>
  <si>
    <t>TF-2020-06</t>
  </si>
  <si>
    <t>20GFN0006</t>
  </si>
  <si>
    <t>Bid No. 20-0311</t>
  </si>
  <si>
    <t>CAR-ADN-2020-095</t>
  </si>
  <si>
    <t>BP-GOODS-2020-011</t>
  </si>
  <si>
    <t>BP-GOODS-2020-012</t>
  </si>
  <si>
    <t>MCH-2020-05</t>
  </si>
  <si>
    <t>C-054-2020</t>
  </si>
  <si>
    <t>2020-208</t>
  </si>
  <si>
    <t>2020-56</t>
  </si>
  <si>
    <t>2020-06-0249</t>
  </si>
  <si>
    <t>10921</t>
  </si>
  <si>
    <t>RFQ-2020-061-GOODS-TAD</t>
  </si>
  <si>
    <t>2020-02 Cambuyo</t>
  </si>
  <si>
    <t>ITDI-200138_REBID</t>
  </si>
  <si>
    <t>INFR-023-2020</t>
  </si>
  <si>
    <t>bcwd-2020-057</t>
  </si>
  <si>
    <t>401-20-01-005</t>
  </si>
  <si>
    <t>J06-2020-003</t>
  </si>
  <si>
    <t>BS 20-06-0677</t>
  </si>
  <si>
    <t>BS 20-06-0676</t>
  </si>
  <si>
    <t>N-2020-05-Re-certification</t>
  </si>
  <si>
    <t>20GMC0101 (Equiptment Rental Only)</t>
  </si>
  <si>
    <t>20-06-001A</t>
  </si>
  <si>
    <t>20OF0318</t>
  </si>
  <si>
    <t>BS 20-06-0675</t>
  </si>
  <si>
    <t>20OF0317</t>
  </si>
  <si>
    <t>Installtion of Tow Hitch Receiver</t>
  </si>
  <si>
    <t>J06-2020-004</t>
  </si>
  <si>
    <t>PR#20-06-0324</t>
  </si>
  <si>
    <t>20FF0098</t>
  </si>
  <si>
    <t>RFQ-NP-SVP-re180-2020</t>
  </si>
  <si>
    <t>2020-331</t>
  </si>
  <si>
    <t>HNSLG-0620-00018</t>
  </si>
  <si>
    <t>PR#20-02-0065</t>
  </si>
  <si>
    <t>BLGU Kaligutan 2020-006-002</t>
  </si>
  <si>
    <t>2020-143</t>
  </si>
  <si>
    <t>20-06-0685 CMO-BDP</t>
  </si>
  <si>
    <t>600240162020</t>
  </si>
  <si>
    <t>INFRA-03-2020</t>
  </si>
  <si>
    <t>DGS PR No. 200005491</t>
  </si>
  <si>
    <t>20OF0319</t>
  </si>
  <si>
    <t>20-02-0049</t>
  </si>
  <si>
    <t>R3-2020-06-015</t>
  </si>
  <si>
    <t>122</t>
  </si>
  <si>
    <t>20FE0125</t>
  </si>
  <si>
    <t>RFQ-2020-06-049</t>
  </si>
  <si>
    <t>PROCOR GOODS 07-03-2020</t>
  </si>
  <si>
    <t>Tubigagmanok2020Goods002</t>
  </si>
  <si>
    <t>PR 2020-06-402</t>
  </si>
  <si>
    <t>Stack Emission Testing of 625 kVA Genset</t>
  </si>
  <si>
    <t>2020-009</t>
  </si>
  <si>
    <t>Tubigagmanok2020Goods001</t>
  </si>
  <si>
    <t>100-2020-Goods-364</t>
  </si>
  <si>
    <t>RFQ No.: 20-06-81-00</t>
  </si>
  <si>
    <t>20OF0320</t>
  </si>
  <si>
    <t>C10-20-0224</t>
  </si>
  <si>
    <t>PR2006202</t>
  </si>
  <si>
    <t>20GMC0102 (Equiptment Rental Only)</t>
  </si>
  <si>
    <t>20GFN0008</t>
  </si>
  <si>
    <t>JUNE192020-4</t>
  </si>
  <si>
    <t>BS 20-06-0678</t>
  </si>
  <si>
    <t>06192020B</t>
  </si>
  <si>
    <t>C9-20-0187</t>
  </si>
  <si>
    <t>2020-100-06-020</t>
  </si>
  <si>
    <t>2020-020-PB</t>
  </si>
  <si>
    <t>A-061-0061-20</t>
  </si>
  <si>
    <t>CRN 029</t>
  </si>
  <si>
    <t>20FE0126</t>
  </si>
  <si>
    <t>20OF0321</t>
  </si>
  <si>
    <t>P-060420-18</t>
  </si>
  <si>
    <t>2020-1771</t>
  </si>
  <si>
    <t>20-02-0094</t>
  </si>
  <si>
    <t>0020-0143-0862.2020</t>
  </si>
  <si>
    <t>NS 0204-20</t>
  </si>
  <si>
    <t>20CH0073</t>
  </si>
  <si>
    <t>2020-2062</t>
  </si>
  <si>
    <t>F-031-0396-20</t>
  </si>
  <si>
    <t>2020-03-028</t>
  </si>
  <si>
    <t>lgumat - 2020 - 0027</t>
  </si>
  <si>
    <t>F-046-0411-20</t>
  </si>
  <si>
    <t>BAC 2020-36</t>
  </si>
  <si>
    <t>20G00099</t>
  </si>
  <si>
    <t>2020-225</t>
  </si>
  <si>
    <t>Bac-Pg-002-20</t>
  </si>
  <si>
    <t>2020-100-06-019</t>
  </si>
  <si>
    <t>ITB 100-2020-06-05</t>
  </si>
  <si>
    <t>DA7-2020-06-SAAD-20-0980(R1)</t>
  </si>
  <si>
    <t>DA7-2020-06-CPAR-20-2200</t>
  </si>
  <si>
    <t>20OF0322</t>
  </si>
  <si>
    <t>20-06-0029</t>
  </si>
  <si>
    <t>F-039-0404-20</t>
  </si>
  <si>
    <t>8911-20-05-282</t>
  </si>
  <si>
    <t>Tubigagmanok2020Goods003</t>
  </si>
  <si>
    <t>18GMC0426 (Equipment Rental Only)</t>
  </si>
  <si>
    <t>2020-144</t>
  </si>
  <si>
    <t>DA7-2020-06-ILD-20-1786(R1)</t>
  </si>
  <si>
    <t>Bid No. 20-0312</t>
  </si>
  <si>
    <t>03-20-94</t>
  </si>
  <si>
    <t>2020-03-026</t>
  </si>
  <si>
    <t>2020-03-041</t>
  </si>
  <si>
    <t>Bid No. 20-0313</t>
  </si>
  <si>
    <t>0020-0175-1009-2020</t>
  </si>
  <si>
    <t>NFA-NCR-RBAC-2020-06-19-009</t>
  </si>
  <si>
    <t>DA7-2020-06-ILD-20-0610(R1)</t>
  </si>
  <si>
    <t>20OF0323</t>
  </si>
  <si>
    <t>20CSCH0001</t>
  </si>
  <si>
    <t>0023-0072-0980-2020</t>
  </si>
  <si>
    <t>SDO GOODS 2020-024</t>
  </si>
  <si>
    <t>2020-03-040</t>
  </si>
  <si>
    <t>2020-1862</t>
  </si>
  <si>
    <t>2020-1945</t>
  </si>
  <si>
    <t>rfq#2020-01-1,138-pho</t>
  </si>
  <si>
    <t>2020-2071</t>
  </si>
  <si>
    <t>2020-05-069</t>
  </si>
  <si>
    <t>2020-2148</t>
  </si>
  <si>
    <t>PB-LAP-2020-066</t>
  </si>
  <si>
    <t>PB-LAP-2020-067</t>
  </si>
  <si>
    <t>2020-5goods</t>
  </si>
  <si>
    <t>HPU-2020-01-0005</t>
  </si>
  <si>
    <t>rfq#2020-02-1,261-pgo-popdev</t>
  </si>
  <si>
    <t>0020-0184-1030-2020</t>
  </si>
  <si>
    <t>2020-06-022-MEO</t>
  </si>
  <si>
    <t>rfq#2020-02-1,501-pgo</t>
  </si>
  <si>
    <t>MG-A7T20-055</t>
  </si>
  <si>
    <t>DA7-2020-06-ILD-20-0794(R1)</t>
  </si>
  <si>
    <t>MinSCAT ITB 2020-08</t>
  </si>
  <si>
    <t>101-8917-2020-06-02</t>
  </si>
  <si>
    <t>rfq#2020-05-2,511-bpmc</t>
  </si>
  <si>
    <t>0020-0182-1024-2020</t>
  </si>
  <si>
    <t>2020-GGSS-BRGY CARRETUNAN</t>
  </si>
  <si>
    <t>Civil Works 021-2020</t>
  </si>
  <si>
    <t>MG-A7M20-072</t>
  </si>
  <si>
    <t>ITB No. BP 2020-004</t>
  </si>
  <si>
    <t>S3-SIA20-015</t>
  </si>
  <si>
    <t>2020-05-046-D</t>
  </si>
  <si>
    <t>G-2020-26</t>
  </si>
  <si>
    <t>MG-A7T20-054</t>
  </si>
  <si>
    <t>ITB 13-2020</t>
  </si>
  <si>
    <t>2020-04G</t>
  </si>
  <si>
    <t>rfq#2020-05-2,409-pvo</t>
  </si>
  <si>
    <t>20GFG0019</t>
  </si>
  <si>
    <t>rfq#2020-05-2,454-provl administrator's office-nut</t>
  </si>
  <si>
    <t>rfq#2020-06-2,583-pgo-pdea</t>
  </si>
  <si>
    <t>SF-GOODS NO. 63-(6-19-20)</t>
  </si>
  <si>
    <t>rfq#2020-06-2,593-pgo-pdea</t>
  </si>
  <si>
    <t>2020-847</t>
  </si>
  <si>
    <t>20-05-052</t>
  </si>
  <si>
    <t>2020-0150</t>
  </si>
  <si>
    <t>EMB-NCB-GOODS-05-2020</t>
  </si>
  <si>
    <t>rfq#2020-06-2,566-sp-gayon</t>
  </si>
  <si>
    <t>S3-SIA20-017</t>
  </si>
  <si>
    <t>2020-524</t>
  </si>
  <si>
    <t>2020-06-004-01</t>
  </si>
  <si>
    <t>020-06-007</t>
  </si>
  <si>
    <t>rfq#2020-06-2,587-peo-motorpool</t>
  </si>
  <si>
    <t>30-20</t>
  </si>
  <si>
    <t>rfq#2020-06-2,614-p.e.o.</t>
  </si>
  <si>
    <t>31-20</t>
  </si>
  <si>
    <t>G-2020-27</t>
  </si>
  <si>
    <t>2020-61</t>
  </si>
  <si>
    <t>tgs 14-20</t>
  </si>
  <si>
    <t>S3-PDM20-014</t>
  </si>
  <si>
    <t>2020-60</t>
  </si>
  <si>
    <t>S3-PDM20-010</t>
  </si>
  <si>
    <t>0020-0178-1020-2020</t>
  </si>
  <si>
    <t>020-06-006</t>
  </si>
  <si>
    <t>2020-06-006-04</t>
  </si>
  <si>
    <t>2020-06-0405</t>
  </si>
  <si>
    <t>2020-06-0404</t>
  </si>
  <si>
    <t>rfq#2020-06-2,609-p.e.o.</t>
  </si>
  <si>
    <t>101-1011-2020-06-138</t>
  </si>
  <si>
    <t>2020-05-047-D</t>
  </si>
  <si>
    <t>PR2006217</t>
  </si>
  <si>
    <t>020-06-008</t>
  </si>
  <si>
    <t>S3-SIA20-016</t>
  </si>
  <si>
    <t>20-05-051</t>
  </si>
  <si>
    <t>PR No. 2020-06-080</t>
  </si>
  <si>
    <t>Supply and Delivery of High Speed Scanner for Webs</t>
  </si>
  <si>
    <t>20-05-050</t>
  </si>
  <si>
    <t>302774-220-06-012</t>
  </si>
  <si>
    <t>32-20</t>
  </si>
  <si>
    <t>0020-0144-0863-2020</t>
  </si>
  <si>
    <t>S3-PDM20-016</t>
  </si>
  <si>
    <t>20-021</t>
  </si>
  <si>
    <t>S3-PDM20-009</t>
  </si>
  <si>
    <t>2020-05-037-D</t>
  </si>
  <si>
    <t>20-05-049</t>
  </si>
  <si>
    <t>101-2020-06-177</t>
  </si>
  <si>
    <t>Supply and Delivery of Digital Certificate (SSL) f</t>
  </si>
  <si>
    <t>20AE0069: Construction of 2 Storey 4 Classroom Sch</t>
  </si>
  <si>
    <t>GA-BAC-AM # 2020-018-R</t>
  </si>
  <si>
    <t>009-20</t>
  </si>
  <si>
    <t>2020-047</t>
  </si>
  <si>
    <t>S3-TAN20-008</t>
  </si>
  <si>
    <t>20G00100</t>
  </si>
  <si>
    <t>2020-05-043-D</t>
  </si>
  <si>
    <t>2020-05-1090</t>
  </si>
  <si>
    <t>071-20</t>
  </si>
  <si>
    <t>CGETDC 20-06-034</t>
  </si>
  <si>
    <t>2020-SVP-27</t>
  </si>
  <si>
    <t>101-8917-2020-06-03</t>
  </si>
  <si>
    <t>BRGY337 - 2020 - 01</t>
  </si>
  <si>
    <t>S3-SPUGWM20-012</t>
  </si>
  <si>
    <t>BACII-2020-16</t>
  </si>
  <si>
    <t>2020-05G</t>
  </si>
  <si>
    <t>MKWD2020-051</t>
  </si>
  <si>
    <t>Bid No. 20-0315</t>
  </si>
  <si>
    <t>RFQ-STF-68</t>
  </si>
  <si>
    <t>0619202006</t>
  </si>
  <si>
    <t>SF-LABOR NO. 10-(06-19-20)</t>
  </si>
  <si>
    <t>20JGI0035</t>
  </si>
  <si>
    <t>OD-2020-05-005</t>
  </si>
  <si>
    <t>05-20-0392</t>
  </si>
  <si>
    <t>Bid No. 20-0314</t>
  </si>
  <si>
    <t>20AE0068: Construction of 2 Storey 6 Classroom Sch</t>
  </si>
  <si>
    <t>20AE0070: Construction of 2-Storey 4-Classroom Sch</t>
  </si>
  <si>
    <t>0015-0027-0908-2020</t>
  </si>
  <si>
    <t>33-20</t>
  </si>
  <si>
    <t>2020-05-049-D</t>
  </si>
  <si>
    <t>INFRA 2020-007</t>
  </si>
  <si>
    <t>POW-Yabbi</t>
  </si>
  <si>
    <t>bcwd-2020-058</t>
  </si>
  <si>
    <t>20-06-0356</t>
  </si>
  <si>
    <t>220-009</t>
  </si>
  <si>
    <t>11039</t>
  </si>
  <si>
    <t>SVP2020-33</t>
  </si>
  <si>
    <t>QES-06-022-20</t>
  </si>
  <si>
    <t>2019-02-060</t>
  </si>
  <si>
    <t>RFQ No. 2020 - 53</t>
  </si>
  <si>
    <t>2020-06G</t>
  </si>
  <si>
    <t>20G00101</t>
  </si>
  <si>
    <t>20-06-017</t>
  </si>
  <si>
    <t>202006H</t>
  </si>
  <si>
    <t>RFQ NO. 2020-54</t>
  </si>
  <si>
    <t>GDS 20-056</t>
  </si>
  <si>
    <t>RFQ-TF-99</t>
  </si>
  <si>
    <t>2020-0151</t>
  </si>
  <si>
    <t>20-06-018</t>
  </si>
  <si>
    <t>2020-6-1487</t>
  </si>
  <si>
    <t>BG2020-016-798</t>
  </si>
  <si>
    <t>INFRA 2K20-45</t>
  </si>
  <si>
    <t>DOST XI 2020-025</t>
  </si>
  <si>
    <t>PB2020-008 (PR No. 19-10-1294)</t>
  </si>
  <si>
    <t>20MC0103</t>
  </si>
  <si>
    <t>101-8917-2020-06-05</t>
  </si>
  <si>
    <t>101-8917-2020-06-04</t>
  </si>
  <si>
    <t>BCS-2020-0130</t>
  </si>
  <si>
    <t>PB-PAFBAC-157-20</t>
  </si>
  <si>
    <t>PB-PAFBAC-158-20</t>
  </si>
  <si>
    <t>Bid No. 20-0317</t>
  </si>
  <si>
    <t>Bid No. 20-0316</t>
  </si>
  <si>
    <t>PB2020-009 (PR No. 20-01-0105)</t>
  </si>
  <si>
    <t>LGU-ALCOY-2020-032</t>
  </si>
  <si>
    <t>RFQ-TF-103</t>
  </si>
  <si>
    <t>11041</t>
  </si>
  <si>
    <t>101-8917-2020-06-07</t>
  </si>
  <si>
    <t>2020-05-0993</t>
  </si>
  <si>
    <t>20S028</t>
  </si>
  <si>
    <t>2020-SHPNG-60</t>
  </si>
  <si>
    <t>01-151-2020</t>
  </si>
  <si>
    <t>INIMO-2020-06-040</t>
  </si>
  <si>
    <t>DPWH-SK2DEO-20GMH049</t>
  </si>
  <si>
    <t>101-8917-2020-06-06</t>
  </si>
  <si>
    <t>PB-PAFBAC-159-20</t>
  </si>
  <si>
    <t>2020-124</t>
  </si>
  <si>
    <t>2020 Caib 098</t>
  </si>
  <si>
    <t>2020-122</t>
  </si>
  <si>
    <t>20-06-0361</t>
  </si>
  <si>
    <t>DOST XI 2020-026</t>
  </si>
  <si>
    <t>2020-SHPNG-59</t>
  </si>
  <si>
    <t>2020-2076-06-203</t>
  </si>
  <si>
    <t>2020-418</t>
  </si>
  <si>
    <t>146 – 2020</t>
  </si>
  <si>
    <t>PB-PAFBAC-160-20</t>
  </si>
  <si>
    <t>2020-06-0035</t>
  </si>
  <si>
    <t>101-8917-2020-06-09</t>
  </si>
  <si>
    <t>S3-SPUGWM20-013</t>
  </si>
  <si>
    <t>2020-126</t>
  </si>
  <si>
    <t>Bidding-01-AnaaoJune2020</t>
  </si>
  <si>
    <t>DPWH-SK2DEO-20MH0107</t>
  </si>
  <si>
    <t>20OD0195</t>
  </si>
  <si>
    <t>2020-05-251 AND 2020-03-203</t>
  </si>
  <si>
    <t>DPWH-SK2DEO-20MH0105</t>
  </si>
  <si>
    <t>20OD0193</t>
  </si>
  <si>
    <t>2020-06-0064</t>
  </si>
  <si>
    <t>2020-132</t>
  </si>
  <si>
    <t>20OD0192</t>
  </si>
  <si>
    <t>RFQ-2020-OSDS-06-017</t>
  </si>
  <si>
    <t>DPWH-SK2DEO-20MH0106</t>
  </si>
  <si>
    <t>20-06-147 to 153</t>
  </si>
  <si>
    <t>2020-010-001-GDS-NPTFB</t>
  </si>
  <si>
    <t>20-336</t>
  </si>
  <si>
    <t>PR 20-06-1731</t>
  </si>
  <si>
    <t>DPWH-SK2DEO-20MH0108</t>
  </si>
  <si>
    <t>UPB-2020-044</t>
  </si>
  <si>
    <t>73729</t>
  </si>
  <si>
    <t>PR2006218</t>
  </si>
  <si>
    <t>20GG0181</t>
  </si>
  <si>
    <t>RFQ-TF-105</t>
  </si>
  <si>
    <t>20GG0179</t>
  </si>
  <si>
    <t>20GG0180</t>
  </si>
  <si>
    <t>20GG0177</t>
  </si>
  <si>
    <t>20-328</t>
  </si>
  <si>
    <t>20-318</t>
  </si>
  <si>
    <t>147 – 2020</t>
  </si>
  <si>
    <t>01-642-2020</t>
  </si>
  <si>
    <t>20GG0178</t>
  </si>
  <si>
    <t>2020.GASOLINE-Q3</t>
  </si>
  <si>
    <t>20-433</t>
  </si>
  <si>
    <t>2020-151-I</t>
  </si>
  <si>
    <t>20-382</t>
  </si>
  <si>
    <t>2020-03-206</t>
  </si>
  <si>
    <t>05b-07-2020 -INSTALLATION, CONFIGURATION &amp; TESTING</t>
  </si>
  <si>
    <t>20-434</t>
  </si>
  <si>
    <t>CW-03-2020</t>
  </si>
  <si>
    <t>PR2006224</t>
  </si>
  <si>
    <t>20-436</t>
  </si>
  <si>
    <t>20-435</t>
  </si>
  <si>
    <t>2020-008-002-GDS-NPTFB</t>
  </si>
  <si>
    <t>RFQ-TF-108</t>
  </si>
  <si>
    <t>20-349</t>
  </si>
  <si>
    <t>2020-SHPNG-62</t>
  </si>
  <si>
    <t>20-343</t>
  </si>
  <si>
    <t>202006</t>
  </si>
  <si>
    <t>20-437</t>
  </si>
  <si>
    <t>20-19</t>
  </si>
  <si>
    <t>101-8917-2020-06-08</t>
  </si>
  <si>
    <t>20-06-158 to 162</t>
  </si>
  <si>
    <t>004-355-900-000</t>
  </si>
  <si>
    <t>2020-04-0043</t>
  </si>
  <si>
    <t>2020-07G</t>
  </si>
  <si>
    <t>PR2006219</t>
  </si>
  <si>
    <t>DPWH-SK2DEO-20MH0104</t>
  </si>
  <si>
    <t>UPLB-I-017-06-20 SUPPLY AND DELIVERY OF CONSTRUCTI</t>
  </si>
  <si>
    <t>LGU-M-GOODS-05-20</t>
  </si>
  <si>
    <t>RFQ-TF-106</t>
  </si>
  <si>
    <t>LGU-M-INFRA-13-20</t>
  </si>
  <si>
    <t>INFRA2020-06-002</t>
  </si>
  <si>
    <t>2020-SHPNG-65</t>
  </si>
  <si>
    <t>2020-SHPNG-64</t>
  </si>
  <si>
    <t>BGHMCPB-2020-15-001</t>
  </si>
  <si>
    <t>RFQ-TF-107</t>
  </si>
  <si>
    <t>LGU-M-INFRA-12-20</t>
  </si>
  <si>
    <t>2020-SHPNG-63</t>
  </si>
  <si>
    <t>INFRA2020-06-024.2</t>
  </si>
  <si>
    <t>INFRA2020-06-024.1</t>
  </si>
  <si>
    <t>ANTI-11-20</t>
  </si>
  <si>
    <t>DTI-Camiguin-NSB-06-2020</t>
  </si>
  <si>
    <t>0001</t>
  </si>
  <si>
    <t>20CSEG01</t>
  </si>
  <si>
    <t>LGU-M-INFRA-14-20</t>
  </si>
  <si>
    <t>2020-05-086</t>
  </si>
  <si>
    <t>20-18</t>
  </si>
  <si>
    <t>2020-04-0049</t>
  </si>
  <si>
    <t>2020-SHPNG-69</t>
  </si>
  <si>
    <t>2020-SHPNG-70</t>
  </si>
  <si>
    <t>ITDI-PB-INFRA-2020-CO-01 EBD</t>
  </si>
  <si>
    <t>2020-SHPNG-68</t>
  </si>
  <si>
    <t>2020-SHPNG-66</t>
  </si>
  <si>
    <t>2020-SHPNG-61</t>
  </si>
  <si>
    <t>2020-143-I</t>
  </si>
  <si>
    <t>INFRA2020-06-024.3</t>
  </si>
  <si>
    <t>INF 20AR-EZ-20-02</t>
  </si>
  <si>
    <t>ADH-20-0300-B</t>
  </si>
  <si>
    <t>2020-SHPNG-67</t>
  </si>
  <si>
    <t>ADH-20-0299-B</t>
  </si>
  <si>
    <t>ADH-20-0298-B</t>
  </si>
  <si>
    <t>RPT-20-0430-B</t>
  </si>
  <si>
    <t>INFRA2020-06-024.4</t>
  </si>
  <si>
    <t>RPT-20-0360-B</t>
  </si>
  <si>
    <t>LL-21-20</t>
  </si>
  <si>
    <t>ADH-20-0297-B</t>
  </si>
  <si>
    <t>BAC SVP 2020-40</t>
  </si>
  <si>
    <t>2020-04-0050</t>
  </si>
  <si>
    <t>brgy20200213</t>
  </si>
  <si>
    <t>20-0760a</t>
  </si>
  <si>
    <t>110620203</t>
  </si>
  <si>
    <t>ITB-BLGU-BANLAS2020-001</t>
  </si>
  <si>
    <t>INFRA2020-06-024.5</t>
  </si>
  <si>
    <t>DBS-004-2020</t>
  </si>
  <si>
    <t>ADH-20-0301-B</t>
  </si>
  <si>
    <t>INF 20AR-EZ-20-01</t>
  </si>
  <si>
    <t>IB 2020-07-008 POSE</t>
  </si>
  <si>
    <t>RPT-20-0359-B</t>
  </si>
  <si>
    <t>INFRA2020-06-001</t>
  </si>
  <si>
    <t>BAC SHP 2020-008</t>
  </si>
  <si>
    <t>LL-22-20</t>
  </si>
  <si>
    <t>20EE0138</t>
  </si>
  <si>
    <t>ITB 06-017-2020</t>
  </si>
  <si>
    <t>2020-GOODS-004R-02-0619</t>
  </si>
  <si>
    <t>MS2020-06-027.2</t>
  </si>
  <si>
    <t>20200616</t>
  </si>
  <si>
    <t>PB0047</t>
  </si>
  <si>
    <t>CDH-19-1434-B (RE-BID)</t>
  </si>
  <si>
    <t>CDH-20-0396-B</t>
  </si>
  <si>
    <t>RFQ No. 20-06-050</t>
  </si>
  <si>
    <t>RPT-20-0358-B</t>
  </si>
  <si>
    <t>MS2020-06-027.3</t>
  </si>
  <si>
    <t>GO-2020-06-91</t>
  </si>
  <si>
    <t>GO-2020-06-90</t>
  </si>
  <si>
    <t>MS2020-06-027.1</t>
  </si>
  <si>
    <t>RFQ No. 20-06-049</t>
  </si>
  <si>
    <t>MS2020-06-026.5</t>
  </si>
  <si>
    <t>GO-2020-06-87</t>
  </si>
  <si>
    <t>IB NO. CW 2020 - 091</t>
  </si>
  <si>
    <t>GO-2020-06-88</t>
  </si>
  <si>
    <t>G-2020-046</t>
  </si>
  <si>
    <t>GO-2020-06-92</t>
  </si>
  <si>
    <t>MS2020-06-026.4</t>
  </si>
  <si>
    <t>GO-2020-06-86</t>
  </si>
  <si>
    <t>IB NO. CW 2020 - 090</t>
  </si>
  <si>
    <t>CDH-20-0433-B</t>
  </si>
  <si>
    <t>GO-2020-06-85</t>
  </si>
  <si>
    <t>IB NO. CW 2020-089</t>
  </si>
  <si>
    <t>RPT-20-0432-B</t>
  </si>
  <si>
    <t>G-2020-045</t>
  </si>
  <si>
    <t>GO-2020-06-93</t>
  </si>
  <si>
    <t>0079R</t>
  </si>
  <si>
    <t>0078R</t>
  </si>
  <si>
    <t>CDH-19-1245-B (RE-BID)</t>
  </si>
  <si>
    <t>0077R</t>
  </si>
  <si>
    <t>0076R</t>
  </si>
  <si>
    <t>GO-2020-06-97</t>
  </si>
  <si>
    <t>CGT-Goods- 2020-00087</t>
  </si>
  <si>
    <t>0233R</t>
  </si>
  <si>
    <t>0080R</t>
  </si>
  <si>
    <t>0232R</t>
  </si>
  <si>
    <t>0185R</t>
  </si>
  <si>
    <t>0093R</t>
  </si>
  <si>
    <t>G-2020-044</t>
  </si>
  <si>
    <t>0090R</t>
  </si>
  <si>
    <t>0081R</t>
  </si>
  <si>
    <t>0256R</t>
  </si>
  <si>
    <t>TF-20-06-096(Q)</t>
  </si>
  <si>
    <t>G-2020-047</t>
  </si>
  <si>
    <t>NP-NGOP-2020-02</t>
  </si>
  <si>
    <t>0154R</t>
  </si>
  <si>
    <t>06172020</t>
  </si>
  <si>
    <t>IB NO. CW 2020 - 092</t>
  </si>
  <si>
    <t>PR 2020-06-16-103</t>
  </si>
  <si>
    <t>2020-I-063</t>
  </si>
  <si>
    <t>GO-2020-06-98</t>
  </si>
  <si>
    <t>GO-2020-06-96</t>
  </si>
  <si>
    <t>MP-061720-041</t>
  </si>
  <si>
    <t>GO-2020-06-95</t>
  </si>
  <si>
    <t>2020-38</t>
  </si>
  <si>
    <t>06-01-2020</t>
  </si>
  <si>
    <t>0309</t>
  </si>
  <si>
    <t>CRPIP-2020-06-075</t>
  </si>
  <si>
    <t>PR 2020-06-09-100</t>
  </si>
  <si>
    <t>PAT-01</t>
  </si>
  <si>
    <t>0308</t>
  </si>
  <si>
    <t>0261R</t>
  </si>
  <si>
    <t>0246R</t>
  </si>
  <si>
    <t>0307</t>
  </si>
  <si>
    <t>SJH-20-0675-B</t>
  </si>
  <si>
    <t>B023-2020</t>
  </si>
  <si>
    <t>IB NO. CW 2020 - 096</t>
  </si>
  <si>
    <t>SJH-20-0674-B</t>
  </si>
  <si>
    <t>PB NO. 2020-038</t>
  </si>
  <si>
    <t>B021-2020</t>
  </si>
  <si>
    <t>MNHS0602-2020</t>
  </si>
  <si>
    <t>B024-2020</t>
  </si>
  <si>
    <t>IB NO. CW 2020 - 095</t>
  </si>
  <si>
    <t>IB NO. CW 2020 - 093</t>
  </si>
  <si>
    <t>Q-095-20</t>
  </si>
  <si>
    <t>B020-2020</t>
  </si>
  <si>
    <t>B022-2020</t>
  </si>
  <si>
    <t>B026-2020</t>
  </si>
  <si>
    <t>B027-2020</t>
  </si>
  <si>
    <t>PB NO. 2020-039</t>
  </si>
  <si>
    <t>CYN-BAC-2020-35</t>
  </si>
  <si>
    <t>IB NO. CW 2020 - 097</t>
  </si>
  <si>
    <t>67-2020</t>
  </si>
  <si>
    <t>PPD-20-0661-B</t>
  </si>
  <si>
    <t>B031-2020</t>
  </si>
  <si>
    <t>B032-2020</t>
  </si>
  <si>
    <t>B025-2020</t>
  </si>
  <si>
    <t>Q-082-20</t>
  </si>
  <si>
    <t>Q-057-20</t>
  </si>
  <si>
    <t>B030-2020</t>
  </si>
  <si>
    <t>B028-2020</t>
  </si>
  <si>
    <t>70-2020</t>
  </si>
  <si>
    <t>CYN-BAC-2020-36</t>
  </si>
  <si>
    <t>INFRA-2020-03</t>
  </si>
  <si>
    <t>Q-084-20</t>
  </si>
  <si>
    <t>PEO-2020-0123 &amp;0111</t>
  </si>
  <si>
    <t>DIS-19-1554-B</t>
  </si>
  <si>
    <t>IADH-2020-0121 &amp; 0123</t>
  </si>
  <si>
    <t>PPD-20-0662-B</t>
  </si>
  <si>
    <t>B033-2020</t>
  </si>
  <si>
    <t>20-17</t>
  </si>
  <si>
    <t>20-16</t>
  </si>
  <si>
    <t>B029-2020</t>
  </si>
  <si>
    <t>ITB 02-2020</t>
  </si>
  <si>
    <t>69-2020</t>
  </si>
  <si>
    <t>2020-122-001</t>
  </si>
  <si>
    <t>20-06-460</t>
  </si>
  <si>
    <t>CB-20-06-B-01</t>
  </si>
  <si>
    <t>72-2020</t>
  </si>
  <si>
    <t>68-2020</t>
  </si>
  <si>
    <t>71-2020</t>
  </si>
  <si>
    <t>100-2019-01-068</t>
  </si>
  <si>
    <t>IB NO. CW 2020 - 094</t>
  </si>
  <si>
    <t>100-2020-01-069</t>
  </si>
  <si>
    <t>2020-0275</t>
  </si>
  <si>
    <t>CDH-2020-0035</t>
  </si>
  <si>
    <t>061820</t>
  </si>
  <si>
    <t>RFQ-2020-06-17-442</t>
  </si>
  <si>
    <t>PDD 20-004</t>
  </si>
  <si>
    <t>RFQ-2020-06-09-419</t>
  </si>
  <si>
    <t>SVP No. 2020-034</t>
  </si>
  <si>
    <t>GOODS - 2020-018</t>
  </si>
  <si>
    <t>CB-2-=06-C-01</t>
  </si>
  <si>
    <t>2020-06-18-001</t>
  </si>
  <si>
    <t>INFRA 2020-06-003</t>
  </si>
  <si>
    <t>GSO-2020-0073</t>
  </si>
  <si>
    <t>070-20</t>
  </si>
  <si>
    <t>INFRA 2020-06-004</t>
  </si>
  <si>
    <t>8-2o2o</t>
  </si>
  <si>
    <t>ECV-20EE0137</t>
  </si>
  <si>
    <t>2020-01 San Carlos</t>
  </si>
  <si>
    <t>00006A</t>
  </si>
  <si>
    <t>LTFRB-06-015</t>
  </si>
  <si>
    <t>STC-GOOD- NO. 2020-0041</t>
  </si>
  <si>
    <t>2020-06-001 INF</t>
  </si>
  <si>
    <t>BFAR5BAC-2020-105</t>
  </si>
  <si>
    <t>2020-06-0349</t>
  </si>
  <si>
    <t>MG-PAT20-027</t>
  </si>
  <si>
    <t>101-2020-02-086</t>
  </si>
  <si>
    <t>2020-02-0101</t>
  </si>
  <si>
    <t>000260</t>
  </si>
  <si>
    <t>20-03-07-0117 Re-canvass</t>
  </si>
  <si>
    <t>PR No. 2020-05-10</t>
  </si>
  <si>
    <t>20-03-07-0144 Re-canvass</t>
  </si>
  <si>
    <t>ITB 20-073</t>
  </si>
  <si>
    <t>MSDS-6-2020-G7</t>
  </si>
  <si>
    <t>CID-2020-018</t>
  </si>
  <si>
    <t>CP 2020-39B</t>
  </si>
  <si>
    <t>20-06-08-0044</t>
  </si>
  <si>
    <t>2020-06-0351</t>
  </si>
  <si>
    <t>PANIQUIHAN2020-002</t>
  </si>
  <si>
    <t>BFAR5BAC-2020-106</t>
  </si>
  <si>
    <t>000226</t>
  </si>
  <si>
    <t>MSDS-6-2020-GGSS1</t>
  </si>
  <si>
    <t>2020-06-0350</t>
  </si>
  <si>
    <t>RIS # 20-02-039</t>
  </si>
  <si>
    <t>000270</t>
  </si>
  <si>
    <t>ITB 20-074</t>
  </si>
  <si>
    <t>SSP-20-06-02</t>
  </si>
  <si>
    <t>06-02-2020</t>
  </si>
  <si>
    <t>IB No. 20-51</t>
  </si>
  <si>
    <t>2020-631</t>
  </si>
  <si>
    <t>20-06-04-0069</t>
  </si>
  <si>
    <t>0020-0172-0996-2020</t>
  </si>
  <si>
    <t>PUR20-05-0432</t>
  </si>
  <si>
    <t>2020-632</t>
  </si>
  <si>
    <t>TUPC-20-22</t>
  </si>
  <si>
    <t>202006G</t>
  </si>
  <si>
    <t>FRT-20-0440-B</t>
  </si>
  <si>
    <t>lam-bac-213-020</t>
  </si>
  <si>
    <t>2020-0707-001</t>
  </si>
  <si>
    <t>FRT-20-0436-B</t>
  </si>
  <si>
    <t>0919-20</t>
  </si>
  <si>
    <t>BFAR5BAC-2020-107</t>
  </si>
  <si>
    <t>PR 06-3515</t>
  </si>
  <si>
    <t>T/F-2020-05-276</t>
  </si>
  <si>
    <t>BID NO. 0620-133</t>
  </si>
  <si>
    <t>2020.06.16.01</t>
  </si>
  <si>
    <t>425-06-2020 (IPHO)</t>
  </si>
  <si>
    <t>2020.06.16.02</t>
  </si>
  <si>
    <t>INFR01-2020</t>
  </si>
  <si>
    <t>06182020001</t>
  </si>
  <si>
    <t>101-2020-05-281</t>
  </si>
  <si>
    <t>BLGU-STACRUZ-G-01-2020</t>
  </si>
  <si>
    <t>001-06-2020(BRGY.SAN NICOLAS,VILLASIS, PANGASINAN)</t>
  </si>
  <si>
    <t>2020-629</t>
  </si>
  <si>
    <t>06182020</t>
  </si>
  <si>
    <t>2020-101-052</t>
  </si>
  <si>
    <t>IB No. 20-50</t>
  </si>
  <si>
    <t>20-06-04-0068</t>
  </si>
  <si>
    <t>2020-06-0352</t>
  </si>
  <si>
    <t>101-2020-06-291</t>
  </si>
  <si>
    <t>BID NO. 0620-130</t>
  </si>
  <si>
    <t>IB No. 20-42</t>
  </si>
  <si>
    <t>20-06-04-0067</t>
  </si>
  <si>
    <t>2020.06.16.03</t>
  </si>
  <si>
    <t>F-001-0366-20</t>
  </si>
  <si>
    <t>431-06-2020 (IPHO)</t>
  </si>
  <si>
    <t>2020-03-0474</t>
  </si>
  <si>
    <t>BOD20-091</t>
  </si>
  <si>
    <t>20-06-04-0066</t>
  </si>
  <si>
    <t>PR No. 2020-06-004</t>
  </si>
  <si>
    <t>BFAR5BAC-2020-108</t>
  </si>
  <si>
    <t>IB No. 20-63</t>
  </si>
  <si>
    <t>04-2020</t>
  </si>
  <si>
    <t>0935-20</t>
  </si>
  <si>
    <t>20FB0152</t>
  </si>
  <si>
    <t>pgeps#0258-2020</t>
  </si>
  <si>
    <t>EXPO DUBAI-35949</t>
  </si>
  <si>
    <t>0923-20</t>
  </si>
  <si>
    <t>MP-061820-42</t>
  </si>
  <si>
    <t>2020-628</t>
  </si>
  <si>
    <t>1-0023-20</t>
  </si>
  <si>
    <t>pgeps#0260-2020</t>
  </si>
  <si>
    <t>BOD20-092</t>
  </si>
  <si>
    <t>PUR20-05-0451</t>
  </si>
  <si>
    <t>101-2020-06-293</t>
  </si>
  <si>
    <t>IB No. 20-54</t>
  </si>
  <si>
    <t>20-06-09-0018</t>
  </si>
  <si>
    <t>2020-627</t>
  </si>
  <si>
    <t>Goods-20-014</t>
  </si>
  <si>
    <t>2020-085</t>
  </si>
  <si>
    <t>0912-20</t>
  </si>
  <si>
    <t>2020123</t>
  </si>
  <si>
    <t>pgeps#0259-2020</t>
  </si>
  <si>
    <t>FRT-20-0394-B</t>
  </si>
  <si>
    <t>2020-Barangay Cagudalo-002</t>
  </si>
  <si>
    <t>PBG-2020-07</t>
  </si>
  <si>
    <t>RFQ-2020-19</t>
  </si>
  <si>
    <t>472-04-66</t>
  </si>
  <si>
    <t>IB No. 20-55</t>
  </si>
  <si>
    <t>101-2020-06-298</t>
  </si>
  <si>
    <t>0936-20</t>
  </si>
  <si>
    <t>pgeps#0263-2020</t>
  </si>
  <si>
    <t>2020-06-3092</t>
  </si>
  <si>
    <t>MP-061820-43</t>
  </si>
  <si>
    <t>2020-626</t>
  </si>
  <si>
    <t>0908-20</t>
  </si>
  <si>
    <t>00112</t>
  </si>
  <si>
    <t>0915-20</t>
  </si>
  <si>
    <t>2020.06.16.04</t>
  </si>
  <si>
    <t>20FB0154</t>
  </si>
  <si>
    <t>pgeps#0262-2020</t>
  </si>
  <si>
    <t>ITB-2020-010</t>
  </si>
  <si>
    <t>16-2020</t>
  </si>
  <si>
    <t>IB No. 20-45</t>
  </si>
  <si>
    <t>DV -2020-G16</t>
  </si>
  <si>
    <t>2020-086</t>
  </si>
  <si>
    <t>EQPT-2020-10</t>
  </si>
  <si>
    <t>2020.06.16.05</t>
  </si>
  <si>
    <t>20-06-209</t>
  </si>
  <si>
    <t>2020-05-033</t>
  </si>
  <si>
    <t>101-2020-06-288</t>
  </si>
  <si>
    <t>00113</t>
  </si>
  <si>
    <t>20-04-010</t>
  </si>
  <si>
    <t>ITB-2020-088</t>
  </si>
  <si>
    <t>GO-2020-007-PB</t>
  </si>
  <si>
    <t>2020-02-031 RFQ</t>
  </si>
  <si>
    <t>20-05-012</t>
  </si>
  <si>
    <t>20200618-001</t>
  </si>
  <si>
    <t>2020DP42-R1</t>
  </si>
  <si>
    <t>RQ 06-142</t>
  </si>
  <si>
    <t>00114</t>
  </si>
  <si>
    <t>IB No. 20-47</t>
  </si>
  <si>
    <t>20CB-GSC-343 CATERING SERVICES</t>
  </si>
  <si>
    <t>GOODS-ITB 2020-06-014</t>
  </si>
  <si>
    <t>CAR-ADN-2020-092</t>
  </si>
  <si>
    <t>RQ 06-140</t>
  </si>
  <si>
    <t>20FB0153</t>
  </si>
  <si>
    <t>MP-061820-44</t>
  </si>
  <si>
    <t>GFP100-2020-06-046</t>
  </si>
  <si>
    <t>0934-20</t>
  </si>
  <si>
    <t>PG-RFQ-2020-14</t>
  </si>
  <si>
    <t>6911-9-957-20</t>
  </si>
  <si>
    <t>RQ 06-149</t>
  </si>
  <si>
    <t>2020-06-18-176</t>
  </si>
  <si>
    <t>RQ 06-150</t>
  </si>
  <si>
    <t>CAR-ADN-2020-093</t>
  </si>
  <si>
    <t>2020-076</t>
  </si>
  <si>
    <t>RQ 06-148</t>
  </si>
  <si>
    <t>2020-04-286</t>
  </si>
  <si>
    <t>PR-2020-</t>
  </si>
  <si>
    <t>20-05-015</t>
  </si>
  <si>
    <t>8918-23-1569-20(SUPPLEMENTAL #01-2020)</t>
  </si>
  <si>
    <t>PG-RFQ-2020-15</t>
  </si>
  <si>
    <t>2020/06/055</t>
  </si>
  <si>
    <t>6911-9-1344-20</t>
  </si>
  <si>
    <t>ANONANG 2020-006-001</t>
  </si>
  <si>
    <t>IB No. 20-33</t>
  </si>
  <si>
    <t>AGGDS2020-0617C</t>
  </si>
  <si>
    <t>RQ 06-136</t>
  </si>
  <si>
    <t>RIS# 20-02-083</t>
  </si>
  <si>
    <t>2020-06-0022</t>
  </si>
  <si>
    <t>MP-061820-45</t>
  </si>
  <si>
    <t>20GA0220</t>
  </si>
  <si>
    <t>RQ 06-132</t>
  </si>
  <si>
    <t>BOD20-095</t>
  </si>
  <si>
    <t>CJR-007-2020</t>
  </si>
  <si>
    <t>8911-08-2032-20</t>
  </si>
  <si>
    <t>DV -2020-G18</t>
  </si>
  <si>
    <t>MP-061820-46</t>
  </si>
  <si>
    <t>6911-01-1453-19/LDRRM</t>
  </si>
  <si>
    <t>CMO(RM-HE)20-011(NP/SV)</t>
  </si>
  <si>
    <t>PG-RFQ-2020-16</t>
  </si>
  <si>
    <t>2020-02-13</t>
  </si>
  <si>
    <t>LG-GT-2020-MOOE-2BD</t>
  </si>
  <si>
    <t>2020-02-035B</t>
  </si>
  <si>
    <t>2020-32A-001</t>
  </si>
  <si>
    <t>BOD20-094</t>
  </si>
  <si>
    <t>TUPC-20-24</t>
  </si>
  <si>
    <t>EQPT-2020-11</t>
  </si>
  <si>
    <t>BD20-06-001</t>
  </si>
  <si>
    <t>072</t>
  </si>
  <si>
    <t>CMO(RM-HE)20-012(NP/SV)</t>
  </si>
  <si>
    <t>20-06-023-011/52</t>
  </si>
  <si>
    <t>INFR-20-011</t>
  </si>
  <si>
    <t>TUPC-20-23</t>
  </si>
  <si>
    <t>ISA-2020-003</t>
  </si>
  <si>
    <t>2020-06-160</t>
  </si>
  <si>
    <t>LGUPROC 2020 -106R</t>
  </si>
  <si>
    <t>PB-0620-33</t>
  </si>
  <si>
    <t>MO-001-06-2020</t>
  </si>
  <si>
    <t>6911-03-1054-19</t>
  </si>
  <si>
    <t>RQ 06-138</t>
  </si>
  <si>
    <t>2020-088</t>
  </si>
  <si>
    <t>LRDD-ORGANIC 2020-02-022 (R-1)</t>
  </si>
  <si>
    <t>dpwh-c2-deo 20HE0119</t>
  </si>
  <si>
    <t>MALAMA 2020-003</t>
  </si>
  <si>
    <t>20MC0098(Re-Published)</t>
  </si>
  <si>
    <t>20GA0222</t>
  </si>
  <si>
    <t>3918-10-602-20</t>
  </si>
  <si>
    <t>2020-0013-1</t>
  </si>
  <si>
    <t>RFQ NO. 20-078</t>
  </si>
  <si>
    <t>PB 2020-15</t>
  </si>
  <si>
    <t>MP-061820-047</t>
  </si>
  <si>
    <t>CEO(MAINT)20-014(NP/SV)</t>
  </si>
  <si>
    <t>6911-2-872-20</t>
  </si>
  <si>
    <t>BOD20-097</t>
  </si>
  <si>
    <t>TUPC-20-25</t>
  </si>
  <si>
    <t>RQ 06-144</t>
  </si>
  <si>
    <t>SP(NHICOLLE)20-003(NP/SV)</t>
  </si>
  <si>
    <t>8911-10-2224-19</t>
  </si>
  <si>
    <t>RQ 06-143</t>
  </si>
  <si>
    <t>RQ 06-137</t>
  </si>
  <si>
    <t>CJR-008-2020</t>
  </si>
  <si>
    <t xml:space="preserve">Supply and Delivery of Construction Materials and </t>
  </si>
  <si>
    <t>CMO(PSD)20-006(NP/SV)</t>
  </si>
  <si>
    <t>R20-104</t>
  </si>
  <si>
    <t>LGU-107-2020</t>
  </si>
  <si>
    <t>BOD20-096</t>
  </si>
  <si>
    <t>1918-10-440-20</t>
  </si>
  <si>
    <t>BFPX 2020-07</t>
  </si>
  <si>
    <t>2020-011-1</t>
  </si>
  <si>
    <t>074</t>
  </si>
  <si>
    <t>RQ 06-131</t>
  </si>
  <si>
    <t>ITB No. 041-2020 GQ</t>
  </si>
  <si>
    <t>REQUEST FOR QUOTATION (RFQ) No. 20-0565 NP-SVP</t>
  </si>
  <si>
    <t>CYN-BAC-2020-37</t>
  </si>
  <si>
    <t>RQ 06-146</t>
  </si>
  <si>
    <t>2020-089</t>
  </si>
  <si>
    <t>8911-03-2455-19</t>
  </si>
  <si>
    <t>20MC0100 (Re-Published)</t>
  </si>
  <si>
    <t>20113</t>
  </si>
  <si>
    <t>BAYLEGOOD0620064</t>
  </si>
  <si>
    <t>CMO(CDL)-19-003(NP/SV)</t>
  </si>
  <si>
    <t>073</t>
  </si>
  <si>
    <t>2020-023 SFRAN</t>
  </si>
  <si>
    <t>RFQ 2020-232</t>
  </si>
  <si>
    <t>BAYLEGOOD0620063</t>
  </si>
  <si>
    <t>8918-9-1778-20</t>
  </si>
  <si>
    <t>GF-APP-01</t>
  </si>
  <si>
    <t>06-03-2020</t>
  </si>
  <si>
    <t>DV -2020-G17</t>
  </si>
  <si>
    <t>RQ 06-147</t>
  </si>
  <si>
    <t>MP-061820-048</t>
  </si>
  <si>
    <t>ITB-2020-011</t>
  </si>
  <si>
    <t>101-2020-05-273</t>
  </si>
  <si>
    <t>2020-625</t>
  </si>
  <si>
    <t>PG-RFQ-2020-13</t>
  </si>
  <si>
    <t>BID NO. 0620-131</t>
  </si>
  <si>
    <t>2020-06-18-01</t>
  </si>
  <si>
    <t>BOD20-093</t>
  </si>
  <si>
    <t>GOODS-54-2020</t>
  </si>
  <si>
    <t>pgeps#0261-2020</t>
  </si>
  <si>
    <t>2020-06-CCTV</t>
  </si>
  <si>
    <t>2020-06-402</t>
  </si>
  <si>
    <t>INFR-20-012</t>
  </si>
  <si>
    <t>0913-20</t>
  </si>
  <si>
    <t>IB No. 20-39</t>
  </si>
  <si>
    <t>LGUPROC 2020 -107B</t>
  </si>
  <si>
    <t>19018</t>
  </si>
  <si>
    <t>GF 20025</t>
  </si>
  <si>
    <t>MP-061820-049</t>
  </si>
  <si>
    <t>20094</t>
  </si>
  <si>
    <t>CYN-BAC-2020-38</t>
  </si>
  <si>
    <t>ITB No. 040-2020 GQ</t>
  </si>
  <si>
    <t>GF 20003</t>
  </si>
  <si>
    <t>20076</t>
  </si>
  <si>
    <t>6911-02-1059-19 CONTINUING 2019</t>
  </si>
  <si>
    <t>10</t>
  </si>
  <si>
    <t>20073</t>
  </si>
  <si>
    <t>GF 20017</t>
  </si>
  <si>
    <t>9</t>
  </si>
  <si>
    <t>PB-0520-28</t>
  </si>
  <si>
    <t>101-2020-06-297</t>
  </si>
  <si>
    <t>TUPC-20-26</t>
  </si>
  <si>
    <t>20108</t>
  </si>
  <si>
    <t>MO-002-06-2020</t>
  </si>
  <si>
    <t>MP-061820-050</t>
  </si>
  <si>
    <t>2020-03-025</t>
  </si>
  <si>
    <t>20017</t>
  </si>
  <si>
    <t>20DB0135</t>
  </si>
  <si>
    <t>ITB - 01 JUNE 2020</t>
  </si>
  <si>
    <t>2020-03-0270 RSCC</t>
  </si>
  <si>
    <t>SB1 2019-31</t>
  </si>
  <si>
    <t>20072</t>
  </si>
  <si>
    <t>20GA0223</t>
  </si>
  <si>
    <t>SEF 20002</t>
  </si>
  <si>
    <t>2020-06-0033</t>
  </si>
  <si>
    <t>GF 20047</t>
  </si>
  <si>
    <t>RFQ-062020-I</t>
  </si>
  <si>
    <t>GF 20015</t>
  </si>
  <si>
    <t>GF 20028</t>
  </si>
  <si>
    <t>20NH0075 (RE-AD)</t>
  </si>
  <si>
    <t>GF 20019</t>
  </si>
  <si>
    <t>20-03-07</t>
  </si>
  <si>
    <t>ITB - 04 JUNE 2020</t>
  </si>
  <si>
    <t>RFQ 2020 - 001</t>
  </si>
  <si>
    <t>20052</t>
  </si>
  <si>
    <t>14</t>
  </si>
  <si>
    <t>007</t>
  </si>
  <si>
    <t>lgu-es-20-06-122</t>
  </si>
  <si>
    <t>GF 20029</t>
  </si>
  <si>
    <t>ITB - 03 JUNE 2020</t>
  </si>
  <si>
    <t>LGU - Quirino INFRA 2020 - 008</t>
  </si>
  <si>
    <t>ITB - 02 JUNE 2020</t>
  </si>
  <si>
    <t>MP-061820-051</t>
  </si>
  <si>
    <t>LGU - Quirino INFRA 2020 - 007</t>
  </si>
  <si>
    <t>BOD20-100</t>
  </si>
  <si>
    <t>tejero 2020-03</t>
  </si>
  <si>
    <t>20047</t>
  </si>
  <si>
    <t>013</t>
  </si>
  <si>
    <t>2020-03-0846 &amp; 2020-02-0665</t>
  </si>
  <si>
    <t>20100</t>
  </si>
  <si>
    <t>16</t>
  </si>
  <si>
    <t>LGUPROC 2020 -109B</t>
  </si>
  <si>
    <t>LGUPROC 2020 -108B</t>
  </si>
  <si>
    <t>BOD20-098</t>
  </si>
  <si>
    <t>PB-0620-42</t>
  </si>
  <si>
    <t>TUPC-20-27</t>
  </si>
  <si>
    <t>20NH0091</t>
  </si>
  <si>
    <t>ITB - 05 JUNE 2020</t>
  </si>
  <si>
    <t>2020-06-01I</t>
  </si>
  <si>
    <t>GF 20005</t>
  </si>
  <si>
    <t>014</t>
  </si>
  <si>
    <t>100-9919-20-339</t>
  </si>
  <si>
    <t>20088</t>
  </si>
  <si>
    <t>MP-061820-052</t>
  </si>
  <si>
    <t>20CSCE003</t>
  </si>
  <si>
    <t>MO-003-06-2020</t>
  </si>
  <si>
    <t>SEF 20005</t>
  </si>
  <si>
    <t>RFQ 2020 - 002</t>
  </si>
  <si>
    <t>20-013</t>
  </si>
  <si>
    <t>2002-19-32</t>
  </si>
  <si>
    <t>17086</t>
  </si>
  <si>
    <t>OUS2020-05-050C</t>
  </si>
  <si>
    <t>R20-109</t>
  </si>
  <si>
    <t>Grants 20-05-23</t>
  </si>
  <si>
    <t>18</t>
  </si>
  <si>
    <t>17</t>
  </si>
  <si>
    <t>20075</t>
  </si>
  <si>
    <t>ITB 2020-01</t>
  </si>
  <si>
    <t>PB-0620-32</t>
  </si>
  <si>
    <t>PR20-05-033</t>
  </si>
  <si>
    <t>CYN-BAC-2020-39</t>
  </si>
  <si>
    <t>2020-11 (20DI0160)</t>
  </si>
  <si>
    <t>100(01)20-03-016(M)</t>
  </si>
  <si>
    <t>DM-BAC-2020-0036</t>
  </si>
  <si>
    <t>100(01)20-06-332(A)</t>
  </si>
  <si>
    <t>CN-2020-02-102</t>
  </si>
  <si>
    <t>100(18)20-06-344(O)</t>
  </si>
  <si>
    <t>IB No. 20-44</t>
  </si>
  <si>
    <t>20IL0195</t>
  </si>
  <si>
    <t>100(01)20-03-020(M)</t>
  </si>
  <si>
    <t>2020-03-161</t>
  </si>
  <si>
    <t>MO-004-06-2020</t>
  </si>
  <si>
    <t>2020-11 (20DI0161)</t>
  </si>
  <si>
    <t>2002-20-21-31-37</t>
  </si>
  <si>
    <t>100(18)20-06-345(O)</t>
  </si>
  <si>
    <t>PR0020-20 BMTAYA</t>
  </si>
  <si>
    <t>100(01)20-06-336(A)</t>
  </si>
  <si>
    <t>RFQ No. 20-0563 NP-SVP</t>
  </si>
  <si>
    <t>IB No. GS-2020 – 073</t>
  </si>
  <si>
    <t>22</t>
  </si>
  <si>
    <t>017</t>
  </si>
  <si>
    <t>IB No. GS-2020 – 075</t>
  </si>
  <si>
    <t>IB No. 20-59</t>
  </si>
  <si>
    <t>CN-2020-03-023</t>
  </si>
  <si>
    <t>100(01)20-06-335(A)</t>
  </si>
  <si>
    <t>PB-0620-29</t>
  </si>
  <si>
    <t>2020-101-053</t>
  </si>
  <si>
    <t>2002-93</t>
  </si>
  <si>
    <t>2020-06-05 INFRA</t>
  </si>
  <si>
    <t>GEPS-G-004-2020</t>
  </si>
  <si>
    <t>06-61-2020</t>
  </si>
  <si>
    <t>AAE JUNE18-2020(1)</t>
  </si>
  <si>
    <t>100(01)20-06-344(A)</t>
  </si>
  <si>
    <t>2020-06-07 INFRA</t>
  </si>
  <si>
    <t>RFQ-PR NO. 2020-03-022</t>
  </si>
  <si>
    <t>MO-005-06-2020</t>
  </si>
  <si>
    <t>0011-2020</t>
  </si>
  <si>
    <t>019</t>
  </si>
  <si>
    <t>PIA-2020-025</t>
  </si>
  <si>
    <t>CN-2020-03-022</t>
  </si>
  <si>
    <t>2020-11 (20DI0164)</t>
  </si>
  <si>
    <t>2020-11 (20DI0165)</t>
  </si>
  <si>
    <t>100(01)20-06-343(A)</t>
  </si>
  <si>
    <t>100(01)20-06-337(A)</t>
  </si>
  <si>
    <t>2020-11 (20DI0163)</t>
  </si>
  <si>
    <t>018</t>
  </si>
  <si>
    <t>2020-154</t>
  </si>
  <si>
    <t>194</t>
  </si>
  <si>
    <t>100(01)20-06-334(A)</t>
  </si>
  <si>
    <t>2020-11 (20DI0162)</t>
  </si>
  <si>
    <t xml:space="preserve">PETAL 06-2020 - construction of concrete fence at </t>
  </si>
  <si>
    <t>PR0098-20 PGO</t>
  </si>
  <si>
    <t>2020-06-06 INFRA</t>
  </si>
  <si>
    <t>20050</t>
  </si>
  <si>
    <t>BOD20-103</t>
  </si>
  <si>
    <t>100(01)20-06-333(A)</t>
  </si>
  <si>
    <t>Bid No. 20-0287</t>
  </si>
  <si>
    <t>CN-2020-03-021</t>
  </si>
  <si>
    <t>GOODS#0122, ITB#0124,  PR#0328: SCG-2020</t>
  </si>
  <si>
    <t>20IL0196</t>
  </si>
  <si>
    <t>25</t>
  </si>
  <si>
    <t>BOD20-101</t>
  </si>
  <si>
    <t>100(18)20-06-346(O)</t>
  </si>
  <si>
    <t>20AG0121</t>
  </si>
  <si>
    <t>Bid No. 20-0289</t>
  </si>
  <si>
    <t>200-2020-Infra-004</t>
  </si>
  <si>
    <t>CN-2020-03-019</t>
  </si>
  <si>
    <t>2020-06-08 INFRA</t>
  </si>
  <si>
    <t>100(01)20-06-352(O)</t>
  </si>
  <si>
    <t>ITB-2020-012</t>
  </si>
  <si>
    <t>2020-155</t>
  </si>
  <si>
    <t>RFQ-DARFO12-2020-0535</t>
  </si>
  <si>
    <t>IB No. GS-2020 – 074</t>
  </si>
  <si>
    <t>GOODS#0123, ITB#0125,  PR#0330: SCG-2020</t>
  </si>
  <si>
    <t>2020-06-09 INFRA</t>
  </si>
  <si>
    <t>PB GOODS 2020-05</t>
  </si>
  <si>
    <t>Infra-2020-P11-07-09</t>
  </si>
  <si>
    <t>8751-0220-179</t>
  </si>
  <si>
    <t>20AG0122</t>
  </si>
  <si>
    <t>LGUPROC 2020 -111B</t>
  </si>
  <si>
    <t>2020-06-11 INFRA</t>
  </si>
  <si>
    <t>MMO-2020-06-18-001</t>
  </si>
  <si>
    <t>RFQ-PR NO. 2020-06-060</t>
  </si>
  <si>
    <t>2020-665</t>
  </si>
  <si>
    <t>RFQ-PR NO. 2020-06-061</t>
  </si>
  <si>
    <t>Bid No. 20-0291</t>
  </si>
  <si>
    <t>Bid No. 20-0290</t>
  </si>
  <si>
    <t>nlontoc-RFQ-G069-2020</t>
  </si>
  <si>
    <t>RFQ-PR NO. 2020-05-057</t>
  </si>
  <si>
    <t>LTFRB-006-018</t>
  </si>
  <si>
    <t>RFQ-DARFO12-2020-0539</t>
  </si>
  <si>
    <t>20KK0126</t>
  </si>
  <si>
    <t>6-20-41</t>
  </si>
  <si>
    <t>LGUPROC 2020 111B</t>
  </si>
  <si>
    <t>73-2020</t>
  </si>
  <si>
    <t>NIAACIMO-RRENIS-MAMBUSAO-GS08-20</t>
  </si>
  <si>
    <t>PB20-06-001BAC</t>
  </si>
  <si>
    <t>RFQ-PR. NO. 06-062</t>
  </si>
  <si>
    <t>RFQ-DARFO12-2020-0538</t>
  </si>
  <si>
    <t>2020-06-12 INFRA</t>
  </si>
  <si>
    <t>Bid No. 20-0292</t>
  </si>
  <si>
    <t>LGUPROC 2020 112B</t>
  </si>
  <si>
    <t>LTFRB-006-017</t>
  </si>
  <si>
    <t>NIAACIMO-SIP-TINA II-GS07-20</t>
  </si>
  <si>
    <t>Goods2019</t>
  </si>
  <si>
    <t>RFQ-DARFO12-2020-0541</t>
  </si>
  <si>
    <t>ITB 2020-06-001</t>
  </si>
  <si>
    <t>B-ITB No. 44-G-2020</t>
  </si>
  <si>
    <t>CW2020-12</t>
  </si>
  <si>
    <t>Bid No. 20-0293</t>
  </si>
  <si>
    <t>2020-100</t>
  </si>
  <si>
    <t>L1-2020-003</t>
  </si>
  <si>
    <t>Bid No. 20-0295</t>
  </si>
  <si>
    <t>RFQ-DARFO12-2020-0536</t>
  </si>
  <si>
    <t>PB-0620-38</t>
  </si>
  <si>
    <t>RFQ-DARFO12-2020-0540</t>
  </si>
  <si>
    <t>S5-20-0234</t>
  </si>
  <si>
    <t>RFQ-PR NO. 2020-06-063</t>
  </si>
  <si>
    <t>06-62-2020</t>
  </si>
  <si>
    <t>RP-30-2020</t>
  </si>
  <si>
    <t>RFQ-PR NO. 2020-06-064</t>
  </si>
  <si>
    <t>20AG0124</t>
  </si>
  <si>
    <t>8751-0220-121</t>
  </si>
  <si>
    <t>LGUPROC 2020 -113B</t>
  </si>
  <si>
    <t>RFQ-DARFO12-2020-0542</t>
  </si>
  <si>
    <t>PB20-06-002BAC</t>
  </si>
  <si>
    <t>BOD20-105</t>
  </si>
  <si>
    <t>RFQ-2020-054</t>
  </si>
  <si>
    <t>2020-PR-78-CAR</t>
  </si>
  <si>
    <t>6-18-2020</t>
  </si>
  <si>
    <t>LGUPROC 2020 -115b</t>
  </si>
  <si>
    <t>RP-31-2020</t>
  </si>
  <si>
    <t>RFQ-DARFO12-2020-0543</t>
  </si>
  <si>
    <t>BAYLECON0620066</t>
  </si>
  <si>
    <t>Bid No. 20-0296</t>
  </si>
  <si>
    <t>BOD20-106</t>
  </si>
  <si>
    <t>RFQ No.038 -2020</t>
  </si>
  <si>
    <t>BAYLECON0620065</t>
  </si>
  <si>
    <t>06-2020-001</t>
  </si>
  <si>
    <t>LGUPROC 2020 114B</t>
  </si>
  <si>
    <t>MP-061820-053</t>
  </si>
  <si>
    <t>ITB 2020-02</t>
  </si>
  <si>
    <t>B20-05-012-INREMP</t>
  </si>
  <si>
    <t>NP-20-014</t>
  </si>
  <si>
    <t>20AG0123</t>
  </si>
  <si>
    <t>20KK0127</t>
  </si>
  <si>
    <t>Bid No. 20-0294</t>
  </si>
  <si>
    <t>tgs 11-20</t>
  </si>
  <si>
    <t>SN-001-06-2020</t>
  </si>
  <si>
    <t>RFQ-GS-20200616-01</t>
  </si>
  <si>
    <t>nlontoc-RFQ-G068-2020</t>
  </si>
  <si>
    <t>20KK0125</t>
  </si>
  <si>
    <t>RFQ-DARFO12-2020-0537</t>
  </si>
  <si>
    <t>BOD20-104</t>
  </si>
  <si>
    <t>RFQ-DARFO12-2020-0534</t>
  </si>
  <si>
    <t>PIN2020-079</t>
  </si>
  <si>
    <t>078 - 2020</t>
  </si>
  <si>
    <t>CN-2020-02-103</t>
  </si>
  <si>
    <t>2020-206</t>
  </si>
  <si>
    <t>2020-06-68</t>
  </si>
  <si>
    <t>PR # 300-2020-06-0004</t>
  </si>
  <si>
    <t>IB No. 20-62</t>
  </si>
  <si>
    <t>RFQ-PR NO. 2020-06-065</t>
  </si>
  <si>
    <t>Bid No. 20-0288</t>
  </si>
  <si>
    <t>06182020-A</t>
  </si>
  <si>
    <t>100(01)20-06-351(O)</t>
  </si>
  <si>
    <t>2020-06-10 INFRA</t>
  </si>
  <si>
    <t>PIA-2020-026</t>
  </si>
  <si>
    <t>tgs 13-20</t>
  </si>
  <si>
    <t>20053386</t>
  </si>
  <si>
    <t>B20-05-013-INREMP</t>
  </si>
  <si>
    <t>Bid No. 20-0298</t>
  </si>
  <si>
    <t>Bid No. 20-0286</t>
  </si>
  <si>
    <t>RFQ-DARFO12-2020-0544</t>
  </si>
  <si>
    <t>BOD20-027</t>
  </si>
  <si>
    <t>20-0051 (re-bid)</t>
  </si>
  <si>
    <t>Bid No. 20-0297</t>
  </si>
  <si>
    <t>202006116</t>
  </si>
  <si>
    <t>20-0048 (re-bid)</t>
  </si>
  <si>
    <t>CW 01-2020</t>
  </si>
  <si>
    <t>100(01)20-06-345(A)</t>
  </si>
  <si>
    <t>LGUPROC 2020 -116B</t>
  </si>
  <si>
    <t>2002-92</t>
  </si>
  <si>
    <t>CMO-CDRRMO(C)20-106(NP/SV)</t>
  </si>
  <si>
    <t>BOD20-102</t>
  </si>
  <si>
    <t>LGUPROC 2020 -110B</t>
  </si>
  <si>
    <t>SEF 20004</t>
  </si>
  <si>
    <t>Educational Materials &amp; Supplies for the Senior Hi</t>
  </si>
  <si>
    <t>BWD-RFQ-2020-08</t>
  </si>
  <si>
    <t>20048</t>
  </si>
  <si>
    <t>20049</t>
  </si>
  <si>
    <t>100(01)20-03-013(M)</t>
  </si>
  <si>
    <t>20121</t>
  </si>
  <si>
    <t>SEF 20001</t>
  </si>
  <si>
    <t>OUS2020-05-050B</t>
  </si>
  <si>
    <t>Bid No. 20-0301</t>
  </si>
  <si>
    <t>B-20-28</t>
  </si>
  <si>
    <t>2020-0149</t>
  </si>
  <si>
    <t>SV20-06-004BAC</t>
  </si>
  <si>
    <t>CN-2020-01-077</t>
  </si>
  <si>
    <t>Bid No. 20-0300</t>
  </si>
  <si>
    <t>RFQ-DARFO12-2020-0546</t>
  </si>
  <si>
    <t>B20-05-014-INREMP</t>
  </si>
  <si>
    <t>WWD2020-06-06</t>
  </si>
  <si>
    <t>RFQ-PR NO. 2020-06-066</t>
  </si>
  <si>
    <t>Bid No. 20-0299</t>
  </si>
  <si>
    <t>B20-05-011-INREMP</t>
  </si>
  <si>
    <t>0015-2020</t>
  </si>
  <si>
    <t>STCNHSSHS-2020-06-21</t>
  </si>
  <si>
    <t>Bid No. 20-0304</t>
  </si>
  <si>
    <t>MP-061820-054</t>
  </si>
  <si>
    <t>Q-096-20</t>
  </si>
  <si>
    <t>RFQ-PR  NO. 2020-06-067</t>
  </si>
  <si>
    <t>ITB 20-06-001</t>
  </si>
  <si>
    <t>1-0026-20</t>
  </si>
  <si>
    <t>5182020</t>
  </si>
  <si>
    <t>20-01</t>
  </si>
  <si>
    <t>36</t>
  </si>
  <si>
    <t>2020-06-21</t>
  </si>
  <si>
    <t>Bid No. 20-0303</t>
  </si>
  <si>
    <t>PB-CW-20-001</t>
  </si>
  <si>
    <t>PRDP-IR-R003-ZAM-019-000-000-2018</t>
  </si>
  <si>
    <t>RO6-2020-17</t>
  </si>
  <si>
    <t>06-2020-003</t>
  </si>
  <si>
    <t>RFQ-DARFO12-2020-0547</t>
  </si>
  <si>
    <t>Bid No. 20-0307</t>
  </si>
  <si>
    <t>SVP-32-2020</t>
  </si>
  <si>
    <t>SVP 2020-357</t>
  </si>
  <si>
    <t>2020-INFRA-237</t>
  </si>
  <si>
    <t>PB-0520-26</t>
  </si>
  <si>
    <t>06-2020-006</t>
  </si>
  <si>
    <t>BAYLECON0620068</t>
  </si>
  <si>
    <t>RFQ-DARFO12-2020-0551</t>
  </si>
  <si>
    <t>20NH0092</t>
  </si>
  <si>
    <t>PR NO. 2020060702</t>
  </si>
  <si>
    <t>PR# 020-0182</t>
  </si>
  <si>
    <t>20P00041</t>
  </si>
  <si>
    <t>STCNHSSHS-2020-06-22</t>
  </si>
  <si>
    <t>RFQ 2020-03-0288-B</t>
  </si>
  <si>
    <t>PB-0620-43</t>
  </si>
  <si>
    <t>MKWD2020-049</t>
  </si>
  <si>
    <t>RFQ-DARFO12-2020-0552</t>
  </si>
  <si>
    <t>RFQ-PR NO. 2020-06-068</t>
  </si>
  <si>
    <t>RFQ-DARFO12-2020-0549</t>
  </si>
  <si>
    <t>019-2020</t>
  </si>
  <si>
    <t>BLGU_PBD Salvacion 2020-22.1</t>
  </si>
  <si>
    <t>RQ 06-154</t>
  </si>
  <si>
    <t>Bid No. 20-0306</t>
  </si>
  <si>
    <t>RFQ-DARFO12-2020-0550</t>
  </si>
  <si>
    <t>PR No. 2020-6-1428</t>
  </si>
  <si>
    <t>PR NO. 2020060707</t>
  </si>
  <si>
    <t>06-2020-002</t>
  </si>
  <si>
    <t>20-198</t>
  </si>
  <si>
    <t>RFQ-2020-06-15-439</t>
  </si>
  <si>
    <t>PRN 2020-06-014</t>
  </si>
  <si>
    <t>Bid No. 20-0302</t>
  </si>
  <si>
    <t>37</t>
  </si>
  <si>
    <t>LGUPROC 2020 - 117B</t>
  </si>
  <si>
    <t>BAYLEGOOD0620067</t>
  </si>
  <si>
    <t>RFQ-04-2020</t>
  </si>
  <si>
    <t>RFQ-DARFO12-2020-0545</t>
  </si>
  <si>
    <t>Bid No. 20-0308</t>
  </si>
  <si>
    <t>20FJ0027</t>
  </si>
  <si>
    <t>Bid No. 20-0305</t>
  </si>
  <si>
    <t>RFQ-2020-06-15-440</t>
  </si>
  <si>
    <t>SVP-30-2020</t>
  </si>
  <si>
    <t>LGUPROC 2020 - 118B</t>
  </si>
  <si>
    <t>STCNHSSHS-2020-06-23</t>
  </si>
  <si>
    <t>G6-20-0496</t>
  </si>
  <si>
    <t>RFQ-PR NO. 2020-06-069</t>
  </si>
  <si>
    <t>itb20-06-026B</t>
  </si>
  <si>
    <t>MP-061820-056</t>
  </si>
  <si>
    <t>20-0618-041</t>
  </si>
  <si>
    <t>06-2020-007</t>
  </si>
  <si>
    <t>Bid No. 20-0309</t>
  </si>
  <si>
    <t>RFQ No. 2020-06-024</t>
  </si>
  <si>
    <t>Bid No. 20-0310</t>
  </si>
  <si>
    <t>ITB (CW-06-2020-019) 20DD0343</t>
  </si>
  <si>
    <t>RFQ No. 2020-06-026</t>
  </si>
  <si>
    <t>RFQ-DARFO12-2020-0554</t>
  </si>
  <si>
    <t>ITB (CW-06-2020-019) 20DD0342</t>
  </si>
  <si>
    <t>JO2020-05</t>
  </si>
  <si>
    <t>140 – 2020</t>
  </si>
  <si>
    <t>PR NO. 2020060705</t>
  </si>
  <si>
    <t>PR NO. 2020060706</t>
  </si>
  <si>
    <t>LGU-TAN-GOODS-2020-070</t>
  </si>
  <si>
    <t>ITB 20-140 R20-128</t>
  </si>
  <si>
    <t>20-06-18-A008</t>
  </si>
  <si>
    <t>06-2020-004</t>
  </si>
  <si>
    <t>06-2020-008</t>
  </si>
  <si>
    <t>IntBLGU201820%DFGoods-002</t>
  </si>
  <si>
    <t>75-2020</t>
  </si>
  <si>
    <t>ITB (CW-06-2020-019) 20DD0341</t>
  </si>
  <si>
    <t>RFQ No. 2020-06-025</t>
  </si>
  <si>
    <t>ITB (CW-06-2020-019) 20DD0339</t>
  </si>
  <si>
    <t>itb20-06-026A</t>
  </si>
  <si>
    <t>PB-2020-06-001</t>
  </si>
  <si>
    <t>8918-0320-245</t>
  </si>
  <si>
    <t>ITB (CW-06-2020-019) 20DD0340</t>
  </si>
  <si>
    <t>RFQ-DARFO12-2020-0555</t>
  </si>
  <si>
    <t>ITB (CW-06-2020-019) 20DD0346</t>
  </si>
  <si>
    <t>G-106-20</t>
  </si>
  <si>
    <t>ITB (CW-06-2020-019) 20DD0345</t>
  </si>
  <si>
    <t>SN-002-06-2020</t>
  </si>
  <si>
    <t>20GPI0005</t>
  </si>
  <si>
    <t>78-2020</t>
  </si>
  <si>
    <t>ITB (CW-06-2020-019) 20DD0347</t>
  </si>
  <si>
    <t>141 – 2020</t>
  </si>
  <si>
    <t>B20-05-015-INREMP</t>
  </si>
  <si>
    <t>N-06-001</t>
  </si>
  <si>
    <t>MP-061820-055</t>
  </si>
  <si>
    <t>PR NO. 2020060704</t>
  </si>
  <si>
    <t>20CSB005</t>
  </si>
  <si>
    <t>PR20-05-032</t>
  </si>
  <si>
    <t>BOD20-108</t>
  </si>
  <si>
    <t>PR NO. 2020060703</t>
  </si>
  <si>
    <t>20AJ0101</t>
  </si>
  <si>
    <t>LGUPROC 2020 -120B</t>
  </si>
  <si>
    <t>142 – 2020</t>
  </si>
  <si>
    <t>P11-20-0231</t>
  </si>
  <si>
    <t>PR20120-05</t>
  </si>
  <si>
    <t>PB-CW-20-002</t>
  </si>
  <si>
    <t>Project 02-2020</t>
  </si>
  <si>
    <t>ITB No. 2020 – 75</t>
  </si>
  <si>
    <t>0008-2020</t>
  </si>
  <si>
    <t>LGU-TAN-GOODS-2020-071</t>
  </si>
  <si>
    <t>LGUPROC 2020 -119B</t>
  </si>
  <si>
    <t>C10-20-0222</t>
  </si>
  <si>
    <t>BNLSL-LCB-04A-2019</t>
  </si>
  <si>
    <t>06-2020-009</t>
  </si>
  <si>
    <t>143 – 2020</t>
  </si>
  <si>
    <t>20AJ0102</t>
  </si>
  <si>
    <t>LGUPROC 2020 -122B</t>
  </si>
  <si>
    <t>ITB No. EMB-GOODS-NCB-2020-05-001</t>
  </si>
  <si>
    <t>NP-SVP-2020-0003</t>
  </si>
  <si>
    <t>MAFAR-06-89-2020</t>
  </si>
  <si>
    <t>LGUPROC 2020 -123B</t>
  </si>
  <si>
    <t>2LSSM2020B-182</t>
  </si>
  <si>
    <t>BNLSL-LCB-34-2020</t>
  </si>
  <si>
    <t>N-06-002</t>
  </si>
  <si>
    <t>06-2020-010</t>
  </si>
  <si>
    <t>20GDJ0008/N-2020-06-066</t>
  </si>
  <si>
    <t>OSS 20-030</t>
  </si>
  <si>
    <t>20AJ0104</t>
  </si>
  <si>
    <t>B20-05-009-INREMP</t>
  </si>
  <si>
    <t>PB-CW-20-003</t>
  </si>
  <si>
    <t>S5-20-1045</t>
  </si>
  <si>
    <t>20AJ0103</t>
  </si>
  <si>
    <t>SDO-RFQ20-033</t>
  </si>
  <si>
    <t>RO6-2020-21</t>
  </si>
  <si>
    <t>Goods EDF 10-2019</t>
  </si>
  <si>
    <t>LGUPROC 2020 -121B</t>
  </si>
  <si>
    <t>DA RFO-1-2019-INFRA-074</t>
  </si>
  <si>
    <t>20CB0072</t>
  </si>
  <si>
    <t>PB-CW-20-004</t>
  </si>
  <si>
    <t>NP-SVP-2020-0004</t>
  </si>
  <si>
    <t>CMO(PSD)-20-005(NP/SV)</t>
  </si>
  <si>
    <t>Brgy. Macayo - 2020 - 023</t>
  </si>
  <si>
    <t>CW 2020-06-013</t>
  </si>
  <si>
    <t>2LSSM2020C-184</t>
  </si>
  <si>
    <t>8751-0620-490</t>
  </si>
  <si>
    <t>401-20-06-453</t>
  </si>
  <si>
    <t>CMO-ALTF-20-002(NP/SV)</t>
  </si>
  <si>
    <t>2LSSM2020A-188</t>
  </si>
  <si>
    <t>100-20-06-041</t>
  </si>
  <si>
    <t>CYN-BAC-2020-40</t>
  </si>
  <si>
    <t>2020-03-0068</t>
  </si>
  <si>
    <t>20CB0071</t>
  </si>
  <si>
    <t>RFQ-DARFO12-2020-0556</t>
  </si>
  <si>
    <t>B20-05-010-INREMP</t>
  </si>
  <si>
    <t>Brgy. Bersamin - 2020 - 025</t>
  </si>
  <si>
    <t>Infra EDF 04-2020</t>
  </si>
  <si>
    <t>2LSSM2020A-187</t>
  </si>
  <si>
    <t>20CB0074</t>
  </si>
  <si>
    <t>CMO(RM-HE)-20-008(NP/SV)</t>
  </si>
  <si>
    <t>20GBC0007</t>
  </si>
  <si>
    <t>101-19-08-634</t>
  </si>
  <si>
    <t>KABANGBANG-2020-06-018</t>
  </si>
  <si>
    <t>001-06-18-2020</t>
  </si>
  <si>
    <t>MNE-2020-G-06-19</t>
  </si>
  <si>
    <t>B20-05-008-INREMP</t>
  </si>
  <si>
    <t>20GJF0100</t>
  </si>
  <si>
    <t>2020-02-152</t>
  </si>
  <si>
    <t>2LSSM2020A-191</t>
  </si>
  <si>
    <t>INFR-010-2020</t>
  </si>
  <si>
    <t>20081</t>
  </si>
  <si>
    <t>20GJF0099</t>
  </si>
  <si>
    <t>2LSSM2020A-190</t>
  </si>
  <si>
    <t>20082</t>
  </si>
  <si>
    <t>11128</t>
  </si>
  <si>
    <t>DA RFO-1-2019-INFRA-075</t>
  </si>
  <si>
    <t>2LSSM2020A-189</t>
  </si>
  <si>
    <t>Educational Materials &amp; Supplies for the Reproduct</t>
  </si>
  <si>
    <t>20GJF0097</t>
  </si>
  <si>
    <t>20CB0076</t>
  </si>
  <si>
    <t>2LSSM2020A-193</t>
  </si>
  <si>
    <t>06-2020</t>
  </si>
  <si>
    <t>2LSSM2020A-197</t>
  </si>
  <si>
    <t>Barangay San Vicente 2020-06-00</t>
  </si>
  <si>
    <t>2LSSM2020A-196</t>
  </si>
  <si>
    <t>barangay caranas 2020-01</t>
  </si>
  <si>
    <t>CawExt2020-002</t>
  </si>
  <si>
    <t>20CB0077</t>
  </si>
  <si>
    <t>2LSSM2020A-195</t>
  </si>
  <si>
    <t>20GJF0098</t>
  </si>
  <si>
    <t>RFQ NO. RBAC X-BUK-2020-018</t>
  </si>
  <si>
    <t>2LSSM2020A-194</t>
  </si>
  <si>
    <t>100-20-06-045</t>
  </si>
  <si>
    <t>CW 2020-06-014</t>
  </si>
  <si>
    <t>MAFAR-06-90-2020</t>
  </si>
  <si>
    <t>DA RFO-1-2019-INFRA-076</t>
  </si>
  <si>
    <t>DA RFO-1-2019-INFRA-077</t>
  </si>
  <si>
    <t>NP200618-EA034</t>
  </si>
  <si>
    <t>Goods 2020-057</t>
  </si>
  <si>
    <t>20CB0075</t>
  </si>
  <si>
    <t>2LSSM2020A-186</t>
  </si>
  <si>
    <t>20GGF0014</t>
  </si>
  <si>
    <t>2LSSM2020A-185</t>
  </si>
  <si>
    <t>20070</t>
  </si>
  <si>
    <t>2LSSM2020A-192</t>
  </si>
  <si>
    <t>SUGERY-2020-02-0003</t>
  </si>
  <si>
    <t>PB-2020-06-004</t>
  </si>
  <si>
    <t>20CB0073</t>
  </si>
  <si>
    <t>ITB-2020-089</t>
  </si>
  <si>
    <t>Brgy. Vacante - 2020  - 024</t>
  </si>
  <si>
    <t>101-20-06-431</t>
  </si>
  <si>
    <t>SAN JOSE 2020 - 01</t>
  </si>
  <si>
    <t>B-80-2020</t>
  </si>
  <si>
    <t>C10-20-1041</t>
  </si>
  <si>
    <t>20CSB004</t>
  </si>
  <si>
    <t>2LSSM2020A-199</t>
  </si>
  <si>
    <t>MNE-G-2020-06-19</t>
  </si>
  <si>
    <t>GF CY 2018-213A</t>
  </si>
  <si>
    <t>MALIMPIN 04-2020 - construction of mini-park phase</t>
  </si>
  <si>
    <t>2020-30-A</t>
  </si>
  <si>
    <t>2LSSM2020A-204</t>
  </si>
  <si>
    <t>8751-0220-190</t>
  </si>
  <si>
    <t>RO6-2020-20</t>
  </si>
  <si>
    <t>ITB 2020-110C</t>
  </si>
  <si>
    <t>concreting2020June-2</t>
  </si>
  <si>
    <t>20GOE0009</t>
  </si>
  <si>
    <t>MKWD2020-050</t>
  </si>
  <si>
    <t>ITB (CW-06-2020-019) 20DD0348</t>
  </si>
  <si>
    <t>20GOE0008</t>
  </si>
  <si>
    <t>2LSSM2020A-202</t>
  </si>
  <si>
    <t>2LSSM2020A-201</t>
  </si>
  <si>
    <t>2020-SAAD-27</t>
  </si>
  <si>
    <t>2LSSM2020A-200</t>
  </si>
  <si>
    <t>2LSSM2020A-203</t>
  </si>
  <si>
    <t>ITB (CW-06-2020-019) 20DD0344</t>
  </si>
  <si>
    <t>2020-PBGOODS-06-009</t>
  </si>
  <si>
    <t>06-2020-011</t>
  </si>
  <si>
    <t>2020-06-005-01</t>
  </si>
  <si>
    <t>2LSSM2020A-198</t>
  </si>
  <si>
    <t>20CSB003</t>
  </si>
  <si>
    <t>20CB0078</t>
  </si>
  <si>
    <t>RFQ-DARFO12-2020-0553</t>
  </si>
  <si>
    <t>20NC0129</t>
  </si>
  <si>
    <t>06-2020-013</t>
  </si>
  <si>
    <t>ITB 2020-068C</t>
  </si>
  <si>
    <t>2LSSM2020A-208</t>
  </si>
  <si>
    <t>20NC0130</t>
  </si>
  <si>
    <t>20GOE0012</t>
  </si>
  <si>
    <t>20FJ0028</t>
  </si>
  <si>
    <t>2LSSM2020A-209</t>
  </si>
  <si>
    <t>20NC0128</t>
  </si>
  <si>
    <t>2LSSM2020A-206</t>
  </si>
  <si>
    <t>06182020-C</t>
  </si>
  <si>
    <t>06182020-B</t>
  </si>
  <si>
    <t>06-2020-012</t>
  </si>
  <si>
    <t>20GOE0011</t>
  </si>
  <si>
    <t>ITB (CW-06-2020-019) 20DD0263 (Re-Advertised)</t>
  </si>
  <si>
    <t>Barangay San Vicente 2020-06-02</t>
  </si>
  <si>
    <t>SVP-29-2020</t>
  </si>
  <si>
    <t>LGU - Quirino INFRA 2020 - 009</t>
  </si>
  <si>
    <t>BOD20-099</t>
  </si>
  <si>
    <t>20GOE0010</t>
  </si>
  <si>
    <t>8918-0320-244</t>
  </si>
  <si>
    <t>2LSSM2020A-205</t>
  </si>
  <si>
    <t>2LSSM2020A-207</t>
  </si>
  <si>
    <t>BAC PB 2019 - 26</t>
  </si>
  <si>
    <t>ITB 2020-081C</t>
  </si>
  <si>
    <t>2020-05-087</t>
  </si>
  <si>
    <t>DSWD 4B 2020-02-0317</t>
  </si>
  <si>
    <t>SAN JOSE 2020 - 03</t>
  </si>
  <si>
    <t>7999-0520-415</t>
  </si>
  <si>
    <t>2LSSM2020A-211</t>
  </si>
  <si>
    <t>SAN JOSE 2020 - 02</t>
  </si>
  <si>
    <t>PR NO. 2020-157 RICE BRAN AND SOYA</t>
  </si>
  <si>
    <t>RVII-PCBU-2020-06-002</t>
  </si>
  <si>
    <t>RO6-2020-28</t>
  </si>
  <si>
    <t>2LSSM2020B-183</t>
  </si>
  <si>
    <t>CW20-06-037</t>
  </si>
  <si>
    <t>CW20-06-036</t>
  </si>
  <si>
    <t>PR NO. 2020-208 CONSTRUCTION OF UNIT 500 M2 NURSER</t>
  </si>
  <si>
    <t>AB 2020-04</t>
  </si>
  <si>
    <t>7999-0520-431</t>
  </si>
  <si>
    <t>RO6-2020-07</t>
  </si>
  <si>
    <t>2020-05-084</t>
  </si>
  <si>
    <t>RO6-2020-15</t>
  </si>
  <si>
    <t>AB 2020-02</t>
  </si>
  <si>
    <t>RO6-2020-18</t>
  </si>
  <si>
    <t>2020-06-119</t>
  </si>
  <si>
    <t>brgy.vigaan 2020-1</t>
  </si>
  <si>
    <t>brgy.vigaan 2020-2</t>
  </si>
  <si>
    <t>7611-1-0520-416</t>
  </si>
  <si>
    <t>cat2020-002</t>
  </si>
  <si>
    <t>202006269</t>
  </si>
  <si>
    <t>20206273</t>
  </si>
  <si>
    <t>BGY-816-20201</t>
  </si>
  <si>
    <t>20-174</t>
  </si>
  <si>
    <t>2020-06-117</t>
  </si>
  <si>
    <t>2020-06CW-023</t>
  </si>
  <si>
    <t>2020-05-085</t>
  </si>
  <si>
    <t>RO6-2020-05 &amp; 06</t>
  </si>
  <si>
    <t>2020-06-0077</t>
  </si>
  <si>
    <t>PB 2020-06-12</t>
  </si>
  <si>
    <t>2020-06GS-021</t>
  </si>
  <si>
    <t>GOODS PROC 009-2020</t>
  </si>
  <si>
    <t>2020-JUNE-011</t>
  </si>
  <si>
    <t>BrgyPresGarcia 2020 - 004</t>
  </si>
  <si>
    <t>IB-Goods-2020-10- Procurement of Medical Equipment</t>
  </si>
  <si>
    <t>2020-05-088</t>
  </si>
  <si>
    <t>2020-06CW-022</t>
  </si>
  <si>
    <t>BAC SVP 2020-44</t>
  </si>
  <si>
    <t>INFR-ITB NO. 011-2020</t>
  </si>
  <si>
    <t>CW20-06-038</t>
  </si>
  <si>
    <t>06-089-2020</t>
  </si>
  <si>
    <t>PB 2020-06-11</t>
  </si>
  <si>
    <t>87</t>
  </si>
  <si>
    <t>88</t>
  </si>
  <si>
    <t>20-315</t>
  </si>
  <si>
    <t>202003222</t>
  </si>
  <si>
    <t>20-176</t>
  </si>
  <si>
    <t>AB 2020-03</t>
  </si>
  <si>
    <t>202003223</t>
  </si>
  <si>
    <t>20-378</t>
  </si>
  <si>
    <t>UCT-2020-06-0194</t>
  </si>
  <si>
    <t>86</t>
  </si>
  <si>
    <t>412020A</t>
  </si>
  <si>
    <t>202003221</t>
  </si>
  <si>
    <t>20-415</t>
  </si>
  <si>
    <t>20GPF0012</t>
  </si>
  <si>
    <t>2020-TS-28</t>
  </si>
  <si>
    <t>402020A</t>
  </si>
  <si>
    <t>19CSZ014</t>
  </si>
  <si>
    <t>392020A</t>
  </si>
  <si>
    <t>20-381</t>
  </si>
  <si>
    <t>20-393</t>
  </si>
  <si>
    <t>20-177</t>
  </si>
  <si>
    <t>372020A</t>
  </si>
  <si>
    <t>20-399</t>
  </si>
  <si>
    <t>UCT-2020-06-0193</t>
  </si>
  <si>
    <t>20-175</t>
  </si>
  <si>
    <t>2020-06-019C</t>
  </si>
  <si>
    <t>CW 20-02</t>
  </si>
  <si>
    <t>CW   20-01</t>
  </si>
  <si>
    <t>2020-006-007</t>
  </si>
  <si>
    <t>ITB 2020-069C</t>
  </si>
  <si>
    <t>8918-0420-352</t>
  </si>
  <si>
    <t>382020A</t>
  </si>
  <si>
    <t>2020-006 -006</t>
  </si>
  <si>
    <t>2020-INFRA-239</t>
  </si>
  <si>
    <t>BRGY 005-2020</t>
  </si>
  <si>
    <t>2020-006-005</t>
  </si>
  <si>
    <t>89</t>
  </si>
  <si>
    <t>100-20-05-263</t>
  </si>
  <si>
    <t>20OH0049 Re-ads</t>
  </si>
  <si>
    <t>2020-INFRA-240</t>
  </si>
  <si>
    <t>2020-06 -04</t>
  </si>
  <si>
    <t>344</t>
  </si>
  <si>
    <t>CS20-0015</t>
  </si>
  <si>
    <t>100-20-06-394</t>
  </si>
  <si>
    <t>Comembo-2020-06-14</t>
  </si>
  <si>
    <t>331</t>
  </si>
  <si>
    <t>2020-I-081</t>
  </si>
  <si>
    <t>CS20-0014</t>
  </si>
  <si>
    <t>CS20-0013</t>
  </si>
  <si>
    <t>PR No. 2020-06-165</t>
  </si>
  <si>
    <t>20-03-251</t>
  </si>
  <si>
    <t>Comembo-2020-06-11</t>
  </si>
  <si>
    <t>2020-INFRA-242</t>
  </si>
  <si>
    <t>Comembo-2020-06-10</t>
  </si>
  <si>
    <t>CS20-0012</t>
  </si>
  <si>
    <t>Comembo-2020-06-08</t>
  </si>
  <si>
    <t>20-03-225</t>
  </si>
  <si>
    <t>Comembo-2020-06-13</t>
  </si>
  <si>
    <t>2020-INFRA-238</t>
  </si>
  <si>
    <t>CS20-0011</t>
  </si>
  <si>
    <t>20-380</t>
  </si>
  <si>
    <t>OPA-2019-1262</t>
  </si>
  <si>
    <t>202006262</t>
  </si>
  <si>
    <t>06182020-D</t>
  </si>
  <si>
    <t>2020 Caib 097</t>
  </si>
  <si>
    <t>2LSSM2020A-210</t>
  </si>
  <si>
    <t>20-03-219</t>
  </si>
  <si>
    <t>2020-090</t>
  </si>
  <si>
    <t>2020-TS-29</t>
  </si>
  <si>
    <t>202006261</t>
  </si>
  <si>
    <t>10-20</t>
  </si>
  <si>
    <t>2017-02</t>
  </si>
  <si>
    <t>2020-06-27</t>
  </si>
  <si>
    <t>InTB-PGAPEO2020CO-CW1</t>
  </si>
  <si>
    <t>InTB-PGA2020PGSO-GDS1</t>
  </si>
  <si>
    <t>CS20-0027</t>
  </si>
  <si>
    <t>Comembo-2020-06-20</t>
  </si>
  <si>
    <t>Comembo-2020-06-12</t>
  </si>
  <si>
    <t>CS20-0025</t>
  </si>
  <si>
    <t>CS20-0018</t>
  </si>
  <si>
    <t>Comembo-2020-06-19</t>
  </si>
  <si>
    <t>2020-INFRA-241</t>
  </si>
  <si>
    <t>CS20-0017</t>
  </si>
  <si>
    <t>Comembo-2020-06-17</t>
  </si>
  <si>
    <t>CS20-0016</t>
  </si>
  <si>
    <t>CS20-0026</t>
  </si>
  <si>
    <t>PEO-20-0343-B</t>
  </si>
  <si>
    <t>20CSCE004</t>
  </si>
  <si>
    <t>Comembo-2020-06-16</t>
  </si>
  <si>
    <t>CP 2020-40 B</t>
  </si>
  <si>
    <t>PEO-20-0341-B</t>
  </si>
  <si>
    <t>2020-630</t>
  </si>
  <si>
    <t>20054</t>
  </si>
  <si>
    <t>BTN-DVOOR-2020-15</t>
  </si>
  <si>
    <t>PEO-20-0344-B</t>
  </si>
  <si>
    <t>20-1359</t>
  </si>
  <si>
    <t>20-1360</t>
  </si>
  <si>
    <t>2020-18-06-29</t>
  </si>
  <si>
    <t>20-1372</t>
  </si>
  <si>
    <t>MDRRMO-114-20</t>
  </si>
  <si>
    <t>2020-05-267</t>
  </si>
  <si>
    <t>2020-01-003</t>
  </si>
  <si>
    <t>20-1365</t>
  </si>
  <si>
    <t>nlontoc-ITB058-2020</t>
  </si>
  <si>
    <t>Barangay Concepcion 2020-05-004</t>
  </si>
  <si>
    <t>20-1371</t>
  </si>
  <si>
    <t>nlontoc-ITB057-2020</t>
  </si>
  <si>
    <t>Comembo-2020-06-18</t>
  </si>
  <si>
    <t>bfp12-22-2020</t>
  </si>
  <si>
    <t>PB-I-2020-05-615</t>
  </si>
  <si>
    <t>bfp12-23-2020</t>
  </si>
  <si>
    <t>bfp12-21-2020</t>
  </si>
  <si>
    <t>GF 20036</t>
  </si>
  <si>
    <t>nlontoc-ITB059-2020</t>
  </si>
  <si>
    <t>ITB No. 079-Infra-2020</t>
  </si>
  <si>
    <t>2020-05-265</t>
  </si>
  <si>
    <t>R6-D2-2020QRF-01B-SR</t>
  </si>
  <si>
    <t>R6-D2-2020QRF-01A-SR</t>
  </si>
  <si>
    <t>06202006</t>
  </si>
  <si>
    <t>LSPU SPCC GATE PHASE IV</t>
  </si>
  <si>
    <t>06202005</t>
  </si>
  <si>
    <t>ITB No. 076-Goods-2020</t>
  </si>
  <si>
    <t>ITB No. 077-Goods-2020</t>
  </si>
  <si>
    <t>TINAPIAN 2020-001</t>
  </si>
  <si>
    <t>2020-05-275</t>
  </si>
  <si>
    <t>ITB-2020-06-002</t>
  </si>
  <si>
    <t>ITB-GS-20200408-01</t>
  </si>
  <si>
    <t>2020-05-243</t>
  </si>
  <si>
    <t>ITB No. 078-Infra-2020</t>
  </si>
  <si>
    <t>R6-D2-2020QRF-01I-SR</t>
  </si>
  <si>
    <t>2020-05-279</t>
  </si>
  <si>
    <t>2020-05-263</t>
  </si>
  <si>
    <t>R6-D2-2020QRF-01E-SR</t>
  </si>
  <si>
    <t>ITB-GS-20200227-02</t>
  </si>
  <si>
    <t>R6-D2-2020QRF-01D-SR</t>
  </si>
  <si>
    <t>100-20-05-0554</t>
  </si>
  <si>
    <t>2020-RFQ-032</t>
  </si>
  <si>
    <t>06202004</t>
  </si>
  <si>
    <t>100-20-06-0588</t>
  </si>
  <si>
    <t>R6-D2-2020QRF-01F-SR</t>
  </si>
  <si>
    <t>DA7-07-2020-SAAD-20-2039</t>
  </si>
  <si>
    <t>DA7-7-2020-FOD-R-20-2346</t>
  </si>
  <si>
    <t>PB-INFRA-05-2020</t>
  </si>
  <si>
    <t>R6-D2-2020QRF-01G-SR</t>
  </si>
  <si>
    <t>R6-D2-2020QRF-01C-SR</t>
  </si>
  <si>
    <t>ITB-GS-20200609-01</t>
  </si>
  <si>
    <t>ITB-GS-20200604-01</t>
  </si>
  <si>
    <t>PB-CW-2020-06-19</t>
  </si>
  <si>
    <t>SanJoseBatsAeb2020-086</t>
  </si>
  <si>
    <t>nlontoc-ITB060-2020</t>
  </si>
  <si>
    <t>SanJoseBatsAeb2020-071</t>
  </si>
  <si>
    <t>300-20-05-0509</t>
  </si>
  <si>
    <t>2020-GOODS-005R-02-0618Rep</t>
  </si>
  <si>
    <t>100-20-06-0567-A</t>
  </si>
  <si>
    <t>bacgal-53-2020</t>
  </si>
  <si>
    <t>ITB No. 075-Brgy-2020</t>
  </si>
  <si>
    <t>MSBAC 2020 - 01 - 011</t>
  </si>
  <si>
    <t>MSBAC 2020-01-012</t>
  </si>
  <si>
    <t>100-20-06-0599</t>
  </si>
  <si>
    <t>CA100-2020-05-004</t>
  </si>
  <si>
    <t>2020-06-091</t>
  </si>
  <si>
    <t>2020-I-065</t>
  </si>
  <si>
    <t>2020-I-064</t>
  </si>
  <si>
    <t>CDH-19-1151-B (Re-Bid)</t>
  </si>
  <si>
    <t>100-20-06-0601</t>
  </si>
  <si>
    <t>100-20-06-0560</t>
  </si>
  <si>
    <t>SanJoseBatsAeb2020-087</t>
  </si>
  <si>
    <t>20DP0075</t>
  </si>
  <si>
    <t>CDH-19-1003-B (Re-Bid)</t>
  </si>
  <si>
    <t>R6-D2-2020QRF-01H-SR</t>
  </si>
  <si>
    <t>CDH-19-1112-B (Re-Bid)</t>
  </si>
  <si>
    <t>20DP0073</t>
  </si>
  <si>
    <t>20AI0170</t>
  </si>
  <si>
    <t>030 20-1117</t>
  </si>
  <si>
    <t>CDH-19-1114-B (Re-Bid)</t>
  </si>
  <si>
    <t>20DP0076</t>
  </si>
  <si>
    <t>20DP0074</t>
  </si>
  <si>
    <t>100-1011-2020-05-569</t>
  </si>
  <si>
    <t>20DP0077</t>
  </si>
  <si>
    <t>PR N0. 20-06-007</t>
  </si>
  <si>
    <t>2020-022 CLA</t>
  </si>
  <si>
    <t>INFRA 2020-06-17</t>
  </si>
  <si>
    <t>GEPS-2020-0617</t>
  </si>
  <si>
    <t>2020-153</t>
  </si>
  <si>
    <t>2020-152</t>
  </si>
  <si>
    <t>2020-NPSV-08</t>
  </si>
  <si>
    <t>HRAD 20-002</t>
  </si>
  <si>
    <t>PR N0. 20-06-006</t>
  </si>
  <si>
    <t>2020-05-620</t>
  </si>
  <si>
    <t>DA7-7-2020-FOD-R-20-0232</t>
  </si>
  <si>
    <t>2003092</t>
  </si>
  <si>
    <t>01-2020cala</t>
  </si>
  <si>
    <t>ITB # 20ODGS-0001</t>
  </si>
  <si>
    <t>CDH-18-2436-B (Re-Bid)</t>
  </si>
  <si>
    <t>100-1011-2020-05-567</t>
  </si>
  <si>
    <t>SKCEMBO2020-01</t>
  </si>
  <si>
    <t>2020061601</t>
  </si>
  <si>
    <t>GS-PNBAC2-2020-23</t>
  </si>
  <si>
    <t>2020-06-092</t>
  </si>
  <si>
    <t>100-1011-2020-05-564</t>
  </si>
  <si>
    <t>Infra 2020-004</t>
  </si>
  <si>
    <t>PB20-06-003ILO</t>
  </si>
  <si>
    <t>20-03-0148</t>
  </si>
  <si>
    <t>100-1011-2020-05-565</t>
  </si>
  <si>
    <t>GFP100-2020-06-047</t>
  </si>
  <si>
    <t>GS-PNBAC2-2020-20</t>
  </si>
  <si>
    <t>20GKJ0004</t>
  </si>
  <si>
    <t>DA7-2020-06-ILD-20-2344</t>
  </si>
  <si>
    <t>20KJ0179</t>
  </si>
  <si>
    <t>GS-PNBAC2-2020-29</t>
  </si>
  <si>
    <t>2020-SVP-06-015</t>
  </si>
  <si>
    <t>20KJ0151</t>
  </si>
  <si>
    <t>SN20-07-001</t>
  </si>
  <si>
    <t>NS-06-17-20-06</t>
  </si>
  <si>
    <t>PR # 100-2020-05-0025</t>
  </si>
  <si>
    <t>0033-05-2020-B</t>
  </si>
  <si>
    <t>20KJ0180</t>
  </si>
  <si>
    <t>GS-PNBAC2-2020-30</t>
  </si>
  <si>
    <t>100-20-06-0552</t>
  </si>
  <si>
    <t>20-02-278</t>
  </si>
  <si>
    <t>GS-PNBAC2-2020-21</t>
  </si>
  <si>
    <t>SanJoseBatsAeb2020-088</t>
  </si>
  <si>
    <t>IB No. 20-27</t>
  </si>
  <si>
    <t>INF-ITB 20-031</t>
  </si>
  <si>
    <t>2020 - B4- Project A - Various Hospital and Medica</t>
  </si>
  <si>
    <t>IB No. 20-46</t>
  </si>
  <si>
    <t>O-020-010</t>
  </si>
  <si>
    <t>2020-06--005</t>
  </si>
  <si>
    <t>20-03-0121</t>
  </si>
  <si>
    <t>20FM0050</t>
  </si>
  <si>
    <t>SN20-07-06</t>
  </si>
  <si>
    <t>20FM0049</t>
  </si>
  <si>
    <t>PR #2020-0091 "PURCHASE OF COMMON OFFICE SUPPLIES</t>
  </si>
  <si>
    <t>RFQ-2020-06-0044</t>
  </si>
  <si>
    <t>NS-06-17-20-07</t>
  </si>
  <si>
    <t>NS-06-17-20-08-R2</t>
  </si>
  <si>
    <t>RFQ-2020-06-0043</t>
  </si>
  <si>
    <t>020-G006</t>
  </si>
  <si>
    <t>01-2020-05-050</t>
  </si>
  <si>
    <t>B-84-2020</t>
  </si>
  <si>
    <t>100-20-06-001</t>
  </si>
  <si>
    <t>INF-ITB 20-032</t>
  </si>
  <si>
    <t>B-85-2020</t>
  </si>
  <si>
    <t>2020 - B4 -  Project C - Various Hospital and Medi</t>
  </si>
  <si>
    <t>06172020A</t>
  </si>
  <si>
    <t>RFQ-2020-06-0042</t>
  </si>
  <si>
    <t>B-83-2020</t>
  </si>
  <si>
    <t>MG-PLM20-104</t>
  </si>
  <si>
    <t>NS-06-17-20-05</t>
  </si>
  <si>
    <t>100(01)20-06-336(O)</t>
  </si>
  <si>
    <t>06-17-2020</t>
  </si>
  <si>
    <t>2020-PBG-02</t>
  </si>
  <si>
    <t>ITB-012-2020</t>
  </si>
  <si>
    <t>2020-06-067</t>
  </si>
  <si>
    <t>100(01)20-06-027(AA)</t>
  </si>
  <si>
    <t>RFQ-2020-06-0047</t>
  </si>
  <si>
    <t>RFQ-2020-06-0046</t>
  </si>
  <si>
    <t>2020 - B4- Project B - Various Hospital and Medica</t>
  </si>
  <si>
    <t>IB No. 20-24</t>
  </si>
  <si>
    <t>0011-20 INFRA</t>
  </si>
  <si>
    <t>2020- B4 - Project D - Various Hospital and Medica</t>
  </si>
  <si>
    <t>O-020-009</t>
  </si>
  <si>
    <t>2020-098</t>
  </si>
  <si>
    <t>IB No. 20-38</t>
  </si>
  <si>
    <t>20-03-0163</t>
  </si>
  <si>
    <t>0042-05-2020-B</t>
  </si>
  <si>
    <t>Mkna-GSO-20-272</t>
  </si>
  <si>
    <t>PB-ALBAYINFRA-20-04</t>
  </si>
  <si>
    <t>20FM0051</t>
  </si>
  <si>
    <t>Owak2020Goods001</t>
  </si>
  <si>
    <t>IB No. 20-10</t>
  </si>
  <si>
    <t>PR # 100-2020-05-0026</t>
  </si>
  <si>
    <t>20-06-641</t>
  </si>
  <si>
    <t>Infra-02</t>
  </si>
  <si>
    <t>NS-06-17-20-10</t>
  </si>
  <si>
    <t>2020-PBG-03</t>
  </si>
  <si>
    <t>SVP No. 2020-0003</t>
  </si>
  <si>
    <t>PB-GS-2020-007</t>
  </si>
  <si>
    <t>20-04-578</t>
  </si>
  <si>
    <t>PB-2020-CW-002</t>
  </si>
  <si>
    <t>IB No. 20-36</t>
  </si>
  <si>
    <t>RFQ No. 2020-SVP-37</t>
  </si>
  <si>
    <t>MZSP-2020-43</t>
  </si>
  <si>
    <t>20BK0146</t>
  </si>
  <si>
    <t>PB-2020-03</t>
  </si>
  <si>
    <t>Mkna-GSO-20-273</t>
  </si>
  <si>
    <t>20BK0145</t>
  </si>
  <si>
    <t>ECA-20-06-0451/20-06-0453/20-06-0454</t>
  </si>
  <si>
    <t>20BK0144</t>
  </si>
  <si>
    <t>GOODS2020-006</t>
  </si>
  <si>
    <t>2020-06-Lamesa</t>
  </si>
  <si>
    <t>SV20-06-003BAC</t>
  </si>
  <si>
    <t>LOS-BANOS-20-32</t>
  </si>
  <si>
    <t>GD-PB-2020-06-0232</t>
  </si>
  <si>
    <t>2020 - 08</t>
  </si>
  <si>
    <t>PB2020-47</t>
  </si>
  <si>
    <t>2020 Caib 094</t>
  </si>
  <si>
    <t>PB2020-48</t>
  </si>
  <si>
    <t>06172020B</t>
  </si>
  <si>
    <t>2020-0470</t>
  </si>
  <si>
    <t>RFQ-2020-06-0045</t>
  </si>
  <si>
    <t>GD-PB-2020-06-0231</t>
  </si>
  <si>
    <t>0008-06-2020-A</t>
  </si>
  <si>
    <t>MMO-2020-06-17-003</t>
  </si>
  <si>
    <t>LOS BANOS-20-34</t>
  </si>
  <si>
    <t>CHMSC 20-019-0617-I</t>
  </si>
  <si>
    <t>211435</t>
  </si>
  <si>
    <t>2020-06-31</t>
  </si>
  <si>
    <t>2020-201</t>
  </si>
  <si>
    <t>211434</t>
  </si>
  <si>
    <t>2020 INFRA 014</t>
  </si>
  <si>
    <t>06172020C</t>
  </si>
  <si>
    <t>MMO-2019-06-10-002</t>
  </si>
  <si>
    <t>LOS BANOS-20-33</t>
  </si>
  <si>
    <t>RFQ No. 2020-SVP-020</t>
  </si>
  <si>
    <t>2020-06-0621 TDG</t>
  </si>
  <si>
    <t>GD-PB-2020-01-0001</t>
  </si>
  <si>
    <t>2020-06-0623 TDG</t>
  </si>
  <si>
    <t>2020-06-0624 TDG</t>
  </si>
  <si>
    <t>211437</t>
  </si>
  <si>
    <t>2001-S1C01</t>
  </si>
  <si>
    <t>PGC-20200617-1</t>
  </si>
  <si>
    <t>2020-06-0625 TDG</t>
  </si>
  <si>
    <t>IB No. 20-29</t>
  </si>
  <si>
    <t>PB-2020-GDS-025</t>
  </si>
  <si>
    <t>100-202003-00535</t>
  </si>
  <si>
    <t>20200528</t>
  </si>
  <si>
    <t>CHMSC 20-020-0617-I</t>
  </si>
  <si>
    <t>100-202003-00560</t>
  </si>
  <si>
    <t>S3-PDM20-007 (NP-2)</t>
  </si>
  <si>
    <t>211438</t>
  </si>
  <si>
    <t>2020-0617-1G</t>
  </si>
  <si>
    <t>PGL 20-078</t>
  </si>
  <si>
    <t>6-17-2020-1</t>
  </si>
  <si>
    <t>2020 Caib 095</t>
  </si>
  <si>
    <t>2020-204</t>
  </si>
  <si>
    <t>211436</t>
  </si>
  <si>
    <t>RFQ 2020-06-13</t>
  </si>
  <si>
    <t>2020-06-322</t>
  </si>
  <si>
    <t>6-17-2020-2</t>
  </si>
  <si>
    <t>2020-06-326</t>
  </si>
  <si>
    <t>PB-CW-2020-06-20</t>
  </si>
  <si>
    <t>INF-ITB 20-034</t>
  </si>
  <si>
    <t>INF-ITB 20-033</t>
  </si>
  <si>
    <t>Aklan BAC ITB 356 Series of 2020</t>
  </si>
  <si>
    <t>PR # 2020-02-0115 "Purchase and Installation of Co</t>
  </si>
  <si>
    <t>B-033-2020</t>
  </si>
  <si>
    <t>INFRA 2020-01-001</t>
  </si>
  <si>
    <t>100-202002-00426</t>
  </si>
  <si>
    <t>6-S-20</t>
  </si>
  <si>
    <t>S3-LGY20-005 (NP-1)</t>
  </si>
  <si>
    <t>00125</t>
  </si>
  <si>
    <t>2020-205</t>
  </si>
  <si>
    <t>PR# 020-0173</t>
  </si>
  <si>
    <t>20PJ0052</t>
  </si>
  <si>
    <t>RFQ No. 2020-SVP-025</t>
  </si>
  <si>
    <t>2020-05-304</t>
  </si>
  <si>
    <t>587-20</t>
  </si>
  <si>
    <t>DFPURCH2020-056</t>
  </si>
  <si>
    <t>060-2020-2nd p</t>
  </si>
  <si>
    <t>00105</t>
  </si>
  <si>
    <t>2020-202</t>
  </si>
  <si>
    <t>2020-05-0209</t>
  </si>
  <si>
    <t>B-034-2020</t>
  </si>
  <si>
    <t>REC-2020-16</t>
  </si>
  <si>
    <t>10/030-018</t>
  </si>
  <si>
    <t>REC-2020-15</t>
  </si>
  <si>
    <t>2020-203</t>
  </si>
  <si>
    <t>IB No. 20-37</t>
  </si>
  <si>
    <t>107</t>
  </si>
  <si>
    <t>INF-ITB 20-035</t>
  </si>
  <si>
    <t>062-2020-2nd p</t>
  </si>
  <si>
    <t>goods 157-2020</t>
  </si>
  <si>
    <t>SMV JUNE 2020-001</t>
  </si>
  <si>
    <t>52213285</t>
  </si>
  <si>
    <t>RB-ITB No. 26-G-2020</t>
  </si>
  <si>
    <t>BM07013</t>
  </si>
  <si>
    <t>GOODS-20-31</t>
  </si>
  <si>
    <t>01401</t>
  </si>
  <si>
    <t>5477841</t>
  </si>
  <si>
    <t>RB-ITB No. 25-G-2020</t>
  </si>
  <si>
    <t>20CRN007</t>
  </si>
  <si>
    <t>BLGU Andap 2020-06-042</t>
  </si>
  <si>
    <t>IB No. 20-58</t>
  </si>
  <si>
    <t>PB2020-49</t>
  </si>
  <si>
    <t>100-2003-295</t>
  </si>
  <si>
    <t>REC-2020-19</t>
  </si>
  <si>
    <t>OGDS 06-17-20</t>
  </si>
  <si>
    <t>REC-2020-17</t>
  </si>
  <si>
    <t>REC-2020-18</t>
  </si>
  <si>
    <t>2020-116</t>
  </si>
  <si>
    <t>061-2020-2nd p</t>
  </si>
  <si>
    <t>100-2003-292</t>
  </si>
  <si>
    <t>GD-PB-2020-06-0233</t>
  </si>
  <si>
    <t>MMO-2020-06-17-001</t>
  </si>
  <si>
    <t>PB GOODS 2020-04</t>
  </si>
  <si>
    <t>059-2020-2nd</t>
  </si>
  <si>
    <t>100-1011-2020-05-571</t>
  </si>
  <si>
    <t>PB-INF-005-2020</t>
  </si>
  <si>
    <t>F-028-0393-20</t>
  </si>
  <si>
    <t>2020-200</t>
  </si>
  <si>
    <t>NFA-RO1-RBAC-2020-06-017</t>
  </si>
  <si>
    <t>IB No. 20-16</t>
  </si>
  <si>
    <t>PR #2019-12-0051 "Purchase of Construction and Ele</t>
  </si>
  <si>
    <t>ITB-20-0519-145</t>
  </si>
  <si>
    <t>2017-12M01-02</t>
  </si>
  <si>
    <t>LOS-BANOS-20-31</t>
  </si>
  <si>
    <t>211433</t>
  </si>
  <si>
    <t>RFQ-2020-06-0048</t>
  </si>
  <si>
    <t>NS-06-17-20-09</t>
  </si>
  <si>
    <t>IB No. 20-32</t>
  </si>
  <si>
    <t xml:space="preserve">IB 2020-07-08(06) Goods Cat II Med/Lab Supplies &amp; </t>
  </si>
  <si>
    <t>100(01)20-06-332(O)</t>
  </si>
  <si>
    <t>RFQ-2020-06-0049</t>
  </si>
  <si>
    <t>HILONGOS 2020-181</t>
  </si>
  <si>
    <t>1-06172020</t>
  </si>
  <si>
    <t>PUBLICATION NO. 34-2020-G (NEGOTIATED PROCUREMENT:</t>
  </si>
  <si>
    <t>bac-azds-20-06-016</t>
  </si>
  <si>
    <t>PUBLICATION NO. 33-2020-G (NEGOTIATED PROCUREMENT:</t>
  </si>
  <si>
    <t>20CB-GSC-335 PURCHASE OF TEXTILES AND SEWING SUPPL</t>
  </si>
  <si>
    <t>BAC GOODS 2020-15</t>
  </si>
  <si>
    <t>22-20</t>
  </si>
  <si>
    <t>goods 156-2020</t>
  </si>
  <si>
    <t>PR NO. 20-06-062</t>
  </si>
  <si>
    <t>ITB-2020-PCC-001</t>
  </si>
  <si>
    <t>Managa 2020-06-001</t>
  </si>
  <si>
    <t>20200617-001</t>
  </si>
  <si>
    <t>2020-06-315</t>
  </si>
  <si>
    <t>G-062020-00849</t>
  </si>
  <si>
    <t>HILONGOS 2020-182</t>
  </si>
  <si>
    <t>2020-06-249</t>
  </si>
  <si>
    <t>2020-06-07B</t>
  </si>
  <si>
    <t>100-1011-2020-05-572</t>
  </si>
  <si>
    <t>ORD PABAC 046-19 (Rebid)</t>
  </si>
  <si>
    <t>PR0109-20 DOPHGG REBID</t>
  </si>
  <si>
    <t>Request for Quotation No. 03-2020-03</t>
  </si>
  <si>
    <t>24-S-20</t>
  </si>
  <si>
    <t>20H00068</t>
  </si>
  <si>
    <t>G-062020-00848</t>
  </si>
  <si>
    <t>063-2020-2nd p</t>
  </si>
  <si>
    <t>2-06172020</t>
  </si>
  <si>
    <t>20BB0124</t>
  </si>
  <si>
    <t>20NF0079</t>
  </si>
  <si>
    <t>6911-6-975-20</t>
  </si>
  <si>
    <t>GOODS-2020-0003</t>
  </si>
  <si>
    <t>14-S-20</t>
  </si>
  <si>
    <t>3-06172020</t>
  </si>
  <si>
    <t>6911-10-949-20</t>
  </si>
  <si>
    <t>B-ITB No. 40-G-2020</t>
  </si>
  <si>
    <t>2020-06-248</t>
  </si>
  <si>
    <t>20200617-002</t>
  </si>
  <si>
    <t>4-06172020</t>
  </si>
  <si>
    <t>20BB0125</t>
  </si>
  <si>
    <t>2020-06-250</t>
  </si>
  <si>
    <t>PR0092-20 PGO REBID</t>
  </si>
  <si>
    <t>salbac 2020 20</t>
  </si>
  <si>
    <t>PR0124-20 DOPH-MANAY REBID</t>
  </si>
  <si>
    <t>20JAGS009</t>
  </si>
  <si>
    <t>2020-06-251</t>
  </si>
  <si>
    <t>HILONGOS 2020-183</t>
  </si>
  <si>
    <t>2020-05-0210</t>
  </si>
  <si>
    <t>G-2020-19</t>
  </si>
  <si>
    <t>24-20</t>
  </si>
  <si>
    <t>057-06-2020</t>
  </si>
  <si>
    <t>PR0007-20 PASSO REBID</t>
  </si>
  <si>
    <t>26-20</t>
  </si>
  <si>
    <t>2020-06-252</t>
  </si>
  <si>
    <t>5-06172020</t>
  </si>
  <si>
    <t>ITB No. 2020-022</t>
  </si>
  <si>
    <t>B-ITB No. 42-G-2020</t>
  </si>
  <si>
    <t>GOODS#0120, ITB#0122,  PR#0363: SCG-2020</t>
  </si>
  <si>
    <t>GOODS#0119, ITB#0121,  PR#0358: SCG-2020</t>
  </si>
  <si>
    <t>REC-2020-22</t>
  </si>
  <si>
    <t>Publication No. 35-2020-G</t>
  </si>
  <si>
    <t>25-20</t>
  </si>
  <si>
    <t>SVP 2020-06-002</t>
  </si>
  <si>
    <t>100-1011-2020-05-568</t>
  </si>
  <si>
    <t>INFRA 2020-13</t>
  </si>
  <si>
    <t>B-ITB No. 41-G-2020</t>
  </si>
  <si>
    <t>B-ITB No. 43-G-2020</t>
  </si>
  <si>
    <t>2020-06-0060</t>
  </si>
  <si>
    <t>7-06172020</t>
  </si>
  <si>
    <t>PROCOR INFRA 2020-04</t>
  </si>
  <si>
    <t>28-20</t>
  </si>
  <si>
    <t>20LB0187</t>
  </si>
  <si>
    <t>2020-05-0203</t>
  </si>
  <si>
    <t>2006-095</t>
  </si>
  <si>
    <t>GOODS-027-2020</t>
  </si>
  <si>
    <t>INFRA 2020-14</t>
  </si>
  <si>
    <t>ITB NO. GOP-20-DSWD-2020-05-03</t>
  </si>
  <si>
    <t>GS-P02-2020-07-08</t>
  </si>
  <si>
    <t>2020-05-038-D</t>
  </si>
  <si>
    <t>20LB0185</t>
  </si>
  <si>
    <t>GF-403</t>
  </si>
  <si>
    <t>2020-01-0066</t>
  </si>
  <si>
    <t>27-20</t>
  </si>
  <si>
    <t>PR 306-20</t>
  </si>
  <si>
    <t>8911-6-1939-20</t>
  </si>
  <si>
    <t>2020-067</t>
  </si>
  <si>
    <t>20LB0235</t>
  </si>
  <si>
    <t>60017012020</t>
  </si>
  <si>
    <t>2020 - 004</t>
  </si>
  <si>
    <t>20LB0233</t>
  </si>
  <si>
    <t>C10-20-0223</t>
  </si>
  <si>
    <t>PR0118-20 PGO/BSSS</t>
  </si>
  <si>
    <t>RFQ-6-17-2020A</t>
  </si>
  <si>
    <t>HILONGOS 2020-184</t>
  </si>
  <si>
    <t>2020-118</t>
  </si>
  <si>
    <t>GS-P04-2020-07-08</t>
  </si>
  <si>
    <t>20LB0261</t>
  </si>
  <si>
    <t>PR NO. 2020060649</t>
  </si>
  <si>
    <t>GOODS-20-32</t>
  </si>
  <si>
    <t>GS-P05-2020-07-08</t>
  </si>
  <si>
    <t>C10-20-0219</t>
  </si>
  <si>
    <t>guincam2020-06-009</t>
  </si>
  <si>
    <t>6068</t>
  </si>
  <si>
    <t>PR # 100-2020-05-0086</t>
  </si>
  <si>
    <t>20LB0257</t>
  </si>
  <si>
    <t>GF-195</t>
  </si>
  <si>
    <t>B-035-2020</t>
  </si>
  <si>
    <t>2020-05-040-D</t>
  </si>
  <si>
    <t>300-2020-02-017</t>
  </si>
  <si>
    <t>60017022020</t>
  </si>
  <si>
    <t>2020-119</t>
  </si>
  <si>
    <t>2020-003-009</t>
  </si>
  <si>
    <t>2020-ODY-06-182</t>
  </si>
  <si>
    <t>CA Health Care Benefits - 2020-001</t>
  </si>
  <si>
    <t>20-02-0095 Re-bid</t>
  </si>
  <si>
    <t>NP-001-06-2020</t>
  </si>
  <si>
    <t>GF-219</t>
  </si>
  <si>
    <t>2020-136</t>
  </si>
  <si>
    <t>20LB0304</t>
  </si>
  <si>
    <t>20KA0143</t>
  </si>
  <si>
    <t>20-06-0350</t>
  </si>
  <si>
    <t>2020-120</t>
  </si>
  <si>
    <t>GS-P06-2020-07-08</t>
  </si>
  <si>
    <t>IL-2020-B-28</t>
  </si>
  <si>
    <t>2020-ODY-06-183</t>
  </si>
  <si>
    <t>2020-06-164-B</t>
  </si>
  <si>
    <t>HILONGOS 2020-185</t>
  </si>
  <si>
    <t>20LB0302</t>
  </si>
  <si>
    <t>2020-06-08B</t>
  </si>
  <si>
    <t>BALISONG INFRA ITB 2020-___</t>
  </si>
  <si>
    <t>GOODS-029-2020</t>
  </si>
  <si>
    <t>C10-20-0220</t>
  </si>
  <si>
    <t xml:space="preserve">ITB No. 2020-15 Supply and Delivery of Laboratory </t>
  </si>
  <si>
    <t>2020-05-08</t>
  </si>
  <si>
    <t>20LB0303</t>
  </si>
  <si>
    <t>GOODS-028-2020</t>
  </si>
  <si>
    <t>DA7-2020-06-CPAR-20-2338</t>
  </si>
  <si>
    <t>Bid No. 20-0285</t>
  </si>
  <si>
    <t>2020-117</t>
  </si>
  <si>
    <t>300-2020-03-025</t>
  </si>
  <si>
    <t>2020-069</t>
  </si>
  <si>
    <t>DA7-2020-06-CPAR-20-2335</t>
  </si>
  <si>
    <t>307-2020</t>
  </si>
  <si>
    <t>2020 - 001</t>
  </si>
  <si>
    <t>2020-infra-001</t>
  </si>
  <si>
    <t>BDG-2020-03</t>
  </si>
  <si>
    <t>ITB No. 015-2020 GQ</t>
  </si>
  <si>
    <t>salbac 2020 22</t>
  </si>
  <si>
    <t>C10-20-1040</t>
  </si>
  <si>
    <t>60017032020</t>
  </si>
  <si>
    <t>2020-06-010B</t>
  </si>
  <si>
    <t>2020-070</t>
  </si>
  <si>
    <t>60017042020</t>
  </si>
  <si>
    <t>2020-135</t>
  </si>
  <si>
    <t>GS-P03-2020-07-08</t>
  </si>
  <si>
    <t>LGU2020-06-51</t>
  </si>
  <si>
    <t>goods 154-2020</t>
  </si>
  <si>
    <t>DA7-2020-06-R&amp;DL-20-1828(R1)</t>
  </si>
  <si>
    <t>C10-20-1038</t>
  </si>
  <si>
    <t>RFQ No. 20-06-131</t>
  </si>
  <si>
    <t>202006013</t>
  </si>
  <si>
    <t>IL-2020-B-29</t>
  </si>
  <si>
    <t>202006170004</t>
  </si>
  <si>
    <t>077-20 BAC</t>
  </si>
  <si>
    <t>2020-STO-QRF FAW-GOODS-23</t>
  </si>
  <si>
    <t>OC-66(GSO-04) 20 GD</t>
  </si>
  <si>
    <t>2020-072</t>
  </si>
  <si>
    <t>PB-2020-06-042</t>
  </si>
  <si>
    <t>PR 2020-06-195</t>
  </si>
  <si>
    <t>ITB No. 2020-14 Procurement of Powdered Milk (Nego</t>
  </si>
  <si>
    <t>goods 159-2020</t>
  </si>
  <si>
    <t>202006170006</t>
  </si>
  <si>
    <t>2020-06-061</t>
  </si>
  <si>
    <t>MEO-2020-06-17-001</t>
  </si>
  <si>
    <t>salbac 2020 24</t>
  </si>
  <si>
    <t>BAC-IGANGON-2020-02</t>
  </si>
  <si>
    <t>2020-001g</t>
  </si>
  <si>
    <t>2020-06-156</t>
  </si>
  <si>
    <t>29-20</t>
  </si>
  <si>
    <t>GF-401</t>
  </si>
  <si>
    <t>2020-073</t>
  </si>
  <si>
    <t>PB-2020-06-043</t>
  </si>
  <si>
    <t>PB-2020-GDS-027</t>
  </si>
  <si>
    <t>BAC-IGANGON-2020-04</t>
  </si>
  <si>
    <t>2020-02-043 (2nd Posting)</t>
  </si>
  <si>
    <t>001-20</t>
  </si>
  <si>
    <t>salbac 2020 26</t>
  </si>
  <si>
    <t>2020-STO-QRF FAW-GOODS-25</t>
  </si>
  <si>
    <t>PR Nos. 1-32680, 1-32681, 1-32683 - Supply and Del</t>
  </si>
  <si>
    <t>PB-2020-06-046</t>
  </si>
  <si>
    <t>2020-639</t>
  </si>
  <si>
    <t>LGU-POBLACION-2020-004</t>
  </si>
  <si>
    <t>20GJC0206</t>
  </si>
  <si>
    <t>20dpwh75</t>
  </si>
  <si>
    <t>LB-20-36</t>
  </si>
  <si>
    <t>2020-Infra-002</t>
  </si>
  <si>
    <t>2020-617</t>
  </si>
  <si>
    <t>2020-616</t>
  </si>
  <si>
    <t>20-06-423</t>
  </si>
  <si>
    <t>ENG' 6ID, SBAC 02-2020</t>
  </si>
  <si>
    <t>2020-Goods-006</t>
  </si>
  <si>
    <t>20GJC0210</t>
  </si>
  <si>
    <t>2020-06-0052</t>
  </si>
  <si>
    <t>20dpwh76</t>
  </si>
  <si>
    <t>ITB No. 2020-32</t>
  </si>
  <si>
    <t>2020-06-0017</t>
  </si>
  <si>
    <t>2020-640</t>
  </si>
  <si>
    <t>2020-618</t>
  </si>
  <si>
    <t>DPWH-SK2DEO-20CSMH01</t>
  </si>
  <si>
    <t>DPWH-SK2DEO-20CSMH02</t>
  </si>
  <si>
    <t>2020-636</t>
  </si>
  <si>
    <t>2020-619</t>
  </si>
  <si>
    <t>20GJC0209</t>
  </si>
  <si>
    <t>PR# 020-0180</t>
  </si>
  <si>
    <t>2020-638</t>
  </si>
  <si>
    <t>20GJC0207</t>
  </si>
  <si>
    <t>2020-615</t>
  </si>
  <si>
    <t>20FC0119</t>
  </si>
  <si>
    <t>2020-633</t>
  </si>
  <si>
    <t>2020-634</t>
  </si>
  <si>
    <t>2020-0009</t>
  </si>
  <si>
    <t>rdd-bayaniHAN-01</t>
  </si>
  <si>
    <t>2020-446</t>
  </si>
  <si>
    <t>20FC0117</t>
  </si>
  <si>
    <t>2020-635</t>
  </si>
  <si>
    <t>2020-623</t>
  </si>
  <si>
    <t>2020-621</t>
  </si>
  <si>
    <t>2020-0007</t>
  </si>
  <si>
    <t>20PD0132</t>
  </si>
  <si>
    <t>talibaew001</t>
  </si>
  <si>
    <t>20JG0085</t>
  </si>
  <si>
    <t>20JG0083</t>
  </si>
  <si>
    <t>20FC0118</t>
  </si>
  <si>
    <t>2020-622</t>
  </si>
  <si>
    <t>inf2020-005</t>
  </si>
  <si>
    <t>20LE0122</t>
  </si>
  <si>
    <t>2020-008</t>
  </si>
  <si>
    <t>20JG0080</t>
  </si>
  <si>
    <t>2020-637</t>
  </si>
  <si>
    <t>20JG0078</t>
  </si>
  <si>
    <t>20JG0081</t>
  </si>
  <si>
    <t>20JG0079</t>
  </si>
  <si>
    <t>project ref.no. 45-2020-JUNE-INFRA</t>
  </si>
  <si>
    <t>20JG0076</t>
  </si>
  <si>
    <t>project ref.no. 44-2020-JUNE-INFRA</t>
  </si>
  <si>
    <t>PB INFRA 20-038</t>
  </si>
  <si>
    <t>20-03-012</t>
  </si>
  <si>
    <t>20JG0082</t>
  </si>
  <si>
    <t>2020-033-I</t>
  </si>
  <si>
    <t>silangan1-2020</t>
  </si>
  <si>
    <t>2020-032-I</t>
  </si>
  <si>
    <t>PB INFRA 20-043</t>
  </si>
  <si>
    <t>MASO-202-20</t>
  </si>
  <si>
    <t>'PB Infra 20-039</t>
  </si>
  <si>
    <t>'PB Infra 20-040</t>
  </si>
  <si>
    <t>PB INFRA 20-041</t>
  </si>
  <si>
    <t>mb pr 4</t>
  </si>
  <si>
    <t>20DE0144</t>
  </si>
  <si>
    <t>NP-MARCH 2020-09</t>
  </si>
  <si>
    <t>MDRRMO-180-20</t>
  </si>
  <si>
    <t>GOODS-ITB 2020-06-013-A</t>
  </si>
  <si>
    <t>20JG0084</t>
  </si>
  <si>
    <t>FPR-20-007</t>
  </si>
  <si>
    <t>2020-64 (GAS)</t>
  </si>
  <si>
    <t>GOODS-ITB 2020-06-012(1)-A</t>
  </si>
  <si>
    <t>2020-0334</t>
  </si>
  <si>
    <t>202002</t>
  </si>
  <si>
    <t>06-17-2020-01</t>
  </si>
  <si>
    <t>100-2019-11-1714</t>
  </si>
  <si>
    <t>20-06-424</t>
  </si>
  <si>
    <t>2020-INFRA-010</t>
  </si>
  <si>
    <t>INFRA 20-07-15</t>
  </si>
  <si>
    <t>INFRA 20-07-14</t>
  </si>
  <si>
    <t>100-2019-11-1710</t>
  </si>
  <si>
    <t>100-2019-10-1635</t>
  </si>
  <si>
    <t>100-2020-01-129</t>
  </si>
  <si>
    <t>100-2020-02-308</t>
  </si>
  <si>
    <t>BG2020-133</t>
  </si>
  <si>
    <t>100-2020-01-015</t>
  </si>
  <si>
    <t>DepED-RO6-D1- Educational/Office Supplies-005-2020</t>
  </si>
  <si>
    <t>20AH0192</t>
  </si>
  <si>
    <t>20AH0208</t>
  </si>
  <si>
    <t>WFM-20-006/007/008/011/012/020/022/023</t>
  </si>
  <si>
    <t>INFRA 20-07-16</t>
  </si>
  <si>
    <t>20AH0209</t>
  </si>
  <si>
    <t>20AH0207</t>
  </si>
  <si>
    <t>20AH0206</t>
  </si>
  <si>
    <t>PB INFRA 20-042</t>
  </si>
  <si>
    <t>JHS - 2020 - 006 - 0025</t>
  </si>
  <si>
    <t>20JG0075</t>
  </si>
  <si>
    <t>2020-65 (GAS)</t>
  </si>
  <si>
    <t>20JG0086</t>
  </si>
  <si>
    <t>20FC0123</t>
  </si>
  <si>
    <t>20JG0077</t>
  </si>
  <si>
    <t>20FC0122</t>
  </si>
  <si>
    <t>20FC0121</t>
  </si>
  <si>
    <t>JHS - 2020 - 006 - 0026</t>
  </si>
  <si>
    <t>JHS - 2020 - 006 - 0023</t>
  </si>
  <si>
    <t>20O00059</t>
  </si>
  <si>
    <t>2020-620</t>
  </si>
  <si>
    <t>20dpwh78</t>
  </si>
  <si>
    <t>2020-Goods-004</t>
  </si>
  <si>
    <t>DPWH-SK2DEO-20CSMH04</t>
  </si>
  <si>
    <t>cab pr4 2020</t>
  </si>
  <si>
    <t>DPWH-SK2DEO-20CSMH03</t>
  </si>
  <si>
    <t>SF-GOODS-2020-006</t>
  </si>
  <si>
    <t>20dpwh77</t>
  </si>
  <si>
    <t>DPWH-SK2DEO-20CSMH05</t>
  </si>
  <si>
    <t>20GJC0208</t>
  </si>
  <si>
    <t>BulSU-BAC-G-2020-23</t>
  </si>
  <si>
    <t>PB-06172020-1</t>
  </si>
  <si>
    <t>20FC0120</t>
  </si>
  <si>
    <t>mb pr 3</t>
  </si>
  <si>
    <t>BAC2020-06-021</t>
  </si>
  <si>
    <t>20LE0123</t>
  </si>
  <si>
    <t>ITB No. 20-06-12</t>
  </si>
  <si>
    <t>PB-2020-CW-021</t>
  </si>
  <si>
    <t>20GGK0006</t>
  </si>
  <si>
    <t>007131000000</t>
  </si>
  <si>
    <t>PG-2020-046</t>
  </si>
  <si>
    <t>20GGK0005</t>
  </si>
  <si>
    <t>20GEB0058</t>
  </si>
  <si>
    <t>20GEB0021</t>
  </si>
  <si>
    <t>2020-INFRA-017</t>
  </si>
  <si>
    <t>2020-06-89</t>
  </si>
  <si>
    <t>HMO-20-0354-B</t>
  </si>
  <si>
    <t>20GEB0010</t>
  </si>
  <si>
    <t>DA7-07-2020-ILD-20-2315</t>
  </si>
  <si>
    <t>BTN-DVOOR-2020-17</t>
  </si>
  <si>
    <t>19GF00031</t>
  </si>
  <si>
    <t>20GEB0023</t>
  </si>
  <si>
    <t>ESP-INFRA-11-2020</t>
  </si>
  <si>
    <t>DA7-07-2020-ILD-20-2314</t>
  </si>
  <si>
    <t>GOODS-2020-007</t>
  </si>
  <si>
    <t>PROJECT ID NO. I-2020-003</t>
  </si>
  <si>
    <t>200030</t>
  </si>
  <si>
    <t>SDH-20-0361-B</t>
  </si>
  <si>
    <t>PROJECT ID NO. I-2020-005</t>
  </si>
  <si>
    <t>007130000000</t>
  </si>
  <si>
    <t>2020-B1-06-014</t>
  </si>
  <si>
    <t>AKLAN BAC ITB 346 SERIES 2020</t>
  </si>
  <si>
    <t>PROJECT ID NO. G-2020-004</t>
  </si>
  <si>
    <t>20GEB0012</t>
  </si>
  <si>
    <t>AKLAN BAC ITB 211 SERIES 2020</t>
  </si>
  <si>
    <t>Infra 2020-06-014</t>
  </si>
  <si>
    <t>ESP-INFRA-10-2020</t>
  </si>
  <si>
    <t>40-201340-2020</t>
  </si>
  <si>
    <t>AKLAN BAC ITB 210 SERIES 2020</t>
  </si>
  <si>
    <t>38-201371-2020</t>
  </si>
  <si>
    <t>0071320000000</t>
  </si>
  <si>
    <t>2020-B1-002</t>
  </si>
  <si>
    <t>2020-B1-02</t>
  </si>
  <si>
    <t>39-201440-2020</t>
  </si>
  <si>
    <t>LGU-Sagay-4748</t>
  </si>
  <si>
    <t>AKLAN BAC ITB 209 SERIES 2020</t>
  </si>
  <si>
    <t>AKLAN BAC ITB 207 SERIES 2020</t>
  </si>
  <si>
    <t>001-2020-06</t>
  </si>
  <si>
    <t>AKLAN BAC ITB 348 SERIES 2020</t>
  </si>
  <si>
    <t>DA7-07-2020-SAAD-20-1185</t>
  </si>
  <si>
    <t>DA7-07-2020-SAAD-20-1237</t>
  </si>
  <si>
    <t>DA7-07-2020-ILD-20-2316</t>
  </si>
  <si>
    <t>AKLAN BAC ITB 347 SERIES 2020</t>
  </si>
  <si>
    <t>B-20-001</t>
  </si>
  <si>
    <t>AKLAN BAC ITB 343 SERIES 2020</t>
  </si>
  <si>
    <t>DA7-07-2020-SAAD-20-0992</t>
  </si>
  <si>
    <t>ACCOUNTING-2020-01</t>
  </si>
  <si>
    <t>AKLAN BAC ITB 208 SERIES 2020</t>
  </si>
  <si>
    <t>PB 2020-043</t>
  </si>
  <si>
    <t>AKLAN BAC ITB 349 SERIES 2020</t>
  </si>
  <si>
    <t>AKLAN BAC ITB 342 SERIES 2020</t>
  </si>
  <si>
    <t>DAS 2020-004</t>
  </si>
  <si>
    <t>DAS 2020-003</t>
  </si>
  <si>
    <t>Infra 2020-06-012</t>
  </si>
  <si>
    <t>IAEB 222-20</t>
  </si>
  <si>
    <t>Infra 2020-06-008</t>
  </si>
  <si>
    <t>AKLAN BAC ITB 175 SERIES 2020</t>
  </si>
  <si>
    <t>IAEB 220-20</t>
  </si>
  <si>
    <t>DA7-07-2020-FOD-L-20-2347</t>
  </si>
  <si>
    <t>ITB No. 07-INFRA-2020</t>
  </si>
  <si>
    <t>AKLAN BAC ITB 351 SERIES 2020</t>
  </si>
  <si>
    <t>AKLAN BAC ITB 350 SERIES 2020</t>
  </si>
  <si>
    <t>DA7-07-2020-SAAD-20-2131</t>
  </si>
  <si>
    <t>Infra 2020-06-015</t>
  </si>
  <si>
    <t>Infra 2020-06-013</t>
  </si>
  <si>
    <t>AKLAN BAC ITB 215 SERIES 2020</t>
  </si>
  <si>
    <t>2020-02A</t>
  </si>
  <si>
    <t>DA7-07-FOD-H-20-2345</t>
  </si>
  <si>
    <t>AKLAN BAC ITB 212 SERIES 2020</t>
  </si>
  <si>
    <t>SDH-20-0364-B</t>
  </si>
  <si>
    <t>ITB# 20DF-2020-01</t>
  </si>
  <si>
    <t>INFRA 20-07-21</t>
  </si>
  <si>
    <t>36-2020</t>
  </si>
  <si>
    <t>INFRA 20-07-20</t>
  </si>
  <si>
    <t>ITB No. 20-06-13</t>
  </si>
  <si>
    <t>2020-0616-1</t>
  </si>
  <si>
    <t>19CSK00041</t>
  </si>
  <si>
    <t>20GEB0093</t>
  </si>
  <si>
    <t>0009-06-2020</t>
  </si>
  <si>
    <t>06162020</t>
  </si>
  <si>
    <t>20CD0167</t>
  </si>
  <si>
    <t>2020-0616-2</t>
  </si>
  <si>
    <t>BIDDING20-23</t>
  </si>
  <si>
    <t>20BC0208</t>
  </si>
  <si>
    <t>4411-101-2020-06-263</t>
  </si>
  <si>
    <t>20BC0206</t>
  </si>
  <si>
    <t>2020-0616-3</t>
  </si>
  <si>
    <t>20GM0064 (RE-BIDDING)</t>
  </si>
  <si>
    <t>RFQ-062020-H</t>
  </si>
  <si>
    <t>Civil Works 020-2020</t>
  </si>
  <si>
    <t>TANZA 2 2020-01-06</t>
  </si>
  <si>
    <t>GOODS 20-07-06</t>
  </si>
  <si>
    <t>GOODS-2020-09</t>
  </si>
  <si>
    <t>TANZA 2 2020-02-06</t>
  </si>
  <si>
    <t>TANZA 2 2020-04-06</t>
  </si>
  <si>
    <t>NS-06-17-20-01</t>
  </si>
  <si>
    <t>SI-06-2020-001</t>
  </si>
  <si>
    <t>20201149</t>
  </si>
  <si>
    <t>2020-064</t>
  </si>
  <si>
    <t>TANZA 2 2020-06-06</t>
  </si>
  <si>
    <t>C-PEO-056-20</t>
  </si>
  <si>
    <t>41-200483-2020</t>
  </si>
  <si>
    <t>006-025-2020</t>
  </si>
  <si>
    <t>mda126</t>
  </si>
  <si>
    <t>BGS-009-20</t>
  </si>
  <si>
    <t>INFRA-06-16-2020-04</t>
  </si>
  <si>
    <t>INFRA-06-16-2020-03</t>
  </si>
  <si>
    <t>006-024-2020</t>
  </si>
  <si>
    <t>TANZA 2 2020-05-06</t>
  </si>
  <si>
    <t>AKLAN BAC ITB 213 SERIES 2020</t>
  </si>
  <si>
    <t>PBgoods017-2020</t>
  </si>
  <si>
    <t>2020 - 23</t>
  </si>
  <si>
    <t>6-35-20</t>
  </si>
  <si>
    <t>NS-06-17-20-02</t>
  </si>
  <si>
    <t>GOODS 20-07-07</t>
  </si>
  <si>
    <t>GOODS 20-07-05</t>
  </si>
  <si>
    <t>TANZA 2 2020-03-06</t>
  </si>
  <si>
    <t>GEPS-02-2020</t>
  </si>
  <si>
    <t>C-PEO-055-20</t>
  </si>
  <si>
    <t>2020-GOODS-002NP-02-0617</t>
  </si>
  <si>
    <t>MWD-20-013</t>
  </si>
  <si>
    <t>INFRA-06-16-2020-02</t>
  </si>
  <si>
    <t>F-018-0383-20</t>
  </si>
  <si>
    <t>INFRA-06-16-2020-01</t>
  </si>
  <si>
    <t>INFRA-06-16-2020-08</t>
  </si>
  <si>
    <t>0010-06-2020</t>
  </si>
  <si>
    <t>025-06-2020</t>
  </si>
  <si>
    <t>20FF0094</t>
  </si>
  <si>
    <t>06162020-1</t>
  </si>
  <si>
    <t>006-027-2020</t>
  </si>
  <si>
    <t>Invitation to Bid 20-35</t>
  </si>
  <si>
    <t>PEO-2020-0173 PR2020-0436</t>
  </si>
  <si>
    <t>773</t>
  </si>
  <si>
    <t>INFRA-06-16-2020-07</t>
  </si>
  <si>
    <t>MOB-2020-010</t>
  </si>
  <si>
    <t>077 - 2020</t>
  </si>
  <si>
    <t>2020 - 24</t>
  </si>
  <si>
    <t>NS-06-17-20-03</t>
  </si>
  <si>
    <t>GOODS-06-16-2020-02</t>
  </si>
  <si>
    <t>INFRA-06-16-2020-09</t>
  </si>
  <si>
    <t>BAC LURO PR No. 2020-058</t>
  </si>
  <si>
    <t>GOODS-06-16-2020-01</t>
  </si>
  <si>
    <t>G-PAGRO-045-20</t>
  </si>
  <si>
    <t>pb-gd-2020-037</t>
  </si>
  <si>
    <t>DAR-PANG-006-2020</t>
  </si>
  <si>
    <t>BAC LURO PR No. 2020-086</t>
  </si>
  <si>
    <t>NS-06-17-20-04-R5</t>
  </si>
  <si>
    <t>ITB No. 2020-158-bpmc</t>
  </si>
  <si>
    <t>INFRA-06-16-2020-06</t>
  </si>
  <si>
    <t>006 2020 LML</t>
  </si>
  <si>
    <t>ITB No. 2020-74</t>
  </si>
  <si>
    <t>IbajayNHS-2019-06-001</t>
  </si>
  <si>
    <t>ITB 2020-063</t>
  </si>
  <si>
    <t>gammabridge2020june-1</t>
  </si>
  <si>
    <t>005 2020 LML</t>
  </si>
  <si>
    <t>06162020-2</t>
  </si>
  <si>
    <t>G-PEO-046-20</t>
  </si>
  <si>
    <t>ITB 2020-062</t>
  </si>
  <si>
    <t>DAR-PANG-007-2020</t>
  </si>
  <si>
    <t>BAC LURO PR No. 2020-084</t>
  </si>
  <si>
    <t>GOODS-06-16-2020-03</t>
  </si>
  <si>
    <t>Invitation to Bid 20-34</t>
  </si>
  <si>
    <t>0006-06-2020</t>
  </si>
  <si>
    <t>2020-06-255</t>
  </si>
  <si>
    <t>Sto. Nino-07-02-20</t>
  </si>
  <si>
    <t>ITB 2020-065</t>
  </si>
  <si>
    <t>BAC LURO PR No. 2020-155</t>
  </si>
  <si>
    <t>2020-B1-06-015</t>
  </si>
  <si>
    <t>2020 - 25</t>
  </si>
  <si>
    <t>C-PEO-057-20</t>
  </si>
  <si>
    <t>INFRA-06-16-2020-05</t>
  </si>
  <si>
    <t>061620201</t>
  </si>
  <si>
    <t>ITB 2020-066</t>
  </si>
  <si>
    <t>REQUEST FOR QUOTATION (RFQ) No. 20-0550 NP-SVP</t>
  </si>
  <si>
    <t>006-026-2020</t>
  </si>
  <si>
    <t>2020 Caib 091</t>
  </si>
  <si>
    <t>B-CW-2020-023</t>
  </si>
  <si>
    <t>IMELDA202002</t>
  </si>
  <si>
    <t>2005-389</t>
  </si>
  <si>
    <t>20CSDM06</t>
  </si>
  <si>
    <t>20CSDM05</t>
  </si>
  <si>
    <t>036</t>
  </si>
  <si>
    <t>20L00032</t>
  </si>
  <si>
    <t>GEPS-11-2020</t>
  </si>
  <si>
    <t>INFRA 20-07-19</t>
  </si>
  <si>
    <t>20CSDM04</t>
  </si>
  <si>
    <t>774</t>
  </si>
  <si>
    <t>GS-P07-2020-07-08</t>
  </si>
  <si>
    <t>B-CW-2020-022</t>
  </si>
  <si>
    <t>PB-2020-GDS-026</t>
  </si>
  <si>
    <t>salbac 2020 25</t>
  </si>
  <si>
    <t>20L00148</t>
  </si>
  <si>
    <t>202006012</t>
  </si>
  <si>
    <t>LGU-POBLACION-2020-003</t>
  </si>
  <si>
    <t>2020-STO-QRF FAW-GOODS-24</t>
  </si>
  <si>
    <t>INFRA 20-07-18</t>
  </si>
  <si>
    <t>INFRA 20-07-17</t>
  </si>
  <si>
    <t>PB-2020-06-045</t>
  </si>
  <si>
    <t>PB-2020-06-044</t>
  </si>
  <si>
    <t>salbac 2020 23</t>
  </si>
  <si>
    <t>GF-404</t>
  </si>
  <si>
    <t>BAC-IGANGON-2020-01</t>
  </si>
  <si>
    <t xml:space="preserve">20CSAE01: SUBSURFACE EXPLORATION FOR THE PROPOSED </t>
  </si>
  <si>
    <t>GOODS-2020-037</t>
  </si>
  <si>
    <t>LB-20-35</t>
  </si>
  <si>
    <t>BP-2020-11</t>
  </si>
  <si>
    <t>pb-gd-2020-038</t>
  </si>
  <si>
    <t>DAR-PANG-009-2020</t>
  </si>
  <si>
    <t>06-16-2020-214</t>
  </si>
  <si>
    <t>BP-2020-09</t>
  </si>
  <si>
    <t>SAM-2020-19</t>
  </si>
  <si>
    <t>020-G001</t>
  </si>
  <si>
    <t>DAR-PANG-008-2020</t>
  </si>
  <si>
    <t>ITB No. 20-24</t>
  </si>
  <si>
    <t>ITB 2020-0015</t>
  </si>
  <si>
    <t>INFRA-2020-223</t>
  </si>
  <si>
    <t>ITB No. 20-25</t>
  </si>
  <si>
    <t>BAC 2020-34</t>
  </si>
  <si>
    <t>06-16-2020-216</t>
  </si>
  <si>
    <t>GOODS 2020-03</t>
  </si>
  <si>
    <t>2020-06-91</t>
  </si>
  <si>
    <t>MKWD2020-048</t>
  </si>
  <si>
    <t>06-16-2020-215</t>
  </si>
  <si>
    <t>CARIDAD202001</t>
  </si>
  <si>
    <t>PB-2020-12</t>
  </si>
  <si>
    <t>ITB 2020-069</t>
  </si>
  <si>
    <t>CG-1-132-2020</t>
  </si>
  <si>
    <t>PB-2020-18</t>
  </si>
  <si>
    <t>PB-2020-17</t>
  </si>
  <si>
    <t>Parian Oeste-26-6-0002</t>
  </si>
  <si>
    <t>PB-2020-16</t>
  </si>
  <si>
    <t>Tal-Pob-01-2020</t>
  </si>
  <si>
    <t>C10-20-1046</t>
  </si>
  <si>
    <t>BAG-1-2020-046</t>
  </si>
  <si>
    <t>PB-2020-13</t>
  </si>
  <si>
    <t>2020-06-92</t>
  </si>
  <si>
    <t>PCAARRD-2020-04-28-004</t>
  </si>
  <si>
    <t>PB-2020-15</t>
  </si>
  <si>
    <t>2020 Caib 093</t>
  </si>
  <si>
    <t>ITB 2020-0016</t>
  </si>
  <si>
    <t>2020-06-90</t>
  </si>
  <si>
    <t>RFQ-GS-2020609-01</t>
  </si>
  <si>
    <t>Project No. 2020-26</t>
  </si>
  <si>
    <t>20KI0089</t>
  </si>
  <si>
    <t>133-2020</t>
  </si>
  <si>
    <t>OC-68(ESMO-06) 20 GD</t>
  </si>
  <si>
    <t>PB-2020-21</t>
  </si>
  <si>
    <t>408-E-06-2020 (IPHO) (Re-advertisement)</t>
  </si>
  <si>
    <t>MB 2020-17 I</t>
  </si>
  <si>
    <t>20KI0088</t>
  </si>
  <si>
    <t>CW 2020-03-001a</t>
  </si>
  <si>
    <t>MB 2020-16 I</t>
  </si>
  <si>
    <t>018-2020</t>
  </si>
  <si>
    <t>PCAARRD-2020-04-28-001</t>
  </si>
  <si>
    <t>MP-061620-36</t>
  </si>
  <si>
    <t>2020-317</t>
  </si>
  <si>
    <t>PB-2020-20</t>
  </si>
  <si>
    <t>CA100-2019-01-001</t>
  </si>
  <si>
    <t>PB20-04-034COR</t>
  </si>
  <si>
    <t>20-194</t>
  </si>
  <si>
    <t>NP-SVP--20-046</t>
  </si>
  <si>
    <t>Solicitation No. Goods 20-0617-0068</t>
  </si>
  <si>
    <t>0025/June/2020</t>
  </si>
  <si>
    <t>2020 INFRA 008</t>
  </si>
  <si>
    <t>cw-2020-017</t>
  </si>
  <si>
    <t>PICK UP-2020-06-01</t>
  </si>
  <si>
    <t>PB-2020-23</t>
  </si>
  <si>
    <t>MP-061620-38</t>
  </si>
  <si>
    <t>2020 INFRA 006</t>
  </si>
  <si>
    <t>G-PEO-047-20</t>
  </si>
  <si>
    <t>2020-06-01B</t>
  </si>
  <si>
    <t>Project No. 2020-27</t>
  </si>
  <si>
    <t>Solicitation No. Goods 20-0617-0069</t>
  </si>
  <si>
    <t>BWD-RFQ-2020-07</t>
  </si>
  <si>
    <t>06-16-04</t>
  </si>
  <si>
    <t>KB-GOODS-2020-07</t>
  </si>
  <si>
    <t>BIDDING20-24</t>
  </si>
  <si>
    <t>ITB 061620-1</t>
  </si>
  <si>
    <t>06-16-05</t>
  </si>
  <si>
    <t>INFRA -01- 2020</t>
  </si>
  <si>
    <t>ADS-1395-20</t>
  </si>
  <si>
    <t>2020-299</t>
  </si>
  <si>
    <t>KB-GOODS-2020-05</t>
  </si>
  <si>
    <t>guincam2020-06-006</t>
  </si>
  <si>
    <t>ITB 06-2020-009</t>
  </si>
  <si>
    <t>BGS-010-20</t>
  </si>
  <si>
    <t>2020-06-09B</t>
  </si>
  <si>
    <t>MP-061620-39</t>
  </si>
  <si>
    <t>2020 INFRA 009</t>
  </si>
  <si>
    <t>8000-3-01-010-009-010-009</t>
  </si>
  <si>
    <t>20FH0096</t>
  </si>
  <si>
    <t>20DM0068</t>
  </si>
  <si>
    <t>334-2020</t>
  </si>
  <si>
    <t>20H00062</t>
  </si>
  <si>
    <t>333-2020</t>
  </si>
  <si>
    <t>RFQ - PR No. 2020-06-0113 dated 6-15-20</t>
  </si>
  <si>
    <t>DA7-2020-06-FOD-R-20-2203</t>
  </si>
  <si>
    <t>20PF0068</t>
  </si>
  <si>
    <t>5 02 03 080-02-2</t>
  </si>
  <si>
    <t>338-2020</t>
  </si>
  <si>
    <t>20GFH0011</t>
  </si>
  <si>
    <t>5 02 03 070-1-2</t>
  </si>
  <si>
    <t>RFQ - PR No. 2020-06-0119 dated 6-15-20</t>
  </si>
  <si>
    <t>20H00064</t>
  </si>
  <si>
    <t>20AD0096</t>
  </si>
  <si>
    <t>CG-1-136-2020</t>
  </si>
  <si>
    <t>np 2020-15 (GAS)</t>
  </si>
  <si>
    <t>20H00063</t>
  </si>
  <si>
    <t>GOODS 2020-187(SVP)</t>
  </si>
  <si>
    <t>20GCF0001</t>
  </si>
  <si>
    <t>DA7-2020-06-RAED-20-1072(R1)</t>
  </si>
  <si>
    <t>9000-3-03-001-004-003-0003</t>
  </si>
  <si>
    <t>guincam2020-06-007</t>
  </si>
  <si>
    <t>2020-GOODS-34</t>
  </si>
  <si>
    <t>IB 2020-029</t>
  </si>
  <si>
    <t>Bid Reference No. 2020-005-A; PR No.2020-03-0082-A</t>
  </si>
  <si>
    <t>GOODS-20-29</t>
  </si>
  <si>
    <t>0074-2020</t>
  </si>
  <si>
    <t>2020-102</t>
  </si>
  <si>
    <t>20H00067</t>
  </si>
  <si>
    <t>Bid No. 20-0215</t>
  </si>
  <si>
    <t>AGGDS2020-0617A</t>
  </si>
  <si>
    <t>9000-3-03-001-004-003-006</t>
  </si>
  <si>
    <t>S2-DOO20-014</t>
  </si>
  <si>
    <t>2020-GOODS-33</t>
  </si>
  <si>
    <t>20H00065</t>
  </si>
  <si>
    <t>2020-G-01</t>
  </si>
  <si>
    <t>0020-0056-0320B-2020</t>
  </si>
  <si>
    <t>03-072-2020</t>
  </si>
  <si>
    <t>IB 2020-069</t>
  </si>
  <si>
    <t>20KB0167</t>
  </si>
  <si>
    <t>PHO-2020-038 PR2020-0150</t>
  </si>
  <si>
    <t>368-2020</t>
  </si>
  <si>
    <t>S2-LIM20-001</t>
  </si>
  <si>
    <t>R3-BANE-MOOE-2020-AU-64</t>
  </si>
  <si>
    <t>DA7-2020-06-ILD-L-20-2298</t>
  </si>
  <si>
    <t>BAC164-PRESHOUSING-2020</t>
  </si>
  <si>
    <t>0020-0056-0320A-2020</t>
  </si>
  <si>
    <t>AGGDS2020-0617B</t>
  </si>
  <si>
    <t>QES-06-016-20</t>
  </si>
  <si>
    <t>IB-2020-071</t>
  </si>
  <si>
    <t>IB 2020-030</t>
  </si>
  <si>
    <t>S2-SND20-001</t>
  </si>
  <si>
    <t>20201152</t>
  </si>
  <si>
    <t>IB-2020-070</t>
  </si>
  <si>
    <t>IB-2020-073</t>
  </si>
  <si>
    <t>S-061620-2</t>
  </si>
  <si>
    <t>SAM-2020-21</t>
  </si>
  <si>
    <t>15-2020_INFR</t>
  </si>
  <si>
    <t>20B00052 (re-ad)</t>
  </si>
  <si>
    <t>IAEB 177-20</t>
  </si>
  <si>
    <t>20KB0170</t>
  </si>
  <si>
    <t>QES-06-017-20</t>
  </si>
  <si>
    <t>20H00066</t>
  </si>
  <si>
    <t>SAM-2020-22</t>
  </si>
  <si>
    <t>S2-DOO20-008</t>
  </si>
  <si>
    <t>20KB0169</t>
  </si>
  <si>
    <t>RFQ No. 20-06-129</t>
  </si>
  <si>
    <t>DA7-2020-06-RAED-20-1959(R1)</t>
  </si>
  <si>
    <t>SAM-2020-20</t>
  </si>
  <si>
    <t>6066</t>
  </si>
  <si>
    <t>NFA-RO1-RBAC-2020-06-016</t>
  </si>
  <si>
    <t>20KB0174</t>
  </si>
  <si>
    <t>20GB00013 (re-ad)</t>
  </si>
  <si>
    <t>SAM-2020-26</t>
  </si>
  <si>
    <t>IB-2020-074</t>
  </si>
  <si>
    <t>VW1-20-06-021</t>
  </si>
  <si>
    <t>S2-SVP20-001</t>
  </si>
  <si>
    <t>PR#2020-05-685</t>
  </si>
  <si>
    <t>2020-16-06-28</t>
  </si>
  <si>
    <t>2020-20% EDF - 29 - 3-01-001-008-1-10-2</t>
  </si>
  <si>
    <t>GOODS-20-30</t>
  </si>
  <si>
    <t>S2-PMG20-010</t>
  </si>
  <si>
    <t>ITB 2020-070</t>
  </si>
  <si>
    <t>20KB0178</t>
  </si>
  <si>
    <t>2020G - 017-616</t>
  </si>
  <si>
    <t>20KB0177</t>
  </si>
  <si>
    <t>QES-06-019-20</t>
  </si>
  <si>
    <t>20KB0173</t>
  </si>
  <si>
    <t>PR062000634</t>
  </si>
  <si>
    <t>2020G - 016-616</t>
  </si>
  <si>
    <t>20KB0176</t>
  </si>
  <si>
    <t>SN-2020-06-013</t>
  </si>
  <si>
    <t>DA7-2020-06-PhilRice-20-2205</t>
  </si>
  <si>
    <t>SAM-2020-25</t>
  </si>
  <si>
    <t>20-102</t>
  </si>
  <si>
    <t>20KB0172</t>
  </si>
  <si>
    <t>MP-061620-40</t>
  </si>
  <si>
    <t>2020-ODY-06-178</t>
  </si>
  <si>
    <t>20PL0120</t>
  </si>
  <si>
    <t>20KB0175</t>
  </si>
  <si>
    <t>2020-ODY-06-179</t>
  </si>
  <si>
    <t>S2-BH120-003</t>
  </si>
  <si>
    <t>20KB0168</t>
  </si>
  <si>
    <t>S2-GIG20-010</t>
  </si>
  <si>
    <t>S2-ALD20-004</t>
  </si>
  <si>
    <t>Pr062000635</t>
  </si>
  <si>
    <t>S2-ANT20-003</t>
  </si>
  <si>
    <t>2020C-21-616</t>
  </si>
  <si>
    <t>2020-10 (20DI0148)</t>
  </si>
  <si>
    <t>2020-10 (20DI0147)</t>
  </si>
  <si>
    <t>2020-10 (20DI0146)</t>
  </si>
  <si>
    <t>20PL0119</t>
  </si>
  <si>
    <t>2020-Supplemental Budget - 02 - 1000-03-01-002-004</t>
  </si>
  <si>
    <t>20KB0171</t>
  </si>
  <si>
    <t>SAM-2020-23</t>
  </si>
  <si>
    <t>2020-10 (20DI0145)</t>
  </si>
  <si>
    <t>COBAC IB NO. 002 (G) S. 2020</t>
  </si>
  <si>
    <t>FB20-06-008COR - Procurement of Two (2) Years Subs</t>
  </si>
  <si>
    <t>SAM-2020-24</t>
  </si>
  <si>
    <t>20PL0118</t>
  </si>
  <si>
    <t>2020-10 (20DI0155)</t>
  </si>
  <si>
    <t>INFRA 2020-001</t>
  </si>
  <si>
    <t>2020-06-05B</t>
  </si>
  <si>
    <t>2020-10 (20DI0152)</t>
  </si>
  <si>
    <t>2020-10 (20DI0151)</t>
  </si>
  <si>
    <t>0026/June/2020</t>
  </si>
  <si>
    <t>20PL0121</t>
  </si>
  <si>
    <t>UPC SVP2020-06-023</t>
  </si>
  <si>
    <t>2020-10 (20DI0153)</t>
  </si>
  <si>
    <t>S2-ANT20-007</t>
  </si>
  <si>
    <t>IB NO.  2020-217</t>
  </si>
  <si>
    <t>2020-ODY-06-180</t>
  </si>
  <si>
    <t>PB-07092020-B</t>
  </si>
  <si>
    <t>2020-10 (20DI0154)</t>
  </si>
  <si>
    <t>PB-07092020-A</t>
  </si>
  <si>
    <t>IB 2020-072</t>
  </si>
  <si>
    <t>S2-MPP20-018</t>
  </si>
  <si>
    <t>2020-10 (20DI0159)</t>
  </si>
  <si>
    <t>061620-H01</t>
  </si>
  <si>
    <t>2020-0707-013</t>
  </si>
  <si>
    <t>2020-02-0182-MAIN</t>
  </si>
  <si>
    <t>AGINF2020-0617D</t>
  </si>
  <si>
    <t>1912020</t>
  </si>
  <si>
    <t>20CF0002</t>
  </si>
  <si>
    <t>2020-ODY-06-181</t>
  </si>
  <si>
    <t>AGINF2020-0617B</t>
  </si>
  <si>
    <t>S2-MPP20-023</t>
  </si>
  <si>
    <t>BCS-2020-0129</t>
  </si>
  <si>
    <t>BCS-2020-0128</t>
  </si>
  <si>
    <t>2020-02-0277-MAIN</t>
  </si>
  <si>
    <t>B-G-2020-081</t>
  </si>
  <si>
    <t>1992020</t>
  </si>
  <si>
    <t>2005-24</t>
  </si>
  <si>
    <t>19102020</t>
  </si>
  <si>
    <t>AGINF2020-0617A</t>
  </si>
  <si>
    <t>1982020</t>
  </si>
  <si>
    <t>AGINF2020-0617C</t>
  </si>
  <si>
    <t>20CF0130</t>
  </si>
  <si>
    <t>05-07-2020 - CONCRETING OF FARM TO MARKET ROAD WIT</t>
  </si>
  <si>
    <t>1962020</t>
  </si>
  <si>
    <t>19GL00110</t>
  </si>
  <si>
    <t>1942020</t>
  </si>
  <si>
    <t>1972020</t>
  </si>
  <si>
    <t>HFEP ITB 2020-001</t>
  </si>
  <si>
    <t>1952020</t>
  </si>
  <si>
    <t>B-G-2020-086</t>
  </si>
  <si>
    <t>INP 2020-05-0076</t>
  </si>
  <si>
    <t>2020-BLU-PCF2019-01-03</t>
  </si>
  <si>
    <t>GTLMH-20-013</t>
  </si>
  <si>
    <t>2005152</t>
  </si>
  <si>
    <t>20-06-445</t>
  </si>
  <si>
    <t>20-05-409</t>
  </si>
  <si>
    <t>2003-51</t>
  </si>
  <si>
    <t>B-G-2020-085</t>
  </si>
  <si>
    <t>19GL00112</t>
  </si>
  <si>
    <t>B-G-2020-084</t>
  </si>
  <si>
    <t>B-G-2020-082</t>
  </si>
  <si>
    <t>20GKA0005 / 2020-06-0136</t>
  </si>
  <si>
    <t>2005-34</t>
  </si>
  <si>
    <t>PB2020-004 (GDS)</t>
  </si>
  <si>
    <t>19GL00111</t>
  </si>
  <si>
    <t>2005-25</t>
  </si>
  <si>
    <t>2020-BLU-AM2019-01-02</t>
  </si>
  <si>
    <t>1932020</t>
  </si>
  <si>
    <t>B-G-2020-083</t>
  </si>
  <si>
    <t>PB 20-003</t>
  </si>
  <si>
    <t>CGT-Goods- 2020-00086</t>
  </si>
  <si>
    <t>PROCUREMENT OF VARIOUS VACCINES COBAC IB NO. 003 (</t>
  </si>
  <si>
    <t>06162020001</t>
  </si>
  <si>
    <t>G2020-001-A</t>
  </si>
  <si>
    <t>LMC-2020-SJPIS-011-RO</t>
  </si>
  <si>
    <t>20PD0131</t>
  </si>
  <si>
    <t>19GL00113</t>
  </si>
  <si>
    <t>PB-07092020-C</t>
  </si>
  <si>
    <t>DepED-RO6-D1- Hardware Materials with Installation</t>
  </si>
  <si>
    <t>2020-10 (20DI0157)</t>
  </si>
  <si>
    <t>2020-10 (20DI0156)</t>
  </si>
  <si>
    <t>20202-002</t>
  </si>
  <si>
    <t>2020-10 (20DI0150)</t>
  </si>
  <si>
    <t>F-007-0372-20</t>
  </si>
  <si>
    <t>2020-10 (20DI0149)</t>
  </si>
  <si>
    <t>2020-06-0561-MAIN</t>
  </si>
  <si>
    <t>R1-INIMO-20-05-015</t>
  </si>
  <si>
    <t>1922020</t>
  </si>
  <si>
    <t>137 – 2020</t>
  </si>
  <si>
    <t>B-G-2020-094</t>
  </si>
  <si>
    <t>PR062000636</t>
  </si>
  <si>
    <t>B-G-2020-093</t>
  </si>
  <si>
    <t>B-G-2020-092</t>
  </si>
  <si>
    <t>20-167</t>
  </si>
  <si>
    <t>B-G-2020-091</t>
  </si>
  <si>
    <t>B-G-2020-090</t>
  </si>
  <si>
    <t>2020-10 (20DI0158)</t>
  </si>
  <si>
    <t>B-G-2020-089</t>
  </si>
  <si>
    <t>061620-B1</t>
  </si>
  <si>
    <t>ITB No. R4B-20-06-07</t>
  </si>
  <si>
    <t>136 – 2020</t>
  </si>
  <si>
    <t>S2-LIM20-005</t>
  </si>
  <si>
    <t>2020-07-07-039CW</t>
  </si>
  <si>
    <t>SAN JOAQUIN 2020-01</t>
  </si>
  <si>
    <t>135– 2020</t>
  </si>
  <si>
    <t>138 – 2020</t>
  </si>
  <si>
    <t>2020-07-07-030CW</t>
  </si>
  <si>
    <t>2020-07-07-038CW</t>
  </si>
  <si>
    <t>B-G-2020-088</t>
  </si>
  <si>
    <t>LSPUMCG20-01</t>
  </si>
  <si>
    <t>2020-07-07-036CW</t>
  </si>
  <si>
    <t>MS2020-06-026.3</t>
  </si>
  <si>
    <t>ME2020-06-026.1</t>
  </si>
  <si>
    <t>2020-07-07-034CW</t>
  </si>
  <si>
    <t>MS2020-06-026.2</t>
  </si>
  <si>
    <t>20GFO0015</t>
  </si>
  <si>
    <t>2020-07-07-335PG</t>
  </si>
  <si>
    <t>117213</t>
  </si>
  <si>
    <t>2020-07-07-334PG</t>
  </si>
  <si>
    <t>2020-07-07-333PG</t>
  </si>
  <si>
    <t>2020-07-07-331PG</t>
  </si>
  <si>
    <t>SB6 HDMP19 300-20-06-06236</t>
  </si>
  <si>
    <t>2020-07-07-336PG</t>
  </si>
  <si>
    <t>2020-07-07-332PG</t>
  </si>
  <si>
    <t>2020-07-07-357PG</t>
  </si>
  <si>
    <t>2020-07-07-035CW</t>
  </si>
  <si>
    <t>2020-07-07-037CW</t>
  </si>
  <si>
    <t>2020-07-07-353PG</t>
  </si>
  <si>
    <t>2020-07-07-352PG</t>
  </si>
  <si>
    <t>2020-07-07-356PG</t>
  </si>
  <si>
    <t>2020-07-07-350PG</t>
  </si>
  <si>
    <t>2020-INFRA-016</t>
  </si>
  <si>
    <t>2020-07-07-349PG</t>
  </si>
  <si>
    <t>2020-07-07-348PG</t>
  </si>
  <si>
    <t>2020-07-07-347PG</t>
  </si>
  <si>
    <t>P-07-20</t>
  </si>
  <si>
    <t>ITB No. (INF) 2020-06-091 REHABILITATION/CONSTRUCT</t>
  </si>
  <si>
    <t>ITB No. (INF) 2020-06-090 CONSTRUCTION OF MULTI-PU</t>
  </si>
  <si>
    <t>2020-07-07-031CW</t>
  </si>
  <si>
    <t>ITB No. 033-2020 GQ</t>
  </si>
  <si>
    <t>ITB No. (INF) 2020-06-089 CONCRETING OF CAROLINA –</t>
  </si>
  <si>
    <t>2020-07-07-355PG</t>
  </si>
  <si>
    <t>ITB No. 032-2020  GQ</t>
  </si>
  <si>
    <t>2020-07-07-351PG</t>
  </si>
  <si>
    <t>ITB-ATI-CO-2020-07</t>
  </si>
  <si>
    <t>ITB No. 035-2020 GQ</t>
  </si>
  <si>
    <t>2020-06-051</t>
  </si>
  <si>
    <t>2020-06-22-20DF20 (INFRA)</t>
  </si>
  <si>
    <t>100(01)20-06-026(AA)</t>
  </si>
  <si>
    <t>PR No. 401-047 dated 5/21/20</t>
  </si>
  <si>
    <t>2020-02-004</t>
  </si>
  <si>
    <t>100-20-06-106</t>
  </si>
  <si>
    <t>20-012</t>
  </si>
  <si>
    <t>2020-15-06-26</t>
  </si>
  <si>
    <t>100-20-06-105</t>
  </si>
  <si>
    <t>goods2020_30</t>
  </si>
  <si>
    <t>2020-15-06-25</t>
  </si>
  <si>
    <t>ITB No. 036-2020 GQ</t>
  </si>
  <si>
    <t>2020-15-06-27</t>
  </si>
  <si>
    <t>20-06-175</t>
  </si>
  <si>
    <t>2020-07-07-358PG</t>
  </si>
  <si>
    <t>Invitation to Bid 08-2020</t>
  </si>
  <si>
    <t>goods2020_32</t>
  </si>
  <si>
    <t>goods2020_31</t>
  </si>
  <si>
    <t>772</t>
  </si>
  <si>
    <t>20ID0073</t>
  </si>
  <si>
    <t>ITB No. 037-2020 GQ</t>
  </si>
  <si>
    <t>PR No. 101-201 dated 6/5/2020</t>
  </si>
  <si>
    <t>RFQ NO 20-06-058</t>
  </si>
  <si>
    <t>100-20-05-104</t>
  </si>
  <si>
    <t>2020-06-028-SB2 2019 (INFRA)</t>
  </si>
  <si>
    <t>V01-June-20</t>
  </si>
  <si>
    <t>RFQ-106-2020</t>
  </si>
  <si>
    <t>06152020</t>
  </si>
  <si>
    <t>6-34-20</t>
  </si>
  <si>
    <t>2020-06-04-20DF20 (INFRA)</t>
  </si>
  <si>
    <t>ITB No. 034-2020 GQ</t>
  </si>
  <si>
    <t>P-08-20</t>
  </si>
  <si>
    <t>100-2020-006-022</t>
  </si>
  <si>
    <t>PEO-20-0504 B (REBID)</t>
  </si>
  <si>
    <t>ITB No. (INF) 2020-06-092 CONSTRUCTION OF TRIPLE B</t>
  </si>
  <si>
    <t>2020-02-006</t>
  </si>
  <si>
    <t>2020-06-09-20DF20 (INFRA)</t>
  </si>
  <si>
    <t>PR No. 401-048 dated 5/21/2020</t>
  </si>
  <si>
    <t>100-20-02-015</t>
  </si>
  <si>
    <t>PSU-INFRA-2020-004</t>
  </si>
  <si>
    <t>2020-07-07-359PG</t>
  </si>
  <si>
    <t>CW-1-112-2020</t>
  </si>
  <si>
    <t>2020-06-029-SB2019 (INFRA)</t>
  </si>
  <si>
    <t>V03-June-20</t>
  </si>
  <si>
    <t>RB-06-2020-I</t>
  </si>
  <si>
    <t>H02-June-20</t>
  </si>
  <si>
    <t>PPSC BAC IB NO.007 (G) 2020</t>
  </si>
  <si>
    <t>Invitation to Bid 07-2020</t>
  </si>
  <si>
    <t>blguamot-2019</t>
  </si>
  <si>
    <t>QNV-030-2020</t>
  </si>
  <si>
    <t>2020-07-07-379PG</t>
  </si>
  <si>
    <t>ITB-DIESEL2020</t>
  </si>
  <si>
    <t>PB NO. 2020-036</t>
  </si>
  <si>
    <t>ITB 20-0063</t>
  </si>
  <si>
    <t>RQ 06-112</t>
  </si>
  <si>
    <t>CW43-2020</t>
  </si>
  <si>
    <t>ITB No. 038-2020 GQ</t>
  </si>
  <si>
    <t>IB No. GS-2020 – 051-A</t>
  </si>
  <si>
    <t>ITB No. 039-2020 GQ</t>
  </si>
  <si>
    <t>2020-029</t>
  </si>
  <si>
    <t>ITB 20-0062</t>
  </si>
  <si>
    <t>ITB 20-0065</t>
  </si>
  <si>
    <t>MMO-076-2020</t>
  </si>
  <si>
    <t>2020-06-0002</t>
  </si>
  <si>
    <t>MMO-030-2020</t>
  </si>
  <si>
    <t>RQ 06-029A</t>
  </si>
  <si>
    <t>IB No. GS-2020 – 048-A</t>
  </si>
  <si>
    <t>RB-07-2020-M</t>
  </si>
  <si>
    <t>2020-07-07-375PG</t>
  </si>
  <si>
    <t>CB-2020-016</t>
  </si>
  <si>
    <t>IB No. GS-2020 – 041-A</t>
  </si>
  <si>
    <t>MMO-031-2020</t>
  </si>
  <si>
    <t>PB NO. 2020-037</t>
  </si>
  <si>
    <t>Q-092-20</t>
  </si>
  <si>
    <t>CW-1-114-2020</t>
  </si>
  <si>
    <t>1280-06-00125</t>
  </si>
  <si>
    <t>2020-6-15-5</t>
  </si>
  <si>
    <t>ITB 20-0064</t>
  </si>
  <si>
    <t>IB No. GS-2020 – 072</t>
  </si>
  <si>
    <t>IB No. GS-2020 – 052-A</t>
  </si>
  <si>
    <t>PB-11-2020</t>
  </si>
  <si>
    <t>2020-06-13-20DF20 (INFRA)</t>
  </si>
  <si>
    <t>APR No. 100-20-06-386</t>
  </si>
  <si>
    <t>2020-06-0103</t>
  </si>
  <si>
    <t>MPP-2020-02</t>
  </si>
  <si>
    <t>CabSur2020-001</t>
  </si>
  <si>
    <t>INFRA-BGCMEDF-012020</t>
  </si>
  <si>
    <t>IB No. GS-2020 – 071</t>
  </si>
  <si>
    <t>2020-06-10-20DF20 (INFRA)</t>
  </si>
  <si>
    <t>06-115-2020</t>
  </si>
  <si>
    <t>2020-B-06-024</t>
  </si>
  <si>
    <t>QNV-025-2020</t>
  </si>
  <si>
    <t>100-2020-05-098</t>
  </si>
  <si>
    <t>GEPS-2020-001</t>
  </si>
  <si>
    <t>CW44-2020</t>
  </si>
  <si>
    <t>2020130</t>
  </si>
  <si>
    <t>20BE0089</t>
  </si>
  <si>
    <t>IB-05-0399-20HRND</t>
  </si>
  <si>
    <t>CHMSC 20-018-0615-G</t>
  </si>
  <si>
    <t>CW45-2020</t>
  </si>
  <si>
    <t>20GA0191</t>
  </si>
  <si>
    <t>APR No. 100-20-06-379</t>
  </si>
  <si>
    <t>RQ No. 2020-06-74</t>
  </si>
  <si>
    <t>2020-06-33-20DF20 (INFRA)</t>
  </si>
  <si>
    <t>2020-06-32-20DF20 (INFRA)</t>
  </si>
  <si>
    <t>20BE0088</t>
  </si>
  <si>
    <t>GEPS-2020-002</t>
  </si>
  <si>
    <t>ITB NO. 010 OF 2020</t>
  </si>
  <si>
    <t>2020-07-07-363PG</t>
  </si>
  <si>
    <t>CW RA 7171-24</t>
  </si>
  <si>
    <t>20ID0075</t>
  </si>
  <si>
    <t>PSU ITB 2001-008</t>
  </si>
  <si>
    <t>Supplies 301-2020</t>
  </si>
  <si>
    <t>20HN0083</t>
  </si>
  <si>
    <t>20BC0212</t>
  </si>
  <si>
    <t>20GA0195</t>
  </si>
  <si>
    <t>M-20-20</t>
  </si>
  <si>
    <t>20BC0205</t>
  </si>
  <si>
    <t>20BC0157 re-adv.</t>
  </si>
  <si>
    <t>20GGF0016</t>
  </si>
  <si>
    <t>2020-06-339</t>
  </si>
  <si>
    <t>20-06-059</t>
  </si>
  <si>
    <t>2020-06-34-20DF20 (INFRA)</t>
  </si>
  <si>
    <t>bk-cw-1-2020</t>
  </si>
  <si>
    <t>2020-04-126</t>
  </si>
  <si>
    <t>2020-07-07-360PG</t>
  </si>
  <si>
    <t>VIN BAC 029-2020</t>
  </si>
  <si>
    <t>20-06-054</t>
  </si>
  <si>
    <t>INFRA-2020-04</t>
  </si>
  <si>
    <t>2020-06-35-GF18 (INFRA)</t>
  </si>
  <si>
    <t>VIN BAC 028-2020</t>
  </si>
  <si>
    <t>2020-07-07-365PG</t>
  </si>
  <si>
    <t>20-5244</t>
  </si>
  <si>
    <t>2020-07-07-364PG</t>
  </si>
  <si>
    <t>LGU-Valencia, Bohol 2020-060</t>
  </si>
  <si>
    <t>ITB NO. 012 OF 2020</t>
  </si>
  <si>
    <t>RQ No. 2020-06-75</t>
  </si>
  <si>
    <t>20GA0199</t>
  </si>
  <si>
    <t>LGUBal2020-03</t>
  </si>
  <si>
    <t>PROJECT ID NO. I-2020-007</t>
  </si>
  <si>
    <t>1280-06-00126</t>
  </si>
  <si>
    <t>2020-06-148</t>
  </si>
  <si>
    <t>2020-07-07-362PG</t>
  </si>
  <si>
    <t>VIN BAC 030-2020</t>
  </si>
  <si>
    <t>PB-12-2020</t>
  </si>
  <si>
    <t>ITB NO. 011 OF 2020</t>
  </si>
  <si>
    <t>MPP-2020-03</t>
  </si>
  <si>
    <t>100-20-05-103</t>
  </si>
  <si>
    <t>6-8-20-ID5</t>
  </si>
  <si>
    <t>2020-07-07-376PG</t>
  </si>
  <si>
    <t>016-0720-CP</t>
  </si>
  <si>
    <t>2020-6-15-4</t>
  </si>
  <si>
    <t>20ID0074</t>
  </si>
  <si>
    <t>ITB-19-08018</t>
  </si>
  <si>
    <t>200-20-05-003</t>
  </si>
  <si>
    <t>20BH0141</t>
  </si>
  <si>
    <t>VS-2020-06-01</t>
  </si>
  <si>
    <t>03a-G-2020 (SB)</t>
  </si>
  <si>
    <t>06152020-</t>
  </si>
  <si>
    <t>BXU-2020-28</t>
  </si>
  <si>
    <t>IB No. GS-2020 – 046-A</t>
  </si>
  <si>
    <t>RFQ NO. SVP-010-2020</t>
  </si>
  <si>
    <t>QNV-029-2020</t>
  </si>
  <si>
    <t>2020-07-07-344PG</t>
  </si>
  <si>
    <t>RFQ NO. SVP-009-2020</t>
  </si>
  <si>
    <t>2020-07-07-342PG</t>
  </si>
  <si>
    <t>2020-07-07-339PG</t>
  </si>
  <si>
    <t>2020-07-07-338PG</t>
  </si>
  <si>
    <t>2020-07-07-337PG</t>
  </si>
  <si>
    <t>ITB-140</t>
  </si>
  <si>
    <t>20CSN012</t>
  </si>
  <si>
    <t>2020-07-07-346PG</t>
  </si>
  <si>
    <t>2020-07-07-345PG</t>
  </si>
  <si>
    <t>2020-07-07-048CW</t>
  </si>
  <si>
    <t>2020-07-07-047CW</t>
  </si>
  <si>
    <t>2020-07-07-040CW</t>
  </si>
  <si>
    <t>2020-07-07-058PG</t>
  </si>
  <si>
    <t>2020-07-07-041CW</t>
  </si>
  <si>
    <t>2020-07-07-340PG</t>
  </si>
  <si>
    <t>20-22</t>
  </si>
  <si>
    <t>2020-07-07-049CW</t>
  </si>
  <si>
    <t>B-G-2020-087</t>
  </si>
  <si>
    <t>PB037-20</t>
  </si>
  <si>
    <t>2020-07-07-046CW</t>
  </si>
  <si>
    <t>BAC2020-06-023</t>
  </si>
  <si>
    <t>B5-2020-001</t>
  </si>
  <si>
    <t>RFQ - PR No. 2020-06-0114 dated 6-15-20</t>
  </si>
  <si>
    <t>2020 Caib 088</t>
  </si>
  <si>
    <t>GB 2002-006</t>
  </si>
  <si>
    <t>2020-07-07-366PG</t>
  </si>
  <si>
    <t>20OH0152</t>
  </si>
  <si>
    <t>ITB No. 2020-155-bph-kalilangan</t>
  </si>
  <si>
    <t>ITB No. 2020-154-bpmc</t>
  </si>
  <si>
    <t>20GFO0014</t>
  </si>
  <si>
    <t>ITB No. 2020-156-sp-maramara</t>
  </si>
  <si>
    <t>Bid No. 20-0265</t>
  </si>
  <si>
    <t>0051-2020</t>
  </si>
  <si>
    <t>LGUBal2020-05</t>
  </si>
  <si>
    <t>20GA0203</t>
  </si>
  <si>
    <t>BAC-HO GS No. 2020-0243</t>
  </si>
  <si>
    <t>2020-06-335</t>
  </si>
  <si>
    <t>20GA0054</t>
  </si>
  <si>
    <t>ITB No. UATLMC2020-101-03-005L1</t>
  </si>
  <si>
    <t>LGUBal2020-04</t>
  </si>
  <si>
    <t>BTG3-20GDC0005</t>
  </si>
  <si>
    <t>20HC0181</t>
  </si>
  <si>
    <t>DARROV-4-2020</t>
  </si>
  <si>
    <t>CG-1-135-2020</t>
  </si>
  <si>
    <t>BACII-2020-15</t>
  </si>
  <si>
    <t>20-06-052</t>
  </si>
  <si>
    <t>BAC-2020-0018</t>
  </si>
  <si>
    <t>019-015</t>
  </si>
  <si>
    <t>BAC 2020-31</t>
  </si>
  <si>
    <t>2020-06-36-20DF20 (INFRA)</t>
  </si>
  <si>
    <t>CG-1-119-2020</t>
  </si>
  <si>
    <t>ITB No. 06-GOODS-2019</t>
  </si>
  <si>
    <t>2020-06-37-20DF20 (INFRA)</t>
  </si>
  <si>
    <t>0095-2020</t>
  </si>
  <si>
    <t>LGUPROC 2020 -104R</t>
  </si>
  <si>
    <t>ITB No. UATLMC2020-101-03-005L2</t>
  </si>
  <si>
    <t>2020-SRV-012</t>
  </si>
  <si>
    <t>B-ITB-19-2020-M</t>
  </si>
  <si>
    <t>20-06-057</t>
  </si>
  <si>
    <t>2020-2014</t>
  </si>
  <si>
    <t>BAC 2020-32</t>
  </si>
  <si>
    <t>ITB No. UATLMC2020-101-03-005L5</t>
  </si>
  <si>
    <t>APR No. 100-20-06-417</t>
  </si>
  <si>
    <t>2020-07-07-367PG</t>
  </si>
  <si>
    <t>INFRA-2020-06-35</t>
  </si>
  <si>
    <t>Jiab-2020-25A</t>
  </si>
  <si>
    <t>ITB No. UATLMC2020-101-03-005L4</t>
  </si>
  <si>
    <t>2020-340</t>
  </si>
  <si>
    <t>INFRA-2020-06-36</t>
  </si>
  <si>
    <t>BAC 2020-33</t>
  </si>
  <si>
    <t>2020-06-011 Procurement of Resuce and Communicatio</t>
  </si>
  <si>
    <t>ITB No. UATLMC2020-101-03-005L7</t>
  </si>
  <si>
    <t>MGCP-20G-579A</t>
  </si>
  <si>
    <t>MP-061620-37</t>
  </si>
  <si>
    <t>IB. NO. 2020-176</t>
  </si>
  <si>
    <t>PG-2020-045</t>
  </si>
  <si>
    <t>ITBRA7171-2020-010</t>
  </si>
  <si>
    <t>INFRA-2020-06-39</t>
  </si>
  <si>
    <t>2020-06-012 Procurement of Common-Use Office Suppl</t>
  </si>
  <si>
    <t>2020-Lamitan-27</t>
  </si>
  <si>
    <t>INFRA-2020-06-38</t>
  </si>
  <si>
    <t>ITB No. UATLMC2020-101-03-005L6</t>
  </si>
  <si>
    <t>20NA0070</t>
  </si>
  <si>
    <t>0046-2020</t>
  </si>
  <si>
    <t>INFRA-2020-06-37</t>
  </si>
  <si>
    <t>2020-07-07-369PG</t>
  </si>
  <si>
    <t>DAPA-077-2020</t>
  </si>
  <si>
    <t>2020-07-07-370PG</t>
  </si>
  <si>
    <t>guincam2020-06-001</t>
  </si>
  <si>
    <t>Amagbagan-001</t>
  </si>
  <si>
    <t>2020-80</t>
  </si>
  <si>
    <t>2020-PB-016</t>
  </si>
  <si>
    <t>LGUPROC 2020 -105R</t>
  </si>
  <si>
    <t>2020 INFRA 001</t>
  </si>
  <si>
    <t>Solicitation No. Goods 20-0617-0070</t>
  </si>
  <si>
    <t>MGCP-20I-580A</t>
  </si>
  <si>
    <t>2020-314</t>
  </si>
  <si>
    <t>ITB No. 2020 – 73</t>
  </si>
  <si>
    <t>CBSUA-SIP-GOODS-11-2020</t>
  </si>
  <si>
    <t>20PJ0053</t>
  </si>
  <si>
    <t>2020 - 99</t>
  </si>
  <si>
    <t>guincam2020-06-003</t>
  </si>
  <si>
    <t>P.R. No. 2020-06-0014</t>
  </si>
  <si>
    <t>2020-PB-020</t>
  </si>
  <si>
    <t>ITB NO. GOP/20-DSWD-041</t>
  </si>
  <si>
    <t>20-06-413</t>
  </si>
  <si>
    <t>Bidding-01-Amilongan-June2020</t>
  </si>
  <si>
    <t>61520201</t>
  </si>
  <si>
    <t>6152020</t>
  </si>
  <si>
    <t>RFQ 0320-016</t>
  </si>
  <si>
    <t>guincam2020-06-002</t>
  </si>
  <si>
    <t>2020-PB-018</t>
  </si>
  <si>
    <t>2020-PB-017</t>
  </si>
  <si>
    <t>ITB No. UATLMC2020-101-03-003L2</t>
  </si>
  <si>
    <t>BUSO – 001-20</t>
  </si>
  <si>
    <t>20-06-412</t>
  </si>
  <si>
    <t>cw-2020-016</t>
  </si>
  <si>
    <t>2020-PB-022</t>
  </si>
  <si>
    <t>ITB No. UATLMC2020-101-03-003L1</t>
  </si>
  <si>
    <t>2020-07-07-368PG</t>
  </si>
  <si>
    <t>OD-2020-05-006</t>
  </si>
  <si>
    <t>BAC2020-06-022</t>
  </si>
  <si>
    <t>2020-315</t>
  </si>
  <si>
    <t>guincam2020-06-005</t>
  </si>
  <si>
    <t>20PJ0055</t>
  </si>
  <si>
    <t>20-06-179</t>
  </si>
  <si>
    <t>guincam2020-06-004</t>
  </si>
  <si>
    <t>2020-07-07-371PG</t>
  </si>
  <si>
    <t>20PJ0054</t>
  </si>
  <si>
    <t>ITB 2020-060</t>
  </si>
  <si>
    <t>2020-PB-021</t>
  </si>
  <si>
    <t>20-05-0528</t>
  </si>
  <si>
    <t>doc</t>
  </si>
  <si>
    <t>2020-07-07-374PG</t>
  </si>
  <si>
    <t>BCS-2020-0125</t>
  </si>
  <si>
    <t>BFP Caraga 2020-06-008</t>
  </si>
  <si>
    <t>G-2020-06-016-GF 2020- Capital Outlay</t>
  </si>
  <si>
    <t>IB. NO. K-2020-023(SC)</t>
  </si>
  <si>
    <t>2020-INFRA-14B</t>
  </si>
  <si>
    <t>20PL0117</t>
  </si>
  <si>
    <t>IB No. 2020-020</t>
  </si>
  <si>
    <t>IB. NO. K-2020-024(SC)</t>
  </si>
  <si>
    <t>20PL0116</t>
  </si>
  <si>
    <t>2020-PB-019</t>
  </si>
  <si>
    <t>20PJ0056</t>
  </si>
  <si>
    <t>FSDE19-CS-036-20</t>
  </si>
  <si>
    <t>2020-PB-023</t>
  </si>
  <si>
    <t>20PL0104</t>
  </si>
  <si>
    <t>020-001</t>
  </si>
  <si>
    <t>2020-07-07-372PG</t>
  </si>
  <si>
    <t>ITB 2020-061</t>
  </si>
  <si>
    <t>PR NO. 020004003</t>
  </si>
  <si>
    <t>ITB No. UATLMC2020-101-03-005L3</t>
  </si>
  <si>
    <t>QNV-028-2020</t>
  </si>
  <si>
    <t>IB No. 2020-189</t>
  </si>
  <si>
    <t>20-06-053</t>
  </si>
  <si>
    <t>CB 07 - 2020</t>
  </si>
  <si>
    <t>2020 INFRA 005</t>
  </si>
  <si>
    <t>CB 06 - 2020</t>
  </si>
  <si>
    <t>2020-06-38-20DF20(INFRA)</t>
  </si>
  <si>
    <t>RQ No. 2020-06-76</t>
  </si>
  <si>
    <t>CB 05 - 2020</t>
  </si>
  <si>
    <t>HB 2003-016</t>
  </si>
  <si>
    <t>134-2020</t>
  </si>
  <si>
    <t>20GA0221</t>
  </si>
  <si>
    <t>ITB No. 2020-157-sp-maramara, sp-dinlayan and sp-g</t>
  </si>
  <si>
    <t>2020-06-20</t>
  </si>
  <si>
    <t>20KI0090</t>
  </si>
  <si>
    <t>2020-07-07-377PG</t>
  </si>
  <si>
    <t>PB-2020-22</t>
  </si>
  <si>
    <t>BCS-2020-0126</t>
  </si>
  <si>
    <t>BFP BAC IB No. 001 (I) s. 2020</t>
  </si>
  <si>
    <t>G-2020-06-015 GF 2020</t>
  </si>
  <si>
    <t>2020 INFRA 007</t>
  </si>
  <si>
    <t>20PD0096</t>
  </si>
  <si>
    <t>BFP BAC IB No. 002 (G) s. 2020</t>
  </si>
  <si>
    <t>2020-07-07-382PG</t>
  </si>
  <si>
    <t>BCS-2020-0127</t>
  </si>
  <si>
    <t>20NC0127</t>
  </si>
  <si>
    <t>20NC0126</t>
  </si>
  <si>
    <t>2020-59</t>
  </si>
  <si>
    <t>IB. NO. K-2020-056(SC)</t>
  </si>
  <si>
    <t>20PD0095</t>
  </si>
  <si>
    <t>2020-ICT- PB-001</t>
  </si>
  <si>
    <t>2020-07-07-380PG</t>
  </si>
  <si>
    <t>2020-07-07-381PG</t>
  </si>
  <si>
    <t>BAC 06/15/20-01</t>
  </si>
  <si>
    <t>20PD0087</t>
  </si>
  <si>
    <t>2020-07-07-341PG</t>
  </si>
  <si>
    <t>BAC-HO GS 2020-0239 and BAC-HO GS 2020-0231</t>
  </si>
  <si>
    <t>20-06-55</t>
  </si>
  <si>
    <t>DPWH-SK2DEO-20MH0103</t>
  </si>
  <si>
    <t>DPWH-SK2DEO-20MH0085</t>
  </si>
  <si>
    <t>ITB2020-018</t>
  </si>
  <si>
    <t>2020-006-004</t>
  </si>
  <si>
    <t>CB 08-2020</t>
  </si>
  <si>
    <t>MGPQ-RML-2020-06-004</t>
  </si>
  <si>
    <t>PR # 20-06-0690</t>
  </si>
  <si>
    <t>MZDS-BAC-G-2020-02</t>
  </si>
  <si>
    <t>019-013</t>
  </si>
  <si>
    <t>june2020-1</t>
  </si>
  <si>
    <t>PROJECT # 20-053</t>
  </si>
  <si>
    <t>2020-APP- BOOKS- NCSM-001</t>
  </si>
  <si>
    <t>ITB2020-027</t>
  </si>
  <si>
    <t>PB-INF-19-005</t>
  </si>
  <si>
    <t>2020-07-07-378PG</t>
  </si>
  <si>
    <t>PROJECT # 20-055</t>
  </si>
  <si>
    <t>1-070720</t>
  </si>
  <si>
    <t>ITB2020-028</t>
  </si>
  <si>
    <t>2020-CW-06-05</t>
  </si>
  <si>
    <t>20GEB0041-R1</t>
  </si>
  <si>
    <t>20GEB0032-R1</t>
  </si>
  <si>
    <t>INFRA-CNO-20-0004</t>
  </si>
  <si>
    <t>20GEB0005-R1</t>
  </si>
  <si>
    <t>004 2020 LML</t>
  </si>
  <si>
    <t>PROJECT # 20-043</t>
  </si>
  <si>
    <t>IB 2020-064</t>
  </si>
  <si>
    <t>IB 2020-062</t>
  </si>
  <si>
    <t>IB 2020-06-001I</t>
  </si>
  <si>
    <t>PB NO. 2020-034</t>
  </si>
  <si>
    <t>2020-CW-06-03</t>
  </si>
  <si>
    <t>ITB2020-029</t>
  </si>
  <si>
    <t>IB 2020-037(AMV)</t>
  </si>
  <si>
    <t>GOODS-007-2020</t>
  </si>
  <si>
    <t>RPT-20-0429-B</t>
  </si>
  <si>
    <t>RPT-20-0431-B</t>
  </si>
  <si>
    <t>RPT-20-0400-B</t>
  </si>
  <si>
    <t>IB 2020-063</t>
  </si>
  <si>
    <t>RPT-20-0399-B</t>
  </si>
  <si>
    <t>RPT-20-0398-B</t>
  </si>
  <si>
    <t>PB NO. 2020-035</t>
  </si>
  <si>
    <t>RPT-20-0397-B</t>
  </si>
  <si>
    <t>DepED-RO6-D1-2020QRF(REPAIR)-C1-018-2020</t>
  </si>
  <si>
    <t>2020-02-055</t>
  </si>
  <si>
    <t>RPT-20-0296-B</t>
  </si>
  <si>
    <t>20GEB0064-R1</t>
  </si>
  <si>
    <t>20GEB0042-B-R1</t>
  </si>
  <si>
    <t>RPT-20-0401-B</t>
  </si>
  <si>
    <t>019-014</t>
  </si>
  <si>
    <t>2020-CW-06-04</t>
  </si>
  <si>
    <t>CW47-2020</t>
  </si>
  <si>
    <t>BAC-HO GS 2020-0326</t>
  </si>
  <si>
    <t>RPT-20-0295-B</t>
  </si>
  <si>
    <t>MZDS-BAC-G-2020-03</t>
  </si>
  <si>
    <t>RPT-20-0357-B</t>
  </si>
  <si>
    <t>CW46-2020</t>
  </si>
  <si>
    <t>2020-GOODS-035</t>
  </si>
  <si>
    <t>CW48-2020</t>
  </si>
  <si>
    <t>ITB2020-024</t>
  </si>
  <si>
    <t>2020-GOODS-034</t>
  </si>
  <si>
    <t>PB-INF-19-006</t>
  </si>
  <si>
    <t>RF INFRA GAA CY 2020-06-001</t>
  </si>
  <si>
    <t>DPWH-SK2DEO-20GMH048</t>
  </si>
  <si>
    <t>20GD00003</t>
  </si>
  <si>
    <t>PROJECT # 20-039</t>
  </si>
  <si>
    <t>DPWH-SK2DEO-20GMH047</t>
  </si>
  <si>
    <t>Ada-2020-06-002</t>
  </si>
  <si>
    <t>ITB2020-026</t>
  </si>
  <si>
    <t>AGR-19-1448-B</t>
  </si>
  <si>
    <t>7-06112020</t>
  </si>
  <si>
    <t>CB 10-2020</t>
  </si>
  <si>
    <t>20-5-54</t>
  </si>
  <si>
    <t>4-06112020</t>
  </si>
  <si>
    <t>6-06112020</t>
  </si>
  <si>
    <t>SDH-20-0449-B</t>
  </si>
  <si>
    <t>8-06112020</t>
  </si>
  <si>
    <t>CW20-03</t>
  </si>
  <si>
    <t>SDH-20-0441-B</t>
  </si>
  <si>
    <t>SDH-20-0444-B</t>
  </si>
  <si>
    <t>20GEB0047-A-R1</t>
  </si>
  <si>
    <t>3-06112020</t>
  </si>
  <si>
    <t>SDH-20-0446-B</t>
  </si>
  <si>
    <t>5-06112020</t>
  </si>
  <si>
    <t>1-06112020</t>
  </si>
  <si>
    <t>SDH-20-0445-B</t>
  </si>
  <si>
    <t>ITB2020-025</t>
  </si>
  <si>
    <t>2-06112020</t>
  </si>
  <si>
    <t>ITB 20-072</t>
  </si>
  <si>
    <t>20GLF0031</t>
  </si>
  <si>
    <t>PB-0220-08</t>
  </si>
  <si>
    <t>20 - OG - 001 (G)</t>
  </si>
  <si>
    <t>20BF0060</t>
  </si>
  <si>
    <t>IAEB 041-20</t>
  </si>
  <si>
    <t>20-83-037</t>
  </si>
  <si>
    <t>ITB-2020-05</t>
  </si>
  <si>
    <t>2020-GOODS-014-01-0615</t>
  </si>
  <si>
    <t>SDH-20-0363-B</t>
  </si>
  <si>
    <t>ITB No. 2020-30</t>
  </si>
  <si>
    <t>IB 2020-038(AMV)</t>
  </si>
  <si>
    <t>ITB PR No.: 0777-20BAC</t>
  </si>
  <si>
    <t>IB-2020-067</t>
  </si>
  <si>
    <t>BNLSL-LCB-31A-2020</t>
  </si>
  <si>
    <t>20GJC0193</t>
  </si>
  <si>
    <t>ITB PR No.: 0776-20BAC</t>
  </si>
  <si>
    <t>IB-2020-066</t>
  </si>
  <si>
    <t>BNLSL-LCB-31-2020</t>
  </si>
  <si>
    <t>20-00045</t>
  </si>
  <si>
    <t>IB-2020-065</t>
  </si>
  <si>
    <t>IB 2020-061</t>
  </si>
  <si>
    <t>CONTRACT ID: 20-06-084</t>
  </si>
  <si>
    <t>2020-GSIS-PB-072</t>
  </si>
  <si>
    <t>IB No. 2020-221</t>
  </si>
  <si>
    <t>CONTRACT ID: 20-06-085</t>
  </si>
  <si>
    <t>20CSKG01</t>
  </si>
  <si>
    <t>SDH-20-0362-B</t>
  </si>
  <si>
    <t>20GLF0032</t>
  </si>
  <si>
    <t>2020-GSIS-PB-073</t>
  </si>
  <si>
    <t>20 - OG - 002 (G)</t>
  </si>
  <si>
    <t>Bac-Pg-003-20</t>
  </si>
  <si>
    <t>SDH-20-0447-B</t>
  </si>
  <si>
    <t>SDH-20-0448-B</t>
  </si>
  <si>
    <t>AGR-20-0668-B</t>
  </si>
  <si>
    <t>20GLF0033</t>
  </si>
  <si>
    <t>Ada-2020-06-001</t>
  </si>
  <si>
    <t>SDH-20-0443-B</t>
  </si>
  <si>
    <t>SDH-20-0442-B</t>
  </si>
  <si>
    <t>SDH-20-0273-B</t>
  </si>
  <si>
    <t>P.O.W. 2020-02-130</t>
  </si>
  <si>
    <t>2020-06-19</t>
  </si>
  <si>
    <t>PGR-INFRA-2020-07-3</t>
  </si>
  <si>
    <t>BNLSL-LCB-30-2020</t>
  </si>
  <si>
    <t>GOODS-20-28</t>
  </si>
  <si>
    <t>2020-POBLACION-015</t>
  </si>
  <si>
    <t>SDH-20-0395-B</t>
  </si>
  <si>
    <t>2020-POBLACION-014</t>
  </si>
  <si>
    <t>2020-POBLACION-0012</t>
  </si>
  <si>
    <t>2020-POBLACION-011</t>
  </si>
  <si>
    <t>2020-POBLACION-010</t>
  </si>
  <si>
    <t>2020-POBLACION-008</t>
  </si>
  <si>
    <t>IB. NO. K-2020-049(SC)</t>
  </si>
  <si>
    <t>2020-POBLACION-013</t>
  </si>
  <si>
    <t>2020-POBLACION-009</t>
  </si>
  <si>
    <t>8986655</t>
  </si>
  <si>
    <t>2020-320</t>
  </si>
  <si>
    <t>ITB PR No.: 1087-20BAC</t>
  </si>
  <si>
    <t>2020-042</t>
  </si>
  <si>
    <t>PGR-INFRA-2020-07-2</t>
  </si>
  <si>
    <t>B2020-075-A</t>
  </si>
  <si>
    <t>PGR-INFRA-2020-07-1</t>
  </si>
  <si>
    <t>20PD0100</t>
  </si>
  <si>
    <t>IB. NO. K-2020-028(SC)</t>
  </si>
  <si>
    <t>2020-06-001 COVID 19</t>
  </si>
  <si>
    <t>Pr062000630</t>
  </si>
  <si>
    <t>MB 2020-15 I</t>
  </si>
  <si>
    <t>20200611</t>
  </si>
  <si>
    <t>CP 2020-38</t>
  </si>
  <si>
    <t>CP 2020-37</t>
  </si>
  <si>
    <t>IB-2020-068</t>
  </si>
  <si>
    <t>2020-POBLACION-007</t>
  </si>
  <si>
    <t>2-070720</t>
  </si>
  <si>
    <t>2020 Caib 087</t>
  </si>
  <si>
    <t>PB2020-013</t>
  </si>
  <si>
    <t>PHILGEPS-2020-12</t>
  </si>
  <si>
    <t>PGR-INFRA-2020-07-11</t>
  </si>
  <si>
    <t>ITB PR No.: 0205-20BAC</t>
  </si>
  <si>
    <t>2020-ITB-06-038</t>
  </si>
  <si>
    <t>2020-ITB-06-036</t>
  </si>
  <si>
    <t>PHILGEPS-2020-13</t>
  </si>
  <si>
    <t>2020-ITB-06-028</t>
  </si>
  <si>
    <t>PGR-INFRA-2020-03-05</t>
  </si>
  <si>
    <t>2020-ITB-06-035</t>
  </si>
  <si>
    <t>2020-ITB-06-027</t>
  </si>
  <si>
    <t>PR062000632</t>
  </si>
  <si>
    <t>2020-ITB-06-039</t>
  </si>
  <si>
    <t>PGR-INFRA-2020-07-10</t>
  </si>
  <si>
    <t>2020-ITB-06-034</t>
  </si>
  <si>
    <t>PGR-INFRA-2020-07-8</t>
  </si>
  <si>
    <t>PGR-INFRA-2020-07-6</t>
  </si>
  <si>
    <t>2020-ITB-06-033</t>
  </si>
  <si>
    <t>PGR-INFRA-2020-07-5</t>
  </si>
  <si>
    <t>06-002-2020</t>
  </si>
  <si>
    <t>PGR-INFRA-2020-07-4</t>
  </si>
  <si>
    <t>PGR-INFRA-2020-03-16</t>
  </si>
  <si>
    <t>PGR-INFRA-2020-03-13</t>
  </si>
  <si>
    <t>PGR-INFRA-2020-07-9</t>
  </si>
  <si>
    <t>2020-ITB-06-046</t>
  </si>
  <si>
    <t>2020-INFRA-028</t>
  </si>
  <si>
    <t>2020-ITB-06-045</t>
  </si>
  <si>
    <t>2020-ITB-06-043</t>
  </si>
  <si>
    <t>2020-ITB-06-032</t>
  </si>
  <si>
    <t>PGR-INFRA-2020-03-14</t>
  </si>
  <si>
    <t>2020-ITB-06-030</t>
  </si>
  <si>
    <t>CY2020QRF</t>
  </si>
  <si>
    <t>2020-ITB-06-044</t>
  </si>
  <si>
    <t>2020-ITB-06-037</t>
  </si>
  <si>
    <t>BAL-06-13-2020-Construction of Roofing in the Park</t>
  </si>
  <si>
    <t>4-070720</t>
  </si>
  <si>
    <t>301725</t>
  </si>
  <si>
    <t>2020-06-132</t>
  </si>
  <si>
    <t>BAC-ITIO GS No. 2020-0026 dated 21 April 2020</t>
  </si>
  <si>
    <t>2020-INFRA-032</t>
  </si>
  <si>
    <t>2020-ITB-06-031</t>
  </si>
  <si>
    <t>2020-INFRA-030</t>
  </si>
  <si>
    <t>BAC-ITIO GS No. 2020-0053 dated 02 June 2020</t>
  </si>
  <si>
    <t>2020-INFRA-029</t>
  </si>
  <si>
    <t>PGR-INFRA-2020-03-07</t>
  </si>
  <si>
    <t>PGR-INFRA-2020-03-18</t>
  </si>
  <si>
    <t>PGR-INFRA-2020-07-7</t>
  </si>
  <si>
    <t>DepED-RO6-D1-2020QRF(REPAIR)-C12-029-2020</t>
  </si>
  <si>
    <t>DepED-RO6-D1-2020QRF(REPAIR)-C9-026-2020</t>
  </si>
  <si>
    <t>DepED-RO6-D1-2020QRF(REPAIR)-C13-030-2020</t>
  </si>
  <si>
    <t>DepED-RO6-D1-2020QRF(REPAIR)-C8-025-2020</t>
  </si>
  <si>
    <t>DepED-RO6-D1-2020QRF(REPAIR)-C11-028-2020</t>
  </si>
  <si>
    <t>2020-ITB-06-026</t>
  </si>
  <si>
    <t>2020-ITB-06-029</t>
  </si>
  <si>
    <t>PGR-INFRA-2020-03-22</t>
  </si>
  <si>
    <t>DepED-RO6-D1-2020QRF(REPAIR)-C4-021-2020</t>
  </si>
  <si>
    <t>DepED-RO6-D1-2020QRF(REPAIR)-C10-027-2020</t>
  </si>
  <si>
    <t>DepED-RO6-D1-2020QRF(REPAIR)-C3-020-2020</t>
  </si>
  <si>
    <t>NOSO-Goods-SIP-04-2020</t>
  </si>
  <si>
    <t>DepED-RO6-D1-2020QRF(REPAIR)-C7-024-2020</t>
  </si>
  <si>
    <t>101-20-05-087</t>
  </si>
  <si>
    <t>PUR20-05-0443</t>
  </si>
  <si>
    <t>DepED-RO6-D1-2020QRF(REPAIR)-C6-023-2020</t>
  </si>
  <si>
    <t>20-006-072</t>
  </si>
  <si>
    <t>DepED-RO6-D1-2020QRF(REPAIR)-C27-044-2020</t>
  </si>
  <si>
    <t>DepED-RO6-D1-2020QRF(REPAIR)-C26-043-2020</t>
  </si>
  <si>
    <t>DepED-RO6-D1-2020QRF(REPAIR)-C25-042-2020</t>
  </si>
  <si>
    <t>DepED-RO6-D1-2020QRF(REPAIR)-C23-040-2020</t>
  </si>
  <si>
    <t>DepED-RO6-D1-2020QRF(REPAIR)-C22-039-2020</t>
  </si>
  <si>
    <t>DepED-RO6-D1-2020QRF(REPAIR)-C20-037-2020</t>
  </si>
  <si>
    <t>PUR20-03-0248</t>
  </si>
  <si>
    <t>DepED-RO6-D1-2020QRF(REPAIR)-C24-041-2020</t>
  </si>
  <si>
    <t>DepED-RO6-D1-2020QRF(REPAIR)-C21-038-2020</t>
  </si>
  <si>
    <t>101-20-06-002</t>
  </si>
  <si>
    <t>PB20-01-015CORa-06</t>
  </si>
  <si>
    <t>ITB No. 2020-021</t>
  </si>
  <si>
    <t>PM20-010</t>
  </si>
  <si>
    <t>ITB No. 2020-019</t>
  </si>
  <si>
    <t>PUR20-03-0308</t>
  </si>
  <si>
    <t>ITB No. 2020-017</t>
  </si>
  <si>
    <t>ITB No. 2020-023</t>
  </si>
  <si>
    <t>ITB No. 2020-016</t>
  </si>
  <si>
    <t>ITB No. 2020-020</t>
  </si>
  <si>
    <t>20HA0131</t>
  </si>
  <si>
    <t>ITB No. 2020-024</t>
  </si>
  <si>
    <t>ITB No. 2020-018</t>
  </si>
  <si>
    <t>PUR20-03-0274</t>
  </si>
  <si>
    <t>ITB No. 2020-026</t>
  </si>
  <si>
    <t>DepED-RO6-D1-2020QRF(REPAIR)-C5-022-2020</t>
  </si>
  <si>
    <t>BAC1-20-003</t>
  </si>
  <si>
    <t>PUR20-04-0356</t>
  </si>
  <si>
    <t>DepED-RO6-D1-2020QRF(REPAIR)-C19-036-2020</t>
  </si>
  <si>
    <t>DepED-RO6-D1-2020QRF(REPAIR)-C17-034-2020</t>
  </si>
  <si>
    <t>BAC1-20-013</t>
  </si>
  <si>
    <t>DepED-RO6-D1-2020QRF(REPAIR)-C16-033-2020</t>
  </si>
  <si>
    <t>DepED-RO6-D1-2020QRF(REPAIR)-C15-032-2020</t>
  </si>
  <si>
    <t>QNV-024-2020</t>
  </si>
  <si>
    <t>2020-INFRA-031</t>
  </si>
  <si>
    <t>INFRA-09-20-03</t>
  </si>
  <si>
    <t>INFRA-09-20-02</t>
  </si>
  <si>
    <t>PUR20-03-0241</t>
  </si>
  <si>
    <t>LGU-Banayoyo, ISur 2020-06-044</t>
  </si>
  <si>
    <t>DepED-RO6-D1-2020QRF(REPAIR)-C18-035-2020</t>
  </si>
  <si>
    <t>2020-07-02-016</t>
  </si>
  <si>
    <t>DepED-RO6-D1-2020QRF(REPAIR)-C14-031-2020</t>
  </si>
  <si>
    <t>ITB GOODS 2020-06-32</t>
  </si>
  <si>
    <t>INFRA-09-20-01</t>
  </si>
  <si>
    <t>ITB GOODS 2020-06-33</t>
  </si>
  <si>
    <t>NOSO-Goods-SIP-05-2020</t>
  </si>
  <si>
    <t>LGU-Banayoyo, ISur 2020-06-042</t>
  </si>
  <si>
    <t>PMN2-MD-01</t>
  </si>
  <si>
    <t>2265-20</t>
  </si>
  <si>
    <t>101-20-06-005</t>
  </si>
  <si>
    <t>20DF0188 - 20DF0190</t>
  </si>
  <si>
    <t>2484-20</t>
  </si>
  <si>
    <t>RFQ No. 2020-003</t>
  </si>
  <si>
    <t>CULABA 2020-04</t>
  </si>
  <si>
    <t>fatima-001</t>
  </si>
  <si>
    <t>2583-20</t>
  </si>
  <si>
    <t>2020-07-02-015</t>
  </si>
  <si>
    <t>R1-PIMO-20-05-042</t>
  </si>
  <si>
    <t>BAL-06-13-2020-Concreting of 100 Linear Meter Sori</t>
  </si>
  <si>
    <t>BAL-06-13-2020-Concreting of 700 Linear Meter Bara</t>
  </si>
  <si>
    <t>ITB GOODS 2020-06-35</t>
  </si>
  <si>
    <t>GAAS202001</t>
  </si>
  <si>
    <t>BAL-06-13-2020-Concreting of 100 Linear Meter Bara</t>
  </si>
  <si>
    <t>2020-011R</t>
  </si>
  <si>
    <t>20PB0030</t>
  </si>
  <si>
    <t>2020-06-09-20-03-22</t>
  </si>
  <si>
    <t>01-2020-06M</t>
  </si>
  <si>
    <t>pal-20-06-011</t>
  </si>
  <si>
    <t>GOODS-2020-02-003</t>
  </si>
  <si>
    <t>133 – 2020</t>
  </si>
  <si>
    <t>131 – 2020</t>
  </si>
  <si>
    <t>130 – 2020</t>
  </si>
  <si>
    <t>2020-06-09-20-03-21</t>
  </si>
  <si>
    <t>2020-0042</t>
  </si>
  <si>
    <t>Imbalbalatong-002</t>
  </si>
  <si>
    <t>Dilan-002</t>
  </si>
  <si>
    <t>R1-PIMO-20-056-043</t>
  </si>
  <si>
    <t>132 – 2020</t>
  </si>
  <si>
    <t>LGU-Banayoyo, ISur 2020-06-043</t>
  </si>
  <si>
    <t>KAMBONGGAN202001</t>
  </si>
  <si>
    <t>20PB0029</t>
  </si>
  <si>
    <t>2020-INFRA-015</t>
  </si>
  <si>
    <t>2020-57</t>
  </si>
  <si>
    <t>2020-0900-004</t>
  </si>
  <si>
    <t>ITB GOODS 2020-06-34</t>
  </si>
  <si>
    <t>LGU-Banayoyo, ISur 2020-06-046</t>
  </si>
  <si>
    <t>LGU-Banayoyo, ISur 2020-06-045</t>
  </si>
  <si>
    <t>INFRA-09-20-06</t>
  </si>
  <si>
    <t>INFRA-09-20-05</t>
  </si>
  <si>
    <t>ITB 2020-006</t>
  </si>
  <si>
    <t>INFRA-20-003</t>
  </si>
  <si>
    <t>2020-SRV-010</t>
  </si>
  <si>
    <t>2020-SRV-009</t>
  </si>
  <si>
    <t>ITB 2020-059</t>
  </si>
  <si>
    <t>INFRA-2020-02</t>
  </si>
  <si>
    <t>2020-SRV-006</t>
  </si>
  <si>
    <t>2020-SRV-011</t>
  </si>
  <si>
    <t>BCS-2020-0122</t>
  </si>
  <si>
    <t>R1-PIMO-20-04-033</t>
  </si>
  <si>
    <t>INFRA-09-20-04</t>
  </si>
  <si>
    <t>ITB 2020-058</t>
  </si>
  <si>
    <t>282-20</t>
  </si>
  <si>
    <t>075-20</t>
  </si>
  <si>
    <t>20PB0031</t>
  </si>
  <si>
    <t>2020-SRV-004</t>
  </si>
  <si>
    <t>20PD0127</t>
  </si>
  <si>
    <t>20GFG0016</t>
  </si>
  <si>
    <t>2020-SRV-001</t>
  </si>
  <si>
    <t>ITB GOODS 2020-06-31</t>
  </si>
  <si>
    <t>BAC-ITO GS No. 2020-048 dated 27 May 2020</t>
  </si>
  <si>
    <t>ITB-2020-06-01</t>
  </si>
  <si>
    <t>20PB0032</t>
  </si>
  <si>
    <t>20PD0129</t>
  </si>
  <si>
    <t>ITB 2020-057</t>
  </si>
  <si>
    <t>DepED-RO6-D1-2020QRF(REPAIR)-C2-019-2020</t>
  </si>
  <si>
    <t>PANG-2020-0780</t>
  </si>
  <si>
    <t>PANG-2020-0778</t>
  </si>
  <si>
    <t>20202-SRV-005</t>
  </si>
  <si>
    <t>MSBAC 2020-01-010</t>
  </si>
  <si>
    <t>IB-01-0206-20 VPAFEA SUPPLY, DELIVERY AND INSTALLA</t>
  </si>
  <si>
    <t>IB-01-0186-20 COE-CE SUPPLY AND DELIVERY OF LABORA</t>
  </si>
  <si>
    <t>2020-03-150</t>
  </si>
  <si>
    <t>2020-03-162</t>
  </si>
  <si>
    <t>20GEB0006</t>
  </si>
  <si>
    <t>01-07-2020</t>
  </si>
  <si>
    <t>20II0061</t>
  </si>
  <si>
    <t>ITB No. 2020-025</t>
  </si>
  <si>
    <t>20EB0125</t>
  </si>
  <si>
    <t>PANG-2020-0779</t>
  </si>
  <si>
    <t>20CSA003</t>
  </si>
  <si>
    <t>20CSDM03</t>
  </si>
  <si>
    <t>GOODS2020-005</t>
  </si>
  <si>
    <t>ITB GOODS 2020-06-30</t>
  </si>
  <si>
    <t>PB-ALBAYINFRA-20-01</t>
  </si>
  <si>
    <t>ITB INFRA-023-2020</t>
  </si>
  <si>
    <t>2020-ITB-06-042</t>
  </si>
  <si>
    <t>2020-ITB-06-041</t>
  </si>
  <si>
    <t>2020-ITB-06-040</t>
  </si>
  <si>
    <t>20CSA004</t>
  </si>
  <si>
    <t>2020-06-0010</t>
  </si>
  <si>
    <t>2020-SVP-DENR-EMB-028-02</t>
  </si>
  <si>
    <t>INFRA 2020-006</t>
  </si>
  <si>
    <t>TAGABAKID-2020-01</t>
  </si>
  <si>
    <t>076 - 2020</t>
  </si>
  <si>
    <t>ITB 2020-06-034(GOODS)</t>
  </si>
  <si>
    <t>Goods-2020-PB-O3</t>
  </si>
  <si>
    <t>PANG-2020-0784</t>
  </si>
  <si>
    <t>M-12-20</t>
  </si>
  <si>
    <t>ITB 2020-06-033 (GOODS)</t>
  </si>
  <si>
    <t>KB-INFRA-2020-06</t>
  </si>
  <si>
    <t>20CN0149</t>
  </si>
  <si>
    <t>19A-12-1158</t>
  </si>
  <si>
    <t>PR#20-078</t>
  </si>
  <si>
    <t>20013012020</t>
  </si>
  <si>
    <t>080-2020</t>
  </si>
  <si>
    <t>20013022020</t>
  </si>
  <si>
    <t>60011012020</t>
  </si>
  <si>
    <t>PR 03-3301</t>
  </si>
  <si>
    <t>SN-2020-06-011</t>
  </si>
  <si>
    <t>PR#20-082</t>
  </si>
  <si>
    <t>20A-02-0039</t>
  </si>
  <si>
    <t>20-006-070</t>
  </si>
  <si>
    <t>PR 03-3298</t>
  </si>
  <si>
    <t>PR#20-077</t>
  </si>
  <si>
    <t>RQ 06-081</t>
  </si>
  <si>
    <t>LGU Valencia, Bohol 2020 - 059</t>
  </si>
  <si>
    <t>30-2020</t>
  </si>
  <si>
    <t>PR#20-080</t>
  </si>
  <si>
    <t>20-NFA-EPS-06-001</t>
  </si>
  <si>
    <t>2020-0045</t>
  </si>
  <si>
    <t>2020-0249</t>
  </si>
  <si>
    <t>20A-02-0035</t>
  </si>
  <si>
    <t>PANG-2020-0783</t>
  </si>
  <si>
    <t>20-NFA-EPS-06-002</t>
  </si>
  <si>
    <t>20PI0096</t>
  </si>
  <si>
    <t>ITB GOODS 20-06-009</t>
  </si>
  <si>
    <t>60011032020</t>
  </si>
  <si>
    <t>PR#20-079</t>
  </si>
  <si>
    <t>520200302592</t>
  </si>
  <si>
    <t>02-07-2020</t>
  </si>
  <si>
    <t>037-LGU-LAOANG-2020</t>
  </si>
  <si>
    <t>PB-Sparts-2020-03</t>
  </si>
  <si>
    <t>philgeps06112020</t>
  </si>
  <si>
    <t>PR 03-3300</t>
  </si>
  <si>
    <t>20KB0165</t>
  </si>
  <si>
    <t>RQ 06-082</t>
  </si>
  <si>
    <t>SAF-2020-01</t>
  </si>
  <si>
    <t>LGU - Quirino GOODS 2020 - 003</t>
  </si>
  <si>
    <t>145-2020</t>
  </si>
  <si>
    <t>I.D. NO. –June10-2020-468</t>
  </si>
  <si>
    <t>I.D. NO. –June10-2020-471</t>
  </si>
  <si>
    <t>#106</t>
  </si>
  <si>
    <t>PR No. 2020-06-144</t>
  </si>
  <si>
    <t>I.D. NO. –June10-2020-476</t>
  </si>
  <si>
    <t>023-FTC 2020</t>
  </si>
  <si>
    <t>I.D. NO. –June10-2020-467</t>
  </si>
  <si>
    <t>PROCUREMENT OF GENUINE HP TONER CARTRIDGES (For Ex</t>
  </si>
  <si>
    <t>2020-B5-01</t>
  </si>
  <si>
    <t>itb no. 2020-15</t>
  </si>
  <si>
    <t>LGU BASILISA - 2020 - 0122</t>
  </si>
  <si>
    <t>003-07-2020</t>
  </si>
  <si>
    <t>I.D. NO. –June10-2020-470</t>
  </si>
  <si>
    <t>I.D. NO. –June10-2020-469</t>
  </si>
  <si>
    <t>SRF2020-02</t>
  </si>
  <si>
    <t>Ivitation to Bid 06-2020</t>
  </si>
  <si>
    <t>20Fk0054</t>
  </si>
  <si>
    <t>PR 2020-04-061</t>
  </si>
  <si>
    <t>0106112020</t>
  </si>
  <si>
    <t>2020-15 Lot 1</t>
  </si>
  <si>
    <t>2020-MS-101</t>
  </si>
  <si>
    <t>2020-62 (GAS)</t>
  </si>
  <si>
    <t>06112020-A</t>
  </si>
  <si>
    <t>ITB # 2020 - 001</t>
  </si>
  <si>
    <t>60011022020</t>
  </si>
  <si>
    <t>DA8-Goods-2020-41 (PR No. HVCDP 20-04-28-0551)</t>
  </si>
  <si>
    <t>PR 2020-03-049</t>
  </si>
  <si>
    <t>2020-B5-03</t>
  </si>
  <si>
    <t>DA8-Goods-2020-40 (PR No. RICE 20-05-12-0686)</t>
  </si>
  <si>
    <t>024-FTC 2020</t>
  </si>
  <si>
    <t>ITB GOODS 20-06-010</t>
  </si>
  <si>
    <t>SEC PB 2020-011</t>
  </si>
  <si>
    <t>20CSPA001</t>
  </si>
  <si>
    <t>INFRA 20-25A GENERAL FUND</t>
  </si>
  <si>
    <t>ITB No. 2020-12-EFS</t>
  </si>
  <si>
    <t>GEPS - 2020 - 78</t>
  </si>
  <si>
    <t>2020-09 (20DI0128)</t>
  </si>
  <si>
    <t>GEPS - 2020 - 79</t>
  </si>
  <si>
    <t>ITB GOODS 20-06-011</t>
  </si>
  <si>
    <t>ITB-0611 #3 Package 50</t>
  </si>
  <si>
    <t>PBgoods015-2020</t>
  </si>
  <si>
    <t>pal-20-06-010</t>
  </si>
  <si>
    <t>DA8-Goods-2020-42 (PR No. CORN 20-05-29-0164)</t>
  </si>
  <si>
    <t>2020-09 (20DI0129)</t>
  </si>
  <si>
    <t>LGU - Quirino INFRA 2020 - 006</t>
  </si>
  <si>
    <t>baccaoayan0120</t>
  </si>
  <si>
    <t>ITB-0611 #5 Package 52</t>
  </si>
  <si>
    <t>20PA0134</t>
  </si>
  <si>
    <t>20FK0055</t>
  </si>
  <si>
    <t>2020-63 (GAS)</t>
  </si>
  <si>
    <t>ITB-0611 #4 Package 51</t>
  </si>
  <si>
    <t>GA-BAC-2020-IA-12</t>
  </si>
  <si>
    <t>20FN0100</t>
  </si>
  <si>
    <t>20FN0098</t>
  </si>
  <si>
    <t>20CI0096</t>
  </si>
  <si>
    <t>2020-09 (20DI0133)</t>
  </si>
  <si>
    <t>INFRA 20-26A DEVELOPMENT FUND</t>
  </si>
  <si>
    <t>2020-09 (20DI0132)</t>
  </si>
  <si>
    <t>GOODS-2020-131</t>
  </si>
  <si>
    <t>20CI0095</t>
  </si>
  <si>
    <t>itb no. 2020-16</t>
  </si>
  <si>
    <t>2020-15 Lot 2</t>
  </si>
  <si>
    <t>20FN0101</t>
  </si>
  <si>
    <t>20CI0094</t>
  </si>
  <si>
    <t>2020-09 (20DI0131)</t>
  </si>
  <si>
    <t>ITB-0611 #2 Package 49</t>
  </si>
  <si>
    <t>I.D. NO. –June10-2020-475</t>
  </si>
  <si>
    <t>20FN0099</t>
  </si>
  <si>
    <t>I.D. NO. –June10-2020-473</t>
  </si>
  <si>
    <t>SEC PB 2020-012</t>
  </si>
  <si>
    <t>2020-09 (20DI0130)</t>
  </si>
  <si>
    <t>I.D. NO. –June10-2020-474</t>
  </si>
  <si>
    <t>ITB-0611 #3 Package 56</t>
  </si>
  <si>
    <t>GOODS-2020-132</t>
  </si>
  <si>
    <t>BCS-2020-0119</t>
  </si>
  <si>
    <t>BCS-2020-0118</t>
  </si>
  <si>
    <t>ITB-0611 #1 Package 48</t>
  </si>
  <si>
    <t>007-20</t>
  </si>
  <si>
    <t>ITB-0611 #2 Package 55</t>
  </si>
  <si>
    <t>2020-09 (20DI0137)</t>
  </si>
  <si>
    <t>2020-09 (20DI0136)</t>
  </si>
  <si>
    <t>6-20-37</t>
  </si>
  <si>
    <t>pb-infra-2020-036</t>
  </si>
  <si>
    <t>INFR-022-2020</t>
  </si>
  <si>
    <t>BCS-2020-0120</t>
  </si>
  <si>
    <t>100-18(06-29-2020)</t>
  </si>
  <si>
    <t>062920-01A</t>
  </si>
  <si>
    <t>2020-B5-02</t>
  </si>
  <si>
    <t>062920-04</t>
  </si>
  <si>
    <t>BFAR5BAC-2020-104</t>
  </si>
  <si>
    <t>00306112020</t>
  </si>
  <si>
    <t>2020-09 (20DI0143)</t>
  </si>
  <si>
    <t>C-018-20</t>
  </si>
  <si>
    <t>2020-09 (20DI0144)</t>
  </si>
  <si>
    <t>BAC2020-10</t>
  </si>
  <si>
    <t>2020-09 (20DI0141)</t>
  </si>
  <si>
    <t>2020-09 (20DI0140)</t>
  </si>
  <si>
    <t>BAC-PROP-2020-05</t>
  </si>
  <si>
    <t>062920-02B</t>
  </si>
  <si>
    <t>2LSSM2020A-132</t>
  </si>
  <si>
    <t>C-019-20</t>
  </si>
  <si>
    <t>2020-09 (20DI0142)</t>
  </si>
  <si>
    <t>CJR-004-2020</t>
  </si>
  <si>
    <t>baccaoayan0220</t>
  </si>
  <si>
    <t>2020-12-05-004SRDI</t>
  </si>
  <si>
    <t>2020-09 (20DI0135)</t>
  </si>
  <si>
    <t>062320-03</t>
  </si>
  <si>
    <t>2LSSM2020A-133</t>
  </si>
  <si>
    <t>20HC0180</t>
  </si>
  <si>
    <t>20GEF009 (Re-bid 1)</t>
  </si>
  <si>
    <t>20HH0135</t>
  </si>
  <si>
    <t>Goods 0025-2020</t>
  </si>
  <si>
    <t>HFEP ITB 2020-002</t>
  </si>
  <si>
    <t>06-11-20-215-29NLUC</t>
  </si>
  <si>
    <t>100-18(06-29-2020)1</t>
  </si>
  <si>
    <t>Goods 0017-2020</t>
  </si>
  <si>
    <t>INFR-020-2020</t>
  </si>
  <si>
    <t>Goods 0024-2020</t>
  </si>
  <si>
    <t>INFR-021-2020</t>
  </si>
  <si>
    <t>20HH0139</t>
  </si>
  <si>
    <t>Goods 0023-2020</t>
  </si>
  <si>
    <t>20EF0121</t>
  </si>
  <si>
    <t>PR No.20-0984</t>
  </si>
  <si>
    <t>20OD0191</t>
  </si>
  <si>
    <t>20MC0086</t>
  </si>
  <si>
    <t>20EF0120</t>
  </si>
  <si>
    <t>2LSSM2020A-139</t>
  </si>
  <si>
    <t>CJR-006-2020</t>
  </si>
  <si>
    <t>20EF0119</t>
  </si>
  <si>
    <t>02-838-2020</t>
  </si>
  <si>
    <t>2LSSM2020A-137</t>
  </si>
  <si>
    <t>2020-11-06-007OUS</t>
  </si>
  <si>
    <t>2LSSM2020A-136</t>
  </si>
  <si>
    <t>20CSBG002</t>
  </si>
  <si>
    <t>2LSSM2020A-135</t>
  </si>
  <si>
    <t>2LSSM2020A-174</t>
  </si>
  <si>
    <t>CJR-005-2020</t>
  </si>
  <si>
    <t>ITB-0611 #4 Package 57</t>
  </si>
  <si>
    <t>2LSSM2020A-172</t>
  </si>
  <si>
    <t>2LSSM2020A-138</t>
  </si>
  <si>
    <t>VILLAPAN-2020-002</t>
  </si>
  <si>
    <t>PR 2020-05-088</t>
  </si>
  <si>
    <t>PR 2020-05-087</t>
  </si>
  <si>
    <t>2LSSM2020A-171</t>
  </si>
  <si>
    <t>PR 2020-05-086</t>
  </si>
  <si>
    <t>BG-2020-11</t>
  </si>
  <si>
    <t>2020-09 (20DI0139)</t>
  </si>
  <si>
    <t>20HH0140</t>
  </si>
  <si>
    <t>2LSSM2020A-134</t>
  </si>
  <si>
    <t>2LSSM2020A-142</t>
  </si>
  <si>
    <t>2LSSM2020A-141</t>
  </si>
  <si>
    <t>G-19-2020</t>
  </si>
  <si>
    <t>2LSSM2020A-143</t>
  </si>
  <si>
    <t>2LSSM2020A-180</t>
  </si>
  <si>
    <t>2LSSM2020B-169</t>
  </si>
  <si>
    <t>2LSSM2020A-178</t>
  </si>
  <si>
    <t>2LSSM2020A-179</t>
  </si>
  <si>
    <t>20DQ0115</t>
  </si>
  <si>
    <t>G-16-2020</t>
  </si>
  <si>
    <t>G-18-2020</t>
  </si>
  <si>
    <t>2LSSM2020A-170</t>
  </si>
  <si>
    <t>20DQ0114</t>
  </si>
  <si>
    <t>BG-2020-13</t>
  </si>
  <si>
    <t>2LSSM2020A-177</t>
  </si>
  <si>
    <t>20M00180</t>
  </si>
  <si>
    <t>20BG0147</t>
  </si>
  <si>
    <t>2020-GOODS-032</t>
  </si>
  <si>
    <t>2020-GOODS-031</t>
  </si>
  <si>
    <t>2020-GOODS-030</t>
  </si>
  <si>
    <t>SPC PR NO. BSPD-2020-0003</t>
  </si>
  <si>
    <t>PB2020-007 (PR No. 19-10-1288 and 19-10-1296)</t>
  </si>
  <si>
    <t>NIAZDSIMO-DONGOS SIP PHASE III-CY 2018-004 (INFRA)</t>
  </si>
  <si>
    <t>20M00179</t>
  </si>
  <si>
    <t>20M00181</t>
  </si>
  <si>
    <t>NIAZDSIMO-DONGOS SIP PHASE III-CY 2018-025(GOODS)</t>
  </si>
  <si>
    <t>G-21-2020</t>
  </si>
  <si>
    <t>G-20-2020</t>
  </si>
  <si>
    <t>NIAZDSIMO-CANIPAY SIP PHASE VI - CY 2020-005 (INFR</t>
  </si>
  <si>
    <t>06-084-2020</t>
  </si>
  <si>
    <t>2LSSM2020A-181</t>
  </si>
  <si>
    <t>20CSBG004</t>
  </si>
  <si>
    <t>GSS-002-2020</t>
  </si>
  <si>
    <t>2LSSM2020A-173</t>
  </si>
  <si>
    <t>1960-S3-06</t>
  </si>
  <si>
    <t>G-2020-039</t>
  </si>
  <si>
    <t>CRN 2020-01</t>
  </si>
  <si>
    <t>2020-06-46A</t>
  </si>
  <si>
    <t>2LSSM2020A-176</t>
  </si>
  <si>
    <t>RFQ PR 1912-417</t>
  </si>
  <si>
    <t>2006086</t>
  </si>
  <si>
    <t>Pb-001-20</t>
  </si>
  <si>
    <t>2020-AP-06-021</t>
  </si>
  <si>
    <t>20CSBG003</t>
  </si>
  <si>
    <t>20E00084</t>
  </si>
  <si>
    <t>IB 2020-07-007 PVSV</t>
  </si>
  <si>
    <t>075 - 2020</t>
  </si>
  <si>
    <t>2020-AP-06-022</t>
  </si>
  <si>
    <t>LGU_Piddig_2020_040</t>
  </si>
  <si>
    <t>20-117</t>
  </si>
  <si>
    <t>20-113</t>
  </si>
  <si>
    <t>20-110</t>
  </si>
  <si>
    <t>20-118</t>
  </si>
  <si>
    <t>20-114</t>
  </si>
  <si>
    <t>G-2020-040</t>
  </si>
  <si>
    <t>G-17-2020</t>
  </si>
  <si>
    <t>PEO-19-1503-B</t>
  </si>
  <si>
    <t>Goods-2020-PB-O1</t>
  </si>
  <si>
    <t>127 - 2020</t>
  </si>
  <si>
    <t>20-108</t>
  </si>
  <si>
    <t>G-2020-042</t>
  </si>
  <si>
    <t>1870-S1-07</t>
  </si>
  <si>
    <t>1960-36-001</t>
  </si>
  <si>
    <t>LIMAO-BAC-08-20</t>
  </si>
  <si>
    <t>sj 2020 b jul 001</t>
  </si>
  <si>
    <t>2020-AP-06-020</t>
  </si>
  <si>
    <t>G-2020-043</t>
  </si>
  <si>
    <t>DA RFO-1-2019-GOODS-053-N (b)</t>
  </si>
  <si>
    <t>BNLSL-LCB-05A-2019</t>
  </si>
  <si>
    <t>LIMAO-BAC-07-20</t>
  </si>
  <si>
    <t>ITB2020-06-03</t>
  </si>
  <si>
    <t>20CSKK0004</t>
  </si>
  <si>
    <t>20CW-GSC-022</t>
  </si>
  <si>
    <t>2020-06-56A</t>
  </si>
  <si>
    <t>2020-06-51A</t>
  </si>
  <si>
    <t>2020-06-65A</t>
  </si>
  <si>
    <t>2020-06-55A</t>
  </si>
  <si>
    <t>PR NO. 2020-06-015</t>
  </si>
  <si>
    <t>sj 2020 b jul 002</t>
  </si>
  <si>
    <t>164-20-06-92</t>
  </si>
  <si>
    <t>20FO0100</t>
  </si>
  <si>
    <t>2019-DII-ICSR#3-Alicia-Savings POW</t>
  </si>
  <si>
    <t>20-123</t>
  </si>
  <si>
    <t>20-062</t>
  </si>
  <si>
    <t>PB NO. 2020-033</t>
  </si>
  <si>
    <t>PAFF-2020-0080 &amp; 0081</t>
  </si>
  <si>
    <t>20-122</t>
  </si>
  <si>
    <t>2LSSM2020A-175</t>
  </si>
  <si>
    <t>2019-DII-ICSR#3-Angadanan-Savings POW</t>
  </si>
  <si>
    <t>20DQ0112</t>
  </si>
  <si>
    <t>20-119</t>
  </si>
  <si>
    <t>2LSSM2020A-140</t>
  </si>
  <si>
    <t>20M00182</t>
  </si>
  <si>
    <t>20HH0136</t>
  </si>
  <si>
    <t>20-121</t>
  </si>
  <si>
    <t>2020-11-06-006CA</t>
  </si>
  <si>
    <t>20NH0089(RE-AD)</t>
  </si>
  <si>
    <t>BG-2020-12</t>
  </si>
  <si>
    <t>ITB-0611 #1 Package 54</t>
  </si>
  <si>
    <t>20EF0118</t>
  </si>
  <si>
    <t>ITB-0611 #6 Package 53</t>
  </si>
  <si>
    <t>00206112020</t>
  </si>
  <si>
    <t>128 - 2020</t>
  </si>
  <si>
    <t>I.D. NO. –June10-2020-472</t>
  </si>
  <si>
    <t>146-2020</t>
  </si>
  <si>
    <t>#150</t>
  </si>
  <si>
    <t>2020-09 (20DI0138)</t>
  </si>
  <si>
    <t>BCS-2020-0117</t>
  </si>
  <si>
    <t>2020-09 (20DI0134)</t>
  </si>
  <si>
    <t>147-2020</t>
  </si>
  <si>
    <t>BS 20-02-0193</t>
  </si>
  <si>
    <t>cgb2020-195</t>
  </si>
  <si>
    <t>pinya 2020</t>
  </si>
  <si>
    <t>BS 20-03-0498 &amp; 05-0651</t>
  </si>
  <si>
    <t>20BF0059</t>
  </si>
  <si>
    <t>2020-47</t>
  </si>
  <si>
    <t>BS 20-03-0485</t>
  </si>
  <si>
    <t>2020024</t>
  </si>
  <si>
    <t>HOD-2020-0386</t>
  </si>
  <si>
    <t>PEO-2020-0856</t>
  </si>
  <si>
    <t>VET-2020-0140</t>
  </si>
  <si>
    <t>SanJoseBatsAeb2020-082</t>
  </si>
  <si>
    <t>BS 20-06-ME01</t>
  </si>
  <si>
    <t>20BF0058</t>
  </si>
  <si>
    <t>SanJoseBatsAeb2020-066</t>
  </si>
  <si>
    <t>BAG2020-06-002</t>
  </si>
  <si>
    <t>PR 06-3531</t>
  </si>
  <si>
    <t>SanJoseBatsAeb2020-065</t>
  </si>
  <si>
    <t>BS 20-06-OE006</t>
  </si>
  <si>
    <t>2020-0610</t>
  </si>
  <si>
    <t>ITB2020-06-04</t>
  </si>
  <si>
    <t>ITB2020-06-05</t>
  </si>
  <si>
    <t>BS 20-02-0286</t>
  </si>
  <si>
    <t>2020-06-28</t>
  </si>
  <si>
    <t>SanJoseBatsAeb2020-064</t>
  </si>
  <si>
    <t>20CN0151</t>
  </si>
  <si>
    <t>20CN0150</t>
  </si>
  <si>
    <t>MPBRIS-LCB-08A-2019</t>
  </si>
  <si>
    <t>20CN0152</t>
  </si>
  <si>
    <t>20KB0166</t>
  </si>
  <si>
    <t>#096</t>
  </si>
  <si>
    <t>LGU - Quirino INFRA 2020 - 005</t>
  </si>
  <si>
    <t>ANTIPOLO-01JULY2020-03</t>
  </si>
  <si>
    <t>LGU - Quirino INFRA 2020 - 004</t>
  </si>
  <si>
    <t>INF ITB 20-028</t>
  </si>
  <si>
    <t>ANTIPOLO-01JULY2020-02</t>
  </si>
  <si>
    <t>BS 20-06-OE005</t>
  </si>
  <si>
    <t>BS20-02-0192</t>
  </si>
  <si>
    <t>20GFD0008</t>
  </si>
  <si>
    <t>REF #040-06-2020</t>
  </si>
  <si>
    <t>BS20-06-JS002</t>
  </si>
  <si>
    <t>GFW-2020-06-018</t>
  </si>
  <si>
    <t>ANTIPOLO-01JULY2020-01</t>
  </si>
  <si>
    <t>20K00349</t>
  </si>
  <si>
    <t>20-06-243</t>
  </si>
  <si>
    <t>ITB No. 2020-008</t>
  </si>
  <si>
    <t>06-10-03</t>
  </si>
  <si>
    <t>20CSAI002</t>
  </si>
  <si>
    <t>SanJoseBatsAeb2020-063</t>
  </si>
  <si>
    <t>ANTIPOLO-01JULY2020-09</t>
  </si>
  <si>
    <t>2020-06-0094</t>
  </si>
  <si>
    <t>ANTIPOLO-01JULY2020-08</t>
  </si>
  <si>
    <t>Infra-20-08</t>
  </si>
  <si>
    <t>BS2 0-06-GR003</t>
  </si>
  <si>
    <t>06-10-02</t>
  </si>
  <si>
    <t>IB-GOODS-2020-09 Procurement of Drugs and Medicine</t>
  </si>
  <si>
    <t>SINS-G-2020-11</t>
  </si>
  <si>
    <t>CARC- 2020-GS-02</t>
  </si>
  <si>
    <t>20GFD0007</t>
  </si>
  <si>
    <t>PR 06-3514</t>
  </si>
  <si>
    <t>ANTIPOLO-01JULY2020-05</t>
  </si>
  <si>
    <t>ANTIPOLO-01JULY2020-10</t>
  </si>
  <si>
    <t>BAC-PGCS-007-2020</t>
  </si>
  <si>
    <t>BAC No. 07-05-2020</t>
  </si>
  <si>
    <t>ANTIPOLO-01JULY2020-06</t>
  </si>
  <si>
    <t>cw-2020-015</t>
  </si>
  <si>
    <t>ANTIPOLO-01JULY2020-11</t>
  </si>
  <si>
    <t>06-10-01</t>
  </si>
  <si>
    <t>06-10-05</t>
  </si>
  <si>
    <t>ANTIPOLO-01JULY2020-15</t>
  </si>
  <si>
    <t>GOODS-05</t>
  </si>
  <si>
    <t>ITB2020-06-01 BRGY. SAN VICENTE</t>
  </si>
  <si>
    <t>20K00351</t>
  </si>
  <si>
    <t>IB 2020-027</t>
  </si>
  <si>
    <t>ANTIPOLO-01JULY2020-13</t>
  </si>
  <si>
    <t>INFRA-11</t>
  </si>
  <si>
    <t>GFW-2020-06-019</t>
  </si>
  <si>
    <t>20HG0174</t>
  </si>
  <si>
    <t>20K00350</t>
  </si>
  <si>
    <t>ANTIPOLO-01JULY2020-20</t>
  </si>
  <si>
    <t>INFRA-12</t>
  </si>
  <si>
    <t>BBU-2020-001</t>
  </si>
  <si>
    <t>ANTIPOLO-01JULY2020-04</t>
  </si>
  <si>
    <t>ANTIPOLO-01JULY2020-18</t>
  </si>
  <si>
    <t>2020-0017</t>
  </si>
  <si>
    <t>GOODS-08</t>
  </si>
  <si>
    <t>ANTIPOLO-01JULY2020-19</t>
  </si>
  <si>
    <t>INFRA-2020-018</t>
  </si>
  <si>
    <t>ANTIPOLO-01JULY2020-14</t>
  </si>
  <si>
    <t>PR No. 2020-06-000006</t>
  </si>
  <si>
    <t>ANTIPOLO-01JULY2020-07</t>
  </si>
  <si>
    <t>20CSHN09</t>
  </si>
  <si>
    <t>CWD 24-2020</t>
  </si>
  <si>
    <t>DGPD2020-RFQ06-002-G</t>
  </si>
  <si>
    <t>2020-018-PB</t>
  </si>
  <si>
    <t>INF ITB 20-029</t>
  </si>
  <si>
    <t>Pr No. 2020-06-000001</t>
  </si>
  <si>
    <t>INF ITB 20-030</t>
  </si>
  <si>
    <t>20HG0175</t>
  </si>
  <si>
    <t>ANTIPOLO-01JULY2020-21</t>
  </si>
  <si>
    <t>2020-BC-001</t>
  </si>
  <si>
    <t>NS-06-11-20</t>
  </si>
  <si>
    <t>INFRA-14</t>
  </si>
  <si>
    <t>COB BAC INFRA 2020-003-001</t>
  </si>
  <si>
    <t>SINS-G-2019-18</t>
  </si>
  <si>
    <t>ANTIPOLO-01JULY2020-17</t>
  </si>
  <si>
    <t>06-10-2020-206</t>
  </si>
  <si>
    <t>20FK0052</t>
  </si>
  <si>
    <t>LDF20-06-031</t>
  </si>
  <si>
    <t>G-01-2020</t>
  </si>
  <si>
    <t>INFRA-2020-023</t>
  </si>
  <si>
    <t>INFRA-13</t>
  </si>
  <si>
    <t>001-2020</t>
  </si>
  <si>
    <t>SINS-Inf-2020-03</t>
  </si>
  <si>
    <t>2020-0018</t>
  </si>
  <si>
    <t>20FK0051</t>
  </si>
  <si>
    <t>INFRA-2020-17</t>
  </si>
  <si>
    <t>IMELDA202001</t>
  </si>
  <si>
    <t>062920-01</t>
  </si>
  <si>
    <t>INFRA-15</t>
  </si>
  <si>
    <t>GOODS-07</t>
  </si>
  <si>
    <t>SINS-G-2020-06</t>
  </si>
  <si>
    <t>ANTIPOLO-01JULY2020-16</t>
  </si>
  <si>
    <t>LEE19-06-025</t>
  </si>
  <si>
    <t>OPOL 2020-055</t>
  </si>
  <si>
    <t>INFRA-2020-16</t>
  </si>
  <si>
    <t>ITB (CW-06-2020-018) 20DD0331</t>
  </si>
  <si>
    <t>N-20-06-052</t>
  </si>
  <si>
    <t>ITB (CW-06-2020-018) 20DD0328</t>
  </si>
  <si>
    <t>20-42 BLDG</t>
  </si>
  <si>
    <t>ITB (CW-06-2020-018) 20DD0327</t>
  </si>
  <si>
    <t>ITB (CW-06-2020-018) 20DD0326</t>
  </si>
  <si>
    <t>ITB (CW-06-2020-018) 20DD0329</t>
  </si>
  <si>
    <t>20-41 BLDG</t>
  </si>
  <si>
    <t>ITB No. 2020-010</t>
  </si>
  <si>
    <t>N-20-06-053</t>
  </si>
  <si>
    <t>INFRA-2020-022</t>
  </si>
  <si>
    <t>ITB-2020-JDL-004</t>
  </si>
  <si>
    <t>TF-PB-034</t>
  </si>
  <si>
    <t>BACC-2020-0019</t>
  </si>
  <si>
    <t>PR 9-20-05-0588 - CITY HOSPITAL</t>
  </si>
  <si>
    <t>COB BAC INFRA 2020-003-002</t>
  </si>
  <si>
    <t>LIB2020-001</t>
  </si>
  <si>
    <t>INFRA-2K20-39</t>
  </si>
  <si>
    <t>20-37 RD</t>
  </si>
  <si>
    <t>PR# 20-06-0603</t>
  </si>
  <si>
    <t>2020-220</t>
  </si>
  <si>
    <t>PR 040-02-2020</t>
  </si>
  <si>
    <t>ITB (CW-06-2020-018) 20DD0330</t>
  </si>
  <si>
    <t>ITB (CW-06-2020-018) 20DD0338</t>
  </si>
  <si>
    <t>2020-226</t>
  </si>
  <si>
    <t>06102020-A</t>
  </si>
  <si>
    <t>COB BAC INFRA 2020-003-005</t>
  </si>
  <si>
    <t>2020-224</t>
  </si>
  <si>
    <t>bas 2020-01</t>
  </si>
  <si>
    <t>N-20-06-054</t>
  </si>
  <si>
    <t>273-20</t>
  </si>
  <si>
    <t>278-20</t>
  </si>
  <si>
    <t>BCS-2020-0105</t>
  </si>
  <si>
    <t>TF-PB-036</t>
  </si>
  <si>
    <t>20DB0134</t>
  </si>
  <si>
    <t>ITB No. 2020-015</t>
  </si>
  <si>
    <t>ITB No. 2020-012</t>
  </si>
  <si>
    <t>951</t>
  </si>
  <si>
    <t>2020-223</t>
  </si>
  <si>
    <t>N-20-06-055</t>
  </si>
  <si>
    <t>277-20</t>
  </si>
  <si>
    <t>276-20</t>
  </si>
  <si>
    <t>TF-PB-035</t>
  </si>
  <si>
    <t>ITB (CW-06-2020-018) 20DD0337</t>
  </si>
  <si>
    <t>2020-248</t>
  </si>
  <si>
    <t>ITB No. 2020-013</t>
  </si>
  <si>
    <t>GF 2020-21</t>
  </si>
  <si>
    <t>2020-222</t>
  </si>
  <si>
    <t>274-20</t>
  </si>
  <si>
    <t>20IC0076</t>
  </si>
  <si>
    <t>ITB No. 2020-135-A-pgo-pictd</t>
  </si>
  <si>
    <t>2020-221</t>
  </si>
  <si>
    <t>ITB NO. OCD 2020-10 (INFRA)</t>
  </si>
  <si>
    <t>ITB 20-070</t>
  </si>
  <si>
    <t>275-20</t>
  </si>
  <si>
    <t>PR No. 2020-03-000025</t>
  </si>
  <si>
    <t>DSWD4B-2020-011</t>
  </si>
  <si>
    <t>IT-20-06-001</t>
  </si>
  <si>
    <t>20GKG0027</t>
  </si>
  <si>
    <t>202006100002</t>
  </si>
  <si>
    <t>TF-PB-037</t>
  </si>
  <si>
    <t>COB BAC INFRA 2020-003-004</t>
  </si>
  <si>
    <t>BCS-2020-0113</t>
  </si>
  <si>
    <t>20PA0131</t>
  </si>
  <si>
    <t>AC-2020-05-001</t>
  </si>
  <si>
    <t>CDH-2020-0036-0038,0040,0048-0050,0056,0057,0059-0</t>
  </si>
  <si>
    <t>20LA0337</t>
  </si>
  <si>
    <t>INFRA 2K20-41</t>
  </si>
  <si>
    <t>280-20</t>
  </si>
  <si>
    <t>279-20</t>
  </si>
  <si>
    <t>ITB (CW-06-2020-018) 20DD0336</t>
  </si>
  <si>
    <t>202006100001</t>
  </si>
  <si>
    <t>ITB-2020-PR0903</t>
  </si>
  <si>
    <t>BCS-2020-0109</t>
  </si>
  <si>
    <t>2020-03-14</t>
  </si>
  <si>
    <t>20LA0341</t>
  </si>
  <si>
    <t>281-20</t>
  </si>
  <si>
    <t>202006100003</t>
  </si>
  <si>
    <t>COB BAC INFRA 2020-003-003</t>
  </si>
  <si>
    <t>2020-IG-020</t>
  </si>
  <si>
    <t>GF 2020-22</t>
  </si>
  <si>
    <t>ITB No. 2020-011</t>
  </si>
  <si>
    <t>20LA0340</t>
  </si>
  <si>
    <t>20NA0073 (CLUSTER)</t>
  </si>
  <si>
    <t>SF-GOODS NO. 62-(6-10-20)</t>
  </si>
  <si>
    <t>PAPC-OG3PA_HHSG-2020-11019-5120</t>
  </si>
  <si>
    <t>BCS-2020-0108</t>
  </si>
  <si>
    <t>2020-02-0293-MAIN</t>
  </si>
  <si>
    <t>INFRA 2K20-46</t>
  </si>
  <si>
    <t>ITB 2020-056</t>
  </si>
  <si>
    <t>G-062020-00845</t>
  </si>
  <si>
    <t>20GKG0028</t>
  </si>
  <si>
    <t>2020-02-0384-MAIN</t>
  </si>
  <si>
    <t>2020-03-13</t>
  </si>
  <si>
    <t>TF-PB-038</t>
  </si>
  <si>
    <t>BCS-2020-0112</t>
  </si>
  <si>
    <t>IB-2020-VI-30-07 CONSTRUCTIONNOF BARANGAY HEALTH S</t>
  </si>
  <si>
    <t>GO-20-06-040</t>
  </si>
  <si>
    <t>SEC PB No. 2020-014</t>
  </si>
  <si>
    <t>20-043</t>
  </si>
  <si>
    <t>IB-2020-VI-30-05 CONSTRUCTION OF BRGY HEALTH STATI</t>
  </si>
  <si>
    <t>20PG0061</t>
  </si>
  <si>
    <t>ITB 20-071</t>
  </si>
  <si>
    <t>20NA0072</t>
  </si>
  <si>
    <t>INFRA 2K20-49</t>
  </si>
  <si>
    <t>ITB 2020-055</t>
  </si>
  <si>
    <t>2020-02-0190-MAIN</t>
  </si>
  <si>
    <t>20OI0121</t>
  </si>
  <si>
    <t>IB-2020-VI-30-04 TRAFFIC SIGN WITH STAND (SITMO)</t>
  </si>
  <si>
    <t>UPB-BID-2020-04A</t>
  </si>
  <si>
    <t>2020-02-0192-MAIN</t>
  </si>
  <si>
    <t>GOODS-20-27</t>
  </si>
  <si>
    <t>IB-2020-VI-30-02-CONSTRUCTION MATERIALS (TORDESILL</t>
  </si>
  <si>
    <t>PR Nos. 1000031284, 1000031790</t>
  </si>
  <si>
    <t>IB NO. 2020-041-A</t>
  </si>
  <si>
    <t>GO-20-06-041</t>
  </si>
  <si>
    <t>GO-20-06-039</t>
  </si>
  <si>
    <t>TF-PB-039</t>
  </si>
  <si>
    <t>BCS-2020-0111</t>
  </si>
  <si>
    <t>2020-04-15</t>
  </si>
  <si>
    <t>PAPC-OG9PA_HHSG-2020-11228-5249</t>
  </si>
  <si>
    <t>SEC PB No. 2020-013</t>
  </si>
  <si>
    <t>896-20</t>
  </si>
  <si>
    <t>BCS-2020-0110</t>
  </si>
  <si>
    <t>BCS-2020-0106</t>
  </si>
  <si>
    <t>20LA0338</t>
  </si>
  <si>
    <t>202006114</t>
  </si>
  <si>
    <t>B-82-2020</t>
  </si>
  <si>
    <t>BAC 06/10/20-01</t>
  </si>
  <si>
    <t>20LA0339</t>
  </si>
  <si>
    <t>PAPC-OG9PA_HHSG-2020-11226-5248</t>
  </si>
  <si>
    <t>202006113</t>
  </si>
  <si>
    <t>19-11-1126 Re-bid</t>
  </si>
  <si>
    <t>BCS-2020-0107</t>
  </si>
  <si>
    <t>LGU-Las Navas:002-06-2020</t>
  </si>
  <si>
    <t>PNPTR-AKG-DP-20-03</t>
  </si>
  <si>
    <t>ITB-2020-JDL-005 Re-Bid</t>
  </si>
  <si>
    <t>202006112</t>
  </si>
  <si>
    <t>2020-02-023(05206441)</t>
  </si>
  <si>
    <t>IB-2020-VI-30-07-CONSTRUCTION OF BARANGAY HEALTH S</t>
  </si>
  <si>
    <t>20-03-0161</t>
  </si>
  <si>
    <t>IAEB 217-20</t>
  </si>
  <si>
    <t>IB-2020-VI-30-08 CONSTRUCTION BARANGAY HEALTH STAT</t>
  </si>
  <si>
    <t>ITB No.005.June 9,2020.GSO.LGU.Lugait</t>
  </si>
  <si>
    <t>ITB 2020-06</t>
  </si>
  <si>
    <t>02062020</t>
  </si>
  <si>
    <t>ITB PR No.: 0770-20BAC</t>
  </si>
  <si>
    <t>WPU-2020-010</t>
  </si>
  <si>
    <t>20PA0132</t>
  </si>
  <si>
    <t>328-2020</t>
  </si>
  <si>
    <t>Jiab-2020-20A</t>
  </si>
  <si>
    <t>Invitation to Bid 20-33</t>
  </si>
  <si>
    <t>IB-2020-VI-30-10 CONSTRUCTION MATERIALS (EGANA &amp; S</t>
  </si>
  <si>
    <t>LGU-Las Navas:003-06-2020</t>
  </si>
  <si>
    <t>INFRA 2020-03-001</t>
  </si>
  <si>
    <t>Calaca 2020-048</t>
  </si>
  <si>
    <t>BAC 06/10/20-02</t>
  </si>
  <si>
    <t>268-2020</t>
  </si>
  <si>
    <t>INFRA 2K20-50</t>
  </si>
  <si>
    <t>ITB No.006.June 9,2020.GSO.LGU.Lugait</t>
  </si>
  <si>
    <t>2020-69</t>
  </si>
  <si>
    <t>07062020</t>
  </si>
  <si>
    <t>20GHF0006</t>
  </si>
  <si>
    <t>Publication No. 29-2020-G</t>
  </si>
  <si>
    <t>ITB PR 0224</t>
  </si>
  <si>
    <t>01062020</t>
  </si>
  <si>
    <t>ITB 2020 - 076</t>
  </si>
  <si>
    <t>Publication No. 28-2020-G</t>
  </si>
  <si>
    <t>ITB PR No.: 0852-20BAC</t>
  </si>
  <si>
    <t>ITB PR No.: 0853-20BAC</t>
  </si>
  <si>
    <t>IAEB 218-20</t>
  </si>
  <si>
    <t>11062020</t>
  </si>
  <si>
    <t>10062020</t>
  </si>
  <si>
    <t>ITB-KOR: 20-06-0673 PNP</t>
  </si>
  <si>
    <t>2020-73</t>
  </si>
  <si>
    <t>03062020</t>
  </si>
  <si>
    <t>20PG0062</t>
  </si>
  <si>
    <t>ITB-KOR: 20-06-0645 CENRO</t>
  </si>
  <si>
    <t>2020-72</t>
  </si>
  <si>
    <t>Calaca 2020-051</t>
  </si>
  <si>
    <t>ITB-KOR: 20-06-0674 CMO</t>
  </si>
  <si>
    <t>I-2020-011</t>
  </si>
  <si>
    <t>IB No. 2020-039</t>
  </si>
  <si>
    <t>IB No. 2020-040</t>
  </si>
  <si>
    <t>HS-5020308000-070-2020</t>
  </si>
  <si>
    <t>21062020</t>
  </si>
  <si>
    <t>09062020</t>
  </si>
  <si>
    <t>Publication No. 32-2020-G</t>
  </si>
  <si>
    <t>19062020</t>
  </si>
  <si>
    <t>18062020</t>
  </si>
  <si>
    <t>16062020</t>
  </si>
  <si>
    <t>G-2020-204</t>
  </si>
  <si>
    <t>04062020</t>
  </si>
  <si>
    <t>15062020</t>
  </si>
  <si>
    <t>17062020</t>
  </si>
  <si>
    <t>2020-74</t>
  </si>
  <si>
    <t>20062020</t>
  </si>
  <si>
    <t>12062020</t>
  </si>
  <si>
    <t>14062020</t>
  </si>
  <si>
    <t>Calaca 2019-133</t>
  </si>
  <si>
    <t>2020-0247</t>
  </si>
  <si>
    <t>MKWD2020-047</t>
  </si>
  <si>
    <t>PB-Goods-13-2020</t>
  </si>
  <si>
    <t>19MC0244 (Re-Published)</t>
  </si>
  <si>
    <t>BCS-2020-0115</t>
  </si>
  <si>
    <t>13062020</t>
  </si>
  <si>
    <t>23062020</t>
  </si>
  <si>
    <t>C-2020-01</t>
  </si>
  <si>
    <t>20-237</t>
  </si>
  <si>
    <t>I-2020-012</t>
  </si>
  <si>
    <t>BWWGEBAC #2020-004</t>
  </si>
  <si>
    <t>20GFE0011</t>
  </si>
  <si>
    <t>PIKCOT-002020-014</t>
  </si>
  <si>
    <t>2020-145-I</t>
  </si>
  <si>
    <t>20-DO-0083</t>
  </si>
  <si>
    <t>20HI0080</t>
  </si>
  <si>
    <t>20HI0072</t>
  </si>
  <si>
    <t>PIKCOT-002020-013</t>
  </si>
  <si>
    <t>2020-144-I</t>
  </si>
  <si>
    <t>PBD 20-061A</t>
  </si>
  <si>
    <t>20HI0075</t>
  </si>
  <si>
    <t>PB-Goods-14-2020</t>
  </si>
  <si>
    <t>BCS-2020-0114</t>
  </si>
  <si>
    <t>20HI0071</t>
  </si>
  <si>
    <t>INFRA-PB-2020-012</t>
  </si>
  <si>
    <t>INFRA-PB-2020-014</t>
  </si>
  <si>
    <t>IB No. 2020-222</t>
  </si>
  <si>
    <t>INFRA-PB-2020-013</t>
  </si>
  <si>
    <t>20-432</t>
  </si>
  <si>
    <t>20-082</t>
  </si>
  <si>
    <t>BAC-HO GS No. 2020-0227 dated 26 May 2020 (SSD)</t>
  </si>
  <si>
    <t>I-2020-013</t>
  </si>
  <si>
    <t>PIKCOT-002020-012</t>
  </si>
  <si>
    <t>20-409</t>
  </si>
  <si>
    <t>J.O. No. 2020-05-JO61</t>
  </si>
  <si>
    <t>INFRA-PB-2020-011</t>
  </si>
  <si>
    <t>20-292</t>
  </si>
  <si>
    <t>IB_CivilWorks_2020-06-034</t>
  </si>
  <si>
    <t>HS-5020399000-069-2020</t>
  </si>
  <si>
    <t>ITB- 2020-06</t>
  </si>
  <si>
    <t>DA3-2020-04-29-81</t>
  </si>
  <si>
    <t>20-297</t>
  </si>
  <si>
    <t>06102020</t>
  </si>
  <si>
    <t>PIKCOT-002020-015</t>
  </si>
  <si>
    <t>RIZAL-30JUNE2020-4</t>
  </si>
  <si>
    <t>RIZAL-30JUNE2020-3</t>
  </si>
  <si>
    <t>RIZAL-30JUNE2020-2</t>
  </si>
  <si>
    <t>msj-2020-17</t>
  </si>
  <si>
    <t>20-288</t>
  </si>
  <si>
    <t>20-00042</t>
  </si>
  <si>
    <t>20GSDG0014</t>
  </si>
  <si>
    <t>IB No. GS-2020 – 070</t>
  </si>
  <si>
    <t>RIZAL-30JUNE2020-1</t>
  </si>
  <si>
    <t>RIZAL-30JUNE2020-6</t>
  </si>
  <si>
    <t>RIZAL-30JUNE2020-24</t>
  </si>
  <si>
    <t>RIZAL-30JUNE2020-23</t>
  </si>
  <si>
    <t>RIZAL-30JUNE2020-22</t>
  </si>
  <si>
    <t>RIZAL-30JUNE2020-21</t>
  </si>
  <si>
    <t>RIZAL-30JUNE2020-20</t>
  </si>
  <si>
    <t>RIZAL-30JUNE2020-19</t>
  </si>
  <si>
    <t>RIZAL-30JUNE2020-18</t>
  </si>
  <si>
    <t>RIZAL-30JUNE2020-17</t>
  </si>
  <si>
    <t>RIZAL-30JUNE2020-16</t>
  </si>
  <si>
    <t>INFRA-PB-2020-010</t>
  </si>
  <si>
    <t>RIZAL-30JUNE2020-13</t>
  </si>
  <si>
    <t>RIZAL-30JUNE2020-12</t>
  </si>
  <si>
    <t>MGPQ-RML-2020-06-002(2)</t>
  </si>
  <si>
    <t>RIZAL-30JUNE2020-15</t>
  </si>
  <si>
    <t>RIZAL-30JUNE2020-9</t>
  </si>
  <si>
    <t>RIZAL-30JUNE2020-8</t>
  </si>
  <si>
    <t>RIZAL-30JUNE2020-7</t>
  </si>
  <si>
    <t>RIZAL-30JUNE2020-5</t>
  </si>
  <si>
    <t>INFRA-2020-006</t>
  </si>
  <si>
    <t>RIZAL-30JUNE2020-14</t>
  </si>
  <si>
    <t>RIZAL-30JUNE2020-11</t>
  </si>
  <si>
    <t>RIZAL-30JUNE2020-10</t>
  </si>
  <si>
    <t>19GPC0018</t>
  </si>
  <si>
    <t>2002-06-013</t>
  </si>
  <si>
    <t>REI No. 2020-013</t>
  </si>
  <si>
    <t>PIKCOT-002020-011</t>
  </si>
  <si>
    <t>20-278</t>
  </si>
  <si>
    <t>20CSA002</t>
  </si>
  <si>
    <t>PB-Goods-11-2020</t>
  </si>
  <si>
    <t>HS-5021299000-043-2020</t>
  </si>
  <si>
    <t>042020662</t>
  </si>
  <si>
    <t>2020-0306</t>
  </si>
  <si>
    <t>IB. NO. 2020-206</t>
  </si>
  <si>
    <t>2020-0248</t>
  </si>
  <si>
    <t>Publication No. 31-2020-G</t>
  </si>
  <si>
    <t>ITB-KOR: 20-06-0677 CSU</t>
  </si>
  <si>
    <t>ITB PR No.: 0854-20BAC</t>
  </si>
  <si>
    <t>Publication No. 30-2020-G</t>
  </si>
  <si>
    <t>HS-5021299000-027-2020</t>
  </si>
  <si>
    <t>22062020</t>
  </si>
  <si>
    <t>IN-BAC-2020-06-057</t>
  </si>
  <si>
    <t>2020-71</t>
  </si>
  <si>
    <t>2020-70</t>
  </si>
  <si>
    <t>Calaca 2020-050</t>
  </si>
  <si>
    <t>SB-2020-012</t>
  </si>
  <si>
    <t>237-2020</t>
  </si>
  <si>
    <t>RIZAL-30JUNE2020-25</t>
  </si>
  <si>
    <t>235-2020</t>
  </si>
  <si>
    <t>236-2020</t>
  </si>
  <si>
    <t>2020LGUMROFDL031</t>
  </si>
  <si>
    <t>08062020</t>
  </si>
  <si>
    <t>20ITB-G-02-00033</t>
  </si>
  <si>
    <t>2020-06-311</t>
  </si>
  <si>
    <t>HS-5021299000-020-2020</t>
  </si>
  <si>
    <t>2020-05-278</t>
  </si>
  <si>
    <t>20GGM0010</t>
  </si>
  <si>
    <t>SB-2020-006</t>
  </si>
  <si>
    <t>PB-PAFBAC-151-20</t>
  </si>
  <si>
    <t>PR NO. 100-8751-20-05-0561</t>
  </si>
  <si>
    <t>248-2020</t>
  </si>
  <si>
    <t>247-2020</t>
  </si>
  <si>
    <t>245-2020</t>
  </si>
  <si>
    <t>244-2020</t>
  </si>
  <si>
    <t>SB-2020-009</t>
  </si>
  <si>
    <t>243-2020</t>
  </si>
  <si>
    <t>G-2020-324</t>
  </si>
  <si>
    <t>20-02-00139</t>
  </si>
  <si>
    <t>PB-Goods-12-2020</t>
  </si>
  <si>
    <t>I-2020-010</t>
  </si>
  <si>
    <t>246-2020</t>
  </si>
  <si>
    <t>I-2020-008</t>
  </si>
  <si>
    <t>I-062020-00833</t>
  </si>
  <si>
    <t>G-2020-284</t>
  </si>
  <si>
    <t>G-2020-278</t>
  </si>
  <si>
    <t>G-2020-200</t>
  </si>
  <si>
    <t>IN-BAC-2020-06-058</t>
  </si>
  <si>
    <t>2020023</t>
  </si>
  <si>
    <t>20HI0093</t>
  </si>
  <si>
    <t>251-20</t>
  </si>
  <si>
    <t>G-2020-277</t>
  </si>
  <si>
    <t>06092020</t>
  </si>
  <si>
    <t>G-2020-209</t>
  </si>
  <si>
    <t>I-062020-00834</t>
  </si>
  <si>
    <t>JCH-20-0225-B</t>
  </si>
  <si>
    <t>242-2020</t>
  </si>
  <si>
    <t>20PL0112</t>
  </si>
  <si>
    <t>250-20</t>
  </si>
  <si>
    <t>MG-A7T20-051</t>
  </si>
  <si>
    <t>QSU-BAC-F-02-2020 DA-ACEF</t>
  </si>
  <si>
    <t>20-003</t>
  </si>
  <si>
    <t>GOOD-2020-003</t>
  </si>
  <si>
    <t>GOOD-2020-001</t>
  </si>
  <si>
    <t>DDH-19-2097-B</t>
  </si>
  <si>
    <t>MG-A7C20-025</t>
  </si>
  <si>
    <t>G-2020-279</t>
  </si>
  <si>
    <t>20HI0092</t>
  </si>
  <si>
    <t>249-20</t>
  </si>
  <si>
    <t>I-062020-00838</t>
  </si>
  <si>
    <t>LF 2020-023</t>
  </si>
  <si>
    <t>20IB0142</t>
  </si>
  <si>
    <t>20HI0073 (re-ad)</t>
  </si>
  <si>
    <t>257-20</t>
  </si>
  <si>
    <t>256-20</t>
  </si>
  <si>
    <t>PB 06-04-2020</t>
  </si>
  <si>
    <t>I-062020-00840</t>
  </si>
  <si>
    <t>bacgal-49-2020</t>
  </si>
  <si>
    <t>GOOD-2020-002</t>
  </si>
  <si>
    <t>GS-PNBAC2-2020-24</t>
  </si>
  <si>
    <t>258-20</t>
  </si>
  <si>
    <t>LF 2020-026</t>
  </si>
  <si>
    <t>LF 2020-024</t>
  </si>
  <si>
    <t>254-20</t>
  </si>
  <si>
    <t>FRT-19-1689-B(REBID)</t>
  </si>
  <si>
    <t>6-20-21</t>
  </si>
  <si>
    <t>268-20</t>
  </si>
  <si>
    <t>267-20</t>
  </si>
  <si>
    <t>20PL0114</t>
  </si>
  <si>
    <t>266-20</t>
  </si>
  <si>
    <t>LF 2020-025</t>
  </si>
  <si>
    <t>264-20</t>
  </si>
  <si>
    <t>GS-PNBAC2-2020-26</t>
  </si>
  <si>
    <t>255-20</t>
  </si>
  <si>
    <t>263-20</t>
  </si>
  <si>
    <t>261-20</t>
  </si>
  <si>
    <t>259-20</t>
  </si>
  <si>
    <t>I-062020-00839</t>
  </si>
  <si>
    <t>GEPS-14-2020</t>
  </si>
  <si>
    <t>infra-2020-04</t>
  </si>
  <si>
    <t>262-20</t>
  </si>
  <si>
    <t>TINOC-2020-04-GOODS</t>
  </si>
  <si>
    <t>265-20</t>
  </si>
  <si>
    <t>260-20</t>
  </si>
  <si>
    <t>HILONGOS 2020-180</t>
  </si>
  <si>
    <t>BFP R3 BAC IB No. 2020-004 (INFRA)</t>
  </si>
  <si>
    <t>BUE-06092020-01</t>
  </si>
  <si>
    <t>bacgal-50-2020</t>
  </si>
  <si>
    <t>PCADG-06-09-2020</t>
  </si>
  <si>
    <t>272-20</t>
  </si>
  <si>
    <t>bacgal-51-2020</t>
  </si>
  <si>
    <t>12-2020_INFR</t>
  </si>
  <si>
    <t>ITB No. 2020-29</t>
  </si>
  <si>
    <t>270-20</t>
  </si>
  <si>
    <t>269-20</t>
  </si>
  <si>
    <t>253-20</t>
  </si>
  <si>
    <t>20LC0155</t>
  </si>
  <si>
    <t>GS-PNBAC2-2020-28</t>
  </si>
  <si>
    <t>2020-06-09-002</t>
  </si>
  <si>
    <t>252-20</t>
  </si>
  <si>
    <t>20GII0009</t>
  </si>
  <si>
    <t>101-2020-05-0188</t>
  </si>
  <si>
    <t>TINOC-2020-05-GOODS</t>
  </si>
  <si>
    <t>20PL0113</t>
  </si>
  <si>
    <t>203-20</t>
  </si>
  <si>
    <t>177-20</t>
  </si>
  <si>
    <t>BTG3-2020-0207</t>
  </si>
  <si>
    <t>101-20-06-267</t>
  </si>
  <si>
    <t>GOOD-2020-004</t>
  </si>
  <si>
    <t>271-20</t>
  </si>
  <si>
    <t>101-2020-05-0193</t>
  </si>
  <si>
    <t>MAILHI200601</t>
  </si>
  <si>
    <t>2020-06-0334</t>
  </si>
  <si>
    <t>2020-ANT-GOODS-0105</t>
  </si>
  <si>
    <t>MG-A7M20-074</t>
  </si>
  <si>
    <t>2006-0600</t>
  </si>
  <si>
    <t>2020-06-0333</t>
  </si>
  <si>
    <t>2006-0601</t>
  </si>
  <si>
    <t>18-20</t>
  </si>
  <si>
    <t>2006-0599</t>
  </si>
  <si>
    <t>2020-06-001 GD</t>
  </si>
  <si>
    <t>2020-06-0335</t>
  </si>
  <si>
    <t>2020-03-203</t>
  </si>
  <si>
    <t>20PC0052</t>
  </si>
  <si>
    <t>BFP R3 BAC IB No. 2020-002 (INFRA)</t>
  </si>
  <si>
    <t>101-2020-05-0187</t>
  </si>
  <si>
    <t>20PE0085</t>
  </si>
  <si>
    <t>PB-INF-002-2020</t>
  </si>
  <si>
    <t>20GAB0003</t>
  </si>
  <si>
    <t>20PE0086</t>
  </si>
  <si>
    <t>Lot 1 (Lucio Vivero CS)-Bid Docs_2020 QRF-Repair -</t>
  </si>
  <si>
    <t>20-06-074</t>
  </si>
  <si>
    <t>PB-INF-003-2020</t>
  </si>
  <si>
    <t>BFP R3 BAC IB No. 2020-003 (INFRA)</t>
  </si>
  <si>
    <t>Aklan BAC ITB 335 Series of 2020</t>
  </si>
  <si>
    <t>LGU-100-2020-06-G-416</t>
  </si>
  <si>
    <t>LGU-100-2020-06-I-008</t>
  </si>
  <si>
    <t>IB NO. 2020-220</t>
  </si>
  <si>
    <t>02-2020 pongol</t>
  </si>
  <si>
    <t>20NF0078</t>
  </si>
  <si>
    <t>LGU-100-2020-06-I-007</t>
  </si>
  <si>
    <t>20NF0077</t>
  </si>
  <si>
    <t>20PE0088</t>
  </si>
  <si>
    <t>20PC0059</t>
  </si>
  <si>
    <t>G-062020-00841</t>
  </si>
  <si>
    <t>20PE0089</t>
  </si>
  <si>
    <t>2020-54</t>
  </si>
  <si>
    <t>20PE0087</t>
  </si>
  <si>
    <t>PB-0320-10</t>
  </si>
  <si>
    <t>2020-08 (20DI0116)</t>
  </si>
  <si>
    <t>N20-LDF-095</t>
  </si>
  <si>
    <t>01-2020 pongol</t>
  </si>
  <si>
    <t>20053297</t>
  </si>
  <si>
    <t>2020-0609-4</t>
  </si>
  <si>
    <t>2020-019(Re-Bid)</t>
  </si>
  <si>
    <t>lam-bac-206-020</t>
  </si>
  <si>
    <t>2020-0609-2</t>
  </si>
  <si>
    <t>20NC0121</t>
  </si>
  <si>
    <t>2020-0609-3</t>
  </si>
  <si>
    <t>2020-0609-1</t>
  </si>
  <si>
    <t>ITB No. 20-23</t>
  </si>
  <si>
    <t>02-2020 capihan</t>
  </si>
  <si>
    <t>2020-08 (20DI0115)</t>
  </si>
  <si>
    <t>Aklan BAC ITB 333 Series of 2020</t>
  </si>
  <si>
    <t>0700-2020-06-018</t>
  </si>
  <si>
    <t>C4ISR-PNBAC1-2020-25</t>
  </si>
  <si>
    <t>bacgal-52-2020</t>
  </si>
  <si>
    <t>101-2020-05-0192</t>
  </si>
  <si>
    <t>C4ISR-PNBAC1-2020-24</t>
  </si>
  <si>
    <t>ITB-09-001-2020</t>
  </si>
  <si>
    <t>IB No. 2020-210</t>
  </si>
  <si>
    <t>2020-0611</t>
  </si>
  <si>
    <t>PR# 20-05-940</t>
  </si>
  <si>
    <t>361-2020 Bidding</t>
  </si>
  <si>
    <t>03-2020 pongol</t>
  </si>
  <si>
    <t>2020-08 (20DI0119)</t>
  </si>
  <si>
    <t>2006-0603</t>
  </si>
  <si>
    <t>2020-06-026</t>
  </si>
  <si>
    <t>PB-0320-16</t>
  </si>
  <si>
    <t>20H00061</t>
  </si>
  <si>
    <t>101-2020-05-0189</t>
  </si>
  <si>
    <t>infra-2020-001</t>
  </si>
  <si>
    <t>20200609-15</t>
  </si>
  <si>
    <t>2020-300-06-018</t>
  </si>
  <si>
    <t>CawExt2020-001</t>
  </si>
  <si>
    <t>INFRA-2020-06-042</t>
  </si>
  <si>
    <t>SB-2020-020</t>
  </si>
  <si>
    <t>06-10-2020-10</t>
  </si>
  <si>
    <t>06-10-2020-09</t>
  </si>
  <si>
    <t>06-10-2020-08</t>
  </si>
  <si>
    <t>06-10-2020-03</t>
  </si>
  <si>
    <t>infra-2020-002</t>
  </si>
  <si>
    <t>2020-08 (20DI0123)</t>
  </si>
  <si>
    <t>06-10-2020-04</t>
  </si>
  <si>
    <t>QES-06-009-20</t>
  </si>
  <si>
    <t>Lot 2 (Tagpuro ES)-Bid Docs_2020 QRF-Repair - Tacl</t>
  </si>
  <si>
    <t>20-0661</t>
  </si>
  <si>
    <t>ITB2020-06-02</t>
  </si>
  <si>
    <t>C-011-20</t>
  </si>
  <si>
    <t>DA RFO-1-2019-INFRA-062-R</t>
  </si>
  <si>
    <t>ITNTGH No. 2020-001</t>
  </si>
  <si>
    <t>GEPS 01 2020</t>
  </si>
  <si>
    <t>ITB 2020-053</t>
  </si>
  <si>
    <t>SB-2020-021</t>
  </si>
  <si>
    <t>DV -2020-G14</t>
  </si>
  <si>
    <t>2020-08 (20DI0122)</t>
  </si>
  <si>
    <t>DA RFO-1-2019-INFRA-060-R</t>
  </si>
  <si>
    <t>20CSA001</t>
  </si>
  <si>
    <t>DA RFO-1-2019-INFRA-061-R</t>
  </si>
  <si>
    <t>DA RFO-1-2019-INFRA-058-R</t>
  </si>
  <si>
    <t>IB No. 2020-219</t>
  </si>
  <si>
    <t>2020-06-324</t>
  </si>
  <si>
    <t>2020-08 (20DI0120)</t>
  </si>
  <si>
    <t>20PL0115</t>
  </si>
  <si>
    <t>2020-08 (20DI0126)</t>
  </si>
  <si>
    <t>2020-08 (20DI0127)</t>
  </si>
  <si>
    <t>INFRA-20-05</t>
  </si>
  <si>
    <t>ITB 2020-054</t>
  </si>
  <si>
    <t>infra-2020-003</t>
  </si>
  <si>
    <t>2020-08 (20DI0121)</t>
  </si>
  <si>
    <t>ITB-GS-20200313-01</t>
  </si>
  <si>
    <t>2020-08 (20DI0124)</t>
  </si>
  <si>
    <t>Lot 3 (Cabalawan ES)-Bid Docs_2020 QRF-Repair - Ta</t>
  </si>
  <si>
    <t>2020-0609-5</t>
  </si>
  <si>
    <t>infra-2020-004</t>
  </si>
  <si>
    <t>QES-06-010-20</t>
  </si>
  <si>
    <t>20PA0130</t>
  </si>
  <si>
    <t>ITB No. GOODS-20-108</t>
  </si>
  <si>
    <t>101-2020-05-0238</t>
  </si>
  <si>
    <t>101-2020-05-0240</t>
  </si>
  <si>
    <t>063-20</t>
  </si>
  <si>
    <t>ITB 2020-052</t>
  </si>
  <si>
    <t>101-2020-05-0218</t>
  </si>
  <si>
    <t>ITB-020-2020</t>
  </si>
  <si>
    <t>2020-08 (20DI0125)</t>
  </si>
  <si>
    <t>ITB 006-038-2020</t>
  </si>
  <si>
    <t>20NE0089</t>
  </si>
  <si>
    <t>20PA0129</t>
  </si>
  <si>
    <t>LGU Nasipit-2020-047</t>
  </si>
  <si>
    <t>BNLSL-LCB-28A-2020</t>
  </si>
  <si>
    <t>101-2020-05-0239</t>
  </si>
  <si>
    <t>GOOD20200303</t>
  </si>
  <si>
    <t>BNLSL-LCB-28-2020</t>
  </si>
  <si>
    <t>2020-0609-6</t>
  </si>
  <si>
    <t>2020-03-006</t>
  </si>
  <si>
    <t>Lot 6 (NTCNHS)-Bid Docs_2020 QRF-Repair - Tacloban</t>
  </si>
  <si>
    <t>06092004</t>
  </si>
  <si>
    <t>RGMO-PB-031</t>
  </si>
  <si>
    <t>INFRA20200604</t>
  </si>
  <si>
    <t>2020-03-010</t>
  </si>
  <si>
    <t>202043</t>
  </si>
  <si>
    <t>DM 2020-007-001</t>
  </si>
  <si>
    <t>BCS-2020-0100</t>
  </si>
  <si>
    <t>Goods 0028-2020</t>
  </si>
  <si>
    <t>20C00046</t>
  </si>
  <si>
    <t>PN 10-2020</t>
  </si>
  <si>
    <t>BACII-2020-14</t>
  </si>
  <si>
    <t>2020-03-009</t>
  </si>
  <si>
    <t>PB 20-020-5</t>
  </si>
  <si>
    <t>BNLSL-LCB-24-2020</t>
  </si>
  <si>
    <t>20CSBG001</t>
  </si>
  <si>
    <t>20NC0123</t>
  </si>
  <si>
    <t>DWD-03-2020</t>
  </si>
  <si>
    <t>2020-03-005</t>
  </si>
  <si>
    <t>PB-0620-35</t>
  </si>
  <si>
    <t>STF-PB-033</t>
  </si>
  <si>
    <t>2020 - 021</t>
  </si>
  <si>
    <t>2020-07-17-INFRA</t>
  </si>
  <si>
    <t>2020-PB-009</t>
  </si>
  <si>
    <t>20NC0122</t>
  </si>
  <si>
    <t>19B00060</t>
  </si>
  <si>
    <t>2020-03-011</t>
  </si>
  <si>
    <t>PB-0620-34</t>
  </si>
  <si>
    <t>20CB0066</t>
  </si>
  <si>
    <t>ITB No. GOP/20-DSWD-037</t>
  </si>
  <si>
    <t>20BC0204</t>
  </si>
  <si>
    <t>19B00061</t>
  </si>
  <si>
    <t>RGMO-PB-032</t>
  </si>
  <si>
    <t>06092006</t>
  </si>
  <si>
    <t>IBTGH No. 2020 – 004</t>
  </si>
  <si>
    <t>20NC0125</t>
  </si>
  <si>
    <t>20NC0124</t>
  </si>
  <si>
    <t>20BC0202</t>
  </si>
  <si>
    <t>06092005</t>
  </si>
  <si>
    <t>20CB0065</t>
  </si>
  <si>
    <t>PB-0620-37</t>
  </si>
  <si>
    <t>2020-PB-008</t>
  </si>
  <si>
    <t>20HD0093</t>
  </si>
  <si>
    <t>INFRA-20-06</t>
  </si>
  <si>
    <t>QRF2020-B1-NS-REPAIR-L2</t>
  </si>
  <si>
    <t>2020-03-008</t>
  </si>
  <si>
    <t>QRF2020-B1-NS-REPAIR-L7</t>
  </si>
  <si>
    <t>M-20-013</t>
  </si>
  <si>
    <t>PB 20-02-15A</t>
  </si>
  <si>
    <t>wpu-2020-007</t>
  </si>
  <si>
    <t>PB-0620-36</t>
  </si>
  <si>
    <t>QRF2020-B1-NS-REPAIR-L5</t>
  </si>
  <si>
    <t>QRF2020-B1-NS-REPAIR-L4</t>
  </si>
  <si>
    <t>6062</t>
  </si>
  <si>
    <t>20BC0210</t>
  </si>
  <si>
    <t>2020-PB-012</t>
  </si>
  <si>
    <t>20BC0209</t>
  </si>
  <si>
    <t>QRF2020-B1-NS-REPAIR-L1</t>
  </si>
  <si>
    <t>09087 &amp; 09320</t>
  </si>
  <si>
    <t>20BC0207</t>
  </si>
  <si>
    <t>QRF2020-B1-NS-REPAIR-L3</t>
  </si>
  <si>
    <t>04-06-2020</t>
  </si>
  <si>
    <t>20CB0070</t>
  </si>
  <si>
    <t>QRF2020-B1-NS-REPAIR-L12</t>
  </si>
  <si>
    <t>20MF0087</t>
  </si>
  <si>
    <t>20CB0069</t>
  </si>
  <si>
    <t>PB 20-02-14A</t>
  </si>
  <si>
    <t>QRF2020-B1-NS-REPAIR-L6</t>
  </si>
  <si>
    <t>20DL0207</t>
  </si>
  <si>
    <t>QRF2020-B1-NS-REPAIR-L11</t>
  </si>
  <si>
    <t>20CB0068</t>
  </si>
  <si>
    <t>20DL0206</t>
  </si>
  <si>
    <t>20CB0067</t>
  </si>
  <si>
    <t>20MF0085</t>
  </si>
  <si>
    <t>20DL0204</t>
  </si>
  <si>
    <t>20DL0205</t>
  </si>
  <si>
    <t>20MF0082</t>
  </si>
  <si>
    <t>QRF2020-B1-NS-REPAIR-L9</t>
  </si>
  <si>
    <t>20MF0081</t>
  </si>
  <si>
    <t>WPU-2020-009</t>
  </si>
  <si>
    <t>20MF0083</t>
  </si>
  <si>
    <t>20MF0084</t>
  </si>
  <si>
    <t>20MF0080</t>
  </si>
  <si>
    <t>GF-PB-030</t>
  </si>
  <si>
    <t>20DL0203</t>
  </si>
  <si>
    <t>20MF0086</t>
  </si>
  <si>
    <t>100-1917-20-303</t>
  </si>
  <si>
    <t>ITB-2020-038</t>
  </si>
  <si>
    <t>MKWD2020-046</t>
  </si>
  <si>
    <t>QRF2020-B1-NS-REPAIR-L10</t>
  </si>
  <si>
    <t>QRF2020-B1-NS-REPAIR-L18</t>
  </si>
  <si>
    <t>20CE0209</t>
  </si>
  <si>
    <t>QRF2020-B1-NS-REPAIR-L8</t>
  </si>
  <si>
    <t>QRF2020-B1-NS-REPAIR-L17</t>
  </si>
  <si>
    <t>202006015</t>
  </si>
  <si>
    <t>126 – 2020</t>
  </si>
  <si>
    <t>QRF2020-B1-NS-REPAIR-L16</t>
  </si>
  <si>
    <t>QRF2020-B1-NS-REPAIR-L19</t>
  </si>
  <si>
    <t>127 – 2020</t>
  </si>
  <si>
    <t>REI - 2020 - 01</t>
  </si>
  <si>
    <t>20GKF0035</t>
  </si>
  <si>
    <t>RFQ-20-0002</t>
  </si>
  <si>
    <t>20GKF0032</t>
  </si>
  <si>
    <t>128 – 2020</t>
  </si>
  <si>
    <t>20GKF0034</t>
  </si>
  <si>
    <t>QNV-022-2020</t>
  </si>
  <si>
    <t>20GKF0030</t>
  </si>
  <si>
    <t>QNV-021-2020</t>
  </si>
  <si>
    <t>20OH0151</t>
  </si>
  <si>
    <t>PB-20-316</t>
  </si>
  <si>
    <t>20GKF0031</t>
  </si>
  <si>
    <t>20OH0150</t>
  </si>
  <si>
    <t>20OH0148</t>
  </si>
  <si>
    <t>20GKF0033</t>
  </si>
  <si>
    <t>20OH0102 Re-ads</t>
  </si>
  <si>
    <t>WPU-2020-008</t>
  </si>
  <si>
    <t>20OH0149</t>
  </si>
  <si>
    <t>91-20</t>
  </si>
  <si>
    <t>90-20</t>
  </si>
  <si>
    <t>VMC-2020-047</t>
  </si>
  <si>
    <t>BAC-HO-GS No. 2020-0250 dated 29 May 2020 (ITIOD)</t>
  </si>
  <si>
    <t>QNV-023-2020</t>
  </si>
  <si>
    <t>20GKF0036</t>
  </si>
  <si>
    <t>20GKF0038</t>
  </si>
  <si>
    <t>20GKF0040</t>
  </si>
  <si>
    <t>20GKF0029</t>
  </si>
  <si>
    <t>QNV-020-2020</t>
  </si>
  <si>
    <t>QRF2020-B1-NS-REPAIR-L25</t>
  </si>
  <si>
    <t>20GKF0037</t>
  </si>
  <si>
    <t>3-01-001-20-076</t>
  </si>
  <si>
    <t>QRF2020-B1-NS-REPAIR-L22</t>
  </si>
  <si>
    <t>QRF2020-B1-NS-REPAIR-L20</t>
  </si>
  <si>
    <t>DV -2020-G15</t>
  </si>
  <si>
    <t>QRF2020-B1-NS-REPAIR-L23</t>
  </si>
  <si>
    <t>QRF2020-B1-NS-REPAIR-L14</t>
  </si>
  <si>
    <t>QRF2020-B1-NS-REPAIR-L21</t>
  </si>
  <si>
    <t>20GKF0039</t>
  </si>
  <si>
    <t>QRF2020-B1-NS-REPAIR-L13</t>
  </si>
  <si>
    <t>B-81-2020</t>
  </si>
  <si>
    <t>202042</t>
  </si>
  <si>
    <t>2020-03-007</t>
  </si>
  <si>
    <t>MGPQ-RML-2020-06-003</t>
  </si>
  <si>
    <t>STF-PB-029</t>
  </si>
  <si>
    <t>2002-068</t>
  </si>
  <si>
    <t>QRF2020-B1-NS-REPAIR-L15</t>
  </si>
  <si>
    <t>GOOD20200201</t>
  </si>
  <si>
    <t>sjom-goods-0007-2020</t>
  </si>
  <si>
    <t>QRF2020-B1-NS-REPAIR-L24</t>
  </si>
  <si>
    <t>Lot 5 (Sagkahan NHS)-Bid Docs_2020 QRF-Repair - Ta</t>
  </si>
  <si>
    <t>20C00047</t>
  </si>
  <si>
    <t>200003</t>
  </si>
  <si>
    <t>100-20-05-0543</t>
  </si>
  <si>
    <t>DM2020-06-023.2</t>
  </si>
  <si>
    <t>17202005052</t>
  </si>
  <si>
    <t>DM2020-06-023.1</t>
  </si>
  <si>
    <t>20F00124</t>
  </si>
  <si>
    <t>2020-031 LOT 5</t>
  </si>
  <si>
    <t>PB20-002</t>
  </si>
  <si>
    <t>065-20</t>
  </si>
  <si>
    <t>20GA0215</t>
  </si>
  <si>
    <t>STF-PB-028</t>
  </si>
  <si>
    <t>2020-INFRA-13A</t>
  </si>
  <si>
    <t>20GA0214</t>
  </si>
  <si>
    <t>2020-INFRA-11A</t>
  </si>
  <si>
    <t>19GF00030</t>
  </si>
  <si>
    <t>PB2020-07-046I</t>
  </si>
  <si>
    <t>ME2020-06-023.3</t>
  </si>
  <si>
    <t>PB2020-07-044I</t>
  </si>
  <si>
    <t>19GF00029</t>
  </si>
  <si>
    <t>ME2020-05-024</t>
  </si>
  <si>
    <t>DM2020-06-023.6</t>
  </si>
  <si>
    <t>DM2020-06-023.5</t>
  </si>
  <si>
    <t>DM2020-06-023.4</t>
  </si>
  <si>
    <t>101-2020-05-0194</t>
  </si>
  <si>
    <t>2020-INFRA-10A</t>
  </si>
  <si>
    <t>PB2020-07-043I</t>
  </si>
  <si>
    <t>DM2020-06-023.7</t>
  </si>
  <si>
    <t>PB2020-07-042I</t>
  </si>
  <si>
    <t>CONDUCT WORLD TEACHER'S DAY 2020</t>
  </si>
  <si>
    <t>PB2020-07-045I</t>
  </si>
  <si>
    <t>Lot 4 (Sta. Elena ES)-Bid Docs_2020 QRF-Repair - T</t>
  </si>
  <si>
    <t>GOODS-009-2020</t>
  </si>
  <si>
    <t>2020-0609-7</t>
  </si>
  <si>
    <t>PB2020-06-041I</t>
  </si>
  <si>
    <t>C-017-20</t>
  </si>
  <si>
    <t>2020025</t>
  </si>
  <si>
    <t>20-06-02-055</t>
  </si>
  <si>
    <t>ITB2020-06-01</t>
  </si>
  <si>
    <t>2020-CW-016</t>
  </si>
  <si>
    <t>06-10-2020-07</t>
  </si>
  <si>
    <t>06-10-2020-06</t>
  </si>
  <si>
    <t>DA RFO-1-2019-INFRA-066-R</t>
  </si>
  <si>
    <t>6-30-20</t>
  </si>
  <si>
    <t>2020-08 (20DI0118)</t>
  </si>
  <si>
    <t>06-10-2020-01</t>
  </si>
  <si>
    <t>06-10-2020-05</t>
  </si>
  <si>
    <t>BAC-GS-2020-06-003</t>
  </si>
  <si>
    <t>20-0673</t>
  </si>
  <si>
    <t>06092003</t>
  </si>
  <si>
    <t>2020-08 (20DI0117)</t>
  </si>
  <si>
    <t>2020-04-246</t>
  </si>
  <si>
    <t>101-2020-05-0190</t>
  </si>
  <si>
    <t>GS 2020-006-020</t>
  </si>
  <si>
    <t>2020-06-82</t>
  </si>
  <si>
    <t>20JG0051 - rebid</t>
  </si>
  <si>
    <t>ITB 2020-06-032 (GOODS)</t>
  </si>
  <si>
    <t>2020 GDS JUN - 02</t>
  </si>
  <si>
    <t>LGU Nasipit-2020-045</t>
  </si>
  <si>
    <t>GAMOT 200-20-06-06112</t>
  </si>
  <si>
    <t>65-2020</t>
  </si>
  <si>
    <t>PB-06092020-1</t>
  </si>
  <si>
    <t>06-10-2020-02</t>
  </si>
  <si>
    <t>2020-0609</t>
  </si>
  <si>
    <t>101-2020-05-0191</t>
  </si>
  <si>
    <t>64-2020</t>
  </si>
  <si>
    <t>20GA0167</t>
  </si>
  <si>
    <t>BAC-SBSL-MENRO-2020-10A</t>
  </si>
  <si>
    <t>20GA0157</t>
  </si>
  <si>
    <t>DPF 300-20-01-00296</t>
  </si>
  <si>
    <t>INFRA-20-06-0592</t>
  </si>
  <si>
    <t>IB NO. 2020-06-29 (12)</t>
  </si>
  <si>
    <t>BAC 2020-E06</t>
  </si>
  <si>
    <t>PR - 11</t>
  </si>
  <si>
    <t>60-2020</t>
  </si>
  <si>
    <t>20GA0130</t>
  </si>
  <si>
    <t>2020-06-81</t>
  </si>
  <si>
    <t>2020-06-79</t>
  </si>
  <si>
    <t>PEO-20-0383-B</t>
  </si>
  <si>
    <t>PEO-20-0381-B</t>
  </si>
  <si>
    <t>PEO-19-2099-B</t>
  </si>
  <si>
    <t>SDH-18-2253-B (Re-Bid)</t>
  </si>
  <si>
    <t>PEO-20-0554-B</t>
  </si>
  <si>
    <t>PEO-19-1487-B (Re-Bid)</t>
  </si>
  <si>
    <t>IPH-19-1021-B (Re-Bid)</t>
  </si>
  <si>
    <t>63-2020</t>
  </si>
  <si>
    <t>COA-20-020-B</t>
  </si>
  <si>
    <t>AGINF2020-0609</t>
  </si>
  <si>
    <t>PEO-19-1489-B (Re-Bid)</t>
  </si>
  <si>
    <t>BulSU-BAC-G-2020-14</t>
  </si>
  <si>
    <t>Tadian LGU 2020-03</t>
  </si>
  <si>
    <t>61-2020</t>
  </si>
  <si>
    <t>PEO-20-0482-B</t>
  </si>
  <si>
    <t>ENG'G PASBAC 001-20</t>
  </si>
  <si>
    <t>IAEB 2020-002</t>
  </si>
  <si>
    <t>PEO-19-1502-B</t>
  </si>
  <si>
    <t>ITB No. 2020-003-CSL</t>
  </si>
  <si>
    <t>2020-06-83</t>
  </si>
  <si>
    <t>INFRASIB-2020-06</t>
  </si>
  <si>
    <t>PEO-20-0551-B</t>
  </si>
  <si>
    <t>IAEB 2020-005</t>
  </si>
  <si>
    <t>LANCA-2020-01</t>
  </si>
  <si>
    <t>ITB-2020-002-CSL</t>
  </si>
  <si>
    <t>2020-017cw</t>
  </si>
  <si>
    <t>GOODS2020-06-001</t>
  </si>
  <si>
    <t>GOODS 2020-21</t>
  </si>
  <si>
    <t>ADS-1326-20</t>
  </si>
  <si>
    <t>Kapalong2020102</t>
  </si>
  <si>
    <t>Kapalong2020101</t>
  </si>
  <si>
    <t>SRAVIS 20-06-273</t>
  </si>
  <si>
    <t>B-79-2020</t>
  </si>
  <si>
    <t>ENG’G PASBAC 013-20 Supply and Delivery of Materia</t>
  </si>
  <si>
    <t>ENG’G PASBAC 012-20 Supply and Delivery of Materia</t>
  </si>
  <si>
    <t>ADS-1325-20</t>
  </si>
  <si>
    <t>PPSC BAC IB NO.005 (G) 2020</t>
  </si>
  <si>
    <t>036-20</t>
  </si>
  <si>
    <t>G-093-20</t>
  </si>
  <si>
    <t>2020-06-80</t>
  </si>
  <si>
    <t>INFRASIB-2020-04</t>
  </si>
  <si>
    <t>INFRASIB-2020-03</t>
  </si>
  <si>
    <t>INFRASIB-2020-02</t>
  </si>
  <si>
    <t>CY 2020 QRF-SCHOOL GROUND SLOPE PROTECTION AT GOHA</t>
  </si>
  <si>
    <t>2020-06-88</t>
  </si>
  <si>
    <t>INFRASIB-2020-01</t>
  </si>
  <si>
    <t>INFRASIB-2020-05</t>
  </si>
  <si>
    <t>2020-06-75</t>
  </si>
  <si>
    <t>2020-06-78</t>
  </si>
  <si>
    <t>2020-06-072bid</t>
  </si>
  <si>
    <t>2020-06-63A</t>
  </si>
  <si>
    <t>IB NO. 2020-06-29 (13)</t>
  </si>
  <si>
    <t>2020-0900-003</t>
  </si>
  <si>
    <t>2020-06-53A</t>
  </si>
  <si>
    <t>ITB No. 2020-11-EFS</t>
  </si>
  <si>
    <t>PPSC BAC IB NO.006 (G) 2020</t>
  </si>
  <si>
    <t>20GA0141</t>
  </si>
  <si>
    <t>cgb2020-185</t>
  </si>
  <si>
    <t>20OF0316</t>
  </si>
  <si>
    <t>RFQ 2020-01</t>
  </si>
  <si>
    <t>2020-06-024</t>
  </si>
  <si>
    <t>ABC20-06-001</t>
  </si>
  <si>
    <t>20OF0315</t>
  </si>
  <si>
    <t>InTB-PGAPEO2020OIP-CW1</t>
  </si>
  <si>
    <t>06292020-074</t>
  </si>
  <si>
    <t>2020-06-74</t>
  </si>
  <si>
    <t>PEPO 200-20-05-05989</t>
  </si>
  <si>
    <t>20OF0314</t>
  </si>
  <si>
    <t>2020-G-008-A</t>
  </si>
  <si>
    <t>2020-019cw</t>
  </si>
  <si>
    <t>NMF GOODS 2020-03</t>
  </si>
  <si>
    <t>2020-G-007-A</t>
  </si>
  <si>
    <t>KAT-06-2020-001</t>
  </si>
  <si>
    <t>20GG00017</t>
  </si>
  <si>
    <t>GOODS-PROJECT REF. NO. 39-2020-APR</t>
  </si>
  <si>
    <t>INFRA-ETG-20-06-011</t>
  </si>
  <si>
    <t>INFRA-ETG-20-06-010</t>
  </si>
  <si>
    <t>06292020-073</t>
  </si>
  <si>
    <t>45</t>
  </si>
  <si>
    <t>20GAG0003</t>
  </si>
  <si>
    <t>INFRA-ETG-20-06-009</t>
  </si>
  <si>
    <t>20-06-35AA</t>
  </si>
  <si>
    <t>PR #433</t>
  </si>
  <si>
    <t>2020-021cw</t>
  </si>
  <si>
    <t>2019-001-I</t>
  </si>
  <si>
    <t>ITB 2020-011</t>
  </si>
  <si>
    <t>14-2020</t>
  </si>
  <si>
    <t>20GAG0002</t>
  </si>
  <si>
    <t>INFRA-ETG-20-06-012</t>
  </si>
  <si>
    <t>20GAG0001</t>
  </si>
  <si>
    <t>20GKI0027</t>
  </si>
  <si>
    <t>ITB INFRA-022-2020</t>
  </si>
  <si>
    <t>20PI0092</t>
  </si>
  <si>
    <t>100-2005-038-20%</t>
  </si>
  <si>
    <t>NP/PB 20-0672</t>
  </si>
  <si>
    <t>20LA0336</t>
  </si>
  <si>
    <t>CAT-SIP-2020-01-06INF</t>
  </si>
  <si>
    <t>20-06-40</t>
  </si>
  <si>
    <t>11-2020</t>
  </si>
  <si>
    <t>20LA0335</t>
  </si>
  <si>
    <t>PB20200608-036</t>
  </si>
  <si>
    <t>20-06-241</t>
  </si>
  <si>
    <t>ITB-2020-045</t>
  </si>
  <si>
    <t>N 31 C 2020</t>
  </si>
  <si>
    <t>SN20-03-313</t>
  </si>
  <si>
    <t>06292020-058</t>
  </si>
  <si>
    <t>ITB-2020-02</t>
  </si>
  <si>
    <t>CYN-BAC-2020-30</t>
  </si>
  <si>
    <t>2020021</t>
  </si>
  <si>
    <t>20GIA004 Procurement of Instant Cold Mix Asphalt (</t>
  </si>
  <si>
    <t>100-2003-281-GF</t>
  </si>
  <si>
    <t>2020-0003</t>
  </si>
  <si>
    <t>2020-020cw</t>
  </si>
  <si>
    <t>20OF0313</t>
  </si>
  <si>
    <t>IB 2020-026</t>
  </si>
  <si>
    <t>cgb2020-186</t>
  </si>
  <si>
    <t>2020-GOODS-32</t>
  </si>
  <si>
    <t>2020-GOODS-04</t>
  </si>
  <si>
    <t>LF 2020-022</t>
  </si>
  <si>
    <t>SN20-04-412</t>
  </si>
  <si>
    <t>ITB-2020-046</t>
  </si>
  <si>
    <t>109-2020</t>
  </si>
  <si>
    <t>LGU-TAN-GOODS-2020-067</t>
  </si>
  <si>
    <t>20OF0312</t>
  </si>
  <si>
    <t>ADS-1327-20</t>
  </si>
  <si>
    <t>INFR-2020-10</t>
  </si>
  <si>
    <t>HCC2020013</t>
  </si>
  <si>
    <t>20PI0094</t>
  </si>
  <si>
    <t>20NA0069</t>
  </si>
  <si>
    <t>PB20200608-037</t>
  </si>
  <si>
    <t>N 32 C 2020</t>
  </si>
  <si>
    <t>202039</t>
  </si>
  <si>
    <t>20KI0066 (Re-ad)</t>
  </si>
  <si>
    <t>PB20200608-038</t>
  </si>
  <si>
    <t>141-2020</t>
  </si>
  <si>
    <t>20NA0068</t>
  </si>
  <si>
    <t>InTB-PGAPEOROADS2020EDF-CW1</t>
  </si>
  <si>
    <t>140-2020</t>
  </si>
  <si>
    <t>CSU-CARIG-OCD-2020- 06-001</t>
  </si>
  <si>
    <t>BAC2020-06-018</t>
  </si>
  <si>
    <t>20-038 (Re-bid)</t>
  </si>
  <si>
    <t>2020-95</t>
  </si>
  <si>
    <t>20-039</t>
  </si>
  <si>
    <t>BUE-06082020-02</t>
  </si>
  <si>
    <t>100-20-06-65</t>
  </si>
  <si>
    <t>20PI0095</t>
  </si>
  <si>
    <t>BUE-06082020-03</t>
  </si>
  <si>
    <t>20NA0071</t>
  </si>
  <si>
    <t>20GFB03</t>
  </si>
  <si>
    <t>100-20-06-64</t>
  </si>
  <si>
    <t>PR 9-20-04-0560 - HOSPITAL</t>
  </si>
  <si>
    <t>138-2020</t>
  </si>
  <si>
    <t>19CSK00053</t>
  </si>
  <si>
    <t>682020</t>
  </si>
  <si>
    <t>PR No. 20-0905</t>
  </si>
  <si>
    <t>144-2020</t>
  </si>
  <si>
    <t>IB No.2020-06-30(05)Goods Cat I Med/Lab Supplies &amp;</t>
  </si>
  <si>
    <t>037-20</t>
  </si>
  <si>
    <t>143-2020</t>
  </si>
  <si>
    <t>2020-01-002</t>
  </si>
  <si>
    <t>ITB No. 2020-03-003</t>
  </si>
  <si>
    <t>20FL0084</t>
  </si>
  <si>
    <t>20FL0078</t>
  </si>
  <si>
    <t>139-2020</t>
  </si>
  <si>
    <t>ITB2020-06-77-MTPB</t>
  </si>
  <si>
    <t>PCW-01-2020</t>
  </si>
  <si>
    <t>2020-061-14-2</t>
  </si>
  <si>
    <t>ITB GOODS 20-06-008</t>
  </si>
  <si>
    <t>PR 31-20-02-0344 - DEPED</t>
  </si>
  <si>
    <t>20-06-38</t>
  </si>
  <si>
    <t>2020-03-05</t>
  </si>
  <si>
    <t>2020-061-14-1</t>
  </si>
  <si>
    <t>PR 1-20-03-0520 - CEMO (BD)</t>
  </si>
  <si>
    <t>19CSK00055</t>
  </si>
  <si>
    <t>Calaca 2020-032</t>
  </si>
  <si>
    <t>6820201</t>
  </si>
  <si>
    <t>PR 18-20-04-0549 - CED</t>
  </si>
  <si>
    <t>ADS-1335-20</t>
  </si>
  <si>
    <t>19CSK00054</t>
  </si>
  <si>
    <t>19CSK00056</t>
  </si>
  <si>
    <t>20GID0016</t>
  </si>
  <si>
    <t>2020-02-0100</t>
  </si>
  <si>
    <t>CYN-BAC-2020-33</t>
  </si>
  <si>
    <t>IB. NO. K-2020-026(SC)</t>
  </si>
  <si>
    <t>IB. NO. K-2020-025(SC)</t>
  </si>
  <si>
    <t>2020-06-0332</t>
  </si>
  <si>
    <t>100-20-06-67</t>
  </si>
  <si>
    <t>20FO0098</t>
  </si>
  <si>
    <t>20FO0097</t>
  </si>
  <si>
    <t>100-20-06-66</t>
  </si>
  <si>
    <t>20FO0096</t>
  </si>
  <si>
    <t>CYN-BAC-2020-32</t>
  </si>
  <si>
    <t>100-20-06-68</t>
  </si>
  <si>
    <t>CONTRACT ID: 19-10-208 REBID</t>
  </si>
  <si>
    <t>PR # 20-05-0585</t>
  </si>
  <si>
    <t>2020-06-0329</t>
  </si>
  <si>
    <t>PB-INF-2020-034</t>
  </si>
  <si>
    <t>2020-012 GOODS "SUPPLY AND INSTALLATION OF SOLAR P</t>
  </si>
  <si>
    <t>2020-061-14-5</t>
  </si>
  <si>
    <t>OC-63(JLGMH-17) 20 GD</t>
  </si>
  <si>
    <t>GOODS-2020-PB-023</t>
  </si>
  <si>
    <t>2020-151</t>
  </si>
  <si>
    <t>20GSK00012</t>
  </si>
  <si>
    <t>2020-061-14-4</t>
  </si>
  <si>
    <t>TF-LDRRMF S. 2019 20-016/20-017</t>
  </si>
  <si>
    <t>2020-061-14-3</t>
  </si>
  <si>
    <t>2020-02-0099</t>
  </si>
  <si>
    <t>2020-061-14-6</t>
  </si>
  <si>
    <t>IB. NO. K-2020-054(SC)</t>
  </si>
  <si>
    <t>2020022</t>
  </si>
  <si>
    <t>2020-06-0330</t>
  </si>
  <si>
    <t>ITB 026-2020</t>
  </si>
  <si>
    <t>PB-INF-2020-035</t>
  </si>
  <si>
    <t>20GSK00011</t>
  </si>
  <si>
    <t>IB NO. 2020-06-30 (05) Goods Category II – Drugs a</t>
  </si>
  <si>
    <t>20PK0069</t>
  </si>
  <si>
    <t>B2020-074-A</t>
  </si>
  <si>
    <t>2020-06-0331</t>
  </si>
  <si>
    <t>B2020-073-A</t>
  </si>
  <si>
    <t>USTP-GSPB-06-5020321099-2020</t>
  </si>
  <si>
    <t>2020-06-0029</t>
  </si>
  <si>
    <t>Calaca 2020- 035</t>
  </si>
  <si>
    <t>06082020</t>
  </si>
  <si>
    <t>20GSK00010</t>
  </si>
  <si>
    <t>PEO-20-0382-B</t>
  </si>
  <si>
    <t>BAC-2020-0017</t>
  </si>
  <si>
    <t>20PA0128</t>
  </si>
  <si>
    <t>NCB Publication No. 2020- 17</t>
  </si>
  <si>
    <t>PB-PAFBAC-222-19</t>
  </si>
  <si>
    <t>Goods 2020-06-016</t>
  </si>
  <si>
    <t>20FO0099</t>
  </si>
  <si>
    <t>401-1011-2020-06-12</t>
  </si>
  <si>
    <t>Calaca 2020- 033</t>
  </si>
  <si>
    <t>Calaca 2020- 037</t>
  </si>
  <si>
    <t>PB-PAFBAC-141-20</t>
  </si>
  <si>
    <t>BARRM-SUL-06-SIA-03-20</t>
  </si>
  <si>
    <t>FY2019DILG-AM-01</t>
  </si>
  <si>
    <t>Calaca 2020- 036</t>
  </si>
  <si>
    <t>20GHF0005</t>
  </si>
  <si>
    <t>PB-PAFBAC-155-20</t>
  </si>
  <si>
    <t>PB-PAFBAC-154-20</t>
  </si>
  <si>
    <t>PB-PAFBAC-156-20</t>
  </si>
  <si>
    <t>03-2020-0197</t>
  </si>
  <si>
    <t>PEO-19-1450-B (Re-Bid)</t>
  </si>
  <si>
    <t>2020-06-0030</t>
  </si>
  <si>
    <t>09088, 09082 &amp; 08993</t>
  </si>
  <si>
    <t>IPH-19-1149-B (Re-Bid)</t>
  </si>
  <si>
    <t>2020-2076-03-151</t>
  </si>
  <si>
    <t>401-1011-2020-06-13</t>
  </si>
  <si>
    <t>20LD0129</t>
  </si>
  <si>
    <t>FY2019DILG-AM-02</t>
  </si>
  <si>
    <t>GEPS-01-2020</t>
  </si>
  <si>
    <t>03-2020-0195</t>
  </si>
  <si>
    <t>Calaca 2020- 038</t>
  </si>
  <si>
    <t>Calaca 2020- 040</t>
  </si>
  <si>
    <t>NCB Publication No. 2020- 18</t>
  </si>
  <si>
    <t>Calaca 2020- 041</t>
  </si>
  <si>
    <t>I-2020</t>
  </si>
  <si>
    <t>IB No. 2020-019</t>
  </si>
  <si>
    <t>PB-PAFBAC-150-20</t>
  </si>
  <si>
    <t>PB-PAFBAC-153-20</t>
  </si>
  <si>
    <t>Calaca 2020- 039</t>
  </si>
  <si>
    <t>INF2020-003</t>
  </si>
  <si>
    <t>322020a</t>
  </si>
  <si>
    <t>INF2020-002</t>
  </si>
  <si>
    <t>ITB 2020-049</t>
  </si>
  <si>
    <t>03-2020-0163</t>
  </si>
  <si>
    <t>PB-06302020</t>
  </si>
  <si>
    <t>03-2020-0162</t>
  </si>
  <si>
    <t>Calaca 2020-042</t>
  </si>
  <si>
    <t>401-1011-2020-06-15</t>
  </si>
  <si>
    <t>Calaca 2020-046</t>
  </si>
  <si>
    <t>2020-06-86</t>
  </si>
  <si>
    <t>PEO-19-1551-B</t>
  </si>
  <si>
    <t>Calaca 2020-045</t>
  </si>
  <si>
    <t>Calaca 2020-044</t>
  </si>
  <si>
    <t>PEO-20-0613-B</t>
  </si>
  <si>
    <t>401-1011-2020-06-14</t>
  </si>
  <si>
    <t>ITB 2020-050</t>
  </si>
  <si>
    <t>PB-PAFBAC-152-20</t>
  </si>
  <si>
    <t>20CSCJ01</t>
  </si>
  <si>
    <t>ITB 2020-051</t>
  </si>
  <si>
    <t>20OE0201</t>
  </si>
  <si>
    <t>ITB 2020-039</t>
  </si>
  <si>
    <t>36020a</t>
  </si>
  <si>
    <t>20HI0060</t>
  </si>
  <si>
    <t>20OE0200</t>
  </si>
  <si>
    <t>20LC0153</t>
  </si>
  <si>
    <t>Calaca 2020-047</t>
  </si>
  <si>
    <t>20HI0078</t>
  </si>
  <si>
    <t>ITB 2020-036</t>
  </si>
  <si>
    <t>20CC0254</t>
  </si>
  <si>
    <t>20CC0253</t>
  </si>
  <si>
    <t>20CC0252</t>
  </si>
  <si>
    <t>20HI0067</t>
  </si>
  <si>
    <t>20CC0247</t>
  </si>
  <si>
    <t>20CC0250</t>
  </si>
  <si>
    <t>20CC0246</t>
  </si>
  <si>
    <t>20CC0248</t>
  </si>
  <si>
    <t>20CC0251</t>
  </si>
  <si>
    <t>2020-CW-06-01</t>
  </si>
  <si>
    <t>INFRA 2020-06-PLA012</t>
  </si>
  <si>
    <t>INFRA 2020-06-PLA011</t>
  </si>
  <si>
    <t>GOODS JUNE 2020-002</t>
  </si>
  <si>
    <t>20CC0249</t>
  </si>
  <si>
    <t>LIMAO-BAC-06-20</t>
  </si>
  <si>
    <t>Infra Projects 13-2020</t>
  </si>
  <si>
    <t>2020 GDS JUN</t>
  </si>
  <si>
    <t>0608-002</t>
  </si>
  <si>
    <t>0608-001</t>
  </si>
  <si>
    <t>IB No. 2020-037</t>
  </si>
  <si>
    <t>GOODS 2020-06-PLA004</t>
  </si>
  <si>
    <t>BCS-2020-0094</t>
  </si>
  <si>
    <t>2020-03-INFR</t>
  </si>
  <si>
    <t>101-2020-05-0220</t>
  </si>
  <si>
    <t>pmma-IB-10-20</t>
  </si>
  <si>
    <t>20CC0245</t>
  </si>
  <si>
    <t>pmma-IB-08-20</t>
  </si>
  <si>
    <t>101-2020-05-0222</t>
  </si>
  <si>
    <t>Infra Projects 12-2020</t>
  </si>
  <si>
    <t>pmma-IB-07-20</t>
  </si>
  <si>
    <t>pmma-IB-09-20</t>
  </si>
  <si>
    <t>pmma-IB-05-20</t>
  </si>
  <si>
    <t>IB 2020-06-005 PORL</t>
  </si>
  <si>
    <t>3-9-20-ID3</t>
  </si>
  <si>
    <t>Infra 2020-06-009</t>
  </si>
  <si>
    <t>DILG (CMGP)</t>
  </si>
  <si>
    <t>101-2020-03-0016</t>
  </si>
  <si>
    <t>100-20-03-0378</t>
  </si>
  <si>
    <t>PDDO-20-4165</t>
  </si>
  <si>
    <t>PDDO-20-4299</t>
  </si>
  <si>
    <t>pmma-IB-04-20</t>
  </si>
  <si>
    <t>InTB-PGA2020OPAG-GDS1</t>
  </si>
  <si>
    <t>INFRA 2020-06</t>
  </si>
  <si>
    <t>ITB No. 20-06-11</t>
  </si>
  <si>
    <t>BAC 2020-I01</t>
  </si>
  <si>
    <t>LGU Nasipit-2020-044</t>
  </si>
  <si>
    <t>101-2020-05-0219</t>
  </si>
  <si>
    <t>101-2020-03-0043</t>
  </si>
  <si>
    <t>2020-GD-06-01</t>
  </si>
  <si>
    <t>msj-2020-16</t>
  </si>
  <si>
    <t>LGU Nasipit-2020-043</t>
  </si>
  <si>
    <t>pmma-IB-03-20</t>
  </si>
  <si>
    <t>101-2020-05-0221</t>
  </si>
  <si>
    <t>IB No. 2020-183</t>
  </si>
  <si>
    <t>IB No. 2020-035</t>
  </si>
  <si>
    <t>ITB 2020-010</t>
  </si>
  <si>
    <t>20LF0142</t>
  </si>
  <si>
    <t>MAWADWORKS#1, S. 2020</t>
  </si>
  <si>
    <t>2020-02-INFR</t>
  </si>
  <si>
    <t>2020-04-INFR</t>
  </si>
  <si>
    <t>20LF0141</t>
  </si>
  <si>
    <t>108-0304-2020</t>
  </si>
  <si>
    <t>pmma-IB-06-20</t>
  </si>
  <si>
    <t>IAEB 178-20</t>
  </si>
  <si>
    <t>00041-20-0219-0167</t>
  </si>
  <si>
    <t>2020-02-0082</t>
  </si>
  <si>
    <t>100-1917-20-308</t>
  </si>
  <si>
    <t>IAEB 214-20</t>
  </si>
  <si>
    <t>IAEB 086-20</t>
  </si>
  <si>
    <t>MAR-00033G-2020</t>
  </si>
  <si>
    <t>RIO-LMC-11b-2020</t>
  </si>
  <si>
    <t>GS 2020-006-019</t>
  </si>
  <si>
    <t>PB NO. 2020-032</t>
  </si>
  <si>
    <t>2020-CW-33</t>
  </si>
  <si>
    <t>PGL INFRA 20-056</t>
  </si>
  <si>
    <t>PGL 20-076</t>
  </si>
  <si>
    <t>PGL 20-077</t>
  </si>
  <si>
    <t>PGL 20-075</t>
  </si>
  <si>
    <t>101-2020-03-0021</t>
  </si>
  <si>
    <t>RIO-LMC-11a-2020</t>
  </si>
  <si>
    <t>101-2020-04-0146</t>
  </si>
  <si>
    <t>itb20-06-025</t>
  </si>
  <si>
    <t>TAL-07-01-2020</t>
  </si>
  <si>
    <t>PW#02-12-20(1)</t>
  </si>
  <si>
    <t>PW#02-26-20(1)</t>
  </si>
  <si>
    <t>20L00171</t>
  </si>
  <si>
    <t>IAEB 085-20</t>
  </si>
  <si>
    <t>POW#12-17-19</t>
  </si>
  <si>
    <t>ITB 06-013-2020</t>
  </si>
  <si>
    <t>PB NO. 2020-031</t>
  </si>
  <si>
    <t>20BE0087</t>
  </si>
  <si>
    <t>19-82-071</t>
  </si>
  <si>
    <t>20BE0085</t>
  </si>
  <si>
    <t>IB No. 2020-144</t>
  </si>
  <si>
    <t>2020-PLA-057</t>
  </si>
  <si>
    <t>100-2020-0781</t>
  </si>
  <si>
    <t>PBG-2020-22</t>
  </si>
  <si>
    <t>20BE0086</t>
  </si>
  <si>
    <t>20BE0084</t>
  </si>
  <si>
    <t>20BE0083</t>
  </si>
  <si>
    <t>100-2020-0756</t>
  </si>
  <si>
    <t>100-2020-0736</t>
  </si>
  <si>
    <t>GS 2020-004</t>
  </si>
  <si>
    <t>PGL 20-074</t>
  </si>
  <si>
    <t>2020-61 (GAS)</t>
  </si>
  <si>
    <t>PIA-0003G-2020</t>
  </si>
  <si>
    <t>100-2020-0734</t>
  </si>
  <si>
    <t>ITB 2020-009</t>
  </si>
  <si>
    <t>100-2020-0806</t>
  </si>
  <si>
    <t>20-06-68</t>
  </si>
  <si>
    <t>NP-PB 20-0658</t>
  </si>
  <si>
    <t>20LF0140</t>
  </si>
  <si>
    <t>Infra 2020-06-006</t>
  </si>
  <si>
    <t>IB No. 2020-036</t>
  </si>
  <si>
    <t>PROJECT # 19 - 171</t>
  </si>
  <si>
    <t>2020-18A</t>
  </si>
  <si>
    <t>ITB 2020-014</t>
  </si>
  <si>
    <t>04-G-2020 (MEO)</t>
  </si>
  <si>
    <t>ITB 20-03-142</t>
  </si>
  <si>
    <t>TESDA-CO-2020-02 _Provision of Security Services R</t>
  </si>
  <si>
    <t>300-20-03-0408</t>
  </si>
  <si>
    <t>05-003-20</t>
  </si>
  <si>
    <t>BBC2020-003</t>
  </si>
  <si>
    <t>03-00506</t>
  </si>
  <si>
    <t>2020-17A</t>
  </si>
  <si>
    <t>ITB No. (INF) 2020-06-084 CONSTRUCTION/IMPROVEMENT</t>
  </si>
  <si>
    <t>ITB No. (GDS) 2020-06-014 PROCUREMENT OF CONSTRUCT</t>
  </si>
  <si>
    <t>ITB No. (INF) 2020-06-083 CONSTRUCTION OF BUABUA –</t>
  </si>
  <si>
    <t>ITB No. (INF) 2020-06-081 REPAIR/REHABILITATION OF</t>
  </si>
  <si>
    <t>ITB No. (INF) 2020-06-080 CONSTRUCTION/IMPROVEMENT</t>
  </si>
  <si>
    <t>CW 2020-006-015</t>
  </si>
  <si>
    <t>ITB No. (INF) 2020-06-085 CONSTRUCTION/IMPROVEMENT</t>
  </si>
  <si>
    <t>300-20-03-0409</t>
  </si>
  <si>
    <t>LGU-PI-2020-06-14PB</t>
  </si>
  <si>
    <t>ITB No. (INF) 2020-06-082 ROAD CONCRETING OF MACAA</t>
  </si>
  <si>
    <t>LGU-PI-2020-06-13PB</t>
  </si>
  <si>
    <t>PR NO. 100-8751-20-04-0509</t>
  </si>
  <si>
    <t>202006B</t>
  </si>
  <si>
    <t>PR# 20-05-941</t>
  </si>
  <si>
    <t>RFP 2020-03</t>
  </si>
  <si>
    <t>ITB202006</t>
  </si>
  <si>
    <t>BACII-2020-PB-14</t>
  </si>
  <si>
    <t>TAG-SDS-053-2020</t>
  </si>
  <si>
    <t>CW 2020-006-017</t>
  </si>
  <si>
    <t>ITB No. (INF) 2020-05-079 CONCRETING OF BARANGAY R</t>
  </si>
  <si>
    <t>100-2020-05-695</t>
  </si>
  <si>
    <t>BS-0003-2020</t>
  </si>
  <si>
    <t>MJES-06072020</t>
  </si>
  <si>
    <t>GS 2020-006-018</t>
  </si>
  <si>
    <t>300-20-03-0407</t>
  </si>
  <si>
    <t>IB No. 2020-216</t>
  </si>
  <si>
    <t>GS 2020-006-021</t>
  </si>
  <si>
    <t>ITB No. (INF) 2020-06-088 CONSTRUCTION OF BRGY. RO</t>
  </si>
  <si>
    <t>MJES-06072020A</t>
  </si>
  <si>
    <t>20BF0057</t>
  </si>
  <si>
    <t>IB NO. 034-20</t>
  </si>
  <si>
    <t xml:space="preserve">ITB No. (INF) 2020-06-087 CONCRETING OF HOLLYWOOD </t>
  </si>
  <si>
    <t>INFRA 2020-005</t>
  </si>
  <si>
    <t>SMN-2020-002</t>
  </si>
  <si>
    <t>PB2020-06-004 GAA</t>
  </si>
  <si>
    <t>IB NO. 032-20</t>
  </si>
  <si>
    <t>GOODS 2020-013</t>
  </si>
  <si>
    <t>S3-SPUGM20-001 (S3-MMT20-006 &amp; 007)</t>
  </si>
  <si>
    <t>Infra 2020-06-005</t>
  </si>
  <si>
    <t>Infra 2020-06-007</t>
  </si>
  <si>
    <t>IB NO. 031-20</t>
  </si>
  <si>
    <t>20LF0139</t>
  </si>
  <si>
    <t>2020-01-INFR</t>
  </si>
  <si>
    <t>IB 2020-06-006 PSS</t>
  </si>
  <si>
    <t>2020-CW-06-02</t>
  </si>
  <si>
    <t>ITB No. (INF) 2020-06-086 CONSTRUCTION/IMPROVEMENT</t>
  </si>
  <si>
    <t>CW2020-06-001(PB)</t>
  </si>
  <si>
    <t>GOODS JUNE 2020-003</t>
  </si>
  <si>
    <t>BTG3-2020-0206</t>
  </si>
  <si>
    <t>BTG3-2020-0204</t>
  </si>
  <si>
    <t>GOODS 2020-06-PLA003</t>
  </si>
  <si>
    <t>BTG3-2020-0203</t>
  </si>
  <si>
    <t>BTG3-2020-0201</t>
  </si>
  <si>
    <t>BTG3-2020-0205</t>
  </si>
  <si>
    <t>20CC0244</t>
  </si>
  <si>
    <t>20E00109</t>
  </si>
  <si>
    <t>INFRASIB-2020-09</t>
  </si>
  <si>
    <t>BTG3-2020-0202</t>
  </si>
  <si>
    <t>INFRASIB-2020-08</t>
  </si>
  <si>
    <t>20HI0088</t>
  </si>
  <si>
    <t>INFRASIB-2020-07</t>
  </si>
  <si>
    <t>20HI0059</t>
  </si>
  <si>
    <t>20OE0199</t>
  </si>
  <si>
    <t>GOODS JUNE 2020-001</t>
  </si>
  <si>
    <t>20OE0198</t>
  </si>
  <si>
    <t>352020a</t>
  </si>
  <si>
    <t>342020a</t>
  </si>
  <si>
    <t>20HI0035</t>
  </si>
  <si>
    <t>332020a</t>
  </si>
  <si>
    <t>GOODS JUNE 2020-004</t>
  </si>
  <si>
    <t>INVITATION TO BID No. 2020-06-001</t>
  </si>
  <si>
    <t>INF2020-004</t>
  </si>
  <si>
    <t>Calaca 2020-043</t>
  </si>
  <si>
    <t>PEO-20-0553-B</t>
  </si>
  <si>
    <t>RFQ NO 20-06-378</t>
  </si>
  <si>
    <t>INFRA 2020-004</t>
  </si>
  <si>
    <t>IPH-19-616-B (Re-Bid)</t>
  </si>
  <si>
    <t>ITB No. 030-2020  GQ</t>
  </si>
  <si>
    <t>PAPC-OG9PA_HHSG-2020-11238-5246</t>
  </si>
  <si>
    <t>Calaca 2020-034</t>
  </si>
  <si>
    <t>CYN-BAC-2020-34</t>
  </si>
  <si>
    <t>OC-64(DRRMO-05) 20 GD</t>
  </si>
  <si>
    <t>IB NO. 033-20</t>
  </si>
  <si>
    <t>NIAREG9-0629-2020-FSDECY2017-076 (GOODS)</t>
  </si>
  <si>
    <t>20-06-083</t>
  </si>
  <si>
    <t>20CG0141</t>
  </si>
  <si>
    <t>GEN-3918-10-2010</t>
  </si>
  <si>
    <t>142-2020</t>
  </si>
  <si>
    <t>CYN-BAC-2020-31</t>
  </si>
  <si>
    <t>2020-061-14-7</t>
  </si>
  <si>
    <t>20FL0085</t>
  </si>
  <si>
    <t>15-2020</t>
  </si>
  <si>
    <t>20KI0087</t>
  </si>
  <si>
    <t>OC-65(DRRMO-06) 20 GD</t>
  </si>
  <si>
    <t>2020-030</t>
  </si>
  <si>
    <t>ITB2020-06-87-MPOC</t>
  </si>
  <si>
    <t>GEN-1011-09-2020</t>
  </si>
  <si>
    <t>20PK0070</t>
  </si>
  <si>
    <t>20LC0154</t>
  </si>
  <si>
    <t>PR NO. 100-8751-20-05-0564</t>
  </si>
  <si>
    <t>QSU-BAC-F-12-2020 05D Grad Fee</t>
  </si>
  <si>
    <t>I-062020-00837</t>
  </si>
  <si>
    <t>20CG0140</t>
  </si>
  <si>
    <t>20PI0093</t>
  </si>
  <si>
    <t>I-062020-00836</t>
  </si>
  <si>
    <t>241-2020</t>
  </si>
  <si>
    <t>20LC0152</t>
  </si>
  <si>
    <t>240-2020</t>
  </si>
  <si>
    <t>umcbac20-14</t>
  </si>
  <si>
    <t>239-2020</t>
  </si>
  <si>
    <t>238-2020</t>
  </si>
  <si>
    <t>20-03-00221</t>
  </si>
  <si>
    <t>33-2020</t>
  </si>
  <si>
    <t>35-2020</t>
  </si>
  <si>
    <t>I-062020-00835</t>
  </si>
  <si>
    <t>34-2020</t>
  </si>
  <si>
    <t>PEO-2020-0413</t>
  </si>
  <si>
    <t>BAL-06-08-2020-Concreting of 400 Linear Meter Brgy</t>
  </si>
  <si>
    <t>PEO-2020-0485</t>
  </si>
  <si>
    <t>200028</t>
  </si>
  <si>
    <t>BAL-06-08-2020-Concreting of 150 Linear Meter Siga</t>
  </si>
  <si>
    <t>52020786</t>
  </si>
  <si>
    <t>PEO-2020-0603</t>
  </si>
  <si>
    <t>PEO-2020-0070</t>
  </si>
  <si>
    <t>CB(B)-20-012 (GTLMH)</t>
  </si>
  <si>
    <t>2020-G-01 (2)</t>
  </si>
  <si>
    <t>INFRA 2020-009</t>
  </si>
  <si>
    <t>039</t>
  </si>
  <si>
    <t>662020-002</t>
  </si>
  <si>
    <t>038</t>
  </si>
  <si>
    <t>PEO-2020-0745</t>
  </si>
  <si>
    <t>2005021</t>
  </si>
  <si>
    <t>Procurement of One (1) unit Service Vehicle  Pick-</t>
  </si>
  <si>
    <t>06072020</t>
  </si>
  <si>
    <t>BAC INFRA 2020-05</t>
  </si>
  <si>
    <t>MG-ADM20-005..REPLACEMENT OF EXISTING STREET LIGHT</t>
  </si>
  <si>
    <t>2020-009R</t>
  </si>
  <si>
    <t>662020-001</t>
  </si>
  <si>
    <t>IB NO. CW 2020 - 084</t>
  </si>
  <si>
    <t>2821-20</t>
  </si>
  <si>
    <t>MG-A5M20-001..OIL, WATER SEPARATOR AT SUMP PIT</t>
  </si>
  <si>
    <t>PB-CW-2020-024</t>
  </si>
  <si>
    <t>PB-CW-2020-023</t>
  </si>
  <si>
    <t>PB-CW-2020-022</t>
  </si>
  <si>
    <t>ITB NO. 2020-0013</t>
  </si>
  <si>
    <t>IB NO. CW 2020 - 082</t>
  </si>
  <si>
    <t>2020-0011</t>
  </si>
  <si>
    <t>2020-Goods-11</t>
  </si>
  <si>
    <t>2020-05-0218</t>
  </si>
  <si>
    <t>20-05-0545</t>
  </si>
  <si>
    <t>B20-17-13</t>
  </si>
  <si>
    <t>2020-Infra-03</t>
  </si>
  <si>
    <t>MG-PLM20-015..REPLACEMENT OF POWERHOUSE STATION BA</t>
  </si>
  <si>
    <t>PB-CW-2020-021</t>
  </si>
  <si>
    <t>2020-Infra-01 (2)</t>
  </si>
  <si>
    <t>2020-06-0229</t>
  </si>
  <si>
    <t>itb20-06-024</t>
  </si>
  <si>
    <t>IB NO. CW 2020 - 088</t>
  </si>
  <si>
    <t>infra 2020-06-001</t>
  </si>
  <si>
    <t>IAEB 2020-009</t>
  </si>
  <si>
    <t>2020-0361</t>
  </si>
  <si>
    <t>20OI0120</t>
  </si>
  <si>
    <t>0003-2020</t>
  </si>
  <si>
    <t>20-05-0550</t>
  </si>
  <si>
    <t>2020-087</t>
  </si>
  <si>
    <t>20-153</t>
  </si>
  <si>
    <t>074 - 2020</t>
  </si>
  <si>
    <t>2020-010R</t>
  </si>
  <si>
    <t>20236</t>
  </si>
  <si>
    <t>2020-0459</t>
  </si>
  <si>
    <t>2020-0461</t>
  </si>
  <si>
    <t>20OI0119</t>
  </si>
  <si>
    <t>2020065</t>
  </si>
  <si>
    <t>202038</t>
  </si>
  <si>
    <t>IB NO. CW 2020 - 081</t>
  </si>
  <si>
    <t>2020-0349</t>
  </si>
  <si>
    <t>27619-001 to 27619-003</t>
  </si>
  <si>
    <t>20B00022</t>
  </si>
  <si>
    <t>27388-001</t>
  </si>
  <si>
    <t>ITB No. 20-22</t>
  </si>
  <si>
    <t>27611-001</t>
  </si>
  <si>
    <t>tgs 10-20</t>
  </si>
  <si>
    <t>2020-37</t>
  </si>
  <si>
    <t>CBSUA-SIP-GOODS-09-2020</t>
  </si>
  <si>
    <t>20LH0084</t>
  </si>
  <si>
    <t>2020-0448</t>
  </si>
  <si>
    <t>BS20-06-MS005</t>
  </si>
  <si>
    <t>2020-0348</t>
  </si>
  <si>
    <t>50011012020</t>
  </si>
  <si>
    <t>DENR-ENGP-MMFN-HAULING-2020-001</t>
  </si>
  <si>
    <t>BS20-03-0402</t>
  </si>
  <si>
    <t>20DJ0090</t>
  </si>
  <si>
    <t>20LH0092</t>
  </si>
  <si>
    <t>BS20-03-0410</t>
  </si>
  <si>
    <t>BS20-02-0346</t>
  </si>
  <si>
    <t>2020-05-350</t>
  </si>
  <si>
    <t>BS20-02-MME004</t>
  </si>
  <si>
    <t>BS20-02-0296</t>
  </si>
  <si>
    <t>50-20-05-042</t>
  </si>
  <si>
    <t>BS20-03-0511</t>
  </si>
  <si>
    <t>BS20-06-OS003</t>
  </si>
  <si>
    <t>HILONGOS 2020-179</t>
  </si>
  <si>
    <t>20LH0093</t>
  </si>
  <si>
    <t>BS20-03-0467</t>
  </si>
  <si>
    <t>06052020-D</t>
  </si>
  <si>
    <t>20DJ0095</t>
  </si>
  <si>
    <t>6-5-20</t>
  </si>
  <si>
    <t>20DJ0091</t>
  </si>
  <si>
    <t>20GP00033</t>
  </si>
  <si>
    <t>BS20-06-PR004</t>
  </si>
  <si>
    <t>ASTGOODS06</t>
  </si>
  <si>
    <t>2020-036</t>
  </si>
  <si>
    <t>20LH0094</t>
  </si>
  <si>
    <t>BS20-04-0635</t>
  </si>
  <si>
    <t>20DJ0092</t>
  </si>
  <si>
    <t>BACII-2020-13</t>
  </si>
  <si>
    <t>27608-001</t>
  </si>
  <si>
    <t>2020-LP-22</t>
  </si>
  <si>
    <t>2020-LP-21</t>
  </si>
  <si>
    <t>20CSCE001</t>
  </si>
  <si>
    <t>20CSCE002</t>
  </si>
  <si>
    <t>PR-2020-05-100</t>
  </si>
  <si>
    <t>PR-2020-05-116</t>
  </si>
  <si>
    <t>BS20-02-0215-1</t>
  </si>
  <si>
    <t>CW-APAYAO-LARIP-01-2020</t>
  </si>
  <si>
    <t>20GH00002 (Cluster)</t>
  </si>
  <si>
    <t>USTP-GSPB-06-5050105003-2020</t>
  </si>
  <si>
    <t>ITB PR 0390</t>
  </si>
  <si>
    <t>20GHC0003</t>
  </si>
  <si>
    <t>0605-002</t>
  </si>
  <si>
    <t>2020-020-II</t>
  </si>
  <si>
    <t>2020-019-II</t>
  </si>
  <si>
    <t>20PK0066</t>
  </si>
  <si>
    <t>2020-018-II</t>
  </si>
  <si>
    <t>ITB PR 0406</t>
  </si>
  <si>
    <t>0605-001</t>
  </si>
  <si>
    <t>ITB 2020-05</t>
  </si>
  <si>
    <t>20FL0083</t>
  </si>
  <si>
    <t>GA-BAC-2019C-DP-21</t>
  </si>
  <si>
    <t>GA-BAC-2020DP-12</t>
  </si>
  <si>
    <t>2020-PBINFRA-06-006</t>
  </si>
  <si>
    <t>5-11-20</t>
  </si>
  <si>
    <t>2020-06-0028</t>
  </si>
  <si>
    <t>202006111</t>
  </si>
  <si>
    <t>IN-BAC-2020-06-056</t>
  </si>
  <si>
    <t>MUNPINCE-2006-099</t>
  </si>
  <si>
    <t>IN-BAC-2020-06-055</t>
  </si>
  <si>
    <t>2020-0034</t>
  </si>
  <si>
    <t>Poblacion-2020-002</t>
  </si>
  <si>
    <t>0605-003</t>
  </si>
  <si>
    <t>2020-05-066</t>
  </si>
  <si>
    <t>Contract ID: 20KH0045</t>
  </si>
  <si>
    <t>RFQ No. 20-074: Supply and Delivery of Various Lab</t>
  </si>
  <si>
    <t>20CSDM01</t>
  </si>
  <si>
    <t>Poblacion-2020-001</t>
  </si>
  <si>
    <t>20CSDM02</t>
  </si>
  <si>
    <t>MKWD2020-041</t>
  </si>
  <si>
    <t>S3-LOR20-001</t>
  </si>
  <si>
    <t>ITB-PB-02</t>
  </si>
  <si>
    <t>S3-BLD20-010</t>
  </si>
  <si>
    <t>S3-BLD20-009</t>
  </si>
  <si>
    <t>20PK0067</t>
  </si>
  <si>
    <t>2020-015R</t>
  </si>
  <si>
    <t>2020-06-0177</t>
  </si>
  <si>
    <t>BAC 06/04/20-01</t>
  </si>
  <si>
    <t>S3-KDP20-009</t>
  </si>
  <si>
    <t>S3-TAL20-008</t>
  </si>
  <si>
    <t>S3-KDP20-006</t>
  </si>
  <si>
    <t>101-020-006-064</t>
  </si>
  <si>
    <t>LGU-Sagay-4745</t>
  </si>
  <si>
    <t>Budget Certificate No. 213-2020 dated May 29, 2020</t>
  </si>
  <si>
    <t>NAVOTAS WEST 2020-001</t>
  </si>
  <si>
    <t>S3-TAL20-007</t>
  </si>
  <si>
    <t>S3-NAQ20-008</t>
  </si>
  <si>
    <t>Barangay 01-2020</t>
  </si>
  <si>
    <t>20HA0130</t>
  </si>
  <si>
    <t>MUNPINCE-2006-101</t>
  </si>
  <si>
    <t>S3-MMT20-015</t>
  </si>
  <si>
    <t>B-8661-20-11</t>
  </si>
  <si>
    <t>msj-2020-15</t>
  </si>
  <si>
    <t>BRGHGMC-GS-2020-03</t>
  </si>
  <si>
    <t>CWD06-202001</t>
  </si>
  <si>
    <t>20GKI0026</t>
  </si>
  <si>
    <t>MUNPINCE-2006-100</t>
  </si>
  <si>
    <t>100(01)20-06-321(O)</t>
  </si>
  <si>
    <t>20GKI0024 (Re-ad)</t>
  </si>
  <si>
    <t>MG-A7C20-019</t>
  </si>
  <si>
    <t>0605-007</t>
  </si>
  <si>
    <t>0605-006</t>
  </si>
  <si>
    <t>0605-005</t>
  </si>
  <si>
    <t>Competitive Bidding 2020-17</t>
  </si>
  <si>
    <t>20GM0079</t>
  </si>
  <si>
    <t>20GM0078</t>
  </si>
  <si>
    <t>2020-G-27</t>
  </si>
  <si>
    <t>NAVOTAS WEST 2020-002</t>
  </si>
  <si>
    <t>2020-35</t>
  </si>
  <si>
    <t>20GKI0017 (Re-ad)</t>
  </si>
  <si>
    <t>20GM0077</t>
  </si>
  <si>
    <t>20GM0073</t>
  </si>
  <si>
    <t>420200302576</t>
  </si>
  <si>
    <t>INFRA 2020-003</t>
  </si>
  <si>
    <t>20GKI0025 (Re-ad)</t>
  </si>
  <si>
    <t>20PF0066</t>
  </si>
  <si>
    <t>642020-022</t>
  </si>
  <si>
    <t>PROJECT ID NO. I-2020-012</t>
  </si>
  <si>
    <t>S3-PLM20-003</t>
  </si>
  <si>
    <t>INFR-02-2020</t>
  </si>
  <si>
    <t>20GG00016</t>
  </si>
  <si>
    <t>Competitive Bidding 2020-18</t>
  </si>
  <si>
    <t>2020-303</t>
  </si>
  <si>
    <t>B-8661-20-12</t>
  </si>
  <si>
    <t>0605-004</t>
  </si>
  <si>
    <t>6004012020</t>
  </si>
  <si>
    <t>CW-259-2020</t>
  </si>
  <si>
    <t>CW-258-2020</t>
  </si>
  <si>
    <t>20GM0076</t>
  </si>
  <si>
    <t>06-05-2020-01</t>
  </si>
  <si>
    <t>Adv. 20-007</t>
  </si>
  <si>
    <t>20013052020</t>
  </si>
  <si>
    <t>2020-292</t>
  </si>
  <si>
    <t>2020-06-0577 TDG</t>
  </si>
  <si>
    <t>IB No. 2020-029</t>
  </si>
  <si>
    <t>20GM0075</t>
  </si>
  <si>
    <t>MRB-2020-BLDG</t>
  </si>
  <si>
    <t>2020-PB-015</t>
  </si>
  <si>
    <t>Infra-2020-06</t>
  </si>
  <si>
    <t>20GM0074</t>
  </si>
  <si>
    <t>INFRA-017-2020</t>
  </si>
  <si>
    <t>FLGU-CW-2020-09</t>
  </si>
  <si>
    <t>2020-PB-014</t>
  </si>
  <si>
    <t>ITB-2019-PW-01</t>
  </si>
  <si>
    <t>ITB-2020-01</t>
  </si>
  <si>
    <t>CEO-2018-C14 and CEO-2018-11</t>
  </si>
  <si>
    <t>SOLANO 056-2020</t>
  </si>
  <si>
    <t>SIC-95-2020-PRDP-RPCO 1</t>
  </si>
  <si>
    <t>Competitive Bidding 2020-19</t>
  </si>
  <si>
    <t>420200302577</t>
  </si>
  <si>
    <t>INF-SFO-04-20</t>
  </si>
  <si>
    <t>006-20</t>
  </si>
  <si>
    <t>CW-APAYAO-LARIP-02-2020</t>
  </si>
  <si>
    <t>CW-KALINGA-UCRIS-03-2020</t>
  </si>
  <si>
    <t>20PK0068</t>
  </si>
  <si>
    <t>6-6-20</t>
  </si>
  <si>
    <t>06042020</t>
  </si>
  <si>
    <t>FLGU-CW-2020-11</t>
  </si>
  <si>
    <t>NAVOTAS WEST 2020-005</t>
  </si>
  <si>
    <t>2020-002C</t>
  </si>
  <si>
    <t>FLGU-CW-2020-10</t>
  </si>
  <si>
    <t>IB No. 2020-030</t>
  </si>
  <si>
    <t>20NC0120</t>
  </si>
  <si>
    <t>060420</t>
  </si>
  <si>
    <t>20NC0119</t>
  </si>
  <si>
    <t>GFW-2020-06-017</t>
  </si>
  <si>
    <t>NAVOTAS WEST 2020-004</t>
  </si>
  <si>
    <t>GFG-2020-06-017</t>
  </si>
  <si>
    <t>I-2020-014</t>
  </si>
  <si>
    <t>NAVOTAS WEST 2020-003</t>
  </si>
  <si>
    <t>INFR-018-2020</t>
  </si>
  <si>
    <t>20FL0069</t>
  </si>
  <si>
    <t>20DJ0093</t>
  </si>
  <si>
    <t>BS20-03-0590</t>
  </si>
  <si>
    <t>BS20-06-M008</t>
  </si>
  <si>
    <t>SPC PR No. 202004-026</t>
  </si>
  <si>
    <t>20FL0064</t>
  </si>
  <si>
    <t>BS20-03-0607</t>
  </si>
  <si>
    <t>BS20-03-0520</t>
  </si>
  <si>
    <t>B20-17-09</t>
  </si>
  <si>
    <t>DGPD2020-RFQ02-001-G</t>
  </si>
  <si>
    <t>IB No. 2020-034</t>
  </si>
  <si>
    <t>BS20-06-HS003</t>
  </si>
  <si>
    <t>PGLDN 101-20-05-1052</t>
  </si>
  <si>
    <t>20DJ0094</t>
  </si>
  <si>
    <t>CHEDRO12 ITB2020-06-002</t>
  </si>
  <si>
    <t>IB No. 2020-033</t>
  </si>
  <si>
    <t>20G00098</t>
  </si>
  <si>
    <t>I.D. NO. –June2-2020-460</t>
  </si>
  <si>
    <t>IB No. 2020-032</t>
  </si>
  <si>
    <t>20GDM0098</t>
  </si>
  <si>
    <t>2020-S001</t>
  </si>
  <si>
    <t>2020-S002</t>
  </si>
  <si>
    <t>IB No. 2020-031</t>
  </si>
  <si>
    <t>SWEP-PNBAC1-2020-02</t>
  </si>
  <si>
    <t>I.D. NO. –June2-2020-465</t>
  </si>
  <si>
    <t>I.D. NO. –June2-2020-464</t>
  </si>
  <si>
    <t>BS20-03-0433</t>
  </si>
  <si>
    <t>R1-ISIMO-20-06-021</t>
  </si>
  <si>
    <t>PB INFRA 02-2020</t>
  </si>
  <si>
    <t>PR0035-20 +0036-20 MotorPool</t>
  </si>
  <si>
    <t>R1-ISIMO-20-06-022</t>
  </si>
  <si>
    <t>PN 09-2020</t>
  </si>
  <si>
    <t>CW20-19</t>
  </si>
  <si>
    <t>BCS-2020-098</t>
  </si>
  <si>
    <t>R1-ISIMO-20-06-020</t>
  </si>
  <si>
    <t>2020-05-789-MEO</t>
  </si>
  <si>
    <t>PB INFRA 001-2020</t>
  </si>
  <si>
    <t>I.D. NO. –June2-2020-461</t>
  </si>
  <si>
    <t>NAVOTAS WEST 2020-006</t>
  </si>
  <si>
    <t>BS20-06-OE004</t>
  </si>
  <si>
    <t>BS20-03-0609</t>
  </si>
  <si>
    <t>20LH0091</t>
  </si>
  <si>
    <t>I.D. NO. –June2-2020-456</t>
  </si>
  <si>
    <t>I.D. NO. –June2-2020-462</t>
  </si>
  <si>
    <t>ITB PR No.: 0207-20BAC</t>
  </si>
  <si>
    <t>I.D. NO. –June2-2020-463</t>
  </si>
  <si>
    <t>RO4-GOODS-2020-18</t>
  </si>
  <si>
    <t>PRDP ID No.: PRDP-IR-R011-DDS-006-DAV-003-2018</t>
  </si>
  <si>
    <t>20MB0153</t>
  </si>
  <si>
    <t>2020-134-I</t>
  </si>
  <si>
    <t>I.D. NO. –June2-2020-466</t>
  </si>
  <si>
    <t>2020-133-I</t>
  </si>
  <si>
    <t>BAC-HO GS No. 2020-0242 dated 28 May 2020 (ASD)</t>
  </si>
  <si>
    <t>2020-136-I</t>
  </si>
  <si>
    <t>20FL0070</t>
  </si>
  <si>
    <t>lgutangcalldn-096</t>
  </si>
  <si>
    <t>I.D. NO. –June2-2020-458</t>
  </si>
  <si>
    <t>I.D. NO. –June2-2020-457</t>
  </si>
  <si>
    <t>ITB PR No.: 0206-20BAC</t>
  </si>
  <si>
    <t>I.D. NO. –June2-2020-455</t>
  </si>
  <si>
    <t>I.D. NO. –June2-2020-459</t>
  </si>
  <si>
    <t>20LH0086</t>
  </si>
  <si>
    <t>R1-ISIMO-20-06-023</t>
  </si>
  <si>
    <t>SWEP-PNBAC1-2020-03</t>
  </si>
  <si>
    <t>20LH0078</t>
  </si>
  <si>
    <t>ITB PR No.: 0177-20BAC</t>
  </si>
  <si>
    <t>20LH0090</t>
  </si>
  <si>
    <t>NIAREG9-06032020-686</t>
  </si>
  <si>
    <t>20FC0105</t>
  </si>
  <si>
    <t>lgutangcalldn-095</t>
  </si>
  <si>
    <t>20FC0091</t>
  </si>
  <si>
    <t>ITB PR No.: 0295, 0317-20BAC</t>
  </si>
  <si>
    <t>20LH0081</t>
  </si>
  <si>
    <t>DPWH-SK2DEO-20GMH045</t>
  </si>
  <si>
    <t>20FC0073</t>
  </si>
  <si>
    <t>20FC0084</t>
  </si>
  <si>
    <t>DPWH-SK2DEO-20GMH042</t>
  </si>
  <si>
    <t>20-05-399</t>
  </si>
  <si>
    <t>20-06-37A</t>
  </si>
  <si>
    <t>20-06-36A</t>
  </si>
  <si>
    <t>2020-009-I</t>
  </si>
  <si>
    <t>AGINF2020-0605B</t>
  </si>
  <si>
    <t>20-06-443</t>
  </si>
  <si>
    <t>GSV2020-06-025</t>
  </si>
  <si>
    <t>lam-bac-189-020</t>
  </si>
  <si>
    <t>ITB PR No.: 1123-20BAC</t>
  </si>
  <si>
    <t>DPWH-SK2DEO-20GMH043</t>
  </si>
  <si>
    <t>MG-A7T20-050</t>
  </si>
  <si>
    <t>20FL0066</t>
  </si>
  <si>
    <t>DENR-ORMIN-015-2020</t>
  </si>
  <si>
    <t>ITB PR No.: 0605-20BAC</t>
  </si>
  <si>
    <t>BAC 2020-69</t>
  </si>
  <si>
    <t>ITB PR No.: 3310-19BAC</t>
  </si>
  <si>
    <t>ITB PR No.: 0698-20BAC</t>
  </si>
  <si>
    <t>ITB PR No.: 0697-20BAC</t>
  </si>
  <si>
    <t>ITB PR No.: 0952-20BAC</t>
  </si>
  <si>
    <t>20L00152</t>
  </si>
  <si>
    <t>B1-2020-04-010</t>
  </si>
  <si>
    <t>20L00151</t>
  </si>
  <si>
    <t>Infra-2020-07</t>
  </si>
  <si>
    <t>B2-2020-03-004</t>
  </si>
  <si>
    <t>20L00150</t>
  </si>
  <si>
    <t>20L00028</t>
  </si>
  <si>
    <t>ITB PR No.: 0604-20BAC</t>
  </si>
  <si>
    <t>124 - 2020</t>
  </si>
  <si>
    <t>125 - 2020</t>
  </si>
  <si>
    <t>96a - 2020</t>
  </si>
  <si>
    <t>2020-B1-04</t>
  </si>
  <si>
    <t>MG-A7O20-007</t>
  </si>
  <si>
    <t>DPWH-SK2DEO-20GMH044</t>
  </si>
  <si>
    <t>122 - 2020</t>
  </si>
  <si>
    <t>121 - 2020</t>
  </si>
  <si>
    <t>2020-B1-05-012</t>
  </si>
  <si>
    <t>QRF-CY2020-SLOPE PROTECTION</t>
  </si>
  <si>
    <t>DPWH-SK2DEO-20GMH046</t>
  </si>
  <si>
    <t>2020-B1-03-007</t>
  </si>
  <si>
    <t>2020-B1-03-009</t>
  </si>
  <si>
    <t>Competitive Bidding 2020-16</t>
  </si>
  <si>
    <t>2020-B1-04-011</t>
  </si>
  <si>
    <t>20GB0123</t>
  </si>
  <si>
    <t>020-10 Lot 1</t>
  </si>
  <si>
    <t>ITB-2020-10-I</t>
  </si>
  <si>
    <t>100-20-05-0602</t>
  </si>
  <si>
    <t>OGDS 06-3-20</t>
  </si>
  <si>
    <t>PB NO. 2020-030</t>
  </si>
  <si>
    <t>020-10 Lot 3</t>
  </si>
  <si>
    <t>BAC 2020-64</t>
  </si>
  <si>
    <t>UMB-TAG-SDS-01-2020</t>
  </si>
  <si>
    <t>Q-085-20</t>
  </si>
  <si>
    <t>BAC 2020-62</t>
  </si>
  <si>
    <t>BAC 2020-61</t>
  </si>
  <si>
    <t>020-10 Lot 2</t>
  </si>
  <si>
    <t>OM-175-L-2020</t>
  </si>
  <si>
    <t>20L00154</t>
  </si>
  <si>
    <t>Infra-2020-08</t>
  </si>
  <si>
    <t>020-10 Lot 4</t>
  </si>
  <si>
    <t>20LA0332</t>
  </si>
  <si>
    <t>06032020-B</t>
  </si>
  <si>
    <t>100-20-06-0638</t>
  </si>
  <si>
    <t>20LA0287</t>
  </si>
  <si>
    <t>PB-CW-2020-020</t>
  </si>
  <si>
    <t>PB-CW-2020-019</t>
  </si>
  <si>
    <t>PB-CW-2020-018</t>
  </si>
  <si>
    <t>Contract No. PB-CW-2020-017</t>
  </si>
  <si>
    <t>20LA0327</t>
  </si>
  <si>
    <t>ITB-011-2020</t>
  </si>
  <si>
    <t>20PC0002CS</t>
  </si>
  <si>
    <t>19-83-180</t>
  </si>
  <si>
    <t>ITB-019-2020</t>
  </si>
  <si>
    <t>2020-02-0267-MAIN</t>
  </si>
  <si>
    <t>GOOD-005-2020</t>
  </si>
  <si>
    <t>Publication No. 26-2020-G</t>
  </si>
  <si>
    <t>19-83-408</t>
  </si>
  <si>
    <t>FLGU-G-2020-29</t>
  </si>
  <si>
    <t>20GM0072</t>
  </si>
  <si>
    <t>BAC 2020-63</t>
  </si>
  <si>
    <t>20ITB-INF-02-00032</t>
  </si>
  <si>
    <t>bacgal-47-2020</t>
  </si>
  <si>
    <t>2020-06-093</t>
  </si>
  <si>
    <t>BAC2020-015</t>
  </si>
  <si>
    <t>2000005452</t>
  </si>
  <si>
    <t>05-0013-20</t>
  </si>
  <si>
    <t>SRAVIS 20-06-272</t>
  </si>
  <si>
    <t>20CSPG0001</t>
  </si>
  <si>
    <t>GOODS-006-2020</t>
  </si>
  <si>
    <t>REF #039-06-2020</t>
  </si>
  <si>
    <t>01-2020-0034</t>
  </si>
  <si>
    <t>2050-01C02-03</t>
  </si>
  <si>
    <t>2020-B2-05-013</t>
  </si>
  <si>
    <t>BAC2020-020</t>
  </si>
  <si>
    <t>IB-2020-080-INFRA</t>
  </si>
  <si>
    <t>20-DSWDFO1-01</t>
  </si>
  <si>
    <t>20PC0001CS</t>
  </si>
  <si>
    <t>2020-05-067</t>
  </si>
  <si>
    <t>BAC 06/03/20-02</t>
  </si>
  <si>
    <t>IB-2020-081-INFRA</t>
  </si>
  <si>
    <t>BAC2020-018</t>
  </si>
  <si>
    <t>BAC2-2020-02</t>
  </si>
  <si>
    <t>BAC 06/03/20-01</t>
  </si>
  <si>
    <t>BAC2020-017</t>
  </si>
  <si>
    <t>BAC2020-016</t>
  </si>
  <si>
    <t>2020-05-089</t>
  </si>
  <si>
    <t>2020-02-INFRA-JUNE-01</t>
  </si>
  <si>
    <t>2020-05-091</t>
  </si>
  <si>
    <t>BAC2020-019</t>
  </si>
  <si>
    <t>BAC 2020-67</t>
  </si>
  <si>
    <t>2020-05-090</t>
  </si>
  <si>
    <t>CW20-06-026</t>
  </si>
  <si>
    <t>CW20-06-024</t>
  </si>
  <si>
    <t>CW20-06-023</t>
  </si>
  <si>
    <t>CW20-06-021</t>
  </si>
  <si>
    <t>2020-0064</t>
  </si>
  <si>
    <t>BAC 06/03/20-03</t>
  </si>
  <si>
    <t>CW20-06-018</t>
  </si>
  <si>
    <t>CW20-06-025</t>
  </si>
  <si>
    <t>CW20-06-017</t>
  </si>
  <si>
    <t>CW20-06-020</t>
  </si>
  <si>
    <t>20EB0123</t>
  </si>
  <si>
    <t>2020-05-CS1</t>
  </si>
  <si>
    <t>CW20-06-022</t>
  </si>
  <si>
    <t>2020-06-0178</t>
  </si>
  <si>
    <t>CW20-06-035</t>
  </si>
  <si>
    <t>IB-2020-090-INFRA</t>
  </si>
  <si>
    <t>CW20-06-034</t>
  </si>
  <si>
    <t>IB-2020-087-INFRA</t>
  </si>
  <si>
    <t>CW20-06-019</t>
  </si>
  <si>
    <t>2020-05-41</t>
  </si>
  <si>
    <t>IB-2020-089-INFRA</t>
  </si>
  <si>
    <t>CW20-06-032</t>
  </si>
  <si>
    <t>Bid Reference No. 2020-006; PR No. 2020-06-0165</t>
  </si>
  <si>
    <t>100-20-06-0634</t>
  </si>
  <si>
    <t>IB-2020-086-INFRA</t>
  </si>
  <si>
    <t>PB 06-02-2020</t>
  </si>
  <si>
    <t>IB-2020-088-INFRA</t>
  </si>
  <si>
    <t>IB-2020-084-INFRA</t>
  </si>
  <si>
    <t>2020-05-044</t>
  </si>
  <si>
    <t>20BA0060-Cluster 1</t>
  </si>
  <si>
    <t>IB-2020-085-INFRA</t>
  </si>
  <si>
    <t>20032719</t>
  </si>
  <si>
    <t>20053164</t>
  </si>
  <si>
    <t>20-06-04-IN</t>
  </si>
  <si>
    <t>20032713</t>
  </si>
  <si>
    <t>pb-infra-2020-034</t>
  </si>
  <si>
    <t>20-06-03-IN</t>
  </si>
  <si>
    <t>2020-062-13</t>
  </si>
  <si>
    <t>20053185</t>
  </si>
  <si>
    <t>SCM-INFRA-01072020-04</t>
  </si>
  <si>
    <t>20032821</t>
  </si>
  <si>
    <t>SCM-INFRA-01072020-03</t>
  </si>
  <si>
    <t>SCM-INFRA-01072020-02</t>
  </si>
  <si>
    <t>SCM-INFRA-01072020-01</t>
  </si>
  <si>
    <t>CW20-06-031</t>
  </si>
  <si>
    <t>CW20-06-030</t>
  </si>
  <si>
    <t>CW20-06-027</t>
  </si>
  <si>
    <t>BALZN9-2009</t>
  </si>
  <si>
    <t>BALZN9-2008</t>
  </si>
  <si>
    <t>CW20-06-016</t>
  </si>
  <si>
    <t>BALZN9-2010</t>
  </si>
  <si>
    <t>IB-2020-083-INFRA</t>
  </si>
  <si>
    <t>CW20-06-014</t>
  </si>
  <si>
    <t>769</t>
  </si>
  <si>
    <t>5020503000-PNP-DICTM-20-04</t>
  </si>
  <si>
    <t>PNPTR-CPSM-DP-20-01</t>
  </si>
  <si>
    <t>20-06-060</t>
  </si>
  <si>
    <t>CW20-06-015</t>
  </si>
  <si>
    <t>20-00037</t>
  </si>
  <si>
    <t>IB-2020-060</t>
  </si>
  <si>
    <t>2020-254</t>
  </si>
  <si>
    <t>06202002</t>
  </si>
  <si>
    <t>OGDS 06-2-20</t>
  </si>
  <si>
    <t>20-05-3123</t>
  </si>
  <si>
    <t>INFRA 2K20-42</t>
  </si>
  <si>
    <t>IB-2020-082-INFRA</t>
  </si>
  <si>
    <t>20FB0149</t>
  </si>
  <si>
    <t>20-05-3125</t>
  </si>
  <si>
    <t>ITB-GS-20200323-01</t>
  </si>
  <si>
    <t>CW20-06-028</t>
  </si>
  <si>
    <t>INFRA 2K20-43</t>
  </si>
  <si>
    <t>2020-310</t>
  </si>
  <si>
    <t>01-2020-05M</t>
  </si>
  <si>
    <t>INFRA 2K20-44</t>
  </si>
  <si>
    <t>Aklan BAC ITB 328 Series of 2020</t>
  </si>
  <si>
    <t>nego8</t>
  </si>
  <si>
    <t>20GM0071</t>
  </si>
  <si>
    <t>NS-06-04-20</t>
  </si>
  <si>
    <t>399-05-2020 (IPHO)</t>
  </si>
  <si>
    <t>Aklan BAC ITB 327 Series of 2020</t>
  </si>
  <si>
    <t>ITB-2020-04</t>
  </si>
  <si>
    <t>197</t>
  </si>
  <si>
    <t>06032020-A</t>
  </si>
  <si>
    <t>BAC 2020-66</t>
  </si>
  <si>
    <t>2020-06-03-01</t>
  </si>
  <si>
    <t>100-1917-20-309</t>
  </si>
  <si>
    <t>PEO-20-0543 B</t>
  </si>
  <si>
    <t>PEO-20-0501 B</t>
  </si>
  <si>
    <t>25-GOODS-CORN-2020</t>
  </si>
  <si>
    <t>20LA0309</t>
  </si>
  <si>
    <t>24-GOODS-HVCDP-2020</t>
  </si>
  <si>
    <t>PB-CW-2020-016</t>
  </si>
  <si>
    <t>PR0120-20 PDRRMO</t>
  </si>
  <si>
    <t>PEO-20-0545 B</t>
  </si>
  <si>
    <t>PEO-20-0547 B</t>
  </si>
  <si>
    <t>20M00079</t>
  </si>
  <si>
    <t>26-GOODS-CORN-2020</t>
  </si>
  <si>
    <t>23-GOODS-HVCDP-2020</t>
  </si>
  <si>
    <t>bir_pb 2020-29</t>
  </si>
  <si>
    <t>20CSHN02</t>
  </si>
  <si>
    <t>OGDS 06-1-20</t>
  </si>
  <si>
    <t>20BF0054</t>
  </si>
  <si>
    <t>20BF0052</t>
  </si>
  <si>
    <t>27630-022</t>
  </si>
  <si>
    <t>20FO0092</t>
  </si>
  <si>
    <t>20LA0279</t>
  </si>
  <si>
    <t>SVP 20-1000-1</t>
  </si>
  <si>
    <t>20LA0256</t>
  </si>
  <si>
    <t>20BF0053</t>
  </si>
  <si>
    <t>PB INFRA 20-029</t>
  </si>
  <si>
    <t>20LA0280</t>
  </si>
  <si>
    <t>PB INFRA 20-032</t>
  </si>
  <si>
    <t>ITB No. 025-2020 GQ</t>
  </si>
  <si>
    <t>001-06-01-2020</t>
  </si>
  <si>
    <t>OGDS 061-1-20</t>
  </si>
  <si>
    <t>PB INFRA 20-023</t>
  </si>
  <si>
    <t>bir_pb 2020-30</t>
  </si>
  <si>
    <t>R3-BANE-SIP-2020-NE-63R</t>
  </si>
  <si>
    <t>JR# 20-02-022</t>
  </si>
  <si>
    <t>R3-BANE-SIP-2020-NE-62R</t>
  </si>
  <si>
    <t>ITB-GS-20200407-01</t>
  </si>
  <si>
    <t>IB-2020-058</t>
  </si>
  <si>
    <t>ITB-GS-20200402-01</t>
  </si>
  <si>
    <t>2020-0184</t>
  </si>
  <si>
    <t>19Z00042</t>
  </si>
  <si>
    <t>ITB-GS-20200325-01</t>
  </si>
  <si>
    <t>PB INFRA 20-031</t>
  </si>
  <si>
    <t>060120-1</t>
  </si>
  <si>
    <t>MZSP-2020-041</t>
  </si>
  <si>
    <t>2020-5-002</t>
  </si>
  <si>
    <t>OGDS 06-6-20</t>
  </si>
  <si>
    <t>05292020</t>
  </si>
  <si>
    <t>2020-0419</t>
  </si>
  <si>
    <t>2020-0421</t>
  </si>
  <si>
    <t>2020-0418</t>
  </si>
  <si>
    <t>2020-0422</t>
  </si>
  <si>
    <t>2020-0381</t>
  </si>
  <si>
    <t>G-2020-020</t>
  </si>
  <si>
    <t>2020-0424</t>
  </si>
  <si>
    <t>PAPC-OG9PA_HHSG-2020-10983- 5219</t>
  </si>
  <si>
    <t>8000-2-2-14</t>
  </si>
  <si>
    <t>WDDSP-NorWD-IFB-G07c</t>
  </si>
  <si>
    <t>20CSBF0001</t>
  </si>
  <si>
    <t>CONTRACT ID: 20-05-083</t>
  </si>
  <si>
    <t>8000-2-2-9</t>
  </si>
  <si>
    <t>MBHTE-BARMM-SUPPLY-B011-2020</t>
  </si>
  <si>
    <t>100-20-05-292</t>
  </si>
  <si>
    <t>20GAE0007: Supply and Delivery of Global Navigatio</t>
  </si>
  <si>
    <t>20KA0141</t>
  </si>
  <si>
    <t>20KA0140</t>
  </si>
  <si>
    <t>20KA0139</t>
  </si>
  <si>
    <t>20KA0138</t>
  </si>
  <si>
    <t>20KA0137</t>
  </si>
  <si>
    <t>20HG0161 RE-BID</t>
  </si>
  <si>
    <t>8000-2-2-10</t>
  </si>
  <si>
    <t>2020-04-11</t>
  </si>
  <si>
    <t>20-DO-0079</t>
  </si>
  <si>
    <t>ITB PR No.: 0347, 0348-20BAC</t>
  </si>
  <si>
    <t>ITB PR No.: 0374-20BAC</t>
  </si>
  <si>
    <t>ITB PR No.: 0376-20BAC</t>
  </si>
  <si>
    <t>PR No. 2020-02-01</t>
  </si>
  <si>
    <t>2020-05-90</t>
  </si>
  <si>
    <t>2020-05-ITB-ConstrNatlChildDevtCenter-036</t>
  </si>
  <si>
    <t>20HG0162 RE-BID</t>
  </si>
  <si>
    <t>2020-0425</t>
  </si>
  <si>
    <t>2020-0416</t>
  </si>
  <si>
    <t>20P00009</t>
  </si>
  <si>
    <t>20P00005</t>
  </si>
  <si>
    <t>20P00017</t>
  </si>
  <si>
    <t>20C00036</t>
  </si>
  <si>
    <t>20-5046</t>
  </si>
  <si>
    <t>20P00006</t>
  </si>
  <si>
    <t>20-076</t>
  </si>
  <si>
    <t>2020-ITB-05-017</t>
  </si>
  <si>
    <t>2020-ITB-05-018</t>
  </si>
  <si>
    <t>10809</t>
  </si>
  <si>
    <t>PR No. 2020-05-000010</t>
  </si>
  <si>
    <t>2020-ITB-05-019</t>
  </si>
  <si>
    <t>2020-ITB-05-011</t>
  </si>
  <si>
    <t>2020-ITB-05-010</t>
  </si>
  <si>
    <t>BAC-ITO GS No. 2020-040 dated 08 May 2020</t>
  </si>
  <si>
    <t>20200525-018</t>
  </si>
  <si>
    <t>2020-ITB-05-015</t>
  </si>
  <si>
    <t>20CI0087</t>
  </si>
  <si>
    <t>20FC0116</t>
  </si>
  <si>
    <t>2020-ITB-05-012</t>
  </si>
  <si>
    <t>20FC0114</t>
  </si>
  <si>
    <t>2020-ITB-05-020</t>
  </si>
  <si>
    <t>20FC0113</t>
  </si>
  <si>
    <t>19Z00001</t>
  </si>
  <si>
    <t>2020-ITB-05-021</t>
  </si>
  <si>
    <t>FSDE18-CN-043-20</t>
  </si>
  <si>
    <t>20FC0115</t>
  </si>
  <si>
    <t>MG-A7M20-059</t>
  </si>
  <si>
    <t>MG-A7M20-051</t>
  </si>
  <si>
    <t>20FC0112</t>
  </si>
  <si>
    <t>762</t>
  </si>
  <si>
    <t>Supply and Delivery of IT Equipment</t>
  </si>
  <si>
    <t>2020-ITB-05-025</t>
  </si>
  <si>
    <t>2020-ITB-05-024</t>
  </si>
  <si>
    <t>DTI PB-20-010</t>
  </si>
  <si>
    <t>2020-ITB-05-022</t>
  </si>
  <si>
    <t>20-978</t>
  </si>
  <si>
    <t>2020-ITB-05-016</t>
  </si>
  <si>
    <t>2020-ITB-05-023</t>
  </si>
  <si>
    <t>2020-000-028</t>
  </si>
  <si>
    <t>FTEB 34565</t>
  </si>
  <si>
    <t>071 20-959</t>
  </si>
  <si>
    <t>2020-ITB-05-014</t>
  </si>
  <si>
    <t>CS-02</t>
  </si>
  <si>
    <t>065</t>
  </si>
  <si>
    <t>CS-01</t>
  </si>
  <si>
    <t>BAC HO CS NO. 2020-0102</t>
  </si>
  <si>
    <t>20CC0214</t>
  </si>
  <si>
    <t>20-009-10 Charlie</t>
  </si>
  <si>
    <t>SVP20-428</t>
  </si>
  <si>
    <t>PSYS-20-05-002</t>
  </si>
  <si>
    <t>14B BAC:ESD Mine3 20-005</t>
  </si>
  <si>
    <t>ITB No. 2020-03</t>
  </si>
  <si>
    <t>20BG0137</t>
  </si>
  <si>
    <t>20BG0136</t>
  </si>
  <si>
    <t>2020-ITB-05-013</t>
  </si>
  <si>
    <t>ITB No. 2020-02</t>
  </si>
  <si>
    <t>20BG0131</t>
  </si>
  <si>
    <t>8000-2-2-12</t>
  </si>
  <si>
    <t>20BG0135</t>
  </si>
  <si>
    <t>ITB-SSS-Goods-2020-016</t>
  </si>
  <si>
    <t>ITB 2020-INFRA-002</t>
  </si>
  <si>
    <t>ISS 2020-008-IT</t>
  </si>
  <si>
    <t>ITB No. GOP/20-DSWD-032</t>
  </si>
  <si>
    <t>20CSH022</t>
  </si>
  <si>
    <t>20CSH020</t>
  </si>
  <si>
    <t>20CSH021</t>
  </si>
  <si>
    <t>ITB 2020-INFRA-001</t>
  </si>
  <si>
    <t>20CSH019</t>
  </si>
  <si>
    <t>20CSH016</t>
  </si>
  <si>
    <t>20C00042</t>
  </si>
  <si>
    <t>20-036</t>
  </si>
  <si>
    <t>BFAR5BAC-2020-078</t>
  </si>
  <si>
    <t>SVP 2020-215</t>
  </si>
  <si>
    <t>SIC-92-2020-PRDP-RPCO 1</t>
  </si>
  <si>
    <t>WO 2020-01-03</t>
  </si>
  <si>
    <t>08701</t>
  </si>
  <si>
    <t>ITB 2020-INFRA-004</t>
  </si>
  <si>
    <t>ITB-GS-20200305-03</t>
  </si>
  <si>
    <t>MG-A7M20-052</t>
  </si>
  <si>
    <t>SVP 2020-216</t>
  </si>
  <si>
    <t>CGETDC WO 20-05-01</t>
  </si>
  <si>
    <t>BFAR5BAC-2020-029</t>
  </si>
  <si>
    <t>BFAR5BAC-2020-027</t>
  </si>
  <si>
    <t>BFAR5BAC-2020-077</t>
  </si>
  <si>
    <t>BFAR5BAC-2020-036</t>
  </si>
  <si>
    <t>2020-05-06a</t>
  </si>
  <si>
    <t>BFAR5BAC-2020-050</t>
  </si>
  <si>
    <t>BFAR5BAC-2020-034</t>
  </si>
  <si>
    <t>BFAR5BAC-2020-046</t>
  </si>
  <si>
    <t>BFAR5BAC-2020-032</t>
  </si>
  <si>
    <t>SVP 2020-304</t>
  </si>
  <si>
    <t>TAL-06-03-2020</t>
  </si>
  <si>
    <t>ITB 2020-INFRA-007</t>
  </si>
  <si>
    <t>BFAR5BAC-2020-025</t>
  </si>
  <si>
    <t>ITB 2020-INFRA-006</t>
  </si>
  <si>
    <t>ITB 2020-INFRA-005</t>
  </si>
  <si>
    <t>goods 114-2020</t>
  </si>
  <si>
    <t>20FB0131</t>
  </si>
  <si>
    <t>BFAR5BAC-2020-064</t>
  </si>
  <si>
    <t>20JE0087</t>
  </si>
  <si>
    <t>ITB 2020-INFRA-003</t>
  </si>
  <si>
    <t>SVP 20-786</t>
  </si>
  <si>
    <t>20JE0086</t>
  </si>
  <si>
    <t>20HM0083 (RE-IB)</t>
  </si>
  <si>
    <t>PAPC-OG9PA_HHSG-2020-10986- 5220</t>
  </si>
  <si>
    <t>SVP 20-993</t>
  </si>
  <si>
    <t>BFAR5BAC-2020-099</t>
  </si>
  <si>
    <t>SIG PABAC 003-20</t>
  </si>
  <si>
    <t>9000-1-3</t>
  </si>
  <si>
    <t>20LA0251</t>
  </si>
  <si>
    <t>9000-1-2</t>
  </si>
  <si>
    <t>'021</t>
  </si>
  <si>
    <t>20-295</t>
  </si>
  <si>
    <t>MKWD2020-039</t>
  </si>
  <si>
    <t>MG-A7M20-069</t>
  </si>
  <si>
    <t>20AC0084</t>
  </si>
  <si>
    <t>20AC0082</t>
  </si>
  <si>
    <t>20AC0090</t>
  </si>
  <si>
    <t>20AC0080</t>
  </si>
  <si>
    <t>20AC0089</t>
  </si>
  <si>
    <t>20AC0087</t>
  </si>
  <si>
    <t>MG-A7M20-030</t>
  </si>
  <si>
    <t>20AC0091</t>
  </si>
  <si>
    <t>001-01-2020</t>
  </si>
  <si>
    <t>03-012-2020</t>
  </si>
  <si>
    <t>20AC0088</t>
  </si>
  <si>
    <t>20AC0083</t>
  </si>
  <si>
    <t>ITB-GS-20200212-01</t>
  </si>
  <si>
    <t>PBD - 2020 - 04_GATE VALVES</t>
  </si>
  <si>
    <t>20AC0081</t>
  </si>
  <si>
    <t>20NG0086</t>
  </si>
  <si>
    <t>20AC0079</t>
  </si>
  <si>
    <t>20-02-0103</t>
  </si>
  <si>
    <t>20-03-1385</t>
  </si>
  <si>
    <t>20FC0109</t>
  </si>
  <si>
    <t>SB-2020-019</t>
  </si>
  <si>
    <t>G-2020-03-011-GF 2019</t>
  </si>
  <si>
    <t>SB-2020-017</t>
  </si>
  <si>
    <t>ITB-GS-20191202-01</t>
  </si>
  <si>
    <t>nlontoc-ITB050-2020</t>
  </si>
  <si>
    <t>SB-2020-018</t>
  </si>
  <si>
    <t>SB-2020-001</t>
  </si>
  <si>
    <t>GSO-20-0202-B</t>
  </si>
  <si>
    <t>20AC0078</t>
  </si>
  <si>
    <t>ITB-GS-20200217-01</t>
  </si>
  <si>
    <t>20FC0110</t>
  </si>
  <si>
    <t>20AC0071</t>
  </si>
  <si>
    <t>20AC0076</t>
  </si>
  <si>
    <t>PEO-20-068-B</t>
  </si>
  <si>
    <t>MG-A7T20-023</t>
  </si>
  <si>
    <t>20AC0065</t>
  </si>
  <si>
    <t>20-03-002</t>
  </si>
  <si>
    <t>2020-01-0016</t>
  </si>
  <si>
    <t>B-026-2020</t>
  </si>
  <si>
    <t>20AC0066</t>
  </si>
  <si>
    <t>ITB No. PB20-01-007ANGa-03</t>
  </si>
  <si>
    <t>UPLB-RES-031-04-20 CHEMICALS AND CHEMICAL PRODUCTS</t>
  </si>
  <si>
    <t>20FC0111</t>
  </si>
  <si>
    <t>ITB-GS-20191023-01(2)</t>
  </si>
  <si>
    <t>20-DO-0075</t>
  </si>
  <si>
    <t>20AC0075</t>
  </si>
  <si>
    <t>PB20-03-032COR</t>
  </si>
  <si>
    <t>20AC0077</t>
  </si>
  <si>
    <t>20CE0204</t>
  </si>
  <si>
    <t>'020</t>
  </si>
  <si>
    <t>PB20-00-008CORa-02</t>
  </si>
  <si>
    <t>PB0-00-008CORa-02</t>
  </si>
  <si>
    <t>PROCUREMENT OF OTHER SUPPLIES AND MATERIALS (SUPPL</t>
  </si>
  <si>
    <t>20AC0060</t>
  </si>
  <si>
    <t>ITB NO.: GOODS 2020-03-002</t>
  </si>
  <si>
    <t>20AC0063</t>
  </si>
  <si>
    <t>ITB No. 20-047: Supply and Delivery of Two Hundred</t>
  </si>
  <si>
    <t>PB20-03-004MAL</t>
  </si>
  <si>
    <t>20AC0069</t>
  </si>
  <si>
    <t>BFAR5BAC-2020-024</t>
  </si>
  <si>
    <t>B-025-2020</t>
  </si>
  <si>
    <t>20AC0062</t>
  </si>
  <si>
    <t>20OE0197</t>
  </si>
  <si>
    <t>B-024-2020</t>
  </si>
  <si>
    <t>2020-03-042</t>
  </si>
  <si>
    <t>UPC PB2020-03-04</t>
  </si>
  <si>
    <t>2020-03-23</t>
  </si>
  <si>
    <t>20OE0091</t>
  </si>
  <si>
    <t>2020-03-22</t>
  </si>
  <si>
    <t>ITB-03-2020-002</t>
  </si>
  <si>
    <t>19CSK00047</t>
  </si>
  <si>
    <t>PEO CO-2019-SB 2-1-07-04-010</t>
  </si>
  <si>
    <t>2020-03-21</t>
  </si>
  <si>
    <t>UPC PB2020-03-03</t>
  </si>
  <si>
    <t>PEO CO-2019-1-07-03-990</t>
  </si>
  <si>
    <t>PEO CO-2019-1-07-03-010</t>
  </si>
  <si>
    <t>PEO CO-2018-1-07-03-010</t>
  </si>
  <si>
    <t>R4-ORD-ARDMS-ADM-20-01-002</t>
  </si>
  <si>
    <t>BCS-2020-0085</t>
  </si>
  <si>
    <t>20% DF-2018-emib-SB</t>
  </si>
  <si>
    <t>20AC0059</t>
  </si>
  <si>
    <t>UPLB-RES-030-04-20 LAB AND SCIEN. EQUIPMENT</t>
  </si>
  <si>
    <t>SVP 2020-211</t>
  </si>
  <si>
    <t>PEO CO-2016</t>
  </si>
  <si>
    <t>mandabac#20-38</t>
  </si>
  <si>
    <t>mandabac#20-37</t>
  </si>
  <si>
    <t>mandabac#20-34</t>
  </si>
  <si>
    <t>20AC0064</t>
  </si>
  <si>
    <t>mandabac#20-33</t>
  </si>
  <si>
    <t>mandabac#20-32</t>
  </si>
  <si>
    <t>mandabac#20-21</t>
  </si>
  <si>
    <t>mandabac#20-31</t>
  </si>
  <si>
    <t>dfppurch20-044</t>
  </si>
  <si>
    <t>20GFC0007</t>
  </si>
  <si>
    <t>mandabac#20-35</t>
  </si>
  <si>
    <t>2020-02-022</t>
  </si>
  <si>
    <t>BCS-2020-0083</t>
  </si>
  <si>
    <t>ITB NO.: GOODS 2020-03-004</t>
  </si>
  <si>
    <t>20AC0061</t>
  </si>
  <si>
    <t>mandabac#20-20</t>
  </si>
  <si>
    <t>20FA0050</t>
  </si>
  <si>
    <t>20AC0058</t>
  </si>
  <si>
    <t>mandabac#20-19</t>
  </si>
  <si>
    <t>B-023-2020</t>
  </si>
  <si>
    <t>V1-20-0500</t>
  </si>
  <si>
    <t>L1-20-0429</t>
  </si>
  <si>
    <t>ITB NO.: GOODS 2020-03-003</t>
  </si>
  <si>
    <t>G6-20-0527</t>
  </si>
  <si>
    <t>20OE0196</t>
  </si>
  <si>
    <t>G6-20-0533</t>
  </si>
  <si>
    <t>itb20-03-022B</t>
  </si>
  <si>
    <t>NP-2020-003</t>
  </si>
  <si>
    <t>itb20-03-022A</t>
  </si>
  <si>
    <t>2020-1-004</t>
  </si>
  <si>
    <t>G6-20-0418</t>
  </si>
  <si>
    <t>S6-20-0424</t>
  </si>
  <si>
    <t>20IL0175</t>
  </si>
  <si>
    <t>itb20-03-021A</t>
  </si>
  <si>
    <t>CDC 37-03-2020</t>
  </si>
  <si>
    <t>MCPD2020-RFQ03-002-G</t>
  </si>
  <si>
    <t>PB 2020-03-06_Security Personnel Services</t>
  </si>
  <si>
    <t>EMBR02-PB-CONSULTINGSERVICES- EMED022020-066</t>
  </si>
  <si>
    <t>IB NO. 2020-08</t>
  </si>
  <si>
    <t>2020-03-0015</t>
  </si>
  <si>
    <t>mandabac#20-36</t>
  </si>
  <si>
    <t>BCS-2020-0076</t>
  </si>
  <si>
    <t>mandabac#20-39</t>
  </si>
  <si>
    <t>PB-IP-01-2020</t>
  </si>
  <si>
    <t>BCS-2020-0080</t>
  </si>
  <si>
    <t>Alaminos City</t>
  </si>
  <si>
    <t>5721-clsu-2020</t>
  </si>
  <si>
    <t>20FA0049</t>
  </si>
  <si>
    <t>MG-A7T20-021</t>
  </si>
  <si>
    <t>20-02-0140</t>
  </si>
  <si>
    <t>itb20-03-021B</t>
  </si>
  <si>
    <t>20CE0200</t>
  </si>
  <si>
    <t>PB-04-20</t>
  </si>
  <si>
    <t>2020-06 (Rebidding)</t>
  </si>
  <si>
    <t>PR No. 91678</t>
  </si>
  <si>
    <t>2020-1-005</t>
  </si>
  <si>
    <t>PR No. 91681</t>
  </si>
  <si>
    <t>PB-03-20</t>
  </si>
  <si>
    <t>PR No. 91684</t>
  </si>
  <si>
    <t>PR No. 91677</t>
  </si>
  <si>
    <t>2020-02 Infra (Rebid 2020 BEFF Lot 6)</t>
  </si>
  <si>
    <t>ITB2020-003</t>
  </si>
  <si>
    <t>PR No. 91687</t>
  </si>
  <si>
    <t>UPLB-S-044-03-20</t>
  </si>
  <si>
    <t>BCS-2020-0073</t>
  </si>
  <si>
    <t>20GO0038</t>
  </si>
  <si>
    <t>R4-INFRA2020-01-004</t>
  </si>
  <si>
    <t>R4-INFRA2020-01-003</t>
  </si>
  <si>
    <t>UPLB-S-031-03-20</t>
  </si>
  <si>
    <t>20GFC0006</t>
  </si>
  <si>
    <t>20GFC0005</t>
  </si>
  <si>
    <t>20GFC0003</t>
  </si>
  <si>
    <t>BAC Ref No. 02-2020WPMS</t>
  </si>
  <si>
    <t>BCS-2020-0074</t>
  </si>
  <si>
    <t>20-DO-0067</t>
  </si>
  <si>
    <t>20GFC0004</t>
  </si>
  <si>
    <t>IB No. 2020-02-03</t>
  </si>
  <si>
    <t>20HD0089</t>
  </si>
  <si>
    <t>SAM-2020-14</t>
  </si>
  <si>
    <t>19CSN023</t>
  </si>
  <si>
    <t>20BK0129</t>
  </si>
  <si>
    <t>CARC- 2020-GS-01</t>
  </si>
  <si>
    <t>20BK0130</t>
  </si>
  <si>
    <t>012 20-396-2</t>
  </si>
  <si>
    <t>20FA0047</t>
  </si>
  <si>
    <t>20BG0116</t>
  </si>
  <si>
    <t>2020-02-19</t>
  </si>
  <si>
    <t>2020-02-18</t>
  </si>
  <si>
    <t>BCS-2020-0072</t>
  </si>
  <si>
    <t>20FA0048</t>
  </si>
  <si>
    <t>UPLB-S-042-03-20 (FORMERLY UPLB-S-120-12-19)</t>
  </si>
  <si>
    <t>BCS-2019-0066</t>
  </si>
  <si>
    <t>2020-02-007</t>
  </si>
  <si>
    <t>BCS-2020-0068</t>
  </si>
  <si>
    <t>CID No. 20IO0070</t>
  </si>
  <si>
    <t>CDC 30-02-2020</t>
  </si>
  <si>
    <t>ITB-GS-20200204-01</t>
  </si>
  <si>
    <t>BCS-2019-0065</t>
  </si>
  <si>
    <t>20CG0119</t>
  </si>
  <si>
    <t>BAC-GS-2020-02-001</t>
  </si>
  <si>
    <t>20OE0114</t>
  </si>
  <si>
    <t>UPLB-S-038-03-20</t>
  </si>
  <si>
    <t>20OD0180</t>
  </si>
  <si>
    <t>BCS-2020-0067</t>
  </si>
  <si>
    <t>011 20-396-3</t>
  </si>
  <si>
    <t>20CE0201</t>
  </si>
  <si>
    <t>BAC No. 2020-015</t>
  </si>
  <si>
    <t>BAC 2020-018</t>
  </si>
  <si>
    <t>UPLB-S-030-03-20</t>
  </si>
  <si>
    <t>BAC No. 2020-019</t>
  </si>
  <si>
    <t>BAC No. 2020-017</t>
  </si>
  <si>
    <t>BAC 2020-012</t>
  </si>
  <si>
    <t>20OE0108</t>
  </si>
  <si>
    <t>CW-100</t>
  </si>
  <si>
    <t>BCS-2020-0059</t>
  </si>
  <si>
    <t>20OE0193</t>
  </si>
  <si>
    <t>19CSN022 RE-AD</t>
  </si>
  <si>
    <t>20OE0191</t>
  </si>
  <si>
    <t>BCS-2020-0060</t>
  </si>
  <si>
    <t>PBD 20-02</t>
  </si>
  <si>
    <t>20OE0190</t>
  </si>
  <si>
    <t>20OE0188</t>
  </si>
  <si>
    <t>BAC Ref No. 04-2020SFC</t>
  </si>
  <si>
    <t>20OE0187</t>
  </si>
  <si>
    <t>20OD0168</t>
  </si>
  <si>
    <t>20CI0064</t>
  </si>
  <si>
    <t>BAC Ref No. 03-2020PTC</t>
  </si>
  <si>
    <t>SVP 2020-70</t>
  </si>
  <si>
    <t>ITB-CW-20200121-01</t>
  </si>
  <si>
    <t>20OE0192</t>
  </si>
  <si>
    <t>CAT-2020-001</t>
  </si>
  <si>
    <t>5727-clsu-2020</t>
  </si>
  <si>
    <t>ITB-CW-20200124-01</t>
  </si>
  <si>
    <t>CDC 28-02-2020</t>
  </si>
  <si>
    <t>20-02-029</t>
  </si>
  <si>
    <t>UPLB-CSLT-002-03-20</t>
  </si>
  <si>
    <t>20OD0164</t>
  </si>
  <si>
    <t>2020-02-009</t>
  </si>
  <si>
    <t>CW-95</t>
  </si>
  <si>
    <t>2020-02-008</t>
  </si>
  <si>
    <t>BAC19-001-004</t>
  </si>
  <si>
    <t>5743-clsu-2020</t>
  </si>
  <si>
    <t>UPLB-CSLT-001-03-20</t>
  </si>
  <si>
    <t>BAC No. 2020-016</t>
  </si>
  <si>
    <t>ITB-GS-20190807-01</t>
  </si>
  <si>
    <t>20OE0189</t>
  </si>
  <si>
    <t>20L00108</t>
  </si>
  <si>
    <t>20-0016</t>
  </si>
  <si>
    <t>2020-02-17</t>
  </si>
  <si>
    <t>20-DO-0068</t>
  </si>
  <si>
    <t>20OE0173</t>
  </si>
  <si>
    <t>20JC0063</t>
  </si>
  <si>
    <t>20OD0156</t>
  </si>
  <si>
    <t>20OD0153</t>
  </si>
  <si>
    <t>20OE0185</t>
  </si>
  <si>
    <t>CDC 22-02-2020</t>
  </si>
  <si>
    <t>20OD0161</t>
  </si>
  <si>
    <t>20JC0055</t>
  </si>
  <si>
    <t>CDC 23-02-2020</t>
  </si>
  <si>
    <t>20OD0155</t>
  </si>
  <si>
    <t>MCPD2020-RFQ01-002-G</t>
  </si>
  <si>
    <t>20OE0194</t>
  </si>
  <si>
    <t>CDC 18-02-2020</t>
  </si>
  <si>
    <t>BAC ITIO CS No. 2020-0006 dated 17 Jan 2020</t>
  </si>
  <si>
    <t>ITB No. PB20-01-017COR</t>
  </si>
  <si>
    <t>19CSK00049</t>
  </si>
  <si>
    <t>20OE0195</t>
  </si>
  <si>
    <t>20FA0040</t>
  </si>
  <si>
    <t>CDC 36-03-2020</t>
  </si>
  <si>
    <t>2020-02-16</t>
  </si>
  <si>
    <t>20OE0166</t>
  </si>
  <si>
    <t>19CSK00048</t>
  </si>
  <si>
    <t>PB20-02-008ANG</t>
  </si>
  <si>
    <t>20GFC0001</t>
  </si>
  <si>
    <t>ITB No. PB20-02-008ANG</t>
  </si>
  <si>
    <t>2020-03-20</t>
  </si>
  <si>
    <t>PR No. 91683</t>
  </si>
  <si>
    <t>20OH0121</t>
  </si>
  <si>
    <t>BCS-2020-0077</t>
  </si>
  <si>
    <t>BCS-2020-0079</t>
  </si>
  <si>
    <t>TAS-20-03-068</t>
  </si>
  <si>
    <t>BCS-2020-0081</t>
  </si>
  <si>
    <t>ITB No. PB20-03-002DAV</t>
  </si>
  <si>
    <t>ITB-GS-20200224-01</t>
  </si>
  <si>
    <t>ITB-GS-20200218-01</t>
  </si>
  <si>
    <t>itb20-03-020A</t>
  </si>
  <si>
    <t>20GFC0002</t>
  </si>
  <si>
    <t>BCS-2020-0078</t>
  </si>
  <si>
    <t>20OD0121</t>
  </si>
  <si>
    <t>ITB-GS-20200219-01</t>
  </si>
  <si>
    <t>2020-1-002</t>
  </si>
  <si>
    <t>20CG0080</t>
  </si>
  <si>
    <t>20CG0079</t>
  </si>
  <si>
    <t>20CG0082</t>
  </si>
  <si>
    <t>20CG0081</t>
  </si>
  <si>
    <t>20CG0089</t>
  </si>
  <si>
    <t>itb20-03-020B</t>
  </si>
  <si>
    <t>20OD0137</t>
  </si>
  <si>
    <t>20OD0120</t>
  </si>
  <si>
    <t>19Z00011</t>
  </si>
  <si>
    <t>20CG0091</t>
  </si>
  <si>
    <t>20OD0136</t>
  </si>
  <si>
    <t>19-0309</t>
  </si>
  <si>
    <t>20OD0117</t>
  </si>
  <si>
    <t>000575</t>
  </si>
  <si>
    <t>CDC 125-11-2019</t>
  </si>
  <si>
    <t>BP-2019-001</t>
  </si>
  <si>
    <t>20HD0019</t>
  </si>
  <si>
    <t>19-08-102</t>
  </si>
  <si>
    <t>20HD0017</t>
  </si>
  <si>
    <t>20HD0015</t>
  </si>
  <si>
    <t>CDC 01-01-2020</t>
  </si>
  <si>
    <t>20-01-012</t>
  </si>
  <si>
    <t>19-0457</t>
  </si>
  <si>
    <t>20-03-02</t>
  </si>
  <si>
    <t>CDC 94-08-2019</t>
  </si>
  <si>
    <t>20OD0135</t>
  </si>
  <si>
    <t>PB No. 19-341-7</t>
  </si>
  <si>
    <t>20OD0148</t>
  </si>
  <si>
    <t>20AC0057</t>
  </si>
  <si>
    <t>PR No. 91032</t>
  </si>
  <si>
    <t>20AC0068</t>
  </si>
  <si>
    <t>B-011-2020</t>
  </si>
  <si>
    <t>20200535</t>
  </si>
  <si>
    <t>DA7-01-R&amp;D-OA-20-0868</t>
  </si>
  <si>
    <t>20AC0074</t>
  </si>
  <si>
    <t>20AC0067</t>
  </si>
  <si>
    <t>BCS-2020-0095</t>
  </si>
  <si>
    <t xml:space="preserve">UPLB-RES-029-04-20 DIAGNOSTIC AND LAB SERVICE FOR </t>
  </si>
  <si>
    <t>20KA0101 (Readvertisement)</t>
  </si>
  <si>
    <t>B-010-2020</t>
  </si>
  <si>
    <t>20AI0125</t>
  </si>
  <si>
    <t>20OE0138</t>
  </si>
  <si>
    <t>UPLB-RES-027-04-20 INFORMATION TECHNOLOGY FOR ICS</t>
  </si>
  <si>
    <t>20CSH0002</t>
  </si>
  <si>
    <t>20GFC0010</t>
  </si>
  <si>
    <t>20AC0073</t>
  </si>
  <si>
    <t>M8-20-0483</t>
  </si>
  <si>
    <t>UPLB-IF-016-03-20</t>
  </si>
  <si>
    <t>20GFC0009</t>
  </si>
  <si>
    <t>UPLB-IF-015-03-20</t>
  </si>
  <si>
    <t>20GFC0008</t>
  </si>
  <si>
    <t>20AC0072</t>
  </si>
  <si>
    <t>PB 20-16</t>
  </si>
  <si>
    <t>20J00180</t>
  </si>
  <si>
    <t>20AI0126</t>
  </si>
  <si>
    <t>DA7-FOD-OA-20-1916</t>
  </si>
  <si>
    <t>20J00173</t>
  </si>
  <si>
    <t>20K00347</t>
  </si>
  <si>
    <t>20HD0078</t>
  </si>
  <si>
    <t>2020-PB-SS-AGUS5-025-01</t>
  </si>
  <si>
    <t>ITB No. PB20-03-003DAV</t>
  </si>
  <si>
    <t>2020-CIMS(008)-PB-001</t>
  </si>
  <si>
    <t>ITB-GS-20190703-01(2)</t>
  </si>
  <si>
    <t>20OD0142</t>
  </si>
  <si>
    <t>BAC-GS No. 2020-046</t>
  </si>
  <si>
    <t>2020-PB-SS-AGUS6/7-026-01</t>
  </si>
  <si>
    <t>ITB2020-01-001 (INFRA)</t>
  </si>
  <si>
    <t>BRGY. TALOC - ITB - 2020 - 001</t>
  </si>
  <si>
    <t>20CI0091</t>
  </si>
  <si>
    <t>2020-02-3</t>
  </si>
  <si>
    <t>20KA0135</t>
  </si>
  <si>
    <t>GDS-243-2020</t>
  </si>
  <si>
    <t>BAC-PGCS-005-2020</t>
  </si>
  <si>
    <t>20KA0136</t>
  </si>
  <si>
    <t>QES-05-030-20</t>
  </si>
  <si>
    <t>ITB-GS-20200304-01</t>
  </si>
  <si>
    <t>CS 2020-01</t>
  </si>
  <si>
    <t>IB NO. 2020-215</t>
  </si>
  <si>
    <t>19Z00043</t>
  </si>
  <si>
    <t>TAG-SDS-052-2020</t>
  </si>
  <si>
    <t>20CI0092</t>
  </si>
  <si>
    <t>BALZN9-2007</t>
  </si>
  <si>
    <t>IB NO. 2020-212</t>
  </si>
  <si>
    <t>20KA0142</t>
  </si>
  <si>
    <t>bir_pb 2020-28</t>
  </si>
  <si>
    <t>2020-304</t>
  </si>
  <si>
    <t>100-20-06-0631</t>
  </si>
  <si>
    <t>PRN 049</t>
  </si>
  <si>
    <t>PBI-2020-19</t>
  </si>
  <si>
    <t>TAR-2020-001</t>
  </si>
  <si>
    <t>PEO-20-0597 B</t>
  </si>
  <si>
    <t>BAC-PGCS-009-2020</t>
  </si>
  <si>
    <t>ITB PR No.: 0772-20BAC</t>
  </si>
  <si>
    <t>ITB PR No.: 0499-20BAC</t>
  </si>
  <si>
    <t>ITB PR No.: 0204-20BAC</t>
  </si>
  <si>
    <t>ITB PR No.: 1155-20BAC</t>
  </si>
  <si>
    <t>ITB PR No.: 0694-20BAC</t>
  </si>
  <si>
    <t>6005012020</t>
  </si>
  <si>
    <t>ITB PR No.: 0774-20BAC</t>
  </si>
  <si>
    <t>DAPA-076-2020</t>
  </si>
  <si>
    <t>ITB PR No.: 0691-20BAC</t>
  </si>
  <si>
    <t>20OI0118</t>
  </si>
  <si>
    <t>MKWD-BAC-2020-041</t>
  </si>
  <si>
    <t>IB NO. CW 2020 - 086</t>
  </si>
  <si>
    <t>IB NO. CW 2020 -085</t>
  </si>
  <si>
    <t>INFRA 2K20-40</t>
  </si>
  <si>
    <t>ITB PR No.: 0193-20BAC</t>
  </si>
  <si>
    <t>BAC 2020-68</t>
  </si>
  <si>
    <t>20OI0103</t>
  </si>
  <si>
    <t>BUGASS-2020-039</t>
  </si>
  <si>
    <t>PEO-2020-0695</t>
  </si>
  <si>
    <t>52020785</t>
  </si>
  <si>
    <t>2020-N-003</t>
  </si>
  <si>
    <t>INFRA-08-20-07</t>
  </si>
  <si>
    <t>BUGASS-2020-040</t>
  </si>
  <si>
    <t>ITB NO. 2020-0012</t>
  </si>
  <si>
    <t>RO6-2020-03</t>
  </si>
  <si>
    <t>INFRA-08-20-04</t>
  </si>
  <si>
    <t>IB NO. CW 2020-084</t>
  </si>
  <si>
    <t>INFRA-08-20-06</t>
  </si>
  <si>
    <t>INFRA-08-20-02</t>
  </si>
  <si>
    <t>INFRA-08-20-01</t>
  </si>
  <si>
    <t>MIWD</t>
  </si>
  <si>
    <t>INFRA-08-20-03</t>
  </si>
  <si>
    <t>PB-INT-2006-038</t>
  </si>
  <si>
    <t>sal-2020-003</t>
  </si>
  <si>
    <t>INFRA-08-20-08</t>
  </si>
  <si>
    <t>INFRA-08-20-05</t>
  </si>
  <si>
    <t>06062020</t>
  </si>
  <si>
    <t>CID No. 19IO0159</t>
  </si>
  <si>
    <t>ITB PR No.: 0816-20BAC</t>
  </si>
  <si>
    <t>PB-INT-2006-037</t>
  </si>
  <si>
    <t>05062020</t>
  </si>
  <si>
    <t>20PA0133</t>
  </si>
  <si>
    <t>20OI0122</t>
  </si>
  <si>
    <t>IBTGH 2020-005</t>
  </si>
  <si>
    <t>Calaca 2020-049</t>
  </si>
  <si>
    <t>LGU-Las Navas:001-06-2020</t>
  </si>
  <si>
    <t>NIAREG9-06032020-687</t>
  </si>
  <si>
    <t>PR 9-20-05-0601 - CITY HOSPITAL</t>
  </si>
  <si>
    <t>Jiab-2020-21A</t>
  </si>
  <si>
    <t>405-06-2020 (IPHO)</t>
  </si>
  <si>
    <t>PNPTR-DL-DP-20-04</t>
  </si>
  <si>
    <t>ITB (CW-06-2020-018) 20DD0333</t>
  </si>
  <si>
    <t>2020-02-1</t>
  </si>
  <si>
    <t>20NA0074</t>
  </si>
  <si>
    <t>ITB (CW-06-2020-018) 20DD0325</t>
  </si>
  <si>
    <t>ITB (CW-06-2020-018) 20DD0332</t>
  </si>
  <si>
    <t>20-40 BLDG</t>
  </si>
  <si>
    <t>ITB (CW-06-2020-018) 20DD0335</t>
  </si>
  <si>
    <t>06-10-06</t>
  </si>
  <si>
    <t>20-38 RD</t>
  </si>
  <si>
    <t>TAG-SDS-051-2020</t>
  </si>
  <si>
    <t>SINS-Inf-2020-04</t>
  </si>
  <si>
    <t>GOODS-06</t>
  </si>
  <si>
    <t>20FK0053-Invitation to Bid</t>
  </si>
  <si>
    <t>CARC-2020-GS-03</t>
  </si>
  <si>
    <t>0020-0056-0320-2020</t>
  </si>
  <si>
    <t>06-10-04</t>
  </si>
  <si>
    <t>20-39 RD</t>
  </si>
  <si>
    <t>2020-06-0560</t>
  </si>
  <si>
    <t>ANTIPOLO-01JULY2020-12</t>
  </si>
  <si>
    <t>RQ 06-099</t>
  </si>
  <si>
    <t>INFR-019-2020</t>
  </si>
  <si>
    <t>INFRA-2020-10</t>
  </si>
  <si>
    <t>ITB NO. 2020-0014N</t>
  </si>
  <si>
    <t>28-2020</t>
  </si>
  <si>
    <t>27-2020</t>
  </si>
  <si>
    <t>ITB (CW-06-2020-018) 20DD0334</t>
  </si>
  <si>
    <t>19A-10-0953</t>
  </si>
  <si>
    <t>20A-01-0011</t>
  </si>
  <si>
    <t>26-2020</t>
  </si>
  <si>
    <t>20013032020</t>
  </si>
  <si>
    <t>ITB-2020-06-15</t>
  </si>
  <si>
    <t>2020-PBGOODS-05-006</t>
  </si>
  <si>
    <t>PR#20-083</t>
  </si>
  <si>
    <t>BAC-IB 2020-31</t>
  </si>
  <si>
    <t>PANG-2020-0781</t>
  </si>
  <si>
    <t>3-070720</t>
  </si>
  <si>
    <t>Contract No. 02 - 2020</t>
  </si>
  <si>
    <t>PB-2020-19</t>
  </si>
  <si>
    <t>PR 03-3299</t>
  </si>
  <si>
    <t>PANG-2020-0782</t>
  </si>
  <si>
    <t>2020-INFRA-027</t>
  </si>
  <si>
    <t>0024-04-2020</t>
  </si>
  <si>
    <t>PB-2020-14</t>
  </si>
  <si>
    <t>2020-06013 Procurement of Various IT Equipment</t>
  </si>
  <si>
    <t>ISPSC-2020-G-E008</t>
  </si>
  <si>
    <t>ITB 2020-0017</t>
  </si>
  <si>
    <t>2019-16-06-28</t>
  </si>
  <si>
    <t>2020-06-040</t>
  </si>
  <si>
    <t>OPV-2020-0174 PR2020-0440</t>
  </si>
  <si>
    <t>PR#20-081</t>
  </si>
  <si>
    <t>BP-2020-10</t>
  </si>
  <si>
    <t>brgy20200216</t>
  </si>
  <si>
    <t>ITB PR 0452</t>
  </si>
  <si>
    <t>19-83-179</t>
  </si>
  <si>
    <t>INFRA-2020-P3</t>
  </si>
  <si>
    <t>goods 155-2020</t>
  </si>
  <si>
    <t>goods 158-2020</t>
  </si>
  <si>
    <t>ITB No. 2020-145-A-pgo-pdrrmd</t>
  </si>
  <si>
    <t>2020-A-06-112</t>
  </si>
  <si>
    <t>202006170005</t>
  </si>
  <si>
    <t>058-06-2020</t>
  </si>
  <si>
    <t>BAC2020-11</t>
  </si>
  <si>
    <t>ENG' 6ID, SBAC 01-2020</t>
  </si>
  <si>
    <t>BPB 2020-014</t>
  </si>
  <si>
    <t>20A00070</t>
  </si>
  <si>
    <t>100-03-20-00885</t>
  </si>
  <si>
    <t>MNP-INFR-096-2020</t>
  </si>
  <si>
    <t>20A00021</t>
  </si>
  <si>
    <t>018-06-2020</t>
  </si>
  <si>
    <t>2020-02-019-D</t>
  </si>
  <si>
    <t>100-1011-2020-05-570</t>
  </si>
  <si>
    <t>Malanday 2020-011</t>
  </si>
  <si>
    <t>20-00046</t>
  </si>
  <si>
    <t>Bid No. 20-0284</t>
  </si>
  <si>
    <t>2020-06-060</t>
  </si>
  <si>
    <t>C10-20-1039</t>
  </si>
  <si>
    <t>2020-8751-47-399</t>
  </si>
  <si>
    <t>2020-02-0097</t>
  </si>
  <si>
    <t>C10-20-1042</t>
  </si>
  <si>
    <t>20LB0193</t>
  </si>
  <si>
    <t>20LB0157</t>
  </si>
  <si>
    <t>8-06172020</t>
  </si>
  <si>
    <t>ITB-2020-002</t>
  </si>
  <si>
    <t>C10-20-1048</t>
  </si>
  <si>
    <t>20CB-GSC-339 CLEANING AND CHECK UP AIRCONDITIONING</t>
  </si>
  <si>
    <t>8918-11-1779-20</t>
  </si>
  <si>
    <t>2020-06-336</t>
  </si>
  <si>
    <t>salbac 2020 21</t>
  </si>
  <si>
    <t>20LB0224</t>
  </si>
  <si>
    <t>6-06172020</t>
  </si>
  <si>
    <t>20LB0166</t>
  </si>
  <si>
    <t>Implementing Rules and Regulations</t>
  </si>
  <si>
    <t>Others</t>
  </si>
  <si>
    <t>ADB Procurement Guidelines</t>
  </si>
  <si>
    <t>WB Procurement Guidelines</t>
  </si>
  <si>
    <t>International / Executive Agreement</t>
  </si>
  <si>
    <t>ADB Guidelines on the use of Consultants</t>
  </si>
  <si>
    <t>WB Guidelines on the use of Consultants</t>
  </si>
  <si>
    <t>Negotiated Procurement - Small Value Procurement (Sec. 53.9)</t>
  </si>
  <si>
    <t>Public Bidding</t>
  </si>
  <si>
    <t>National Competitive Bidding</t>
  </si>
  <si>
    <t>Shopping</t>
  </si>
  <si>
    <t>Shopping - Ordinary/Regular Office Supplies &amp; Equipment (Sec. 52.1.b)</t>
  </si>
  <si>
    <t>Negotiated Procurement - NGO Participation (Sec. 53.11)</t>
  </si>
  <si>
    <t>Negotiated Procurement - Two Failed Biddings (Sec. 53.1)</t>
  </si>
  <si>
    <t>Selection based on Consultants Qualification</t>
  </si>
  <si>
    <t>Limited Source Bidding (Sec. 49)</t>
  </si>
  <si>
    <t>International Competitive Bidding</t>
  </si>
  <si>
    <t>Consulting Services</t>
  </si>
  <si>
    <t>Goods - General Support Services</t>
  </si>
  <si>
    <t>Civil Works</t>
  </si>
  <si>
    <t>Furniture</t>
  </si>
  <si>
    <t>Vehicle Parts and Accessories</t>
  </si>
  <si>
    <t>Veterinary Products and Supplies</t>
  </si>
  <si>
    <t>Signage and Accessories</t>
  </si>
  <si>
    <t>Fire Fighting &amp; Rescue and Safety Equipment</t>
  </si>
  <si>
    <t>Airconditioning and Airconditioning Systems</t>
  </si>
  <si>
    <t>Environmental Health/Safety Equipment</t>
  </si>
  <si>
    <t>Hotel and Lodging and Meeting Facilities</t>
  </si>
  <si>
    <t>Educational Materials and Supplies</t>
  </si>
  <si>
    <t>Systems Integration</t>
  </si>
  <si>
    <t>Hardware and Construction Supplies</t>
  </si>
  <si>
    <t>Diagnostic and Laboratory Services</t>
  </si>
  <si>
    <t>Agricultural Machinery and Equipment</t>
  </si>
  <si>
    <t>Machine Tools</t>
  </si>
  <si>
    <t>Fertilizers</t>
  </si>
  <si>
    <t>Agricultural Products (Seeds, Seedlings, Plants..)</t>
  </si>
  <si>
    <t>Waste Management and Recycling</t>
  </si>
  <si>
    <t>Services</t>
  </si>
  <si>
    <t>Bedclothes, Linens and Towels</t>
  </si>
  <si>
    <t>Kitchenware</t>
  </si>
  <si>
    <t>Laboratory Supplies and Equipment</t>
  </si>
  <si>
    <t>Paper Materials and Products</t>
  </si>
  <si>
    <t>Fuels/Fuel Additives &amp; Lubricants &amp; Anti Corrosive</t>
  </si>
  <si>
    <t>Water and Waste Water Treatment Supply &amp; Disposal</t>
  </si>
  <si>
    <t>Medical and Dental Equipment</t>
  </si>
  <si>
    <t>Photographic Parts, Supplies and Accessories</t>
  </si>
  <si>
    <t>Audio and Visual Equipment</t>
  </si>
  <si>
    <t>Agricultural Chemicals</t>
  </si>
  <si>
    <t>Hospital / Medical Equipment</t>
  </si>
  <si>
    <t>Timepieces and Jewelry and Gemstone Products</t>
  </si>
  <si>
    <t>Funeral and Associated Services</t>
  </si>
  <si>
    <t>Arts and Crafts Accessories and Supplies</t>
  </si>
  <si>
    <t>Electrical Systems and Lighting Components</t>
  </si>
  <si>
    <t>Industrial Machinery and Equipment</t>
  </si>
  <si>
    <t>Advertising Agency Services</t>
  </si>
  <si>
    <t>Printing Supplies</t>
  </si>
  <si>
    <t>Landscaping Services</t>
  </si>
  <si>
    <t>Construction Equipment</t>
  </si>
  <si>
    <t>Packaging Supplies and Materials</t>
  </si>
  <si>
    <t>Well Drilling and Construction Services</t>
  </si>
  <si>
    <t>Plastic Products</t>
  </si>
  <si>
    <t>Fixtures</t>
  </si>
  <si>
    <t>Textiles</t>
  </si>
  <si>
    <t>Chemicals and Chemical Products</t>
  </si>
  <si>
    <t>Industrial pumps and compressors</t>
  </si>
  <si>
    <t>Books, Maps and Other Publications</t>
  </si>
  <si>
    <t>Internet Services</t>
  </si>
  <si>
    <t>Transportation and Communications Services</t>
  </si>
  <si>
    <t>Packed Food Distributor</t>
  </si>
  <si>
    <t>General Contractor</t>
  </si>
  <si>
    <t>Education and Training Services</t>
  </si>
  <si>
    <t>Metal Fabrication</t>
  </si>
  <si>
    <t>Live Animals (Livestock, Birds, Live fish &amp; etc..)</t>
  </si>
  <si>
    <t>Construction Management Services</t>
  </si>
  <si>
    <t>Power Generation and Distribution Machinery</t>
  </si>
  <si>
    <t>Video Production Services</t>
  </si>
  <si>
    <t>Janitorial Services</t>
  </si>
  <si>
    <t>Engineering and Laboratory Testing Equipment</t>
  </si>
  <si>
    <t>Hydrological Instruments</t>
  </si>
  <si>
    <t>Surveying Instruments</t>
  </si>
  <si>
    <t>Automation Equipment</t>
  </si>
  <si>
    <t>Airconditioning Maintenance Services</t>
  </si>
  <si>
    <t>Personal Care Products</t>
  </si>
  <si>
    <t>IT Broadcasting and Telecommunications</t>
  </si>
  <si>
    <t>Surveying Services</t>
  </si>
  <si>
    <t>Cargo Forwarding and Hauling Services</t>
  </si>
  <si>
    <t>Hospital / Medical Equipment Services</t>
  </si>
  <si>
    <t>Rice Milling Services</t>
  </si>
  <si>
    <t>Telecommunications Provider</t>
  </si>
  <si>
    <t>Musical Instrument Parts and Accesories</t>
  </si>
  <si>
    <t>Electronic Parts and Components</t>
  </si>
  <si>
    <t>Tokens and Awards</t>
  </si>
  <si>
    <t>Furniture Parts and Accessories</t>
  </si>
  <si>
    <t>Newspapers</t>
  </si>
  <si>
    <t>General Engineering Services</t>
  </si>
  <si>
    <t>Print and Broadcast and Aerial Advertising</t>
  </si>
  <si>
    <t>Lease and Rental of Property or Building</t>
  </si>
  <si>
    <t>Dairy Products</t>
  </si>
  <si>
    <t>Guns and Weapons</t>
  </si>
  <si>
    <t>Freight Forwarder Services</t>
  </si>
  <si>
    <t>Food Processing Equipment</t>
  </si>
  <si>
    <t>Ammunitions and Explosives</t>
  </si>
  <si>
    <t>Beverages</t>
  </si>
  <si>
    <t>Public Relations Programs or Services</t>
  </si>
  <si>
    <t>Oil/Heat Chemical Resistant Rubber</t>
  </si>
  <si>
    <t>Mail and Cargo Transport Services</t>
  </si>
  <si>
    <t>Janitorial Equipment</t>
  </si>
  <si>
    <t>Corporate Giveaways</t>
  </si>
  <si>
    <t>Photographic Equipment</t>
  </si>
  <si>
    <t>Architectural Design</t>
  </si>
  <si>
    <t>Lifting equipment and accessories</t>
  </si>
  <si>
    <t>Quartermaster Items</t>
  </si>
  <si>
    <t>Maritime Spare Parts</t>
  </si>
  <si>
    <t>Mailing Supplies</t>
  </si>
  <si>
    <t>Chemical Detergents</t>
  </si>
  <si>
    <t>Pest Control Products</t>
  </si>
  <si>
    <t>Editorial, Design, Graphic and Fine Art Services</t>
  </si>
  <si>
    <t>Musical Instruments</t>
  </si>
  <si>
    <t>Radiological/Diagnostic Equipment</t>
  </si>
  <si>
    <t>Transmission and Distribution Lines</t>
  </si>
  <si>
    <t>Computer Furniture</t>
  </si>
  <si>
    <t>Geotechnical Instrumentation</t>
  </si>
  <si>
    <t>Events Management</t>
  </si>
  <si>
    <t>Gaming Equipment and Paraphernalia</t>
  </si>
  <si>
    <t>Flags</t>
  </si>
  <si>
    <t>Traffic Control Systems</t>
  </si>
  <si>
    <t>Laundry Services</t>
  </si>
  <si>
    <t>Photography Services</t>
  </si>
  <si>
    <t>Travel, Food, Lodging and Entertainment Services</t>
  </si>
  <si>
    <t>Industrial Safety Equipment</t>
  </si>
  <si>
    <t>Aircraft Spare Parts</t>
  </si>
  <si>
    <t>Purses, handbags and bags</t>
  </si>
  <si>
    <t>Microfilm Equipment - Supplies and Accesories</t>
  </si>
  <si>
    <t>Mining Equipment and Supplies</t>
  </si>
  <si>
    <t>Marine Transport</t>
  </si>
  <si>
    <t>Ordnance Products</t>
  </si>
  <si>
    <t>Navigation Equipment</t>
  </si>
  <si>
    <t>Investigative Equipment</t>
  </si>
  <si>
    <t>Financial and Insurance Services</t>
  </si>
  <si>
    <t>Aviation Services</t>
  </si>
  <si>
    <t>Aviation Products</t>
  </si>
  <si>
    <t>504,000.00</t>
  </si>
  <si>
    <t>135,681.00</t>
  </si>
  <si>
    <t>252,500.00</t>
  </si>
  <si>
    <t>9,820,000.00</t>
  </si>
  <si>
    <t>605,030.00</t>
  </si>
  <si>
    <t>478,200.00</t>
  </si>
  <si>
    <t>106,400.00</t>
  </si>
  <si>
    <t>488,000.00</t>
  </si>
  <si>
    <t>799,100.00</t>
  </si>
  <si>
    <t>5,431,650.00</t>
  </si>
  <si>
    <t>225,580.00</t>
  </si>
  <si>
    <t>5,401,000.00</t>
  </si>
  <si>
    <t>8,130,000.00</t>
  </si>
  <si>
    <t>96,040.00</t>
  </si>
  <si>
    <t>7,842,000.00</t>
  </si>
  <si>
    <t>461,526.00</t>
  </si>
  <si>
    <t>915,017.87</t>
  </si>
  <si>
    <t>74,900.00</t>
  </si>
  <si>
    <t>1,020,733.13</t>
  </si>
  <si>
    <t>61,600.00</t>
  </si>
  <si>
    <t>186,400.00</t>
  </si>
  <si>
    <t>99,250.00</t>
  </si>
  <si>
    <t>97,800.00</t>
  </si>
  <si>
    <t>51,520.00</t>
  </si>
  <si>
    <t>186,230.00</t>
  </si>
  <si>
    <t>220,000.00</t>
  </si>
  <si>
    <t>96,000.00</t>
  </si>
  <si>
    <t>3,414,000.00</t>
  </si>
  <si>
    <t>186,135.00</t>
  </si>
  <si>
    <t>847,000.00</t>
  </si>
  <si>
    <t>282,000.00</t>
  </si>
  <si>
    <t>186,000.00</t>
  </si>
  <si>
    <t>1,500,000.00</t>
  </si>
  <si>
    <t>705,173.00</t>
  </si>
  <si>
    <t>186,175.00</t>
  </si>
  <si>
    <t>157,841.00</t>
  </si>
  <si>
    <t>217,000.00</t>
  </si>
  <si>
    <t>90,000.00</t>
  </si>
  <si>
    <t>186,250.00</t>
  </si>
  <si>
    <t>206,750.00</t>
  </si>
  <si>
    <t>52,000.00</t>
  </si>
  <si>
    <t>486,000.00</t>
  </si>
  <si>
    <t>890,000.00</t>
  </si>
  <si>
    <t>369,264.27</t>
  </si>
  <si>
    <t>226,800.00</t>
  </si>
  <si>
    <t>147,258.00</t>
  </si>
  <si>
    <t>83,000.00</t>
  </si>
  <si>
    <t>5,554,000.00</t>
  </si>
  <si>
    <t>150,000.00</t>
  </si>
  <si>
    <t>199,471.79</t>
  </si>
  <si>
    <t>212,467.27</t>
  </si>
  <si>
    <t>276,180.00</t>
  </si>
  <si>
    <t>207,100.00</t>
  </si>
  <si>
    <t>6,399,951.02</t>
  </si>
  <si>
    <t>300,000.00</t>
  </si>
  <si>
    <t>17,831,711.54</t>
  </si>
  <si>
    <t>8,289,000.00</t>
  </si>
  <si>
    <t>199,898.00</t>
  </si>
  <si>
    <t>193,000,000.00</t>
  </si>
  <si>
    <t>144,750,000.00</t>
  </si>
  <si>
    <t>500,000.00</t>
  </si>
  <si>
    <t>532,440.00</t>
  </si>
  <si>
    <t>243,310.00</t>
  </si>
  <si>
    <t>482,069.50</t>
  </si>
  <si>
    <t>2,434,000.00</t>
  </si>
  <si>
    <t>261,000.00</t>
  </si>
  <si>
    <t>507,489.02</t>
  </si>
  <si>
    <t>908,700.00</t>
  </si>
  <si>
    <t>170,693.50</t>
  </si>
  <si>
    <t>794,182.00</t>
  </si>
  <si>
    <t>915,080.00</t>
  </si>
  <si>
    <t>4,100,000.00</t>
  </si>
  <si>
    <t>290,996.90</t>
  </si>
  <si>
    <t>284,750.00</t>
  </si>
  <si>
    <t>492,053,500.00</t>
  </si>
  <si>
    <t>212,239.22</t>
  </si>
  <si>
    <t>446,800.00</t>
  </si>
  <si>
    <t>496,692.00</t>
  </si>
  <si>
    <t>482,500,000.00</t>
  </si>
  <si>
    <t>2,499,998.00</t>
  </si>
  <si>
    <t>830,125.50</t>
  </si>
  <si>
    <t>176,492.00</t>
  </si>
  <si>
    <t>1,999,850.00</t>
  </si>
  <si>
    <t>382,825,150.00</t>
  </si>
  <si>
    <t>99,800.00</t>
  </si>
  <si>
    <t>675,473.14</t>
  </si>
  <si>
    <t>280,795,700.00</t>
  </si>
  <si>
    <t>413,888,500.00</t>
  </si>
  <si>
    <t>117,509.00</t>
  </si>
  <si>
    <t>5,970,000.00</t>
  </si>
  <si>
    <t>630,413.06</t>
  </si>
  <si>
    <t>579,937.80</t>
  </si>
  <si>
    <t>1,999,605.40</t>
  </si>
  <si>
    <t>100,000.00</t>
  </si>
  <si>
    <t>431,075,150.00</t>
  </si>
  <si>
    <t>156,960.00</t>
  </si>
  <si>
    <t>189,630.00</t>
  </si>
  <si>
    <t>51,000.00</t>
  </si>
  <si>
    <t>336,000.00</t>
  </si>
  <si>
    <t>2,334,842.40</t>
  </si>
  <si>
    <t>502,500.00</t>
  </si>
  <si>
    <t>290,999.03</t>
  </si>
  <si>
    <t>370,252.72</t>
  </si>
  <si>
    <t>122,525.00</t>
  </si>
  <si>
    <t>976,840.09</t>
  </si>
  <si>
    <t>116,055.00</t>
  </si>
  <si>
    <t>499,996.17</t>
  </si>
  <si>
    <t>272,950.00</t>
  </si>
  <si>
    <t>2,043,334.70</t>
  </si>
  <si>
    <t>289,500,000.00</t>
  </si>
  <si>
    <t>299,987.88</t>
  </si>
  <si>
    <t>126,267.00</t>
  </si>
  <si>
    <t>80,000.00</t>
  </si>
  <si>
    <t>64,000.00</t>
  </si>
  <si>
    <t>132,290.00</t>
  </si>
  <si>
    <t>8,498,698.32</t>
  </si>
  <si>
    <t>13,497,972.61</t>
  </si>
  <si>
    <t>45,000,000.00</t>
  </si>
  <si>
    <t>694,020.00</t>
  </si>
  <si>
    <t>45,850.00</t>
  </si>
  <si>
    <t>339,000.00</t>
  </si>
  <si>
    <t>9,989,474.82</t>
  </si>
  <si>
    <t>5,498,543.86</t>
  </si>
  <si>
    <t>67,495.00</t>
  </si>
  <si>
    <t>550,000.00</t>
  </si>
  <si>
    <t>2,500,000.00</t>
  </si>
  <si>
    <t>560,000.00</t>
  </si>
  <si>
    <t>199,872.00</t>
  </si>
  <si>
    <t>5,989,870.51</t>
  </si>
  <si>
    <t>608,000.00</t>
  </si>
  <si>
    <t>19,995.00</t>
  </si>
  <si>
    <t>7,497,552.75</t>
  </si>
  <si>
    <t>147,500.00</t>
  </si>
  <si>
    <t>135,205.00</t>
  </si>
  <si>
    <t>13,498,528.82</t>
  </si>
  <si>
    <t>211,200.00</t>
  </si>
  <si>
    <t>62,830.00</t>
  </si>
  <si>
    <t>438,104.33</t>
  </si>
  <si>
    <t>2,000,000.00</t>
  </si>
  <si>
    <t>2,818,868.00</t>
  </si>
  <si>
    <t>3,800,000.00</t>
  </si>
  <si>
    <t>600,680.00</t>
  </si>
  <si>
    <t>298,993,670.00</t>
  </si>
  <si>
    <t>936,294.50</t>
  </si>
  <si>
    <t>9,989,993.80</t>
  </si>
  <si>
    <t>9,989,806.52</t>
  </si>
  <si>
    <t>9,989,744.50</t>
  </si>
  <si>
    <t>4,989,794.65</t>
  </si>
  <si>
    <t>615,000.00</t>
  </si>
  <si>
    <t>13,498,752.22</t>
  </si>
  <si>
    <t>1,990,000.00</t>
  </si>
  <si>
    <t>20,812,518.12</t>
  </si>
  <si>
    <t>257,745.00</t>
  </si>
  <si>
    <t>390,825,000.00</t>
  </si>
  <si>
    <t>65,000.00</t>
  </si>
  <si>
    <t>2,680,000.00</t>
  </si>
  <si>
    <t>990,000.00</t>
  </si>
  <si>
    <t>1,000,000.00</t>
  </si>
  <si>
    <t>11,000,000.00</t>
  </si>
  <si>
    <t>618,000.00</t>
  </si>
  <si>
    <t>810,600,000.00</t>
  </si>
  <si>
    <t>361,875,000.00</t>
  </si>
  <si>
    <t>116,680.00</t>
  </si>
  <si>
    <t>1,745,000.00</t>
  </si>
  <si>
    <t>38,160.00</t>
  </si>
  <si>
    <t>46,250.00</t>
  </si>
  <si>
    <t>250,120.00</t>
  </si>
  <si>
    <t>462,176.00</t>
  </si>
  <si>
    <t>159,965.00</t>
  </si>
  <si>
    <t>400,000.00</t>
  </si>
  <si>
    <t>1,999,470.00</t>
  </si>
  <si>
    <t>180,000.00</t>
  </si>
  <si>
    <t>137,387.79</t>
  </si>
  <si>
    <t>482,640.00</t>
  </si>
  <si>
    <t>1,491,783.30</t>
  </si>
  <si>
    <t>158,174.00</t>
  </si>
  <si>
    <t>3,000,000.00</t>
  </si>
  <si>
    <t>1,300,000.00</t>
  </si>
  <si>
    <t>89,500.00</t>
  </si>
  <si>
    <t>70,000.00</t>
  </si>
  <si>
    <t>81,173.00</t>
  </si>
  <si>
    <t>374,990.00</t>
  </si>
  <si>
    <t>380,770.00</t>
  </si>
  <si>
    <t>461,900.00</t>
  </si>
  <si>
    <t>112,866.00</t>
  </si>
  <si>
    <t>474,001.00</t>
  </si>
  <si>
    <t>811,405.00</t>
  </si>
  <si>
    <t>305,000.00</t>
  </si>
  <si>
    <t>621,984.40</t>
  </si>
  <si>
    <t>434,600.00</t>
  </si>
  <si>
    <t>256,927.00</t>
  </si>
  <si>
    <t>378,304.00</t>
  </si>
  <si>
    <t>362,271.00</t>
  </si>
  <si>
    <t>1,150,000.00</t>
  </si>
  <si>
    <t>300,950.00</t>
  </si>
  <si>
    <t>749,893.21</t>
  </si>
  <si>
    <t>1,400,000.00</t>
  </si>
  <si>
    <t>201,398,962.47</t>
  </si>
  <si>
    <t>1,338,660.00</t>
  </si>
  <si>
    <t>89,476.00</t>
  </si>
  <si>
    <t>45,550.00</t>
  </si>
  <si>
    <t>151,592.94</t>
  </si>
  <si>
    <t>196,000.00</t>
  </si>
  <si>
    <t>900,000.00</t>
  </si>
  <si>
    <t>3,500,000.00</t>
  </si>
  <si>
    <t>647,435.33</t>
  </si>
  <si>
    <t>499,950.00</t>
  </si>
  <si>
    <t>979,929.83</t>
  </si>
  <si>
    <t>1,968,139.45</t>
  </si>
  <si>
    <t>746,852.00</t>
  </si>
  <si>
    <t>75,000.00</t>
  </si>
  <si>
    <t>977,913.00</t>
  </si>
  <si>
    <t>9,491,304.70</t>
  </si>
  <si>
    <t>967,604.44</t>
  </si>
  <si>
    <t>821,095.50</t>
  </si>
  <si>
    <t>368,425.00</t>
  </si>
  <si>
    <t>350,000.00</t>
  </si>
  <si>
    <t>394,100.00</t>
  </si>
  <si>
    <t>498,000.00</t>
  </si>
  <si>
    <t>192,000.00</t>
  </si>
  <si>
    <t>1,590,662.79</t>
  </si>
  <si>
    <t>65,704.10</t>
  </si>
  <si>
    <t>1,828,498.50</t>
  </si>
  <si>
    <t>957,985.00</t>
  </si>
  <si>
    <t>540,153.87</t>
  </si>
  <si>
    <t>1,741,932.00</t>
  </si>
  <si>
    <t>4,000.00</t>
  </si>
  <si>
    <t>204,000.00</t>
  </si>
  <si>
    <t>616,049.76</t>
  </si>
  <si>
    <t>218,500.00</t>
  </si>
  <si>
    <t>702,365.85</t>
  </si>
  <si>
    <t>865,000.00</t>
  </si>
  <si>
    <t>79,600.00</t>
  </si>
  <si>
    <t>107,000.00</t>
  </si>
  <si>
    <t>499,947.00</t>
  </si>
  <si>
    <t>5,300,000.00</t>
  </si>
  <si>
    <t>3,675,000.00</t>
  </si>
  <si>
    <t>37,000,000.00</t>
  </si>
  <si>
    <t>285,000.00</t>
  </si>
  <si>
    <t>69,660.00</t>
  </si>
  <si>
    <t>128,600.00</t>
  </si>
  <si>
    <t>60,150.00</t>
  </si>
  <si>
    <t>59,999.61</t>
  </si>
  <si>
    <t>169,659.50</t>
  </si>
  <si>
    <t>62,500.00</t>
  </si>
  <si>
    <t>540,000.00</t>
  </si>
  <si>
    <t>200,000.00</t>
  </si>
  <si>
    <t>114,200.00</t>
  </si>
  <si>
    <t>136,725.00</t>
  </si>
  <si>
    <t>869,000.00</t>
  </si>
  <si>
    <t>103,200.00</t>
  </si>
  <si>
    <t>108,650.00</t>
  </si>
  <si>
    <t>137,711.00</t>
  </si>
  <si>
    <t>214,000.00</t>
  </si>
  <si>
    <t>2,999,938.17</t>
  </si>
  <si>
    <t>3,608,090.04</t>
  </si>
  <si>
    <t>604,690.55</t>
  </si>
  <si>
    <t>528,000.00</t>
  </si>
  <si>
    <t>337,400.00</t>
  </si>
  <si>
    <t>10,283,752.00</t>
  </si>
  <si>
    <t>85,412.80</t>
  </si>
  <si>
    <t>1,153,554.00</t>
  </si>
  <si>
    <t>289,140.00</t>
  </si>
  <si>
    <t>196,200.00</t>
  </si>
  <si>
    <t>60,000.00</t>
  </si>
  <si>
    <t>122,510.00</t>
  </si>
  <si>
    <t>33,560.00</t>
  </si>
  <si>
    <t>107,500.00</t>
  </si>
  <si>
    <t>873,500.00</t>
  </si>
  <si>
    <t>70,960.00</t>
  </si>
  <si>
    <t>193,000.00</t>
  </si>
  <si>
    <t>879,608.60</t>
  </si>
  <si>
    <t>165,000.00</t>
  </si>
  <si>
    <t>120,000.00</t>
  </si>
  <si>
    <t>179,722.40</t>
  </si>
  <si>
    <t>3,400.00</t>
  </si>
  <si>
    <t>293,000.00</t>
  </si>
  <si>
    <t>293,875.00</t>
  </si>
  <si>
    <t>275,000.00</t>
  </si>
  <si>
    <t>7,000,000.00</t>
  </si>
  <si>
    <t>7,500.00</t>
  </si>
  <si>
    <t>694,250.00</t>
  </si>
  <si>
    <t>229,122.00</t>
  </si>
  <si>
    <t>66,907.00</t>
  </si>
  <si>
    <t>95,000.00</t>
  </si>
  <si>
    <t>257,982.00</t>
  </si>
  <si>
    <t>537,000.00</t>
  </si>
  <si>
    <t>128,000.00</t>
  </si>
  <si>
    <t>999,000.00</t>
  </si>
  <si>
    <t>180,075.50</t>
  </si>
  <si>
    <t>55,000.00</t>
  </si>
  <si>
    <t>135,000.00</t>
  </si>
  <si>
    <t>2,800,000.00</t>
  </si>
  <si>
    <t>1,955,818.63</t>
  </si>
  <si>
    <t>58,725.00</t>
  </si>
  <si>
    <t>50,637.00</t>
  </si>
  <si>
    <t>20,153.00</t>
  </si>
  <si>
    <t>58,000.00</t>
  </si>
  <si>
    <t>176,400.00</t>
  </si>
  <si>
    <t>510.00</t>
  </si>
  <si>
    <t>170,380.00</t>
  </si>
  <si>
    <t>73,000.00</t>
  </si>
  <si>
    <t>132,000.00</t>
  </si>
  <si>
    <t>41,362.00</t>
  </si>
  <si>
    <t>121,500.00</t>
  </si>
  <si>
    <t>52,700.00</t>
  </si>
  <si>
    <t>230,000.00</t>
  </si>
  <si>
    <t>18,425,896.00</t>
  </si>
  <si>
    <t>1,991,506.36</t>
  </si>
  <si>
    <t>3,500.00</t>
  </si>
  <si>
    <t>78,750.00</t>
  </si>
  <si>
    <t>138,085.37</t>
  </si>
  <si>
    <t>66,000.00</t>
  </si>
  <si>
    <t>210,000.00</t>
  </si>
  <si>
    <t>28,000.00</t>
  </si>
  <si>
    <t>453,000.00</t>
  </si>
  <si>
    <t>126,000.00</t>
  </si>
  <si>
    <t>129,968.30</t>
  </si>
  <si>
    <t>93,800.00</t>
  </si>
  <si>
    <t>81,922.00</t>
  </si>
  <si>
    <t>232,835.95</t>
  </si>
  <si>
    <t>50,000.00</t>
  </si>
  <si>
    <t>4,086,775.00</t>
  </si>
  <si>
    <t>250,000.00</t>
  </si>
  <si>
    <t>89,950.00</t>
  </si>
  <si>
    <t>86,960.00</t>
  </si>
  <si>
    <t>140,200.00</t>
  </si>
  <si>
    <t>199,835.00</t>
  </si>
  <si>
    <t>69,605.00</t>
  </si>
  <si>
    <t>146,640.00</t>
  </si>
  <si>
    <t>52,735.00</t>
  </si>
  <si>
    <t>54,250.00</t>
  </si>
  <si>
    <t>1,129,182.00</t>
  </si>
  <si>
    <t>255,000.00</t>
  </si>
  <si>
    <t>996,660.00</t>
  </si>
  <si>
    <t>197,500.00</t>
  </si>
  <si>
    <t>99,000.00</t>
  </si>
  <si>
    <t>12,000,000.00</t>
  </si>
  <si>
    <t>1,075,000.00</t>
  </si>
  <si>
    <t>55,595.00</t>
  </si>
  <si>
    <t>49,519.00</t>
  </si>
  <si>
    <t>73,485.00</t>
  </si>
  <si>
    <t>140,000.00</t>
  </si>
  <si>
    <t>199,800.00</t>
  </si>
  <si>
    <t>276,380.00</t>
  </si>
  <si>
    <t>5,000,000.00</t>
  </si>
  <si>
    <t>699,999.79</t>
  </si>
  <si>
    <t>158,203.00</t>
  </si>
  <si>
    <t>164,130.00</t>
  </si>
  <si>
    <t>56,335.00</t>
  </si>
  <si>
    <t>544,990.57</t>
  </si>
  <si>
    <t>9,050.00</t>
  </si>
  <si>
    <t>394,078.60</t>
  </si>
  <si>
    <t>1,852,500.00</t>
  </si>
  <si>
    <t>175,000.00</t>
  </si>
  <si>
    <t>75,600.00</t>
  </si>
  <si>
    <t>137,705.00</t>
  </si>
  <si>
    <t>54,201.57</t>
  </si>
  <si>
    <t>45,000.00</t>
  </si>
  <si>
    <t>55,122.32</t>
  </si>
  <si>
    <t>101,000.00</t>
  </si>
  <si>
    <t>134,012.00</t>
  </si>
  <si>
    <t>800,000.00</t>
  </si>
  <si>
    <t>407,500.00</t>
  </si>
  <si>
    <t>207,505.00</t>
  </si>
  <si>
    <t>192,440.00</t>
  </si>
  <si>
    <t>2,111,220.00</t>
  </si>
  <si>
    <t>21,425.00</t>
  </si>
  <si>
    <t>82,000.00</t>
  </si>
  <si>
    <t>132,254.00</t>
  </si>
  <si>
    <t>15,000.00</t>
  </si>
  <si>
    <t>460,430.00</t>
  </si>
  <si>
    <t>240,000.00</t>
  </si>
  <si>
    <t>141,250.00</t>
  </si>
  <si>
    <t>384,000.00</t>
  </si>
  <si>
    <t>302,618.00</t>
  </si>
  <si>
    <t>637,342.79</t>
  </si>
  <si>
    <t>94,000.00</t>
  </si>
  <si>
    <t>269,500.00</t>
  </si>
  <si>
    <t>54,300.00</t>
  </si>
  <si>
    <t>91,068.50</t>
  </si>
  <si>
    <t>194,038.00</t>
  </si>
  <si>
    <t>837,773.50</t>
  </si>
  <si>
    <t>957,000.00</t>
  </si>
  <si>
    <t>106,100.00</t>
  </si>
  <si>
    <t>152,000.00</t>
  </si>
  <si>
    <t>60,500.00</t>
  </si>
  <si>
    <t>41,863.00</t>
  </si>
  <si>
    <t>32,205.00</t>
  </si>
  <si>
    <t>22,800.00</t>
  </si>
  <si>
    <t>28,422.00</t>
  </si>
  <si>
    <t>950,000.00</t>
  </si>
  <si>
    <t>191,000.00</t>
  </si>
  <si>
    <t>922,000.00</t>
  </si>
  <si>
    <t>525,000.00</t>
  </si>
  <si>
    <t>83,500.00</t>
  </si>
  <si>
    <t>142,180.00</t>
  </si>
  <si>
    <t>132,300.00</t>
  </si>
  <si>
    <t>1,532,725.00</t>
  </si>
  <si>
    <t>87,056.60</t>
  </si>
  <si>
    <t>389,645.00</t>
  </si>
  <si>
    <t>121,904.00</t>
  </si>
  <si>
    <t>101,750.00</t>
  </si>
  <si>
    <t>71,435.00</t>
  </si>
  <si>
    <t>72,180.00</t>
  </si>
  <si>
    <t>380,000.00</t>
  </si>
  <si>
    <t>4,400.00</t>
  </si>
  <si>
    <t>21,000.00</t>
  </si>
  <si>
    <t>189,080.00</t>
  </si>
  <si>
    <t>141,500.00</t>
  </si>
  <si>
    <t>20,000.00</t>
  </si>
  <si>
    <t>16,000,000.00</t>
  </si>
  <si>
    <t>29,360.00</t>
  </si>
  <si>
    <t>270,000.00</t>
  </si>
  <si>
    <t>637,300.00</t>
  </si>
  <si>
    <t>327,400.00</t>
  </si>
  <si>
    <t>94,500.00</t>
  </si>
  <si>
    <t>72,500.76</t>
  </si>
  <si>
    <t>155,000.00</t>
  </si>
  <si>
    <t>5,835,300.00</t>
  </si>
  <si>
    <t>72,350.00</t>
  </si>
  <si>
    <t>65,950.00</t>
  </si>
  <si>
    <t>115,000,000.00</t>
  </si>
  <si>
    <t>136,000.00</t>
  </si>
  <si>
    <t>122,960.00</t>
  </si>
  <si>
    <t>53,768.00</t>
  </si>
  <si>
    <t>67,619.00</t>
  </si>
  <si>
    <t>291,500.00</t>
  </si>
  <si>
    <t>799,974.00</t>
  </si>
  <si>
    <t>88,207.30</t>
  </si>
  <si>
    <t>2,933,314.12</t>
  </si>
  <si>
    <t>80,695.00</t>
  </si>
  <si>
    <t>165,300.00</t>
  </si>
  <si>
    <t>86,885.28</t>
  </si>
  <si>
    <t>180,672.00</t>
  </si>
  <si>
    <t>92,943.00</t>
  </si>
  <si>
    <t>124,310.00</t>
  </si>
  <si>
    <t>146,714.00</t>
  </si>
  <si>
    <t>1,219,460.00</t>
  </si>
  <si>
    <t>123,200.00</t>
  </si>
  <si>
    <t>477,529.99</t>
  </si>
  <si>
    <t>580,000.00</t>
  </si>
  <si>
    <t>376,737.12</t>
  </si>
  <si>
    <t>64,536.00</t>
  </si>
  <si>
    <t>17,000.00</t>
  </si>
  <si>
    <t>92,000.00</t>
  </si>
  <si>
    <t>108,000.00</t>
  </si>
  <si>
    <t>90,125.00</t>
  </si>
  <si>
    <t>58,400.00</t>
  </si>
  <si>
    <t>170,519.79</t>
  </si>
  <si>
    <t>7,660,617.43</t>
  </si>
  <si>
    <t>189,975.00</t>
  </si>
  <si>
    <t>66,900.00</t>
  </si>
  <si>
    <t>165,947.00</t>
  </si>
  <si>
    <t>96,500.00</t>
  </si>
  <si>
    <t>385,500.00</t>
  </si>
  <si>
    <t>2,400,000.00</t>
  </si>
  <si>
    <t>2,114,000.00</t>
  </si>
  <si>
    <t>82,180.00</t>
  </si>
  <si>
    <t>69,447.00</t>
  </si>
  <si>
    <t>62,000.00</t>
  </si>
  <si>
    <t>405,600.00</t>
  </si>
  <si>
    <t>600,000.00</t>
  </si>
  <si>
    <t>590,900.00</t>
  </si>
  <si>
    <t>198,000.00</t>
  </si>
  <si>
    <t>159,900.00</t>
  </si>
  <si>
    <t>170,261.00</t>
  </si>
  <si>
    <t>64,600.00</t>
  </si>
  <si>
    <t>1,900,000.00</t>
  </si>
  <si>
    <t>79,150.00</t>
  </si>
  <si>
    <t>144,972.00</t>
  </si>
  <si>
    <t>11,270,000.00</t>
  </si>
  <si>
    <t>172,350.00</t>
  </si>
  <si>
    <t>105,882.00</t>
  </si>
  <si>
    <t>203,200.00</t>
  </si>
  <si>
    <t>99,720.00</t>
  </si>
  <si>
    <t>205,700.00</t>
  </si>
  <si>
    <t>242,000.00</t>
  </si>
  <si>
    <t>132,440.00</t>
  </si>
  <si>
    <t>60,880.00</t>
  </si>
  <si>
    <t>206,100.00</t>
  </si>
  <si>
    <t>44,502.50</t>
  </si>
  <si>
    <t>68,540.00</t>
  </si>
  <si>
    <t>39,000.00</t>
  </si>
  <si>
    <t>45,251.00</t>
  </si>
  <si>
    <t>242,500.00</t>
  </si>
  <si>
    <t>53,240.00</t>
  </si>
  <si>
    <t>142,664.00</t>
  </si>
  <si>
    <t>65,124.84</t>
  </si>
  <si>
    <t>35,000.00</t>
  </si>
  <si>
    <t>56,000.00</t>
  </si>
  <si>
    <t>80,120.00</t>
  </si>
  <si>
    <t>382,504.08</t>
  </si>
  <si>
    <t>88,500.00</t>
  </si>
  <si>
    <t>160,000.00</t>
  </si>
  <si>
    <t>944,210.00</t>
  </si>
  <si>
    <t>110,660.00</t>
  </si>
  <si>
    <t>1,800,000.00</t>
  </si>
  <si>
    <t>604,444.45</t>
  </si>
  <si>
    <t>260,000.00</t>
  </si>
  <si>
    <t>59,344.19</t>
  </si>
  <si>
    <t>133,000.00</t>
  </si>
  <si>
    <t>59,150.00</t>
  </si>
  <si>
    <t>123,985.00</t>
  </si>
  <si>
    <t>170,000.00</t>
  </si>
  <si>
    <t>90,500.00</t>
  </si>
  <si>
    <t>25,000.00</t>
  </si>
  <si>
    <t>300,063.92</t>
  </si>
  <si>
    <t>187,621.00</t>
  </si>
  <si>
    <t>59,620.00</t>
  </si>
  <si>
    <t>700,068.25</t>
  </si>
  <si>
    <t>991,000.00</t>
  </si>
  <si>
    <t>302,400.00</t>
  </si>
  <si>
    <t>68,483.83</t>
  </si>
  <si>
    <t>114,650.00</t>
  </si>
  <si>
    <t>750,000.00</t>
  </si>
  <si>
    <t>153,406.59</t>
  </si>
  <si>
    <t>4,450,000.00</t>
  </si>
  <si>
    <t>2,165,179.90</t>
  </si>
  <si>
    <t>124,021.00</t>
  </si>
  <si>
    <t>56,315.48</t>
  </si>
  <si>
    <t>446,294.97</t>
  </si>
  <si>
    <t>961,241.00</t>
  </si>
  <si>
    <t>101,620.00</t>
  </si>
  <si>
    <t>999,950.00</t>
  </si>
  <si>
    <t>115,000.00</t>
  </si>
  <si>
    <t>135,059.55</t>
  </si>
  <si>
    <t>13,500.00</t>
  </si>
  <si>
    <t>598,600.00</t>
  </si>
  <si>
    <t>105,000.00</t>
  </si>
  <si>
    <t>1,066,685.72</t>
  </si>
  <si>
    <t>7,800.00</t>
  </si>
  <si>
    <t>46,000.00</t>
  </si>
  <si>
    <t>40,000.00</t>
  </si>
  <si>
    <t>5,100.00</t>
  </si>
  <si>
    <t>151,469.00</t>
  </si>
  <si>
    <t>56,010.00</t>
  </si>
  <si>
    <t>620,500.00</t>
  </si>
  <si>
    <t>797,478.93</t>
  </si>
  <si>
    <t>6,370,000.00</t>
  </si>
  <si>
    <t>700,000.00</t>
  </si>
  <si>
    <t>77,374.00</t>
  </si>
  <si>
    <t>63,840.00</t>
  </si>
  <si>
    <t>103,664.00</t>
  </si>
  <si>
    <t>67,500.00</t>
  </si>
  <si>
    <t>3,499,999.70</t>
  </si>
  <si>
    <t>984,700.00</t>
  </si>
  <si>
    <t>483,646.90</t>
  </si>
  <si>
    <t>106,514.00</t>
  </si>
  <si>
    <t>198,280.20</t>
  </si>
  <si>
    <t>50,150.50</t>
  </si>
  <si>
    <t>248,160.00</t>
  </si>
  <si>
    <t>282,900.00</t>
  </si>
  <si>
    <t>58,875.00</t>
  </si>
  <si>
    <t>13,000.00</t>
  </si>
  <si>
    <t>53,900.00</t>
  </si>
  <si>
    <t>375,000.00</t>
  </si>
  <si>
    <t>98,750.00</t>
  </si>
  <si>
    <t>440,340.50</t>
  </si>
  <si>
    <t>152,741.50</t>
  </si>
  <si>
    <t>195,250.00</t>
  </si>
  <si>
    <t>184,802.00</t>
  </si>
  <si>
    <t>828,790.00</t>
  </si>
  <si>
    <t>97,000.00</t>
  </si>
  <si>
    <t>181,300.00</t>
  </si>
  <si>
    <t>123,000.00</t>
  </si>
  <si>
    <t>720,000.00</t>
  </si>
  <si>
    <t>58,176.00</t>
  </si>
  <si>
    <t>333,638.55</t>
  </si>
  <si>
    <t>35,240.00</t>
  </si>
  <si>
    <t>143,000.00</t>
  </si>
  <si>
    <t>114,300.00</t>
  </si>
  <si>
    <t>67,900.00</t>
  </si>
  <si>
    <t>66,861.00</t>
  </si>
  <si>
    <t>513,400.00</t>
  </si>
  <si>
    <t>23,000.00</t>
  </si>
  <si>
    <t>578,000.00</t>
  </si>
  <si>
    <t>1,046,207.65</t>
  </si>
  <si>
    <t>181,100.00</t>
  </si>
  <si>
    <t>6,754.00</t>
  </si>
  <si>
    <t>286,672.00</t>
  </si>
  <si>
    <t>27,182.00</t>
  </si>
  <si>
    <t>190,000.00</t>
  </si>
  <si>
    <t>175,030.00</t>
  </si>
  <si>
    <t>423,534.61</t>
  </si>
  <si>
    <t>218,592.00</t>
  </si>
  <si>
    <t>63,000.00</t>
  </si>
  <si>
    <t>24,470.00</t>
  </si>
  <si>
    <t>1,290,655.08</t>
  </si>
  <si>
    <t>81,500.00</t>
  </si>
  <si>
    <t>9,975.00</t>
  </si>
  <si>
    <t>440,000.00</t>
  </si>
  <si>
    <t>756,000.00</t>
  </si>
  <si>
    <t>18,000.00</t>
  </si>
  <si>
    <t>193,578.00</t>
  </si>
  <si>
    <t>140,970.00</t>
  </si>
  <si>
    <t>233,596.02</t>
  </si>
  <si>
    <t>1,750,349.32</t>
  </si>
  <si>
    <t>537,970.00</t>
  </si>
  <si>
    <t>447,750.00</t>
  </si>
  <si>
    <t>100,875.00</t>
  </si>
  <si>
    <t>81,420.00</t>
  </si>
  <si>
    <t>178,500.00</t>
  </si>
  <si>
    <t>82,415.00</t>
  </si>
  <si>
    <t>188,000.00</t>
  </si>
  <si>
    <t>490,000.00</t>
  </si>
  <si>
    <t>497,550.00</t>
  </si>
  <si>
    <t>166,789.50</t>
  </si>
  <si>
    <t>558,000.00</t>
  </si>
  <si>
    <t>279,000.00</t>
  </si>
  <si>
    <t>57,600.00</t>
  </si>
  <si>
    <t>4,985.00</t>
  </si>
  <si>
    <t>66,820.00</t>
  </si>
  <si>
    <t>199,000.00</t>
  </si>
  <si>
    <t>197,800.00</t>
  </si>
  <si>
    <t>356,922.92</t>
  </si>
  <si>
    <t>899,960.00</t>
  </si>
  <si>
    <t>46,600.00</t>
  </si>
  <si>
    <t>399,970.59</t>
  </si>
  <si>
    <t>181,000.00</t>
  </si>
  <si>
    <t>119,000.00</t>
  </si>
  <si>
    <t>129,000.00</t>
  </si>
  <si>
    <t>112,800.00</t>
  </si>
  <si>
    <t>133,005.00</t>
  </si>
  <si>
    <t>216,576.00</t>
  </si>
  <si>
    <t>83,230.00</t>
  </si>
  <si>
    <t>716,000.00</t>
  </si>
  <si>
    <t>330,894.42</t>
  </si>
  <si>
    <t>213,000.00</t>
  </si>
  <si>
    <t>199,384.71</t>
  </si>
  <si>
    <t>89,350.00</t>
  </si>
  <si>
    <t>71,750.00</t>
  </si>
  <si>
    <t>488,981.25</t>
  </si>
  <si>
    <t>1,968,376.91</t>
  </si>
  <si>
    <t>4,516,237.31</t>
  </si>
  <si>
    <t>899,252.00</t>
  </si>
  <si>
    <t>482,048.00</t>
  </si>
  <si>
    <t>148,640.00</t>
  </si>
  <si>
    <t>96,710.00</t>
  </si>
  <si>
    <t>11,939,992.00</t>
  </si>
  <si>
    <t>263,200.00</t>
  </si>
  <si>
    <t>2,747,000.00</t>
  </si>
  <si>
    <t>106,904.00</t>
  </si>
  <si>
    <t>1,999,864.44</t>
  </si>
  <si>
    <t>84,100.00</t>
  </si>
  <si>
    <t>967,673.81</t>
  </si>
  <si>
    <t>59,683.00</t>
  </si>
  <si>
    <t>102,200.00</t>
  </si>
  <si>
    <t>173,100.00</t>
  </si>
  <si>
    <t>82,051.79</t>
  </si>
  <si>
    <t>90,100.00</t>
  </si>
  <si>
    <t>197,900.00</t>
  </si>
  <si>
    <t>171,000.00</t>
  </si>
  <si>
    <t>444,298.50</t>
  </si>
  <si>
    <t>84,474.00</t>
  </si>
  <si>
    <t>819,000.00</t>
  </si>
  <si>
    <t>130,000.00</t>
  </si>
  <si>
    <t>6,733.00</t>
  </si>
  <si>
    <t>6,757,336.63</t>
  </si>
  <si>
    <t>999,200.00</t>
  </si>
  <si>
    <t>73,200.00</t>
  </si>
  <si>
    <t>125,000.00</t>
  </si>
  <si>
    <t>109,675.00</t>
  </si>
  <si>
    <t>454,000.00</t>
  </si>
  <si>
    <t>246,000.00</t>
  </si>
  <si>
    <t>56,368.00</t>
  </si>
  <si>
    <t>1,199,756.25</t>
  </si>
  <si>
    <t>1,746,279.61</t>
  </si>
  <si>
    <t>55,050.00</t>
  </si>
  <si>
    <t>816,000.00</t>
  </si>
  <si>
    <t>97,868.40</t>
  </si>
  <si>
    <t>52,450.00</t>
  </si>
  <si>
    <t>87,500.00</t>
  </si>
  <si>
    <t>86,000.00</t>
  </si>
  <si>
    <t>436,900.00</t>
  </si>
  <si>
    <t>406,909.20</t>
  </si>
  <si>
    <t>135,577.75</t>
  </si>
  <si>
    <t>1,040,000.00</t>
  </si>
  <si>
    <t>78,400.00</t>
  </si>
  <si>
    <t>318,143.60</t>
  </si>
  <si>
    <t>92,500.00</t>
  </si>
  <si>
    <t>871,350.50</t>
  </si>
  <si>
    <t>120,100.00</t>
  </si>
  <si>
    <t>308,816.40</t>
  </si>
  <si>
    <t>349,500.00</t>
  </si>
  <si>
    <t>80,900.00</t>
  </si>
  <si>
    <t>902,573.20</t>
  </si>
  <si>
    <t>18,457,000.00</t>
  </si>
  <si>
    <t>168,000.00</t>
  </si>
  <si>
    <t>348,950.00</t>
  </si>
  <si>
    <t>5,181,192.98</t>
  </si>
  <si>
    <t>56,146.00</t>
  </si>
  <si>
    <t>67,725.00</t>
  </si>
  <si>
    <t>80,047.00</t>
  </si>
  <si>
    <t>191,214.00</t>
  </si>
  <si>
    <t>64,800.00</t>
  </si>
  <si>
    <t>483,444.44</t>
  </si>
  <si>
    <t>352,540.00</t>
  </si>
  <si>
    <t>5,510,540.00</t>
  </si>
  <si>
    <t>444,000.00</t>
  </si>
  <si>
    <t>323,700.50</t>
  </si>
  <si>
    <t>620,100.00</t>
  </si>
  <si>
    <t>323,460.00</t>
  </si>
  <si>
    <t>14,850,000.00</t>
  </si>
  <si>
    <t>152,605.00</t>
  </si>
  <si>
    <t>572,400.00</t>
  </si>
  <si>
    <t>7,595.00</t>
  </si>
  <si>
    <t>349,860.00</t>
  </si>
  <si>
    <t>574,471.00</t>
  </si>
  <si>
    <t>103,950.00</t>
  </si>
  <si>
    <t>60,300.00</t>
  </si>
  <si>
    <t>66,916.00</t>
  </si>
  <si>
    <t>799,999.00</t>
  </si>
  <si>
    <t>55,250.00</t>
  </si>
  <si>
    <t>515,035.00</t>
  </si>
  <si>
    <t>8,000.00</t>
  </si>
  <si>
    <t>162,894.00</t>
  </si>
  <si>
    <t>803,047.00</t>
  </si>
  <si>
    <t>61,100.00</t>
  </si>
  <si>
    <t>295,535.00</t>
  </si>
  <si>
    <t>440,085.00</t>
  </si>
  <si>
    <t>143,229.52</t>
  </si>
  <si>
    <t>9,100,000.00</t>
  </si>
  <si>
    <t>65,562.00</t>
  </si>
  <si>
    <t>154,156.00</t>
  </si>
  <si>
    <t>492,000.00</t>
  </si>
  <si>
    <t>630,000.00</t>
  </si>
  <si>
    <t>292,577.88</t>
  </si>
  <si>
    <t>113,707.15</t>
  </si>
  <si>
    <t>297,360.00</t>
  </si>
  <si>
    <t>93,140.00</t>
  </si>
  <si>
    <t>49,467,734.00</t>
  </si>
  <si>
    <t>155,700.00</t>
  </si>
  <si>
    <t>168,174.12</t>
  </si>
  <si>
    <t>527,164.79</t>
  </si>
  <si>
    <t>193,067.60</t>
  </si>
  <si>
    <t>376,950.00</t>
  </si>
  <si>
    <t>49,767.00</t>
  </si>
  <si>
    <t>160,444.25</t>
  </si>
  <si>
    <t>52,750.00</t>
  </si>
  <si>
    <t>147,681.00</t>
  </si>
  <si>
    <t>78,075.00</t>
  </si>
  <si>
    <t>53,000.00</t>
  </si>
  <si>
    <t>72,730.00</t>
  </si>
  <si>
    <t>503,786.57</t>
  </si>
  <si>
    <t>207,243.48</t>
  </si>
  <si>
    <t>567,000.00</t>
  </si>
  <si>
    <t>115,200.00</t>
  </si>
  <si>
    <t>3,600.00</t>
  </si>
  <si>
    <t>396,300.00</t>
  </si>
  <si>
    <t>473,004.28</t>
  </si>
  <si>
    <t>126,544.88</t>
  </si>
  <si>
    <t>99,450.00</t>
  </si>
  <si>
    <t>18,787,198.10</t>
  </si>
  <si>
    <t>102,850.00</t>
  </si>
  <si>
    <t>1,474,398.00</t>
  </si>
  <si>
    <t>302,445.00</t>
  </si>
  <si>
    <t>671,000.00</t>
  </si>
  <si>
    <t>81,923.68</t>
  </si>
  <si>
    <t>94,080.00</t>
  </si>
  <si>
    <t>174,000.00</t>
  </si>
  <si>
    <t>610,000.00</t>
  </si>
  <si>
    <t>199,080.00</t>
  </si>
  <si>
    <t>2,910,466.59</t>
  </si>
  <si>
    <t>78,480.00</t>
  </si>
  <si>
    <t>428,045.63</t>
  </si>
  <si>
    <t>145,000.00</t>
  </si>
  <si>
    <t>499,875.00</t>
  </si>
  <si>
    <t>17,119,000.00</t>
  </si>
  <si>
    <t>84,400.00</t>
  </si>
  <si>
    <t>257,824.00</t>
  </si>
  <si>
    <t>972,027.25</t>
  </si>
  <si>
    <t>108,675.00</t>
  </si>
  <si>
    <t>85,000.00</t>
  </si>
  <si>
    <t>78,200.00</t>
  </si>
  <si>
    <t>2,850,000.00</t>
  </si>
  <si>
    <t>7,912.50</t>
  </si>
  <si>
    <t>28,700,280.00</t>
  </si>
  <si>
    <t>51,450.00</t>
  </si>
  <si>
    <t>986,000.00</t>
  </si>
  <si>
    <t>154,300.00</t>
  </si>
  <si>
    <t>2,996,000.00</t>
  </si>
  <si>
    <t>212,709.00</t>
  </si>
  <si>
    <t>407,979.00</t>
  </si>
  <si>
    <t>247,016.60</t>
  </si>
  <si>
    <t>237,000.00</t>
  </si>
  <si>
    <t>11,778,530.00</t>
  </si>
  <si>
    <t>99,057.27</t>
  </si>
  <si>
    <t>58,040.00</t>
  </si>
  <si>
    <t>316,600.00</t>
  </si>
  <si>
    <t>24,824,082.90</t>
  </si>
  <si>
    <t>74,794.50</t>
  </si>
  <si>
    <t>299,600.00</t>
  </si>
  <si>
    <t>149,750.00</t>
  </si>
  <si>
    <t>143,765.00</t>
  </si>
  <si>
    <t>49,860,000.00</t>
  </si>
  <si>
    <t>119,200.00</t>
  </si>
  <si>
    <t>92,700.00</t>
  </si>
  <si>
    <t>110,200.00</t>
  </si>
  <si>
    <t>5,420,048.03</t>
  </si>
  <si>
    <t>198,624.00</t>
  </si>
  <si>
    <t>690,000.00</t>
  </si>
  <si>
    <t>301,848.75</t>
  </si>
  <si>
    <t>72,000.00</t>
  </si>
  <si>
    <t>50,055.00</t>
  </si>
  <si>
    <t>378,190.00</t>
  </si>
  <si>
    <t>761,198.85</t>
  </si>
  <si>
    <t>74,000.00</t>
  </si>
  <si>
    <t>54,200.00</t>
  </si>
  <si>
    <t>668,614.66</t>
  </si>
  <si>
    <t>1,250,000.00</t>
  </si>
  <si>
    <t>949,068.75</t>
  </si>
  <si>
    <t>2,609,892.39</t>
  </si>
  <si>
    <t>483,200.00</t>
  </si>
  <si>
    <t>216,847.00</t>
  </si>
  <si>
    <t>755,032.98</t>
  </si>
  <si>
    <t>10,000.00</t>
  </si>
  <si>
    <t>237,500.00</t>
  </si>
  <si>
    <t>16,020,899.14</t>
  </si>
  <si>
    <t>93,468.00</t>
  </si>
  <si>
    <t>88,000.00</t>
  </si>
  <si>
    <t>59,200.00</t>
  </si>
  <si>
    <t>74,100.00</t>
  </si>
  <si>
    <t>132,200.00</t>
  </si>
  <si>
    <t>69,534.72</t>
  </si>
  <si>
    <t>128,225.00</t>
  </si>
  <si>
    <t>4,623,500.00</t>
  </si>
  <si>
    <t>280,000.00</t>
  </si>
  <si>
    <t>3,044,797.10</t>
  </si>
  <si>
    <t>115,890.00</t>
  </si>
  <si>
    <t>1,703,006.80</t>
  </si>
  <si>
    <t>37,749.20</t>
  </si>
  <si>
    <t>508,240.00</t>
  </si>
  <si>
    <t>449,000.00</t>
  </si>
  <si>
    <t>139,965.00</t>
  </si>
  <si>
    <t>499,800.00</t>
  </si>
  <si>
    <t>401,100.00</t>
  </si>
  <si>
    <t>57,800.00</t>
  </si>
  <si>
    <t>69,700.00</t>
  </si>
  <si>
    <t>69,000.00</t>
  </si>
  <si>
    <t>41,933.00</t>
  </si>
  <si>
    <t>149,500.00</t>
  </si>
  <si>
    <t>975,000.00</t>
  </si>
  <si>
    <t>208,390.39</t>
  </si>
  <si>
    <t>31,250.00</t>
  </si>
  <si>
    <t>3,060.00</t>
  </si>
  <si>
    <t>14,999.00</t>
  </si>
  <si>
    <t>255,300.00</t>
  </si>
  <si>
    <t>322,000.00</t>
  </si>
  <si>
    <t>82,500.00</t>
  </si>
  <si>
    <t>16,840,300.00</t>
  </si>
  <si>
    <t>305,950.00</t>
  </si>
  <si>
    <t>450,000.00</t>
  </si>
  <si>
    <t>10,620.00</t>
  </si>
  <si>
    <t>97,900.00</t>
  </si>
  <si>
    <t>18,800.00</t>
  </si>
  <si>
    <t>66,022.00</t>
  </si>
  <si>
    <t>58,700.00</t>
  </si>
  <si>
    <t>55,100.00</t>
  </si>
  <si>
    <t>294,933.00</t>
  </si>
  <si>
    <t>149,998.70</t>
  </si>
  <si>
    <t>465,584.00</t>
  </si>
  <si>
    <t>20,066.00</t>
  </si>
  <si>
    <t>216,920.00</t>
  </si>
  <si>
    <t>960,730.00</t>
  </si>
  <si>
    <t>4,999,993.69</t>
  </si>
  <si>
    <t>12,934,992.00</t>
  </si>
  <si>
    <t>367,685.00</t>
  </si>
  <si>
    <t>9,998,461.75</t>
  </si>
  <si>
    <t>649,286.40</t>
  </si>
  <si>
    <t>65,800.00</t>
  </si>
  <si>
    <t>323,493.10</t>
  </si>
  <si>
    <t>400,770.00</t>
  </si>
  <si>
    <t>507,882.80</t>
  </si>
  <si>
    <t>9,387,244.86</t>
  </si>
  <si>
    <t>155,100.00</t>
  </si>
  <si>
    <t>66,766.00</t>
  </si>
  <si>
    <t>172,500.00</t>
  </si>
  <si>
    <t>73,500.00</t>
  </si>
  <si>
    <t>152,895.26</t>
  </si>
  <si>
    <t>711,860.00</t>
  </si>
  <si>
    <t>128,567.25</t>
  </si>
  <si>
    <t>77,755.10</t>
  </si>
  <si>
    <t>110,000.00</t>
  </si>
  <si>
    <t>204,380.00</t>
  </si>
  <si>
    <t>107,265.00</t>
  </si>
  <si>
    <t>122,599.87</t>
  </si>
  <si>
    <t>111,650.00</t>
  </si>
  <si>
    <t>143,821.08</t>
  </si>
  <si>
    <t>11,526,000.00</t>
  </si>
  <si>
    <t>84,600.00</t>
  </si>
  <si>
    <t>225,000.00</t>
  </si>
  <si>
    <t>80,926.30</t>
  </si>
  <si>
    <t>222,192.00</t>
  </si>
  <si>
    <t>499,100.00</t>
  </si>
  <si>
    <t>50,900.00</t>
  </si>
  <si>
    <t>75,050.00</t>
  </si>
  <si>
    <t>35,556.00</t>
  </si>
  <si>
    <t>78,659.60</t>
  </si>
  <si>
    <t>144,975.00</t>
  </si>
  <si>
    <t>18,190.00</t>
  </si>
  <si>
    <t>84,000.00</t>
  </si>
  <si>
    <t>67,750.00</t>
  </si>
  <si>
    <t>98,050.00</t>
  </si>
  <si>
    <t>158,082.00</t>
  </si>
  <si>
    <t>768,000.00</t>
  </si>
  <si>
    <t>826,111.89</t>
  </si>
  <si>
    <t>299,700.00</t>
  </si>
  <si>
    <t>373,318.00</t>
  </si>
  <si>
    <t>2,667,000.00</t>
  </si>
  <si>
    <t>109,200.00</t>
  </si>
  <si>
    <t>107,125.00</t>
  </si>
  <si>
    <t>99,707.00</t>
  </si>
  <si>
    <t>97,400.00</t>
  </si>
  <si>
    <t>294,686.00</t>
  </si>
  <si>
    <t>324,000.00</t>
  </si>
  <si>
    <t>1,134,000.00</t>
  </si>
  <si>
    <t>63,500.00</t>
  </si>
  <si>
    <t>359,540.00</t>
  </si>
  <si>
    <t>340,000.00</t>
  </si>
  <si>
    <t>104,400.00</t>
  </si>
  <si>
    <t>54,050.00</t>
  </si>
  <si>
    <t>99,375.00</t>
  </si>
  <si>
    <t>27,000.00</t>
  </si>
  <si>
    <t>91,190.00</t>
  </si>
  <si>
    <t>552,196.00</t>
  </si>
  <si>
    <t>4,999,032.16</t>
  </si>
  <si>
    <t>593,140.00</t>
  </si>
  <si>
    <t>95,400.00</t>
  </si>
  <si>
    <t>533,050.00</t>
  </si>
  <si>
    <t>945,500.00</t>
  </si>
  <si>
    <t>702,175.00</t>
  </si>
  <si>
    <t>207,800.00</t>
  </si>
  <si>
    <t>187,500.00</t>
  </si>
  <si>
    <t>97,997.00</t>
  </si>
  <si>
    <t>28,688.00</t>
  </si>
  <si>
    <t>838,112.88</t>
  </si>
  <si>
    <t>1,468,393.66</t>
  </si>
  <si>
    <t>2,700,000.00</t>
  </si>
  <si>
    <t>133,360.00</t>
  </si>
  <si>
    <t>1,485,069.68</t>
  </si>
  <si>
    <t>319,995.00</t>
  </si>
  <si>
    <t>138,211.80</t>
  </si>
  <si>
    <t>103,750.00</t>
  </si>
  <si>
    <t>242,200.00</t>
  </si>
  <si>
    <t>1,499,999.27</t>
  </si>
  <si>
    <t>1,600,000.00</t>
  </si>
  <si>
    <t>112,000.00</t>
  </si>
  <si>
    <t>1,294,460.71</t>
  </si>
  <si>
    <t>134,300.00</t>
  </si>
  <si>
    <t>370,000.00</t>
  </si>
  <si>
    <t>40,923.00</t>
  </si>
  <si>
    <t>725,475.33</t>
  </si>
  <si>
    <t>220,260.00</t>
  </si>
  <si>
    <t>244,825.00</t>
  </si>
  <si>
    <t>3,236.00</t>
  </si>
  <si>
    <t>10,000,000.00</t>
  </si>
  <si>
    <t>49,000.00</t>
  </si>
  <si>
    <t>640,500.00</t>
  </si>
  <si>
    <t>694,800.00</t>
  </si>
  <si>
    <t>546,000.00</t>
  </si>
  <si>
    <t>499,763.20</t>
  </si>
  <si>
    <t>962,585.30</t>
  </si>
  <si>
    <t>238,102.23</t>
  </si>
  <si>
    <t>227,400.00</t>
  </si>
  <si>
    <t>1,258,388.30</t>
  </si>
  <si>
    <t>64,080.00</t>
  </si>
  <si>
    <t>142,750.00</t>
  </si>
  <si>
    <t>998,950.00</t>
  </si>
  <si>
    <t>832,800.00</t>
  </si>
  <si>
    <t>124,400.00</t>
  </si>
  <si>
    <t>425,225.00</t>
  </si>
  <si>
    <t>99,068.82</t>
  </si>
  <si>
    <t>132,500.00</t>
  </si>
  <si>
    <t>532,198.62</t>
  </si>
  <si>
    <t>108,400.00</t>
  </si>
  <si>
    <t>194,310.00</t>
  </si>
  <si>
    <t>486,536.90</t>
  </si>
  <si>
    <t>723,506.62</t>
  </si>
  <si>
    <t>1,281,410.80</t>
  </si>
  <si>
    <t>119,805.00</t>
  </si>
  <si>
    <t>86,500.00</t>
  </si>
  <si>
    <t>3,894,105.88</t>
  </si>
  <si>
    <t>167,614.54</t>
  </si>
  <si>
    <t>1,634,160.00</t>
  </si>
  <si>
    <t>66,500.00</t>
  </si>
  <si>
    <t>150,160.00</t>
  </si>
  <si>
    <t>2,098,135.00</t>
  </si>
  <si>
    <t>6,000.00</t>
  </si>
  <si>
    <t>434,995.30</t>
  </si>
  <si>
    <t>97,525.95</t>
  </si>
  <si>
    <t>50,400.00</t>
  </si>
  <si>
    <t>146,908.00</t>
  </si>
  <si>
    <t>215,960.00</t>
  </si>
  <si>
    <t>69,130.00</t>
  </si>
  <si>
    <t>527,972.75</t>
  </si>
  <si>
    <t>4,391,450.00</t>
  </si>
  <si>
    <t>101,500.00</t>
  </si>
  <si>
    <t>190,463.00</t>
  </si>
  <si>
    <t>396,000.00</t>
  </si>
  <si>
    <t>214,500.00</t>
  </si>
  <si>
    <t>2,599,576.10</t>
  </si>
  <si>
    <t>1,997,749.28</t>
  </si>
  <si>
    <t>120,720.00</t>
  </si>
  <si>
    <t>125,175.00</t>
  </si>
  <si>
    <t>70,566.00</t>
  </si>
  <si>
    <t>820,992.90</t>
  </si>
  <si>
    <t>122,000.00</t>
  </si>
  <si>
    <t>162,000.00</t>
  </si>
  <si>
    <t>226,500.00</t>
  </si>
  <si>
    <t>24,666.00</t>
  </si>
  <si>
    <t>8,450.00</t>
  </si>
  <si>
    <t>4,500.00</t>
  </si>
  <si>
    <t>935,335.00</t>
  </si>
  <si>
    <t>496,764.50</t>
  </si>
  <si>
    <t>195,000.00</t>
  </si>
  <si>
    <t>177,595.00</t>
  </si>
  <si>
    <t>181,306.96</t>
  </si>
  <si>
    <t>324,876.00</t>
  </si>
  <si>
    <t>58,800.00</t>
  </si>
  <si>
    <t>65,700.00</t>
  </si>
  <si>
    <t>57,423.82</t>
  </si>
  <si>
    <t>1,316,467.76</t>
  </si>
  <si>
    <t>306,507.94</t>
  </si>
  <si>
    <t>222,420.00</t>
  </si>
  <si>
    <t>93,600.00</t>
  </si>
  <si>
    <t>30,000.00</t>
  </si>
  <si>
    <t>1,288,173.00</t>
  </si>
  <si>
    <t>899,251.00</t>
  </si>
  <si>
    <t>226,884.00</t>
  </si>
  <si>
    <t>531,950.00</t>
  </si>
  <si>
    <t>1,998,888.62</t>
  </si>
  <si>
    <t>628,649.50</t>
  </si>
  <si>
    <t>1,550,410.50</t>
  </si>
  <si>
    <t>527,750.00</t>
  </si>
  <si>
    <t>8,500.00</t>
  </si>
  <si>
    <t>128,700.00</t>
  </si>
  <si>
    <t>368,000.00</t>
  </si>
  <si>
    <t>141,304.00</t>
  </si>
  <si>
    <t>688,652.00</t>
  </si>
  <si>
    <t>407,150.00</t>
  </si>
  <si>
    <t>17,500.00</t>
  </si>
  <si>
    <t>2,024,144.77</t>
  </si>
  <si>
    <t>19,232.28</t>
  </si>
  <si>
    <t>164,510.00</t>
  </si>
  <si>
    <t>151,386.00</t>
  </si>
  <si>
    <t>73,809.00</t>
  </si>
  <si>
    <t>517,500.00</t>
  </si>
  <si>
    <t>1,430,000.00</t>
  </si>
  <si>
    <t>698,530.00</t>
  </si>
  <si>
    <t>14,975.00</t>
  </si>
  <si>
    <t>299,960.00</t>
  </si>
  <si>
    <t>1,499,121.16</t>
  </si>
  <si>
    <t>4,500,000.00</t>
  </si>
  <si>
    <t>24,650.00</t>
  </si>
  <si>
    <t>269,250.00</t>
  </si>
  <si>
    <t>89,600.00</t>
  </si>
  <si>
    <t>2,503,120.00</t>
  </si>
  <si>
    <t>87,000.00</t>
  </si>
  <si>
    <t>95,124.00</t>
  </si>
  <si>
    <t>699,969.49</t>
  </si>
  <si>
    <t>624,180.00</t>
  </si>
  <si>
    <t>2,444,724.00</t>
  </si>
  <si>
    <t>498,790.00</t>
  </si>
  <si>
    <t>109,940.00</t>
  </si>
  <si>
    <t>5,988,000.00</t>
  </si>
  <si>
    <t>260,100.00</t>
  </si>
  <si>
    <t>204,440.00</t>
  </si>
  <si>
    <t>4,554,315.00</t>
  </si>
  <si>
    <t>241,996.00</t>
  </si>
  <si>
    <t>1,442,167.05</t>
  </si>
  <si>
    <t>570,000.00</t>
  </si>
  <si>
    <t>1,075,471.00</t>
  </si>
  <si>
    <t>346,046.12</t>
  </si>
  <si>
    <t>1,548,314.00</t>
  </si>
  <si>
    <t>169,826.00</t>
  </si>
  <si>
    <t>235,800.00</t>
  </si>
  <si>
    <t>120,750.00</t>
  </si>
  <si>
    <t>10,642,900.00</t>
  </si>
  <si>
    <t>186,990.15</t>
  </si>
  <si>
    <t>160,982.00</t>
  </si>
  <si>
    <t>12,437,500.00</t>
  </si>
  <si>
    <t>29,650.00</t>
  </si>
  <si>
    <t>385,000.00</t>
  </si>
  <si>
    <t>329,116.94</t>
  </si>
  <si>
    <t>56,388.00</t>
  </si>
  <si>
    <t>99,200.00</t>
  </si>
  <si>
    <t>137,640.00</t>
  </si>
  <si>
    <t>54,000.00</t>
  </si>
  <si>
    <t>1,391,480.75</t>
  </si>
  <si>
    <t>67,490.10</t>
  </si>
  <si>
    <t>108,700.00</t>
  </si>
  <si>
    <t>2,920,500.00</t>
  </si>
  <si>
    <t>102,500.00</t>
  </si>
  <si>
    <t>199,900.00</t>
  </si>
  <si>
    <t>52,322.00</t>
  </si>
  <si>
    <t>258,260.00</t>
  </si>
  <si>
    <t>36,650.00</t>
  </si>
  <si>
    <t>96,700.00</t>
  </si>
  <si>
    <t>197,400.00</t>
  </si>
  <si>
    <t>156,000.00</t>
  </si>
  <si>
    <t>2,890,000.00</t>
  </si>
  <si>
    <t>1,337,630.80</t>
  </si>
  <si>
    <t>58,100.00</t>
  </si>
  <si>
    <t>29,800.00</t>
  </si>
  <si>
    <t>110,657.30</t>
  </si>
  <si>
    <t>39,408.00</t>
  </si>
  <si>
    <t>267,000.00</t>
  </si>
  <si>
    <t>29,400,866.61</t>
  </si>
  <si>
    <t>172,947.06</t>
  </si>
  <si>
    <t>425,750.00</t>
  </si>
  <si>
    <t>93,793.00</t>
  </si>
  <si>
    <t>95,200.00</t>
  </si>
  <si>
    <t>137,575.00</t>
  </si>
  <si>
    <t>67,600.00</t>
  </si>
  <si>
    <t>468,836.00</t>
  </si>
  <si>
    <t>102,240.00</t>
  </si>
  <si>
    <t>2,417,927.06</t>
  </si>
  <si>
    <t>5,841,000.00</t>
  </si>
  <si>
    <t>126,490.00</t>
  </si>
  <si>
    <t>124,524.00</t>
  </si>
  <si>
    <t>448,350.00</t>
  </si>
  <si>
    <t>178,040.00</t>
  </si>
  <si>
    <t>22,300.00</t>
  </si>
  <si>
    <t>279,275.00</t>
  </si>
  <si>
    <t>85,500.00</t>
  </si>
  <si>
    <t>57,000.00</t>
  </si>
  <si>
    <t>3,120,634.87</t>
  </si>
  <si>
    <t>65,650.00</t>
  </si>
  <si>
    <t>63,941.64</t>
  </si>
  <si>
    <t>1,208,572.50</t>
  </si>
  <si>
    <t>53,500.00</t>
  </si>
  <si>
    <t>71,200.00</t>
  </si>
  <si>
    <t>156,108.00</t>
  </si>
  <si>
    <t>4,280,000.00</t>
  </si>
  <si>
    <t>61,935.00</t>
  </si>
  <si>
    <t>93,450.00</t>
  </si>
  <si>
    <t>167,000.00</t>
  </si>
  <si>
    <t>21,500.00</t>
  </si>
  <si>
    <t>219,430.00</t>
  </si>
  <si>
    <t>220,440.00</t>
  </si>
  <si>
    <t>29,700,000.00</t>
  </si>
  <si>
    <t>85,946.00</t>
  </si>
  <si>
    <t>83,100.00</t>
  </si>
  <si>
    <t>1,045,430.28</t>
  </si>
  <si>
    <t>80,600.00</t>
  </si>
  <si>
    <t>3,300,000.00</t>
  </si>
  <si>
    <t>980,000.00</t>
  </si>
  <si>
    <t>751,486.00</t>
  </si>
  <si>
    <t>1,056,320.00</t>
  </si>
  <si>
    <t>122,614.00</t>
  </si>
  <si>
    <t>62,995.00</t>
  </si>
  <si>
    <t>70,400.00</t>
  </si>
  <si>
    <t>1,620,131.63</t>
  </si>
  <si>
    <t>116,000.00</t>
  </si>
  <si>
    <t>236,519.00</t>
  </si>
  <si>
    <t>161,210.00</t>
  </si>
  <si>
    <t>518,451.00</t>
  </si>
  <si>
    <t>301,041.00</t>
  </si>
  <si>
    <t>199,640.00</t>
  </si>
  <si>
    <t>1,846,000.00</t>
  </si>
  <si>
    <t>184,390.00</t>
  </si>
  <si>
    <t>5,539,376.45</t>
  </si>
  <si>
    <t>229,440.00</t>
  </si>
  <si>
    <t>15,000,000.00</t>
  </si>
  <si>
    <t>97,500.00</t>
  </si>
  <si>
    <t>235,545.00</t>
  </si>
  <si>
    <t>351,180.00</t>
  </si>
  <si>
    <t>459,000.00</t>
  </si>
  <si>
    <t>106,000.00</t>
  </si>
  <si>
    <t>55,440.00</t>
  </si>
  <si>
    <t>455,301.56</t>
  </si>
  <si>
    <t>128,691.20</t>
  </si>
  <si>
    <t>1,586,112.00</t>
  </si>
  <si>
    <t>199,936.00</t>
  </si>
  <si>
    <t>1,900,125.00</t>
  </si>
  <si>
    <t>865,449.00</t>
  </si>
  <si>
    <t>450,498.85</t>
  </si>
  <si>
    <t>120,700.00</t>
  </si>
  <si>
    <t>68,400,000.00</t>
  </si>
  <si>
    <t>156,750.00</t>
  </si>
  <si>
    <t>799,750.00</t>
  </si>
  <si>
    <t>52,500.00</t>
  </si>
  <si>
    <t>515,200.00</t>
  </si>
  <si>
    <t>569,875.00</t>
  </si>
  <si>
    <t>174,800.00</t>
  </si>
  <si>
    <t>908,530.35</t>
  </si>
  <si>
    <t>74,915.00</t>
  </si>
  <si>
    <t>799,000.00</t>
  </si>
  <si>
    <t>633,750.00</t>
  </si>
  <si>
    <t>78,000.00</t>
  </si>
  <si>
    <t>234,500.00</t>
  </si>
  <si>
    <t>21,780.00</t>
  </si>
  <si>
    <t>514,360.00</t>
  </si>
  <si>
    <t>2,539,599.72</t>
  </si>
  <si>
    <t>2,419,499.30</t>
  </si>
  <si>
    <t>85,295.00</t>
  </si>
  <si>
    <t>64,980.00</t>
  </si>
  <si>
    <t>163,318.25</t>
  </si>
  <si>
    <t>2,655,000.00</t>
  </si>
  <si>
    <t>625,320.00</t>
  </si>
  <si>
    <t>495,000.00</t>
  </si>
  <si>
    <t>248,832.25</t>
  </si>
  <si>
    <t>52,682.00</t>
  </si>
  <si>
    <t>77,122.00</t>
  </si>
  <si>
    <t>7,246,176.91</t>
  </si>
  <si>
    <t>336,095.00</t>
  </si>
  <si>
    <t>2,185,000.00</t>
  </si>
  <si>
    <t>71,000.00</t>
  </si>
  <si>
    <t>88,420.00</t>
  </si>
  <si>
    <t>148,561.00</t>
  </si>
  <si>
    <t>87,340.00</t>
  </si>
  <si>
    <t>113,760.00</t>
  </si>
  <si>
    <t>55,978.56</t>
  </si>
  <si>
    <t>149,534.00</t>
  </si>
  <si>
    <t>1,411,031.48</t>
  </si>
  <si>
    <t>101,590.40</t>
  </si>
  <si>
    <t>20,000,000.00</t>
  </si>
  <si>
    <t>998,000.00</t>
  </si>
  <si>
    <t>127,342.56</t>
  </si>
  <si>
    <t>14,500.00</t>
  </si>
  <si>
    <t>4,159,356.00</t>
  </si>
  <si>
    <t>65,500.00</t>
  </si>
  <si>
    <t>577,625.00</t>
  </si>
  <si>
    <t>2,277,703.75</t>
  </si>
  <si>
    <t>19,205.00</t>
  </si>
  <si>
    <t>60,805.00</t>
  </si>
  <si>
    <t>90,038.00</t>
  </si>
  <si>
    <t>29,400,000.00</t>
  </si>
  <si>
    <t>3,582,000.00</t>
  </si>
  <si>
    <t>463,870.00</t>
  </si>
  <si>
    <t>148,950.00</t>
  </si>
  <si>
    <t>10,433,325.00</t>
  </si>
  <si>
    <t>480,000.00</t>
  </si>
  <si>
    <t>970,816.00</t>
  </si>
  <si>
    <t>414,200.00</t>
  </si>
  <si>
    <t>850,000.00</t>
  </si>
  <si>
    <t>772,000.00</t>
  </si>
  <si>
    <t>1,795,500.00</t>
  </si>
  <si>
    <t>550,072.20</t>
  </si>
  <si>
    <t>68,480.00</t>
  </si>
  <si>
    <t>14,700,000.00</t>
  </si>
  <si>
    <t>53,261.60</t>
  </si>
  <si>
    <t>355,950.00</t>
  </si>
  <si>
    <t>157,500.00</t>
  </si>
  <si>
    <t>56,250.00</t>
  </si>
  <si>
    <t>1,905,000.00</t>
  </si>
  <si>
    <t>51,300.00</t>
  </si>
  <si>
    <t>379,800.00</t>
  </si>
  <si>
    <t>1,536,979.26</t>
  </si>
  <si>
    <t>2,910,000.00</t>
  </si>
  <si>
    <t>219,005.00</t>
  </si>
  <si>
    <t>165,040.00</t>
  </si>
  <si>
    <t>950,750.00</t>
  </si>
  <si>
    <t>299,446.00</t>
  </si>
  <si>
    <t>52,924.00</t>
  </si>
  <si>
    <t>789,440.00</t>
  </si>
  <si>
    <t>234,000.00</t>
  </si>
  <si>
    <t>169,000.00</t>
  </si>
  <si>
    <t>785,000.00</t>
  </si>
  <si>
    <t>257,140.00</t>
  </si>
  <si>
    <t>104,316.60</t>
  </si>
  <si>
    <t>41,650.00</t>
  </si>
  <si>
    <t>130,140.00</t>
  </si>
  <si>
    <t>111,600.00</t>
  </si>
  <si>
    <t>120,890.00</t>
  </si>
  <si>
    <t>874,920.00</t>
  </si>
  <si>
    <t>1,398,563.75</t>
  </si>
  <si>
    <t>360,000.00</t>
  </si>
  <si>
    <t>1,474,556.24</t>
  </si>
  <si>
    <t>9,900,000.00</t>
  </si>
  <si>
    <t>67,000.00</t>
  </si>
  <si>
    <t>67,800.00</t>
  </si>
  <si>
    <t>250,000.12</t>
  </si>
  <si>
    <t>66,600.00</t>
  </si>
  <si>
    <t>60,490.00</t>
  </si>
  <si>
    <t>102,605.50</t>
  </si>
  <si>
    <t>1,226,344.00</t>
  </si>
  <si>
    <t>78,630.00</t>
  </si>
  <si>
    <t>325,820.00</t>
  </si>
  <si>
    <t>61,650.00</t>
  </si>
  <si>
    <t>918,000.00</t>
  </si>
  <si>
    <t>7,920,000.00</t>
  </si>
  <si>
    <t>2,527,000.00</t>
  </si>
  <si>
    <t>199,798.63</t>
  </si>
  <si>
    <t>82,845.00</t>
  </si>
  <si>
    <t>306,800.00</t>
  </si>
  <si>
    <t>90,900.00</t>
  </si>
  <si>
    <t>97,240.00</t>
  </si>
  <si>
    <t>50,960.00</t>
  </si>
  <si>
    <t>224,000.00</t>
  </si>
  <si>
    <t>348,816.00</t>
  </si>
  <si>
    <t>393,450.00</t>
  </si>
  <si>
    <t>159,997.70</t>
  </si>
  <si>
    <t>171,330.00</t>
  </si>
  <si>
    <t>4,788,306.53</t>
  </si>
  <si>
    <t>2,790,000.00</t>
  </si>
  <si>
    <t>192,500.00</t>
  </si>
  <si>
    <t>237,445.00</t>
  </si>
  <si>
    <t>92,701.37</t>
  </si>
  <si>
    <t>2,035,000.00</t>
  </si>
  <si>
    <t>285,800.00</t>
  </si>
  <si>
    <t>145,485.00</t>
  </si>
  <si>
    <t>193,500.00</t>
  </si>
  <si>
    <t>87,749.00</t>
  </si>
  <si>
    <t>1,185,332.59</t>
  </si>
  <si>
    <t>34,600.00</t>
  </si>
  <si>
    <t>999,811.44</t>
  </si>
  <si>
    <t>8,489.20</t>
  </si>
  <si>
    <t>101,700.00</t>
  </si>
  <si>
    <t>622,500.00</t>
  </si>
  <si>
    <t>2,842,000.00</t>
  </si>
  <si>
    <t>498,800.00</t>
  </si>
  <si>
    <t>2,248,978.21</t>
  </si>
  <si>
    <t>764,762.79</t>
  </si>
  <si>
    <t>996,300.00</t>
  </si>
  <si>
    <t>577,838.46</t>
  </si>
  <si>
    <t>162,500.00</t>
  </si>
  <si>
    <t>2,999,921.24</t>
  </si>
  <si>
    <t>151,524.00</t>
  </si>
  <si>
    <t>56,700.00</t>
  </si>
  <si>
    <t>196,130.00</t>
  </si>
  <si>
    <t>144,000.00</t>
  </si>
  <si>
    <t>25,800.00</t>
  </si>
  <si>
    <t>524,600.00</t>
  </si>
  <si>
    <t>1,402,300.00</t>
  </si>
  <si>
    <t>4,950,000.00</t>
  </si>
  <si>
    <t>115,699.00</t>
  </si>
  <si>
    <t>184,250.00</t>
  </si>
  <si>
    <t>298,743.06</t>
  </si>
  <si>
    <t>116,900.00</t>
  </si>
  <si>
    <t>64,002.50</t>
  </si>
  <si>
    <t>90,620.00</t>
  </si>
  <si>
    <t>2,897,992.58</t>
  </si>
  <si>
    <t>1,519,830.00</t>
  </si>
  <si>
    <t>999,684.26</t>
  </si>
  <si>
    <t>979,999.88</t>
  </si>
  <si>
    <t>183,000.00</t>
  </si>
  <si>
    <t>79,200.00</t>
  </si>
  <si>
    <t>401,819.00</t>
  </si>
  <si>
    <t>1,024,542.00</t>
  </si>
  <si>
    <t>303,510.00</t>
  </si>
  <si>
    <t>1,980,000.00</t>
  </si>
  <si>
    <t>4,000,000.00</t>
  </si>
  <si>
    <t>4,718,528.60</t>
  </si>
  <si>
    <t>196,570.00</t>
  </si>
  <si>
    <t>55,666.40</t>
  </si>
  <si>
    <t>680,000.00</t>
  </si>
  <si>
    <t>7,000.00</t>
  </si>
  <si>
    <t>122,400.00</t>
  </si>
  <si>
    <t>368,403.00</t>
  </si>
  <si>
    <t>79,000.00</t>
  </si>
  <si>
    <t>90,261.00</t>
  </si>
  <si>
    <t>197,239.00</t>
  </si>
  <si>
    <t>3,915,000.00</t>
  </si>
  <si>
    <t>283,147.00</t>
  </si>
  <si>
    <t>85,040.00</t>
  </si>
  <si>
    <t>998,539.09</t>
  </si>
  <si>
    <t>79,900.00</t>
  </si>
  <si>
    <t>442,500.00</t>
  </si>
  <si>
    <t>71,714,510.96</t>
  </si>
  <si>
    <t>2,499,998.60</t>
  </si>
  <si>
    <t>143,080.00</t>
  </si>
  <si>
    <t>161,138.00</t>
  </si>
  <si>
    <t>3,657,910.00</t>
  </si>
  <si>
    <t>131,200.00</t>
  </si>
  <si>
    <t>152,125.90</t>
  </si>
  <si>
    <t>94,800.00</t>
  </si>
  <si>
    <t>118,650.00</t>
  </si>
  <si>
    <t>56,465.00</t>
  </si>
  <si>
    <t>90,400.00</t>
  </si>
  <si>
    <t>119,105.00</t>
  </si>
  <si>
    <t>84,833.00</t>
  </si>
  <si>
    <t>1,999,936.74</t>
  </si>
  <si>
    <t>90,790.00</t>
  </si>
  <si>
    <t>226,710.00</t>
  </si>
  <si>
    <t>5,529,394.55</t>
  </si>
  <si>
    <t>16,000.00</t>
  </si>
  <si>
    <t>1,321,200.00</t>
  </si>
  <si>
    <t>245,000.00</t>
  </si>
  <si>
    <t>1,133,426.36</t>
  </si>
  <si>
    <t>15,981.00</t>
  </si>
  <si>
    <t>53,254.00</t>
  </si>
  <si>
    <t>29,321.10</t>
  </si>
  <si>
    <t>149,650.00</t>
  </si>
  <si>
    <t>559,510.00</t>
  </si>
  <si>
    <t>318,600.00</t>
  </si>
  <si>
    <t>36,000.00</t>
  </si>
  <si>
    <t>48,000.00</t>
  </si>
  <si>
    <t>59,800.00</t>
  </si>
  <si>
    <t>347,700.00</t>
  </si>
  <si>
    <t>1,359,538.63</t>
  </si>
  <si>
    <t>2,999,999.06</t>
  </si>
  <si>
    <t>60,780.00</t>
  </si>
  <si>
    <t>4,999,650.00</t>
  </si>
  <si>
    <t>947,868.00</t>
  </si>
  <si>
    <t>2,670,000.00</t>
  </si>
  <si>
    <t>78,132.00</t>
  </si>
  <si>
    <t>3,800,459.04</t>
  </si>
  <si>
    <t>370,880.00</t>
  </si>
  <si>
    <t>3,563,723.60</t>
  </si>
  <si>
    <t>68,974.50</t>
  </si>
  <si>
    <t>5,000.00</t>
  </si>
  <si>
    <t>74,388.00</t>
  </si>
  <si>
    <t>2,228,524.80</t>
  </si>
  <si>
    <t>780,000.00</t>
  </si>
  <si>
    <t>864,360.00</t>
  </si>
  <si>
    <t>77,100.00</t>
  </si>
  <si>
    <t>1,960,000.00</t>
  </si>
  <si>
    <t>99,850.00</t>
  </si>
  <si>
    <t>75,900.00</t>
  </si>
  <si>
    <t>93,000.00</t>
  </si>
  <si>
    <t>375,900.00</t>
  </si>
  <si>
    <t>329,289.00</t>
  </si>
  <si>
    <t>685,000.00</t>
  </si>
  <si>
    <t>667,129.00</t>
  </si>
  <si>
    <t>99,975.00</t>
  </si>
  <si>
    <t>988,483.62</t>
  </si>
  <si>
    <t>668,279.35</t>
  </si>
  <si>
    <t>5,075,550.30</t>
  </si>
  <si>
    <t>61,855.00</t>
  </si>
  <si>
    <t>442,600.00</t>
  </si>
  <si>
    <t>41,338.50</t>
  </si>
  <si>
    <t>149,996.00</t>
  </si>
  <si>
    <t>200,160.00</t>
  </si>
  <si>
    <t>798,297.00</t>
  </si>
  <si>
    <t>251,500.00</t>
  </si>
  <si>
    <t>59,300.00</t>
  </si>
  <si>
    <t>1,992,800.00</t>
  </si>
  <si>
    <t>2,010,750.00</t>
  </si>
  <si>
    <t>172,750.00</t>
  </si>
  <si>
    <t>282,920.00</t>
  </si>
  <si>
    <t>1,151,000.00</t>
  </si>
  <si>
    <t>999,996.42</t>
  </si>
  <si>
    <t>386,966.53</t>
  </si>
  <si>
    <t>672,000.00</t>
  </si>
  <si>
    <t>61,471.00</t>
  </si>
  <si>
    <t>56,944.00</t>
  </si>
  <si>
    <t>342,130.00</t>
  </si>
  <si>
    <t>188,277.00</t>
  </si>
  <si>
    <t>249,412.33</t>
  </si>
  <si>
    <t>399,410.00</t>
  </si>
  <si>
    <t>12,000.00</t>
  </si>
  <si>
    <t>399,826.00</t>
  </si>
  <si>
    <t>336,077.00</t>
  </si>
  <si>
    <t>118,320.96</t>
  </si>
  <si>
    <t>11,700,000.00</t>
  </si>
  <si>
    <t>134,800.00</t>
  </si>
  <si>
    <t>3,200,000.00</t>
  </si>
  <si>
    <t>17,157,184.38</t>
  </si>
  <si>
    <t>169,759.00</t>
  </si>
  <si>
    <t>139,350.00</t>
  </si>
  <si>
    <t>113,400.00</t>
  </si>
  <si>
    <t>238,000.00</t>
  </si>
  <si>
    <t>52,446.00</t>
  </si>
  <si>
    <t>105,599.34</t>
  </si>
  <si>
    <t>56,790.00</t>
  </si>
  <si>
    <t>76,700.00</t>
  </si>
  <si>
    <t>126,713.58</t>
  </si>
  <si>
    <t>373,500.00</t>
  </si>
  <si>
    <t>155,840.00</t>
  </si>
  <si>
    <t>78,313.00</t>
  </si>
  <si>
    <t>54,600.00</t>
  </si>
  <si>
    <t>98,000.00</t>
  </si>
  <si>
    <t>112,500.00</t>
  </si>
  <si>
    <t>157,121.12</t>
  </si>
  <si>
    <t>70,044.00</t>
  </si>
  <si>
    <t>4,574,227.53</t>
  </si>
  <si>
    <t>91,500.00</t>
  </si>
  <si>
    <t>341,000.00</t>
  </si>
  <si>
    <t>63,470.00</t>
  </si>
  <si>
    <t>442,367.90</t>
  </si>
  <si>
    <t>275,183.70</t>
  </si>
  <si>
    <t>253,500.00</t>
  </si>
  <si>
    <t>49,900.00</t>
  </si>
  <si>
    <t>775,898.00</t>
  </si>
  <si>
    <t>891,322.70</t>
  </si>
  <si>
    <t>96,275.00</t>
  </si>
  <si>
    <t>65,195.75</t>
  </si>
  <si>
    <t>14,799.76</t>
  </si>
  <si>
    <t>51,850.00</t>
  </si>
  <si>
    <t>68,864.00</t>
  </si>
  <si>
    <t>7,624,000.00</t>
  </si>
  <si>
    <t>505,824.50</t>
  </si>
  <si>
    <t>1,498,000.00</t>
  </si>
  <si>
    <t>117,000.00</t>
  </si>
  <si>
    <t>547,895.21</t>
  </si>
  <si>
    <t>71,065.00</t>
  </si>
  <si>
    <t>8,000,000.00</t>
  </si>
  <si>
    <t>4,926,877.32</t>
  </si>
  <si>
    <t>11,815.00</t>
  </si>
  <si>
    <t>73,630.00</t>
  </si>
  <si>
    <t>4,402,140.95</t>
  </si>
  <si>
    <t>1,599,917.35</t>
  </si>
  <si>
    <t>129,250.00</t>
  </si>
  <si>
    <t>256,440.00</t>
  </si>
  <si>
    <t>439,394.00</t>
  </si>
  <si>
    <t>114,903.67</t>
  </si>
  <si>
    <t>3,163,400.00</t>
  </si>
  <si>
    <t>58,838.80</t>
  </si>
  <si>
    <t>161,650.00</t>
  </si>
  <si>
    <t>35,690.00</t>
  </si>
  <si>
    <t>55,656.00</t>
  </si>
  <si>
    <t>132,826.00</t>
  </si>
  <si>
    <t>20,040.00</t>
  </si>
  <si>
    <t>2,851,000.00</t>
  </si>
  <si>
    <t>722,500.00</t>
  </si>
  <si>
    <t>3,699,141.97</t>
  </si>
  <si>
    <t>812,179.20</t>
  </si>
  <si>
    <t>488,500.00</t>
  </si>
  <si>
    <t>143,198.00</t>
  </si>
  <si>
    <t>4,242,278.49</t>
  </si>
  <si>
    <t>58,657,553.00</t>
  </si>
  <si>
    <t>158,185.00</t>
  </si>
  <si>
    <t>296,594.00</t>
  </si>
  <si>
    <t>298,352.00</t>
  </si>
  <si>
    <t>17,640,000.00</t>
  </si>
  <si>
    <t>77,900.00</t>
  </si>
  <si>
    <t>133,328.00</t>
  </si>
  <si>
    <t>1,499,972.00</t>
  </si>
  <si>
    <t>495,620.02</t>
  </si>
  <si>
    <t>185,000.00</t>
  </si>
  <si>
    <t>4,860,783.26</t>
  </si>
  <si>
    <t>106,858.00</t>
  </si>
  <si>
    <t>660,000.00</t>
  </si>
  <si>
    <t>392,000.00</t>
  </si>
  <si>
    <t>122,500.00</t>
  </si>
  <si>
    <t>175,985.00</t>
  </si>
  <si>
    <t>9,461,075.25</t>
  </si>
  <si>
    <t>199,997.30</t>
  </si>
  <si>
    <t>1,068,350.00</t>
  </si>
  <si>
    <t>162,600.00</t>
  </si>
  <si>
    <t>164,000.00</t>
  </si>
  <si>
    <t>830,000.00</t>
  </si>
  <si>
    <t>500.00</t>
  </si>
  <si>
    <t>332,000.00</t>
  </si>
  <si>
    <t>716,084.60</t>
  </si>
  <si>
    <t>150,200.00</t>
  </si>
  <si>
    <t>134,980.00</t>
  </si>
  <si>
    <t>72,758.00</t>
  </si>
  <si>
    <t>153,500.00</t>
  </si>
  <si>
    <t>840,000.00</t>
  </si>
  <si>
    <t>62,400.00</t>
  </si>
  <si>
    <t>880,000.00</t>
  </si>
  <si>
    <t>50,200.00</t>
  </si>
  <si>
    <t>201,500.00</t>
  </si>
  <si>
    <t>3,372,723.20</t>
  </si>
  <si>
    <t>31,708,474.42</t>
  </si>
  <si>
    <t>848,575.00</t>
  </si>
  <si>
    <t>63,219.54</t>
  </si>
  <si>
    <t>216,000.00</t>
  </si>
  <si>
    <t>534,580.00</t>
  </si>
  <si>
    <t>88,690.00</t>
  </si>
  <si>
    <t>9,070,880.00</t>
  </si>
  <si>
    <t>372,835.81</t>
  </si>
  <si>
    <t>2,076,678.79</t>
  </si>
  <si>
    <t>127,490.00</t>
  </si>
  <si>
    <t>184,471.48</t>
  </si>
  <si>
    <t>22,000.00</t>
  </si>
  <si>
    <t>823,000.00</t>
  </si>
  <si>
    <t>711,048.00</t>
  </si>
  <si>
    <t>162,370.00</t>
  </si>
  <si>
    <t>73,760.00</t>
  </si>
  <si>
    <t>518,213.69</t>
  </si>
  <si>
    <t>34,739,989.94</t>
  </si>
  <si>
    <t>57,500.00</t>
  </si>
  <si>
    <t>185,450.00</t>
  </si>
  <si>
    <t>54,553,920.00</t>
  </si>
  <si>
    <t>19,800.00</t>
  </si>
  <si>
    <t>81,000.00</t>
  </si>
  <si>
    <t>199,680.00</t>
  </si>
  <si>
    <t>29,900.00</t>
  </si>
  <si>
    <t>29,000.00</t>
  </si>
  <si>
    <t>3,014,000.00</t>
  </si>
  <si>
    <t>2,970,000.00</t>
  </si>
  <si>
    <t>186,900.75</t>
  </si>
  <si>
    <t>855,750.00</t>
  </si>
  <si>
    <t>1,315,560.00</t>
  </si>
  <si>
    <t>56,050.00</t>
  </si>
  <si>
    <t>2,450,000.00</t>
  </si>
  <si>
    <t>50,500.00</t>
  </si>
  <si>
    <t>26,000.00</t>
  </si>
  <si>
    <t>2,460,000.00</t>
  </si>
  <si>
    <t>997,000.00</t>
  </si>
  <si>
    <t>193,132.46</t>
  </si>
  <si>
    <t>288,000.00</t>
  </si>
  <si>
    <t>650,000.00</t>
  </si>
  <si>
    <t>296,167.95</t>
  </si>
  <si>
    <t>98,382.98</t>
  </si>
  <si>
    <t>319,500.00</t>
  </si>
  <si>
    <t>193,770.43</t>
  </si>
  <si>
    <t>3,300.00</t>
  </si>
  <si>
    <t>690,123.22</t>
  </si>
  <si>
    <t>122,688.00</t>
  </si>
  <si>
    <t>53,495.00</t>
  </si>
  <si>
    <t>168,444,500.00</t>
  </si>
  <si>
    <t>191,250.00</t>
  </si>
  <si>
    <t>692,062.72</t>
  </si>
  <si>
    <t>194,413.21</t>
  </si>
  <si>
    <t>5,433,162.51</t>
  </si>
  <si>
    <t>2,475,000.00</t>
  </si>
  <si>
    <t>372,004.00</t>
  </si>
  <si>
    <t>361,715.00</t>
  </si>
  <si>
    <t>61,000.00</t>
  </si>
  <si>
    <t>101,850.00</t>
  </si>
  <si>
    <t>527,200.00</t>
  </si>
  <si>
    <t>4,300,000.00</t>
  </si>
  <si>
    <t>14,000,000.00</t>
  </si>
  <si>
    <t>28,800,000.00</t>
  </si>
  <si>
    <t>205,000.00</t>
  </si>
  <si>
    <t>248,655.00</t>
  </si>
  <si>
    <t>60,280.00</t>
  </si>
  <si>
    <t>347,217.00</t>
  </si>
  <si>
    <t>1,499,934.92</t>
  </si>
  <si>
    <t>122,885.00</t>
  </si>
  <si>
    <t>2,000,250.00</t>
  </si>
  <si>
    <t>4,690.00</t>
  </si>
  <si>
    <t>359,100.00</t>
  </si>
  <si>
    <t>551,000.00</t>
  </si>
  <si>
    <t>3,150,000.00</t>
  </si>
  <si>
    <t>105,241.00</t>
  </si>
  <si>
    <t>454,790.78</t>
  </si>
  <si>
    <t>19,190.00</t>
  </si>
  <si>
    <t>4,387,500.00</t>
  </si>
  <si>
    <t>496,000.00</t>
  </si>
  <si>
    <t>19,000.00</t>
  </si>
  <si>
    <t>1,970,000.00</t>
  </si>
  <si>
    <t>77,500.00</t>
  </si>
  <si>
    <t>14,000.00</t>
  </si>
  <si>
    <t>35,236,612.60</t>
  </si>
  <si>
    <t>499,200.00</t>
  </si>
  <si>
    <t>102,000.00</t>
  </si>
  <si>
    <t>1,765,000.00</t>
  </si>
  <si>
    <t>24,223,000.00</t>
  </si>
  <si>
    <t>215,000.00</t>
  </si>
  <si>
    <t>432,000.00</t>
  </si>
  <si>
    <t>341,640.00</t>
  </si>
  <si>
    <t>734,900.00</t>
  </si>
  <si>
    <t>496,656.86</t>
  </si>
  <si>
    <t>176,000.00</t>
  </si>
  <si>
    <t>87,362.50</t>
  </si>
  <si>
    <t>3,498,448.95</t>
  </si>
  <si>
    <t>199,600.00</t>
  </si>
  <si>
    <t>18,019.00</t>
  </si>
  <si>
    <t>2,226,000.00</t>
  </si>
  <si>
    <t>1,192,000.00</t>
  </si>
  <si>
    <t>43,000.00</t>
  </si>
  <si>
    <t>120,500.00</t>
  </si>
  <si>
    <t>3,561.00</t>
  </si>
  <si>
    <t>279,182.96</t>
  </si>
  <si>
    <t>99,380.00</t>
  </si>
  <si>
    <t>71,800.00</t>
  </si>
  <si>
    <t>243,822.00</t>
  </si>
  <si>
    <t>37,240.00</t>
  </si>
  <si>
    <t>2,995,226.26</t>
  </si>
  <si>
    <t>15,015.00</t>
  </si>
  <si>
    <t>3,640,500.00</t>
  </si>
  <si>
    <t>98,620.00</t>
  </si>
  <si>
    <t>86,457.02</t>
  </si>
  <si>
    <t>460,000.00</t>
  </si>
  <si>
    <t>99,999.75</t>
  </si>
  <si>
    <t>91,000.00</t>
  </si>
  <si>
    <t>101,450.00</t>
  </si>
  <si>
    <t>152,001.00</t>
  </si>
  <si>
    <t>245,051.00</t>
  </si>
  <si>
    <t>10,050.00</t>
  </si>
  <si>
    <t>136,800.00</t>
  </si>
  <si>
    <t>284,859.00</t>
  </si>
  <si>
    <t>1,075.00</t>
  </si>
  <si>
    <t>3,840.00</t>
  </si>
  <si>
    <t>4,999,999.87</t>
  </si>
  <si>
    <t>16,370.00</t>
  </si>
  <si>
    <t>157,350.00</t>
  </si>
  <si>
    <t>489,000.00</t>
  </si>
  <si>
    <t>328,547.79</t>
  </si>
  <si>
    <t>72,900.00</t>
  </si>
  <si>
    <t>6,000,000.00</t>
  </si>
  <si>
    <t>5,400,000.00</t>
  </si>
  <si>
    <t>88,575.00</t>
  </si>
  <si>
    <t>108,134.00</t>
  </si>
  <si>
    <t>1,719.96</t>
  </si>
  <si>
    <t>3,550.00</t>
  </si>
  <si>
    <t>1,200,000.00</t>
  </si>
  <si>
    <t>2,500.00</t>
  </si>
  <si>
    <t>870,000.00</t>
  </si>
  <si>
    <t>428,000.00</t>
  </si>
  <si>
    <t>12,600,000.00</t>
  </si>
  <si>
    <t>53,690.00</t>
  </si>
  <si>
    <t>167,551.00</t>
  </si>
  <si>
    <t>76,000.00</t>
  </si>
  <si>
    <t>81,017.31</t>
  </si>
  <si>
    <t>876,375.00</t>
  </si>
  <si>
    <t>63,680.00</t>
  </si>
  <si>
    <t>2,732,498.01</t>
  </si>
  <si>
    <t>2,161,708.58</t>
  </si>
  <si>
    <t>7,709,156.21</t>
  </si>
  <si>
    <t>91,550.00</t>
  </si>
  <si>
    <t>2,640,000.00</t>
  </si>
  <si>
    <t>544,208.28</t>
  </si>
  <si>
    <t>2,001,000.00</t>
  </si>
  <si>
    <t>1,017,422.63</t>
  </si>
  <si>
    <t>4,788.90</t>
  </si>
  <si>
    <t>53,950.00</t>
  </si>
  <si>
    <t>476,094.22</t>
  </si>
  <si>
    <t>316,500.00</t>
  </si>
  <si>
    <t>708,000.00</t>
  </si>
  <si>
    <t>856,000.00</t>
  </si>
  <si>
    <t>2,010,000.00</t>
  </si>
  <si>
    <t>440,963.60</t>
  </si>
  <si>
    <t>404,595.00</t>
  </si>
  <si>
    <t>73,908.00</t>
  </si>
  <si>
    <t>399,975.00</t>
  </si>
  <si>
    <t>538,203.23</t>
  </si>
  <si>
    <t>2,100,000.00</t>
  </si>
  <si>
    <t>740,000.00</t>
  </si>
  <si>
    <t>5,190,294.44</t>
  </si>
  <si>
    <t>298,499.44</t>
  </si>
  <si>
    <t>994,504.92</t>
  </si>
  <si>
    <t>1,998,360.82</t>
  </si>
  <si>
    <t>999,137.31</t>
  </si>
  <si>
    <t>669,573.35</t>
  </si>
  <si>
    <t>118,383.00</t>
  </si>
  <si>
    <t>449,719.44</t>
  </si>
  <si>
    <t>424,689.00</t>
  </si>
  <si>
    <t>1,650,000.00</t>
  </si>
  <si>
    <t>778,050.00</t>
  </si>
  <si>
    <t>307,738.22</t>
  </si>
  <si>
    <t>35,600.00</t>
  </si>
  <si>
    <t>200,563.25</t>
  </si>
  <si>
    <t>105,800.00</t>
  </si>
  <si>
    <t>281,320.00</t>
  </si>
  <si>
    <t>791,720.00</t>
  </si>
  <si>
    <t>94,465.00</t>
  </si>
  <si>
    <t>1,173,271.80</t>
  </si>
  <si>
    <t>499,968.00</t>
  </si>
  <si>
    <t>131,444.24</t>
  </si>
  <si>
    <t>167,938.00</t>
  </si>
  <si>
    <t>8,400,000.00</t>
  </si>
  <si>
    <t>405,000.00</t>
  </si>
  <si>
    <t>93,333.00</t>
  </si>
  <si>
    <t>228,375.00</t>
  </si>
  <si>
    <t>946,277.80</t>
  </si>
  <si>
    <t>182,236.00</t>
  </si>
  <si>
    <t>1,500.00</t>
  </si>
  <si>
    <t>147,431.00</t>
  </si>
  <si>
    <t>43,350.00</t>
  </si>
  <si>
    <t>5,100,000.00</t>
  </si>
  <si>
    <t>52,932,000.00</t>
  </si>
  <si>
    <t>23,611,800.00</t>
  </si>
  <si>
    <t>444,966.00</t>
  </si>
  <si>
    <t>13,030,800.00</t>
  </si>
  <si>
    <t>148,672.00</t>
  </si>
  <si>
    <t>754,064.08</t>
  </si>
  <si>
    <t>691,390.00</t>
  </si>
  <si>
    <t>2,300,000.00</t>
  </si>
  <si>
    <t>222,235.00</t>
  </si>
  <si>
    <t>785,805.00</t>
  </si>
  <si>
    <t>271,696.00</t>
  </si>
  <si>
    <t>10,380.00</t>
  </si>
  <si>
    <t>113,000.00</t>
  </si>
  <si>
    <t>45,130.60</t>
  </si>
  <si>
    <t>330,135.00</t>
  </si>
  <si>
    <t>294,560.00</t>
  </si>
  <si>
    <t>2,396,988.00</t>
  </si>
  <si>
    <t>73,600.00</t>
  </si>
  <si>
    <t>145,365.00</t>
  </si>
  <si>
    <t>220,328.50</t>
  </si>
  <si>
    <t>134,785.00</t>
  </si>
  <si>
    <t>574,600.00</t>
  </si>
  <si>
    <t>1,460,962.00</t>
  </si>
  <si>
    <t>463,272.40</t>
  </si>
  <si>
    <t>156,016.80</t>
  </si>
  <si>
    <t>1,777,865.00</t>
  </si>
  <si>
    <t>99,500.00</t>
  </si>
  <si>
    <t>1,954,250.00</t>
  </si>
  <si>
    <t>3,341,843.60</t>
  </si>
  <si>
    <t>787,690.00</t>
  </si>
  <si>
    <t>1,178,520.00</t>
  </si>
  <si>
    <t>6,727,118.46</t>
  </si>
  <si>
    <t>1,063,540.00</t>
  </si>
  <si>
    <t>2,700.00</t>
  </si>
  <si>
    <t>1,661,000.00</t>
  </si>
  <si>
    <t>1,550,000.00</t>
  </si>
  <si>
    <t>60,800.00</t>
  </si>
  <si>
    <t>101,639.00</t>
  </si>
  <si>
    <t>1,630,341.00</t>
  </si>
  <si>
    <t>168,918.00</t>
  </si>
  <si>
    <t>32,902.50</t>
  </si>
  <si>
    <t>55,200,000.00</t>
  </si>
  <si>
    <t>10,800,000.00</t>
  </si>
  <si>
    <t>48,000,000.00</t>
  </si>
  <si>
    <t>835,368.00</t>
  </si>
  <si>
    <t>41,910,600.00</t>
  </si>
  <si>
    <t>11,122,800.00</t>
  </si>
  <si>
    <t>28,620,000.00</t>
  </si>
  <si>
    <t>4,920,000.00</t>
  </si>
  <si>
    <t>235,000.00</t>
  </si>
  <si>
    <t>634,210.00</t>
  </si>
  <si>
    <t>42,204.00</t>
  </si>
  <si>
    <t>3,529,834.00</t>
  </si>
  <si>
    <t>4,008,000.00</t>
  </si>
  <si>
    <t>83,940.00</t>
  </si>
  <si>
    <t>260,640.00</t>
  </si>
  <si>
    <t>820,000.00</t>
  </si>
  <si>
    <t>686,666.67</t>
  </si>
  <si>
    <t>2,360,820.00</t>
  </si>
  <si>
    <t>560,850.00</t>
  </si>
  <si>
    <t>108,730.00</t>
  </si>
  <si>
    <t>51,560.00</t>
  </si>
  <si>
    <t>15,117,954.98</t>
  </si>
  <si>
    <t>180,500.00</t>
  </si>
  <si>
    <t>239,400.00</t>
  </si>
  <si>
    <t>156,395.00</t>
  </si>
  <si>
    <t>142,000.00</t>
  </si>
  <si>
    <t>31,380,000.00</t>
  </si>
  <si>
    <t>2,247,500.00</t>
  </si>
  <si>
    <t>181,668.00</t>
  </si>
  <si>
    <t>105,120.00</t>
  </si>
  <si>
    <t>182,000.00</t>
  </si>
  <si>
    <t>59,000.00</t>
  </si>
  <si>
    <t>65,128.00</t>
  </si>
  <si>
    <t>4,086,774.09</t>
  </si>
  <si>
    <t>212,680.00</t>
  </si>
  <si>
    <t>1,190,000.00</t>
  </si>
  <si>
    <t>68,500.00</t>
  </si>
  <si>
    <t>7,592,500.00</t>
  </si>
  <si>
    <t>217,019.00</t>
  </si>
  <si>
    <t>161,535.60</t>
  </si>
  <si>
    <t>199,084.63</t>
  </si>
  <si>
    <t>17,740,411.93</t>
  </si>
  <si>
    <t>11,940,000.00</t>
  </si>
  <si>
    <t>2,969,989.92</t>
  </si>
  <si>
    <t>15,207,731.10</t>
  </si>
  <si>
    <t>104,000.00</t>
  </si>
  <si>
    <t>110,650.00</t>
  </si>
  <si>
    <t>63,700.00</t>
  </si>
  <si>
    <t>239,118.72</t>
  </si>
  <si>
    <t>510,000.00</t>
  </si>
  <si>
    <t>136,045.00</t>
  </si>
  <si>
    <t>1,986,115.77</t>
  </si>
  <si>
    <t>104,850.00</t>
  </si>
  <si>
    <t>127,969.63</t>
  </si>
  <si>
    <t>9,587,675.00</t>
  </si>
  <si>
    <t>2,042,200.00</t>
  </si>
  <si>
    <t>2,969,682.10</t>
  </si>
  <si>
    <t>157,200.00</t>
  </si>
  <si>
    <t>472,000.00</t>
  </si>
  <si>
    <t>908,250.00</t>
  </si>
  <si>
    <t>205,905.00</t>
  </si>
  <si>
    <t>780,099.62</t>
  </si>
  <si>
    <t>999,725.00</t>
  </si>
  <si>
    <t>1,223,759.25</t>
  </si>
  <si>
    <t>242,101.61</t>
  </si>
  <si>
    <t>53,800,000.00</t>
  </si>
  <si>
    <t>81,797.42</t>
  </si>
  <si>
    <t>200,285.00</t>
  </si>
  <si>
    <t>860,125.11</t>
  </si>
  <si>
    <t>43,960.00</t>
  </si>
  <si>
    <t>119,930.00</t>
  </si>
  <si>
    <t>1,599,991.31</t>
  </si>
  <si>
    <t>126,255.00</t>
  </si>
  <si>
    <t>376,275.00</t>
  </si>
  <si>
    <t>12,935,000.00</t>
  </si>
  <si>
    <t>126,420.00</t>
  </si>
  <si>
    <t>51,500.00</t>
  </si>
  <si>
    <t>648,875.00</t>
  </si>
  <si>
    <t>3,959,559.81</t>
  </si>
  <si>
    <t>4,300.00</t>
  </si>
  <si>
    <t>135,225.60</t>
  </si>
  <si>
    <t>99,600.00</t>
  </si>
  <si>
    <t>2,065.00</t>
  </si>
  <si>
    <t>10,550.00</t>
  </si>
  <si>
    <t>520,860.00</t>
  </si>
  <si>
    <t>3,520.00</t>
  </si>
  <si>
    <t>75,618.00</t>
  </si>
  <si>
    <t>125,930.00</t>
  </si>
  <si>
    <t>1,810,000.00</t>
  </si>
  <si>
    <t>43,650.00</t>
  </si>
  <si>
    <t>313,830.50</t>
  </si>
  <si>
    <t>51,906.00</t>
  </si>
  <si>
    <t>291,089.00</t>
  </si>
  <si>
    <t>110,160.00</t>
  </si>
  <si>
    <t>213,055.00</t>
  </si>
  <si>
    <t>63,360.00</t>
  </si>
  <si>
    <t>2,054,000.00</t>
  </si>
  <si>
    <t>610,896.00</t>
  </si>
  <si>
    <t>928,594.92</t>
  </si>
  <si>
    <t>88,649.00</t>
  </si>
  <si>
    <t>86,400.00</t>
  </si>
  <si>
    <t>201,000.00</t>
  </si>
  <si>
    <t>981,200.00</t>
  </si>
  <si>
    <t>99,979.20</t>
  </si>
  <si>
    <t>107,720.00</t>
  </si>
  <si>
    <t>401,353.41</t>
  </si>
  <si>
    <t>83,600.00</t>
  </si>
  <si>
    <t>101,818.00</t>
  </si>
  <si>
    <t>81,350.00</t>
  </si>
  <si>
    <t>1,482,270.00</t>
  </si>
  <si>
    <t>8,141,000.00</t>
  </si>
  <si>
    <t>178,000.00</t>
  </si>
  <si>
    <t>135,150.00</t>
  </si>
  <si>
    <t>110,878.50</t>
  </si>
  <si>
    <t>460,900.00</t>
  </si>
  <si>
    <t>19,998,728.19</t>
  </si>
  <si>
    <t>291,600.00</t>
  </si>
  <si>
    <t>85,599.50</t>
  </si>
  <si>
    <t>114,392.00</t>
  </si>
  <si>
    <t>156,800.00</t>
  </si>
  <si>
    <t>24,000.00</t>
  </si>
  <si>
    <t>9,999,200.55</t>
  </si>
  <si>
    <t>166,650.00</t>
  </si>
  <si>
    <t>802,750.00</t>
  </si>
  <si>
    <t>15,650.00</t>
  </si>
  <si>
    <t>95,490.00</t>
  </si>
  <si>
    <t>19,200,292.68</t>
  </si>
  <si>
    <t>80,620.00</t>
  </si>
  <si>
    <t>536,000.00</t>
  </si>
  <si>
    <t>9,969,583.12</t>
  </si>
  <si>
    <t>696,640.00</t>
  </si>
  <si>
    <t>101,390.00</t>
  </si>
  <si>
    <t>40,830.00</t>
  </si>
  <si>
    <t>142,850.00</t>
  </si>
  <si>
    <t>102,279.60</t>
  </si>
  <si>
    <t>198,336.76</t>
  </si>
  <si>
    <t>1,033,129.20</t>
  </si>
  <si>
    <t>469,900.00</t>
  </si>
  <si>
    <t>514,400.00</t>
  </si>
  <si>
    <t>147,000.00</t>
  </si>
  <si>
    <t>736,461.00</t>
  </si>
  <si>
    <t>80,175.00</t>
  </si>
  <si>
    <t>5,776,634.39</t>
  </si>
  <si>
    <t>238,500.00</t>
  </si>
  <si>
    <t>5,999,929.43</t>
  </si>
  <si>
    <t>148,703.00</t>
  </si>
  <si>
    <t>151,183.90</t>
  </si>
  <si>
    <t>299,682.76</t>
  </si>
  <si>
    <t>348,800.00</t>
  </si>
  <si>
    <t>7,018,489.20</t>
  </si>
  <si>
    <t>428,572.00</t>
  </si>
  <si>
    <t>458,627.80</t>
  </si>
  <si>
    <t>62,537.00</t>
  </si>
  <si>
    <t>4,087,833.75</t>
  </si>
  <si>
    <t>119,992.00</t>
  </si>
  <si>
    <t>64,700.00</t>
  </si>
  <si>
    <t>43,500.00</t>
  </si>
  <si>
    <t>76,400.00</t>
  </si>
  <si>
    <t>4,999,751.78</t>
  </si>
  <si>
    <t>403,900.00</t>
  </si>
  <si>
    <t>496,820.00</t>
  </si>
  <si>
    <t>96,600.00</t>
  </si>
  <si>
    <t>50,740.00</t>
  </si>
  <si>
    <t>174,825.60</t>
  </si>
  <si>
    <t>10,400.00</t>
  </si>
  <si>
    <t>15,850.00</t>
  </si>
  <si>
    <t>69,500.00</t>
  </si>
  <si>
    <t>53,430.00</t>
  </si>
  <si>
    <t>117,070.50</t>
  </si>
  <si>
    <t>101,250.00</t>
  </si>
  <si>
    <t>81,800.00</t>
  </si>
  <si>
    <t>62,485.00</t>
  </si>
  <si>
    <t>152,850.00</t>
  </si>
  <si>
    <t>477,000.00</t>
  </si>
  <si>
    <t>33,618.50</t>
  </si>
  <si>
    <t>23,103.00</t>
  </si>
  <si>
    <t>1,487,390.00</t>
  </si>
  <si>
    <t>1,999,765.99</t>
  </si>
  <si>
    <t>965,648.00</t>
  </si>
  <si>
    <t>77,763.00</t>
  </si>
  <si>
    <t>828,613.34</t>
  </si>
  <si>
    <t>34,800.00</t>
  </si>
  <si>
    <t>405,801.00</t>
  </si>
  <si>
    <t>420,000.00</t>
  </si>
  <si>
    <t>4,955,494.22</t>
  </si>
  <si>
    <t>28,050.00</t>
  </si>
  <si>
    <t>153,750.00</t>
  </si>
  <si>
    <t>114,745.00</t>
  </si>
  <si>
    <t>131,788.00</t>
  </si>
  <si>
    <t>138,740.00</t>
  </si>
  <si>
    <t>549,000.00</t>
  </si>
  <si>
    <t>73,628.52</t>
  </si>
  <si>
    <t>499,987.68</t>
  </si>
  <si>
    <t>2,499,127.13</t>
  </si>
  <si>
    <t>3,525,816.55</t>
  </si>
  <si>
    <t>998,765.28</t>
  </si>
  <si>
    <t>330,296.60</t>
  </si>
  <si>
    <t>785,680.00</t>
  </si>
  <si>
    <t>109,256.00</t>
  </si>
  <si>
    <t>124,376.00</t>
  </si>
  <si>
    <t>2,966,825.12</t>
  </si>
  <si>
    <t>353,275.00</t>
  </si>
  <si>
    <t>878,101.00</t>
  </si>
  <si>
    <t>499,921.90</t>
  </si>
  <si>
    <t>290,000.00</t>
  </si>
  <si>
    <t>3,899,090.61</t>
  </si>
  <si>
    <t>1,731,000.00</t>
  </si>
  <si>
    <t>26,420.00</t>
  </si>
  <si>
    <t>229,448.50</t>
  </si>
  <si>
    <t>245,095.38</t>
  </si>
  <si>
    <t>25,600.00</t>
  </si>
  <si>
    <t>122,860.00</t>
  </si>
  <si>
    <t>729,444.73</t>
  </si>
  <si>
    <t>5,500,000.00</t>
  </si>
  <si>
    <t>199,850.00</t>
  </si>
  <si>
    <t>685,255.00</t>
  </si>
  <si>
    <t>135,735.00</t>
  </si>
  <si>
    <t>302,481.80</t>
  </si>
  <si>
    <t>123,500.00</t>
  </si>
  <si>
    <t>202,000.00</t>
  </si>
  <si>
    <t>88,580.00</t>
  </si>
  <si>
    <t>39,485.00</t>
  </si>
  <si>
    <t>899,568.20</t>
  </si>
  <si>
    <t>1,672,325.00</t>
  </si>
  <si>
    <t>199,988.00</t>
  </si>
  <si>
    <t>52,100.00</t>
  </si>
  <si>
    <t>117,753.50</t>
  </si>
  <si>
    <t>23,971.00</t>
  </si>
  <si>
    <t>960,080.00</t>
  </si>
  <si>
    <t>114,357.60</t>
  </si>
  <si>
    <t>279,919.65</t>
  </si>
  <si>
    <t>43,200.00</t>
  </si>
  <si>
    <t>91,335.00</t>
  </si>
  <si>
    <t>79,050.00</t>
  </si>
  <si>
    <t>74,520.00</t>
  </si>
  <si>
    <t>194,955.00</t>
  </si>
  <si>
    <t>25,500.00</t>
  </si>
  <si>
    <t>230,400.00</t>
  </si>
  <si>
    <t>18,595.40</t>
  </si>
  <si>
    <t>70,995.00</t>
  </si>
  <si>
    <t>199,500.00</t>
  </si>
  <si>
    <t>123,853.30</t>
  </si>
  <si>
    <t>9,999,195.07</t>
  </si>
  <si>
    <t>372,030.00</t>
  </si>
  <si>
    <t>55,750.00</t>
  </si>
  <si>
    <t>1,140,000.00</t>
  </si>
  <si>
    <t>144,450.00</t>
  </si>
  <si>
    <t>315,254.00</t>
  </si>
  <si>
    <t>84,415.00</t>
  </si>
  <si>
    <t>597,423.75</t>
  </si>
  <si>
    <t>109,250.00</t>
  </si>
  <si>
    <t>219,861.71</t>
  </si>
  <si>
    <t>5,600.00</t>
  </si>
  <si>
    <t>257,400.00</t>
  </si>
  <si>
    <t>68,780.00</t>
  </si>
  <si>
    <t>248,995.00</t>
  </si>
  <si>
    <t>133,925.00</t>
  </si>
  <si>
    <t>173,566.00</t>
  </si>
  <si>
    <t>640,000.00</t>
  </si>
  <si>
    <t>12,113,071.19</t>
  </si>
  <si>
    <t>83,968.00</t>
  </si>
  <si>
    <t>79,975.00</t>
  </si>
  <si>
    <t>137,100.00</t>
  </si>
  <si>
    <t>262,622.25</t>
  </si>
  <si>
    <t>96,462.50</t>
  </si>
  <si>
    <t>6,140,000.00</t>
  </si>
  <si>
    <t>390,000.00</t>
  </si>
  <si>
    <t>83,473.00</t>
  </si>
  <si>
    <t>549,500.00</t>
  </si>
  <si>
    <t>2,200,000.00</t>
  </si>
  <si>
    <t>39,307.68</t>
  </si>
  <si>
    <t>70,800.00</t>
  </si>
  <si>
    <t>343,968.00</t>
  </si>
  <si>
    <t>155,800.00</t>
  </si>
  <si>
    <t>1,168,554.00</t>
  </si>
  <si>
    <t>152,415.55</t>
  </si>
  <si>
    <t>518,803.34</t>
  </si>
  <si>
    <t>231,300.00</t>
  </si>
  <si>
    <t>99,970.00</t>
  </si>
  <si>
    <t>441,565.00</t>
  </si>
  <si>
    <t>1,486,994.88</t>
  </si>
  <si>
    <t>18,850.00</t>
  </si>
  <si>
    <t>798,953.00</t>
  </si>
  <si>
    <t>374,625.00</t>
  </si>
  <si>
    <t>1,418,200.00</t>
  </si>
  <si>
    <t>29,619.00</t>
  </si>
  <si>
    <t>69,185.00</t>
  </si>
  <si>
    <t>257,186.00</t>
  </si>
  <si>
    <t>161,013.30</t>
  </si>
  <si>
    <t>1,320,000.00</t>
  </si>
  <si>
    <t>372,590.00</t>
  </si>
  <si>
    <t>112,860.00</t>
  </si>
  <si>
    <t>17,087,200.00</t>
  </si>
  <si>
    <t>305,235.00</t>
  </si>
  <si>
    <t>50,720.00</t>
  </si>
  <si>
    <t>26,464.00</t>
  </si>
  <si>
    <t>122,120.00</t>
  </si>
  <si>
    <t>15,725.00</t>
  </si>
  <si>
    <t>112,219.00</t>
  </si>
  <si>
    <t>52,512.18</t>
  </si>
  <si>
    <t>127,314.00</t>
  </si>
  <si>
    <t>277,620.00</t>
  </si>
  <si>
    <t>38,000.00</t>
  </si>
  <si>
    <t>233,815.00</t>
  </si>
  <si>
    <t>188,100.00</t>
  </si>
  <si>
    <t>22,519.00</t>
  </si>
  <si>
    <t>186,835.60</t>
  </si>
  <si>
    <t>74,799.48</t>
  </si>
  <si>
    <t>1,676,146.91</t>
  </si>
  <si>
    <t>97,550.00</t>
  </si>
  <si>
    <t>645,000.68</t>
  </si>
  <si>
    <t>197,850.00</t>
  </si>
  <si>
    <t>113,050.00</t>
  </si>
  <si>
    <t>315,360.00</t>
  </si>
  <si>
    <t>4,574,039.28</t>
  </si>
  <si>
    <t>192,445.00</t>
  </si>
  <si>
    <t>784,720.00</t>
  </si>
  <si>
    <t>470,000.00</t>
  </si>
  <si>
    <t>1,240.00</t>
  </si>
  <si>
    <t>373,555.58</t>
  </si>
  <si>
    <t>50,640.00</t>
  </si>
  <si>
    <t>662,636.70</t>
  </si>
  <si>
    <t>496,372.50</t>
  </si>
  <si>
    <t>469,130.50</t>
  </si>
  <si>
    <t>185,600.00</t>
  </si>
  <si>
    <t>211,330.00</t>
  </si>
  <si>
    <t>64,478.00</t>
  </si>
  <si>
    <t>174,379.00</t>
  </si>
  <si>
    <t>54,500.00</t>
  </si>
  <si>
    <t>1,788,078.00</t>
  </si>
  <si>
    <t>61,221.00</t>
  </si>
  <si>
    <t>149,300.00</t>
  </si>
  <si>
    <t>160,320.00</t>
  </si>
  <si>
    <t>140,171.40</t>
  </si>
  <si>
    <t>257,502.00</t>
  </si>
  <si>
    <t>882,650.00</t>
  </si>
  <si>
    <t>188,700.00</t>
  </si>
  <si>
    <t>44,100,000.00</t>
  </si>
  <si>
    <t>94,620.00</t>
  </si>
  <si>
    <t>475,000.00</t>
  </si>
  <si>
    <t>11,998,000.00</t>
  </si>
  <si>
    <t>12,724,446.51</t>
  </si>
  <si>
    <t>135,780.00</t>
  </si>
  <si>
    <t>62,430.50</t>
  </si>
  <si>
    <t>56,170.00</t>
  </si>
  <si>
    <t>254,084.86</t>
  </si>
  <si>
    <t>103,603.57</t>
  </si>
  <si>
    <t>573,740.00</t>
  </si>
  <si>
    <t>158,565.00</t>
  </si>
  <si>
    <t>357,600.00</t>
  </si>
  <si>
    <t>224,468.00</t>
  </si>
  <si>
    <t>50,790.00</t>
  </si>
  <si>
    <t>24,300.00</t>
  </si>
  <si>
    <t>103,640.00</t>
  </si>
  <si>
    <t>3,880.00</t>
  </si>
  <si>
    <t>50,860.00</t>
  </si>
  <si>
    <t>18,350.00</t>
  </si>
  <si>
    <t>695,769.00</t>
  </si>
  <si>
    <t>24,621,428.19</t>
  </si>
  <si>
    <t>5,282,000.00</t>
  </si>
  <si>
    <t>199,500.02</t>
  </si>
  <si>
    <t>7,665,000.00</t>
  </si>
  <si>
    <t>172,125.00</t>
  </si>
  <si>
    <t>367,014.58</t>
  </si>
  <si>
    <t>126,170.00</t>
  </si>
  <si>
    <t>54,900.00</t>
  </si>
  <si>
    <t>53,250.00</t>
  </si>
  <si>
    <t>70,250.00</t>
  </si>
  <si>
    <t>116,256.00</t>
  </si>
  <si>
    <t>10,969.88</t>
  </si>
  <si>
    <t>133,700.00</t>
  </si>
  <si>
    <t>499,985.00</t>
  </si>
  <si>
    <t>247,500.00</t>
  </si>
  <si>
    <t>93,900.00</t>
  </si>
  <si>
    <t>1,693,025.00</t>
  </si>
  <si>
    <t>99,998.00</t>
  </si>
  <si>
    <t>723,650.00</t>
  </si>
  <si>
    <t>96,800.00</t>
  </si>
  <si>
    <t>1,199,012.52</t>
  </si>
  <si>
    <t>4,899,817.25</t>
  </si>
  <si>
    <t>298,907.91</t>
  </si>
  <si>
    <t>890,579.34</t>
  </si>
  <si>
    <t>60,375.00</t>
  </si>
  <si>
    <t>367,700.00</t>
  </si>
  <si>
    <t>71,500.00</t>
  </si>
  <si>
    <t>1,450.00</t>
  </si>
  <si>
    <t>194,768.00</t>
  </si>
  <si>
    <t>936,000.00</t>
  </si>
  <si>
    <t>187,400.00</t>
  </si>
  <si>
    <t>125,200.00</t>
  </si>
  <si>
    <t>112,522.00</t>
  </si>
  <si>
    <t>19,700.00</t>
  </si>
  <si>
    <t>7,200,000.00</t>
  </si>
  <si>
    <t>3,700,000.00</t>
  </si>
  <si>
    <t>52,367.00</t>
  </si>
  <si>
    <t>741,846.47</t>
  </si>
  <si>
    <t>446,163.00</t>
  </si>
  <si>
    <t>365,900.00</t>
  </si>
  <si>
    <t>27,580.00</t>
  </si>
  <si>
    <t>112,030.00</t>
  </si>
  <si>
    <t>7,200.00</t>
  </si>
  <si>
    <t>74,766.00</t>
  </si>
  <si>
    <t>70,050.00</t>
  </si>
  <si>
    <t>142,800.00</t>
  </si>
  <si>
    <t>87,250.00</t>
  </si>
  <si>
    <t>8,400.00</t>
  </si>
  <si>
    <t>350,805.00</t>
  </si>
  <si>
    <t>160,346.00</t>
  </si>
  <si>
    <t>589,000.00</t>
  </si>
  <si>
    <t>113,700.00</t>
  </si>
  <si>
    <t>226,000.00</t>
  </si>
  <si>
    <t>30,900.00</t>
  </si>
  <si>
    <t>96,450.00</t>
  </si>
  <si>
    <t>74,348.10</t>
  </si>
  <si>
    <t>1,069,543.00</t>
  </si>
  <si>
    <t>75,070.00</t>
  </si>
  <si>
    <t>109,900.00</t>
  </si>
  <si>
    <t>74,750.00</t>
  </si>
  <si>
    <t>1,434,793.07</t>
  </si>
  <si>
    <t>494,412.00</t>
  </si>
  <si>
    <t>66,670.00</t>
  </si>
  <si>
    <t>74,709.00</t>
  </si>
  <si>
    <t>194,325.00</t>
  </si>
  <si>
    <t>250,310.00</t>
  </si>
  <si>
    <t>818,836.67</t>
  </si>
  <si>
    <t>63,770.00</t>
  </si>
  <si>
    <t>116,723.00</t>
  </si>
  <si>
    <t>4,899,785.46</t>
  </si>
  <si>
    <t>120,373.38</t>
  </si>
  <si>
    <t>74,935.00</t>
  </si>
  <si>
    <t>136,500.00</t>
  </si>
  <si>
    <t>44,596.58</t>
  </si>
  <si>
    <t>69,582.33</t>
  </si>
  <si>
    <t>73,823.00</t>
  </si>
  <si>
    <t>6,120.00</t>
  </si>
  <si>
    <t>426,000.00</t>
  </si>
  <si>
    <t>175,265.00</t>
  </si>
  <si>
    <t>144,329.75</t>
  </si>
  <si>
    <t>185,254.00</t>
  </si>
  <si>
    <t>111,785.00</t>
  </si>
  <si>
    <t>114,150.00</t>
  </si>
  <si>
    <t>252,000.00</t>
  </si>
  <si>
    <t>50,355.00</t>
  </si>
  <si>
    <t>348,198.50</t>
  </si>
  <si>
    <t>559,629.00</t>
  </si>
  <si>
    <t>85,120.00</t>
  </si>
  <si>
    <t>784,190.00</t>
  </si>
  <si>
    <t>31,000.00</t>
  </si>
  <si>
    <t>3,506,084.15</t>
  </si>
  <si>
    <t>327,929.84</t>
  </si>
  <si>
    <t>5,630.00</t>
  </si>
  <si>
    <t>39,200,000.00</t>
  </si>
  <si>
    <t>28,100.00</t>
  </si>
  <si>
    <t>999,957.79</t>
  </si>
  <si>
    <t>51,125.00</t>
  </si>
  <si>
    <t>2,326,000.00</t>
  </si>
  <si>
    <t>999,792.67</t>
  </si>
  <si>
    <t>173,782.00</t>
  </si>
  <si>
    <t>2,638,197.50</t>
  </si>
  <si>
    <t>1,299,602.65</t>
  </si>
  <si>
    <t>7,450,500.00</t>
  </si>
  <si>
    <t>6,590.00</t>
  </si>
  <si>
    <t>211,273.00</t>
  </si>
  <si>
    <t>82,816.69</t>
  </si>
  <si>
    <t>81,200.00</t>
  </si>
  <si>
    <t>195,500.00</t>
  </si>
  <si>
    <t>136,059.00</t>
  </si>
  <si>
    <t>59,500.00</t>
  </si>
  <si>
    <t>139,750.00</t>
  </si>
  <si>
    <t>10,708,150.00</t>
  </si>
  <si>
    <t>55,323.00</t>
  </si>
  <si>
    <t>86,521.00</t>
  </si>
  <si>
    <t>198,230.00</t>
  </si>
  <si>
    <t>132,425.00</t>
  </si>
  <si>
    <t>99,000,000.00</t>
  </si>
  <si>
    <t>966,200.00</t>
  </si>
  <si>
    <t>178,164.00</t>
  </si>
  <si>
    <t>212,291.00</t>
  </si>
  <si>
    <t>53,075,000.00</t>
  </si>
  <si>
    <t>203,000.00</t>
  </si>
  <si>
    <t>184,000.00</t>
  </si>
  <si>
    <t>97,765.00</t>
  </si>
  <si>
    <t>15,700.00</t>
  </si>
  <si>
    <t>251,129.50</t>
  </si>
  <si>
    <t>699,110.08</t>
  </si>
  <si>
    <t>793,822.50</t>
  </si>
  <si>
    <t>65,995.00</t>
  </si>
  <si>
    <t>195,771.00</t>
  </si>
  <si>
    <t>20,150.00</t>
  </si>
  <si>
    <t>33,700.00</t>
  </si>
  <si>
    <t>153,200.00</t>
  </si>
  <si>
    <t>52,480.00</t>
  </si>
  <si>
    <t>22,186,765.68</t>
  </si>
  <si>
    <t>1,015,595.00</t>
  </si>
  <si>
    <t>5,940,000.00</t>
  </si>
  <si>
    <t>8,898,838.52</t>
  </si>
  <si>
    <t>57,255.00</t>
  </si>
  <si>
    <t>297,725.00</t>
  </si>
  <si>
    <t>346,493.73</t>
  </si>
  <si>
    <t>232,291.00</t>
  </si>
  <si>
    <t>28,150.00</t>
  </si>
  <si>
    <t>50,240.00</t>
  </si>
  <si>
    <t>40,720.00</t>
  </si>
  <si>
    <t>320,000.00</t>
  </si>
  <si>
    <t>4,600.00</t>
  </si>
  <si>
    <t>372,680.00</t>
  </si>
  <si>
    <t>814,725.00</t>
  </si>
  <si>
    <t>69,600.00</t>
  </si>
  <si>
    <t>66,292.00</t>
  </si>
  <si>
    <t>41,345.00</t>
  </si>
  <si>
    <t>14,152.20</t>
  </si>
  <si>
    <t>1,599,999.99</t>
  </si>
  <si>
    <t>20,345.00</t>
  </si>
  <si>
    <t>412,337.27</t>
  </si>
  <si>
    <t>1,999,999.81</t>
  </si>
  <si>
    <t>69,727.50</t>
  </si>
  <si>
    <t>5,134,254.08</t>
  </si>
  <si>
    <t>866,400.00</t>
  </si>
  <si>
    <t>315,000.00</t>
  </si>
  <si>
    <t>2,991,219.84</t>
  </si>
  <si>
    <t>964,706.53</t>
  </si>
  <si>
    <t>32,000.00</t>
  </si>
  <si>
    <t>5,045,740.00</t>
  </si>
  <si>
    <t>57,700.00</t>
  </si>
  <si>
    <t>7,840,000.00</t>
  </si>
  <si>
    <t>446,900.00</t>
  </si>
  <si>
    <t>18,000,000.00</t>
  </si>
  <si>
    <t>177,300.00</t>
  </si>
  <si>
    <t>136,240.00</t>
  </si>
  <si>
    <t>123,250.00</t>
  </si>
  <si>
    <t>1,999,826.70</t>
  </si>
  <si>
    <t>124,000.00</t>
  </si>
  <si>
    <t>351,999.38</t>
  </si>
  <si>
    <t>499,981.23</t>
  </si>
  <si>
    <t>855,000.00</t>
  </si>
  <si>
    <t>128,978.20</t>
  </si>
  <si>
    <t>999,834.78</t>
  </si>
  <si>
    <t>11,815.50</t>
  </si>
  <si>
    <t>312,480.00</t>
  </si>
  <si>
    <t>999,960.44</t>
  </si>
  <si>
    <t>188,704.00</t>
  </si>
  <si>
    <t>243,580.00</t>
  </si>
  <si>
    <t>256,000.00</t>
  </si>
  <si>
    <t>496,440.00</t>
  </si>
  <si>
    <t>32,300.00</t>
  </si>
  <si>
    <t>106,200.00</t>
  </si>
  <si>
    <t>330,050.00</t>
  </si>
  <si>
    <t>33,384,575.00</t>
  </si>
  <si>
    <t>76,200.00</t>
  </si>
  <si>
    <t>130,500.00</t>
  </si>
  <si>
    <t>808,380.00</t>
  </si>
  <si>
    <t>155,776.00</t>
  </si>
  <si>
    <t>827,140.61</t>
  </si>
  <si>
    <t>499,959.79</t>
  </si>
  <si>
    <t>144,842.00</t>
  </si>
  <si>
    <t>3,098,838.91</t>
  </si>
  <si>
    <t>75,950.00</t>
  </si>
  <si>
    <t>1,999,705.69</t>
  </si>
  <si>
    <t>62,750.00</t>
  </si>
  <si>
    <t>290,975.54</t>
  </si>
  <si>
    <t>2,999,060.13</t>
  </si>
  <si>
    <t>790,340.00</t>
  </si>
  <si>
    <t>384,191.50</t>
  </si>
  <si>
    <t>16,260.00</t>
  </si>
  <si>
    <t>393,140.50</t>
  </si>
  <si>
    <t>69,576.00</t>
  </si>
  <si>
    <t>795,250.00</t>
  </si>
  <si>
    <t>1,999,983.98</t>
  </si>
  <si>
    <t>163,500.00</t>
  </si>
  <si>
    <t>5,884.40</t>
  </si>
  <si>
    <t>238,100.00</t>
  </si>
  <si>
    <t>316,286.05</t>
  </si>
  <si>
    <t>52,954.00</t>
  </si>
  <si>
    <t>344,702.10</t>
  </si>
  <si>
    <t>999,175.61</t>
  </si>
  <si>
    <t>224,580.00</t>
  </si>
  <si>
    <t>657,950.00</t>
  </si>
  <si>
    <t>148,500.00</t>
  </si>
  <si>
    <t>3,960,000.00</t>
  </si>
  <si>
    <t>199,200.00</t>
  </si>
  <si>
    <t>345,000.00</t>
  </si>
  <si>
    <t>999,530.86</t>
  </si>
  <si>
    <t>17,381,401.01</t>
  </si>
  <si>
    <t>38,904.56</t>
  </si>
  <si>
    <t>149,970.00</t>
  </si>
  <si>
    <t>699,000.00</t>
  </si>
  <si>
    <t>643,000.00</t>
  </si>
  <si>
    <t>12,882.00</t>
  </si>
  <si>
    <t>106,300.00</t>
  </si>
  <si>
    <t>529,500.00</t>
  </si>
  <si>
    <t>28,970.00</t>
  </si>
  <si>
    <t>49,176.62</t>
  </si>
  <si>
    <t>3,184,316.98</t>
  </si>
  <si>
    <t>215,500.00</t>
  </si>
  <si>
    <t>2,065,900.00</t>
  </si>
  <si>
    <t>12,500.00</t>
  </si>
  <si>
    <t>3,687,618.37</t>
  </si>
  <si>
    <t>99,690.00</t>
  </si>
  <si>
    <t>93,376.00</t>
  </si>
  <si>
    <t>107,850.00</t>
  </si>
  <si>
    <t>109,555.00</t>
  </si>
  <si>
    <t>464,300.00</t>
  </si>
  <si>
    <t>317,989.54</t>
  </si>
  <si>
    <t>57,300.00</t>
  </si>
  <si>
    <t>21,045.00</t>
  </si>
  <si>
    <t>55,077.30</t>
  </si>
  <si>
    <t>2,531,475.87</t>
  </si>
  <si>
    <t>63,600.00</t>
  </si>
  <si>
    <t>18,365.00</t>
  </si>
  <si>
    <t>784,000.00</t>
  </si>
  <si>
    <t>215,099.00</t>
  </si>
  <si>
    <t>285,667.20</t>
  </si>
  <si>
    <t>518,619.00</t>
  </si>
  <si>
    <t>151,000.00</t>
  </si>
  <si>
    <t>636,972.41</t>
  </si>
  <si>
    <t>1,255,464.00</t>
  </si>
  <si>
    <t>333,295.00</t>
  </si>
  <si>
    <t>1,005,753.60</t>
  </si>
  <si>
    <t>282,316.00</t>
  </si>
  <si>
    <t>102,400.00</t>
  </si>
  <si>
    <t>12,337,350.86</t>
  </si>
  <si>
    <t>751,500.00</t>
  </si>
  <si>
    <t>14,802,345.38</t>
  </si>
  <si>
    <t>9,000,000.00</t>
  </si>
  <si>
    <t>193,800.00</t>
  </si>
  <si>
    <t>197,100.00</t>
  </si>
  <si>
    <t>2,999,985.51</t>
  </si>
  <si>
    <t>2,024,405.67</t>
  </si>
  <si>
    <t>2,510,675.73</t>
  </si>
  <si>
    <t>87,120.00</t>
  </si>
  <si>
    <t>40,526.00</t>
  </si>
  <si>
    <t>99,937.00</t>
  </si>
  <si>
    <t>365,688.00</t>
  </si>
  <si>
    <t>74,090.00</t>
  </si>
  <si>
    <t>174,180.00</t>
  </si>
  <si>
    <t>949,932.79</t>
  </si>
  <si>
    <t>95,413.00</t>
  </si>
  <si>
    <t>282,269.40</t>
  </si>
  <si>
    <t>86,811.00</t>
  </si>
  <si>
    <t>784,663.65</t>
  </si>
  <si>
    <t>1,852,000.00</t>
  </si>
  <si>
    <t>126,750.00</t>
  </si>
  <si>
    <t>145,109.80</t>
  </si>
  <si>
    <t>4,993.23</t>
  </si>
  <si>
    <t>182,550.00</t>
  </si>
  <si>
    <t>22,500.00</t>
  </si>
  <si>
    <t>3,754,000.00</t>
  </si>
  <si>
    <t>7,738.00</t>
  </si>
  <si>
    <t>101,600.00</t>
  </si>
  <si>
    <t>891,565.00</t>
  </si>
  <si>
    <t>37,700.00</t>
  </si>
  <si>
    <t>997,050.00</t>
  </si>
  <si>
    <t>179,500.00</t>
  </si>
  <si>
    <t>185,200.00</t>
  </si>
  <si>
    <t>41,970,000.00</t>
  </si>
  <si>
    <t>54,450.00</t>
  </si>
  <si>
    <t>1,668,010.00</t>
  </si>
  <si>
    <t>53,443.63</t>
  </si>
  <si>
    <t>397,766.35</t>
  </si>
  <si>
    <t>42,000.00</t>
  </si>
  <si>
    <t>108,875.00</t>
  </si>
  <si>
    <t>1,152,925.00</t>
  </si>
  <si>
    <t>99,475.00</t>
  </si>
  <si>
    <t>473,136.30</t>
  </si>
  <si>
    <t>14,998.00</t>
  </si>
  <si>
    <t>598,220.00</t>
  </si>
  <si>
    <t>595,550.00</t>
  </si>
  <si>
    <t>2,403,455.26</t>
  </si>
  <si>
    <t>78,500.00</t>
  </si>
  <si>
    <t>126,400.00</t>
  </si>
  <si>
    <t>21,671.00</t>
  </si>
  <si>
    <t>338,000.00</t>
  </si>
  <si>
    <t>2,374,493.61</t>
  </si>
  <si>
    <t>294,494.03</t>
  </si>
  <si>
    <t>1,764,000.00</t>
  </si>
  <si>
    <t>1,780,665.00</t>
  </si>
  <si>
    <t>413,250.00</t>
  </si>
  <si>
    <t>30,879.00</t>
  </si>
  <si>
    <t>949,980.58</t>
  </si>
  <si>
    <t>313,300.00</t>
  </si>
  <si>
    <t>1,893,000.00</t>
  </si>
  <si>
    <t>116,754.00</t>
  </si>
  <si>
    <t>165,321.00</t>
  </si>
  <si>
    <t>11,550.00</t>
  </si>
  <si>
    <t>2,650,000.00</t>
  </si>
  <si>
    <t>550,430.00</t>
  </si>
  <si>
    <t>1,368,277.50</t>
  </si>
  <si>
    <t>2,739,000.00</t>
  </si>
  <si>
    <t>1,812,055.45</t>
  </si>
  <si>
    <t>876,860.00</t>
  </si>
  <si>
    <t>1,598,400.00</t>
  </si>
  <si>
    <t>528,670.00</t>
  </si>
  <si>
    <t>83,440.00</t>
  </si>
  <si>
    <t>1,489,769.85</t>
  </si>
  <si>
    <t>82,525.00</t>
  </si>
  <si>
    <t>257,996.00</t>
  </si>
  <si>
    <t>2,288,612.19</t>
  </si>
  <si>
    <t>231,000.00</t>
  </si>
  <si>
    <t>1,123,869.80</t>
  </si>
  <si>
    <t>398,150.00</t>
  </si>
  <si>
    <t>1,803,000.00</t>
  </si>
  <si>
    <t>163,200.00</t>
  </si>
  <si>
    <t>167,920.00</t>
  </si>
  <si>
    <t>744,701.76</t>
  </si>
  <si>
    <t>7,913,700.00</t>
  </si>
  <si>
    <t>366,669.00</t>
  </si>
  <si>
    <t>27,988.50</t>
  </si>
  <si>
    <t>1,798,162.81</t>
  </si>
  <si>
    <t>2,146,000.00</t>
  </si>
  <si>
    <t>528,768.00</t>
  </si>
  <si>
    <t>343,319.07</t>
  </si>
  <si>
    <t>67,300.00</t>
  </si>
  <si>
    <t>162,645.00</t>
  </si>
  <si>
    <t>45,761.00</t>
  </si>
  <si>
    <t>55,700.00</t>
  </si>
  <si>
    <t>798,990.90</t>
  </si>
  <si>
    <t>11,078,763.15</t>
  </si>
  <si>
    <t>224,632.80</t>
  </si>
  <si>
    <t>250,500.00</t>
  </si>
  <si>
    <t>9,989,758.06</t>
  </si>
  <si>
    <t>7,118,398.00</t>
  </si>
  <si>
    <t>1,144,000.00</t>
  </si>
  <si>
    <t>1,375,000.00</t>
  </si>
  <si>
    <t>9,475,000.00</t>
  </si>
  <si>
    <t>98,380.00</t>
  </si>
  <si>
    <t>4,521,500.00</t>
  </si>
  <si>
    <t>77,529.75</t>
  </si>
  <si>
    <t>52,624.00</t>
  </si>
  <si>
    <t>2,071,838.60</t>
  </si>
  <si>
    <t>949,997.80</t>
  </si>
  <si>
    <t>1,666,000.00</t>
  </si>
  <si>
    <t>1,748,000.00</t>
  </si>
  <si>
    <t>11,200.00</t>
  </si>
  <si>
    <t>5,598,012.00</t>
  </si>
  <si>
    <t>3,996,727.93</t>
  </si>
  <si>
    <t>2,056,768.58</t>
  </si>
  <si>
    <t>18,353,729.85</t>
  </si>
  <si>
    <t>100,002.00</t>
  </si>
  <si>
    <t>95,600.00</t>
  </si>
  <si>
    <t>228,858.30</t>
  </si>
  <si>
    <t>15,271,813.21</t>
  </si>
  <si>
    <t>53,085.00</t>
  </si>
  <si>
    <t>12,361,815.48</t>
  </si>
  <si>
    <t>95,910.00</t>
  </si>
  <si>
    <t>777,957.00</t>
  </si>
  <si>
    <t>1,930,000.00</t>
  </si>
  <si>
    <t>3,840,000.00</t>
  </si>
  <si>
    <t>14,984,179.56</t>
  </si>
  <si>
    <t>128,010.00</t>
  </si>
  <si>
    <t>4,113,500.00</t>
  </si>
  <si>
    <t>21,025,496.98</t>
  </si>
  <si>
    <t>37,244.00</t>
  </si>
  <si>
    <t>65,520.00</t>
  </si>
  <si>
    <t>16,800,306.98</t>
  </si>
  <si>
    <t>795,200.00</t>
  </si>
  <si>
    <t>55,980.00</t>
  </si>
  <si>
    <t>100,500.00</t>
  </si>
  <si>
    <t>40,300.00</t>
  </si>
  <si>
    <t>91,429.00</t>
  </si>
  <si>
    <t>73,087.00</t>
  </si>
  <si>
    <t>62,508.00</t>
  </si>
  <si>
    <t>29,980.00</t>
  </si>
  <si>
    <t>12,420,000.00</t>
  </si>
  <si>
    <t>199,888.07</t>
  </si>
  <si>
    <t>183,925.00</t>
  </si>
  <si>
    <t>1,950,000.00</t>
  </si>
  <si>
    <t>66,750.76</t>
  </si>
  <si>
    <t>123,540.00</t>
  </si>
  <si>
    <t>4,433,204.40</t>
  </si>
  <si>
    <t>127,100.00</t>
  </si>
  <si>
    <t>1,996,389.20</t>
  </si>
  <si>
    <t>79,135.00</t>
  </si>
  <si>
    <t>1,372,678.00</t>
  </si>
  <si>
    <t>68,400.00</t>
  </si>
  <si>
    <t>66,840.00</t>
  </si>
  <si>
    <t>94,850.00</t>
  </si>
  <si>
    <t>241,335.00</t>
  </si>
  <si>
    <t>75,000,000.00</t>
  </si>
  <si>
    <t>14,512,667.20</t>
  </si>
  <si>
    <t>118,009.00</t>
  </si>
  <si>
    <t>61,450.00</t>
  </si>
  <si>
    <t>14,212,667.20</t>
  </si>
  <si>
    <t>17,822,358.11</t>
  </si>
  <si>
    <t>81,752.70</t>
  </si>
  <si>
    <t>150,538.50</t>
  </si>
  <si>
    <t>78,546.00</t>
  </si>
  <si>
    <t>310,000.00</t>
  </si>
  <si>
    <t>862,900.00</t>
  </si>
  <si>
    <t>101,641.00</t>
  </si>
  <si>
    <t>3,240,412.45</t>
  </si>
  <si>
    <t>1,985,283.28</t>
  </si>
  <si>
    <t>1,155,580.00</t>
  </si>
  <si>
    <t>505,720.00</t>
  </si>
  <si>
    <t>69,350.80</t>
  </si>
  <si>
    <t>51,396.00</t>
  </si>
  <si>
    <t>217,017.08</t>
  </si>
  <si>
    <t>152,430.00</t>
  </si>
  <si>
    <t>144,750.00</t>
  </si>
  <si>
    <t>59,434.00</t>
  </si>
  <si>
    <t>399,915.11</t>
  </si>
  <si>
    <t>599,999.49</t>
  </si>
  <si>
    <t>63,995.00</t>
  </si>
  <si>
    <t>65,895.56</t>
  </si>
  <si>
    <t>765,772.45</t>
  </si>
  <si>
    <t>167,943.50</t>
  </si>
  <si>
    <t>347,100.00</t>
  </si>
  <si>
    <t>180,781.70</t>
  </si>
  <si>
    <t>1,005,512.50</t>
  </si>
  <si>
    <t>1,695,126.59</t>
  </si>
  <si>
    <t>5,119,477.97</t>
  </si>
  <si>
    <t>121,000.00</t>
  </si>
  <si>
    <t>285,200.00</t>
  </si>
  <si>
    <t>73,750.00</t>
  </si>
  <si>
    <t>871,355.00</t>
  </si>
  <si>
    <t>14,412,667.20</t>
  </si>
  <si>
    <t>91,548.00</t>
  </si>
  <si>
    <t>1,888,784.90</t>
  </si>
  <si>
    <t>189,173.00</t>
  </si>
  <si>
    <t>768,084.80</t>
  </si>
  <si>
    <t>1,054,484.12</t>
  </si>
  <si>
    <t>250,191.00</t>
  </si>
  <si>
    <t>97,784.00</t>
  </si>
  <si>
    <t>17,872,358.11</t>
  </si>
  <si>
    <t>155,347.00</t>
  </si>
  <si>
    <t>9,700.00</t>
  </si>
  <si>
    <t>128,150.00</t>
  </si>
  <si>
    <t>93,550.00</t>
  </si>
  <si>
    <t>998,899.20</t>
  </si>
  <si>
    <t>115,694.00</t>
  </si>
  <si>
    <t>64,226.24</t>
  </si>
  <si>
    <t>3,456,229.95</t>
  </si>
  <si>
    <t>152,015.00</t>
  </si>
  <si>
    <t>659,612.50</t>
  </si>
  <si>
    <t>1,278,839.87</t>
  </si>
  <si>
    <t>74,999.00</t>
  </si>
  <si>
    <t>168,729.00</t>
  </si>
  <si>
    <t>997,278.23</t>
  </si>
  <si>
    <t>3,956,575.60</t>
  </si>
  <si>
    <t>1,889,118.96</t>
  </si>
  <si>
    <t>1,959,977.08</t>
  </si>
  <si>
    <t>187,895.70</t>
  </si>
  <si>
    <t>999,763.60</t>
  </si>
  <si>
    <t>105,203.50</t>
  </si>
  <si>
    <t>2,999,947.13</t>
  </si>
  <si>
    <t>1,003,799.13</t>
  </si>
  <si>
    <t>997,728.50</t>
  </si>
  <si>
    <t>998,775.00</t>
  </si>
  <si>
    <t>385,597.80</t>
  </si>
  <si>
    <t>277,260.00</t>
  </si>
  <si>
    <t>73,752.00</t>
  </si>
  <si>
    <t>1,253,752.35</t>
  </si>
  <si>
    <t>1,796,375.83</t>
  </si>
  <si>
    <t>56,840.00</t>
  </si>
  <si>
    <t>5,900,000.00</t>
  </si>
  <si>
    <t>222,750.00</t>
  </si>
  <si>
    <t>140,715.00</t>
  </si>
  <si>
    <t>139,980.00</t>
  </si>
  <si>
    <t>110,900.00</t>
  </si>
  <si>
    <t>166,645.00</t>
  </si>
  <si>
    <t>290,435.00</t>
  </si>
  <si>
    <t>95,896.80</t>
  </si>
  <si>
    <t>4,155.00</t>
  </si>
  <si>
    <t>68,450.00</t>
  </si>
  <si>
    <t>828,000.00</t>
  </si>
  <si>
    <t>993,200.00</t>
  </si>
  <si>
    <t>300,920.00</t>
  </si>
  <si>
    <t>105,750.00</t>
  </si>
  <si>
    <t>179,168.30</t>
  </si>
  <si>
    <t>473,700.00</t>
  </si>
  <si>
    <t>165,155.00</t>
  </si>
  <si>
    <t>81,608.00</t>
  </si>
  <si>
    <t>7,343,000.00</t>
  </si>
  <si>
    <t>4,844,200.00</t>
  </si>
  <si>
    <t>89,000.00</t>
  </si>
  <si>
    <t>757,035.04</t>
  </si>
  <si>
    <t>999,954.30</t>
  </si>
  <si>
    <t>67,230.00</t>
  </si>
  <si>
    <t>114,590.00</t>
  </si>
  <si>
    <t>1,959,915.72</t>
  </si>
  <si>
    <t>355,682.00</t>
  </si>
  <si>
    <t>1,773,000.00</t>
  </si>
  <si>
    <t>7,472,000.00</t>
  </si>
  <si>
    <t>386,000.00</t>
  </si>
  <si>
    <t>1,600,243.00</t>
  </si>
  <si>
    <t>106,625.00</t>
  </si>
  <si>
    <t>502,318.00</t>
  </si>
  <si>
    <t>173,080.22</t>
  </si>
  <si>
    <t>5,496,977.98</t>
  </si>
  <si>
    <t>2,154,295.00</t>
  </si>
  <si>
    <t>704,590.00</t>
  </si>
  <si>
    <t>15,999.00</t>
  </si>
  <si>
    <t>78,073.00</t>
  </si>
  <si>
    <t>491,287.23</t>
  </si>
  <si>
    <t>300,495.80</t>
  </si>
  <si>
    <t>182,750.00</t>
  </si>
  <si>
    <t>80,900.20</t>
  </si>
  <si>
    <t>999,995.00</t>
  </si>
  <si>
    <t>3,995,292.96</t>
  </si>
  <si>
    <t>118,850.00</t>
  </si>
  <si>
    <t>184,405.80</t>
  </si>
  <si>
    <t>25,770.50</t>
  </si>
  <si>
    <t>86,740.00</t>
  </si>
  <si>
    <t>299,962.00</t>
  </si>
  <si>
    <t>2,109,050.00</t>
  </si>
  <si>
    <t>4,999,930.12</t>
  </si>
  <si>
    <t>135,598.88</t>
  </si>
  <si>
    <t>163,750.00</t>
  </si>
  <si>
    <t>130,600.00</t>
  </si>
  <si>
    <t>57,350.00</t>
  </si>
  <si>
    <t>4,213.65</t>
  </si>
  <si>
    <t>57,460.00</t>
  </si>
  <si>
    <t>994,919.62</t>
  </si>
  <si>
    <t>7,002,100.00</t>
  </si>
  <si>
    <t>351,495.00</t>
  </si>
  <si>
    <t>199,941.00</t>
  </si>
  <si>
    <t>2,193,251.50</t>
  </si>
  <si>
    <t>476,000.00</t>
  </si>
  <si>
    <t>75,700.00</t>
  </si>
  <si>
    <t>415,660.00</t>
  </si>
  <si>
    <t>2,338,000.00</t>
  </si>
  <si>
    <t>114,000.00</t>
  </si>
  <si>
    <t>38,615.00</t>
  </si>
  <si>
    <t>2,111,096.82</t>
  </si>
  <si>
    <t>81,333.60</t>
  </si>
  <si>
    <t>345,606.45</t>
  </si>
  <si>
    <t>6,500,000.00</t>
  </si>
  <si>
    <t>1,999,996.01</t>
  </si>
  <si>
    <t>94,774.00</t>
  </si>
  <si>
    <t>137,865.00</t>
  </si>
  <si>
    <t>194,500.00</t>
  </si>
  <si>
    <t>717,600.00</t>
  </si>
  <si>
    <t>27,932,225.66</t>
  </si>
  <si>
    <t>241,000.00</t>
  </si>
  <si>
    <t>31,300.00</t>
  </si>
  <si>
    <t>387,000.00</t>
  </si>
  <si>
    <t>67,730.00</t>
  </si>
  <si>
    <t>208,200.00</t>
  </si>
  <si>
    <t>979,940.65</t>
  </si>
  <si>
    <t>249,369.50</t>
  </si>
  <si>
    <t>290,032.31</t>
  </si>
  <si>
    <t>145,620.00</t>
  </si>
  <si>
    <t>379,972.98</t>
  </si>
  <si>
    <t>2,099,979.00</t>
  </si>
  <si>
    <t>81,725.00</t>
  </si>
  <si>
    <t>999,961.59</t>
  </si>
  <si>
    <t>77,400.00</t>
  </si>
  <si>
    <t>625,000.00</t>
  </si>
  <si>
    <t>98,300.00</t>
  </si>
  <si>
    <t>430,000.00</t>
  </si>
  <si>
    <t>3,000.00</t>
  </si>
  <si>
    <t>69,537.50</t>
  </si>
  <si>
    <t>154,750.00</t>
  </si>
  <si>
    <t>173,800.00</t>
  </si>
  <si>
    <t>131,800.00</t>
  </si>
  <si>
    <t>1,558,009.58</t>
  </si>
  <si>
    <t>706,800.00</t>
  </si>
  <si>
    <t>294,000.00</t>
  </si>
  <si>
    <t>401,375.00</t>
  </si>
  <si>
    <t>5,271,000.00</t>
  </si>
  <si>
    <t>83,049.00</t>
  </si>
  <si>
    <t>829,800.00</t>
  </si>
  <si>
    <t>159,592.00</t>
  </si>
  <si>
    <t>3,023,525.90</t>
  </si>
  <si>
    <t>95,634.00</t>
  </si>
  <si>
    <t>263,975.00</t>
  </si>
  <si>
    <t>136,700.00</t>
  </si>
  <si>
    <t>419.38</t>
  </si>
  <si>
    <t>286,236.43</t>
  </si>
  <si>
    <t>149,999.96</t>
  </si>
  <si>
    <t>16,242,649.10</t>
  </si>
  <si>
    <t>112,250.00</t>
  </si>
  <si>
    <t>4,247,960.00</t>
  </si>
  <si>
    <t>591,454.00</t>
  </si>
  <si>
    <t>151,340.00</t>
  </si>
  <si>
    <t>175,720.00</t>
  </si>
  <si>
    <t>1,150.65</t>
  </si>
  <si>
    <t>1,685,945.00</t>
  </si>
  <si>
    <t>120,740.00</t>
  </si>
  <si>
    <t>3,754,371.75</t>
  </si>
  <si>
    <t>167,500.00</t>
  </si>
  <si>
    <t>512,000.00</t>
  </si>
  <si>
    <t>288,960.00</t>
  </si>
  <si>
    <t>1,047,669.00</t>
  </si>
  <si>
    <t>172,200.00</t>
  </si>
  <si>
    <t>82,201.12</t>
  </si>
  <si>
    <t>15,978.00</t>
  </si>
  <si>
    <t>3,855,000.00</t>
  </si>
  <si>
    <t>150,670.00</t>
  </si>
  <si>
    <t>215,480.00</t>
  </si>
  <si>
    <t>59,100.00</t>
  </si>
  <si>
    <t>130.33</t>
  </si>
  <si>
    <t>321,032.55</t>
  </si>
  <si>
    <t>643,600.00</t>
  </si>
  <si>
    <t>44,000.00</t>
  </si>
  <si>
    <t>68,000.00</t>
  </si>
  <si>
    <t>425,000.00</t>
  </si>
  <si>
    <t>2,600,000.00</t>
  </si>
  <si>
    <t>11,000.00</t>
  </si>
  <si>
    <t>14,999,975.17</t>
  </si>
  <si>
    <t>137,970.20</t>
  </si>
  <si>
    <t>896,943.60</t>
  </si>
  <si>
    <t>3,797,432.66</t>
  </si>
  <si>
    <t>3,715.00</t>
  </si>
  <si>
    <t>238,108.50</t>
  </si>
  <si>
    <t>1,855,000.00</t>
  </si>
  <si>
    <t>158,900.00</t>
  </si>
  <si>
    <t>99,560.00</t>
  </si>
  <si>
    <t>209.90</t>
  </si>
  <si>
    <t>157.70</t>
  </si>
  <si>
    <t>386,200.00</t>
  </si>
  <si>
    <t>3,119,303.40</t>
  </si>
  <si>
    <t>16,450.00</t>
  </si>
  <si>
    <t>349,988.00</t>
  </si>
  <si>
    <t>27,700.00</t>
  </si>
  <si>
    <t>72,160.51</t>
  </si>
  <si>
    <t>3,312,885.56</t>
  </si>
  <si>
    <t>14,920,335.83</t>
  </si>
  <si>
    <t>199,650.00</t>
  </si>
  <si>
    <t>55,900.00</t>
  </si>
  <si>
    <t>371.13</t>
  </si>
  <si>
    <t>1,492,026.64</t>
  </si>
  <si>
    <t>2,025,533.50</t>
  </si>
  <si>
    <t>69,978.00</t>
  </si>
  <si>
    <t>10,300.00</t>
  </si>
  <si>
    <t>1,100,000.00</t>
  </si>
  <si>
    <t>348,000.00</t>
  </si>
  <si>
    <t>300,550.00</t>
  </si>
  <si>
    <t>93,960.00</t>
  </si>
  <si>
    <t>7,900.00</t>
  </si>
  <si>
    <t>468,856.00</t>
  </si>
  <si>
    <t>791,350.00</t>
  </si>
  <si>
    <t>20,524.00</t>
  </si>
  <si>
    <t>63,926.25</t>
  </si>
  <si>
    <t>256,950.00</t>
  </si>
  <si>
    <t>12,903,732.38</t>
  </si>
  <si>
    <t>2,499,134.05</t>
  </si>
  <si>
    <t>10,500.00</t>
  </si>
  <si>
    <t>164,049,678.46</t>
  </si>
  <si>
    <t>198,534.00</t>
  </si>
  <si>
    <t>298,880.00</t>
  </si>
  <si>
    <t>4,700,000.00</t>
  </si>
  <si>
    <t>2,984,023.03</t>
  </si>
  <si>
    <t>252,200.00</t>
  </si>
  <si>
    <t>93,750.00</t>
  </si>
  <si>
    <t>291,050.00</t>
  </si>
  <si>
    <t>208,370.00</t>
  </si>
  <si>
    <t>143.36</t>
  </si>
  <si>
    <t>150,470.00</t>
  </si>
  <si>
    <t>189,494.00</t>
  </si>
  <si>
    <t>253,740.00</t>
  </si>
  <si>
    <t>979,600.00</t>
  </si>
  <si>
    <t>158,652.80</t>
  </si>
  <si>
    <t>714,300.00</t>
  </si>
  <si>
    <t>66,520.00</t>
  </si>
  <si>
    <t>623,100.00</t>
  </si>
  <si>
    <t>129,330.00</t>
  </si>
  <si>
    <t>78,853.20</t>
  </si>
  <si>
    <t>589,500.00</t>
  </si>
  <si>
    <t>573,483.69</t>
  </si>
  <si>
    <t>167,100.00</t>
  </si>
  <si>
    <t>166,500.00</t>
  </si>
  <si>
    <t>79,320.00</t>
  </si>
  <si>
    <t>35,925.00</t>
  </si>
  <si>
    <t>37,995.00</t>
  </si>
  <si>
    <t>675,000.00</t>
  </si>
  <si>
    <t>233,600.00</t>
  </si>
  <si>
    <t>231,716.00</t>
  </si>
  <si>
    <t>390,600.00</t>
  </si>
  <si>
    <t>50,161.00</t>
  </si>
  <si>
    <t>270,080.00</t>
  </si>
  <si>
    <t>361,875.00</t>
  </si>
  <si>
    <t>99,334.00</t>
  </si>
  <si>
    <t>505,320.78</t>
  </si>
  <si>
    <t>52,449.00</t>
  </si>
  <si>
    <t>862,350.00</t>
  </si>
  <si>
    <t>69,373.33</t>
  </si>
  <si>
    <t>329,000.00</t>
  </si>
  <si>
    <t>851,850.00</t>
  </si>
  <si>
    <t>2,052,671.88</t>
  </si>
  <si>
    <t>163,680.00</t>
  </si>
  <si>
    <t>841,350.00</t>
  </si>
  <si>
    <t>2,499,999.84</t>
  </si>
  <si>
    <t>629,000.00</t>
  </si>
  <si>
    <t>4,585,978.20</t>
  </si>
  <si>
    <t>14,819.11</t>
  </si>
  <si>
    <t>224,930.00</t>
  </si>
  <si>
    <t>311,250.00</t>
  </si>
  <si>
    <t>10,503,282.50</t>
  </si>
  <si>
    <t>78,728.00</t>
  </si>
  <si>
    <t>111,810.00</t>
  </si>
  <si>
    <t>448,800.00</t>
  </si>
  <si>
    <t>425,035.00</t>
  </si>
  <si>
    <t>339,890.00</t>
  </si>
  <si>
    <t>139,000.00</t>
  </si>
  <si>
    <t>314,250.00</t>
  </si>
  <si>
    <t>574,150.00</t>
  </si>
  <si>
    <t>31,480.00</t>
  </si>
  <si>
    <t>279,360.00</t>
  </si>
  <si>
    <t>252,910.00</t>
  </si>
  <si>
    <t>582,000.00</t>
  </si>
  <si>
    <t>809,850.00</t>
  </si>
  <si>
    <t>12,180.00</t>
  </si>
  <si>
    <t>325,500.00</t>
  </si>
  <si>
    <t>166,600.00</t>
  </si>
  <si>
    <t>134,550.00</t>
  </si>
  <si>
    <t>56,145.00</t>
  </si>
  <si>
    <t>915,350.00</t>
  </si>
  <si>
    <t>103,426.00</t>
  </si>
  <si>
    <t>1,750,000.00</t>
  </si>
  <si>
    <t>146,000.00</t>
  </si>
  <si>
    <t>85,100.00</t>
  </si>
  <si>
    <t>4,189,165.20</t>
  </si>
  <si>
    <t>1,651,694.00</t>
  </si>
  <si>
    <t>86,053.00</t>
  </si>
  <si>
    <t>248,105.43</t>
  </si>
  <si>
    <t>942,210.00</t>
  </si>
  <si>
    <t>199,950.00</t>
  </si>
  <si>
    <t>2,152,680.51</t>
  </si>
  <si>
    <t>976,500.00</t>
  </si>
  <si>
    <t>79,063.00</t>
  </si>
  <si>
    <t>72,300.00</t>
  </si>
  <si>
    <t>1,072,500.00</t>
  </si>
  <si>
    <t>78,524.00</t>
  </si>
  <si>
    <t>166,245.71</t>
  </si>
  <si>
    <t>257,060.00</t>
  </si>
  <si>
    <t>210,652.00</t>
  </si>
  <si>
    <t>108,480.00</t>
  </si>
  <si>
    <t>399,507.00</t>
  </si>
  <si>
    <t>54,977.77</t>
  </si>
  <si>
    <t>744,050.00</t>
  </si>
  <si>
    <t>505,183.41</t>
  </si>
  <si>
    <t>245,100.00</t>
  </si>
  <si>
    <t>7,800,000.00</t>
  </si>
  <si>
    <t>925,350.00</t>
  </si>
  <si>
    <t>248,000.00</t>
  </si>
  <si>
    <t>247,630.20</t>
  </si>
  <si>
    <t>228,000.00</t>
  </si>
  <si>
    <t>999,700.00</t>
  </si>
  <si>
    <t>15,600,000.00</t>
  </si>
  <si>
    <t>213,725.00</t>
  </si>
  <si>
    <t>26,434.00</t>
  </si>
  <si>
    <t>224,660.00</t>
  </si>
  <si>
    <t>996,078.00</t>
  </si>
  <si>
    <t>88,280.00</t>
  </si>
  <si>
    <t>1,299,925.51</t>
  </si>
  <si>
    <t>497,000.59</t>
  </si>
  <si>
    <t>368,950.00</t>
  </si>
  <si>
    <t>365,930.00</t>
  </si>
  <si>
    <t>287,138.80</t>
  </si>
  <si>
    <t>798,300.00</t>
  </si>
  <si>
    <t>378,480.42</t>
  </si>
  <si>
    <t>149,986.00</t>
  </si>
  <si>
    <t>656,870.00</t>
  </si>
  <si>
    <t>156,400.00</t>
  </si>
  <si>
    <t>1,522,173.97</t>
  </si>
  <si>
    <t>145,700.00</t>
  </si>
  <si>
    <t>199,978.00</t>
  </si>
  <si>
    <t>4,975,000.00</t>
  </si>
  <si>
    <t>1,393,977.00</t>
  </si>
  <si>
    <t>69,120.00</t>
  </si>
  <si>
    <t>352,100.00</t>
  </si>
  <si>
    <t>494,000.00</t>
  </si>
  <si>
    <t>16,400,000.00</t>
  </si>
  <si>
    <t>133,940.00</t>
  </si>
  <si>
    <t>10,328.00</t>
  </si>
  <si>
    <t>94,700.00</t>
  </si>
  <si>
    <t>521,405.00</t>
  </si>
  <si>
    <t>99,242.00</t>
  </si>
  <si>
    <t>238,506.00</t>
  </si>
  <si>
    <t>10,498,598.40</t>
  </si>
  <si>
    <t>58,210.00</t>
  </si>
  <si>
    <t>487,931.06</t>
  </si>
  <si>
    <t>998,400.00</t>
  </si>
  <si>
    <t>73,560.00</t>
  </si>
  <si>
    <t>1,940,609.17</t>
  </si>
  <si>
    <t>122,126.74</t>
  </si>
  <si>
    <t>148,050.00</t>
  </si>
  <si>
    <t>1,814,818.32</t>
  </si>
  <si>
    <t>547,000.00</t>
  </si>
  <si>
    <t>102,582.00</t>
  </si>
  <si>
    <t>9,298.50</t>
  </si>
  <si>
    <t>17,788.00</t>
  </si>
  <si>
    <t>64,440.00</t>
  </si>
  <si>
    <t>996,697.64</t>
  </si>
  <si>
    <t>857,627.45</t>
  </si>
  <si>
    <t>67,752.37</t>
  </si>
  <si>
    <t>182,497.00</t>
  </si>
  <si>
    <t>198,587.03</t>
  </si>
  <si>
    <t>499,905.00</t>
  </si>
  <si>
    <t>508,470.00</t>
  </si>
  <si>
    <t>1,635.00</t>
  </si>
  <si>
    <t>1,061,473.33</t>
  </si>
  <si>
    <t>388,170.00</t>
  </si>
  <si>
    <t>6,965,000.00</t>
  </si>
  <si>
    <t>336,950.00</t>
  </si>
  <si>
    <t>203,700.00</t>
  </si>
  <si>
    <t>32,792,641.77</t>
  </si>
  <si>
    <t>66,650.00</t>
  </si>
  <si>
    <t>259,000.00</t>
  </si>
  <si>
    <t>9,999,691.12</t>
  </si>
  <si>
    <t>738,650.20</t>
  </si>
  <si>
    <t>59,996.00</t>
  </si>
  <si>
    <t>174,469.00</t>
  </si>
  <si>
    <t>332,232.00</t>
  </si>
  <si>
    <t>216,900.00</t>
  </si>
  <si>
    <t>3,815,398.53</t>
  </si>
  <si>
    <t>115,160.00</t>
  </si>
  <si>
    <t>252,545.00</t>
  </si>
  <si>
    <t>195,950.00</t>
  </si>
  <si>
    <t>113,108.50</t>
  </si>
  <si>
    <t>96,539,568.78</t>
  </si>
  <si>
    <t>48,360.00</t>
  </si>
  <si>
    <t>254,815.00</t>
  </si>
  <si>
    <t>63,070.00</t>
  </si>
  <si>
    <t>521,885.00</t>
  </si>
  <si>
    <t>479,993.60</t>
  </si>
  <si>
    <t>451,659.65</t>
  </si>
  <si>
    <t>576,991.00</t>
  </si>
  <si>
    <t>982,850.00</t>
  </si>
  <si>
    <t>747,700.00</t>
  </si>
  <si>
    <t>166,700.00</t>
  </si>
  <si>
    <t>37,484.00</t>
  </si>
  <si>
    <t>88,425.00</t>
  </si>
  <si>
    <t>397,849.20</t>
  </si>
  <si>
    <t>195,900.00</t>
  </si>
  <si>
    <t>16,273,238.60</t>
  </si>
  <si>
    <t>180,575.00</t>
  </si>
  <si>
    <t>191,200.00</t>
  </si>
  <si>
    <t>227,500.00</t>
  </si>
  <si>
    <t>118,400.00</t>
  </si>
  <si>
    <t>161,720.00</t>
  </si>
  <si>
    <t>572,547.70</t>
  </si>
  <si>
    <t>300,100.00</t>
  </si>
  <si>
    <t>719,232.28</t>
  </si>
  <si>
    <t>114,500.00</t>
  </si>
  <si>
    <t>278,228.00</t>
  </si>
  <si>
    <t>1,099,800.00</t>
  </si>
  <si>
    <t>111,736.72</t>
  </si>
  <si>
    <t>280,500.00</t>
  </si>
  <si>
    <t>57,092.50</t>
  </si>
  <si>
    <t>6,815.00</t>
  </si>
  <si>
    <t>2,729,000.00</t>
  </si>
  <si>
    <t>91,505.00</t>
  </si>
  <si>
    <t>212,269.34</t>
  </si>
  <si>
    <t>353,125.00</t>
  </si>
  <si>
    <t>592,000.00</t>
  </si>
  <si>
    <t>130,105.00</t>
  </si>
  <si>
    <t>805,000.00</t>
  </si>
  <si>
    <t>194,987.00</t>
  </si>
  <si>
    <t>23,200,000.00</t>
  </si>
  <si>
    <t>295,000.00</t>
  </si>
  <si>
    <t>264,000.00</t>
  </si>
  <si>
    <t>223,997.00</t>
  </si>
  <si>
    <t>483,100.00</t>
  </si>
  <si>
    <t>76,714.56</t>
  </si>
  <si>
    <t>277,499.81</t>
  </si>
  <si>
    <t>694,000.00</t>
  </si>
  <si>
    <t>7,300.00</t>
  </si>
  <si>
    <t>19,761,430.40</t>
  </si>
  <si>
    <t>960,000.00</t>
  </si>
  <si>
    <t>304,299.40</t>
  </si>
  <si>
    <t>299,985.00</t>
  </si>
  <si>
    <t>8,750,000.00</t>
  </si>
  <si>
    <t>11,960,000.00</t>
  </si>
  <si>
    <t>229,500.00</t>
  </si>
  <si>
    <t>19,999,999.90</t>
  </si>
  <si>
    <t>168,960.00</t>
  </si>
  <si>
    <t>521,216.00</t>
  </si>
  <si>
    <t>142,063,337.98</t>
  </si>
  <si>
    <t>81,920.00</t>
  </si>
  <si>
    <t>1,813,956.60</t>
  </si>
  <si>
    <t>299,980.22</t>
  </si>
  <si>
    <t>2,429,125.00</t>
  </si>
  <si>
    <t>5,068,586.35</t>
  </si>
  <si>
    <t>191,930.00</t>
  </si>
  <si>
    <t>71,730.00</t>
  </si>
  <si>
    <t>49,705.00</t>
  </si>
  <si>
    <t>5,240,403.47</t>
  </si>
  <si>
    <t>1,021,193.25</t>
  </si>
  <si>
    <t>244,628.62</t>
  </si>
  <si>
    <t>204,900.00</t>
  </si>
  <si>
    <t>1,326,532.80</t>
  </si>
  <si>
    <t>190,495.75</t>
  </si>
  <si>
    <t>11,400,000.00</t>
  </si>
  <si>
    <t>1,474,657.00</t>
  </si>
  <si>
    <t>83,520.00</t>
  </si>
  <si>
    <t>178,600.00</t>
  </si>
  <si>
    <t>74,168.05</t>
  </si>
  <si>
    <t>217,750.00</t>
  </si>
  <si>
    <t>58,600.00</t>
  </si>
  <si>
    <t>883,100.00</t>
  </si>
  <si>
    <t>94,873.00</t>
  </si>
  <si>
    <t>11,499,950.00</t>
  </si>
  <si>
    <t>200,004.00</t>
  </si>
  <si>
    <t>1,435,361.40</t>
  </si>
  <si>
    <t>997,200.00</t>
  </si>
  <si>
    <t>97,170.00</t>
  </si>
  <si>
    <t>3,655,205.00</t>
  </si>
  <si>
    <t>98,675.00</t>
  </si>
  <si>
    <t>99,278.00</t>
  </si>
  <si>
    <t>23,300.00</t>
  </si>
  <si>
    <t>200,155.00</t>
  </si>
  <si>
    <t>115,831.00</t>
  </si>
  <si>
    <t>376,788.50</t>
  </si>
  <si>
    <t>6,468,294.37</t>
  </si>
  <si>
    <t>74,995.00</t>
  </si>
  <si>
    <t>942,378.00</t>
  </si>
  <si>
    <t>3,484,000.00</t>
  </si>
  <si>
    <t>2,000.00</t>
  </si>
  <si>
    <t>5,220,000.00</t>
  </si>
  <si>
    <t>598,258.56</t>
  </si>
  <si>
    <t>528,974.00</t>
  </si>
  <si>
    <t>854,358.00</t>
  </si>
  <si>
    <t>166,000.00</t>
  </si>
  <si>
    <t>519,435.70</t>
  </si>
  <si>
    <t>4,600,000.00</t>
  </si>
  <si>
    <t>84,998.00</t>
  </si>
  <si>
    <t>2,758,220.00</t>
  </si>
  <si>
    <t>157,300.00</t>
  </si>
  <si>
    <t>532,343.53</t>
  </si>
  <si>
    <t>61,783,375.29</t>
  </si>
  <si>
    <t>13,560,000.00</t>
  </si>
  <si>
    <t>93,830.00</t>
  </si>
  <si>
    <t>333,000.00</t>
  </si>
  <si>
    <t>12,887,344.21</t>
  </si>
  <si>
    <t>344,880.00</t>
  </si>
  <si>
    <t>83,840.00</t>
  </si>
  <si>
    <t>2,884,283.42</t>
  </si>
  <si>
    <t>2,143,689.86</t>
  </si>
  <si>
    <t>90,092,797.91</t>
  </si>
  <si>
    <t>534,630.00</t>
  </si>
  <si>
    <t>3,005,619.74</t>
  </si>
  <si>
    <t>45,500.00</t>
  </si>
  <si>
    <t>852,700.00</t>
  </si>
  <si>
    <t>6,954.00</t>
  </si>
  <si>
    <t>15,035.00</t>
  </si>
  <si>
    <t>55,110.00</t>
  </si>
  <si>
    <t>42,500.00</t>
  </si>
  <si>
    <t>354,479.47</t>
  </si>
  <si>
    <t>486,366.00</t>
  </si>
  <si>
    <t>1,920.00</t>
  </si>
  <si>
    <t>184,600.00</t>
  </si>
  <si>
    <t>1,112,879.47</t>
  </si>
  <si>
    <t>32,997.00</t>
  </si>
  <si>
    <t>550,800.00</t>
  </si>
  <si>
    <t>132,690.00</t>
  </si>
  <si>
    <t>65,600.00</t>
  </si>
  <si>
    <t>81,300.00</t>
  </si>
  <si>
    <t>99,456.00</t>
  </si>
  <si>
    <t>134,200.00</t>
  </si>
  <si>
    <t>78,306.00</t>
  </si>
  <si>
    <t>96,270.00</t>
  </si>
  <si>
    <t>134,400.00</t>
  </si>
  <si>
    <t>84,605.00</t>
  </si>
  <si>
    <t>98,112.00</t>
  </si>
  <si>
    <t>64,300.00</t>
  </si>
  <si>
    <t>357,530.00</t>
  </si>
  <si>
    <t>260,046.00</t>
  </si>
  <si>
    <t>746,538.00</t>
  </si>
  <si>
    <t>596,000.00</t>
  </si>
  <si>
    <t>278,000.00</t>
  </si>
  <si>
    <t>105,760.00</t>
  </si>
  <si>
    <t>327,324.00</t>
  </si>
  <si>
    <t>731,250.00</t>
  </si>
  <si>
    <t>873,757.12</t>
  </si>
  <si>
    <t>60,027.50</t>
  </si>
  <si>
    <t>14,268.50</t>
  </si>
  <si>
    <t>179,000.00</t>
  </si>
  <si>
    <t>76,376.14</t>
  </si>
  <si>
    <t>67,360.00</t>
  </si>
  <si>
    <t>109,100.00</t>
  </si>
  <si>
    <t>6,933,600.00</t>
  </si>
  <si>
    <t>437,698.00</t>
  </si>
  <si>
    <t>97,175.00</t>
  </si>
  <si>
    <t>3,517,944.70</t>
  </si>
  <si>
    <t>49,765.00</t>
  </si>
  <si>
    <t>493,950.00</t>
  </si>
  <si>
    <t>599,542.00</t>
  </si>
  <si>
    <t>255,841.20</t>
  </si>
  <si>
    <t>112,550.00</t>
  </si>
  <si>
    <t>273,500.00</t>
  </si>
  <si>
    <t>151,247.55</t>
  </si>
  <si>
    <t>164,400.00</t>
  </si>
  <si>
    <t>495,100.00</t>
  </si>
  <si>
    <t>800,335.00</t>
  </si>
  <si>
    <t>464,570.00</t>
  </si>
  <si>
    <t>99,900.00</t>
  </si>
  <si>
    <t>57,887.75</t>
  </si>
  <si>
    <t>306,000.00</t>
  </si>
  <si>
    <t>200,850.00</t>
  </si>
  <si>
    <t>222,852.73</t>
  </si>
  <si>
    <t>9,000.00</t>
  </si>
  <si>
    <t>654,250.00</t>
  </si>
  <si>
    <t>503,766.54</t>
  </si>
  <si>
    <t>62,385.00</t>
  </si>
  <si>
    <t>220,900.00</t>
  </si>
  <si>
    <t>1,240,000.00</t>
  </si>
  <si>
    <t>14,226.00</t>
  </si>
  <si>
    <t>189,200.00</t>
  </si>
  <si>
    <t>1,081,952.82</t>
  </si>
  <si>
    <t>1,999,740.48</t>
  </si>
  <si>
    <t>301,884.00</t>
  </si>
  <si>
    <t>121,891.00</t>
  </si>
  <si>
    <t>999,959.18</t>
  </si>
  <si>
    <t>1,997,720.95</t>
  </si>
  <si>
    <t>211,600.00</t>
  </si>
  <si>
    <t>239,880.00</t>
  </si>
  <si>
    <t>999,997.38</t>
  </si>
  <si>
    <t>3,811,351.84</t>
  </si>
  <si>
    <t>587,306.91</t>
  </si>
  <si>
    <t>158,470.00</t>
  </si>
  <si>
    <t>450,590.00</t>
  </si>
  <si>
    <t>144,480.00</t>
  </si>
  <si>
    <t>357,000.00</t>
  </si>
  <si>
    <t>463,240.00</t>
  </si>
  <si>
    <t>996,850.00</t>
  </si>
  <si>
    <t>860,000.00</t>
  </si>
  <si>
    <t>799,960.00</t>
  </si>
  <si>
    <t>149,652.00</t>
  </si>
  <si>
    <t>142,500.00</t>
  </si>
  <si>
    <t>482,122.50</t>
  </si>
  <si>
    <t>89,287.20</t>
  </si>
  <si>
    <t>1,741,340.00</t>
  </si>
  <si>
    <t>31,108.00</t>
  </si>
  <si>
    <t>322,345.00</t>
  </si>
  <si>
    <t>929,175.00</t>
  </si>
  <si>
    <t>765,975.00</t>
  </si>
  <si>
    <t>7,121,640.00</t>
  </si>
  <si>
    <t>210,580.00</t>
  </si>
  <si>
    <t>262,200.00</t>
  </si>
  <si>
    <t>73,140.00</t>
  </si>
  <si>
    <t>725,889.00</t>
  </si>
  <si>
    <t>87,600.00</t>
  </si>
  <si>
    <t>2,868,181.16</t>
  </si>
  <si>
    <t>5,731,728.72</t>
  </si>
  <si>
    <t>74,784.00</t>
  </si>
  <si>
    <t>11,595,855.62</t>
  </si>
  <si>
    <t>2,304,000.00</t>
  </si>
  <si>
    <t>2,564,000.00</t>
  </si>
  <si>
    <t>415,258.00</t>
  </si>
  <si>
    <t>1,218,397.23</t>
  </si>
  <si>
    <t>4,942,000.00</t>
  </si>
  <si>
    <t>526,900.00</t>
  </si>
  <si>
    <t>910,250.00</t>
  </si>
  <si>
    <t>280,275.00</t>
  </si>
  <si>
    <t>97,361.78</t>
  </si>
  <si>
    <t>146,400.50</t>
  </si>
  <si>
    <t>96,468.08</t>
  </si>
  <si>
    <t>454,058.60</t>
  </si>
  <si>
    <t>148,088.15</t>
  </si>
  <si>
    <t>120,200.00</t>
  </si>
  <si>
    <t>101,047.00</t>
  </si>
  <si>
    <t>98,756.31</t>
  </si>
  <si>
    <t>2,991,535.67</t>
  </si>
  <si>
    <t>898,445.07</t>
  </si>
  <si>
    <t>148,442.00</t>
  </si>
  <si>
    <t>106,547,910.00</t>
  </si>
  <si>
    <t>1,299,991.86</t>
  </si>
  <si>
    <t>376,196.00</t>
  </si>
  <si>
    <t>140,315.84</t>
  </si>
  <si>
    <t>3,999,084.94</t>
  </si>
  <si>
    <t>2,999,363.40</t>
  </si>
  <si>
    <t>135,600.00</t>
  </si>
  <si>
    <t>391,000.00</t>
  </si>
  <si>
    <t>1,281,500.00</t>
  </si>
  <si>
    <t>184,714.00</t>
  </si>
  <si>
    <t>120,875.00</t>
  </si>
  <si>
    <t>187,210.00</t>
  </si>
  <si>
    <t>144,540.00</t>
  </si>
  <si>
    <t>39,982,325.50</t>
  </si>
  <si>
    <t>399,993.34</t>
  </si>
  <si>
    <t>383,160.61</t>
  </si>
  <si>
    <t>4,200,000.00</t>
  </si>
  <si>
    <t>62,479.00</t>
  </si>
  <si>
    <t>387,431.25</t>
  </si>
  <si>
    <t>8,956,500.00</t>
  </si>
  <si>
    <t>991,729.20</t>
  </si>
  <si>
    <t>113,807.00</t>
  </si>
  <si>
    <t>3,400,000.00</t>
  </si>
  <si>
    <t>992,850.00</t>
  </si>
  <si>
    <t>40,500.00</t>
  </si>
  <si>
    <t>452,695.95</t>
  </si>
  <si>
    <t>2,950,000.00</t>
  </si>
  <si>
    <t>664,920.00</t>
  </si>
  <si>
    <t>991,953.90</t>
  </si>
  <si>
    <t>327,000.00</t>
  </si>
  <si>
    <t>49,500.00</t>
  </si>
  <si>
    <t>177,638.05</t>
  </si>
  <si>
    <t>495,574.80</t>
  </si>
  <si>
    <t>201,600.00</t>
  </si>
  <si>
    <t>743,723.40</t>
  </si>
  <si>
    <t>1,700,000.00</t>
  </si>
  <si>
    <t>151,555.00</t>
  </si>
  <si>
    <t>331,375.00</t>
  </si>
  <si>
    <t>217,200.00</t>
  </si>
  <si>
    <t>66,150.00</t>
  </si>
  <si>
    <t>114,816.14</t>
  </si>
  <si>
    <t>59,400.00</t>
  </si>
  <si>
    <t>1,435,743.30</t>
  </si>
  <si>
    <t>93,085.00</t>
  </si>
  <si>
    <t>94,835.00</t>
  </si>
  <si>
    <t>196,498.50</t>
  </si>
  <si>
    <t>30,304,622.95</t>
  </si>
  <si>
    <t>189,425.00</t>
  </si>
  <si>
    <t>4,320,000.00</t>
  </si>
  <si>
    <t>81,518.00</t>
  </si>
  <si>
    <t>933,088.26</t>
  </si>
  <si>
    <t>156,200.00</t>
  </si>
  <si>
    <t>495,990.60</t>
  </si>
  <si>
    <t>435,000.00</t>
  </si>
  <si>
    <t>991,918.20</t>
  </si>
  <si>
    <t>154,850.00</t>
  </si>
  <si>
    <t>26,200.00</t>
  </si>
  <si>
    <t>810,540.00</t>
  </si>
  <si>
    <t>69,890.00</t>
  </si>
  <si>
    <t>73,550.00</t>
  </si>
  <si>
    <t>304,000.00</t>
  </si>
  <si>
    <t>11,175,000.00</t>
  </si>
  <si>
    <t>80,393.00</t>
  </si>
  <si>
    <t>290,080.00</t>
  </si>
  <si>
    <t>499,870.00</t>
  </si>
  <si>
    <t>158,700.00</t>
  </si>
  <si>
    <t>158,300.00</t>
  </si>
  <si>
    <t>110,006.61</t>
  </si>
  <si>
    <t>136,217.00</t>
  </si>
  <si>
    <t>420,100.00</t>
  </si>
  <si>
    <t>169,409.26</t>
  </si>
  <si>
    <t>210,119.12</t>
  </si>
  <si>
    <t>861,994.85</t>
  </si>
  <si>
    <t>988,000.00</t>
  </si>
  <si>
    <t>352,870.00</t>
  </si>
  <si>
    <t>27,260.00</t>
  </si>
  <si>
    <t>92,092,134.99</t>
  </si>
  <si>
    <t>296,000.00</t>
  </si>
  <si>
    <t>5,200,000.00</t>
  </si>
  <si>
    <t>582,250.00</t>
  </si>
  <si>
    <t>79,992.00</t>
  </si>
  <si>
    <t>895,000.00</t>
  </si>
  <si>
    <t>437,000.00</t>
  </si>
  <si>
    <t>945,000.00</t>
  </si>
  <si>
    <t>1,104,385.00</t>
  </si>
  <si>
    <t>98,842.83</t>
  </si>
  <si>
    <t>4,440,000.00</t>
  </si>
  <si>
    <t>999,999.05</t>
  </si>
  <si>
    <t>695,997.16</t>
  </si>
  <si>
    <t>19,200.00</t>
  </si>
  <si>
    <t>408,120.00</t>
  </si>
  <si>
    <t>92,823.60</t>
  </si>
  <si>
    <t>112,142.00</t>
  </si>
  <si>
    <t>69,960.00</t>
  </si>
  <si>
    <t>776,400.00</t>
  </si>
  <si>
    <t>59,328.41</t>
  </si>
  <si>
    <t>94,990.00</t>
  </si>
  <si>
    <t>192,338.00</t>
  </si>
  <si>
    <t>407,280.00</t>
  </si>
  <si>
    <t>136,740.00</t>
  </si>
  <si>
    <t>755,625.21</t>
  </si>
  <si>
    <t>520,320.94</t>
  </si>
  <si>
    <t>192,840.00</t>
  </si>
  <si>
    <t>111,500.00</t>
  </si>
  <si>
    <t>354,938.20</t>
  </si>
  <si>
    <t>103,500.00</t>
  </si>
  <si>
    <t>68,135.00</t>
  </si>
  <si>
    <t>15,360.00</t>
  </si>
  <si>
    <t>101,419.00</t>
  </si>
  <si>
    <t>1,999,999.33</t>
  </si>
  <si>
    <t>310,468.04</t>
  </si>
  <si>
    <t>379,900.00</t>
  </si>
  <si>
    <t>64,500.00</t>
  </si>
  <si>
    <t>4,045,907.16</t>
  </si>
  <si>
    <t>346,500.00</t>
  </si>
  <si>
    <t>686,000.00</t>
  </si>
  <si>
    <t>297,415.00</t>
  </si>
  <si>
    <t>118,800.00</t>
  </si>
  <si>
    <t>221,067.00</t>
  </si>
  <si>
    <t>6,600,000.00</t>
  </si>
  <si>
    <t>387,500.43</t>
  </si>
  <si>
    <t>543,300.00</t>
  </si>
  <si>
    <t>103,000.00</t>
  </si>
  <si>
    <t>549,943.00</t>
  </si>
  <si>
    <t>82,350.00</t>
  </si>
  <si>
    <t>664,365.70</t>
  </si>
  <si>
    <t>419,775.56</t>
  </si>
  <si>
    <t>43,700.00</t>
  </si>
  <si>
    <t>416,300.00</t>
  </si>
  <si>
    <t>83,987.00</t>
  </si>
  <si>
    <t>5,500.00</t>
  </si>
  <si>
    <t>4,389,004.46</t>
  </si>
  <si>
    <t>381,000.00</t>
  </si>
  <si>
    <t>206,018.00</t>
  </si>
  <si>
    <t>60,656.00</t>
  </si>
  <si>
    <t>212,640.00</t>
  </si>
  <si>
    <t>109,998.00</t>
  </si>
  <si>
    <t>42,300.00</t>
  </si>
  <si>
    <t>828,129.40</t>
  </si>
  <si>
    <t>105,360.00</t>
  </si>
  <si>
    <t>56,911.60</t>
  </si>
  <si>
    <t>381,628.47</t>
  </si>
  <si>
    <t>979,562.50</t>
  </si>
  <si>
    <t>11,790.00</t>
  </si>
  <si>
    <t>684,000.00</t>
  </si>
  <si>
    <t>973,035.21</t>
  </si>
  <si>
    <t>194,400.00</t>
  </si>
  <si>
    <t>13,850.00</t>
  </si>
  <si>
    <t>1,528,000.00</t>
  </si>
  <si>
    <t>112,165.00</t>
  </si>
  <si>
    <t>212,990.91</t>
  </si>
  <si>
    <t>192,942.00</t>
  </si>
  <si>
    <t>78,781.00</t>
  </si>
  <si>
    <t>13,750.00</t>
  </si>
  <si>
    <t>61,550.00</t>
  </si>
  <si>
    <t>483,795.00</t>
  </si>
  <si>
    <t>4,108,797.00</t>
  </si>
  <si>
    <t>155,900.00</t>
  </si>
  <si>
    <t>86,050.00</t>
  </si>
  <si>
    <t>2,781,910.00</t>
  </si>
  <si>
    <t>693,000.00</t>
  </si>
  <si>
    <t>89,880.00</t>
  </si>
  <si>
    <t>163,811.00</t>
  </si>
  <si>
    <t>196,875.00</t>
  </si>
  <si>
    <t>4,684,400.00</t>
  </si>
  <si>
    <t>51,902.50</t>
  </si>
  <si>
    <t>2,051,366.25</t>
  </si>
  <si>
    <t>448,434.11</t>
  </si>
  <si>
    <t>180,720.00</t>
  </si>
  <si>
    <t>664,905.00</t>
  </si>
  <si>
    <t>154,531.00</t>
  </si>
  <si>
    <t>236,577.76</t>
  </si>
  <si>
    <t>33,000.00</t>
  </si>
  <si>
    <t>974,000.00</t>
  </si>
  <si>
    <t>303,490.00</t>
  </si>
  <si>
    <t>204,400.00</t>
  </si>
  <si>
    <t>355,343.00</t>
  </si>
  <si>
    <t>398,605.31</t>
  </si>
  <si>
    <t>64,325.00</t>
  </si>
  <si>
    <t>439,924.00</t>
  </si>
  <si>
    <t>321,000.00</t>
  </si>
  <si>
    <t>160,500.00</t>
  </si>
  <si>
    <t>178,800.00</t>
  </si>
  <si>
    <t>852,995.00</t>
  </si>
  <si>
    <t>120,520.00</t>
  </si>
  <si>
    <t>451,775.00</t>
  </si>
  <si>
    <t>2,747,910.00</t>
  </si>
  <si>
    <t>432,396.00</t>
  </si>
  <si>
    <t>496,462.00</t>
  </si>
  <si>
    <t>196,240.00</t>
  </si>
  <si>
    <t>308,000.00</t>
  </si>
  <si>
    <t>1,159,474.36</t>
  </si>
  <si>
    <t>48,740.00</t>
  </si>
  <si>
    <t>278,040.00</t>
  </si>
  <si>
    <t>894,181.87</t>
  </si>
  <si>
    <t>227,619.00</t>
  </si>
  <si>
    <t>283,918.85</t>
  </si>
  <si>
    <t>1,466,931.00</t>
  </si>
  <si>
    <t>244,908.00</t>
  </si>
  <si>
    <t>276,950.00</t>
  </si>
  <si>
    <t>8,600,000.00</t>
  </si>
  <si>
    <t>647,160.00</t>
  </si>
  <si>
    <t>34,554.00</t>
  </si>
  <si>
    <t>249,897.78</t>
  </si>
  <si>
    <t>139,355.25</t>
  </si>
  <si>
    <t>238,700.00</t>
  </si>
  <si>
    <t>937,645.23</t>
  </si>
  <si>
    <t>182,860.00</t>
  </si>
  <si>
    <t>124,500.00</t>
  </si>
  <si>
    <t>436,724.90</t>
  </si>
  <si>
    <t>68,568.50</t>
  </si>
  <si>
    <t>731,066.00</t>
  </si>
  <si>
    <t>70,967.00</t>
  </si>
  <si>
    <t>995,000.00</t>
  </si>
  <si>
    <t>81,520.00</t>
  </si>
  <si>
    <t>660,900.00</t>
  </si>
  <si>
    <t>77,300.00</t>
  </si>
  <si>
    <t>999,547.50</t>
  </si>
  <si>
    <t>162,750.00</t>
  </si>
  <si>
    <t>63,640.00</t>
  </si>
  <si>
    <t>72,625.00</t>
  </si>
  <si>
    <t>50,310.00</t>
  </si>
  <si>
    <t>330,145.55</t>
  </si>
  <si>
    <t>72,800.00</t>
  </si>
  <si>
    <t>116,337.68</t>
  </si>
  <si>
    <t>78,350.00</t>
  </si>
  <si>
    <t>64,949.50</t>
  </si>
  <si>
    <t>999,475.50</t>
  </si>
  <si>
    <t>450,560.00</t>
  </si>
  <si>
    <t>44,700.00</t>
  </si>
  <si>
    <t>104,640.00</t>
  </si>
  <si>
    <t>289,350.00</t>
  </si>
  <si>
    <t>742,350.00</t>
  </si>
  <si>
    <t>10,765,610.10</t>
  </si>
  <si>
    <t>1,334,240.00</t>
  </si>
  <si>
    <t>209,000.00</t>
  </si>
  <si>
    <t>1,014,840.00</t>
  </si>
  <si>
    <t>234,032.40</t>
  </si>
  <si>
    <t>59,262.00</t>
  </si>
  <si>
    <t>189,000.00</t>
  </si>
  <si>
    <t>2,072,175.00</t>
  </si>
  <si>
    <t>107,540.00</t>
  </si>
  <si>
    <t>43,950.00</t>
  </si>
  <si>
    <t>848,600.00</t>
  </si>
  <si>
    <t>23,700.00</t>
  </si>
  <si>
    <t>244,255.00</t>
  </si>
  <si>
    <t>19,570.00</t>
  </si>
  <si>
    <t>155,760.00</t>
  </si>
  <si>
    <t>62,530.00</t>
  </si>
  <si>
    <t>276,416.00</t>
  </si>
  <si>
    <t>57,272.50</t>
  </si>
  <si>
    <t>289,500.00</t>
  </si>
  <si>
    <t>174,871.40</t>
  </si>
  <si>
    <t>199,250.00</t>
  </si>
  <si>
    <t>61,520.00</t>
  </si>
  <si>
    <t>738,512.00</t>
  </si>
  <si>
    <t>1,426,500.00</t>
  </si>
  <si>
    <t>49,999.00</t>
  </si>
  <si>
    <t>585,500.00</t>
  </si>
  <si>
    <t>88,800.00</t>
  </si>
  <si>
    <t>93,160.24</t>
  </si>
  <si>
    <t>821,520.00</t>
  </si>
  <si>
    <t>169,832.80</t>
  </si>
  <si>
    <t>9,996,588.22</t>
  </si>
  <si>
    <t>28,690.00</t>
  </si>
  <si>
    <t>657,000.00</t>
  </si>
  <si>
    <t>133,800.00</t>
  </si>
  <si>
    <t>197,174.50</t>
  </si>
  <si>
    <t>822,650.87</t>
  </si>
  <si>
    <t>50,090,000.00</t>
  </si>
  <si>
    <t>64,200.00</t>
  </si>
  <si>
    <t>7,500,000.00</t>
  </si>
  <si>
    <t>163,903.00</t>
  </si>
  <si>
    <t>159,000.00</t>
  </si>
  <si>
    <t>282,080.00</t>
  </si>
  <si>
    <t>157,895.00</t>
  </si>
  <si>
    <t>293,759.00</t>
  </si>
  <si>
    <t>97,318.00</t>
  </si>
  <si>
    <t>251,818.46</t>
  </si>
  <si>
    <t>106,600.00</t>
  </si>
  <si>
    <t>112,266.82</t>
  </si>
  <si>
    <t>2,662,104.16</t>
  </si>
  <si>
    <t>247,548.00</t>
  </si>
  <si>
    <t>197,780.00</t>
  </si>
  <si>
    <t>88,155.00</t>
  </si>
  <si>
    <t>99,472.00</t>
  </si>
  <si>
    <t>404,959.98</t>
  </si>
  <si>
    <t>937,500.00</t>
  </si>
  <si>
    <t>4,660.00</t>
  </si>
  <si>
    <t>158,400.00</t>
  </si>
  <si>
    <t>72,929.00</t>
  </si>
  <si>
    <t>2,016,260.50</t>
  </si>
  <si>
    <t>339,014.00</t>
  </si>
  <si>
    <t>129,570.00</t>
  </si>
  <si>
    <t>295,500.00</t>
  </si>
  <si>
    <t>155,240.00</t>
  </si>
  <si>
    <t>91,800.00</t>
  </si>
  <si>
    <t>175,875.00</t>
  </si>
  <si>
    <t>970,125.00</t>
  </si>
  <si>
    <t>63,200.00</t>
  </si>
  <si>
    <t>331,900.00</t>
  </si>
  <si>
    <t>353,000.00</t>
  </si>
  <si>
    <t>66,780.00</t>
  </si>
  <si>
    <t>111,930.00</t>
  </si>
  <si>
    <t>167,509.00</t>
  </si>
  <si>
    <t>284,400.00</t>
  </si>
  <si>
    <t>315,434.00</t>
  </si>
  <si>
    <t>133,747.00</t>
  </si>
  <si>
    <t>222,123.00</t>
  </si>
  <si>
    <t>105,500.00</t>
  </si>
  <si>
    <t>68,200.00</t>
  </si>
  <si>
    <t>226,750.00</t>
  </si>
  <si>
    <t>513,380.00</t>
  </si>
  <si>
    <t>106,053.40</t>
  </si>
  <si>
    <t>144,465.00</t>
  </si>
  <si>
    <t>2,180,779.00</t>
  </si>
  <si>
    <t>496,984.00</t>
  </si>
  <si>
    <t>243,380.00</t>
  </si>
  <si>
    <t>852,300.00</t>
  </si>
  <si>
    <t>42,560.00</t>
  </si>
  <si>
    <t>277,000.00</t>
  </si>
  <si>
    <t>2,499,966.00</t>
  </si>
  <si>
    <t>150,335.00</t>
  </si>
  <si>
    <t>82,905.00</t>
  </si>
  <si>
    <t>112,990.00</t>
  </si>
  <si>
    <t>99,100.00</t>
  </si>
  <si>
    <t>399,970.00</t>
  </si>
  <si>
    <t>72,069.60</t>
  </si>
  <si>
    <t>548,477.00</t>
  </si>
  <si>
    <t>1,265,594.54</t>
  </si>
  <si>
    <t>618,700.00</t>
  </si>
  <si>
    <t>274,801.80</t>
  </si>
  <si>
    <t>41,200.00</t>
  </si>
  <si>
    <t>851,038.98</t>
  </si>
  <si>
    <t>162,146.40</t>
  </si>
  <si>
    <t>459,388.80</t>
  </si>
  <si>
    <t>770,000.00</t>
  </si>
  <si>
    <t>127,940.00</t>
  </si>
  <si>
    <t>749,948.32</t>
  </si>
  <si>
    <t>104,050.00</t>
  </si>
  <si>
    <t>32,500.00</t>
  </si>
  <si>
    <t>101,058.00</t>
  </si>
  <si>
    <t>3,729,963.80</t>
  </si>
  <si>
    <t>40,215.00</t>
  </si>
  <si>
    <t>41,500.00</t>
  </si>
  <si>
    <t>111,150.00</t>
  </si>
  <si>
    <t>1,610,000.00</t>
  </si>
  <si>
    <t>90,033.72</t>
  </si>
  <si>
    <t>80,300.00</t>
  </si>
  <si>
    <t>100,940.00</t>
  </si>
  <si>
    <t>187,000.00</t>
  </si>
  <si>
    <t>3,950,000.00</t>
  </si>
  <si>
    <t>121,872.00</t>
  </si>
  <si>
    <t>19,980.00</t>
  </si>
  <si>
    <t>82,560.00</t>
  </si>
  <si>
    <t>199,153.50</t>
  </si>
  <si>
    <t>72,773.36</t>
  </si>
  <si>
    <t>69,300.00</t>
  </si>
  <si>
    <t>47,520.00</t>
  </si>
  <si>
    <t>1,630,000.00</t>
  </si>
  <si>
    <t>108,504.88</t>
  </si>
  <si>
    <t>176,555.25</t>
  </si>
  <si>
    <t>6,500.00</t>
  </si>
  <si>
    <t>80,100.00</t>
  </si>
  <si>
    <t>999,600.00</t>
  </si>
  <si>
    <t>16,220.00</t>
  </si>
  <si>
    <t>1,350,000.00</t>
  </si>
  <si>
    <t>77,920.00</t>
  </si>
  <si>
    <t>235,252.18</t>
  </si>
  <si>
    <t>715,587.21</t>
  </si>
  <si>
    <t>173,400.00</t>
  </si>
  <si>
    <t>4,950,023.62</t>
  </si>
  <si>
    <t>12,481,333.50</t>
  </si>
  <si>
    <t>324,490.00</t>
  </si>
  <si>
    <t>152,830.00</t>
  </si>
  <si>
    <t>1,701,625.00</t>
  </si>
  <si>
    <t>191,730.00</t>
  </si>
  <si>
    <t>129,351.20</t>
  </si>
  <si>
    <t>70,928.00</t>
  </si>
  <si>
    <t>54,980.00</t>
  </si>
  <si>
    <t>132,650.00</t>
  </si>
  <si>
    <t>355,984.00</t>
  </si>
  <si>
    <t>20,620,000.00</t>
  </si>
  <si>
    <t>181,610.00</t>
  </si>
  <si>
    <t>163,694.00</t>
  </si>
  <si>
    <t>476,366.60</t>
  </si>
  <si>
    <t>2,316,000.00</t>
  </si>
  <si>
    <t>235,400.00</t>
  </si>
  <si>
    <t>15,605,394.00</t>
  </si>
  <si>
    <t>116,485.00</t>
  </si>
  <si>
    <t>279,498.00</t>
  </si>
  <si>
    <t>263,169.00</t>
  </si>
  <si>
    <t>111,250.00</t>
  </si>
  <si>
    <t>267,134.00</t>
  </si>
  <si>
    <t>71,843.00</t>
  </si>
  <si>
    <t>959,000.00</t>
  </si>
  <si>
    <t>119,990.00</t>
  </si>
  <si>
    <t>246,090.00</t>
  </si>
  <si>
    <t>277,430.00</t>
  </si>
  <si>
    <t>71,543.00</t>
  </si>
  <si>
    <t>58,590.00</t>
  </si>
  <si>
    <t>973,015.00</t>
  </si>
  <si>
    <t>1,447,500.00</t>
  </si>
  <si>
    <t>2,299,754.26</t>
  </si>
  <si>
    <t>63,800.00</t>
  </si>
  <si>
    <t>71,770.00</t>
  </si>
  <si>
    <t>411,970.00</t>
  </si>
  <si>
    <t>103,705.95</t>
  </si>
  <si>
    <t>394,860.00</t>
  </si>
  <si>
    <t>482,099.60</t>
  </si>
  <si>
    <t>998,100.00</t>
  </si>
  <si>
    <t>3,464.00</t>
  </si>
  <si>
    <t>212,000.00</t>
  </si>
  <si>
    <t>5,040,000.00</t>
  </si>
  <si>
    <t>176,360.00</t>
  </si>
  <si>
    <t>219,134.54</t>
  </si>
  <si>
    <t>832,866.00</t>
  </si>
  <si>
    <t>65,075.00</t>
  </si>
  <si>
    <t>354,055.00</t>
  </si>
  <si>
    <t>12,540,885.93</t>
  </si>
  <si>
    <t>59,798.00</t>
  </si>
  <si>
    <t>278,800.00</t>
  </si>
  <si>
    <t>236,599.00</t>
  </si>
  <si>
    <t>130,500.68</t>
  </si>
  <si>
    <t>1,999,655.02</t>
  </si>
  <si>
    <t>211,300.00</t>
  </si>
  <si>
    <t>57,999.96</t>
  </si>
  <si>
    <t>57,570.00</t>
  </si>
  <si>
    <t>103,455.00</t>
  </si>
  <si>
    <t>161,723.50</t>
  </si>
  <si>
    <t>80,879.00</t>
  </si>
  <si>
    <t>233,730.00</t>
  </si>
  <si>
    <t>345,268.00</t>
  </si>
  <si>
    <t>100,455.00</t>
  </si>
  <si>
    <t>44,800.00</t>
  </si>
  <si>
    <t>216,800.00</t>
  </si>
  <si>
    <t>277,113.60</t>
  </si>
  <si>
    <t>131,304.00</t>
  </si>
  <si>
    <t>109,990.00</t>
  </si>
  <si>
    <t>128,945.00</t>
  </si>
  <si>
    <t>149,846.00</t>
  </si>
  <si>
    <t>432,946.25</t>
  </si>
  <si>
    <t>159,843.00</t>
  </si>
  <si>
    <t>1,212,362.00</t>
  </si>
  <si>
    <t>215,425.00</t>
  </si>
  <si>
    <t>51,972.00</t>
  </si>
  <si>
    <t>284,600.00</t>
  </si>
  <si>
    <t>268,000.00</t>
  </si>
  <si>
    <t>84,650.00</t>
  </si>
  <si>
    <t>499,348.29</t>
  </si>
  <si>
    <t>642,014.00</t>
  </si>
  <si>
    <t>52,290.00</t>
  </si>
  <si>
    <t>65,880.00</t>
  </si>
  <si>
    <t>1,060,000.00</t>
  </si>
  <si>
    <t>295,312.50</t>
  </si>
  <si>
    <t>511,750.00</t>
  </si>
  <si>
    <t>313,950.00</t>
  </si>
  <si>
    <t>188,430.00</t>
  </si>
  <si>
    <t>199,935.00</t>
  </si>
  <si>
    <t>55,197.00</t>
  </si>
  <si>
    <t>1,999,594.90</t>
  </si>
  <si>
    <t>104,065.00</t>
  </si>
  <si>
    <t>324,768.00</t>
  </si>
  <si>
    <t>5,250,000.00</t>
  </si>
  <si>
    <t>3,665,000.00</t>
  </si>
  <si>
    <t>207,570.00</t>
  </si>
  <si>
    <t>18,634.00</t>
  </si>
  <si>
    <t>125,905.00</t>
  </si>
  <si>
    <t>626,255.00</t>
  </si>
  <si>
    <t>151,300.00</t>
  </si>
  <si>
    <t>62,930.00</t>
  </si>
  <si>
    <t>392,700.00</t>
  </si>
  <si>
    <t>227,620.00</t>
  </si>
  <si>
    <t>64,290.00</t>
  </si>
  <si>
    <t>93,500.00</t>
  </si>
  <si>
    <t>152,980.00</t>
  </si>
  <si>
    <t>18,700.00</t>
  </si>
  <si>
    <t>371,700.00</t>
  </si>
  <si>
    <t>71,390.00</t>
  </si>
  <si>
    <t>921,468.00</t>
  </si>
  <si>
    <t>54,720.00</t>
  </si>
  <si>
    <t>72,243.50</t>
  </si>
  <si>
    <t>352,001.98</t>
  </si>
  <si>
    <t>34,550,000.00</t>
  </si>
  <si>
    <t>340,845.00</t>
  </si>
  <si>
    <t>1,568,299.05</t>
  </si>
  <si>
    <t>568,872.00</t>
  </si>
  <si>
    <t>56,100.00</t>
  </si>
  <si>
    <t>280.00</t>
  </si>
  <si>
    <t>286,580.00</t>
  </si>
  <si>
    <t>21,299.00</t>
  </si>
  <si>
    <t>260,300.00</t>
  </si>
  <si>
    <t>272,355.00</t>
  </si>
  <si>
    <t>330,000.00</t>
  </si>
  <si>
    <t>53,370.00</t>
  </si>
  <si>
    <t>139,877.16</t>
  </si>
  <si>
    <t>111,000.00</t>
  </si>
  <si>
    <t>118,070.00</t>
  </si>
  <si>
    <t>1,121,400.00</t>
  </si>
  <si>
    <t>145,240.00</t>
  </si>
  <si>
    <t>113,459.00</t>
  </si>
  <si>
    <t>429,800.00</t>
  </si>
  <si>
    <t>109,726.00</t>
  </si>
  <si>
    <t>1,170,000.00</t>
  </si>
  <si>
    <t>325,939.00</t>
  </si>
  <si>
    <t>151,495.00</t>
  </si>
  <si>
    <t>239,000.00</t>
  </si>
  <si>
    <t>84,980.00</t>
  </si>
  <si>
    <t>221,200.00</t>
  </si>
  <si>
    <t>284,550.00</t>
  </si>
  <si>
    <t>761,300.00</t>
  </si>
  <si>
    <t>90,220.00</t>
  </si>
  <si>
    <t>293,535.00</t>
  </si>
  <si>
    <t>651,214.00</t>
  </si>
  <si>
    <t>10,854,360.00</t>
  </si>
  <si>
    <t>728,000.00</t>
  </si>
  <si>
    <t>478,718.00</t>
  </si>
  <si>
    <t>154,500.00</t>
  </si>
  <si>
    <t>4,805,950.00</t>
  </si>
  <si>
    <t>242,171.00</t>
  </si>
  <si>
    <t>3,895.00</t>
  </si>
  <si>
    <t>290,866.00</t>
  </si>
  <si>
    <t>51,643.00</t>
  </si>
  <si>
    <t>904,830.00</t>
  </si>
  <si>
    <t>148,720.00</t>
  </si>
  <si>
    <t>65,525.00</t>
  </si>
  <si>
    <t>26,545.00</t>
  </si>
  <si>
    <t>169,880.00</t>
  </si>
  <si>
    <t>632,000.00</t>
  </si>
  <si>
    <t>95,080.00</t>
  </si>
  <si>
    <t>551,400.00</t>
  </si>
  <si>
    <t>374,851.05</t>
  </si>
  <si>
    <t>345,075.00</t>
  </si>
  <si>
    <t>251,805.00</t>
  </si>
  <si>
    <t>194,573.00</t>
  </si>
  <si>
    <t>58,720.00</t>
  </si>
  <si>
    <t>23,715.00</t>
  </si>
  <si>
    <t>24,500.00</t>
  </si>
  <si>
    <t>131,290.00</t>
  </si>
  <si>
    <t>358,904.00</t>
  </si>
  <si>
    <t>42,850.00</t>
  </si>
  <si>
    <t>4,198,550.00</t>
  </si>
  <si>
    <t>12,530.00</t>
  </si>
  <si>
    <t>53,688.25</t>
  </si>
  <si>
    <t>193,633.62</t>
  </si>
  <si>
    <t>349,700.00</t>
  </si>
  <si>
    <t>847,734.72</t>
  </si>
  <si>
    <t>395,500.00</t>
  </si>
  <si>
    <t>2,064,700.00</t>
  </si>
  <si>
    <t>95,100.00</t>
  </si>
  <si>
    <t>119,470.00</t>
  </si>
  <si>
    <t>25,012.00</t>
  </si>
  <si>
    <t>2,006,020.00</t>
  </si>
  <si>
    <t>14,990.00</t>
  </si>
  <si>
    <t>967,081.50</t>
  </si>
  <si>
    <t>91,300.00</t>
  </si>
  <si>
    <t>124,890.00</t>
  </si>
  <si>
    <t>56,659.50</t>
  </si>
  <si>
    <t>232,800.00</t>
  </si>
  <si>
    <t>151,616.00</t>
  </si>
  <si>
    <t>20,990.00</t>
  </si>
  <si>
    <t>336,615.00</t>
  </si>
  <si>
    <t>7,953,430.00</t>
  </si>
  <si>
    <t>3,004,575.74</t>
  </si>
  <si>
    <t>200,750.00</t>
  </si>
  <si>
    <t>4,750.00</t>
  </si>
  <si>
    <t>148,324.04</t>
  </si>
  <si>
    <t>233,880.00</t>
  </si>
  <si>
    <t>81,324.00</t>
  </si>
  <si>
    <t>7,392.00</t>
  </si>
  <si>
    <t>1,500,797.00</t>
  </si>
  <si>
    <t>4,667,948.40</t>
  </si>
  <si>
    <t>230,323.00</t>
  </si>
  <si>
    <t>99,760.00</t>
  </si>
  <si>
    <t>145,720.00</t>
  </si>
  <si>
    <t>138,200.00</t>
  </si>
  <si>
    <t>85,015.00</t>
  </si>
  <si>
    <t>3,800.00</t>
  </si>
  <si>
    <t>169,750.00</t>
  </si>
  <si>
    <t>113,600.00</t>
  </si>
  <si>
    <t>20,475.00</t>
  </si>
  <si>
    <t>71,050.00</t>
  </si>
  <si>
    <t>1,030,950.00</t>
  </si>
  <si>
    <t>46,760.00</t>
  </si>
  <si>
    <t>984,100.00</t>
  </si>
  <si>
    <t>1,292,444.00</t>
  </si>
  <si>
    <t>10,200.00</t>
  </si>
  <si>
    <t>14,150.00</t>
  </si>
  <si>
    <t>199,993.50</t>
  </si>
  <si>
    <t>121,725.00</t>
  </si>
  <si>
    <t>111,270.00</t>
  </si>
  <si>
    <t>6,840,000.00</t>
  </si>
  <si>
    <t>123,968.00</t>
  </si>
  <si>
    <t>206,740.00</t>
  </si>
  <si>
    <t>3,547,781.30</t>
  </si>
  <si>
    <t>17,685.00</t>
  </si>
  <si>
    <t>149,043.00</t>
  </si>
  <si>
    <t>52,950.00</t>
  </si>
  <si>
    <t>3,681,714.32</t>
  </si>
  <si>
    <t>280,200.00</t>
  </si>
  <si>
    <t>99,993.68</t>
  </si>
  <si>
    <t>28,800.00</t>
  </si>
  <si>
    <t>70,200.00</t>
  </si>
  <si>
    <t>21,900.00</t>
  </si>
  <si>
    <t>70,300.00</t>
  </si>
  <si>
    <t>209,333.60</t>
  </si>
  <si>
    <t>80,000,000.00</t>
  </si>
  <si>
    <t>22,255.00</t>
  </si>
  <si>
    <t>3,417,817.52</t>
  </si>
  <si>
    <t>561,000.00</t>
  </si>
  <si>
    <t>7,331,900.00</t>
  </si>
  <si>
    <t>26,475.00</t>
  </si>
  <si>
    <t>87,065.00</t>
  </si>
  <si>
    <t>45,900.00</t>
  </si>
  <si>
    <t>186,167.60</t>
  </si>
  <si>
    <t>101,312.00</t>
  </si>
  <si>
    <t>44,400.00</t>
  </si>
  <si>
    <t>1,135,800.00</t>
  </si>
  <si>
    <t>3,161,200.00</t>
  </si>
  <si>
    <t>849,830.33</t>
  </si>
  <si>
    <t>203,868.00</t>
  </si>
  <si>
    <t>143,753.00</t>
  </si>
  <si>
    <t>1,519,262.60</t>
  </si>
  <si>
    <t>298,515.00</t>
  </si>
  <si>
    <t>591,083.36</t>
  </si>
  <si>
    <t>299,921.25</t>
  </si>
  <si>
    <t>2,261,000.00</t>
  </si>
  <si>
    <t>257,500.00</t>
  </si>
  <si>
    <t>201,997.00</t>
  </si>
  <si>
    <t>161,500.00</t>
  </si>
  <si>
    <t>37,900.00</t>
  </si>
  <si>
    <t>7,680.00</t>
  </si>
  <si>
    <t>24,350.00</t>
  </si>
  <si>
    <t>90,300.00</t>
  </si>
  <si>
    <t>138,655.00</t>
  </si>
  <si>
    <t>847,425.00</t>
  </si>
  <si>
    <t>53,200.00</t>
  </si>
  <si>
    <t>113,750.00</t>
  </si>
  <si>
    <t>97,325.00</t>
  </si>
  <si>
    <t>406,560.00</t>
  </si>
  <si>
    <t>269,547.00</t>
  </si>
  <si>
    <t>551,224.38</t>
  </si>
  <si>
    <t>130,450.00</t>
  </si>
  <si>
    <t>1,979,667.34</t>
  </si>
  <si>
    <t>150,440.00</t>
  </si>
  <si>
    <t>286,000.00</t>
  </si>
  <si>
    <t>1,300.00</t>
  </si>
  <si>
    <t>257,509.00</t>
  </si>
  <si>
    <t>59,950.00</t>
  </si>
  <si>
    <t>277,500.00</t>
  </si>
  <si>
    <t>12,960.00</t>
  </si>
  <si>
    <t>694,360.50</t>
  </si>
  <si>
    <t>69,008.00</t>
  </si>
  <si>
    <t>120,467.20</t>
  </si>
  <si>
    <t>170,100.00</t>
  </si>
  <si>
    <t>3,050,000.00</t>
  </si>
  <si>
    <t>500,850.00</t>
  </si>
  <si>
    <t>2,969,988.47</t>
  </si>
  <si>
    <t>338,800.00</t>
  </si>
  <si>
    <t>2,997,150.18</t>
  </si>
  <si>
    <t>1,105,000.00</t>
  </si>
  <si>
    <t>102,750.00</t>
  </si>
  <si>
    <t>1,445,000.00</t>
  </si>
  <si>
    <t>739,455.00</t>
  </si>
  <si>
    <t>262,746.24</t>
  </si>
  <si>
    <t>100,445.00</t>
  </si>
  <si>
    <t>588,480.00</t>
  </si>
  <si>
    <t>54,755.00</t>
  </si>
  <si>
    <t>66,533.00</t>
  </si>
  <si>
    <t>237,460.00</t>
  </si>
  <si>
    <t>55,684.00</t>
  </si>
  <si>
    <t>999,991.00</t>
  </si>
  <si>
    <t>2,969,800.96</t>
  </si>
  <si>
    <t>6,200,000.00</t>
  </si>
  <si>
    <t>1,131,377.16</t>
  </si>
  <si>
    <t>607,400.00</t>
  </si>
  <si>
    <t>69,975.00</t>
  </si>
  <si>
    <t>508,063.00</t>
  </si>
  <si>
    <t>12,373,217.23</t>
  </si>
  <si>
    <t>2,384,773.04</t>
  </si>
  <si>
    <t>25,200.00</t>
  </si>
  <si>
    <t>516,935.00</t>
  </si>
  <si>
    <t>996,000.00</t>
  </si>
  <si>
    <t>668,000.00</t>
  </si>
  <si>
    <t>149,194.50</t>
  </si>
  <si>
    <t>94,274.40</t>
  </si>
  <si>
    <t>435,712.00</t>
  </si>
  <si>
    <t>1,944,791.88</t>
  </si>
  <si>
    <t>68,911.55</t>
  </si>
  <si>
    <t>251,000.00</t>
  </si>
  <si>
    <t>916,000.00</t>
  </si>
  <si>
    <t>49,800.00</t>
  </si>
  <si>
    <t>283,232.00</t>
  </si>
  <si>
    <t>425,880.00</t>
  </si>
  <si>
    <t>488,250.00</t>
  </si>
  <si>
    <t>398,000.00</t>
  </si>
  <si>
    <t>2,969,755.16</t>
  </si>
  <si>
    <t>599,590.00</t>
  </si>
  <si>
    <t>1,082,500.00</t>
  </si>
  <si>
    <t>194,720.00</t>
  </si>
  <si>
    <t>651,125.00</t>
  </si>
  <si>
    <t>2,853,955.24</t>
  </si>
  <si>
    <t>393,000.00</t>
  </si>
  <si>
    <t>93,365.00</t>
  </si>
  <si>
    <t>198,016.00</t>
  </si>
  <si>
    <t>11,875.00</t>
  </si>
  <si>
    <t>3,818,500.00</t>
  </si>
  <si>
    <t>2,939,873.43</t>
  </si>
  <si>
    <t>174,356.00</t>
  </si>
  <si>
    <t>100,400.00</t>
  </si>
  <si>
    <t>133,476.00</t>
  </si>
  <si>
    <t>140,320.00</t>
  </si>
  <si>
    <t>199,992.00</t>
  </si>
  <si>
    <t>220,500.00</t>
  </si>
  <si>
    <t>345,849.59</t>
  </si>
  <si>
    <t>2,969,965.44</t>
  </si>
  <si>
    <t>49,750,000.00</t>
  </si>
  <si>
    <t>1,959,084.56</t>
  </si>
  <si>
    <t>28,700.00</t>
  </si>
  <si>
    <t>116,250.00</t>
  </si>
  <si>
    <t>5,464,195.00</t>
  </si>
  <si>
    <t>371,000.00</t>
  </si>
  <si>
    <t>165,600.00</t>
  </si>
  <si>
    <t>1,979,461.42</t>
  </si>
  <si>
    <t>604,500.00</t>
  </si>
  <si>
    <t>133,948.60</t>
  </si>
  <si>
    <t>155,230.90</t>
  </si>
  <si>
    <t>146,750.00</t>
  </si>
  <si>
    <t>112,932.50</t>
  </si>
  <si>
    <t>78,208.75</t>
  </si>
  <si>
    <t>21,545.00</t>
  </si>
  <si>
    <t>2,065,366.40</t>
  </si>
  <si>
    <t>198,262.00</t>
  </si>
  <si>
    <t>2,939,691.87</t>
  </si>
  <si>
    <t>172,949.19</t>
  </si>
  <si>
    <t>1,900.00</t>
  </si>
  <si>
    <t>100,100.00</t>
  </si>
  <si>
    <t>1,010,000.00</t>
  </si>
  <si>
    <t>143,500.00</t>
  </si>
  <si>
    <t>136,125.00</t>
  </si>
  <si>
    <t>810,244.60</t>
  </si>
  <si>
    <t>154,320.00</t>
  </si>
  <si>
    <t>66,200.00</t>
  </si>
  <si>
    <t>6,404,893.74</t>
  </si>
  <si>
    <t>185,250.00</t>
  </si>
  <si>
    <t>453,500.00</t>
  </si>
  <si>
    <t>1,305,175.66</t>
  </si>
  <si>
    <t>30,340.00</t>
  </si>
  <si>
    <t>70,500.00</t>
  </si>
  <si>
    <t>1,979,513.86</t>
  </si>
  <si>
    <t>172,800.00</t>
  </si>
  <si>
    <t>86,880.00</t>
  </si>
  <si>
    <t>148,000.00</t>
  </si>
  <si>
    <t>71,976.00</t>
  </si>
  <si>
    <t>245,910.00</t>
  </si>
  <si>
    <t>105,222.81</t>
  </si>
  <si>
    <t>2,072,432.03</t>
  </si>
  <si>
    <t>8,706.00</t>
  </si>
  <si>
    <t>1,450,457.65</t>
  </si>
  <si>
    <t>61,500.00</t>
  </si>
  <si>
    <t>4,503,000.00</t>
  </si>
  <si>
    <t>125,911.75</t>
  </si>
  <si>
    <t>259,792.00</t>
  </si>
  <si>
    <t>160,550.00</t>
  </si>
  <si>
    <t>257,760.00</t>
  </si>
  <si>
    <t>208,420.00</t>
  </si>
  <si>
    <t>301,600.00</t>
  </si>
  <si>
    <t>972,000.00</t>
  </si>
  <si>
    <t>114,077.00</t>
  </si>
  <si>
    <t>299,984.00</t>
  </si>
  <si>
    <t>161,760.00</t>
  </si>
  <si>
    <t>265,365.00</t>
  </si>
  <si>
    <t>1,200,001.45</t>
  </si>
  <si>
    <t>103,100.00</t>
  </si>
  <si>
    <t>26,900.00</t>
  </si>
  <si>
    <t>2,060,815.67</t>
  </si>
  <si>
    <t>5,049,964.74</t>
  </si>
  <si>
    <t>117,600.00</t>
  </si>
  <si>
    <t>999,999.99</t>
  </si>
  <si>
    <t>131,700.00</t>
  </si>
  <si>
    <t>64,960.00</t>
  </si>
  <si>
    <t>89,739.22</t>
  </si>
  <si>
    <t>2,805,225.00</t>
  </si>
  <si>
    <t>636,000.00</t>
  </si>
  <si>
    <t>180,096.00</t>
  </si>
  <si>
    <t>196,420.00</t>
  </si>
  <si>
    <t>86,765.00</t>
  </si>
  <si>
    <t>199,945.00</t>
  </si>
  <si>
    <t>167,850.00</t>
  </si>
  <si>
    <t>159,440.00</t>
  </si>
  <si>
    <t>578,003.00</t>
  </si>
  <si>
    <t>818,500.00</t>
  </si>
  <si>
    <t>270,600.00</t>
  </si>
  <si>
    <t>24,639.00</t>
  </si>
  <si>
    <t>408,000.00</t>
  </si>
  <si>
    <t>95,700.00</t>
  </si>
  <si>
    <t>31,245.00</t>
  </si>
  <si>
    <t>180,468.00</t>
  </si>
  <si>
    <t>69,450.00</t>
  </si>
  <si>
    <t>2,940,000.00</t>
  </si>
  <si>
    <t>760,700.00</t>
  </si>
  <si>
    <t>52,035.00</t>
  </si>
  <si>
    <t>340,408.50</t>
  </si>
  <si>
    <t>160,720.00</t>
  </si>
  <si>
    <t>645,878.00</t>
  </si>
  <si>
    <t>109,891.46</t>
  </si>
  <si>
    <t>141,960.00</t>
  </si>
  <si>
    <t>100,800.00</t>
  </si>
  <si>
    <t>51,840.00</t>
  </si>
  <si>
    <t>67,455.80</t>
  </si>
  <si>
    <t>319,200.00</t>
  </si>
  <si>
    <t>45,528.00</t>
  </si>
  <si>
    <t>113,550.00</t>
  </si>
  <si>
    <t>306,500.00</t>
  </si>
  <si>
    <t>282,500.00</t>
  </si>
  <si>
    <t>163,100.00</t>
  </si>
  <si>
    <t>483,697.00</t>
  </si>
  <si>
    <t>137,725.00</t>
  </si>
  <si>
    <t>154,000.00</t>
  </si>
  <si>
    <t>399,790.68</t>
  </si>
  <si>
    <t>92,150.00</t>
  </si>
  <si>
    <t>77,752.45</t>
  </si>
  <si>
    <t>356,000.00</t>
  </si>
  <si>
    <t>2,626,845.74</t>
  </si>
  <si>
    <t>314,000.00</t>
  </si>
  <si>
    <t>353,214.00</t>
  </si>
  <si>
    <t>122,580.60</t>
  </si>
  <si>
    <t>750,012.90</t>
  </si>
  <si>
    <t>4,167,750.00</t>
  </si>
  <si>
    <t>72,100.00</t>
  </si>
  <si>
    <t>1,182,058.29</t>
  </si>
  <si>
    <t>978,000.00</t>
  </si>
  <si>
    <t>117,042.00</t>
  </si>
  <si>
    <t>5,940.00</t>
  </si>
  <si>
    <t>99,700.00</t>
  </si>
  <si>
    <t>75,534.00</t>
  </si>
  <si>
    <t>2,480.00</t>
  </si>
  <si>
    <t>91,270.00</t>
  </si>
  <si>
    <t>133,140.18</t>
  </si>
  <si>
    <t>257,600.00</t>
  </si>
  <si>
    <t>252,129.00</t>
  </si>
  <si>
    <t>113,200.00</t>
  </si>
  <si>
    <t>56,431.00</t>
  </si>
  <si>
    <t>112,460.00</t>
  </si>
  <si>
    <t>146,160.00</t>
  </si>
  <si>
    <t>63,720.00</t>
  </si>
  <si>
    <t>7,821,050.93</t>
  </si>
  <si>
    <t>136,118.00</t>
  </si>
  <si>
    <t>225,444.50</t>
  </si>
  <si>
    <t>70,690.00</t>
  </si>
  <si>
    <t>343,565.00</t>
  </si>
  <si>
    <t>6,620,000.00</t>
  </si>
  <si>
    <t>117,185.00</t>
  </si>
  <si>
    <t>599,595.83</t>
  </si>
  <si>
    <t>58,240.00</t>
  </si>
  <si>
    <t>299,583.25</t>
  </si>
  <si>
    <t>171,200.00</t>
  </si>
  <si>
    <t>82,700.00</t>
  </si>
  <si>
    <t>609,971.34</t>
  </si>
  <si>
    <t>61,816.00</t>
  </si>
  <si>
    <t>450,340.00</t>
  </si>
  <si>
    <t>26,152.00</t>
  </si>
  <si>
    <t>8,200.00</t>
  </si>
  <si>
    <t>65,920.00</t>
  </si>
  <si>
    <t>937,950.00</t>
  </si>
  <si>
    <t>85,010.00</t>
  </si>
  <si>
    <t>58,450.00</t>
  </si>
  <si>
    <t>449,006.00</t>
  </si>
  <si>
    <t>53,960.00</t>
  </si>
  <si>
    <t>499,715.00</t>
  </si>
  <si>
    <t>194,000.00</t>
  </si>
  <si>
    <t>126,450.00</t>
  </si>
  <si>
    <t>43,164.00</t>
  </si>
  <si>
    <t>9,600,000.00</t>
  </si>
  <si>
    <t>1,120,000.00</t>
  </si>
  <si>
    <t>799,992.79</t>
  </si>
  <si>
    <t>255,700.00</t>
  </si>
  <si>
    <t>970,683.00</t>
  </si>
  <si>
    <t>53,450.00</t>
  </si>
  <si>
    <t>89,287.00</t>
  </si>
  <si>
    <t>241,500.00</t>
  </si>
  <si>
    <t>346,125.00</t>
  </si>
  <si>
    <t>776,802.33</t>
  </si>
  <si>
    <t>126,179.50</t>
  </si>
  <si>
    <t>194,863.00</t>
  </si>
  <si>
    <t>73,155.00</t>
  </si>
  <si>
    <t>58,500.00</t>
  </si>
  <si>
    <t>11,960,190.71</t>
  </si>
  <si>
    <t>8,933,165.00</t>
  </si>
  <si>
    <t>140,300.00</t>
  </si>
  <si>
    <t>67,204.00</t>
  </si>
  <si>
    <t>19,742.50</t>
  </si>
  <si>
    <t>153,999.00</t>
  </si>
  <si>
    <t>70,000,000.00</t>
  </si>
  <si>
    <t>86,295.00</t>
  </si>
  <si>
    <t>115,800,000.00</t>
  </si>
  <si>
    <t>460,130.00</t>
  </si>
  <si>
    <t>514,990.00</t>
  </si>
  <si>
    <t>194,375.00</t>
  </si>
  <si>
    <t>18,975.00</t>
  </si>
  <si>
    <t>120,060.00</t>
  </si>
  <si>
    <t>4,845,999.67</t>
  </si>
  <si>
    <t>100,005.00</t>
  </si>
  <si>
    <t>805,500.00</t>
  </si>
  <si>
    <t>99,899.00</t>
  </si>
  <si>
    <t>507,460.17</t>
  </si>
  <si>
    <t>199,870.00</t>
  </si>
  <si>
    <t>17,200.00</t>
  </si>
  <si>
    <t>232,200.00</t>
  </si>
  <si>
    <t>223,100.00</t>
  </si>
  <si>
    <t>1,139,636.56</t>
  </si>
  <si>
    <t>1,775,253.00</t>
  </si>
  <si>
    <t>105,588.00</t>
  </si>
  <si>
    <t>28,600.00</t>
  </si>
  <si>
    <t>8,892,680.75</t>
  </si>
  <si>
    <t>698,000.00</t>
  </si>
  <si>
    <t>364,587.50</t>
  </si>
  <si>
    <t>499,925.94</t>
  </si>
  <si>
    <t>28,750,000.00</t>
  </si>
  <si>
    <t>489,645.95</t>
  </si>
  <si>
    <t>215,536.00</t>
  </si>
  <si>
    <t>173,560.00</t>
  </si>
  <si>
    <t>142,290.00</t>
  </si>
  <si>
    <t>677,291.38</t>
  </si>
  <si>
    <t>374,995.53</t>
  </si>
  <si>
    <t>13,250,000.00</t>
  </si>
  <si>
    <t>83,074.00</t>
  </si>
  <si>
    <t>16,100.00</t>
  </si>
  <si>
    <t>1,921,752.00</t>
  </si>
  <si>
    <t>197,000.00</t>
  </si>
  <si>
    <t>2,912,460.78</t>
  </si>
  <si>
    <t>93,734.00</t>
  </si>
  <si>
    <t>384,500.00</t>
  </si>
  <si>
    <t>5,326,702.71</t>
  </si>
  <si>
    <t>86,275.00</t>
  </si>
  <si>
    <t>17,526,700.00</t>
  </si>
  <si>
    <t>79,064.00</t>
  </si>
  <si>
    <t>176,703.50</t>
  </si>
  <si>
    <t>89,555.00</t>
  </si>
  <si>
    <t>1,496,737.14</t>
  </si>
  <si>
    <t>104,250.00</t>
  </si>
  <si>
    <t>2,320,390.00</t>
  </si>
  <si>
    <t>113,344.00</t>
  </si>
  <si>
    <t>199,350.00</t>
  </si>
  <si>
    <t>72,974.00</t>
  </si>
  <si>
    <t>167,405.00</t>
  </si>
  <si>
    <t>51,204.00</t>
  </si>
  <si>
    <t>4,570,731.00</t>
  </si>
  <si>
    <t>52,140.00</t>
  </si>
  <si>
    <t>299,741.59</t>
  </si>
  <si>
    <t>17,100.00</t>
  </si>
  <si>
    <t>2,109,484.00</t>
  </si>
  <si>
    <t>181,235.00</t>
  </si>
  <si>
    <t>118,000.00</t>
  </si>
  <si>
    <t>58,858.00</t>
  </si>
  <si>
    <t>192,864.00</t>
  </si>
  <si>
    <t>403,675.00</t>
  </si>
  <si>
    <t>117,556.00</t>
  </si>
  <si>
    <t>161,000.00</t>
  </si>
  <si>
    <t>7,064.00</t>
  </si>
  <si>
    <t>2,610,000.00</t>
  </si>
  <si>
    <t>2,094,148.91</t>
  </si>
  <si>
    <t>997,060.00</t>
  </si>
  <si>
    <t>484,790.00</t>
  </si>
  <si>
    <t>8,890,200.00</t>
  </si>
  <si>
    <t>227,960.00</t>
  </si>
  <si>
    <t>1,873,300.00</t>
  </si>
  <si>
    <t>998,000.99</t>
  </si>
  <si>
    <t>1,728,000.00</t>
  </si>
  <si>
    <t>2,060,000.00</t>
  </si>
  <si>
    <t>701,710.00</t>
  </si>
  <si>
    <t>1,901,886.79</t>
  </si>
  <si>
    <t>534,600.00</t>
  </si>
  <si>
    <t>149,244.75</t>
  </si>
  <si>
    <t>895,575.00</t>
  </si>
  <si>
    <t>1,915,300.00</t>
  </si>
  <si>
    <t>2,870,000.00</t>
  </si>
  <si>
    <t>73,800.00</t>
  </si>
  <si>
    <t>2,900,000.00</t>
  </si>
  <si>
    <t>57,750.00</t>
  </si>
  <si>
    <t>4,480.00</t>
  </si>
  <si>
    <t>2,909,614.66</t>
  </si>
  <si>
    <t>78,009.49</t>
  </si>
  <si>
    <t>107,800.00</t>
  </si>
  <si>
    <t>998,019.00</t>
  </si>
  <si>
    <t>38,534.08</t>
  </si>
  <si>
    <t>999,570.00</t>
  </si>
  <si>
    <t>999,432.50</t>
  </si>
  <si>
    <t>13,823,000.00</t>
  </si>
  <si>
    <t>47,175.00</t>
  </si>
  <si>
    <t>299,398.06</t>
  </si>
  <si>
    <t>1,663,657.97</t>
  </si>
  <si>
    <t>515,011.88</t>
  </si>
  <si>
    <t>23,150.00</t>
  </si>
  <si>
    <t>17,800.00</t>
  </si>
  <si>
    <t>213,275.00</t>
  </si>
  <si>
    <t>199,936.01</t>
  </si>
  <si>
    <t>135,970.00</t>
  </si>
  <si>
    <t>395,000.00</t>
  </si>
  <si>
    <t>499,042.96</t>
  </si>
  <si>
    <t>53,333.33</t>
  </si>
  <si>
    <t>36,842.00</t>
  </si>
  <si>
    <t>995,120.00</t>
  </si>
  <si>
    <t>3,945.00</t>
  </si>
  <si>
    <t>199,690.00</t>
  </si>
  <si>
    <t>14,010.00</t>
  </si>
  <si>
    <t>594.00</t>
  </si>
  <si>
    <t>644,000.00</t>
  </si>
  <si>
    <t>234,368.00</t>
  </si>
  <si>
    <t>19,127.00</t>
  </si>
  <si>
    <t>1,466,000.00</t>
  </si>
  <si>
    <t>127,140,000.00</t>
  </si>
  <si>
    <t>158,876.00</t>
  </si>
  <si>
    <t>1,144,590.90</t>
  </si>
  <si>
    <t>350.00</t>
  </si>
  <si>
    <t>99,960.00</t>
  </si>
  <si>
    <t>2,513,150.00</t>
  </si>
  <si>
    <t>229,089.17</t>
  </si>
  <si>
    <t>4,181,955.90</t>
  </si>
  <si>
    <t>571,000.00</t>
  </si>
  <si>
    <t>2,551,000.00</t>
  </si>
  <si>
    <t>19,899,786.54</t>
  </si>
  <si>
    <t>499,218.00</t>
  </si>
  <si>
    <t>22,801,822.76</t>
  </si>
  <si>
    <t>984,737.54</t>
  </si>
  <si>
    <t>96,499,135.60</t>
  </si>
  <si>
    <t>61,410.00</t>
  </si>
  <si>
    <t>1,959,230.12</t>
  </si>
  <si>
    <t>630,080.00</t>
  </si>
  <si>
    <t>74,800.00</t>
  </si>
  <si>
    <t>893,248.77</t>
  </si>
  <si>
    <t>1,881,991.40</t>
  </si>
  <si>
    <t>25,456.00</t>
  </si>
  <si>
    <t>213,200.00</t>
  </si>
  <si>
    <t>117,500.00</t>
  </si>
  <si>
    <t>1,968,791.19</t>
  </si>
  <si>
    <t>506,705.00</t>
  </si>
  <si>
    <t>108,900.00</t>
  </si>
  <si>
    <t>317,086.90</t>
  </si>
  <si>
    <t>220,884.00</t>
  </si>
  <si>
    <t>10,421.00</t>
  </si>
  <si>
    <t>1,951,693.72</t>
  </si>
  <si>
    <t>36,640.00</t>
  </si>
  <si>
    <t>2,726,500.00</t>
  </si>
  <si>
    <t>157,800.00</t>
  </si>
  <si>
    <t>522,500.00</t>
  </si>
  <si>
    <t>14,769.00</t>
  </si>
  <si>
    <t>484,959.64</t>
  </si>
  <si>
    <t>2,989,060.00</t>
  </si>
  <si>
    <t>1,032,540.20</t>
  </si>
  <si>
    <t>637,125.00</t>
  </si>
  <si>
    <t>2,215,139.00</t>
  </si>
  <si>
    <t>146,050.00</t>
  </si>
  <si>
    <t>452,000.00</t>
  </si>
  <si>
    <t>54,565.00</t>
  </si>
  <si>
    <t>2,999,999.67</t>
  </si>
  <si>
    <t>2,191,075.00</t>
  </si>
  <si>
    <t>70,904.40</t>
  </si>
  <si>
    <t>4,216,000.00</t>
  </si>
  <si>
    <t>1,061,168.95</t>
  </si>
  <si>
    <t>508,000.00</t>
  </si>
  <si>
    <t>1,543,839.67</t>
  </si>
  <si>
    <t>726,500.00</t>
  </si>
  <si>
    <t>1,648.00</t>
  </si>
  <si>
    <t>999,930.00</t>
  </si>
  <si>
    <t>514,000.00</t>
  </si>
  <si>
    <t>498,870.00</t>
  </si>
  <si>
    <t>579,610.80</t>
  </si>
  <si>
    <t>498,100.93</t>
  </si>
  <si>
    <t>3,837,420.00</t>
  </si>
  <si>
    <t>59,900.00</t>
  </si>
  <si>
    <t>996,100.00</t>
  </si>
  <si>
    <t>1,499,200.00</t>
  </si>
  <si>
    <t>1,954,347.39</t>
  </si>
  <si>
    <t>365,450.00</t>
  </si>
  <si>
    <t>59,760.00</t>
  </si>
  <si>
    <t>87,230.00</t>
  </si>
  <si>
    <t>63,750,000.00</t>
  </si>
  <si>
    <t>84,062.00</t>
  </si>
  <si>
    <t>499,000.00</t>
  </si>
  <si>
    <t>18,027.00</t>
  </si>
  <si>
    <t>5,535,125.00</t>
  </si>
  <si>
    <t>499,840.00</t>
  </si>
  <si>
    <t>177,750.00</t>
  </si>
  <si>
    <t>282,425.50</t>
  </si>
  <si>
    <t>14,057,904.00</t>
  </si>
  <si>
    <t>106,500.00</t>
  </si>
  <si>
    <t>66,478.00</t>
  </si>
  <si>
    <t>268,560.00</t>
  </si>
  <si>
    <t>66,675.00</t>
  </si>
  <si>
    <t>75,175.00</t>
  </si>
  <si>
    <t>6,596,943.97</t>
  </si>
  <si>
    <t>2,846,228.00</t>
  </si>
  <si>
    <t>971,750.00</t>
  </si>
  <si>
    <t>405,250.00</t>
  </si>
  <si>
    <t>200,500.00</t>
  </si>
  <si>
    <t>39,600.00</t>
  </si>
  <si>
    <t>98,706.60</t>
  </si>
  <si>
    <t>499,275.00</t>
  </si>
  <si>
    <t>347,712.00</t>
  </si>
  <si>
    <t>26,500,000.00</t>
  </si>
  <si>
    <t>151,336.00</t>
  </si>
  <si>
    <t>66,760.00</t>
  </si>
  <si>
    <t>3,566,065.00</t>
  </si>
  <si>
    <t>357,200.00</t>
  </si>
  <si>
    <t>20,585.60</t>
  </si>
  <si>
    <t>59,640.00</t>
  </si>
  <si>
    <t>287,690.00</t>
  </si>
  <si>
    <t>157,000.00</t>
  </si>
  <si>
    <t>5,080,000.00</t>
  </si>
  <si>
    <t>9,307,372.03</t>
  </si>
  <si>
    <t>109,435.00</t>
  </si>
  <si>
    <t>3,830,259.73</t>
  </si>
  <si>
    <t>1,907,220.37</t>
  </si>
  <si>
    <t>53,087.00</t>
  </si>
  <si>
    <t>193,418.00</t>
  </si>
  <si>
    <t>173,295.00</t>
  </si>
  <si>
    <t>1,384,000.00</t>
  </si>
  <si>
    <t>149,425.00</t>
  </si>
  <si>
    <t>3,032,123.00</t>
  </si>
  <si>
    <t>3,970,000.00</t>
  </si>
  <si>
    <t>67,791.00</t>
  </si>
  <si>
    <t>232,320.00</t>
  </si>
  <si>
    <t>233,064.00</t>
  </si>
  <si>
    <t>498,450.00</t>
  </si>
  <si>
    <t>12,300.00</t>
  </si>
  <si>
    <t>102,900.00</t>
  </si>
  <si>
    <t>199,920.00</t>
  </si>
  <si>
    <t>12,850.00</t>
  </si>
  <si>
    <t>2,025,000.00</t>
  </si>
  <si>
    <t>122,555.00</t>
  </si>
  <si>
    <t>22,995.00</t>
  </si>
  <si>
    <t>1,910,000.00</t>
  </si>
  <si>
    <t>93,896.00</t>
  </si>
  <si>
    <t>10,710,930.10</t>
  </si>
  <si>
    <t>117,654.00</t>
  </si>
  <si>
    <t>122,568.00</t>
  </si>
  <si>
    <t>3,270,983.00</t>
  </si>
  <si>
    <t>19,531.25</t>
  </si>
  <si>
    <t>115,500.00</t>
  </si>
  <si>
    <t>1,112,810.40</t>
  </si>
  <si>
    <t>6,800.00</t>
  </si>
  <si>
    <t>140,698.00</t>
  </si>
  <si>
    <t>91,460.00</t>
  </si>
  <si>
    <t>1,502,918.21</t>
  </si>
  <si>
    <t>3,777,000.00</t>
  </si>
  <si>
    <t>390,358.00</t>
  </si>
  <si>
    <t>78,742.88</t>
  </si>
  <si>
    <t>253,622.00</t>
  </si>
  <si>
    <t>279,750.00</t>
  </si>
  <si>
    <t>1,259,873.84</t>
  </si>
  <si>
    <t>375,584.16</t>
  </si>
  <si>
    <t>65,390.00</t>
  </si>
  <si>
    <t>43,081.00</t>
  </si>
  <si>
    <t>967,300.00</t>
  </si>
  <si>
    <t>101,740.00</t>
  </si>
  <si>
    <t>211,589.90</t>
  </si>
  <si>
    <t>672,376.56</t>
  </si>
  <si>
    <t>283,950.00</t>
  </si>
  <si>
    <t>296,393.18</t>
  </si>
  <si>
    <t>7,739,249.00</t>
  </si>
  <si>
    <t>86,500,000.00</t>
  </si>
  <si>
    <t>9,999,400.00</t>
  </si>
  <si>
    <t>499,686.52</t>
  </si>
  <si>
    <t>113,915.00</t>
  </si>
  <si>
    <t>327,804.00</t>
  </si>
  <si>
    <t>395,485.00</t>
  </si>
  <si>
    <t>308,656.03</t>
  </si>
  <si>
    <t>1,199,800.00</t>
  </si>
  <si>
    <t>276,502.00</t>
  </si>
  <si>
    <t>554,700.00</t>
  </si>
  <si>
    <t>500,150.00</t>
  </si>
  <si>
    <t>122,100.00</t>
  </si>
  <si>
    <t>567,600.00</t>
  </si>
  <si>
    <t>4,778,950.29</t>
  </si>
  <si>
    <t>207,890.19</t>
  </si>
  <si>
    <t>113,900.00</t>
  </si>
  <si>
    <t>1,614,126.00</t>
  </si>
  <si>
    <t>289,000.00</t>
  </si>
  <si>
    <t>129,960.00</t>
  </si>
  <si>
    <t>96,303.70</t>
  </si>
  <si>
    <t>256,086.00</t>
  </si>
  <si>
    <t>332,994.85</t>
  </si>
  <si>
    <t>528,414.00</t>
  </si>
  <si>
    <t>1,232,950.00</t>
  </si>
  <si>
    <t>989,820.00</t>
  </si>
  <si>
    <t>2,750,982.43</t>
  </si>
  <si>
    <t>1,780,000.00</t>
  </si>
  <si>
    <t>1,661,593.75</t>
  </si>
  <si>
    <t>2,076,705.00</t>
  </si>
  <si>
    <t>1,485,000.00</t>
  </si>
  <si>
    <t>40,000,000.00</t>
  </si>
  <si>
    <t>317,900.00</t>
  </si>
  <si>
    <t>2,370,000.00</t>
  </si>
  <si>
    <t>128,400.00</t>
  </si>
  <si>
    <t>397,666.42</t>
  </si>
  <si>
    <t>654,520.00</t>
  </si>
  <si>
    <t>284,680.00</t>
  </si>
  <si>
    <t>346,200.00</t>
  </si>
  <si>
    <t>984,500.00</t>
  </si>
  <si>
    <t>215,840.00</t>
  </si>
  <si>
    <t>89,660.00</t>
  </si>
  <si>
    <t>161,600.00</t>
  </si>
  <si>
    <t>189,960.00</t>
  </si>
  <si>
    <t>192,800.00</t>
  </si>
  <si>
    <t>4,394,606.00</t>
  </si>
  <si>
    <t>508,850.00</t>
  </si>
  <si>
    <t>194,977.20</t>
  </si>
  <si>
    <t>88,880.00</t>
  </si>
  <si>
    <t>2,380,000.00</t>
  </si>
  <si>
    <t>168,980.00</t>
  </si>
  <si>
    <t>3,211,933.56</t>
  </si>
  <si>
    <t>26,500.00</t>
  </si>
  <si>
    <t>765,402.79</t>
  </si>
  <si>
    <t>201,750.00</t>
  </si>
  <si>
    <t>4,454,973.42</t>
  </si>
  <si>
    <t>91,925.00</t>
  </si>
  <si>
    <t>111,217.00</t>
  </si>
  <si>
    <t>314,530.00</t>
  </si>
  <si>
    <t>298,831.00</t>
  </si>
  <si>
    <t>20,500.00</t>
  </si>
  <si>
    <t>4,900,000.00</t>
  </si>
  <si>
    <t>3,920,000.00</t>
  </si>
  <si>
    <t>2,497,600.00</t>
  </si>
  <si>
    <t>69,125.00</t>
  </si>
  <si>
    <t>135,700.00</t>
  </si>
  <si>
    <t>3,959,556.08</t>
  </si>
  <si>
    <t>82,950.00</t>
  </si>
  <si>
    <t>79,300.00</t>
  </si>
  <si>
    <t>256,800.00</t>
  </si>
  <si>
    <t>221,926,429.00</t>
  </si>
  <si>
    <t>700,400.00</t>
  </si>
  <si>
    <t>470,500.00</t>
  </si>
  <si>
    <t>963,425.00</t>
  </si>
  <si>
    <t>584,900.00</t>
  </si>
  <si>
    <t>144,550.00</t>
  </si>
  <si>
    <t>575,069.04</t>
  </si>
  <si>
    <t>347,520.00</t>
  </si>
  <si>
    <t>74,984.00</t>
  </si>
  <si>
    <t>4,340.00</t>
  </si>
  <si>
    <t>43,985.00</t>
  </si>
  <si>
    <t>301,000.00</t>
  </si>
  <si>
    <t>56,020.00</t>
  </si>
  <si>
    <t>242,840.56</t>
  </si>
  <si>
    <t>146,710.00</t>
  </si>
  <si>
    <t>276,000.00</t>
  </si>
  <si>
    <t>131,712.00</t>
  </si>
  <si>
    <t>55,280.00</t>
  </si>
  <si>
    <t>5,412.00</t>
  </si>
  <si>
    <t>249,700.00</t>
  </si>
  <si>
    <t>141,507.00</t>
  </si>
  <si>
    <t>8,295,112.00</t>
  </si>
  <si>
    <t>158,050.50</t>
  </si>
  <si>
    <t>446,500.00</t>
  </si>
  <si>
    <t>3,630,000.00</t>
  </si>
  <si>
    <t>82,155.57</t>
  </si>
  <si>
    <t>620,000.00</t>
  </si>
  <si>
    <t>419,000.00</t>
  </si>
  <si>
    <t>6,300.00</t>
  </si>
  <si>
    <t>186,500.00</t>
  </si>
  <si>
    <t>227,740.00</t>
  </si>
  <si>
    <t>2,810,974.46</t>
  </si>
  <si>
    <t>145,515.00</t>
  </si>
  <si>
    <t>224,702.05</t>
  </si>
  <si>
    <t>70,225.00</t>
  </si>
  <si>
    <t>525,937.34</t>
  </si>
  <si>
    <t>57,614.00</t>
  </si>
  <si>
    <t>13,998.00</t>
  </si>
  <si>
    <t>131,000.00</t>
  </si>
  <si>
    <t>199,530.00</t>
  </si>
  <si>
    <t>122,360.00</t>
  </si>
  <si>
    <t>109,800.00</t>
  </si>
  <si>
    <t>47,697.50</t>
  </si>
  <si>
    <t>50,050.00</t>
  </si>
  <si>
    <t>234,420.00</t>
  </si>
  <si>
    <t>198,874.00</t>
  </si>
  <si>
    <t>14,850.00</t>
  </si>
  <si>
    <t>4,820,000.00</t>
  </si>
  <si>
    <t>179,580.00</t>
  </si>
  <si>
    <t>49,990.00</t>
  </si>
  <si>
    <t>522,800.00</t>
  </si>
  <si>
    <t>79,195.60</t>
  </si>
  <si>
    <t>135,300.00</t>
  </si>
  <si>
    <t>175,500.00</t>
  </si>
  <si>
    <t>4,416,000.00</t>
  </si>
  <si>
    <t>458,840.00</t>
  </si>
  <si>
    <t>641,414.36</t>
  </si>
  <si>
    <t>1,092,200.00</t>
  </si>
  <si>
    <t>44,002.00</t>
  </si>
  <si>
    <t>3,959,992.62</t>
  </si>
  <si>
    <t>90,919.67</t>
  </si>
  <si>
    <t>145,110.00</t>
  </si>
  <si>
    <t>1,225,050.00</t>
  </si>
  <si>
    <t>1,345,000.00</t>
  </si>
  <si>
    <t>4,949,981.73</t>
  </si>
  <si>
    <t>198,320.00</t>
  </si>
  <si>
    <t>4,454,985.06</t>
  </si>
  <si>
    <t>398,180.00</t>
  </si>
  <si>
    <t>507,500.00</t>
  </si>
  <si>
    <t>3,875,000.00</t>
  </si>
  <si>
    <t>12,886,480.00</t>
  </si>
  <si>
    <t>249,341.19</t>
  </si>
  <si>
    <t>447,134.00</t>
  </si>
  <si>
    <t>6,160,771.66</t>
  </si>
  <si>
    <t>459,055.46</t>
  </si>
  <si>
    <t>673,200.00</t>
  </si>
  <si>
    <t>95,760.00</t>
  </si>
  <si>
    <t>152,010.00</t>
  </si>
  <si>
    <t>527,000.00</t>
  </si>
  <si>
    <t>2,991,217.61</t>
  </si>
  <si>
    <t>579,100.00</t>
  </si>
  <si>
    <t>103,365.00</t>
  </si>
  <si>
    <t>445,000.00</t>
  </si>
  <si>
    <t>335,724.64</t>
  </si>
  <si>
    <t>37,500.00</t>
  </si>
  <si>
    <t>61,097.60</t>
  </si>
  <si>
    <t>7,850,000.00</t>
  </si>
  <si>
    <t>66,250.00</t>
  </si>
  <si>
    <t>962,500.00</t>
  </si>
  <si>
    <t>85,200.00</t>
  </si>
  <si>
    <t>199,823.70</t>
  </si>
  <si>
    <t>228,164.00</t>
  </si>
  <si>
    <t>271,650.00</t>
  </si>
  <si>
    <t>30,100,000.00</t>
  </si>
  <si>
    <t>82,100.00</t>
  </si>
  <si>
    <t>97,220.00</t>
  </si>
  <si>
    <t>523,450.00</t>
  </si>
  <si>
    <t>55,400.00</t>
  </si>
  <si>
    <t>55,145.00</t>
  </si>
  <si>
    <t>562,600.00</t>
  </si>
  <si>
    <t>454,516.00</t>
  </si>
  <si>
    <t>1,126,081.32</t>
  </si>
  <si>
    <t>1,749,420.92</t>
  </si>
  <si>
    <t>1,520,532.09</t>
  </si>
  <si>
    <t>106,310.00</t>
  </si>
  <si>
    <t>3,018,400.00</t>
  </si>
  <si>
    <t>554,940.00</t>
  </si>
  <si>
    <t>2,398,631.20</t>
  </si>
  <si>
    <t>136,380.00</t>
  </si>
  <si>
    <t>48,255,025.00</t>
  </si>
  <si>
    <t>76,950.00</t>
  </si>
  <si>
    <t>3,286,800.00</t>
  </si>
  <si>
    <t>3,338,000.00</t>
  </si>
  <si>
    <t>351,000.00</t>
  </si>
  <si>
    <t>1,232,550.00</t>
  </si>
  <si>
    <t>12,259,165.21</t>
  </si>
  <si>
    <t>265,200.00</t>
  </si>
  <si>
    <t>2,999,945.75</t>
  </si>
  <si>
    <t>116,089.50</t>
  </si>
  <si>
    <t>407,718.00</t>
  </si>
  <si>
    <t>27,691.00</t>
  </si>
  <si>
    <t>1,098,000.00</t>
  </si>
  <si>
    <t>451,913,535.60</t>
  </si>
  <si>
    <t>198,900.00</t>
  </si>
  <si>
    <t>2,996,117.47</t>
  </si>
  <si>
    <t>4,800.00</t>
  </si>
  <si>
    <t>136,893,553.40</t>
  </si>
  <si>
    <t>5,895,809.00</t>
  </si>
  <si>
    <t>118,680.00</t>
  </si>
  <si>
    <t>110,898,926.55</t>
  </si>
  <si>
    <t>100,336,108.59</t>
  </si>
  <si>
    <t>790,218.00</t>
  </si>
  <si>
    <t>10,101,000.00</t>
  </si>
  <si>
    <t>368,475.00</t>
  </si>
  <si>
    <t>4,506,000.00</t>
  </si>
  <si>
    <t>34,184,969.16</t>
  </si>
  <si>
    <t>167,400.00</t>
  </si>
  <si>
    <t>38,003,199.20</t>
  </si>
  <si>
    <t>3,959,983.34</t>
  </si>
  <si>
    <t>69,100.00</t>
  </si>
  <si>
    <t>50,700.00</t>
  </si>
  <si>
    <t>9,102,603.00</t>
  </si>
  <si>
    <t>180,400.00</t>
  </si>
  <si>
    <t>805,370.00</t>
  </si>
  <si>
    <t>8,265.50</t>
  </si>
  <si>
    <t>1,498,893.76</t>
  </si>
  <si>
    <t>150,640.00</t>
  </si>
  <si>
    <t>1,270,141.60</t>
  </si>
  <si>
    <t>136,116.00</t>
  </si>
  <si>
    <t>6,870,666.37</t>
  </si>
  <si>
    <t>1,998,903.93</t>
  </si>
  <si>
    <t>187,410.00</t>
  </si>
  <si>
    <t>204,398.87</t>
  </si>
  <si>
    <t>792,260.00</t>
  </si>
  <si>
    <t>848,800.00</t>
  </si>
  <si>
    <t>78,540.00</t>
  </si>
  <si>
    <t>473,325.00</t>
  </si>
  <si>
    <t>314,800.00</t>
  </si>
  <si>
    <t>1,124,040.00</t>
  </si>
  <si>
    <t>218,827.00</t>
  </si>
  <si>
    <t>22,354,106.69</t>
  </si>
  <si>
    <t>175,064.89</t>
  </si>
  <si>
    <t>388,350.00</t>
  </si>
  <si>
    <t>161,854.00</t>
  </si>
  <si>
    <t>236,300.00</t>
  </si>
  <si>
    <t>1,498,147.55</t>
  </si>
  <si>
    <t>2,446,120.00</t>
  </si>
  <si>
    <t>1,996,643.89</t>
  </si>
  <si>
    <t>211,877.80</t>
  </si>
  <si>
    <t>87,200.00</t>
  </si>
  <si>
    <t>53,400.00</t>
  </si>
  <si>
    <t>50,680.00</t>
  </si>
  <si>
    <t>9,750.00</t>
  </si>
  <si>
    <t>20,900,000.00</t>
  </si>
  <si>
    <t>206,604.45</t>
  </si>
  <si>
    <t>57,969.00</t>
  </si>
  <si>
    <t>202,310.00</t>
  </si>
  <si>
    <t>169,170.00</t>
  </si>
  <si>
    <t>619,357.40</t>
  </si>
  <si>
    <t>62,845.00</t>
  </si>
  <si>
    <t>279,851.25</t>
  </si>
  <si>
    <t>81,927.40</t>
  </si>
  <si>
    <t>279,640.00</t>
  </si>
  <si>
    <t>144,200.00</t>
  </si>
  <si>
    <t>99,946.00</t>
  </si>
  <si>
    <t>70,006.00</t>
  </si>
  <si>
    <t>274,026.00</t>
  </si>
  <si>
    <t>164,865.83</t>
  </si>
  <si>
    <t>149,590.00</t>
  </si>
  <si>
    <t>263,120.00</t>
  </si>
  <si>
    <t>70,368.50</t>
  </si>
  <si>
    <t>65,731.00</t>
  </si>
  <si>
    <t>98,741.20</t>
  </si>
  <si>
    <t>1,739,567.35</t>
  </si>
  <si>
    <t>2,284,999.76</t>
  </si>
  <si>
    <t>149,900.00</t>
  </si>
  <si>
    <t>73,496.75</t>
  </si>
  <si>
    <t>245,724.71</t>
  </si>
  <si>
    <t>253,364.40</t>
  </si>
  <si>
    <t>141,148.00</t>
  </si>
  <si>
    <t>93,905.00</t>
  </si>
  <si>
    <t>1,198,200.00</t>
  </si>
  <si>
    <t>64,975.00</t>
  </si>
  <si>
    <t>62,430.00</t>
  </si>
  <si>
    <t>991,250.00</t>
  </si>
  <si>
    <t>790,473.59</t>
  </si>
  <si>
    <t>1,496,475.25</t>
  </si>
  <si>
    <t>107,206.00</t>
  </si>
  <si>
    <t>1,747,787.50</t>
  </si>
  <si>
    <t>141,100.00</t>
  </si>
  <si>
    <t>923,000.00</t>
  </si>
  <si>
    <t>164,325.00</t>
  </si>
  <si>
    <t>5,876,500.00</t>
  </si>
  <si>
    <t>531,600.00</t>
  </si>
  <si>
    <t>8,208,000.00</t>
  </si>
  <si>
    <t>260,700.00</t>
  </si>
  <si>
    <t>274,000.00</t>
  </si>
  <si>
    <t>581,216.00</t>
  </si>
  <si>
    <t>127,438.41</t>
  </si>
  <si>
    <t>4,207,753.71</t>
  </si>
  <si>
    <t>6,241,280.00</t>
  </si>
  <si>
    <t>211,223.40</t>
  </si>
  <si>
    <t>13,452,000.00</t>
  </si>
  <si>
    <t>390,352.00</t>
  </si>
  <si>
    <t>76,276.13</t>
  </si>
  <si>
    <t>1,560,000.00</t>
  </si>
  <si>
    <t>557,776.00</t>
  </si>
  <si>
    <t>313,384.16</t>
  </si>
  <si>
    <t>68,547.00</t>
  </si>
  <si>
    <t>99,969.80</t>
  </si>
  <si>
    <t>119,977.00</t>
  </si>
  <si>
    <t>119,957.95</t>
  </si>
  <si>
    <t>99,943.31</t>
  </si>
  <si>
    <t>707,755.37</t>
  </si>
  <si>
    <t>104,930.00</t>
  </si>
  <si>
    <t>115,230.00</t>
  </si>
  <si>
    <t>499,818.63</t>
  </si>
  <si>
    <t>299,750.00</t>
  </si>
  <si>
    <t>1,166,250.00</t>
  </si>
  <si>
    <t>79,945.96</t>
  </si>
  <si>
    <t>1,710,000.00</t>
  </si>
  <si>
    <t>461,602.33</t>
  </si>
  <si>
    <t>224,925.00</t>
  </si>
  <si>
    <t>410,290.00</t>
  </si>
  <si>
    <t>76,500.00</t>
  </si>
  <si>
    <t>498,244.52</t>
  </si>
  <si>
    <t>424,300.00</t>
  </si>
  <si>
    <t>999,816.29</t>
  </si>
  <si>
    <t>249,625.00</t>
  </si>
  <si>
    <t>7,338,900.00</t>
  </si>
  <si>
    <t>167,119.50</t>
  </si>
  <si>
    <t>179,150.00</t>
  </si>
  <si>
    <t>249,939.00</t>
  </si>
  <si>
    <t>444,957.00</t>
  </si>
  <si>
    <t>106,230.00</t>
  </si>
  <si>
    <t>60,227.00</t>
  </si>
  <si>
    <t>120,086.00</t>
  </si>
  <si>
    <t>99,983.00</t>
  </si>
  <si>
    <t>215,296.00</t>
  </si>
  <si>
    <t>179,865.00</t>
  </si>
  <si>
    <t>684,470.00</t>
  </si>
  <si>
    <t>1,920,000.00</t>
  </si>
  <si>
    <t>2,553,600.00</t>
  </si>
  <si>
    <t>4,019,110.24</t>
  </si>
  <si>
    <t>1,728,797.02</t>
  </si>
  <si>
    <t>527,203.00</t>
  </si>
  <si>
    <t>1,924,864.32</t>
  </si>
  <si>
    <t>732,723.91</t>
  </si>
  <si>
    <t>55,492.00</t>
  </si>
  <si>
    <t>198,750.00</t>
  </si>
  <si>
    <t>128,623.00</t>
  </si>
  <si>
    <t>959,010.62</t>
  </si>
  <si>
    <t>388,500.00</t>
  </si>
  <si>
    <t>417,050.00</t>
  </si>
  <si>
    <t>455,249.00</t>
  </si>
  <si>
    <t>16,740.00</t>
  </si>
  <si>
    <t>77,000.00</t>
  </si>
  <si>
    <t>298,000.00</t>
  </si>
  <si>
    <t>976,951.99</t>
  </si>
  <si>
    <t>18,200.00</t>
  </si>
  <si>
    <t>21,175.00</t>
  </si>
  <si>
    <t>7,260.00</t>
  </si>
  <si>
    <t>166,100.00</t>
  </si>
  <si>
    <t>11,220.00</t>
  </si>
  <si>
    <t>16,500.00</t>
  </si>
  <si>
    <t>80,200.00</t>
  </si>
  <si>
    <t>30,705.00</t>
  </si>
  <si>
    <t>16,800.00</t>
  </si>
  <si>
    <t>22,100.00</t>
  </si>
  <si>
    <t>72,200.00</t>
  </si>
  <si>
    <t>1,589,600.00</t>
  </si>
  <si>
    <t>24,240.00</t>
  </si>
  <si>
    <t>81,467.00</t>
  </si>
  <si>
    <t>99,655.00</t>
  </si>
  <si>
    <t>470,839.00</t>
  </si>
  <si>
    <t>310,900.00</t>
  </si>
  <si>
    <t>567,069.00</t>
  </si>
  <si>
    <t>1,080,000.00</t>
  </si>
  <si>
    <t>837,949.00</t>
  </si>
  <si>
    <t>3,762,225.00</t>
  </si>
  <si>
    <t>533,820.00</t>
  </si>
  <si>
    <t>68,932.00</t>
  </si>
  <si>
    <t>8,246.40</t>
  </si>
  <si>
    <t>100,240.00</t>
  </si>
  <si>
    <t>162,730.00</t>
  </si>
  <si>
    <t>68,090.00</t>
  </si>
  <si>
    <t>15,594,400.00</t>
  </si>
  <si>
    <t>48,700.00</t>
  </si>
  <si>
    <t>27,979.00</t>
  </si>
  <si>
    <t>75,510.00</t>
  </si>
  <si>
    <t>308,357.00</t>
  </si>
  <si>
    <t>118,615.00</t>
  </si>
  <si>
    <t>274,658.34</t>
  </si>
  <si>
    <t>79,970.00</t>
  </si>
  <si>
    <t>2,295,702.00</t>
  </si>
  <si>
    <t>149,000.00</t>
  </si>
  <si>
    <t>154,711.00</t>
  </si>
  <si>
    <t>127,210.00</t>
  </si>
  <si>
    <t>91,887.00</t>
  </si>
  <si>
    <t>79,940.00</t>
  </si>
  <si>
    <t>709,210.00</t>
  </si>
  <si>
    <t>999,999.00</t>
  </si>
  <si>
    <t>181,735.00</t>
  </si>
  <si>
    <t>16,605,835.41</t>
  </si>
  <si>
    <t>852,500.00</t>
  </si>
  <si>
    <t>12,937,591.44</t>
  </si>
  <si>
    <t>445,552.87</t>
  </si>
  <si>
    <t>624,692.00</t>
  </si>
  <si>
    <t>204,845.00</t>
  </si>
  <si>
    <t>7,367,239.57</t>
  </si>
  <si>
    <t>3,850,000.00</t>
  </si>
  <si>
    <t>161,570.00</t>
  </si>
  <si>
    <t>246,576.00</t>
  </si>
  <si>
    <t>51,930,054.53</t>
  </si>
  <si>
    <t>336,834.00</t>
  </si>
  <si>
    <t>482,300.00</t>
  </si>
  <si>
    <t>891,364.00</t>
  </si>
  <si>
    <t>1,352,000.00</t>
  </si>
  <si>
    <t>581,250.00</t>
  </si>
  <si>
    <t>236,973.88</t>
  </si>
  <si>
    <t>175,970.00</t>
  </si>
  <si>
    <t>213,250.00</t>
  </si>
  <si>
    <t>8,700.00</t>
  </si>
  <si>
    <t>19,500.00</t>
  </si>
  <si>
    <t>206,136.00</t>
  </si>
  <si>
    <t>373,680.00</t>
  </si>
  <si>
    <t>860,660.40</t>
  </si>
  <si>
    <t>970,000.00</t>
  </si>
  <si>
    <t>505,078.81</t>
  </si>
  <si>
    <t>554,637.00</t>
  </si>
  <si>
    <t>72,600.00</t>
  </si>
  <si>
    <t>685,327.50</t>
  </si>
  <si>
    <t>352,787.50</t>
  </si>
  <si>
    <t>589,973.31</t>
  </si>
  <si>
    <t>5,667,551.40</t>
  </si>
  <si>
    <t>350,370.00</t>
  </si>
  <si>
    <t>300,724.25</t>
  </si>
  <si>
    <t>1,600,113.00</t>
  </si>
  <si>
    <t>778,000.00</t>
  </si>
  <si>
    <t>112,700.00</t>
  </si>
  <si>
    <t>162,225.00</t>
  </si>
  <si>
    <t>602,057.54</t>
  </si>
  <si>
    <t>2,924,897.55</t>
  </si>
  <si>
    <t>1,032,667.88</t>
  </si>
  <si>
    <t>1,029,000.00</t>
  </si>
  <si>
    <t>1,800.00</t>
  </si>
  <si>
    <t>557,500.00</t>
  </si>
  <si>
    <t>1,080,203.40</t>
  </si>
  <si>
    <t>845,000.00</t>
  </si>
  <si>
    <t>3,900,010.79</t>
  </si>
  <si>
    <t>3,171,740.00</t>
  </si>
  <si>
    <t>699,300.50</t>
  </si>
  <si>
    <t>147,650.00</t>
  </si>
  <si>
    <t>271,350.00</t>
  </si>
  <si>
    <t>130,817.49</t>
  </si>
  <si>
    <t>9,750,000.00</t>
  </si>
  <si>
    <t>499,900.00</t>
  </si>
  <si>
    <t>348,575.00</t>
  </si>
  <si>
    <t>200,940.00</t>
  </si>
  <si>
    <t>233,223.00</t>
  </si>
  <si>
    <t>402,600.00</t>
  </si>
  <si>
    <t>412,826.00</t>
  </si>
  <si>
    <t>15,771.75</t>
  </si>
  <si>
    <t>566,057.54</t>
  </si>
  <si>
    <t>23,914,121.21</t>
  </si>
  <si>
    <t>1,755,000.00</t>
  </si>
  <si>
    <t>124,800.00</t>
  </si>
  <si>
    <t>1,264,220.00</t>
  </si>
  <si>
    <t>780,212.00</t>
  </si>
  <si>
    <t>378,590.00</t>
  </si>
  <si>
    <t>326,496.00</t>
  </si>
  <si>
    <t>940,800.00</t>
  </si>
  <si>
    <t>588,000.00</t>
  </si>
  <si>
    <t>2,999,917.45</t>
  </si>
  <si>
    <t>357,500.00</t>
  </si>
  <si>
    <t>383,495.35</t>
  </si>
  <si>
    <t>421,981.50</t>
  </si>
  <si>
    <t>1,701,939.04</t>
  </si>
  <si>
    <t>924,409.50</t>
  </si>
  <si>
    <t>1,228,797.30</t>
  </si>
  <si>
    <t>964,027.05</t>
  </si>
  <si>
    <t>1,002,960.00</t>
  </si>
  <si>
    <t>1,605,000.00</t>
  </si>
  <si>
    <t>1,242,500.00</t>
  </si>
  <si>
    <t>131,750.00</t>
  </si>
  <si>
    <t>338,519.50</t>
  </si>
  <si>
    <t>500,060.00</t>
  </si>
  <si>
    <t>343,000.00</t>
  </si>
  <si>
    <t>898,567.50</t>
  </si>
  <si>
    <t>71,335.00</t>
  </si>
  <si>
    <t>69,987.00</t>
  </si>
  <si>
    <t>4,455,000.00</t>
  </si>
  <si>
    <t>4,690,142.28</t>
  </si>
  <si>
    <t>277,049.98</t>
  </si>
  <si>
    <t>501,290.00</t>
  </si>
  <si>
    <t>1,660,000.00</t>
  </si>
  <si>
    <t>924,004.00</t>
  </si>
  <si>
    <t>1,969,094.36</t>
  </si>
  <si>
    <t>200,650.00</t>
  </si>
  <si>
    <t>1,204,562.00</t>
  </si>
  <si>
    <t>587,000.00</t>
  </si>
  <si>
    <t>1,821,875.38</t>
  </si>
  <si>
    <t>995,775.00</t>
  </si>
  <si>
    <t>3,998,999.31</t>
  </si>
  <si>
    <t>190,401.50</t>
  </si>
  <si>
    <t>147,550.00</t>
  </si>
  <si>
    <t>199,378.75</t>
  </si>
  <si>
    <t>1,400.00</t>
  </si>
  <si>
    <t>996,856.00</t>
  </si>
  <si>
    <t>667,064.01</t>
  </si>
  <si>
    <t>357,130.33</t>
  </si>
  <si>
    <t>1,999,876.37</t>
  </si>
  <si>
    <t>300,865.00</t>
  </si>
  <si>
    <t>437,019.00</t>
  </si>
  <si>
    <t>447,284.00</t>
  </si>
  <si>
    <t>789,840.67</t>
  </si>
  <si>
    <t>322,905.00</t>
  </si>
  <si>
    <t>1,996,104.97</t>
  </si>
  <si>
    <t>1,398,918.57</t>
  </si>
  <si>
    <t>1,799,793.00</t>
  </si>
  <si>
    <t>111,286.38</t>
  </si>
  <si>
    <t>276,484.43</t>
  </si>
  <si>
    <t>999,765.06</t>
  </si>
  <si>
    <t>248,500.00</t>
  </si>
  <si>
    <t>990,438.75</t>
  </si>
  <si>
    <t>9,800,000.00</t>
  </si>
  <si>
    <t>5,400.00</t>
  </si>
  <si>
    <t>360,310.00</t>
  </si>
  <si>
    <t>29,600.00</t>
  </si>
  <si>
    <t>597,207.25</t>
  </si>
  <si>
    <t>299,922.25</t>
  </si>
  <si>
    <t>703,150.00</t>
  </si>
  <si>
    <t>7,110.00</t>
  </si>
  <si>
    <t>104,256.00</t>
  </si>
  <si>
    <t>177,299.53</t>
  </si>
  <si>
    <t>145,965.00</t>
  </si>
  <si>
    <t>79,890.00</t>
  </si>
  <si>
    <t>105,235.00</t>
  </si>
  <si>
    <t>545,000.00</t>
  </si>
  <si>
    <t>1,979,983.76</t>
  </si>
  <si>
    <t>38,434.17</t>
  </si>
  <si>
    <t>80,380.00</t>
  </si>
  <si>
    <t>170,500.00</t>
  </si>
  <si>
    <t>462,650.00</t>
  </si>
  <si>
    <t>124,758.40</t>
  </si>
  <si>
    <t>292,764.00</t>
  </si>
  <si>
    <t>5,014,352.00</t>
  </si>
  <si>
    <t>856,900.00</t>
  </si>
  <si>
    <t>12,690.00</t>
  </si>
  <si>
    <t>1,259,010.00</t>
  </si>
  <si>
    <t>2,895,745.00</t>
  </si>
  <si>
    <t>146,300.00</t>
  </si>
  <si>
    <t>20,580,000.00</t>
  </si>
  <si>
    <t>2,156,232.40</t>
  </si>
  <si>
    <t>402,270.00</t>
  </si>
  <si>
    <t>1,499,928.02</t>
  </si>
  <si>
    <t>7,350,000.00</t>
  </si>
  <si>
    <t>426,434.55</t>
  </si>
  <si>
    <t>1,007,304.10</t>
  </si>
  <si>
    <t>499,916.66</t>
  </si>
  <si>
    <t>9,300.00</t>
  </si>
  <si>
    <t>84,280.00</t>
  </si>
  <si>
    <t>847,813.00</t>
  </si>
  <si>
    <t>1,999,800.00</t>
  </si>
  <si>
    <t>520,200.00</t>
  </si>
  <si>
    <t>8,600.00</t>
  </si>
  <si>
    <t>30,640.00</t>
  </si>
  <si>
    <t>22,050.00</t>
  </si>
  <si>
    <t>983,000.00</t>
  </si>
  <si>
    <t>402,000.00</t>
  </si>
  <si>
    <t>13,720,000.00</t>
  </si>
  <si>
    <t>1,415,833.30</t>
  </si>
  <si>
    <t>523,810.00</t>
  </si>
  <si>
    <t>138,000.00</t>
  </si>
  <si>
    <t>999,900.00</t>
  </si>
  <si>
    <t>3,250.00</t>
  </si>
  <si>
    <t>2,950.00</t>
  </si>
  <si>
    <t>19,250.00</t>
  </si>
  <si>
    <t>214,800.00</t>
  </si>
  <si>
    <t>39,831,170.00</t>
  </si>
  <si>
    <t>2,542,486.00</t>
  </si>
  <si>
    <t>41,320.00</t>
  </si>
  <si>
    <t>49,500,000.00</t>
  </si>
  <si>
    <t>11,760,000.00</t>
  </si>
  <si>
    <t>49,973,529.61</t>
  </si>
  <si>
    <t>1,799,783.48</t>
  </si>
  <si>
    <t>989,575.00</t>
  </si>
  <si>
    <t>420,877.00</t>
  </si>
  <si>
    <t>79,996,070.00</t>
  </si>
  <si>
    <t>61,332.00</t>
  </si>
  <si>
    <t>300,314.83</t>
  </si>
  <si>
    <t>6,074,526.96</t>
  </si>
  <si>
    <t>14,566,674.50</t>
  </si>
  <si>
    <t>51,480.00</t>
  </si>
  <si>
    <t>386,398.60</t>
  </si>
  <si>
    <t>6,900,000.00</t>
  </si>
  <si>
    <t>2,943,939.63</t>
  </si>
  <si>
    <t>7,596,824.28</t>
  </si>
  <si>
    <t>54,875.40</t>
  </si>
  <si>
    <t>9,500.00</t>
  </si>
  <si>
    <t>74,474.50</t>
  </si>
  <si>
    <t>4,710,000.00</t>
  </si>
  <si>
    <t>1,409,491.95</t>
  </si>
  <si>
    <t>1,442,726.01</t>
  </si>
  <si>
    <t>7,984,124.82</t>
  </si>
  <si>
    <t>956,158.31</t>
  </si>
  <si>
    <t>1,886,393.85</t>
  </si>
  <si>
    <t>6,881,068.35</t>
  </si>
  <si>
    <t>194,322.17</t>
  </si>
  <si>
    <t>12,437,498.91</t>
  </si>
  <si>
    <t>614,130.00</t>
  </si>
  <si>
    <t>934,166.47</t>
  </si>
  <si>
    <t>125,450,000.00</t>
  </si>
  <si>
    <t>173,700,000.00</t>
  </si>
  <si>
    <t>786,801.75</t>
  </si>
  <si>
    <t>12,437,492.84</t>
  </si>
  <si>
    <t>156,487,295.00</t>
  </si>
  <si>
    <t>30,000,000.00</t>
  </si>
  <si>
    <t>599,490.00</t>
  </si>
  <si>
    <t>973,932.25</t>
  </si>
  <si>
    <t>96,620.00</t>
  </si>
  <si>
    <t>76,635.00</t>
  </si>
  <si>
    <t>2,211,800.00</t>
  </si>
  <si>
    <t>620,650.00</t>
  </si>
  <si>
    <t>782,913.15</t>
  </si>
  <si>
    <t>217,035.00</t>
  </si>
  <si>
    <t>5,535,000.00</t>
  </si>
  <si>
    <t>997,970.00</t>
  </si>
  <si>
    <t>364,934.00</t>
  </si>
  <si>
    <t>19,573,000.00</t>
  </si>
  <si>
    <t>412,000.00</t>
  </si>
  <si>
    <t>12,205,896.88</t>
  </si>
  <si>
    <t>100,720.00</t>
  </si>
  <si>
    <t>10,900,000.00</t>
  </si>
  <si>
    <t>138,764.00</t>
  </si>
  <si>
    <t>3,630,400.00</t>
  </si>
  <si>
    <t>80,645.00</t>
  </si>
  <si>
    <t>3,785,425.00</t>
  </si>
  <si>
    <t>2,900,300.00</t>
  </si>
  <si>
    <t>7,989.00</t>
  </si>
  <si>
    <t>2,850,500.00</t>
  </si>
  <si>
    <t>1,050,000.00</t>
  </si>
  <si>
    <t>1,020,000.00</t>
  </si>
  <si>
    <t>102,845.00</t>
  </si>
  <si>
    <t>486,659.23</t>
  </si>
  <si>
    <t>988,704.99</t>
  </si>
  <si>
    <t>2,994,025.66</t>
  </si>
  <si>
    <t>5,057,894.40</t>
  </si>
  <si>
    <t>116,800.00</t>
  </si>
  <si>
    <t>419,700.00</t>
  </si>
  <si>
    <t>720,328.00</t>
  </si>
  <si>
    <t>14,849,993.96</t>
  </si>
  <si>
    <t>995,440.00</t>
  </si>
  <si>
    <t>1,065,000.00</t>
  </si>
  <si>
    <t>521,186.32</t>
  </si>
  <si>
    <t>485,772.30</t>
  </si>
  <si>
    <t>522,933.00</t>
  </si>
  <si>
    <t>363,392.17</t>
  </si>
  <si>
    <t>86,169.00</t>
  </si>
  <si>
    <t>341,950.00</t>
  </si>
  <si>
    <t>434,859.95</t>
  </si>
  <si>
    <t>378,350.00</t>
  </si>
  <si>
    <t>476,207.20</t>
  </si>
  <si>
    <t>744,740.00</t>
  </si>
  <si>
    <t>59,401.00</t>
  </si>
  <si>
    <t>88,950.00</t>
  </si>
  <si>
    <t>194,604.00</t>
  </si>
  <si>
    <t>288,911.23</t>
  </si>
  <si>
    <t>850,060.00</t>
  </si>
  <si>
    <t>7,839,744.71</t>
  </si>
  <si>
    <t>4,949,999.40</t>
  </si>
  <si>
    <t>33,600.00</t>
  </si>
  <si>
    <t>1,595,957.20</t>
  </si>
  <si>
    <t>630,208.34</t>
  </si>
  <si>
    <t>150,300.00</t>
  </si>
  <si>
    <t>2,499,507.46</t>
  </si>
  <si>
    <t>673,000.00</t>
  </si>
  <si>
    <t>89,100.00</t>
  </si>
  <si>
    <t>699,600.00</t>
  </si>
  <si>
    <t>55,480.00</t>
  </si>
  <si>
    <t>645,000.00</t>
  </si>
  <si>
    <t>490,050.00</t>
  </si>
  <si>
    <t>1,371,400.00</t>
  </si>
  <si>
    <t>132,959.00</t>
  </si>
  <si>
    <t>65,135.00</t>
  </si>
  <si>
    <t>137,500.78</t>
  </si>
  <si>
    <t>475,159.70</t>
  </si>
  <si>
    <t>6,929,901.31</t>
  </si>
  <si>
    <t>487,907.50</t>
  </si>
  <si>
    <t>755,550.00</t>
  </si>
  <si>
    <t>80,260.00</t>
  </si>
  <si>
    <t>999,990.47</t>
  </si>
  <si>
    <t>56,872.00</t>
  </si>
  <si>
    <t>92,930.00</t>
  </si>
  <si>
    <t>7,809,993.27</t>
  </si>
  <si>
    <t>150,480.00</t>
  </si>
  <si>
    <t>578,955.00</t>
  </si>
  <si>
    <t>1,323,118.00</t>
  </si>
  <si>
    <t>1,986,428.47</t>
  </si>
  <si>
    <t>19,599,929.57</t>
  </si>
  <si>
    <t>222,000.00</t>
  </si>
  <si>
    <t>249,800.00</t>
  </si>
  <si>
    <t>52,200.00</t>
  </si>
  <si>
    <t>120,950.00</t>
  </si>
  <si>
    <t>123,916.75</t>
  </si>
  <si>
    <t>2,880,000.00</t>
  </si>
  <si>
    <t>105,300.00</t>
  </si>
  <si>
    <t>139,400.00</t>
  </si>
  <si>
    <t>976,200.00</t>
  </si>
  <si>
    <t>349,875.00</t>
  </si>
  <si>
    <t>525,540.00</t>
  </si>
  <si>
    <t>994,900.88</t>
  </si>
  <si>
    <t>535,257.19</t>
  </si>
  <si>
    <t>123,183.00</t>
  </si>
  <si>
    <t>145,588.47</t>
  </si>
  <si>
    <t>479,796.79</t>
  </si>
  <si>
    <t>999,350.00</t>
  </si>
  <si>
    <t>985,150.00</t>
  </si>
  <si>
    <t>28,132,555.60</t>
  </si>
  <si>
    <t>672,545.00</t>
  </si>
  <si>
    <t>46,476,488.22</t>
  </si>
  <si>
    <t>7,920,969.67</t>
  </si>
  <si>
    <t>2,138,994.66</t>
  </si>
  <si>
    <t>96,799.00</t>
  </si>
  <si>
    <t>1,810,480.00</t>
  </si>
  <si>
    <t>89,589.00</t>
  </si>
  <si>
    <t>296,500.00</t>
  </si>
  <si>
    <t>530,000.00</t>
  </si>
  <si>
    <t>249,837.00</t>
  </si>
  <si>
    <t>1,198,840.00</t>
  </si>
  <si>
    <t>2,329,495.00</t>
  </si>
  <si>
    <t>339,990.00</t>
  </si>
  <si>
    <t>999,318.81</t>
  </si>
  <si>
    <t>363,075.00</t>
  </si>
  <si>
    <t>996,169.10</t>
  </si>
  <si>
    <t>3,780,000.00</t>
  </si>
  <si>
    <t>338,640.00</t>
  </si>
  <si>
    <t>173,500.00</t>
  </si>
  <si>
    <t>858,170.58</t>
  </si>
  <si>
    <t>3,681,342.49</t>
  </si>
  <si>
    <t>98,822.40</t>
  </si>
  <si>
    <t>1,906,000.00</t>
  </si>
  <si>
    <t>172,967.00</t>
  </si>
  <si>
    <t>3,450,000.00</t>
  </si>
  <si>
    <t>2,400.00</t>
  </si>
  <si>
    <t>139,773.00</t>
  </si>
  <si>
    <t>12,573,031.61</t>
  </si>
  <si>
    <t>4,750,000.00</t>
  </si>
  <si>
    <t>37,597.20</t>
  </si>
  <si>
    <t>150,486.00</t>
  </si>
  <si>
    <t>1,637,671.80</t>
  </si>
  <si>
    <t>5,730,000.00</t>
  </si>
  <si>
    <t>518,000.00</t>
  </si>
  <si>
    <t>480,945.00</t>
  </si>
  <si>
    <t>4,250,000.00</t>
  </si>
  <si>
    <t>50,100.00</t>
  </si>
  <si>
    <t>84,954.00</t>
  </si>
  <si>
    <t>4,068,794.78</t>
  </si>
  <si>
    <t>643,355.64</t>
  </si>
  <si>
    <t>1,268,139.28</t>
  </si>
  <si>
    <t>526,300.44</t>
  </si>
  <si>
    <t>365,212.36</t>
  </si>
  <si>
    <t>271,792.50</t>
  </si>
  <si>
    <t>915,000.00</t>
  </si>
  <si>
    <t>15,200,000.00</t>
  </si>
  <si>
    <t>2,442,213.20</t>
  </si>
  <si>
    <t>352,250.00</t>
  </si>
  <si>
    <t>523,000.00</t>
  </si>
  <si>
    <t>90,550.00</t>
  </si>
  <si>
    <t>962,780.00</t>
  </si>
  <si>
    <t>3,789,415.39</t>
  </si>
  <si>
    <t>1,933,414.75</t>
  </si>
  <si>
    <t>286,467.83</t>
  </si>
  <si>
    <t>51,201.61</t>
  </si>
  <si>
    <t>498,474.25</t>
  </si>
  <si>
    <t>80,850.00</t>
  </si>
  <si>
    <t>99,310.00</t>
  </si>
  <si>
    <t>1,872,868.00</t>
  </si>
  <si>
    <t>2,255,838.00</t>
  </si>
  <si>
    <t>339,470.00</t>
  </si>
  <si>
    <t>1,641,460.00</t>
  </si>
  <si>
    <t>735,000.00</t>
  </si>
  <si>
    <t>758,990.00</t>
  </si>
  <si>
    <t>3,570,000.00</t>
  </si>
  <si>
    <t>148,796.00</t>
  </si>
  <si>
    <t>75,500.00</t>
  </si>
  <si>
    <t>76,503.00</t>
  </si>
  <si>
    <t>447,000.00</t>
  </si>
  <si>
    <t>173,818.00</t>
  </si>
  <si>
    <t>9,006,812.84</t>
  </si>
  <si>
    <t>2,996,762.15</t>
  </si>
  <si>
    <t>4,297,680.00</t>
  </si>
  <si>
    <t>975,300.00</t>
  </si>
  <si>
    <t>91,594,800.00</t>
  </si>
  <si>
    <t>494,404.50</t>
  </si>
  <si>
    <t>48,654.84</t>
  </si>
  <si>
    <t>760,648.08</t>
  </si>
  <si>
    <t>44,620,722.10</t>
  </si>
  <si>
    <t>13,650.00</t>
  </si>
  <si>
    <t>23,202,850.00</t>
  </si>
  <si>
    <t>51,739,938.60</t>
  </si>
  <si>
    <t>61,366.67</t>
  </si>
  <si>
    <t>502,248.57</t>
  </si>
  <si>
    <t>66,506.00</t>
  </si>
  <si>
    <t>5,444,985.82</t>
  </si>
  <si>
    <t>84,850.00</t>
  </si>
  <si>
    <t>198,843.10</t>
  </si>
  <si>
    <t>278,636.84</t>
  </si>
  <si>
    <t>89,800.00</t>
  </si>
  <si>
    <t>549,800.00</t>
  </si>
  <si>
    <t>104,345.00</t>
  </si>
  <si>
    <t>507,360.00</t>
  </si>
  <si>
    <t>39,949,202.70</t>
  </si>
  <si>
    <t>84,882.30</t>
  </si>
  <si>
    <t>350,124.00</t>
  </si>
  <si>
    <t>12,871,311.75</t>
  </si>
  <si>
    <t>75,083.77</t>
  </si>
  <si>
    <t>76,650.00</t>
  </si>
  <si>
    <t>60,720.00</t>
  </si>
  <si>
    <t>999,300.00</t>
  </si>
  <si>
    <t>58,710.00</t>
  </si>
  <si>
    <t>13,860,333.50</t>
  </si>
  <si>
    <t>17,538,957.00</t>
  </si>
  <si>
    <t>67,063.00</t>
  </si>
  <si>
    <t>121,747,719.60</t>
  </si>
  <si>
    <t>9,999,730.00</t>
  </si>
  <si>
    <t>325,000.00</t>
  </si>
  <si>
    <t>2,674,200.00</t>
  </si>
  <si>
    <t>247,000.00</t>
  </si>
  <si>
    <t>22,266,406.34</t>
  </si>
  <si>
    <t>67,380.50</t>
  </si>
  <si>
    <t>401,000.00</t>
  </si>
  <si>
    <t>972,164.97</t>
  </si>
  <si>
    <t>26,422.00</t>
  </si>
  <si>
    <t>47,021,421.88</t>
  </si>
  <si>
    <t>146,988.00</t>
  </si>
  <si>
    <t>911,980.00</t>
  </si>
  <si>
    <t>4,800,000.00</t>
  </si>
  <si>
    <t>4,116,000.00</t>
  </si>
  <si>
    <t>999,850.00</t>
  </si>
  <si>
    <t>396,310.00</t>
  </si>
  <si>
    <t>98,600.00</t>
  </si>
  <si>
    <t>96,489,900.00</t>
  </si>
  <si>
    <t>170,912.00</t>
  </si>
  <si>
    <t>992,750.00</t>
  </si>
  <si>
    <t>42,310.17</t>
  </si>
  <si>
    <t>191,800.00</t>
  </si>
  <si>
    <t>59,370.00</t>
  </si>
  <si>
    <t>1,500,000.01</t>
  </si>
  <si>
    <t>242,250.00</t>
  </si>
  <si>
    <t>8,569.00</t>
  </si>
  <si>
    <t>104,151.67</t>
  </si>
  <si>
    <t>39,607,515.00</t>
  </si>
  <si>
    <t>205,900.00</t>
  </si>
  <si>
    <t>96,485,000.00</t>
  </si>
  <si>
    <t>1,949,673.00</t>
  </si>
  <si>
    <t>73,219.00</t>
  </si>
  <si>
    <t>347,214.60</t>
  </si>
  <si>
    <t>153,000.00</t>
  </si>
  <si>
    <t>715,000.00</t>
  </si>
  <si>
    <t>2,393,400.70</t>
  </si>
  <si>
    <t>257,390.00</t>
  </si>
  <si>
    <t>3,549,231.12</t>
  </si>
  <si>
    <t>232,400.00</t>
  </si>
  <si>
    <t>199,336.00</t>
  </si>
  <si>
    <t>89,050.00</t>
  </si>
  <si>
    <t>381,598.00</t>
  </si>
  <si>
    <t>307,908.75</t>
  </si>
  <si>
    <t>406,194.00</t>
  </si>
  <si>
    <t>13,000,000.00</t>
  </si>
  <si>
    <t>1,057,368.18</t>
  </si>
  <si>
    <t>216,050.00</t>
  </si>
  <si>
    <t>921,887.64</t>
  </si>
  <si>
    <t>6,465,000.00</t>
  </si>
  <si>
    <t>472,860.00</t>
  </si>
  <si>
    <t>485,802.00</t>
  </si>
  <si>
    <t>78,615.00</t>
  </si>
  <si>
    <t>7,835,000.00</t>
  </si>
  <si>
    <t>3,812,850.37</t>
  </si>
  <si>
    <t>404,625.50</t>
  </si>
  <si>
    <t>145,260.00</t>
  </si>
  <si>
    <t>5,210,000.00</t>
  </si>
  <si>
    <t>88,131.00</t>
  </si>
  <si>
    <t>576,531.47</t>
  </si>
  <si>
    <t>679,497.00</t>
  </si>
  <si>
    <t>307,405.00</t>
  </si>
  <si>
    <t>380,320.00</t>
  </si>
  <si>
    <t>670,932.97</t>
  </si>
  <si>
    <t>858,476.00</t>
  </si>
  <si>
    <t>159,560.00</t>
  </si>
  <si>
    <t>61,900.00</t>
  </si>
  <si>
    <t>124,950.00</t>
  </si>
  <si>
    <t>1,983,831.70</t>
  </si>
  <si>
    <t>184,280.00</t>
  </si>
  <si>
    <t>149,940.00</t>
  </si>
  <si>
    <t>579,840.00</t>
  </si>
  <si>
    <t>69,760.00</t>
  </si>
  <si>
    <t>273,000.00</t>
  </si>
  <si>
    <t>499,787.27</t>
  </si>
  <si>
    <t>497,879.22</t>
  </si>
  <si>
    <t>422,500.00</t>
  </si>
  <si>
    <t>999,810.00</t>
  </si>
  <si>
    <t>1,999,511.20</t>
  </si>
  <si>
    <t>9,399,999.99</t>
  </si>
  <si>
    <t>336,500.00</t>
  </si>
  <si>
    <t>198,150.00</t>
  </si>
  <si>
    <t>191,400.00</t>
  </si>
  <si>
    <t>98,455.00</t>
  </si>
  <si>
    <t>132,130.00</t>
  </si>
  <si>
    <t>3,331,538.00</t>
  </si>
  <si>
    <t>194,297.00</t>
  </si>
  <si>
    <t>465,591.10</t>
  </si>
  <si>
    <t>102,419.00</t>
  </si>
  <si>
    <t>198,400.00</t>
  </si>
  <si>
    <t>17,149.00</t>
  </si>
  <si>
    <t>262,935.00</t>
  </si>
  <si>
    <t>237,240.50</t>
  </si>
  <si>
    <t>271,100.00</t>
  </si>
  <si>
    <t>49,516.00</t>
  </si>
  <si>
    <t>86,277.00</t>
  </si>
  <si>
    <t>246,749.50</t>
  </si>
  <si>
    <t>67,999.00</t>
  </si>
  <si>
    <t>878,330.00</t>
  </si>
  <si>
    <t>306,521.50</t>
  </si>
  <si>
    <t>11,980,940.17</t>
  </si>
  <si>
    <t>734,500.00</t>
  </si>
  <si>
    <t>78,848.00</t>
  </si>
  <si>
    <t>97,465,000.00</t>
  </si>
  <si>
    <t>142,310.00</t>
  </si>
  <si>
    <t>588,413.44</t>
  </si>
  <si>
    <t>74,990.00</t>
  </si>
  <si>
    <t>999,995.70</t>
  </si>
  <si>
    <t>231,252.96</t>
  </si>
  <si>
    <t>97,052.50</t>
  </si>
  <si>
    <t>45,513,483.11</t>
  </si>
  <si>
    <t>257,326.00</t>
  </si>
  <si>
    <t>1,215,000.00</t>
  </si>
  <si>
    <t>625,100.00</t>
  </si>
  <si>
    <t>1,831,171.81</t>
  </si>
  <si>
    <t>874,000.00</t>
  </si>
  <si>
    <t>39,295.00</t>
  </si>
  <si>
    <t>18,674,267.90</t>
  </si>
  <si>
    <t>12,319,980.63</t>
  </si>
  <si>
    <t>306,240.00</t>
  </si>
  <si>
    <t>497,561.54</t>
  </si>
  <si>
    <t>643,487.00</t>
  </si>
  <si>
    <t>4,459,860.42</t>
  </si>
  <si>
    <t>537,600.00</t>
  </si>
  <si>
    <t>2,342,624.00</t>
  </si>
  <si>
    <t>181,250.00</t>
  </si>
  <si>
    <t>607,808.24</t>
  </si>
  <si>
    <t>294,416.00</t>
  </si>
  <si>
    <t>192,578.25</t>
  </si>
  <si>
    <t>271,500.00</t>
  </si>
  <si>
    <t>734,632.00</t>
  </si>
  <si>
    <t>72,792.00</t>
  </si>
  <si>
    <t>889,258.40</t>
  </si>
  <si>
    <t>999,995.01</t>
  </si>
  <si>
    <t>999,962.64</t>
  </si>
  <si>
    <t>12,027,429.07</t>
  </si>
  <si>
    <t>6,853,580.00</t>
  </si>
  <si>
    <t>14,929,000.00</t>
  </si>
  <si>
    <t>11,770,000.00</t>
  </si>
  <si>
    <t>136,636.00</t>
  </si>
  <si>
    <t>153,237.50</t>
  </si>
  <si>
    <t>1,360,000.00</t>
  </si>
  <si>
    <t>160,502.00</t>
  </si>
  <si>
    <t>169,560.00</t>
  </si>
  <si>
    <t>999,997.32</t>
  </si>
  <si>
    <t>987,000.00</t>
  </si>
  <si>
    <t>64,825.00</t>
  </si>
  <si>
    <t>5,376,884.73</t>
  </si>
  <si>
    <t>29,586.98</t>
  </si>
  <si>
    <t>12,880,500.00</t>
  </si>
  <si>
    <t>999,984.69</t>
  </si>
  <si>
    <t>624,750.00</t>
  </si>
  <si>
    <t>72,500.00</t>
  </si>
  <si>
    <t>8,503.00</t>
  </si>
  <si>
    <t>429,153.00</t>
  </si>
  <si>
    <t>296,397.00</t>
  </si>
  <si>
    <t>138,500.00</t>
  </si>
  <si>
    <t>569,960.00</t>
  </si>
  <si>
    <t>126,185,000.00</t>
  </si>
  <si>
    <t>999,987.17</t>
  </si>
  <si>
    <t>41,466,365.11</t>
  </si>
  <si>
    <t>341,605.69</t>
  </si>
  <si>
    <t>5,306.00</t>
  </si>
  <si>
    <t>47,025,939.88</t>
  </si>
  <si>
    <t>41,526,687.32</t>
  </si>
  <si>
    <t>189,863.00</t>
  </si>
  <si>
    <t>73,170.00</t>
  </si>
  <si>
    <t>862,965.00</t>
  </si>
  <si>
    <t>44,099,506.17</t>
  </si>
  <si>
    <t>239,327.60</t>
  </si>
  <si>
    <t>7,970,000.00</t>
  </si>
  <si>
    <t>238,400.00</t>
  </si>
  <si>
    <t>6,335,685.00</t>
  </si>
  <si>
    <t>67,549,538.66</t>
  </si>
  <si>
    <t>14,849,536.31</t>
  </si>
  <si>
    <t>5,997,430.16</t>
  </si>
  <si>
    <t>456,399.00</t>
  </si>
  <si>
    <t>10,400,000.00</t>
  </si>
  <si>
    <t>51,135.93</t>
  </si>
  <si>
    <t>539,000.00</t>
  </si>
  <si>
    <t>47,033,706.90</t>
  </si>
  <si>
    <t>872,600.00</t>
  </si>
  <si>
    <t>34,299,147.80</t>
  </si>
  <si>
    <t>79,257.00</t>
  </si>
  <si>
    <t>3,250,000.00</t>
  </si>
  <si>
    <t>85,247,768.85</t>
  </si>
  <si>
    <t>3,071,468.00</t>
  </si>
  <si>
    <t>60,900.00</t>
  </si>
  <si>
    <t>39,150,780.28</t>
  </si>
  <si>
    <t>58,616,832.45</t>
  </si>
  <si>
    <t>188,200.00</t>
  </si>
  <si>
    <t>29,275.00</t>
  </si>
  <si>
    <t>29,399,656.12</t>
  </si>
  <si>
    <t>419,500.00</t>
  </si>
  <si>
    <t>7,839,771.30</t>
  </si>
  <si>
    <t>87,780.00</t>
  </si>
  <si>
    <t>29,357,981.72</t>
  </si>
  <si>
    <t>258,000.00</t>
  </si>
  <si>
    <t>999,924.74</t>
  </si>
  <si>
    <t>63,300.00</t>
  </si>
  <si>
    <t>195,360.00</t>
  </si>
  <si>
    <t>622,609.19</t>
  </si>
  <si>
    <t>4,493,000.00</t>
  </si>
  <si>
    <t>613,742.00</t>
  </si>
  <si>
    <t>600,904.93</t>
  </si>
  <si>
    <t>399,443.10</t>
  </si>
  <si>
    <t>9,949,534.06</t>
  </si>
  <si>
    <t>3,940,000.00</t>
  </si>
  <si>
    <t>1,299,346.78</t>
  </si>
  <si>
    <t>247,800.00</t>
  </si>
  <si>
    <t>31,526.39</t>
  </si>
  <si>
    <t>344,780.00</t>
  </si>
  <si>
    <t>2,470,000.00</t>
  </si>
  <si>
    <t>625,548.12</t>
  </si>
  <si>
    <t>358,000.00</t>
  </si>
  <si>
    <t>1,184,080.50</t>
  </si>
  <si>
    <t>188,378.32</t>
  </si>
  <si>
    <t>29,500.00</t>
  </si>
  <si>
    <t>14,755.00</t>
  </si>
  <si>
    <t>12,320,000.00</t>
  </si>
  <si>
    <t>2,625,000.00</t>
  </si>
  <si>
    <t>499,977.40</t>
  </si>
  <si>
    <t>98,800.00</t>
  </si>
  <si>
    <t>440,335.00</t>
  </si>
  <si>
    <t>152,350.00</t>
  </si>
  <si>
    <t>969,340.00</t>
  </si>
  <si>
    <t>368,150.00</t>
  </si>
  <si>
    <t>173,703.58</t>
  </si>
  <si>
    <t>349,993.00</t>
  </si>
  <si>
    <t>474,704.26</t>
  </si>
  <si>
    <t>1,099,364.29</t>
  </si>
  <si>
    <t>1,907,465.00</t>
  </si>
  <si>
    <t>174,230.00</t>
  </si>
  <si>
    <t>863,140.00</t>
  </si>
  <si>
    <t>666,722.94</t>
  </si>
  <si>
    <t>186,198.00</t>
  </si>
  <si>
    <t>70,100.00</t>
  </si>
  <si>
    <t>2,575,542.70</t>
  </si>
  <si>
    <t>6,540,917.00</t>
  </si>
  <si>
    <t>906,500.00</t>
  </si>
  <si>
    <t>176,825.00</t>
  </si>
  <si>
    <t>186,990.90</t>
  </si>
  <si>
    <t>72,504.72</t>
  </si>
  <si>
    <t>932,720.00</t>
  </si>
  <si>
    <t>964,992.00</t>
  </si>
  <si>
    <t>99,945.00</t>
  </si>
  <si>
    <t>2,765,000.00</t>
  </si>
  <si>
    <t>1,470,480.06</t>
  </si>
  <si>
    <t>100,028.00</t>
  </si>
  <si>
    <t>9,085,000.00</t>
  </si>
  <si>
    <t>1,414,347.97</t>
  </si>
  <si>
    <t>121,800.00</t>
  </si>
  <si>
    <t>1,417,113.06</t>
  </si>
  <si>
    <t>604,100.00</t>
  </si>
  <si>
    <t>95,333.00</t>
  </si>
  <si>
    <t>594,108.00</t>
  </si>
  <si>
    <t>627,156.00</t>
  </si>
  <si>
    <t>418,104.00</t>
  </si>
  <si>
    <t>7,809,192.00</t>
  </si>
  <si>
    <t>71,420.80</t>
  </si>
  <si>
    <t>281,620.80</t>
  </si>
  <si>
    <t>78,034.50</t>
  </si>
  <si>
    <t>803,160.00</t>
  </si>
  <si>
    <t>867,500.00</t>
  </si>
  <si>
    <t>8,886,200.00</t>
  </si>
  <si>
    <t>124,836.00</t>
  </si>
  <si>
    <t>12,722,670.00</t>
  </si>
  <si>
    <t>111,375.00</t>
  </si>
  <si>
    <t>3,957,148.43</t>
  </si>
  <si>
    <t>6,200.00</t>
  </si>
  <si>
    <t>596,171.03</t>
  </si>
  <si>
    <t>346,000.00</t>
  </si>
  <si>
    <t>645,588.11</t>
  </si>
  <si>
    <t>1,049,884.60</t>
  </si>
  <si>
    <t>50,610.00</t>
  </si>
  <si>
    <t>100,660.00</t>
  </si>
  <si>
    <t>230,032.00</t>
  </si>
  <si>
    <t>972,585.40</t>
  </si>
  <si>
    <t>14,892,737.30</t>
  </si>
  <si>
    <t>1,473,611.65</t>
  </si>
  <si>
    <t>80,400.00</t>
  </si>
  <si>
    <t>2,999,509.52</t>
  </si>
  <si>
    <t>9,699,606.89</t>
  </si>
  <si>
    <t>1,941,917.32</t>
  </si>
  <si>
    <t>1,448,695.84</t>
  </si>
  <si>
    <t>3,999,033.56</t>
  </si>
  <si>
    <t>4,999,096.90</t>
  </si>
  <si>
    <t>1,999,954.54</t>
  </si>
  <si>
    <t>9,347,667.90</t>
  </si>
  <si>
    <t>202,013,920.60</t>
  </si>
  <si>
    <t>1,469,915.91</t>
  </si>
  <si>
    <t>1,499,985.49</t>
  </si>
  <si>
    <t>2,496,424.39</t>
  </si>
  <si>
    <t>4,999,510.93</t>
  </si>
  <si>
    <t>35,995,501.92</t>
  </si>
  <si>
    <t>7,718,819.23</t>
  </si>
  <si>
    <t>4,736,951.25</t>
  </si>
  <si>
    <t>14,553,120.89</t>
  </si>
  <si>
    <t>219,330.00</t>
  </si>
  <si>
    <t>1,207,197.00</t>
  </si>
  <si>
    <t>166,676.60</t>
  </si>
  <si>
    <t>125,832.50</t>
  </si>
  <si>
    <t>9,901,834.38</t>
  </si>
  <si>
    <t>585,000.00</t>
  </si>
  <si>
    <t>190,751.48</t>
  </si>
  <si>
    <t>1,999,991.50</t>
  </si>
  <si>
    <t>75,744.06</t>
  </si>
  <si>
    <t>1,499,241.80</t>
  </si>
  <si>
    <t>440,610.71</t>
  </si>
  <si>
    <t>4,999,972.27</t>
  </si>
  <si>
    <t>1,648,791.13</t>
  </si>
  <si>
    <t>390,500.00</t>
  </si>
  <si>
    <t>1,939,441.50</t>
  </si>
  <si>
    <t>190,200.00</t>
  </si>
  <si>
    <t>306,027.90</t>
  </si>
  <si>
    <t>1,088,200.00</t>
  </si>
  <si>
    <t>57,490.00</t>
  </si>
  <si>
    <t>344,000.00</t>
  </si>
  <si>
    <t>115,185.00</t>
  </si>
  <si>
    <t>238,775.36</t>
  </si>
  <si>
    <t>299,367.00</t>
  </si>
  <si>
    <t>161,705.00</t>
  </si>
  <si>
    <t>56,118.00</t>
  </si>
  <si>
    <t>270,538.10</t>
  </si>
  <si>
    <t>270,940.00</t>
  </si>
  <si>
    <t>9,799,940.73</t>
  </si>
  <si>
    <t>130,831.00</t>
  </si>
  <si>
    <t>778,910.00</t>
  </si>
  <si>
    <t>399,997.92</t>
  </si>
  <si>
    <t>439,800.00</t>
  </si>
  <si>
    <t>100,050.00</t>
  </si>
  <si>
    <t>149,964.00</t>
  </si>
  <si>
    <t>155,732.00</t>
  </si>
  <si>
    <t>970,903.96</t>
  </si>
  <si>
    <t>409,800.00</t>
  </si>
  <si>
    <t>2,379,300.00</t>
  </si>
  <si>
    <t>519,100.00</t>
  </si>
  <si>
    <t>105,865.00</t>
  </si>
  <si>
    <t>179,300.00</t>
  </si>
  <si>
    <t>173,000.00</t>
  </si>
  <si>
    <t>236,370.00</t>
  </si>
  <si>
    <t>46,500.00</t>
  </si>
  <si>
    <t>148,148.15</t>
  </si>
  <si>
    <t>1,199,410.00</t>
  </si>
  <si>
    <t>60,480.00</t>
  </si>
  <si>
    <t>2,804,439.10</t>
  </si>
  <si>
    <t>451,900.00</t>
  </si>
  <si>
    <t>15,340,000.00</t>
  </si>
  <si>
    <t>616,032.00</t>
  </si>
  <si>
    <t>357,091.00</t>
  </si>
  <si>
    <t>113,206.00</t>
  </si>
  <si>
    <t>995,200.00</t>
  </si>
  <si>
    <t>365,700.00</t>
  </si>
  <si>
    <t>328,263.40</t>
  </si>
  <si>
    <t>892,000.00</t>
  </si>
  <si>
    <t>205,345.00</t>
  </si>
  <si>
    <t>629,550.00</t>
  </si>
  <si>
    <t>327,350.00</t>
  </si>
  <si>
    <t>2,522,694.40</t>
  </si>
  <si>
    <t>143,670.00</t>
  </si>
  <si>
    <t>2,050,000.00</t>
  </si>
  <si>
    <t>4,318,821.73</t>
  </si>
  <si>
    <t>1,040,600.00</t>
  </si>
  <si>
    <t>91,564.00</t>
  </si>
  <si>
    <t>404,291.28</t>
  </si>
  <si>
    <t>563,175.00</t>
  </si>
  <si>
    <t>1,429,410.00</t>
  </si>
  <si>
    <t>53,556.00</t>
  </si>
  <si>
    <t>76,998.94</t>
  </si>
  <si>
    <t>19,986,000.00</t>
  </si>
  <si>
    <t>2,940,640.00</t>
  </si>
  <si>
    <t>104,470.00</t>
  </si>
  <si>
    <t>89,420.00</t>
  </si>
  <si>
    <t>57,200.00</t>
  </si>
  <si>
    <t>78,945.00</t>
  </si>
  <si>
    <t>4,530,000.00</t>
  </si>
  <si>
    <t>1,329,720.00</t>
  </si>
  <si>
    <t>772,170.33</t>
  </si>
  <si>
    <t>134,960.00</t>
  </si>
  <si>
    <t>328,350.00</t>
  </si>
  <si>
    <t>255,717.40</t>
  </si>
  <si>
    <t>51,292.00</t>
  </si>
  <si>
    <t>186,566.00</t>
  </si>
  <si>
    <t>213,990.00</t>
  </si>
  <si>
    <t>164,180.00</t>
  </si>
  <si>
    <t>4,562,195.00</t>
  </si>
  <si>
    <t>334,555.00</t>
  </si>
  <si>
    <t>131,503.20</t>
  </si>
  <si>
    <t>114,520.00</t>
  </si>
  <si>
    <t>155,400.00</t>
  </si>
  <si>
    <t>873,000.00</t>
  </si>
  <si>
    <t>1,198,482.00</t>
  </si>
  <si>
    <t>73,965.00</t>
  </si>
  <si>
    <t>1,862,226.40</t>
  </si>
  <si>
    <t>98,769.00</t>
  </si>
  <si>
    <t>71,160.00</t>
  </si>
  <si>
    <t>507,100.00</t>
  </si>
  <si>
    <t>127,260.00</t>
  </si>
  <si>
    <t>655,660.00</t>
  </si>
  <si>
    <t>596,691.00</t>
  </si>
  <si>
    <t>2,530,000.00</t>
  </si>
  <si>
    <t>1,827,244.57</t>
  </si>
  <si>
    <t>78,440.00</t>
  </si>
  <si>
    <t>352,000.00</t>
  </si>
  <si>
    <t>2,296,787.13</t>
  </si>
  <si>
    <t>4,375,000.00</t>
  </si>
  <si>
    <t>139,740.00</t>
  </si>
  <si>
    <t>135,110.00</t>
  </si>
  <si>
    <t>117,720.00</t>
  </si>
  <si>
    <t>75,761.00</t>
  </si>
  <si>
    <t>107,996.00</t>
  </si>
  <si>
    <t>302,000.00</t>
  </si>
  <si>
    <t>197,632.00</t>
  </si>
  <si>
    <t>51,790.00</t>
  </si>
  <si>
    <t>1,184,000.00</t>
  </si>
  <si>
    <t>66,751.95</t>
  </si>
  <si>
    <t>26,054,280.00</t>
  </si>
  <si>
    <t>3,555,000.00</t>
  </si>
  <si>
    <t>94,040.00</t>
  </si>
  <si>
    <t>5,106,000.00</t>
  </si>
  <si>
    <t>258,160.00</t>
  </si>
  <si>
    <t>1,311,182.92</t>
  </si>
  <si>
    <t>766,758.00</t>
  </si>
  <si>
    <t>19,061.00</t>
  </si>
  <si>
    <t>197,983.06</t>
  </si>
  <si>
    <t>1,028,610.00</t>
  </si>
  <si>
    <t>315,696.80</t>
  </si>
  <si>
    <t>178,900.00</t>
  </si>
  <si>
    <t>725,950.00</t>
  </si>
  <si>
    <t>102,533.00</t>
  </si>
  <si>
    <t>90,630.00</t>
  </si>
  <si>
    <t>197,928.13</t>
  </si>
  <si>
    <t>197,903.56</t>
  </si>
  <si>
    <t>3,720,000.00</t>
  </si>
  <si>
    <t>376,218.00</t>
  </si>
  <si>
    <t>381,040.00</t>
  </si>
  <si>
    <t>52,300.00</t>
  </si>
  <si>
    <t>171,659.20</t>
  </si>
  <si>
    <t>197,897.23</t>
  </si>
  <si>
    <t>416,400.00</t>
  </si>
  <si>
    <t>280,478.00</t>
  </si>
  <si>
    <t>197,685.66</t>
  </si>
  <si>
    <t>20,915.00</t>
  </si>
  <si>
    <t>811,430.81</t>
  </si>
  <si>
    <t>2,156,850.00</t>
  </si>
  <si>
    <t>481,425.42</t>
  </si>
  <si>
    <t>98,400.00</t>
  </si>
  <si>
    <t>987,850.00</t>
  </si>
  <si>
    <t>105,280.00</t>
  </si>
  <si>
    <t>1,351,775.25</t>
  </si>
  <si>
    <t>73,250.00</t>
  </si>
  <si>
    <t>7,819,101.44</t>
  </si>
  <si>
    <t>931,332.56</t>
  </si>
  <si>
    <t>239,150.00</t>
  </si>
  <si>
    <t>299,000.00</t>
  </si>
  <si>
    <t>431,250.00</t>
  </si>
  <si>
    <t>222,493.00</t>
  </si>
  <si>
    <t>3,238,102.53</t>
  </si>
  <si>
    <t>148,658.94</t>
  </si>
  <si>
    <t>5,026,000.00</t>
  </si>
  <si>
    <t>77,039.00</t>
  </si>
  <si>
    <t>3,499,399.19</t>
  </si>
  <si>
    <t>98,480.97</t>
  </si>
  <si>
    <t>357,218.00</t>
  </si>
  <si>
    <t>148,206.70</t>
  </si>
  <si>
    <t>51,600.00</t>
  </si>
  <si>
    <t>493,000.00</t>
  </si>
  <si>
    <t>197,095.42</t>
  </si>
  <si>
    <t>479,240.00</t>
  </si>
  <si>
    <t>91,220.00</t>
  </si>
  <si>
    <t>98,130.76</t>
  </si>
  <si>
    <t>7,320,968.20</t>
  </si>
  <si>
    <t>330,140.00</t>
  </si>
  <si>
    <t>524,669.91</t>
  </si>
  <si>
    <t>3,893,000.00</t>
  </si>
  <si>
    <t>98,904.20</t>
  </si>
  <si>
    <t>1,499,729.60</t>
  </si>
  <si>
    <t>993,290.00</t>
  </si>
  <si>
    <t>145,500.00</t>
  </si>
  <si>
    <t>70,183.42</t>
  </si>
  <si>
    <t>995,530.00</t>
  </si>
  <si>
    <t>247,595.40</t>
  </si>
  <si>
    <t>557,027.58</t>
  </si>
  <si>
    <t>1,144,022.50</t>
  </si>
  <si>
    <t>423,192.00</t>
  </si>
  <si>
    <t>330,303.00</t>
  </si>
  <si>
    <t>369,600.00</t>
  </si>
  <si>
    <t>112,105.00</t>
  </si>
  <si>
    <t>249,201.00</t>
  </si>
  <si>
    <t>291,597.60</t>
  </si>
  <si>
    <t>134,440.00</t>
  </si>
  <si>
    <t>298,850.00</t>
  </si>
  <si>
    <t>332,310.00</t>
  </si>
  <si>
    <t>76,275.00</t>
  </si>
  <si>
    <t>2,738,079.18</t>
  </si>
  <si>
    <t>4,025,000.00</t>
  </si>
  <si>
    <t>51,670.00</t>
  </si>
  <si>
    <t>126,200.00</t>
  </si>
  <si>
    <t>283,500.00</t>
  </si>
  <si>
    <t>357,418.00</t>
  </si>
  <si>
    <t>9,747,931.19</t>
  </si>
  <si>
    <t>98,822.89</t>
  </si>
  <si>
    <t>133,479.40</t>
  </si>
  <si>
    <t>78,800.00</t>
  </si>
  <si>
    <t>267,930.80</t>
  </si>
  <si>
    <t>473.90</t>
  </si>
  <si>
    <t>860,082.00</t>
  </si>
  <si>
    <t>1,466,753.46</t>
  </si>
  <si>
    <t>425,498.00</t>
  </si>
  <si>
    <t>26,890.00</t>
  </si>
  <si>
    <t>1,247,175.00</t>
  </si>
  <si>
    <t>2,733,441.70</t>
  </si>
  <si>
    <t>2,250,000.00</t>
  </si>
  <si>
    <t>893,910.00</t>
  </si>
  <si>
    <t>104,520.00</t>
  </si>
  <si>
    <t>573,196.00</t>
  </si>
  <si>
    <t>355,540.75</t>
  </si>
  <si>
    <t>417,819.45</t>
  </si>
  <si>
    <t>189,040.00</t>
  </si>
  <si>
    <t>599,979.75</t>
  </si>
  <si>
    <t>903,090.00</t>
  </si>
  <si>
    <t>4,290,000.00</t>
  </si>
  <si>
    <t>263,583.00</t>
  </si>
  <si>
    <t>56,037.96</t>
  </si>
  <si>
    <t>565,000.00</t>
  </si>
  <si>
    <t>15,950.00</t>
  </si>
  <si>
    <t>75,400.00</t>
  </si>
  <si>
    <t>183,490.00</t>
  </si>
  <si>
    <t>655,808.88</t>
  </si>
  <si>
    <t>601,730.00</t>
  </si>
  <si>
    <t>4,341,374.70</t>
  </si>
  <si>
    <t>260,988.00</t>
  </si>
  <si>
    <t>4,677,540.00</t>
  </si>
  <si>
    <t>1,941,567.90</t>
  </si>
  <si>
    <t>131,530.00</t>
  </si>
  <si>
    <t>11,999,978.69</t>
  </si>
  <si>
    <t>599,000.00</t>
  </si>
  <si>
    <t>152,450.00</t>
  </si>
  <si>
    <t>1,180,000.00</t>
  </si>
  <si>
    <t>540,160.00</t>
  </si>
  <si>
    <t>353,080.00</t>
  </si>
  <si>
    <t>317,940.00</t>
  </si>
  <si>
    <t>14,416,773.84</t>
  </si>
  <si>
    <t>134,493.00</t>
  </si>
  <si>
    <t>4,250.00</t>
  </si>
  <si>
    <t>102,279.17</t>
  </si>
  <si>
    <t>96,820.00</t>
  </si>
  <si>
    <t>2,929,319.94</t>
  </si>
  <si>
    <t>764,525.00</t>
  </si>
  <si>
    <t>42,266.67</t>
  </si>
  <si>
    <t>232,028.00</t>
  </si>
  <si>
    <t>150,165.00</t>
  </si>
  <si>
    <t>1,157,408.00</t>
  </si>
  <si>
    <t>158,750.00</t>
  </si>
  <si>
    <t>2,070,601.44</t>
  </si>
  <si>
    <t>96,640.00</t>
  </si>
  <si>
    <t>1,980,233.13</t>
  </si>
  <si>
    <t>328.44</t>
  </si>
  <si>
    <t>240,530.00</t>
  </si>
  <si>
    <t>1,979,947.50</t>
  </si>
  <si>
    <t>157,565.00</t>
  </si>
  <si>
    <t>353,860.00</t>
  </si>
  <si>
    <t>97,600.00</t>
  </si>
  <si>
    <t>5,380,000.00</t>
  </si>
  <si>
    <t>171,039.00</t>
  </si>
  <si>
    <t>184,357.00</t>
  </si>
  <si>
    <t>3,518,500.00</t>
  </si>
  <si>
    <t>243,650.00</t>
  </si>
  <si>
    <t>283,324.00</t>
  </si>
  <si>
    <t>185,245.50</t>
  </si>
  <si>
    <t>329,905.78</t>
  </si>
  <si>
    <t>1,979,615.63</t>
  </si>
  <si>
    <t>94,730.00</t>
  </si>
  <si>
    <t>49,865.00</t>
  </si>
  <si>
    <t>2,035,204.00</t>
  </si>
  <si>
    <t>123,870.00</t>
  </si>
  <si>
    <t>24,750,000.00</t>
  </si>
  <si>
    <t>1,086,763.00</t>
  </si>
  <si>
    <t>3,928,214.97</t>
  </si>
  <si>
    <t>9,060.00</t>
  </si>
  <si>
    <t>2,252,704.34</t>
  </si>
  <si>
    <t>2,488,491.57</t>
  </si>
  <si>
    <t>30,110.00</t>
  </si>
  <si>
    <t>757,545.99</t>
  </si>
  <si>
    <t>95,934.00</t>
  </si>
  <si>
    <t>1,339,000.00</t>
  </si>
  <si>
    <t>198,390.00</t>
  </si>
  <si>
    <t>1,320,797.85</t>
  </si>
  <si>
    <t>304,474.00</t>
  </si>
  <si>
    <t>507,710.00</t>
  </si>
  <si>
    <t>1,983,284.00</t>
  </si>
  <si>
    <t>583,445.92</t>
  </si>
  <si>
    <t>81,600.00</t>
  </si>
  <si>
    <t>8,590.00</t>
  </si>
  <si>
    <t>4,030.00</t>
  </si>
  <si>
    <t>989,560.00</t>
  </si>
  <si>
    <t>146,013.00</t>
  </si>
  <si>
    <t>44,496.00</t>
  </si>
  <si>
    <t>61,700.00</t>
  </si>
  <si>
    <t>6,380,000.00</t>
  </si>
  <si>
    <t>492,290.00</t>
  </si>
  <si>
    <t>369,088.06</t>
  </si>
  <si>
    <t>1,384,430.00</t>
  </si>
  <si>
    <t>93,000,000.00</t>
  </si>
  <si>
    <t>263,870.00</t>
  </si>
  <si>
    <t>2,976,485.00</t>
  </si>
  <si>
    <t>2,670.00</t>
  </si>
  <si>
    <t>560,700.00</t>
  </si>
  <si>
    <t>1,063,087.40</t>
  </si>
  <si>
    <t>458,944.20</t>
  </si>
  <si>
    <t>89,269.80</t>
  </si>
  <si>
    <t>1,239,550.89</t>
  </si>
  <si>
    <t>426,110.00</t>
  </si>
  <si>
    <t>7,690.00</t>
  </si>
  <si>
    <t>4,799.00</t>
  </si>
  <si>
    <t>258,700.00</t>
  </si>
  <si>
    <t>505,322.00</t>
  </si>
  <si>
    <t>2,590,000.00</t>
  </si>
  <si>
    <t>625,383.00</t>
  </si>
  <si>
    <t>99,459.91</t>
  </si>
  <si>
    <t>156,460.00</t>
  </si>
  <si>
    <t>6,082,560.00</t>
  </si>
  <si>
    <t>219,770.00</t>
  </si>
  <si>
    <t>979,585.00</t>
  </si>
  <si>
    <t>1,225,000.00</t>
  </si>
  <si>
    <t>169,500.00</t>
  </si>
  <si>
    <t>2,350,000.00</t>
  </si>
  <si>
    <t>12,150.00</t>
  </si>
  <si>
    <t>1,029,463.00</t>
  </si>
  <si>
    <t>62,638.37</t>
  </si>
  <si>
    <t>1,790,588.00</t>
  </si>
  <si>
    <t>338,778.00</t>
  </si>
  <si>
    <t>116,592.00</t>
  </si>
  <si>
    <t>11,800,000.00</t>
  </si>
  <si>
    <t>8,225.00</t>
  </si>
  <si>
    <t>629,200.00</t>
  </si>
  <si>
    <t>9,947,458.40</t>
  </si>
  <si>
    <t>193,200.00</t>
  </si>
  <si>
    <t>138,075.00</t>
  </si>
  <si>
    <t>12,803,261.69</t>
  </si>
  <si>
    <t>93,757.50</t>
  </si>
  <si>
    <t>264,900.00</t>
  </si>
  <si>
    <t>2,497,471.92</t>
  </si>
  <si>
    <t>1,790,255.00</t>
  </si>
  <si>
    <t>120,111.58</t>
  </si>
  <si>
    <t>576,067.00</t>
  </si>
  <si>
    <t>772,200.00</t>
  </si>
  <si>
    <t>12,760,000.00</t>
  </si>
  <si>
    <t>4,990.00</t>
  </si>
  <si>
    <t>1,617,000.00</t>
  </si>
  <si>
    <t>9,330.00</t>
  </si>
  <si>
    <t>2,971,821.36</t>
  </si>
  <si>
    <t>80,500.00</t>
  </si>
  <si>
    <t>11,855.00</t>
  </si>
  <si>
    <t>7,368.00</t>
  </si>
  <si>
    <t>292,500.00</t>
  </si>
  <si>
    <t>290,201.08</t>
  </si>
  <si>
    <t>1,091,400.00</t>
  </si>
  <si>
    <t>86,155.00</t>
  </si>
  <si>
    <t>1,043,738.81</t>
  </si>
  <si>
    <t>54,650.00</t>
  </si>
  <si>
    <t>1,578,347.00</t>
  </si>
  <si>
    <t>45,060.00</t>
  </si>
  <si>
    <t>13,300.00</t>
  </si>
  <si>
    <t>229,975.00</t>
  </si>
  <si>
    <t>249,000.00</t>
  </si>
  <si>
    <t>13,800.00</t>
  </si>
  <si>
    <t>448,000.00</t>
  </si>
  <si>
    <t>599,998.00</t>
  </si>
  <si>
    <t>176,280.00</t>
  </si>
  <si>
    <t>89,850.00</t>
  </si>
  <si>
    <t>960,163.43</t>
  </si>
  <si>
    <t>446,880.00</t>
  </si>
  <si>
    <t>17,670.00</t>
  </si>
  <si>
    <t>271,842.50</t>
  </si>
  <si>
    <t>2,300.00</t>
  </si>
  <si>
    <t>5,650.00</t>
  </si>
  <si>
    <t>54,476.00</t>
  </si>
  <si>
    <t>134,760.00</t>
  </si>
  <si>
    <t>2,550.00</t>
  </si>
  <si>
    <t>321,598.00</t>
  </si>
  <si>
    <t>200,562.00</t>
  </si>
  <si>
    <t>156,229.00</t>
  </si>
  <si>
    <t>366,190.00</t>
  </si>
  <si>
    <t>29,018.40</t>
  </si>
  <si>
    <t>0.00</t>
  </si>
  <si>
    <t>647,621.00</t>
  </si>
  <si>
    <t>73,100.00</t>
  </si>
  <si>
    <t>418,950.00</t>
  </si>
  <si>
    <t>96,020.00</t>
  </si>
  <si>
    <t>432,500.00</t>
  </si>
  <si>
    <t>510,215.00</t>
  </si>
  <si>
    <t>83,345.00</t>
  </si>
  <si>
    <t>39,600,000.00</t>
  </si>
  <si>
    <t>750,758.53</t>
  </si>
  <si>
    <t>106,060.00</t>
  </si>
  <si>
    <t>349,000.00</t>
  </si>
  <si>
    <t>121,625.00</t>
  </si>
  <si>
    <t>2,460,395.00</t>
  </si>
  <si>
    <t>75,223.00</t>
  </si>
  <si>
    <t>146,052.00</t>
  </si>
  <si>
    <t>425,291.84</t>
  </si>
  <si>
    <t>505,261.00</t>
  </si>
  <si>
    <t>312,326.05</t>
  </si>
  <si>
    <t>2,633,918.05</t>
  </si>
  <si>
    <t>174,725.00</t>
  </si>
  <si>
    <t>1,999,568.56</t>
  </si>
  <si>
    <t>85,600.00</t>
  </si>
  <si>
    <t>433,245.00</t>
  </si>
  <si>
    <t>1,398,000.00</t>
  </si>
  <si>
    <t>427,308.00</t>
  </si>
  <si>
    <t>83,900.00</t>
  </si>
  <si>
    <t>181,216.00</t>
  </si>
  <si>
    <t>397,415.00</t>
  </si>
  <si>
    <t>19,800,000.00</t>
  </si>
  <si>
    <t>423,518.00</t>
  </si>
  <si>
    <t>9,985.00</t>
  </si>
  <si>
    <t>969,892.88</t>
  </si>
  <si>
    <t>197,200.00</t>
  </si>
  <si>
    <t>59,400,000.00</t>
  </si>
  <si>
    <t>900,625.00</t>
  </si>
  <si>
    <t>124,002.00</t>
  </si>
  <si>
    <t>176,900.00</t>
  </si>
  <si>
    <t>202,500.00</t>
  </si>
  <si>
    <t>247,040.00</t>
  </si>
  <si>
    <t>927,200.00</t>
  </si>
  <si>
    <t>99,825.00</t>
  </si>
  <si>
    <t>2,218,320.00</t>
  </si>
  <si>
    <t>290,720.31</t>
  </si>
  <si>
    <t>338,072.00</t>
  </si>
  <si>
    <t>1.00</t>
  </si>
  <si>
    <t>1,850,000.00</t>
  </si>
  <si>
    <t>322,198.00</t>
  </si>
  <si>
    <t>1,036,777.90</t>
  </si>
  <si>
    <t>171,500.00</t>
  </si>
  <si>
    <t>133,400.00</t>
  </si>
  <si>
    <t>18,925,955.32</t>
  </si>
  <si>
    <t>811,747.00</t>
  </si>
  <si>
    <t>473,000.00</t>
  </si>
  <si>
    <t>101,580.00</t>
  </si>
  <si>
    <t>1,023,800.00</t>
  </si>
  <si>
    <t>286,023.00</t>
  </si>
  <si>
    <t>1,992,677.27</t>
  </si>
  <si>
    <t>161,153.62</t>
  </si>
  <si>
    <t>2,114,998.40</t>
  </si>
  <si>
    <t>177,500.00</t>
  </si>
  <si>
    <t>845,597.60</t>
  </si>
  <si>
    <t>19,000,000.00</t>
  </si>
  <si>
    <t>14,200.00</t>
  </si>
  <si>
    <t>99,714.00</t>
  </si>
  <si>
    <t>244,113.60</t>
  </si>
  <si>
    <t>6,592,238.00</t>
  </si>
  <si>
    <t>1,916,854.98</t>
  </si>
  <si>
    <t>1,033,782.40</t>
  </si>
  <si>
    <t>647,948.00</t>
  </si>
  <si>
    <t>1,770,156.80</t>
  </si>
  <si>
    <t>14,736,451.66</t>
  </si>
  <si>
    <t>695,200.00</t>
  </si>
  <si>
    <t>28,000,000.00</t>
  </si>
  <si>
    <t>199,975.00</t>
  </si>
  <si>
    <t>600,500.00</t>
  </si>
  <si>
    <t>2,553,000.00</t>
  </si>
  <si>
    <t>416,666.67</t>
  </si>
  <si>
    <t>388,444.18</t>
  </si>
  <si>
    <t>2,643,269.00</t>
  </si>
  <si>
    <t>305,886.00</t>
  </si>
  <si>
    <t>14,486,461.66</t>
  </si>
  <si>
    <t>520,333.33</t>
  </si>
  <si>
    <t>14,086,461.66</t>
  </si>
  <si>
    <t>1,110,936.75</t>
  </si>
  <si>
    <t>520,000.00</t>
  </si>
  <si>
    <t>492,251.63</t>
  </si>
  <si>
    <t>601,100.00</t>
  </si>
  <si>
    <t>777,225.00</t>
  </si>
  <si>
    <t>75,750.00</t>
  </si>
  <si>
    <t>741,465.00</t>
  </si>
  <si>
    <t>219,250.00</t>
  </si>
  <si>
    <t>3,884,006.26</t>
  </si>
  <si>
    <t>343,800.00</t>
  </si>
  <si>
    <t>56,625.00</t>
  </si>
  <si>
    <t>19,720,369.11</t>
  </si>
  <si>
    <t>224,520.52</t>
  </si>
  <si>
    <t>1,348,298.62</t>
  </si>
  <si>
    <t>224,713.67</t>
  </si>
  <si>
    <t>106,242.50</t>
  </si>
  <si>
    <t>22,468,818.00</t>
  </si>
  <si>
    <t>1,023,001.47</t>
  </si>
  <si>
    <t>951,600.00</t>
  </si>
  <si>
    <t>122,008.54</t>
  </si>
  <si>
    <t>356,499.99</t>
  </si>
  <si>
    <t>196,622.00</t>
  </si>
  <si>
    <t>218,000.00</t>
  </si>
  <si>
    <t>199,750.00</t>
  </si>
  <si>
    <t>214,070.00</t>
  </si>
  <si>
    <t>4,680,000.00</t>
  </si>
  <si>
    <t>3,543,092.82</t>
  </si>
  <si>
    <t>320,321.50</t>
  </si>
  <si>
    <t>199,550.00</t>
  </si>
  <si>
    <t>15,116,168.68</t>
  </si>
  <si>
    <t>619,667.20</t>
  </si>
  <si>
    <t>65,605.00</t>
  </si>
  <si>
    <t>519,322.00</t>
  </si>
  <si>
    <t>509,842.00</t>
  </si>
  <si>
    <t>2,562,922.33</t>
  </si>
  <si>
    <t>14,566,300.94</t>
  </si>
  <si>
    <t>49,960.00</t>
  </si>
  <si>
    <t>183,620.00</t>
  </si>
  <si>
    <t>7,600,000.00</t>
  </si>
  <si>
    <t>333,876.42</t>
  </si>
  <si>
    <t>210,400.00</t>
  </si>
  <si>
    <t>1,047,247.90</t>
  </si>
  <si>
    <t>3,999,181.45</t>
  </si>
  <si>
    <t>250,526.54</t>
  </si>
  <si>
    <t>102,600.00</t>
  </si>
  <si>
    <t>17,300.00</t>
  </si>
  <si>
    <t>124,855.00</t>
  </si>
  <si>
    <t>911,096.83</t>
  </si>
  <si>
    <t>599,992.85</t>
  </si>
  <si>
    <t>663,935.00</t>
  </si>
  <si>
    <t>146,826.64</t>
  </si>
  <si>
    <t>846,665.29</t>
  </si>
  <si>
    <t>284,022.62</t>
  </si>
  <si>
    <t>1,644,970.00</t>
  </si>
  <si>
    <t>286,300.00</t>
  </si>
  <si>
    <t>534,010.00</t>
  </si>
  <si>
    <t>348,100.00</t>
  </si>
  <si>
    <t>285,516.38</t>
  </si>
  <si>
    <t>5,616,566.25</t>
  </si>
  <si>
    <t>32,530,183.65</t>
  </si>
  <si>
    <t>268,015.00</t>
  </si>
  <si>
    <t>1,096,747.56</t>
  </si>
  <si>
    <t>396,312.00</t>
  </si>
  <si>
    <t>833,338.56</t>
  </si>
  <si>
    <t>118,982.95</t>
  </si>
  <si>
    <t>144,475.00</t>
  </si>
  <si>
    <t>212,650.38</t>
  </si>
  <si>
    <t>466,500.00</t>
  </si>
  <si>
    <t>135,850.00</t>
  </si>
  <si>
    <t>299,997.35</t>
  </si>
  <si>
    <t>901,551.09</t>
  </si>
  <si>
    <t>991,907.59</t>
  </si>
  <si>
    <t>999,998.66</t>
  </si>
  <si>
    <t>199,709.29</t>
  </si>
  <si>
    <t>405,663.61</t>
  </si>
  <si>
    <t>1,047,050.72</t>
  </si>
  <si>
    <t>444,400.00</t>
  </si>
  <si>
    <t>757,997.00</t>
  </si>
  <si>
    <t>1,607,964.76</t>
  </si>
  <si>
    <t>876,958.00</t>
  </si>
  <si>
    <t>301,320.00</t>
  </si>
  <si>
    <t>95,737.10</t>
  </si>
  <si>
    <t>799,999.47</t>
  </si>
  <si>
    <t>7,282,000.00</t>
  </si>
  <si>
    <t>896,106.10</t>
  </si>
  <si>
    <t>16,844,000.00</t>
  </si>
  <si>
    <t>307,089.00</t>
  </si>
  <si>
    <t>4,768,000.00</t>
  </si>
  <si>
    <t>310,185.82</t>
  </si>
  <si>
    <t>89,740.00</t>
  </si>
  <si>
    <t>3,100,000.00</t>
  </si>
  <si>
    <t>721,250.00</t>
  </si>
  <si>
    <t>168,390.00</t>
  </si>
  <si>
    <t>40,007,081.95</t>
  </si>
  <si>
    <t>13,232,000.00</t>
  </si>
  <si>
    <t>119,575.00</t>
  </si>
  <si>
    <t>971,835.12</t>
  </si>
  <si>
    <t>1,089,000.00</t>
  </si>
  <si>
    <t>4,899,554.30</t>
  </si>
  <si>
    <t>186,595.00</t>
  </si>
  <si>
    <t>128,541.10</t>
  </si>
  <si>
    <t>499,400.00</t>
  </si>
  <si>
    <t>1,178,217.92</t>
  </si>
  <si>
    <t>156,077.00</t>
  </si>
  <si>
    <t>48,999,117.17</t>
  </si>
  <si>
    <t>169,334.00</t>
  </si>
  <si>
    <t>288,049.00</t>
  </si>
  <si>
    <t>192,128.00</t>
  </si>
  <si>
    <t>198,085.00</t>
  </si>
  <si>
    <t>52,020.00</t>
  </si>
  <si>
    <t>19,799,634.33</t>
  </si>
  <si>
    <t>2,903,280.00</t>
  </si>
  <si>
    <t>823,495.00</t>
  </si>
  <si>
    <t>19,799,869.91</t>
  </si>
  <si>
    <t>1,868,000.00</t>
  </si>
  <si>
    <t>5,037,900.00</t>
  </si>
  <si>
    <t>66,540.00</t>
  </si>
  <si>
    <t>29,399,143.95</t>
  </si>
  <si>
    <t>49,499,605.12</t>
  </si>
  <si>
    <t>97,899.00</t>
  </si>
  <si>
    <t>17,367,611.51</t>
  </si>
  <si>
    <t>185,595.00</t>
  </si>
  <si>
    <t>315,470.00</t>
  </si>
  <si>
    <t>397,600.00</t>
  </si>
  <si>
    <t>1,441,000.00</t>
  </si>
  <si>
    <t>108,590.00</t>
  </si>
  <si>
    <t>4,570,000.00</t>
  </si>
  <si>
    <t>2,969,827.26</t>
  </si>
  <si>
    <t>3,430,000.00</t>
  </si>
  <si>
    <t>716,520.00</t>
  </si>
  <si>
    <t>43,000,000.00</t>
  </si>
  <si>
    <t>358,260.00</t>
  </si>
  <si>
    <t>718,200.00</t>
  </si>
  <si>
    <t>179,130.00</t>
  </si>
  <si>
    <t>670,530.00</t>
  </si>
  <si>
    <t>34,299,180.26</t>
  </si>
  <si>
    <t>14,999,980.59</t>
  </si>
  <si>
    <t>1,357,390.00</t>
  </si>
  <si>
    <t>388,015.03</t>
  </si>
  <si>
    <t>955,500.00</t>
  </si>
  <si>
    <t>253,155.48</t>
  </si>
  <si>
    <t>1,099,759.92</t>
  </si>
  <si>
    <t>4,551,153.50</t>
  </si>
  <si>
    <t>141,330.00</t>
  </si>
  <si>
    <t>1,805,893.00</t>
  </si>
  <si>
    <t>2,411,875.00</t>
  </si>
  <si>
    <t>353,600.00</t>
  </si>
  <si>
    <t>597,530.00</t>
  </si>
  <si>
    <t>48,813.00</t>
  </si>
  <si>
    <t>552,000.00</t>
  </si>
  <si>
    <t>8,537.00</t>
  </si>
  <si>
    <t>404,939.14</t>
  </si>
  <si>
    <t>359,600.00</t>
  </si>
  <si>
    <t>29,865.00</t>
  </si>
  <si>
    <t>1,643,710.00</t>
  </si>
  <si>
    <t>22,332,347.27</t>
  </si>
  <si>
    <t>27,649.00</t>
  </si>
  <si>
    <t>12,835,086.31</t>
  </si>
  <si>
    <t>8,443,297.69</t>
  </si>
  <si>
    <t>87,430.00</t>
  </si>
  <si>
    <t>1,601,617.81</t>
  </si>
  <si>
    <t>1,206,800.00</t>
  </si>
  <si>
    <t>2,340,255.00</t>
  </si>
  <si>
    <t>114,534.00</t>
  </si>
  <si>
    <t>45,745.00</t>
  </si>
  <si>
    <t>216,780.00</t>
  </si>
  <si>
    <t>4,870,905.00</t>
  </si>
  <si>
    <t>8,996,940.72</t>
  </si>
  <si>
    <t>27,332.00</t>
  </si>
  <si>
    <t>11,850,956.99</t>
  </si>
  <si>
    <t>9,390,000.00</t>
  </si>
  <si>
    <t>12,018,374.59</t>
  </si>
  <si>
    <t>76,320.00</t>
  </si>
  <si>
    <t>361,753.00</t>
  </si>
  <si>
    <t>9,632,373.93</t>
  </si>
  <si>
    <t>752,000.00</t>
  </si>
  <si>
    <t>3,600,000.00</t>
  </si>
  <si>
    <t>9,474,589.00</t>
  </si>
  <si>
    <t>9,016,112.01</t>
  </si>
  <si>
    <t>1,181,000.00</t>
  </si>
  <si>
    <t>499,028.03</t>
  </si>
  <si>
    <t>829,500.00</t>
  </si>
  <si>
    <t>11,220,060.00</t>
  </si>
  <si>
    <t>51,237.00</t>
  </si>
  <si>
    <t>1,799,456.61</t>
  </si>
  <si>
    <t>125,965.00</t>
  </si>
  <si>
    <t>112,680.00</t>
  </si>
  <si>
    <t>228,800.00</t>
  </si>
  <si>
    <t>1,806,000.00</t>
  </si>
  <si>
    <t>462,751.73</t>
  </si>
  <si>
    <t>591,047.89</t>
  </si>
  <si>
    <t>6,875,000.00</t>
  </si>
  <si>
    <t>398,393.83</t>
  </si>
  <si>
    <t>20,414,149.39</t>
  </si>
  <si>
    <t>12,379,971.95</t>
  </si>
  <si>
    <t>575,000.00</t>
  </si>
  <si>
    <t>45,336,585.10</t>
  </si>
  <si>
    <t>3,640,000.00</t>
  </si>
  <si>
    <t>20,453,107.69</t>
  </si>
  <si>
    <t>38,804,617.27</t>
  </si>
  <si>
    <t>50,123,323.20</t>
  </si>
  <si>
    <t>331,800.00</t>
  </si>
  <si>
    <t>86,742.40</t>
  </si>
  <si>
    <t>2,420,000.00</t>
  </si>
  <si>
    <t>5,555,000.00</t>
  </si>
  <si>
    <t>50,757.00</t>
  </si>
  <si>
    <t>5,917,000.00</t>
  </si>
  <si>
    <t>599,450.00</t>
  </si>
  <si>
    <t>1,017,000.00</t>
  </si>
  <si>
    <t>1,380,000.00</t>
  </si>
  <si>
    <t>2,648,306.64</t>
  </si>
  <si>
    <t>2,819,787.90</t>
  </si>
  <si>
    <t>249,992.42</t>
  </si>
  <si>
    <t>9,526.77</t>
  </si>
  <si>
    <t>1,203,684.00</t>
  </si>
  <si>
    <t>2,699,290.00</t>
  </si>
  <si>
    <t>83,200.00</t>
  </si>
  <si>
    <t>54,340.00</t>
  </si>
  <si>
    <t>49,000,000.00</t>
  </si>
  <si>
    <t>15,932,000.00</t>
  </si>
  <si>
    <t>2,329,750.00</t>
  </si>
  <si>
    <t>32,670,000.00</t>
  </si>
  <si>
    <t>1,347,000.00</t>
  </si>
  <si>
    <t>388,948.16</t>
  </si>
  <si>
    <t>211,489.60</t>
  </si>
  <si>
    <t>96,500,000.00</t>
  </si>
  <si>
    <t>3,364,817.35</t>
  </si>
  <si>
    <t>995,194.20</t>
  </si>
  <si>
    <t>1,591,200.00</t>
  </si>
  <si>
    <t>493,676.80</t>
  </si>
  <si>
    <t>1,725,773.80</t>
  </si>
  <si>
    <t>1,998,098.92</t>
  </si>
  <si>
    <t>306,640.00</t>
  </si>
  <si>
    <t>152,656.00</t>
  </si>
  <si>
    <t>1,997,197.50</t>
  </si>
  <si>
    <t>4,086,773.72</t>
  </si>
  <si>
    <t>342,636.07</t>
  </si>
  <si>
    <t>780,307.50</t>
  </si>
  <si>
    <t>2,760,000.00</t>
  </si>
  <si>
    <t>498,771.00</t>
  </si>
  <si>
    <t>3,367,457.00</t>
  </si>
  <si>
    <t>470,937.00</t>
  </si>
  <si>
    <t>196,588.00</t>
  </si>
  <si>
    <t>3,966,126.16</t>
  </si>
  <si>
    <t>1,944,582.85</t>
  </si>
  <si>
    <t>4,623,652.50</t>
  </si>
  <si>
    <t>2,836,256.63</t>
  </si>
  <si>
    <t>550,630.50</t>
  </si>
  <si>
    <t>2,254,000.00</t>
  </si>
  <si>
    <t>941,250.00</t>
  </si>
  <si>
    <t>1,035,569.20</t>
  </si>
  <si>
    <t>109,125.00</t>
  </si>
  <si>
    <t>955,800.00</t>
  </si>
  <si>
    <t>2,353,000.00</t>
  </si>
  <si>
    <t>496,125.00</t>
  </si>
  <si>
    <t>999,789.00</t>
  </si>
  <si>
    <t>113,500.00</t>
  </si>
  <si>
    <t>2,933,750.00</t>
  </si>
  <si>
    <t>2,499,910.81</t>
  </si>
  <si>
    <t>3,791,994.31</t>
  </si>
  <si>
    <t>3,750,000.00</t>
  </si>
  <si>
    <t>968,716.23</t>
  </si>
  <si>
    <t>295,515.00</t>
  </si>
  <si>
    <t>148,170,209.79</t>
  </si>
  <si>
    <t>2,997,840.21</t>
  </si>
  <si>
    <t>67,125.00</t>
  </si>
  <si>
    <t>1,505,000.00</t>
  </si>
  <si>
    <t>861,569.95</t>
  </si>
  <si>
    <t>136,261.00</t>
  </si>
  <si>
    <t>347,750.00</t>
  </si>
  <si>
    <t>109,500.00</t>
  </si>
  <si>
    <t>2,952,279.92</t>
  </si>
  <si>
    <t>6,291,534.00</t>
  </si>
  <si>
    <t>77,940.00</t>
  </si>
  <si>
    <t>114,550.00</t>
  </si>
  <si>
    <t>186,955.00</t>
  </si>
  <si>
    <t>15,806,307.88</t>
  </si>
  <si>
    <t>410,951.07</t>
  </si>
  <si>
    <t>21,600,000.00</t>
  </si>
  <si>
    <t>2,046,186.00</t>
  </si>
  <si>
    <t>200,328.40</t>
  </si>
  <si>
    <t>331,750.00</t>
  </si>
  <si>
    <t>2,040,589.00</t>
  </si>
  <si>
    <t>258,870.00</t>
  </si>
  <si>
    <t>356,805.00</t>
  </si>
  <si>
    <t>317,550.00</t>
  </si>
  <si>
    <t>243,000.00</t>
  </si>
  <si>
    <t>896,344.79</t>
  </si>
  <si>
    <t>227,781.00</t>
  </si>
  <si>
    <t>9,999,986.00</t>
  </si>
  <si>
    <t>2,665,400.00</t>
  </si>
  <si>
    <t>1,415,678.05</t>
  </si>
  <si>
    <t>225,823.50</t>
  </si>
  <si>
    <t>5,761,388.00</t>
  </si>
  <si>
    <t>226,200.00</t>
  </si>
  <si>
    <t>387,367.82</t>
  </si>
  <si>
    <t>335,770.00</t>
  </si>
  <si>
    <t>1,083,189.96</t>
  </si>
  <si>
    <t>183,740.00</t>
  </si>
  <si>
    <t>196,715.00</t>
  </si>
  <si>
    <t>2,089,341.90</t>
  </si>
  <si>
    <t>581,568.23</t>
  </si>
  <si>
    <t>1,680,000.00</t>
  </si>
  <si>
    <t>89,480.00</t>
  </si>
  <si>
    <t>415,913.00</t>
  </si>
  <si>
    <t>52,113.00</t>
  </si>
  <si>
    <t>15,998,169.46</t>
  </si>
  <si>
    <t>2,253,930.02</t>
  </si>
  <si>
    <t>904,000.00</t>
  </si>
  <si>
    <t>221,288.00</t>
  </si>
  <si>
    <t>79,935.50</t>
  </si>
  <si>
    <t>636,360.00</t>
  </si>
  <si>
    <t>59,486.00</t>
  </si>
  <si>
    <t>185,980.00</t>
  </si>
  <si>
    <t>403,450.00</t>
  </si>
  <si>
    <t>1,678,343.30</t>
  </si>
  <si>
    <t>1,873,995.79</t>
  </si>
  <si>
    <t>601,154.00</t>
  </si>
  <si>
    <t>55,011.57</t>
  </si>
  <si>
    <t>1,847,275.20</t>
  </si>
  <si>
    <t>52,055.00</t>
  </si>
  <si>
    <t>4,083,289.92</t>
  </si>
  <si>
    <t>292,310.00</t>
  </si>
  <si>
    <t>3,608,000.00</t>
  </si>
  <si>
    <t>30,100.00</t>
  </si>
  <si>
    <t>3,317,098.46</t>
  </si>
  <si>
    <t>92,346.00</t>
  </si>
  <si>
    <t>363,261.00</t>
  </si>
  <si>
    <t>2,851,859.15</t>
  </si>
  <si>
    <t>357,175.00</t>
  </si>
  <si>
    <t>2,731,000.00</t>
  </si>
  <si>
    <t>410,000.00</t>
  </si>
  <si>
    <t>235,911.00</t>
  </si>
  <si>
    <t>1,571,860.00</t>
  </si>
  <si>
    <t>3,542,000.00</t>
  </si>
  <si>
    <t>461,075.00</t>
  </si>
  <si>
    <t>100,198.00</t>
  </si>
  <si>
    <t>1,425,000.00</t>
  </si>
  <si>
    <t>1,408,644.38</t>
  </si>
  <si>
    <t>93,104.52</t>
  </si>
  <si>
    <t>311,000.00</t>
  </si>
  <si>
    <t>137,000.00</t>
  </si>
  <si>
    <t>239,700.00</t>
  </si>
  <si>
    <t>3,471,060.00</t>
  </si>
  <si>
    <t>741,514.00</t>
  </si>
  <si>
    <t>2,135,323.50</t>
  </si>
  <si>
    <t>469,436.05</t>
  </si>
  <si>
    <t>287,455.00</t>
  </si>
  <si>
    <t>391,400.00</t>
  </si>
  <si>
    <t>295,870.00</t>
  </si>
  <si>
    <t>750,871.00</t>
  </si>
  <si>
    <t>388,504.00</t>
  </si>
  <si>
    <t>683,317.80</t>
  </si>
  <si>
    <t>118,384.50</t>
  </si>
  <si>
    <t>979,202.00</t>
  </si>
  <si>
    <t>280,797.36</t>
  </si>
  <si>
    <t>40,875.00</t>
  </si>
  <si>
    <t>1,998,616.00</t>
  </si>
  <si>
    <t>943,013.35</t>
  </si>
  <si>
    <t>6,613,451.89</t>
  </si>
  <si>
    <t>2,550,000.00</t>
  </si>
  <si>
    <t>332,500.00</t>
  </si>
  <si>
    <t>1,368,283.00</t>
  </si>
  <si>
    <t>512,594.25</t>
  </si>
  <si>
    <t>1,226,935.10</t>
  </si>
  <si>
    <t>32,843,060.63</t>
  </si>
  <si>
    <t>707,776.38</t>
  </si>
  <si>
    <t>332,850.00</t>
  </si>
  <si>
    <t>789,625.00</t>
  </si>
  <si>
    <t>66,800.00</t>
  </si>
  <si>
    <t>298,172.00</t>
  </si>
  <si>
    <t>1,281,018.38</t>
  </si>
  <si>
    <t>97,850.00</t>
  </si>
  <si>
    <t>7,927,865.00</t>
  </si>
  <si>
    <t>189,890.00</t>
  </si>
  <si>
    <t>28,950,000.00</t>
  </si>
  <si>
    <t>38,234,495.65</t>
  </si>
  <si>
    <t>1,799,500.00</t>
  </si>
  <si>
    <t>783,999.84</t>
  </si>
  <si>
    <t>1,260,000.00</t>
  </si>
  <si>
    <t>44,153,846.58</t>
  </si>
  <si>
    <t>98,689.93</t>
  </si>
  <si>
    <t>499,702.00</t>
  </si>
  <si>
    <t>692,000.00</t>
  </si>
  <si>
    <t>1,433,809.52</t>
  </si>
  <si>
    <t>1,955,537.15</t>
  </si>
  <si>
    <t>2,093,756.35</t>
  </si>
  <si>
    <t>99,320.00</t>
  </si>
  <si>
    <t>186,625.00</t>
  </si>
  <si>
    <t>214,200.00</t>
  </si>
  <si>
    <t>1,356,540.00</t>
  </si>
  <si>
    <t>1,997,690.62</t>
  </si>
  <si>
    <t>520,850.00</t>
  </si>
  <si>
    <t>6,150,000.00</t>
  </si>
  <si>
    <t>278,056.00</t>
  </si>
  <si>
    <t>199,150.00</t>
  </si>
  <si>
    <t>997,229.53</t>
  </si>
  <si>
    <t>2,943,875.72</t>
  </si>
  <si>
    <t>193,150.00</t>
  </si>
  <si>
    <t>516,835.00</t>
  </si>
  <si>
    <t>298,269.10</t>
  </si>
  <si>
    <t>395,106.04</t>
  </si>
  <si>
    <t>607,642.63</t>
  </si>
  <si>
    <t>95,458.00</t>
  </si>
  <si>
    <t>382,677.75</t>
  </si>
  <si>
    <t>329,790.00</t>
  </si>
  <si>
    <t>1,909,816.31</t>
  </si>
  <si>
    <t>310,580.00</t>
  </si>
  <si>
    <t>14,400.00</t>
  </si>
  <si>
    <t>17,400.00</t>
  </si>
  <si>
    <t>24,000,000.00</t>
  </si>
  <si>
    <t>51,710.00</t>
  </si>
  <si>
    <t>3,000,800.00</t>
  </si>
  <si>
    <t>8,918,000.00</t>
  </si>
  <si>
    <t>477,433.60</t>
  </si>
  <si>
    <t>73,940.00</t>
  </si>
  <si>
    <t>3,711,662.83</t>
  </si>
  <si>
    <t>63,750.00</t>
  </si>
  <si>
    <t>1,399,978.93</t>
  </si>
  <si>
    <t>1,991,113.47</t>
  </si>
  <si>
    <t>999,949.11</t>
  </si>
  <si>
    <t>15,440,000.00</t>
  </si>
  <si>
    <t>4,450,999.60</t>
  </si>
  <si>
    <t>56,634.33</t>
  </si>
  <si>
    <t>155,695.75</t>
  </si>
  <si>
    <t>169,050.00</t>
  </si>
  <si>
    <t>999,537.00</t>
  </si>
  <si>
    <t>206,350.00</t>
  </si>
  <si>
    <t>3,947,822.99</t>
  </si>
  <si>
    <t>29,033.06</t>
  </si>
  <si>
    <t>69,515.00</t>
  </si>
  <si>
    <t>85,714.28</t>
  </si>
  <si>
    <t>131,899.00</t>
  </si>
  <si>
    <t>58,448.00</t>
  </si>
  <si>
    <t>2,265,000.00</t>
  </si>
  <si>
    <t>2,316,258.90</t>
  </si>
  <si>
    <t>604,407.00</t>
  </si>
  <si>
    <t>272,000.00</t>
  </si>
  <si>
    <t>9,975,000.00</t>
  </si>
  <si>
    <t>141,695.00</t>
  </si>
  <si>
    <t>285,388.11</t>
  </si>
  <si>
    <t>402,500.00</t>
  </si>
  <si>
    <t>1,159,017.27</t>
  </si>
  <si>
    <t>1,999,738.12</t>
  </si>
  <si>
    <t>362,600.00</t>
  </si>
  <si>
    <t>445,855.00</t>
  </si>
  <si>
    <t>1,070,736.51</t>
  </si>
  <si>
    <t>199,876.00</t>
  </si>
  <si>
    <t>891,500.00</t>
  </si>
  <si>
    <t>3,598,480.00</t>
  </si>
  <si>
    <t>997,550.00</t>
  </si>
  <si>
    <t>164,566.00</t>
  </si>
  <si>
    <t>999,987.82</t>
  </si>
  <si>
    <t>54,606.54</t>
  </si>
  <si>
    <t>1,530,000.00</t>
  </si>
  <si>
    <t>99,801.65</t>
  </si>
  <si>
    <t>2,925.00</t>
  </si>
  <si>
    <t>519,500.00</t>
  </si>
  <si>
    <t>499,970.81</t>
  </si>
  <si>
    <t>741,600.00</t>
  </si>
  <si>
    <t>94,976.00</t>
  </si>
  <si>
    <t>1,030,894.67</t>
  </si>
  <si>
    <t>500,503.50</t>
  </si>
  <si>
    <t>5,800,000.00</t>
  </si>
  <si>
    <t>2,423,998.55</t>
  </si>
  <si>
    <t>1,074,000.00</t>
  </si>
  <si>
    <t>6,120,000.00</t>
  </si>
  <si>
    <t>69,990.00</t>
  </si>
  <si>
    <t>1,270,000.00</t>
  </si>
  <si>
    <t>499,980.61</t>
  </si>
  <si>
    <t>1,499,565.80</t>
  </si>
  <si>
    <t>618,333.80</t>
  </si>
  <si>
    <t>1,470,000.00</t>
  </si>
  <si>
    <t>683,000.00</t>
  </si>
  <si>
    <t>1,579,595.00</t>
  </si>
  <si>
    <t>1,256,000.00</t>
  </si>
  <si>
    <t>201,380.00</t>
  </si>
  <si>
    <t>156,310.00</t>
  </si>
  <si>
    <t>296,640.00</t>
  </si>
  <si>
    <t>298,682.50</t>
  </si>
  <si>
    <t>305,620.00</t>
  </si>
  <si>
    <t>1,646,140.00</t>
  </si>
  <si>
    <t>499,902.93</t>
  </si>
  <si>
    <t>3,489,088.72</t>
  </si>
  <si>
    <t>2,992,000.00</t>
  </si>
  <si>
    <t>1,760,000.00</t>
  </si>
  <si>
    <t>5,999,950.00</t>
  </si>
  <si>
    <t>1,324,533.10</t>
  </si>
  <si>
    <t>499,831.50</t>
  </si>
  <si>
    <t>132,570.00</t>
  </si>
  <si>
    <t>1,065,012.42</t>
  </si>
  <si>
    <t>1,185,851.25</t>
  </si>
  <si>
    <t>146,900.00</t>
  </si>
  <si>
    <t>199,343.39</t>
  </si>
  <si>
    <t>2,321,536.00</t>
  </si>
  <si>
    <t>72,930.00</t>
  </si>
  <si>
    <t>1,399,996.00</t>
  </si>
  <si>
    <t>199,755.00</t>
  </si>
  <si>
    <t>299,999.90</t>
  </si>
  <si>
    <t>2,909,500.00</t>
  </si>
  <si>
    <t>4,287,760.00</t>
  </si>
  <si>
    <t>920,000.00</t>
  </si>
  <si>
    <t>1,540,000.00</t>
  </si>
  <si>
    <t>1,000,997.68</t>
  </si>
  <si>
    <t>93,388.00</t>
  </si>
  <si>
    <t>253,685.00</t>
  </si>
  <si>
    <t>998,300.00</t>
  </si>
  <si>
    <t>34,735,520.40</t>
  </si>
  <si>
    <t>527,919.00</t>
  </si>
  <si>
    <t>4,999.24</t>
  </si>
  <si>
    <t>3,454,104.00</t>
  </si>
  <si>
    <t>22,450.00</t>
  </si>
  <si>
    <t>3,411,360.00</t>
  </si>
  <si>
    <t>991,178.30</t>
  </si>
  <si>
    <t>999,902.32</t>
  </si>
  <si>
    <t>34,672,711.42</t>
  </si>
  <si>
    <t>3,636,000.00</t>
  </si>
  <si>
    <t>892,230.00</t>
  </si>
  <si>
    <t>634,905.00</t>
  </si>
  <si>
    <t>971,590.00</t>
  </si>
  <si>
    <t>84,950.00</t>
  </si>
  <si>
    <t>971,880.00</t>
  </si>
  <si>
    <t>11,939,977.71</t>
  </si>
  <si>
    <t>873,034.49</t>
  </si>
  <si>
    <t>1,495,502.11</t>
  </si>
  <si>
    <t>75,450.00</t>
  </si>
  <si>
    <t>1,130,358.92</t>
  </si>
  <si>
    <t>12,934,976.97</t>
  </si>
  <si>
    <t>1,995,929.04</t>
  </si>
  <si>
    <t>1,985,915.47</t>
  </si>
  <si>
    <t>11,939,875.41</t>
  </si>
  <si>
    <t>9,852,000.00</t>
  </si>
  <si>
    <t>1,199,732.92</t>
  </si>
  <si>
    <t>1,499,553.57</t>
  </si>
  <si>
    <t>7,400.00</t>
  </si>
  <si>
    <t>2,299,572.76</t>
  </si>
  <si>
    <t>149,971.98</t>
  </si>
  <si>
    <t>149,960.13</t>
  </si>
  <si>
    <t>1,959,940.40</t>
  </si>
  <si>
    <t>99,943.10</t>
  </si>
  <si>
    <t>149,948.27</t>
  </si>
  <si>
    <t>2,999,322.46</t>
  </si>
  <si>
    <t>99,987.96</t>
  </si>
  <si>
    <t>349,986.98</t>
  </si>
  <si>
    <t>3,499,038.65</t>
  </si>
  <si>
    <t>2,299,216.61</t>
  </si>
  <si>
    <t>199,987.89</t>
  </si>
  <si>
    <t>249,898.78</t>
  </si>
  <si>
    <t>59,761.15</t>
  </si>
  <si>
    <t>34,740,000.00</t>
  </si>
  <si>
    <t>199,896.23</t>
  </si>
  <si>
    <t>199,995.73</t>
  </si>
  <si>
    <t>241,035.00</t>
  </si>
  <si>
    <t>89,137.00</t>
  </si>
  <si>
    <t>3,515,000.00</t>
  </si>
  <si>
    <t>148,580.00</t>
  </si>
  <si>
    <t>10,088,400.00</t>
  </si>
  <si>
    <t>199,603.49</t>
  </si>
  <si>
    <t>199,926.78</t>
  </si>
  <si>
    <t>74,725.00</t>
  </si>
  <si>
    <t>99,950.28</t>
  </si>
  <si>
    <t>131,288.04</t>
  </si>
  <si>
    <t>994,696.08</t>
  </si>
  <si>
    <t>149,942.96</t>
  </si>
  <si>
    <t>1,743,227.50</t>
  </si>
  <si>
    <t>28,340.00</t>
  </si>
  <si>
    <t>163,945.00</t>
  </si>
  <si>
    <t>81,150.00</t>
  </si>
  <si>
    <t>60,820.00</t>
  </si>
  <si>
    <t>199,999.50</t>
  </si>
  <si>
    <t>199,943.70</t>
  </si>
  <si>
    <t>1,499,897.29</t>
  </si>
  <si>
    <t>99,966.04</t>
  </si>
  <si>
    <t>11,939,976.80</t>
  </si>
  <si>
    <t>11,939,999.65</t>
  </si>
  <si>
    <t>11,939,971.67</t>
  </si>
  <si>
    <t>5,920.00</t>
  </si>
  <si>
    <t>98,045,669.86</t>
  </si>
  <si>
    <t>34,739,646.63</t>
  </si>
  <si>
    <t>508,914.00</t>
  </si>
  <si>
    <t>106,829.00</t>
  </si>
  <si>
    <t>254,457.00</t>
  </si>
  <si>
    <t>179,450.00</t>
  </si>
  <si>
    <t>565,805.52</t>
  </si>
  <si>
    <t>781,311.00</t>
  </si>
  <si>
    <t>994,880.75</t>
  </si>
  <si>
    <t>7,575,734.55</t>
  </si>
  <si>
    <t>11,939,963.86</t>
  </si>
  <si>
    <t>1,186,894.46</t>
  </si>
  <si>
    <t>994,750.00</t>
  </si>
  <si>
    <t>12,511,990.70</t>
  </si>
  <si>
    <t>1,955,000.00</t>
  </si>
  <si>
    <t>130,680.00</t>
  </si>
  <si>
    <t>1,044,910.00</t>
  </si>
  <si>
    <t>50,875,000.00</t>
  </si>
  <si>
    <t>18,456,000.00</t>
  </si>
  <si>
    <t>966,750.00</t>
  </si>
  <si>
    <t>2,340,000.00</t>
  </si>
  <si>
    <t>4,292,595.80</t>
  </si>
  <si>
    <t>4,863,000.00</t>
  </si>
  <si>
    <t>928,615.00</t>
  </si>
  <si>
    <t>250,051.25</t>
  </si>
  <si>
    <t>3,113,470.00</t>
  </si>
  <si>
    <t>661,172.30</t>
  </si>
  <si>
    <t>2,030,600.00</t>
  </si>
  <si>
    <t>4,887,241.63</t>
  </si>
  <si>
    <t>1,393,469.77</t>
  </si>
  <si>
    <t>2,443,831.37</t>
  </si>
  <si>
    <t>2,653,585.00</t>
  </si>
  <si>
    <t>1,103,329.00</t>
  </si>
  <si>
    <t>14,919,793.00</t>
  </si>
  <si>
    <t>495,530.00</t>
  </si>
  <si>
    <t>4,887,619.94</t>
  </si>
  <si>
    <t>9,860,804.59</t>
  </si>
  <si>
    <t>732,827.27</t>
  </si>
  <si>
    <t>1,452,000.00</t>
  </si>
  <si>
    <t>815,999.40</t>
  </si>
  <si>
    <t>408,441.00</t>
  </si>
  <si>
    <t>166,475.00</t>
  </si>
  <si>
    <t>73,920.00</t>
  </si>
  <si>
    <t>4,887,536.82</t>
  </si>
  <si>
    <t>999,160.11</t>
  </si>
  <si>
    <t>199,999.88</t>
  </si>
  <si>
    <t>149,929.69</t>
  </si>
  <si>
    <t>2,991,195.51</t>
  </si>
  <si>
    <t>236,710.50</t>
  </si>
  <si>
    <t>367,011.20</t>
  </si>
  <si>
    <t>976,796.82</t>
  </si>
  <si>
    <t>891,575.85</t>
  </si>
  <si>
    <t>769,250.00</t>
  </si>
  <si>
    <t>2,805,000.00</t>
  </si>
  <si>
    <t>1,046,250.00</t>
  </si>
  <si>
    <t>2,443,785.57</t>
  </si>
  <si>
    <t>1,539,048.40</t>
  </si>
  <si>
    <t>11,309,088.88</t>
  </si>
  <si>
    <t>9,542,068.05</t>
  </si>
  <si>
    <t>187,330.00</t>
  </si>
  <si>
    <t>5,326,937.40</t>
  </si>
  <si>
    <t>1,949,000.00</t>
  </si>
  <si>
    <t>364,820.00</t>
  </si>
  <si>
    <t>43,425,051.89</t>
  </si>
  <si>
    <t>131,536.00</t>
  </si>
  <si>
    <t>90,880.00</t>
  </si>
  <si>
    <t>84,960.00</t>
  </si>
  <si>
    <t>33,775,000.00</t>
  </si>
  <si>
    <t>2,761,877.78</t>
  </si>
  <si>
    <t>2,467,893.00</t>
  </si>
  <si>
    <t>975,509.64</t>
  </si>
  <si>
    <t>17,000,000.00</t>
  </si>
  <si>
    <t>203,499.00</t>
  </si>
  <si>
    <t>255,420.38</t>
  </si>
  <si>
    <t>64,400.00</t>
  </si>
  <si>
    <t>101,160.00</t>
  </si>
  <si>
    <t>7,980,000.00</t>
  </si>
  <si>
    <t>5,790,454.38</t>
  </si>
  <si>
    <t>2,169,000.00</t>
  </si>
  <si>
    <t>1,157,514.15</t>
  </si>
  <si>
    <t>2,999,154.98</t>
  </si>
  <si>
    <t>565,339.00</t>
  </si>
  <si>
    <t>790,028.76</t>
  </si>
  <si>
    <t>408,679.70</t>
  </si>
  <si>
    <t>204,960.00</t>
  </si>
  <si>
    <t>346,725.00</t>
  </si>
  <si>
    <t>999,999.84</t>
  </si>
  <si>
    <t>29,920,000.00</t>
  </si>
  <si>
    <t>6,577,748.44</t>
  </si>
  <si>
    <t>2,999,164.98</t>
  </si>
  <si>
    <t>4,286,404.90</t>
  </si>
  <si>
    <t>289,765.65</t>
  </si>
  <si>
    <t>1,293,823.72</t>
  </si>
  <si>
    <t>4,249,000.00</t>
  </si>
  <si>
    <t>4,974,975.09</t>
  </si>
  <si>
    <t>7,149,621.77</t>
  </si>
  <si>
    <t>252,550.00</t>
  </si>
  <si>
    <t>1,470,327.60</t>
  </si>
  <si>
    <t>542,643.55</t>
  </si>
  <si>
    <t>1,110,000.00</t>
  </si>
  <si>
    <t>254,678.00</t>
  </si>
  <si>
    <t>352,333.25</t>
  </si>
  <si>
    <t>102,334.34</t>
  </si>
  <si>
    <t>5,980,000.00</t>
  </si>
  <si>
    <t>994,828.43</t>
  </si>
  <si>
    <t>764,691.39</t>
  </si>
  <si>
    <t>16,334,000.00</t>
  </si>
  <si>
    <t>106,411.00</t>
  </si>
  <si>
    <t>361,000.00</t>
  </si>
  <si>
    <t>8,167,000.00</t>
  </si>
  <si>
    <t>635,840.00</t>
  </si>
  <si>
    <t>1,573,520.00</t>
  </si>
  <si>
    <t>1,578,907.00</t>
  </si>
  <si>
    <t>113,106.20</t>
  </si>
  <si>
    <t>100,982.35</t>
  </si>
  <si>
    <t>1,981,320.00</t>
  </si>
  <si>
    <t>293,577.00</t>
  </si>
  <si>
    <t>797,380.25</t>
  </si>
  <si>
    <t>113,077.00</t>
  </si>
  <si>
    <t>211,100.00</t>
  </si>
  <si>
    <t>5,039,000.00</t>
  </si>
  <si>
    <t>1,399,453.13</t>
  </si>
  <si>
    <t>96,675.00</t>
  </si>
  <si>
    <t>69,260.00</t>
  </si>
  <si>
    <t>214,920,940.00</t>
  </si>
  <si>
    <t>2,263,024.89</t>
  </si>
  <si>
    <t>2,030,000.00</t>
  </si>
  <si>
    <t>80,961.00</t>
  </si>
  <si>
    <t>4,821,600.00</t>
  </si>
  <si>
    <t>1,499,793.75</t>
  </si>
  <si>
    <t>2,299,035.95</t>
  </si>
  <si>
    <t>110,057.00</t>
  </si>
  <si>
    <t>3,900,000.00</t>
  </si>
  <si>
    <t>2,012,847.99</t>
  </si>
  <si>
    <t>2,998,042.27</t>
  </si>
  <si>
    <t>6,995,572.07</t>
  </si>
  <si>
    <t>100,040.00</t>
  </si>
  <si>
    <t>87,550.00</t>
  </si>
  <si>
    <t>1,328,908.00</t>
  </si>
  <si>
    <t>1,127,900.00</t>
  </si>
  <si>
    <t>852,590.55</t>
  </si>
  <si>
    <t>431,440.00</t>
  </si>
  <si>
    <t>1,340,000.00</t>
  </si>
  <si>
    <t>17,599,000.00</t>
  </si>
  <si>
    <t>5,031,070.00</t>
  </si>
  <si>
    <t>1,875,600.00</t>
  </si>
  <si>
    <t>3,238,515.35</t>
  </si>
  <si>
    <t>1,818,500.00</t>
  </si>
  <si>
    <t>9,840,000.00</t>
  </si>
  <si>
    <t>165,000,000.00</t>
  </si>
  <si>
    <t>1,008,000.00</t>
  </si>
  <si>
    <t>11,678,000.00</t>
  </si>
  <si>
    <t>368,675.00</t>
  </si>
  <si>
    <t>1,499,951.25</t>
  </si>
  <si>
    <t>394,145.00</t>
  </si>
  <si>
    <t>209,805.00</t>
  </si>
  <si>
    <t>205,807.00</t>
  </si>
  <si>
    <t>205,810.00</t>
  </si>
  <si>
    <t>199,300.00</t>
  </si>
  <si>
    <t>284,422.50</t>
  </si>
  <si>
    <t>243,100,000.00</t>
  </si>
  <si>
    <t>1,399,800.00</t>
  </si>
  <si>
    <t>215,493.75</t>
  </si>
  <si>
    <t>92,340.00</t>
  </si>
  <si>
    <t>1,436,000.00</t>
  </si>
  <si>
    <t>165,645.60</t>
  </si>
  <si>
    <t>414,934.00</t>
  </si>
  <si>
    <t>653,400,000.00</t>
  </si>
  <si>
    <t>772,800.00</t>
  </si>
  <si>
    <t>613,700.00</t>
  </si>
  <si>
    <t>409,200.00</t>
  </si>
  <si>
    <t>248,373.00</t>
  </si>
  <si>
    <t>772,600.00</t>
  </si>
  <si>
    <t>434,936.57</t>
  </si>
  <si>
    <t>10,351,166.35</t>
  </si>
  <si>
    <t>512,233.79</t>
  </si>
  <si>
    <t>1,166,739.74</t>
  </si>
  <si>
    <t>1,159,839.38</t>
  </si>
  <si>
    <t>407,134.00</t>
  </si>
  <si>
    <t>848,071.67</t>
  </si>
  <si>
    <t>525,102.60</t>
  </si>
  <si>
    <t>6,883,200.00</t>
  </si>
  <si>
    <t>124,267.00</t>
  </si>
  <si>
    <t>116,138.00</t>
  </si>
  <si>
    <t>489,775.00</t>
  </si>
  <si>
    <t>7,718,400.00</t>
  </si>
  <si>
    <t>3,526,911.57</t>
  </si>
  <si>
    <t>74,600.00</t>
  </si>
  <si>
    <t>757,183.50</t>
  </si>
  <si>
    <t>992,722.00</t>
  </si>
  <si>
    <t>9,101.18</t>
  </si>
  <si>
    <t>552,888.00</t>
  </si>
  <si>
    <t>321,681.53</t>
  </si>
  <si>
    <t>94,791.00</t>
  </si>
  <si>
    <t>1,428,536.00</t>
  </si>
  <si>
    <t>52,022.56</t>
  </si>
  <si>
    <t>999,529.09</t>
  </si>
  <si>
    <t>1,681,859.87</t>
  </si>
  <si>
    <t>399,000.00</t>
  </si>
  <si>
    <t>324,226.18</t>
  </si>
  <si>
    <t>4,086,772.02</t>
  </si>
  <si>
    <t>233,933.33</t>
  </si>
  <si>
    <t>36,000,000.00</t>
  </si>
  <si>
    <t>111,615.70</t>
  </si>
  <si>
    <t>866,200.00</t>
  </si>
  <si>
    <t>485,000.00</t>
  </si>
  <si>
    <t>492,550.00</t>
  </si>
  <si>
    <t>1,828,000.00</t>
  </si>
  <si>
    <t>349,485.00</t>
  </si>
  <si>
    <t>300,355.00</t>
  </si>
  <si>
    <t>1,197,900.00</t>
  </si>
  <si>
    <t>146,283.00</t>
  </si>
  <si>
    <t>4,919,126.00</t>
  </si>
  <si>
    <t>140,750.00</t>
  </si>
  <si>
    <t>91,412.00</t>
  </si>
  <si>
    <t>606,000.00</t>
  </si>
  <si>
    <t>896,267.31</t>
  </si>
  <si>
    <t>1,521,600.00</t>
  </si>
  <si>
    <t>14,891,463.28</t>
  </si>
  <si>
    <t>2,768,702.15</t>
  </si>
  <si>
    <t>74,880.00</t>
  </si>
  <si>
    <t>1,361,000.00</t>
  </si>
  <si>
    <t>2,611,700.00</t>
  </si>
  <si>
    <t>428,310.00</t>
  </si>
  <si>
    <t>1,771,406.00</t>
  </si>
  <si>
    <t>594,073.00</t>
  </si>
  <si>
    <t>1,428,840.00</t>
  </si>
  <si>
    <t>1,501,205.72</t>
  </si>
  <si>
    <t>670,199.83</t>
  </si>
  <si>
    <t>136,090.00</t>
  </si>
  <si>
    <t>122,750.00</t>
  </si>
  <si>
    <t>1,429,790.00</t>
  </si>
  <si>
    <t>874,583.00</t>
  </si>
  <si>
    <t>1,499,700.00</t>
  </si>
  <si>
    <t>368,360.88</t>
  </si>
  <si>
    <t>194,417.00</t>
  </si>
  <si>
    <t>973,539.99</t>
  </si>
  <si>
    <t>55,220.00</t>
  </si>
  <si>
    <t>921,300.00</t>
  </si>
  <si>
    <t>140,442.78</t>
  </si>
  <si>
    <t>3,499,997.35</t>
  </si>
  <si>
    <t>34,734,269.66</t>
  </si>
  <si>
    <t>25,356,749.74</t>
  </si>
  <si>
    <t>216,756.00</t>
  </si>
  <si>
    <t>115,433.26</t>
  </si>
  <si>
    <t>333,414.00</t>
  </si>
  <si>
    <t>211,000.00</t>
  </si>
  <si>
    <t>162,977.50</t>
  </si>
  <si>
    <t>495,053.36</t>
  </si>
  <si>
    <t>1,846,180.00</t>
  </si>
  <si>
    <t>11,880,000.00</t>
  </si>
  <si>
    <t>1,741,376.00</t>
  </si>
  <si>
    <t>63,933.00</t>
  </si>
  <si>
    <t>978,765.00</t>
  </si>
  <si>
    <t>318,344.27</t>
  </si>
  <si>
    <t>149,987.86</t>
  </si>
  <si>
    <t>10,211,980.00</t>
  </si>
  <si>
    <t>117,200.00</t>
  </si>
  <si>
    <t>385,335.00</t>
  </si>
  <si>
    <t>875,000.00</t>
  </si>
  <si>
    <t>494,604.00</t>
  </si>
  <si>
    <t>429,254.00</t>
  </si>
  <si>
    <t>75,040.00</t>
  </si>
  <si>
    <t>3,488,000.00</t>
  </si>
  <si>
    <t>1,880,000.00</t>
  </si>
  <si>
    <t>52,440.00</t>
  </si>
  <si>
    <t>703,865.00</t>
  </si>
  <si>
    <t>10,800.00</t>
  </si>
  <si>
    <t>921,574.00</t>
  </si>
  <si>
    <t>546,135.00</t>
  </si>
  <si>
    <t>913,836.00</t>
  </si>
  <si>
    <t>294,542.00</t>
  </si>
  <si>
    <t>3,465,000.00</t>
  </si>
  <si>
    <t>142,890.00</t>
  </si>
  <si>
    <t>609,313.00</t>
  </si>
  <si>
    <t>249,580.38</t>
  </si>
  <si>
    <t>499,813.28</t>
  </si>
  <si>
    <t>36,500.00</t>
  </si>
  <si>
    <t>428,140.80</t>
  </si>
  <si>
    <t>1,658,301.00</t>
  </si>
  <si>
    <t>30,380,000.00</t>
  </si>
  <si>
    <t>410,073.80</t>
  </si>
  <si>
    <t>262,400.00</t>
  </si>
  <si>
    <t>2,229,800.00</t>
  </si>
  <si>
    <t>29,762,600.00</t>
  </si>
  <si>
    <t>125,100.00</t>
  </si>
  <si>
    <t>893,837.16</t>
  </si>
  <si>
    <t>34,047.00</t>
  </si>
  <si>
    <t>5,460,000.00</t>
  </si>
  <si>
    <t>19,953,500.00</t>
  </si>
  <si>
    <t>261,242.00</t>
  </si>
  <si>
    <t>31,850,000.00</t>
  </si>
  <si>
    <t>999,939.71</t>
  </si>
  <si>
    <t>1,976,400.00</t>
  </si>
  <si>
    <t>6,810,300.00</t>
  </si>
  <si>
    <t>9,600.00</t>
  </si>
  <si>
    <t>3,532,382.20</t>
  </si>
  <si>
    <t>180,200.00</t>
  </si>
  <si>
    <t>1,599,803.00</t>
  </si>
  <si>
    <t>660,016.88</t>
  </si>
  <si>
    <t>405,768.00</t>
  </si>
  <si>
    <t>5,175,000.00</t>
  </si>
  <si>
    <t>11,668,000.00</t>
  </si>
  <si>
    <t>17,638,164.50</t>
  </si>
  <si>
    <t>1,565,500.00</t>
  </si>
  <si>
    <t>4,194,255.74</t>
  </si>
  <si>
    <t>1,434,116.25</t>
  </si>
  <si>
    <t>4,263,839.53</t>
  </si>
  <si>
    <t>166,400.00</t>
  </si>
  <si>
    <t>215,126.96</t>
  </si>
  <si>
    <t>484,400.00</t>
  </si>
  <si>
    <t>174,780.00</t>
  </si>
  <si>
    <t>40,337,000.00</t>
  </si>
  <si>
    <t>14,380,000.00</t>
  </si>
  <si>
    <t>1,186,008.12</t>
  </si>
  <si>
    <t>1,499,425.00</t>
  </si>
  <si>
    <t>9,660,668.00</t>
  </si>
  <si>
    <t>142,500.18</t>
  </si>
  <si>
    <t>306,250.00</t>
  </si>
  <si>
    <t>1,018,800.00</t>
  </si>
  <si>
    <t>3,037,386.00</t>
  </si>
  <si>
    <t>428,740.00</t>
  </si>
  <si>
    <t>3,653,756.00</t>
  </si>
  <si>
    <t>4,252,406.00</t>
  </si>
  <si>
    <t>1,548,485.00</t>
  </si>
  <si>
    <t>1,476,000.00</t>
  </si>
  <si>
    <t>1,325,600.00</t>
  </si>
  <si>
    <t>4,873,000.00</t>
  </si>
  <si>
    <t>377,500.00</t>
  </si>
  <si>
    <t>2,840,000.00</t>
  </si>
  <si>
    <t>7,925,000.00</t>
  </si>
  <si>
    <t>10,034,000.00</t>
  </si>
  <si>
    <t>1,369,100.00</t>
  </si>
  <si>
    <t>4,155,533.38</t>
  </si>
  <si>
    <t>23,441,250.00</t>
  </si>
  <si>
    <t>273,367.50</t>
  </si>
  <si>
    <t>17,820,000.00</t>
  </si>
  <si>
    <t>161,100.00</t>
  </si>
  <si>
    <t>15,680,000.00</t>
  </si>
  <si>
    <t>1,276,120.00</t>
  </si>
  <si>
    <t>10,251,083.25</t>
  </si>
  <si>
    <t>396,500.00</t>
  </si>
  <si>
    <t>1,995,600.00</t>
  </si>
  <si>
    <t>1,359,680.00</t>
  </si>
  <si>
    <t>2,887,200.00</t>
  </si>
  <si>
    <t>65,900,000.00</t>
  </si>
  <si>
    <t>4,482,183.00</t>
  </si>
  <si>
    <t>2,418,750.00</t>
  </si>
  <si>
    <t>31,360,000.00</t>
  </si>
  <si>
    <t>434,279.00</t>
  </si>
  <si>
    <t>4,836,309.52</t>
  </si>
  <si>
    <t>401,500.00</t>
  </si>
  <si>
    <t>1,235,000.00</t>
  </si>
  <si>
    <t>394,821.24</t>
  </si>
  <si>
    <t>1,267,000.00</t>
  </si>
  <si>
    <t>205,500.00</t>
  </si>
  <si>
    <t>3,999,612.02</t>
  </si>
  <si>
    <t>316,812.93</t>
  </si>
  <si>
    <t>517,493.59</t>
  </si>
  <si>
    <t>1,677,500.00</t>
  </si>
  <si>
    <t>1,385,697.71</t>
  </si>
  <si>
    <t>1,895,000.00</t>
  </si>
  <si>
    <t>1,486,362.56</t>
  </si>
  <si>
    <t>2,740,831.80</t>
  </si>
  <si>
    <t>76,360.00</t>
  </si>
  <si>
    <t>115,650.00</t>
  </si>
  <si>
    <t>43,720.00</t>
  </si>
  <si>
    <t>1,144,196.52</t>
  </si>
  <si>
    <t>9,800.00</t>
  </si>
  <si>
    <t>196,740.00</t>
  </si>
  <si>
    <t>14,475.00</t>
  </si>
  <si>
    <t>702,438.23</t>
  </si>
  <si>
    <t>2,296,822.44</t>
  </si>
  <si>
    <t>41,000.00</t>
  </si>
  <si>
    <t>37,772.00</t>
  </si>
  <si>
    <t>35,222.00</t>
  </si>
  <si>
    <t>1,081,358.72</t>
  </si>
  <si>
    <t>264,110.00</t>
  </si>
  <si>
    <t>88,160.00</t>
  </si>
  <si>
    <t>3,049,157.56</t>
  </si>
  <si>
    <t>212,320.00</t>
  </si>
  <si>
    <t>17,500,000.00</t>
  </si>
  <si>
    <t>62,250.00</t>
  </si>
  <si>
    <t>18,900.00</t>
  </si>
  <si>
    <t>70,256.50</t>
  </si>
  <si>
    <t>12,485,100.00</t>
  </si>
  <si>
    <t>6,305,514.32</t>
  </si>
  <si>
    <t>1,232,500.00</t>
  </si>
  <si>
    <t>8,033,000.00</t>
  </si>
  <si>
    <t>1,157,500.00</t>
  </si>
  <si>
    <t>368,285.00</t>
  </si>
  <si>
    <t>4,843,750.00</t>
  </si>
  <si>
    <t>1,717,079.00</t>
  </si>
  <si>
    <t>369,090.00</t>
  </si>
  <si>
    <t>162,310.00</t>
  </si>
  <si>
    <t>4,496,328.45</t>
  </si>
  <si>
    <t>96,838.50</t>
  </si>
  <si>
    <t>23,100.00</t>
  </si>
  <si>
    <t>1,952,364.50</t>
  </si>
  <si>
    <t>12,869,538.62</t>
  </si>
  <si>
    <t>46,690.00</t>
  </si>
  <si>
    <t>673,920.00</t>
  </si>
  <si>
    <t>252,715.00</t>
  </si>
  <si>
    <t>4,999,737.09</t>
  </si>
  <si>
    <t>1,384,925.50</t>
  </si>
  <si>
    <t>11,999,980.96</t>
  </si>
  <si>
    <t>124,082.00</t>
  </si>
  <si>
    <t>2,999,526.55</t>
  </si>
  <si>
    <t>304,840.00</t>
  </si>
  <si>
    <t>1,875,000.00</t>
  </si>
  <si>
    <t>240,690.00</t>
  </si>
  <si>
    <t>37,008,000.00</t>
  </si>
  <si>
    <t>1,516,131.00</t>
  </si>
  <si>
    <t>32,200,037.43</t>
  </si>
  <si>
    <t>1,206,250.00</t>
  </si>
  <si>
    <t>4,997,875.93</t>
  </si>
  <si>
    <t>311,659.00</t>
  </si>
  <si>
    <t>4,999,862.04</t>
  </si>
  <si>
    <t>3,156,000.00</t>
  </si>
  <si>
    <t>929,000.00</t>
  </si>
  <si>
    <t>96,794.00</t>
  </si>
  <si>
    <t>3,599,958.00</t>
  </si>
  <si>
    <t>2,649,500.20</t>
  </si>
  <si>
    <t>13,500,000.00</t>
  </si>
  <si>
    <t>1,545,822.66</t>
  </si>
  <si>
    <t>1,259,500.00</t>
  </si>
  <si>
    <t>169,490.00</t>
  </si>
  <si>
    <t>4,260,000.00</t>
  </si>
  <si>
    <t>1,536,000.00</t>
  </si>
  <si>
    <t>6,003,035.00</t>
  </si>
  <si>
    <t>912,717.00</t>
  </si>
  <si>
    <t>1,299,211.49</t>
  </si>
  <si>
    <t>183,263.00</t>
  </si>
  <si>
    <t>163,535.65</t>
  </si>
  <si>
    <t>249,106.00</t>
  </si>
  <si>
    <t>2,430,000.00</t>
  </si>
  <si>
    <t>349,579.26</t>
  </si>
  <si>
    <t>1,455,302.52</t>
  </si>
  <si>
    <t>671,339.63</t>
  </si>
  <si>
    <t>248,459.81</t>
  </si>
  <si>
    <t>82,720.00</t>
  </si>
  <si>
    <t>102,272.80</t>
  </si>
  <si>
    <t>1,775,000.00</t>
  </si>
  <si>
    <t>2,999,845.00</t>
  </si>
  <si>
    <t>89,360.00</t>
  </si>
  <si>
    <t>1,396,500.00</t>
  </si>
  <si>
    <t>1,645,000.00</t>
  </si>
  <si>
    <t>1,064,000.00</t>
  </si>
  <si>
    <t>3,799,170.80</t>
  </si>
  <si>
    <t>88,309.00</t>
  </si>
  <si>
    <t>199,946.62</t>
  </si>
  <si>
    <t>1,365,000.00</t>
  </si>
  <si>
    <t>1,313,000.00</t>
  </si>
  <si>
    <t>1,825,000.00</t>
  </si>
  <si>
    <t>1,116,000.00</t>
  </si>
  <si>
    <t>407,580.00</t>
  </si>
  <si>
    <t>896,000.00</t>
  </si>
  <si>
    <t>51,393.00</t>
  </si>
  <si>
    <t>47,990.00</t>
  </si>
  <si>
    <t>1,411,491.00</t>
  </si>
  <si>
    <t>1,783,109.00</t>
  </si>
  <si>
    <t>172,327.25</t>
  </si>
  <si>
    <t>83,839.28</t>
  </si>
  <si>
    <t>1,499,814.60</t>
  </si>
  <si>
    <t>999,940.00</t>
  </si>
  <si>
    <t>1,505,927.25</t>
  </si>
  <si>
    <t>429,664.00</t>
  </si>
  <si>
    <t>46,300.00</t>
  </si>
  <si>
    <t>389,870.00</t>
  </si>
  <si>
    <t>2,959,847.63</t>
  </si>
  <si>
    <t>145,861.28</t>
  </si>
  <si>
    <t>835,000.00</t>
  </si>
  <si>
    <t>1,118,500.00</t>
  </si>
  <si>
    <t>796,366.00</t>
  </si>
  <si>
    <t>1,299,653.06</t>
  </si>
  <si>
    <t>1,547,500.00</t>
  </si>
  <si>
    <t>223,629.50</t>
  </si>
  <si>
    <t>11,879,669.71</t>
  </si>
  <si>
    <t>430,250.00</t>
  </si>
  <si>
    <t>149,999.80</t>
  </si>
  <si>
    <t>189,734.00</t>
  </si>
  <si>
    <t>723,683.00</t>
  </si>
  <si>
    <t>7,531,300.00</t>
  </si>
  <si>
    <t>133,990.00</t>
  </si>
  <si>
    <t>21,520.00</t>
  </si>
  <si>
    <t>5,925,225.30</t>
  </si>
  <si>
    <t>752,979.20</t>
  </si>
  <si>
    <t>56,600.00</t>
  </si>
  <si>
    <t>9,520.00</t>
  </si>
  <si>
    <t>4,894,112.58</t>
  </si>
  <si>
    <t>6,093,007.95</t>
  </si>
  <si>
    <t>6,834,872.82</t>
  </si>
  <si>
    <t>80,800.00</t>
  </si>
  <si>
    <t>836,161.87</t>
  </si>
  <si>
    <t>548,993.00</t>
  </si>
  <si>
    <t>1,068,779.25</t>
  </si>
  <si>
    <t>1,823,906.33</t>
  </si>
  <si>
    <t>5,297,000.00</t>
  </si>
  <si>
    <t>597,900.00</t>
  </si>
  <si>
    <t>7,901,225.30</t>
  </si>
  <si>
    <t>2,322,034.12</t>
  </si>
  <si>
    <t>232,501.00</t>
  </si>
  <si>
    <t>822,700.00</t>
  </si>
  <si>
    <t>2,225,000.00</t>
  </si>
  <si>
    <t>157,963.00</t>
  </si>
  <si>
    <t>9,899,910.99</t>
  </si>
  <si>
    <t>540,937.50</t>
  </si>
  <si>
    <t>1,909,229.04</t>
  </si>
  <si>
    <t>692,134.00</t>
  </si>
  <si>
    <t>60,200.00</t>
  </si>
  <si>
    <t>692,746.69</t>
  </si>
  <si>
    <t>6,402,200.00</t>
  </si>
  <si>
    <t>3,261,000.00</t>
  </si>
  <si>
    <t>1,177,296.74</t>
  </si>
  <si>
    <t>1,507,840.00</t>
  </si>
  <si>
    <t>222,905.00</t>
  </si>
  <si>
    <t>9,708,696.14</t>
  </si>
  <si>
    <t>56,325.50</t>
  </si>
  <si>
    <t>237,930.00</t>
  </si>
  <si>
    <t>2,053,500.00</t>
  </si>
  <si>
    <t>405,768.46</t>
  </si>
  <si>
    <t>69,324.00</t>
  </si>
  <si>
    <t>2,000,800.00</t>
  </si>
  <si>
    <t>219,994.00</t>
  </si>
  <si>
    <t>499,946.79</t>
  </si>
  <si>
    <t>183,566.40</t>
  </si>
  <si>
    <t>3,915,409.87</t>
  </si>
  <si>
    <t>3,408,975.00</t>
  </si>
  <si>
    <t>249,956.21</t>
  </si>
  <si>
    <t>2,916,563.20</t>
  </si>
  <si>
    <t>1,927,827.00</t>
  </si>
  <si>
    <t>1,528,593.00</t>
  </si>
  <si>
    <t>25,000,000.00</t>
  </si>
  <si>
    <t>499,872.03</t>
  </si>
  <si>
    <t>421,235.00</t>
  </si>
  <si>
    <t>1,188,509.64</t>
  </si>
  <si>
    <t>1,499,949.95</t>
  </si>
  <si>
    <t>1,083,882.89</t>
  </si>
  <si>
    <t>23,550.00</t>
  </si>
  <si>
    <t>1,070,304.42</t>
  </si>
  <si>
    <t>4,770.00</t>
  </si>
  <si>
    <t>149,735.12</t>
  </si>
  <si>
    <t>292,967.64</t>
  </si>
  <si>
    <t>449,688.65</t>
  </si>
  <si>
    <t>994,410.00</t>
  </si>
  <si>
    <t>19,100.00</t>
  </si>
  <si>
    <t>4,127,440.60</t>
  </si>
  <si>
    <t>1,485.00</t>
  </si>
  <si>
    <t>1,050,698.00</t>
  </si>
  <si>
    <t>255,400.00</t>
  </si>
  <si>
    <t>546,549.00</t>
  </si>
  <si>
    <t>193,960,000.00</t>
  </si>
  <si>
    <t>2,139,445.67</t>
  </si>
  <si>
    <t>307,320.87</t>
  </si>
  <si>
    <t>2,207,653.46</t>
  </si>
  <si>
    <t>1,158,000.00</t>
  </si>
  <si>
    <t>649,900.00</t>
  </si>
  <si>
    <t>65,400.00</t>
  </si>
  <si>
    <t>157,762.90</t>
  </si>
  <si>
    <t>124,208.00</t>
  </si>
  <si>
    <t>499,970.62</t>
  </si>
  <si>
    <t>1,878,251.47</t>
  </si>
  <si>
    <t>4,492,742.23</t>
  </si>
  <si>
    <t>2,219,000.00</t>
  </si>
  <si>
    <t>444,728.50</t>
  </si>
  <si>
    <t>400,040.00</t>
  </si>
  <si>
    <t>1,165,512.94</t>
  </si>
  <si>
    <t>1,295,000.00</t>
  </si>
  <si>
    <t>116,815.00</t>
  </si>
  <si>
    <t>139,940.00</t>
  </si>
  <si>
    <t>532,000.00</t>
  </si>
  <si>
    <t>189,844.20</t>
  </si>
  <si>
    <t>1,199,872.92</t>
  </si>
  <si>
    <t>59,587.21</t>
  </si>
  <si>
    <t>127,391.24</t>
  </si>
  <si>
    <t>76,800.00</t>
  </si>
  <si>
    <t>692,161.60</t>
  </si>
  <si>
    <t>1,617,730.29</t>
  </si>
  <si>
    <t>216,616.00</t>
  </si>
  <si>
    <t>100,495,000.00</t>
  </si>
  <si>
    <t>817,650.00</t>
  </si>
  <si>
    <t>1,473,076.24</t>
  </si>
  <si>
    <t>4,989,403.09</t>
  </si>
  <si>
    <t>29,669,273.35</t>
  </si>
  <si>
    <t>199,992.50</t>
  </si>
  <si>
    <t>21,466,200.00</t>
  </si>
  <si>
    <t>1,454,419.78</t>
  </si>
  <si>
    <t>11,919,966.10</t>
  </si>
  <si>
    <t>1,523,377.32</t>
  </si>
  <si>
    <t>1,199,763.12</t>
  </si>
  <si>
    <t>11,005,392.85</t>
  </si>
  <si>
    <t>19,729,056.51</t>
  </si>
  <si>
    <t>46,140.00</t>
  </si>
  <si>
    <t>72,205,000.00</t>
  </si>
  <si>
    <t>248,400.00</t>
  </si>
  <si>
    <t>985,000.00</t>
  </si>
  <si>
    <t>4,475,000.00</t>
  </si>
  <si>
    <t>335,960.00</t>
  </si>
  <si>
    <t>281,541.52</t>
  </si>
  <si>
    <t>8,950,000.00</t>
  </si>
  <si>
    <t>1,629,933.10</t>
  </si>
  <si>
    <t>288,480.00</t>
  </si>
  <si>
    <t>3,137,117.42</t>
  </si>
  <si>
    <t>664,128.54</t>
  </si>
  <si>
    <t>12,537,000.00</t>
  </si>
  <si>
    <t>47,085.00</t>
  </si>
  <si>
    <t>202,056.98</t>
  </si>
  <si>
    <t>15,533,070.00</t>
  </si>
  <si>
    <t>2,823,316.31</t>
  </si>
  <si>
    <t>1,880,269.55</t>
  </si>
  <si>
    <t>5,880,000.00</t>
  </si>
  <si>
    <t>41,300.00</t>
  </si>
  <si>
    <t>2,888,799.37</t>
  </si>
  <si>
    <t>10,326,000.00</t>
  </si>
  <si>
    <t>7,791,980.00</t>
  </si>
  <si>
    <t>1,539,625.00</t>
  </si>
  <si>
    <t>1,961,834.29</t>
  </si>
  <si>
    <t>314,640.00</t>
  </si>
  <si>
    <t>46,800.00</t>
  </si>
  <si>
    <t>132,548.00</t>
  </si>
  <si>
    <t>444,504.85</t>
  </si>
  <si>
    <t>1,408,000.00</t>
  </si>
  <si>
    <t>199,997.75</t>
  </si>
  <si>
    <t>2,065,702.00</t>
  </si>
  <si>
    <t>167,395.00</t>
  </si>
  <si>
    <t>91,052.73</t>
  </si>
  <si>
    <t>3,373,349.35</t>
  </si>
  <si>
    <t>2,485,785.00</t>
  </si>
  <si>
    <t>2,099,298.88</t>
  </si>
  <si>
    <t>207,703.84</t>
  </si>
  <si>
    <t>11,700,957.10</t>
  </si>
  <si>
    <t>292,250.00</t>
  </si>
  <si>
    <t>999,997.95</t>
  </si>
  <si>
    <t>553,880.00</t>
  </si>
  <si>
    <t>64,706,962.68</t>
  </si>
  <si>
    <t>886,892.00</t>
  </si>
  <si>
    <t>1,016,468.00</t>
  </si>
  <si>
    <t>2,467,745.00</t>
  </si>
  <si>
    <t>6,935,000.00</t>
  </si>
  <si>
    <t>1,499,994.00</t>
  </si>
  <si>
    <t>1,232,082.10</t>
  </si>
  <si>
    <t>191,925.00</t>
  </si>
  <si>
    <t>86,360.00</t>
  </si>
  <si>
    <t>34,112,590.31</t>
  </si>
  <si>
    <t>4,928,626.71</t>
  </si>
  <si>
    <t>950,190.00</t>
  </si>
  <si>
    <t>411,166.00</t>
  </si>
  <si>
    <t>999,983.12</t>
  </si>
  <si>
    <t>398,881.42</t>
  </si>
  <si>
    <t>730,507.00</t>
  </si>
  <si>
    <t>5,093,825.35</t>
  </si>
  <si>
    <t>695,350.00</t>
  </si>
  <si>
    <t>398,424.65</t>
  </si>
  <si>
    <t>11,500,000.00</t>
  </si>
  <si>
    <t>207,340.24</t>
  </si>
  <si>
    <t>2,965,903.12</t>
  </si>
  <si>
    <t>2,230,099.54</t>
  </si>
  <si>
    <t>5,756,437.64</t>
  </si>
  <si>
    <t>838,845.00</t>
  </si>
  <si>
    <t>100,774.00</t>
  </si>
  <si>
    <t>498,935.62</t>
  </si>
  <si>
    <t>1,153,000.00</t>
  </si>
  <si>
    <t>788,970.44</t>
  </si>
  <si>
    <t>498,191.38</t>
  </si>
  <si>
    <t>183,867.37</t>
  </si>
  <si>
    <t>499,223.05</t>
  </si>
  <si>
    <t>1,999,975.70</t>
  </si>
  <si>
    <t>931,500.00</t>
  </si>
  <si>
    <t>77,620.00</t>
  </si>
  <si>
    <t>635,000.00</t>
  </si>
  <si>
    <t>193,735.88</t>
  </si>
  <si>
    <t>492,500.00</t>
  </si>
  <si>
    <t>105,843.75</t>
  </si>
  <si>
    <t>199,871.08</t>
  </si>
  <si>
    <t>389,142.49</t>
  </si>
  <si>
    <t>499,423.38</t>
  </si>
  <si>
    <t>3,095,000.00</t>
  </si>
  <si>
    <t>266,550.00</t>
  </si>
  <si>
    <t>6,155,000.00</t>
  </si>
  <si>
    <t>4,996,600.00</t>
  </si>
  <si>
    <t>2,959,157.13</t>
  </si>
  <si>
    <t>299,200.00</t>
  </si>
  <si>
    <t>219,000.00</t>
  </si>
  <si>
    <t>12,373,992.00</t>
  </si>
  <si>
    <t>4,128,455.38</t>
  </si>
  <si>
    <t>1,547,300.00</t>
  </si>
  <si>
    <t>4,154,000.00</t>
  </si>
  <si>
    <t>16,119,108.75</t>
  </si>
  <si>
    <t>1,999,811.94</t>
  </si>
  <si>
    <t>10,840,000.00</t>
  </si>
  <si>
    <t>23,500,000.00</t>
  </si>
  <si>
    <t>34,986,399.36</t>
  </si>
  <si>
    <t>1,674,792.00</t>
  </si>
  <si>
    <t>500,110.00</t>
  </si>
  <si>
    <t>34,750,000.00</t>
  </si>
  <si>
    <t>587,324.90</t>
  </si>
  <si>
    <t>3,973,619.00</t>
  </si>
  <si>
    <t>127,150.00</t>
  </si>
  <si>
    <t>270,992.00</t>
  </si>
  <si>
    <t>999,450.00</t>
  </si>
  <si>
    <t>657,829.82</t>
  </si>
  <si>
    <t>499,240.88</t>
  </si>
  <si>
    <t>28,252,433.41</t>
  </si>
  <si>
    <t>11,681,069.30</t>
  </si>
  <si>
    <t>499,970.00</t>
  </si>
  <si>
    <t>1,448,205.93</t>
  </si>
  <si>
    <t>1,962,498.71</t>
  </si>
  <si>
    <t>24,418,328.31</t>
  </si>
  <si>
    <t>4,814,806.50</t>
  </si>
  <si>
    <t>1,410,000.00</t>
  </si>
  <si>
    <t>998,668.13</t>
  </si>
  <si>
    <t>971,399.21</t>
  </si>
  <si>
    <t>1,474,382.55</t>
  </si>
  <si>
    <t>1,196,025.57</t>
  </si>
  <si>
    <t>204,939.33</t>
  </si>
  <si>
    <t>832,034.04</t>
  </si>
  <si>
    <t>29,976,324.60</t>
  </si>
  <si>
    <t>12,136,400.25</t>
  </si>
  <si>
    <t>2,479,248.95</t>
  </si>
  <si>
    <t>499,434.80</t>
  </si>
  <si>
    <t>112,968,500.00</t>
  </si>
  <si>
    <t>2,501,250.00</t>
  </si>
  <si>
    <t>2,688,240.00</t>
  </si>
  <si>
    <t>103,529.00</t>
  </si>
  <si>
    <t>5,996,422.03</t>
  </si>
  <si>
    <t>5,697,879.03</t>
  </si>
  <si>
    <t>1,364,624.00</t>
  </si>
  <si>
    <t>709,495.00</t>
  </si>
  <si>
    <t>691,500.00</t>
  </si>
  <si>
    <t>977,707.50</t>
  </si>
  <si>
    <t>438,500.00</t>
  </si>
  <si>
    <t>1,087,541.25</t>
  </si>
  <si>
    <t>348,190.89</t>
  </si>
  <si>
    <t>287,500.00</t>
  </si>
  <si>
    <t>128,116.00</t>
  </si>
  <si>
    <t>499,865.63</t>
  </si>
  <si>
    <t>828,600.94</t>
  </si>
  <si>
    <t>499,307.81</t>
  </si>
  <si>
    <t>1,954,233.75</t>
  </si>
  <si>
    <t>976,893.75</t>
  </si>
  <si>
    <t>699,109.69</t>
  </si>
  <si>
    <t>608,239.64</t>
  </si>
  <si>
    <t>1,380,006.79</t>
  </si>
  <si>
    <t>1,379,569.90</t>
  </si>
  <si>
    <t>1,486,935.51</t>
  </si>
  <si>
    <t>123,800.00</t>
  </si>
  <si>
    <t>489,978.56</t>
  </si>
  <si>
    <t>1,604,719.33</t>
  </si>
  <si>
    <t>762,413.38</t>
  </si>
  <si>
    <t>5,315,461.89</t>
  </si>
  <si>
    <t>1,852,565.73</t>
  </si>
  <si>
    <t>1,811,328.12</t>
  </si>
  <si>
    <t>3,127,235.55</t>
  </si>
  <si>
    <t>1,703,342.77</t>
  </si>
  <si>
    <t>3,991,248.82</t>
  </si>
  <si>
    <t>2,939,091.60</t>
  </si>
  <si>
    <t>1,871,121.89</t>
  </si>
  <si>
    <t>47,094.75</t>
  </si>
  <si>
    <t>730,123.80</t>
  </si>
  <si>
    <t>1,138,541.40</t>
  </si>
  <si>
    <t>338,196.00</t>
  </si>
  <si>
    <t>3,660,000.00</t>
  </si>
  <si>
    <t>559,459.38</t>
  </si>
  <si>
    <t>1,956,412.50</t>
  </si>
  <si>
    <t>973,350.00</t>
  </si>
  <si>
    <t>2,498,494.69</t>
  </si>
  <si>
    <t>4,874,149.33</t>
  </si>
  <si>
    <t>5,243,622.52</t>
  </si>
  <si>
    <t>4,833,731.12</t>
  </si>
  <si>
    <t>4,800,445.92</t>
  </si>
  <si>
    <t>4,914,324.79</t>
  </si>
  <si>
    <t>351,888.50</t>
  </si>
  <si>
    <t>1,959,046.69</t>
  </si>
  <si>
    <t>4,977,139.07</t>
  </si>
  <si>
    <t>5,898,574.77</t>
  </si>
  <si>
    <t>5,052,738.08</t>
  </si>
  <si>
    <t>1,183,800.00</t>
  </si>
  <si>
    <t>5,185,140.74</t>
  </si>
  <si>
    <t>477,100.00</t>
  </si>
  <si>
    <t>627,583.00</t>
  </si>
  <si>
    <t>5,650,061.31</t>
  </si>
  <si>
    <t>3,816,794.82</t>
  </si>
  <si>
    <t>3,979,019.97</t>
  </si>
  <si>
    <t>5,001,989.84</t>
  </si>
  <si>
    <t>5,085,857.42</t>
  </si>
  <si>
    <t>5,053,831.59</t>
  </si>
  <si>
    <t>5,109,326.74</t>
  </si>
  <si>
    <t>499,999.92</t>
  </si>
  <si>
    <t>5,292,579.45</t>
  </si>
  <si>
    <t>4,863,312.59</t>
  </si>
  <si>
    <t>648,735.00</t>
  </si>
  <si>
    <t>62,000,000.00</t>
  </si>
  <si>
    <t>699,995.33</t>
  </si>
  <si>
    <t>499,999.19</t>
  </si>
  <si>
    <t>3,069,934.00</t>
  </si>
  <si>
    <t>699,995.31</t>
  </si>
  <si>
    <t>499,996.62</t>
  </si>
  <si>
    <t>899,996.75</t>
  </si>
  <si>
    <t>599,997.30</t>
  </si>
  <si>
    <t>4,734,380.00</t>
  </si>
  <si>
    <t>799,996.60</t>
  </si>
  <si>
    <t>499,997.90</t>
  </si>
  <si>
    <t>4,966,380.64</t>
  </si>
  <si>
    <t>1,581,917.69</t>
  </si>
  <si>
    <t>5,177,522.13</t>
  </si>
  <si>
    <t>5,646,684.48</t>
  </si>
  <si>
    <t>15,436,782.46</t>
  </si>
  <si>
    <t>5,526,062.92</t>
  </si>
  <si>
    <t>4,919,502.11</t>
  </si>
  <si>
    <t>2,925,000.00</t>
  </si>
  <si>
    <t>4,345,048.00</t>
  </si>
  <si>
    <t>2,975,990.46</t>
  </si>
  <si>
    <t>5,024,488.95</t>
  </si>
  <si>
    <t>5,567,005.88</t>
  </si>
  <si>
    <t>143,699.82</t>
  </si>
  <si>
    <t>414,645.00</t>
  </si>
  <si>
    <t>6,572,500.00</t>
  </si>
  <si>
    <t>520,300.00</t>
  </si>
  <si>
    <t>1,401,900.00</t>
  </si>
  <si>
    <t>1,971,726.15</t>
  </si>
  <si>
    <t>2,175,500.00</t>
  </si>
  <si>
    <t>143,425.00</t>
  </si>
  <si>
    <t>5,470,000.00</t>
  </si>
  <si>
    <t>1,437,760.00</t>
  </si>
  <si>
    <t>3,324,920.00</t>
  </si>
  <si>
    <t>1,620,000.00</t>
  </si>
  <si>
    <t>697,446.40</t>
  </si>
  <si>
    <t>2,011,200.00</t>
  </si>
  <si>
    <t>810,000.00</t>
  </si>
  <si>
    <t>15,547,455.86</t>
  </si>
  <si>
    <t>122,205.00</t>
  </si>
  <si>
    <t>107,050.00</t>
  </si>
  <si>
    <t>297,100.00</t>
  </si>
  <si>
    <t>2,220,525.00</t>
  </si>
  <si>
    <t>26,457,801.01</t>
  </si>
  <si>
    <t>2,070,153.12</t>
  </si>
  <si>
    <t>5,535,900.00</t>
  </si>
  <si>
    <t>1,994,620.00</t>
  </si>
  <si>
    <t>260,600.00</t>
  </si>
  <si>
    <t>1,996,580.00</t>
  </si>
  <si>
    <t>13,300,000.00</t>
  </si>
  <si>
    <t>359,198.81</t>
  </si>
  <si>
    <t>749,602.77</t>
  </si>
  <si>
    <t>148,435.00</t>
  </si>
  <si>
    <t>888,479.17</t>
  </si>
  <si>
    <t>335,000.00</t>
  </si>
  <si>
    <t>4,086,723.11</t>
  </si>
  <si>
    <t>599,674.94</t>
  </si>
  <si>
    <t>445,885.00</t>
  </si>
  <si>
    <t>2,781,000.00</t>
  </si>
  <si>
    <t>1,460,500.00</t>
  </si>
  <si>
    <t>989,393.60</t>
  </si>
  <si>
    <t>1,784,268.49</t>
  </si>
  <si>
    <t>107,420.00</t>
  </si>
  <si>
    <t>42,500,000.00</t>
  </si>
  <si>
    <t>1,731,990.44</t>
  </si>
  <si>
    <t>1,699,963.86</t>
  </si>
  <si>
    <t>121,118.00</t>
  </si>
  <si>
    <t>182,389.00</t>
  </si>
  <si>
    <t>3,267,999.56</t>
  </si>
  <si>
    <t>82,783.00</t>
  </si>
  <si>
    <t>12,162,127.68</t>
  </si>
  <si>
    <t>499,810.64</t>
  </si>
  <si>
    <t>2,617,333.34</t>
  </si>
  <si>
    <t>923,500.00</t>
  </si>
  <si>
    <t>9,642,072.78</t>
  </si>
  <si>
    <t>2,575,572.17</t>
  </si>
  <si>
    <t>12,189,240.00</t>
  </si>
  <si>
    <t>1,342,700.00</t>
  </si>
  <si>
    <t>255,780.07</t>
  </si>
  <si>
    <t>3,074,000.00</t>
  </si>
  <si>
    <t>29,399,049.50</t>
  </si>
  <si>
    <t>8,330,000.00</t>
  </si>
  <si>
    <t>5,032,085.24</t>
  </si>
  <si>
    <t>1,916,000.00</t>
  </si>
  <si>
    <t>3,222,265.00</t>
  </si>
  <si>
    <t>1,573,409.00</t>
  </si>
  <si>
    <t>6,137,000.00</t>
  </si>
  <si>
    <t>1,182,600.00</t>
  </si>
  <si>
    <t>1,123,500.00</t>
  </si>
  <si>
    <t>1,499,396.50</t>
  </si>
  <si>
    <t>2,895,902.33</t>
  </si>
  <si>
    <t>1,095,476.00</t>
  </si>
  <si>
    <t>1,077,134.00</t>
  </si>
  <si>
    <t>13,791,916.69</t>
  </si>
  <si>
    <t>367,150.00</t>
  </si>
  <si>
    <t>223,000.00</t>
  </si>
  <si>
    <t>938,300.00</t>
  </si>
  <si>
    <t>28,005,365.30</t>
  </si>
  <si>
    <t>4,310,353.12</t>
  </si>
  <si>
    <t>625,253.96</t>
  </si>
  <si>
    <t>707,629.40</t>
  </si>
  <si>
    <t>678,690.42</t>
  </si>
  <si>
    <t>11,007,938.81</t>
  </si>
  <si>
    <t>74,096.15</t>
  </si>
  <si>
    <t>999,087.75</t>
  </si>
  <si>
    <t>208,080.00</t>
  </si>
  <si>
    <t>99,755.35</t>
  </si>
  <si>
    <t>3,750,500.00</t>
  </si>
  <si>
    <t>454,234.00</t>
  </si>
  <si>
    <t>143,085.72</t>
  </si>
  <si>
    <t>1,224,450.00</t>
  </si>
  <si>
    <t>1,245,750.00</t>
  </si>
  <si>
    <t>2,280,000.00</t>
  </si>
  <si>
    <t>300,488.25</t>
  </si>
  <si>
    <t>93,300.00</t>
  </si>
  <si>
    <t>293,300.00</t>
  </si>
  <si>
    <t>320,812.29</t>
  </si>
  <si>
    <t>137,700.00</t>
  </si>
  <si>
    <t>1,939,800.00</t>
  </si>
  <si>
    <t>14,966,876.23</t>
  </si>
  <si>
    <t>1,016,795.00</t>
  </si>
  <si>
    <t>1,164,000.00</t>
  </si>
  <si>
    <t>1,999,999.60</t>
  </si>
  <si>
    <t>1,269,999.99</t>
  </si>
  <si>
    <t>5,850,000.00</t>
  </si>
  <si>
    <t>1,170,865.00</t>
  </si>
  <si>
    <t>734,700.00</t>
  </si>
  <si>
    <t>339,158.66</t>
  </si>
  <si>
    <t>53,940.00</t>
  </si>
  <si>
    <t>3,554,467.49</t>
  </si>
  <si>
    <t>1,004,282.50</t>
  </si>
  <si>
    <t>655,000.00</t>
  </si>
  <si>
    <t>592,194.77</t>
  </si>
  <si>
    <t>496,794.48</t>
  </si>
  <si>
    <t>8,380,000.00</t>
  </si>
  <si>
    <t>113,517.12</t>
  </si>
  <si>
    <t>884,269.00</t>
  </si>
  <si>
    <t>3,026,256.32</t>
  </si>
  <si>
    <t>4,850,000.00</t>
  </si>
  <si>
    <t>68,032,492.04</t>
  </si>
  <si>
    <t>1,242,188.26</t>
  </si>
  <si>
    <t>163,978.00</t>
  </si>
  <si>
    <t>5,321,000.00</t>
  </si>
  <si>
    <t>1,719,620.00</t>
  </si>
  <si>
    <t>1,152,000.00</t>
  </si>
  <si>
    <t>3,188,056.80</t>
  </si>
  <si>
    <t>220,670.00</t>
  </si>
  <si>
    <t>2,240,000.00</t>
  </si>
  <si>
    <t>4,522,824.00</t>
  </si>
  <si>
    <t>1,503,565.52</t>
  </si>
  <si>
    <t>299,286.61</t>
  </si>
  <si>
    <t>22,000,000.00</t>
  </si>
  <si>
    <t>3,070,000.00</t>
  </si>
  <si>
    <t>5,775,000.00</t>
  </si>
  <si>
    <t>783,940.00</t>
  </si>
  <si>
    <t>8,660,333.47</t>
  </si>
  <si>
    <t>407,232.00</t>
  </si>
  <si>
    <t>931,550.00</t>
  </si>
  <si>
    <t>423,022.75</t>
  </si>
  <si>
    <t>2,509,803.92</t>
  </si>
  <si>
    <t>396,764.20</t>
  </si>
  <si>
    <t>788,400.00</t>
  </si>
  <si>
    <t>11,939,601.46</t>
  </si>
  <si>
    <t>15,632,991.43</t>
  </si>
  <si>
    <t>1,520,000.00</t>
  </si>
  <si>
    <t>710,440.00</t>
  </si>
  <si>
    <t>14,430,000.00</t>
  </si>
  <si>
    <t>2,268,753.50</t>
  </si>
  <si>
    <t>283,200.00</t>
  </si>
  <si>
    <t>79,200,000.00</t>
  </si>
  <si>
    <t>6,662,688.93</t>
  </si>
  <si>
    <t>1,378,623.40</t>
  </si>
  <si>
    <t>910,000.00</t>
  </si>
  <si>
    <t>1,537,765.40</t>
  </si>
  <si>
    <t>2,970,291.02</t>
  </si>
  <si>
    <t>201,509.57</t>
  </si>
  <si>
    <t>2,969,989.51</t>
  </si>
  <si>
    <t>13,776,000.00</t>
  </si>
  <si>
    <t>3,114,000.00</t>
  </si>
  <si>
    <t>17,100,000.00</t>
  </si>
  <si>
    <t>392,400.00</t>
  </si>
  <si>
    <t>2,050,040.00</t>
  </si>
  <si>
    <t>71,804.00</t>
  </si>
  <si>
    <t>8,075,000.00</t>
  </si>
  <si>
    <t>8,840,000.00</t>
  </si>
  <si>
    <t>7,425,000.00</t>
  </si>
  <si>
    <t>5,991,600.00</t>
  </si>
  <si>
    <t>2,249,924.25</t>
  </si>
  <si>
    <t>9,996,289.32</t>
  </si>
  <si>
    <t>169,600.00</t>
  </si>
  <si>
    <t>999,872.30</t>
  </si>
  <si>
    <t>1,844,000.00</t>
  </si>
  <si>
    <t>412,300.00</t>
  </si>
  <si>
    <t>369,032,352.00</t>
  </si>
  <si>
    <t>3,149,629.95</t>
  </si>
  <si>
    <t>34,650,000.00</t>
  </si>
  <si>
    <t>519,600.00</t>
  </si>
  <si>
    <t>7,370,000.00</t>
  </si>
  <si>
    <t>4,720,996.81</t>
  </si>
  <si>
    <t>957,700.00</t>
  </si>
  <si>
    <t>34,860,000.00</t>
  </si>
  <si>
    <t>999,329.49</t>
  </si>
  <si>
    <t>72,450.00</t>
  </si>
  <si>
    <t>124,799,000.00</t>
  </si>
  <si>
    <t>23,252,150.23</t>
  </si>
  <si>
    <t>998,241.05</t>
  </si>
  <si>
    <t>11,529,050.00</t>
  </si>
  <si>
    <t>743,050.00</t>
  </si>
  <si>
    <t>4,468,990.29</t>
  </si>
  <si>
    <t>1,300,337.50</t>
  </si>
  <si>
    <t>3,480,000.00</t>
  </si>
  <si>
    <t>2,186,035.00</t>
  </si>
  <si>
    <t>928,812.50</t>
  </si>
  <si>
    <t>4,818,353.86</t>
  </si>
  <si>
    <t>1,820,000.00</t>
  </si>
  <si>
    <t>1,370,239.95</t>
  </si>
  <si>
    <t>1,326,996.56</t>
  </si>
  <si>
    <t>2,320,000.00</t>
  </si>
  <si>
    <t>1,341,426.00</t>
  </si>
  <si>
    <t>999,971.00</t>
  </si>
  <si>
    <t>1,711,301.18</t>
  </si>
  <si>
    <t>2,982,173.18</t>
  </si>
  <si>
    <t>1,328,271.00</t>
  </si>
  <si>
    <t>2,991,839.78</t>
  </si>
  <si>
    <t>150,689.40</t>
  </si>
  <si>
    <t>3,506,162.90</t>
  </si>
  <si>
    <t>456,126.00</t>
  </si>
  <si>
    <t>3,569,000.00</t>
  </si>
  <si>
    <t>3,203,920.00</t>
  </si>
  <si>
    <t>2,319,127.68</t>
  </si>
  <si>
    <t>2,064,691.14</t>
  </si>
  <si>
    <t>6,273,775.00</t>
  </si>
  <si>
    <t>4,904,231.08</t>
  </si>
  <si>
    <t>1,599,532.94</t>
  </si>
  <si>
    <t>1,102,898.00</t>
  </si>
  <si>
    <t>196,800.00</t>
  </si>
  <si>
    <t>1,164,752.00</t>
  </si>
  <si>
    <t>1,727,500.00</t>
  </si>
  <si>
    <t>19,799,827.30</t>
  </si>
  <si>
    <t>451,885.00</t>
  </si>
  <si>
    <t>1,614,600.00</t>
  </si>
  <si>
    <t>1,964,825.02</t>
  </si>
  <si>
    <t>9,899,971.25</t>
  </si>
  <si>
    <t>2,914,440.00</t>
  </si>
  <si>
    <t>1,220,000.00</t>
  </si>
  <si>
    <t>9,899,933.21</t>
  </si>
  <si>
    <t>3,062,400,000.00</t>
  </si>
  <si>
    <t>996,680.10</t>
  </si>
  <si>
    <t>1,538,538.25</t>
  </si>
  <si>
    <t>18,133,114.23</t>
  </si>
  <si>
    <t>1,595,286.37</t>
  </si>
  <si>
    <t>109,876.00</t>
  </si>
  <si>
    <t>20,825,242.72</t>
  </si>
  <si>
    <t>265,399.31</t>
  </si>
  <si>
    <t>590,000.00</t>
  </si>
  <si>
    <t>3,309,067.00</t>
  </si>
  <si>
    <t>1,123,164.00</t>
  </si>
  <si>
    <t>288,963.00</t>
  </si>
  <si>
    <t>1,423,881.20</t>
  </si>
  <si>
    <t>195,220.00</t>
  </si>
  <si>
    <t>496,730.00</t>
  </si>
  <si>
    <t>262,480.00</t>
  </si>
  <si>
    <t>19,799,378.78</t>
  </si>
  <si>
    <t>12,093,596.00</t>
  </si>
  <si>
    <t>217,672.00</t>
  </si>
  <si>
    <t>97,418.00</t>
  </si>
  <si>
    <t>465,654.00</t>
  </si>
  <si>
    <t>1,559,000.00</t>
  </si>
  <si>
    <t>106,201.50</t>
  </si>
  <si>
    <t>6,800,000.00</t>
  </si>
  <si>
    <t>4,389,877.80</t>
  </si>
  <si>
    <t>9,990,446.00</t>
  </si>
  <si>
    <t>1,659,930.00</t>
  </si>
  <si>
    <t>249,318.00</t>
  </si>
  <si>
    <t>3,732,000.00</t>
  </si>
  <si>
    <t>1,208,392.19</t>
  </si>
  <si>
    <t>6,161,996.82</t>
  </si>
  <si>
    <t>32,577,872.70</t>
  </si>
  <si>
    <t>1,499,649.52</t>
  </si>
  <si>
    <t>785,119.56</t>
  </si>
  <si>
    <t>1,670,936.01</t>
  </si>
  <si>
    <t>2,457,875.00</t>
  </si>
  <si>
    <t>2,307,089.00</t>
  </si>
  <si>
    <t>1,825,548.00</t>
  </si>
  <si>
    <t>9,996,981.00</t>
  </si>
  <si>
    <t>1,512,355.00</t>
  </si>
  <si>
    <t>2,745,515.64</t>
  </si>
  <si>
    <t>38,000,000.00</t>
  </si>
  <si>
    <t>21,199,952.98</t>
  </si>
  <si>
    <t>4,426,344.00</t>
  </si>
  <si>
    <t>2,002,583.76</t>
  </si>
  <si>
    <t>6,434,850.87</t>
  </si>
  <si>
    <t>4,751,299.65</t>
  </si>
  <si>
    <t>1,907,000.00</t>
  </si>
  <si>
    <t>2,629,305.30</t>
  </si>
  <si>
    <t>7,787,827.00</t>
  </si>
  <si>
    <t>1,114,575.00</t>
  </si>
  <si>
    <t>398,220.00</t>
  </si>
  <si>
    <t>49,999,929.61</t>
  </si>
  <si>
    <t>3,610,000.00</t>
  </si>
  <si>
    <t>16,932,714.75</t>
  </si>
  <si>
    <t>1,653,155.64</t>
  </si>
  <si>
    <t>866,430.00</t>
  </si>
  <si>
    <t>241,750.00</t>
  </si>
  <si>
    <t>4,123,120.00</t>
  </si>
  <si>
    <t>323,478.26</t>
  </si>
  <si>
    <t>278,500.00</t>
  </si>
  <si>
    <t>2,632,914.00</t>
  </si>
  <si>
    <t>702,846.75</t>
  </si>
  <si>
    <t>644,950.00</t>
  </si>
  <si>
    <t>8,999,392.68</t>
  </si>
  <si>
    <t>726,000.00</t>
  </si>
  <si>
    <t>110,883.50</t>
  </si>
  <si>
    <t>1,925,519.00</t>
  </si>
  <si>
    <t>2,372,976.50</t>
  </si>
  <si>
    <t>395,540.11</t>
  </si>
  <si>
    <t>790,483.00</t>
  </si>
  <si>
    <t>9,964,987.00</t>
  </si>
  <si>
    <t>307,341.95</t>
  </si>
  <si>
    <t>10,975,562.44</t>
  </si>
  <si>
    <t>1,464,564.74</t>
  </si>
  <si>
    <t>1,261,628.00</t>
  </si>
  <si>
    <t>1,499,453.26</t>
  </si>
  <si>
    <t>46,109,440.00</t>
  </si>
  <si>
    <t>395,088.09</t>
  </si>
  <si>
    <t>1,922,000.00</t>
  </si>
  <si>
    <t>1,200,248.00</t>
  </si>
  <si>
    <t>1,642,033.01</t>
  </si>
  <si>
    <t>2,313,834.42</t>
  </si>
  <si>
    <t>5,996,916.53</t>
  </si>
  <si>
    <t>1,197,787.23</t>
  </si>
  <si>
    <t>699,660.00</t>
  </si>
  <si>
    <t>451,000.00</t>
  </si>
  <si>
    <t>829,354.00</t>
  </si>
  <si>
    <t>2,421,446.50</t>
  </si>
  <si>
    <t>1,294,800.00</t>
  </si>
  <si>
    <t>1,447,403.00</t>
  </si>
  <si>
    <t>794,803.00</t>
  </si>
  <si>
    <t>1,509,154.91</t>
  </si>
  <si>
    <t>3,125,000.00</t>
  </si>
  <si>
    <t>971,109.00</t>
  </si>
  <si>
    <t>25,535.00</t>
  </si>
  <si>
    <t>1,116,090.00</t>
  </si>
  <si>
    <t>4,998,000.00</t>
  </si>
  <si>
    <t>2,175,000.00</t>
  </si>
  <si>
    <t>1,319,750.00</t>
  </si>
  <si>
    <t>786,081.14</t>
  </si>
  <si>
    <t>32,297,289.45</t>
  </si>
  <si>
    <t>391,265.00</t>
  </si>
  <si>
    <t>28,324.98</t>
  </si>
  <si>
    <t>5,738,732.50</t>
  </si>
  <si>
    <t>1,288,000.00</t>
  </si>
  <si>
    <t>1,309,950.00</t>
  </si>
  <si>
    <t>3,557,996.32</t>
  </si>
  <si>
    <t>1,323,787.58</t>
  </si>
  <si>
    <t>387,071.41</t>
  </si>
  <si>
    <t>28,340,000.00</t>
  </si>
  <si>
    <t>2,137,500.00</t>
  </si>
  <si>
    <t>1,032,820.97</t>
  </si>
  <si>
    <t>892,466.56</t>
  </si>
  <si>
    <t>226,723.00</t>
  </si>
  <si>
    <t>40,800.00</t>
  </si>
  <si>
    <t>120,000,000.00</t>
  </si>
  <si>
    <t>412,725.00</t>
  </si>
  <si>
    <t>428,533.93</t>
  </si>
  <si>
    <t>1,420,686.77</t>
  </si>
  <si>
    <t>48,500,000.00</t>
  </si>
  <si>
    <t>599,950.32</t>
  </si>
  <si>
    <t>2,593,225.84</t>
  </si>
  <si>
    <t>691,000.00</t>
  </si>
  <si>
    <t>1,614,353.60</t>
  </si>
  <si>
    <t>2,999,606.10</t>
  </si>
  <si>
    <t>222,040.00</t>
  </si>
  <si>
    <t>662,181.57</t>
  </si>
  <si>
    <t>1,613,075.60</t>
  </si>
  <si>
    <t>1,838,514.60</t>
  </si>
  <si>
    <t>251,271.00</t>
  </si>
  <si>
    <t>1,525,056.00</t>
  </si>
  <si>
    <t>4,653,000.00</t>
  </si>
  <si>
    <t>3,944,942.38</t>
  </si>
  <si>
    <t>2,145,000.00</t>
  </si>
  <si>
    <t>4,594,000.00</t>
  </si>
  <si>
    <t>3,013,064.62</t>
  </si>
  <si>
    <t>7,400,000.00</t>
  </si>
  <si>
    <t>456,738.06</t>
  </si>
  <si>
    <t>1,505,091.00</t>
  </si>
  <si>
    <t>279,999,810.00</t>
  </si>
  <si>
    <t>272,306.60</t>
  </si>
  <si>
    <t>2,969,999.97</t>
  </si>
  <si>
    <t>604,419.40</t>
  </si>
  <si>
    <t>548,232.56</t>
  </si>
  <si>
    <t>213,780.52</t>
  </si>
  <si>
    <t>274,193.17</t>
  </si>
  <si>
    <t>1,999,469.80</t>
  </si>
  <si>
    <t>9,799,997.65</t>
  </si>
  <si>
    <t>12,250,000.00</t>
  </si>
  <si>
    <t>755,250.00</t>
  </si>
  <si>
    <t>110,459.00</t>
  </si>
  <si>
    <t>2,181,848.34</t>
  </si>
  <si>
    <t>669,530.00</t>
  </si>
  <si>
    <t>999,998.80</t>
  </si>
  <si>
    <t>19,027,800.00</t>
  </si>
  <si>
    <t>19,600,000.00</t>
  </si>
  <si>
    <t>11,385,000.00</t>
  </si>
  <si>
    <t>99,992.00</t>
  </si>
  <si>
    <t>6,756,557.00</t>
  </si>
  <si>
    <t>1,223,078.19</t>
  </si>
  <si>
    <t>1,964,957.00</t>
  </si>
  <si>
    <t>5,232,510.08</t>
  </si>
  <si>
    <t>1,864,517.40</t>
  </si>
  <si>
    <t>4,760,950.00</t>
  </si>
  <si>
    <t>19,512,082.18</t>
  </si>
  <si>
    <t>52,970,398.00</t>
  </si>
  <si>
    <t>1,430,280.00</t>
  </si>
  <si>
    <t>1,119,599.00</t>
  </si>
  <si>
    <t>1,810,250.00</t>
  </si>
  <si>
    <t>1,768,475.00</t>
  </si>
  <si>
    <t>2,385,600.00</t>
  </si>
  <si>
    <t>27,300,000.00</t>
  </si>
  <si>
    <t>939,817.62</t>
  </si>
  <si>
    <t>800,500.00</t>
  </si>
  <si>
    <t>40,900.00</t>
  </si>
  <si>
    <t>1,343,400.00</t>
  </si>
  <si>
    <t>172,000.00</t>
  </si>
  <si>
    <t>300,721.77</t>
  </si>
  <si>
    <t>1,642,200.00</t>
  </si>
  <si>
    <t>477,595.00</t>
  </si>
  <si>
    <t>1,710,930.00</t>
  </si>
  <si>
    <t>1,066,404.50</t>
  </si>
  <si>
    <t>858,835.01</t>
  </si>
  <si>
    <t>490,754.28</t>
  </si>
  <si>
    <t>2,897,200.00</t>
  </si>
  <si>
    <t>1,705,366.00</t>
  </si>
  <si>
    <t>950,500.00</t>
  </si>
  <si>
    <t>4,378,687.50</t>
  </si>
  <si>
    <t>639,984.45</t>
  </si>
  <si>
    <t>1,522,800.00</t>
  </si>
  <si>
    <t>23,174,033.92</t>
  </si>
  <si>
    <t>47,979,900.00</t>
  </si>
  <si>
    <t>298,838.00</t>
  </si>
  <si>
    <t>1,808,800.00</t>
  </si>
  <si>
    <t>2,999,813.94</t>
  </si>
  <si>
    <t>416,100.00</t>
  </si>
  <si>
    <t>877,000.00</t>
  </si>
  <si>
    <t>2,895,000.00</t>
  </si>
  <si>
    <t>50,676,000.00</t>
  </si>
  <si>
    <t>999,818.93</t>
  </si>
  <si>
    <t>694,545.00</t>
  </si>
  <si>
    <t>38,495,037.51</t>
  </si>
  <si>
    <t>999,999.68</t>
  </si>
  <si>
    <t>7,330,025.68</t>
  </si>
  <si>
    <t>815,209.14</t>
  </si>
  <si>
    <t>175,380.00</t>
  </si>
  <si>
    <t>3,604,526.86</t>
  </si>
  <si>
    <t>10,491,000.00</t>
  </si>
  <si>
    <t>622,200.00</t>
  </si>
  <si>
    <t>4,409,999.98</t>
  </si>
  <si>
    <t>806,700.00</t>
  </si>
  <si>
    <t>619,246.00</t>
  </si>
  <si>
    <t>4,851,560.00</t>
  </si>
  <si>
    <t>1,469,922.41</t>
  </si>
  <si>
    <t>485,742.00</t>
  </si>
  <si>
    <t>441,000.00</t>
  </si>
  <si>
    <t>37,726,000.00</t>
  </si>
  <si>
    <t>2,260,000.00</t>
  </si>
  <si>
    <t>19,512,168.46</t>
  </si>
  <si>
    <t>1,999,997.48</t>
  </si>
  <si>
    <t>1,181,650.66</t>
  </si>
  <si>
    <t>1,377,800.00</t>
  </si>
  <si>
    <t>841,801.00</t>
  </si>
  <si>
    <t>4,362,781.17</t>
  </si>
  <si>
    <t>33,361,000.00</t>
  </si>
  <si>
    <t>4,316,600.00</t>
  </si>
  <si>
    <t>300,050.00</t>
  </si>
  <si>
    <t>11,939,999.98</t>
  </si>
  <si>
    <t>2,568,420.00</t>
  </si>
  <si>
    <t>19,502,380.97</t>
  </si>
  <si>
    <t>799,984.97</t>
  </si>
  <si>
    <t>611,064.00</t>
  </si>
  <si>
    <t>29,397,952.78</t>
  </si>
  <si>
    <t>266,450.00</t>
  </si>
  <si>
    <t>3,567,776.00</t>
  </si>
  <si>
    <t>216,400.00</t>
  </si>
  <si>
    <t>10,711,407.00</t>
  </si>
  <si>
    <t>840,002.00</t>
  </si>
  <si>
    <t>7,129,200.00</t>
  </si>
  <si>
    <t>999,534.30</t>
  </si>
  <si>
    <t>5,321,400.00</t>
  </si>
  <si>
    <t>1,995,871.20</t>
  </si>
  <si>
    <t>8,271,000.00</t>
  </si>
  <si>
    <t>12,539,000.00</t>
  </si>
  <si>
    <t>2,939,925.29</t>
  </si>
  <si>
    <t>281,800.00</t>
  </si>
  <si>
    <t>2,133,619.39</t>
  </si>
  <si>
    <t>1,959,863.45</t>
  </si>
  <si>
    <t>243,687.00</t>
  </si>
  <si>
    <t>9,654,869.08</t>
  </si>
  <si>
    <t>9,255,000.00</t>
  </si>
  <si>
    <t>9,999,960.13</t>
  </si>
  <si>
    <t>1,381,045.00</t>
  </si>
  <si>
    <t>5,197,670.77</t>
  </si>
  <si>
    <t>571,926.25</t>
  </si>
  <si>
    <t>2,454,232.48</t>
  </si>
  <si>
    <t>14,978,730.89</t>
  </si>
  <si>
    <t>313,137.00</t>
  </si>
  <si>
    <t>2,885,508.31</t>
  </si>
  <si>
    <t>5,162,420.79</t>
  </si>
  <si>
    <t>11,939,177.06</t>
  </si>
  <si>
    <t>78,375.20</t>
  </si>
  <si>
    <t>132,460.00</t>
  </si>
  <si>
    <t>156,600.00</t>
  </si>
  <si>
    <t>9,999,726.70</t>
  </si>
  <si>
    <t>1,777,613.88</t>
  </si>
  <si>
    <t>725,368.35</t>
  </si>
  <si>
    <t>19,501,888.25</t>
  </si>
  <si>
    <t>502,035.00</t>
  </si>
  <si>
    <t>7,569,000.00</t>
  </si>
  <si>
    <t>6,590,423.49</t>
  </si>
  <si>
    <t>1,836,650.00</t>
  </si>
  <si>
    <t>3,754,200.88</t>
  </si>
  <si>
    <t>5,808,000.00</t>
  </si>
  <si>
    <t>5,088,823.01</t>
  </si>
  <si>
    <t>1,584,800.00</t>
  </si>
  <si>
    <t>677,875.00</t>
  </si>
  <si>
    <t>5,020,686.68</t>
  </si>
  <si>
    <t>6,165,237.12</t>
  </si>
  <si>
    <t>2,784,017.10</t>
  </si>
  <si>
    <t>4,732,659.30</t>
  </si>
  <si>
    <t>12,934,198.51</t>
  </si>
  <si>
    <t>7,458,840.00</t>
  </si>
  <si>
    <t>9,181,767.50</t>
  </si>
  <si>
    <t>5,998,574.66</t>
  </si>
  <si>
    <t>11,845,260.00</t>
  </si>
  <si>
    <t>4,550,000.00</t>
  </si>
  <si>
    <t>3,240,027.28</t>
  </si>
  <si>
    <t>5,131,760.02</t>
  </si>
  <si>
    <t>1,030,000.00</t>
  </si>
  <si>
    <t>5,006,498.49</t>
  </si>
  <si>
    <t>5,128,620.26</t>
  </si>
  <si>
    <t>1,996,400.00</t>
  </si>
  <si>
    <t>5,946,052.60</t>
  </si>
  <si>
    <t>1,834,350.00</t>
  </si>
  <si>
    <t>3,690,910.09</t>
  </si>
  <si>
    <t>6,256,169.73</t>
  </si>
  <si>
    <t>5,586,234.92</t>
  </si>
  <si>
    <t>92,649.70</t>
  </si>
  <si>
    <t>24,197,350.00</t>
  </si>
  <si>
    <t>2,268,500.00</t>
  </si>
  <si>
    <t>6,916,350.00</t>
  </si>
  <si>
    <t>3,096,850.34</t>
  </si>
  <si>
    <t>3,318,370.69</t>
  </si>
  <si>
    <t>6,260,339.61</t>
  </si>
  <si>
    <t>8,592,600.00</t>
  </si>
  <si>
    <t>176,550.00</t>
  </si>
  <si>
    <t>414,020.00</t>
  </si>
  <si>
    <t>8,200,000.00</t>
  </si>
  <si>
    <t>4,151,665.51</t>
  </si>
  <si>
    <t>1,232,250.00</t>
  </si>
  <si>
    <t>1,529,988.00</t>
  </si>
  <si>
    <t>3,495,455.91</t>
  </si>
  <si>
    <t>29,599,650.87</t>
  </si>
  <si>
    <t>3,499,264.55</t>
  </si>
  <si>
    <t>1,343,825.07</t>
  </si>
  <si>
    <t>5,004,000.00</t>
  </si>
  <si>
    <t>29,399,998.85</t>
  </si>
  <si>
    <t>3,063,244.41</t>
  </si>
  <si>
    <t>399,428.61</t>
  </si>
  <si>
    <t>5,406,000.00</t>
  </si>
  <si>
    <t>6,342,600.00</t>
  </si>
  <si>
    <t>1,891,978.38</t>
  </si>
  <si>
    <t>4,899,978.01</t>
  </si>
  <si>
    <t>4,240,000.00</t>
  </si>
  <si>
    <t>2,998,152.98</t>
  </si>
  <si>
    <t>499,942.28</t>
  </si>
  <si>
    <t>28,642,847.47</t>
  </si>
  <si>
    <t>4,899,399.41</t>
  </si>
  <si>
    <t>14,563,108.00</t>
  </si>
  <si>
    <t>6,883,593.75</t>
  </si>
  <si>
    <t>1,939,306.60</t>
  </si>
  <si>
    <t>178,398.56</t>
  </si>
  <si>
    <t>3,111,979.00</t>
  </si>
  <si>
    <t>1,349,140.11</t>
  </si>
  <si>
    <t>563,000.10</t>
  </si>
  <si>
    <t>2,936,838.29</t>
  </si>
  <si>
    <t>6,475,999.12</t>
  </si>
  <si>
    <t>1,194,625.96</t>
  </si>
  <si>
    <t>1,378,000.00</t>
  </si>
  <si>
    <t>3,110,815.57</t>
  </si>
  <si>
    <t>798,836.65</t>
  </si>
  <si>
    <t>1,475,316.45</t>
  </si>
  <si>
    <t>9,999,649.57</t>
  </si>
  <si>
    <t>4,531,339.74</t>
  </si>
  <si>
    <t>979,204.85</t>
  </si>
  <si>
    <t>999,951.42</t>
  </si>
  <si>
    <t>1,711,067.40</t>
  </si>
  <si>
    <t>519,636.54</t>
  </si>
  <si>
    <t>1,349,834.11</t>
  </si>
  <si>
    <t>1,888,518.34</t>
  </si>
  <si>
    <t>1,605,821.75</t>
  </si>
  <si>
    <t>2,299,999.14</t>
  </si>
  <si>
    <t>1,494,341.40</t>
  </si>
  <si>
    <t>749,901.36</t>
  </si>
  <si>
    <t>253,000.00</t>
  </si>
  <si>
    <t>1,997,935.84</t>
  </si>
  <si>
    <t>17,099,800.67</t>
  </si>
  <si>
    <t>973,773.75</t>
  </si>
  <si>
    <t>999,613.24</t>
  </si>
  <si>
    <t>774,019.60</t>
  </si>
  <si>
    <t>11,799,906.51</t>
  </si>
  <si>
    <t>17,915,053.01</t>
  </si>
  <si>
    <t>4,498,938.88</t>
  </si>
  <si>
    <t>5,600,000.00</t>
  </si>
  <si>
    <t>2,295,000.00</t>
  </si>
  <si>
    <t>599,719.37</t>
  </si>
  <si>
    <t>7,839,984.59</t>
  </si>
  <si>
    <t>143,980.32</t>
  </si>
  <si>
    <t>270,000,000.00</t>
  </si>
  <si>
    <t>12,571,721.70</t>
  </si>
  <si>
    <t>1,820,047.00</t>
  </si>
  <si>
    <t>301,750.00</t>
  </si>
  <si>
    <t>187,105.20</t>
  </si>
  <si>
    <t>650,303.50</t>
  </si>
  <si>
    <t>1,450,000.00</t>
  </si>
  <si>
    <t>4,019,000.00</t>
  </si>
  <si>
    <t>55,100,000.00</t>
  </si>
  <si>
    <t>100,583.34</t>
  </si>
  <si>
    <t>3,880,482.45</t>
  </si>
  <si>
    <t>1,059,600.00</t>
  </si>
  <si>
    <t>3,395,400.00</t>
  </si>
  <si>
    <t>9,079,050.00</t>
  </si>
  <si>
    <t>527,399.60</t>
  </si>
  <si>
    <t>2,278,305.00</t>
  </si>
  <si>
    <t>1,179,678.71</t>
  </si>
  <si>
    <t>268,836.00</t>
  </si>
  <si>
    <t>84,698.00</t>
  </si>
  <si>
    <t>5,958,828.89</t>
  </si>
  <si>
    <t>796,980.00</t>
  </si>
  <si>
    <t>1,197,667.08</t>
  </si>
  <si>
    <t>597,986.52</t>
  </si>
  <si>
    <t>201,166.66</t>
  </si>
  <si>
    <t>649,430.00</t>
  </si>
  <si>
    <t>9,487,436.00</t>
  </si>
  <si>
    <t>99,727,604.06</t>
  </si>
  <si>
    <t>1,182,743.90</t>
  </si>
  <si>
    <t>596,400.00</t>
  </si>
  <si>
    <t>4,022,960.15</t>
  </si>
  <si>
    <t>2,046,059.27</t>
  </si>
  <si>
    <t>1,600,738.72</t>
  </si>
  <si>
    <t>1,801,896.00</t>
  </si>
  <si>
    <t>1,453,900.00</t>
  </si>
  <si>
    <t>1,162,660.80</t>
  </si>
  <si>
    <t>2,536,000.00</t>
  </si>
  <si>
    <t>4,998,830.71</t>
  </si>
  <si>
    <t>2,042,872.49</t>
  </si>
  <si>
    <t>1,756,560.00</t>
  </si>
  <si>
    <t>1,416,000.00</t>
  </si>
  <si>
    <t>1,996,597.32</t>
  </si>
  <si>
    <t>1,416,798.00</t>
  </si>
  <si>
    <t>191,435.00</t>
  </si>
  <si>
    <t>999,906.66</t>
  </si>
  <si>
    <t>17,979,300.00</t>
  </si>
  <si>
    <t>2,551,800.00</t>
  </si>
  <si>
    <t>134,554.00</t>
  </si>
  <si>
    <t>1,455,000.00</t>
  </si>
  <si>
    <t>5,197,000.00</t>
  </si>
  <si>
    <t>534,520.00</t>
  </si>
  <si>
    <t>1,344,000.00</t>
  </si>
  <si>
    <t>2,425,000.00</t>
  </si>
  <si>
    <t>299,642.10</t>
  </si>
  <si>
    <t>531,000.00</t>
  </si>
  <si>
    <t>971,830.99</t>
  </si>
  <si>
    <t>9,776,567.52</t>
  </si>
  <si>
    <t>725,839.00</t>
  </si>
  <si>
    <t>291,000.00</t>
  </si>
  <si>
    <t>59,782.00</t>
  </si>
  <si>
    <t>12,751.17</t>
  </si>
  <si>
    <t>11,933,851.05</t>
  </si>
  <si>
    <t>22,996.45</t>
  </si>
  <si>
    <t>1,374,767.00</t>
  </si>
  <si>
    <t>7,271.50</t>
  </si>
  <si>
    <t>816,162.00</t>
  </si>
  <si>
    <t>180,450.00</t>
  </si>
  <si>
    <t>1,911,000.00</t>
  </si>
  <si>
    <t>41,462.00</t>
  </si>
  <si>
    <t>1,199,428.12</t>
  </si>
  <si>
    <t>1,636,614.74</t>
  </si>
  <si>
    <t>12,340.62</t>
  </si>
  <si>
    <t>521,051.10</t>
  </si>
  <si>
    <t>1,099,595.00</t>
  </si>
  <si>
    <t>1,604,219.00</t>
  </si>
  <si>
    <t>681,835.14</t>
  </si>
  <si>
    <t>49,999,808.70</t>
  </si>
  <si>
    <t>2,379,290.00</t>
  </si>
  <si>
    <t>7,321,150.00</t>
  </si>
  <si>
    <t>1,512,000.00</t>
  </si>
  <si>
    <t>342,000.00</t>
  </si>
  <si>
    <t>194,517.00</t>
  </si>
  <si>
    <t>1,893,077.60</t>
  </si>
  <si>
    <t>23,030,000.00</t>
  </si>
  <si>
    <t>2,729,769.20</t>
  </si>
  <si>
    <t>647,237.00</t>
  </si>
  <si>
    <t>3,398,479.39</t>
  </si>
  <si>
    <t>143,999.00</t>
  </si>
  <si>
    <t>378,000.00</t>
  </si>
  <si>
    <t>1,787,163.05</t>
  </si>
  <si>
    <t>2,698,192.09</t>
  </si>
  <si>
    <t>11,937,445.31</t>
  </si>
  <si>
    <t>1,935,306.31</t>
  </si>
  <si>
    <t>2,677,785.30</t>
  </si>
  <si>
    <t>2,105,000.00</t>
  </si>
  <si>
    <t>863,234.31</t>
  </si>
  <si>
    <t>14,424.04</t>
  </si>
  <si>
    <t>666,000.00</t>
  </si>
  <si>
    <t>2,299,618.00</t>
  </si>
  <si>
    <t>1,947,935.00</t>
  </si>
  <si>
    <t>292,000.00</t>
  </si>
  <si>
    <t>1,429,669.64</t>
  </si>
  <si>
    <t>601,872.00</t>
  </si>
  <si>
    <t>354,695.22</t>
  </si>
  <si>
    <t>1,818,000.00</t>
  </si>
  <si>
    <t>1,999,200.00</t>
  </si>
  <si>
    <t>1,185,576.38</t>
  </si>
  <si>
    <t>2,535,000.00</t>
  </si>
  <si>
    <t>1,505,180.64</t>
  </si>
  <si>
    <t>572,274.57</t>
  </si>
  <si>
    <t>1,630,860.00</t>
  </si>
  <si>
    <t>307,750.72</t>
  </si>
  <si>
    <t>1,150,462.42</t>
  </si>
  <si>
    <t>64,699.39</t>
  </si>
  <si>
    <t>478,323.43</t>
  </si>
  <si>
    <t>1,098,230.00</t>
  </si>
  <si>
    <t>10,996,380.73</t>
  </si>
  <si>
    <t>91,325.60</t>
  </si>
  <si>
    <t>3,494,433.76</t>
  </si>
  <si>
    <t>695,165.26</t>
  </si>
  <si>
    <t>2,499,972.41</t>
  </si>
  <si>
    <t>284,802.00</t>
  </si>
  <si>
    <t>227,688.00</t>
  </si>
  <si>
    <t>4,624,132.95</t>
  </si>
  <si>
    <t>954,865.97</t>
  </si>
  <si>
    <t>1,496,851.84</t>
  </si>
  <si>
    <t>251,653.99</t>
  </si>
  <si>
    <t>4,951,231.64</t>
  </si>
  <si>
    <t>10,452,868.00</t>
  </si>
  <si>
    <t>244,580.00</t>
  </si>
  <si>
    <t>5,014,000.00</t>
  </si>
  <si>
    <t>206,095.00</t>
  </si>
  <si>
    <t>7,618,750.00</t>
  </si>
  <si>
    <t>576,062.11</t>
  </si>
  <si>
    <t>640,817.00</t>
  </si>
  <si>
    <t>3,482,440.00</t>
  </si>
  <si>
    <t>642,500.00</t>
  </si>
  <si>
    <t>8,790,658.00</t>
  </si>
  <si>
    <t>1,170,430.72</t>
  </si>
  <si>
    <t>18,218,747.17</t>
  </si>
  <si>
    <t>3,674,643.05</t>
  </si>
  <si>
    <t>1,758,620.00</t>
  </si>
  <si>
    <t>4,086,774.99</t>
  </si>
  <si>
    <t>905,619.35</t>
  </si>
  <si>
    <t>4,967,279.05</t>
  </si>
  <si>
    <t>56,373.00</t>
  </si>
  <si>
    <t>14,820,439.76</t>
  </si>
  <si>
    <t>811,000.00</t>
  </si>
  <si>
    <t>3,123,079.75</t>
  </si>
  <si>
    <t>166,165.12</t>
  </si>
  <si>
    <t>2,097,695.31</t>
  </si>
  <si>
    <t>2,520,000.00</t>
  </si>
  <si>
    <t>148,000,000.00</t>
  </si>
  <si>
    <t>169,982.89</t>
  </si>
  <si>
    <t>4,090,704.86</t>
  </si>
  <si>
    <t>7,216,336.47</t>
  </si>
  <si>
    <t>999,922.98</t>
  </si>
  <si>
    <t>1,997,211.63</t>
  </si>
  <si>
    <t>547,200.00</t>
  </si>
  <si>
    <t>1,164,993.18</t>
  </si>
  <si>
    <t>18,961,724.09</t>
  </si>
  <si>
    <t>2,910,678.02</t>
  </si>
  <si>
    <t>4,999,071.40</t>
  </si>
  <si>
    <t>267,183.00</t>
  </si>
  <si>
    <t>2,966,833.10</t>
  </si>
  <si>
    <t>153,300.00</t>
  </si>
  <si>
    <t>668,545.10</t>
  </si>
  <si>
    <t>72,375,000.00</t>
  </si>
  <si>
    <t>1,497,693.49</t>
  </si>
  <si>
    <t>912,000.00</t>
  </si>
  <si>
    <t>24,500,000.00</t>
  </si>
  <si>
    <t>4,224,800.00</t>
  </si>
  <si>
    <t>1,310,206.11</t>
  </si>
  <si>
    <t>203,458.80</t>
  </si>
  <si>
    <t>155,461.76</t>
  </si>
  <si>
    <t>11,939,780.92</t>
  </si>
  <si>
    <t>4,999,400.00</t>
  </si>
  <si>
    <t>285,455.00</t>
  </si>
  <si>
    <t>6,400,000.00</t>
  </si>
  <si>
    <t>1,499,523.39</t>
  </si>
  <si>
    <t>1,385,840.00</t>
  </si>
  <si>
    <t>17,058,441.76</t>
  </si>
  <si>
    <t>13,929,609.11</t>
  </si>
  <si>
    <t>2,750,000.00</t>
  </si>
  <si>
    <t>274,219.71</t>
  </si>
  <si>
    <t>2,379,856.61</t>
  </si>
  <si>
    <t>5,859,258.63</t>
  </si>
  <si>
    <t>1,341,106.10</t>
  </si>
  <si>
    <t>5,081,830.20</t>
  </si>
  <si>
    <t>17,805,795.61</t>
  </si>
  <si>
    <t>233,090.40</t>
  </si>
  <si>
    <t>4,966,037.66</t>
  </si>
  <si>
    <t>1,211,917.13</t>
  </si>
  <si>
    <t>1,931,345.00</t>
  </si>
  <si>
    <t>1,078,925.00</t>
  </si>
  <si>
    <t>251,226.00</t>
  </si>
  <si>
    <t>5,479,519.00</t>
  </si>
  <si>
    <t>76,000,000.00</t>
  </si>
  <si>
    <t>1,881,669.00</t>
  </si>
  <si>
    <t>2,829,000.00</t>
  </si>
  <si>
    <t>5,341,110.57</t>
  </si>
  <si>
    <t>1,155,562.00</t>
  </si>
  <si>
    <t>2,839,703.00</t>
  </si>
  <si>
    <t>18,834,953.01</t>
  </si>
  <si>
    <t>398,098.07</t>
  </si>
  <si>
    <t>789,000.00</t>
  </si>
  <si>
    <t>506,000.00</t>
  </si>
  <si>
    <t>206,000.00</t>
  </si>
  <si>
    <t>2,742,550.77</t>
  </si>
  <si>
    <t>1,813,000.00</t>
  </si>
  <si>
    <t>36,521,739.00</t>
  </si>
  <si>
    <t>1,017,529.00</t>
  </si>
  <si>
    <t>11,939,999.94</t>
  </si>
  <si>
    <t>1,575,000.00</t>
  </si>
  <si>
    <t>101,186,256.86</t>
  </si>
  <si>
    <t>500,689.30</t>
  </si>
  <si>
    <t>2,375,000.00</t>
  </si>
  <si>
    <t>11,939,999.96</t>
  </si>
  <si>
    <t>1,189,978.00</t>
  </si>
  <si>
    <t>3,051,033.41</t>
  </si>
  <si>
    <t>1,688,376.10</t>
  </si>
  <si>
    <t>1,248,177.71</t>
  </si>
  <si>
    <t>8,004,300.00</t>
  </si>
  <si>
    <t>163,812.00</t>
  </si>
  <si>
    <t>3,680,000.00</t>
  </si>
  <si>
    <t>1,873,480.86</t>
  </si>
  <si>
    <t>1,533,908.06</t>
  </si>
  <si>
    <t>1,996,134.85</t>
  </si>
  <si>
    <t>2,219,107.39</t>
  </si>
  <si>
    <t>2,694,000.00</t>
  </si>
  <si>
    <t>1,015,705.36</t>
  </si>
  <si>
    <t>1,959,708.72</t>
  </si>
  <si>
    <t>2,335,859.79</t>
  </si>
  <si>
    <t>2,968,958.31</t>
  </si>
  <si>
    <t>11,939,999.79</t>
  </si>
  <si>
    <t>1,679,784.01</t>
  </si>
  <si>
    <t>1,754,819.92</t>
  </si>
  <si>
    <t>12,934,999.95</t>
  </si>
  <si>
    <t>7,930,452.07</t>
  </si>
  <si>
    <t>7,919,970.73</t>
  </si>
  <si>
    <t>2,499,601.90</t>
  </si>
  <si>
    <t>8,928,990.10</t>
  </si>
  <si>
    <t>19,798,440.62</t>
  </si>
  <si>
    <t>2,767,508.01</t>
  </si>
  <si>
    <t>19,799,556.77</t>
  </si>
  <si>
    <t>1,595,000.00</t>
  </si>
  <si>
    <t>19,795,920.56</t>
  </si>
  <si>
    <t>9,896,740.54</t>
  </si>
  <si>
    <t>29,686,338.44</t>
  </si>
  <si>
    <t>2,499,454.36</t>
  </si>
  <si>
    <t>4,949,503.48</t>
  </si>
  <si>
    <t>1,197,548.74</t>
  </si>
  <si>
    <t>2,093,096.36</t>
  </si>
  <si>
    <t>1,020,773.28</t>
  </si>
  <si>
    <t>1,264,299.48</t>
  </si>
  <si>
    <t>3,354,089.74</t>
  </si>
  <si>
    <t>2,021,051.76</t>
  </si>
  <si>
    <t>191,500.00</t>
  </si>
  <si>
    <t>1,523,186.96</t>
  </si>
  <si>
    <t>1,840,650.82</t>
  </si>
  <si>
    <t>46,548,645.57</t>
  </si>
  <si>
    <t>738,375.59</t>
  </si>
  <si>
    <t>12,448,000.00</t>
  </si>
  <si>
    <t>739,414.35</t>
  </si>
  <si>
    <t>631,073.16</t>
  </si>
  <si>
    <t>742,907.27</t>
  </si>
  <si>
    <t>383,000.00</t>
  </si>
  <si>
    <t>11,511,274.91</t>
  </si>
  <si>
    <t>4,086,774.20</t>
  </si>
  <si>
    <t>1,000,350.00</t>
  </si>
  <si>
    <t>24,696,422.75</t>
  </si>
  <si>
    <t>1,779,661.80</t>
  </si>
  <si>
    <t>1,979,482.41</t>
  </si>
  <si>
    <t>989,990.00</t>
  </si>
  <si>
    <t>1,170,755.00</t>
  </si>
  <si>
    <t>1,941,771.80</t>
  </si>
  <si>
    <t>9,899,940.80</t>
  </si>
  <si>
    <t>40,290.00</t>
  </si>
  <si>
    <t>37,510.00</t>
  </si>
  <si>
    <t>46,367,301.67</t>
  </si>
  <si>
    <t>4,342,800.00</t>
  </si>
  <si>
    <t>724,000.00</t>
  </si>
  <si>
    <t>151,790.00</t>
  </si>
  <si>
    <t>1,005,000.00</t>
  </si>
  <si>
    <t>1,893,939.90</t>
  </si>
  <si>
    <t>1,212,193.13</t>
  </si>
  <si>
    <t>1,744,732.01</t>
  </si>
  <si>
    <t>378,425.00</t>
  </si>
  <si>
    <t>1,729,965.63</t>
  </si>
  <si>
    <t>1,828,854.23</t>
  </si>
  <si>
    <t>1,868,096.49</t>
  </si>
  <si>
    <t>1,238,329.73</t>
  </si>
  <si>
    <t>7,839,998.77</t>
  </si>
  <si>
    <t>137,930.00</t>
  </si>
  <si>
    <t>2,399,999.99</t>
  </si>
  <si>
    <t>617,380.00</t>
  </si>
  <si>
    <t>1,259,293.75</t>
  </si>
  <si>
    <t>4,364,645.04</t>
  </si>
  <si>
    <t>2,176,422.00</t>
  </si>
  <si>
    <t>1,405,261.15</t>
  </si>
  <si>
    <t>1,853,041.92</t>
  </si>
  <si>
    <t>164,261,569.20</t>
  </si>
  <si>
    <t>99,142.50</t>
  </si>
  <si>
    <t>80,700,000.00</t>
  </si>
  <si>
    <t>3,691,875.00</t>
  </si>
  <si>
    <t>241,200.00</t>
  </si>
  <si>
    <t>128,640.00</t>
  </si>
  <si>
    <t>2,924,506.76</t>
  </si>
  <si>
    <t>919,452.50</t>
  </si>
  <si>
    <t>1,925,500.00</t>
  </si>
  <si>
    <t>67,550,000.00</t>
  </si>
  <si>
    <t>28,300,000.00</t>
  </si>
  <si>
    <t>1,497,396.51</t>
  </si>
  <si>
    <t>5,262,600.00</t>
  </si>
  <si>
    <t>12,280,000.00</t>
  </si>
  <si>
    <t>1,982,131.80</t>
  </si>
  <si>
    <t>6,116,673.33</t>
  </si>
  <si>
    <t>1,793,234.21</t>
  </si>
  <si>
    <t>43,775.00</t>
  </si>
  <si>
    <t>1,392,874.73</t>
  </si>
  <si>
    <t>1,144,255.84</t>
  </si>
  <si>
    <t>1,000,000.44</t>
  </si>
  <si>
    <t>31,264.74</t>
  </si>
  <si>
    <t>323,947.00</t>
  </si>
  <si>
    <t>59,447.50</t>
  </si>
  <si>
    <t>18,762.50</t>
  </si>
  <si>
    <t>665,999.83</t>
  </si>
  <si>
    <t>688,545.00</t>
  </si>
  <si>
    <t>1,922,201.02</t>
  </si>
  <si>
    <t>30,170,809.50</t>
  </si>
  <si>
    <t>55,636.40</t>
  </si>
  <si>
    <t>5,957,365.53</t>
  </si>
  <si>
    <t>1,760,092.31</t>
  </si>
  <si>
    <t>1,762,162.47</t>
  </si>
  <si>
    <t>2,572,797.81</t>
  </si>
  <si>
    <t>1,969,186.65</t>
  </si>
  <si>
    <t>2,976,190.21</t>
  </si>
  <si>
    <t>1,597,482.52</t>
  </si>
  <si>
    <t>1,168,834.72</t>
  </si>
  <si>
    <t>300,061.01</t>
  </si>
  <si>
    <t>57,180,000.00</t>
  </si>
  <si>
    <t>217,520.00</t>
  </si>
  <si>
    <t>2,098,000.00</t>
  </si>
  <si>
    <t>1,446,281.32</t>
  </si>
  <si>
    <t>1,625,000.00</t>
  </si>
  <si>
    <t>8,570,736.00</t>
  </si>
  <si>
    <t>1,498,559.93</t>
  </si>
  <si>
    <t>1,461,308.88</t>
  </si>
  <si>
    <t>2,291,623.60</t>
  </si>
  <si>
    <t>1,939,983.32</t>
  </si>
  <si>
    <t>1,498,409.00</t>
  </si>
  <si>
    <t>3,367,659.00</t>
  </si>
  <si>
    <t>1,255,817.64</t>
  </si>
  <si>
    <t>2,418,781.71</t>
  </si>
  <si>
    <t>9,400,000.00</t>
  </si>
  <si>
    <t>32,000,000.00</t>
  </si>
  <si>
    <t>4,325,000.00</t>
  </si>
  <si>
    <t>1,457,691.94</t>
  </si>
  <si>
    <t>11,985,000.00</t>
  </si>
  <si>
    <t>570,621.68</t>
  </si>
  <si>
    <t>1,073,429.95</t>
  </si>
  <si>
    <t>28,816,000.00</t>
  </si>
  <si>
    <t>60,000,000.00</t>
  </si>
  <si>
    <t>1,077,719.51</t>
  </si>
  <si>
    <t>3,937,255.00</t>
  </si>
  <si>
    <t>5,030,653.00</t>
  </si>
  <si>
    <t>2,724,890.34</t>
  </si>
  <si>
    <t>999,764.22</t>
  </si>
  <si>
    <t>3,040,361.99</t>
  </si>
  <si>
    <t>4,762,044.80</t>
  </si>
  <si>
    <t>2,070,000.00</t>
  </si>
  <si>
    <t>1,455,416.67</t>
  </si>
  <si>
    <t>1,431,979.04</t>
  </si>
  <si>
    <t>5,390,000.00</t>
  </si>
  <si>
    <t>3,821,267.99</t>
  </si>
  <si>
    <t>4,088,040.00</t>
  </si>
  <si>
    <t>1,954,783.71</t>
  </si>
  <si>
    <t>2,021,000.00</t>
  </si>
  <si>
    <t>6,250,000.00</t>
  </si>
  <si>
    <t>166,355.00</t>
  </si>
  <si>
    <t>14,509,324.00</t>
  </si>
  <si>
    <t>3,678,931.08</t>
  </si>
  <si>
    <t>1,339,121.00</t>
  </si>
  <si>
    <t>17,341,443.75</t>
  </si>
  <si>
    <t>2,555,828.55</t>
  </si>
  <si>
    <t>13,257,978.13</t>
  </si>
  <si>
    <t>11,322,400.00</t>
  </si>
  <si>
    <t>1,488,400.00</t>
  </si>
  <si>
    <t>86,145,550.00</t>
  </si>
  <si>
    <t>641,248.00</t>
  </si>
  <si>
    <t>4,045,907.25</t>
  </si>
  <si>
    <t>378,558.75</t>
  </si>
  <si>
    <t>2,544,359.00</t>
  </si>
  <si>
    <t>1,343,100.00</t>
  </si>
  <si>
    <t>10,975,970.79</t>
  </si>
  <si>
    <t>1,629,284.00</t>
  </si>
  <si>
    <t>5,544,753.29</t>
  </si>
  <si>
    <t>89,070.00</t>
  </si>
  <si>
    <t>85,440.00</t>
  </si>
  <si>
    <t>4,988,175.00</t>
  </si>
  <si>
    <t>327,100.00</t>
  </si>
  <si>
    <t>2,499,668.53</t>
  </si>
  <si>
    <t>13,526,570.05</t>
  </si>
  <si>
    <t>2,480,000.00</t>
  </si>
  <si>
    <t>1,038,499.84</t>
  </si>
  <si>
    <t>1,733,000.00</t>
  </si>
  <si>
    <t>1,221,512.63</t>
  </si>
  <si>
    <t>776,544.93</t>
  </si>
  <si>
    <t>53,855.00</t>
  </si>
  <si>
    <t>1,865,600.00</t>
  </si>
  <si>
    <t>999,996.84</t>
  </si>
  <si>
    <t>4,342,500.17</t>
  </si>
  <si>
    <t>66,106.50</t>
  </si>
  <si>
    <t>390,460.00</t>
  </si>
  <si>
    <t>2,110,907.25</t>
  </si>
  <si>
    <t>1,501,500.00</t>
  </si>
  <si>
    <t>9,899,999.50</t>
  </si>
  <si>
    <t>1,177,575.00</t>
  </si>
  <si>
    <t>26,660,957.67</t>
  </si>
  <si>
    <t>4,085,271.32</t>
  </si>
  <si>
    <t>166,676,150.00</t>
  </si>
  <si>
    <t>941,747.59</t>
  </si>
  <si>
    <t>1,366,963.34</t>
  </si>
  <si>
    <t>1,276,150.00</t>
  </si>
  <si>
    <t>4,999,852.92</t>
  </si>
  <si>
    <t>2,940,022.34</t>
  </si>
  <si>
    <t>3,867,500.00</t>
  </si>
  <si>
    <t>4,861,597.00</t>
  </si>
  <si>
    <t>128,235.00</t>
  </si>
  <si>
    <t>1,730,000.00</t>
  </si>
  <si>
    <t>2,297,908.23</t>
  </si>
  <si>
    <t>7,001,500.00</t>
  </si>
  <si>
    <t>1,834,570.00</t>
  </si>
  <si>
    <t>3,008,000.00</t>
  </si>
  <si>
    <t>255,280.00</t>
  </si>
  <si>
    <t>964,775.00</t>
  </si>
  <si>
    <t>4,243,896.00</t>
  </si>
  <si>
    <t>3,919,997.20</t>
  </si>
  <si>
    <t>4,918,543.01</t>
  </si>
  <si>
    <t>3,067,500.00</t>
  </si>
  <si>
    <t>322,850.00</t>
  </si>
  <si>
    <t>2,999,998.30</t>
  </si>
  <si>
    <t>1,475,774.96</t>
  </si>
  <si>
    <t>787,500.50</t>
  </si>
  <si>
    <t>786,500.00</t>
  </si>
  <si>
    <t>5,298,316.00</t>
  </si>
  <si>
    <t>3,498,832.00</t>
  </si>
  <si>
    <t>2,412,700.00</t>
  </si>
  <si>
    <t>5,428,800.00</t>
  </si>
  <si>
    <t>1,999,898.15</t>
  </si>
  <si>
    <t>1,571,981.00</t>
  </si>
  <si>
    <t>232,000.00</t>
  </si>
  <si>
    <t>11,939,999.10</t>
  </si>
  <si>
    <t>76,875.00</t>
  </si>
  <si>
    <t>1,146,620.00</t>
  </si>
  <si>
    <t>501,119.16</t>
  </si>
  <si>
    <t>1,941,293.00</t>
  </si>
  <si>
    <t>1,035,000.00</t>
  </si>
  <si>
    <t>1,489,429.78</t>
  </si>
  <si>
    <t>657,018.63</t>
  </si>
  <si>
    <t>656,735.00</t>
  </si>
  <si>
    <t>1,703,120.00</t>
  </si>
  <si>
    <t>6,226,500.00</t>
  </si>
  <si>
    <t>251,931.00</t>
  </si>
  <si>
    <t>169,766,454.48</t>
  </si>
  <si>
    <t>8,311,100.00</t>
  </si>
  <si>
    <t>3,207,000.00</t>
  </si>
  <si>
    <t>18,453,380.00</t>
  </si>
  <si>
    <t>2,285,948.15</t>
  </si>
  <si>
    <t>2,999,981.25</t>
  </si>
  <si>
    <t>253,458.00</t>
  </si>
  <si>
    <t>46,350,000.00</t>
  </si>
  <si>
    <t>1,836,196.10</t>
  </si>
  <si>
    <t>9,467,921.00</t>
  </si>
  <si>
    <t>211,945.77</t>
  </si>
  <si>
    <t>1,956,035.00</t>
  </si>
  <si>
    <t>6,255,165.71</t>
  </si>
  <si>
    <t>1,094,201.17</t>
  </si>
  <si>
    <t>2,737,600.00</t>
  </si>
  <si>
    <t>73,850.00</t>
  </si>
  <si>
    <t>1,892,959.26</t>
  </si>
  <si>
    <t>1,471,570.82</t>
  </si>
  <si>
    <t>9,762,620.12</t>
  </si>
  <si>
    <t>2,041,791.45</t>
  </si>
  <si>
    <t>1,629,023.54</t>
  </si>
  <si>
    <t>1,659,231.62</t>
  </si>
  <si>
    <t>82,500,000.00</t>
  </si>
  <si>
    <t>2,464,246.00</t>
  </si>
  <si>
    <t>2,275,574.22</t>
  </si>
  <si>
    <t>10,274,000.00</t>
  </si>
  <si>
    <t>7,240,000.00</t>
  </si>
  <si>
    <t>1,692,439.03</t>
  </si>
  <si>
    <t>1,515,404.32</t>
  </si>
  <si>
    <t>10,867,184.00</t>
  </si>
  <si>
    <t>49,208,500.00</t>
  </si>
  <si>
    <t>15,840,000.00</t>
  </si>
  <si>
    <t>388,945.00</t>
  </si>
  <si>
    <t>5,064,000.00</t>
  </si>
  <si>
    <t>1,937,999.99</t>
  </si>
  <si>
    <t>10,200,000.00</t>
  </si>
  <si>
    <t>1,095,395.00</t>
  </si>
  <si>
    <t>5,372,902.00</t>
  </si>
  <si>
    <t>14,074,906.68</t>
  </si>
  <si>
    <t>6,861,517.18</t>
  </si>
  <si>
    <t>9,946,500.00</t>
  </si>
  <si>
    <t>9,995,800.00</t>
  </si>
  <si>
    <t>2,791,000.00</t>
  </si>
  <si>
    <t>4,361,054.00</t>
  </si>
  <si>
    <t>999,705.39</t>
  </si>
  <si>
    <t>1,275,000.00</t>
  </si>
  <si>
    <t>33,616,000.00</t>
  </si>
  <si>
    <t>11,939,719.00</t>
  </si>
  <si>
    <t>1,448,038.44</t>
  </si>
  <si>
    <t>4,881,000.00</t>
  </si>
  <si>
    <t>1,499,500.00</t>
  </si>
  <si>
    <t>4,999,754.81</t>
  </si>
  <si>
    <t>9,124,865.00</t>
  </si>
  <si>
    <t>1,999,989.00</t>
  </si>
  <si>
    <t>1,848,100.00</t>
  </si>
  <si>
    <t>2,745,000.00</t>
  </si>
  <si>
    <t>3,399,636.00</t>
  </si>
  <si>
    <t>1,128,618.00</t>
  </si>
  <si>
    <t>1,592,000.00</t>
  </si>
  <si>
    <t>12,577,000.00</t>
  </si>
  <si>
    <t>2,342,215.00</t>
  </si>
  <si>
    <t>1,172,933.20</t>
  </si>
  <si>
    <t>4,999,674.75</t>
  </si>
  <si>
    <t>2,245,000.00</t>
  </si>
  <si>
    <t>799,986.29</t>
  </si>
  <si>
    <t>1,661,065.00</t>
  </si>
  <si>
    <t>1,999,922.00</t>
  </si>
  <si>
    <t>999,949.00</t>
  </si>
  <si>
    <t>2,897,996.25</t>
  </si>
  <si>
    <t>749,977.00</t>
  </si>
  <si>
    <t>1,699,347.45</t>
  </si>
  <si>
    <t>3,498,241.00</t>
  </si>
  <si>
    <t>13,007,900.00</t>
  </si>
  <si>
    <t>1,683,436.00</t>
  </si>
  <si>
    <t>2,816,000.00</t>
  </si>
  <si>
    <t>1,902,487.00</t>
  </si>
  <si>
    <t>2,999,578.71</t>
  </si>
  <si>
    <t>1,999,932.75</t>
  </si>
  <si>
    <t>24,285,471.00</t>
  </si>
  <si>
    <t>4,999,803.38</t>
  </si>
  <si>
    <t>8,272,540.00</t>
  </si>
  <si>
    <t>4,367,389.00</t>
  </si>
  <si>
    <t>9,144,738.00</t>
  </si>
  <si>
    <t>9,160,508.00</t>
  </si>
  <si>
    <t>1,999,973.59</t>
  </si>
  <si>
    <t>805,634.93</t>
  </si>
  <si>
    <t>301,194.30</t>
  </si>
  <si>
    <t>4,044,705.60</t>
  </si>
  <si>
    <t>599,995.49</t>
  </si>
  <si>
    <t>3,464,556.99</t>
  </si>
  <si>
    <t>24,010,000.00</t>
  </si>
  <si>
    <t>1,954,943.00</t>
  </si>
  <si>
    <t>399,993.71</t>
  </si>
  <si>
    <t>24,874,778.52</t>
  </si>
  <si>
    <t>11,939,737.95</t>
  </si>
  <si>
    <t>11,939,664.52</t>
  </si>
  <si>
    <t>29,711,256.07</t>
  </si>
  <si>
    <t>37,344,165.02</t>
  </si>
  <si>
    <t>29,666,579.79</t>
  </si>
  <si>
    <t>29,940,624.33</t>
  </si>
  <si>
    <t>33,007,244.91</t>
  </si>
  <si>
    <t>1,599,021.00</t>
  </si>
  <si>
    <t>34,257,740.51</t>
  </si>
  <si>
    <t>6,008,971.91</t>
  </si>
  <si>
    <t>419,900.00</t>
  </si>
  <si>
    <t>3,080,000.00</t>
  </si>
  <si>
    <t>22,234,928.84</t>
  </si>
  <si>
    <t>2,121,609.00</t>
  </si>
  <si>
    <t>264,800.00</t>
  </si>
  <si>
    <t>2,979,496.80</t>
  </si>
  <si>
    <t>1,080,240.00</t>
  </si>
  <si>
    <t>1,613,850.00</t>
  </si>
  <si>
    <t>1,999,726.30</t>
  </si>
  <si>
    <t>96,540.00</t>
  </si>
  <si>
    <t>1,490,759.00</t>
  </si>
  <si>
    <t>26,153,803.00</t>
  </si>
  <si>
    <t>26,000,000.00</t>
  </si>
  <si>
    <t>25,827,598.00</t>
  </si>
  <si>
    <t>1,460,000.00</t>
  </si>
  <si>
    <t>1,528,305.00</t>
  </si>
  <si>
    <t>2,856,920.00</t>
  </si>
  <si>
    <t>118,759,437.57</t>
  </si>
  <si>
    <t>2,558,000.00</t>
  </si>
  <si>
    <t>374,000.00</t>
  </si>
  <si>
    <t>949,080.00</t>
  </si>
  <si>
    <t>999,951.09</t>
  </si>
  <si>
    <t>1,894,050.00</t>
  </si>
  <si>
    <t>694,135.00</t>
  </si>
  <si>
    <t>3,939,500.00</t>
  </si>
  <si>
    <t>9,460,000.00</t>
  </si>
  <si>
    <t>2,825,383.69</t>
  </si>
  <si>
    <t>21,999,996.92</t>
  </si>
  <si>
    <t>9,999,998.64</t>
  </si>
  <si>
    <t>6,727,000.00</t>
  </si>
  <si>
    <t>1,947,330.00</t>
  </si>
  <si>
    <t>843,099.04</t>
  </si>
  <si>
    <t>144,040,594.88</t>
  </si>
  <si>
    <t>147,461.40</t>
  </si>
  <si>
    <t>511,757.80</t>
  </si>
  <si>
    <t>13,264,730.68</t>
  </si>
  <si>
    <t>137,300.00</t>
  </si>
  <si>
    <t>2,562,500.00</t>
  </si>
  <si>
    <t>860,990.00</t>
  </si>
  <si>
    <t>2,248,500.00</t>
  </si>
  <si>
    <t>999,976.00</t>
  </si>
  <si>
    <t>1,517,485.10</t>
  </si>
  <si>
    <t>11,365,078.85</t>
  </si>
  <si>
    <t>359,990.00</t>
  </si>
  <si>
    <t>49,959,413.89</t>
  </si>
  <si>
    <t>1,202.00</t>
  </si>
  <si>
    <t>119,448.50</t>
  </si>
  <si>
    <t>754,216.00</t>
  </si>
  <si>
    <t>296,864.68</t>
  </si>
  <si>
    <t>9,581,336.00</t>
  </si>
  <si>
    <t>298,690.00</t>
  </si>
  <si>
    <t>5,122,236.32</t>
  </si>
  <si>
    <t>107,800,000.00</t>
  </si>
  <si>
    <t>7,938,000.00</t>
  </si>
  <si>
    <t>1,911,532.80</t>
  </si>
  <si>
    <t>4,086,391.86</t>
  </si>
  <si>
    <t>4,400,000.00</t>
  </si>
  <si>
    <t>5,543,100.00</t>
  </si>
  <si>
    <t>2,164,000.00</t>
  </si>
  <si>
    <t>746,932.89</t>
  </si>
  <si>
    <t>6,335,000.00</t>
  </si>
  <si>
    <t>2,376,432.00</t>
  </si>
  <si>
    <t>1,267,570.00</t>
  </si>
  <si>
    <t>1,992,226.17</t>
  </si>
  <si>
    <t>8,050,000.00</t>
  </si>
  <si>
    <t>2,158,000.00</t>
  </si>
  <si>
    <t>2,708,480.00</t>
  </si>
  <si>
    <t>2,504,000.00</t>
  </si>
  <si>
    <t>1,214,592.00</t>
  </si>
  <si>
    <t>9,874,292.00</t>
  </si>
  <si>
    <t>981,191.52</t>
  </si>
  <si>
    <t>1,205,000.00</t>
  </si>
  <si>
    <t>5,463,741.90</t>
  </si>
  <si>
    <t>55,394.06</t>
  </si>
  <si>
    <t>9,084,587.61</t>
  </si>
  <si>
    <t>2,709,158.70</t>
  </si>
  <si>
    <t>119,339.78</t>
  </si>
  <si>
    <t>3,030,000.00</t>
  </si>
  <si>
    <t>996,764.94</t>
  </si>
  <si>
    <t>21,406,733.83</t>
  </si>
  <si>
    <t>1,629,206.36</t>
  </si>
  <si>
    <t>3,219,539.68</t>
  </si>
  <si>
    <t>806,065.44</t>
  </si>
  <si>
    <t>14,500,000.00</t>
  </si>
  <si>
    <t>56,500,000.00</t>
  </si>
  <si>
    <t>49,748,520.50</t>
  </si>
  <si>
    <t>184,000,000.00</t>
  </si>
  <si>
    <t>3,034,000.00</t>
  </si>
  <si>
    <t>1,162,975.00</t>
  </si>
  <si>
    <t>4,980,000.00</t>
  </si>
  <si>
    <t>1,993,383.76</t>
  </si>
  <si>
    <t>564,650.00</t>
  </si>
  <si>
    <t>15,914,292.30</t>
  </si>
  <si>
    <t>879,922.00</t>
  </si>
  <si>
    <t>7,022,679.51</t>
  </si>
  <si>
    <t>14,999,996.21</t>
  </si>
  <si>
    <t>699,992.00</t>
  </si>
  <si>
    <t>2,142,000.00</t>
  </si>
  <si>
    <t>21,142,276.47</t>
  </si>
  <si>
    <t>294,695,846.60</t>
  </si>
  <si>
    <t>2,945,045.89</t>
  </si>
  <si>
    <t>1,072,150.50</t>
  </si>
  <si>
    <t>1,979,933.79</t>
  </si>
  <si>
    <t>1,439,305.40</t>
  </si>
  <si>
    <t>12,286,029.00</t>
  </si>
  <si>
    <t>151,600.00</t>
  </si>
  <si>
    <t>4,834,939.00</t>
  </si>
  <si>
    <t>568,300.00</t>
  </si>
  <si>
    <t>6,187,500.00</t>
  </si>
  <si>
    <t>3,647,420.00</t>
  </si>
  <si>
    <t>1,670,257.50</t>
  </si>
  <si>
    <t>11,334,500.00</t>
  </si>
  <si>
    <t>3,989,950.43</t>
  </si>
  <si>
    <t>1,975,000.00</t>
  </si>
  <si>
    <t>766,315.91</t>
  </si>
  <si>
    <t>2,340,500.00</t>
  </si>
  <si>
    <t>4,527,811.20</t>
  </si>
  <si>
    <t>2,012,000.00</t>
  </si>
  <si>
    <t>1,207,830.00</t>
  </si>
  <si>
    <t>1,401,421.88</t>
  </si>
  <si>
    <t>2,624,700.00</t>
  </si>
  <si>
    <t>14,849,999.20</t>
  </si>
  <si>
    <t>4,374,167.19</t>
  </si>
  <si>
    <t>2,041,960.00</t>
  </si>
  <si>
    <t>2,424,840.00</t>
  </si>
  <si>
    <t>1,330,000.00</t>
  </si>
  <si>
    <t>3,113,414.37</t>
  </si>
  <si>
    <t>1,298,172.82</t>
  </si>
  <si>
    <t>2,498,968.55</t>
  </si>
  <si>
    <t>3,274,481.00</t>
  </si>
  <si>
    <t>11,517,238.00</t>
  </si>
  <si>
    <t>10,857,146.00</t>
  </si>
  <si>
    <t>1,493,425.00</t>
  </si>
  <si>
    <t>1,396,345.00</t>
  </si>
  <si>
    <t>688,927.06</t>
  </si>
  <si>
    <t>8,960.00</t>
  </si>
  <si>
    <t>10,349,412.00</t>
  </si>
  <si>
    <t>1,296,900.00</t>
  </si>
  <si>
    <t>4,499,998.64</t>
  </si>
  <si>
    <t>1,441,500.00</t>
  </si>
  <si>
    <t>1,444,228.09</t>
  </si>
  <si>
    <t>1,586,186.78</t>
  </si>
  <si>
    <t>1,394,682.14</t>
  </si>
  <si>
    <t>893,808.95</t>
  </si>
  <si>
    <t>1,992,119.67</t>
  </si>
  <si>
    <t>16,913,371.44</t>
  </si>
  <si>
    <t>2,295,189.00</t>
  </si>
  <si>
    <t>2,659,500.00</t>
  </si>
  <si>
    <t>3,335,553.50</t>
  </si>
  <si>
    <t>2,497,407.01</t>
  </si>
  <si>
    <t>3,987,213.40</t>
  </si>
  <si>
    <t>790,000.00</t>
  </si>
  <si>
    <t>244,350.00</t>
  </si>
  <si>
    <t>2,571,950.00</t>
  </si>
  <si>
    <t>3,035,000.00</t>
  </si>
  <si>
    <t>24,271,844.66</t>
  </si>
  <si>
    <t>9,900,954.74</t>
  </si>
  <si>
    <t>14,849,996.67</t>
  </si>
  <si>
    <t>1,473,530.00</t>
  </si>
  <si>
    <t>1,595,798.00</t>
  </si>
  <si>
    <t>2,014,648.00</t>
  </si>
  <si>
    <t>759,600.00</t>
  </si>
  <si>
    <t>1,428,263.51</t>
  </si>
  <si>
    <t>809,306.17</t>
  </si>
  <si>
    <t>14,699,948.34</t>
  </si>
  <si>
    <t>8,100,000.00</t>
  </si>
  <si>
    <t>5,934,593.33</t>
  </si>
  <si>
    <t>11,200,000.00</t>
  </si>
  <si>
    <t>382,188,598.99</t>
  </si>
  <si>
    <t>968,400.00</t>
  </si>
  <si>
    <t>1,763,272.00</t>
  </si>
  <si>
    <t>1,006,000.00</t>
  </si>
  <si>
    <t>2,107,000.00</t>
  </si>
  <si>
    <t>505,630.00</t>
  </si>
  <si>
    <t>4,979,000.00</t>
  </si>
  <si>
    <t>6,850,000.00</t>
  </si>
  <si>
    <t>1,147,356.00</t>
  </si>
  <si>
    <t>1,658,802.91</t>
  </si>
  <si>
    <t>9,392,892.00</t>
  </si>
  <si>
    <t>4,350,000.00</t>
  </si>
  <si>
    <t>3,478,134.00</t>
  </si>
  <si>
    <t>1,134,060.00</t>
  </si>
  <si>
    <t>28,140,000.00</t>
  </si>
  <si>
    <t>1,639,440.50</t>
  </si>
  <si>
    <t>9,916,800.00</t>
  </si>
  <si>
    <t>33,564,466.08</t>
  </si>
  <si>
    <t>496,500.00</t>
  </si>
  <si>
    <t>4,634,000.00</t>
  </si>
  <si>
    <t>1,107,600.00</t>
  </si>
  <si>
    <t>4,075,641.00</t>
  </si>
  <si>
    <t>2,663,955.00</t>
  </si>
  <si>
    <t>359,998.00</t>
  </si>
  <si>
    <t>848,705.60</t>
  </si>
  <si>
    <t>360,040.21</t>
  </si>
  <si>
    <t>249,985,261.00</t>
  </si>
  <si>
    <t>50,295,931.43</t>
  </si>
  <si>
    <t>140,000,000.00</t>
  </si>
  <si>
    <t>2,276,780.00</t>
  </si>
  <si>
    <t>1,543,050.00</t>
  </si>
  <si>
    <t>133,426.50</t>
  </si>
  <si>
    <t>1,004,000.00</t>
  </si>
  <si>
    <t>999,999.15</t>
  </si>
  <si>
    <t>8,568,000.00</t>
  </si>
  <si>
    <t>893,000.00</t>
  </si>
  <si>
    <t>4,150,725.00</t>
  </si>
  <si>
    <t>21,824,853.00</t>
  </si>
  <si>
    <t>1,748,088.00</t>
  </si>
  <si>
    <t>9,759,123.74</t>
  </si>
  <si>
    <t>2,110,000.00</t>
  </si>
  <si>
    <t>1,940,000.00</t>
  </si>
  <si>
    <t>10,520,000.00</t>
  </si>
  <si>
    <t>23,839,876.00</t>
  </si>
  <si>
    <t>5,256,000.00</t>
  </si>
  <si>
    <t>112,100.00</t>
  </si>
  <si>
    <t>418,000.00</t>
  </si>
  <si>
    <t>907,000.00</t>
  </si>
  <si>
    <t>931,000.00</t>
  </si>
  <si>
    <t>1,093,684.00</t>
  </si>
  <si>
    <t>1,118,704.62</t>
  </si>
  <si>
    <t>326,000.00</t>
  </si>
  <si>
    <t>901,000.00</t>
  </si>
  <si>
    <t>979,500.00</t>
  </si>
  <si>
    <t>1,622,590.00</t>
  </si>
  <si>
    <t>5,278,000.00</t>
  </si>
  <si>
    <t>4,997,378.79</t>
  </si>
  <si>
    <t>372,976.81</t>
  </si>
  <si>
    <t>1,247,617.91</t>
  </si>
  <si>
    <t>422,000.00</t>
  </si>
  <si>
    <t>440,026.00</t>
  </si>
  <si>
    <t>1,856,614.17</t>
  </si>
  <si>
    <t>1,321,518.75</t>
  </si>
  <si>
    <t>949,850.00</t>
  </si>
  <si>
    <t>2,383,677.00</t>
  </si>
  <si>
    <t>638,596.00</t>
  </si>
  <si>
    <t>7,573,591.00</t>
  </si>
  <si>
    <t>3,904,104.00</t>
  </si>
  <si>
    <t>4,375,770.00</t>
  </si>
  <si>
    <t>925,746.08</t>
  </si>
  <si>
    <t>1,485,176.16</t>
  </si>
  <si>
    <t>1,703,776.68</t>
  </si>
  <si>
    <t>1,048,972.50</t>
  </si>
  <si>
    <t>259,184.01</t>
  </si>
  <si>
    <t>95,819.00</t>
  </si>
  <si>
    <t>1,920,679.59</t>
  </si>
  <si>
    <t>1,087,000.00</t>
  </si>
  <si>
    <t>1,265,000.00</t>
  </si>
  <si>
    <t>329,019.37</t>
  </si>
  <si>
    <t>2,527,470.47</t>
  </si>
  <si>
    <t>441,400.00</t>
  </si>
  <si>
    <t>13,930,000.00</t>
  </si>
  <si>
    <t>4,467,185.45</t>
  </si>
  <si>
    <t>219,628.09</t>
  </si>
  <si>
    <t>4,971,000.00</t>
  </si>
  <si>
    <t>786,100.00</t>
  </si>
  <si>
    <t>2,236,882.62</t>
  </si>
  <si>
    <t>790,705.00</t>
  </si>
  <si>
    <t>497,618.25</t>
  </si>
  <si>
    <t>198,360.00</t>
  </si>
  <si>
    <t>3,153,932.00</t>
  </si>
  <si>
    <t>1,199,520.00</t>
  </si>
  <si>
    <t>5,302,721.65</t>
  </si>
  <si>
    <t>496,530.71</t>
  </si>
  <si>
    <t>4,809,437.18</t>
  </si>
  <si>
    <t>20,634,025.00</t>
  </si>
  <si>
    <t>1,148,526.20</t>
  </si>
  <si>
    <t>2,069,739.86</t>
  </si>
  <si>
    <t>299,803.05</t>
  </si>
  <si>
    <t>23,880,000.00</t>
  </si>
  <si>
    <t>91,470.00</t>
  </si>
  <si>
    <t>4,945,349.68</t>
  </si>
  <si>
    <t>1,491,259.55</t>
  </si>
  <si>
    <t>330,750.00</t>
  </si>
  <si>
    <t>427,500.00</t>
  </si>
  <si>
    <t>955,727.36</t>
  </si>
  <si>
    <t>998,274.20</t>
  </si>
  <si>
    <t>776,100.00</t>
  </si>
  <si>
    <t>359,650.00</t>
  </si>
  <si>
    <t>122,875.00</t>
  </si>
  <si>
    <t>2,832,000.00</t>
  </si>
  <si>
    <t>4,408,809.77</t>
  </si>
  <si>
    <t>4,947,546.28</t>
  </si>
  <si>
    <t>966,722.85</t>
  </si>
  <si>
    <t>529,777.80</t>
  </si>
  <si>
    <t>55,167,740.36</t>
  </si>
  <si>
    <t>16,300,949.04</t>
  </si>
  <si>
    <t>1,176,000.00</t>
  </si>
  <si>
    <t>1,585,920.00</t>
  </si>
  <si>
    <t>2,247,051.00</t>
  </si>
  <si>
    <t>599,914.29</t>
  </si>
  <si>
    <t>595,880.00</t>
  </si>
  <si>
    <t>1,074,839.97</t>
  </si>
  <si>
    <t>1,633,511.66</t>
  </si>
  <si>
    <t>1,926,279.91</t>
  </si>
  <si>
    <t>198,300.00</t>
  </si>
  <si>
    <t>2,685,222.84</t>
  </si>
  <si>
    <t>70,225,000.00</t>
  </si>
  <si>
    <t>1,475,000.00</t>
  </si>
  <si>
    <t>1,893,779.67</t>
  </si>
  <si>
    <t>1,913,281.00</t>
  </si>
  <si>
    <t>9,997,200.00</t>
  </si>
  <si>
    <t>945,400.00</t>
  </si>
  <si>
    <t>1,290,000.00</t>
  </si>
  <si>
    <t>9,510,000.00</t>
  </si>
  <si>
    <t>5,930,560.00</t>
  </si>
  <si>
    <t>283,314.00</t>
  </si>
  <si>
    <t>1,385,746.85</t>
  </si>
  <si>
    <t>1,324,920.00</t>
  </si>
  <si>
    <t>668,051.40</t>
  </si>
  <si>
    <t>12,500,000.00</t>
  </si>
  <si>
    <t>9,999,978.98</t>
  </si>
  <si>
    <t>249,740.00</t>
  </si>
  <si>
    <t>1,766,064.60</t>
  </si>
  <si>
    <t>1,703,917,375.78</t>
  </si>
  <si>
    <t>368,209.00</t>
  </si>
  <si>
    <t>671,343,892.41</t>
  </si>
  <si>
    <t>6,933,807.50</t>
  </si>
  <si>
    <t>299,965.37</t>
  </si>
  <si>
    <t>9,228,347.48</t>
  </si>
  <si>
    <t>183,533.96</t>
  </si>
  <si>
    <t>1,061,490.00</t>
  </si>
  <si>
    <t>448,403.10</t>
  </si>
  <si>
    <t>6,998,520.30</t>
  </si>
  <si>
    <t>1,999,955.75</t>
  </si>
  <si>
    <t>1,996,166.58</t>
  </si>
  <si>
    <t>2,064,000.00</t>
  </si>
  <si>
    <t>8,911,401.90</t>
  </si>
  <si>
    <t>24,177,059.50</t>
  </si>
  <si>
    <t>734,136.84</t>
  </si>
  <si>
    <t>25,753,791.70</t>
  </si>
  <si>
    <t>542,640.00</t>
  </si>
  <si>
    <t>10,254,000.00</t>
  </si>
  <si>
    <t>2,057,800.00</t>
  </si>
  <si>
    <t>93,969,875.00</t>
  </si>
  <si>
    <t>2,520,477.73</t>
  </si>
  <si>
    <t>3,678,097.50</t>
  </si>
  <si>
    <t>8,976,830.00</t>
  </si>
  <si>
    <t>2,982,000.00</t>
  </si>
  <si>
    <t>917,530.00</t>
  </si>
  <si>
    <t>1,890,900.00</t>
  </si>
  <si>
    <t>1,565,000.00</t>
  </si>
  <si>
    <t>1,999,999.52</t>
  </si>
  <si>
    <t>9,457,146.69</t>
  </si>
  <si>
    <t>14,956,500.00</t>
  </si>
  <si>
    <t>79,500.00</t>
  </si>
  <si>
    <t>15,551,286.92</t>
  </si>
  <si>
    <t>28,880,600.00</t>
  </si>
  <si>
    <t>19,799,815.98</t>
  </si>
  <si>
    <t>955,920.79</t>
  </si>
  <si>
    <t>48,999,974.55</t>
  </si>
  <si>
    <t>9,799,746.52</t>
  </si>
  <si>
    <t>998,550.00</t>
  </si>
  <si>
    <t>321,030.00</t>
  </si>
  <si>
    <t>2,287,031.00</t>
  </si>
  <si>
    <t>4,113,998.44</t>
  </si>
  <si>
    <t>1,980,180.00</t>
  </si>
  <si>
    <t>5,950,000.00</t>
  </si>
  <si>
    <t>6,603,450.00</t>
  </si>
  <si>
    <t>994,297.50</t>
  </si>
  <si>
    <t>3,662,500.00</t>
  </si>
  <si>
    <t>3,796,110.65</t>
  </si>
  <si>
    <t>53,199,485.00</t>
  </si>
  <si>
    <t>99,999,999.45</t>
  </si>
  <si>
    <t>3,032,215.00</t>
  </si>
  <si>
    <t>262,819.00</t>
  </si>
  <si>
    <t>181,280.00</t>
  </si>
  <si>
    <t>996,712.50</t>
  </si>
  <si>
    <t>13,999,999.50</t>
  </si>
  <si>
    <t>2,483,540.75</t>
  </si>
  <si>
    <t>1,727,522.54</t>
  </si>
  <si>
    <t>995,887.20</t>
  </si>
  <si>
    <t>444,311.00</t>
  </si>
  <si>
    <t>652,600.00</t>
  </si>
  <si>
    <t>24,875,000.00</t>
  </si>
  <si>
    <t>9,998,598.74</t>
  </si>
  <si>
    <t>16,242,753.90</t>
  </si>
  <si>
    <t>208,000.00</t>
  </si>
  <si>
    <t>4,921,084.95</t>
  </si>
  <si>
    <t>2,920,000.00</t>
  </si>
  <si>
    <t>145,435.00</t>
  </si>
  <si>
    <t>960,750.00</t>
  </si>
  <si>
    <t>311,825.00</t>
  </si>
  <si>
    <t>10,050,000.00</t>
  </si>
  <si>
    <t>5,873,734.99</t>
  </si>
  <si>
    <t>5,383,000.00</t>
  </si>
  <si>
    <t>135,100,000.00</t>
  </si>
  <si>
    <t>4,206,894.00</t>
  </si>
  <si>
    <t>905,484.23</t>
  </si>
  <si>
    <t>170,692.00</t>
  </si>
  <si>
    <t>4,999,987.23</t>
  </si>
  <si>
    <t>250,275.00</t>
  </si>
  <si>
    <t>1,959,853.18</t>
  </si>
  <si>
    <t>1,597,391.75</t>
  </si>
  <si>
    <t>1,495,586.56</t>
  </si>
  <si>
    <t>49,499,818.16</t>
  </si>
  <si>
    <t>18,309,589.20</t>
  </si>
  <si>
    <t>1,385,838.00</t>
  </si>
  <si>
    <t>1,592,600.00</t>
  </si>
  <si>
    <t>1,897,161.40</t>
  </si>
  <si>
    <t>14,999,985.16</t>
  </si>
  <si>
    <t>14,980,000.00</t>
  </si>
  <si>
    <t>329,475.00</t>
  </si>
  <si>
    <t>542,465.00</t>
  </si>
  <si>
    <t>997,753.00</t>
  </si>
  <si>
    <t>4,731,375.00</t>
  </si>
  <si>
    <t>1,308,728.00</t>
  </si>
  <si>
    <t>1,996,500.00</t>
  </si>
  <si>
    <t>13,900,000.00</t>
  </si>
  <si>
    <t>542,054.90</t>
  </si>
  <si>
    <t>598,825.00</t>
  </si>
  <si>
    <t>2,430,820.00</t>
  </si>
  <si>
    <t>1,990,063.00</t>
  </si>
  <si>
    <t>204,382.27</t>
  </si>
  <si>
    <t>6,469,368.26</t>
  </si>
  <si>
    <t>1,812,556.22</t>
  </si>
  <si>
    <t>2,046,000.00</t>
  </si>
  <si>
    <t>151,200.00</t>
  </si>
  <si>
    <t>415,282.00</t>
  </si>
  <si>
    <t>4,989,825.77</t>
  </si>
  <si>
    <t>1,648,000.00</t>
  </si>
  <si>
    <t>1,440,000.00</t>
  </si>
  <si>
    <t>11,437,500.00</t>
  </si>
  <si>
    <t>822,500.00</t>
  </si>
  <si>
    <t>4,158,874.48</t>
  </si>
  <si>
    <t>1,324,200.00</t>
  </si>
  <si>
    <t>621,000.00</t>
  </si>
  <si>
    <t>16,989,934.98</t>
  </si>
  <si>
    <t>2,395,999.15</t>
  </si>
  <si>
    <t>129,180.00</t>
  </si>
  <si>
    <t>9,989,890.60</t>
  </si>
  <si>
    <t>766,310.00</t>
  </si>
  <si>
    <t>16,743,873.31</t>
  </si>
  <si>
    <t>22,498,957.56</t>
  </si>
  <si>
    <t>14,989,946.30</t>
  </si>
  <si>
    <t>1,272,160.00</t>
  </si>
  <si>
    <t>1,662,359.24</t>
  </si>
  <si>
    <t>4,989,680.44</t>
  </si>
  <si>
    <t>3,934,975.95</t>
  </si>
  <si>
    <t>474,293.09</t>
  </si>
  <si>
    <t>4,534,054.89</t>
  </si>
  <si>
    <t>902,965.10</t>
  </si>
  <si>
    <t>2,697,256.47</t>
  </si>
  <si>
    <t>1,318,234.84</t>
  </si>
  <si>
    <t>915,887.05</t>
  </si>
  <si>
    <t>4,906,162.74</t>
  </si>
  <si>
    <t>4,590,000.00</t>
  </si>
  <si>
    <t>19,989,750.56</t>
  </si>
  <si>
    <t>1,294,872.00</t>
  </si>
  <si>
    <t>1,063,000.00</t>
  </si>
  <si>
    <t>4,376,000.00</t>
  </si>
  <si>
    <t>255,970.00</t>
  </si>
  <si>
    <t>5,485,000.00</t>
  </si>
  <si>
    <t>1,983,414.65</t>
  </si>
  <si>
    <t>16,723,101.12</t>
  </si>
  <si>
    <t>12,852,675.00</t>
  </si>
  <si>
    <t>9,527,485.00</t>
  </si>
  <si>
    <t>1,895,795.24</t>
  </si>
  <si>
    <t>14,732,878.71</t>
  </si>
  <si>
    <t>89,099,998.35</t>
  </si>
  <si>
    <t>5,317,000.00</t>
  </si>
  <si>
    <t>2,627,000.00</t>
  </si>
  <si>
    <t>2,785,200.00</t>
  </si>
  <si>
    <t>1,224,279.35</t>
  </si>
  <si>
    <t>980,960.00</t>
  </si>
  <si>
    <t>1,824,135.61</t>
  </si>
  <si>
    <t>154,325.00</t>
  </si>
  <si>
    <t>3,423,000.00</t>
  </si>
  <si>
    <t>1,540,250.00</t>
  </si>
  <si>
    <t>3,540,000.00</t>
  </si>
  <si>
    <t>91,859.00</t>
  </si>
  <si>
    <t>1,345,754.00</t>
  </si>
  <si>
    <t>2,995,439.87</t>
  </si>
  <si>
    <t>7,702,000.00</t>
  </si>
  <si>
    <t>1,936,238.00</t>
  </si>
  <si>
    <t>999,962.58</t>
  </si>
  <si>
    <t>1,160,340.00</t>
  </si>
  <si>
    <t>14,981,717.00</t>
  </si>
  <si>
    <t>1,156,000.00</t>
  </si>
  <si>
    <t>538,600.00</t>
  </si>
  <si>
    <t>1,191,424.90</t>
  </si>
  <si>
    <t>6,717,365.00</t>
  </si>
  <si>
    <t>20,080,000.00</t>
  </si>
  <si>
    <t>26,765,742.16</t>
  </si>
  <si>
    <t>1,724,580.00</t>
  </si>
  <si>
    <t>13,887,088.64</t>
  </si>
  <si>
    <t>320,400.00</t>
  </si>
  <si>
    <t>27,000,000.00</t>
  </si>
  <si>
    <t>29,399,968.24</t>
  </si>
  <si>
    <t>999,995.46</t>
  </si>
  <si>
    <t>29,399,766.34</t>
  </si>
  <si>
    <t>167,020,644.66</t>
  </si>
  <si>
    <t>9,224,436.35</t>
  </si>
  <si>
    <t>391,032.94</t>
  </si>
  <si>
    <t>3,489,730.91</t>
  </si>
  <si>
    <t>9,281,940.20</t>
  </si>
  <si>
    <t>27,355,000.00</t>
  </si>
  <si>
    <t>26,200,000.00</t>
  </si>
  <si>
    <t>3,567,000.00</t>
  </si>
  <si>
    <t>2,284,143.67</t>
  </si>
  <si>
    <t>10,159,540,045.42</t>
  </si>
  <si>
    <t>216,075.00</t>
  </si>
  <si>
    <t>1,084,000.00</t>
  </si>
  <si>
    <t>397,983.00</t>
  </si>
  <si>
    <t>902,018.45</t>
  </si>
  <si>
    <t>914,730.45</t>
  </si>
  <si>
    <t>920,783.00</t>
  </si>
  <si>
    <t>2,084,918.90</t>
  </si>
  <si>
    <t>875,050.00</t>
  </si>
  <si>
    <t>998,939.65</t>
  </si>
  <si>
    <t>4,696,400.00</t>
  </si>
  <si>
    <t>90,950.00</t>
  </si>
  <si>
    <t>12,034,400.00</t>
  </si>
  <si>
    <t>16,258,200.00</t>
  </si>
  <si>
    <t>27,165,600.00</t>
  </si>
  <si>
    <t>155,766.00</t>
  </si>
  <si>
    <t>829,533.00</t>
  </si>
  <si>
    <t>124,660.00</t>
  </si>
  <si>
    <t>122,850.00</t>
  </si>
  <si>
    <t>921,055.00</t>
  </si>
  <si>
    <t>1,722,000.00</t>
  </si>
  <si>
    <t>242,620.00</t>
  </si>
  <si>
    <t>286,500.00</t>
  </si>
  <si>
    <t>863,434.90</t>
  </si>
  <si>
    <t>197,511,504.19</t>
  </si>
  <si>
    <t>146,387,950.64</t>
  </si>
  <si>
    <t>234,382,490.99</t>
  </si>
  <si>
    <t>5,938,259.14</t>
  </si>
  <si>
    <t>257,398,924.59</t>
  </si>
  <si>
    <t>159,400.00</t>
  </si>
  <si>
    <t>362,595.00</t>
  </si>
  <si>
    <t>705,000.00</t>
  </si>
  <si>
    <t>767,000.00</t>
  </si>
  <si>
    <t>472,550.00</t>
  </si>
  <si>
    <t>19,801,477.33</t>
  </si>
  <si>
    <t>96,497,858.43</t>
  </si>
  <si>
    <t>502,680.00</t>
  </si>
  <si>
    <t>49,499,928.26</t>
  </si>
  <si>
    <t>505,000.00</t>
  </si>
  <si>
    <t>4,949,994.70</t>
  </si>
  <si>
    <t>102,941.62</t>
  </si>
  <si>
    <t>11,292,155.18</t>
  </si>
  <si>
    <t>49,497,427.14</t>
  </si>
  <si>
    <t>73,441.00</t>
  </si>
  <si>
    <t>4,005,039.50</t>
  </si>
  <si>
    <t>428,500.00</t>
  </si>
  <si>
    <t>671,500.00</t>
  </si>
  <si>
    <t>483,900.00</t>
  </si>
  <si>
    <t>955,000.00</t>
  </si>
  <si>
    <t>1,353,000.00</t>
  </si>
  <si>
    <t>1,199,792.77</t>
  </si>
  <si>
    <t>424,769.39</t>
  </si>
  <si>
    <t>27,196,400.00</t>
  </si>
  <si>
    <t>29,699,466.87</t>
  </si>
  <si>
    <t>33,733,000.00</t>
  </si>
  <si>
    <t>701,936.82</t>
  </si>
  <si>
    <t>2,700,000,000.00</t>
  </si>
  <si>
    <t>2,980,268.93</t>
  </si>
  <si>
    <t>5,995,000.00</t>
  </si>
  <si>
    <t>29,699,993.77</t>
  </si>
  <si>
    <t>34,649,985.05</t>
  </si>
  <si>
    <t>5,372,600.00</t>
  </si>
  <si>
    <t>69,299,996.96</t>
  </si>
  <si>
    <t>29,701,491.04</t>
  </si>
  <si>
    <t>104,056,871.00</t>
  </si>
  <si>
    <t>2,606,951.31</t>
  </si>
  <si>
    <t>28,916,667.00</t>
  </si>
  <si>
    <t>90,523,000.00</t>
  </si>
  <si>
    <t>91,309,000.00</t>
  </si>
  <si>
    <t>111,310,000.00</t>
  </si>
  <si>
    <t>3,025,657.63</t>
  </si>
  <si>
    <t>164,988,000.00</t>
  </si>
  <si>
    <t>88,707,634.87</t>
  </si>
  <si>
    <t>144,747,335.55</t>
  </si>
  <si>
    <t>62,520.00</t>
  </si>
  <si>
    <t>299,842.00</t>
  </si>
  <si>
    <t>93,100.00</t>
  </si>
  <si>
    <t>82,800.00</t>
  </si>
  <si>
    <t>2,823,514.28</t>
  </si>
  <si>
    <t>3,610,215.00</t>
  </si>
  <si>
    <t>1,114,793.99</t>
  </si>
  <si>
    <t>2,281,000.00</t>
  </si>
  <si>
    <t>995,069.18</t>
  </si>
  <si>
    <t>198,181.00</t>
  </si>
  <si>
    <t>76,748.00</t>
  </si>
  <si>
    <t>56,200.00</t>
  </si>
  <si>
    <t>1,187,849.29</t>
  </si>
  <si>
    <t>99,967.60</t>
  </si>
  <si>
    <t>2,787,756.08</t>
  </si>
  <si>
    <t>1,329,428.01</t>
  </si>
  <si>
    <t>84,675.00</t>
  </si>
  <si>
    <t>22,834,300.00</t>
  </si>
  <si>
    <t>97,745.00</t>
  </si>
  <si>
    <t>2,340,801.68</t>
  </si>
  <si>
    <t>496,001.00</t>
  </si>
  <si>
    <t>28,500,000.00</t>
  </si>
  <si>
    <t>157,550.00</t>
  </si>
  <si>
    <t>7,875,000.00</t>
  </si>
  <si>
    <t>9,799,953.80</t>
  </si>
  <si>
    <t>1,195,000.00</t>
  </si>
  <si>
    <t>1,021,660.24</t>
  </si>
  <si>
    <t>16,663,366.34</t>
  </si>
  <si>
    <t>813,932.00</t>
  </si>
  <si>
    <t>159.00</t>
  </si>
  <si>
    <t>65,000,324.09</t>
  </si>
  <si>
    <t>312,222.50</t>
  </si>
  <si>
    <t>2,199,680.00</t>
  </si>
  <si>
    <t>2,406,678.99</t>
  </si>
  <si>
    <t>576,747,648.00</t>
  </si>
  <si>
    <t>14,699,103.73</t>
  </si>
  <si>
    <t>150,000,000.00</t>
  </si>
  <si>
    <t>16,920,000.00</t>
  </si>
  <si>
    <t>507,000.00</t>
  </si>
  <si>
    <t>9,799,889.73</t>
  </si>
  <si>
    <t>67,534,000.00</t>
  </si>
  <si>
    <t>2,080,000.00</t>
  </si>
  <si>
    <t>838,800.00</t>
  </si>
  <si>
    <t>1,897,873.33</t>
  </si>
  <si>
    <t>94,826.67</t>
  </si>
  <si>
    <t>58,288.33</t>
  </si>
  <si>
    <t>98,988.00</t>
  </si>
  <si>
    <t>537,450.00</t>
  </si>
  <si>
    <t>2,787,702.33</t>
  </si>
  <si>
    <t>94,320.00</t>
  </si>
  <si>
    <t>1,499,791.00</t>
  </si>
  <si>
    <t>504,935.00</t>
  </si>
  <si>
    <t>105,423.83</t>
  </si>
  <si>
    <t>12,305,160.00</t>
  </si>
  <si>
    <t>682,100.00</t>
  </si>
  <si>
    <t>138,481.00</t>
  </si>
  <si>
    <t>702,251.98</t>
  </si>
  <si>
    <t>99,400.00</t>
  </si>
  <si>
    <t>539,370.00</t>
  </si>
  <si>
    <t>2,969,951.91</t>
  </si>
  <si>
    <t>220,975.00</t>
  </si>
  <si>
    <t>7,229,591.00</t>
  </si>
  <si>
    <t>137,760.00</t>
  </si>
  <si>
    <t>66,272.08</t>
  </si>
  <si>
    <t>48,999,866.87</t>
  </si>
  <si>
    <t>583,230.00</t>
  </si>
  <si>
    <t>25,500,000.00</t>
  </si>
  <si>
    <t>583,296.00</t>
  </si>
  <si>
    <t>1,499,286.02</t>
  </si>
  <si>
    <t>2,257,068.21</t>
  </si>
  <si>
    <t>3,958,007.75</t>
  </si>
  <si>
    <t>2,491,213.78</t>
  </si>
  <si>
    <t>1,135,000.00</t>
  </si>
  <si>
    <t>1,190,768.00</t>
  </si>
  <si>
    <t>3,335,000.00</t>
  </si>
  <si>
    <t>1,498,727.95</t>
  </si>
  <si>
    <t>4,993,172.71</t>
  </si>
  <si>
    <t>5,228,400.00</t>
  </si>
  <si>
    <t>5,010,080.00</t>
  </si>
  <si>
    <t>3,632,250.00</t>
  </si>
  <si>
    <t>9,450,000.00</t>
  </si>
  <si>
    <t>2,091,000.00</t>
  </si>
  <si>
    <t>6,482,406.00</t>
  </si>
  <si>
    <t>3,058,925.00</t>
  </si>
  <si>
    <t>499,700.00</t>
  </si>
  <si>
    <t>4,115,500.00</t>
  </si>
  <si>
    <t>427,000.00</t>
  </si>
  <si>
    <t>91,351.00</t>
  </si>
  <si>
    <t>106,149,995.59</t>
  </si>
  <si>
    <t>1,808,460.00</t>
  </si>
  <si>
    <t>53,074,892.40</t>
  </si>
  <si>
    <t>4,451,520.00</t>
  </si>
  <si>
    <t>22,994,000.00</t>
  </si>
  <si>
    <t>3,375,621.00</t>
  </si>
  <si>
    <t>3,984,000.00</t>
  </si>
  <si>
    <t>17,296,925.62</t>
  </si>
  <si>
    <t>1,375,869.95</t>
  </si>
  <si>
    <t>1,741,936.43</t>
  </si>
  <si>
    <t>7,225,500.00</t>
  </si>
  <si>
    <t>16,926,840.72</t>
  </si>
  <si>
    <t>6,346,000.00</t>
  </si>
  <si>
    <t>1,947,062,163.77</t>
  </si>
  <si>
    <t>22,991,000.00</t>
  </si>
  <si>
    <t>774,559.72</t>
  </si>
  <si>
    <t>1,749,074.98</t>
  </si>
  <si>
    <t>29,699,982.26</t>
  </si>
  <si>
    <t>2,521,768.78</t>
  </si>
  <si>
    <t>39,658.26</t>
  </si>
  <si>
    <t>19,636,391.87</t>
  </si>
  <si>
    <t>559,368.00</t>
  </si>
  <si>
    <t>521,400.00</t>
  </si>
  <si>
    <t>564,143.80</t>
  </si>
  <si>
    <t>3,759,553.34</t>
  </si>
  <si>
    <t>1,113,783.04</t>
  </si>
  <si>
    <t>2,307,000.00</t>
  </si>
  <si>
    <t>15,953,000.00</t>
  </si>
  <si>
    <t>52,110,000.00</t>
  </si>
  <si>
    <t>5,541,613.32</t>
  </si>
  <si>
    <t>8,004,050.28</t>
  </si>
  <si>
    <t>2,144,463.20</t>
  </si>
  <si>
    <t>1,499,833.70</t>
  </si>
  <si>
    <t>199,990.00</t>
  </si>
  <si>
    <t>1,599,980.40</t>
  </si>
  <si>
    <t>2,335,144.00</t>
  </si>
  <si>
    <t>4,907,000.00</t>
  </si>
  <si>
    <t>988,881.06</t>
  </si>
  <si>
    <t>9,230,000.00</t>
  </si>
  <si>
    <t>2,130,000.00</t>
  </si>
  <si>
    <t>29,699,973.77</t>
  </si>
  <si>
    <t>9,899,916.97</t>
  </si>
  <si>
    <t>1,111,000.00</t>
  </si>
  <si>
    <t>15,344,856.27</t>
  </si>
  <si>
    <t>947,540.00</t>
  </si>
  <si>
    <t>35,951,000.00</t>
  </si>
  <si>
    <t>79,901,000.00</t>
  </si>
  <si>
    <t>139,297,800.00</t>
  </si>
  <si>
    <t>7,481,110.96</t>
  </si>
  <si>
    <t>1,067,000.00</t>
  </si>
  <si>
    <t>67,238,000.00</t>
  </si>
  <si>
    <t>1,979,956.11</t>
  </si>
  <si>
    <t>2,007,000.00</t>
  </si>
  <si>
    <t>1,975,652.81</t>
  </si>
  <si>
    <t>3,275,000.00</t>
  </si>
  <si>
    <t>100,600.00</t>
  </si>
  <si>
    <t>1,472,984.71</t>
  </si>
  <si>
    <t>815,000.00</t>
  </si>
  <si>
    <t>1,979,474.56</t>
  </si>
  <si>
    <t>247,214,000.00</t>
  </si>
  <si>
    <t>48,999,996.39</t>
  </si>
  <si>
    <t>19,799,702.03</t>
  </si>
  <si>
    <t>58,986,000.00</t>
  </si>
  <si>
    <t>14,849,659.73</t>
  </si>
  <si>
    <t>9,799,932.60</t>
  </si>
  <si>
    <t>3,919,609.45</t>
  </si>
  <si>
    <t>4,948,444.29</t>
  </si>
  <si>
    <t>34,299,989.07</t>
  </si>
  <si>
    <t>35,596,000.00</t>
  </si>
  <si>
    <t>79,996,788.53</t>
  </si>
  <si>
    <t>29,099,767.49</t>
  </si>
  <si>
    <t>1,083,290.12</t>
  </si>
  <si>
    <t>19,819,520.00</t>
  </si>
  <si>
    <t>1,979,730.77</t>
  </si>
  <si>
    <t>169,800.00</t>
  </si>
  <si>
    <t>190,375,000.00</t>
  </si>
  <si>
    <t>102,559.00</t>
  </si>
  <si>
    <t>4,228,780.75</t>
  </si>
  <si>
    <t>26,852,000.00</t>
  </si>
  <si>
    <t>9,899,596.36</t>
  </si>
  <si>
    <t>230,844,405.00</t>
  </si>
  <si>
    <t>635,219.09</t>
  </si>
  <si>
    <t>4,949,722.40</t>
  </si>
  <si>
    <t>14,849,946.31</t>
  </si>
  <si>
    <t>4,899,706.16</t>
  </si>
  <si>
    <t>4,897,775.38</t>
  </si>
  <si>
    <t>98,998,843.79</t>
  </si>
  <si>
    <t>7,441,250.00</t>
  </si>
  <si>
    <t>1,979,537.30</t>
  </si>
  <si>
    <t>147,906,854.18</t>
  </si>
  <si>
    <t>4,898,917.86</t>
  </si>
  <si>
    <t>651,700.00</t>
  </si>
  <si>
    <t>97,998,833.48</t>
  </si>
  <si>
    <t>9,797,568.00</t>
  </si>
  <si>
    <t>1,504,705.38</t>
  </si>
  <si>
    <t>98,999,642.57</t>
  </si>
  <si>
    <t>59,399,994.70</t>
  </si>
  <si>
    <t>8,871,231.98</t>
  </si>
  <si>
    <t>9,899,999.86</t>
  </si>
  <si>
    <t>33,000,000.00</t>
  </si>
  <si>
    <t>2,620,502.40</t>
  </si>
  <si>
    <t>49,886.00</t>
  </si>
  <si>
    <t>215,040.00</t>
  </si>
  <si>
    <t>3,178,938.13</t>
  </si>
  <si>
    <t>119,774.00</t>
  </si>
  <si>
    <t>49,498,416.97</t>
  </si>
  <si>
    <t>8,788,000.00</t>
  </si>
  <si>
    <t>6,825,000.00</t>
  </si>
  <si>
    <t>5,054,400.00</t>
  </si>
  <si>
    <t>21,342,705.42</t>
  </si>
  <si>
    <t>21,372,000.00</t>
  </si>
  <si>
    <t>8,372,579.52</t>
  </si>
  <si>
    <t>72,252,000.00</t>
  </si>
  <si>
    <t>1,782,000.00</t>
  </si>
  <si>
    <t>29,978,756.28</t>
  </si>
  <si>
    <t>993,789.00</t>
  </si>
  <si>
    <t>921,672,000.00</t>
  </si>
  <si>
    <t>2,936,676.78</t>
  </si>
  <si>
    <t>47,300,000.00</t>
  </si>
  <si>
    <t>15,484,000.00</t>
  </si>
  <si>
    <t>9,998,658.72</t>
  </si>
  <si>
    <t>2,934,986.86</t>
  </si>
  <si>
    <t>2,935,347.23</t>
  </si>
  <si>
    <t>365,000.00</t>
  </si>
  <si>
    <t>4,894,085.37</t>
  </si>
  <si>
    <t>4,899,498.37</t>
  </si>
  <si>
    <t>397,650.00</t>
  </si>
  <si>
    <t>10,413,319.00</t>
  </si>
  <si>
    <t>516,000.00</t>
  </si>
  <si>
    <t>19,010,810.00</t>
  </si>
  <si>
    <t>62,170.00</t>
  </si>
  <si>
    <t>452,121.98</t>
  </si>
  <si>
    <t>4,527,443.32</t>
  </si>
  <si>
    <t>2,934,712.74</t>
  </si>
  <si>
    <t>45,361,366,040.29</t>
  </si>
  <si>
    <t>4,949,513.02</t>
  </si>
  <si>
    <t>23,760,000.00</t>
  </si>
  <si>
    <t>682,814.00</t>
  </si>
  <si>
    <t>3,253,000.00</t>
  </si>
  <si>
    <t>1,699,815.00</t>
  </si>
  <si>
    <t>133,650,000.00</t>
  </si>
  <si>
    <t>246,300.00</t>
  </si>
  <si>
    <t>9,899,900.44</t>
  </si>
  <si>
    <t>670,000.00</t>
  </si>
  <si>
    <t>1,555,122.75</t>
  </si>
  <si>
    <t>9,149,048.61</t>
  </si>
  <si>
    <t>327,811.00</t>
  </si>
  <si>
    <t>232,900.00</t>
  </si>
  <si>
    <t>10,540,000.00</t>
  </si>
  <si>
    <t>8,262,312.00</t>
  </si>
  <si>
    <t>10,622,795.00</t>
  </si>
  <si>
    <t>4,897,756.59</t>
  </si>
  <si>
    <t>14,214,611.43</t>
  </si>
  <si>
    <t>15,950,000.00</t>
  </si>
  <si>
    <t>32,807,244.61</t>
  </si>
  <si>
    <t>16,563,400.04</t>
  </si>
  <si>
    <t>12,226,080.00</t>
  </si>
  <si>
    <t>2,552,640.00</t>
  </si>
  <si>
    <t>250,000,000.00</t>
  </si>
  <si>
    <t>4,321,800.00</t>
  </si>
  <si>
    <t>2,999,920.00</t>
  </si>
  <si>
    <t>2,462,800.00</t>
  </si>
  <si>
    <t>1,267,200.00</t>
  </si>
  <si>
    <t>20,162,841,907.02</t>
  </si>
  <si>
    <t>49,498,947.66</t>
  </si>
  <si>
    <t>104,079,970.00</t>
  </si>
  <si>
    <t>12,870,000.00</t>
  </si>
  <si>
    <t>142,317,877.72</t>
  </si>
  <si>
    <t>314,572.50</t>
  </si>
  <si>
    <t>51,580,848.00</t>
  </si>
  <si>
    <t>1,499,745.38</t>
  </si>
  <si>
    <t>2,188,000.00</t>
  </si>
  <si>
    <t>1,109,930.00</t>
  </si>
  <si>
    <t>1,938,106.40</t>
  </si>
  <si>
    <t>1,129,503.00</t>
  </si>
  <si>
    <t>6,498,800.00</t>
  </si>
  <si>
    <t>2,959,255.00</t>
  </si>
  <si>
    <t>2,735,000.00</t>
  </si>
  <si>
    <t>47,800.00</t>
  </si>
  <si>
    <t>1,979,999.12</t>
  </si>
  <si>
    <t>30,489,582.00</t>
  </si>
  <si>
    <t>1,975,235.92</t>
  </si>
  <si>
    <t>1,646,395.81</t>
  </si>
  <si>
    <t>2,385,734.50</t>
  </si>
  <si>
    <t>3,612,068.00</t>
  </si>
  <si>
    <t>3,884,130.99</t>
  </si>
  <si>
    <t>14,474,999.96</t>
  </si>
  <si>
    <t>2,186,000.00</t>
  </si>
  <si>
    <t>2,452,935.97</t>
  </si>
  <si>
    <t>2,410,488.00</t>
  </si>
  <si>
    <t>1,756,700.00</t>
  </si>
  <si>
    <t>3,034,982.50</t>
  </si>
  <si>
    <t>29,762,112.77</t>
  </si>
  <si>
    <t>1,493,316.61</t>
  </si>
  <si>
    <t>1,462,500.00</t>
  </si>
  <si>
    <t>3,899,991.84</t>
  </si>
  <si>
    <t>5,701,219.60</t>
  </si>
  <si>
    <t>4,243,839.21</t>
  </si>
  <si>
    <t>4,996,567.92</t>
  </si>
  <si>
    <t>2,740,000.00</t>
  </si>
  <si>
    <t>4,337,743.24</t>
  </si>
  <si>
    <t>11,939,908.64</t>
  </si>
  <si>
    <t>289,499,796.53</t>
  </si>
  <si>
    <t>713,411.00</t>
  </si>
  <si>
    <t>3,767,187.50</t>
  </si>
  <si>
    <t>9,999,856.88</t>
  </si>
  <si>
    <t>8,430,062.01</t>
  </si>
  <si>
    <t>3,992,000.00</t>
  </si>
  <si>
    <t>1,025,557.00</t>
  </si>
  <si>
    <t>6,930,000.00</t>
  </si>
  <si>
    <t>39,999,049.66</t>
  </si>
  <si>
    <t>4,538,624.72</t>
  </si>
  <si>
    <t>58,800,000.00</t>
  </si>
  <si>
    <t>1,999,998.99</t>
  </si>
  <si>
    <t>155,531.93</t>
  </si>
  <si>
    <t>41,170,000.00</t>
  </si>
  <si>
    <t>50,000,000.00</t>
  </si>
  <si>
    <t>1,694,323.71</t>
  </si>
  <si>
    <t>50,950,198.19</t>
  </si>
  <si>
    <t>4,798,500.00</t>
  </si>
  <si>
    <t>4,775,450.00</t>
  </si>
  <si>
    <t>188,750.00</t>
  </si>
  <si>
    <t>39,604,000.00</t>
  </si>
  <si>
    <t>262,615.00</t>
  </si>
  <si>
    <t>422,542.00</t>
  </si>
  <si>
    <t>2,348,345.68</t>
  </si>
  <si>
    <t>3,651,652.30</t>
  </si>
  <si>
    <t>298,229.49</t>
  </si>
  <si>
    <t>25,100,000.00</t>
  </si>
  <si>
    <t>1,402,626.00</t>
  </si>
  <si>
    <t>5,777,429.00</t>
  </si>
  <si>
    <t>2,381,548.91</t>
  </si>
  <si>
    <t>70,600.00</t>
  </si>
  <si>
    <t>2,310,370.62</t>
  </si>
  <si>
    <t>5,963,000.00</t>
  </si>
  <si>
    <t>211,609.20</t>
  </si>
  <si>
    <t>282,745.00</t>
  </si>
  <si>
    <t>5,616,500.00</t>
  </si>
  <si>
    <t>74,260.00</t>
  </si>
  <si>
    <t>309,750.00</t>
  </si>
  <si>
    <t>268,039.00</t>
  </si>
  <si>
    <t>231,350.00</t>
  </si>
  <si>
    <t>1,499,966.10</t>
  </si>
  <si>
    <t>185,270.00</t>
  </si>
  <si>
    <t>71,040.00</t>
  </si>
  <si>
    <t>227,600.00</t>
  </si>
  <si>
    <t>2,605,500.00</t>
  </si>
  <si>
    <t>1,435,923.58</t>
  </si>
  <si>
    <t>358,483.00</t>
  </si>
  <si>
    <t>763,515.50</t>
  </si>
  <si>
    <t>7,688,945.66</t>
  </si>
  <si>
    <t>1,747,471.55</t>
  </si>
  <si>
    <t>499,923.74</t>
  </si>
  <si>
    <t>1,994,040.00</t>
  </si>
  <si>
    <t>817,156.00</t>
  </si>
  <si>
    <t>392,100.00</t>
  </si>
  <si>
    <t>344,550.00</t>
  </si>
  <si>
    <t>165,322.50</t>
  </si>
  <si>
    <t>29,944,565.00</t>
  </si>
  <si>
    <t>802,150.00</t>
  </si>
  <si>
    <t>26,055,000.00</t>
  </si>
  <si>
    <t>1,350,234.24</t>
  </si>
  <si>
    <t>125,000,000.00</t>
  </si>
  <si>
    <t>1,072,000.00</t>
  </si>
  <si>
    <t>139,925,000.00</t>
  </si>
  <si>
    <t>2,987,888.40</t>
  </si>
  <si>
    <t>97,286.00</t>
  </si>
  <si>
    <t>1,499,999.98</t>
  </si>
  <si>
    <t>272,100.00</t>
  </si>
  <si>
    <t>1,498,490.00</t>
  </si>
  <si>
    <t>2,907,130.37</t>
  </si>
  <si>
    <t>9,163,980.00</t>
  </si>
  <si>
    <t>26,460,000.00</t>
  </si>
  <si>
    <t>2,995,825.50</t>
  </si>
  <si>
    <t>90,258.40</t>
  </si>
  <si>
    <t>1,166,757.65</t>
  </si>
  <si>
    <t>499,999.51</t>
  </si>
  <si>
    <t>1,953,045.66</t>
  </si>
  <si>
    <t>30 Day/s</t>
  </si>
  <si>
    <t>213 Day/s</t>
  </si>
  <si>
    <t>0 Day/s</t>
  </si>
  <si>
    <t>7 Day/s</t>
  </si>
  <si>
    <t>180 Day/s</t>
  </si>
  <si>
    <t>119 Day/s</t>
  </si>
  <si>
    <t>182 Day/s</t>
  </si>
  <si>
    <t>172 Day/s</t>
  </si>
  <si>
    <t>15 Day/s</t>
  </si>
  <si>
    <t>120 Day/s</t>
  </si>
  <si>
    <t>1 Year/s</t>
  </si>
  <si>
    <t>77 Day/s</t>
  </si>
  <si>
    <t>19 Day/s</t>
  </si>
  <si>
    <t>8 Day/s</t>
  </si>
  <si>
    <t>3 Day/s</t>
  </si>
  <si>
    <t>70 Day/s</t>
  </si>
  <si>
    <t>10 Day/s</t>
  </si>
  <si>
    <t>60 Day/s</t>
  </si>
  <si>
    <t>162 Day/s</t>
  </si>
  <si>
    <t>290 Day/s</t>
  </si>
  <si>
    <t>300 Day/s</t>
  </si>
  <si>
    <t>2 Month/s</t>
  </si>
  <si>
    <t>20 Day/s</t>
  </si>
  <si>
    <t>320 Day/s</t>
  </si>
  <si>
    <t>45 Day/s</t>
  </si>
  <si>
    <t>1 Day/s</t>
  </si>
  <si>
    <t>400 Day/s</t>
  </si>
  <si>
    <t>150 Day/s</t>
  </si>
  <si>
    <t>5 Day/s</t>
  </si>
  <si>
    <t>80 Day/s</t>
  </si>
  <si>
    <t>90 Day/s</t>
  </si>
  <si>
    <t>100 Day/s</t>
  </si>
  <si>
    <t>50 Day/s</t>
  </si>
  <si>
    <t>40 Day/s</t>
  </si>
  <si>
    <t>110 Day/s</t>
  </si>
  <si>
    <t>35 Day/s</t>
  </si>
  <si>
    <t>65 Day/s</t>
  </si>
  <si>
    <t>52 Day/s</t>
  </si>
  <si>
    <t>99 Day/s</t>
  </si>
  <si>
    <t>9 Day/s</t>
  </si>
  <si>
    <t>25 Day/s</t>
  </si>
  <si>
    <t>29 Day/s</t>
  </si>
  <si>
    <t>130 Day/s</t>
  </si>
  <si>
    <t>152 Day/s</t>
  </si>
  <si>
    <t>21 Day/s</t>
  </si>
  <si>
    <t>105 Day/s</t>
  </si>
  <si>
    <t>210 Day/s</t>
  </si>
  <si>
    <t>56 Day/s</t>
  </si>
  <si>
    <t>13 Day/s</t>
  </si>
  <si>
    <t>14 Day/s</t>
  </si>
  <si>
    <t>61 Day/s</t>
  </si>
  <si>
    <t>2 Day/s</t>
  </si>
  <si>
    <t>365 Day/s</t>
  </si>
  <si>
    <t>6 Month/s</t>
  </si>
  <si>
    <t>17 Day/s</t>
  </si>
  <si>
    <t>24 Day/s</t>
  </si>
  <si>
    <t>74 Day/s</t>
  </si>
  <si>
    <t>71 Day/s</t>
  </si>
  <si>
    <t>4 Day/s</t>
  </si>
  <si>
    <t>31 Day/s</t>
  </si>
  <si>
    <t>183 Day/s</t>
  </si>
  <si>
    <t>160 Day/s</t>
  </si>
  <si>
    <t>18 Day/s</t>
  </si>
  <si>
    <t>48 Day/s</t>
  </si>
  <si>
    <t>140 Day/s</t>
  </si>
  <si>
    <t>68 Day/s</t>
  </si>
  <si>
    <t>3 Month/s</t>
  </si>
  <si>
    <t>5 Month/s</t>
  </si>
  <si>
    <t>360 Day/s</t>
  </si>
  <si>
    <t>196 Day/s</t>
  </si>
  <si>
    <t>2 Year/s</t>
  </si>
  <si>
    <t>93 Day/s</t>
  </si>
  <si>
    <t>299 Day/s</t>
  </si>
  <si>
    <t>23 Day/s</t>
  </si>
  <si>
    <t>6 Day/s</t>
  </si>
  <si>
    <t>89 Day/s</t>
  </si>
  <si>
    <t>63 Day/s</t>
  </si>
  <si>
    <t>109 Day/s</t>
  </si>
  <si>
    <t>28 Day/s</t>
  </si>
  <si>
    <t>114 Day/s</t>
  </si>
  <si>
    <t>175 Day/s</t>
  </si>
  <si>
    <t>78 Day/s</t>
  </si>
  <si>
    <t>95 Day/s</t>
  </si>
  <si>
    <t>97 Day/s</t>
  </si>
  <si>
    <t>270 Day/s</t>
  </si>
  <si>
    <t>169 Day/s</t>
  </si>
  <si>
    <t>195 Day/s</t>
  </si>
  <si>
    <t>115 Day/s</t>
  </si>
  <si>
    <t>75 Day/s</t>
  </si>
  <si>
    <t>124 Day/s</t>
  </si>
  <si>
    <t>7 Month/s</t>
  </si>
  <si>
    <t>84 Day/s</t>
  </si>
  <si>
    <t>203 Day/s</t>
  </si>
  <si>
    <t>165 Day/s</t>
  </si>
  <si>
    <t>126 Day/s</t>
  </si>
  <si>
    <t>143 Day/s</t>
  </si>
  <si>
    <t>132 Day/s</t>
  </si>
  <si>
    <t>1 Month/s</t>
  </si>
  <si>
    <t>8 Month/s</t>
  </si>
  <si>
    <t>220 Day/s</t>
  </si>
  <si>
    <t>190 Day/s</t>
  </si>
  <si>
    <t>10 Month/s</t>
  </si>
  <si>
    <t>33 Day/s</t>
  </si>
  <si>
    <t>41 Day/s</t>
  </si>
  <si>
    <t>192 Day/s</t>
  </si>
  <si>
    <t>136 Day/s</t>
  </si>
  <si>
    <t>88 Day/s</t>
  </si>
  <si>
    <t>200 Day/s</t>
  </si>
  <si>
    <t>194 Day/s</t>
  </si>
  <si>
    <t>184 Day/s</t>
  </si>
  <si>
    <t>173 Day/s</t>
  </si>
  <si>
    <t>146 Day/s</t>
  </si>
  <si>
    <t>26 Day/s</t>
  </si>
  <si>
    <t>151 Day/s</t>
  </si>
  <si>
    <t>98 Day/s</t>
  </si>
  <si>
    <t>187 Day/s</t>
  </si>
  <si>
    <t>240 Day/s</t>
  </si>
  <si>
    <t>27 Day/s</t>
  </si>
  <si>
    <t>205 Day/s</t>
  </si>
  <si>
    <t>36 Day/s</t>
  </si>
  <si>
    <t>12 Month/s</t>
  </si>
  <si>
    <t>161 Day/s</t>
  </si>
  <si>
    <t>159 Day/s</t>
  </si>
  <si>
    <t>4 Month/s</t>
  </si>
  <si>
    <t>83 Day/s</t>
  </si>
  <si>
    <t>212 Day/s</t>
  </si>
  <si>
    <t>116 Day/s</t>
  </si>
  <si>
    <t>51 Day/s</t>
  </si>
  <si>
    <t>91 Day/s</t>
  </si>
  <si>
    <t>285 Day/s</t>
  </si>
  <si>
    <t>135 Day/s</t>
  </si>
  <si>
    <t>730 Day/s</t>
  </si>
  <si>
    <t>55 Day/s</t>
  </si>
  <si>
    <t>42 Day/s</t>
  </si>
  <si>
    <t>265 Day/s</t>
  </si>
  <si>
    <t>86 Day/s</t>
  </si>
  <si>
    <t>11 Day/s</t>
  </si>
  <si>
    <t>73 Day/s</t>
  </si>
  <si>
    <t>12 Day/s</t>
  </si>
  <si>
    <t>16 Day/s</t>
  </si>
  <si>
    <t>102 Day/s</t>
  </si>
  <si>
    <t>245 Day/s</t>
  </si>
  <si>
    <t>34 Day/s</t>
  </si>
  <si>
    <t>420 Day/s</t>
  </si>
  <si>
    <t>104 Day/s</t>
  </si>
  <si>
    <t>49 Day/s</t>
  </si>
  <si>
    <t>43 Day/s</t>
  </si>
  <si>
    <t>37 Day/s</t>
  </si>
  <si>
    <t>62 Day/s</t>
  </si>
  <si>
    <t>38 Day/s</t>
  </si>
  <si>
    <t>58 Day/s</t>
  </si>
  <si>
    <t>22 Day/s</t>
  </si>
  <si>
    <t>32 Day/s</t>
  </si>
  <si>
    <t>247 Day/s</t>
  </si>
  <si>
    <t>168 Day/s</t>
  </si>
  <si>
    <t>64 Day/s</t>
  </si>
  <si>
    <t>72 Day/s</t>
  </si>
  <si>
    <t>267 Day/s</t>
  </si>
  <si>
    <t>149 Day/s</t>
  </si>
  <si>
    <t>85 Day/s</t>
  </si>
  <si>
    <t>260 Day/s</t>
  </si>
  <si>
    <t>0 Month/s</t>
  </si>
  <si>
    <t>177 Day/s</t>
  </si>
  <si>
    <t>69 Day/s</t>
  </si>
  <si>
    <t>224 Day/s</t>
  </si>
  <si>
    <t>30 Month/s</t>
  </si>
  <si>
    <t>131 Day/s</t>
  </si>
  <si>
    <t>145 Day/s</t>
  </si>
  <si>
    <t>92 Day/s</t>
  </si>
  <si>
    <t>330 Day/s</t>
  </si>
  <si>
    <t>230 Day/s</t>
  </si>
  <si>
    <t>268 Day/s</t>
  </si>
  <si>
    <t>9 Month/s</t>
  </si>
  <si>
    <t>246 Day/s</t>
  </si>
  <si>
    <t>207 Day/s</t>
  </si>
  <si>
    <t>243 Day/s</t>
  </si>
  <si>
    <t>122 Day/s</t>
  </si>
  <si>
    <t>123 Day/s</t>
  </si>
  <si>
    <t>137 Day/s</t>
  </si>
  <si>
    <t>158 Day/s</t>
  </si>
  <si>
    <t>645 Day/s</t>
  </si>
  <si>
    <t>111 Day/s</t>
  </si>
  <si>
    <t>395 Day/s</t>
  </si>
  <si>
    <t>343 Day/s</t>
  </si>
  <si>
    <t>286 Day/s</t>
  </si>
  <si>
    <t>166 Day/s</t>
  </si>
  <si>
    <t>76 Day/s</t>
  </si>
  <si>
    <t>67 Day/s</t>
  </si>
  <si>
    <t>153 Day/s</t>
  </si>
  <si>
    <t>185 Day/s</t>
  </si>
  <si>
    <t>3 Year/s</t>
  </si>
  <si>
    <t>480 Day/s</t>
  </si>
  <si>
    <t>350 Day/s</t>
  </si>
  <si>
    <t>338 Day/s</t>
  </si>
  <si>
    <t>352 Day/s</t>
  </si>
  <si>
    <t>201 Day/s</t>
  </si>
  <si>
    <t>170 Day/s</t>
  </si>
  <si>
    <t>155 Day/s</t>
  </si>
  <si>
    <t>167 Day/s</t>
  </si>
  <si>
    <t>1060 Day/s</t>
  </si>
  <si>
    <t>107 Day/s</t>
  </si>
  <si>
    <t>57 Day/s</t>
  </si>
  <si>
    <t>108 Day/s</t>
  </si>
  <si>
    <t>103 Day/s</t>
  </si>
  <si>
    <t>191 Day/s</t>
  </si>
  <si>
    <t>54 Day/s</t>
  </si>
  <si>
    <t>121 Day/s</t>
  </si>
  <si>
    <t>44 Day/s</t>
  </si>
  <si>
    <t>53 Day/s</t>
  </si>
  <si>
    <t>106 Day/s</t>
  </si>
  <si>
    <t>66 Day/s</t>
  </si>
  <si>
    <t>39 Day/s</t>
  </si>
  <si>
    <t>11 Month/s</t>
  </si>
  <si>
    <t>206 Day/s</t>
  </si>
  <si>
    <t>225 Day/s</t>
  </si>
  <si>
    <t>235 Day/s</t>
  </si>
  <si>
    <t>219 Day/s</t>
  </si>
  <si>
    <t>402 Day/s</t>
  </si>
  <si>
    <t>134 Day/s</t>
  </si>
  <si>
    <t>409 Day/s</t>
  </si>
  <si>
    <t>49 Month/s</t>
  </si>
  <si>
    <t>700 Day/s</t>
  </si>
  <si>
    <t>2007 Day/s</t>
  </si>
  <si>
    <t>82 Day/s</t>
  </si>
  <si>
    <t>174 Day/s</t>
  </si>
  <si>
    <t>293 Day/s</t>
  </si>
  <si>
    <t>238 Day/s</t>
  </si>
  <si>
    <t>112 Day/s</t>
  </si>
  <si>
    <t>144 Day/s</t>
  </si>
  <si>
    <t>139 Day/s</t>
  </si>
  <si>
    <t>79 Day/s</t>
  </si>
  <si>
    <t>450 Day/s</t>
  </si>
  <si>
    <t>59 Day/s</t>
  </si>
  <si>
    <t>340 Day/s</t>
  </si>
  <si>
    <t>227 Day/s</t>
  </si>
  <si>
    <t>232 Day/s</t>
  </si>
  <si>
    <t>125 Day/s</t>
  </si>
  <si>
    <t>310 Day/s</t>
  </si>
  <si>
    <t>117 Day/s</t>
  </si>
  <si>
    <t>273 Day/s</t>
  </si>
  <si>
    <t>81 Day/s</t>
  </si>
  <si>
    <t>288 Day/s</t>
  </si>
  <si>
    <t>272 Day/s</t>
  </si>
  <si>
    <t>646 Day/s</t>
  </si>
  <si>
    <t>280 Day/s</t>
  </si>
  <si>
    <t>46 Day/s</t>
  </si>
  <si>
    <t>87 Day/s</t>
  </si>
  <si>
    <t>47 Day/s</t>
  </si>
  <si>
    <t>113 Day/s</t>
  </si>
  <si>
    <t>520 Day/s</t>
  </si>
  <si>
    <t>214 Day/s</t>
  </si>
  <si>
    <t>163 Day/s</t>
  </si>
  <si>
    <t>96 Day/s</t>
  </si>
  <si>
    <t>250 Day/s</t>
  </si>
  <si>
    <t>252 Day/s</t>
  </si>
  <si>
    <t>251 Day/s</t>
  </si>
  <si>
    <t>297 Day/s</t>
  </si>
  <si>
    <t>4 Year/s</t>
  </si>
  <si>
    <t>540 Day/s</t>
  </si>
  <si>
    <t>215 Day/s</t>
  </si>
  <si>
    <t>275 Day/s</t>
  </si>
  <si>
    <t>128 Day/s</t>
  </si>
  <si>
    <t>305 Day/s</t>
  </si>
  <si>
    <t>216 Day/s</t>
  </si>
  <si>
    <t>261 Day/s</t>
  </si>
  <si>
    <t>615 Day/s</t>
  </si>
  <si>
    <t>321 Day/s</t>
  </si>
  <si>
    <t>138 Day/s</t>
  </si>
  <si>
    <t>94 Day/s</t>
  </si>
  <si>
    <t>228 Day/s</t>
  </si>
  <si>
    <t>315 Day/s</t>
  </si>
  <si>
    <t>580 Day/s</t>
  </si>
  <si>
    <t>118 Day/s</t>
  </si>
  <si>
    <t>133 Day/s</t>
  </si>
  <si>
    <t>101 Day/s</t>
  </si>
  <si>
    <t>178 Day/s</t>
  </si>
  <si>
    <t>900 Day/s</t>
  </si>
  <si>
    <t>313 Day/s</t>
  </si>
  <si>
    <t>156 Day/s</t>
  </si>
  <si>
    <t>292 Day/s</t>
  </si>
  <si>
    <t>256 Day/s</t>
  </si>
  <si>
    <t>204 Day/s</t>
  </si>
  <si>
    <t>231 Day/s</t>
  </si>
  <si>
    <t>255 Day/s</t>
  </si>
  <si>
    <t>253 Day/s</t>
  </si>
  <si>
    <t>390 Day/s</t>
  </si>
  <si>
    <t>454 Day/s</t>
  </si>
  <si>
    <t>171 Day/s</t>
  </si>
  <si>
    <t>141 Day/s</t>
  </si>
  <si>
    <t>244 Day/s</t>
  </si>
  <si>
    <t>26 Month/s</t>
  </si>
  <si>
    <t>50 Month/s</t>
  </si>
  <si>
    <t>188 Day/s</t>
  </si>
  <si>
    <t>269 Day/s</t>
  </si>
  <si>
    <t>840 Day/s</t>
  </si>
  <si>
    <t>1036 Day/s</t>
  </si>
  <si>
    <t>147 Day/s</t>
  </si>
  <si>
    <t>164 Day/s</t>
  </si>
  <si>
    <t>660 Day/s</t>
  </si>
  <si>
    <t>186 Day/s</t>
  </si>
  <si>
    <t>912 Day/s</t>
  </si>
  <si>
    <t>1801 Day/s</t>
  </si>
  <si>
    <t>60 Month/s</t>
  </si>
  <si>
    <t>500 Day/s</t>
  </si>
  <si>
    <t>DEPARTMENT OF PUBLIC WORKS AND HIGHWAYS - COTABATO</t>
  </si>
  <si>
    <t>Enrico Magboo Dalangin</t>
  </si>
  <si>
    <t>Jovelyn I. Legaspi</t>
  </si>
  <si>
    <t>Arnel Caparros Portales</t>
  </si>
  <si>
    <t>Jerona M. Silagan</t>
  </si>
  <si>
    <t>Josephine Presno Gangan</t>
  </si>
  <si>
    <t>Divina Agaser Miguel</t>
  </si>
  <si>
    <t>Consuelo L. Tubis</t>
  </si>
  <si>
    <t>Reynaldo C Bautista</t>
  </si>
  <si>
    <t>MARICHELLE FERRER</t>
  </si>
  <si>
    <t>Gladys Jean Dasilao Quijada</t>
  </si>
  <si>
    <t>Danny Fernandez Cadalso</t>
  </si>
  <si>
    <t>GENE ACHAS BACULPO</t>
  </si>
  <si>
    <t>Wilson Merle Lopez</t>
  </si>
  <si>
    <t>Roland Jason  Montejo</t>
  </si>
  <si>
    <t>Ives M Ebrada</t>
  </si>
  <si>
    <t>Engr. Arnulfo F. Tena</t>
  </si>
  <si>
    <t>DIONISIO TORIBIO GOMANTI COSTES</t>
  </si>
  <si>
    <t>JANE MARIE KAREN LAMIGO CASINILLO</t>
  </si>
  <si>
    <t>RESTITUTO N. RENDAJE</t>
  </si>
  <si>
    <t>Tolentino Almedilla  Bellezas</t>
  </si>
  <si>
    <t>Ronnie D. Morante</t>
  </si>
  <si>
    <t>Christelyn A. Aguro</t>
  </si>
  <si>
    <t>Angeline G. Regalado</t>
  </si>
  <si>
    <t>JOHN REY JERAO PEREZ</t>
  </si>
  <si>
    <t>ARVIN B BELARDO</t>
  </si>
  <si>
    <t>Charito Tinio Mertens</t>
  </si>
  <si>
    <t>Judito Oposa Pegarro</t>
  </si>
  <si>
    <t>Blesilda P. Makabali</t>
  </si>
  <si>
    <t>Darryl Christian Rigos</t>
  </si>
  <si>
    <t>Luxmay P Aleria</t>
  </si>
  <si>
    <t>Princess Davis Bonifacio</t>
  </si>
  <si>
    <t>JONATHAN R. HIJADA</t>
  </si>
  <si>
    <t>MARIA LIZA GENADA RULL</t>
  </si>
  <si>
    <t>CONSUELO R. GEDUSPAN</t>
  </si>
  <si>
    <t>KARLEEN R. DESTURA</t>
  </si>
  <si>
    <t>Novemer Tacang Tabasa</t>
  </si>
  <si>
    <t>Zenaida M. Cabiles</t>
  </si>
  <si>
    <t>Roel U Durens</t>
  </si>
  <si>
    <t>Joy Abonitalla Adecer</t>
  </si>
  <si>
    <t>JOSEPH A. BUNAN</t>
  </si>
  <si>
    <t>Jeffreylhada Muallil Noor</t>
  </si>
  <si>
    <t>Cynthia Eleonor Guno Manalo</t>
  </si>
  <si>
    <t>IRVIN CAYAON ROLLUQUI</t>
  </si>
  <si>
    <t>MARJORIE ALVAREZ DELA CRUZ</t>
  </si>
  <si>
    <t>Andres R Avorque</t>
  </si>
  <si>
    <t>Jessie Bagtang Addag</t>
  </si>
  <si>
    <t>Jesamine M. Mendi</t>
  </si>
  <si>
    <t>ROSELLER CABATINGAN AMOR</t>
  </si>
  <si>
    <t>Marivic Dupaya Quinto</t>
  </si>
  <si>
    <t>MARGARITA LAGUADOR PLACINO</t>
  </si>
  <si>
    <t>Rex Juarez</t>
  </si>
  <si>
    <t>JONATHAN JOSE CERENO CALDERON</t>
  </si>
  <si>
    <t>FREDERICK B AGUIRRE</t>
  </si>
  <si>
    <t>REGIE BAES AGNO</t>
  </si>
  <si>
    <t>Michael Andrew Q Frias</t>
  </si>
  <si>
    <t>Robert Monis Aliga</t>
  </si>
  <si>
    <t>JOSE VICENTE RAYMUNDO MONTALLANA OPINION</t>
  </si>
  <si>
    <t>Paulo D Barbon</t>
  </si>
  <si>
    <t>Cecille Angeline 09171477690 Lipardo</t>
  </si>
  <si>
    <t>Mary Jane Elegio Malbas</t>
  </si>
  <si>
    <t>Clark Benzon Lobo Casuco</t>
  </si>
  <si>
    <t>Melanie Sergio Pili</t>
  </si>
  <si>
    <t>Joseph Dante D Develleres</t>
  </si>
  <si>
    <t>Rona Joy Ducut San Jose</t>
  </si>
  <si>
    <t>Norman Sta.Ana</t>
  </si>
  <si>
    <t>Joan Dela Cruz  Padua</t>
  </si>
  <si>
    <t>Peter Bautista</t>
  </si>
  <si>
    <t>BENJAMIN TABLASON SAN JUAN</t>
  </si>
  <si>
    <t>Eduardo T. Yu</t>
  </si>
  <si>
    <t>JESUS JONJIE ADELANTAR VENTURANZA</t>
  </si>
  <si>
    <t>VEMIE MONTEJO ESTOLOGA</t>
  </si>
  <si>
    <t>Lynnette L. Vanzuela</t>
  </si>
  <si>
    <t>JHOANNA RATIFICAR YANGCO</t>
  </si>
  <si>
    <t>Joey Calimpusan Tonzo</t>
  </si>
  <si>
    <t>Engr. Joel Antonio</t>
  </si>
  <si>
    <t>Milagros Lisboa Estadilla</t>
  </si>
  <si>
    <t>Natalie Tinao Caparas</t>
  </si>
  <si>
    <t>Alan C. Santos</t>
  </si>
  <si>
    <t>Katherine  Paiso  De Vera</t>
  </si>
  <si>
    <t>Donald Glenn M Lanzado</t>
  </si>
  <si>
    <t>Ma. Asherine Noscal Atienza</t>
  </si>
  <si>
    <t>LIVY POLIA DALA</t>
  </si>
  <si>
    <t>Ademar R de Castro</t>
  </si>
  <si>
    <t>Melanie Estrella Abela</t>
  </si>
  <si>
    <t>Lito Sebio Lam-osen</t>
  </si>
  <si>
    <t>Vivencia Lelis</t>
  </si>
  <si>
    <t>Marfen Guinmapang Corvera</t>
  </si>
  <si>
    <t>Mario Sordilla</t>
  </si>
  <si>
    <t>BERNARDITHA BOLINA MILLETE</t>
  </si>
  <si>
    <t>Mary Ann A. Lazo</t>
  </si>
  <si>
    <t>Ferdinand B Caberoy</t>
  </si>
  <si>
    <t>Ofelia Dimabuyo Napalit</t>
  </si>
  <si>
    <t>Danny Familaran Baladjay</t>
  </si>
  <si>
    <t>Lester Mobreros Aringo</t>
  </si>
  <si>
    <t>Carla Nuyad Remonde</t>
  </si>
  <si>
    <t>Ritchie De La Cuesta Barrun</t>
  </si>
  <si>
    <t>ELEONOR B PALACIO</t>
  </si>
  <si>
    <t>Jesus aleman zamoras</t>
  </si>
  <si>
    <t>Letecia M. Jovenal M Jovenal</t>
  </si>
  <si>
    <t>Expedito Magluyan Villaruz</t>
  </si>
  <si>
    <t>Lydia Grueso Suguerra</t>
  </si>
  <si>
    <t>ANGELINA N QUINTANS GALON</t>
  </si>
  <si>
    <t>ROLANDO A DINGLASAN</t>
  </si>
  <si>
    <t>bryan gallenero piadoche</t>
  </si>
  <si>
    <t>Alvin Crisostomo</t>
  </si>
  <si>
    <t>Natalie T. Binayan</t>
  </si>
  <si>
    <t>Ma. Cristina L Garcia</t>
  </si>
  <si>
    <t>Manolito Magkilat Silagan</t>
  </si>
  <si>
    <t>ROSALIE N. MORALDE</t>
  </si>
  <si>
    <t>Blessilda May S.  Angeles</t>
  </si>
  <si>
    <t>Andy Ralfh Villafuerte Conocono</t>
  </si>
  <si>
    <t>Oliver Ted Castillo Orsolino</t>
  </si>
  <si>
    <t>Jeffrey Celis Magadan</t>
  </si>
  <si>
    <t>LEVY H. LAGUTIN, JR.</t>
  </si>
  <si>
    <t>Rogerio Cagas Acle</t>
  </si>
  <si>
    <t>Aries C. Tang</t>
  </si>
  <si>
    <t>Doreen A. Lugo</t>
  </si>
  <si>
    <t>ERVIN PAGE SALANG</t>
  </si>
  <si>
    <t>MAJ GABRIEL D TAYKO (CE) PA</t>
  </si>
  <si>
    <t>Michael Trasmil Ibisate</t>
  </si>
  <si>
    <t>Cecille  Agpalo</t>
  </si>
  <si>
    <t>Dennis Policarpio Garcia</t>
  </si>
  <si>
    <t>Miguelito A. Ogania</t>
  </si>
  <si>
    <t>LOURENCE C. BUENAVENTURA</t>
  </si>
  <si>
    <t>Florinda Z Babilonia</t>
  </si>
  <si>
    <t>Mary Ann Vasquez Alvarez</t>
  </si>
  <si>
    <t>Jupalyn Laderas Benedicto</t>
  </si>
  <si>
    <t>Norma Capate Laure</t>
  </si>
  <si>
    <t>Leonila Espino Maniwang</t>
  </si>
  <si>
    <t>MARINA VILLANUEVA</t>
  </si>
  <si>
    <t>Ramon Gamboa Burgos</t>
  </si>
  <si>
    <t>Norma C. Sarigumba</t>
  </si>
  <si>
    <t>Ambrocio Zapata Azares</t>
  </si>
  <si>
    <t>Ruby E De Jong</t>
  </si>
  <si>
    <t>Eduardo Sanchez</t>
  </si>
  <si>
    <t>HERIBERTO AROCENA TOMAS</t>
  </si>
  <si>
    <t>Allen G Candaliza</t>
  </si>
  <si>
    <t>Charlemagne Fetil Fortu</t>
  </si>
  <si>
    <t>Rosanna P. Lucero</t>
  </si>
  <si>
    <t>Melinda Devesa Lonceras</t>
  </si>
  <si>
    <t>Russell C Narte</t>
  </si>
  <si>
    <t>Keith Jordan M. Cabrera</t>
  </si>
  <si>
    <t>Bernard Sepe Magbanua</t>
  </si>
  <si>
    <t>Donato Panaligan</t>
  </si>
  <si>
    <t>Alejo Jr. M Nunez</t>
  </si>
  <si>
    <t>Magna Ramos Macalma</t>
  </si>
  <si>
    <t>Remigio Lago Blanco</t>
  </si>
  <si>
    <t>Epifanio D. Villasorca</t>
  </si>
  <si>
    <t>Jed F. Fajarit</t>
  </si>
  <si>
    <t>Editha D. Cruz</t>
  </si>
  <si>
    <t>Jorgen H. Buzon</t>
  </si>
  <si>
    <t>Ethel Joy Domingo Invencion</t>
  </si>
  <si>
    <t>Jesus Rey Serna Cavalida</t>
  </si>
  <si>
    <t>Shirley L De Guzman</t>
  </si>
  <si>
    <t>Fernando Espinoza Lopez</t>
  </si>
  <si>
    <t>JOEBAEL D MOHAMAD</t>
  </si>
  <si>
    <t>Juliet Elaine Acuna</t>
  </si>
  <si>
    <t>JULIE P. TABCAO</t>
  </si>
  <si>
    <t>Andrew Ian Bulda Dormitorio</t>
  </si>
  <si>
    <t>MARIEL VILLARUEL GUANZON</t>
  </si>
  <si>
    <t>Joel B. Elloso</t>
  </si>
  <si>
    <t>ADA VERONICA C. GRECIA</t>
  </si>
  <si>
    <t>KAREN SOSMEÑA TENEBRO</t>
  </si>
  <si>
    <t>Sheila mae  Alpon  Carpentero</t>
  </si>
  <si>
    <t>Adelfa Tiongco Lamangin</t>
  </si>
  <si>
    <t>Rusell Gattu Lozano</t>
  </si>
  <si>
    <t>JONEFE GOMEZ OCASLA</t>
  </si>
  <si>
    <t>Jennifer Ducusin Flores</t>
  </si>
  <si>
    <t>EMMA SALTIGA ROSALES</t>
  </si>
  <si>
    <t>JOAN JUDE R. LOPEZ</t>
  </si>
  <si>
    <t>Loy Joseph I Quitain</t>
  </si>
  <si>
    <t>Virginia D. Balderas</t>
  </si>
  <si>
    <t>Stanley B. Uriarte</t>
  </si>
  <si>
    <t>Mamerto Alcanzarin Portillo</t>
  </si>
  <si>
    <t>Victorino Berguela Almario</t>
  </si>
  <si>
    <t>NANCY LEBIGA LASQUITE</t>
  </si>
  <si>
    <t>Wulfranie Jr. M. Pascua</t>
  </si>
  <si>
    <t>Jaddy Genilla Lonte</t>
  </si>
  <si>
    <t>Pedro F Caminero Jr.</t>
  </si>
  <si>
    <t>Judea Micah Dialco Carbajosa</t>
  </si>
  <si>
    <t>Roberto Chu Tiu</t>
  </si>
  <si>
    <t>Michael Angelo San Pedro BAC Secretariat</t>
  </si>
  <si>
    <t>Paul Laday Olanday</t>
  </si>
  <si>
    <t>Asaria P Cañal</t>
  </si>
  <si>
    <t>JEZRYL JAKE CALUYO</t>
  </si>
  <si>
    <t>Gloria S Dungo</t>
  </si>
  <si>
    <t>Antonio Cagdan Failoga</t>
  </si>
  <si>
    <t>Laila M Robosa</t>
  </si>
  <si>
    <t>Reyma Castañeda Tabalno</t>
  </si>
  <si>
    <t>Diego P Tan</t>
  </si>
  <si>
    <t>Kathyleen Dulnuan Marcelo (2nd Account)</t>
  </si>
  <si>
    <t>BERNARD MALINGTAY PEPE</t>
  </si>
  <si>
    <t>Patrocinio Risos</t>
  </si>
  <si>
    <t>JOVYLYN P LUCAS</t>
  </si>
  <si>
    <t>Romarico J. Deona</t>
  </si>
  <si>
    <t>Nanette Mirasol Dulfo</t>
  </si>
  <si>
    <t>Rosemarie P. Palma</t>
  </si>
  <si>
    <t>Nenita Roxas  Capuno</t>
  </si>
  <si>
    <t>Mary Rose Capanzana Occidental</t>
  </si>
  <si>
    <t>MA. LIGAYA PIMENTEL GEPOLLO</t>
  </si>
  <si>
    <t>Edsel A. Moratal</t>
  </si>
  <si>
    <t>Nora I. Montenegro</t>
  </si>
  <si>
    <t>Michael Angelo Agoto Samonte</t>
  </si>
  <si>
    <t>Eustaquio Ligutan</t>
  </si>
  <si>
    <t>Joel Sampaga Columna</t>
  </si>
  <si>
    <t>Maria Theresa Estella Caasi</t>
  </si>
  <si>
    <t>J0evir S. Gentuli0</t>
  </si>
  <si>
    <t>Ma. Yvonne  Domanais/ C Shalie  Coralde</t>
  </si>
  <si>
    <t>Janice L Sta. Cruz</t>
  </si>
  <si>
    <t>Rey R. Fausto</t>
  </si>
  <si>
    <t>Marietta Abuan Graciano</t>
  </si>
  <si>
    <t>Eleah Reyes Dela Luna</t>
  </si>
  <si>
    <t>Josephine  B. Sabando</t>
  </si>
  <si>
    <t>SHIELA MARIE MACAUYAG CABAHUG</t>
  </si>
  <si>
    <t>Vincent Murillo Caang</t>
  </si>
  <si>
    <t>Juvy  Fugnit  Paulican</t>
  </si>
  <si>
    <t>Susan Siacor Arsenio</t>
  </si>
  <si>
    <t>MARIBEL TANDINGAN MANAIT</t>
  </si>
  <si>
    <t>CECILIA NAVARRO CALDERON</t>
  </si>
  <si>
    <t>BABY RECTO CORTIÑAS Mendoza</t>
  </si>
  <si>
    <t>April Joy R Tambis</t>
  </si>
  <si>
    <t>Francis Antonio Legaspi Flores</t>
  </si>
  <si>
    <t>Miriam C. Jabagat</t>
  </si>
  <si>
    <t>MARTINA B. ROSALES</t>
  </si>
  <si>
    <t>Amorie Michele Marba Janubas</t>
  </si>
  <si>
    <t>Renel Joanne Galuran Gambito</t>
  </si>
  <si>
    <t>Jeffrey Asuncion Rabanal</t>
  </si>
  <si>
    <t>Marjorie Guiao Vitug</t>
  </si>
  <si>
    <t>RESTITUTO ALIÑABON</t>
  </si>
  <si>
    <t>Ricarte De Guzman Tadeja</t>
  </si>
  <si>
    <t>Remigio L. Jamilan</t>
  </si>
  <si>
    <t>BAC ILOCOS SUR</t>
  </si>
  <si>
    <t>Ilyn S. Rio</t>
  </si>
  <si>
    <t>ANNE MARGARETT A. BORNASAL</t>
  </si>
  <si>
    <t>Oscar Aguinaldo Domingo</t>
  </si>
  <si>
    <t>Gerconia Risane</t>
  </si>
  <si>
    <t>Rodrigo V. Custodio</t>
  </si>
  <si>
    <t>RICARDO, JR. ABABOL IMBING</t>
  </si>
  <si>
    <t>FILIPINAS ESTRELLA RODELAS</t>
  </si>
  <si>
    <t>Gayuting T. Tumanding</t>
  </si>
  <si>
    <t>Christopher Arayan Ortillano</t>
  </si>
  <si>
    <t>VENE ROSE SADDAM</t>
  </si>
  <si>
    <t>Enelyn S. Binson</t>
  </si>
  <si>
    <t>Lelia Uriarte</t>
  </si>
  <si>
    <t>ERLINDA DOMINGUEZ LANTIN</t>
  </si>
  <si>
    <t>RONALD M. SANTIAGO</t>
  </si>
  <si>
    <t>MARIELLE GRACE ANDRIN ROMAREZ</t>
  </si>
  <si>
    <t>Danilo D. Pazcoguin</t>
  </si>
  <si>
    <t>Shiela L. Lacbayo</t>
  </si>
  <si>
    <t>Lilibeth c. Locario</t>
  </si>
  <si>
    <t>DELMA C FERNANDEZ</t>
  </si>
  <si>
    <t>MARISE A. PONCE</t>
  </si>
  <si>
    <t>Rhodeliza De Villa Penarroyo</t>
  </si>
  <si>
    <t>Ruben Comission Anarna</t>
  </si>
  <si>
    <t>Grace P Hainto</t>
  </si>
  <si>
    <t>Esterlina I. Gamez</t>
  </si>
  <si>
    <t>RICHELLE L. MOROTA</t>
  </si>
  <si>
    <t>Ronnie L Gutierrez</t>
  </si>
  <si>
    <t>ROMER LOREZCA</t>
  </si>
  <si>
    <t>Almond Garalde Leaño</t>
  </si>
  <si>
    <t>EDNA GONZALES</t>
  </si>
  <si>
    <t>Krishna Orcino Garcia</t>
  </si>
  <si>
    <t>Jesusa Agustin</t>
  </si>
  <si>
    <t>Edwin Agdon Raymundo</t>
  </si>
  <si>
    <t>Editha A Albano</t>
  </si>
  <si>
    <t>Geoffrey P. Villahermosa</t>
  </si>
  <si>
    <t>Levy H. Lagutin Jr.</t>
  </si>
  <si>
    <t>Mikko S Duero</t>
  </si>
  <si>
    <t>Monica A. Tuguinay</t>
  </si>
  <si>
    <t>Lazaro Buluran Pascual</t>
  </si>
  <si>
    <t>Cheryl Escoro Ortiz</t>
  </si>
  <si>
    <t>Maria Teresa Ocong Bucio</t>
  </si>
  <si>
    <t>Evangeline L Sarlon</t>
  </si>
  <si>
    <t>LIEZEL BRAZAL DE LEON</t>
  </si>
  <si>
    <t>Christopher V. Morales</t>
  </si>
  <si>
    <t>JOSEPH VIDAD ESTEBAN</t>
  </si>
  <si>
    <t>Jennita V Garcia</t>
  </si>
  <si>
    <t>Eduardo A. Sieras</t>
  </si>
  <si>
    <t>Rosabella Senining Laurencio</t>
  </si>
  <si>
    <t>Aaron Robert Anza Binarao</t>
  </si>
  <si>
    <t>Harold Repollo Jabel</t>
  </si>
  <si>
    <t>Hermosa G. Ramirez</t>
  </si>
  <si>
    <t>Joy M Rivera</t>
  </si>
  <si>
    <t>Romeo Magallanes Taclindo</t>
  </si>
  <si>
    <t>Felicidad Andaya Manaois</t>
  </si>
  <si>
    <t>Eustila Furog Evangelista</t>
  </si>
  <si>
    <t>JERRY G. NARCE</t>
  </si>
  <si>
    <t>Maximo Jr. Pejo Magana</t>
  </si>
  <si>
    <t>FRANCISCO D. GUINAYON</t>
  </si>
  <si>
    <t>KRISTAL GAYLE G. PATNON</t>
  </si>
  <si>
    <t>Roderick Trangia Songahid</t>
  </si>
  <si>
    <t>Josephine L Mananquil</t>
  </si>
  <si>
    <t>MARISA SISON LAGAR</t>
  </si>
  <si>
    <t>Joseph Villanueva Emboltorio</t>
  </si>
  <si>
    <t>MA. DIVINA  L.  FAMULARCANO</t>
  </si>
  <si>
    <t>NIDA COFUENTES PALACIO</t>
  </si>
  <si>
    <t>CHARRIE ANN SINGCO SALES</t>
  </si>
  <si>
    <t>Jovito Gocela Salazar</t>
  </si>
  <si>
    <t>MELCHOR JR. P. DEJANO</t>
  </si>
  <si>
    <t>Ma. Rosalina Isla Lazaro</t>
  </si>
  <si>
    <t>Judy Caliguiran Bautista</t>
  </si>
  <si>
    <t>Dominador A Bucalbos</t>
  </si>
  <si>
    <t>Joel P Rosario</t>
  </si>
  <si>
    <t>ANTONIO BERNARDO GALVEZ</t>
  </si>
  <si>
    <t>Sharon Rose P. Portillo</t>
  </si>
  <si>
    <t>Marjorie Munar Cabacungan</t>
  </si>
  <si>
    <t>Allen Mar P Antalan</t>
  </si>
  <si>
    <t>Edwardford Najera Dagatan</t>
  </si>
  <si>
    <t>Joshua Asturias Modina</t>
  </si>
  <si>
    <t>Anselmo Baldoza Mano</t>
  </si>
  <si>
    <t>Maria Concepcion Salcedo Florida</t>
  </si>
  <si>
    <t>Wencislao Jr. Calimlim Cagalitan</t>
  </si>
  <si>
    <t>Francis Ann Navarro Abainza</t>
  </si>
  <si>
    <t>ROSA DALAGUETE MANUEL</t>
  </si>
  <si>
    <t>Margie P Alanunay</t>
  </si>
  <si>
    <t>Samsudin Salik</t>
  </si>
  <si>
    <t>Araceli V Domagas</t>
  </si>
  <si>
    <t>Caysie Bagsit</t>
  </si>
  <si>
    <t>Rodolfo Felipe Jopio Jr.</t>
  </si>
  <si>
    <t>KARLA MEI BASQUEZ TAGUBA</t>
  </si>
  <si>
    <t>Flordelis Ceniza</t>
  </si>
  <si>
    <t>Wayne Oresco Calibayan</t>
  </si>
  <si>
    <t>DIEGO EBRADA BAYONITO</t>
  </si>
  <si>
    <t>Elden Tampus Padin</t>
  </si>
  <si>
    <t>MERIAM R. BENDOY</t>
  </si>
  <si>
    <t>CELSO A. MATIAS</t>
  </si>
  <si>
    <t>Roderick Casulla Macinas</t>
  </si>
  <si>
    <t>NOEL ZAPARITA OJASCASTRO</t>
  </si>
  <si>
    <t>Raymund Espino Garrido</t>
  </si>
  <si>
    <t>Lorenzo B Gahoy</t>
  </si>
  <si>
    <t>Isidra E. Tumale</t>
  </si>
  <si>
    <t>Marivic Santander Saniel</t>
  </si>
  <si>
    <t>Noel B. Maducdoc</t>
  </si>
  <si>
    <t>Jenelyn Capilitan Soria</t>
  </si>
  <si>
    <t>Rosalind Rosal Vasquez</t>
  </si>
  <si>
    <t>Corazon S Aquino</t>
  </si>
  <si>
    <t>Pablo Fianza Sanidad II</t>
  </si>
  <si>
    <t>GODWIN XAVIER F. NUÑEZ</t>
  </si>
  <si>
    <t>BAC SECRETARIAT, LGU-SANTIAGO CITY</t>
  </si>
  <si>
    <t>Jessica Garand Pasion</t>
  </si>
  <si>
    <t>NORBERTO , JR LUCASAN TALIDONG</t>
  </si>
  <si>
    <t>Nida Tordesillas Tuason</t>
  </si>
  <si>
    <t>LANI DEFENSOR SARDINA</t>
  </si>
  <si>
    <t>Wanessah Charmie Fadri Fardiquela</t>
  </si>
  <si>
    <t>Sol P. Molo</t>
  </si>
  <si>
    <t>PERPETUA MACABABBAD ONATE</t>
  </si>
  <si>
    <t>Rizaldy Colon Mercadal</t>
  </si>
  <si>
    <t>Rowena Agrito Mongoso</t>
  </si>
  <si>
    <t>Andro L. Colacion</t>
  </si>
  <si>
    <t>Willbert D Hosme</t>
  </si>
  <si>
    <t>Raniel R Cabasisi</t>
  </si>
  <si>
    <t>Joehar Sencio Salahuddin</t>
  </si>
  <si>
    <t>TEOFILO I CALUYA</t>
  </si>
  <si>
    <t>Maximo G. Lomosbog</t>
  </si>
  <si>
    <t>RANDELYN MAGLASANG BISQUERA</t>
  </si>
  <si>
    <t>DIOSCORO ALICARTE LARIDE</t>
  </si>
  <si>
    <t>LORETA CAYABYAB MARIÑAS</t>
  </si>
  <si>
    <t>JOSELITO E ABALOYAN</t>
  </si>
  <si>
    <t>Isabelo Miguel Ventura Abaño</t>
  </si>
  <si>
    <t>Policarpio Eli Fontanilla Jr.</t>
  </si>
  <si>
    <t>MANUEL AYSON</t>
  </si>
  <si>
    <t>Noel Aguillon Salvan</t>
  </si>
  <si>
    <t>FRANCES BENILAN TANGOG</t>
  </si>
  <si>
    <t>Engr. Noel Galacgac Coloma</t>
  </si>
  <si>
    <t>Ligaya M Antiola</t>
  </si>
  <si>
    <t>Reynaldo G Mariano</t>
  </si>
  <si>
    <t>ELVIS R. CUIZON</t>
  </si>
  <si>
    <t>Leonisa De Ramon  Romano</t>
  </si>
  <si>
    <t>Ma. Carlota Supillo Baral</t>
  </si>
  <si>
    <t>Armont C Pecina</t>
  </si>
  <si>
    <t>JEORGE ARIOLA TOMAS</t>
  </si>
  <si>
    <t>JERELA BIELLE AMERNA AUSTRIA</t>
  </si>
  <si>
    <t>DARIO K WAYAGWAG</t>
  </si>
  <si>
    <t>Epelita Mumar Andoy</t>
  </si>
  <si>
    <t>FRANCES SHANELLE GENERATO SALINAS</t>
  </si>
  <si>
    <t>PHOEBE AMON POTENCIOSO</t>
  </si>
  <si>
    <t>DIOSDADO A. PAULE</t>
  </si>
  <si>
    <t>Marivic Torres Pagala</t>
  </si>
  <si>
    <t>EDISON ALPARAN LORIAGA</t>
  </si>
  <si>
    <t>Michelle A Supena</t>
  </si>
  <si>
    <t>Azucena O Gonzales</t>
  </si>
  <si>
    <t>Perry Origenes Bague</t>
  </si>
  <si>
    <t>Christopher Anthony Magbojos Remos</t>
  </si>
  <si>
    <t>Zahra A Untong</t>
  </si>
  <si>
    <t>Domingo Prado Siobal</t>
  </si>
  <si>
    <t>Hilario Yoshy Casem</t>
  </si>
  <si>
    <t>VINOSA LAT ROBLES</t>
  </si>
  <si>
    <t>HERMILA D LAMBAN</t>
  </si>
  <si>
    <t>FELICISIMO EVANGELISTA MAXIMO</t>
  </si>
  <si>
    <t>Mariecel E Cornejo</t>
  </si>
  <si>
    <t>Welia  Caagbay Mundin</t>
  </si>
  <si>
    <t>AGOSTO BELINO BAOBAOEN</t>
  </si>
  <si>
    <t>Surita Juntilla Pedrozo</t>
  </si>
  <si>
    <t>Aldrin  Marquez  Carabio</t>
  </si>
  <si>
    <t>Edgardo Suidad Abante</t>
  </si>
  <si>
    <t>Rowena R. Roseos</t>
  </si>
  <si>
    <t>CHARINA BALUNSO BASILONIA</t>
  </si>
  <si>
    <t>Philip P. Garcia</t>
  </si>
  <si>
    <t>Hazel Bancale Dacillo</t>
  </si>
  <si>
    <t>Vicente B. Calag</t>
  </si>
  <si>
    <t>Liberty G. Capillo</t>
  </si>
  <si>
    <t>Allan C Medico</t>
  </si>
  <si>
    <t>Haide D. Daclan</t>
  </si>
  <si>
    <t>Roberto III Almazan Mirando</t>
  </si>
  <si>
    <t>BIDS And Awards Committee</t>
  </si>
  <si>
    <t>ADRIAN CORDITA COSTUYA</t>
  </si>
  <si>
    <t>Guy Villanueva Arellano</t>
  </si>
  <si>
    <t>Bacsec Centers</t>
  </si>
  <si>
    <t>Harvey C Jumawan</t>
  </si>
  <si>
    <t>REGIE PATAGOC</t>
  </si>
  <si>
    <t>Antonio Ma. Benito Tiano Calma</t>
  </si>
  <si>
    <t>Rosalie Plaza Espinoza</t>
  </si>
  <si>
    <t>Carol Zulueta Ramos</t>
  </si>
  <si>
    <t>Jamaica B. Balubal</t>
  </si>
  <si>
    <t>EDUARDO EBANA JAQUILMAC</t>
  </si>
  <si>
    <t>ANTONIETO F PACAYRA</t>
  </si>
  <si>
    <t>Hilarry Amigable Singalivo</t>
  </si>
  <si>
    <t>Florencio Formaran Parcarey</t>
  </si>
  <si>
    <t>Maricris S. Cabanayan</t>
  </si>
  <si>
    <t>RANDY ALLEN LAYAGUIN</t>
  </si>
  <si>
    <t>CESAR ROLDAN</t>
  </si>
  <si>
    <t>Gil Y. Miguel</t>
  </si>
  <si>
    <t>Ann Mariz Tablante Dalumpines</t>
  </si>
  <si>
    <t>Nim Rod Esguerra Bautista</t>
  </si>
  <si>
    <t>Freddie Uraga Villajuan</t>
  </si>
  <si>
    <t>JOSEPH IRWIN ANGALOT LAGURA</t>
  </si>
  <si>
    <t>Lady E. Abong</t>
  </si>
  <si>
    <t>Ma. Kristina Goylos Medalla</t>
  </si>
  <si>
    <t>Filma Tulen Maghinay</t>
  </si>
  <si>
    <t>Elmer Ogena Macenas</t>
  </si>
  <si>
    <t>Stanley B Uriarte</t>
  </si>
  <si>
    <t>PEPITO DICTAAN AMOYEN</t>
  </si>
  <si>
    <t>Teresa Bolima</t>
  </si>
  <si>
    <t>Cristina Olvido Gutierrez</t>
  </si>
  <si>
    <t>Leonisa L. Layosa</t>
  </si>
  <si>
    <t>Enrico Papag Limjuico</t>
  </si>
  <si>
    <t>Marlene  Castro  Sabado</t>
  </si>
  <si>
    <t>Editha Diaz Antonio</t>
  </si>
  <si>
    <t>Khristine Aquino Balagtas</t>
  </si>
  <si>
    <t>NIDA BLASCO MIÑOZA</t>
  </si>
  <si>
    <t>Warren Costales Garcia</t>
  </si>
  <si>
    <t>Anna Marie Palay Lagan</t>
  </si>
  <si>
    <t>Joseph Molina Apan</t>
  </si>
  <si>
    <t>Geminina Callada Fernando</t>
  </si>
  <si>
    <t>Ivy Dela Cruz Rugas</t>
  </si>
  <si>
    <t>LOUIS SAGRADO BOLLOZOS</t>
  </si>
  <si>
    <t>Delmor De Vera Pascual</t>
  </si>
  <si>
    <t>NIEL CARO ROSALES</t>
  </si>
  <si>
    <t>Rebecca Dampil Subillaga</t>
  </si>
  <si>
    <t>Dennis Tono Ventilacion</t>
  </si>
  <si>
    <t>Virgilio Monsod Cabueñas</t>
  </si>
  <si>
    <t>ROSEJOY TUAPEN MONTEJO</t>
  </si>
  <si>
    <t>Mary Jane Blanca Del Rosario</t>
  </si>
  <si>
    <t>Helen Pulmano Mabini</t>
  </si>
  <si>
    <t>Herbie B De Lemios</t>
  </si>
  <si>
    <t>MARY JANE BORBON GUAN</t>
  </si>
  <si>
    <t>Ivy Joy L. Castro</t>
  </si>
  <si>
    <t>Christine Joy Benin Anonuevo</t>
  </si>
  <si>
    <t>Ma Luz Buenaagua Francisco</t>
  </si>
  <si>
    <t>Jose, Jr. Ban-ao Balajo</t>
  </si>
  <si>
    <t>Paul Michael M Cuadra</t>
  </si>
  <si>
    <t>Candelaria Ubana Estremos</t>
  </si>
  <si>
    <t>MOISES L PECAYO</t>
  </si>
  <si>
    <t>Jonathan Orencio Reyes</t>
  </si>
  <si>
    <t>ANNA LHE BOLIVAR TULIO</t>
  </si>
  <si>
    <t>Mark Jayson R. Carabido</t>
  </si>
  <si>
    <t>Mary Ann P Halili</t>
  </si>
  <si>
    <t>ABDULRAHMAN MACASILANG ULAMA</t>
  </si>
  <si>
    <t>WILSON ALLONA</t>
  </si>
  <si>
    <t>Christine Joy S. Aclan-Pacalang</t>
  </si>
  <si>
    <t>Haydee Pasion</t>
  </si>
  <si>
    <t>Eva D. Bañares</t>
  </si>
  <si>
    <t>Emilio G. Quanico</t>
  </si>
  <si>
    <t>Necerio Lazarte</t>
  </si>
  <si>
    <t>Gonzalo Taguenca Pusta</t>
  </si>
  <si>
    <t>Merlinda P. Maata</t>
  </si>
  <si>
    <t>Shirley B. Valencia</t>
  </si>
  <si>
    <t>Marween Feraer Quiambao</t>
  </si>
  <si>
    <t>Leonora Lumayag Ofredo</t>
  </si>
  <si>
    <t xml:space="preserve">Ronnie  ? Ereguero </t>
  </si>
  <si>
    <t>Melca P. Jayona</t>
  </si>
  <si>
    <t>CORAZON A. YAMIT</t>
  </si>
  <si>
    <t>LUCY FE M ELLAR</t>
  </si>
  <si>
    <t>Reynald Meim Villacorta</t>
  </si>
  <si>
    <t>Renzjay Antonio Linsangan</t>
  </si>
  <si>
    <t>Donell Mark  Francisco Baranda</t>
  </si>
  <si>
    <t>Glenn Centino Quinto</t>
  </si>
  <si>
    <t>Nolly Adrian B. Gabule</t>
  </si>
  <si>
    <t>James Formoso Encarnacion</t>
  </si>
  <si>
    <t>EFREN MARBEBE</t>
  </si>
  <si>
    <t>Jeffin Dick M Vidal</t>
  </si>
  <si>
    <t>Jim Benzon R. Talavera</t>
  </si>
  <si>
    <t>Eric Torres Tejada</t>
  </si>
  <si>
    <t>Jocelyn Talanay Pantaleon</t>
  </si>
  <si>
    <t>Ma. A. Marietta Real Dulong</t>
  </si>
  <si>
    <t>Ma. Elina Romas Lipang</t>
  </si>
  <si>
    <t>Imelda D. Calinao</t>
  </si>
  <si>
    <t>Nelson Jr.  Sepe Lubguban</t>
  </si>
  <si>
    <t>Glyzl  A.  Tolentino</t>
  </si>
  <si>
    <t>Joseph Raphael De Guzman Francisco</t>
  </si>
  <si>
    <t>Jannes Detablan Cantones</t>
  </si>
  <si>
    <t>Renato S. Galang</t>
  </si>
  <si>
    <t>Maria Liezl Clam Gutang</t>
  </si>
  <si>
    <t>ESTRELLA T. SAPURAS</t>
  </si>
  <si>
    <t>Agnes Buena Agnas</t>
  </si>
  <si>
    <t>Jorge Olaer Madrona</t>
  </si>
  <si>
    <t>ORLANDO LIBORES ROMERO</t>
  </si>
  <si>
    <t>Helen B. Olaer</t>
  </si>
  <si>
    <t>Alfonso R Zara III</t>
  </si>
  <si>
    <t>Arjay G.  Alonzo</t>
  </si>
  <si>
    <t>Maricel Iglesia Panistante</t>
  </si>
  <si>
    <t>Marilou A. Gecosala</t>
  </si>
  <si>
    <t>Marietta Maata Cortes</t>
  </si>
  <si>
    <t>Roland David David</t>
  </si>
  <si>
    <t>Rico Atega Ygbuhay</t>
  </si>
  <si>
    <t>Bernadette F. Ang</t>
  </si>
  <si>
    <t>Elmer G Canios</t>
  </si>
  <si>
    <t>Jessica Ruiz Valdueza</t>
  </si>
  <si>
    <t>Jimmy Pastorfile Carandang</t>
  </si>
  <si>
    <t>Alain Richard Diaz Rosales</t>
  </si>
  <si>
    <t>TRIPON  MERCADO  CONDEZA</t>
  </si>
  <si>
    <t>Carol S Coloma</t>
  </si>
  <si>
    <t>Jocelyn D Melandres</t>
  </si>
  <si>
    <t>MA. ANTONIA GATIL RAFALES</t>
  </si>
  <si>
    <t>Marcial C. Comeros</t>
  </si>
  <si>
    <t>Romeo A. Beboso</t>
  </si>
  <si>
    <t>MARVIN E. LUCENA</t>
  </si>
  <si>
    <t>Romeo Jr. S Yacan</t>
  </si>
  <si>
    <t>Gregorio Reyes Wapelle Jr</t>
  </si>
  <si>
    <t>Irene Llamis Oco</t>
  </si>
  <si>
    <t>Lolita M. Jumalon</t>
  </si>
  <si>
    <t>Beverly O. Sabdani</t>
  </si>
  <si>
    <t>Ailen Boyles Ragas</t>
  </si>
  <si>
    <t>Reynilo D Garcia</t>
  </si>
  <si>
    <t>Maria Lucia Sanchez</t>
  </si>
  <si>
    <t>ANNALIZA LAUREO GARCIA</t>
  </si>
  <si>
    <t>Lynford A. Lagondi</t>
  </si>
  <si>
    <t>Erlinda B. Benter</t>
  </si>
  <si>
    <t>Norlyn Payot Sundo</t>
  </si>
  <si>
    <t>MARY FAMILLE PORTILLO IPAW</t>
  </si>
  <si>
    <t>SARAH JOY S. AGBAYANI</t>
  </si>
  <si>
    <t>Romeo Jr. Malco   Malacas</t>
  </si>
  <si>
    <t>Marian Carbonell Patosa</t>
  </si>
  <si>
    <t>Cynthia De Chavez Perez</t>
  </si>
  <si>
    <t>Aldren Galido Madelozo</t>
  </si>
  <si>
    <t>Ma. Estela Magno Gabiota</t>
  </si>
  <si>
    <t>LEIZEL ALBEZA MORA</t>
  </si>
  <si>
    <t>Amador Baldos Diaz</t>
  </si>
  <si>
    <t>Josafat Lindong Caipang</t>
  </si>
  <si>
    <t>Pedrito Mojica Serra</t>
  </si>
  <si>
    <t>FREDDIE C. BENDULO</t>
  </si>
  <si>
    <t>Allison Graza Nudo</t>
  </si>
  <si>
    <t>ELYNOR DE SAN ANDRES PUEBLA</t>
  </si>
  <si>
    <t>ERNEL PRAVA MAYONGUE</t>
  </si>
  <si>
    <t>ROEL F FLAMIANO</t>
  </si>
  <si>
    <t>Nancy Ebardaloza</t>
  </si>
  <si>
    <t>Rosario D Antenor</t>
  </si>
  <si>
    <t>ELI PAUL PERANTE RAYMUNDO</t>
  </si>
  <si>
    <t>Bienvenido Reyes Gonzales</t>
  </si>
  <si>
    <t>Roberto R. Dingding</t>
  </si>
  <si>
    <t xml:space="preserve">Mario Jr. Basilio Deraco </t>
  </si>
  <si>
    <t>Resurreccion De Guzman Abada</t>
  </si>
  <si>
    <t>Judeth M. Madelo</t>
  </si>
  <si>
    <t>Milbert Arnold Zurbano Racelis</t>
  </si>
  <si>
    <t>NOEL RYAN H. UY</t>
  </si>
  <si>
    <t>MARY ANN C. BELEN</t>
  </si>
  <si>
    <t>Ma. Emidith Vivian Cabsaba Joseph</t>
  </si>
  <si>
    <t>Cherryl Cerbo</t>
  </si>
  <si>
    <t>Roy Ian A Resplandor</t>
  </si>
  <si>
    <t>Robert M Valles</t>
  </si>
  <si>
    <t>ANGELINA RALLOS SOLIANO</t>
  </si>
  <si>
    <t>SOFRONIO B. DACILLO, JR.</t>
  </si>
  <si>
    <t>Romeo Emmanuel II C. Yarcia</t>
  </si>
  <si>
    <t>cipriano t cavite</t>
  </si>
  <si>
    <t>Jayna Fe Rabanes Modelo</t>
  </si>
  <si>
    <t>EDWIN REYES</t>
  </si>
  <si>
    <t>Jose Nolito Castor Tomulto</t>
  </si>
  <si>
    <t>COLEEN C LOMOLJO</t>
  </si>
  <si>
    <t>Julio Malanao Sampilo</t>
  </si>
  <si>
    <t>Ely Garcillano Ramos</t>
  </si>
  <si>
    <t>MARCOS M. KUSAIN, JD, MPA</t>
  </si>
  <si>
    <t>Lorena Obsiquo Escaro</t>
  </si>
  <si>
    <t>Marcela Deseo Blancada</t>
  </si>
  <si>
    <t>Juliene Villanueva Godoy</t>
  </si>
  <si>
    <t>Eric Floreta Labastilla</t>
  </si>
  <si>
    <t>Roque I. Verzosa III</t>
  </si>
  <si>
    <t>Melany Trinanes</t>
  </si>
  <si>
    <t>Aries Cañas Balboa</t>
  </si>
  <si>
    <t>Anna Lou Elaba Roales</t>
  </si>
  <si>
    <t>Kristine Meneses Torres</t>
  </si>
  <si>
    <t>Josephine A. Ruedas</t>
  </si>
  <si>
    <t>Carla Lorenzana Rosario</t>
  </si>
  <si>
    <t>Alvin Salonga Oliveros</t>
  </si>
  <si>
    <t>Benito C. Procia</t>
  </si>
  <si>
    <t>Tiburcio Jr. Tolentino Tabarrejo</t>
  </si>
  <si>
    <t>Christopher Lacea Malayan</t>
  </si>
  <si>
    <t>Marilyn Ulep Tolentino</t>
  </si>
  <si>
    <t>VILMA FACISTOL SIOCSON</t>
  </si>
  <si>
    <t>Sylvia Tanael</t>
  </si>
  <si>
    <t>JERRY R CENTRO</t>
  </si>
  <si>
    <t>Jezreel Gomez Ortega</t>
  </si>
  <si>
    <t>Zaiton Navarro Sumpo</t>
  </si>
  <si>
    <t>Raymundo Ayeng Sualog</t>
  </si>
  <si>
    <t>Antonio, Jr. Sarigumba Acuña</t>
  </si>
  <si>
    <t>Jose Ferdinand Laloy Gabrido</t>
  </si>
  <si>
    <t>Mila Creencia</t>
  </si>
  <si>
    <t>Arlene Q. Caisip</t>
  </si>
  <si>
    <t>Cliftone Kiteng Bangse-il</t>
  </si>
  <si>
    <t>Ella Mae F. Jayag</t>
  </si>
  <si>
    <t>WILMA AURELIO IBEA</t>
  </si>
  <si>
    <t>Sandae B. Lico</t>
  </si>
  <si>
    <t>Benhur V. Malana</t>
  </si>
  <si>
    <t>Karla Shane Ramos Patega</t>
  </si>
  <si>
    <t>MARLENE PAGSISIHAN ERNAS</t>
  </si>
  <si>
    <t>Rose Andrea V. Milaor</t>
  </si>
  <si>
    <t>Carmen B. Cortes</t>
  </si>
  <si>
    <t>Eva Cañeda</t>
  </si>
  <si>
    <t>MARIA IRMA PATRON RAMOS</t>
  </si>
  <si>
    <t>DEBORAH APAS MONTERO</t>
  </si>
  <si>
    <t>Ebenezer Presentacion Presentacion</t>
  </si>
  <si>
    <t>Aileen G. Cuevas</t>
  </si>
  <si>
    <t>PAUL BANTUGAN CUARTERO</t>
  </si>
  <si>
    <t>ELENITA LERIT</t>
  </si>
  <si>
    <t>SUSAN ARREGLO CABARON</t>
  </si>
  <si>
    <t>Emeliza Maniquiz Nogoy</t>
  </si>
  <si>
    <t>Xanthi Romeilla Jalon Vallicer</t>
  </si>
  <si>
    <t>ALEJANDRO B. DANGO Jr.</t>
  </si>
  <si>
    <t>Renel M. Malacapo</t>
  </si>
  <si>
    <t>Michael A. Piodena</t>
  </si>
  <si>
    <t>Precious D Yco</t>
  </si>
  <si>
    <t>Joseph Aldrin De Silva Magtanong</t>
  </si>
  <si>
    <t>Kristelle Balboa Dimarucot</t>
  </si>
  <si>
    <t>Marites S Penosa</t>
  </si>
  <si>
    <t>Cecilia Batas Damonsong</t>
  </si>
  <si>
    <t>Diogenes Laban Baniqued Posadas</t>
  </si>
  <si>
    <t>JENNY BEE HERBILLA RIVERA</t>
  </si>
  <si>
    <t>marianne ojeno samar</t>
  </si>
  <si>
    <t>FLORA  A.  JARILLA</t>
  </si>
  <si>
    <t>Murphy Ibañez</t>
  </si>
  <si>
    <t>Marilou Yu Macapil</t>
  </si>
  <si>
    <t>Marina Ingoy Balicoco</t>
  </si>
  <si>
    <t>EMERSON R LARUA</t>
  </si>
  <si>
    <t>VIOLETA V JAVAR</t>
  </si>
  <si>
    <t>Bernabe S Reputana Jr</t>
  </si>
  <si>
    <t>Magnolia T Flores</t>
  </si>
  <si>
    <t>Ronalyn Cabungcag</t>
  </si>
  <si>
    <t>Marilyn P. Duran</t>
  </si>
  <si>
    <t>JAY C MONTEROLA</t>
  </si>
  <si>
    <t>Marife Rendon</t>
  </si>
  <si>
    <t>JOY MAAN BAEZA MIRA</t>
  </si>
  <si>
    <t>Krizza Joy De La Cerna Tomugdan</t>
  </si>
  <si>
    <t>Reynaldo Ninon Manaog</t>
  </si>
  <si>
    <t>JARRATUL  SABARA  RADJID</t>
  </si>
  <si>
    <t>Dencio A Pagbilao</t>
  </si>
  <si>
    <t>MANUEL PARAYNO PARAYNO</t>
  </si>
  <si>
    <t>Arlene Doctolero Abogado</t>
  </si>
  <si>
    <t>Carmencita R Lisondra</t>
  </si>
  <si>
    <t>Julie Ann Dizon Malig</t>
  </si>
  <si>
    <t>Jimmy Cunanan Dancel</t>
  </si>
  <si>
    <t>ERMA DICHOSO ESCURO</t>
  </si>
  <si>
    <t>Miguela Biongcog</t>
  </si>
  <si>
    <t>Joel D. Friginal</t>
  </si>
  <si>
    <t>ANNABELLA SUGURAN GALLARDO</t>
  </si>
  <si>
    <t>Jake Malnegro Maglahus</t>
  </si>
  <si>
    <t>Cipriano Indencia Osunero</t>
  </si>
  <si>
    <t>Ma. Socorro Lacambra Domingo</t>
  </si>
  <si>
    <t>Eduardo Maquilang Pablo</t>
  </si>
  <si>
    <t>Gerardo Jr. Valdez Bocalan</t>
  </si>
  <si>
    <t>ODESSA T. MANLIGOY</t>
  </si>
  <si>
    <t>Vivian Jaquilmac Adajar</t>
  </si>
  <si>
    <t>Felix S. Billon</t>
  </si>
  <si>
    <t>Merly Basabe Lanon</t>
  </si>
  <si>
    <t>Carol Flores Diwa</t>
  </si>
  <si>
    <t>CEZARIO JOEL C ESPEJO</t>
  </si>
  <si>
    <t>Nikkolo Marco Aurelio V. Cortes</t>
  </si>
  <si>
    <t>IRISH A TORINO</t>
  </si>
  <si>
    <t>Marivie Gonzales Riparip</t>
  </si>
  <si>
    <t>Mary Grace A Dela Cruz</t>
  </si>
  <si>
    <t>Joelito Bueñafe</t>
  </si>
  <si>
    <t>ALLAN P. RAMBANO</t>
  </si>
  <si>
    <t>Carlo Fernando G. Logarta</t>
  </si>
  <si>
    <t>Vanesa C. Cutanda</t>
  </si>
  <si>
    <t>Irein E. Landicho</t>
  </si>
  <si>
    <t>DEZERIE BAUTISTA MECIJA</t>
  </si>
  <si>
    <t>Ian Luis C Aguila</t>
  </si>
  <si>
    <t>Antoinette F. Fernandez</t>
  </si>
  <si>
    <t>BYRON PAMATONG PATAG</t>
  </si>
  <si>
    <t>Rosita Ednalig Lagang</t>
  </si>
  <si>
    <t>Apollo Gamboa Gariando</t>
  </si>
  <si>
    <t>ANNA MARIE L. MUNDIN</t>
  </si>
  <si>
    <t>Aimee Antonio Jimeno</t>
  </si>
  <si>
    <t>LEO S. MATIAS</t>
  </si>
  <si>
    <t>Reynaldo Viduya Valenzuela</t>
  </si>
  <si>
    <t>Amancio Velasco, Sr.</t>
  </si>
  <si>
    <t>Joselyn Gonza Madrigallos</t>
  </si>
  <si>
    <t>MEZACH Y BEDONA</t>
  </si>
  <si>
    <t>JAYCIBETH TUNAC RAMIREZ</t>
  </si>
  <si>
    <t>Jonathan Ramos Viernes</t>
  </si>
  <si>
    <t>Jennifer Mateo Hobrero</t>
  </si>
  <si>
    <t>Minda B Bardiano</t>
  </si>
  <si>
    <t>Mariecon Pambid Vicente</t>
  </si>
  <si>
    <t>ALLAN B. MATIN-AW</t>
  </si>
  <si>
    <t>JOSEPHINE JIMENEZ DUMALAG</t>
  </si>
  <si>
    <t>Jahmil H. Asebo</t>
  </si>
  <si>
    <t>GREGORIO TURQUEZA</t>
  </si>
  <si>
    <t>Mia Marinelle Ramos Labuguen</t>
  </si>
  <si>
    <t>TERESITA FELICIDAD SACAYLE LUCAGBO</t>
  </si>
  <si>
    <t>MARIE VI SALUNDAGUIT FABRE</t>
  </si>
  <si>
    <t>Bernadette A Susvilla, Ed. D. CESO VI</t>
  </si>
  <si>
    <t>Ciscil B. Montemayor</t>
  </si>
  <si>
    <t>Perlito C. Oteyza</t>
  </si>
  <si>
    <t>JEFFREY TABUCO KHO</t>
  </si>
  <si>
    <t>Clariza Cabuello Estremera</t>
  </si>
  <si>
    <t>ENGR. JERICK D. ORLANES</t>
  </si>
  <si>
    <t>Minrad Quinto Tigno</t>
  </si>
  <si>
    <t>ALIHAR A. MAMA</t>
  </si>
  <si>
    <t>Lunrey B. Bagor</t>
  </si>
  <si>
    <t>Charo R Arugay</t>
  </si>
  <si>
    <t>Arman Borja Basbas</t>
  </si>
  <si>
    <t>KATHERINE J GUTIERREZ</t>
  </si>
  <si>
    <t>Rommel Pacaoncis Masongsong</t>
  </si>
  <si>
    <t>NONIELYN CABRERA RONQUILLO</t>
  </si>
  <si>
    <t>Jordan Ravanzo Sipsip</t>
  </si>
  <si>
    <t>ELMAR PASCUA PAGADUAN</t>
  </si>
  <si>
    <t>Jamin Busa Bernal</t>
  </si>
  <si>
    <t>PABLITO DALISAY AGILLON</t>
  </si>
  <si>
    <t>RUEL B. CUBERO</t>
  </si>
  <si>
    <t>Edlyn B Calaguan</t>
  </si>
  <si>
    <t>Rowel Galo Panilawon</t>
  </si>
  <si>
    <t>GIGI FLORES CORONEL</t>
  </si>
  <si>
    <t>Lovely Shirley Meguines Algodon</t>
  </si>
  <si>
    <t>EDUARDO GIAN MATUGAS</t>
  </si>
  <si>
    <t>JESSICA ACOLENTAVA OTIC</t>
  </si>
  <si>
    <t>Danilo P Polestico</t>
  </si>
  <si>
    <t>JEREMIAS RAÑOLA TUMAMAK</t>
  </si>
  <si>
    <t>JUBERT  D.  TUTOR</t>
  </si>
  <si>
    <t>Jessie Luceño</t>
  </si>
  <si>
    <t>Odessa Barba Tejada</t>
  </si>
  <si>
    <t>Mary- Ann R Lumag</t>
  </si>
  <si>
    <t>Emmaflor Cadao Gale</t>
  </si>
  <si>
    <t>JUANCHO PUNZALAN GATDULA</t>
  </si>
  <si>
    <t>Rogie A Sion</t>
  </si>
  <si>
    <t>Golda Kimberly M. Fernandez</t>
  </si>
  <si>
    <t>Al G Adla-on</t>
  </si>
  <si>
    <t>Wilfredo R Bartolini</t>
  </si>
  <si>
    <t>Edgar M Mendoza</t>
  </si>
  <si>
    <t>Efren C. Belicena</t>
  </si>
  <si>
    <t>Joemel Bolongaita Recamara</t>
  </si>
  <si>
    <t>Feliciano Jr. Maddawin Galupo</t>
  </si>
  <si>
    <t>LEAH BANARES TUBID</t>
  </si>
  <si>
    <t>Sherilyn Monserrat</t>
  </si>
  <si>
    <t>Donald De la Cruz Landero</t>
  </si>
  <si>
    <t>Romeo L Estember</t>
  </si>
  <si>
    <t>MA. CECILIA REYES POTESTADES</t>
  </si>
  <si>
    <t>Ana Marie L. Tayag</t>
  </si>
  <si>
    <t>Renoir A. Aguila</t>
  </si>
  <si>
    <t>Kristoffer Callangan Mangussad</t>
  </si>
  <si>
    <t>Brielgo Ochavillo Pagaran</t>
  </si>
  <si>
    <t>Joel De Leon</t>
  </si>
  <si>
    <t>RANDY R. LIGSANAN</t>
  </si>
  <si>
    <t>Prescilla Villar Libunao</t>
  </si>
  <si>
    <t>Jasmine Deguito</t>
  </si>
  <si>
    <t>Irene  Romero Arevalo</t>
  </si>
  <si>
    <t>Mary Jane  Cabreros</t>
  </si>
  <si>
    <t>LEAH ABORDO OBLIAN</t>
  </si>
  <si>
    <t>Ricardo Alvarado Sanchez</t>
  </si>
  <si>
    <t>JOSE L MANZANO</t>
  </si>
  <si>
    <t>Florian Faith Jr. Paghubasan Bayawa</t>
  </si>
  <si>
    <t>Luz S. Liloc</t>
  </si>
  <si>
    <t>CYNTHIA BACONGA PECORE</t>
  </si>
  <si>
    <t>Dhalie Dicen Almirol</t>
  </si>
  <si>
    <t>ORLANDO MUNDO ALMACIN</t>
  </si>
  <si>
    <t>Shiirley Ojerio B</t>
  </si>
  <si>
    <t>Annalyn R. Encomio</t>
  </si>
  <si>
    <t>Ma. Lourdes Evangelista Estrada</t>
  </si>
  <si>
    <t>Lani Maog Tumbaga</t>
  </si>
  <si>
    <t>Jenn Glaiza Gallego</t>
  </si>
  <si>
    <t>Armando Subiel Dumas</t>
  </si>
  <si>
    <t>JANUS C COSEP</t>
  </si>
  <si>
    <t>MARIA CONCEPCION ANTONIO DALERE</t>
  </si>
  <si>
    <t>Rebecca Enierga Valenzuela</t>
  </si>
  <si>
    <t>Marivic Yorong Morales</t>
  </si>
  <si>
    <t>Randy Miranda Matibag</t>
  </si>
  <si>
    <t>KRISTOFFER JOHN GALVAN AMBUEGUIA</t>
  </si>
  <si>
    <t>Shajid Peter Sales Salih</t>
  </si>
  <si>
    <t>Jay Manarang Francisco</t>
  </si>
  <si>
    <t>Aileene T Dagos</t>
  </si>
  <si>
    <t>Helen Antiporda Sumague</t>
  </si>
  <si>
    <t>Geraldine L Arrieta</t>
  </si>
  <si>
    <t>Bernadette Llacer Belleza</t>
  </si>
  <si>
    <t>Samuel Albino Fuertes</t>
  </si>
  <si>
    <t>Myrna Badilles Belgado</t>
  </si>
  <si>
    <t>MITA A. ABERGOS</t>
  </si>
  <si>
    <t>ronvie pangilinan masangya</t>
  </si>
  <si>
    <t>Julieta C Romen</t>
  </si>
  <si>
    <t>Salome D. Diel</t>
  </si>
  <si>
    <t>BAC SECRETARIAT STAFF</t>
  </si>
  <si>
    <t>EDITHA LOPEZ LARON</t>
  </si>
  <si>
    <t>John Reyl Larase Mosquito</t>
  </si>
  <si>
    <t>Jessie Canama Paquibo</t>
  </si>
  <si>
    <t>Allan Rey Del Castillo Hiponia</t>
  </si>
  <si>
    <t>NOLITO MATANGUIHAN</t>
  </si>
  <si>
    <t>NEOPOLO JR. LACSON MANALOTO</t>
  </si>
  <si>
    <t>Jenifer C. Alcain</t>
  </si>
  <si>
    <t>Jackson L. Pasamic</t>
  </si>
  <si>
    <t>MARIE JANE ABING CLAVERO</t>
  </si>
  <si>
    <t>Lito I Balarbar</t>
  </si>
  <si>
    <t>Romer Pacpaco Regucera</t>
  </si>
  <si>
    <t>Annielyn N JAVIER</t>
  </si>
  <si>
    <t>Rosanna Maratas Siega</t>
  </si>
  <si>
    <t>Ana Suzette Limguis Moreño</t>
  </si>
  <si>
    <t>Manuel M. Andes</t>
  </si>
  <si>
    <t>Zeus Sumaylo Lumancas</t>
  </si>
  <si>
    <t>Mary Joy Claveria Capones</t>
  </si>
  <si>
    <t>JOANN MANSILLA TACUYAN</t>
  </si>
  <si>
    <t>Hernadith Hinolan Casas</t>
  </si>
  <si>
    <t>CAROLINA C. UMIPIG</t>
  </si>
  <si>
    <t>Ramil Mendez Taculod</t>
  </si>
  <si>
    <t>Amelita Quinsay Londonio</t>
  </si>
  <si>
    <t>Wilbert Eusebio Jose</t>
  </si>
  <si>
    <t>JOAN PACALIOGA ABEJUELA</t>
  </si>
  <si>
    <t>EMMANUEL DE GUZMAN CABRAL</t>
  </si>
  <si>
    <t>Fe I Ramos</t>
  </si>
  <si>
    <t>ATTY. CHRISTY JOY S SOLLESTA</t>
  </si>
  <si>
    <t>ANGELA BARTOLOME DILAG</t>
  </si>
  <si>
    <t>Noel P Baldueza</t>
  </si>
  <si>
    <t>Reggie C Placido</t>
  </si>
  <si>
    <t>Levi P. Baldonado</t>
  </si>
  <si>
    <t>ADELFA RICO BELLO</t>
  </si>
  <si>
    <t>Ramilito P. Paloma</t>
  </si>
  <si>
    <t>RIZALITO DELA CRUZ VERGARA</t>
  </si>
  <si>
    <t>Shirley Cua San Luis</t>
  </si>
  <si>
    <t>Susan Diswe Costiniano</t>
  </si>
  <si>
    <t>GINA BATALLER LABE</t>
  </si>
  <si>
    <t>Catalina Jaylo</t>
  </si>
  <si>
    <t>Jorge A. Albinda</t>
  </si>
  <si>
    <t>Florante O. Enriquez</t>
  </si>
  <si>
    <t>Marilyn F. Chavez</t>
  </si>
  <si>
    <t>Anniewin Lumbres De Leon</t>
  </si>
  <si>
    <t>Arnel M Ruz</t>
  </si>
  <si>
    <t>IMELDA MATIBAG ABARINTOS</t>
  </si>
  <si>
    <t>Menchu Tabay Zingapan</t>
  </si>
  <si>
    <t>Merla A. Monje</t>
  </si>
  <si>
    <t>GIE-ANN HUBAHIB</t>
  </si>
  <si>
    <t>Salvador Guades Basa</t>
  </si>
  <si>
    <t>DENNIS MARTILLANO JAMBALOS</t>
  </si>
  <si>
    <t>Paulo F. Tagsip</t>
  </si>
  <si>
    <t>ROMEL BARIA BALISANG</t>
  </si>
  <si>
    <t>Arthur Olandria Yana</t>
  </si>
  <si>
    <t>Jeffrey F Zamora</t>
  </si>
  <si>
    <t>Melinda D Deyto</t>
  </si>
  <si>
    <t>Mary Jean Jose Bañaga</t>
  </si>
  <si>
    <t>VINCENT RON B BACOL</t>
  </si>
  <si>
    <t>May Rose Dejaro  Denolang</t>
  </si>
  <si>
    <t>Joyce De Vera</t>
  </si>
  <si>
    <t>Marlon Salutan Dubla</t>
  </si>
  <si>
    <t>Adolfa A. Creayla</t>
  </si>
  <si>
    <t>YUSOP ARBISON WEE</t>
  </si>
  <si>
    <t>Melanie Alabat Jalover</t>
  </si>
  <si>
    <t>Evangeline Balan Lorenzo</t>
  </si>
  <si>
    <t>chito bardelosa niegas</t>
  </si>
  <si>
    <t>ELMER CEZAR ASPE ZALETA</t>
  </si>
  <si>
    <t>Ma. Czarina Aguil Subillaga</t>
  </si>
  <si>
    <t>Eli A. Olifernes</t>
  </si>
  <si>
    <t>Cheryll  Villareal</t>
  </si>
  <si>
    <t>James Frawley Sacueza Savellano</t>
  </si>
  <si>
    <t>Jessie P. dela Rosa</t>
  </si>
  <si>
    <t>Arni Nidoy Abad</t>
  </si>
  <si>
    <t>Eugenio T. Rosete</t>
  </si>
  <si>
    <t>Aida M. Cinco</t>
  </si>
  <si>
    <t>Leilynn P Edar</t>
  </si>
  <si>
    <t>Emilyn Galicia Magracia</t>
  </si>
  <si>
    <t>Janet D Flores</t>
  </si>
  <si>
    <t>Rudy Escoto Metante</t>
  </si>
  <si>
    <t>Mary Ann Jacaba Hambre</t>
  </si>
  <si>
    <t>MARCELO D. MISLANG</t>
  </si>
  <si>
    <t>Maria Juliana A. Toribio</t>
  </si>
  <si>
    <t>Procurement Management Unit DBP - Head Office</t>
  </si>
  <si>
    <t>Annalyne Abenido  Zaballero</t>
  </si>
  <si>
    <t>Laudemir S. Salac</t>
  </si>
  <si>
    <t>FLORIE V RASDAS</t>
  </si>
  <si>
    <t>ALLEN M FORTES</t>
  </si>
  <si>
    <t>Lea Ann M. Gamban</t>
  </si>
  <si>
    <t>Chirry Lyn Bagalihog Arayan</t>
  </si>
  <si>
    <t>Editha V. Aguinaldo, MPA</t>
  </si>
  <si>
    <t>Antonio Mendoza Bautista</t>
  </si>
  <si>
    <t>Joseph Roy Quezon Suhayon</t>
  </si>
  <si>
    <t>REYNALD V. SAMBRANO</t>
  </si>
  <si>
    <t>VICTOR LUZA LAGUNA</t>
  </si>
  <si>
    <t>CESAR B. RETES</t>
  </si>
  <si>
    <t>GLENDA SUBRASTAS GONZALES</t>
  </si>
  <si>
    <t>LILIBETH JAVIER DIONEZA</t>
  </si>
  <si>
    <t>Renzo Iray De Leon</t>
  </si>
  <si>
    <t>JERSON D. REYES</t>
  </si>
  <si>
    <t>MIRIAM CAHAPAY OLAYVAR</t>
  </si>
  <si>
    <t>NASUL ARAS SAJILI</t>
  </si>
  <si>
    <t>Marialyn Planes Utana</t>
  </si>
  <si>
    <t>Mark Chester Anthony Gariando Tamayo</t>
  </si>
  <si>
    <t>Mitos Villareal Royo</t>
  </si>
  <si>
    <t>Edwina C. Carriedo</t>
  </si>
  <si>
    <t>Miguel Jr. D. Tolentino</t>
  </si>
  <si>
    <t>Mark Jenar A. Marquez</t>
  </si>
  <si>
    <t>Roland Cuenca Grijalvo</t>
  </si>
  <si>
    <t>Hilaria Estoquia Hora</t>
  </si>
  <si>
    <t>Jonas Santos Escobar</t>
  </si>
  <si>
    <t>SANTEE C ESPARES</t>
  </si>
  <si>
    <t>Sidney Laxamana</t>
  </si>
  <si>
    <t>Leo C. Cabaruan</t>
  </si>
  <si>
    <t>Jan Michael Clifford Bugtong</t>
  </si>
  <si>
    <t>Mercy Gavino Valgomera</t>
  </si>
  <si>
    <t>Sharon Madamba Agbayani</t>
  </si>
  <si>
    <t>JAMES DIZON GUAZO</t>
  </si>
  <si>
    <t>Minna Balagtas Galang</t>
  </si>
  <si>
    <t>Azlek Owen B. Tan</t>
  </si>
  <si>
    <t>Ronnie Carpio</t>
  </si>
  <si>
    <t>Ivy M. Rillera</t>
  </si>
  <si>
    <t>Rene Maslog</t>
  </si>
  <si>
    <t>Aileen L Bonghanoy</t>
  </si>
  <si>
    <t>ERLINDA F. MANIPON</t>
  </si>
  <si>
    <t>ELIOSA  R.  YUMUL</t>
  </si>
  <si>
    <t>Merlin Paala</t>
  </si>
  <si>
    <t>Richard Pandita Sanlocan</t>
  </si>
  <si>
    <t>SHIELLA MAY MANGOBA CORDOVA</t>
  </si>
  <si>
    <t>Jovie Mayne Legaspi-Valdez</t>
  </si>
  <si>
    <t>KRISTINE KAY T BALINGBING</t>
  </si>
  <si>
    <t>Gely Comendador</t>
  </si>
  <si>
    <t>Mary Fatima Marilao</t>
  </si>
  <si>
    <t>FRANK FALANGAN FANGED</t>
  </si>
  <si>
    <t>Divina Gracia Binuya</t>
  </si>
  <si>
    <t>Ninez B. Regalado</t>
  </si>
  <si>
    <t>Marino Merano Silagan Jr.</t>
  </si>
  <si>
    <t>Aileen Aleste</t>
  </si>
  <si>
    <t>Michael  Mercado Caisip</t>
  </si>
  <si>
    <t>Ma. Rita Fallorina Ongbit</t>
  </si>
  <si>
    <t>Ernesto E Tañada</t>
  </si>
  <si>
    <t>Zammuel Arellano Bernales</t>
  </si>
  <si>
    <t>Zenaida Lozada Bontilao</t>
  </si>
  <si>
    <t>ALICIA RENTILLO JUGADO</t>
  </si>
  <si>
    <t>Cecille Arao Briones</t>
  </si>
  <si>
    <t>Dario Narvaez Camarador</t>
  </si>
  <si>
    <t>Mayren Joy Hapitan Balindoa</t>
  </si>
  <si>
    <t>Olga Enriquez Macadaan</t>
  </si>
  <si>
    <t>NIÑO ROSANA TIAMA</t>
  </si>
  <si>
    <t>RANIL COLE LEGARDE</t>
  </si>
  <si>
    <t>EDEN MERCADO SANTOS</t>
  </si>
  <si>
    <t>NIÑO L. SUSA</t>
  </si>
  <si>
    <t>ROSARIO TAGAYO TILLAY</t>
  </si>
  <si>
    <t>GABRIEL MARK BACSAL OCENAR</t>
  </si>
  <si>
    <t>Dr. Monette M Martin</t>
  </si>
  <si>
    <t>ALLENE GARTH ALQUIZAR FERNANDEZ</t>
  </si>
  <si>
    <t>James Beltran</t>
  </si>
  <si>
    <t>April Saliba Bragado</t>
  </si>
  <si>
    <t>Roberto De Guzman Estrella</t>
  </si>
  <si>
    <t>Lorna Andres Herrera</t>
  </si>
  <si>
    <t>Jennifer Principe Esteban</t>
  </si>
  <si>
    <t>Celia M Perez</t>
  </si>
  <si>
    <t>VICTORIA LAGUNA SUMALDE</t>
  </si>
  <si>
    <t>Loraine Cabahug Brillantes</t>
  </si>
  <si>
    <t>Lucita T. Orfilla</t>
  </si>
  <si>
    <t>AICEL NECY F MARTINEZ</t>
  </si>
  <si>
    <t>Marnell Carreon Ubaldo</t>
  </si>
  <si>
    <t>Danilo Mendoza Tuaño</t>
  </si>
  <si>
    <t>PATRICIA TAN MARA</t>
  </si>
  <si>
    <t>Jayvee L. Lanciola</t>
  </si>
  <si>
    <t>EDSON III CASTRO TANDOC</t>
  </si>
  <si>
    <t>ERNESTO AQUINO MANEGDEG</t>
  </si>
  <si>
    <t>ROSALIN SIMPIA SUROPIA</t>
  </si>
  <si>
    <t>Ariel E Fangonilo</t>
  </si>
  <si>
    <t>Reynaldo Jr. C. Paruñgao</t>
  </si>
  <si>
    <t>Adrian Magcamit Aguilar</t>
  </si>
  <si>
    <t>Abdulrakman Mokamad</t>
  </si>
  <si>
    <t>Clarence C Morales</t>
  </si>
  <si>
    <t>JAMES CINO ESTOYA</t>
  </si>
  <si>
    <t>EVELYN  S.  LOZARITA</t>
  </si>
  <si>
    <t>Mila C Altura</t>
  </si>
  <si>
    <t>Jesusa Maagad Abear</t>
  </si>
  <si>
    <t>Eufrecenia A. Bernardo</t>
  </si>
  <si>
    <t>Jayson Barbara Florendo</t>
  </si>
  <si>
    <t>MARCELO JUANICH PADILLA</t>
  </si>
  <si>
    <t>Harvy B. Calabio</t>
  </si>
  <si>
    <t>Sunshine Rhina R Caunin</t>
  </si>
  <si>
    <t>Ofelia Escobarte Nacional</t>
  </si>
  <si>
    <t>Laurence Joseph R. Tadiar</t>
  </si>
  <si>
    <t>Alex Rivas Literato</t>
  </si>
  <si>
    <t>Christian Immanuel Evangelista Vargas</t>
  </si>
  <si>
    <t>Dinah Quimbo Ortezuela</t>
  </si>
  <si>
    <t>ATTY. NICHOLAS S. MARASIGAN</t>
  </si>
  <si>
    <t>SHIRLEY SENA SIGUE</t>
  </si>
  <si>
    <t>ILUMINADA O. RUBA</t>
  </si>
  <si>
    <t>Alexander Maniago Co</t>
  </si>
  <si>
    <t>Marie Ann Cristobal Leoncio</t>
  </si>
  <si>
    <t>Jose Albert A Barrogo</t>
  </si>
  <si>
    <t>Chona Lou C Fulinara</t>
  </si>
  <si>
    <t>ROCHELLE  SALES ACTUB</t>
  </si>
  <si>
    <t>LANE EVANGELISTA PAULAR</t>
  </si>
  <si>
    <t>Marilen L Santiago</t>
  </si>
  <si>
    <t>Richard Angel M. Arboleda</t>
  </si>
  <si>
    <t>Ma. Shirley Abanador Macawile</t>
  </si>
  <si>
    <t>Regino  Mirafuentes  Rama</t>
  </si>
  <si>
    <t>ENCARNACION B. SIKAT</t>
  </si>
  <si>
    <t>ARISTON TARROQUIN TORCELINO</t>
  </si>
  <si>
    <t>Edwin Delos Santos Maliksi</t>
  </si>
  <si>
    <t>Alver Abaya Mijares</t>
  </si>
  <si>
    <t>Donnabel Manzano Justo</t>
  </si>
  <si>
    <t>Glodyn Trocio Talledo</t>
  </si>
  <si>
    <t>Vanessa A Dela Torre</t>
  </si>
  <si>
    <t>FELOMENA S CABACTULAN</t>
  </si>
  <si>
    <t>PAQUITO P DABUET</t>
  </si>
  <si>
    <t>LYNN GOZAR MENDOZA</t>
  </si>
  <si>
    <t>REYNALDO  ORETA GALICIA</t>
  </si>
  <si>
    <t>Mary Grace Garcia Soriano</t>
  </si>
  <si>
    <t>Manuel  Arguelles Alastre</t>
  </si>
  <si>
    <t>Cynthia Faustino Delgado</t>
  </si>
  <si>
    <t>Christian Noel D. Castillo</t>
  </si>
  <si>
    <t>Romulo Jr Balayo Lamson</t>
  </si>
  <si>
    <t>Janet Gonzales Villafranca</t>
  </si>
  <si>
    <t>Mark Joseph Pitpit Dilan</t>
  </si>
  <si>
    <t>Vicenta M. Natividad</t>
  </si>
  <si>
    <t>IMELDA ANANO ALBUTRA</t>
  </si>
  <si>
    <t>Henjie Albete Ramirez</t>
  </si>
  <si>
    <t>Julieto R. Yahot</t>
  </si>
  <si>
    <t>Jaypee Villanueva Patricio</t>
  </si>
  <si>
    <t>FEDERICO V PAGUINTO</t>
  </si>
  <si>
    <t>Pitchit  Fernandez  Basquez</t>
  </si>
  <si>
    <t>BAC Secretariat</t>
  </si>
  <si>
    <t>Rene E Maning</t>
  </si>
  <si>
    <t>Jenet NEGRILLO PERIA</t>
  </si>
  <si>
    <t>Charitie Dagsa Gabito</t>
  </si>
  <si>
    <t>Elna Bacayo Valenzuela</t>
  </si>
  <si>
    <t>Elizabeth B. Del Fin</t>
  </si>
  <si>
    <t>Rovic G. Pantua</t>
  </si>
  <si>
    <t>SHEILLO GEM  B.  CUTAMORA</t>
  </si>
  <si>
    <t>Michael Ian Galleros Ceballos</t>
  </si>
  <si>
    <t>Shiela Cueto Zulueta</t>
  </si>
  <si>
    <t>Hamza M. Boloto</t>
  </si>
  <si>
    <t>Vincent Jake E. Castillo</t>
  </si>
  <si>
    <t>DAHLEAH SOTTO REYES</t>
  </si>
  <si>
    <t>Juvylyn Viajar Bitang</t>
  </si>
  <si>
    <t>Paul Joseph  Yen Reyes</t>
  </si>
  <si>
    <t>Jaime Dapula Omaña</t>
  </si>
  <si>
    <t>Flordeliza  Villanoy Cansancio</t>
  </si>
  <si>
    <t>Letecia Arevalo Peñalosa</t>
  </si>
  <si>
    <t>Dhom Lozano</t>
  </si>
  <si>
    <t>Glen Mary Fiecas Sim</t>
  </si>
  <si>
    <t>fredericka F. ferriol</t>
  </si>
  <si>
    <t>JUNE ILYN TERADO ESTEBAN</t>
  </si>
  <si>
    <t>Ruby Dedace Abriol</t>
  </si>
  <si>
    <t>Allan Taranza Pereyras</t>
  </si>
  <si>
    <t>Remegio Lao Saniel</t>
  </si>
  <si>
    <t>Juneil L. Amarela</t>
  </si>
  <si>
    <t>Mark Joseph Roque Dampil</t>
  </si>
  <si>
    <t>Jonefe Gomez Ocasla</t>
  </si>
  <si>
    <t>Brgy. 09 Catbalogan</t>
  </si>
  <si>
    <t>CHAVELLE FERRAREN ALONSO</t>
  </si>
  <si>
    <t>June   C.  Caberoy</t>
  </si>
  <si>
    <t>Reynaldo Sumagaysay Belgira</t>
  </si>
  <si>
    <t>Mary Ann Maramag Beltran</t>
  </si>
  <si>
    <t>NOEMI V. BALAIS</t>
  </si>
  <si>
    <t>Restituto Busbos Bautista</t>
  </si>
  <si>
    <t>Jhenevy Monel Diamate</t>
  </si>
  <si>
    <t>Romeo L Tuddao</t>
  </si>
  <si>
    <t>Rajie Moctao Fernando</t>
  </si>
  <si>
    <t>Kenneth Joy Tomas Arteza</t>
  </si>
  <si>
    <t>FRANCIS ELLORIMO</t>
  </si>
  <si>
    <t>GERSON JUNGCO ESCANDER</t>
  </si>
  <si>
    <t>ATTY. EDGARDO J. GIL</t>
  </si>
  <si>
    <t>Melinda R Abanilla</t>
  </si>
  <si>
    <t>Armand Aquino</t>
  </si>
  <si>
    <t>Felisa R Ebreo</t>
  </si>
  <si>
    <t>Arnel Villamor Esller</t>
  </si>
  <si>
    <t>DENNIS BAYUWAN BAGYON</t>
  </si>
  <si>
    <t>Liezel Cornitez Patron</t>
  </si>
  <si>
    <t>MARIA LUCIA RANIN REQUEJO</t>
  </si>
  <si>
    <t>REMEGIO GASCON DUYAN</t>
  </si>
  <si>
    <t>Marivic Ramos Baybay</t>
  </si>
  <si>
    <t>Cyril D. Valencerina</t>
  </si>
  <si>
    <t>Jesse II R Initan</t>
  </si>
  <si>
    <t>Edgardo C. Ramos</t>
  </si>
  <si>
    <t>RAYMUND R. MATEO</t>
  </si>
  <si>
    <t>DEBBIE HERRAS ESCURO</t>
  </si>
  <si>
    <t>WILBERTO O. CASTILLO</t>
  </si>
  <si>
    <t>Lorelyn Balingit Berberio</t>
  </si>
  <si>
    <t>Catherine Marissa Puerto Lucero</t>
  </si>
  <si>
    <t>EDITH BILLONES ORCULLO</t>
  </si>
  <si>
    <t>MARIA TERESA HOCSON MIRABUENO</t>
  </si>
  <si>
    <t>ronilo ligon chico</t>
  </si>
  <si>
    <t>Teresita L. Vitug</t>
  </si>
  <si>
    <t>Princess dela Cruz</t>
  </si>
  <si>
    <t>MA ROWENA REGALARIO TURNO</t>
  </si>
  <si>
    <t>RAY PAROJINOG VIRTUDEZ</t>
  </si>
  <si>
    <t>Vivien Soliven Tunac</t>
  </si>
  <si>
    <t>Gilbert Cuaresma</t>
  </si>
  <si>
    <t>Cyde Dionaldo Gatpandan</t>
  </si>
  <si>
    <t>Efren  Turno  Acaso</t>
  </si>
  <si>
    <t>Joseph Bantiquite Nipay</t>
  </si>
  <si>
    <t>Lamberto Santos Ramos</t>
  </si>
  <si>
    <t>ROWENA MACQUIAN ISAYAS</t>
  </si>
  <si>
    <t>DIONISIO WALAWAD LINDUGAN</t>
  </si>
  <si>
    <t>Mamerta Pronto Aquino</t>
  </si>
  <si>
    <t>CLEOFE TUBA Polido</t>
  </si>
  <si>
    <t>Melanie Obillo Manipon</t>
  </si>
  <si>
    <t>FELIPE C BETINOL</t>
  </si>
  <si>
    <t>Ricardo M Tupaz</t>
  </si>
  <si>
    <t>Myrna E. Neri</t>
  </si>
  <si>
    <t>ERLINDA FONTANOS MANIPON</t>
  </si>
  <si>
    <t>Corleto A Paramio</t>
  </si>
  <si>
    <t>TITO JR LUCES AYCARDO</t>
  </si>
  <si>
    <t>DOMINADOR FAMACION BOMOTANO</t>
  </si>
  <si>
    <t>WALTER L. RUIZO</t>
  </si>
  <si>
    <t>Jennifer Loquillano Mayang-Aligado</t>
  </si>
  <si>
    <t>Diomedes C Palor</t>
  </si>
  <si>
    <t>Ruel Salumbides Lazona</t>
  </si>
  <si>
    <t>Lovely Niegos Lomigo</t>
  </si>
  <si>
    <t>Mercedita Binoya Maluenda</t>
  </si>
  <si>
    <t>JAHZEEL L ABION</t>
  </si>
  <si>
    <t>ANTONIO O. SANTOS</t>
  </si>
  <si>
    <t>Beulah Leah Libertad Pailagao</t>
  </si>
  <si>
    <t>LYROSE LAVARRO BANAWA</t>
  </si>
  <si>
    <t>Dolores Carig Tendero</t>
  </si>
  <si>
    <t>Princess Charmaine Maribujoc Ortiz</t>
  </si>
  <si>
    <t>JOHN CHRISTIAN MANAGAD SIOCO</t>
  </si>
  <si>
    <t>Marife Moron Jabon</t>
  </si>
  <si>
    <t>Karla A. Gencianos</t>
  </si>
  <si>
    <t>Laurence Bryan R. Malana</t>
  </si>
  <si>
    <t>Orencio Luba Plocios</t>
  </si>
  <si>
    <t>Brenjune Bliss Gerong Calapre</t>
  </si>
  <si>
    <t>Lourdes B. Dolotina</t>
  </si>
  <si>
    <t>Lita Godinez Canda</t>
  </si>
  <si>
    <t>Antonio T Chan</t>
  </si>
  <si>
    <t>Liza Roque Leaño</t>
  </si>
  <si>
    <t>Poliver Laurente Tumaneng</t>
  </si>
  <si>
    <t>ALBERTO A JUBILO</t>
  </si>
  <si>
    <t>Alex Medina Comia</t>
  </si>
  <si>
    <t>Ma. Jonalyn Rollon Villar</t>
  </si>
  <si>
    <t>John Salvacion Sambajon</t>
  </si>
  <si>
    <t>Charmaine Santos</t>
  </si>
  <si>
    <t>Jenny Quimpan Puli</t>
  </si>
  <si>
    <t>Rosella Daraog Darcera</t>
  </si>
  <si>
    <t>LILYBETH QUILLO ARIZALA</t>
  </si>
  <si>
    <t>Yondre Jaen Yonder</t>
  </si>
  <si>
    <t>Perry N. Nava</t>
  </si>
  <si>
    <t>Amorito Cortez Mauricio</t>
  </si>
  <si>
    <t>Lily Opano Tuiza</t>
  </si>
  <si>
    <t>Emerson John Exclamado Fernandez</t>
  </si>
  <si>
    <t>Anthony A. Ferrolino</t>
  </si>
  <si>
    <t>Amalia Acay Ibarra</t>
  </si>
  <si>
    <t>Debielyn B. Santos</t>
  </si>
  <si>
    <t>Virginia Dumbrique Gaoiran</t>
  </si>
  <si>
    <t>Teresita Morata De Sena</t>
  </si>
  <si>
    <t>Michelle Retamar Roldan</t>
  </si>
  <si>
    <t>Filomena S Acidera</t>
  </si>
  <si>
    <t>Bacilisa Cuento de Castro</t>
  </si>
  <si>
    <t>Ma. Liza Candelaria Ortiz</t>
  </si>
  <si>
    <t>ALADIN MABBORANG PASCUAL</t>
  </si>
  <si>
    <t>WARLITO M ABAYON JR.</t>
  </si>
  <si>
    <t>MILDRED B. CASTILLO</t>
  </si>
  <si>
    <t>Jonathan L Buscato</t>
  </si>
  <si>
    <t>Wilma G. Udalve</t>
  </si>
  <si>
    <t>EMILIANA D. RUSTIA</t>
  </si>
  <si>
    <t>Ermel D Jao</t>
  </si>
  <si>
    <t>Franklin Aquino Salcedo</t>
  </si>
  <si>
    <t>Jose Alcantara Clarion, Jr.</t>
  </si>
  <si>
    <t>THEODORE MAZO ROJAS</t>
  </si>
  <si>
    <t>MARIA ROWENA BRIONES GOZOS</t>
  </si>
  <si>
    <t>Edna C. Padayao</t>
  </si>
  <si>
    <t>Jenny Igsoc  Calejesan</t>
  </si>
  <si>
    <t>MARIA LOURDES PEREA TIANGCO</t>
  </si>
  <si>
    <t>Marilyn Binasoy Rodriguez</t>
  </si>
  <si>
    <t>JESUSA V PUNZALAN</t>
  </si>
  <si>
    <t>JOSIE POLICARPIO CORONEL</t>
  </si>
  <si>
    <t>Joycelyn Calibuso  Leonzon</t>
  </si>
  <si>
    <t>Candelaria Tamera Motin</t>
  </si>
  <si>
    <t>Lusdoc, Jr. Peliño Atanacio</t>
  </si>
  <si>
    <t>Venus C. Solano</t>
  </si>
  <si>
    <t>Freddie B. Caday</t>
  </si>
  <si>
    <t>Honrado Solis Solis</t>
  </si>
  <si>
    <t>Vlademer Villalba Brit</t>
  </si>
  <si>
    <t>Mercedes Inway Luto</t>
  </si>
  <si>
    <t>CHERRY ANN BANIEL</t>
  </si>
  <si>
    <t>MINA JOY ANTONIO ACUZAR</t>
  </si>
  <si>
    <t>Noel I Yatco</t>
  </si>
  <si>
    <t>Arturo Velasco Maglaya</t>
  </si>
  <si>
    <t>Mervin Fuentes Baula</t>
  </si>
  <si>
    <t>FREDERICK ORTEZA DELA CRUZ</t>
  </si>
  <si>
    <t>Loreto G. Castino</t>
  </si>
  <si>
    <t>CRESENDA GAYOSA GAYOSO</t>
  </si>
  <si>
    <t>Elton Gurro Panulaya</t>
  </si>
  <si>
    <t>GIL GABRIEL HIDALGO BORDADO III</t>
  </si>
  <si>
    <t>Ellyne Marie Kee Aligarbes</t>
  </si>
  <si>
    <t>KHAD M LAYAG</t>
  </si>
  <si>
    <t>LILIA DIAZ DE GUZMAN</t>
  </si>
  <si>
    <t>Benson Empalmado</t>
  </si>
  <si>
    <t>Aiza F. Familara</t>
  </si>
  <si>
    <t>Debby Catherine Castillo Segui</t>
  </si>
  <si>
    <t>EVELYN NALAUNAN DALISAY</t>
  </si>
  <si>
    <t>Irna Nadayag Mallari</t>
  </si>
  <si>
    <t xml:space="preserve">MYLEN  LEGASPINA  GONZAGA </t>
  </si>
  <si>
    <t>Henedina Elarcosa</t>
  </si>
  <si>
    <t>EYMARD CAPERIÑA ANGULO</t>
  </si>
  <si>
    <t>Perfecto B Taduran</t>
  </si>
  <si>
    <t>Ronaldo Libranza Pino</t>
  </si>
  <si>
    <t>Rosemarie S Espino</t>
  </si>
  <si>
    <t>Mary Joy B. Catangui</t>
  </si>
  <si>
    <t>Genaro C. Garay</t>
  </si>
  <si>
    <t>ROSELYN ANN R. BAGASOL</t>
  </si>
  <si>
    <t>Norman S. Bautista</t>
  </si>
  <si>
    <t>Neri Tadeo Beley</t>
  </si>
  <si>
    <t>Jay Legaspi Cabiles</t>
  </si>
  <si>
    <t>Farhan M Ambiong</t>
  </si>
  <si>
    <t>PIO ESTOCE MELANCOLICO</t>
  </si>
  <si>
    <t>Janet A. Pumalo</t>
  </si>
  <si>
    <t>Joven P Marcial</t>
  </si>
  <si>
    <t>Marito M Sinadjan</t>
  </si>
  <si>
    <t>Lea Ordinario Abando</t>
  </si>
  <si>
    <t>Michael P Arayan</t>
  </si>
  <si>
    <t>Mary Jofel C Santelices</t>
  </si>
  <si>
    <t>MEYCE ALAURIN MORALES</t>
  </si>
  <si>
    <t>Herbert Bodoso</t>
  </si>
  <si>
    <t>Phibely Pudico Nisperos</t>
  </si>
  <si>
    <t>Noel A Sillan</t>
  </si>
  <si>
    <t>Rowena Pavillar Bulfa</t>
  </si>
  <si>
    <t>Evelyn G Orcajada</t>
  </si>
  <si>
    <t>EMMANUEL B. SARMIENTO</t>
  </si>
  <si>
    <t>Gilbert C. Colegado</t>
  </si>
  <si>
    <t>James Molejon Repita</t>
  </si>
  <si>
    <t>Ceneza  Dela Cruz Dacumos</t>
  </si>
  <si>
    <t>MARIO  BEDRIJO  URSAL</t>
  </si>
  <si>
    <t>Melanio B. De vera</t>
  </si>
  <si>
    <t>Merrynette Atanante Abella</t>
  </si>
  <si>
    <t>Adel L. Mangaliag</t>
  </si>
  <si>
    <t>Bienvenido L Borra</t>
  </si>
  <si>
    <t>Anna Karla Mae Postor Grindulo</t>
  </si>
  <si>
    <t>Jenny  Ardales Rubrico</t>
  </si>
  <si>
    <t>Rodel T. Espiritu</t>
  </si>
  <si>
    <t>Gil Banal Salen</t>
  </si>
  <si>
    <t>Engr Renie R Albarina</t>
  </si>
  <si>
    <t>Earl Dompales Nalzaro</t>
  </si>
  <si>
    <t>Lucil I Montermoso</t>
  </si>
  <si>
    <t>ERENEO  E. SULLANO</t>
  </si>
  <si>
    <t>Ferdinand So Omaña</t>
  </si>
  <si>
    <t>Ranie Javar Babiera</t>
  </si>
  <si>
    <t>Ronald Nacario Villanueva</t>
  </si>
  <si>
    <t>Teodorico Saroca Jr.</t>
  </si>
  <si>
    <t>Alden  Alvarez</t>
  </si>
  <si>
    <t>Maria Umambac Floren</t>
  </si>
  <si>
    <t>Robert A Santillano</t>
  </si>
  <si>
    <t>RHEA B  PEDROSA</t>
  </si>
  <si>
    <t>Mateo  Tomaquin</t>
  </si>
  <si>
    <t>Abigail Tabadero Alemania</t>
  </si>
  <si>
    <t>Cecilia Calagui</t>
  </si>
  <si>
    <t>BENEDICTA B. GAMATERO</t>
  </si>
  <si>
    <t>Victorio J Jimenez</t>
  </si>
  <si>
    <t>EDELYN JIMENEZ IGLESIA</t>
  </si>
  <si>
    <t>BAC HINUNDAYAN LGU-Hinundayan, So. Leyte</t>
  </si>
  <si>
    <t>MICHAEL P DUQUEZ</t>
  </si>
  <si>
    <t>Lourdes Macabulos</t>
  </si>
  <si>
    <t>Stefany A Mateo</t>
  </si>
  <si>
    <t>RIZA ESPARTERO BALLANCA</t>
  </si>
  <si>
    <t>ROSE JEAN  MUnOZ</t>
  </si>
  <si>
    <t>Reymond Dataro Lim</t>
  </si>
  <si>
    <t>MACAPANTAO REMPUNGAN MANAMBA</t>
  </si>
  <si>
    <t>Melogem Vallejos Bolitres</t>
  </si>
  <si>
    <t>Mary Anne Garcia Tanazana</t>
  </si>
  <si>
    <t>Edgardo G Pamute</t>
  </si>
  <si>
    <t>John M. Melgar</t>
  </si>
  <si>
    <t>Hamelcar Anala Primavera</t>
  </si>
  <si>
    <t>Reymar Constantino Razon</t>
  </si>
  <si>
    <t>Blesilda R. Domagas</t>
  </si>
  <si>
    <t>VIRGINIA ORTEGA BAGACAY</t>
  </si>
  <si>
    <t>Maria Fe Able Ballescas</t>
  </si>
  <si>
    <t>GLEN BESUEÑA MAGTURO</t>
  </si>
  <si>
    <t>Ma. Theresa Garcia Labo</t>
  </si>
  <si>
    <t>Helen Apostol Calatrava</t>
  </si>
  <si>
    <t>FLORELYN BUOT LACHARON</t>
  </si>
  <si>
    <t>Connie  Bagadiong Avila</t>
  </si>
  <si>
    <t>Alexander N. Morados Jr.</t>
  </si>
  <si>
    <t>Michael Angelo San Pedro</t>
  </si>
  <si>
    <t>Riza Ortez Muanag</t>
  </si>
  <si>
    <t>Florence Joy R. Mallare-Abad</t>
  </si>
  <si>
    <t>Nymia T. Chavez</t>
  </si>
  <si>
    <t>Nellie A Francisco</t>
  </si>
  <si>
    <t>REYNALDO C. RIVERA</t>
  </si>
  <si>
    <t>LUISA G  AZUELO</t>
  </si>
  <si>
    <t>Shiedhe Kembuan Bangen</t>
  </si>
  <si>
    <t>Richard Cammayo Malayao</t>
  </si>
  <si>
    <t>REMIA CALICO MONTE</t>
  </si>
  <si>
    <t>Jezryl M. Lobaton</t>
  </si>
  <si>
    <t>Dante Brutas Baclao</t>
  </si>
  <si>
    <t>NERESSA BARRIOS BANDAVIA</t>
  </si>
  <si>
    <t>David B. Reyes, Jr.</t>
  </si>
  <si>
    <t>Godofredo P Lubat  Jr.</t>
  </si>
  <si>
    <t>SAMERIO JR. D  AGURA</t>
  </si>
  <si>
    <t>Fedencio Pateres Carreon</t>
  </si>
  <si>
    <t>MARIE FRANCE VIC OLALO AGUINALDO</t>
  </si>
  <si>
    <t>Medilyn Cacabelos Fernandez</t>
  </si>
  <si>
    <t>Priscilla A Hernandez</t>
  </si>
  <si>
    <t>Engr. Nashra Dalandangan Misquinan</t>
  </si>
  <si>
    <t>Dominador N Castañeto Jr.</t>
  </si>
  <si>
    <t>ALBERTO DE OCAMPO</t>
  </si>
  <si>
    <t>Norbert C Sotoya II</t>
  </si>
  <si>
    <t>Estrella Ageas Maata</t>
  </si>
  <si>
    <t>Marco David</t>
  </si>
  <si>
    <t>Warlito Yuson Suan</t>
  </si>
  <si>
    <t>Susana M Pardo</t>
  </si>
  <si>
    <t>Rowena Arcon Plando</t>
  </si>
  <si>
    <t>Diana D. Ermita</t>
  </si>
  <si>
    <t>Julius C. Cerbo</t>
  </si>
  <si>
    <t>Christopher D. Badayos</t>
  </si>
  <si>
    <t>Arnold Alba Perez</t>
  </si>
  <si>
    <t>JESSIE EMMANUEL TRINIDAD RICERRA</t>
  </si>
  <si>
    <t>Wilson C. Rosario</t>
  </si>
  <si>
    <t>Mary Jean  L.  Lara</t>
  </si>
  <si>
    <t>MARIVIC  J.  MANGUBAT</t>
  </si>
  <si>
    <t>Cecilia O. Delos Reyes</t>
  </si>
  <si>
    <t>ARLENE CATLI VIDAL</t>
  </si>
  <si>
    <t>REMELITO B ESTROLOGO</t>
  </si>
  <si>
    <t>CHRISTINE Y CARTAJENA</t>
  </si>
  <si>
    <t>Randy B Moredo</t>
  </si>
  <si>
    <t>MARITESS CAYACO MARCOS</t>
  </si>
  <si>
    <t>Paul Nelson Deticio Mapa</t>
  </si>
  <si>
    <t>Cecilia Notario Jumawan</t>
  </si>
  <si>
    <t>MARIFE M  TOÑACAO</t>
  </si>
  <si>
    <t>Rose Ann Awingan Balisong</t>
  </si>
  <si>
    <t>Jovito Bron Coderis, Jr.</t>
  </si>
  <si>
    <t>Jerome Bardoquillo Ramirez</t>
  </si>
  <si>
    <t>Jayjay C. Pagalaran</t>
  </si>
  <si>
    <t>Lolito B. Aboy</t>
  </si>
  <si>
    <t>EMMANUEL CARPENA BALANSAG</t>
  </si>
  <si>
    <t>Armando Roaring</t>
  </si>
  <si>
    <t>Jomarilyn Francisco Estolano</t>
  </si>
  <si>
    <t>Joseph S. Claveria</t>
  </si>
  <si>
    <t>Wilson Garagan Viloria II</t>
  </si>
  <si>
    <t>Ricardo E Erazo</t>
  </si>
  <si>
    <t>Rachelle De Guzman Agpoon</t>
  </si>
  <si>
    <t>Ms. Leah  Magatao  Abanacion</t>
  </si>
  <si>
    <t>Lorna Novero Riego</t>
  </si>
  <si>
    <t>Donald Amora Abinon</t>
  </si>
  <si>
    <t>RENATO RUBEN CASIANO BRAGADO</t>
  </si>
  <si>
    <t>Edelina Baruso Espejo</t>
  </si>
  <si>
    <t>Rene P Quezada</t>
  </si>
  <si>
    <t>Enrique Nochebuena Mocling</t>
  </si>
  <si>
    <t>AARON PAUL  C.  ZARENO</t>
  </si>
  <si>
    <t>Janice Sainz Collado</t>
  </si>
  <si>
    <t>Eric Conrado B. Lumague</t>
  </si>
  <si>
    <t>Gallardo G Guerrero</t>
  </si>
  <si>
    <t>MILROSE  L OMADLE</t>
  </si>
  <si>
    <t>Vincent C. Dasmariñas</t>
  </si>
  <si>
    <t>TEEJAY YOSHIUMI JUNATAS SAKUMA</t>
  </si>
  <si>
    <t>Teresita Santiago Dela Pacion</t>
  </si>
  <si>
    <t>Thelma C Malamion</t>
  </si>
  <si>
    <t>Richard Dean B. Dagpin</t>
  </si>
  <si>
    <t>MELANIE VALEDA MALLARE</t>
  </si>
  <si>
    <t>KATE A. PARULAN</t>
  </si>
  <si>
    <t>MECHIE MALE CAMPOMANES</t>
  </si>
  <si>
    <t>ludivina culasing olivas</t>
  </si>
  <si>
    <t>Celia R Ragot</t>
  </si>
  <si>
    <t>Ines Goden Lanzaderas</t>
  </si>
  <si>
    <t>Sweden Mangaran Dela Cruz</t>
  </si>
  <si>
    <t>Anna Mae B. Elemia</t>
  </si>
  <si>
    <t>Mary Grace Sta. Elena</t>
  </si>
  <si>
    <t>JUNE DE LEON ESPINOSA</t>
  </si>
  <si>
    <t>Jenilyn Espera Bularon</t>
  </si>
  <si>
    <t>Mayette Casaysayan</t>
  </si>
  <si>
    <t>MARISA FABILLAR  WANIWAN</t>
  </si>
  <si>
    <t>ELAINE JUBAILYN MAGARANG MOCSANAT</t>
  </si>
  <si>
    <t>ATTY. ADELITO M. SOLIBAGA, JR.</t>
  </si>
  <si>
    <t>Erwin Libres Cajelo</t>
  </si>
  <si>
    <t>Elsa May Hinosolango De Pedro</t>
  </si>
  <si>
    <t>Annabelle Canonigo Husain</t>
  </si>
  <si>
    <t>Merlinda Morenos Gayatao</t>
  </si>
  <si>
    <t>Jingle Repollo Saloma</t>
  </si>
  <si>
    <t>Noel A Tubac</t>
  </si>
  <si>
    <t>Yolanda Marquez Mendez</t>
  </si>
  <si>
    <t>Ian Luis Cabauatan Aguila</t>
  </si>
  <si>
    <t>Merlita Mangalonzo Regonda</t>
  </si>
  <si>
    <t>Mary Eunice  Parocha  Caimoy</t>
  </si>
  <si>
    <t>EMELITO M YURO</t>
  </si>
  <si>
    <t>LCDR RAYMOND A ROLDAN PN</t>
  </si>
  <si>
    <t>Alegria Acosta Rayos</t>
  </si>
  <si>
    <t>Restituto Zapanta Balane</t>
  </si>
  <si>
    <t>Samira Guimba Pagayao</t>
  </si>
  <si>
    <t>RAYMOND M SALVADOR</t>
  </si>
  <si>
    <t>Henry L Vera</t>
  </si>
  <si>
    <t>Teresa P. Silvestre</t>
  </si>
  <si>
    <t>Kristine Gomez Contreras</t>
  </si>
  <si>
    <t>Veronica Vergara De Jesus</t>
  </si>
  <si>
    <t>Rey Amador Mallen Baragamento</t>
  </si>
  <si>
    <t>FERNANDO SAGUISAG A. CABRERA</t>
  </si>
  <si>
    <t>Jennifer Quizon Cunanan</t>
  </si>
  <si>
    <t>Roxanne V Dionisio</t>
  </si>
  <si>
    <t>Pablo Solano</t>
  </si>
  <si>
    <t>Glenda C. Concepcion</t>
  </si>
  <si>
    <t>JOVITA M. ESCASA</t>
  </si>
  <si>
    <t>Roberto Racasa Cada</t>
  </si>
  <si>
    <t>Edwin Sapa Jomao-as</t>
  </si>
  <si>
    <t>EDMUNDO ORQUITA ALTIZO SR.</t>
  </si>
  <si>
    <t>Maria Nenita Reyes Chiu</t>
  </si>
  <si>
    <t>Ma. Elma Solangon Alapre</t>
  </si>
  <si>
    <t>GENARA DELIGENCIA RAMONES</t>
  </si>
  <si>
    <t>Adelita Moros Llona</t>
  </si>
  <si>
    <t>Isidro Lopez Tapar</t>
  </si>
  <si>
    <t>MERLA ARAMBURO REVECHE</t>
  </si>
  <si>
    <t>Joel Gubatanga Jaboneta</t>
  </si>
  <si>
    <t>Divine S. Crescencio</t>
  </si>
  <si>
    <t>Maribel Ibarreta Palomo</t>
  </si>
  <si>
    <t>Reynaldo Collado Floria</t>
  </si>
  <si>
    <t>Jocelyn O Dangle</t>
  </si>
  <si>
    <t>Rodolfo Bitaga Gaboten</t>
  </si>
  <si>
    <t>RANDY R MALIWAT</t>
  </si>
  <si>
    <t>ROY F DELA CRUZ</t>
  </si>
  <si>
    <t>IVETH CLAIR  S.  DONAIRE</t>
  </si>
  <si>
    <t>Letecia D. Ragasa</t>
  </si>
  <si>
    <t>Miladilla Santiago</t>
  </si>
  <si>
    <t>Vladimir Prado Torres</t>
  </si>
  <si>
    <t>Paterno O Hempeso</t>
  </si>
  <si>
    <t>MARICAR H DIPUTADO</t>
  </si>
  <si>
    <t>Miguel Sosoco Katangkatang</t>
  </si>
  <si>
    <t>Margot Jeanne Reyes Lam</t>
  </si>
  <si>
    <t>Rodnie L. Benny</t>
  </si>
  <si>
    <t>Dexter C. Lingbanan</t>
  </si>
  <si>
    <t>DEN AGUILAR LUCINO</t>
  </si>
  <si>
    <t>Faustino Toradio</t>
  </si>
  <si>
    <t>Vicky D. Galvan</t>
  </si>
  <si>
    <t>GREZETTE GONZALES AQUINO</t>
  </si>
  <si>
    <t>Rowena De la Vida Prado</t>
  </si>
  <si>
    <t>guillermo supilanas ardillo</t>
  </si>
  <si>
    <t>Suzette Caparros Sarausa</t>
  </si>
  <si>
    <t>JAMES BENEDICT E. BAGSIC</t>
  </si>
  <si>
    <t>LEOREYSALDIE NAPATA SALANATIN</t>
  </si>
  <si>
    <t>HENRY C. DE GUZMAN</t>
  </si>
  <si>
    <t>GERALYN CAÑAS</t>
  </si>
  <si>
    <t>Charles Bronson Bautista Olea</t>
  </si>
  <si>
    <t>Remelyn Baltazar Tolenada</t>
  </si>
  <si>
    <t>Mary Ann Dique Manocdoc</t>
  </si>
  <si>
    <t>Christine Marie Cruz Crisostomo</t>
  </si>
  <si>
    <t>Ferdinand G. Razonable</t>
  </si>
  <si>
    <t>Renato Leones Diaz</t>
  </si>
  <si>
    <t>Roderick A Ydel</t>
  </si>
  <si>
    <t>Carlos L. Taguba</t>
  </si>
  <si>
    <t>DOWIE JOY RODIS</t>
  </si>
  <si>
    <t>Marilou Sampaton Bernas</t>
  </si>
  <si>
    <t>PERICLES CUIZON SOLLANO</t>
  </si>
  <si>
    <t>MARIAN JOY ABENDANIO CUNANAN</t>
  </si>
  <si>
    <t>Annette Francisco Virtudazo</t>
  </si>
  <si>
    <t>Lilian  Pacamalan  Uy</t>
  </si>
  <si>
    <t>MARYJANE VISTAL TAMPEPE</t>
  </si>
  <si>
    <t>Leda Penarubia Redoble</t>
  </si>
  <si>
    <t>Framar Degay</t>
  </si>
  <si>
    <t>Susan Dela Cruz</t>
  </si>
  <si>
    <t>Jacob Gupana Racho</t>
  </si>
  <si>
    <t>JAKE CYRIL N. SOLITE</t>
  </si>
  <si>
    <t>MARISSA PANLILIO ORTIZ</t>
  </si>
  <si>
    <t>CHARYMELLE O FORONDA</t>
  </si>
  <si>
    <t>Ryan Anthony Agay Olalia</t>
  </si>
  <si>
    <t>IRENEO L. SORIANO, JR.</t>
  </si>
  <si>
    <t>Hurdy F Denosta</t>
  </si>
  <si>
    <t>Connie S De Leon</t>
  </si>
  <si>
    <t>Leonardo P Garcia</t>
  </si>
  <si>
    <t>SHEILA FIEL LEONA</t>
  </si>
  <si>
    <t>Lilybeth Delfin Langomez</t>
  </si>
  <si>
    <t>Ruth  R.  Batoon</t>
  </si>
  <si>
    <t>DIOMEDES V BONALOS</t>
  </si>
  <si>
    <t>LUZVIMINDA L. ENCISO</t>
  </si>
  <si>
    <t>ROMARICO M. CABELLON</t>
  </si>
  <si>
    <t>Engr. DOMINADOR DOMINGO DIZON</t>
  </si>
  <si>
    <t>Christian  Salcedo  Serrano</t>
  </si>
  <si>
    <t>JANICE F.  PINEDA</t>
  </si>
  <si>
    <t>elsie C Agustin</t>
  </si>
  <si>
    <t>RIZALDY L. MENDOZA</t>
  </si>
  <si>
    <t>Reynaldo V Pioquinto</t>
  </si>
  <si>
    <t>Larry Pelaez Olvina</t>
  </si>
  <si>
    <t>Carlos Seechung</t>
  </si>
  <si>
    <t>Bryan G. Fortuno</t>
  </si>
  <si>
    <t>Franco Joseph Jumao-as Fortunado</t>
  </si>
  <si>
    <t>Anita P. Nitura</t>
  </si>
  <si>
    <t>FERDINAND P. CAYETANO</t>
  </si>
  <si>
    <t>MARIA TERESA ANGELA BUENAFE SALVADOR</t>
  </si>
  <si>
    <t>Estanislao V. Cayanan</t>
  </si>
  <si>
    <t>Emilia Sales Quilet</t>
  </si>
  <si>
    <t>CLEO D. SABADO-ANDRADA</t>
  </si>
  <si>
    <t>Jonathan B. Guevarra</t>
  </si>
  <si>
    <t>Ariel Dela Cruz de Borja</t>
  </si>
  <si>
    <t>Jocelyn Diaz Sagang</t>
  </si>
  <si>
    <t>Lucille  I.  Susano</t>
  </si>
  <si>
    <t>Danilo Rutaquio Almacen</t>
  </si>
  <si>
    <t>Ma. Katrina Nocon Domingo</t>
  </si>
  <si>
    <t>Christopher Bataller Villafria</t>
  </si>
  <si>
    <t>Lou Poliquit Quipit</t>
  </si>
  <si>
    <t>Bonifacio Jr. Tablizo Balazon</t>
  </si>
  <si>
    <t>Adam  V. Ramilo</t>
  </si>
  <si>
    <t>Purificacion Sugalan Daloos</t>
  </si>
  <si>
    <t>ROSABELLA ORNA MAGPILI</t>
  </si>
  <si>
    <t>Armando Guinar Simbano</t>
  </si>
  <si>
    <t>Brendalyn Ungajan Fernando</t>
  </si>
  <si>
    <t>Jessa Bello Recto</t>
  </si>
  <si>
    <t>james berlin H. escaner</t>
  </si>
  <si>
    <t>Mary Melisande Jamoyot Andaya</t>
  </si>
  <si>
    <t>Angel, Jr. S. Ramos</t>
  </si>
  <si>
    <t>Glenn C. Cabaya</t>
  </si>
  <si>
    <t>ILLUMINADA  LOMO ROSALES</t>
  </si>
  <si>
    <t>ALEXANDER VENTERO PIDOR</t>
  </si>
  <si>
    <t>Prospero Solidum Tolosa</t>
  </si>
  <si>
    <t>Ian Lemuel Bandoy Felix</t>
  </si>
  <si>
    <t>John Clint Caro Arsenio</t>
  </si>
  <si>
    <t>Mark Eduard Borda Peñas</t>
  </si>
  <si>
    <t>Monib Samson Basa</t>
  </si>
  <si>
    <t>Rene Sobremonte</t>
  </si>
  <si>
    <t>Elena Maniwang Santillan</t>
  </si>
  <si>
    <t>CYRILL BULALACAO MOLINA</t>
  </si>
  <si>
    <t>FAYE M. GONZALES</t>
  </si>
  <si>
    <t>Julius Luis Juanito</t>
  </si>
  <si>
    <t>Virginia Punay</t>
  </si>
  <si>
    <t>Aaron Joshua L. Reyes</t>
  </si>
  <si>
    <t>ALIMUDIN S BITOL</t>
  </si>
  <si>
    <t>Feoridin Jason Lazaga Elumbaring</t>
  </si>
  <si>
    <t>Camille Tomas Ronquillo</t>
  </si>
  <si>
    <t>DIVINA TANEDO MANINANG</t>
  </si>
  <si>
    <t>Michael Lood Astillero</t>
  </si>
  <si>
    <t>Cynthia Cañeda Ocaña</t>
  </si>
  <si>
    <t>VIRGIN GANIR MALICAD</t>
  </si>
  <si>
    <t>Edwin L Diesto</t>
  </si>
  <si>
    <t>Ida I Juezan</t>
  </si>
  <si>
    <t>JOEL P CADIANG</t>
  </si>
  <si>
    <t>JULLIAN KYLE GONZAGA SAN MATEO</t>
  </si>
  <si>
    <t>JED ARIES FAJARDO CASTRO</t>
  </si>
  <si>
    <t>Sheryl Mendiola Cumpio</t>
  </si>
  <si>
    <t>Vincent A Isip</t>
  </si>
  <si>
    <t>Nerissa Raymundo Quintinio</t>
  </si>
  <si>
    <t>Emie Liza Fabella Ferrancol</t>
  </si>
  <si>
    <t>Conrado C De Vera</t>
  </si>
  <si>
    <t>Marvin Francis U Apale</t>
  </si>
  <si>
    <t>Nestor M Canda</t>
  </si>
  <si>
    <t>Ma. Teresa I. Samson</t>
  </si>
  <si>
    <t>Lolito Pesidas Campos</t>
  </si>
  <si>
    <t>Alvin B De Roxas</t>
  </si>
  <si>
    <t>Nida Avisado Santiago</t>
  </si>
  <si>
    <t>Elmer A. Bajado</t>
  </si>
  <si>
    <t>Aida Oarde Navarra</t>
  </si>
  <si>
    <t>Eugenia Lizabeth G. Somera</t>
  </si>
  <si>
    <t>Maila Rangga Cataylo</t>
  </si>
  <si>
    <t>Rogelito Dumaicos Urbiztondo</t>
  </si>
  <si>
    <t>Antonio Lucero Cañada</t>
  </si>
  <si>
    <t>Mhelda Grace Leyma</t>
  </si>
  <si>
    <t>ATTY. AIKO ELENI NARIDA PALER</t>
  </si>
  <si>
    <t>Reinerio Boglosa</t>
  </si>
  <si>
    <t>Rolando V. Miguel</t>
  </si>
  <si>
    <t>CHINA ROSE GULOY OBNIALA</t>
  </si>
  <si>
    <t>Arvin S De Guzman</t>
  </si>
  <si>
    <t>Poebe Ruth Cansicio Soriano</t>
  </si>
  <si>
    <t>Renato Seso Cagomoc</t>
  </si>
  <si>
    <t>MARITES L. LLANES</t>
  </si>
  <si>
    <t>Rosemarie Martinez Paguia</t>
  </si>
  <si>
    <t>Nanette C Samaniego</t>
  </si>
  <si>
    <t>Roy Santos Estrobo</t>
  </si>
  <si>
    <t>Rhoda Apalla Viterbo</t>
  </si>
  <si>
    <t>Jenny Lopez Castro</t>
  </si>
  <si>
    <t>Jaynalyn E Amparo</t>
  </si>
  <si>
    <t>LINDALE PEPINO SAAVEDRA</t>
  </si>
  <si>
    <t>Tony B. Evangelista Jr.</t>
  </si>
  <si>
    <t>Maricel Vitasa Granada</t>
  </si>
  <si>
    <t>MARIA ELINOR F. HEMEDES</t>
  </si>
  <si>
    <t>Paula Bianca de Mesa</t>
  </si>
  <si>
    <t>Rinalyn Juaton Gallardo</t>
  </si>
  <si>
    <t>Giena G. Ramos</t>
  </si>
  <si>
    <t>TRIGIDIA LABITIGAN</t>
  </si>
  <si>
    <t>Petronio  C.  Tolentino</t>
  </si>
  <si>
    <t>ASSEL PAGARAN MADANGUIT</t>
  </si>
  <si>
    <t>Robert Floyd Nangkil Salise</t>
  </si>
  <si>
    <t>Andro Michael C Bugas</t>
  </si>
  <si>
    <t>Samuel Canaya</t>
  </si>
  <si>
    <t>Zaldy C Domalina</t>
  </si>
  <si>
    <t>Edgar Villanueva Casaclang</t>
  </si>
  <si>
    <t>ASHER ITHAMAR BAGOL ALLUNAR</t>
  </si>
  <si>
    <t>Dante M Obillo</t>
  </si>
  <si>
    <t>LILIBETH TOCMO ALBIT</t>
  </si>
  <si>
    <t>Nemia Barradas Monzones</t>
  </si>
  <si>
    <t>MANUEL QUERIJERO HERNANDEZ</t>
  </si>
  <si>
    <t>Miriam Dela Paz Mapatac</t>
  </si>
  <si>
    <t>JACKIE LOU V. BAUTISTA</t>
  </si>
  <si>
    <t>NELIA MENGULLO ADORA</t>
  </si>
  <si>
    <t>Eden F Borja</t>
  </si>
  <si>
    <t>Ian Herodito Sy Gutierrez</t>
  </si>
  <si>
    <t>Ken Lois N. Olayres</t>
  </si>
  <si>
    <t>Relanie T Esta</t>
  </si>
  <si>
    <t>ROSEMARIE M. LAWAS</t>
  </si>
  <si>
    <t>Rainer Mansion Padilla</t>
  </si>
  <si>
    <t>June Evita Cabansag Cesar</t>
  </si>
  <si>
    <t>JEANNE LAURICE CHUA</t>
  </si>
  <si>
    <t>CRISPIN AUSTRIA BATAC</t>
  </si>
  <si>
    <t>Maricel A Sanchez</t>
  </si>
  <si>
    <t>GEFFREY BACHAR CATULIN</t>
  </si>
  <si>
    <t>MARL PHILIP YAMSUAN CACHERO</t>
  </si>
  <si>
    <t>Meynard Jerel Tremor Luczon</t>
  </si>
  <si>
    <t>Rosevi Virata Prodigalidad</t>
  </si>
  <si>
    <t>Rodel Gullon Chavez</t>
  </si>
  <si>
    <t>Joicelyn Reta</t>
  </si>
  <si>
    <t>Jocelyn M. Dano</t>
  </si>
  <si>
    <t>Ursino C. Pascua</t>
  </si>
  <si>
    <t>JANE P. CLARAVALL</t>
  </si>
  <si>
    <t>Dwight Romeo Jr. Bactol Marquez</t>
  </si>
  <si>
    <t>Isagani J. Moso</t>
  </si>
  <si>
    <t>APRIL JOY L. VILLA</t>
  </si>
  <si>
    <t>David T. Raguindin</t>
  </si>
  <si>
    <t>Marie Juvy Lalin Alera</t>
  </si>
  <si>
    <t>Cecilia Ilao Pureza</t>
  </si>
  <si>
    <t>Toni Marc L Dargantes</t>
  </si>
  <si>
    <t>Jose R Cornelio, Jr.</t>
  </si>
  <si>
    <t>REYNOR RAQUEL FERNANDO</t>
  </si>
  <si>
    <t>luzviminda lozande</t>
  </si>
  <si>
    <t>FOR. ROMERO F NAVAJA, MGA, REB.</t>
  </si>
  <si>
    <t>Harold P Morri</t>
  </si>
  <si>
    <t>Consuelo Javier Cruz</t>
  </si>
  <si>
    <t>CENON ARPIA PORTUGAL</t>
  </si>
  <si>
    <t>Mary Minchelle Payabyab Dela Rosa</t>
  </si>
  <si>
    <t>Grace Sumatra Orilla</t>
  </si>
  <si>
    <t>Chinalyn Dakiwag Rivera</t>
  </si>
  <si>
    <t>Felton Xenox T. Inting</t>
  </si>
  <si>
    <t>Nilda Lumapak</t>
  </si>
  <si>
    <t>ALEX M. ALANO</t>
  </si>
  <si>
    <t>Jessie Rose Sabindo Pascua</t>
  </si>
  <si>
    <t>Melinda Tariman Brutas</t>
  </si>
  <si>
    <t>ROMEO A. SEGOVIA</t>
  </si>
  <si>
    <t>Paterno A Unajan</t>
  </si>
  <si>
    <t>ANDREA A. FACUNLA</t>
  </si>
  <si>
    <t>JOEL MERCADO MALIGAYA</t>
  </si>
  <si>
    <t>MERIAM B. DIMAILIG</t>
  </si>
  <si>
    <t>Victor Y Romano</t>
  </si>
  <si>
    <t>Jelenita D Limot</t>
  </si>
  <si>
    <t>Jaqueline Pangilinan Dayao</t>
  </si>
  <si>
    <t>HILARIO, JR. NAGUIT MALIWAT</t>
  </si>
  <si>
    <t>EMMANUEL SABORNIDO NIERRAS</t>
  </si>
  <si>
    <t>ROLAND MAYOL PEREZ</t>
  </si>
  <si>
    <t>Eimer Carl Libre Bicera</t>
  </si>
  <si>
    <t>Allen Castillo Sacamos</t>
  </si>
  <si>
    <t>Mary Grace Palcon Gallardo</t>
  </si>
  <si>
    <t>Raquel Manlimos Cero</t>
  </si>
  <si>
    <t>Carina Lucero Abrea</t>
  </si>
  <si>
    <t>Jennylyn Bautista Faminialagao</t>
  </si>
  <si>
    <t>Maribel Lopez Bongar</t>
  </si>
  <si>
    <t>Florenda Inutan Carballo</t>
  </si>
  <si>
    <t>JAYVEE BRYAN GALVEZ CARILLO</t>
  </si>
  <si>
    <t>Venus V Timpug</t>
  </si>
  <si>
    <t>Aaron John Reyes Liwag</t>
  </si>
  <si>
    <t>Grace D. Gamolo</t>
  </si>
  <si>
    <t>Gemma Del Mundo Nicolas</t>
  </si>
  <si>
    <t>Clarita C Padayao</t>
  </si>
  <si>
    <t>Arlene N Nufuar</t>
  </si>
  <si>
    <t>Aprilene Agojo Natanauan</t>
  </si>
  <si>
    <t>ANASTACIO H. NUÑEZ, III</t>
  </si>
  <si>
    <t>Mario Sorote Gregorio</t>
  </si>
  <si>
    <t>Sherwin  V.  Gelacio</t>
  </si>
  <si>
    <t>RONNEL B GUNDOY</t>
  </si>
  <si>
    <t>Josephine Villas Pontillas</t>
  </si>
  <si>
    <t>Edmundo Alonzo Escape</t>
  </si>
  <si>
    <t>GINA LACSARON SERVANO</t>
  </si>
  <si>
    <t>Socrates G Torres</t>
  </si>
  <si>
    <t>JANE A. ANGLUBEN</t>
  </si>
  <si>
    <t>Ma. Vicenta To Malana</t>
  </si>
  <si>
    <t>Leah Bueno Apao</t>
  </si>
  <si>
    <t>Irish B. Velasco</t>
  </si>
  <si>
    <t>NOE MORALES HERMOSILLA</t>
  </si>
  <si>
    <t>Rosalie  A. Pelle</t>
  </si>
  <si>
    <t>Roda Dolores Franco</t>
  </si>
  <si>
    <t>Cario Abag Baskial</t>
  </si>
  <si>
    <t>Hazel G Solis</t>
  </si>
  <si>
    <t>Pedrita A. Linga</t>
  </si>
  <si>
    <t>Ma. Leticia C Salcedo</t>
  </si>
  <si>
    <t>SHERLITA D ERONDO</t>
  </si>
  <si>
    <t>Madrigal B. Larang</t>
  </si>
  <si>
    <t>Ma. Stineli B Magdadaro</t>
  </si>
  <si>
    <t>MARIA GRACIA  PATRON  DELA RAMA</t>
  </si>
  <si>
    <t>Dominador V Sauro</t>
  </si>
  <si>
    <t>MARY JOY LOPEZ VERGARA</t>
  </si>
  <si>
    <t>Josephine Gozon Madlangsakay</t>
  </si>
  <si>
    <t>Dorivic G Espina</t>
  </si>
  <si>
    <t>Emy Grace  Saulda  Pineda</t>
  </si>
  <si>
    <t>Purificasion Quirante Barasi</t>
  </si>
  <si>
    <t>Chito de Leon Riego de Dios</t>
  </si>
  <si>
    <t>Rameses Salvador Lomongo</t>
  </si>
  <si>
    <t>Leonardo S. Maningas, Jr.</t>
  </si>
  <si>
    <t>Analou Aparente Hila-os</t>
  </si>
  <si>
    <t>Ignacio Geno P. Eugenio</t>
  </si>
  <si>
    <t>Rebecca B. Abdulkadil</t>
  </si>
  <si>
    <t>MARIVIC DEMADUCOT VILLAR</t>
  </si>
  <si>
    <t>Deniel Salvador Bentoy Morillo</t>
  </si>
  <si>
    <t>Lilybeth Duldulao Sagmaquen</t>
  </si>
  <si>
    <t>Vennis Mari Verzosa Ban</t>
  </si>
  <si>
    <t>RENE M FORMACION</t>
  </si>
  <si>
    <t>Marieta Alva Reyes</t>
  </si>
  <si>
    <t>Cheenne Grace Luha Dela Peña</t>
  </si>
  <si>
    <t>FELMA M. DEZA</t>
  </si>
  <si>
    <t>Ferdinand Fadriquelan Falceso</t>
  </si>
  <si>
    <t>Ramises Baladad Esteban</t>
  </si>
  <si>
    <t>JINA UDANI ILIGAN</t>
  </si>
  <si>
    <t>Erlie A. Mallari</t>
  </si>
  <si>
    <t>Josephine Cacatian Alvarado</t>
  </si>
  <si>
    <t>Lea Echavez Sabaduquia</t>
  </si>
  <si>
    <t>Johannah Descargar Bantas</t>
  </si>
  <si>
    <t>Gloria L. Duga</t>
  </si>
  <si>
    <t>Ester C Catalan</t>
  </si>
  <si>
    <t>Merlinda D Dante</t>
  </si>
  <si>
    <t>Gorgonio S. Cabañero Jr.</t>
  </si>
  <si>
    <t>DORINA MELAD</t>
  </si>
  <si>
    <t>Nolita Laberinto Acero</t>
  </si>
  <si>
    <t>KAREN C DADOR</t>
  </si>
  <si>
    <t>GERALD AL P MENDOZA</t>
  </si>
  <si>
    <t>Noel Donell Ynion Narida</t>
  </si>
  <si>
    <t>ROCHELLE LUCINIADA Oriel</t>
  </si>
  <si>
    <t>Rochelle Pizarra Bautista</t>
  </si>
  <si>
    <t>Rowena Gascon Abad</t>
  </si>
  <si>
    <t>Cora de Grano Hermoso</t>
  </si>
  <si>
    <t>Haydee Dela Concepcion Suico</t>
  </si>
  <si>
    <t>KAREN  M. MAGSALIN</t>
  </si>
  <si>
    <t>Rene C Mojado</t>
  </si>
  <si>
    <t>Enrico S Lazaro</t>
  </si>
  <si>
    <t>Norlan M De Las Alas</t>
  </si>
  <si>
    <t>Lydia Escabas Albania</t>
  </si>
  <si>
    <t>Jeffrey Justin T. Talisic</t>
  </si>
  <si>
    <t>Zelina G Dela Cruz</t>
  </si>
  <si>
    <t>Mary Ann  F. Mesana</t>
  </si>
  <si>
    <t>Carmencita J de Guzman</t>
  </si>
  <si>
    <t>Angelica Joy Jara Eje</t>
  </si>
  <si>
    <t>Raul Tampus Lumbatan</t>
  </si>
  <si>
    <t>Christopher Marquez Azusano</t>
  </si>
  <si>
    <t>FRANCIS E MAURICIO</t>
  </si>
  <si>
    <t>HILARION TACAISAN DUBRIA, JR.</t>
  </si>
  <si>
    <t>Roel Galang Villanueva</t>
  </si>
  <si>
    <t>Edwin Matalog</t>
  </si>
  <si>
    <t>VOLTAIRE S EGNORA, MD.</t>
  </si>
  <si>
    <t>Wilma Isles Isleta</t>
  </si>
  <si>
    <t>Manuel T Barit</t>
  </si>
  <si>
    <t>Honey Sahara Bautista Aleman</t>
  </si>
  <si>
    <t>Marites Portes Simogan</t>
  </si>
  <si>
    <t>RUEL B. AGGABAO</t>
  </si>
  <si>
    <t>Edbert Piosca Soliven</t>
  </si>
  <si>
    <t>Ruben Matibag</t>
  </si>
  <si>
    <t>JAMES REYES DOLOROSO</t>
  </si>
  <si>
    <t>ALLANA AGUILAR BABAYEN-ON</t>
  </si>
  <si>
    <t>Angelo Aniar Sabaybay</t>
  </si>
  <si>
    <t>Analie Vidal Estilo</t>
  </si>
  <si>
    <t>Stephen Eric G. Castrodes</t>
  </si>
  <si>
    <t>MARIE CAROLYN B VERANO</t>
  </si>
  <si>
    <t>EMILY D UGAY</t>
  </si>
  <si>
    <t>Avel Villamor Nunez</t>
  </si>
  <si>
    <t>Leonilo Lota Laborte</t>
  </si>
  <si>
    <t>JUDITH PATRIARCA MANTOS</t>
  </si>
  <si>
    <t>Gerry Lacuesta Bautista</t>
  </si>
  <si>
    <t>Razul Reformado</t>
  </si>
  <si>
    <t>Abigail P Beltran</t>
  </si>
  <si>
    <t>MARIA SOL FABELLA CASUNCAD</t>
  </si>
  <si>
    <t>Norielle Ann P. Vergara</t>
  </si>
  <si>
    <t>Lou Wendell C San Jose</t>
  </si>
  <si>
    <t>Fe Estrada Tingal</t>
  </si>
  <si>
    <t>MELAGROS  K.  FIDEL</t>
  </si>
  <si>
    <t>Sherry M. Orozco</t>
  </si>
  <si>
    <t>VIOLA  P.  MONTILLA</t>
  </si>
  <si>
    <t>Joey Bajao Bacoy</t>
  </si>
  <si>
    <t>Christopher Laviña Camata</t>
  </si>
  <si>
    <t>JOHN KENNETH J CORDEZ</t>
  </si>
  <si>
    <t>Joey Vincent P. Rabanal</t>
  </si>
  <si>
    <t>RM ASES AZUELO ORTEGA</t>
  </si>
  <si>
    <t>Rosa Katherine J. Angeles</t>
  </si>
  <si>
    <t>Jowie David Del Rosario</t>
  </si>
  <si>
    <t>Mark Jason F. Malgapo</t>
  </si>
  <si>
    <t>Mavic Azuran</t>
  </si>
  <si>
    <t>RUDY S DACULAN</t>
  </si>
  <si>
    <t>Anjie P. Ytac</t>
  </si>
  <si>
    <t>Natalio De Lara Rodriguez</t>
  </si>
  <si>
    <t>Maria Cecilia Antonette Domingo Mangondato</t>
  </si>
  <si>
    <t>MILDRED AUSA DELOS SANTOS</t>
  </si>
  <si>
    <t>Gerry G Jucar</t>
  </si>
  <si>
    <t>Fernando Cabasing Doinog Jr.</t>
  </si>
  <si>
    <t>Vina Marie Dimaculangan Rosales</t>
  </si>
  <si>
    <t>DORILYN C. DADOR</t>
  </si>
  <si>
    <t>Rosalie  C.  Sanico</t>
  </si>
  <si>
    <t>Felix Amontano Desamero</t>
  </si>
  <si>
    <t>Amalia C. Aquino</t>
  </si>
  <si>
    <t>Duannie Chico Gonzales</t>
  </si>
  <si>
    <t>Olga R. Bulisig</t>
  </si>
  <si>
    <t>Nerissa M. Tan</t>
  </si>
  <si>
    <t>Socorro Serrano Tayag</t>
  </si>
  <si>
    <t>myra a mayo</t>
  </si>
  <si>
    <t>Rex Aquiatan Agustin</t>
  </si>
  <si>
    <t>Rafael Orsua Seso</t>
  </si>
  <si>
    <t>Bienvinido Caymo Noblefranca</t>
  </si>
  <si>
    <t>Omar Cabauatan</t>
  </si>
  <si>
    <t>Josef David Vega</t>
  </si>
  <si>
    <t>Cindy Pillora Pretta</t>
  </si>
  <si>
    <t>Helen  Senosa  Esperancilla</t>
  </si>
  <si>
    <t>AILENE SAN PEDRO PEREZ</t>
  </si>
  <si>
    <t>Katrina Enerio Garcia</t>
  </si>
  <si>
    <t>JOSEPH M CANDAVA</t>
  </si>
  <si>
    <t>AVELINO NABOR LLONA</t>
  </si>
  <si>
    <t>Ma. Fe Teresa Timpug Penaflor</t>
  </si>
  <si>
    <t>SALVADOR P ACEBUCHE</t>
  </si>
  <si>
    <t>Lalaine Ledesma Landicho</t>
  </si>
  <si>
    <t>Myron O. Garcia</t>
  </si>
  <si>
    <t>Louie O Canlas</t>
  </si>
  <si>
    <t>Felix Pajarillaga Macapagal</t>
  </si>
  <si>
    <t>Rose Golpio Dela Cruz</t>
  </si>
  <si>
    <t>marilou luberas rotallas</t>
  </si>
  <si>
    <t>Gemema Paclibar Robles</t>
  </si>
  <si>
    <t>Joresel Lara Coronado</t>
  </si>
  <si>
    <t>Prospero Andres Bartolome</t>
  </si>
  <si>
    <t>Percy Gonzales Salazar</t>
  </si>
  <si>
    <t>Mariz  Lapid  Onchengco</t>
  </si>
  <si>
    <t>Francisco Basilio Gadingan</t>
  </si>
  <si>
    <t>Jever Catalan Vargas</t>
  </si>
  <si>
    <t>Cynthia L. Ayles</t>
  </si>
  <si>
    <t>Allen P. Saure</t>
  </si>
  <si>
    <t>Rogie Majadas Montiveros</t>
  </si>
  <si>
    <t>MERIEL ABCEDE BAGO</t>
  </si>
  <si>
    <t>Wee Villaver</t>
  </si>
  <si>
    <t>Lourfe S. Rondina</t>
  </si>
  <si>
    <t>FRANCISCO , JR. YGRUBAY LABRAGUE</t>
  </si>
  <si>
    <t>LGU TANGUB</t>
  </si>
  <si>
    <t>Jonathan H Loresca</t>
  </si>
  <si>
    <t>Raychell S Luna</t>
  </si>
  <si>
    <t>Jaime S.J. Javellana</t>
  </si>
  <si>
    <t>BERNARDITA T. MUASSAB</t>
  </si>
  <si>
    <t>Romulo Junasa Galleto, Jr.</t>
  </si>
  <si>
    <t>Myline A. Dilla</t>
  </si>
  <si>
    <t>Norjanna M. Camaguin</t>
  </si>
  <si>
    <t>Mario G Poserio</t>
  </si>
  <si>
    <t>Abegail Gey B. Gubaton</t>
  </si>
  <si>
    <t>Marissa I Rivera</t>
  </si>
  <si>
    <t>Levie Agcaoili Talub</t>
  </si>
  <si>
    <t>Marvin T. Mosteiro</t>
  </si>
  <si>
    <t>ESTELA  B  TUSE</t>
  </si>
  <si>
    <t>Nonito Cervancia</t>
  </si>
  <si>
    <t>Juliana M. Reyes, MD, MHA</t>
  </si>
  <si>
    <t>Raulito Rojales Datiles</t>
  </si>
  <si>
    <t>Ma. Sandy M. Abutanmo</t>
  </si>
  <si>
    <t>JOB NATHANIEL F GARCIA</t>
  </si>
  <si>
    <t>Roderick D. Diputado</t>
  </si>
  <si>
    <t>Maureen Pasajol Camilo</t>
  </si>
  <si>
    <t>Milagros Mora Reposar</t>
  </si>
  <si>
    <t>Jonel Facal Muyco</t>
  </si>
  <si>
    <t>JENELYN DALANGIN</t>
  </si>
  <si>
    <t>Emmanuel Garrido Bartolome</t>
  </si>
  <si>
    <t>Adelaida Arisga</t>
  </si>
  <si>
    <t>JEANY LOPEZ</t>
  </si>
  <si>
    <t>LE MADONNA JUAN</t>
  </si>
  <si>
    <t>JANET ARELLANO MONTEVERDE</t>
  </si>
  <si>
    <t>Charito Santos Fernando</t>
  </si>
  <si>
    <t>Josephine Escol Avenido</t>
  </si>
  <si>
    <t>ALBERT GEÑOSO ADLAON</t>
  </si>
  <si>
    <t>SHYKHEN B. YAPAC</t>
  </si>
  <si>
    <t>CONDRADA MARASIGAN</t>
  </si>
  <si>
    <t>Detcyle Velasco</t>
  </si>
  <si>
    <t>JEANA GINEZ BAJO</t>
  </si>
  <si>
    <t>James Escamillas Laredo</t>
  </si>
  <si>
    <t>Elsa Navarro Mordeno</t>
  </si>
  <si>
    <t>ROSALINDA DIABORDO CABIG</t>
  </si>
  <si>
    <t>NONA VILLANUEVA ANHAO</t>
  </si>
  <si>
    <t>Jo Ann Jugan Jabello</t>
  </si>
  <si>
    <t>ADRIAN A AÑO</t>
  </si>
  <si>
    <t>Maricel Balmes Recio</t>
  </si>
  <si>
    <t>JHON ALBERT I. NUÑEZ</t>
  </si>
  <si>
    <t>BEDA LEGITA CANAMAQUE</t>
  </si>
  <si>
    <t>MARY FE GRACE MERCADO BENITO</t>
  </si>
  <si>
    <t>LEILANI BACALE CASIMPAN</t>
  </si>
  <si>
    <t>FRANCISCO I. CORPUZ, JR.</t>
  </si>
  <si>
    <t>Datumalao Eting Saikol</t>
  </si>
  <si>
    <t>AURORA MARGARET D. DIEZA</t>
  </si>
  <si>
    <t>Edmundo Acosta</t>
  </si>
  <si>
    <t>Roseanne Venessa J Ratunil</t>
  </si>
  <si>
    <t>Mark Anthony Cuison Lopez</t>
  </si>
  <si>
    <t>Juliet Agpay Cayanan</t>
  </si>
  <si>
    <t>ROSELLER DIZON SASIS</t>
  </si>
  <si>
    <t>Arnold Villanueva Dao</t>
  </si>
  <si>
    <t>Rowena M. Torreflores</t>
  </si>
  <si>
    <t>Rosario G. Hermonio</t>
  </si>
  <si>
    <t>Arnel Z. Dela Cruz</t>
  </si>
  <si>
    <t>Ronald Allan V Ole</t>
  </si>
  <si>
    <t>EDWARD A. ROA</t>
  </si>
  <si>
    <t>Jesus Malana  Bolima</t>
  </si>
  <si>
    <t>DIONICIA JEAN PAREÑA HALLARES</t>
  </si>
  <si>
    <t>Ma.Gemma C. Lasala</t>
  </si>
  <si>
    <t>Jerry  C.  Rodriguez</t>
  </si>
  <si>
    <t>Nadine Beira</t>
  </si>
  <si>
    <t>ENGR. GREGORIO VALENCIA BALUYUT</t>
  </si>
  <si>
    <t>Ma. Luisa C Tenedero</t>
  </si>
  <si>
    <t>Gil Caricungan Casuga</t>
  </si>
  <si>
    <t>MELISSA DELA ROSA AMADA</t>
  </si>
  <si>
    <t>Ma. Annalyn S. Nolasco</t>
  </si>
  <si>
    <t>ARCELI ALLONES TIMOGTIMOG</t>
  </si>
  <si>
    <t>Sherlita Laguna Ogaya</t>
  </si>
  <si>
    <t>Belenda  Baluca  Palaya</t>
  </si>
  <si>
    <t>JANICE DJ. CHICO</t>
  </si>
  <si>
    <t>Jennifer Hao Angco</t>
  </si>
  <si>
    <t>Mario Jennifer Rosco Orion</t>
  </si>
  <si>
    <t>Susan Tiamzon Frias</t>
  </si>
  <si>
    <t>Cris Lumigdong Gaudia</t>
  </si>
  <si>
    <t>Kapelhoff Arcangel Quidang</t>
  </si>
  <si>
    <t>Desiree B. Macamay</t>
  </si>
  <si>
    <t>Juvy Velez Makiling</t>
  </si>
  <si>
    <t>Rodney Joy Villagracia Iyoy</t>
  </si>
  <si>
    <t xml:space="preserve">Lee  Anthony Arriesgado </t>
  </si>
  <si>
    <t>CICERO DY CLARO</t>
  </si>
  <si>
    <t>MARIA ARRA PAZ G. SELLAR</t>
  </si>
  <si>
    <t>QUINLO C. SUPERA</t>
  </si>
  <si>
    <t>Mirasol Macaranas Rosano</t>
  </si>
  <si>
    <t>MARY JANE CLAUDIO SUNGA</t>
  </si>
  <si>
    <t>CLEANTH REYES GOROSPE</t>
  </si>
  <si>
    <t>Nancylita Constantino Cubol</t>
  </si>
  <si>
    <t>Jerlyn G. Peter</t>
  </si>
  <si>
    <t>Niñojomar S Cablay</t>
  </si>
  <si>
    <t>Arnulfo Taneo</t>
  </si>
  <si>
    <t>Haydee Asparin Espinosa</t>
  </si>
  <si>
    <t>Sherelyn Trias Laquindanum</t>
  </si>
  <si>
    <t>Bienvenido Viceral Breiz</t>
  </si>
  <si>
    <t>EDUARDO CADELIÑA SALA JR.</t>
  </si>
  <si>
    <t>Marissa Molina Austria</t>
  </si>
  <si>
    <t>Gilmore Ray Lopez Saniel</t>
  </si>
  <si>
    <t>FEDERICO J. GOTICO III</t>
  </si>
  <si>
    <t>ALEX HILARIO BALAAN</t>
  </si>
  <si>
    <t>Danilyn Ansoc Dedeles</t>
  </si>
  <si>
    <t>DANILO BARANGAY GAMIAO</t>
  </si>
  <si>
    <t>Lilibeth G. Santiago</t>
  </si>
  <si>
    <t>Perfecto Suladay Balasote</t>
  </si>
  <si>
    <t>REYNANTE B. INFANTE</t>
  </si>
  <si>
    <t>MANUEL G. CALAYO</t>
  </si>
  <si>
    <t>Arianna Krystyn A. Perez</t>
  </si>
  <si>
    <t>WARLITO PUMARAS CABANOS</t>
  </si>
  <si>
    <t>Noel C. Mangkikis</t>
  </si>
  <si>
    <t>Dennis G Varon</t>
  </si>
  <si>
    <t>Verna A. Bonifacio</t>
  </si>
  <si>
    <t>MILAGROS BAGASIN</t>
  </si>
  <si>
    <t>Joelinda A Segui</t>
  </si>
  <si>
    <t>Edwin P. Marcelo</t>
  </si>
  <si>
    <t>Carmilo E Monterona</t>
  </si>
  <si>
    <t>REYNALDO PARTIDO SANTOS</t>
  </si>
  <si>
    <t>RUPERTO BATO YCO</t>
  </si>
  <si>
    <t>JOHN VINCENT ULEP QUETURAS</t>
  </si>
  <si>
    <t>Donato Silvano Advincula</t>
  </si>
  <si>
    <t xml:space="preserve">Raul Jr A. Daquinod </t>
  </si>
  <si>
    <t>DORIS JOY C. GARCIA</t>
  </si>
  <si>
    <t>Luisito B. Samaniego</t>
  </si>
  <si>
    <t>ROMIDA GAYANES NAAG</t>
  </si>
  <si>
    <t>Virgilio Bullen Damasing</t>
  </si>
  <si>
    <t>feleserio mateo languay</t>
  </si>
  <si>
    <t>Cristituto Rojo Riva</t>
  </si>
  <si>
    <t>MARY JOY BUCCAHAN SORIANO</t>
  </si>
  <si>
    <t>REGNER MEL BALAGOT</t>
  </si>
  <si>
    <t>Lenie Morales Adriano</t>
  </si>
  <si>
    <t>Atty. Anna Rosario P. Reyes</t>
  </si>
  <si>
    <t>Jephonie Ganibe Lumansoy</t>
  </si>
  <si>
    <t>RUBY ALAG BRIONES</t>
  </si>
  <si>
    <t>Juliet Franesa S Aton</t>
  </si>
  <si>
    <t>Glenn A. Lamag</t>
  </si>
  <si>
    <t>Reynaldo Carbungco Esteves</t>
  </si>
  <si>
    <t>Estrella Bacaling Abapo</t>
  </si>
  <si>
    <t>Joan Margarette A Yap</t>
  </si>
  <si>
    <t>Nemensio T Benoza</t>
  </si>
  <si>
    <t>Fernan Milagrosa Macaraeg</t>
  </si>
  <si>
    <t>Felicisimo Villarico Wenceslao Jr.</t>
  </si>
  <si>
    <t>Dominic Adriano</t>
  </si>
  <si>
    <t>John Moses Bulahan Aposaga</t>
  </si>
  <si>
    <t>SOTERO JR. FAVILA LOMIGO</t>
  </si>
  <si>
    <t>MARIA PAMELA TOLENTINO BACTOL</t>
  </si>
  <si>
    <t>Elizabeth Gonzales Cabatingan</t>
  </si>
  <si>
    <t>Chairperson, BAC</t>
  </si>
  <si>
    <t>IAN M. LLLONA</t>
  </si>
  <si>
    <t>Lenybelle Ceriola Santos</t>
  </si>
  <si>
    <t>Martin A Telan</t>
  </si>
  <si>
    <t>Ricardo C. Castillo</t>
  </si>
  <si>
    <t>Barangay I</t>
  </si>
  <si>
    <t>MARY GERMAINE VELARDO ALBERTO</t>
  </si>
  <si>
    <t>Elloisa Blanco Perez</t>
  </si>
  <si>
    <t>Elmer O Macalma</t>
  </si>
  <si>
    <t>Edison Salawad Morales</t>
  </si>
  <si>
    <t>Jefferson Coruno</t>
  </si>
  <si>
    <t>Jhunrey C Ordioso</t>
  </si>
  <si>
    <t>REYNERIO JR. TARUC CANTA</t>
  </si>
  <si>
    <t>Arturo Bordeos Timog</t>
  </si>
  <si>
    <t>Winilyn Nipales De Leon</t>
  </si>
  <si>
    <t>Maxelinda Dela Cruz Serrana</t>
  </si>
  <si>
    <t>Fatima M. Ombawa</t>
  </si>
  <si>
    <t>MARIVIC BINAG CORTEZ</t>
  </si>
  <si>
    <t>Julito Bojo Gumapac</t>
  </si>
  <si>
    <t>RUBEN  M ESPELETA</t>
  </si>
  <si>
    <t>Jesus Maureal Gloria</t>
  </si>
  <si>
    <t>Haniya Mussoh Elo</t>
  </si>
  <si>
    <t>Joel Cabuena Bautista</t>
  </si>
  <si>
    <t>Gracianito Lara Lucero</t>
  </si>
  <si>
    <t>VILMA BORLA HERMOSO</t>
  </si>
  <si>
    <t>Elvie Quito</t>
  </si>
  <si>
    <t>Diwata Nilo Gaffud</t>
  </si>
  <si>
    <t>Rosalie A Gaspay</t>
  </si>
  <si>
    <t>Jocelyn M Romero</t>
  </si>
  <si>
    <t>Pablo Aguda Jr.</t>
  </si>
  <si>
    <t>Ma. Twinkle G Mercader</t>
  </si>
  <si>
    <t>margie celemen africa</t>
  </si>
  <si>
    <t>Geddy Anro Malasaga Marson</t>
  </si>
  <si>
    <t>Warren Lorbis Rodriguez</t>
  </si>
  <si>
    <t>Cirilo Bantilan Salas</t>
  </si>
  <si>
    <t>Redentor Curate</t>
  </si>
  <si>
    <t>Mr. Clarence Bolante Bunan</t>
  </si>
  <si>
    <t>Ronald Ares Rojas</t>
  </si>
  <si>
    <t>Catherine C Padin</t>
  </si>
  <si>
    <t>CLARENCE C. MORALES</t>
  </si>
  <si>
    <t>Florencia-Jennifer Ortiz Cobico</t>
  </si>
  <si>
    <t>MARIBEL MOLINA REGASPI</t>
  </si>
  <si>
    <t>Mary Joy S Altarez</t>
  </si>
  <si>
    <t>Luna  Luz Bajamunde Racho</t>
  </si>
  <si>
    <t>LEO GAMMAD LIGGAYU</t>
  </si>
  <si>
    <t>LEYTE PROVINCIAL BAC</t>
  </si>
  <si>
    <t>Beverly Mae M Brebante</t>
  </si>
  <si>
    <t>Samuel De Fiesta Natividad</t>
  </si>
  <si>
    <t>ROGELIO KENTILITISCA PANGAN</t>
  </si>
  <si>
    <t>Elvisa R Co</t>
  </si>
  <si>
    <t>JEZREEL JOHN MANALO MATRE</t>
  </si>
  <si>
    <t>Liza V Castillo</t>
  </si>
  <si>
    <t>Victor San Pedro Almendral</t>
  </si>
  <si>
    <t>Joel Atablanco</t>
  </si>
  <si>
    <t>Dennis H. Dino</t>
  </si>
  <si>
    <t>REBECCA CALUAG LOPEZ</t>
  </si>
  <si>
    <t>aida piansay alvarez</t>
  </si>
  <si>
    <t>Catherine M.  Laza</t>
  </si>
  <si>
    <t>Arnold Olimpia</t>
  </si>
  <si>
    <t>Connie Beb Torralba</t>
  </si>
  <si>
    <t>Florencio Jr. Ragadi Cristobal</t>
  </si>
  <si>
    <t>Blesilda Magdosa Occena</t>
  </si>
  <si>
    <t>WILLIAM UBA VALDE</t>
  </si>
  <si>
    <t>Nimfa Mendoza Derada</t>
  </si>
  <si>
    <t>CIRILA A. ESTRELLA</t>
  </si>
  <si>
    <t>Elizabeth M. Lubis</t>
  </si>
  <si>
    <t>Malou Enero</t>
  </si>
  <si>
    <t>Jaime Gallardo de Pedro</t>
  </si>
  <si>
    <t>Robert Pineda Lucero</t>
  </si>
  <si>
    <t>Chelsea Jillian  M.  Abeleda</t>
  </si>
  <si>
    <t>PHILLIP C. ADVIENTO</t>
  </si>
  <si>
    <t>Eunice Faith Panganiban Castillo</t>
  </si>
  <si>
    <t>Christian Inesola</t>
  </si>
  <si>
    <t>JORJAN BECKER FEDERISO</t>
  </si>
  <si>
    <t>Gene Eslava De Guzman</t>
  </si>
  <si>
    <t>Nick Longga Bio</t>
  </si>
  <si>
    <t>John Redota Jovellano</t>
  </si>
  <si>
    <t>EDGAR JR BRIONES CAPA</t>
  </si>
  <si>
    <t>Maria Lourdes E. Dwiggins</t>
  </si>
  <si>
    <t>Freddie Oben Tomines</t>
  </si>
  <si>
    <t>Alpa Xy-Za Ucab Go</t>
  </si>
  <si>
    <t>Neil Macaraeg</t>
  </si>
  <si>
    <t>Claire M Bacala</t>
  </si>
  <si>
    <t>Jovelyn Valdez Pega</t>
  </si>
  <si>
    <t>Julius Caducano Bartolome</t>
  </si>
  <si>
    <t>Mary Edal Alviar</t>
  </si>
  <si>
    <t>Cherry Mae Molijon Cañete</t>
  </si>
  <si>
    <t>NONA V. ANHAO</t>
  </si>
  <si>
    <t>Pedrito B. Abregana</t>
  </si>
  <si>
    <t>AURORA CUDAL CUARESMA</t>
  </si>
  <si>
    <t>Valentina Garcia Buergo</t>
  </si>
  <si>
    <t>Clovino M. Opao</t>
  </si>
  <si>
    <t>DANNY G. VILLANUEVA</t>
  </si>
  <si>
    <t>Wennie S. Angit</t>
  </si>
  <si>
    <t>Kaicelyn Dizon Gallano</t>
  </si>
  <si>
    <t>Eric G Limpin</t>
  </si>
  <si>
    <t>Jonathan Bajo Ramos</t>
  </si>
  <si>
    <t>ARTURO VECINAL PEREY</t>
  </si>
  <si>
    <t>Rhoderick T. Haban</t>
  </si>
  <si>
    <t>Precila Gutierrez</t>
  </si>
  <si>
    <t>EMIL RODRIGUEZ GANADEN</t>
  </si>
  <si>
    <t>REA AXALAN RAMOS</t>
  </si>
  <si>
    <t>Cheryl Ann Galeon Ombina</t>
  </si>
  <si>
    <t>Zaidie C. Ligutom</t>
  </si>
  <si>
    <t>Jaynorin S Kalilangan</t>
  </si>
  <si>
    <t>Ma. Luisa Tumala Dela Rosa</t>
  </si>
  <si>
    <t>Lucila D De Roxas</t>
  </si>
  <si>
    <t>Maylene M. Minimo</t>
  </si>
  <si>
    <t>ROSALYN AZUL CONDAT</t>
  </si>
  <si>
    <t>ALPHONE GANNABAN BUSTO</t>
  </si>
  <si>
    <t>Joel Embalsado Alvarado</t>
  </si>
  <si>
    <t>Jonathan Regachuelo Jaluague</t>
  </si>
  <si>
    <t>JEAN ALLEN PECHAYCO ALEJANDRO</t>
  </si>
  <si>
    <t>Ferleo Canarias Flores</t>
  </si>
  <si>
    <t>Cholie M. Roble</t>
  </si>
  <si>
    <t>Vincent M Bayot</t>
  </si>
  <si>
    <t>FLERINE JAY RELATIVO SANDOT</t>
  </si>
  <si>
    <t>Juanito M Quinto, Jr.</t>
  </si>
  <si>
    <t>Exuperia Sabalberino</t>
  </si>
  <si>
    <t>Jose Lorenzo C. Cobarrubias</t>
  </si>
  <si>
    <t>Melchor O Quinto</t>
  </si>
  <si>
    <t>Modesto Buenavides Talon</t>
  </si>
  <si>
    <t>Christine Bernadette Jimenez Biteño</t>
  </si>
  <si>
    <t>Carmelita Seto Bangayan</t>
  </si>
  <si>
    <t>Remelyn L. Orapa</t>
  </si>
  <si>
    <t>RUBY JANE C. CRUZ</t>
  </si>
  <si>
    <t>Erika Sheena Serrano</t>
  </si>
  <si>
    <t>REMEDIOS  VERGARA</t>
  </si>
  <si>
    <t>Rowena V Ocana</t>
  </si>
  <si>
    <t>ROCKY TABALBA ANTONIO</t>
  </si>
  <si>
    <t>Rodolfo R David</t>
  </si>
  <si>
    <t>Jacqueline F Terrado</t>
  </si>
  <si>
    <t>FRITZIE FLORENOSOS JUSTOL</t>
  </si>
  <si>
    <t>BENJAMIN N. LAURENCIANA</t>
  </si>
  <si>
    <t>Francis Ian L Tan</t>
  </si>
  <si>
    <t>Ma. Louella Israel</t>
  </si>
  <si>
    <t>MARLON  DUMANOG</t>
  </si>
  <si>
    <t>Florencio Jr. F. Andal</t>
  </si>
  <si>
    <t>JOHN ANTHONY ASPURIA</t>
  </si>
  <si>
    <t>Vicente Hotchkiss Pimentel, III</t>
  </si>
  <si>
    <t>Drafino Jr Ramos Arocena</t>
  </si>
  <si>
    <t>Nancy D. Marcelo</t>
  </si>
  <si>
    <t>Jaybee Gumboc Riobuya</t>
  </si>
  <si>
    <t>Jay V Villafranca</t>
  </si>
  <si>
    <t>LORELLIE OCAMPO RABANERA</t>
  </si>
  <si>
    <t>Amiable Agnes M. Rubio</t>
  </si>
  <si>
    <t>Federico III Daleno Rivero</t>
  </si>
  <si>
    <t>RAYMUND M. DIAZ</t>
  </si>
  <si>
    <t>Gavin B Cadiente</t>
  </si>
  <si>
    <t>MILAGROS LELINA LIGOT PASCUA</t>
  </si>
  <si>
    <t>Rommel Geraldizo Bendicion</t>
  </si>
  <si>
    <t>Randolf B.  Dimal</t>
  </si>
  <si>
    <t>Fernando Boricano Mercene</t>
  </si>
  <si>
    <t>GERALDINE N. RANARA</t>
  </si>
  <si>
    <t>Benigno C Austero</t>
  </si>
  <si>
    <t>Deane Marie Dorliac Ybanez</t>
  </si>
  <si>
    <t>Rosemary R. Juan</t>
  </si>
  <si>
    <t>Feliciana  G. Dacanay</t>
  </si>
  <si>
    <t>Victoria Carcamo Santos</t>
  </si>
  <si>
    <t>Christian Garganza Ortega</t>
  </si>
  <si>
    <t>Michelle Escalada Monteclaro</t>
  </si>
  <si>
    <t>Lourdes Montante Delgado</t>
  </si>
  <si>
    <t>Jahra Amiry Narciso</t>
  </si>
  <si>
    <t>ISAGANI C ABALOS</t>
  </si>
  <si>
    <t>Marevis M. Cabil</t>
  </si>
  <si>
    <t>MARICRES C. COSTRUA</t>
  </si>
  <si>
    <t>DIANA FELLO MOJICA</t>
  </si>
  <si>
    <t>JOEDDIE MAE T. CUATON</t>
  </si>
  <si>
    <t>ALEX A. MERLIN</t>
  </si>
  <si>
    <t>Aaron Roy Puro Sancio</t>
  </si>
  <si>
    <t>Ma. Luz Irene Orbe</t>
  </si>
  <si>
    <t>DENNIS E DE GUZMAN</t>
  </si>
  <si>
    <t>Jose G Medel</t>
  </si>
  <si>
    <t>Pedro F De Guzman</t>
  </si>
  <si>
    <t>Rosemarie Duque Mollaneda</t>
  </si>
  <si>
    <t>Teofilo B. Ferolin, Sr.</t>
  </si>
  <si>
    <t>Clarissa Tabinga</t>
  </si>
  <si>
    <t>Babe Charity S Enerio</t>
  </si>
  <si>
    <t>Nina Lacson Magat</t>
  </si>
  <si>
    <t>Marina P. Cayabo</t>
  </si>
  <si>
    <t>Jun Pajarillo  Vana</t>
  </si>
  <si>
    <t>Luzviminda S. Reyes</t>
  </si>
  <si>
    <t>Josefina Serrato Resorreccion</t>
  </si>
  <si>
    <t>JESUS S. PUNZALAN</t>
  </si>
  <si>
    <t>Lolita Alvarez</t>
  </si>
  <si>
    <t>Joanna Rose Medallada</t>
  </si>
  <si>
    <t>Liborio Ancero Urot</t>
  </si>
  <si>
    <t>JOSEPH HERBON BUSA</t>
  </si>
  <si>
    <t>Eliza Rendon Alamo</t>
  </si>
  <si>
    <t>PIO CLAR TONERA</t>
  </si>
  <si>
    <t>Lito Deloria Echavez</t>
  </si>
  <si>
    <t>Blesilda Virtucio Erejer</t>
  </si>
  <si>
    <t>Martin C Lagmay</t>
  </si>
  <si>
    <t>Arlene Pobre Coloma</t>
  </si>
  <si>
    <t>MARY MARJURIE A. ELHAG</t>
  </si>
  <si>
    <t>Gemzi Janz Acupan Dimacisil</t>
  </si>
  <si>
    <t>JAILI B CANSEJO</t>
  </si>
  <si>
    <t>Christopher Dave Baldedara Musa</t>
  </si>
  <si>
    <t>BENJIE ECHAVIA MALIGRO</t>
  </si>
  <si>
    <t>Corazon Belleza Rivera</t>
  </si>
  <si>
    <t>Susana Cue Escobar</t>
  </si>
  <si>
    <t>HENY JANE VISEN JABONETE</t>
  </si>
  <si>
    <t>HEDELISA  PELOLA  MANINGO</t>
  </si>
  <si>
    <t>Racel Ann Landicho Almodovar</t>
  </si>
  <si>
    <t>Lea Arriesgado dela Peña</t>
  </si>
  <si>
    <t>Rizza Mae Etulle Perges</t>
  </si>
  <si>
    <t>MYRNA BRACEROS BATALLA</t>
  </si>
  <si>
    <t>Jorge Ichon</t>
  </si>
  <si>
    <t>Anna Dhel S Dizon</t>
  </si>
  <si>
    <t>Redan I Cognito</t>
  </si>
  <si>
    <t>FELIX P ZIPAGAN</t>
  </si>
  <si>
    <t>Alejandra P Bonhayag</t>
  </si>
  <si>
    <t>Ida Pableo Reforsado</t>
  </si>
  <si>
    <t>Maria Rachel Panti Gonzales</t>
  </si>
  <si>
    <t>Donata Millan Acasio</t>
  </si>
  <si>
    <t>Crescencio, Jr. Valles Deligero</t>
  </si>
  <si>
    <t>Dr. Peter S. Sobrevega</t>
  </si>
  <si>
    <t>Paul Palma Urbiztondo</t>
  </si>
  <si>
    <t>Joel B Sumugat</t>
  </si>
  <si>
    <t>Devina  Pahuna Bustamante</t>
  </si>
  <si>
    <t>Grace G. Astrero</t>
  </si>
  <si>
    <t>Rogel M De la Cuesta</t>
  </si>
  <si>
    <t>Mirasol Hortelano Suan</t>
  </si>
  <si>
    <t>Victor Ariong Aglipay</t>
  </si>
  <si>
    <t>ELMER GATOC SILAO</t>
  </si>
  <si>
    <t>Joseph  Mangco  Soriano</t>
  </si>
  <si>
    <t>Fennie Pompa Peralta</t>
  </si>
  <si>
    <t>Ma. Rossana Cabigting Fariñas</t>
  </si>
  <si>
    <t>Annabelle De Vera Quiñones</t>
  </si>
  <si>
    <t>ELSIE ZAMORA</t>
  </si>
  <si>
    <t>MAR LOUIE V SALCEDO</t>
  </si>
  <si>
    <t>Hanz Cecilio Bernardo</t>
  </si>
  <si>
    <t>Joselito Buendia Robles Jr.</t>
  </si>
  <si>
    <t>Cesarina Sico Macuha</t>
  </si>
  <si>
    <t>Brenda R. Morales</t>
  </si>
  <si>
    <t>Felipe P Ogaco</t>
  </si>
  <si>
    <t>Freddie Remolado Sumangit</t>
  </si>
  <si>
    <t>MANUELITO A CASTRO</t>
  </si>
  <si>
    <t>RENATO CARINGAL ANONUEVO</t>
  </si>
  <si>
    <t>Vilma Tadifa Javillonar</t>
  </si>
  <si>
    <t>John Albert Odi Diaz</t>
  </si>
  <si>
    <t>Joey Llorente</t>
  </si>
  <si>
    <t>FRANCISCO DELA VICTORIA MASCUÑANA, JR.</t>
  </si>
  <si>
    <t>YOLANDA MARIN GONZALES</t>
  </si>
  <si>
    <t>Grace G Asis</t>
  </si>
  <si>
    <t>Marchelyn Pareja Ganit</t>
  </si>
  <si>
    <t>Dennis L Lim</t>
  </si>
  <si>
    <t>Alexander A Balmes</t>
  </si>
  <si>
    <t>Zaldy Rodriguez Delmendo</t>
  </si>
  <si>
    <t>Editha M. Labaguis</t>
  </si>
  <si>
    <t>Raymond Ian Quevedo Conde</t>
  </si>
  <si>
    <t>JOVITO JR. V. ALMONTE</t>
  </si>
  <si>
    <t>Victor  ? Baldisimo</t>
  </si>
  <si>
    <t>Karen Lisette Trinidad Molas</t>
  </si>
  <si>
    <t>Cuajotor Toledo Albert</t>
  </si>
  <si>
    <t>Flora R. Mallare</t>
  </si>
  <si>
    <t>Larina Esquibel Lopez</t>
  </si>
  <si>
    <t>Dan Rommel Tonquin Gastala</t>
  </si>
  <si>
    <t>Daven O. Herodias</t>
  </si>
  <si>
    <t>Mateo A. Lee, Jr.</t>
  </si>
  <si>
    <t>Jonathan Pabalinas Jalandoni</t>
  </si>
  <si>
    <t>Alexander M. Almario</t>
  </si>
  <si>
    <t>Ryan Chester G. Fong</t>
  </si>
  <si>
    <t>Myrna Pascual Cabico</t>
  </si>
  <si>
    <t>Nome R. Ricalde</t>
  </si>
  <si>
    <t>MA. CRISTINA SHERYL GRAVOSO CULABAN</t>
  </si>
  <si>
    <t>Leonila Santiago De Jesus</t>
  </si>
  <si>
    <t>Jhuna C. Casillano</t>
  </si>
  <si>
    <t>LEODEGARIO, JR. ALAYON LABAO</t>
  </si>
  <si>
    <t>EDEN SITJAR MAGARZO</t>
  </si>
  <si>
    <t>Sharon  G.  Umbaad</t>
  </si>
  <si>
    <t>Mylene Giselle C. Catbagan</t>
  </si>
  <si>
    <t>Antonia C. Ebio</t>
  </si>
  <si>
    <t>Simplicio Peque Honduna</t>
  </si>
  <si>
    <t>SCHERJAN MOOSA C. IBRAHIM</t>
  </si>
  <si>
    <t>Myra B. Eramis</t>
  </si>
  <si>
    <t>Mary Nor Jontilla Gonzales</t>
  </si>
  <si>
    <t>PROCESO M. KADAVERO</t>
  </si>
  <si>
    <t>Angelica Manzano Pellien</t>
  </si>
  <si>
    <t>Myra Cabales Oriel</t>
  </si>
  <si>
    <t>Fercilyn E Grospe</t>
  </si>
  <si>
    <t>MARIA CRISTIE VARGAS BALMADRID</t>
  </si>
  <si>
    <t>OLIVER LAFAYOG TAULE</t>
  </si>
  <si>
    <t>EDELBERTA  URNOM  VILLADOLID</t>
  </si>
  <si>
    <t>Christopher M. Edjic</t>
  </si>
  <si>
    <t>Allan D Agsaulio</t>
  </si>
  <si>
    <t>Ivan Nikko Cabrera Tormis</t>
  </si>
  <si>
    <t>ROLAND B MATIAS</t>
  </si>
  <si>
    <t>Macinole Manalo Domopoy</t>
  </si>
  <si>
    <t>Noel V. Alcain</t>
  </si>
  <si>
    <t>John Carl F Lodevico</t>
  </si>
  <si>
    <t>Hannah F Artil</t>
  </si>
  <si>
    <t>Hydelize Razote Aguinaldo</t>
  </si>
  <si>
    <t>ROSE HABANA MARTINEZ</t>
  </si>
  <si>
    <t>RAIMUNDA MATUOD LUMANTAS</t>
  </si>
  <si>
    <t>Liwayway De Guzman Pangilinan</t>
  </si>
  <si>
    <t>Atty. Raymundo Badang Bautista Jr.</t>
  </si>
  <si>
    <t>Gil C. Suratos</t>
  </si>
  <si>
    <t>Carlos De Leon Catigay Jr.</t>
  </si>
  <si>
    <t>DANILO S. SANTA ANA</t>
  </si>
  <si>
    <t>WILSON NARVAIS CABRALES</t>
  </si>
  <si>
    <t>Joyce Daffon Perey</t>
  </si>
  <si>
    <t>Sunny Ray F Amit</t>
  </si>
  <si>
    <t>NOVER M. BATE</t>
  </si>
  <si>
    <t>Belen Serenio Dela Peña</t>
  </si>
  <si>
    <t>JUNE IVY CIELOS MENDEZ</t>
  </si>
  <si>
    <t>Victor Avendaño</t>
  </si>
  <si>
    <t>Reniza L Abellera</t>
  </si>
  <si>
    <t>Elvis Ragadio Soria</t>
  </si>
  <si>
    <t>MERLITA  T.  SUMAWANG</t>
  </si>
  <si>
    <t>Evelyn Salomon Rivero</t>
  </si>
  <si>
    <t>Jeffrey G. Apilado</t>
  </si>
  <si>
    <t>Nelson Moskito Merculio</t>
  </si>
  <si>
    <t>Marilou Tamayo Quitlong</t>
  </si>
  <si>
    <t>Nedencio T. Macles and Rebecca M. Gadayan</t>
  </si>
  <si>
    <t>Jocelyn Maalat Torda</t>
  </si>
  <si>
    <t>Narcisa Sabino Paloma</t>
  </si>
  <si>
    <t>Christian George Bantilan Pal-ing</t>
  </si>
  <si>
    <t>JOSE ORIAS PANARIGAN</t>
  </si>
  <si>
    <t>Mary Kristine Lawenko Besayte</t>
  </si>
  <si>
    <t>DAISY R. BABAAN</t>
  </si>
  <si>
    <t>Abner H Labaniego</t>
  </si>
  <si>
    <t>Julio Carcellar Gatil</t>
  </si>
  <si>
    <t>Normel Amigable Damasco</t>
  </si>
  <si>
    <t>Annie Grace N. Alforque</t>
  </si>
  <si>
    <t>CLINIA C EUSORES</t>
  </si>
  <si>
    <t>Ramil Labrigas Convicto</t>
  </si>
  <si>
    <t>Raychelle Ann Capit Aguilar</t>
  </si>
  <si>
    <t>larry fabian dasalla</t>
  </si>
  <si>
    <t>Reynaldo C. Lopez Jr.</t>
  </si>
  <si>
    <t>Irene Bea Faustino</t>
  </si>
  <si>
    <t>ERNESTO KIM BALANI TORREFRANCA</t>
  </si>
  <si>
    <t>Petronila  Cabrera Mariano</t>
  </si>
  <si>
    <t>Cielo Leornas Martizo</t>
  </si>
  <si>
    <t>Rosario Corazon  Sison  Abara</t>
  </si>
  <si>
    <t>Eileen C Argañoza</t>
  </si>
  <si>
    <t>RICARDO TORION</t>
  </si>
  <si>
    <t>Nemesio H Davalos</t>
  </si>
  <si>
    <t>Scarlet Sualog Villanueva</t>
  </si>
  <si>
    <t>Jennifer Sayson Teo</t>
  </si>
  <si>
    <t>Danilo Anggot Taucan</t>
  </si>
  <si>
    <t>EDGARDO A. VALDEZ</t>
  </si>
  <si>
    <t>Candido Matutina Dichosa, Jr.</t>
  </si>
  <si>
    <t>MARK ANTHONY M. ABAD</t>
  </si>
  <si>
    <t>Ernani B. Añonuevo</t>
  </si>
  <si>
    <t>JOANA MANATLAO LIMOS, M.D</t>
  </si>
  <si>
    <t>Celia Feniza Casquejo</t>
  </si>
  <si>
    <t>Aser G Sadava</t>
  </si>
  <si>
    <t>Joan V. Cortero</t>
  </si>
  <si>
    <t>Ruben P. Salac Jr.</t>
  </si>
  <si>
    <t>Helen Grace P. Hilario</t>
  </si>
  <si>
    <t>Aurora Batoctoy</t>
  </si>
  <si>
    <t>Nora Pinkihan Linglingon</t>
  </si>
  <si>
    <t>Maredith H. Julve</t>
  </si>
  <si>
    <t>ARNEL ESQUILONA SUAL</t>
  </si>
  <si>
    <t>RUBY FERNANDEZ PERASOL</t>
  </si>
  <si>
    <t>venus Torres Palciso</t>
  </si>
  <si>
    <t>Gerald Miron Morada</t>
  </si>
  <si>
    <t>Jesse R. Quilantang</t>
  </si>
  <si>
    <t>EUGENE IGNACIO</t>
  </si>
  <si>
    <t>Floresa Pizarro Suarez</t>
  </si>
  <si>
    <t>Gladys Ann Bengco Punzalan</t>
  </si>
  <si>
    <t>Bella Capangyarihan</t>
  </si>
  <si>
    <t>Criselda D. Bacatano</t>
  </si>
  <si>
    <t>Agnes Badilla Martino</t>
  </si>
  <si>
    <t>Regine Padual Montano</t>
  </si>
  <si>
    <t>Annalee Alarcon Aguilar</t>
  </si>
  <si>
    <t>Enalin Claridad Loyloy</t>
  </si>
  <si>
    <t>GENOVEVA M. JARDELEZA</t>
  </si>
  <si>
    <t>Glamour Fe Nona Montano</t>
  </si>
  <si>
    <t>Francis Avila Dating</t>
  </si>
  <si>
    <t>DINAH PARO OLIVER</t>
  </si>
  <si>
    <t>Felix Anorma Aragoncillo</t>
  </si>
  <si>
    <t>Dennis Bandal Dalucapas</t>
  </si>
  <si>
    <t>Edgar  Dacusin  Angeles</t>
  </si>
  <si>
    <t>Leonila G. Lapada</t>
  </si>
  <si>
    <t>RAMIL A. CONDEZ</t>
  </si>
  <si>
    <t>LAILA FUERTES DANAQUE</t>
  </si>
  <si>
    <t>Fanie Selda Festin</t>
  </si>
  <si>
    <t>Jinky Mantile Dantay</t>
  </si>
  <si>
    <t>RENATO JR. Q. FAJARDO</t>
  </si>
  <si>
    <t>Maria Magnaye Matawaran</t>
  </si>
  <si>
    <t>Jose Marcelo</t>
  </si>
  <si>
    <t>Richhell Salinas  Tumadiang</t>
  </si>
  <si>
    <t>JENNIPERL BALLOS JAVIER</t>
  </si>
  <si>
    <t>Edwin Francisco Argonza</t>
  </si>
  <si>
    <t>Mohamad Mamental Odin</t>
  </si>
  <si>
    <t>Rosebella Padura Martinez</t>
  </si>
  <si>
    <t>Ivy C. Huertas</t>
  </si>
  <si>
    <t>Donces Necesito</t>
  </si>
  <si>
    <t>Manuel Bryan Laguda Villarante</t>
  </si>
  <si>
    <t>Julito Monteclaro Maglacas</t>
  </si>
  <si>
    <t>REDEMCION M. DE LEON</t>
  </si>
  <si>
    <t>Marites Cueto Borbon</t>
  </si>
  <si>
    <t>Noli P Apostol</t>
  </si>
  <si>
    <t>FAISAL O IDRIS</t>
  </si>
  <si>
    <t>Nelson Baptista Cabarrabang</t>
  </si>
  <si>
    <t>Angelie de la Llave Intico</t>
  </si>
  <si>
    <t>Dennis S Dabuco</t>
  </si>
  <si>
    <t>harry eran</t>
  </si>
  <si>
    <t>Noel Jardeleza</t>
  </si>
  <si>
    <t>Donna Mae Mitra Reyroso</t>
  </si>
  <si>
    <t>Rosevida Y. Cadag</t>
  </si>
  <si>
    <t>Danny Clamor Flores</t>
  </si>
  <si>
    <t>Ma. Isabel M Mirano</t>
  </si>
  <si>
    <t>Lailani S Hernandez</t>
  </si>
  <si>
    <t>Sheila Marie Sebastian Campos</t>
  </si>
  <si>
    <t>Florencia Ang Arcillas</t>
  </si>
  <si>
    <t>NILO C. SAQUIDO</t>
  </si>
  <si>
    <t>Susan Mabalon Panique</t>
  </si>
  <si>
    <t>Ma. Hera Geneva Oberio Billena</t>
  </si>
  <si>
    <t>rodrigo jabellana</t>
  </si>
  <si>
    <t>BERNARDO C. POJAS</t>
  </si>
  <si>
    <t>Shirley Mandreza Tesorio</t>
  </si>
  <si>
    <t xml:space="preserve">Ariel Ocon Vilar </t>
  </si>
  <si>
    <t>ELIZALDE ESTABILLO TUAZON</t>
  </si>
  <si>
    <t>Bernadette Manggol Sapungan</t>
  </si>
  <si>
    <t>Rolando Veronilla Pe</t>
  </si>
  <si>
    <t>Nerio D Fragata</t>
  </si>
  <si>
    <t>Alma R. Osillos</t>
  </si>
  <si>
    <t>EDWIN  D.  DIMAANO</t>
  </si>
  <si>
    <t>Christopher Dave A. Calimlim</t>
  </si>
  <si>
    <t>EnP Arlet E. Legaspi</t>
  </si>
  <si>
    <t>Marlon Iwarat Esguerra</t>
  </si>
  <si>
    <t>LEOD MARTIN BALAWANG PRESADO</t>
  </si>
  <si>
    <t>Marjorie Ecleo Jayme</t>
  </si>
  <si>
    <t>Bren Vergara Buena</t>
  </si>
  <si>
    <t>JOHN REFUERZO PILOT</t>
  </si>
  <si>
    <t>Jennybeb Bedejo</t>
  </si>
  <si>
    <t>Edzrael L. Mohammad</t>
  </si>
  <si>
    <t>JANE MACATANGAY LUCE</t>
  </si>
  <si>
    <t>Manuel Dacuma</t>
  </si>
  <si>
    <t>Carmela Panganiban Valencia</t>
  </si>
  <si>
    <t>Gredalie Rivera Acopio</t>
  </si>
  <si>
    <t>RODOLFO SALUD Palma</t>
  </si>
  <si>
    <t>Armando Bañaga Uluan</t>
  </si>
  <si>
    <t>Yvex Lopez Cabansag</t>
  </si>
  <si>
    <t>Zaldy B. Escasinas</t>
  </si>
  <si>
    <t>Ramil Custodio Martinez</t>
  </si>
  <si>
    <t>Ethel Leslie Pacquiao Plazos</t>
  </si>
  <si>
    <t>Giovanni Y. Tianero</t>
  </si>
  <si>
    <t>Margarito Perez Dimailig</t>
  </si>
  <si>
    <t>Allan Zonio Francisco</t>
  </si>
  <si>
    <t>Shiela Narbarte Domondon</t>
  </si>
  <si>
    <t>Nestor Acol Almaite</t>
  </si>
  <si>
    <t>Ruth Embate Agustin</t>
  </si>
  <si>
    <t>Jessica R. Narit/ Julia Marie L. Abarca/ Erwin S. Aban</t>
  </si>
  <si>
    <t>NESTOR T TELIN</t>
  </si>
  <si>
    <t>Ailleen Melody Enguerra Alya-On</t>
  </si>
  <si>
    <t>CHARISMA ALLAPITAN BARUT</t>
  </si>
  <si>
    <t>Gevanie Urtal Magpantay</t>
  </si>
  <si>
    <t>Rizalina Fernando Bueno</t>
  </si>
  <si>
    <t>Ryan Ibrado Bonghanoy</t>
  </si>
  <si>
    <t>Mark Anthony  Abalde  Alas</t>
  </si>
  <si>
    <t>ALLAN SABAS BARCENA</t>
  </si>
  <si>
    <t>Miramar (Myra) S De Asis</t>
  </si>
  <si>
    <t>Virgilio A Abonador</t>
  </si>
  <si>
    <t>Angela Eduvala Dagsaan</t>
  </si>
  <si>
    <t>Arlene Cervantes Cafe</t>
  </si>
  <si>
    <t>Adriel S. Dacara</t>
  </si>
  <si>
    <t>TIFFANY SAMSON LLAVE</t>
  </si>
  <si>
    <t>Jerry A Bernadas</t>
  </si>
  <si>
    <t>Flores Ogaña Serdon</t>
  </si>
  <si>
    <t>Arnulfo A. Adana</t>
  </si>
  <si>
    <t>Cirio Dela Cruz Pangan</t>
  </si>
  <si>
    <t>Rudy Zamora Soliven</t>
  </si>
  <si>
    <t>Sylvia Maquilan Caratao</t>
  </si>
  <si>
    <t>ulanbai silongan lizardo</t>
  </si>
  <si>
    <t>Juliet Lampago Largado</t>
  </si>
  <si>
    <t>Joedel J. Mangabat</t>
  </si>
  <si>
    <t>Georgette Ruga Imperial</t>
  </si>
  <si>
    <t>Michael M. Mercado</t>
  </si>
  <si>
    <t>THELMA CAPA JAPSON</t>
  </si>
  <si>
    <t>REMIGIO JR GODDI MARCELINO</t>
  </si>
  <si>
    <t>RUENA BAJET BUIS</t>
  </si>
  <si>
    <t>Mary Josephine Rullan Gacho</t>
  </si>
  <si>
    <t>Mario C Due</t>
  </si>
  <si>
    <t>RYAN DOCTOLERO TOMBADO</t>
  </si>
  <si>
    <t>Domingo Llave Nace</t>
  </si>
  <si>
    <t>JOSE SIAZON LOZENDO JR.</t>
  </si>
  <si>
    <t>Simeon Mangalip Navarro</t>
  </si>
  <si>
    <t>Maria Agnes Gonzales Tacadena</t>
  </si>
  <si>
    <t>Sharon S. Gupalor</t>
  </si>
  <si>
    <t>Marieta Manayon Gaer</t>
  </si>
  <si>
    <t>Jeny Mazon Morales</t>
  </si>
  <si>
    <t>ARTHUR ZAPANTA GALANG</t>
  </si>
  <si>
    <t>Joan J. Sadaba</t>
  </si>
  <si>
    <t>Edwin G. Yuson</t>
  </si>
  <si>
    <t>Lani Pabalan Magno</t>
  </si>
  <si>
    <t>ARLENE BAUTISTA CASIPIT</t>
  </si>
  <si>
    <t>Renato Motao Sarikit</t>
  </si>
  <si>
    <t>REYLLAND EBALLE RENDAL</t>
  </si>
  <si>
    <t>BOBBY MEDIANO CALAWOD</t>
  </si>
  <si>
    <t>Anna Mae Voloso Acopio</t>
  </si>
  <si>
    <t>Lara Mae Dente Pares</t>
  </si>
  <si>
    <t>Jackielyn Macahilo Marcelino</t>
  </si>
  <si>
    <t>RODOLFO JR. MACASPAC NUSUG</t>
  </si>
  <si>
    <t>Mary Grace Liwag Capisonda</t>
  </si>
  <si>
    <t>Rosemarie  Lavilla  Ordas</t>
  </si>
  <si>
    <t>Corazon Martinez Fronda</t>
  </si>
  <si>
    <t>EVAN V. PUYOS</t>
  </si>
  <si>
    <t>Hermenegildo III Ehara Regala</t>
  </si>
  <si>
    <t>Angela H. Rivera</t>
  </si>
  <si>
    <t>Rhea Valmadrid</t>
  </si>
  <si>
    <t>Dolores Villanueva Betonio</t>
  </si>
  <si>
    <t>Virgilio M Cabagyo</t>
  </si>
  <si>
    <t>ALBELLO M PADAYHAG</t>
  </si>
  <si>
    <t>ma. nieves hernadez mateo</t>
  </si>
  <si>
    <t>VIOLETA TAGRA ASIS</t>
  </si>
  <si>
    <t>ABRAHAM SR. V. CALAOR</t>
  </si>
  <si>
    <t>Cristina Rico Tabunda</t>
  </si>
  <si>
    <t>Corazon Barrientos Pagayona</t>
  </si>
  <si>
    <t>Felibert  Ramos Salvador</t>
  </si>
  <si>
    <t>Sharon Obias Dancalan</t>
  </si>
  <si>
    <t>Katrine Natanauan Martinez</t>
  </si>
  <si>
    <t>Jacquiline Lanutan Tagaca</t>
  </si>
  <si>
    <t>Romy Alusen Bucalen</t>
  </si>
  <si>
    <t>Avelino Guerrero Abello</t>
  </si>
  <si>
    <t>Rosalie Galang Calma</t>
  </si>
  <si>
    <t>Arlene M. Divino</t>
  </si>
  <si>
    <t>JULIUS EFREN CEPEDA CANAPI</t>
  </si>
  <si>
    <t>Alexander Jr. Vito Agawin</t>
  </si>
  <si>
    <t>Myla Dela Cruz Gepitan</t>
  </si>
  <si>
    <t>Eduardo M. Doria</t>
  </si>
  <si>
    <t>MARIADELIA BUBA AVE</t>
  </si>
  <si>
    <t>Rhandy D. Domingo</t>
  </si>
  <si>
    <t>Glenn Infante Lansangan</t>
  </si>
  <si>
    <t>Diosdada V. Vito</t>
  </si>
  <si>
    <t>Jude Thaddeus G. Paat</t>
  </si>
  <si>
    <t>Marlon Oblena Deodores</t>
  </si>
  <si>
    <t>Klaudine Magno De Vera</t>
  </si>
  <si>
    <t>Angelbert G Dimazana</t>
  </si>
  <si>
    <t>Cindy Ramos Tiu</t>
  </si>
  <si>
    <t>JEANNA RABANILLO RAPAYRAPAY</t>
  </si>
  <si>
    <t>pancho jr amor cayago</t>
  </si>
  <si>
    <t>Clarivel Ordonia Seguritan</t>
  </si>
  <si>
    <t>PRECIOSA G. OÑATE</t>
  </si>
  <si>
    <t>Cesar R De Leon</t>
  </si>
  <si>
    <t>LORENA BUDIONGAN AMBA</t>
  </si>
  <si>
    <t>Jennifer Balucan Vega</t>
  </si>
  <si>
    <t>Melvin B. Arevalo</t>
  </si>
  <si>
    <t>JOCELYN FUENTES VILLARIN</t>
  </si>
  <si>
    <t>ANECITA PEREZ ARGUILLES</t>
  </si>
  <si>
    <t>Leomar Bayod Balod</t>
  </si>
  <si>
    <t>Mar Giovanni L. Cabingas</t>
  </si>
  <si>
    <t>Nelson Miranda Bautista</t>
  </si>
  <si>
    <t>Angel Jr. Dacuycuy Morales</t>
  </si>
  <si>
    <t>Beatriz Dumapay Pascual</t>
  </si>
  <si>
    <t>Benita De Castro Zapata</t>
  </si>
  <si>
    <t>ROMEO S BUGNOT</t>
  </si>
  <si>
    <t>MARJORIE TENORIO GARCIA</t>
  </si>
  <si>
    <t>Roger Mappala</t>
  </si>
  <si>
    <t>Thelma H Menorias</t>
  </si>
  <si>
    <t>Digna Andal Fajarito</t>
  </si>
  <si>
    <t>Marcelino Jr. R. Bebanco</t>
  </si>
  <si>
    <t>Aurelio Sabaldan Segador</t>
  </si>
  <si>
    <t>Julie Joy Bayoguing Divinagracia</t>
  </si>
  <si>
    <t>Jenerose Luzana Macamay</t>
  </si>
  <si>
    <t>RIZALINA T. MANZANO</t>
  </si>
  <si>
    <t>Katherine Enriquez Perocillo</t>
  </si>
  <si>
    <t>Eduardo Anaviso Tragura</t>
  </si>
  <si>
    <t>Ivan Cruz</t>
  </si>
  <si>
    <t>Jonalyn Hernandez Villas</t>
  </si>
  <si>
    <t>Mariel De Vera Mohammad-Sali</t>
  </si>
  <si>
    <t>Melanie D. Calajate</t>
  </si>
  <si>
    <t>Jovel Jurada Oberio</t>
  </si>
  <si>
    <t>Zenaida Pescador Madriaga</t>
  </si>
  <si>
    <t>Napol Domenden Mercurio</t>
  </si>
  <si>
    <t>Hitler Zapata Masangkay</t>
  </si>
  <si>
    <t>Rosanna Tan Andal</t>
  </si>
  <si>
    <t>AJINNA SANTOS SAN DIEGO</t>
  </si>
  <si>
    <t>Edwin Vergel De Dios David</t>
  </si>
  <si>
    <t>NIVERA PLANILLO ROMEO</t>
  </si>
  <si>
    <t>Mila Rodrin Creencia 2</t>
  </si>
  <si>
    <t>KEN EMERY B. MARTINEZ</t>
  </si>
  <si>
    <t>TERESITA BATILARAN MACUTE</t>
  </si>
  <si>
    <t>CARLITO BRUZON COTARES</t>
  </si>
  <si>
    <t>Anacleto Soriano Clamosa</t>
  </si>
  <si>
    <t>JEFFREY JAMES SOLIONGCO</t>
  </si>
  <si>
    <t>Armando  A Diada</t>
  </si>
  <si>
    <t>JOENIME B KAPINA</t>
  </si>
  <si>
    <t>Jonathan J. Bayona</t>
  </si>
  <si>
    <t>SONIA R. DEL ROSARIO</t>
  </si>
  <si>
    <t>Virginia Jimenez Nicolas</t>
  </si>
  <si>
    <t>Angela Estribor Rodrigo</t>
  </si>
  <si>
    <t>Maricar C Cristobal</t>
  </si>
  <si>
    <t>Analie Buhain Abueg</t>
  </si>
  <si>
    <t>Tommy Mahilum Artajo</t>
  </si>
  <si>
    <t>Bernard Bordon Delos Reyes</t>
  </si>
  <si>
    <t>Angelina M De Vera</t>
  </si>
  <si>
    <t>Alter Reyes Llamas</t>
  </si>
  <si>
    <t>Angelo Arca dela Rosa</t>
  </si>
  <si>
    <t>Jose Mario C Viernes</t>
  </si>
  <si>
    <t>Mary Grace L. Baarde</t>
  </si>
  <si>
    <t>Edmundo Mirador</t>
  </si>
  <si>
    <t>Juan A Catapang</t>
  </si>
  <si>
    <t>DINDO PAREÑO LAZARTE</t>
  </si>
  <si>
    <t>Consorcio Manlangit Ferrer</t>
  </si>
  <si>
    <t>Delfin Delinea</t>
  </si>
  <si>
    <t>LEMUEL  BON  CAMACHO</t>
  </si>
  <si>
    <t>DON PATRICK TIONGSON SALAMAT</t>
  </si>
  <si>
    <t>MARK ANTHONY  A. OCAMPO</t>
  </si>
  <si>
    <t>Jamaica Gruesco Ebrada</t>
  </si>
  <si>
    <t>MARK JAYSON LOMBOY FELIPE</t>
  </si>
  <si>
    <t>ALVIN ANTHONY REQUINA ABUCEJO</t>
  </si>
  <si>
    <t>Camille L Maraviles</t>
  </si>
  <si>
    <t>Clark Wendell P Lising</t>
  </si>
  <si>
    <t>JIMMY AMBROCIO FAMARANCO</t>
  </si>
  <si>
    <t>abelardo M. adaya</t>
  </si>
  <si>
    <t>Laurence Joseph Reyes Tadiar</t>
  </si>
  <si>
    <t>MA. THERESA REMOROFF BARROSO</t>
  </si>
  <si>
    <t>Amelita Bathan Dimailig</t>
  </si>
  <si>
    <t>MERCEDITA DIWA</t>
  </si>
  <si>
    <t>Teresa Almoite Ganuelas</t>
  </si>
  <si>
    <t>tasiano O. mea</t>
  </si>
  <si>
    <t>Maria Rizza Mae  R.  Mabaquiao</t>
  </si>
  <si>
    <t>ATILANO G. BRIONES</t>
  </si>
  <si>
    <t>Graceli De Leon</t>
  </si>
  <si>
    <t>PRECIOUS GAY ABRAU</t>
  </si>
  <si>
    <t>MARIA ABIGAIL A. PARWANI</t>
  </si>
  <si>
    <t>Gerardo Jr. V Viloria</t>
  </si>
  <si>
    <t>Nemesio M. Frigillana</t>
  </si>
  <si>
    <t>Reynaldo Aquino  Ariola</t>
  </si>
  <si>
    <t>Fe Jennifer V. Yaranon</t>
  </si>
  <si>
    <t>MARICHELLE D. FERRER</t>
  </si>
  <si>
    <t>Dinah Joy Simora Alsola</t>
  </si>
  <si>
    <t>Roberto O. Rafer</t>
  </si>
  <si>
    <t>MARITES E. JALAC</t>
  </si>
  <si>
    <t>CANDIDO ALFRED II AZARES BANCORO</t>
  </si>
  <si>
    <t>Monaliza Aquino Galvez</t>
  </si>
  <si>
    <t>Edvil Urbiztondo Trillanes</t>
  </si>
  <si>
    <t>MELANIE GAMILDE GACUSAN</t>
  </si>
  <si>
    <t>Hilario Pacardo Gorgonia</t>
  </si>
  <si>
    <t>Amelyn Quinio Martinez</t>
  </si>
  <si>
    <t>Ma. Teresa M Layug</t>
  </si>
  <si>
    <t>Minerva B. Bonina</t>
  </si>
  <si>
    <t>Venus A. Bonita</t>
  </si>
  <si>
    <t>HANILYN R AQUINO</t>
  </si>
  <si>
    <t>Joselyn S. Vivares</t>
  </si>
  <si>
    <t>ANACLETO  AVENIDO  PLASABAS</t>
  </si>
  <si>
    <t>Raymundo Belen Cueto</t>
  </si>
  <si>
    <t>ROWENA L. MAGAHIS</t>
  </si>
  <si>
    <t>Arthur Ryan  R.  Dupalco</t>
  </si>
  <si>
    <t>Villa Antonia F Lustre</t>
  </si>
  <si>
    <t>Ma. Lynbert D. Dulpina Dominos Dulpina</t>
  </si>
  <si>
    <t>Ramon Alberto Tancio</t>
  </si>
  <si>
    <t>Angelica Santayana Asiao</t>
  </si>
  <si>
    <t>MARIBEL A. CEREZO</t>
  </si>
  <si>
    <t>TEODORO A. QUINTANA, JR.</t>
  </si>
  <si>
    <t>Mae Ann Olasiman Cutamora</t>
  </si>
  <si>
    <t>Luis Olarte Pereja Jr.</t>
  </si>
  <si>
    <t>SAMUEL GUMPAL LLANES</t>
  </si>
  <si>
    <t>Rommel Aristotle Paraiso Varias</t>
  </si>
  <si>
    <t>LEA C. BARASI</t>
  </si>
  <si>
    <t>RONALDO AFABLE TORRES</t>
  </si>
  <si>
    <t>Roberto, Sr. Seraspe Tumangday</t>
  </si>
  <si>
    <t>GINA R ASULA</t>
  </si>
  <si>
    <t>NANCY CABALLERO</t>
  </si>
  <si>
    <t>ROGELIO MARCELLANA</t>
  </si>
  <si>
    <t>Lilibeth Pedroso Arca</t>
  </si>
  <si>
    <t>Margarita Vergara Dimaligalig</t>
  </si>
  <si>
    <t>George uy So</t>
  </si>
  <si>
    <t>jimmy managad tolentino</t>
  </si>
  <si>
    <t>PEDERITO BERSABE GUIANAN</t>
  </si>
  <si>
    <t>Nelia B. Mejia</t>
  </si>
  <si>
    <t>JOEY  C.  JAMINOLA</t>
  </si>
  <si>
    <t>Gina Arao Arevalo</t>
  </si>
  <si>
    <t>Miguel Sequio Gallego</t>
  </si>
  <si>
    <t>Jay  Solima Subac</t>
  </si>
  <si>
    <t>Leah Magtanong</t>
  </si>
  <si>
    <t>REYNALDO EDONDO</t>
  </si>
  <si>
    <t>Janny M Pacleb</t>
  </si>
  <si>
    <t>arnel mendones moreno</t>
  </si>
  <si>
    <t>Antonia D Castillo</t>
  </si>
  <si>
    <t>Melvin O Empeno</t>
  </si>
  <si>
    <t>Leonard E. Marquez</t>
  </si>
  <si>
    <t>Fritzie Mae Vasquez Valenzuela</t>
  </si>
  <si>
    <t>Alexander L Ulep</t>
  </si>
  <si>
    <t>Percilo Gamez De Gala</t>
  </si>
  <si>
    <t>Roy Mercado Capupus</t>
  </si>
  <si>
    <t>Maximo C. Allorin</t>
  </si>
  <si>
    <t>Benazir Lim Alam</t>
  </si>
  <si>
    <t>Arceli Magtanong Samson</t>
  </si>
  <si>
    <t>Baby Rose C. Bellon</t>
  </si>
  <si>
    <t>Rene I Estorpe</t>
  </si>
  <si>
    <t>MA. CELESTE S. DIZON</t>
  </si>
  <si>
    <t>Algen Grejalvo Rasco</t>
  </si>
  <si>
    <t>Eleuterio L Blasco</t>
  </si>
  <si>
    <t>Fhe Gallardo</t>
  </si>
  <si>
    <t>Maureen Suayan Orlina</t>
  </si>
  <si>
    <t>RAUL PANELO GALI</t>
  </si>
  <si>
    <t>DUSTIN PADILLA FORMALEJO</t>
  </si>
  <si>
    <t>EDWARD SULIMA MAHINAY</t>
  </si>
  <si>
    <t>Camilo A. Manzon</t>
  </si>
  <si>
    <t>Elvina M Dotimas</t>
  </si>
  <si>
    <t>NIRO ROTE NINIANO</t>
  </si>
  <si>
    <t>Cherry Rose Castillo Reyes</t>
  </si>
  <si>
    <t>Aris A. Arellano</t>
  </si>
  <si>
    <t>Rinafe del Rio Dy</t>
  </si>
  <si>
    <t>Hope Jaravata Relayson</t>
  </si>
  <si>
    <t>ELISA QUINTANA PACHECO</t>
  </si>
  <si>
    <t>Norman Jay B. Alvarado</t>
  </si>
  <si>
    <t>Lourvelyn Sicat Lacson</t>
  </si>
  <si>
    <t>rodrigo burio olano</t>
  </si>
  <si>
    <t>ANDRES  TOLENTINO  RENTEGRADO</t>
  </si>
  <si>
    <t>Eliza Alvarez Quiambao</t>
  </si>
  <si>
    <t>Desiderio Estillore Gudia Jr.</t>
  </si>
  <si>
    <t>Jane Yvonne J. Jacobe</t>
  </si>
  <si>
    <t>Venus Contreras Decena</t>
  </si>
  <si>
    <t>ANDREA JUNE G ALFAJARO</t>
  </si>
  <si>
    <t>JOSE TEPPANG GALACINAO</t>
  </si>
  <si>
    <t>Peter Hendrix Lisboa Alcantara</t>
  </si>
  <si>
    <t>kethlyn franco villar</t>
  </si>
  <si>
    <t>Ma. Glysa Frias Rico</t>
  </si>
  <si>
    <t>Helen Capuyan Suico</t>
  </si>
  <si>
    <t>Raymond Moses Basa Tenchavez</t>
  </si>
  <si>
    <t>Ermintrude Diaz Gonzales</t>
  </si>
  <si>
    <t>Abigail Chiara Catalla Muñoz</t>
  </si>
  <si>
    <t>JOEL A. ELUMBA</t>
  </si>
  <si>
    <t>Monalyn Lomibao Moulic</t>
  </si>
  <si>
    <t>FERDINAND B. LAMSEN</t>
  </si>
  <si>
    <t>Henry L. Melecio</t>
  </si>
  <si>
    <t>Jolina Bonleon Vital</t>
  </si>
  <si>
    <t>Evencio C Ruben</t>
  </si>
  <si>
    <t>Ma. Charlene Cadiz</t>
  </si>
  <si>
    <t>Atilano Alinarte Abilay</t>
  </si>
  <si>
    <t>Mariane B. Tingchuy</t>
  </si>
  <si>
    <t>Antonio G Salazar</t>
  </si>
  <si>
    <t>Rochelle M. Tamayo</t>
  </si>
  <si>
    <t>LORETO LUCERO LORENZO</t>
  </si>
  <si>
    <t>ORLANDO FESICO PAN</t>
  </si>
  <si>
    <t>RUFO SOTELO SOTELO Jr.</t>
  </si>
  <si>
    <t>Efren R. Bautista</t>
  </si>
  <si>
    <t>EVELYN COLUMBRES MALIGAD</t>
  </si>
  <si>
    <t>Francisco A  De Castro</t>
  </si>
  <si>
    <t>Andresito Papelirin Dosal</t>
  </si>
  <si>
    <t>Elsie Dofredo Alcala</t>
  </si>
  <si>
    <t>Madelyn Baluran Gabuat</t>
  </si>
  <si>
    <t>Maricel S. Yu</t>
  </si>
  <si>
    <t>Mansueto Ibale Diangco</t>
  </si>
  <si>
    <t>Redden Camba</t>
  </si>
  <si>
    <t>Francisco B Gaspar Jr</t>
  </si>
  <si>
    <t>Ana Liza Calma Zablan</t>
  </si>
  <si>
    <t>rhodora pelonia tan</t>
  </si>
  <si>
    <t>Diana E Orcine</t>
  </si>
  <si>
    <t>ARIEL PILAGO REOLA</t>
  </si>
  <si>
    <t>Realyn Mae Bonilla Bernas</t>
  </si>
  <si>
    <t>Atty. Cipriano U. Asilo</t>
  </si>
  <si>
    <t>Ador A Paraiso</t>
  </si>
  <si>
    <t>Teresa T Coquia</t>
  </si>
  <si>
    <t>Catherine Juntarciego Nomananap</t>
  </si>
  <si>
    <t>Edelyn Arasan Soriano</t>
  </si>
  <si>
    <t>Novo Ramos Alimurong</t>
  </si>
  <si>
    <t>Romelyn G. Estares</t>
  </si>
  <si>
    <t>MARIA CECILLE JAMITO MADERA</t>
  </si>
  <si>
    <t>Nieves Trinidad Maano</t>
  </si>
  <si>
    <t>Dominic Babaran Calimag</t>
  </si>
  <si>
    <t>Kimberly Englis Templado</t>
  </si>
  <si>
    <t>Cosme  Moncano  Anaviso</t>
  </si>
  <si>
    <t>BERNARD EVANGELISTA</t>
  </si>
  <si>
    <t>Mirasol Virtudazo</t>
  </si>
  <si>
    <t>Anselmo L Sang Tian</t>
  </si>
  <si>
    <t>Arsenia Morcoso Ordiales</t>
  </si>
  <si>
    <t>Marsal Cajatol Chiong</t>
  </si>
  <si>
    <t>Renie Muñoz Dumangas</t>
  </si>
  <si>
    <t>Emily B. Mazon</t>
  </si>
  <si>
    <t>Marlyn Jadie Paje</t>
  </si>
  <si>
    <t>Roval Regalado De Jesus</t>
  </si>
  <si>
    <t>Urbie Mahipos Migallen</t>
  </si>
  <si>
    <t>Cecilia Maningo Fuentes</t>
  </si>
  <si>
    <t>Marfel Nonato Casanova Solidum</t>
  </si>
  <si>
    <t>DONNA M PADUA</t>
  </si>
  <si>
    <t>JAY ARH B. SOLVERO</t>
  </si>
  <si>
    <t>Ann Laurence Guzman Santos</t>
  </si>
  <si>
    <t>Engr. Anastacio Cuares Pol</t>
  </si>
  <si>
    <t>ROCHELLE LAMADORA GENORING</t>
  </si>
  <si>
    <t>LOUISE MYKAELA ROBLES</t>
  </si>
  <si>
    <t>Patricia C. Macatangay</t>
  </si>
  <si>
    <t>Jessie M. Galla</t>
  </si>
  <si>
    <t>Marnie O. Credo</t>
  </si>
  <si>
    <t>Rene Sarmiento</t>
  </si>
  <si>
    <t>Leonora Gentica Lee</t>
  </si>
  <si>
    <t>charlemagne tupag noble</t>
  </si>
  <si>
    <t>Rey Coyoca Moralde</t>
  </si>
  <si>
    <t>ALFRED TAGUIBAO ABENA</t>
  </si>
  <si>
    <t>DIVINE GRACE ELIZAGA</t>
  </si>
  <si>
    <t>Gerald B Alvaro</t>
  </si>
  <si>
    <t>Michelle M Marcos</t>
  </si>
  <si>
    <t>Jundel John Benavidez Cabanela</t>
  </si>
  <si>
    <t>Ramil Villaruel</t>
  </si>
  <si>
    <t>ADELA RAMOS NAVE</t>
  </si>
  <si>
    <t>Ana Marie  A.  Medina</t>
  </si>
  <si>
    <t>Carmencita Tayoto</t>
  </si>
  <si>
    <t>Ronel Herico Laguador</t>
  </si>
  <si>
    <t>FREDDIE O. TEJADA</t>
  </si>
  <si>
    <t>Ruel Cole Armodia</t>
  </si>
  <si>
    <t>Flordeliza S. Mingo</t>
  </si>
  <si>
    <t>Ma. Carmen Cadag Taopo</t>
  </si>
  <si>
    <t>Lester Ivan Y. Tolcidas</t>
  </si>
  <si>
    <t>Annabelle M Pameron</t>
  </si>
  <si>
    <t>Jan Mae Dayanghirang Llavore</t>
  </si>
  <si>
    <t>Anna Mae Claudia Acompañado</t>
  </si>
  <si>
    <t>Alain Bleza Padernal</t>
  </si>
  <si>
    <t>Dennis Largo</t>
  </si>
  <si>
    <t>Jennifer Mallonga Cunanan</t>
  </si>
  <si>
    <t>Mary Jean Garrido Demonteverde</t>
  </si>
  <si>
    <t>Manulito S Rodriguez</t>
  </si>
  <si>
    <t>Geovanni Alfon Hera</t>
  </si>
  <si>
    <t>CLARO SENTINA SERVENTO</t>
  </si>
  <si>
    <t>ALVIN  L  ESTRADA.</t>
  </si>
  <si>
    <t>RUSTICO GOJO CRUZ GATCHALIAN</t>
  </si>
  <si>
    <t>Junel Tantoy Mirontos</t>
  </si>
  <si>
    <t>Alvin P. Justo</t>
  </si>
  <si>
    <t>Luzviminda Bentulan Muyco</t>
  </si>
  <si>
    <t>Peachy Natividad E. Chatto</t>
  </si>
  <si>
    <t>RAYMOORE A ARTATES</t>
  </si>
  <si>
    <t>Editha Villanueva Yrawda</t>
  </si>
  <si>
    <t>Analiza Camsa Lomedeg</t>
  </si>
  <si>
    <t>Noli T. Gandamon</t>
  </si>
  <si>
    <t>Celia villanueva Manalad</t>
  </si>
  <si>
    <t>Mark Neil Ansagay Recaido</t>
  </si>
  <si>
    <t>Francorival Castanares Lorizo</t>
  </si>
  <si>
    <t>Teofilo, Jr. Rostata Gervacio</t>
  </si>
  <si>
    <t>Lorna L Dela Rosa</t>
  </si>
  <si>
    <t>Virgie N Bartonico</t>
  </si>
  <si>
    <t>joy ogarte rodriguez</t>
  </si>
  <si>
    <t>Asnawi Ramos Dalidig</t>
  </si>
  <si>
    <t>CRISALDO T MERCADER</t>
  </si>
  <si>
    <t>Clarita D. Manibo</t>
  </si>
  <si>
    <t>Maita Marasigan Lazares</t>
  </si>
  <si>
    <t>John Paulo Telmo Purino</t>
  </si>
  <si>
    <t>Irene Enriquez</t>
  </si>
  <si>
    <t>Rosalbeth Cueco Villarin</t>
  </si>
  <si>
    <t>MA. BELEN POLIDO ACUESTA</t>
  </si>
  <si>
    <t>Reynaldo Salting De Fiesta</t>
  </si>
  <si>
    <t>Alejandro Polestico Auxtero</t>
  </si>
  <si>
    <t>Alien Belleza Empaces</t>
  </si>
  <si>
    <t>JANICE MAY ARCONES SERASPE</t>
  </si>
  <si>
    <t>Aileen C. Cula</t>
  </si>
  <si>
    <t>Judith D. Alde</t>
  </si>
  <si>
    <t>ALBERTO ADORA</t>
  </si>
  <si>
    <t>Leoli N. Gavino</t>
  </si>
  <si>
    <t>Bernadita M. Abanacion</t>
  </si>
  <si>
    <t>Mercy Gladys Santiago Cuenca</t>
  </si>
  <si>
    <t>ROMMEL B. PITALBO</t>
  </si>
  <si>
    <t>Isabela Rosales Maro</t>
  </si>
  <si>
    <t>GLENN H. TIANGHA</t>
  </si>
  <si>
    <t>JESUSA JASMA BONGOSIA</t>
  </si>
  <si>
    <t>Rojedy Arroyo Castro</t>
  </si>
  <si>
    <t>Marloe Cagatan Actub</t>
  </si>
  <si>
    <t>NESTOR APLACA AMPARO</t>
  </si>
  <si>
    <t>Kristina Omapas Racuya</t>
  </si>
  <si>
    <t>Sheila Mae T.  Toyorada</t>
  </si>
  <si>
    <t>LOUIE C. FERNANDEZ</t>
  </si>
  <si>
    <t>MARICRIS G. DIAZ</t>
  </si>
  <si>
    <t>Janice Benlot Aglanao</t>
  </si>
  <si>
    <t>Catherine Arguilles Bayron</t>
  </si>
  <si>
    <t>Esmeralda Inojales Vallecera</t>
  </si>
  <si>
    <t>JAN RAE MIJARES CANABANO</t>
  </si>
  <si>
    <t>Romeo Dumadaug Palmares</t>
  </si>
  <si>
    <t>Baltazar Caro Carisma</t>
  </si>
  <si>
    <t>Cesario R Bahalla</t>
  </si>
  <si>
    <t>Ronald Merin</t>
  </si>
  <si>
    <t>CONSTANTE MADRID JACOBE</t>
  </si>
  <si>
    <t>REINA MECHELLE ARANAN RENTUTAR</t>
  </si>
  <si>
    <t>VENUS NARAG MARTIREZ</t>
  </si>
  <si>
    <t>Nathaniel Centeno</t>
  </si>
  <si>
    <t>Maria Ritchie Saraga Olayra</t>
  </si>
  <si>
    <t>JOHNNY SABADO ANIS</t>
  </si>
  <si>
    <t>Reyvelino Benigno Apongol</t>
  </si>
  <si>
    <t>Dolphy Degay Ticlaen</t>
  </si>
  <si>
    <t>mario taguba dela cruz</t>
  </si>
  <si>
    <t>Reynold A Bitauag</t>
  </si>
  <si>
    <t>Rose M Villena</t>
  </si>
  <si>
    <t>Jenelyn Drilon Lazare</t>
  </si>
  <si>
    <t>Gaudencio Quiaoit Orpiano, Jr</t>
  </si>
  <si>
    <t>Noel  W. Ocillos</t>
  </si>
  <si>
    <t>Marlon Guillermo Oandasan</t>
  </si>
  <si>
    <t>Maybelyn Baylon Ingua</t>
  </si>
  <si>
    <t>Berna Degala</t>
  </si>
  <si>
    <t>Richard Pornorlles Say-a</t>
  </si>
  <si>
    <t>ELENA A. AGANON</t>
  </si>
  <si>
    <t>Govanne Marie Agudo</t>
  </si>
  <si>
    <t>GREGORIO ENGRATO PERNES</t>
  </si>
  <si>
    <t>ANABELL FABIALA VILLARANTE</t>
  </si>
  <si>
    <t>ELIZABETH GARAY AYAG</t>
  </si>
  <si>
    <t>HAZEL TOLENTINO DE CHAVEZ</t>
  </si>
  <si>
    <t>Jovena M. Legarto</t>
  </si>
  <si>
    <t>Ma.  Hannah Hecita Dobrea</t>
  </si>
  <si>
    <t>Irwin M Fonbuena</t>
  </si>
  <si>
    <t>Gerome Gamat Gaviola</t>
  </si>
  <si>
    <t>JAIME  SAURO   BAYABAY</t>
  </si>
  <si>
    <t>Verisima Sarigumba Calipusan</t>
  </si>
  <si>
    <t>Nelson Bonifacio Villaluna</t>
  </si>
  <si>
    <t>Leonardo Duran Recabo</t>
  </si>
  <si>
    <t>Ronald D. Elnar</t>
  </si>
  <si>
    <t>Fely B James</t>
  </si>
  <si>
    <t>Leticia O. Clemente</t>
  </si>
  <si>
    <t>Franklin S. Ogalinola</t>
  </si>
  <si>
    <t>marygrace sarabia samillano</t>
  </si>
  <si>
    <t>STEMSON ESPIRITU NILO</t>
  </si>
  <si>
    <t>YABSAMI MACAALIN MACASIMBAR</t>
  </si>
  <si>
    <t>Elmer Camit Treyes</t>
  </si>
  <si>
    <t>JEROME M. MARTINEZ</t>
  </si>
  <si>
    <t>JEMSEL  Sr. DETALO VALDEZ</t>
  </si>
  <si>
    <t>Cherryl Roque Diaz</t>
  </si>
  <si>
    <t>Joel T Cabrera</t>
  </si>
  <si>
    <t>Mars Z Julian</t>
  </si>
  <si>
    <t>Jaime Ortega Jorda</t>
  </si>
  <si>
    <t>Nellie B Chian</t>
  </si>
  <si>
    <t>Celeste Ann Laure Capilla</t>
  </si>
  <si>
    <t>Carolina Lequin Henoguin</t>
  </si>
  <si>
    <t>ROGELIO PAGAS LAQUINTA</t>
  </si>
  <si>
    <t>Rowena A. Bañaga</t>
  </si>
  <si>
    <t xml:space="preserve">Fernando  E.  Poliquit </t>
  </si>
  <si>
    <t>daniel andaya ogana</t>
  </si>
  <si>
    <t>EDEN   SITJAR  MAGARZO</t>
  </si>
  <si>
    <t>LEONARDO CAMPOS TINTERO</t>
  </si>
  <si>
    <t>HERALDO B. PRESADO</t>
  </si>
  <si>
    <t>ANAPHINE DASKEO SERADOY</t>
  </si>
  <si>
    <t>Dane C Dizon</t>
  </si>
  <si>
    <t>Clarisse Anne De Castro Salenga</t>
  </si>
  <si>
    <t>Victorino Martin Tamayo</t>
  </si>
  <si>
    <t>Yanny F. Pinera</t>
  </si>
  <si>
    <t>Dante M. Mirabel</t>
  </si>
  <si>
    <t>GERALD E FULAY</t>
  </si>
  <si>
    <t>Raul B. Jacela</t>
  </si>
  <si>
    <t>Lilia Del Rosario Ruta</t>
  </si>
  <si>
    <t>HERMINIA D. ESPEJO</t>
  </si>
  <si>
    <t>CARMEN M. FLORES</t>
  </si>
  <si>
    <t>JAN MICHAEL RAYMUNDO RAYMUNDO</t>
  </si>
  <si>
    <t>Arlyn Autencio Romaquin</t>
  </si>
  <si>
    <t>Gilbert Bactadan Castaneda</t>
  </si>
  <si>
    <t>Roxanne Lagnason Manoos</t>
  </si>
  <si>
    <t>Randy M. Lorin</t>
  </si>
  <si>
    <t>Jolemar  M.  Coguit</t>
  </si>
  <si>
    <t>Editha  C  Gausin</t>
  </si>
  <si>
    <t>Aldwin  Alcantara  Carandang</t>
  </si>
  <si>
    <t>Leizel  O.  Hernando</t>
  </si>
  <si>
    <t>Bernardina Menzon Juarez</t>
  </si>
  <si>
    <t>Freddie Sr. Francisco Gabo</t>
  </si>
  <si>
    <t>Evelyn Larosa Cainglet</t>
  </si>
  <si>
    <t>Ryan Roy Egbos Albacete</t>
  </si>
  <si>
    <t>Glin Valzado Sagre</t>
  </si>
  <si>
    <t>Luis Jr Tatel Bañas</t>
  </si>
  <si>
    <t>Marcelina Jumawan Oguis</t>
  </si>
  <si>
    <t>Gaudencia Averion Buensuceso</t>
  </si>
  <si>
    <t>RUTRIFE  JAPAY MALIGRO</t>
  </si>
  <si>
    <t>FLORITO GUINIT BERNALIS</t>
  </si>
  <si>
    <t>Silvestre Jr. Villamor</t>
  </si>
  <si>
    <t>TEONILO JABONILLO DUTERTE</t>
  </si>
  <si>
    <t>JOANA MARIE ORINA ROMERO</t>
  </si>
  <si>
    <t>RICHARD B. MENDEZ</t>
  </si>
  <si>
    <t>Rosario Fernandez Bautista</t>
  </si>
  <si>
    <t>Lolito Pascual</t>
  </si>
  <si>
    <t>Haze Berlene Portugal Puno</t>
  </si>
  <si>
    <t>Ramon Chito Mejia Terado</t>
  </si>
  <si>
    <t>JOHN JOHN CASTILLO FAULVE</t>
  </si>
  <si>
    <t>Lorna Colob Lustria</t>
  </si>
  <si>
    <t>Manuel Mamauag Beltran</t>
  </si>
  <si>
    <t>Dan Gerico Lapuebla Bacani</t>
  </si>
  <si>
    <t>Jingkie L. Abelgas</t>
  </si>
  <si>
    <t>DOMINGO PINTANG</t>
  </si>
  <si>
    <t>David M Hernandez Jr.</t>
  </si>
  <si>
    <t>Dina V. Panganiban</t>
  </si>
  <si>
    <t>rosellene ape Gurang</t>
  </si>
  <si>
    <t>Josie Ga-ang Yap</t>
  </si>
  <si>
    <t>ELMER CASTILLO ABENOJAR</t>
  </si>
  <si>
    <t>Joseph R. Gayaman</t>
  </si>
  <si>
    <t>Marivic Masbad Managbanag</t>
  </si>
  <si>
    <t>Herminia Marcos Osting</t>
  </si>
  <si>
    <t>Eny Bargo Ferriol</t>
  </si>
  <si>
    <t>Samuel Cimeni Penales</t>
  </si>
  <si>
    <t>Diomedes Ortega Manaytay</t>
  </si>
  <si>
    <t>ANTONIO PAROLA IGNACO</t>
  </si>
  <si>
    <t>John Rey Arota Tomines</t>
  </si>
  <si>
    <t>Marilyn N. Ontolan</t>
  </si>
  <si>
    <t>EVA MARIE HERNANDEZ</t>
  </si>
  <si>
    <t>EMMA RUTH LOPEZ FLORES</t>
  </si>
  <si>
    <t>Melito Delos Reyes Pabellon</t>
  </si>
  <si>
    <t>Zaldy B. Burgonio</t>
  </si>
  <si>
    <t>Virgita Ricafort</t>
  </si>
  <si>
    <t>Ma. Liza Apuli Mandane</t>
  </si>
  <si>
    <t>EDMAR SANTOS BENAVIDEZ</t>
  </si>
  <si>
    <t>Renejene M. Umali</t>
  </si>
  <si>
    <t>Janeper Pablo</t>
  </si>
  <si>
    <t>GRETHEN G. TUAZON</t>
  </si>
  <si>
    <t>ENGR. EPIFANIO CAGANDE BAGHUCAN</t>
  </si>
  <si>
    <t>Ralph Adrian Dizon Gonzales</t>
  </si>
  <si>
    <t>Maria Teresa M. Silva</t>
  </si>
  <si>
    <t>EUSIELIZA PADULLON CUADRILLERO</t>
  </si>
  <si>
    <t>MARIO ABANTO TALLEDO</t>
  </si>
  <si>
    <t>ROEL T. ANG</t>
  </si>
  <si>
    <t>Daniel D. Reyes</t>
  </si>
  <si>
    <t>Magdalena V. Almira</t>
  </si>
  <si>
    <t>VENN WEIR SIPALAY AÑONUEVO</t>
  </si>
  <si>
    <t>Maria Morena Santos</t>
  </si>
  <si>
    <t>GRACE M. CONCHA</t>
  </si>
  <si>
    <t>DENIS BALAYO INGARAN</t>
  </si>
  <si>
    <t>Armina B. Abad</t>
  </si>
  <si>
    <t>Maricor Melorin Carbonilla</t>
  </si>
  <si>
    <t>Noemi Dizon Bolinas</t>
  </si>
  <si>
    <t>RICHELIZA JEAN C. CORDERO</t>
  </si>
  <si>
    <t>Noel Raga</t>
  </si>
  <si>
    <t>Sergio De Guzman Ramirez</t>
  </si>
  <si>
    <t>manuel LATUBE legionl</t>
  </si>
  <si>
    <t>Tomas Blaya Matildo</t>
  </si>
  <si>
    <t>SALVADOR , JR. GRANADOS REGIS</t>
  </si>
  <si>
    <t>Isaac T. Bangcaya</t>
  </si>
  <si>
    <t>CLIFTON GARETH NGODCHO FANG-ASAN</t>
  </si>
  <si>
    <t>Leonard D Danao</t>
  </si>
  <si>
    <t>KEREN JOYCE DAYOT POLICARPIO</t>
  </si>
  <si>
    <t>Raquel Dela Cruz Reontoy</t>
  </si>
  <si>
    <t>GERMAN M. DELA CRUZ</t>
  </si>
  <si>
    <t>Marites F Ferrer</t>
  </si>
  <si>
    <t>Justiniano Jr. Dongon Bello</t>
  </si>
  <si>
    <t>Alan Rey del Castillo Hiponia</t>
  </si>
  <si>
    <t>EDRALPH PANTALEON RAMOS</t>
  </si>
  <si>
    <t>Raquel Campuspos Capili</t>
  </si>
  <si>
    <t>Janet M Pasamba</t>
  </si>
  <si>
    <t>LORETO IBERA</t>
  </si>
  <si>
    <t>Janely Porras Ansoyon</t>
  </si>
  <si>
    <t>ROSELLER PAJAREN GERZON</t>
  </si>
  <si>
    <t>Jerome John Jumawan Gabin</t>
  </si>
  <si>
    <t>Jesus Cesar Padul Albarico</t>
  </si>
  <si>
    <t>Ruby S Cortez</t>
  </si>
  <si>
    <t>KRISCHAN V. LAURADO</t>
  </si>
  <si>
    <t>ENYDEZA OTADOY ORAN</t>
  </si>
  <si>
    <t>Sylvia Manzanillo Del Agua</t>
  </si>
  <si>
    <t>Servando Lonzon Amparo Jr.</t>
  </si>
  <si>
    <t>Naomie Dahunan Zalsos</t>
  </si>
  <si>
    <t>MARIO B GARCIA</t>
  </si>
  <si>
    <t>JOCELYN A. FERNANDO, MPMG</t>
  </si>
  <si>
    <t>Julius Ceasar Delfin Molina</t>
  </si>
  <si>
    <t>GLENCY LOTA ALMODIEL</t>
  </si>
  <si>
    <t>RENE FIRMEZA</t>
  </si>
  <si>
    <t>MYRNA TRIA RAMOS</t>
  </si>
  <si>
    <t>Analyn R. Rollon</t>
  </si>
  <si>
    <t>NOEL AZARCON AGOR</t>
  </si>
  <si>
    <t>MANUEL TEGIO CATUDAY</t>
  </si>
  <si>
    <t>Joannarie V. Bantolo</t>
  </si>
  <si>
    <t>olga butin gamiao</t>
  </si>
  <si>
    <t>Peter  S.  Sobrevega</t>
  </si>
  <si>
    <t>MARCELINO JR. L. PONIPON</t>
  </si>
  <si>
    <t>RODNEY LABRADOR NABALONA</t>
  </si>
  <si>
    <t>Jose Tobias</t>
  </si>
  <si>
    <t>Ann F. Encarnacion</t>
  </si>
  <si>
    <t>Gloria Poliga Ama</t>
  </si>
  <si>
    <t>Rona Mae Casil Alegarbes</t>
  </si>
  <si>
    <t>Celia Burgos Cabillan</t>
  </si>
  <si>
    <t>Florante Uy Zurbito</t>
  </si>
  <si>
    <t>Jeffrey Ross Mendoza Navarro</t>
  </si>
  <si>
    <t>MA. CHRISTINE  DAGUIO  LACUESTA</t>
  </si>
  <si>
    <t>HENRY JOHN U. MORADA</t>
  </si>
  <si>
    <t>PORFERIO JR. P. DELA TORRE</t>
  </si>
  <si>
    <t>NICEFORO S. LIBERATO</t>
  </si>
  <si>
    <t>ROSEMARIE E CAMPOS</t>
  </si>
  <si>
    <t>DON BATOON SMITH</t>
  </si>
  <si>
    <t>LEMUEL ESPINA AN</t>
  </si>
  <si>
    <t>Felicilda F Sano</t>
  </si>
  <si>
    <t>Ernesto Jr. David Chua</t>
  </si>
  <si>
    <t>Mario Galila Parreño</t>
  </si>
  <si>
    <t>Catherine G. Macanip</t>
  </si>
  <si>
    <t>Rodelina Cabudol Bartolome</t>
  </si>
  <si>
    <t>Noel D Logronio</t>
  </si>
  <si>
    <t>Teresita C. Suralta</t>
  </si>
  <si>
    <t>Ignacio, Jr. G Gelacio</t>
  </si>
  <si>
    <t>Bonifacio R. Fabre</t>
  </si>
  <si>
    <t>Julian Orcino Castro Jr.</t>
  </si>
  <si>
    <t>GONZALO PATOC</t>
  </si>
  <si>
    <t>DANILO B. MANUEL</t>
  </si>
  <si>
    <t>Danilo, Jr. Gemarino Lumasag</t>
  </si>
  <si>
    <t>Mae Dangatan</t>
  </si>
  <si>
    <t>Ryan Delos Reyes</t>
  </si>
  <si>
    <t>GABRIEL FEÑUNES FLORES</t>
  </si>
  <si>
    <t>Ana Lea Caligdong</t>
  </si>
  <si>
    <t>Ma. Macbeth Cabug</t>
  </si>
  <si>
    <t>Mylene T. Famoso</t>
  </si>
  <si>
    <t>Patrick James Garcia Luna</t>
  </si>
  <si>
    <t>Patrick Bayona Gimeno</t>
  </si>
  <si>
    <t>Rosarie R. Paras</t>
  </si>
  <si>
    <t>Ernan B. Perez</t>
  </si>
  <si>
    <t>Agnes Padro Tampico</t>
  </si>
  <si>
    <t>PERSEUS B PANGALIMAN</t>
  </si>
  <si>
    <t>marilou into cabeguin</t>
  </si>
  <si>
    <t>Michelle R. Porras</t>
  </si>
  <si>
    <t>JESSIE SALUTAN PANDIAN</t>
  </si>
  <si>
    <t>Ma. Wiena Lofranco Saguid</t>
  </si>
  <si>
    <t>Stanley Castro Ramirez</t>
  </si>
  <si>
    <t>Miguel S. Tecson</t>
  </si>
  <si>
    <t>Fatima Madonna Ubalde Jaynario</t>
  </si>
  <si>
    <t>PAOLO ANGELO ATIENZA MESINA</t>
  </si>
  <si>
    <t>Rolando J. Añon</t>
  </si>
  <si>
    <t>Levie Pacuri Diaz</t>
  </si>
  <si>
    <t>Al Rasheed Olivo Sapto</t>
  </si>
  <si>
    <t>Imelda Macalinga Lantin</t>
  </si>
  <si>
    <t>JERRY S. ROSARIO</t>
  </si>
  <si>
    <t>Emmanuel Eduarte Pacapac</t>
  </si>
  <si>
    <t>Jessica H. Ancheta</t>
  </si>
  <si>
    <t>ELDA GILO GATO</t>
  </si>
  <si>
    <t>Ma. Socorro C Tabang</t>
  </si>
  <si>
    <t>ALEXANDER GUILAS</t>
  </si>
  <si>
    <t>Linell Fulleros Montuerto</t>
  </si>
  <si>
    <t>Balligi Wandas Quitor</t>
  </si>
  <si>
    <t>jesusa uriarte pasia</t>
  </si>
  <si>
    <t>Marcelo Jr. Bucal  EMBA</t>
  </si>
  <si>
    <t>Peddy C. Sargado</t>
  </si>
  <si>
    <t>Loida  D. Lathrop</t>
  </si>
  <si>
    <t>Michell  Sanchez  Quilo</t>
  </si>
  <si>
    <t>Arlene Seno Padilla</t>
  </si>
  <si>
    <t>Maria May Santiago Forio</t>
  </si>
  <si>
    <t>Judith Tolentino Cacao</t>
  </si>
  <si>
    <t>Jonas O. Berto</t>
  </si>
  <si>
    <t>ALLAN QUILOP YAMSON</t>
  </si>
  <si>
    <t>Henry Gumazon</t>
  </si>
  <si>
    <t>Evelyn T. Aquino</t>
  </si>
  <si>
    <t>Bobby Latumbo Orolfo</t>
  </si>
  <si>
    <t>EDMUND BASCONGADA SERVANDO</t>
  </si>
  <si>
    <t>Ruby Ann Aguadera Geanga</t>
  </si>
  <si>
    <t>Michelle Mercado De Chavez</t>
  </si>
  <si>
    <t>Floro M Butulan</t>
  </si>
  <si>
    <t>STEVE NICHOLS S. DIONALDO</t>
  </si>
  <si>
    <t>Jose  C.  Tagbac</t>
  </si>
  <si>
    <t>RACHELLE ALANO CRON</t>
  </si>
  <si>
    <t>Michelle S Almojuela</t>
  </si>
  <si>
    <t>Gregg P. Agravante</t>
  </si>
  <si>
    <t>VICTOR ANANA ANOS</t>
  </si>
  <si>
    <t>Rodel O. Serrano</t>
  </si>
  <si>
    <t>Nove Mingoy Laurio</t>
  </si>
  <si>
    <t>Imelou C. Asugui</t>
  </si>
  <si>
    <t>Teresita H. Ferriol</t>
  </si>
  <si>
    <t>Maricel Duque Felipe</t>
  </si>
  <si>
    <t>Roberto Alngag Chulsi</t>
  </si>
  <si>
    <t>Abner Escobar Guilambo</t>
  </si>
  <si>
    <t>JUDITH BARRACA UNILONGO</t>
  </si>
  <si>
    <t>ANTHONY  ARTHUR D. FERNANDEZ</t>
  </si>
  <si>
    <t>NESTOR MALASIG UY</t>
  </si>
  <si>
    <t>WENNIE SR. FLORES JORDAN</t>
  </si>
  <si>
    <t>Jonathan Flores Anat</t>
  </si>
  <si>
    <t>Shella Marie Ilig De Vera</t>
  </si>
  <si>
    <t>Marivie R. Manero-Fernandez</t>
  </si>
  <si>
    <t>Joemard C Calvez</t>
  </si>
  <si>
    <t>April Salas</t>
  </si>
  <si>
    <t>Rodolfo Catalan San Pedro, Jr.</t>
  </si>
  <si>
    <t>Elvisa Japay Villar</t>
  </si>
  <si>
    <t>Benito Soriano Montano</t>
  </si>
  <si>
    <t>Liza Ann Tingson ebron</t>
  </si>
  <si>
    <t>Sofronia Ceniza Uy</t>
  </si>
  <si>
    <t>Marlou Omisol Bendaño</t>
  </si>
  <si>
    <t>Victor Alberca Asentista</t>
  </si>
  <si>
    <t>Emily B Laigo</t>
  </si>
  <si>
    <t>Reynaldo Bucayu</t>
  </si>
  <si>
    <t>Danna Marie B. Asentista</t>
  </si>
  <si>
    <t>Marina Limson Am-is</t>
  </si>
  <si>
    <t>ROSLYN D RUIZ</t>
  </si>
  <si>
    <t>Diosdado Lopenoria Salapang</t>
  </si>
  <si>
    <t>Natalia Baliwas Polestico</t>
  </si>
  <si>
    <t>LORETO GALVEZ NICOLAS</t>
  </si>
  <si>
    <t>GERTRUDES VELASQUEZ ABELEDA</t>
  </si>
  <si>
    <t>Marisa P Las</t>
  </si>
  <si>
    <t>SATURNINA   MADELO AGMATA</t>
  </si>
  <si>
    <t>Ascuna Walas Jamilon</t>
  </si>
  <si>
    <t>MYRIN  P.  CASTAÑEDA</t>
  </si>
  <si>
    <t>Marelyn  Pestillos  Culanag</t>
  </si>
  <si>
    <t>Giovanni Gose Desabelle</t>
  </si>
  <si>
    <t>EVELYN EVIDIENTES GUINTU</t>
  </si>
  <si>
    <t>ATTY. MARIA JONIKA GONZAGA ROMANO</t>
  </si>
  <si>
    <t>Memilanie Malabunga Aguilar</t>
  </si>
  <si>
    <t>Beverly Escalon Taotjo</t>
  </si>
  <si>
    <t>Constante C. Sabalburo</t>
  </si>
  <si>
    <t>Perseverando Pantuan Caleza,Jr.</t>
  </si>
  <si>
    <t>Melissa N Galvez</t>
  </si>
  <si>
    <t>EDLEY  CASAS ABARIDO</t>
  </si>
  <si>
    <t>Isidro Alabag Gumpad</t>
  </si>
  <si>
    <t>Ador Dionisio</t>
  </si>
  <si>
    <t>Joyce Ann Mae L Del Valle</t>
  </si>
  <si>
    <t>Dennis Juabot Mangubat</t>
  </si>
  <si>
    <t>Arlu Awacay Jucal</t>
  </si>
  <si>
    <t>Rogelio Loy Magdaug, Jr.</t>
  </si>
  <si>
    <t>CYNTHIA MARIE DE SAGUN</t>
  </si>
  <si>
    <t>Noryn B. Bagano</t>
  </si>
  <si>
    <t>Alona S. Arban</t>
  </si>
  <si>
    <t>MARIVIC CALABIO PRADO</t>
  </si>
  <si>
    <t>Jovina Corrales Orias</t>
  </si>
  <si>
    <t>Rommel Bagadiong Brillantes</t>
  </si>
  <si>
    <t>Aldy B Novo</t>
  </si>
  <si>
    <t>Kim M. Moral</t>
  </si>
  <si>
    <t>Resette Hernandez Razon</t>
  </si>
  <si>
    <t>Regino T. Handungan Jr.</t>
  </si>
  <si>
    <t>ALFREDO AGAD GUITARTE</t>
  </si>
  <si>
    <t>Ma. Soledad F Baquiran</t>
  </si>
  <si>
    <t>Nolito Gonzaga Jasareno</t>
  </si>
  <si>
    <t>DARIO RIOJA GACU</t>
  </si>
  <si>
    <t>Evelyn Valenzuela Manuguid</t>
  </si>
  <si>
    <t>JAIME G. JALON</t>
  </si>
  <si>
    <t>CECILIA MARTIN JULIAN</t>
  </si>
  <si>
    <t>Corazon C Dacudag</t>
  </si>
  <si>
    <t>EDWARD ALIGUYON CARIÑO</t>
  </si>
  <si>
    <t>Analiza Domingo Paz</t>
  </si>
  <si>
    <t>HAIDEE PEÑAMANTE AVELLANO</t>
  </si>
  <si>
    <t>Janis Trillanes Reyes</t>
  </si>
  <si>
    <t>Abigae Villa  Celo</t>
  </si>
  <si>
    <t>MARLON AMORADO TABOADA</t>
  </si>
  <si>
    <t>Jerl Oyangoren Procurement Officer</t>
  </si>
  <si>
    <t>Jerel Agilles</t>
  </si>
  <si>
    <t>Jonathan Lim Pelegrino</t>
  </si>
  <si>
    <t>Normita P. Tria</t>
  </si>
  <si>
    <t>Hermenigilda A. Aposaga</t>
  </si>
  <si>
    <t>Florentino O. Jerez</t>
  </si>
  <si>
    <t>Evangeline S. Zapata</t>
  </si>
  <si>
    <t>Marissa L Yagyagan</t>
  </si>
  <si>
    <t>Cesario  A.  Pasicolan</t>
  </si>
  <si>
    <t>Liza R. Balagot</t>
  </si>
  <si>
    <t>Joel Soriano Pagulayan</t>
  </si>
  <si>
    <t>ROMEO TORRICO OJAS JR.</t>
  </si>
  <si>
    <t>LAWDEMHAR TAGUD CABATOS</t>
  </si>
  <si>
    <t>JOEL DALMACIA SUMAWANG</t>
  </si>
  <si>
    <t>Arundale Gum-u Immoliap Bunnag</t>
  </si>
  <si>
    <t>PAZ COLLANTES CAGUIMBAL</t>
  </si>
  <si>
    <t>Pilar Balbuena Quinico</t>
  </si>
  <si>
    <t>CARY P. BALBUTIN</t>
  </si>
  <si>
    <t>EDGAR SISNEROS BESIN</t>
  </si>
  <si>
    <t>Eric DM. Magpantay</t>
  </si>
  <si>
    <t>EMILIO A. ABRUGENA</t>
  </si>
  <si>
    <t>ROSALINDA TAPIA LONZAGA</t>
  </si>
  <si>
    <t>Sherry P Villanueva</t>
  </si>
  <si>
    <t>Wilfredo Gomez Sanchez</t>
  </si>
  <si>
    <t>Rosemary Terez Gepte</t>
  </si>
  <si>
    <t>Jayson Pascual Galbis</t>
  </si>
  <si>
    <t>Melvin Agbayani Agbalog</t>
  </si>
  <si>
    <t>Lourdes M. Abrahan</t>
  </si>
  <si>
    <t>MACRINA A DECANO</t>
  </si>
  <si>
    <t>Erlinda Awing Gregorio</t>
  </si>
  <si>
    <t>Teresita de la Torre Obin</t>
  </si>
  <si>
    <t>Bernalyn  Wenceslao Besonia</t>
  </si>
  <si>
    <t>Marion Acolentaba Balasa</t>
  </si>
  <si>
    <t>Jun Brian Tan Soledad</t>
  </si>
  <si>
    <t>Minerva Mamasalagat Sacar-Guling</t>
  </si>
  <si>
    <t>MA. GLORIA GELI SORRERA</t>
  </si>
  <si>
    <t>Zenaida  Talaue   Arrojo</t>
  </si>
  <si>
    <t>Robert Raquepo Baclig</t>
  </si>
  <si>
    <t>Jessie Sobrevega Porras</t>
  </si>
  <si>
    <t>Gil Bagares Llosa</t>
  </si>
  <si>
    <t>Milagros M. Perez</t>
  </si>
  <si>
    <t>LIZA SANGUENZA VILLAMOR</t>
  </si>
  <si>
    <t>Ma. Rhina Hermida Roque</t>
  </si>
  <si>
    <t>SANDRA TORAYNO UDANG</t>
  </si>
  <si>
    <t>Arturo Magallon Palencia</t>
  </si>
  <si>
    <t>Melotina P. Cadiz</t>
  </si>
  <si>
    <t>Charity Belacaol Evangelista</t>
  </si>
  <si>
    <t>Carlota Conda Jalmasco</t>
  </si>
  <si>
    <t>Rowena M Mirhan</t>
  </si>
  <si>
    <t>Marilyn  Labrador Garcia</t>
  </si>
  <si>
    <t>Gen Anderson Gonzales Tanhueco</t>
  </si>
  <si>
    <t>IMELDA RIVAS TABILLA</t>
  </si>
  <si>
    <t>Florliza A. Morilao</t>
  </si>
  <si>
    <t>Reynaldo  Lubian  Capito</t>
  </si>
  <si>
    <t>ROSMENDO CARDINEZ BONGOCAN, JR.</t>
  </si>
  <si>
    <t>Felix E. Ortega</t>
  </si>
  <si>
    <t>Amancio S. Dongcoy</t>
  </si>
  <si>
    <t>Elizabeth M Dayot</t>
  </si>
  <si>
    <t>Aimee Tompong Maata</t>
  </si>
  <si>
    <t>Marivic Estopin Diaz</t>
  </si>
  <si>
    <t>BENIGNO MATEO BONUS</t>
  </si>
  <si>
    <t>Catalino Arado Sumaylo</t>
  </si>
  <si>
    <t>Leonides Luis Bautista</t>
  </si>
  <si>
    <t>Engr. Fernando B. Sarile Jr.</t>
  </si>
  <si>
    <t>Vilma B. Ballan</t>
  </si>
  <si>
    <t>Brendhel P. Awa-ao</t>
  </si>
  <si>
    <t>Ederlita Cena</t>
  </si>
  <si>
    <t>AIZA ALEGRIA RUBEN</t>
  </si>
  <si>
    <t>Eddie V Daday</t>
  </si>
  <si>
    <t>Juffa Panaguiton Estrada</t>
  </si>
  <si>
    <t>JESSIE  GOC-ONG  ALCOMENDRAS</t>
  </si>
  <si>
    <t>Anabelle T. Abana</t>
  </si>
  <si>
    <t>Asuncion Asuncion Padre</t>
  </si>
  <si>
    <t>Merlyn Leyson</t>
  </si>
  <si>
    <t>Arnaldo Panis Vallesfino</t>
  </si>
  <si>
    <t>Jolan T. Crisostomo</t>
  </si>
  <si>
    <t>Vincent C Larcena</t>
  </si>
  <si>
    <t>Jomar Beltran Torres</t>
  </si>
  <si>
    <t>Reynaldo R Dalogdog</t>
  </si>
  <si>
    <t>Ma. Shella S Cabrera</t>
  </si>
  <si>
    <t>Haziel Joy Adriano</t>
  </si>
  <si>
    <t>Jose Rosco Riñon</t>
  </si>
  <si>
    <t>RAFAEL  TAPALES  REAMICO</t>
  </si>
  <si>
    <t>MA. RIZZA M ASIS</t>
  </si>
  <si>
    <t>Roselle C. Turreda</t>
  </si>
  <si>
    <t>Leonardo Cabahug Caburatan</t>
  </si>
  <si>
    <t>Hezel Mae Camasura</t>
  </si>
  <si>
    <t>Tedler Jr. H. Depaynos</t>
  </si>
  <si>
    <t>ANGELITO DE VERA</t>
  </si>
  <si>
    <t>Rhienna Jhean Marcial Arsenal</t>
  </si>
  <si>
    <t>Emma Linda Impang Arano</t>
  </si>
  <si>
    <t>Ranesa Monte Tuazon</t>
  </si>
  <si>
    <t>Maria Teresa Hilado Tapil</t>
  </si>
  <si>
    <t>Julius Dapitilla Palma</t>
  </si>
  <si>
    <t>Marcus Andico Cupino</t>
  </si>
  <si>
    <t>Bernadith Jacob Dictahan</t>
  </si>
  <si>
    <t>Christopher Bernados Tutor</t>
  </si>
  <si>
    <t>Arnel Aspile Castillo</t>
  </si>
  <si>
    <t>Leo Hernandez</t>
  </si>
  <si>
    <t>Ma. Isabel N. Argueza</t>
  </si>
  <si>
    <t>ANTONINO RAQUIL</t>
  </si>
  <si>
    <t>CHARLENE DE NAVA ALDEA</t>
  </si>
  <si>
    <t>Rey Partible Urbano</t>
  </si>
  <si>
    <t>PABLITO MARTINES IGNACIO</t>
  </si>
  <si>
    <t>MERIAM SEBUC CATAPANG</t>
  </si>
  <si>
    <t>Jessa Marie Trasmonte Ducay</t>
  </si>
  <si>
    <t>Rox E. Tarranza</t>
  </si>
  <si>
    <t>Jhoanne Ayen A Jimenez</t>
  </si>
  <si>
    <t>Elizabeth Dioco Sunga</t>
  </si>
  <si>
    <t>Edmer S. Polloso</t>
  </si>
  <si>
    <t>Angelita M. Pasos</t>
  </si>
  <si>
    <t>Agravante B Rodrigo</t>
  </si>
  <si>
    <t>Delberlyn V. Punzalan</t>
  </si>
  <si>
    <t>GERARDO DALINOC CLEMENTE</t>
  </si>
  <si>
    <t>Erwin Mendoza Punzalan</t>
  </si>
  <si>
    <t>Vilma  Elarmo</t>
  </si>
  <si>
    <t>Mae Lyn Garcia Altarejos</t>
  </si>
  <si>
    <t>BRIGETTE JOY PUNZALAN ILAGAN</t>
  </si>
  <si>
    <t>Zotico L. Pastelero</t>
  </si>
  <si>
    <t>Ma. Nena T. Zapico</t>
  </si>
  <si>
    <t>Frazier L. Quinesio</t>
  </si>
  <si>
    <t>Maria Jessica Dulce Gumban</t>
  </si>
  <si>
    <t>Venn Wei Sipalay   Añonuevo</t>
  </si>
  <si>
    <t>Ma. Corazon V. Tadena</t>
  </si>
  <si>
    <t>VENUS ESCOBAR TORRES</t>
  </si>
  <si>
    <t>ESMERALDO P BEJOSA</t>
  </si>
  <si>
    <t>Floramie  Dumabok  Matus</t>
  </si>
  <si>
    <t>NOEL C. MANGKIKIS</t>
  </si>
  <si>
    <t>Priscilla Samonte Esguerra</t>
  </si>
  <si>
    <t>PHILIP GENE II A.   MALACAS</t>
  </si>
  <si>
    <t>GINA D. ABENIO</t>
  </si>
  <si>
    <t>Teresita Correa Faustino</t>
  </si>
  <si>
    <t>Anna Liza Ramirez Quirolgico</t>
  </si>
  <si>
    <t>Hope S Macusi</t>
  </si>
  <si>
    <t>Francisco Escape Oliva, Jr.</t>
  </si>
  <si>
    <t>Angeli A. Lood</t>
  </si>
  <si>
    <t>Marivic Evea Dugtong</t>
  </si>
  <si>
    <t>ABDURAJAK ORDONEZ</t>
  </si>
  <si>
    <t>Nerissa Nedic Calimbo</t>
  </si>
  <si>
    <t>Marilou DC Garcia</t>
  </si>
  <si>
    <t>CHARITO TACTAC YANGAT</t>
  </si>
  <si>
    <t>Joseph Barroso delos Reyes</t>
  </si>
  <si>
    <t>Angel Shieldon C Agan</t>
  </si>
  <si>
    <t>Emiliana Z Sarmiento</t>
  </si>
  <si>
    <t>Marlone Templeton Buen</t>
  </si>
  <si>
    <t>Alejandro Yulo Mirasol</t>
  </si>
  <si>
    <t>Emilson U. Jimenez</t>
  </si>
  <si>
    <t>Aida L Cerudo</t>
  </si>
  <si>
    <t>segrid sahagon dacanay</t>
  </si>
  <si>
    <t>Ma Ruby S Carmona</t>
  </si>
  <si>
    <t>NORIEL DEL CARMEN SEVILLE</t>
  </si>
  <si>
    <t>Roxanne O. Valenzuela</t>
  </si>
  <si>
    <t>Michelle A. Bolando</t>
  </si>
  <si>
    <t>BELEN BANDADA PARAÑAQUE</t>
  </si>
  <si>
    <t>MA. NITA DIZOR GEROY</t>
  </si>
  <si>
    <t>Gloria Superable Papa</t>
  </si>
  <si>
    <t>Felicidad F. De Guzman</t>
  </si>
  <si>
    <t>JULIETO DELOAG</t>
  </si>
  <si>
    <t>PRIMILIN ANNE DELGADO MARIANO</t>
  </si>
  <si>
    <t>Christma Joy Pereyra Rodriguez</t>
  </si>
  <si>
    <t>Marla PAMISARAN Andal</t>
  </si>
  <si>
    <t>Rainero Elmer Dingal Gerzon</t>
  </si>
  <si>
    <t>ENGR. NORMAN DIMATATAC</t>
  </si>
  <si>
    <t>HERBERT WILLIAM L. EMNAS</t>
  </si>
  <si>
    <t>Edralin B. Baingan</t>
  </si>
  <si>
    <t>Laurence Dumpit Ancheta</t>
  </si>
  <si>
    <t>Amador Eusebio Judan</t>
  </si>
  <si>
    <t>Maricon Alpitche Butcon</t>
  </si>
  <si>
    <t>Arlyn L Subillaga</t>
  </si>
  <si>
    <t>Georgie  Lamparas Ruelan</t>
  </si>
  <si>
    <t>Hayria Gonsang Panalindang</t>
  </si>
  <si>
    <t>Gaudiosa Arevalo Mandeoya</t>
  </si>
  <si>
    <t>DELFIN DELA CRUZ CARLOS</t>
  </si>
  <si>
    <t>EDEL MELGAR DONDONILLA</t>
  </si>
  <si>
    <t>Mary Ann J Chavez</t>
  </si>
  <si>
    <t>Kristel Capundan Rosello</t>
  </si>
  <si>
    <t>Arturo I Gumban</t>
  </si>
  <si>
    <t>Ruben Denoso Raandaan</t>
  </si>
  <si>
    <t>Leovina mamplata Macunat</t>
  </si>
  <si>
    <t>Mark Anthony Parcon Peñafiel</t>
  </si>
  <si>
    <t>Milagros A Agustin</t>
  </si>
  <si>
    <t>Sanny Yntong Dandoy</t>
  </si>
  <si>
    <t>Heracleo Belen</t>
  </si>
  <si>
    <t>Adelia Gonzales</t>
  </si>
  <si>
    <t>ENGR. EDUARDO SALVADOR MANGOBA JR.</t>
  </si>
  <si>
    <t>Rochelle Anne Reforzado Balagonsa</t>
  </si>
  <si>
    <t>FERDINAND YU RICABLANCA</t>
  </si>
  <si>
    <t>Simplicio Paracale</t>
  </si>
  <si>
    <t>RICARDO BINENE FERNANDEZ</t>
  </si>
  <si>
    <t>Marites A. Bermal</t>
  </si>
  <si>
    <t>ARCELIE YAMUNGAN FELIPE</t>
  </si>
  <si>
    <t>MICHELLE ZAMAR LIM</t>
  </si>
  <si>
    <t>CRISTINA DUNGCA</t>
  </si>
  <si>
    <t>Evangeline Ligot Madrid</t>
  </si>
  <si>
    <t>Christie Magdalene J Pedroza</t>
  </si>
  <si>
    <t>Rustico B Badilla</t>
  </si>
  <si>
    <t>Rodrhon Michael Espartero Melgar</t>
  </si>
  <si>
    <t>Editha P. Conejos</t>
  </si>
  <si>
    <t>RONELYN BALOLONG BALASE</t>
  </si>
  <si>
    <t>JUANITO C. VALONES</t>
  </si>
  <si>
    <t>Christine D. Batallones</t>
  </si>
  <si>
    <t>Jessica Foronda Eriguel</t>
  </si>
  <si>
    <t>Joan DM Vendiola</t>
  </si>
  <si>
    <t>Chandler Jave Borres Chiong</t>
  </si>
  <si>
    <t>Ronie S. Dela Calzada</t>
  </si>
  <si>
    <t>Steve Leo Mangyan</t>
  </si>
  <si>
    <t>CHARLTON LIU UY</t>
  </si>
  <si>
    <t>Reynaldo J Santiago</t>
  </si>
  <si>
    <t>Doris Grimaldo Labog</t>
  </si>
  <si>
    <t>Marlo L Gonzales</t>
  </si>
  <si>
    <t>Mark Anthony C Lorilla</t>
  </si>
  <si>
    <t>Mercedita A. Flores</t>
  </si>
  <si>
    <t>MELEN CAGAS ERNACIO</t>
  </si>
  <si>
    <t>ISAGANI ARBOLEDA JAENA</t>
  </si>
  <si>
    <t>CECILIA RHODORA CRUZ CONSTANTINO</t>
  </si>
  <si>
    <t>DOLORES JAVIER GOTICO</t>
  </si>
  <si>
    <t>Mary Grace Alcantara</t>
  </si>
  <si>
    <t>ZORAYA BAKAR MASAKAL</t>
  </si>
  <si>
    <t>Rosmendo Jr C.  Bongocan</t>
  </si>
  <si>
    <t>Esmeralda Gonzales Aguilar</t>
  </si>
  <si>
    <t>Muriel Tupas Autencio</t>
  </si>
  <si>
    <t>Sandra Caturan Dagani</t>
  </si>
  <si>
    <t>Roldan Andal Sarto</t>
  </si>
  <si>
    <t>Tess b. Cruzado</t>
  </si>
  <si>
    <t>JENNIFER  D. SIMBAJON</t>
  </si>
  <si>
    <t>Aaron John Reyes Liwag (2nd Account)</t>
  </si>
  <si>
    <t>PABLO SEPTO LABASBAS</t>
  </si>
  <si>
    <t>EVY TINGSON SISA</t>
  </si>
  <si>
    <t>Nessa Esporma Acolentaba</t>
  </si>
  <si>
    <t>Mary Grace  Bajar</t>
  </si>
  <si>
    <t>ada bustamante diones</t>
  </si>
  <si>
    <t>Joeven C Calasagsag</t>
  </si>
  <si>
    <t>EMMANUEL OBINA</t>
  </si>
  <si>
    <t>Elmer Gumpad Manzano</t>
  </si>
  <si>
    <t>Gerald Alday Pacanan</t>
  </si>
  <si>
    <t>SHEILA B DE LEON</t>
  </si>
  <si>
    <t>Nestor Corpuz Guillermo</t>
  </si>
  <si>
    <t>Lurline Merencillo Tongco</t>
  </si>
  <si>
    <t>EVA MACAHILIG JIMENEZ</t>
  </si>
  <si>
    <t>Niña Aniñon Asis</t>
  </si>
  <si>
    <t>Patrick A. Panaligan</t>
  </si>
  <si>
    <t>Cipriano Grande Gardoque</t>
  </si>
  <si>
    <t>Rolando Javier Garcia</t>
  </si>
  <si>
    <t>Angelita H Reazon</t>
  </si>
  <si>
    <t>Gregorio M Monreal</t>
  </si>
  <si>
    <t>John B Magbanua</t>
  </si>
  <si>
    <t>Ceferino C. Oryan</t>
  </si>
  <si>
    <t>Isabelito Francia Aguda</t>
  </si>
  <si>
    <t>Arlene Verano Martinez</t>
  </si>
  <si>
    <t>Lerio Conmigo Arizala Jr.</t>
  </si>
  <si>
    <t>Eutropio Simbajon Jayectin, M.M.</t>
  </si>
  <si>
    <t>Arnel B. Javier</t>
  </si>
  <si>
    <t>RADITO MALLARI ANORAN</t>
  </si>
  <si>
    <t>Manuel Melis Ignacio</t>
  </si>
  <si>
    <t>Paquito Joel Alferez Arocha</t>
  </si>
  <si>
    <t>Maria Lourdes Galanida Roldan</t>
  </si>
  <si>
    <t>Elsie Lubguban</t>
  </si>
  <si>
    <t>Demars Gonzaga Madroso</t>
  </si>
  <si>
    <t>Alma Dallapas Elvena</t>
  </si>
  <si>
    <t>Arlene Sta.Rita Bonquin</t>
  </si>
  <si>
    <t>GENEROSO P DORO</t>
  </si>
  <si>
    <t>Jhonna Salve Janer Buenaflor</t>
  </si>
  <si>
    <t>Dario Sarabusing Jr.</t>
  </si>
  <si>
    <t>Luis, Jr. Artieda Albacete</t>
  </si>
  <si>
    <t>Teotimo M  Laguitao</t>
  </si>
  <si>
    <t>Marisa S. Jumalon</t>
  </si>
  <si>
    <t>Vilma Capistrano Globio</t>
  </si>
  <si>
    <t>Janine M. Balilia</t>
  </si>
  <si>
    <t>Gomer Liwanag Dado</t>
  </si>
  <si>
    <t>NIÑO BALISTOY SALVACION</t>
  </si>
  <si>
    <t>MARIA CORAZON RIVA VALDEMORO</t>
  </si>
  <si>
    <t>Samson Gavasan Gilo, Jr.</t>
  </si>
  <si>
    <t>Edward Miguel Juanito</t>
  </si>
  <si>
    <t>Francis Alfred Calo Bokingo</t>
  </si>
  <si>
    <t>Ormil D.  Go</t>
  </si>
  <si>
    <t>ESTEBAN FERNANDEZ CANONES, JR.</t>
  </si>
  <si>
    <t>DOMINGO E MALLO</t>
  </si>
  <si>
    <t>Aubrey George Tamargo Corpuz</t>
  </si>
  <si>
    <t>Ko-Jack Espinosa I Ibaño</t>
  </si>
  <si>
    <t>Elvie Villanueva Diaz</t>
  </si>
  <si>
    <t>Elma Seraphelle Magdaug Bulagao</t>
  </si>
  <si>
    <t>Robert John Donesa</t>
  </si>
  <si>
    <t>Leopoldo  C Sanchez Jr.</t>
  </si>
  <si>
    <t>Allan R. Guintapan</t>
  </si>
  <si>
    <t>Pablo L Nabong</t>
  </si>
  <si>
    <t>Junje Abayon Draculan</t>
  </si>
  <si>
    <t>Omar Sajot Alfaro</t>
  </si>
  <si>
    <t>Ruth Magno Milanio</t>
  </si>
  <si>
    <t>ROMMEL G. ERPELO</t>
  </si>
  <si>
    <t>Monera Ferrer Pramis</t>
  </si>
  <si>
    <t>Armando L. Andres</t>
  </si>
  <si>
    <t>Bienvenido Capilitan Barrera, Jr.</t>
  </si>
  <si>
    <t>Ruel Jr. Bayubay Masangcay</t>
  </si>
  <si>
    <t>Arjay Caballero Dimafelix</t>
  </si>
  <si>
    <t>Ma. Teresa  D. Rodriguez</t>
  </si>
  <si>
    <t>MARIE ROSE G. BAL</t>
  </si>
  <si>
    <t>NORBERTO, JR ONES RUBI</t>
  </si>
  <si>
    <t>MARINA C MATUGUINAS</t>
  </si>
  <si>
    <t>Francisco C Cabunoc</t>
  </si>
  <si>
    <t>MARIA RUBIA</t>
  </si>
  <si>
    <t>Marcial  M. Ilagan</t>
  </si>
  <si>
    <t>REY GONZALES BAUTISTA</t>
  </si>
  <si>
    <t>Poliver L  Tumaneng</t>
  </si>
  <si>
    <t>RICO MESA</t>
  </si>
  <si>
    <t>Arjean Villacorta Jumamoy</t>
  </si>
  <si>
    <t>JOSE GARCIANO</t>
  </si>
  <si>
    <t>Celestino D. Boldo</t>
  </si>
  <si>
    <t>Ricardo A. Negado</t>
  </si>
  <si>
    <t>JEECHEL C. BARIBE</t>
  </si>
  <si>
    <t>Ruben M.  Villanueva</t>
  </si>
  <si>
    <t>JENNY F OASAY</t>
  </si>
  <si>
    <t>Dennis R Marquez</t>
  </si>
  <si>
    <t>BRINALYN DE LA CRUZ LONTOC</t>
  </si>
  <si>
    <t>Michele Solon Mapalo</t>
  </si>
  <si>
    <t>Louela G. Glema</t>
  </si>
  <si>
    <t>Cristine Samulde Adigue</t>
  </si>
  <si>
    <t>Homer G. Hubag</t>
  </si>
  <si>
    <t>Eugene Raro Luces</t>
  </si>
  <si>
    <t>May Grace Alvaro Palicdon</t>
  </si>
  <si>
    <t>Marichelle Ferrer</t>
  </si>
  <si>
    <t>EDNA B. LACSON</t>
  </si>
  <si>
    <t>JOSE NIRO R NILLASCA</t>
  </si>
  <si>
    <t>Naomi Asendiente Bajao</t>
  </si>
  <si>
    <t>Joemarie Flores Geguiera</t>
  </si>
  <si>
    <t>Marcelo C. Gutierrez</t>
  </si>
  <si>
    <t>Baivy Leen Mendoza Reyes</t>
  </si>
  <si>
    <t>joahna grace pates vahey</t>
  </si>
  <si>
    <t>ELSA IBERO VILLAMOR</t>
  </si>
  <si>
    <t>Odessa Tomogdan Manligoy</t>
  </si>
  <si>
    <t>Danilo Ragudo Rafanan</t>
  </si>
  <si>
    <t>ERIKA R. DURAN</t>
  </si>
  <si>
    <t>Saturnino Napa Magmanlac, Jr.</t>
  </si>
  <si>
    <t>Florita Cidro Cabato</t>
  </si>
  <si>
    <t>Vince Kyle Dizon Timbol</t>
  </si>
  <si>
    <t>Jerome Duenas Malapit</t>
  </si>
  <si>
    <t>Abegail Cuevas Tigas</t>
  </si>
  <si>
    <t>Marciano Ilagan Ilagan</t>
  </si>
  <si>
    <t>Alexander G. Diez</t>
  </si>
  <si>
    <t>Marilou Doromal Diancin</t>
  </si>
  <si>
    <t>MERVIN "BUDA" JUSI JUSI</t>
  </si>
  <si>
    <t>FRANCIS  VILLAGOMEZ PEREZ</t>
  </si>
  <si>
    <t>PRIMA BASILITA JAMILA</t>
  </si>
  <si>
    <t>lovella venteroso ramos</t>
  </si>
  <si>
    <t>Aaron Espiritu Tedria</t>
  </si>
  <si>
    <t>RENY ACERO CELESPARA</t>
  </si>
  <si>
    <t>Florence Joseline Gredona</t>
  </si>
  <si>
    <t>MOISES D. LABIAN, JR, PhD, CESO VI</t>
  </si>
  <si>
    <t>Abdul Rahman Coliling Palao</t>
  </si>
  <si>
    <t>Juda C. Sediaco</t>
  </si>
  <si>
    <t>Arlene Radam Ureta</t>
  </si>
  <si>
    <t>Hermie A Villa Jr.</t>
  </si>
  <si>
    <t>Prechie Monton Rivera</t>
  </si>
  <si>
    <t>Christopher Mabulay Rizo</t>
  </si>
  <si>
    <t>Judilyn Tampepe Natabio</t>
  </si>
  <si>
    <t>Evelyn Grace A Aperocho</t>
  </si>
  <si>
    <t>Engr. Roberto M Digay</t>
  </si>
  <si>
    <t>Caroline Tubongbanua Bucita</t>
  </si>
  <si>
    <t>GONZALO P COCON</t>
  </si>
  <si>
    <t>Judith  D.  Arago</t>
  </si>
  <si>
    <t>HELEN C. SILVA</t>
  </si>
  <si>
    <t>Reynante Bayungan Salazar Sr.</t>
  </si>
  <si>
    <t>Dawnavi Lae Valle Lacsado</t>
  </si>
  <si>
    <t>RAY-JAY LANZARROTE EMBOLTORIO</t>
  </si>
  <si>
    <t>Rommel Rekulin Cozo</t>
  </si>
  <si>
    <t>Teresita Bravo Guiang</t>
  </si>
  <si>
    <t>FERNANDO ORACION</t>
  </si>
  <si>
    <t>Jhune M Rivera</t>
  </si>
  <si>
    <t>MARJORIE SAMSON SAN JUAN</t>
  </si>
  <si>
    <t>Lauri Rose Salazar Coquia</t>
  </si>
  <si>
    <t>Carla Francesca M. Guinto</t>
  </si>
  <si>
    <t>Roger Sr. A Obra</t>
  </si>
  <si>
    <t>RODOLFO DE GUZMAN DE VERA</t>
  </si>
  <si>
    <t>NECESARIO B. DONAYRE</t>
  </si>
  <si>
    <t>Eddie Richard Roa Lagnada</t>
  </si>
  <si>
    <t>novenia viloria</t>
  </si>
  <si>
    <t>ROXAN KASTINE MENDOZA LUMAPAS</t>
  </si>
  <si>
    <t>Roselma Catherine Garrote Cantos</t>
  </si>
  <si>
    <t>ERNESTO N. ARCO</t>
  </si>
  <si>
    <t>JUNREY RATILLA</t>
  </si>
  <si>
    <t>Lealyn Baoy Dy</t>
  </si>
  <si>
    <t>ELIZABETH FERNANDO CRUZ</t>
  </si>
  <si>
    <t>Ana Lorraine Endaya Ellarina</t>
  </si>
  <si>
    <t>Eddie Crisologo</t>
  </si>
  <si>
    <t>Edwin B Mendoza</t>
  </si>
  <si>
    <t>EDMUND PAPEL SOMORAY</t>
  </si>
  <si>
    <t>Ignacio Subebe</t>
  </si>
  <si>
    <t>Anthony Ladiet Villanueva</t>
  </si>
  <si>
    <t>Ivylea Cantago</t>
  </si>
  <si>
    <t>Igmedio Santiago Casticon, CESE</t>
  </si>
  <si>
    <t>Magdalina Makiling Bongales</t>
  </si>
  <si>
    <t>ELIZABETH M MUNDA</t>
  </si>
  <si>
    <t>ANASTACIO MAMALIAS  BAHINTING</t>
  </si>
  <si>
    <t>LEO ELOGADA DELOS SANTOS</t>
  </si>
  <si>
    <t>Aprilla M Camilot</t>
  </si>
  <si>
    <t>Gerard  Masalig Morales</t>
  </si>
  <si>
    <t>Gilda Filoteo Lluisma</t>
  </si>
  <si>
    <t>Zenaida M Formentera</t>
  </si>
  <si>
    <t>Ma. Emilyn Sweetie Leonor Protacio</t>
  </si>
  <si>
    <t>Maria Andrea Carvajal Tiong</t>
  </si>
  <si>
    <t>Hanz Willbur Domondon Quebral</t>
  </si>
  <si>
    <t>Anthony Balbuena Lozada</t>
  </si>
  <si>
    <t>ESTRELLA E. VINO</t>
  </si>
  <si>
    <t>Flordeliza Aquino Ibaite</t>
  </si>
  <si>
    <t>Khristel Jade De Ocampo Villanueva</t>
  </si>
  <si>
    <t>Kennedy Madronio Urbano</t>
  </si>
  <si>
    <t>Leonardo  Carandang  Villanueva</t>
  </si>
  <si>
    <t>Juliet Corregidor Custodio</t>
  </si>
  <si>
    <t>Betty Lou Gornez</t>
  </si>
  <si>
    <t>Arnulfo Escultor Salazar Jr.</t>
  </si>
  <si>
    <t>Sylvia P. Obera</t>
  </si>
  <si>
    <t>Joy Melga Buendia Olazo</t>
  </si>
  <si>
    <t>Verlene Layaoen Melendez</t>
  </si>
  <si>
    <t>Julius Asuit Arcinas</t>
  </si>
  <si>
    <t>JERUFFABELLE ARZADON BAUYON</t>
  </si>
  <si>
    <t xml:space="preserve">JEFFERSON  THOMPSON RODRIGUEZ </t>
  </si>
  <si>
    <t>ARNEL USITA URGANAY</t>
  </si>
  <si>
    <t>JOSELITO T ARAO</t>
  </si>
  <si>
    <t>DENNIS  TUMULAK  BENAVIDES</t>
  </si>
  <si>
    <t>LUCIO F. PEQUIRO</t>
  </si>
  <si>
    <t>Joshua Abejero Adanza</t>
  </si>
  <si>
    <t>LEIZL RUPIN SALINAS</t>
  </si>
  <si>
    <t>Ralph Martin Romero Roque</t>
  </si>
  <si>
    <t>Victoria Taguinod Padilla</t>
  </si>
  <si>
    <t>Genalyn M Montenegro</t>
  </si>
  <si>
    <t>Gypsy Jennsen Arquio</t>
  </si>
  <si>
    <t>Aniano III Bisnar Bacor</t>
  </si>
  <si>
    <t>Mark D. Abayan</t>
  </si>
  <si>
    <t>Rita Grace Alviar Pascua</t>
  </si>
  <si>
    <t>Arnold A. De Castro</t>
  </si>
  <si>
    <t>Jelly Mangilaya Laurente</t>
  </si>
  <si>
    <t>Mark Joton Paguirigan Ramirez</t>
  </si>
  <si>
    <t>Edito Suyom Macasait</t>
  </si>
  <si>
    <t>Jerry Grace G Danao</t>
  </si>
  <si>
    <t>GILDA BORRE AJERO</t>
  </si>
  <si>
    <t>Albert C. Villamor</t>
  </si>
  <si>
    <t>Geremie Noble Tajada</t>
  </si>
  <si>
    <t>Peter Elvis Limpot Galleto</t>
  </si>
  <si>
    <t>Sharon Victor Alita</t>
  </si>
  <si>
    <t>Criszen Baluyot BAUTISTA</t>
  </si>
  <si>
    <t>KARENTH PARAYAOAN PALACPAC</t>
  </si>
  <si>
    <t>Franklin Tubiera Toledana</t>
  </si>
  <si>
    <t>Erwin L. Tepace</t>
  </si>
  <si>
    <t>Romeo Avelino Tiri</t>
  </si>
  <si>
    <t>ROY DOLINO BENDANILLO</t>
  </si>
  <si>
    <t>Amerhussien Basher Panganting</t>
  </si>
  <si>
    <t>Bobster A. Paraiso</t>
  </si>
  <si>
    <t>EVANGELINE ESCALO DURUIN</t>
  </si>
  <si>
    <t>JENNIFER ROXAS MERCOLITA</t>
  </si>
  <si>
    <t>Marissa G. Quijano</t>
  </si>
  <si>
    <t>ANDREA LACAMBRA FLORA</t>
  </si>
  <si>
    <t>Sheila Riva B. Soriaga</t>
  </si>
  <si>
    <t>Alver P Lamoste, CPA</t>
  </si>
  <si>
    <t>Reno C Salazar</t>
  </si>
  <si>
    <t>Ronnie B. Besa</t>
  </si>
  <si>
    <t>John David E Bonifacio</t>
  </si>
  <si>
    <t>Ludivino Jone Egagamao</t>
  </si>
  <si>
    <t>REINA BLANCA D REMPILLO</t>
  </si>
  <si>
    <t>ZALDY RADOMES PACAYRA</t>
  </si>
  <si>
    <t>Meralona R. Palasan</t>
  </si>
  <si>
    <t>Salem Torres Cervantes</t>
  </si>
  <si>
    <t>Pia B Abengoza</t>
  </si>
  <si>
    <t>Diana Cantiga Balunan</t>
  </si>
  <si>
    <t>Lolita D Solis</t>
  </si>
  <si>
    <t>Chamberlain J. Babiera</t>
  </si>
  <si>
    <t>Arlene A Amen</t>
  </si>
  <si>
    <t>CELSO NASOL</t>
  </si>
  <si>
    <t>MARIELLE SANDRA GAVIOLA</t>
  </si>
  <si>
    <t>Ronnie Gecolea Sierva</t>
  </si>
  <si>
    <t>Dindo Bautista Gonzales</t>
  </si>
  <si>
    <t>Marilou Lontoc Lascano</t>
  </si>
  <si>
    <t>Vanessa Mendoza Aguilar</t>
  </si>
  <si>
    <t>Rosalia Bardaje Crame</t>
  </si>
  <si>
    <t>Sancho Jr.   S.  Oaminal</t>
  </si>
  <si>
    <t>Elena Hastia Tunacao</t>
  </si>
  <si>
    <t>estela altomera edma</t>
  </si>
  <si>
    <t>Francisco III Dacillo Booc</t>
  </si>
  <si>
    <t>EDGAR C. OLACO</t>
  </si>
  <si>
    <t>Gary S Velayo</t>
  </si>
  <si>
    <t>Shykhen B. Yapac</t>
  </si>
  <si>
    <t>Chona Terrayo Flores</t>
  </si>
  <si>
    <t>Jahnson Salidaga Yap</t>
  </si>
  <si>
    <t>Oscar L Migar</t>
  </si>
  <si>
    <t>David Calayeg Lumaang</t>
  </si>
  <si>
    <t>Ray P. Mate</t>
  </si>
  <si>
    <t>Lucena Macalindong Garma</t>
  </si>
  <si>
    <t>MERCEDES M. ALFUERTE</t>
  </si>
  <si>
    <t>Marc Louis B. Sampilo</t>
  </si>
  <si>
    <t>Jose Ramirez Hainto Jr.</t>
  </si>
  <si>
    <t>Mar P. Viernes</t>
  </si>
  <si>
    <t>ALICIA  A.   ESCAMILLA</t>
  </si>
  <si>
    <t>Leomar Jepollo Orsolino</t>
  </si>
  <si>
    <t>Jerald M Sevilla</t>
  </si>
  <si>
    <t>Agnes Lara Gabriel</t>
  </si>
  <si>
    <t>AMALIA GENOVIA ATIENDA</t>
  </si>
  <si>
    <t>Aristotle M Calapre</t>
  </si>
  <si>
    <t>Ricardo V Nuñez</t>
  </si>
  <si>
    <t>Gilbert Dador Solidum</t>
  </si>
  <si>
    <t>Michael E Pamado</t>
  </si>
  <si>
    <t>Mylene Talidong Mancao</t>
  </si>
  <si>
    <t>ANNA MYLENE FERRER NATIVIDAD</t>
  </si>
  <si>
    <t>Eunice Pilapil Narbonita</t>
  </si>
  <si>
    <t>Erlwin S. Andres</t>
  </si>
  <si>
    <t>Percival Ricafrente Taniegra</t>
  </si>
  <si>
    <t>Mary Jane Sison Lola</t>
  </si>
  <si>
    <t>Liza Panganiban Defeo</t>
  </si>
  <si>
    <t>Veronica  Ponce  Paradiang</t>
  </si>
  <si>
    <t>Amabe Amanse Dela Cruz</t>
  </si>
  <si>
    <t>Vincent Ian Mejia Malijan</t>
  </si>
  <si>
    <t>Arra Jane Juridico</t>
  </si>
  <si>
    <t>RONALDO B. DALUPING</t>
  </si>
  <si>
    <t>Jeffrey B. Rafil</t>
  </si>
  <si>
    <t>michelle ramos salamat</t>
  </si>
  <si>
    <t>Jaime B Merquita Jr.</t>
  </si>
  <si>
    <t>Christine Mercado Cainto</t>
  </si>
  <si>
    <t>Patricio Pilvera Reponte, Jr.</t>
  </si>
  <si>
    <t>Ray John Habig</t>
  </si>
  <si>
    <t>Rubelen Pulvera Pabecca</t>
  </si>
  <si>
    <t>Mary Rose Feliciano Ubiña</t>
  </si>
  <si>
    <t>Necitas V Perez</t>
  </si>
  <si>
    <t>Zaldy Omisol Dequito</t>
  </si>
  <si>
    <t>Kristine Joy Apostol Castillo</t>
  </si>
  <si>
    <t>Zaldy D Almoite</t>
  </si>
  <si>
    <t>Iñigo Lesaca Sugalan</t>
  </si>
  <si>
    <t>HELEN M PORTE</t>
  </si>
  <si>
    <t>Paulette Paulo Lagbas</t>
  </si>
  <si>
    <t>EMA N RAFIL</t>
  </si>
  <si>
    <t>Orea Attiwan</t>
  </si>
  <si>
    <t>Nilo Salentes Arrevado</t>
  </si>
  <si>
    <t>Samuel Tuburlento Miralpes</t>
  </si>
  <si>
    <t>ALFRED JR DELOS REYES BUENCAMINO</t>
  </si>
  <si>
    <t>Albert Lee Basuel Cabanting</t>
  </si>
  <si>
    <t>Engrid Gayacan</t>
  </si>
  <si>
    <t>Maricel Miguel dela Salde</t>
  </si>
  <si>
    <t>Danilo B. Solis</t>
  </si>
  <si>
    <t>Perlita Senarillos Pabillaran</t>
  </si>
  <si>
    <t>DANILO E. DALAGUIT</t>
  </si>
  <si>
    <t>Allan Dale Hechanova De Asis</t>
  </si>
  <si>
    <t>Marissa Catacutan Austria</t>
  </si>
  <si>
    <t>Mariano Querubin Baylon Jr.</t>
  </si>
  <si>
    <t>Restituto Caronan Ramirez</t>
  </si>
  <si>
    <t>Apolinario Bucayu Baggay</t>
  </si>
  <si>
    <t>RONALD S. BARRAMEDA</t>
  </si>
  <si>
    <t>LT RAYMOND A ROLDAN PN</t>
  </si>
  <si>
    <t>Datu Reymond Laban Russam</t>
  </si>
  <si>
    <t>Celine  A.  Velasco</t>
  </si>
  <si>
    <t>Joel Liban Dubla</t>
  </si>
  <si>
    <t>PHET E CALINGASAN</t>
  </si>
  <si>
    <t>Fernando Rendon Uy</t>
  </si>
  <si>
    <t>Ederlyn Zaide Dolosa</t>
  </si>
  <si>
    <t>ANALIZA  ALVAREZ  HORMILLOSA</t>
  </si>
  <si>
    <t>Juluis Jamotillo Cabarubias</t>
  </si>
  <si>
    <t>Jacinto Guerta Ederosas</t>
  </si>
  <si>
    <t>Florian Agcopra Labiano</t>
  </si>
  <si>
    <t>Felyn Fille Paco</t>
  </si>
  <si>
    <t>Jasmin J. Gunio</t>
  </si>
  <si>
    <t>Rogel Canico Lopez</t>
  </si>
  <si>
    <t>Jessa S. De Guzman</t>
  </si>
  <si>
    <t>Aileen Grace Garcia</t>
  </si>
  <si>
    <t>Jules Amiel  Angeles</t>
  </si>
  <si>
    <t>ROMULO JR DISPO</t>
  </si>
  <si>
    <t>Dudeo C. Galeon</t>
  </si>
  <si>
    <t>ANALISA FUASO GUILLARDE</t>
  </si>
  <si>
    <t>Ramon Jr. M. Villareal</t>
  </si>
  <si>
    <t>Catherine Olmoguez Ureta</t>
  </si>
  <si>
    <t>Charito G Yulo</t>
  </si>
  <si>
    <t>Jocelyn Mosqueda Abaya</t>
  </si>
  <si>
    <t>Constancia  C.  Broñozo</t>
  </si>
  <si>
    <t>Grace S Villaroman</t>
  </si>
  <si>
    <t>Maribel Castillo Botavara</t>
  </si>
  <si>
    <t>Wilfredo Ramos Ognilla</t>
  </si>
  <si>
    <t>Sukarno M Hadjinor</t>
  </si>
  <si>
    <t>Harvin Bob  P. Puno</t>
  </si>
  <si>
    <t>MARY GRACE MENGOTE</t>
  </si>
  <si>
    <t>JHORRY SANICO CANTA</t>
  </si>
  <si>
    <t xml:space="preserve">LIGAYA   UBALDE      </t>
  </si>
  <si>
    <t>RANDY DUENAS DE TORRES</t>
  </si>
  <si>
    <t>Joanne Hoylar Garcia</t>
  </si>
  <si>
    <t>Allan L Mariano</t>
  </si>
  <si>
    <t>Mary Loren Remegio Ladrillo</t>
  </si>
  <si>
    <t>NIMFA  C.  LIM</t>
  </si>
  <si>
    <t>Enjill Grace R. Subillaga</t>
  </si>
  <si>
    <t>Mark Alvin Hernandez Gatus</t>
  </si>
  <si>
    <t>Kim Manalo Manuel</t>
  </si>
  <si>
    <t>Sostenes M. Palero</t>
  </si>
  <si>
    <t>Ellenietta H.M.V Gamolo</t>
  </si>
  <si>
    <t>Lynden Alipen Aracyang</t>
  </si>
  <si>
    <t>ERWIN A CRUZADA</t>
  </si>
  <si>
    <t>Marilyn Cruz Santella</t>
  </si>
  <si>
    <t>GENERO I BENTAYAO</t>
  </si>
  <si>
    <t>Arlaine M De Vera</t>
  </si>
  <si>
    <t>Nolan A Tocao</t>
  </si>
  <si>
    <t>Diosdado, Jr. Seraspe Bernales</t>
  </si>
  <si>
    <t>Arielyn L. Fernandez</t>
  </si>
  <si>
    <t>Mila Jihan GIBA</t>
  </si>
  <si>
    <t>Vicente Dellatan Alcoriza</t>
  </si>
  <si>
    <t>BRUNO  VALMORIA  ORIOQUE</t>
  </si>
  <si>
    <t>Andrew Dullin Agunod</t>
  </si>
  <si>
    <t>Benjamin Jr. Bertiz Javellana</t>
  </si>
  <si>
    <t>ROMELYN GERALLA YEE</t>
  </si>
  <si>
    <t>Paolo Crispino Casiñas Sucalit</t>
  </si>
  <si>
    <t>Emily  Gamba  Dajay</t>
  </si>
  <si>
    <t>EDISON SALANO ORIAS</t>
  </si>
  <si>
    <t>Corazon O. Julian</t>
  </si>
  <si>
    <t>Remy O. Patente</t>
  </si>
  <si>
    <t>ROSARIO BATUTO ROSETE</t>
  </si>
  <si>
    <t>CHRISTIE ANN GELVEZON ORTIZ</t>
  </si>
  <si>
    <t>Winston Rudio Julio</t>
  </si>
  <si>
    <t>Emmanuel Edquilang Gulay</t>
  </si>
  <si>
    <t>Melanie Calura Rufino</t>
  </si>
  <si>
    <t>Aladin Calesterio Advincula</t>
  </si>
  <si>
    <t>Marilyn G Efondo</t>
  </si>
  <si>
    <t>Leo Alejandro Uy Yap</t>
  </si>
  <si>
    <t>JOSE CABASAGAN CHAN</t>
  </si>
  <si>
    <t>Glenn L Enesio</t>
  </si>
  <si>
    <t>Katherine Liwanag Pangilinan</t>
  </si>
  <si>
    <t>Marlon Sibal Danao</t>
  </si>
  <si>
    <t>Zenaida Sahagun</t>
  </si>
  <si>
    <t>Gladys Angit Abarabar</t>
  </si>
  <si>
    <t>Joel Guilao Bucao</t>
  </si>
  <si>
    <t>TEODULO EDER</t>
  </si>
  <si>
    <t>Elaine Bumanghat Immotna</t>
  </si>
  <si>
    <t>Jurupin Piting Pungutan</t>
  </si>
  <si>
    <t>Merlina Tunggala Macararanga</t>
  </si>
  <si>
    <t>Vanessa Degolacion Arellano</t>
  </si>
  <si>
    <t>Imelda Movido Villa</t>
  </si>
  <si>
    <t>Benhar Sulaiman Sali</t>
  </si>
  <si>
    <t>MARICHEL PUGOSA CORAZA</t>
  </si>
  <si>
    <t>PRUDENCIO EGSAN NOCELO, JR.</t>
  </si>
  <si>
    <t>ZOSIMO AQUINO LIBERATO</t>
  </si>
  <si>
    <t>Kris Millarez Lacanienta</t>
  </si>
  <si>
    <t>EDGAR L. MARTINEZ</t>
  </si>
  <si>
    <t>Violeta O Garcia</t>
  </si>
  <si>
    <t>Norman B. Licong</t>
  </si>
  <si>
    <t>Paul Francis Sarmiento Tomimbang</t>
  </si>
  <si>
    <t>Jean Casalmer Salarda</t>
  </si>
  <si>
    <t>MARIE JOY A. ALVIAR</t>
  </si>
  <si>
    <t>Ma. Felicidad Rebong Payba</t>
  </si>
  <si>
    <t>JASMIN R LACUNA</t>
  </si>
  <si>
    <t>RAL P CORNEJO</t>
  </si>
  <si>
    <t>Timoteo Jr. Palahang Calunod</t>
  </si>
  <si>
    <t>Elnora Toledo Lariza</t>
  </si>
  <si>
    <t>Rizalyn Sara Bantug</t>
  </si>
  <si>
    <t>Johna Paula Campilan Manzano</t>
  </si>
  <si>
    <t>JOSEPH ALLEN LACSON SIMON</t>
  </si>
  <si>
    <t>GHECEL CATIBOS MAGDALES</t>
  </si>
  <si>
    <t>ALICIA NATIVIDAD MANAIG</t>
  </si>
  <si>
    <t>MARY ANN SARTORIO BAENA</t>
  </si>
  <si>
    <t>Ma. Gianelli A Ecuacion</t>
  </si>
  <si>
    <t>Regina S. Valdez</t>
  </si>
  <si>
    <t>Christian Macasaquit Colindres</t>
  </si>
  <si>
    <t>Alison V. Senobio</t>
  </si>
  <si>
    <t>Genicar Nieva Barotilla</t>
  </si>
  <si>
    <t>Roweiji F. Bautista</t>
  </si>
  <si>
    <t>Alicia  Fabro Vinluan</t>
  </si>
  <si>
    <t>Daryl Baptista Daodaoang</t>
  </si>
  <si>
    <t>RENALYN BOLIVAR PARREÑO</t>
  </si>
  <si>
    <t>Gilbert V. Eleazar</t>
  </si>
  <si>
    <t>Roberto Maraño Balde</t>
  </si>
  <si>
    <t>Maria Celeste R. Dela Cruz</t>
  </si>
  <si>
    <t>Evelyn C. Padayhag</t>
  </si>
  <si>
    <t>Claress Montojo</t>
  </si>
  <si>
    <t>Rommel S Santos</t>
  </si>
  <si>
    <t>RHODORA VENTURA CABAL</t>
  </si>
  <si>
    <t>Joan  Israel  Beo</t>
  </si>
  <si>
    <t>jennifer empleo rondina</t>
  </si>
  <si>
    <t>Ma. Theresa D. Jamero</t>
  </si>
  <si>
    <t>AGUSTIN JR. DEMETERIO PEDRANO</t>
  </si>
  <si>
    <t>Eugene Paul Gundaya</t>
  </si>
  <si>
    <t>SETTE HANNAH D. DAKULA</t>
  </si>
  <si>
    <t>Charles  C. Sokoken</t>
  </si>
  <si>
    <t>Alger F Lamprea</t>
  </si>
  <si>
    <t>Rebecca Cequiña Remulta</t>
  </si>
  <si>
    <t>MONINA C.  MONTERMOSO</t>
  </si>
  <si>
    <t>BAC Secretariat II</t>
  </si>
  <si>
    <t>ZORAIDA CORTINA COLLERA</t>
  </si>
  <si>
    <t>Shoraida Titiban Renabor</t>
  </si>
  <si>
    <t>JOEGIE BENEMERITO JIMENEZ</t>
  </si>
  <si>
    <t>Yolanda T Egam</t>
  </si>
  <si>
    <t>Raymart   S.  Adonis</t>
  </si>
  <si>
    <t>Mr. Sharold B Magallones</t>
  </si>
  <si>
    <t>Rryam Ansing Jaralve</t>
  </si>
  <si>
    <t>VALENTE MICLAT HALILI</t>
  </si>
  <si>
    <t>Rhonalyn Santos Rivera</t>
  </si>
  <si>
    <t>Teresita O. Jasmin</t>
  </si>
  <si>
    <t>elsa babagay delos santos</t>
  </si>
  <si>
    <t>Doris M. Malayao</t>
  </si>
  <si>
    <t>Joseph Dennis Albarracin Adlawan</t>
  </si>
  <si>
    <t>LODEVICO CODAL LUIS</t>
  </si>
  <si>
    <t>Michael Aquino Abar</t>
  </si>
  <si>
    <t>ROGER ANGGOL BEN</t>
  </si>
  <si>
    <t>ANGELINA CAPISTRANO RIGOS</t>
  </si>
  <si>
    <t>Alvin Putulan Aceret</t>
  </si>
  <si>
    <t>Leo F. Ferraris</t>
  </si>
  <si>
    <t>Marilyn T Inong</t>
  </si>
  <si>
    <t>MERLINDA M. ANG</t>
  </si>
  <si>
    <t>Lauren Christine B. La'O</t>
  </si>
  <si>
    <t>Herma Aratan Seruela</t>
  </si>
  <si>
    <t>JOCELYN C SANTOCELDES</t>
  </si>
  <si>
    <t>Maritez Galban</t>
  </si>
  <si>
    <t>Simeon Dassun</t>
  </si>
  <si>
    <t>Delwin  Dalubajan  Dagook</t>
  </si>
  <si>
    <t>MOHAMMAD MAPANDI MACAANGCOS</t>
  </si>
  <si>
    <t>VICTORIO FAJARDO CORPORAL</t>
  </si>
  <si>
    <t>Beberly A Española</t>
  </si>
  <si>
    <t>Ruben M. Ollete</t>
  </si>
  <si>
    <t>Ruel Robina Ragas</t>
  </si>
  <si>
    <t>Joel Aculan Zartiga</t>
  </si>
  <si>
    <t>Thelma Ardon Escanillas</t>
  </si>
  <si>
    <t>Bill V. Segui</t>
  </si>
  <si>
    <t>Felizardo  R.  Canama</t>
  </si>
  <si>
    <t>Ricardo Omamalin Calonge</t>
  </si>
  <si>
    <t>Emmanuel Cedric Martinez Ontong</t>
  </si>
  <si>
    <t>Ruiz Lloyd Gonzales Magcamit</t>
  </si>
  <si>
    <t>Jose Jacinto B Antonio</t>
  </si>
  <si>
    <t>LEONARDO D AMORES</t>
  </si>
  <si>
    <t>Dennis Jan Gutierrez Quiambao</t>
  </si>
  <si>
    <t>Leah Kierulf De Paz</t>
  </si>
  <si>
    <t>Rodelito La Fuente Dacup</t>
  </si>
  <si>
    <t>Katherine B Ramos</t>
  </si>
  <si>
    <t>Mark Nikko Badiola</t>
  </si>
  <si>
    <t>Nelly S Ibo</t>
  </si>
  <si>
    <t>Phyl Andre Cruz</t>
  </si>
  <si>
    <t>Rhonna Regina  Puno</t>
  </si>
  <si>
    <t>Lubelle B. Lumabas</t>
  </si>
  <si>
    <t>JEANNE V. BAUZON</t>
  </si>
  <si>
    <t>Janine S. Zarate</t>
  </si>
  <si>
    <t>Linalyn Tolentino - Cueto</t>
  </si>
  <si>
    <t>Vina Ventura Temanel</t>
  </si>
  <si>
    <t>Laica Datu Nayre</t>
  </si>
  <si>
    <t>LERMA TERONES RECILLO</t>
  </si>
  <si>
    <t>Mobarak Patungcal Pandi</t>
  </si>
  <si>
    <t>Judith Nobleza Delanda</t>
  </si>
  <si>
    <t>Maximo H Salvatierra</t>
  </si>
  <si>
    <t>Teodoro Alo Jabahab</t>
  </si>
  <si>
    <t>ALEX ROMMEL VELARDE ROMANO</t>
  </si>
  <si>
    <t>Charlene P. Alonzo</t>
  </si>
  <si>
    <t>Kristine Joy Fernandez Dacasin</t>
  </si>
  <si>
    <t>Rojie Lynn "Tata" Quirante Martizano</t>
  </si>
  <si>
    <t>Alma Bella Mater Gilo</t>
  </si>
  <si>
    <t>ROWENA  VILLALUZ  RAMOS</t>
  </si>
  <si>
    <t>Elisa Lucero Lite</t>
  </si>
  <si>
    <t>Conrado Bandoquillo Ragay</t>
  </si>
  <si>
    <t>Niño G. Mascareñas</t>
  </si>
  <si>
    <t>Jannette Rojas Raganit</t>
  </si>
  <si>
    <t>miguel cosep baya</t>
  </si>
  <si>
    <t>SHANEE BALSOMO LASPIÑAS</t>
  </si>
  <si>
    <t>ABNER VILLAFLOR DE LA CRUZ</t>
  </si>
  <si>
    <t>JACKIE CHARLEMAGNE JO CHIONG</t>
  </si>
  <si>
    <t>MA. GINA LABASTIDA LESACA</t>
  </si>
  <si>
    <t>Rheajane Chu Saavedra</t>
  </si>
  <si>
    <t>Patricia Kaye Lorio Amate</t>
  </si>
  <si>
    <t>Anna Michelle Icasiano Africa</t>
  </si>
  <si>
    <t>Rosella Alojado Villegas</t>
  </si>
  <si>
    <t>Gloria Alberto</t>
  </si>
  <si>
    <t>Loraine Del Rosario Delos Reyes</t>
  </si>
  <si>
    <t>ROBERT C. MAMUYAC</t>
  </si>
  <si>
    <t>ENRIQUE A. SILVINO</t>
  </si>
  <si>
    <t>HENRY B CALUDUCAN</t>
  </si>
  <si>
    <t>John Jose T Tabligan</t>
  </si>
  <si>
    <t>Susan Gasilao</t>
  </si>
  <si>
    <t>Jessica Diokno Santos</t>
  </si>
  <si>
    <t>Rosana Tee Rogando</t>
  </si>
  <si>
    <t>Chenaryl M. Cordero</t>
  </si>
  <si>
    <t>Marlon Delovino Cayaban</t>
  </si>
  <si>
    <t>AIMER BARTOLOME CRUZ</t>
  </si>
  <si>
    <t>Jocelyn Laayon Mauting</t>
  </si>
  <si>
    <t>Merla D. Escobar</t>
  </si>
  <si>
    <t>Julita A. Santos</t>
  </si>
  <si>
    <t>Myles M Sayre</t>
  </si>
  <si>
    <t>Judith Domingo Unson</t>
  </si>
  <si>
    <t>Lord Kristan Atienza Logmao</t>
  </si>
  <si>
    <t>Rhea G Aquino</t>
  </si>
  <si>
    <t>COMELEC Bids and Awards Committee</t>
  </si>
  <si>
    <t>JULIUS B. UNDAR</t>
  </si>
  <si>
    <t>jesus b. atienza</t>
  </si>
  <si>
    <t>ATHESA LASTIMOSA BAS</t>
  </si>
  <si>
    <t>ROLANDO A SAMSON</t>
  </si>
  <si>
    <t>J. JEFFREY E. PERTIERRA</t>
  </si>
  <si>
    <t>Roderick I. Mendoza</t>
  </si>
  <si>
    <t>Noel  Alcabaza</t>
  </si>
  <si>
    <t>RUEL MARCA</t>
  </si>
  <si>
    <t>Jaybee Punzalan</t>
  </si>
  <si>
    <t>DOMENIC PONIEL SINAY</t>
  </si>
  <si>
    <t>CINSP JERICKSON PATRIARCA MIRAFLOR</t>
  </si>
  <si>
    <t>Renz Michael Pabrua Salaguban</t>
  </si>
  <si>
    <t>Angelica B. Acoba</t>
  </si>
  <si>
    <t>Darlene Sevilla Esmero</t>
  </si>
  <si>
    <t>DARA AUREA HENRIETTA A. VILLALOBOS</t>
  </si>
  <si>
    <t>RUBY H. CANLAS</t>
  </si>
  <si>
    <t>HERMIE IGNACIO</t>
  </si>
  <si>
    <t>Clifford Dofitas Hamoy</t>
  </si>
  <si>
    <t>Ray-Ann Sorilla</t>
  </si>
  <si>
    <t>Atila S. Barre</t>
  </si>
  <si>
    <t>Onofre Palmares</t>
  </si>
  <si>
    <t>Rommel R Oira</t>
  </si>
  <si>
    <t>Toni Rose E. Unciano</t>
  </si>
  <si>
    <t>Ma. Erlin S. Mesias</t>
  </si>
  <si>
    <t>Mamutur D Cariga</t>
  </si>
  <si>
    <t>Noelle Grace Bandonill Rillon</t>
  </si>
  <si>
    <t>Kreenzel Joy Pagaduan</t>
  </si>
  <si>
    <t>Nenita  S.  Palomo</t>
  </si>
  <si>
    <t>Melchor Talosig Halog</t>
  </si>
  <si>
    <t>Ernesto S. Suplido</t>
  </si>
  <si>
    <t>Michelle Bolo</t>
  </si>
  <si>
    <t>Rosalinda Baring Ongue</t>
  </si>
  <si>
    <t>NENA G. BANGGAT</t>
  </si>
  <si>
    <t>ALFREDO DANDO DELOS SANTOS</t>
  </si>
  <si>
    <t>Mae Marie E Hernandez</t>
  </si>
  <si>
    <t>Marito V. Catorce</t>
  </si>
  <si>
    <t>EDUARDO JUAN FORONDA</t>
  </si>
  <si>
    <t>Cristina A. Valenzuela</t>
  </si>
  <si>
    <t>Rose Peraan Moncada</t>
  </si>
  <si>
    <t>Donabel Caspillo Bassig</t>
  </si>
  <si>
    <t>Maiden P. Cortez</t>
  </si>
  <si>
    <t>Leah Teves Arnaiz</t>
  </si>
  <si>
    <t>Giorja Jaya Pimentel Ty</t>
  </si>
  <si>
    <t>Augustines Jumawan Magsalay</t>
  </si>
  <si>
    <t>Nida Coles Badiola</t>
  </si>
  <si>
    <t>Active</t>
  </si>
  <si>
    <t>Order</t>
  </si>
  <si>
    <t>25/06/2020</t>
  </si>
  <si>
    <t>24/06/2020</t>
  </si>
  <si>
    <t>23/06/2020</t>
  </si>
  <si>
    <t>22/06/2020</t>
  </si>
  <si>
    <t>21/06/2020</t>
  </si>
  <si>
    <t>20/06/2020</t>
  </si>
  <si>
    <t>19/06/2020</t>
  </si>
  <si>
    <t>18/06/2020</t>
  </si>
  <si>
    <t>17/06/2020</t>
  </si>
  <si>
    <t>16/06/2020</t>
  </si>
  <si>
    <t>15/06/2020</t>
  </si>
  <si>
    <t>14/06/2020</t>
  </si>
  <si>
    <t>13/06/2020</t>
  </si>
  <si>
    <t>12/06/2020</t>
  </si>
  <si>
    <t>11/06/2020</t>
  </si>
  <si>
    <t>10/06/2020</t>
  </si>
  <si>
    <t>09/06/2020</t>
  </si>
  <si>
    <t>08/06/2020</t>
  </si>
  <si>
    <t>07/06/2020</t>
  </si>
  <si>
    <t>06/06/2020</t>
  </si>
  <si>
    <t>05/06/2020</t>
  </si>
  <si>
    <t>04/06/2020</t>
  </si>
  <si>
    <t>03/06/2020</t>
  </si>
  <si>
    <t>02/06/2020</t>
  </si>
  <si>
    <t>30/05/2020</t>
  </si>
  <si>
    <t>29/05/2020</t>
  </si>
  <si>
    <t>28/05/2020</t>
  </si>
  <si>
    <t>01/06/2020</t>
  </si>
  <si>
    <t>27/05/2020</t>
  </si>
  <si>
    <t>26/05/2020</t>
  </si>
  <si>
    <t>21/05/2020</t>
  </si>
  <si>
    <t>22/05/2020</t>
  </si>
  <si>
    <t>23/05/2020</t>
  </si>
  <si>
    <t>25/05/2020</t>
  </si>
  <si>
    <t>12/05/2020</t>
  </si>
  <si>
    <t>13/05/2020</t>
  </si>
  <si>
    <t>14/05/2020</t>
  </si>
  <si>
    <t>24/05/2020</t>
  </si>
  <si>
    <t>16/05/2020</t>
  </si>
  <si>
    <t>15/05/2020</t>
  </si>
  <si>
    <t>20/05/2020</t>
  </si>
  <si>
    <t>04/05/2020</t>
  </si>
  <si>
    <t>28/04/2020</t>
  </si>
  <si>
    <t>30/04/2020</t>
  </si>
  <si>
    <t>07/05/2020</t>
  </si>
  <si>
    <t>06/05/2020</t>
  </si>
  <si>
    <t>11/05/2020</t>
  </si>
  <si>
    <t>19/05/2020</t>
  </si>
  <si>
    <t>17/04/2020</t>
  </si>
  <si>
    <t>09/05/2020</t>
  </si>
  <si>
    <t>21/04/2020</t>
  </si>
  <si>
    <t>22/04/2020</t>
  </si>
  <si>
    <t>24/04/2020</t>
  </si>
  <si>
    <t>27/04/2020</t>
  </si>
  <si>
    <t>25/04/2020</t>
  </si>
  <si>
    <t>31/03/2020</t>
  </si>
  <si>
    <t>30/03/2020</t>
  </si>
  <si>
    <t>01/04/2020</t>
  </si>
  <si>
    <t>06/04/2020</t>
  </si>
  <si>
    <t>26/03/2020</t>
  </si>
  <si>
    <t>17/03/2020</t>
  </si>
  <si>
    <t>18/03/2020</t>
  </si>
  <si>
    <t>13/03/2020</t>
  </si>
  <si>
    <t>14/03/2020</t>
  </si>
  <si>
    <t>12/03/2020</t>
  </si>
  <si>
    <t>11/03/2020</t>
  </si>
  <si>
    <t>10/03/2020</t>
  </si>
  <si>
    <t>09/03/2020</t>
  </si>
  <si>
    <t>07/03/2020</t>
  </si>
  <si>
    <t>05/03/2020</t>
  </si>
  <si>
    <t>06/03/2020</t>
  </si>
  <si>
    <t>04/03/2020</t>
  </si>
  <si>
    <t>03/03/2020</t>
  </si>
  <si>
    <t>28/02/2020</t>
  </si>
  <si>
    <t>29/02/2020</t>
  </si>
  <si>
    <t>02/03/2020</t>
  </si>
  <si>
    <t>25/02/2020</t>
  </si>
  <si>
    <t>27/02/2020</t>
  </si>
  <si>
    <t>26/02/2020</t>
  </si>
  <si>
    <t>19/02/2020</t>
  </si>
  <si>
    <t>21/02/2020</t>
  </si>
  <si>
    <t>20/02/2020</t>
  </si>
  <si>
    <t>22/02/2020</t>
  </si>
  <si>
    <t>14/02/2020</t>
  </si>
  <si>
    <t>15/02/2020</t>
  </si>
  <si>
    <t>18/02/2020</t>
  </si>
  <si>
    <t>24/02/2020</t>
  </si>
  <si>
    <t>03/02/2020</t>
  </si>
  <si>
    <t>05/02/2020</t>
  </si>
  <si>
    <t>06/02/2020</t>
  </si>
  <si>
    <t>07/02/2020</t>
  </si>
  <si>
    <t>11/02/2020</t>
  </si>
  <si>
    <t>12/02/2020</t>
  </si>
  <si>
    <t>10/02/2020</t>
  </si>
  <si>
    <t>22/01/2020</t>
  </si>
  <si>
    <t>24/01/2020</t>
  </si>
  <si>
    <t>29/01/2020</t>
  </si>
  <si>
    <t>08/02/2019</t>
  </si>
  <si>
    <t>31/07/2019</t>
  </si>
  <si>
    <t>05/10/2019</t>
  </si>
  <si>
    <t>06/11/2019</t>
  </si>
  <si>
    <t>18/11/2019</t>
  </si>
  <si>
    <t>28/11/2019</t>
  </si>
  <si>
    <t>09/08/2019</t>
  </si>
  <si>
    <t>07/01/2020</t>
  </si>
  <si>
    <t>13/11/2019</t>
  </si>
  <si>
    <t>23/08/2019</t>
  </si>
  <si>
    <t>20/12/2019</t>
  </si>
  <si>
    <t>01/02/2020</t>
  </si>
  <si>
    <t>30/01/2020</t>
  </si>
  <si>
    <t>31/01/2020</t>
  </si>
  <si>
    <t>16/03/2020</t>
  </si>
  <si>
    <t>14/04/2020</t>
  </si>
  <si>
    <t>25/03/2020</t>
  </si>
  <si>
    <t>07/04/2020</t>
  </si>
  <si>
    <t>19/03/2020</t>
  </si>
  <si>
    <t>25/06/2020 12:00 AM</t>
  </si>
  <si>
    <t>25/06/2020 10:11 AM</t>
  </si>
  <si>
    <t>24/06/2020 12:00 AM</t>
  </si>
  <si>
    <t>25/06/2020 10:49 AM</t>
  </si>
  <si>
    <t>25/06/2020 10:50 AM</t>
  </si>
  <si>
    <t>24/06/2020 10:38 AM</t>
  </si>
  <si>
    <t>25/06/2020 10:44 AM</t>
  </si>
  <si>
    <t>24/06/2020 1:36 PM</t>
  </si>
  <si>
    <t>24/06/2020 4:33 PM</t>
  </si>
  <si>
    <t>24/06/2020 4:31 PM</t>
  </si>
  <si>
    <t>24/06/2020 4:39 PM</t>
  </si>
  <si>
    <t>24/06/2020 11:23 AM</t>
  </si>
  <si>
    <t>24/06/2020 2:14 PM</t>
  </si>
  <si>
    <t>24/06/2020 2:16 PM</t>
  </si>
  <si>
    <t>25/06/2020 10:06 AM</t>
  </si>
  <si>
    <t>24/06/2020 5:13 PM</t>
  </si>
  <si>
    <t>24/06/2020 5:16 PM</t>
  </si>
  <si>
    <t>24/06/2020 2:05 PM</t>
  </si>
  <si>
    <t>23/06/2020 12:00 AM</t>
  </si>
  <si>
    <t>23/06/2020 9:29 AM</t>
  </si>
  <si>
    <t>24/06/2020 1:40 PM</t>
  </si>
  <si>
    <t>24/06/2020 2:43 PM</t>
  </si>
  <si>
    <t>25/06/2020 8:58 AM</t>
  </si>
  <si>
    <t>24/06/2020 10:08 AM</t>
  </si>
  <si>
    <t>23/06/2020 8:57 AM</t>
  </si>
  <si>
    <t>24/06/2020 7:58 AM</t>
  </si>
  <si>
    <t>25/06/2020 11:11 AM</t>
  </si>
  <si>
    <t>23/06/2020 4:14 PM</t>
  </si>
  <si>
    <t>25/06/2020 10:36 AM</t>
  </si>
  <si>
    <t>25/06/2020 10:23 AM</t>
  </si>
  <si>
    <t>23/06/2020 2:36 PM</t>
  </si>
  <si>
    <t>24/06/2020 8:38 AM</t>
  </si>
  <si>
    <t>24/06/2020 8:54 AM</t>
  </si>
  <si>
    <t>23/06/2020 1:38 PM</t>
  </si>
  <si>
    <t>24/06/2020 1:29 PM</t>
  </si>
  <si>
    <t>24/06/2020 8:51 AM</t>
  </si>
  <si>
    <t>22/06/2020 12:00 AM</t>
  </si>
  <si>
    <t>24/06/2020 9:11 AM</t>
  </si>
  <si>
    <t>23/06/2020 4:32 PM</t>
  </si>
  <si>
    <t>22/06/2020 10:43 AM</t>
  </si>
  <si>
    <t>22/06/2020 4:36 PM</t>
  </si>
  <si>
    <t>22/06/2020 4:35 PM</t>
  </si>
  <si>
    <t>22/06/2020 3:24 PM</t>
  </si>
  <si>
    <t>23/06/2020 10:05 AM</t>
  </si>
  <si>
    <t>22/06/2020 1:50 PM</t>
  </si>
  <si>
    <t>22/06/2020 4:21 PM</t>
  </si>
  <si>
    <t>22/06/2020 1:42 PM</t>
  </si>
  <si>
    <t>22/06/2020 1:57 PM</t>
  </si>
  <si>
    <t>22/06/2020 2:04 PM</t>
  </si>
  <si>
    <t>22/06/2020 9:38 AM</t>
  </si>
  <si>
    <t>22/06/2020 9:39 AM</t>
  </si>
  <si>
    <t>22/06/2020 2:21 PM</t>
  </si>
  <si>
    <t>22/06/2020 1:52 PM</t>
  </si>
  <si>
    <t>22/06/2020 2:17 PM</t>
  </si>
  <si>
    <t>22/06/2020 2:15 PM</t>
  </si>
  <si>
    <t>22/06/2020 1:36 PM</t>
  </si>
  <si>
    <t>22/06/2020 4:07 PM</t>
  </si>
  <si>
    <t>21/06/2020 12:00 AM</t>
  </si>
  <si>
    <t>24/06/2020 11:30 PM</t>
  </si>
  <si>
    <t>24/06/2020 11:33 PM</t>
  </si>
  <si>
    <t>21/06/2020 6:19 PM</t>
  </si>
  <si>
    <t>23/06/2020 10:03 PM</t>
  </si>
  <si>
    <t>20/06/2020 12:00 AM</t>
  </si>
  <si>
    <t>22/06/2020 9:19 AM</t>
  </si>
  <si>
    <t>23/06/2020 12:16 PM</t>
  </si>
  <si>
    <t>23/06/2020 12:17 PM</t>
  </si>
  <si>
    <t>23/06/2020 12:31 PM</t>
  </si>
  <si>
    <t>23/06/2020 12:22 PM</t>
  </si>
  <si>
    <t>23/06/2020 12:30 PM</t>
  </si>
  <si>
    <t>23/06/2020 11:06 AM</t>
  </si>
  <si>
    <t>23/06/2020 12:29 PM</t>
  </si>
  <si>
    <t>23/06/2020 12:23 PM</t>
  </si>
  <si>
    <t>23/06/2020 12:19 PM</t>
  </si>
  <si>
    <t>24/06/2020 4:16 PM</t>
  </si>
  <si>
    <t>23/06/2020 12:21 PM</t>
  </si>
  <si>
    <t>23/06/2020 12:35 PM</t>
  </si>
  <si>
    <t>23/06/2020 12:34 PM</t>
  </si>
  <si>
    <t>23/06/2020 12:43 PM</t>
  </si>
  <si>
    <t>23/06/2020 12:41 PM</t>
  </si>
  <si>
    <t>23/06/2020 12:40 PM</t>
  </si>
  <si>
    <t>23/06/2020 12:52 PM</t>
  </si>
  <si>
    <t>23/06/2020 1:27 PM</t>
  </si>
  <si>
    <t>23/06/2020 1:26 PM</t>
  </si>
  <si>
    <t>23/06/2020 1:28 PM</t>
  </si>
  <si>
    <t>22/06/2020 5:16 PM</t>
  </si>
  <si>
    <t>23/06/2020 1:29 PM</t>
  </si>
  <si>
    <t>23/06/2020 1:35 PM</t>
  </si>
  <si>
    <t>23/06/2020 1:34 PM</t>
  </si>
  <si>
    <t>23/06/2020 1:30 PM</t>
  </si>
  <si>
    <t>23/06/2020 1:40 PM</t>
  </si>
  <si>
    <t>23/06/2020 12:39 PM</t>
  </si>
  <si>
    <t>23/06/2020 1:44 PM</t>
  </si>
  <si>
    <t>23/06/2020 12:36 PM</t>
  </si>
  <si>
    <t>23/06/2020 12:32 PM</t>
  </si>
  <si>
    <t>23/06/2020 1:37 PM</t>
  </si>
  <si>
    <t>23/06/2020 1:42 PM</t>
  </si>
  <si>
    <t>23/06/2020 1:43 PM</t>
  </si>
  <si>
    <t>23/06/2020 1:45 PM</t>
  </si>
  <si>
    <t>24/06/2020 4:09 PM</t>
  </si>
  <si>
    <t>23/06/2020 1:47 PM</t>
  </si>
  <si>
    <t>23/06/2020 1:48 PM</t>
  </si>
  <si>
    <t>23/06/2020 1:50 PM</t>
  </si>
  <si>
    <t>23/06/2020 2:06 PM</t>
  </si>
  <si>
    <t>23/06/2020 1:49 PM</t>
  </si>
  <si>
    <t>23/06/2020 1:54 PM</t>
  </si>
  <si>
    <t>24/06/2020 9:22 PM</t>
  </si>
  <si>
    <t>23/06/2020 1:56 PM</t>
  </si>
  <si>
    <t>23/06/2020 1:52 PM</t>
  </si>
  <si>
    <t>23/06/2020 1:57 PM</t>
  </si>
  <si>
    <t>23/06/2020 1:59 PM</t>
  </si>
  <si>
    <t>23/06/2020 2:00 PM</t>
  </si>
  <si>
    <t>22/06/2020 9:18 AM</t>
  </si>
  <si>
    <t>23/06/2020 2:07 PM</t>
  </si>
  <si>
    <t>25/06/2020 10:24 AM</t>
  </si>
  <si>
    <t>24/06/2020 2:12 PM</t>
  </si>
  <si>
    <t>23/06/2020 3:52 PM</t>
  </si>
  <si>
    <t>25/06/2020 10:26 AM</t>
  </si>
  <si>
    <t>25/06/2020 11:35 AM</t>
  </si>
  <si>
    <t>25/06/2020 11:39 AM</t>
  </si>
  <si>
    <t>25/06/2020 11:37 AM</t>
  </si>
  <si>
    <t>25/06/2020 11:36 AM</t>
  </si>
  <si>
    <t>19/06/2020 12:00 AM</t>
  </si>
  <si>
    <t>25/06/2020 9:22 AM</t>
  </si>
  <si>
    <t>25/06/2020 9:24 AM</t>
  </si>
  <si>
    <t>19/06/2020 9:05 AM</t>
  </si>
  <si>
    <t>19/06/2020 9:04 AM</t>
  </si>
  <si>
    <t>19/06/2020 9:02 AM</t>
  </si>
  <si>
    <t>19/06/2020 8:58 AM</t>
  </si>
  <si>
    <t>22/06/2020 9:33 PM</t>
  </si>
  <si>
    <t>19/06/2020 9:07 AM</t>
  </si>
  <si>
    <t>23/06/2020 1:22 PM</t>
  </si>
  <si>
    <t>22/06/2020 1:05 PM</t>
  </si>
  <si>
    <t>19/06/2020 3:54 PM</t>
  </si>
  <si>
    <t>19/06/2020 3:53 PM</t>
  </si>
  <si>
    <t>19/06/2020 5:03 PM</t>
  </si>
  <si>
    <t>19/06/2020 5:04 PM</t>
  </si>
  <si>
    <t>24/06/2020 4:56 PM</t>
  </si>
  <si>
    <t>19/06/2020 4:03 PM</t>
  </si>
  <si>
    <t>19/06/2020 4:02 PM</t>
  </si>
  <si>
    <t>19/06/2020 4:12 PM</t>
  </si>
  <si>
    <t>22/06/2020 3:09 PM</t>
  </si>
  <si>
    <t>23/06/2020 2:39 PM</t>
  </si>
  <si>
    <t>19/06/2020 4:26 PM</t>
  </si>
  <si>
    <t>23/06/2020 2:37 PM</t>
  </si>
  <si>
    <t>23/06/2020 2:46 PM</t>
  </si>
  <si>
    <t>19/06/2020 8:48 AM</t>
  </si>
  <si>
    <t>23/06/2020 2:43 PM</t>
  </si>
  <si>
    <t>19/06/2020 4:07 PM</t>
  </si>
  <si>
    <t>24/06/2020 8:29 AM</t>
  </si>
  <si>
    <t>23/06/2020 2:35 PM</t>
  </si>
  <si>
    <t>23/06/2020 2:34 PM</t>
  </si>
  <si>
    <t>23/06/2020 2:59 PM</t>
  </si>
  <si>
    <t>24/06/2020 1:17 PM</t>
  </si>
  <si>
    <t>25/06/2020 8:51 AM</t>
  </si>
  <si>
    <t>23/06/2020 2:41 PM</t>
  </si>
  <si>
    <t>23/06/2020 2:40 PM</t>
  </si>
  <si>
    <t>23/06/2020 2:32 PM</t>
  </si>
  <si>
    <t>23/06/2020 2:42 PM</t>
  </si>
  <si>
    <t>24/06/2020 11:42 AM</t>
  </si>
  <si>
    <t>19/06/2020 5:02 PM</t>
  </si>
  <si>
    <t>24/06/2020 4:28 PM</t>
  </si>
  <si>
    <t>23/06/2020 5:13 PM</t>
  </si>
  <si>
    <t>19/06/2020 4:53 PM</t>
  </si>
  <si>
    <t>23/06/2020 5:16 PM</t>
  </si>
  <si>
    <t>19/06/2020 4:54 PM</t>
  </si>
  <si>
    <t>23/06/2020 5:17 PM</t>
  </si>
  <si>
    <t>23/06/2020 1:21 PM</t>
  </si>
  <si>
    <t>22/06/2020 9:37 AM</t>
  </si>
  <si>
    <t>19/06/2020 4:56 PM</t>
  </si>
  <si>
    <t>23/06/2020 5:19 PM</t>
  </si>
  <si>
    <t>22/06/2020 3:36 PM</t>
  </si>
  <si>
    <t>23/06/2020 6:34 PM</t>
  </si>
  <si>
    <t>24/06/2020 2:09 PM</t>
  </si>
  <si>
    <t>24/06/2020 2:18 PM</t>
  </si>
  <si>
    <t>24/06/2020 2:22 PM</t>
  </si>
  <si>
    <t>23/06/2020 10:45 AM</t>
  </si>
  <si>
    <t>25/06/2020 12:02 PM</t>
  </si>
  <si>
    <t>19/06/2020 1:59 PM</t>
  </si>
  <si>
    <t>19/06/2020 2:00 PM</t>
  </si>
  <si>
    <t>22/06/2020 12:55 PM</t>
  </si>
  <si>
    <t>19/06/2020 2:05 PM</t>
  </si>
  <si>
    <t>19/06/2020 11:52 AM</t>
  </si>
  <si>
    <t>19/06/2020 2:02 PM</t>
  </si>
  <si>
    <t>22/06/2020 12:53 PM</t>
  </si>
  <si>
    <t>19/06/2020 2:03 PM</t>
  </si>
  <si>
    <t>19/06/2020 2:01 PM</t>
  </si>
  <si>
    <t>19/06/2020 11:51 AM</t>
  </si>
  <si>
    <t>18/06/2020 12:00 AM</t>
  </si>
  <si>
    <t>19/06/2020 4:23 PM</t>
  </si>
  <si>
    <t>22/06/2020 1:08 PM</t>
  </si>
  <si>
    <t>19/06/2020 4:19 PM</t>
  </si>
  <si>
    <t>22/06/2020 2:49 PM</t>
  </si>
  <si>
    <t>22/06/2020 2:32 PM</t>
  </si>
  <si>
    <t>22/06/2020 2:54 PM</t>
  </si>
  <si>
    <t>22/06/2020 2:34 PM</t>
  </si>
  <si>
    <t>22/06/2020 3:03 PM</t>
  </si>
  <si>
    <t>22/06/2020 2:47 PM</t>
  </si>
  <si>
    <t>24/06/2020 3:36 PM</t>
  </si>
  <si>
    <t>18/06/2020 2:20 PM</t>
  </si>
  <si>
    <t>23/06/2020 8:54 AM</t>
  </si>
  <si>
    <t>18/06/2020 2:59 PM</t>
  </si>
  <si>
    <t>18/06/2020 2:21 PM</t>
  </si>
  <si>
    <t>23/06/2020 11:57 AM</t>
  </si>
  <si>
    <t>19/06/2020 4:28 PM</t>
  </si>
  <si>
    <t>18/06/2020 3:32 PM</t>
  </si>
  <si>
    <t>23/06/2020 12:04 PM</t>
  </si>
  <si>
    <t>19/06/2020 3:56 PM</t>
  </si>
  <si>
    <t>18/06/2020 3:35 PM</t>
  </si>
  <si>
    <t>19/06/2020 4:52 PM</t>
  </si>
  <si>
    <t>19/06/2020 3:57 PM</t>
  </si>
  <si>
    <t>19/06/2020 4:48 PM</t>
  </si>
  <si>
    <t>23/06/2020 12:24 PM</t>
  </si>
  <si>
    <t>19/06/2020 4:05 PM</t>
  </si>
  <si>
    <t>22/06/2020 9:15 AM</t>
  </si>
  <si>
    <t>18/06/2020 1:50 PM</t>
  </si>
  <si>
    <t>19/06/2020 4:46 PM</t>
  </si>
  <si>
    <t>19/06/2020 5:06 PM</t>
  </si>
  <si>
    <t>19/06/2020 4:50 PM</t>
  </si>
  <si>
    <t>19/06/2020 3:59 PM</t>
  </si>
  <si>
    <t>23/06/2020 6:05 PM</t>
  </si>
  <si>
    <t>24/06/2020 10:07 AM</t>
  </si>
  <si>
    <t>23/06/2020 4:37 PM</t>
  </si>
  <si>
    <t>24/06/2020 9:53 AM</t>
  </si>
  <si>
    <t>19/06/2020 2:51 PM</t>
  </si>
  <si>
    <t>23/06/2020 5:23 PM</t>
  </si>
  <si>
    <t>19/06/2020 1:33 PM</t>
  </si>
  <si>
    <t>19/06/2020 1:32 PM</t>
  </si>
  <si>
    <t>19/06/2020 1:29 PM</t>
  </si>
  <si>
    <t>19/06/2020 1:28 PM</t>
  </si>
  <si>
    <t>19/06/2020 1:30 PM</t>
  </si>
  <si>
    <t>19/06/2020 1:36 PM</t>
  </si>
  <si>
    <t>19/06/2020 1:31 PM</t>
  </si>
  <si>
    <t>17/06/2020 12:00 AM</t>
  </si>
  <si>
    <t>23/06/2020 4:49 PM</t>
  </si>
  <si>
    <t>19/06/2020 1:35 PM</t>
  </si>
  <si>
    <t>19/06/2020 1:26 PM</t>
  </si>
  <si>
    <t>23/06/2020 5:07 PM</t>
  </si>
  <si>
    <t>24/06/2020 6:07 PM</t>
  </si>
  <si>
    <t>22/06/2020 4:25 PM</t>
  </si>
  <si>
    <t>23/06/2020 8:26 AM</t>
  </si>
  <si>
    <t>22/06/2020 3:07 PM</t>
  </si>
  <si>
    <t>22/06/2020 5:15 PM</t>
  </si>
  <si>
    <t>22/06/2020 5:36 PM</t>
  </si>
  <si>
    <t>22/06/2020 8:39 AM</t>
  </si>
  <si>
    <t>19/06/2020 2:34 PM</t>
  </si>
  <si>
    <t>24/06/2020 8:23 AM</t>
  </si>
  <si>
    <t>22/06/2020 2:06 PM</t>
  </si>
  <si>
    <t>17/06/2020 10:22 AM</t>
  </si>
  <si>
    <t>17/06/2020 4:17 PM</t>
  </si>
  <si>
    <t>24/06/2020 5:44 PM</t>
  </si>
  <si>
    <t>17/06/2020 10:16 AM</t>
  </si>
  <si>
    <t>23/06/2020 2:11 PM</t>
  </si>
  <si>
    <t>23/06/2020 2:14 PM</t>
  </si>
  <si>
    <t>23/06/2020 2:13 PM</t>
  </si>
  <si>
    <t>23/06/2020 10:59 AM</t>
  </si>
  <si>
    <t>24/06/2020 11:14 AM</t>
  </si>
  <si>
    <t>22/06/2020 10:38 PM</t>
  </si>
  <si>
    <t>23/06/2020 2:16 PM</t>
  </si>
  <si>
    <t>25/06/2020 10:14 AM</t>
  </si>
  <si>
    <t>22/06/2020 8:45 AM</t>
  </si>
  <si>
    <t>22/06/2020 10:40 PM</t>
  </si>
  <si>
    <t>22/06/2020 8:54 AM</t>
  </si>
  <si>
    <t>24/06/2020 11:12 AM</t>
  </si>
  <si>
    <t>23/06/2020 9:08 AM</t>
  </si>
  <si>
    <t>23/06/2020 9:35 AM</t>
  </si>
  <si>
    <t>23/06/2020 9:11 AM</t>
  </si>
  <si>
    <t>17/06/2020 4:11 PM</t>
  </si>
  <si>
    <t>22/06/2020 8:48 AM</t>
  </si>
  <si>
    <t>18/06/2020 9:48 PM</t>
  </si>
  <si>
    <t>22/06/2020 2:57 PM</t>
  </si>
  <si>
    <t>18/06/2020 9:47 PM</t>
  </si>
  <si>
    <t>18/06/2020 9:45 PM</t>
  </si>
  <si>
    <t>23/06/2020 9:23 AM</t>
  </si>
  <si>
    <t>18/06/2020 9:44 PM</t>
  </si>
  <si>
    <t>22/06/2020 4:50 PM</t>
  </si>
  <si>
    <t>18/06/2020 10:00 PM</t>
  </si>
  <si>
    <t>18/06/2020 9:52 PM</t>
  </si>
  <si>
    <t>18/06/2020 9:51 PM</t>
  </si>
  <si>
    <t>18/06/2020 9:55 PM</t>
  </si>
  <si>
    <t>18/06/2020 9:57 PM</t>
  </si>
  <si>
    <t>25/06/2020 10:16 AM</t>
  </si>
  <si>
    <t>18/06/2020 10:08 PM</t>
  </si>
  <si>
    <t>18/06/2020 3:53 PM</t>
  </si>
  <si>
    <t>18/06/2020 3:54 PM</t>
  </si>
  <si>
    <t>23/06/2020 4:51 PM</t>
  </si>
  <si>
    <t>23/06/2020 3:46 PM</t>
  </si>
  <si>
    <t>19/06/2020 2:57 PM</t>
  </si>
  <si>
    <t>23/06/2020 5:10 PM</t>
  </si>
  <si>
    <t>23/06/2020 5:05 PM</t>
  </si>
  <si>
    <t>22/06/2020 10:26 AM</t>
  </si>
  <si>
    <t>22/06/2020 2:18 PM</t>
  </si>
  <si>
    <t>23/06/2020 4:58 PM</t>
  </si>
  <si>
    <t>22/06/2020 3:33 PM</t>
  </si>
  <si>
    <t>22/06/2020 8:40 PM</t>
  </si>
  <si>
    <t>18/06/2020 10:05 PM</t>
  </si>
  <si>
    <t>18/06/2020 10:02 PM</t>
  </si>
  <si>
    <t>18/06/2020 9:50 PM</t>
  </si>
  <si>
    <t>18/06/2020 9:49 PM</t>
  </si>
  <si>
    <t>23/06/2020 7:40 AM</t>
  </si>
  <si>
    <t>16/06/2020 12:00 AM</t>
  </si>
  <si>
    <t>18/06/2020 10:07 PM</t>
  </si>
  <si>
    <t>24/06/2020 12:07 PM</t>
  </si>
  <si>
    <t>24/06/2020 2:47 PM</t>
  </si>
  <si>
    <t>18/06/2020 1:13 PM</t>
  </si>
  <si>
    <t>22/06/2020 3:30 PM</t>
  </si>
  <si>
    <t>22/06/2020 2:31 PM</t>
  </si>
  <si>
    <t>19/06/2020 2:14 PM</t>
  </si>
  <si>
    <t>22/06/2020 10:37 AM</t>
  </si>
  <si>
    <t>24/06/2020 9:50 AM</t>
  </si>
  <si>
    <t>22/06/2020 1:37 PM</t>
  </si>
  <si>
    <t>23/06/2020 11:38 AM</t>
  </si>
  <si>
    <t>23/06/2020 11:35 AM</t>
  </si>
  <si>
    <t>18/06/2020 10:12 PM</t>
  </si>
  <si>
    <t>24/06/2020 1:38 PM</t>
  </si>
  <si>
    <t>23/06/2020 8:23 AM</t>
  </si>
  <si>
    <t>25/06/2020 9:17 AM</t>
  </si>
  <si>
    <t>16/06/2020 11:00 AM</t>
  </si>
  <si>
    <t>17/06/2020 4:16 PM</t>
  </si>
  <si>
    <t>19/06/2020 8:13 AM</t>
  </si>
  <si>
    <t>16/06/2020 5:03 PM</t>
  </si>
  <si>
    <t>23/06/2020 10:48 AM</t>
  </si>
  <si>
    <t>22/06/2020 9:11 PM</t>
  </si>
  <si>
    <t>17/06/2020 4:18 PM</t>
  </si>
  <si>
    <t>17/06/2020 4:21 PM</t>
  </si>
  <si>
    <t>22/06/2020 2:30 PM</t>
  </si>
  <si>
    <t>15/06/2020 12:00 AM</t>
  </si>
  <si>
    <t>25/06/2020 10:30 AM</t>
  </si>
  <si>
    <t>25/06/2020 10:27 AM</t>
  </si>
  <si>
    <t>24/06/2020 3:04 PM</t>
  </si>
  <si>
    <t>17/06/2020 4:13 PM</t>
  </si>
  <si>
    <t>25/06/2020 10:28 AM</t>
  </si>
  <si>
    <t>17/06/2020 4:20 PM</t>
  </si>
  <si>
    <t>17/06/2020 4:22 PM</t>
  </si>
  <si>
    <t>17/06/2020 4:01 PM</t>
  </si>
  <si>
    <t>17/06/2020 4:14 PM</t>
  </si>
  <si>
    <t>17/06/2020 4:09 PM</t>
  </si>
  <si>
    <t>17/06/2020 4:07 PM</t>
  </si>
  <si>
    <t>24/06/2020 3:32 PM</t>
  </si>
  <si>
    <t>17/06/2020 4:56 PM</t>
  </si>
  <si>
    <t>17/06/2020 4:53 PM</t>
  </si>
  <si>
    <t>17/06/2020 4:51 PM</t>
  </si>
  <si>
    <t>17/06/2020 4:48 PM</t>
  </si>
  <si>
    <t>17/06/2020 4:50 PM</t>
  </si>
  <si>
    <t>23/06/2020 3:39 PM</t>
  </si>
  <si>
    <t>23/06/2020 3:30 PM</t>
  </si>
  <si>
    <t>17/06/2020 4:44 PM</t>
  </si>
  <si>
    <t>24/06/2020 3:12 PM</t>
  </si>
  <si>
    <t>25/06/2020 10:25 AM</t>
  </si>
  <si>
    <t>16/06/2020 10:12 AM</t>
  </si>
  <si>
    <t>17/06/2020 7:11 AM</t>
  </si>
  <si>
    <t>16/06/2020 10:18 AM</t>
  </si>
  <si>
    <t>17/06/2020 4:41 PM</t>
  </si>
  <si>
    <t>17/06/2020 5:03 PM</t>
  </si>
  <si>
    <t>17/06/2020 5:00 PM</t>
  </si>
  <si>
    <t>17/06/2020 5:02 PM</t>
  </si>
  <si>
    <t>17/06/2020 4:58 PM</t>
  </si>
  <si>
    <t>17/06/2020 4:36 PM</t>
  </si>
  <si>
    <t>17/06/2020 4:46 PM</t>
  </si>
  <si>
    <t>17/06/2020 11:30 AM</t>
  </si>
  <si>
    <t>17/06/2020 11:28 AM</t>
  </si>
  <si>
    <t>16/06/2020 10:38 AM</t>
  </si>
  <si>
    <t>16/06/2020 10:39 AM</t>
  </si>
  <si>
    <t>24/06/2020 3:54 PM</t>
  </si>
  <si>
    <t>23/06/2020 1:31 PM</t>
  </si>
  <si>
    <t>23/06/2020 2:09 PM</t>
  </si>
  <si>
    <t>23/06/2020 11:44 AM</t>
  </si>
  <si>
    <t>24/06/2020 10:56 AM</t>
  </si>
  <si>
    <t>14/06/2020 12:00 AM</t>
  </si>
  <si>
    <t>22/06/2020 11:15 AM</t>
  </si>
  <si>
    <t>22/06/2020 11:25 AM</t>
  </si>
  <si>
    <t>22/06/2020 5:06 PM</t>
  </si>
  <si>
    <t>17/06/2020 2:48 PM</t>
  </si>
  <si>
    <t>22/06/2020 11:20 AM</t>
  </si>
  <si>
    <t>13/06/2020 12:00 AM</t>
  </si>
  <si>
    <t>24/06/2020 8:20 AM</t>
  </si>
  <si>
    <t>21/06/2020 2:00 PM</t>
  </si>
  <si>
    <t>12/06/2020 12:00 AM</t>
  </si>
  <si>
    <t>23/06/2020 9:34 AM</t>
  </si>
  <si>
    <t>21/06/2020 2:10 PM</t>
  </si>
  <si>
    <t>24/06/2020 9:06 PM</t>
  </si>
  <si>
    <t>21/06/2020 2:18 PM</t>
  </si>
  <si>
    <t>22/06/2020 4:02 PM</t>
  </si>
  <si>
    <t>24/06/2020 3:17 PM</t>
  </si>
  <si>
    <t>17/06/2020 10:12 AM</t>
  </si>
  <si>
    <t>17/06/2020 2:06 PM</t>
  </si>
  <si>
    <t>17/06/2020 2:08 PM</t>
  </si>
  <si>
    <t>21/06/2020 9:29 PM</t>
  </si>
  <si>
    <t>19/06/2020 2:15 PM</t>
  </si>
  <si>
    <t>24/06/2020 10:17 AM</t>
  </si>
  <si>
    <t>24/06/2020 12:58 PM</t>
  </si>
  <si>
    <t>23/06/2020 1:53 PM</t>
  </si>
  <si>
    <t>22/06/2020 8:33 AM</t>
  </si>
  <si>
    <t>22/06/2020 2:26 PM</t>
  </si>
  <si>
    <t>17/06/2020 11:00 AM</t>
  </si>
  <si>
    <t>16/06/2020 4:19 PM</t>
  </si>
  <si>
    <t>24/06/2020 12:49 PM</t>
  </si>
  <si>
    <t>22/06/2020 5:22 PM</t>
  </si>
  <si>
    <t>24/06/2020 12:46 PM</t>
  </si>
  <si>
    <t>24/06/2020 12:57 PM</t>
  </si>
  <si>
    <t>24/06/2020 9:47 AM</t>
  </si>
  <si>
    <t>24/06/2020 12:43 PM</t>
  </si>
  <si>
    <t>16/06/2020 4:27 PM</t>
  </si>
  <si>
    <t>22/06/2020 10:55 AM</t>
  </si>
  <si>
    <t>18/06/2020 9:22 PM</t>
  </si>
  <si>
    <t>17/06/2020 10:09 AM</t>
  </si>
  <si>
    <t>15/06/2020 4:46 PM</t>
  </si>
  <si>
    <t>18/06/2020 9:23 PM</t>
  </si>
  <si>
    <t>24/06/2020 3:28 PM</t>
  </si>
  <si>
    <t>17/06/2020 10:39 AM</t>
  </si>
  <si>
    <t>22/06/2020 5:25 PM</t>
  </si>
  <si>
    <t>17/06/2020 10:14 AM</t>
  </si>
  <si>
    <t>24/06/2020 3:23 PM</t>
  </si>
  <si>
    <t>24/06/2020 3:15 PM</t>
  </si>
  <si>
    <t>18/06/2020 9:29 PM</t>
  </si>
  <si>
    <t>18/06/2020 9:27 PM</t>
  </si>
  <si>
    <t>24/06/2020 12:53 PM</t>
  </si>
  <si>
    <t>24/06/2020 12:51 PM</t>
  </si>
  <si>
    <t>24/06/2020 3:26 PM</t>
  </si>
  <si>
    <t>18/06/2020 9:26 PM</t>
  </si>
  <si>
    <t>17/06/2020 10:07 AM</t>
  </si>
  <si>
    <t>24/06/2020 3:20 PM</t>
  </si>
  <si>
    <t>24/06/2020 9:14 PM</t>
  </si>
  <si>
    <t>18/06/2020 9:25 PM</t>
  </si>
  <si>
    <t>24/06/2020 8:19 AM</t>
  </si>
  <si>
    <t>17/06/2020 10:51 AM</t>
  </si>
  <si>
    <t>18/06/2020 8:20 AM</t>
  </si>
  <si>
    <t>18/06/2020 8:15 AM</t>
  </si>
  <si>
    <t>17/06/2020 10:05 AM</t>
  </si>
  <si>
    <t>17/06/2020 10:50 AM</t>
  </si>
  <si>
    <t>18/06/2020 9:33 PM</t>
  </si>
  <si>
    <t>18/06/2020 9:32 PM</t>
  </si>
  <si>
    <t>18/06/2020 8:17 AM</t>
  </si>
  <si>
    <t>16/06/2020 4:24 PM</t>
  </si>
  <si>
    <t>23/06/2020 2:27 PM</t>
  </si>
  <si>
    <t>18/06/2020 9:40 PM</t>
  </si>
  <si>
    <t>18/06/2020 9:41 PM</t>
  </si>
  <si>
    <t>18/06/2020 9:38 PM</t>
  </si>
  <si>
    <t>18/06/2020 9:37 PM</t>
  </si>
  <si>
    <t>18/06/2020 9:48 AM</t>
  </si>
  <si>
    <t>18/06/2020 9:39 PM</t>
  </si>
  <si>
    <t>18/06/2020 3:10 PM</t>
  </si>
  <si>
    <t>18/06/2020 9:31 PM</t>
  </si>
  <si>
    <t>19/06/2020 2:20 PM</t>
  </si>
  <si>
    <t>22/06/2020 9:41 PM</t>
  </si>
  <si>
    <t>18/06/2020 3:14 PM</t>
  </si>
  <si>
    <t>23/06/2020 6:57 PM</t>
  </si>
  <si>
    <t>16/06/2020 7:46 AM</t>
  </si>
  <si>
    <t>17/06/2020 10:52 AM</t>
  </si>
  <si>
    <t>18/06/2020 9:35 PM</t>
  </si>
  <si>
    <t>12/06/2020 12:13 PM</t>
  </si>
  <si>
    <t>24/06/2020 9:37 AM</t>
  </si>
  <si>
    <t>24/06/2020 9:35 AM</t>
  </si>
  <si>
    <t>24/06/2020 11:41 PM</t>
  </si>
  <si>
    <t>24/06/2020 10:27 AM</t>
  </si>
  <si>
    <t>24/06/2020 10:21 AM</t>
  </si>
  <si>
    <t>22/06/2020 4:31 PM</t>
  </si>
  <si>
    <t>24/06/2020 10:30 AM</t>
  </si>
  <si>
    <t>18/06/2020 10:58 AM</t>
  </si>
  <si>
    <t>16/06/2020 7:49 AM</t>
  </si>
  <si>
    <t>11/06/2020 12:00 AM</t>
  </si>
  <si>
    <t>22/06/2020 3:13 PM</t>
  </si>
  <si>
    <t>16/06/2020 7:47 AM</t>
  </si>
  <si>
    <t>19/06/2020 9:00 AM</t>
  </si>
  <si>
    <t>24/06/2020 11:39 AM</t>
  </si>
  <si>
    <t>18/06/2020 5:06 PM</t>
  </si>
  <si>
    <t>15/06/2020 1:26 PM</t>
  </si>
  <si>
    <t>18/06/2020 2:06 PM</t>
  </si>
  <si>
    <t>18/06/2020 11:18 PM</t>
  </si>
  <si>
    <t>23/06/2020 4:53 PM</t>
  </si>
  <si>
    <t>23/06/2020 12:54 PM</t>
  </si>
  <si>
    <t>17/06/2020 1:32 PM</t>
  </si>
  <si>
    <t>23/06/2020 12:56 PM</t>
  </si>
  <si>
    <t>22/06/2020 10:07 PM</t>
  </si>
  <si>
    <t>18/06/2020 3:12 PM</t>
  </si>
  <si>
    <t>17/06/2020 10:48 AM</t>
  </si>
  <si>
    <t>17/06/2020 10:40 AM</t>
  </si>
  <si>
    <t>18/06/2020 9:34 PM</t>
  </si>
  <si>
    <t>18/06/2020 8:18 AM</t>
  </si>
  <si>
    <t>18/06/2020 9:30 PM</t>
  </si>
  <si>
    <t>25/06/2020 7:16 AM</t>
  </si>
  <si>
    <t>19/06/2020 4:18 PM</t>
  </si>
  <si>
    <t>17/06/2020 1:34 PM</t>
  </si>
  <si>
    <t>17/06/2020 1:35 PM</t>
  </si>
  <si>
    <t>17/06/2020 1:42 PM</t>
  </si>
  <si>
    <t>24/06/2020 1:01 PM</t>
  </si>
  <si>
    <t>24/06/2020 12:59 PM</t>
  </si>
  <si>
    <t>24/06/2020 1:02 PM</t>
  </si>
  <si>
    <t>22/06/2020 8:35 AM</t>
  </si>
  <si>
    <t>22/06/2020 10:07 AM</t>
  </si>
  <si>
    <t>18/06/2020 3:00 PM</t>
  </si>
  <si>
    <t>23/06/2020 7:16 PM</t>
  </si>
  <si>
    <t>24/06/2020 4:26 PM</t>
  </si>
  <si>
    <t>17/06/2020 2:59 PM</t>
  </si>
  <si>
    <t>17/06/2020 3:55 PM</t>
  </si>
  <si>
    <t>18/06/2020 3:04 PM</t>
  </si>
  <si>
    <t>24/06/2020 9:46 AM</t>
  </si>
  <si>
    <t>22/06/2020 10:12 AM</t>
  </si>
  <si>
    <t>15/06/2020 4:21 PM</t>
  </si>
  <si>
    <t>22/06/2020 1:27 PM</t>
  </si>
  <si>
    <t>23/06/2020 12:50 PM</t>
  </si>
  <si>
    <t>17/06/2020 3:08 PM</t>
  </si>
  <si>
    <t>11/06/2020 8:24 AM</t>
  </si>
  <si>
    <t>17/06/2020 3:12 PM</t>
  </si>
  <si>
    <t>11/06/2020 2:32 PM</t>
  </si>
  <si>
    <t>17/06/2020 3:04 PM</t>
  </si>
  <si>
    <t>23/06/2020 7:13 PM</t>
  </si>
  <si>
    <t>17/06/2020 1:37 PM</t>
  </si>
  <si>
    <t>23/06/2020 9:14 AM</t>
  </si>
  <si>
    <t>11/06/2020 1:00 PM</t>
  </si>
  <si>
    <t>23/06/2020 9:59 AM</t>
  </si>
  <si>
    <t>17/06/2020 4:24 PM</t>
  </si>
  <si>
    <t>17/06/2020 1:39 PM</t>
  </si>
  <si>
    <t>22/06/2020 8:29 AM</t>
  </si>
  <si>
    <t>17/06/2020 5:18 PM</t>
  </si>
  <si>
    <t>23/06/2020 7:17 PM</t>
  </si>
  <si>
    <t>23/06/2020 8:41 AM</t>
  </si>
  <si>
    <t>17/06/2020 5:17 PM</t>
  </si>
  <si>
    <t>19/06/2020 4:57 PM</t>
  </si>
  <si>
    <t>17/06/2020 5:21 PM</t>
  </si>
  <si>
    <t>16/06/2020 2:12 PM</t>
  </si>
  <si>
    <t>19/06/2020 2:09 PM</t>
  </si>
  <si>
    <t>23/06/2020 3:53 PM</t>
  </si>
  <si>
    <t>22/06/2020 2:07 PM</t>
  </si>
  <si>
    <t>22/06/2020 5:04 PM</t>
  </si>
  <si>
    <t>22/06/2020 1:07 PM</t>
  </si>
  <si>
    <t>17/06/2020 5:20 PM</t>
  </si>
  <si>
    <t>22/06/2020 3:49 PM</t>
  </si>
  <si>
    <t>17/06/2020 3:42 PM</t>
  </si>
  <si>
    <t>16/06/2020 2:09 PM</t>
  </si>
  <si>
    <t>17/06/2020 5:19 PM</t>
  </si>
  <si>
    <t>17/06/2020 5:12 PM</t>
  </si>
  <si>
    <t>17/06/2020 5:14 PM</t>
  </si>
  <si>
    <t>24/06/2020 2:49 PM</t>
  </si>
  <si>
    <t>23/06/2020 4:46 PM</t>
  </si>
  <si>
    <t>22/06/2020 5:39 PM</t>
  </si>
  <si>
    <t>24/06/2020 2:37 PM</t>
  </si>
  <si>
    <t>24/06/2020 2:40 PM</t>
  </si>
  <si>
    <t>23/06/2020 9:42 AM</t>
  </si>
  <si>
    <t>23/06/2020 9:41 AM</t>
  </si>
  <si>
    <t>23/06/2020 10:55 AM</t>
  </si>
  <si>
    <t>24/06/2020 11:20 AM</t>
  </si>
  <si>
    <t>24/06/2020 11:22 AM</t>
  </si>
  <si>
    <t>23/06/2020 9:46 AM</t>
  </si>
  <si>
    <t>19/06/2020 4:10 PM</t>
  </si>
  <si>
    <t>24/06/2020 4:29 PM</t>
  </si>
  <si>
    <t>24/06/2020 4:27 PM</t>
  </si>
  <si>
    <t>24/06/2020 4:25 PM</t>
  </si>
  <si>
    <t>16/06/2020 11:05 AM</t>
  </si>
  <si>
    <t>24/06/2020 11:50 AM</t>
  </si>
  <si>
    <t>15/06/2020 6:42 PM</t>
  </si>
  <si>
    <t>23/06/2020 6:37 PM</t>
  </si>
  <si>
    <t>18/06/2020 10:06 AM</t>
  </si>
  <si>
    <t>23/06/2020 11:06 PM</t>
  </si>
  <si>
    <t>18/06/2020 10:03 AM</t>
  </si>
  <si>
    <t>20/06/2020 10:21 PM</t>
  </si>
  <si>
    <t>23/06/2020 11:12 PM</t>
  </si>
  <si>
    <t>18/06/2020 10:23 AM</t>
  </si>
  <si>
    <t>18/06/2020 10:04 AM</t>
  </si>
  <si>
    <t>24/06/2020 2:30 PM</t>
  </si>
  <si>
    <t>18/06/2020 3:48 PM</t>
  </si>
  <si>
    <t>18/06/2020 10:15 AM</t>
  </si>
  <si>
    <t>24/06/2020 5:50 PM</t>
  </si>
  <si>
    <t>18/06/2020 1:51 PM</t>
  </si>
  <si>
    <t>22/06/2020 2:35 PM</t>
  </si>
  <si>
    <t>18/06/2020 10:19 AM</t>
  </si>
  <si>
    <t>10/06/2020 12:00 AM</t>
  </si>
  <si>
    <t>18/06/2020 10:13 AM</t>
  </si>
  <si>
    <t>22/06/2020 7:39 PM</t>
  </si>
  <si>
    <t>19/06/2020 2:18 PM</t>
  </si>
  <si>
    <t>23/06/2020 3:54 PM</t>
  </si>
  <si>
    <t>18/06/2020 10:08 AM</t>
  </si>
  <si>
    <t>17/06/2020 2:04 PM</t>
  </si>
  <si>
    <t>23/06/2020 5:12 PM</t>
  </si>
  <si>
    <t>23/06/2020 9:45 AM</t>
  </si>
  <si>
    <t>23/06/2020 9:44 AM</t>
  </si>
  <si>
    <t>24/06/2020 4:24 PM</t>
  </si>
  <si>
    <t>24/06/2020 4:23 PM</t>
  </si>
  <si>
    <t>23/06/2020 3:23 PM</t>
  </si>
  <si>
    <t>18/06/2020 8:28 AM</t>
  </si>
  <si>
    <t>23/06/2020 3:25 PM</t>
  </si>
  <si>
    <t>23/06/2020 9:37 AM</t>
  </si>
  <si>
    <t>24/06/2020 9:27 AM</t>
  </si>
  <si>
    <t>24/06/2020 10:10 PM</t>
  </si>
  <si>
    <t>23/06/2020 8:59 AM</t>
  </si>
  <si>
    <t>10/06/2020 11:44 AM</t>
  </si>
  <si>
    <t>18/06/2020 2:04 PM</t>
  </si>
  <si>
    <t>11/06/2020 9:29 AM</t>
  </si>
  <si>
    <t>18/06/2020 2:00 PM</t>
  </si>
  <si>
    <t>22/06/2020 9:23 PM</t>
  </si>
  <si>
    <t>23/06/2020 8:53 AM</t>
  </si>
  <si>
    <t>22/06/2020 9:14 PM</t>
  </si>
  <si>
    <t>24/06/2020 9:28 AM</t>
  </si>
  <si>
    <t>22/06/2020 4:37 PM</t>
  </si>
  <si>
    <t>23/06/2020 11:47 AM</t>
  </si>
  <si>
    <t>23/06/2020 11:49 AM</t>
  </si>
  <si>
    <t>22/06/2020 4:40 PM</t>
  </si>
  <si>
    <t>23/06/2020 11:51 AM</t>
  </si>
  <si>
    <t>23/06/2020 2:26 PM</t>
  </si>
  <si>
    <t>25/06/2020 10:37 AM</t>
  </si>
  <si>
    <t>25/06/2020 10:32 AM</t>
  </si>
  <si>
    <t>24/06/2020 2:51 PM</t>
  </si>
  <si>
    <t>17/06/2020 2:43 PM</t>
  </si>
  <si>
    <t>24/06/2020 1:44 PM</t>
  </si>
  <si>
    <t>23/06/2020 3:29 PM</t>
  </si>
  <si>
    <t>15/06/2020 1:54 PM</t>
  </si>
  <si>
    <t>18/06/2020 4:36 PM</t>
  </si>
  <si>
    <t>10/06/2020 3:29 PM</t>
  </si>
  <si>
    <t>15/06/2020 1:52 PM</t>
  </si>
  <si>
    <t>17/06/2020 2:02 PM</t>
  </si>
  <si>
    <t>15/06/2020 1:53 PM</t>
  </si>
  <si>
    <t>15/06/2020 1:51 PM</t>
  </si>
  <si>
    <t>23/06/2020 3:55 PM</t>
  </si>
  <si>
    <t>22/06/2020 11:36 AM</t>
  </si>
  <si>
    <t>10/06/2020 3:37 PM</t>
  </si>
  <si>
    <t>10/06/2020 3:32 PM</t>
  </si>
  <si>
    <t>19/06/2020 12:49 PM</t>
  </si>
  <si>
    <t>16/06/2020 4:57 PM</t>
  </si>
  <si>
    <t>18/06/2020 1:59 PM</t>
  </si>
  <si>
    <t>22/06/2020 6:15 PM</t>
  </si>
  <si>
    <t>23/06/2020 9:32 AM</t>
  </si>
  <si>
    <t>16/06/2020 10:20 PM</t>
  </si>
  <si>
    <t>16/06/2020 7:43 AM</t>
  </si>
  <si>
    <t>19/06/2020 12:09 PM</t>
  </si>
  <si>
    <t>22/06/2020 8:57 PM</t>
  </si>
  <si>
    <t>23/06/2020 10:13 PM</t>
  </si>
  <si>
    <t>17/06/2020 3:57 PM</t>
  </si>
  <si>
    <t>19/06/2020 5:40 PM</t>
  </si>
  <si>
    <t>14/06/2020 2:30 AM</t>
  </si>
  <si>
    <t>22/06/2020 3:27 PM</t>
  </si>
  <si>
    <t>22/06/2020 3:23 PM</t>
  </si>
  <si>
    <t>24/06/2020 5:09 PM</t>
  </si>
  <si>
    <t>22/06/2020 8:45 PM</t>
  </si>
  <si>
    <t>16/06/2020 10:22 AM</t>
  </si>
  <si>
    <t>22/06/2020 10:10 AM</t>
  </si>
  <si>
    <t>24/06/2020 3:08 PM</t>
  </si>
  <si>
    <t>22/06/2020 11:38 AM</t>
  </si>
  <si>
    <t>20/06/2020 11:16 PM</t>
  </si>
  <si>
    <t>20/06/2020 11:54 PM</t>
  </si>
  <si>
    <t>23/06/2020 7:51 AM</t>
  </si>
  <si>
    <t>22/06/2020 9:34 PM</t>
  </si>
  <si>
    <t>24/06/2020 6:52 PM</t>
  </si>
  <si>
    <t>22/06/2020 5:35 PM</t>
  </si>
  <si>
    <t>20/06/2020 11:25 PM</t>
  </si>
  <si>
    <t>20/06/2020 11:22 PM</t>
  </si>
  <si>
    <t>20/06/2020 11:11 PM</t>
  </si>
  <si>
    <t>19/06/2020 11:09 AM</t>
  </si>
  <si>
    <t>20/06/2020 11:19 PM</t>
  </si>
  <si>
    <t>22/06/2020 9:10 PM</t>
  </si>
  <si>
    <t>21/06/2020 12:15 AM</t>
  </si>
  <si>
    <t>23/06/2020 3:08 PM</t>
  </si>
  <si>
    <t>22/06/2020 9:09 PM</t>
  </si>
  <si>
    <t>22/06/2020 9:29 PM</t>
  </si>
  <si>
    <t>20/06/2020 11:48 PM</t>
  </si>
  <si>
    <t>23/06/2020 3:24 PM</t>
  </si>
  <si>
    <t>21/06/2020 12:06 AM</t>
  </si>
  <si>
    <t>22/06/2020 9:07 PM</t>
  </si>
  <si>
    <t>22/06/2020 9:03 PM</t>
  </si>
  <si>
    <t>23/06/2020 3:20 PM</t>
  </si>
  <si>
    <t>23/06/2020 3:21 PM</t>
  </si>
  <si>
    <t>23/06/2020 12:26 PM</t>
  </si>
  <si>
    <t>23/06/2020 11:52 AM</t>
  </si>
  <si>
    <t>23/06/2020 11:23 AM</t>
  </si>
  <si>
    <t>23/06/2020 3:18 PM</t>
  </si>
  <si>
    <t>23/06/2020 1:00 PM</t>
  </si>
  <si>
    <t>21/06/2020 12:04 AM</t>
  </si>
  <si>
    <t>21/06/2020 12:34 AM</t>
  </si>
  <si>
    <t>23/06/2020 11:02 AM</t>
  </si>
  <si>
    <t>20/06/2020 11:58 PM</t>
  </si>
  <si>
    <t>21/06/2020 12:32 AM</t>
  </si>
  <si>
    <t>21/06/2020 12:29 AM</t>
  </si>
  <si>
    <t>21/06/2020 12:37 AM</t>
  </si>
  <si>
    <t>16/06/2020 5:54 PM</t>
  </si>
  <si>
    <t>23/06/2020 3:07 PM</t>
  </si>
  <si>
    <t>16/06/2020 10:56 PM</t>
  </si>
  <si>
    <t>16/06/2020 10:55 PM</t>
  </si>
  <si>
    <t>16/06/2020 10:52 PM</t>
  </si>
  <si>
    <t>16/06/2020 10:50 PM</t>
  </si>
  <si>
    <t>16/06/2020 10:53 PM</t>
  </si>
  <si>
    <t>24/06/2020 5:05 PM</t>
  </si>
  <si>
    <t>23/06/2020 9:51 PM</t>
  </si>
  <si>
    <t>21/06/2020 12:40 AM</t>
  </si>
  <si>
    <t>21/06/2020 12:24 AM</t>
  </si>
  <si>
    <t>21/06/2020 12:20 AM</t>
  </si>
  <si>
    <t>21/06/2020 12:27 AM</t>
  </si>
  <si>
    <t>19/06/2020 3:29 PM</t>
  </si>
  <si>
    <t>10/06/2020 4:22 PM</t>
  </si>
  <si>
    <t>09/06/2020 12:00 AM</t>
  </si>
  <si>
    <t>10/06/2020 6:55 AM</t>
  </si>
  <si>
    <t>24/06/2020 11:45 AM</t>
  </si>
  <si>
    <t>24/06/2020 5:18 PM</t>
  </si>
  <si>
    <t>17/06/2020 11:32 AM</t>
  </si>
  <si>
    <t>22/06/2020 1:47 PM</t>
  </si>
  <si>
    <t>09/06/2020 4:21 PM</t>
  </si>
  <si>
    <t>15/06/2020 1:56 PM</t>
  </si>
  <si>
    <t>17/06/2020 2:25 PM</t>
  </si>
  <si>
    <t>24/06/2020 5:15 PM</t>
  </si>
  <si>
    <t>23/06/2020 5:37 PM</t>
  </si>
  <si>
    <t>16/06/2020 4:23 PM</t>
  </si>
  <si>
    <t>19/06/2020 5:12 PM</t>
  </si>
  <si>
    <t>19/06/2020 5:29 PM</t>
  </si>
  <si>
    <t>18/06/2020 5:27 PM</t>
  </si>
  <si>
    <t>18/06/2020 5:24 PM</t>
  </si>
  <si>
    <t>19/06/2020 5:25 PM</t>
  </si>
  <si>
    <t>18/06/2020 5:20 PM</t>
  </si>
  <si>
    <t>18/06/2020 5:19 PM</t>
  </si>
  <si>
    <t>18/06/2020 5:22 PM</t>
  </si>
  <si>
    <t>18/06/2020 5:16 PM</t>
  </si>
  <si>
    <t>23/06/2020 5:46 PM</t>
  </si>
  <si>
    <t>19/06/2020 10:38 AM</t>
  </si>
  <si>
    <t>19/06/2020 5:21 PM</t>
  </si>
  <si>
    <t>18/06/2020 5:26 PM</t>
  </si>
  <si>
    <t>19/06/2020 5:27 PM</t>
  </si>
  <si>
    <t>17/06/2020 4:00 PM</t>
  </si>
  <si>
    <t>20/06/2020 5:04 PM</t>
  </si>
  <si>
    <t>23/06/2020 3:17 PM</t>
  </si>
  <si>
    <t>22/06/2020 5:00 PM</t>
  </si>
  <si>
    <t>18/06/2020 11:31 AM</t>
  </si>
  <si>
    <t>18/06/2020 2:51 PM</t>
  </si>
  <si>
    <t>16/06/2020 10:37 AM</t>
  </si>
  <si>
    <t>22/06/2020 4:04 PM</t>
  </si>
  <si>
    <t>16/06/2020 10:36 AM</t>
  </si>
  <si>
    <t>16/06/2020 10:33 AM</t>
  </si>
  <si>
    <t>09/06/2020 4:28 PM</t>
  </si>
  <si>
    <t>19/06/2020 4:01 PM</t>
  </si>
  <si>
    <t>19/06/2020 2:10 PM</t>
  </si>
  <si>
    <t>17/06/2020 11:19 AM</t>
  </si>
  <si>
    <t>17/06/2020 11:20 AM</t>
  </si>
  <si>
    <t>16/06/2020 10:32 AM</t>
  </si>
  <si>
    <t>19/06/2020 3:44 PM</t>
  </si>
  <si>
    <t>19/06/2020 3:43 PM</t>
  </si>
  <si>
    <t>16/06/2020 10:28 AM</t>
  </si>
  <si>
    <t>23/06/2020 1:17 PM</t>
  </si>
  <si>
    <t>19/06/2020 3:51 PM</t>
  </si>
  <si>
    <t>22/06/2020 1:18 PM</t>
  </si>
  <si>
    <t>23/06/2020 9:13 AM</t>
  </si>
  <si>
    <t>17/06/2020 11:03 AM</t>
  </si>
  <si>
    <t>19/06/2020 4:17 PM</t>
  </si>
  <si>
    <t>23/06/2020 7:46 AM</t>
  </si>
  <si>
    <t>25/06/2020 11:38 AM</t>
  </si>
  <si>
    <t>17/06/2020 11:01 AM</t>
  </si>
  <si>
    <t>17/06/2020 10:44 AM</t>
  </si>
  <si>
    <t>22/06/2020 4:47 PM</t>
  </si>
  <si>
    <t>23/06/2020 9:10 AM</t>
  </si>
  <si>
    <t>11/06/2020 2:20 PM</t>
  </si>
  <si>
    <t>23/06/2020 9:09 AM</t>
  </si>
  <si>
    <t>09/06/2020 8:19 PM</t>
  </si>
  <si>
    <t>23/06/2020 7:45 AM</t>
  </si>
  <si>
    <t>23/06/2020 9:12 AM</t>
  </si>
  <si>
    <t>19/06/2020 4:22 PM</t>
  </si>
  <si>
    <t>09/06/2020 8:20 PM</t>
  </si>
  <si>
    <t>23/06/2020 4:38 PM</t>
  </si>
  <si>
    <t>16/06/2020 10:08 AM</t>
  </si>
  <si>
    <t>21/06/2020 10:45 PM</t>
  </si>
  <si>
    <t>22/06/2020 11:37 AM</t>
  </si>
  <si>
    <t>18/06/2020 12:41 PM</t>
  </si>
  <si>
    <t>19/06/2020 5:08 PM</t>
  </si>
  <si>
    <t>18/06/2020 12:28 PM</t>
  </si>
  <si>
    <t>23/06/2020 5:41 PM</t>
  </si>
  <si>
    <t>18/06/2020 11:23 AM</t>
  </si>
  <si>
    <t>19/06/2020 5:14 PM</t>
  </si>
  <si>
    <t>10/06/2020 4:43 PM</t>
  </si>
  <si>
    <t>23/06/2020 5:44 PM</t>
  </si>
  <si>
    <t>24/06/2020 11:38 AM</t>
  </si>
  <si>
    <t>24/06/2020 9:51 AM</t>
  </si>
  <si>
    <t>24/06/2020 10:35 AM</t>
  </si>
  <si>
    <t>18/06/2020 5:09 PM</t>
  </si>
  <si>
    <t>23/06/2020 5:43 PM</t>
  </si>
  <si>
    <t>18/06/2020 5:13 PM</t>
  </si>
  <si>
    <t>23/06/2020 5:45 PM</t>
  </si>
  <si>
    <t>10/06/2020 3:38 PM</t>
  </si>
  <si>
    <t>18/06/2020 5:15 PM</t>
  </si>
  <si>
    <t>19/06/2020 5:23 PM</t>
  </si>
  <si>
    <t>10/06/2020 3:43 PM</t>
  </si>
  <si>
    <t>18/06/2020 2:32 PM</t>
  </si>
  <si>
    <t>16/06/2020 8:09 PM</t>
  </si>
  <si>
    <t>10/06/2020 3:42 PM</t>
  </si>
  <si>
    <t>23/06/2020 9:40 AM</t>
  </si>
  <si>
    <t>23/06/2020 8:48 AM</t>
  </si>
  <si>
    <t>10/06/2020 3:40 PM</t>
  </si>
  <si>
    <t>22/06/2020 8:32 AM</t>
  </si>
  <si>
    <t>08/06/2020 12:00 AM</t>
  </si>
  <si>
    <t>22/06/2020 7:38 PM</t>
  </si>
  <si>
    <t>16/06/2020 9:33 PM</t>
  </si>
  <si>
    <t>16/06/2020 9:35 PM</t>
  </si>
  <si>
    <t>18/06/2020 4:32 PM</t>
  </si>
  <si>
    <t>18/06/2020 4:29 PM</t>
  </si>
  <si>
    <t>16/06/2020 8:07 PM</t>
  </si>
  <si>
    <t>19/06/2020 6:15 PM</t>
  </si>
  <si>
    <t>22/06/2020 3:12 PM</t>
  </si>
  <si>
    <t>22/06/2020 7:36 PM</t>
  </si>
  <si>
    <t>18/06/2020 4:22 PM</t>
  </si>
  <si>
    <t>22/06/2020 3:18 PM</t>
  </si>
  <si>
    <t>17/06/2020 3:52 PM</t>
  </si>
  <si>
    <t>18/06/2020 2:08 PM</t>
  </si>
  <si>
    <t>18/06/2020 4:38 PM</t>
  </si>
  <si>
    <t>22/06/2020 3:16 PM</t>
  </si>
  <si>
    <t>22/06/2020 5:21 PM</t>
  </si>
  <si>
    <t>10/06/2020 9:34 AM</t>
  </si>
  <si>
    <t>22/06/2020 3:15 PM</t>
  </si>
  <si>
    <t>18/06/2020 4:25 PM</t>
  </si>
  <si>
    <t>24/06/2020 6:40 PM</t>
  </si>
  <si>
    <t>19/06/2020 9:58 AM</t>
  </si>
  <si>
    <t>16/06/2020 3:20 PM</t>
  </si>
  <si>
    <t>19/06/2020 8:32 PM</t>
  </si>
  <si>
    <t>24/06/2020 6:38 PM</t>
  </si>
  <si>
    <t>22/06/2020 3:20 PM</t>
  </si>
  <si>
    <t>24/06/2020 7:23 AM</t>
  </si>
  <si>
    <t>17/06/2020 1:31 PM</t>
  </si>
  <si>
    <t>24/06/2020 10:46 AM</t>
  </si>
  <si>
    <t>22/06/2020 6:30 PM</t>
  </si>
  <si>
    <t>23/06/2020 9:42 PM</t>
  </si>
  <si>
    <t>22/06/2020 4:22 PM</t>
  </si>
  <si>
    <t>18/06/2020 11:08 AM</t>
  </si>
  <si>
    <t>16/06/2020 2:18 PM</t>
  </si>
  <si>
    <t>24/06/2020 10:40 AM</t>
  </si>
  <si>
    <t>16/06/2020 3:53 PM</t>
  </si>
  <si>
    <t>24/06/2020 6:37 PM</t>
  </si>
  <si>
    <t>22/06/2020 4:12 PM</t>
  </si>
  <si>
    <t>19/06/2020 1:49 PM</t>
  </si>
  <si>
    <t>19/06/2020 1:47 PM</t>
  </si>
  <si>
    <t>20/06/2020 8:44 AM</t>
  </si>
  <si>
    <t>19/06/2020 1:56 PM</t>
  </si>
  <si>
    <t>15/06/2020 1:07 PM</t>
  </si>
  <si>
    <t>19/06/2020 1:45 PM</t>
  </si>
  <si>
    <t>16/06/2020 3:33 PM</t>
  </si>
  <si>
    <t>19/06/2020 2:42 PM</t>
  </si>
  <si>
    <t>19/06/2020 1:54 PM</t>
  </si>
  <si>
    <t>15/06/2020 4:26 PM</t>
  </si>
  <si>
    <t>24/06/2020 11:59 PM</t>
  </si>
  <si>
    <t>23/06/2020 10:41 AM</t>
  </si>
  <si>
    <t>23/06/2020 9:27 PM</t>
  </si>
  <si>
    <t>22/06/2020 5:46 PM</t>
  </si>
  <si>
    <t>17/06/2020 7:48 PM</t>
  </si>
  <si>
    <t>22/06/2020 8:49 PM</t>
  </si>
  <si>
    <t>22/06/2020 9:28 PM</t>
  </si>
  <si>
    <t>18/06/2020 2:39 PM</t>
  </si>
  <si>
    <t>18/06/2020 2:19 PM</t>
  </si>
  <si>
    <t>24/06/2020 6:35 PM</t>
  </si>
  <si>
    <t>10/06/2020 5:40 PM</t>
  </si>
  <si>
    <t>22/06/2020 9:13 PM</t>
  </si>
  <si>
    <t>22/06/2020 9:12 PM</t>
  </si>
  <si>
    <t>22/06/2020 7:33 PM</t>
  </si>
  <si>
    <t>19/06/2020 10:08 AM</t>
  </si>
  <si>
    <t>22/06/2020 9:08 PM</t>
  </si>
  <si>
    <t>23/06/2020 9:39 AM</t>
  </si>
  <si>
    <t>09/06/2020 5:54 PM</t>
  </si>
  <si>
    <t>19/06/2020 5:19 PM</t>
  </si>
  <si>
    <t>18/06/2020 5:12 PM</t>
  </si>
  <si>
    <t>22/06/2020 3:58 PM</t>
  </si>
  <si>
    <t>22/06/2020 6:09 PM</t>
  </si>
  <si>
    <t>16/06/2020 3:15 PM</t>
  </si>
  <si>
    <t>17/06/2020 10:58 AM</t>
  </si>
  <si>
    <t>22/06/2020 9:17 PM</t>
  </si>
  <si>
    <t>23/06/2020 8:52 AM</t>
  </si>
  <si>
    <t>08/06/2020 9:05 AM</t>
  </si>
  <si>
    <t>07/06/2020 12:00 AM</t>
  </si>
  <si>
    <t>19/06/2020 6:44 PM</t>
  </si>
  <si>
    <t>19/06/2020 8:41 AM</t>
  </si>
  <si>
    <t>16/06/2020 8:49 AM</t>
  </si>
  <si>
    <t>06/06/2020 12:00 AM</t>
  </si>
  <si>
    <t>15/06/2020 11:00 AM</t>
  </si>
  <si>
    <t>19/06/2020 8:34 AM</t>
  </si>
  <si>
    <t>22/06/2020 8:37 PM</t>
  </si>
  <si>
    <t>22/06/2020 8:27 PM</t>
  </si>
  <si>
    <t>17/06/2020 2:26 PM</t>
  </si>
  <si>
    <t>19/06/2020 8:25 AM</t>
  </si>
  <si>
    <t>19/06/2020 11:07 AM</t>
  </si>
  <si>
    <t>15/06/2020 5:45 PM</t>
  </si>
  <si>
    <t>17/06/2020 2:29 PM</t>
  </si>
  <si>
    <t>22/06/2020 10:20 AM</t>
  </si>
  <si>
    <t>24/06/2020 2:58 PM</t>
  </si>
  <si>
    <t>09/06/2020 1:51 PM</t>
  </si>
  <si>
    <t>24/06/2020 2:56 PM</t>
  </si>
  <si>
    <t>24/06/2020 2:53 PM</t>
  </si>
  <si>
    <t>10/06/2020 4:39 PM</t>
  </si>
  <si>
    <t>16/06/2020 9:28 AM</t>
  </si>
  <si>
    <t>17/06/2020 3:10 PM</t>
  </si>
  <si>
    <t>24/06/2020 4:48 PM</t>
  </si>
  <si>
    <t>24/06/2020 4:41 PM</t>
  </si>
  <si>
    <t>22/06/2020 3:05 PM</t>
  </si>
  <si>
    <t>24/06/2020 4:42 PM</t>
  </si>
  <si>
    <t>23/06/2020 12:53 PM</t>
  </si>
  <si>
    <t>24/06/2020 2:55 PM</t>
  </si>
  <si>
    <t>19/06/2020 6:27 PM</t>
  </si>
  <si>
    <t>19/06/2020 6:25 PM</t>
  </si>
  <si>
    <t>22/06/2020 2:03 PM</t>
  </si>
  <si>
    <t>22/06/2020 2:00 PM</t>
  </si>
  <si>
    <t>19/06/2020 3:08 PM</t>
  </si>
  <si>
    <t>15/06/2020 9:40 PM</t>
  </si>
  <si>
    <t>16/06/2020 9:20 PM</t>
  </si>
  <si>
    <t>09/06/2020 10:59 AM</t>
  </si>
  <si>
    <t>21/06/2020 5:22 PM</t>
  </si>
  <si>
    <t>16/06/2020 9:16 PM</t>
  </si>
  <si>
    <t>19/06/2020 4:45 PM</t>
  </si>
  <si>
    <t>22/06/2020 5:31 PM</t>
  </si>
  <si>
    <t>23/06/2020 5:51 PM</t>
  </si>
  <si>
    <t>22/06/2020 5:34 PM</t>
  </si>
  <si>
    <t>10/06/2020 1:33 PM</t>
  </si>
  <si>
    <t>18/06/2020 11:41 AM</t>
  </si>
  <si>
    <t>05/06/2020 12:00 AM</t>
  </si>
  <si>
    <t>22/06/2020 5:32 PM</t>
  </si>
  <si>
    <t>23/06/2020 6:25 PM</t>
  </si>
  <si>
    <t>22/06/2020 5:30 PM</t>
  </si>
  <si>
    <t>16/06/2020 9:23 PM</t>
  </si>
  <si>
    <t>18/06/2020 4:55 PM</t>
  </si>
  <si>
    <t>24/06/2020 1:59 PM</t>
  </si>
  <si>
    <t>22/06/2020 8:26 PM</t>
  </si>
  <si>
    <t>19/06/2020 1:37 PM</t>
  </si>
  <si>
    <t>09/06/2020 11:01 AM</t>
  </si>
  <si>
    <t>22/06/2020 9:21 PM</t>
  </si>
  <si>
    <t>10/06/2020 3:23 PM</t>
  </si>
  <si>
    <t>23/06/2020 11:58 AM</t>
  </si>
  <si>
    <t>24/06/2020 10:53 AM</t>
  </si>
  <si>
    <t>22/06/2020 9:34 AM</t>
  </si>
  <si>
    <t>24/06/2020 9:29 AM</t>
  </si>
  <si>
    <t>16/06/2020 9:32 PM</t>
  </si>
  <si>
    <t>16/06/2020 9:29 PM</t>
  </si>
  <si>
    <t>16/06/2020 2:07 PM</t>
  </si>
  <si>
    <t>16/06/2020 9:27 PM</t>
  </si>
  <si>
    <t>18/06/2020 3:26 PM</t>
  </si>
  <si>
    <t>18/06/2020 3:21 PM</t>
  </si>
  <si>
    <t>18/06/2020 3:16 PM</t>
  </si>
  <si>
    <t>18/06/2020 3:03 PM</t>
  </si>
  <si>
    <t>17/06/2020 4:33 PM</t>
  </si>
  <si>
    <t>19/06/2020 11:13 AM</t>
  </si>
  <si>
    <t>16/06/2020 9:25 PM</t>
  </si>
  <si>
    <t>05/06/2020 12:27 PM</t>
  </si>
  <si>
    <t>18/06/2020 5:08 PM</t>
  </si>
  <si>
    <t>24/06/2020 4:36 PM</t>
  </si>
  <si>
    <t>18/06/2020 5:04 PM</t>
  </si>
  <si>
    <t>17/06/2020 4:45 PM</t>
  </si>
  <si>
    <t>17/06/2020 11:24 AM</t>
  </si>
  <si>
    <t>15/06/2020 4:29 PM</t>
  </si>
  <si>
    <t>09/06/2020 11:02 AM</t>
  </si>
  <si>
    <t>18/06/2020 8:39 AM</t>
  </si>
  <si>
    <t>24/06/2020 4:43 PM</t>
  </si>
  <si>
    <t>22/06/2020 10:44 PM</t>
  </si>
  <si>
    <t>19/06/2020 3:03 PM</t>
  </si>
  <si>
    <t>22/06/2020 1:31 PM</t>
  </si>
  <si>
    <t>24/06/2020 4:47 PM</t>
  </si>
  <si>
    <t>25/06/2020 11:43 AM</t>
  </si>
  <si>
    <t>19/06/2020 11:12 AM</t>
  </si>
  <si>
    <t>10/06/2020 11:12 AM</t>
  </si>
  <si>
    <t>22/06/2020 4:05 PM</t>
  </si>
  <si>
    <t>22/06/2020 4:08 PM</t>
  </si>
  <si>
    <t>23/06/2020 6:26 PM</t>
  </si>
  <si>
    <t>11/06/2020 3:09 PM</t>
  </si>
  <si>
    <t>09/06/2020 9:26 AM</t>
  </si>
  <si>
    <t>11/06/2020 3:21 PM</t>
  </si>
  <si>
    <t>10/06/2020 8:47 AM</t>
  </si>
  <si>
    <t>08/06/2020 6:11 PM</t>
  </si>
  <si>
    <t>11/06/2020 3:01 PM</t>
  </si>
  <si>
    <t>23/06/2020 6:22 PM</t>
  </si>
  <si>
    <t>18/06/2020 6:31 PM</t>
  </si>
  <si>
    <t>18/06/2020 9:19 AM</t>
  </si>
  <si>
    <t>16/06/2020 7:09 PM</t>
  </si>
  <si>
    <t>18/06/2020 10:49 AM</t>
  </si>
  <si>
    <t>23/06/2020 10:56 PM</t>
  </si>
  <si>
    <t>19/06/2020 2:54 PM</t>
  </si>
  <si>
    <t>11/06/2020 3:25 PM</t>
  </si>
  <si>
    <t>23/06/2020 6:31 PM</t>
  </si>
  <si>
    <t>23/06/2020 6:33 PM</t>
  </si>
  <si>
    <t>18/06/2020 6:26 PM</t>
  </si>
  <si>
    <t>18/06/2020 4:39 PM</t>
  </si>
  <si>
    <t>11/06/2020 3:58 PM</t>
  </si>
  <si>
    <t>04/06/2020 12:00 AM</t>
  </si>
  <si>
    <t>11/06/2020 4:03 PM</t>
  </si>
  <si>
    <t>11/06/2020 4:00 PM</t>
  </si>
  <si>
    <t>16/06/2020 4:42 PM</t>
  </si>
  <si>
    <t>24/06/2020 9:30 AM</t>
  </si>
  <si>
    <t>24/06/2020 4:18 PM</t>
  </si>
  <si>
    <t>17/06/2020 10:10 AM</t>
  </si>
  <si>
    <t>15/06/2020 12:43 PM</t>
  </si>
  <si>
    <t>16/06/2020 12:17 PM</t>
  </si>
  <si>
    <t>23/06/2020 11:39 AM</t>
  </si>
  <si>
    <t>17/06/2020 3:33 PM</t>
  </si>
  <si>
    <t>16/06/2020 12:11 PM</t>
  </si>
  <si>
    <t>22/06/2020 2:13 PM</t>
  </si>
  <si>
    <t>11/06/2020 12:56 PM</t>
  </si>
  <si>
    <t>22/06/2020 2:56 PM</t>
  </si>
  <si>
    <t>16/06/2020 4:02 PM</t>
  </si>
  <si>
    <t>16/06/2020 4:00 PM</t>
  </si>
  <si>
    <t>22/06/2020 2:16 PM</t>
  </si>
  <si>
    <t>23/06/2020 4:20 PM</t>
  </si>
  <si>
    <t>08/06/2020 3:01 PM</t>
  </si>
  <si>
    <t>04/06/2020 4:26 PM</t>
  </si>
  <si>
    <t>22/06/2020 9:55 AM</t>
  </si>
  <si>
    <t>18/06/2020 2:54 PM</t>
  </si>
  <si>
    <t>19/06/2020 9:54 AM</t>
  </si>
  <si>
    <t>18/06/2020 6:42 PM</t>
  </si>
  <si>
    <t>19/06/2020 4:00 PM</t>
  </si>
  <si>
    <t>19/06/2020 9:47 AM</t>
  </si>
  <si>
    <t>20/06/2020 5:40 PM</t>
  </si>
  <si>
    <t>23/06/2020 4:17 PM</t>
  </si>
  <si>
    <t>19/06/2020 10:14 AM</t>
  </si>
  <si>
    <t>11/06/2020 1:49 PM</t>
  </si>
  <si>
    <t>11/06/2020 1:48 PM</t>
  </si>
  <si>
    <t>15/06/2020 5:53 PM</t>
  </si>
  <si>
    <t>19/06/2020 9:20 AM</t>
  </si>
  <si>
    <t>19/06/2020 9:21 AM</t>
  </si>
  <si>
    <t>23/06/2020 4:16 PM</t>
  </si>
  <si>
    <t>19/06/2020 9:45 AM</t>
  </si>
  <si>
    <t>24/06/2020 4:34 PM</t>
  </si>
  <si>
    <t>19/06/2020 9:42 AM</t>
  </si>
  <si>
    <t>11/06/2020 6:50 PM</t>
  </si>
  <si>
    <t>11/06/2020 6:48 PM</t>
  </si>
  <si>
    <t>11/06/2020 6:47 PM</t>
  </si>
  <si>
    <t>11/06/2020 6:45 PM</t>
  </si>
  <si>
    <t>16/06/2020 4:05 PM</t>
  </si>
  <si>
    <t>11/06/2020 6:38 PM</t>
  </si>
  <si>
    <t>11/06/2020 6:49 PM</t>
  </si>
  <si>
    <t>11/06/2020 6:35 PM</t>
  </si>
  <si>
    <t>18/06/2020 5:44 PM</t>
  </si>
  <si>
    <t>22/06/2020 12:06 PM</t>
  </si>
  <si>
    <t>03/06/2020 12:00 AM</t>
  </si>
  <si>
    <t>11/06/2020 6:46 PM</t>
  </si>
  <si>
    <t>22/06/2020 4:13 PM</t>
  </si>
  <si>
    <t>11/06/2020 7:00 PM</t>
  </si>
  <si>
    <t>11/06/2020 6:59 PM</t>
  </si>
  <si>
    <t>11/06/2020 6:39 PM</t>
  </si>
  <si>
    <t>11/06/2020 6:57 PM</t>
  </si>
  <si>
    <t>23/06/2020 9:56 AM</t>
  </si>
  <si>
    <t>19/06/2020 1:23 PM</t>
  </si>
  <si>
    <t>19/06/2020 1:20 PM</t>
  </si>
  <si>
    <t>11/06/2020 6:56 PM</t>
  </si>
  <si>
    <t>11/06/2020 6:55 PM</t>
  </si>
  <si>
    <t>11/06/2020 6:51 PM</t>
  </si>
  <si>
    <t>11/06/2020 6:33 PM</t>
  </si>
  <si>
    <t>11/06/2020 6:27 PM</t>
  </si>
  <si>
    <t>22/06/2020 11:16 AM</t>
  </si>
  <si>
    <t>22/06/2020 6:37 PM</t>
  </si>
  <si>
    <t>10/06/2020 2:42 PM</t>
  </si>
  <si>
    <t>11/06/2020 6:30 PM</t>
  </si>
  <si>
    <t>24/06/2020 4:04 PM</t>
  </si>
  <si>
    <t>15/06/2020 9:41 AM</t>
  </si>
  <si>
    <t>22/06/2020 8:12 PM</t>
  </si>
  <si>
    <t>18/06/2020 4:47 PM</t>
  </si>
  <si>
    <t>19/06/2020 1:22 PM</t>
  </si>
  <si>
    <t>15/06/2020 7:56 PM</t>
  </si>
  <si>
    <t>11/06/2020 6:52 PM</t>
  </si>
  <si>
    <t>18/06/2020 4:53 PM</t>
  </si>
  <si>
    <t>18/06/2020 4:57 PM</t>
  </si>
  <si>
    <t>18/06/2020 2:44 PM</t>
  </si>
  <si>
    <t>08/06/2020 10:45 AM</t>
  </si>
  <si>
    <t>17/06/2020 11:52 AM</t>
  </si>
  <si>
    <t>18/06/2020 12:39 PM</t>
  </si>
  <si>
    <t>18/06/2020 12:37 PM</t>
  </si>
  <si>
    <t>16/06/2020 3:59 PM</t>
  </si>
  <si>
    <t>18/06/2020 12:13 PM</t>
  </si>
  <si>
    <t>18/06/2020 12:25 PM</t>
  </si>
  <si>
    <t>18/06/2020 10:26 AM</t>
  </si>
  <si>
    <t>09/06/2020 4:45 PM</t>
  </si>
  <si>
    <t>23/06/2020 11:30 AM</t>
  </si>
  <si>
    <t>02/06/2020 12:00 AM</t>
  </si>
  <si>
    <t>18/06/2020 11:44 AM</t>
  </si>
  <si>
    <t>18/06/2020 11:39 AM</t>
  </si>
  <si>
    <t>24/06/2020 5:03 PM</t>
  </si>
  <si>
    <t>23/06/2020 4:35 PM</t>
  </si>
  <si>
    <t>09/06/2020 2:18 PM</t>
  </si>
  <si>
    <t>22/06/2020 2:25 PM</t>
  </si>
  <si>
    <t>24/06/2020 5:53 PM</t>
  </si>
  <si>
    <t>19/06/2020 3:31 PM</t>
  </si>
  <si>
    <t>18/06/2020 11:42 AM</t>
  </si>
  <si>
    <t>22/06/2020 2:28 PM</t>
  </si>
  <si>
    <t>24/06/2020 4:37 PM</t>
  </si>
  <si>
    <t>18/06/2020 4:37 PM</t>
  </si>
  <si>
    <t>21/06/2020 12:22 PM</t>
  </si>
  <si>
    <t>24/06/2020 3:48 PM</t>
  </si>
  <si>
    <t>21/06/2020 12:21 PM</t>
  </si>
  <si>
    <t>22/06/2020 5:17 PM</t>
  </si>
  <si>
    <t>21/06/2020 11:50 AM</t>
  </si>
  <si>
    <t>24/06/2020 12:02 PM</t>
  </si>
  <si>
    <t>18/06/2020 10:01 AM</t>
  </si>
  <si>
    <t>22/06/2020 11:21 AM</t>
  </si>
  <si>
    <t>22/06/2020 11:19 AM</t>
  </si>
  <si>
    <t>05/06/2020 5:11 PM</t>
  </si>
  <si>
    <t>22/06/2020 11:26 AM</t>
  </si>
  <si>
    <t>22/06/2020 11:18 AM</t>
  </si>
  <si>
    <t>22/06/2020 11:08 AM</t>
  </si>
  <si>
    <t>22/06/2020 11:32 AM</t>
  </si>
  <si>
    <t>22/06/2020 4:03 PM</t>
  </si>
  <si>
    <t>29/05/2020 12:00 AM</t>
  </si>
  <si>
    <t>30/05/2020 12:00 AM</t>
  </si>
  <si>
    <t>23/06/2020 11:16 AM</t>
  </si>
  <si>
    <t>11/06/2020 4:06 PM</t>
  </si>
  <si>
    <t>23/06/2020 11:18 AM</t>
  </si>
  <si>
    <t>16/06/2020 4:49 PM</t>
  </si>
  <si>
    <t>16/06/2020 4:47 PM</t>
  </si>
  <si>
    <t>16/06/2020 4:46 PM</t>
  </si>
  <si>
    <t>16/06/2020 4:44 PM</t>
  </si>
  <si>
    <t>16/06/2020 4:41 PM</t>
  </si>
  <si>
    <t>17/06/2020 9:53 AM</t>
  </si>
  <si>
    <t>17/06/2020 7:22 PM</t>
  </si>
  <si>
    <t>09/06/2020 10:55 PM</t>
  </si>
  <si>
    <t>18/06/2020 4:58 PM</t>
  </si>
  <si>
    <t>18/06/2020 4:30 PM</t>
  </si>
  <si>
    <t>28/05/2020 12:00 AM</t>
  </si>
  <si>
    <t>18/06/2020 4:20 PM</t>
  </si>
  <si>
    <t>01/06/2020 12:00 AM</t>
  </si>
  <si>
    <t>17/06/2020 9:54 AM</t>
  </si>
  <si>
    <t>22/06/2020 11:11 AM</t>
  </si>
  <si>
    <t>27/05/2020 12:00 AM</t>
  </si>
  <si>
    <t>22/06/2020 11:14 AM</t>
  </si>
  <si>
    <t>23/06/2020 9:31 AM</t>
  </si>
  <si>
    <t>23/06/2020 5:00 PM</t>
  </si>
  <si>
    <t>23/06/2020 5:03 PM</t>
  </si>
  <si>
    <t>23/06/2020 6:30 PM</t>
  </si>
  <si>
    <t>23/06/2020 6:29 PM</t>
  </si>
  <si>
    <t>23/06/2020 6:35 PM</t>
  </si>
  <si>
    <t>23/06/2020 6:38 PM</t>
  </si>
  <si>
    <t>16/06/2020 8:54 PM</t>
  </si>
  <si>
    <t>26/05/2020 12:00 AM</t>
  </si>
  <si>
    <t>23/06/2020 6:39 PM</t>
  </si>
  <si>
    <t>23/06/2020 4:06 PM</t>
  </si>
  <si>
    <t>22/06/2020 8:17 PM</t>
  </si>
  <si>
    <t>23/06/2020 6:36 PM</t>
  </si>
  <si>
    <t>22/06/2020 8:09 PM</t>
  </si>
  <si>
    <t>22/05/2020 12:00 AM</t>
  </si>
  <si>
    <t>04/06/2020 1:51 PM</t>
  </si>
  <si>
    <t>22/06/2020 8:14 PM</t>
  </si>
  <si>
    <t>23/06/2020 8:14 AM</t>
  </si>
  <si>
    <t>22/06/2020 8:07 PM</t>
  </si>
  <si>
    <t>19/06/2020 5:36 PM</t>
  </si>
  <si>
    <t>23/06/2020 6:24 PM</t>
  </si>
  <si>
    <t>19/06/2020 10:40 PM</t>
  </si>
  <si>
    <t>23/06/2020 6:28 PM</t>
  </si>
  <si>
    <t>24/06/2020 5:42 PM</t>
  </si>
  <si>
    <t>23/06/2020 6:27 PM</t>
  </si>
  <si>
    <t>23/06/2020 1:13 PM</t>
  </si>
  <si>
    <t>01/06/2020 2:45 PM</t>
  </si>
  <si>
    <t>01/06/2020 2:44 PM</t>
  </si>
  <si>
    <t>22/06/2020 7:40 PM</t>
  </si>
  <si>
    <t>17/06/2020 3:44 PM</t>
  </si>
  <si>
    <t>24/05/2020 12:00 AM</t>
  </si>
  <si>
    <t>22/06/2020 2:53 PM</t>
  </si>
  <si>
    <t>24/06/2020 3:41 PM</t>
  </si>
  <si>
    <t>16/06/2020 3:55 PM</t>
  </si>
  <si>
    <t>18/06/2020 7:35 PM</t>
  </si>
  <si>
    <t>24/06/2020 5:26 PM</t>
  </si>
  <si>
    <t>25/06/2020 7:41 AM</t>
  </si>
  <si>
    <t>23/06/2020 6:40 PM</t>
  </si>
  <si>
    <t>18/06/2020 5:11 PM</t>
  </si>
  <si>
    <t>24/06/2020 5:48 PM</t>
  </si>
  <si>
    <t>25/06/2020 7:55 AM</t>
  </si>
  <si>
    <t>30/05/2020 2:13 PM</t>
  </si>
  <si>
    <t>19/05/2020 6:10 PM</t>
  </si>
  <si>
    <t>23/06/2020 7:43 PM</t>
  </si>
  <si>
    <t>24/06/2020 2:41 PM</t>
  </si>
  <si>
    <t>24/06/2020 2:28 PM</t>
  </si>
  <si>
    <t>24/06/2020 2:38 PM</t>
  </si>
  <si>
    <t>30/05/2020 2:10 PM</t>
  </si>
  <si>
    <t>24/06/2020 1:50 PM</t>
  </si>
  <si>
    <t>23/06/2020 9:07 AM</t>
  </si>
  <si>
    <t>08/06/2020 11:42 AM</t>
  </si>
  <si>
    <t>20/05/2020 12:00 AM</t>
  </si>
  <si>
    <t>08/06/2020 11:45 AM</t>
  </si>
  <si>
    <t>08/06/2020 11:47 AM</t>
  </si>
  <si>
    <t>23/06/2020 1:46 PM</t>
  </si>
  <si>
    <t>19/06/2020 1:58 PM</t>
  </si>
  <si>
    <t>16/06/2020 12:30 PM</t>
  </si>
  <si>
    <t>23/06/2020 11:34 AM</t>
  </si>
  <si>
    <t>30/05/2020 2:25 PM</t>
  </si>
  <si>
    <t>19/06/2020 2:11 PM</t>
  </si>
  <si>
    <t>15/06/2020 3:25 PM</t>
  </si>
  <si>
    <t>23/06/2020 1:55 PM</t>
  </si>
  <si>
    <t>12/05/2020 12:00 AM</t>
  </si>
  <si>
    <t>18/06/2020 1:17 PM</t>
  </si>
  <si>
    <t>10/06/2020 9:59 AM</t>
  </si>
  <si>
    <t>18/06/2020 1:37 PM</t>
  </si>
  <si>
    <t>17/06/2020 10:34 AM</t>
  </si>
  <si>
    <t>17/06/2020 10:06 AM</t>
  </si>
  <si>
    <t>29/05/2020 4:05 PM</t>
  </si>
  <si>
    <t>17/06/2020 1:54 PM</t>
  </si>
  <si>
    <t>17/06/2020 2:10 PM</t>
  </si>
  <si>
    <t>17/06/2020 9:55 AM</t>
  </si>
  <si>
    <t>17/06/2020 10:00 AM</t>
  </si>
  <si>
    <t>23/06/2020 2:02 PM</t>
  </si>
  <si>
    <t>27/04/2020 12:00 AM</t>
  </si>
  <si>
    <t>30/05/2020 2:16 PM</t>
  </si>
  <si>
    <t>18/06/2020 1:31 PM</t>
  </si>
  <si>
    <t>30/05/2020 2:19 PM</t>
  </si>
  <si>
    <t>30/05/2020 2:28 PM</t>
  </si>
  <si>
    <t>24/06/2020 9:13 AM</t>
  </si>
  <si>
    <t>17/06/2020 1:45 PM</t>
  </si>
  <si>
    <t>23/06/2020 2:10 PM</t>
  </si>
  <si>
    <t>30/05/2020 2:22 PM</t>
  </si>
  <si>
    <t>24/06/2020 5:49 PM</t>
  </si>
  <si>
    <t>23/06/2020 2:04 PM</t>
  </si>
  <si>
    <t>14/06/2020 7:59 AM</t>
  </si>
  <si>
    <t>24/06/2020 5:56 PM</t>
  </si>
  <si>
    <t>23/06/2020 11:43 AM</t>
  </si>
  <si>
    <t>11/06/2020 10:25 AM</t>
  </si>
  <si>
    <t>22/06/2020 2:36 PM</t>
  </si>
  <si>
    <t>09/06/2020 3:36 PM</t>
  </si>
  <si>
    <t>24/06/2020 9:26 AM</t>
  </si>
  <si>
    <t>16/06/2020 4:40 PM</t>
  </si>
  <si>
    <t>16/06/2020 4:34 PM</t>
  </si>
  <si>
    <t>16/06/2020 4:59 PM</t>
  </si>
  <si>
    <t>16/06/2020 4:28 PM</t>
  </si>
  <si>
    <t>16/06/2020 4:48 PM</t>
  </si>
  <si>
    <t>17/06/2020 2:12 PM</t>
  </si>
  <si>
    <t>16/06/2020 5:01 PM</t>
  </si>
  <si>
    <t>06/04/2020 12:00 AM</t>
  </si>
  <si>
    <t>23/06/2020 2:54 PM</t>
  </si>
  <si>
    <t>16/06/2020 4:51 PM</t>
  </si>
  <si>
    <t>16/06/2020 4:36 PM</t>
  </si>
  <si>
    <t>15/06/2020 4:39 PM</t>
  </si>
  <si>
    <t>05/06/2020 11:33 AM</t>
  </si>
  <si>
    <t>16/06/2020 4:32 PM</t>
  </si>
  <si>
    <t>23/06/2020 3:47 PM</t>
  </si>
  <si>
    <t>16/06/2020 4:25 PM</t>
  </si>
  <si>
    <t>25/06/2020 10:15 AM</t>
  </si>
  <si>
    <t>22/06/2020 8:00 PM</t>
  </si>
  <si>
    <t>06/05/2020 9:22 AM</t>
  </si>
  <si>
    <t>22/06/2020 3:22 PM</t>
  </si>
  <si>
    <t>06/05/2020 9:20 AM</t>
  </si>
  <si>
    <t>19/06/2020 2:12 PM</t>
  </si>
  <si>
    <t>09/06/2020 4:16 PM</t>
  </si>
  <si>
    <t>23/06/2020 3:27 PM</t>
  </si>
  <si>
    <t>23/06/2020 3:22 PM</t>
  </si>
  <si>
    <t>04/06/2020 2:18 PM</t>
  </si>
  <si>
    <t>15/06/2020 4:32 PM</t>
  </si>
  <si>
    <t>22/06/2020 8:02 PM</t>
  </si>
  <si>
    <t>16/06/2020 11:55 AM</t>
  </si>
  <si>
    <t>16/06/2020 4:17 PM</t>
  </si>
  <si>
    <t>17/06/2020 5:26 PM</t>
  </si>
  <si>
    <t>16/06/2020 11:34 AM</t>
  </si>
  <si>
    <t>11/06/2020 7:53 PM</t>
  </si>
  <si>
    <t>20/04/2020 4:07 PM</t>
  </si>
  <si>
    <t>16/06/2020 11:37 AM</t>
  </si>
  <si>
    <t>24/06/2020 6:09 PM</t>
  </si>
  <si>
    <t>22/06/2020 8:03 PM</t>
  </si>
  <si>
    <t>15/06/2020 4:27 PM</t>
  </si>
  <si>
    <t>16/06/2020 9:55 AM</t>
  </si>
  <si>
    <t>16/06/2020 4:15 PM</t>
  </si>
  <si>
    <t>23/06/2020 3:19 PM</t>
  </si>
  <si>
    <t>16/06/2020 4:20 PM</t>
  </si>
  <si>
    <t>23/06/2020 4:21 PM</t>
  </si>
  <si>
    <t>23/06/2020 3:16 PM</t>
  </si>
  <si>
    <t>22/06/2020 5:19 PM</t>
  </si>
  <si>
    <t>22/06/2020 5:14 PM</t>
  </si>
  <si>
    <t>22/06/2020 5:07 PM</t>
  </si>
  <si>
    <t>23/06/2020 3:11 PM</t>
  </si>
  <si>
    <t>22/06/2020 5:08 PM</t>
  </si>
  <si>
    <t>16/06/2020 6:49 PM</t>
  </si>
  <si>
    <t>19/06/2020 2:33 PM</t>
  </si>
  <si>
    <t>22/06/2020 5:12 PM</t>
  </si>
  <si>
    <t>16/06/2020 11:29 AM</t>
  </si>
  <si>
    <t>18/06/2020 2:17 PM</t>
  </si>
  <si>
    <t>16/06/2020 11:52 AM</t>
  </si>
  <si>
    <t>18/06/2020 1:21 PM</t>
  </si>
  <si>
    <t>23/06/2020 3:28 PM</t>
  </si>
  <si>
    <t>18/06/2020 2:47 PM</t>
  </si>
  <si>
    <t>16/06/2020 11:07 AM</t>
  </si>
  <si>
    <t>23/06/2020 7:32 PM</t>
  </si>
  <si>
    <t>18/06/2020 2:45 PM</t>
  </si>
  <si>
    <t>16/06/2020 10:39 PM</t>
  </si>
  <si>
    <t>24/06/2020 12:21 PM</t>
  </si>
  <si>
    <t>23/06/2020 7:03 PM</t>
  </si>
  <si>
    <t>24/06/2020 12:16 PM</t>
  </si>
  <si>
    <t>05/05/2020 1:00 PM</t>
  </si>
  <si>
    <t>19/06/2020 4:25 PM</t>
  </si>
  <si>
    <t>23/06/2020 3:26 PM</t>
  </si>
  <si>
    <t>10/06/2020 10:22 AM</t>
  </si>
  <si>
    <t>24/06/2020 11:17 AM</t>
  </si>
  <si>
    <t>16/06/2020 10:30 PM</t>
  </si>
  <si>
    <t>10/06/2020 9:55 AM</t>
  </si>
  <si>
    <t>10/06/2020 9:50 AM</t>
  </si>
  <si>
    <t>10/06/2020 9:41 AM</t>
  </si>
  <si>
    <t>11/06/2020 9:16 AM</t>
  </si>
  <si>
    <t>17/06/2020 9:42 AM</t>
  </si>
  <si>
    <t>16/06/2020 10:57 AM</t>
  </si>
  <si>
    <t>10/06/2020 10:08 AM</t>
  </si>
  <si>
    <t>10/06/2020 9:36 AM</t>
  </si>
  <si>
    <t>18/06/2020 2:25 PM</t>
  </si>
  <si>
    <t>18/06/2020 2:23 PM</t>
  </si>
  <si>
    <t>16/06/2020 11:32 AM</t>
  </si>
  <si>
    <t>18/06/2020 2:12 PM</t>
  </si>
  <si>
    <t>22/06/2020 5:26 PM</t>
  </si>
  <si>
    <t>18/06/2020 2:31 PM</t>
  </si>
  <si>
    <t>15/06/2020 10:42 AM</t>
  </si>
  <si>
    <t>24/06/2020 5:34 PM</t>
  </si>
  <si>
    <t>19/06/2020 2:06 PM</t>
  </si>
  <si>
    <t>19/06/2020 2:23 PM</t>
  </si>
  <si>
    <t>16/06/2020 11:03 AM</t>
  </si>
  <si>
    <t>18/06/2020 2:33 PM</t>
  </si>
  <si>
    <t>26/05/2020 12:45 PM</t>
  </si>
  <si>
    <t>16/06/2020 10:54 AM</t>
  </si>
  <si>
    <t>22/06/2020 1:24 PM</t>
  </si>
  <si>
    <t>19/06/2020 9:33 AM</t>
  </si>
  <si>
    <t>19/06/2020 9:25 AM</t>
  </si>
  <si>
    <t>19/06/2020 9:37 AM</t>
  </si>
  <si>
    <t>23/06/2020 7:28 PM</t>
  </si>
  <si>
    <t>19/06/2020 9:39 AM</t>
  </si>
  <si>
    <t>13/05/2020 11:17 AM</t>
  </si>
  <si>
    <t>06/06/2020 8:08 AM</t>
  </si>
  <si>
    <t>13/05/2020 11:16 AM</t>
  </si>
  <si>
    <t>24/06/2020 4:00 PM</t>
  </si>
  <si>
    <t>19/06/2020 9:22 AM</t>
  </si>
  <si>
    <t>19/06/2020 9:32 AM</t>
  </si>
  <si>
    <t>17/06/2020 1:01 PM</t>
  </si>
  <si>
    <t>13/05/2020 11:13 AM</t>
  </si>
  <si>
    <t>18/06/2020 2:13 PM</t>
  </si>
  <si>
    <t>05/06/2020 11:49 AM</t>
  </si>
  <si>
    <t>10/06/2020 9:00 AM</t>
  </si>
  <si>
    <t>11/06/2020 4:32 PM</t>
  </si>
  <si>
    <t>09/06/2020 4:37 PM</t>
  </si>
  <si>
    <t>05/06/2020 4:20 PM</t>
  </si>
  <si>
    <t>18/06/2020 2:26 PM</t>
  </si>
  <si>
    <t>15/06/2020 9:13 AM</t>
  </si>
  <si>
    <t>18/06/2020 3:56 PM</t>
  </si>
  <si>
    <t>21/05/2020 12:35 PM</t>
  </si>
  <si>
    <t>25/06/2020 11:29 AM</t>
  </si>
  <si>
    <t>21/05/2020 12:32 PM</t>
  </si>
  <si>
    <t>22/06/2020 2:24 PM</t>
  </si>
  <si>
    <t>21/05/2020 12:29 PM</t>
  </si>
  <si>
    <t>17/06/2020 4:25 PM</t>
  </si>
  <si>
    <t>13/05/2020 11:14 AM</t>
  </si>
  <si>
    <t>24/06/2020 3:14 PM</t>
  </si>
  <si>
    <t>23/06/2020 4:29 PM</t>
  </si>
  <si>
    <t>17/06/2020 3:47 PM</t>
  </si>
  <si>
    <t>24/06/2020 4:01 PM</t>
  </si>
  <si>
    <t>17/06/2020 3:46 PM</t>
  </si>
  <si>
    <t>24/06/2020 3:07 PM</t>
  </si>
  <si>
    <t>02/06/2020 4:39 PM</t>
  </si>
  <si>
    <t>16/06/2020 2:27 PM</t>
  </si>
  <si>
    <t>17/06/2020 3:45 PM</t>
  </si>
  <si>
    <t>24/06/2020 10:59 PM</t>
  </si>
  <si>
    <t>18/06/2020 3:49 PM</t>
  </si>
  <si>
    <t>12/06/2020 1:45 PM</t>
  </si>
  <si>
    <t>24/06/2020 7:01 PM</t>
  </si>
  <si>
    <t>24/06/2020 7:03 PM</t>
  </si>
  <si>
    <t>15/06/2020 9:08 AM</t>
  </si>
  <si>
    <t>24/06/2020 5:33 PM</t>
  </si>
  <si>
    <t>24/06/2020 5:30 PM</t>
  </si>
  <si>
    <t>24/06/2020 5:29 PM</t>
  </si>
  <si>
    <t>04/06/2020 9:00 AM</t>
  </si>
  <si>
    <t>06/06/2020 6:21 AM</t>
  </si>
  <si>
    <t>16/06/2020 9:59 AM</t>
  </si>
  <si>
    <t>24/06/2020 5:32 PM</t>
  </si>
  <si>
    <t>11/06/2020 3:17 PM</t>
  </si>
  <si>
    <t>16/06/2020 5:25 PM</t>
  </si>
  <si>
    <t>16/06/2020 10:53 AM</t>
  </si>
  <si>
    <t>20/06/2020 8:29 AM</t>
  </si>
  <si>
    <t>19/06/2020 8:14 AM</t>
  </si>
  <si>
    <t>22/05/2020 10:12 PM</t>
  </si>
  <si>
    <t>19/06/2020 8:18 AM</t>
  </si>
  <si>
    <t>24/06/2020 5:39 PM</t>
  </si>
  <si>
    <t>24/06/2020 5:25 PM</t>
  </si>
  <si>
    <t>24/06/2020 10:57 AM</t>
  </si>
  <si>
    <t>24/06/2020 10:41 AM</t>
  </si>
  <si>
    <t>17/06/2020 5:24 PM</t>
  </si>
  <si>
    <t>26/05/2020 12:31 PM</t>
  </si>
  <si>
    <t>15/06/2020 9:07 AM</t>
  </si>
  <si>
    <t>08/06/2020 6:07 PM</t>
  </si>
  <si>
    <t>23/06/2020 7:49 AM</t>
  </si>
  <si>
    <t>05/06/2020 4:56 PM</t>
  </si>
  <si>
    <t>24/06/2020 11:34 AM</t>
  </si>
  <si>
    <t>15/06/2020 4:08 PM</t>
  </si>
  <si>
    <t>08/06/2020 6:12 PM</t>
  </si>
  <si>
    <t>23/06/2020 3:50 PM</t>
  </si>
  <si>
    <t>23/06/2020 7:05 PM</t>
  </si>
  <si>
    <t>24/06/2020 10:06 PM</t>
  </si>
  <si>
    <t>22/06/2020 7:09 AM</t>
  </si>
  <si>
    <t>06/06/2020 8:16 AM</t>
  </si>
  <si>
    <t>23/06/2020 4:15 PM</t>
  </si>
  <si>
    <t>15/06/2020 4:36 PM</t>
  </si>
  <si>
    <t>15/06/2020 4:34 PM</t>
  </si>
  <si>
    <t>15/06/2020 4:23 PM</t>
  </si>
  <si>
    <t>21/05/2020 12:12 PM</t>
  </si>
  <si>
    <t>23/06/2020 7:04 PM</t>
  </si>
  <si>
    <t>29/05/2020 4:06 PM</t>
  </si>
  <si>
    <t>06/06/2020 5:13 AM</t>
  </si>
  <si>
    <t>23/06/2020 7:22 PM</t>
  </si>
  <si>
    <t>20/06/2020 8:28 AM</t>
  </si>
  <si>
    <t>23/06/2020 7:19 PM</t>
  </si>
  <si>
    <t>05/06/2020 5:09 PM</t>
  </si>
  <si>
    <t>23/06/2020 10:20 AM</t>
  </si>
  <si>
    <t>23/06/2020 7:15 PM</t>
  </si>
  <si>
    <t>04/06/2020 8:59 AM</t>
  </si>
  <si>
    <t>21/06/2020 10:50 PM</t>
  </si>
  <si>
    <t>04/06/2020 8:57 AM</t>
  </si>
  <si>
    <t>23/06/2020 7:20 PM</t>
  </si>
  <si>
    <t>28/02/2020 2:06 PM</t>
  </si>
  <si>
    <t>24/06/2020 5:06 PM</t>
  </si>
  <si>
    <t>08/06/2020 4:14 PM</t>
  </si>
  <si>
    <t>21/06/2020 10:47 PM</t>
  </si>
  <si>
    <t>23/06/2020 4:45 PM</t>
  </si>
  <si>
    <t>29/05/2020 4:03 PM</t>
  </si>
  <si>
    <t>23/06/2020 4:43 PM</t>
  </si>
  <si>
    <t>09/06/2020 7:48 AM</t>
  </si>
  <si>
    <t>25/06/2020 11:27 AM</t>
  </si>
  <si>
    <t>08/06/2020 4:13 PM</t>
  </si>
  <si>
    <t>10/06/2020 11:43 AM</t>
  </si>
  <si>
    <t>10/06/2020 11:42 AM</t>
  </si>
  <si>
    <t>15/06/2020 4:10 PM</t>
  </si>
  <si>
    <t>23/06/2020 7:21 PM</t>
  </si>
  <si>
    <t>16/06/2020 2:49 PM</t>
  </si>
  <si>
    <t>16/06/2020 10:01 AM</t>
  </si>
  <si>
    <t>23/06/2020 7:34 PM</t>
  </si>
  <si>
    <t>19/06/2020 3:02 PM</t>
  </si>
  <si>
    <t>23/06/2020 7:47 AM</t>
  </si>
  <si>
    <t>21/06/2020 10:43 PM</t>
  </si>
  <si>
    <t>21/06/2020 10:36 PM</t>
  </si>
  <si>
    <t>23/06/2020 7:11 PM</t>
  </si>
  <si>
    <t>24/06/2020 4:38 PM</t>
  </si>
  <si>
    <t>21/06/2020 10:44 PM</t>
  </si>
  <si>
    <t>19/06/2020 3:13 PM</t>
  </si>
  <si>
    <t>21/06/2020 10:40 PM</t>
  </si>
  <si>
    <t>23/06/2020 3:09 PM</t>
  </si>
  <si>
    <t>21/05/2020 3:47 PM</t>
  </si>
  <si>
    <t>23/06/2020 7:24 PM</t>
  </si>
  <si>
    <t>25/06/2020 11:19 AM</t>
  </si>
  <si>
    <t>16/06/2020 5:30 PM</t>
  </si>
  <si>
    <t>19/06/2020 4:31 PM</t>
  </si>
  <si>
    <t>26/05/2020 12:16 PM</t>
  </si>
  <si>
    <t>22/06/2020 3:11 PM</t>
  </si>
  <si>
    <t>24/06/2020 10:19 AM</t>
  </si>
  <si>
    <t>23/06/2020 7:33 PM</t>
  </si>
  <si>
    <t>19/06/2020 4:27 PM</t>
  </si>
  <si>
    <t>19/06/2020 12:32 PM</t>
  </si>
  <si>
    <t>19/06/2020 12:33 PM</t>
  </si>
  <si>
    <t>23/06/2020 5:47 PM</t>
  </si>
  <si>
    <t>24/06/2020 11:01 AM</t>
  </si>
  <si>
    <t>17/06/2020 3:43 PM</t>
  </si>
  <si>
    <t>22/06/2020 3:55 PM</t>
  </si>
  <si>
    <t>05/06/2020 4:47 PM</t>
  </si>
  <si>
    <t>06/06/2020 6:59 AM</t>
  </si>
  <si>
    <t>19/06/2020 12:34 PM</t>
  </si>
  <si>
    <t>19/06/2020 2:39 PM</t>
  </si>
  <si>
    <t>06/06/2020 7:48 AM</t>
  </si>
  <si>
    <t>15/06/2020 2:31 PM</t>
  </si>
  <si>
    <t>15/06/2020 4:05 PM</t>
  </si>
  <si>
    <t>19/06/2020 2:07 PM</t>
  </si>
  <si>
    <t>13/05/2020 11:10 AM</t>
  </si>
  <si>
    <t>24/06/2020 5:28 PM</t>
  </si>
  <si>
    <t>21/06/2020 2:01 PM</t>
  </si>
  <si>
    <t>15/06/2020 4:03 PM</t>
  </si>
  <si>
    <t>24/06/2020 3:59 PM</t>
  </si>
  <si>
    <t>23/06/2020 8:44 PM</t>
  </si>
  <si>
    <t>23/06/2020 8:42 PM</t>
  </si>
  <si>
    <t>23/06/2020 8:48 PM</t>
  </si>
  <si>
    <t>23/06/2020 8:46 PM</t>
  </si>
  <si>
    <t>23/06/2020 9:12 PM</t>
  </si>
  <si>
    <t>13/05/2020 11:12 AM</t>
  </si>
  <si>
    <t>21/06/2020 10:05 PM</t>
  </si>
  <si>
    <t>21/06/2020 12:17 AM</t>
  </si>
  <si>
    <t>16/06/2020 9:22 PM</t>
  </si>
  <si>
    <t>23/06/2020 9:15 PM</t>
  </si>
  <si>
    <t>11/06/2020 8:15 AM</t>
  </si>
  <si>
    <t>21/06/2020 2:08 PM</t>
  </si>
  <si>
    <t>23/06/2020 4:56 PM</t>
  </si>
  <si>
    <t>21/06/2020 12:03 AM</t>
  </si>
  <si>
    <t>23/06/2020 8:27 AM</t>
  </si>
  <si>
    <t>01/06/2020 9:34 PM</t>
  </si>
  <si>
    <t>21/06/2020 3:12 PM</t>
  </si>
  <si>
    <t>16/06/2020 5:00 PM</t>
  </si>
  <si>
    <t>21/06/2020 3:09 PM</t>
  </si>
  <si>
    <t>23/06/2020 4:57 PM</t>
  </si>
  <si>
    <t>21/06/2020 2:05 PM</t>
  </si>
  <si>
    <t>17/06/2020 4:28 PM</t>
  </si>
  <si>
    <t>21/06/2020 10:34 PM</t>
  </si>
  <si>
    <t>16/06/2020 10:50 AM</t>
  </si>
  <si>
    <t>17/06/2020 3:40 PM</t>
  </si>
  <si>
    <t>16/06/2020 11:46 AM</t>
  </si>
  <si>
    <t>23/06/2020 11:32 AM</t>
  </si>
  <si>
    <t>18/06/2020 9:25 AM</t>
  </si>
  <si>
    <t>16/06/2020 4:07 PM</t>
  </si>
  <si>
    <t>16/06/2020 11:42 AM</t>
  </si>
  <si>
    <t>06/06/2020 5:55 AM</t>
  </si>
  <si>
    <t>24/06/2020 6:04 PM</t>
  </si>
  <si>
    <t>15/06/2020 4:47 PM</t>
  </si>
  <si>
    <t>18/06/2020 5:14 PM</t>
  </si>
  <si>
    <t>22/06/2020 3:45 PM</t>
  </si>
  <si>
    <t>23/06/2020 7:07 PM</t>
  </si>
  <si>
    <t>24/06/2020 6:03 PM</t>
  </si>
  <si>
    <t>15/06/2020 4:37 PM</t>
  </si>
  <si>
    <t>16/06/2020 4:04 PM</t>
  </si>
  <si>
    <t>19/06/2020 9:28 AM</t>
  </si>
  <si>
    <t>08/06/2020 1:51 PM</t>
  </si>
  <si>
    <t>24/06/2020 5:38 PM</t>
  </si>
  <si>
    <t>08/06/2020 1:43 PM</t>
  </si>
  <si>
    <t>24/06/2020 5:36 PM</t>
  </si>
  <si>
    <t>16/06/2020 3:58 PM</t>
  </si>
  <si>
    <t>22/05/2020 3:26 PM</t>
  </si>
  <si>
    <t>19/06/2020 10:15 AM</t>
  </si>
  <si>
    <t>22/06/2020 11:23 AM</t>
  </si>
  <si>
    <t>24/06/2020 9:22 AM</t>
  </si>
  <si>
    <t>24/06/2020 4:17 PM</t>
  </si>
  <si>
    <t>21/06/2020 3:18 PM</t>
  </si>
  <si>
    <t>20/06/2020 9:31 PM</t>
  </si>
  <si>
    <t>15/06/2020 2:32 PM</t>
  </si>
  <si>
    <t>15/06/2020 4:16 PM</t>
  </si>
  <si>
    <t>21/06/2020 10:22 PM</t>
  </si>
  <si>
    <t>12/06/2020 9:43 AM</t>
  </si>
  <si>
    <t>20/06/2020 9:35 PM</t>
  </si>
  <si>
    <t>14/04/2020 12:00 AM</t>
  </si>
  <si>
    <t>17/06/2020 3:31 PM</t>
  </si>
  <si>
    <t>17/06/2020 7:25 PM</t>
  </si>
  <si>
    <t>04/06/2020 2:43 PM</t>
  </si>
  <si>
    <t>23/06/2020 4:59 PM</t>
  </si>
  <si>
    <t>22/06/2020 3:37 PM</t>
  </si>
  <si>
    <t>23/06/2020 1:18 PM</t>
  </si>
  <si>
    <t>16/06/2020 4:29 PM</t>
  </si>
  <si>
    <t>18/06/2020 4:35 PM</t>
  </si>
  <si>
    <t>03/06/2020 3:00 PM</t>
  </si>
  <si>
    <t>08/06/2020 11:26 AM</t>
  </si>
  <si>
    <t>18/06/2020 12:21 PM</t>
  </si>
  <si>
    <t>18/06/2020 6:29 PM</t>
  </si>
  <si>
    <t>18/06/2020 6:27 PM</t>
  </si>
  <si>
    <t>15/06/2020 5:47 PM</t>
  </si>
  <si>
    <t>18/06/2020 6:30 PM</t>
  </si>
  <si>
    <t>18/06/2020 4:49 PM</t>
  </si>
  <si>
    <t>08/06/2020 1:38 PM</t>
  </si>
  <si>
    <t>22/06/2020 8:35 PM</t>
  </si>
  <si>
    <t>16/06/2020 3:36 PM</t>
  </si>
  <si>
    <t>19/06/2020 2:31 PM</t>
  </si>
  <si>
    <t>19/06/2020 1:42 PM</t>
  </si>
  <si>
    <t>23/06/2020 9:15 AM</t>
  </si>
  <si>
    <t>10/06/2020 12:02 PM</t>
  </si>
  <si>
    <t>17/06/2020 3:17 PM</t>
  </si>
  <si>
    <t>22/06/2020 2:29 PM</t>
  </si>
  <si>
    <t>22/06/2020 8:46 PM</t>
  </si>
  <si>
    <t>18/06/2020 9:55 AM</t>
  </si>
  <si>
    <t>02/07/2020 5:00 PM</t>
  </si>
  <si>
    <t>07/07/2020 10:00 AM</t>
  </si>
  <si>
    <t>09/07/2020 10:00 AM</t>
  </si>
  <si>
    <t>29/06/2020 5:30 PM</t>
  </si>
  <si>
    <t>06/07/2020 8:00 AM</t>
  </si>
  <si>
    <t>14/07/2020 9:00 AM</t>
  </si>
  <si>
    <t>29/06/2020 8:00 AM</t>
  </si>
  <si>
    <t>09/07/2020 1:00 AM</t>
  </si>
  <si>
    <t>29/06/2020 1:00 AM</t>
  </si>
  <si>
    <t>14/07/2020 10:00 AM</t>
  </si>
  <si>
    <t>29/06/2020 10:00 AM</t>
  </si>
  <si>
    <t>15/07/2020 10:00 AM</t>
  </si>
  <si>
    <t>03/07/2020 2:00 PM</t>
  </si>
  <si>
    <t>03/07/2020 5:00 PM</t>
  </si>
  <si>
    <t>02/07/2020 10:00 AM</t>
  </si>
  <si>
    <t>02/07/2020 9:00 AM</t>
  </si>
  <si>
    <t>02/07/2020 2:30 PM</t>
  </si>
  <si>
    <t>30/06/2020 9:00 AM</t>
  </si>
  <si>
    <t>02/07/2020 1:30 PM</t>
  </si>
  <si>
    <t>02/07/2020 2:00 PM</t>
  </si>
  <si>
    <t>14/07/2020 11:00 PM</t>
  </si>
  <si>
    <t>14/07/2020 2:30 PM</t>
  </si>
  <si>
    <t>15/07/2020 1:30 PM</t>
  </si>
  <si>
    <t>15/07/2020 8:00 AM</t>
  </si>
  <si>
    <t>21/07/2020 12:00 PM</t>
  </si>
  <si>
    <t>06/07/2020 2:00 PM</t>
  </si>
  <si>
    <t>02/07/2020 1:00 PM</t>
  </si>
  <si>
    <t>07/07/2020 9:00 AM</t>
  </si>
  <si>
    <t>22/07/2020 12:00 PM</t>
  </si>
  <si>
    <t>16/07/2020 2:00 PM</t>
  </si>
  <si>
    <t>23/07/2020 12:00 PM</t>
  </si>
  <si>
    <t>01/07/2020 11:59 PM</t>
  </si>
  <si>
    <t>24/07/2020 12:00 PM</t>
  </si>
  <si>
    <t>29/06/2020 9:00 AM</t>
  </si>
  <si>
    <t>02/07/2020 1:00 AM</t>
  </si>
  <si>
    <t>29/06/2020 1:00 PM</t>
  </si>
  <si>
    <t>03/07/2020 8:59 AM</t>
  </si>
  <si>
    <t>03/07/2020 10:00 AM</t>
  </si>
  <si>
    <t>29/06/2020 12:00 PM</t>
  </si>
  <si>
    <t>29/06/2020 10:30 AM</t>
  </si>
  <si>
    <t>29/06/2020 4:00 PM</t>
  </si>
  <si>
    <t>17/07/2020 1:00 PM</t>
  </si>
  <si>
    <t>16/07/2020 9:00 AM</t>
  </si>
  <si>
    <t>26/06/2020 1:00 AM</t>
  </si>
  <si>
    <t>09/07/2020 5:00 PM</t>
  </si>
  <si>
    <t>29/06/2020 5:00 PM</t>
  </si>
  <si>
    <t>15/07/2020 2:00 PM</t>
  </si>
  <si>
    <t>30/06/2020 1:00 PM</t>
  </si>
  <si>
    <t>30/06/2020 11:45 AM</t>
  </si>
  <si>
    <t>15/07/2020 5:00 PM</t>
  </si>
  <si>
    <t>14/07/2020 1:00 AM</t>
  </si>
  <si>
    <t>20/07/2020 9:00 AM</t>
  </si>
  <si>
    <t>14/07/2020 1:30 PM</t>
  </si>
  <si>
    <t>06/07/2020 5:00 PM</t>
  </si>
  <si>
    <t>14/07/2020 11:00 AM</t>
  </si>
  <si>
    <t>16/07/2020 1:00 AM</t>
  </si>
  <si>
    <t>30/06/2020 11:00 AM</t>
  </si>
  <si>
    <t>01/07/2020 10:00 AM</t>
  </si>
  <si>
    <t>15/07/2020 1:00 PM</t>
  </si>
  <si>
    <t>15/07/2020 9:00 AM</t>
  </si>
  <si>
    <t>30/06/2020 3:00 PM</t>
  </si>
  <si>
    <t>16/07/2020 12:00 PM</t>
  </si>
  <si>
    <t>14/07/2020 1:00 PM</t>
  </si>
  <si>
    <t>14/07/2020 2:00 PM</t>
  </si>
  <si>
    <t>16/07/2020 10:00 AM</t>
  </si>
  <si>
    <t>01/07/2020 1:00 AM</t>
  </si>
  <si>
    <t>14/07/2020 1:45 PM</t>
  </si>
  <si>
    <t>03/07/2020 1:00 PM</t>
  </si>
  <si>
    <t>01/07/2020 9:30 AM</t>
  </si>
  <si>
    <t>30/06/2020 5:00 PM</t>
  </si>
  <si>
    <t>10/07/2020 8:00 AM</t>
  </si>
  <si>
    <t>30/06/2020 2:00 PM</t>
  </si>
  <si>
    <t>30/06/2020 10:00 AM</t>
  </si>
  <si>
    <t>06/07/2020 10:00 AM</t>
  </si>
  <si>
    <t>01/07/2020 9:00 AM</t>
  </si>
  <si>
    <t>29/06/2020 3:00 PM</t>
  </si>
  <si>
    <t>26/06/2020 10:00 AM</t>
  </si>
  <si>
    <t>14/07/2020 8:00 AM</t>
  </si>
  <si>
    <t>26/06/2020 7:09 AM</t>
  </si>
  <si>
    <t>26/06/2020 1:00 PM</t>
  </si>
  <si>
    <t>02/07/2020 8:00 AM</t>
  </si>
  <si>
    <t>10/07/2020 1:00 AM</t>
  </si>
  <si>
    <t>29/06/2020 2:00 PM</t>
  </si>
  <si>
    <t>06/07/2020 8:30 AM</t>
  </si>
  <si>
    <t>14/07/2020 10:30 AM</t>
  </si>
  <si>
    <t>01/07/2020 1:00 PM</t>
  </si>
  <si>
    <t>03/07/2020 1:00 AM</t>
  </si>
  <si>
    <t>29/06/2020 11:00 AM</t>
  </si>
  <si>
    <t>02/07/2020 3:00 PM</t>
  </si>
  <si>
    <t>30/06/2020 11:30 AM</t>
  </si>
  <si>
    <t>29/06/2020 8:30 AM</t>
  </si>
  <si>
    <t>13/07/2020 9:00 AM</t>
  </si>
  <si>
    <t>06/07/2020 9:00 AM</t>
  </si>
  <si>
    <t>01/07/2020 2:00 PM</t>
  </si>
  <si>
    <t>30/06/2020 1:00 AM</t>
  </si>
  <si>
    <t>02/07/2020 12:00 PM</t>
  </si>
  <si>
    <t>26/06/2020 9:00 AM</t>
  </si>
  <si>
    <t>13/07/2020 10:00 AM</t>
  </si>
  <si>
    <t>06/07/2020 12:00 PM</t>
  </si>
  <si>
    <t>02/07/2020 4:00 PM</t>
  </si>
  <si>
    <t>30/06/2020 8:30 AM</t>
  </si>
  <si>
    <t>01/07/2020 5:00 PM</t>
  </si>
  <si>
    <t>08/07/2020 10:00 AM</t>
  </si>
  <si>
    <t>29/06/2020 1:30 PM</t>
  </si>
  <si>
    <t>01/07/2020 12:00 PM</t>
  </si>
  <si>
    <t>26/06/2020 5:00 PM</t>
  </si>
  <si>
    <t>14/07/2020 5:00 PM</t>
  </si>
  <si>
    <t>21/07/2020 10:00 AM</t>
  </si>
  <si>
    <t>01/07/2020 4:00 PM</t>
  </si>
  <si>
    <t>29/06/2020 1:30 AM</t>
  </si>
  <si>
    <t>03/07/2020 9:00 AM</t>
  </si>
  <si>
    <t>06/07/2020 11:00 AM</t>
  </si>
  <si>
    <t>03/07/2020 11:00 AM</t>
  </si>
  <si>
    <t>01/07/2020 9:20 AM</t>
  </si>
  <si>
    <t>29/06/2020 9:01 AM</t>
  </si>
  <si>
    <t>02/07/2020 12:00 AM</t>
  </si>
  <si>
    <t>07/07/2020 8:00 AM</t>
  </si>
  <si>
    <t>10/07/2020 10:00 AM</t>
  </si>
  <si>
    <t>03/07/2020 3:00 PM</t>
  </si>
  <si>
    <t>02/07/2020 9:30 AM</t>
  </si>
  <si>
    <t>30/06/2020 4:00 PM</t>
  </si>
  <si>
    <t>01/07/2020 9:15 AM</t>
  </si>
  <si>
    <t>15/07/2020 1:00 AM</t>
  </si>
  <si>
    <t>30/06/2020 9:30 AM</t>
  </si>
  <si>
    <t>06/07/2020 3:00 PM</t>
  </si>
  <si>
    <t>30/06/2020 2:30 PM</t>
  </si>
  <si>
    <t>15/07/2020 3:00 PM</t>
  </si>
  <si>
    <t>08/07/2020 5:00 PM</t>
  </si>
  <si>
    <t>15/07/2020 11:00 AM</t>
  </si>
  <si>
    <t>29/06/2020 12:00 AM</t>
  </si>
  <si>
    <t>29/06/2020 4:30 PM</t>
  </si>
  <si>
    <t>29/06/2020 1:29 PM</t>
  </si>
  <si>
    <t>06/07/2020 1:30 PM</t>
  </si>
  <si>
    <t>29/06/2020 5:00 AM</t>
  </si>
  <si>
    <t>09/07/2020 9:30 AM</t>
  </si>
  <si>
    <t>10/07/2020 1:00 PM</t>
  </si>
  <si>
    <t>13/07/2020 9:30 AM</t>
  </si>
  <si>
    <t>06/07/2020 1:13 PM</t>
  </si>
  <si>
    <t>13/07/2020 2:00 PM</t>
  </si>
  <si>
    <t>03/07/2020 8:00 AM</t>
  </si>
  <si>
    <t>07/07/2020 10:30 AM</t>
  </si>
  <si>
    <t>13/07/2020 7:00 AM</t>
  </si>
  <si>
    <t>03/07/2020 4:00 PM</t>
  </si>
  <si>
    <t>06/07/2020 1:00 PM</t>
  </si>
  <si>
    <t>21/07/2020 1:30 PM</t>
  </si>
  <si>
    <t>30/06/2020 12:00 PM</t>
  </si>
  <si>
    <t>13/07/2020 6:00 AM</t>
  </si>
  <si>
    <t>15/07/2020 10:30 AM</t>
  </si>
  <si>
    <t>29/06/2020 8:15 AM</t>
  </si>
  <si>
    <t>15/07/2020 9:30 AM</t>
  </si>
  <si>
    <t>20/07/2020 2:00 PM</t>
  </si>
  <si>
    <t>14/07/2020 9:30 AM</t>
  </si>
  <si>
    <t>08/07/2020 1:00 AM</t>
  </si>
  <si>
    <t>29/06/2020 8:10 AM</t>
  </si>
  <si>
    <t>29/06/2020 7:00 AM</t>
  </si>
  <si>
    <t>17/07/2020 10:00 AM</t>
  </si>
  <si>
    <t>29/06/2020 8:05 AM</t>
  </si>
  <si>
    <t>02/07/2020 11:00 AM</t>
  </si>
  <si>
    <t>21/07/2020 9:00 AM</t>
  </si>
  <si>
    <t>01/07/2020 11:00 AM</t>
  </si>
  <si>
    <t>01/07/2020 1:05 PM</t>
  </si>
  <si>
    <t>15/07/2020 12:00 PM</t>
  </si>
  <si>
    <t>01/07/2020 8:00 AM</t>
  </si>
  <si>
    <t>07/07/2020 12:00 PM</t>
  </si>
  <si>
    <t>03/07/2020 12:00 PM</t>
  </si>
  <si>
    <t>26/06/2020 2:00 PM</t>
  </si>
  <si>
    <t>14/07/2020 12:00 PM</t>
  </si>
  <si>
    <t>26/06/2020 7:00 AM</t>
  </si>
  <si>
    <t>10/07/2020 11:00 AM</t>
  </si>
  <si>
    <t>03/07/2020 1:30 PM</t>
  </si>
  <si>
    <t>07/07/2020 1:00 PM</t>
  </si>
  <si>
    <t>01/07/2020 2:02 PM</t>
  </si>
  <si>
    <t>01/07/2020 3:00 PM</t>
  </si>
  <si>
    <t>10/07/2020 9:00 AM</t>
  </si>
  <si>
    <t>13/07/2020 1:00 AM</t>
  </si>
  <si>
    <t>02/07/2020 3:00 AM</t>
  </si>
  <si>
    <t>20/07/2020 10:00 AM</t>
  </si>
  <si>
    <t>26/06/2020 12:00 AM</t>
  </si>
  <si>
    <t>07/07/2020 1:00 AM</t>
  </si>
  <si>
    <t>17/07/2020 5:00 PM</t>
  </si>
  <si>
    <t>01/07/2020 7:00 AM</t>
  </si>
  <si>
    <t>13/07/2020 5:00 PM</t>
  </si>
  <si>
    <t>01/07/2020 8:05 AM</t>
  </si>
  <si>
    <t>09/07/2020 9:00 AM</t>
  </si>
  <si>
    <t>10/07/2020 5:00 PM</t>
  </si>
  <si>
    <t>15/07/2020 9:50 AM</t>
  </si>
  <si>
    <t>29/06/2020 8:25 AM</t>
  </si>
  <si>
    <t>30/07/2020 5:00 PM</t>
  </si>
  <si>
    <t>02/07/2020 1:01 AM</t>
  </si>
  <si>
    <t>16/07/2020 8:30 AM</t>
  </si>
  <si>
    <t>29/06/2020 8:35 AM</t>
  </si>
  <si>
    <t>08/07/2020 12:00 PM</t>
  </si>
  <si>
    <t>29/06/2020 8:40 AM</t>
  </si>
  <si>
    <t>17/07/2020 9:00 AM</t>
  </si>
  <si>
    <t>08/07/2020 9:30 AM</t>
  </si>
  <si>
    <t>15/07/2020 8:30 AM</t>
  </si>
  <si>
    <t>29/06/2020 8:45 AM</t>
  </si>
  <si>
    <t>14/07/2020 1:15 PM</t>
  </si>
  <si>
    <t>29/06/2020 8:50 AM</t>
  </si>
  <si>
    <t>30/06/2020 8:00 AM</t>
  </si>
  <si>
    <t>30/06/2020 1:30 PM</t>
  </si>
  <si>
    <t>13/07/2020 1:00 PM</t>
  </si>
  <si>
    <t>30/06/2020 8:14 AM</t>
  </si>
  <si>
    <t>22/07/2020 2:00 PM</t>
  </si>
  <si>
    <t>06/07/2020 1:00 AM</t>
  </si>
  <si>
    <t>13/07/2020 11:00 AM</t>
  </si>
  <si>
    <t>22/07/2020 9:30 AM</t>
  </si>
  <si>
    <t>09/07/2020 12:00 PM</t>
  </si>
  <si>
    <t>17/07/2020 1:00 AM</t>
  </si>
  <si>
    <t>26/06/2020 3:00 PM</t>
  </si>
  <si>
    <t>29/06/2020 6:00 AM</t>
  </si>
  <si>
    <t>21/07/2020 8:30 AM</t>
  </si>
  <si>
    <t>16/07/2020 1:30 PM</t>
  </si>
  <si>
    <t>07/07/2020 5:00 PM</t>
  </si>
  <si>
    <t>29/06/2020 2:30 PM</t>
  </si>
  <si>
    <t>03/07/2020 4:00 AM</t>
  </si>
  <si>
    <t>26/06/2020 8:00 AM</t>
  </si>
  <si>
    <t>29/06/2020 4:00 AM</t>
  </si>
  <si>
    <t>16/07/2020 1:00 PM</t>
  </si>
  <si>
    <t>26/06/2020 6:00 AM</t>
  </si>
  <si>
    <t>01/07/2020 1:09 AM</t>
  </si>
  <si>
    <t>02/07/2020 3:30 AM</t>
  </si>
  <si>
    <t>02/07/2020 5:00 AM</t>
  </si>
  <si>
    <t>13/07/2020 10:30 AM</t>
  </si>
  <si>
    <t>30/06/2020 10:40 AM</t>
  </si>
  <si>
    <t>29/06/2020 9:30 AM</t>
  </si>
  <si>
    <t>20/07/2020 1:00 PM</t>
  </si>
  <si>
    <t>26/06/2020 8:11 PM</t>
  </si>
  <si>
    <t>09/07/2020 8:00 AM</t>
  </si>
  <si>
    <t>30/06/2020 12:00 AM</t>
  </si>
  <si>
    <t>26/06/2020 8:05 PM</t>
  </si>
  <si>
    <t>06/07/2020 3:30 PM</t>
  </si>
  <si>
    <t>13/07/2020 8:00 AM</t>
  </si>
  <si>
    <t>17/07/2020 12:00 PM</t>
  </si>
  <si>
    <t>01/07/2020 5:30 PM</t>
  </si>
  <si>
    <t>24/07/2020 10:00 AM</t>
  </si>
  <si>
    <t>03/07/2020 8:30 AM</t>
  </si>
  <si>
    <t>25/06/2020 2:00 PM</t>
  </si>
  <si>
    <t>25/06/2020 1:00 PM</t>
  </si>
  <si>
    <t>26/06/2020 4:00 PM</t>
  </si>
  <si>
    <t>30/06/2020 5:00 AM</t>
  </si>
  <si>
    <t>07/07/2020 1:30 PM</t>
  </si>
  <si>
    <t>08/07/2020 9:00 AM</t>
  </si>
  <si>
    <t>14/07/2020 3:00 PM</t>
  </si>
  <si>
    <t>14/07/2020 9:45 AM</t>
  </si>
  <si>
    <t>03/07/2020 9:30 AM</t>
  </si>
  <si>
    <t>21/07/2020 2:00 PM</t>
  </si>
  <si>
    <t>01/07/2020 7:00 PM</t>
  </si>
  <si>
    <t>01/07/2020 12:00 AM</t>
  </si>
  <si>
    <t>14/07/2020 8:15 AM</t>
  </si>
  <si>
    <t>26/06/2020 4:30 PM</t>
  </si>
  <si>
    <t>29/06/2020 6:00 PM</t>
  </si>
  <si>
    <t>17/07/2020 2:00 PM</t>
  </si>
  <si>
    <t>29/06/2020 9:31 AM</t>
  </si>
  <si>
    <t>29/06/2020 9:44 AM</t>
  </si>
  <si>
    <t>29/06/2020 12:59 PM</t>
  </si>
  <si>
    <t>07/07/2020 2:00 PM</t>
  </si>
  <si>
    <t>08/07/2020 2:00 PM</t>
  </si>
  <si>
    <t>08/07/2020 1:00 PM</t>
  </si>
  <si>
    <t>10/07/2020 3:00 PM</t>
  </si>
  <si>
    <t>01/07/2020 8:05 PM</t>
  </si>
  <si>
    <t>29/06/2020 11:59 PM</t>
  </si>
  <si>
    <t>25/06/2020 5:00 PM</t>
  </si>
  <si>
    <t>02/07/2020 6:00 PM</t>
  </si>
  <si>
    <t>02/07/2020 9:15 AM</t>
  </si>
  <si>
    <t>26/06/2020 5:17 PM</t>
  </si>
  <si>
    <t>10/07/2020 9:30 AM</t>
  </si>
  <si>
    <t>09/07/2020 11:00 AM</t>
  </si>
  <si>
    <t>10/07/2020 2:00 PM</t>
  </si>
  <si>
    <t>03/07/2020 10:30 AM</t>
  </si>
  <si>
    <t>02/07/2020 10:30 AM</t>
  </si>
  <si>
    <t>30/06/2020 4:30 AM</t>
  </si>
  <si>
    <t>13/07/2020 1:30 PM</t>
  </si>
  <si>
    <t>14/07/2020 9:15 AM</t>
  </si>
  <si>
    <t>01/07/2020 2:30 PM</t>
  </si>
  <si>
    <t>14/07/2020 9:25 AM</t>
  </si>
  <si>
    <t>07/07/2020 9:30 AM</t>
  </si>
  <si>
    <t>29/06/2020 1:15 PM</t>
  </si>
  <si>
    <t>07/07/2020 8:30 AM</t>
  </si>
  <si>
    <t>10/08/2020 2:00 PM</t>
  </si>
  <si>
    <t>10/07/2020 2:02 PM</t>
  </si>
  <si>
    <t>26/06/2020 12:00 PM</t>
  </si>
  <si>
    <t>26/06/2020 2:00 AM</t>
  </si>
  <si>
    <t>29/06/2020 1:45 PM</t>
  </si>
  <si>
    <t>24/07/2020 11:00 AM</t>
  </si>
  <si>
    <t>02/07/2020 10:01 AM</t>
  </si>
  <si>
    <t>14/07/2020 10:15 AM</t>
  </si>
  <si>
    <t>10/07/2020 11:59 PM</t>
  </si>
  <si>
    <t>27/07/2020 11:00 AM</t>
  </si>
  <si>
    <t>02/07/2020 1:09 AM</t>
  </si>
  <si>
    <t>13/07/2020 12:00 PM</t>
  </si>
  <si>
    <t>26/06/2020 11:00 AM</t>
  </si>
  <si>
    <t>01/07/2020 10:30 AM</t>
  </si>
  <si>
    <t>28/07/2020 11:00 AM</t>
  </si>
  <si>
    <t>14/07/2020 1:59 PM</t>
  </si>
  <si>
    <t>14/07/2020 8:30 AM</t>
  </si>
  <si>
    <t>09/07/2020 1:30 PM</t>
  </si>
  <si>
    <t>14/07/2020 3:30 PM</t>
  </si>
  <si>
    <t>14/07/2020 4:00 PM</t>
  </si>
  <si>
    <t>01/07/2020 1:30 PM</t>
  </si>
  <si>
    <t>29/06/2020 2:15 PM</t>
  </si>
  <si>
    <t>13/07/2020 2:15 PM</t>
  </si>
  <si>
    <t>14/07/2020 8:59 AM</t>
  </si>
  <si>
    <t>28/07/2020 10:00 AM</t>
  </si>
  <si>
    <t>20/07/2020 12:00 PM</t>
  </si>
  <si>
    <t>01/07/2020 1:45 PM</t>
  </si>
  <si>
    <t>29/06/2020 10:20 AM</t>
  </si>
  <si>
    <t>21/07/2020 1:00 PM</t>
  </si>
  <si>
    <t>29/06/2020 1:04 PM</t>
  </si>
  <si>
    <t>29/06/2020 11:30 AM</t>
  </si>
  <si>
    <t>01/07/2020 4:00 AM</t>
  </si>
  <si>
    <t>10/07/2020 5:00 AM</t>
  </si>
  <si>
    <t>01/07/2020 12:30 PM</t>
  </si>
  <si>
    <t>30/06/2020 11:59 AM</t>
  </si>
  <si>
    <t>02/07/2020 8:30 AM</t>
  </si>
  <si>
    <t>07/08/2020 2:00 PM</t>
  </si>
  <si>
    <t>21/07/2020 8:00 AM</t>
  </si>
  <si>
    <t>30/06/2020 2:00 AM</t>
  </si>
  <si>
    <t>30/06/2020 8:59 AM</t>
  </si>
  <si>
    <t>14/07/2020 8:01 AM</t>
  </si>
  <si>
    <t>01/07/2020 5:00 AM</t>
  </si>
  <si>
    <t>26/06/2020 1:30 PM</t>
  </si>
  <si>
    <t>13/07/2020 8:30 AM</t>
  </si>
  <si>
    <t>26/06/2020 10:30 AM</t>
  </si>
  <si>
    <t>30/06/2020 11:59 PM</t>
  </si>
  <si>
    <t>26/06/2020 10:40 AM</t>
  </si>
  <si>
    <t>26/06/2020 10:50 AM</t>
  </si>
  <si>
    <t>13/07/2020 4:00 PM</t>
  </si>
  <si>
    <t>26/06/2020 6:00 PM</t>
  </si>
  <si>
    <t>13/07/2020 5:05 PM</t>
  </si>
  <si>
    <t>29/06/2020 8:00 PM</t>
  </si>
  <si>
    <t>20/07/2020 11:00 AM</t>
  </si>
  <si>
    <t>29/07/2020 10:00 AM</t>
  </si>
  <si>
    <t>07/07/2020 1:30 AM</t>
  </si>
  <si>
    <t>30/06/2020 1:10 AM</t>
  </si>
  <si>
    <t>08/07/2020 1:32 PM</t>
  </si>
  <si>
    <t>13/07/2020 2:30 PM</t>
  </si>
  <si>
    <t>30/06/2020 10:01 AM</t>
  </si>
  <si>
    <t>25/06/2020 11:59 AM</t>
  </si>
  <si>
    <t>26/06/2020 5:00 AM</t>
  </si>
  <si>
    <t>25/06/2020 4:30 PM</t>
  </si>
  <si>
    <t>16/07/2020 9:30 AM</t>
  </si>
  <si>
    <t>06/07/2020 7:06 AM</t>
  </si>
  <si>
    <t>30/06/2020 3:30 PM</t>
  </si>
  <si>
    <t>29/06/2020 4:04 PM</t>
  </si>
  <si>
    <t>26/06/2020 1:15 PM</t>
  </si>
  <si>
    <t>08/07/2020 1:30 PM</t>
  </si>
  <si>
    <t>14/07/2020 9:01 AM</t>
  </si>
  <si>
    <t>27/07/2020 2:00 PM</t>
  </si>
  <si>
    <t>23/07/2020 9:00 AM</t>
  </si>
  <si>
    <t>13/07/2020 3:30 PM</t>
  </si>
  <si>
    <t>25/06/2020 3:00 PM</t>
  </si>
  <si>
    <t>02/07/2020 1:10 AM</t>
  </si>
  <si>
    <t>01/07/2020 3:30 PM</t>
  </si>
  <si>
    <t>01/07/2020 6:00 PM</t>
  </si>
  <si>
    <t>26/06/2020 5:15 PM</t>
  </si>
  <si>
    <t>13/07/2020 2:01 PM</t>
  </si>
  <si>
    <t>30/06/2020 3:00 AM</t>
  </si>
  <si>
    <t>06/07/2020 10:30 AM</t>
  </si>
  <si>
    <t>26/06/2020 10:29 AM</t>
  </si>
  <si>
    <t>09/07/2020 1:00 PM</t>
  </si>
  <si>
    <t>08/07/2020 10:30 AM</t>
  </si>
  <si>
    <t>26/06/2020 8:30 AM</t>
  </si>
  <si>
    <t>30/06/2020 2:06 PM</t>
  </si>
  <si>
    <t>26/06/2020 2:30 AM</t>
  </si>
  <si>
    <t>25/06/2020 12:00 PM</t>
  </si>
  <si>
    <t>23/07/2020 10:00 AM</t>
  </si>
  <si>
    <t>25/06/2020 4:00 PM</t>
  </si>
  <si>
    <t>30/06/2020 10:10 AM</t>
  </si>
  <si>
    <t>09/07/2020 2:00 PM</t>
  </si>
  <si>
    <t>17/07/2020 10:00 PM</t>
  </si>
  <si>
    <t>10/08/2020 1:30 PM</t>
  </si>
  <si>
    <t>26/06/2020 11:59 PM</t>
  </si>
  <si>
    <t>03/07/2020 1:02 PM</t>
  </si>
  <si>
    <t>26/06/2020 12:01 AM</t>
  </si>
  <si>
    <t>21/07/2020 1:00 AM</t>
  </si>
  <si>
    <t>26/06/2020 11:00 PM</t>
  </si>
  <si>
    <t>28/07/2020 9:30 AM</t>
  </si>
  <si>
    <t>26/06/2020 10:00 PM</t>
  </si>
  <si>
    <t>26/06/2020 9:30 AM</t>
  </si>
  <si>
    <t>25/06/2020 1:05 PM</t>
  </si>
  <si>
    <t>13/07/2020 5:00 AM</t>
  </si>
  <si>
    <t>03/07/2020 1:30 AM</t>
  </si>
  <si>
    <t>25/06/2020 11:30 PM</t>
  </si>
  <si>
    <t>25/06/2020 5:05 PM</t>
  </si>
  <si>
    <t>29/06/2020 1:02 PM</t>
  </si>
  <si>
    <t>25/06/2020 1:45 PM</t>
  </si>
  <si>
    <t>25/06/2020 1:30 PM</t>
  </si>
  <si>
    <t>25/06/2020 2:30 PM</t>
  </si>
  <si>
    <t>25/06/2020 1:15 PM</t>
  </si>
  <si>
    <t>07/07/2020 3:30 PM</t>
  </si>
  <si>
    <t>30/06/2020 10:30 AM</t>
  </si>
  <si>
    <t>13/07/2020 3:00 PM</t>
  </si>
  <si>
    <t>16/07/2020 5:00 PM</t>
  </si>
  <si>
    <t>23/07/2020 3:00 PM</t>
  </si>
  <si>
    <t>26/06/2020 12:59 PM</t>
  </si>
  <si>
    <t>20/07/2020 8:30 AM</t>
  </si>
  <si>
    <t>30/06/2020 9:45 AM</t>
  </si>
  <si>
    <t>31/07/2020 1:00 AM</t>
  </si>
  <si>
    <t>17/07/2020 9:30 AM</t>
  </si>
  <si>
    <t>29/06/2020 3:15 PM</t>
  </si>
  <si>
    <t>29/06/2020 2:45 PM</t>
  </si>
  <si>
    <t>07/07/2020 2:30 PM</t>
  </si>
  <si>
    <t>29/06/2020 11:00 PM</t>
  </si>
  <si>
    <t>03/07/2020 8:00 PM</t>
  </si>
  <si>
    <t>29/06/2020 1:08 AM</t>
  </si>
  <si>
    <t>24/07/2020 9:00 AM</t>
  </si>
  <si>
    <t>24/07/2020 1:30 PM</t>
  </si>
  <si>
    <t>29/06/2020 8:59 AM</t>
  </si>
  <si>
    <t>22/07/2020 10:00 AM</t>
  </si>
  <si>
    <t>10/07/2020 8:30 AM</t>
  </si>
  <si>
    <t>07/07/2020 4:00 PM</t>
  </si>
  <si>
    <t>29/06/2020 8:08 AM</t>
  </si>
  <si>
    <t>29/06/2020 2:00 AM</t>
  </si>
  <si>
    <t>10/07/2020 10:30 AM</t>
  </si>
  <si>
    <t>13/07/2020 8:59 AM</t>
  </si>
  <si>
    <t>13/07/2020 10:00 PM</t>
  </si>
  <si>
    <t>07/07/2020 3:30 AM</t>
  </si>
  <si>
    <t>10/07/2020 9:15 AM</t>
  </si>
  <si>
    <t>07/07/2020 3:00 PM</t>
  </si>
  <si>
    <t>08/07/2020 11:00 AM</t>
  </si>
  <si>
    <t>09/07/2020 10:30 AM</t>
  </si>
  <si>
    <t>14/07/2020 5:00 AM</t>
  </si>
  <si>
    <t>26/06/2020 2:06 PM</t>
  </si>
  <si>
    <t>23/07/2020 1:30 PM</t>
  </si>
  <si>
    <t>26/06/2020 10:10 AM</t>
  </si>
  <si>
    <t>22/07/2020 9:00 AM</t>
  </si>
  <si>
    <t>03/07/2020 6:00 AM</t>
  </si>
  <si>
    <t>09/07/2020 10:01 AM</t>
  </si>
  <si>
    <t>26/06/2020 2:30 PM</t>
  </si>
  <si>
    <t>23/07/2020 2:00 PM</t>
  </si>
  <si>
    <t>08/07/2020 3:00 PM</t>
  </si>
  <si>
    <t>26/06/2020 7:00 PM</t>
  </si>
  <si>
    <t>10/07/2020 2:30 PM</t>
  </si>
  <si>
    <t>30/06/2020 2:02 PM</t>
  </si>
  <si>
    <t>03/07/2020 11:59 PM</t>
  </si>
  <si>
    <t>21/07/2020 5:00 PM</t>
  </si>
  <si>
    <t>08/07/2020 8:00 AM</t>
  </si>
  <si>
    <t>22/07/2020 1:00 PM</t>
  </si>
  <si>
    <t>07/07/2020 1:58 PM</t>
  </si>
  <si>
    <t>10/07/2020 1:30 PM</t>
  </si>
  <si>
    <t>08/07/2020 9:50 AM</t>
  </si>
  <si>
    <t>04/08/2020 8:00 AM</t>
  </si>
  <si>
    <t>31/07/2020 10:00 AM</t>
  </si>
  <si>
    <t>26/06/2020 8:59 AM</t>
  </si>
  <si>
    <t>07/07/2020 11:30 AM</t>
  </si>
  <si>
    <t>07/07/2020 11:00 AM</t>
  </si>
  <si>
    <t>13/07/2020 1:45 PM</t>
  </si>
  <si>
    <t>22/07/2020 1:30 PM</t>
  </si>
  <si>
    <t>25/06/2020 4:04 PM</t>
  </si>
  <si>
    <t>06/07/2020 9:30 AM</t>
  </si>
  <si>
    <t>06/07/2020 12:00 AM</t>
  </si>
  <si>
    <t>07/07/2020 1:15 PM</t>
  </si>
  <si>
    <t>26/06/2020 1:50 PM</t>
  </si>
  <si>
    <t>08/07/2020 8:59 AM</t>
  </si>
  <si>
    <t>07/07/2020 10:00 PM</t>
  </si>
  <si>
    <t>25/06/2020 3:30 PM</t>
  </si>
  <si>
    <t>25/06/2020 2:02 PM</t>
  </si>
  <si>
    <t>07/07/2020 11:45 AM</t>
  </si>
  <si>
    <t>29/06/2020 1:19 PM</t>
  </si>
  <si>
    <t>08/07/2020 1:59 PM</t>
  </si>
  <si>
    <t>08/07/2020 8:30 AM</t>
  </si>
  <si>
    <t>17/07/2020 1:30 PM</t>
  </si>
  <si>
    <t>06/07/2020 6:08 AM</t>
  </si>
  <si>
    <t>29/06/2020 11:55 AM</t>
  </si>
  <si>
    <t>06/07/2020 9:15 AM</t>
  </si>
  <si>
    <t>07/07/2020 1:09 AM</t>
  </si>
  <si>
    <t>25/06/2020 6:00 PM</t>
  </si>
  <si>
    <t>07/07/2020 12:00 AM</t>
  </si>
  <si>
    <t>07/07/2020 9:25 AM</t>
  </si>
  <si>
    <t>07/07/2020 2:20 PM</t>
  </si>
  <si>
    <t>07/07/2020 2:10 PM</t>
  </si>
  <si>
    <t>26/06/2020 2:02 PM</t>
  </si>
  <si>
    <t>07/07/2020 8:15 AM</t>
  </si>
  <si>
    <t>06/07/2020 2:29 PM</t>
  </si>
  <si>
    <t>06/07/2020 12:59 PM</t>
  </si>
  <si>
    <t>07/07/2020 8:59 AM</t>
  </si>
  <si>
    <t>07/07/2020 1:59 PM</t>
  </si>
  <si>
    <t>01/07/2020 1:10 AM</t>
  </si>
  <si>
    <t>16/07/2020 12:30 PM</t>
  </si>
  <si>
    <t>16/07/2020 10:30 AM</t>
  </si>
  <si>
    <t>25/06/2020 11:00 PM</t>
  </si>
  <si>
    <t>08/07/2020 12:30 PM</t>
  </si>
  <si>
    <t>03/07/2020 2:00 AM</t>
  </si>
  <si>
    <t>07/07/2020 11:15 AM</t>
  </si>
  <si>
    <t>08/07/2020 11:30 AM</t>
  </si>
  <si>
    <t>03/07/2020 3:08 AM</t>
  </si>
  <si>
    <t>08/07/2020 10:10 AM</t>
  </si>
  <si>
    <t>06/07/2020 1:30 AM</t>
  </si>
  <si>
    <t>08/07/2020 2:00 AM</t>
  </si>
  <si>
    <t>03/08/2020 1:30 PM</t>
  </si>
  <si>
    <t>29/06/2020 2:02 PM</t>
  </si>
  <si>
    <t>07/07/2020 2:00 AM</t>
  </si>
  <si>
    <t>15/07/2020 2:01 PM</t>
  </si>
  <si>
    <t>06/07/2020 8:59 AM</t>
  </si>
  <si>
    <t>23/07/2020 1:00 PM</t>
  </si>
  <si>
    <t>07/07/2020 11:00 PM</t>
  </si>
  <si>
    <t>01/07/2020 11:00 PM</t>
  </si>
  <si>
    <t>02/07/2020 9:45 AM</t>
  </si>
  <si>
    <t>03/07/2020 3:30 PM</t>
  </si>
  <si>
    <t>02/07/2020 10:50 AM</t>
  </si>
  <si>
    <t>30/06/2020 9:15 AM</t>
  </si>
  <si>
    <t>30/06/2020 10:15 AM</t>
  </si>
  <si>
    <t>17/07/2020 12:30 PM</t>
  </si>
  <si>
    <t>06/07/2020 5:00 AM</t>
  </si>
  <si>
    <t>30/06/2020 2:05 PM</t>
  </si>
  <si>
    <t>23/07/2020 10:30 AM</t>
  </si>
  <si>
    <t>23/07/2020 9:30 AM</t>
  </si>
  <si>
    <t>23/07/2020 12:30 PM</t>
  </si>
  <si>
    <t>01/07/2020 8:59 AM</t>
  </si>
  <si>
    <t>30/07/2020 9:00 AM</t>
  </si>
  <si>
    <t>01/07/2020 12:50 PM</t>
  </si>
  <si>
    <t>01/07/2020 10:50 AM</t>
  </si>
  <si>
    <t>01/07/2020 9:50 AM</t>
  </si>
  <si>
    <t>06/07/2020 1:29 PM</t>
  </si>
  <si>
    <t>01/07/2020 1:50 PM</t>
  </si>
  <si>
    <t>01/07/2020 8:50 AM</t>
  </si>
  <si>
    <t>21/07/2020 3:00 PM</t>
  </si>
  <si>
    <t>29/06/2020 9:15 AM</t>
  </si>
  <si>
    <t>29/06/2020 3:45 PM</t>
  </si>
  <si>
    <t>30/06/2020 2:10 PM</t>
  </si>
  <si>
    <t>30/06/2020 1:59 PM</t>
  </si>
  <si>
    <t>29/06/2020 10:05 AM</t>
  </si>
  <si>
    <t>29/07/2020 9:00 AM</t>
  </si>
  <si>
    <t>29/06/2020 9:45 AM</t>
  </si>
  <si>
    <t>30/06/2020 1:45 PM</t>
  </si>
  <si>
    <t>06/07/2020 2:00 AM</t>
  </si>
  <si>
    <t>29/07/2020 9:30 AM</t>
  </si>
  <si>
    <t>29/06/2020 2:10 PM</t>
  </si>
  <si>
    <t>30/06/2020 8:45 AM</t>
  </si>
  <si>
    <t>29/06/2020 12:30 PM</t>
  </si>
  <si>
    <t>06/07/2020 4:00 PM</t>
  </si>
  <si>
    <t>09/07/2020 3:00 PM</t>
  </si>
  <si>
    <t>17/07/2020 2:30 PM</t>
  </si>
  <si>
    <t>25/06/2020 1:59 PM</t>
  </si>
  <si>
    <t>20/07/2020 3:00 PM</t>
  </si>
  <si>
    <t>27/07/2020 12:00 PM</t>
  </si>
  <si>
    <t>04/08/2020 10:00 AM</t>
  </si>
  <si>
    <t>26/06/2020 11:30 AM</t>
  </si>
  <si>
    <t>27/07/2020 5:00 PM</t>
  </si>
  <si>
    <t>01/07/2021 9:00 AM</t>
  </si>
  <si>
    <t>23/09/2020 1:00 AM</t>
  </si>
  <si>
    <t>21/01/2021 10:00 AM</t>
  </si>
  <si>
    <t>31/12/2020 9:00 AM</t>
  </si>
  <si>
    <t>07/10/2020 10:00 AM</t>
  </si>
  <si>
    <t>30/07/2020 2:00 PM</t>
  </si>
  <si>
    <t>31/12/2020 1:00 AM</t>
  </si>
  <si>
    <t>13/07/2020 1:05 PM</t>
  </si>
  <si>
    <t>02/07/2020 1:15 PM</t>
  </si>
  <si>
    <t>24/08/2020 12:00 PM</t>
  </si>
  <si>
    <t>05/10/2020 9:30 AM</t>
  </si>
  <si>
    <t>28/08/2020 10:00 AM</t>
  </si>
  <si>
    <t>01/07/2020 1:15 PM</t>
  </si>
  <si>
    <t>02/07/2020 1:03 PM</t>
  </si>
  <si>
    <t>31/07/2020 5:00 PM</t>
  </si>
  <si>
    <t>08/07/2020 1:15 PM</t>
  </si>
  <si>
    <t>01/09/2020 9:00 AM</t>
  </si>
  <si>
    <t>31/07/2020 5:00 AM</t>
  </si>
  <si>
    <t>06/07/2020 1:45 PM</t>
  </si>
  <si>
    <t>06/07/2020 1:15 PM</t>
  </si>
  <si>
    <t>29/06/2020 1:20 PM</t>
  </si>
  <si>
    <t>29/06/2020 1:12 PM</t>
  </si>
  <si>
    <t>31/07/2020 2:00 PM</t>
  </si>
  <si>
    <t>26/06/2020 11:55 AM</t>
  </si>
  <si>
    <t>25/06/2020 10:00 PM</t>
  </si>
  <si>
    <t xml:space="preserve"> Republic of the Philippines BATANGAS STATE UNIVERSITY Batangas City REQUEST FOR QUOTATION "Procurement for the Supply and Fabrication of Computer Tables for BatStateU Lemery Campus" 1. The Batangas State University (BatState U) through the Bids and Awards</t>
  </si>
  <si>
    <t xml:space="preserve"> The Western Mindanao State University, through its Bids and Awards Committee (BAC), is inviting PhilGEPS registered suppliers to apply for eligibility and to submit bids for the item mentioned hereunder:  1.)	45	Bottles	Amoxicillin 			250mg/5ml, powder fo</t>
  </si>
  <si>
    <t xml:space="preserve"> The Western Mindanao State University, through its Bids and Awards Committee (BAC), is inviting PhilGEPS registered suppliers to apply for eligibility and to submit bids for the item mentioned hereunder:  1.)	200	Reams	Book Paper - subs. 20, 8.5" x 11" 2.</t>
  </si>
  <si>
    <t xml:space="preserve"> Parcellary Survey for the Construction of Various Roads and Bridges.</t>
  </si>
  <si>
    <t xml:space="preserve"> The Western Mindanao State University, through its Bids and Awards Committee (BAC), is inviting PhilGEPS registered suppliers to apply for eligibility and to submit bids for the item mentioned hereunder:  1.)	150	Boxes	Acrinol - 50 strips/box 2.)	50	Bottl</t>
  </si>
  <si>
    <t xml:space="preserve"> The Western Mindanao State University, through its Bids and Awards Committee (BAC), is inviting PhilGEPS registered suppliers to apply for eligibility and to submit bids for the item mentioned hereunder:  1.)	3	Units	AVR 			* 1500VA Servo Type 			* AVR Ul</t>
  </si>
  <si>
    <t xml:space="preserve"> The Western Mindanao State University, through its Bids and Awards Committee (BAC), is inviting PhilGEPS registered suppliers to apply for eligibility and to submit bids for the item mentioned hereunder:  1.)	7	Units	Push Cart Trolley 			* with 360 degree</t>
  </si>
  <si>
    <t xml:space="preserve"> PHILIPPINE CHILDREN'S MEDICAL CENTER						 Quezon Avenue, Quezon City						 Tel. No. 8588-9900 local 224/226						 						 REQUEST FOR QUOTATION						 No. RFQ-2020-257						 						 Date :						 						 Name of Supplier :						 						 Address :						 						 </t>
  </si>
  <si>
    <t xml:space="preserve"> Office enhancement of Barangay Rizal procurement of materials, equipments, office supplies, utilities, maintenance and other miscellaneous and expenses and council operational expenses and personal services on institution</t>
  </si>
  <si>
    <t xml:space="preserve"> Republic of the Philippines DEPARTMENT OF PUBLIC WORKS AND HIGHWAYS OFFICE OF THE REGIONAL DIRECTOR Regional Office No. IV-A EDSA, Quezon City June 22, 2020 Mr. BENIGNO T. PAUCO Managing Partner / CEO KEY ENGINNERS, CO. Unit 217, Grand Emerald Tower, Emer</t>
  </si>
  <si>
    <t xml:space="preserve"> The Western Mindanao State University, through its Bids and Awards Committee (BAC), is inviting PhilGEPS registered suppliers to apply for eligibility and to submit bids for the item mentioned hereunder:  1.)	20	Spools	Calculator Ribbon 			* for existing </t>
  </si>
  <si>
    <t xml:space="preserve"> Parcellary Survey for the Construction of Various Roads and Bridges</t>
  </si>
  <si>
    <t xml:space="preserve"> Republic of the Philippines Province of Cotabato Municipality of Arakan BIDS AND AWARDS COMMITTEE REQUEST FOR QUOTATION  	SUPPLY OF SPARE PARTS OF MUN. BULLDOZER  The Local Government Unit of Arakan is inviting interested suppliers to submit price quotati</t>
  </si>
  <si>
    <t xml:space="preserve"> REQUEST FOR QUOTATION The Philippine Ports Authority (PPA), through the office of the BAC Secretariat will undertake Small Value Procurement for the Procurement of Various Supplies in accordance with the Implementing Rules and Regulations of Republic Act </t>
  </si>
  <si>
    <t xml:space="preserve"> The Western Mindanao State University, through its Bids and Awards Committee (BAC), is inviting PhilGEPS registered suppliers to apply for eligibility and to submit bids for the item mentioned hereunder:  1.	Name of the Project: WMSU Water Refilling Stati</t>
  </si>
  <si>
    <t xml:space="preserve"> T-shirt: with Print and Logo</t>
  </si>
  <si>
    <t xml:space="preserve"> INVITATION TO BID 	 The Department of Education, Division of Bukidnon Intends to apply the sum of ONE MILLION TWENTY THOUSAND SEVEN HUNDRED THIRTY THREE AND 13 (Php. 1,020,733.13) being the Approved Budget for the Contract (ABC) to payments under the cont</t>
  </si>
  <si>
    <t xml:space="preserve"> `REQUEST FOR QUOTATION The Philippine Ports Authority (PPA), through the office of the BAC Secretariat will undertake Small Value Procurement for the Procurement of Athletic Uniforms in accordance with the Implementing Rules and Regulations of Republic Ac</t>
  </si>
  <si>
    <t xml:space="preserve"> Air Freshener: Gauge #350m in length  Aquasol ER: -  Alcohol: 70% Ethyl 500ml  Glass Cleaner: Big  Dishwashing Liquid: 500ml  Powder Soap: -  Tissue Paper: Bathroom 2 ply Tissue Paper: Napkins unscented  Muriatic Acid: 500ml</t>
  </si>
  <si>
    <t xml:space="preserve"> Rice Bran: D1  Copra meal: -</t>
  </si>
  <si>
    <t xml:space="preserve"> Risograph master roll: -  Risograph: ink</t>
  </si>
  <si>
    <t xml:space="preserve"> Tire(s): 265/65 R17</t>
  </si>
  <si>
    <t xml:space="preserve"> Ballpen: Assorted Colors  Ballpen: Black  Clip: 3"  Desk Pad Table: with logo seal  DVD: Blank DVD RW with Case  Envelope: Brown, Legal size  Envelope: Brown, Short Envelope: Expanding with Tie Garter, Long  Envelope: Mailing white, 500's/box  Folder: Leg</t>
  </si>
  <si>
    <t xml:space="preserve"> The Procuring Entity Through its Bids and Awards Committee invites suppliers to quote for the hereunder project/program: Purchase of 150cc Motorcycle,f.i. and 125cc motorcycle, f.i.  15% building permits fees and charges from sept. 2016 to sept. 2019 Item</t>
  </si>
  <si>
    <t xml:space="preserve"> Tire(s): 8.25x16 with flaps and interior</t>
  </si>
  <si>
    <t xml:space="preserve"> Ballpen: Black Ballpen: Blue  Ballpen: Red  Ballpen: Retractable, Assorted 3's  Binder Clip: -  Bond Paper: Long (20x75gsm)  Bond Paper: Short (20x75gsm) Bond Paper: Long (20x75gsm) with Seal  Bond Paper: Short (20x75gsm) with Seal Envelope: Brown, Long E</t>
  </si>
  <si>
    <t xml:space="preserve"> The Western Mindanao State University, through its Bids and Awards Committee (BAC), is inviting PhilGEPS registered suppliers to apply for eligibility and to submit bids for the item mentioned hereunder:  1.)	9	Units	Steel Filing Cabinet 			* 2 drawers, v</t>
  </si>
  <si>
    <t xml:space="preserve"> Coco Cloth: BAPOR 36W 100yards per roll</t>
  </si>
  <si>
    <t xml:space="preserve"> Republic of the Philippines                                                     PROVINCE OF MISAMIS ORIENTAL                                                             Municipality of Tagoloan                                                              </t>
  </si>
  <si>
    <t xml:space="preserve"> Please see attachment for the List of Construction Materials.</t>
  </si>
  <si>
    <t xml:space="preserve"> Acri-color: (Acrylic Tinting Color) Black  Acri-color: (Acrylic Tinting Color) Blue  Acri-color: (Acrylic Tinting Color) Green  Acri-color: (Acrylic Tinting Color) Red Acri-color: (Acrylic Tinting Color) Yellow  Coco Cloth: -  Nylon rope: -  Pigment Color</t>
  </si>
  <si>
    <t xml:space="preserve"> Bond Paper: Long, 8.5x13 Bond Paper: Short, 8.5x11  Staple wire: -  Correction Tape: -  Fastener: - 5 Masking Tape: -  Scotch Tape: -  Highlighter Pen: -  Ballpen: Blue  Ballpen: Black  Sign Pen: Black  Sign Pen: Blue 5 Printer Ink: Canon 325  Toner: HP #</t>
  </si>
  <si>
    <t xml:space="preserve"> Chlorine: 20liter  Muriatic Acid: 20ml  Dicalite: 25kg</t>
  </si>
  <si>
    <t xml:space="preserve"> Construction of Concrete Pathway P-3</t>
  </si>
  <si>
    <t xml:space="preserve"> Paint: Aquasol ER  Coco Cloth: -  Green Film: -  Latex Paint: White, Gloss Nylon rope: #07  Pigment Color: Black  Pigment Color: Yellow  Pigment Color: Green  Silkscreen: mesh #100  Squeegee: -  Transpabase: -  Acri-color: Blue  Acri-color: Yellow  Acri-c</t>
  </si>
  <si>
    <t xml:space="preserve"> Fire Extinguisher Refill: 10lbs (Dry Chemical) with one (1) year  guarantee Fire Extinguisher Refill: 50lbs (Dry Chemical) with one (1) year guarantee 3 Fire Extinguisher Refill: 5lbs (Dry Chemical) with one (1) year guarantee  Fire Extinguisher Refill: 2</t>
  </si>
  <si>
    <t xml:space="preserve"> Air conditioner: Specifications: 2HP Window Type- Non Inverter, 19100 KJ/h – Cooling Capacity Remote Control Dimension by millimetre Width – (MM) 795 Dimension – (MM) 875 Height – (MM) 545 Comfort Cool</t>
  </si>
  <si>
    <t xml:space="preserve"> Ballpen: Assorted Colors (red, blue, green)  Ballpen: Black  Desk Pad Table: with logo seal  DVD: Blank DVD RW with Case  Folder: Long Sub. 20  Folder: Short S-20  Printer Ink: Canon 704 colored  Printer Ink: Canon 704 black  Permanent Marker: Black, Blue</t>
  </si>
  <si>
    <t xml:space="preserve"> Catheter Suction: FR#24  Chromic: 0-0 Round Body, RH 37mm, 1/2 Circle 75cm 12's Chromic: 2-0 Round Body, RH 37mm, 1/2 circle 75cm 12's Ecosorb: 3-0 Reverse Cutting, CD 24mm, 3/8 Circle 75cm 12's  Ecosorb: 4-0 Reverse Cutting, CD 19mm, 3/8 Circle 75cm 12's</t>
  </si>
  <si>
    <t xml:space="preserve"> OFFICE SUPPLIES AND MATERIALS</t>
  </si>
  <si>
    <t xml:space="preserve"> INVITATION TO BID IB No. 04, S. 2020 The Municipality of General Nakar, Quezon through the Approved  Purchase Request amounting to  Three Hundred Sixty Nine Thousand Two Hundred Sixty Four Pesos and Twenty Seven Centavos (PhP369,264.27)) being the Approve</t>
  </si>
  <si>
    <t xml:space="preserve"> Please quote your lowest price inclusive of VAT on the projects listed below, subject to the Terms and Conditions of this RFQ, and submit your sealed quotation not later than 10:00 AM of June 22, 2020 upon posting of this RFQ at DepED-Division of Cotabato</t>
  </si>
  <si>
    <t xml:space="preserve"> School and Office Supplies for First Quarter of 2020</t>
  </si>
  <si>
    <t xml:space="preserve"> THE NATIONAL IRRIGATION ADMINISTRATION-SCIMO, THROUGH THE FUND 501 HAS THE APPROVED BUDGET FOR THE CONTRACT (ABC) AMOUNTING EIGHTY THREE THOUSAND PESOS ONLY (83,000.00).  QUOTATION RECEIVED IN EXCESS OF THE ABC SHALL BE AUTOMATICALLY REJECTED. INTERESTED </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</si>
  <si>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</si>
  <si>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Republic of the Philippines Province of Guimaras OFFICE OF THE BIDS AND AWARDS COMMITTEE Invitation to Bid for  One Job Supply of Materials and Labor for the Support to Municipal Nursery/barangay Nurseries (Construction of Working Cottage) Bid Ref. No. 20</t>
  </si>
  <si>
    <t xml:space="preserve"> INVITATION TO BID FOR THE PURCHASE OF MATERIALS FOR THE CONSTRUCTION OF 2 MAKESHIFT CLASSROOMS AT MANTIBUGAO INTEGRATED SCHOOL 1.	The Local Government Unit of Manolo Fortich, through the Special Education Fund  intends to apply the sum of Two Hundred Twel</t>
  </si>
  <si>
    <t xml:space="preserve"> Flat Latex Paint: -  Latex Paint: Gloss  Flat Wall Enamel: - QDE: Enamel White  Latex Paint: Green  Enamel Paint: (green)  Paint Thinner: - Roller Board: -  Paint Brush: #1-1/2  Paint Brush: #2  Paint Brush: #3  Roller Brush: #07 Baby Roller Brush: #4  Pa</t>
  </si>
  <si>
    <t xml:space="preserve"> ITEM       QTY     UNIT        DESCRIPTION 1              1        pc           ID MAKER 2              664     pcs         RF ID Cards 3              3         rolls       ID MAKER COLOR RIBBON  4              4        rolls        ID MAKER-RETRANSFER FI</t>
  </si>
  <si>
    <t xml:space="preserve"> INVITATION TO BID IB No. 16,   S. 2020 The Municipality of General Nakar, Quezon through the Approved Appropriation Ordinance No. 2019-29  appropriating funds for the Annual Budget CY 2020 intends to apply the sum of  Six Million  Five Hundred Thousand  P</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</si>
  <si>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</si>
  <si>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Correction Tape: -  Double Sided Tape: 1"  Folder: long  Folder: short  Glue: -  Laid Paper: Short  Masking Tape: 1"  Masking Tape: 2"  Pencil: #1  Pentel Pen: Fine (blue, black, red) 12's  Photo Paper: A4 10's Printer Ink: Canon #810  Printer Ink: Canon </t>
  </si>
  <si>
    <t xml:space="preserve"> Republic of the Philippines Department of Education Region v SCHOOLS DIVISION OF SORSOGON Capitol Compound, Sorsogon City Invitation to Bid for REPAIR OF CLASSROOMS UNDER CY 2020 QUICK RESPONSE FUND (QRF)  (Lots 4,9, 11, 22 and 32 – Rebid) Project No.: 20</t>
  </si>
  <si>
    <t xml:space="preserve"> 1.Municipality of Amadeo through its GEN FUND intends to apply the sum of Php 199,898.00 being the Approved Budget Ceiling for the PURCHASE OF FORMS TO BE USED BY ASSESSOR'S OFFICE  Quotation received in excess of the ABC shall be automatically rejected. </t>
  </si>
  <si>
    <t xml:space="preserve"> 1.	The Department of Public Works and Highways Regional Office XI, Davao City, through its Bids and Awards Committee (BAC), invites bidders to submit bids for the Infra projects funded under GAA FY 2020, to wit: Contract ID 	:	20L00138 Contract Name/Locat</t>
  </si>
  <si>
    <t xml:space="preserve"> 1.	The Department of Public Works and Highways Regional Office XI, Davao City, through its Bids and Awards Committee (BAC), invites bidders to submit bids for the Infra projects funded under GAA FY 2020, to wit: Contract ID 	:	20L00146 Contract Name/Locat</t>
  </si>
  <si>
    <t xml:space="preserve"> Roofing Works</t>
  </si>
  <si>
    <t xml:space="preserve"> Procurement of Heparin, hemodialysis treatment packages</t>
  </si>
  <si>
    <t xml:space="preserve"> The Procuring Entity through its Bids and Awards Committee invites suppliers to quote for the hereunder project/program: Water System at Brgy. Sta. Monica CY 2019-20% EDF Item No.	DESCRIPTION						QNTY	UNIT 								 1	Various Construction Materials (Hardw</t>
  </si>
  <si>
    <t xml:space="preserve"> Procurement of amlodipine</t>
  </si>
  <si>
    <t xml:space="preserve"> SOLAR POWERED STREETLIGHTS</t>
  </si>
  <si>
    <t xml:space="preserve"> Republic of the Philippines Province of Guimaras OFFICE OF THE BIDS AND AWARDS COMMITTEE INVITATION TO BID FOR    SUPPLY AND DELIVERY OF MINERAL OIL, VEGETABLE OIL AND CITRONELLA PLANTS Bid Ref. No. 2020-06-353 1.	The Province of Guimaras , through the DO</t>
  </si>
  <si>
    <t xml:space="preserve"> INVITATION TO BID FOR THE PURCHASE OF MATERIALS FOR THE CONSTRUCTION OF BASE FOR TRANSFER OF HEDCOR BUILDING AT MALUKO 1.	The Local Government Unit of Manolo Fortich, through the Special Education Fund  intends to apply the sum of Five Hundred Seven Thous</t>
  </si>
  <si>
    <t xml:space="preserve"> INVITATION TO BID The City Vigan, through its Bids and Awards Committee (BAC), invites suppliers/manufacturers/distributors/contractors to apply for eligibility and to bid for the hereunder project: Name of Project:	Supply, Delivery and Installation of Br</t>
  </si>
  <si>
    <t xml:space="preserve"> 1.Municipality of Amadeo through its GEN FUND intends to apply the sum of Php 170,693.50 being the Approved Budget Ceiling for the PURCHASE OF JANITORIAL SUPPLIES TO BE USED BY DIFFERENT OFFICES Quotation received in excess of the ABC shall be automatical</t>
  </si>
  <si>
    <t xml:space="preserve"> 1.Municipality of Amadeo through its GEN FUND intends to apply the sum of Php 794,182.00 being the Approved Budget Ceiling for the PURCHASE OF OFFICE SUPPLIES TO BE USED BY DIFFERENT OFFICES Quotation received in excess of the ABC shall be automatically r</t>
  </si>
  <si>
    <t xml:space="preserve"> Please see attached copy of the Request For Quotations</t>
  </si>
  <si>
    <t xml:space="preserve"> Road widening with canal, and curb &amp; gutter</t>
  </si>
  <si>
    <t xml:space="preserve"> 1.Municipality of Amadeo through its GEN FUND intends to apply the sum of Php 290,996.90 being the Approved Budget Ceiling for the FABRICATION AND INSTALLATION OF BARANGAY DAGATAN STREETLIGHTING LOCATED @ BRGY. DAGATAN, AMADEO, CAVITE Quotation received i</t>
  </si>
  <si>
    <t xml:space="preserve"> 1.Municipality of Amadeo through its GEN FUND intends to apply the sum of Php 284,750.00 being the Approved Budget Ceiling for the INSTALLATION OF CCTV CAMERA @ VARIOUS BARANGAY LOCATED @ AMADEO, CAVITE Quotation received in excess of the ABC shall be aut</t>
  </si>
  <si>
    <t xml:space="preserve"> 1.	The Department of Public Works and Highways Regional Office XI, Davao City, through its Bids and Awards Committee (BAC), invites bidders to submit bids for the Infra projects funded under GAA FY 2020, to wit:   Contract ID 	:	20L00158 Contract Name/Loc</t>
  </si>
  <si>
    <t xml:space="preserve"> Losartan: 50mg Lagundi: 300mg tab  Diphenhydramine: 50mg  Diphenhydramine amp: 50mg/ml 1ml Ranitidine amp: 25mg/ml 2ml  Salbutamol syrup: 60ml  Ascorbic Acid: 500g  Cinnarizine: 200mg  Salbutamol: 2mg  Omeprazole: 20mg  Gentamicin Amp: 40mg/ml 2ml  Cefuro</t>
  </si>
  <si>
    <t xml:space="preserve"> The Procuring Entity through its Bids and Awards Committee invites suppliers to quote for the hereunder project/program: Water System Improvement @ Barangay Bagtic CY 2019-20% EDF. Item No.	       DESCRIPTION				QNTY	UNIT 								 1	Various Plumbing Mater</t>
  </si>
  <si>
    <t xml:space="preserve"> Medical Oxygen: -</t>
  </si>
  <si>
    <t xml:space="preserve"> Supply &amp; delivery of various Construction Supply</t>
  </si>
  <si>
    <t xml:space="preserve"> 1.	The Department of Public Works and Highways Regional Office XI, Davao City, through its Bids and Awards Committee (BAC), invites bidders to submit bids for the Infra projects funded under GAA FY 2020, to wit: Contract ID 	:	20L00157 \Contract Name/Loca</t>
  </si>
  <si>
    <t xml:space="preserve"> Republika ng Pilipinas PAMAHALAANG LUNGSOD NG TACLOBAN (City Government of Tacloban) Kanhuraw Hill, Tacloban City 6500 BIDS AND AWARDS COMMITTEE INVITATION TO BID  REF #042-06-2020 (JUNE 25, 2020) PR# 2020-681 DATED 06-09-2020 7060270 The Procuring Entity</t>
  </si>
  <si>
    <t xml:space="preserve"> Please see attached copy of the Request For Quotation</t>
  </si>
  <si>
    <t xml:space="preserve"> various Office Supplies</t>
  </si>
  <si>
    <t xml:space="preserve"> 1.Municipality of Amadeo through its GEN FUND intends to apply the sum of Php 1,999,850.00 being the Approved Budget Ceiling for the PURCHASE OF MEDICINE TO BE USED BY RHU Quotation received in excess of the ABC shall be automatically rejected. 2. BAC of </t>
  </si>
  <si>
    <t xml:space="preserve"> 1.	The Department of Public Works and Highways Regional Office XI, Davao City, through its Bids and Awards Committee (BAC), invites bidders to submit bids for the Infra projects funded under GAA FY 2020, to wit: Contract ID 	:	20L00162 Contract Name/Locat</t>
  </si>
  <si>
    <t xml:space="preserve"> 1.Municipality of Amadeo through its GEN FUND intends to apply the sum of Php 99,800.00 being the Approved Budget Ceiling for the PURCHASE OF SAFETY GEARS FOR MDRRMO RESPONDERS  Quotation received in excess of the ABC shall be automatically rejected. 2. B</t>
  </si>
  <si>
    <t xml:space="preserve"> 1.Municipality of Amadeo through its GEN FUND intends to apply the sum of Php 675,473.14 being the Approved Budget Ceiling for the CONCRETING OF TALYER ROAD LOCATED @ BRGY. SALABAN, AMADEO, CAVITE Quotation received in excess of the ABC shall be automatic</t>
  </si>
  <si>
    <t xml:space="preserve"> 1.	The Department of Public Works and Highways Regional Office XI, Davao City, through its Bids and Awards Committee (BAC), invites bidders to submit bids for the Infra projects funded under GAA FY 2020, to wit: Contract ID 	:	20L00163 Contract Name/Locat</t>
  </si>
  <si>
    <t xml:space="preserve"> 1.	The Department of Public Works and Highways Regional Office XI, Davao City, through its Bids and Awards Committee (BAC), invites bidders to submit bids for the Infra projects funded under GAA FY 2020, to wit: Contract ID 	:	20L00161 Contract Name/Locat</t>
  </si>
  <si>
    <t xml:space="preserve"> 1.Municipality of Amadeo through its GEN FUND intends to apply the sum of Php 117,509.00 being the Approved Budget Ceiling for the PURCHASE OF MEDICAL SUPPLIES TO BE USED BY RHU Quotation received in excess of the ABC shall be automatically rejected. 2. B</t>
  </si>
  <si>
    <t xml:space="preserve"> The DPWH, Negros Occidental 3rd District Engineering Office, Kabankalan City, Negros Occidental, through its Bids and Awards Committee (BAC), invites contractors to submit bids for the following contract: 1. Contract ID		:	20GM0063 (Re-bidding) Contract N</t>
  </si>
  <si>
    <t xml:space="preserve"> 1.Municipality of Amadeo through its GEN FUND intends to apply the sum of Php 630,413.06 being the Approved Budget Ceiling for the IMPROVEMENT OF AMADEO POLICE STATION LOCATED @ AMADEO, CAVITE Quotation received in excess of the ABC shall be automatically</t>
  </si>
  <si>
    <t xml:space="preserve"> INVITATION TO BID FOR THE SUPPLY AND DELIVERY OF RELIEF GOODS   1.	The City of Iloilo, through the General Fund intends to apply the sum of Five Hundred Seventy-Nine Thousand Nine Hundred Thirty-Seven Pesos Eighty Centavos (P579,937.80) being the Approved</t>
  </si>
  <si>
    <t xml:space="preserve"> Please quote your lowest price inclusive of VAT on the items/supplies listed below, subject to the Terms and Conditions of this RFQ, and submit your quotation duly signed by your representative not later than April 2, 2020 at Bids and Awards Committee of </t>
  </si>
  <si>
    <t xml:space="preserve"> Procurement of Goods vit C</t>
  </si>
  <si>
    <t xml:space="preserve"> 1.Municipality of Amadeo through its GEN FUND intends to apply the sum of Php 100,000.00 being the Approved Budget Ceiling for the PURCHASE OF WHEEL CLAMP TO BE USED FOR BALIK KALSADA PROGRAM OF PNP Quotation received in excess of the ABC shall be automat</t>
  </si>
  <si>
    <t xml:space="preserve"> 1.	The Department of Public Works and Highways Regional Office XI, Davao City, through its Bids and Awards Committee (BAC), invites bidders to submit bids for the Infra projects funded under GAA FY 2020, to wit: Contract ID 	:	20L00159 Contract Name/Locat</t>
  </si>
  <si>
    <t xml:space="preserve"> 1.	The Department of Public Works and Highways Regional Office XI, Davao City, through its Bids and Awards Committee (BAC), invites bidders to submit bids for the Infra projects funded under GAA FY 2020, to wit: Contract ID 	:	20L00160 Contract Name/Locat</t>
  </si>
  <si>
    <t xml:space="preserve"> The Technical Education and Skills Development Authority (TESDA), through the TESDA-PTC Sindangan, Zamboanga del Norte will undertake a Small Value Procurement for the “Supplies and materials to be used for skills training Cum Production in Wooden Poultry</t>
  </si>
  <si>
    <t xml:space="preserve"> The Authority is now accepting quotes for Office Chairs</t>
  </si>
  <si>
    <t xml:space="preserve"> 1.Municipality of Amadeo through its GEN FUND intends to apply the sum of Php 150,000.00 being the Approved Budget Ceiling for the PROVISION OF PLACENTA / MEDICAL WASTE PIT Quotation received in excess of the ABC shall be automatically rejected. 2. BAC of</t>
  </si>
  <si>
    <t xml:space="preserve"> 60	bags 	Ammonium Sulfate (21-0-0)	  210	bags 	Complete Fertilizer (14-14-14)</t>
  </si>
  <si>
    <t xml:space="preserve"> Republic of the Philippines City of Cagayan de Oro BIDS AND AWARDS COMMITTEE  INVITATION TO BID  FOR  Supply and Delivery of Various Office Supplies; PR No. 20-1432 dated 11 June 2020; SN 131 - 2020 1.	The City Government of Cagayan de Oro, through the Ge</t>
  </si>
  <si>
    <t xml:space="preserve"> Procurement of the following: a. 75 bags  - Seeds b. 75 bags  - Urea (46-0-0)  c. 150 bags - Complete (14-14-14)</t>
  </si>
  <si>
    <t xml:space="preserve"> 1.Municipality of Amadeo through its GEN FUND intends to apply the sum of Php 290,999.03 being the Approved Budget Ceiling for the CONSTRUCTION OF CANAL LINING LOCATED @ BRGY. #7, AMADEO, CAVITE Quotation received in excess of the ABC shall be automatical</t>
  </si>
  <si>
    <t xml:space="preserve"> 1. The Mindanao State University - Tawi-Tawi College of Technology and Oceanography (MSU-TCTO), through the TRUST FUND, intends to apply the sum of Three Hundred Seventy Thousand Two Hundred Fifty-Two and 72/100 pesos only (PhP 370,252.572) being approved</t>
  </si>
  <si>
    <t xml:space="preserve"> 1.Municipality of Amadeo through its GEN FUND intends to apply the sum of Php 122,525.00 being the Approved Budget Ceiling for the PROCUREMENT AND RESTORATION OF RADIO COMMUNICATION Quotation received in excess of the ABC shall be automatically rejected. </t>
  </si>
  <si>
    <t xml:space="preserve"> 1. The Mindanao State University - Tawi-Tawi College of Technology and Oceanography (MSU-TCTO), through the GAA 2020, intends to apply the sum of Nine Hundred Seventy-Six Thousand Eight Hundred Forty and 09/100 pesos only (PhP 976,840.09) being approved B</t>
  </si>
  <si>
    <t xml:space="preserve"> June 24, 2020 Name of Project:	PROCUREMENT AND DELIVERY OF MATERIALS FOR THE CONSTRUCTION OF 84 BY 1 METER PERIMETER FENCE OF LEUTEBORO NHS. Sir/Madame: Please quote your lowest price for the following item enumerated below, taking into consideration the </t>
  </si>
  <si>
    <t xml:space="preserve"> Repair/Maintenance of DPWH Building Super Area (Storage Room)</t>
  </si>
  <si>
    <t xml:space="preserve"> 1.Municipality of Amadeo through its GEN FUND intends to apply the sum of Php 272,950.00 being the Approved Budget Ceiling for the PURCHASE OF BUSINESS PLATES, 2020 STICKER AND TODA STICKER FOR THE USE OF BPLO Quotation received in excess of the ABC shall</t>
  </si>
  <si>
    <t xml:space="preserve"> 25 Sets of Garbage Bins</t>
  </si>
  <si>
    <t xml:space="preserve"> Construction of Rainwater Collection System (RWCS)</t>
  </si>
  <si>
    <t xml:space="preserve"> 1.	The Department of Public Works and Highways Regional Office XI, Davao City, through its Bids and Awards Committee (BAC), invites bidders to submit bids for the Infra projects funded under GAA FY 2020, to wit: Contract ID 	:	20L00166 Contract Name/Locat</t>
  </si>
  <si>
    <t xml:space="preserve"> Repair/Maintenance of DPWH Building, Langogan Resthouse</t>
  </si>
  <si>
    <t xml:space="preserve"> Procurement of the following: a. 10kls of Assorted Vegetable Seeds b. Farm Tools/Inputs</t>
  </si>
  <si>
    <t xml:space="preserve"> GT6                                                                                                                                                                                                                                                            </t>
  </si>
  <si>
    <t xml:space="preserve"> Republic of the Philippines MUNICIPALITY OF ORION Province of Bataan Bids and Awards Committee Secretariat Office, 2nd Floor Municipal Building, San Vicente, Orion, Bataan Telephone No. 244-9611 REQUEST FOR QUOTATION (RFQ) The Municipality of Orion, throu</t>
  </si>
  <si>
    <t xml:space="preserve"> 15	Pcs.	85 A Toner 5	Pcs.	Duster 4	Sets	Brother Ink 2	Sets	HP Deskjet 728 Black                    HP Deeskjet 728 Yellow                HP Deskjet 728 Magenta                HP Deskjet 728 Cyan 20	Rms.	Short Bond Paper 14	Pcs.	Record Book (300pages) 6	Bo</t>
  </si>
  <si>
    <t xml:space="preserve"> INVITATION TO BID IB-2020-100-INFRA Drainage Improvement and Concreting at Barangay Sauyo, District VI, Quezon City 1.	The Metropolitan Manila Development Authority, through the 2020 General Appropriations Act (GAA)intends to apply the sum of EightMillion</t>
  </si>
  <si>
    <t xml:space="preserve"> INVITATION TO BID IB-2020-099-INFRA Drainage Improvement along Esperanza St. and Vicinities, District II, Valenzuela City 1.	The Metropolitan Manila Development Authority, through the 2020 General Appropriations Act (GAA)intends to apply the sum of Thirte</t>
  </si>
  <si>
    <t xml:space="preserve"> Invitation to Bid  For the Construction of Four (4) Storey Sixteen (16) Classroom Building at Lapaz National High School, Lapaz, Iloilo City 1.	The City of Iloilo, through the SEF Capital Outlay, CY2019 intends to apply the sum of Forty Five Million Pesos</t>
  </si>
  <si>
    <t xml:space="preserve"> Repainting of Concrete Bridges</t>
  </si>
  <si>
    <t xml:space="preserve"> Republic of the Philippines PROVINCE OF ZAMBOANGA DEL SUR Municipality of Dimataling BIDS AND AWARD COMMITTEE Reference Number : PR-180-100-200 Date: June 17, 2020 Project Title/P.R. # : PURCHASE OF ISOLATION AMENITIES Approved Budget of the Contract : Ph</t>
  </si>
  <si>
    <t xml:space="preserve"> Republic of the Philippines Province of Guimaras OFFICE OF THE BIDS AND AWARDS COMMITTEE INVITATION TO BID FOR    SUPPLY AND DELIVERY OF KITCHENWARE Bid Ref. No. 2020-06-352 1.	The Province of Guimaras , through the DOLE Kabuhayan Program (Various Livelih</t>
  </si>
  <si>
    <t xml:space="preserve"> INVITATION TO BID IB-2020-097-INFRA Rehabilitation / Improvement and Maintenance of Drainage System along Beata St., and Vicinity, Pandacan, District VI, Manila City 1.	The Metropolitan Manila Development Authority, through the 2020 General Appropriations</t>
  </si>
  <si>
    <t xml:space="preserve"> INVITATION TO BID IB-2020-101-INFRA Drainage Improvement and Concreting at Barangay Vasra, District I, Quezon City 1.	The Metropolitan Manila Development Authority, through the 2020 General Appropriations Act (GAA)intends to apply the sum of FiveMillion, </t>
  </si>
  <si>
    <t xml:space="preserve"> Republic of the Philippines Province of Guimaras OFFICE OF THE BIDS AND AWARDS COMMITTEE INVITATION TO BID FOR    SUPPLY AND DELIVERY OF LAPTOP WITH PRINTER AND OTHER SUPPLIES AND EQUIPMENT Bid Ref. No. 2020-06-351 1.	The Province of Guimaras , through th</t>
  </si>
  <si>
    <t xml:space="preserve"> The Cavite National High School – Junior High School will undertake a procurement for the “Office Supplies” with the approved budget of Five Hundred Fifty Thousand Pesos(Php 550,000.00).</t>
  </si>
  <si>
    <t xml:space="preserve"> DIGITAL RADIOGRAPHIC SYSTEM SPECIFICATION DIGITAL RADIOGRAPHY DETECTOR: Scintillator Type:Cesium lodide (CsI) Pixel Pitch: 140 um Field of View: 14x17 inch  Effective area: 356.72x428.4 mm Resolution:2536x3048 Grayscale:14 bit Spatial Resolution: 3.5 lp/m</t>
  </si>
  <si>
    <t xml:space="preserve"> Availability in Cargo Bed Sizes in length      :   10 ft long Color options                                            :   any color except white Valves                                                     :    8 Gearbox details                            </t>
  </si>
  <si>
    <t xml:space="preserve"> Concreting of Multi-Purpose Pavement @ Barangay Lanting, Roxas, Isabela</t>
  </si>
  <si>
    <t xml:space="preserve"> INVITATION TO BID IB-2020-096-INFRA        Drainage Improvement along C5, District II, Makati City 1.	The Metropolitan Manila Development Authority, through the 2020 General Appropriations Act (GAA)intends to apply the sum of FiveMillion, NineHundredEight</t>
  </si>
  <si>
    <t xml:space="preserve"> Invitation to Bid No. NSCV2020-03 RE-BIDDING- PROCUREMENT OF 1 LOT VARIOUS LABORATORY REAGENTS 1.	The West Visayas State University Medical Center, through its NSCV Fund 2020 intends to apply the sum of SIX HUNDRED EIGHT THOUSAND PESOS (PhP 608,000.00) ON</t>
  </si>
  <si>
    <t xml:space="preserve"> QTY	UNIT	ITEM DESCRIPTION 		  40.00 	ream/s	Copy Paper A4, 80 gsm, substance 24  40.00 	ream/s	Copy Paper Legal size, 80 gsm, substance 24  420.00 	pc/s	Ivory Long Folder</t>
  </si>
  <si>
    <t xml:space="preserve"> INVITATION TO BID IB-2020-095-INFRA        Drainage Improvement along Kalayaan Avenue, District II, Makati City 1.	The Metropolitan Manila Development Authority, through the 2020 General Appropriations Act (GAA)intends to apply the sum of SevenMillion, Fo</t>
  </si>
  <si>
    <t xml:space="preserve"> Ten (10) rl Cable, coaxial with 18/2 power 100meters &amp; 8 other line items</t>
  </si>
  <si>
    <t xml:space="preserve"> Republic of the Philippines 				 						City of Manila				 						BARANGAY 606, ZONE 60, DISTRICT VI				 						BIDS AND AWARDS COMMITTEE				 										 										June 25, 2020 										D A T E 						INVITATION TO BID 				 										 BARANGAY 606, ZONE 60, </t>
  </si>
  <si>
    <t xml:space="preserve"> INVITATION TO BID IB-2020-098-INFRA Improvement / Deepening of Estero De Concordia, Pandacan,  District VI, Manila 1.	The Metropolitan Manila Development Authority, through the 2020 General Appropriations Act (GAA)intends to apply the sum of ThirteenMilli</t>
  </si>
  <si>
    <t xml:space="preserve"> Republic of the Philippines    PROVINCIAL GOVERNMENT OF EASTERN SAMAR Provincial Capitol, 6800 Borongan City  E-mail Address: esamar.bac@gmail.com REQUEST FOR QUOTATION RFQ No. 2020-06-281                                                                   </t>
  </si>
  <si>
    <t xml:space="preserve"> 1.Municipality of Amadeo through its GEN FUND intends to apply the sum of Php 62,830.00 being the Approved Budget Ceiling for the PURCHASE OF SUPPLIES FOR USE OF OSCA  Quotation received in excess of the ABC shall be automatically rejected. 2. BAC of the </t>
  </si>
  <si>
    <t xml:space="preserve"> HIKVISION eASYLp 4.0 H.265+ 4MP WDR FF4.0mm IP67 Bullet IPC (12VDC/PoE. MicroSD, ColorVu HIKVISION H.265+ 160 Mbps 16CH 4SATA 1.5U NVR (Audio 1/O=1/1,Alarm I/O-= 16/4, 100M x2, HDMI xs1,4K WD Purple Surveillance HDD 8TB SATA HIKVISION 16-Port Web Managed </t>
  </si>
  <si>
    <t xml:space="preserve"> Invitation to Bid  For the Rehabilitation/Construction of Roads at Brgy. Bakhaw, Mandurriao, Iloilo City 1.	The City of Iloilo, through the 20% Development Fund, CY2019 intends to apply the sum of Two Million Pesos (Php 2,000,000.00) being the Approved Bu</t>
  </si>
  <si>
    <t xml:space="preserve"> 3926 cu.m. Aggregates</t>
  </si>
  <si>
    <t xml:space="preserve"> ----------ANTHROPOMORPHIC PHANTOM    Features Patient positioning: -	Shoulders rotate full 360 degrees in the sagittal plane, approx. 180 degrees to side-ways. -	Elbows bend up to approx. 90 degrees. -	Hip joints rotate forward up to 90 degrees, then rota</t>
  </si>
  <si>
    <t xml:space="preserve"> Invitation to Bid  For the Construction/Rehabilitation of Existing Drainage System at Brgy. Navais, Mandurriao, Iloilo City 1.	The City of Iloilo, through the 20% Development Fund, CY2019 intends to apply the sum of Two Million Pesos (Php 2,000,000.00) be</t>
  </si>
  <si>
    <t xml:space="preserve"> Republic of the Philippines                                           Province of Leyte     MUNICIPALITY OF ALBUERA       OFFICE OF THE BIDS AND AWARDS COMMITTEE INVITATION TO BID 	The Local Government Unit of Albuera, Leyte through its Bids and Awards Co</t>
  </si>
  <si>
    <t xml:space="preserve"> 1.	The Department of Public Works and Highways Regional Office XI, Davao City, through its Bids and Awards Committee (BAC), invites bidders to submit bids for the Infra projects funded under GAA FY 2020, to wit: Contract ID 	:	20L00165 Contract Name/Locat</t>
  </si>
  <si>
    <t xml:space="preserve"> INVITATION TO BID IB-2020-106-INFRA Dredging of Maricaban Creek, at the Back of Magallanes Village, Makati City and Villamor Barangay 183 Pasay City 1.	The Metropolitan Manila Development Authority, through the 2020 General Appropriations Act (GAA)intends</t>
  </si>
  <si>
    <t xml:space="preserve"> INVITATION TO BID IB-2020-105-INFRA Improvement of Malabon-Tullahan River, Muzon-Concepcion,  Malabon City 1.	The Metropolitan Manila Development Authority, through the 2020 General Appropriations Act (GAA)intends to apply the sum of NineMillion, NineHund</t>
  </si>
  <si>
    <t xml:space="preserve"> INVITATION TO BID IB-2020-104-INFRA Drainage Improvement / Declogging along R-10, Pacheco St. and Vicinity, Tondo, District I, Manila City 1.	The Metropolitan Manila Development Authority, through the 2020 General Appropriations Act (GAA)intends to apply </t>
  </si>
  <si>
    <t xml:space="preserve"> INVITATION TO BID IB-2020-103-INFRA Drainage Improvement / Declogging along J. Luna St., H. Lopez Blvd., C-2 Road and Vicinity, Tondo, District II, Manila 1.	The Metropolitan Manila Development Authority, through the 2020 General Appropriations Act (GAA)i</t>
  </si>
  <si>
    <t xml:space="preserve"> ARTICLE AND DESCRIPTION											 ITEM	QTY.	UNIT						CEILING 					UNIT PRICE		TOTAL  								PRICE							 															 				Office: Universidad De Manila				PR No. 834							 				Charge to: Training Expenses				OBR No. 100-2006-05038							 				ABC:  </t>
  </si>
  <si>
    <t xml:space="preserve"> INVITATION TO BID IB-2020-102-INFRA Drainage Improvement and Concreting at Barangay BagongSilangan, District II, Quezon City 1.	The Metropolitan Manila Development Authority, through the 2020 General Appropriations Act (GAA)intends to apply the sum of Thi</t>
  </si>
  <si>
    <t xml:space="preserve"> The DPWH, Negros Occidental 3rd District Engineering Office, Kabankalan City, Negros Occidental, through its Bids and Awards Committee (BAC), invites contractors to submit bids for the following contract: 1. Contract ID		:	20GM0080 Contract Name	:	Upgradi</t>
  </si>
  <si>
    <t xml:space="preserve"> Republic of the Philippines City of Cagayan de Oro BIDS AND AWARDS COMMITTEE INVITATION TO BID  FOR  SUPPLY AND DELIVERY OF DIESEL AND UNLEADED GASOLINE INCLUDING INSTALLATION OF PETROLEUM UNDERGROUND STORAGE TANKS AND FUEL DISPENSERS; PR NO. 20-1431 DATE</t>
  </si>
  <si>
    <t xml:space="preserve"> 1.	The Department of Public Works and Highways Regional Office XI, Davao City, through its Bids and Awards Committee (BAC), invites bidders to submit bids for the Infra projects funded under GAA FY 2020, to wit: Contract ID 	:	20L00164 Contract Name/Locat</t>
  </si>
  <si>
    <t xml:space="preserve"> Surgical Face Mask: Earloop 3ply</t>
  </si>
  <si>
    <t xml:space="preserve"> Republic of the Philippines Province of Batangas Municipality of San Nicolas Invitation to Bid for the Purchase of Dump Truck to be used in Solid Waste Management 1.	The MUNICIPALITY OF SAN NICOLAS through the Continuing Appropriation – 20% Dev. Fund inte</t>
  </si>
  <si>
    <t xml:space="preserve"> Ceftriaxone vial: 1g</t>
  </si>
  <si>
    <t xml:space="preserve"> CONSTRUCTION OF POTABLE WATER SYSTEM LEVEL II WITH 1 UNIT 2X2X2 30M CONCRETE RESERVOIR AND 4 UNITS COMMUNAL FAUCET.</t>
  </si>
  <si>
    <t xml:space="preserve"> Invitation to Bid  For the Repair of Classroom at Melchor L. Nava National High School, Calaparan, Arevalo, Iloilo City 1.	The City of Iloilo, through the SEF Capital Outlay, CY2019 – P 10,000,000.00; SEF Capital Outlay, CY2020 – P 1,000,000.00 intends to</t>
  </si>
  <si>
    <t xml:space="preserve"> 1.Municipality of Amadeo through its GEN FUND intends to apply the sum of Php 618,000.00 being the Approved Budget Ceiling for the PURCHASE OF IT EQUIPMENTS TO BE USED BY LGU-AMADEO Quotation received in excess of the ABC shall be automatically rejected. </t>
  </si>
  <si>
    <t xml:space="preserve"> The Department of Trade and Industry - Rizal invites all interested parties to submit their quotation/proposal for the goods listed per line item below for 60 Starter Kit Packages for Sari-Sari Store through the Implementation of Negosyo Cerbisyo sa Baran</t>
  </si>
  <si>
    <t xml:space="preserve"> 1.	The Department of Public Works and Highways Regional Office XI, Davao City, through its Bids and Awards Committee (BAC), invites bidders to submit bids for the Infra projects funded under GAA FY 2020, to wit: Contract ID 	:	20L00155 Contract Name/Locat</t>
  </si>
  <si>
    <t xml:space="preserve"> 1.	The Department of Public Works and Highways Regional Office XI, Davao City, through its Bids and Awards Committee (BAC), invites bidders to submit bids for the Infra projects funded under GAA FY 2020, to wit: Contract ID 	:	20L00156 Contract Name/Locat</t>
  </si>
  <si>
    <t xml:space="preserve"> Republic of the Philippines Province of Guimaras OFFICE OF THE BIDS AND AWARDS COMMITTEE INVITATION TO BID FOR    SUPPLY AND DELIVERY OF VETERINARY SUPPLIES Bid Ref. No. 2020-06-344 1.	The Province of Guimaras , through the (Item 1,2,3,4 and 5 P18,092.00-</t>
  </si>
  <si>
    <t xml:space="preserve"> Primary Registration Household Registration Resident List ID Printing Integration Logistic Inventory Automation of Barangay Certifications Reports Website with Database integrated in RBI System   Logistic for Barangay Census (5 Staff in 60days) 5 mobile p</t>
  </si>
  <si>
    <t xml:space="preserve"> Republic of the Philippines Province of Guimaras OFFICE OF THE BIDS AND AWARDS COMMITTEE INVITATION TO BID FOR    SUPPLY AND DELIVERY OF CURTAINS AND CURTAIN RODS Bid Ref. No. 2020-06-355 1.	The Province of Guimaras , through the 2020 Regular Budget- Offi</t>
  </si>
  <si>
    <t xml:space="preserve"> Republic of the Philippines Province of Guimaras OFFICE OF THE BIDS AND AWARDS COMMITTEE INVITATION TO BID FOR    SUPPLY AND DELIVERY OF MEDICAL OXYGEN Bid Ref. No. 2020-06-343 1.	The Province of Guimaras , through the Revolving Fund (BEH) 502-03-070 inte</t>
  </si>
  <si>
    <t xml:space="preserve"> Republic of the Philippines                                                                        Municipality of Tagoloan                                                                 PROVINCE OF MISAMIS ORIENTAL                                       </t>
  </si>
  <si>
    <t xml:space="preserve"> The Procuring Entity through its Bids and Awards Committee invites suppliers to quote for the hereunder project/program: Medicines CY 2020 General Fund Item No.	      DESCRIPTION					QNTY	UNIT 								 1	     Various Drugs and Medicines:		                </t>
  </si>
  <si>
    <t xml:space="preserve"> Plain 0.9% NaCl: 1000ml  Lactated Ringers Solution: 1000ml (plain)  Lactated Ringers Solution: 500ml (plain)  D5: LRS 1000ml 12's  D5: 0.3% 500ml  Euro Ion: 500ml  Plain 0.9% Sodium Chloride (NaCl): 500ml  D5: 0.3% 500ml</t>
  </si>
  <si>
    <t xml:space="preserve"> Detergent: Powder 400g  Fabric Softener/Freshener: 900ml Garden Scent  Air Freshener: 450ml 4.00 Insecticide/Insect Killer: 500ml  Floor Wax: 900g  Tissue Paper: 12 rolls/pack Tissue Paper: -  Scrubbing Pad: w/ foam  Muriatic Acid: 2lit  Air Freshener: Sp</t>
  </si>
  <si>
    <t xml:space="preserve"> Republic of the Philippines Province of Guimaras OFFICE OF THE BIDS AND AWARDS COMMITTEE INVITATION TO BID FOR    SUPPLY AND DELIVERY OF WATER TREATMENT EQUIPMENT Bid Ref. No. 2020-03-224 1.	The Province of Guimaras , through the PHO – (107-04-990) Capita</t>
  </si>
  <si>
    <t xml:space="preserve"> Republic of the Philippines                                                             Municipality of Tagoloan                                                     PROVINCE OF MISAMIS ORIENTAL                                                              </t>
  </si>
  <si>
    <t xml:space="preserve"> Republic of the Philippines City of Cagayan de Oro BIDS AND AWARDS COMMITTEE  INVITATION TO BID  FOR  Supply and Delivery of Medical, Dental and Labarotary Supplies (Lot No. and Lot No. 2); PR No. 20-1412 dated 29 May 2020; SN 130 - 2020 1.	The City Gover</t>
  </si>
  <si>
    <t xml:space="preserve"> Air conditioner: Specification: 2.5 HP Window Type – Non Inverter Width – (MM) 659 = 26 INCH Height – (MM) 428 = 17 INCH</t>
  </si>
  <si>
    <t xml:space="preserve"> RFQ for the School and Office Supplies</t>
  </si>
  <si>
    <t xml:space="preserve"> Invitation to Bid  For the Construction/Rehabilitation of Existing Drainage System at Brgy. Tacas, Jaro, Iloilo City 1.	The City of Iloilo, through the 20% Development Fund, CY2018 intends to apply the sum of One Million Pesos (Php 1,000,000.00) being the</t>
  </si>
  <si>
    <t xml:space="preserve"> D5: LRS 1 Liter, 12's  LRS: 1liter 12's  D5: 0.3% NaCl 1 Liter, 12's</t>
  </si>
  <si>
    <t xml:space="preserve"> Republic of the Philippines                                                                  Municipality of Tagoloan                                                          PROVINCE OF MISAMIS ORIENTAL                                                    </t>
  </si>
  <si>
    <t xml:space="preserve"> Republic of the Philippines 				 						City of Manila				 						BARANGAY 365, ZONE 37, DISTRICT III				 						BIDS AND AWARDS COMMITTEE				 										 										June 25, 2020 										D A T E 						INVITATION TO BID 				 										 BARANGAY 365, ZONE 37,</t>
  </si>
  <si>
    <t xml:space="preserve"> Invitation to Bid  For the Construction/Rehabilitation of Existing Drainage System at Brgy. Pali-Benedicto, Mandurriao, Iloilo City 1.	The City of Iloilo, through the 20% Development Fund, CY2019 intends to apply the sum of Three Million Pesos (Php 3,000,</t>
  </si>
  <si>
    <t xml:space="preserve"> INVITATION TO BID FOR THE PURCHASE OF MATERIALS FOR THE CONSTRUCTION OF 2 MAKESHIFT CLASSROOMS AT DAHILAYAN INTEGRATED SCHOOL 1.	The Local Government Unit of Manolo Fortich, through the Special Education Fund  intends to apply the sum of Two Hundred Twelv</t>
  </si>
  <si>
    <t xml:space="preserve"> Invitation to Bid  For the Construction/Rehabilitation/Improvement of Multi-Purpose Hall at Brgy. Bakhaw, Mandurriao, Iloilo City 1.	The City of Iloilo, through the 20% Development Fund, CY2020  intends to apply the sum of One Million Three Hundred Thousa</t>
  </si>
  <si>
    <t xml:space="preserve"> 1.Municipality of Amadeo through its GEN FUND intends to apply the sum of Php 89,500.00 being the Approved Budget Ceiling for the PURCHASE OF MEDICAL EQUIPMENT TO BE USED BY DIFFERENT OFFICES Quotation received in excess of the ABC shall be automatically </t>
  </si>
  <si>
    <t xml:space="preserve"> 1.Municipality of Amadeo through its GEN FUND intends to apply the sum of Php 70,000.00 being the Approved Budget Ceiling for the PURCHASE OF PHOTOGRAPHIC EQUIPMENT TO BE USED BY DIFFERENT OFFICES Quotation received in excess of the ABC shall be automatic</t>
  </si>
  <si>
    <t xml:space="preserve"> Republic of the Philippines 				 						City of Manila				 						BARANGAY 389, ZONE 40, DISTRICT III				 						BIDS AND AWARDS COMMITTEE				 										 										June 25, 2020 										D A T E 						INVITATION TO BID 				 										 BARANGAY 389, ZONE 40,</t>
  </si>
  <si>
    <t xml:space="preserve"> Invitation to Bid  For the Fabrication and Installation of Grills in Classrooms of PAGCOR Building and Four (4) Storey BEEF Building at Iloilo City National High School, Molo, Iloilo City 1.	The City of Iloilo, through the SEF, CY2018  intends to apply th</t>
  </si>
  <si>
    <t xml:space="preserve"> Republic of the Philippines 				 						City of Manila				 						BARANGAY 177, ZONE 16, DISTRICT II				 						BIDS AND AWARDS COMMITTEE				 										 										June 25, 2020 										D A T E 						INVITATION TO BID 				 										 BARANGAY 177, ZONE 16, </t>
  </si>
  <si>
    <t xml:space="preserve"> 1. The Local Government Unit of Magsaysay, Occidental Mindoro through the Annual Budget approved by Sanggunian intends to apply the sum of One-hundred Eighty Thousand Pesos (P180,000.00) being the Approved Budget for the Contract (ABC) to payment under th</t>
  </si>
  <si>
    <t xml:space="preserve"> ITEM NO. 	QTY.  	UNIT        	NAME/DESCRIPTION  OF ARTICLES                                                                          (State Brand or Market Name)                                                                     						UNIT PRICE   		TOTA</t>
  </si>
  <si>
    <t xml:space="preserve"> 1.Municipality of Amadeo through its GEN FUND intends to apply the sum of Php 461,900.00 being the Approved Budget Ceiling for the PURCHASE OF OFFICE EQUIPMENT TO BE USED BY DIFFERENT OFFICES  Quotation received in excess of the ABC shall be automatically</t>
  </si>
  <si>
    <t xml:space="preserve"> Four (4) ea Speaker, Body Assembly &amp; 14 other line items</t>
  </si>
  <si>
    <t xml:space="preserve"> 1.Municipality of Amadeo through its GEN FUND intends to apply the sum of Php 474,001.00 being the Approved Budget Ceiling for the PURCHASE OF IT EQUIPMENTS TO BE USED BY DIFFERENT OFFICES Quotation received in excess of the ABC shall be automatically rej</t>
  </si>
  <si>
    <t xml:space="preserve"> Republika ng Pilipinas PAMAHALAANG LUNGSOD NG TACLOBAN (City Government of Tacloban) Kanhuraw Hill, Tacloban City 6500 BIDS AND AWARDS COMMITTEE INVITATION TO BID  REF #041(1)-06-2020 (JUNE 25, 2020) PR# 2020-647 DATED 05-28-2020 7062711 The Procuring Ent</t>
  </si>
  <si>
    <t xml:space="preserve"> Please submit the following documents: FUND 01 A. PhilGEPS Certificate of Registration and Membership in accordance with Section 8.5.2 of the IRR B. Mayor's Permit C. Latest Income and Tax Returns D. Omnibus Sworn Statement 300	cart	INK CART, EPSON C13T66</t>
  </si>
  <si>
    <t xml:space="preserve"> Good Lumber etc. NOTE:To all suppliers bid documents and BAC Resolution 2020-029 are available at BAC Office and LGU website.</t>
  </si>
  <si>
    <t xml:space="preserve"> 1.Municipality of Amadeo through its GEN FUND intends to apply the sum of Php 434,600.00 being the Approved Budget Ceiling for the PURCHASE OF FURNITURE AND FIXTURES TO BE USED BY DIFFERENT OFFICES Quotation received in excess of the ABC shall be automati</t>
  </si>
  <si>
    <t xml:space="preserve"> QTY	UNIT	ITEM DESCRIPTION 		 		"(FOTON VIEW AMBULANCE - SAA 6353)  Office of the Municipal Health Officer"  2.00 	pc	Ball Joint Lower  2.00 	pc	Ball Joint Upper  1.00 	l	Automatic Transmission Fluid  1.00 	pc	Battery 2SM 		Labor : 		Replacement of Ball Jo</t>
  </si>
  <si>
    <t xml:space="preserve"> Supply and Delivery of various CI and Mechanical Fittings for Potable Water The Metro Midsayap Water District (MMWD) gives notice that  quotations are invited for the Supply and Delivery of various CI Fittings for Potable Water 2 pcs - CI Mechanical Elbow</t>
  </si>
  <si>
    <t xml:space="preserve"> Republic of the Philippines Province of Cavite Municipality of Naic BIDS AND AWARDS COMMITTEE PB-2020-06-035 INVITATION TO  BID  CONSTRUCTION OF PERIMETER FENCE AT SCHOOL GROUNDS AT HILLVIEW ROYALE  BRGY. TIMALAN BALSAHAN, NAIC, CAVITE 1.         The Muni</t>
  </si>
  <si>
    <t xml:space="preserve"> Republic of the Philippines 				 						City of Manila				 						BARANGAY 256, ZONE 23, DISTRICT II				 						BIDS AND AWARDS COMMITTEE				 										 										June 25, 2020 										D A T E 						INVITATION TO BID 				 										 BARANGAY 256, ZONE 23, </t>
  </si>
  <si>
    <t xml:space="preserve"> Republic of the Philippines Province of Cavite Municipality of Naic BIDS AND AWARDS COMMITTEE PB-2020-06-036 INVITATION TO  BID  REPAIR/MAINTENANCE OF PUBLIC ELEMENTARY SCHOOLS, NAIC, CAVITE 1.         The Municipal Government of Naic through  2020 SEF FU</t>
  </si>
  <si>
    <t xml:space="preserve"> Interested suppliers are required to submit the following requirements: (1) valid Mayor’s/Business  Permit; (2) PhilGEPS Registration Number; (3) Income/Business Tax Return; (4) Omnibus Sworn  Statement; (5) Performance Security; (6) Registration Certific</t>
  </si>
  <si>
    <t xml:space="preserve"> 1. The Mindanao State University - Tawi-Tawi College of Technology and Oceanography (MSU-TCTO), through the GAA 2020, intends to apply the sum of Seven Hundred Forty-Nine Thousand Eight Hundred Ninety-Three and 21/100 pesos only (PhP 749,893.21) being app</t>
  </si>
  <si>
    <t xml:space="preserve"> MULTI PURPOSE  VEHICLE           1 UNIT Overall (LxWxH) Maximum of: 4,435mm x 1,695mm x 1,705mm Wheelbase  :  Maximum 2,700mm: Size 16in; Wheel Type: Alloy Engine Type:    1.5 Gasoline Displacement:   1,499cc Maximum Output: 102hp@6,000rpm Maximum Torque:</t>
  </si>
  <si>
    <t xml:space="preserve"> Republic of the Philippines Province of Cavite Municipality of Naic BIDS AND AWARDS COMMITTEE PB-2020-06-034 INVITATION TO  BID  CONCRETING OF ROAD (PHASE 3) AT DUMPSITE  BRGY. SABANG, NAIC, CAVITE 1.         The Municipal Government of Naic through  2019</t>
  </si>
  <si>
    <t xml:space="preserve"> Wide Format Multi Function Printer etc. NOTE:To all suppliers bid documents and BAC Resolution 2020-029 are available at BAC Office and LGU website.</t>
  </si>
  <si>
    <t xml:space="preserve"> 1.	The Development Bank of the Philippines (DBP) intends to apply the sum of Two Hundred One    Million Three Hundred Ninety-Eight Thousand Nine Hundred Sixty -Two and 47/100 Pesos                             (P201,398,962.47) as the Approved Budget for t</t>
  </si>
  <si>
    <t xml:space="preserve"> 1665 cu.m aggregates</t>
  </si>
  <si>
    <t xml:space="preserve"> NOTICE OF NEGOTIATED PROCUREMENT (Small Value Procurement) PNOC Exploration Corporation (PNOC EC), through its 2020 Corporate Budget, has an Approved Budget for the Contract (ABC) of Eighty Nine Thousand Four Hundred Seventy Six Pesos (Php89,476.00), incl</t>
  </si>
  <si>
    <t xml:space="preserve"> Republic of the Philippines Province of Guimaras OFFICE OF THE BIDS AND AWARDS COMMITTEE INVITATION TO BID FOR    SUPPLY AND DELIVERY OF SANITATION AND DISINFECTANT SUPPLIES Bid Ref. No. 2020-06-356 1.	The Province of Guimaras , through the 2020 Regular B</t>
  </si>
  <si>
    <t xml:space="preserve"> 2 Lengths GI Pipe, etc.</t>
  </si>
  <si>
    <t xml:space="preserve"> 400 mtrs THHN #60mm^2</t>
  </si>
  <si>
    <t xml:space="preserve"> COVERED COURT FLOORING QTY	UNIT	DESCRIPTION	UNIT COST	TOTAL COST 1 CONCRETE SLAB 456	Bag	Cement		 40	Cu.m	Washed Sand		 80	Cu. m	Washed Gravel		 II. WALLING 10	Bag	Cement		 2	Cu.m	Washed Sand		 4	Cu.m	Washed Gravel		 III. MASONRY WORK 296	PCS	CHB		 25	Bag</t>
  </si>
  <si>
    <t xml:space="preserve"> Invitation to Bid  For the Construction/Rehabilitation/Improvement of Multi-Purpose Hall at Brgy. Rizal , Lapaz, Iloilo City 1.	The City of Iloilo, through the 20% Development Fund, CY2020 – P 3,000,000.00; 20% Development Fund, CY2019 – P 500,000.00 inte</t>
  </si>
  <si>
    <t xml:space="preserve"> see attached bidding documents</t>
  </si>
  <si>
    <t xml:space="preserve"> Invitation to Bid  For the Construction/Rehabilitation/Improvement of Multi-Purpose Hall at Brgy. Rizal Pala-Pala I, City Proper, Iloilo City 1.	The City of Iloilo, through the 20% Development Fund, CY2019 – P500,000.00; 20% Development Fund, CY2020 – P 2</t>
  </si>
  <si>
    <t xml:space="preserve"> 50 pcs water meter 20 pcs G.I.Pipe No. 1/2" x 20 S-40 30 pcs G.I. Elbow No. 1/2" 50 pcs G.i. Coupling No. 1/2" 45 pcs G.I. Tee No. 1/2" x 1/2" 45 pcs G.I. Tee No. 1-1/2" x 1/2" 45 pcs G.I. Tee No. 1" x 1/2" 45 pcs G.I. Union Patente No. 1/2" 50 roll Teflo</t>
  </si>
  <si>
    <t xml:space="preserve"> Project Location: Agoo District Jail, San Agustin East, Agoo, La Union Contract Duration: 45 CD ABC: P647,435.33</t>
  </si>
  <si>
    <t xml:space="preserve"> 1515 SQM. HIGH DESITY POLYETHYLENE (HDPE) LINER) PROCUREMENT AND PROVISION OF HDPE LINER FOR THE CONTRUCTION OF  MINERAL PROCESSING PLANT TAILINGS POND LINING OF CMPZ</t>
  </si>
  <si>
    <t xml:space="preserve"> Republic of the Philippines DEPARTMENT OF PUBLIC WORKS &amp; HIGHWAYS LEYTE THIRD ENGINEERING DISTRICT REGIONAL OFFICE VIII Villaba, Leyte Telefax No. (053) 552-9266 Email Add: dpwh_leyte3@yahoo.com INVITATION TO BID June 17, 2020 1.	The DPWH Third Leyte Engi</t>
  </si>
  <si>
    <t xml:space="preserve"> Please see attached docs.</t>
  </si>
  <si>
    <t xml:space="preserve"> Aggregates 1178 cu.m aggregates</t>
  </si>
  <si>
    <t xml:space="preserve"> Procurement of Construction Materials and Supplies for the construction of holding/temporary office as COVID 19 precautionary measures. 35 sheets	Corrugated G.I. Sheets - G-24 - 12feet 25 pcs.	Marine Plywood - 1/2 inch (12mm) 50 pcs.	Marine Plywood - 5mm </t>
  </si>
  <si>
    <t xml:space="preserve"> 2 LENGTHS GI PIPE, ETC. FOR THE ESTABLISHMENT OF 1 RCA AT SITIO BACLISE, BARANGAY ANGAS, STA. JOSEFA, ADS</t>
  </si>
  <si>
    <t xml:space="preserve"> Republic of the Philippines									 DEPARTMENT OF PUBLIC WORKS &amp; HIGHWAYS									 CAMARINES SUR 3RD   									 DISTRICT ENGINEERING OFFICE									 Regional Office V									 Baras, Canaman									 									 Name of Procuring Entry: DPWH-Cam. Sur III	</t>
  </si>
  <si>
    <t xml:space="preserve"> Republic of the Philippines Province of Negros Occidental CITY OF VICTORIAS BIDS AND AWARDS COMMITTEE Reference No: Vict-eps20-029 INVITATION TO BID  CONSTRUCTION OF VETERINARY CLINIC AT CPSU CAMPUS, BARANGAY XIV, VICTORIAS CITY The City of Victorias, thr</t>
  </si>
  <si>
    <t xml:space="preserve"> 2 lengths GI Pipe etc.</t>
  </si>
  <si>
    <t xml:space="preserve"> 1.	The Capiz Provincial Government, through the GOP–2020 intends to apply the total amount of Three Hundred Sixty-Eight Thousand Four Hundred Twenty-Five Pesos (Php 368,425.00) being the total aggregated Approved Budget for the Contract (ABC) to payments </t>
  </si>
  <si>
    <t xml:space="preserve"> 2 UNITS ECO SEPTIC TANK) PROVISION AND INSTALLATION OF ECO-SEPTIC TANK FOR 10 HOUSEHOLDS IN BRGY. LA FLORA, TALACOGON. ADS</t>
  </si>
  <si>
    <t xml:space="preserve"> DENR-ENVIRONMENTAL MANAGEMENT BUREAU Region 3 invites all eligible supplier to quote the following: PROCUREMENT AND DELIVERY OF PRINTING SUPPLIES HP 680 INK CARTRIDGE, BLACK---- 300pcs HP 680 INK CARTRIDE, COLORED---250pcs HP LASERJET CARTRIDGE CF285A, BL</t>
  </si>
  <si>
    <t xml:space="preserve"> 498 bags	 Urea (46-0-0) granular white @ 50kgs/bag</t>
  </si>
  <si>
    <t xml:space="preserve"> 1.Municipality of Amadeo through its GEN FUND intends to apply the sum of Php 192,000.00 being the Approved Budget Ceiling for the PURCHASE OF AUDIO AND VISUAL EQUIPMENT TO BE USED BY DIFFERENT OFFICES Quotation received in excess of the ABC shall be auto</t>
  </si>
  <si>
    <t xml:space="preserve"> Republic of the Philippines NATIONAL POLICE COMMISSION PHILIPPINE NATIONAL POLICE INTELLIGENCE GROUP Camp BGen Rafael T Crame, Quezon City INVITATION TO BID 1. The PNP Intelligence Group Bids and Awards Committee (PNP IG-BAC) based on the approved GAA FY </t>
  </si>
  <si>
    <t xml:space="preserve"> Recognition and Graduation Exercises 2020</t>
  </si>
  <si>
    <t xml:space="preserve"> Requesting for Quotation (RFQ) for PR No. 2002418 Interested suppliers are invited to submit Sealed Price Quotations for the above listed items. The Request for Quotation (RFQ) for may be obtained from Mr. Albert A. Camarillo City General Services Office </t>
  </si>
  <si>
    <t xml:space="preserve"> Republic of the Philippines NATIONAL POLICE COMMISSION PHILIPPINE NATIONAL POLICE  INTELLIGENCE GROUP Camp BGen Rafael T Crame, Quezon City INVITATION TO BID 1. The PNP Intelligence Group Bids and Awards Committee (PNP IG-BAC) based on the approved GAA FY</t>
  </si>
  <si>
    <t xml:space="preserve"> Requesting for Quotation (RFQ) for PR No. 2002389  Interested suppliers are invited to submit Sealed Price Quotations for the above listed items. The Request for Quotation (RFQ) for may be obtained from Mr. Albert A. Camarillo City General Services Office</t>
  </si>
  <si>
    <t xml:space="preserve"> Repair of Stage (roofing) &amp; Basketball court (flooring)</t>
  </si>
  <si>
    <t xml:space="preserve"> Requesting for Quotation (RFQ) for PR No. 1911195  Interested suppliers are invited to submit Sealed Price Quotations for the above listed items. The Request for Quotation (RFQ) for may be obtained from Mr. Albert A. Camarillo City General Services Office</t>
  </si>
  <si>
    <t xml:space="preserve"> Requesting for Quotation (RFQ) for PR No. 2002088  Interested suppliers are invited to submit Sealed Price Quotations for the above listed items. The Request for Quotation (RFQ) for may be obtained from Mr. Albert A. Camarillo City General Services Office</t>
  </si>
  <si>
    <t xml:space="preserve"> 8 SET WINDOW FRAME ALUMINUM 200 PIECE WINDOW BLADE 10 SHEET MARINE PLYWOOD 1/4 38 PIECE LUMBER 2X2X8 1 KILO COMMON NAIL #/2 2 KILO COMMON NAIL #3 10 PIECE GARDEN BOLO 2 PIECE SPRINKLER 18 PACK SEEDS ASSORTED 1 PIECE SHOVEL 1 PIECE RAKE 300 PIECES MEDICINE</t>
  </si>
  <si>
    <t xml:space="preserve"> Purchase of 335 bags cement</t>
  </si>
  <si>
    <t xml:space="preserve"> Requesting for Quotation (RFQ) for PR No. 2002421 Interested suppliers are invited to submit Sealed Price Quotations for the above listed items. The Request for Quotation (RFQ) for may be obtained from Mr. Albert A. Camarillo City General Services Office </t>
  </si>
  <si>
    <t xml:space="preserve"> ITEM 1: SIGNAGE ITEM 2: EARTHWORKS ITEM 3: REINFORCING STEEL BARS ITEM 4: FORM WORKS ITEM 5: MASONRY WORKS ITEM 6: CONCRETE WORKS</t>
  </si>
  <si>
    <t xml:space="preserve"> Republic of the Philippines Cordillera Administrative Region PROVINCIAL GOVERNMENT OF ABRA Bangued INVITATION TO BID FOR  PURCHASE OF SOIL AMELIORANT 1.	The PROVINCIAL GOVERNMENT OF ABRA, through the Budget for the Contract Approbed by the Sangguniang Pan</t>
  </si>
  <si>
    <t xml:space="preserve"> Republic of the Philippines Cordillera Administrative Region PROVINCIAL GOVERNMENT OF ABRA Bangued INVITATION TO BID FOR  PURCHASE OF POST HARVEST AND FARM MACHINERY EQUIPMENT 1.	The PROVINCIAL GOVERNMENT OF ABRA, through the Budget for the Contract Appro</t>
  </si>
  <si>
    <t xml:space="preserve"> Requesting for Quotation (RFQ) for PR No. 2002081  Interested suppliers are invited to submit Sealed Price Quotations for the above listed items. The Request for Quotation (RFQ) for may be obtained from Mr. Albert A. Camarillo City General Services Office</t>
  </si>
  <si>
    <t xml:space="preserve"> This project is dealing of Brgy. Dela Paz, Lopez, Quezon</t>
  </si>
  <si>
    <t xml:space="preserve"> Requesting for Quotation (RFQ) for PR No. 2006175  Interested suppliers are invited to submit Sealed Price Quotations for the above listed items. The Request for Quotation (RFQ) for may be obtained from Mr. Albert A. Camarillo City General Services Office</t>
  </si>
  <si>
    <t xml:space="preserve"> Requesting for Quotation (RFQ) for PR No. 2006164  Interested suppliers are invited to submit Sealed Price Quotations for the above listed items. The Request for Quotation (RFQ) for may be obtained from Mr. Albert A. Camarillo City General Services Office</t>
  </si>
  <si>
    <t xml:space="preserve"> Requesting for Quotation (RFQ) for PR No. 2006131  Interested suppliers are invited to submit Sealed Price Quotations for the above listed items. The Request for Quotation (RFQ) for may be obtained from Mr. Albert A. Camarillo City General Services Office</t>
  </si>
  <si>
    <t xml:space="preserve"> Apron	pcs	3 Ballpen black, 24 per box	box	2 ballpen red, 24 per box	box	2 Bathroom Tissue @12 rolls	packs	6 battery AA 2 per blister	pack	10 Bioderm Big	pcs	67 Bond Paper, long	ream	30 Bowl Brush	pcs	24 Cartolina (baby pink)	pcs	36 Cartolina (royal blue)	</t>
  </si>
  <si>
    <t xml:space="preserve"> Requesting for Quotation (RFQ) for PR No. 2002293  Interested suppliers are invited to submit Sealed Price Quotations for the above listed items. The Request for Quotation (RFQ) for may be obtained from Mr. Albert A. Camarillo City General Services Office</t>
  </si>
  <si>
    <t xml:space="preserve"> 1. Mobilization 2. Sidewalk 3. Concreting of Barangay Road 4. Construction Safety &amp; Health Program</t>
  </si>
  <si>
    <t xml:space="preserve"> Requesting for Quotation (RFQ) for PR No. 2002339  Interested suppliers are invited to submit Sealed Price Quotations for the above listed items. The Request for Quotation (RFQ) for may be obtained from Mr. Albert A. Camarillo City General Services Office</t>
  </si>
  <si>
    <t xml:space="preserve"> Requesting for Quotation (RFQ) for PR No. 2002396  Interested suppliers are invited to submit Sealed Price Quotations for the above listed items. The Request for Quotation (RFQ) for may be obtained from Mr. Albert A. Camarillo City General Services Office</t>
  </si>
  <si>
    <t xml:space="preserve"> INVITATION TO BID SUPPLY AND DELIVERY OF CONSTRUCTION MATERIALS FOR BARANGAY STREETLIGHTS, PISAAN, SAN FRANCISCO, AGUSAN DEL SUR The Barangay Local Government Unit of Pisaan, San Francisco, Agusan del Sur, through through the BIDS and AWARDS COMMITTEE (BA</t>
  </si>
  <si>
    <t xml:space="preserve"> Requesting for Quotation (RFQ) for PR No. 2002458 Interested suppliers are invited to submit Sealed Price Quotations for the above listed items. The Request for Quotation (RFQ) for may be obtained from Mr. Albert A. Camarillo City General Services Office </t>
  </si>
  <si>
    <t xml:space="preserve"> Requesting for Quotation (RFQ) for PR No. 2002306  Interested suppliers are invited to submit Sealed Price Quotations for the above listed items. The Request for Quotation (RFQ) for may be obtained from Mr. Albert A. Camarillo City General Services Office</t>
  </si>
  <si>
    <t xml:space="preserve"> Requesting for Quotation (RFQ) for PR No. 2002287  Interested suppliers are invited to submit Sealed Price Quotations for the above listed items. The Request for Quotation (RFQ) for may be obtained from Mr. Albert A. Camarillo City General Services Office</t>
  </si>
  <si>
    <t xml:space="preserve"> MATERIALS FOR THE RIPRAPPING OF CREEK BETWEEN LOT NO. 3511 AND 3514, TS 203 BRGY. TULAY NA LUPA, LABO, CAMARINES NORTE MATERIALS: 200	bags	Portland Cement 26	cu.m. Washed Sand 35	cu.m. Gravel (Apple Size) 30	cu.m. Boulders 5	pcs.	UPVC 3" 10	pcs.	12mm dia.</t>
  </si>
  <si>
    <t xml:space="preserve"> Office Supplies           80 tubes Riso Ink F Type, black           20 rolls Master F Type B4</t>
  </si>
  <si>
    <t xml:space="preserve"> PROJECT SIGNAGE RETAINING WALL CONSTRUCTION     A. EXCAVATION FOR FOOTING     B. REINFORCED CONCRETE WORKS     C. MASONRY WORKS     D. FORMWORKS THREE-CHAMBERED SEDIMENT/SEWERAGE TANK (3.0M X 2.0m x 4.0m deep each) PIPE CULVERT AND DRAIN EXCAVATION REMOVA</t>
  </si>
  <si>
    <t xml:space="preserve"> Republic of the Philippines Cordillera Administrative Region PROVINCIAL GOVERNMENT OF ABRA Bangued Invitation to Bid for  CONSTRUCTION OF MULTI-PURPOSE COVERED PAVEMENT 1.	The Provincial Government of Abra, through the Budget for the Contract Approved by </t>
  </si>
  <si>
    <t xml:space="preserve"> see request of quotation for details</t>
  </si>
  <si>
    <t xml:space="preserve"> Requesting for Quotation (RFQ) for PR No. 2002372  Interested suppliers are invited to submit Sealed Price Quotations for the above listed items. The Request for Quotation (RFQ) for may be obtained from Mr. Albert A. Camarillo City General Services Office</t>
  </si>
  <si>
    <t xml:space="preserve"> Small Value Procurement . . . .</t>
  </si>
  <si>
    <t xml:space="preserve"> this serves as second posting for the second bidding of brgy bagong silang 3 labo project.</t>
  </si>
  <si>
    <t xml:space="preserve"> Republic of the Philippines  City of Toledo -oOo- BIDS AND AWARDS COMMITTEE ITB No. G11-03-2020 INVITATION TO BID FOR: Purchase Request of Medical Equipments for Toledo City Hospital (DOH Standard) 1.	The City Government of Toledo under the 20% Dev’t. Fun</t>
  </si>
  <si>
    <t xml:space="preserve"> Shopping. . . .  Outside Labor (with necessary tools/equipment and materials for fabrication including installation/ mounting of tempered glass window with sliding window and fixed grills for BMC Cashier office at 8 Storey General Wards Building (upper gr</t>
  </si>
  <si>
    <t xml:space="preserve"> Shopping. . . . Outside Labor (w/ necessary tools/equipment) &amp; Materials for the Fabrication &amp; Mounting/ Installation of new OPD Signage (panaflex/Sticker) per attached drawing plans, description &amp;  specification including dismantle/removal of existing/ol</t>
  </si>
  <si>
    <t xml:space="preserve"> Republic of the Philippines  City of Toledo -oOo- BIDS AND AWARDS COMMITTEE ITB No. G12-03-2020 INVITATION TO BID FOR: Purchase Request of Hospital Equipments for Toledo City Hospital (DOH Standard) 1.	The City Government of Toledo under the 20% Dev’t. Fu</t>
  </si>
  <si>
    <t xml:space="preserve"> Republic of the Philippines Provincial Government of Northern Samar BIDS and AWARDS COMMITTEE REQUEST FOR QUOTATION Date: June 22, 2020 RFQ No.: 20-06-0172 Name of Supplier (Business Name): _________________________________________ Address: ______________</t>
  </si>
  <si>
    <t xml:space="preserve"> Shopping. . . .</t>
  </si>
  <si>
    <t xml:space="preserve"> Trash Bins  - Color: Green, Blue, Black &amp; Red  - With Signage  4 piece Trash Bins (Large)  - Color: Black  - With TESDA Logo  1 piece</t>
  </si>
  <si>
    <t xml:space="preserve"> Republic of the Philippines Provincial Government of Northern Samar BIDS and AWARDS COMMITTEE REQUEST FOR QUOTATION Date: June 22, 2020 RFQ No.: 20-06-0173 Name of Supplier (Business Name): _________________________________________ Address: ______________</t>
  </si>
  <si>
    <t xml:space="preserve"> Republic of the Philippines PROVINCE OF ZAMBOANGA DEL NORTE BIDS AND AWARDS COMMITTEE (BAC) BAC Conference Room, Capitol Building, Brgy. Estaka Tel. # (065) 212-6492 Telefax # (065) 212-6492 	                                                               </t>
  </si>
  <si>
    <t xml:space="preserve"> Name of the Procuring Entity LOCAL GOVERNMENT UNIT  Mahinog, Camiguin	Project Reference Number: 2020-GOODS-065 Name of Project: Supply &amp; Delivery of Rescue Equipment and Accessories Location of the Project: Poblacion, Mahinog, Camiguin 	 Standard Form Num</t>
  </si>
  <si>
    <t xml:space="preserve"> INVITATION TO BID The Bureau of Fisheries and Aquatic Resources Region 5 (BFAR 5), through the Government of the Philippines (GOP), for CY 2020 intends to apply the sum of Eight Hundred Seventy Three Thousand Five Hundred Pesos (PhP873,500.00) only, being</t>
  </si>
  <si>
    <t xml:space="preserve"> cap	Cefixime 200mg capsule	2400  	9.65   	23,160.00 Tab	Sertraline 50mg tablet	1000  	38.00	38,000.00 Amp	Terbutaline Sulfate 500mcg/ml, 1ml inj. Ampule	100	  98.00	9,800.00</t>
  </si>
  <si>
    <t xml:space="preserve"> Republic of the Philippines					 DEPARTMENT OF PUBLIC WORKS AND HIGHWAYS					 BUTUAN CITY DISTRICT ENGINEERING OFFICE					 REGIONAL OFFICE XIII					 Butuan City, Agusan del Norte					   Tel. Nos. 342-5331  Fax No. 225-2022					 Name of Procuring Entity: D</t>
  </si>
  <si>
    <t xml:space="preserve"> Rehab of Toilets and Counters Scope of Works 1. Implementing Program of works shall be submitted prior to implementation of project. 2. Mobilization. 3. Demolition works a. Total demolition of ceiling b. Chipping and proper disposal of toilet tiles and co</t>
  </si>
  <si>
    <t xml:space="preserve"> Procurement of two (2) units motorcycle for BAC &amp; Supply Office use as per attached Request for Quotation.</t>
  </si>
  <si>
    <t xml:space="preserve"> 20 pcs Oxygen Gauge 20-9357</t>
  </si>
  <si>
    <t xml:space="preserve"> PROGRAM OF WORKS										 BILL OF QUANTITIES										 										 										 										 School:	SCHOOLS DIVISION OFFICE					Date:				 						Budget Allocation:		PHP 179,722.40		 Region: 	III					Engineering and Admin Overhead:				 Division:	CITY OF SAN JO</t>
  </si>
  <si>
    <t xml:space="preserve"> Item No.	QNTY	UNIT OF ISSUE	ITEM DESCRIPTION 			 1	          1	             pc	        kaspersky anti virus 5 users 			 2	          1	             pc	        Huntkey Adapter 40W</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</si>
  <si>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</si>
  <si>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REQUEST TO SUBMIT PROPOSAL FOR (LOT 1) FOOD &amp; ACCOMMODATION IN ALBAY, (LOT 2) FOOD &amp; ACCOMMODATION IN CAMARINES SUR, (LOT 3) FOOD &amp; ACCOMMODATION IN CAMARINES NORTE, (LOT 4) FOOD &amp; ACCOMMODATION IN SORSOGON, (LOT 5) FOOD AND ACCOMMODATION IN CATANDUANES, </t>
  </si>
  <si>
    <t xml:space="preserve"> Item	Qty	Specifications 1.	Rice	500 bags	R40, 5kg per bag 2.	Canned Corned Beef	500 pcs.	150g, 100% pure beef 3.	Chocolate Drink	250 pcs.	8-35g per envelope 4.	Powdered Milk	500 pcs.	150g 5.	Pancake	500 box	500g per box 6.	Canned Tuna	1000 pcs.	180g 7.	Cu</t>
  </si>
  <si>
    <t xml:space="preserve"> 50 pcs Flowmeter 20-9354</t>
  </si>
  <si>
    <t xml:space="preserve"> Invitation to Bid  For the Rehabilitation of All Gabaldon Building at Montes I Elementary School, City Proper, Iloilo City 1.	The City of Iloilo, through the SEF Capital Outlay, SB No. 2 Fund, CY2019  intends to apply the sum of Seven Million Pesos (Php 7</t>
  </si>
  <si>
    <t xml:space="preserve"> PHILIPPINE INFORMATION AGENCY PIA Bldg, Visayas Avenue, Diliman Quezon City REQUEST FOR QUOTATION (RFQ) The Philippine Information Agency (PIA), through its Bids and Awards Committee (BAC), hereby invites all interested suppliers to quote their lowest pri</t>
  </si>
  <si>
    <t xml:space="preserve"> Republic of the Philippines Provincial Government of Northern Samar BIDS and AWARDS COMMITTEE REQUEST FOR QUOTATION Date: June 22, 2020 RFQ No.: 20-06-0174 Name of Supplier (Business Name): _________________________________________ Address: ______________</t>
  </si>
  <si>
    <t xml:space="preserve"> Nabulo, Catubig, N. Samar through the 20%  BDF C.Y. 2020 intends to apply the sum of Sixty-six   Thousand Nine Hundred  Seven Pesos (Php 66,907.00) being the Approved Budget for the Street Cementing (Phase II). Quotation received in excess of the CWSR  sh</t>
  </si>
  <si>
    <t xml:space="preserve"> Republic of the Philippines Provincial Government of Northern Samar BIDS and AWARDS COMMITTEE REQUEST FOR QUOTATION Date: June 22, 2020 RFQ No.: 20-06-0170 Name of Supplier (Business Name): _________________________________________ Address: ______________</t>
  </si>
  <si>
    <t xml:space="preserve"> Procurement of IT equipment for RDS &amp; OARDC use as per attached Request for Quotation.</t>
  </si>
  <si>
    <t xml:space="preserve"> Shopping . . . .</t>
  </si>
  <si>
    <t xml:space="preserve"> Purchase office supplies and disinfectant for safety health measurements.</t>
  </si>
  <si>
    <t xml:space="preserve"> Supply and Delivery of Rice and other food essentials in response to BAYANIHAN ACT for COVID PANDEMIC situation of the Island Municipality of Tingloy, Batangas Source of Fund:  TRUST FUND</t>
  </si>
  <si>
    <t xml:space="preserve"> Proposed Repair of PEP</t>
  </si>
  <si>
    <t xml:space="preserve"> MATERIALS FOR THE IMPROVEMENT OF EVACUATION CENTER BRGY. TULAY NA LUPA, LABO, CAMARINES NORTE MATERIALS: 8	pcs.	16mm dia. DSb 13	pcs.	12mm dia. DSB 38	pcs.	10mm dia. DSB 95	bags	Portland Cement 2	cu.m. Crushed Gravel 20.5	cu.m. Washed Sand 7	kgs.	Tie Wire</t>
  </si>
  <si>
    <t xml:space="preserve"> Republic of the Philippines Provincial Government of Northern Samar BIDS and AWARDS COMMITTEE REQUEST FOR QUOTATION Date: June 22, 2020 RFQ No.: 20-06-0171 Name of Supplier (Business Name): _________________________________________ Address: ______________</t>
  </si>
  <si>
    <t xml:space="preserve"> The Municipality of President Roxas (MPR), through the Budget Approved by the Sanggunian, intends to apply the sum of One Hundred Thirty Five Thousand Pesos (Php 135,000.00) being the Approved Budget for the Contract (ABC) to payments under the contract f</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</si>
  <si>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</si>
  <si>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Const. of Slope Protection</t>
  </si>
  <si>
    <t xml:space="preserve"> Issuance of Procurement Forms 		-	June 25-30, 2020 Opening of Quotation			-	June 30, 2020@ 10:00 A.M. Place of Delivery			-	DPWH-Bataan 1st DEO  REGINA H. AGUSTIN Assistant District Engineer BAC-Chairperson NOTED: ERLINDO R. FLORES, JR. District Engineer</t>
  </si>
  <si>
    <t xml:space="preserve"> 2	 box	THHN Wire #12 (stranded/150 mtrs.)			 60	 pc	Led Bulb 9 watts (220 volts)</t>
  </si>
  <si>
    <t xml:space="preserve"> Purchase of Standing Wreath for the Late Resident of the municipalty</t>
  </si>
  <si>
    <t xml:space="preserve"> Supply, delivery and installation of various parts for Kone Elevator  Materials: 225 mts- Hoisting rope 8mm dia. Hemp Centered x 5 length x 45 meters per length 3 pcs - Car and Counterweight buffer 3 pcs - Landing Push Button for G, 2nd and Penthouse 1 lo</t>
  </si>
  <si>
    <t xml:space="preserve"> TO BE BID ARE GOOD FOR THE SECOND QUARTER CONFERENCE OF CALATRAVANHONG BANTOANON AG ATI OFFICERS ON JUNE 26, 2020(FRIDAY) AT 2:00 PM</t>
  </si>
  <si>
    <t xml:space="preserve"> Republic of the Philippines Province of Iloilo Municipality of Lambunao Office of the Bids &amp; Awards Committee INVITATION TO BID/ REQUEST FOR PRICE QUOTATION Name of Project: Location: Lambunao, Iloilo ABC: Php (Supplier’s Name and Office Address) Please q</t>
  </si>
  <si>
    <t xml:space="preserve"> 45 bags cement 3.5 cu.m. Sand 2.5 cu.m. Gravel 53 pcs 10mm0 RSB 18 pcs 12mm0 RSB 360 pcs CHB 4" 6 kgs #16 G.I. Tire wire 5 pcs O. Plywood 1/4" 120 bdft Coco lumber 3 kgs Assorted CW Nail 16 pcs G.I. Corr Roof Sheet 10" 3 pcs G. I. Gutter 8' 4 pcs G.I. End</t>
  </si>
  <si>
    <t xml:space="preserve"> l.	The MUNICIPALITY OF GUINAYANGAN, QUEZON, through  the  2020 C.O.  intends to apply the sum of  Forty One Thousand Three Hundred Sixty Two  Pesos  (P 41,362.00) being the Approved Budget for the Contract (ABC) to payments under the contract for Supply a</t>
  </si>
  <si>
    <t xml:space="preserve"> Name of the Procuring Entity LOCAL GOVERNMENT UNIT  Mahinog, Camiguin	Project Reference Number: 2020-GOODS-066 Name of Project: Supply &amp; Delivery of Construction Materials for Fabrication of 4 Modular Tents Location of the Project: Poblacion, Mahinog, Cam</t>
  </si>
  <si>
    <t xml:space="preserve"> Requesting for Quotation (RFQ) for PR No. 2001195  Interested suppliers are invited to submit Sealed Price Quotations for the above listed items. The Request for Quotation (RFQ) for may be obtained from Mr. Albert A. Camarillo City General Services Office</t>
  </si>
  <si>
    <t xml:space="preserve"> Specifications: Processor: Corei5 8th Gen Memory: 8Gb onboard DDR$ system memory Storage:512 SSD or with HDD Display:14-15' Full HD 1920 x 1080 16:9 Aspect ratio Battery: 4-cell Battery With wireless mouse OS: Windows 10 64bit(with CD) Rent to own for Thr</t>
  </si>
  <si>
    <t xml:space="preserve"> ANNEX A” 		 Price Quotation Form Date:____________________ The BAC Chairperson PMMA Complex, San Narciso, Zambales Sir/Madam: After having carefully read and accepted the terms and conditions in the Request for Quotation, hereunder is our quotation/s for </t>
  </si>
  <si>
    <t xml:space="preserve"> Republic of the Philippines CITY OF MALABON Metro Manila BIDS AND AWARDS COMMITTEE I N V I T A T I O N     T O     B I D PROPOSED GREENING AND BEAUTIFICATION OF LETRE CENTER ISLAND, SIDEWALK AND EASEMENT, LOCATED AT BRGY. TONSUYA, CITY OF MALABON 1.	The C</t>
  </si>
  <si>
    <t xml:space="preserve"> Republic of the Philippines	 Province of Bohol	 Municipality of Buenavista	 INVITATION TO APPLY FOR ELIGIBILITY AND TO BID	 The Barangay Local Government Unit of Buenavista, Bohol, through its Bids and Awards Committee (BAC), invites suppliers/manufacture</t>
  </si>
  <si>
    <t xml:space="preserve"> Bid-Opening-July 14, 2020 at 2:00 p.m. at Municipal Conference Room</t>
  </si>
  <si>
    <t xml:space="preserve"> Republic of Philippines								 City of Canlaon								 OFFICE OF THE BIDS AND AWARDS COMMITTEE								 REQUEST FOR SEALED QUOTATION								 								 								 				Date:	24-Jun-20			 				Quotation No.:	2020-06-0177			 				PR No.:	2020-06-182-B			 				Depar</t>
  </si>
  <si>
    <t xml:space="preserve"> Item No.	QNTY	UNIT OF ISSUE	                 ITEM DESCRIPTION 			     1	            1	             UNIT	                        Automatic Voltage Regulator (AVR) 			 			                                                                x-x-x-x-x</t>
  </si>
  <si>
    <t xml:space="preserve"> Repair/rehabilittaion of pathway</t>
  </si>
  <si>
    <t xml:space="preserve"> Please see attached RFQ # 20-1102 Submit the HARDCOPY of your SIGNED and SEALED quotation together with your UPDATED ELIGIBILITY requirement on or before the closing date of this opportunity. For more information, please contact Ma'am Coleta Quindong, APC</t>
  </si>
  <si>
    <t xml:space="preserve"> REQUEST FOR PRICE QUOTATION The Department of Justice (DOJ), through the Bids and Awards Committee (BAC) of the National Prosecution Service-Region V (NPS Region V) is inviting interested parties to submit proposal/price quotation for the project  Name of</t>
  </si>
  <si>
    <t xml:space="preserve"> see attached RFQ Delivered at Brgy. Mambog Pinabacdao, Samar</t>
  </si>
  <si>
    <t xml:space="preserve"> 2 units Aircon, split type, inverter, 3HP, wall mounted, 230V, 60Hz, 1P with cooling load capacity of 27,000Btu/hr, inclusive of installation cost Note: please indicate brand and model (attach brochure) Please see and download the attachment</t>
  </si>
  <si>
    <t xml:space="preserve"> REQUEST TO SUBMIT PROPOSAL FOR THE SUPPLY AND DELIVERY OF                      LOT 1- REGULAR MILLED RICE AND LOT 2- OTHER SUPPLIES FOR USE IN THE IMPLEMENTATION OF ENHANCED KADIWA NI ANI AT KITA   WITH APPROVED BUDGET FOR THE CONTRACT AMOUNTING TO FOUR H</t>
  </si>
  <si>
    <t xml:space="preserve"> CENTRIFUGAL PUMPS</t>
  </si>
  <si>
    <t xml:space="preserve"> Maintenance and Calibration of Laboratory Equipments and Instruments					 					 Top Loading Balance			1	Unit	5,000.00 Brand: Sartorius					 Model: QUINTIX1102-1S					 					 Laminar Flow Cabinet			1	Unit	10,000.00 Brand: Biobase					 Model: BKQ-Z75					 		</t>
  </si>
  <si>
    <t xml:space="preserve"> VARIOUS GROCERY ITEMS</t>
  </si>
  <si>
    <t xml:space="preserve"> Supply and Delivery Various GI Fittings for Potable water The Metro Midsayap Water District (MMWD) gives notice that  quotations are invited for the Supply and Delivery of various GI Fittings for Potable Water 4 PCS- GI Pipe, 3"Ø, S-40 9 PCS - GI Pipe, 2"</t>
  </si>
  <si>
    <t xml:space="preserve"> The Barangay Cogon – Talicud Island, Kaputian District of the Island Garden City of Samal through the 20% Development Funds CY 2019  intends to apply the sum of Two Hundred Thirty Two Thousand Eight Hundred Thirty Five Pesos and Ninety Five Centavos Only </t>
  </si>
  <si>
    <t xml:space="preserve"> For Office use.</t>
  </si>
  <si>
    <t xml:space="preserve"> Const./Rehab. of Rain Water Collector</t>
  </si>
  <si>
    <t xml:space="preserve"> Weaving Looms, 50" x 50" and warping PGO</t>
  </si>
  <si>
    <t xml:space="preserve"> 1	Diesel 		1445 L 2	Premium		50 L</t>
  </si>
  <si>
    <t xml:space="preserve"> i. Materials II. Electrical Works III. Labor IV. Hauling</t>
  </si>
  <si>
    <t xml:space="preserve"> 164	sacks	Rice for consumption of AFP</t>
  </si>
  <si>
    <t xml:space="preserve"> VARIOUS OFFICE EQUIPMENT AND SUPPLIES</t>
  </si>
  <si>
    <t xml:space="preserve"> Const. of the Extension of Multi-Purpose Hall</t>
  </si>
  <si>
    <t xml:space="preserve"> Catering Services for Third, Fourth and Sixth District of Negros Occidental  3rd District  10 pax Victorias - June 25, 2020  10 pax Silay - June 30, 2020  10 pax EB Magalona - June 29, 2020  10 pax Talisay - June 26, 2020  10 pax Murcia - July 02, 2020  4</t>
  </si>
  <si>
    <t xml:space="preserve"> The Municipality of President Roxas (MPR), through the 20% Development Fund (2020), intends to apply the sum of One Hundred Forty Six Thousand Six Hundred Forty Pesos (Php 146,640.00) being the Approved Budget for the Contract (ABC) to payments under the </t>
  </si>
  <si>
    <t xml:space="preserve"> Chicken Cut, thigh Chicken cut, breast Chicken cut, wings Chicken cut, drumstick Eggs, large Hotdog, regular size with cheese</t>
  </si>
  <si>
    <t xml:space="preserve"> Bid-Opening-July 14, 2020 at 2:00 p.m at Municipal Conference Room</t>
  </si>
  <si>
    <t xml:space="preserve"> Republic of the Philippines Province of Negros Occidental Municipality of Isabela INVITATION TO BID FOR THE  Purchase of One (1) Unit 4WD Double Cab/Multi-Purpose Vehicle, Isabela, Negros Occidental. 1. The MUNICIPALITY OF ISABELA, through the Capital Out</t>
  </si>
  <si>
    <t xml:space="preserve"> TYPE: MONOCYRSTALLINE SOLAR PANEL POWER RATING OF 130 WATTS FEATURES: DUST OR SANDSTORM PROOF SENSOR- DAY AND NIGHT FUNCTION, START UP AND SHUT-OFF MOTION SENSOR: PIR TYPE (6-10PM 100% BRIGHTNESS STEADY OUTPUT) (10PM-6AM INFRARED SENSOR) DETECTION DISTANC</t>
  </si>
  <si>
    <t xml:space="preserve"> Republic of the Philippines DEPARTMENT OF PUBLIC WORKS AND HIGHWAYS QUIRINO DISTRICT ENGINEERING OFFICE REGIONAL OFFICE II Cabarroguis, Quirino Procuring Entity	:	DPWH - QDEO	P.R. No.	:	2020-06-076 Revised on	:		Date	:	06/09/2020 Standard Form/Title	:	REQ</t>
  </si>
  <si>
    <t xml:space="preserve"> Construction of drainage canal p-3</t>
  </si>
  <si>
    <t xml:space="preserve"> 1	pcs	twin cylinder air compressor: motor: 2ph, cylinder: 2 CYL, Pressure 100-130 PSI, Phase: single, capacity: 70-100 liters 2	pcs	Deisel Generator with water pump assy: spec - Power:8-10HP, 4 Cylinder Deisel Engine 400-500 CC displaement Direct injectio</t>
  </si>
  <si>
    <t xml:space="preserve"> BIDS AND AWARDS COMMITTEE REQUEST FOR QUOTATION The Local Government Unit of Labason, Z.N., invites all interested registered supplier to submit quotation for the Purchase of Construction Materials for Renovation of Day Care Center at Gil Sanchez, Lab. ZN</t>
  </si>
  <si>
    <t xml:space="preserve"> VARIOUS MEDICAL SUPPLIES</t>
  </si>
  <si>
    <t xml:space="preserve"> 3	pages	publication of Municipal ordinance No. 80, Series 2020 3	pages	publication of Municipal ordinance No. 81, Series 2020	 2	pages	publication of Municipal ordinance No. 82,  Series 2020 2	pages	publication of Municipal Ordinance No. 83, Series 2020 4</t>
  </si>
  <si>
    <t xml:space="preserve"> https://drive.google.com/file/d/1wryrsz7M4MR2due6Pz6mlvuYFzSU0aIa/view?usp=drivesdk use the link to view the bidding documents The Armed Forces of the Philippines (AFP), through the GHQ Bids and Awards Committee 1 (GHQ BAC 1), invites suppliers, manufactu</t>
  </si>
  <si>
    <t xml:space="preserve"> Republic of the Philippines					 Province of Palawan					 MUNICIPALITY OF EL NIDO					 PR No. Name of Procuring Entity: Municipal Government of El Nido			RFQ No.		 Date:		 Office/End-User: MNAO					 Company Name:					 Adress:					 Business Permit No.:				</t>
  </si>
  <si>
    <t xml:space="preserve"> Republic of the Philippines Province of Cotabato Municipality of Arakan BIDS AND AWARDS COMMITTEE REQUEST FOR QUOTATION  	SUPPLY OF RISO MACHINE The Local Government Unit of Arakan is inviting interested suppliers to submit price quotation to the followin</t>
  </si>
  <si>
    <t xml:space="preserve"> 1.Office table w/ drawers (3 right side and 1 center) (6) set    120 cm. W* 60 cm. D* 75 cm. H; with high back office chair xxxxxxxxxxx</t>
  </si>
  <si>
    <t xml:space="preserve"> Republic of the Philippines Province of Negros Occidental Municipality of Isabela INVITATION TO BID FOR THE  Purchase of One (1) Unit Dump Truck, Isabela, Negros Occidental. 1. The MUNICIPALITY OF ISABELA, through the 20% Dev. Fund &amp; Supplemental Budget #</t>
  </si>
  <si>
    <t xml:space="preserve"> VARIOUS OFFICE SUPPLIES</t>
  </si>
  <si>
    <t xml:space="preserve"> see pr</t>
  </si>
  <si>
    <t xml:space="preserve"> note: please see attach supporting RFQ.</t>
  </si>
  <si>
    <t xml:space="preserve"> 2 units Laptop Specification: - Intel Core i5 - 8 GB Memory - 1TB SSD - With ODD - 14 inches  - Windows 10 Pro - 10th Gen - With Licensed Microsoft Office  - With 3 years warranty Approved Budget for the Contract: P70,000.00</t>
  </si>
  <si>
    <t xml:space="preserve"> To All Eligible Supplies; Please quote your lowest price on the items listed below, subject to the General Conditions stated herein and submit the same to the Office of the BAC-Sectetariat on or before June 30, 2020 at 10:00 o'clock in the morning. (SGD.)</t>
  </si>
  <si>
    <t xml:space="preserve"> Item	QTY.	UOM	PARTICULARS / DESCRIPTION AND SPECIFICATIONS		APPROVED	BRAND NAME	UNIT PRICE NO.					UNIT COST		 1	5	quartz	Safe Handling Acid replacement Cleaner		1,200.00		 2	5	gallon	Odor Destroyer &amp; Grain Maintenance		2,950.00		 3	8	gallon	Citrus Based </t>
  </si>
  <si>
    <t xml:space="preserve"> Republic of the Philippines Province of Davao del Sur Municipality of Padada June 24, 2020 BIDS AND AWARDS COMMITTEE INVITATION TO BID Expansion of Drainage Sytem @ Lapu-Lapu Street Brgy. Quirino District and Harada Butai, Padada, Daao del Sur  1.	The Loc</t>
  </si>
  <si>
    <t xml:space="preserve"> Section I. Invitation to Bid Republic of the Philippines Province of Camiguin Municipality of Mahinog ITB NO. 2020-INFRA-008 Invitation to Bid for the Construction of 2 Units Picnic Shed and Boardwalk at Katunggan Park 1.The Municipality of MAHINOG, inten</t>
  </si>
  <si>
    <t xml:space="preserve"> Payment for the replacement of some damage/defective parts of Patient Transport Vehicle HYUNDAI STAREX 234</t>
  </si>
  <si>
    <t xml:space="preserve"> mimeo paper long 50 reams printer ink-664 black 15 bottles printer ink-003 (4color) 10 sets printer ink-664 (4color) 5sets bondpaper long s20 50reams bondpaper short s20 50reams ballpen-black 50 pcs sign pen- black 30 pcs celo tape 1inch 20 rolls celo tap</t>
  </si>
  <si>
    <t xml:space="preserve"> To provide labor, materials and tools for the Repair of Comport Rooms of Dormitory and Daycare Center Building at DA-RFO 02.</t>
  </si>
  <si>
    <t xml:space="preserve"> See Line Item</t>
  </si>
  <si>
    <t xml:space="preserve"> Improvement of Multipurpose - Brgy, Tapul</t>
  </si>
  <si>
    <t xml:space="preserve"> 2,470 PCS COVID 19 TESTING KIT</t>
  </si>
  <si>
    <t xml:space="preserve"> For Business Center use.</t>
  </si>
  <si>
    <t xml:space="preserve"> 1.	The MUNICIPALITY OF GUINAYANGAN, QUEZON, through  the  2020 MOOE  intends to apply the sum of  Seventy Five Thousand Six Hundred  Pesos (P 75,600.00) being the Approved Budget for the Contract (ABC) to payments under the contract for Supply and Deliver</t>
  </si>
  <si>
    <t xml:space="preserve"> Procurement of MOOE Supplies of Mahayag ES 1st Quarter</t>
  </si>
  <si>
    <t xml:space="preserve"> Republic of the Philippines CONCEPCION WATER DISTRICT San Jose, Concepcion, Tarlac Tel. No. (045) 923-0430 / 923-1576 / 628-2364 Email: concepcionwaterdistrict@yahoo.com Website: www.cpntarwaterdistrict.gov.ph Facebook: https://www.facebook.com/Concepcion</t>
  </si>
  <si>
    <t xml:space="preserve"> Republic of the Philippines BIDS AND AWARDS COMMITTEE Brgy. #5 DAVILA Pasuquin, Ilocos Norte REQUEST FOR QUOTATION ________________________                                                           DATE: _________________                     Name of Suppl</t>
  </si>
  <si>
    <t xml:space="preserve"> 6 unit Shovel, wood handle, round head 6 bottle Growth hormone  6 bottle Pesticide 1000 ml/btl. 20 pcs Steel bar, 12mm 1 box Welding rod</t>
  </si>
  <si>
    <t xml:space="preserve"> PROCUREMENT OF T-SHIRT WITH EMBROIDERY FOR THE JULY 2020 LABOR FORCE SURVEY (LFS)  / 2020 ANNUAL POVERTY INDICATORS SURVEY (APIS) 1.	The Philippine Statistics Authority – Regional Statistical Services Office II  (PSA-RSSO II), through the Fiscal Year 2020</t>
  </si>
  <si>
    <t xml:space="preserve"> 10	btl		Alcohol			rubbing, 500ml				 30	pcs		Ballpen			black, liquid gel, 0.5mm ball, needle				 30	pcs		Ballpen			blue, liquid gel, 0.5mm ball, needle				 30	pcs		Ballpen			red, liquid gel, 0.5mm ball, needle				 100	pcs		Folder 			green				 5	box		Clip	</t>
  </si>
  <si>
    <t xml:space="preserve"> 200	pcs	Balitbitan seedlings 1-2ft 100	pcs	Bitaog seddlings 1-2ft 20	pcs	Dwarf Coconut seedlings 1-2ft 6	pcs	Mankono seedlings 2 ft 100	pcs	Tanguille 1-2 ft 2000	pcs	Polyethelene bags, 5x7 2000	pcs	polyethelene bags, 8x10 20	packs	Insecticide/ Fungicide 2</t>
  </si>
  <si>
    <t xml:space="preserve"> Republic of the Philippines Province of Nueva Vizcaya BIDS AND AWARDS COMMITTEE (BAC-Goods) BAC OFFICE, Provincial Capitol, Bayombong, Nueva Vizcaya 	 REQUEST FOR QUOTATION (RFQ) For the Procurement of Construction Materials (III) (Improvement of LMET Gua</t>
  </si>
  <si>
    <t xml:space="preserve"> INVITATION TO BID CONSTRUCTION OF SANITARY LANDFILL, CATEGORY 1 SANTOL, LA UNION 1.	The Municipal Government of Santol, La Union through the MDF-2020 intends to apply the sum of THREE MILLION PESOS (Php3,000,000.00) being the Approved Budget for the Contr</t>
  </si>
  <si>
    <t xml:space="preserve"> BLGU-STAFE-AL-G-01-2020 PURCHASE/INSTALLATION SOLAR STREET LIGHT BRGY. STA. FE, ABUYOG, LEYTE</t>
  </si>
  <si>
    <t xml:space="preserve"> Qty.  Unit   Description		 2	lots	16 channel CCTV Systems with the fllowing specifications		 				 		16 Channel Pentabrid video recorder		 		16 pcs, HDVCI CCTV Camera indoor/outdoor, 2MP or better		 		1 unit, 6TB HDD, surveillance hard disk		 		6 rolls, si</t>
  </si>
  <si>
    <t xml:space="preserve"> This project entail purchase of materials used in the Municipal quarantine facility.</t>
  </si>
  <si>
    <t xml:space="preserve"> 1.	The MUNICIPALITY OF GUINAYANGAN, QUEZON, through  the  2020 MOOE  intends to apply the sum of  One Hundred Ninety Two Thousand Four Hundred Forty  Pesos                 (P 192,440.00) being the Approved Budget for the Contract (ABC) to payments under t</t>
  </si>
  <si>
    <t xml:space="preserve"> Republic of the Philippines DEPARTMENT OF PUBLIC WORKS AND HIGHWAYS EASTERN SAMAR DISTRICT ENGINEERING OFFICE REGIONAL OFFICE VIII Borongan City, Eastern Samar INVITATION TO BID The Department of Public Works and Highways Eastern Samar District Engineerin</t>
  </si>
  <si>
    <t xml:space="preserve"> 20 pax Negros Occidental - Class 1  21 pax Negros Occidental - Class 2  1 Full day board and lodging with 3 Meals and 2 Snacks  Meals &amp; Snacks:  - 3 buffet meals with 2 snacks daily  - Meal provision to start Am snacks on the 1st day &amp; to end Breakfast  -</t>
  </si>
  <si>
    <t xml:space="preserve"> REQUEST FOR QUOTATION Procurement of Goods [Tools for Transportation and MotorpoolUse][Repost] The   City Government of Tagbilaran, through its Bids and Awards Committee (BAC) intends to apply the sum of One Hundred Thirty-Two Thousand Two Hundred Fifty-F</t>
  </si>
  <si>
    <t xml:space="preserve"> 2 boxes Paracetamol tab 500mg 10 btls Paracetamol syrup 125mg 10 btls Paracetamol syrup 250mg 2 boxes Loperamide capsule 2 boxes Lagundi capsule 10 btls Lagundi syrup 59 btls Multivitamins syrup 2 boxes Multivitamins capsule 70 btls Ascorbic acid syrup 2 </t>
  </si>
  <si>
    <t xml:space="preserve"> Republic of the Philippines MUNICIPALITY OF QUEZON Province of Quezon INVITATION TO BID Date	: June 29, 2020 The Municipality of Quezon, through its Bids and Awards Committee (BAC), invites supplier/manufactures/distributors/contractors to apply for eligi</t>
  </si>
  <si>
    <t xml:space="preserve"> 1.Broadcast Ads (3) month xxxxxxxxxxxxx</t>
  </si>
  <si>
    <t xml:space="preserve"> Republic of the Philippines Province of Negros Occidental Municipality of Isabela INVITATION TO BID FOR THE  Purchase of One (1) Unit Manlift Truck, Isabela, Negros Occidental. 1. The MUNICIPALITY OF ISABELA, through the Supplemental Budget #1 CY2020 – in</t>
  </si>
  <si>
    <t xml:space="preserve"> COSTRUCTION OF HANDWASHING FACILITY</t>
  </si>
  <si>
    <t xml:space="preserve"> Rehabilitation of drainage canal</t>
  </si>
  <si>
    <t xml:space="preserve"> see attached RFQ Delivered at Oras Eastern, Samar                        Taft Eastern, Samar</t>
  </si>
  <si>
    <t xml:space="preserve"> CONSTRUCTION MATERIALS</t>
  </si>
  <si>
    <t xml:space="preserve"> To provide labor, materials and tools for the Construction of Elevated Concrete Reservoir at DA-NCES , Maguire, Lucban, Abulug, Cagayan</t>
  </si>
  <si>
    <t xml:space="preserve"> It is the intent of the Taal Water District to procure on a lump sum basis. Prices must be quoted in Philippine Peso and must include the unit price and total price, inclusive of all taxes to be paid and other incidental cost to the delivery site/s if the</t>
  </si>
  <si>
    <t xml:space="preserve"> 2	unit	Branded Laptop  		Display size- 15.60-inch 		Processor Core i5 		Battery Capacity 3220mAh 		Graphics Nvidia GeForce MX150 		Display resolution 1920x1080 pixels 		RAM 4GB  		Hard disk 1TB 		 Weight 2.20 kg 		OS Windows 10 Home 		Connectivity: Wi-Fi </t>
  </si>
  <si>
    <t xml:space="preserve"> -2- Units - Air-Con, 1.0HP, Wall Mounted Split type Inverter, Branded with Installation</t>
  </si>
  <si>
    <t xml:space="preserve"> 1.Hybrid corn seeds @ 18kg/bag (70) bags xxxxxxxxxxxx</t>
  </si>
  <si>
    <t xml:space="preserve"> 300	pcs	circle signage 10 inches 140	pcs	signage 7.5 x 10 inches</t>
  </si>
  <si>
    <t xml:space="preserve"> ABC = P91,068.50 		RENTAL 2	unts	PRINTER, A3 Wi-Fi Duplex, All-in-One Ink Tank 		-	Micro Piezo prnt head 		-	400 Nozzles Black, 128 Nozzles per color 		-	2.8 pl. with variable- sized droplet technology 		-	4,800 x 2,400 DPI 		-	Print, scan, copy, fax 		-	</t>
  </si>
  <si>
    <t xml:space="preserve"> DISTRIBUTION PIPES</t>
  </si>
  <si>
    <t xml:space="preserve"> Amp	Isosorbide Dinitrate 1mg/ml, 10ml inj. amp	   250	144.95	36,237.50 Amp	Norepinephrine 1mg/ml, 2ml ampule	 3600	108.76	391,536.00 Vial	Rabies Immunoglobulin (Human) 150 i.u/ml, 2ml inj. Vial	100	 4,100.00	 410,000.00</t>
  </si>
  <si>
    <t xml:space="preserve"> Units to be Purchased: Supply and Delivery of Rackmount Servers Approved Budget for the Contract (ABC): PHP 957,000.00 **** All Servers must be branded (Globally known Brand and is Sold and Marketed continuously in the Philippines for the last ten (10) ye</t>
  </si>
  <si>
    <t xml:space="preserve"> ABC = P106,100.00 8      rls	Mylar film, 24”x 20 meters 		T40B ULTRACHROME 10	         bot	Black, 80 ml 4	bot 	Cyan, 50 ml 4	bot	Magenta, 50 ml 4	bot	Yerllow, 50 ml 100	sheet	Mylar film, 17”x 21</t>
  </si>
  <si>
    <t xml:space="preserve"> VARIOUS CONSTRUCTION MATERIALS</t>
  </si>
  <si>
    <t xml:space="preserve"> Republika ng Pilipinas								 NATIONAL IRRIGATION ADMINISTRATION								 Pambansang Pangasiwaan ng Patubig								 Negros Occidental Irrigation Management Office								 Celis St. Bago City, Negros Occidental								 (034) 461-0494, (034) 454-2033							</t>
  </si>
  <si>
    <t xml:space="preserve"> 12 gals Povidone Iodine</t>
  </si>
  <si>
    <t xml:space="preserve"> 1	unit	Electric Trike (Specification: Length: 3,300 mm, Width: 1,440 mm, Height: 1,820 mm, Wheelbone: 2,450 m, Thread: 1,240mm, Ground Clearance: 170 mm, Net Weight: 530 kg, Gross Weight: 915 kg, Passenger Capacity: 6 +1 (Driver), Maximum Speed: 50 kph, M</t>
  </si>
  <si>
    <t xml:space="preserve"> PURCHASE REQUEST			 LGU BUGALLON						 Agency / Procuring Entity						 						 	Department: 		MO		Date:	 						 	Section:				Date:	 						 STOCK 		UNIT	Description	QTY	UNIT COST	AMOUNT NO.						 	1	bxs	Face Mask	100		 	2	bxs	NS1 (Dengue Test kits) 25 Test/</t>
  </si>
  <si>
    <t xml:space="preserve"> .</t>
  </si>
  <si>
    <t xml:space="preserve"> Supply and Delivery of production meter. 2" (tailpiece type) The Metro Midsayap Water District (MMWD) gives notice that  quotations are invited for the Supply and Delivery of Production Meters for Potable Water 2 pcs - Production Meter, 2" (tailpiece type</t>
  </si>
  <si>
    <t xml:space="preserve"> 1.	The MUNICIPALITY OF GUINAYANGAN, QUEZON, through  the  Special Education Fund (SEF) intends to apply the sum of  Fifty Two Thousand Pesos (P 52,000.00) being the Approved Budget for the Contract (ABC) to payments under the contract for Supply and Deliv</t>
  </si>
  <si>
    <t xml:space="preserve"> 375 bags cement , Portland 3 kgs CW Nails, Assorted 17 pcs RSB 16mm0 3 pcs RSB 12mm0 288 bdft Coco lumber 42 cu.m. Gravel 21 cu.m. Sand</t>
  </si>
  <si>
    <t xml:space="preserve"> Republic of the Philippines Province of Nueva Vizcaya BIDS AND AWARDS COMMITTTEE (GOODS) BAC OFFICE, Provincial Capitol, Bayombong, Nueva Vizcaya 	 		Negotiated Procurement (2nd Failure of Bidding) 2nd REQUEST FOR QUOTATION (RFQ)  For the Procurement of H</t>
  </si>
  <si>
    <t xml:space="preserve"> 1.Open pollinated variety (OPV) (210) bags    Corn seeds @ 20 kgs/bag xxxxxxxxx</t>
  </si>
  <si>
    <t xml:space="preserve"> 10000	pcs	two (2) pcs, carbonless print Paper 4"x6.5"</t>
  </si>
  <si>
    <t xml:space="preserve"> The Municipality of President Roxas (MPR), through the Budget Approved by the Sanggunian, intends to apply the sum of Seventy Five Thousand Pesos (Php 75,000.00) being the Approved Budget for the Contract (ABC) to payments under the contract for the Procu</t>
  </si>
  <si>
    <t xml:space="preserve"> PR#20-06-0329 ABC 83,500.00 24 pcs. G.I. Pipe 1 ¼” x 20 kg./pc., ASTM 6 pcs.   G.I. Pipe 1 ½” x 20’, 24 kg/pc. (ASTM) 60 pcs. Scaffolding Clamp 1 pc.    Heavy Duty Tarp (Trapal) 20’ x 24’ with Nylon Rope Lining &amp; Eyelid INSTRUCTIONS/ NOTES TO BIDDERS: 1. </t>
  </si>
  <si>
    <t xml:space="preserve"> 1.	The MUNICIPALITY OF GUINAYANGAN, QUEZON, through  the  2020 MOOE  intends to apply the sum of  One Hundred Forty Two Thousand One Hundred Eighty Pesos                 (P 142,180.00) being the Approved Budget for the Contract (ABC) to payments under the</t>
  </si>
  <si>
    <t xml:space="preserve"> MUNICIPALITY OF BORBON DESCRIPTION: 60 VIALS VAXIRAB N SOLUTION FOR INJECTION 25 VIALS EQUIRAB SOLUTION FOR INJECTION</t>
  </si>
  <si>
    <t xml:space="preserve"> 10	btl		Alcohol			rubbing, 500ml				 5	boxes		Clip			backfold, 19mm, 12pcs per box				 5	boxes		Clip			backfold, 25mm, 12 pcs per box				 10	boxes		Data File box			(5" x 9" x 15-3/4") 127mm x 229mm x 400mm w/ closed ends and ring files				 10	pcs		Data Fo</t>
  </si>
  <si>
    <t xml:space="preserve"> ITEM 3047.6 LTRS DIESEL FUEL</t>
  </si>
  <si>
    <t xml:space="preserve"> Please quote your lowest price inclusive of VAT on the item/s listed below, subject to the Terms and Conditions of this RFQ, and submit your quotation duly signed by your representative not later July 2, 2020 at 10:00 AM at Bids and Awards Committee at BA</t>
  </si>
  <si>
    <t xml:space="preserve"> Republic of the Philippines Province of South Cotabato BIDS AND AWARDS COMMITTEE Salada Street, Poblacion Tupi, South Cotabato Tel. Fax No.: (083) 226-1045 INVITATION TO BID FOR THE SUPPLY AND DELIVERY OF OFFICE &amp; OTHER SUPPLIES 1.	The Municipality of Tup</t>
  </si>
  <si>
    <t xml:space="preserve"> 1 job Radiator repair and overhaul BACKHOE-03 1 job Radiator repair and overhaul PL-03 1 pc Clutch booster assy FUSO 8DC9 long 1 pc Clutch booster assy ISUZU !)PDI-105mm long 6 pcs oil filter M3000- 102740</t>
  </si>
  <si>
    <t xml:space="preserve"> THERMAL SCANNER , FACE MASK MASK , FACE SHIELDS,DISINFECTANT TRAY , GLOVES , DIGITAL SCALE,ETHYL ALCOHOL , LYSOL , CHLORINE AND PARACETAMOL.</t>
  </si>
  <si>
    <t xml:space="preserve"> waste buggy 3units</t>
  </si>
  <si>
    <t xml:space="preserve"> 1900	pcs	Pototan seedlings, 1-2ft 1000	pcs	Umbrella Tree seedlings, 1-2ft 75	pcs	Dwarf Coconut seedling, 1-2ft</t>
  </si>
  <si>
    <t xml:space="preserve"> l.	The MUNICIPALITY OF GUINAYANGAN, QUEZON, through  the  2020 MOOE    intends to apply the sum of  One Hundred Eighty Nine Thousand Eighty Pesos                                  (P 189,080.00) being the Approved Budget for the Contract (ABC) to payments </t>
  </si>
  <si>
    <t xml:space="preserve"> Please see attached request for Quotation</t>
  </si>
  <si>
    <t xml:space="preserve"> 2 boxes Paracetamol tab 500mg 12 btls Paracetamol syrup 125mg 12 btls Paracetamol syrup 250mg 2 boxes Loperamide capsule 2 boxes Lagundi capsule 10 btls Lagundi syrup 80 btls Multivitamins syrup 3 boxes Multivitamins capsule 100 btls Ascorbic acid syrup 4</t>
  </si>
  <si>
    <t xml:space="preserve"> Republic of the Philippines Department of Health DAVAO REGIONAL MEDICAL CENTER Apokon, Tagum City BIDS AND AWARDS COMMITTEE INVITATION TO BID FOR THE SUPPLY, DELIVERY, INSTALLATION and COMMISSIONING of BRAND NEW DIGITAL RADIOGRAPHY/FLUOROSCOPY X-RAY MACHI</t>
  </si>
  <si>
    <t xml:space="preserve"> 2  units  Printer   Specs:  DCP-T710W 3-in-1 Print, Copy, Scan               Colour Inkjet MFC Printer up to 12/10 ppm ( ISO )               150 Sheets Default Paper Tray Manual Feed Slot               20 Sheets Auto Documnet Feeder               1 Line L</t>
  </si>
  <si>
    <t xml:space="preserve"> Joint sealer - For use in sealing cracks and joints within the district</t>
  </si>
  <si>
    <t xml:space="preserve"> 750	PACKS	SQUASH 36 seeds per pack 750	PACKS	TOMATO 200 seeds/pack 750	PACKS	EGGPLANT 300 seeds/pak 750	PACKS	OKRA/200 seeds/pack 750	PACKS	AMPALAYA 10 seeds/pack 750	PACKS	POLE SITAO 100 seeds/pack 		 70	packs	TOMATO SEEDS, (diamante max),  200 seeds/pac</t>
  </si>
  <si>
    <t xml:space="preserve"> 29 units Toner Cartridge M455  3 units DRUM Cartridge M455 **NOTHING FOLLOWS**</t>
  </si>
  <si>
    <t xml:space="preserve"> 150	Sv	Meals for Lunch/packed – Menu: rice, fried chicken, sweet &amp; sour fillet,  		Chicken chopsuey, softdrinks 200ml, fruits 		 150	Sv	Snacks: Hamburger w/ egg &amp; bottled iced tea 230ml 		 60	Sv	Meals for Lunch/packed – Menu: rice, fish fillet, Chicken ch</t>
  </si>
  <si>
    <t xml:space="preserve"> Standard Form Number: SF-                                                              Republic of the Philippines Standard Form Title: Request for                                                                                                       Taclo</t>
  </si>
  <si>
    <t xml:space="preserve"> 1.Folder long (100) pcs 2.Folder A4 (100) pcs 3.Correction tape 12s (10) bxs 4.Sign pen black (50) pcs 5.Sign pen blue (50) pcs 6.Permanent marker pen black 12s (1) bxs 7.Permanent marker pen blue 12s (1) bxs 8.Record book junior 300 pages (20) pcs 9.Glue</t>
  </si>
  <si>
    <t xml:space="preserve"> 909		pcs	Mono block Chair</t>
  </si>
  <si>
    <t xml:space="preserve"> Annex A 																 Civil Service Commission																 Constitution Hills, Batasang Pambansa Complex Diliman, Quezon City,																 																 REQUEST FOR QUOTATION																 																 														RFQ No.	2020-051 NP</t>
  </si>
  <si>
    <t xml:space="preserve"> Republic of the Philippines Province of Nueva Vizcaya BIDS AND AWARDS COMMITTTEE (GOODS) BAC OFFICE, Provincial Capitol, Bayombong, Nueva Vizcaya 	 		Negotiated Procurement (2nd Failure of Bidding) REQUEST FOR QUOTATION (RFQ)  For the Procurement of One (</t>
  </si>
  <si>
    <t xml:space="preserve"> The Philippine Carabao Center at USM through its Bids and Awards Committee (BAC) invites PhilGEPS registered suppliers to apply to bid for the Supply and Delivery of Packaging Supplies. Sticker for 1 li Fresh Milk 1000ml 	10000 pcs Sticker for 1 li Choco </t>
  </si>
  <si>
    <t xml:space="preserve"> Republic of the Philippines ANGELES CITY WATER DISTRICT Pampang Road, Brgy. Lourdes Northwest, Angeles City   (045) 458-0384; (045) 458-0382; (045) 458-0372  (045)322-6422; (045)458-0371, Fax No.: (045)322-6926 E-mail address:  angelescitywd@gmail.com Web</t>
  </si>
  <si>
    <t xml:space="preserve"> Leak Noise Analysis: Minimum level indication Frequency Response: 1 to 5000hz Filters: All band + infinitely adjustable narrow filter Memory: 8 last measurements Display: LCD with backlight Power: 4 standard 1.5V AA Alcaline Batteries Battery LIfe: Typeca</t>
  </si>
  <si>
    <t xml:space="preserve"> construction materials</t>
  </si>
  <si>
    <t xml:space="preserve"> 1 unit Swivel Chair 15 unit Foldable Lifetime Table - 6seaters 1 unit Office Table</t>
  </si>
  <si>
    <t xml:space="preserve"> Republic of the Philippines Province of Ilocos Sur Vigan City INVITATION TO BID FOR  Tobacco Farmers/Cooperatives' Hybrid Corn Seed Subsidy for Alternative Farming Livelihood Project 1.	The Provincial Government of Ilocos Sur, through the Special Budget N</t>
  </si>
  <si>
    <t xml:space="preserve"> API 20E Strip+reagent kit			2	Sets	50,000.00 &gt;API 20E, strip					 &gt;API 20E reagents (set)					 -Mineral oil					 -Oxidase reagent					 -API NaCl 0.85% medium (5ml)					 -McFarland Standard					 					 API Staph, Strip + reagent kit			2	Sets	45,000.00 inclu</t>
  </si>
  <si>
    <t xml:space="preserve"> 2 per month Radio Program on Social Pension  (20 minute-long)  (4 programs per month) **NOTHING FOLLOWS**</t>
  </si>
  <si>
    <t xml:space="preserve"> 1	Automotive Diesel Fuel 							1	lot	122,960.00 	terms &amp; condition:									 	1. The supplier shall start to serve within three (3) days upon receipt of the advice									 	           from the project engineer until the project is completed.									 	2</t>
  </si>
  <si>
    <t xml:space="preserve"> REQUEST FOR QUOTATION (RFQ) The MOTORPOOL  through the Bids and Awards Committee (BAC) of the Municipality of Banaybanay, Davao Oriental hereby notifies and invites you to submit your quotation/bid for the hereunder proposed project/request, viz: FOR REPA</t>
  </si>
  <si>
    <t xml:space="preserve"> QTY	UNIT	DESCRIPTION 4	PCS	G.I. PIPE 3/4"Ø S40 10	PCS	SQUARE BAR 10MMØ 1	PC.	ROUND BAR 12MMØ 4	PCS	HANGING DOOR ROLLER  4	METERS	SLIDING DOOR RAIL (2"X3"X1.5MM) 2	SETS	PVC DOOR 2	PCS	DOOR KNOB 8	PCS	EXPANSION BOLT 12MMØ 2	PCS	PADLOCK 5	KGS	WELDING ROD 1	G</t>
  </si>
  <si>
    <t xml:space="preserve"> 290 pair Rubber Boots, size 7 290 pair Rubber Boots, size 8 300 pair Rubber Boots, size 9              x-x-x-x-x</t>
  </si>
  <si>
    <t xml:space="preserve"> 19,047 bot. Alcohol, 70% Ethyl, 250ml.            x-x-x-x-x</t>
  </si>
  <si>
    <t xml:space="preserve"> 11	sets		Window Blinds			for conference room 2				 						size: 4.43ft x 7.87ft</t>
  </si>
  <si>
    <t xml:space="preserve"> Please see attached purchase request</t>
  </si>
  <si>
    <t xml:space="preserve"> https://drive.google.com/file/d/1BwSSTulHH8CGtc_u-6hnBtCgqD7LU8DD/view?usp=drivesdk use link to view the bidding documents The Armed Forces of the Philippines (AFP), through the GHQ Bids and Awards Committee 1 (GHQ BAC 1), invites suppliers, manufacturers</t>
  </si>
  <si>
    <t xml:space="preserve"> QTY	UNIT	DESCRIPTIONS 20	pcs	Plyboard 3/4 30	kg	Metal Plaring 1"x4"x3m 80	pcs	Concealed Hinges 27	sets	Cabinet Lock 250	pcs	Black Screw 2	gal.	Polytuff 2	gals	Flat Latex 2	gals	Gloss Latex 1	box	Blind Rivets 5/32" 45	pcs	Slotted Angle</t>
  </si>
  <si>
    <t xml:space="preserve"> PROCUREMENT OF IT EQUIPMENT USED IN THE DEPED/ALS CHARGE TO SEF CPONTINUING OF 2019</t>
  </si>
  <si>
    <t xml:space="preserve"> 1.Toner cart. black CB435ABN (4) pcs 2.Board paper long pastel colors (5) packs 3.Ballpen blue color 48s (1) bxs 4.Sign pen blue color 10s (2) bxs 5.Paper fastener plastic multi color 50s (3) bxs 6.Record book 500 pages (4) bxs 7.Record book 300 pages (4)</t>
  </si>
  <si>
    <t xml:space="preserve"> PLEASE SEE ATTACHED DOCUMENT</t>
  </si>
  <si>
    <t xml:space="preserve"> 100 units CV Ink Black (S-7220)  2 rolls CV Master B4 (S-7040)  2 pc Drum DR411 (BH423-03)  2 pc Developer DV411 (BH423-02)  1 pc Developing Unit (A1UDR73000) **NOTHING FOLLOWS**</t>
  </si>
  <si>
    <t xml:space="preserve"> Various Office Supplies</t>
  </si>
  <si>
    <t xml:space="preserve"> Province of Cotabato Municipality of Arakan Barangay Tumanding BIDS AND AWARDS COMMITTEE Invitation for Negotiated Procurement Construction of Multi-purpose Bldg. @ sitio side B 	In view of the two (2) failed public bidding the Barangay Government of Tuma</t>
  </si>
  <si>
    <t xml:space="preserve"> l.	The MUNICIPALITY OF GUINAYANGAN, QUEZON, through the  2020  MDF   intends to apply the sum of  One Hundred Forty Six Thousand Seven Hundred Fourteen  Pesos                                  (P 146,714.00) being the Approved Budget for the Contract (ABC)</t>
  </si>
  <si>
    <t xml:space="preserve"> Republic of the Philippines Province of Davao Del Sur Municipality of Padada INVITATION TO BID June 24, 2020 SUPPLY AND DELIVERY OF VARIOUS CONSTRUCTION MATERIALS FOR THE EXPANSION OF CONCRETE DRAINAGE CANAL (U TYPEDRANAGE SYSTEM) 1.	The Local Government </t>
  </si>
  <si>
    <t xml:space="preserve"> Republic of the Philippines Department of Education Caraga Administrative Region DIVISION OF CABADBARAN CITY 818-5356 Request for Quotation Date: June 18, 2020 Quotation No.: 2020-107 To all service providers: I. Please quote your lowest price inclusive o</t>
  </si>
  <si>
    <t xml:space="preserve"> -250- bags - Portland Cement -200- pcs. - RSB, 12mmØ x 6.0m -60- pcs. - RSB, 10mmØ x 6.0m -50- kgs. - G.I. Tie Wire # 16  -140- cu.m - White Sand -50- pcs. - Ordinary Plywood (1/4" thick x 4'x8') -150- pairs - Working Gloves -150- pcs. - Good Lumber (50mm</t>
  </si>
  <si>
    <t xml:space="preserve"> Republic of the Philippines PROVINCE OF ZAMBOANGA DEL NORTE BIDS AND AWARDS COMMITTEE (BAC) BAC Conference Room, Capitol Building, Brgy. Extaka, Dipolog City Tel. # (065) 212-6492 Telefax # (065) 212-6492                                                   </t>
  </si>
  <si>
    <t xml:space="preserve"> 1.		Sand, washed 		28 cu.  2.		Gravel, well graded #3/4” dia. 		15 cu.m  3.		Portland cement 		258 bags  4.		Concrete Hollow Blocks, 4”X8”X16” 		1400 pcs  5.		RSB, 16mm Ø (84pcs) 		795.48 6.		RSB, 12mm Ø (28pcs) 		149.24 7.		RSB, 10mm Ø (200pcs) 		740 kg </t>
  </si>
  <si>
    <t xml:space="preserve"> Firetruck 2 pcs  Tire 700x16 Mag/set 14PR 1 pc   Tube 700x16 Garbage Truck 2 2 pcs  Tire 700x16 MFR nylon w/tube &amp; flop 4 pcs  Tire 700x16 MRF Lug nylon w/tube &amp; flop</t>
  </si>
  <si>
    <t xml:space="preserve"> 15 ream hardcopy bondpaper long   2ream hadrcopy bondpaper short 100 pcs fastenes aexpandable 3   ream folder long 15 pcs record book 300s 60 pcs ballpen ( black/blue/red) 8 bots epson ink black 12 bot epson  i nk colored</t>
  </si>
  <si>
    <t xml:space="preserve"> Province of Cotabato Municipality of Arakan Barangay Meocan BIDS AND AWARDS COMMITTEE Invitation for Negotiated Procurement Installation of P.E Pipes @ Sitio Upper Meocan 	In view of the two (2) failed public bidding the Barangay Government of Meocan Bids</t>
  </si>
  <si>
    <t xml:space="preserve"> 30 drum Chlorine Granules, 40kg per drum 70%               x-x-x-x-x</t>
  </si>
  <si>
    <t xml:space="preserve"> PLEASE SEE ATTACHED INVITATION TO BID</t>
  </si>
  <si>
    <t xml:space="preserve"> SSS Bacolod Branch Supply of Diesel Fuel for Service Vehicle SSHG 343 &amp; SHG 310  for the period July 2020 to December 2020 Specifications: 2,400 liters - Diesel or approved equal for automotive - Euro 4 compliant - Biodegradable and Non-Toxic - Fuel Stati</t>
  </si>
  <si>
    <t xml:space="preserve"> See attached file</t>
  </si>
  <si>
    <t xml:space="preserve"> The AGRICULTURAL TRAINING INSTITUTE-REGIONAL TRAINING CENTER (ATI-RTC) X, through the 2020 General Appropriations Act intends to apply the sum of Fifty Eight Thousand Four Hundred Pesos (P 58,400.00) being the Approved Budget for the Contract (ABC) to pay</t>
  </si>
  <si>
    <t xml:space="preserve"> LOT A									 1	Unleaded Gasoline							1	lot	18,600.00 	Terms &amp; conditions:									 										 	1. The supplier shall start to serve within three (3) days upon receipt of the advice									 	           from the project engineer until the project is co</t>
  </si>
  <si>
    <t xml:space="preserve"> MUNICIPALITY OF PANIQUI Province of Tarlac 	Project Reference Number : G-2020-005 Name of the Project           : Supply &amp; Delivery of various Medicine, Medical, Dental &amp; Laboratory  Supplies for RHU-I, RHU-II and PGH Location of the Project     :  LGU, P</t>
  </si>
  <si>
    <t xml:space="preserve"> 1-unit-Service Van; brand new; white					           Overall Dimensions: 5,265 x 1,950 x 1,990 mm; Wheelbase:					           3,860mm; Seating Capacity: 12; Engine Type: 4 Cylinders,					           In-line Type 16-Valve DOHC; Engine Displacement: 2,755cc			</t>
  </si>
  <si>
    <t xml:space="preserve"> Province of Cotabato Municipality of Arakan Barangay Anapolon BIDS AND AWARDS COMMITTEE Invitation for Negotiated Procurement Concrete Perimeter Fence of Brgy Hall 	In view of the two (2) failed public bidding the Barangay Government of Anapolon Bids and </t>
  </si>
  <si>
    <t xml:space="preserve"> Fabrication of table divider, faceshield, and face mask for the new normal SY 2020-2021</t>
  </si>
  <si>
    <t xml:space="preserve"> 10 BOTTLES OF OXYTETRACYCLINE (100ML) 50 VIAL OF ROBIPENSTREP (10ML) 50 BOTTLES OF ANIMYCIN (60ML) 250 SACHETS OF VETRACIN PREMIUM (5g) 250 SACHETS OF DOXYLAK FORTE (7g) 250 SACHETS OF PORK ACE (5g) 200 SACHETS OF AMBROXITIL (5g) 200 SACHETS OF PARA-V (6g</t>
  </si>
  <si>
    <t xml:space="preserve"> supply and delivery of spare parts</t>
  </si>
  <si>
    <t xml:space="preserve"> Republic of the Philippines Province of Cotabato Municipality of Arakan Barangay Ma. Caridad BIDS AND AWARDS COMMITTEE REQUEST FOR QUOTATION Supply and Installation of P.E Tanks, 1 Unit   The Barangay Local Government Unit of Ma. Caridad is inviting inter</t>
  </si>
  <si>
    <t xml:space="preserve"> Republic of the Philippines Province of South Cotabato BIDS AND AWARDS COMMITTEE Salada Street, Poblacion Tupi, South Cotabato Tel. Fax No.: (083) 226-1045 INVITATION TO BID FOR THE SUPPLY AND DELIVERY OF CONSTRUCTION MATERIALS FOR THE CONSTRUCTION OF BAH</t>
  </si>
  <si>
    <t xml:space="preserve"> Republic of the Philippines Province of Ilocos Sur Vigan City INVITATION TO BID FOR  Security Services for the Provincial Government of Ilocos Sur 1.	The Provincial Government of Ilocos Sur, through the GF-Security Services intends to apply the sum of PhP</t>
  </si>
  <si>
    <t xml:space="preserve"> rubbing alcohol 500ml 30 bot broom "paypay" 30 pcs broom stick 30 pcs bulb-18 watts essential 50 pcs concrete nails #1 inch 10 kilos concrete nails #2 inch 10 kilos plastic faucet-1/2 inch 60 pcs padlock 50 mm 50 pcs chlorine 50 killos muriatic acid 1l 20</t>
  </si>
  <si>
    <t xml:space="preserve"> CONSTRUCTION materials for the repair of Tanod Outpost</t>
  </si>
  <si>
    <t xml:space="preserve"> see associated components for downloadable RFQ 2020-4076</t>
  </si>
  <si>
    <t xml:space="preserve"> Please see attached RFQ.</t>
  </si>
  <si>
    <t xml:space="preserve"> Please send your quotation or e-mail your quotation with copy of the following: 	Registration certification from SEC/DTI or CDA whichever is applicable 	Mayors’ Permit from the principal place of business 	PhilGEPs Registration 	Tax Clearance per exec</t>
  </si>
  <si>
    <t xml:space="preserve"> REQUEST FOR QUOTATIONS: Please quote your best offer for the item/s described below, subject to the Terms and Conditions provided at the dorsal portion of this request for quotation. Submit your quotation duly signed by you or your duly representative and</t>
  </si>
  <si>
    <t xml:space="preserve"> 50 pcs      1.0m dia.  Reinforced Concrete Pipe</t>
  </si>
  <si>
    <t xml:space="preserve"> 1	1	lot		Publication of City Ordinances 				* No 244 (of 2020) 				* No 245 (of 2020) 				* No 246 (of 2020) 				* No 247 (of 2020) 				* No 248 (of 2020) 				(6 1/2 pages. 3 issues, as per Layout) 				x-x-x-x-x-x-x Nothing Follows x-x-x-x-x-x-x</t>
  </si>
  <si>
    <t xml:space="preserve"> LGU - San Antonio, Zambales					 Office of the MSWDO					 					 					 REQUEST FOR QUOTATION					 				Date:  	 				Quotation No. : 	 ______________________________________					 ______________________________________					 					 	Please quote your lowest pri</t>
  </si>
  <si>
    <t xml:space="preserve"> Epson ink 360(black)					10	bottles Epson ink 360 (blue)					10	bottles White board marker					10	pieces Thermal scanner					9	pieces Foot bath mat					2	pcs Alcohol dispenser pump					10	pcs alcohol dispenser (foot operated)   					5	pcs Disposable face </t>
  </si>
  <si>
    <t xml:space="preserve"> please contact RBAC Secretariat.</t>
  </si>
  <si>
    <t xml:space="preserve"> ITEM NO. QUANTITY UNIT ITEM DESCRIPTION 1 1 UNIT BRAND NEW 6 WHEELER DUMP TRUCK VEHICLE DIMENSIONS (mm) 1. Wheelbase 2. Front overhang 3. Rear overhang 4. Wheel track of front axle 5. Wheel track of rear axle 6. Chassis length 7. Approach angle (°) 8. Dep</t>
  </si>
  <si>
    <t xml:space="preserve"> 2	subs.		Internet Connectivity			10mbps new subscription</t>
  </si>
  <si>
    <t xml:space="preserve"> Covid-19 prevention and monitoring</t>
  </si>
  <si>
    <t xml:space="preserve"> Republic of the Philippines  PROVINCIAL GOVERNMENT OF EASTERN SAMAR Provincial Capitol, 6800 Borongan City  E-mail Address: esamar.bac@gmail.com REQUEST FOR QUOTATION RFQ No. 2020-06-128                                                                     </t>
  </si>
  <si>
    <t xml:space="preserve"> NOTICE OF NEGOTIATED PROCUREMENT (Two Failed Biddings) TO ALL INTERESTED BIDDERS We are pleased to invite you in our negotiation conference for the project requirements requirement To hire contractor to provide materials, labor and equipment for two (2) I</t>
  </si>
  <si>
    <t xml:space="preserve"> 1 LOT - Procurement for Catering Services for 17 Days during the Series of Activities in Preparation for the ISO 9001:2015 2nd Surveillance Audit  Capacity Building on Control of Documented Information Remote Audit  July 6, 2020 12 pax with 1 meal and 2 s</t>
  </si>
  <si>
    <t xml:space="preserve"> PR2020-06-024 - Purchase and Delivery of Office Equipment, Supplies and Consumables for use of this Office</t>
  </si>
  <si>
    <t xml:space="preserve"> 100	tab		Captopril			25mg				 1000	tab		Cetirizine			10mg				 1000	cap		Ferrous Sulfate							 1000	tab		Paracetamol			Phenylpropanolamine				 1000	tab		Lagundi			600mg				 2000	tab		Vitamin C			500mg				 1000	tab		Multivitamins			with Amino Acid				 10	b</t>
  </si>
  <si>
    <t xml:space="preserve"> Various Spare Parts</t>
  </si>
  <si>
    <t xml:space="preserve"> 2	pcs. Hand held-M3 OX10 (NWSCBP)-Mobile Device with-3.8G Network, Wifi(IEEE802.11a/b/g/n),Scanner(ID), Camera (3.2MP), BT Class II v2.0+EDR &amp; AGPS,3.5" QVGA TFT LCD Colour Touch Screen, Microsoft® Windows Embedded CE 6.0, Coretex-A8 833Mhz,256MB/1GB,M3 U</t>
  </si>
  <si>
    <t xml:space="preserve"> ITEM: 10 pcs Concrete Cutter Blade(18-inches)							 6 pcs Concrete Cutter Blade(14-inches)							 5 pcs Belt							 10 pcs (Pillow Block)Bearing							 PURPOSE: FOR STOCKING												 ABC: PHP 242,000.00 DELIVERY SCHEDULE:  10 CALENDAR DAYS</t>
  </si>
  <si>
    <t xml:space="preserve"> Supply &amp; Delivery of Printer for Cashier's Office 01D(CO) F11-2020 Kindly see attached file. Thank you!</t>
  </si>
  <si>
    <t xml:space="preserve"> The CNSC Bids and Awards Committee would like to invite interested bidders to quote their lowest price for the following: Item No.    Unit of Issue   Quantity   Description 1               pcs                 946         Face Mask (washable), cotton, subl</t>
  </si>
  <si>
    <t xml:space="preserve"> Republic of Philippines								 City of Canlaon								 OFFICE OF THE BIDS AND AWARDS COMMITTEE								 REQUEST FOR SEALED QUOTATION								 								 				Date:	6/24/2020			 				Quotation No.:	2020-06-038			 				PR No.:	2020-06-051-D			 				Department:	CEO</t>
  </si>
  <si>
    <t xml:space="preserve"> INSTALLATION OF SOLAR STREET LIGHTS</t>
  </si>
  <si>
    <t xml:space="preserve"> Sir/Madam:																																						 																																						 Please quote your government price/s including delivery charges, VAT or other applicable taxes, and other incidental expenses for the goods listed in Annex A.  Also, f</t>
  </si>
  <si>
    <t xml:space="preserve"> please see attached purchased request...</t>
  </si>
  <si>
    <t xml:space="preserve"> 100	Serving	Meals, Buffet, Lunch 		Rice, beef steak, pork menudo, chopsuey, softdrinks 200ml, bottled water 		350ml, fruit 		Day 1 		 100	Serving	Meals, Buffet, Lunch 		Rice, tinolang isda, pancit guisado, lumpia shanghai, softdrinks 200ml,  		bottled wat</t>
  </si>
  <si>
    <t xml:space="preserve"> BIDS AND AWARDS COMMITTEE REQUEST FOR QUOTATION The Local Government Unit of Labason, Z.N., invites all interested registered supplier to submit quotation for the Purchase of CCTV with Installation for PNP Labason Station Surveillance: Approved Budget for</t>
  </si>
  <si>
    <t xml:space="preserve"> 1 1 BOX/S BALLPEN - ORDINARY,RED 50'S 2 5 BOX BALLPEN - BLACK ORDINARY 50'S 3 5 REAM/S PAPER - BOND COLORED LONG-YELLOW 4 5 REAM/S PAPER - BOND COLORED LONG-BLUE 5 10 REAM/S PAPER - BOND COLORED LONG-PINK 6 45 REAM/S PAPER - BOOK LEGAL,216MMX330MM(8-1/2"X</t>
  </si>
  <si>
    <t xml:space="preserve"> Materials / Uniforms:  -250- pcs. - T-shirt White without collar printed with Logo of DPWH in front at the left side  -250- pcs. - CAP with DPWH Logo -250- pcs. - Raincoats (Poncho) with Logo at the front left side and DPWH MAINTENANCE</t>
  </si>
  <si>
    <t xml:space="preserve"> Name of the Procuring Entity LOCAL GOVERNMENT UNIT  Mahinog, Camiguin	Project Reference Number: 2020-GOODS-RFQ-067 Name of Project: Supply &amp; Delivery of Tires and Battery Location of the Project: Poblacion, Mahinog, Camiguin 	 Standard Form Number: SF-GOO</t>
  </si>
  <si>
    <t xml:space="preserve"> Please see attached Technical Specifications</t>
  </si>
  <si>
    <t xml:space="preserve"> 110		pcs	Ballpen (Black) 				 15		pcs	Ballpen (Blue)				 4		packs	Battery AAA , 3pcs/pack				 103		reams	Bond Paper (A4) 80gsm Multicopy				 17		reams	Bond Paper (Legal) 80 gsm Multicopy				 2		reams	Bond Paper (Letter) 80gsm Multicopy				 2		reams	Bond P</t>
  </si>
  <si>
    <t xml:space="preserve"> See attached specifications</t>
  </si>
  <si>
    <t xml:space="preserve"> Mass production of R &amp; D  Annual Report 2019 Book</t>
  </si>
  <si>
    <t xml:space="preserve"> Province of Cotabato Municipality of Arakan Barangay Kabalantian BIDS AND AWARDS COMMITTEE Invitation for Negotiated Procurement Purchase of Rescue Vehicle Bonggo 	In view of the two (2) failed public bidding the Barangay Government of Kabalantian Bids an</t>
  </si>
  <si>
    <t xml:space="preserve"> Installation/fabrication of window grills and canopy at Market Office, Lingayen, Pangasinan (4 windows)</t>
  </si>
  <si>
    <t xml:space="preserve"> INVITATION TO BID (Rebid) Procurement of Construction Materials for the Concreting of Perimeter Fence at new PNP building The LGU Surallah through the Bids and Awards Committee (BAC) is inviting suppliers to bid for the supply and delivery of GOODS/INFRAS</t>
  </si>
  <si>
    <t xml:space="preserve"> Construction of Multi-Purpose Building (New Building Phase I), Ugac Sur, Tuguegarao City</t>
  </si>
  <si>
    <t xml:space="preserve"> 5 days Boat rental (davao gulf, 1 boat)</t>
  </si>
  <si>
    <t xml:space="preserve"> cabinet for BOD and water dispenser</t>
  </si>
  <si>
    <t xml:space="preserve"> See attachment/s.</t>
  </si>
  <si>
    <t xml:space="preserve"> 1 lot labor &amp; materials for the repair of cistern tank &amp; pumps at Mayo Hall Barracks Area</t>
  </si>
  <si>
    <t xml:space="preserve"> Quantity	"Unit of  Issue"	PARTICULARS				"Stock  No."	"Estimated Unit  Cost"	Estimated Cost 		Office Equipment of GDSS for Official use of  DENR-INREMP						 5	unit	PRINTER				1	 10,500.00 	 52,500.00  		Specifications:						 		A4 Multifunction						 		Pr</t>
  </si>
  <si>
    <t xml:space="preserve"> See Attachment!!</t>
  </si>
  <si>
    <t xml:space="preserve"> Lunch and Snacks 80 pax</t>
  </si>
  <si>
    <t xml:space="preserve"> LOCATION: SITIO COGCOG I. EXCAVATION II. MASONRY WORKS (L=40m) a) MARERIALS b) LABOR c) EQUIPMENT RENTAL d) HAULING OF MATERIALS</t>
  </si>
  <si>
    <t xml:space="preserve"> AGRICULTURAL SUPPLIES 200	Bag	Inbreed Rice Seeds NSIC RC216 (CS) @40kg/bag 67	Bag	Pioneer 73 15kg/bags (hybrid) 100	Kilos	Inipot Ibon, Black Rice Seeds, 1kg/bag 100	Kilos	Pinursige, red/brown rice, 1kg/bag 150	Kg.	Corn Seeds (glutinous corn, special type-</t>
  </si>
  <si>
    <t xml:space="preserve"> PROJECT NAME : REBLOCKING OF MUNICIPAL ROAD AND RECONSTRUCTION OF SLOPE PROTECTION PROJECT LOCATION : BRGY CALERO, JOSE PANGANIBAN, CAMARINES NORTE ABC : PHP 400,000.00 DURATION : 74 DAYS SOURCE OF FUND : 20% CDF 2020</t>
  </si>
  <si>
    <t xml:space="preserve"> 1 set turbo assy &amp; 12 others</t>
  </si>
  <si>
    <t xml:space="preserve"> 1.	The Municipality of Impasugong, through the 8-90-00 20% (2016 &amp; below) Rehabilitation &amp; Preservation of Cultural and Historical Sites intends to apply the sum of One Million Eight Hundred Thousand Pesos (PhP1,800,000.00) being the Approved Budget for t</t>
  </si>
  <si>
    <t xml:space="preserve"> 1 LOT - Procurement of Service  for the Review and Validation of documented information and completion of the gap findings in preparation for the ISO 9001:2015 2nd Surveillance Audit for 17-days Requirements 1. Has assisted DepEd Regional Offices for ISO </t>
  </si>
  <si>
    <t xml:space="preserve"> ITEM: 100 boxes Computerized Billing Form 6000 pcs/box (as per sample)		 PURPOSE: FOR REPLENISHMENT OF STOCKS. RPP NO. 20-06-05-025	 DELIVERY SCHEDULE: 10 CALENDAR DAYS</t>
  </si>
  <si>
    <t xml:space="preserve"> 20	pcs		Ballpen			Black, Liquid gel, 0.5mm ball, needle				 20	pcs		Ballpen			Blue, Liquid gel, 0.5mm ball, needle				 20	pcs		Ballpen			Red, Liquid gel, 0.5mm ball, needle				 500	pcs		Folder			Green, expanded				 20	boxes		Clip backfold			19mm (3/4"), 1</t>
  </si>
  <si>
    <t xml:space="preserve"> 30	Ream	Paper, bond legal 		 20	Ream	Paper, bond short 		 500	Pc	Folder, thick, glossy brown, long 		 5	Tu	Ink, for copy printer, GESTETNER DX2430 		 30	Pc	Data Organizer box 		 15	Bt	Ink, EPSON 664 red 70ml 		 15	Bt	Ink, EPSON 664 yellow 70ml 		 15	Bt	In</t>
  </si>
  <si>
    <t xml:space="preserve"> INVITATION TO BID (548-2020) Procurement of Materials for the Repair &amp; Maintenance of Parks and Plaza, Municipal Site The LGU Surallah through the Bids and Awards Committee (BAC) is inviting suppliers to bid for the supply and delivery of GOODS/INFRASTRUC</t>
  </si>
  <si>
    <t xml:space="preserve"> For use in the operation of grasscutter within the district</t>
  </si>
  <si>
    <t xml:space="preserve"> Please quote your lowest price on the item/s listed below, subject to the General Conditions on the last page, stating the shortest time of delivery and submit your quotation duly signed by your representative not later than JUNE 29, 2020 in the return en</t>
  </si>
  <si>
    <t xml:space="preserve"> Please see attached Invitation to Bid and Technical specs</t>
  </si>
  <si>
    <t xml:space="preserve"> 1 lot labor and materials for the repair of Sto Niño chapel</t>
  </si>
  <si>
    <t xml:space="preserve"> Republic of Canlaon 								 City of Canlaon								 OFFICE OF THE BIDS AND AWARDS COMMITTEE								 REQUEST FOR SEALED QUOTATION								 								 					Date:	6/24/2020		 					Quotation No.:	2020-06-024		 					JO No.:	2020-06-026-D		 					Department:	CEO, </t>
  </si>
  <si>
    <t xml:space="preserve"> Republic of the Philippines                   PROVINCE OF BUKIDNON                   Municipality of Don Carlos                                        BIDS AND AWARDS COMMITTEE       REQUEST FOR QUOATATION   									 							Date:  							RFQ No.								 </t>
  </si>
  <si>
    <t xml:space="preserve"> Republic of the Philippines Province of Davao Del Sur Municipality of Padada INVITATION TO BID June 23, 2020 SUPPLY AND DELIVERY OF VARIOUS CONSTRUCTION MATERIALS FOR ROAD REHABILITATION OF RIZAL STREET, NCO DIST. PADADA, DAVAO DEL SUR 1.	The Local Govern</t>
  </si>
  <si>
    <t xml:space="preserve"> repair of Municipal Seal infront of Municipal Building</t>
  </si>
  <si>
    <t xml:space="preserve"> Procurement of Tiles and Tile Adhesive for TESDA MIMAROPA Regional Office and TESDA Oriental Mindoro Provincial Office- Tiles of newley erected building at Tawiran, Calapan City, (For Flooring of Staff House, Floorings of Building; Comfort Room and Walls)</t>
  </si>
  <si>
    <t xml:space="preserve"> City Government of La Carlota								          Standard Form Number: SF-GOOD-59 Revised on: May 24, 2004 Standard Form Title: REQUEST FOR QUOTATION 												Date: ______________												              Quotation No.________ Company Name Address 	Pleas</t>
  </si>
  <si>
    <t xml:space="preserve"> Republic of the Philippines COMMISSION ON AUDIT Quezon City REQUEST FOR QUOTATION Procurement And Property &amp; Supply Management Services, General Services Office Date Prepared: June 23, 2020 Supplier :______________________ Address :______________________ </t>
  </si>
  <si>
    <t xml:space="preserve"> Republic of the Philippines Province of Cotabato Municipality of Arakan BIDS AND AWARDS COMMITTEE REQUEST FOR QUOTATION  	SUPPLY OF SPARE PARTS OF HILUX The Local Government Unit of Arakan is inviting interested suppliers to submit price quotation to the </t>
  </si>
  <si>
    <t xml:space="preserve"> 1. HAND TRACTOR five(5) units         Specs:                 1. Prime mover; a. Engine minimum-Diesel 4.84 KW, (6.5 hp), b.-Continuous power, minimum 80%                      of rated power, c.-Cooling system water cooled/air cooled                 2. Tra</t>
  </si>
  <si>
    <t xml:space="preserve"> Continuation of Barangay hall rehabilitation at P-2 Camote, Barangay Maon, Butuan City.</t>
  </si>
  <si>
    <t xml:space="preserve"> 5		Units		Hikvision 2MP Bullet Network Camera							 5		Units		UBNT Lite Beam 5AC 23 Gen 2							 1		Units		Hikvision 8 Ch. NVR							 8		Units		12V Power Adoptor							 6		Pcs.		Outdoor Pull Box							 1		Pcs.		TWHN AWG 24 #14							 6		Roll		3 Gang Outl</t>
  </si>
  <si>
    <t xml:space="preserve"> INVITATION TO BID June 24, 2020 1.	The Provincial Government of Davao Occidental, through its Bids and Awards Committee (BAC), invites all suppliers to apply to bid for the following goods: Bids received in excess of the ABC shall be automatically rejecte</t>
  </si>
  <si>
    <t xml:space="preserve"> Republic of the Philippines City of Toledo -oOo- BIDS AND AWARDS COMMITTEE ITB  No. I31-03-2020 INVITATION TO BID FOR: Proposed Opening/Improvement of Toledo City Hospital Circumferential Road @ Brgy. Poblacion, Toledo City 1.	The City Government of Toled</t>
  </si>
  <si>
    <t xml:space="preserve"> Folders, bond papers and the like</t>
  </si>
  <si>
    <t xml:space="preserve"> LOT A									 1	Unleaded Gasoline							1	lot	12,905.60 	Terms &amp; conditions:									 										 	1. The supplier shall start to serve within three (3) days upon receipt of the advice									 	           from the project engineer until the project is co</t>
  </si>
  <si>
    <t xml:space="preserve"> Pag-IBIG FUND Tuguegarao Branch Office Editha Tuddao Bldg., Balzain Road, Tuguegarao City, Cagayan REQUEST FOR QUOTATION SUPPLY AND DELIVERY OF 3 UNITS BRAND NEW LASER RANGE METER  FOR Pag-IBIG FUND, TUGUEGARAO HUB  The Pag-IBIG Fund (HDMF) is inviting Su</t>
  </si>
  <si>
    <t xml:space="preserve"> Republic of the Philippines PROVINCE OF NORTHERN SAMAR BIDS AND AWARDS COMMITTEE Catarman Invitation to Bid NS-06-25-20-01 Construction of 10 Post Solar Street Lights at Brgy. New Rizal, Catarman, Northern Samar 1.	The Provincial Government of Northern Sa</t>
  </si>
  <si>
    <t xml:space="preserve"> Items Quantity / Units 1.mineral water 722 bottles 2.assorted biscuit 3500 packs 3.coffee cups 67 boxes 4.coffee 3 in 1 3460 packs Twinpacks 5.stirrer 20 kilos PRICE QUOTATION/S SHOULD BE PRINTED ON COMPANY’S OFFICIAL LETTERHEAD TOGETHER WITH THE FOLLOWIN</t>
  </si>
  <si>
    <t xml:space="preserve"> Name of the Procuring Entity: UNIVERSITY OF NORTHERN PHILIPPINES  	Project Reference Number: 20-06-11-153 										Name of the Project: 	 Standard Form Number: SF-GOOD-60						Location of the Project: UNP Vigan City Revised on: May 24, 2004 Standard Form</t>
  </si>
  <si>
    <t xml:space="preserve"> 730 pcs Face Shield  21900 pcs Face Mask  1457 bottles Ethyl Alcohol 250ml 70%  21900 pcs Gloves **NOTHING FOLLOWS**</t>
  </si>
  <si>
    <t xml:space="preserve"> ITEM NO.                         DESCRIPTION                     QUANTITY         UNIT     1                              CLEARING AND LAY-OUT           115.50             SQ.M     2                              CONCRETE WORKS                    12.00    </t>
  </si>
  <si>
    <t xml:space="preserve"> City Government of La Carlota								          Standard Form Number: SF-GOOD-59 Revised on: May 24, 2004 Standard Form Title: REQUEST FOR QUOTATION 												Date: ______________ 												Quotation No.________ Company Name Address 	Please quote your </t>
  </si>
  <si>
    <t xml:space="preserve"> 1 unit LED TV 32"</t>
  </si>
  <si>
    <t xml:space="preserve"> Please see attached files</t>
  </si>
  <si>
    <t xml:space="preserve"> INVITATION TO BID FOR CONCRETING OF IRRIGATION SERVICE ROAD IN DARAMUANGAN NORTE  (INFRA 2020-12) 1.	The LOCAL GOVERNMENT UNIT OF SAN MATEO, ISABELA (LGU-SMI), through its Bids and Awards Committee  intends to apply the sum of ONE MILLION SIXTY SIX THOUSA</t>
  </si>
  <si>
    <t xml:space="preserve"> 1 10 REAM/S PAPER - BOND,PG,LEGAL,216MMX330MM(8-1/2"X13") 70 GSM 2 11 REAM/S PAPER - BOND,PG,A4,210MMX297MM,70GSM. 3 70 PC/S NOTEBOOK - YARN 4 1 REAM/S PAPER - BOND COLORED LONG-YELLOW 5 1 PC/S USB FLASH DRIVE - 16 GB 6 149 PC/S BALLPEN - ORDINARY, BLACK</t>
  </si>
  <si>
    <t xml:space="preserve"> Installation of soalr light post at the top corner of Municipal Hall, Barangay Poblacion, Lingayen, Pangasinan</t>
  </si>
  <si>
    <t xml:space="preserve"> 3   sets   desktop computer 3   units  3-in-1 printer</t>
  </si>
  <si>
    <t xml:space="preserve"> see associated component</t>
  </si>
  <si>
    <t xml:space="preserve"> 1 pc Stand Fan 16" 1 pc Rice Cooker 1.2L 1 pc Flat Iron</t>
  </si>
  <si>
    <t xml:space="preserve"> For use in the installation of cabinet of the maintenance section</t>
  </si>
  <si>
    <t xml:space="preserve"> 12	Cart 	HP Laserjet 17A 2	Cart 	HP Laserjet 85A 12	boxes	Sign Pen, Black, liquid/gel ink, 0.5mm needle tip 3	pcs	Flash drive 64 GB 3	ream	Paper, Multi-purpose A4, 70gsm 2	ream	Paper, Multi-purpose Legal, 70gsm 5	pack	Sticker Paper A4 size, 20pcs/pack 3	p</t>
  </si>
  <si>
    <t xml:space="preserve"> Hand Tools and Others: -250- pcs. - Hard Hat (Orange) with DPWH Logo -100- pcs. - Hard Hat (White) with DPWH Logo -250- pcs. - Safety Vest (Reflectorized)</t>
  </si>
  <si>
    <t xml:space="preserve"> Republic of the Philippines Province of Davao de Oro MUNICIPALITY OF COMPOSTELA BIDS AND AWARDS COMMITTEE CP#: 0998-571-7569 INVITATION TO BID FOR  Procurement of Office Supplies for Different Offices  (2nd &amp; 3rd Qtr.) ITB NO. 2020-06-030, BID NO. 001 1.	</t>
  </si>
  <si>
    <t xml:space="preserve"> LOT A									 1	Unleaded Gasoline							1	lot	24,800.00 	Terms &amp; conditions:									 										 	1. The supplier shall start to serve within three (3) days upon receipt of the advice									 	           from the project engineer until the project is co</t>
  </si>
  <si>
    <t xml:space="preserve"> INVITATION TO BID Bid No. B-91-2020 1.	The Provincial Government of Negros Oriental, through Responsibility Center: 9998-055(20), intends to apply the sum of Six Million Three Hundred Seventy Thousand Pesos (Php 6,370,000.00) being the Approved Budget for</t>
  </si>
  <si>
    <t xml:space="preserve"> CHECK SPECS AT DOWNLOADABLE RFQ FORM HERE AT THE ASSOCIATED COMPONENTS SECTION OR YOU MAY DOWNLOAD IT HERE:http://spmc.doh.gov.ph/opportunities/procurement/request-for-quotation Terms and Conditions: 1. As a government agency;SPMC shall deal only with leg</t>
  </si>
  <si>
    <t xml:space="preserve"> 30 rms copy paper (A4) &amp; 39 others</t>
  </si>
  <si>
    <t xml:space="preserve"> LOT A									 1	Unleaded Gasoline							1	lot	19,200.00 	Terms &amp; conditions:									 										 	1. The supplier shall start to serve within three (3) days upon receipt of the advice									 	           from the project engineer until the project is co</t>
  </si>
  <si>
    <t xml:space="preserve"> Standard Form Number: SF-GOOD-60                                                       Republic of the Philippines Standard Form Title: Request for                                                                                                       Taclo</t>
  </si>
  <si>
    <t xml:space="preserve"> 3-m3-Excavation 2.22-m3-Tie Beam, Roof Beam 246-m2-Roof Covering 246-m2-Ceiling 62.40-m3-Wall &amp; Wall Footing 163.20-m2-Flooring &amp; Tiles 1.0-ls-Beds, Doors, &amp; Windows 12.22-m3-Bricks, ramps &amp; Railings 2.70-m2-He &amp; She Toilt (1.50mX1.8m) 9-m3-Septic Vault (</t>
  </si>
  <si>
    <t xml:space="preserve"> The City Government of Naga (CGN), through its Bids and Awards Committee (BAC), hereby invites all interested contractors, to quote their lowest price on the project stated below, subject to the Terms of Reference (TOR) and submit the same duly signed by </t>
  </si>
  <si>
    <t xml:space="preserve"> Lot 1 Const. Materials:									 1	Portland Cement							1,071	bags	260.00 	Terms &amp; Conditions:									 	─The materials shall be for pick-up from the supplier within 5 working days									 	 from the receipt of a written advice by the project engineer.	</t>
  </si>
  <si>
    <t xml:space="preserve"> To be delivered at Dumalag Vocational Technical School</t>
  </si>
  <si>
    <t xml:space="preserve"> Installation/delivery of detachable stage</t>
  </si>
  <si>
    <t xml:space="preserve"> 2ND Floor 1.  25.97 sq.ft  Blinds 68"x55" 2.  47.56  sq.ft  Blinds  34-1/4"x100" 3.  50  sq.ft  Blinds  36"x100" 4.  270.83  sq.ft  Blinds 50"x65"     1st Floor 5.  189.95  sq.ft  Blinds  141"x97" 6.  60.03  sq.ft  Blinds  133"x65" 7.  39.72  sq.ft  Blind</t>
  </si>
  <si>
    <t xml:space="preserve"> For use in the Planning and Design Section</t>
  </si>
  <si>
    <t xml:space="preserve"> Handtools and Others: -60- pcs. - Shovel, Flat End # 2 -36- pcs. - Shovel, Flat End # 4 -36- pcs. - Shovel, Round Point -48- pcs. - Hacksaw Blade -120- pcs. - Surgical/Face Mask -36- pcs. - Tool Bar/Wrecking Bar 25mmØ (1.50m) -36- pcs. - Wheelborrow, tubu</t>
  </si>
  <si>
    <t xml:space="preserve"> 1,500 pcs Information Sheet Photocopy 8,000 pcs Komiks Photocopy 1,500 pcs Marriage Inventory Photocopy 1,000 pcs FP Leaflet Photocopy 1,000 pcs Module Leaflet Photocopy 1,000 pcs Pre-marriage Certificate LCR copy 1,000 pcs Pre-Marriage Certificate Couple</t>
  </si>
  <si>
    <t xml:space="preserve"> 1 unit Canopy</t>
  </si>
  <si>
    <t xml:space="preserve"> Vehicle Rental for 2020  1 trip Iloilo City to Malay, Nabas, Ibajay - overnight  1 trip Iloilo City to Pandan, libertad - overnight  1 trip Iloilo City to Concepcion, Sara, Ajuy - roundtrip  1 trip Iloilo City to San Jose, Sibalom, Belison - overnight  1 </t>
  </si>
  <si>
    <t xml:space="preserve"> BIDS AND AWARDS COMMITTEE INVITATION TO BID The Local Government Unit of Labason, Z.N., invites all interested registered supplier to submit quotation for the Purchase of Business Plate for LGU Labason: Approved Budget for the Contract (ABC):  Php 375,000</t>
  </si>
  <si>
    <t xml:space="preserve"> 1200  pieces     PPA Property Stickers (vinyl) 2.5 x 2.625 inches, full color 500    pads       Port Charges Computation Sheets (PCCS)  (6.575 x 8.5 inches, 50 pads with 3 copies, 1 color print,                                          News Print white, o</t>
  </si>
  <si>
    <t xml:space="preserve"> Republic of the Philippines DEPARTMENT OF HEALTH DR. JOSE RIZAL MEMORIAL HOSPITAL Lawaan, Dapitan City Telefax; (065) 213-6421 Website: www.djrmh.doh.gov.ph Email: dohdjrmh@gmail.com BIDS AND AWARDS COMMITTEE INVITATION TO BID PROCUREMENT OF DRUGS AND MED</t>
  </si>
  <si>
    <t xml:space="preserve"> 125	REAM	BOND PAPER S20 (S) C&amp;L			 125	REAM	BOND PAPER S20 (L) C&amp;L			 75	REAM	BOND PAPER S20 (A4) C&amp;L			 30	PCS	RECORD BOOK 500 PAGES			 14	PCS	RECORD BOOK 300 PAGES			 25	PCS	COLUMNAR BOOK 4 COL.			 15	PCS	COLUMNAR BOOK 8 COL.			 5	PCS	LEDGER BOOK			 300</t>
  </si>
  <si>
    <t xml:space="preserve"> Republic of the Philippines Province of Cotabato Municipality of Arakan BIDS AND AWARDS COMMITTEE REQUEST FOR QUOTATION  	SUPPLY OF SPARE PARTS OF MUN. DUMPTRUCK The Local Government Unit of Arakan is inviting interested suppliers to submit price quotatio</t>
  </si>
  <si>
    <t xml:space="preserve"> Item No.	Qty.	Unit of Issue ITEM DESCRIPTION	 				 				 1	150	CANS	CORNED BEEF 215G	 2	100	CANS	BEEF LOAF 215G	 3	10	CANS	PORK AND BEANS BIG	 4	25	CANS	LUNCHEON MEAT	 5	10	CANS	EVAPORADA MILK 410ML	 6	5	KLS	       CORN STARCH	 7	15	PCKS	BARBECUE MIX	 8	7	</t>
  </si>
  <si>
    <t xml:space="preserve"> PROJECT TITLE : CONCRETING OF ACCESS ROAD (BRGY STA ELENA) PROJECT LOCATION : BRGY STA ELENA, JOSE PANGANIBAN, CAMARINES NORTE ABC : 400,000.00 DURATION : 71 DAYS SOURCE OF FUND : 20% CDF 2020</t>
  </si>
  <si>
    <t xml:space="preserve"> R1 - 1B (450x600) (Rectangular) RI - 2A (600 mm dia.) R2 - P2(One way) (450x600) (Rectangular) R3 -1P (No Entry) (450X600) (Rectangular) R3 - 14P (No Left Turn) (450x600) (Rectangular) R5 - 3P (No Parking Anytime) (450x600) (Rectangular) R5 - 4C (No Parki</t>
  </si>
  <si>
    <t xml:space="preserve"> For the MECO-TECO project</t>
  </si>
  <si>
    <t xml:space="preserve"> Procurement of Vortex Mixer. Interested bidders can download the attached file for complete specifications and requirements. Please send your quotation thru this email: caysiebagsit.ritm@gmail.com Note: Kindly make our PR# as a subject of your email to ea</t>
  </si>
  <si>
    <t xml:space="preserve"> Installation of stainless marker at Barangay Poblacion, Lingayen, Panagsinan (NGA Building)</t>
  </si>
  <si>
    <t xml:space="preserve"> BARANGAY TANZA 2 BIDS AND AWARDS COMMITTEE Barangay Tanza 2,  Navotas City 									Date: Company Name: Adress: Contact Nos. 	Please quote your lowest price on the item/s listed below, subject to the general conditions on the last page, starting the short</t>
  </si>
  <si>
    <t xml:space="preserve"> CONTRACT OF SERVICE S FOR THE HAULING AND INSTALLATION OF FOUR HUNDRED THIRTY ONE (431) FABRICATED MONUMENT WITHIN BAUA WATERSHED FOREST RESERVE ACTIVITIES TO BE UNDERTAKEN IN WORK OUTLINE ARE THE FOLLOWING: 1. HAULING OF 431 WITH 2 METERS HEIGHT FABRICAT</t>
  </si>
  <si>
    <t xml:space="preserve"> To provide labor, materials and tools for the Supply and Installation of 3HP Inverter Floor  Mounted Air Conditioning Units of PMED Staff Office</t>
  </si>
  <si>
    <t xml:space="preserve"> The delivery term applicable to this Contract are delivered to the Department of Labor and Employment Regional Office No. VIII, Trece Martires St., Tacloban City.  Risk and title will pass from the Supplier to the DOLE upon receipt and final acceptance of</t>
  </si>
  <si>
    <t xml:space="preserve"> Brgy Apalit Floridablanca Pampanga</t>
  </si>
  <si>
    <t xml:space="preserve"> 60 ea deodorizing cake &amp; 23 others</t>
  </si>
  <si>
    <t xml:space="preserve"> Good Terminal Boar for AI Breeder  1.   4  heads - Duroc (40-60 kgs) 2.   4  heads - Largewhite (40-60 kgs.) Provisions:  1. "Pidegree:  Breeder Line records with BAI Accreditation  2. Egg Size:  Uniformed 3. Age: 4-5 Months old  4. Vaccinated with Hog Ch</t>
  </si>
  <si>
    <t xml:space="preserve"> Republic of the Philippines DEPARTMENT OF PUBLIC WORKS AND HIGHWAYS THIRD LEYTE ENGINEERING DISTRICT OFFICE Regional Office VIII Villaba, Leyte NOTICE OF POSTING @ PHILGEPS / DPWH WEBSITE / BULLETIN BOARD  June 22, 2020 The DPWH Leyte Third Engineering Di</t>
  </si>
  <si>
    <t xml:space="preserve"> PURCHASE REQUEST			 LGU BUGALLON						 Agency / Procuring Entity						 						 	Department: 		MAO		Date:	 						 	Section:				Date:	 						 STOCK 		UNIT	Description	QTY	UNIT COST	AMOUNT NO.						 	1	lit	Albendazole (Dewormer)	52</t>
  </si>
  <si>
    <t xml:space="preserve"> Deadline of Submission:     June 30, 2020 @ 8:30 a.m Opening of Bid/Quotation:  June 30 ,2020 @ 9:00 a.m Evaluate:                          June 30, 2020 @ 11:0  a.m Resolution of Award:          July 1, 2020 Notice of Award:                July 2, 2020 N</t>
  </si>
  <si>
    <t xml:space="preserve"> Office Supplies</t>
  </si>
  <si>
    <t xml:space="preserve"> QTY  UNIT  DESCRIPTION 454 pcs. 2019-nCoV 1g/1gm Detection Kit</t>
  </si>
  <si>
    <t xml:space="preserve"> 1.Plug in panel board, 2 pole, 8 branches center main MCB (1) set    100AT, 100AF 15KAIC, 2P, 230V, 60Hz plug in type 2.Bolt on panel board, 2 pole 14 braches, center main MCB: 125AT (1) set    125AF, 15KAIC 2P, 239V, 60Hz 3.Electrical wire 38mm THHN stra</t>
  </si>
  <si>
    <t xml:space="preserve"> The Municipal Government of Bayog, Zamboangadel Sur thru its Bids and Awards Committee (BAC) invites all interested bidders for the “SUPPLY AND DELIVERY OF VARIOUS SUPPLIES AND MATERIALS” for Quarantined Individuals due to COVID-19 in the Isolation Areas </t>
  </si>
  <si>
    <t xml:space="preserve"> Purchase of Drugs and Medicines</t>
  </si>
  <si>
    <t xml:space="preserve"> I. REPAIR AND MAINTENANCE OF MULTICAB</t>
  </si>
  <si>
    <t xml:space="preserve"> ************************************************APPROVED BUDGET 1. 300 COPY PRINTING AND BINDING OF THE RULES OF      Php 75,000.00 THE SENATE Specifications: *size: 5 1/2 x 8 1/2; 8 1/2 x 11 - spread *materials: CD Supplied (250 pages excluding cover ) *</t>
  </si>
  <si>
    <t xml:space="preserve"> The Local Government Unit – Quinapondan, Eastern Samar, through its Bids &amp; Awards Committee (BAC ), intends to apply the sum of One Million Pesos (Php. 1,000,000.00) under Annual Budget Appropriation Ordinance, series of 2020, being the Approved Budget fo</t>
  </si>
  <si>
    <t xml:space="preserve"> Republic of the Philippines Province of Bohol MUNICIPALITY OF SAN MIGUEL Invitation to Bid for Improvement/Concreting of Access Road   1.	The Local Government Unit of San Miguel, Bohol through the 20% Development Fund intends to apply the sum of One Milli</t>
  </si>
  <si>
    <t xml:space="preserve"> Republic of the Philippines  Province of Quezon Municipality of Atimonan  Barangay Zone III Poblacion  Project Reference No: 2020-09 Name of the Project: Construction of Water Supply System Location of the Project: Barangay Zone III Poblacion Atimonan, Qu</t>
  </si>
  <si>
    <t xml:space="preserve"> REQUEST FOR QUOTATION Date: June 24, 2020							 RFQ No.: 2020 – 107 - Installation of Various Aluminum Cabinet Name of Company:	________________________________________________________ Office Address:	_____________________________________________________</t>
  </si>
  <si>
    <t xml:space="preserve"> 1 22 REAM/S PAPER - BOND,PG,A4,210MMX297MM,70GSM. 2 22 REAM/S PAPER - BOND,PG,LEGAL,216MMX330MM(8-1/2"X13") 70 GSM 3 3 BOX BALLPEN - BLACK ORDINARY 50'S 4 25 PC/S CORRECTION TAPE - W/ CASE 5 3 PACKS PAPER - PHOTO A4 SIZE 200GMS 20'S/PACK 6 10 BOX/S WIRE -</t>
  </si>
  <si>
    <t xml:space="preserve"> P.R NO. 300-2020-06-0335 PURCHASE OF LAPTOP AND ACCESSORIES USE FOR LESSON &amp; SOCIAL DISTANCING LEARNING DUE TO COVID-19 ABUYOG WEST DISTRICT</t>
  </si>
  <si>
    <t xml:space="preserve"> 55 ea 18wt led glass tube single ended &amp; 23 others</t>
  </si>
  <si>
    <t xml:space="preserve"> NOTICE OF INVITED CONSULTANTS AND REQUEST FOR PROPOSALS (RFP)  (NEGOTIATED PROCUREMENT – Small Value Procurement) 1.	AUGUSTO B. AGOSTO      Proprietor   AA+ APPRAISAL AND       CONSULTANCY INC.    48 Paseo del Sol Baseline      Compound, Juana Osmena,    </t>
  </si>
  <si>
    <t xml:space="preserve"> 20-10158</t>
  </si>
  <si>
    <t xml:space="preserve"> The Department of Agriculture-RFO 3, invites interested suppliers to submit quotations/proposals for the hereunder requirement, to wit: 15	pcs.	 1 Terabyte External Hard Drive 	 15	pcs.	32 GB OTG/Dual USB drive M 3.0	 Interested Suppliers may download and</t>
  </si>
  <si>
    <t xml:space="preserve"> Procurement of various office supplies and printer inks</t>
  </si>
  <si>
    <t xml:space="preserve"> for the construction of concrete storage house with solar lights and rain collector tank at Pasto Vatu, Itbayat</t>
  </si>
  <si>
    <t xml:space="preserve"> The City Government of Santiago invites interested parties to submit price quotation for the “SUPPLY AND DELIVERY OF OFFICE EQUIPMENT PARTS AND ACCESSORIES FOR CITY GENERAL SERVICES OFFICE USE“ City Hall, Santiago City, details as follows: ABC: Php 81,500</t>
  </si>
  <si>
    <t xml:space="preserve"> PLEASE SEE ATTACHED DOCUMENTS...</t>
  </si>
  <si>
    <t xml:space="preserve"> Republic of the Philippines									 Province of Negros Occidental									 MUNICIPALITY OF MOISES PADILLA									 									 					Project Reference Number:				 					Name of the Project:				 					Location of the Project:				 									  REQUEST FOR QUOTATI</t>
  </si>
  <si>
    <t xml:space="preserve"> 15 Assorted Seedlings	150 packs Net (4ft)	10 rolls Pail (Medium)	30 pcs Shovel	20 pcs Trowel	50 pcs Nylon String (#200)	10 kgs Plastic Pots	500 pcs Bamboo (Large)	48 poles Organic Soil	20 sacks Tie Wire (Regular)	20 kgs Dipper	30 pcs Native Chicken	20 pai</t>
  </si>
  <si>
    <t xml:space="preserve"> Specification:  Off road Starter: Electric/kick Fuel Tank Capacity 5.8-1L High Tensile Steel Perimeter frame Ignition Type Air cooled, 4 stroke, SOCH, 2 valve Minimum Ground Clearance: 260MM</t>
  </si>
  <si>
    <t xml:space="preserve"> Materials: -150- pails - Paint Latex Semi-Gloss (White) -50- pails - Paint Terra Cotta -100- pails - Paint Quick Dry Enamel (Orange)</t>
  </si>
  <si>
    <t xml:space="preserve"> Intercom</t>
  </si>
  <si>
    <t xml:space="preserve"> PURCHASE OF GOODS FOR THE WATER SUPPLY OF THE BARANGAY</t>
  </si>
  <si>
    <t xml:space="preserve"> BIDS AND AWARDS COMMITTEE REQUEST FOR QUOTATION The Local Government Unit of Labason, Z.N., invites all interested registered supplier to submit quotation for the Purchase of Construction Materials for Perimeter Fencing of 330 Lm Gulayan sa Paaralan at KA</t>
  </si>
  <si>
    <t xml:space="preserve"> Republic of the Philippines Department of Education Region VI – Western Visayas TANGALAN NATIONAL HIGH SCHOOL Tondog, Tanglan, Aklan 	 REQUEST FOR QUOTATION (RFQ) Project No: DepED-RO6-D1- “TNHS” PURCHASE OF TRANSFORMER FOR JUNIOR HIGH SCHOOL (GAD)-001-20</t>
  </si>
  <si>
    <t xml:space="preserve"> Republic of the Philippines City of Toledo -oOo- BIDS AND AWARDS COMMITTEE ITB  No. I30-03-2020 INVITATION TO BID FOR: Proposed Road Opening (Hospital-Hinulawan Road)Brgy. Poblacion, Toledo City (L=162.00m.;W=15.00m.) 1.	The City Government of Toledo unde</t>
  </si>
  <si>
    <t xml:space="preserve"> Supply and Delivery of Laboratory Supplies (TCPGH)</t>
  </si>
  <si>
    <t xml:space="preserve"> Food (Lunch) for: Launching -30 pax  8 weeks session - 25 pax  Graduation- 30 pax at Dimiao, Bohol. Caterer with good standing shall only be entertained and preferably within locality. You may send your quotation to this email address or submit it to the </t>
  </si>
  <si>
    <t xml:space="preserve"> 1. Please see attached Request for Quotation Form for details 2. RFQ Form can also be downloaded at www.ilocossur.gov.ph 3. Please read the General Instructions to Bidders at the attached RFQ Form</t>
  </si>
  <si>
    <t xml:space="preserve"> 1	Albay Sand		10	cu m 2	Caution Tape 2" x 100m		10	roll 3	Cocolumber 2" x 2" x 12'		30	pc 4	Cocolumber 2" x 3" x 12'		30	pc 5	Common Wire Nail 1 1/2" 		3	kg 6	Common Wire Nail 2" 		5	kg 7	Common Wire Nail 3" 		10	kg 8	Common Wire Nail 4" 		5	kg 9	Concrete</t>
  </si>
  <si>
    <t xml:space="preserve"> Barangay Apalit Floridablanca Pampanga</t>
  </si>
  <si>
    <t xml:space="preserve"> The City Government of Santiago invites interested parties to submit price quotation for the “SUPPLY AND DELIVERY OF TIRE AND TUBE FOR GOVERNMENT MOTOR VEHICLES“ City Hall, Santiago City, details as follows: ABC: Php 81,420.00 Contract Duration: 14 calend</t>
  </si>
  <si>
    <t xml:space="preserve"> 5 pck battery, AA, Energizer, 4-1 &amp; 18 others</t>
  </si>
  <si>
    <t xml:space="preserve"> Contract of Services for the hauling and installation of 431 fabricated monument within Wangag Watershed Forest Reserve	 activities to be undertaken in work outline are the following:	 1. Hauling of 431  fabricated monuments with 2 meters height (231 with</t>
  </si>
  <si>
    <t xml:space="preserve"> 7 pcs tire 8.25 x 20 lug type 1 pc tire 8.25 x 20 lug type 2 pcs tire 9.00x20 lug type 3 pcs 3SM Battery 2 pcs 4D Battery</t>
  </si>
  <si>
    <t xml:space="preserve"> Republic of the Philippines COMMISSION ON AUDIT Quezon City REQUEST FOR QUOTATION Procurement And Property &amp; Supply Management Services, General Services Office Date Prepared: June 24, 2020 Supplier :______________________ Address :______________________ </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</si>
  <si>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</si>
  <si>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REQUEST FOR QUOTATION Please quote your lowest price on the item/s listed below, subject to the conditions also listed below, stating the shortest time of delivery and submit your quotation duly signed by your representative not later than  5:00 P.M. of J</t>
  </si>
  <si>
    <t xml:space="preserve"> INVITATION TO SUBMIT PRICE QUOTATION (RFQ) The Ministry of Labor and Employment MOLE – BARMM through the Bids and Awards Committee (BAC), hereby invites all interested supplier registered with the Philippine Government Electronic Procurement System (PHILG</t>
  </si>
  <si>
    <t xml:space="preserve"> Apalit Floridablanca Pampanga</t>
  </si>
  <si>
    <t xml:space="preserve"> Republic of the Philippines  Province of Isabela  Municipality of Jones    INVITATION TO BID FOR   Supply of Materials, Labor and Equipment for the Concreting and Continuation of Bridge Approach with Stone Masonry and Guard Railings at Dicamay I, Jones, I</t>
  </si>
  <si>
    <t xml:space="preserve"> additional well dirrling of 86 ft. bore hole @ 8" diameter</t>
  </si>
  <si>
    <t xml:space="preserve"> Supply and delivery of the following:								 											 1	1	unit	Standing Examination Light, Heavy Duty						Php__________		Php___________ 2	1	unit	Otoscope, Heavy Duty						Php__________		Php___________ 3	1	unit	BP Apparatus with wheels, Heavy Duty				</t>
  </si>
  <si>
    <t xml:space="preserve"> 1 1 PC/S USB FLASH DRIVE - 16 GB 2 4 PACK STICKER PAPER - 8.5 X 13, 10PCS/PACK 3 10 PC/S RECORD BOOK - 300 PAGES,SMALL DIMENSION 4 30 PC/S BALLPEN - ORDINARY, BLACK 5 3 REAM/S PAPER - BOND,PG,LEGAL,216MMX330MM(8-1/2"X13") 70 GSM 6 3 REAM/S PAPER - BOND,PG</t>
  </si>
  <si>
    <t xml:space="preserve"> Republic of the Philippines City of Pagadian BARANGAY KAWIT  BARANGAY AND AWARDS COMMITTEE (BAC) -oOo- INVITATION TO APPLY FOR ELIGIBILITY AND TO BID The KAWIT, through its BIDS AND AWARDS COMMITTEE (BAC) invites suppliers/ manufacturers/distributors to a</t>
  </si>
  <si>
    <t xml:space="preserve"> Repair and Maintenance of Office Building (LDRRMO)</t>
  </si>
  <si>
    <t xml:space="preserve"> 1 UNIT MULTI FUNCTION PRINTER A3		 Multi Function 3 in 1 Digital Copier with ARD F-Auto-Reverse Document Feeder (Automatic back to back with ID card copy)		 				 xxx Nothing Follows xxx		 Total ABC: 		65,000.00</t>
  </si>
  <si>
    <t xml:space="preserve"> Diesel and Oil and Lubricants (attached request for quotation)</t>
  </si>
  <si>
    <t xml:space="preserve"> PLEASE SEE ATTACHED DOCUMENTS</t>
  </si>
  <si>
    <t xml:space="preserve"> PURCHASE OF FUELS, MAYORS OFFICE</t>
  </si>
  <si>
    <t xml:space="preserve"> 2		unit	CONTAINER VAN (Class B Usable Twenty Footer Container Van.)</t>
  </si>
  <si>
    <t xml:space="preserve"> The AGRICULTURAL TRAINING INSTITUTE-REGIONAL TRAINING CENTER (ATI-RTC) X, through the 2020 General Appropriations Act intends to apply the sum of Forty Six Thousand Six Hundred Pesos (P 46,600.00) being the Approved Budget for the Contract (ABC) to paymen</t>
  </si>
  <si>
    <t xml:space="preserve"> Please see attachment</t>
  </si>
  <si>
    <t xml:space="preserve"> Republic of the Philippines Province of Ilocos Norte MUNICIPALITY OF PINILI REQUEST FOR QUOTATION PIN2020-081 The Municipality of Pinili invites all interested registered suppliers to submit quotations for:   1 LOT  =	SUPPLY OF SPAREPARTS FOR THE REPAIR A</t>
  </si>
  <si>
    <t xml:space="preserve"> see attached Purchase Request</t>
  </si>
  <si>
    <t xml:space="preserve"> Construction Supplies &amp; Materials for LSA - Amparitas Integrated Natural Farm *Please refer to an attached RFQ for the items **Please see an attached document in ASSOCIATED COMPONENTS for the RFQ</t>
  </si>
  <si>
    <t xml:space="preserve"> 122   pcs   Pre- Paintec Rib Type Sheet 14'' .5 3,172   pcs   Tekscrew 18   pcs   Gutter 7   pcs   Pre-Painted Ridge Roll 14''</t>
  </si>
  <si>
    <t xml:space="preserve"> 20-9214</t>
  </si>
  <si>
    <t xml:space="preserve"> for the replacement and installation of street lights</t>
  </si>
  <si>
    <t xml:space="preserve"> see attached RFQ to be delivered at : Isabel, leyte, Abuyog, Leyte, Dulag, Leyte</t>
  </si>
  <si>
    <t xml:space="preserve"> INVITATION TO BID  The Local Government Unit of Don Victoriano, through its Bids and Awards Committee (BAC), invites suppliers/contractors to apply for eligibility and to bid for the hereunder project: Name of Project:			Proposed Material Recovery Facilit</t>
  </si>
  <si>
    <t xml:space="preserve"> 1500pcs of Expandable Colored Envelop with Handle (Php.135,000.00) 130 Reams of A3 Size Bond Paper (Php.78,000.00)</t>
  </si>
  <si>
    <t xml:space="preserve"> item No. Qty. Unit of Issue Item Description 1	50	TRAYS	EGG LARGE	 2	2	BOT.	OYSTER SAUCE	 3	24	PACKS	TOCINO	 4	2	KLS	FLOUR	 5	15	KLS	CHICKEN GINILING	 6	10.5	KLS	AMPALAYA	 7	38	KLS	BATONG	 8	8	KLS	TALONG	 9	4	KLS	ALOGBATI	 10	42.43	KLS	KALABASA	 11	2	KLS	</t>
  </si>
  <si>
    <t xml:space="preserve"> PROVISION OF MATERIALS FOR THE FABRICATION OF 231 MONUMENTS (2 INCH DIAMETERS AND 200 MONUMENTS (1 INCH) AND INSTALLATION OF SAME WITHIN THE IDENTIFIED 2 HAS. PERMANENT BIODIVERSITY MONITORING AREA UNDER BAMS ACTIVITY WITHIN BAUA WATERSHED FOREST RESERVE </t>
  </si>
  <si>
    <t xml:space="preserve"> Supply and delivery of materials for the repair and maintenance of municipal building</t>
  </si>
  <si>
    <t xml:space="preserve"> REPAIR AND IMPROVEMENT OF CAPABILITY BUILDING SECTION (CBS) OFFICE SPACE FOR THE LEARNING FOR THE ESTABLISHMENT OF REGIONAL LEARNING RESOURCE CENTER (RLRC)</t>
  </si>
  <si>
    <t xml:space="preserve"> BARANGAY MULTI PURPOSE CENTER CONSTRUCTION FOR VILLA ELIOT AT VILLA ELIOT, PATNONGON, ANTIQUE</t>
  </si>
  <si>
    <t xml:space="preserve"> 1. Construction of Two(2) production wells in Brgy. Nakar and Brgy. Centro 2, San Guillermo, Isabela with 83 meters depth.</t>
  </si>
  <si>
    <t xml:space="preserve"> 50 	PACK	Art Paper Assorted Color 10's		  1,000 	PC	Ballpen Color Assorted Color HBW		  100 	PC	Ballpen Assorted Color (Pilot)		  200 	PC	Battery Size AA (Energizer)		  400 	PC	Battery Size AAA (Energizer)		  3 	REAM	Bond Paper Colored Long NAPPCO S-24		 </t>
  </si>
  <si>
    <t xml:space="preserve"> Please quote your lowest price inclusive of VAT on the item/s listed below, subject to the Terms and Conditions of this RFQ, and submit your quotation duly signed by your representative not later than 29 June 2020 at 306th Contracting Office, NSFA, Panaca</t>
  </si>
  <si>
    <t xml:space="preserve"> Republic of the Philippines Province of Bohol Municipality of Tubigon BIDS AND AWARDS COMMITTEE Tel/Fax. No. (038) 508-8059 REQUEST FOR QUOTATION For Small Value Procurement under Sec. 53.9 of the Revised IRR of R.A. 9184 Quotation No: 2020-06-305 P. R. N</t>
  </si>
  <si>
    <t xml:space="preserve"> 20-10043</t>
  </si>
  <si>
    <t xml:space="preserve"> 1	Lube oil SAE 40		4	pails 2	Radiator coolant (optional)		4	pails 3	By-pass filter P/N 35A40-01800		1	pc 4	Full- flow filter P/N 32540-21600		2	pcs 5	Fuel filter P/N 32562-60300		2	pcs 6	Valve cover gasket		6	pcs 7	Injector nozzle P/N 105015-8520 ZXL		6	p</t>
  </si>
  <si>
    <t xml:space="preserve"> Procurement of Materials for the Rehabilitation of Basketball Court</t>
  </si>
  <si>
    <t xml:space="preserve"> Job Order for the technical services re: video documentation of coastal and marine ecosystems (seagrass, corals and reef fishes) for the four marine Protected Area in the Municipality of Pandan, Antique under the Mag-aba Marine Protected Area Comprehensiv</t>
  </si>
  <si>
    <t xml:space="preserve"> REQUEST FOR QUOTATION PR No.		1011-2020-0650			RFQ No. 2020-051 PR Date:	06/24/2020 ABC:		P 96,710.00 Sir/Madam: 	Please quote your lowest price on the item/s listed below subject to the General Conditions on the last page, stating the shortest time of de</t>
  </si>
  <si>
    <t xml:space="preserve"> Contract ID: 20PL0123 Contract Name: Concreting of Brgy. Magnao FMR, Brgy. Magnao, Tabuk City, Kalinga Contract Location: Tabuk City, Kalinga Brief Description: Construction of 1,184m x 5.0m x 0.23m thk PCCP Approved Budget for the Contract (ABC): PhP 11,</t>
  </si>
  <si>
    <t xml:space="preserve"> Procurement of General Merchandise</t>
  </si>
  <si>
    <t xml:space="preserve"> INVITATION TO BID The Nueva Ecija University of Science and Technology through its Bids and Awards Committee (BAC), invites entities to bid for the hereunder projects: 	 Name of Project: UNIVERSAL REFRIGERATION TRAINING SYSTEM Location: College of Industr</t>
  </si>
  <si>
    <t xml:space="preserve"> 1. 23 cu.m Concrete Premix (3000 psi @28 days) CF: 9 bags/cu.m Purpose: 1st revision-continuance concreting of Dumaguete Balugo road from existing PCCP near building's residence connecting existing PCCP near YAP'S compound. Brgy's. Balugo &amp; Cadawinonan/Ci</t>
  </si>
  <si>
    <t xml:space="preserve"> Republic of the Philippines Province of Quezon Municipality of Macalelon Invitation to Bid for the  ROAD UPGRADING/CONCRETE PAVING P. HERRERA FMR Reference No. 2020-06-312-ME 										June 25, 2020 1.	The LGU - Macalelon, Quezon intends to apply the sum </t>
  </si>
  <si>
    <t xml:space="preserve"> see attached Purchase Request / Purchase Order</t>
  </si>
  <si>
    <t xml:space="preserve"> CONSTRUCTION OF LIRIO M. ESCANO NATIONAL HIGH SCHOOL GYMNASIUM (PHASE V) , BRGY. CARIT AN , PATNONGON, ANTIQUE</t>
  </si>
  <si>
    <t xml:space="preserve"> See attached associated component.</t>
  </si>
  <si>
    <t xml:space="preserve"> 35	pax	4 days Live out Seminar 			    Date of Activity: July 1-4, 2020 			 			Day 1 			 AM snack 			 Lunch 			 PM snack 			 Dinner 			 			Day 2 &amp; 3 			 Breakfast 			 AM snack 			 Lunch 			 PM snack 			 Dinner 			 			Day 4 			 Breakfast 			 AM snack 			 Lu</t>
  </si>
  <si>
    <t xml:space="preserve"> 1 unit of Digital Duplicator machine 1 unit of Photocopier machine</t>
  </si>
  <si>
    <t xml:space="preserve"> -1- unit - Air-con, 2.5HP, Wall Mounted Split type with Inverter, Branded -1- unit - Air-con, 2.0HP, Window type with Inverter, Branded</t>
  </si>
  <si>
    <t xml:space="preserve"> for stock of DPWH RO2</t>
  </si>
  <si>
    <t xml:space="preserve"> Day 1		 97	pax	Breakfast: Hotdog, Egg, Rice and Bottledwater 97	pax	Lunch: Pork caldareta, rice and bottled water 97	pax	Dinner: Chicken barbeque, rice and bottled water Day 2		 80	pax	Breakfast: Pork steak with talong, rice, bottled water 80	pax	Lunch: F</t>
  </si>
  <si>
    <t xml:space="preserve"> FOR SENIOR HIGH SCHOOL  , OFFICE EQUIPMENT, OFFICE SUPPLIES AND CONSUMABLES</t>
  </si>
  <si>
    <t xml:space="preserve"> Description TERMS  OF  REFERENCE The DOT Office of the Secretary is looking for a supplier for the following products intended as Personal Protective Equipment (PPE) for the use of the DOT-OSEC personnel. LOT 1 -Personal Protective Equipment (PPEs); 50 se</t>
  </si>
  <si>
    <t xml:space="preserve"> MATERIALS FOR BRGY. COVERED COURT STEEL FENCE</t>
  </si>
  <si>
    <t xml:space="preserve"> Supply and Delivery of office supplies</t>
  </si>
  <si>
    <t xml:space="preserve"> Supply and Delivery of janitorial supplies</t>
  </si>
  <si>
    <t xml:space="preserve"> WEST CITY CENTRAL SCHOOL IS IN NEED OF THE FOLLOWING MATERIALS ATTACHED HEREOF  FOR THE SAFETY MEASURES  OF  PHYSICAL HEALTH FROM VIRUSES DUE TO COVID 19. SCHOOL SUPPLIES ARE ALSO NEEDED FOR THE TEACHING AND NON- TEACHING STAFF FOR THEIR OWN CONSUMPTION W</t>
  </si>
  <si>
    <t xml:space="preserve"> 60		pc	2'' X 3'' X 12' Coco Lumber				 108		pc	2'' X 3'' X 10' Coco Lumber				 6		roll	Nylon # 16				 16		kilo	1 1/2'' CWN				 6		kilo	4'' CWN				 1		gal	Soil Poisoning 				 27		cu.m	 Washed Gravel 3/4				 246		bag	Portland Cement 				 19		cu.m	Washed San</t>
  </si>
  <si>
    <t xml:space="preserve"> I UNIT 4D56 ENGINE WITH TRANSMISSION 1 UNIT RADIATOR 4 ROWS 1 UNIT COOLER (TURBO) 2 PCS ENGINE SUPPORT 2 PCS CABLE (SHIFTING)</t>
  </si>
  <si>
    <t xml:space="preserve"> Area of Delivery : DHSUD RO XII, Koronadal City Approved Budget - P90,000.00 Contract Period - July 1 to December 31, 2020                          Monday to Friday (7:00 am to 4:00 pm)                          Saturday - half day</t>
  </si>
  <si>
    <t xml:space="preserve"> 1 set  coring machine PEO</t>
  </si>
  <si>
    <t xml:space="preserve"> ITEM: 1 unit Vertical Turbine pump 1. Capacity-2200 GPM							 2. TDH - 216 ft, RPM-1800							 3. Stages - 4(min)							 5. Bowl- Cast Iron							 6. Bowl Outside Diameter-12 inch(max)							 7. Attached to 10 inch dia pipe and 1 3/4 inch dia SS							 S</t>
  </si>
  <si>
    <t xml:space="preserve"> PROVISION  OF MATERIALS FOR THE FABRICATION OF 231 MONUMENTS ( 2 DIAMETER) AND 200 MONUMENTS (1 INCH) AND INSTALLATION OF SAME WITHIN THE IDENTIFIED 2 HAS. PERMANENT BIODIVERSITY MONITORING AREA UNDER BAMS ACTIVITY WANGAG WATERSHED FOREST RESERVE ITEM DES</t>
  </si>
  <si>
    <t xml:space="preserve"> Magazine File Box		5 	pc &gt;13.8" x 13.4" x 1.25"			 &gt;color: Black			 &gt;Material Type: Durable Cardboard			 &gt;size: Set of 6			 &gt;as per sample			 Data File Box		5 	pc &gt;16-5/8" x 13-3/4" x 10-1/2"			 &gt;with cover			 &gt;made of chipboard			 &gt;11" x 16" x 11 1/2" (H</t>
  </si>
  <si>
    <t xml:space="preserve"> Republic of the Philippines City of Toledo -oOo- BIDS AND AWARDS COMMITTEE ITB  No. I28-03-2020 INVITATION TO BID FOR: Proposed Road Rehabilitation/Improvement @ Sitio Dakit, Brgy. Cambang-ug, Toledo City 1.	The City Government of Toledo under the 20% Dev</t>
  </si>
  <si>
    <t xml:space="preserve"> Please see attached file (RFQ-20-06-0495) for reference.</t>
  </si>
  <si>
    <t xml:space="preserve"> REQUEST FOR QUOTATION REFERENCE NO.: MR20-06-046 We are inviting all interested contractors/suppliers to submit their best quotation for the PROCUREMENT OF ONE (1) UNIT OF LAPTOP FOR THE OFFICE OF THE GENERAL MANAGER Requirements: Specification	Qty	Unit	E</t>
  </si>
  <si>
    <t xml:space="preserve"> Item No. Qty. Unit of Issue Item Description 1	32	CANS	CORNED BEEF 215G	 2	16	CANS	LUNCHEON MEAT	 3	15	CANS	GREEN PEAS 450G BIG	 4	10	PCS	BUTTERCUP	 5	10	KLS	FLOUR	 6	6	KLS	CORNED STARCH	 7	6	PCKS	TOMATO PASTE 150G	 8	8	PCKS	TOMATO SAUCE 1KG.	 9	2	BOTS	OY</t>
  </si>
  <si>
    <t xml:space="preserve"> see attached RFQ To be Delivered at: Hindang, Leyte                                  Mayorga, Leyte</t>
  </si>
  <si>
    <t xml:space="preserve"> For Ecological System Conservation Project.</t>
  </si>
  <si>
    <t xml:space="preserve"> Electrical Supplies</t>
  </si>
  <si>
    <t xml:space="preserve"> Republic of the Philippines Province of Oriental Mindoro MUNICIPALITY OF SAN TEODORO INVITATION TO BID FOR THE  CONSTRUCTION OF LINED CANAL No. 2020-09 June 24, 2020 1.The Municipality of San Teodoro intends to apply the sum of One Million, One Hundred Ni</t>
  </si>
  <si>
    <t xml:space="preserve"> see attached RFQ</t>
  </si>
  <si>
    <t xml:space="preserve"> 1 800 AMPS, MCCB, 3 PHASE, 23 VOLTS, 50-60 HZ, NS800N (SCHNIEDER ELECTRIC)  MATERIALS AND LABOR WITH 1 YEAR WARRANTY For more information please contact Ms. Marian L. Casan at 293-0016/293-0302 or e-mail  thru csm.upmindanao@up.edu.ph. Reminders to Bidder</t>
  </si>
  <si>
    <t xml:space="preserve"> Area of Delivery - DHSUD RO-12, Koronadal City Approved Budget - P180,000.00 Guard 1 - Monday to Friday (7:00 am to 7:00 pm) Guard 2 - Friday to Monday (7:00 pm to 7:00 am) Contract period - July 1 to December 31, 2020</t>
  </si>
  <si>
    <t xml:space="preserve"> Supply and delivery  8      btls.     Oil Seal 4      pcs.     Oil Filter Osaka VIC C224 3      btls.     Brake Fluid 900ml Prestone 20    pcs.     Rubber Cup 6      pcs.     3SM Battery NS70 11 plate</t>
  </si>
  <si>
    <t xml:space="preserve"> see attached RFQ To be delivered at Abuyog, Leyte                                Mayorga, Leyte                                Dulag, Leyte</t>
  </si>
  <si>
    <t xml:space="preserve"> Request For Quotation								Date:	 								Quotation No.:	 Company Name:									 Address:									 T.I.N.:									 Dear Sir/Ma'am:									           Please quote your lowest price on the item/s listed below, subject to the General Conditions on the la</t>
  </si>
  <si>
    <t xml:space="preserve"> The Department of Agriculture-RFO 3, invites interested suppliers to submit quotations/proposals for the hereunder requirement, to wit: 5	reams	Copier paper short 75	pcs.	Laminating Film 20	pcs.	Clipboard  size A5 2	packs	Parchment paper, A4 size 100 shee</t>
  </si>
  <si>
    <t xml:space="preserve"> Supply and Delivery of aircondition</t>
  </si>
  <si>
    <t xml:space="preserve"> 1. 40 bags - 14-14-14- Complete Fertilizers 2. 20  bags - 46-0-0- (Urea) 3. 20  bags - Muriate of Potash (0-0-60) Requirements:   2020 PhilGeps Registration, Business Permit, Mayors Permit, Tax Clearance and Notarized Omnibus                          Swor</t>
  </si>
  <si>
    <t xml:space="preserve"> Republic of the Philippines PROVINCE OF BUKIDNON Municipality of Sumilao INVITATION TO BID ITB NO. GS-2020-29 PROCUREMENT OF INFORMATION TECHNOLOGY (IT) EQUIPMENT June 24, 2020 1.	The Local Government Unit of  Sumilao, intends to apply the sum of Four Hun</t>
  </si>
  <si>
    <t xml:space="preserve"> Supply of labor, chemicals, equipment including the technical	 supervision necessary for the completion of integrated pest	 management control of LLDA Green Building located at National	 Ecology center, East Avenue, Diliman, Quezon City  which includes	 t</t>
  </si>
  <si>
    <t xml:space="preserve"> Republic of the Philippines PROVINCE OF SURIGAO DEL SUR Municipality of Carrascal Barangay Caglayag INVITATION FOR BIDS                      The Barangay Caglayag through its Bids and Awards Committee invites sealed bids from eligible supplier for Constru</t>
  </si>
  <si>
    <t xml:space="preserve"> Procurement of ICT Equipment includes Laptop, I5, with license OS, 4Gb RAM, 1Tb Hdd and Interactive Board with internet port and stand Bid Docs Amount - 2,500.00 Php Pre Bid - July 1, 2020 , 1:30 PM, Quality Assurance Center Submission of Bids - July 13, </t>
  </si>
  <si>
    <t xml:space="preserve"> Procurement Materials for the Installation of 10 Unit Street Lighting</t>
  </si>
  <si>
    <t xml:space="preserve"> PLEASE SEE ATTACHED FILE FOR REFERENCE</t>
  </si>
  <si>
    <t xml:space="preserve"> Republic of the Philippines Province of Misamis Occidental Municipality of Plaridel REQUEST FOR QUOTATION Shopping No._____________________ ________________________________ ________________________________ Sir/Madam: Please quote your lowest price on the </t>
  </si>
  <si>
    <t xml:space="preserve"> Republic of the Philippines DEPARTMENT OF HEALTH DR. JOSE RIZAL MEMORIAL HOSPITAL Lawaan, Dapitan City Telefax; (065) 213-6421 Website: www.djrmh.doh.gov.ph Email: dohdjrmh@gmail.com BIDS AND AWARDS COMMITTEE INVITATION TO BID PROCUREMENT OF IT EQUIPMENT </t>
  </si>
  <si>
    <t xml:space="preserve"> Supplies and Materials for the DSSC Registrar's Office</t>
  </si>
  <si>
    <t xml:space="preserve"> CCTV camera &amp; accessories install within the vicinity of  barangay  Don Manuel</t>
  </si>
  <si>
    <t xml:space="preserve"> 3/4" dia. PVC Electrical Conduit	350	length 3/4" x 90 deg long elbow	140	pc. 3/4" x 3/4" x 3/4 PVC Tee	20	pc. 1" dia PVC Electrical Conduit	10	length PVC Solvent Cement	20	can #8 THW Stranded Copper Wire (red)	10	box #8 THW Stranded Copper Wire (yellow)	1</t>
  </si>
  <si>
    <t xml:space="preserve"> The project includes:  1. Project Billboard 2. Sub-grade Preparation 3. Embankment 4. Aggregate Base Course 5. PCCP</t>
  </si>
  <si>
    <t xml:space="preserve"> 1. 3,000 ltrs Diesel Fuel Note: the price/s quoted by the supplier shall be valid for a period of seven (7) calendar days from the date of the quotation, and the item/s shall be delivered to the procuring entity regardless of an increase or decrease in th</t>
  </si>
  <si>
    <t xml:space="preserve"> REQUEST FOR QUOTATION For Negotiated Procurement thru Small Value Procurement under Sec. 53.9 of the 2016 Revised IRR of RA 9184 Quotation No.:  2020-06-212 Date: June 24, 2020 PR No.: 20-06-227 PR Date: June 16, 2020 The Metropolitan Tuguegarao Water Dis</t>
  </si>
  <si>
    <t xml:space="preserve"> Item No. Qty. Unit of Issue Item Description 1	1050	PCS	ECO BAG LARGE	 2	300	PACKS	MICROWAVABLE LUNCH BOX RECTANGLE 500ML	 3	300	PACKS	MICROWAVABLE LUNCH BOX ROUND 250 ML	 4	5	REAMS	SANDO BAG	 5	380	PCS	GARBAGE BAG</t>
  </si>
  <si>
    <t xml:space="preserve"> Supply of Fuel of various DPWH Vehicles &amp; other Equipment for the 3rd Quarter CY 2020</t>
  </si>
  <si>
    <t xml:space="preserve"> Supply, Delivery and Configuration of LTE CPE Broadband Device for CTU Flexible Learning System (FLS) with Globe Telecom Network with the following details:  •	Broadband Modem Capable of 4G/LTE SIM •	Must have at least 2 External Antenna support •	With US</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</si>
  <si>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</si>
  <si>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Republic of the Philippines Province of Quezon Municipality of Macalelon Invitation to Bid for the  LOCAL ACCESS ROAD-ROAD UPGRADING (CONCRETE PAVING OF BARANGAY AMONTAY FMR) Reference No. 2020-06-314-ME 										June 25, 2020 1.	The LGU-Macalelon, Quezo</t>
  </si>
  <si>
    <t xml:space="preserve"> The City Government of Santiago invites interested parties to submit price quotation for the “SUPPLY AND DELIVERY OF POWER SPRAY AND PVC DRUM FOR TASK FORCE KONTRA ASF“ City Hall, Santiago City, details as follows: ABC: Php 56,146.00 Contract Duration: 14</t>
  </si>
  <si>
    <t xml:space="preserve"> 73length, G.I Pipe 1, 1/2''S20 16pcs, Cyclone wire</t>
  </si>
  <si>
    <t xml:space="preserve"> REQUEST FOR QUOTATION The MUNICIPALITY OF RONDA, through its Bids &amp; Awards Committee (BAC), Invites Suppliers registered with and classified by the DTI to Bid for the hereunder contract: Name of Contract	: Supply of Labor &amp; Materials for the Repair of Can</t>
  </si>
  <si>
    <t xml:space="preserve"> SUPPLY OF MATERIALS &amp; RENTAL OF EQUIPMENT</t>
  </si>
  <si>
    <t xml:space="preserve"> Procurement of Surveying Equipment's</t>
  </si>
  <si>
    <t xml:space="preserve"> L   = 200.00m    W  = 1.00 m   T  = 0.15m TOTAL MATERIALS =  P 142, 426.00 TOTAL LABOR =  P 49, 774.00 Bagger Equipment  = P 7,800.00</t>
  </si>
  <si>
    <t xml:space="preserve"> The project includes: 1. Project Billboard 2. Roadway Excavation 3. Sub-Grade Preparation 4. Aggregate Base Course 5. PCCP 6. RCPC</t>
  </si>
  <si>
    <t xml:space="preserve"> OFFICE SUPPLIES</t>
  </si>
  <si>
    <t xml:space="preserve"> Procurement ID/Contract I.D.: 20CN0153 Contract Name: Asset Preservation Program – Rehabilitation/Reconstruction/Upgrading of Damaged Paved Roads – Secondary Roads Contract Location: Baler-Casiguran Rd (Baler-Dinadiawan) - K0232+609 - K0232+773, K0239+773</t>
  </si>
  <si>
    <t xml:space="preserve"> Republic of the Philippines DEPARTMENT OF HEALTH DR. JOSE RIZAL MEMORIAL HOSPITAL Lawaan, Dapitan City Telefax; (065) 213-6421 Website: www.djrmh.doh.gov.ph Email: dohdjrmh@gmail.com BIDS AND AWARDS COMMITTEE INVITATION TO BID PROCUREMENT OF OFFICE &amp; IT E</t>
  </si>
  <si>
    <t xml:space="preserve"> The City Government of Santiago invites interested parties to submit price quotation for the “SUPPLY AND DELIVERY OF AGRICULTURAL SUPPLIES FOR URBAN GARDENING PROGRAM“ City Hall, Santiago City, details as follows: ABC: Php 323,700.50 Contract Duration: 14</t>
  </si>
  <si>
    <t xml:space="preserve"> for school use</t>
  </si>
  <si>
    <t xml:space="preserve"> 30 pcs. solar street lights with monopole include installation</t>
  </si>
  <si>
    <t xml:space="preserve"> 4 units diamond core, drill bit PEO</t>
  </si>
  <si>
    <t xml:space="preserve"> CARLOS HILADO MEMORIAL STATE COLLEGE 		BIDS AND AWARDS COMMITTEE Talisay City, Negros Occidental Telefax Nos. (034) 712-8404 INVITATION TO BID  FOR THE PROCUREMENT OF VARIOUS CONSUMABLES FOR PRINTERS AND PHOTOCOPIER OF THE FOUR (4) CAMPUSES (2ND PUBLICATI</t>
  </si>
  <si>
    <t xml:space="preserve"> Procurement ID/Contract I.D.: 20CN0101 Contract Name: Construction of Municipal Slaughterhouse Contract Location: Baler, Aurora  Brief Description: Earthwork, Civil, Mechanical, Electrical and Sanitary/Plumbing Works; Earthwork, Plain and Reinforced Concr</t>
  </si>
  <si>
    <t xml:space="preserve"> 20    sacks  Sigue-sigue corn seeds                    (50 kilos/ bag)</t>
  </si>
  <si>
    <t xml:space="preserve"> 1	50mm x 6m uPVC Pipe; S-10, with RR			              127	pcs. 2	50mm x 90° PVC Elbow (single hub)			                 1	pc. 3	1" x 250mm CI Saddle Clamp (for CI pipe, O.D.=275mm)	 4	pcs. 4	1" x 50mm CI Saddle Clamp			                         4	pcs. 5	50mm </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</si>
  <si>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</si>
  <si>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Please see attachment.</t>
  </si>
  <si>
    <t xml:space="preserve"> milk and diaper</t>
  </si>
  <si>
    <t xml:space="preserve"> purchase</t>
  </si>
  <si>
    <t xml:space="preserve"> 42 sets 200w Solar Streetlight            4' x 2" x 15' Single Arm Steel Tapered Lamp Post w/ 55" arm Length type A, 1.5" tip             10" x 10" Base Plate, 3/4" x 18" Anchor Bolts, Nuts &amp; Washers</t>
  </si>
  <si>
    <t xml:space="preserve"> The City Government of Santiago invites interested parties to submit price quotation for the “SUPPLY AND DELIVERY OF IT EQUIPMENT FOR SEF USE“ City Hall, Santiago City, details as follows: ABC: Php 574,471.00 Contract Duration: 14 calendar days Schedule o</t>
  </si>
  <si>
    <t xml:space="preserve"> Republic of the Philippines City of Cagayan de Oro BIDS AND AWARDS COMMITTEE Invitation to Bid  for Proposed Bahay Pag-asa Building (Phase II-A) - (Maitum, Upper Puerto); SN 129 - 2020 ` 1.	The City Government of Cagayan de Oro, through the Trust Fund - D</t>
  </si>
  <si>
    <t xml:space="preserve"> The City Government of Santiago invites interested parties to submit price quotation for the “SUPPLY AND DELIVERY OF INDUSTRIAL WALL FAN FOR VENTILATION OF INTEGRATED TERMINAL 1 AND 2“ City Hall, Santiago City, details as follows: ABC: Php 60,300.00 Contr</t>
  </si>
  <si>
    <t xml:space="preserve"> Lot 2 Supply &amp; Delivery of IT Equipment for the use of Procurement Unit</t>
  </si>
  <si>
    <t xml:space="preserve"> trolling trash bin with barangay official names</t>
  </si>
  <si>
    <t xml:space="preserve"> TWO (2) UNITS MULTI-PURPOSE VEHICLE</t>
  </si>
  <si>
    <t xml:space="preserve"> The City Government of Santiago invites interested parties to submit price quotation for the “SUPPLY AND DELIVERY OF VARIOUS SUPPLIES FOR NURSERY USE“ City Hall, Santiago City, details as follows: ABC: Php 66,916.00 Contract Duration: 14 calendar days Sch</t>
  </si>
  <si>
    <t xml:space="preserve"> Republic of the Philippines DEPARTMENT OF PUBLIC WORKS AND HIGHWAYS ZAMBALES 2ND DISTRICT ENGINEERING OFFICE REGIONAL OFFICE III Castillejos, Zambales NOTICE OF ALTERNATIVE METHODS OF PROCUREMENT Please be informed that the Department of Public Works and </t>
  </si>
  <si>
    <t xml:space="preserve"> 120	ream	A4 Bond Paper( premium) 12	ream	Legal Bond Paper ( Premium) 100	box	Staple Wire 5	pc	Stapler 5	pc	Highlighter 40	bottle	Alcohol, 70% ethyl  200	pc	Permanent marker, chisel type black</t>
  </si>
  <si>
    <t xml:space="preserve"> For Visual Layouting &amp; Photo Editing.</t>
  </si>
  <si>
    <t xml:space="preserve"> The City Government of Santiago invites interested parties to submit price quotation for the “SUPPLY AND DELIVERY OF OFFICE EQUIPMENT FOR EARLY CHILDHOOD CARE &amp; DEVELOPMENT PROGRAM“ City Hall, Santiago City, details as follows: ABC: Php 515,035.00 Contrac</t>
  </si>
  <si>
    <t xml:space="preserve"> 2 Epson Printer 3in1 (JHS/SHS) 2 Grass cutter(JHS) 2 Blades and Accessories for Grass cutter (JHS) 2 Tansi (JHS) 2 UPS (JHS) 15 Epson ink 003 4 colors- continuous ink 10 Epson ink 664 4 colors 700 Parchment paper(JHS/SHS) 10 columnar (10 cols) (JHS) 2 Por</t>
  </si>
  <si>
    <t xml:space="preserve"> Item No	QNTY	UNIT OF ISSUE	ITEM DESCRIPTION 			 1	6	cans	Air Freshener 2	24	bots	Alcohol 3	24	pcs	correction tape 4	6	bots	disinfectant spray 5	1	box	Mailing Envelop 6	24	pcs	eraser 7	2	pack	folder, legal 8	5	box	paper clip 9	6	ream	Bond paper, legal 10	2</t>
  </si>
  <si>
    <t xml:space="preserve"> See attached Request for Quotation.</t>
  </si>
  <si>
    <t xml:space="preserve"> TERMS AND CONDITIONS:		 					 	1. All entries must be typewritten or legibly written.								 	2. Delivery period within 15 calendar days upon receipt of approved Purchase Order (P.O.)								 	3. Warranty shall be a minimum of 3 months for expendable sup</t>
  </si>
  <si>
    <t xml:space="preserve"> PR Num.: P2020-06-021 Mavic 2 Kit Batteries Battery Charging Hub Battery Power Bank Adapter Propellers Shoulder Bag Car Charger (Additional accessories of the 2 units of Drone purchased)</t>
  </si>
  <si>
    <t xml:space="preserve"> Republic of the Philippines Province of Palawan  Municipal Government of Cuyo BIDS AND AWARDS COMMITTEE Email Address: baccuyopalawan@gmail.com NEGOTIATED PROCUREMENT “SUPPLY AND DELIVERY OF ASSORTED MEDICINES FOR MUNICIPAL HEALTH OFFICE OF CUYO”   1.	The</t>
  </si>
  <si>
    <t xml:space="preserve"> pls. see attached</t>
  </si>
  <si>
    <t xml:space="preserve"> The City Government of Santiago invites interested parties to submit price quotation for the “SUPPLY AND DELIVERY OF CONSTRUCTION MATERIALS FOR REPAIR AND MAINTENANCE OF SLAUGHTERHOUSE“ City Hall, Santiago City, details as follows: ABC: Php 143,229.52 Con</t>
  </si>
  <si>
    <t xml:space="preserve"> INVITATION TO BID  FOR THE Supply and Installation of Hospital Information Management System I.B. No. 2020 - 0030 1.	The LGU - Cabanatuan City, through the General Fund, FY 2020 intends to apply the sum of Three Million Pesos (₱3,000,000.00) being the App</t>
  </si>
  <si>
    <t xml:space="preserve"> 1 unit Split Type Room Air conditioner 2.0HP</t>
  </si>
  <si>
    <t xml:space="preserve"> RE-INVITATION TO BID 1.	Provincial Government of Misamis Oriental, intends to apply the sum stated below being the Approved Budget for the Contract (ABC) to payments under the contract: for the supply and Delivery of Goods. Bids received in excess of the </t>
  </si>
  <si>
    <t xml:space="preserve"> Provision of Fuel for Various Municipal Health Vehicle for the month of July 2020</t>
  </si>
  <si>
    <t xml:space="preserve"> The City Government of Santiago invites interested parties to submit price quotation for the “SUPPLY AND DELIVERY OF VARIOUS SUPPLIES FOR SLAUGHTERHOUSE USE“ City Hall, Santiago City, details as follows: ABC: Php 65,562.00 Contract Duration: 14 calendar d</t>
  </si>
  <si>
    <t xml:space="preserve"> The City Government of Santiago invites interested parties to submit price quotation for the “SUPPLY AND DELIVERY OF OFFICE EQUIPMENT FOR CITY COOPERATIVE OFFICE USE“ City Hall, Santiago City, details as follows: ABC: Php 154,156.00 Contract Duration: 14 </t>
  </si>
  <si>
    <t xml:space="preserve"> Republic of the Philippines Province of Romblon MUNICIPALITY OF MAGDIWANG INVITATION TO BID SUPPLEMENTAL FEEDING Project ID No. 2020-17 June 24, 2020 1.	The Municipality of Magdiwang, Romblon, through its Gen. Fund 2020 intends to apply the sum of Php 492</t>
  </si>
  <si>
    <t xml:space="preserve"> 16 pieces Assistive Device (Wheel Chair) **NOTHING FOLLOWS**</t>
  </si>
  <si>
    <t xml:space="preserve"> Republic of the Philippines PROVINCE OF CAMIGUIN Mambajao, Camiguin  BIDS AND AWARDS COMMITTEE (BAC) INVITATION TO BID The Provincial Government of Camiguin through its Bids and Awards Committee (BAC) invites all interested and qualified contractors to ap</t>
  </si>
  <si>
    <t xml:space="preserve"> BIDS AND AWARDS COMMITTEE REQUEST FOR QUOTATION The Local Government Unit of Labason, Z.N., invites all interested registered supplier to submit quotation for the Purchase of Construction Materials for Renovation of Day Care Center at Ubay, Lab. ZN: Appro</t>
  </si>
  <si>
    <t xml:space="preserve"> INVITATION TO BID  Purchase &amp; Delivery of Various Medical, Dental &amp; Laboratory Supplies for Maitum MH (Re-bid) June 25, 2020 1.	The Provincial Government of Sarangani, through the Trust Fund – Philhealth Collection  intends to apply the sum of Two Hundred</t>
  </si>
  <si>
    <t xml:space="preserve"> Procurement of ISO-Re Certification</t>
  </si>
  <si>
    <t xml:space="preserve"> Republic of the Philippines Province of Iloilo  BIDS AND AWARDS COMMITTEE REQUEST FOR QUOTATION Quotation No. GSO-20-0576-NP2(SV) Reference PR No. GSO-20-0576 June 24, 2020 __________________________________ __________________________________ ____________</t>
  </si>
  <si>
    <t xml:space="preserve"> WORKS CONSIST OF GENERAL REQUIREMENTS, MOBILIZATION/DEMOBILIZATION, DEMOLITION/REMOVAL OF EXISTING STRUCTURE, COMMON STRUCTURE EXCAVATION, CONCRETE WORKS (COLUMN FOOTING &amp; WALL FOOTING, COLUMN BEAMS, SLAB, STAIR, RAMP &amp; STIFFENER), STEEL WORKS (COLUMN FOO</t>
  </si>
  <si>
    <t xml:space="preserve"> 1	Automated Weather Station		 	Power Management -  Internal Lithium Polymer Battery Power on/off  Switch, Internal Voltage Regulation, Optical Isolation Lightning Protection, Logging-Stand Alone logging, 24 bit resolution, MicroSD Expandable memory, USB C</t>
  </si>
  <si>
    <t xml:space="preserve"> The City Government of Santiago invites interested parties to submit price quotation for the “SUPPLY AND DELIVERY OF OFFICE EQUIPMENT FOR CHO EPIDEMIOLOGY AND SURVEILLANCE UNIT OPERATIONAL CENTER USE“ City Hall, Santiago City, details as follows: ABC: Php</t>
  </si>
  <si>
    <t xml:space="preserve"> Republic of the Philippines Province of Iloilo  BIDS AND AWARDS COMMITTEE REQUEST FOR QUOTATION Quotation No. GSO-20-0498-NP2(SV) Reference PR No. GSO-20-0498 June 24, 2020 ____________________________________ ____________________________________ ________</t>
  </si>
  <si>
    <t xml:space="preserve"> Item No	QNTY	UNIT OF ISSUE	ITEM DESCRIPTION 			 1	1	SET	Windows 10 laptop (with licensed operating system, pre installed Microsoft Office, Core i5 of higher, 1TB HDD 			  2	1	pc	Kasperky Anti Virus</t>
  </si>
  <si>
    <t xml:space="preserve"> The City Government of Santiago invites interested parties to submit price quotation for the “SUPPLY AND DELIVERY OF CONSTRUCTION MATERIALS FOR REPAIR AND MAINTENANCE OF BALAY NAMNAMA AND HALFWAY HOME“ City Hall, Santiago City, details as follows: ABC: Ph</t>
  </si>
  <si>
    <t xml:space="preserve"> pls. see attached...</t>
  </si>
  <si>
    <t xml:space="preserve"> The City Government of Santiago invites interested parties to submit price quotation for the “SUPPLY AND DELIVERY OF VEHICLE PARTS AND ACCESSORIES FOR VARIOUS GOVERNMENT VEHICLES“ City Hall, Santiago City, details as follows: ABC: Php 147,681.00 Contract </t>
  </si>
  <si>
    <t xml:space="preserve"> PROJECT: PUBLICATION/ADVERTISING OF ORDINANCE NO. 645, S-2019  LOCATION: RIZAL, NUEVA ECIJA DESCRIPTION: ORDINANCE PROHIBITING THE USE, SALE, DISTRIBUTION AND ADVERTISEMENT OF CIGARETTES, AND OTHER TABACCO PRODUCTS AND ELECTRONIC NICOTINE DELIVERY SYSTEM </t>
  </si>
  <si>
    <t xml:space="preserve"> Provision of School Supplies</t>
  </si>
  <si>
    <t xml:space="preserve"> 2	piece	Plywood #1/4 1	roll	Window screen 2	gal	Enamel Paint 15	piece	Plywood #1/4 10	piece	Lumber 2x2 3	gal.	Enamel Paint colored 4	bars	square bar 2x4 4	bars	square bar 2x3 2	box	welding rod 9	piece	Plywood #1/4 5	piece	Lumber 2x2 5	kilo	nails 100	piece</t>
  </si>
  <si>
    <t xml:space="preserve"> Please see attached file for the specification of item to be purchased. For further information, please refer to: Mrs. Maria Flora T. Pandes or Mrs. Herbie B. De Lemios Department of Education-Division of Camarines Norte F. Pimentel Avenue, Barangay II, D</t>
  </si>
  <si>
    <t xml:space="preserve"> 1	pcs	64	TIRES R15 185/65	 2	pcs	8	TIRES R15 185/65	 3	pcs	4	TIRES R16 205/55	 				 				 Note: Free mounting and balancing			 			 				 				 				 The following documents must be included in the 	 submission of sealed price quotation:	 1. Mayor's/Business P</t>
  </si>
  <si>
    <t xml:space="preserve"> ITEMS: 5 UNIT TIRE (TOYOTA HI-LUX)265/65 R18 2 SET BRAKE PAD 1 SET BRAKE SHOE</t>
  </si>
  <si>
    <t xml:space="preserve"> INSTALLATION O COVERED COURT BLEACHERS</t>
  </si>
  <si>
    <t xml:space="preserve"> Republic of the Philippines						 	Province of Nueva Ecija						 	CITY OF GAPAN						 	Km.92, Maharlika Highway, Bayanihan, Gapan City						 	 - - - - o0o - - - - 						 	BIDS AND AWARDS COMMITTEE						 							 	REQUEST FOR QUOTATION						 							 	The Ci</t>
  </si>
  <si>
    <t xml:space="preserve"> Request for Quotation Date:  ______________ Quotation No.______ Company Name	: _________________________________________(1) Address	           	: _________________________________________(2) VAT-TIN		:__________________________________________(3) Please q</t>
  </si>
  <si>
    <t xml:space="preserve"> PR Num.: B2020-05-025 Supplies and other materials Toilet cleaner Toilet paper Pail with dipper Toilet deodorizer Toilet scrubs/brush Alcohol Liquid soap Trash bin Mono block chairs Mono block table</t>
  </si>
  <si>
    <t xml:space="preserve"> PHILIPPINE DEPOSIT INSURANCE CORPORATION SSS MAKATI Building, 6782 Ayala Avenue corner V.A. Rufino Street, Makati City PROCUREMENT AND PROPERTY DEPARTMENT REQUEST FOR QUOTATION Supplier       The PDIC invites you to submit a quotation for the item/s state</t>
  </si>
  <si>
    <t xml:space="preserve"> Supply &amp; Delivery of materials for the const. of 163Ln.m open channel drainage system at Purok 04, Malapat, Cordon, Isabela.</t>
  </si>
  <si>
    <t xml:space="preserve"> PB NO. 2020-043		 			 1.	1	lot	Formulation of Feasibility Study for the Improvement of Water System in the City of San Pablo. 			 	Deadline for Submission of Bids: July 2, 2020 10:00 am</t>
  </si>
  <si>
    <t xml:space="preserve"> CONSTRUCTION OF TWO-STOREY, 6 CLASSROOMS SCHOOL BUILDING</t>
  </si>
  <si>
    <t xml:space="preserve"> Please submit your quotations based on RFQ Terms &amp; Conditions</t>
  </si>
  <si>
    <t xml:space="preserve"> Republic of the Philippines Department of Education Region VI – Western Visayas Division of Aklan District of Ibajay East NAILE ELEMENTARY SCHOOL 	 REQUEST FOR QUOTATION (RFQ) Project No: DepED-RO6-D1-CONSTRUCTION MATERIALS-001-2020 The Department of Educ</t>
  </si>
  <si>
    <t xml:space="preserve"> INVITATION TO BID FOR SUPPLY AND DELIVERY OF VARIOUS WATER SERVICE CONNECTION MATERIALS FOR INSTALLATION OF 75MM DIA. UPVC DISTRIBUTION LINE FOR EXPANSION PROJECTS AT KALIBO, BANGA &amp; NEW WASHINGTON AREAS 1.	The METRO KALIBO WATER DISTRICT, through the Cor</t>
  </si>
  <si>
    <t xml:space="preserve"> Republic of the Philippines Province of Quezon Municipality of San Francisco   BIDS &amp; AWARDS COMMITTEE INVITATION TO APPLY FOR ELIGIBILITY AND TO BID     The Municipality of San Francisco through 20% Development Fund intends to apply the sum of Five Hundr</t>
  </si>
  <si>
    <t xml:space="preserve"> PLEASE SEE ATTACHED AND DOWNLOAD THE DOCUMENT</t>
  </si>
  <si>
    <t xml:space="preserve"> Republic of the Philippines Province of Quezon Municipality of San Francisco   BIDS &amp; AWARDS COMMITTEE INVITATION TO APPLY FOR ELIGIBILITY AND TO BID     The Municipality of San Francisco through 20% Development Fund intends to apply the sum of One Millio</t>
  </si>
  <si>
    <t xml:space="preserve"> Procurement of Computer Devices and Supplies  External Drive Quantity=6 SD Card Quantity=6 Load Card Quantity=60 Terms and Conditions: 1. The RFQ form must be fully accomplished. If an item is not available, type/write N/A, No entry shall be left blank. 2</t>
  </si>
  <si>
    <t xml:space="preserve"> MUNICIPALITY OF BORBON DESCRIPTION: 10,440 PACKS SQUASH MALUNGGGAY 24G PACK                       NUTRILOVE INSTANT DRY CEREAL (348) CHILDREN X 30 DAYS) 10,440 PACKS MILKY BANANA AND OATS 24G OPACK                      NUTRILOVE INSTANT DRY CEREAL  (348 C</t>
  </si>
  <si>
    <t xml:space="preserve"> SOURCE OF FUNDS: ANNUAL BUDGET CY 2020 BIDDING DATE &amp; TIME: JULY 2, 2020- 1:00 P.M</t>
  </si>
  <si>
    <t xml:space="preserve"> ITEMS: 50 BAGS CEMENT 500 PCS HOLLOW BLOCK 60 PC HOLLOW BLOCK, DECORATIVE 32 PCS GALVANIZED IRON, 12X26 GAUGE 2 LOAD SAND 1 LOAD GRAVEK 40 PCS ROUND BAR, 10MM 4 KLS NAIL#5 6 KLS BAIL#4 100 PCS LUMBER, 2X4X12 140 PCS LUMBER, 2X3X12</t>
  </si>
  <si>
    <t xml:space="preserve"> at least 6.5" tall. Please see attached specifications.</t>
  </si>
  <si>
    <t xml:space="preserve"> Food Supplies</t>
  </si>
  <si>
    <t xml:space="preserve"> ESTIMATED NUMBER OF PAGES                                                          ESTIMATED AMOUNT KINDER          8,400                                                                                   P7,560.00 GRADE 1        23,680                    </t>
  </si>
  <si>
    <t xml:space="preserve"> attached RFQ for specifications</t>
  </si>
  <si>
    <t xml:space="preserve"> Purchase of PPE (Alcohol) for use during DSWD FO V COVID-19 operations Alcohol - 900 bottles 70% Solution, 500ml per bottle</t>
  </si>
  <si>
    <t xml:space="preserve"> Laboratory Reagent and Supplies</t>
  </si>
  <si>
    <t xml:space="preserve"> food services</t>
  </si>
  <si>
    <t xml:space="preserve"> The DENR - PENRO Negros Occidental intends to procure Agisoft software for Official use of PENRO Negros Occidental Personnel with the following specifications: -Agisoft Photoscan -Photogrammetric Triangulation -Dense point cloud: generation and editing -3</t>
  </si>
  <si>
    <t xml:space="preserve"> Republic of the Philippines Bohol Island State University-Calape Campus Calape, Bohol Invitation to Bid for the Procurement of Office Supplies for Instructional Materials PRN- 615-2020 1.	The Bohol Island State University Calape Campus,  through the Speci</t>
  </si>
  <si>
    <t xml:space="preserve"> Supply, Delivery and Configuration of LTE CPE Broadband Device for CTU Flexible Learning System (FLS) with Smart/PLDT Telecom Network with the following: •	Broadband Modem Capable of 4G/LTE SIM •	Must have at least 2 External Antenna support •	With USB, R</t>
  </si>
  <si>
    <t xml:space="preserve"> Republic of the Philippines PROVINCE OF BUKIDNON Municipality of Sumilao INVITATION TO BID ITB NO. GS-2020-30 PROCUREMENT OF CONSTRUCTION MATERIALS FOR THE CONSTRUCTION OF SOLAR DRIER AT UPPER PUROK 2- POBLACION, SUMILAO, BUKIDNON June 24, 2020 1.	The Loc</t>
  </si>
  <si>
    <t xml:space="preserve"> The City Government of Santiago invites interested parties to submit price quotation for the “SUPPLY AND DELIVERY OF VERMICAST FOR URBAN GARDENING PROGRAM“ City Hall, Santiago City, details as follows: ABC: Php 270,000.00 Contract Duration: 14 calendar da</t>
  </si>
  <si>
    <t xml:space="preserve"> 1	Booster Pump   Vertical in-Line Multi Stages Stainless steel impeller and shaft. Rated to deliver 500gpm-600gpm max against 40M 50 psi driven by 25hp electric motor, 230Volts, 3Phase, 60Hz, 3450 RPM. 2	Motor Controller:   Simplex type controller rated t</t>
  </si>
  <si>
    <t xml:space="preserve"> Delivery/installation of Municipal Names 1 lot    stainless cut-out letter 40cm x 20 cm</t>
  </si>
  <si>
    <t xml:space="preserve"> Local Government Unit -VINCENZO SAGUN              Invitation to Bid for [Installation of Street Lighting System, Vincenzo Sagun ZDS] 1.	The Local Government Unit – Vincenzo Sagun Zamboanga del Sur, through the 20% EDF  intends to apply the sum of Two Mil</t>
  </si>
  <si>
    <t xml:space="preserve"> Procurement of Computer Devices and Supplies External Drive Quantity=2 Flash Drive Quantity=9 Headphone with microphone Quantity=15 Voice Recorded Quantity=2 Speaker Quantity=1 Load Card Quantity=60 Terms and Conditions: 1. The RFQ form must be fully acco</t>
  </si>
  <si>
    <t xml:space="preserve"> Labor and materials for the rehabilitation of open canal at Barangay Bantan, Orion, Bataan</t>
  </si>
  <si>
    <t xml:space="preserve"> Bondpaper A4 &amp; Long Epson Printer Ink Brother Printer Ink Ballpen</t>
  </si>
  <si>
    <t xml:space="preserve"> To Contract for the Supply of Materials, Labor, and Equipments for the Rehabilitation/Improvement of Level II Water System in Luma-Lebe, ID No. KIA-SAR-19-011</t>
  </si>
  <si>
    <t xml:space="preserve"> Procurement ID/Contract I.D.: 20CN0154 Contract Name: Network Development Program, Off-Carriageway Improvement – Secondary Roads Contract Location: Baler – Casiguran Road (Dinadiawan – Casiguran Section), K0322+404 – K0323+617, K0332+000 – K0333+725, K033</t>
  </si>
  <si>
    <t xml:space="preserve"> QTY   UNIT                 DESCRIPTION 2	pc.	         TARP,BRIGADA ESKWELA 2020	 1	pc.	         TARP., OPLAN BALIK ESKWELA 2020	 100	pcs.           FOLDER, LONG	 12	rms.	          BOND PAPER, LEGAL	 12	rms. 	         BOND PAPER, A4	 8	botts.         EPSON</t>
  </si>
  <si>
    <t xml:space="preserve"> WORK TO BE DONE:	 SPTIC TANK SIPHONING	 3.5CU. METER/TANK LOAD	7 TRIPS                 X-X-X-X-X-X-X</t>
  </si>
  <si>
    <t xml:space="preserve"> 5 mos. 1 minuter TV Plug -3 spots/day -aired during prime time -station can be accessed both aerial and cable connection -covers Butuan City and Agusan del Norte</t>
  </si>
  <si>
    <t xml:space="preserve"> ITEM NO.     DESCRIPTION                            QUANTITY      UNIT      1            STEEL WORKS                               1.00            LS      2            CARPENTRY &amp; ROOFING WORKS    1.00              LS      3             CEILING WORKS     </t>
  </si>
  <si>
    <t xml:space="preserve"> Republic of the Philippines									 Department of Public Works and Highways									 AGUSAN DEL NORTE									 DISTRICT ENGINEERING OFFICE									 REGIONAL OFFICE XIII									 J. Rosales Avenue, Butuan City									 Name of Procuring Entity:  DPWH-DEO,</t>
  </si>
  <si>
    <t xml:space="preserve"> TERMS AND CONDITIONS 1. Interested suppliers are required to submit two (2) copies each of their valid and current (a) 2020 Mayor’s/Business Permit or 2019 Mayor’s/Business Permit with Official Receipt of Renewal, (b) PhilGEPS Registration Number/Certific</t>
  </si>
  <si>
    <t xml:space="preserve"> REQUEST FOR QUOTATION No. 2020-040 1.	The Municipality of Cabiao, Nueva Ecija, through its Bids and Awards Committee (BAC), invites suppliers/manufacturers/distributors to bid if found eligible, to bid for the Procurement of Laboratory and Medical Supplie</t>
  </si>
  <si>
    <t xml:space="preserve"> Contract ID: 20GKK0032 Contract Name: Supply and Delivery of Fuel to be used by DPWH-MOFDEO Service Vehicle and Equipment of All Section Contract Location: DPWH-MOFDEO, Gingoog City Brief Description of Goods to be procured: Gasoline and Diesoline Approve</t>
  </si>
  <si>
    <t xml:space="preserve"> Please see attached document</t>
  </si>
  <si>
    <t xml:space="preserve"> Republic of the Philippines          City of Dumaguete Bids and Awards Committee INVITATION TO BID FOR PURCHASE REQUEST OF 104 BAGS PORTLAND CEMENT 40 KGS AND OTHER ITEMS 	The City of Dumaguete thru its BIDS AND AWARDS COMMITTEE (BAC), invites all interes</t>
  </si>
  <si>
    <t xml:space="preserve"> INVITATION TO BID LGU-El Salvador City, Misamis Oriental through its BAC, invites interested bidders to apply for eligibility and if found eligible to bid for the contract: 1.	Contract ID No.	:	ITB No. 2020-06-056/Project ID No. 20-010-20% Name of Project</t>
  </si>
  <si>
    <t xml:space="preserve"> Fabrication and Installation of Stainless Steel Demonstration Tables and Sink for Food Laboratory with Floor Area: Kitchen 1: 8mtrs and 62cm     x 4m and 53.5cm Sink: 5m and 13cm x 60cm x 57cm Kitchen 2: 8mtrs x 4mtrs and 52.5cm Sink: 3m and 66cm x 60.5 c</t>
  </si>
  <si>
    <t xml:space="preserve"> Republic of the Philippines Province of Ilocos Sur Municipality of Santa Barangay Calungboyan Invitation to Bid Construction of Multi-Purpose Hall Php 247,016.60 A. Materials lot description qty bag cement 50 cu.m gravel  9 cu.m sand    9 pcs 2x4x12 Good </t>
  </si>
  <si>
    <t xml:space="preserve"> Bicol Medical Center Concepcion Pequeña, Naga City, 4400 (0998-247-0239/0906-256-9238          E-mail Address: bmc.bacoffice@gmail.com INIVITATION TO BID PROCUREMENT OF CARDIAC SURGERY INSTRUMENTS ITB No. 2020-15 1.	The BICOL MEDICAL CENTER, through INCOM</t>
  </si>
  <si>
    <t xml:space="preserve"> SEE ATTACHED DOCUMENT</t>
  </si>
  <si>
    <t xml:space="preserve"> 143 pack Polyethylene Bag, 4x6  at 100 pcs/pack 150 pack Polyethylene Bag, 6x12x0.02 at 100 pcs/pack -see attached RFQ Form</t>
  </si>
  <si>
    <t xml:space="preserve"> Order/download attached Invitation to Bid and print-out Abstract of bids from Philgeps.</t>
  </si>
  <si>
    <t xml:space="preserve"> PR No. 				AF 2020-01-007							 											 	Please quote your lowest price on the item/s listed below, subject to the General Conditions, 										 stating the shortest time of delivery and submit your quotation duly signed by  your authorized 								</t>
  </si>
  <si>
    <t xml:space="preserve"> 50	Pcs	T-shirt Dry Fit w/ Print 		Sizes: Small-10, Medium-20, Large-10, Extra Large-10 		 48	Pcs	Polo Shirt Dry Fit w/ Print 		Sizes: Small-8, Medium-20, Large-10, Extra Large-10 		 50	Pcs	Pants, Tactical (cargo style) 		 50	Pcs	Belt, Tactical Rescue Rigg</t>
  </si>
  <si>
    <t xml:space="preserve"> Republic of the Philippines									 REGION IX      									 PROVINCE OF ZAMBOANGA DEL SUR									 Pagadian City     									 BIDS AND AWARDS COMMITTEE  									 Provincial Capitol, Pagadian City									 									 INVITATION FOR SUBMISSION OF QUOTATI</t>
  </si>
  <si>
    <t xml:space="preserve"> Angular Bar - 1" x 3/16" Cutting Disc - for metal G.I. Plate - 4" x 8" x 3/16, checkered Grinding Disc - 4" Paint (brush) - 2" Paint (primer) - red oxide Paint (thinner) Paint roller - #4 Round Bar - 10mm Steel Matting - 4" x 8" U-Bolt - 12" x 50" x 125" </t>
  </si>
  <si>
    <t xml:space="preserve"> The Pag-IBIG FUND TECHNICAL AND ADMINISTRATIVE SUPPORT FOR BICOL REGION intends to apply the sum of EIGHTY THOUSAND PESOS &amp; 0/100 ONLY (Php 80,000.00) being the Approved Budget for the Contract (ABC) as payment for TWO (2) UNITS 55” TELEVISION SET FOR LEG</t>
  </si>
  <si>
    <t xml:space="preserve"> Construction materials &amp; supplies</t>
  </si>
  <si>
    <t xml:space="preserve"> For use of DA-RSL to support to operation of Integrated lab (Analysis of samples)  Laboratory Supplies</t>
  </si>
  <si>
    <t xml:space="preserve"> REQUEST FOR QUOTATION No. 2020-042 1.	The Municipality of Cabiao, Nueva Ecija, through its Bids and Awards Committee (BAC), invites suppliers/manufacturers/distributors to bid if found eligible, to bid for the Procurement of Electrical Materials for MDRRM</t>
  </si>
  <si>
    <t xml:space="preserve"> PR No.: 0620-034 Office: MALAYBALAY CITY WATER DISTRICT MCWD Procurement of Services ABC: 110,200.00 Date: 6/24/2020 Standard Form Number: SF-GOOD-60 Revised on May 24, 2004 Standard Form Title: Request for Quotation Company Name:_______________________ A</t>
  </si>
  <si>
    <t xml:space="preserve"> Concreting of Access Road to Police and Health Station Aggregate Base Course	 360.00 	 cu.m.  Portland Cement Concrete Pavement	 655.32 	 cu.m.  Structural Concrete	 39.00 	 cu.m.  Formworks	 840.00 	 sq.m  Sub-Project Billboard	 1.00 	 Unit</t>
  </si>
  <si>
    <t xml:space="preserve"> See attached File</t>
  </si>
  <si>
    <t xml:space="preserve"> Quantity	Unit	Item and Description 10	Lot	"Rental of Laptop for 6 months, inclusive of installation, delivery and pull out cost, repair and maintenance services                                            Processor: (min) intel i5 5th gen or later / equiva</t>
  </si>
  <si>
    <t xml:space="preserve"> General Requirements	 1	Mobilization / Demobilization 	1 lot 2	Health and Safety Requirements 	1 lot 3	Temporary Enclosure	1 lot 		 	Preliminary Works	 4	Removal of existing ceiling	1 lot 5	Moving of cabinets prior to painting works	1 lot 6	Surface Prepar</t>
  </si>
  <si>
    <t xml:space="preserve"> Purchase of Motorcycle for Purposes of Monitoring Against COVID-19</t>
  </si>
  <si>
    <t xml:space="preserve"> PR No. 				CMD 2020-01-005							 											 	Please quote your lowest price on the item/s listed below, subject to the General Conditions, 										 stating the shortest time of delivery and submit your quotation duly signed by  your authorized 							</t>
  </si>
  <si>
    <t xml:space="preserve"> 1 unit Server  etc.  NOTE:To all suppliers bid documents and  BAC Resolution 2020-029 are available at BAC Office and LGU website.</t>
  </si>
  <si>
    <t xml:space="preserve"> attached RFQ</t>
  </si>
  <si>
    <t xml:space="preserve"> 1 Lot Desktop Computers</t>
  </si>
  <si>
    <t xml:space="preserve"> For Government Vehicle use</t>
  </si>
  <si>
    <t xml:space="preserve"> 1.0	unit	Laptop (Specifications: 14" LED-backlit FHD i3-7020U 4GB AM SATA 1 TB HDD NVIDIA geForce MX 130 Windows 10</t>
  </si>
  <si>
    <t xml:space="preserve"> cleaning of window type, split type and floor mounted types of Air Conditioning Units</t>
  </si>
  <si>
    <t xml:space="preserve"> 5,000 pcs. BIRTHDAY CAKE</t>
  </si>
  <si>
    <t xml:space="preserve"> General Requirements	 1	Mobilization / Demobilization 	1 lot 2	Health and Safety Requirements 	1 lot 3	Temporary Enclosure	1 lot 		 	Preliminary Works	 4	Clearing of Site	1 lot 5	Surface Preparation Works of Exterior Walls	1 lot 6	Access Ladder/ Scaffoldi</t>
  </si>
  <si>
    <t xml:space="preserve"> I. GENERAL REQUIREMENTS 1 LOT  II. EARTHWORKS 124.00 SQ.M. III. CONCRETE WORKS (INCLUDES RAMP ON FILL) 34.70 CU.M. IV. FORMWORKS 130.33 SQ.M. V. REINFORCING STEEL BARS 2,751.66 KG. VI. MASONRY WORKS (PLANT BOX) 223.32 SQ.M. VII. DOORS AND WINDOWS 1 LOT VI</t>
  </si>
  <si>
    <t xml:space="preserve"> Republic of the Philippines DEPARTMENT OF HEALTH DR. JOSE RIZAL MEMORIAL HOSPITAL Lawaan, Dapitan City Telefax; (065) 213-6421 Website: www.djrmh.doh.gov.ph Email: dohdjrmh@gmail.com BIDS AND AWARDS COMMITTEE INVITATION TO BID PROCUREMENT OF MEDICAL/SURGI</t>
  </si>
  <si>
    <t xml:space="preserve"> attached RFQ for the Specifications</t>
  </si>
  <si>
    <t xml:space="preserve"> please download bidding documents</t>
  </si>
  <si>
    <t xml:space="preserve"> INVITATION TO BID FOR THE IMPROVEMENT/CONCRETING OF SITIO YABAAN ROAD Brgy. Maligaya, Buenavista, Quezon 1.	The Municipal Government of Buenavista, Quezon, through the 20% Development  Fund intends to apply the sum of One Million Five Hundred Pesos (P1,50</t>
  </si>
  <si>
    <t xml:space="preserve"> Republic of the Philippines          City of Dumaguete Bids and Awards Committee INVITATION TO BID FOR PURCHASE REQUEST OF 8 CU.M SAND STD. SPECS. OTHER ITEMS 	The City of Dumaguete thru its BIDS AND AWARDS COMMITTEE (BAC), invites all interested manufact</t>
  </si>
  <si>
    <t xml:space="preserve"> 35 heads Piglets, black, mixed breed, 2 months old etc. OPAG</t>
  </si>
  <si>
    <t xml:space="preserve"> 5000	pcs	 Rippled Paper Cups 8oz 5000	pcs	 Plain Paper Cups 6oz 		x-x-x Nohing Follows x-x-x 		 		 		 		 		 		 		 		 		 		Purpose: 		   For vendo machines and courtesy water dispenser</t>
  </si>
  <si>
    <t xml:space="preserve"> 1.0	unit	Computer with Accessories and Table	 		Specs: AMD A6 9220e processor, dual core processor, processor speed 1.6GHz with a burst speed of 2.4 GHz, 4GB RAM DDR4, HARD DRIVE: 1 TB HDD Storage, SD Media Card Reader, 3 x USB 2.0 ports, 3x USB 3.1 ports</t>
  </si>
  <si>
    <t xml:space="preserve"> CONSTRUCTION OF 2-STOREY 4-CLASSROOMS AND 1-STOREY, 2-CL. CLASSROOMS SCHOOL BUILDINGS</t>
  </si>
  <si>
    <t xml:space="preserve"> KINDLY SEE ATTACHED CANVASS FOR THE ITEMS AND SPECIFICATIONS</t>
  </si>
  <si>
    <t xml:space="preserve"> Provision of Food good for 20 pax during the conduct of Enterprise Assessment and Action Planning Workshop  Date: July 14-17, 2020 Venue: Bayugan City, Agusan del Sur -see attached RFQ Form menu details.</t>
  </si>
  <si>
    <t xml:space="preserve"> 1 Lot Materials and Equipment to be used for the Maintenance at the PESR/Sports Facilities</t>
  </si>
  <si>
    <t xml:space="preserve"> Job Order: To request for the reproduction of Information Education Campaign (IEC) Materials for Nutrition Advocacy. Pinggang Pinoy (3 types) with lay-out 105 pieces teens (13-18 years old) 105 pieces Adults (19-59 years old) 105 pieces Pregnant and Lacta</t>
  </si>
  <si>
    <t xml:space="preserve"> Specs: 500  pcs   Stickers for Public Conveyances (4x4) 500  pcs   Sintra Board (6x12) 2      pcs   Billboard</t>
  </si>
  <si>
    <t xml:space="preserve"> Please download and then print the attached Invitation to Bid (ITB) for more details and for your reference. To view this attachment, just click “ORDER” opposite the ASSOCIATED COMPONENTS. TOTAL APPROVED BUDGET FOR THE CONTRACT (ABC): ₱2,000,000.00</t>
  </si>
  <si>
    <t xml:space="preserve"> REQUEST FOR QUOTATION							 							 PR No.:	2020-06-136		RFQ No.:		NIAREG9-06-2020-IDPFunds-079 (SH)		 PR. Date:	June 24, 2020		RFQ Date:		June 24, 2020		 End-User:	NIA-REGIONAL OFFICE		PhilGEPS Reference No.:				 ABC:	132,200.00		PhilGEPS Closing Date:	</t>
  </si>
  <si>
    <t xml:space="preserve"> SOLID REAGENTS	 1	Staphylococcus Enrichment Agar (500 grams)	3 bottle 2	Palcam Listeria Agar Base (500 grams)	3 bottle 	LIQUID REAGENTS	 3	Palcam Listeria Selective Supplement (10 vials/bottle per pack)	3 bottle 4	Sterile Water for Injection (50 ml), pare</t>
  </si>
  <si>
    <t xml:space="preserve"> INVITATION TO BID  1.	The DPWH-Samar First District Engineering Office, Calbayog City , through the Sub-Allotment Advice No. SR2020-02-000836 intends to apply the sum of Four Million Six Hundred Twenty Three Thousand Five Hundred Pesos (4,623,500.00)  Onl</t>
  </si>
  <si>
    <t xml:space="preserve"> Provision of Food good for 20 pax during the conduct of Enterprise Assessment and Action Planning Workshop Date: July 28-31, 2020 Venue: Butuan City -see attached RFQ Form for menu details.</t>
  </si>
  <si>
    <t xml:space="preserve"> Please download and then print the attached Invitation to Bid (ITB) for more details and for your reference. To view this attachment, just click “ORDER” opposite the ASSOCIATED COMPONENTS. TOTAL APPROVED BUDGET FOR THE CONTRACT (ABC): ₱500,000.00</t>
  </si>
  <si>
    <t xml:space="preserve"> BIDS AND AWARDS COMMITTEE REQUEST FOR QUOTATION The office of Bureau of the Treasury, Regional Office VI, through its Bids and Awards Committee, hereby invites all interested suppliers, to quote their lowest price on the items listed below, subject to the</t>
  </si>
  <si>
    <t xml:space="preserve"> attached RFQ for the specifications</t>
  </si>
  <si>
    <t xml:space="preserve"> I. CONCRETE WORKS II. REINFORCING STEEL III. CARPENTRY WORKS IV. CONSTRUCTION SAFETY &amp; HEALTH</t>
  </si>
  <si>
    <t xml:space="preserve"> Bedsheets	50	pcs Blankets	50	pcs Place mat	100	pcs Pillow case	50	pcs Table cloth	10	pcs Table runner	8	pcs Curtains-assorted color	100	pcs Cloth for clients	2	roll xxxxxxxxxxxxxxxxxxxxxxxxxxxxxxxxxxxxxx</t>
  </si>
  <si>
    <t xml:space="preserve"> INVITATION TO BID FOR THE IMPROVEMENT/CONCRETING OF CADLIT ROAD Brgy. Cadlit, Buenavista, Quezon 1.	The Municipal Government of Buenavista, Quezon, through the 20% Development  Fund intends to apply the sum of One Million Seven Hundred Three Thousand Six </t>
  </si>
  <si>
    <t xml:space="preserve"> Republic of the Philippines Province of Leyte Municipality of Hilongos Barangay Baas REQUEST FOR QUOTATION  JUNE 24, 2020          Date               ______________________ _______________________ _______________________ __________________________________</t>
  </si>
  <si>
    <t xml:space="preserve"> Representation Expenses</t>
  </si>
  <si>
    <t xml:space="preserve"> see attached RFQ To be delivered at Taft Eastern, Samar &amp;                                 Oras Eastern, Samar</t>
  </si>
  <si>
    <t xml:space="preserve"> Pls. see attached TOR</t>
  </si>
  <si>
    <t xml:space="preserve"> see attached RFQ To be delivered at Isabel, Leyte &amp;                                Hindang, Leyte</t>
  </si>
  <si>
    <t xml:space="preserve"> THE NATIONAL IRRIGATION ADMINISTRATION-SCIMO, THROUGH THE FUND 501 HAS THE APPROVED BUDGET FOR THE CONTRACT (ABC) AMOUNTING  ONE HUNDRED THIRTY-NINE THOUSAND NINE HUNDRED SIXTY-FIVE PESOS ONLY (139,965.00).  QUOTATION RECEIVED IN EXCESS OF THE ABC SHALL B</t>
  </si>
  <si>
    <t xml:space="preserve"> Supply and delivery of Calcium Carbonate (apog) for use in ASF Qty.	Unit	Item/Description				                                ABC 						 833	sacks	Calcium carboanate (apog) 40 kgs/sack		   499,800.00  		Delivery: On site				 		San Fernando Pampanga: 500 sa</t>
  </si>
  <si>
    <t xml:space="preserve"> Republic of the Philippines Office of the Punong Barangay BIDS AND AWARDS COMMITTEE Callitong, Burgos, Ilocos Sur INVITATION TO BID The Barangay Government of Callitong, Burgos, Ilocos Sur, through its Bids and Awards Committee (BAC) invites bids for the </t>
  </si>
  <si>
    <t xml:space="preserve"> The AGRICULTURAL TRAINING INSTITUTE-REGIONAL TRAINING CENTER (ATI-RTC) X, through the 2020 General Appropriations Act intends to apply the sum of Four Thousand Pesos (P 4,000.00) being the Approved Budget for the Contract (ABC) to payments under the contr</t>
  </si>
  <si>
    <t xml:space="preserve"> 1.0	unit	Camera</t>
  </si>
  <si>
    <t xml:space="preserve"> QTY UNIT DESCRIPTION 25 pcs Pillows 30 pcs bed sheet (single) (4"x36"x75") 30 pcs blanket 2 pcs bed sheet (double) (4"x48"75") 4 pcs bed sheet (4"x60"x75") 2 pcs bed sheet (4'x48"x80") 1 pc. foam (4"x48"75") 1 pc. foam (4"x60"75") 14 pcs (single) (4'x36"7</t>
  </si>
  <si>
    <t xml:space="preserve"> Provision of Food good for 20 pax during the conduct of Enterprise Assessment and Action Planning Workshop Date: June 30-July 1-3, 2020 Venue: Sumilihon, Butuan City -see attached RFQ Form menu details.</t>
  </si>
  <si>
    <t xml:space="preserve"> 1st Quarter Supply ( BUSCO CES) 2020</t>
  </si>
  <si>
    <t xml:space="preserve"> Province of Cotabato Municipality of Arakan Barangay Allab BIDS AND AWARDS COMMITTEE Invitation for Negotiated Procurement Installation of Culverts 	In view of the two (2) failed public bidding the Barangay Government of Allab Bids and Awards Committee (B</t>
  </si>
  <si>
    <t xml:space="preserve"> Installation and Implementation of pre-developed and customized Application Systems for establishment of centralized Data Banking System Website for International Connection of the City Government of Dipolog(Electronic Government Application Systems) -Pha</t>
  </si>
  <si>
    <t xml:space="preserve"> INVITATION TO BID FOR THE IMPROVEMENT/CONCRETING OF CAWA-CABONG ROAD Brgy. Cawa-Cabong, Buenavista, Quezon 1.	The Municipal Government of Buenavista, Quezon, through the 20% Development  Fund intends to apply the sum of One Million Pesos (P1,000,000.00) b</t>
  </si>
  <si>
    <t xml:space="preserve"> 15 PAIL WHITE LATEX PAINT 16 LITERS 15 CAN RAW SIENNA 1/4 LITER 6 PAIL SPANISH RED 16 LITERS 5 PCS PAINT BRUSH 3" 6 PCS ROLLER BRUSH 9" 2 PCS PAINT TRAY 2 PCS PAINT BRUSH 2" 1 GAL CHOCOLATE BROWN</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</si>
  <si>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</si>
  <si>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50	Piece	Faucet Great Volume, ABC 250.00/pc 6	Set	Water Closet (Flush Valve Type), ABC 5,000.00/set 50	Piece	Stainless Faucet (Lever Type), ABC 170.00/pc 10	Piece	Stainless Lavator Sink (Single), ABC 550.00/pc 5	Piece	Stainless Lavatory Sink (Double), ABC</t>
  </si>
  <si>
    <t xml:space="preserve"> 2	units	Supply, fabricate, &amp; install Analok Framed Swing			 		Clear Glass Door includes accessories;			 					 		1.1) ORM Wall B			 		1.2) CONFERENCE ROOM Wall A			 		1.3) MAIN ENTRY Wall F &amp; G			 					 		Note: 			 		Please refer to the attached Wall Eleva</t>
  </si>
  <si>
    <t xml:space="preserve"> 2	pcs	"Built-in signal amplification, HDMI                  480i/ 576i/ 480p/ 576p/ 720p/ 1080i/ 1080p, dvi                  480P/576I/ 576P/720I/ 720P/1080I/1080P,Plug and-play. Connecy eight HDMI displayers at the same                   time to the same</t>
  </si>
  <si>
    <t xml:space="preserve"> 19,500pcs, printing, and delivery of wall calendar with the meal hanger hook pages: 12pages( 1 month/page) Size: 18inchesx24inches Colors: Full color all pages Process: 4 colors printing offset- calendar template( soft copy) to be provided by a printer In</t>
  </si>
  <si>
    <t xml:space="preserve"> Repair &amp; Maintenance of Buildings</t>
  </si>
  <si>
    <t xml:space="preserve"> SUPPLY AND DELIVERY OF POST-HARVEST EQUIPMENT					 	Refrigerator/Freezer ( 2 units upright and 2 units chest type)			4	Units	 100,000.00  	 SPECIFICATIONS: - 8ft Chest Type Freezer with Sliding Glass Door - Gross Volume 220 ltrs - Net Weight 45kgs - Compr</t>
  </si>
  <si>
    <t xml:space="preserve"> Republic of the Philippines Province of Leyte Municipality of Hilongos Barangay Mana-ul REQUEST FOR QUOTATION  JUNE 24, 2020          Date               ______________________ _______________________ _______________________ _______________________________</t>
  </si>
  <si>
    <t xml:space="preserve"> Procurement of Computer Devices and Supplies Handheld Radio Quantity=8 USB Voice Recorder Quantity=2 Gabel Quantity=1 SD Card Quantity=2 Terms and Conditions: 1. The RFQ form must be fully accomplished. If an item is not available, type/write N/A, No entr</t>
  </si>
  <si>
    <t xml:space="preserve"> 5  units  Monitor 24", frameless</t>
  </si>
  <si>
    <t xml:space="preserve"> 40pcs Flashdrives</t>
  </si>
  <si>
    <t xml:space="preserve"> 1      cart       Ink Cart, Epson L5190, 003, Black 2      cart       Ink Cart, Epson L5190, 003, Cyan 3      cart       Ink Cart, Epson L5190, 003, Magenta 4      cart       Ink Cart, Epson L5190, 003, Yellow 5      cart       Ink Cart, Canon G4010, Blac</t>
  </si>
  <si>
    <t xml:space="preserve"> Republic of the Philippines Bohol Island State University-Calape Campus Calape, Bohol Invitation to Bid for the Procurement of I.T. Equipment  PRN- 614-2020 1.	The Bohol Island State University Calape Campus,  through the Special Trust Fund (STF) 2020  in</t>
  </si>
  <si>
    <t xml:space="preserve"> CONSTRUCTION MATERIALS	 3/4" CRUSHED ROCKS	30 CU.M MIXING SAND	29 CU.M 2"X2"X10' R/L	80 PCS                     X-X-X-X-X-X-X</t>
  </si>
  <si>
    <t xml:space="preserve"> ITB 2020-11 1.	The SUGAR REGULATORY ADMINISTRATION, through the SRA Corporate Operating Budget 2019 intends to apply the sum of Sixteen Million Eight Hundred Forty Thousand Three Hundred Pesos (₱16,840,300.00) being the Approved Budget for the Contract (A</t>
  </si>
  <si>
    <t xml:space="preserve"> I.	Please quote your lowest price inclusive of VAT on the projects listed below, subject to the Terms and Conditions of this RFQ, and submit your sealed quotation not later than 10:00 AM of June 29, 2020 upon posting of this RFQ at DepED-Division of Cotab</t>
  </si>
  <si>
    <t xml:space="preserve"> REPAIR AND MAINTENANCE OF BARANGAY HALL OF BRGY. MAPULO</t>
  </si>
  <si>
    <t xml:space="preserve"> 500  copies     Panagsurat ken Arte (Writing) 500  copies     Pagbasaan iti Araling Panlipunan (Araling Panlipunan) 500  copies     Panangyam-ammo iti Siensia</t>
  </si>
  <si>
    <t xml:space="preserve"> RFQ for Electrical Supplies please see attached file...</t>
  </si>
  <si>
    <t xml:space="preserve"> 4 bags pre starter feed, 50 kgs etc. OPAG</t>
  </si>
  <si>
    <t xml:space="preserve"> Requesting for Quotation (RFQ) for PR No. 2002004  Interested suppliers are invited to submit Sealed Price Quotations for the above listed items. The Request for Quotation (RFQ) for may be obtained from Mr. Albert A. Camarillo City General Services Office</t>
  </si>
  <si>
    <t xml:space="preserve"> Meals and Accommodation for 2 days live-in workshop for the conduct of Re-Orientation/Workshop on Processing of Public Land Application, Land Laws, Rules and Policies on Land Disposition and Basic Land Tenure Appraisal Guide Snacks (1 am, 1 pm - February </t>
  </si>
  <si>
    <t xml:space="preserve"> Unit 	Item Description	Quantity 		 		 pcs.	C Purlen 2 x 3 3/16 x 6m	26 pcs.	1 1/2 Angle Bar	24 pcs.	Round Bar	23 pcs.	Angle Bar #2	15 gal.	Red Lead Paints	1 kls.	Welding Rod	4 pcs.	G I Pipe	7 pcs.	G I Sheet	7 bag	Cement	3 pcs.	Screw	12</t>
  </si>
  <si>
    <t xml:space="preserve"> Supply and delivery of the following:								 											 1	4	carts.	Toner Cartridge, DR261CL - Black - for Brother 9330CDW						Php__________		Php__________ 											 2	2	carts.	Toner Cartridge, DR261CL - Cyan - for Brother 9330CDW						Php__________		</t>
  </si>
  <si>
    <t xml:space="preserve"> Various Construction Materials and Supplies  (attached request for quotation)</t>
  </si>
  <si>
    <t xml:space="preserve"> 1	set	Digital Repeater  	 	Dual Mode (DMR/Analog) Repeater System with  	 	Repeater Unit, Power Supplies, Tower, Antennas, Cables,  	 	Lightning Surge Protectors, Connectors/ Adapters,   	 	Repeater Cabinet/ Enclosure, Other Accessories, System  	 	Design</t>
  </si>
  <si>
    <t xml:space="preserve"> Supply and Delivery of animal vaccination and insemination</t>
  </si>
  <si>
    <t xml:space="preserve"> Purchase of School Supplies</t>
  </si>
  <si>
    <t xml:space="preserve"> One (1) Lot Neuro-Psychological Test for Thirty Four (34) SD Personnel, per BSP Terms of Reference</t>
  </si>
  <si>
    <t xml:space="preserve"> Tomato (Diamante/Red Gold), etc. OPAG</t>
  </si>
  <si>
    <t xml:space="preserve"> 1 lot - Van Rental/Transportation Services with LTFRB Permit, LTO Permit, Drivers Licensed, Passenger Van (Yellow            Plate).  good for 10 days training activity. Requirements:   2020 PhilGeps Registration, Business Permit, Mayors Permit, Tax Clear</t>
  </si>
  <si>
    <t xml:space="preserve"> June 24, 2020 REQUEST FOR QUOTATION (RFQ) VARIOUS DRUGS AND MEDICINES 1.	The Batangas Medical Center hereinafter referred to as the “Purchaser” now request for submission of price proposal for the procurement of the aforesaid item described in the Technic</t>
  </si>
  <si>
    <t xml:space="preserve"> PROJECT TITLE : CONSTRUCTION OF MULTI-PURPOSE BUILDING (GEN SET HOUSING - PHASE I) PROJECT LOCATION : BRGY NORTH POBLACION, JOSE PANGANIBAN, CAMARINES NORTE DURATION : 80 DAYS ABC : 500,000.00 SOURCE OF FUND 20% CDF 2020</t>
  </si>
  <si>
    <t xml:space="preserve"> See attached file.......</t>
  </si>
  <si>
    <t xml:space="preserve"> REQUEST FOR QUOTATION (RFQ) The MO  through the Bids and Awards Committee (BAC) of the Municipality of Banaybanay, Davao Oriental hereby notifies and invites you to submit your quotation/bid for the hereunder proposed project/request, viz: FOR REPAIR AND </t>
  </si>
  <si>
    <t xml:space="preserve"> Republic of the Philippines  Province of Isabela  Municipality of Jones    INVITATION TO BID FOR   Supply of Materials, Labor and Equipment for the Rehabilitation/Construction of  Sports Complex Solicitation No.: Infra-2020-09   		The Municipality of Jone</t>
  </si>
  <si>
    <t xml:space="preserve"> 40 pax Board and Lodging:  (cover meals and accommodation of participants for 5 full days starting A.M Snacks on the first day and will end at Breakfast on the last day)  with the ff inclusions:  *Triple room sharing  *Complete toiletries  *Hot and Cold S</t>
  </si>
  <si>
    <t xml:space="preserve"> 100 pieces  Water Meter 1/2" Class C (Good Quality) Metrological Performance   * ISO 4064 class C in all positions   * Very low starting flow allows leakage detection Climate Resistant   * The design  resists ambient temperature up      to 50 degree celci</t>
  </si>
  <si>
    <t xml:space="preserve"> 10 ea PMA Portrait &amp; 3 others</t>
  </si>
  <si>
    <t xml:space="preserve"> Contract ID: 20PL0122 Contract Name: Concreting of Brgy. Wagud to Brgy. Ballayangon FMR, Brgy. Wagud and Brgy. Ballayangon, Pinukpuk, Kalinga Contract Location: Pinukpuk, Kalinga Brief Description: Construction of 848m x 5.0m x 0.23m thk PCCP Approved Bud</t>
  </si>
  <si>
    <t xml:space="preserve"> ITEM NO.      ITEM OF WORK                                                           UNIT        QUANTITY      1            STREET LIGHTS POSTS WITH CONCRETE PEDESTAL        UNIT             6      2            ELECTRICAL WIRES                            </t>
  </si>
  <si>
    <t xml:space="preserve"> &gt; The Municipality of San Quintin Abra now invites bids for the REHABILITATION / IMPROVEMENT OF POBLACION AND MAUSOC FARM TO MARKET ROAD  with the following items: 100(1)	CLEARING &amp; GRUBBING with STRIPPING	sq.m.	1,455.00 102(2)a.	ROADWAY EXCAVATION (SURPL</t>
  </si>
  <si>
    <t xml:space="preserve"> 1 lot labor &amp; materials for the water proofing of roofings at Mayo Hall Annex and Ramos Hall</t>
  </si>
  <si>
    <t xml:space="preserve"> REQUEST FOR PRICE QUOTATION Please quote your lowest price on the item/s listed below, subject to the General Conditions and stating the shortest time of delivery and submit  your  PRICE  QUOTATION duly  signed  by  your representative not later than two </t>
  </si>
  <si>
    <t xml:space="preserve"> 1	pcs	100	SMART @ 300	 2	pcs	7	SMART @ 100	 3	pcs	114	GLOBE @ 300	 4	pcs	9	GLOBE @ 100	 				 				 				 				 				 				 The following documents must be included in the 	 submission of sealed price quotation:	 1. Mayor's/Business Permit	 2. PhilGEPS Registra</t>
  </si>
  <si>
    <t xml:space="preserve"> 1.	200	piece/s	Aciclovir 400mg tab 2.	6	box/es	Aluminum+magnesium tab 100s 3.	50	piece/s	ATS 5000iu 4.	3	box/es	Atorvastatin 40mg tab 100s 5.	5	box/es	Butamirate Citrate tab 100s 6.	4	box/es	Captopril 25mg tab 100s 7.	2	box/es	Calcium Carbonate tab 100s 8</t>
  </si>
  <si>
    <t xml:space="preserve"> I. Steel and Roofing Works ( includes trusses and pre-painted long span roof) II. Masonry Works with plastering</t>
  </si>
  <si>
    <t xml:space="preserve"> ITEM: 19 pcs Saddle Clamp,FTE 100mmØ x 50mm							 12 pcs Saddle Clamp,FTE 75mmØ x 50mm							 32 pcs Straight ball Valve w/Lockwing MTE x FTE 50mmØ							 32 pcs Brass Straight ball Valve w/Lockwing FTE x FTE 50mmØ							 33 pcs Female Adaptor 90° Bend (</t>
  </si>
  <si>
    <t xml:space="preserve"> Republic of the Philippines PROVINCE OF NORTHERN SAMAR BIDS AND AWARDS COMMITTEE Catarman Invitation to Bid NS-06-25-20-02 Construction of Access Road at Allen Transport Terminal Allen, Northern Samar 1.	The Provincial Government of Northern Samar, throug</t>
  </si>
  <si>
    <t xml:space="preserve"> Requesting for Quotation (RFQ) for PR No. 2002288  Interested suppliers are invited to submit Sealed Price Quotations for the above listed items. The Request for Quotation (RFQ) for may be obtained from Mr. Albert A. Camarillo City General Services Office</t>
  </si>
  <si>
    <t xml:space="preserve"> 1.) 50 pcs. Thermal Gun Scanner 2.) 50 pcs. Hands Free Alcohol Dispenser with Foot Bath</t>
  </si>
  <si>
    <t xml:space="preserve"> SSS Sagay Branch Supply of Diesel Fuel   for the period July 2020 to December 2020 Specifications: 1757 liters - Diesel or approved equal for automotive - Euro 4 compliant - Biodegradable and Non-Toxic - Fuel Station must be accessible to SSS Sagay  Branc</t>
  </si>
  <si>
    <t xml:space="preserve"> Day 1 80	pax	Breakfast:Rice, Corned Beef, egg and bottled water 80	pax	Lunch: Rice, Pork Barbeque, buttered corn, bottled water 80	pax	Dinner: Rice, Chicken Terriyaki, Chopsuey, Bottled water Day 2		 80	pax	Breakfast: Rice, Pork steak with talong, bottled</t>
  </si>
  <si>
    <t xml:space="preserve"> Republic of Philippines								 City of Canlaon								 OFFICE OF THE BIDS AND AWARDS COMMITTEE								 REQUEST FOR SEALED QUOTATION								 								 				Date:	24-Jun-20			 				Quotation No.:	2020-06-0156			 				PR No.:	2020-06-156-E			 				Department:	SP</t>
  </si>
  <si>
    <t xml:space="preserve"> Supply and Delivery of One (1) Unit Multi Cab (Rebuilt/Reconditioned), Ugac Sur, Tuguegarao City</t>
  </si>
  <si>
    <t xml:space="preserve"> INVITATION TO BID (Rebid) Procurement of Construction Materials for the Construction of Perimeter Niches, Brgy. Dajay, Surallah The LGU Surallah through the Bids and Awards Committee (BAC) is inviting suppliers to bid for the supply and delivery of GOODS/</t>
  </si>
  <si>
    <t xml:space="preserve"> ITEM: 15 bags Portland Cement (40 kg.)							 30 length Deformed Reinforced Bars (16mmØ)							 25 cu.m Aggregate Sub Base (item 200)							 PURPOSE: FOR THE PROJECT:PROP.67 UNITS OF 100MMØ,150MMØ,200MMØ,300MMØ INSTALLATION OF BOUNDARY VALVE FOR DMA.(NON-</t>
  </si>
  <si>
    <t xml:space="preserve"> DRUGS AND MEDICINES</t>
  </si>
  <si>
    <t xml:space="preserve"> PR2020-06-025 - Purchase and Delivery of Airconditioning and Aircondnitioning System for use of this office</t>
  </si>
  <si>
    <t xml:space="preserve"> 1	Automotive Diesel Fuel 							1	lot	204,380.00 										 	Terms &amp; Condition:									 	1. The supplier shall start to serve within three (3) days upon receipt of the advice									 	           from the project engineer until the project is completed.	</t>
  </si>
  <si>
    <t xml:space="preserve"> INVITATION TO BID 25 June 2020 The Barangay Bilucao through its Bids and Awards Committee (BAC) invites suppliers/manufacturers/distributors/contractors to apply for eligibility to bid for the hereunder project: Name of Project	:	SUPPLY AND DELIVERY OF MA</t>
  </si>
  <si>
    <t xml:space="preserve"> 1	Automotive Diesel Fuel							1	LOT	122,599.87 	Terms &amp; Conditions:									 	1. The supplier shall start to serve within three (3) days upon receipt of the advice									 	           from the project engineer until the project is completed.									 	2</t>
  </si>
  <si>
    <t xml:space="preserve"> 1 lot Electrical Works</t>
  </si>
  <si>
    <t xml:space="preserve"> INVITATION TO BID The Nueva Ecija University of Science and Technology through its Bids and Awards Committee (BAC), invites entities to bid for the hereunder projects: 	 Name of Project: ELECTRO-MECHANICAL AND INDUSTRIAL MOTOR CONTROL TRAINING SYSTEM Loca</t>
  </si>
  <si>
    <t xml:space="preserve"> For the purchase of Livestocks (Swine) and Starter Feeds under ARBold Move for Deliverance of our Farmers from COVID-19 Pandemic, ARBold Project. Area of delivery: Brgy. Salngan, Passi City Brgy. Agtabo, Passi City Brgy. Devera, Sara, Iloilo 30 Heads - Sw</t>
  </si>
  <si>
    <t xml:space="preserve"> Republic of the Philippines DONA ROSARIO ELEMENTARY SCHOOL Quezon City REQUEST FOR QUOTATION “IMPROVEMENT OF COMPUTER ROOM” 1.	The DONA ROSARIO Elementary School through its Bids and Awards Committee invites interested firms/supplier to submit quotation t</t>
  </si>
  <si>
    <t xml:space="preserve"> purchase of materials &amp; installation of Solar streetlights of the Barangay</t>
  </si>
  <si>
    <t xml:space="preserve"> Supply and Delivery of various  Construction Supply</t>
  </si>
  <si>
    <t xml:space="preserve"> Garbage Truck 1 1 pcs Turbo Charger Assy (3778529) Wiper Arm w/blade</t>
  </si>
  <si>
    <t xml:space="preserve"> 6 Set Tire 7.50 x 16, 14 ply, CT 163, mixed lug with inner tube and flap PVET</t>
  </si>
  <si>
    <t xml:space="preserve"> RFQ for the subscription of Newspaper for use of City Library Batangas City</t>
  </si>
  <si>
    <t xml:space="preserve"> To provide labor and materials for the production of Flyers</t>
  </si>
  <si>
    <t xml:space="preserve"> Date:		 				Quotation No. 		 ____________________________						 _____________________________						     Please quote your lowest price on the item/s listed below subject to the General Conditions on the last page, stating the shortest time of delivery and</t>
  </si>
  <si>
    <t xml:space="preserve"> Republic of the Philippines Province of Bohol Municipality of Tubigon BIDS AND AWARDS COMMITTEE Tel/Fax. No. (038) 508-8059 REQUEST FOR QUOTATION For Small Value Procurement under Sec. 53.9 of the Revised IRR of R.A. 9184 Quotation No: 2020-06-304 P. R. N</t>
  </si>
  <si>
    <t xml:space="preserve"> The Department of Agriculture-RFO 3, invites interested suppliers to submit quotations/proposals for the hereunder requirement, to wit: 1	unit	 LAPTOP  		Intel Core i7-8565U Processor (8M Cache up to  		4.60 GHz/8GB Ram/1TB HDD/15.6" FHD Display\ 		 2GB N</t>
  </si>
  <si>
    <t xml:space="preserve"> Supply and Delivery of 15 pcs. Automatic Touchless Alcohol Dispenser. 1. Automatic Touchless Alcohol Dispenser 2. Hand Disinfection Alcohol Spray Machine Sensor 3. With Stand 4. Capacity - 1000ml</t>
  </si>
  <si>
    <t xml:space="preserve"> REQUEST FOR QUOTATION 								Date: 		6/04/2020 								RFQ No.: 	20-53 Name of Business: 		_____________________________________________________ Address: 			_____________________________________________________ Name of Store:		___________________________</t>
  </si>
  <si>
    <t xml:space="preserve"> 1.	The Municipal Government of Placer, through the Budget for the contract approved by the respective Sanggunian-  General Fund CY 2020 intends to apply the sum of One Million Five Hundred Thousand Pesos (₱ 1,500,000.00) being the Approved Budget for the </t>
  </si>
  <si>
    <t xml:space="preserve"> Underwear, ladies, size:small	90	pcs Underwear, ladies, size:medium	90	pcs Underwear, ladies, size:large	90	pcs Underwear, Mens, size: small	20	pcs T-shirt, size:small	90	pcs T-shirt, size:medium	90	pcs T-shirt, size:large	90	pcs Pajama, size: small	90	pc</t>
  </si>
  <si>
    <t xml:space="preserve"> Office</t>
  </si>
  <si>
    <t xml:space="preserve"> Reproduction of Detailed Lesson Plans from Kinder to Grade Six</t>
  </si>
  <si>
    <t xml:space="preserve"> Supply and delivery of disinfectant for use in ASF Qty.	Unit	Item/Description				ABC 						 742	sachet	DISINFECTANT, powder, 100g/sachet,               100 pcs/box				 259,700.00  		Formulation:				 		- At least minimum 80% Potassium monopersulfate				 		</t>
  </si>
  <si>
    <t xml:space="preserve"> Please see attached Terms of Reference (TOR) for more details. Kindly submit your quotation at Procurement Management Division, Admin and Finance Building, CCP Complex, Roxas Boulevard, Pasay City, 8:00am to 5:00pm</t>
  </si>
  <si>
    <t xml:space="preserve"> 1.	The Provincial Government of Davao del Norte, through General Fund Annual Budget CY 2020 hereby invites all interested PhilGEPS registered suppliers to submit bids for the procurement of goods. Bids received in excess of the ABC shall be automatically </t>
  </si>
  <si>
    <t xml:space="preserve"> INVITATION TO BID FOR THE INITIAL CONSTRUCTION OF STANDARD DAY CARE CENTER Brgy. San Pablo, Buenavista, Quezon 1.	The Municipal Government of Buenavista, Quezon through the 20% Development Fund intends to apply the sum of Five Hundred Thousand Pesos (P500</t>
  </si>
  <si>
    <t xml:space="preserve"> 1 unit - Rostrum Acrylic Rostrum on 3/8 thick clear/frosted finish with stainless square tube on double side for bracing 1x1 on 1.5mm thick stainless base, with SRA logo mounted on front Height: 1.2m Width: 80cm *For inquiries, please call: 8929-3633 and </t>
  </si>
  <si>
    <t xml:space="preserve"> 1		unit		BRAND NEW SIX WHEELER MEAT VAN TRUCK 	 					- 4X2, Non Refrigerated Aluminum Van Back Door Type, 4 cylinder in  					line, water cooled Turbo-intercooler, common rail direct injection, Diesel 					Engine w/ Engine Power ranges from 170HP to 190HP</t>
  </si>
  <si>
    <t xml:space="preserve"> Republic of the Philippines Province of Davao Oriental CITY OF MATI REQUEST FOR QUOTATION 			 Date:	23 JUNE 2020 RFQ No.:	0825-2020 Name of Company: __________________________________________________________________________________________________________</t>
  </si>
  <si>
    <t xml:space="preserve"> PR No. 				CMD 2020-01-012							 											 	Please quote your lowest price on the item/s listed below, subject to the General Conditions, 										 stating the shortest time of delivery and submit your quotation duly signed by  your authorized 							</t>
  </si>
  <si>
    <t xml:space="preserve"> Labor and materials: Repair, Retrofitting and Conversion of existing entrance gate of PSTC LU and RML I to sliding gate Please see attached document.</t>
  </si>
  <si>
    <t xml:space="preserve"> 1. 20 pails Hydraulics Oil AW68 2. 230 ltrs Diesel Engine Oil SAE40 Purpose: For various garbage truck use/GSO</t>
  </si>
  <si>
    <t xml:space="preserve"> 1.	6	piece/s	Tubular Steel (1.5mm x 50 x 100mm x 6m) 2.	25	piece/s	Tubular Steel (1.5mm x 50 x 50mm x 6m) 3.	3	sheet/s	1.4mm x 1200 x 2400mm Steel Plate 4.	12	piece/s	12mm x 12mm x 6m Square Bar 5.	3	piece/s	76mm x 3m GI Pipe (sch. 40) 6.	3	piece/s	63mm x</t>
  </si>
  <si>
    <t xml:space="preserve"> The PHILIPPINE SCIENCE HIGH SCHOOL SYSTEM - WESTERN VISAYAS CAMPUS (PSHS-WVC) intends to apply the sum of NINETY THOUSAND PESOS ONLY (P90,000.00) being the Approved Budget for the Contract (ABC) to pay for the contract for the Project: Procurement of Labo</t>
  </si>
  <si>
    <t xml:space="preserve"> CONTRACT OF SERVICES FOR THE UPDATING OF PROTECTED AREA MANAGEMENT PLAN OF PALAUI ISLAND PROTECTED LANDSCAPE AND SEASCAPE (PIPLS) THE SERVICE WILL INCLUDE  FACILITATION OF THE FOLLOWING ACTIVITIES: -PROVIDE DESCRIPTION OF THE PROTECTED AREA ACCORDING TO T</t>
  </si>
  <si>
    <t xml:space="preserve"> Date of Bidding: July 10,2020 Time of Bidding: 10:00 a.m Place of Bidding: Multi-Purpose Hall,Brgy.Sto.Rosario,Anilao,Iloilo 72 heads Piglets ( at least at the average of 10-12 kgs body weight)</t>
  </si>
  <si>
    <t xml:space="preserve"> 1.3x4' ft. tarpaulins (1000) pcs xxxxxxxxxxxxx</t>
  </si>
  <si>
    <t xml:space="preserve"> Please see attached documents.</t>
  </si>
  <si>
    <t xml:space="preserve"> PLEASE SEE ATTACHED COMPONENTS</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</si>
  <si>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</si>
  <si>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Republic of the Philippines Provincial Government of Northern Samar BIDS and AWARDS COMMITTEE REQUEST FOR QUOTATION Date: June 22, 2020 RFQ No.: 20-06-0175 Name of Supplier (Business Name): _________________________________________ Address: ______________</t>
  </si>
  <si>
    <t xml:space="preserve"> 8,000 Liters Diesel Fuel</t>
  </si>
  <si>
    <t xml:space="preserve"> Pls. see attached file</t>
  </si>
  <si>
    <t xml:space="preserve"> please see attached RFQ</t>
  </si>
  <si>
    <t xml:space="preserve"> REQUEST FOR QUOTATION (RFQ) The VMO  through the Bids and Awards Committee (BAC) of the Municipality of Banaybanay, Davao Oriental hereby notifies and invites you to submit your quotation/bid for the hereunder proposed project/request, viz: MONITORING OF </t>
  </si>
  <si>
    <t xml:space="preserve"> items:     216 reams bondpaper long     assorted printer ink     alcohol     chlorine disinfectant location: gutalac 1 district, gutalac, zamboanga del norte approved budget for the contract: php84,000.00 opening of bids: july 2, 2020    2:00 pm submissio</t>
  </si>
  <si>
    <t xml:space="preserve"> Requesting for Quotation (RFQ) for PR No. 2002159  Interested suppliers are invited to submit Sealed Price Quotations for the above listed items. The Request for Quotation (RFQ) for may be obtained from Mr. Albert A. Camarillo City General Services Office</t>
  </si>
  <si>
    <t xml:space="preserve"> Province of Cotabato Municipality of Arakan Barangay Napalico BIDS AND AWARDS COMMITTEE Invitation for Negotiated Procurement Installation of Water Tank 	In view of the two (2) failed public bidding the Barangay Government of Napalico Bids and Awards Comm</t>
  </si>
  <si>
    <t xml:space="preserve"> Republic of the Philippines Cordillera Administrative Region PROVINCIAL GOVERNMENT OF ABRA Bangued Invitation to Bid for  REHABILITATION OF BITUEN-LACUB ROAD 1.	The Provincial Government of Abra, through the Budget for the Contract Approved by the Sanggun</t>
  </si>
  <si>
    <t xml:space="preserve"> Delivery and Supply of Construction Materials</t>
  </si>
  <si>
    <t xml:space="preserve"> Republic of the Philippines BATANGAS STATE UNIVERSITY ARASOF-Nasugbu Nasugbu, Batangas Tel. Nos. (043) 416-0350loc 105 REQUEST FOR QUOTATION Purchase of Tools &amp; Equipments for Repair and Maintenance of BatStateU-ARASOF Nasugbu The Batangas State Universit</t>
  </si>
  <si>
    <t xml:space="preserve"> AGRICULTURAL SUPPLIES 60	Bottle	Insecticide-green label, cypermethrin (1lit./bottle) 60	Lit	Herbicide (post-emergence) bispyribac sodium 120	Lit	Herbicide (post-emergence) fluazipop-p-butyl, for rice and corn 1	Lit	Molluscide (bayluscide) 250ml 1	Lit	Herb</t>
  </si>
  <si>
    <t xml:space="preserve"> AGRICULTURAL SUPPLIES 525	Bag	Complete Fertilizer (14-14-14) granular, 50kgs./bag 78	Bag	Ammophos granules (16-20-0) @ 50kgs 108	Bag	Muriate of Potash (0-0-60) 50kgs/bag 600	Bag	Organic Fertilizer (processed chicken manure) 10	Bag	Vermicompost</t>
  </si>
  <si>
    <t xml:space="preserve"> Supply and Delivery of Construction Materials</t>
  </si>
  <si>
    <t xml:space="preserve"> Requesting for Quotation (RFQ) for PR No. 2002388  Interested suppliers are invited to submit Sealed Price Quotations for the above listed items. The Request for Quotation (RFQ) for may be obtained from Mr. Albert A. Camarillo City General Services Office</t>
  </si>
  <si>
    <t xml:space="preserve"> 4,100 DIESEL 30      BRAKE FLUID</t>
  </si>
  <si>
    <t xml:space="preserve"> AGRICULTURAL SUPPLIES 15	Pcs	Scythe, metal with handle 255	Pcs	Sacks, white 50kgs. Capacity 431	Pcs	Bamboo poles, 6ft. 3 width 20	Rolls	Plastic Tying straw, black 12	Rolls	Drying nets 2x15 meters 10	Pcs	Bilao, class A, large size 20	Pcs	Hand gloves, rubbe</t>
  </si>
  <si>
    <t xml:space="preserve"> 1 9 REAM/S PAPER - BOND-SUBS.16,LONG (8 1/2"X13") 2 6 REAM/S PAPER - BOOK A4,210MMX297MM,MIN OF 70GSM 3 6 REAM/S PAPER - BOOK LEGAL,216MMX330MM(8-1/2"X13"),MIN OF 70GSM 4 5 ROLL/S TAPE - MASKING #1 5 10 PC/S BALLPEN - ORDINARY, BLACK 6 10 PC/S BALLPEN - O</t>
  </si>
  <si>
    <t xml:space="preserve"> Construction Safety and Health	 1.00 	 lot  Aggregate Base Coarse	 240.00 	 cu.m.  Reinforcing Steel	 26.64 	 kgs  Portland Cement Concrete Pavement	 135.00 	 cu.m.  Formworks	 840.00 	 sq.m.  Sub-Project Billboard	 1.00 	 unit</t>
  </si>
  <si>
    <t xml:space="preserve"> Republic of the Philippines Province of Oriental Mindoro  MUNICIPALITY OF NAUJAN BIDS AND AWARDS COMMITTEE INVITATION TO BID SUPPLY AND DELIVERY OF TWO (2) UNITS EMERGENCY TRANSPORT VEHICLE TO BE USED IN THE OFFICE OF THE MUNICIPAL MAYOR, NAUJAN, ORIENTAL</t>
  </si>
  <si>
    <t xml:space="preserve"> Republic of the Philippines PROVINCE OF ZAMBOANGA SIBUGAY Municipality of Buug BIDS AND AWARDS COMMITTEE Invitation to Bid for Procurement of Construction Materials for the Concreting of Pathway 1.	The  Barangay Villacastor of Buug, through the 20 % Devel</t>
  </si>
  <si>
    <t xml:space="preserve"> One Hundred Sixty (160) ea Waste Basket Plastic (small) &amp; 21 other line items</t>
  </si>
  <si>
    <t xml:space="preserve"> 500 pack Disposable Nurse Cap, 100's/pack 20-10162</t>
  </si>
  <si>
    <t xml:space="preserve"> Demolition, Installation of Doors and windows, Floor Tiles and Repainting</t>
  </si>
  <si>
    <t xml:space="preserve"> Requesting for Quotation (RFQ) for PR No. 2002150  Interested suppliers are invited to submit Sealed Price Quotations for the above listed items. The Request for Quotation (RFQ) for may be obtained from Mr. Albert A. Camarillo City General Services Office</t>
  </si>
  <si>
    <t xml:space="preserve"> The Western Mindanao State University, through its Bids and Awards Committee (BAC), is inviting PhilGEPS registered suppliers to apply for eligibility and to submit bids for the item mentioned hereunder:  1.)	2	Units	Computer Table 			* keyboard sliding d</t>
  </si>
  <si>
    <t xml:space="preserve"> Republic of the Philippines Province of Cavite Municipality of Naic BIDS AND AWARDS COMMITTEE PB-2020-06-037 INVITATION TO  BID  FABRICATION OF TABLES AND CABINETS OF DIFFERENT OFFICES, NAIC, CAVITE 1.         The Municipal Government of Naic through  202</t>
  </si>
  <si>
    <t xml:space="preserve"> Republic of the Philippines Province of Cotabato Municipality of Arakan BIDS AND AWARDS COMMITTEE REQUEST FOR QUOTATION  	SUPPLY OF RICE FOR WALK IN CLIENT OF SB The Local Government Unit of Arakan is inviting interested suppliers to submit price quotatio</t>
  </si>
  <si>
    <t xml:space="preserve"> Please submit the following documents: FUND 05 A. PhilGEPS Certificate of Registration and Membership in accordance with Section 8.5.2 of the IRR B. Mayor's Permit C. Latest Income and Tax Returns D. Omnibus Sworn Statement 1	cart	INK CART, CANON CL-811, </t>
  </si>
  <si>
    <t xml:space="preserve"> The Western Mindanao State University, through its Bids and Awards Committee (BAC), is inviting PhilGEPS registered suppliers to apply for eligibility and to submit bids for the item mentioned hereunder:  1.)	90	Cans	Insecticide, aerosol type, net content</t>
  </si>
  <si>
    <t xml:space="preserve"> The Western Mindanao State University, through its Bids and Awards Committee (BAC), is inviting PhilGEPS registered suppliers to apply for eligibility and to submit bids for the item mentioned hereunder:  1.)	4	Units	Aircondition 			Specification: 			* wi</t>
  </si>
  <si>
    <t xml:space="preserve"> Item No.	Description	Unit	Quantity 1	Gen. Cleaning of Evaporator and Rear and  recharging of Freon R1314A and Leak Test	Set	1 2	Wiper Motor Assembly	Set	1 3	Hand brake Assembly Front	Set	1 4	Headlight Bulb 	Pcs	2 5	Brake Pads Front	Pc	1 6	Heater Plug	Pcs	</t>
  </si>
  <si>
    <t xml:space="preserve"> The Local  Government   Unit  of General  Santos  City, through  the  GENERAL FUND CY 2020  intends  to apply  the sum of three hundred thousand and xx / 100 Pesos Only (300,000.00)   being  the Approved  Budget  for the Contract   (ABC) to payments  unde</t>
  </si>
  <si>
    <t xml:space="preserve"> The Local  Government   Unit  of General  Santos  City, through  the  GENERAL FUND CY 2020  intends  to apply  the sum of two hundred forty four thousand eight hundred twenty five and xx / 100 Pesos Only (244,825.00)   being  the Approved  Budget  for the</t>
  </si>
  <si>
    <t xml:space="preserve"> Printing of Tarpaulin (COVID-19 Advocacy) 2 pcs printing of 8X6 Feet COVID-19 Advocacy Tarpaulin</t>
  </si>
  <si>
    <t xml:space="preserve"> HOP-QR-PRO-005 Republic of the Philippines Department of Health DAVAO REGIONAL MEDICAL CENTER Apokon, Tagum City BIDS AND AWARDS COMMITTEE INVITATION TO BID FOR THE SUPPLY &amp; DELIVERY OF PHACOEMULSIFICATION-VITRECTOMY MACHINE 1.	The Davao Regional Medical </t>
  </si>
  <si>
    <t xml:space="preserve"> 1 unit Laptop W/ Printer</t>
  </si>
  <si>
    <t xml:space="preserve"> Other Supplies and Materials</t>
  </si>
  <si>
    <t xml:space="preserve"> The Western Mindanao State University, through its Bids and Awards Committee (BAC), is inviting PhilGEPS registered suppliers to apply for eligibility and to submit bids for the item mentioned hereunder:  1.)	14	Units	Steel Filing Cabinet 			Specification</t>
  </si>
  <si>
    <t xml:space="preserve"> Construction Safety and Health	 1.00 	 lot  Aggregate Base Coarse	 84.00 	 cu.m.  Reinforcing Steel	 109.52 	 kgs  Portland Cement Concrete Pavement	 102.41 	 cu.m.  Formworks	 733.33 	 bd.ft.  Sub-Project Billboard	 1.00 	 unit</t>
  </si>
  <si>
    <t xml:space="preserve"> Pls. see attached file.</t>
  </si>
  <si>
    <t xml:space="preserve"> DPD Chlorine Reagent</t>
  </si>
  <si>
    <t xml:space="preserve"> NOTICE FOR NEGOTIATED PROCUREMENT Publication: June 25, 2020 Closing: June 29, 2020 Name of Project	Renovation of Health Center at Barangay San Julian Sur, Vigan City Approved Budget for the Contract	 ₱238,102.23 Contract Period:	22.5 days Item No.	SCOPE </t>
  </si>
  <si>
    <t xml:space="preserve"> Republic of the Philippines Province of Cotabato Municipality of Arakan BIDS AND AWARDS COMMITTEE REQUEST FOR QUOTATION  	SUPPLY OF RICE FOR WALK IN CLIENT OF MAYOR The Local Government Unit of Arakan is inviting interested suppliers to submit price quota</t>
  </si>
  <si>
    <t xml:space="preserve"> The Local  Government   Unit  of General  Santos  City, through  the  GENERAL FUND CY 2020  intends  to apply  the sum of thirty five thousand and xx / 100 Pesos Only (35,000.00)   being  the Approved  Budget  for the Contract   (ABC) to payments  under  </t>
  </si>
  <si>
    <t xml:space="preserve"> 20-10191</t>
  </si>
  <si>
    <t xml:space="preserve"> See attached RFQ</t>
  </si>
  <si>
    <t xml:space="preserve"> The Western Mindanao State University, through its Bids and Awards Committee (BAC), is inviting PhilGEPS registered suppliers to apply for eligibility and to submit bids for the item mentioned hereunder:  1.)	3	Cartridges	Printer Ink Cartridge for Compute</t>
  </si>
  <si>
    <t xml:space="preserve"> 1.	The Local Government Unit of Las Nieves, through the Budget for the Contract Approved by the Sanggunian (20% DF) intends to apply the sum of fifty five five thousand pesos only (Php 55,000.00) being the Approved Budget for the Contract (ABC) to payment</t>
  </si>
  <si>
    <t xml:space="preserve"> 5 units Time Attendance Terminal</t>
  </si>
  <si>
    <t xml:space="preserve"> Please see attached Request for Quotation and Specifications. Other document relative to this procurement is available at the BAC Secretariat.</t>
  </si>
  <si>
    <t xml:space="preserve"> REQUEST FOR QUOTATION TERMS OF PAYMENT:   30 DAYS PRICE VALIDITY:        120 DAYS</t>
  </si>
  <si>
    <t xml:space="preserve"> item no.       quantity         unit              description  1.                    10             pcs.          electrical tape  2.                    100           pcs.          LED Bulb 9 watts  3.                    50             pcs.          recep</t>
  </si>
  <si>
    <t xml:space="preserve"> Glucose Monitoring Strip, 50 Strips / Canister-----------------------------1500 qty -------------P500.00/cnstr X-X-X-X-X-X-X-X-X-X-X-X-X-X-X-X-X-X PURPOSE: Purchase Request for the use of Nursing Unit / Centralization (for 3 months Consumption) Fax your P</t>
  </si>
  <si>
    <t xml:space="preserve"> 1	Lot	Upgrading of existing water purification system of, ABC 350,000.00/lot 		Dietary Department. (Reverse osmosis system)				 		Note: Supply and Re installation of FO machine to new				 		location of dietary unit to phase 1				 RFQ#06-0674</t>
  </si>
  <si>
    <t xml:space="preserve"> various supplies</t>
  </si>
  <si>
    <t xml:space="preserve"> 1	50	bag	Tilapia Frymash Booster 25 kgs/bag 2	50	bag	Tilapia Starter/Fingerling floating Pellet 25 kgs/bag 3	234	bag	Tilapia Grower Floating Pellet 25 kgs/bag 4	23	bag	Tilapia Floating Finisher 25 kgs/bag 5	5	bag	Inorganic Fertilizer 16-20-0 50 kgs/bag 		</t>
  </si>
  <si>
    <t xml:space="preserve"> NOTICE FOR NEGOTIATED PROCUREMENT Publication: June 25, 2020 Closing: June 29, 2020 Name of Project	Construction Of Barangay Storage Facility at Barangay Purok a Dackel, Vigan City Approved Budget for the Contract	 ₱99,068.82 Contract Period:	9 days Item </t>
  </si>
  <si>
    <t xml:space="preserve"> The Local  Government   Unit  of General  Santos  City, through  the  GENERAL FUND CY 2020  intends  to apply  the sum of two hundred sixty thousand and xx / 100 Pesos Only (260,000.00)   being  the Approved  Budget  for the Contract   (ABC) to payments  </t>
  </si>
  <si>
    <t xml:space="preserve"> 3 Units Disinfectant fogging device 10 Pcs Personal Protective Equipment 10 Pcs Protective Face Shield 100 Packs Face / Surgical Mask (50 pcs) 5 Bottles Disinfectant Liquid</t>
  </si>
  <si>
    <t xml:space="preserve"> Please see attachment for other specifications: Other related activities include: 1. Mobilization and Demobilization 2. Siteworks   -site cleaning and removal    - Stakes and Batter board lumbers 3. Excavation and Backfilling  - excavation of foundation -</t>
  </si>
  <si>
    <t xml:space="preserve"> The Local  Government   Unit  of General  Santos  City, through  the  GENERAL FUND CY 2020  intends  to apply  the sum of one hundred eight thousand four hundred and xx / 100 Pesos Only (108,400.00)   being  the Approved  Budget  for the Contract   (ABC) </t>
  </si>
  <si>
    <t xml:space="preserve"> The Barangay Government of Daanghari, through the Annual Budget 2020 duly approved by the Sangguniang Panlungsod intends to apply the sum of Three Hundred Seventy Five Thousand Pesos (P 375,000.00) being the Approved Budget for the Contract (ABC) to payme</t>
  </si>
  <si>
    <t xml:space="preserve"> Please quote your lowest price inclusive of VAT on the item/s listed below, subject to the Terms and Conditions of this RFQ, and submit your quotation duly signed by your representative not later than June 29, 2020 at Bids and Awards Committee LGU-Capooca</t>
  </si>
  <si>
    <t xml:space="preserve"> Construction Safety and Health	 1.00 	 lot  Aggregate Base Coarse	 14.40 	 cu.m.  Excavation and Backfilling	 87.50 	 cu.m.  Structural Concrete	 39.00 	 cu.m.  Reinforcing Steel	 2,157.84 	 cu.m.  Portland Cement Concrete Pavement	 14.63 	 cu.m.  Formwor</t>
  </si>
  <si>
    <t xml:space="preserve"> The Local  Government   Unit  of General  Santos  City, through  the  GENERAL FUND CY 2020  intends  to apply  the sum of one million two hundred eighty one thousand four hundred ten and 80 / 100 Pesos Only (1,281,410.80)   being  the Approved  Budget  fo</t>
  </si>
  <si>
    <t xml:space="preserve"> LGU - Magsingal, Ilocos Sur				 Project Reference Number 						 	 Repair/Maintenance of Elementary Schools   							(Alangan, Arinaya, Barbarit, Caraisan)			                                                            	 Magsingal, Ilocos Sur 					   Standa</t>
  </si>
  <si>
    <t xml:space="preserve"> The Local  Government   Unit  of General  Santos  City, through  the  GENERAL FUND CY 2020  intends  to apply  the sum of three million eight hundred ninety four thousand one hundred five and 88 / 100 Pesos Only (3,894,105.88)   being  the Approved  Budge</t>
  </si>
  <si>
    <t xml:space="preserve"> Smart Mobile Load card worth 700.00 every month from August to December</t>
  </si>
  <si>
    <t xml:space="preserve"> Procurement of Spareparts for Police Mobile Patrol (Hilux) of Laak PNP - Laak, Davao De Oro with an ABC of Php. 66,500.00.</t>
  </si>
  <si>
    <t xml:space="preserve"> Fertilizer, (Complete 14-14-14 NPK/ha) 50 kg.bag = 400	bag The complete schedule of activities is listed below as follows: 1.	Issuance of Bid Documents – June 25 – July 3, 2020 at the BAC Office, Municipal Hall Bldg. SNIN 2.	Opening of Bids – July 3, 2020</t>
  </si>
  <si>
    <t xml:space="preserve"> INVITATION TO BID FOR THE INITIAL CONSTRUCTION OF STANDARD DAY CARE CENTER Brgy. Masaya, Buenavista, Quezon 1.	The Municipal Government of Buenavista, Quezon through the 20% Development Fund and LCPC Fund intends to apply the sum of Five Hundred Thousand </t>
  </si>
  <si>
    <t xml:space="preserve"> THE NATIONAL IRRIGATION ADMINISTRATION-SCIMO, THROUGH THE FUND 501 HAS THE APPROVED BUDGET FOR THE CONTRACT (ABC) AMOUNTING   EIGHTY-TWO THOUSAND FIVE HUNDRED PESOS ONLY (82,500.00).  QUOTATION RECEIVED IN EXCESS OF THE ABC SHALL BE AUTOMATICALLY REJECTED</t>
  </si>
  <si>
    <t xml:space="preserve"> battery of service vehicle</t>
  </si>
  <si>
    <t xml:space="preserve"> 1.	30	bottle/s	Alcohol 70% 2.	12	box/es	Chromic 2-0 3.	2	box/es	Cord Clamp 4.	10	roll/s	Cotton 5.	100	piece/s	Folley bag catheter #16 6.	30	piece/s	Folley bag catheter #14 7.	10	roll/s	Gauze 8.	24	bottle/s	Hydrogen Peroxide 9.	20	tube/s	Ky Jelly 10.	30	pi</t>
  </si>
  <si>
    <t xml:space="preserve"> BIDS AND AWARDS COMMITTEE (BAC) REQUEST FOR QUOTATION Date:  June 24, 2020 The Department of Education City Schools Division of Biñan City through its Bids and Awards Committee (BAC) intends to procure Supply and Delivery of IT Supplies  for use of SDO OS</t>
  </si>
  <si>
    <t xml:space="preserve"> 1	30	bags	Portland Cement				 2	22	pcs	1/4" Marine Plywood				 3	9	pcs	1/2" Marine Plywood				 4	6	pcs	1/4" Ordinary Plywood				 5	5	bdls	Lauan 2"x2"x8"				 6	1	kg	C.W Nails 3"				 7	3	kg	C.W Nails 1 1/2"				 8	2	kg	C.W Nails 2"				 9	2	kg	C.W Nails 1"			</t>
  </si>
  <si>
    <t xml:space="preserve"> Supply and Delivery of Materials to be used in Military, Police, and Security Equipment.</t>
  </si>
  <si>
    <t xml:space="preserve"> INVITATION FOR SUBMISSION OF QUOTATION (SMALL VALUE PROCUREMENT)   The ZAMBOANGA SIBUGAY POLYTECHNIC INSTITUTE (ZSPI) formerly KABASALAN INSTITUTE OF TECHNOLOGY (KIT), through the General Appropriations Act (GAA) of 2018 intends to apply the sum TWO HUNDR</t>
  </si>
  <si>
    <t xml:space="preserve"> Republic of the Philippines Department of Education Region VI – Western Visayas Division of Aklan District of Buruanga BURUANGA VOCATIONAL SCHOOL Katipunan, Buruanga, Aklan 	 REQUEST FOR QUOTATION (RFQ) Project No: DepED-RO6-D1-BVS-TOOLSANDEQUIPMENT(ALSES</t>
  </si>
  <si>
    <t xml:space="preserve"> 2230 L DIESEL</t>
  </si>
  <si>
    <t xml:space="preserve"> The Local  Government   Unit  of General  Santos  City, through  the  GENERAL FUND CY 2020  intends  to apply  the sum of four million three hundred ninety one thousand four hundred fifty and xx / 100 Pesos Only (4,391,450.00)   being  the Approved  Budge</t>
  </si>
  <si>
    <t xml:space="preserve"> Date of Bidding: July 10,2020 Time of Bidding: 11:00 a.m Place of Bidding: Multi-Purpose Hall,Brgy.Sto,Rosario,Anilao,Iloilo 36 SACKS HOG STARTER (59KG/SACK) 36 SACKS X4.8 HOG GROWER (50KG/SACK) 36 SACKS FINISHER (50KG/SACK) DEWORMER AND VITAMINS: 36 BOTT</t>
  </si>
  <si>
    <t xml:space="preserve"> INVITATION TO BID FOR THE PURCHASE OF PURCHASE OF ONE (1) UNIT AMBULANCE FOR THE USE OF LGU-HINIGARAN, NEGROS OCCIDENTAL 1.	The Local Government Unit of Hinigaran, through  Capital Outlay (Office of the Municipal Mayor)  intends to apply the sum of P 1,90</t>
  </si>
  <si>
    <t xml:space="preserve"> I. PURCHASE OF MATERIALS AND INSTALLATION OF LIGHTS 1 LOT</t>
  </si>
  <si>
    <t xml:space="preserve"> REQUEST FOR QUOTATION											 SUPPLY AND DELIVERY OF PESTICIDE STANDARD											 Small Value											 											 INSTRUCTION:										              	 1.	Suppliers are required to read the instructions and fill all the blanks properly. 										 </t>
  </si>
  <si>
    <t xml:space="preserve"> General Requirements	1	lot Earthworks	124	sq.m. Concreting Works (includes ramp on fill)	34.7	cu.m. Formworks	130.33	sq.m. Reinforcing Steel Bars	 2,751.66 	kgs. Masonry Works (with plant boxes)	223.32	sq.m. Doors &amp; Windows	 1.00 	lot Steel Works	 2,690.0</t>
  </si>
  <si>
    <t xml:space="preserve"> PRINTING OF MODULES</t>
  </si>
  <si>
    <t xml:space="preserve"> QTY	UNIT	ITEM DESCRIPTION 		  92.29 	sq.m.	Siteworks  171.76 	sq.m.	Scaffolding &amp; Formworks  3,692.72 	kg/s	Steel Reinforcement Works  28.30 	cu.m.	Concrete Works  244.95 	sq.m.	Masonry Works  113.70 	sq.m.	Roof &amp; Roof Framing Works  12.81 	sq.m.	Fabricat</t>
  </si>
  <si>
    <t xml:space="preserve"> Please see attached Request for Quotation (RFQ) for more details. For concern / query: you may contact us through BAC.SDOBenguet@gmail.com from Mondays to Fridays (8:00AM to 4:00PM) except on holidays.</t>
  </si>
  <si>
    <t xml:space="preserve"> Republic of the Philippines Province of Davao Oriental CITY OF MATI REQUEST FOR QUOTATION 			 Date:	23 JUNE 2020 RFQ No.:	0816-2020 Name of Company: __________________________________________________________________________________________________________</t>
  </si>
  <si>
    <t xml:space="preserve"> Republic of the Philippines             Province of Sultan Kudarat          CITY OF TACURONG            BARANGAY NEW CARMEN BIDS AND AWARDS COMMITTEE                                               INVITATION TO BID    								                            Th</t>
  </si>
  <si>
    <t xml:space="preserve"> Repair of Official Service Vehicle- SFU 778 Dismantling/Tinsmith/Installation/Painting Works Electrical Works Glass Works Floor Matting Upholstery</t>
  </si>
  <si>
    <t xml:space="preserve"> Republika ng Pilipinas BAYAN NG CORTES Surigao del Sur BIDS AND AWARDS COMMITTEE 						           June 25, 2020 INVITATION TO BID FOR Equipment to be use in the Computerization Program (RPTAS) Phase 1    	The Local Government Unit of Cortes through LGU PR</t>
  </si>
  <si>
    <t xml:space="preserve"> PES Purchase of Office Supplies 2020-Supplemental for ABC Php 162,000.00 600	reams	Bond paper, Long Size	 35	bot	Ink  (Black) for Epson L003	 35	bot	Ink  (Magenta) for Epson L003	 30	bot	Ink (Cyan) for Epson L003	 30	bot	Ink (Yellow) for Epson L003</t>
  </si>
  <si>
    <t xml:space="preserve"> 10	Unit	Office Cabinet (Adjustable), ABC 15,000.00/unit 		Adjustable shelves files storage steel cabinet				 		Item Weight: 45-50kg, Dimension: 90Wx40Dx195H				 		Material type:Steel with 2 doors &amp; 4 adjustable shelves				 		Swing doors w/ 130 degrees ope</t>
  </si>
  <si>
    <t xml:space="preserve"> 6	gals	Bleach 6	gals	Alcohol 2	pcs	Thermal scanner</t>
  </si>
  <si>
    <t xml:space="preserve"> R/M OF BUILDINGS</t>
  </si>
  <si>
    <t xml:space="preserve"> Item No.	Unit	Qty.	Description 			 1	pcs.	10	Paper, Multi-purpose (copy) legal, 2	pcs.	10	Paper Multi copy - A4 3	pcs.	15	Sign Pen Black 4	pcs.	5	Pencil, lead, w/ eraser, aspara 5	pcs.	15	Correction Tape 6	pcs.	4	Push Pin, hammer head type, 100s/ box 7	pc</t>
  </si>
  <si>
    <t xml:space="preserve"> -	Provide internet connectivity to 11 E/S and 2 H/S w/ hands-on orientation on operation of learning management system: a. Asuncion E/S; b. Barabar E/S; c. Bingao E/S; d. Bugnay E/S; e.	Catuguing E/S; f. Cayetano Bumanglag E/S; g. Eladio V Barangan E/S; h</t>
  </si>
  <si>
    <t xml:space="preserve"> REQUEST FOR QUOTATION (RFQ) PUBLICATION OF DENR EMB MC NO. 2020-012 RE: CONFISCATION GUIDELINES OF ILLEGAL CHEMICALS, CHEMICAL SUBSTANCES OF HAZARDOUS WASTE UNDER RA 6969 UNDER EMB-LD RFQ NO. EMB-LD-SVP-G-087-6-24-2020- 2020-0599 1.	The Department of Envi</t>
  </si>
  <si>
    <t xml:space="preserve"> 2 units of Epson printer to be used for the reproduction of Modules.</t>
  </si>
  <si>
    <t xml:space="preserve"> 90	pcs	Safety goggles</t>
  </si>
  <si>
    <t xml:space="preserve"> The Local  Government   Unit  of General  Santos  City, through  the  GENERAL FUND CY 2020  intends  to apply  the sum of one hundred forty thousand and xx / 100 Pesos Only (140,000.00)   being  the Approved  Budget  for the Contract   (ABC) to payments  </t>
  </si>
  <si>
    <t xml:space="preserve"> 1. The total approved budget for the contract for the SUPPLY AND DELIVERY OF PE TUBING 1/2 SDR11 is PhP 180,000.00 2. Price quotations must include all taxes, duties, and/or levies payable and must be valid for 30 days. 3. Suppliers must specify the BRAND</t>
  </si>
  <si>
    <t xml:space="preserve"> Procurement of Various Office Supplies and Consumables of Mun. Accountant's Office - Laak, Davao De Oro with an ABC of Php. 177,595.00.</t>
  </si>
  <si>
    <t xml:space="preserve"> 2450	PC/S	OSCA GROCERIES PURCHASE BOOKLET 		COVER; FOLDCOTE #12 		INK; FULL COLOR 		SIZE; 4 3/4 "X7" FOLDED 		INSIDE; SUBTANCE 20 BOND 2450	BOOK/S	OSCA MEDICINE BOOKLET 		COVER; FOLDCOTE #12 		INK; FULL COLOR 		SIZE; 5 3/4"X7" FOLDED 		INSIDE; SUBTANCE 20</t>
  </si>
  <si>
    <t xml:space="preserve"> 1.	200	box/es	Azithromycin 3's 2.	2	unit/s	Thermal Gun</t>
  </si>
  <si>
    <t xml:space="preserve"> Food Assistance for LSIs, Health Workers and Utility Workers under Quarantine Facilities June 10-11</t>
  </si>
  <si>
    <t xml:space="preserve"> Procurement of Water Dispense, Printer and Plastic Storage Box of Mun. Accountant's Office - Laak, Davao De Oro with an ABC Php. 65,700.00.</t>
  </si>
  <si>
    <t xml:space="preserve"> Job Order:				 1	Unit	Repairs and maintenance of PRDP RPCO 8 vehicle (Strada) with plate number NH2879				 						 		(Please see attached Repair Estimate)				 						 						 						 						 						 						 TERMS AND CONDITIONS:				 That the bidder shall:				 1.</t>
  </si>
  <si>
    <t xml:space="preserve"> Please see attached scope of works for more detailed instruction. All interested supplier may submit their sealed quotations together with the following documentary requirements: 1. Current Mayor's / business permit 2. Omnibus Sworn Statement 3. Income/ B</t>
  </si>
  <si>
    <t xml:space="preserve"> Procurement Materials for the Completion of Poblacion 06 Community Stage</t>
  </si>
  <si>
    <t xml:space="preserve"> Kleinsasser Scissors,Curved Right, Working Length 23cms------------------------- 1 qty -------------P63,690.00/unit Kleinsasser Scissors,Curved Left, Working Length 23cms--------------------------- 1 qty-------------P63,690.00/unit NE Fiber Optic Light Ca</t>
  </si>
  <si>
    <t xml:space="preserve"> Item			Quantity			Unit of			Item Description														 No.						Issue																	 1			1,560			Pcs			Face Mask</t>
  </si>
  <si>
    <t xml:space="preserve"> Procurement of Chair</t>
  </si>
  <si>
    <t xml:space="preserve"> The Local  Government   Unit  of General  Santos  City, through  the  GENERAL FUND CY 2020  intends  to apply  the sum of one million two hundred eighty eight thousand one hundred seventy three and xx / 100 Pesos Only (1,288,173.00)   being  the Approved </t>
  </si>
  <si>
    <t xml:space="preserve"> 1 lot</t>
  </si>
  <si>
    <t xml:space="preserve"> 1	600	pc	Admission bag, transparent, customized				 2	600	pc	Expandable Pillow, Medium size				 3	600	pc	Face towel, towellette				 4	200	pc	Bath soap, 60g sachet				 5	600	pc	Measuring glass 210ml, plastic				 6	100	pack	Tissue paper, 2ply, 12rolls/pack </t>
  </si>
  <si>
    <t xml:space="preserve"> Project Reference	004-06-2020 				Name of the Project	Fuel for Light Vehicles and Generator Sets 				Location of the Project	ZFA, San Ramon, Zamboanga City REQUEST FOR QUOTATION					 					 				Date:	 				Quotation No.	 Company Name: ______________________</t>
  </si>
  <si>
    <t xml:space="preserve"> QTY	UNIT	ITEM DESCRIPTION 		  1.00 	l.s.	Mobilization/Demobilization  22.00 	unit/s	Construction of Manhole with Cover  118.00 	pc/s	Reinforced Concrete Pipe Culvert Laying  70.00 	lmtr	Construction of Line Canal I  170.00 	lmtr	Construction of Line Canal</t>
  </si>
  <si>
    <t xml:space="preserve"> INVITATION TO BID  FOR THE Supply and Delivery of Various Drugs and Medicines I.B. No. 2020 - 0028 							 1. The LGU-Cabanatuan City, through the General Fund FY 2020 intends to apply the sum of One Million Five Hundred Fifty Thousand Four Hundred Ten Pe</t>
  </si>
  <si>
    <t xml:space="preserve"> OPENING OF BIDS IN DSWD FO IX DELIVERY IN HOME FOR WOMEN MAMPANG ZC		 PROCUREMENT FOR THE FF.: 1 LOT PERSONAL APPARELS		 125	PCS	JOGGING PANTS 125	PCS	SANDO FOR GIRLS (ASST. SIZES S-XXL) 125	PCS	PAJAMA TERNO (ASST. SIZES S, M, L, XL, XXL) 100	DOZEN	UNDERW</t>
  </si>
  <si>
    <t xml:space="preserve"> The AGRICULTURAL TRAINING INSTITUTE-REGIONAL TRAINING CENTER (ATI-RTC) X, through the 2020 General Appropriations Act intends to apply the sum of Eight Thousand Five hundred Pesos (P 8,500.00) being the Approved Budget for the Contract (ABC) to payments u</t>
  </si>
  <si>
    <t xml:space="preserve"> 4000	COPIES	LEAFLETS AND PAMPHLETS</t>
  </si>
  <si>
    <t xml:space="preserve"> Republic of the Philippines Province of Davao Oriental CITY OF MATI REQUEST FOR QUOTATION 			 Date:	23 JUNE 2020 RFQ No.:	0817-2020 Name of Company: __________________________________________________________________________________________________________</t>
  </si>
  <si>
    <t xml:space="preserve"> Unit 	Item Description	                                    Quantity 		 pax	DEPLOYMENT OF THREE (3) SECURITY GUARDS	3 	For Six (6) Months July - December 2020	 	LOCATION:	 	          LTFRB REGIONAL FRANCHISING REGULATORY OFFICE XI and IMPOUNDING AREA</t>
  </si>
  <si>
    <t xml:space="preserve"> (1 lot)Provision of labor and materials for the installation/retrofitting of 1-unit container van as records/archives room with the following scope: fabrication of exit doors with roof cover provision of double walling with insulator provision of stairs w</t>
  </si>
  <si>
    <t xml:space="preserve"> Provision of Plastic Drums for Municipal Agriculture Office, Municipality of Bongabong, Oriental Mindoro</t>
  </si>
  <si>
    <t xml:space="preserve"> Procurement of Laboratory Facilities</t>
  </si>
  <si>
    <t xml:space="preserve"> Republic of the Philippines PROVINCE OF ZAMBOANGA SIBUGAY Municipality of Roseller T. Lim OFFICE OF THE BAC CHAIRMAN Barangay Palmera INVITATION TO BID 						June 24, 2020 To All Interested Bidders: Notice is hereby served that sealed bid be received for </t>
  </si>
  <si>
    <t xml:space="preserve"> The Department of Agriculture-RFO 3, invites interested suppliers to submit quotations/proposals for the hereunder requirement, to wit: 		FARM SUPPLIES/MATERIALS	 2	piece	Barrel digging (bareta), heavy duty	 8	piece	Bolo, knife bolo, sraight back blade, h</t>
  </si>
  <si>
    <t xml:space="preserve"> Purchase of Raincoat for Marshals @ Samal, Bataan 35 pcs - Raincoat</t>
  </si>
  <si>
    <t xml:space="preserve"> INVITATION TO BID The DPWH-Tarlac 1st District Engineering Office, through its Bids and Awards Committee (BAC), invites contractors to submit bids for the following Contract: 			 a.	Procurement ID/Contract ID 	: 	20CJ0154  	Contract Name 	: 	Repair/ Maint</t>
  </si>
  <si>
    <t xml:space="preserve"> Republic of the Philippines MUNICIPALITY OF MARIHATAG SURIGAO DEL SUR Bids and Awards Committee   INVITATION TO BID      COMPLETION OF VIEW DECK TREEPARK                                                                                                      </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</si>
  <si>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</si>
  <si>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12	PC/S	MEDAL- ACRYLIC 1		OTHER SUPPLIES AND MATERIALS - TOKEN 29	PC/S	PLAQUE ACRYLIC 7X9 87	PC/S	PLASTIC CERTIFICATE HOLDER 87 1	PC/S	TROPHY - ACRYLIC 10 INCHES (BFP) 2	PC/S	TROPHY - ACRYLIC 11 INCHES (BFP) 1	PC/S	TROPHY - ACRYLIC 12 INCHES (BFP)</t>
  </si>
  <si>
    <t xml:space="preserve"> RADIATOR TANK W/ CVAP L-21",H-22" 4 ROWS	1 PC.	 UPPER RADIATOR HOSE W/ 2 PCS HOSE CLIP (4D56)	1 PC.	 LOWER RADIATOR HOSE W/ 2 PCS HOSE CLIP (4D56)	1 PC.	 ENGINE SUPPORT (D4BA) AS PER SAMPLE	4 PCS	 CLUTCH DISC	1 PC.	 CLUTC COVER	1 PC.	 FLEXIBLE HOSE (MALE </t>
  </si>
  <si>
    <t xml:space="preserve"> REQUEST FOR QUOTATION											 SUPPLY AND DELIVERY OF GC FILTERS AND TRAPS											 SMALL VALUE PROCUREMENT											 											 INSTRUCTION:										              	 	1.	Supplies are required to read the instructions and fill all the blanks properl</t>
  </si>
  <si>
    <t xml:space="preserve"> The Local  Government   Unit  of General  Santos  City, through  the  GENERAL FUND CY 2020  intends  to apply  the sum of one million four hundred thirty thousand and xx / 100 Pesos Only (1,430,000.00)   being  the Approved  Budget  for the Contract   (AB</t>
  </si>
  <si>
    <t xml:space="preserve"> RFQ - UNIT COST PER ITEM 1 UNIT OF 16 CHANNEL-HIWATCH NETWORK VIDEO RECORDER (NVR)  2 UNITS OF 2.0 MP IR NETWORK BULLET CAMERA 6 UNITS OF 2.0 MP IR NETWORK DOME CAMERA  1 UNIT OF 4-PORTS 100MBPS UNMANAGED PoE SWITCH  1 UNIT OF 4 TB HARD DISK DRIVE FOR SUR</t>
  </si>
  <si>
    <t xml:space="preserve"> 1 1 PC/S INK - EPSON - CYAN T6642 2 1 PC/S INK - EPSON - MAGENTA T6643 3 1 PC/S INK - EPSON - YELLOW T6644 4 5 PC/S PEN - SIGN C4-BLACK 5 15 REAM/S PAPER - BOND,PG,A4,210MMX297MM,70GSM. 6 15 REAM/S PAPER - BOND,PG,LEGAL,216MMX330MM(8-1/2"X13") 70 GSM 7 50</t>
  </si>
  <si>
    <t xml:space="preserve"> QTY	UNIT	ITEM DESCRIPTION 		  20.13 	cu.m.	Concrete Works  139.24 	sq.m.	Masonry Works  124.80 	sq.m.	Roofing Works  14.00 	set/s	Installation of Doors  8.00 	sq.m.	Installation of Windows  1.00 	l.s.	Plumbing Works  1.00 	l.s.	Electrical Works  72.96 	sq</t>
  </si>
  <si>
    <t xml:space="preserve"> Republic of the Philippines								 Province of Antique								 Municipality of Sibalom								 -oOo-								 BIDS AND AWARS COMMITTEE								 INVITATION TO PARTICIPATE IN THE ALTERNATIVE MODE OF PROCUREMENT								 								 NNP-2020-VI-29-01								 Smal</t>
  </si>
  <si>
    <t xml:space="preserve"> 1	LOT	SUPPLY AND INSTALLATION OF STAND-BY POWER, ABC 4,500,000.00/lot 		GENERATOR SET WITH POWER HOUSE TO INCLUDE				 		 AUTOMATIC TRANSFER SWITCH 				 Please see attached RFQ for the technical specifications Note: Please include a brochure for your bid p</t>
  </si>
  <si>
    <t xml:space="preserve"> 136	pcs	washable face mask 136	pcs	gloves 136	pcs	googles 25	pcs	laundry powder (1kg) 10	gal	bleach</t>
  </si>
  <si>
    <t xml:space="preserve"> Republic of the Philippines  Province of Oriental Mindoro  Municipality of Bulalacao  Barangay San Juan    INVITATION TO APPLY FOR ELIGIBILITY AND TO BID    June 24, 2020   1.	The Barangay of San Juan, through 20% Development Fund of CY 2019 intends to ap</t>
  </si>
  <si>
    <t xml:space="preserve"> Science Wonders Grade 5 = 37	pc Sangkan Grade 5 = 37	pc Enfolding Mathematics in Life Grade 5	= 37	pc Siglo Grade 5 = 37	pc Pathways to a Righteous Living Grade 5 = 37	pc Leaps &amp; Nound (Revised ed.) Grade 5 = 37	pc Echoes Grade 5 = 37	pc Improving Self &amp; </t>
  </si>
  <si>
    <t xml:space="preserve"> Project Reference	012-02-20 				Name of the Project	For Office use. 				Location of the Project	ZFA, San Ramon, Zamboanga City REQUEST FOR QUOTATION					 					 				Date:	 				Quotation No.	 Company Name: __________________________________________________	</t>
  </si>
  <si>
    <t xml:space="preserve"> The Local  Government   Unit  of General  Santos  City, through  the  GENERAL FUND CY 2020  intends  to apply  the sum of two million five hundred three thousand one hundred twenty and xx / 100 Pesos Only (2,503,120.00)   being  the Approved  Budget  for </t>
  </si>
  <si>
    <t xml:space="preserve"> Republic of the Philippines				 			Department of Agriculture				 			Bureau of Plant Industry				 Los Banos National Crop Research, Development and Production Support Center							 							 							 							 							 							 REQUEST FOR QUOTATION							 SMALL </t>
  </si>
  <si>
    <t xml:space="preserve"> 1 LOT FABRICATION/INSTALLATION OF WINDOW GRILLS (LABOR AND MATERIALS) 200 LENGTH 3/8" SQUARE BAR (ORANGE) 45 LENGTH 1/4" FLAT BAR  1 BOX WELDING ROD E-40 10 PCS CUTTING DISK 170 PCS 3/8" DIA. EXPANSION BOLT 3 PCS BABY POINT ROLLER 3 GAL RED OXIDE PRIMER 5</t>
  </si>
  <si>
    <t xml:space="preserve"> Ref. Nos./PR Nos./Description: INFRA2020-AG2-007 Supply of Labor and Materials for Repair of Employees Housing Quarter Two (2) Units at NPC Compound, Pawak, Saguiaran, Lanao del Sur and MRSQ, Maria Cristina, Iligan City Repair of Housing No. 12-B-Duplex (</t>
  </si>
  <si>
    <t xml:space="preserve"> Telephone Mobile Expenses</t>
  </si>
  <si>
    <t xml:space="preserve"> Procurement of Laboratory Supplies for the Physical/Laboratory Tests of LGU Employees, Tagudin, Ilocos Sur Attachment: Request for Quotation, Purchase Request</t>
  </si>
  <si>
    <t xml:space="preserve"> The Local  Government   Unit  of General  Santos  City, through  the  DEPED SEF  CY 2020  intends  to apply  the sum of five million nine hundred eighty eight thousand and xx / 100 Pesos Only (5,988,000.00)   being  the Approved  Budget  for the Contract </t>
  </si>
  <si>
    <t xml:space="preserve"> Five (5) scks Rice 50kgs (Well-Milled) and seven (7) other L/I</t>
  </si>
  <si>
    <t xml:space="preserve"> QUOTATION - SEALED CANVASS: Please submit the accomplished OFFICIAL CANVASS FORM before the closing date at PPMD 2nd flr. SSS Main Bldg., East Ave., Quezon City. Submit in Sealed Envelope address to Ms. HYDEE R. RAQUID – Department Manager III, Procuremen</t>
  </si>
  <si>
    <t xml:space="preserve"> High-speed digital master-making/Fully automatic printing Original type Sheet Original Size(min./max.) 90mm x 140mm to 310mm x 435mm (3 17/32 inches x 5 1/2 inches to 12 7/32 inches x 17 1/8 inches) Original Paper Weight 50 gsm to 107 gsm (13-lb bond to 2</t>
  </si>
  <si>
    <t xml:space="preserve"> OPENING OF BIDS IN ZAMBOANGA CITY, DELIVERY IN LILOY ZDN PROCUREMENT FOR THE FF.: 1 UNIT-10 TONNER WING VAN TO TRANSPORT 1,163 FAMILY FOOD PACK TO LILOY ZAMBOANGA DEL NORTE. ITEMS TO TRANSPORT:  FFP=1,183 x 8.5 kg APPROX. 10 TONS *************************</t>
  </si>
  <si>
    <t xml:space="preserve"> The Local  Government   Unit  of General  Santos  City, through  the  GENERAL FUND CY 2020  intends  to apply  the sum of four million five hundred fifty four thousand three hundred fifteen and xx / 100 Pesos Only (4,554,315.00)   being  the Approved  Bud</t>
  </si>
  <si>
    <t xml:space="preserve"> INVITATION TO BID 1.	The Provincial Government of Misamis Oriental, through the Bids and Awards Committee, hereby invites all interested Philgeps registered contractors to submit bids for infrastructure projects stated below. Project Title	Proposed Constr</t>
  </si>
  <si>
    <t xml:space="preserve"> The BARANGAY BALINTAWAK, through its BIDS AND AWARDS COMMITTEE (BAC) invites suppliers/manufacturers/distributors to apply for eligibility and to bid for the hereunder project: Name of Project: CONSTRUCTION OF DAY CARE CENTER Location: Barangay Balintawak</t>
  </si>
  <si>
    <t xml:space="preserve"> 1 lot labor &amp; materials for the repair of Admin office comfort rooms at Yap Hall</t>
  </si>
  <si>
    <t xml:space="preserve"> Pansoy, Sogod, Cebu						Contract Ref. No.-01P-2020 Construction of Two (2) Storey Multi Purpose Building, Pansoy, Sogod, Cebu 		 Standard Form Number: SF-INFR-05 Revised on: July 29, 2004 INVITATION TO BID   The Pansoy, Sogod, Cebu  through its Bids and </t>
  </si>
  <si>
    <t xml:space="preserve"> PURCHASE OF VARIOUS OFFICE SUPPLIES</t>
  </si>
  <si>
    <t xml:space="preserve"> The Local  Government   Unit  of General  Santos  City, through  the  GENERAL FUND CY 2020  intends  to apply  the sum of one million five hundred forty eight thousand three hundred fourteen and xx / 100 Pesos Only (1,548,314.00)   being  the Approved  Bu</t>
  </si>
  <si>
    <t xml:space="preserve"> Date of Bidding: July 10, 2020 Time of Bidding: 9:00 a.m Place of Bidding: Multi-Purpose Hall, Brgy. San Carlos,Anilao,Iloilo MATERIALS: 154	bags	Cement			 15	cu.m	Sand			 24	cu.m	Gravel			 188	pcs	RSB -12mmØx6m			 114	pcs	Rough Lumber 2"x2"x8"			 5	pcs	H</t>
  </si>
  <si>
    <t xml:space="preserve"> Republic of the Philippines Provincial Government of Northern Samar BIDS and AWARDS COMMITTEE REQUEST FOR QUOTATION Date: June 22, 2020 RFQ No.: 20-06-0176 Name of Supplier (Business Name): _________________________________________ Address: ______________</t>
  </si>
  <si>
    <t xml:space="preserve"> Food Assistance for LSIs, Health Workers and Utility Worker under Quarantine Facilities June 17-20, 2020 3 meals</t>
  </si>
  <si>
    <t xml:space="preserve"> Data File Folder w/ Finger Ring	500 Pcs. ● Dimension: Width 75mm (min) 	                        Height 230mm (min)	                        Length 380mm (min)	 ● Material:      Chipboard: 2.5mm thick (min)	                          Leatherette paper and/or</t>
  </si>
  <si>
    <t xml:space="preserve"> Republic of the Philippines Department of Health DAVAO REGIONAL MEDICAL CENTER Apokon, Tagum City BIDS AND AWARDS COMMITTEE INVITATION TO BID FOR THE SUPPLY &amp; DELIVERY OF MEDICAL EQUIPMENT &amp; INSTRUMENTS FOR ORTHOPEDIC USE 1.	The Davao Regional Medical Cen</t>
  </si>
  <si>
    <t xml:space="preserve"> 2	length	Carbon Steel pipe 6" schedule 80 36	pcs.	        Welding mask  8	boxes	Welding Electrode, E-7018, 3.2mm 8	boxes	welding Electrode, E-6011, 3.2mm 7	boxes	Welding Electrode, E-6013, 3.2mm 40	pcs.	        Cutting disc, 100mm 40	pcs	        Griding d</t>
  </si>
  <si>
    <t xml:space="preserve"> Date of Bidding: July 10,2020 Time of Bidding: 10:00 a.m Place of Bidding: Multi-Purpose Hall,Brgy. San Carlos,Anilao,Iloilo MATERIALS: 65	bags	Cement			 12	cu.m	Sand and gravel mixed			 44	pcs	RSB -9mmØx6m			 27	pcs	RSB -10mmØx6m			 6	pcs	Ordinary Plywoo</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</si>
  <si>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</si>
  <si>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1	set	piston 1	set	piston ring 1	set 	liner 1	set	main bearing 1	set	connecting rod bearing 1	pc	overhauling gasket 1	pc	clutch disk 2	pcs	timing belt 2	pcs	tensioneer 1	pc	release bearing 1	pc	pilot bearing 1	pc	oil filter 1	pc	fuel filter 1	set	arm susp</t>
  </si>
  <si>
    <t xml:space="preserve"> Republic of the Philippines Bangsamoro Autonomous Region in Muslim Mindanao MINISTRY OF AGRICULTURE, FISHERIES AND AGRARIAN REFORM BARMM Compound, Gov. Gutierrez Ave., RH-7, Cotabato City, Philippines, 9600 REQUEST FOR SUBMISSION OF PRICE QUOTATION RFQ No</t>
  </si>
  <si>
    <t xml:space="preserve"> ITEM NO.	QTY.	UNIT	ITEMS &amp; DESCRIPTION	 				 1	1	unit	All in One Desktop Computer	 			7th Generation Intel core i5-825OU Processor	 			(6m cache, 3.40 GHz)	 			1TB 3.5' 5400 RPM, 4GB RAM DDR3L 1600MHz Sodimn	 			Intel HD Graphics, 23.8' FHD (1920x1080)	 	</t>
  </si>
  <si>
    <t xml:space="preserve"> Republic of the Philippines DEPARTMENT OF PUBLIC WORKS AND HIGHWAYS PANGASINAN 2ND  DISTRICT ENGINEERING OFFICE  REGIONAL OFFICE I Alvear St., Lingayen, Pangasinan INVITATION TO BID The DPWH Pangasinan 2nd District Engineering Office, through its Bids and</t>
  </si>
  <si>
    <t xml:space="preserve"> REQUEST FOR QUOTATION For Negotiated Procurement thru Small Value Procurement under Sec. 53.9 of the 2016 Revised IRR of RA 9184 Quotation No.:  2020-05-171 (2ND QUOTE) Date: June 24, 2020 PR No.: 20-05-179 PR Date: May 14, 2020 The Metropolitan Tuguegara</t>
  </si>
  <si>
    <t xml:space="preserve"> Item			Quantity			Unit of			Item Description														 No.						Issue																	 1			900			Pcs			Face Shield</t>
  </si>
  <si>
    <t xml:space="preserve"> PGO- PPOC 2 unit Printer- print, copy and scan 1 unit UPS, 220 Vac, Input-output 50/60Hz, capacity-650VA/ 390W 5 pcs Flashdrive, 32GB, high quality 2 pcs Mouse, wireless, optical 1 pc Portable speaker with bluetooth, chargeable, high quality PARACELIS DIS</t>
  </si>
  <si>
    <t xml:space="preserve"> 6 btls anti-bacterial (hand wash) &amp; 19 others</t>
  </si>
  <si>
    <t xml:space="preserve"> Outsourcing of Physico Chemical and Heavy Metal and 	 Microbiological Analyses for Ambient Samples (June-July 2020)	 20	samples	PH	 20	samples	TSS	 20	samples	Color	 20	samples	Ammonia	 20	samples	Nitrate	 20	samples	Phosphate	 20	samples	Oil and Grease	 </t>
  </si>
  <si>
    <t xml:space="preserve"> REQUEST FOR QUOTATION (RFQ) 	The PHILIPPINE PORTS AUTHORITY- SURIGAO PORTS SERVICES, PMO-Surigao, through its Bids and Awards Committee (BAC), hereby notifies entities duly registered with the Philippine Government Electronic Procurement System (PhilGEPS)</t>
  </si>
  <si>
    <t xml:space="preserve"> Republic of the Philippines PROVINCE OF PAMPANGA City of San Fernando INVITATION TO BID NO. 2020-19 MEDIC-BAC INVITATION TO BID FOR PURCHASE REQUEST NO. 20-1488 and 20-1487 The Provincial Government of Pampanga (“Province”) intends to apply the following </t>
  </si>
  <si>
    <t xml:space="preserve"> RFQ-2020-028					 "      (Pursuant to Sec. 54.2 of the Revised Implementing Rules and Regulation of R.A. 9184)  Alternative Mode of Procurement of Supply &amp; Delivery of  Trophies &amp; Sports Supplies at San Jose, Tarlac"					 					 Date:  June 24, 2020	 				 </t>
  </si>
  <si>
    <t xml:space="preserve"> purchase of  assorted Medical supplies, Health products and PPE's  chargeable to school MOOE's</t>
  </si>
  <si>
    <t xml:space="preserve"> Republic of the Philippines Province of Isabela Municipality of Jones Request for Quotation Solicitation No. SVP-2020-15 	The Municipality of Jones, thru the Bids and Awards Committee, will undertake a Small Value Procurement for the “Supply and Delivery </t>
  </si>
  <si>
    <t xml:space="preserve"> REPAIR/REHABILITATION</t>
  </si>
  <si>
    <t xml:space="preserve"> For complete specification, please see attached RFQ at the  associate components link or request...</t>
  </si>
  <si>
    <t xml:space="preserve"> Rental of 1 unit Welding Machine with generator for 28 days</t>
  </si>
  <si>
    <t xml:space="preserve"> 1	set	Desktop Computer 		 - motherboard - GIGAGBYTE GA-A320M-S2H V2 		 - HDD - Western Digital 500GB 		 - RAM/Memory - Elite DDR4 4GB 		 - Processor - AMD athlon 200GE w/ radeon vega 		      Graphics 3.2GHz (Quadcore) 		 - Case - ORION 		 - Keyboard/Mouse</t>
  </si>
  <si>
    <t xml:space="preserve"> General Cleaning/Rep/Recharging/Maint. of 3 Tonners ACU, Split Type ACU, Window Type ACU In Various Offices @ Samal, Bataan 20 ls - General Cleaning of ACU, W/T 10 ls - General Cleaning of ACU, S/T 4 ls - General Cleaning of ACU, 3 tonners 1 ls - Dismantl</t>
  </si>
  <si>
    <t xml:space="preserve"> REQUEST FOR QUOTATION											 SUPPLY AND DELIVERY OF CHEMICALS AND REAGENTS SUPPLIES											 SMALL VALUE											 											 INSTRUCTION:										              	 1.	Suppliers are required to read the instructions and fill all the blanks properly</t>
  </si>
  <si>
    <t xml:space="preserve"> Procurement Materials for the Rehabilitation of Barangay Perimeter Fence</t>
  </si>
  <si>
    <t xml:space="preserve"> Please see attached Invitation to Bid (ITB) and Purchase Request (PR).</t>
  </si>
  <si>
    <t xml:space="preserve"> 1. 4,000 ltrs Diesel Fuel Purpose: Note: the price/s quoted by the supplier shall be valid for a period of seven (7) calendar days from the date of the quotation, and the item/s shall be delivered to the procuring entity regardless of an increase or decre</t>
  </si>
  <si>
    <t xml:space="preserve"> Item			 No.	Qty	Unit	            Items/Description 			 1	7,225	cu m	Common borrow Item 104</t>
  </si>
  <si>
    <t xml:space="preserve"> INVITATION TO BID  FOR THE Supply and Delivery of Medical Supplies I.B. No. 2020 - 0029 							 1. The LGU-Cabanatuan City, through the General Fund FY 2020 intends to apply the sum of One Million Three Hundred Thirty-Seven Thousand Six Hundred Thirty Pes</t>
  </si>
  <si>
    <t xml:space="preserve"> 1	unit	Panel Board Plug-in #7x7 metal type		 1	pc	Panel Breaker bolt-on		 1	lgth	EMT Pipe #1		 1	lgth	PVC Pipe #1 1/2		 45	lgths	PVC Pipe #1/2		 15	lgths	PVC Pipe 3/4"ø		 2	pcs	PVC Elbow #1 1/2		 15	pcs	PVC Elbow 3/4"ø		 25	pcs	PVC Elbow 1/2"ø		 2	pcs	PVC</t>
  </si>
  <si>
    <t xml:space="preserve"> RFQ# 20-06-0210 PR#2020-06-0695 1	Inorganic Fertilizer (16-20-0 -10	bags	 2	Inorganic Fertilizer (14-14-14)-10	bags	 3	Inorganic Fertilizer (46-46-0)-10	bags	 4	Molluscide	-4	liters	 5	Herbicide-	4	liters	 6	Insecticide	-4	liters	 7	Hybrid Rice Seeds (5kl</t>
  </si>
  <si>
    <t xml:space="preserve"> 1	unit	Aircon - 2HP, window type</t>
  </si>
  <si>
    <t xml:space="preserve"> 30 btls aerosol, air freshener, 500 ml &amp; 15 others</t>
  </si>
  <si>
    <t xml:space="preserve"> The Municipality of Tanza, Cavite, through its Bids and Awards Committee (BAC), invites suppliers/manufacturers/distributor/contractors to apply for eligibility and to bid for the hereunder project: 	Name of Project	: PROCUREMENT OF TWO (2) UNITS PASSENGE</t>
  </si>
  <si>
    <t xml:space="preserve"> Republic of the Philippines Department of Public Works and Highways DAVAO ORIENTAL FIRST DISTRICT ENGINEERING OFFICE REGION XI Lucod, Baganga, Davao Oriental INVITATION TO BID ITB No. 2020-036 1.	The Department of Public Works and Highways Davao Oriental </t>
  </si>
  <si>
    <t xml:space="preserve"> School supplies and materials for MOOE2020 1st and 2nd quarter.</t>
  </si>
  <si>
    <t xml:space="preserve"> See attached PDF copy of RFQ</t>
  </si>
  <si>
    <t xml:space="preserve"> 20-10264</t>
  </si>
  <si>
    <t xml:space="preserve"> ITEM NO.	QTY.	UNIT	ITEMS &amp; DESCRIPTION	 				 1	1	unit	IPAD- PRO'	 			12.9'- inch Ipad Pro	 			Wifi + Cellular	 				 				 2	1	unit	HD Webcam built-in dual mics smart 1080P	 			Web Camera USB Pro stream camera for 	 			desktop/laptops</t>
  </si>
  <si>
    <t xml:space="preserve"> Republic of the Philippines Province of Albay Municipality of Sto. Domingo Barangay Lidong Bids and Awards Committee INVITATION TO BID The LGU-Lidong, Sto. Domingo through its Bids and Awards Committee (BAC), invites suppliers/manufacturers/ contractors f</t>
  </si>
  <si>
    <t xml:space="preserve"> Repair &amp; Maintenance ICT Equipment</t>
  </si>
  <si>
    <t xml:space="preserve"> Please see attached canvass (RFQ) form / TOR for complete specifications.</t>
  </si>
  <si>
    <t xml:space="preserve"> 4	units	Digital Thermometer 10	pcs	Digital Thermometer Battery (2032 Lithium) 80	bots	Multivitamins w/ Taurine Drops 30mL,Appetite Enhancer 80	bots	Ascorbic Acid Vit. w/Zinc Drops(40/5mg)30mL 200	bots	Ascorbic Acid Vit. w/ Zinc Syrup (40/5mg)120mL 200	bot</t>
  </si>
  <si>
    <t xml:space="preserve"> Republic of the Philippines PROVINCE OF ZAMBOANGA SIBUGAY Municipality of Roseller T. Lim OFFICE OF THE BAC CHAIRMAN Barangay Calula INVITATION TO BID 						June 24, 2020 To All Interested Bidders: Notice is hereby served that sealed bid be received for p</t>
  </si>
  <si>
    <t xml:space="preserve"> Description Please quote your price inclusive of VAT on the item/s listed below, subject to the Terms and conditions of the RFQ, and submit your quotation duly signed by your representative not later than July 2, 2020 at CGSO for Goods. Upon receipt of at</t>
  </si>
  <si>
    <t xml:space="preserve"> RENTAL OF RISOGRAPH</t>
  </si>
  <si>
    <t xml:space="preserve"> 1.	Antibac, liquid soap, 20's							3	box	1,500.00 2.	Bathsoap							24	pc	20.00 3.	Battery, dry cell AA							24	pack	80.00 4.	Battery, dry cell AAA							24	pack	50.00 5.	Battery, dry cell, Medium							24	pack	150.00 6.	Bleaching Solution, 500ml 36's/b</t>
  </si>
  <si>
    <t xml:space="preserve"> 140 Bags Thermoplastic Yellow 70 Bags Glass  Beads</t>
  </si>
  <si>
    <t xml:space="preserve"> REQUEST FOR QUOTATION (RFQ) PROFESSIONAL SERVICE FEE  UNDER EMB-AFMD RFQ NO. EMB-AFMD-086-06-24-2020- 1.	The Department of Environment and Natural Resources – Environmental Management Bureau (DENR-EMB) hereinafter referred to as the “Purchaser” now reques</t>
  </si>
  <si>
    <t xml:space="preserve"> Seventeen (17) scks Rice 50kls and twenty seven (27) other L/I</t>
  </si>
  <si>
    <t xml:space="preserve"> 1 unit Aircon, window type</t>
  </si>
  <si>
    <t xml:space="preserve"> 123 go bag</t>
  </si>
  <si>
    <t xml:space="preserve"> CATERING SERVICES  ON JULY 1-3, 2020 AT LGU - ZARRAGA MULTI-PURPOSE HALL</t>
  </si>
  <si>
    <t xml:space="preserve"> Invitation to Bid</t>
  </si>
  <si>
    <t xml:space="preserve"> INVITATION TO BID 1.	The Provincial Government of Misamis Oriental, through the Bids and Awards Committee, hereby invites all interested Philgeps registered contractors to submit bids for infrastructure projects stated below. Project Title	Construction of</t>
  </si>
  <si>
    <t xml:space="preserve"> The Provincial Government of Samar invites all interested registered suppliers to submit in person or authorized representative quotation for- 				 1.	50	packs		Trash Bag 26 x 32 (M) 100’s 2.	50	packs		Trash Bag 30 x 37 (xl) 100’s Requisitioning Office: S</t>
  </si>
  <si>
    <t xml:space="preserve"> 1	Data File Box							12	pcs	88.57 2	Carbon paper, Blue							4	pks	601.20 3	Bond Paper, Short, Substance 20							50	ream	320.00 4	Bond Paper, long, Substance 20							50	ream	340.00 5	Flash Drive 32GB							4	pcs	806.00 6	Ink HP678, tri-Color for Deskje</t>
  </si>
  <si>
    <t xml:space="preserve"> TO : ALL BIDDERS WHAT : Schedule for the bid; WHEN : July 15, 2020 @ 9:00 A.M. WHERE : Multi-Purpose Hall, 2nd Floor, Left Wing, Bogo City Hall, Cayang, Bogo City, Cebu Attention: All Bidders 1) You are required to bring Universal Serial Bus (USB) Flash D</t>
  </si>
  <si>
    <t xml:space="preserve"> RFQ# 20-06-0211 PR# 2020-06-0695 1	Gear Oil for Diesel Engine-2 gallons 2	Oil for Diesel Engine	-2 gallons 3	Diesel		       -2,100 liters 	  Total Approved Budget = P 96,000.00</t>
  </si>
  <si>
    <t xml:space="preserve"> Purchace of Airconditioning Unit</t>
  </si>
  <si>
    <t xml:space="preserve"> 1	Diesel Fuel							1,000	liters	47.00 2	Gasoline 							100	liters	65.00 Project Name:		For use in the Transportation Departmnet							 Place of Delivery:		Bais District Hospital							 ABC:P53,500.00</t>
  </si>
  <si>
    <t xml:space="preserve"> Supply of Gasoline/Diesel for Service Vehicle for the period July to December 2020 of SSS Boac Terms and Conditions: 1. Price of fuel will be the pump price at the time and hour of fill-up. 2. Price of fuel will be inclusive of tax and other government ch</t>
  </si>
  <si>
    <t xml:space="preserve"> The Municipality of Tanza, Cavite, through its Bids and Awards Committee (BAC), invites suppliers/manufacturers/distributor/contractors to apply for eligibility and to bid for the hereunder project: 	Name of Project	: PROCUREMENT OF TWO (2) UNITS SPORTS U</t>
  </si>
  <si>
    <t xml:space="preserve"> Project Name : Supply and Delivery of Chemical and Chemical Products                        School Year 2020 - 2021 Approved Budget of Contract ( ABC ) : Php 61,935.00 Area of Delivery : Gulod Elementary School, Barangay Gulod, Cabuyao City, Laguna Date o</t>
  </si>
  <si>
    <t xml:space="preserve"> Republic of the Philippines							 PROVINCE OF CAGAYAN							 Tuguegarao City							 							 REQUEST FOR QUOTATION							 							 Company Name: 			Quotation No.				 Address:			Date				 TIN Number: 			PR No.				 Tel/Fax: 			Mode of Procurement:				 E-mail </t>
  </si>
  <si>
    <t xml:space="preserve"> Sports Jacket</t>
  </si>
  <si>
    <t xml:space="preserve"> The Technical Education and Skills Development Authority (TESDA), through the TESDA-PTC Sindangan, Zamboanga del Norte will undertake a Small Value Procurement for the “Supplies and materials to be used in the Training Cum Production in the making of Wood</t>
  </si>
  <si>
    <t xml:space="preserve"> REQUEST FOR QUOTATION (RFQ) The Philippine Ports Authority, PMO- Zamboanga del Norte, through its Bids and Awards Committee will undertake Shopping-Ordinary/Regular Office Supplies &amp; Equipment(Sec.52.1.b) for the PROCUREMENT OF 1ST &amp; 2ND QUARTER OFFICE SU</t>
  </si>
  <si>
    <t xml:space="preserve"> Specifications: Matte hardbound cover Cut-out cover (please see attachment) A4 size 70 pages including cover 100 copies Coated 100lbs inner material Full color all pages Must be delivered within 10-15 working days</t>
  </si>
  <si>
    <t xml:space="preserve"> 1 unit Aircon, 0.75HP</t>
  </si>
  <si>
    <t xml:space="preserve"> Construction Materials and Electrical Supplies</t>
  </si>
  <si>
    <t xml:space="preserve"> I. Specifications (Please see attached file @ Associated Components). II. Payment upon 100% completion of project. III. A penalty of one-tenth of one percent (0.001) of the total value of the product(s)/goods purchased shall be deducted for each day of de</t>
  </si>
  <si>
    <t xml:space="preserve"> Janitorial Supplies</t>
  </si>
  <si>
    <t xml:space="preserve"> INVITATION TO BID (CW-06-2020-021) The Department of Public Works and Highways (DPWH)-Batangas IV District Engineering Office, Marawoy, Lipa City, Batangas, through its Bids and Awards Committee (BAC), invites contractors to bid for the contract listed be</t>
  </si>
  <si>
    <t xml:space="preserve"> Supply and Delivery of Janitorial Supplies			 			 DETERGENT POWDER-57g, 12 sachets		20	dozens DOORMAT, Rubberized/meter		8	pcs FEATHER DUSTER, anti-static		4	pcs GLASS CLEANER, glass &amp; multi-surface 500ml		5	units GLOVES, electrical, rubber		4	pcs GLOVES,</t>
  </si>
  <si>
    <t xml:space="preserve"> INVITATION TO BID  Procurement and Delivery of Meals, Venue and Accommodation  for the 2020 Census of Population and Housing (CPH)  Third Level Training – PSA Batangas 1.	The Philippine Statistics Authority, RSSO IV-A, through the General Fund for 2020 in</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</si>
  <si>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</si>
  <si>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200	 pcs. 		Brass Water Meter ½ 10	 pcs. 		Brass Water Meter ¾ 5	 pcs. 		Brass Water Meter 1" 300	 pcs. 		Brass St. Coupling ½ 500	 pcs. 		Brass St. Coupling ¾ 50	 pcs. 		Brass St. Coupling 1" 240	 pcs. 		Brass Magnetic Ball Valve w/ lockable wing ½ 20	 p</t>
  </si>
  <si>
    <t xml:space="preserve"> Republic of the Philippines PROVINCE OF ZAMBOANGA SIBUGAY Municipality of Roseller T. Lim    INVITATION TO BID 						June 1, 2020 	 To All Interested Bidders: Notice is hereby served that sealed bid be received for public bidding under the harmonious proc</t>
  </si>
  <si>
    <t xml:space="preserve"> Supply, Delivery &amp; Installation of 11-unit Aircon for the New Mayor's Office &amp; Executive Hall 7 units Ceiling Mounted Aircon 4HP 1 unit Split Type Aircon 1HP 3 units Floor Standing Aircon 3TR Installation, Chipping Restoration and Start Up &amp; Commissioning</t>
  </si>
  <si>
    <t xml:space="preserve"> 20 units of heavy duty stainless alcohol dispenser</t>
  </si>
  <si>
    <t xml:space="preserve"> Supply and delivery of Other Supplies			 			 BOOTS, rubber sizes 7, 8, 9 &amp; 10		7	pairs water proof, inner elastic gore, fabric lining			 HELMET,for safety		6	pcs BEDDING SET, inludes: pillow cases, fitted sheet &amp; flat sheet		9	sets BED MATTRESS, soft, sin</t>
  </si>
  <si>
    <t xml:space="preserve"> Repair of Green House at Lalawigan Elementary School @ Samal, Bataan 32 pcs - 12mm Def. Bar 104 pcs - G.I Pipe #3/4 S-20 14 pcs - G.I Pipe #1-1/2, S-20 7 kgs - Welding Rod 1/2 elf - Washed Sand 6 bags - Cement 6 pcs - 10mm Def Bar 2 pcs - Welding Gloves 1</t>
  </si>
  <si>
    <t xml:space="preserve"> 1	basin							6	pcs	400.00 2	Chlorine Powder							2	drums	4,000.00 3	Cloth For Blankets							3	rolls	3,800.00 4	Dipper							6	pcs	30.00 5	Disposable Cups (Assorted Sizes)							1,940	pcs	3.00 6	Double Burner							1	pc	1,800.00 7	Electric Iron							2	</t>
  </si>
  <si>
    <t xml:space="preserve"> Pls. see attached</t>
  </si>
  <si>
    <t xml:space="preserve"> ITEM NO. QUANTITY UNIT ITEM DESCRIPTION 1 200 PCS. CHB 4" 2 55 BAGS CEMENT 3 1 CU.M. SAND 4 1 CU.M. GRAVEL 5 20 PCS. 10MM RSB X 6M 6 1 KG. TIE WIRE 7 1 PC. HACKSAW BLADE 8 2 KGS ASSTD CWN 9 1 PC. 1/2" ORD. PLYWOOD 10 181 PCS 60CM X 60CM FLOOR TILES  11 12</t>
  </si>
  <si>
    <t xml:space="preserve"> Republic of the Philippines Department of Education Region VII, Central Visayas DIVISION OF CARCAR CITY P. Nellas St., Poblacion III, City of Carcar BIDS AND AWARDS COMMITTEE REQUEST FOR QUOTATION The DepEd Carcar City Division invites all interested supp</t>
  </si>
  <si>
    <t xml:space="preserve"> Construction Materials and Supplies</t>
  </si>
  <si>
    <t xml:space="preserve"> 1	pc	UPS (1 KVA) 1	pc	Value Regulated lead acid battery 		 SH 12V-100AH</t>
  </si>
  <si>
    <t xml:space="preserve"> Office supplies and consumables</t>
  </si>
  <si>
    <t xml:space="preserve"> Republic of the Philippines          City of Dumaguete Bids and Awards Committee INVITATION TO BID FOR PURCHASE REQUEST OF 169 VIALS PURIFIED CHICK EMBRYO ANTIRABIES VACCINE 0.5ML OTHER ITEMS 	The City of Dumaguete thru its BIDS AND AWARDS COMMITTEE (BAC)</t>
  </si>
  <si>
    <t xml:space="preserve"> 300 PAD WRITING PAD GRADE I 300 PAD WRITING PAD GRADE II 300 PAD WRITING PAD GRADE III 300 PAD WRITING PAD GRADE IV 318 PAD INTERMEDIATE PAPER 75 REAM BOND PAPER (LONG) 50 PIECE CARTOLINA 115 PIECE FOLDER (LONG) 5 BOXES FASTENER 19 PIECE CLEARBOOK 31 BOTT</t>
  </si>
  <si>
    <t xml:space="preserve"> RFQ-2020-029		 			 "      (Pursuant to Sec. 54.2 of the Revised Implementing Rules and Regulation of R.A. 9184)  Alternative Mode of Procurement of Supply &amp; Delivery of  Wheel Chairs, Crutches and Multi-Vitamines for Senior Citizens at San Jose, Tarlac"		</t>
  </si>
  <si>
    <t xml:space="preserve"> &gt; 1 Unit BRAND NEW 4x2 SUV VEHICLE Technical Specifications: Model 2020 4x2 SUV Vehicle, 4-Door, AT, 4 cylinder, Car Stereo, Aircon with complete accessories Engine: at least 2.4L, 16 valves DOHC Turbo Diesel Displacement: range 2,400 cc to 2,500cc Seatin</t>
  </si>
  <si>
    <t xml:space="preserve"> micro tests, physical and chemical analysis of all sources</t>
  </si>
  <si>
    <t xml:space="preserve"> 6-Stage Purifier with negative ions 5-Stage Purifier with negative ions Ultraviolet lamp with timer,38R</t>
  </si>
  <si>
    <t xml:space="preserve"> see attached RFQ &amp; menu</t>
  </si>
  <si>
    <t xml:space="preserve"> Please contact BAC Secretariat for details</t>
  </si>
  <si>
    <t xml:space="preserve"> PLEASE SEE ATTACHED DOCUMENT/S. THANK YOU.</t>
  </si>
  <si>
    <t xml:space="preserve"> Movable Stage</t>
  </si>
  <si>
    <t xml:space="preserve"> Supply and Delivery of Printing Supplies and Training Materials</t>
  </si>
  <si>
    <t xml:space="preserve"> PDDRMO-NC-2020-0310 PR2020-0429 REQUEST FOR QUOTATION FOR THE PROCUREMENT OF STORAGE BATTERIES FOR REPLACEMENT OF BATTERIES FOR PDRRMO VEHICLES WITH PLATE NOS. AMBULANCE A7J 973, A7E 752, A7K 148, A90 957, VX 1670, SKN 192, A2 J042, A2 1898, A7K 179, A7E </t>
  </si>
  <si>
    <t xml:space="preserve"> Office Supplies and Materials</t>
  </si>
  <si>
    <t xml:space="preserve"> Please see attached Purchase Request.</t>
  </si>
  <si>
    <t xml:space="preserve"> LOT NO.          PROPERTY LOCATION                                     CLOA NO                AREA (HA)  LOT NO. 1                    BRGY. HINAGOYONAN, CATUBIG, N. SAMAR     O-CLOA-1634          12.6450      2436                       BRGY. ANONGO, CATUB</t>
  </si>
  <si>
    <t xml:space="preserve"> see attached associated component documents</t>
  </si>
  <si>
    <t xml:space="preserve"> INVITATION TO BID  FOR THE Supply and Delivery of Drugs and Medicines I.B. No. 2020 - 0032 							 1. The LGU-Cabanatuan City, through the General Fund FY 2020 intends to apply the sum of One Million Five Hundred Eighty-Six Thousand One Hundred Twelve Pes</t>
  </si>
  <si>
    <t xml:space="preserve"> Purchase of Hardware Firewall with Configuration</t>
  </si>
  <si>
    <t xml:space="preserve"> RHU (Emergency/Injectable Drugs) Quantity	Unit of Issue	Item Description 20	Ampules	Paracetamol 300 mg. ampule 500	Ampules	Oxytocin – 10 iu/ml ampule 400	Ampules	Methylergometrine 200 mcg/ml ampule 10	Boxes	Captopril 25 mg. sublingual tablet 10	Ampules	Hy</t>
  </si>
  <si>
    <t xml:space="preserve"> Republic of the Philippines													 DEPARTMENT OF PUBLIC WORKS AND HIGHWAYS													 Sultan Kudarat 1st													 District Engineering Office													 REGIONAL OFFICE XII													 Isulan, Sultan Kudarat													 													 Name </t>
  </si>
  <si>
    <t xml:space="preserve"> INVITATION TO BID									 									 The BARANGAY GOVERNMENT UNIT OF MOTIBOT, SINDANGAN, ZAMBOANGA DEL NORTE, through its Bids and Awards Committee (BAC), hereby invites suppliers/manufacturers/ distributors/contractors to apply for eligibility and to bid</t>
  </si>
  <si>
    <t xml:space="preserve"> Republic of the Philippines PROVINCE OF CAMIGUIN Mambajao, Camiguin BIDS AND AWARDS COMMITTEE (BAC) INVITATION TO BID The Provincial Government of Camiguin through its Bids and Awards Committee (BAC) invites all interested and qualified bidders/suppliers </t>
  </si>
  <si>
    <t xml:space="preserve"> Republic of the Philippines										 Department of Public Works and Highways										 OFFICE OF THE DISTRICT ENGINEER										 Cagayan Third District Engineering Office										 Tuguegarao City										 Name of Procuring Entity: 			DPWH-Cagayan Third</t>
  </si>
  <si>
    <t xml:space="preserve"> Republic of the Philippines BATANGAS STATE UNIVERSITY Batangas City REQUEST FOR QUOTATION "Procurement of ICT Equipment for Various Offices" 1. The Batangas State University (BatState U) through the Bids and Awards Committee invites interested firms/suppl</t>
  </si>
  <si>
    <t xml:space="preserve"> RFQ# 20-06-0212 PR# 2020-06-0693 1	Zebra ZXP Series 3 Ink Ribbon 800011-140, Color-YMCKO		80	rolls 2	Zebra White PVC Cards 104523-111, 30 mil (500 cards/pack)		13	packs 3	Zebra Series 3 Printer Cleaning Kit		7	pcs 	Total Approved Budget = P 250,000.00</t>
  </si>
  <si>
    <t xml:space="preserve"> MV Spare parts</t>
  </si>
  <si>
    <t xml:space="preserve"> Zone 5 c/o Romano Compound Barangay Abella, Naga City</t>
  </si>
  <si>
    <t xml:space="preserve"> Conduct of Detailed Engineering Design of Ilocos Norte-Ilocos Sur-Abra Irrigation Project</t>
  </si>
  <si>
    <t xml:space="preserve"> This project entails labor and materials for the rehabilitation/construction of 4 units Purok Marker at Brgy. Binisitahan Norte, Magallanes, Sorsogon.</t>
  </si>
  <si>
    <t xml:space="preserve"> Medical Supplies and Laboratory Instruments</t>
  </si>
  <si>
    <t xml:space="preserve"> Purchase and delivery of multivitamins and other supplements to be distributed to Calapan City residents</t>
  </si>
  <si>
    <t xml:space="preserve"> ICT supplies</t>
  </si>
  <si>
    <t xml:space="preserve"> 1.	The Municipality of Daram, through the General Fund-2020 intends to apply the sum of One Million Pesos (P1,000,000.00) being the Approved Budget for the Contract (ABC) to payments under the contract for the Supply and Delivery of 500pcs. Toilet Bowl an</t>
  </si>
  <si>
    <t xml:space="preserve"> For supply and delivery of the following: 22	box	Captive Bolt Stunning Gun Cartirdges			 		Specifications:			 		1000 pcs/box			 		.22 cartridge			 		Colour: Purple			 		Grain (nominal): 2.5			 		For use on small cattle, pigs, goats</t>
  </si>
  <si>
    <t xml:space="preserve"> EENT Diagnostic Set with specs							4	unit  	23,000.00 Specs:									   * LED Otoscope and Opthalmoscope									   * Lamp type: SureColor LED									   * Lamp Life: 10,000 to 20,000 hours									   * Battery type: AA Alkaline x 2									   * Battery</t>
  </si>
  <si>
    <t xml:space="preserve"> The Provincial Government of Samar invites all interested registered suppliers to submit in person or authorized representative quotation for- 				 1.	20	pcs	Tire (195R x 15C) Requisitioning Office: Samar Provincial Hospital Bid Forms may be secured from </t>
  </si>
  <si>
    <t xml:space="preserve"> Republic of the Philippines Department of Environment and Natural Resources ENVIRONMENTAL MANAGEMENT BUREAU National Capital Region National Ecology Center Compound, East Ave., Diliman, Quezon City Tel. Nos.: 9311331 Email : emb.bacsec.ncr@gmail.com      </t>
  </si>
  <si>
    <t xml:space="preserve"> SUPPLY &amp; DELIVERY OF MATERIALS</t>
  </si>
  <si>
    <t xml:space="preserve"> Please quote your lowest price on items listed of the Request for Quotation, subject to the specifications, Terms and Conditions provided therein, stating the shortest time of delivery and submit your quotation at the NIA Isabela Irrigation Management Off</t>
  </si>
  <si>
    <t xml:space="preserve"> Agricultural Chemicals</t>
  </si>
  <si>
    <t xml:space="preserve"> Cardiotocogram (CTG) Machine with specs							1	unit  	350,000.00 Specs:									   * Cross-channal verification for twins									   * Approx 12.1" TFT color LCD screen, folding 90 degrees									   * Touch button design									   * Three theme color o</t>
  </si>
  <si>
    <t xml:space="preserve"> Office Equipment</t>
  </si>
  <si>
    <t xml:space="preserve"> SK Council Management (Office enhancement program)</t>
  </si>
  <si>
    <t xml:space="preserve"> repair /widening of brgy. road at sitio looban</t>
  </si>
  <si>
    <t xml:space="preserve"> 1.	The Department of Environment and Natural Resources – Environmental Management Bureau Regional office No. 2 (DENR-EMB-RO2) hereinafter referred to as the “Purchaser” now requests for submission of price quotations for the procurement of the aforesaid i</t>
  </si>
  <si>
    <t xml:space="preserve"> The Provincial Government of Samar invites all interested registered suppliers to submit in person or authorized representative quotation for- 				 1.	100	sacks	Commercial Rice 50kls/sack Requisitioning Office: Samar Provincial Hospital Bid Forms may be s</t>
  </si>
  <si>
    <t xml:space="preserve"> Repair of Common Comfort Room 1st and 2nd Floor at RHU @ Samal, Bataan 15 bags - Cement 2 pcs - Sinsil Lapad 1 pc - Sinsil Tulis 1 gal - Paint Gloss Latex 1 pc - Baby Roller 2 pcs - Diamond Cutter 2 rolls - Masking Tape 3 sets - Bowl 1 elf - Sand</t>
  </si>
  <si>
    <t xml:space="preserve"> Executive Table Executive chair Cabinet Visitor's Chair Stool Folding table</t>
  </si>
  <si>
    <t xml:space="preserve"> OPENING OF BIDS IN SWADT-PAGADIAN, PAGADIAN CITY, ZAMBOANGA DEL SUR DELIVERY OF GOODS IN PAGADIAN CITY, ZAMBOANGA DEL SUR FOR THE FF PROCUREMENT: 40	bot.	Genuine EPSON INK T664 (black) 30	bot.	Genuine EPSON INK T664 (cyan) 30	bot.	Genuine EPSON INK T664 (</t>
  </si>
  <si>
    <t xml:space="preserve"> Please see attached file for reference.</t>
  </si>
  <si>
    <t xml:space="preserve"> INVITATION TO BID FOR THE DELIVERY OF MATERIALS FOR THE CONTINUATION OF TWO STOREY BARANGAY MULTI PURPOSE HALL</t>
  </si>
  <si>
    <t xml:space="preserve"> GO-NC-2020-0309 PR2020-0428 REQUEST FOR QUOTATION FOR THE PROCUREMENT OF ENGINE OIL, WD-40, BRAKE FLUID, LABOR, AND VEHICLE SPARE PARTS TO BE USED FOR THE GOVERNMENT SERVICE VEHICLE UNDER THE OFFICE OF THE GOVERNOR COST OF CANVASS: 150.00</t>
  </si>
  <si>
    <t xml:space="preserve"> PLEASE SEE ATTACHED REQUEST FOR QUOTATION</t>
  </si>
  <si>
    <t xml:space="preserve"> Motorcycle with Side Car</t>
  </si>
  <si>
    <t xml:space="preserve"> INVITATION TO BID  Procurement and Delivery of Meals, Venue and Accommodation  for the 2020 Census of Population and Housing (CPH)  Third Level Training – PSA Rizal 1.	The Philippine Statistics Authority, RSSO IV-A, through the General Fund for 2020 inten</t>
  </si>
  <si>
    <t xml:space="preserve"> 1	Epson 664 BCYM for Epson L120 Printer							10	bots	400.00 2	Ink Cartridge HP 932xl for A3 Printer - Black Color							10	pcs	2,132.00 3	Printer Toner HP Laser Jet Pro P1102 - 85A							200	pcs	3,000.00 										 	Term Of Delivery:10-15 working days Up</t>
  </si>
  <si>
    <t xml:space="preserve"> INVITATION TO BID- FOR IMPROVEMENT OF WATER SYSTEM CONSTRUCTION OF 8- UNITS OF COMMON BASIN 15 WORKING CALENDAR DAYS DIMENSION / LENGHT: 0.60M X 1.80M X 2.40M SCOPE OF WORK TO BE DONE; I. DISTRIBUTION OF P.E HOSE      65.20 % 162,250.00 II. CONSTRUCTION O</t>
  </si>
  <si>
    <t xml:space="preserve"> PRINTER (PLOTTER)</t>
  </si>
  <si>
    <t xml:space="preserve"> 1	1	pc	Cluch Lining 2	1	set	Spider Gear Assy. 3	4	pcs	Steering Cross Joint 4	4	pcs	Tire 195 R 14 5	1	set	Brake Pad 6	1	set	oil Filter 7	1	set	Fuel Filter 			Labor: 8	1	set	Pull -out &amp; Replacement of clutch 			lining tranmission 9	1	set	Differential carrie</t>
  </si>
  <si>
    <t xml:space="preserve"> Republic of the Philippines					 Province of Southern Leyte					 MUNICIPALITY OF LIMASAWA					 					 Bids and Awards Committee					 					 REQUEST FOR QUOTATION					 					 					RFQ No. 2020-009 					 The  Local  Government  Unit  of  Limasawa,  through  it</t>
  </si>
  <si>
    <t xml:space="preserve"> Republic of the Philippines Province of Surigao del Sur Municipality of Tago ---ooo0ooo--- Invitation to Bid Improvement of Gamut Public Market and Parking Area  Project ID No. TAG-SDS-058-2020 The Local Government Unit of Tago, Surigao del Sur invites se</t>
  </si>
  <si>
    <t xml:space="preserve"> INVITATION TO BID  Procurement and Delivery of Meals, Venue and Accommodation  for the 2020 Census of Population and Housing (CPH)  Third Level Training – PSA Laguna 1.	The Philippine Statistics Authority, RSSO IV-A, through the General Fund for 2020 inte</t>
  </si>
  <si>
    <t xml:space="preserve"> Submission of RFQ = July 2, 2020, 9:00am at Municipal Hall, Casiguran, Sorsogon</t>
  </si>
  <si>
    <t xml:space="preserve"> Waste Management Supplies and Materials</t>
  </si>
  <si>
    <t xml:space="preserve"> Infusion Pump with specs							6	unit  	90,000.00 Specs:									   * Multiple infusion mode(speed mode,drop mode,time mode,weight mode,multi-rate mode)									   * In compliance with ISO 8536-4									   * Occlusion level supported									   * AC: 100</t>
  </si>
  <si>
    <t xml:space="preserve"> Republicof the Philippines PROVINCEOFAGUSAN DEL SUR Municipality of San Luis Barangay MURITULA Invitation to Bid SUPPLY AND DELIVERY OF HARDWARE MATERIALS FOR THE CONST. OF MULTI-PURPOSE BLDG. 1. The Barangay government of Muritula, San Luis, Agusan del S</t>
  </si>
  <si>
    <t xml:space="preserve"> LABOR AND MATERIALS FOR THE REPAIR OF FRONTLINE COUNTERS (INSTALLATION OF GLASS PARTITIONS) Specifications: CSS C1-C2: 15' X 3' CSS C3-C4: 15' X 3' CSS C5-C6: 15' X 3' OFFICER OF THE DAY: 10' X 3' PACD: 4' X 2' ORDO OFFICER: 12' X 7' Materials: 1 3/4 X 4 </t>
  </si>
  <si>
    <t xml:space="preserve"> BIDS AND AWARDS COMMITTEE Office of the Chairman Request for Quotation Date:                                                                                 Quotation No.: PR # 2020-06-264 __________________________________ _______________________________</t>
  </si>
  <si>
    <t xml:space="preserve"> The Department of Agriculture-RFO 3, invites interested suppliers to submit quotations/proposals for the hereunder requirement, to wit: Supply and delivery of laboratory supplies to be used in the conduct of various tests at the Integrated Laboratory Divi</t>
  </si>
  <si>
    <t xml:space="preserve"> 1	Washable Face Mask		2,844	pcs	 ________________		 113,760.00  	* Cotton La Coste Fabric						 	* 2ns Layer Canvass						 	* Sky Blue with adjustable ear lobe/string with stopper						 							 	Terms and Conditions:						 	1. Warranty: N/A						 	ESTIMAT</t>
  </si>
  <si>
    <t xml:space="preserve"> Republic of the Philippines Province of Romblon Municipality of Santa Maria Date:		 Quotation No. 		 ____________________________						 _____________________________ 						     Please quote your lowest price on the item/s listed below subject to the Gener</t>
  </si>
  <si>
    <t xml:space="preserve"> The Local Government Unit of Isabel, Leyte through its Bids and Awards Committee (BAC), invites eligible philgeps supplier in the Philippines to supply the hereunder; Name of Project :Procurement of various spare parts to be used at Motorpool-LGU vehicle </t>
  </si>
  <si>
    <t xml:space="preserve"> NOTE: 1.	The approved budget for the contract is 	149,534.00 2.	Delivery period within 	15 	calendar days 3.	Warranty shall be for a period of three (3) months for expendable supplies, One year for non-expendable supplies from date of acceptance by the Pr</t>
  </si>
  <si>
    <t xml:space="preserve"> Procurement of Internet Service Subscription for CSC RO VI Regional and Field Offices:  CSC REGIONAL OFFICE FIBER OPTIC UP TO 500Mbps Inclusion: 1 Static IP and 1 landline 3 units of WAN hardware with VPN feature Duration: 1 Year"	 CSC FO-AKLAN BROADBAND </t>
  </si>
  <si>
    <t xml:space="preserve"> SPINE BOARD: Specifications: 1. Color: Orange; 2. Size: 186 cm x 45.3 cm x 6.5 cm; 3. Net Weight: 7 kg.; 4. With Whole Body Strap; and  5. After sale warranty. Note:  a. Supplier must have pertinent documents such as PhilGPES registration, Mayor's Permit,</t>
  </si>
  <si>
    <t xml:space="preserve"> 1. The Provincial Government of Davao del Norte, through 20% DF CY 2019, 20% DF CY 2020 and 20% DF (Peace and Order Program), intends to apply the sum of Nine Million Three Hundred Ninety Six Thousand One Hundred Eighty Four and 22/100 Pesos (Php 9,396,18</t>
  </si>
  <si>
    <t xml:space="preserve"> widening of barangay road- sitio parang</t>
  </si>
  <si>
    <t xml:space="preserve"> 1. The GAMU WATER DISTRICT, through the Loan from the Local Water Utilities Administration (LWUA) intends to apply the sum of Twenty Million Pesos (Php 20,000,000.00) being the Approved Budget for the Contract (ABC) to payments under the contract for the </t>
  </si>
  <si>
    <t xml:space="preserve"> The Provincial Government of Samar invites all interested registered suppliers to submit in person or authorized representative quotation for- 				 1.	12250		liters	Diesel Requisitioning Office: Samar Provincial Hospital Bid Forms may be secured from the </t>
  </si>
  <si>
    <t xml:space="preserve"> 1	Trophy 20'							30	pc	380.00 2	Trophy 18"							30	pc	360.00 3	Trophy 24"							30	pc	400.00 4	Basketball Balls							90	pcs	280.00 5	Volleyball Balls							90	pcs	260.00 6	Volleyball Nets							90	pcs	150.00 7	Car Freshener, 42g, can							24	pc	240.0</t>
  </si>
  <si>
    <t xml:space="preserve"> PROCUREMENT OF (1) UNIT SMART TV, ONE (1) UNIT VOICE RECORDER AND ONE (1) PROJECTOR FOR THE USE OF TOURISM OFFICE, TIGBAUAN, ILOILO.</t>
  </si>
  <si>
    <t xml:space="preserve"> School Supplies</t>
  </si>
  <si>
    <t xml:space="preserve"> Purchase and delivery of 3000 bott. of alcohol to be distributed to frontliners of the City of Calapan</t>
  </si>
  <si>
    <t xml:space="preserve"> Republic of the Philippines DEPARTMENT OF HEALTH WESTERN VISAYAS Center for Health Development INVITATION TO BID FOR THE  Rebidding of Drugs and Medicines,  IB No. SB-2020-013 1.	The Department of Health – WV CHD, through the PHM CONAP 2019, CONAP SA-2019</t>
  </si>
  <si>
    <t xml:space="preserve"> 1   UNIT       ALINGCO BASE RADIO WITH LICENSE (DR-638 UV) 2   UNIT       CAT MOBILE ANTENNA 6   UNIT       CIGNUS UV85 HANDSET RADIO SERVICE AND INSTALLATION FEE</t>
  </si>
  <si>
    <t xml:space="preserve"> Republic of the Philippines Province of Quezon City Government of Tayabas REQUEST FOR QUOTATION The City Government of Tayabas, through its Bids and Awards Committee (BAC), will undertake Negotiated Procurement (Small Value Procurement) for RFQ # 20-096  </t>
  </si>
  <si>
    <t xml:space="preserve"> Republic of the Philippines Province of Cotabato Municipality of Antipas BIDS AND AWARDS COMMITTEE INVITATION TO BID FOR Supply and Delivery of Goods for Integrated Community Food Production 1.	The Municipal Government of Antipas, through the Trust Fund i</t>
  </si>
  <si>
    <t xml:space="preserve"> Republic of the Philippines Province of Surigao del Sur Municipality of Tago ---ooo0ooo--- Invitation to Bid Construction of Operation Center Building (MDRRMO) Project ID No. TAG-SDS-059-2020 The Local Government Unit of Tago, Surigao del Sur invites seal</t>
  </si>
  <si>
    <t xml:space="preserve"> PDRRMO-NC-2020-0307 PR2020-0426 REQUEST FOR QUOTATION FOR THE PROCUREMENT OF ENGINE OIL, TIRES, CAR FRESHENERS, AND VARIOUS VEHICLE SPARE PARTS FOR MAINTENANCE REPAIRS AND SERVICING OF PDRRMO VEHICLES WITH PLATE NOS. AMBULANCE SKN 192, AMBULANCE A7E 752, </t>
  </si>
  <si>
    <t xml:space="preserve"> REQUEST FOR EXPRESSION OF INTEREST FOR CONTRACT ID NO.:	     19CSC008  Procurement of Consulting Services for the Master Plan, Feasibility Study of Aguang River Basin for Flood Control and River Improvement.  Location         		:   Aurora Source of Fund	:</t>
  </si>
  <si>
    <t xml:space="preserve"> Lot 1  -  Vegetable Seeds									 1	Ampalaya seeds-Sta Rita or Sta. Lucia (250 gms. per pack or can)							10	pcs.	1,950.00 2	Cucumber - Poinsette (50 gms. per pack or can)							25	pcs.	395.00 3	Eggplant - Long Purple (50 gms. per pack or can)							200</t>
  </si>
  <si>
    <t xml:space="preserve"> The Pag-IBIG Fund TAS-NCR North, through its Bids and Awards Committee – TAS-NCR North intends to apply the sum of Nine Hundred Seventy Thousand Eight Hundred Sixteen Pesos Only (PhP 970,816.00) inclusive of all applicable taxes, being the Approved Budget</t>
  </si>
  <si>
    <t xml:space="preserve"> The Cagayan State University is pleased to invite you to quote your lowest price on the item/s listed below, stating the shortest time of delivery and submit your quotation duly signed by you, or by your authorized representative not later than 3 days</t>
  </si>
  <si>
    <t xml:space="preserve"> Republic of the Philippines Province of Surigao del Sur Municipality of Tago ---ooo0ooo--- Invitation to Bid Installation of Street Light from Crossing Victoria – Purisima Road section w/ center Island  Project ID No. TAG-SDS-061-2020 The Local Government</t>
  </si>
  <si>
    <t xml:space="preserve"> See attached Request for Quotation (RFQ) and Terms of Reference (TOR).</t>
  </si>
  <si>
    <t xml:space="preserve"> 5  pcs.   Multi-media, 5,500 Lumens 4  pcs.  Laptop, CPU Core i5, RAM 8GB, HDD 1TB</t>
  </si>
  <si>
    <t xml:space="preserve"> RFQ-2020-030					 "      (Pursuant to Sec. 54.2 of the Revised Implementing Rules and Regulation of R.A. 9184)  Alternative Mode of Procurement of SUPPLY &amp; DELIVERY OF FUEL REQUIREMENTS FOR MAYOR'S OFFICE, MENRO, POLICE AND MDRRMO AT SAN JOSE, TARLAC"				</t>
  </si>
  <si>
    <t xml:space="preserve"> INVITATION TO BID  FOR THE Supply and Delivery of Anti Rabies Vaccine I.B. No. 2020 - 0031 							 1. The LGU-Cabanatuan City, through the General Fund FY 2020 intends to apply the sum of One Million Seven Hundred Ninety-Five Thousand Five Hundred Pesos (</t>
  </si>
  <si>
    <t xml:space="preserve"> INVITATION TO BID FOR  “Procurement of Various Semi-Expendables” 1.	The DOH-Treatment and Rehabilitation Center-Bataan, through the General Appropriation Act intends to apply the sum of Five Hundred Fifty Thousand Seventy-two pesos and 20/100 Only (Php 55</t>
  </si>
  <si>
    <t xml:space="preserve"> 1 unit Computer Printer</t>
  </si>
  <si>
    <t xml:space="preserve"> Supply &amp; Delivery of		 Smart Load (300.00) 	107	pcs. Globe (300) 	107	pcs.</t>
  </si>
  <si>
    <t xml:space="preserve"> INVITATION TO BID FOR THE SUPPLY, DELIVERY AND INSTALLATION OF EQUIPMENT FOR THE BIOACTIVE EXTRACTS PROJECT- Dual Channel Flash Chromatograph The University of the Philippines Mindanao, through the GAA 2019, intends to apply the sum of Three Million Eight</t>
  </si>
  <si>
    <t xml:space="preserve"> Republic of the Philippines PROVINCE OF NUEVA VIZCAYA Municipality of Alfonso Castañeda  BIDS &amp; AWARDS COMMITTEE FOR GOODS &amp; SERVICES REQUEST FOR QUOTATION RFQ Number: 2020-06-01 The Local Government of Alfonso Castañeda through its Bids and Awards Comm</t>
  </si>
  <si>
    <t xml:space="preserve"> 15 pcs 3/4"  Marine Plywood 5 pcs 1/4 Marine Plywood 25 pcs  1/2 x 2 x 8 S4S 20 pcs Handles 2 kg 2"  Finishing Nails 2 kg 1 1/2"  Finishing Nails 2 kg 1" Finishing Nails 20 pcs 10"  Drawer Guide 20 pcs Drawer Lock 10 sheets #120 Sand Paper 12 liter Easy T</t>
  </si>
  <si>
    <t xml:space="preserve"> ALBAY 3RD DISTRICT ENGINEERING OFFICE																											 Paulog, Ligao City																											 																											 INVITATION TO BID																											 																											 The DPWH - Albay 3rd District Engineering O</t>
  </si>
  <si>
    <t xml:space="preserve"> June 24, 2020   NOTICE TO THE PUBLIC  REQUEST FOR QUOTATION                                                 AMP SVP-D NO: 20-06-0365	              The University of the Philippines, Diliman (UPD) hereby informs the public that it will be procuring the fol</t>
  </si>
  <si>
    <t xml:space="preserve"> The Provincial Government of Samar invites all interested registered suppliers to submit in person or authorized representative quotation for- 				 1.	500	kls	Dressed Chicken Meat 2.	250	kls	Hotdog Requisitioning Office: Samar Provincial Hospital Bid Form</t>
  </si>
  <si>
    <t xml:space="preserve"> Republic of the Philippines Province of Quezon City Government of Tayabas REQUEST FOR QUOTATION The City Government of Tayabas, through its Bids and Awards Committee (BAC), will undertake Negotiated Procurement (Small Value Procurement) for RFQ # 20-097  </t>
  </si>
  <si>
    <t xml:space="preserve"> Invitation to Bid 1.	The MUNICIPAL GOVERNMENT OF SAN VICENTE, PALAWAN, through the 20% Development Fund CY 2020 intends to apply the sum of  ONE MILLION NINE HUNDRED FIVE THOUSAND PESOS (Php 1,905,000.00) being the Approved Budget for the Contract (ABC) t</t>
  </si>
  <si>
    <t xml:space="preserve"> to Furnish labor and materials For Flusing and repair of Deep well for Dialysis water Tank						 at Negros Oriental Provincial Hospital (NOPH in the amount of........						 						 • Flusing of Deep wall						 • Rehailitation of Suction Pipes						 • Re-in</t>
  </si>
  <si>
    <t xml:space="preserve"> OPENING OF BIDS IN DSWD FO IX ZAMBOANGA CITY								 DELIVERY IN AVRC III MAMPANG PROCUREMENT FOR THE FF.								 								 								 38 PAX 1 LUNCH AND 2 SNACKS								 ---------------------------------------------------------------------------------------</t>
  </si>
  <si>
    <t xml:space="preserve"> Project Title: 	REPAIR OF CIU OFFICE AT DSWD FIELD OFFICE 11					  Location: 	D. Suazo st. Cor. Magsaysay ave. Davao City					 Approved Budget for the Contract (ABC):						 						  ITEM NO. 	SCOPE OF WORKS	Specific Inclusions (but not limited to)	 QTY 	UN</t>
  </si>
  <si>
    <t xml:space="preserve"> LOCAL GOVERNMENT UNIT OF NAGUILIAN , ISABELA INVITATION TO BID FOR the SUPPLY AND DELIVERY OF CONSTRUCTION MATERIALS FOR THE CONSTRUCTION OF BAHAY SILANGAN 1.	The Local Government Unit of Naguilian, Isabela, through the Capital Outlay of the Office of the</t>
  </si>
  <si>
    <t xml:space="preserve"> Purpose: Purchase of Smart LED TV for Office use for Video Teleconferencing for Conferences, E-Learning Sessions &amp; Virtual Meetings.																 																 LOT 1	SMART LED TV with Mobile TV Cart Bar Stand					1	set	 135,000.00 								 	Specific</t>
  </si>
  <si>
    <t xml:space="preserve"> INVITATION TO BID   Procurement of Goods:  SUPPLY and DELIVERY of Various Office Equipment for the newly constructed ELC Extension Building 1.	The Department of Education, Regional Office 02, through the NEAP-R Funds   intends to apply the sum of One Mill</t>
  </si>
  <si>
    <t xml:space="preserve"> INVITATION TO BID  Procurement and Delivery of Meals, Venue and Accommodation  for the 2020 Census of Population and Housing (CPH)  Third Level Training – PSA Cavite 1.	The Philippine Statistics Authority, RSSO IV-A, through the General Fund for 2020 inte</t>
  </si>
  <si>
    <t xml:space="preserve"> Electrical Materials and Supplies</t>
  </si>
  <si>
    <t xml:space="preserve"> Republic of the Philippines					 MUNICIPALITY OF MARIHATAG					 SURIGAO DEL SUR					 	oOo-				 Bids and Awards Committee					 					 REQUEST FOR QUOTATION					 					 		       Date: June 22, 2020			 		       Quotation No.435-2020			 ________________________</t>
  </si>
  <si>
    <t xml:space="preserve"> Please download Associated Components “Request for Quotation” at www.philgeps.gov.ph or www.cagayandeoro.da.gov.ph &amp; send your sealed quotation by fastest means or drop your sealed quotation reflecting PR Number at the quotation box provided by BAC</t>
  </si>
  <si>
    <t xml:space="preserve"> Please see attached Purchase Request</t>
  </si>
  <si>
    <t xml:space="preserve"> MUNICIPALITY OF QUEZON Province of Quezon INVITATION TO BID Date	: June 29, 2020 The Municipality of Quezon, through its Bids and Awards Committee (BAC), invites supplier/manufactures/distributors/contractors to apply for eligibility and to bid for the he</t>
  </si>
  <si>
    <t xml:space="preserve"> 1. 6,000 ltrs Diesel Fuel Note: the price/s quoted by the supplier shall be valid for a period of seven (7) calendar days from the date of the quotation, and the item/s shall be delivered to the procuring entity regardless of an increase or decrease in th</t>
  </si>
  <si>
    <t xml:space="preserve"> COMPUTER SET- INTEL CORE i5-7400; 4GB RAM;500 GB HDD; Tower case;All basic program installed LAPTOP- Intel celeron N400; 50 GB HDD;4 GB RAM COMPUTER SET - INTEL CORE i3-7100;4GB RAM; 500 GB HDD; tower case; all basic program installed Projector with white</t>
  </si>
  <si>
    <t xml:space="preserve"> 2 units weighing scale with printer (500 kgs capacity)</t>
  </si>
  <si>
    <t xml:space="preserve"> Purchase of Office Equipment for MPDO @ Samal, Bataan 1 unit - Laptop ( Intel Core i7-b565U 14" FHD IPS Touch 8gb 512GB            NVME SSD Shared Win10 Pro with Stylus and Sleeves US MIL-STD)</t>
  </si>
  <si>
    <t xml:space="preserve"> Fabrication and installation of concrete road right-of-way markers.</t>
  </si>
  <si>
    <t xml:space="preserve"> Please see attached Request for Quotation for details.</t>
  </si>
  <si>
    <t xml:space="preserve"> Procurement Materials for the Rehabilitation of Barangay Plaza</t>
  </si>
  <si>
    <t xml:space="preserve"> 1500	copies   reproduction of flyers/IEC materials 5	reams   coupon bond - S20-long 5	reams   coupon bond - S20 - short 25	pcs	cleaning brush with handle 15	gal	bleach 4	pcs	20L backpack type electric sprayer 10	pcs	rubber boots 100	pcs	disposable mask 10</t>
  </si>
  <si>
    <t xml:space="preserve"> Republic of the Philippines  Province of Camarines Sur Municipality of Baao  Barangay San Vicente INVITATION TO BID FOR Supply and Delivery of DRRM equipment , Early Warning System and Communication Equipment  1.	The Barangay San Vicente, through the 2020</t>
  </si>
  <si>
    <t xml:space="preserve"> Calibration and Preventive Maintenance of the following equipment: 1 unit Analyzer, Cyanide ISE (Orion Vstar 92) 1 unit Balance, Analytical (KERN ANS-220-4N) 1 unit Hot plate with magnetic stirrer (IKAMAG RT10 Placer Thomas #1190V02)- 1 unit 1 unit Incuba</t>
  </si>
  <si>
    <t xml:space="preserve"> FOR JHS INSECTICIDE PARCHMENT PAPER BROWN ENVELOPE LONG FACE SHIELD PLASTIC COVER THICK WINROX BLEACHING SOLUTION DISINFECTANT SPRAY HAND SANITIZER ALCOHOL BROOM SOFT BROOM STICK HAND SOAP LIQUID DETERGENT POWDER THERMAL SCANNER HAND SOAP BAR RAG FOOT DIS</t>
  </si>
  <si>
    <t xml:space="preserve"> 1	Alcohol, 70% ethyl, 500 ml							30	bots.	100.00 2	Ballpen, Black							100	pcs.	10.00 3	Bond Paper, Long, Substance 20							50	reams	280.00 4	Bond Paper, Short, Substance 20							25	reams	235.00 5	Brown Envelope, Long							96	pcs.	12.00 6	Field Note</t>
  </si>
  <si>
    <t xml:space="preserve"> Food Assistance for LSIs, Health Workers and Utility Worker under Quarantine Facilities June 12-16, 2020 3 meals</t>
  </si>
  <si>
    <t xml:space="preserve"> Regular Office Supplies,Equipment's and Consumable Goods.. see Attached Documents</t>
  </si>
  <si>
    <t xml:space="preserve"> MEAL BOX, 3 DIVISIONS   SPORK   BOTTLED WATER, 500ML   FOR PATIENTS:   22,400 PCS. MEAL BOX, 3 DIVISIONS   896 PACKS OF SPORK  16,800 PCS OF BOTTLED WATER, 500ML FOR FRONT LINERS: 41,600 PCS MEAL BOX, 3 DIVISIONS 1,664 PACKS OF SPORK 14,000 PCS OF BOTTLED</t>
  </si>
  <si>
    <t xml:space="preserve"> REQUEST FOR QUOTATION For Negotiated Procurement thru Small Value Procurement under Sec. 53.9 of the 2016 Revised IRR of RA 9184 Quotation No.:  2020-04-160 (3RD QUOTE) Date: June 24, 2020 PR No.: 20-03-153 PR Date: March 11, 2020 The Metropolitan Tuguega</t>
  </si>
  <si>
    <t xml:space="preserve"> 1 lot Geo-Resistivity Study Three (3) Areas: Ilihan, Magdugo and Cantabaco (Toledo City, Cebu) Inclusions: *Mobilization/Demobilization *9 VES locations (3 per Area) *Recommendation and Analyses (all in on report)</t>
  </si>
  <si>
    <t xml:space="preserve"> Invitation to Bid   Procurement of WORKS:  Construction of NEAP Communal Comfort Room 1.	The Department of Education Regional Office No.2, through the NEAP-R Funds   intends to apply the sum of One Million Four Hundred Seventy Four Thousand Five Hundred F</t>
  </si>
  <si>
    <t xml:space="preserve"> Purchase of Commercial Rice for Barangay Constituents COVID-19</t>
  </si>
  <si>
    <t xml:space="preserve"> Republic of the Philippines Province of zamboanga Sibugay Municipality of Olutanga 7014 JUNE 24, 2020 NOTICE TO THE PUBLIC INVITIATION TO APPLY FOR ELIGIBILITY AND TO BID All interested bidders are invited to Pre-qualify and participate in sealed bidding </t>
  </si>
  <si>
    <t xml:space="preserve"> ITEM No. 	DESCRIPTION	UNIT	QUANTITY 1	Antimicrobial, Enrofloxacin Injectable 2.5%, 50ml Expiration Date not Earlier than 	Bottle 	5 2	Zoletil 50 General Anesthesia (5ml) Expiration Date not Earlier than 2021	Bottle 	5 3	Alfafer Forte (Iron Dextran Complex</t>
  </si>
  <si>
    <t xml:space="preserve"> For the supply and delivery of: 1	unit	FIBER ANALYZER			 		Filter Bag Technology			 		Technical Data:			 		Sample size: 0.5 - 1.0 gram			 		Fiber Range: 0% - 100%			 		Samples per batch: up to 24			 					 		Instrument Specification:			 		Dimensions: 16" W</t>
  </si>
  <si>
    <t xml:space="preserve"> June 24, 2020 REQUEST FOR QUOTATION TO ALL INTERESTED SUPPLIERS: The Philippine Institute of Volcanology and Seismology (PHIVOLCS) hereby invites legally capable suppliers to submit bids for a negotiated procurement for the PHIVOLCS’ requirement for “Supp</t>
  </si>
  <si>
    <t xml:space="preserve"> June 24, 2020 Name of Project:	PROCUREMENT AND DELIVERY OF MATERIALS FOR THE IMPROVEMENT OF COVERED PATHWALK AND REPAIR OF CONCRETE PATHWALK AT BAYUIN NHS. Sir/Madame: Please quote your lowest price for the following item enumerated below, taking into con</t>
  </si>
  <si>
    <t xml:space="preserve"> Procurement of Laboratory Supplies for the Use of Rural Health Unit, Tagudin, Ilocos Sur Attachment: Request for Quotation, Purchase Request</t>
  </si>
  <si>
    <t xml:space="preserve"> 1	keyboard,uSB							2	pcs	300.00 2	paper Fastener, Plastic, Short							20	boxes	50.00 3	paper, Bond Subs 20, long							150	reams	240.00 4	paper, Bond Subs 20, Short							100	reams	220.00 5	PVC Cover, Long 100 pc/box							1	box	480.00 6	PVC Cover, Sho</t>
  </si>
  <si>
    <t xml:space="preserve"> Job Order: (Labor and Materials) Repair/Maintenance of Central Records Building Located at Motorpool Area, DPWH R.O. XI Compound, Ramon Magsaysay Ave., Cor. Gov. Chavez St., Davao City, with a cracks (ln. m.) of Repair of Cracks on Existing Slab. 1.) Firs</t>
  </si>
  <si>
    <t xml:space="preserve"> GO-NC-2020-0306 PR2020-0425 REQUEST FOR QUOTATION FOR THE PROCUREMENT OF ATF OIL, ENGINE OIL, GEAR OIL, EPOXY, ELECTRICAL TAPE, AND VARIOUS VEHICLE SPARE PARTS TO BE USED FOR THE GOVERNMENT SERVICE VEHICLE UNDER THE OFFICE OF THE GOVERNOR COST OF CANVASS:</t>
  </si>
  <si>
    <t xml:space="preserve"> Municipality of Dolores, Quezon INVITATION TO BID FOR THE IMPROVEMENT OF PUBLIC CEMETERY (VETERANS), BRGY. BAYANIHAN, DOLORES, QUEZON The LGU, through  the General Fund (20% DF)  –intends to apply the sum of  One Million Two  Hundred  Twenty Six Thousand </t>
  </si>
  <si>
    <t xml:space="preserve"> Purchased of Supplies and Materials  for ORGANIC AGRICULTURE PRODUCTION</t>
  </si>
  <si>
    <t xml:space="preserve"> SHOPPING Printer (Print, Scan, &amp; Copy)  3/unit HP 9020 Ink (969 black)           50/pcs. HP 9020 Ink (965 cyan)            20/pcs. HP 9020 Ink (965 magenta)      20/pcs. HP 9020 Ink (965 yellow)         20/pcs. Rechargeable Battery 9V           4/pcs.</t>
  </si>
  <si>
    <t xml:space="preserve"> Republic of the Philippines BATANGAS STATE UNIVERSITY Batangas City REQUEST FOR QUOTATION "Procurement of Communication Equipment for Various Offices" 1. The Batangas State University (BatState U) through the Bids and Awards Committee invites interested f</t>
  </si>
  <si>
    <t xml:space="preserve"> THE OFFICE OF THE CITY MAYOR, SAN CARLOS CITY, PANGASINAN  IS IN NEED OF 500 BKLT TRAFFIC CITATION TICKETS FOR USED AT PUBLIC ORDER AND SAFETY OFFICE (POSO), THIS CITY.</t>
  </si>
  <si>
    <t xml:space="preserve"> Preventive Maintenance and Calibration  Qty.	Unit	Item/Description				ABC 						 2	units	Industrial Autoclave				 6,600.00  3	units	Vertical Autoclave (small)				 8,400.00  4	units	Drying Oven				 10,400.00  1	unit	Incubator with glass thermometer (small)</t>
  </si>
  <si>
    <t xml:space="preserve"> The Provincial Government of Samar invites all interested registered suppliers to submit in person or authorized representative quotation for- 				 1.	50	cyl	Liquefied Petroleum Gas (LPG) 50kgs Requisitioning Office: Samar Provincial Hospital Bid Forms ma</t>
  </si>
  <si>
    <t xml:space="preserve"> INFORMATION COMMUNICATION TECHNOLOGY EQUIPMENT</t>
  </si>
  <si>
    <t xml:space="preserve"> Ipad Pro 11" 256GB Wifi Ipad Pro 11" Keyboard Ipad Pro 11" Pen</t>
  </si>
  <si>
    <t xml:space="preserve"> &gt; 1 Unit BRAND NEW 4x4 SUV VEHICLE Technical Specifications: Model 2020 4x4 SUV Vehicle, 4-Door, AT, 4 cylinder, Car Stereo, Aircon with complete accessories Engine: at least 2.4L, 16 valves DOHC Turbo Diesel Displacement: range 2,400 cc to 2,500cc Seatin</t>
  </si>
  <si>
    <t xml:space="preserve"> Please quote your lowest price on the item/s listed below, subject to the General Conditions on 						 the last page, stating the shortest time of delivery and submit your quotation duly signed by your 						 representative not later than   ______________</t>
  </si>
  <si>
    <t xml:space="preserve"> RFQ-2020-031					 "      (Pursuant to Sec. 54.2 of the Revised Implementing Rules and Regulation of R.A. 9184)  Alternative Mode of Procurement of Supply &amp; Delivery of  varoius materials use for the installation of Jetmatic Pumps and Street Lights  at Mor</t>
  </si>
  <si>
    <t xml:space="preserve"> Item	Qty.	Unit of	ITEM  Description No.		Issue	 1	442	ream	Bond Paper (long)</t>
  </si>
  <si>
    <t xml:space="preserve"> 1	35	box	Bottled Water350ml 2	80	bags	Biscuits  3	40	bags	Nescafe 3 in 1 4	10	pcs	Office Curtains 5	24	pcs	Spoon 6	24	pcs	Plate Ceramic 7	22	doz	Cup &amp; Saucers 8	1	unit	Wall clock (digital) 9	1	unit	Rice cooker 10 cups 10	4	pcs	Water heater 2 Ltrs. 11	4	pc</t>
  </si>
  <si>
    <t xml:space="preserve"> REPUBLIC OF THE PHILIPPINES   DEPARTMENT OF AGRARIAN REFORM   Tunay na Pagbabago sa Repormang Agraryo Project Reference No. NO-2020-011 INVITATION TO BID  “Procurement of Farm Machineries and Equipment  For Major Crop Based Block Farm Productivity for DAR</t>
  </si>
  <si>
    <t xml:space="preserve"> OPENING OF BIDS IN DSWD FO IX ZAMBOANGA CITY							 DELIVERY IN AVRC III MAMPANG PROCUREMENT FOR THE FF.							 							 40 PAX- 14 DAYS WITH 3 MEALS (BREAKFAST, LUNCH AND DINNER) ************************************************************************ PUR</t>
  </si>
  <si>
    <t xml:space="preserve"> Republic of the Philippines Provincial Government of Northern Samar BIDS and AWARDS COMMITTEE REQUEST FOR QUOTATION                        Date: June 22, 2020 RFQ No.: 20-06-0177 Name of Supplier (Business Name): _________________________________________ </t>
  </si>
  <si>
    <t xml:space="preserve"> Republic of the Philippines PROVINCE OF CAMARINES SUR BIDS AND AWARDS COMMITTEE ITB No. 033-07-2020 INVITATION TO BID  	The Provincial Government of Camarines Sur (PGCS) through its Bids and Awards Committee (BAC) invites suppliers/manufacturers/distribut</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</si>
  <si>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</si>
  <si>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The Provincial Government of Samar invites all interested registered suppliers to submit in person or authorized representative quotation for- 				 1.	3353.5		liter	Diesel 2.	20		liter	Gasoline Requisitioning Office: Basey District Hospital Bid Forms may </t>
  </si>
  <si>
    <t xml:space="preserve"> 8      PC        ENGINE SUPPORT 8      PC        TAIL LIGHT ASSY 4      PC        CAR FAN 8      PC        OIL SEAL 8      PC        WIPER BLADE 6      PC        TRANSMISSION SUPPORT 2      PC        STEERING RACK ASSY 2      PC        STEERING PUMP ASSY </t>
  </si>
  <si>
    <t xml:space="preserve"> Purchase of Office Equipment for MDRRM Office @ Samal, Bataan 1 unit - Laptop ( Intel Core i7-b565U 14" FHD lPS Touch 8GB 512GB            NVME SSD Shared Win10 Pro with Stylus and Sleeves US MIL-STD)</t>
  </si>
  <si>
    <t xml:space="preserve"> 1. The Polomolok Water District now invites Bids from MANUFACTURERS/SUPPLIERS &amp; ELIGIBLE BIDDERS for the Supply, Delivery and Commissioning of Generator Sets and Automatic Transfer Switch for PS No. 9 and No 9A with an approved budget amounting to PhP 950</t>
  </si>
  <si>
    <t xml:space="preserve"> INVITATION TO BID  Procurement and Delivery of Meals, Venue and Accommodation  for the 2020 Census of Population and Housing (CPH)  Third Level Training – PSA Quezon 1.	The Philippine Statistics Authority, RSSO IV-A, through the General Fund for 2020 inte</t>
  </si>
  <si>
    <t xml:space="preserve"> The Department of Agriculture-RFO 3, invites interested suppliers to submit quotations/proposals for the hereunder requirement, to wit: Supply and delivery of various office supplies to be used in the HR Management Section for CY 2020				 						 30	box	Da</t>
  </si>
  <si>
    <t xml:space="preserve"> The Provincial Government of Samar invites all interested registered suppliers to submit in person or authorized representative quotation for- 				 1.	8555	liters	Diesel Requisitioning Office: Calbayog District Hospital Bid Forms may be secured from the S</t>
  </si>
  <si>
    <t xml:space="preserve"> Fuel, Oil and Lubricants</t>
  </si>
  <si>
    <t xml:space="preserve"> Republic of the Philippines DEPARTMENT OF HEALTH WESTERN VISAYAS Center for Health Development INVITATION TO BID FOR THE  Procurement of NAAT – LAMP Reagents and Consumables, IB No. SB-2020-022 1.	The Department of Health – WV CHD, through the SAA-20-04-0</t>
  </si>
  <si>
    <t xml:space="preserve"> REQUEST FOR QUOTATION No. 2020-043 1.	The Municipality of Cabiao, Nueva Ecija, through its Bids and Awards Committee (BAC), invites suppliers/manufacturers/distributors to bid if found eligible, to bid for the Procurement of Furniture at MDRRM Office in a</t>
  </si>
  <si>
    <t xml:space="preserve"> Republic of the Philippines Province of Nueva Vizcaya BIDS AND AWARDS COMMITTEE (BAC-Goods) BAC OFFICE, Provincial Capitol, Bayombong, Nueva Vizcaya 	 REQUEST FOR QUOTATION (RFQ)  For the Procurement 1,429 pax Meals &amp; Snacks, etc. For the Sangguniang Panl</t>
  </si>
  <si>
    <t xml:space="preserve"> Materials for the rehabilitation/improvement of City Health Office, Old City Hall Building</t>
  </si>
  <si>
    <t xml:space="preserve"> PHO-NC-2020-121 REQUEST FOR QUOTATION FOR THE PROCUREMENT OF LAPTOPS, DESKTOP COMPUTERS, EXTERNAL HARD DRIVE, PRINTER, UPS, HANDHELD RADIO, HANDHELD BARCODE READER KIT, AND DSLR CAMERA WITH LENS TO BE USED IN THE OFFICE IT OPERATIONS (ADMIN, WARD, LABORAT</t>
  </si>
  <si>
    <t xml:space="preserve"> OFFICE SUPPLIES FOR R &amp; D Division</t>
  </si>
  <si>
    <t xml:space="preserve"> GO-NC-2020-0328 REQUEST FOR QUOTATION FOR THE PROCUREMENT OF FUEL (DIESEL) FOR USE AT THE OFFICE OF THE GOVERNOR AND ITS SATELLITE OFFICES INCLUDING IN THE DELIVERY OF ALL MEDICINES TO ALL HOSPITALS IN THE PROVINCE OF BOHOL COST OF CANVASS: P 500.00</t>
  </si>
  <si>
    <t xml:space="preserve"> REPUBLIC OF THE PHILIPPINES NATIONAL CAPITAL REGION DIVISION OF MARIKINA CITY CONCEPCION INTEGRATED SCHOOL (SECONDARY LEVEL) BIDS AND AWARDS COMMITTEE Request for Quotation (RFQ) (for SVP)                          Date:	06/25/2020                     Quot</t>
  </si>
  <si>
    <t xml:space="preserve"> Republic of the Philippines Province of Cebu Municipality of Malabuyoc BIDS AND AWARDS COMMITTEE INVITATION TO APPLY FOR ELIGIBILITY AND TO BID Advertisement No. 2020-4 The Municipality of Malabuyoc, through its Bids and Awards Committee (BAC), invites co</t>
  </si>
  <si>
    <t xml:space="preserve"> PURCHASE</t>
  </si>
  <si>
    <t xml:space="preserve"> Dear Sir/Madam Please quote your lowest net price/s on the item/s listed below, giving full detailed description of your offer. Submit your quotation in accordance with Item No.1 of the General Condition printed at the back, together with all samples, dra</t>
  </si>
  <si>
    <t xml:space="preserve"> Municipality of Indang, Cavite</t>
  </si>
  <si>
    <t xml:space="preserve"> Specifications: 1.	CARABULL WITH BULLCART Specification: Carabao: bull 4-5 years old, 400-500 kg. Bullcart: body made of metal with two wheel	units	3 2.	COLLAPSIBLE DRYER Specification: Collapsible Dryer-II-25 Woven coated polyethylene (PE) Color: Black T</t>
  </si>
  <si>
    <t xml:space="preserve"> PEO-NC-2020-0329 REQUEST FOR QUOTATION FOR THE PROCUREMENT OF AGGREGATE SUBBASE COURSE (ANAPOG) FOR MANUAL PATCHING, MANUAL REPAIR OF UNPAVED SURFACE AND ROAD RESURFACING ROAD OF PMD II SET 1 AND 2 COST OF CANVASS: P 1,000.00</t>
  </si>
  <si>
    <t xml:space="preserve"> ITEM No. 	DESCRIPTION	UNIT	QUANTITY 1	Clutch Lining, 10T x 14" 	piece	1 2	Wind Sheild, Giga Standard with Installation	piece	1 3	Clutch Booster	unit	1 4	Side Mirror	set	1 5	Propeller Bolt	piece	4 6	Wheel Cylinder, H40	piece	4 7	Power Window Riser, Right O</t>
  </si>
  <si>
    <t xml:space="preserve"> INVITATION TO BID CATERING SERVICES FOR RESPONSE OPERATION – 2ND BIDDING 1.	The Local Government Unit of Cabadbaran City through the PEACE &amp; ORDER FUND intends to apply the sum of FOUR HUNDRED NINETY-EIGHT THOUSAND EIGHT HUNDRED PESOS ONLY (P 498,800.00) </t>
  </si>
  <si>
    <t xml:space="preserve"> Republic of the Philippines DEPARTMENT OF PUBLIC WORKS AND HIGHWAYS LAGUNA I  DISTRICT ENGINEERING OFFICE REGIONAL OFFICE NO. IV-A Santa Cruz, Laguna 									June 24, 2020 NOTICE OF PROCUREMENT THROUGH ALTERNATIVE METHOD 	Notice is given that the DPWH-La</t>
  </si>
  <si>
    <t xml:space="preserve"> REQUEST FOR QUOTATION NOTICE The DPWH Samar First District Engineering Office, Brgy. San Policarpo, Calbayog City through the Bids &amp; Awards Committee, invites suppliers/manufacturers/distributors/ contractors to submit quotation and to bid for the hereund</t>
  </si>
  <si>
    <t xml:space="preserve"> Electronic equipment and accessories.</t>
  </si>
  <si>
    <t xml:space="preserve"> ITEM No. 	DESCRIPTION	UNIT	QUANTITY 1	Worm Gear Assy	unit	1</t>
  </si>
  <si>
    <t xml:space="preserve"> INVITATION TO BID (RE-BID) A.	The DPWH, Negros Oriental 1st District Engineering Office, Tinaogan, Bindoy, Negros Oriental now invites contractors to apply to bid for the contract(s); Contract ID # 		20HJ0119 Contract Name 	Repair and Rehabilitation of In</t>
  </si>
  <si>
    <t xml:space="preserve"> Agricultural Products</t>
  </si>
  <si>
    <t xml:space="preserve"> 1	Tablet		1	unit 	Camera; 8MP, 8 element lens, line focus			 	Autofocus: Panorama 43 MP, Burst Mode			 	Color: Gray			 	Capacity: 128 GB			 	Length: 250mm			 	Width: 174 mm			 	Thickness: 7.5 mm			 	Brightness: 500 nits			 	Display: 10.2 inch LED Backlist</t>
  </si>
  <si>
    <t xml:space="preserve"> Ballpen (Black &amp; Blue) 200 pcs Pencil 200 pcs Eraser 200 pcs Sharpener 200 pcs Rechargeable Battery (AA &amp; AAA) 10 pcs Manila Paper 5 pack Writing Notebook (spring/non spring; 50-80 leaves) 150 pcs Composition Notebook (spring/non spring; 50-80 leaves) 300</t>
  </si>
  <si>
    <t xml:space="preserve"> Republic of the Philippines BATANGAS STATE UNIVERSITY Batangas City REQUEST FOR QUOTATION "Procurement of Chairs for BatStateU Lipa Campus" 1. The Batangas State University (BatState U) through the Bids and Awards Committee invites interested firms/suppli</t>
  </si>
  <si>
    <t xml:space="preserve"> Ref.No./PR No./Description:  INFRA2020-AG6-008/MG-A7C20-016/A6 Construction of Concrete Barrier Below Access Road Area, Agus 6/7 HEPC, Fuentes, Maria Cristina, Iligan City 1. Clearing and Site Preparation  2. Earthworks  3. Reinforcement Steel Works DSB  </t>
  </si>
  <si>
    <t xml:space="preserve"> Purchase of Food Stuff and Supplies for Barangay Constituents COVID-19</t>
  </si>
  <si>
    <t xml:space="preserve"> Additional materials for the rehab of Gabaldon Building OMHS</t>
  </si>
  <si>
    <t xml:space="preserve"> Purchase of Medicine for brgy Health Center</t>
  </si>
  <si>
    <t xml:space="preserve"> INVITATION TO BID The Department of Public Works and Highways - Pampanga 1st District Engineering Office, through its Bids and Awards Committee (BAC), invites contractors to submit bids for the following Contract: 1.	 Procurement ID/Contract ID	:	20CG0158</t>
  </si>
  <si>
    <t xml:space="preserve"> Liquid Ink Rollerball pen		10 	box &gt;12 pcs per box			 &gt;Ink Color: Blue			 &gt;Medium Tip			 &gt;Writing width : 0.40 mm			 &gt;Tip size : 0.70 mm			 Liquid Ink Rollerball pen		10 	box &gt;12 pcs per box			 &gt;Ink Color: Blue			 &gt;Broad Tip			 &gt;Writing width : 0.60 mm			</t>
  </si>
  <si>
    <t xml:space="preserve"> Republic of the Philippines BOHOL ISLAND STATE UNIVERSITY Main Campus, Tagbilaran City INVITATION TO BID FOR THE RE-BIDDING OF LOT 1: SUPPLY, DELIVERY AND INSTALLATION OF GARMENTS TECHNOLOGY EQUIPMENT FOR CTE EXTENSION PROGRAM (PR NO. 2020-02-0281) LOT 2:</t>
  </si>
  <si>
    <t xml:space="preserve"> INVITATION TO BID Purchase and Delivery of Cell Cards for the Month of July to December 2020  ITB 2020-06-035(GOODS) 1. 	The Municipality of Tuba, through the Budget for the contract approved by the Sangguniang Bayan for CY 2020 intends to apply the sum o</t>
  </si>
  <si>
    <t xml:space="preserve"> Municipality of Indang, Cavitre</t>
  </si>
  <si>
    <t xml:space="preserve"> 2 pail Grease 10 pail engine Oil Diesel SAE 40 15 pail Hrdraulic Oil 10</t>
  </si>
  <si>
    <t xml:space="preserve"> 25 box alcohol 4 box scissor big 5 box signpen 5 box hand sanitizer 25 pcs. signpen assorted color 25 pcs. correction tape 34 rms. bookpaper long 34 rms. bookpaper short 35 pcs. bondpaper A4 1 box envelope mailing white long 500s 30 roll/10s Record book 5</t>
  </si>
  <si>
    <t xml:space="preserve"> Mats. for the rehabilitation of Comelec Office</t>
  </si>
  <si>
    <t xml:space="preserve"> COMPLETION OF OTOP CENTER- SINAIT, I. SUR I	Painting Works II	Tile Works III.	Ceiling Works SPL	Construction Safety &amp; Health IMPROVEMENT OF MULTI-PURPOSE BUILDING- Brgys. Calanutian, Zapat, Tubigay, Ricudo, Binacud &amp; Masadag, Sinait, Ilocos Sur I	Painting</t>
  </si>
  <si>
    <t xml:space="preserve"> 1.	The MUNICIPALITY OF GUINAYANGAN, QUEZON, through  the  PCB-TRUST Fund  intends to apply the sum of  One Hundred Eighty Thousand Pesos (P 180,000.00) being the Approved Budget for the Contract (ABC) to payments under the contract for Supply and Delivery</t>
  </si>
  <si>
    <t xml:space="preserve"> INVITATION TO BID FOR THE  PURCHASE OF UNIFORM FOR CENRO PERSONNEL - CENRO 1.	The City Government of Bacoor, Cavite, through the General Fund Year 2020 intends to apply the sum of EIGHT HUNDRED THOUSAND PESOS AND ZERO CENTAVO (PhP800,000.00) being the App</t>
  </si>
  <si>
    <t xml:space="preserve"> PROCUREMENT OF VARIOUS OFFICE FURNITURE DINING SET (6 SEATER ) Materials:  Table: Top - MDF with SAP Walnut Crown Cut Random Match Venner Base: Solid Rubber Wood Chair: Solid Rubber Wood &amp; L &amp; L Veneer Color: Table: Walnut, Chair: Beige" SOFA SET (3-1-1) </t>
  </si>
  <si>
    <t xml:space="preserve"> 1. AMPALAYA Vegetable Seeds, 3,510 pack 2. EGGPLANT Vegetable Seeds, 1,404 pack 3. SRING BEANS Vegetable Seeds, 702 pack 4. TOMATO Vegetable Seeds, 1,404 pack 5. FERTILIZER, Complete, 140 Sack 6. FERTILIZER, Urea, 140 Sack 7. PESTICIDES, 250ml 702 btls. 8</t>
  </si>
  <si>
    <t xml:space="preserve"> Republic of the Philippines Province of Cebu Municipality of Malabuyoc BIDS AND AWARDS COMMITTEE INVITATION TO APPLY FOR ELIGIBILITY AND TO BID Advertisement No. 2020-5 The Municipality of Malabuyoc, through its Bids and Awards Committee (BAC), invites co</t>
  </si>
  <si>
    <t xml:space="preserve"> Republic of the Philippines DEPARTMENT OF PUBLIC WORKS AND HIGHWAYS SURIGAO DEL SUR II DISTRICT ENGINEERING OFFICE REGIONAL OFFICE XIII Bislig City INVITATION TO BID The Department of Public Works and Highways (DPWH), Surigao del Sur 2nd District Engineer</t>
  </si>
  <si>
    <t xml:space="preserve"> cbys	300	Sodium Hypochlorite	 183,000.00 	 		(NaOCL) ± 7.10 % minimum (NaOCL)		 		Concentration @ 22 kgs/carboy</t>
  </si>
  <si>
    <t xml:space="preserve"> The Municipality of Baggao, through the Bids and Awards Committee intends to enter into Negotiated Procurement (due to two-failed public biddings) to a qualified bidder for the procurement of Goods, to wit: GOODS	ABC Lot1-Purchase of Office &amp; IT Equipment</t>
  </si>
  <si>
    <t xml:space="preserve"> Materials for the construction of motorpool</t>
  </si>
  <si>
    <t xml:space="preserve"> Republic of the Philippines DEPARTMENT OF PUBLIC WORKS AND HIGHWAYS LAGUNA I  DISTRICT ENGINEERING OFFICE REGIONAL OFFICE NO. IV-A 	Santa Cruz, Laguna	            Invitation to Bid The Department of Public Works and Highways- Laguna I District Engineering</t>
  </si>
  <si>
    <t xml:space="preserve"> INVITATION TO BID SUPPLY &amp; DELIVERY OF MEDICINES Reference No.: GDS-20-053 The MUNICIPAL GOVERNMENT OF DARAGA, through the Municipal Annual Budget, intends to apply the sum of Four Million Seven Hundred Eighteen Thousand Five Hundred Twenty Eight Pesos 60</t>
  </si>
  <si>
    <t xml:space="preserve"> The Provincial Government of Samar invites all interested registered suppliers to submit in person or authorized representative quotation for- 				 1.	4	pcs	Tire 265/70R16 2.	6	pcs	Tire 750x16 3.	4	pcs	Tire185R14C 4.	5	pcs	Tire 235/70 R15 Requisitioning O</t>
  </si>
  <si>
    <t xml:space="preserve"> Please see attached Request for Quotation</t>
  </si>
  <si>
    <t xml:space="preserve"> Municipality of Claver				Project Reference Number: _______________ 						Name of the Project: ___________________ 						Location of the Project:_________________ Standard Form Number: SF- GOOD-60 Revised: May 24, 2004 Standard Form Title: REQUEST FOR QUO</t>
  </si>
  <si>
    <t xml:space="preserve"> For specifications and other details, please download the Request for Quotation (RFQ) form at the ASSOCIATED COMPONENTS. You may call at 8249-2000 local 4423 during office hours for further inquiries.</t>
  </si>
  <si>
    <t xml:space="preserve"> MTOP FORMS ( LINEN BOARD)	2500	PCS	67,500.00</t>
  </si>
  <si>
    <t xml:space="preserve"> Pag-IBIG FUND Tuguegarao Branch Office Editha Tuddao Bldg., Balzain Road, Tuguegarao City, Cagayan REQUEST FOR QUOTATION SUPPLY AND DELIVERY OF 2 UNITS BRAND NEW THERMAL PRINTER  FOR Pag-IBIG FUND, CAUAYAN BRANCH The Pag-IBIG Fund (HDMF) is inviting Suppl</t>
  </si>
  <si>
    <t xml:space="preserve"> The Provincial Government of Samar invites all interested registered suppliers to submit in person or authorized representative quotation for- 				 1.	2000	pcs	Slippers 2.	2000	pcs	Toothbrush 3.	2000	pcs	Toothpaste (12g) 4.	2000	pcs	Bath Soap (small) 5.	2</t>
  </si>
  <si>
    <t xml:space="preserve"> The Provincial Government of Samar invites all interested registered suppliers to submit in person or authorized representative quotation for- 				 1.	1	unit	Scanner Ink, WF-C869 R, Black 2.	1	unit	Scanner Ink, WF-C869 R, Magenta 3.	1	unit	Scanner Ink, WF</t>
  </si>
  <si>
    <t xml:space="preserve"> OPA-NC-2020-0340 REQUEST FOR QUOTATION FOR THE PROCUREMENT OF HYBRID RICE SEEDS (NSIC Rc 124H VARITY) FOR DISTRIBUTION TO RICE FARMERS AND BAFF MEMBERS AS PRODUCTION SUPPORT BY PROVIDING HIGH QUALITY RICE SEEDS TO INCREASE PRODUCTION YIELD OF FARMERS AND </t>
  </si>
  <si>
    <t xml:space="preserve"> 1) 160 pcs. Basketball -Uniform 2) 120 pcs. - Volleyball - Uniform to be given to different department in the Local Government Unit (LGU), City of Talisay.</t>
  </si>
  <si>
    <t xml:space="preserve"> Republic of the Philippines Province of Nueva Ecija Municipality of Cuyapo OFFICE OF THE BIDS AND AWARDS COMMITTEE REQUEST FOR QUOTATION The Municipal Government of Cuyapo, Nueva Ecija  , through its Bids and Awards Committee, shall undertake procurement </t>
  </si>
  <si>
    <t xml:space="preserve"> Republic of the Philippines Province of Cebu Municipality of Malabuyoc BIDS AND AWARDS COMMITTEE INVITATION TO APPLY FOR ELIGIBILITY AND TO BID Advertisement No. 2020-6 The Municipality of Malabuyoc, through its Bids and Awards Committee (BAC), invites co</t>
  </si>
  <si>
    <t xml:space="preserve"> OPA-RASS-NC-2020-0339 REQUEST FOR QUOTATION FOR THE PROCUREMENT OF DRIP IRRIGATION SYSTEM, GASOLINE WATER PUMP, PE SILVER &amp; BLACK MULCHING FILMS TO PROVIDE IRRIGATION EQUIPMENT TO FARMERS AND STAKEHOLDERS OF THE VEGETABLE INDUSTRY IN THE PROVINCE OF BOHOL</t>
  </si>
  <si>
    <t xml:space="preserve"> Please see attached file</t>
  </si>
  <si>
    <t xml:space="preserve"> Laptop Computer		4 	unit &gt; processor: Intel i5-7th Generation Processor, 2.5GHz processor base clock speed, 3.1 Ghz max turbo frequency, 3MB shared cache, 2 cores			 &gt; RAM: 8GB DDR4-2133 onboard			 &gt; storage/hard disk: 256GB Solid State Drive			 &gt; display</t>
  </si>
  <si>
    <t xml:space="preserve"> Description   The Department of Agriculture-RFO 3, invites interested suppliers to submit quotations/proposals for the hereunder requirement, to wit: 15	ream	PAPER, Multi-Purpose (COPY) A4, 70 gsm 15	ream	PAPER, Multi-Purpose (COPY) Legal, 70 gsm 20	bottl</t>
  </si>
  <si>
    <t xml:space="preserve"> TO CONSTRUCT STONE MASONRY SLOPE PROTECTION</t>
  </si>
  <si>
    <t xml:space="preserve"> The Provincial Government of Samar invites all interested registered suppliers to submit in person or authorized representative quotation for- 				 1.	2	unit	Android Phone 64 GB or up device storage 8RAM Higher Specification: 	(Octacore 8GB + 128GB MP, 64</t>
  </si>
  <si>
    <t xml:space="preserve"> Please download RFQ in the Associated Components</t>
  </si>
  <si>
    <t xml:space="preserve"> INSTALLATION OF CCTV</t>
  </si>
  <si>
    <t xml:space="preserve"> Purchase and delivery of 4 units laptop to be used at the City College of Calapan</t>
  </si>
  <si>
    <t xml:space="preserve"> Republic of the Philippines  ANGELES CITY WATER DISTRICT  Angeles City  REQUEST FOR QUOTATIONS  SUPPLIER: PR No.: 20-06-021-EM ADDRESS: DATE:  CONTACT NOS.: ________________________________  Please submit your quotations for the following items on or befo</t>
  </si>
  <si>
    <t xml:space="preserve"> The Philippine Crop Insurance Corporation (PCIC) invites interested PHILGEPS registered suppliers to send proposal for the “Supply of Health Maintenance Services for 2020-2021”. Please order/download Associated Components for the complete details of the I</t>
  </si>
  <si>
    <t xml:space="preserve"> The City Government of Koronadal, through its Bids and Awards Committee (BAC) will undertake a Negotiated Procurement – Small Value Procurement for the “ SEEDLINGS TO BE USED FOR TREE GROWING ON JUNE 29, 2020 “ in accordance with  Section 53.9 of the 2016</t>
  </si>
  <si>
    <t xml:space="preserve"> Republic of the Philippines DEPARTMENT OF HEALTH WESTERN VISAYAS Center for Health Development INVITATION TO BID FOR THE  Procurement of Drugs Medicines for Botika ng Bayan IB No. SB-2020-024 1.	The Department of Health – WV CHD, through the 2019 NCPAM CO</t>
  </si>
  <si>
    <t xml:space="preserve"> SUPPLY AND DELIVERY OF OFFICE SUPPLY AT SILAY NORTH ELEMENTARY SCHOOL (FREE DELIVERY)</t>
  </si>
  <si>
    <t xml:space="preserve"> Stock No.	Item Description					QTY 	Unit 1	Computer Ink (Black #003, 65ml)					20	bottles 2	Computer Ink (Cyan #003, 65 ml)					15	bottles 3	Computer Ink (magenta #003, 65ml)					15	bottles 4	Computer Ink (yellow #003, 65 ml)					15	bottles 5	Book Paper S</t>
  </si>
  <si>
    <t xml:space="preserve"> National Power Corporation INVITATION TO BID PUBLIC BIDDING 2020-0138 1.	The NATIONAL POWER CORPORATION (NPC), through       its        approved       Corporate Budget of CY 2020 intends to apply   the   sum   of (Please see schedule below) being the Appr</t>
  </si>
  <si>
    <t xml:space="preserve"> Cadiz City SF-GOOD-60 Standard Form Title: Request for Quotation 										_______________ 					             ______________________ ______________________ 	Please quote your lowest price on the items listed below, subject to the General Conditions on the </t>
  </si>
  <si>
    <t xml:space="preserve"> INVITATION TO BID The DPWH Isabela 4th District Engineering Office through its Bids and Awards Committee (BAC), invites contractors to submit bids for the following Contract: Procurement ID / Contract ID			: 20BH0145 Contract Name/                        </t>
  </si>
  <si>
    <t xml:space="preserve"> Request for Quotation: RFQ-2006-589 1. unit Laptop             Specs.             9th Gen Intel Core i5-9300H Processor Windows             10 Home, 86B Memory, 512 GB SSP, 4GB GDRRG             NVIDIA Geforce GTX 1650, 15.6" FHD             (1920 X 1080)</t>
  </si>
  <si>
    <t xml:space="preserve"> Agricultural Products for Enhancement of Palayamanan Plus Project *Please refer to an attached RFQ for the items **Please see an attached document in ASSOCIATED COMPONENTS for the RFQ</t>
  </si>
  <si>
    <t xml:space="preserve"> Republic of the Philippines  ANGELES CITY WATER DISTRICT  Angeles City  REQUEST FOR QUOTATIONS  SUPPLIER: PR No.: 20-03-10-EM ADDRESS: DATE:  CONTACT NOS.: ________________________________  Please submit your quotations for the following items on or befor</t>
  </si>
  <si>
    <t xml:space="preserve"> Description: Please quote your lowest price inclusive of VAT on the item/s listed below, subject to the Terms and Conditions of this RFQ, and submit your quotation duly signed by your representative not later than December 26, 2018 at Bids and Awards Comm</t>
  </si>
  <si>
    <t xml:space="preserve"> The Provincial Government of Samar invites all interested registered suppliers to submit in person or authorized representative quotation for- 				 1.	100	pcs	G.I. Corr. Sheet 12ft 2.	10	kls	Umbrella Nails 3.	5	Liters	Elastomeric Sealant Requisitioning Of</t>
  </si>
  <si>
    <t xml:space="preserve"> 10	T/L	SI (ELF) 110	BAGS	CEMENT 5	KLS	CONCRETE NAIL 15	PCS	TUBULAR 1.5 X 1 X 1 5	ROLLS	FISHING CORD 12	TIN	RUBBERIZED PAINT 6	TIN	LATEX PAINT 4	LTRS	TINTING ACRYCOLOR PAINT 5	PCS	PAINT BRUSH #2 6	PCS	ROLLER PAINT #7 1	PACKS	RAGS 5	ROLLS	MASKING TAPE #1</t>
  </si>
  <si>
    <t xml:space="preserve"> Office Supplies - Supply and Delivery of Cleaning Supplies Tools and Materials for the Division Office</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</si>
  <si>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</si>
  <si>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150 unit IV STAND -heavy duty -stainless steel type 201 -four hooks; holds up to 1.5 - 2kgs of IV fluids each hook -height adjustment up to 6-8ft. -Base: Stainless rectangular tube 4 leg, 15-20cm size each leg, with 5-6cm size Rubber Caster Wheels -with w</t>
  </si>
  <si>
    <t xml:space="preserve"> 270 - participants - Meals ( AM/PM Snacks &amp; Lunch) 1st Batch July 6-8, 2020 - 6 Classroom  2nd Batch July 9-11, 2020 - 6 Classroom</t>
  </si>
  <si>
    <t xml:space="preserve"> The City Government of Koronadal, through its Bids and Awards Committee (BAC) will undertake a Negotiated Procurement – Small Value Procurement for the “ MARINE, AQUACULTURE &amp; OTHER RELATIVE SUPPLIES FOR USE IN SUPPORT TO THE FISHERIES PROGRAM OF THE CITY</t>
  </si>
  <si>
    <t xml:space="preserve"> BUSINESS FORM ( LINEN BOARD)	2500	PCS	67,500.00</t>
  </si>
  <si>
    <t xml:space="preserve"> NOTICE IS HEREBY GIVEN that the National Food Authority Regional Office V, thru its Regional Procurement Committee (RPC) intends to procure thru Small Value Procurement for the Supply and Delivery of 5-Units Airconditioning Units.</t>
  </si>
  <si>
    <t xml:space="preserve"> Republic of the Philippines City of Gapan Province of Nueva Ecija ------------------------------------------------------------------------------ Invitation to Bid for the Supply and Delivery of One (1) Unit Service Ambulance 1.	The City Government of Gapa</t>
  </si>
  <si>
    <t xml:space="preserve"> HOP-QR-PRO-005 Republic of the Philippines Department of Health DAVAO REGIONAL MEDICAL CENTER Apokon, Tagum City BIDS AND AWARDS COMMITTEE INVITATION TO BID FOR THE SUPPLY &amp; DELIVERY OF MEDICAL EQUIPMENT FOR NEURO-SPINE SURGERY USE 1.	The Davao Regional M</t>
  </si>
  <si>
    <t xml:space="preserve"> Republic of the Philippines PROVINCE OF PAMPANGA City of San Fernando INVITATION TO BID NO. 2020-20 IG-BAC INVITATION TO BID FOR PURCHASE REQUEST NO. 20-0661 and 20-0852 The Provincial Government of Pampanga (“Province”) intends to apply the following sum</t>
  </si>
  <si>
    <t xml:space="preserve"> Grinding and roasting machines for cacao, weighing scales, sealer, moisture tester, bag closer, platform trolley and winnower</t>
  </si>
  <si>
    <t xml:space="preserve"> CMO-COMMUNITY AFFAIRS DIVISION P.R. No. : 2020-01-0573 Date: 01/06/2020 Date: 100,000.00 Motorcycle Air Cooled, 4-stroke, 2-valve, 125 cc, carburetor, 11L. Unit must be Registered to LGU-Island Garden City of Samal, with GSIS Insurance and must be in red </t>
  </si>
  <si>
    <t xml:space="preserve"> 20-10042</t>
  </si>
  <si>
    <t xml:space="preserve"> R.L 2x2x8 Marine Plywood 3/8 Copper Nails Floater Frame Epoxy G.I Pipe #2 Nylon #2 Epoxy Paint Blue Epoxy Paint White Epoxy Reducer Roller Brush Sand Paper Paint Brush</t>
  </si>
  <si>
    <t xml:space="preserve"> Republic of the Philippines DEPARTMENT OF EDUCATION Caraga Administrative Region DIVISION OF AGUSAN DEL NORTE Butuan City REQUEST FOR QUOTATION The Department of Education, Division of Agusan del Norte through its Bids and Awards Committee (BAC) invites P</t>
  </si>
  <si>
    <t xml:space="preserve"> Request for Quotation:  RFQ-#2006-588 1. 1 pcs. Communication Equipments GPS, WIFI with Labor     and Installation services</t>
  </si>
  <si>
    <t xml:space="preserve"> 580	col cm	Publication of City Ordinance No. 164 S. 		2020 (580 Col. Cm x 90 x 3 issues) 300	col cm	Publication of City Ordinance No. 164 S. 		2020 (300 Col. Cm x 90 x 3 issues) 300	col cm	Publication of City Ordinance No. 164 S. 		2020 (300 Col. Cm x 90 </t>
  </si>
  <si>
    <t xml:space="preserve"> To avail termite control services</t>
  </si>
  <si>
    <t xml:space="preserve"> PHO-NC-2020-111 PR2020-158 REQUEST FOR QUOTATION FOR THE PROCUREMENT OF FILING RACK, FILING CABINET, MONOBLOC CHAIRS, AND STEEL CABINET FOR HOSPITAL USE, CCH, CLARIN, BOHOL COST OF CANVASS: P 150.00</t>
  </si>
  <si>
    <t xml:space="preserve"> line item</t>
  </si>
  <si>
    <t xml:space="preserve"> Republic of the Philippines Province of Bukidnon MUNICIPALITY OF TALAKAG  	 INVITATION TO SUBMIT QUOTATION FOR THE PROCUREMENT OF GOODS RECOMMENDED FOR SMALL VALUE PROCUREMENT PURSUANT TO SECTION 53.9 OF THE REVISED IMPLEMENTING RULES AND REGULATION OF R.</t>
  </si>
  <si>
    <t xml:space="preserve"> 75        CU.M        BOULDERS 200      CU.M        PORTLAND CEMENT 35        CU.M        SCREENED GRAVEL 40        CU.M        WASHED SAND</t>
  </si>
  <si>
    <t xml:space="preserve"> Republic of the Philippines								 Department of Health								 VICENTE SOTTO MEMORIAL MEDICAL CENTER								 B. Rodriguez St., Cebu City, 6000								 TELEFAX : 2532182/2540057								 			Email: vsmmc_procurement@yahoo.com					 (Establishment/Supplier)	</t>
  </si>
  <si>
    <t xml:space="preserve"> REQUEST FOR QUOTATION											 SUPPLY AND DELIVERY OF PROFICIENCY TESTING (PT)											 SMALL VALUE PROCUREMENT											 											 INSTRUCTION:										              	 	1.	Supplies are required to read the instructions and fill all the blanks pro</t>
  </si>
  <si>
    <t xml:space="preserve"> Please see attached request for quotations</t>
  </si>
  <si>
    <t xml:space="preserve"> The Provincial Government of Samar invites all interested registered suppliers to submit in person or authorized representative quotation for- 				 1.	4000	liters	Diesel Requisitioning Office: Gandara District Hospital Bid Forms may be secured from the Se</t>
  </si>
  <si>
    <t xml:space="preserve"> Republic of the Philippines DEPARTMENT OF HEALTH WESTERN VISAYAS Center for Health Development INVITATION TO BID FOR THE  Procurement of Drugs and Medicines for Outreach Activities, IB No. SB-2020-023 1.	The Department of Health – WV CHD, through the PHM </t>
  </si>
  <si>
    <t xml:space="preserve"> OPV-NC-2020-0327 REQUEST FOR QUOTATION FOR THE PROCUREMENT OF PLASTIC DRUMS WITH SAFE LOCK (ITEM NO.1) FOR DISTRIBUTION TO PO PARTNERS/FARMERS IN SUPPORT TO LIVESTOCK &amp; POULTRY COST OF CANVASS: P 250.00</t>
  </si>
  <si>
    <t xml:space="preserve"> REPUBLIC OF THE PHILIPPINES   DEPARTMENT OF AGRARIAN REFORM   Tunay na Pagbabago sa Repormang Agraryo Project Reference No. NO-2020-012 INVITATION TO BID  “Procurement of Farm Machineries and Equipment  For Major Crop Based Block Farm Productivity for DAR</t>
  </si>
  <si>
    <t xml:space="preserve"> The Provincial Government of Laguna through its Bids and Awards Committee (BAC) invites suppliers/manufacturers/distributors/contractors to submit quotations for the hereunder project:  Name of Project	:	Office supplies for Provincial Engineer’s Office (M</t>
  </si>
  <si>
    <t xml:space="preserve"> MODULE 1 = Tarragona, Caraga, Banganga, Cateel and Boston- No. of Hectares 194.7063 ABC Php739,884.02 MODULE 2 = Manay  -  No. of Hectares 366.2068 ABC Php1,391,585.94 MODULE 3 = Banaybanay, Gov. Generoso and Lupon -No. of Hectares -225.4345 ABC Php856,65</t>
  </si>
  <si>
    <t xml:space="preserve"> INVITATION TO BID The DPWH Isabela 4th District Engineering Office through its Bids and Awards Committee (BAC), invites contractors to submit bids for the following Contract: Procurement ID / Contract ID			: 20BH0144 Contract Name/                        </t>
  </si>
  <si>
    <t xml:space="preserve"> Catering Services</t>
  </si>
  <si>
    <t xml:space="preserve"> Republika ng Pilipinas PAMAHALAANG LUNGSOD NG TACLOBAN (City Government of Tacloban) Kanhuraw Hill, Tacloban City 6500 BIDS AND AWARDS COMMITTEE INVITATION TO BID  REF #043-06-2020 (JUNE 25, 2020) PR# 2020-696 DATED 06-15-2020 7066468 The Procuring Entity</t>
  </si>
  <si>
    <t xml:space="preserve"> ITEM No. 	DESCRIPTION	UNIT	QUANTITY 1	Tire, Tubeless, 205 x R16C, 8PR	piece	7 2	Steel Rim, for Tubeless	piece	1 3	Oil Filter	piece	2 4	Head Lamp, Halogen,  24V	piece	2 5	Auto Bulb, Single Contact, Big, 24V, 10's	box	1 6	Auto Bulb, Double Contact, Medium, </t>
  </si>
  <si>
    <t xml:space="preserve"> INVITATION TO BID The DPWH Isabela 4th District Engineering Office through its Bids and Awards Committee (BAC), invites contractors to submit bids for the following Contract: Procurement ID / Contract ID			: 20BH0143 Contract Name/                        </t>
  </si>
  <si>
    <t xml:space="preserve"> QTY.	UNIT	DESCRIPTION 34	pcs	Ballpen (Black) 2	pcs	Ballpen Retractable (Blue) 52	pcs	Battery Size AA 4	pcs	Battery Size AAA 50	pcs	Book Cover 15	pcs	File Folder Long 2	roll	Masking Tape 1" 3	pcs	Notebook 90's 2	rolls	Packing Tape 1	box	Paste 7oz 17	pcs	Pe</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</si>
  <si>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</si>
  <si>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Republic of the Philippines Province of Cebu Municipality of Cordova BIDS &amp; AWARDS COMMITTEE (032-236-6171) 			  	June 25, 2020 Request for quotation  The Municipality of Cordova, through its Bids and Awards Committee (BAC), is inviting all interested bid</t>
  </si>
  <si>
    <t xml:space="preserve"> 4 unit Partition Tables 6 pax Specifications: Office Partition: 6 pax 40mm thick, aluminum trims in custom Powder Coated fin. 2 tone full fabric finish + half glass 300mm Ht (9) 1500mm L x 1500mm Ht (6) 450mm L x 1500mm Ht Free Standing Table (6) brackete</t>
  </si>
  <si>
    <t xml:space="preserve"> NEGOTIATED PROCUREMENT (SMALL VALUE PROCUREMENT) OF SECURITY SERVICES (THREE GUARDS) FOR THE OFFICE OF THE PROFESSIONAL REGULATION COMMISSION, ILOILO REGIONAL OFFICE, ILOILO CITY RFQ-NP No. 2020-004</t>
  </si>
  <si>
    <t xml:space="preserve"> 1 unit Submersible Pump 24 LPS</t>
  </si>
  <si>
    <t xml:space="preserve"> 180	Pc	Shirt, Polo w/ print (free size) 		 30	Pc	Streamers 3ft x 4ft 		 		 		 		Requirements: 		1. Mayor’s/Business Permit 		2. PhilGEPS Registration Number</t>
  </si>
  <si>
    <t xml:space="preserve"> 1	18	sack	Rice 2	6	case	Beef Loaf (72cans/case) 3	5	case	coffee 3 in 1 (12 bags/30pcs) 4	7	case	Corned Beef 150grams (100cans) 5	7	case	Sardines (100cans/case)</t>
  </si>
  <si>
    <t xml:space="preserve"> INSTRUCTIONS/ NOTES TO BIDDERS: 1.	Please indicate the following information in your bid: a) Company Name, Address, Tel/Fax nos.; b)PhilGEPS Registration Certificate No. and date of validity; c) Bidder’s offer ( Technical Specification/brand) per item; d)</t>
  </si>
  <si>
    <t xml:space="preserve"> 4 pcs. Tire - 235/70/R15 10 cans Car Air Freshener (Organic) 42 g. 1 pc. Battery (9 plates) 1 pair Clutch Master/Secondary Clutch 1 pc. Skid Plate 4 pcs. Mags Cover</t>
  </si>
  <si>
    <t xml:space="preserve"> CARD PRINTER	1	UNIT	165,000.00 DNP CX-D80D DOUBLE SIDED PRINTER</t>
  </si>
  <si>
    <t xml:space="preserve"> Purchase of Laptop.   Specifications:       - S145-14IKB 81VB001UPH I3-7020, 8GB, 512GB SSD, MX110, WIN 10</t>
  </si>
  <si>
    <t xml:space="preserve"> INVITATION TO BID SUPPLY AND DELIVERY OF FUEL (DIESEL &amp; GASOLINE) FOR THE CITY ENGINEER’S OFFICE – 2ND BIDDING 1.	The Local Government Unit of Cabadbaran City through the GENERAL FUND intends to apply the sum of THREE HUNDRED SEVENTY-FIVE THOUSAND NINE HU</t>
  </si>
  <si>
    <t xml:space="preserve"> The Provincial Government of Samar invites all interested registered suppliers to submit in person or authorized representative quotation for- 				 1.	2	unit		Water Pump 2HP 220v single phase 2.	3	boxes		Stranded wire #10 3.	3	boxes		Stranded wire #12 4.	</t>
  </si>
  <si>
    <t xml:space="preserve"> SUPPLY &amp; INSTALLATION OF INDUSTRIAL CEILING FAN</t>
  </si>
  <si>
    <t xml:space="preserve"> The Department of Agriculture invites interested suppliers to submit quotations/proposals for the hereunder requirement: DATA CENTER SERVICES: Network Facility Maintenance (PACU and UPS) 	 1	lot	One (1)-Year Network Facility Maintenance (PACU and UPS)	685</t>
  </si>
  <si>
    <t xml:space="preserve"> 1 5 PC/S PAIL - RUBBER 2 1 PC/S SHOVEL - HEAVY DUTY - (Wooden Handle) 3 5 PC/S CONSTRUCTION SAFETY HAT - 4 Yellows &amp; 1 White 4 5 PC/S CONSTRUCTION RAINCOATS - . - Size:L 5 1 PAIR/S CONSTRUCTION BOOTS - Steel Toe - High Cut Brown, Size:10 6 1 UNIT/S PE EMP</t>
  </si>
  <si>
    <t xml:space="preserve"> ITEM  NO.		UNIT			ITEM &amp; DESCRIPTION																		QTY		 																									 1		bags.			Portland Cement																		80		 2		bags.			Pozzolan Cement																		120		 3		cu.m			Ordinary Sand																		10		 4		pcs.			CHB #4								</t>
  </si>
  <si>
    <t xml:space="preserve"> Republic of the Philippines  ANGELES CITY WATER DISTRICT  Angeles City  REQUEST FOR QUOTATIONS  SUPPLIER: PR No.: 20-05-059-A ADDRESS: DATE:  CONTACT NOS.: ________________________________  Please submit your quotations for the following items on or befor</t>
  </si>
  <si>
    <t xml:space="preserve"> INVITATION TO BID INSTALLATION OF STREET LIGHTS IN PUROK 1 AND 3, BARANGAY MAHABA – 2ND BIDDING 1.	The Local Government Unit of Cabadbaran City through the PEACE &amp; ORDER FUND (EO 70 ELCAC IMPLEMENTATION) intends to apply the sum of NINE HUNDRED EIGTHY-EIG</t>
  </si>
  <si>
    <t xml:space="preserve"> INVITATION TO BID  ITB NO: 07-01-2020 CIVIL WORKS   The Local Government Unit of Maramag, Bukidnon has a loan package from Land Bank of the Philippines intended to finance for infrastructure development within the municipality. The Local Government Unit o</t>
  </si>
  <si>
    <t xml:space="preserve"> Department of Education Region VI-Western Visayas Division of Cadiz City  Mabini National High School Invitation to Bid for Various Repairs and Maintenance of the School’s Infrastructures 1.	The Mabini National High School, through the school’s MOOE 2020 </t>
  </si>
  <si>
    <t xml:space="preserve"> 3 pack Plastic Sando Bag, large, 100s 6 can Air Freshener, 320ml/can, high quality 3 bottle Alcohol, 75%, 500ml with moisturizer, high quality 5 can Disinfectant Spray, 340g net content, high quality 3 bottle Dishwashing Liquid, 600ml pouch 2 piece Doorma</t>
  </si>
  <si>
    <t xml:space="preserve"> RFQ# 20-06-0213 PR# 2020-06-0694 1	"Toner, OPT 55x Note: With free use of 2 units Printers and Free Maintenance"-10	carts 2	"Printer, Colored Specifications: Print, Scan, Copy, Inkjet Printer, 27/10 ppm (Fast Mode Print Speed) 12/6 ipm (ISO Print Speed), </t>
  </si>
  <si>
    <t xml:space="preserve"> 01	1	bots	Air Freshener Spray 320ml			 02	4	pcs	Albatross – small			 03	6	bots	Alcohol 500ml			 04	120	pcs	Ballpen black			 05	4	sachets	Bath/Handsoap			 06	75	pcs	Battery “AA” –heavy duty			 07	15	pcs	Battery “AAA” – heavy duty			 08	15	reams	Bondpaper  </t>
  </si>
  <si>
    <t xml:space="preserve"> Specs: 150 bxs/80's Rifampicin 150mg, Isoniazid 75mg, Pyrazinamide 400mg, Ethambutol 275mg (quadmax) 180 bxs/80's Rifampicin 150mg, Isoniazid 75mg (Duomax)</t>
  </si>
  <si>
    <t xml:space="preserve"> The Commission on Audit, Regional Office No. 10, Cagayan de Oro City, through its Bids and Awards Committee (BAC), invites reputable security agencies to submit their quotation for the Procurement of Security Services for the COA Regional Office No. 10 wi</t>
  </si>
  <si>
    <t xml:space="preserve"> Please see attached Bid Docs for details</t>
  </si>
  <si>
    <t xml:space="preserve"> Please download associated components.</t>
  </si>
  <si>
    <t xml:space="preserve"> The Provincial Government of Samar invites all interested registered suppliers to submit in person or authorized representative quotation for- 				 1.	60	sacks		Rice 2.	50	gals		Cooking Oil 3.	60	bags		Seasoning, 8gms per sachet (12’s) 4.	60	packs		Black </t>
  </si>
  <si>
    <t xml:space="preserve"> QUOTATION - OPEN CANVASS: Please accomplish the official canvass form ASAP, sign and send immediately thru email (pmd@sss.gov.ph, bansilea@sss.gov.ph) or submit in sealed envelope at Procurement Planning &amp; Management Department before the closing date. CA</t>
  </si>
  <si>
    <t xml:space="preserve"> Invitation to Bid Republic of the Philippines City of Olongapo -0- BIDS AND AWARDS COMMITTEE BAC Office 3rd Floor  Olongapo City Hall  Web: www.olongapocity.gov.ph INVITATION TO BID FOR  OC-67(DEPED-02) 20 GD PROCUREMENT FOR THE SUPPLY AND DELIVERY OF IT </t>
  </si>
  <si>
    <t xml:space="preserve"> IMPROVEMENT OF RHU II</t>
  </si>
  <si>
    <t xml:space="preserve"> Specs: 100 bxs/50's  Surgical mask 15  units        Aneroid BP apparatus with stethiscope 100 btls     Isoprophyl alcohol 70% 500ml 35  bxs/100's  Clean gloves 10  bxs/100'sSurgical Blade #11</t>
  </si>
  <si>
    <t xml:space="preserve"> Republic of the Philippines Province of Leyte BRGY. BALUCANAD, CAPOOCAN, LEYTE -oOo- BIDS AND AWARD COMMITTEE INVITATION TO BID  FOR THE PROCUREMENT OF EMRGENCY RESPONSE VEHICLE 1.	The Brgy. Balucanad Capoocan, Leyte, through the Brgy. 20% Development Fun</t>
  </si>
  <si>
    <t xml:space="preserve"> Kleinsasser Cutting Forceps w/ Rnd 2mm Cupped Jaws, Curved Length, Working Length 23cms-------------------------------1 qty -----------P71,940.00/unit Kleinsasser Cutting Forceps w/ Rnd 2mm Cupped Jaws, Curved Right, Working Length 23cms------------------</t>
  </si>
  <si>
    <t xml:space="preserve"> Republic of the Philippines DEPARTMENT OF PUBLIC WORKS AND HIGHWAYS CAMARINES NORTE DISTRICT ENGINEERING OFFICE REGIONAL OFFICE V Daet, Camarines Norte INVITATION TO BID The Department of Public Works and Highways Camarines Norte District Engineering Offi</t>
  </si>
  <si>
    <t xml:space="preserve"> TRAINING EXPENSES</t>
  </si>
  <si>
    <t xml:space="preserve"> Please see attached request for quotation</t>
  </si>
  <si>
    <t xml:space="preserve"> 2 box Ballpen, 50s per box 20 piece Ballpen, 0.5, high quality 5 piece Clearbook, A4 5 piece Clearbook, legal 12 piece Correction Tape, 1pc in individual plastic 10 piece Data File Box (12mm x 230mm x 400mm min) made of chipboard, with close ends 30 piece</t>
  </si>
  <si>
    <t xml:space="preserve"> 11	Cyl	Acetylene, content only 		 23	Cyl	Oxygen, industrial, content only 		 		 		 		Requirements: 		1. Mayor’s/Business Permit 		2. PhilGEPS Registration Number</t>
  </si>
  <si>
    <t xml:space="preserve"> The Commission on Audit, Regional Office No. 10, Cagayan de Oro City, through its Bids and Awards Committee (BAC), invites reputable security agencies to submit their quotation for the Procurement of Security Services for the Provincial Satellite Office (</t>
  </si>
  <si>
    <t xml:space="preserve"> Lot 1  Supply &amp; Delivery of Construction Materials for the Construction Materials for Construction of Drainage Canal, Brgy. Carigangan, Janiuay, Iloilo Item Number	Description	Quantity 1	Portland Cement	117 bags 2	Screened Gravel	32 cu.m 3	Boulders	31 cu.</t>
  </si>
  <si>
    <t xml:space="preserve"> BIDS AND AWARDS COMMITTEE								 REQUEST FOR QUOTATION								 RFQ2020-06-027								 June 23, 2020								 The Civil Service Commission-National capital Region, through its Bids and Awards Committee (BAC), hereby invites all interested suppliers/distrib</t>
  </si>
  <si>
    <t xml:space="preserve"> Repair and Maintenance of Other Structures</t>
  </si>
  <si>
    <t xml:space="preserve"> 1		Anti Anay Spray Services - Municipal Building</t>
  </si>
  <si>
    <t xml:space="preserve"> HOP-QR-PRO-005 Republic of the Philippines Department of Health DAVAO REGIONAL MEDICAL CENTER Apokon, Tagum City BIDS AND AWARDS COMMITTEE INVITATION TO BID FOR THE PROCUREMENT OF ABG REAGENTS AND PROVISION OF ANALYZER 1.	The Davao Regional Medical Center</t>
  </si>
  <si>
    <t xml:space="preserve"> The City Government of Koronadal, through its Bids and Awards Committee (BAC) will undertake a Negotiated Procurement – Small Value Procurement for the “ CONSTRUCTION MATERIALS FOR THE IMPROVEMENT OF STAGE @ SITIO PANTALAN, BRGY. SAN JOSE, CITY OF KORONAD</t>
  </si>
  <si>
    <t xml:space="preserve"> 52 units double cubicle with mobile cabinet with 2 unit chairs</t>
  </si>
  <si>
    <t xml:space="preserve"> INVITATION TO BID  ITB NO: 07-03-2020 CIVIL WORKS The Local Government Unit of Maramag, Bukidnon has a loan package from Land Bank of the Philippines intended to finance for infrastructure development within the municipality.  The Local Government Unit of</t>
  </si>
  <si>
    <t xml:space="preserve"> 01	1	unit	Laptop 			Specs:  			Storage: 1 TB HDD 			Processor: Intel Core i3 (6th Gen Processor) 			Display: 15.6” (39.62cm)display, 1366 x 768px 			RAM: 4GB DRR4 RAM 02	1	unit	Outdoor Projector 			Specs: 			120 to 230V AC required voltage 			3300 Lumens </t>
  </si>
  <si>
    <t xml:space="preserve"> 1.	12pcs.- Metal Halide 250 watts 2.	10pcs.- 2 Terminal Ballast 3.	12 pcs. -Ignitor 3 Terminal 4.	1 dozen-Electrical Tape (Big Roll) 5.	1 box- PDX Wire #12 6.	12 pcs.- Capacitor 250 watts 7.	3 rolls- Circular Loam (1/2 dia)</t>
  </si>
  <si>
    <t xml:space="preserve"> Metropolitan Manila Development Authority																																																																			     BIDS AND AWARDS COMMITTEE																																																																			 																																																	</t>
  </si>
  <si>
    <t xml:space="preserve"> COVID19 TESTING KITS (PLEASE ATTACHED FDA CERTIFICATE OF THE ITEM) (TO BE DELIVERED WITHIN 5DAYS AFTER AWARDING OF THE CONTRACT)</t>
  </si>
  <si>
    <t xml:space="preserve"> The City Government of Koronadal, through its Bids and Awards Committee (BAC) will undertake a Negotiated Procurement – Small Value Procurement for the “80 SETS TRAFFIC UNIFORM ETC FOR CTMO OPERATIONS “ in accordance with  Section 53.9 of the 2016 Impleme</t>
  </si>
  <si>
    <t xml:space="preserve"> Mun. Government of Alcantara, Romblon 				                     2020-020 RHU Services and Program (Annual Physical Examination of Municipal Employees) Office of the Municipal Health Standard Form Number: SF-GOOD-60						    Alcantara, Romblon Revised on: M</t>
  </si>
  <si>
    <t xml:space="preserve"> 1 unit Laptop and 1 Flashdrive</t>
  </si>
  <si>
    <t xml:space="preserve"> 400 PCS. ANGLE METER VALVE, 3/4 X 1/2,BRASS</t>
  </si>
  <si>
    <t xml:space="preserve"> Supply and delivery of: 7	unit	Steel Cabinet			 		Specifications:			 		Overall Dimension: 52" Height x 18.5" Width x 26" Depth			 		Product Features:			 		High quality cold-rolled steel			 		The drawers  are designed to accommodate (letter and legal size </t>
  </si>
  <si>
    <t xml:space="preserve"> 1	Automotive Diesel Fuel							1	LOT	77,599.62 2	Unleaded Gasoline							1	LOT	27,999.72 										 	1. The supplier shall start to serve within three (3) days upon receipt of the advice									 	           from the project engineer until the project is </t>
  </si>
  <si>
    <t xml:space="preserve"> various repair and maintenance of equipment</t>
  </si>
  <si>
    <t xml:space="preserve"> Hardware and Construction Supplies for Repair and Repainting of Exterior of Extension Administration Building L Side</t>
  </si>
  <si>
    <t xml:space="preserve"> Cap Bouffant Type, Ruffled, Elastic Line Edge, Disp., 100’s---------------------300 qty ---------------P89.00/box Tube Stomach, Surgical Silicon Sterile, Levin Design, Fr-18 w/ Cover--------------------1000 qty ------P50.00/ea X-X-X-X-X-X-X-X-X-X-X-X-X-X-</t>
  </si>
  <si>
    <t xml:space="preserve"> Repair and Maintenance of IT Equipment</t>
  </si>
  <si>
    <t xml:space="preserve"> The Provincial Government of Samar invites all interested registered suppliers to submit in person or authorized representative quotation for- 				 1.	1	pc	Six Informative Videos •Type: Infographics/Animation/Graphics •Maximum of 3 minutes, minimum of 1 m</t>
  </si>
  <si>
    <t xml:space="preserve"> The Department of Agriculture Regional Field Office IX, through the GAA 2020 - (CORN 2020) intends to apply the sum of (PHP 373,500.00) being the Approved Budget for the Contract (ABC) to payments under the contract for 05-011-20. Bids received in excess </t>
  </si>
  <si>
    <t xml:space="preserve"> P-CFMD-20-00205 Various Hardware Supplies   Please see attached list per Requisition Number P-CFMD-20-00205 1.	Please quote your lowest price based on the attached specifications  2.	Submitted quotations must be duly signed by the vendor’s authorized repr</t>
  </si>
  <si>
    <t xml:space="preserve"> 29 reams Bond paper A4 size 80gsm 23 reams Bond paper LEgal size 70gsm 10 roll wrapping paper 1 ream Folder A4 tagboard 46 roll tape transparent 24mm 23 roll transparent 48mm 4 box envelope doc. Legal size 3 box envelope expanding legal size 30 pack board</t>
  </si>
  <si>
    <t xml:space="preserve"> June 24, 2020 REQUEST FOR QUOTATION (RFQ) SUPPLY OF PUBLIC ADDRESS AMPLIFIER FOR PAGING AT INFORMATION OFFICE 1.	The Batangas Medical Center hereinafter referred to as the “Purchaser” now request for submission of price proposal for the procurement of the</t>
  </si>
  <si>
    <t xml:space="preserve"> Hardware and Construction Supplies for Replacement, Repair and Painting of Roofing and Ceiling of Administration Building</t>
  </si>
  <si>
    <t xml:space="preserve"> 1 70% ISOPROPYL Alcohol, 1 Gallon 200 gal 2 Battery AAA (4 pcs/pack) 50 pack</t>
  </si>
  <si>
    <t xml:space="preserve"> Military and Police Supplies</t>
  </si>
  <si>
    <t xml:space="preserve"> 1	60	btls	Classic Roast, Ground Coffee, 320 grams 2	90	packs	Brown Sugar, 1kg 3	180	pcs	Coffee Mate, 450 grams 4	600	pcs	Stirrer, Wood 5	30	packs	Disposable Paper Cup, 6.50z, (by 50's) 6	90	boxes	Fresh Milk, 1000ml 			x-x-x-x-x-x</t>
  </si>
  <si>
    <t xml:space="preserve"> INVITATION TO BID  ITB NO: 07-04-2020 CIVIL WORKS   The Local Government Unit of Maramag, Bukidnon has a loan package from Land Bank of the Philippines intended to finance for infrastructure development within the municipality. The Local Government Unit o</t>
  </si>
  <si>
    <t xml:space="preserve"> "The Department of Environment and Natural Resources , PENRO Pampanga , through the government appropriation act intends to apply the sum of PhP 91,500 being the Approved Budget for the Contract (ABC) to payments under the "" Procurement of  ICT Equipment</t>
  </si>
  <si>
    <t xml:space="preserve"> Booklet: Best Farm Practices to reduce risk of White Spot Syndrome Virus (WSSV) Infection in Shrimp Culture			300	pcs	45,000.00 Specifications:					  -cover: C2S no. 220 					  -inside: C2S no. 80 					  -no. of pages: 60 including cover					  -color: ful</t>
  </si>
  <si>
    <t xml:space="preserve"> Blinds for Barangay Hall</t>
  </si>
  <si>
    <t xml:space="preserve"> Constructions Materials								LOT 1 	 1	Portland Cement							1,362.00	bags	260.00 	Various Construction Materials								LOT 2	 2	Sand							89	cu.m.	1,500.00 3	Gravel							148	cu.m.	1,600.00 	Various Construction Materials								LOT 3	 5	8` x 8` Tarp</t>
  </si>
  <si>
    <t xml:space="preserve"> 1.	The OFFICE OF CIVIL DEFENSE, through the GAA OCD (Quick Response Fund) FY 2020, intends to apply the sum of Seven Million Nine Hundred Twenty Thousand Pesos (PHP7,920,000.00) being the Approved Budget for the Contract (ABC) to payments under the contra</t>
  </si>
  <si>
    <t xml:space="preserve"> TO CONSTRUCT BOX CULVERT IRRIGATION CANAL</t>
  </si>
  <si>
    <t xml:space="preserve"> Diesoline/Gasoline</t>
  </si>
  <si>
    <t xml:space="preserve"> Clear Purified Drinking Paper- 3,000 conts.* *Supplier must provide at least 26 units of hot and cold water dispenser.</t>
  </si>
  <si>
    <t xml:space="preserve"> Name of the Procuring Entity							Project Reference Number	7066837		 DENR-PENRO, Surigao del Norte							Name of the Project	TECHNICAL AND SCIENTIFIC EQUIPMENT		 										 							Location of the Project	PENRO-SDN		 										 Standard Form Number: SF-GO</t>
  </si>
  <si>
    <t xml:space="preserve"> Toner for MPC 2030 Printer 1 Cyan 1 Magenta 1 Yellow 2 Black Toner for MPC 2004ex 2 Yellow 1 Cyan 2 Magenta</t>
  </si>
  <si>
    <t xml:space="preserve"> Please see attached RFQ</t>
  </si>
  <si>
    <t xml:space="preserve"> 1 1 UNIT CAMERA - DIGITAL - Resolution: 16 MP - Sensor Type: CMOS - 16 megapixel High-Resolution 16x Zoom - High-Performance flash lamp 2 1 UNIT WATER DISPENSER - HOT &amp; COLD - Bottom load water dispenser</t>
  </si>
  <si>
    <t xml:space="preserve"> LOT A									 1	Unleaded Gasoline							1	lot	15,250.00 	Terms &amp; conditions:									 										 	1. The supplier shall start to serve within three (3) days upon receipt of the advice									 	           from the project engineer until the project is co</t>
  </si>
  <si>
    <t xml:space="preserve"> Bicol Medical Center Concepcion Pequeña, Naga City, 4400 (0998-247-0239/0906-256-9238          E-mail Address: bmc.bacoffice@gmail.com INIVITATION TO BID PROCUREMENT OF HEPA FILTER MACHINES (1 Lot) ITB No. 2020-16 1.	The BICOL MEDICAL CENTER, through SA-Q</t>
  </si>
  <si>
    <t xml:space="preserve"> TO CONSTRUCT PCCP WITH STONE MASONRY AND CANAL</t>
  </si>
  <si>
    <t xml:space="preserve"> Please download the attached file (Associated Components) for the Bid Document.</t>
  </si>
  <si>
    <t xml:space="preserve"> Satin Sticker- 16, 478 shts. Size: 24" x 36"</t>
  </si>
  <si>
    <t xml:space="preserve"> Contract Labor and Materials for the Construction of Concrete Reservoir located at Sitio 27 - BLGU Kaligutan, Laak, Davao De Oro with an ABC of Php. 550,000.00</t>
  </si>
  <si>
    <t xml:space="preserve"> Supply and Delivery of 28 Pieces Plastic Pallets Php 95,200.00 at 3,400.00 per piece 1.	Please quote your lowest price based on the attached specifications per Terms of Reference 2.	Submitted quotations must be duly signed by the vendor’s authorized repre</t>
  </si>
  <si>
    <t xml:space="preserve"> Please see attached Request for Quotation and Annex 'A'</t>
  </si>
  <si>
    <t xml:space="preserve"> The Municipality of Malangas, through the Bids and Award Committee (BAC), invites suppliers/manufactures/distributors/contractors to bid for the hereunder contract: Name of Project	: RENOVATION/RETROFITTING OF PUBLIC MARKET BUILDING- PHASE 1 –DESIGN AND B</t>
  </si>
  <si>
    <t xml:space="preserve"> REPRODUCTION OF SUPPLEMENTARY MATERIALS OF BEGINNING READING FOR GRADE 1 LEARNERS</t>
  </si>
  <si>
    <t xml:space="preserve"> INVITATION TO BID  ITB NO: 07-06-2020 CIVIL WORKS   The Local Government Unit of Maramag, Bukidnon has a loan package from Land Bank of the Philippines intended to finance for infrastructure development within the municipality. The Local Government Unit o</t>
  </si>
  <si>
    <t xml:space="preserve"> 4 PCS TIRES  2 GAL MOTOR OILS 1 3SM BATTERY</t>
  </si>
  <si>
    <t xml:space="preserve"> 150,000 pcs. L. Vannamei Shrimp Fry PL 14 150,000 pcs. Bangus Fry (size 3)</t>
  </si>
  <si>
    <t xml:space="preserve"> ITEMS	UNIT	QTY	UNIT PRICE	Estimated Budget Bond Paper Short	reams	10	132.00	1,320.00 USB Flashdrive	pcs	3	276.64	829.92 Toilet Bowl Cleaner	Bots	2	41.60	83.20 Disinfectant Spray	Bots	2	122.98	245.96 Garbage Bin	Bins	4	50.00	200.00 Special Paper	Sets	21	30</t>
  </si>
  <si>
    <t xml:space="preserve"> Name of the Procuring Entity LOCAL GOVERNMENT UNIT  Mahinog, Camiguin	Project Reference Number: 2020-GOODS-077 Name of Project: Supply &amp; Delivery of Covid-19 Rapid Test Kits Location of the Project: Poblacion, Mahinog, Camiguin 	 Standard Form Number: SF-</t>
  </si>
  <si>
    <t xml:space="preserve"> The Department of Agriculture Regional Field Office IX, through the GAA 2020 - (RICE PROGRAM) intends to apply the sum of (PHP 73,630.00) being the Approved Budget for the Contract (ABC) to payments under the contract for 05-020-20. Bids received in exces</t>
  </si>
  <si>
    <t xml:space="preserve"> INVITATION TO BID  ITB NO: 07-05-2020 CIVIL WORKS The Local Government Unit of Maramag, Bukidnon has a loan package from Land Bank of the Philippines intended to finance for infrastructure development within the municipality.  The Local Government Unit of</t>
  </si>
  <si>
    <t xml:space="preserve"> 1  LOT Technical Support Services for Centralized Attendance Monitoring System (CAMS)  -In accordance with the Technical Specifications  ABC: Php 98,000.00  NOTE: Please sign all pages of the Technical Specifications and submit it together with your quota</t>
  </si>
  <si>
    <t xml:space="preserve"> Construction Materials								LOT 1 	 1	Portland Cement							574	bags.	260.00 	Various Construction Materials								LOT 2 	 2	Clean Sand							36	cu.m.	700.00 3	Ordinary Gravel passing 2" Ø sieve							40	cu.m.	800.00 4	Boulders (Class A)							63	cu.m.</t>
  </si>
  <si>
    <t xml:space="preserve"> ALLOCATED BUDGET: 7,500.00Ph ITEMS UNIT QTY UNIT PRICE Estimated Budget 3 in 1 Printer pc 1 7500.00 7,500.00</t>
  </si>
  <si>
    <t xml:space="preserve"> The Department of Agriculture Regional Field Office IX, through the GAA 2020 - (RICE Program) intends to apply the sum of (PHP 439,394.00) being the Approved Budget for the Contract (ABC) to payments under the contract for 06-023-20. Bids received in exce</t>
  </si>
  <si>
    <t xml:space="preserve"> Name of Project:           		Construction of Makeshift Building						 Location:                    		 Tungawan Zamboanga Sibugay						 Source of Fund:		General Funds						 Brief Description:								 ITEM	ITEMS &amp; DESCRIPTION						QTY	UNIT 1	Portland Cement</t>
  </si>
  <si>
    <t xml:space="preserve"> REHABILITATION (Concreting) OF ACCESS ROAD LEADING TO TWS WATER SOURCE</t>
  </si>
  <si>
    <t xml:space="preserve"> 304th Contracting Office										 ARMED FORCES OF THE PHILIPPINES PROCUREMENT SERVICE										 Naval Station Leovigildo Gantioqui 										 San antonio, Zambales										 										 REQUEST FOR QUOTATION 										 										 25 June 2020						RFQ NO:</t>
  </si>
  <si>
    <t xml:space="preserve"> To deliver and install 1 large electro mechanical siren  Specifications: sound rating:123 ±2dB(A) 1M(Wide ranged),electric motor:1.5Kw 220-240V AC,50/60Hz,Output Frequency:444/533±20Hz,Single or Multi Tone, with 60 cm*60cm*200cm Metal Housing</t>
  </si>
  <si>
    <t xml:space="preserve"> 1  LOT Actuarial Consultancy Services   -In accordance with the Technical Specifications  ABC: Php 500,000.00  NOTE: Please sign all pages of the Technical Specifications and submit it together with your quotation in a SEALED envelope. If selected as the </t>
  </si>
  <si>
    <t xml:space="preserve"> See Attached File</t>
  </si>
  <si>
    <t xml:space="preserve"> ITEM NO.	UNIT	ITEM &amp; DESCRIPTION	QTY. 			 1	pc.	Polo Shirt with Embroidered Logo	20 2	pc.	Tshirt V-shape with Print	25</t>
  </si>
  <si>
    <t xml:space="preserve"> 1	Automotive Diesel Fuel							1	lot	47,016.00 2	Unleaded Gasoline							1	lot	8,640.00 	x-x-x-x-x-x-x-x-x-x-x									 	Terms &amp; Conditions									 	1. The supplier start to serve within 3 days upon receipt of the advice									 	    by the project engi</t>
  </si>
  <si>
    <t xml:space="preserve"> REQUEST FOR QUOTATION The City Government of Cauayan, Isabela, through its Bids and Awards Committee, will undertake a Small Value Procurement for the “Supply and Delivery of One (1) unit Riding Lawn Mower for Cauayan City Sports Complex”, in accordance w</t>
  </si>
  <si>
    <t xml:space="preserve"> CBS1 PCHC Watermark Security Check Paper 96 GSM, 9”RW- 457.05 kgs. Self-Contained Carbonless Paper CB 9”RW- 153.70 kgs.</t>
  </si>
  <si>
    <t xml:space="preserve"> 1	Automotive Diesel Fuel							1	lot	57,658.00 2	Unleaded Gasoline							1	lot	75,168.00 	x-x-x-x-x-x-x-x-x-x-x									 	Terms &amp; Conditions									 	1. The supplier start to serve within 3 days upon receipt of the advice									 	    by the project eng</t>
  </si>
  <si>
    <t xml:space="preserve"> ITEMS UNIT QTY UNIT PRICE Estimated Budget Ink Refill T664 (Black) Bots 2 254.88 509.76 Ink Refill T664 (Cyan) Bots 2 254.88 509.76 Ink Refill T664 (Magenta) Bots 2 254.88 509.76 Ink Refill T664 (Yellow) Bots 2 254.88 509.76 Ink Tank Printer (black&amp;clour)</t>
  </si>
  <si>
    <t xml:space="preserve"> To be used in the installation of safety parameters for General Community Quarantine (GCQ) at Antipolo City Hall Building and GAD Building. 77 pcs. Table Top Shield * acrylic 3mm * w/ side cover &amp; laser cut window 1 pc. Table Top Shield * acrylic 3mm * w/</t>
  </si>
  <si>
    <t xml:space="preserve"> INVITATION TO BID FOR     ITB NO. 07-08-2020- GOODS                                       The Local Government Unit – Maramag, Bukidnon through the BIDS AND AWARDS COMMITTEE  (BAC) now invites bids for the herein mentioned project: Name of Project        </t>
  </si>
  <si>
    <t xml:space="preserve"> In view of the two (2) failed biddings, the Bureau of Fisheries and Aquatic Resources 6, through the Bids and Awards Committee invite suppliers to participate in the Negotiated Procurement of Diesel and Gasoline of BFAR 6 for CY 2020 with a total Approved</t>
  </si>
  <si>
    <t xml:space="preserve"> Construction of Slaughterhouse Phase II -Brgy. Macabiag, Sinait, Ilocos Sur I.	Excavation for Structure II.	Embankment III.	Concrete Works IV.	Masonry &amp; Plastering Works V.	Steel Trusses &amp; Roofing Works VI.	Plumbing Works VII.	Septic Tank VIII.	Electrical</t>
  </si>
  <si>
    <t xml:space="preserve"> PLS. DOWNLOAD RFQ</t>
  </si>
  <si>
    <t xml:space="preserve"> Concreting of Barangay Road: Length - 25m. width - 5.00m. and thickness- 0.20m with 1.00m shouldering on both sides.</t>
  </si>
  <si>
    <t xml:space="preserve"> PRINTER L3110                              8            9,000.00        72,000.00          INK FOR L3110 PRINTER BLACK     40              300.00         12,000.00 INK FOR L3110 PRINTER CYAN       24              350.00          8,400.00 INK FOR L3110 PRI</t>
  </si>
  <si>
    <t xml:space="preserve"> Newsprint Paper White- 10,845 kgs. Size: 29" RW, 48.8 GSM</t>
  </si>
  <si>
    <t xml:space="preserve"> INVITATION TO BID  ITB NO: 07-07-2020 CIVIL WORKS   The Local Government Unit of Maramag, Bukidnon has a loan package from Land Bank of the Philippines intended to finance for infrastructure development within the municipality. The Local Government Unit o</t>
  </si>
  <si>
    <t xml:space="preserve"> 1 day delivery</t>
  </si>
  <si>
    <t xml:space="preserve"> 1.	The OFFICE OF CIVIL DEFENSE, through the OCD CY 2019 – Capital Outlay (Continuing Appropration), intends to apply the sum of Fifty Eight Million Six Hundred Fifty Seven Thousand Five Hundred Fifty Three Pesos (PHP58,657,553.00) being the Approved Budge</t>
  </si>
  <si>
    <t xml:space="preserve"> PROCUREMENT AND DELIVERY OF OTHER SUPPLIES &amp; MATERIALS FOR MEDICAL PHYSICAL EXAMINATION BOOTH OF BFP R4A FY 2020</t>
  </si>
  <si>
    <t xml:space="preserve"> Republic of the Philippines 				 						City of Manila				 						BARANGAY 388, ZONE 39, DISTRICT III				 						BIDS AND AWARDS COMMITTEE				 										 										June 25, 2020 										D A T E 						INVITATION TO BID 				 										 BARANGAY 388, ZONE 39,</t>
  </si>
  <si>
    <t xml:space="preserve"> Hardware and Construction Supplies for Installation of PPR White Pipes for New Waterline System at Administration Building 1st to 3rd Floor Comfort Rooms</t>
  </si>
  <si>
    <t xml:space="preserve"> Contract ID: 20PF0067 Contract Name: Construction / Rehabilitation of Flood Mitigation Facilities within Major River Basins &amp; Principal Rivers: Construction of Baney Flood Control Brief Description: Flood Control: Construction - Slope Protection using Str</t>
  </si>
  <si>
    <t xml:space="preserve"> Lot 1 1 bundle P.E. Net #17k 1 bundle P.E. Net #12k 1 bundle P.E. Net #10k 400 meters Gill Net #6, #6 mesh 5 kilos Nylon #120 3 kilos Nylon #12 2 packs Floats (pataw) #5 1/2  20 kilos Sinker 1 roll Black Net (knotless) 1 roll Nylon #100 1 roll Poly Rope #</t>
  </si>
  <si>
    <t xml:space="preserve"> Lot 1 Const. Materials:									 1	60pcs- 2"x4"x12' Coco Lumber							480	bf	30.00 2	20pcs- 2"x3"x12' Coco Lumber							120	bf	30.00 3	50pcs- 2"x2"x12' Coco Lumber							200	pcs	30.00 4	3/4"x4'x8' Marine Plywood							6	shts	1,250.00 5	1/4"x1"x6m Angle Ba</t>
  </si>
  <si>
    <t xml:space="preserve"> 400 kits IGG Rapid Test</t>
  </si>
  <si>
    <t xml:space="preserve"> The Department of Agriculture Regional Field Office IX, through the GAA 2020 - (SAAD Program) intends to apply the sum of (PHP 210,000.00) being the Approved Budget for the Contract (ABC) to payments under the contract for 03-034-20. Bids received in exce</t>
  </si>
  <si>
    <t xml:space="preserve"> Please download associated components</t>
  </si>
  <si>
    <t xml:space="preserve"> TO CONSTRUCT PCCP,STONE MASONRY AND RC BOX CULVERT</t>
  </si>
  <si>
    <t xml:space="preserve"> WHITE WOVE LONG SUBS 18      1000 REAMS         185.00             185,000.00</t>
  </si>
  <si>
    <t xml:space="preserve"> 1 Unit Aerosol Suction Machine 1 Unit Air Ionizer Face Mask Disinfectant Mat/Foot Bath</t>
  </si>
  <si>
    <t xml:space="preserve"> INVITATION TO BID FOR THE PROCUREMENT AND DELIVERY OF FUEL TO SUPPORT OPERATIONAL REQUIREMENTS  FOR COVID-19 AND OTHER ACTIVITIES FOR 2ND SEMESTER (RHQ, CAVITE, LAGUNA AND RIZAL) OF BFP REGION IV-A FOR CY 2020</t>
  </si>
  <si>
    <t xml:space="preserve"> Desktop Computer with MSO, MW,AV &amp; UPS CPU: 10th Gen. intel Core i7 Memory storage: 8 up to 16gb software: window 10 Display: n/a</t>
  </si>
  <si>
    <t xml:space="preserve"> Republic of the Philippines 				 						City of Manila				 						BARANGAY 235, ZONE 22, DISTRICT II				 						BIDS AND AWARDS COMMITTEE				 										 										June 25, 2020 										D A T E 						INVITATION TO BID 				 										 BARANGAY 235, ZONE 22, </t>
  </si>
  <si>
    <t xml:space="preserve"> 528 bags Rice</t>
  </si>
  <si>
    <t xml:space="preserve"> REQUEST FOR QUOTATION											 FEE FOR THE LABORATORY CHEMICAL WASTE DISPOSAL											 SMALL VALUE PROCUREMENT 											 											 INSTRUCTION:										              	 	1.	Supplies are required to read the instructions and fill all the blanks pro</t>
  </si>
  <si>
    <t xml:space="preserve"> The Department of Agriculture Regional Field Office IX, through the GAA 2020 - (LIVESTOCK PROGRAM 2020) intends to apply the sum of (PHP 392,000.00) being the Approved Budget for the Contract (ABC) to payments under the contract for 06-021-20. Bids receiv</t>
  </si>
  <si>
    <t xml:space="preserve"> PHILIPPINE SCIENCE HIGH SCHOOL SYSTEM						"REQUEST FOR QUOTATION FORM &amp;  NOTICE (GOODS)"		 Office / Campus:			MAIN CAMPUS					 Address / Contact Details:			AGHAM ROAD, DILIMAN, QUEZON CITY					 								 						Quotation No.:	20-06-150	 	GENTLEMEN:					Dat</t>
  </si>
  <si>
    <t xml:space="preserve"> INVITATION TO BID FOR  ROAD REHABILITATION (ASPHALT OVERLAY &amp; RE-BLOCKING) AT BRGY.BANLIC 1.	The CITY OF CABUYAO, through the 2020 General Fund Annual City Budget intends to apply the sum of Nine Million Four Hundred Sixty-one Thousand Seventy-five Pesos </t>
  </si>
  <si>
    <t xml:space="preserve"> The Department of Agriculture Regional Field Office IX, through the GAA 2020 - (National Rice Program 2020) intends to apply the sum of (PHP 70,000.00) being the Approved Budget for the Contract (ABC) to payments under the contract for 06-022-20. Bids rec</t>
  </si>
  <si>
    <t xml:space="preserve"> Refer to RFQ</t>
  </si>
  <si>
    <t xml:space="preserve"> MUNICIPALITY OF BORBON DESCRIPTION: 200 BOTTLES D5LR 200 BOTTLES D5NSS 20 PACKS COTTON (ABSORBENT COTTON WOOL) 400GRAMS 300 PIECES CORD CLAMP 50 PACKS OS 4X4 50 PACKS OS 2X2 50 BOTTLES ISOPROPYL ALCOHOL 500 ML (ETHYL ALCOHOL 70%) 10 BOXES PLASTER 3 M HYPO</t>
  </si>
  <si>
    <t xml:space="preserve"> Project Unit Quantity Unit Price Estimated Budget Biogesic caplet 30 4.00 120.00 Diatabs caplet 25 7.88 197.00 Paracetamol tabs 100 1.25 125.00 Aluminum and Magnesium Tablet tabs 29 2.00 58.00 TOTAL 500.00</t>
  </si>
  <si>
    <t xml:space="preserve"> 1	Automotive Diesel Fuel							1	lot	70,200.00 2	Unleaded Gasoline							1	lot	25,200.00 	x-x-x-x-x-x-x-x-x-x-x									 	Terms &amp; Conditions									 	1. The supplier start to serve within 3 days upon receipt of the advice									 	    by the project eng</t>
  </si>
  <si>
    <t xml:space="preserve"> 1  LOT Comprehensive Maintenance of Additional HP Hardware Non-SAP  -In accordance with the Technical Specifications  ABC: Php 332,000.00  NOTE: Please sign all pages of the Technical Specifications and submit it together with your quotation in a SEALED e</t>
  </si>
  <si>
    <t xml:space="preserve"> The Department of Agrarian Reform - Province of Iloilo now invites bids for DAR-Redoc-2020 Survey Project - Subdivision of Collective CLOA for agricultural lands situated in 3rd, 4th and 5th District, Iloilo Province. Please see the attached Invitation to</t>
  </si>
  <si>
    <t xml:space="preserve"> Enteral Feeding Container w/ Tubing 600ml----------------------------200 qty ------------------P632.00/ea Codan Spike, Withdrawal Cannula------------------------------------ 200 qty -------------------P119.00/ea X-X-X-X-X-X-X-X-X-X-X-X-X-X-X-X-X-X PURPOSE</t>
  </si>
  <si>
    <t xml:space="preserve"> Republic of the Philippines 				 						City of Manila				 						BARANGAY 186, ZONE 16, DISTRICT II				 						BIDS AND AWARDS COMMITTEE				 										 										June 25, 2020 										D A T E 						INVITATION TO BID 				 										 BARANGAY 186, ZONE 16, </t>
  </si>
  <si>
    <t xml:space="preserve"> Purchase of the following parts &amp; accessories for the Tractor: 1) 1 unit Clutch assembly 2) 1 unit release bearing 3) 2 pails Engine oil 4) 1 gal. steering oil 5) 2 pcs. Oil filter 6) 4 pcs. Fuel filter 7) 1 set Front bearing (inner &amp; outer)</t>
  </si>
  <si>
    <t xml:space="preserve"> Supply and delivery of 10 units Communication Device to be used at the Office of the Regional Executive Director, PREC-Sta. Barbara. PREC-Sual, INREC-Dingras, INREC-Batac and ILIARC, Bacnotan 10 unit COMMUNICATION DEVICE	 CPU Speed-2.3 GHz, 1.7 GHz	 CPU T</t>
  </si>
  <si>
    <t xml:space="preserve"> Description   1. The Las Piñas East National High School – Talon Village Annex, through the School Maintenance and Other Operating Expenses (MOOE) May 2020 intends to apply the sum of Eighty-five thousand pesos only, (Php 85,000.00) being the Approved Bud</t>
  </si>
  <si>
    <t xml:space="preserve"> The City Government of San Pedro, Laguna invites interested parties to quote for the following item/s as per request CSWD: Qty.	Unit of Issue	Item Description 		 		BOV 534 (CSWD) 4	pcs	Tire 185 R14 		 		A7 018 (CSWD) 2	pcs	Tire 215-65 R16 Forms can be obt</t>
  </si>
  <si>
    <t xml:space="preserve"> 8	Months	Lease of office building ( From May – Dec 2020)</t>
  </si>
  <si>
    <t xml:space="preserve"> Supply and delivery of 1 unit Disinfection Fog Machine to be used in disinfecting DA RFO 1 office premises in prevention of COVID-19 1	unit	Disinfection Fog Machine		 		- 1600w		 		- 220-240 V		 		- w/ remote		 		- hand stand		 		- automatic push button		</t>
  </si>
  <si>
    <t xml:space="preserve"> Item No.	Unit	Quantity	Description 1	Pcs	10	Isopropyl Alcohol Green Cross 70% with Pump 500 ml 2	Galloons	10	Zonrox Lemon with EPA 3	Packs	5	Medium  Garbage Bag 4	pcs	5	Foot Pedal Alcohol Stand 5	Pcs	20	1000gr. Blooms with Fabcon Surf Detergent Powder 6	P</t>
  </si>
  <si>
    <t xml:space="preserve"> The Department of Agriculture Regional Field Office IX, through the GAA 2020 - (HVCDP PROGRAM) intends to apply the sum of (PHP 152,000.00) being the Approved Budget for the Contract (ABC) to payments under the contract for 03-015-20. Bids received in exc</t>
  </si>
  <si>
    <t xml:space="preserve"> Pag-IBIG FUND Tuguegarao Branch Office Editha Tuddao Bldg., Balzain Road, Tuguegarao City, Cagayan REQUEST FOR QUOTATION SUPPLY, DELIVERY AND INSTALLATION OF PROTECTIVE SCREEN FOR FRONTLINE COUNTER TABLES FOR Pag-IBIG FUND ILAGAN AND SANTIAGO MSOs  AND CA</t>
  </si>
  <si>
    <t xml:space="preserve"> INVITATION TO BID FOR THE PROCUREMENT AND DELIVERY OF FUEL TO SUPPORT OPERATIONAL REQUIREMENTS  FOR COVID-19 AND OTHER ACTIVITIES FOR 2ND SEMESTER (BATANGAS AND QUEZON) OF BFP REGION IV-A FOR CY 2020</t>
  </si>
  <si>
    <t xml:space="preserve"> INVITATION TO BID FOR  CONSTRUCTION OF CABUYAO CITY HOSPITAL PHASE 2 (SITE DEVELOPMENT) 1.	The CITY OF CABUYAO, through the 2020 Continuing Fund Annual City Budget intends to apply the sum of Thirty-one Million Seven Hundred Eight Thousand Four Hundred Se</t>
  </si>
  <si>
    <t xml:space="preserve"> Accomplished RFQ's must be received by the BAC SECRETARIAT of the PROCURING ENTITY at Department of Agriculture-RSO IX, Zamboanga City, on or before the deadline of submission.							 	ABC:	216,000.00	 	Delivery Period:		45 Calendar Days 	Delivery Site:		</t>
  </si>
  <si>
    <t xml:space="preserve"> Please quote your lowest price on the item/s listed below, stating the shortest time of delivery and						 submit your quotation duly signed by your representative not later than June 26, 2020 5PM.						 						 				Orlando A. Aycardo		 				Canvasser		 	No</t>
  </si>
  <si>
    <t xml:space="preserve"> printer</t>
  </si>
  <si>
    <t xml:space="preserve"> CIVIL AVIATION AUTHORITY OF THE PHILIPPINES								 								 Standard Form Number: SF-GOOD-60								 Revised on: May 24, 2004								 REQUEST FOR QUOTATION								 								 								 								 						Date		June 24, 2020 						Quotation No. 		20-06-062 Compa</t>
  </si>
  <si>
    <t xml:space="preserve"> Please download associated component</t>
  </si>
  <si>
    <t xml:space="preserve"> 1. Tubeless, 31 x 10.5 R15 AT/SA Wrangler -------------- 8 pcs 2. Tubeless Tire, 235/R15 AT/SA Wrangler --------------- 16 pcs 3. Tubeless Tire, 235/75 R15(ROUGH) Wrangler --------- 4 pcs 4. Tubeless Tire, 205/65 R15(FINE) Dura Plus ------------ 8 pcs  5.</t>
  </si>
  <si>
    <t xml:space="preserve"> Item No.	Unit	Quantity	Description 1	pcs	26	USB 32 gb</t>
  </si>
  <si>
    <t xml:space="preserve"> LOT 11: 9,256 BAGS COMPLETE FERTILIZER (14-14-14) DELIVERED IN MUNICIPALITIES: OCCIDENTAL MINDORO - 9,256</t>
  </si>
  <si>
    <t xml:space="preserve"> See attached supporting bid documents</t>
  </si>
  <si>
    <t xml:space="preserve"> REQUEST FOR QUOTATION											 SUPPLY AND DELIVERY OF ANALYTICAL BALANCE											 SMALL VALUE PROCUREMENT											 											 INSTRUCTION:										              	 	1.	Supplies are required to read the instructions and fill all the blanks properly.</t>
  </si>
  <si>
    <t xml:space="preserve"> Department of Public Works and Highways (DPWH)												 													 	Contract ID		:	20GFB04									 	Contract Name		:	Purchase of Construction Materials for use in the Repair and Maintenance of National Road along Daang Maharlika, K0 513+(-544) - K0</t>
  </si>
  <si>
    <t xml:space="preserve"> INVITATION TO BID The LOCAL GOVERNMENT UNIT OF SANTO TOMAS,  through its Bids and Awards Committee (BAC), invites suppliers/ manufacturers/distributors/ contractors to apply for eligibility and to bid for the hereunder projects to be undertaken on  July 6</t>
  </si>
  <si>
    <t xml:space="preserve"> Republic of the Philippines Province of Cagayan Municipality Of Ballesteros BARANGAY PAYAGAN EAST INVITATION TO BID FOR “Procurement of Various Materials for the Installation of Solar Streetlights” 1.	The Barangay Government of Payagan East, Ballesteros, </t>
  </si>
  <si>
    <t xml:space="preserve"> Repair of one (1) Automatic Rancillo Classe 7 and one (1) Semi-Automatic Rancillo Classe 7, 1 lot Scope of work:  1. Boiler Reconditioning (for Automatic Rancillo Classe 7) 2. Replacement of C Lever 15 Steam Tap Left (for Semi-Automa 3. Replacement of C L</t>
  </si>
  <si>
    <t xml:space="preserve"> Newsprint Paper White- 170 reams Size: 29" x 36", 48.8 GSM Newsprint Paper White- 1,315 reams Size: 22" X 34", 48.8 GSM</t>
  </si>
  <si>
    <t xml:space="preserve"> REQUEST FOR QUOTATION											 SUPPLY AND DELIVERY OF LABORATORY EQUIPMENTS											 SMALL VALUE PROCUREMENT											 											 INSTRUCTION:										              	 	1.	Supplies are required to read the instructions and fill all the blanks proper</t>
  </si>
  <si>
    <t xml:space="preserve"> Other Supplies &amp; Materials Expenses</t>
  </si>
  <si>
    <t xml:space="preserve"> Purchased of Medicine Supplies for Clinic</t>
  </si>
  <si>
    <t xml:space="preserve"> The Department of Agriculture Regional Field Office IX, through the GAA 2020 - (PCCARD 2020) intends to apply the sum of (PHP 150,000.00) being the Approved Budget for the Contract (ABC) to payments under the contract for 06-017-20. Bids received in exces</t>
  </si>
  <si>
    <t xml:space="preserve"> Training Expense</t>
  </si>
  <si>
    <t xml:space="preserve"> OFFICE EQUIPMENT EXPENSE</t>
  </si>
  <si>
    <t xml:space="preserve"> Republic of the Philippines Department of Public Works and Highways REGIONAL OFFICE VIII Baras, Palo, Leyte INVITATION TO BID June 24, 2020 1.	The DPWH Regional Office VIII, Baras, Palo, Leyte through its Bids and Awards Committee (BAC), invites contracto</t>
  </si>
  <si>
    <t xml:space="preserve"> 4 units buggy h.d. 2 units grass cutter</t>
  </si>
  <si>
    <t xml:space="preserve"> WHITE WOVE LONG SUBS 18      1000 REAMS    185.00     185,000.00 STAPLER HEAVY DUTY                2 PCS              200.00            400.00             CORRECTION TAPE                    1 PC	                 50.00             50.00</t>
  </si>
  <si>
    <t xml:space="preserve"> 56,827 BAGS - LOT 1: UREA FERTILIZER (46-0-0) @ 50KG/BAG GRANULES/PRILLED DELIVERED IN MUNICIPALITIES: OCCIDENTAL MINDORO - 16,461 ORIENTAL MINDORO - 37,448 ROMBLON - 1,432 MARINDUQUE - 1,486</t>
  </si>
  <si>
    <t xml:space="preserve"> CIVIL AVIATION AUTHORITY OF THE PHILIPPINES								 								 Standard Form Number: SF-GOOD-60								 Revised on: May 24, 2004								 REQUEST FOR QUOTATION								 								 								 								 						Date		June 24, 2020 						Quotation No. 		20-06-063 Compa</t>
  </si>
  <si>
    <t xml:space="preserve"> MEALS AND SNACKS FOR 30 PAX (2 MEALS, AM AND PM SNACKS) PLEASE SEE ATTACHED FILES.</t>
  </si>
  <si>
    <t xml:space="preserve"> The Department of Agriculture Regional Field Office IX, through the GAA 2020 - (SAAD Program) intends to apply the sum of (PHP 81,000.00) being the Approved Budget for the Contract (ABC) to payments under the contract for 05-025-20. Bids received in exces</t>
  </si>
  <si>
    <t xml:space="preserve"> Accomplished RFQ's must be received by the BAC SECRETARIAT of the PROCURING ENTITY at Department of Agriculture-RSO IX, Zamboanga City, on or before the deadline of submission.							 	ABC:	199,680.00	 	Delivery Period:		30 Calendar Days 	Delivery Site:		</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</si>
  <si>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</si>
  <si>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46 CU.M SAND &amp; GRAVEL</t>
  </si>
  <si>
    <t xml:space="preserve"> The SANGGUNIANG BARANGAY OF BARANGAY POBLACION III, TANAUAN CITY, BATANGAS, through the Barangay Operating Budget 2020 intends to apply the sum of Forty Thousand Pesos Only (Php 40,000.00) being the Approved Budget of the Contract (ABC) to payment under t</t>
  </si>
  <si>
    <t xml:space="preserve"> 300 liters - Gasoline (Special/Unleaded) 339.50 liters - Diesoline</t>
  </si>
  <si>
    <t xml:space="preserve"> Purchased of Led TV 40"</t>
  </si>
  <si>
    <t xml:space="preserve"> 1. Construction of Perimeter Fence 2. Construction of Wheel Bath 3. Construction of entrance and exit gates of Livestock Section DA RIARC Area 4. Expansion on Native Chicken House 5. Construction of Goat House Brgy. Alcate, Victoria, Oriental Mindoro</t>
  </si>
  <si>
    <t xml:space="preserve"> Please see attached specifications</t>
  </si>
  <si>
    <t xml:space="preserve"> Bidders must submit Certificate of PhilGEPS Registration. No extension on the deadline of delivery. Strictly 20 CD upon receipt of P.O.</t>
  </si>
  <si>
    <t xml:space="preserve"> The Barangay Government of Barangay POB. III, Tanauan City, Batangas through the Bids and Awards Committee (BAC) invites Suppliers/Contractors to apply for eligibility and if subsequently found eligible, to bid for the projects described hereunder, viz: N</t>
  </si>
  <si>
    <t xml:space="preserve"> 20GCL0001 - Purchase of Materials for Maintenance Works (Thermoplastic Paint) at Iba North and South for 1st Quarter.</t>
  </si>
  <si>
    <t xml:space="preserve"> PLEASE SEE ATTACHED FILES.</t>
  </si>
  <si>
    <t xml:space="preserve"> (FORM NO. 014 – INVITATION TO APPLY FOR ELIGIBILITY AND TO BID) Republic of the Philippines Sangguniang Barangay of PUNTA Barangay PUNTA, Unisan, Quezon INVITATION TO APPLY FOR ELIGIBILITY AND TO BID Date			:  					 The Sangguniang Barangay PUNTA, through</t>
  </si>
  <si>
    <t xml:space="preserve"> Water Pump and Pipeline Replacement</t>
  </si>
  <si>
    <t xml:space="preserve"> 220 PIECE MANILA PAPER 50 PIECE CARTOLINA 3 GALLON LATEX PAINT WHITE 2 GALLON ENAMEL PAINT WHITE 10 CAN TINTING (ASSORTED COLOR) 3 GALLON LATEX READY MIX 5 PIECE ROLLER BRUSH 8 GALLON ROOF PAINT 4 PIECE PAINT BRUSH #4 40 PIECE JALOUSIE BLADE 12 BOTTLE PRI</t>
  </si>
  <si>
    <t xml:space="preserve"> The SANGGUNIANG BARANGAY OF BARANGAY CALE, TANAUAN CITY, BATANGAS, through the Barangay Operating Budget 2020 intends to apply the sum of Twenty Six Thousand Pesos Only (Php 26,000.00) being the Approved Budget of the Contract (ABC) to payment under the P</t>
  </si>
  <si>
    <t xml:space="preserve"> PURCHASE OF 1 SETS ASSEMBLY FIBER GLASS BASKETBALL BOARD WITH RING AND ASSEMBLY MOVABLE STEEL STAND</t>
  </si>
  <si>
    <t xml:space="preserve"> REQUEST FOR QUOTATION The City Government of Cauayan, Isabela, through its Bids and Awards Committee, will undertake a Small Value Procurement for the “Supply and Delivery of Two (2) units Laptop Computer for City Disaster Risk Reduction and Management Of</t>
  </si>
  <si>
    <t xml:space="preserve"> SUPPLY OF LABOR AND  MATERIALS FOR THE FABRICATION OF CONTAINER VAN CONVERT INTO MOBILE HEALTH FACILITY FOR ISOLATION AND TREATMENT OF COVID - 19 CASES</t>
  </si>
  <si>
    <t xml:space="preserve"> Republic of the Philippines PROVINCE OF ZAMBALES I B A  Project Reference Number/Purchase Request No..	PHO 2020-458 													                                                                                                 Location of the Project:	Prov</t>
  </si>
  <si>
    <t xml:space="preserve"> CANAL LINING</t>
  </si>
  <si>
    <t xml:space="preserve"> Individual Health and Hygiene Kit includes: -- Alcohol (70% Solution) - 500ml -- Face Mask (10pcs/kit) -- Soap (3pcs/kit) -- Soap Dish (1pc/kit) -- Vitamin C Tablet (20 tablets/kit) -- Eco Bag Total Quantity of Individual Health and Hygiene Kits: 160 kits</t>
  </si>
  <si>
    <t xml:space="preserve"> The SANGGUNIANG BARANGAY OF BARANGAY CALE, TANAUAN CITY, BATANGAS, through the Barangay Operating Budget 2020 intends to apply the sum of Thirty Thousand Pesos Only (Php 30,000.00) being the Approved Budget of the Contract (ABC) to payment under the Provi</t>
  </si>
  <si>
    <t xml:space="preserve"> 20GRFQCL0002 - Purchase of Materials for Maintenance Works (Thermoplastic Applicator) of Zambales 1st DEO for 1st Quarter.</t>
  </si>
  <si>
    <t xml:space="preserve"> ROAD EXPANSION/PCCP</t>
  </si>
  <si>
    <t xml:space="preserve"> OPENING OF BIDS IN DSWD ZAMBOANGA CITY,		 DELIVERY IN DSWD FO IX ZC		 PROCUREMENT FOR THE FF.:		 		 1 LOT VEHICLE PARTS AND SUPPLIES 		 4 pc TIRE TUBE TYPE TO INCLUDE MOUNTING TIRE GAUGE HEAVY DUTY (not dial type) WITH INTERIOR		 SPECS: MILLER TYPE, 10,00</t>
  </si>
  <si>
    <t xml:space="preserve"> BUREAU OF CORRECTIONS IWAHIG PRISON AND PENAL FARM Puerto Princesa City REQUEST FOR QUOTATION IPPF 2020-06-60 Date:								        	 Name of Company: _______________________________________________________________ Address: ________________________________</t>
  </si>
  <si>
    <t xml:space="preserve"> SUPPLIES AND EQUIPMENTS - Php 91,500.00</t>
  </si>
  <si>
    <t xml:space="preserve"> PCCP</t>
  </si>
  <si>
    <t xml:space="preserve"> The municipality of San Clemente, Tarlac reserves the right to accept or reject any bid, to annul the  bidding  process, and to reject all bids at any time prior to contract award, without thereby incurring any liability to  the affected bidder or bidders</t>
  </si>
  <si>
    <t xml:space="preserve"> Walis Tingting Walis Tambo Zonrox</t>
  </si>
  <si>
    <t xml:space="preserve"> SUPPLY AND INSTALLATION OF TWO (2) UNITS 2.5 HP INVERTER SPLIT TYPE AIRCON ***PLEASE READ OTHER INFORMATION BELOW TO AVOID DISQUALIFICATION***</t>
  </si>
  <si>
    <t xml:space="preserve"> 20GRFQCL0006 - Purchase of Materials for Maintenance Works (Reflective Rubberized Traffic Paint) at Iba North.</t>
  </si>
  <si>
    <t xml:space="preserve"> 20GRFQCL0001 - Purchase of Materials for Maintenance Works (Hot Asphalt) at Iba North &amp; South for 1st Quarter.</t>
  </si>
  <si>
    <t xml:space="preserve"> Road Improvement</t>
  </si>
  <si>
    <t xml:space="preserve"> ESTIMATED PAGES                                                                                               ESTIMATED AMOUNT GRADE 7  30,720                                                                                                  P27,648.00 GRAD</t>
  </si>
  <si>
    <t xml:space="preserve"> Unit 	Supply , delivery of Air Cooler	1	31,995.00	31,995.00 	Heavy duty type			 	1.3 Mega Pixel Digital Camera			 	350 watts power for 60-65sqm area			 	8,000 m3/h Powerful Airflow			 	3 Sides Cooling pad			 	Floor-standing typw with wheels			 	With horiz</t>
  </si>
  <si>
    <t xml:space="preserve"> Description   1.	The Development Bank of the Philippines, through the Corporate Budget approved by the Board for CY 2020 intends to apply the sum of One Hundred Sixty-Eight Million Four Hundred Forty-Four Thousand Five Hundred Pesos &amp; 00/100 (Php168,444,5</t>
  </si>
  <si>
    <t xml:space="preserve"> 20GRFQCL0005 - Purchase of Materials for Maintenance Works (Hot Asphalt 85/100) at Iba North &amp; South for 2nd Quarter.</t>
  </si>
  <si>
    <t xml:space="preserve"> LANDSCAPING</t>
  </si>
  <si>
    <t xml:space="preserve"> Republic of the Philippines  Barangay 842, Zone 38, District VI, Manila Bids and Awards Committee INVITATION TO BID Barangay 842, Zone 38, District VI, Manila through its Bids and Awards Committee (BAC), Invites all Suppliers Contractors to bid the here u</t>
  </si>
  <si>
    <t xml:space="preserve"> 25 can Ampalaya (100g) Sta. Rita 5 can Ampalaya (100g) trident improved F1 10 can Calabasa (250g) rosalinda variety 20 can Cucumber (100g) poinsett variety 20 can Eggplant OP (100g) long purple 3 can Eggplant hybrid (50g) warhawk F1 20 bag Kangkong upland</t>
  </si>
  <si>
    <t xml:space="preserve"> Supply, Delivery and Installation of Airconditioning at HR Office</t>
  </si>
  <si>
    <t xml:space="preserve"> Deep Fryer for French Fries Set Quantity: 23 units Approved Budget: P143,000 INCLUSIVE OF DELIVERY AND DISTRIBUTION TO BARANGAY MACABALAN</t>
  </si>
  <si>
    <t xml:space="preserve"> Republic of the Philippines Province of Quezon Municipality of Guinayangan Barangay Government of Sta. Cruz INVITATION TO BID Date: June 24, 2020 1.	The Barangay Government of  Sta. Cruz  intends to apply the sum one hundred one thousand eight hundred fif</t>
  </si>
  <si>
    <t xml:space="preserve"> 20GRFQCL0004 - Purchase of Material for Maintenance Works (Aggregates) at Iba North &amp; South for 2nd Quarter.</t>
  </si>
  <si>
    <t xml:space="preserve"> 1 lot Piglets (25% delivery for first batch) (25% delivery for second batch) (25% delivery for third batch) (25% delivery for 4th batch)</t>
  </si>
  <si>
    <t xml:space="preserve"> BIDS AND AWARDS COMMITTEE – HEAD OFFICE INVITATION TO BID 1. The Bangko Sentral ng Pilipinas (BSP), through its Bids and Awards Committee – Head Office (BAC-HO), invites bidders to apply for eligibility and to bid for the hereunder requirement: Name of Re</t>
  </si>
  <si>
    <t xml:space="preserve"> 1.	The Development Bank of the Philippines, through the Corporate Budget approved by the governing Board for CY 2020 intends to apply the sum of Twenty-Eight Million Eight Hundred Thousand Pesos &amp; 00/00 (PhP28,800,000.00) for three years (or PhP9,600,000.</t>
  </si>
  <si>
    <t xml:space="preserve"> rice supplies</t>
  </si>
  <si>
    <t xml:space="preserve"> 2 pcs 8 stack Variloop Antenna / VHF 1 pc RGB (50 Ohms) Coaxial Cable 1 set System Design and Installation -repeater set-up (frequency testing, tuning and others) -antenna set up -coaxial cable termination and installation 6 pcs PL259 Connector 1 set Copp</t>
  </si>
  <si>
    <t xml:space="preserve"> INSTALLATION OF BASKETBALL COURT LIGHT AND TIMER MACHINE</t>
  </si>
  <si>
    <t xml:space="preserve"> QTY./UNIT OF ISSUE/ITEM DESCRIPTION 700 lits. DIESEL 540 lits. GASOLINE</t>
  </si>
  <si>
    <t xml:space="preserve"> Republic of the Philippines PROVINCE OF ZAMBALES I B A  Project Reference Number/Purchase Request No..	20-056-075 													                                                                                                 Location of the Project:	San Ma</t>
  </si>
  <si>
    <t xml:space="preserve"> REQUIREMENTS: 1	LOT	ANNUAL SUBSCRIPTION OF ADOBE CREATIVE CLOUD (3 LICENSES, START DATE: SEPTEMBER 26, 2020 TO SEPTEMBER 26, 2021) AGREEMENT NO. 10A2B09224DA5975A52A; SKU: 65297751BC01A12 1	LOT	ANNUAL SUBSCRIPTION OF ADOBE INDESIGN SOFTWARE (2 LICENSES, S</t>
  </si>
  <si>
    <t xml:space="preserve"> Rain coats Rain Boots</t>
  </si>
  <si>
    <t xml:space="preserve"> INVITATION TO BID FOR THE CONSTRUCTION OF ROAD Basog, Adams, Ilocos Norte 1.	The Municipal Government of Adams, through funds from the LGSF-Other Financial Assistance intends to apply the sum of P1,499,934.92 being the Approved Budget for the Contract (AB</t>
  </si>
  <si>
    <t xml:space="preserve"> Various materials for Construction of PNP Kitchen at PNP building</t>
  </si>
  <si>
    <t xml:space="preserve"> Rapid testing kit  supplies</t>
  </si>
  <si>
    <t xml:space="preserve"> (see bidding documents in the associated component for further project details)</t>
  </si>
  <si>
    <t xml:space="preserve"> 1	pc	Thermal Scanner / Thermo Gun / Infrared Thermometer	 		Big Screen (Backlight LCD digital display Fever Alarm</t>
  </si>
  <si>
    <t xml:space="preserve"> Rapid testing kit supplies</t>
  </si>
  <si>
    <t xml:space="preserve"> Construction Supplies</t>
  </si>
  <si>
    <t xml:space="preserve"> Please see the attached Purchase Request for P.R. No. 20-0032 for the procurement of Third Party Survey on GCG Stakeholders’ Satisfaction with the Approved Budget for the Contract (ABC) of (₱900,000.00) and the Terms of Reference (TOR)/Technical specifica</t>
  </si>
  <si>
    <t xml:space="preserve"> 1	1	Lot	Supply and Delivery of  I.T. Equipment 			Item Description: 	2	Units	COMPUTER, Desktop Processor	Intel Core i7 9th Gen Memory		8 GB Graphics	4GB Discrete Graphics Display		23 Inch LED Monitor Storage		128GB SSD + 1TB HDD Accessories	USB Keyboard &amp;</t>
  </si>
  <si>
    <t xml:space="preserve"> No.: RFQ-08-2020 	       Date: May 12, 2020 REQUEST FOR QUOTATION (RFQ) MINISTRY OF PUBLIC WORKS  Bangsamoro Autonomous Region in Muslim Mindanao Sir/Madam: Please quote your price for the article described below with the request that the condition or req</t>
  </si>
  <si>
    <t xml:space="preserve"> 1600 cavans Milled Rice</t>
  </si>
  <si>
    <t xml:space="preserve"> REQUEST FOR QUOTATION Please quote your lowest price (price must be inclusive of tax) on the item/s listed below, subject to the General Conditions, stating the shortest time of delivery. Submit your quotation duly signed by your representative and proper</t>
  </si>
  <si>
    <t xml:space="preserve"> Quarantine Steel Bed with accessories</t>
  </si>
  <si>
    <t xml:space="preserve"> OFFICE OF THE BIDS AND AWARDS COMMITTEE (BAC) INVITATION TO BID FOR: 20-06-449 Purchase of Rice Mill (Static Rice Mill) with Installation for Rice Production, Milling and Marketing Enterprise under DAR-MinSAAD Project 1.	The Local Government Unit of Alama</t>
  </si>
  <si>
    <t xml:space="preserve"> Please see the attachment</t>
  </si>
  <si>
    <t xml:space="preserve"> Desilting of Canal Creek Brgys. Paratong, Angkileng, Burgos, Ayusan</t>
  </si>
  <si>
    <t xml:space="preserve"> Personal Computer with Complete Accessories</t>
  </si>
  <si>
    <t xml:space="preserve"> The Department of Trade and Industry- Misamis Oriental Provincial Office invites PhilGEPS registered suppliers to submit duly accomplished Request for Quotations Re-Supply and Delivery of Grocery Package for LSP NSB Recipients with the following descripti</t>
  </si>
  <si>
    <t xml:space="preserve"> Construction of Canal and Pathway at Padilla Compound</t>
  </si>
  <si>
    <t xml:space="preserve"> 1000 cavans Milled Rice</t>
  </si>
  <si>
    <t xml:space="preserve"> Testing Kits</t>
  </si>
  <si>
    <t xml:space="preserve"> various supplies for COVID-19</t>
  </si>
  <si>
    <t xml:space="preserve"> The Department of Trade and Industry- Misamis Oriental Provincial Office invites PhilGEPS registered suppliers to submit duly accomplished Request for Quotations Re-Supply and Delivery of E-Loading Kit for LSP NSB Recipients with the following items and d</t>
  </si>
  <si>
    <t xml:space="preserve"> 1	1	Lot	Supply and Delivery of  Computer Desktop 			Item Description: 	2	Units	Desktop Computer set Processor	Intel Core i5 9th Gen Memory		8 GB Graphics	2GB Discrete Graphics Display		23 Inch FHD LED Monitor Storage		1 TB HDD + 128 GB SSD Accessories	USB</t>
  </si>
  <si>
    <t xml:space="preserve"> CONSTRUCTION SUPPLIES</t>
  </si>
  <si>
    <t xml:space="preserve"> The Department of Trade and Industry- Misamis Oriental Provincial Office invites PhilGEPS registered suppliers to submit duly accomplished Request for Quotations Re-Supply and Delivery of Sewing Machine for LSP NSB Recipients with the following descriptio</t>
  </si>
  <si>
    <t xml:space="preserve"> INVITATION TO BID FOR the Procurement of OUTSOURCING OF MANPOWER SERVICES FOR CY 2020 – Ref. # 2020-06-04 1.	The FOOD AND NUTRITION RESEARCH INSTITUTE, through the “GAA 2020- LFP, Expanded NNS”  intends to apply the sum of Thirty Five Million Two Hundred </t>
  </si>
  <si>
    <t xml:space="preserve"> CONSTRUCTION OF ACCESS ROAD</t>
  </si>
  <si>
    <t xml:space="preserve"> Sir/Madam:																																		 																																		 Please quote your government price/s including delivery charges, VAT or other applicable taxes, and other incidental expenses for the goods listed in Annex A.  Failure to indi</t>
  </si>
  <si>
    <t xml:space="preserve"> Republic of the Philippines  ANGELES CITY WATER DISTRICT  Angeles City  REQUEST FOR QUOTATIONS  SUPPLIER: PR No.: 20-02-07-PO ADDRESS: DATE:  CONTACT NOS.: ________________________________  Please submit your quotations for the following items on or befor</t>
  </si>
  <si>
    <t xml:space="preserve"> 900 cavans  Milled Rice</t>
  </si>
  <si>
    <t xml:space="preserve"> REQUEST FOR QUOTATION The Tourism Infrastructure and Enterprise Zone Authority (TIEZA) through its Bids and Awards Committee undertake a Small Value Procurement for the SUPPLY AND DELIVERY OF INKS FOR THE USE OF PEPD-PPDD, in accordance with Section 53.9 </t>
  </si>
  <si>
    <t xml:space="preserve"> INVITATION TO BID IB NO. 2020– 058/ JJL SUPPLY AND DELIVERY OF INORGANIC FERTILIZERS 		 1.	Department of Agriculture, Regional Field Office-10, through the Rice Program Funds CY 2020 intends to apply the sum of  Bid Lot 1: Twenty Four Million Two Hundred </t>
  </si>
  <si>
    <t xml:space="preserve"> OFFICE OF THE BIDS AND AWARDS COMMITTEE (BAC) INVITATION TO BID FOR: 20-06-467 Construction Materials for the Repair of Classroom at Alamada East District, Bao, Alamada, Cotabato 1.	The Local Government Unit of Alamada, through the SEF- East District inte</t>
  </si>
  <si>
    <t xml:space="preserve"> Marine Plywood 1/4 Good Lumber</t>
  </si>
  <si>
    <t xml:space="preserve"> Face Mask Alcohol Vinyl Gloves</t>
  </si>
  <si>
    <t xml:space="preserve"> IMPROVEMENT OF SCHOOL</t>
  </si>
  <si>
    <t xml:space="preserve"> The Department of Trade and Industry- Misamis Oriental Provincial Office invites PhilGEPS registered suppliers to submit duly accomplished Request for Quotations Re-Supply and Delivery of Rice for LSP NSB Recipients (Rice Retailing) with the following des</t>
  </si>
  <si>
    <t xml:space="preserve"> For Rehabilitation of Barangay Roads(Alegre, Eman and Tubod) Please see attached ITB and RFQ</t>
  </si>
  <si>
    <t xml:space="preserve"> Various LED Lights  2,600  PC LED tube, 8 W, 220V, DL  300  PC LED Bulb, 8W, 220V, DayLight  300 PC LED Bulb, 8W, 220V, Warm White  -In accordance with the Technical Specifications  ABC: Php 734,900.00  NOTE: Please sign all pages of the Technical Specifi</t>
  </si>
  <si>
    <t xml:space="preserve"> QUANTITY 	UNIT         	DESCRIPTION                             	UNIT COST MUNICIPAL AGRICULTURE OFFICE                                  		Four Drawer Steer Cabinet (MAO)	35,000.00                                 		Office Table (MAO)                     	</t>
  </si>
  <si>
    <t xml:space="preserve"> Printing of Tarpaulin for Tricycle with singlet to promote Family Planning Scope of Work: Size: Height: 36 inches/ 3ft  Width: 24 inches/ 2ft Thickness: 0.009-0.011 in/ 0.23-0.28mm (See Attached Ready to Print Layout) Note: please provide sample material </t>
  </si>
  <si>
    <t xml:space="preserve"> APR Form Revised March 2007											 	NAME AND ADDRESS:			VICTORIANO H. LASTIMOSA ELEMENTARY SCHOOL						AGENCY		 	OF REQUESTING:			Bobongan, Ramon Magsaysay, Zamboanga del Sur						ACCT. CODE		 	AGENCY:									AGENCY CONTROL No.		 	TEL. NOS.:			946403</t>
  </si>
  <si>
    <t xml:space="preserve"> 1	Rice, 50/kgs	40	sacks</t>
  </si>
  <si>
    <t xml:space="preserve"> Folding Medical Beds</t>
  </si>
  <si>
    <t xml:space="preserve"> 1	Sporeclear Concentrate 1L	5	btls 2	Surgical Brush with povidone iodine 7.5%	75	pcs 3	Glucometer Strips, 50's	30	bxs 4	Dermistat 500ml	10	btls</t>
  </si>
  <si>
    <t xml:space="preserve"> 1	Rice, well-milled	60	sacks</t>
  </si>
  <si>
    <t xml:space="preserve"> Republic  of  the  Philippines  Province  of  Marinduque MUNICIPALITY  OF  GASAN INVITATION TO  BID  FOR THE CONSTRUCTION OF 45 L.M.  PERMANENT CONCRETE BRIDGE 1.	The Municipality of Gasan, through  Assistance to Municipalities (AM) CY 2019, Local Bridge </t>
  </si>
  <si>
    <t xml:space="preserve"> 1	Medical Oxygen standard	245	tanks 2	Medical Oxygen Medium	6	tanks</t>
  </si>
  <si>
    <t xml:space="preserve"> Noodles Sardines</t>
  </si>
  <si>
    <t xml:space="preserve"> The Local Government Unit of Brgy. Batug, MacArthur, Leyte, through the PF/A intends to apply the sum of Two hundred sixty thousand Pesos (Php 260,000.00) being the Approved Budget for the Contract (ABC) to payments under the contract for the Construction</t>
  </si>
  <si>
    <t xml:space="preserve"> 1	Information Advocacy	27	days 	Blocktime Radio Program		 	once a week 12:00-1:00 pm		 	 to cover the entire area of North Cotabato</t>
  </si>
  <si>
    <t xml:space="preserve"> The Department of Trade and Industry- Misamis Oriental Provincial Office invites PhilGEPS registered suppliers to submit duly accomplished Request for Quotations Re-Supply and Delivery of Livestock Feeds Retailing Package for LSP NSB Recipients with the f</t>
  </si>
  <si>
    <t xml:space="preserve"> INVITATION TO BID IB NO. 2020 – 059/ JJL SUPPLY AND DELIVERY OF 298 BAGS HYBRID CORN SEEDS (Yellow) GMO 		 1.	Department of Agriculture, Regional Field Office-10, through the Corn Program Funds CY 2020 intends to apply the sum of One Million One Hundred N</t>
  </si>
  <si>
    <t xml:space="preserve"> 28 	 pcs. 	 Ethyl Alcohol 1 liter    12 	 pcs. 	 32gb USB Flash disk   1 	 pc. 	          Laminating Machine   11 	 sets 	 Ink bottles for printer   2 	 pcs. 	 Stapler   2 	 pcs. 	 Puncher   12 	 ream 	 Short bond paper   15 	 ream 	 A4 bond paper   15 	 </t>
  </si>
  <si>
    <t xml:space="preserve"> AIRCON WINDOW TYPE</t>
  </si>
  <si>
    <t xml:space="preserve"> ISO 9001:2015 Re-Certification Audit</t>
  </si>
  <si>
    <t xml:space="preserve"> Sodium Ascorbate Azithromycin</t>
  </si>
  <si>
    <t xml:space="preserve"> REQUEST FOR QUOTATION (RFQ) Solicitation No. PSO-VIS-GOODS-006-20 EPC: Php 80,000.00 Procurement Toner Cartridge for reproduction of documents and reports of DA PRDP PSO Visayas 10 pcs Toner Cartridge (Lexmark Cartridge Collection Program 60F3H03) Quotati</t>
  </si>
  <si>
    <t xml:space="preserve"> Personal Protective Equipment Goggles Spray Goggles</t>
  </si>
  <si>
    <t xml:space="preserve"> Please refer to the attached RFQ</t>
  </si>
  <si>
    <t xml:space="preserve"> 300	pc	Amoxicillin 125 mg 300	pc	Mefenamic Acid Cap. 500 mg 300	pc	Paracetamol Tab.  500 mg.</t>
  </si>
  <si>
    <t xml:space="preserve"> SCHOOL AND OFFICE SUPPLIES FOR THE MONTH OF APRIL TO JUNE 2020</t>
  </si>
  <si>
    <t xml:space="preserve"> EXTENSION OF 10 UNITS STREET LIGHT &amp; REPLACEMENT OF BULB 4 roll THHN WIRE #12 10 pcs. receptacle 2x2 10 set street light basin w/ arm 4 pcs. 2'' dia. G.I Pipe s20 4 pcs. 1 1/2'' dia. G.I Pipe S20 16 bags Portland cement 16 pcs. 10mm dia. x 6.0m RSB 2 pcs.</t>
  </si>
  <si>
    <t xml:space="preserve"> (Supply &amp; Delivery) 2 units SIREN Specifications: 		 Design: aerodynamic bar type,  Light type: strobe light number of strobe lights- 8 min.;  Length: at least 44 inches min.; Height: 4 inches (min);  Material: Polycarbonate or better  Color: Red and Blue</t>
  </si>
  <si>
    <t xml:space="preserve"> Hiring of Warehouse Manager/Pharmacist for Supply Chain Management from July 6 to December 31, 2020  (See attached Term of Reference TOR) Please attach quotation with the ff: 1.	Curriculum Vitae (CV) 2.	PhilGEPS Certification/Registration Number (Snap Sho</t>
  </si>
  <si>
    <t xml:space="preserve"> It includes: Dismantling/Chipping Works and Restoration; Supply and Installation of Airconditioning Units and Fan Coil Units; Fabrication and Installation of ACCU Steel Frames and Electrical Installation.</t>
  </si>
  <si>
    <t xml:space="preserve"> PURCHASE OF ONE (1) UNIT LAPTOP INTEL CORE I7 PROCESSOR 8 GB RAM 240 GB SSD 1 TB HDD **PLEASE READ THE OTHER INFORMATION BELOW TO AVOID DISQUALIFICATION**</t>
  </si>
  <si>
    <t xml:space="preserve"> Free school supplies</t>
  </si>
  <si>
    <t xml:space="preserve"> MUNICIPAL AGRICULTURE OFFICE Serbisyong Panghayopan                    	30,000.00 Training in Organic Agriculture Technology	20,000.00 MDRRM OFFICE MDRRMC Meeting                                                                   	20,000.00 Procurement of </t>
  </si>
  <si>
    <t xml:space="preserve"> Unit         Description             Quantity         Unit Cost      Amount   Peaces  Thermal Scanner           4 Bottle     Alcohol 500 ml          115 Bottle.    Disinfectant Liquid.  115 Peaces   Face mask (N95)     115 Pairs        Gloves (surgical)  </t>
  </si>
  <si>
    <t xml:space="preserve"> Procurement of Office Supplies</t>
  </si>
  <si>
    <t xml:space="preserve"> Procurement of Outsourced Manpower Services and Scanner Maintenance Support for Document Processing Division (DPD), Administrative &amp; Human Resource Management Division HRMD and Finance Division, Revenue Region No.7A-QC Duration of the Project: July 1, 202</t>
  </si>
  <si>
    <t xml:space="preserve"> 1	1	Lot	Supply and Delivery of  Office Supplies  			Item Description: 	10	Pcs	CLEARBOOK, 20 transparent pockets, for A4 size 	10	Pcs	CLEARBOOK, 20 transparent pockets, for LEGAL size 	50	Pcs	SIGN PEN, BLACK, liquid/gel ink, 0.5mm needle tip 	50	Pcs	SIGN P</t>
  </si>
  <si>
    <t xml:space="preserve"> 1	Monoblock chairs	200	pcs</t>
  </si>
  <si>
    <t xml:space="preserve"> It includes: Toner Cartridge Can Print minimum of 2,200 to 3,000 pages high cartridge capacity, black cartridge color toner weight not lower than 0.58 kg Terms of Reference: 1.Free use of Printer  Specification: 3-in-1- (Print,copy,scan) with LAN Laserjet</t>
  </si>
  <si>
    <t xml:space="preserve"> 1	Diesel Fuel	2649	ltrs</t>
  </si>
  <si>
    <t xml:space="preserve"> QUANTITY 	UNIT 	DESCRIPTION                                                     	UNIT COST MUNICIPAL ENGINEERING OFFICE                               		IT Equipment                                                     	40,000.00 MENRO                      </t>
  </si>
  <si>
    <t xml:space="preserve"> PURCHASE OF JANITORIAL AND OTHER SUPPLIES</t>
  </si>
  <si>
    <t xml:space="preserve"> 1 roll PE PIPELINE 2' x60m 4 rolls PE PIPELINE 1 1/2 x60m 9 rolls PE PIPELINE 1''X100m 1 pc. compression coupling 2'' 3 pcs. compression coupling 1 1/2 8 pcs. compression coupling 1'' 1 pc. compression reducer 2x1 1/2 1 pc. compression reducer 1 1/2 x1</t>
  </si>
  <si>
    <t xml:space="preserve"> STATE OF THE CITY ADDRESS (SOCA)		 			AUDIO VISUAL PRESENTATION (AVP) ON THE		 			CITY GOVERNMENT OF IMUS PROGRAMS AND		 			INITIATIVES		 					 2	SET		TWO (2) SETS OF 15-MINUTE AUDIO VISUAL		 			PRESENTATION FOR THE STATE OF THE CITY		 			ADDRESS OF HON. </t>
  </si>
  <si>
    <t xml:space="preserve"> Purchase of supplies for modules to be given to pupils for their reference in school.</t>
  </si>
  <si>
    <t xml:space="preserve"> Republic of the Philippines Province of Isabela LOCAL GOVERNMENT UNIT OF BENITO SOLIVEN INVITATION TO BID FOR THE PROCUREMENT OF MEDICAL SUPPLIES FOR THE CONDUCTION OF PATIENTS 1.	The Municipal Government of Benito Soliven, intends to apply the sum of One</t>
  </si>
  <si>
    <t xml:space="preserve"> JANITORIAL SUPPLIES</t>
  </si>
  <si>
    <t xml:space="preserve"> NOTICE TO THE PUBLIC  REQUEST FOR QUOTATION                                              SVP-D NO: 20-06-0267B	              The University of the Philippines, Diliman (UPD) hereby informs the public that it will be procuring the following item/s through </t>
  </si>
  <si>
    <t xml:space="preserve"> VARIOUS SUPPLIES AND MATERIALS</t>
  </si>
  <si>
    <t xml:space="preserve"> Purchase of supplies for pupils to be used for the opening of school year.</t>
  </si>
  <si>
    <t xml:space="preserve"> QUANTITY	UNIT 	DESCRIPTION                                        	UNIT COST SEEDS 3            	cans     	Calabaza Hybrid Suprema (50gms)         	2,265.00 3          	cans         	Water Melon Hybrid Sweet 18 (150 gms.)	3,405.00 20      	cans     	Eggpl</t>
  </si>
  <si>
    <t xml:space="preserve"> Republic of the Philippines Department of Environment and Natural Resources PROVINCIAL ENVIRONMENT AND NATURAL RESOURCES OFFICE Catarman, Northern Samar REQUEST FOR QUOTATION TO ALL INTERESTED SUPPLIERS: PENRO Bids and Awards Committee hereby invites all </t>
  </si>
  <si>
    <t xml:space="preserve"> The Schools Division of Calapan City invites suppliers/bidders for the delivery of security services (3 security guards) for July to December 2020. PhilGEPs registration, Mayor's Permit/Business Permit, DTI shall be attached upon submission of Quotation a</t>
  </si>
  <si>
    <t xml:space="preserve"> Republic of the Philippines									 Department of Education 									 Region VI - Western Visayas									 SCHOOLS DIVISON OF BACOLOD CITY									 PATRICIA HOMES ELEMENTARY SCHOOL									 Brgy. Granada, Bacolod City									 REQUEST FOR PRICE QUOTATION</t>
  </si>
  <si>
    <t xml:space="preserve"> Republic of the Philippines Province of Isabela LOCAL GOVERNMENT UNIT OF BENITO SOLIVEN INVITATION TO BID FOR THE REHABILITATION OF PUBLIC MARKET 1.	The Municipal Government of Benito Soliven, intends to apply the sum of Four Million Nine Hundred Ninety N</t>
  </si>
  <si>
    <t xml:space="preserve"> ITEM  NO.		UNIT			ITEM &amp; DESCRIPTION						QTY																					 1		pcs.			Marine Plywood, 3/4" thk.							5									 2		pc.			Marine Plywood, 1/4" thk.							1									 3		qrt.			Stikwel										1				 4		kg.			Finishing Nail, 2 1/2								1						 5		k</t>
  </si>
  <si>
    <t xml:space="preserve"> REQUEST FOR QUOTATION RFQ No. 2020-0270 The CITY GOVERNMENT OF CABANATUAN through its Bid and Awards Committee (BAC), will undertake Small Value Procurement for the SUPPLY AND DELIVERY OF OFFICE SUPPLIES in accordance with Section 53.9 of the Revised Impl</t>
  </si>
  <si>
    <t xml:space="preserve"> Construction of Multi-Purpose Hall (Phase I) Rental of Equipment</t>
  </si>
  <si>
    <t xml:space="preserve"> INVITATION TO SUBMIT PRICE QUOTATION (RFQ) The Ministry of Labor and Employment MOLE – BARMM through the Bids and Awards Committee (BAC), hereby invites all interested suppliers registered with the Philippine Government Electronic Procurement System (PHIL</t>
  </si>
  <si>
    <t xml:space="preserve"> Office Supplies Expenses</t>
  </si>
  <si>
    <t xml:space="preserve"> VEHICLE</t>
  </si>
  <si>
    <t xml:space="preserve"> The Schools Division of Calapan City invites suppliers/bidders for the delivery of nine (9) units of printer with ulimited ink services for July to December 2020. PhilGEPS registration, Mayor's Permit/Business Permit, DTI shall be attached upon submission</t>
  </si>
  <si>
    <t xml:space="preserve"> 1.	The Securities and Exchange Commission (SEC), through the authorized appropriations under the FY 2020 Supplemental Annual Procurement Plan 2020-1 (SAPP), intends to apply the sum of Six Million Pesos (Php 6,000,000.00) being the Approved Budget for the</t>
  </si>
  <si>
    <t xml:space="preserve"> 1.	The Securities and Exchange Commission (SEC), through the authorized appropriations under the FY 2020 Supplemental Annual Procurement Plan 2020-1 (SAPP), intends to apply the sum of Five Million Four Hundred Thousand Pesos (Php 5,400,000.00) being the </t>
  </si>
  <si>
    <t xml:space="preserve"> Please see attached RFQ in Associated Component Section for Specifications</t>
  </si>
  <si>
    <t xml:space="preserve"> NOTICE TO THE PUBLIC  REQUEST FOR QUOTATION                                                   AMP SVP-D NO: 20-06-0363	              The University of the Philippines, Diliman (UPD) hereby informs the public that it will be procuring the following item/s </t>
  </si>
  <si>
    <t xml:space="preserve"> Office supplies</t>
  </si>
  <si>
    <t xml:space="preserve"> Materials for the repair of 3 Door WatSan Comfort Room.</t>
  </si>
  <si>
    <t xml:space="preserve"> Please see attach file.</t>
  </si>
  <si>
    <t xml:space="preserve"> Food Supplies Expenses</t>
  </si>
  <si>
    <t xml:space="preserve"> Production, Supply and Delivery of Packaging for Hygiene Essentials Technical Specification Size:  14”(W) x 16”(H) Color: white color print both sides Materials: Taffeta – navy blue / with big cotton draw string (per existing sample) Printing Process: Sil</t>
  </si>
  <si>
    <t xml:space="preserve"> Republic of the Philippines Province of Oriental Mindoro MUNICIPALITY OF VICTORIA INVITATION TO BID Supply and Delivery of 26 units Printer for Elementary Schools in the Municipality of Victoria, Oriental Mindoro 1.The Municipal Government of Victoria, th</t>
  </si>
  <si>
    <t xml:space="preserve"> Purchase of supplies to be used in printing modules to be given to pupils for their lesson.</t>
  </si>
  <si>
    <t xml:space="preserve"> Unit.     Description.                           Quantity Rolls      Plastic Cover                              15 Pcs        Transparent Tape 48mm        115 Pcs         Round rugs                            1000 Pcs.      Brown envelop legal            </t>
  </si>
  <si>
    <t xml:space="preserve"> 1.	The Securities and Exchange Commission (SEC), through the authorized appropriations under the FY 2020 Supplemental Annual Procurement Plan 2020-1 (SAPP), intends to apply the sum of Three Million Pesos (Php 3,000,000.00) being the Approved Budget for t</t>
  </si>
  <si>
    <t xml:space="preserve"> INVITATION TO BID FOR THE SUPPLY AND DELIVERY OF SIX (6) UNITS BRAND NEW PICK-UP TRUCKS FOR THE SUBIC-CLARK RAILWAY PROJECT 1.	The BASES CONVERSION AND DEVELOPMENT AUTHORITY (hereinafter referred to as BCDA) through the FY 2019 General Appropriations Act </t>
  </si>
  <si>
    <t xml:space="preserve"> QUANTITY 	UNIT 	DESCRIPTION                   	UNIT COST MAO                              		Tire                                	6,400.00                           		Interior                      	2,400.00                               		Battery          </t>
  </si>
  <si>
    <t xml:space="preserve"> 158 pcs. 60x60 Floor Tiles 28 pcs. 1/4 ord. plywood 5 bags Skim Coat 15 unit tile adhesive 1 unit sliding window 1 pc. PVC Door 50 bags portland cement 20 pcs. 10mm x 6.0m steel bar 1 pc. spiral stair 4 pcs. window grills  30 pcs. metal parring 20 pcs. ca</t>
  </si>
  <si>
    <t xml:space="preserve"> Please see attached ITB and RFQ for Specifications</t>
  </si>
  <si>
    <t xml:space="preserve"> 1	cellcards (1 month)	30	pc.  2	styro cups (50 pcs/pack)	70	pack 3	plastic cups (50 pcs/pack)	70	pack 4	spoon (25 pcs/pack)	120	pack 5	fork (25 pcs/pack)	120	pack 6	styro pack lunch 3 division (100 pcs/pack)	80	pack 7	LPG 	4	pc.  8	garbage bag XL 	80	roll</t>
  </si>
  <si>
    <t xml:space="preserve"> 1	Toner MP2014AD	20.00	pcs</t>
  </si>
  <si>
    <t xml:space="preserve"> Purchase of materials used for repair and renovation of water system facilities.</t>
  </si>
  <si>
    <t xml:space="preserve"> 1	SGPT reagent	1	kit 2	Creatinine reagent, 125ml	1	kit 3	Triglycerides reagent, 125ml, 	1	kit 4	Glucose reagent, 125ml diasys	2	kit 5	cholesterol reagent, 125ml, diasys	1	kit</t>
  </si>
  <si>
    <t xml:space="preserve"> REQUIREMENTS: 12	MONTH	INTERNET CONNECTIONS AT BCDA STAFFHOUSES REDWOOD VILLAS, CLARK, PAMPANGA) 		(3 DSL LINES FOR AT LEAST 50MBPS FOR THE REDWOOD VILLAS AT UNIT NOS. 1864D, 1865A AND 1866D) APPROVED BUDGET FOR THE CONTRACT IS PHP160,000.00 Prospective s</t>
  </si>
  <si>
    <t xml:space="preserve"> Republic of the Philippines Province of Eastern Samar MUNICIPALITY OF GIPORLOS Office of the Municipal Mayor ________________________________________ Invitation to Bid for Rehabilitation of Local Access Road (Portion) and Construction of Multi-Purpose Bui</t>
  </si>
  <si>
    <t xml:space="preserve"> 20GRFQCL0009 - Purchase of Mobile Phone to be use in geotagging, location map, internet access and communication in implementing of our various projects in our District.</t>
  </si>
  <si>
    <t xml:space="preserve"> 10,000 pcs Bottled water 350ml</t>
  </si>
  <si>
    <t xml:space="preserve"> Purchase and Installation of Various parts for the Repair &amp; Maintenance for (Boomtruck AGA3137 &amp; Isuzu Dumptruck GAI 3214)</t>
  </si>
  <si>
    <t xml:space="preserve"> PURCHASE OF 1 SET SOUND SYSTEM</t>
  </si>
  <si>
    <t xml:space="preserve"> 20GRFQCL0007 - Purchase of Materials for Maintenance Works (Reflective Rubberized Traffic Paint) at Iba South.</t>
  </si>
  <si>
    <t xml:space="preserve"> 1	1	Lot	Supply &amp; Delivery of ICT Equipment &amp; Software 			Item Description: 	5	license	Autodesk AutoCAD Civil 3D Latest Software (Renewal/Licensed)SN#565-15227290 	1	unit	Laptop Computer, branded Processor: Intel Core i7-9th Gen Memory: 16GB DDR4 RAM Graph</t>
  </si>
  <si>
    <t xml:space="preserve"> REQUIREMENTS: 1	LOT	ANNUAL SUBSCRIPTION OF GATEWAY NETWORK SECURITY SUITE LICENSE (SONIC WALL APPLIANCE, FIREWALL) FOR BCDA ,BTC OFFICE, BGC, TAGUIG. FEATURES: 		GATEWAY ANTI-VIRUS, APPLICATION CONTROL, INTRUSION PREVENTION SERVICE, CONTENT FILTERING SERV</t>
  </si>
  <si>
    <t xml:space="preserve"> To provide Labor and materials for the Fabrication of Barangay Street Lights - Brgy. San Agustin Pre-bid Conference: July 14, 2020 @ 9:00AM, venue: Engineer's Office Opening of Bids - July 27, 2020, 10:00AM Other Information: Letter of Intent must be acco</t>
  </si>
  <si>
    <t xml:space="preserve"> 20GRFQCL0008 - Purchase of Materials for Maintenance Works (Reflective Rubberized Traffic Paint) at Iba South &amp; North.</t>
  </si>
  <si>
    <t xml:space="preserve"> Other Supplies and Materials Expenses</t>
  </si>
  <si>
    <t xml:space="preserve"> Description 1. The BARANGAY QUEZON JR, ORMOC CITY LEYTE through 20% DEVELOPMENT FUND FY 2020 intends to apply the sum of TWO HUNDRED THOUSAND PESOS ONLY (PhP 200,000.00) being the Approved Budget for the Contract (ABC) to payments under the contract for t</t>
  </si>
  <si>
    <t xml:space="preserve"> The Agricultural Training Institute Region IV-A (ATI Region IV-A) invites interested suppliers to submit quotations/ proposals for the hereunder requirement: Supply and Delivery of various Agricultural Inputs for the conduct of TOT on Production of High Q</t>
  </si>
  <si>
    <t xml:space="preserve"> To provide Labor and materials for the Repair and Installation o f Canal Covers - Poblacion Brgy. Pre-bid Conference: July 14, 2020 @ 9:00AM, venue: Engineer's Office Opening of Bids - July 27, 2020, 10:00AM Other Information: Letter of Intent must be acc</t>
  </si>
  <si>
    <t xml:space="preserve"> Medical, Dental &amp; Laboratory Supplies</t>
  </si>
  <si>
    <t xml:space="preserve"> Gasoline/lubricants</t>
  </si>
  <si>
    <t xml:space="preserve"> INVITATION TO BID FOR HEALTH CARE SERVICE PROVIDER FOR THE  BASES CONVERSION AND DEVELOPMENT AUTHORITY (BCDA) 1.	The Bases Conversion and Development Authority (BCDA), through its Corporate Operating Budget intends to apply the sum of FIVE MILLION FOUR HU</t>
  </si>
  <si>
    <t xml:space="preserve"> (per attached BSP specifications/see attached MAH No. 2016-004 for approved design)</t>
  </si>
  <si>
    <t xml:space="preserve"> 1	Mechanical Hospital Bed Set  -Detachable headboard, footboard and with handrails/guardrails -2 adjustable cranks (head and foot) -inclusive 4” leatherette mattress	 9	Set 2	Automatic Rechargeable LED Emergency Light -2x3 Hi power LED -adjustable twin he</t>
  </si>
  <si>
    <t xml:space="preserve"> 2-units Brand New Steel Cabinet. Height: 185cm., Width: 90cm., Thickness: 40cm. with 2 sliding doors, door up made of clear glass with key and door down made of steel with key. *Price includes VAT and delivery to BAC Office-LGU Naga*</t>
  </si>
  <si>
    <t xml:space="preserve"> Republic of the Philippines Province of Nueva Ecija Municipality of Cuyapo -o0o- OFFICE OF THE BIDS AND AWARDS COMMITTEE INVITATION TO BID FOR  CONSTRUCTION OF 40 STALLS BESIDE WET MARKET 1. The Municipality of Cuyapo, Nueva Ecija intends to apply the sum</t>
  </si>
  <si>
    <t xml:space="preserve"> Invitation to Bid for Repair/Rehabilitation of Reservoir at Purok Mirasol, Pob., Margosatubig, ZDS. Source of Fund: 20% EDF Nonrefundable fee for bidding documents: 500.00</t>
  </si>
  <si>
    <t xml:space="preserve"> 1-unit Garbage Vehicle  Specifications: Surplus, color white, double cab, 4x2, Tire Front: 15x600 Rear Tire: 14x600, Piston Displacement: 3059, Diesel Engine 4 Cylinder, Net weight: 2,500 kg with Aircon, Stereo, Tie Wrench, Jack and spare tire front and r</t>
  </si>
  <si>
    <t xml:space="preserve"> Republic of the Philippines Province of Nueva Ecija Municipality of Cuyapo -o0o- OFFICE OF THE BIDS AND AWARDS COMMITTEE INVITATION TO BID FOR  ROAD CONCRETING, BARANGAY CALANCUASAN NORTE 1. The Municipality of Cuyapo, Nueva Ecija intends to apply the sum</t>
  </si>
  <si>
    <t xml:space="preserve"> Republic of the Philippines Province of Nueva Ecija Municipality of Cuyapo -o0o- OFFICE OF THE BIDS AND AWARDS COMMITTEE INVITATION TO BID FOR  ROAD CONCRETING, PUROK 2, BARANGAY VILLAFLORES 1. The Municipality of Cuyapo, Nueva Ecija intends to apply the </t>
  </si>
  <si>
    <t xml:space="preserve"> concreting FMR</t>
  </si>
  <si>
    <t xml:space="preserve"> Republic of the Philippines Province of Nueva Ecija Municipality of Cuyapo -o0o- OFFICE OF THE BIDS AND AWARDS COMMITTEE INVITATION TO BID FOR  CONSTRUCTION OF RIPRAP -BARANGAY RIZAL 1. The Municipality of Cuyapo, Nueva Ecija intends to apply the sum of P</t>
  </si>
  <si>
    <t xml:space="preserve"> The Brgy Council of Brgy. Amambucale agreed to Install 3 Jetmatic Pumps in different areas of the Brgy.</t>
  </si>
  <si>
    <t xml:space="preserve"> Republic of the Philippines Province of Oriental Mindoro MUNICIPALITY OF VICTORIA INVITATION TO BID Supply and Delivery of Construction Materials and Supplies to be used for Brigada Eskwela 2020 in the Municipality of Victoria, Oriental Mindoro 1.The Muni</t>
  </si>
  <si>
    <t xml:space="preserve"> One job Furnishing labor and Materials for the Installation of Brgy. Solar Street Lights (Phase2), Brgy. Poblacion Banate, Iloilo (42 units Post and Lighting)</t>
  </si>
  <si>
    <t xml:space="preserve"> Upgrading of Wire in Junior High School</t>
  </si>
  <si>
    <t xml:space="preserve"> Republic of the Philippines Province of Nueva Ecija Municipality of Cuyapo -o0o- OFFICE OF THE BIDS AND AWARDS COMMITTEE INVITATION TO BID FOR  ROAD CONCRETING, PUROK 5, BARANGAY CALANCUASAN SUR 1. The Municipality of Cuyapo, Nueva Ecija intends to apply </t>
  </si>
  <si>
    <t xml:space="preserve"> Construction of concrete reservoir, 1 intake  box, installation of transmission and  distribution lines and construction of gate  valve and public faucet</t>
  </si>
  <si>
    <t xml:space="preserve"> Please  download the attached Request for Quotation Please quote your lowest price inclusive of VAT on the item/s listed below. Subject to the terms and conditions of this RFQ and submit your quotation duly signed by your representative not later than   J</t>
  </si>
  <si>
    <t xml:space="preserve"> INVITATION TO BID FOR Procurement of Infra (Road Concreting of Saco St. ( Sta. 00+000 – Sta. 00+212.11 ) The Barangay Manga of Tagbilaran, through the Cont. Appropriation Ordinance No. 2015-003, 2018-001 Annual Budget and Supplemental Budget 2019-001, int</t>
  </si>
  <si>
    <t xml:space="preserve"> INVITATION TO BID IB NO. CW 2020 –  100 Completion of Multi-Purpose Building at Salcedo, Bansud, Oriental Mindoro 1.  The Provincial Government of Oriental Mindoro (PGOM) through the 20% Development Fund CA 2018 intends to apply the sum of Two Hundred Nin</t>
  </si>
  <si>
    <t xml:space="preserve"> INVITATION TO BID IB NO. CW 2020 –  099 Completion of Evacuation Center at Maasin and Balatasan, Bulalacao, Oriental Mindoro 1.  The Provincial Government of Oriental Mindoro (PGOM) through the 5% Local Disaster Risk Reduction Management Fund FY 2018 inte</t>
  </si>
  <si>
    <t xml:space="preserve"> Construction of 5.00m X 87.50m  X 0.20m PCCP; 2.00m X  34.30m X 0.20m PCCP to  include 2-1.5m X 12.00m  Concrete Retaining Wall, Box  Culvert and CHB Retaining Wall</t>
  </si>
  <si>
    <t xml:space="preserve"> INVITATION TO BID IB NO. CW 2020 –  098 Construction of Drainage Canal at Sitio II-Centro, Urdaneta, Victoria, Oriental Mindoro 1.  The Provincial Government of Oriental Mindoro (PGOM) through the 20% Development CA 2019 intends to apply the sum of Nine H</t>
  </si>
  <si>
    <t xml:space="preserve"> Republic of the Philippines Province of Iloilo  BIDS AND AWARDS COMMITTEE REQUEST FOR QUOTATION Quotation No. AGR-20-0198-NP2(SV) Reference PR No. AGR-20-0198 June 17, 2020    TO:	 	 	The Iloilo Provincial Government, through its Bids and Awards Committee</t>
  </si>
  <si>
    <t xml:space="preserve"> 20CSM00101 - GEOTECHNICAL SUB SURFACE EXPLORATION: PACKAGE No. 2020-01, MLANG AND TULUNAN, NORTH COTABATO</t>
  </si>
  <si>
    <t xml:space="preserve"> various hardware and construction materials</t>
  </si>
  <si>
    <t xml:space="preserve"> REQUEST  FOR  QUOTATION 																						 Small Value Procurement																						 																						 	Company Name 																					 	Address                		:																			 																				 		 	Please quote your lowest price </t>
  </si>
  <si>
    <t xml:space="preserve"> PLEASE SEE RFQ/TECHNICAL SPECIFICATIONS FOR DETAILS</t>
  </si>
  <si>
    <t xml:space="preserve"> Republic of the Philippines PROVINCE OF AGUSAN DEL SUR Municipality of Sta. Josefa Invitation to Bid for   SJADS GOODS 20-08: PROCUREMENT OF PATIENT TRANSPORTATION VEHICLE  (VAN TYPE 18 SEATERS) 					   June 24, 2020 1.	The Municipality of Sta. Josefa thr</t>
  </si>
  <si>
    <t xml:space="preserve"> 1.	The Provincial Government of Batanes, through the Provincial Appropriations Ordinance No. 03 series of 2019 (20% Development Fund) intends to apply the sum of Seven Hundred Seventy-Eight Thousand Fifty Pesos Only (₱ 778,050.00), being the Approved Budg</t>
  </si>
  <si>
    <t xml:space="preserve"> Republic of the Philippines Province of Guimaras OFFICE OF THE BIDS AND AWARDS COMMITTEE INVITATION TO BID FOR    SUPPLY AND DELIVERY OF PRODUCTION OF VINYL STICKERS Bid Ref. No. 2020-05-354 1.	The Province of Guimaras , through the 2020 SPP Regular Budge</t>
  </si>
  <si>
    <t xml:space="preserve"> Republic of the Philippines Province of Nueva Ecija Municipality of Cuyapo -o0o- OFFICE OF THE BIDS AND AWARDS COMMITTEE INVITATION TO BID FOR  CONSTRUCTION OF BOX CULVERT -BARANGAY BONIFACIO 1. The Municipality of Cuyapo, Nueva Ecija intends to apply the</t>
  </si>
  <si>
    <t xml:space="preserve"> TO BE BID ARE GOOD FOR THE COVID 19 DISINFECTION SUPPLIES</t>
  </si>
  <si>
    <t xml:space="preserve"> •	Quotations must be addressed to Ms. Angellyn B. Dionisio, Procurement Unit Head •	Deadline for the submission of quotations shall be on or before June 22, 2020 •	Price quoted shall be inclusive of VAT •	Total quoted price is subject of government TAX. •</t>
  </si>
  <si>
    <t xml:space="preserve"> Brgy Amambucale appropriate an amount for the construction of two waiting sheds  located at two different area of the brgy.</t>
  </si>
  <si>
    <t xml:space="preserve"> 1.	The Provincial Government of Batanes, through the Provincial Appropriations Ordinance No. 03 series of 2019 intends to apply the sum of Two Hundred Eighty-One Thousand Three Hundred Twenty Pesos Only (₱ 281,320.00), being the Approved Budget for the Co</t>
  </si>
  <si>
    <t xml:space="preserve"> Republic of the Philippines Region XII Province of Cotabato City of Kidapawan OFFICE OF THE BIDS AND AWARD COMMITTEE June 24, 2020 INVITATION TO BID FOR  SUPPLY AND DELIVERY OF AGRICULTURAL SUPPLIES AND MATERIALS FOR THE DISTRIBUTION TO IFCP BENEFICIARIES</t>
  </si>
  <si>
    <t xml:space="preserve"> 1.	The Provincial Government of Batanes, through the Provincial Appropriations Ordinance No. 03 series of 2019 intends to apply the sum of Two Hundred Fifty Thousand Pesos Only (₱ 250,000.00), being the Approved Budget for the Contract (ABC) to payments u</t>
  </si>
  <si>
    <t xml:space="preserve"> 1.	The Provincial Government of Batanes, through the Provincial Appropriations Ordinance No. 03 series of 2019 intends to apply the sum of Ninety-Four Thousand Four Hundred Sixty-Five Pesos Only (₱ 94,465.00), being the Approved Budget for the Contract (A</t>
  </si>
  <si>
    <t xml:space="preserve"> 1.	The Provincial Government of Batanes, Provincial Appropriations Ordinance No. 03 series of 2019 (20% Development Fund) intends to apply the sum of One Million One Hundred Seventy-Three Thousand Two Hundred Seventy-One Pesos and 80/100 Only (₱ 1,173,271</t>
  </si>
  <si>
    <t xml:space="preserve"> No.		Quantity	Unit	Item Description				 						  1		15	Pack 	Cartolina assorted colors				 2		54	Ream 	Paper Multi-Purpose (Copy) legal  70 gsm			 3		15	pad	Paper pad,ruled, size:216mmx330mm				 4		5	ream	Paper parchment size:210x297,multi-purpose				 5		1</t>
  </si>
  <si>
    <t xml:space="preserve"> Supply and Delivery of Diesel Fuel, Gasoline &amp; Lubricants</t>
  </si>
  <si>
    <t xml:space="preserve"> Supply and Delivery of Tires and Battery</t>
  </si>
  <si>
    <t xml:space="preserve"> 1.	The Provincial Government of Batanes, through the Provincial Appropriations Ordinance No. 03 series of 2019 (20% Development Fund) intends to apply the sum of Ninety-Six Thousand Pesos Only (₱ 96,000.00), being the Approved Budget for the Contract (ABC</t>
  </si>
  <si>
    <t xml:space="preserve"> Supply and Delivery of Covid19 Response Items (Janitorial Supplies)</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</si>
  <si>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</si>
  <si>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Republic of the Philippines						SP		 		Government of Ormoc City						P.R. No.:  	201681	 		BIDS AND AWARDS COMMITTEE						Quotation No.: 	204433-6137	 		Ormoc City						PhilGEPs No.: 		 										 Standard Form Title:			REQUEST FOR QUOTATION							 					</t>
  </si>
  <si>
    <t xml:space="preserve"> BARANGAY CENTRAL SIGNAL BIDS AND AWARDS COMMITTEE Central Signal Village, Taguig City Creation of Barangay Website  RFQ-202002 Approved Budget for the Contract (ABC) : Php 50,000.00 Source of Fund: Budget 2020 1 Package -	Basic Barangay Website -	Minimum </t>
  </si>
  <si>
    <t xml:space="preserve"> Purchase of Toner and Maintenance kit</t>
  </si>
  <si>
    <t xml:space="preserve"> RIBBON EPSON LQ 2070/2080/2180 CS13S01551</t>
  </si>
  <si>
    <t xml:space="preserve"> Republic of the Philippines DEPARTMENT OF PUBLIC WORKS AND HIGHWAYS BATANGAS III DISTRICT ENGINEERING OFFICE REGIONAL OFFICE IV-A J. Gonzales St., Barangay 4, Tanauan City RE-INVITATION TO BID (GS-2020-006) The Department of Public Works and Highways (DPW</t>
  </si>
  <si>
    <t xml:space="preserve"> Supply and Delivery of Covid19 Response Items (Medical Supplies)</t>
  </si>
  <si>
    <t xml:space="preserve"> The AGRICULTURAL TRAINING INSTITUTE-REGIONAL TRAINING CENTER (ATI-RTC) X, through the 2020 General Appropriations Act intends to apply the sum of One Thousand Five Hundred Pesos (P 1,500.00) being the Approved Budget for the Contract (ABC) to payments und</t>
  </si>
  <si>
    <t xml:space="preserve"> Item No.	Unit Issue	Quantity	Item Description	Estimated cost	Total Cost 50	pcs	6	 Albatross 	 50.00 	 300.00  2	pcs	1	 360 Rotating Spin Mop 	 1,000.00 	 1,000.00  3	pcs	16	 Ariel soap powder 55g 	 18.00 	 288.00  4	pcs	20	 Ballpen (Faber Castel) 	 15.00 </t>
  </si>
  <si>
    <t xml:space="preserve"> The AGRICULTURAL TRAINING INSTITUTE-REGIONAL TRAINING CENTER (ATI-RTC) X, through the 2020 General Appropriations Act intends to apply the sum of Forty Three Thousand Three Hundred Fifty Pesos (P 43,350.00) being the Approved Budget for the Contract (ABC)</t>
  </si>
  <si>
    <t xml:space="preserve"> Republic of the Philippines Province of Oriental Mindoro MUNICIPALITY OF NAUJAN BIDS AND AWARDS COMMITTEE INVITATION TO BID SUPPLY AND DELIVERY OF TWO (2) UNITS BRAND NEW DUMP TRUCK TO BE USED IN THE OFFICE OF THE MUNICIPAL ENGINEER, NAUJAN, ORIENTAL MIND</t>
  </si>
  <si>
    <t xml:space="preserve"> INVITATION TO BID 1.	The Province of Cebu through the 2020 General Fund, intends to apply the sum of FIFTY- TWO MILLION NINE HUNDRED THIRTY-TWO THOUSAND PESOS AND 00/100 (Php52,932,000.00) being the Approved Budget for the Contract (ABC) to payments under</t>
  </si>
  <si>
    <t xml:space="preserve"> The AGRICULTURAL TRAINING INSTITUTE-REGIONAL TRAINING CENTER (ATI-RTC) X, through the 2020 General Appropriations Act intends to apply the sum of Fifty Seven Hundred Thousand Pesos (P 57,000.00) being the Approved Budget for the Contract (ABC) to payments</t>
  </si>
  <si>
    <t xml:space="preserve"> INVITATION TO BID 1.	The Province of Cebu through the 2020 General Fund, intends to apply the sum of TWENTY- THREE MILLION SIX HUNDRED ELEVEN THOUSAND EIGHT HUNDRED PESOS AND 00/100 (Php23,611,800.00) being the Approved Budget for the Contract (ABC) to pa</t>
  </si>
  <si>
    <t xml:space="preserve"> The AGRICULTURAL TRAINING INSTITUTE-REGIONAL TRAINING CENTER (ATI-RTC) X, through the 2020 General Appropriations Act intends to apply the sum of Five Hundred Thousand Pesos (P 500,000.00) being the Approved Budget for the Contract (ABC) to payments under</t>
  </si>
  <si>
    <t xml:space="preserve"> Republic of the Philippines PROVINCE OF AGUSAN DEL SUR Municipality of Sta. Josefa Invitation to Bid for   SJADS INFRA 20-03: CONSTRUCTION OF MUNICIPAL MRF (RCA) 				                         June 24, 2020 1.	The Municipality of Sta. Josefa through the aut</t>
  </si>
  <si>
    <t xml:space="preserve"> INVITATION TO BID 1.	The Province of Cebu through the 2020 General Fund, intends to apply the sum of THIRTEEN MILLION THIRTY THOUSAND EIGHT HUNDRED PESOS AND 00/100 (Php13,030,800.00) being the Approved Budget for the Contract (ABC) to payments under the </t>
  </si>
  <si>
    <t xml:space="preserve"> Please submit quotation for the above service, as stated in the attached purchase request and terms of reference. Please send email to the undersigned: ruby08abriol@gmail.com for inquiry/clarifications or if you want to request for PR and TOR Thank you.</t>
  </si>
  <si>
    <t xml:space="preserve"> Republic of the Philippines PROVINCE OF AGUSAN DEL SUR Municipality of Sta. Josefa Invitation to Bid for   SJADS GOODS 20-09: PROCUREMENT OF PRUNING SHEAR AND FERTILIZER 					   June 24, 2020 1.	The Municipality of Sta. Josefa through the authorized appro</t>
  </si>
  <si>
    <t xml:space="preserve"> Concrete Works	            Footing	 	 	Portland Cement 40 kg (Plastic Bag) 	BAR Deformed Round Grade 33- 12mm dia. X 6.0mm 	G.I Tire Wire #16 	Good Mixed 	           Column	 	 	Portland Cement 40 kg (Plastic Bag) 	BAR Deformed Round Grade 33- 12mm dia. X </t>
  </si>
  <si>
    <t xml:space="preserve"> SITE CLEARING AND GRUBBING -1.00 l.s Removal of Vegetations STRUCTURAL EXCAVATION -289.43 cu.m. Waster Disposal and Backfill -15.26 cu.m. Foundation fill 88.80 kg. Reinforcing steel 23.36 cu.m. Structural Concrete, Class A 6.00 In. m. Pipe Culverts, 575 m</t>
  </si>
  <si>
    <t xml:space="preserve"> Purchase of Fuel, Oil and Lubricants for the 3rd Quarter ABC: Php 754,064.08 10,813 ltrs Diesel 1,950 ltrs Special Gasoline 100 ltrs Regular Gasoline 54 ltrs Oil 10 54 ltrs Oil 40 36 ltrs Gear Oil 140 9 ltrs Brake Fluid 9 Ltrs Coolant 5 ltrs 2T INVITATION</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</si>
  <si>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</si>
  <si>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Item Description...........................................Quantity............................................Unit of Issue Motor Vehicle...................................................1.......................................................Unit Speci</t>
  </si>
  <si>
    <t xml:space="preserve"> Const. of Vertical Garden</t>
  </si>
  <si>
    <t xml:space="preserve"> PB NO. 2020-042		 			 1.	1	lot	Enhancement of ICT Infrastructure with internet connectivity of SDO-San Pablo City. 			Lot 1: Enhancement 			• Structured Cabling 			• Data Center with servers and storage 			• Network Security 			• Office computing and othe</t>
  </si>
  <si>
    <t xml:space="preserve"> Rehabilitation of Deep Well</t>
  </si>
  <si>
    <t xml:space="preserve"> Republic of the Philippines Province of Nueva Ecija Municipality of Cuyapo -o0o- OFFICE OF THE BIDS AND AWARDS COMMITTEE INVITATION TO BID FOR  CONSTRUCTION OF CANAL LINING, BARANGAY BULALA TO BARANGAY BANTUG 1. The Municipality of Cuyapo, Nueva Ecija int</t>
  </si>
  <si>
    <t xml:space="preserve"> 1.	The Provincial Government of Batanes, through the Provincial Appropriations Ordinance No. 03 series of 2019 (20% Development Fund) intends to apply the sum of Seven Hundred Eighty-Five Thousand Eight Hundred Five Pesos Only (₱ 785,805.00), being the Ap</t>
  </si>
  <si>
    <t xml:space="preserve"> REQUEST  FOR  QUOTATION 																							 Small Value Procurement																							 																							 	Company Name 																						 	Address                			:																			 																					 		 	Please quote your lowest </t>
  </si>
  <si>
    <t xml:space="preserve"> Republic of the Philippines CITY OF BAIS BIDS AND AWARDS COMMITTEE INVITATION TO APPLY FOR ELIGIBILITY AND TO RE-BID 	The City Government of Bais invites interested bidders to apply for eligibility and to bid for Rehabilitation of Daycare Center @ Brgy. M</t>
  </si>
  <si>
    <t xml:space="preserve"> Various</t>
  </si>
  <si>
    <t xml:space="preserve"> Republic of the Philippines CITY OF BAIS BIDS AND AWARDS COMMITTEE INVITATION TO APPLY FOR ELIGIBILITY AND TO RE-BID 	The City Government of Bais invites interested bidders to apply for eligibility and to bid for Improvement of Bais City Tourism Office, B</t>
  </si>
  <si>
    <t xml:space="preserve"> Repair of Daycare Center</t>
  </si>
  <si>
    <t xml:space="preserve"> 1.	The Provincial Government of Batanes, through the Provincial Appropriations Ordinance No. 03 series of 2019 (20% Development Fund) intends to apply the sum of Two Hundred Ninety-Four Thousand Five Hundred Sixty Pesos Only (₱ 294,560.00), being the Appr</t>
  </si>
  <si>
    <t xml:space="preserve"> Republic of the Philippines CITY OF BAIS BIDS AND AWARDS COMMITTEE INVITATION TO APPLY FOR ELIGIBILITY AND TO REBID 	The City Government of Bais invites interested bidders to apply for eligibility and to bid for Construction of Footbridge @ Brgy. Dansulan</t>
  </si>
  <si>
    <t xml:space="preserve"> Republic of the Philippines BIDS AND AWARDS COMMITTEE Province of Iloilo Invitation to Bid Purchase of Dental Supplies Bid No. FRT-20-0437-B 1. The Iloilo Provincial Government, through the GENERAL FUND 2020 intends to apply the sum of ONE HUNDRED SIXTY T</t>
  </si>
  <si>
    <t xml:space="preserve"> Procurement of office supplies for the operation and implementation of DRRM programs Knapsack 16-181, 3 kg disinfectant solution</t>
  </si>
  <si>
    <t xml:space="preserve"> Please download attached documents for complete details of the project.</t>
  </si>
  <si>
    <t xml:space="preserve"> REQUEST  FOR  QUOTATION 																							 Small Value Procurement																							 	Company Name 																						 	Address                			:																			 																					 		 	Please quote your lowest price on the item/s  lis</t>
  </si>
  <si>
    <t xml:space="preserve"> Republic of the Philippines BIDS AND AWARDS COMMITTEE Province of Iloilo Invitation to Bid Purchase of Laboratory Supplies Bid No. FRT-20-0435-B 1. The Iloilo Provincial Government, through the GENERAL FUND 2020 intends to apply the sum of SIXTY THOUSAND </t>
  </si>
  <si>
    <t xml:space="preserve"> 1.	The Provincial Government of Batanes, through the Provincial Appropriations Ordinance No. 03 series of 2019 intends to apply the sum of One Hundred Forty-Five Thousand Three Hundred Sixty-Five Pesos Only (₱ 145,365.00), being the Approved Budget for th</t>
  </si>
  <si>
    <t xml:space="preserve"> Republic of the Philippines CITY OF BAIS BIDS AND AWARDS COMMITTEE INVITATION TO APPLY FOR ELIGIBILITY AND TO BID 	The City Government of Bais invites interested bidders to apply for eligibility and to bid for Construction of Footbridge at Lower Lico, Bar</t>
  </si>
  <si>
    <t xml:space="preserve"> 1.	The Provincial Government of Batanes, through the Provincial Appropriations Ordinance No. 03 series of 2019 (20% Development Fund) intends to apply the sum of One Hundred Thirty-Four Thousand Seven Hundred Eighty-Five Pesos Only (₱ 134,785.00), being t</t>
  </si>
  <si>
    <t xml:space="preserve"> Republic of the Philippines CITY OF BAIS BIDS AND AWARDS COMMITTEE INVITATION TO APPLY FOR ELIGIBILITY AND TO BID 	The City Government of Bais invites interested bidders to apply for eligibility and to bid for Repair and Maintenance – Infrastructure Asset</t>
  </si>
  <si>
    <t xml:space="preserve"> Republic of the Philippines CITY OF BAIS BIDS AND AWARDS COMMITTEE INVITATION TO APPLY FOR ELIGIBILITY AND TO BID 	The City Government of Bais invites interested bidders to apply for eligibility and to bid for Construction of Workshop/Warehouse @ Motorpoo</t>
  </si>
  <si>
    <t xml:space="preserve"> various</t>
  </si>
  <si>
    <t xml:space="preserve"> INVITATION TO BID ITB  No. 082-Brgy - 2020 The City Government of Surigao, through its Bids and Awards Committee (BAC), invites suppliers to bid for the following: Name of Contract	:  Purchase &amp; Delivery of Const. Materials &amp; Supplies for the  			   proje</t>
  </si>
  <si>
    <t xml:space="preserve"> Republic of the Philippines CITY OF BAIS BIDS AND AWARDS COMMITTEE INVITATION TO APPLY FOR ELIGIBILITY AND TO BID 	The City Government of Bais invites interested bidders to apply for eligibility and to bid for Construction of One Nutri-Ward/Halfway House </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</si>
  <si>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a.</t>
  </si>
  <si>
    <t xml:space="preserve"> Location: Brgy. Caguyao, Bislig, Surigao del Sur Brgy. Cabgan, Hinatuan, Surigao del Sur Sitio Labao, Loyola, Hinatuan, Surigao del Sur Sitio Rizal, Loyola, Hinatuan, Surigao del Sur Brgy. Manyayay,Lianga, Surigao del Sur Sitio Maribujok, Valencia, Lingig</t>
  </si>
  <si>
    <t xml:space="preserve"> 1.	The Provincial Government of Batanes, through the Provincial Appropriations Ordinance No. 03 series of 2019 (20% Development Fund) intends to apply the sum of Seven Hundred Eighty-Seven Thousand Six Hundred Ninety Pesos Only (₱ 787,690.00), being the A</t>
  </si>
  <si>
    <t xml:space="preserve"> Republic of the Philippines CITY OF BAIS BIDS AND AWARDS COMMITTEE INVITATION TO APPLY FOR ELIGIBILITY AND TO BID 	The City Government of Bais invites interested bidders to apply for eligibility and to bid for Fencing &amp; Site Development of New Cemetery, v</t>
  </si>
  <si>
    <t xml:space="preserve"> Republic of the Philippines CITY OF BAIS BIDS AND AWARDS COMMITTEE INVITATION TO APPLY FOR ELIGIBILITY AND TO BID 	The City Government of Bais invites interested bidders to apply for eligibility and to bid for Repair &amp; Maintenance-Infrastructure Assets (f</t>
  </si>
  <si>
    <t xml:space="preserve"> Republic of the Philippines CITY OF BAIS BIDS AND AWARDS COMMITTEE INVITATION TO APPLY FOR ELIGIBILITY AND TO RE-BID 	The City Government of Bais invites interested bidders to apply for eligibility and to bid for Slope Protection along Farm to Market Road</t>
  </si>
  <si>
    <t xml:space="preserve"> Republic of the Philippines CITY OF BAIS BIDS AND AWARDS COMMITTEE INVITATION TO APPLY FOR ELIGIBILITY AND TO BID 	The City Government of Bais invites interested bidders to apply for eligibility and to bid for Repair and Resealing of City Streets and Loca</t>
  </si>
  <si>
    <t xml:space="preserve"> Item Description..............................................................Quantity...............................Unit of Issue Mobile Multi-Purpose Shredder with Diesel Engine......................1..........................................Unit Capaci</t>
  </si>
  <si>
    <t xml:space="preserve"> Republic of the Philippines BIDS AND AWARDS COMMITTEE Province of Iloilo Invitation to Bid PURCHASE OF MEDICAL EQUIPMENT Bid No. SDH-20-0735-B 1. The Iloilo Provincial Government, through the 2019, 20% IRA intends to apply the sum of ONE HUNDRED NINETY-TW</t>
  </si>
  <si>
    <t xml:space="preserve"> Republic of the Philippines BIDS AND AWARDS COMMITTEE Province of Iloilo Invitation to Bid Purchase of Drugs and Medicines Bid No. FRT-20-0439-B 1. The Iloilo Provincial Government, through the GENERAL FUND 2020 intends to apply the sum of SIXTY THOUSAND </t>
  </si>
  <si>
    <t xml:space="preserve"> Republic of the Philippines BIDS AND AWARDS COMMITTEE Province of Iloilo Invitation to Bid PURCHASE OF OFFICE SUPPLIES Bid No. ADM-20-0577-B 1. The Iloilo Provincial Government, through the GENERAL FUND 2019 intends to apply the sum of ONE HUNDRED ONE THO</t>
  </si>
  <si>
    <t xml:space="preserve"> INVITATION TO BID ITB  No. 080-Goods-2020 The City Government of Surigao, through its Bids and Awards Committee (BAC), invites suppliers to bid for the following: Name of Contract	:  Purchase &amp; Delivery of Brand New Standby Power Generator  			   100 KVA </t>
  </si>
  <si>
    <t xml:space="preserve"> 1.5 HP Pressurized Car Wash Water Pump Kit/set (including motor &amp; pressurized hose nozzle and token)	5	units Air Chuck 	2	pieces Air Compressor (¼ HP)	2	units 3rd class Flour	1	sack All Purpose Flour 	7	 sacks  Balut (raw)	6	trays Cake Flour	1	sack Calume</t>
  </si>
  <si>
    <t xml:space="preserve"> Republic of the Philippines BIDS AND AWARDS COMMITTEE Province of Iloilo Invitation to Bid Purchase of Office Supplies Bid No. BAC-20-0748-B 1. The Iloilo Provincial Government, through the GENERAL FUNDS 2020 intends to apply the sum of One Hundred Sixty </t>
  </si>
  <si>
    <t xml:space="preserve"> Republic of the Philippines CITY OF BAIS BIDS AND AWARDS COMMITTEE INVITATION TO APPLY FOR ELIGIBILITY AND TO BID 	The City Government of Bais invites interested bidders to apply for eligibility and to bid for Repair and Maintenance (Building &amp; Other Stru</t>
  </si>
  <si>
    <t xml:space="preserve"> INVITATION TO BID 1.	The Province of Cebu through the 2020 General Fund, intends to apply the sum of FIFTY-FIVE MILLION TWO HUNDRED THOUSAND PESOS AND 00/100 (Php55,200,000.00) being the Approved Budget for the Contract (ABC) to payments under the contrac</t>
  </si>
  <si>
    <t xml:space="preserve"> INVITATION TO BID 1.	The Province of Cebu through the 2020 General Fund, intends to apply the sum of TEN MILLION EIGHT HUNDRED THOUSAND PESOS AND 00/100 (Php10,800,000.00) being the Approved Budget for the Contract (ABC) to payments under the contract for</t>
  </si>
  <si>
    <t xml:space="preserve"> INVITATION TO BID 1.	The Province of Cebu through the 2020 General Fund, intends to apply the sum of FORTY-EIGHT MILLION PESOS AND 00/100 (Php48,000,000.00) being the Approved Budget for the Contract (ABC) to payments under the contract for the CONCRETING</t>
  </si>
  <si>
    <t xml:space="preserve"> INVITATION TO BID 1.	THOUSAND PESOS AND 00/100 (Php55,200,000.00) being the Approved Budget for the Contract (ABC) to payments under the contract for the CONCRETING/IMPROVEMENT OF AWAYAN-CAN-ASUJAN-PIT-OS ROAD SECTION, CARCAR CITY, CEBU. Bids received in </t>
  </si>
  <si>
    <t xml:space="preserve"> Republic of the Philippines BIDS AND AWARDS COMMITTEE Province of Iloilo Invitation to Bid Purchase of Drugs and Medicines Bid No. FRT-20-0438-B 1. The Iloilo Provincial Government, through the GENERAL FUND 2020 intends to apply the sum of EIGHT HUNDRED T</t>
  </si>
  <si>
    <t xml:space="preserve"> INVITATION TO BID 1.	The Province of Cebu through the 2020 General Fund, intends to apply the sum of FORTY-ONE MILLION NINE HUNDRED TEN THOUSAND SIX HUNDRED PESOS AND 00/100 (Php41,910,600.00) being the Approved Budget for the Contract (ABC) to payments u</t>
  </si>
  <si>
    <t xml:space="preserve"> INVITATION TO BID 1.	The Province of Cebu through the 2020 General Fund, intends to apply the sum of ELEVEN MILLION ONE HUNDRED TWENTY-TWO THOUSAND EIGHT HUNDRED PESOS AND 00/100 (Php11,122,800.00) being the Approved Budget for the Contract (ABC) to payme</t>
  </si>
  <si>
    <t xml:space="preserve"> Sec. 53.10</t>
  </si>
  <si>
    <t xml:space="preserve"> Republic of the Philippines BIDS AND AWARDS COMMITTEE Province of Iloilo Invitation to Bid PURCHASE OF MEDICAL EQUIPMENT Bid No. SDH-20-0734-B 1. The Iloilo Provincial Government, through the SUPPLEMENTAL BUDGET NO.2 intends to apply the sum of NINETY THO</t>
  </si>
  <si>
    <t xml:space="preserve"> INVITATION TO BID 1.	The Province of Cebu through the 2020 General Fund, intends to apply the sum of TWENTY-EIGHT MILLION SIX HUNDRED TWENTY THOUSAND PESOS AND 00/100 (Php28,620,000.00) being the Approved Budget for the Contract (ABC) to payments under th</t>
  </si>
  <si>
    <t xml:space="preserve"> INVITATION TO BID DREDGING OF CREEK 	The Local Government Unit of Rizal, Cagayan intends to apply the sum of FIVE HUNDRED THOUSAND PESOS(P500,000.00) being the Approved Budget for the Contract (ABC) for the DREDGING OF CREEK from Mayor’s Office (Donation </t>
  </si>
  <si>
    <t xml:space="preserve"> Republic of the Philippines CITY OF BAIS BIDS AND AWARDS COMMITTEE INVITATION TO APPLY FOR ELIGIBILITY AND TO BID 	The City Government of Bais invites interested bidders to apply for eligibility and to bid for Installation of Street Lighting System at Str</t>
  </si>
  <si>
    <t xml:space="preserve"> Republic of the Philippines BIDS AND AWARDS COMMITTEE Province of Iloilo Invitation to Bid PURCHASE OF HOUSEKEEPING SUPPLIES Bid No. ADM-20-0578-B 1. The Iloilo Provincial Government, through the GENERAL FUND 2019 intends to apply the sum of FORTY-TWO THO</t>
  </si>
  <si>
    <t xml:space="preserve"> Bicol Medical Center Concepcion Pequeña, Naga City, 4400 (0998-247-0239/0906-256-9238          E-mail Address: bmc.bacoffice@gmail.com INIVITATION TO BID PROCUREMENT OF ELECTRICAL/PLUMBING/CARPENTRY/PAINTING SUPPLIES ITB No. 2020-14 1.	The BICOL MEDICAL C</t>
  </si>
  <si>
    <t xml:space="preserve"> Procurement of Office Laptops and other devices used for the Upgrading of Office Desktops Computer Laptops Quantity= 12 Inter i7 Processor RAM 16GB or Bigger 512 SSD Storage Video Card NVDIA GeForce MX230-250 GB or Equivalent With infrared Camera Windows </t>
  </si>
  <si>
    <t xml:space="preserve"> The vehicle must be in good condition</t>
  </si>
  <si>
    <t xml:space="preserve"> INVITATION TO BID 1.	The Province of Cebu through the 2020 General Fund, intends to apply the sum of FOUR MILLION EIGHT THOUSAND PESOS AND 00/100 (Php4,008,000.00) being the Approved Budget for the Contract (ABC) to payments under the contract for the CON</t>
  </si>
  <si>
    <t xml:space="preserve"> The Agricultural Training Institute Region IV-A (ATI Region IV-A) invites interested suppliers to submit quotations/ proposals for the hereunder requirement: Supply and Delivery of various Agricultural Agricultural Tools, Materials and Inputs for Training</t>
  </si>
  <si>
    <t xml:space="preserve"> INVITATION TO BID ITB  No. 081-Brgy - 2020 The City Government of Surigao, through its Bids and Awards Committee (BAC), invites suppliers to bid for the following: Name of Contract	:  Purchase &amp; Delivery of Const. Materials &amp; Supplies for the  			   proje</t>
  </si>
  <si>
    <t xml:space="preserve"> Three (3) units of Microwave Capacity: 23L to 32L Power Consumption: 800W to 1200W Feature: ・Defrost (Auto / Power / Sensor) ・Preheat ・Eco Mode ・Glass turntable ・Timer ・Child Safety Lock Interested suppliers are required to submit their valid and current </t>
  </si>
  <si>
    <t xml:space="preserve"> 1)	1 set Gong Molder/Molder Machine with Complete accessories for the following: -14.5” diameter and 2 inch depth -13.5” diameter and 2 inch depth -12.5” diameter and 2 inch depth -11.5” diameter and 2 inch depth -11” diameter and 2 inch depth	 -10.5” dia</t>
  </si>
  <si>
    <t xml:space="preserve"> PURCHASE OF GROCERY ITEMS AS FOOD ASSISTANCE TO OUR LOCALLY STRANDED INDIVIDUALS</t>
  </si>
  <si>
    <t xml:space="preserve"> BUREAU OF CORRECTIONS IWAHIG PRISON AND PENAL FARM Puerto Princesa City REQUEST FOR QUOTATION IPPF 2020-06-61 Date:								        	 Name of Company: _______________________________________________________________ Address: ________________________________</t>
  </si>
  <si>
    <t xml:space="preserve"> 20GRFQCL0003 - Purchase of Materials for Maintenance Works (Gabions) at Iba North &amp; South for 2nd Quarter.</t>
  </si>
  <si>
    <t xml:space="preserve"> 20GCL0003 - Purchase of Materials for Special Maintenance of Carael Bridge, KO 195+390.50 (Anti-Skid Wearing Course), Botolan, Zambales (1,124.20 sq.m.)</t>
  </si>
  <si>
    <t xml:space="preserve"> 1	unit	 Digital Camera w/ Accessories 		Mirrorless Digital Camera  		Description: 		• 24.1MP (APS-C) CMOS Sensor 		• 2.36m-Dot OLED Electronic Viewfinder  		• 3.0"1.04m-Dot Vari-Angle Touchscreen 		• UHD 4K and HD 720p120 Video Recording 		• Built-in Wi-F</t>
  </si>
  <si>
    <t xml:space="preserve"> 113 REAM BOND PAPER (LONG) 3 GALLON LATEX PAINT WHITE 2 GALLON ENAMEL PAINT WHITE 10 CAN TINTING ASSORTED COLOR 3 GALLON LATEX READY MIX 5 PIECE ROLLER BRUSH 8 GALLON ROOF PAINT 4 PIECE PAINT BRUSH 130 PIECE JALOUSIE BLADE 10 SET JALOUSIE FRAME 50 PIECE C</t>
  </si>
  <si>
    <t xml:space="preserve"> To provide Labor and materials for the Repair and Improvement of Brgy. Road - Brgy. Napalisan Pre-bid Conference: July 14, 2020 @ 9:00AM, venue: Engineer's Office Opening of Bids - July 27, 2020, 10:00AM Other Information: Letter of Intent must be accompa</t>
  </si>
  <si>
    <t xml:space="preserve"> I.  Please quote your lowest price inclusive of VAT on the item(s) listed below, subject to the Terms and Conditions of this RFQ. Submit or send your quotation(s), duly signed by you or your representative, inside an (a sealed) envelope to the Bids and Aw</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</si>
  <si>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</si>
  <si>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Contract ID:	20DL0220 Contract Name:	CY 2020 BASIC EDUCATION FACILITIES FUND, CONSTRUCTION OF CLASSROOMS  2STY4CL ATIMONAN CES, ATIMONAN, QUEZON 	 Contract Location:	ATIMONAN, QUEZON Brief Description:		CONSTRUCTION OF CLASSROOMS Approved Budget for the C</t>
  </si>
  <si>
    <t xml:space="preserve"> Barangay 385, Zone 39, District III, Manila invites all interested suppliers/contractors to submit bid for the following items to wit: 25	reams	Bond paper long 25	reams	Bond paper short 25	reams	Bond paper A4 20	pcs.	Scotch tape 20	pcs.	Masking tape 10	pc</t>
  </si>
  <si>
    <t xml:space="preserve"> 9 unit  13"x20" Tent Canopy (Lona)            2,340 sq/ft. x 70 php/sqft. (260sqft/unit)            Maruyama Thick 3 unit  18" x 20" Tent Canopy (Lona)            1,080 sqft. x 70 php./sqft (360sqft/unit)            Maruyama Thick</t>
  </si>
  <si>
    <t xml:space="preserve"> Laboratory Supplies</t>
  </si>
  <si>
    <t xml:space="preserve"> Republic of the Philippines					 Municipality of Kalayaan					 BIDS &amp; AWARDS COMMITTEE					 Kalayaan Extension Office, Puerto Princesa city					 					 Standard Form Number : SF-GOOD-60					 Revised on:  May 24, 2004					 REQUEST FOR QUOTATION					 					 S</t>
  </si>
  <si>
    <t xml:space="preserve"> Republic of the Philippines CITY OF BAIS BIDS AND AWARDS COMMITTEE INVITATION TO APPLY FOR ELIGIBILITY AND TO BID 	The City Government of Bais invites interested bidders to apply for eligibility and to bid for Rehabilitation of Daycare Centers @ Brgy. Can</t>
  </si>
  <si>
    <t xml:space="preserve"> 1.            The Local Government Unit of Pasil,  through the 2020 Supplemental Budget (MLGU 2019 Savings-General Fund)-Appropriation Ordinance No. 04-2020 , intends to apply the sum of Four Hundred Fifty Thousand Pesos Only (₱ 450,000.00) being the Appr</t>
  </si>
  <si>
    <t xml:space="preserve"> INVITATION TO BID 1.	The Province of Cebu through the 2020 General Fund, intends to apply the sum of THIRTY-ONE MILLION THREE HUNDRED EIGHTY THOUSAND PESOS AND 00/100 (Php31,380,000.00) being the Approved Budget for the Contract (ABC) to payments under th</t>
  </si>
  <si>
    <t xml:space="preserve"> FINANCIAL PROPOSAL																								 NEGOTIATED PROCUREMENT																								 DUE TO TWO-FAILED BIDDINGS																								 																								 	Company Name 			:																				 	Address                			:																				 	</t>
  </si>
  <si>
    <t xml:space="preserve"> Republic of the Philippines CITY OF BAIS BIDS AND AWARDS COMMITTEE INVITATION TO APPLY FOR ELIGIBILITY AND TO BID 	The City Government of Bais invites interested bidders to apply for eligibility and to bid for rehabilitation of Day Care Center @ Brgy. Kat</t>
  </si>
  <si>
    <t xml:space="preserve"> The Agricultural Training Institute Region IV-A (ATI Region IV-A) invites interested suppliers to submit quotations/ proposals for the hereunder requirement: Supply and Delivery of various ICT Equipment and Materials for RCM FITS Enhancement Place of Deli</t>
  </si>
  <si>
    <t xml:space="preserve"> 93 pcs Cellcards (500) 156 pcs Cellcards (300)</t>
  </si>
  <si>
    <t xml:space="preserve"> LABORATORY SUPPLIES</t>
  </si>
  <si>
    <t xml:space="preserve"> 25  set PPE (covid) 160 bottle ALCOHOL 70% solution 500ml</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</si>
  <si>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</si>
  <si>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Republic of the Philippines CITY OF BAIS BIDS AND AWARDS COMMITTEE INVITATION TO APPLY FOR ELIGIBILITY AND TO BID 	The City Government of Bais invites interested bidders to apply for eligibility and to bid for Const,/Improv./Rehab. of Drainage System, a. </t>
  </si>
  <si>
    <t xml:space="preserve"> 1 Lot Supply and Delivery of Various Laboratory Equipment for AFMTC  inlcusion: 2 sets Light Meter (Pyranometer)                 2 units A. Sound Level Meter with Calibrator                 1 set 4 units Digital Thermometer with 8-channel Data Logger     </t>
  </si>
  <si>
    <t xml:space="preserve"> 5 unit 	Hand Dryer 	*"No Touch" hand drying ensures complete hygiene *a tamper-proof timer built is to prevent overuse *No need paper towels, ease of maintenance * No pollution, with antibacterial coating Voltage: AC 220-240V/50-60Hz Power: 1400 watts Win</t>
  </si>
  <si>
    <t xml:space="preserve"> Bicol Medical Center Concepcion Pequeña, Naga City, 4400 (0998-247-0239/0906-256-9238          E-mail Address: bmc.bacoffice@gmail.com INIVITATION TO BID Supply, Delivery, Installation &amp; Commissioning  of 12 units Modular Patient Monitor  (1 Lot) ITB No. </t>
  </si>
  <si>
    <t xml:space="preserve"> 60	Pcs	2” dia. X 6m GI Pipe sched. 40 58	Rolls	Galvanized barbed wire, 20m per roll 30	Rolls	2” x 2” Cyclone wire, 5ft high x 14ft long 12	Pcs	1” dia. Cylindrical hinges 15	Kgs	Welding rod 6013, thin 15	Pcs	Cutting disc, thin 4	Gal	Epoxy primer, gray 2	Ga</t>
  </si>
  <si>
    <t xml:space="preserve"> Contract ID No.: RFQ No. 2020-06-001  Contract Name: Purchase of Diesel Fuel for use of various Maintenance service vehicles and heavy equipment under maintenance section (PR No. 2020-2-021) Contract Location: DPWH-MPFDEO, Bontoc, Mt. Province Delivery Da</t>
  </si>
  <si>
    <t xml:space="preserve"> Republic of the Philippines Region XII Province of Cotabato CITY OF KIDAPAWAN BIDS AND AWARDS COMMITTEE Invitation to Bid 						  		            Date: June 24, 2020 1.	The City Government of Kidapawan, through the Supplemental Budget No.2 CY 2020   intends</t>
  </si>
  <si>
    <t xml:space="preserve"> Contract ID:	20DL0224 Contract Name:	CY 2020 BASIC EDUCATION FACILITIES FUND, CONSTRUCTION OF CLASSROOMS  2STY6CL STO. NIÑO ILAYA NHS, LOPEZ, QUEZON 					 Contract Location:	LOPEZ, QUEZON Brief Description:		CONSTRUCTION OF CLASSROOMS Approved Budget for </t>
  </si>
  <si>
    <t xml:space="preserve"> item  100 CLEARING AND CRUBBING         101 REMOVAL OF STRUCTURES &amp; OBSTRUCTIONS         103 STRUCTURE EXCAVATION         105 SUB GRADE PREPARATION         201 AGGREGATE BASE COARSE         311 PORTLAND CEMENT CONCRETE PAVEMENT         500 STORM DRAINS   </t>
  </si>
  <si>
    <t xml:space="preserve"> Road Concreting 					 Cost of Bidding Documents: Php 25,000.00					 Source of Funds: GAA FY 2020 (D.A. Fund) The significant times and deadlines of procurement activities are shown below: 1. Issuance of Bidding Documents	Deadline: June 22 – July 8, 2020, </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</si>
  <si>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</si>
  <si>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Contract ID:	20DL0222 Contract Name:	CY 2020 BASIC EDUCATION FACILITIES FUND, CONSTRUCTION OF CLASSROOMS  2STY4CL DOÑA AURORA ES, CALAUAG, QUEZON Contract Location:	CALAUAG, QUEZON Brief Description:		CONSTRUCTION OF CLASSROOMS Approved Budget for the Con</t>
  </si>
  <si>
    <t xml:space="preserve"> Republic of the Philippines CITY OF BAIS BIDS AND AWARDS COMMITTEE INVITATION TO APPLY FOR ELIGIBILITY AND TO BID 	The City Government of Bais invites interested bidders to apply for eligibility and to bid for Rehabilitation of Daycare Centers @ Brgy. Bas</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</si>
  <si>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</si>
  <si>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INVITATION TO BID 1.	The Province of Cebu through the 2020 General Fund, intends to apply the sum of ONE MILLION PESOS AND 00/100 (Php1,000,000.00) being the Approved Budget for the Contract (ABC) to payments under the contract for the CONSTRUCTION OF PUB</t>
  </si>
  <si>
    <t xml:space="preserve"> Republic of the Philippines CITY OF BAIS BIDS AND AWARDS COMMITTEE INVITATION TO APPLY FOR ELIGIBILITY AND TO BID 	The City Government of Bais invites interested bidders to apply for eligibility and to bid for Water Supply Development @ Brgy. Mabunao, viz</t>
  </si>
  <si>
    <t xml:space="preserve"> Republic of the Philippines Region XII Province of Cotabato CITY OF KIDAPAWAN BIDS AND AWARDS COMMITTEE Invitation to Bid 						  		            Date: June 24, 2020 1.	The City Government of Kidapawan, through the Trust Fund DA-BUB   intends to apply the s</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</si>
  <si>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</si>
  <si>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1.	The Province of Cebu through the 2020 General Fund, intends to apply the sum of TWENTY MILLION PESOS AND 00/100 (Php20,000,000.00) being the Approved Budget for the Contract (ABC) to payments under the contract for the CONCRETING/IMPROVEMENT OF YATI- T</t>
  </si>
  <si>
    <t xml:space="preserve"> 3   can       INSECTICIDE, aerosol type, net content: 600ml min 1   bottle    STAMP PAD INK, purple or violet 9   pad       NOTE PAD,stick on, 50mm x 76mm (2" x 3") min 9   pack     TOILET TISSUE PAPER 2-plys sheets, 150 pulls 3   pack     BATTERY, dry ce</t>
  </si>
  <si>
    <t xml:space="preserve"> Project Description:		 			Type: Reinforced Boulder Dike		 			Length: 68 l.m.		 			Height: 4.10 l.m. (from River Bed)	 	 			CONTRACT COST:		 1.			SPECIAL ITEM-GENERAL CONDITION		 1.1	LOT	1	Mobilization/Demobilization		8,000.00 1.2	LOT	1	Temporary Facility </t>
  </si>
  <si>
    <t xml:space="preserve"> Contract ID:	20DL0223 Contract Name:	CY 2020 BASIC EDUCATION FACILITIES FUND, CONSTRUCTION OF CLASSROOMS  2STY4CL MUNICIPAL SECTOR ES, CALAUAG, QUEZON	 Contract Location:	CALAUAG, QUEZON Brief Description:		CONSTRUCTION OF CLASSROOMS Approved Budget for t</t>
  </si>
  <si>
    <t xml:space="preserve"> INVITATION TO BID 1.	The Province of Cebu through the 2020 General Fund, intends to apply the sum of TWELVE MILLION PESOS AND 00/100 (Php12,000,000.00) being the Approved Budget for the Contract (ABC) to payments under the contract for the CONCRETING/IMPR</t>
  </si>
  <si>
    <t xml:space="preserve"> Supply and Delivery of Firewall License (Renewal)</t>
  </si>
  <si>
    <t xml:space="preserve"> Bill of Materials and Estimated Cost</t>
  </si>
  <si>
    <t xml:space="preserve"> Republic of the Philippines Province of Batanes	 MUNICIPALITY OF BASCO               INVITATION FOR NEGOTIATED PROCUREMENT  Project Reference No. : 200-5-02-13-040 Name of Project	      : R &amp; M School Bldg &amp; Other Structure Location of Project	Basco, Bata</t>
  </si>
  <si>
    <t xml:space="preserve"> Item No.	Unit	Item Description	Quantity	Estimated Unit Cost	Estimated Total Cost 1.	Unit	Supply, Delivery, Testing       1	P     990,000.00	P      990,000.00 and Commissioning of Brand New Diesel  Engine Generator Set Silent Type, Single Phase, 220 Volts,</t>
  </si>
  <si>
    <t xml:space="preserve"> 2 lots I. Plastic Crate II. Plastic Bag</t>
  </si>
  <si>
    <t xml:space="preserve"> ENGINE AND SPECIFICATIONS                                                         1GD-FTV-4 Cylinders, In-line Type, 16 -Valve DOHC, 2,755 cc, 176/3,400 Ps/Rpm, 420/1,400-2,600Nm/Rpm, 92.0x103.6mm, 15.6:1 compression ratio, Common Rail Type Fuel System, E</t>
  </si>
  <si>
    <t xml:space="preserve"> Contract ID:	20DL0221 Contract Name:	CY 2020 BASIC EDUCATION FACILITIES FUND, CONSTRUCTION OF CLASSROOMS  2STY6CL CARIDAD IBABA ES, ATIMONAN, QUEZON Contract Location:	ATIMONAN, QUEZON Brief Description:		CONSTRUCTION OF CLASSROOMS Approved Budget for the</t>
  </si>
  <si>
    <t xml:space="preserve"> COURIER SERVICES FOR LOT 4 (NSC to NSC) Door to Door (Php 450,000.00) COURIER SERVICES FOR LOT 5 (International ) Door to Door (Php 450,000.00) General Conditions: 1. All entries must be typewritten or in print. 2. Price validity shall be for a period of </t>
  </si>
  <si>
    <t xml:space="preserve"> INVITATION TO BID ITB  No. 083-Brgy - 2020 The City Government of Surigao, through its Bids and Awards Committee (BAC), invites suppliers to bid for the following: Name of Contract	:  Purchase &amp; Delivery of Const. Materials &amp; Supplies for the  			   proje</t>
  </si>
  <si>
    <t xml:space="preserve"> OPENING OF BIDS IN DSWD FO IX DELIVERY IN AVRC III MAMPANG  ZC					 PROCUREMENT FOR THE FF.:					 					 1 LOT PERSONAL PROTECTIVE EQUIPMENT PROTECTIVE CLOTHING:											 30	PCS.	       COVERALL									 150	PAIRS	SCRUB SUIT									 150	PAIRS	ARM SLEEVE</t>
  </si>
  <si>
    <t xml:space="preserve"> OPENING OF BIDS IN DSWD FO IX DELIVERY IN HOME FOR ELDERLY TALON-TALON ZC								 PROCUREMENT FOR THE FF.: 								 1	LOT	PERSONAL EFFECTS	 					 800	packs	Adult Diapers(small/medium/large) w/ Side &amp; Black Leak Protection/wetness indicator/Anti-Bacterial </t>
  </si>
  <si>
    <t xml:space="preserve"> OPENING OF BIDS IN DSWD FO IX DELIVERY IN HOME FOR ELDERLY TALON-TALON ZC						 PROCUREMENT FOR THE FF.: 						 1	LOT	MEDICAL &amp; LABORATORY SUPPLIES 				 150	Boxes	Face Mask: non-woven; 3-ply ear loop; single-use				 80	Boxes	Non-Surgical Gloves; powder-fr</t>
  </si>
  <si>
    <t xml:space="preserve"> CONTRACT COST:		 1.	LOT	1	ADDITION OF CONCRETE HOLLOW BLOCK WALL (ALL SIDE)		126,363.32 2.	LOT	1	CONCRETE COLUMN/POST EXTENSION &amp; ADDITION AND CONCRETE BEAM (ALL SIDE) 50,947.59 3.	LOT	1	FORMS AND SCAFFOLDING (ALL SIDE)		81,839.84 4.	LOT	1	PLASTERING (SMO</t>
  </si>
  <si>
    <t xml:space="preserve"> SEE ATTACHMENT</t>
  </si>
  <si>
    <t xml:space="preserve"> CONCRETING OF BARANGAY ROAD Item No.	Description 	Unit	Quantity PART I 	GENERAL REQUIREMENTS		 a	Project Billboard	Unit	 1.00  b	Mobilization/Demobilization	Lot	 1.00  Item 102	I- Road Excavation	cu.m.	 26.25  Item 103	II - Structure Excavation (Soft Rock</t>
  </si>
  <si>
    <t xml:space="preserve"> Computer Server</t>
  </si>
  <si>
    <t xml:space="preserve"> Riso SF5130 * Digital Duplicator * Print speed up to 130 ppm * Scan 300 x 600 dpi  resolution * Print 600 x 600 dpi High- resolution * Paper Supply &amp; Receiving capacity Approx. 1000 sheets * Guaranteed 10 million copies * LIFE TIME FREE SERVICE WARRANTY</t>
  </si>
  <si>
    <t xml:space="preserve"> INVITATION TO BID for PROCUREMENT OF DESIGN, SUPPLY, INSTALLATION, AND COMMISSIONING OF CINEMA EQUIPMENT AND AUDIO SYSTEMS, ACOUSTIC TREATMENT AND THEATRE CURTAINS FOR THE METROPOLITAN THEATRE 1.	The NATIONAL COMMISSION FOR CULTURE AND THE ARTS (NCCA), th</t>
  </si>
  <si>
    <t xml:space="preserve"> GENERAL MERCHANDISE FOR THE AMOUNT OF 81,797.42</t>
  </si>
  <si>
    <t xml:space="preserve"> = 71.5 LN.M x 0.40M x 0.40M CHB Drainage - w/Steel Grating Cover Removal of Existing Structures  Structure Excavation (Common Soil) Foundation Fill Lined Canal Steel Grating  = 9.0 Pipe Culverts, 610mm dia. (24" Ø) Pipe Culverts, 610mm dia. (24" Ø)</t>
  </si>
  <si>
    <t xml:space="preserve"> 50.0 LN.M. x 0.75M x 0.65M CHB Drainage Open Canal  Removal of Existing Structures  Structure Excavation (Common Soil) Foundation Fill Lined Canal</t>
  </si>
  <si>
    <t xml:space="preserve"> CONTRACT COST:		 1.			INSTALLATION OF FRONT GATE		35,059.92 2.	LOT	1	INSTALLATION OF VENTS (3 SIDES) AND BUILT-UP BEAM AT WESTERN SIDE		273,868.91 3.			PAINTING		 3.1	LOT	1	VENTS, CYCLONED WIRE FENCE ON G.I PIPE FRAMING, GATES &amp; BUILT-UP FRAME BEAM/STIFFE</t>
  </si>
  <si>
    <t xml:space="preserve"> PROCUREMENT OF PURCHASE OF DIFFERENT OFFICE SUPPLIES AND PROCUREMENT OF TEACHER'S SUPPLIES FOR S.Y. 2020-2021 Republic of the Philippines Department of Education Region VI - Western Visayas Division of Bacolod City District II ALFREDO M. MONTELIBANO, SR. </t>
  </si>
  <si>
    <t xml:space="preserve"> No.: RFQ-09A-2020 	       Date: June 19, 2020 REQUEST FOR QUOTATION (RFQ) MINISTRY OF PUBLIC WORKS  Bangsamoro Autonomous Region in Muslim Mindanao Sir/Madam: Please quote your price for the article described below with the request that the condition or r</t>
  </si>
  <si>
    <t xml:space="preserve"> INVITATION TO BID FOR Procurement of Infra [Fabrication and Installation of City Traffic Signage with Post (400 units)] The City Government of Tagbilaran, through the AO No. 19-05 for FY 2020, intends to apply the sum of One Million Five Hundred Ninety Ni</t>
  </si>
  <si>
    <t xml:space="preserve"> See attached Scope of Works</t>
  </si>
  <si>
    <t xml:space="preserve"> INSTALLATION OF 5.133 SQ.M. JALOUSIE WINDOW, 2.50 M. GLASS BLOCKS, 65.1 SQ.M ROOFING WORK, 29.88 SQ.M. CEILING WORKS, 11SQ.M. CONCRETE STAIR AND JAIL WALLING, 18.9 LM STEEL RAILLINGS &amp; 13.15 SQ.M. VAWCI OFFICE.</t>
  </si>
  <si>
    <t xml:space="preserve"> OPENING OF BIDS IN DSWD FO IX DELIVERY IN HOME FOR ELDERLY TALON-TALON ZC			 PROCUREMENT FOR THE FF.:			 			 1	LOT	MEDICINES	 100	Boxes	Amlodipine 5mg 100's	 50	Boxes	Amlodipine 10mg 100's	 35	Boxes	Atorvastatin 40mg. 100's	 30	Bottle	Povidone Iodine 120m</t>
  </si>
  <si>
    <t xml:space="preserve"> Name of Project: 	20-06-455 Meals and Snacks for Retirement Program of Five (5) Retiring Employees of LGU Alamada  Procurement Mode:		Small Value Procurement (SVP) Classification:			Goods Approved Budget for the Contract (ABC):    PhP 100,000.00 BEST AND </t>
  </si>
  <si>
    <t xml:space="preserve"> Name of Project: 	20-05-420 Purchase of Spare parts for the Maintenance of SER 503  Procurement Mode:		Small Value Procurement (SVP) Classification:			Goods Approved Budget for the Contract (ABC):    PhP 51, 500.00 BEST AND FINAL OFFER Item No.	Item &amp; Des</t>
  </si>
  <si>
    <t xml:space="preserve"> Item	Quantity	UNIT OF	ITEM DESCRIPTION No.		         ISSUE	 1	250	          box	       Clean Gloves 2	100	         box  	Winrox 3	50	        gallon	Alcohol  4	15	        pcs.	        Thermal Scanner 5	450	         box	        Surgical Masks</t>
  </si>
  <si>
    <t xml:space="preserve"> Paracetamol 500mg by 100's					5	Box Loperamide 100's					              10	Box Cetirizine Syrup 60ml					                2	Btl Paracetamol Syrup 60ml					        5	Btl Povidone-iodine 120 ml					        5	Btl Cotton ball 300s					                        4</t>
  </si>
  <si>
    <t xml:space="preserve"> LGU-Pinamalisan, Gabaldon, Nueva Ecija		                		Contract reference number:  					               	 	Name of the Contract: Installation of Solar Lighting System Standard Form Number: SF-GOOD-05		               		 Location of the Contract: Brgy.Pin</t>
  </si>
  <si>
    <t xml:space="preserve"> Please quote your lowest price on the item/s listed below, subject to the General Conditions on the last page, stating the shortest time of delivery and submit your quotation duly signed by your representative not later than JUNE 25, 2020 in the return en</t>
  </si>
  <si>
    <t xml:space="preserve"> Detergent Soap				1	kl Chlorine					1	kl Bleach (Liquid) 1000ml				1	pc Bathroom/Toilet cleaner (liquid) 500ml		1	pc Toilet Brush				1	pc Liquid Hand Soap 750ml		1	pc Bathroom Deodorizer			1	pc Tissue 2ply				1	pc Glove (m)					1	pc Pump (For clogs)			1	p</t>
  </si>
  <si>
    <t xml:space="preserve"> Printer 3 in 1					1	Unit Print, Copy, Scan						 Colour Inkjet Printer						 Up to 12/6 ipm (ISO)						 150 sheets default paper tray						 Manual feed slot						 1 Line LCD						 Wireless connectivity</t>
  </si>
  <si>
    <t xml:space="preserve"> 72	pcs	D5LRS 500ml 36	pcs	D5 NM 1ml 60	pcs	Diphenhydramine amp 240	pcs	D5LRS 1L 240	pcs	Plain NSS 1L 400	pcs	Cefuroxime 750 vial 400	pcs	Ceftriaxone 1g vial 200	pcs	Ampicillin 250mg vial 50	pcs	Cetirizine drops 300	pcs	Metronidazolme vial 200	pcs	Sterile </t>
  </si>
  <si>
    <t xml:space="preserve"> Bulbs 15watts					16	pieces</t>
  </si>
  <si>
    <t xml:space="preserve"> 1. 4 Trip Cleaning and Suctioning of Septic Tank N/F</t>
  </si>
  <si>
    <t xml:space="preserve"> The Barangay Local Government Unit of Santa Fe, Nueva Vizcaya, through its Bids &amp; Awards Committee invites contractors to bid for the following project: Contract Name:  Repair and conversion of old garbage compactor Contract Location: Santa Fe, Nueva Vizc</t>
  </si>
  <si>
    <t xml:space="preserve"> The Barangay Local Government Unit of Poblacion Santa Fe, Nueva Vizcaya, through its Bids &amp; Awards Committee invites contractors to bid for the following project: Contract Name:  Construction of Street Light Contract Location: Poblacion, Santa Fe, Nueva V</t>
  </si>
  <si>
    <t xml:space="preserve"> Various Food Stuff for the Municipal and Barangay Facility Admitted PUI's and PUM's.</t>
  </si>
  <si>
    <t xml:space="preserve"> Bond Paper (Short)					26	Ream Bond Paper (Long)					18	Ream Ink -Black					                12	Btl Ink - Colored (yellow)					2	Btl Ink - Colored (red)					2	Btl Ink - Colored (blue)					2	Btl xxxxxxxxxxxxxxxxxxxxxxxxxxxx</t>
  </si>
  <si>
    <t xml:space="preserve"> LED TV  32"					3	Set Basic TV/ Full HD						 HDMI /USB Ready</t>
  </si>
  <si>
    <t xml:space="preserve"> Please see attached canvass (RFQ) form/TOR for complete specifications.</t>
  </si>
  <si>
    <t xml:space="preserve"> LGU-Pinamalisan, Gabaldon, Nueva Ecija		                			Contract reference number:  					               	 		Name of the Contract: Installation of Streeetlights (Solar) Standard Form Number: SF-GOOD-05		               			 Location of the Contract: Brgy.</t>
  </si>
  <si>
    <t xml:space="preserve"> Item	 Quantity	        UNIT OF	ITEM DESCRIPTION No.		                   ISSUE	 1	100	box	        Paracetamol 500mg tablet 2	100	bottle	Paracetamol 250 syrup 3	100	bottle	Paracetamol Drops 4	100	box	       Losartan 50mg tablet 5	30	box	      Co-Amoxiclav 6</t>
  </si>
  <si>
    <t xml:space="preserve"> Procurement of Cabinet for Chemical, Corrosive materials. Interested bidders can download the attached file for complete specifications and requirements. Please send your quotation thru this email: caysiebagsit.ritm@gmail.com Note: Kindly make our PR# as </t>
  </si>
  <si>
    <t xml:space="preserve"> Stock	Unit	Item Description				Quantity	 Unit Cost 	Total No.								Cost 		Office Supplies						 1	pack	CARTOLINA, assorted color, 20 pieces per pack				2	120	 240.00  2	piece	RECORD BOOK, 300 pages, size: 214mm x 278mm min				10	32	 320.00  3	box	CLIP, </t>
  </si>
  <si>
    <t xml:space="preserve"> Republic of the Philippines Province of Iloilo BIDS AND AWARDS COMMITTEE INVITATION TO BID Purchase of Construction Supplies and Materials Bid No. AGR-20-0315-B 1. The Iloilo Provincial Government, through the    General Fund 2020 intends to apply the sum</t>
  </si>
  <si>
    <t xml:space="preserve"> REQUEST FOR EXPRESSION OF INTEREST (REOI) Hiring of Consultancy Services (Individual Consultant) Solicitation No. SIC-98-2020-PRDP-RPCO1 EPC: Php720,000.00 1. 	The Government of the Philippines has received a loan from the World Bank towards the cost of t</t>
  </si>
  <si>
    <t xml:space="preserve"> 12 months Supply of Gasoline</t>
  </si>
  <si>
    <t xml:space="preserve"> SMART TV 40"                 10 UNITS COMPUTER LAPTOP           16UNITS</t>
  </si>
  <si>
    <t xml:space="preserve"> REQUEST FOR EXPRESSION OF INTEREST (REOI) Hiring of Consultancy Services (Individual Consultant) Solicitation No. SIC-97-2020-PRDP-RPCO1 EPC: Php240,000.00 1. 	The Government of the Philippines has received a loan from the World Bank towards the cost of t</t>
  </si>
  <si>
    <t xml:space="preserve"> I.FILLING AND GRADING II.STRUCTURAL CONCRETE III.REINFORCING STEEL IV.CARPENTRY WORKS V.MASONRY WORKS VI.CEMENT PLASTER FINISH VII.DOORS&amp; WINDOWS</t>
  </si>
  <si>
    <t xml:space="preserve"> Name of Project: 	20-05-418 Office Equipment to be Used in the Office of the Municipal Mayor  Procurement Mode:		Small Value Procurement (SVP) Classification:			Goods Approved Budget for the Contract (ABC):    PhP 80, 000.00 BEST AND FINAL OFFER Item No.	</t>
  </si>
  <si>
    <t xml:space="preserve"> 60 METERS CLOTH FOR BLOUSE HS &amp; ELEM 60 METERS CLOTH FOR SKIRT HS &amp; ELEM 60 PCS SCHOOL BAGS 60 PAIRS RUBBER SHOES 60 PAIRS BLACK SHOES SIZES 36-10 37-30 38-20 120 PACKS SCHOOL SACKS 60 PCS SCHOOL UMBRELLA 200 PCS NOTEBOOK 50 LEAVES 800 PCS NOTEBOOK 100 LE</t>
  </si>
  <si>
    <t xml:space="preserve"> The Barangay Local Government Unit of  Santa Fe, Nueva Vizcaya, through its Bids &amp; Awards Committee invites contractors to bid for the following project: Contract Name:  Improvement of Multi-purpose Hall (Supply and Delivery of Materials) Contract Locatio</t>
  </si>
  <si>
    <t xml:space="preserve"> Flood Control 	 	 		 		 Cost of Bidding Documents: Php 5,000.00					 Source of Funds: Maintenance Fund 101 CY 2020 The significant times and deadlines of procurement activities are shown below: 1. Issuance of Bidding Documents	Deadline: June 22 – July 8, </t>
  </si>
  <si>
    <t xml:space="preserve"> REQUEST FOR EXPRESSION OF INTEREST (REOI) Hiring of Consultancy Services (Individual Consultant) Solicitation No. SIC-96-2020-PRDP-RPCO1 EPC: Php210,000.00 1. 	The Government of the Philippines has received a loan from the World Bank towards the cost of t</t>
  </si>
  <si>
    <t xml:space="preserve"> Republic of the Philippines Region XII Province of Cotabato Municipality of Makilala  OFFICE OF THE BIDS AND AWARD COMMITTEE INVITATION TO BID N0. 2020-005 Re-Bidding            The Municipality of Makilala, through the DOLE Integrated Livelihood and Emer</t>
  </si>
  <si>
    <t xml:space="preserve"> Procurement of Various Laboratory Supplies. Interested bidders can download the attached file for complete specifications and requirements. Please send your quotation thru this email: caysiebagsit.ritm@gmail.com Note: Kindly make our PR# as a subject of y</t>
  </si>
  <si>
    <t xml:space="preserve"> Description:  Interested providers are invited to submit proposal/quotation for the Subscription to Various Newspapers for a period of one year. ABC: Eighty-Eight Thousand Six Hundred Forty-Nine Pesos &amp; 00/100 (Php88,649.00) 1. Please quote your lowest pr</t>
  </si>
  <si>
    <t xml:space="preserve"> For the use of City Engineering Office. 13 sets Streetlight High Pressure Sodium Road Lighting Fixture including:  * operating voltage 220V * dimension 530x215x240 * ballast * ignitor * capacitor * HPS casing * high pressure sodium lamp 150W * dimension 4</t>
  </si>
  <si>
    <t xml:space="preserve"> Standard Form Number: SFGOOD60 Revised on: May 24, 2004 Standard Form Title: Request for Quotation Date: June 22, 2020  Quotation No. 20-06-0352 PR No. 20-06-760 __________________________ Company Name _________________________________ Address         Ple</t>
  </si>
  <si>
    <t xml:space="preserve"> Meat Inspection Certificate (Carbonized)</t>
  </si>
  <si>
    <t xml:space="preserve"> Procurement of Microplate, 96 well, polypropylene. Interested bidders can download the attached file for complete specifications and requirements. Please send your quotation thru this email: caysiebagsit.ritm@gmail.com Note: Kindly make our PR# as a subje</t>
  </si>
  <si>
    <t xml:space="preserve"> Supply and Delivery of Electrical Supplies and Door Lock Set</t>
  </si>
  <si>
    <t xml:space="preserve"> This project is dealing of Brgy. Vergana, Lopez, Quezon</t>
  </si>
  <si>
    <t xml:space="preserve"> Supply and Delivery of Automotive Supplies</t>
  </si>
  <si>
    <t xml:space="preserve"> 75 PCS USB 16(gb) 25 headset w/mic 1pc check scanner</t>
  </si>
  <si>
    <t xml:space="preserve"> Standard Form Number: SFGOOD60 Revised on: May 24, 2004 Standard Form Title: Request for Quotation Date: June 22, 2020  Quotation No. 20-06-0351 PR No. 20-06-759 __________________________ Company Name _________________________________ Address         Ple</t>
  </si>
  <si>
    <t xml:space="preserve"> Republic of the Philippines PROVINCE OF NORTHERN SAMAR BIDS AND AWARDS COMMITTEE Catarman Purchase of Two (2) Units E – Trike – Barangay Patrol Electronic Vehicle Civil Security Office Catarman, Northern Samar    NS-06-24-20-01 1.	The Provincial Governmen</t>
  </si>
  <si>
    <t xml:space="preserve"> I.STEEL WORKS II. ROOFING WORKS III.PLASTERING WORKS IV.CONCRETE WORKS V.SCAFFOLDING WORKS</t>
  </si>
  <si>
    <t xml:space="preserve"> -</t>
  </si>
  <si>
    <t xml:space="preserve"> REQUEST FOR QUOTATION PR No.		3321-2020-0625			RFQ No. 2020-048 PR Date:	06/23/2020 ABC:		P 99,979.20 Sir/Madam: 	Please quote your lowest price on the item/s listed below subject to the General Conditions on the last page, stating the shortest time of de</t>
  </si>
  <si>
    <t xml:space="preserve"> Item	QTY.	UOM	PARTICULARS / DESCRIPTION AND SPECIFICATIONS		APPROVED	BRAND NAME	UNIT PRICE NO.					UNIT COST		 			BROTHER				 34	1	box	Drum, DR-3215 , BROTHER		 8,000.00 		 35	5	box	Drum, DR-2355 , BROTHER		 3,500.00 		 36	1	cart	Toner Cartridge, TN-3250,</t>
  </si>
  <si>
    <t xml:space="preserve"> LOCATION: SITIO SINURONG BAKA I. REPAIR OF HANGING BRIDGE  a) Materials b) Labor c) Equipment Rental</t>
  </si>
  <si>
    <t xml:space="preserve"> Provision of FArm Inputs =        Php 164,000.00 Provision of FArm Machineries =Php 280,000.00                                          _________________                                               Php 444,000.00</t>
  </si>
  <si>
    <t xml:space="preserve"> OPENING OF BIDS IN ZAMBOANGA CITY DELIVERY IN ZAMBOANGA CITY PROCUREMENT OF THE FOLLOWING: 1 LOT LABOR AND MATERIALS SITE WORKS CONCRETE WORKS REINFORCING STEEL BARS FORMWORKS &amp; SCAFFOLDING MASONRY WORKS METAL WORKS PLUMBING WORKS ELECTRICAL WORKS PAINTIN</t>
  </si>
  <si>
    <t xml:space="preserve"> For the supply and delivery of the following: 40	box	Face Mask			 25	gal	Alcohol			 6	unit	Thermal Scanner			 20	kilo	Disinfectant powder			 					 Note:	 To be delivered at NSPRDC, Tiaong, Quezon</t>
  </si>
  <si>
    <t xml:space="preserve"> Specifications 5 units (3TR)  Floor Standing Aircon</t>
  </si>
  <si>
    <t xml:space="preserve"> For the use of CDRRMO. 1. RPHS 1 3 tube no more nail adhesive 18 pcs. 2"x2"x10 S4s 40 pcs. 1 1/2"x2" S4s 20 pcs. 4.5mm thk 4'x8' fiber cement board 3 kgs. common wire nail 2 1/2" 2 kgs hardinail 80 kgs. black screw 1/8"dia x 3" 8 gal. latex paint 6 gal. s</t>
  </si>
  <si>
    <t xml:space="preserve"> Provision of the following agricultural supplies: 1. 85 bags Vermicast fertilizer 2. 12 bags Complete fertilizer 3. 12 bags Urea 4. 15 kg Mungo seeds 5. 25 kg Peanut seeds Note: inclusive of transportation and delivery costs at Dimiao and Valencia, Bohol.</t>
  </si>
  <si>
    <t xml:space="preserve"> Contract ID. No.     	:  20GOH0004 Contract Name		: Proposed  Purchase of Uniforms for Maintenance Workers along                                   Various National Roads within SMDEO Jurisdiction Purchase Request No. : 2020-01-015 Approved Budget for the </t>
  </si>
  <si>
    <t xml:space="preserve"> Republic of the Philippines                                       Province of Leyte                            MUNICIPALITY OF ALBUERA                     OFFICE OF THE MUNICIPAL MAYOR OFFICE OF THE BIDS AND AWARDS COMMITTEE INVITATION TO BID 	The Local G</t>
  </si>
  <si>
    <t xml:space="preserve"> 200 bags Vermi compost 15 bags Complete fertilizer (14-14-14) 50 kgs/bag 15 bags Urea (46-0-0) 50kgs/bag 10 packs Insecticide, methomyl (1kg/pack) 10 btls Insecticide, lambda-cyhlothrin (1liter/bottle) 10 btls Foliar, boom flower (1liter/bottle) 10,000 pi</t>
  </si>
  <si>
    <t xml:space="preserve"> children's practice books</t>
  </si>
  <si>
    <t xml:space="preserve"> 19 lghts 4x6m G.I. Pipe S-40 4 kgs Welding Rod 6013,1/8 9 lghts 2x6m G.I. Pipe S-40 4 pcs 2' France Coupling 2 pcs 2x60 G.I Elbow 1 pc 2" G.I. Tee 3 pcs 2" Gate Valve 60 rolls Tapelon Tape 1" 1 tank Oxygen Tank 150 mtrs 1/2 Airline  8 pcs Gate Valve 9 pcs</t>
  </si>
  <si>
    <t xml:space="preserve"> 1 unit Central Processing Unit (CPU) Specifications: - Core i5-7500 processor - Memory: 8GB DDR4 RAM - Storage: 1TB 7200RPM Sata - OS: Windows 10 (License) 64 bit - Graphics: Geforce MX130 2GB GDDR5 - Power: 150W External AC Power Adapter - Connectivity: </t>
  </si>
  <si>
    <t xml:space="preserve"> For the supply and delivery of the following: 12	unit	All in One Printer			 		Duplex Printing: Auto-duplex			 		Speed: up to 33 ppm (Draft Text-Memo, A4) up to 20 ppm (Draft Text- Memo, A4) 			 		Nozzle Configuration: 400 nozzles for black, 128 nozzles pe</t>
  </si>
  <si>
    <t xml:space="preserve"> Republic of the Philippines Province of Bohol Municipality of Duero BARANGAY MADUA NORTE BIDS AND AWARDS COMMITTEE Section 1. INVITATION TO BID The Barangay of Madua Norte, Duero, Bohol, through its Bids and Awards Committee (BAC), invites suppliers/manuf</t>
  </si>
  <si>
    <t xml:space="preserve"> Issuance of Bid Documents Starts: June 24, 2020 Cost of Bid Document: Php 20,000.00 Venue of Dropping and Opening Bids: BAC Conference Room, Leyte SMED Center, Provincial Capitol Grounds, Tacloban City</t>
  </si>
  <si>
    <t xml:space="preserve"> LIWAD is in need of PVC pipes with gasket for its operation. Specification are stated in the RFQ form attached to this post.</t>
  </si>
  <si>
    <t xml:space="preserve"> please contact BAC Secretariat.</t>
  </si>
  <si>
    <t xml:space="preserve"> 1	1 Unit	Photocopying Machine		 		A3 black &amp; white with 20 ppm standard copy, print		 		and colour scanning funtionality (including scan to USB		 		Paper capacity 350 sheets (including multi by pass tray)		 		128 mb standard memory USB 2.0 interface		 		A</t>
  </si>
  <si>
    <t xml:space="preserve"> June 23, 2020 REQUEST FOR QUOTATION (RFQ) PALLET 1200 X 1000MM, PLASTIC 1.	The Batangas Medical Center hereinafter referred to as the “Purchaser” now request for submission of price proposal for the procurement of the aforesaid item described in the Techn</t>
  </si>
  <si>
    <t xml:space="preserve"> 1.	Sardines 155g(100pcs./box)	20	boxes     2. 	Corned Beef 155g(100pcs./box)	10	boxes    3.	Beef Loaf	10	boxes</t>
  </si>
  <si>
    <t xml:space="preserve"> 38	         bags	Portland Cement		 3 1/4	cu.m.	Sand, S-1		 3 3/4	cu.m.	Gravel, Crushed		 31	        pcs.	        4" Concrete Hollow Block		 33	        pcs.	       16mm Ø x 6m Reinforced Steel Bar		 28	        pcs.	       12mm Ø x 6m Reinforced Steel Bar		</t>
  </si>
  <si>
    <t xml:space="preserve"> QTY UNIT  PARTICULARS 		                 For TOYOTA INNOVA SLD 680 AND SLD 704 8	pcs	TIRES  205/65 R15 8	pcs	TIRE VALVE RUBBER 20	pcs	WHEEL WEIGHTS 2	lot	WHEEL ALIGNMENT 		 		For TOYOTA GRANDIA SHY 925 4	pcs	TIRES  215/70  R15 4	pcs	TIRE VALVE RUBBER 10	p</t>
  </si>
  <si>
    <t xml:space="preserve"> The Authority is now accepting Price Quotations for Official Clerical Tables (140cm x 70cm)</t>
  </si>
  <si>
    <t xml:space="preserve"> NOTICE OF NEGOTIATED PROCUREMENT (Small Value Procurement) PNOC Exploration Corporation (PNOC EC), through its 2020 Corporate Budget, has an Approved Budget for the Contract (ABC) of Sixty Thousand Five Hundred Pesos (Php60,500.00), inclusive of all appli</t>
  </si>
  <si>
    <t xml:space="preserve"> 14	Rooms	Hotel accommodation (3days) 3	Sets	Disinfection expenses</t>
  </si>
  <si>
    <t xml:space="preserve"> Item No.	Unit	Description	Qty 1	boxes	Betahismine 24mg tab x 100s	25 2	boxes	Baclofen 10mg tab x 100s	30 3	boxes	Bisoprolol 5mg x 100s	10 4	boxes	Butamirate citrate tab x 100s	35 5	boxes	Carboprost 250mcg x 10s	20 6	boxes	Cilastozal 100mg tab x 100s	20 7	</t>
  </si>
  <si>
    <t xml:space="preserve"> Item		UNIT OF	   No 	QTY	         ISSUE	ITEM DESCRIPTION 			 1	4	can	Air freshener, aerosol, 280 ml/150g min 2	2	bot.	Alcohol, Ethel 68%-70%, scented, 500ml 3	2	unit	Calculator, compact, electronic, 12 digit cap 4	2	unit	Calculator, Scientific, 10+12 digi</t>
  </si>
  <si>
    <t xml:space="preserve"> Issuance of Bid Documents Starts: June 24, 2020 Cost of Bid Document: Php 10,000.00 Venue of Dropping and Opening Bids: BAC Conference Room, Leyte SMED Center, Provincial Capitol Grounds, Tacloban City</t>
  </si>
  <si>
    <t xml:space="preserve"> Isophane Insulin Human (Recombinant DNA) 100IU/ml, 10ml Requirements for Drugs and Medicines: **Drugs with history of usage from VMMC (Requirements No. 1-5 only) ** **For Innovators (Requirements No. 1-4 only) ** 1. CPR 2. CGMP 3. LTO 4. CERTIFICATE OF DI</t>
  </si>
  <si>
    <t xml:space="preserve"> Date: June 15, 2020  	  	 	 	 	 	  Quotation No.100-20-06-371                 REQUEST FOR QUOTATION    (For Immediate Purchase Pursuant to Section 52.1a of the Revised IRR, RA 9184)  Item No. 	Qty. 	Unit 	Description 	ABC 	Unit Price 	Total 	Remarks  (Dat</t>
  </si>
  <si>
    <t xml:space="preserve"> Item	QTY.	UOM	PARTICULARS / DESCRIPTION AND SPECIFICATIONS		APPROVED	BRAND NAME	UNIT PRICE NO.					UNIT COST		 			HP				 	5	cart	Deskjet Ink 704 Black,HP		 450.00 		 	3	cart	Deskjet Ink 704 Tricolor,HP		 500.00 		 	2	cart	Print Cartridge, CF410A, Black, H</t>
  </si>
  <si>
    <t xml:space="preserve"> The AGRICULTURAL TRAINING INSTITUTE-REGIONAL TRAINING CENTER (ATI-RTC) X, through the 2020 General Appropriations Act intends to apply the sum of Fifteen Thousand Six Hundred Fifty Pesos (P 15,650.00) being the Approved Budget for the Contract (ABC) to pa</t>
  </si>
  <si>
    <t xml:space="preserve"> 01	3	pails	Flat Latex Paint (Sunkist Color) 02	6	pails	Semi-Gloss Latex Paint (Sunkist Color) 03	1	pail	Flat Latex (Von Ivory) 04	1	pail	Semi-Gloss Latex (Von Ivory) 05	2	pails	Flat Latex Paint (white) 06	2	pails	Semi- Gloss Latex Paint (white) 07	8	gals	</t>
  </si>
  <si>
    <t xml:space="preserve"> Issuance of Bid Documents Starts: June 24, 2020 Cost of Bid Document: Php 19,000.00 Venue of Dropping and Opening Bids: BAC Conference Room, Leyte SMED Center, Provincial Capitol Grounds, Tacloban City</t>
  </si>
  <si>
    <t xml:space="preserve"> General Merchandise SW-1008-2020-0074</t>
  </si>
  <si>
    <t xml:space="preserve"> Logbook 10 PCS Soap Holder 20 PCS Stool 1 PC Plastic cover (thick) 6 YARDS Betadine 2 BOTTLES Band aid 1 BOX Toothpaaste 1 PC</t>
  </si>
  <si>
    <t xml:space="preserve"> 1 bottle Calcium AAS Standard Solution, 1000mg/L 1 bottle Zinc AAS Standard Solution, 1000mg/L 1 bottle Copper ASS Standard Solution, 1000mg/L 1 bottle Manganese AAS standard solution, 1000mg/L 1 bottle Magnesium AAS standard solution, 1000mg/L 1 bottle I</t>
  </si>
  <si>
    <t xml:space="preserve"> ITEM NO.	QTY.	UNIT	ITEMS &amp; DESCRIPTION	 				 1	1	set	Computer Desktop	 2	1	pc	Processor: 7 2700X	 3	1	pc	Motherboard: Pro Wifi	 4	2	pcs	RAM Hyper X Fury 16GB 2666MHz DDR4	 			CL16 DIMM RGB2 x RAM	 5	2	pcs	Video Card: GTX 1660 6G, 12nm FF TU1 16 GPU	 			14</t>
  </si>
  <si>
    <t xml:space="preserve"> Issuance of Bid Documents Starts: June 24, 2020 Cost of Bid Document: Php 9,500.00 Venue of Dropping and Opening Bids: BAC Conference Room, Leyte SMED Center, Provincial Capitol Grounds, Tacloban City</t>
  </si>
  <si>
    <t xml:space="preserve"> 70 PCS T SHIRT  140 PCS LADIES BRA  140 PCS LADIES SANDO 200 PCS LADIES SHORT 140 PCS SKIRT 200 PCS BLOUSE  70 PCS RUBBER SHOES 300 PCS UNDERWEAR 140 PCS JOGGING PANTS 200 PCS PAJAMA 70 PCS LADIES CASUAL DRESS 70 PCS RUBBER SLIPPERS 70 PCS MAONG PANTS 70 </t>
  </si>
  <si>
    <t xml:space="preserve"> sack	Cement		80 pc	Defform Bar 10 mm		90 kilo	Tie Wire #16		10 gal	Laquere Thinner		2 gal	Epoxy Paint (Primer)		3 gal	Epoxy Paint (Gloss, Color blue)		5 pc	Roller Brush #6"		4 kg	Mononylon #120lbs		1 kg	Mononylon #25lbs		1 pc	Tiles (White) 40X40 smooth		1</t>
  </si>
  <si>
    <t xml:space="preserve"> Item No.	QNTY	UNIT OF ISSUE	ITEM DESCRIPTION 1	3	PIECE	TIRE 7.50X16 2	1	PIECE	MOTOLITE BATTERY 3SMF 3	1	PIECE	MOTOLITE BATTERY NS60 4	1	PIECE	GRASS CUTTER REFAIR</t>
  </si>
  <si>
    <t xml:space="preserve"> PLEASE SEE ATTACHED FILE FOR REFERENCE.</t>
  </si>
  <si>
    <t xml:space="preserve"> REQUEST FOR QUOTATION PR No.		1011-2020-0650			RFQ No. 2020-050 PR Date:	06/23/2020 ABC:		P 142,850.00 Sir/Madam: 	Please quote your lowest price on the item/s listed below subject to the General Conditions on the last page, stating the shortest time of d</t>
  </si>
  <si>
    <t xml:space="preserve"> Provision for consultancy services for Physician for Pag-IBIG Fund Northern Mindanao for the period of six (6) months effective upon assumption to duty  Pls see attached scope of work</t>
  </si>
  <si>
    <t xml:space="preserve"> PLEASE SEE ATTACHED REQUEST FOR QUOTATION.</t>
  </si>
  <si>
    <t xml:space="preserve"> labor and materials</t>
  </si>
  <si>
    <t xml:space="preserve"> I. MASONRY WORKS II. SCAFFOLDINGS III. DOORS AND WINDOWS</t>
  </si>
  <si>
    <t xml:space="preserve"> Republic of the Philippines PROVINCE OF NORTHERN SAMAR BIDS AND AWARDS COMMITTEE Catarman Purchase of Fishing Gears and Other Fishing Paraphernalia for Subsidized Assistance Project Provincial Agriculture Office Province of Northern Samar  NS-06-24-20-02 </t>
  </si>
  <si>
    <t xml:space="preserve"> Chicken cut, thigh Chicken cut, breast Chicken cut, wings Chicken cut, drumstick Eggs, large Hotdog, regular size with cheese</t>
  </si>
  <si>
    <t xml:space="preserve"> Note:  Place to be delivered will be in Tagana-an, Surigao del Norte Please see attached request for quotation form.</t>
  </si>
  <si>
    <t xml:space="preserve"> Items Quantity / Units 1.training package 10 pax Inclusive:modules and manuals, meals, transportation during the course, batch shirt &amp; tactical pants, and initial registration PRICE QUOTATION/S SHOULD BE PRINTED ON COMPANY’S OFFICIAL LETTERHEAD TOGETHER W</t>
  </si>
  <si>
    <t xml:space="preserve"> FOR BIOHERMES AIC EZ 2.0 (GLYCOHEMOGLOBIN ANALYZER)	 20 	kit Glycohemoglobin Test Kit		 (Boronate affinity Chromatography 25's)		 (free 1 biohermes AIC 2.0 Glycohemoglobin analyzer for		 every 20 test kit)</t>
  </si>
  <si>
    <t xml:space="preserve"> Medical Supplies -1008-2020-0070</t>
  </si>
  <si>
    <t xml:space="preserve"> The Barangay Government of Ulango, Tanauan City through the Bids and Awards Committee(BAC) invites Suppliers/Contractors to apply for the eligibility and if subsequently found eligible to bid for the supply of materials for the project described here unde</t>
  </si>
  <si>
    <t xml:space="preserve"> General Merchandise-1008-2020-0071</t>
  </si>
  <si>
    <t xml:space="preserve"> Items Quantity / Units 1.training package 60 pax Inclusive:ETC manual and certification valid for 2 years PRICE QUOTATION/S SHOULD BE PRINTED ON COMPANY’S OFFICIAL LETTERHEAD TOGETHER WITH THE FOLLOWING DOCUMENTS; 1.Mayor’s/Business Permit 2.PhilGEPS Regi</t>
  </si>
  <si>
    <t xml:space="preserve"> For the use of the different departments of the City Government of Antipolo. 30 box computer continuous forms, 2 ply, 11"x9-1/2", 2000 sheets/box 40 box computer continuous forms, 2 ply, 11"x9-1/2", 2000 sheets/box 100 cart duplo ink, DC14 20 cart toner c</t>
  </si>
  <si>
    <t xml:space="preserve"> Please quote your best price 4 pcs of Black Junior Executive Chairs, Long Back with arm rest, Faux leather ABC 18,000.00 Please email your quotation Please download canvass form</t>
  </si>
  <si>
    <t xml:space="preserve"> 1.	1	sheet/s	16mm x 600mm x 1500mm Granite Slab (crystal gold) 2.	1	sheet/s	16mm x 600mm x 1500mm Granite Slab (peacock green) 3.	4	bag/s	Tile Adhesive (20kg) 4.	7	bag/s	Portland Cement (type 1) 5.	1	set/s	Oblong Lavatory (20" x 17" vitreous china lavator</t>
  </si>
  <si>
    <t xml:space="preserve"> Issuance of Bid Documents Starts: June 24, 2020 Cost of Bid Document: Php 5,500.00 Venue of Dropping and Opening Bids: BAC Conference Room, Leyte SMED Center, Provincial Capitol Grounds, Tacloban City</t>
  </si>
  <si>
    <t xml:space="preserve"> 10 pails Traffic Paint, reflectorized, white 10 pails Traffic Paint, reflectorized, white 10 pails Traffic paint, reflectorized, white 25 pcs. Spatula, 3" 25 pairs Putty Knife 15 boxes Lacquer Thinner 50 sets Baby Roller with pan *************************</t>
  </si>
  <si>
    <t xml:space="preserve"> Issuance of Bid Documents Starts: June 24, 2020 Cost of Bid Document: Php 6,000.00 Venue of Dropping and Opening Bids: BAC Conference Room, Leyte SMED Center, Provincial Capitol Grounds, Tacloban City</t>
  </si>
  <si>
    <t xml:space="preserve"> General Merchandise</t>
  </si>
  <si>
    <t xml:space="preserve"> Item Number	Description	 QTY 	UNIT	 ESTIMATED BUDGET  	(Fire Truck D1P031)			 1	Oil Filter	1	pc	 1,905.00  2	Engine Oil	10	ltrs	 8,830.00  3	Coolant	2	ltrs	 702.00  	(Generator)			 4	Starter Assembly	1	pc	 98,500.00  5	Battery	2	pcs	 19,800.00  6	Engine O</t>
  </si>
  <si>
    <t xml:space="preserve"> Ephedrine 50mg/ml, 1ml (as Sulfate) Esmolol 10mg/ml, 10ml Vial (as hydrochloride) Etoposide 20mg/ml Felodipine 10mg/MR Epinephrine 1mg/ml, 1ml Amp Fentanyl Citrate 50mcg/ml, 2ml Inj. (Citrate) Requirements for Drugs and Medicines: **Drugs with history of </t>
  </si>
  <si>
    <t xml:space="preserve"> Clearing &amp; Grubbing; Excavation; Structural Concrete; Reinforcing Steel Bar; Hauling; Project Billboard; Equipment Requirement: One Bagger Mixer; Concrete Vibrator; Water Truck; Dump Truck(3 cu.m.) Cargo Truck; Bar Cutter; Bar bender; 11 w.d.</t>
  </si>
  <si>
    <t xml:space="preserve"> Android Smart Phone for Barcode Track and Trace System Support Smart phone, Android; Processor: CPU speed 2.3 GHz, 1.7 GHz; CPU TypeOcta-Core; Display: Size (Main Display) 164.0mm (6.5 inch; full rectangle)/160.9mm (6.3 inch; rounded corners); Resolution </t>
  </si>
  <si>
    <t xml:space="preserve"> Items Quantity / Units 1.training package 16 pax Inclusive:modules and manuals, meals, transportation during the course, batch shirt &amp; tactical pants, and initial registration PRICE QUOTATION/S SHOULD BE PRINTED ON COMPANY’S OFFICIAL LETTERHEAD TOGETHER W</t>
  </si>
  <si>
    <t xml:space="preserve"> Issuance of Bid Documents Starts: June 24, 2020 Cost of Bid Document: Php 7,000.00 Venue of Dropping and Opening Bids: BAC Conference Room, Leyte SMED Center, Provincial Capitol Grounds, Tacloban City</t>
  </si>
  <si>
    <t xml:space="preserve"> General Merchandise-1008-2020-0079</t>
  </si>
  <si>
    <t xml:space="preserve"> INVITATION TO BID REHABILITATION OF CABADBARAN DISTRICT HOSPITAL (REHAB / REPAIR / IMPROVEMENT OF CDH) 1.	The Local Government Unit of Cabadbaran City through the 20% DEVELOPMENT FUND intends to apply the sum of  TEN MILLION PESOS ONLY (P 10,000,000.00) b</t>
  </si>
  <si>
    <t xml:space="preserve"> SEE ATTACHED DOCUMENTS</t>
  </si>
  <si>
    <t xml:space="preserve"> ITEM NO.	ITEM DESCRIPTION	QUANTITY 1	Portland Cement	34 2	DRSB 16mm. Ø x 6m.	24 3	DRSB 110mm. Ø x 6m.	40 4	60 pc.-2" x 2" x 12ft. (Coco Lumber)	240 5	Common Wire Nails (Asstd. Sizes)	8 6	Marine Playwood 1/2" x 4' x 8'	4 7	G.I. Elbow 2"Ø	1 8	G.I. Coupling </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</si>
  <si>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</si>
  <si>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50 gal Alcoho 70%	 2 drum Chlorine Powder	 60 liter Disinfectant Bleach	 20 pcs 36' Metal bed w/ 2x36 Uratex foam and linen</t>
  </si>
  <si>
    <t xml:space="preserve"> Laptop Rental (July to October, 2020) Two (2) Laptop Rentals, Processor: Intel core i5-7200u (7th Gen) processor Base Clock Speed; 2.5 GHz Cache 3MB cache, 2 cores; Memory: 8GB DDR4-2133 onboard; storage/ Hard Disk: 256GB Solid State Drive; Camera: 1920 x</t>
  </si>
  <si>
    <t xml:space="preserve"> 1. HDMI Cable, cable length: 5 meters, male to male, braided cable, Audio Return Channel	=3	pcs	@300.00 2. HDMI Cable, Cable length: 30 meters, male to male, braided cable, Audio Return Channel	= 2	pcs	@1,500.00 3. M.2 SSD, Storage: 1TB, Sequential Read/W</t>
  </si>
  <si>
    <t xml:space="preserve"> Please quote your best price 2 pcs of Executive Chair ABC 19,000.00 Features:  Highback with armrest Color: Black Please email your quotation Please download canvass form</t>
  </si>
  <si>
    <t xml:space="preserve"> 2 unit  cellphone (oppo )</t>
  </si>
  <si>
    <t xml:space="preserve"> Please quote your best price 3 pcs of 2.0 Megapixel HD CCTV Packages with 1TB Hard Drives ABC 43,500.00 Please email your quotation Please download canvass form</t>
  </si>
  <si>
    <t xml:space="preserve"> Construction Supplies-1008-2020-0078</t>
  </si>
  <si>
    <t xml:space="preserve"> Issuance of Bid Documents Starts: June 24, 2020 Cost of Bid Document: Php 5,000.00 Venue of Dropping and Opening Bids: BAC Conference Room, Leyte SMED Center, Provincial Capitol Grounds, Tacloban City</t>
  </si>
  <si>
    <t xml:space="preserve"> General Merchandise-1008-2020-0076</t>
  </si>
  <si>
    <t xml:space="preserve"> INVITATION TO BID FOR  SUPPLY OF PLATES FOR TRICYCLES, BICYCLES, PEDICAB AND BUSINESS ESTABLISHMENTS 1.	The [Local Government Unit of Pasacao], through the [General Fund CY 2020]  intends to apply the sum of [Four Hundred Ninety Six Thousand Eight Hundred</t>
  </si>
  <si>
    <t xml:space="preserve"> - PRINTER TONER, 17A   - 10 Boxes - PRINTER TONER, 19A   - 10 Boxes - EPSON RIBBON 2190    - 20 Boxes NOTE: Please attach the following documents: 1. Tax Clearance 2. Mayor’s permit 3. SEC Cert./DTI permit 4. For 50,000.00 and above, PHILGEPS Certificate</t>
  </si>
  <si>
    <t xml:space="preserve"> 20	Piece	20AT,2P,240V,10kaiC,MCB,Rail Type, ABC 730.00/pc 20	Piece	320AT,2P,240V,19kaiC,MCB,Rail Type, ABC 746.00/pc 10	Piece	40AT,2P,240V,19kaiC,MCB,Rail Type, ABC 980.00/pc 10	Piece	64AT,2P,240V,19kaiC,MCB,Rail Type, ABC 1,115.00/pc RFQ#06-0663</t>
  </si>
  <si>
    <t xml:space="preserve"> 4 btl Alcohol 4 pack Battery AAA 6 ream Bond Paper (Legal) 3 ream Bond Paper A4 5 ltr Correction Tape 2 pcs Disinfectant/Bleaching Solution 1 pcs Flash Drive 16GB 3 pcs File Folder Level Arch File 2 btl Epson Printer Ink Yellow  2 btl Epson Printer Ink Cy</t>
  </si>
  <si>
    <t xml:space="preserve"> June 23, 2020 REQUEST FOR QUOTATION (RFQ) WIRE PASSER 1.	The Batangas Medical Center hereinafter referred to as the “Purchaser” now request for submission of price proposal for the procurement of the aforesaid item described in the Technical Specification</t>
  </si>
  <si>
    <t xml:space="preserve"> 1	unit	FLAT SCREEN TV 45'' TV Type LED 		Resolution 1920x1080 		Full HD Full HD, LED Backlight yes 		Brightness 330 cd/m2, Connections HDMI 3x, Component terminal 		yes, PC Input terminal 1 x USB / 1 x Component Video Input 		(YPbPr/YCbCr) / 1 x D-sub / 	</t>
  </si>
  <si>
    <t xml:space="preserve"> RFQ No. 2020-06-016              REQUEST FOR QUOTATION (Repair &amp; Maintenance-Construction Materials) PR# 2020-03-035DVI The National Irrigation Administration – Upper Pampanga River Integrated Irrigation Systems (UPRIIS) Main Office hereinafter referred t</t>
  </si>
  <si>
    <t xml:space="preserve"> 1. External Hard Drive  Capacity: 4TB; Slim, Shock-resistant; with silicon rubber case; Interface: USB 3.2 Gen. 1; Compatibility: Windows® 10 or Windows 8.1 operating system. Requires reformatting for other operating systems; Dimensions: 4.22" x 2.95" x 0</t>
  </si>
  <si>
    <t xml:space="preserve"> Please quote your lowest price in the attached request for quotation.</t>
  </si>
  <si>
    <t xml:space="preserve"> 50 bxs Sterile Gloves	 50 bxs Surgical Mask</t>
  </si>
  <si>
    <t xml:space="preserve"> 1 unit Laptop (Touchscreen) • Intel Core i7-4510U processor (4M Cache, up to 3.1 GHz0 • 8GB DDR3L SDRAM • 1TB Hard Drive • 15.6 inch screen, Integrated Graphics • Windows 10 • Screen size: 15.6 inches • Max screen resolution: 1366 x 768 • Processor: 2 GHz</t>
  </si>
  <si>
    <t xml:space="preserve"> 5 units Steel Filing Cabinet (4 Layer Drawer)</t>
  </si>
  <si>
    <t xml:space="preserve"> Republic of the Philippines Department of Health Center for Health Development EASTERN VISAYAS REGIONAL MEDICAL CENTER Tacloban City REQUEST FOR QUOTATION RFQ No: 2020-06-SVP-0203 June 24, 2020 The EVRMC, Tacloban City, through the Bids &amp; Awards Committee</t>
  </si>
  <si>
    <t xml:space="preserve"> For the use of RPHS Annex II, I &amp; ACHS Cabading RPHS Annex II King Long Ambulance SLG 120 Repair of A/C system: 1 pc. filter drier 1 pc. fitting/crimping aircon repair: 1 lot pulldown evaporator for leak test, cleaning and freon charging 1 lot flushing of</t>
  </si>
  <si>
    <t xml:space="preserve"> 1 units	 Construction of Vermicomposting Shed Dimension of Composting Facility: 6x5x3 meters Dimension of Composting Bed: 4.5x 3.5x1 meter Location: RARES Cuyambay Tanay Rizal</t>
  </si>
  <si>
    <t xml:space="preserve"> Republic of the Philippines Barangay Don Juan Vercelos San Francisco, Quezon INVITATION TO BID FOR Procurement of Construction Materials for the Repair and Maintenance of Pathway at Barangays Don Juan Vercelos, San Francisco, Quezon. 1. The Sangguniang Ba</t>
  </si>
  <si>
    <t xml:space="preserve"> LOT 1					 	Grass Cutter Gasoline Engine 4 Stroke			1	Unit	 11,000.00  	Air Blower 600 watts 6,000 RPM			2	Units	 7,800.00  	Finishing Sander			2	Units	 10,000.00  	Inverter Welding Machine INV-200A			2	Units	 12,000.00  	Metal Drill Bit (Size #1-10 per s</t>
  </si>
  <si>
    <t xml:space="preserve"> Upland Kangkong ----- 27 kls Sitaw ----- 27 Kls Seedling Bag (Envelope type with drain holes; size: 7" x 7" inches) ----- 9,000 Pcs Hand Trowel ----- 900 Pcs Compost (50kg) ----- 144 Bags CRH (50kg) ----- 180 Bags Nylon Twine ----- 300 Rolls</t>
  </si>
  <si>
    <t xml:space="preserve"> 60 piece Ballpen (Blue, Black, red, &amp; green) 10 ream Book paper S-20 Short 10 ream Book paper S-20 Long 60 Piece Brown envelope long 60 Piece Brown envelope Short 2 unit Calculator (14 digits) 45 piece Clip board long 20 piece Correction Tape 10 piece Dou</t>
  </si>
  <si>
    <t xml:space="preserve"> Influenza Polyvalent (Quadrivalent) Vaccine 0.5ml Vial + PFS Diluent/0.5ml Suspension in Prefilled Syringe Requirements for Drugs and Medicines: **Drugs with history of usage from VMMC (Requirements No. 1-5 only) ** **For Innovators (Requirements No. 1-4 </t>
  </si>
  <si>
    <t xml:space="preserve"> Please see attached file in Associated Components.</t>
  </si>
  <si>
    <t xml:space="preserve"> 28,000 liters Fuel - Diesel 2,500 liters Fuel - Gasoline *********************************** Purpose: for maintenance of Garbage Trucks, Services Vehicles &amp; Heavy Equipments @ Office of the City General Services.</t>
  </si>
  <si>
    <t xml:space="preserve"> 5 rms bond paper long subs 20 5 rms bond paper short subs 20 3 bxs pilot ball pen 2 bxs mongol pencil 50 pcs brown envelope long 50 pcs brown envelope short 50 pcs folder white long 50 pcs folder white short 30 pcs expanded folder long 3 pads yellow paper</t>
  </si>
  <si>
    <t xml:space="preserve"> INVITATION TO BID SECOND POSTING The municipal government of Romblon through its Bids and Awards Committee (BAC) invites PhilGEPS registered suppliers to apply to bid for the New Construction of Level - II Potable Water System at Sitio Luway, Brgy, Cajimo</t>
  </si>
  <si>
    <t xml:space="preserve"> BROILER CHICKS (4 TO 5 DAY OLD/HEAD)    1,000 HEADS     BOOSTER CRUMBLE (25KGS/SACK)                       24 SACKS     STARTER CRUMBLE ( 50KGS/SACK)                       30 SACKS    FINISHER CRUMBLE (50KGS/SACK)                       26 SACKS    VITAMIN</t>
  </si>
  <si>
    <t xml:space="preserve"> Construction Supplies-1008-2020-0077</t>
  </si>
  <si>
    <t xml:space="preserve"> Construction of Hand Washing Facility and Canteen Improvement at San Vicente East Elementary School.</t>
  </si>
  <si>
    <t xml:space="preserve"> REQUEST  FOR  QUOTATION RFQ NO. 2020-06-18-(8076) 								   		PR No. 2020-385 									    		                   June 18, 2020        Date Company Name:	__________________________________________ Address		:	__________________________________________ Pleas</t>
  </si>
  <si>
    <t xml:space="preserve"> The Municipality of Limay, through its Bids and Awards Committee (BAC) invites registered contractors to apply for eligibility and if found eligible, to bid for the hereunder project/contract: Project/Contract:      Location:    Limay, Bataan Approved Bud</t>
  </si>
  <si>
    <t xml:space="preserve"> 1. Webcam for Voice over Internet Protocol calls (DOH-CHD-CAR; 6 provinces and 1 city)	 Webcam; full HD 1080p video calling (up to 1920 x 1080 pixels)			 H.264 video compression, 90° field of view; zoom to 4x in 			 1080p; Rightlight 2 technology for clar</t>
  </si>
  <si>
    <t xml:space="preserve"> Disinfectant		                  1	galloon Disinfecting Mat		                10	pieces Clorox		                        30	bottles Rags		                                10	packs Diswashing powder		        12	pieces Shield Soap		                20	pieces Alc</t>
  </si>
  <si>
    <t xml:space="preserve"> 10 btl Face Mask, 50 pcs/box 30 pcs Alcohol 1L with pump 100 pcs Alcohol, 500ml 40 pcs Customized Washable Face Mask</t>
  </si>
  <si>
    <t xml:space="preserve"> 1.	The Municipality of Esperanza, intends to apply the sum of  Two Hundred Four Thousand Three Hundred One Pesos (Php405,801.00) being the Approved Budget for the Contract (ABC) to payments under the contract for Supply and Delivery of  Animal Feeds, Drug</t>
  </si>
  <si>
    <t xml:space="preserve"> Item       QTY       Unit          Description of Articles 1)            247       25 gms        Dyanggo/Sili 2)             10         kilo              Smooth Green/Okra 3)             10         Kilo              Makisig/Sitaw 4)           124       50</t>
  </si>
  <si>
    <t xml:space="preserve"> Issuance of Bid Documents Starts: June 24, 2020 Cost of Bid Document: Php 4,500.00 Venue of Dropping and Opening Bids: BAC Conference Room, Leyte SMED Center, Provincial Capitol Grounds, Tacloban City</t>
  </si>
  <si>
    <t xml:space="preserve"> Personal Protective Equipments			 1. PPE SET, Large: Should contain the following:	                     = 40	sets	@ 2,000.00 Goggles, anti-fog lens, clear; Gloves,disposable, Latex, 			 powdered; Shoe cover, disposable, plastic, gartered; 			 Coverall, di</t>
  </si>
  <si>
    <t xml:space="preserve"> 3 Piece External Hardrive 2TB</t>
  </si>
  <si>
    <t xml:space="preserve"> Furnish of labor and materials for the production of pamphlets as IEC materials of Social Pension Program for CY 2020 Pamphlets - 3,075 pcs Description: Glossy, A4 size, Tri-fold Main color: Yellow with DSWD logo Accent color: Blue and Gray Please see att</t>
  </si>
  <si>
    <t xml:space="preserve"> The AGRICULTURAL TRAINING INSTITUTE-REGIONAL TRAINING CENTER (ATI-RTC) X, through the 2020 General Appropriations Act intends to apply the sum of Eighty Nine Thousand Five Hundred Pesos (P 89,500.00) being the Approved Budget for the Contract (ABC) to pay</t>
  </si>
  <si>
    <t xml:space="preserve"> 1	Head	Junior Boar, 6mos.(either petrin or duroc breed) 14	Sacks	Breeder Feeds,50kls/sacks,(boar) 2	Rolls	Plastic Screen 10	Sacks	Poultry Breeder Feeds,50kls/sacks,(layer) 9	Sacks	Rice Bran</t>
  </si>
  <si>
    <t xml:space="preserve"> 1.	5	box/es	Amoxicillin 500mg 2.	20	bottle/s	Ascorbic Acid 60ml 3.	10	box/es	Ascorbic Acid 500mg 4.	1000	vial/s	Ceuroxime 750mg 5.	500	vial/s	Ceftriaxone 1gm 6.	5	box/es	Cefalexin 500mg 7.	30	bottle/s	Cefalexin 250/5 8.	5	box/es	Cotrimoxazole 800/160 9.	3</t>
  </si>
  <si>
    <t xml:space="preserve"> 6 Months Contract For Six Security Guards 2 Security Guards for Tagudin Campus 1 Security Guard for Candon Campus 1 Security Guard for Cervantes Campus 1 Security Guard for Santiago Campus 1 Security Guard for Santa Maria</t>
  </si>
  <si>
    <t xml:space="preserve"> Republic of the Philippines Province of Negros Occidental Office of the Punong Barangay Invitation to Bid for Construction of Waiting Shed in Front of Roman Catholic Church  The Barangay Poblacion, Municipality of Valladolid, through the 20% Development f</t>
  </si>
  <si>
    <t xml:space="preserve"> Billboard; construction of water tank(8'x8'x8') - RSB, Structural Concrete; Installation of skyline &amp; Installation of G.I. Pipes Fittings - installation of G.I. Pipe/Fittings; Construction of pump house- site preparation, reinforcing steel bars; structura</t>
  </si>
  <si>
    <t xml:space="preserve"> INVITATION TO BID LGU-El Salvador City, Misamis Oriental through its BAC, invites interested bidders to apply for eligibility and if found eligible to bid for the contract: 1.	Contract ID No.	:	ITB No. 2020-06-053/Project ID No. 20-012-20% Name of Project</t>
  </si>
  <si>
    <t xml:space="preserve"> MUNICIPAL GOVERNMENT OF MAMBAJAO					 Mambajao, Camiguin					 					 					 Standard Form Number: SF-GOOD-60			Project Reference No.:_________________		 Revised on: May 24, 2004			Name of Project:  Purchase of  goods for		 			Disaster Equipment		 			Locatio</t>
  </si>
  <si>
    <t xml:space="preserve"> Issuance of Bid Documents Starts: June 24, 2020 Cost of Bid Document: Php 3,500.00 Venue of Dropping and Opening Bids: BAC Conference Room, Leyte SMED Center, Provincial Capitol Grounds, Tacloban City</t>
  </si>
  <si>
    <t xml:space="preserve"> 0.9 Sodium Chloride 100ml, Plastic Requirements for Drugs and Medicines: **Drugs with history of usage from VMMC (Requirements No. 1-5 only) ** **For Innovators (Requirements No. 1-4 only) ** 1. CPR 2. CGMP 3. LTO 4. CERTIFICATE OF DISTRIBUTOSHIP 5. CERTI</t>
  </si>
  <si>
    <t xml:space="preserve"> Billboard; Clearing Works; Excavation Works; Railings; Concrete Works (Pathway); CHB Wall; Safety &amp; Health (Construction Health &amp; Safety; Manual Hauling of Materials ; Equipment Requirement: Cargo/Service Truck; Water Truck; Welding Machine; Speed Cutter;</t>
  </si>
  <si>
    <t xml:space="preserve"> Billboard; Safety &amp; Health; Clearing and Site Preparation; Excavation; Reinforcing Steel Bars; Concrete Works; Equipment Requirement: Speed Cutter; Bar Bender; Dumptruck; 40 w.d.</t>
  </si>
  <si>
    <t xml:space="preserve"> 1	Clear sample glass bottle with cover, 125ml	200	pcs		 2	Clear sample glass bottles for ice	24	 pcs 		 3	Durham Tubes, small	100	 pcs 		 4	Glass stirring rod	3	 pcs 		 5	Glass petri dish, pyrex, 100 x 15mm	50	 pcs 		 6	Inoculating Loop	10	 pcs 		 7	Test </t>
  </si>
  <si>
    <t xml:space="preserve"> Procurement of Computer Laboratory Materials</t>
  </si>
  <si>
    <t xml:space="preserve"> Republic of the Philippines									 REGION IX      									 PROVINCE OF ZAMBOANGA DEL SUR									 Pagadian City     									 BIDS AND AWARDS COMMITTEE  									 Provincial Capitol, Pagadian City									 						 			 INVITATION FOR SUBMISSION OF QUOTAT</t>
  </si>
  <si>
    <t xml:space="preserve"> The Urdaneta City NHS would like to publish the supply and delivery of Brother Printers w/ copier for Junior High School use.</t>
  </si>
  <si>
    <t xml:space="preserve"> REHABILITATION OF DAMAGED ROADS/BRIDGES/SLOPE PROTECTION OF BRIDGE APPROACHES/ OTHER STRUCTURES Municipality of Mainit, Malimono and San Francisco, Surigao del Norte Brief Description:    The project will involve the following scope of works: Repair of Di</t>
  </si>
  <si>
    <t xml:space="preserve"> Supply and Delivery of CM for the construction of tire path @ Kellet -Ba-neng phase II</t>
  </si>
  <si>
    <t xml:space="preserve"> 27.5ft.X 34ft.</t>
  </si>
  <si>
    <t xml:space="preserve"> Billboard; Structure Excavation (common soil); Concrete Curb (cast in Place); Concrete Gutter (Cast in place); Freight Hauling ; Equipment Requirement: Dump truck; Backhoe; concrete vibrator; one bagger mixer; water truck;  minor tools (10% of labor cost)</t>
  </si>
  <si>
    <t xml:space="preserve"> 1000    kilos          Chlorine Dioxide 350      cby            Liquid Chlorine</t>
  </si>
  <si>
    <t xml:space="preserve"> Please see attached PR</t>
  </si>
  <si>
    <t xml:space="preserve"> FOR REPLENISHMENT OF STOCKS. GOOD FOR THREE (3) MONTHS CONSUMPTION</t>
  </si>
  <si>
    <t xml:space="preserve"> Description INVITATION TO BID / REQUEST FOR EXPRESSION OF INTEREST The Municipality of Allacapan, through its Bids and Awards Committee (BAC), invites suppliers/distributors/contractors to submit quotation for the hereunder project: Name of Contract : Pro</t>
  </si>
  <si>
    <t xml:space="preserve"> INVITATION TO BID SUPPLY AND DELIVERY OF ONE (1) UNIT 4X4 PICK-UP FOR THE CITY SECURITY AND TRAFFIC MANAGEMENT TASKFORCE OFFICE – 2ND BIDDING 1.	The Local Government Unit of Cabadbaran City through the PEACE &amp; ORDER FUND intends to apply the sum of ONE MI</t>
  </si>
  <si>
    <t xml:space="preserve"> Republic of the Philippines  Province of Bohol  Municipality of Duero  BARANGAY GUINSULARAN BIDS AND AWARDS COMMITTEE    Section 1. INVITATION TO BID   The Barangay of Guinsularan, Duero, Bohol, through its Bids and Awards Committee (BAC), invites supplie</t>
  </si>
  <si>
    <t xml:space="preserve"> Supplies</t>
  </si>
  <si>
    <t xml:space="preserve"> Republic of the Philippines Province of Agusan del Norte Municipality of Remedios T. Romualdez Invitation to Bid SUPPLY AND DELIVERY OF CONSTRUCTION MATERIALS AND SUPPLIES FOR THE CONSTRUCTION OF ADDITIONAL AIR VENTILATION 1. The Municipality of Remedios </t>
  </si>
  <si>
    <t xml:space="preserve"> Republic of the Philippines PROVINCE OF NORTHERN SAMAR BIDS AND AWARDS COMMITTEE Catarman Invitation to Bid NS-06-24-20-03 Construction of 2 Units 3-Chamber Septic Vault Beside Prov’l Budget &amp;Tourism Offices, New Capitol Bldg. Brgy. Dalakit, Catarman, N. </t>
  </si>
  <si>
    <t xml:space="preserve"> 1,000 heads 21 day old Pullet - 160,000.00 250 heads 21 day old Rooster - 40,000.00</t>
  </si>
  <si>
    <t xml:space="preserve"> Construction of Kitchen and Water Sanitation Facility at Palaris Elementary School.</t>
  </si>
  <si>
    <t xml:space="preserve"> Please quote your best price 100 pcs of ENVELOPE EXPANDING Kraftboard, legal, yellow ABC 2,500 200 pcs of ENVELOPE EXPANDING Kraftboard, legal, blue ABC 5,000 150 pcs of ENVELOPE EXPANDING Kraftboard, legal, green ABC 3,750 50 pcs of ENVELOPE EXPANDING Kr</t>
  </si>
  <si>
    <t xml:space="preserve"> Item No.	Unit	Description	Qty 1	Ea	20ftr Container van-Manila to 9FSSU/11ID,PA Zamboanga City (Door to Door Delivery)	10 * * * * * * * * * * * * * * * * * * * * * * * * NOTHING FOLLOWS * * * * * * * * * * * * * * * * * * * * * * * *</t>
  </si>
  <si>
    <t xml:space="preserve"> City Engineer's Office P.R. No. : 2020-01-0679 Date: 01/03/2020 Date: 1 1 assy Brake shoe, rear, aps 65,000.00</t>
  </si>
  <si>
    <t xml:space="preserve"> Please quote you lowest price in the attached request for quotation.</t>
  </si>
  <si>
    <t xml:space="preserve"> 3000	Heads	Meat-Egg Type Colored Chicken (Brooded, 3-4 wks. old,vaccinated with ND to be delivered in plastic crates)</t>
  </si>
  <si>
    <t xml:space="preserve"> Hollow blocks	pcs. 	500 Cement	sacks	30 Gravel	cu.m.	3 Corr. bar 12mm	pcs.	30 Expansion bolt 8mm	pcs.	16 Sealant (big)	cans	2 Drill bit (1/8)	pcs.	5 Blind rivets ½ x 1/8 	pcs.	898 Tex screw #2	pcs.	370 Angle bar ¼ x 1 ½ 	lght.	11 Angle bar ¼ x 1	lght.	13 </t>
  </si>
  <si>
    <t xml:space="preserve"> 126 Smart Load cards @ 300 186 Globe Load cards @ 300 1 Globe router  1 Smart PLDT router 5 1TB external drive 52 DVD-R with casing</t>
  </si>
  <si>
    <t xml:space="preserve"> The Municipality of Limay, through its Bids and Awards Committee (BAC) invites registered contractors to apply for eligibility and if found eligible, to bid for the hereunder project/contract: Project/Contract:     REPAIR OF CONCRETE ROAD WITH COVERED CRO</t>
  </si>
  <si>
    <t xml:space="preserve"> SOUND SYSTEM 1</t>
  </si>
  <si>
    <t xml:space="preserve"> Description INVITATION TO BID / REQUEST FOR EXPRESSION OF INTEREST The Municipality of Allacapan, through its Bids and Awards Committee (BAC), invites suppliers/distributors/contractors to submit quotation for the hereunder project: Name of Contract : Mak</t>
  </si>
  <si>
    <t xml:space="preserve"> Invitation to bid for COMPLETION OF DORMITORY AND CAFETERIA OF FARM TECHNOLOGY TRAINING CENTER FOR PAMPLONA CAMPUS INFRA2020-00-02 1. The Negros Oriental State University (NORSU), through the General Appropriation Act (GAA) FY 2020 intends to apply the su</t>
  </si>
  <si>
    <t xml:space="preserve"> 1	571	pcs	TOILET BOWL 			 			****** Closed Nothing Follws*****</t>
  </si>
  <si>
    <t xml:space="preserve"> 1	Unit	Digital SLR Camera kit 24 MP APS-C CMOS + Digic 6, ABCC 100,000.00/unit 		45-point All Cross-type AF Dual Pixel CMOS AF				 1	Unit	Digital SLR Lens(wide angle) Filter size: 43mm, ABC 35,000.00/unit 		Max Aperture: f/1.4 with STM Motor,EF-M32mm f/1.</t>
  </si>
  <si>
    <t xml:space="preserve"> 12300 Liters Diesel 2500 Liters Unleaded 30 Liters 2T Oil 16 liters Oil #30</t>
  </si>
  <si>
    <t xml:space="preserve"> Republic of the Philippines Province of Romblon Municipality of Odiongan BARANGAY BUDIONG Bids &amp; Awards Committee Odiongan, Romblon INVITATION TO BID  The Barangayl Government of Budiong through its Bids and Awards Committee [BAC] invites interested bidde</t>
  </si>
  <si>
    <t xml:space="preserve"> 1.	10	unit/s	Wheelchair 2.	5	pair/s	Crutches</t>
  </si>
  <si>
    <t xml:space="preserve"> CONSTRUCTION OF ONE ROOM AT NARRA BARANGAY HEALTH CENTER, BRGY. NARRA, SAN MANUEL, PANGASINAN</t>
  </si>
  <si>
    <t xml:space="preserve"> 190 pcs Polo Shirt (Sublimation)</t>
  </si>
  <si>
    <t xml:space="preserve"> 1 	 2 	 UNITS 	 CHAINSAW 070 &amp; ACCESSORIES 	  2 	 12 	 UNITS 	 FIRE EXTINGUISHER 	 			 - Dry chemical 1. lbs. refillable 	 			 - 3 years Experation 	 			 - Non - Toxic 	 			 - Non - conducting 	 			 - Non - Corrosive 	 			 - Original Brand 	 			 - ISO Cet</t>
  </si>
  <si>
    <t xml:space="preserve"> Procurement of 1 Lot supplies and materials for the operation of government toilets</t>
  </si>
  <si>
    <t xml:space="preserve"> Republic of the Philippines Barangay Don Juan Vercelos San Francisco, Quezon INVITATION TO BID FOR Procurement of Construction Materials for the Repair of Brgy. Stage at Barangays Don Juan Vercelos, San Francisco, Quezon. 1. The Sangguniang Barangay of Do</t>
  </si>
  <si>
    <t xml:space="preserve"> SJV-640 (Crosswind)(GSO) 4 pcs Nozzle tip 1 set Rotor head 1 set Supply pump 1 pc Oil seal 1 lot Labor: Overhauling calibration, dismounting and mounting A7-N678 (Hi-Ace)(Ambulance)(Rescue) 1 pc Winshield hi-ace 3 pcs Tint BOOM Truck (GSO) 2 pcs Battery 3</t>
  </si>
  <si>
    <t xml:space="preserve"> INVITATION TO BID SUPPLY AND DELIVERY OF ONE (1) UNIT COMBINE RICE HARVESTER AND ONE (1) UNIT FARM TRACTOR FOR THE CITY AGRICULTURIST OFFICE 1.	The Local Government Unit of Cabadbaran City through the 20% DEVELOPMENT FUND intends to apply the sum of FOUR </t>
  </si>
  <si>
    <t xml:space="preserve"> Purchase of load for communication purposes for the month of: JANUARY FEBRUARY MARCH APRIL MAY JUNE JULY AUGUST SEPTEMBER OCTOBER NOVEMBER DECEMBER</t>
  </si>
  <si>
    <t xml:space="preserve"> PROCUREMENT TERMS &amp; CONDITIONS					 1	The Total Approved Budget for the Contract (ABC) is Php 39,485.00				 2	Price quotation should be inclusive of tax obligations.				 3	Delivery period is 10 calendar days from the receipt of NOA &amp; PO.				 4	If awarded </t>
  </si>
  <si>
    <t xml:space="preserve"> 1 Construction of Slope Protection (Building Protection) under CY 2019 QRF Savings at Cassag Elementary School (636,506.37) 1 Construction of Slope Protection (Building Protection) under CY 2019 QRF Savings at Balindan Elementary School (263,061.83) Pleas</t>
  </si>
  <si>
    <t xml:space="preserve"> INVITATION TO BID The municipal government of Romblon through its Bids and Awards Committee (BAC) invites PhilGEPS registered suppliers to apply to bid for the Rehabilitation of LGU Owned Potable Water System.</t>
  </si>
  <si>
    <t xml:space="preserve"> Widening of Tresher Crossing at Macuban, Brgy. Domanpot, Asingan, Pangasinan.</t>
  </si>
  <si>
    <t xml:space="preserve"> BAC RESOLUTION NO. 328-2020 “A RESOLUTION DECLARING FAILURE OF BIDDING AND RECOMMEND FOR ALTERNATIVE MODE OF PROCUREMENT” WHEREAS, the Bids and Awards Committee (BAC) thru the Secretariat published in PhilGEPS and in any conspicuous places the purchase of</t>
  </si>
  <si>
    <t xml:space="preserve"> REQUEST FOR QUOTATION					 _______________________________________				Date	June 22, 2020                         Name of Supplier				Quotation No.:  	2020-109 _______________________________________					                               Adrdress					 					  </t>
  </si>
  <si>
    <t xml:space="preserve"> 1	81" 5/16 x 117 1/2 Sliding Door w/ Reflective			1	Unit 2	18 3/4 x 15 15/16 Brown Glass for Window			      12	Piece 3	14 7/8 x 15 15/16 Brown Glass for Window			      18	Piece 4	0.90 x 2.10 Aluminum Door			                                1	Set</t>
  </si>
  <si>
    <t xml:space="preserve"> SOUND SYSTEM 2</t>
  </si>
  <si>
    <t xml:space="preserve"> Security &amp; other general services</t>
  </si>
  <si>
    <t xml:space="preserve"> 8 Liters Engine Oil 1 piece Oil Filter 1 piece Drain Plug Gasket (washer) 1 liter Wienshield Fluid 1 Liter Engine Flushing Oil 1 Liter Engine Treatment 1 piece Injector Cleaner 1 piece Ethanol Drier 1 piece Brake Cleaner 1 piece Wurth Washer 1 piece Fuel </t>
  </si>
  <si>
    <t xml:space="preserve"> For the use of DORL-HNS</t>
  </si>
  <si>
    <t xml:space="preserve"> Please quote your lowest price on the item/s listed below: ONE PAGE NEWSPAPER ADVERTISEMENT IN MAJOR DAILY  FOR THE 2020 NAST AWARDS Specifications: Area/Size: One Page 9cols x 53cms (477cms) Color: Black and White Others: JPEG or PDF file will be provide</t>
  </si>
  <si>
    <t xml:space="preserve"> Catering Services (25 Pax per Batch) 2 snacks and 1 meal for batch 1 2 snacks and 1 meal for batch 2 2 snacks and 1 meal for batch 3 2 snacks and 1 meal for batch 4 2 snacks and 1 meal for batch 5 2 snacks and 1 meal for batch 6 2 snacks and 1 meal for ba</t>
  </si>
  <si>
    <t xml:space="preserve"> 6	units	Modular Tent 1	units	Retractable Tent</t>
  </si>
  <si>
    <t xml:space="preserve"> SCOPE OF WORK &amp; TECHNICAL SPECIFICATIONS GENERAL CONDITIONS                All works to be undertaken shall be in accordance with the plans and working drawings. It includes the furnishing of all materials, labor and equipment with supervision necessary f</t>
  </si>
  <si>
    <t xml:space="preserve"> Procurement of Computer Lab. Materials</t>
  </si>
  <si>
    <t xml:space="preserve"> 40 HP SUBMERSIBLE MOTOR  3 PHASE, 460 VOLTS, 6"  DIAMETER, MOTOR STAINLESS STEEL With 3M 82-A2 SPLICING KIT For complete details please see attached RFQ file.</t>
  </si>
  <si>
    <t xml:space="preserve"> General Merchandise SW 1008-2020-0072</t>
  </si>
  <si>
    <t xml:space="preserve"> REQUEST FOR QUOTATION TO: ALL BIDDERS/SUPPLIERS The Games and Amusements Board (GAB) through its Bids and Awards Committee (BAC) will undertake a Small Value Procurement in accordance with Section 53.9 of the 2016 Revised Implementing Rules and Regulation</t>
  </si>
  <si>
    <t xml:space="preserve"> for Crematorium Housing Structure</t>
  </si>
  <si>
    <t xml:space="preserve"> RFQ 2020-108 PROJECT		:	LBP VARIOUS NCR PROJECTS IMPLEMENTOR		: 	LBP RESOURCES AND DEVELOPMENT CORPORATION OWNER			:	LAND BANK OF THE PHILIPPINES	 REQUEST FOR QUOTATION FOR	:	SUPPLY OF PERSONAL PROTECTIVE EQUPMENTS    DATE / TIME OF SUBMISSION		:	ON OR BE</t>
  </si>
  <si>
    <t xml:space="preserve"> PURPOSE: FOR DES USE. REPLACEMENT PURCHASE FROM P.R.# 2020-01-1140, FOR RE-POSTING DUE TO CURRENT MARKET PRICE Fax your Price Quotation at Tel. Fax#: 426-30-45 / 927-64-26 local 2561 or Email at bacveterans@gmail.com. Please indicate the brand name and co</t>
  </si>
  <si>
    <t xml:space="preserve"> Request for Quotation 23 June 2020 The TOURISM PROMOTIONS BOARD invites you to submit quotations for the item/s listed below: Quotation No.  TPB-RFQ 2020-06-184 PR No. 6.020   Requirements:	Content Delivery Network (CDN) Business Plan – Subscription for O</t>
  </si>
  <si>
    <t xml:space="preserve"> PR No. 				CMD 2020-06-027					 											 	Please quote your lowest price on the item/s listed below, subject to the General Conditions, 										 stating the shortest time of delivery and submit your quotation duly signed by  your authorized 									</t>
  </si>
  <si>
    <t xml:space="preserve"> Ink Refill Canon Monochrome and Colred</t>
  </si>
  <si>
    <t xml:space="preserve"> ITEM NO.	QTY.	UNIT	ITEMS &amp; DESCRIPTION	 				 1	2	set	Computer Desktop	 2	2	pc	Processor: 7 2700X	 3	2	pc	Motherboard: Pro Wifi	 4	4	pcs	RAM Hyper X Fury 16GB 2666MHz DDR4	 			CL16 DIMM RGB2 x RAM	 5	2	pcs	Video Card: GTX 1660 6G, 12nm FF TU1 16 GPU	 			14</t>
  </si>
  <si>
    <t xml:space="preserve"> Laptop Computer</t>
  </si>
  <si>
    <t xml:space="preserve"> Republic of the Philippines Province of Ifugao Municipality of Alfonso Lista INVITATION TO BID FOR NRGOTIATED PROCUREMENT-TWO FAILED BIDDINGS FOR CONCRETING OF TOURISM ECO-PARK ACCESS ROAD-STO. DOMINGO 1.	The Local Government Unit Alfonso Lista, Ifugao, t</t>
  </si>
  <si>
    <t xml:space="preserve"> Procurement of Aircondition to be used at the classrooms</t>
  </si>
  <si>
    <t xml:space="preserve"> Procurement of 1 Lot Rice, 240 sacks (25kg.) for assistance to indigents in Iligan City (burial)</t>
  </si>
  <si>
    <t xml:space="preserve"> LOT 1:  Smart Load Cards             84 pcs Smart Load Card, 500             12 pcs Smart Load Card, 300 LOT 2: Globe Load Cards            348 pcs Globe Load Card, 500            36 pcs Load Card, 300</t>
  </si>
  <si>
    <t xml:space="preserve"> Midazolam 15mg Tab Mecobalamin 500mg Tab Monobasic Sodium Phosphate, Dibasic Sodium 19G/7G Solution Per 133ml Bottle Morphine 10mg/ml, 1ml Monobasic/Dibasic Sodium Phosphate 48G/18G Solution per 100ml Sol, 45ml Requirements for Drugs and Medicines: **Drug</t>
  </si>
  <si>
    <t xml:space="preserve"> Description INVITATION TO BID / REQUEST FOR EXPRESSION OF INTEREST The Municipality of Allacapan, through its Bids and Awards Committee (BAC), invites suppliers/distributors/contractors to submit quotation for the hereunder project: Name of Contract : Vid</t>
  </si>
  <si>
    <t xml:space="preserve"> Invitation to Bid for the Supply and Delivery of Water Pump for the use of Brgy. Poblacion 01, Batangas City</t>
  </si>
  <si>
    <t xml:space="preserve"> REQUEST FOR QUOTATION					 _______________________________________				Date	June 22, 2020                         Name of Supplier				Quotation No.:  	2020-087B _______________________________________					                               Adrdress					 					 </t>
  </si>
  <si>
    <t xml:space="preserve"> QTY   UNIT    DESCRIPTION 8      units    Laptop 3      sets     Desktop Computer 5      units    Printer 1      unit     PVC Printer</t>
  </si>
  <si>
    <t xml:space="preserve"> Please see attached document.</t>
  </si>
  <si>
    <t xml:space="preserve"> INVITATION TO BID The municipal government of Romblon through its Bids and Awards Committee (BAC) invites PhilGEPS registered suppliers to apply to bid for the Materials for Improvement of Ginablan Bird Sanctuary and Mangroves.</t>
  </si>
  <si>
    <t xml:space="preserve"> QTY  UNI DESCRIPTION CLEARING &amp; BRUSHING 1.00 lot Lumpsum-Laborworks LABOR OCM CP VAT EXCAVATION WORKS 45.0 CU.M. 1.00 lot Lumpsum-Laborworks LABOR OCM CP VAT CONCRETE WORKS 850.00 pcs. #4 CHB 12.00 cu.m. Gravel 6.00 cu.m. Sand 82.00 bags Portland Cement </t>
  </si>
  <si>
    <t xml:space="preserve"> Republic of the Philippines Department of Agriculture Bureau of Plant Industry 			     SATELLITE PESTICIDE ANALYTICAL LABORATORY             Baguio City   										                            REQUEST FOR QUOTATION NEGOTIATED PROCUREMENT: SMALL VALUE					</t>
  </si>
  <si>
    <t xml:space="preserve"> 5 pcs 7-5 x R15 Tire Heavy Duty</t>
  </si>
  <si>
    <t xml:space="preserve"> Bidding will be conducted through open competitive bidding procedures using a non-discretionary “pass/fail” criterion as specified in the Implementing Rules and Regulations (IRR) of Republic Act (RA) 9184, otherwise known as the “Government Procurement Re</t>
  </si>
  <si>
    <t xml:space="preserve"> Laptop for Executive Processor Model: 8th Generation Intel Core i7 processor (i7-8650U) || Full HD || GPU Model: Intel UHD graphics 620 || RAM: 16GB || Storage: SSD/ eMMC 512GB || Display Size: 13 inches || Resolution 3000 x 2000, 1920 x 1280 || Connectiv</t>
  </si>
  <si>
    <t xml:space="preserve"> The Municipality of Limay, through its Bids and Awards Committee (BAC) invites registered contractors to apply for eligibility and if found eligible, to bid for the hereunder project/contract: Project/Contract:    REHABILITATION OF DRAINAGE AT FILACS LOWE</t>
  </si>
  <si>
    <t xml:space="preserve"> Procurement of 1 Lot Construction materials and supplies</t>
  </si>
  <si>
    <t xml:space="preserve"> Municipality of Looc Invitation to Bid for Construction of Seawall (between Guitna and Bonbon) P-I 1.	The Municipality of Looc, through the Trust Fund-DRRMF intends to apply the sum of Php 2,670,000.00 being the Approved Budget for the Contract (ABC) to p</t>
  </si>
  <si>
    <t xml:space="preserve"> SJD-235 (Crosswind)(GSO) 6 liters Engine oil diesel 1 pc Oil filter c-207 U2-D321(T-king elf)(Cenro) 2 pcs Propeller crossjoint U2-D322(T-king elf)(Cenro) 1 set Clutch lining/disc rebonding U2-D323(T-king elf)(Cenro) 1 pc Battery 6SM TMB-928(Tow truck) 1 </t>
  </si>
  <si>
    <t xml:space="preserve"> 1 desktop computer i-3 processor with MS office software/program 1 net book with MS office software/program ( i5)</t>
  </si>
  <si>
    <t xml:space="preserve"> Republic of the Philippines CITY OF IRIGA BIDS AND AWARDS COMMITTEE June 8, 2020 REQUEST FOR QUOTATION 1. The City of Iriga through the Bids and Awards Committee (BAC) now invites contractors, registered with and classified by the Philippine Contractors A</t>
  </si>
  <si>
    <t xml:space="preserve"> OFFICE SUPPLIES EXPENSE.................................................................50,000 ICT OFFICE SUPPLIES EXPENSE.............................................................8,250.00 SEMI-EXPANDABLE ICT EQUIPMENT..................................</t>
  </si>
  <si>
    <t xml:space="preserve"> Specifications: No. of pages:                          52 pages including cover Page Size:                              8.238" x 11.693" A4 Page Texture:    Inside pages:                       Matte 80    Cover &amp; Back pages:            Matte 20    Images:</t>
  </si>
  <si>
    <t xml:space="preserve"> Republic of the Philippines Barangay Don Juan Vercelos San Francisco, Quezon INVITATION TO BID FOR Procurement of  Materials for the Installation of street Lights at Barangays Don Juan Vercelos, San Francisco, Quezon. 1. The Sangguniang Barangay of Don Ju</t>
  </si>
  <si>
    <t xml:space="preserve"> INVITATION TO BID The municipal government of Romblon through ist Bids and Awards Committee (BAC) invites PhilGEPS registered suppliers to apply to bid for the GRINDING MACHINE.</t>
  </si>
  <si>
    <t xml:space="preserve"> 1    unit   Photocopier</t>
  </si>
  <si>
    <t xml:space="preserve"> PURPOSE: FOR DES USE. NEW PURCHASE REQUEST. FOR THE MONTH OF FEBRUARY 2020 TO APRIL 2020. (7) Fax your Price Quotation at Tel. Fax#: 426-30-45 / 927-64-26 local 2561 or Email at bacveterans@gmail.com. Please indicate the brand name and complete specificat</t>
  </si>
  <si>
    <t xml:space="preserve"> DRUGS AND MEDICINE SUPPLY SMOKING CESSATION CLINIC 2020 NATIONAL TUBERCULOSIS PROGRAM ANTE-NATAL CARE DOH LICENSING 2020</t>
  </si>
  <si>
    <t xml:space="preserve"> PR No. 				AF 2020-06-032							 											 	Please quote your lowest price on the item/s listed below, subject to the General Conditions, 										 stating the shortest time of delivery and submit your quotation duly signed by  your authorized 								</t>
  </si>
  <si>
    <t xml:space="preserve"> Item	QTY.	UNIT	PARTICULARS / DESCRIPTION AND SPECIFICATIONS		APPROVED	BRAND NAME	UNIT PRICE NO.					UNIT COST		 1	1	pc/s	Pole Steel, 35', Bare-3.0mm,86 micron, 500kgs. (Minimum Load Break)		 18,800.00 		 2	1	pc/s	Pole Steel, 40', Bare-3.0mm,86 micron, 500</t>
  </si>
  <si>
    <t xml:space="preserve"> Sixty-Nine (69) pcs. HEADSETS Technical Specifications: Input Impedance: 22 Ohms Sensitivity (headphone): 122dB +/-3dB Sensitivity (microphone): -44dBV/PA +/- 2.5dB Frequency response (Headset): 20Hz to 20kHz Frequency response (Microphone): 100Hz to 6,50</t>
  </si>
  <si>
    <t xml:space="preserve"> Concreting of 40mx2.5mx.15m</t>
  </si>
  <si>
    <t xml:space="preserve"> Republic of the Philippines Province of Pangasinan Bids and Awards Committee Municipality of Calasiao INVITATION TO BID FOR PURCHASE OF CERTIFIED SEEDS FOR FARMERS OF CALASIAO, PANGASINAN 1.	The Municipality of Calasiao, through the Annual Budget 2020(Gen</t>
  </si>
  <si>
    <t xml:space="preserve"> Construction Materials &amp; Supplies</t>
  </si>
  <si>
    <t xml:space="preserve"> * Please submit your quotation based on the rfq attached .</t>
  </si>
  <si>
    <t xml:space="preserve"> Supply and Delivery of Construction Materials and Supplies for the Fabrication of Emergency Quarantine Facility (6 Units) Approved Budget for the Contract: P79,975.00 Area of Delivery: Evacuation Center, Poblacion I, RTR, Agusan del Norte Please quote you</t>
  </si>
  <si>
    <t xml:space="preserve"> REQUEST FOR QUOTATION							 							 SIR/MADAM:							 							 Please quote your lowest price for the following items enumerated below, taking into consideration the following:							 							 TERMS AND CONDITIONS:							 1.  The Approved Budget for the Co</t>
  </si>
  <si>
    <t xml:space="preserve"> REQUEST FOR QUOTATION Shopping (Sec. 52 of RA 9184 IRR) The PHILHEALTH REGIONAL OFFICE XII, through the Corporate Operating Budget 2020 intends to   apply the sum of Two Hundred Sixty Two Thousand Six Hundred Twenty Two Pesos and 25/100      (Php 262,622.</t>
  </si>
  <si>
    <t xml:space="preserve"> (385.85 sq. ft.)  12-panels    Korean Combi Blinds (Marie Khaki) Location                      : BICOL UNIVERSITY POLANGUI CAMPUS, POLANGUI, ALBAY    Delivery Period		: 14 days PROCUREMENT OF KOREAN COMBI BLINDS TO BE USED IN THE ADMINISTRATIVE, ACCOUNTIN</t>
  </si>
  <si>
    <t xml:space="preserve"> 10 set Compressor Motor 2 HP w/ installation</t>
  </si>
  <si>
    <t xml:space="preserve"> Republic of the Philippines Department of Health CENTER FOR HEALTH DEVELOPMENT CALABARZON QMMC Compound, Project 4, Quezon City  Trunkline: 8-249-2000 Email Address: bacsec.doh4a@gmail.com INVITATION TO BID  1.	The DOH CENTER FOR HEALTH DEVELOPMENT CALABA</t>
  </si>
  <si>
    <t xml:space="preserve"> Hardware Materials &amp; Supplies</t>
  </si>
  <si>
    <t xml:space="preserve"> Please quote your best type 278.24 sq. ft. of Interior Blinds (roller type) with installation ABC 83,473.00 Please email your quotation Please download canvass form</t>
  </si>
  <si>
    <t xml:space="preserve"> 120 pcs. PPE Covered all, face mask N95, gloves, latex, head cap, boots cover, goggles, face shields 70 box Examination gloves 100s / box 100 box Face mask, 3 ply 50s/box. -see attached RFQ Form for more details.</t>
  </si>
  <si>
    <t xml:space="preserve"> For more inquiries please contact Engr. Joseph Heraldo BAC Chairman BAC Office Barangay Talisoy Jomalig Quezon 09463286983</t>
  </si>
  <si>
    <t xml:space="preserve"> Republic of the Philippines									 REGION IX      									 PROVINCE OF ZAMBOANGA DEL SUR									 Pagadian City     									 BIDS AND AWARDS COMMITTEE  									 Provincial Capitol, Pagadian City									 	 								 INVITATION FOR SUBMISSION OF QUOTAT</t>
  </si>
  <si>
    <t xml:space="preserve"> MUNICIPAL GOVERNMENT OF MAMBAJAO					 Mambajao, Camiguin					 					 					 Standard Form Number: SF-GOOD-60			Project Reference No.:_________________		 Revised on: May 24, 2004			Name of Project:  Purchase of  Mental Health		 			Medicines		 			Location of </t>
  </si>
  <si>
    <t xml:space="preserve"> ITEM NO.	QTY.	UNIT	ITEMS &amp; DESCRIPTION	 				 1	2	units	Jetmatic pump	 2	2	pcs	G.I Pipe 1 1/4 s-40	 3	450	bags	Cement	 4	30	pcs	RC Pipes 24"	 5	20	pcs	Steel Matting	 6	70	pcs	RSB 10mm	 7	20	pcs	Angle Bar 1/4	 8	1	unit	Cylinder pump	 9	2	pcs	GI Pipe 2" s-40</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</si>
  <si>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</si>
  <si>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300 pcs. Face Mask, cotton 151 pcs. Farm Gloves, rubberized 187 pcs. Farm hat w/ tie, bush hat 200 pcs. Farm boots -see attached RFQ Form for more details.</t>
  </si>
  <si>
    <t xml:space="preserve"> 10 unit Desktop (mid-range) --- 24,000.00 / UNIT Processor: Intel Core i7 || Memory: 16 GB upgradable to 32 GB || Storage: 256 GB +1 TB SATA3 7200 RPM ||Display Screen Size: 21.5" || Graphics/ Video Processor :4 GB Dedicated Graphics || Operating Systems:</t>
  </si>
  <si>
    <t xml:space="preserve"> 73	 bottle 	ALCOHOL, ethyl, 68%-70%, scented, 500ml 50	 ream 	PAPER, Multi-Purpose (COPY) A4, 70 gsm 50	 ream 	PAPER, Multi-Purpose (COPY) Legal, 70 gsm 35	 pieces 	INK, BOTHER DCP-J100, LC539XL-black 20	 pieces 	INK, BOTHER DCP-J100, LC535XL-CYAN 18	 pie</t>
  </si>
  <si>
    <t xml:space="preserve"> REPUBLIC OF THE PHILIPPINES																																					 	PROVINCE OF ZAMBOANGA DEL NORTE																																					 	MUNICIPALITY OF PRES. MANUEL A. ROXAS																																					 	BIDS AND AWARDS COMMITTEE																		</t>
  </si>
  <si>
    <t xml:space="preserve"> - SUPPLY &amp; DELIVERY OF BUDDED RUBBER &amp; GRAFTED EXOTIC TROPICAL FRUIT TREES</t>
  </si>
  <si>
    <t xml:space="preserve"> REQUEST FOR QUOTATION					 _______________________________________				Date	June 22, 2020                         Name of Supplier				Quotation No.:  	2020-111 _______________________________________					                               Adrdress					 					  </t>
  </si>
  <si>
    <t xml:space="preserve"> CHAMP Support Program.</t>
  </si>
  <si>
    <t xml:space="preserve"> Concreting of 120mx2mx.15m</t>
  </si>
  <si>
    <t xml:space="preserve"> 20	Piece	Flush lock #12, ABC 200.00/pc 20	Piece	Flush lock #11, ABC 200.00/pc 15	Piece	Double Nylon Roller, ABC 500.00/pc 5	Piece	Aluminum Glass Door Jamb, ABC 5,000.00/pc 5	Piece	Aluminum Glass Door Header, ABC 5,000.00/pc 5	Piece	Aluminum Sealer, ABC 80</t>
  </si>
  <si>
    <t xml:space="preserve"> Supply and delivery of various medicines for Birthing Facility, RHU, Zumarraga, Samar</t>
  </si>
  <si>
    <t xml:space="preserve"> STOCK	UNIT	ITEM DESCRIPTION	QTY NO.			 			 1	unit	Air Conditioning Unit Window Type 2 HP	1 2	pcs	Air Freshener 	30 3	can	Air Freshener aerosol 280ml	9 4	pc	Air Freshener Scented gel ,assorted	6 5	bottle	Air Freshener 500ml (Floral/Orange)	1 6	 pcs 	Albatr</t>
  </si>
  <si>
    <t xml:space="preserve"> Provision for Improvement of Talisoy Evacuation Center Improvement of Jomalig Port (Purchased of Solar Panel,battery and lightings) For more inquiries please contact Engr. Joseph Heraldo BAC Chairman BAC Office Barangay Talisoy Jomalig Quezon 09463286983</t>
  </si>
  <si>
    <t xml:space="preserve"> 5,500	Liter	Fuel, Diesel, 24hrs Service 		 525	Liter	Fuel, Gasoline, Special, 24hrs Service 		 100	Liter	Fuel, Gasoline, Unleaded, 24hrs Service 		 9	Liter	Oil, Diesel, 15W40 		 3	Liter	Coolant, Water, Super Coolant 		 2	Bot	Fluid, Brake, DOT 4, 900ml 		 </t>
  </si>
  <si>
    <t xml:space="preserve"> Republic of the Philippines  Province of Cebu Municipality of Boljoon INVITATION TO BID FOR the Procurement of Medicines 1.	The Municipality of Boljoon, through the 40-40 Drugs and Medicines   in the amount of One million Four hundred Eighteen thousand  T</t>
  </si>
  <si>
    <t xml:space="preserve"> Construction Materials</t>
  </si>
  <si>
    <t xml:space="preserve"> SUPPLY OF MATERIALS</t>
  </si>
  <si>
    <t xml:space="preserve"> QTY  UNIT  DESCRIPTION 5143.72 liters Diesel Fuel</t>
  </si>
  <si>
    <t xml:space="preserve"> Republic of the Phillipines					 DEPARTMENT OF PUBLIC WORKS AND HIGHWAYS					 ZAMBOANGA DEL SUR					 1st District Engineering Office					 REGION IX					 Pagadian City					 					 				                 NOTICE No.: 20-08	 				                    DATE: July 23</t>
  </si>
  <si>
    <t xml:space="preserve"> See attached document, print Bid Notice Abstract and download ITB No. GOODS-20-115.</t>
  </si>
  <si>
    <t xml:space="preserve"> LABORATORY REAGENTS AND SUPPLY FAMILY PLANNING 2020 HYPERTENSIVE AND DIABETIC CLUB MEETING 2020 NATIONAL TUBERCULOSIS PROGRAM\FACILITY BASED DELIVERY</t>
  </si>
  <si>
    <t xml:space="preserve"> INVITATION TO BID FOR THE SUPPLY, DELIVERY AND INSTALLATION OF LABORATORY EQUIPMENT FOR THE ENHANCEMENT OF THE LABORATORY OF BIOSYSTEMS, AGRICULTURE AND OTHER RELATED PROGRAMS PB-2020-184-007 1. The Pampanga State Agricultural University, through Fund 184</t>
  </si>
  <si>
    <t xml:space="preserve"> Concreting of 80mx2mx.15m</t>
  </si>
  <si>
    <t xml:space="preserve"> PURPOSE: FOR DES USE. NEW PURCHASE REQUEST. FOR THE MONTH OF FEBRUARY TO APRIL 2020. (5) Fax your Price Quotation at Tel. Fax#: 426-30-45 / 927-64-26 local 2561 or Email at bacveterans@gmail.com. Please indicate the brand name and complete specifications.</t>
  </si>
  <si>
    <t xml:space="preserve"> PURPOSE: FOR DES USE. NEW PURCHASE REQUEST. FOR THE MONTH OF FEBRUARY TO APRIL 2020. (6) Fax your Price Quotation at Tel. Fax#: 426-30-45 / 927-64-26 local 2561 or Email at bacveterans@gmail.com. Please indicate the brand name and complete specifications.</t>
  </si>
  <si>
    <t xml:space="preserve"> Republic of the Philippines Province of Romblon Municipality of Odiongan BARANGAY BUDIONG Bids &amp; Awards Committee Odiongan, Romblon INVITATION TO BID  The Barangay Government of Budiong through its Bids and Awards Committee [BAC] invites interested bidder</t>
  </si>
  <si>
    <t xml:space="preserve"> LGU Counterpart to DOST (Rehabilitation of Livelihood Building Ph 1 LGU Counterpart to DOST (Rehabilitation of Livelihood Building Ph 2 For more Inquiries please contact Engr. Joseph Heraldo BAC Chairman BAC Office Barangay Talisoy Jomalig Quezon 09463286</t>
  </si>
  <si>
    <t xml:space="preserve"> REPUBLIC OF THE PHILIPPINES																																		 	PROVINCE OF ZAMBOANGA DEL NORTE																																		 	MUNICIPALITY OF PRES. MANUEL A. ROXAS																																		 	BIDS AND AWARDS COMMITTEE																											</t>
  </si>
  <si>
    <t xml:space="preserve"> I. REMOVAL OF RAILINGS 1 LOT II. EXCAVATION WORKS 1.69 CU.M. III. FILLING MATERIALS 19.32 CU.M. IV. CONCRETE WORKS (FOOTING, COLUMN, TIEBEAM, FLOORING &amp; PATHWAY) 3.27 CU.M. V. MASONRY WORKS (CHB MORTAR, FINISHING OUTSIDE ONLY) 8.91 SQ.M. VI. ROOFING WORKS</t>
  </si>
  <si>
    <t xml:space="preserve"> PURCHASE OF THE MATERIALS FOR THE INSTALLATION OF PANEL STREET LIGHTS OF BARANGAY MINSAPINIT GINGOOG CITY MISAMIS ORIENTAL.</t>
  </si>
  <si>
    <t xml:space="preserve"> SAA-2948(Isuzu Ivan)(GSO) Labor 1 lot Perform 120,00 kms service 1 lot Shop material Parts 8 liters Engine motor oil 1 pc Oil filter 1 pc Fuel filter 1 pc Air filter 1 pc Brake cleaner 4 liters Gear oil 1 pc Power steering 4 liters Transmission oil 2 lite</t>
  </si>
  <si>
    <t xml:space="preserve"> Stock No.	Item Description						QTY	Unit 1	Chain  block, 5 ton capacity, long chain						1	pc 2	Hand Crank lever hoist ratchet, 2 ton						1	pc 3	Socket Wrench set 3/4" drive						1	set 4	Close wrench						1	set 5	Combination wrench						1	set 6	Open wren</t>
  </si>
  <si>
    <t xml:space="preserve"> In view of the above, we are inviting external providers on the services needed. Please read the instruction below. INSTRUCTIONS: 1. Bidders are required to read the instructions and fill out the blanks properly. Prospective suppliers are required to use </t>
  </si>
  <si>
    <t xml:space="preserve"> 500	bottles	 Alcohol with moisturizer 500ml 70% solution (Isopropyl)</t>
  </si>
  <si>
    <t xml:space="preserve"> 8 pcs. 185 x R14 tires - 63,360.00 4 pcs. 185 x R15 tires - 35,640.00 3 pcs. 3SM battery - 28,314.00</t>
  </si>
  <si>
    <t xml:space="preserve"> 40 bottles of alcohol (70%, 1 gallon), 320 pcs of germicidal soap (135 grams), vitamin C (100 pcs/boxes), 11 pcs of thermal scanner, 22 units of disinfectant sprayer, 600 pcs of disinfectant solution, 1,100 pcs of cloth masks, 22pairs of rubber booths, 22</t>
  </si>
  <si>
    <t xml:space="preserve"> Procurement of Devices to be used by AO and Security unit for Documentation</t>
  </si>
  <si>
    <t xml:space="preserve"> Republic of the Philippines Province of Capiz MUNICIPALITY OF TAPAZ REQUEST FOR QUOTATION The Municipality of Tapaz, through its Bids and Awards Committee (BAC) will undertake Negotiated Procurement for the Procurement of Four (4) units Motorcycle, Tapaz,</t>
  </si>
  <si>
    <t xml:space="preserve"> NOTE:	1	THE APPROVED BUDGET FOR THE CONTRACT IS 			P	188,100.00 	2	ALL ENTRIES MUST BE TYPEWRITTEN				 	3	DELIVERY PERIOD WITHIN ________________ CALENDAR DAYS				 	4	WARRANTY SHALL BE FOR A PERIOD OF THREE (3) MONTHS FOR EXPENDABLE 				 		SUPPLIES, ONE (</t>
  </si>
  <si>
    <t xml:space="preserve"> SEE ATTACHED SPECS</t>
  </si>
  <si>
    <t xml:space="preserve"> 6 rolls  Speaker Wire # 16 6 kls.  Nylon #300 50 mtrs  Nylon Rope #10 5 rolls Electrical Tape</t>
  </si>
  <si>
    <t xml:space="preserve"> Epoetin Alfa (Recombinant Human Erythropoetin) 4000IU/0.4ml Prefilled Syringe Requirements for Drugs and Medicines: **Drugs with history of usage from VMMC (Requirements No. 1-5 only) ** **For Innovators (Requirements No. 1-4 only) ** 1. CPR 2. CGMP 3. LT</t>
  </si>
  <si>
    <t xml:space="preserve"> Stock No.	Item description					QTY	Unit 1	Alcohol 70% ethyl 3.78 liters					30	gals. 2	Disinfectant Concertrate 3.78 liters					5	gals. 3	Hand Sanitizers/Antibacterial Sanitizer 3.78 liters					10	gals. 4	Liquid Hand Soap 3.78 liters					10	gals. for PCC	</t>
  </si>
  <si>
    <t xml:space="preserve"> 375 bags Colored Rice Seeds (black or red), 40 kls/bag -harvested not later than February -not less tahn 85% germination -see attached RFQ Form for more details</t>
  </si>
  <si>
    <t xml:space="preserve"> SEE RFQ 2020-06-020</t>
  </si>
  <si>
    <t xml:space="preserve"> Republic of the Philippines PROVINCE OF NORTHERN SAMAR BIDS AND AWARDS COMMITTEE Catarman Invitation to Bid NS-06-24-20-04 Repair/Improvement of Portion of PSWDO Building &amp; Construction of 1 Unit 3-Chamber Septic Vault Brgy. Dalakit, Catarman, Northern Sa</t>
  </si>
  <si>
    <t xml:space="preserve"> 800 btls Bottled Water 500ml and 16 others L/I</t>
  </si>
  <si>
    <t xml:space="preserve"> Equipment for materials movement.</t>
  </si>
  <si>
    <t xml:space="preserve"> To Contract for the Supply of Materials, Labor, and Equipments for the Project: SUPPLY AND ISTALLATION OF FIRE DETECTION, ALARM AND SUPPRESSION FOR THREE (3) STOREY NEW MUNICIPAL HALL BLDG., I.D. No. KIA-SAR-20-001, AMOUNTING TO SIX HUNDRED FORTY FIVE THO</t>
  </si>
  <si>
    <t xml:space="preserve"> see attached</t>
  </si>
  <si>
    <t xml:space="preserve"> Please see attached.</t>
  </si>
  <si>
    <t xml:space="preserve"> Repair and Maintenance of RBC chamber of Hematology Analyzer -see attached RFQ Form</t>
  </si>
  <si>
    <t xml:space="preserve"> 1.    18      bots.      Hemorrhagic Septicemia 2.    95      ltrs.        Albendazole (de-wormer) 3.    400    vials       Anti-rabies 4.    10      boxes     Norfloxacine 20 grams 5.    5        boxes     Cotrimoxazole 6.    3        boxes     Amoxicill</t>
  </si>
  <si>
    <t xml:space="preserve"> Procurement of various Medical Supplies 2	PC	AIR PURIFIER 		(see attached specifications) 50	PC	HAND SANITIZER, GALLON 		Scented, Anti-Bacterial 50	PC	ALCOHOL 70%, GALLON 		Scented with Moisturizer 20	BOX	DISPOSABLE GLOVES, Medium 		100pcs/Box, Power Free</t>
  </si>
  <si>
    <t xml:space="preserve"> INVITATION TO BID Republic of the Philippines MUNICIPALITY OF KITCHARAO Province of Agusan del Norte BIDS AND AWARDS COMMITTEE INVITATION TO BID FOR MOTORPOOL CONSTRUCTION PHASE I 	The Municipal Government of Kitcharao now invites bids for Motorpool Const</t>
  </si>
  <si>
    <t xml:space="preserve"> SHOPPING The municipal government of Romblon through its Bids and Awards Committee (BAC) invites PhilGEPS registered suppliers for quotation for the Additional Requirements for the Improvement of Wet Market.</t>
  </si>
  <si>
    <t xml:space="preserve"> Item	QTY.	UNIT	PARTICULARS / DESCRIPTION AND SPECIFICATIONS		APPROVED	BRAND NAME	UNIT PRICE NO.					UNIT COST		 1	1	Unit	Fused Cut-out and Arrester Combination, 15 KV, Class 200		 6,500.00 		 2	1	Unit	Transformer, Pole Type, Conventional, Amorphous, 15 KV</t>
  </si>
  <si>
    <t xml:space="preserve"> 7.50mX6.00m</t>
  </si>
  <si>
    <t xml:space="preserve"> Republic of the Philippines Province of Capiz MUNICIPALITY OF TAPAZ REQUEST FOR QUOTATION The Municipality of Tapaz, through its Bids and Awards Committee (BAC) will undertake Shopping for the Supply and Delivery of Materials for the Repair and Improvemen</t>
  </si>
  <si>
    <t xml:space="preserve"> Department of Agriculture BUREAU OF PLANT INDUSTRY  Baguio National Crop Research, Development and Production Support Center Division BPI-Compound , Guisad, Baguio City Tel. No. (074)445-9084-85 ____________________________________________________________</t>
  </si>
  <si>
    <t xml:space="preserve"> Basilan National High school  Isabela City Basilan Request for Price Quotation  _____________ _____________ Sir/Madam; Please quote your lowest price on the listed below. Item            Qty                              Description                        </t>
  </si>
  <si>
    <t xml:space="preserve"> SUPPLY AND DELIVERY OF VARIOUS IT EQUIPMENT'S FOR LGU OFFICES: 1. 4 UNITS LAPTOP COMPUTER X SERIES (Intel Core i7 1051OU, 14" FHD IPS 4G 512GB) 2. 4 UNITS LAPTOP COMPUTER X SERIES ( Intel Core i5 - 8265U, 14" Wide Screen, 15.6 HD, 4GB, 1TB mx230 2GDS) 3. </t>
  </si>
  <si>
    <t xml:space="preserve"> Veterinary Kits (Tackle Box, fiber glass syringe (10ml), fiber glass syringe (20ml), Hypodermic needle (Gauge #16, 19 and 21), bush hat, cotton, alcohol, iodine, scalpel holder and blade (#22), curved forceps, surgical scissors, animal marker, disposal sy</t>
  </si>
  <si>
    <t xml:space="preserve"> Please see attached Requisition and Issue Slip (RIS) for specifications Kindly submit your quotation on or before June 30, 2020, 8:00 to 5:00pm at Procurement Management Division, CCP Admin and Finance Building, CCP Complex, Roxas Boulevard, Pasay City</t>
  </si>
  <si>
    <t xml:space="preserve"> Catering Services and Accommodation (40 pax) (3 Days) 6 Snacks and 7 Meals Start: AM Snacks End: PM Snacks Location: Brgy. Malitubog, Bao, &amp; Polayagan of Alamada &amp; Brgy. Malagap of Banisilan, Cotabato</t>
  </si>
  <si>
    <t xml:space="preserve"> Please quote your lowest price on the item/s listed below: SUBSCRIPTION OF VIDEO CONFERENCING/MEETING SOLUTION  FOR TWELVE (12) MONTHS Specifications: A. Fifteen (15) licenses for Three Hundred (300) participants allowed - Host and co-host, participant ro</t>
  </si>
  <si>
    <t xml:space="preserve"> REPUBLIC OF THE PHILIPPINES																																	 	PROVINCE OF ZAMBOANGA DEL NORTE																																	 	MUNICIPALITY OF PRES. MANUEL A. ROXAS																																	 	BIDS AND AWARDS COMMITTEE																														</t>
  </si>
  <si>
    <t xml:space="preserve"> INVITATION TO BID FOR  PROCUREMENT OF RESCUE VEHICLES 1.	The [Local Government Unit of Pasacao], through the [LDRRM Fund CY 2020]  ntends to apply the sum of [Two Million Five Hundred Thousand Pesos (2,500,000.00)] being the Approved Budget for the Contra</t>
  </si>
  <si>
    <t xml:space="preserve"> [BLGU- BURABOD, SAN ANTONIO, N. SAMAR] Invitation to Bid for- Repair/ Rehab. Of Day Care Center &amp; Grouted Riprap Wall Patching 1.	The [ BLGU- BURABOD, SAN ANTONIO], through the [ GENERAL FUND]  intends to apply the sum of [ FOUR HUNDRED FIFTY THOUSAND   P</t>
  </si>
  <si>
    <t xml:space="preserve"> INVITATION TO BID LGU-El Salvador City, Misamis Oriental through its BAC, invites interested bidders to apply for eligibility and if found eligible to bid for the contract: 1.	Contract ID No.	:	ITB No. 2020-06-054/Project ID No. 19-061-SB#2-ENGG Name of P</t>
  </si>
  <si>
    <t xml:space="preserve"> See associated components for complete details</t>
  </si>
  <si>
    <t xml:space="preserve"> Republic of the Philippines CITY OF MARIKINA SF-GOOD-05 Revised on: July 28, 2004				 													Mkna-GSO-20-281	 	BIDS AND AWARDS COMMITTEE		 NOTICE OF PROPOSED PROCUREMENT The City Government of Marikina, through its Bids and Awards Committee (BAC), w</t>
  </si>
  <si>
    <t xml:space="preserve"> Republic of the Philippines                                              Appendix 5					 DEPARTMENT OF EDUCATION					 Region IV - MIMAROPA					 PAG-ASA CENTRAL SCHOOL					 SAN JOSE WEST DISTRICT					 					  QUOTATION FORM					 			PR. NO.		 Package:					 S</t>
  </si>
  <si>
    <t xml:space="preserve"> 1	260	bags	Portland Cement 2	32	cu.m.	Screened Gravel 3	16	cu.m.	Washed Sand 4	222	pcs	10mmΦx 6m RSB 5	10	kls.	#16 Tie Wire 6	30	pcs.	2"x4"x10' Cocolumber 7	10	pcs.	2"x3"x10' Cocolumber 8	3	kls.	4" CW Nails</t>
  </si>
  <si>
    <t xml:space="preserve"> 3 Tonner Airconditioner (with installation)</t>
  </si>
  <si>
    <t xml:space="preserve"> QTY  UNIT   DESCRIPTION 3 box Chromic 2.0 46mm 3 box Chromic 3.0 46mm 1 box Terumo Needle g25 2 gal. Surfanios 2 box Cord clamp 5 box Oxytocin 10 I.U 4 pcs. foley Bag Catheter fr. 16 2 gal Lysol Solution 3 gal. Betadine 7.5% antiseptic 2 gal. Betadine 10%</t>
  </si>
  <si>
    <t xml:space="preserve"> Republic of the Philippines Province of Pangasinan Municipality of Bolinao Tel. No. (075) 632-4346 Invitation to Bid 1.	The Local Government Unit of Bolinao Pangasinan intends to apply the sum of One Million Seven Hundred Eighty Eight Thousand Seventy Eig</t>
  </si>
  <si>
    <t xml:space="preserve"> Republic of the Philippines Province of Capiz MUNICIPALITY OF TAPAZ REQUEST FOR QUOTATION The Municipality of Tapaz, through its Bids and Awards Committee (BAC) will undertake Shopping for the Supply and Delivery of Office Supplies, M.O., Tapaz, Capiz in </t>
  </si>
  <si>
    <t xml:space="preserve"> 50 box x Php 1,200.00 - 3 ply Surgical Mask							60,000.00	 20 gallons x Php 1,000.00 - 70% Ethyl Alcohol							20,000.00	 10 gallons x Php 450.00 - Bleach							                        4,500.00	 180 box x Php 360.00 - Potencee Ascorbic Acid 1000 mg Fort</t>
  </si>
  <si>
    <t xml:space="preserve"> SUPPLY OF 24 PCS. MEGAPHONE UNDER PR NO. SSD-0610-010 AND ITB NO. 2006-030-12 Please quote your lowest price on the item/s listed below, subject to the Terms and Conditions set forth hereunder, stating among others the shortest time of delivery and submit</t>
  </si>
  <si>
    <t xml:space="preserve"> I. REMOVAL OF EXISTING STRUCTURE 1 LOT II. EXCAVATION WORKS 3.84 CU.M. III. CONCRETE WORKS (FOOTING, COLUMN, LENTIL BEAM &amp; BEAM) 4.64 CU.M. IV. MASONRY WORKS: (ADDITIONAL FILING OF CHB) 22.80 SQ.M. V. FABRICATION OF STEEL GATE 1 LOT VI. PAINTING WORKS (IN</t>
  </si>
  <si>
    <t xml:space="preserve"> ACTIVITIES	SCHEDULE 1.	Issuance of Bid Documents	June 29, 2020 2.	Pre-Bid conference	 3.	Opening of Bids	July 3, 2020, 10:00 A.M. 4.	Bid Evaluation	July 3, 2020 5.	Post-qualification	July 6, 2020 6.	Notice of Award	July 9, 2020</t>
  </si>
  <si>
    <t xml:space="preserve"> INVITATION TO BID FOR THE SUPPLY AND DELIVERY OF MATERIALS AND EQUIPMENT TO BE USED FOR THE TKDL-AYTA PROJECT PB-2020-184-008 1. The Pampanga State Agricultural University, through Fund 184, intends to apply the sum of P140,171.40 being the Approved Budge</t>
  </si>
  <si>
    <t xml:space="preserve"> 4	Unit	5 KVA Uninterruptible Power Supple (UPS), ABC 65,000.00/unit RFQ#06-0671R</t>
  </si>
  <si>
    <t xml:space="preserve"> REQUEST FOR QUOTATION RFQ No. 2020-0263 The CITY GOVERNMENT OF CABANATUAN through its Bid and Awards Committee (BAC), will undertake Small Value Procurement for the SUPPLY AND DELIVERY OF RESCUE EQUIPMENT in accordance with Section 53.9 of the Revised Imp</t>
  </si>
  <si>
    <t xml:space="preserve"> PHIVIDEC INDUSTRIAL AUTHORITY	 MCT Complex, Tagoloan, Mis. Oriental	 Tel Nos: (08822) 740245, (088) 5670-315	 email add:  	procurement@piamo.gov.ph or pia.bacsec@gmail.com 	 Standard Form Number: SF-GOOD-60	 Revised on: May 24, 2004	Oct-16 Standard Form T</t>
  </si>
  <si>
    <t xml:space="preserve"> The Department of Agriculture invites interested suppliers to submit quotations/proposals for the hereunder requirement: NON-PS SUPPLIES: TO BE USED FOR THE BUDGET KITS THAT WILL BE SUBMITTED TO BOTH HOUSES OF REPRESENTATIVES AND SENATE FOR 2020 			 100	P</t>
  </si>
  <si>
    <t xml:space="preserve"> WORD, EXCEL, POWER POINT, PUBLISHER, ONE NOTE, OUTLOOK</t>
  </si>
  <si>
    <t xml:space="preserve"> Procurement ID/Contract I.D.: 20CN0066 Contract Name: Construction of Slope Protection along Madela – Dinadiawan Road Contract Location: K0410+100 – K0410+146, Aurora  Brief Description: Drainage and Slope Protection Structures Approved Budget for the Con</t>
  </si>
  <si>
    <t xml:space="preserve"> Republic of the Philippines Province of Leyte Municipality of Hilongos INVITATION TO RE-BID FOR THE PROCUREMENT OF ANTI-RABIES VACCINE 1.  The Local Government Unit of Hilongos, through GENERAL FUND-CURRENT APPROPRIATION intends to apply the sum TWO HUNDR</t>
  </si>
  <si>
    <t xml:space="preserve"> 7 Units Ambulance Vehicle Specification: Vehicle: Full sized van Condition: brandnew body Type: passenger van converter to ambulance engine: 3.0L5-speed Manual Transmission Fuel: diesel Color: white 3years LTO Registration airconditioning: Dual aircon war</t>
  </si>
  <si>
    <t xml:space="preserve"> Public Bidding Description of work to be done : Part A : Sub-base and Base Course Part B : Surface Courses</t>
  </si>
  <si>
    <t xml:space="preserve"> SHOPPING The municipal government of Romblon through its Bids and Awards Committee (BAC) invites PhilGEPS registered suppliers for quatation for the Rehab./Improvement of Solid Waste Management.</t>
  </si>
  <si>
    <t xml:space="preserve"> Procurement of PPEs for Frontliners</t>
  </si>
  <si>
    <t xml:space="preserve"> WIDTH=1.4m, THICKNESS=0.10m, WITH INSTALLATION OF 30m DRAINAGE</t>
  </si>
  <si>
    <t xml:space="preserve"> please download associated components</t>
  </si>
  <si>
    <t xml:space="preserve"> IMPROVEMENT OF METHARIZIUM LANORATORY BUILDING AT DA NCES ABULUG, CAGAYAN</t>
  </si>
  <si>
    <t xml:space="preserve"> 1	gal.	Alcohol	26	790.00	 20,540.00  2	pcs.	Safeguard	78	20.00	 1,560.00  3	pcs.	Cotton	26	40.00	 1,040.00  4	bot.	Toilet Cleaner	26	250.00	 6,500.00  5	pc	Hand Saanitizer	26	300.00	 7,800.00  6	bot	Lysol	26	250.00	 6,500.00  7	cont.	Chlorine Powder	1	500</t>
  </si>
  <si>
    <t xml:space="preserve"> Please see attached RFQ. You may also visit our website at www.jhmc.com.ph for more procurement opportunities. Thank you.</t>
  </si>
  <si>
    <t xml:space="preserve"> The Local Government Unit of Bula is inviting interested PhilGEPS accredited contractors/ suppliers to apply for eligibility and to submit complete bid for the SUPPLY AND DELIVERY OF MEDICAL EQUIPMENTS, MEDICAL SUPPLIES, LABORATORY SUPPLIES AND MEDICINES </t>
  </si>
  <si>
    <t xml:space="preserve"> Republic of the Philippines Province of Nueva Vizcaya BIDS AND AWARDS COMMITTEE (BAC-Goods) BAC OFFICE, Provincial Capitol, Bayombong, Nueva Vizcaya 	 3rd REQUEST FOR QUOTATION (RFQ)  For the Procurement Meals &amp; Snacks, etc (2nd Quarter) For the Provincia</t>
  </si>
  <si>
    <t xml:space="preserve"> MUNICIPAL GOVERNMENT OF MAMBAJAO					 Mambajao, Camiguin					 					 					 Standard Form Number: SF-GOOD-60			Project Reference No.:_________________		 Revised on: May 24, 2004			Name of Project:  Purchase of  goods for		 			provision of medical services		</t>
  </si>
  <si>
    <t xml:space="preserve"> 24 units Lateral Cabinet (4 Drawers) Features: - Anti-Tilt - Central Locking - Punched Holes for Folders - Plastic Divider - Movable Hanger - With Name Holder Color: Beige Dimension: L35.43" x W17.72" x H52.3"</t>
  </si>
  <si>
    <t xml:space="preserve"> Item No.	Description	Unit	Quantity 1	Filing Cabinet (Special) 4 Drawers	Pcs	2 	Specification:		 	Dimensions: 52”H x 18 ½” W x 28” D/22”D		 	Color: Gray		 	Finish: Enamel		 	Thickness: 0.6</t>
  </si>
  <si>
    <t xml:space="preserve"> PURPOSE: FOR DES USE. NEW PURCHASE REQUEST. FOR THE MONTH OF FEBRUARY TO APRIL 2020. (3) Fax your Price Quotation at Tel. Fax#: 426-30-45 / 927-64-26 local 2561 or Email at bacveterans@gmail.com. Please indicate the brand name and complete specifications.</t>
  </si>
  <si>
    <t xml:space="preserve"> 47 Smart load cards @ 300 4 TnT load cards @ 300 39 Globe load cards @ 300 138 Smart load cards @ 100 54 TnT load cards @ 100 72 Globe load cards 3 Tripod 1 PLDT Modem 4 Webcam (complete set and wide angle quality video capture) 2 Streamyard subscription </t>
  </si>
  <si>
    <t xml:space="preserve"> PLEASE SEE ATTACHED FILE FOR YOUR REFERENCE</t>
  </si>
  <si>
    <t xml:space="preserve"> For the supply of labor and materials: 1	lot	For the supply of labor and materials for the improvement of water system with elevated concrete water tank at NSPRDC, Tiaong, Quezon			 		1. Provision of project tarpaulin			 		2. Provision/construction of tem</t>
  </si>
  <si>
    <t xml:space="preserve"> 4 units External HDD Back-Up, 3TB</t>
  </si>
  <si>
    <t xml:space="preserve"> INVITATION TO BID Republic of the Philippines MUNICIPALITY OF KITCHARAO Province of Agusan del Norte BIDS AND AWARDS COMMITTEE INVITATION TO BID FOR JALIOBONG CLUSTER ACCESS ROAD CONCRETING PHASE I 	The Municipal Government of Kitcharao now invites bids f</t>
  </si>
  <si>
    <t xml:space="preserve"> 1	2	pcs	* CW-XS128VPH(Atandard Inverter 1.5 PH) 			*Recommended Floor Area (sg.m)      20-22 sqm 			*Coolingb Capacity                                     1.5 hp 			*EER (kj/hW)                                                11.05 			*Power supply        </t>
  </si>
  <si>
    <t xml:space="preserve"> Republic of the Philippines Province of Capiz MUNICIPALITY OF TAPAZ REQUEST FOR QUOTATION The Municipality of Tapaz, through its Bids and Awards Committee (BAC) will undertake Shopping for the Supply and Delivery of Materials for the  Re-painting of Tapaz</t>
  </si>
  <si>
    <t xml:space="preserve"> Item No.	Description	Unit	Quantity 1	Clutch Master Assy	Set	1 2	Clutch Lining Assy	Set	1 3	Gear Oil 1L	Pcs	10 4	Diesel Engine Oil 1L	Pcs	20 5	Brake Fluid Dot 3 1L	Pcs	10</t>
  </si>
  <si>
    <t xml:space="preserve"> 175mx 2mx.15m Concrete Pavement</t>
  </si>
  <si>
    <t xml:space="preserve"> 500	Piece	Bacterial Filter, ABC 200.00/pc RFQ#06-0667</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</si>
  <si>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</si>
  <si>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Heightening of School Fence</t>
  </si>
  <si>
    <t xml:space="preserve"> Staking &amp; Formworks  Earth Works Concrete Works Steel Works</t>
  </si>
  <si>
    <t xml:space="preserve"> Purchase of Materials for the Improvement of Loon Waterworks System at Canhangdon Oriental, Loon</t>
  </si>
  <si>
    <t xml:space="preserve"> please see attached document</t>
  </si>
  <si>
    <t xml:space="preserve"> SHOPPING The municipal government of Romblon through its Bids and Awards Committee (BAC) invites PhilGEPS registered suppliers to apply for quatation for the Materials for LGU Service Vehicle (Green and White Truck, Backhoe and Ambulance).</t>
  </si>
  <si>
    <t xml:space="preserve"> Procurement of office supplies for the Treasurer's office</t>
  </si>
  <si>
    <t xml:space="preserve"> PROJECT:  Repair/Rehabilitation of Handwashing Facility 								 SCHOOL  : C.P. STA TERESA ELEMENTARY SCHOOL								 LOCATION : MLQ St, Bagumabayan, Taguig City								 OWNER      : DEPARTMENT OF EDUCATION								 SUBJECT    :  DETAILED ESTIMATE								 A</t>
  </si>
  <si>
    <t xml:space="preserve"> No.	"ITEM DESCRIPTION  (ITEM NAME &amp; TECHNICAL SPECIFICATIONS)"	QTY.	UNIT	UNIT COST	APPROVED BUDGET OF CONTRACT (ABC)	 						 	Facilitator, Documentor and Writer for	1	lot	₱100,000.00	 Php100,000.00 	 	the multi-stakeholder processes to fine-				    	 	tun</t>
  </si>
  <si>
    <t xml:space="preserve"> Procurement of Desktop Computer</t>
  </si>
  <si>
    <t xml:space="preserve"> Request for Quotation for the Procurement of Plastic storage box for the Registrar's office in SPAMAST Digos Campus (Storage of Student Documents) Storage Box with cover Dimension: Length: at least 70 cm Width: at least  40 cm Height: at least 55 cm Color</t>
  </si>
  <si>
    <t xml:space="preserve"> 275sqm.x.15m Concrete Pavement</t>
  </si>
  <si>
    <t xml:space="preserve"> Item	Quan- tity	Unit	 No.			 			Diving Gears (Lot) 			 	3	Pcs	200 Bar, First Stage, EN250-2014 Compliant, Airflow at 2900 SI/200 BAR (1/mSCFM): 3000/106, 1 High Pressure Port Submarine Pressure Gauge and 4 Low Pressure Ports, Brass Contraction, Chrome Pla</t>
  </si>
  <si>
    <t xml:space="preserve"> 25 cartoons Noodles - beef and chicken 25 box 3 in 1 Coffee</t>
  </si>
  <si>
    <t xml:space="preserve"> 1	pc.	Epson Printer , L3110	 1	pc.	External CD reader	 3	pc.	Numeric keypad	 1	pc.	Cord</t>
  </si>
  <si>
    <t xml:space="preserve"> 556 packs Battery, Dry Cell, AAA (2pcs. per blister pack)</t>
  </si>
  <si>
    <t xml:space="preserve"> I. REMOVAL OF DELAPIDATED MATERIALS (ROOF, CEILING, TILES &amp; WATER CLOSET) 1 LOT II. ROOFING WORKS (REPLACEMENT DAMAGE PORTION ONLY) 4.08 CU.M. III. CEILING WORKS REPAIR 6.95 SQ.M. IV. TILE WORKS 40.07 SQ.M. V. C.R. FIXTURES 1 LOT VI. PARTATION WALL ( DOUB</t>
  </si>
  <si>
    <t xml:space="preserve"> Installation and assemble of 19 sets of split solar street lights in Barangays Amuyong and San Miguel, Mabitac, Laguna.</t>
  </si>
  <si>
    <t xml:space="preserve"> 5,000	Liter	Fuel, Diesel 		 		 		 		Price validity shall be for a period of 90 calendar days upon date of  		quotation. After such, the purchase orders issued to the winning bidder  		shall be deemed terminated. Provided, however that a one month grace  	</t>
  </si>
  <si>
    <t xml:space="preserve"> PURPOSE: FOR DES USE. NEW PURCHASE REQUEST. FOR THE MONTH OF FEBRUARY TO APRIL 2020. (4) Fax your Price Quotation at Tel. Fax#: 426-30-45 / 927-64-26 local 2561 or Email at bacveterans@gmail.com. Please indicate the brand name and complete specifications.</t>
  </si>
  <si>
    <t xml:space="preserve"> The BIWAD BAC invites suppliers for the following 1.  100 pieces brass Gate Valve 1/2" 2.  50 pieces brass Gate Valve 1" 3.  360 pieces brass Ball Valve 1/2" 4.  100 pieces brass Ball Valve 1" 5.  150 pieces brass Water Meter 1/2" 6.  40 pieces GI Elbow 1</t>
  </si>
  <si>
    <t xml:space="preserve"> SHOPPING The municipal government of Romblon through its Bids and Awards Committee (BAC) invites PhilGEPS registered suppliers to apply for quatation for the Fuel, Oil and Lubricants.</t>
  </si>
  <si>
    <t xml:space="preserve"> Invitation to Bid No. 2020-01 Republic of the Philippines Batangas City Invitation to Bid for the Purchase of Office Equipment for the use of Barangay Gulod Itaas, Batangas City. The Barangay Government through the Office of the Brgy. Chairman intends to </t>
  </si>
  <si>
    <t xml:space="preserve"> Republic of the Philippines Province of Nueva Vizcaya BIDS AND AWARDS COMMITTEE (BAC-Goods) BAC OFFICE, Provincial Capitol, Bayombong, Nueva Vizcaya 	 3rd REQUEST FOR QUOTATION (RFQ)  For the Procurement 1 unit Desktop Computer For the Provincial General </t>
  </si>
  <si>
    <t xml:space="preserve"> Garden Soil	6	cubic	 Rubber Pots (Medium)	10	pcs	 Landscapping stones	3	cubic	 Stick Broom	28	pcs	 Soft Broom	45	pcs	 Rubbing Alcohol 70% Isoprophyl 500ml	70	bot	 Toilet Tissue	500	rolls	 Hand Liquid Soap 230 ml	80	bot	 Fabric Contioner Sachet	600	pcs	 Po</t>
  </si>
  <si>
    <t xml:space="preserve"> 2 unit - Emergency Light (Early Warning Device)</t>
  </si>
  <si>
    <t xml:space="preserve"> 1100	Bottle	Antibacterial Liquid Hand soap 750ml -1L, ABC 120.00/bot RFQ#06-0668</t>
  </si>
  <si>
    <t xml:space="preserve"> Republic of the Philippines PROVINCE OF ZAMBOANGA DEL NORTE Municipality of Sibutad BIDS AND AWARDS COMMITTEE 					                                                                                                                    June 24, 2020 INVITATION</t>
  </si>
  <si>
    <t xml:space="preserve"> TECHNICAL SPECIFICATIONS - 15 tanks - R410A Refrigerant - 11.3 kilograms per tank SCHEDULE OF REQUIREMENTS - Fifteen (15) working days upon receipt of Notice to Proceed (NTP) Deadline: June 30, 2020 1:00 PM at the Administrative Service – Procurement Mana</t>
  </si>
  <si>
    <t xml:space="preserve"> Republic of the Philippines PROVINCE OF NORTHERN SAMAR BIDS AND AWARDS COMMITTEE Catarman Invitation to Bid NS-06-20-20-05-R3 Construction of River Landing Brgy. Matelarag, Las Navas Northern Samar 1.	The Provincial Government of Northern Samar, through S</t>
  </si>
  <si>
    <t xml:space="preserve"> 1 unit router 168 meters cable wire Monthly Internet Bills</t>
  </si>
  <si>
    <t xml:space="preserve"> The Bids and Awards Committee (BAC) of the Department of Public Works and Highways (DPWH), Ilocos Sur 1st District Engineering Office, Bantay, Ilocos Sur will conduct SMALL VALUE PROCUREMENT in accordance with Section 53.9 of the Revised Implementing Rule</t>
  </si>
  <si>
    <t xml:space="preserve"> Reference No. PR # 20-06-0765 PRICE QUOTATION FORM (BID FORM) Sealed Bids shall be dropped in the BIDDERS BOX on or before 2:00 P.M.  June 29, 2020    placed at the office of the Chairman of the College BAC. Thereafter, the Bidder's Box shall be sealed un</t>
  </si>
  <si>
    <t xml:space="preserve"> Republic of the Philippines                                                        Province of Batangas                                                   Nasugbu, Batangas                                                                                    </t>
  </si>
  <si>
    <t xml:space="preserve"> 3 pcs YC6M Fan Belt 3 pcs V13 x 1070 Fan Belt 1 pc Profeller Assy, Japan 1 job Brake Shoe Bonding 1 job Hydraulic Hose Fabrication (4mtrs)</t>
  </si>
  <si>
    <t xml:space="preserve"> Procurement ID/Contract I.D.: 20CN0069 Contract Name: Construction of Slope Protection Along Baler – Casiguran Road (Baler – Dinadiawan Section) Contract Location: (K0259+735 – K0259+775), Casiguran, Aurora Brief Description: Drainage and Slope Protection</t>
  </si>
  <si>
    <t xml:space="preserve"> Notice of Negotiated Procurement PURCHASE OF MATERIALS FOR THE REHABILITATION OF WATER SYSTEM (Municipality of Bingawan, Iloilo) Date: June 24, 2020 ________________________________________ The LOCAL GOVERNMENT UNIT OF BINGAWAN, through its Bids and Award</t>
  </si>
  <si>
    <t xml:space="preserve"> Supply and delivery of Fan Belt for the repair of Misting Machine as requested by Batangas City IMT-Sanitation Section</t>
  </si>
  <si>
    <t xml:space="preserve"> Supply and Delivery of Office Supplies of SDSSU Tagbina Campus Lot A- @ P 37,138.00         Lot G- @ P 9,750.00 Lot B- @ P 20,000.00         Lot H- @ P    740.00 Lot C- @ P 35,910.00         Lot I - @ P 10,000.00 Lot D- @ P 10,620.00         Lot J-  @ P  </t>
  </si>
  <si>
    <t xml:space="preserve"> One (1) Year Contract for the Supply and Delivery, Installation and Maintenance of Printer-on-Loan with Continuous Ink Supply (Black and Colored)	39 Unit 	 	 Bidders must submit the following requirements:	           1. DTI/SEC Registration Certificate	  </t>
  </si>
  <si>
    <t xml:space="preserve"> 8 Pcs Ball Joint (Upper) 8 Pcs Ball Joint (Lower) 8 Pcs Rack End L/R 8 Pcs Shock Absorber (Front) 8 Pcs Shock Absorber (Rear) 8 Pcs Rotor Disc 8 Pcs Tire Rod End L/R 4 Sets Brake Pads 4 Sets Brake Shoe 4 Pcs Engine Belt 4 Pcs Timing Belt 8 Pcs Wheel Beari</t>
  </si>
  <si>
    <t xml:space="preserve"> Republic of the Philippines BOHOL ISLAND STATE UNIVERSITY Main Campus, Tagbilaran City INVITATION TO BID FOR SUPPLY AND DELIVERY OF ARM CHAIRS AND SALA SETS (PR NO. 2020-02-0376, 2020-02-0240, 2020-02-0371) 1.	The Bohol Island State University – Main Camp</t>
  </si>
  <si>
    <t xml:space="preserve"> The Local Government Unit of Santa Elena, Camarines Norte invites supplier to submit quotation for the supply and delivery of several construction materials to be used for the construction of Residual Containment Area (Module 3) in the amount of One Hundr</t>
  </si>
  <si>
    <t xml:space="preserve"> Day 1 - 4: 30 pack - Snack Day 5: 70 pack - Snack</t>
  </si>
  <si>
    <t xml:space="preserve"> Date:				Project Reference Number :20060470	 Quotation No.  ________				Name of Project: Meals for medical health program	 				Location  of the Project _____________	 	                                                                                       </t>
  </si>
  <si>
    <t xml:space="preserve"> One (1) Year Lease Contract for Office Space Building Building Specification: - AREA: At least 2500 sq/m - One (1) or Two(2) adjoining floors - Sufficient Water Supply and Washing Area - Sufficient Power Supply (for lighting power and ACU) with Stand-by G</t>
  </si>
  <si>
    <t xml:space="preserve"> 2 units Multi-Shredder Pulveriser Machine</t>
  </si>
  <si>
    <t xml:space="preserve"> 50sqm.x.15m Concrete pavement</t>
  </si>
  <si>
    <t xml:space="preserve"> Procurement ID/Contract I.D.: 20CN0070 Contract Name: Construction of Slope Protection Along Baler – Casiguran Road (Dinadiawan – Casiguran Section) Contract Location: K0292+910 – K0292+988, Aurora Brief Description: Drainage and Slope Protection Structur</t>
  </si>
  <si>
    <t xml:space="preserve"> Date: June 8, 2020  	  	 	 	 	 	  Quotation No.100-20-06-341                 REQUEST FOR QUOTATION    (For Immediate Purchase Pursuant to Section 52.1a of the Revised IRR, RA 9184)  Item No. 	Qty. 	Unit 	Description 	ABC 	Unit Price 	Total 	Remarks  (Date</t>
  </si>
  <si>
    <t xml:space="preserve"> One (1) Unit  Printer w/ Scanner</t>
  </si>
  <si>
    <t xml:space="preserve"> CONSTRUCTION MATERIALS AND SUPPLY.............................52, 367.00</t>
  </si>
  <si>
    <t xml:space="preserve"> 48x25 with fittings and wall</t>
  </si>
  <si>
    <t xml:space="preserve"> Procurement of One (1) Lot Meals &amp; Snacks (2days) Only</t>
  </si>
  <si>
    <t xml:space="preserve"> Department of Agriculture				 BUREAU OF PLANT INDUSTRY Baguio National Crop Research, Development and Production Support Center Division BPI Compound, Guisad, Baguio City    Tel. No.: (074) 445-9084-85, | Website: bpi.da.gov.ph REQUEST FOR QUOTATION SMALL</t>
  </si>
  <si>
    <t xml:space="preserve"> Concreting of 75mx3mx.15m</t>
  </si>
  <si>
    <t xml:space="preserve"> 8 pcs. - 2" dia. UPVC Pipe 4 pcs. - 2" dia. G-Bault</t>
  </si>
  <si>
    <t xml:space="preserve"> 1 set Power Spray Fittings 2 pcs Ferrule 210-04 30 pcs Battery Clamp 1 pc Magnetic Valve 5 pcs Tail Pipe</t>
  </si>
  <si>
    <t xml:space="preserve"> 1 unit service vehicle Vehicle specification: vehicle : Full sized van Condition : Brandnew Body type : commuter van engine : 3.0L 5-speed manual transmission fuel: diesel aircondioning : dual aircon color : white with : 3years LTO Registration warranty :</t>
  </si>
  <si>
    <t xml:space="preserve"> THE MCR WOULD LIKE TO PROCURE VARIOUS OFFICE SUPPLIES LIKE, FOLDER LONG , BROWN ENVELOPE LONG AND ETC. . . . . . . .</t>
  </si>
  <si>
    <t xml:space="preserve"> REQUEST FOR QUOTATION (RFQ) The MHO  through the Bids and Awards Committee (BAC) of the Municipality of Banaybanay, Davao Oriental hereby notifies and invites you to submit your quotation/bid for the hereunder proposed project/request, viz: LABORATORY SUP</t>
  </si>
  <si>
    <t xml:space="preserve"> ITEM DESCRIPTION				               UNIT     	QTY	      Approved Budget  											            for the Contract (ABC) 1.	Tire 255/70/R16						 unit 		  4	      P   48,000 2.	Tire 265/70/R16						 unit		  4	      P   48,800 3.	Tire 215/70/R16						 unit		 </t>
  </si>
  <si>
    <t xml:space="preserve"> Republic of the Philippines City of Dapitan BIDS AND AWARDS COMMITTEE 						June 23, 2020 NOTICE FOR NEGOTIATED - SMALL VALUE PROCUREMENT 	The City Government of Dapitan through the Bids and Awards Committee (BAC) would like to inform PhilGEPS registered </t>
  </si>
  <si>
    <t xml:space="preserve"> PURPOSE: FOR MAINTENANCE USE OF ELECTRICAL UNIT. (FOR THE MONTH OF JAN.-JUNE, 2020) Fax your Price Quotation at Tel. Fax#: 426-30-45 / 927-64-26 local 2561 or Email at bacveterans@gmail.com. Please indicate the brand name and complete specifications.</t>
  </si>
  <si>
    <t xml:space="preserve"> Concreting of 65mx3mx.15m</t>
  </si>
  <si>
    <t xml:space="preserve"> 1.	The Provincial Government of Batanes, through the Provincial Appropriations Ordinance No. 03 series of 2019 intends to apply the sum of Sixty-Five Thousand Pesos Only (₱ 65,000.00), being the Approved Budget for the Contract (ABC) to payments under the</t>
  </si>
  <si>
    <t xml:space="preserve"> 6 sets  Fixed Glass (6ft x 77", 6ft x 118", 6ft x 119", 57" x 119", (2) 57" x 117") 8 sets  Fixed Glass (58 1/2" x 78 1/4", 58 1/8" x 117 1/2", 58 1/2 x 117 1/2", 58" x 117 1/2", 59" x 117",                               (3) 58" x 117")</t>
  </si>
  <si>
    <t xml:space="preserve"> The Cagayan State University is pleased to invite you to quote your lowest price on the item/s listed below, stating the shortest time of delivery and submit your quotation duly signed by you, or by your authorized representative not later than 3days.</t>
  </si>
  <si>
    <t xml:space="preserve"> Procurement of Publication of the City Ordinance						 Purchase Requested by the City Vice Mayor's Office/Office of the City Secretary, Tabaco City						 						 To Interested Suppliers, Manufacturers and Distributors,						 						 Please quote your lowest</t>
  </si>
  <si>
    <t xml:space="preserve"> Please see attached RFQ. ABC: 113,700.00</t>
  </si>
  <si>
    <t xml:space="preserve"> Please see attached RFQ. ABC: 174,000.00</t>
  </si>
  <si>
    <t xml:space="preserve"> The Barangay Government of Dalayap, Allacapan Cagayan, through its Bids and Awards Committee (BAC) will invites interested entities to submit their bidding documents for the following details: Name of Project: Continuation of the Multi Purpose Building So</t>
  </si>
  <si>
    <t xml:space="preserve"> Lot 1 (MSWDO/KALAHI IT Equipment, Php115,000.00) a. 1 unit Desktop Computer (corei5,HDD 1TB, SA480GBSSD, Windows 10) b. 1 unit Printer (Compact Integrated Tank design, Wifi/Wifi Direct, Print, Scan, Copy, Fax with ADF) c. 1 unit LapTop Computer (corei5, 4</t>
  </si>
  <si>
    <t xml:space="preserve"> Supply &amp; delivery	 unit 	Battery 12 Volts 17 plate N120L	1 Unit 	Battery 12 Volts  13 plate N 70	2</t>
  </si>
  <si>
    <t xml:space="preserve"> Medical Supplies</t>
  </si>
  <si>
    <t xml:space="preserve"> THE ACCTG. OFFICE WOULD LIKE TO PROCURE 1 UNIT WATER DISPENSER. . . . . . . .</t>
  </si>
  <si>
    <t xml:space="preserve"> materials for other structure</t>
  </si>
  <si>
    <t xml:space="preserve"> Please see attached RFQ. ABC: 75,070.00</t>
  </si>
  <si>
    <t xml:space="preserve"> to purchase office equipment and accessories</t>
  </si>
  <si>
    <t xml:space="preserve"> One (1) Consultant on Law - Disputes Settlement.</t>
  </si>
  <si>
    <t xml:space="preserve"> Procurement of Table &amp; Chair one(1) pc per item</t>
  </si>
  <si>
    <t xml:space="preserve"> Network Attached Storage Includes: o14TB 7200RPM 256MB Hard Disk Drive (Quantity: 12) Minimum Specifications: •12-Bay •Intel Atom C3538 Quad Core 2.1GHz •16GB  DDR4-2400 ECC UDIMM RAM •2x USB 3.0 Port</t>
  </si>
  <si>
    <t xml:space="preserve"> 1 job Crankshaft Grinding 1 job Head Resurface 1 job Block Steering 2 job Build up Machining I-beam and Pin (2 sides) 1 job Pull-out &amp; Install I Beam Kit</t>
  </si>
  <si>
    <t xml:space="preserve"> Republic of the Philippines  Province of Cebu Municipality of Boljoon INVITATION TO BID FOR the Procurement of Materials for Municipal Building Maintenance 1.	The Municipality of Boljoon, through the Maintenance of Mun. Building 2020   in the amount of On</t>
  </si>
  <si>
    <t xml:space="preserve"> SHOPPING The municipal government of Romblon through its Bids and Awards Committee (BAC) invites PhilGEPS registered suppliers to apply for quatation for the Materials for Quick Response during the State of Calamity.</t>
  </si>
  <si>
    <t xml:space="preserve"> Concreting of 45mx3mx.15m</t>
  </si>
  <si>
    <t xml:space="preserve"> Republic of the Philippines Province of Capiz MUNICIPALITY OF TAPAZ REQUEST FOR QUOTATION The Municipality of Tapaz, through its Bids and Awards Committee (BAC) will undertake Shopping for the Procurement of Body painting of ambulance interior and exterio</t>
  </si>
  <si>
    <t xml:space="preserve"> 15 packs IREX Toner Cyan Unit Cost: P 1,313.00 Total Cost: P 19,695.00  15 packs IREX Toner Yellow Unit Cost: P 1,313.00 Total Cost: P 19,695.00  10 packs IREX Toner Magenta Unit Cost: P 1,313.00 Total Cost: P 13,130.00  10 packs IREX Toner Black Unit Cos</t>
  </si>
  <si>
    <t xml:space="preserve"> ITEM NO.	QTY.	UNIT	ITEMS &amp; DESCRIPTION	 				 1	2	pcs	Nipa Hut 	 			6x10 ft</t>
  </si>
  <si>
    <t xml:space="preserve"> Transportation and Communication Services</t>
  </si>
  <si>
    <t xml:space="preserve"> For General Services Office use.</t>
  </si>
  <si>
    <t xml:space="preserve"> 7 pages Payment of Publication of: Ordinance No.: 15-0018-2019: "An ordinance operationalizing the freedom of information law in Legazpi City". (Three time issue only)</t>
  </si>
  <si>
    <t xml:space="preserve"> 1 unit service vehicle (Patient Transport Vehicle) Vehicle specification: vehicle : Full sized van Condition : Brandnew Body type : commuter van engine : 3.0L 5-speed manual transmission fuel: diesel aircondioning : dual aircon color : white with : 3years</t>
  </si>
  <si>
    <t xml:space="preserve"> The said supplies is to be used on the opening of classes.</t>
  </si>
  <si>
    <t xml:space="preserve"> Table No. 1, 40-1/2" (L)  x 28 1/2" (w) x 36" (H) 3/16" thk. Acrylic Plastic with Pass-thru Window Table No. 2, 40-1/2" (L)  x 30 1/2" (w) x 36" (H) 3/16" thk. Acrylic Plastic with Pass-thru Window Table No. 3, 36" (L)  x 25 7/8" (w) x 36" (H) 3/16" thk. </t>
  </si>
  <si>
    <t xml:space="preserve"> 1	90 bags Cement 2	120 pcs 10mm RSB 3	12 pcs 9mm RSB 4	20 pcs 8mm RSB 5	825 pcs  CHB 6	7 kg  Tie  Wire 7	9 cu.m. Sand 8	5  cu.m. Gravel 9	5 kg.  Assorted CW Nail 10	6 pcs. 1 x 4 x 12 Form Lumber 11	10 pcs. 2 x 2 x 12 Form Lumber</t>
  </si>
  <si>
    <t xml:space="preserve"> Republic of the Philippines Province of Southern Leyte MUNICIPALITY OF LIMASAWA -o0o- Bids and Awards Committee Invitation to Bid for the Procurement  of Information Technology (IT) Equipment of the Municipality of Limasawa, Southern Leyte 1.	The Local Go</t>
  </si>
  <si>
    <t xml:space="preserve"> THE MAYOR'S OFFICE WOULD LIKE TO PROCURE COMPUTER INK. . . . . . . .</t>
  </si>
  <si>
    <t xml:space="preserve"> Supply and Delivery of IT Equipment Used for Online Learning of the Division Office</t>
  </si>
  <si>
    <t xml:space="preserve"> Commercial Rice – 80sacks Zonrox 500ml – 230botles Safe Guard 60g – 230boxes Alcohol 250ml – 230botles</t>
  </si>
  <si>
    <t xml:space="preserve"> REQUEST FOR QUOTATION (RFQ) The MHO  through the Bids and Awards Committee (BAC) of the Municipality of Banaybanay, Davao Oriental hereby notifies and invites you to submit your quotation/bid for the hereunder proposed project/request, viz: SUPPLY TO BE U</t>
  </si>
  <si>
    <t xml:space="preserve"> 1. One (1) Unit of Laptop Specifications: -Intel Core i5-8265U -8GB RAM -256GB SSDNVME -15.6" Screen -Windows 10 2. One (1) Unit of Laptop Specifications: -Intel Core i3-1005GI -8GB RAM -1 TB HDD -15.6" Screen -Windows 10 3. Two (2) Units of Printer 3 in </t>
  </si>
  <si>
    <t xml:space="preserve"> 1. breakfast with water/juice: Php 65/meal &gt; meat, vegetable &amp; rice 2. Lunch with water/juice: Php 65/meal &gt; meat, vegetable and rice 3. dinner with water/juice: Php 65/meal &gt; meat, vegetable with and rice</t>
  </si>
  <si>
    <t xml:space="preserve"> PGM-BAC reserves the right to reject any or all quotations to waive formality therein and to accept offers as may be considered advantageous to the government. The BAC Chairperson Boac, Marinduque</t>
  </si>
  <si>
    <t xml:space="preserve"> Item No.	Unit	Description	Qty 1	sack	Rice (25 kilos)	100 2	can	Canned Meat	50 3	can	Corned Beef	50 4	can	sardines (assorted)	200 5	pack	Noodles	200 6	pack	Coffee	100 7	pack	Creamer	100 8	pack	Sugar	100 9	bot	Bottled Water	150 10	pack	Loaf Bread	100 11	bot</t>
  </si>
  <si>
    <t xml:space="preserve"> 8 pcs interior 18.4x24</t>
  </si>
  <si>
    <t xml:space="preserve"> 1.	The Provincial Government of Batanes, through the Provincial Appropriations Ordinance No. 03 series of 2019 (20% Development Fund) intends to apply the sum of Seven Hundred Eighty-Four Thousand One Hundred Ninety Pesos Only (₱ 784,190.00), being the Ap</t>
  </si>
  <si>
    <t xml:space="preserve"> THE PASTRANA CENTRAL SCHOOL WOULD LIKE TO PROCURE 4 UNITS OF PORTABLE SPEAKER. . . . . . . . . .</t>
  </si>
  <si>
    <t xml:space="preserve"> RFQ No.2020-__  									     Date:    ______             _ REQUEST FOR QUOTATION Supply and Delivery of Video Camera for 2nd Qtr. 2020 for LGU Use The Municipal Government of Pinamalayan hereinafter referred to as “the Purchaser”, through its Bids and Aw</t>
  </si>
  <si>
    <t xml:space="preserve"> Item I.D.	Item Description				% of Total	Unit 	I. DIRECT COST					 	General Requirements				0.014	lot 						 1.00	Earthworks				0.022	sq.m 2.00	Concreting Works				0.069	cu.m 3.00	Rebar Works				0.047	kg 4.00	Formworks				0.018	sq.m 5.00	Masonry Works				</t>
  </si>
  <si>
    <t xml:space="preserve"> Tires, size 11.00 x 20 (with inner tube &amp; flap)          x-x-x-x-x-x-x-x-x-x-x-x-x-x-x-x</t>
  </si>
  <si>
    <t xml:space="preserve"> Gasoline and Diesel</t>
  </si>
  <si>
    <t xml:space="preserve"> Procurement ID/Contract I.D.: 20CN0072 Contract Name: Construction of Slope Protection along Nueva Ecija – Aurora Road Contract Location: K0171+150 – K0171+195.52, Aurora Brief Description: Drainage and Slope Protection Structures Approved Budget for the </t>
  </si>
  <si>
    <t xml:space="preserve"> Kindly refer to the uploaded RFQ &amp; TOR in the Associated Components, or proceed to https://philguarantee.gov.ph/procurements/requests-and-invitations/2020-2/ For inquiries, please contact Atty. Ronces Anne Reyes-De Leon at 8-897-3292. When emailing your q</t>
  </si>
  <si>
    <t xml:space="preserve"> Rental of one (1) unit ELF Truck (6 wheeler) Drop side, 1.5 tonner minimum capacity including supply the following: Driver, Fuel, Oil and Lubricants, Duration: 30 Calendar days rental at 8 hours/day UPON CALL</t>
  </si>
  <si>
    <t xml:space="preserve"> THE ACCTG. OFFICE WOULD LIKE TO PROCURE 2 UNITS STEEL CABINET 4 DRAWERS AND 2 UNITS STAND FAN. . . . . . . . . . . . .</t>
  </si>
  <si>
    <t xml:space="preserve"> Please see attached RFQ # 20-752-1 Submit your Sign and Sealed Quotation together with your UPDATED ELIGIBILITY Requirements For more details please call BUB/Planning (426-0593) Technical Requirements: 1. Valid Business Permit / Mayor's Permit 2. Valid Ph</t>
  </si>
  <si>
    <t xml:space="preserve"> Construction of 4.0m x 3.0m x 2.00m (clear dimension) reinforced concrete box culvert.</t>
  </si>
  <si>
    <t xml:space="preserve"> Engine Oil #40-turbo		12	gals. Coupling				1	pc. Oil Filter 4BC2			1	pc. Wheel Caps			10	pcs. Wheel Boots			4	pcs. Gear Oil #90			1	pail Socket Wrench			3	pcs. Hydraulic Jack 30tons HD	1	pc. Tire Wrench			1	pc. Booster Charger			1	set Air Filter 4HF1			1	</t>
  </si>
  <si>
    <t xml:space="preserve"> - see attached Public Bidding Documents (Part I)</t>
  </si>
  <si>
    <t xml:space="preserve"> THA BAC OFFICE WOULD LIKE TO PROCURE 1 BOTTLE TONER FOR ZEROX MACHINE. . . . . . . . .</t>
  </si>
  <si>
    <t xml:space="preserve"> Riprapping of 3 Layers of Slope Protection (24m Long) at Towerville 6C, Barangay Gaya-Gaya, City of San Jose del Monte, Bulacan</t>
  </si>
  <si>
    <t xml:space="preserve"> Construction of Pathway at Sitio Lipit and Drainage at Sitio Namnama</t>
  </si>
  <si>
    <t xml:space="preserve"> Please see attached Invitation to Bid</t>
  </si>
  <si>
    <t xml:space="preserve"> Spareparts and Oil Lubricants for Municipal Vehicles</t>
  </si>
  <si>
    <t xml:space="preserve"> Republic of the Philippines Province of Oriental Mindoro MUNICIPALITY OF NAUJAN BIDS AND AWARDS COMMITTEE INVITATION TO BID SUPPLY AND DELIVERY OF MATERIALS TO BE USED IN THE CONCRETING OF ROADS IN DIFFERENT BARANGAYS, NAUJAN, ORIENTAL MINDORO 1.	The Muni</t>
  </si>
  <si>
    <t xml:space="preserve"> Supply and Delivery of Classroom Chair of SDSSU Tagbina Campus Please see attached Request for Quotation (RFQ)</t>
  </si>
  <si>
    <t xml:space="preserve"> Construction of Barangay Health Center at Barangay Gaya-Gaya, City of San Jose del Monte, Bulacan</t>
  </si>
  <si>
    <t xml:space="preserve"> 2 units Laptop Specifications: Processor: 3rd Gen LCD: 14" HD Memory: 4GB DDR4 Hard Drive/Storage: 128GB Battery: 48Wh - Li-ion battery</t>
  </si>
  <si>
    <t xml:space="preserve"> VARIOUS SCHOOLS OF MALITA, DVO. OCCIDENTAL</t>
  </si>
  <si>
    <t xml:space="preserve"> THE BAC OFFICE WOULD LIKE TO PROCURE OFFICE SUPPLIES LIKE,  BALLPEN, PACKAGING TAPE, FOLDER LONG AND ETC. . . . . . . . . .</t>
  </si>
  <si>
    <t xml:space="preserve"> June 23, 2020 REQUEST FOR QUOTATION (RFQ) CORRECTIVE MAINTENANCE OF SERVICE VEHICLE 1.	The Batangas Medical Center hereinafter referred to as the “Purchaser” now request for submission of price proposal for the procurement of the aforesaid item described </t>
  </si>
  <si>
    <t xml:space="preserve"> GENERAL MERCHANDISE</t>
  </si>
  <si>
    <t xml:space="preserve"> see attached ITB</t>
  </si>
  <si>
    <t xml:space="preserve"> Procurement ID/Contract I.D.: 20CN0071 Contract Name: Construction of Slope Protection Along Baler – Casiguran Road (Dinadiawan – Casiguran Section) Contract Location: (K0302+490 – K0302+570), Casiguran, Aurora Brief Description: Drainage and Slope Protec</t>
  </si>
  <si>
    <t xml:space="preserve"> Stantard From Title:   Purchase Request					 			                               PURCHASE REQUEST			 LGU BUGALLON						 Agency / Procuring Entity						 						 	Department: 		SB Office		Date:	 						 	Section:				Date:	 						 STOCK 		UNIT	Description	QTY	UN</t>
  </si>
  <si>
    <t xml:space="preserve"> Materials for Rehabilitation of Multi-Purpose Hall</t>
  </si>
  <si>
    <t xml:space="preserve"> For Installation &amp; Upgrading of Information and Billing System on Cementery, Market an Slaughterhouse Operations.</t>
  </si>
  <si>
    <t xml:space="preserve"> Overhauling Gasket			1	set Piston Ring					1	set Main Bearing				1	set Conrod Bearing STD			1	set Conrod Bearing .75			1	set Trust Washer				1	set Camshaft Bearing			1	set Oil Filter					1	pc. Conrod Arm				1	pc. Engine Support				4	pcs. Half Moon					2	p</t>
  </si>
  <si>
    <t xml:space="preserve"> Purchase of electrical supplies</t>
  </si>
  <si>
    <t xml:space="preserve"> INVITATION TO RE-BID FOR Fuel, Oil and Lubricants Expenses  (Name of Project)    1.	The CITY GOVERNMENT OF ZAMBOANGA, through the General Fund intends to apply for re-bid the sum of TEN MILLION SEVEN HUNDRED EIGHT THOUSAND ONE HUNDRED FIFTY PESOS (P10,708</t>
  </si>
  <si>
    <t xml:space="preserve"> See attached Request for Quotation (RFQ)_dbc</t>
  </si>
  <si>
    <t xml:space="preserve"> Clutch Master Assembly		1	pc. Auxillary Fan 24V			1	pc. Bearing 608				4	pcs. Speed Cable				1	pc. Relay						1	pc. Sealed Beam 12V			2	pcs. Alternator Assembly			1	pc. Motor Oil #40 turbo			1	gal. Motor Oil #40 turbo			16	lits. Fan A-42					2	pcs. Flexib</t>
  </si>
  <si>
    <t xml:space="preserve"> SUPPLY AND DELIVERY OF DIGITAL COLOR COPIER Item     Description     Qty     Unit No. 1)     Digital Color Copier     1     unit         Copy Speed: at least 20 copies per minute         Copying Process:  Laser beam scanning and electro-photographic print</t>
  </si>
  <si>
    <t xml:space="preserve"> Please quote your best price 1 unit of Paper Shredder ABC 14,999.00 Superior Security. Shreds each sheet of A4 paper into over 2000 particles - ideal for highly confidential documents Shreds 10 sheets of paper (70gsm) at a time into 3 x 10mm micro-cut par</t>
  </si>
  <si>
    <t xml:space="preserve"> Procurement ID/Contract I.D.: 20CN0074 Contract Name: Construction of Slope Protection along Nueva Ecija – Aurora Road Contract Location: K0196+230 – K0196+277, Aurora Brief Description: Drainage and Slope Protection Structures Approved Budget for the Con</t>
  </si>
  <si>
    <t xml:space="preserve"> 1	16 cu.m. Base Course Gravel 2	378 bags Cement 3	50 cu.m. Gravel 4	26 cu.m. Sand 5	1 kl. 3” CWN 6	20 pcs. 2x6x10 Form Lumber 7	10 pcs.12mm RSB</t>
  </si>
  <si>
    <t xml:space="preserve"> Invitation to Bid for Improvement of Solar Dryer The Barangay Gabi, through the 20% Barangay Dev’t Fund intends to apply the sum of One Hundred Thirty-Two Thousand Four Hundred Twenty Five Pesos (P 132,425.00) being the Approved Budget for the Contract (A</t>
  </si>
  <si>
    <t xml:space="preserve"> Procurement ID/Contract I.D.: 20CN0124 Contract Name: Slope Protection along Nueva Ecija – Aurora Road Contract Location: K0176+200 – K0176+360 Brief Description: Drainage and Slope Protection Structures Approved Budget for the Contract (ABC): Php 99,000,</t>
  </si>
  <si>
    <t xml:space="preserve"> Please quote your best price 2 boxes of Thermal Paper ABC 12,000.00 Specifications: Paper width: 80mm Please email your quotation Please download canvass form</t>
  </si>
  <si>
    <t xml:space="preserve"> Procurement ID/Contract I.D.: 20CN0125 Contract Name: Slope Protection along Nueva Ecija – Aurora Road Contract Location: K0184+800 – K0184+880, K0184+980 – K0185+090 Brief Description: Drainage and Slope Protection Structures Approved Budget for the Cont</t>
  </si>
  <si>
    <t xml:space="preserve"> 1 LOT Procurement of Information and Communication Technology (ICT) Equipment of the Office of the Undersecretary for International Economic Relations (OUIER) ABC = PhP 966,200.00 For detail/s of item/s, kindly download and refer to the attached PURCHASE </t>
  </si>
  <si>
    <t xml:space="preserve"> Procurement of office Equipment/Furnitures</t>
  </si>
  <si>
    <t xml:space="preserve"> HIGH YIELDING VARIETY OF CANEPOINTS- PHIL 99-1793        4 LACSA</t>
  </si>
  <si>
    <t xml:space="preserve"> Procurement ID/Contract I.D.: 20CN0123 Contract Name: Construction of Slope Protection along Baler - Casiguran Road (Dinadiawan-Casiguran Section) Contract Location: K0297+060 – K0297+143, K0297+190 – K0297+300, Casigura, Aurora Brief Description: Drainag</t>
  </si>
  <si>
    <t xml:space="preserve"> Procurement ID/Contract I.D.: 20CN0075 Contract Name: Construction of Slope Protection along Nueva Ecija – Aurora Road Contract Location: K0204+325 – K0204+386, Aurora Brief Description: Drainage and Slope Protection Structures Approved Budget for the Con</t>
  </si>
  <si>
    <t xml:space="preserve"> set of lavatories consisting of 10 faucets</t>
  </si>
  <si>
    <t xml:space="preserve"> 1 Ton Capacity Stainless Steel Cage 240cm min length x 90cm min width Powered by TRU-TEST Weight Indicators &amp; Sensors with Calibration Certificate</t>
  </si>
  <si>
    <t xml:space="preserve"> PR#2020-06-1529 CLO-BAC 1.CLO-BAC - OFFICE SUPPLIES - P102,200.00 DEADLINE OF SUBMISSION IS NOT LATER THAN JUNE 29, 2020, 2:00PM. PLEASE SUBMIT YOUR QUOTATION FORM AT THE BAC OFFICE, GROUND FLOOR, PANABO CITY HALL, PANABO CITY.</t>
  </si>
  <si>
    <t xml:space="preserve"> Republic of the Philippines Province of Leyte Municipality of Kananga BIDS AND AWARDS COMMITTEE REQUEST FOR QUOTATION The Municipality of Kananga, through its Bids and Awards Committee, will undertake a Small Value for the Procurement of Various Materials</t>
  </si>
  <si>
    <t xml:space="preserve"> THE MUN BUDGET OFFICE WOULD LIKE TO PROCURE 2 UNITS LAPTOP. . . . . . .  SEE ATTACHED SPECIFICATION IN THE PURCHASE REQUEST. . . . . . . . . .</t>
  </si>
  <si>
    <t xml:space="preserve"> Municipality of Dagohoy                                              Name of Project:  Purchase of Fuels for LGU Vehicles and Equipment for the Month of July                                                                                       Location of</t>
  </si>
  <si>
    <t xml:space="preserve"> The Technical Education and Skills Development Authority (TESDA Region 10), through the Regional Operations Division, will undertake a Negotiated Procurement- Lease of Venue in accordance with Section 52.1.a of the 2016 RIRR of RA 9184. Please submit your</t>
  </si>
  <si>
    <t xml:space="preserve"> PURPOSE: FOR MAINTENANCE USE OF ELECTRICAL UNIT Fax your Price Quotation at Tel. Fax#: 426-30-45 / 927-64-26 local 2561 or Email at bacveterans@gmail.com. Please indicate the brand name and complete specifications.</t>
  </si>
  <si>
    <t xml:space="preserve"> Republic of the Philippines Province of Oriental Mindoro MUNICIPALITY OF NAUJAN BIDS AND AWARDS COMMITTEE INVITATION TO BID SUPPLY AND DELIVERY OF MATERIALS TO BE USED IN THE REPAIR AND MAINTENANCE OF MOTORPOOL AT NAUJAN AGRICULTURAL CENTER, ANDRES YLAGAN</t>
  </si>
  <si>
    <t xml:space="preserve"> 1  LOT Cable Network Subscription (Jul. 2020 to Dec. 2022); Multi-Year Budget: Php 793,822.50; Jul. 2020 to Dec. 2020 - Php 148,500.00; Jan. 2021 to Dec. 2021 - Php 300,150.00, Jan. 2022 to Dec. 2022 - Php 345,172.50  -In accordance with the Technical Spe</t>
  </si>
  <si>
    <t xml:space="preserve"> INSTALLATION OF 6 FAUCET</t>
  </si>
  <si>
    <t xml:space="preserve"> Republic of the Philippines Province of Leyte Municipality of Kananga BIDS AND AWARDS COMMITTEE REQUEST FOR QUOTATION The Municipality of Kananga, through its Bids and Awards Committee, will undertake a Small Value for the Procurement of T-shirts for the </t>
  </si>
  <si>
    <t xml:space="preserve"> 3/4? G.I. Ball Valve	15	pcs Taflone Tape 1/2	10	rolls 1/2? G.I. Ball Valve	10	pcs 1? X 3 G.I. Nipple	15	pcs 2? G.I. Elbow 90	15	pcs 2? G.I. Pipe Sch 40	15	pcs 1? G.I. PipeSch 40	14	pcs 2? G.I. Pipe T-Joint	10	pcs 2 G.I. Coupling	15	pcs Plaasson Elbow 1?	1</t>
  </si>
  <si>
    <t xml:space="preserve"> 4,500 Students 230 pages Php 0.50 per page All Subjects Week 1 from 24 to 28 August 2020 Week 2 from 31 August to 1-4 September 2020 Week 3 from 7 to 11 September 2020 Week 4 from 14 to 18 September 2020</t>
  </si>
  <si>
    <t xml:space="preserve"> for Crematorium Facility</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</si>
  <si>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</si>
  <si>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Item No.	Unit	DESCRIPTION				Qty 						 1	Unit	TypeWriter (Elite, 18Carriage)				1</t>
  </si>
  <si>
    <t xml:space="preserve"> Plaque de Merito	25	pcs Plaque of Appreciation	20	pcs Lei	34	pcs Military Merit Medal	30	pcs Bronze Cross Medal	25	pcs Silver Wing Medal	17	pcs Military Commendation Medal	20	pcs w-w-w-Nothing Follows-w-w-w</t>
  </si>
  <si>
    <t xml:space="preserve"> portland cement                   74.00 bags  P Size Gravel                       9.00 cu.m  Sand                                   5.00 cu.m  Aggregate Base Course        9.00 cu.m  Form Lumber 2x4x10            44 pc  Assorted Nails                     </t>
  </si>
  <si>
    <t xml:space="preserve"> INDUSTRIAL TECHNOLOGY DEVELOPMENT INSTITUTE DOST Cmpd., Bicutan, Taguig City Telephone Nos. (02) 837-20-71 to 82 local 2221 E-mail Add.: itdi.admbac@gmail.com INVITATION TO BID June 23, 2020 Sir/Madam: Please quote your price for the item/items listed bel</t>
  </si>
  <si>
    <t xml:space="preserve"> REQUEST FOR QUOTATION RFQ No. 2020-0232  The CITY GOVERNMENT OF CABANATUAN through its Bid and Awards Committee (BAC), will undertake Small Value Procurement for the SUPPLY AND DELIVERY OF CLERICAL TABLES, COMPUTER TABLES AND CABINET (CMPO) in accordance </t>
  </si>
  <si>
    <t xml:space="preserve"> BIDS AND AWARDS COMMITTEE (BAC) Email address: bacregion2@yahoo.com Telefax No.: (078) 304-0560 INVITATION TO BID ITB No.: 2020-06-23 The Department of Agriculture – Regional Field Office No. 02 (DA-RFO 02) through its Bids and Awards Committee (BAC) invi</t>
  </si>
  <si>
    <t xml:space="preserve"> 299-contnr-Diesel Fuel (32L/Container) 17-L-Brake Fluid 1-pail-Grease 2-barrel-Oil 10 1-barrel-Gear Oil 1-barrel-Oil 40 4-units-Tire w/ flup 100x20 (Dumptruck) 20-units-Tire w/ flup 8.25x20 (Dumptruck)</t>
  </si>
  <si>
    <t xml:space="preserve"> INVITATION TO BID (CW-06-2020-020) The Department of Public Works and Highways (DPWH)-Batangas IV District Engineering Office, Marawoy, Lipa City, Batangas, through its Bids and Awards Committee (BAC), invites contractors to bid for the contract listed be</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</si>
  <si>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</si>
  <si>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INVITATION TO APPLY FOR ELIGIBILITY AND TO BID-2020-06 The SANGGUNIANG KABATAAN OF BOLO, LABRADOR, PANGASINAN the Bids and Awards Committee (BAC) invites contractors registered with and classified by the Philippine Contractors Accreditation Board (PCAB) t</t>
  </si>
  <si>
    <t xml:space="preserve"> 1. 1020 Unit - Monthly Preventive Maintenance of CCTV Cameras (120units x 12months) 2. 4 unit - CCTV Outdoor PTZ Dome, 5MP, 30x LENs, 150M</t>
  </si>
  <si>
    <t xml:space="preserve"> Bidding will be conducted through open competitive bidding procedures as specified in the Implementing Rules and Regulation (IRR) of Republic Act No. 9184 (R.A. 9184), otherwise known as the Government Procurement Reform Act.</t>
  </si>
  <si>
    <t xml:space="preserve"> PURPOSE: FOR MAINTENANCE USE OF PAINTING UNIT. (FOR THE MONTH OF JAN.-JUNE, 2020) Fax your Price Quotation at Tel. Fax#: 426-30-45 / 927-64-26 local 2561 or Email at bacveterans@gmail.com. Please indicate the brand name and complete specifications.</t>
  </si>
  <si>
    <t xml:space="preserve"> Procurement of Aircondition unit</t>
  </si>
  <si>
    <t xml:space="preserve"> Location : Legazpi City, Albay Scope of Work : Painting Works of Existing Façade, Left and Right Elevations and Poles including Pedestals</t>
  </si>
  <si>
    <t xml:space="preserve"> Continuous Form Substance 20 80 boxes - 4ply Long with carbon (size 11x14 7/8) - Payroll 17 box - 3ply Short with carbon (11x9 1/2) - Abstract</t>
  </si>
  <si>
    <t xml:space="preserve"> PURPOSE: FOR MAINTENANCE USE OF PLUMBING UNIT. (FOR THE MONTH OF JAN.-JUNE, 2020) Fax your Price Quotation at Tel. Fax#: 426-30-45 / 927-64-26 local 2561 or Email at bacveterans@gmail.com. Please indicate the brand name and complete specifications.</t>
  </si>
  <si>
    <t xml:space="preserve"> 304th Contracting Office										 ARMED FORCES OF THE PHILIPPINES PROCUREMENT SERVICE										 Naval Station Leovigildo Gantioqui 										 San antonio, Zambales										 										 REQUEST FOR QUOTATION 										 										 24 June 2020						RFQ NO:</t>
  </si>
  <si>
    <t xml:space="preserve"> Purchase of Anti rabies Vaccine For Animal rabies control and prevention use Silay City. (Indicated for vaccination of Dogs, Cat, Horses,Sheep, cattle,ferrets), 10 dose/Vial.</t>
  </si>
  <si>
    <t xml:space="preserve"> 10    set   LAPTOP</t>
  </si>
  <si>
    <t xml:space="preserve"> Green Color with clip *design to be provided by the End-user</t>
  </si>
  <si>
    <t xml:space="preserve"> INVITATION TO BID APDC-ITB NO. 2020-06-002 Date: June 23, 2020 1.	The Alaminos City Water District through its Property Disposal Committee with office address at the Alaminos City Water District Multipurpose Warehouse and Training Center, Brgy. Pogo Alami</t>
  </si>
  <si>
    <t xml:space="preserve"> Item No. Qty. units Description Brand Amount /Unit 1  120  ROLL/S COPPER WIRE</t>
  </si>
  <si>
    <t xml:space="preserve"> Connecting rod assy	2	sets Piston (40 HP)	3	ea Epoxy Primer Gray	5	gals Epoxy Enamel Gray	5	gals Up - Down Relay (40 HP)	2	ea Epoxy Reducer	4	gals Motor Starter (40HP)	2	ea w-w-w-w-Nothing Following-w-w-w-w-w</t>
  </si>
  <si>
    <t xml:space="preserve"> 40 pcs Youth Shirt with Print 40 pcs PWD Shirt with Print 36 pcs Senior Citizen Shirt with Print 35 pcs Women Shirt with Print 35 pcs SK Chairman Shirt with Print</t>
  </si>
  <si>
    <t xml:space="preserve"> You can submit your accomplished RFQ form  @ BAC Office, Bogo City Hall, Cayang, Bogo City, Cebu  or email us @ bogobacoffice2019@gmail.com / 	      bogocpdo@gmail.com Not later than the closing date.</t>
  </si>
  <si>
    <t xml:space="preserve"> Evacuated Blood Collection Tube, 5ml Capacity, 1.8ml to 2.0ml, Blood Draw, Size 13MMx75MM, Blue Stopper, w/ 3.2% Citrate (and/or 0.109M) Plastic, 100’s For use DOP Email your quotation at bacveterans@gmail.com For inquiries pls. call at 426-3045 or 927-64</t>
  </si>
  <si>
    <t xml:space="preserve"> WHEELBARROW                                                    20 PCS AUTO FEEDER LENGTH 1 METER                      20 PCS WATERER (1 GALLON)                                         20 PCS INCANDESCENT LIGHT BULB- 100 WATTS     20 PCS EXTENSION CORD (10</t>
  </si>
  <si>
    <t xml:space="preserve"> UNIT	  DESCRIPTION		QUANTITY 105	Subgrade Preparation		 	A = 230m x 5.2m		 	Qty.= 1196 sq.m		 I- Equipment Rental:			 	1 Road Grader for 4 hours		 	1 Road Roller  for 4 hours		 			 II- Labor:			 	1 Foreman  for 0.5 day(s)		 	2 Laborers  for 0.5 day(s)		 	</t>
  </si>
  <si>
    <t xml:space="preserve"> PURPOSE: FOR MAINTENANCE USE OF PLUMBING UNI. (FOR THE MONTH OF JAN.-JUNE, 2020) Fax your Price Quotation at Tel. Fax#: 426-30-45 / 927-64-26 local 2561 or Email at bacveterans@gmail.com. Please indicate the brand name and complete specifications.</t>
  </si>
  <si>
    <t xml:space="preserve"> To provide labor,materials and tools for the drilling and installation of submersible pump of DA-NCES, Maguire, Lucban, Abulug, Cagayan</t>
  </si>
  <si>
    <t xml:space="preserve"> Engine: Model - YC6J220-46 Rate Power (KW/rmp)- 162/2500 Maximum Torque (Nm/rmp) - 760/1400-1700 6 - Cylinder in line, 6,494 liter Clutch: 395A diaphragm spring clutch, single plate Gearbox: HW90510C 10 Speed Manual control Braking System: Type: Airbrake </t>
  </si>
  <si>
    <t xml:space="preserve"> For the use of Mayor's Office. 1 unit Infrared Thermal Imager * 2.8 TFT screen * infrared resolution: 160x120 * frame frequency: 9Hz * range of temperature measurement: 30°C~45°C * accuracy: ±0.5°C (1m) * photographed function &amp; SD card storage * PC softw</t>
  </si>
  <si>
    <t xml:space="preserve"> 4-m3-Excavation 3.5-m3-Column &amp; Column Footing 3.3-m3-Wall Footing &amp; walling 10.80-m2-Flooring 128.48-m2-Roof Framing Installation &amp; Repair 128.48-m2-Ceiling Installation Garage 1 Repair (160.50 Sq. m) 20-m3-excavation 6.59-m3-Pedestal Column &amp; Column Foo</t>
  </si>
  <si>
    <t xml:space="preserve"> Various Electrical Materials to be use at Plaza Fountain</t>
  </si>
  <si>
    <t xml:space="preserve"> Name of Contract: Additional Backfilling and Construction of Retaining Wall (Ripraps) of Slaughterhouse Premises, Sitio Asiotes, Barangay Polo IAC Classification: Small "B" for Buildings PCAB Category "D" Duration: 210 Calendar Days Approved Budget for th</t>
  </si>
  <si>
    <t xml:space="preserve"> 12 units Printer, 3 in 1, Ink Jet</t>
  </si>
  <si>
    <t xml:space="preserve"> Republic of the Philippines BIDS AND AWARDS COMMITTEE Province of Iloilo Invitation to Bid Purchase of  I.V. FLUIDS Bid No. RTH-20-0216-B 1. The Iloilo Provincial Government, through the  GENERAL FUND  2020 intends to apply the sum of EIGHT HUNDRED SIXTY </t>
  </si>
  <si>
    <t xml:space="preserve"> 105 - Subgrade Preparation 200 - Agg. Sub-Base Course. 100mm thk. 311 - PCC Pavement (200 mm thick)</t>
  </si>
  <si>
    <t xml:space="preserve"> INVITATION TO BID The Municipality of Pandi, through its Bids and Awards Committee (BAC) invites all eligible suppliers, distributors, and manufacturers to bid on the following project: BP Number Project Title/Location/Contract Duration Amount Source of F</t>
  </si>
  <si>
    <t xml:space="preserve"> SUPPLY AND DELIVERY OF SCHOOL EQUIPMENT FOR USE IN IMPLEMENTATION OF NEW LEARNING AND TEACHING METHODS UNDER NEW NORMAL CONDITION (DUE TO COVID-19 PANDEMIC) IN ALL PUBLIC ELEMENTARY AND HIGH SCHOOL IN MAUBAN. 1.      The Local Government Unit of Mauban th</t>
  </si>
  <si>
    <t xml:space="preserve"> Personal Protective Equipment ( PPE )  Safety Helmet/Hard Hat 5 pcs Mask or Respiratory Protective Equipment ( RPE ) 5 pcs Heavy Duty Gloves 5 pcs Tactical Pants 16 pcs Sublimation Uniform 16 pcs</t>
  </si>
  <si>
    <t xml:space="preserve"> NO.	  ITEM					                             QUANTITY	UNIT 							 							 1	Fine Aggregates (S3)					                  54.00 	cu.m. 2	Fine Aggregates (White Sand)					  58.00 	 cu.m.  3	Coarse Aggregates (3/8 gravel)					 198.00 	 cu.m.</t>
  </si>
  <si>
    <t xml:space="preserve"> Please see description at POW &amp; PLANS for this package projects.</t>
  </si>
  <si>
    <t xml:space="preserve"> Furosemide 10mg/ml, 2ml Inj. Requirements for Drugs and Medicines: **Drugs with history of usage from VMMC (Requirements No. 1-5 only) ** **For Innovators (Requirements No. 1-4 only) ** 1. CPR 2. CGMP 3. LTO 4. CERTIFICATE OF DISTRIBUTOSHIP 5. CERTIFICATE</t>
  </si>
  <si>
    <t xml:space="preserve"> CMO-City Disaster Risk and P.R. No. : Reduction Management Council 2020-04-2124 Date: 04/03/2020 Date: 1 5 pc Spider Trap 6,000.00 2 5 pc Trauma Bag, back pack (without contents) 19,500.00 3 20 pc Splint 11,000.00 4 8 pc Rescue Gloves 20,000.00 5 8 pc Saf</t>
  </si>
  <si>
    <t xml:space="preserve"> Republic of the Philippines Province of Bohol Municipality of Maribojoc BIDS AND AWARDS COMMITTEE INVITATION TO BID The Municipality of Maribojoc, Bohol invites duly interested Suppliers /Contractors/Distributors who met the  following criteria, to apply </t>
  </si>
  <si>
    <t xml:space="preserve"> 29	cu.m.	3/4" Crushed Rocks 28	cu.m.	Mixing Sand 200	pcs	2" x 2" x 10 R/L 50	pcs	2" x 4" x 10' R/L 		GRAND TOTAL AMOUNT  P123,250.00</t>
  </si>
  <si>
    <t xml:space="preserve"> REQUEST FOR QUOTATION  (EMERGENCY PURCHASE) The Municipality of Anda, Bohol through its Bids and Awards Committee (BAC), invites eligible suppliers to submit quotation for the hereunder project: Name of  Project :  Construction of Disposal Chamber for Inf</t>
  </si>
  <si>
    <t xml:space="preserve"> Spl-1 - Plaster Smooth Finished Spl-2 - Ceiling Works Spl-3 - Painting Works Spl-4 - Doors and Windows Spl-5 - Roof and Roof Framing Spl-6 - Electrical Works</t>
  </si>
  <si>
    <t xml:space="preserve"> PHIVIDEC INDUSTRIAL AUTHORITY	 MCT Complex, Tagoloan, Mis. Oriental	 Tel Nos: (08822) 740245, (088) 5670-315	 email add:  	procurement@piamo.gov.ph or pia.bacsec@gmail.com Standard Form Number: SF-GOOD-60	 Revised on: May 24, 2004	Oct-16 Standard Form Tit</t>
  </si>
  <si>
    <t xml:space="preserve"> Concreting of Farm to Market Road (Tobrehon Road Section) at Brgy. Tobrehon, San Miguel, Catanduanes. Scope of Works: Concrete Works (Class "A"), Prep. of Road Bed, Aggregate Base Coarse, Bunk House &amp; Signage. Source of Fund: 20% EDF- 2020    	Prospective</t>
  </si>
  <si>
    <t xml:space="preserve"> Ceftriaxone Inj. 1GM + 10ml Diluent (as disodium/sodium) Requirements for Drugs and Medicines: **Drugs with history of usage from VMMC (Requirements No. 1-5 only) ** **For Innovators (Requirements No. 1-4 only) ** 1. CPR 2. CGMP 3. LTO 4. CERTIFICATE OF D</t>
  </si>
  <si>
    <t xml:space="preserve"> SEE ATTACHED : REQUEST FOR QUOTATION (RFQ) for use at Planning  and Design Section (Upgrade to Structural Enterprise License for the existing (STAAD/SACD).</t>
  </si>
  <si>
    <t xml:space="preserve"> SOURCE OF FUNDS: ANNUAL BUDGET CY 2020- 20% BIDDING DATE &amp; TIME: JULY 3, 2020- 4:00 P.M</t>
  </si>
  <si>
    <t xml:space="preserve"> Labor and materials for the repair and replacement of parts of RP Vehicle SHE 439 1 set    Main bearing .25 1 set    Con rod bearing .25 1 set    Line STD 1 pc     Con rod 1 set    Piston Ring STD 1 set    Overhauling Gasket 7 lit.     Engine 1 pc     Oil</t>
  </si>
  <si>
    <t xml:space="preserve"> Construction of 24 Units Hand Washing Facility</t>
  </si>
  <si>
    <t xml:space="preserve"> Structure Excavation, Subgrade Preparation, Aggregate Sub-base Course Concrete Class ‘A’, PCCP, Reinforcing Steel Bar (Drainage Canal), Excavation for Structure, Forms &amp; Scaffoldings</t>
  </si>
  <si>
    <t xml:space="preserve"> Republic of the Philippines          City of Dumaguete Bids and Awards Committee INVITATION TO BID FOR PURCHASE REQUEST OF 7 CU.M SAND STD. SPECS AND OTHER ITEMS 	The City of Dumaguete thru its BIDS AND AWARDS COMMITTEE (BAC), invites all interested manuf</t>
  </si>
  <si>
    <t xml:space="preserve"> Sodium Bicarbonate 1760MG, Sodium Citrate 630MG, Citric Acid 720MG Tantaric Acid 890mg per Sachet, 4G Effervescent Granules Requirements for Drugs and Medicines: **Drugs with history of usage from VMMC (Requirements No. 1-5 only) ** **For Innovators (Requ</t>
  </si>
  <si>
    <t xml:space="preserve"> Sub grade Preparation, Aggregate Sub-base Course Concrete Class ‘A’, PCCP, Embankment, Excavation for Structure</t>
  </si>
  <si>
    <t xml:space="preserve"> I. CONCRETE WORKS 							 			QTY	UNIT			DESCRIPTION 			1	load			S1 10 Wheeler  			35	bags			Cement 							 II. MASONRY WORKS							 			20	bags			Cement 			1	roll			G.I. Tie Wire #16 (28kls.) 			30	kg			G.I. Tie Wire #16 			62	pcs			DRB  10mm 			2	mts.			H</t>
  </si>
  <si>
    <t xml:space="preserve"> Repair of Tissue Culture Laboratory - Tile Works (Straight Contract) (Please see attach -- Request for Quotation &amp; Invitation Letter)</t>
  </si>
  <si>
    <t xml:space="preserve"> 1 8 unit Two Way Radio</t>
  </si>
  <si>
    <t xml:space="preserve"> 1	 Repair of Pump Model SP95-3 	1	lot 	 Parts to be replaced:  		 	   - Shaft with coupling 		 	   - Impeller Ring 		 	   - Neck Ring 		 	   - Bottom Neck Ring 		 	   - Bearing Ring 		 	   - Top Bearing 		 2	 Rewind of Submersible Motor 30HP,230V, 3 Phase</t>
  </si>
  <si>
    <t xml:space="preserve"> Canvass No: ______________                                                                                                                                                                                                                                     </t>
  </si>
  <si>
    <t xml:space="preserve"> OPENING OF BIDS IN DSWD FO IX ZAMBOANGA CITY,		 DELIVERY IN PCDP MAMPANG ZAMBOANGA CITY		 PROCUREMENT FOR THE FF.:		 		 1 LOT- MEDICAL SUPPLIES 		 		 5000	BOTTLES	ALCOHOL , 50 ml. ETHYL 70% ISOPROPHYL 20	BOXES	DISPOSABLE GLOVES/CLEAN GLOVES 20	BOXES	DISPO</t>
  </si>
  <si>
    <t xml:space="preserve"> EXPANDED NEWBORN SCREENING FILTER CARDS 50 PCS</t>
  </si>
  <si>
    <t xml:space="preserve"> Request for Quotation for Formalin and Syringe</t>
  </si>
  <si>
    <t xml:space="preserve"> Food and Venue	4	job (30 pax X 1 day)		 		 No. of Participants: 30 pax		 Date of activity: August, September, November and December 2020		 Time of activity: 8:00 AM to 5:00 PM		 Venu: Cagayan de Oro City		 Meals to served: AM snacks, Lunch, PM snacks		 Ty</t>
  </si>
  <si>
    <t xml:space="preserve"> Hydrocortisone 100mg (with diluent) Powder 750mg/ml, 2ml (IM,IV) (as sodium succinate) Requirements for Drugs and Medicines: **Drugs with history of usage from VMMC (Requirements No. 1-5 only) ** **For Innovators (Requirements No. 1-4 only) ** 1. CPR 2. C</t>
  </si>
  <si>
    <t xml:space="preserve"> INVITATION TO SUBMIT PRICE QUOTATION The Nueva Ecija University of Science and Technology (NEUST) through the Bids and Awards Committee (BAC), hereby invites all interested supplier registered with the Philippine Government Electronic Procurement System (</t>
  </si>
  <si>
    <t xml:space="preserve"> Republic of the Philippines          City of Dumaguete Bids and Awards Committee INVITATION TO BID FOR PURCHASE REQUEST OF 16 CU.M SAND (STD. SPECS) AND OTHER ITEMS 	The City of Dumaguete thru its BIDS AND AWARDS COMMITTEE (BAC), invites all interested ma</t>
  </si>
  <si>
    <t xml:space="preserve"> Description REQUEST FOR QUOTATION The Municipality of Allacapan, through its Bids and Awards Committee (BAC), invites suppliers/distributors/contractors to SUBMIT QUOTATION for the hereunder project: Name of Contract : Concreting of San Juan Barangay Road</t>
  </si>
  <si>
    <t xml:space="preserve"> Republic of the Philippines Province of Romblon Municipality of Odiongan Bids &amp; Awards Committee Odiongan, Romblon REQUEST FOR QUOTATION Please quote your lowest price item/s below, subject to the General Conditions and Eligibility Requirements for the Bi</t>
  </si>
  <si>
    <t xml:space="preserve"> Unit          Description                                      Quantity                 Unit Price                  Total Price months     Internet Subscription                             6                        8,000.00                 48,000.00       </t>
  </si>
  <si>
    <t xml:space="preserve"> See attached RFQ.</t>
  </si>
  <si>
    <t xml:space="preserve"> Republic of the Philippines BIDS AND AWARDS COMMITTEE Province of Iloilo Invitation to Bid Purchase of  MEDICAL SUPPLIES Bid No. RTH-20-0181-B(RE-BID) 1. The Iloilo Provincial Government, through the  GENERAL FUND  2020 intends to apply the sum of THREE H</t>
  </si>
  <si>
    <t xml:space="preserve"> 1. 2 unit  - Multi-Cab Van</t>
  </si>
  <si>
    <t xml:space="preserve"> Supply of Autodelfia Neonatal Kit/Solutions/Reagents (Rebid). Delivery Terms: 1st Staggered Delivery: 30% of the quantity to be delivered within 6 weeks upon receipt of approved Purchased Order. 2nd Staggered Delivery: 30% of the quantity to be delivered </t>
  </si>
  <si>
    <t xml:space="preserve"> Qnty  Unit  Item Description 3 pcs  Barong 3/4 sleeves 9  pcs  Barong Short Sleeves 12  pcs  Jackets</t>
  </si>
  <si>
    <t xml:space="preserve"> Date: June 23, 2020  Quotation No.: 2020-049 REQUEST FOR QUOTATION The Municipal Government of Victoria, through the Bids and Awards Committee, will undertake Small Value Procurement for the “Personal Protective Equipment of Solid Waste” in accordance wit</t>
  </si>
  <si>
    <t xml:space="preserve"> 1. 1 unit Multi-Cab Van</t>
  </si>
  <si>
    <t xml:space="preserve"> FABRICATION AND INSTALLATION OF STEEL GOAL (FIBER GLASS)</t>
  </si>
  <si>
    <t xml:space="preserve"> Republic of the Philippines Province of Negros Oriental Municipality of Sibulan OFFICE OF THE BIDS AND AWARDS COMMITTEE INVITATION TO APPLY FOR ELIGIBILITY AND TO BID The Municipality of Sibulan, Negros Oriental invites all interested suppliers for the PU</t>
  </si>
  <si>
    <t xml:space="preserve"> Pls. see the attached file</t>
  </si>
  <si>
    <t xml:space="preserve"> 80 gsm. density</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</si>
  <si>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</si>
  <si>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I. Mobilization II. CSHP III. Road Preparation A. Equipment B. Materials IV. Portland Cement Concrete Pavement V. Equipment Labor</t>
  </si>
  <si>
    <t xml:space="preserve"> Section I. Invitation to Bid Republic of the Philippines Province of Davao del Norte Municipality of Talaingod 24 June, 2020 INVITATION TO BID FOR CONSTRUCTION MATERIALS (MEO-REPAIR OF PUBLIC BUILDING MAINTENANCE) 1.	The Local Government Unit of Talaingod</t>
  </si>
  <si>
    <t xml:space="preserve"> Procurement of the following: 1.  One (1)  Piece of Laptop 2.  One (1)  set of Printer</t>
  </si>
  <si>
    <t xml:space="preserve"> Issuance of Bid Documents Starts: June 24, 2020 Cost of Bid Document: Php 3,000.00 Venue of Dropping and Opening Bids: BAC Conference Room, Leyte SMED Center, Provincial Capitol Grounds, Tacloban City</t>
  </si>
  <si>
    <t xml:space="preserve"> 10 rms Bond paper, long 10 rms Bond paper, A4 20 rms Colored paper, long, 500sheets/rm   5 rms Colored paper, A4,450 sheets/rm   5 set Ink refill for HP Printer, GT51XL 50 pcs Ring binder/Binding strips,1" 50 pcs Ring binder/Binding strips, 2" 10 pcs File</t>
  </si>
  <si>
    <t xml:space="preserve"> I. Mobilzation II. CSHP III. Road Preparation A. Equipment B. Materials IV Portland Cement Concrete Pavement V. Equipment</t>
  </si>
  <si>
    <t xml:space="preserve"> BIDS AND AWARDS COMMITTEE Office of the Chairman Request for Quotation Date:                                                                                 Quotation No.:         PR # 2020-06-255 __________________________________ _______________________</t>
  </si>
  <si>
    <t xml:space="preserve"> Site Works Earthworks COncrete Works Reinforcing Bard Forms &amp; Scaffoldings Masonry Works Steel Works Roofing &amp; Tinsmitry Works Doors&amp; WIndows Carpentry Works Plumbing Works Fixtures Tile Works Electrical Works Construction Safety and Health</t>
  </si>
  <si>
    <t xml:space="preserve"> Please quote your best price 12 pcs of Storage Box Transparent 160 liters with wheels and pulled handle ABC: 48,000.00 4 pcs of Storage Box Transparent 320mm x 395mm x 500mm ABC: 8,000.00 1 pc of Hard Truck Foldable troly 150 kg capacity (small) ABC: 3,00</t>
  </si>
  <si>
    <t xml:space="preserve"> "Photocopying Services of TESDA Women's Center  Minimum copy per month: 9,000 Contract Duration: six (6) Months (July 1, 2020 to December 31, 2020) " "No. of Machines:  1                                                     Black and White - Design: consol</t>
  </si>
  <si>
    <t xml:space="preserve"> I. Mobilization II. CSHP III. Road Preparation A. Equipment B. Materials IV. Portland Cement Concrete Pavement V. Equipment</t>
  </si>
  <si>
    <t xml:space="preserve"> Please see attached file.</t>
  </si>
  <si>
    <t xml:space="preserve"> Item	 Qty-	                    Description	                                Approved Budget 	   No.  Unit		                                                             Ceiling per unit (Php)	 		                                                              </t>
  </si>
  <si>
    <t xml:space="preserve"> Republic of the Philippines          City of Dumaguete Bids and Awards Committee INVITATION TO BID FOR PURCHASE REQUEST OF 8 GALS LATEX PAINT FLAT WHITE AND OTHER ITEMS 	The City of Dumaguete thru its BIDS AND AWARDS COMMITTEE (BAC), invites all intereste</t>
  </si>
  <si>
    <t xml:space="preserve"> Semi-Expendable Expenses-Medical Machinery, Equipment &amp; Facility - 74,000.00</t>
  </si>
  <si>
    <t xml:space="preserve"> Standard Form Number: SF-GOOD-60 Revised on May 24, 2004                                                                                                                                                            Republic of the Philippines CARLOS HILADO M</t>
  </si>
  <si>
    <t xml:space="preserve"> QTY    UNIT     DESCRIPTION 2        pcs        Epson Ink 003 (BK) 1        pc          HP 680 black 1        pc          600 Tri-color 1        box        Fastener Plastic 1        box        Paper Clip (Plastic Big) 1        bot        Stick-ee (white g</t>
  </si>
  <si>
    <t xml:space="preserve"> Internet provider</t>
  </si>
  <si>
    <t xml:space="preserve"> UNIVERSITY OF THE PHILIPPINES BAGUIO											 Governor Pack Road, Baguio City, Benguet, CAR											 VAT Reg. TIN: 000-864-006-00007											 Telephone No. 074.442.3484											 Email Address: spmo.upbaguio@up.edu.ph											 											 REQUEST</t>
  </si>
  <si>
    <t xml:space="preserve"> 0.9% Sodium Chloride, 2ml 5% Dextrose in 0.45% Sodium Chloride 500ml, Bottle/Bag 5% Dextrose in 0.3% Sodium Chloride 500ml, Plastic 5% Dextrose in 0.3% Sodium Chloride 250ml, Plastic 1. CPR 2. CGMP 3. LTO 4. CERTIFICATE OF DISTRIBUTOSHIP 5. CERTIFICATE OF</t>
  </si>
  <si>
    <t xml:space="preserve"> Delivery of Office Equipment</t>
  </si>
  <si>
    <t xml:space="preserve"> LOT - I Aggregates 63	cu.m.	Item 201 (Passing 3" Sieve) 79	cu.m.	3/4" Crushed Aggregates 43	cu.m.	Washed Fine Aggregates 30	pcs	2" x 2" x 10' R/L, Good Quality 		GRAND TOTAL AMOUNT  P238,100.00</t>
  </si>
  <si>
    <t xml:space="preserve"> REQUEST FOR QUOTATION 	The Local Government Unit of Nunungan, through its Bids and Awards Committee, intends to apply the sum of Fifty Two Thousand Nine Hundred Fifty Four Pesos (Php52,954.00) being the Approved Budget for the Contract (ABC) to pay for th</t>
  </si>
  <si>
    <t xml:space="preserve"> RFQ-2020-179		 			 1.	1	person	Security Guard (Day Shift) 			(12 hours) July 2020 to December 2020 2.	1	person	Security Guard (Night Shift) 			(12 hours) July 2020 to December 2020 			 	Deadline for Submission of Bids: June 29, 2020, 11:00 AM		 			PAYMENT</t>
  </si>
  <si>
    <t xml:space="preserve"> Slope Protection (Binagasbasan, Paraiso) at Sitio Binagasbasan Brgy. paraiso, San Miguel, Catanduanes. Scope of Works: Excavation of Foundation Structure, Concrete Foundation, Stone Masonry, Selected Backfill-Aggregate Base Coarse, Item No. A.1.1(3) Const</t>
  </si>
  <si>
    <t xml:space="preserve"> PROJECT: PURCHASE OF MEDICAL SUPPLIES AND JANITORIAL SUPPLIES LOCATION: RHU-RIZAL, NUEVA ECIJA SOURCE OF FUND: HCI TRUST FUND ABC: PHP 60,000.00</t>
  </si>
  <si>
    <t xml:space="preserve"> 30 sacks of Certified Seed NSIC-RC-222</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</si>
  <si>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</si>
  <si>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Republic of the Philippines Province of Nueva Vizcaya BIDS AND AWARDS COMMITTEE (BAC-Goods) BAC OFFICE, Provincial Capitol, Bayombong, Nueva Vizcaya 	 2ND REQUEST FOR QUOTATION (RFQ)  For the Procurement of Desktop Computer, Laptop &amp; Scanner For the Nueva</t>
  </si>
  <si>
    <t xml:space="preserve"> Food and Venue Only		 2 Meals &amp; 2 Snacks		 *3 viands, soup, dessert, side dish and drinks		 Snacks:		 *AM &amp; PM snacks with drinks		 PRE-VALIDATION TRAINING	62	pax (LDN Participants)		 POST VALIDATION WORKSHOP	62	pax (LDN Participants)		 XXXXXXXXXXXXXXXXXX</t>
  </si>
  <si>
    <t xml:space="preserve"> ADVISORY AND REVIEW CONSULTANCY SERVICES Scope Of Work :   1.)  Perform business risk evaluation and formulate recommendations on improvement opportunities.   2.)  Evaluate existing processes, procedures &amp; systems and propose streamlining measures to achi</t>
  </si>
  <si>
    <t xml:space="preserve"> Republic of the Philippines BIDS AND AWARDS COMMITTEE Province of Iloilo Invitation to Bid Purchase of  MEDICAL SUPPLIES Bid No. RTH-20-0180-B(RE-BID) 1. The Iloilo Provincial Government, through the  GENERAL FUND  2020 intends to apply the sum of SIX HUN</t>
  </si>
  <si>
    <t xml:space="preserve"> 6-day POCB Training on Policy Development and Monitoring and Evaluation for the Peoples Organization involved in the Forestland Management Project.   Training will be conducted on site (Brgys. Rafael Palma, Don Mariano Perez, Baguio Village, Don Faustino </t>
  </si>
  <si>
    <t xml:space="preserve"> LOT 1. SUPPLY AND DELIVERY OF TUNA HANDLINES MATERIALS					 	Wooden Spool (10" dia; 3 inches groove)			150	Pcs	 22,500.00  	Chicago Hook #7			300	Pcs	 7,500.00  	Swivel (#7)			300	Pcs	 4,500.00  	Monofilament 1.30mm (Blue)			150	Rolls	 52,500.00  	Clip			</t>
  </si>
  <si>
    <t xml:space="preserve"> SERVICES; HEALTH AND ACCIDENT INSURANCE FOR BARANGAY PEACEKEEPNG ACTION TEAM (BPATs) 1.	1.	The Local Government Unit of Mauban through the GENERAL FUND-1011/5-02-99-990, 2020 intends to apply the sum of Five Hundred Thousand Pesos (Php 500,000.00) being t</t>
  </si>
  <si>
    <t xml:space="preserve"> Please see attached PR.</t>
  </si>
  <si>
    <t xml:space="preserve"> Section I. Invitation to Bid Republic of the Philippines Province of Davao del Norte MUNICIPALITY OF TALAINGOD 								24 June, 2020 Invitation to Bid for CONSTRUCTION AND REHABILITATION OF DRAINAGE CANAL  (@Purok 1, Sto. Niño,Talaingod, DdN 1.	The Local </t>
  </si>
  <si>
    <t xml:space="preserve"> The SANGGUNIANG BARANGAY OF BARANGAY POBLACION IV, TANAUAN CITY, BATANGAS, through the Barangay Operating Budget 2020 intends to apply the sum of Fifty Thousand Pesos Only (Php 50,000.00) being the Approved Budget of the Contract (ABC) to payment under th</t>
  </si>
  <si>
    <t xml:space="preserve"> Supply, Delivery and Installation of Internet Subscription for 24 months with the following details: 1. Unlimited data 2. At least 20 mbps bandwidth CIR or equivalent, with 1 trunk line 3. Back-up connection with another ISP of the same band width is requ</t>
  </si>
  <si>
    <t xml:space="preserve"> Aggregate Sub-base Course, Structure Excavation, Cleaning and  Reconditioning, Demolition/Removal of Existing Damage Concrete Class ‘A’, Reinforcing Steel Bar, Forms &amp; Scaffoldings</t>
  </si>
  <si>
    <t xml:space="preserve"> Philgeps: Procurement of Laid paper and Notepad for the Office of the Solicitor General  ITEMS - Specifications - Quantity:  1. Laid Paper - 8.5" x 11", 90 gsm, Cream, 500's/pack - 40 boxes 2. Notepad - 3 inch x 3 inch,  stick-on, 100 sheets/pad - 500 pad</t>
  </si>
  <si>
    <t xml:space="preserve"> Republic of the Philippines DEPARTMENT OF PUBLIC WORKS AND HIGHWAYS MISAMIS ORIENTAL 1st DISTRICT ENGINEERING OFFICE REGIONAL OFFICE X Gingoog City, Misamis Oriental INVITATION TO BID	 The Department of Public Works and Highways Misamis Oriental First Dis</t>
  </si>
  <si>
    <t xml:space="preserve"> Medicine and dental Supply</t>
  </si>
  <si>
    <t xml:space="preserve"> The Department of Agriculture invites interested suppliers to submit quotations/proposals for the hereunder requirement: Supply and Delivery of Various Vehicle Equipment for Official Use  of Various Vehicles			 1	unit	AIR COMPRESSOR ½ H.P. 85 PSI 45 liter</t>
  </si>
  <si>
    <t xml:space="preserve"> 1.  Crude Oil  2920 2.  Oil 40 90 liter 3.  Oil 10 12 liter</t>
  </si>
  <si>
    <t xml:space="preserve"> REQUEST FOR QUOTATION Date	:	June 23, 2020 Project Title	:	Supply and Delivery of Various Printed Forms ITB No.             	:	SV20-06-002ANG Approved Budget for the Contract (ABC)	:	Eighty Thousand Pesos (PhP80,000.00), VAT-Exclusive, Zero- Rated Transac</t>
  </si>
  <si>
    <t xml:space="preserve"> Machinery and Equipment</t>
  </si>
  <si>
    <t xml:space="preserve"> Various Supplies</t>
  </si>
  <si>
    <t xml:space="preserve"> QTY   UNIT   DESCRIPTION 80     BTLS   MULTI-VITAMINS 60ML 10     BXS    VITAMIN B. COMPLEZ B6-B12 10     BXS    MULTI-VITMAINS CAPSULE 10     BXS    FERROUS SULFATE TABLET 12     BXS    ASCORBIC ACID 80     BXS    ASCORBIC ACID 60ML 10     BXS    SODIUM </t>
  </si>
  <si>
    <t xml:space="preserve"> 76         rolls        Adding Machine Tape 272       reams     Bond Paper (Long) S20 232       reams     Bond Paper (Short) S20 272       pcs         Brown Envelope long 196       pcs         Brown Envelope short 1560     pcs         Daily Time Record (D</t>
  </si>
  <si>
    <t xml:space="preserve"> Republic of the Philippines Department of Health DAVAO REGIONAL MEDICAL CENTER Apokon, Tagum City Tel/Fax No.: (084) 216-9129 HOP-QR-PRO-011 BIDS AND AWARDS COMMITTEE ========================================================================== REQUEST FOR Q</t>
  </si>
  <si>
    <t xml:space="preserve"> Item No. Qty. units Description Brand Amount /Unit 1  1  UNIT/S LAPTOP COMPUTER 1 Unit Laptop computerProcessor: Intel Core i7-10510U (1.8GHz up to 4.9 GHz / 8MB Cache)WIFI: Intel 9462 1x1 2.4/5.0 Ghz. 802.11 ac v5.0 MU-MIMOOS: Windows 10 Home SLDisplay: </t>
  </si>
  <si>
    <t xml:space="preserve"> Invitation to Quote The Philippine Charity Sweepstakes Office thru the Procurement Division, General Services Dept. announces the purchase and procurement of the above listed item/s.  All interested suppliers may secure the standard sealed quotation/canva</t>
  </si>
  <si>
    <t xml:space="preserve"> Work to be Done: I. Tinsmith Works General repair of whole body to include front cowl, flooring &amp; Fiber Glass Fender, Straightening &amp; Repair of damaged  front bumper. Repair, patching of rotten portion &amp; re align damaged step board panel wheel arc plate &amp;</t>
  </si>
  <si>
    <t xml:space="preserve"> The Municipality of San Mariano, Isabela invite bidders to participate in this procurement, Supply And  Delivery of Food Supplies for Indigent Family. Approved Budget Contract: Php 486,000.00 Bids must be duly received on or before July 13, 2020 at 10:30 </t>
  </si>
  <si>
    <t xml:space="preserve"> Republic of the Philippines Province of Davao de Oro MUNICIPALITY OF COMPOSTELA BIDS AND AWARDS COMMITTEE CP#: 0998-571-7569 INVITATION TO BID FOR  Re-bid: Purchase of One (1) unit Computer Server with Complete Accessories – MASSO ITB NO. 2020-06-029, BID</t>
  </si>
  <si>
    <t xml:space="preserve"> Republic of the Philippines BIDS AND AWARDS COMMITTEE Province of Iloilo Invitation to Bid Purchase of  MEDICAL SUPPLIES Bid No. RTH-20-0177-B(RE-BID) 1. The Iloilo Provincial Government, through the  GENERAL FUND  2020 intends to apply the sum of TWO HUN</t>
  </si>
  <si>
    <t xml:space="preserve"> Item No. 	Item Description					QTY.	Unit	Unit Price	Total Price 1	MULTICAB RESCUE TYPE					1	unit		 	&gt; Engine: F6A Suzuki 12 Valve								 	&gt; 4-Wheel drive								 	&gt; 3-cylinder								 	&gt; Gasoline Engine								 	&gt; Extended Chasis								 	&gt; Rim 13						</t>
  </si>
  <si>
    <t xml:space="preserve"> 1. 35500 ltr - Diesel 2. 200 ltr - Hydraulic oil 10w 3. 600 ltr - Engine oil 15w-40 4. 200 ltr - Engine oil 40 5. 40 ltr - Gear oil #90 6. 300 ltr - Gear oil #140 7. 60 ltr - Break fluid 8. 60 ltr. - Coolant 9. 40 kg - Grease</t>
  </si>
  <si>
    <t xml:space="preserve"> Supplies and Materials</t>
  </si>
  <si>
    <t xml:space="preserve"> Multi-Jet Water Meter 15mm dia. (Class B) Specifications: Magnetically driven sealed register with dome shaped lens; 6 number rollers for high totalizing capacity, 3 dial pointers for meter accuracy below 50ml, testing, central pointer for leak detection </t>
  </si>
  <si>
    <t xml:space="preserve"> Various Program Materials</t>
  </si>
  <si>
    <t xml:space="preserve"> MEALS AND SNACKS</t>
  </si>
  <si>
    <t xml:space="preserve"> INVITATION TO BID The DPWH-Regional Office No. III,  through  its  Bids  and  Awards  Committee  (BAC) for Goods,  invites suppliers to submit bids for the Contract below:          Contract ID:    19GC00091 Contract Name:      Procurement of Reflectorized</t>
  </si>
  <si>
    <t xml:space="preserve"> REPUBLIC OF THE PHILIPPINES PROVINCE OF LEYTE MUNICIPALITY OF PASTRANA -oOo- INVITATION TO BID CONSTRUCTION OF CLOSURE OF OPEN DUMPSITE THE MUNICIPALITY OF PASTRANA, INTENDS TO APPLY THE SUM OF TWO MILLION FIVE HUNDRED THOUSAND PESOS (P2,500,000.00 ) bein</t>
  </si>
  <si>
    <t xml:space="preserve"> Republic of the Philippines Province of Nueva Vizcaya BIDS AND AWARDS COMMITTEE (BAC-Goods) BAC OFFICE, Provincial Capitol, Bayombong, Nueva Vizcaya 	 2ND REQUEST FOR QUOTATION (RFQ)  For the Procurement 1 unit ADF High Speed Scanner For the Governor’s Of</t>
  </si>
  <si>
    <t xml:space="preserve"> 4 Set Sphygmomanometer Aneroid 3 Set Stethoscope Adult Littman 40 COVID-19 Anti Body Rapid Test (Kit Innovita) 20 Box Clean Gloves Latex M/L 100's 10 Piece Hazmat Suit Colored M/L 5 Gal Chlrine Stock Solution 3 Box Surgical Cap Disposable 100's</t>
  </si>
  <si>
    <t xml:space="preserve"> 1500 LITERS DIESEL 1200 LITERS GASOLINE</t>
  </si>
  <si>
    <t xml:space="preserve"> SUPPLY AND DELIVERY OF MATERIALS &amp; EQUIPMENTS	 				 LOT 1: OFFICE SUPPLIES					 Monitor 15.6			1	Pc	 4,000.00  CPU (Intel Core i5; 4G RAM DDR3; 1TB Hard drive)			1	Pc	 11,000.00  Keyboard			1	Pc	 500.00  Mouse			1	Pc	 300.00  Speaker			1	Pc	 500.00  USB O</t>
  </si>
  <si>
    <t xml:space="preserve"> For the use of City Budget Office. 9 units Computer Desktop with UPS * i5, 8GB RAM, 1TB HDD, compatible motherboard, GT 730 video card, DVD ROM, mouse &amp; keyboard, casing with power supply, 19" monitor 3 units Memory for Core i5 Computer Desktop * 4GB RAM </t>
  </si>
  <si>
    <t xml:space="preserve"> Improvement of One (1) Unit 2 storey-7.5m x 88.5m Municipal Public Market (slab, wall &amp; roofing)</t>
  </si>
  <si>
    <t xml:space="preserve"> REINFORCEMENT OF CANOPY POST</t>
  </si>
  <si>
    <t xml:space="preserve"> Office supplies and materials</t>
  </si>
  <si>
    <t xml:space="preserve"> 105 servings for 3 Day (AM snacks, Lunch &amp; PM Snacks)</t>
  </si>
  <si>
    <t xml:space="preserve"> Procurement of Heavy Equipment Parts for the use of DT-1, 2, 3, and 4.</t>
  </si>
  <si>
    <t xml:space="preserve"> This will be used in our Brigada Implementation</t>
  </si>
  <si>
    <t xml:space="preserve"> Electrical and plumbing works</t>
  </si>
  <si>
    <t xml:space="preserve"> 1 unit Desktop Computer for Mun.Agriculture office</t>
  </si>
  <si>
    <t xml:space="preserve"> Various Hygiene Kit</t>
  </si>
  <si>
    <t xml:space="preserve"> Issuance of Bid Documents Starts: June 24, 2020 Cost of Bid Document: Php 2,500.00 Venue of Dropping and Opening Bids: BAC Conference Room, Leyte SMED Center, Provincial Capitol Grounds, Tacloban City</t>
  </si>
  <si>
    <t xml:space="preserve"> Item No. Qty. Unit of Issue Item Description 1 2 units Window type Aircon 2HP- Manual Model:CW-SC185EPH</t>
  </si>
  <si>
    <t xml:space="preserve"> The City Government of San Pedro, Laguna invites interested parties to quote for the following item/s as per request GSO: Qty.	Unit of Issue	Item Description 		 		 15	tank	Refrigerant (R22) 13.6 kgs. (Solfron) 6	tank	Refrigerant (R140A)	 6	tank	Refrigeran</t>
  </si>
  <si>
    <t xml:space="preserve"> (Please see attach -- Request for Quotation &amp; Invitation Letter)</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</si>
  <si>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</si>
  <si>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Republic of the Philippines UNIVERSITY OF NORTHERN PHILIPPINES Tamag, Vigan City 2700 Ilocos Sur INVITATION TO BID FOR I.T. EQUIPMENT  1.	The University of Northern Philippines, through the Use of Income, 2020 intends to apply the sum of ₱ 2,000,000.00 be</t>
  </si>
  <si>
    <t xml:space="preserve"> Cabadbaran District Hospital Agusan del Norte</t>
  </si>
  <si>
    <t xml:space="preserve"> Please see "associated component" for the specifications Bath Soap - 400 pcs Bleach - 1500 bot Disinfectant Spray - 50 can</t>
  </si>
  <si>
    <t xml:space="preserve"> Republic of the Philippines Department of Public Works and Highways Pampanga 3rd District Engineering Office San Francisco Street, Brgy. Pampang, Angeles City Region III Telephone Nos. (045) 323-5782 / 887-5249 INVITATION TO BID CONTRACT ID NO. – 20GCI000</t>
  </si>
  <si>
    <t xml:space="preserve"> Republic of the Philippines DEPARTMENT OF PUBLIC WORKS AND HIGHWAYS BATANGAS III DISTRICT ENGINEERING OFFICE REGIONAL OFFICE IV-A J. Gonzales St., Barangay 4, Tanauan City INVITATION TO BID (GS-2020-007) The Department of Public Works and Highways (DPWH),</t>
  </si>
  <si>
    <t xml:space="preserve"> MDRRMO		 1	Computer Desktop	1	unit 	Processor: Intel Core i5, 7th gen		 	GT730 GPU 2GB		 	RAM: 8 GB DRR4		 	1TB HDD		 	240GB SSD		 	wireless keyboard and mouse		 	Windows 10 Pro		 	Microsoft Office Pro		 	21inch LED Monitor		 	UPS 650VA		 2	Wifi modem	1	U</t>
  </si>
  <si>
    <t xml:space="preserve"> Please quote your lowest price on item/s listed in the line item and submit your quotation duly signed by your authorized representative through email at bac.secretariat@pnu.edu.ph not later than June 30, 2020 @ 4PM. Note: 1. Delivery period within fiftee</t>
  </si>
  <si>
    <t xml:space="preserve"> Name of Project:           		Construction of Water System - Loboc, Tungawan, Zamboanga Sibugay						 Location:                    		Loboc, Tungawan, Zamboanga Sibugay						 Source of Fund:		20% LDF 2020						 Brief Description:		Construction Materials				</t>
  </si>
  <si>
    <t xml:space="preserve"> 1 unit All-in-One PC          Intel core i3-813OU GHz Processor          4M cache, up to 3.40GHz,1TB 7200rmp SATA          4GB DDR4-2400(1X4GB)SODIMM, Windows 10 OS          USB keyboard and mouse</t>
  </si>
  <si>
    <t xml:space="preserve"> 8 pcs. Tire 265 x 60 x R18, AT include installation 2 lot Wheel alignment -see attached RFQ Forms</t>
  </si>
  <si>
    <t xml:space="preserve"> Republic of the Philippines DEPARTMENT OF PUBLIC WORKS AND HIGHWAYS PANGASINAN 1ST DISTRICT ENGINEERING OFFICE REGIONAL OFFICE I Alaminos City, Pangasinan INVITATION TO BID 1.	The DPWH Pangasinan 1st District Engineering Office, through its Bids and Award</t>
  </si>
  <si>
    <t xml:space="preserve"> Republic of the Philippines Department of Health Center for Health Development EASTERN VISAYAS REGIONAL MEDICAL CENTER Tacloban City REQUEST FOR QUOTATION RFQ No: 2020-SVP-06-0208 June 24, 2020 The EVRMC, Tacloban City, through the Bids &amp; Awards Committee</t>
  </si>
  <si>
    <t xml:space="preserve"> INVITATION TO BID  IB-2020-005-GOODS-TEC Supply and Delivery of Materials for the Application of Traffic Lane Markings on Various Locations within Metro Manila 1.	The Metropolitan Manila Development Authority (“MMDA”), through the 2019 Local Fund 2020 Reg</t>
  </si>
  <si>
    <t xml:space="preserve"> Republic of the Philippines RIZAL PROVINCIAL GOVERNMENT Antipolo City INVITATION TO BID  PURCHASE OF ANTIBODY RAPID TEST The Rizal Provincial Government, through the Trust Fund intends to apply the sum of ₱9,000,000.00 as the Approved Budget for the Contr</t>
  </si>
  <si>
    <t xml:space="preserve"> For the use of Antipolo City Hospital System. 200 btl. Hand Sanitizer Gel 1.2L * with free use of wall-mounted automatic dispenser</t>
  </si>
  <si>
    <t xml:space="preserve"> Date: June 23, 2020  Quotation No.: 2020-050 REQUEST FOR QUOTATION The Municipal Government of Victoria, through the Bids and Awards Committee, will undertake Small Value Procurement for the “Procurement of feeds for Swine Breeding Station at Agricultural</t>
  </si>
  <si>
    <t xml:space="preserve"> Date: June 19, 2020    	   	  	  	                        	  Quotation No.100-20-06-381                   REQUEST FOR QUOTATION  (For Immediate Purchase Pursuant to Section 52.1a of the Revised IRR, RA 9184)   Item No.  	Qty.  	Unit  	Description  	ABC  	</t>
  </si>
  <si>
    <t xml:space="preserve"> For complete specification, please see attached for quotation at the associate components link or request.</t>
  </si>
  <si>
    <t xml:space="preserve"> Republic of the Philippines Barangay Ilayang Tayuman  San Francisco, Quezon INVITATION TO BID FOR Procurement of Materials for the Installation of street Lights at Barangays Ilayang Tayuman, San Francisco, Quezon. 1. The Sangguniang Barangay of Ilayang Ta</t>
  </si>
  <si>
    <t xml:space="preserve"> Republic of the Philippines DEPARTMENT OF PUBLIC WORKS AND HIGHWAYS BATANGAS III DISTRICT ENGINEERING OFFICE REGIONAL OFFICE IV-A J. Gonzales St., Barangay 4, Tanauan City INVITATION TO BID (GS-2020-008) The Department of Public Works and Highways (DPWH),</t>
  </si>
  <si>
    <t xml:space="preserve"> 28 units Hand Pump</t>
  </si>
  <si>
    <t xml:space="preserve"> 1 unit Junior Executive Table , w/ side return table with cabinets</t>
  </si>
  <si>
    <t xml:space="preserve"> 1,452 L of diesel/gasoline for Naval LHIO Official Vehicle and Generator Sets</t>
  </si>
  <si>
    <t xml:space="preserve"> The Municipality of San Mariano, Isabela invite bidders to participate in this procurement, Supply &amp; Delivery of Aircon-MAO Approved Budget: Php 95,000.00 Interested bidders may submit the accomplished Price Quotation/Canvass Form/ Complete Detailed Docum</t>
  </si>
  <si>
    <t xml:space="preserve"> Republic of the Philippines BIDS AND AWARDS COMMITTEE Province of Iloilo Invitation to Bid Purchase of  MEDICAL SUPPLIES Bid No. JCH-20-0231-B 1. The Iloilo Provincial Government, through the  GENERAL FUND  2020 intends to apply the sum of FORTY THOUSAND </t>
  </si>
  <si>
    <t xml:space="preserve"> "Item   Qty-       Description                       "Approved Budget  No."	    Unit	                                       Ceiling per unit (Php)	 		 1	    1 kit	Bleaching Solution, 1 gallon	         600.00 		 2	  20 pch	Dishwashing Liquid	              </t>
  </si>
  <si>
    <t xml:space="preserve"> Specifications:  16 pcs. Shovel (flat); 8 pcs. Piko; 5 roll Industrial Hose with ply ½” (100m); 9 pcs. Plastic Drum (200 liter); 4 pcs. Tagad (bara); 8 pcs. Hole Digger; 10 pcs. Lagarao with Handle; 8 pcs. Pruning Shears; 8 pcs. Bolo; 80 pcs. Seedling tra</t>
  </si>
  <si>
    <t xml:space="preserve"> 1.	2	unit/s	Aircon Inverter Split Type (2.0HP) 2	.2	job	Installation Charge</t>
  </si>
  <si>
    <t xml:space="preserve"> Provincial Engineer's Office Agusan del Norte</t>
  </si>
  <si>
    <t xml:space="preserve"> PORTABLE OXYGEN TANK WITH CONTENT, 15lbs/3ft	      2	TANK PLASTIC BASIN, 24" ɸ WHITE HATCHERY STANDARD	     10	PC PLATIC BOWL, SMALL, WHITE			                     10	PC AQUARIUM AIR PUMP, 220V STANDARD DOUBLE OUTLET   10	UNIT FINE-MESHED NET, BLUE			     </t>
  </si>
  <si>
    <t xml:space="preserve"> Supply of High Performance Liquid Chromatography (HPLC) Analyzer •	HPLC Principle for the Screening of hemoglobin in newborns on dried blood spots •	Fully automated system •	Ability to identify hemoglobins S, F, A, C, D and E as well as the ability to det</t>
  </si>
  <si>
    <t xml:space="preserve"> Please quote your best price 1 pc Resizing of Office Cubicle ABC 8,000.00 Please email your quotation Please download canvass form</t>
  </si>
  <si>
    <t xml:space="preserve"> Cloth Face Mask double sided with POPCOM logo</t>
  </si>
  <si>
    <t xml:space="preserve"> Procurement of Sliding Doors</t>
  </si>
  <si>
    <t xml:space="preserve"> PLEASE SEE ATTACHED DETAILED ESTIMATES</t>
  </si>
  <si>
    <t xml:space="preserve"> Cadiz City SF-GOOD-60 Standard Form Title: Request for Quotation 										_______________ 									             ______________________ ______________________ 	Please quote your lowest price on the items listed below, subject to the General Conditions on </t>
  </si>
  <si>
    <t xml:space="preserve"> Construction of Drainage at Brgy. District III, San Miguel, Catanduanes. Scope of Works: Demolition, Excavation, Rubbles Concrete, Stone Masonry, Plastering (0.05 M thk.), RCPC, Backfill, Forms/false Works. Source of Fund: 20% EDF- 2020    	Prospective bi</t>
  </si>
  <si>
    <t xml:space="preserve"> Brand New Passenger Van 18-Seater with the following specifications: YD25 DDTi 2.5L 4 cylinder, DOHC, 16 Valves, Variable Turbocharger (VGS), 5-Speed M/T (Dash-mounted), Common Rail Direct Injection, 2488cc, 129Ps/3,200rpm, 356Nm/ 1,400-2,000 rpm, Front-T</t>
  </si>
  <si>
    <t xml:space="preserve"> 25 PCS. AMBROXITIL 10 BAGS BROILER GROWER 6 BAGS BROILER STARTER 6 BAGS CHICK BOOSTER 10 KGS. DEXTROSE POWDER 6 BAGS HOG BROODSOW 6 BAGS HOG FINISHER 7 BAGS HOG GROWER 5 BAGS HOG PRE-STARTER 6 BAGS HOG STARTER 6 BAGS LACTATION FEEDS 25 BAGS LAYING MASH 50</t>
  </si>
  <si>
    <t xml:space="preserve"> PVC Board, Rubber Band Heavy duty- Cacao Project Please see attached RFQ.</t>
  </si>
  <si>
    <t xml:space="preserve"> Republic of the Philippines CITY OF MARIKINA SF-GOOD-05 Revised on: July 28, 2004				 													Mkna-GSO-20-282	 	BIDS AND AWARDS COMMITTEE		 NOTICE OF PROPOSED PROCUREMENT The City Government of Marikina, through its Bids and Awards Committee (BAC), w</t>
  </si>
  <si>
    <t xml:space="preserve"> 5 pcs Disinfecting rug tray w/ rubber foot mat           material: linear low density polythylene with UV8 stabilizers           dimension: 73.5cmx58.5cmx2.5cm</t>
  </si>
  <si>
    <t xml:space="preserve"> Interested bidders are require to be pre-qualified and to bid for the supply of labor and materials</t>
  </si>
  <si>
    <t xml:space="preserve"> Republic of the Philippines Province of Nueva Vizcaya BIDS AND AWARDS COMMITTEE (BAC-Goods) BAC OFFICE, Provincial Capitol, Bayombong, Nueva Vizcaya 	 2ND REQUEST FOR QUOTATION (RFQ)  For the Procurement 1 unit Unmanned Aerial Vehicle (Drone) &amp; Digital SL</t>
  </si>
  <si>
    <t xml:space="preserve"> Size : At least 8 x 8 Inches (round or square) Flavor : Preferably Mocha or Chocolate or other flavor for approval of TPB Dedication: “Happy Birthday from TPB Family” Breakdown: MONTH QUANTITY April 16 May 8 June 15 July 19 August 16 September 15 October </t>
  </si>
  <si>
    <t xml:space="preserve"> 20	reams	Colored Paper (Yellow) •	At least 70gsm •	With Free Delivery</t>
  </si>
  <si>
    <t xml:space="preserve"> City Government of La Carlota								          Standard Form Number: SF-GOOD-59 Revised on: May 24, 2004 Standard Form Title: REQUEST FOR QUOTATION 												Date: ______________											                             Quotation No.________ Company Name </t>
  </si>
  <si>
    <t xml:space="preserve"> ITEM DESCRIPTION: 140	pcs	Ball Valve - Key wrench 1/2" 120	pcs	Ball Valve - Lock wing 1/2" 30	pcs	Bolts and nuts 19" w/ washer 50	pcs	Bolts and nuts 12" w/ washer (long) 30	pcs	Coupling PE 1/2" 10	pcs	Coupling PE 3/4" 80	pcs	Coupling PE 1" 40	pcs	Coupling</t>
  </si>
  <si>
    <t xml:space="preserve"> TO BE BID ARE MATERIALS FOR THE PURCHASE OF MAINTENANCE SUPPLIES</t>
  </si>
  <si>
    <t xml:space="preserve"> The SANGGUNIANG BARANGAY OF BARANGAY POBLACION IV, TANAUAN CITY, BATANGAS, through the Barangay Operating Budget 2020 intends to apply the sum of Thirty Thousand Pesos Only (Php 30,000.00) being the Approved Budget of the Contract (ABC) to payment under t</t>
  </si>
  <si>
    <t xml:space="preserve"> Republic of the Philippines Department of Health Center for Health Development EASTERN VISAYAS REGIONAL MEDICAL CENTER Tacloban City REQUEST FOR QUOTATION RFQ No: 2020-SVP-06-0209 June 24, 2020 The EVRMC, Tacloban City, through the Bids &amp; Awards Committee</t>
  </si>
  <si>
    <t xml:space="preserve"> To provide catering services, venue and accomodation for the Regional Retooling on Pest Risk Identification and Management (PRIME) Crop Health Assessment on July 15 to 17, 2020, at Tacloban City. No.	Scope of Work	Quantity	Unit_Cost	ABC 	July 15-17, 2020 </t>
  </si>
  <si>
    <t xml:space="preserve"> REQUEST FOR QUOTATION The City Government of San Jose del Monte, through its Bids and Awards Committee (BAC) Invites Suppliers/Manufacturers/Distributors to Bid for hereunder procurement: RFQ No.	PR No.	PROJECT TITLE	Requesting Office	Approved Budget for </t>
  </si>
  <si>
    <t xml:space="preserve"> Food and Venue Only		 2 Meals &amp; 2 Snacks		 *3 viands, soup, dessert, side dish and drinks		 Snacks:		 *AM &amp; PM snacks with drinks		 PRE-VALIDATION TRAINING	42	pax (Mis Or Participants)		 POST VALIDATION WORKSHOP	42	pax (Mis Or Participants)		 XXXXXXXXXXXX</t>
  </si>
  <si>
    <t xml:space="preserve"> Specifications:  444 bottles Insecticides/Pesticides</t>
  </si>
  <si>
    <t xml:space="preserve"> 20M00080-Repair/Maintenance of DPWH Building (former Utility Building), DPWH Region 12 Compound, Corner Alunan-Mabini Street, Koronadal City, South Cotabato</t>
  </si>
  <si>
    <t xml:space="preserve"> REQUEST FOR QUOTATION Two Failed Biddings – Negotiated Procurement 20-02  In view of the bidding, the National Library of the Philippines (NLP) Bids and Awards Committee (BAC) invites interested bidders to participate in the Negotiated Procurement for Sup</t>
  </si>
  <si>
    <t xml:space="preserve"> Lot 1 4 pcs. Tire 265 x 60 x R18 AT include installation 1 lot Wheel alignment Lot 2 1 set Brake pad -see attached RFQ Form</t>
  </si>
  <si>
    <t xml:space="preserve"> 1 UNIT DESKTOP COMPUTER WITH PRINTER</t>
  </si>
  <si>
    <t xml:space="preserve"> The Barangay Government of Concepcion Pequeña, Naga City intends to apply for the sum of Eight Hundred Thousand Pesos (Php 800,000.00) to payments under the contract for the proposed Pathwalk/Covered Drainage at Zone 4A, Saint Claire, Concepcion Pequeña, </t>
  </si>
  <si>
    <t xml:space="preserve"> Azithromycin 500mg Tab (as abase/adihydrate) Azithromycin 500mg Tab Requirements for Drugs and Medicines: **Drugs with history of usage from VMMC (Requirements No. 1-5 only) ** **For Innovators (Requirements No. 1-4 only) ** 1. CPR 2. CGMP 3. LTO 4. CERTI</t>
  </si>
  <si>
    <t xml:space="preserve"> Food and Venue Only		 2 Meals &amp; 2 Snacks		 *3 viands, soup, dessert, side dish and drinks		 Snacks:		 *AM &amp; PM snacks with drinks		 PRE-VALIDATION TRAINING	48	pax (Bukidnon Participants)		 POST VALIDATION WORKSHOP	48	pax (Bukidnon Participants)		 XXXXXXXX</t>
  </si>
  <si>
    <t xml:space="preserve"> Republic of the Philippines PROVINCE OF CAVITE City of General Trias INVITATION TO BID PROJECT REFERENCE NO. GOODS-PB-20-036 PROJECT TITLE/ DESCRIPTION : GOODS-PB-2020-036- PURCHASE OF VARIOUS MEDICINES AND MEDICAL SUPPLIES USE BY MEDICARE HOSPITAL CITY O</t>
  </si>
  <si>
    <t xml:space="preserve"> 48 bags Urea 46-0-0, 50kg./bag 36 bags Complete Fertilizer, 14-14-14, 50kg./bag -see attached RFQ Form</t>
  </si>
  <si>
    <t xml:space="preserve"> LGU-KALILANGAN, BUKIDNON						 						 Standard Form Number: SF-GOOD-59			Project Reference Number :			Nego/SVP 2020-06-035 Revised on May 24, 2004			Name of the Project :			 Standard Form Title : Purchase Request			Location of the Project :			Kalilangan, </t>
  </si>
  <si>
    <t xml:space="preserve"> Completion of Barangay Evacuation Center at Brgy. Katipunan, San Miguel, Catanduanes. Scope of Works: Demolition/Chipping of Concrete, Concrete Works, Masonry Works, rebar Works, Forms/False Works &amp; Stairs. Source of Fund: 20% EDF- 2020    	Prospective bi</t>
  </si>
  <si>
    <t xml:space="preserve"> Item No.	Unit	DESCRIPTION				Qty 						 1	Unit	Data Cabinet 42RU with Accessories				1 2	Units	LED TV 50 inches				1 3	Units	NVR 16 Channels with 8TB HDD				1 4	Pairs	Media Converter 20KMS, Single Mode, Single Fiber				6 5	Unit	Manageable Switch with 16 E</t>
  </si>
  <si>
    <t xml:space="preserve"> Purchase of Essential Items for 2020 CPH Training Participants		 		 	Pure White Antibacterial Liquid Hand Soap 225ml	 - - -  6,505 bottles 	    (with hand pump)	 	Toilet paper 2-ply (pack of 6 rolls)	                - - -   6,505 packs 	Isopropryl Alcohol</t>
  </si>
  <si>
    <t xml:space="preserve"> PURPOSE: FOR USE IN PATIENT MONITOR AT MICU Fax your Price Quotation at Tel. Fax#: 426-30-45 / 927-64-26 local 2561 or Email at bacveterans@gmail.com. Please indicate the brand name and complete specifications.</t>
  </si>
  <si>
    <t xml:space="preserve"> Specification: Overall Size: 24(H) x 17(W) Inches Cover Page Size: 10(H) x 17(W) Inches Calendar Page Size: 12 pages (14x17”) 1 month per page Format: Dates on the left side, other contents on the right side Paper: Photo paper, glossy Process: Offset Colo</t>
  </si>
  <si>
    <t xml:space="preserve"> This procurement is subject to Ordering Agreement. Bid Documents Fee P 5,000.00 Submission and receipt of Bids/ Opening of Bids Date: July 14, 2020 Time: 10:00 AM Venue: Conference Room, Municipal Hall Bldg., Laur, Nueva Ecija</t>
  </si>
  <si>
    <t xml:space="preserve"> Fuel &amp; Lubricants</t>
  </si>
  <si>
    <t xml:space="preserve"> 1 unit Floor-Mounted 3.0 Tons Airconditioner - Power Consumption: 3400 Watts - Heavy Duty - 18Hr Timr, Anti-Rust Body - R22 Refregerant, Anti-Rust Body - Heavy Duty, 18hr Timer - Easy Installation &amp; Maintenance - With On-site Installation</t>
  </si>
  <si>
    <t xml:space="preserve"> General Disenfection of LWUA Building and perimeter areas using FDA-approved disenfectant Method of Control: 1. Residual spraying of office fixtures, common areas &amp; perimeter areas; 2. Misting of office space using misting machine; 3. Mist blower of perim</t>
  </si>
  <si>
    <t xml:space="preserve"> Suggamadex 100mg/ml, 2ml (as sodium) Requirements for Drugs and Medicines: **Drugs with history of usage from VMMC (Requirements No. 1-5 only) ** **For Innovators (Requirements No. 1-4 only) ** 1. CPR 2. CGMP 3. LTO 4. CERTIFICATE OF DISTRIBUTOSHIP 5. CER</t>
  </si>
  <si>
    <t xml:space="preserve"> Republic of the Philippines Barangay Ilayang Tayuman San Francisco, Quezon INVITATION TO BID FOR Procurement of Materials for the Repair and Maintenance of Barangay Road (KALAHI Project) Ilayang Tayuman, San Francisco, Quezon. 1. The Sangguniang Barangay </t>
  </si>
  <si>
    <t xml:space="preserve"> Please see "associated component" for the specifications</t>
  </si>
  <si>
    <t xml:space="preserve"> PURCHASE OF OFFICE SUPPLIES AND CONSUMABLES</t>
  </si>
  <si>
    <t xml:space="preserve"> Republic of the Philippines Province of Negros Occidental MUNICIPALITY OF HINOBA-AN Bids and Awards Committee E-mail: municipality_hinobaan@yahoo.com INVITATION TO BID The Municipality of  Hinoba-an, Negros Occidental through its Bids and Awards Committee</t>
  </si>
  <si>
    <t xml:space="preserve"> Place of Delivery: Office of the MENRO, Moncada, Tarlac Specification min. requirements: 1. 4 stroke OHC, Air cooled Engine 150 cc carburetor , Manual Trans, 8.23 KW max power. 11.60 Nm 2. Kick and Electric start 3. Telescopic Front and Twin rear suspensi</t>
  </si>
  <si>
    <t xml:space="preserve"> Reference No. PR # 20-06-0764 PRICE QUOTATION FORM (BID FORM) Sealed Bids shall be dropped in the BIDDERS BOX on or before 2:00 P.M.  June 25, 2020    placed at the office of the Chairman of the College BAC. Thereafter, the Bidder's Box shall be sealed un</t>
  </si>
  <si>
    <t xml:space="preserve"> Republic of the Philippines BIDS AND AWARDS COMMITTEE Province of Iloilo Invitation to Bid Purchase of  DRUGS AND MEDICINES Bid No. JCH-20-0456-B 1. The Iloilo Provincial Government, through the 2020 GENERAL FUND intends to apply the sum of FIVE  HUNDRED </t>
  </si>
  <si>
    <t xml:space="preserve"> Issuance of Bid Documents Starts: June 24, 2020 Cost of Bid Document: Php 2,000.00 Venue of Dropping and Opening Bids: BAC Conference Room, Leyte SMED Center, Provincial Capitol Grounds, Tacloban City</t>
  </si>
  <si>
    <t xml:space="preserve"> Please see the attached Purchase Request for P.R. No. 20-0031 for the procurement of One (1) Lot Lay-Out, Graphic Design, and Photography for the 2019 GCG Annual Report with the Approved Budget for the Contract (ABC) of (₱200,000.00) and the Terms of Refe</t>
  </si>
  <si>
    <t xml:space="preserve"> DEPARTMENT OF ENVIRONMENT &amp; NATURAL RESOURCES-CAR Baguio City                                              Bids and Awards Committee						                                      	        REQUEST FOR QUOTATION                            (ABC:  Php 50,001.00 </t>
  </si>
  <si>
    <t xml:space="preserve"> Procurement of 1 Lot Vehicle parts and Accessories</t>
  </si>
  <si>
    <t xml:space="preserve"> REQUEST FOR QUOTATION The City Government of Malolos, through its BIDS and AWARDS COMMITTEE (BAC) Invites Suppliers/Manufacturers/Distributors to Bid for hereunder procurement:  Name of Project : 8 PCS TIRE 205/65 R16 FOR THE USE OF ASSESSOR AND          </t>
  </si>
  <si>
    <t xml:space="preserve"> PURPOSE: FOR USE OF ANESTHESIA MACHINE AT WARD 9. Fax your Price Quotation at Tel. Fax#: 426-30-45 / 927-64-26 local 2561 or Email at bacveterans@gmail.com. Please indicate the brand name and complete specifications.</t>
  </si>
  <si>
    <t xml:space="preserve"> REQUEST FOR QUOTATION													 													 RFQ No.		SVP 20 -0324				Date				3/3/2020			 PR Reference		100-20-02-053				Implementing Office				City Engineer's Office			 Closing Date and Time						3/ 10/2020@ 5:00PM							 Designated Places of Submiss</t>
  </si>
  <si>
    <t xml:space="preserve"> Invitation to Bid for  Construction of Local Access Road in Brgy. Cogon The Municipal Government of Lezo through the Assistance to Municipalities 2019  intends to apply the sum of Four Million Pesos Only (PhP4, 000, 000.00)  being the Approved Budget for </t>
  </si>
  <si>
    <t xml:space="preserve"> PURPOSE: FOR USE IN MONITORING DEVICE AT O.R. (ATTACHED RPRI #2020-01-016) Fax your Price Quotation at Tel. Fax#: 426-30-45 / 927-64-26 local 2561 or Email at bacveterans@gmail.com. Please indicate the brand name and complete specifications.</t>
  </si>
  <si>
    <t xml:space="preserve"> Republic of the Philippines Province of Southern Leyte MUNICIPALITY OF LIMASAWA -o0o- Bids and Awards Committee Invitation to Bid for the Procurement of 5 units Collapsible Tent of the Municipality of Limasawa, Southern Leyte  1.	The Local Government Unit</t>
  </si>
  <si>
    <t xml:space="preserve"> Republic of the Philippines PROVINCE OF QUEZON MUNICIPALITY OF POLILLO ***** INVITATION TO BID FOR:  REPAIR &amp; MAINTENANCE-GOVERNMENT BUILDINGS &amp; OTHER STRUCTURES (MDRRM OFFICE) BRGY. POBLACION, POLILLO, QUEZON 1.	The Municipality of Polillo, through the S</t>
  </si>
  <si>
    <t xml:space="preserve"> 2,016 heads - Ready to Lay Chicken (pullet) Lohman layer or Dekalb Layer Age: Not less than 5 months Minimum bodyweight 1-1.5 kilogram upon delivery Tested free from Avian Influenza and NewCastle Disease Must not possess physical defects or undesirable ch</t>
  </si>
  <si>
    <t xml:space="preserve"> 1.	The Municipality of Impasugong, through the 20% DF – Rehabilitation of Multi-Purpose Halls – Cawayan intends to apply the sum of One Million Pesos (PhP1,000,000.00) being the Approved Budget for the Contract (ABC) to payments under the contract for PR </t>
  </si>
  <si>
    <t xml:space="preserve"> Republic of the Philippines Province of Pangasinan Municipality of Bolinao Tel. No. (075) 632-4346 Invitation to Bid 1.	The Local Government Unit of Bolinao Pangasinan intends to apply the sum of One Million Seven Hundred Eighty Thousand Six Hundred Sixty</t>
  </si>
  <si>
    <t xml:space="preserve"> The AGRICULTURAL TRAINING INSTITUTE-REGIONAL TRAINING CENTER (ATI-RTC) X, through the 2020 General Appropriations Act intends to apply the sum of Four Hundred Thirteen Thousand Two Hundred Fifty Pesos (P 413,250.00) being the Approved Budget for the Contr</t>
  </si>
  <si>
    <t xml:space="preserve"> 1	roll	THHN wire</t>
  </si>
  <si>
    <t xml:space="preserve"> Provincial Health Office Agusan del Norte</t>
  </si>
  <si>
    <t xml:space="preserve"> This is used for minor health problems for our school children and other personnel.</t>
  </si>
  <si>
    <t xml:space="preserve"> hardware and painting materials</t>
  </si>
  <si>
    <t xml:space="preserve"> INVITATION FOR NEGOTIATED PROCUREMENT  DUE TO TWO FAILED BIDDINGS Invitation to Bid (ITB) 2020-06-11 1.	The Department of Social Welfare and Development – National Capital Region intends to procure Procurement of Fuel (Gasoline and Diesel) through Fleet C</t>
  </si>
  <si>
    <t xml:space="preserve"> 30	Pcs	2” dia. X 6m GI Pipe sched. 40 30	Rolls	Galvanized barbed wire, 20m per roll 6	Rolls	2” x 2” Cyclone wire, 5ft high x 14ft long 6	Pcs	1” dia. Cylindrical hinges 10	Kgs	Welding rod 6013, thin 10	Pcs	Cutting disc, thin 3	Gal	Epoxy primer, gray 2	Gal	</t>
  </si>
  <si>
    <t xml:space="preserve"> LGU-KALILANGAN, BUKIDNON						 						 Standard Form Number: SF-GOOD-59			Project Reference Number :			Nego/SVP 2020-06-037 Revised on May 24, 2004			Name of the Project :			 Standard Form Title : Purchase Request			Location of the Project :			Kalilangan, </t>
  </si>
  <si>
    <t xml:space="preserve"> SUPPLIES FOR STI AND HIV TESTING KIT FOR PREGNANT MOTHERS - MHO (20-03-0642X) 1	80	Box	HIV test Kit      (30 Card per Box) 2	30	Box	One Step Anti TP (Treponema Pallidum /Syphilis) Test 3	30	Box	One Step HBsAg &amp; HBsAb Test      (50 Strips per Box)</t>
  </si>
  <si>
    <t xml:space="preserve"> 927 boxes - Shipping of Family Planning Commodities (Progestin Sub-Dermal Implant-PSI) Scope of Works: Shipped via sea/land/trucking cargo Payment to supplier is thru LDDAP-ADA Pick-up point is at POPCOM Warehouse, Mandaluyong City Pick-up should be w</t>
  </si>
  <si>
    <t xml:space="preserve"> Republic of the Philippines CARAGA Administrative Region PROVINCE OF DINAGAT ISLANDS San Jose, Dinagat Islands BIDS AND AWARDS COMMITTEE INVITATION TO BID FOR  SUPPLY AND DELIVERY OF ONE (1) UNIT BRAND NEW 4X4 PICK-UP 1.	The Provincial Government of Dinag</t>
  </si>
  <si>
    <t xml:space="preserve"> DRUGS &amp; MEDICINES - MHO (20-06-0946) 1	576	drops	Paracetamol, 100mg/ml drops, 15ml 2	288	bottle	Paracetamol, 125mg/5ml, 60ml 3	144	bottle	Paracetamol, 250mg/5ml, 60ml 4	5000	tab	Paracetamol, 500mg/tab 5	1500	tab	Cetrizine, 10mg/tab 6	432	syrup	Cetrizine, </t>
  </si>
  <si>
    <t xml:space="preserve"> LOT 7: 83 HEADS CARABAO (HEIFER) - MINIMUM OF 20 UP TO 24 MONTHS - MINIMUM BODYWEIGHT OF 200 KG. UPON DELIVERY - VACCINATED W/ HEMORRHAGIC SEPTICEMIA AT LEAST 2 WEEKS PRIOR TO SHIPMENT - TESTED FREE FROM BRUCELLOSIS, TUBERCULOSIS &amp; SURRA - MUST NOT POSSES</t>
  </si>
  <si>
    <t xml:space="preserve"> INVITATION TO BID: 1.  Project Title:  Procurement of Reference Books and Instructional Materials for College of Engineering Library 2.  Approved Budget for the Contract:  Php 1,812,055.45 3.  Pre-bid Conference: June 2, 2020, Dr. Pablo T. Mateo Conferenc</t>
  </si>
  <si>
    <t xml:space="preserve"> Seven (7) Days Catering Services for Lake Danao Natural Park – Technical Working Group (LDNP-TWG) Members Meeting from 6th to 12th Technical Working Group (TWG) Meeting for 30 Pax 6th TWG Meeting June 26, 2020 for 30 Pax	30	PAX AM SNACK		 LUNCH		 PM SNACK</t>
  </si>
  <si>
    <t xml:space="preserve"> SUPPLY AND DELIVERY FOR THE INSTALLATION OF STREETLIGHTS</t>
  </si>
  <si>
    <t xml:space="preserve"> Republic of the Philippines			 			Department of Agriculture			 			         BUREAU OF FISHERIES AND AQUATIC RESOURCES			 			Fisheries Regional Office No. 10			 			Macabalan, Cagayan de Oro City			 			TIN – 000-550-823-017			 _______________________________</t>
  </si>
  <si>
    <t xml:space="preserve"> LGU-KALILANGAN, BUKIDNON						 						 Standard Form Number: SF-GOOD-59			Project Reference Number :			Nego/SVP 2020-06-038 Revised on May 24, 2004			Name of the Project :			 Standard Form Title : Purchase Request			Location of the Project :			Kalilangan, </t>
  </si>
  <si>
    <t xml:space="preserve"> INVITATION TO BID  The Local Government Unit of Don Victoriano, through its Bids and Awards Committee (BAC), invites suppliers/contractors to apply for eligibility and to bid for the hereunder project: Name of Project:			Construction of Motorpool Phase-I	</t>
  </si>
  <si>
    <t xml:space="preserve"> Please quote your best price Repair and Maintenance Labor and Materials  SITE PREPARATIONS •1 lumpsum Chipping of necessary existing wall center for installation of wiring for power supply and piping system of the split type air conditioning unit. ABC 3,0</t>
  </si>
  <si>
    <t xml:space="preserve"> 1	1	SET	N-COMPUTING L300 SERIES, 25 LED MONITOR,25 MOUSE AND 25 KEYBOARD WITH SERVER 2	1	PIECE	LAPTOP  CORE I3 2.0 GH2, 3MB L3 CACHE INTEL HD GRAPHICS 3,500 , UP TO 2133 MB DYNAMIC VIDEO MEMORY, 4GB DDR3 L MEMORY, 15.6" FULL HD (1920 X 1080) WIDE SCREEN</t>
  </si>
  <si>
    <t xml:space="preserve"> REQUEST FOR PRICE QUOTATION ________________________	 (Name of External Provider) ________________________ (Address) ________________________ (Address) Please quote your lowest price on the item listed below, subject to the General Conditions on the latte</t>
  </si>
  <si>
    <t xml:space="preserve"> Republic of the Philippines Province of Bukidnon MUNICIPALITY OF LIBONA INVITATION TO BID 	The Local Government Unit of libona, through its Bids and Awards Committee (BAC) invites Suppliers/manufacturers/distributors/contractors with to apply for eligibil</t>
  </si>
  <si>
    <t xml:space="preserve"> Republic of the Philippines Province of Nueva Vizcaya BIDS AND AWARDS COMMITTEE (BAC-Goods) BAC OFFICE, Provincial Capitol, Bayombong, Nueva Vizcaya 	 REQUEST FOR QUOTATION (RFQ)  For the Procurement of Siphoning of Various Septic Tanks/Vaults at Capitol </t>
  </si>
  <si>
    <t xml:space="preserve"> Department of Public Works and Highways (DPWH) Contract ID: 20G00102 Contract Name: Construction/Rehabilitation of Water Supply/Septage and Sewerage/Rain Water Collectors – Rainwater Collector in Public Facilities in Region VI – Ten (10) units at NEGROS O</t>
  </si>
  <si>
    <t xml:space="preserve"> CABLE CONTROL</t>
  </si>
  <si>
    <t xml:space="preserve"> Republic of the Philippines BIDS AND AWARDS COMMITTEE Province of Iloilo Invitation to Bid Purchase of  I.V. FLUIDS Bid No. JCH-20-0224-B 1. The Iloilo Provincial Government, through the GENERAL FUND 2020 intends to apply the sum of ONE MILLION ONE HUNDRE</t>
  </si>
  <si>
    <t xml:space="preserve"> 1	units	Multifunction Copier 		 		PRINT SPEED: Up to 22 ppm			 		PRINT RESOLUTION: 1,800 (equivalent) x 600 dpi			 		PAPER WEIGHT: 60-256 gsm			 		PAPER SIZES: A5-A3, customised paper sizes (width: 90 - 			 		270 mm, length: 139.7 mm - 431.8 mm), banner p</t>
  </si>
  <si>
    <t xml:space="preserve"> 1.	The Barangay Tomado, Aleosan, Cotabato, through the DSWD KALAHI CIDSS PAMANA IP CDD intends to apply the sum of ONE MILLION EIGHT HUNDRED THREE THOUSAND PESOS ONLY (P1,803,000.00) being the Approved Budget for the Contract (ABC) to payments under the c</t>
  </si>
  <si>
    <t xml:space="preserve"> NDSS LPG CONSUMPTION FROM JULY TO DECEMBER 2020</t>
  </si>
  <si>
    <t xml:space="preserve"> REQUEST FOR QUOTATION The City Government of Malolos, through its BIDS and AWARDS COMMITTEE (BAC) Invites Suppliers/Manufacturers/Distributors to Bid for hereunder procurement:  Name of Project : PURCHASE OF 4 UNITS DESKTOP COMPUTER Requesting Office : MA</t>
  </si>
  <si>
    <t xml:space="preserve"> REQUEST FOR QUOTATION The City Government of Malolos, through its BIDS and AWARDS COMMITTEE (BAC) Invites Suppliers/Manufacturers/Distributors to Bid for hereunder procurement:  Name of Project : 2 UNITS AIRCON 1.5 HP (WINDOW TYPE) Requesting Office :RHU </t>
  </si>
  <si>
    <t xml:space="preserve"> Contruction Materials and Supply for ICT Tables</t>
  </si>
  <si>
    <t xml:space="preserve"> LOT 10: 4,885 BAGS - CERTIFIED PALAY SEEDS INC. OF TRANSPORT COST VARIETIES: PSB Rc18, NSIC Rc160, Rc216, Rc218, Rc402 DELIVERED IN MUNICIPALITIES: ROMBLON - 2,885 MARINDUQUE - 2,000</t>
  </si>
  <si>
    <t xml:space="preserve"> RFQ-2020-180		 			OFFICE SUPPLIES 1.	4	rolls	Adding Machine paper 57mm x 70mm 2.	1	pc.	Adding machine ink 3.	400	pcs.	Ballpen black 4.	50	pcs.	Ballpen blue 5.	30	pcs.	Ballpen red 6.	100	pcs.	Battery "AA" (energizer) 7.	50	pcs.	Battery "AAA" energizer 8.	2</t>
  </si>
  <si>
    <t xml:space="preserve"> Department of Public Works and Highways (DPWH) Contract ID: 20G00103 Contract Name: Construction/Rehabilitation of Water Supply/Septage and Sewerage/Rain Water Collectors – Rainwater Collector in Public Facilities in Region VI – Nine (9) units at ILOILO A</t>
  </si>
  <si>
    <t xml:space="preserve"> 5,800 LITERS - LOT 4: MICRONUTRIENT FERTILIZER/ SOIL FERTILIZER ORGANIC, SEAWEED-BASED LIQUID COMPONENT OF N P K AND AT LEAST 12 TRACE ELEMENTS GROWTH HORMONES OF AUXINS, GIBBERELLINS &amp; CYTOKININS INCLUSIVE OF TECHNOLOGY BRIEFING DELIVERED IN MUNICIPALITI</t>
  </si>
  <si>
    <t xml:space="preserve"> Provincial Governor's Office Agusan del Norte</t>
  </si>
  <si>
    <t xml:space="preserve"> office and school supplies A4 biond paper epson ink complete set</t>
  </si>
  <si>
    <t xml:space="preserve"> Republic of the Philippines							 PROVINCE OF ZAMBOANGA SIBUGAY							 Municipality of Talusan							 -7012-							 OFFICE OF THE BAC CHAIRMAN							 							 INVITATION TO BID							 							 NOTICE TO THE PUBLIC:							 							 	Notice is hereby served t</t>
  </si>
  <si>
    <t xml:space="preserve"> Republic of the Philippines Province of Pangasinan Municipality of Bolinao Tel. No. (075) 632-4346 Invitation to Bid 1.	The Local Government Unit of Bolinao Pangasinan intends to apply the sum of One Million Five Hundred Thousand Pesos Only (Php1,500,000.</t>
  </si>
  <si>
    <t xml:space="preserve"> 30 pcs. Visitor's Chair SCW114FM (Leatheret) 46cm x 44cm x 81cm</t>
  </si>
  <si>
    <t xml:space="preserve"> ABSORBENT OIL-SPILL &amp; 6 other items</t>
  </si>
  <si>
    <t xml:space="preserve"> 1.) Bond paper, A4, sub 20 = 50 ream 2.) Bond paper, long, sub 20 = 50 ream 3.) Ball pen, 0.7mm, blue, 12's = 10 box 4.) Ball pen, 0.7mm, black, 12's = 10 box 5.) Ink refill, Epson, 664, black = 12 bottle 6.) Ink refill, Epson, 664, cyan = 12 bottle 7.) I</t>
  </si>
  <si>
    <t xml:space="preserve"> Procurement of Fifty (50) Pax Meals &amp; Snacks (2 Days) Only</t>
  </si>
  <si>
    <t xml:space="preserve"> Republic of the Philippines Province of Surigao del Sur Municipality of Lanuza INVITATION TO BID  PROCUREMENT OF ONE (1) UNIT PATIENT TRANSPORT VEHICLE 1.	The Local Government of Lanuza, Surigao del Sur has availed grant funds from the Local Government Su</t>
  </si>
  <si>
    <t xml:space="preserve"> Concreting of Farm to Market Road (Gosi Sur, Tuguegarao City)</t>
  </si>
  <si>
    <t xml:space="preserve"> Drilling Machine</t>
  </si>
  <si>
    <t xml:space="preserve"> NOTE:	1.   ALL ENTRIES MUST BE TYPEWRITTEN OR LEGIBLY WRITTEN WITHOUT ALTERATIONS				 	      IF THERE IS ANY SAME SHALL BE INITIALED BY AUTHORIZED PERSONNEL.				 	2.   DELIVERY PERIOD WITHIN ______ DAYS FROM RECEIPT OF PURCHASE ORDER OR LETTER ORDER				 	</t>
  </si>
  <si>
    <t xml:space="preserve"> 2     pcs     Tires 16.0 x 34 with inner tube</t>
  </si>
  <si>
    <t xml:space="preserve"> PURCHASE INDOOR CCTV  HIKVISION CAMERA 2MP FOR BRGY. NEW VISAYAS NOTE: Please see attached link below on Other Information for more reference.</t>
  </si>
  <si>
    <t xml:space="preserve"> ARGON GAS &amp; 2 other items</t>
  </si>
  <si>
    <t xml:space="preserve"> Hiring of Technical Consultant for Supply Chain Management from July 6 – December 31, 2020 Please see attached Terms of Reference (TOR) Please attach quotation with the ff: 1.	PhilGEPS Certification/Registration Number (Snap Shot of Certificate) 2.	Curric</t>
  </si>
  <si>
    <t xml:space="preserve"> "Item   Qty-         Description                   Approved Budget  No."	  Unit	                                  Ceiling per unit (Php) 1	1 kit	      Alkaline Phosphatase	           3,000.00 		 2	1 kit	      Biliburin Direct and Total	   5,500.00 		 3	1 </t>
  </si>
  <si>
    <t xml:space="preserve"> Repair of Multi-Purpose Center at Sitio Binagasbasan, and Brgy. Paraiso, San Miguel, Catanduanes. Scope of Works:  Repair of Multi-Purpose Center @ Paraiso: Demolition (roof/roof framings, beams) and chipping of concrete, Foundation Excavation, Concrete W</t>
  </si>
  <si>
    <t xml:space="preserve"> I. MATERIALS 1 LOT II. LABOR  LUMPSUM III. ENERGY DEPOSIT (INSTALLATION &amp; INSPECTION FEE) LUMPSUM</t>
  </si>
  <si>
    <t xml:space="preserve"> INVITATION TO BID  IB-2020-008-GOODS-TEC Supply and Delivery of Materials for the In-House Installation of Traffic Signal Facilities as per Request of Various LGUs 1.	The Metropolitan Manila Development Authority (“MMDA”), through the  RA 11465 GENERAL AP</t>
  </si>
  <si>
    <t xml:space="preserve"> 1.  Diesel  4,260 liters 2.  Oil &amp; Lubricants (lumpsum)</t>
  </si>
  <si>
    <t xml:space="preserve"> INVITATION TO BID  IB-2020-007-GOODS-PIO Procurement of one (1) lot Blowing and Percussion Instruments for the use of MMDA Band – Public Affairs Office 1.	The Metropolitan Manila Development Authority (“MMDA”), through the 2019 Local Fund 2020 Regular 201</t>
  </si>
  <si>
    <t xml:space="preserve"> 1 1700 SERV. LIGHT MEAL - MEAL-B1-150 GRMS. STEAMED RICE,AMPALAYA W/ EGG,CHORIZO,COFFEE,BANANA/MELON - MEAL-B2- 150 GRMS. STEAMED RICE,1 BOILED EGG,1 HOTDOG,CORNED BEEF,COFFEE,BANANA/MELON - MEAL-B3-150 GRMS. STEAMED RICE, 100 GRMS. PAKSIW FISH,SCRAMBLE E</t>
  </si>
  <si>
    <t xml:space="preserve"> MULTI TESTER MULTIMEDIA</t>
  </si>
  <si>
    <t xml:space="preserve"> MONOBLOC TABLES 36X36	3	pcs CHAIR, MONOBLOC, WHITE, with backrest, w/o armrest	20	pcs DOCUMENT SCANNER, mobile, 2 sided	3	pcs DOCUMENT SCANNER, feed type	1	pc  LAMINATING MACHINE, A3 size	1	unit FLASH DRIVE, USB 3.0, 64GB, OTG	6	pcs PRINTER, INK TANK, all</t>
  </si>
  <si>
    <t xml:space="preserve"> Procurement of 5 Pc Pulse Oximeter &amp; 16 LI</t>
  </si>
  <si>
    <t xml:space="preserve"> 1 unit "Channel Stereo Mixer Professional Mixing Console with Effects (Black) 12-Channel Mixing Console: max. 6 Mic/12 Line Inputs (4 mono + 4 stereo) / 2 GROUP Buses + 1 Stereo Bus / 2 AUX (incl. FX) Max. 6 Mic/12 Line Inouts (4 mono + 4 stereo) 2 GROUP </t>
  </si>
  <si>
    <t xml:space="preserve"> Engine Type: 4 Stroke Air Cooled Single Cylinder</t>
  </si>
  <si>
    <t xml:space="preserve"> Date: June 22 2020    	   	  	  	                        	  Quotation No.100-20-06-391                   REQUEST FOR QUOTATION  (For Immediate Purchase Pursuant to Section 52.1a of the Revised IRR, RA 9184)   Item No.  	Qty.  	Unit  	Description  	ABC  	U</t>
  </si>
  <si>
    <t xml:space="preserve"> LOT 8: 379 HEADS SWINE (GILT) - CROSSBRED OF LARGE WHITE AND LANDRACE - NOT LESS THAN 6 MONTHS OF AGE - MINIMUM BODYWEIGHT OF 60 KG. UPON DELIVERY - VACCINATED AGAINST HOG CHOLERA AND SWINE INFLUENZA - TESTED FOR PRRS, BRUCELLOSIS &amp; LEPTOSPIROSIS - FEMINI</t>
  </si>
  <si>
    <t xml:space="preserve"> 1. 30 PCS Purlins No. 3 2. 45 pcs Angle Bar 3/16 x  1 x 1 x 20 3. 30 Square Bar 10mm 4. 37 mtrs. Customized Gutter 5. 11 pcs Spanish Rain Gutter - 8ft 6. 490 pcs Texscrew No. 1 1/2 7. 2 boxes Blind Rivets No. 1/8 8. 5 pcs Hacksaw Blade 9. 1 Gal Red Oxide </t>
  </si>
  <si>
    <t xml:space="preserve"> Procurement of office supplies</t>
  </si>
  <si>
    <t xml:space="preserve"> LAPTOP - MO (20-CT-0017) 1	1	unit	Laptop (Intel Core i7 8550U Processor, 			8GB DDR Memory, 13.3" FHD Display, 			256GB SSD, Windows 10 Operating 			System 8th Gen)</t>
  </si>
  <si>
    <t xml:space="preserve"> SEE ATTACHED RFQ</t>
  </si>
  <si>
    <t xml:space="preserve"> POWER SPRAYER TANK DISINFECTANT SPRAY (LYSOL) AEROSOL TYPE			 BLEACHING LIQUID 			 DISINFECTING MAT   HAND FREE SANITIZER DISPENSER FOOT OPERATED ALCOHOL STAND (NO TOUCH)			 MULTIVITAMINS			 AA BATTERY 			 ANTIBACTERIAL SOAP (SAFEGUARD)			 TISSUE 12 ROLLS</t>
  </si>
  <si>
    <t xml:space="preserve"> ITEMNO. 	ITEM  &amp; DESCRIPTION	QTY.	UOM 			 1_ _ _ _Amlodipine 10mg tablet_ _ _ _ _45,000	tabs 2_ _ _ _Losartan 50mg tablet _ _ _ _ _ _71,500	tabs 3_ _ _ _Metoprolol 50mg tablet _ _ _ _ _12,000	tabs 4_ _ _ _Metformin 500mg tablet _ _ _ _ _7,100	tabs</t>
  </si>
  <si>
    <t xml:space="preserve"> The City Government of Malolos, through its BIDS and AWARDS COMMITTEE (BAC) Invites Suppliers/Manufacturers/Distributors to Bid for hereunder procurement:  Name of Project : PURCHASE OF 1,150 CERTIFIED SEEDS (40 KGS/BAG) Requesting Office : CITY AGRICULTU</t>
  </si>
  <si>
    <t xml:space="preserve"> Republic of the Philippines PROVINCE OF Zamboanga del Norte Municipality of Sibutad BIDS AND AWARDS COMMITTEE Date: JUNE 24, 2020 Project Reference No. GFP100-2020-03-029   DATED: MARCH 12, 2020 Name of the Project: Procurement of Meals &amp; Snacks during th</t>
  </si>
  <si>
    <t xml:space="preserve"> 826 boxes - Bacillus thuringesis subsp. Aizawai (500grams) 943 bottles - Chlorfluazuron (500ml)  1,428 bottles - Chloratranilipole (250ml) 578 bottles - Spinetoram (250ml) Delivery Breakdown: Barcenaga, Naujan, Oriental Mindoro 451 boxes - Bacillus thurin</t>
  </si>
  <si>
    <t xml:space="preserve"> EPSON INK, 664 EPSON INK, 003  BROTHER INK PLASTIC ENVELOPE WITH HANDLE EXPANDING ENVELOPE WITH GARTER POST BREAKER BROWN ENVELOPE LONG DOCUMENTARY STAMP COPY PAPER LONG</t>
  </si>
  <si>
    <t xml:space="preserve"> 1.	The West Visayas State University Medical Center, through its Use of Income Fund 2020 intends to apply the sum of TWO MILLION PESOS (PhP 2,000,000.00) ONLY being the Approved Budget for the Contract (ABC) to payments under the contract for the Procurem</t>
  </si>
  <si>
    <t xml:space="preserve"> INVITATION TO SUBMIT QUOTATION Date: June 23, 2020 Canvass/Quotation No.: 2020-06-069 To All Eligible Service Providers/Bidders I. Please quote your lowest price inclusive of VAT on the items/ listed below, subject to the Terms and Conditions of this RFQ </t>
  </si>
  <si>
    <t xml:space="preserve"> INVITATION TO BID: 1. Project Title: Procurement of Reference Books and Instructional Materials for PUP Branches and Campuses 2. Approved Budget for the Contract: Php 3,996,727.93 3. Pre-bid Conference: June 2, 2020, 10:00 a.m. Dr. Pablo T. Mateo Conferen</t>
  </si>
  <si>
    <t xml:space="preserve"> OFFICE SUPPLIES - MHO (NP-20-0897X) 1	20	bott	Disninfectant Spray,- 2	500	pc	Garbage   Bag, black , XL 3	50	bott	Liquid soap, 4	1500	pc	Sterile Tongue( depressor) 5	20	pc	Duct Tape 6	50	pack	Battery , triple AAA 7	100	pc	Ball Pen, Ordinary</t>
  </si>
  <si>
    <t xml:space="preserve"> Republic of the Philippines DEPARTMENT OF PUBLIC WORKS AND HIGHWAYS CAGAYAN THIRD DISTRICT ENGINEERING OFFICE REGION II Tuguegarao City The DPWH-CAGAYAN THIRD DISTRICT ENGINEERING OFFICE, through the CY 2020 - BEFF intends to apply the sum of P18,353,729.</t>
  </si>
  <si>
    <t xml:space="preserve"> 2 ea drum cartridge (xerox) &amp; 4 others</t>
  </si>
  <si>
    <t xml:space="preserve"> SAFETY SHOES</t>
  </si>
  <si>
    <t xml:space="preserve"> Lunch - Day 1-3 (175 pax/day)  Snack AM - Day 1-3 (175 pax/day) Snack PM - Day 1-3 (175 pax/day)</t>
  </si>
  <si>
    <t xml:space="preserve"> Individual Consultant for the Improvement and Project Management/Supervision on Repair of POPCOM CO/NCR/Region IV Building Complex and its Facilities Duration: July-December 2020 Please see attached Terms of Reference (TOR) Please attach quotation with th</t>
  </si>
  <si>
    <t xml:space="preserve"> FLUID &amp; 5 other items</t>
  </si>
  <si>
    <t xml:space="preserve"> PURCHASE OUTDOOR CCTV HIKVISION OUTDOOR CCTV HEAVY DUTY FOR BRGY. NEW VISAYAS NOTE: PLEASE SEE ATTACHED LINK BELOW ON OTHER INFORMATION FOR MORE REFERENCE</t>
  </si>
  <si>
    <t xml:space="preserve"> Republic of the Philippines DEPARTMENT OF PUBLIC WORKS AND HIGHWAYS CAGAYAN THIRD DISTRICT ENGINEERING OFFICE REGION II Tuguegarao City The DPWH-CAGAYAN THIRD DISTRICT ENGINEERING OFFICE, through the CY 2020 - BEFF intends to apply the sum of P15,271,813.</t>
  </si>
  <si>
    <t xml:space="preserve"> 1    unit Computer with accessories 1    unit Printer L6170 4 in 1 (Epson) 1    pc  Epson ink 001 - black (127ml) 1    pc  Epson ink 001- yellow (70ml) 1    pc  Epson ink 001- Magenta (70ml) 1    pc  Epson ink 001-Cyan (70ml)</t>
  </si>
  <si>
    <t xml:space="preserve"> SAPALAN RIP CY 2020 PACKAGE 7:   Construction of 1-unit Sapalan Main Office Building</t>
  </si>
  <si>
    <t xml:space="preserve"> 175     sets     Florescent Light 40W 8         sets     Florescent Light 20W 75       pcs      Compact bulb 26w 10       sets     2 gang outlet 15       sets     1 gang switch 2         sets     2 gangs switch 3         sets     3 gangs switch</t>
  </si>
  <si>
    <t xml:space="preserve"> SEEDLINGS</t>
  </si>
  <si>
    <t xml:space="preserve"> Republic of the Philippines Province of Surigao del Sur Municipality of Lanuza Invitation to Bid for a Contract to Concreting of Road Infront of Municipal Hall 1.	The Local Government of Lanuza, Surigao del Sur has an available fund from 20% Local Develop</t>
  </si>
  <si>
    <t xml:space="preserve"> Republic of the Philippines PROVINCE OF ZAMBOANGA DEL NORTE BIDS AND AWARDS COMMITTEE (BAC) BAC Conference Room, 2nd  Floor ZNCEC, Dipolog City Tel. # (065) 212-6492 Telefax # (065) 212-6492 	                                                               </t>
  </si>
  <si>
    <t xml:space="preserve"> Republic of the Philippines DEPARTMENT OF PUBLIC WORKS AND HIGHWAYS CAGAYAN THIRD DISTRICT ENGINEERING OFFICE REGION II Tuguegarao City The DPWH-CAGAYAN THIRD DISTRICT ENGINEERING OFFICE, through the CY 2020 - BEFF intends to apply the sum of P14,984,179.</t>
  </si>
  <si>
    <t xml:space="preserve"> TIRES</t>
  </si>
  <si>
    <t xml:space="preserve"> The Zamboanga del Norte 3rd District Engineering Office, through its Bids and Awards Committee (BAC), invites contractors to submit bids for the Contract:												 												 Contract ID:				20JD0109								 Contract Name:				Construction of 1 Unit T</t>
  </si>
  <si>
    <t xml:space="preserve"> Republic of the Philippines Barangay Ilayang Tayuman San Francisco, Quezon INVITATION TO BID FOR Procurement of Materials for the Extension of Pathway at Barangay Ilayang Tayuman, San Francisco, Quezon. 1. The Sangguniang Barangay of Ilayang Tayuman, thro</t>
  </si>
  <si>
    <t xml:space="preserve"> 20 MBPS Burstable Internet Connection Specifications: * Burstable Internet Connection * Install redundant Fiber Optic Link infrastructure * Provide excellent Quality of Service (QoS) for the connection; Expected Service Availability and Reliability must b</t>
  </si>
  <si>
    <t xml:space="preserve"> TALAYAN RIS EXTENSION PROJECT CY 2020: Construction of 2.6 km lined canal at sta. 1+600 to sta. 4+200 Lateral B Extension, 5-units Canal Structures and 2.6km Service Road with Road Surfacing at sta. 1+600 to sta. 4+200 Lateral B Extension.</t>
  </si>
  <si>
    <t xml:space="preserve"> Number: 	Quantity: 	Unit	PPMP_Code	PPMP_Code1	PPMP_Code2	PPMP_Remarks	Particulars	StockNo	Unit_Cost	Estimated_Cost 							Supply and Delivery of VEGETABLE SEEDS			 										 1	163	can	2987-33544		2987-33544-		EGGPLANT, F1 ; Packaging: 50g/can		2,000.00	3</t>
  </si>
  <si>
    <t xml:space="preserve"> LGU-KALILANGAN, BUKIDNON						 						 Standard Form Number: SF-GOOD-59			Project Reference Number :			Nego/SVP 2020-06-042 Revised on May 24, 2004			Name of the Project :			 Standard Form Title : Purchase Request			Location of the Project :			Kalilangan, </t>
  </si>
  <si>
    <t xml:space="preserve"> Request for Quotation: RFQ # 2006-582 1. 1 set Submersible Deep Well PUMP      ( Stainless Stee) 32mm dia. suction pipe x 100mm      size 8 stages stainless steel impeller, coupled with       franklin motor, 2 HP, 230 V single phase 60HZ,      3,450 rpm, </t>
  </si>
  <si>
    <t xml:space="preserve"> 1     unit     Fully Furnished Wood Card Catalogue                    Height 59"                   Width 43"                   Drawers 60 pcs 2     units    Fully Furnished Fabricated Library  Table                   Size: 3 ft x 32 inches</t>
  </si>
  <si>
    <t xml:space="preserve"> PURPOSE: FOR MAINTENANCE USE OF AC/REF. UNIT. (FOR THE MONTH OF JAN.-JUNE, 2020) Fax your Price Quotation at Tel. Fax#: 426-30-45 / 927-64-26 local 2561 or Email at bacveterans@gmail.com. Please indicate the brand name and complete specifications.</t>
  </si>
  <si>
    <t xml:space="preserve"> -	EPOXY PRIMER                       20 Gals. -	LACQUER THINNER                 20 Gals. -	URETHANE PAINT                   16 Gals. -	K-92 URETHANE THINNER       16 Gals. -	SAND PAPER #80                   20 Ft. -	SAND PAPER #100                 20 Ft. </t>
  </si>
  <si>
    <t xml:space="preserve"> LGU-KALILANGAN, BUKIDNON						 						 Standard Form Number: SF-GOOD-59			Project Reference Number :			Shopping 2020-06-031 Revised on May 24, 2004			Name of the Project :			 Standard Form Title : Purchase Request			Location of the Project :			Kalilangan, </t>
  </si>
  <si>
    <t xml:space="preserve"> Delivery of Supplies/Materials</t>
  </si>
  <si>
    <t xml:space="preserve"> FUEL FILTERS/OIL FILTERS</t>
  </si>
  <si>
    <t xml:space="preserve"> 10 sheets Acrylic 3 mm (1/8) 48 x 96 cut into 16 pcs (12 x 24 ft)  preferably brown, brown bronze, or gray</t>
  </si>
  <si>
    <t xml:space="preserve"> INVITATION TO BID									 									 The LOCAL GOVERNMENT UNIT OF SINDANGAN, through its Bids and Awards Committee (BAC), hereby invites suppliers/manufacturers/ distributors/contractors to apply for eligibility and to bid for the hereunder project.						</t>
  </si>
  <si>
    <t xml:space="preserve"> Stock/ Property No.	Unit	Item Description			Quantity 1	   unit	 Air Humidifier, ultrasonic, large capacity 			2 2	   unit	 Cabinet, steel cabinet withn 2 drawers 20"x20" 			1 3	   unit	 Cabinet, steel ca with 4 drawers, auto lock wrinkled 			1 4	   unit	 </t>
  </si>
  <si>
    <t xml:space="preserve"> Delivery Breakdown: Abra de Ilog, Occidental Mindoro - 15 units Magsaysay, Occidental Mindoro - 6 units  Sta. Cruz, Occidental Mindoro - 2 units Rizal, Occidental Mindoro - 8 units San Jose, Occidental Mindoro - 4 units</t>
  </si>
  <si>
    <t xml:space="preserve"> Supply &amp; delivery of: 1	1	unit	HP Desktop Computer 			Specs: 			*23.8 inch 			*Intel core i7 			*4.0 GHz processor 			*8 GB DDR4 SDRAM + 1TB HDD Storage 			*with Microsoft Office &amp; Antivirus License 2	1	unit	Printer 3 in 1 			Specs: 			*Epson L5190 			*Co</t>
  </si>
  <si>
    <t xml:space="preserve"> 1.	Handheld Microphones and Receiver RECEIVER -Single Channel -±0.0005%, Phase Lock Loop frequency control -UHF 618-936 MHz -Frequecy Response: 45Hz～18KHz±1dB -Power Supply: DC 12V / 500 mA -Output Connector: XLR balanced &amp; 6.3φ phone jack unbalanced MICR</t>
  </si>
  <si>
    <t xml:space="preserve"> Delivery Breakdown: RIARC, Alcate, Victoria, Oriental Mindoro</t>
  </si>
  <si>
    <t xml:space="preserve"> Interested bidders are requested to be pre-qualified and to bid for the supply of Labor and Materials for the construction project</t>
  </si>
  <si>
    <t xml:space="preserve"> Rehabilitation of Water System at Brgy. Balatohan, San Miguel, Catanduanes. Scope of Works:  1. 4,000L Water Tank: Staking Layout &amp; False Works, Excavation of Footing &amp; Site, Backfill, Concrete Works for Footing &amp; Slab, Masonry Works, Plastering (one face</t>
  </si>
  <si>
    <t xml:space="preserve"> Medical Supplies 20-05-022 ABC: 183, 925.00 Items: Face Mask Thermal Scanner Face Shield Alcohol Gloves Hygiene Kit</t>
  </si>
  <si>
    <t xml:space="preserve"> INVITATION TO BID  IB-2020-009-GOODS-REG Procurement of Ten (10) units AED Plus Defibrillator with Complete set Accessories for the use of Road Emergency Group 1.	The Metropolitan Manila Development Authority (“MMDA”), through the  2019 LOCAL FUND 2020 Re</t>
  </si>
  <si>
    <t xml:space="preserve"> OFFICE SUPPLIES EXPENSE</t>
  </si>
  <si>
    <t xml:space="preserve"> LED BULB 75 WATSS LED BULB 15 WATTS PHOTO SWITCH (JAPAN MADE) DOOM SHADE "14 DEEP TYPE W/ GOOSE NECK ARM, RECEPTACLE, E 27 PORCELAIN AND WIRE ELECTRICAL  TAPE16MM X 19MM X 16M RECEPTACLE E 27 PORCELAIN TW #14 SOLID WIRE</t>
  </si>
  <si>
    <t xml:space="preserve"> June 23, 2020 REQUEST FOR QUOTATION (RFQ) MEALS FOR PATIENTS FOR THE PERIOD OF JULY 1-15, 2020 1.	The Batangas Medical Center hereinafter referred to as the “Purchaser” now request for submission of price proposal for the procurement of the aforesaid item</t>
  </si>
  <si>
    <t xml:space="preserve"> 1458.93 cu.m Pipeline Excavation 6871.7  Lm  Installation ofPipelines &amp; Fittings 90.00  cu.m  Sand Bedding 1635.68  cu.m Backfilling and Compaction  5.00 units Blow Off Valve Assembly &amp; Air Release Valve 16.00  units Installation of Stubout 2.00  units Si</t>
  </si>
  <si>
    <t xml:space="preserve"> -Stainless Sink with Stand -Foot sanitizing tray -Foot Sanitizing mat -Automotive OBD2 Digital Scanner -Automotive Battery Digital Tester</t>
  </si>
  <si>
    <t xml:space="preserve"> I. SUB-GRADE PREPARATION a) Labor II. AGGREGATES SUB-BASE COURSE a) Materials b) Labor III. PCCP (L=24.0m; W=5m; t=0.20m) a) Materials b) Labor c) Equipment Rental SPL. CONSTRUCTION SAFETY &amp; HEALTH</t>
  </si>
  <si>
    <t xml:space="preserve"> PURCHASE REQUEST			 LGU BUGALLON						 Agency / Procuring Entity						 						 	Department: 		MO		Date:	 						 	Section:				Date:	 						 STOCK 		UNIT	Description	QTY	UNIT COST	AMOUNT NO.						 	1	cavan	50 kls Rice (R160))	625		 			50 kls Rice	425		 			25</t>
  </si>
  <si>
    <t xml:space="preserve"> Republic of the Philippines Barangay Ilayang Tayuman San Francisco, Quezon INVITATION TO BID FOR Procurement of Materials for the Repair and Maintenance of Water Supply System of Barangay Ilayang Tayuman, San Francisco, Quezon. 1. The Sangguniang Barangay</t>
  </si>
  <si>
    <t xml:space="preserve"> Issuance of Bid Documents Starts: May 8, 2020 Cost of Bid Document: Php 1,500.00 Venue of Dropping and Opening Bids: BAC Conference Room, Leyte SMED Center, Provincial Capitol Grounds, Tacloban City</t>
  </si>
  <si>
    <t xml:space="preserve"> PURPOSE: FOR MAINTENANCE USE OF AC/REF. UNIT. (FOR THE MONTH OF KAN-JUNE, 2020) Fax your Price Quotation at Tel. Fax#: 426-30-45 / 927-64-26 local 2561 or Email at bacveterans@gmail.com. Please indicate the brand name and complete specifications.</t>
  </si>
  <si>
    <t xml:space="preserve"> Provision of quality service to the constituents through availability of office supplies, equipment, uniforms, other supplies and the refurbishing of Barangay Poblacion SK Office.</t>
  </si>
  <si>
    <t xml:space="preserve"> Procurement of Medical Supplies for Covid-19</t>
  </si>
  <si>
    <t xml:space="preserve"> INVITATION TO BID (National Competitive Bidding) The BFAR XIII, through its Bids and Awards Committee (BAC), invites eligible suppliers to bid for the hereunder contracts: Project Title: Supply and Delivery of Information Communication Technology (ICT) Eq</t>
  </si>
  <si>
    <t xml:space="preserve"> Philippine Science High School – Central Luzon Campus (PSHS-CLC) wishes to invite proponent for the Supply and Delivery of Laboratory Chemicals of PSHS-CLC with ABC of Sixty-Eight Thousand Four Hundred Pesos only in words and Php 68,400.00 in figures. GAA</t>
  </si>
  <si>
    <t xml:space="preserve"> Please quote your lowest price inclusive of VAT on the item/s listed below, subject to the Terms and Conditions of this RFQ, and submit your quotation duly signed by your representative not later than June 29, 2020 at the Civil Service Commission Regional</t>
  </si>
  <si>
    <t xml:space="preserve"> Cut Off Machine  Router Planner with Blade  Electric Welding Machine Electric Sander  Electric Drill  Electrical Pliers  Pliers  Demolition Jack Hammer  Concrete Cutter Assembly  Electric Sander  Construction Hammer  Construction Saw  Construction Anvil  </t>
  </si>
  <si>
    <t xml:space="preserve"> Materials and Labor for Rehabilitation of Damaged Ceiling and Partition of Former Nursing Conference Room for Psychology Unit Office (See attached file for more detailed information.)</t>
  </si>
  <si>
    <t xml:space="preserve"> Specs: Perimeter Fence: Length: 110.mts. height: 3.00 mts The significant times and deadlines of procurement activities are shown below:  Activities	Schedule 1. Receipt of LOIs from Prospective Bidders	June 24-30,2020 2. Issuance of Bidding Documents	July</t>
  </si>
  <si>
    <t xml:space="preserve"> Republic of the Philippines DEPARTMENT OF PUBLIC WORKS AND HIGHWAYS CAGAYAN THIRD DISTRICT ENGINEERING OFFICE REGION II Tuguegarao City The DPWH-CAGAYAN THIRD DISTRICT ENGINEERING OFFICE, through the CY 2020 - BEFF intends to apply the sum of P14,512,667.</t>
  </si>
  <si>
    <t xml:space="preserve"> BRAKE PADS/SHOE</t>
  </si>
  <si>
    <t xml:space="preserve"> Philippine Science High School – Central Luzon Campus (PSHS-CLC) wishes to invite proponent for the Supply and Delivery of Laboratory Materials of PSHS-CLC with ABC of Sixty-One Thousand Four Hundred Fifty Pesos only in words and Php 61,450.00 in figures.</t>
  </si>
  <si>
    <t xml:space="preserve"> 15 CU.M. DEMOLITION OF EXISTING STRUCTURE 398.2 KGS REBARS 40 SQ.M. FORMWORKS &amp; SCAFFOLDINGS 5.3 CU.M. CONCRETE WORKS 1 I.S ELECTRICAL WORKS 710 SQ.M. CEILING WORKS 718.2 SQ.M. PAINTING WORKS (CEILING) 1 LOT RAILINGS 194 SQ.M. ROOFING SYSTEM</t>
  </si>
  <si>
    <t xml:space="preserve"> 2     units     Air Conditioner floor mounted split type                    5TR including materials and installation</t>
  </si>
  <si>
    <t xml:space="preserve"> DEPARTMENT OF PUBLIC WORKS AND HIGHWAYS CAGAYAN THIRD DISTRICT ENGINEERING OFFICE REGION II Tuguegarao City The DPWH-CAGAYAN THIRD DISTRICT ENGINEERING OFFICE, through the CY 2020 - BEFF intends to apply the sum of P14,212,667.20 being the Approved Budget</t>
  </si>
  <si>
    <t xml:space="preserve"> Purchase of Facility Equipment Item	Quantity	Unit of	Item Description	 No.		Issue		 				 1	3	pcs	Water Dispencer	 2	12	gal	Acrylic Paint Boysen White	 3	1	pcs	Sewing Machine	 4	1	pcs	LED TV with USB Sharp 32 inch	 5	2	pcs	Stand Fan	 6	2	pcs	Ceiling Fan	 7</t>
  </si>
  <si>
    <t xml:space="preserve"> Republic of the Philippines Office of the Municipal Mayor BIDS AND AWARDS COMMITTEE Pasuquin, Ilocos Norte   INVITATION TO BID FOR  MAINTENANCE OF ENGINEERING BUILDING 1.	The LGU-PASUQUIN, through the 2020 MMOE (Engineering Office)  intends to apply the s</t>
  </si>
  <si>
    <t xml:space="preserve"> Acquisition of construction materials for improvement of Barangay Multi-Purpose Hall Taguihon, Baclayon, Bohol Bill of materials:  INSTALLATION OF DOOR AND WINDOWS 1.  1 set - Fixed glass window 1 w/ aluminum frame (1.12mx1.00m with opening) 2.  2 sets - </t>
  </si>
  <si>
    <t xml:space="preserve"> Republic of the Philippines				                                                                                                          Department of Environment and Natural Resources				 OFFICE OF THE PENRO				 Larena Drive, Dumaguete City				          </t>
  </si>
  <si>
    <t xml:space="preserve"> 48 - cu.m. -AGGREGATE BASE COURSE 103 - bag/s -PORTLAND CEMENT 8 - cu.m. -SAND 14 - cu.m. -GRAVEL 45 - pc/s 5" CONCRETE HALLOW BLOCKS 9 - pc/s 10mm Def. Bar</t>
  </si>
  <si>
    <t xml:space="preserve"> SUPPLY AND DELIVERY OF COCO PEAT FOR OFFICIAL USE OF MECHANIZED AND MODERNIZED FOREST NURSERY (MMFN) AT TRP, SAN JUAN DE VALDEZ, SAN JOSE, TARLAC</t>
  </si>
  <si>
    <t xml:space="preserve"> Name of Project:      1. Construction of Road Improvement of CM Recto &amp; Española Ave. with Solar Light  		           Component Phase IV  Location:                      Brgy., Cabinuangan,New Bataan, Davao De Oro Brief Description:                         </t>
  </si>
  <si>
    <t xml:space="preserve"> Issuance of Bid Documents Starts: June 24, 2020 Cost of Bid Document: Php 1,500.00 Venue of Dropping and Opening Bids: BAC Conference Room, Leyte SMED Center, Provincial Capitol Grounds, Tacloban City</t>
  </si>
  <si>
    <t xml:space="preserve"> 25,286     pcs     SAP Form for Covid 19                          8.5 x 12.5</t>
  </si>
  <si>
    <t xml:space="preserve"> AIR FILTER &amp; 2 other items</t>
  </si>
  <si>
    <t xml:space="preserve"> 1.	a) Contract ID:       20GOF0010 b) Contract Name:  Supply and Delivery of Clearance Light (Amber) and Sixteen others for use of Drop Side Truck with DPWH No. H2-348/Property Plate No. DOQ-314 assigned at Maintenance Section, Quezon City I Engineering D</t>
  </si>
  <si>
    <t xml:space="preserve"> Central Processing Unit CPU Intel Core i7-8700 Processor (12M cache, up to 4.60 GHz) 8GB dual-channel DDR4 2666 MHz UDIMM 1TB 3.5-inch, 7200 RPM NVIDIA GeForce CTX 1050 with 2GB GDDR5 8xX DVD-Writer, 9.0 mm slim, tray load Integrated high definition, 5.1-</t>
  </si>
  <si>
    <t xml:space="preserve"> PLEASE QUOTE FOR THIS ITEM: UNIT                            ITEM DESCRIPTION                                        QTY          EST. UNIT   EST.TOTAL COST 45 KGS/ PAIL            CHLORINE GRANULES FOR POTABLE WATER          15           9,650.00     144,</t>
  </si>
  <si>
    <t xml:space="preserve"> REQUEST FOR QUOTATION								 								 						Date: 	JUNE 16,2020	 						RFQ no.:	2020-180	 Name of Company:_______________________________________________________________________________________								 Address:____________________________________________</t>
  </si>
  <si>
    <t xml:space="preserve"> 4 units overhead projector (Daylight)</t>
  </si>
  <si>
    <t xml:space="preserve"> Rehabilitation of Water System at Brgy. Pagsangahan, San Miguel, Catanduanes. Scope of Works:  1. 4,000L Water Tank: Staking layout &amp; False Works, Excavation of Footing &amp; Site, Backfill, Concrete Works for footing &amp; Slab, masonry Works, Plastering (one fa</t>
  </si>
  <si>
    <t xml:space="preserve"> Republic of the Philippines Office of the Municipal Mayor BIDS AND AWARDS COMMITTEE Pasuquin, Ilocos Norte   INVITATION TO BID FOR  REHABILITATION OF DAVILA FARM-TO-MARKET ROAD 1.	The LGU-PASUQUIN, through the BARANGAY DEVELOPMENT PROJECT CY 2020  intends</t>
  </si>
  <si>
    <t xml:space="preserve"> PURPOSE: FOR MAINTENANCE USE OF ELECTRIC UNIT. (FOR THE MONTH OF JAN. JUNE, 2020) Fax your Price Quotation at Tel. Fax#: 426-30-45 / 927-64-26 local 2561 or Email at bacveterans@gmail.com. Please indicate the brand name and complete specifications.</t>
  </si>
  <si>
    <t xml:space="preserve"> Stock/ Property No.	Unit	Item Description			Quantity 1	   pack	 Battery, penlight AA Energizer Black (2pcs/pack) 			10 2	   pack	 Battery size AA   Rechargeable (pack of 4) 			2 3	   piece	 Battery Rechargeable Battery charger AA 4 slots 			1 4	   pack	 B</t>
  </si>
  <si>
    <t xml:space="preserve"> rfq</t>
  </si>
  <si>
    <t xml:space="preserve"> BUREAU OF INTERNAL REVENUE									 	Revenue Region No. 10									 	Legazpi City									 										 Pre-Canvass										 										 REQUEST FOR QUOTATION										 							Date:     			 							Quotation/PR No.   2020-2-21 A/G			 										 										 	T</t>
  </si>
  <si>
    <t xml:space="preserve"> AutoCAD LT Commercial - Single - user user - 3 years subscription renewal x-x-x-x-x-x-x-x-x-x-x-x-x-x-x-xxxx</t>
  </si>
  <si>
    <t xml:space="preserve"> REQUEST FOR QUOTATION (RFQ) ONE-TIME WEB APPLICATION PROTECTION SUBSCRIPTION FOR (1) YEAR UNDER EMB-PPPDD-MIS RFQ NO. EMB-PPPDD-MIS.-SHOPPING-G-074 6-23-2020-4th Posting PR NO. 2020-0396 1.	The Department of Environment and Natural Resources – Environment</t>
  </si>
  <si>
    <t xml:space="preserve"> 70 PCS T SHIRT  140 PCS LADIES BRA 140 PCS LADIES SANDO 200 PCS LADIES SHORT 140 PCS SKIRT 200 PCS BLOUSE 70 PCS RUBBER SHOES 300 PCS UNDERWEAR 140 PCS JOGGING PANTS 200 PCS PAJAMA 70 PCS LADIES CASUAL DRESS 70 PCS RUBBER SLIPPERS 70 PCS MAONG PANTS 70 PC</t>
  </si>
  <si>
    <t xml:space="preserve"> PURCHASE OF JANITORIAL SUPPLIES</t>
  </si>
  <si>
    <t xml:space="preserve"> Republic of the Philippines Province of South Cotabato BIDS AND AWARDS COMMITTEE Salada Street, Poblacion Tupi, South Cotabato Tel. Fax No.: (083) 226-1045 INVITATION TO BID FOR THE SUPPLY AND DELIVERY OF ONE (1) UNIT ASIAN UTILITY VEHICLE (AUV) (RE-BID) </t>
  </si>
  <si>
    <t xml:space="preserve"> Various Supplies and Materials</t>
  </si>
  <si>
    <t xml:space="preserve"> June 24, 2020 REQUEST FOR QUOTATION   										P.R. No.:  021 Supplier:	________________________________     		 Address:	________________________________ 		________________________________ TIN No.:	________________________________ Please quote your lowes</t>
  </si>
  <si>
    <t xml:space="preserve"> Request for Quotation : RFQ-2006-584 1. 25 sets Gambrel with roller</t>
  </si>
  <si>
    <t xml:space="preserve"> Invitation to Bid for  CY 2020 Quick Response Fund /Rehabilitation of Classrooms (Cluster 3 – Masipit ES, Tawagan ES) 1.	The Department of Education (DepED) Schools Division of Calapan City, through the CY 2020 Quick Response Fund Repair/Rehabilitation of</t>
  </si>
  <si>
    <t xml:space="preserve"> PR#	2020-05-0257 PAMBCS	 1	lot	Various Outdoor Supplies and Materials	 121,000.00 	 11	pair	Hiking Shoes		 		- Outdoor Shoes		 		- Waterproof		 11	piece	Back Pack		 		- 50 liters		 				 		Please indicate the unit price of each item		 				 		ALL ENTRIES SH</t>
  </si>
  <si>
    <t xml:space="preserve"> Item	QTY.	UNIT	PARTICULARS / DESCRIPTION AND SPECIFICATIONS		APPROVED	BRAND NAME	UNIT PRICE NO.					UNIT COST		 			CORRECTIVE MAINTENANCE FOR  TOYOTA FORTUNER				 1	4		Replacement rotor disc L/R 		 1,500.00 		 2	2	units	Rotor Disc		 12,000.00 		 3	8		Repl</t>
  </si>
  <si>
    <t xml:space="preserve"> Procurement of 50 Paper Multi Copy &amp; 20 LI</t>
  </si>
  <si>
    <t xml:space="preserve"> Reference No. PR # 20-06-0778 PRICE QUOTATION FORM (BID FORM) Sealed Bids shall be dropped in the BIDDERS BOX on or before 2:00 P.M.  June 30, 2020    placed at the office of the Chairman of the College BAC. Thereafter, the Bidder's Box shall be sealed un</t>
  </si>
  <si>
    <t xml:space="preserve"> REQUEST FOR QUOTATION											 											 RFQ No.		SVP 20-0654				Date				4-Jun-20	 PR Reference		100-20-05-044				Implementing Office				CGSO	 Closing Date and Time						11-Jun-20					 Designated Places of Submission (Bid Box Designated Locations)				</t>
  </si>
  <si>
    <t xml:space="preserve"> 2.	a) Contract ID:       20GOF0011 b) Contract Name:  Supply and Delivery of Data Arch File Folder and one (1) other for use of various Sections at Quezon City I District Engineering Office. c) Contract Location: Quezon City d) Approved Budget for the Con</t>
  </si>
  <si>
    <t xml:space="preserve"> I. EXCAVATION II. STONE MASONRY SPL. CONSTRUCTION SAFETY &amp; HEALTH</t>
  </si>
  <si>
    <t xml:space="preserve"> The Urdaneta City NHS would like to publish the supply and delivery of IT parts, accessories &amp; periph for Junior High School office.</t>
  </si>
  <si>
    <t xml:space="preserve"> Republic of the Philippines DEPARTMENT OF PUBLIC WORKS AND HIGHWAYS CAGAYAN THIRD DISTRICT ENGINEERING OFFICE REGION II Tuguegarao City The DPWH-CAGAYAN THIRD DISTRICT ENGINEERING OFFICE, through the CY 2020 - BEFF intends to apply the sum of P14,412,667.</t>
  </si>
  <si>
    <t xml:space="preserve"> PAINT ASSORTED COLORS for automotive</t>
  </si>
  <si>
    <t xml:space="preserve"> Maintenance of Various Government Vehicle(PR No.2020-0080)</t>
  </si>
  <si>
    <t xml:space="preserve"> Title:Procurement of Services under P.R.Nos. 2370-2020 and 2371-2020-Office of the City Engineer-1Lot Total ABC: Php 768,084.80 (INSTRUCTION AS TO THE REQUIRED FORM: For your price quotation, please use the attached Request for Quotation (RFQ) Form and se</t>
  </si>
  <si>
    <t xml:space="preserve"> PURCHASE OF ONE (1) UNIT MUNICIPAL VEHICLE (Sports Utility Vehicle), Banate, Iloilo Specifications: *engine displacement: 2, 488cc *number of Cylinder : 4 cylinder *fuel: diesel *other specifications: -power steering -6SRS airbags -7-speed automatic trans</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</si>
  <si>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</si>
  <si>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The DPWH-Ilocos Norte Second District Engineering Office, through its Bids and Awards Committee (BAC), invites contractors to submit bids for the Contract: Procurement ID/Contract ID: 20AB0121 Contract Name/Location: REPAIR/ REHABILITATION OF SLOPE PROTEC</t>
  </si>
  <si>
    <t xml:space="preserve"> Item No.	Items Description	Quantity	Unit 1	Anchor Block, 6"x3'-0"	6	pcs. 2	Anchor Rod threaded single eye, 5/8x7	6	pcs. 3	Angle Brace, 60" span	2	pcs. 4	Bolt carriage, 3/8"x4-1/2"	38	pcs. 5	Brace Steel, 28"	38	pcs. 6	Clamp guy, 3 bolt, 6" long, Heavy Duty</t>
  </si>
  <si>
    <t xml:space="preserve"> REQUEST FOR QUOTATION (RFQ) ONE-TIME FIREWALL SOFTWARE SUBSCRIPTION FOR (1) YEAR UNDER EMB-PPPDD-MIS RFQ NO. EMB-PPPDD-MIS.-SHOPPING-G-076 6-23-2020 – 4th Posting PR NO. 2020-0397 1.	The Department of Environment and Natural Resources – Environmental Mana</t>
  </si>
  <si>
    <t xml:space="preserve"> Purchase of Communication Equipment for Office Sangguniang Bayan.</t>
  </si>
  <si>
    <t xml:space="preserve"> Republic of the Philippines Barangay Ilayang Tayuman San Francisco, Quezon INVITATION TO BID FOR Procurement of Materials for the Repair and Maintenance of Water Supply System at Barangays Ilayang Tayuman, San Francisco, Quezon. 1. The Sangguniang Baranga</t>
  </si>
  <si>
    <t xml:space="preserve"> 26420</t>
  </si>
  <si>
    <t xml:space="preserve"> CONSTRUCTION MATERIALS FOR STREETLIGHTS</t>
  </si>
  <si>
    <t xml:space="preserve"> see attached documents</t>
  </si>
  <si>
    <t xml:space="preserve"> 3 UNIT DIGITAL CHLORINATOR</t>
  </si>
  <si>
    <t xml:space="preserve"> Supply &amp; delivery of: 1	1	unit	DSLR Camera with ef-s 18 -55mm STM Lens- Wifi Enabled                         Specs: 			*242 Megapixel CMOX (APS C) Sensor 			*Fast &amp; accurate Dual Pixel CMOS AF with Phase detection 			*Vary angle Touch Screen, 30inch LCD 	</t>
  </si>
  <si>
    <t xml:space="preserve"> I. OFFICE SUPPLIES</t>
  </si>
  <si>
    <t xml:space="preserve"> To whom it may concern:  Please quote your lowest price/s on the lot or item/s below, subject to General Conditions indicated herein, stating the shortest time of delivery and submit your quotation duly signed by your official representative not later tha</t>
  </si>
  <si>
    <t xml:space="preserve"> 4.	a) Contract ID:       20GOF0013 b) Contract Name:  Supply and Delivery of Flat Latex Paint (White) for use in Maintenance of various National Roads within District I, II, V and VI, Q.C. c) Contract Location: Quezon City d) Approved Budget for the Contr</t>
  </si>
  <si>
    <t xml:space="preserve"> REPRESENTATION EXPENSE</t>
  </si>
  <si>
    <t xml:space="preserve"> Jabonga Municipal Hospital Agusan del Norte</t>
  </si>
  <si>
    <t xml:space="preserve"> For the use of Guba Community Hospital.</t>
  </si>
  <si>
    <t xml:space="preserve"> REQUEST FOR QUOTATION GOODS 2020-028            June 23, 2020 _____________________________ _____________________________ _____________________________ Please quote your lowest price inclusive of VAT, subject to the Terms and Conditions of this RFQ, and s</t>
  </si>
  <si>
    <t xml:space="preserve"> 1 Quarter Broadcasting of kalimpyo kahapsay surigao (KKS) program daily for five (5) spot at thirty (30) seconds per spot simulcast in three (3) radio station for the 3rd quarter 2020 (July, August, September) PLEASE SEE ATTACHED RFQ. QUOTE YOUR PRICE AND</t>
  </si>
  <si>
    <t xml:space="preserve"> Please quote your lowest price on the SUPPLY AND DELIVERY OF FUEL FOR RESCUE VEHICLES  as specified below and submit your quotation duly signed by your representative not later than 2pm of  JUNE 29, 2020                ,  				 					 								    LEONORA S.</t>
  </si>
  <si>
    <t xml:space="preserve"> 20 CASE CHOCOLATE POWDER 200g 15 CASE SARDINES EASY OPEN 155g 10 CASE TUNA EASY OPEN 155g 25 CASES MILK POWDER 200g 10 CASES ORANGE JUICE POWDER 350g 25 CONT. COOKING OIL 1LIT 10 CONT. SOY SAUCE 1 LIT 10 SACKS REFINED SUGAR 50 KG 5 SACKS CONFIGURAL SUGAR </t>
  </si>
  <si>
    <t xml:space="preserve"> Supply and Delivery of the following: 1. SATA to USB 3.0 Dual Bay External Hard - 2 units Drive Docking Station for 2.5 and 3.5 inch HDD/SDD It allows users to mount 2 Hard Drives at the same time. Warranty: Minimum of One (1) Year 2. 8TB SATA 3.5 inch Ha</t>
  </si>
  <si>
    <t xml:space="preserve"> Issuance of Bid Documents Starts: June 24, 2020 Cost of Bid Document: Php 1,000.00 Venue of Dropping and Opening Bids: BAC Conference Room, Leyte SMED Center, Provincial Capitol Grounds, Tacloban City</t>
  </si>
  <si>
    <t xml:space="preserve"> I. LED FLOOD LIGHT X 2 UNITS</t>
  </si>
  <si>
    <t xml:space="preserve"> Office Supplies Kindly see attached RFQ.</t>
  </si>
  <si>
    <t xml:space="preserve"> Section I. Invitation to Bid Republic of the Philippines Province of Davao del Norte Municipality of Talaingod 24 June, 2020 INVITATION TO BID FOR FARM INPUTS/MATERIALS 1.	The Local Government Unit of Talaingod, Davao del Norte intends to apply the sum of</t>
  </si>
  <si>
    <t xml:space="preserve"> SWITCH 16 PORTS</t>
  </si>
  <si>
    <t xml:space="preserve"> Supply and Delivery of MRBS complete with accessories and Hardware proposed is compatible with existing MMWD MRBS Application</t>
  </si>
  <si>
    <t xml:space="preserve"> Name of Project:      1. Construction of Diego Silang Street Drainage Canal  Location:                      Brgy, Cabinuangan, New Bataan, Davao De Oro Brief Description:      PR# MEO-300-2020-01-005                    Item  No.	Quantity	Unit of Issue	Ite</t>
  </si>
  <si>
    <t xml:space="preserve"> I. INDUSTRIAL ELECTRIC FAN X 3 UNITS</t>
  </si>
  <si>
    <t xml:space="preserve"> Republic of the Philippines										 Cordillera Administrative Region										 Provincial Government of Kalinga										 										 BIDS AND AWARDS COMMITTEE										 										 Invitation to Bid										 										 1.	The Provincial Government of KA</t>
  </si>
  <si>
    <t xml:space="preserve"> 1.	The Municipality of Impasugong, through the GF – Agricultural Support &amp; Services – OM &amp; OE intends to apply the sum Four Hundred Thousand Pesos (PhP400,000.00) being the Approved Budget for the Contract (ABC) to payments under the contract for PRNo.20-</t>
  </si>
  <si>
    <t xml:space="preserve"> 1 lot labor and materials for the installation if new street lights from Army Detachment to the back of PRTC</t>
  </si>
  <si>
    <t xml:space="preserve"> Labor &amp; Materials for Vehicle Repair (Coaster - SLB 245) 1 job Replace floor to Checkered 1 job Rear Bumper to Steel **Please see an attached document in ASSOCIATED COMPONENTS for the RFQ</t>
  </si>
  <si>
    <t xml:space="preserve"> 6.	a) Contract ID:       20GOF0015 b) Contract Name:  Supply and Delivery of Thermoplastic Paint White and One (1) other, to be used along various National Roads in District I, II, V and VI, Q.C. c) Contract Location: Quezon City d) Approved Budget for th</t>
  </si>
  <si>
    <t xml:space="preserve"> Revised on: July 28, 2004                                   INVITATION TO APPLY FOR ELIGIBILITY AND TO BID                        The Local Government Unit of Catanauan, Quezon, through its Bids and Awards Committee (BAC), invites suppliers/manufacturers/</t>
  </si>
  <si>
    <t xml:space="preserve"> Purchase of Construction Materials</t>
  </si>
  <si>
    <t xml:space="preserve"> Construction of One (1) Unit 16m x 28.0 mMulti-Purpose/Evacuation Center</t>
  </si>
  <si>
    <t xml:space="preserve"> Description	                       QTY		EST. UNIT COST  	EST.TOTAL COST Food grade tank (Nestle Tank)	4		10000			40000 Electrical Water Pump (1HP)	1		3800			        3800 Power Spray	                        1		7500			        7500</t>
  </si>
  <si>
    <t xml:space="preserve"> 3.	a) Contract ID:       20GOF0012 b) Contract Name:  Supply and Delivery of L-Type Table with Partition and four (4) others for use of Construction Section at Quezon City I District Engineering Office. c) Contract Location: Quezon City d) Approved Budget</t>
  </si>
  <si>
    <t xml:space="preserve"> 5.	a) Contract ID:       20GOF0014 b) Contract Name:  Supply and Delivery of Cold Mix Asphalt for use in Maintenance/Rehabilitation and Improvement of National Roads in District I, II, V and VI, Q.C. c) Contract Location: Quezon City d) Approved Budget fo</t>
  </si>
  <si>
    <t xml:space="preserve"> Item No. 	Item Description					QTY.	Unit	Unit Price	Total Price 1	Motorcycle XR 150L					4	units		 	Specifications:								 	Engine Type				4 Stroke Single Cylinder, Air-Cooled				 					Over heacd Cam (OHC)				 	Displacement				150CC				 	Bore X Stroke			</t>
  </si>
  <si>
    <t xml:space="preserve"> REQUEST FOR QUOTATION (RFQ) ONE-TIME DIGITAL SIGNING SERVICES SUBSCRIPTION FOR 1 YEAR UNDER EMB-PPPDD-MIS RFQ NO. EMB-PPPDD-MIS.-SHOPPING-G-072 6-23-2020-4th Posting  PR NO. 2020-0402 1.	The Department of Environment and Natural Resources – Environmental </t>
  </si>
  <si>
    <t xml:space="preserve"> REQUEST FOR QUOTATION The City Government of Malolos, through its BIDS and AWARDS COMMITTEE (BAC) Invites Suppliers/Manufacturers/Distributors to Bid for hereunder procurement:  Name of Project : PURCHASE OF JANITORIAL SUPPLIES Requesting Office : CGSO PR</t>
  </si>
  <si>
    <t xml:space="preserve"> Provincial Agriculturist Office Agusan del Norte</t>
  </si>
  <si>
    <t xml:space="preserve"> Name of the Procuring Entity: TONDO MEDICAL CENTER Name of the Project:  Procurement of Emergency Cart for Emergenct Department      			                                          Location of the Project: Tondo Medical Center Balut, Tondo Manila            </t>
  </si>
  <si>
    <t xml:space="preserve"> 73752</t>
  </si>
  <si>
    <t xml:space="preserve"> Quantity	Unit	Item and Description 1	Unit	VACUUM EMASCULATOR                                                  Machine Specifications:                                                        Power: 0.75kw Electric Motor 110/220volts 60Hz Japan Brand Vacuum </t>
  </si>
  <si>
    <t xml:space="preserve"> Quantity	Unit	Item and Description 1	Unit	Seed counter: Delivers 100% accuracy; Counting range 0.7 to 4 mm; Counting speed up to 3,000 seeds per minute:; Counts a pre-set number of seeds; result can be transferred to PC software, Excel spreadsheets or pro</t>
  </si>
  <si>
    <t xml:space="preserve"> MAIN DOCUMENT</t>
  </si>
  <si>
    <t xml:space="preserve"> CUTTING DISC &amp; 1 other item</t>
  </si>
  <si>
    <t xml:space="preserve"> 43 Bags Black Rice Seeds @40kgs Note: Delivery on site PLEASE SEE ATTACHED RFQ. QUOTE YOUR PRICE AND SUBMIT TO THE BAC SECRETARIAT, PROVINCIAL GENERAL SERVICES OFFICE, MAIN CAPITOL BUILDING, CAPITOL SITE, SURIGAO CITY, WITH THE FOLLOWING CERTIFIED TRUE CO</t>
  </si>
  <si>
    <t xml:space="preserve"> Please see attached Request for Quotation (RFQ).</t>
  </si>
  <si>
    <t xml:space="preserve"> Supply and delivery of various agricultural supplies to be used in the project "Upscaling Innovative Family Enterprise Development (IFED) through Improved Free Range Chicken Production in Sta. Maria, Ilocos Sur" 90	pcs	Waterer, 1 to 1.5 L capacity		 105	p</t>
  </si>
  <si>
    <t xml:space="preserve"> Please EMAIL price quotations to beth.pascual@pms.gov.ph *For any inquiries, please look for Ms. Elizabeth Pascual. 8733 4861/71 4 boxes HP Toner - Black 410A 2 boxes HP Toner - Cyan 410A 2 boxes HP Toner - Magenta 410A 2 boxes HP Toner - Yellow 410A Must</t>
  </si>
  <si>
    <t xml:space="preserve"> LGU-KALILANGAN, BUKIDNON						 						 Standard Form Number: SF-GOOD-59			Project Reference Number :			Nego/SVP 2020-06-041 Revised on May 24, 2004			Name of the Project :			 Standard Form Title : Purchase Request			Location of the Project :			Kalilangan, </t>
  </si>
  <si>
    <t xml:space="preserve"> Item   Qty-                 Description                Approved Budget  No.	  Unit		                                  Ceiling per unit (Php) 		 1	1 unit	Micro Kjeldahl Digestion Unit	 150,000.00 		 	 a. Provides accurate results for Kjeldahl digestions us</t>
  </si>
  <si>
    <t xml:space="preserve"> Republic of the Philippines Province of Quezon MUNICIPAL GOVERNMENT OF CATANAUAN  REQUEST FOR QUOTATION	             Date:  _____________   	     Quotation No. _______ ________________________  Name of Dealer/Supplier/Distributor _________________________</t>
  </si>
  <si>
    <t xml:space="preserve"> ITEMS TO QUOTE CAN BE DOWNLOADED</t>
  </si>
  <si>
    <t xml:space="preserve"> 1	unit	Laptop charger (ASUS) AC adapter Model: W-15065NIA 5	pcs	Computer ink - 678 black 6	pcs	Computer ink - Epson - T6641 black</t>
  </si>
  <si>
    <t xml:space="preserve"> Acrylic Black with Stainless Engrave</t>
  </si>
  <si>
    <t xml:space="preserve"> 20-10228</t>
  </si>
  <si>
    <t xml:space="preserve"> The Philippine Carabao Center at USM through its Bids and Awards Committee (BAC) invites PhilGEPS registered suppliers to apply to bid for the Supply and Delivery of Food Stuff.    Skimmilk Powder 70 bags         Moisture: 3.6-39%         Fat: 0.7-09%    </t>
  </si>
  <si>
    <t xml:space="preserve"> Quantity	Unit	Item and Description 23,000	pcs	Printing and Delivery of Wall Calendar with Metal Hanger Hook Pages:  12 pages ( 1month/pages)                      Size:18 inches x 24inches                                                        Paper Stock:</t>
  </si>
  <si>
    <t xml:space="preserve"> NOTICE OF PROCUREMENT OPPORTUNITY       (SMALL VALUE PROCUREMENT)     With P.R. No. 47788C 1.	The NATIONAL KIDNEY AND TRANSPLANT INSTITUTE (NKTI) invites interested entities to submit their quotation/s through a formal SEALED PROPOSAL for the:  2.	 Item/D</t>
  </si>
  <si>
    <t xml:space="preserve"> LOCATION: SITIO PUKIS I. EXCAVATION a) Labor II. STONE MASONRY a) Materials b) Labor c) Equipment Rental</t>
  </si>
  <si>
    <t xml:space="preserve"> 500     ltrs     Motor Oil Diesel 150     ltrs     Motor Oil Gasoline 24       pcs     Gear Oil C90 24       pcs     ATF 50       pcs     Brakefluid 300 ml 80       pcs     Coolant 500ml 5         pcs     C110 5         PCS    C 207 10       PCS    C 512 </t>
  </si>
  <si>
    <t xml:space="preserve"> INVITATION TO BID (ITB)  Procuring Entity : BARANGAY LOCAL GOVERNMENT UNIT BARANGAY DOYOG, LA PAZ, LEYTE Title of Project : ROAD CONCRETING  Approved Budget of the Contract (AB) : Php 230,000.00  Area of Delivery : BARANGAY DOYOG, LA PAZ, LEYTE  Descripti</t>
  </si>
  <si>
    <t xml:space="preserve"> Republic of the Philippines Province of Negros Oriental Municipality of Sibulan Barangay Agan-an OFFICE OF THE BIDS AND AWARDS INVITATION TO BID 	The Barangay Government of Agan-an, Sibulan, Negros Oriental invites all interested supplier for the supply o</t>
  </si>
  <si>
    <t xml:space="preserve"> Republic of the Philippines PROVINCE OF ZAMBALES I B A  Project Reference Number/Purchase Request No..	SMDH-2020-197 &amp; SMDH-2020-190 	 												                                                                                                 Location of</t>
  </si>
  <si>
    <t xml:space="preserve"> MEDICAL, DENTAL &amp; LAB. SUPPLIES - MHO - (NP-20-0914) 1	2	box	Surgical Gloves 6.5 (box of 50) 2	2	box	Surgical Gloves 6 (box of 50) 3	30	box	Surgical gloves, non sterile(box of 100) 4	20	pcs.	Bath Soap, 135g 5	5	pack	Detergent Powder, 1kg 6	27	btls	Alcohol</t>
  </si>
  <si>
    <t xml:space="preserve"> The Metro Kalibo Water District, through the Bids and Awards Committee (BAC), will undertake Alternative Mode of Procurement (Shopping B) for the Supply &amp; Delivery of Various Office Supplies for Office Use (Stock Items) –2nd Quarter Procurement in accorda</t>
  </si>
  <si>
    <t xml:space="preserve"> DETERGENT &amp; 6 other items</t>
  </si>
  <si>
    <t xml:space="preserve"> The Department of Agriculture-RFO 3, invites interested suppliers to submit quotations/proposals for the hereunder requirement, to wit: 		ANIMAL SUPPLIES	 40	bag	Rice Bran, D1 (50 kg/bag)	 500	kg	Copra Meal	 100	kg	Salt	 2,000	bag	Rice Hull (20-30 kg/bag)</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</si>
  <si>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</si>
  <si>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FOR THE DETAILS, YOU CAN SEND YOUR INQUIRY THRU EMAIL.  FOR THE SITE INSPECTION, YOU CAN DIRECTLY CONTACT: MR. R.L. VEGA, Jr., Division Manager-Agus 7 HEP</t>
  </si>
  <si>
    <t xml:space="preserve"> Republic of the Philippines Province of Ilocos Norte MUNICIPALITY OF PINILI INVITATION TO BID FOR  “SUPPLY OF FERTILIZER” 1.	The Municipality of Pinili, Ilocos Norte through the RA 7171  intends to apply the sum SEVEN MILLION THREE HUNDRED FORTY THREE THO</t>
  </si>
  <si>
    <t xml:space="preserve"> Various Maintenance Medicines</t>
  </si>
  <si>
    <t xml:space="preserve"> Item No. 	Item Description	QTY.	Unit	Unit Price	Total Price 1	Plastic Cover	1,000	meters		 	xxxxxxxxxxxnothing followsxxxxxxxxxxxxxxxxxx</t>
  </si>
  <si>
    <t xml:space="preserve"> 8.	a) Contract ID:       20GOF0017 b) Contract Name:  Supply and Delivery of Raincoat with Print (DPWH-QCIDEO) and six (6) others for use of DPWH-Roadside Maintenance Workers of Quezon City I District Engineering Office. c) Contract Location: Quezon City </t>
  </si>
  <si>
    <t xml:space="preserve"> 4 UNIT EGG INCUBATOR      *216 SETTER      *120 HATCHER NOTE: THE SAID UNIT SHOULD BE DELIVERED TO DATU ABDUL, BRGY. DADIA, PANABO CITY, DAVAO DEL NORTE</t>
  </si>
  <si>
    <t xml:space="preserve"> 7.	a) Contract ID:       20GOF0016 b) Contract Name:  Gender and Development (GAD) Activities in the observance of National Women’s Celebration and 18-Day End VAW Campaign c) Contract Location: Quezon City d) Approved Budget for the Contract (ABC): P 100,</t>
  </si>
  <si>
    <t xml:space="preserve"> Republic of the Philippines MUNICIPALITY OF BUNAWAN, AGUSAN DEL SUR Invitation to Bid/ Instruction to Bidders PURCHASE OF DOUBLE ARM STEEL TAPERED LAMP POST FOR REHABILITATION/ IMPROVEMENT OF CENTER ISLAND AND STREET LIGHT, SAN TEODORO, BUNAWAN, AGUSAN DE</t>
  </si>
  <si>
    <t xml:space="preserve"> LOT 9: UPGRADED GOAT - 467 HEADS - 374 HEADS DOES OF DOCILE FEMININE APPEARANCE - 93 HEADS BUCKS OF STURDY MASCULINE APPEARANCE - SOURCED FROM BAI ACCREDITED GOAT MULTIPLIER FARM - AGE 12-18 MONTHS OLD - MINIMUM OF BODYWEIGHT OF 20 KG. UPON DELIVERY - TES</t>
  </si>
  <si>
    <t xml:space="preserve"> Specifications: Quantity: 20 pcs Measurement: - H 72" x W 36" x D 18" - Prime B.I. Sheets, G#24 - Side enclosure w/ Brackets - Frame 3/16" x 1 Angle Bar - Slotted - Green or Gray Area of Delivery: Court of Appeals- Cagayan de oro Delivery Period: 30 days </t>
  </si>
  <si>
    <t xml:space="preserve"> Reference No. PR # 20-06-0779 PRICE QUOTATION FORM (BID FORM) Sealed Bids shall be dropped in the BIDDERS BOX on or before 2:00 P.M.  June 30, 2020    placed at the office of the Chairman of the College BAC. Thereafter, the Bidder's Box shall be sealed un</t>
  </si>
  <si>
    <t xml:space="preserve"> 1. Brass Ball Valve 1/2" w/ lock wing - 300pcs 2. Brass Coupling 1/2" - 600 sets 3. G.I. Coupling 1/2" - 500 pcs 4. G.I. Straight Elbow 1/2" x 3/8" - 800 pcs 5. G.I. Elbow 1/2" - 500 pcs 6. G.I. Nipple 1/2"x2" - 100pcs 7. G.I. Nipple 1/2"x4" - 813 pcs  8.</t>
  </si>
  <si>
    <t xml:space="preserve"> Construction of Masonry Drainage, Along National Highway, Namabbalan Norte, Tuguegarao City, Cagayan</t>
  </si>
  <si>
    <t xml:space="preserve"> Invitation to Bid for  CY 2020 Quick Response Fund /Rehabilitation of Classrooms (Cluster 4 – Suqui ES, Guinobatan ES &amp; N. Aboboto MS) 1.	The Department of Education (DepED) Schools Division of Calapan City, through the CY 2020 Quick Response Fund Repair/</t>
  </si>
  <si>
    <t xml:space="preserve"> various general medicines</t>
  </si>
  <si>
    <t xml:space="preserve"> Supply and delivery of various animal/zoological supplies to be used in the project "Upscaling Innovative Family Enterprise Development (IFED) through Improved Free Range Chicken Production in Sta. Maria, Ilocos Sur" 250	bag	Corn Meal @ 50kg/bag		 10	bag	</t>
  </si>
  <si>
    <t xml:space="preserve"> TESTING OF BLOOD SAMPLE FOR COMPLETE BLOOD COUNT USING PS 9000 HEMATOLOGY ANALYZER HEMOGLOBIN STRIPS 5 BOX GLUCOSE 1 SET CHOLESTEROL 1 SET TRIGLYCERIDES 1 SET BLOOD URIC ACID CREATININE 1 SET DILUENT 20L/SET 1 SET RINSE 20L/SET 1 SET LYSE 1 LIT</t>
  </si>
  <si>
    <t xml:space="preserve"> Republic of the Philippines					 Province of Guimaras					 Municipality of Sibunag					 					 BIDS AND AWARDS COMMITTEE					 				June  23,2020	 					 REQUEST FOR QUOTATION					 ______________________________					 ______________________________					 ______</t>
  </si>
  <si>
    <t xml:space="preserve"> Quantity	Unit	Item and Description 1	Unit	15kg (30lb) Capacity                                                                  0.5g (0.001lb) Reability                                                      Platform: 300x 225 mm                            </t>
  </si>
  <si>
    <t xml:space="preserve"> Republic of the Philippines PHILIPPINE NORMAL UNIVERSITY National Center for Teacher Education North Luzon Alicia, Isabela RFQ NO.: PNU-NL GD 2020-02 REQUEST FOR QUOTATION 1.	The Philippine Normal University North Luzon, through the funding of the Governm</t>
  </si>
  <si>
    <t xml:space="preserve"> 3 Unit Senior Executive Glass Top Table, L type glass top office table 1.8, 180 cm x 80 cm x 76 cm		 3 Unit Senior Executive Glass Top Table, L type glass top office table 1.6, 160 cm x 80 cm x 76 cm		 7 Unit Junior Office table, 1.4 office table, PVC lam</t>
  </si>
  <si>
    <t xml:space="preserve"> LASER</t>
  </si>
  <si>
    <t xml:space="preserve"> Request for Quotation: RFQ-2006-580  1. 3,125 ltrs. Diesel Fuel</t>
  </si>
  <si>
    <t xml:space="preserve"> Provincial Governor's Office/ENRD Agusan del Norte</t>
  </si>
  <si>
    <t xml:space="preserve"> 9.	a) Contract ID:       20GOF0018 b) Contract Name:  Supply and Delivery of Safety Shoes and one (1) other for use of DPWH-Roadside Maintenance Workers of Quezon City I District Engineering Office. c) Contract Location: Quezon City d) Approved Budget for</t>
  </si>
  <si>
    <t xml:space="preserve"> Name of Project:      1. Hazard Mitigation Project (Mayo River)   Location:                      Brgy.  Andap, New Bataan, Davao de Oro Brief Description:   PR# MEO-300-2020-03-043                      Item  No.	Quantity	Unit of Issue	Item Code	 Item Desc</t>
  </si>
  <si>
    <t xml:space="preserve"> Number: 	Quantity: 	Unit	PPMP_Code	PPMP_Code1	PPMP_Code2	PPMP_Remarks	Articles	Specifications	StockNo	Unit_Cost	Estimated_Cost 1	3	pcs	2915-32763	1	2915-32763-1		Buchner Funnel	55mm, whole set with flasks	3	4,700.00	14,100.00 2	12	pcs	2915-32937	1	2915-32</t>
  </si>
  <si>
    <t xml:space="preserve"> Procurement of Catering Services  for SGLG Coordination Meeting with Partners Agencies Two days activities Quantity= 70 Pax per day  Total= 140 Pax 2 Snacks + 1 Meal AM Snacks Lunch 2 Viands With Mineral Water PM Snacks Terms and Conditions: 1. The RFQ fo</t>
  </si>
  <si>
    <t xml:space="preserve"> Republic of the Philippines Provincial Government of Northern Samar BIDS and AWARDS COMMITTEE REQUEST FOR QUOTATION Date: ______________ RFQ No.: 20-06-0169 Name of Supplier (Business Name): _________________________________________ Address: _____________</t>
  </si>
  <si>
    <t xml:space="preserve"> LGU-KALILANGAN, BUKIDNON						 						 Standard Form Number: SF-GOOD-59			Project Reference Number :			Shopping 2020-06-040 Revised on May 24, 2004			Name of the Project :			 Standard Form Title : Purchase Request			Location of the Project :			Kalilangan, </t>
  </si>
  <si>
    <t xml:space="preserve"> MEDICINES AND VITAMINS</t>
  </si>
  <si>
    <t xml:space="preserve"> 166 bottles Prevathon (250ml)</t>
  </si>
  <si>
    <t xml:space="preserve"> Issuance of Bid Documents Starts: June 24, 2020 Cost of Bid Document: Php 2,000.00  Venue of Dropping and Opening Bids: BAC Conference Room, Leyte SMED Center, Provincial Capitol Grounds, Tacloban City</t>
  </si>
  <si>
    <t xml:space="preserve"> INVITATION TO BID  IB-2020-006-GOODS-TEC Supply and Delivery of Thermoplastic Pavement Marking Materials for the Periodic Maintenance of Existing Truck Lanes and Motorcycle Lanes at Various Locations within Metro Manila 1.	The Metropolitan Manila Developm</t>
  </si>
  <si>
    <t xml:space="preserve"> REQUEST FOR QUOTATIONS The Civil Aviation Authority of the Philippines – Area VIII, through its Canvass and Contract Committee will conduct a SMALL VALUE PROCUREMENT under Section 53.9 of the 2016 Revised IRR of RA 9184 and cordially invites all intereste</t>
  </si>
  <si>
    <t xml:space="preserve"> Date: June 22, 2020 	  	 	 	 	 	  Quotation No.100-20-06-385                 REQUEST FOR QUOTATION  (For Immediate Purchase Pursuant to Section 52.1a of the Revised IRR, RA 9184)  Item No. 	Qty. 	Unit 	Description 	ABC 	Unit Price 	Total 	Remarks  (Date o</t>
  </si>
  <si>
    <t xml:space="preserve"> Procurement of 1 Lot Rabbies Vaccines</t>
  </si>
  <si>
    <t xml:space="preserve"> Construction materials and supplies..</t>
  </si>
  <si>
    <t xml:space="preserve"> The Department of Agriculture-RFO 3, invites interested suppliers to submit quotations/proposals for the hereunder requirement, to wit: 35	pc	PLAQUE	 		Baseplate 8.5 x 2 1/4 inch	 		Height: 10 inch	 		Width: minimum 7 inch maximum 8 inch	 		Fiber glass wi</t>
  </si>
  <si>
    <t xml:space="preserve"> Republic of the Philippines BIDS AND AWARDS COMMITTEE Province of Iloilo Invitation to Bid Purchase of  MEDICAL EQUIPMENT Bid No. JCH-20-0306-B 1. The Iloilo Provincial Government, through the 20% IRA 2019 intends to apply the sum of TWO HUNDRED FOUR THOU</t>
  </si>
  <si>
    <t xml:space="preserve"> RAHABILITATION OF BARANGAY HEALTH CENTER</t>
  </si>
  <si>
    <t xml:space="preserve"> see attached document</t>
  </si>
  <si>
    <t xml:space="preserve"> 40 DRUMS-Asphalt Cement, Penetration 60/70, ASTM D70 Specific Gravity @ 25c, ASTM D70, KG cm3, 1.01/1.06 Penetration @ 25C, ASTM D5, mm/10, 60/70 Spoftening Point˚c, 49/56 Ductility @ 25˚c, ASTM D113, cm, 100 min Loss on Heating (wt)%, ASTM D6, wt%, ASTM </t>
  </si>
  <si>
    <t xml:space="preserve"> One job furnishing labor and materials for the CONSTRUCTION OF THREE (3) – UNITS FARMER CENTERS AT BRGY. MERCED, BRGY.CARMELO &amp; BRGY.LIBERTAD, BANATE, ILOILO</t>
  </si>
  <si>
    <t xml:space="preserve"> For DES use, For COVID-19 use</t>
  </si>
  <si>
    <t xml:space="preserve"> SUPPLY AND DELIVERY OF 8 SETS : SQUARE TRASH RECEPTACLE	                        WASTE SEGREGATION BINS x 3/SET WITH STEEL FRAME	   VIRGIN MATERIALS (MDPE) UV STABILIZED 120 LITERS x 3	  =360 LITERS CAPACITY	  L = 54	  W: 17 1/2"	 H: 44 1/2"</t>
  </si>
  <si>
    <t xml:space="preserve"> The Philippine Statistics Authority – Regional Statistical Services Office XIII (PSA-RSSO XIII), through the 2020 General Appropriations Act (General Fund) intends to apply the sum of SEVEN MILLION TWO THOUSAND ONE HUNDRED PESOS ONLY (PhP 7,002,100.00) be</t>
  </si>
  <si>
    <t xml:space="preserve"> 1. FABRICATION WORKS</t>
  </si>
  <si>
    <t xml:space="preserve"> Supply and delivery of 2,100 heads Day Old Chicks (Free Range Chicken) to be used in the project "Upscaling Innovative Family Enterprise Development (IFED) through Improved Free Range Chicken Production in Sta. Maria, Ilocos Sur" 2,100	heads	Day Old Chick</t>
  </si>
  <si>
    <t xml:space="preserve"> Republic of the Philippines RIZAL PROVINCIAL GOVERNMENT Antipolo City INVITATION TO BID  PURCHASE OF OFFICE SUPPLIES The Rizal Provincial Government, through the General Fund intends to apply the sum of ₱2,193,251.50 as the Approved Budget for the Contrac</t>
  </si>
  <si>
    <t xml:space="preserve"> Please see attached bidding document associated with this notice</t>
  </si>
  <si>
    <t xml:space="preserve"> 5 lbs. Fire Extinguisher 20lbs (refill) &amp; 1 other</t>
  </si>
  <si>
    <t xml:space="preserve"> INVITATION TO BID The municipal government of Romblon through its Bids and Awards Committee (BAC) invites PhilGEPS registered suppliers to apply to bid for the Maintenance of Mun. Fish Port and Calabogo Landing Center.</t>
  </si>
  <si>
    <t xml:space="preserve"> Republic of the Philippines Province of Pangasinan MUNICIPALITY OF LINGAYEN Invitation to Bid for the Purchase and Delivery of  various furniture and fixtures at Mayor’s Extension Office (Lingayen Civic Center), Mayor’s Extension Office and Evacuation Cen</t>
  </si>
  <si>
    <t xml:space="preserve"> kindly see attached file for your reference.</t>
  </si>
  <si>
    <t xml:space="preserve"> PURPOSE: FOR MAINTENANCE OF MOTORPOOL UNIT. (FOR THE MONTH OF JAN.-MARCH, 2020) Fax your Price Quotation at Tel. Fax#: 426-30-45 / 927-64-26 local 2561 or Email at bacveterans@gmail.com. Please indicate the brand name and complete specifications.</t>
  </si>
  <si>
    <t xml:space="preserve"> CONSTRUCTION OF 120 LINEAR METER CANAL LINING WITH 24 RCPC &amp; HEADWALL</t>
  </si>
  <si>
    <t xml:space="preserve"> Republic of the Philippines Department of Environment and Natural Resources ENVIRONMENTAL MANAGEMENT BUREAU DENR Compound, Vis ayas Avenue, Diliman, Quezon City, 1116 Telephon e Nos. 927-15-17,  928-20-96 Em ail: emb@emb.gov.ph Visit us at http://www.emb.</t>
  </si>
  <si>
    <t xml:space="preserve"> 1unit Rotavator compatible to Kubota 35hp 4wd tractor (L3608) KRX 164 with power to operate/power take off (PTO) 1unit Egg layering machines 1-7ft, H-8ft, W-3.5ft, 1’’x2’’ mess wire, contains 48 heads of ready-to-lay hens, galvanized-steel cages, feeders,</t>
  </si>
  <si>
    <t xml:space="preserve"> 1.	The Municipality of Tayug, Pangasinan through the Bids and Awards Committee intends to apply the sum of Six Hundred Fifty  Thousand Pesos (Php650,000.00) being the Approved Budget for the Contract (ABC) to payments under the contract for Supply and Del</t>
  </si>
  <si>
    <t xml:space="preserve"> Republic of the Philippines Province of Aklan Municipality of Kalibo INVITATION TO BID FOR THE CONSTRUCTION OF TWO-STOREY  FOUR CLASSROOM SCHOOL BUILDING (PHASE 1) The Municipality of Kalibo, through the General Fund 2020, intends to apply the sum of One </t>
  </si>
  <si>
    <t xml:space="preserve"> PLEASE SEE ATTACHED RFQ. QUOTE YOUR PRICE AND SUBMIT TO THE BAC SECRETARIAT, PROVINCIAL GENERAL SERVICES OFFICE, MAIN CAPITOL BUILDING, CAPITOL SITE, SURIGAO CITY, WITH THE FOLLOWING CERTIFIED TRUE COPY DOCUMENTS: A) MAYOR'S/BUSINESS PERMIT; B) PHILGEPS R</t>
  </si>
  <si>
    <t xml:space="preserve"> 50 pcs. Disposable Syringe Kit 100ml. with J Tube 60" coiled line (300psi)</t>
  </si>
  <si>
    <t xml:space="preserve"> 1 laptop	14”, 4GB RAM, DDR4 RAM TYPE, PROCESSOR SPEED 3.4GHz (3 M Cache), LED Display, 5400 RPM, HDD CAPACITY 1 TB, HDD TYPE SATA, Memory Speed 2400MHz. 1 printer PRINTER WITH SCANNER PAPER MANAGEMENT = LEGAL, A4, LETTER, DIMENSIONS 484 x 226 x 377mm.</t>
  </si>
  <si>
    <t xml:space="preserve"> REQUEST FOR QUOTATION (RFQ) ONE-TIME PALOALTO FIREWALL SUBSCRIPTION FOR 1 YEAR UNDER EMB-PPPDD-SISMS RFQ NO. EMB-SISMS.-SHOPPING-G-083-06-23-2020-2nd Posting PR. NO. 2020-0434 1.	The Department of Environment and Natural Resources – Environmental Manageme</t>
  </si>
  <si>
    <t xml:space="preserve"> QNty Unit Item Description 90 pcs  Rapid test Kit for Covid-19 lgG&amp;lgM</t>
  </si>
  <si>
    <t xml:space="preserve"> 1	116	bags	Portland Cement 2	6.5	cu.m	Clean Screened sand 3	9	cu.m	3/4" Gravel 4	159.9	kgs	12mm dia. x 6m dsb (30 pcs) 5	222	kgs	10mm dia. x 6m dsb (60 pcs) 6	15	kgs	# G.I tiewire 7	440	pcs	CHB 4" thick 8	1.5	cu.m	Washed fine sand 9	14	kgs	CWN 4" 10	3	kgs</t>
  </si>
  <si>
    <t xml:space="preserve"> Asphalt Cold Mix		150	pails</t>
  </si>
  <si>
    <t xml:space="preserve"> 30 pcs. Raincoat HD (universal size) poncho &amp; 4 others</t>
  </si>
  <si>
    <t xml:space="preserve"> The Department of Environment and Natural Resources , PENRO Pampanga , through the government appropriation act intends to apply the sum of PhP 71,000 being the Approved Budget for the Contract (ABC) to payments under the " Office Supplies and Consumables</t>
  </si>
  <si>
    <t xml:space="preserve"> July to September 2020					 						 1	Fry Booster (10kgs)			90	Bag	54,000.00 2	Fish Grower Pellets (Floater/25kg)			135	Bag	162,000.00 3	Fish Finisher Pellets (Floater/25kgs)			456	Bag	501,600.00 						 	Total					717,600.00</t>
  </si>
  <si>
    <t xml:space="preserve"> Republic of the Philippines DEPARTMENT OF PUBLIC WORKS AND HIGHWAYS CAMARINES SUR 2ND DISTRICT ENGINEERING OFFICE Regional Office V Baras, Canaman, Camarines Sur INVITATION TO BID FOR  20FE0127 – CONSTRUCTION OF CLASSROOMS, SAN JUAN NATIONAL HIGH SCHOOL, </t>
  </si>
  <si>
    <t xml:space="preserve"> The Department of Agriculture-RFO 3, invites interested suppliers to submit quotations/proposals for the hereunder requirement, to wit: 4	unit	Knapsack sprayer with battery	 		Specifications:	 		Body: Plastic	 		Capacity: 16 liters	 		AMTEC tested	 			 6	</t>
  </si>
  <si>
    <t xml:space="preserve"> 1200 liter premium gasoline</t>
  </si>
  <si>
    <t xml:space="preserve"> 1 unit Server 1x HPE ML110 Gen10 Intel Xeon-Silver 4110 (2.1GHz/8-core/85W) 16 GB RDIMM DR 2666 MT/s running at 2400 MT/s Embedded 2-Port 1GbE HPE Ethernet 1Gb 2-port 332i Adapter Embedded SW RAID with 10 SATA ports (1) Optional DVD-Rom, DVD RW Optional S</t>
  </si>
  <si>
    <t xml:space="preserve"> Supply and Delivery of Hydraulic Oil #10 at NIA CBIMO Maddarulug, Solana, Cagayan</t>
  </si>
  <si>
    <t xml:space="preserve"> Fabrication &amp; Installation of Office Cubicle using Smoke Glass, 1 3/4" x 4" RT, SOBC, SD 13 Flash Lock with Key, 3/4" x 3/4" RT, Mohair, Silicone, Single Sill, Single Head, Single Jamb, with Screws, Rivets &amp; Tox and with complete accessories</t>
  </si>
  <si>
    <t xml:space="preserve"> PROCUREMENT OF CONSULTANCY SERVICES (FIRM) JJWC NNP NO. 20-010  The Juvenile Justice and Welfare Council (JJWC), through the Policy and Research Division (PRD), intends to apply the sum of Three Hundred Eighty Seven Thousand Pesos (Php 387,000.00) as Appr</t>
  </si>
  <si>
    <t xml:space="preserve"> For more details, please see attached POW.</t>
  </si>
  <si>
    <t xml:space="preserve"> ITEM NO.	QTY.	UNIT	ITEMS &amp; DESCRIPTION	 				 1	2	units	Aircon 3 toner	 2	1	l.s	Installation and Materials</t>
  </si>
  <si>
    <t xml:space="preserve"> I. CONSTRUCTION OF CANAL LINING W/ CONCRETE COVER            A. MATERIALS:                                 1,159  pcs            CHB # 4                   175  bags          PORTLAND CEMENT                    12   cu. m.       WHITE SAND                  </t>
  </si>
  <si>
    <t xml:space="preserve"> Please see attached Request for Quotation.</t>
  </si>
  <si>
    <t xml:space="preserve"> For Dept. of Ophthalmology use.  For COVID-19</t>
  </si>
  <si>
    <t xml:space="preserve"> Republic of the Philippines Province of Capiz MUNICIPALITY OF TAPAZ REQUEST FOR QUOTATION The Municipality of Tapaz, through its Bids and Awards Committee (BAC) will undertake Shopping for the Supply and Delivery of Materials for the Construction of Cover</t>
  </si>
  <si>
    <t xml:space="preserve"> Extension/Construction of SLR Covered Court as Evacuation Center</t>
  </si>
  <si>
    <t xml:space="preserve"> Republic of the Philippines					 Province of Guimaras					 Municipality of Sibunag					 					 BIDS AND AWARDS COMMITTEE					 				June 23,2020	 					 REQUEST FOR QUOTATION					 ______________________________					 ______________________________					 _______</t>
  </si>
  <si>
    <t xml:space="preserve"> Improvement of MPP Training Center cum mess Hall to be used for isolation facility during Pandemic</t>
  </si>
  <si>
    <t xml:space="preserve"> Item No.	Description	Unit	Quantity 1	Municipal Ordinance No. 01-s-2020	Page	2 2	Municipal Ordinance No. 02-s-2020	Page	4 3	Municipal Ordinance No. 03-s-2020	Page	2 4	Municipal Ordinance No. 04-s-2020	Page	2 5	Municipal Ordinance No. 05-s-2020	Page	8 6	Mun</t>
  </si>
  <si>
    <t xml:space="preserve"> Rental of heavy equipments</t>
  </si>
  <si>
    <t xml:space="preserve"> 1.	The Municipality of Impasugong, through the 8-90-00 (2016 &amp; below) 20% - Purchase of Post Harvest Facilities intends to apply the sum Four Hundred Thirty Thousand Pesos (PhP 430,000.00) being the Approved Budget for the Contract (ABC) to payments under</t>
  </si>
  <si>
    <t xml:space="preserve"> 11 kilo Sitao Seeds &amp; 9 others</t>
  </si>
  <si>
    <t xml:space="preserve"> Supply &amp; delivery of: 1	25	pair	Rubber Boots 			*Size: 			 37=3 			 38=2 			 39=3 			 40=6 			 41=5 			 42=6 2	6	pair	Safety Shoes Low-Cut 			*Size: 			 37=1 			 38=1 			 39=1 			 40=1 			 42=2 3	9	pair	Safety Shoes High-Cut 			*Size: 			 37=2 			 41=1 		</t>
  </si>
  <si>
    <t xml:space="preserve"> Please see attached RFQ. ABC: 105,000.00</t>
  </si>
  <si>
    <t xml:space="preserve"> 10 PCS BADMINTON ROCKET 20 PCS SHUTTLE COCK 4PCS BADMINTON NET 10 PCS VOLLEYBALL 6 PCS VOLLEYBALL NET 4 PCS BASKETBALL 4 PCS BASKETBALL RING 6 PCS TABLE TENNIS ROCKET 4 PCS TABLE TENNIS NET 4 PCS TABLE TENNIS CLAMP 20 PCS PING PONG BALLS 4 PCS LEGO BLOCKS</t>
  </si>
  <si>
    <t xml:space="preserve"> Invitation to Bid for PB-004-2020 PB-004-2020 CY 2020 Improvement of Various Offices of the Schools Division of Ilocos Norte - Phase V 1.	The DepEd Schools Division of Ilocos Norte, through the Government Appropriations Act 2020  intends to apply the sum </t>
  </si>
  <si>
    <t xml:space="preserve"> Description The Isabela State University invites registered contractors/ suppliers/ bidders to submit bid proposals/ price quotation of the items listed in the attached RFQ/RFP. Submit your proposals/ quotation duly signed by you or your duly authorized r</t>
  </si>
  <si>
    <t xml:space="preserve"> 2 box Medical Face Mask &amp; 11 others</t>
  </si>
  <si>
    <t xml:space="preserve"> One job furnishing labor and materials for the CONSTRUCTION OF BULLETIN BOARD AND SIGNAGES, BANATE, ILOILO</t>
  </si>
  <si>
    <t xml:space="preserve"> Improvement of Barangay road. to Include: 1. Roadway Preparation 2. Concrete Pavement</t>
  </si>
  <si>
    <t xml:space="preserve"> 200 sets Rain Coat - Pants and Jacket Style 200 pairs Rubber Boots 200 pcs. Reflectorized Safety Vest</t>
  </si>
  <si>
    <t xml:space="preserve"> Purchase of one (1) unit Multi-purpose vehicle for conversion into a rescue vehicle, equipped with the necessary equipment and apparatus.</t>
  </si>
  <si>
    <t xml:space="preserve"> Corazon Locsin Montelibano Memorial Regional Hospital, through its Bids and Awards Committee, intends to procure FETAL MONITOR MACHINE, which will be undertaken in accordance with Section 53.9 of the Revised Implementing Rules and Regulations of Republic </t>
  </si>
  <si>
    <t xml:space="preserve"> `Republic of the Philippines DEPARTMENT OF PUBLIC WORKS AND HIGHWAYS LAGUNA I  DISTRICT ENGINEERING OFFICE REGIONAL OFFICE NO. IV-A 	Santa Cruz, Laguna	            Invitation to Bid The Department of Public Works and Highways- Laguna I District Engineerin</t>
  </si>
  <si>
    <t xml:space="preserve"> 1 UNIT GRASSCUTTER - . - w/ complete accessories and tools</t>
  </si>
  <si>
    <t xml:space="preserve"> REQUEST FOR QUOTATION (RFQ) SUPPLY AND DELIVERY OF DRONE UNDER EMB-PPPDD-SISMS RFQ NO. EMB-SISMS.-SHOPPING-G-079-06-23-2020-2nd Posting PR. NO. 2020-0400 1.	The Department of Environment and Natural Resources – Environmental Management Bureau (DENR-EMB) h</t>
  </si>
  <si>
    <t xml:space="preserve"> Purchase og Ascorbic Acid</t>
  </si>
  <si>
    <t xml:space="preserve"> NOTICE OF PROCUREMENT June 24, 2020 Notice is hereby given that the Department of Public Works and Highways (DPWH)-Metro Manila 3rd District Engineering Office is undertaking the following project, to wit; CID No. 20CSOD01- Procurement for the Conduct of </t>
  </si>
  <si>
    <t xml:space="preserve"> 1 50 SACK RICE - well-milled 2 18 KLS. ONION - . 3 37 KILOS COOKING OIL - . 4 13 KILOS GARLIC - . 5 28 KILOS MONGGO - . 6 62 KILOS BROWN SUGAR - . 7 20 KILOS DRIED FISH-DILI PINIKAS - . 8 165 PACKS COFFEE-25GRMS - . 9 279 CAN SARDINES - . 10 225 PCS NOODL</t>
  </si>
  <si>
    <t xml:space="preserve"> Project Billboard Structure Excavation (Common Soil) Embankment from Structure Excavation Gravel Bedding Structural Concrete RSB Formworks &amp; Scaffoldings Masonry Wooden Doors Fixed and Windows Plain Cement Plaster Finish Railings/Handrails Tile Works Conc</t>
  </si>
  <si>
    <t xml:space="preserve"> Invitation to Bid No. 2020-PB-05 FOR Engagement of Mailing Service of PRO IVA for CY 2020 1.	The PhilHealth Regional Office IVA (PRO-IVA), through the Corporate Operating Budget (COB) 2020 and Approved Budget for the Contract (ABC) intends to apply the su</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</si>
  <si>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</si>
  <si>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DESKTOP COMPUTER, BRANDED Processor: Intel Core i3 Memory:  4GB DDR4 Storage:  1TB HDD GPU: GeForce NVIDIA GT730 2G Monitor: 21.5” LED OS: Windows 10 Others:  DVDRW, KB &amp; MOUSE 	5 units	P40,000.00/unit LAPTOP COMPUTER, BRANDED Processor:  9th Gen. Intel C</t>
  </si>
  <si>
    <t xml:space="preserve"> Procurement of 80 Case Soft drinks (Mismo) &amp; 6 LI</t>
  </si>
  <si>
    <t xml:space="preserve"> The Department of Agriculture-RFO 3, invites interested suppliers to submit quotations/proposals for the hereunder requirement, to wit: 12	pc	Tarpaulins (4x5) (No Frame)	 1	pc	Tarpaulin (4x5ft)  wooden frame and with 2 support stick measuring 2m long and </t>
  </si>
  <si>
    <t xml:space="preserve"> Republic of the Philippines Province of Nueva Vizcaya BIDS AND AWARDS COMMITTEE (BAC-Goods) BAC OFFICE, Provincial Capitol, Bayombong, Nueva Vizcaya Tel. No. 078-392-2062 	 2ND INVITATION TO BID FOR THE SUPPLY AND DELIVERY OF VETERINARY MEDICAL SUPPLIES (</t>
  </si>
  <si>
    <t xml:space="preserve"> 30 heads Piglets</t>
  </si>
  <si>
    <t xml:space="preserve"> For Publicity and Information, Education &amp; Communication (IEC) Materials for the 2020 Census of Population and Housing (CPH)</t>
  </si>
  <si>
    <t xml:space="preserve"> Republic of the Philippines CARAGA Administrative Region PROVINCE OF DINAGAT ISLANDS San Jose, Dinagat Islands BIDS AND AWARDS COMMITTEE INVITATION TO BID FOR  SUPPLY AND DELIVERY OF ONE (1) UNIT BRAND NEW 4X2 SUV 1.	The Provincial Government of Dinagat I</t>
  </si>
  <si>
    <t xml:space="preserve"> TERMS OF REFERENCE  CONTRACT OF SERVICE AS LEARNING SERVICE PROVIDER FOR THE CITY COLLEGE OF SAN JOSE DEL MONTE  ASSOCIATE PROFESSOR V          A.	TYPE OF CONTRACT: Contract of Service as Learning Service Provider B.	PROJECT DESCRIPTION OR CONTENT AND BAC</t>
  </si>
  <si>
    <t xml:space="preserve"> 116 bags cement 13 cu.m. Gravel 7 cu.m. Sand 4 pcs 12mm0 RSB 384 Bdft Coco lumber 3 kgs Assorted CW Nail</t>
  </si>
  <si>
    <t xml:space="preserve"> Item No.	Description	Unit	Quantity A.1.1(6)	Provision Of Combined Field Office Laboratory &amp; Living Quarters ( Rental Basis )	mo/s	8.00 b.5.	Project Billboard / Signboard	unit/s	1.00 b.7. (1)	Occupational Safety &amp; Health Program	mo/s	8.00 SPL - 1	Material </t>
  </si>
  <si>
    <t xml:space="preserve"> Bill Housing 1006550- 1 Assy. Housing-Fly Wheel</t>
  </si>
  <si>
    <t xml:space="preserve"> 10 pcs. Syringe Fiberglass 10ml &amp; 18 others</t>
  </si>
  <si>
    <t xml:space="preserve"> FEASIBILITY STUDY (F/S) ON THE SOLID WASTE MANAGEMENT FACILITY (LGU SANITARY LANDFILL) FOR THE FOUR (4) LOCAL GOVERNMENT UNIT-CLUSTERS (LGU-CLUSTERS) OF LANUZA AND SAN AGUSTIN IN SURIGAO DEL SUR, DINAGAT IN THE PROVINCE OF DINAGAT ISLANDS AND VERUELA IN A</t>
  </si>
  <si>
    <t xml:space="preserve"> Republic of the Philippines DEPARTMENT OF PUBLIC WORKS AND HIGHWAYS PANGASINAN IV DISTRICT ENGINEERING OFFICE REGIONAL OFFICE I Tuliao, Sta. Barbara, Pangasinan Invitation to Bid for  Construction of Two (2) Storey Six (6) Classroom School Building, Balit</t>
  </si>
  <si>
    <t xml:space="preserve"> Purchase of 2nd hand motor vehicle.</t>
  </si>
  <si>
    <t xml:space="preserve"> Rehabilitation/Improvement of Two (2) Storey 8 Classroom Academic Building (Phase II) LSPU Siniloan Campus, Siniloan, Laguna”, A = 10.5 mtrs x 40.05 mtrs.,  work includes the following: Finishing Works, Ceiling, Electrical Rehabilitation and Installation,</t>
  </si>
  <si>
    <t xml:space="preserve"> 29 packs 3-in-1 Coffee, white 30's x 30g and 164 others L/I</t>
  </si>
  <si>
    <t xml:space="preserve"> 400 pcs. Uniform (long sleeve) with printed LOGO (front) and DPWH (back) (cotton)</t>
  </si>
  <si>
    <t xml:space="preserve"> The Municipality of Limay, through its Bids and Awards Committee (BAC) invites registered suppliers to apply for eligibility and if found eligible, to bid for the hereunder project/contract: Project/Contract:     SUPPLY AND DELIVERY OF HOUSEHOLD PLATES Lo</t>
  </si>
  <si>
    <t xml:space="preserve"> Republic of the Philippines						SUPERDOME		 		Government of Ormoc City						P.R. No.:  	200872	 		BIDS AND AWARDS COMMITTEE						Quotation No.: 	204455	 		Ormoc City						PhilGEPs No.: 		 										 Standard Form Title:			REQUEST FOR QUOTATION							 			</t>
  </si>
  <si>
    <t xml:space="preserve"> Please see attached RFQ and PR</t>
  </si>
  <si>
    <t xml:space="preserve"> Thermoplastic Paints-White (25 kg. per bag) Specification: Content 16% of Glass Beads Packing Materials as Filling Added into the Paint, Ensure Mechanical Strength, Wear Resistance &amp; Color of Painting Coating - 245 Bags And Primer - 40 Liters</t>
  </si>
  <si>
    <t xml:space="preserve"> Republic of the Philippines						TOURISM		 		Government of Ormoc City						P.R. No.:  	201695	 		BIDS AND AWARDS COMMITTEE						Quotation No.: 	204445-6143	 		Ormoc City						PhilGEPs No.: 		 										 Standard Form Title:			REQUEST FOR QUOTATION							 </t>
  </si>
  <si>
    <t xml:space="preserve"> Republic of the Philippines Cordillera Administrative Region Province of Kalinga B A L B A L A N Invitation to Apply for Eligibility and to Bid for the REHABILITATION OF UPPER POBLACION CONCRETE FOOTSTEPS, POBLACION, BALBALAN, KALINGA 1.	The Local Governm</t>
  </si>
  <si>
    <t xml:space="preserve"> Republic of the Philippines BARANGAY PALINDAN Ibaan, Batangas INVITATION TO BID The Barangay Government of Palindan, Ibaan, Batangas through its Bids and Awards Committee (BAC), invites contractors registered with and classified by the Philippine Contract</t>
  </si>
  <si>
    <t xml:space="preserve"> Slippers (Havana) Pot Holder Hanger Safeguard Body Wash Cotton Rugs Lysol Safeguard Soap Bar WVN Doormat</t>
  </si>
  <si>
    <t xml:space="preserve"> Invitation to Bid No. 2020-PB-06 FOR Supply and Delivery of Various Furniture for PRO IVA 1.	The PhilHealth Regional Office IVA (PRO-IVA), through the Corporate Operating Budget (COB) 2020 and Approved Budget for the Contract (ABC) intends to apply the su</t>
  </si>
  <si>
    <t xml:space="preserve"> Pag-IBIG FUND Tuguegarao Branch Office Editha Tuddao Bldg., Balzain Road, Tuguegarao City, Cagayan REQUEST FOR QUOTATION SUPPLY AND DELIVERY OF ONE (1) UNIT BRAND NEW PHOTOCOPYING MACHINE  FOR Pag-IBIG FUND, TUGUEGARAO HUB  The Pag-IBIG Fund (HDMF) is inv</t>
  </si>
  <si>
    <t xml:space="preserve"> Supply &amp; delivery of: 1	19	units	Thermal Scanner 			Specs: 			Distance: 5cm-10cm 			Temperature range: 0˚C-199.9˚C 			Temperature range: 32˚C-391.8˚C 			Response Time: 500ms 2	80	pcs	Face Shield (optical clear/as per sample) 3	25	pcs	Gallon with faucet (2</t>
  </si>
  <si>
    <t xml:space="preserve"> Procurement for Slotted Rack (Installation of Shelves and Racks) for the use at the Provincial Human Resource Management and Development Office, New Capitol Building, Tagbilaran City ABC: P150,000.00 Cost of Canvas: P150.00</t>
  </si>
  <si>
    <t xml:space="preserve"> The Department of Agriculture-RFO 3, invites interested suppliers to submit quotations/proposals for the hereunder requirement, to wit: 60	pair	Raincoat (Jacket and Pants type)	 60	pc	Ranger Hat (field hot cotton)	 60	pc	Long-sleeves (cotton)	 			 Deliver</t>
  </si>
  <si>
    <t xml:space="preserve"> The Metro Kalibo Water District, through the Bids and Awards Committee (BAC), will undertake Negotiated Procurement (Small Value Procurement) for the SUPPLY &amp; DELIVERY OF TWENTY-FIVE (25) PAILS CALCIUM HYPOCHLORITE GRANULES (45KGS. /PAIL, 70% CHLORINE CON</t>
  </si>
  <si>
    <t xml:space="preserve"> REQUEST FOR QUOTATION (RFQ) SUPPLY AND DELIVERY OF CALIBRATION GASES FOR PHOTOIONIZATION DETECTOR (PID) UNDER EMB-AQMS RFQ NO. EMB-AQMS-SHOPPING-G-081--6-23-2020-2nd posting PR NO. 2019-0440 1.	The Department of Environment and Natural Resources – Environ</t>
  </si>
  <si>
    <t xml:space="preserve"> Invitation to Bid PROCUREMENT OF MOVING SERVICES  (PEZA-HO-2020-01) 1.	The Philippine Economic Zone Authority (PEZA), through its Corporate Operating Budget for CY 2020 intends to apply the sum of P2,000,000.00 being the Approved Budget for the Contract (</t>
  </si>
  <si>
    <t xml:space="preserve"> Supply and Delivery of CM for the construction of Takadang-Pilig-Buhlagan-Ganza Road,Babadi,KNV</t>
  </si>
  <si>
    <t xml:space="preserve"> ¬ REQUEST FOR QUOTATION (RFQ)  SUPPLY AND DELIVERY OF MATERIALS FOR GROUNDS MAINTENANCE RFQ NO. EMB-EMB-PGSS 2020-085-06-23-2020-2nd Posting PR NO.2020-009792   1.	The Department of Environment and Natural Resources – Environmental Management Bureau (DENR</t>
  </si>
  <si>
    <t xml:space="preserve"> 1.	The Municipality of Impasugong, through the 8-90-00 (2016 &amp; below) 20% - Purchase of Post Harvest Facilities intends to apply the sum Five Hundred Seventy Thousand Pesos (PhP 570,000.00) being the Approved Budget for the Contract (ABC) to payments unde</t>
  </si>
  <si>
    <t xml:space="preserve"> Request for Quotation Project No.: CY 2020-GOODS-002 The Department of Education (DepED) Schools Division Office of Ligao City, hereafter referred to as the Procuring Entity, through the General Appropriations Act FY 2020 intends to apply the sum of Eight</t>
  </si>
  <si>
    <t xml:space="preserve"> 1 3 BOX/S CLIP - PAPER-VINYL COATED ( BIG ) 2 15 PC/S CORRECTION TAPE - W/ CASE 3 36 PC/S BALLPEN - ORDINARY, BLACK 4 2 BTL/S GLUE - 130G 5 2 ROLL/S TAPE - TRANSPARENT 24MM (1") WIDTH USABLE LENGHT OF 50M 6 1 BOX/S FASTENER - PAPER, PLASTIC, 50 SETS/BOX 7</t>
  </si>
  <si>
    <t xml:space="preserve"> 1025 pcs ID Lanyard, with school label</t>
  </si>
  <si>
    <t xml:space="preserve"> CONCRETING OF BRGY. FMR</t>
  </si>
  <si>
    <t xml:space="preserve"> Republic of the Philippines CARAGA Administrative Region PROVINCE OF DINAGAT ISLANDS San Jose, Dinagat Islands BIDS AND AWARDS COMMITTEE INVITATION TO BID FOR  SUPPLY AND DELIVERY OF AGRICULTURAL &amp; FISHERY MACHINERIES AND EQUIPMENT 1.	The Provincial Gover</t>
  </si>
  <si>
    <t xml:space="preserve"> INVITATION TO BID The Barangay Bangkilingan of Tabaco City through the Bids and Awards Committee (BAC) invites suppliers to bid for the hereunder contract: Name of Contract: Procurement of Materials for the Improvement of Multi-purpose Building Location: </t>
  </si>
  <si>
    <t xml:space="preserve"> Find attached RFQ on Associated Components.</t>
  </si>
  <si>
    <t xml:space="preserve"> PURCHASE REQUEST  Municipality of Buenavista  LGU  Department: LGU-BUENAVISTA Section: MPDC PR: Date:  SA1 No.  Qty. 		Unit	Item Description 	Estimated Unit cost 	Estimated Total cost  1	unit	sink with fit cremona TOTAL  Purpose: Purchase of sink for MPDC</t>
  </si>
  <si>
    <t xml:space="preserve"> Qty   Unit  Item Description 3     pcs   Tire 9 x 20 with interior and flap</t>
  </si>
  <si>
    <t xml:space="preserve"> ` Republic of the Philippines DEPARTMENT OF PUBLIC WORKS AND HIGHWAYS LAGUNA I  DISTRICT ENGINEERING OFFICE REGIONAL OFFICE NO. IV-A 	Santa Cruz, Laguna	            Invitation to Bid The Department of Public Works and Highways- Laguna I District Engineeri</t>
  </si>
  <si>
    <t xml:space="preserve"> TERMS OF REFERENCE  CONTRACT OF SERVICE AS LEARNING SERVICE PROVIDER FOR THE CITY COLLEGE OF SAN JOSE DEL MONTE  INSTRUCTOR I          A.	TYPE OF CONTRACT: Contract of Service as Learning Service Provider B.	PROJECT DESCRIPTION OR CONTENT AND BACKGROUND  </t>
  </si>
  <si>
    <t xml:space="preserve"> Supplemental Budget No. 1 CY 2020  Intensified Family Planning Program  - Purchase of Drugs and Medicines - P 100,000.00</t>
  </si>
  <si>
    <t xml:space="preserve"> Project: PURCHASE AND DELIVERY OF MEDICINES Location: Laurel, Batangas ABC: PHP321,032.55 Advertisement	June 24-July 1, 2020 Pre-bid Conference	- Submission of Letter of Intent	June 24-July 2, 2020 Issuance of Bid Documents	June 24-July 2, 2020 Deadline f</t>
  </si>
  <si>
    <t xml:space="preserve"> 95 bags cement 116 pcs RSB 10mm0 2 pcs RSB 9mm0 17 bdft Coco lumber 2 kgs CW Nails Assorted 5 kgs CW Nails Assorted 870 pcs CHB 4" 5 cu.m. Gravel 7 cu.m. Sand</t>
  </si>
  <si>
    <t xml:space="preserve"> Description   Republic of the Philippines Province of Quezon Municipality of Atimonan Barangay Caridad Ibaba   Project Reference Number: 2020-06-20s Name of the Project: Purchase Of Uniform Location of the Project: Barangay Caridad Ibaba REQUEST FOR QUOTA</t>
  </si>
  <si>
    <t xml:space="preserve"> Purchase of Supplies for emergency rescue team</t>
  </si>
  <si>
    <t xml:space="preserve"> 2 Lots Lot 1: Supply of labor and materials for the provision of enclosure of wet lab area base from the following scope of works, specification and attached technical drawings Estimated Cost: Php 165,000.00 Scope of works: 1. Area preparation and site cl</t>
  </si>
  <si>
    <t xml:space="preserve"> 4 Pcs. Tire Tubeless 265/60 R18</t>
  </si>
  <si>
    <t xml:space="preserve"> Corazon Locsin Montelibano Memorial Regional Hospital, through its Bids and Awards Committee, intends to procure HEMOGLOBIN MICROCUVETTE, which will be undertaken in accordance with Section 53.9 of the Revised Implementing Rules and Regulations of Republi</t>
  </si>
  <si>
    <t xml:space="preserve"> Please see "associated component" for the specifications Bed Mattress - 50 pcs</t>
  </si>
  <si>
    <t xml:space="preserve"> Republic of the Philippines Province of Guimaras Municipality of Sibunag INVITATION TO BID FOR  Bid No. 2020-019 – For the Impv’t. of Drainage System in the Municipal Site The Municipality of Sibunag through the  2018 LGSF – Trust Fund (DSWDO)  intends to</t>
  </si>
  <si>
    <t xml:space="preserve"> 3 sets Desktop Computer Specifications: Branded *23" Monitor *Windows 10 Home 64-bit *8th Generation Intel Core i5-8400 Processor (9M Cache, up to 4.0GHz Operating System) *8GB (8Gx1) DDR4, 2666MHz *1 TB 7200 rpm Hard Drive *NVIDIA GeForce GT1030 2GB DDR3</t>
  </si>
  <si>
    <t xml:space="preserve"> Description   Republic of the Philippines Province of Quezon Municipality of Atimonan Barangay Caridad Ibaba   Project Reference Number: 2020-06-21s Name of the Project: Purchase Of Uniform Location of the Project: Barangay Caridad Ibaba REQUEST FOR QUOTA</t>
  </si>
  <si>
    <t xml:space="preserve"> Contract for the Improvement of Water System, Barangay Bobongon, Santo Tomas The Municipality of Santo Tomas, through Supplemental Budget #3 CY 2020 intends to apply the sum of P’ 14,999,975.17  being the Approved Budget for the Contract (ABC) to payments</t>
  </si>
  <si>
    <t xml:space="preserve"> Republic of the Philippines Province of Lanao del Norte Municipality of Tubod OFFICE OF THE BIDS AND AWARDS COMMITTEE INVITATION TO BID CONSTRUCTION/DEVELOPMENT OF SANITARY LANDFILL   Barangay Tubaran, Tubod, Lanao del Norte  (ITB-2020-JDL-006) Approved B</t>
  </si>
  <si>
    <t xml:space="preserve"> Republic of the Philippines						CHO		 		Government of Ormoc City						P.R. No.:  	201747	 		BIDS AND AWARDS COMMITTEE						Quotation No.: 	204447-6144	 		Ormoc City						PhilGEPs No.: 		 										 Standard Form Title:			REQUEST FOR QUOTATION							 				</t>
  </si>
  <si>
    <t xml:space="preserve"> Purchase of Fuel, Oil and Lubricants Expenses  Municipal Engineering Office - P 100,000.00  MSWDO - P 100,000.00</t>
  </si>
  <si>
    <t xml:space="preserve"> 1 10 PC/S CLEAR BOOK - LONG-40 SHEETS 2 2 ROLL/S DOUBLE SIDED TAPE - #2 3 15 PC/S FOLDER - LONG-PLASTIC THICK PINK 4 10 PC/S PEN - SIGN PEN BLACK-NO.0.3 5 10 PC/S PEN - SIGN PEN BLACK-0.4 6 4 PC/S MAGAZINE RACK - FOLDABLE BLUE-115mmx270mmx325mm</t>
  </si>
  <si>
    <t xml:space="preserve"> I. CONSTRUCTION OF CANAL LINING W/ CONCRETE COVER            A. MATERIALS:                                 1,050  pcs            CHB # 4                   160  bags          PORTLAND CEMENT                    12   cu. m.       WHITE SAND                  </t>
  </si>
  <si>
    <t xml:space="preserve"> 1. Diesel (36 days) 100 Ltrs. 2. Lubricant/Oil (36 days) 74 Ltrs.</t>
  </si>
  <si>
    <t xml:space="preserve"> Item No. 	Item Description					QTY.	Unit	Unit Price	Total Price 1	Digital / Analog Repaeater					1	lot		 	Specifications:								 	136-174Mhz, digital repeater system with built-in power supply, NTC license/engineering plan (1ch duplex), with the followin</t>
  </si>
  <si>
    <t xml:space="preserve"> TO BE DISTRIBUTED TO VARIOUS SCHOOLS</t>
  </si>
  <si>
    <t xml:space="preserve"> Republic of the Philippines CARAGA Administrative Region PROVINCE OF DINAGAT ISLANDS San Jose, Dinagat Islands BIDS AND AWARDS COMMITTEE INVITATION TO BID FOR  SUPPLY AND DELIVERY OF INORGANIC FERTILIZER 1.	The Provincial Government of Dinagat Islands, th</t>
  </si>
  <si>
    <t xml:space="preserve"> TERMS OF REFERENCE  CONTRACT OF SERVICE AS LEARNING SERVICE PROVIDER FOR THE CITY COLLEGE OF SAN JOSE DEL MONTE  ASSISTANT PROFESSOR III          A.	TYPE OF CONTRACT: Contract of Service as Learning Service Provider B.	PROJECT DESCRIPTION OR CONTENT AND B</t>
  </si>
  <si>
    <t xml:space="preserve"> TERMS OF REFERENCE  CONTRACT OF SERVICE AS LEARNING SERVICE PROVIDER FOR THE CITY COLLEGE OF SAN JOSE DEL MONTE  INSTRUCTOR III          A.	TYPE OF CONTRACT: Contract of Service as Learning Service Provider B.	PROJECT DESCRIPTION OR CONTENT AND BACKGROUND</t>
  </si>
  <si>
    <t xml:space="preserve"> Republic of the Philippines						CMO		 		Government of Ormoc City						P.R. No.:  	201748	 		BIDS AND AWARDS COMMITTEE						Quotation No.: 	204451-6146	 		Ormoc City						PhilGEPs No.: 		 										 Standard Form Title:			REQUEST FOR QUOTATION							 				</t>
  </si>
  <si>
    <t xml:space="preserve"> Cadiz City Request for Quotation _______________ _____________________ _____________________ _____________________ Please quote your lowest price on the items listed below, subject to the General Conditions on the last page, stating the shortest time of d</t>
  </si>
  <si>
    <t xml:space="preserve"> BIDS AND AWARDS COMMITTEE INVITATION TO BID (ITB) The LOCAL GOVERNMENT UNIT OF BILIRAN, through its BIDS AND AWARDS COMMITTEE (BAC) invites Bidders/Suppliers to bid for the Construction of the following: 1.	REHAB OF BREAK WATER/SEAWALL					Php 3,119,303.4</t>
  </si>
  <si>
    <t xml:space="preserve"> 329 pcs ID , PVC material</t>
  </si>
  <si>
    <t xml:space="preserve"> 4 sets S/S heavy duty assembly cabinet (24199mmx915mmx792mm) main fram &amp; 4 others</t>
  </si>
  <si>
    <t xml:space="preserve"> QTY.	UNIT	DESCRIPTION 2	units	Desktop Computers 		Specifications: 		Intel Corei3 or AMD Ryzen Processor 		At elast 4GB RAM 		1 TB Hard Disk Drive 		Motherboard with Integrated AVL 		High Definition Graphics Card 		Mini Tower Casing 		At least 20 inches di</t>
  </si>
  <si>
    <t xml:space="preserve"> Item No.	Description	Unit	Quantity B.9	Mobilization/Demobilization	1.00	l.s B.5.	Project Billboard	1.00	unit/s 104(2)b	Embankment	15.50	cu.m 510 (2)	Concrete Slope Protection	25.00	cu.m</t>
  </si>
  <si>
    <t xml:space="preserve"> CNC LASER CUTTER/ENGRAVER Working Area: Working area 1300mm x 900mm Laser power: 100watts Laser type:  CO2 laser tube Engraving speed 0-60000 mm/s Cutting Speed 0-10000 mm/s Repeat Location Accuracy +/- 0.0125mm Driving mode DC0.8A 24V Stepper Motor Posit</t>
  </si>
  <si>
    <t xml:space="preserve"> Mayor's Office Purchase of Fuel, Oil and Lubricants Expenses - P 200,000.00</t>
  </si>
  <si>
    <t xml:space="preserve"> INVITATION TO BID LGU-El Salvador City, Misamis Oriental through its BAC, invites interested bidders to apply for eligibility and if found eligible to bid for the contract: 1.	Contract ID No.	:	ITB No. 2020-06-055/Project ID No. 19-007-20% &amp; 20-011-20% Na</t>
  </si>
  <si>
    <t xml:space="preserve"> Description Republic of the Philippines  City of Danao BIDS AND AWARDS COMMITTEE INVITATION TO APPLY FOR ELIGIBILITY AND TO BID INFRASTRUCTURE PROJECTS IN THE CITY OF DANAO Construction of Evacuation Center at Barangay Sabang, Danao City The City Governme</t>
  </si>
  <si>
    <t xml:space="preserve"> 363 cu.m. Filling Materials  (item 200)</t>
  </si>
  <si>
    <t xml:space="preserve"> Republic of the Philippines						CMO		 		Government of Ormoc City						P.R. No.:  	201756	 		BIDS AND AWARDS COMMITTEE						Quotation No.: 	204437-6139	 		Ormoc City						PhilGEPs No.: 		 										 Standard Form Title:			REQUEST FOR QUOTATION							 				</t>
  </si>
  <si>
    <t xml:space="preserve"> Procurement of 1 Set Wiper Blade &amp; 8 LI</t>
  </si>
  <si>
    <t xml:space="preserve"> TERMS OF REFERENCE  CONTRACT OF SERVICE AS LEARNING SERVICE PROVIDER FOR THE CITY COLLEGE OF SAN JOSE DEL MONTE  ASSOCIATE PROFESSOR IV          A.	TYPE OF CONTRACT: Contract of Service as Learning Service Provider B.	PROJECT DESCRIPTION OR CONTENT AND BA</t>
  </si>
  <si>
    <t xml:space="preserve"> - Fourteen (14) units Color Laser Jet Printer - Print, Wireless - Print Speed: Black (Normal,A4): up to 18ppm; Color (normal,A4): Up to 4ppm - Print Quality: Black (best): 600 x 600 dpi 4 bits; Colour (best): 600 x 600 dpi bits - Print size: Tray1: A4; A5</t>
  </si>
  <si>
    <t xml:space="preserve"> BIDS AND AWARDS COMMITTEE INVITATION TO BID (ITB) The LOCAL GOVERNMENT UNIT OF BILIRAN, through its BIDS AND AWARDS COMMITTEE (BAC) invites Bidders/Suppliers to bid for the Construction of the following: 1.	URBAN GREENING/LANDSCAPING					Php 2,025,533.50 </t>
  </si>
  <si>
    <t xml:space="preserve"> 375 BAG/S PORTLAND CEMENT - with delivery at Municipal Warehouse - Type 1</t>
  </si>
  <si>
    <t xml:space="preserve"> STOCK	UNIT	ITEM DESCRIPTION	QTY. NO.			 1	set	Computer Desktop	1 2	pcs	Alcohol	10 3	pack	Toilet Tissue	3 4	pcs	Insecticide	2 5	tube	Ballpen	4 6	pcs	Bond Paper (long)	10 7	pcs	Bond Paper (short)	15 8	pack	Board Paper (short)	30 9	pcs	Correction tape	15 10	</t>
  </si>
  <si>
    <t xml:space="preserve"> Pag-IBIG FUND Tuguegarao Branch Office Editha Tuddao Bldg., Balzain Road, Tuguegarao City, Cagayan REQUEST FOR QUOTATION SUPPLY AND DELIVERY OF THREE (3) UNITS BRAND NEW EVAPORATIVE AIR COOLER  FOR Pag-IBIG FUND, TUGUEGARAO HUB  The Pag-IBIG Fund (HDMF) i</t>
  </si>
  <si>
    <t xml:space="preserve"> Item Number	Description	Unit	Quantity 			 1	PNP Patrol Vehicle	unit	1</t>
  </si>
  <si>
    <t xml:space="preserve"> pls see associated component</t>
  </si>
  <si>
    <t xml:space="preserve"> Official Transcript of Records (old) - 20 reams (500pcs / ream) materials: cheque paper with LSPU Letterhead and shadow of logo at the center Official Transcript of Records - 20 reams (500pcs / ream) materials: cheque paper with LSPU logo at the center NO</t>
  </si>
  <si>
    <t xml:space="preserve"> INVITATION TO BID 	 The Municipality of Liloan, Southern Leyte through its Bids and Awards Committee (BAC), invites suppliers/manufacturers/distributors/contractors to bid for the: 1.	Procurement of Electrical Fixtures and Accessories Location:  Poblacion</t>
  </si>
  <si>
    <t xml:space="preserve"> Republic of the Philippines DEPARTMENT OF PUBLIC WORKS AND HIGHWAYS BOHOL III DISTRICT ENGINEERING OFFICE REGIONAL OFFICE VII Guindulman, Bohol INVITATION TO BID FOR GOODS June 17, 2020 The Department of Public Works and Highways-Bohol 3rd District Engine</t>
  </si>
  <si>
    <t xml:space="preserve"> 1 2 PC/S INK - EPSON - BLACK T6641 2 2 BTL/S INK - EPSON (CYAN) T6642 3 2 BTL/S INK - EPSON (MAGENTA) T6643 4 2 PC/S INK - EPSON - YELLOW T6644 5 1 BTL/S INK - EPSON 003 (BLACK) 6 1 BTL/S INK - EPSON 003 (CYAN) 7 1 BTL/S INK - EPSON 003 (MAGENTA) 8 1 BTL/</t>
  </si>
  <si>
    <t xml:space="preserve"> Qty  Unit  Item Description 3    pcs   Tire 9 x 20 with interior and flap</t>
  </si>
  <si>
    <t xml:space="preserve"> The Department of Agriculture-RFO 3, invites interested suppliers to submit quotations/proposals for the hereunder requirement, to wit: 833	bags	Urea Fertilizer (50kg/bag)	 		46% Nitorgen	 		-Granular	 			 			 		** savings of urea fertilizer under Typhoon</t>
  </si>
  <si>
    <t xml:space="preserve"> 1	set	Air compressor w/ hose (15mtrs) double piston 1	pc	Spray Gun</t>
  </si>
  <si>
    <t xml:space="preserve"> Republic of the Philippines Province of Bohol MUNICIPALITY OF SAN MIGUEL Bids and Awards Committee 2nd Floor Municipal Hall Building, Municipal Compound, Poblacion, San Miguel, Bohol Contact: 09287957497 Email: bacsanmiguelbohol@gmail.com REQUEST FOR QUOT</t>
  </si>
  <si>
    <t xml:space="preserve"> MUNICIPALITY OF BORBON LOCATION: BARANGAY TABUNAN TO BARANGAY BAGACAY DESCRIPTION: OTHER GENERAL REQUIREMENTS = 348,233.37 EARTHWORKS = 1,083,274.65 SUB BASE AND BASE COURSE = 1,016,140.08 SURFACE COURSES = 7,438,369.05 DRAINAGE AND SLOPE PROTECTION = 113</t>
  </si>
  <si>
    <t xml:space="preserve"> Continuation of Sibay Evacuation Center Item No.	Quantity	Unit	Description			 1	185	bags	Portland Cement 40kg			 2	5	cu.m.	Sand, washed			 3	8	cu.m.	Fine Sand			 4	2	sets	Aluminum Sliding Window 0.4m x 0.8m			 5	1	set	Aluminum Sliding Window 1.5m x 1.6m		</t>
  </si>
  <si>
    <t xml:space="preserve"> Republic of the Philippines DEPARTMENT OF PUBLIC WORKS AND HIGHWAYS CAMARINES SUR 2ND DISTRICT ENGINEERING OFFICE Regional Office V Baras, Canaman, Camarines Sur INVITATION TO BID FOR  20FE0128 – CONSTRUCTION OF CLASSROOMS, MANTALISAY ES, LIBMANAN, CAMARI</t>
  </si>
  <si>
    <t xml:space="preserve"> Item No.	Unit	DESCRIPTION				Qty 						 1	Unit	Bush Cutter				1 		Makita RBC 411U (2Stroke)				 		with Black Cutter BCB-NC</t>
  </si>
  <si>
    <t xml:space="preserve"> Issuance of Bid Documents Starts: May 8, 2020 Cost of Bid Document: Php 2,500.00 Venue of Dropping and Opening Bids: BAC Conference Room, Leyte SMED Center, Provincial Capitol Grounds, Tacloban City</t>
  </si>
  <si>
    <t xml:space="preserve"> FABRICATION AND INSTALLATION OF SIGNAGE/BILLBOARD IN PALAUI ISLAND PROTECTED LANDSCAPE AND SEASCAPE (PIPLS) UNIT    ITEM DESCRIPTION  QUANTITY pc	1.20 m X 2.40 m Protected Area Signage (panaflex)		4 pc	0.40 m X 0.60 m Protected Area Signage (panaflex)		1</t>
  </si>
  <si>
    <t xml:space="preserve"> 8 pcs.   Forehead Thermometer</t>
  </si>
  <si>
    <t xml:space="preserve"> PURPOSE: FOR USE IN HYDROCOLATOR AT PT SECTION. (ATTACHED ORIGINAL RPPI# 2020-01-011) Fax your Price Quotation at Tel. Fax#: 426-30-45 / 927-64-26 local 2561 or Email at bacveterans@gmail.com. Please indicate the brand name and complete specifications.</t>
  </si>
  <si>
    <t xml:space="preserve"> Const. of one (1)public building.</t>
  </si>
  <si>
    <t xml:space="preserve"> SEE ATTACHED REQUEST FOR QUOTATION (RFQ) FORM</t>
  </si>
  <si>
    <t xml:space="preserve"> Republic of the Philippines Province of Romblon MUNICIPALITY OF ALCANTARA -o0o- Invitation to Bid for   PROCUREMENT OF INFORMATION AND COMMUNICATION TECHNOLOGY EQUIPMENT (ICT) Poblacion, Alcantara, Romblon The Municipal Government of Alcantara, Romblon th</t>
  </si>
  <si>
    <t xml:space="preserve"> for division office use</t>
  </si>
  <si>
    <t xml:space="preserve"> Project: PURCHASE OF MEDICAL SUPPLIES Location: Laurel, Batangas ABC: 198,534.00</t>
  </si>
  <si>
    <t xml:space="preserve"> FURNITURE &amp; FIXTURES - MHO -(20-0082) 1	8	set	Gang Chair (5 seaters, color: black and stainless sidings &amp; legs) 2	8	set	Office Table w/ Drawer &amp; Chairs 3	9	piece	FILING CABINET, vertical, four (4) drawers with lock, color: light gray 4	6	piece	Computer Ta</t>
  </si>
  <si>
    <t xml:space="preserve"> I N V I T A T I O N   T O   B I D  The Visayas State University (VSU) through its Bids and Awards Committee (BAC) invites contractors to bid for the hereunder project: Name of Project 	:  Renovation of University Students Services Office (INFRA-20-07) Loc</t>
  </si>
  <si>
    <t xml:space="preserve"> Please see attached RFQ # 20-1165 Submit the HARDCOPY of your SIGNED and SEALED quotation together with your UPDATED ELIGIBILITY requirement on or before the closing date of this opportunity. For more information, please contact Ma'am Coleta Quindong, APC</t>
  </si>
  <si>
    <t xml:space="preserve"> Please submit your quotation in a close and sealed envelop and mail in this address: Agricultural Training Institute Regional Training Center III Gov't Complex, San Ramon, Dinalupihan, Bataan C/O Supply Management Unit. or Email us on atiregion3_supply@ya</t>
  </si>
  <si>
    <t xml:space="preserve"> REQUEST FOR QUOTATIONS Procurement of Various Swimming Pool Supplies Note:  Please see attached document for complete specifications. REMINDERS: 1.) Pls. see associated components for the attached approved canvass form for complete specifications. 2.) Onl</t>
  </si>
  <si>
    <t xml:space="preserve"> 1 unit Welding Machine - 20 days 2 units Sander- 29 days 1 unit Hand Drill- 10 days 1 unit Bagger Mixer (including Fuel)- 81 days 1 unit Electric Generator (Including Fuel) - 20 days</t>
  </si>
  <si>
    <t xml:space="preserve"> TERMS OF REFERENCE  CONTRACT OF SERVICE AS LEARNING SERVICE PROVIDER FOR THE CITY COLLEGE OF SAN JOSE DEL MONTE  INSTRUCTOR II          A.	TYPE OF CONTRACT: Contract of Service as Learning Service Provider B.	PROJECT DESCRIPTION OR CONTENT AND BACKGROUND </t>
  </si>
  <si>
    <t xml:space="preserve"> 1.) Egg, medium, 30's = 82 tray 2.) Chicken, dressed = 164 kilo 3.) Eggplant (talong) = 164 kilo 4.) String beans (Sitaw) = 164 kilo 5.) Squash (Kalabasa) = 164 kilo 6.) Lady finger (Okra) = 164 kilo 7.) Bitter gourd (Ampalaya) = 164 kilo 8.) Mung beans (</t>
  </si>
  <si>
    <t xml:space="preserve"> 15 boxes Syringe 3 cc 5 boxes Syringe 1 cc 5 boxes Syringe 10 cc 5 boxes Syringes 5 cc 2 bottles Hydrogen peroxide500 L 10 boxes Disposable gloves (M) 10 boxes Disposable gloves (S) 20 packs Cotton balls 50 bottle Alcohol 500 (70%) 50 boxes Disposable mas</t>
  </si>
  <si>
    <t xml:space="preserve"> 1 5 PC/S PAIL - RUBBER 2 2 PC/S SHOVEL - HEAVY DUTY - (Wooden Handle) 3 5 PC/S CONSTRUCTION SAFETY HAT - 4 Yellows &amp; 1 White 4 15 PR/S CONSTRUCTION GLOVES - (ORANGE PALM) 5 1 UNIT/S PE EMPTY CONTAINER - 1m. Dia. (Blue) 6 15 MTR/S PE PIPE - 1/2'' dia SDR 1</t>
  </si>
  <si>
    <t xml:space="preserve"> REQUEST FOR QUOTATION											 											 The Clark Development Corporation, through its  Purchasing Division (PD), invites suppliers/ manufacturers/contractors to send proposal for the hereunder project :											 											 											 Name of Pro</t>
  </si>
  <si>
    <t xml:space="preserve"> REQUEST FOR QUOTATIONS Procurement of  Volt Meter Data Logger Note:  Please see attached document for complete specifications. REMINDERS: 1.) Pls. see associated components for the attached approved canvass form for complete specifications. 2.) Only the a</t>
  </si>
  <si>
    <t xml:space="preserve"> Tarpaulin</t>
  </si>
  <si>
    <t xml:space="preserve"> BIDS AND AWARDS COMMITTEE INVITATION TO BID (ITB) The LOCAL GOVERNMENT UNIT OF BILIRAN, through its BIDS AND AWARDS COMMITTEE (BAC) invites Bidders/Suppliers to bid for the Purchase of the following: 1.	PURCHASE AND DELIVERY OF WATER PIPES			 	Php 253,740</t>
  </si>
  <si>
    <t xml:space="preserve"> Republic of the Philippines Province of Nueva Vizcaya BIDS AND AWARDS COMMITTEE (BAC-Goods) BAC OFFICE, Provincial Capitol, Bayombong, Nueva Vizcaya Tel. No. 078-392-2062 	 2ND INVITATION TO BID FOR THE SUPPLY AND DELIVERY OF CONSTRUCTION MATERIALS    FOR</t>
  </si>
  <si>
    <t xml:space="preserve"> 3000  pieces   Medal with DepEd and MOGCHS Logo - 6 cm. with 1 inch Royal Blue Ribbon</t>
  </si>
  <si>
    <t xml:space="preserve"> REPUBLIC OF THE PHILIPPINES PROVINCE OF BATAAN MUNICIPALITY OF MARIVELES BARANGAY ALASASIN INVITATION TO APPLY FOR ELIGIBILITY AND TO BID The Barangay of Alasasin, through the General Fund Approved by the Sangguniang Barangay CY 2019 intends to apply the </t>
  </si>
  <si>
    <t xml:space="preserve"> NOTICE OF PROCUREMENT June 24, 2020 Notice is hereby given that the Department of Public Works and Highways (DPWH)-Metro Manila 3rd District Engineering Office is undertaking the following project, to wit; CID No. 20CSOD02- Procurement for the Conduct of </t>
  </si>
  <si>
    <t xml:space="preserve"> REQUEST FOR QUOTATIONS Procurement of Colored Printer Note:  Please see attached document for complete specifications. REMINDERS: 1.) Pls. see associated components for the attached approved canvass form for complete specifications. 2.) Only the approved </t>
  </si>
  <si>
    <t xml:space="preserve"> TERMS OF REFERENCE Title of Engagement	: 	Consultancy Services for the Updating and Enhancement of the Gender and Development (GAD) Sectoral Module on Good Governance Reporting Lines	:	Chief GAD Specialist and Supervising GAD Specialist of  PCW-Technical </t>
  </si>
  <si>
    <t xml:space="preserve"> Alcohol and Face mask (N95)</t>
  </si>
  <si>
    <t xml:space="preserve"> 1 unit Jetmatic Pump</t>
  </si>
  <si>
    <t xml:space="preserve"> 1	unit	Copier Machine 		Specifications: 		Digital B/W Copier, Printer, Scanner 		with automatic reverse document feeder 		Duplex Printing and automatic sorting 		Laser beam scanning and electro photographic printing 		20 pages per minute copying 		256 Mb </t>
  </si>
  <si>
    <t xml:space="preserve"> REQUEST FOR QUOTATIONS Procurement of Colored Laser Printer for the Office of the University Registrar (OUR) Note:  Please see attached document for complete specifications. REMINDERS: 1.) Pls. see associated components for the attached approved canvass f</t>
  </si>
  <si>
    <t xml:space="preserve"> Republic of the Philippines						CASO		 		Government of Ormoc City						P.R. No.:  	201754	 		BIDS AND AWARDS COMMITTEE						Quotation No.: 	204439-6140	 		Ormoc City						PhilGEPs No.: 		 										 Standard Form Title:			REQUEST FOR QUOTATION							 			</t>
  </si>
  <si>
    <t xml:space="preserve"> Bill of Materials:                            Quantity Free Painted Roof                           10  pieces Marine Plywood 1/4"                       180 pieces Marine plywood 3/4"                       20 pieces Lumber 2"x 3" x 8"                      </t>
  </si>
  <si>
    <t xml:space="preserve"> 100 BOTTLES BLEACHING SOLUTION LEMON SCENT 500ML 500 PACKS POWDER SOAP 75GRMS/PACK 100 PACKS FABRIC CONDITIONER 2000 PCS GARBAGE BAG MEDIUM 2000 PCS GARBAGE BAG LARGE 20 GALLON CHEMICAL SOLUTION 2 GALLON DISINFECTANT CONCENTRATED 10 CANS INSECT REPELANT 5</t>
  </si>
  <si>
    <t xml:space="preserve"> Reproduction of Forms</t>
  </si>
  <si>
    <t xml:space="preserve"> REQUEST FOR QUOTATIONS Procurement of One Year Subscription of Autodesk AutoCAD Note:  Please see attached document for complete specifications. REMINDERS: 1.) Pls. see associated components for the attached approved canvass form for complete specificatio</t>
  </si>
  <si>
    <t xml:space="preserve"> Reproduction of Manuals</t>
  </si>
  <si>
    <t xml:space="preserve"> Invitation to Bid Republic of the Philippines Philippine Rural Development Project Invitation to Bid for the Supply and Delivery of Ten (10) Heads Pregnant Holstein X Jersey Heifers Crosses (50:50) Loan No. 8421-PH PRDP-IR-R04A-BTG-003-TAN-001-2017 June 2</t>
  </si>
  <si>
    <t xml:space="preserve"> Procurement of 185 pcs. T-Shirt with collar</t>
  </si>
  <si>
    <t xml:space="preserve"> Please quote your best price 20 units of UV Germicidal and Sterilization Lamp ABC 60,000.00 Specification: Type: Ultraviolet Germicidal Sterilization Lamp with remote control timer (15/30/60 mins), auto off motion sensor Emiting color: Bluish violet wavel</t>
  </si>
  <si>
    <t xml:space="preserve"> REQUEST FOR QUOTATIONS Supply and Delivery of Incubator Note:  Please see attached document for complete specifications. REMINDERS: 1.) Pls. see associated components for the attached approved canvass form for complete specifications. 2.) Only the approve</t>
  </si>
  <si>
    <t xml:space="preserve"> for Municipal Budget Office</t>
  </si>
  <si>
    <t xml:space="preserve"> BIDS AND AWARDS COMMITTEE INVITATION TO BID (ITB) The LOCAL GOVERNMENT UNIT OF BILIRAN, through its BIDS AND AWARDS COMMITTEE (BAC) invites Bidders/Suppliers to bid for the Purchase of the following: 1.	PURCHASE AND DELIVERY OF CASSAVA GRATER AND DRESSER	</t>
  </si>
  <si>
    <t xml:space="preserve"> Republic of the Philippines						ENRO		 		Government of Ormoc City						P.R. No.:  	201483	 		BIDS AND AWARDS COMMITTEE						Quotation No.: 	204443-6142	 		Ormoc City						PhilGEPs No.: 		 										 Standard Form Title:			REQUEST FOR QUOTATION							 			</t>
  </si>
  <si>
    <t xml:space="preserve"> Information Technology Parts &amp; Accessories &amp; Peripherals for the School Wi-fi System</t>
  </si>
  <si>
    <t xml:space="preserve"> INVITATION TO BID FOR PROVISION OF MULTI-YEAR CONTRACT FOR  SUBSCRIPTION TO A WATER TESTING AND ANALYSIS FOR THE WATER SUPPLY OF DSWD-CENTRAL OFFICE FOR CY 2020-2022 —  ITB NO. GOP/20-DSWD-040— (PR No. 01-20001-PR-2020-05-00031, 2020050120 and 2020050121)</t>
  </si>
  <si>
    <t xml:space="preserve"> REQUEST FOR QUOTATIONS Supply and Delivery of Distillation Set-up Note:  Please see attached document for complete specifications. REMINDERS: 1.) Pls. see associated components for the attached approved canvass form for complete specifications. 2.) Only t</t>
  </si>
  <si>
    <t xml:space="preserve"> MSWD GAD Purchase of Office Equipment - P 160,000.00</t>
  </si>
  <si>
    <t xml:space="preserve"> REQUEST FOR QUOTATIONS Supply and Delivery of Heating Mantle Note:  Please see attached document for complete specifications. REMINDERS: 1.) Pls. see associated components for the attached approved canvass form for complete specifications. 2.) Only the ap</t>
  </si>
  <si>
    <t xml:space="preserve"> various medical supplies</t>
  </si>
  <si>
    <t xml:space="preserve"> TERMS OF REFERENCE Title of Engagement	: 	Consultancy Services for the Updating and Enhancement of the Gender and Development (GAD) Sectoral Module on Climate Change and Disaster Risk Reduction Management Reporting Lines	:	Chief GAD Specialist and Supervi</t>
  </si>
  <si>
    <t xml:space="preserve"> NOTICE OF PROCUREMENT June 24, 2020 Notice is hereby given that the Department of Public Works and Highways (DPWH)-Metro Manila 3rd District Engineering Office is undertaking the following project, to wit; CID No. 20CSOD03- Procurement for the Conduct of </t>
  </si>
  <si>
    <t xml:space="preserve"> Republic of the Philippines						CSWDO		 		Government of Ormoc City						P.R. No.:  	201714	 		BIDS AND AWARDS COMMITTEE						Quotation No.: 	204441-6141	 		Ormoc City						PhilGEPs No.: 		 										 Standard Form Title:			REQUEST FOR QUOTATION							 		</t>
  </si>
  <si>
    <t xml:space="preserve"> Republic of the Philippines  Department of  Science and Technology  Regional Office No. IX  Pettit Barracks,   Zamboanga  City Tel. Nos. (062) 992-1114; (062) 991-1024 INVITATION TO BID SUPPLY AND DELIVERY OF VARIOUS EXERCISE EQUIPMENT FOR DOST IX WELLNES</t>
  </si>
  <si>
    <t xml:space="preserve"> Filling Materials- 225 cu.m. Clean Screen Sand-146.75 cu.m. Clean Coarse Agg. - 119.50 cu.m. Clean Fined Sand- 90 cu.m.</t>
  </si>
  <si>
    <t xml:space="preserve"> 200 piece Monoblock Chair, Color White, w/ backrest, w/out armrest</t>
  </si>
  <si>
    <t xml:space="preserve"> REQUEST FOR QUOTATION						 Date:						 RFQ No.						 						 The Department of Environment and Natural Resources (DENR), Region-9, Regional Office, through its Regional Bids and Awards Committee (RBAC), intends to procure for a Supply and Delivery of Cons</t>
  </si>
  <si>
    <t xml:space="preserve"> 1.	The Local Government Unit (LGU) of Aroroy, through its Annual Budget 2020 to apply the sum of Php 300,000.00 being the Approved Budget for the Contract (ABC) to payments under the contract for Procurement of Consultancy Services for Preparation of Envi</t>
  </si>
  <si>
    <t xml:space="preserve"> Republic of the Philippines Province of Eastern Samar Municipality of Mercedes OFFICE OF THE BIDS AND AWARDS COMMITTEE (BAC) INVITATION TO BID # INFRA-2020- 007  INVITATION TO BID FOR THE PROPOSED BRGY. SUNG-AN &amp; BRGY. SAN JOSE ECO-PARK DEVELOPMENT (PHASE</t>
  </si>
  <si>
    <t xml:space="preserve"> Republic of the Philippines BIDS AND AWARDS COMMITTEE Province of Iloilo Invitation to Bid Purchase of LABORATORY REAGENTS Bid No. JCH-20-0174-B(RE-BID)   1. The Iloilo Provincial Government, through the  GENERAL FUND 2020 intends to apply the sum of FIFT</t>
  </si>
  <si>
    <t xml:space="preserve"> NOTICE OF PROCUREMENT June 24, 2020 Notice is hereby given that the Department of Public Works and Highways (DPWH)-Metro Manila 3rd District Engineering Office is undertaking the following project, to wit; CID No. 20CSOD06- Procurement for the Conduct of </t>
  </si>
  <si>
    <t xml:space="preserve"> MSWD Gad Purchase of Information and Communication Equipment  - P 140,000.00</t>
  </si>
  <si>
    <t xml:space="preserve"> REQUEST FOR QUOTATIONS Supply and Delivery of Waterbath Note:  Please see attached document for complete specifications. REMINDERS: 1.) Pls. see associated components for the attached approved canvass form for complete specifications. 2.) Only the approve</t>
  </si>
  <si>
    <t xml:space="preserve"> various equipment supplies</t>
  </si>
  <si>
    <t xml:space="preserve"> NOTICE OF PROCUREMENT June 24, 2020 Notice is hereby given that the Department of Public Works and Highways (DPWH)-Metro Manila 3rd District Engineering Office is undertaking the following project, to wit; CID No. 20CSOD04- Procurement for the Conduct of </t>
  </si>
  <si>
    <t xml:space="preserve"> INVITATION TO BID FOR THE PROCUREMENT OF JANITORIAL SERVICES FOR SIX (6) MONTHS  (ITB NO. 2020-029) 1.	The Tourism Promotions Board (TPB), through the Corporate Budget FY 2020, intends to apply the sum of  Two Million Fifty-Two Thousand Six Hundred Sevent</t>
  </si>
  <si>
    <t xml:space="preserve"> Kindly see attached RFQ.....</t>
  </si>
  <si>
    <t xml:space="preserve"> CONSTRUCTION SUPERVISION AND MANAGEMENT CONSULTANCYSERVICES FOR THE TWO (2) STOREY OFFICE BUILDING WITH RECORDS ROOM AND WAREHOUSE LOCATED RGC COMPOUND, CARIG SUR, TUGUEGARAO CITY 1.	The Metropolitan Tuguegarao Water District, through the Corporate Budget</t>
  </si>
  <si>
    <t xml:space="preserve"> REQUEST FOR QUOTATION Date: June 23, 2020							 RFQ No.: 2020 – 105 - Installation of Aluminum Glass and Sliding windows Name of Company:	________________________________________________________ Office Address:	___________________________________________</t>
  </si>
  <si>
    <t xml:space="preserve"> NOTICE OF PROCUREMENT June 24, 2020 Notice is hereby given that the Department of Public Works and Highways (DPWH)-Metro Manila 3rd District Engineering Office is undertaking the following project, to wit; CID No. 20CSOD05- Procurement for the Conduct of </t>
  </si>
  <si>
    <t xml:space="preserve"> Request for Quotation Date	               : June 23, 2020 Quotation No.             : 028- 2020 Mode of Procurement : Small Value Procurement 	 To all Eligible Suppliers: I.	Please quote your lowest price inclusive of VAT on the item/s listed below, subje</t>
  </si>
  <si>
    <t xml:space="preserve"> Republic of the Philippines						CHO		 		Government of Ormoc City						P.R. No.:  	201710	 		BIDS AND AWARDS COMMITTEE						Quotation No.: 	204449-6145	 		Ormoc City						PhilGEPs No.: 		 										 Standard Form Title:			REQUEST FOR QUOTATION							 				</t>
  </si>
  <si>
    <t xml:space="preserve"> Municipal Health Unit Purchase of Fuel, Oil and Lubricants Expenses  - P 150,000.00</t>
  </si>
  <si>
    <t xml:space="preserve"> Please see Invitation to Bid and Bidding Documents attached to Associated Components. Lot 1 - Polo Shirts and Bags Lot 2 - Customized/Souvenir Items Lot 3 - Reproduction of Primer, Comics, Manuals, Training Workbook, and Administrative Forms Lot 4 - Tarpa</t>
  </si>
  <si>
    <t xml:space="preserve"> REQUEST FOR QUOTATION						 						 Date:						 RFQ No.						 						 The Department of Environment and Natural Resources (DENR), Region-9, Regional Office, through its Regional Bids and Awards Committee (RBAC), intends to procure for a Supply and Delivery </t>
  </si>
  <si>
    <t xml:space="preserve"> TERMS OF REFERENCE Title of Engagement	: 	Consultancy Services for the Updating and Enhancement of the Gender and Development (GAD) Sectoral Module on Women’s Economic Empowerment Reporting Lines	:	Chief GAD Specialist and Supervising GAD Specialist of  P</t>
  </si>
  <si>
    <t xml:space="preserve"> various medicine supplies</t>
  </si>
  <si>
    <t xml:space="preserve"> Date and Duration June 30, to July 17, 2020 ELEMENTARY SCHED - June 30 to July 4, 2020 TOTAL PAX 97 @250 per day x five days = Php121,250.00 SECONDARY SCHED - July 6 to July 10, 2020 TOTAL PAX 76 @250 per day x five days = Php95,000.00 SENIOR HIGH SCHEED </t>
  </si>
  <si>
    <t xml:space="preserve"> REQUEST FOR QUOTATION Supply and Delivery of Office Equipment for CON 1. The Cavite State University (CvSU) invites interested firms/suppliers to submit quotation for the project “Supply and Delivery of Office Equipment for CON” with an Approved Budget fo</t>
  </si>
  <si>
    <t xml:space="preserve"> Vehicle Hire for the Conduct  of Groundwater Resource  and Vulnerability Assessment  in Candon City and Sta.Lucia, Ilocos Sur from July 1, 2020 to July 15, 2020 (15 days)</t>
  </si>
  <si>
    <t xml:space="preserve"> Road Opening</t>
  </si>
  <si>
    <t xml:space="preserve"> 4	units	Copier Machine 		Specifications: 		Digital B/W Copier, Printer, Scanner 		with automatic reverse document feeder 		Duplex Printing and automatic sorting 		Laser beam scanning and electro photographic printing 		20 pages per minute copying 		256 Mb</t>
  </si>
  <si>
    <t xml:space="preserve"> Improvement of Farm to Market Road</t>
  </si>
  <si>
    <t xml:space="preserve"> Please see attached associated components.</t>
  </si>
  <si>
    <t xml:space="preserve"> REQUEST FOR QUOTATION						 Date: June 23, 2020						 RFQ No. 006.0420						 						 The Department of Environment and Natural Resources (DENR), Region-9, Regional Office, through its Regional Bids and Awards Committee (RBAC), intends to procure for a Supp</t>
  </si>
  <si>
    <t xml:space="preserve"> installation of fiber optic cable &amp; components supplies</t>
  </si>
  <si>
    <t xml:space="preserve"> INVITATION TO BID FOR SUPPLY AND DELIVERY OF MATERIALS FOR THE IMPROVEMENT OF MULTI-PURPOSE BUILDING  1.	The  BARANGAY GOVERNMENT OF POCTOY , through the   20% COMMUNITY DEVELOPMENT FUND / CDF  intends to apply the sum of FOUR HUNDRED TWENTY FIVE THOUSAND</t>
  </si>
  <si>
    <t xml:space="preserve"> please see attached file...</t>
  </si>
  <si>
    <t xml:space="preserve"> DA - GAD Furniture and Fixture - P 85,000.00</t>
  </si>
  <si>
    <t xml:space="preserve"> LDRRMF Purchase of Office Equipment - P 200,000.00</t>
  </si>
  <si>
    <t xml:space="preserve"> Supply &amp; delivery of: 1	1	unit	Dual Sided ID Card Printer 			Specs: 			*Print speed: Max.29 sec./card (YMCKOK) 			*300, 600 &amp; 1200dpi with Edge-to-edge printing 			*31S Field upgraded to 31D 			*LED Button for Front Operation 			*Low Cost security with UV</t>
  </si>
  <si>
    <t xml:space="preserve"> Municipal Assessor Office Purchase of Information and Communication Technology Equipment - P 60,000.00</t>
  </si>
  <si>
    <t xml:space="preserve"> REQUEST FOR QUOTATION Supply and Delivery of ICT Accessories for OVPRE-PCAARRD-IP-TBM SUSTAIN Project 1. The Cavite State University (CvSU) invites interested firms/suppliers to submit quotation for the project “Supply and Delivery of ICT Accessories for </t>
  </si>
  <si>
    <t xml:space="preserve"> tires and spare parts supplies</t>
  </si>
  <si>
    <t xml:space="preserve"> 2	ROLL	CYCLONE WIRE  100	PC	CHB#4 10	PC	CORRUGATED BAR 10MM 10	BAG	CEMENT 1	KL	TIE WIRE 4	PCS	COCOLUMBER (2X2X10) 1	KL	COMMON NAIL #2 3	PCS	GI PIPE #1 ½ S40 2	PCS	GI PIPE #1 S40 3	PCS	GI WIRE # 1/2 2	KL	WELDING ROD 5	PCS	STEEL BAR 8MM 5	PCS	STEEL BAR 10MM</t>
  </si>
  <si>
    <t xml:space="preserve"> Construction of Ramp w/ Railings, Drainage Canal, Concrete Pavement &amp; Steel Gate</t>
  </si>
  <si>
    <t xml:space="preserve"> The MUNICIPALITY OF AGUTAYA, through its Bids and Awards Committee (BAC), invites eligible suppliers/contractors to bid for the hereunder project: Project		:	 	 Requesting Office/End-user	:	MUNICIPALITY OF AGUTAYA Approved Budget for	 	 the Contract (ABC)</t>
  </si>
  <si>
    <t xml:space="preserve"> REQUEST FOR QUOTATION Supply, Delivery and Installation of Furniture and Fixtures for Workstation of OVPRE-PCAARRD-IP-TBM SUSTAIN Project 1. The Cavite State University (CvSU) invites interested firms/suppliers to submit quotation for the project “Supply,</t>
  </si>
  <si>
    <t xml:space="preserve"> installation of stickers &amp; sneeze guard supplies</t>
  </si>
  <si>
    <t xml:space="preserve"> Construction of Academic Classroom Phase I</t>
  </si>
  <si>
    <t xml:space="preserve"> Please download associated component (RFQ) and submit quotation together with the requirements in a sealed envelope to UP Cebu SPMO on or before 29 June 2020 at 5:00 PM. Kindly click DRL if you wish to bid for the items herein posted. 1) PR 3167 OSA - 51,</t>
  </si>
  <si>
    <t xml:space="preserve"> LDRRMF Purchase of Other Machinery &amp; Equipment  - P 200,000.00</t>
  </si>
  <si>
    <t xml:space="preserve"> Concreting of Ground</t>
  </si>
  <si>
    <t xml:space="preserve"> MSWD (Gad) Purchase of Other Machinery &amp; Equipment - P 100,000.00</t>
  </si>
  <si>
    <t xml:space="preserve"> NOTICE OF PROCUREMENT June 24, 2020 Notice is hereby given that the Department of Public Works and Highways (DPWH)-Metro Manila 3rd District Engineering Office is undertaking the following project, to wit; CID No. 20CSOD08- Procurement for the Conduct of </t>
  </si>
  <si>
    <t xml:space="preserve"> NOTICE OF PROCUREMENT June 24, 2020 Notice is hereby given that the Department of Public Works and Highways (DPWH)-Metro Manila 3rd District Engineering Office is undertaking the following project, to wit; CID No. 20CSOD07- Procurement for the Conduct of </t>
  </si>
  <si>
    <t xml:space="preserve"> 70 HEADSETS Technical Specifications: Connector and wiring: Plug-and-play USB connectivity with flat, no-tangle cable Feature: Acoustic echo cancelation - Blocks unwanted noise coming from the speaker from entering the mic path Noise-cancelling microphone</t>
  </si>
  <si>
    <t xml:space="preserve"> Specialty Board Paper		6 	ream &gt;Size: A4			 &gt;color: P. cream			 &gt;220 gsm			 &gt;500 sheets/ream</t>
  </si>
  <si>
    <t xml:space="preserve"> TERMS OF REFERENCE FOR THE SUPPLY AND DELIVER OF RICE FOR ENTITLED BOI EMPLOYEES I.	DESCRIPTION This project involves the supply and delivery of Rice for entitled BOI employees. II.	APPROVED BUDGET FOR THE CONTRACT The approved budget for the contract is </t>
  </si>
  <si>
    <t xml:space="preserve"> 3 UNITS ELECTRONIC MASSAGE CHAIR SPECIFICATIONS: *Rated voltage DC 12V *Related power consumption 36W *Timer: 15 mins *Dimension: Shipping Dimension (LxWxH) 79x77x64.5cm *Upright Dimension (LxWxH) 73x88x104cm *Recliner Dimension (LxWxH) 160x88x83cm *Weigh</t>
  </si>
  <si>
    <t xml:space="preserve"> Purchase of 2 units motorcycle brand new</t>
  </si>
  <si>
    <t xml:space="preserve"> Imprinting of various Printed Forms of the Office of the Municipal Registrar, Silang, Cavite Certificate of Live Birth Municipal Form 90 Register of Birth Register of Marriage</t>
  </si>
  <si>
    <t xml:space="preserve"> REQUEST FOR QUOTATION Date: June 23, 2020							 RFQ No.: 2020 – 106 -Freezer, 14 cu. ft. and Chiller, 14 cu. ft. upright, inverter Name of Company:	________________________________________________________ Office Address:	_________________________________</t>
  </si>
  <si>
    <t xml:space="preserve"> Extension of Building 2</t>
  </si>
  <si>
    <t xml:space="preserve"> OPENING OF BIDS IN DSWD FO IX ZAMBOANGA CITY DELIVERY IN DSWD-AVRRC III, MAMPANG ZAMBAONGA CITY PROCUREMENT FOR THE FF.: 3	Pcs 	Portable wet &amp; dry vacuum cleaner /1200 watts 220v/10L 3	Pcs 	Micro fiber magic spin mop/telescopic length:1200cm , dehydrate b</t>
  </si>
  <si>
    <t xml:space="preserve"> MSWD GAD  Purchase of Books - P 100,000.00</t>
  </si>
  <si>
    <t xml:space="preserve"> STOCK NO.		ITEM DESCRIPTION		QTY.	UNIT 1	)	Computer Desktop, Processor i7-7700; asus Z170 m-e board; 4GB RAM DDR4; 120GB SSD; 4GB Video Card; 1TB HDD; DVD RW SATA; 18.5" LED Monitor, Casing ATX; Keyboard/Mouse; Sppeaker; AVR; Windows 10; 720VA UPS DELL.		</t>
  </si>
  <si>
    <t xml:space="preserve"> Styro Balls Rope Mononylon</t>
  </si>
  <si>
    <t xml:space="preserve"> DOST Region 02 is inviting bidders to submit their lowest price(s) on the services needed. Please read the instructions below. INSTRUCTIONS: 1. Bidders are required to read the instructions and fill out the blanks properly. Prospective suppliers are requi</t>
  </si>
  <si>
    <t xml:space="preserve"> Essential supplies for computer ***kindly see attached file</t>
  </si>
  <si>
    <t xml:space="preserve"> Water Dust and Shock Resistant, "Genuine" Japan Made Complete with Battery, License and Charger Specs: 1. Frequency 136.000-174.000 Mhz 2. Class Leading 7W output Power and New Antenna Design 3. 1500 mW Powerful and Crystal-Clear Audio Provides clear comm</t>
  </si>
  <si>
    <t xml:space="preserve"> REQUEST FOR QUOTATION The Bureau of Jail Management and Penology — National Headquarters (BJMPNHQ), through its Bids and Awards Committee, intends to procure Supply and Delivery of Plaques and Unit Sash for the 29th BJMP’s Best which will be undertaken in</t>
  </si>
  <si>
    <t xml:space="preserve"> 1.       251        CASE      POWDERED MILK 150G 2.      1,612      CASE      INSTANT PANCIT CANTON 3.      1,209      CASE      CORNED TUNA 150G</t>
  </si>
  <si>
    <t xml:space="preserve"> 1. 389 has - Survey Contract Splitting - 3,000.00 - 1,167,000.00                    Jose Abad Santos - 83. 5409 has                           Caburan Big - 7 lots                           Caburan Small - 2 lots                           Magulibas - 22 lo</t>
  </si>
  <si>
    <t xml:space="preserve"> Improvement of Water tank, Installation of G.I Pipe with Skyline and Anchor, Laying of Hose.</t>
  </si>
  <si>
    <t xml:space="preserve"> REQUEST FOR QUOTATION Supply and Delivery of Tag Label for OVPRE-CHED MASKS Project 1. The Cavite State University (CvSU) invites interested firms/suppliers to submit quotation for the project “Supply and Delivery of Tag Label for OVPRE-CHED MASKS Project</t>
  </si>
  <si>
    <t xml:space="preserve"> Concreting of Footpath</t>
  </si>
  <si>
    <t xml:space="preserve"> SEE ATTACHED</t>
  </si>
  <si>
    <t xml:space="preserve"> various construction supplies</t>
  </si>
  <si>
    <t xml:space="preserve"> SCOPE:    SUPPLY, FABRICATION AND INSTALLATION OF BUREAU OF CUSTOMS 						   PORT OF SURIGAO, CUSTOMER CARE CENTER						   RECEIVING AREA COUNTER WITH BACK PANELLING AS PARTITIONS   						 AND SECRET DOORS PROVISION AND UNDERMOUNTED COMPUTER MONITOR						</t>
  </si>
  <si>
    <t xml:space="preserve"> Request for Quotation										 Small Value Procurement										 SUPPLY AND DELIVERY OF OFFICE SUPPLIES										 										 INSTRUCTION:										               1.	Suppliers are required to read the instructions and fill all the blanks properly. 							</t>
  </si>
  <si>
    <t xml:space="preserve"> 1.     361    CASES     COFFEE TWIN PACK</t>
  </si>
  <si>
    <t xml:space="preserve"> Grouted Riprap, PCCP (full width), Road Opening</t>
  </si>
  <si>
    <t xml:space="preserve"> For details, please find attached documents on Associated Components. Click ORDER opposite the Associated Components to view attached documents. Download is free.   Please check for any Bid Supplements for this posting. If unable to retrieve attached docu</t>
  </si>
  <si>
    <t xml:space="preserve"> Section I. Invitation to Bid SUPPLY OF LABOR, EQUIPMENT AND RESTORATION MATERIALS FOR THE INSTALLATION, TESTING AND COMMISSIONING OF 300MM DIA. AND 150MM DIA. TRANSMISSION LINE ALONG MAIN AVENUE, SAN GABRIEL, TUGUEGARAO CITY PHASE 4 1.	The Metropolitan Tu</t>
  </si>
  <si>
    <t xml:space="preserve"> Construction of Intake tank, Laying of HDPE Hose w/ Skyline and Anchor.</t>
  </si>
  <si>
    <t xml:space="preserve"> To be installed at the various government buildings under the City Government of Antipolo as part of the continuous endeavor to control and/or contain the spread of Covid-19. 30 units Automatic Alcohol Dispenser * touchless * 13cm x 11.5cm x 27cm * with a</t>
  </si>
  <si>
    <t xml:space="preserve"> 1.       280     CASE      COFFEE WHITE 2.        10      CASE      COFFEE LATTE 3.       140     CASE      COFFEE ORIGINAL 4.        20      CASE      COFFEE BROWN</t>
  </si>
  <si>
    <t xml:space="preserve"> REQUEST FOR QUOTATION Supply and Delivery of Various Supplies and Materials for CvSU Imus Campus 1. The Cavite State University (CvSU) invites interested firms/suppliers to submit quotation for the project “Supply and Delivery of Various Supplies and Mate</t>
  </si>
  <si>
    <t xml:space="preserve"> ITEM and DESCRIPTION                            QUANTITY                 UNIT 1. BALLPEN, BLACK - 740 PIECE 2. CHALK, molded, white, dustless, length: 78mm min - 1 BOX 3. CORRECTION TAPE, film base type, UL 6m min - 89 PIECE 4. DATA FILE BOX, with CLOSE E</t>
  </si>
  <si>
    <t xml:space="preserve"> Request for Quotation										 Small Value Procurement										 SUPPLY AND DELIVERY OF DIGITAL CALIPER										 										 INSTRUCTION:										               1.	Suppliers are required to read the instructions and fill all the blanks properly. 							</t>
  </si>
  <si>
    <t xml:space="preserve"> THIS RFQ COMPOSED OF VARIOUS OFFICE SUPPLIES AND CONSUMABLE SUPPLIES SUCH AS CARTOLINA, PAPER MULTICOPY LEGAL AND A4, BROOM STICK, EPSON INK, FOLDER FANCY LONG AND A4 ETC.</t>
  </si>
  <si>
    <t xml:space="preserve"> Request for Quotation										 Small Value Procurement										 SUPPLY, DELIVERY AND INSTALLATION OF AIRCON										 										 INSTRUCTION:										               1.	Suppliers are required to read the instructions and fill all the blanks properly. 		</t>
  </si>
  <si>
    <t xml:space="preserve"> 1.      3,300     TRAYS      SALTED EGGS</t>
  </si>
  <si>
    <t xml:space="preserve"> I. INTRODUCTION Marcopper Mining Corporation (MMC) is a Philippine mining company incorporated in 1964 wherein Canada-based Placer Dome, Inc. has a 39.9% shareholding. Placer Dome acquired that interest after an association with the exploration of the min</t>
  </si>
  <si>
    <t xml:space="preserve"> Request for Quotation										 Small Value Procurement										 SUPPLY AND DELIVERY OF WATER HEATER										 										 INSTRUCTION:										               1.	Suppliers are required to read the instructions and fill all the blanks properly. 									 </t>
  </si>
  <si>
    <t xml:space="preserve"> Electrification Project</t>
  </si>
  <si>
    <t xml:space="preserve"> 10.8 x 17 inches, spread size 8.5 x 11 inches, folded size Offset Printing 52 pages Cover:  C2S 220#, colored Inside:  Book 80#, black Back to back print Staple bind</t>
  </si>
  <si>
    <t xml:space="preserve"> Retaining Wall</t>
  </si>
  <si>
    <t xml:space="preserve"> 1 Lot Supply and Delivery of Office Equipment Supplies and Consumables for the official use of STOD, LTID, LAD, DARMOs and Survey Section of DAR Provincial Office, Negros Occidental 1 as follows: QTY.	UNIT	ARTICLES/SERVICES &amp; DESCRIPTION		 2     pieces	EX</t>
  </si>
  <si>
    <t xml:space="preserve"> Specs: WATERPROOF PROFESSIONAL TWO-WAY RADIO 136-174MHz, Channel Capacity - 16 Channel, Channel Spacing - 12.5/25 Operating Voltage - 7.4 Antenna Impedance - Ohms, Dimension - (H x W x D) 119 x 55 x 33, Weight, 270g, IP Rating - IP66, Transmitter RF Power</t>
  </si>
  <si>
    <t xml:space="preserve"> Request for Quotation										 Small Value Procurement										 SUPPLY AND DELIVERY OF INKJET EPSON										 										 INSTRUCTION:										               1.	Suppliers are required to read the instructions and fill all the blanks properly. 									 </t>
  </si>
  <si>
    <t xml:space="preserve"> Republic of the Philippines Province of South Cotabato Municipality of Sto. Niño BIDS AND AWARDS COMMITTEE (BAC) Invitation to Bid 1. The Local Government of Sto. Niño, through its Bids and Awards Committee (BAC) invites interested bidder to bid for the p</t>
  </si>
  <si>
    <t xml:space="preserve"> OPENING OF BIDS IN DSWD FO IX ZAMBOANGA CITY DELIVERY IN DSWD-AVRRC III, MAMPANG ZAMBAONGA CITY PROCUREMENT FOR THE FF.: 6	Unit	Multi - function foot bath massage 18	Btls	Foot Soak 120ml 18	Btls	Foot Scrub 120ml 18	Btls	Foot Lotion 120ml  6	Pcs	Pumise sto</t>
  </si>
  <si>
    <t xml:space="preserve"> Republic of the Philippines Province of South Cotabato Municipality of Sto. Niño BIDS AND AWARDS COMMITTEE (BAC) Notice for Negotiated Procurement Interested suppliers are invited to submit Sealed Price Quotations for the above listed terms.  The Request </t>
  </si>
  <si>
    <t xml:space="preserve"> Republic of the Philippines Province of Quezon Municipality of Atimonan Barangay Zone IV Poblacion Project Reference Number: 20-06-09s Name of the Project:  Supply and Delivery of Two (2) New Pedicart Location of the Project:  Barangay Zone IV Poblacion R</t>
  </si>
  <si>
    <t xml:space="preserve"> Please see attached Request for Quotation attached as Associated Component.</t>
  </si>
  <si>
    <t xml:space="preserve"> BARANGAY CENTRAL SIGNAL BIDS AND AWARDS COMMITTEE -- Advertisement/Posting of Invitation to Bid ------ June 24, 2020 -- Issuance and Availability of Bid Documents ----- June 24, 2020 -- Deadline for Submission -------------------------- July 1, 2020 @ 3PM</t>
  </si>
  <si>
    <t xml:space="preserve"> 1.      4,040      PACKS       LUNCH 2.      2,670      PACKS       DINNER 3.      2,100      PACKS       SNACKS</t>
  </si>
  <si>
    <t xml:space="preserve"> PCCP (full width)</t>
  </si>
  <si>
    <t xml:space="preserve"> PCCP (full width), Retaining Wall and Slope Protection</t>
  </si>
  <si>
    <t xml:space="preserve"> PCCP (Full Width)</t>
  </si>
  <si>
    <t xml:space="preserve"> INVITATION TO BID PB 2020-06-13 1.  The Local Government Unit of Abulug, Cagayan through Repair and Maintenance – Buildings and Other Structures 2020 intends to apply the sum of FIVE HUNDRED FIVE THOUSAND ONE HUNDRED EIGHTY THREE PESOS &amp; 41/100 (P 505,183</t>
  </si>
  <si>
    <t xml:space="preserve"> 1 UNIT PORTABLE BONE DENSITOMETER SPECIFICATIONS: *1.20MHz Probe *Famous Brand Embedded Industrial Control Computer *Intelligent Analysis System *Calibrating Module  (Perspex sample) *Disinfectant Coupling Agent *Main Unit weight &lt;4kgs, easy to carry *Mon</t>
  </si>
  <si>
    <t xml:space="preserve"> Request for Quotation										 Small Value Procurement										 SUPPLY AND DELIVERY OF LAPTOP										 										 INSTRUCTION:										               1.	Suppliers are required to read the instructions and fill all the blanks properly. 									 2.	The</t>
  </si>
  <si>
    <t xml:space="preserve"> 1.      8,000    SACKS    RICE 25KG</t>
  </si>
  <si>
    <t xml:space="preserve"> NOTICE OF PROCUREMENT June 24, 2020 Notice is hereby given that the Department of Public Works and Highways (DPWH)-Metro Manila 3rd District Engineering Office is undertaking the following project, to wit; CID No. 20CSOD10- Procurement for the Conduct of </t>
  </si>
  <si>
    <t xml:space="preserve"> Request for Quotation										 Small Value Procurement										 SUPPLY AND DELIVERY OF DESKTOP BUNDLE										 										 INSTRUCTION:										               1.	Suppliers are required to read the instructions and fill all the blanks properly. 								</t>
  </si>
  <si>
    <t xml:space="preserve"> PCCP (Full width)</t>
  </si>
  <si>
    <t xml:space="preserve"> collapsible tent supplies</t>
  </si>
  <si>
    <t xml:space="preserve"> Standard Form No. 60						 Revised on May 24, 2004						 REQUEST FOR QUOTATION						 Provincial Government of Romblon						 						 				Date:      June 24, 2020		 				Quotation No.:    622		 						 To Our Valued Suppliers:						 						 	Please quote your l</t>
  </si>
  <si>
    <t xml:space="preserve"> Essential Supplies for Online Learning ***Please see attached file</t>
  </si>
  <si>
    <t xml:space="preserve"> Concreting of Ground, Concrete Canal, Steel Grills</t>
  </si>
  <si>
    <t xml:space="preserve"> PCCP (Tirepath)</t>
  </si>
  <si>
    <t xml:space="preserve"> Supply and Delivery of 1 lot Palay Seeds (Certified Seeds) 10 Cavans, 1 lot Organic Fertilizer (Bokashi) 10 tons, and 1 lot Vermi-Worms 150 Kgs. to five (5) Location sites for Crop Establishment of Organic Rice Production for Major Crop Based Projects und</t>
  </si>
  <si>
    <t xml:space="preserve"> 1.	The Department of Social Welfare and Development (DSWD), through the DSWD Funds, intends to apply the sum of Fifteen Million Six Hundred Thousand Pesos  (PhP 15,600,000.00), being the Approved Budget for the Contract (ABC), to payments under the contra</t>
  </si>
  <si>
    <t xml:space="preserve"> 1.      5,000     PIECES     EGG TRAYS 2.        573      TRAYS      LARGE SALTED EGGS</t>
  </si>
  <si>
    <t xml:space="preserve"> portable wash area - stainless	- 6 units anti odor-antibacterial solution	- 12 liters ready mix garden soil	- 120 bags packaging tape 2"	- 24 rolls fertilizer (urea / complete)	- 2 sacks 1/2 garden hose (90 meters)	- 2 rolls</t>
  </si>
  <si>
    <t xml:space="preserve"> OPENING OF BIDS IN DSWD FO IX ZAMBOANGA CITY					 DELIVERY IN DSWD-AVRRC III, MAMPANG ZAMBAONGA CITY					 PROCUREMENT FOR THE FF.:					 					 4	Pcs	Circular saw 1050w			 4	Pcs	Finishing Orbital Palm Sander 1/4 23w			 4	Pcs	Electric Wood Planer			 4	Unit	T</t>
  </si>
  <si>
    <t xml:space="preserve"> ITEM and DESCRPTION    QUANTITY  UNIT 1. AIR FRESHENER, aerosol, 280ml PER CAN - 46 CAN 2. ALCOHOL, 70%, ethyl, 500ml - 89 BOTTLE 3. BROOM, soft (tambo) - 8 PIECE 4. BROOM, stick (tingting) - 8 PIECE 5. CLEANER, Toilet Bowl and Urinal, 900-1000ML cap. - 2</t>
  </si>
  <si>
    <t xml:space="preserve"> 13	REAM	BOOK PAPER LONG  11	REAM	BOOKPAPER A4 10	BOT	EPSON INK 8	PCK	VELUM PAPER SHORT 1	PCK	PHOTO PAPER  10	PC	CD WITH CASE 1	PC	WHITE BOARD MARKER 1	BOT	INK-PERMANENT MARKER 20	PCS	FOLDER SHORT WITH PLASTIC COVER 20	PCS	FOLDER LONG WITH PLASTIC COVER  1</t>
  </si>
  <si>
    <t xml:space="preserve"> BIDS AND AWARDS COMMITTEE INVITATION FOR NEGOTIATIONS (TWO-FAILED BIDDINGS) 1.	 3M PHILIPPINES INC.      2.    LEXICON PRESS, INC.          3.   FORMS INTERNATIONAL                         Taguig City                          Quezon City                  </t>
  </si>
  <si>
    <t xml:space="preserve"> 3 UNITS ACUPUNCTURE BED 3 PCS ACUPUNCTURE MAT 3 PCS MASSAGE CUSHION ACUPUNCTURE SET (MAT/PILLOW) 20 PCS BED LINEN 1 PC IONIZER OR HUMIDIFIER TECHNICAL SPECIFICATIONS FOR ACUPUNCTURE BED: *90.5x20.5x60cm with synthetic leather cover and with case bag *Shou</t>
  </si>
  <si>
    <t xml:space="preserve"> 1.     TIRES, 225/70, R15 for Mitsubishi Pajero         4 unit 2.     TIRES, 235/75, R15 for Toyota HiLux         4 unit 3.     TIRES, 245/70, R16 for Mitsubishi Pick-Up, L200         4 unit</t>
  </si>
  <si>
    <t xml:space="preserve"> doorknobs	70 sets/pcs trashbins stainless  (10 -12 liters) foot pedal	20 pcs. plastic trashbags medium	2000 pcs. disinfection foot tray	6 pcs./set foot operated alcohol dispenser	4  pcs./units insecticide	16 liters</t>
  </si>
  <si>
    <t xml:space="preserve"> Republic of the Philippines Province of Quezon Municipality of Atimonan Barangay Zone IV Poblacion Project Reference Number: 20-06-11s Name of the Project:  Supply and Delivery of Drugs &amp; Medicines Location of the Project:  Barangay Zone IV Poblacion REQU</t>
  </si>
  <si>
    <t xml:space="preserve"> Republic of the Philippines Province of South Cotabato Municipality of Sto. Niño BIDS AND AWARDS COMMITTEE (BAC) Invitation to Bid 1.	The Local Government of Sto. Niño, through its Bids and Awards Committee (BAC) invites contractors registered and classif</t>
  </si>
  <si>
    <t xml:space="preserve"> Republic of the Philippines Province of Quezon Municipality of Atimonan Barangay Zone IV Poblacion INVITATION FOR ELIGIBILITY AND TO BID 	The Barangay Zone IV Poblacion of Atimonan thru the Bids and Awards Committee (BAC) invites interested suppliers/cont</t>
  </si>
  <si>
    <t xml:space="preserve"> 1.     20      UNITS      HOSPITAL BED SINGLE 2.     24      PAILS      DISINFECTANT CHEMICAL 3.     5        UNITS     4 STROKE MISTING MACHINE</t>
  </si>
  <si>
    <t xml:space="preserve"> 1.       2,300        PACKS      LUNCH 2.       1,765        PACKS      SNACKS  AM/PM</t>
  </si>
  <si>
    <t xml:space="preserve"> Request for Quotation (Negotiated Procurement-Sec. 53.1 of RIRR of RA 9184)                                                                             The Iligan City Government Bids and Awards Committee(BAC) Posted Request for Quotation for the SUPPLY A</t>
  </si>
  <si>
    <t xml:space="preserve"> NOTICE OF PROCUREMENT June 24, 2020 Notice is hereby given that the Department of Public Works and Highways (DPWH)-Metro Manila 3rd District Engineering Office is undertaking the following project, to wit; CID No. 20CSOD09- Procurement for the Conduct of </t>
  </si>
  <si>
    <t xml:space="preserve"> CCTV Cameras CCTV set (camera + DVR) 8 channels Siamese Cables for CCTV 3" uPVC pipes Electrical Conduit 20mm dia. Cable tray 2x8x3m Cable tray 2x3x3m xxxxxxxxxxxxxxxxxxxxxxxxxxxxxxxxxxxxxxxxxx Nothing follows xxxxxxxxxxxxxxxxxxxxxxxxxxxxxxxxxxxxxxxxx</t>
  </si>
  <si>
    <t xml:space="preserve"> Grouted Riprap, PCCP</t>
  </si>
  <si>
    <t xml:space="preserve"> LOT 1-A 1 meal and 2 snacks 126 pax         -B  1 meal and 2 snacks 66 pax         -C  1 meal and 2 snacks 15 pax LOT 2-A 3 meals and 2 snacks 60 pax         -B 3 meals and 2 snacks 60 pax        LOT 3- 1 meal and 2 snacks 180 pax LOT 4-A 1 meal and 2 sna</t>
  </si>
  <si>
    <t xml:space="preserve"> REQUEST FOR QUOTATION RFQ No. A-018-2020 _____________________________ Name of Dealer/Supplier/Distributor ___________________________ Business Address 	Please quote your lowest price on the item/s listed below, stating the shortest time of delivery and s</t>
  </si>
  <si>
    <t xml:space="preserve"> Embankment, Road Clearing, Grouted Riprap, PCCP (Tirepath)</t>
  </si>
  <si>
    <t xml:space="preserve"> OPENING OF BIDS IN DSWD FO IX ZAMBOANGA CITY		 DELIVERY IN RSCC-DSWD, MAMPANG ZAMBAONGA CITY		 PROCUREMENT FOR THE FF.:		 		 1 LOT  FURNITURE AND FIXTURE		 3	SET	SALA SET 3	PCS	CHANDELIER 12	PCS	FRAMES 10	UNIT	WOODEN PARTITION 3	UNIT	FURNITURE REVOLVING B</t>
  </si>
  <si>
    <t xml:space="preserve"> SEE ATTACHED INVITATION TO BID, BIDDING DOCUMENTS, CHECKLISTS, STANDARD BIDDING FORMS AND PLANS</t>
  </si>
  <si>
    <t xml:space="preserve"> Grouted Riprap</t>
  </si>
  <si>
    <t xml:space="preserve"> 1 lot prepaid cellular cards</t>
  </si>
  <si>
    <t xml:space="preserve"> POINT TO POINT INTERNET CONNECTION OF THE TWO CAMPUSES OF DONA AURORA NATIONAL HIGH SCHOOL, AURORA, ISABELA</t>
  </si>
  <si>
    <t xml:space="preserve"> 1.      1,209     CASE     CORNED TUNA 100 GRAMS</t>
  </si>
  <si>
    <t xml:space="preserve"> Philippine Science High School – Central Luzon Campus (PSHS-CLC) wishes to invite proponent for the Supply and Delivery of Cleaning Supplies of PSHS-CLC with ABC of Sixty-Nine Thousand One Hundred Twenty Pesos only in words and Php 69,120.00 in figures. G</t>
  </si>
  <si>
    <t xml:space="preserve"> Construction of Access Road</t>
  </si>
  <si>
    <t xml:space="preserve"> Provincial Disaster Risk Reduction Management Office Agusan del Norte</t>
  </si>
  <si>
    <t xml:space="preserve"> INVITATION TO BID SUPPLY, DELIVERY, INSTALLATION, TESTING,  APPLICATIONS TRAINING, AND COMMISSIONING OF  VARIOUS MEDICAL EQUIPMENT (Batch 3)  FOR GOV. CELESTINO GALLARES MEMORIAL HOSPITAL  1.	The Gov. Celestino Gallares Memorial Hospital, through Hospital</t>
  </si>
  <si>
    <t xml:space="preserve"> Philippine Science High School – Central Luzon Campus (PSHS-CLC) wishes to invite proponent for the Supply and Delivery of Building Maintenance Supplies of PSHS-CLC with ABC of One Hundred Fifty-Seven Thousand Two Hundred Pesos only in words and Php 157,2</t>
  </si>
  <si>
    <t xml:space="preserve"> Republic of the Philippines					 PROVINCE OF LEYTE					 Municipality of Burauen					 Request for Quotation					 				Date: 	 _____________________________				Quotation No: __________	 _____________________________					 _____________________________					 Pl</t>
  </si>
  <si>
    <t xml:space="preserve"> Republic of the Philippines BIDS AND AWARDS COMMITTEE Province of Iloilo Invitation to Bid Purchase of  MEDICAL SUPPLIES Bid No. JCH-20-0230-B(RE-BID) 1. The Iloilo Provincial Government, through the  GENERAL FUND  2020 intends to apply the sum of ONE HUN</t>
  </si>
  <si>
    <t xml:space="preserve"> Specifications:  2000 ltrs. Crude Oil; 300 ltrs. Premium Gasoline</t>
  </si>
  <si>
    <t xml:space="preserve"> The ZAMBOANGA CITY STATE POLYTECHNIC COLLEGE through its Bids and Awards Committee (BAC) is inviting PHILGEPS registered suppliers to apply for eligibility and to submit bids for the items listed below: 1.	(6 pcs.) Terminal lugs, copper, crimp type, long </t>
  </si>
  <si>
    <t xml:space="preserve"> Materials for Repair of Line Canal Market Site</t>
  </si>
  <si>
    <t xml:space="preserve"> PCCP (full width and tirepath)</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</si>
  <si>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</si>
  <si>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Advertise the Services for the Advocacy on Good Governance  in the City of Talisay</t>
  </si>
  <si>
    <t xml:space="preserve"> Supply and Delivery of Engine Oil and Spare Parts for Repair and Maintenance of Division Service Vehicles (STRADA) Delivery Area:  SDO-Dinagat Islands      Delivery Period:   30  days 		 Brake Fluid	2	liters Tire Wheel 265/65/R17	4	pcs Engine Oil (for DIE</t>
  </si>
  <si>
    <t xml:space="preserve"> For portable handwashing facilities at Entrance Gate Admin Bldng and MICAH building with additional water connection system</t>
  </si>
  <si>
    <t xml:space="preserve"> Republic of the Philippines PROVINCE OF QUEZON MUNICIPALITY OF POLILLO ***** INVITATION TO BID FOR:  IMPROVEMENT OF PUBLIC MARKET BRGY. POBLACION, POLILLO, QUEZON 1.	The Municipality of Polillo, through the Supplemental Budget No.1-2019 (Continuing) by th</t>
  </si>
  <si>
    <t xml:space="preserve"> Piperacillin 4GM/Tazobactam 500mg Inj. per Vial (as sodium salt) (IV Infusion) Requirements for Drugs and Medicines: **Drugs with history of usage from VMMC (Requirements No. 1-5 only) ** **For Innovators (Requirements No. 1-4 only) ** 1. CPR 2. CGMP 3. L</t>
  </si>
  <si>
    <t xml:space="preserve"> Concrete Footpath</t>
  </si>
  <si>
    <t xml:space="preserve"> PURCHASE OF HOT ASPHALT 60/70 FOR MAINTENANCE SECTION, CDOC END DEO, MACABALAN, CAGAYAN DE ORO CITY</t>
  </si>
  <si>
    <t xml:space="preserve"> Section I. Invitation to Bid Republic of the Philippines PROVINCE OF ZAMBOANGA SIBUGAY Capitol Building, Ipil Heights, Ipil, Zamboanga Sibugay INVITATION TO BID FOR  Repair of Sound System (XLR Connector, etc) &amp; Maintenance of Musical Instrument (Drum and</t>
  </si>
  <si>
    <t xml:space="preserve"> Republic of the Philippines UNIVERSITY OF NORTHERN PHILIPPINES Tamag, Vigan City 2700 Ilocos Sur INVITATION TO BID FOR OFFICE SUPPLIES, JANITORIAL AND CONSUMABLE SUPPLIES  1.	The University of Northern Philippines, through the Regular Fund and Use of Inco</t>
  </si>
  <si>
    <t xml:space="preserve"> 1 Lot Supply and Delivery of Office Supplies and Other Materials for the official use of STOD, LTID, LAD, DARMOs and Survey Section of DAR Provincial Office, Negros Occidental 1 as follows:  QTY. UNIT	  ARTICLES/SERVICES &amp; DESCRIPTION		 4	cans	  INSECTICI</t>
  </si>
  <si>
    <t xml:space="preserve"> Specifications:  141 bags Fertilizer (46-0-0)</t>
  </si>
  <si>
    <t xml:space="preserve"> 1 Generator Set 100 KVA Generator Set (Silent type) Manual Transmission Switch (MTS) Copper Wires 120mm dia. 2 1/2 RSC Pipes Housing (Control room) xxxxxxxxxxxxxxxxxxxxxxxxxxxxxxxxxxxxxxxxxxx Nothing follows xxxxxxxxxxxxxxxxxxxxxxxxxxxxxxxxxxxxxxxx</t>
  </si>
  <si>
    <t xml:space="preserve"> SectionI. Invitation to Bid Republic of the Philippines PROVINCE OF ZAMBOANGA SIBUGAY Capitol Building, Ipil Heights, Ipil, Zamboanga Sibugay INVITATION TO BID FOR  Maintenance of IT 1.	The Province of Zamboanga Sibugay, through the General Fund BY 2020in</t>
  </si>
  <si>
    <t xml:space="preserve"> BUREAU OF CORRECTIONS IWAHIG PRISON AND PENAL FARM Puerto Princesa City REQUEST FOR QUOTATION IPPF 2020-06-57 Date:								        	 Name of Company: _______________________________________________________________ Address: ________________________________</t>
  </si>
  <si>
    <t xml:space="preserve"> Request for Quotation for the Procurement of Doormat of the Department of Education Regional Office VI</t>
  </si>
  <si>
    <t xml:space="preserve"> pc  Goggles garterized  1000  188.00  188,000.00</t>
  </si>
  <si>
    <t xml:space="preserve"> Epson Black Ink	           20 bottles Adv Hard Copy Sub 20 A4	   20 reams Dong A MyGel .5	            2 pieces</t>
  </si>
  <si>
    <t xml:space="preserve"> PCCP (tirepath)</t>
  </si>
  <si>
    <t xml:space="preserve"> 2 gals rubberized paint (blue)  2 ltrs paint reducer  2 pcs paint brush #2  1pcs. foot alcohol dispenser  5pcs hand soap dispenser  21 pcs face shield  1 box ballpen  1 box disposable mask  2 pcs footh bath  20 pcs hand soap  20 pcs stick broom  19 pcs du</t>
  </si>
  <si>
    <t xml:space="preserve"> Road Rerouting, Grouted Riprap and Embankment</t>
  </si>
  <si>
    <t xml:space="preserve"> BARANGAY CENTRAL SIGNAL BIDS AND AWARDS COMMITTEE Central Signal Village, Taguig City Supply and Delivery of Brand New Tires (2 Failed Bidding) RFQ-202001-3 Approved Budget for the Contract (ABC) : Php 50,000.00 Source of Fund: Budget 2020 1. 4 pcs - 205/</t>
  </si>
  <si>
    <t xml:space="preserve"> 1. 10	pcs	G.I Pipe 1 ¼” 2. 10	roll	Cyclone Wire 5ft 3. 5	pcs	Hacksaw Blade 4. 2	bag	Cement N/F</t>
  </si>
  <si>
    <t xml:space="preserve"> Section I. Invitation to Bid Republic of the Philippines PROVINCE OF ZAMBOANGA SIBUGAY Capitol Building, Ipil Heights, Ipil, Zamboanga Sibugay INVITATION TO BID FOR  2 Units Measuring Wheel, 1000m, 3 Units Steel Tape, 100m with Magnet, 7 Units Biometric M</t>
  </si>
  <si>
    <t xml:space="preserve"> Roadway Excavation &amp; Grouted Riprap</t>
  </si>
  <si>
    <t xml:space="preserve"> 1. The Local Government Unit of Amulung, Cagayan through the 20% Municipal Development Fund 2020 intends to apply the sum of Php 996,697.64 being the Approved Budget for the Contract (ABC) to payments under the contract for Construction of Day Care Center</t>
  </si>
  <si>
    <t xml:space="preserve"> PCCP (tirepath) and Spillway</t>
  </si>
  <si>
    <t xml:space="preserve"> Concreting</t>
  </si>
  <si>
    <t xml:space="preserve"> Construction of Multi - Purpose Hall ( Phase I )</t>
  </si>
  <si>
    <t xml:space="preserve"> Request for Quotation Date: _____________      Quotation No. _______ Company Name ________________________ Address ______________________________ 	Please quote your lowest price on the item/s listed below, subject to the general terms and conditions enume</t>
  </si>
  <si>
    <t xml:space="preserve"> Request for Quotation Project No.: 2020-INFRA-21 The Department of Education (DepED) Schools Division Office of Ligao City, hereafter referred to as the Procuring Entity, through the General Appropriations Act FY 2020 intends to apply the sum of One Hundr</t>
  </si>
  <si>
    <t xml:space="preserve"> Smoke Detector Smoke Detector Electrical Conduit 20mm dia. Smoke Detector Wires Junction Boxes Panel Boxes xxxxxxxxxxxxxxxxxxxxxxxxxxxxxxxxxxxxxxxxxxxx Nothing follows xxxxxxxxxxxxxxxxxxxxxxxxxxxxxxxxxxxxxxxxx</t>
  </si>
  <si>
    <t xml:space="preserve"> Unit Model         	Items Description	                          Unit Price	   Quantity	       Total 				 SM-G985F    	Display size, resolution:6-7 inch AMOLED	  55,990.00 	        2	    111,980.00  (Galaxy 520 + )	Pixel Density:525PPI			 	                </t>
  </si>
  <si>
    <t xml:space="preserve"> Section I. Invitation to Bid Republic of the Philippines PROVINCE OF ZAMBOANGA SIBUGAY Capitol Building, Ipil Heights, Ipil, Zamboanga Sibugay INVITATION TO BID FOR  15 Units Shelves, 1 Unit Office Table, 1 Set Sala Set &amp; 3 Units Junior Executive Chair 1.</t>
  </si>
  <si>
    <t xml:space="preserve"> Section I. Invitation to Bid Republic of the Philippines PROVINCE OF ZAMBOANGA SIBUGAY Capitol Building, Ipil Heights, Ipil, Zamboanga Sibugay INVITATION TO BID FOR  Supplies and Materials for Heavy Equipment Maint. 1.	The Province of Zamboanga Sibugay, t</t>
  </si>
  <si>
    <t xml:space="preserve"> Please download the attached document for the term of reference (TOR) and Omnibus Sworn Statement form.</t>
  </si>
  <si>
    <t xml:space="preserve"> Reproduction of Periodic Test</t>
  </si>
  <si>
    <t xml:space="preserve"> Request fpr Quotation for the One job for the comprehensive subterranean Termite Control System and preventive Maintenance Services through Conventional Method of Department of Education Regional Office VI</t>
  </si>
  <si>
    <t xml:space="preserve"> Extension of Canal Wall, Grouted Riprap, Drainage Canal</t>
  </si>
  <si>
    <t xml:space="preserve"> 1. 1	box	Fastener, Metal, 70mm between prongs 2. 2	jar	Glue, all purpose, gross weight: 200grams min 3. 3	box	Staple wire, stranded, (26/6) 4. 2	pc	Stapler, stranded type, load cap: 200 staples min N/F</t>
  </si>
  <si>
    <t xml:space="preserve"> Section I. Invitation to Bid Republic of the Philippines PROVINCE OF ZAMBOANGA SIBUGAY Capitol Building, Ipil Heights, Ipil, Zamboanga Sibugay INVITATION TO BID FOR  3 Units Printers &amp; 2 Units (LCD) Projector 1.	The Province of Zamboanga Sibugay, through </t>
  </si>
  <si>
    <t xml:space="preserve"> 1. The Local Government Unit of Amulung, Cagayan through the CY-2018 5% Calamity Fund(Reprogrammed)-622,615.66 &amp; Continuing Appropriation-438,857.67 intends to apply the sum of Php 1,061,473.33 being the Approved Budget for the Contract (ABC) to payments </t>
  </si>
  <si>
    <t xml:space="preserve"> PCCP, Grouted Riprap, Cross Drain with Grills &amp; Railings</t>
  </si>
  <si>
    <t xml:space="preserve"> Please download the attached documents or you may visit our website @www.prc.gov.ph</t>
  </si>
  <si>
    <t xml:space="preserve"> Republic of the Philippines Province of Davao del Sur Municipality of Matanao BARANGAY LOWER MARBER INVITATION TO BID  (Re-Bid) The Barangay Government of Lower Marber, Matanao, Davao del Sur through its Bids and Awards Committee (BAC), invites suppliers/</t>
  </si>
  <si>
    <t xml:space="preserve"> Items Description	                 Unit Price         	Quantity	        Total 			 ASUS FX5061U-AL111T           	 67,900.00 	              3	 203,700.00  Ryzen 7-4800H			 8GB RAM 2666MHZ			 1TB HDD + 512GB SSD			 NVD1660TI 6GB			 15.6 "DISPLAY 144HZ  REFR</t>
  </si>
  <si>
    <t xml:space="preserve"> The DPWH-North Manila District Engineering Office, through its Bids and Awards Committee (BAC) invites contractors to submit bids for the following Contract: 2.	  Contract I.D. No. 20OE0203   Contract Name: Construction of Four (4) Storey Twelve (12) Clas</t>
  </si>
  <si>
    <t xml:space="preserve"> Supply and Delivery of Drinking Water of SEC employees for SEC Head Offcie for one (1) year</t>
  </si>
  <si>
    <t xml:space="preserve"> Republic of the Philippines Province of Davao del Sur Municipality of Matanao BARANGAY SINAWILAN INVITATION TO BID The Barangay Government of Sinawilan, Matanao, Davao del Sur through its Bids and Awards Committee (BAC), invites suppliers/manufacturers/di</t>
  </si>
  <si>
    <t xml:space="preserve"> 1.	The Municipality of Esperanza, Masbate through the Appropriation Ordinance No. 6, series of 2019 under the Twenty per cent (20%) Economic Development Fund of the Office of the Municipal Agriculturist (MAGO) intends to apply the sum of Two Hundred Fifty</t>
  </si>
  <si>
    <t xml:space="preserve"> The DPWH-North Manila District Engineering Office, through its Bids and Awards Committee (BAC) invites contractors to submit bids for the following Contract: 1.	  Contract I.D. No. 20OE0202   Contract Name: Completion of Four (4) Storey Eight (8) Classroo</t>
  </si>
  <si>
    <t xml:space="preserve"> REPLACEMENT OF CEILING WITH PAINTING</t>
  </si>
  <si>
    <t xml:space="preserve"> Handrails</t>
  </si>
  <si>
    <t xml:space="preserve"> Section I. Invitation to Bid Republic of the Philippines PROVINCE OF ZAMBOANGA SIBUGAY Capitol Building, Ipil Heights, Ipil, Zamboanga Sibugay INVITATION TO BID FOR  5 Units Desktop Computer &amp; 1 Unit Laptop 1.	The Province of Zamboanga Sibugay, through th</t>
  </si>
  <si>
    <t xml:space="preserve"> Drainage Canal</t>
  </si>
  <si>
    <t xml:space="preserve"> Repair of Pump Station</t>
  </si>
  <si>
    <t xml:space="preserve"> Grouted Riprap, Backfill</t>
  </si>
  <si>
    <t xml:space="preserve"> NATIONAL FOOD AUTHORITY ROMBLON PROVINCIAL OFFICE Barangay Bagacay, Romblon, Romblon Website: www.nfa.gov.ph  E-mail Address: nfa.romblon@yahoo.com INVITATION TO SUBMIT PRICE QUOTATION 1. The National Food Authority (NFA) Romblon Provincial Office, throug</t>
  </si>
  <si>
    <t xml:space="preserve"> INVITATION TO REBID Project No. 2020-01-064 The Department of Education (DepED) Division of Panabo City, through the  CY 2020 BEFF Electrification of Un-energized Schools and Modernization of Electrical Systems on Grid Schools, intends to apply  the sum o</t>
  </si>
  <si>
    <t xml:space="preserve"> Republic of the Philippines Province of Quezon Municipality of Guinayangan Barangay Government of Villa Hiwasayan INVITATION TO BID Date: June 23, 2020 1.	The Barangay Government of  Villa Hiwasayan intends to apply the sum One hundred fifteen thousand on</t>
  </si>
  <si>
    <t xml:space="preserve"> Enhancement/Additional Works for the Completion of Municipal Hall Building</t>
  </si>
  <si>
    <t xml:space="preserve"> 13-inch Mac Book Air 13.3 - (diagonal) LED-backlit glossy widescreen display; 14-40 by 900 pixels 1.8GHZ dual-core intel Core i5 with 3MB L3 cache (Turbo Boost up to 2.8Ghz) 8GB of 1600Mhz LPDDR3 SDRAM 128GB PCIe-base SSD Intel HD Graphics 6000SDXC card s</t>
  </si>
  <si>
    <t xml:space="preserve"> Republic of the Philippines Province of Nueva Vizcaya BIDS AND AWARDS COMMITTEE (BAC-Goods) BAC OFFICE, Provincial Capitol, Bayombong, Nueva Vizcaya Tel. No. 078-392-2062 	 INVITATION TO BID FOR THE SUPPLY AND DELIVERY OF RABIES VACCINE,  HOG CHOLERA VACC</t>
  </si>
  <si>
    <t xml:space="preserve"> Please submit quotation for the above project, as stated in the attached purchase request and terms of reference. For inquiry/clarifications, please send email tot he undersigned: ruby08abriol@gmail.com Thank you.</t>
  </si>
  <si>
    <t xml:space="preserve"> REQUEST FOR QUOTATION Date: ____________ Name of Dealer: ____________ Address: ____________ GENTLEMEN: Please quote your lowest price and indicate shortest delivery date of articles herein below enumerated and return the same in SEALED ENVELOPE together w</t>
  </si>
  <si>
    <t xml:space="preserve"> Quantity		Unit Issue		Item Description 40			box			Glass slide (frosted ,60 pcs. Per box) 40			box			Glass slide (clear,70 pcs. Per box) 2			box			Heparinized capillary tubes (1000 pcs./box) 8			set			Blood typing sera (3 atigen in a set 6			box			Syringe </t>
  </si>
  <si>
    <t xml:space="preserve"> JOSE B. LINGAD MEMORIAL REGIONAL HOSPITAL City of San Fernando, Pampanga Tel. No. (045) 961-3921 Date: June 24, 2020 No. 2020 – 06 - 194-S REQUEST FOR QUOTATION (Name of Agency) (Address) Sir/Madam: Please quote your lowest price on the item/s listed belo</t>
  </si>
  <si>
    <t xml:space="preserve"> The DPWH-North Manila District Engineering Office, through its Bids and Awards Committee (BAC) invites contractors to submit bids for the following Contract: 5.	  Contract I.D. No. 20OE0206   Contract Name: Construction of Four (4) Storey Twenty (20) Clas</t>
  </si>
  <si>
    <t xml:space="preserve"> 1. 1,300 liters Diesel Visayas prevailing retail pump price as of June 9, 2020 (Date of Monitoring: June 9-11, 2020) N/F</t>
  </si>
  <si>
    <t xml:space="preserve"> Republic of the Philippines Province of Quezon Municipality of Guinayangan Barangay Government of Capuluan Central INVITATION TO BID Date: June 23, 2020 1.	The Barangay Government of  Capuluan Central intends to apply the sum Two hundred fifty four thousa</t>
  </si>
  <si>
    <t xml:space="preserve"> A. MATERIALS QTY	        UNIT		DESCRIPTION	 32.00        cu.m		Filling Materials		 55.00	bags		Portland Cement		 4.00	        cu.m		Washed Sand		 6.00	        cu.m		Screened Gravel 3/4		 50.00	pcs		CHB 6"		 5.00	        pcs		10mm Dia. RSB		 1.00	        k</t>
  </si>
  <si>
    <t xml:space="preserve"> Procurement of Housekeeping Supplies</t>
  </si>
  <si>
    <t xml:space="preserve"> The FDCP through its PBAC hereby requests proposals for the development of a website for the safe filming program of the FDCP. This website shall provide the guidelines for the film industry in answer to the situation brought about by the COVID 19. Please</t>
  </si>
  <si>
    <t xml:space="preserve"> Republic of the Philippines Region XII Province of Cotabato BIDS AND AWARDS COMMITTEE Amas, Kidapawan City INVITATION TO BID FOR Supply &amp; Delivery of IV Fluids for Mlang District Hospital, Mlang, Cotabato. (PB-20-304) 1.	The Provincial Government of Cotab</t>
  </si>
  <si>
    <t xml:space="preserve"> NVITATION TO BID FOR THE CONSTRUCTION OF IRRIGATION FACILITIES Sta. Maria, Malaggao, Adams, Ilocos Norte 1.	The Municipal Government of Adams, through funds from the RA 7171 intends to apply the sum of P451,659.65 being the Approved Budget for the Contrac</t>
  </si>
  <si>
    <t xml:space="preserve"> I. MOBILIZATION II. OCCUPATIONAL HEALTH III. PROJECT BILLBOARD IV. SITE WORKS      A. CLEARING &amp; LAYOUT      B. STRUCTURAL EXCAVATION      C. EMBANKMENT      D. SOIL POISONING V. CONCRETE WORKS VI. REINFORCING STEEL BARS VII. FORM WORKS &amp; SCAFFOLDING VIII</t>
  </si>
  <si>
    <t xml:space="preserve"> Republic of the Philippines Region XII Province of Cotabato BIDS AND AWARDS COMMITTEE Amas, Kidapawan City INVITATION TO BID FOR Supply &amp; Delivery of Medical Supplies for Mlang District Hospital, Mlang, Cotabato. (PB-20-303) 1.	The Provincial Government o</t>
  </si>
  <si>
    <t xml:space="preserve"> JOSE B. LINGAD MEMORIAL REGIONAL HOSPITAL City of San Fernando, Pampanga Tel. No. (045) 961-3921 Date: June 24, 2020 No. 2020 – 06 - 193-S REQUEST FOR QUOTATION (Name of Agency) (Address) Sir/Madam: Please quote your lowest price on the item/s listed belo</t>
  </si>
  <si>
    <t xml:space="preserve"> INVITATION TO BID The Department of Education (DepEd), Division of Pagadian City through the 2019 Government Appropriations Act (GAA), intends to apply the sum of Seven Hundred Forty-Seven Thousand Seven Hundred Pesos Only and 00/100 (P 747,700.00) being </t>
  </si>
  <si>
    <t xml:space="preserve"> Republic of the Philippines Sangguniang Barangay of Talipan Barangay Talipan, Pagbilao, Quezon Date: June 19,2020 Name of Project: Purchase of Food Supplies for Relief Goods Location : Barangay Talipan, Pagbilao, Quezon Approved Budget for the Contract : </t>
  </si>
  <si>
    <t xml:space="preserve"> PR NO. 20-06-0048								 DATE: JUNE 29, 2020 Gentlemen/Ladies: The Technological University of the Philippines – Manila intends to Procure  WINDOW TYPE AC-INVERTER with an Approved Budget for the Contract of One Hundred Ten Thousand Pesos (PhP 110,000.00</t>
  </si>
  <si>
    <t xml:space="preserve"> JOSE B. LINGAD MEMORIAL REGIONAL HOSPITAL City of San Fernando, Pampanga Tel. No. (045) 961-3921 Date: June 24, 2020 No. 2020 – 06 - 192-S REQUEST FOR QUOTATION (Name of Agency) (Address) Sir/Madam: Please quote your lowest price on the item/s listed belo</t>
  </si>
  <si>
    <t xml:space="preserve"> Name of Project: 	20-05-378 Other Supplies (Table Sinages) Use by the Office of the SB Legislative for 3rd Quarter 2020  Procurement Mode:		Small Value Procurement (SVP) Classification:			Goods Approved Budget for the Contract (ABC):    PhP 67, 500.00 BES</t>
  </si>
  <si>
    <t xml:space="preserve"> 20GM00154 – Purchase of Materials, Tools &amp; Spare Parts for Use in Planning and Design Section</t>
  </si>
  <si>
    <t xml:space="preserve"> Section I. Invitation to Bid Republic of the Philippines Province of Davao del Norte Municipality of Talaingod 24 June, 2020 INVITATION TO BID FOR PURCHASE OF VEHICLE (VAN) (MMO-BAC &amp; GSO)) 1.	The Local Government Unit of Talaingod, Davao del Norte intend</t>
  </si>
  <si>
    <t xml:space="preserve"> Purchase of Free School Supplies</t>
  </si>
  <si>
    <t xml:space="preserve"> ONE (1) LOT INTERNET SECURITY GATEWAY LICENSE SUBSCRIPTION SOPHOS SG 550</t>
  </si>
  <si>
    <t xml:space="preserve"> PR NO. 20-06-0047								 DATE: June 29, 2020 Gentlemen/Ladies: The Technological University of the Philippines – Manila intends to Procure  HARDWARE AND CONSTRUCTION SUPPLIES with an Approved Budget for the Contract of Eighty-Eight Thousand Four Hundred </t>
  </si>
  <si>
    <t xml:space="preserve"> 20GM00153 – Purchase of Tools and Equipment’s for Use in Reshaping of Unpaved Road Shoulder along Makilala-Allah Valley Road K1621+000 - K1644+817 (Selected Portions)</t>
  </si>
  <si>
    <t xml:space="preserve"> Section I. Invitation to Bid Republic of the Philippines PROVINCE OF ZAMBOANGA SIBUGAY Capitol Building, Ipil Heights, Ipil, Zamboanga Sibugay INVITATION TO BID FOR  4 Units Microphone &amp; 2 Units Cellphone 1.	The Province of Zamboanga Sibugay, through the </t>
  </si>
  <si>
    <t xml:space="preserve"> Republic of the Philippines Region XII Province of Cotabato BIDS AND AWARDS COMMITTEE Amas, Kidapawan City INVITATION TO BID FOR Supply &amp; Delivery of Brochures to be distributed to walk-in clients (farmers) of the Office of Provincial Agriculturist, Amas,</t>
  </si>
  <si>
    <t xml:space="preserve"> WORK DESCRIPTION:                  a. Mechanical Aspect (Kapingkong Dam Rehabilitation Including Replacement of Steel Gates at Main Canal)					 	 a.1 Barrage Gate (Dam)			                               10	units 	 a.2 Intake Gates (Dam)			                 </t>
  </si>
  <si>
    <t xml:space="preserve"> Republic of the Philippines Region XII Province of Cotabato BIDS AND AWARDS COMMITTEE Amas, Kidapawan City INVITATION TO BID FOR Supply &amp; Delivery of Various Agricultural Supplies for the Office of Provincial Agriculturist, Amas, Kidapawan City. (PB-20-30</t>
  </si>
  <si>
    <t xml:space="preserve"> Republic of the Philippines Province of Quezon Municipality of Guinayangan Barangay Government of Cabong Sur INVITATION TO BID Date: June 23, 2020 1.	The Barangay Government of  Cabong Sur intends to apply the sum one hundred ninety one  thousand two hund</t>
  </si>
  <si>
    <t xml:space="preserve"> Republic of the Philippines Region XII Province of Cotabato BIDS AND AWARDS COMMITTEE Amas, Kidapawan City INVITATION TO BID FOR Supply &amp; Delivery of Office Equipment for the Office of the Provincial Veterinarian, Amas, Kidapawan City. (PB-20-306) 1.	The </t>
  </si>
  <si>
    <t xml:space="preserve"> The FDCP through its PBAC hereby announces that it will be procuring the services of a consulting services for the development of a Cinelokal Web application and streaming platform. The procurement method for the aforementioned procurement project shall b</t>
  </si>
  <si>
    <t xml:space="preserve"> 20GM00152 – Purchase of Office Equipment’s and Supplies for Use in the Office of the District Engineer</t>
  </si>
  <si>
    <t xml:space="preserve"> INVITATION TO BID FOR the Procurement of Microwave Digestion System 968f – Ref. # 2020-06-03 1.	The FOOD AND NUTRITION RESEARCH INSTITUTE, through the “DOST-GIA Project entitled “Exposure Assessment of Food Chemical Contamination in Metro Manila: A Pilot </t>
  </si>
  <si>
    <t xml:space="preserve"> Republic of the Philippines																																																										 DEPARTMENT OF PUBLIC WORKS AND HIGHWAYS																																																										 OFFICE OF THE DISTRICT ENGINEER																																								</t>
  </si>
  <si>
    <t xml:space="preserve"> 20GM00151 – Purchase of Office Equipment’s and Supplies for use of the Finance Section</t>
  </si>
  <si>
    <t xml:space="preserve"> Section I. Invitation to Bid Republic of the Philippines Province of Davao del Norte MUNICIPALITY OF TALAINGOD 								24 June, 2020 Invitation to Bid for REHABILITATION OF TRIBAL HALL  (@JBL, Sto. Niño,Talaingod, DdN 1.	The Local Government Unit of Talai</t>
  </si>
  <si>
    <t xml:space="preserve"> Republic of the Philippines BIDS AND AWARDS COMMITTEE Province of Iloilo Invitation to Bid PURCHASE OF HOUSEKEEPING SUPPLIES Bid No. IPH-20-0206-B 1. The Iloilo Provincial Government, through the GENERAL FUND 2020 intends to apply the sum of THREE HUNDRED</t>
  </si>
  <si>
    <t xml:space="preserve"> SUPPLY AND DELIVERY OF ONE (1) UNIT AIR OVEN FOR NFA - TRLD LABORATORY USE</t>
  </si>
  <si>
    <t xml:space="preserve"> Republic of the Philippines BIDS AND AWARDS COMMITTEE Province of Iloilo Invitation to Bid PURCHASE OF LABORATORY SUPPLIES Bid No. IPH-20-0170-B 1. The Iloilo Provincial Government, through the GENERAL FUND 2020 intends to apply the sum of SEVEN HUNDRED N</t>
  </si>
  <si>
    <t xml:space="preserve"> The FDCp through its PBAC hereby requests proposals for the development of a National Registry App to support the National Registry program of the FDCP for the Film Industry. The project aims to simplify and assists the members of the Film Industry to eff</t>
  </si>
  <si>
    <t xml:space="preserve"> Available upon request</t>
  </si>
  <si>
    <t xml:space="preserve"> Republic of the Philippines Region XII Province of Cotabato BIDS AND AWARDS COMMITTEE Amas, Kidapawan City INVITATION TO BID FOR Supply &amp; Delivery of Office Supplies for Sangguniang Panlalawigan, Amas, Kidapawan City. (PB-20-339) 1.	The Provincial Governm</t>
  </si>
  <si>
    <t xml:space="preserve"> Republic of the Philippines BIDS AND AWARDS COMMITTEE Province of Iloilo Invitation to Bid PURCHASE OF MEDICAL OXYGEN Bid No. IPH-20-0166-B 1. The Iloilo Provincial Government, through the GENERAL FUND 2020 intends to apply the sum of ONE MILLION NINETY N</t>
  </si>
  <si>
    <t xml:space="preserve"> GLOBAL NAVIGATION SATELLITE SYSTEM (GNSS SATELLITE SIGNALS TRACKED SIMULTANEOUSLY TECHNICAL SPECIFICATION)	NIA-SKIMO Compound, Isulan, Sultan Kudarat Channels: 220 channels, GPS: Simultaneous L1 C/A, L2C,L2E, L2E,L5	 GLONASS: Simultaneous L1 C/A, L2C/A (G</t>
  </si>
  <si>
    <t xml:space="preserve"> Republic of the Philippines DEPARTMENT OF PUBLIC WORKS AND HIGHWAYS ILOCOS NORTE 1ST DISTRICT ENGINEERING OFFICE REGIONAL OFFICE I Laoag City, Ilocos Norte INVITATION TO PAKYAW GROUPS (LABOR) 	The Department of Public Works and Highways (DWPH) thru its Di</t>
  </si>
  <si>
    <t xml:space="preserve"> Republic of the Philippines Department of Education Region VI - Western Visayas Division of Bacolod City District II BATA ELEMENTARY SCHOOL - I Fr. Gratian Murray St., Brgy. Villamonte, Bacolod City INVITATION TO BID FOR THE PROCUREMENT OF ROUTER, WIFI EX</t>
  </si>
  <si>
    <t xml:space="preserve"> The Schedule of submission of quotations / proposals will be on June 30, 2020 at 10:00am at Conference Hall, Cebu City District Engineering Office, V. Sotto St., Brgy. Tinago, Cebu City. Bids received in excess of the ABC shall be automatically rejected a</t>
  </si>
  <si>
    <t xml:space="preserve"> RFQ&gt;&gt;&gt; Office and Janitorial Supplies for Josefa Carino ES | ABC=PhP57,092.50 Please download the RFQ for complete list of items Submit RFQ to: CHARITO T. FERNANDEZ Chairperson, School Bids and Awards Committee</t>
  </si>
  <si>
    <t xml:space="preserve"> Republic of the Philippines Department of Education Region VI - Western Visayas Division of Bacolod City District II BATA ELEMENTARY SCHOOL - I Fr. Gratian Murray St., Brgy. Villamonte, Bacolod City INVITATION TO BID FOR THE PROCUREMENT OF OFFICE SUPPLIES</t>
  </si>
  <si>
    <t xml:space="preserve"> INVITATION TO BID FOR Procurement / Acquisition of Communication and Early Warning Devices (Handheld radio and Radio base with antenna and accessories) 1.	The Municipality of San Jose, through the 2020 Annual Budget under 5% DRRM Calamity Fund   intends t</t>
  </si>
  <si>
    <t xml:space="preserve"> ITB / BOQ</t>
  </si>
  <si>
    <t xml:space="preserve"> 1.	The General Mariano Alvarez Water District (GMAWD), through the GMAWD General Fund, intends to apply the sum of TWO MILLION SEVEN HUNDRED TWENTY NINE THOUSAND PESOS (Php2,729,000.00) being the Approved Budget for the Contract (ABC) to payments under th</t>
  </si>
  <si>
    <t xml:space="preserve"> Various  furniture &amp; fixture and office equipment.</t>
  </si>
  <si>
    <t xml:space="preserve"> RFQ&gt;&gt;&gt; Office and Janitorial Supplies for Apolinario Mabini ES | ABC=PhP91,505.00 Please download the RFQ for complete list of items Submit RFQ to: OSCAR B. AOANAN JR. Chairperson, School Bids and Awards Committee</t>
  </si>
  <si>
    <t xml:space="preserve"> Repair of Barangay Hall</t>
  </si>
  <si>
    <t xml:space="preserve"> OPENING OF BIDS IN DSWD FO  IX ZAMBOANGA CITY		 DELIVERY IN HOME FOR WOMEN-DSWD, MAMPANG  ZC		 PROCUREMENT FOR THE FF,:	 1 LOT PERSONAL EFFECTS		 		 250	PCS.	BATH SOAP 135g 250	PCS.	SHAMPOO 200ml 250	PCS.	TOOTHPASTE 150ml. 250	PCS.	DEODORANT 25 ml. 250	PA</t>
  </si>
  <si>
    <t xml:space="preserve"> INVITATION TO BID FOR Purchase of Wheelchair, Quad Cane, Walker and Crutches for Senior Citizens and PWDs 1.	The Municipality of San Jose, through the 2020 Annual Budget under the Medical, Dental and Laboratory Expenses of Mayor’s Office   intends to appl</t>
  </si>
  <si>
    <t xml:space="preserve"> INVITATION TO BID FOR Procurement / Acquisition of Emergency Rescue Equipment and Supplies (Circular Concrete Saw, Concrete Chain Saw and Demolition Hammer) 1.	The Municipality of San Jose, through the 2020 Annual Budget under 5% DRRM Calamity Fund   inte</t>
  </si>
  <si>
    <t xml:space="preserve"> Republic of the Philippines Province of Quezon Municipality of Guinayangan Barangay Government of San Lorenzo INVITATION TO BID Date: June 23, 2020 1.	The Barangay Government of  San Lorenzo  intends to apply the sum one hundred thirty thousand one hundre</t>
  </si>
  <si>
    <t xml:space="preserve"> The Department of Agriculture-RFO 3, invites interested suppliers/ bidders to submit bid proposal(s) for the hereunder requirement, to wit: 115	head	UPGRADED EWE	 		- 6 to 8 months old	 		- not less than 18 kg	 		- with Certification from Vet on Deworming</t>
  </si>
  <si>
    <t xml:space="preserve"> 1.1 Conduct Ocular Inspection 1.2 Field Verification of Lots</t>
  </si>
  <si>
    <t xml:space="preserve"> Section I. Invitation to Bid Republic of the Philippines Province of Davao del Norte MUNICIPALITY OF TALAINGOD 								24 June, 2020 Invitation to Bid for CONSTRUCTION OF PATHWAY (@Tibucag Elementary School, Dagohoy,Talaingod, DdN 1.	The Local Government </t>
  </si>
  <si>
    <t xml:space="preserve"> INVITATION TO BID FOR Purchase of 4x4 Service Vehicle for Monitoring of GAD Programs and Services 1.	The Municipality of San Jose, through the 2019 Annual Budget under the Gender and Development Fund (Capital Outlay)   intends to apply the sum of One Mill</t>
  </si>
  <si>
    <t xml:space="preserve"> Please see attached file. Thanks!</t>
  </si>
  <si>
    <t xml:space="preserve"> Section I. Invitation to Bid Supply and Delivery of Labor and Materials, and Provision of Service for the Renovation of the DTI-CITE 2020 1.The Department of Trade and Industry, through the General Appropriations Act for CY 2020, intends to apply the sum </t>
  </si>
  <si>
    <t xml:space="preserve"> Republic of the Philippines Province of Nueva Ecija Municipality of Cuyapo -o0o- OFFICE OF THE BIDS AND AWARDS COMMITTEE INVITATION TO BID FOR  REHABILITATION OF STALLS INSIDE WET MARKET 1. The Municipality of Cuyapo, Nueva Ecija intends to apply the sum </t>
  </si>
  <si>
    <t xml:space="preserve"> Republic of the Philippines  Barangay 601, Zone 59, District VI, Manila Bids and Awards Committee INVITATION TO BID Barangay 601, Zone 59, District VI, Manila through its Bids and Awards Committee (BAC), Invites all Suppliers Contractors to bid the here u</t>
  </si>
  <si>
    <t xml:space="preserve"> OPENING OF BIDS IN DSWD FO  IX ZAMBOANGA CITY		 DELIVERY IN HOME FOR WOMEN MAMPANG ZC		 PROCUREMENT FOR THE FF,:		 		 1 LOT  VEGETABLE SUPPLIES		 		 120	kls	Ampalaya 80	kls	Baguio beans 60	pcs	Banana Blossom 120	kls	Broccoli 80	kls	Bell pepper 150	kls	Cab</t>
  </si>
  <si>
    <t xml:space="preserve"> 39 SACKS OF RICE</t>
  </si>
  <si>
    <t xml:space="preserve"> 1.	The Bicol University, through the Corporate Budgets for the contract approved by the Board of Regents intends to apply the sum of: Ninety Four Thousand Eight Hundred and 00/100 Pesos only (Php94,800.00) being the Approved Budget for the Contract to pay</t>
  </si>
  <si>
    <t xml:space="preserve"> Requesting for Quotation (RFQ) for PR No. 2006163  Interested suppliers are invited to submit Sealed Price Quotations for the above listed items. The Request for Quotation (RFQ) for may be obtained from Mr. Albert A. Camarillo City General Services Office</t>
  </si>
  <si>
    <t xml:space="preserve"> Department of Education Region VI-Western Visayas Division of Cadiz City Alimatoc Elementary School INVITATION TO BID PROCUREMENT FOR INTERNET CONNECTION OF ALIMATOC ELEMENTARY SCHOOL FOR 2020 1.	The Alimatoc Elementary School of Cadiz City, through the S</t>
  </si>
  <si>
    <t xml:space="preserve"> INVITATION TO BID FOR Establishment of Sari-sari Store and General Merchandising 1.	The Municipality of San Jose, through the Barangay Fund   intends to apply the sum of Two Hundred Seventy Seven Thousand Four Hundred Ninety Nine Pesos and 81/100 Only (₱ </t>
  </si>
  <si>
    <t xml:space="preserve"> Requesting for Quotation (RFQ) for PR No. 2006170  Interested suppliers are invited to submit Sealed Price Quotations for the above listed items. The Request for Quotation (RFQ) for may be obtained from Mr. Albert A. Camarillo City General Services Office</t>
  </si>
  <si>
    <t xml:space="preserve"> 1 UNIT KYOCERA TASKALFA PHOTOCOPIER TONER</t>
  </si>
  <si>
    <t xml:space="preserve"> 1. The Department of Transportation (DOTr) through the 2020 GAA Locally Funded Projects intends to apply the sum of Nineteen Million Seven Hundred Sixty-One Thousand Four Hundred Thirty Pesos and Forty Centavos (Php 19,761,430.40) being the Approved Budge</t>
  </si>
  <si>
    <t xml:space="preserve"> Pls see attached file</t>
  </si>
  <si>
    <t xml:space="preserve"> 8,025 pcs - Mushroom fruiting bags (1.0 kg to 1.2 kgs per bag) Fully Ramified</t>
  </si>
  <si>
    <t xml:space="preserve"> SEE ATTACHMENT.</t>
  </si>
  <si>
    <t xml:space="preserve"> Requesting for Quotation (RFQ) for PR No. 2006215  Interested suppliers are invited to submit Sealed Price Quotations for the above listed items. The Request for Quotation (RFQ) for may be obtained from Mr. Albert A. Camarillo City General Services Office</t>
  </si>
  <si>
    <t xml:space="preserve"> INVITATION TO BID (for the Procurement of Goods)           1.	The City Government of Puerto Princesa (CGPP), through its General Appropriations Ordinance No. 1-2019 (General Fund FY 2020), intends to apply the sum, corresponds as the Approved Budget for t</t>
  </si>
  <si>
    <t xml:space="preserve"> LABOR FOR STEEL FENCE</t>
  </si>
  <si>
    <t xml:space="preserve"> Requesting for Quotation (RFQ) for PR No. 2006134  Interested suppliers are invited to submit Sealed Price Quotations for the above listed items. The Request for Quotation (RFQ) for may be obtained from Mr. Albert A. Camarillo City General Services Office</t>
  </si>
  <si>
    <t xml:space="preserve"> Requesting for Quotation (RFQ) for PR No. 2006040  Interested suppliers are invited to submit Sealed Price Quotations for the above listed items. The Request for Quotation (RFQ) for may be obtained from Mr. Albert A. Camarillo City General Services Office</t>
  </si>
  <si>
    <t xml:space="preserve"> Requesting for Quotation (RFQ) for PR No. 2006094  Interested suppliers are invited to submit Sealed Price Quotations for the above listed items. The Request for Quotation (RFQ) for may be obtained from Mr. Albert A. Camarillo City General Services Office</t>
  </si>
  <si>
    <t xml:space="preserve"> Requesting for Quotation (RFQ) for PR No. 2006092  Interested suppliers are invited to submit Sealed Price Quotations for the above listed items. The Request for Quotation (RFQ) for may be obtained from Mr. Albert A. Camarillo City General Services Office</t>
  </si>
  <si>
    <t xml:space="preserve"> Requesting for Quotation (RFQ) for PR No. 2006061  Interested suppliers are invited to submit Sealed Price Quotations for the above listed items. The Request for Quotation (RFQ) for may be obtained from Mr. Albert A. Camarillo City General Services Office</t>
  </si>
  <si>
    <t xml:space="preserve"> Requesting for Quotation (RFQ) for PR No. 2006093  Interested suppliers are invited to submit Sealed Price Quotations for the above listed items. The Request for Quotation (RFQ) for may be obtained from Mr. Albert A. Camarillo City General Services Office</t>
  </si>
  <si>
    <t xml:space="preserve"> QTY	UNITS	DESCRIPTION OF ARTICLES				 6	unit		TOPCON Battery BT-52QA			 4	unit 		KRONOSS C3 Battery PN2004050017 25.16 Wh 3400mAh 7.4v</t>
  </si>
  <si>
    <t xml:space="preserve"> Republic of the Philippines PROVINCE OF NUEVA ECIJA City of Palayan INVITATION TO BID FOR  SUPPLY AND DELIVERY OF BASKETBALL BACKSTOP June 24, 2020 1.	The Provincial Government of Nueva Ecija (PGNE), through the General Fund intends to apply the sum of Tw</t>
  </si>
  <si>
    <t xml:space="preserve"> QTY	UNITS	DESCRIPTION OF ARTICLES				 1	uniit 		USGS Type AA current Meter (Magnetic)			 1	unit		USGS top set wadling rod, 1.2m			 1	unit		Aqua CMD Current Meter Digitizer			 1	unit		USGS Handline with 10ft Rubber Cable &amp; 40ft Elisworth cable			 1	unit		U</t>
  </si>
  <si>
    <t xml:space="preserve"> 20F00107 - Local Program – National Roads and Bridges – National Roads – Local Infrastructure Program – Rehabilitation/Reconstruction of National Roads with Slips, Slope Collapsed and Landslide Andaya Highway, Ragay, Camarines Sur, Del Gallego and Ragay, </t>
  </si>
  <si>
    <t xml:space="preserve"> QTY	UNITS	DESCRIPTION OF ARTICLES				 4	unit		EVAPORATION PAN, STAINLESS			 			Diameter: 120cm			 			Height : 26cm</t>
  </si>
  <si>
    <t xml:space="preserve"> Name of Project: MAGGANGAN ROAD (Grouted Riprap)phase II					 Location: Guinaoang, Mankayan, Benguet					 Materials:					 Description		Qty.	Unit	Unit Cost	Amount Stone Boulders		36	cu m	 2,110.00 	 75,960.00  cement		145	bags	311.00	 45,095.00  sand		17	c</t>
  </si>
  <si>
    <t xml:space="preserve"> Attaching herewith RFP &amp; TOR</t>
  </si>
  <si>
    <t xml:space="preserve"> Please see attached drawing for charging mechanism</t>
  </si>
  <si>
    <t xml:space="preserve"> Dear Sir/Madam: 	Greetings from the Commission on Human Rights! 	The Commission on Human Rights (CHR), through its Bids and Awards Committee for Goods and Services (BAC-GS), will procure DSLR CAMERA through Section 53.9 Negotiated Procurement – Small Valu</t>
  </si>
  <si>
    <t xml:space="preserve"> INVITATION TO BID The Municipal Government of San Narciso, Quezon through its Bids and Award Committee (BAC), invites registered suppliers with DTI, Mayor’s Permit and PhilGEPS, if found eligible, to bid or the hereunder contract: Name of Contract : 	Part</t>
  </si>
  <si>
    <t xml:space="preserve"> Request for Expression of Interest (REOI)  for the  GEOTECHNICAL AND GEOLOGICAL SURVEY (SOIL BORING EXPLORATION) OF VARIOUS BUILDINGS IN REGION I (PACKAGE 2) 1.	The DPWH-Regional Office I through SR2020-02-0022685 intends to apply the sum of Five Million </t>
  </si>
  <si>
    <t xml:space="preserve"> Rehabilitation of Perimeter Pavement of Covered Court</t>
  </si>
  <si>
    <t xml:space="preserve"> 30 pcs PVC pipe, 1/2" dia. x 10', blue  (heavy duty) Approved Budget: Php150.00/ piece Total Approved Budget: Php4,500.00 4 pcs PVC reducer, 1/2" dia. x 3/4" dia., blue Approved Budget: Php200.00/ piece Total Approved Budget: Php800.00 4 pcs PVC male adap</t>
  </si>
  <si>
    <t xml:space="preserve"> Attached herewith the RFP &amp; TOR</t>
  </si>
  <si>
    <t xml:space="preserve"> Supply &amp; Delivery of  G.I &amp; BRASS FITTING</t>
  </si>
  <si>
    <t xml:space="preserve"> For Construction of Administration Building 2nd Gate Entrance Covered Walk, Phase 1 Republic of the Philippines Technical Education and Skills Development Authority PROVINCE OF BILIRAN Cabucgayan National School of Arts and Trades Libertad, Cabucgayan, Bi</t>
  </si>
  <si>
    <t xml:space="preserve"> Republic of the Philippines Province of Iloilo Municipality of Lemery Invitation to Bid 1.	The Barangay  Poblacion South East Zone,  Lemery, Iloilo, through  Provincial Aid intends to apply the sum of  Three million Pesos ( 3,000,000.00 ) being the Approv</t>
  </si>
  <si>
    <t xml:space="preserve"> Request for Expression of Interest (REOI)  for the  GEOTECHNICAL AND GEOLOGICAL SURVEY (SOIL BORING EXPLORATION) OF VARIOUS BUILDINGS IN REGION I (PACKAGE 1) 1.	The DPWH-Regional Office I through SR2020-02-0022685 intends to apply the sum of Five Million </t>
  </si>
  <si>
    <t xml:space="preserve"> Department of Education Region VI-Western Visayas Division of Cadiz City Alimatoc Elementary School INVITATION TO BID PROCUREMENT FOR IMPROVEMENT OF HAND WASHING AREA OF ALIMATOC ELEMENTARY SCHOOL FOR 2020 1.	The Alimatoc Elementary School of Cadiz City, </t>
  </si>
  <si>
    <t xml:space="preserve"> Attached herewith Final RFP &amp; TOR</t>
  </si>
  <si>
    <t xml:space="preserve"> DISMANTLING WORKS AND IMPROVEMENT OF THE MAIN GATE AT LANGIT ROAD</t>
  </si>
  <si>
    <t xml:space="preserve"> for the construction of the Drainage and Pathwalk at Looban 1 Bayawas St. Zone 4, Abella, Naga City</t>
  </si>
  <si>
    <t xml:space="preserve"> City Government of Manila INVITATION TO BID  NO. 2020-06-93 Procurement of Various Printed Materials 1.	The City Government of Manila, through the General Fund CY 2020 – Printing and Publication Expenses intends to apply the sum of One Million Three Hundr</t>
  </si>
  <si>
    <t xml:space="preserve"> PURCHASE OF SUPPLIES FOR THE NEW NORMAL LEARNING MODALITY</t>
  </si>
  <si>
    <t xml:space="preserve"> The AGRICULTURAL TRAINING INSTITUTE-REGIONAL TRAINING CENTER (ATI-RTC) X, through the 2020 General Appropriations Act intends to apply the sum of Sixty Seven Thousand Pesos (P 67,000.00) being the Approved Budget for the Contract (ABC) to payments under t</t>
  </si>
  <si>
    <t xml:space="preserve"> Republic of the Philippines                                                    BARANGAY CITY HEIGHTS                                                        General Santos City                      								             INVITATION TO APPLY FOR ELIGIBILITY A</t>
  </si>
  <si>
    <t xml:space="preserve"> City Government of Manila INVITATION TO BID  NO. 2020-06-94 Procurement of Various Office Supplies 1.	The City Government of Manila, through the General Fund CY 2020 – Office Supplies Expenses  intends to apply the sum of  One Million Four Hundred Seventy</t>
  </si>
  <si>
    <t xml:space="preserve"> The AGRICULTURAL TRAINING INSTITUTE-REGIONAL TRAINING CENTER (ATI-RTC) X, through the 2020 General Appropriations Act intends to apply the sum of Eighty Three Thousand Five Hundred Twenty Pesos (P 83,520.00) being the Approved Budget for the Contract (ABC</t>
  </si>
  <si>
    <t xml:space="preserve"> QTY	UNITS	DESCRIPTION OF ARTICLES				 1	unit		BLUE PRINT MACHINE 36in. High speed non-ammonia, odorless, Automatic Activator 220v/50hz, developing mode, Pressure heavy nitrogen, paper feed style: front &amp; rear output paper</t>
  </si>
  <si>
    <t xml:space="preserve"> The AGRICULTURAL TRAINING INSTITUTE-REGIONAL TRAINING CENTER (ATI-RTC) X, through the 2020 General Appropriations Act intends to apply the sum of One Hundred Thirty Nine Thousand Pesos (P 139,000.00) being the Approved Budget for the Contract (ABC) to pay</t>
  </si>
  <si>
    <t xml:space="preserve"> Procurement of office supplies and materials for quarter 1 and quarter of 2020</t>
  </si>
  <si>
    <t xml:space="preserve"> Radio Spots Airtime for the Months of July to December 2020. Radio Spots Airtime for Jul - Dec 2020 PhP 60,000.00 Cost of Airing - PhP 2,500.00 (1 hour) No. of Airing per Month - 4 to 5 Times a Month Monthly Expenses - PhP 10,000.00 2nd Semester Expenses </t>
  </si>
  <si>
    <t xml:space="preserve"> The AGRICULTURAL TRAINING INSTITUTE-REGIONAL TRAINING CENTER (ATI-RTC) X, through the 2020 General Appropriations Act intends to apply the sum of Two Hundred Seventeen Thousand Seven Hundred Fifty Pesos (P 217,750.00) being the Approved Budget for the Con</t>
  </si>
  <si>
    <t xml:space="preserve"> The AGRICULTURAL TRAINING INSTITUTE-REGIONAL TRAINING CENTER (ATI-RTC) X, through the 2020 General Appropriations Act intends to apply the sum of One Hundred Five Thousand Pesos (P 105,000.00) being the Approved Budget for the Contract (ABC) to payments u</t>
  </si>
  <si>
    <t xml:space="preserve"> Quantity		Unit Issue			Item Description 1			unit				DESKTOP 							Intel Core i3, 4 GB DDR4,                                                         Memory: 1 TB  HDD, 18.5 LED Monitor, DVD write,ATXCase                                                    </t>
  </si>
  <si>
    <t xml:space="preserve"> 1. The Mindanao State University - Tawi-Tawi College of Technology and Oceanography (MSU-TCTO), through the Trust Fund, intends to apply the sum of Eight Hundred Eighty-Three Thousand One Hundred pesos only (PhP 883,100.00) being Approved Budget of Contra</t>
  </si>
  <si>
    <t xml:space="preserve"> Tablet Specifications: 5 pieces  Storage = 32 GB  RAM = 4 GB  OS Version = Android 7.0 (Nougat)  Other Information JORNELYN F. SANTUILE  National Telehealth Center  3F IT Center Joaquin Gonzales Compound  University of the Philippines  Padre Faura Street,</t>
  </si>
  <si>
    <t xml:space="preserve"> Procurement of Supplies and Materials of MASONRY NC II (Training Cum Production) Dormitory</t>
  </si>
  <si>
    <t xml:space="preserve"> The AGRICULTURAL TRAINING INSTITUTE-REGIONAL TRAINING CENTER (ATI-RTC) X, through the 2020 General Appropriations Act intends to apply the sum of One Hundred Twenty One Thousand Pesos (P 121,000.00) being the Approved Budget for the Contract (ABC) to paym</t>
  </si>
  <si>
    <t xml:space="preserve"> Requesting for Quotation (RFQ) for PR No. 2006171  Interested suppliers are invited to submit Sealed Price Quotations for the above listed items. The Request for Quotation (RFQ) for may be obtained from Mr. Albert A. Camarillo City General Services Office</t>
  </si>
  <si>
    <t xml:space="preserve"> Requesting for Quotation (RFQ) for PR No. 2006111  Interested suppliers are invited to submit Sealed Price Quotations for the above listed items. The Request for Quotation (RFQ) for may be obtained from Mr. Albert A. Camarillo City General Services Office</t>
  </si>
  <si>
    <t xml:space="preserve"> Requesting for Quotation (RFQ) for PR No. 2006095  Interested suppliers are invited to submit Sealed Price Quotations for the above listed items. The Request for Quotation (RFQ) for may be obtained from Mr. Albert A. Camarillo City General Services Office</t>
  </si>
  <si>
    <t xml:space="preserve"> Please see attached approved Request for Quotation</t>
  </si>
  <si>
    <t xml:space="preserve"> Requesting for Quotation (RFQ) for PR No. 2006158  Interested suppliers are invited to submit Sealed Price Quotations for the above listed items. The Request for Quotation (RFQ) for may be obtained from Mr. Albert A. Camarillo City General Services Office</t>
  </si>
  <si>
    <t xml:space="preserve"> Repair and replacement of parts of HITACHI LOADER</t>
  </si>
  <si>
    <t xml:space="preserve"> SEE ATTACHED.</t>
  </si>
  <si>
    <t xml:space="preserve"> Requesting for Quotation (RFQ) for PR No. 2006006  Interested suppliers are invited to submit Sealed Price Quotations for the above listed items. The Request for Quotation (RFQ) for may be obtained from Mr. Albert A. Camarillo City General Services Office</t>
  </si>
  <si>
    <t xml:space="preserve"> 3 REAMS LONG BONDAPAPER 6 PCS DOCUMENT FILER 5 PCS SCOTCH TAPE 1 INCH 5 PCS CORRECTION TAPE 15 PCS ORANGE FOLDER LONG 30 PCS WHITE FOLDER LONG</t>
  </si>
  <si>
    <t xml:space="preserve"> Department of Education Region VI-Western Visayas Division of Cadiz City Alimatoc Elementary School INVITATION TO BID FOR THE PROVISION OF MEDICAL AND DENTAL PROJECT WINS SUPPLIES 1.	The Alimatoc Elementary School of Cadiz City, through the Schools MOOE F</t>
  </si>
  <si>
    <t xml:space="preserve"> OPENING OF BIDS IN DSWD FO  IX ZAMBOANGA CITY		 DELIVERY IN HOME FOR WOMEN MAMPANG ZC		 PROCUREMENT FOR THE FF,: 		 1 LOT FROZEN GOODS 		 90	kls	Chicken Liver 200	packs	Chicken Lumpia 500g 180	packs	Chicken Nuggets 500g 180	packs	Chorizo (beef/chicken) 18</t>
  </si>
  <si>
    <t xml:space="preserve"> Requesting for Quotation (RFQ) for PR No. 2003499  Interested suppliers are invited to submit Sealed Price Quotations for the above listed items. The Request for Quotation (RFQ) for may be obtained from Mr. Albert A. Camarillo City General Services Office</t>
  </si>
  <si>
    <t xml:space="preserve"> 3sets Computer 1unit Printer</t>
  </si>
  <si>
    <t xml:space="preserve"> Requesting for Quotation (RFQ) for PR No. 2006172  Interested suppliers are invited to submit Sealed Price Quotations for the above listed items. The Request for Quotation (RFQ) for may be obtained from Mr. Albert A. Camarillo City General Services Office</t>
  </si>
  <si>
    <t xml:space="preserve"> REPUBLIC OF THE PHILIPPINES PROVINCE OF EASTERN SAMAR MUNICIPALITY OF LAWAAN REQUEST FOR QUOTATION PR No.: RFQ No.: PR Date: PhilGEPS Reference No. : End-User : Closing Date: ABC:98,675.00 Time: Sir/Madam: Please quote your lowest price on the items/s lis</t>
  </si>
  <si>
    <t xml:space="preserve"> INVITATION TO BID FOR Procurement of One (1) set Total Station/Surveying Equipment 1.	The Municipality of San Jose, through the 2020 Annual Budget under General Fund of Municipal Engineering Office   intends to apply the sum of Five Hundred Thousand Pesos</t>
  </si>
  <si>
    <t xml:space="preserve"> Republic of the Philippines Province of Northern Samar 	  Municipality of Gamay Barangay Luneta REQUEST FOR QUOTATION The BLGU-Gamay, through its Executive Department, will undertake a Small Value Procurement for the “Procurement of Disaster Equipment” in</t>
  </si>
  <si>
    <t xml:space="preserve"> PERSONAL PROTECTIVE EQUIPMENT - 4 SETS THERMAL SCANNER - 1 UNIT</t>
  </si>
  <si>
    <t xml:space="preserve"> Republic of the Philippines Province of Quezon Municipality of Guinayangan Barangay Government of Dungawan Pantay INVITATION TO BID Date: June 23, 2020 1.	The Barangay Government of  Dungawan Pantay  intends to apply the sum Two hundred thousand one hundr</t>
  </si>
  <si>
    <t xml:space="preserve"> Republic of the Philippines  Barangay 494, Zone 49, District IV, Manila Bids and Awards Committee INVITATION TO BID Barangay 494, Zone 49, District IV, Manila through its Bids and Awards Committee (BAC), Invites all Suppliers Contractors to bid the here u</t>
  </si>
  <si>
    <t xml:space="preserve"> Republic of the Philippines BIDS AND AWARDS COMMITTEE Province of Iloilo Invitation to Bid PURCHASE OF OFFICE SUPPLIES Bid No. IPH-20-0207-B 1. The Iloilo Provincial Government, through the GENERAL FUND 2020 intends to apply the sum of THREE HUNDRED SEVEN</t>
  </si>
  <si>
    <t xml:space="preserve"> GENERAL HEADQUARTERS ARMED FORCES OF THE PHILIPPINES GHQ BIDS AND AWARDS COMMITTEE 3 Camp General Emilio Aguinaldo, Quezon City INVITATION TO BID Retrofitting of GHQ Building (5th Rebidding) (GB3-PB-002-19)  1.	The Armed Forces of the Philippines (AFP), t</t>
  </si>
  <si>
    <t xml:space="preserve"> Department of Education Region VI-Western Visayas Division of Cadiz City Alimatoc Elementary School INVITATION TO BID FOR THE PROVISION OF SUPPLIES AND MATERIALS FOR MODULE REPRODUCTION 1.	The Alimatoc Elementary School of Cadiz City, through the Schools </t>
  </si>
  <si>
    <t xml:space="preserve"> Quantity	Unit		 Description		 5		units	        Air-condtion unit 1HP</t>
  </si>
  <si>
    <t xml:space="preserve"> Republic of the Philippines BIDS AND AWARDS COMMITTEE Province of Iloilo Invitation to Bid PURCHASE OF DRUGS AND MEDICINES Bid No. IPH-20-0372-B 1. The Iloilo Provincial Government, through the GENERAL FUND 2020 intends to apply the sum of NINE HUNDRED FO</t>
  </si>
  <si>
    <t xml:space="preserve"> Contract ID: 			20GO0102 Contract Name: 	71X-Special Maintenance (Installation of Road Safety Facilities Along Bacolod City National Roads), Bacolod City Contract Location:		Bacolod City, Negros Occidental Brief Description: 	Installation of road safety f</t>
  </si>
  <si>
    <t xml:space="preserve"> LABOR FOR THE AMOUNT OF 2,000.00 PESOS</t>
  </si>
  <si>
    <t xml:space="preserve"> Republic of the Philippines PROVINCE OF NUEVA ECIJA City of Palayan INVITATION TO BID FOR  SUPPLY AND DELIVERY OF MONOBLOCK CHAIRS AND TABLES June 24, 2020 1.	The Provincial Government of Nueva Ecija (PGNE), through the General Fund intends to apply the s</t>
  </si>
  <si>
    <t xml:space="preserve"> Republic of the Philippines National Capital Region Division of Taguig and Pateros District of Cluster I USUSAN ELEMENTARY SCHOOL #76 Gen. Luna St., Ususan, Taguig City   REQUEST FOR QUOTATION  								Date: June 23, 2020 								Quotation No. 001 DEPED –</t>
  </si>
  <si>
    <t xml:space="preserve"> Republic of the Philippines BIDS AND AWARDS COMMITTEE Province of Iloilo Invitation to Bid PURCHASE OF MEDICAL SUPPLIES Bid No. IPH-20-0167-B 1. The Iloilo Provincial Government, through the GENERAL FUND 2020 intends to apply the sum of FIVE HUNDRED NINET</t>
  </si>
  <si>
    <t xml:space="preserve"> Republic of the Philippines Region XII Province of Cotabato BIDS AND AWARDS COMMITTEE Amas, Kidapawan City INVITATION TO BID FOR Supply &amp; Delivery of Veterinary Equipment for the Office of the Provincial Veterinarian, Amas, Kidapawan City. (PB-20-305) 1.	</t>
  </si>
  <si>
    <t xml:space="preserve"> Section I. Invitation to Bid Republic of the Philippines Province of Davao del Norte Municipality of Talaingod 24 June, 2020 INVITATION TO BID FOR TIRE &amp; SPARE PARTS (MEO-For Light &amp; Heavy Equipment) 1.	The Local Government Unit of Talaingod, Davao del No</t>
  </si>
  <si>
    <t xml:space="preserve"> Republic of the Philippines BIDS AND AWARDS COMMITTEE Province of Iloilo Invitation to Bid PURCHASE OF LABORATORY SUPPLIES Bid No. IPH-20-0169-B 1. The Iloilo Provincial Government, through the GENERAL FUND 2020 intends to apply the sum of EIGHT HUNDRED F</t>
  </si>
  <si>
    <t xml:space="preserve"> Various Furniture &amp; Fixtures and office equipments.</t>
  </si>
  <si>
    <t xml:space="preserve"> INVITATION TO BID FOR THE COMPLETION OF EVACUATION CENTER ANHS, ACES, Adams, Ilocos Norte 1.	The Municipal Government of Adams, through funds from the 20% Development Fund intends to apply the sum of P519,435.70 being the Approved Budget for the Contract </t>
  </si>
  <si>
    <t xml:space="preserve"> INVITATION TO BID FOR PROVISION OF MULTI-YEAR CONTRACT FOR THE HIRING OF SERVICE PROVIDER FOR TERMITE TREATMENT AND GENERAL PEST CONTROL OF DSWD CENTRAL OFFICE AND OTHER SATELLITE OFFICES                                                          FOR CY 202</t>
  </si>
  <si>
    <t xml:space="preserve"> The Department of Agriculture-RFO 3, invites interested suppliers to submit quotations/proposals for the hereunder requirement, to wit: 		SUPPLY AND DELIVERY OF:	 			 8	piece	POWERBANK	 		- 20,000 mAh	 		- LED Display, view battery percentage	 		- Multipl</t>
  </si>
  <si>
    <t xml:space="preserve"> Republic of the Philippines PROVINCE OF NUEVA ECIJA City of Palayan INVITATION TO BID FOR  FREEDOM PARK OFF-GRID SOLAR SYSTEM June 24, 2020 1.	The Provincial Government of Nueva Ecija (PGNE), through the 2020 Development Fund intends to apply the sum of T</t>
  </si>
  <si>
    <t xml:space="preserve"> INVITATION TO BID FOR THE CONSTRUCTION OF SOLAR DRYER Maligligay, Adams, Ilocos Norte 1.	The Municipal Government of Adams, through funds from the 20% Municipal Development Fund CY 2020 intends to apply the sum of P532,343.53 being the Approved Budget for</t>
  </si>
  <si>
    <t xml:space="preserve"> Provision of Geotechnical and Topographical Investigation Survey at Narra, Palawan for the installation of 80 tons capacity Electronic Truckscale.</t>
  </si>
  <si>
    <t xml:space="preserve"> Republic of the Philippines Province of Nueva Vizcaya BIDS AND AWARDS COMMITTEE (BAC-Goods) BAC OFFICE, Provincial Capitol, Bayombong, Nueva Vizcaya Tel. No. 078-392-2062 	 INVITATION TO BID FOR THE SUPPLY &amp; DELIVERY OF DESKTOP COMPUTERS, LAPTOP, ETC. FOR</t>
  </si>
  <si>
    <t xml:space="preserve"> excavation - 3 cum concrete works - 2 cum iron works - 12 set electrical works - 12 set</t>
  </si>
  <si>
    <t xml:space="preserve"> The DPWH-North Manila District Engineering Office, through its Bids and Awards Committee (BAC) invites contractors to submit bids for the following Contract: 3.	  Contract I.D. No. 20OE0204   Contract Name: Construction of Four (4) Storey Twelve (12) Clas</t>
  </si>
  <si>
    <t xml:space="preserve"> Republic of the Philippines PROVINCE OF NUEVA ECIJA City of Palayan INVITATION TO BID FOR  SUPPLY AND DELIVERY OF TIRES FOR VARIOUS HEAVY EQUIPMENT AND VEHICLES OF PGNE June 24, 2020 1.	The Provincial Government of Nueva Ecija (PGNE), through the General </t>
  </si>
  <si>
    <t xml:space="preserve"> 3 pcs THERMAL SCANNER 1 pcs OMRON BP 3 pcs DIGITAL THERMOMETER  7 boxes FACE MASKS							 30 bottle  HAND SANITIZER							 30 galoon ALCOHOL							 10 galoon SODIUM HYDROCHLORIDE							 200 packs SOAP (SAFEGUARD)							 30 box TOILET PAPER							 2 box DI</t>
  </si>
  <si>
    <t xml:space="preserve"> Republic of the Philippines Province of Ilocos Norte MUNICIPALITY OF ADAMS BIDS AND AWARDS COMMITTEE Cp nos.:09563902369, 09088956069  email address : mannegdege@yahoo.com June 23, 2020 INVITATION TO BID PURCHASE OF ONE (1) UNIT BRAND NEW AMBULANCE 1.	The</t>
  </si>
  <si>
    <t xml:space="preserve"> The FDCp through it PBAC, hereby invite prospective suppliers for the supply and delivery of laptop computers for various use and purposes as follows 3 units Editing laptop - Hign end branded laptop 2 units media screening (Cinematheque) and Database mana</t>
  </si>
  <si>
    <t xml:space="preserve"> Section I. Invitation to Bid Republic of the Philippines PROVINCE OF ZAMBOANGA SIBUGAY Capitol Building, Ipil Heights, Ipil, Zamboanga Sibugay INVITATION TO BID FOR  Labor on Installation of 3 Units Transformer 100KVA 1.	The Province of Zamboanga Sibugay,</t>
  </si>
  <si>
    <t xml:space="preserve"> Invitation to Bid for the Proposed Construction of Level 1 Potable Water Supply System  (Barangay Abaton, Burabud, Cagdarao, Cahayagan, Langob, Mualbual, Napotiocan, Oleras, Dona Luisa( Onay), Pangdan, Talisay and Vigo) 1.	The Local Government Unit of Lao</t>
  </si>
  <si>
    <t xml:space="preserve"> Open, Closed with Steel Grills Drainage Canal</t>
  </si>
  <si>
    <t xml:space="preserve"> Items Description	                                                                     QTY	  Unit Price	    Total 				 Monitor -ASUS  VL249HE 23.8"WIDE FHD LED IPS SLIM FRAMELESS MONITOR	6	 7,900.00 	 47,400.00  MOBO   -ASUS EX-B365M-V5 A, V, GBL 2DDR4 MO</t>
  </si>
  <si>
    <t xml:space="preserve"> Republic of the Philippines Province of Agusan del Sur Municipality of Trento BIDS &amp; AWARDS COMMITTEE INVITATION TO BID  FOR THE CONCRETING OF BARANGAY ROAD PHASE 2 Brgy., San Isidro, Trento, Agusan del Sur 1.	The Municipality of Trento, through the 20% B</t>
  </si>
  <si>
    <t xml:space="preserve"> Request for Quotation for the Procurement of Hardware Materials and Supplies of Department of Education Regional Office VI</t>
  </si>
  <si>
    <t xml:space="preserve"> Early Registration 2020</t>
  </si>
  <si>
    <t xml:space="preserve"> Request for Quotation (Negotiated Procurement-Sec. 53.1 of RIRR of RA 9184)                                                                             The Iligan City Government Bids and Awards Committee(BAC) Posted Request for Quotation for the Supply a</t>
  </si>
  <si>
    <t xml:space="preserve"> PCCP, Gate, Grouted Riprap, Tank</t>
  </si>
  <si>
    <t xml:space="preserve"> 1 pc Mini Dumptruck</t>
  </si>
  <si>
    <t xml:space="preserve"> Section I. Invitation to Bid Republic of the Philippines PROVINCE OF ZAMBOANGA SIBUGAY Capitol Building, Ipil Heights, Ipil, Zamboanga Sibugay INVITATION TO BID FOR  2 Units Submersible Pump 3HP &amp; 5HP with Accessories and Installation) 1.	The Province of </t>
  </si>
  <si>
    <t xml:space="preserve"> Stone masonry works</t>
  </si>
  <si>
    <t xml:space="preserve"> 1.	The MUNICIPALITY OF GUINAYANGAN, QUEZON, through its Bids and Awards Committee (BAC), will undertake a Negotiated Procurement – Small Value Procurement Method for the Supply and Delivery of Grass Cutter   for  use by the MENRO  in accordance with Secti</t>
  </si>
  <si>
    <t xml:space="preserve"> The SANGGUNIANG BARANGAY OF BARANGAY POBLACION IV, TANAUAN CITY, BATANGAS, through the Barangay Operating Budget 2020 intends to apply the sum of Forty Thousand Pesos Only (Php 40,000.00) being the Approved Budget of the Contract (ABC) to payment under th</t>
  </si>
  <si>
    <t xml:space="preserve"> PHIVIDEC INDUSTRIAL AUTHORITY	 MCT Complex, Tagoloan, Mis. Oriental	 Tel Nos: (08822) 740245, (088) 5670-315	 email add:  	procurement@piamo.gov.ph or pia.bacsec@gmail.com 	 Standard Form Number: SF-GOOD-60	 Revised on: 	Oct-16 Standard Form Title:  REQUE</t>
  </si>
  <si>
    <t xml:space="preserve"> Republic of the Philippines   DEPARTMENT OF AGRARIAN REFORM   Macanhan, Carmen, Cagayan de Oro City Convergence on Value Chain Enhancement for Rural Growth and Empowerment (Project ConVERGE) VACANCY ANNOUNCEMENT The DEPARTMENT OF AGRARIAN REFORM (DAR) is </t>
  </si>
  <si>
    <t xml:space="preserve"> The DPWH-North Manila District Engineering Office, through its Bids and Awards Committee (BAC) invites contractors to submit bids for the following Contract: 4.	  Contract I.D. No. 20OE0205   Contract Name: Construction of Four (4) Storey Sixteen (16) Cla</t>
  </si>
  <si>
    <t xml:space="preserve"> Repair and Maintenance-School Building- 71,480.00</t>
  </si>
  <si>
    <t xml:space="preserve"> Lot 1 17 units Power Sprayer, 1HP Lot 2 17 units Plastic Drum, 200 liters 17 units Hose, 15 meters, 8.5mm Lot 3 150 kgs. Disinfectant, 1kg -see attached RFQ Form for specification details.</t>
  </si>
  <si>
    <t xml:space="preserve"> 1	20	pcs	UNIFORM (SCRUB SUIT)	 2	20	pcs	THERMOMETER	 3	20	pcs	BLOOD PRESSURE APPARATUS	 4	20	pcs	RAIN COAT	 5	20	pair	BOOTS</t>
  </si>
  <si>
    <t xml:space="preserve"> Item No.	Unit	DESCRIPTION				Qty 						 1	Cans	Ampalaya 50 gms.				3 2	Cans	Tomato 100 gms.				1 3	Cans	Eggplant (Dgte. Long Purple)50 gms.				3 4	Cans	Sweet pepper 50 gms.				3 5	Cans	Upo 100gms.				2 6	Kilos	Okra				2 7	Kilos	Pole Sitao				2</t>
  </si>
  <si>
    <t xml:space="preserve"> Item No. Qty. units Description Brand Amount /Unit 11UNIT/SBATTERY 12 VOLTS, 13 PLATES21SET/SBRAKE PAD31SET/SBRAKE SHOE42PIECE/SBULB, HEADLIGHT54PIECE/SRUBBER BUSHING, LEAF SPRING BIG68PIECE/SRUBBER BUSHING, LEAF SPRING SMALL71SET/SSTABILIZER LINK KIT81SE</t>
  </si>
  <si>
    <t xml:space="preserve"> Name of Contract: Construction of the Tanjay City Evacuation Center (Phase III) IAC Classification: Small "B" for Buildings PCAB Category "D" Duration: 120 Calendar Days Approved Budget for the Contract: Php 2,000,000.00 xxxxxxxxxxxxxxxx</t>
  </si>
  <si>
    <t xml:space="preserve"> 150 btls Alcohol, 500ml 150 btls Hand Sanitizer, 30ml 10 gal. Zonrox</t>
  </si>
  <si>
    <t xml:space="preserve"> Bond Paper, Short, 70gsm Correction Tape Dishwashing Liquid Detergent Soap, Powder Detergent Soap, Bar Bleach Liquid Sign Pen, Uni Ball Gel Impact Toilet Deodorant Cake, Large LED Bulb, 15 Watts Toilet Tissue Paper, 2 Ply Folder, Long Folder, A4/Letter Li</t>
  </si>
  <si>
    <t xml:space="preserve"> Order/download attached Invitation to Bid and print-out Abstract of Bids from Philgeps.</t>
  </si>
  <si>
    <t xml:space="preserve"> Invitation to Bid to all Supplier/Contractor duly accredited by the City Council of Manila to Supply and deliver the following items provided here under to wit;  	 	 	 	 	 	 	 	 	 	 	 	 	 	  Item	 Qty.	 Unit	 	 	 	A R T I C L E S	 	 	  1	 	1	 	Unit	Motorc</t>
  </si>
  <si>
    <t xml:space="preserve"> 1 Unit Laptop:      Core i7 Processor      1TB HDD      8GB DDR4 RAM      Dedicated Graphics Video Card 2GB 2 Pcs 2TB External Hard Drive</t>
  </si>
  <si>
    <t xml:space="preserve"> LIQUID DETERGENT, ALL PURPOSE CONCENTRATED For use in the Dept. of OB-GYN. REQUESTED BY: H, OB-GYN Fax your Price Quotation at Telefax 927-6426 local 2561 Please indicate the brand name, complete specifications.</t>
  </si>
  <si>
    <t xml:space="preserve"> Philgeps: Procurement of Hard Hats and etc. for the Office of the Solicitor General  ITEMS - Specifications - Quantity:    1. Hard Hat - 120 Pieces 2. Whistle - 120 Pieces 3. Reflective Vest - 120 Pieces 4. Flashlight - 120 Pieces 5. Emergency Kit - 40 pi</t>
  </si>
  <si>
    <t xml:space="preserve"> 2440 liters. Diesel Fuel Lubricants ---Lumpsum 2 units 24" Dia. RCCP 3 bags. Cement 3 bags Mixed Sand</t>
  </si>
  <si>
    <t xml:space="preserve"> 1	3	unit	ACU- SPLIT TYPE 1.5HP W/ INSTALLATION	 2	1	unit	PHOTOCOPY MACHINE	 3	3	unit	INDUSTRIAL FAN	 4	1	unit	SHREDDER	 5	3	unit	STAND FAN	 6	1	unit	DOCUMENT SCANNER	 7	4	unit	LAPTOP	 8	1	unit	PORTABLE SCANNER	 9	1	unit	HI FI STEREO W/ AMPLIFIER W/ USB	 1</t>
  </si>
  <si>
    <t xml:space="preserve"> PR NO. 0820 - 20                                                           Republic of the Philippines                 CITY GOVERNMENT OF TACURONG Alunan Highway, Tacurong City Sultan Kudarat BIDS AND AWARDS COMMITTEE                       Tel nos. (064) </t>
  </si>
  <si>
    <t xml:space="preserve"> The Municipality of Limay, through its Bids and Awards Committee (BAC) invites registered contractors to apply for eligibility and if found eligible, to bid for the hereunder project/contract: Project/Contract:     REPAINTING OF ROOF, INTERIOR &amp; EXTERIOR </t>
  </si>
  <si>
    <t xml:space="preserve"> PR NO. 0749 - 20                                                           Republic of the Philippines                 CITY GOVERNMENT OF TACURONG Alunan Highway, Tacurong City Sultan Kudarat BIDS AND AWARDS COMMITTEE                       Tel nos. (064) </t>
  </si>
  <si>
    <t xml:space="preserve"> The AGRICULTURAL TRAINING INSTITUTE-REGIONAL TRAINING CENTER (ATI-RTC) X, through the 2020 General Appropriations Act intends to apply the sum of Five Hundred   Thousand Eight Hundred Pesos (P 550,800.00) being the Approved Budget for the Contract (ABC) t</t>
  </si>
  <si>
    <t xml:space="preserve"> PR NO. 0750 - 20                                                           Republic of the Philippines                 CITY GOVERNMENT OF TACURONG Alunan Highway, Tacurong City Sultan Kudarat BIDS AND AWARDS COMMITTEE                       Tel nos. (064) </t>
  </si>
  <si>
    <t xml:space="preserve"> Request for Quotation on SUPPLY OF PRINTER INKS 1. The Bureau of Plant Industry-Davao National Crop Research Development and Production Support Center (BPI-DNCRDPSC) intends to apply the sum of Sixty Five Thousand Six Hundred Pesos (₱ 65,600.00) being the</t>
  </si>
  <si>
    <t xml:space="preserve"> PR NO. 0801 - 20                                                           Republic of the Philippines                 CITY GOVERNMENT OF TACURONG Alunan Highway, Tacurong City Sultan Kudarat BIDS AND AWARDS COMMITTEE                       Tel nos. (064) </t>
  </si>
  <si>
    <t xml:space="preserve"> PR NO. 0741 - 20                                                           Republic of the Philippines                 CITY GOVERNMENT OF TACURONG Alunan Highway, Tacurong City Sultan Kudarat BIDS AND AWARDS COMMITTEE                       Tel nos. (064) </t>
  </si>
  <si>
    <t xml:space="preserve"> Hydraulic Hose etc. NOTE:To all suppliers bid documents and BAC Resolution 2020-029 are available at BAC Office and LGU website.</t>
  </si>
  <si>
    <t xml:space="preserve"> GOODS</t>
  </si>
  <si>
    <t xml:space="preserve"> Gang Chair NOTE:To all suppliers bid documents and BAC Resolution 2020-029 are available at BAC Office and LGU website.</t>
  </si>
  <si>
    <t xml:space="preserve"> Item No.	Unit	DESCRIPTION				Qty 						 1	Unit	BIOMETRIC				1 		TimeKeeping Machine				 		LAN Type, 500 Users, 5000 Logs</t>
  </si>
  <si>
    <t xml:space="preserve"> Please see attached copy of Request for Quotation</t>
  </si>
  <si>
    <t xml:space="preserve"> Flexible Hose 3/4" etc. NOTE:To all suppliers bid documents and BAC Resolution 2020-029 are available at BAC Office and LGU website.</t>
  </si>
  <si>
    <t xml:space="preserve"> INVITATION TO BID IB No. GS-2020 – 063-A Construction Materials and Supplies for use in the Installtion of Free Flowing at Dulangan I, Baco/ Installation of Deepwell at Malinao, Naujan, Oriental Mindoro/ Installation of Free Flowing at Sitio Aliso &amp; Sitio</t>
  </si>
  <si>
    <t xml:space="preserve"> Republic of the Philippines Province of Agusan del Sur Municipality of Trento BIDS &amp; AWARDS COMMITTEE INVITATION TO BID FOR  Supply/Delivery of One (1) Unit Police Patrol Car (20-06-0617) 1.	The Local Government Unit of Trento through the Peace and Order </t>
  </si>
  <si>
    <t xml:space="preserve"> INVITATION TO BID IB No. GS-2020 – 057-A Medical Supplies and Laboratory Instrument for use during the conduct of laboratory  examination &amp; dental check-up of all regular employees of PGOM 1. The  Provincial  Government  of  Oriental  Mindoro  (PGOM)  thr</t>
  </si>
  <si>
    <t xml:space="preserve"> INVITATION TO BID IB No. GS-2020 – 056-A Information Technology use for client information terminal in Capitol Complex and OMPH 1. The  Provincial  Government  of  Oriental  Mindoro  (PGOM)  through  the  General Fund CA 2019  intends  to  apply  the  sum</t>
  </si>
  <si>
    <t xml:space="preserve"> INVITATION TO BID IB No. GS-2020 – 083 Airconditioning and Airconditioning System for use of the Governor’s Office 1. The  Provincial  Government  of  Oriental  Mindoro  (PGOM)  through  the  General Fund   intends  to  apply  the  sum  of  Three Hundred </t>
  </si>
  <si>
    <t xml:space="preserve"> INVITATION TO BID IB No. GS-2020 – 081 Fertilizer for use in Aquaculture Development Program as fishery input support to fish farmers/growers in the province 1. The  Provincial  Government  of  Oriental  Mindoro  (PGOM)  through  the  General  Fund   inte</t>
  </si>
  <si>
    <t xml:space="preserve"> Construction of City Health Office-Phase III NOTE:To all suppliers bid documents and BAC Resolution No. 2020-029 are available at BAC Office and LGU website.</t>
  </si>
  <si>
    <t xml:space="preserve"> INVITATION TO BID IB No. GS-2020 – 082 Hospital/Medical Equipment for the use of OMSDH 1. The  Provincial  Government  of  Oriental  Mindoro  (PGOM)  through  the  20% Development Fund   intends  to  apply  the  sum  of  Four Hundred Seventy Five Thousand</t>
  </si>
  <si>
    <t xml:space="preserve"> CIVIL WORKS</t>
  </si>
  <si>
    <t xml:space="preserve"> INVITATION TO BID IB No. GS-2020 – 062-A Construction Materials and Supplies for use in the Provision of P.E. Pipes S40 for Brgy. Antipolo, Naujan, Oriental Mindoro/ Provision of 300 meter Pipe for Sitio 3 at Barangay Buhangin Naujan, Oriental Mindoro/ Pr</t>
  </si>
  <si>
    <t xml:space="preserve"> INVITATION TO BID IB No. GS-2020 – 077 Agricultural Products (Seeds, Seedlings, Plants…) for Distribution of Cacao Planting Materials for Coconut  intercrop in farmers of different Municipalities under High Value Commercial Crops Production of Agro  Techn</t>
  </si>
  <si>
    <t xml:space="preserve"> INVITATION TO BID IB No. GS-2020 – 079 Live Animals (Livestock, Birds, Live Fish &amp; etc.) for use in the Aquaculture Development Program as fishery  input support to fish farmers/growers in the province 1. The  Provincial  Government  of  Oriental  Mindoro</t>
  </si>
  <si>
    <t xml:space="preserve"> INVITATION TO BID IB No. GS-2020 – 076 Agricultural Products (Seeds, Seedlings, Plants…) for Distribution of Calamansi Planting Materials in Calamansi  Farmers of different Municipalities under High Value Commercials Crops Production of Agro  Technology  </t>
  </si>
  <si>
    <t xml:space="preserve"> Republic of the Philippines DEPARTMENT OF PUBLIC WORKS &amp; HIGHWAYS Region X Office of the Regional Director Bulua, Cagayan de Oro City REQUEST FOR PROPOSAL June 17, 2020 _______________ Dear Sir/Madam,  We are respectfully inviting you to submit your Techn</t>
  </si>
  <si>
    <t xml:space="preserve"> REQUEST FOR QUOTATION (RFQ)                           Date: June 23, 2020                         Quotation No.: SDO-2020-06-0033 TO ALL ELIGIBLE SUPPLIERS/BIDDERS: I.	Please quote your lowest price appraisal inclusive of VAT on all/each items below for t</t>
  </si>
  <si>
    <t xml:space="preserve"> The AGRICULTURAL TRAINING INSTITUTE-REGIONAL TRAINING CENTER (ATI-RTC) X, through the 2020 General Appropriations Act intends to apply the sum of One Hundred Fifty seven Thousand Five Hundred Pesos (P 157,500.00) being the Approved Budget for the Contract</t>
  </si>
  <si>
    <t xml:space="preserve"> INVITATION TO BID IB No. GS-2020 – 078 Fertilizer for Distribution under Mindoro Dinorado Rice Production Program-Agro  Technology Resource and Management Services Division 1. The  Provincial  Government  of  Oriental  Mindoro  (PGOM)  through  the  Gener</t>
  </si>
  <si>
    <t xml:space="preserve"> Republic of the Philippines         CITY GOVERNMENT OF TACURONG Alunan Highway, Tacurong City Sultan Kudarat BIDS AND AWARDS COMMITTEE                  Tel nos. (064) 562-0128 / Telefax no. (064) 477 - 0138         www.tacurong.gov.ph                     </t>
  </si>
  <si>
    <t xml:space="preserve"> Procurement ID/Contract I.D.: 20CN0126 Contract Name: Slope Protection along Nueva Ecija – Aurora Road Contract Location: (K0190+740 – K0190+890), (K0191+211 – K0191+260) Brief Description: Drainage and Slope Protection Structures Approved Budget for the </t>
  </si>
  <si>
    <t xml:space="preserve"> Republic of the Philippines GOODWILL ELEMENTARY SCHOOL Quezon City REQUEST FOR QUOTATION “IMPROVEMENT OF PRINCIPAL'S OFFICE” 1.	The Goodwill Elementary School through its Bids and Awards Committee invites interested firms/supplier to submit quotation the </t>
  </si>
  <si>
    <t xml:space="preserve"> Republic of the Philippines                CITY GOVERNMENT OF TACURONG Alunan Highway, Tacurong City Sultan Kudarat BIDS AND AWARDS COMMITTEE                  Tel nos. (064) 562-0128 / Telefax no. (064) 477 - 0138      www.tacurong.gov.ph                 </t>
  </si>
  <si>
    <t xml:space="preserve"> Item Description                        Quantity              Proposed construction of suspended slab on existing               1 porch Delivery of Customized steel             1 hand washing facility</t>
  </si>
  <si>
    <t xml:space="preserve"> INVITATION TO RE-BID FOR Fuel, Oil and Lubricants Expenses  (Name of Project)    1.	The CITY GOVERNMENT OF ZAMBOANGA, through the General Fund intends to apply for re-bid the sum of SIX MILLION NINE HUNDRED THIRTY THREE THOUSAND SIX HUNDRED PESOS (P6,933,</t>
  </si>
  <si>
    <t xml:space="preserve"> Please see attached request for quotation and technical specifications.</t>
  </si>
  <si>
    <t xml:space="preserve"> Veterinary Medical Supplies</t>
  </si>
  <si>
    <t xml:space="preserve"> Procurement ID/Contract I.D.: 20CN0073 Contract Name: Construction of Slope Protection along Nueva Ecija – Aurora Road Contract Location: K0212+155 – K0212+203, Aurora Brief Description: Drainage and Slope Protection Structures Approved Budget for the Con</t>
  </si>
  <si>
    <t xml:space="preserve"> Specifications: - Thirty-three (33) pcs Junior Executive Chair High Back w/ Arms Swivel - Sixty-three (63) pcs Clerical Chair Mid-back w/ Arms Swivel Delivery Period: 30 days upon receipt of PO Area of Delivery: Court of Appeals Cagayan de Oro City Terms </t>
  </si>
  <si>
    <t xml:space="preserve"> Materials: 1. Good Lumber 2x2x12 - 230 bdft. 2. Plywood 1/4, marine - 16 shts. 3. Concrete Nail 3" - 3 kgs. 4. Concrete Nail 2" - 6 kgs. 5. Finishing Nail - 4 kgs. 6. Ceramic Floor Tiles 40x40 - 300 pcs. 7. Ceramic Floor Tiles 30x30 - 55 pcs. 8. Cereamic </t>
  </si>
  <si>
    <t xml:space="preserve"> Issuance of Bid Documents Starts: May 8, 2020 Cost of Bid Document: Php 3,500.00 Venue of Dropping and Opening Bids: BAC Conference Room, Leyte SMED Center, Provincial Capitol Grounds, Tacloban City</t>
  </si>
  <si>
    <t xml:space="preserve"> 4" Concrete Hollow Block Portland Cement Type I Washed Sand G.I. Screen Mesh 10mm x 6.0m Def. Bar #16 GI Tie Wire Flat Latex Primer Paint Semi-Gloss Latex Paint (Ivory) Body Filler w/ Hardiner Roller Brush with Handle Baby Roller Brush with Handle 2 1/2" </t>
  </si>
  <si>
    <t xml:space="preserve"> GULAYAN SA TUGKARAN</t>
  </si>
  <si>
    <t xml:space="preserve"> Procurement of Aggregate Levelling Coarse						 Purchase Requested by the City Engineering Office, Tabaco City						 						 To Interested Suppliers, Manufacturers and Distributors,						 						 Please quote your lowest price/s on the lot or item/s  below,</t>
  </si>
  <si>
    <t xml:space="preserve"> 1 Unit Laptop * CPU: Intel Core i7 processor (10th Generation) * Hard Drive: 256GB Solid State Drive * RAM: 16GB * Display 3840x2400 resolution * Wireless: 802.1 1ac 2x2 Wifi and *OS: windows 10 Home Unit Cost: P 80,550.00 Total Amount: P 80,550.00 5 Unit</t>
  </si>
  <si>
    <t xml:space="preserve"> The AGRICULTURAL TRAINING INSTITUTE-REGIONAL TRAINING CENTER (ATI-RTC) X, through the 2020 General Appropriations Act intends to apply the sum of Twenty Four Thousand Pesos (P 24,000.00) being the Approved Budget for the Contract (ABC) to payments under t</t>
  </si>
  <si>
    <t xml:space="preserve"> 1,500 	pcs	Egg  50 	kls	Hot dog  50 	packs	Ham  720 	pcs	Corned Beef 48's  720 	pcs	Beef Loaf 48's  1,000 	pcs	Sardines 100's  720 	cases	Instant Noodles 72's  480 	pcs	Canned Tuna 48's  252 	packs	Black Coffee 2g  100 	kls	Brown Sugar  864 	pcs	Pancit Ca</t>
  </si>
  <si>
    <t xml:space="preserve"> Repair and Maintenance of the Division Office Including 35% of the Labor Cost</t>
  </si>
  <si>
    <t xml:space="preserve"> Please quote your best offer for the item described below, subject to the Terms and Conditions provided at the 2nd page portion of the attached request for quotation. 	Submit your quotation duly signed by you or your duly representative and copies of the </t>
  </si>
  <si>
    <t xml:space="preserve"> 1 kit Uric Acid Auto 100T &amp; 18 others</t>
  </si>
  <si>
    <t xml:space="preserve"> 30 bot. Universal ink, asstd. 100ml (cyan,magenta,yellow) &amp; 14 others</t>
  </si>
  <si>
    <t xml:space="preserve"> various food supplies</t>
  </si>
  <si>
    <t xml:space="preserve"> 1 assy. 6 branches-panel board,2P,1Ø, 240VAC, 60Hz, 10KAIC bolt-on type, flush mounted, NEMA 1 enclosure &amp; others</t>
  </si>
  <si>
    <t xml:space="preserve"> O-F Basal Medium			1	Pack	3,000.00 *10 pcs/pack					 API TDA Reagent			3	Pack	12,000.00 *2 ampules/pack					 API NIN Reagent			1	Bottle	3,000.00 API NIT 1 + NIT 2 Reagents			5	Bottle	25,000.00 API ZYM A Reagent			3	Bottle	9,000.00 API E System complete wi</t>
  </si>
  <si>
    <t xml:space="preserve"> 1020 pax Meals and Snacks (AM Snack,Lunch, PM Snack)</t>
  </si>
  <si>
    <t xml:space="preserve"> Ceramic Floor Tiles etc.  NOTE:To all suppliers bid documents and BAC Resolution 2020-029 are available at BAC Office and LGU website.</t>
  </si>
  <si>
    <t xml:space="preserve"> The AGRICULTURAL TRAINING INSTITUTE-REGIONAL TRAINING CENTER (ATI-RTC) X, through the 2020 General Appropriations Act intends to apply the sum of Nine Thousand Pesos (P 9,000.00) being the Approved Budget for the Contract (ABC) to payments under the contr</t>
  </si>
  <si>
    <t xml:space="preserve"> 350 pack Burger bun, big 6's &amp; others</t>
  </si>
  <si>
    <t xml:space="preserve"> Portland Cement etc.  NOTE:To all suppliers bid documents and BAC Resolution 2020-029 are available at BAC Office and LGU website.</t>
  </si>
  <si>
    <t xml:space="preserve"> 250 kl. Chicken Assorted Cuts &amp; 2 others</t>
  </si>
  <si>
    <t xml:space="preserve"> 1	Bamboo poles (&gt;15 ft long; ave 10 inches dia)			250	Piece	25,000.00 	Nylong No. 160			20	Kg	8,000.00 	PE Rope Bo. 8			20	Roll	8,000.00 	Garden shading/dry net			7	Roll	70,000.00 	Pamo twine			50	Spool	2,500.00 	B-net			60	Roll	540,000.00 	Crustacean/shr</t>
  </si>
  <si>
    <t xml:space="preserve"> Republic of the Philippines  Province of Samar Municipality of Jiabong Invitation to Bid  Emergency Purchase in Response to Covid19 Mayor’s Office Jiab-2020-29A The Municipal Government of Jiabong, Samar, through LGU OF JIABONG   intends to apply the sum </t>
  </si>
  <si>
    <t xml:space="preserve"> INVITATION TO BID IB No. GS-2020 – 080 Agricultural Products (Seeds, Seedlings, Plants…) for Distribution of Agro-Technology Resource  Management Services – Organic Vegetable Production 1. The  Provincial  Government  of  Oriental  Mindoro  (PGOM)  throug</t>
  </si>
  <si>
    <t xml:space="preserve"> 1.	The Local Government Unit of Las Nieves, through the Budget for the Contract Approved by the Sanggunian (GF-SPA) intends to apply the sum of five thousand and seven hundred pesos only (Php 5,700.00) for Lot 1,  twenty six thousand pesos only (Php 26,00</t>
  </si>
  <si>
    <t xml:space="preserve"> Request for Quotation</t>
  </si>
  <si>
    <t xml:space="preserve"> 55 units Brand New Amplifiers -Max. power output:  500W -Bluetooth -USB / SD Port -FM Tuner -Built-in Chime -3 Microphone input -3 Auxiliary input -1 Line output -6 Individual zone control -4Ω/8Ω/16Ω/70V/100V (with parts and service warranty, free install</t>
  </si>
  <si>
    <t xml:space="preserve"> PB NO. 2020-041		 			Garbage Truck 1.	6	units	SFC407 Euro 4 4x2 Dropside Vehicle 			GVW 4,450kgs 			Payload 2,800 kgs 			Engine: Tat 497sp tcic 4 cyclinder turbo intercooled crdi diesel engine 			5 speed transmission 			Body dimension: 10ft x 6ft x 16in 	</t>
  </si>
  <si>
    <t xml:space="preserve"> Republic of the Philippines Province of Samar  Municipality of Jiabong INVITATION TO BID FOR  EMERGENCY PURCHASE IN RESPONSE TO COVID19 RHU office Jiab-2020-27A 1.	The Municipal Government of Jiabong, Samar, intends to apply the sum of TWO MILLION PESOS (</t>
  </si>
  <si>
    <t xml:space="preserve"> REQUEST FOR QUOTATION The Dagupan City Water District through its Bids and Awards Committee (BAC) invites qualified bidders/contractors to send letter of quotation for the following: Name of Project: Supply and Delivery of Motorcycle Maintenance for CSD L</t>
  </si>
  <si>
    <t xml:space="preserve"> Sand etc. NOTE:To all suppliers bid documents and BAC Resolution 2020-029 are available at BAC Office and LGU website.</t>
  </si>
  <si>
    <t xml:space="preserve"> Invitation to Bid  for the  Repair and Improvement of  Rockefeller Housing Units #4 &amp; #5 at PhilRice Central Experiment Station under PB Infra 20-02-03 1.The Philippine Rice Research Institute, through the Corporate Fund Budget for 2020 intends to apply t</t>
  </si>
  <si>
    <t xml:space="preserve"> Republic of the Philippines DEPARTMENT OF PUBLIC WORKS AND HIGHWAYS NEGROS OCCIDENTAL 1ST DISTRICT ENGINEERING OFFICE Region VI Matab-ang, Talisay City, Negros Occidental INVITATION TO BID The DPWH, Negros Occidental 1st District Engineering Office, Matab</t>
  </si>
  <si>
    <t xml:space="preserve"> Republic of the Philippines DEPARTMENT OF HEALTH ZAMBOANGA PENINSULA - CENTER FOR HEALTH DEVELOPMENT  Upper Calarian, Zamboanga City 7000 Phone: (062) 983-0314, (062) 983-0146, Fax : (062)   991-3380 Email : dohchdzp@yahoo.com, Web : www.doh.gov.ph Contra</t>
  </si>
  <si>
    <t xml:space="preserve"> REQUEST FOR QUOTATION The Dagupan City Water District through its Bids and Awards Committee (BAC) invites qualified bidders/contractors to send letter of quotation for the following: Name of Project: Supply and Delivery of Motorcycle Maintenance for CMD L</t>
  </si>
  <si>
    <t xml:space="preserve"> Proposed Salary:  P 15,000.00/month QUALIFICATION: A. Licensed Security Guard B.  Filipino Citizen C.  21 year old but not over 50 years old D.  No criminal records E.  High school graduate / College level F.  Physically and mentally fit G.  Of good moral</t>
  </si>
  <si>
    <t xml:space="preserve"> INVITATION TO BID The Municipal Government of San Narciso, Quezon through its Bids and Award Committee (BAC), invites registered suppliers with DTI, Mayor’s Permit and PhilGEPS, if found eligible, to bid or the hereunder contract: Name of Contract : 	Conc</t>
  </si>
  <si>
    <t xml:space="preserve"> 1	Crablet Scylla serrata			45,000	Piece	900,000.00 	Description					 	Wild-caught Scylla serrata crablets					 	From Sorsogon Province					 	Size &gt; 1.50 cm carapace width					 	Pick-up on-site					 						 	Total					900,000.00</t>
  </si>
  <si>
    <t xml:space="preserve"> Republic of the Philippines DEPARTMENT OF HEALTH ZAMBOANGA PENINSULA - CENTER FOR HEALTH DEVELOPMENT  Upper Calarian, Zamboanga City 7000 Phone : (062) 983-0314, (062) 983-0146, Fax : (062)   991-3380 Email : dohchdzp@yahoo.com, Web : www.doh.gov.ph Contr</t>
  </si>
  <si>
    <t xml:space="preserve"> 1,418        PAXS            MEALS               150.00             212,700.00 906           PAXS            SNACKS              30.00              27,188.00                                                                         TOTAL: 239,880.00</t>
  </si>
  <si>
    <t xml:space="preserve"> INVITATION TO BID The Municipal Government of San Narciso, Quezon through its Bids and Award Committee (BAC), invites registered suppliers with DTI, Mayor’s Permit and PhilGEPS, if found eligible, to bid or the hereunder contract: Name of Contract : 	Cons</t>
  </si>
  <si>
    <t xml:space="preserve"> Description	          No.	 Payloader	                   1	 Dump Truck	           1	 Water Truck	           1	 Transit Mixer	           1	 Concrete Vibrator	   1	 Field Engineer	           1	 Construction Foreman   1	 Skilled Worker	           5	 Laborer	 </t>
  </si>
  <si>
    <t xml:space="preserve"> Republic of the Philippines  Province of Samar Municipality of Jiabong Invitation to Bid  For the Installation of 50 KVA Trasnformer Jiab-2020-32A The Municipal Government of Jiabong, Samar, through LGU OF JIABONG   intends to apply the sum of Two Hundred</t>
  </si>
  <si>
    <t xml:space="preserve"> 1 lot Resource Person/Facilitator on Transformational Leadership  MINIMUM QUALIFICATIONS  1. Must have an expertise on the ff: Program Development Organizational Development Leadership Development Strategic Communication Team building Personal Wholistic D</t>
  </si>
  <si>
    <t xml:space="preserve"> Republic of the Philippines  Province of Samar Municipality of Jiabong Invitation to Bid  Emergency Purchase in Response to Covid19 RHU Office Jiab-2020-28A The Municipal Government of Jiabong, Samar, through LGU OF JIABONG   intends to apply the sum of F</t>
  </si>
  <si>
    <t xml:space="preserve"> 1500 yard Coco cloth &amp; 11 others</t>
  </si>
  <si>
    <t xml:space="preserve"> 4 pc. Tire 195R14 &amp; 73 others</t>
  </si>
  <si>
    <t xml:space="preserve"> 10 tray EDTA 0.5ml 100pcs. &amp; 8 others</t>
  </si>
  <si>
    <t xml:space="preserve"> INVITATION TO BID     20-079 Name of Project	:	Disaster Response and Rescue Equipment for Emergency Response Operations of the Provincial Disaster Risk Reduction Management Office (PDRRMO) Location	:	Sta. Cruz, Laguna  Brief Description	:	Various Disaster</t>
  </si>
  <si>
    <t xml:space="preserve"> 1 assy. Steering Pump &amp; 25 others</t>
  </si>
  <si>
    <t xml:space="preserve"> Republic of the Philippines PROVINCE OF DAVAO DEL SUR Matti, Digos City BIDS AND AWARDS COMMITTEE (BAC)  NEGOTIATED PROCUREMENT – TWO FAILED BIDDING Date: June 19, 2020 1.	The Provincial Government of Davao del Sur, through its Bids and Awards Committee (</t>
  </si>
  <si>
    <t xml:space="preserve"> 20 can Stone Sealer finish &amp; 23 others</t>
  </si>
  <si>
    <t xml:space="preserve"> Purchase of 2 unit Laptop use by the Bernadette P. Suelto and Ma. Antonette C. Laud of the Office of the Mun. Budget Officer</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</si>
  <si>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</si>
  <si>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Anodized Frame Glass etc. NOTE:To all suppliers bid documents and BAC Resolution 2020-029 are available at BAC Office and LGU website.</t>
  </si>
  <si>
    <t xml:space="preserve"> 15 tube, ordinary click 50's &amp; 18 others</t>
  </si>
  <si>
    <t xml:space="preserve"> 400 vial Purified Chick Embryo Cell 2.5iu</t>
  </si>
  <si>
    <t xml:space="preserve"> Unit	Quantity Portland Cement	bags	3,024 Washed Sand	cum	168 Gravel 3/4	cum	336 16mm Ø x 6 mm Corr Bar	length	120 1x8x8 Coco Lumber	pc	130 Base Materials	cum	84 Hard Asphalt	kl	90 Shouldering Materials	cum	84</t>
  </si>
  <si>
    <t xml:space="preserve"> REQUEST FOR QUOTATION The Dagupan City Water District through its Bids and Awards Committee (BAC) invites qualified bidders/contractors to send letter of quotation for the following: Name of Project: Supply and Delivery of Motorcycle Maintenance for CAD L</t>
  </si>
  <si>
    <t xml:space="preserve"> 450 pax Meals and Snacks (AM Snacks, Lunch, PM Snacks)</t>
  </si>
  <si>
    <t xml:space="preserve"> Republic of the Philippines  Province of Samar Municipality of Jiabong Invitation to Bid  Emergency Purchase in Response to Covid19 DSWD Office Jiab-2020-31A The Municipal Government of Jiabong, Samar, through LGU OF JIABONG   intends to apply the sum of </t>
  </si>
  <si>
    <t xml:space="preserve"> 40000 booklet Reproduction of IEC Materials 8x11", (8) eight pages, colored re:COVID19</t>
  </si>
  <si>
    <t xml:space="preserve"> Unit	Quantity Submersible Pump 3HP Single Phase	set	1 PE Pipe 1 1/2"Ø SDR11	roll	16 PE Coupling 1 1/2"Ø	pc	15 GI Pipe 1 1/4"Ø Suction Pipe	length	5 GI Pipe 4"Ø Casing	length	6 GI Coupling 1 1/4"Ø France Coupling	pc	4 GI Coupling 4"Ø	pc	5</t>
  </si>
  <si>
    <t xml:space="preserve"> 18000 liter Diesel &amp; 1 other</t>
  </si>
  <si>
    <t xml:space="preserve"> Unit	Quantity Portland Cement	bag	1,300 Washed Sand	cum	73 Washed Gravel G-1	cum	146 2"x4" 6m Steel Form	length	60 16mmØ x 6m Corr Bar	length	45 Hard Asphalt 25kg	bag	20 Sub-Base Materials(Anapog)	cum	38</t>
  </si>
  <si>
    <t xml:space="preserve"> 50 vial Anti Rabies Serum (Equine) 200i.u/ml (1000iu/5ml)</t>
  </si>
  <si>
    <t xml:space="preserve"> Bicol Medical Center Concepcion Pequeña, Naga City, 4400 0998-247-0239/0906-256-9238  E-mail Address: bmc.bacoffice@gmail.com INIVITATION TO BID PROCUREMENT OF ENT EQUIPMENT &amp; INSTRUMENTS ITB No. 2020-12 1. The BICOL MEDICAL CENTER, through SA-CO HFEP 20</t>
  </si>
  <si>
    <t xml:space="preserve"> Unit    Quantity Portland Cement	     bag	337 Washed Sand	             cum	18 Washed Gravel G-1	   cum	36 2"x4" 6m Steel Form	   length	10 10mmØ x 6m Corr Bar   length	208 Tie Wire#16	              kl	5</t>
  </si>
  <si>
    <t xml:space="preserve"> EXTERNAL HARD DRIVES Form Factor: 2.5 inch Capacity: 2 TB Interface: USB 3.0 Dimensions (HxLxW): 11.7mmx114 8mmx78mm System Requirements: Windows 7 or higher or MAC OS X 10.9 or Higher operating system; Available Super Speed USB 3.0 port (required for USB</t>
  </si>
  <si>
    <t xml:space="preserve"> 15 units streetlights</t>
  </si>
  <si>
    <t xml:space="preserve"> 275 kl. Porkchop/Samsam &amp; 6 others</t>
  </si>
  <si>
    <t xml:space="preserve"> Sir/Madam:																																						 																																						 Please quote your government price/s including delivery charges, VAT or other applicable taxes, and other incidental expenses for the goods listed in Annex A.  Failure</t>
  </si>
  <si>
    <t xml:space="preserve"> 6 months   30 seconds/spot at 5 spots/day for 30 days, CY 2020: time slots: between 6am to 4:30PM, with free public service announcements, free ratio guesting once a month, AM station 6 months 30-minute time radio program, twice a month, CY 2020 every 2nd</t>
  </si>
  <si>
    <t xml:space="preserve"> 1.	The Local Government Unit of Las Nieves, through the Budget for the Contract Approved by the Sanggunian (1% LCPC) intends to apply the sum of seventy two thousand and five hundred pesos only (Php 72,500.00) for Lot 1, twenty thousand and five hundred p</t>
  </si>
  <si>
    <t xml:space="preserve"> 22 cart Computer cart 78A &amp; 10 others</t>
  </si>
  <si>
    <t xml:space="preserve"> Republic of the Philippines Province of Cagayan Municipality of Sta. Praxedes BIDS AND AWARDS COMMITTEE	 Invitation to Bid Supply and Delivery of Construction Materials for the Slope Protection @ Star Village Barangay Cadongdongan ITB – Goods – 2020 -06-0</t>
  </si>
  <si>
    <t xml:space="preserve"> FRP Crab Box					 1	Gelcoat			50	Kilogram	23,500.00 2	CSM 300 			30	Kilogram	4,200.00 3	CSM 450			30	Kilogram	4,200.00 4	Lacquer Thinner			10	Gallon	2,300.00 						 	Fabrication Tools					 5	Baby Paint Roller, 3", cotton			10	Piece	1,350.00 6	Cutting Disc</t>
  </si>
  <si>
    <t xml:space="preserve"> INVITATION TO BID FOR THE  INSTALLATION OF TRANSFORMER WITH METERING ACCESSORIES AND MAIN CABLE AT CUYO DISTRICT HOSPITAL (MUNICIPALITY OF CUYO, PALAWAN) 1.	The Provincial Government of Palawan, through its 20% Development Fund (OBR No. 300-20-06-07368) a</t>
  </si>
  <si>
    <t xml:space="preserve"> In relation to Presidential Proclamation Number 929 and 922, the Municipality of Bindoy thru the Office of the Disaster Risk Reduction and Management will Purchase 210 COVID19 Test Kits ( Rapid Diagnostic Test).</t>
  </si>
  <si>
    <t xml:space="preserve"> Please see attached approved Request for Quotation: Food and Accommodation for the participants, facilitators, guests and training staff in the conduct of DAr-BJMP MOU signing on the Enhanced Partnership Against Hunger and Poverty on June 26, 2020. Food (</t>
  </si>
  <si>
    <t xml:space="preserve"> Republic of the Philippines Province of Palawan Municipality of Narra INVITATION TO BID 1.	The Municipal Government of Narra, through Bids and Awards Committee intends to apply the sum of TWO HUNDRED THIRTY-EIGHT THOUSAND (PHP 238,000.00) being the Approv</t>
  </si>
  <si>
    <t xml:space="preserve"> INVITATION TO BID 	The DOH Central Luzon Center for Health Development through its Bids and Awards Committee (BAC), invites suppliers/manufacturers/distributors to bid for the hereunder project: Project	 Project Description	Approved Budget for the Contrac</t>
  </si>
  <si>
    <t xml:space="preserve"> ECG MACHINE WITH THERMAL PAPER</t>
  </si>
  <si>
    <t xml:space="preserve"> *** PLEASE FIND ATTACHED FILE *** ~nothing follows~</t>
  </si>
  <si>
    <t xml:space="preserve"> Invitation to Bid CONSTRUCTION OF RIVERBANK STABILIZATION-REVETMENT Valladolid, Loboc, Bohol 1.	The LGU-Loboc through the Bids and Awards Committee (BAC) would like to invite interested bidders registered with and classified by the Philippine Contractors </t>
  </si>
  <si>
    <t xml:space="preserve"> 1.	The LAND BANK OF THE PHILIPPINES, through its Corporate Budget 2019 for the contract approved by the Board of Directors for 2019 intends to apply the total sum of money below, inclusive of all taxes, being the Approved Budget for the Contract (ABC) Fou</t>
  </si>
  <si>
    <t xml:space="preserve"> INVITATION TO BID FOR THE CONSTRUCTION OF SEWAGE TREATMENT PLANT (NARRA MUNICIPAL HOSPITAL, NARRA, PALAWAN) 1.	The Provincial Government of Palawan, through its 20% Development Fund (OBR No. 300-20-06-07370) account intends to apply the sum of Thee Millio</t>
  </si>
  <si>
    <t xml:space="preserve"> INVITATION TO BID FOR THE CONSTRUCTION OF SEWAGE TREATMENT PLANT (EL NIDO COMMUNITY HOSPITAL, EL NIDO, PALAWAN) 1.	The Provincial Government of Palawan, through its 20% Development Fund (OBR No. 300-20-06-07371) account intends to apply the sum of Thee Mi</t>
  </si>
  <si>
    <t xml:space="preserve"> INVITATION TO BID FOR THE CONSTRUCTION OF SEWAGE TREATMENT PLANT (BATARAZA DISTRICT HOSPITAL BATARZA, PALAWAN) 1.	The Provincial Government of Palawan, through its 20% Development Fund (OBR No. 300-20-06-07369) account intends to apply the sum of Thee Mil</t>
  </si>
  <si>
    <t xml:space="preserve"> PR No. 2020-06-0051 - Supply and delivery of 3,000 liters Diesel Fuel for use in the various service vehicles and equipment in Planning &amp; Design Section.</t>
  </si>
  <si>
    <t xml:space="preserve"> PR No. 2020-06-0050 - Supply and delivery of 5,000 liters Diesel Fuel for use in the various service vehicles and equipment in Maintenance Section.</t>
  </si>
  <si>
    <t xml:space="preserve"> 1. The Authority of the Freeport Area of Bataan (AFAB) through its Bids and Awards Committee (BAC) invites suppliers to apply for eligibility and to participate in the bidding for the above-mentioned project in accordance with the Revised Implementing Rul</t>
  </si>
  <si>
    <t xml:space="preserve"> PR No. 2020-06-0052 - Supply and delivery of 2,000 liters Diesel Fuel for use in the various service vehicles and equipment in Construction Section.</t>
  </si>
  <si>
    <t xml:space="preserve"> PR No. 2020-06-0048 - Supply and delivery of 156 pieces Long Sleeves neon orange T-Shirt with dark blue sleeves, DPWH Logo at front upper left side and DPWH MAINTENANCE print at the back (sizes: 2XL, XL, L) and nine (9) other items for use in the Roadside</t>
  </si>
  <si>
    <t xml:space="preserve"> PR No. 2020-06-0047 - Supply and delivery of 400 bags Thermoplastic Paint (white) and five (5) other items for use in the centerline/edgeline repainting along DSR, DCVBR, SCPTR, BMR and BKR.</t>
  </si>
  <si>
    <t xml:space="preserve"> PR No. 2020-06-0053 - OUTSIDE JOB ORDER- To furnish labor and materials for the repair of Mitsubishi Strada SJC-118 - Maintenance Section.</t>
  </si>
  <si>
    <t xml:space="preserve"> open/close canal</t>
  </si>
  <si>
    <t xml:space="preserve"> PR No. 2020-06-0049 - Supply and delivery of 3,000 liters Unleaded Gasoline for use in the various service vehicles and equipment in Maintenance Section.</t>
  </si>
  <si>
    <t xml:space="preserve"> concrete works</t>
  </si>
  <si>
    <t xml:space="preserve"> water pipelines</t>
  </si>
  <si>
    <t xml:space="preserve"> Republic of the Philippines Province of Leyte Municipality of Palo  BARANGAY ARADO INVITATION TO BID SUPPLY AND DELIVERY OF RESPONSE VEHICLE FOR BARANGAY USE 1.	The Local Government Unit of Barangay Arado Palo, Leyte through its General Fund - Capital Out</t>
  </si>
  <si>
    <t xml:space="preserve"> Ceiling electrical, painting, flooring</t>
  </si>
  <si>
    <t xml:space="preserve"> ITEM NO.	ITEM AND DESCRIPTION	QUANTITY	UNIT 1	Stand Fan	2	unit 2	Ceiling Fan	10	unit 3	Monobloc Chair	200	piece</t>
  </si>
  <si>
    <t xml:space="preserve"> ITEM NO.	ITEM AND DESCRIPTION	QUANTITY	UNIT	UNIT PRICE 1	STEEL WORKS			 1.1	*STEEL FRAMES			 	Angle Bar, 1.5x1.5x4.5m	45	lengths	 	Welding Rod, 6013	11	kilo	 	Red Oxide Primer	1	gallon	 	Paint Thinner	1	gallon	 	QDE Paint	1	gallon	 	Welding Rod, 6011	5	ki</t>
  </si>
  <si>
    <t xml:space="preserve"> INVITATION TO BID IB NO: 2020-07-16 (13) PROCUREMENT OF 3 UNITS OF ELECTRICAL DISTRIBUTION TRANSFORMER, 100 KVA 1. 	The Caraga Regional Hospital (CRH), through the General Appropriation Act /  HEALTH FACILITIES ENHANCEMENT PROGRAM (HFEP)   intends to appl</t>
  </si>
  <si>
    <t xml:space="preserve"> OPENING OF BIDS IN DSWD FO IX ZAMBOANGA CITY							 DELIVERY IN DSWD-PCDP MAMPANG ZAMBOANGA CITY							 PROCUREMENT FOR THE FF.: 1 LOT AWARD	FOR MEDICAL SUPPLIES						 							 50	box	DISPOSABLE MASK, 3 PLY LAYER					 50	pc	N-95 FACE MASK					 5	box	HAIR N</t>
  </si>
  <si>
    <t xml:space="preserve"> reinforced concrete</t>
  </si>
  <si>
    <t xml:space="preserve"> Acquisition of Municipal Equipment for Engineering Office (other Machinery and Equipment) LOT 1 - ACQUISITION OF MUNICIPAL EQUIPMENT FOR ENGINEERING OFFICE LOT 2 - Other Machinery and Equipment **PLEASE REFER TO THE ATTACHED PURCHASE REQUEST AT THE ASSOCI</t>
  </si>
  <si>
    <t xml:space="preserve"> Bicol Medical Center Concepcion Pequeña, Naga City, 4400 0998-247-0239/0906-256-9238  E-mail Address: bmc.bacoffice@gmail.com INIVITATION TO BID PROCUREMENT OF ONE (1) UNIT 2D-ECHO MACHINE ITB No. 2020-11 1. The BICOL MEDICAL CENTER, through INCOME inten</t>
  </si>
  <si>
    <t xml:space="preserve"> Republic of the Philippines CARAGA Administrative Region PROVINCE OF DINAGAT ISLANDS San Jose, Dinagat Islands Bids AND AWARDS COMMITTEE Invitation to Bid  Project Name: 	CONSTRUCTION OF POTABLE WATER SYSTEM, NEW NAZARETH, BASILISA Location: Brgy. New Naz</t>
  </si>
  <si>
    <t xml:space="preserve"> Republic of the Philippines CARAGA Administrative Region PROVINCE OF DINAGAT ISLANDS San Jose, Dinagat Islands Bids AND AWARDS COMMITTEE Invitation to Bid  Project Name: 	CONCRETING OF ROAD LEADING TO WOMEN AND CHILDREN CRISIS AND DEVELOPMENT CENTER (WCCD</t>
  </si>
  <si>
    <t xml:space="preserve"> Republic of the Philippines CARAGA Administrative Region PROVINCE OF DINAGAT ISLANDS San Jose, Dinagat Islands Bids AND AWARDS COMMITTEE Invitation to Bid  Project Name: 	CONCRETING OF PROVINCIAL ROAD (PAMOQS SECTION) Location: Libjo, Dinagat Islands 1.	T</t>
  </si>
  <si>
    <t xml:space="preserve"> 1500 pc. Tshirt with print (asstd. in sizes)</t>
  </si>
  <si>
    <t xml:space="preserve"> 5	can	talong 5	pack	ampalaya 2	pack	pipino 2	sack	urea 2	sack	potassium</t>
  </si>
  <si>
    <t xml:space="preserve"> Republic of the Philippines CARAGA Administrative Region PROVINCE OF DINAGAT ISLANDS San Jose, Dinagat Islands Bids AND AWARDS COMMITTEE Invitation to Bid  Project Name: 	CONCRETING OF ACCESS ROAD, PUROK 1 TO PUROK 4, LLAMERA, LIBJO Location: Brgy. Llamer</t>
  </si>
  <si>
    <t xml:space="preserve"> Construction of Drainage Canal (0.60m x 0.80m x75.0m) Open Drainage Canal with Cantilever beam (0.15m x .10m) &amp; Column (0.10m x 0.20m) every 3.0 meters</t>
  </si>
  <si>
    <t xml:space="preserve"> 24BOT      ALCOHOL  24PCK      TOILET TISSUE 24BOX	STAPLE WIRE HEAVY DUTY 23/13	 24BOX	STAPLE WIRE STANDARD 26/6	 24ROLL	TAPE TRANSPARENT 24MM	 24ROLL	TAPE TRANSPARENT 48MM	 23PCS	RULER PLASTIC 18''	 2PCS	        FLASH DRIVE	 24PCS 	CORRECTION TAPE	 5PCS	</t>
  </si>
  <si>
    <t xml:space="preserve"> Republic of the Philippines CARAGA Administrative Region PROVINCE OF DINAGAT ISLANDS San Jose, Dinagat Islands Bids AND AWARDS COMMITTEE Invitation to Bid  Project Name: 	CONSTRUCTION OF POTABLE WATER SYSTEM, (Sitio Melody, Sitio Payo-Payo, Sitio Katipuna</t>
  </si>
  <si>
    <t xml:space="preserve"> Procurement of Consultancy Services for the Preparation of RAPID Regional Strategic Investment Plan for Cacao in Region 9 Rural Agro-enterprise Partnership for    Inclusive Development and Growth    Project (RAPID) Regional Strategic Investment Plan (RSIP</t>
  </si>
  <si>
    <t xml:space="preserve"> INVITATION TO BID 1.	The Santa Maria Water District (SMWD) intends to apply the sum of ONE MILLION THREE HUNDRED TWENTY THOUSAND PESOS (P1,320,000.00) being the Approved Budget for the Contract (ABC) to payments under the contract for the “Supply and Deli</t>
  </si>
  <si>
    <t xml:space="preserve"> Republic of the Philippines CARAGA Administrative Region PROVINCE OF DINAGAT ISLANDS San Jose, Dinagat Islands Bids AND AWARDS COMMITTEE Invitation to Bid  Project Name: 	CONSTRUCTION OF POTABLE WATER SYSTEM, SERING, BASILISA Location: Brgy. Sering, Basil</t>
  </si>
  <si>
    <t xml:space="preserve"> REQUEST FOR QUOTATION Office Supplies Expenses (PCADG-5020301000-1069-2020) 1.	The Philippine National Police Community Affairs and Development Group, through its Bidsand Awards Committee(BAC), will undertakea Small Value Procurement (SVP) for the procure</t>
  </si>
  <si>
    <t xml:space="preserve"> PLEASE SUBMIT QUOTATION AS PER ATTACHED RFQ</t>
  </si>
  <si>
    <t xml:space="preserve"> NOTICE OF NEGOTIATED PROCUREMENT (Small Value Procurement) PNOC Exploration Corporation (PNOC EC), through its 2020 Corporate Budget, has an Approved Budget for the Contract (ABC) of Three Hundred Ninety One Thousand Pesos (Php391,000.00), inclusive of al</t>
  </si>
  <si>
    <t xml:space="preserve"> 1. Auto Bench Planer                                                                 1 piece Specifications:  Continuous rating input; 1,650W Cutting width: 304mm (12") Cutting depth: Cutting width 0-150 mm: 3 mm (1/8) Cutting width 140-240mm: 1.5mm (1/6"</t>
  </si>
  <si>
    <t xml:space="preserve"> Unit	Quantity Portland Cement	bag	2,160 Washed Sand	cum	120 Washed Gravel G-1	cum	240 2"x4" 6m Steel Form	length	60 16mmØ x 6m Corr Bar	length	300 Hard Asphalt 25kg	bag	20</t>
  </si>
  <si>
    <t xml:space="preserve"> 22 units</t>
  </si>
  <si>
    <t xml:space="preserve"> -Support Pandemic essential supplies and worksheets for learners and teachers</t>
  </si>
  <si>
    <t xml:space="preserve"> Republic of the Philippines City of Alaminos Province of Pangasinan BARANGAY BISOCOL INVITATION TO BID FOR THE CONSTRUCTION OF LINE CANAL AT  BARANGAY BISOCOL, ALAMINOS CITY, PANGASINAN 1. The BARANGAY COUNCIL OF BISOCOL, ALAMINOS CITY, PANGASINAN through</t>
  </si>
  <si>
    <t xml:space="preserve"> One (1) Lot - Provision of a Maintenance Services for the Generator Set of Pag-IBIG Fund Calamba Hub from July to December 2020 - Quarterly Maintenance - Semi-Annual Maintenance</t>
  </si>
  <si>
    <t xml:space="preserve"> Purchase of 55 sacks of Rice</t>
  </si>
  <si>
    <t xml:space="preserve"> INVITATION TO BID FOR THE  CONSTRUCTION OF PERIMETER FENCE IN QUEZON MEDICARE HOSPITAL (MUNICIPALITY OF QUEZON, PALAWAN) 1.	The Provincial Government of Palawan, through its 20% Development Fund (OBR No. 300-20-06-07367) account intends to apply the sum o</t>
  </si>
  <si>
    <t xml:space="preserve"> One (1) Lot - Provision for General Pest Control of Pag-IBIG Fund Lipa Branch located at 3MJ Building Brgy. Marawoy, Lipa City Batangas for the year 2020</t>
  </si>
  <si>
    <t xml:space="preserve"> TO ALL ELLIGIBLE BIDDERS:       The Barangay Sudlon, Municipality of Molave, through the Bids and Award Committee now invite bids for the Construction of Waiting Shed at Purok Domingo in this barangay. Likewise, intends to apply the sum of Php62,479.00 th</t>
  </si>
  <si>
    <t xml:space="preserve"> REQUEST FOR QUOTATION Other Supplies &amp; Materials Expenses (PCADG-5020399000-1072-2020) 1.	The Philippine National Police Community Affairs and Development Group, through its Bidsand Awards Committee(BAC), will undertakea Small Value Procurement (SVP) for </t>
  </si>
  <si>
    <t xml:space="preserve"> Republic of the Philippines Department of Education Region V SCHOOLS DIVISION OFFICE OF CAMARINES SUR 	 INVITATION TO BID Project No.: 2020-06-02 The Department of Education (DepED) Schools Division Office of Camarines Sur, through the OSEC-5-20-0208, int</t>
  </si>
  <si>
    <t xml:space="preserve"> 1 Lot Dx-Transformer 100 KVA, Conventional Type Specifications: The specification covers the electrical, mechanical and performance requirements for single phase, mineral oiled filled, overhead type distribution transformer for the use  on 13,200/7,620 Vo</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</si>
  <si>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</si>
  <si>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Republic of the Philippines PROVINCE OF NEGROS ORIENTAL Municipality of Basay Office of the Municipal Engineer/BAC Chairman INVITATION TO BID 	The Municipality of Basay, Negros Oriental thru its Bids and Awards Committee (BAC) invites interested suppliers</t>
  </si>
  <si>
    <t xml:space="preserve"> REQUEST FOR QUOTATION Office Supplies  Expenses (PCADG-5020301000-1071-2020) 1.	The Philippine National Police Community Affairs and Development Group, through its Bids and Awards Committee(BAC), will undertake a Small Value Procurement (SVP) for the proc</t>
  </si>
  <si>
    <t xml:space="preserve"> NOTICE OF PROCUREMENT OF GOODS THROUGH ALTERNATIVE METHOD OF PROCUREMENT (AMP-06-2020-010) 	Notice is hereby given that the Department of Public Works and Highways, Batangas IV District Engineering Office, Marawoy, Lipa City will conduct Shopping on _____</t>
  </si>
  <si>
    <t xml:space="preserve"> TERMS AND CONDITIONS:						 1. All entries must be typewritten or legibly written. 					 2. Delivery period within ________3 days____________________ upon receipt  of the approved  funded Purchase Order (P.O.).   				 3. Warranty shall be for a minimum of</t>
  </si>
  <si>
    <t xml:space="preserve"> REQUEST FOR QUOTATION  STOCK NO.    UNIT    ITEM DESCRIPTION            QTY. 01                 box     Hand Soap                            2 02                 box     Disinfectant Soap                   2 03                 gal      Disinfectant Soluti</t>
  </si>
  <si>
    <t xml:space="preserve"> Republic of the Philippines Province of zamboanga Sibugay Municipality of Olutanga 7014 November 26, 2019 NOTICE TO THE PUBLIC REPOSTING INVITIATION TO APPLY FOR ELIGIBILITY AND TO BID All interested bidders are invited to Pre-qualify and participate in s</t>
  </si>
  <si>
    <t xml:space="preserve"> PHIVIDEC INDUSTRIAL AUTHORITY MCT Complex, Tagoloan, Mis. Oriental Tel Nos: (08822) 740245, (088) 5670-315 email add: procurement@piamo.gov.ph or pia.bacsec@gmail.com PROCUREMENT MODE: SVP Standard Form Number: SF-GOOD-60 Revised on: October 2016 Standard</t>
  </si>
  <si>
    <t xml:space="preserve"> TERMS AND CONDITIONS:						 1. All entries must be typewritten or legibly written. 					 2. Delivery period within ________3 days____________________ upon receipt of the approved  funded Purchase Order (P.O.).   				 3. Warranty shall be for a minimum of </t>
  </si>
  <si>
    <t xml:space="preserve"> Flight Case with audio mixer rack (2) units 3.5 mm to XLR audio cable; male to male; 5 mtrs (2) units 10 meters long extension cable; 4 gangs; universal (2) units Snake cable; 4 channels; 30 mtrs; Heavy duty (1) Unit Eneloop Pro AA Rechargeable battery (8</t>
  </si>
  <si>
    <t xml:space="preserve"> REQUEST FOR QUOTATION Printing &amp; Publication Expenses (PCADG-5029902000-1073-2020) 1.	The Philippine National Police Community Affairs and Development Group, through its Bidsand Awards Committee(BAC), will undertakea Small Value Procurement (SVP) for the </t>
  </si>
  <si>
    <t xml:space="preserve"> CONSTRUCTION</t>
  </si>
  <si>
    <t xml:space="preserve"> CONSTRUCTION OF PATHWAY AND INSTALLATION OF CANOPY</t>
  </si>
  <si>
    <t xml:space="preserve"> ITEM	ITEM &amp; DESCRIPTION					QTY.	Unit of Issue	UNIT	TOTAL NO.								PRICE	PRICE 	Fogging Machine								 1	Weight empty                                  7kg					1	Unit		 	Size (length x breadth x height)       106x29x33 cm								 	Capacity of chemical t</t>
  </si>
  <si>
    <t xml:space="preserve"> INVITATION TO BID 1.	The Santa Maria Water District (SMWD) intends to apply the sum of TWO MILLION NINE HUNDRED FIFTY THOUSAND PESOS (P2,950,000.00) being the Approved Budget for the Contract (ABC) to payments under the contract for the “Supply and Delive</t>
  </si>
  <si>
    <t xml:space="preserve"> Request for Quotation RFQ No.		SVP-009-2020 MR No.		10067 Requisition No. 	MLS-20-028 Posting Date:         	June 16, 2020 Deadline for Submission:		June 22, 2020 at 9:00 AM Opening Date:	June 22, 2020, 2020 at 10:00 AM TO:	Name of Supplier:______________</t>
  </si>
  <si>
    <t xml:space="preserve"> 9 pcs Battery, 3SMF 2 pcs Battery, Pen Post, Reversible</t>
  </si>
  <si>
    <t xml:space="preserve"> The Motor Pool Section of the Court, through the Procurement Section, invites interested motor shops to submit cost estimates for Kilometer check-up, etc. of a TOYOTA HI-ACE with Plate#SEW 194. PLEASE DOWNLOAD ATTACHED DOCUMENT NOTE: Cost may vary dependi</t>
  </si>
  <si>
    <t xml:space="preserve"> Republic of the Philippines                                                     Province of Aklan                                                  Municipality of Kalibo                                                  INVITATION TO BID                   </t>
  </si>
  <si>
    <t xml:space="preserve"> Medical and Dental Equipment Approved Budget for the Contract:  Php 86,000.00    (inclusive of VAT)           1.  Portable High Efficiency Particulate  Air Filter Machine (HEPA)  2 Units  @P30,000.00/unit ABC : Php60,000.00 2.  Ultraviolet Germicidal Irra</t>
  </si>
  <si>
    <t xml:space="preserve"> Fixteen (15) box Ball pen blue 50pcs/box and thirty eight (38) other L/I</t>
  </si>
  <si>
    <t xml:space="preserve"> Items Quantity / Units 1.honey combi safety vault 1 unit Combination + key vault Fire proof External dimension 18.75x16.90x18.50 Internal dimension 13.75x12.75x12.40 Weight 70kgs PRICE QUOTATION/S SHOULD BE PRINTED ON COMPANY’S OFFICIAL LETTERHEAD TOGETHE</t>
  </si>
  <si>
    <t xml:space="preserve"> IMPROVEMENT OF MULTI-PURPOSE BUILDING AT CORDON, ISABELA.</t>
  </si>
  <si>
    <t xml:space="preserve"> 1. Milking Machine (2 buckets, 220 volts)                                 2 sets</t>
  </si>
  <si>
    <t xml:space="preserve"> Republic of the Philippines BATANGAS STATE UNIVERSITY Batangas City REQUEST FOR QUOTATION "Procurement of Customized Medal for Integrated School" 1. The Batangas State University (BatState U) through the Bids and Awards Committee invites interested firms/</t>
  </si>
  <si>
    <t xml:space="preserve"> INVITATION TO BID  Purchase &amp; Delivery of One (1) Unit Service Utility Vehicle for PGSO  June 23, 2020 1.	The Provincial Government of Sarangani, through the AB CY 2020 intends to apply the sum of One Million Seven Hundred Thousand Pesos Only (P 1,700,000</t>
  </si>
  <si>
    <t xml:space="preserve"> Request for Quotation RFQ No.		SVP-013-2020 MR. No.		11163 Requisition No.	BLDG-027-2020 Posting Date:         	June 23, 2020 Deadline for Submission:		June 29, 2020 at 9:00 AM Opening Date:	June 29, 2020 at 10:00 AM TO:	Name of Supplier:_________________</t>
  </si>
  <si>
    <t xml:space="preserve"> Submission of Quotation on a sealed envelope submit it to  UPLB BAC Secretariat SPMO Rambutan, Road. Telephone No. (049) 544-0382  or Email at bacsec.rq@gmail.com</t>
  </si>
  <si>
    <t xml:space="preserve"> CATERING SERVICES Habitat Assessment: Monitoring of Mangroves, Corals and Seagrass Ecosystems July 6-10, 2020 Three (3) Meals and Two (2) Snacks 21 pax/day for 5 Days Guiuan, Eastern Samar</t>
  </si>
  <si>
    <t xml:space="preserve"> ITEM DESCRIPTION  19 bot. insecticide  164 bot. alcohol 70%  64 pack tissue, 2 ply 50 bot. air freshener 15 pcs tape electrical 25 pcs broom soft 32 pcs broom stick 30 pouch detergent powder 12 bar detergent bar 34 bot. disinfectant spray  12 bot. glass c</t>
  </si>
  <si>
    <t xml:space="preserve"> REQUEST FOR QUOTATION No. 2020-366                                                                                                                                 	   Request Reference Number: 100-20-04-203         Date: June 23, 2020 Pursuant to R.A. 918</t>
  </si>
  <si>
    <t xml:space="preserve"> 2 Units Industrial UV Light 4 Fluorescent Bulb (for disinefection)</t>
  </si>
  <si>
    <t xml:space="preserve"> 2 units - DESKTOP COMPUTER  MINIMUM SPECS : - I3 Processor - 8GB Memory - 1 TB HDD -2 GB Graphics Card 2 units PRINTER  SPECS: -3 IN 1 - CIS</t>
  </si>
  <si>
    <t xml:space="preserve"> 6 Pcs Bulb F30 T8 GL for UV Light  10 doz Natural Absorbable Catgut Chrom size: 2 round taper</t>
  </si>
  <si>
    <t xml:space="preserve"> INVITATION TO BID FOR THE  SUPPLY AND DELIVERY OF ISOLATION GATE VALVES AND FITTINGS FOR AIR SCOURING IMPLEMENTATION 1.	The Dagupan City Water District, through the Budget 2020 intends to apply the sum of One Million Four Hundred Thirty Five Thousand Seve</t>
  </si>
  <si>
    <t xml:space="preserve"> 2200 Liters Diesel Fuel 7 Liters Oil Forte</t>
  </si>
  <si>
    <t xml:space="preserve"> Submission of Quotation on a sealed envelope submit it to  UPLB BAC Secretariat SPMO Rambutan, Road. Telephone No. (049) 544-0382 or Email at bacsec.rq@gmail.com</t>
  </si>
  <si>
    <t xml:space="preserve"> 1.) ONE (1) UNIT HEAVY DUTY BILL COUNTER (CONSOLE TYPE) * Warranty : Two (2) years comprehensive warranty (free parts &amp; labor) * Delivery : Land Bank of the Philippines, Roxas City (Capiz) Branch, P. Gomez St., Roxas City, Capiz x x x x x x x x x x x X NO</t>
  </si>
  <si>
    <t xml:space="preserve"> Procurement of four hundred (400) pcs Folder &amp; Eighty Seven Other Line items</t>
  </si>
  <si>
    <t xml:space="preserve"> PURCHASE REQUEST								 Balingasag Water District, Balingasag, Misamis Oriental								 Agency								 Department:		Balingasag Water District			PR No. 	20-06-002	Date:	6/15/2020 		Balingasag, Misamis Oriental			SAI No.: 		Date:	 Section:								 ADMIN			</t>
  </si>
  <si>
    <t xml:space="preserve"> 34mx24m</t>
  </si>
  <si>
    <t xml:space="preserve"> 10 Months Preventive Maintenance of one (1) unit Mitsubishi Passenger Elevator starting March 2020 to December 2020 Frequency of Maintenance: 1 per month Control system : HVE-YB Operation System : 2BC Capacity : 750 kgs. (11 person) Speed : 30 mpm No. of </t>
  </si>
  <si>
    <t xml:space="preserve"> 2	Sets	Mega tent 40x60ft with installation 1	Set	Mega tent rental ( for 85days)</t>
  </si>
  <si>
    <t xml:space="preserve"> Description and Specification of Items can be obtained at the Supply Office of TESDA Negros Occidental Provincial Office</t>
  </si>
  <si>
    <t xml:space="preserve"> Construction Materials:       170     pcs.     10mm dia. RSB      230     pcs.     12mm dia. RSB       20     kls.       Tie Wire        4      pcs.      2x2x12 Lumber        5      pcs.      1/4" Ord. Plywood     3,000   pcs.      4"x8"x16" CHB        7 </t>
  </si>
  <si>
    <t xml:space="preserve"> 1 unit Specs: Intel Core i-3 8th Gen., Processor 2.3 ghz AMD Radeon 520, 2GB GDDR5 Graphics, 4GB DDR4 Memory 1 TB Hard Drive, WIFI, 14" HD Anti Glare LED Display Bluetooth, Card Reader, HD Webcam Laptop Bag, Licensed Microsoft Windows 10 1 unit Epson 3 in</t>
  </si>
  <si>
    <t xml:space="preserve"> The National Center for Mental Health (NCMH) is inviting all Phil-GEPS registered to apply the Invitation to Bid for RENTAL / LEASE OF 180 UNITS OF DESKTOP COMPUTERS (6 MONTHS) CY 2020. (Complete Specifications are indicated in the Techinical specificatio</t>
  </si>
  <si>
    <t xml:space="preserve"> REQUEST FOR QUOTATION (RFQ)  SUPPLY AND DELIVERY OF CD ONLINE READING MATERIALS  UNDER EMB-LEGAL- RFQ NO. EMB-LEGAL-SHOPPING-CD ONLINE READING-0031-6-01-2020   1.	The Department of Environment and Natural Resources – Environmental Management Bureau (DENR-</t>
  </si>
  <si>
    <t xml:space="preserve"> pcs	rechargeable lead acid battery - 12V - 7.2 Ah ( UPS Battery )	80	1,050.00	84,000.00</t>
  </si>
  <si>
    <t xml:space="preserve"> INVITATION TO BID  Purchase &amp; Delivery of One (1) Unit Ambulance  for DCMMH June 23, 2020 1.	The Provincial Government of Sarangani, through the Trust Fund – Philhealth Collection  intends to apply the sum of Four Million Five Hundred Thousand Pesos Only </t>
  </si>
  <si>
    <t xml:space="preserve"> INVITATION TO BID  Purchase &amp; Delivery of One (1) Unit Service Utility Vehicle for PGO  June 23, 2020 1.	The Provincial Government of Sarangani, through the AB CY 2020 intends to apply the sum of One Million Seven Hundred Thousand Pesos Only (P 1,700,000.</t>
  </si>
  <si>
    <t xml:space="preserve"> Procurement of Office Supplies				 				 Purchase Requested by the City General Services Office, Tabaco City				 				 To Interested Suppliers, Manufacturers and Distributors,				 				 Please quote your lowest price/s on the lot or item/s  below, subject to</t>
  </si>
  <si>
    <t xml:space="preserve"> Standard Form Number: SFGOOD60 Revised on: May 24, 2004 Standard Form Title: Request for Quotation Date: June 22, 2020  Quotation No. 20-06-0343 Purchase Request No. 20-06-698 __________________________ Company Name ___________________________ Address Ple</t>
  </si>
  <si>
    <t xml:space="preserve"> The AGRICULTURAL TRAINING INSTITUTE-REGIONAL TRAINING CENTER (ATI-RTC) X, through the 2020 General Appropriations Act intends to apply the sum of Fourteen Thousand Pesos (P 14,000.00) being the Approved Budget for the Contract (ABC) to payments under the </t>
  </si>
  <si>
    <t xml:space="preserve"> The National Center for Mental Health (NCMH) is inviting all Phil-GEPS registered to apply the Invitation to Bid for PEST CONTROL OUTSOURCING SERVICE CY 2020. (Complete Specifications are indicated in the Techinical specification / Terms of Reference). 	 </t>
  </si>
  <si>
    <t xml:space="preserve"> FOTON AMBULANCE  2 	pcs.	Universal Cross Joint Assy.  1 	unit	Alternator Repair  1 	set	Brake Pad  1 	set	Brake shoe w/ Lining  1 	set	Brake Master Repair kit  1 	qrt.	Brake Fluid  2 	pcs.	Rack End 555 Japan  2 	pcs.	Stabilizer  1 	ltr.	Brake Fluid  1 	pc</t>
  </si>
  <si>
    <t xml:space="preserve"> NOTICE OF PROCUREMENT OF GOODS THROUGH ALTERNATIVE METHOD OF PROCUREMENT (AMP-06-2020-009) 	Notice is hereby given that the Department of Public Works and Highways, Batangas IV District Engineering Office, Marawoy, Lipa City will conduct Shopping on _____</t>
  </si>
  <si>
    <t xml:space="preserve"> Stock NO.	Unit	DESCRIPTION				Qty 						 1	Unit	Laptop AMD Ryzen 5 Nitros, 4GB DDR4 memory, 4Gb RX560x				2 		VRAM, 120 Gb SDD, 1TB HDD, 15.6 FHD LED Display				 2	Unit	Single Printer with CISS				1</t>
  </si>
  <si>
    <t xml:space="preserve"> 1. Plankton Collector (8 inches with collector vessel)                         2 sets 2. Fishing Bait Trap Dip Net Cage Cran Minnow Crawdad Shrimp (foldable)        6 pieces 3. Foldable Waterproof Flood Proof Rain Boot shoe cover for women                </t>
  </si>
  <si>
    <t xml:space="preserve"> 60 pails Powder Chlorine, 65% available chlorine as calcium hypochlorite Approved Budget Cost: ₱13,509.00/pail x x x x x This is a two (2) envelope system: Envelope “A” to contain the following; among others: A.) A refundable bid bond in the form of cash,</t>
  </si>
  <si>
    <t xml:space="preserve"> Procurement of Consultancy Services for the Preparation of RAPID Regional Strategic Investment Plan for Coffee in Region 9 Rural Agro-enterprise Partnership for    Inclusive Development and Growth    Project (RAPID) Regional Strategic Investment Plan (RSI</t>
  </si>
  <si>
    <t xml:space="preserve"> 1,500 pcs. Diploma Jacket</t>
  </si>
  <si>
    <t xml:space="preserve"> PLS. DOWNLOAD ASSOCIATED COMPONENTS RE: LIST OF MATERIALS, SPECS &amp; QUANTITY</t>
  </si>
  <si>
    <t xml:space="preserve"> gal.	latex paint - gloss , white	48	840.00	40,320.00 gal.	latex paint - flat , white	32	560.00	17,920.00 bags	patching compound - 20 kg/bag	4	460.00	1,840.00 pcs	paint roller - big , cotton	6	85.00	510.00 pcs	paint roller - baby , cotton	20	40.00	800.00 g</t>
  </si>
  <si>
    <t xml:space="preserve"> Republic of the Philippines CITY OF MARIKINA SF-GOOD-05 Revised on: July 28, 2004				 													Mkna-GSO-20-276	 	BIDS AND AWARDS COMMITTEE		 NOTICE OF PROPOSED PROCUREMENT The City Government of Marikina, through its Bids and Awards Committee (BAC), w</t>
  </si>
  <si>
    <t xml:space="preserve"> Tires 205/65R15 4 pcs Pls. submit your quotation thru email:  mi_lynsn@yahoo.com x-x-x-x-x-x-x-x-x-x-x-x-x-x-x-x-x Total ABC  (in PhP) 26,000.00</t>
  </si>
  <si>
    <t xml:space="preserve"> INVITATION TO BID Bid Reference No.  ____________ PURCHASE OF FUEL FOR THE SECOND QUARTER (REBIDDING) Approved Budget for the Contract (ABC):  Php 304,000.00 1.	The Municipal Government Unit of Initao, Misamis Oriental intends to apply the sum of : Three </t>
  </si>
  <si>
    <t xml:space="preserve"> 140 gallons disinfectant</t>
  </si>
  <si>
    <t xml:space="preserve"> Republic of the Philippines Province of Davao de Oro BIDS AND AWARDS COMMITTE Cabidianan, Nabunturan, Davao de Oro ITB No. 20-023 June 17, 2020 INVITATION TO BID  FOR  THE Procurement of the following service vehicles 1.) Seven (7) units crossover utility</t>
  </si>
  <si>
    <t xml:space="preserve"> Fabrication &amp; Installation of 2 units Sidecars</t>
  </si>
  <si>
    <t xml:space="preserve"> Invitation to Bid for Installation of  Street Lights (17units) The Barangay Bulilis, through the Municipal Fund CY 2019 intends to apply the sum of Eighty Thousand Three Hundred Thirty Three Pesos (P 80,393.00) being the Approved Budget for the Contract (</t>
  </si>
  <si>
    <t xml:space="preserve"> The City Government of San Pedro, Laguna invites interested parties to quote for the following item/s as per request Deped: 400	ream	Bond Paper (short) 400	ream	Bond Paper (long) 94	ream	A4 Bond Paper Forms can be obtained from the BAC Secretariat startin</t>
  </si>
  <si>
    <t xml:space="preserve"> Standard Form Number: SF-GOODS-05 Revised on: July 29, 2004        Republic of the Philippines Province of Nueva Ecija Municipality of Bongabon INVITATION TO BID The Municipal Government of Bongabon, Nueva Ecija, through its Bids and Awards Committee (BAC</t>
  </si>
  <si>
    <t xml:space="preserve"> TO ALL INTERESTED BIDDERS/SUPPLIER: Please be informed that the Opening of Bid Quotations will be on June 26, 2020, 8:00AM at Gold Confrence Hall, Division Office, Schools Division of Compostela Valley. Please be informed further that it is required to su</t>
  </si>
  <si>
    <t xml:space="preserve"> Medicine</t>
  </si>
  <si>
    <t xml:space="preserve"> EQUIPMENT RENTAL</t>
  </si>
  <si>
    <t xml:space="preserve"> BASIC SANITATION TUNNEL			1	unit SPECIFICATIONS:				  - DIMENSION:				    120 cm (W) x 200 cm (D) x 230 cm (H)				  - Automatic start &amp; stop nano mist sprayer nozzles				    (PIR motion sensor installed)				  - Basic aluminum framing				  - Wrapped with P</t>
  </si>
  <si>
    <t xml:space="preserve"> 12	ROLL	16 MM Ø PE PIPE SDR 11 300M/ ROLL 6	PCS	16 MM PE COUPLING 10	PCS	16 MM X ½ PE MALE ADAPTOR 6	PCS	½’’ GI COUPLING 10	PCS	FAUCET 2    ROLL TEFLON TAPE</t>
  </si>
  <si>
    <t xml:space="preserve"> REQUEST FOR QUOTATION Other Supplies &amp; Materials Expenses (PCADG-5020399000-1070-2020) 1.	The Philippine National Police Community Affairs and Development Group, through its Bidsand Awards Committee(BAC), will undertakea Small Value Procurement (SVP) for </t>
  </si>
  <si>
    <t xml:space="preserve"> RFQ 20-06-060, VINYL FLOOR STICKER</t>
  </si>
  <si>
    <t xml:space="preserve"> RFQ 20-06-062 CORE i3 (QUAD CORES/ 4 THREADS, 3.7 GHz, 3Mb cache</t>
  </si>
  <si>
    <t xml:space="preserve"> Quantity	Unit		Description			 129		sets	Seminar Kits         ( pencil, ballpen, notebook)                            			 8		sets	3  in 1 Printer                            			 15		pcs	Scotch tape 33m                                           			 115		ream</t>
  </si>
  <si>
    <t xml:space="preserve"> REQUEST FOR QUOTATION Office Supplies Expenses (PCADG-5020301000-1074-2020) 1.	The Philippine National Police Community Affairs and Development Group, through its Bidsand Awards Committee(BAC), will undertakea Small Value Procurement (SVP) for the procure</t>
  </si>
  <si>
    <t xml:space="preserve"> Name of Procuring Entity:  LGU-WAO                               Request for Quotation (P.R. No.):  Revised on:							     Date:   6/22/2020 Standard Form/Title:   REQUEST FOR QUOTATION           Office/End-User:  MPDC                                     </t>
  </si>
  <si>
    <t xml:space="preserve"> 100 pcs. Brass Water Meter</t>
  </si>
  <si>
    <t xml:space="preserve"> Variety of: Vermicast,14x14x14, Urea, 16-20 &amp; EMAS &amp; Fortified Organic Fertilizers</t>
  </si>
  <si>
    <t xml:space="preserve"> Advocacy Material	40	pcs fabric: cotton &amp; polyester		 xxxxxxxxxxxxxxxxxxxxxxxxxxxxxxxxxxxxxxxxxx</t>
  </si>
  <si>
    <t xml:space="preserve"> The City Government of Santiago invites interested parties to submit price quotation for the “SUPPLY AND DELIVERY OF ACCELERATOR GOVERNOR FOR CAT 320“ City Hall, Santiago City, details as follows: ABC: Php 58,000.00 Contract Duration: 14 calendar days Sch</t>
  </si>
  <si>
    <t xml:space="preserve"> 2 pcs Anchor Expanding, 8,000 pounds, 4 way galvanized steel 2 pcs Aluminum Stirrup clamp #4-#4/0 ACSR Range 4 pcs Bolt, Oval Eye, 5/8''x8" 1 pc. Bolt,Oval eye,5/8" x 18" 2 pcs  Bolt, Thimble Eye, 5/8" x8" Band</t>
  </si>
  <si>
    <t xml:space="preserve"> Municipality of Dumanjug, Cebu through the SB Resolution No. 2018-136 Series of 2018  intends to apply the sum of TWO MILLION PESOS (2,000,000.00)  being the Approved Budget for the Contract (ABC) to payments under the contract for GOODS 2020-06-0005 Purc</t>
  </si>
  <si>
    <t xml:space="preserve"> Republic of the Philippines Province of Aurora Municipality of Dipaculao INVITATION TO BID A. THE LOCAL GOVERNMENT UNIT (LGU) OF DIPACULAO, AURORA, through its Bids and Awards Committee (BAC) invites contractors to apply to bid for the following contracts</t>
  </si>
  <si>
    <t xml:space="preserve"> OFFICE: MUNICIPAL HEALTH OFFICE PURPOSE: TO BE USED FOR SALUG RHU MATERNAL CARE ABC: 59,500.00 ITEM DESCRIPTION  5 TUBE PLASTER (3mter 1inch x 10yards, 12 pieces/box) 5 gal Zonrox 5 pack Adult diaper (Medium) 10pcs/packs 5 pack Newborn diaper (Medium) 10p</t>
  </si>
  <si>
    <t xml:space="preserve"> Ink AR 6020 serial no. MX237FT	5	unit Ink AR 5618 serial no.235FT	5	unit</t>
  </si>
  <si>
    <t xml:space="preserve"> Republic of the Philippines  Province of Samar Municipality of Jiabong Invitation to Bid  Emergency Purchase in Response to Covid19 DSWD Office Jiab-2020-33A The Municipal Government of Jiabong, Samar, through LGU OF JIABONG   intends to apply the sum of </t>
  </si>
  <si>
    <t xml:space="preserve"> units	Flowmeter 4" with complete accessories and with calibration			1	 85,000.00 	 85,000.00  						 units	Flowmeter 6" with complete accessories and with calibration			2	 160,000.00 	 320,000.00  						 	Specification					 						 	WVM 100-150 Model Water</t>
  </si>
  <si>
    <t xml:space="preserve"> Items Quantity / Units 1.facepass algorithm (biometrics) 38 units 3000 use/acrd capacity/fingerprints/100000 log capacity Tcp/ip, rs485 usb host wifi Face card id + password verify speed 1s support Dual core 1.0ghz dual camera 3.2” hd tft touch screen 30-</t>
  </si>
  <si>
    <t xml:space="preserve"> 150 gals Alcohol Ethyl 120 cans Disinfectant Spray 500g 25 gals, Bleach Lemon scent  30 gals Liquid Hand Soap 100 bots Alcohol; ethyl 10 pcs Hand Sprayer 500ml 50 pcs Sprayer 10 boxes Face Mask Surgical earloop 50s 30 sets Thermometer , forehead, non cont</t>
  </si>
  <si>
    <t xml:space="preserve"> 1. Streamer, 3 layers, aluminum big                                                                       1 unit 2. Strainer,                                                                                                           1 unit 3. Plastic conta</t>
  </si>
  <si>
    <t xml:space="preserve"> 100 Box Examining Gloves (Large) 100s 500 Pcs Surgical Face Mask 100 Gal. Multi-Purpose Bleach</t>
  </si>
  <si>
    <t xml:space="preserve"> Examination of quotations shall use non-discretionary "pass/fail" criteria. Veterans Federation of the Philippines reserves the right to accept or reject any proposal, to annul the procurement process, and to reject all quotations at any time prior to con</t>
  </si>
  <si>
    <t xml:space="preserve"> 1. 12 pcs. uPVC Blank Casing 6" x 3.9 meters 2. 4 pcs. uPVC Screen Casing 6" x 3.9 meters 3. 16 pcs. 3" uPVC Riser Pipe with fitted copler</t>
  </si>
  <si>
    <t xml:space="preserve"> Multi Purpose Vehicle etc.  NOTE:To all suppliers bid documents and BAC Resolution  2020-029 are available at BAC Office and LGU website.</t>
  </si>
  <si>
    <t xml:space="preserve"> 10000 liter Diesel &amp; 1 other</t>
  </si>
  <si>
    <t xml:space="preserve"> 42” Industrial Tornado Drum Fan specifications: 42” industrial drum fan 750 Watts Power 540m3 per minutes air volume 2 speed control with thermal protector with wheels for easy transport optimized blade design for softer wind	4	units</t>
  </si>
  <si>
    <t xml:space="preserve"> 1 unit Portable PA System w/specs &amp;  5 others</t>
  </si>
  <si>
    <t xml:space="preserve"> 2 pc. Foot Pedal Bin 2.5ft &amp; 5 others</t>
  </si>
  <si>
    <t xml:space="preserve"> 1 unit Wooden cabinet heavy duty &amp; 10 others</t>
  </si>
  <si>
    <t xml:space="preserve"> Unit	Quantity Portland Cement	           bag	120 Washed Sand	                  cum	6 Washed Gravel	                  cum	12 12mmØ x 6m Corr. Bar	length	400 10mmØ x 6m Corr Bar	length	500 2x2x10 Coco Lumber   	pc	       225 1/2 Marine Plywood	        sht	 </t>
  </si>
  <si>
    <t xml:space="preserve"> Republic of the Philippines DEPARTMENT OF PUBLIC WORKS AND HIGHWAYS NEGROS ORIENTAL 3RD  DISTRICT ENGINEERING OFFICE REGIONAL OFFICE VII Siaton, Negros Oriental REQUEST FOR EXPRESSION OF INTEREST (REOI) FOR I.	Contract ID: 20CSHL0001 Contract Name: Consul</t>
  </si>
  <si>
    <t xml:space="preserve"> Purchase of four (4) pcs. Tire,Tubeless (Size: 265/70/ R17) MT for one (1) unit Mitsubishi STRADA  (Field Master) w/ DPWH No. H1-6111 (NLO733) &amp; Work Order No. R05-A6-20-CP-0073 dated 05-04-2020 and four (4) pcs.Tires,Tubeless (Size:245/75 R16),MT for one</t>
  </si>
  <si>
    <t xml:space="preserve"> The DPWH Neg. Occ. 4th District Engineering Office, Bago City, Neg. Occ., through its Bids and Awards Committee (BAC), invites contractors to submit bids for the following Contracts: 1.	Contract ID No.:       	20GN0091 	Contract Name:  	Repair/Maintenance</t>
  </si>
  <si>
    <t xml:space="preserve"> Medicines</t>
  </si>
  <si>
    <t xml:space="preserve"> Pea Sized Gravel etc. NOTE:To all suppliers bid documents and BAC Resolution 2020-029 are available at BAC Office and LGU website.</t>
  </si>
  <si>
    <t xml:space="preserve"> PB NO. 2020-040		 			 1.	1	lot	Proposed repair/rehabilitation of road including construction of drainage at Brgy. San Gabriel, San Pablo City. 			By: Contract 			 	Deadline for Submission of Bids: July 13, 2020 10:00 Am</t>
  </si>
  <si>
    <t xml:space="preserve"> INVITATION TO BID IB No. GS-2020 – 064-A Construction Materials and Supplies for use in the Construction of Stockroom at Brgy. Hall, Bagong Buhay, Naujan, Oriental Mindoro/ Construction of Covered Pathwalk at Antipolo E/S, Naujan, Oriental Mindoro/ Constr</t>
  </si>
  <si>
    <t xml:space="preserve"> Republic of the Philippines  Province of Samar Municipality of Jiabong Invitation to Bid  Emergency Purchase in Response to Covid19 DSWD Office Jiab-2020-30A The Municipal Government of Jiabong, Samar, through LGU OF JIABONG   intends to apply the sum of </t>
  </si>
  <si>
    <t xml:space="preserve"> THE PASTRANA CENTRAL SCH WOULD LIKE TO PROCURE 9 UNITS PRINTER AND 1 UNIT LAPTOP. . . . . . . .</t>
  </si>
  <si>
    <t xml:space="preserve"> The City Government of San Pedro, Laguna invites interested parties to quote for the following item/s as per request Deped: 30	unit	EcoTank 3-in-1 Printer 		(All-in-1 Function, Printer, Scanner, Copier) 60	liters	Epson Ink Refill (black) 30	liters	Epson I</t>
  </si>
  <si>
    <t xml:space="preserve"> 5	pcs	Gym Ball		 4	pcs	Presentation Clicker		 1	set	Portable trolley speaker w/microphone		 1	unit	LED Projector		 1	unit	Anatomical Human Skeleton model 170cm w/nerves vertibral arteries and stand		 5	unit	Body Fat Califer		 3	unit	Weighing Scale		 1	uni</t>
  </si>
  <si>
    <t xml:space="preserve"> Republic of the Philippines							 Department of Education							 REGION XII							 SCHOOLS DIVISION OF SOUTH COTABATO							 							 							 			Date:			June 18, 2020	 			RFQ No.:			DSC-20-06-112	 			Mode of Procurement:			NP-SVP	 							 Request for Quot</t>
  </si>
  <si>
    <t xml:space="preserve"> INVITATION TO BID FOR  INSTALLATION (Purchase) OF CCTV 	The Municipality of San Juan through the Government of the Philippines intends to apply the sum of  TWO MILLION THREE HUNDRED THOUSAND PESOS  (Php.2,300,000.00)  being the Approved Budget for the Con</t>
  </si>
  <si>
    <t xml:space="preserve"> Assorted Office Supplies and Equipments</t>
  </si>
  <si>
    <t xml:space="preserve"> PROVISION OF FIBERGLASS BOARD FOR BASKETBALL RING AND OTHER NECESSARY IMPROVEMENT</t>
  </si>
  <si>
    <t xml:space="preserve"> 1085 pcs Hollow Blocks 60 bag Cement 100 length 10mm Corrugated bar 30 roll Interlink wire 4mx6ft 2 cubic Screened Sand</t>
  </si>
  <si>
    <t xml:space="preserve"> To provide assorted fruit tress seedlings for the affected farmers of COVID-19 @ Shorelines, Easternlines @ Masaralines Brgys.</t>
  </si>
  <si>
    <t xml:space="preserve"> 3	500g	A-1 Broth (granulated)	 1	2.5L	Acetone, AR	 4	gal	Acetone, Technical Grade	 1	500g	Amido Sulfonic Acid (Sulfamic Acid), 99.5%, AR	 1	100g	Ammonium Chloride, AR	 1	100g	Boric Acid, Anhydrous, ACS/ISO Reagent	 5	500g	Brilliant Green Bile Lactose Brot</t>
  </si>
  <si>
    <t xml:space="preserve"> see associated components for downloadable RFQ 2019-3345 A</t>
  </si>
  <si>
    <t xml:space="preserve"> Republic of the Philippines Province of Cebu MUNICIPALITY OF BALAMBAN Balamban, Cebu Barangay Prenza     	 	 	Barangay Prenza of the Municipality of Balamban,  through  the  various  sources  of  Funds, intends  to  apply  the  sum  of  and  to  payments </t>
  </si>
  <si>
    <t xml:space="preserve"> Security Services for DepEd Misamis Oriental for July 1 to December 31, 2020 1 Security Guard to be assigned at DepEd Area Pelaez Sports Center from July 1 to December 31, 2020 (1 security guard for 1 shift daily) 1 Security Guard to be assigned at DepEd </t>
  </si>
  <si>
    <t xml:space="preserve"> 1   lot  Repair and Maintenance of Water System (Barangay PUGON)</t>
  </si>
  <si>
    <t xml:space="preserve"> The City Government of Santiago invites interested parties to submit price quotation for the “SUPPLY AND DELIVERY OF VEHICLE PARTS AND ACCESSORIES FOR VARIOUS GOVERNMENT VEHICLES“ City Hall, Santiago City, details as follows: ABC: Php 76,200.00 Contract D</t>
  </si>
  <si>
    <t xml:space="preserve"> 2 qt Aviation Grease 2 Corrosion Preventive Compound (TECTYL50CQT) &amp; 4 L/I</t>
  </si>
  <si>
    <t xml:space="preserve"> PROCUREMENT TERMS &amp; CONDITIONS					 1	The Total Approved Budget for the Contract (ABC) is Php 43,200.00				 2	Price quotation should be inclusive of tax obligations.				 3	Delivery period is 10 calendar days from the receipt of NOA &amp; PO.				 4	If awarded </t>
  </si>
  <si>
    <t xml:space="preserve"> 350	kgs	vigormin, 732 350	kgs	Vigormin, 550</t>
  </si>
  <si>
    <t xml:space="preserve"> Angle Bar etc.  NOTE:To all suppliers bid documents and BAC Resolution 2020-029 are available at BAC Office and LGU website.</t>
  </si>
  <si>
    <t xml:space="preserve"> MINDANAO STATE UNIVERSITY	Reference Nos.	459-20/06-03-2020 Fatima, General Santos City	Project Name:	DOST-PCAARRD TUNA RESEARCH PROGRAM 	Quotation No.	 	Location:	 REQUEST FOR QUOTATION 			 Company Name		Date:	June 17, 2020 		Quotation No.	458-20 Address	</t>
  </si>
  <si>
    <t xml:space="preserve"> 12 can Chockfast Orange, 15lbs kit (6.8) kgs PR-610TCF with Hardener</t>
  </si>
  <si>
    <t xml:space="preserve"> Materials-Repair of Ceilings and Walling	  4.5mm x 4 x 8 Hardiflex	60 Pcs ¼ x 4 x 8 Marine Plywood	30 Pcs 2” x 2” x 10” Good Lumber 	50 Pcs 1 x 2 x 8 Good Lumber	50 Pcs Circular Saw	1 Unit Electric Plainer	1 Unit Electric Grinder	1 Unit 4” CWN	10 Kilos 2 </t>
  </si>
  <si>
    <t xml:space="preserve"> MINDANAO STATE UNIVERSITY	Reference Nos.	459-20/06-03-2020 Fatima, General Santos City	Project Name:	DOST-PCAARRD TUNA RESEARCH PROGRAM 	Quotation No.	 	Location:	 REQUEST FOR QUOTATION 			 Company Name		Date:	June 17, 2020 		Quotation No.	459-20 Address	</t>
  </si>
  <si>
    <t xml:space="preserve"> Please see attached associated components for specifications.</t>
  </si>
  <si>
    <t xml:space="preserve"> TERMS AND CONDITIONS:						 1. All entries must be typewritten or legibly written. 					 2. Delivery period within _________3 days___________________ upon receipt of the approved  funded Purchase Order (P.O.).   				 3. Warranty shall be for a minimum of </t>
  </si>
  <si>
    <t xml:space="preserve"> Republic of the Philippines City of Dapitan BIDS AND AWARDS COMMITTEE 						June 20, 2020 NOTICE FOR RE - NEGOTIATED - SMALL VALUE PROCUREMENT The City Government of Dapitan through the Bids and Awards Committee (BAC) would like to inform PhilGEPS registe</t>
  </si>
  <si>
    <t xml:space="preserve"> power generator</t>
  </si>
  <si>
    <t xml:space="preserve"> MINDANAO STATE UNIVERSITY	Reference Nos.	459-20/06-03-2020 Fatima, General Santos City	Project Name:	DOST-PCAARRD TUNA RESEARCH PROGRAM 	Quotation No.	 	Location:	 REQUEST FOR QUOTATION 			 Company Name		Date:	June 17, 2020 		Quotation No.	460-20 Address	</t>
  </si>
  <si>
    <t xml:space="preserve"> Purpose:  Training and Training Related Activities (KSL and Technical Briefing) Batch 14 We are looking for a supplier that can provide the herein stated articles. Please quote at your government price/s, taxes included, and such terms and conditions that</t>
  </si>
  <si>
    <t xml:space="preserve"> INVITATION TO BID (INFRA) The Municipality of Sibonga through the General Fund intends to apply the sum of One million nine hundred ninety-nine thousand nine hundred ninety-nine &amp; 33/100 pesos only (1,999,999.33) being the Approved Budget for the Contract</t>
  </si>
  <si>
    <t xml:space="preserve"> REQUEST FOR QUOTATION Other Supplies &amp; Materials Expenses (PCADG-5020399000-1075-2020) 1.	The Philippine National Police Community Affairs and Development Group, through its Bidsand Awards Committee(BAC), will undertakea Small Value Procurement (SVP) for </t>
  </si>
  <si>
    <t xml:space="preserve"> Please quote your best price  5 sets Provision for ink for printer, HP 704 tri-color inkjet print cartridge, Ultra Low cost Ink Cartridge ABC 2,500.00 5 sets Provision for ink for printer, HP 704 black inkjet print cartridge, Ultra Low cost Cartridge ABC </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</si>
  <si>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</si>
  <si>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INCLUDES CONSTRUCTION OF MEN AND WOMEN'S TOILET</t>
  </si>
  <si>
    <t xml:space="preserve"> MINDANAO STATE UNIVERSITY	Reference Nos.	459-20/06-03-2020 Fatima, General Santos City	Project Name:	DOST-PCAARRD TUNA RESEARCH PROGRAM 	Quotation No.	 	Location:	 REQUEST FOR QUOTATION 			 Company Name		Date:	June 17, 2020 		Quotation No.	462-20 Address	</t>
  </si>
  <si>
    <t xml:space="preserve"> Repair/Maintenance of Building</t>
  </si>
  <si>
    <t xml:space="preserve"> 91 ea Pen Ballpoint Blue &amp; 14 L/I</t>
  </si>
  <si>
    <t xml:space="preserve"> Please see attached associated component for specifications.</t>
  </si>
  <si>
    <t xml:space="preserve"> SEE RFQ</t>
  </si>
  <si>
    <t xml:space="preserve"> Republic of the Philippines Province of Batangas CITY OF STO. TOMAS INVITATION TO BID  The City Government of Sto. Tomas, Batangas through its Bids and Awards Committee (BAC) invites suppliers/manufacturers/distributors to apply for eligibility, and if fo</t>
  </si>
  <si>
    <t xml:space="preserve"> 1 LOT VARIOUS OFFICE SUPPIES</t>
  </si>
  <si>
    <t xml:space="preserve"> 2020-06-0026 - IT EQUIPMENT FOR BUDGET OFFICER, EPS-LR, TOP MANAGEMENT</t>
  </si>
  <si>
    <t xml:space="preserve"> 3 set Printer (L360) 2 pcs Computer Set (Intel Core i5 7th generation Power supply 700 watts, ITB hard disk (SSD 500 GB mother board LGA 1151, UPS, Led monitor 21"</t>
  </si>
  <si>
    <t xml:space="preserve"> a) Items and descriptions are specified in the approved PR and RFQ as posted in the associated component of PhilGEPS website.</t>
  </si>
  <si>
    <t xml:space="preserve"> MINDANAO STATE UNIVERSITY	Reference Nos.	459-20/06-03-2020 Fatima, General Santos City	Project Name:	DOST-PCAARRD TUNA RESEARCH PROGRAM 	Quotation No.	 	Location:	 REQUEST FOR QUOTATION 			 Company Name		Date:	June 17, 2020 		Quotation No.	461-20 Address	</t>
  </si>
  <si>
    <t xml:space="preserve"> INVITATION TO BID IB No. GS-2020 – 065-A Construction Materials and Supplies for use in the Rehabilitation of Barangay Hall at Barangay Zone III, Socorro, Oriental Mindoro/ Rehabilitation of Barangay Hall at Barangay Zone I, Socorro, Oriental Mindoro/ Con</t>
  </si>
  <si>
    <t xml:space="preserve"> FABRICATION WORKS</t>
  </si>
  <si>
    <t xml:space="preserve"> The Municipality of Malangas, through the Bids and Award Committee (BAC), invites suppliers/manufactures/distributors/contractors to bid for the hereunder contract: Name of Project : PROCUREMENT OF ONE (1) UNIT BRAND NEW AMBULANCE (RE-BID) SPECIFICATIONS </t>
  </si>
  <si>
    <t xml:space="preserve"> Office Supplies and Devices</t>
  </si>
  <si>
    <t xml:space="preserve"> The AGRICULTURAL TRAINING INSTITUTE-REGIONAL TRAINING CENTER (ATI-RTC) X, through the 2020 General Appropriations Act intends to apply the sum of Four Hundred Sixteen Thousand Three Hundred Pesos (P 416,300.00) being the Approved Budget for the Contract (</t>
  </si>
  <si>
    <t xml:space="preserve"> The City Government of San Pedro, Laguna invites interested parties to quote for the following item/s as per request Engineering: Qty.	Unit of Issue	Item Description 		 				 		Proposed Construction of Open Canal (Outfall) 		Barangay Bagong Silang, City of</t>
  </si>
  <si>
    <t xml:space="preserve"> Standard Form Number: SFGOOD60 Revised on: May 24, 2004 Standard Form Title: Request for Quotation Date: June 22, 2020  Quotation No. 20-06-0345 Purchase Request No. 20-02-360 __________________________ Company Name ___________________________ Address Ple</t>
  </si>
  <si>
    <t xml:space="preserve"> Standard Form Number: SFGOOD60 Revised on: May 24, 2004 Standard Form Title: Request for Quotation Date: June 22, 2020  Quotation No. 20-06-0344 Purchase Request No. 20-06-698 __________________________ Company Name ___________________________ Address Ple</t>
  </si>
  <si>
    <t xml:space="preserve"> Republic of the Philippines Province of Cebu Municipality of Cordova BIDS &amp; AWARDS COMMITTEE (032-236-6171) 			  	June 23, 2020 Request for quotation  The Municipality of Cordova, through its Bids and Awards Committee (BAC), is inviting all interested bid</t>
  </si>
  <si>
    <t xml:space="preserve"> Brand new and modified offroad</t>
  </si>
  <si>
    <t xml:space="preserve"> PEO-2020-0154 Rebidding INVITATION TO BID FOR THE PROCUREMENT OF DIESEL FOR USE OF HEAVY EQUIPMENT, ETC. IN THE PEO, TAGBILARAN CITY ABC: P 4,389,004.46 COST OF BID DOCUMENTS: P 5,000.00 ADVERTISEMENT PERIOD: JUNE 24 - JULY 1, 2020 OPENING OF BIDS: JULY 1</t>
  </si>
  <si>
    <t xml:space="preserve"> Procurement and Delivery of ICT and Office Equipment and Furniture and Fixture to Various Offices Lot 1 - Procurement of ICT Equipment for Budget Office (Laptop and Printer) Lot 2 - Procurement of Laptop Computer, A3 Printer, Filing Cabinet, Office Mobile</t>
  </si>
  <si>
    <t xml:space="preserve"> ITEM NO.	QTY.	UNIT	ITEMS &amp; DESCRIPTION	 				 1	1	unit	Submersible Pump 5HP	 			3 Phase w/ Acc.</t>
  </si>
  <si>
    <t xml:space="preserve"> 2 pcs Diode, Rectifier 262-6216 (Cat C4.4)</t>
  </si>
  <si>
    <t xml:space="preserve"> ABC AMOUNT      Php 100,000.00</t>
  </si>
  <si>
    <t xml:space="preserve"> SCOPE OF WORK        I. Concrete Works              A. Drainage Canal - 6.00 cu m.              B. Concrete Cover - 10.40 cu m.       II. Masonry - 62.40 sq m. SCHEDULE Advertisement:  June 23 - 30, 2020 Submission of Bid: July 1, 2020 Bid Evaluation/Open</t>
  </si>
  <si>
    <t xml:space="preserve"> Procurement ID/Contract I.D.: 20CN0068 Contract Name: Construction of Slope Protection Along A. Castañeda – Ma. Aurora San Luis Road Contract Location: (K0211+175 – K0211+310), Aurora  Brief Description: Drainage and Slope Protection Structures Approved B</t>
  </si>
  <si>
    <t xml:space="preserve"> Republic of the Philippines Province of Davao del Sur MUNICIPALITY OF STA.CRUZ INVITATION TO BID  PROCUREMENT OF DIESOLINE FOR COVID OPERATIONS AND OTHER DRRM RELATED ACTIVITIES -1ST POSTING (ITB No. 20-Goods-2020) 1.	The Local Government Unit of Sta. Cru</t>
  </si>
  <si>
    <t xml:space="preserve"> Supply of labor and materials 1	lot	For the supply of Labor and Materials for the Repair of Storage Room at NSPRDC, Tiaong, Quezon			 		1. Provision of Project Tarpaulin			 		2. Provision/Construction of Temporary Facilities			 		3. Dismantling of existin</t>
  </si>
  <si>
    <t xml:space="preserve"> Date: June 11, 2020  	  	 	 	 	 	  Quotation No.100-20-06-366                 REQUEST FOR QUOTATION    (For Immediate Purchase Pursuant to Section 52.1a of the Revised IRR, RA 9184)  Item No. 	Qty. 	Unit 	Description 	ABC 	Unit Price 	Total 	Remarks  (Dat</t>
  </si>
  <si>
    <t xml:space="preserve"> 1. View Bibder, Executive 3 ring presentation binder, long (legal size) 2.5 inches thick, white color                60 pcs 2. Clear Sheets Plastic Refill of view binder 20 sheets per pack, long (legal size)                                        24 packs</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</si>
  <si>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</si>
  <si>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Republic of the Philippines							 Province of Negros Occidental							 Municipality of La Castellana							 Bids and Awards Committee							 							 INVITATION TO APPLY FOR ELIGIBILITY AND TO BID							 							 Name of Project: 		PROPOSED DRAINAGE &amp; REPA</t>
  </si>
  <si>
    <t xml:space="preserve"> DESCRIPTION -------------- QTY ---------unit No. of Security Guards: 	4	 SIX (6) MONTHS CONTRACT : JULY 2020-DECEMBER 2020		 A. SERVICES: 1.	One (1) Security Supervisor to handle Security concerns with Communication Equipment   2.	Conducts daily general s</t>
  </si>
  <si>
    <t xml:space="preserve"> 2,100 PCS 4" CHB 36 PCS 9 MM RSB 50 PCS 10MM RSB 98 BAGS PORTLAND CEMENT  8 KLS TIE WIRE  4 CU.M RIVER SAND 8 CU.M MIXED AGGREGATES</t>
  </si>
  <si>
    <t xml:space="preserve"> 1	bags	Cement	60	250.00	 15,000.00  2	pcs.	Steel bars (10mm)	100	150.00	 15,000.00  3	pcs.	Concrete Hollow Block	1000	8.00	 8,000.00  4	pcs.	Faucet	10	150.00	 1,500.00  5	pcs.	Tiles (24”)	50	200.00	 10,000.00  6	bags	Adhesive	6	300.00	 1,800.00  7	roll	Ho</t>
  </si>
  <si>
    <t xml:space="preserve"> INSTALLATION/CONSTRUCTION OF FENCE OF MULTI-PURPOSE HALL</t>
  </si>
  <si>
    <t xml:space="preserve"> Procurement ID/Contract I.D.: 20CN0067 Contract Name: Construction of Slope Protection Along A. Castañeda – Ma. Aurora San Luis Road Contract Location: (K0198+120 – K0198+171.84), Aurora  Brief Description: Drainage and Slope Protection Structures Approve</t>
  </si>
  <si>
    <t xml:space="preserve"> Refer to plans and specifications</t>
  </si>
  <si>
    <t xml:space="preserve"> Various Gun Parts</t>
  </si>
  <si>
    <t xml:space="preserve"> Republic of the Philippines  Province of Samar Municipality of Jiabong Invitation to Bid  Emergency Purchase in Response to Covid19 DSWD Office Jiab-2020-34A The Municipal Government of Jiabong, Samar, through LGU OF JIABONG   intends to apply the sum of </t>
  </si>
  <si>
    <t xml:space="preserve"> Republic of the Philippines Province of Davao Oriental City of Mati BIDS &amp; AWARDS COMMITTEE INVITATION TO BID LOT Procurement of MEDICAL SUPPLIES for the Use of DOPMC SOURCE OF FUND: GENERAL FUND [4421F-200-5-02-03-080] 1.	The Provincial Government of Dav</t>
  </si>
  <si>
    <t xml:space="preserve"> INVITATION TO BID IMPROVEMENT OF DRAINAGE SYSTEM AT GUIJO ROAD Identification No.  TAMP-PB-INFRA-06-2020 1.	The Municipality of Tampakan, through the 20% MDF CY 2018/8918-300-1-07-10-020 intends to apply the sum of Five Hundred Thousand Pesos (500,000.00)</t>
  </si>
  <si>
    <t xml:space="preserve"> 1.The NATIONAL KIDNEY AND TRANSPLANT INSTITUTE (NKTI) invites interested entities to submit their quotation/s through a formal SEALED/EMAIL PROPOSAL for the: Item/Description	 Approved Budget for the Contract (ABC) RFQ No. 20-06-039P Supply and Delivery o</t>
  </si>
  <si>
    <t xml:space="preserve"> Republic of the Philippines													 City of San Carlos													 Negros Occidental													 										                   		REBIDDING	 INVITATION TO BID											FOR SALE	 			PURCHASE REQUEST NO: 1-20-02-0375				P 150.00	 Sealed bids for quota</t>
  </si>
  <si>
    <t xml:space="preserve"> Republic of the Philippines													 City of San Carlos													 Negros Occidental													 										                    		REBIDDING	 INVITATION TO BID											FOR SALE	 			PURCHASE REQUEST NO: 1-20-03-0418				P 500.00	 Sealed bids for quot</t>
  </si>
  <si>
    <t xml:space="preserve"> Republic of the Philippines							 PROVINCE OF ZAMBOANGA SIBUGAY							 Municipality of Talusan							 -7012-							 							 							 MUNICIPAL BIDS AND AWARDS  COMMITTEE							 REQUEST FOR QUOTATION							 SMALL VALUE PROCUREMENT							 NOTICE TO THE PUBL</t>
  </si>
  <si>
    <t xml:space="preserve"> toner Black, Epson 9731 etc.</t>
  </si>
  <si>
    <t xml:space="preserve"> Republic of the Philippines Department of Agriculture BUREAU OF PLANT INDUSTRY 692 San Andres Street Malate, Manila, Philippines E-mail Address: bpibac@yahoo.com Tel. No.: (02) 8526-7859, (02) 8691-0736 | Website: bpi.da.gov.ph Request for Quotation						</t>
  </si>
  <si>
    <t xml:space="preserve"> Limestone               4 loads</t>
  </si>
  <si>
    <t xml:space="preserve"> Repair/Maintenance/Rehabilitation of Building</t>
  </si>
  <si>
    <t xml:space="preserve"> Barangay Cabid-an, East District		Project Reference Number: 2020-005 Sorsogon City			Name of the Project: CONSTRUCTION OF OPEN LINE CANAL Location of the Project		:	 Phase I Seabreeze Homes, BrgyCabid-an, East District, Sor. City 					Source of Funds:20%B</t>
  </si>
  <si>
    <t xml:space="preserve"> 3 pcs. 205/BR R15 1 pc. oil filter</t>
  </si>
  <si>
    <t xml:space="preserve"> PREFERABLY XRM 125 MOTORCYCLE ENGINE TYPE:  4 STROKE OHC AIR COOLED DISPLACEMENT: 124.8cc BORE AND STROKE: 52.4 MM X 57.9 mm STARTING SYSTEM: ELECTRIC/KICK IGNITION SYSTEM: DC-CDI TRANSMISSION TYPE: CONSTANT MESH 4 SPEED GEAR SHIFT PATTERN: ROTARY TYPE /N</t>
  </si>
  <si>
    <t xml:space="preserve"> Republic of the Philippines PROVINCE OF ZAMBOANGA DEL SUR Municipality of Dimataling BIDS AND AWARD COMMITTEE Reference Number : PR-171-06-09-20 Date: June 9, 2020 Project Title/P.R. # : SUPPLY OF FUEL (GASOLINE/DIESOLINE) FOR LGU OPERATIONS Approved Budg</t>
  </si>
  <si>
    <t xml:space="preserve"> Republic of the Philippines Province of Davao Oriental City of Mati BIDS &amp; AWARDS COMMITTEE INVITATION TO BID Procurement of 2 Units Floor Mounted Aircon for the Use of PDRRMO SOURCE OF FUND: TRUST FUND [2-02-01-050-103-02] 1.	The Provincial Government of</t>
  </si>
  <si>
    <t xml:space="preserve"> Quantity	Unit of	Item Description			 	Issue				 4	cans	Grease 2kg 			 2	pail	Delo Gold 			 29	lit	Delo Gold			 5	pcs	Spring 			 4	gal	Gear Oil 4L 			 9	lits	Rev x			 16	lits	ATF 			 1	pc	Asbestos 2x4 			 1	gal	Rev x 4L 			 1	lit	Oil 			 1	pc	Swith 			 8	l</t>
  </si>
  <si>
    <t xml:space="preserve"> SCOPE OF WORK I. Concrete Works Quantity - 47.50 cu m. SCHEDULE Advertisement - June 22 - 29, 2020 Submission of Bid - June 30, 2020 Opening of Bids / Bid Evaluation - July 1, 2020 @ 10:00AM @ Brgy. Hall Multi-purpose Post Qualification - July 2 - 12, 202</t>
  </si>
  <si>
    <t xml:space="preserve"> BRAKE PAD BRAKE SHOE BATTERY 3SM BOLT W/ NUT CROSS JOINT CENTER BOLT CROSS JOINT CONBI. WRENCH OIL SEAL OIL FILTER SHOCK ABSORBER SOCKET WRENCH SPRING BUSHING TIRE 225x70x15 TIRE195x70x15 TIE ROD END VICE GRIPS</t>
  </si>
  <si>
    <t xml:space="preserve"> Supply and Delivery</t>
  </si>
  <si>
    <t xml:space="preserve"> ITEM I - Clearing and Grubbing ITEM II - Form and False Work ITEM III- Embankment ITEM IV- Reinforcing Steel ITEM V- Concrete Works ABC - 500,000.00 Php</t>
  </si>
  <si>
    <t xml:space="preserve"> PURCHASE OF PIPELINES FOR RESIDENTS</t>
  </si>
  <si>
    <t xml:space="preserve"> Name of the Procuring Entity: LGU LILA					Project Reference Number    :			 06-2038-20									 					Name of the Project             :			Purchase &amp; Installation of IT Equipment									 								 									 					Location of the Project         :			LGU-Lila	</t>
  </si>
  <si>
    <t xml:space="preserve"> Republic of the Philippines													 City of San Carlos													 Negros Occidental													 											                 	REBIDDING	 INVITATION TO BID											FOR SALE	 			PURCHASE REQUEST NO: 1-20-02-0381				P 150.00	 Sealed bids for quotati</t>
  </si>
  <si>
    <t xml:space="preserve"> 1	set	Printhead HP Deskjet GT5810, Black and Tri-Colour 1	pcs	Toner Cartridge, Photocopier 6	pcs	Bottomless Ink, Black,# T6641 8	boxes	Staple Wire, # 35, Standard Staples 26/6, 5,000 pcs/box 300	pcs	File Folder, legal size 15	pcs	Scotch tape 1", transpare</t>
  </si>
  <si>
    <t xml:space="preserve"> Stone masonry type</t>
  </si>
  <si>
    <t xml:space="preserve"> 8	pcs	2x2x0 lumber 8	pcs	2x3x0 lumber 9	pcs	plywood 1/4 10	pcs	ridge romm 0.5 8	pcs	umbrella nail #3 1	kg	Fishig Nail 1" 1	kg	Common Nail, 1" 1	kg	Common Nail, 2" 2	kg	Common Nail, 3" 2	kg	Common Nail, 4" 4	kg	GI Wire #16 20	pcs	12 feet o.5 sheet 4	gal	QD</t>
  </si>
  <si>
    <t xml:space="preserve"> 1 UNIT/S VEHICLE - PICK-UP - BLACK - 4X4 - AUTOMATIC TRANSMISSION - 2.2L-2.5L DIESEL ENGINE - 4 CYLINDER - WITH THE FOLLOWING - 01. LTO REGISTRATION ( 3 YRS. ) - 02.COMPREHENSIVE INSURANCE ( 1 YR. ) - 03.GLASS TINT - 04.FLOOR MAT - 05. SEAT COVER - 06. BE</t>
  </si>
  <si>
    <t xml:space="preserve"> Construction of Rainwater Collector System</t>
  </si>
  <si>
    <t xml:space="preserve"> Day 1		 Meals and Accommodation                  (3 meals and 2 snacks)	40	 pax  Day 2		 Meals and Accommodation                  (1 meal and 2 snacks)	40	 pax  Amenities:		 Free Wireless internet Access		 Free LCD Projector		 Free White Board and LCD Scr</t>
  </si>
  <si>
    <t xml:space="preserve"> MINDANAO STATE UNIVERSITY	Reference Nos.	459-20/06-03-2020 Fatima, General Santos City	Project Name:	DOST-PCAARRD TUNA RESEARCH PROGRAM 	Quotation No.	 	Location:	 REQUEST FOR QUOTATION 			 Company Name		Date:	June 17, 2020 		Quotation No.	463-20 Address	</t>
  </si>
  <si>
    <t xml:space="preserve"> 50 pcs. T-shirt Uniform w/ print</t>
  </si>
  <si>
    <t xml:space="preserve"> Republic of the Philippines Province of zamboanga Sibugay Municipality of Olutanga 7014 JUNE 22, 2020 NOTICE TO THE PUBLIC INVITIATION TO APPLY FOR ELIGIBILITY AND TO BID All interested bidders are invited to Pre-qualify and participate in sealed bidding </t>
  </si>
  <si>
    <t xml:space="preserve"> INVITATION TO BID CONCRETING OF PUROK 1, MALTANA ROAD Identification No.  TAMP-PB-INFRA-07-2020 1.	The Municipality of Tampakan, through the 20% MDF CY 2020/8918-300-1-07-10-020 intends to apply the sum of One Million Five Hundred Thousand Pesos (1,500,00</t>
  </si>
  <si>
    <t xml:space="preserve"> 30	ream	Bond paper, long 30	ream	Bond paper, short 12	set	Printer ink (set of 4 colors) 15	box	Ballpen 15	box	Sign pen 15	box	Correction tape 200	pcs	Folder, long 200	pcs	Folder, short 25	box	Fastener 20	box	Stamp pad ink 20	box	Stamp pad 45	box	Staple wi</t>
  </si>
  <si>
    <t xml:space="preserve"> 1. Sim Card  Talk and Text                   5pcs TM                                  5pcs 2. Load Card Talk and Text P300          21pcs TM P300                         60pcs TM P200</t>
  </si>
  <si>
    <t xml:space="preserve"> Procurement and Delivery of Construction Supplies and Materials for the Concreting of San Isidro-Kibalus Road Location: Sitio Kibalus, Barangay San Isidro, Balingasag, Misamis Oriental</t>
  </si>
  <si>
    <t xml:space="preserve"> Republic of the Philippines													 City of San Carlos													 Negros Occidental													 										                    		REBIDDING	 INVITATION TO BID											FOR SALE	 			PURCHASE REQUEST NO: 1-20-03-0426				P 693.00	 Sealed bids for quot</t>
  </si>
  <si>
    <t xml:space="preserve"> Republic of the Philippines PROVINCE OF DINAGAT ISLANDS Municipality of Basilisa -o0o- BIDS AND AWARDS COMMITTEE -o0o- INVITATION TO APPLY FOR ELIGIBILITY AND TO BID The Municipality of Basilisa, Dinagat, Islands through its Bids and Awards Committee (BAC</t>
  </si>
  <si>
    <t xml:space="preserve"> Supply, Installation and Delivery of Integrated Solar Lights at Barangay Dayhagan, Aroroy, Masbate.</t>
  </si>
  <si>
    <t xml:space="preserve"> INVITATION TO BID FOR PROCUREMENT OF 400 PIECES WATER METER FOR NEW CONNECTION AND CHANGE METER 1.	The Bani Water District, through the Corporate Budget for the year 2020  intends to apply the sum of Five Hundred Sixty Thousand Pesos (Php 560,000.00) bein</t>
  </si>
  <si>
    <t xml:space="preserve"> RESOLUTION RECOMMENDING THE USE OF ALTERNATIVE METHOD OF PROCUREMENT FOR  THE ACQUISITION OF GOODS AND SERVICES WHEREAS, various departments/offices submitted Purchase Request with the following details: PR No.	Project Title	ABC	Department/ Office GF-20-0</t>
  </si>
  <si>
    <t xml:space="preserve"> LOT I-HARDWARE		 WELDING ELECTRODES, E6013	20 BXS	 ACYTELYN (CONTENT ONLY)	6 TNKS	 OXYGEN (CONTENT ONLY)	12 TNKS	                     X-X-X-X-X-X-X</t>
  </si>
  <si>
    <t xml:space="preserve"> SEE AGENCY ESTIMATE FOR DETAILS</t>
  </si>
  <si>
    <t xml:space="preserve"> Purpose: Training on Vegetable Production/Cash Crop Production at Siocon, Zamboanga del Norte We are looking for a supplier that can provide the herein stated articles. Please quote at your government price/s, taxes included, and such terms and conditions</t>
  </si>
  <si>
    <t xml:space="preserve"> Cadiz City SF-GOOD-60 Standard Form Title: Request for Quotation 										_______________ 									             _______________________ _______________________ 	Please quote your lowest price on the items listed below, subject to the General Conditions o</t>
  </si>
  <si>
    <t xml:space="preserve"> Republic of the Philippines  City of Canlaon Office of the Bids and Awards Committee  INVITATION TO BID FOR the Procurement of one unit Emergency Rescue Vehicle The Local Government of Canlaon City, through LDRRMO. Intends to apply the sum Two Million Six</t>
  </si>
  <si>
    <t xml:space="preserve"> The Subic Bay Metropolitan Authority, through the Corporate Budget for the contract approved by the governing board for 2020 intends to apply the sum of Two Million Fifty-One Thousand Three Hundred Sixty-Six Pesos and Twenty-Five Centavos Only (PHP 2,051,</t>
  </si>
  <si>
    <t xml:space="preserve"> INVITATION TO BID FOR THE CONSTRUCTION OF BARANGAY HEALTH STATION (BARANGAY LOS ANGELES, MAGSAYSAY, PALAWAN) 1.	The Provincial Government of Palawan, through its 20% Development Fund (OBR No. 300-20-06-07372) account intends to apply the sum of Two Millio</t>
  </si>
  <si>
    <t xml:space="preserve"> REQUEST FOR QUOTATION Food Supplies Expenses (PCADG-5020305000-1076-2020) 1.	The Philippine National Police Community Affairs and Development Group, through its Bids and Awards Committee(BAC), will undertake a Small Value Procurement (SVP) for the procure</t>
  </si>
  <si>
    <t xml:space="preserve"> Republic of the Philippines  Province of Samar Municipality of Jiabong Invitation to Bid  Emergency Purchase in Response to Covid19 MDRRM Office Jiab-2020-35A The Municipal Government of Jiabong, Samar, through LGU OF JIABONG   intends to apply the sum of</t>
  </si>
  <si>
    <t xml:space="preserve"> Number: 	Quantity: 	Unit	PPMP_Code	PPMP_Code1	PPMP_Code2	PPMP_Remarks	Particulars	StockNo	Unit_Cost	Estimated_Cost 1	20	pcs	2411-31429	4	2411-31429-4		FLASH DRIVE, 32GB, USB 3.0, OTG		1,326.00	26,520.00 2	10	pcs	2411-31431	4	2411-31431-4		Numeric Keypad		</t>
  </si>
  <si>
    <t xml:space="preserve"> Republic of the Philippines CITY OF MARIKINA SF-GOOD-05 Revised on: July 28, 2004				 													Mkna-GSO-20-277	 	BIDS AND AWARDS COMMITTEE		 NOTICE OF PROPOSED PROCUREMENT The City Government of Marikina, through its Bids and Awards Committee (BAC), w</t>
  </si>
  <si>
    <t xml:space="preserve"> Republic of the Philippines Cordillera Administrative Region Province of Kalinga B A L B A L A N Invitation to Apply for Eligibility and to Bid for the CONTINUATION FOR THE CONCRETING OF THE ACCESS ROAD TO SANITARY LANDFILL, BALANTOY, BALBALAN, KALINGA 1.</t>
  </si>
  <si>
    <t xml:space="preserve"> mooe-dahes</t>
  </si>
  <si>
    <t xml:space="preserve"> Republic of the Philippines													 City of San Carlos													 Negros Occidental													 									                  			REBIDDING	 INVITATION TO BID											FOR SALE	 			PURCHASE REQUEST NO: 1-20-03-0438				P 150.00	 Sealed bids for quotat</t>
  </si>
  <si>
    <t xml:space="preserve"> Republic of the Philippines					 Province of Misamis Oriental					 MUNICIPALITY OF VILLANUEVA					 REQUEST FOR QUOTATION					 Quotation No. 2020- ____________					 					 			Date		 					 					 					 Sir:					 	Please quote your price of the articles listed</t>
  </si>
  <si>
    <t xml:space="preserve"> SEE ATTACHED BILL OF QUANTITIES.</t>
  </si>
  <si>
    <t xml:space="preserve"> meter tape, 10 meter etc.</t>
  </si>
  <si>
    <t xml:space="preserve"> ITEM NO.	QTY.	UNIT	ITEMS &amp; DESCRIPTION	 				 1	6	cu.	Sand S1	 2	1300	pcs	CHB 4"	 3	180	pcs	RSB 10mm	 4	505	pcs	Cement	 5	40	pcs	GI Sheet 10ft	 6	20	pcs	Tubular 2x2	 7	10	kls	Welding Rod	 8	80	pcs	RSB 12mm	 9	1	pc	Sand S1 @ 10cu	 10	90	pcs	RSB 16mm	 11	25	</t>
  </si>
  <si>
    <t xml:space="preserve"> Meals and Snacks for 3 days ----- 25 Heads</t>
  </si>
  <si>
    <t xml:space="preserve"> Republic of the Philippines Philippine Rural Development Project INVITATION TO QUOTE (ITQ) Construction of Two (2) - Storey Processing Building with Warehouse in Support to the Geonet Production and Marketing Enterprises PRDP ID No.: PRDP-IR-R013-SDN-002-</t>
  </si>
  <si>
    <t xml:space="preserve"> Customer Satisfaction Survey Note: Attached Terms of Reference (TOR)</t>
  </si>
  <si>
    <t xml:space="preserve"> I. EXCAVATION AND DISPOSAL: A. LABOR: 1 Foreman 6 Laborers B. EQUIPMENT: 1 Unit Jackhammer Direct Cost 15% O.C.M. 10% Profit 5% V.A.T II. CONCRETE WORKS: Canal Dimension: L= 60m W=0.4m H=0.2m A. MATERIALS: 120 bags Portland Cement 8 cu.m. White Sand 10 cu</t>
  </si>
  <si>
    <t xml:space="preserve"> SCOPE OF WORK I. Concrete Works    Quantity - 30.83 cu m. SCHEDULE Advertisement: June 23 - 30, 2020 Submission of Bid: July 1, 2020 Bid Evaluation/Opening of Bid: July 2, 2020 @ 10:00 AM @ Brgy. Multi-purpose Hall Post Qualification: July 3 - 13, 2020 Is</t>
  </si>
  <si>
    <t xml:space="preserve"> Republic of the Philippines													 City of San Carlos													 Negros Occidental													 										                     		REBIDDING	 INVITATION TO BID											FOR SALE	 			PURCHASE REQUEST NO: 1-20-03-0435				P 150.00	 Sealed bids for quo</t>
  </si>
  <si>
    <t xml:space="preserve"> Republic of the Philippines				 Province of Lanao del Norte				 Municipality of Lala				 Office of the Municipal General Services				 				                                                                   __________________ 			                            </t>
  </si>
  <si>
    <t xml:space="preserve"> REQUEST FOR QUOTATION PR No.		1011-2020-655			RFQ No. 2020-049 PR Date:	06/23/2020 ABC:		P 96,000.00 Sir/Madam: 	Please quote your lowest price on the item/s listed below subject to the General Conditions on the last page, stating the shortest time of del</t>
  </si>
  <si>
    <t xml:space="preserve"> Please quote your best price 2 pcs of Executive Chair, long, black with arm rest ABC 10,000.00 Please email your quotation Please download canvass form</t>
  </si>
  <si>
    <t xml:space="preserve"> QTY.     UNIT     DESCRIPTION 20        bxs       X-ray Film (14x17 (100/box) 20        bxs       X-ray Film (11x14 (100/box) 4          sets      Developer and Fixer Solution (Powder)</t>
  </si>
  <si>
    <t xml:space="preserve"> Invitation to Rebid for the Supply &amp; Delivery of Materials for the  Construction of Washing Area and Kitchen and Installation of Portable Handwashing Facility 1.	The Municipal Government of Puerto Galera, through the 30% QRF-MDRRM Fund intends to apply th</t>
  </si>
  <si>
    <t xml:space="preserve"> Republic of the Philippines MUNICIPALITY OF MACABEBE Province of Pampanga INVITATION TO BID FOR Air Conditioners 1.	The Municipality of Macabebe, through the 2020 Municipal Budget intends to apply the sum of Four Hundred Seventy-Five Thousand Pesos (Php 4</t>
  </si>
  <si>
    <t xml:space="preserve"> Purpose: Refresher Course for Seed Growers at Ipil, Zamboanga Sibugay *3 meals &amp; 2 snacks for 25 pax for 3 days  with accommodation * Date:July 27-29, 2020 *Venue: Ipil, Zamboanga Sibugay We are looking for a caterer that can provide Meals and Snacks. Ple</t>
  </si>
  <si>
    <t xml:space="preserve"> Scope of Works:				 1	Mobilization			 2	Retiling of wall and flooring			 3	Installation of ceiling			 4	Replacement of existing water closet			 5	Replacement of existing damaged cubicle door			 6	Replacement of existing damaged main door 			 7	Installatio</t>
  </si>
  <si>
    <t xml:space="preserve"> Repair &amp; Maintenance of Municipal vehicles &amp; Dumptruck various spare parts</t>
  </si>
  <si>
    <t xml:space="preserve"> Republic of the Philippines													 City of San Carlos													 Negros Occidental													 									                  			REBIDDING	 INVITATION TO BID											FOR SALE	 			PURCHASE REQUEST NO: 1-20-03-0444				P 150.00	 Sealed bids for quotat</t>
  </si>
  <si>
    <t xml:space="preserve"> INVITATION TO QUOTE Date:  June 22, 2020 1.	The Provincial Government of Davao del Sur, through its Bids and Awards Committee (BAC), invites all interested bidders/suppliers to quote for the following goods under Alternative Methods of Procurement (Small </t>
  </si>
  <si>
    <t xml:space="preserve"> Supply and delivery of office supplies for use in Animal Health and Welfare Division  Qty	Unit	Item/Description				ABC 						 500	pcs	Steno Notebook, 40 lvs, 6"x9", 55gsm different design/colors				 19,000.00  15	pack	Cartolina, assorted, 20pcs/pack				 3</t>
  </si>
  <si>
    <t xml:space="preserve"> REQUEST  FOR  QUOTATION RFQ NO. 2020-06-18-(8081) 								   		PR No. 2020-384 									    		                   June 18, 2020        Date Company Name:	__________________________________________ Address		:	__________________________________________ Pleas</t>
  </si>
  <si>
    <t xml:space="preserve"> Eighty (80) packs and twenty seven (27) other L/I</t>
  </si>
  <si>
    <t xml:space="preserve"> 1,000 	pieces	Canvass Bag - Small  1,000 	pieces	Canvass Bag - Medium  1,000 	pieces	Canvass Bag - Large  3,000 	pieces	Canvass Bag Tags 		 		(Canvass Bags &amp; tags will have a printed eco-friendly design which will be provided by the NIPSC). 		The supplier</t>
  </si>
  <si>
    <t xml:space="preserve"> RESOLUTION ON PRIOR APPROVAL NO. 06-77                   Series of 2020 		 RESOLUTION RECOMMENDING THE USE OF ALTERNATIVE METHOD OF PROCUREMENT FOR  THE ACQUISITION OF GOODS AND SERVICES WHEREAS, various departments/offices submitted Purchase Request with</t>
  </si>
  <si>
    <t xml:space="preserve"> 50 pax 1 Meal &amp; 2 Snacks</t>
  </si>
  <si>
    <t xml:space="preserve"> ITEM NO.	ITEM &amp; DESCRIPTION	 BRAND	UOM	QTY. 1	CSC Color Klad Long Span (0.4MMX1.05MM)		In.M	688 2	S-END Flashing 0.6MMX0.60MX2.44M		Pcs	31 3	FLASHING SPL 0.6MMX0.30MX2.4MM		Pcs	31 4	END MOULDING 0.4MMX0.30MX2.4MM		Pcs	27 5	Cover SPL 0.6MMX0.60MX2.4MM		Pcs</t>
  </si>
  <si>
    <t xml:space="preserve"> • PREFERABLY HONDA SUPREMO • Engine Type: 4 Stroke, OHC, Air Cooled • Displacement: 150 cc • Bore &amp; Stroke: 57.3 mm x 57.8 mm • Starting System: Kick/ Electric • Ignition System: DC-CDI • Transmission Type: Manual, 5 – Speed Constant Mesh • Suspension (Fr</t>
  </si>
  <si>
    <t xml:space="preserve"> Item No.	Unit	Description	Qty 1	pcs	G.I. Corrugated roofing sht nr26 x 10 ft	40 2	pcs	G.I. Corrugated roofing sht nr26 x 8 ft	29 3	pcs	1/4 x 4 x 8 Plywood (Marine)	59 4	pcs	3/4 x 4 x 8 plywood (Marine)	55 5	pcs	2 x 2 x 10 Good Lumber	50 6	pcs	1 x 2 x 16 M</t>
  </si>
  <si>
    <t xml:space="preserve"> For Construction of Administration Building 2nd Gate Entrance Covered Walk, Phase 2 Republic of the Philippines Technical Education and Skills Development Authority PROVINCE OF BILIRAN Cabucgayan National School of Arts and Trades Libertad, Cabucgayan, Bi</t>
  </si>
  <si>
    <t xml:space="preserve"> REQUEST FOR QUOTATIONS The Civil Aviation Authority of the Philippines – Area VIII, through its Canvass and Contract Committee will conduct the Alternative Method of Procurement of SHOPPING – A under Section 52.1 (b) of the 2016 Revised IRR of RA 9184 and</t>
  </si>
  <si>
    <t xml:space="preserve"> RFQ-TFB-09-2020 Republic of the Philippines Province of Davao Oriental CITY OF MATI BIDS AND AWARDS COMMITTEE (Local Funding Source) REQUEST FOR QUOTATION (Negotiated Procurement – Two Failed Biddings) 		 Name of Company:	 Address:	 Telephone No.:	 Please</t>
  </si>
  <si>
    <t xml:space="preserve"> Procurement and Delivery of Construction Supplies and Materials for the Concreting of Cesar-Calawag Road Location: Cesar-Calawag, Balingasag, Misamis Oriental</t>
  </si>
  <si>
    <t xml:space="preserve"> Republic of the Philippines  Province of Iloilo Municipality of New Lucena                                                                                                               June 23, 2020                                                         </t>
  </si>
  <si>
    <t xml:space="preserve"> 1 UNIT ELECTRIC FAN - STAND FAN</t>
  </si>
  <si>
    <t xml:space="preserve"> Invitation to Rebid for the Supply &amp; Delivery of Materials for the  Repair of School Building – Villaflor Elementary School 1.	The Municipal Government of Puerto Galera, through the LGU – Gender &amp; Development (GAD) Fund FY 2020  intends to apply the sum o</t>
  </si>
  <si>
    <t xml:space="preserve"> Invitation to Rebid for the Supply &amp; Delivery of Materials for the  Concrete Pavement and Repair of Drainage Canal –  Puerto Galera National High School 1.	The Municipal Government of Puerto Galera, through the LGU – Gender &amp; Development (GAD) Fund FY 202</t>
  </si>
  <si>
    <t xml:space="preserve"> SPARE PARTS FOR THE REPAIR AND MAINTENANCE OF THE GOVERNMENT VEHICLES OF THE LGU</t>
  </si>
  <si>
    <t xml:space="preserve"> EQ REQUEST FOR QUOTATION (RFQ)  SUPPLY AND DELIVERY OF DIGITAL CORDLESS PHONE WITH 1 HANDSET UNDER EMB-EIAMD RFQ NO. EMB-EIAMD-SHOPPING-0028-3-09-2020-3rd Posting   1.	The Department of Environment and Natural Resources – Environmental Management Bureau (</t>
  </si>
  <si>
    <t xml:space="preserve"> ILOCOS NORTE 1ST DISTRICT ENGINEERING OFFICE Airport Ave. Brgy. Cavit, Laoag City, Ilocos Norte INVITATION TO BID The DPWH - Ilocos Norte 1st District Engineering Office, through its Bids and Awards Committee (BAC), invites contractors to submit bids fo0r</t>
  </si>
  <si>
    <t xml:space="preserve"> 1000 HILL/S PINE TREE - . - 700 Hills Norfolk Pine - Length : 2 ft. - 300 Hills Benguet Pine - Length: 2 ft.</t>
  </si>
  <si>
    <t xml:space="preserve"> Republic of the Philippines													 City of San Carlos													 Negros Occidental													 									                  			REBIDDING	 INVITATION TO BID											FOR SALE	 			PURCHASE REQUEST NO: 1-20-03-0462				P 150.00	 Sealed bids for quotat</t>
  </si>
  <si>
    <t xml:space="preserve"> Republic of the Philippines Region XII Province of Cotabato Municipality of Makilala  OFFICE OF THE BIDS AND AWARD COMMITTEE REQUEST FOR QUOTATION (NEGOTIATED PROCUREMENT-TWO FAILED BIDDINGS)           The Municipality of Makilala, through the DOLE Integr</t>
  </si>
  <si>
    <t xml:space="preserve"> REQUEST FOR 2020 TERMITE TREATMENT AND CONTROL FOR SSS ZAMBOANGA BRANCH OFFICE PEST COVERED: SUBTERRANEAN TERMITE ("ANAY")  SCOPE OF WORK: A. IN GROUND STATIONS (OUTDOOR)     a. SSS garage Area     b. SSS ground Level Storage Rooms (2) B. ABOVE GROUND (IN</t>
  </si>
  <si>
    <t xml:space="preserve"> REQUEST FOR QUOTATION Office Supplies Expenses (PCADG-5020301000-1077-2020) 1.	The Philippine National Police Community Affairs and Development Group, through its Bidsand Awards Committee(BAC), will undertakea Small Value Procurement (SVP) for the procure</t>
  </si>
  <si>
    <t xml:space="preserve"> OFFICE OF THE EXECUTIVE DIRECTOR Administration, Resource Management and Support Services June 17, 2020  Section I. Invitation to Bid SUPPLY AND DELIVERY OF OFFICE FURNITURE, DEVICES, AND  ELECTRICAL, BUILDING AND UTILITY SUPPLIES The Philippine Council f</t>
  </si>
  <si>
    <t xml:space="preserve"> 1 contract Catering Services for Barangay Disaster Risk Reduction &amp; Mgt. Committee (BDRRMC) Meeting (KALAHI-CIDSS:NCDDP)</t>
  </si>
  <si>
    <t xml:space="preserve"> See attached file.........</t>
  </si>
  <si>
    <t xml:space="preserve"> Republic of the Philippines  City of Canlaon Office of the Bids and Awards Committee  INVITATION TO BID FOR the Improvement of Brgy. Multi-purpose Building The Local Government of Canlaon City, through AIP 2020. Intends to apply the sum One Million Four H</t>
  </si>
  <si>
    <t xml:space="preserve"> Procurement of HDPE Pipe and Compression Fittings for the Improvement of Sta. Elena Water System</t>
  </si>
  <si>
    <t xml:space="preserve"> Item No.	Unit	Description	Qty 1	units	Cot Bed	360 * * * * * * * * * * * * * * * * * * * * * * * * NOTHING FOLLOWS * * * * * * * * * * * * * * * * * * * * * * * *</t>
  </si>
  <si>
    <t xml:space="preserve"> Republic of the Philippines Region XII Province of Cotabato Municipality of Makilala  OFFICE OF THE BIDS AND AWARD COMMITTEE REQUEST FOR QUOTATION (NEGOTIATED PROCUREMENT-TWO FAILED BIDDINGS)           The Municipality of Makilala, through the TRUSTFUND u</t>
  </si>
  <si>
    <t xml:space="preserve"> delivery of materials, installation and other scope of work</t>
  </si>
  <si>
    <t xml:space="preserve"> Republic of the Philippines													 City of San Carlos													 Negros Occidental													 									                  			REBIDDING	 INVITATION TO BID											FOR SALE	 			PURCHASE REQUEST NO: 1-20-03-0446				P 150.00	 Sealed bids for quotat</t>
  </si>
  <si>
    <t xml:space="preserve"> Invitation to Bid No. 2020-03 Republic of the Philippines Batangas City Invitation to Bid for the Purchase of Collapsible Tents for the use of Barangay Bucal, Batangas City. The Barangay Government through the Office of the Brgy. Chairman intends to apply</t>
  </si>
  <si>
    <t xml:space="preserve"> REQUEST  FOR  QUOTATION RFQ NO. 2020-06-18-(8080) 								   		PR No. 2020-377 									    		                   June 18, 2020        Date Company Name:	__________________________________________ Address		:	__________________________________________ Pleas</t>
  </si>
  <si>
    <t xml:space="preserve"> Please quote your lowest price and take note of the ff: 25 pcs metal furring 2x3 5 pcs hardiflex 1 box black screw 2 box blind rivet 5x32x3/4 4 gallon QDE white paint 2 gallon glazing putty 1 gallon paint thinner 2 pcs baby roller #2 2 pcs paint brush 1 p</t>
  </si>
  <si>
    <t xml:space="preserve"> T. AWAD ECHEVARRIA ELEM SCHOOL - GENERAL MERCHANDISE</t>
  </si>
  <si>
    <t xml:space="preserve"> Educational Materials and Supplies</t>
  </si>
  <si>
    <t xml:space="preserve"> Republic of the Philippines  City of Canlaon Office of the Bids and Awards Committee  INVITATION TO BID FOR the Procurement of Sound System Equipment The Local Government of Canlaon City, through AIP 2020. Intends to apply the sum One Hundred Fifty Seven </t>
  </si>
  <si>
    <t xml:space="preserve"> Republic of the Philippines								 Province of Ilocos Norte								 Municipality of Paoay								 								 REQUEST FOR QUOTATION								 								 					Date:		6/23/2020	 					Qoutation No:		2020-127	 THE MANAGER				 				 								 								 								        </t>
  </si>
  <si>
    <t xml:space="preserve"> RFQ2020-06-0958 Category	Item No.	QTY	Unit of Issue	Item Description	Stock No. / APP NO	Estimated Unit Cost	Estimated Cost Information Technology		6	unit	Document Scanner Type: Sheet Fed Scanner Scanner Type: Automatic Document Feeder / Sheet Feed Scannin</t>
  </si>
  <si>
    <t xml:space="preserve"> REQUEST FOR QUOTATION Other Supplies &amp; Materials Expenses (PCADG-5020399000-1078-2020) 1.	The Philippine National Police Community Affairs and Development Group, through its Bids and Awards Committee(BAC), will undertake a Small Value Procurement (SVP) fo</t>
  </si>
  <si>
    <t xml:space="preserve"> For supply and delivery of the following: 100	pc	Canon Pixma Black 47			 100	pc	Canon Pixma Color 57			 3	pc	C13T188190 Black			 3	pc	C13T188290 Cyan			 3	pc	C13T188390 Magenta			 3	pc	C13T188490 Yellow			 10	pc	HP 704 Ink Cartridge -Black			 10	pc	HP 704</t>
  </si>
  <si>
    <t xml:space="preserve"> For Organic Agriculture Production NC II epublic of the Philippines Technical Education and Skills Development Authority PROVINCE OF BILIRAN Cabucgayan National School of Arts and Trades Libertad, Cabucgayan, Biliran Email Address: tesdacnsat@yahoo.com Pl</t>
  </si>
  <si>
    <t xml:space="preserve"> REQUEST FOR QUOTATION Printing &amp; Publication Expenses (PCADG-5029902000-1079-2020) 1.	The Philippine National Police Community Affairs and Development Group, through its Bids and Awards Committee(BAC), will undertake a Small Value Procurement (SVP) for th</t>
  </si>
  <si>
    <t xml:space="preserve"> For specification details, please contact MR. JEFFERSON O. CORUNO at 09157584241 or email at psuprocurementunit@gmailcom or procurement@parsu.edu.ph</t>
  </si>
  <si>
    <t xml:space="preserve"> Procurement and Delivery of Construction Supplies and Materials for the Construction of  Drainage Location: Sitio Cala-cala, Cogon, Balingasag, Misamis Oriental</t>
  </si>
  <si>
    <t xml:space="preserve"> CAGAYAN STATE UNIVERSITY Aparri, Cagayan REQUEST FOR QUOTATION Gentlemen: 	Please quote your government price, taxes included, FBO 		 stating the shortest time for delivery on the items listed as per specification indicated and furnishing description broc</t>
  </si>
  <si>
    <t xml:space="preserve"> Specifications: (Minimum Requirements)  Processor:        Branded, with Minimum 9th Gen Processor, 6 cores and 6 threads, Minimum Base Frequency 3.00Ghz Motherboard: Branded, Heavy Duty Motherboard that Support: 9th Gen Processor Minimum of 2 Dual Channel</t>
  </si>
  <si>
    <t xml:space="preserve"> SUPPLY AND DELIVERY OF CONSTRUCTION MATERIALS FOR THE CONSTRUCTION OF STEEL BILLBOARD FRAMES CHARGE TO : RED ORCHID AWARD CASH GRANT</t>
  </si>
  <si>
    <t xml:space="preserve"> Item No.	Unit	Description	Qty 1	Lot	Catering services of OG3,PA (Attached is the Terms and Conditions)	1 * * * * * * * * * * * * * * * * * * * * * * * * NOTHING FOLLOWS * * * * * * * * * * * * * * * * * * * * * * * *</t>
  </si>
  <si>
    <t xml:space="preserve"> SOCORRO WATER DISTRICT CCC No. 628 Socorro, Surigao del Norte Through: Socorro Water District’s Bids and Awards Committee (BAC) REQUEST FOR QUOTATION The General Services Department Officer is inviting all prospective contractors/suppliers to submit their</t>
  </si>
  <si>
    <t xml:space="preserve"> Republic of the Philippines PROVINCE OF NORTHERN SAMAR Municipality of Lavezares -oOo- INVITATION TO APPLY FOR ELIGIBILITY AND TO BID 		The Local Government Unit of Lavezares, Province of Northern Samar invites bidders/ 	contractors to apply for eligibili</t>
  </si>
  <si>
    <t xml:space="preserve"> Reference No. PR # 20-06-0771 PRICE QUOTATION FORM (BID FORM) Sealed Bids shall be dropped in the BIDDERS BOX on or before 2:00 P.M.  June 25, 2020   placed at the office of the Chairman of the College BAC. Thereafter, the Bidder's Box shall be sealed unt</t>
  </si>
  <si>
    <t xml:space="preserve"> Republic of the Philippines													 City of San Carlos													 Negros Occidental													 										                 		REBIDDING	 INVITATION TO BID											FOR SALE	 			PURCHASE REQUEST NO: 1-20-05-0581				P 300.00	 Sealed bids for quotati</t>
  </si>
  <si>
    <t xml:space="preserve"> Republic of the Philippines  Province of Samar Municipality of Jiabong Invitation to Bid  Emergency Purchase in Response to Covid19 Vice-Mayor’s Office Jiab-2020-36A The Municipal Government of Jiabong, Samar, through LGU OF JIABONG   intends to apply the</t>
  </si>
  <si>
    <t xml:space="preserve"> Republic of the Philippines													 City of San Carlos													 Negros Occidental													 													 INVITATION TO BID											FOR SALE	 			PURCHASE REQUEST NO: 1-20-06-0693				P 300.00	 Sealed bids for quotation of prices will be recei</t>
  </si>
  <si>
    <t xml:space="preserve"> Number: 	Quantity: 	Unit	PPMP_Code	PPMP_Code1	PPMP_Code2	PPMP_Remarks	Articles	Specifications	StockNo	Unit_Cost	Estimated_Cost 1.	11	bag	2402-25976		2402-25976-		carbofuran  20k/bag			1,500.00	16,500.00 2.	10	roll	2402-26425		2402-26425-		Drying Net	black</t>
  </si>
  <si>
    <t xml:space="preserve"> Purchase of 2 units laptop for Mayor's Office &amp; Public Information Office</t>
  </si>
  <si>
    <t xml:space="preserve"> RFQ2020-06-0961 Category	Item No.	QTY	Unit of Issue	Item Description	Stock No. / APP NO	Estimated Unit Cost	Estimated Cost Information Technology		6	set	DESKTOP COMPUTER (BRANDED) Processor 6400 5 core Processor and up (6M Cache, up to 3.30 GHz) B150 Expr</t>
  </si>
  <si>
    <t xml:space="preserve"> Description Republic of the Philippines PROVINCE OF DINAGAT ISLANDS Municipality of Basilisa -o0o- BIDS AND AWARDS COMMITTEE -o0o- INVITATION TO APPLY FOR ELIGIBILITY AND TO BID The Municipality of Basilisa, Dinagat, Islands through its Bids and Awards Co</t>
  </si>
  <si>
    <t xml:space="preserve"> Republic of the Philippines													 City of San Carlos													 Negros Occidental													 													 INVITATION TO BID											FOR SALE	 			PURCHASE REQUEST NO: 1-20-06-0638				P 150.00	 Sealed bids for quotation of prices will be recei</t>
  </si>
  <si>
    <t xml:space="preserve"> 1    UNIT     Computer with complete accessories</t>
  </si>
  <si>
    <t xml:space="preserve"> .                               - Republic of the Philippines CITY OF MARIKINA SF-GOOD-05											Mkna-GSO-20-278                                Revised on: July 28, 2004				 														 	BIDS AND AWARDS COMMITTEE		 NOTICE OF PROPOSED PROCUREMENT The</t>
  </si>
  <si>
    <t xml:space="preserve"> 1. The City Government of Calamba through the General Fund intends to apply the sum of Php 240,000.00 being the Approved Budget for the Contract (ABC) to payments under the contract for G-2020-339 Supply and Delivery of Meals &amp; Snacks, Sangguniang Panlung</t>
  </si>
  <si>
    <t xml:space="preserve"> FOR TRACTOR MAINTENANCE LGU Cabagan Cabagan, Isabela</t>
  </si>
  <si>
    <t xml:space="preserve"> LGU,BATUAN, BOHOL																 REQUEST FOR QUOTATION																 																 ________________________																 ________________________																 ________________________																 Please quote your lowest price on the item/</t>
  </si>
  <si>
    <t xml:space="preserve"> Republic of the Philippines Region XII Province of Cotabato Municipality of Makilala  OFFICE OF THE BIDS AND AWARD COMMITTEE INVITATION TO BID N0. 2020-007 (Re-Bidding)            The Municipality of Makilala, through the Municipal Disaster Risk Reduction</t>
  </si>
  <si>
    <t xml:space="preserve"> Please see attached RFQ-PQF and Line items</t>
  </si>
  <si>
    <t xml:space="preserve"> Supply and Delivery of 1 set - Multi beam Sensor for Mitsubishi Elevator</t>
  </si>
  <si>
    <t xml:space="preserve"> 1.	2,529.08	liter/s	Diesel Fuel</t>
  </si>
  <si>
    <t xml:space="preserve"> Republic of the Philippines													 City of San Carlos													 Negros Occidental													 													 INVITATION TO BID											FOR SALE	 			PURCHASE REQUEST NO: 1-20-06-0701				P 300.00	 Sealed bids for quotation of prices will be recei</t>
  </si>
  <si>
    <t xml:space="preserve"> ITEM NO.	ITEM &amp; DESCRIPTION	 BRAND	UOM	QTY. 1	Folding table Color: White, Light Weight design folds flat for easy transport and storage; Dimensions as 26 in. (Length) x 18 in (Width) x 24 in. – 28 in. (Height), UV-Protected top is stain resistant		Pcs	50 </t>
  </si>
  <si>
    <t xml:space="preserve"> Invitation to Bid for the Supply and Delivery of various Medicine for the use of Brgy. Pinamucan Silangan, Batangas City.</t>
  </si>
  <si>
    <t xml:space="preserve"> REQUEST  FOR  QUOTATION RFQ NO. 2020-06-18-(8079) 								   		PR No. 2020-378 									    		                   June 18, 2020        Date Company Name:	__________________________________________ Address		:	__________________________________________ Pleas</t>
  </si>
  <si>
    <t xml:space="preserve"> Item No.	Unit	Description	Qty 1	set	IBM Storage Expansion	1 2	set	Hard Drive for IBM Storage	1 * * * * * * * * * * * * * * * * * * * * * * * * NOTHING FOLLOWS * * * * * * * * * * * * * * * * * * * * * * * *</t>
  </si>
  <si>
    <t xml:space="preserve"> EQ REQUEST FOR QUOTATION (RFQ)  SUPPLY AND DELIVERY OF NOTEBOOK/LAPTOP COMPUTER UNDER EMB-EIAMD RFQ NO. EMB-EIAMD-SHOPPING-0030-6-22-2020-3rd Posting   1.	The Department of Environment and Natural Resources – Environmental Management Bureau (DENR-EMB) her</t>
  </si>
  <si>
    <t xml:space="preserve"> Republic of the Philippines							 Department of Education							 REGION XII							 SCHOOLS DIVISION OF SOUTH COTABATO							 							 			Date:			June 8, 2020	 			RFQ No.:			DSC-20-05-100	 			Mode of Procurement:			NP-Emergency cases	 							 Request for Q</t>
  </si>
  <si>
    <t xml:space="preserve"> HDPE Pond Liner			7	roll	742,350.00 Thickness: 0.5mm					 Specification: 					 0.5mm x 7mm x 150mm per roll = 1,050 sq.m/roll					 Warranty:					 1 year on parts and services					 Installation:					 within one (1) month upon delivery, includes materials, </t>
  </si>
  <si>
    <t xml:space="preserve"> Earthworks, Sub-base and Base Course, Surface Course, Bridge Construction, Slope Protection Structures, Miscellaneous</t>
  </si>
  <si>
    <t xml:space="preserve"> Ref. No: INFRA-2020- 08 Republic of the Philippines Province of Southern Leyte MUNICIPALITY OF MACROHON INVITATION  TO BID FOR THE CONSTRUCTION OF LEGISLATIVE BUILDING ( Phase 5)      The  Municipality  of  Macrohon , through  the Supplemental Budget No. </t>
  </si>
  <si>
    <t xml:space="preserve"> INVITATION TO BID									 									 The Barangay Tigpalay, Municipality of Tungawan, Province of Zamboanga Sibugay,  through its Bids and Awards Committee 									 Committee (BAC), invites suppliers/ manufacturers/ distributors / contractors to apply fo</t>
  </si>
  <si>
    <t xml:space="preserve"> for RHU Consultation LGU Cabagan Cabagan, Isabela</t>
  </si>
  <si>
    <t xml:space="preserve"> PROCUREMENT AND DELIVERY OF ICT EQUIPMENT FOR TOURISM OFFICE, MENR OFFICE &amp; OMM-SLAUGHTERHOUSE LOT 1 - LCD PROJECTOR WITH WHITE SCREEN (TOURISM OFFICE) LOT 2 - ICT EQUIPMENT FOR MENRO (LAPTOP) LOT 3 - ICT EQUIPMENT FOR OMM-SLAUGHTERHOUSE (LAPTOP) **PLEASE</t>
  </si>
  <si>
    <t xml:space="preserve"> Please be informed that additional specifications for the Supply and Delivery of Tires and Batteries for Government Heavy Equipment Use, which was inadvertently indicated and published in the PhilGEPS.  FROM Tire, 23.5 x 25, 18/20 PR, Tube Type Tire, 23.1</t>
  </si>
  <si>
    <t xml:space="preserve"> 1. The City Government of Calamba through the General Fund intends to apply the sum of Php 234,032.40 being the Approved Budget for the Contract (ABC) to payments under the contract for G-2020-347 Supply and Delivery of Office &amp; Janitorial Supplies, Sangg</t>
  </si>
  <si>
    <t xml:space="preserve"> Drugs and Medicines Expense</t>
  </si>
  <si>
    <t xml:space="preserve"> Republic of the Philippines Province of Sultan Kudarat Municipality of Columbio BIDS AND AWARD COMMITTEE June 22, 2020 INVITATION TO BID The Municipal Government of Columbio through the Bids and Awards Committee (BAC) is inviting supplier for the Provisio</t>
  </si>
  <si>
    <t xml:space="preserve"> Item No.	Unit	Description	Qty 1	pcs	Work Table stainless 122" x 44"	2 * * * * * * * * * * * * * * * * * * * * * * * * NOTHING FOLLOWS * * * * * * * * * * * * * * * * * * * * * * * *</t>
  </si>
  <si>
    <t xml:space="preserve"> INVITATION TO BID 1.	The Santa Maria Water District (SMWD) through the Corporate Operating Budget for the year 2020 intends to apply the sum of TWO MILLION SEVENTY-TWO THOUSAND ONE HUNDRED SEVENTY-FIVE PESOS (P 2,072,175.00) being the Approved Budget for </t>
  </si>
  <si>
    <t xml:space="preserve"> RFQ2020-06-0954 Category	Item No.	QTY	Unit of Issue	Item Description	Stock No. / APP NO	Estimated Unit Cost	Estimated Cost Information Technology Parts &amp; Accessories &amp; Perip		10	rolls	Network Cable, CAT 6, COLOR BLUE/GREY/WHITE 4 Pairs unshielded Twisted </t>
  </si>
  <si>
    <t xml:space="preserve"> 1	200	copies	Printing and Binding of Revised Revenue Code of 2020 of Ilocos Norte 			 - Inside : Book Paper #70 			 - Cover : Mirrorkote (glossy) #189 Full color front 			 - Paper size : 9" x 12" 			 - Font : Arial 12, -62 pages plus front (colored) and b</t>
  </si>
  <si>
    <t xml:space="preserve"> 15. 100 pcs LED Bulb w/ warranty warm white 23 watts latest generation 72mm x 712mm 17. 200 lgths RLL S4S 1” x 2” 12’ 23. 5 kls Flat Head Nails ½” 24. 10 shts GI Plain Sheets 0.40mm 38. 8 gals Quick Dry Enamel Paint Silver Aluminum 39. 10 pcs Paint Brush </t>
  </si>
  <si>
    <t xml:space="preserve"> Please quota your best price 10 pcs of Magazine File Folder (Legal Size) ABC 1,500.00 10 pcs of Brother BT 5000 Ink (Cyan) ABC 3,950.00 10 pcs of Brother BT 5000 Ink (Magenta) ABC 3,950.00 10 pcs of Brother BT 5000 Ink (Yellow) ABC 3,950.00 10 pcs of Brot</t>
  </si>
  <si>
    <t xml:space="preserve"> 1.     2     UNITS     SPLIT TYPE AIRCON 2.5HP, BRAND NEW, BRANDED, INCLUSIVE OF INSTALLATION</t>
  </si>
  <si>
    <t xml:space="preserve"> LAPTOP USE AT THE OFFICE OF THE MUNICIPAL CIVIL REGISTRAR **PLEASE REFER TO THE ATTACHED PURCHASE REQUEST AT THE ASSOCIATED COMPONENTS SECTION FOR FURTHER DETAILS.</t>
  </si>
  <si>
    <t xml:space="preserve"> The Bids and Awards Committee								 Province of Iloilo								 								      In connection with your Invitation to Bid No. PEO-20-0502 B (Rebid) scheduled on June 30, 2020, I/we proposed to furnish and deliver in conformity with the terms and conditions</t>
  </si>
  <si>
    <t xml:space="preserve"> Watchman Services (March 2020-Dec.2020)</t>
  </si>
  <si>
    <t xml:space="preserve"> Please quote your best price 6 pcs of Ink CE285AC for HP LaserJet P1102 ABC 12,000.00 3 pcs of Ink CB435A for HP LaserJet P1006 ABC 5,700.00 6 pcs of Ink 678, Black for HP DeskJet 1515 ABC 3,000.00 6 pcs of Ink 678, Multi-color for HP Deskjet 1515 p 3,000</t>
  </si>
  <si>
    <t xml:space="preserve"> 1 set Alternator GP &amp; 1 L/I</t>
  </si>
  <si>
    <t xml:space="preserve"> For Sewing of Face Mask Republic of the Philippines Technical Education and Skills Development Authority PROVINCE OF BILIRAN Cabucgayan National School of Arts and Trades Libertad, Cabucgayan, Biliran Email Address: tesdacnsat@yahoo.com Please quote your </t>
  </si>
  <si>
    <t xml:space="preserve"> Brass Ball Valve 1/2", (Lock Head C") ISO - 1,695 PCS  Brass Check Valve 1/2" ISO - 1,130 PCS   G.I Union Patente 1/2" Sch 40 std - 1,550 PCS  G.I Coupling Reducer 3/4" Sch 40 std - 2,550 PCS  G.I Street Elbow ½” Sch 40 std - 1,575 PCS  G.I Bushing 1”x1/2</t>
  </si>
  <si>
    <t xml:space="preserve"> Republic of the Philippines								 NATIONAL IRRIGATION ADMINISTRATION								 MAGAT RIVER INTEGRATED IRRIGATION SYSTEM								 Division I Batal, Santiago City								 								 							Quotation/Bid No.	 Company Name							PR No.:	ONM2020-06-008 							Dat</t>
  </si>
  <si>
    <t xml:space="preserve"> Supply and Delivery of Materials for various Masonry &amp; carpentry Works at the Isuzu Training Centre                The Technical Education and Skills Development Authority (TESDA), through the Supply Unit/FASD , will undertake a Small Value Procurement (5</t>
  </si>
  <si>
    <t xml:space="preserve"> Office Chair</t>
  </si>
  <si>
    <t xml:space="preserve"> RENEWAL OF BARANGAY PPSAS ACCOUNTING SYSTEM	1 SYSTEM	 THE SOFTWARE IS CAPABLE OF GENERATING THE FOLLOWING REPORTS:		 1. PRELIMINARY TRIAL BALANCE (PER BARANGAY AND CONSOLIDATED)		 2.FINAL TRIAL BALANCE/BALANCE SHEET(PER BARANGAY AND		 CONSOLIDATED)		 3. S</t>
  </si>
  <si>
    <t xml:space="preserve"> PREVENTIVE MAINTENANCE OF CLOSED-CIRCUIT TELEVISION (CCTV)  UNDER SSS MINDANAO WEST DIVISION FOR 3RD &amp; 4TH QUARTERS OF 2020   COST ESTIMATES:          BRANCHES          3RD QUARTER 2020     4TH QUARTER 2020 1. BASILAN BRANCH         Php5,727.25           </t>
  </si>
  <si>
    <t xml:space="preserve"> PURCHASE AND DELIVERY OF EQUIPMENT FOR IMPLEMENTATION OF DA-BAR PROMOTION OF RECOMMENDED RICE VARIETIES PROJECT **PLEASE REFER TO THE ATTACHED PURCHASE REQUEST AT THE ASSOCIATED COMPONENTS SECTION FOR FURTHER DETAILS.</t>
  </si>
  <si>
    <t xml:space="preserve"> Republic of the Philipppines Province of Palawan Municipality of Taytay BIDS AND AWARDS COMMITTEE RFQ no.:2020 Date: June 23, 2020 REQUEST FOR PRICE QUOTATION (Procurement of various) Sir/Madam: You're hereby invited to quote your price(s) on the article(</t>
  </si>
  <si>
    <t xml:space="preserve"> Invitation to Bid for the Supply and Delivery of various Medicine for the use of Brgy. Pagkilatan, Batangas City</t>
  </si>
  <si>
    <t xml:space="preserve"> LGU-BAROBO		Project Reference Number			 Name of Procuring Entity		Supply and Delivery of Fuel (diesel)			 					 			Barobo, Surigao del Sur		 Standard Form Number: SF-GOOD-60					 Revised on: May 24, 2004					 Standard Form Title: REQUEST FOR QUOTATION				</t>
  </si>
  <si>
    <t xml:space="preserve"> Republic of the Philippines  Province of Samar Municipality of Jiabong Invitation to Bid  Emergency Purchase in Response to Covid19 RHU Office Jiab-2020-37A The Municipal Government of Jiabong, Samar, through LGU OF JIABONG   intends to apply the sum of S</t>
  </si>
  <si>
    <t xml:space="preserve"> INVITATION TO BID Streetlighting Project Along Provincial Road Identification No. TAMP-PB-GOODS-05-2020 1.	The Local Government of Tampakan, through the 20% MDF 2020/8918-3001-07-03-050 intends to apply the sum of Seven Hundred Thirty Eight Thousand Five </t>
  </si>
  <si>
    <t xml:space="preserve"> CONSTRUCTION OF 7.15M X 9.15M SCHOOL BUILDING</t>
  </si>
  <si>
    <t xml:space="preserve"> - see the attached RFQ, submit necessary file and sent to this ; email : johnedmar.barairo@deped.gov.ph - phone no. (049) 530-0284 - we prioritize bidder/supplier who completed and complied the process. - if system error occur pls. contact us.</t>
  </si>
  <si>
    <t xml:space="preserve"> Republic of the Philippines Province of Laguna MUNICIPALITY OF LUISIANA BARANGAY ZONE II INVITATION TO BID 1.	Barangay Zone II, Luisiana, Laguna intends to apply the sum of One Hundred Thousand Pesos (Php 100,000.00) being the Approved Budget for the Cont</t>
  </si>
  <si>
    <t xml:space="preserve"> 1.LED TV (32") 26 units 2.LED TV (42") 3 units 3.Webcam (720P minimum resolution) (40) units 4.High - speed HDMI cable (5 meters) (32) length 5.High - speed HDMI cable (10 meters) (5) length 6.High -  speed HDMI cable (20 meters (4) length 7.Audio  mixer </t>
  </si>
  <si>
    <t xml:space="preserve"> Republic of the Philippines Province of Eastern Samar Municipality of Guiuan Invitation to Bid  for  SUPPLY AND DELIVERY OF MATERIALS FOR PROPOSED BRGY. ROAD CONCRETING AT SITIO CABCAO, BRGY. BUCAO, GUIUAN, EASTERN SAMAR Barangay Bucao of Guiuan,  through</t>
  </si>
  <si>
    <t xml:space="preserve"> Republic of the Philippines Province of Davao Oriental CITY OF MATI REQUEST FOR QUOTATION 			 Date:	18 JUNE 2020 RFQ No.:	0812-2020 Name of Company: __________________________________________________________________________________________________________</t>
  </si>
  <si>
    <t xml:space="preserve"> June 22, 2020 REQUEST FOR QUOTATION (RFQ) ISOSORBIDE DINITRATE 1MG/ML, 10ML 1.	The Batangas Medical Center hereinafter referred to as the “Purchaser” now request for submission of price proposal for the procurement of the aforesaid item described in the T</t>
  </si>
  <si>
    <t xml:space="preserve"> Republika ng Pilipinas PAMAHALAANG LUNGSOD NG TACLOBAN (City Government of Tacloban) Kanhuraw Hill, Tacloban City 6500 Tel. Nos.  325-4053 BIDS AND AWARDS COMMITTEE 	INVITATION TO SUBMIT PRICE QUOTATIONS 1st Posting BIDSTAC # SB 026-2020 (7059620). 	     </t>
  </si>
  <si>
    <t xml:space="preserve"> 2000	pcs	tooth brush small 2000	pcs	tooth paste 100ml 2000	pcs	bath soap 60g 2000	pcs	alcohol 250 ml 2000	pcs	eco bag small</t>
  </si>
  <si>
    <t xml:space="preserve"> PROCUREMENT OF SUPPLY OF LABOR AND MATERIALS FOR THE REPLACEMENT OF UNSERVICEABLE COMPRESSOR OF AIR CONDITIONING SYSTEM SERVICING 3RD FLOOR QUANDRANT C OF PALACIO DEL GOBERNADOR BUILDING DESCRIPTION: Supply of Labor and Materials, Installation, system rep</t>
  </si>
  <si>
    <t xml:space="preserve"> Department of Education Region VI-Western Visayas Division of Cadiz City Mabini National High School NOTICE FOR NEGOTIATED PROCUREMENT OF PROGRAMMING EQUIPMENT AND MATERIALS 1.	Mabini National High School, Division of Cadiz City, through the Schools MOOE </t>
  </si>
  <si>
    <t xml:space="preserve"> Canon imageCLASS Cartridge Genuine Toner Black (46)			20	Piece	216,000.00 Canon imageCLASS Cartridge Genuine Toner Cyan (46)			15	Piece	147,000.00 Canon imageCLASS Cartridge Genuine Toner Magenta (46)			15	Piece	147,000.00 Canon imageCLASS Cartridge Genui</t>
  </si>
  <si>
    <t xml:space="preserve"> The MUNICIPALITY OF PAMPLONA through the Bids and Awards Committee (BAC), invites suppliers/bidders to apply for eligibility and to bid for the supply of construction materials for the following project: Name of Project	: materials for the Additional Fund</t>
  </si>
  <si>
    <t xml:space="preserve"> The MUNICIPALITY OF PAMPLONA through the Bids and Awards Committee (BAC), invites suppliers/bidders to apply for eligibility and to bid for the supply of construction materials for the following project: Name of Project	: materials for the Construction of</t>
  </si>
  <si>
    <t xml:space="preserve"> Supply of Labor and Materials for the Rehabilitation/Installation of Additional Service PIpelines 3" in Terogo-Ilawod, Caramoan, Camarines Sur (Phase 1)</t>
  </si>
  <si>
    <t xml:space="preserve"> Republic of the Philippines													 City of San Carlos													 Negros Occidental													 													 INVITATION TO BID											FOR SALE	 			PURCHASE REQUEST NO: 1-20-06-0706				P 150.00	 Sealed bids for quotation of prices will be recei</t>
  </si>
  <si>
    <t xml:space="preserve"> Item No.	Unit	Description	Qty 1	box	Facial Tissue (3ply)	24 2	pcs	Hand Sanitizer (500ml)	24 3	pcs	Hand Soap (550ml_)	24 4	pcs	Paper Bag (L)	100 5	box	Tea	24 6	boxes	Mineral Water (300ml)	24 7	boxes	Juice in Can (220 ml)	24 8	can	Assorted Biscuit	24 9	pcs	</t>
  </si>
  <si>
    <t xml:space="preserve"> INVITATION TO BID FOR THE SUPPLY, DELIVERY, INSTALLATION AND COMMISSIONING OF VARIOUS MEDICAL EQUIPMENT (HFEP) (IB NO. 2020-GOODS-015-01-0623) 1.	The ILOCOS TRAINING AND REGIONAL MEDICAL CENTER (ITRMC), through the GAA, FY 2020 (HFEP Fund), intends to app</t>
  </si>
  <si>
    <t xml:space="preserve"> REPAIR OF CEILING AND FABRICATION OF STEEL STAIRCASE AT HEALTH CENTER</t>
  </si>
  <si>
    <t xml:space="preserve"> ITB No. 2020-76 June 23, 2020 Republic of the Philippines Province of Davao Oriental CITY OF MATI INVITATION TO BID CONSTRUCTION OF MATI CREEK VERDANT WALL Name of Project 1.	The City Government of Mati, through the 20% Local Development Fund intends to a</t>
  </si>
  <si>
    <t xml:space="preserve"> CONSULTANCY SERVICES OF (6) SIX PHYSICIANS</t>
  </si>
  <si>
    <t xml:space="preserve"> 36	Cart	Canon Ink Cartridge 810 Black, ABC 950.00/cart 24	Cart	Canon Ink Cartridge 811 Color, ABC 1,250.00/cart RFQ#06-0655R</t>
  </si>
  <si>
    <t xml:space="preserve"> Republic of the Philippines Province of Palawan Municipality of Roxas BIDS AND AWARDS COMMITTEE INVITATION TO BID FOR THE SUPPLY AND DELIVERY OF FUEL, OIL AND LUBRICANTS FOR THE REHABILITATION/ IMPROVEMENT OF LOCAL ROADS, MUNICIPAL WIDE ROXAS, PALAWAN The</t>
  </si>
  <si>
    <t xml:space="preserve"> Republic of the Philippines Province of Batanes MUNICIPALITY OF UYUGAN INVITATION TO BID FOR SUPPLY AND DELIVERY OF OFFICE SUPPLIES 1.	The Municipality of Uyugan, through the MOOE-Office Supplies Expenses intends to apply the sum of Php 163,903.00 being t</t>
  </si>
  <si>
    <t xml:space="preserve"> Purchase of Construction materials</t>
  </si>
  <si>
    <t xml:space="preserve"> One (1) unit LAPTOP * Intel core i7 processor, 8GB RAM DDR4 * 1TB HDD w/ dedicated graphics 2GB, Genuine Windows 10 OS x 64 * Genuine Microsoft Office Business Ed * With Headset, Mouse &amp; Laptop Bag One (1) unit LAPTOP * Intel core i5 processor, 4GB RAM DD</t>
  </si>
  <si>
    <t xml:space="preserve"> REQUEST FOR QUOTATION						 Standard Form Number: SF-GOOD-60						 Revised on: May 24, 2004						 Standard Form Title:Request for Quotation						 						 					Date:____________________	 					Quotation No. ______________	 ____________________________						 </t>
  </si>
  <si>
    <t xml:space="preserve"> Republic of the Philippines Province of Davao Oriental CITY OF MATI REQUEST FOR QUOTATION 			 Date:	18 JUNE 2020 RFQ No.:	0810-2020 Name of Company: __________________________________________________________________________________________________________</t>
  </si>
  <si>
    <t xml:space="preserve"> .                               - Republic of the Philippines CITY OF MARIKINA SF-GOOD-05											Mkna-GSO-20-279                                Revised on: July 28, 2004				 														 	BIDS AND AWARDS COMMITTEE		 NOTICE OF PROPOSED PROCUREMENT The</t>
  </si>
  <si>
    <t xml:space="preserve"> 80 pck 3 in 1 Coffee Decaf 22g and 38 other line items</t>
  </si>
  <si>
    <t xml:space="preserve"> PR2020-06-018 - Purchase and Delivery of Personal Protective Equipment and Supplies for use oft his office</t>
  </si>
  <si>
    <t xml:space="preserve"> ITEM: 2 pcs (DATA LOGGER) Internal Pressure TRansducer Connection PURPOSE: "PROP. 100MM PIPELINE EXTENSION WITH 14 UNITS 50MM MSO &amp; DMA @ SITIO DEL PUERTO CAMAMAN-AN, CDOC (W.O.#20-002-A)"		 ABC: PHP 220,000.00 DELIVERY SCHEDULE: 10 CALENDAR DAYS</t>
  </si>
  <si>
    <t xml:space="preserve"> Item No.	Unit	Description	Qty 1	PCS	Air Freshener 100G	50 2	Kgs	Corn Starch 2KG	50 3	Kgs	Purp Flour 800G	50 4	Pcs	Bath SOAP WHT 60G	25 5	Pcs	Full Cream Milk 200ML	30 6	Packages	Purified Drinking Water 500ML	50 7	Pcs	Juice Orange Flavor 500ML	50 8	Pcs	Juic</t>
  </si>
  <si>
    <t xml:space="preserve"> June 22, 2020 REQUEST FOR QUOTATION (RFQ) ASCORBIC ACID (VITAMINS C) 500MG, MULTIVITAMINS, FOLIC ACID 5MG, VITAMIN B1B5B12 100MG B1 + 5MG B6 + 50MCG B12, METHOTREXATE 25MG/ML 2ML (IM, IV, INTRATHECAL) (AS BASE), METHOTREXATE 25MG/ML 2ML INTRATHECAL PRESER</t>
  </si>
  <si>
    <t xml:space="preserve"> MATERIALS ONLY = P 106,600.00</t>
  </si>
  <si>
    <t xml:space="preserve"> Republic of the Philippines MUNICIPALITY OF ECHAGUE Province of Isabela INVITATION TO BID FOR  EXPENSES   ON  UGNAYAN SA BARANGAY; SPECIAL LAW MEDICAL AND DENTAL MISSION, TRAINING SEMINAR  OF BARANGAY TANOD,MONTHLY MEETING OF ADAC/MADAC/BARANGAY VISITATIO</t>
  </si>
  <si>
    <t xml:space="preserve"> 4 pcs Bolt Carriage 3/8" x5-1/2'' 3 pcs Bolt, Double Arming, 5/8" x 20" 4 pcs Bolt, Machine,1/2" x 6" 2 pcs Brace, angle1-1/2" x 1-1/2"x3/16" span 2 pcs Clamp Pole, 3 bolt 7"-9" (Single Support)</t>
  </si>
  <si>
    <t xml:space="preserve"> Municipality of  Sogod, Cebu					Contract Ref. No.-0004-2020 Proposed Road Concreting in Sitio Bontilao, Liki, Sogod, Cebu 		 Standard Form Number: SF-INFR-05 Revised on: July 29, 2004 INVITATION TO BID The Municipality of Sogod  through its Bids and Awar</t>
  </si>
  <si>
    <t xml:space="preserve"> Republic of the Philippines Region XII Province of Cotabato Municipality of Makilala  OFFICE OF THE BIDS AND AWARD COMMITTEE INVITATION TO BID N0. 2020-004 Re-Bidding            The Municipality of Makilala, through the DOLE Integrated Livelihood and Emer</t>
  </si>
  <si>
    <t xml:space="preserve"> 250   bot   D5 LR, 1L 144   bot   D5 LR, 500 ml 144   bot   D5 NM, 1L 180   bot   D5 IMB 500 ml 144   bot   D5 water 500 ml 144   bot   D5 water 1000 ml 144   bot   D5 NSS 1L 144   bot   D5 0.3% NaCL 1L 144   bot   D5 0.9% NaCL 1L 144   bot   Plain NSS, 5</t>
  </si>
  <si>
    <t xml:space="preserve"> 1-lot-ISO 9001:2015 Re-certification Audit</t>
  </si>
  <si>
    <t xml:space="preserve"> Invitation to Bid for the Procurement of Supplies     for the Rehabilitation of Multi-Purpose Hall Barangay Pudoc East, Tagudin, Ilocos Sur 1.	Barangay Pudoc East of Tagudin, Ilocos Sur, thru its Bids and Awards Committee intends to apply the sum of Ninet</t>
  </si>
  <si>
    <t xml:space="preserve"> Please find attach quotation.</t>
  </si>
  <si>
    <t xml:space="preserve"> Republic of the Philippines City of manila OFFICE OF THE BARANGAY COUNCIL BIDS AND AWARDS COMMITTEE INVITATION TO APPLY FOR ELIGIBILITY AND TO BID APPROVED BUDGET FOR THE CONTRACT: 285,000.00 PROCUREMENT OF: Office supplies and equipment</t>
  </si>
  <si>
    <t xml:space="preserve"> 15 drums Asphalt Cement, Penetration 60/70, ASTM D70 Specific Gravity @ 25C, ASTM D70, KG/cm3, 1.01/1.06 Penetration @ 25C, ASTM D5, mm/10, 60/70 Softening Point ˚C,ASTM D36,˚C, 49/56 Ductility @25˚C, ASTM D113, cm, 100 min Loss on Heating (wt) %, ASTM D6</t>
  </si>
  <si>
    <t xml:space="preserve"> INVITATION TO QUOTE Date:  June 22, 2020 1.	The Provincial Government of Davao del Sur, through its Bids and Awards Committee (BAC), invites all interested bidders/suppliers to quote for the following goods under Alternative Methods of Procurement ([Shopp</t>
  </si>
  <si>
    <t xml:space="preserve"> PROVISION OF LABOR AND MATERIAL SERVICES FOR THE INSTALLATION AND GENERAL SERVICING/RECONDITIONING OF 6 AIR-CONDITIONING UNITS Location: CENRO-Socorro Oriental Mindoro, Pasi II, Socorro, Oriental Mindoro Delivery of Services: with 15 days upon issuance of</t>
  </si>
  <si>
    <t xml:space="preserve"> Sporting Goods Basketball Volleyball</t>
  </si>
  <si>
    <t xml:space="preserve"> for eight (8) beneficiaries      -  Sinandomeng Rice  -  25 kg / sack  (18 sacks)</t>
  </si>
  <si>
    <t xml:space="preserve"> SUPPLY AND DELIVERY OF AIR CONDITIONING SYSTEM FOR BRGY. MALABAN CITY OF BINAN LAGUNA</t>
  </si>
  <si>
    <t xml:space="preserve"> Chicks - 500 heads Chick Booster Mash - 4 bags Chick Starter Crumble - 8 bags Chick Starter Grower -10 bags Multivitamins (Electrolytes) - 4 box Antibiotic (Powder) - 4 box Disinfectant - 8 gallons Infrared Lamp - 12 piece Knapsack Sprayer - 2 unit Newspa</t>
  </si>
  <si>
    <t xml:space="preserve"> 6	boxes	Bond Paper (Long) Subs. 20/70 gms		 6	boxes	Bond Paper (Short) Subs. 20/70 gms		 2	boxes	Bond Paper (A4) Subs. 20/70 gms		 4	boxes	Memeographing Paper (White Long) Subs.20		 4	boxes	Memeographing Paper (White Short) Subs. 20		 5	boxes	Sign Pen (Do</t>
  </si>
  <si>
    <t xml:space="preserve"> Rpr &amp; Maint DRR Equipment</t>
  </si>
  <si>
    <t xml:space="preserve"> INVITATION TO BID FOR THE  REHABILITATION OF MAGBABADIL BRIDGE I (BGY. MABINI, ABORLAN, PALAWAN) 1.	The Provincial Government of Palawan, through its 20% Development Fund (OBR No. 300-20-06-07376) account intends to apply the sum of Three Million One Hund</t>
  </si>
  <si>
    <t xml:space="preserve"> 1 unit, Dressing Carriage - dimension:  at least W40cm x L72cm x H81cm - material: stainless steel - accessories: 1-tray, 1-bowl, 1-pail, with bottle holders for 6x small glass bottle and 6x big glass bottle</t>
  </si>
  <si>
    <t xml:space="preserve"> Republic of the Philippines MUNICIPALITY OF ECHAGUE Province of Isabela INVITATION TO BID FOR  REPRESENTATION EXPENSES OF THE MAY0R 1.	The Local Government Unit , through  the  GENERAL   FUND  Of  2020   intends to apply the sum of  EIGHT MILLION PESOS (P</t>
  </si>
  <si>
    <t xml:space="preserve"> 300 cylinder Refilled Medical Oxygen, standard refill for use in Hilongos District Hospital.  w-w-w-w-w-w-w-w-w-w-w-w-w-w-w-w</t>
  </si>
  <si>
    <t xml:space="preserve"> 1	gal	ALCOHOL, 70%, ethyl, 1 gallon 2	pcs	SIGN PEN, black 3	pcs	Handy Sprayer(500ml capacity) 4	box	Face Mask 5	gals	Zonrox (gallon) 6	pcs	Hand Sanitizer (500ml) 7	bottle	Hand Soup 8	box	STAPLE WIRE, Heavy duty, 23/13 (max) 9	pcs	STAPLER, Standard type (2</t>
  </si>
  <si>
    <t xml:space="preserve"> Municipality of  Sogod, Cebu					Contract Ref. No.-0005-2020 Proposed Road Concreting in Sitio Ocao - Brgy. Takay, Sogod, Cebu 		 Standard Form Number: SF-INFR-05 Revised on: July 29, 2004 INVITATION TO BID The Municipality of Sogod  through its Bids and </t>
  </si>
  <si>
    <t xml:space="preserve"> 100 copies Printing of 2019 NIPSC Annual Report</t>
  </si>
  <si>
    <t xml:space="preserve"> for seventeen (17) beneficiaries: - Sinandomeng rice  :  25 kg/sack, 4 sacks - Detergent powder, 65g 6's, 12 packs - Bar soap, 130g  :  20 pcs - Fabric conditioner 26ml  : 8 dozens - Anti Dandruff shampoo, tr0sachet  :  6 dozens - Regular shampoo tri-sach</t>
  </si>
  <si>
    <t xml:space="preserve"> Procurement Of Medical Supplies for COVID-19 - 129,570.00</t>
  </si>
  <si>
    <t xml:space="preserve"> 30  bxs.  Plain LR 1L 12's bot 30  bxs.  Plain NSS 1L 12's bot 8    bxs.  D5 0.9 NaCl 1L 12's bot w-w-w-w-w-w-w-w-w-w-w-w-w-w</t>
  </si>
  <si>
    <t xml:space="preserve"> 1 unit, BP Apparatus, desk type, aneroid, neonatal cuff</t>
  </si>
  <si>
    <t xml:space="preserve"> PR2020-06-019 - Purchase and delivery of COVID 19 Test Kits for use of this office</t>
  </si>
  <si>
    <t xml:space="preserve"> EQ REQUEST FOR QUOTATION (RFQ)  SUPPLY AND DELIVERY OF THERMAL FAX MACHINE UNDER EMB-EIAMD RFQ NO. EMB-EIAMD-SHOPPING-0022-6-22-2020-3rd Posting   1.	The Department of Environment and Natural Resources – Environmental Management Bureau (DENR-EMB) hereinaf</t>
  </si>
  <si>
    <t xml:space="preserve"> PAYMENT FOR THE BARANGAY AMBULANCE STICKERS AND ACCESSORIES</t>
  </si>
  <si>
    <t xml:space="preserve"> 1. The City Government of Calamba through the General Fund intends to apply the sum of Php 970,125.00 being the Approved Budget for the Contract (ABC) to payments under the contract for G-2020-348 Supply and Delivery of Assorted Commodities, City Health S</t>
  </si>
  <si>
    <t xml:space="preserve"> UNIT DESCRIPTION AND QUANTITY ITEM PCS	BIOMETRICS	8 		 	TECHNICAL SPECS:	 	FINGERPRINT READER	 	3, 000 FINGERPRINT TEMPLATES	 	100, 000 TRANSACTION RECORDS	 	BUILT-IN USB/TCP	 	CARD/ PASSWORD/ FINGERPRINT	 		 	WITH FREE BIO-OFFICE TIME AND ATTENDANCE	 	SO</t>
  </si>
  <si>
    <t xml:space="preserve"> Supply of Labor and Materials for Rehabilitation of Pipe Bridge Crossing 2", 4" &amp; 6"in Napawon - Salog (Goa), Pugay (San Jose)  and Pili (Presentacion).</t>
  </si>
  <si>
    <t xml:space="preserve"> Civil Works for Construction of Roof Deck and accessory parts Invitation to Bid and Submission of Eligibility Requirements : June 23, 2020 - June 30, 2020 Deadline of Submission of Bids: July 1, 2020, 5:00 PM Bid Evaluation: July 2, 2020, 10:00 AM Post Qu</t>
  </si>
  <si>
    <t xml:space="preserve"> - 2 units Interactive Projector -LCD Resolution 1080p -Screen Size: 65"-100" @16:9 ; 61"-120" @ 16:6 - Light Source Type: Laser Diode - Brightness: White Light Output 5000lm/ 3500lm Color Light Output 5000lm/3500lm - Keystone Correction Vertical  &amp; Horizo</t>
  </si>
  <si>
    <t xml:space="preserve"> Republic of the Philippines								 NATIONAL IRRIGATION ADMINISTRATION								 MAGAT RIVER INTEGRATED IRRIGATION SYSTEM								 Division I Batal, Santiago City								 								 							Quotation/Bid No.	 Company Name							PR No.:	EQP2020-05-22 							Date</t>
  </si>
  <si>
    <t xml:space="preserve"> Republic of the Philippines													 City of San Carlos													 Negros Occidental													 													 INVITATION TO BID											FOR SALE	 			PURCHASE REQUEST NO: 1-20-06-0702				P 150.00	 Sealed bids for quotation of prices will be recei</t>
  </si>
  <si>
    <t xml:space="preserve"> Motorized Banca and materials *Aqua-Culture Project</t>
  </si>
  <si>
    <t xml:space="preserve"> RENEWAL OF CONTRACT OF PAYROLL PROGRAM	1 SYSTEM	                  X-X-X-X-X-X-X</t>
  </si>
  <si>
    <t xml:space="preserve"> Republika ng Pilipinas PAMAHALAANG LUNGSOD NG TACLOBAN (City Government of Tacloban) Kanhuraw Hill, Tacloban City 6500 Tel. Nos.  325-4053 BIDS AND AWARDS COMMITTEE 	INVITATION TO SUBMIT PRICE QUOTATIONS 1st Posting BIDSTAC # SB 025-2020 (7059585). 	     </t>
  </si>
  <si>
    <t xml:space="preserve"> Handbook for National Sardines Management Plan			500	Pcs	175,000.00 Specification:					 Front Cover - fold coat #12 with UV varnish					 Inside Page - C2S #80 (coated  both side)					 Number of Pages - 90 (back to  back)					 Size of Paper - A4 size					 </t>
  </si>
  <si>
    <t xml:space="preserve"> The City Government of San Pedro, Laguna invites interested parties to quote for the following item/s as per request Sangguniang Panlungsod: Qty.	Unit of Issue	Item Description 		 25	ream	Bond Paper (Long) (8 1/2 x 13)  25	ream	Bond Paper (Short) (8 1/2 x</t>
  </si>
  <si>
    <t xml:space="preserve"> 1. 1,800	liter/s	Diesel</t>
  </si>
  <si>
    <t xml:space="preserve"> Construction Materials for Concrete Works Invitation to Bid and Submission of Eligibility Requirements : June 23, 2020 - June 30, 2020 Deadline of Submission of Bids: July 1, 2020, 5:00 PM Bid Evaluation: July 2, 2020, 10:00 AM Post Qualification: July 3 </t>
  </si>
  <si>
    <t xml:space="preserve"> CONSTRUCTION OF ISOLATION FACILITY FOR COVID-19</t>
  </si>
  <si>
    <t xml:space="preserve"> Item No.	Unit	Description	Qty 1	lot	Breakfast	840 2	lot	Lunch	216 3	lot	Dinner	840 * * * * * * * * * * * * * * * * * * * * * * * * NOTHING FOLLOWS * * * * * * * * * * * * * * * * * * * * * * * *</t>
  </si>
  <si>
    <t xml:space="preserve"> Republic of the Philippines Province of Batanes MUNICIPALITY OF UYUGAN INVITATION TO BID FOR SUPPLY AND DELIVERY OF MATERIALS FOR THE IMPROVEMENT AND DEVELOPMENT OF WATER SUPPLY SYSTEM - BGCHS 1.	The Municipality of Uyugan, through the 20% Development Fun</t>
  </si>
  <si>
    <t xml:space="preserve"> 2 cyl Acetylene Tech, 225 cf/cyl &amp; 34 L/I</t>
  </si>
  <si>
    <t xml:space="preserve"> CALCIUM HYPOCHLORITE(CHLORINE)</t>
  </si>
  <si>
    <t xml:space="preserve"> R E Q U E S T  F O R   Q U O T A T I O N									 									 									 									 P.R Number:	2020-06-0465 Company Name	: ____________________________							 									 Address									 									 	Please qoute your price on the item/s listed below, subject t</t>
  </si>
  <si>
    <t xml:space="preserve"> 1	23000	pcs	 one spread colored print 11*17 with lay-outing back to back white book paper 	 			 *****Closed Nothing Follows*****</t>
  </si>
  <si>
    <t xml:space="preserve"> 3	Box	Black Screw, ABC 750.00/box 5	Sheet	Acrylic Glass, ABC 8,600.00/sheet 6	Piece	Steel tape (7.5m), ABC 250.00/pc 150	Piece	Fiber Cement(4.5mm), ABC 1,200.00/pc RFQ#06-0654R</t>
  </si>
  <si>
    <t xml:space="preserve"> Republic of the Philippines Province of Cotabato Municipality of Makilala OFFICE OF THE BIDS &amp; AWARDS COMMITTEE INVITATION TO BID #2020-012 (Re-Bidding) The Municipality of Makilala, funded by the  Municipal Government to apply for the Construction of 1-S</t>
  </si>
  <si>
    <t xml:space="preserve"> PURPOSE: FOR MAINTENANCE USE OF BOILER 2. (DELIVERY DATE: JULY 30, 2020) Fax your Price Quotation at Tel. Fax#: 426-30-45 / 927-64-26 local 2561 or Email at bacveterans@gmail.com. Please indicate the brand name and complete specifications.</t>
  </si>
  <si>
    <t xml:space="preserve"> 2o sets Petrol Gas Cutter 3 sets 3" x 15 meters Heavy duty Discharge Pipe TERMS AND CONDITIONS 1. All entries must be typewritten or legibly written 2. Delivery period within Twenty (20) days upon receipt of the approved funded        Purchase Order (P.O.</t>
  </si>
  <si>
    <t xml:space="preserve"> Ref.  No. GOODS – 2020 - 04 Republic of the Philippines Province  of Southern Leyte MUNICIPALITY OF  MACROHON oOo INVITATION  TO BID  FOR  THE  SUPPLY AND DELIVERY OF  OFFICE EQUIPMENT The  Municipality of Macrohon, through the Supplemental Budget No.1 CY</t>
  </si>
  <si>
    <t xml:space="preserve"> FURNISHING OF LABOR AND MATERIALS FOR THE REPAIR OF AGUS 6      NATURE'S PARK SPRING WATERPIPE     SCOPE OF WORKS: 1. CONDUCT SITE INSPECTION. 2. INSTALLATION OF STEEL CABLE WIRE. 3. INSTALLATION OF HDPE PIPE 2.5"  4. TAPPING USING PIPE HDPE FITTINGS 5. T</t>
  </si>
  <si>
    <t xml:space="preserve"> Republic of the Philippines Province of Sultan Kudarat Municipality of Columbio BIDS AND AWARD COMMITTEE June 22, 2020 INVITATION TO BID The Municipal Government of Columbio through the Bids and Awards Committee (BAC) is inviting supplier of Materials for</t>
  </si>
  <si>
    <t xml:space="preserve"> 1 unit Vehicle</t>
  </si>
  <si>
    <t xml:space="preserve"> PURCHASE OF SCHOOL SUPPLIES</t>
  </si>
  <si>
    <t xml:space="preserve"> Healthy Lifestyle (Provision of Total Blood Chemistry to all LGU Employee **PLEASE REFER TO THE ATTACHED PURCHASE REQUEST AT THE ASSOCIATED COMPONENTS SECTION FOR FURTHER DETAILS.</t>
  </si>
  <si>
    <t xml:space="preserve"> Solar Panel, 2-way Radio and construction materials *Eco-Tourism Project</t>
  </si>
  <si>
    <t xml:space="preserve"> Purchase/Supply/Delivery of: 5 roll Road "O" Tube 3 roll Bitumen Road Tape</t>
  </si>
  <si>
    <t xml:space="preserve"> Invitation to Bid for the Supply and Delivery of various Equipment for the use of Brgy. Bilogo, Batangas City</t>
  </si>
  <si>
    <t xml:space="preserve"> June 22, 2020 REQUEST FOR QUOTATION (RFQ) BUDESONIDE (FOR NEBULIZATION) 250MCG/ML, 2ML, RESPIRATORY SOLUTION AND IPRATROPIUM + SALBUTAMOL 500 MICROGRAMS IPRATROPIUM (AS BROMIDE ANHYDROUS) + 2.5 MG SALBUTAMOL (AS BASE) X 2.5ML (UNIT DOSE) 1.	The Batangas M</t>
  </si>
  <si>
    <t xml:space="preserve"> INVITATION TO BID FOR THE CONSTRUCTION OF BARANGAY HEALTH STATION (BARANGAY LAGAORIAO, CUYO, PALAWAN) 1.	The Provincial Government of Palawan, through its 20% Development Fund (OBR No. 300-20-06-07373) account intends to apply the sum of Two Million Three</t>
  </si>
  <si>
    <t xml:space="preserve"> Purchase of covid-19 essentials in place of the budget allotted for INSET</t>
  </si>
  <si>
    <t xml:space="preserve"> Items Quantity / Units 1.ballpen 20 boxes 50pcs/box 2.bond paper 100 reams A4 size 3.bond paper 100 reams Long 80 gsm 4.correction tape 50 pcs 5.paper clip 100 boxes Gem type, vinyl coated 6.printer ribbon 50 cart Epson lq2180 7.printer ribbon 50 cart Eps</t>
  </si>
  <si>
    <t xml:space="preserve"> QTY  UNIT  ITEMS &amp; DESCRIPTION 2	PCS	TIE ROD END (LEFT)			 2	PCS	TIE ROD END (RIGHT)			 2	PCS	BALL JOINT (UPPER)			 2	PCS	BALL JOINT (LOWER)			 4	PCS	SUSPENSION BUSHING (UPPER)			 4	PCS	SUSPENSION BUSHING (LOWER)			 1	SET	STABILIZER BUSHING			 2	PCS	SHOCK</t>
  </si>
  <si>
    <t xml:space="preserve"> Invitation to Bid for the Construction of Multi-Purpose Hall Barangay Dulangan 1.	The Municipal Government of Puerto Galera, through the 20% Development Fund FY 2020 intends to apply the sum of Two Million Four Hundred Ninety-Nine Thousand Nine Hundred Si</t>
  </si>
  <si>
    <t xml:space="preserve"> underwear, mens, size medium	60	pcs underwear, mens, size large	20	pcs Bath towel	40	pcs Comb	20	pcs Handkerchief	35	pcs Long pants size 29,30,31	40	pcs Polo asstd color size small, medium	35	pcs Rubber shoes size 40,41,42,43	35	pair Black shoes size 40,4</t>
  </si>
  <si>
    <t xml:space="preserve"> RFQ2020-06-0956 Category	Item No.	QTY	Unit of Issue	Item Description	Stock No. / APP NO	Estimated Unit Cost	Estimated Cost Information Technology Parts &amp; Accessories &amp; Perip		2	unit	DESKJET PRINTER, Ink Tank ***Notes*** Draft, A4 (Black/Colour): Up to 33p</t>
  </si>
  <si>
    <t xml:space="preserve"> 1	32	Pack	Battery, Dry  Cell, AAA/AA, 2 pcs Per Pack 2	500	Pcs	Alcohol, Ethyl 70% 3	50	Pcs	Hand Sanitizer, 500 ml 4	10	Pcs	Hand Sanitizer Pump, 12 oz 5	20	Gallon	Bleach, Zonrox 6	25	Dozen	Antibacterial Soap, 60 g 7	30	Pcs	Disinfectant Concentrate, 500 ml,</t>
  </si>
  <si>
    <t xml:space="preserve"> Item No.	Unit	Description	Qty 1	pr	Philippine Army Rubber Shoes Black	2 2	pr	Army Athletic Uniform Alpha Alpha	2 3	ea	Tactical Belt OD	2 4	ea	Belt Waist Garterized OD	3 5	pr	Army Combat Boots Suede Urban Use	2 6	ea	Buckle Aluminum Belt Waist	3 7	set	Bush </t>
  </si>
  <si>
    <t xml:space="preserve"> 3	copies	Philippine Constitution 2014 edition by De Leon and De Leon 			 					 6	copies	Ortograpiya ng Wikang Filipino (Komisyon ng Wikang Filipino, 1610 Kalye JP Laurel, San Miguel, Manila 1005) 			 					 					 6	copies	Tesaurus ng Wikang Filipino (Komis</t>
  </si>
  <si>
    <t xml:space="preserve"> Please refer to attached Canvass Form and Program of Works</t>
  </si>
  <si>
    <t xml:space="preserve"> Republic of the Philippines Province of Davao de Oro MUNICIPALITY OF COMPOSTELA BIDS AND AWARDS COMMITTEE CP#: 0998-571-7569 INVITATION TO BID FOR  Purchase of Rescue Equipments and Tools for COERT – MDRRMO ITB NO. 2020-06-029, BID NO. 002 1.	The MUNICIPA</t>
  </si>
  <si>
    <t xml:space="preserve"> The Subic Bay Metropolitan Authority, through the Corporate Budget for the contract approved by the Governing Board for 2020 intends to apply the sum of Three Million Five Hundred Thousand Pesos (Php 3,500,000.00) Exclusive of VAT and other taxes being th</t>
  </si>
  <si>
    <t xml:space="preserve"> INVITATION TO BID Upgrading of Lampitak Potable Water System Identification No. TAMP-PB-GOODS-06-2020 1.	The Local Government of Tampakan, through the 20% MDF 2017/3911-300-1-07-10-020 intends to apply the sum of Five Hundred Forty Eight Thousand Four Hun</t>
  </si>
  <si>
    <t xml:space="preserve"> High End Computer Server PC with CPU  1x2 GHz base frequency up to at least 3 GHz. 8 cores, 16 threads, dual capable Chipset FSB: supports 2 x 32 GB DDR4-2666, supports 4 PCI - E 3.0 x 16 expansion slots and 2 PCI-E 3.0x8 expansion...</t>
  </si>
  <si>
    <t xml:space="preserve"> Municipality of  Sogod, Cebu					Contract Ref. No.-0006-2020 Proposed Road Concreting in Pansoy - Mohon Barangay Road - Sitio Mangadlao Section, Sogod, Cebu 		 Standard Form Number: SF-INFR-05 Revised on: July 29, 2004 INVITATION TO BID The Municipality o</t>
  </si>
  <si>
    <t xml:space="preserve"> Construction materials and supplies</t>
  </si>
  <si>
    <t xml:space="preserve"> The Barangay Government of Barangay SULPOC, Tanauan City, Batangas through the Bids and Awards Committee (BAC) invites Suppliers/Contractors to apply for eligibility and if subsequently found eligible, to bid for the projects described hereunder, viz: Nam</t>
  </si>
  <si>
    <t xml:space="preserve"> 1   unit   Washing Machine, 12 kilos with Spinner, w/ Dryer              - Automatic, top loading 6   units  Aircon, 2HP, window Type 6   units  Aircon, 1HP, window Type 10 units  Ceiling Fan, 18" w-w-w-w-w-w-w-w-w-w-w-w-w-w-w-w-w-w-w-w-w-w-w-w</t>
  </si>
  <si>
    <t xml:space="preserve"> 1. The City Government of Calamba through the General Fund intends to apply the sum of Php 274,801.80 being the Approved Budget for the Contract (ABC) to payments under the contract for G-2020-375 Supply and Delivery of Office &amp; Janitorial Supplies, Publi</t>
  </si>
  <si>
    <t xml:space="preserve"> Sir/Madam: Please quote your government price/s including delivery charges, VAT or other applicable taxes, and other incidental expenses for the goods listed in Annex A. Failure to indicate information could be basis for non-compliance. Also, furnish us w</t>
  </si>
  <si>
    <t xml:space="preserve"> TITLE: PROCUREMENT OFFICE SUPPLIES 			 DEPARTMENT: SANGGUNIANG BAYAN (OFFICE OF THE VICE MAYOR)			 			 ITEM NO.	QTY	UNIT	ITEM DESCRIPTION 1	130	rms	coupon bond long 2	148	rms	coupon bond short 3	150	pcs	white envelope 4	10	pcs	filing tray 3 layers 5	5	set</t>
  </si>
  <si>
    <t xml:space="preserve"> Please quote your best price 3 pcs of LaserJet Toner Cartridge-HP204A Black-CF510A ABC 4,500.00 3 pcs of LaserJet Toner Cartridge-HP204A Magenta-CF513A ABC 4,500.00 3 pcs of LaserJet Toner Cartridge-HP204A Cyan-CF511A ABC 4,500.00 3 pcs of LaserJet Toner </t>
  </si>
  <si>
    <t xml:space="preserve"> Republic of the Philippines Department of Health ZAMBOANGA PENINSULA-CENTER FOR HEALTH DEVELOPMENT  Upper Calarian, Zamboanga City 7000 Phone: (062) 983-0314, (062) 983-0146, Fax: (062) 991-3380 Email: dohchdzp@yahoo.com, Web: www.doh.gov.ph INVITATION TO</t>
  </si>
  <si>
    <t xml:space="preserve"> June 22, 2020 REQUEST FOR QUOTATION (RFQ) CLINDAMYCIN 150MG, CLINDAMYCIN 300MG (AS HYDROCHLORIDE) AND ERYTHROMYCIN 0.5% 5GM EYE OINTMENT 1.	The Batangas Medical Center hereinafter referred to as the “Purchaser” now request for submission of price proposal</t>
  </si>
  <si>
    <t xml:space="preserve"> 10 units - Handheld Radio with Charger</t>
  </si>
  <si>
    <t xml:space="preserve"> 1 set Communication Signaling Access for World Wide Web -Litebeam 5ac gen. -Microtic router 300mbps utp cat 6 20mtrs. -NTC Permit 6816 - 2 year signaling access -With installation</t>
  </si>
  <si>
    <t xml:space="preserve"> 1. The City Government of Calamba through the General Fund intends to apply the sum of Php 459,388.80 being the Approved Budget for the Contract (ABC) to payments under the contract for G-2020-359 Supply and Delivery of Office Supplies, City Human Resourc</t>
  </si>
  <si>
    <t xml:space="preserve"> [Republic of the Philippines] Province of Pangasinan Municipality of Natividad INVITATION TO BID FOR TITLE: Construction/Rehabilitation of Local Access Road  Location: Brgy. Batchelor West, Natividad, Pangasinan Approved Budget of the Contract: Php2,300,0</t>
  </si>
  <si>
    <t xml:space="preserve"> For the supply and delivery of the following: 2	pc	Canon Ink: Cartridge 318 Cyan			 2	pc	Canon Ink: Cartridge 318 Magenta			 2	pc	Canon Ink: Cartridge 318 Yellow			 2	pc	Canon Ink: Cartridge 318 Black</t>
  </si>
  <si>
    <t xml:space="preserve"> Standard Form Number: SFGOOD60 Revised on: May 24, 2004 Standard Form Title: Request for Quotation Date: June 22, 2020  Quotation No. 20-06-0354 PR No. 20-06-762 __________________________ Company Name _________________________________ Address         Ple</t>
  </si>
  <si>
    <t xml:space="preserve"> The Subic Bay Metropolitan Authority, through the Corporate Budget for the contract approved by the governing board for 2020 intends to apply the sum of Two Million Eight Hundred Thousand Pesos (Php2,800,000.00) Exclusive of VAT and other taxes being the </t>
  </si>
  <si>
    <t xml:space="preserve"> Standard Form Number: SFGOOD60 Revised on: May 24, 2004 Standard Form Title: Request for Quotation Date: June 22, 2020  Quotation No. 20-06-0353 PR No. 20-06-761 __________________________ Company Name _________________________________ Address         Ple</t>
  </si>
  <si>
    <t xml:space="preserve"> PROCUREMENT OF SUPPLY AND INSTALLATION OF ONE YEAR LICENSES TO EXISTING NETWORK SECURITY AND TRAFFIC ANALYZER OF THE BUREAU OF THE TREASURY TERMS OF REFERENCE 1.	PROJECT TITLE Supply and Installation of One Year (1) Licenses to existing Network Security a</t>
  </si>
  <si>
    <t xml:space="preserve"> Standard Form Number: SFGOOD60 Revised on: May 24, 2004 Standard Form Title: Request for Quotation Date: June 22, 2020  Quotation No. 20-06-0350 PR No. 20-06-758 __________________________ Company Name _________________________________ Address         Ple</t>
  </si>
  <si>
    <t xml:space="preserve"> Please refer to the attached Request for Quotation. Thank you.</t>
  </si>
  <si>
    <t xml:space="preserve"> 30 sacks Fertilizer, Urea (46-0-0) 30 sacks Fertilizer, complete (14-14-14) 30 sacks Fertilizer, Muriate of Potash (0-0-60) 10 sacks Fertilizer, Calcium Nitrate 10 sacks Fertilizer, Ammonium Phospate (16-20-0) 10 cans Seeds, Eggplant, 50grms 10 cans Seeds</t>
  </si>
  <si>
    <t xml:space="preserve"> see plans and specifications</t>
  </si>
  <si>
    <t xml:space="preserve"> Purchase of Various Supplies</t>
  </si>
  <si>
    <t xml:space="preserve"> Rev. No. 00-03/01/17				 						 						Annex "A" Republic of the Philippines						 TECHNICAL EDUCATION AND SKILLS DEVELOPMENT AUTHORITY						 Cebu Provincial Office, Salinas Drive, Lahug, Cebu City						 Tel. Nos. (032) 412-7157;(032)415-1518, e-mail add.:</t>
  </si>
  <si>
    <t xml:space="preserve"> The SANGGUNIANG BARANGAY OF BARANGAY SALA, TANAUAN CITY, BATANGAS, through the Barangay Operating Budget 2020 intends to apply the sum of Thirty Two Thousand Five Hundred Pesos Only (Php 32,500.00) being the Approved Budget of the Contract (ABC) to paymen</t>
  </si>
  <si>
    <t xml:space="preserve"> SAN PABLO CITY WATER DISTRICT							 San Pablo City							 Telefax: (049) 503-0075 Email Address: spcwd_bac@yahoo.com							 							 REQUEST FOR PRICE QUOTATION							 June 22, 2020							 AGD - 099 - 0							 							 Contract No. 2020-133  -  Janitorial </t>
  </si>
  <si>
    <t xml:space="preserve"> 1 unit - Photocopier Machine</t>
  </si>
  <si>
    <t xml:space="preserve"> 2	UNITS	4 DRAWERS STEEL CABINET</t>
  </si>
  <si>
    <t xml:space="preserve"> INVITATION TO BID FOR THE CONSTRUCTION OF TWO (2) BARREL RCBC W/ CONCRETE SLOPE PROTECTION (BGY. MAGSAYSAY, MUNICIPALITY OF DUMARAN, PALAWAN) 1.	The Provincial Government of Palawan, through its 20% Development Fund (OBR No. 300-20-06-07381) account inten</t>
  </si>
  <si>
    <t xml:space="preserve"> 2 ea Engine block honda OHC GX35 4 stroke &amp; 15 LI</t>
  </si>
  <si>
    <t xml:space="preserve"> 1	4	pack	DTR Thermal Card	 2	100	rolls	Bathroom Tissue - 2 ply	 3	1	box	Marker Board (black)	 4	1	box	Marker Fine (Black)	 5	3	can	Furniture Cleaner, aerosol type	 6	1	bundle	Rags, all cotton, 32 pcs per kilo per  bundle	 7	2	pc	Tape  Dispenser	 8	1	pc	St</t>
  </si>
  <si>
    <t xml:space="preserve"> The SANGGUNIANG BARANGAY OF BARANGAY SALA, TANAUAN CITY, BATANGAS, through the Barangay Operating Budget 2020 intends to apply the sum of Fifteen Thousand Pesos Only (Php 15,000.00) being the Approved Budget of the Contract (ABC) to payment under the Prov</t>
  </si>
  <si>
    <t xml:space="preserve"> Supply and Delivery of the following: Ink - Epson 003 Black Ink - Epson 003 Cyan Ink - Epson 003 Magenta Ink - Epson 003 Yellow Toner - Kyocera (TK594K) Black Toner - Kyocera copier TK-594 Y - Yellow Toner - Kyocera copier TK-594 M - Magenta Toner - Kyoce</t>
  </si>
  <si>
    <t xml:space="preserve"> SAN PABLO CITY WATER DISTRICT							 San Pablo City							 Telefax: (049) 503-0075 Email Address: spcwd_bac@yahoo.com							 							 REQUEST FOR PRICE QUOTATION							 June 22, 2020							 AGD - 099 - 0							 							 Contract No. 2020-131  -  Ink Supplie</t>
  </si>
  <si>
    <t xml:space="preserve"> INVITATION TO BID FOR LAPTOP  		 1.	The Bicol State College of Applied Sciences and Technology, through the, Fund (164) FY 2020 intends to apply the sum of ONE MILLION SIX HUNDRED TEN THOUSAND PESOS ONLY  (P 1,610,000.00) being the Approved Budget for the</t>
  </si>
  <si>
    <t xml:space="preserve"> 30 PCS. DISINFECTING TRAY</t>
  </si>
  <si>
    <t xml:space="preserve"> Food packs</t>
  </si>
  <si>
    <t xml:space="preserve"> Republic of the Philippines								 NATIONAL IRRIGATION ADMINISTRATION								 MAGAT RIVER INTEGRATED IRRIGATION SYSTEM								 Division I Batal, Santiago City								 								 							Quotation/Bid No.	 Company Name							PR No.:	EQP2020-05-27 							Date</t>
  </si>
  <si>
    <t xml:space="preserve"> Supply of Labor and Materials for Repair/Replacement of Damaged PRV Steel Plate in San Juan Bautista, Tagongtong, Pinaglabanan, Goa, Camarines Sur.</t>
  </si>
  <si>
    <t xml:space="preserve"> EPSON 				 			 (L100,L110,L120,L200,L210,L220,L300,L310,L350,L355,L360,L361,L365,)				 			(L380,L385,L405,L455,L485,L550,L555,L565,L605,L655,L1300,L1455)				 1	93	bots	Ink Bottle , T6641- Black, EPSON		 350.00 		 2	61	bots	Ink Bottle , T6642- Cyan, EPSON	</t>
  </si>
  <si>
    <t xml:space="preserve"> 10 units - Handheld Radio with Charger 1 unit - Repeater</t>
  </si>
  <si>
    <t xml:space="preserve"> 700  vials   Ampicillin 500 mg vial 300  amp   Hyoscine-n-butylbromide 20mg/ml 1ml amp 300  amp   Metoclopromide 20mg/2ml amp 300   pcs    Salbutamol 2.5mg/2.5ml neb 400  amp   Ranitidine HCL 50mg/2ml amp w-w-w-w-w-w-w-w-w-w-w-w-w-w-w-w-w-w-w-w-w-w-w</t>
  </si>
  <si>
    <t xml:space="preserve"> INVITATION TO BID  1.	The National Printing Office, through the Revolving Fund 2020 intends to apply the sum of ₱3,950,000.00 being the Approved Budget for the Contract (ABC) to payments under the contract for the Procurement of Supply, Delivery &amp; Install</t>
  </si>
  <si>
    <t xml:space="preserve"> Republic of the Philippines				 Province of Cebu				 MUNICIPALITY  OF  DALAGUETE				 				 Office of the Bids and  Awards Committee				  				 REQUEST FOR QUOTATION 				 (Small Value Procurement Mode)				  		Control No:. ______________________________	Date:</t>
  </si>
  <si>
    <t xml:space="preserve"> 9 pcs. caps 9 pcs. t-shirt short sleeve black 9 set tactical uniform</t>
  </si>
  <si>
    <t xml:space="preserve"> 3KVA Generator Set	                3units Chain Block (3tons Capacity)	1unit Volt Cutter (small)	                1unit Static Kern Mantie Rope (11mm)	100m Seat Harness	                         4sets C-Collar (for adults)	                 4pcs Oxygen Tank </t>
  </si>
  <si>
    <t xml:space="preserve"> DIESOLINE	4550	LITERS	199,153.50</t>
  </si>
  <si>
    <t xml:space="preserve"> 1	Bond Paper Short	10	reams 2	Bond Paper Long	14	reams 3	Glue All Purpose 473ml	5	pcs 4	Canon Toner 303	4	pcs 5	Epson Ink T664 Black	5	bottles 6	Epson Ink T664 Cyan	5	bottles 7	Epson Ink T664 Yellow	5	bottles 8	Epson Ink T664 Magenta	5	bottles 9	Smart Dua</t>
  </si>
  <si>
    <t xml:space="preserve"> Procurement of Coverall, Biological/Chemical Protective. Interested bidders can download the attached file for complete specifications and requirements. Please send your quotation thru this email: caysiebagsit.ritm@gmail.com Note: Kindly make our PR# as a</t>
  </si>
  <si>
    <t xml:space="preserve"> Losartan 50mg (Potassium) Requirements for Drugs and Medicines: **Drugs with history of usage from VMMC (Requirements No. 1-5 only) ** **For Innovators (Requirements No. 1-4 only) ** 1. CPR 2. CGMP 3. LTO 4. CERTIFICATE OF DISTRIBUTOSHIP 5. CERTIFICATE OF</t>
  </si>
  <si>
    <t xml:space="preserve"> 1 unit CORN MILL 		 Corn Mill with parts made of stainless or its equivalent		 -	Degermer Mechanism: Driven by a maximum 5hp electric motor, 220V, single phase		 -	Milling Mechanism: Driven by a maximum 5hp electric motor, 220V, single phase		 -	Grading M</t>
  </si>
  <si>
    <t xml:space="preserve"> 2 set, EENT Diagnostic Set with Otoscope and Ophthalmoscope Contents:  - 1 otoscope head - 1 ophthalmoscope head - 2 attachable laryngeal mirrors (size 3 and 4) - 1 expandable nasal speculum - 1 bent arm trans-illuminator - 1 tongue blade holder - 2 separ</t>
  </si>
  <si>
    <t xml:space="preserve"> Republic of the Philippines  Province of Cebu  City of Mandaue  Barangay Paknaan  Contact#517-6562|Email:barangaypaknaanmandaue7@gmail.com Office of the Bids and Awards Committee Invitation to Bid for the Supply &amp; Delivery of One (1) Unit Brand New Six Wh</t>
  </si>
  <si>
    <t xml:space="preserve"> 8 CCTV Camera, HD, Nigth Vision, Motion Detection, 16 - Channel DVR with 1 TB Hard Drive with complete accessories</t>
  </si>
  <si>
    <t xml:space="preserve"> OFFICE  SUPPLIES AND CONSUMABLES</t>
  </si>
  <si>
    <t xml:space="preserve"> EQ REQUEST FOR QUOTATION (RFQ)  SUPPLY AND DELIVERY OF APPLY MAGIC KEYBOARD (US ENGLISH)  UNDER EMB-EQMD-HWMS RFQ NO. EMB-EQMD-KEYBOARD-0025-6-22-2020-3rd Posting   1.	The Department of Environment and Natural Resources – Environmental Management Bureau (</t>
  </si>
  <si>
    <t xml:space="preserve"> Republic of the Philippines													 City of San Carlos													 Negros Occidental													 										                      		REBIDDING	 INVITATION TO BID											FOR SALE	 			PURCHASE REQUEST NO: 4-20-02-0377				P 150.00	 Sealed bids for qu</t>
  </si>
  <si>
    <t xml:space="preserve"> 1 unit Hard Drive 4TB 1 Pcs Wireless Laser Printer 2 Unit  HDMI Connector 3 unit Laptop Cooling Pad 2 unit Wireless Mouse 6Pcs Flash Drive 32gb 5 Set PC Cleaner  1 set Portable Bluetooth Speaker  1 unit Mini Numeric Keyboard 1 set PC Speaker System  1  Un</t>
  </si>
  <si>
    <t xml:space="preserve"> Republic of the Philippines													 City of San Carlos													 Negros Occidental													 													 INVITATION TO BID											FOR SALE	 			PURCHASE REQUEST NO: 4-20-06-0633				P 1,000.00	 Sealed bids for quotation of prices will be rec</t>
  </si>
  <si>
    <t xml:space="preserve"> Republic of the Philippines													 City of San Carlos													 Negros Occidental													 										                      		REBIDDING	 INVITATION TO BID											FOR SALE	 			PURCHASE REQUEST NO: 4-20-02-0285				P 150.00	 Sealed bids for qu</t>
  </si>
  <si>
    <t xml:space="preserve"> 3 unit, Emergency Cart/Trolley - Body:  ABS body, metal ball-bearing rail - Features:  sliding shelves/drawers (inner with partition can be well organized) - 1 dust basket, 1 utility container, 1 file bag, 1 IV pole, 1 tray for placement of equipment,    </t>
  </si>
  <si>
    <t xml:space="preserve"> 1st  INVITATION TO BID The Local Government Unit of Rizal, Kalinga, through the Bids and Wards Committee, invites Suppliers to submit bids for the contract Contract Number: 2020-06-11 Project Title: Procurement of Vehicles for Vice Mayor’s Office Project </t>
  </si>
  <si>
    <t xml:space="preserve"> Unit  Quantity	  Description	 set	   10             PPE Washable	 pcs	   200           face shield	 boxes   4	           clean gloves	 tank     1              portable oxygen tank	 btls	   100           Alcohol 500ml	 btls	   100           Hand sanitizer </t>
  </si>
  <si>
    <t xml:space="preserve"> Improvement &amp; Rehabilitation of Old Multi-Purpose Bldg.including construction of New Septic Tank</t>
  </si>
  <si>
    <t xml:space="preserve"> 6 units Additional CCTV Camera 5mp 4 units Antenna 1 unit 43" Monitor</t>
  </si>
  <si>
    <t xml:space="preserve"> see rfq</t>
  </si>
  <si>
    <t xml:space="preserve"> Supply and Delivery of Communication Equipment (cellphone) ------ 1 unit</t>
  </si>
  <si>
    <t xml:space="preserve"> RESOLUTION ON PRIOR APPROVAL NO. 06-76                   Series of 2020 		 RESOLUTION RECOMMENDING THE USE OF ALTERNATIVE METHOD OF PROCUREMENT FOR  THE ACQUISITION OF GOODS AND SERVICES WHEREAS, various departments/offices submitted Purchase Request with</t>
  </si>
  <si>
    <t xml:space="preserve"> Republic of the Philippines Province of Sarangani BIDS AND AWARD COMMITTEE Municipality of Maasim INVITATION TO APPLY FOR ELIGIBILITY AND TO BID 	The Municipal Government of Maasim invites suppliers to apply for eligibility and to bid for the supply and d</t>
  </si>
  <si>
    <t xml:space="preserve"> Concreting of Road</t>
  </si>
  <si>
    <t xml:space="preserve"> Procurement of 1 Lot Medical Supplies, etc.</t>
  </si>
  <si>
    <t xml:space="preserve"> 4 kls. sitaw seeds 1 kl. upo seed 1 kl. patola seeds 1 kl. corn seeds 2 kls. okra seeds 6 can cucumber seeds i kl. talong seeds</t>
  </si>
  <si>
    <t xml:space="preserve"> Benguet First District Engineering Office La Trinidad, Benguet              June 22, 2020    RE – INVITATION TO BID The Benguet First District Engineering Office, through its Bids and Awards Committee (BAC), invites contractors to submit bids for the foll</t>
  </si>
  <si>
    <t xml:space="preserve"> Specifications: Auto Duplex Copier, Printer, Scanner Power source: 220-240 V, 50/60 Hz Scanning Speed: Colour: Max. 6 originals per minute B/W: Max 15 originals per minute Copying process: Lazer beam scanning &amp; electro photographic printing Recommender pa</t>
  </si>
  <si>
    <t xml:space="preserve"> NOTE: ALL ITEMS MUST BE DELIVERED IN ONE PACKAGE          LIST OF ITEMS AND ESTIMATED COST ARE INCLUDED MEFENAMIC 500mg (100'S)     2 BOXES          240.00 LOPERAMIDE 2mg (100's)        2 BOXES           95.00 BUSCOPAN 10mg                    14 TABLETS  </t>
  </si>
  <si>
    <t xml:space="preserve"> Republic of the Philippines MUNICIPALITY OF ECHAGUE Province of Isabela INVITATION TO BID FOR  THE  SUPPLY AND DELIVERY OF MEDICAL AND DENTAL LABORATORY SUPPLIES 1.	The Local Government Unit , through  the  GENERAL   FUND  Of  2019   intends to apply the </t>
  </si>
  <si>
    <t xml:space="preserve"> Ccncreting of Road</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</si>
  <si>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</si>
  <si>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Republic of the Philippines													 City of San Carlos													 Negros Occidental													 										                     		REBIDDING	 INVITATION TO BID											FOR SALE	 			PURCHASE REQUEST NO: 9-20-05-0610				P 500.00	 Sealed bids for quo</t>
  </si>
  <si>
    <t xml:space="preserve"> 3 units 1.5HP Split Type Inverter Airconditioner 1 unit Single Door 6.9cu.feet Refrigirator</t>
  </si>
  <si>
    <t xml:space="preserve"> Republic of the Philippines													 City of San Carlos													 Negros Occidental													 													 INVITATION TO BID											FOR SALE	 			PURCHASE REQUEST NO: 9-20-06-0666				P 150.00	 Sealed bids for quotation of prices will be recei</t>
  </si>
  <si>
    <t xml:space="preserve"> 1.	The Mabini Water District through its Internal Cash Generation (ICG) intends to apply the sum of One Million Seven Hundred One Thousand Six Hundred Twenty Five Pesos Only (P 1,701,625.00) being the Approved Budget for the Contract (ABC) to payment unde</t>
  </si>
  <si>
    <t xml:space="preserve"> Republic of the Philippines									 Province of Negros Occidental									 Municipality of La Castellana									 Bids and Awards Committee									 									 INVITATION TO APPLY FOR ELIGIBILITY AND TO BID									 									 Name of Project: 		PURCHASE O</t>
  </si>
  <si>
    <t xml:space="preserve"> 2 PCS USB 16G AND 22 LINE ITEMS</t>
  </si>
  <si>
    <t xml:space="preserve"> 1 unit Submersible motor only 15 Hp,220 volts,3 phase,60Hz.6 inch diameter          including 1 set Splicing Kit, 2 pairs Electrodes and Delivery Costs. CONDITIONS: 1 VAT shall be included in the quotation 2. TERMS: payable w/in three (3) months 3. Specif</t>
  </si>
  <si>
    <t xml:space="preserve"> YMKT Color ribbon</t>
  </si>
  <si>
    <t xml:space="preserve"> Republic of the Philippines													 City of San Carlos													 Negros Occidental													 													 INVITATION TO BID											FOR SALE	 			PURCHASE REQUEST NO: 8-20-06-0705				P 150.00	 Sealed bids for quotation of prices will be recei</t>
  </si>
  <si>
    <t xml:space="preserve"> Roadway Clearing, Roadway Excavation (UM w/ Solid Rock)</t>
  </si>
  <si>
    <t xml:space="preserve"> REQUEST FOR QUOTATION 				                      				                                          Quotation/Contract No.2020-001 			                                 Date: June 23, 2020 To all Eligible Suppliers: I.  Please quote your lowest price inclusive of</t>
  </si>
  <si>
    <t xml:space="preserve"> REQUEST FOR PRICE QUOTATION The Department of Justice (DOJ), through the Bids and Awards Committee (BAC) of the National Prosecution Service-Region V (NPS Region V) is inviting interested parties to submit proposal/price quotation for the project: 	Name o</t>
  </si>
  <si>
    <t xml:space="preserve"> Republic of the Philippines   MUNICIPALITY OF ECHAGUE Province of Isabela INVITATION TO BID FOR  THE  REHABILITATION OF SANGGUNIANG BAYAN OFFICE  1.	The Local Government Unit , through  the  General Fund     intends to apply the sum of  ONE  MILLION PESOS</t>
  </si>
  <si>
    <t xml:space="preserve"> REQUEST FOR QUOTATION SHOPPING OF CONFERENCE TABLE WITH CLERICAL CHAIR, CLERICAL TABLE WITH CLERICAL CHAIR, CENTER TABLE, SOFA &amp; STEEL CABINET  RFQ No. 2020-06-009 The Obando Water District (OWD), through its Bids and Awards Committee (BAC), invites reput</t>
  </si>
  <si>
    <t xml:space="preserve"> Republic of the Philippines Province of Ilocos Norte MUNICIPALITY OF ADAMS GENERAL SERVICES OFFICE CP Nos.: 09088956069 email address:mammegdege@yahoo.com REQUEST FOR QUOTATION 									Date	         :											Quotation No.: _________________________ __</t>
  </si>
  <si>
    <t xml:space="preserve"> Item No.	ITEM DESCRIPTION	No.  of Items	Statement of Compliance (State “Compliant” or “Not Compliant”)	Total Bid Price 1 	PROCUREMENT OF LAPTOP AND PERIPHERALS- 2ND POSTING LAPTOP COMPUTERS (INTEL PENTIUM N5000, 4GB DDR 4 MEMORY, 512GB SSD, INTEGRATED GRA</t>
  </si>
  <si>
    <t xml:space="preserve"> Invitation to Bid ITB-SSS-Goods-2020-017 ACQUISITION OF PROCUREMENT AND INVENTORY MANAGEMENT SYSTEM (SUPPLY, DELIVERY, INSTALLATION AND CONFIGURATION INTO OPERATIONAL STATE)  Approved Budget for the Contract (ABC)          : ABC = ₱ 20,620,000.00 Broken d</t>
  </si>
  <si>
    <t xml:space="preserve"> Thoracotomy set Lebsche knife sternum chise/20mm 8"stainless (1 pc) Semb rib Rangeur 240mm, 9 1/2" good quality (1 pc) De Bakey rib retractor complete set 220mm, 8 3/4" with 3 pair valves (1 pc) De Bakey rib retractor complete set 285mm, 11 1/4" with 3 pa</t>
  </si>
  <si>
    <t xml:space="preserve"> MEALS &amp; SNACKS	1	PKG	80,000.00 Coffee 3n1			 Assorted biscuits 			 Siopao			 Sandwich 			 Juice 			 Purified drinking water 			 Condiments			 Spaghetti (bilao)			 Pancit  Palabok (bilao)			 Packed lunch (rice, w/ 2 viands			 Softdrinks</t>
  </si>
  <si>
    <t xml:space="preserve"> refer to attach RFQ</t>
  </si>
  <si>
    <t xml:space="preserve"> Please see attach file</t>
  </si>
  <si>
    <t xml:space="preserve"> INVITATION TO RE-BID The __DEPARTMENT OF PUBLIC WORKS AND HIGHWAYS - DISTRICT ENGINEER’S OFFICE ZAMBOANGA CITY__, through its Bids and Awards Committee (BAC), invites contractors to submit bids for the following Contract: Contract ID: 20JA0069 Contract Na</t>
  </si>
  <si>
    <t xml:space="preserve"> Road Widening, Retaining Wall and PCCP</t>
  </si>
  <si>
    <t xml:space="preserve"> 1.Barangay #7, Municipality of Amadeo through its AIP, intends to apply the sum of Php 235,400.00 being the Approved Budget Ceiling for the INSTALLATION OF SOLAR STREETLIGHTS AT BARANGAY #7, AMADEO, CAVITE 2. BAC of Barangay #7, Amadeo, Cavite now invites</t>
  </si>
  <si>
    <t xml:space="preserve"> For Construction of IP Housing (Labor)</t>
  </si>
  <si>
    <t xml:space="preserve"> June 22, 2020 INVITATION TO BID  Reference No. 7059944 /Solicitation No.20-23 The City Government of Tagum invites interested Bidders/Suppliers to bid for the following: Name of Contract         :  FURNITURE &amp; FIXTURE FOR THE USE OF CMO - TAGUM NEW POLICE</t>
  </si>
  <si>
    <t xml:space="preserve"> 2   units   Desktop Computer  With the following specifications: Processor - Core i3 Processor Motherboard, RAM-DDR3 4GB DVD ROM, Hard Drive-HDD 500GB Power Supply 600W Keyboard, Mouse USB Type LAN-ON Board and WiFi Ready UPS AVR Windows Operating System-</t>
  </si>
  <si>
    <t xml:space="preserve"> Supply and Delivery of Snacks for the Senior Citizen Snacks: Fried Chicken Spaghetti Bottled juice drink</t>
  </si>
  <si>
    <t xml:space="preserve"> Please see attached document for the details.</t>
  </si>
  <si>
    <t xml:space="preserve"> Office Supplies Consumables</t>
  </si>
  <si>
    <t xml:space="preserve"> Republic of the Philippines Province of Romblon MUNICIPALITY OF ALCANTARA -oOo- INVITATION TO BID FOR PURCHASE OF TOILET BOWL (UNDER SUSTAINABLE SANITATION PROGRAM)        Poblacion,  Alcantara, Romblon The Local Government Unit of Alcantara, Romblon, thr</t>
  </si>
  <si>
    <t xml:space="preserve"> 1. The City Government of Calamba through the General Fund intends to apply the sum of Php 279,498.00 being the Approved Budget for the Contract (ABC) to payments under the contract for G-2020-377 Supply and Delivery of Office &amp; Janitorial Supplies, City </t>
  </si>
  <si>
    <t xml:space="preserve"> 140 PCS DRINKING GLASS 140 PCS PLATES 140 PCS SOUP BOWL 15 DOZEN TABLE SPOON STAINLESS 15 DOZEN FORK STAINLESS 15 PCS LADLE BIG ALUMINUM 15 PCS PITCHER BREAKABLE 5 PCS CHOPPING BOARD 5 PCS KNIFE STAINLESS 15 PCS CUPS 15 PCS SAUCERS 15 PCS TEASPOON 15 PCS </t>
  </si>
  <si>
    <t xml:space="preserve"> 1 unit PLANKTON NET - 30 cm diameter x 90 cm length - Mesh size: 35 microns - Collecting jar capacity: 300-500 ml. - Net includes stainless steel mouth ring, towing bridle - cod-end ring and rubber coated hose clamp and a cod-end jar - Net are conical in </t>
  </si>
  <si>
    <t xml:space="preserve"> QTY.    UNIT    DESCRIPTION 89       pcs      Stee Handcuff</t>
  </si>
  <si>
    <t xml:space="preserve"> The DepED-CAR Regional Office through its Bids and Awards Committee (BAC), invites suppliers to quote for the CATERING SERVICES FOR THE TRAINING – WORKSHOP IN WRITING BASIC RESEARCH PROPOSAL to be held at the RNEAP Hall, DepEd Regional Office Compound, Wa</t>
  </si>
  <si>
    <t xml:space="preserve"> For 15 Units Cellular Phones (TouchScreen)</t>
  </si>
  <si>
    <t xml:space="preserve"> the specification is available at the Bids and Awards Secretariat MPDC-2nd-Floor, Lasam Municipal Town Hall Centro 02, Lasam, Cagayan</t>
  </si>
  <si>
    <t xml:space="preserve"> Earthworks, Sub-base Course, Surface Course, Drainage &amp; Slope Protection Structures, Miscellaneous</t>
  </si>
  <si>
    <t xml:space="preserve"> ITEM 	ITEM &amp;  DESCRIPTION	QUANTITY NO.		 	Streetlight Post	 1	12mm RSB	18 length 2	9mm RSB	10 length 3	#16 G.I. Tie Wire	5 kgs. 4	1/4 anchor bolt w/ nut and washer	24 pcs. 5	3"Ø G.S. Pipe Sched. 40	3 length 6	2"Ø G.S. Pipe Sched. 40	4 length 7	1/2"Ø G.S. </t>
  </si>
  <si>
    <t xml:space="preserve"> RESOLUTION ON PRIOR APPROVAL NO. 06-74                      Series of 2020 		 RESOLUTION RECOMMENDING THE USE OF ALTERNATIVE METHOD OF PROCUREMENT FOR  THE ACQUISITION OF GOODS AND SERVICES WHEREAS, Procurement Department submitted Purchase Request No. PR</t>
  </si>
  <si>
    <t xml:space="preserve"> 9 unit, Mayo Table, compatible for C-arm use - material:  stainless steel framework - dimension:  approximately 600 x 400 x 850/100 (cm) - wheels:  caster with breaks</t>
  </si>
  <si>
    <t xml:space="preserve"> Air-conditioning and Air-conditioning System for the Administration Office</t>
  </si>
  <si>
    <t xml:space="preserve"> DCDRRMO 1 1 Lot Supply, Delivery &amp; Installation of Outdoor LED Billboard Location: Diversion Road - Bypass Road Junction 2 sets LED Billboard 5.12m x 3.84m @ Php 5,004,000.00 Module Size Dimension (w x h): 320mm x 320mm Pixel Pitch: 10.66 mm Lamp: LED Res</t>
  </si>
  <si>
    <t xml:space="preserve"> Municipality of Danao 						 Project Reference Number 			 : 	 2020-001 		  Name of Procuring Entity 						 Name of Project 			 : 	 Rehabilitation of Barangay Road 		  StandardForm Number : SF -GOOD -60 						 Location of the Project                   			 </t>
  </si>
  <si>
    <t xml:space="preserve"> Procurement of One (1) Lot Meals &amp; Snacks (3days) Only</t>
  </si>
  <si>
    <t xml:space="preserve"> 1 JOB ORDER FOR THE IMPROVEMENT OF SHARED SERVICE FACILITY AT  BRGY. POBLACION, CARAGA, DAVAO ORIENTAL     200,000.00</t>
  </si>
  <si>
    <t xml:space="preserve"> ITEM 	ITEM &amp;  DESCRIPTION	QUANTITY 		 		 1	Base Course ( Dakal-Dakal)	30 cu.m. 2	2"x 2" x 8'  Coco Lumber	30 pcs. 3	3/4" x 4' x 8' Ordinary Plywood	4 pcs. 4	Assorted C.W. Nails	2 kls. 5	# 16 Tie Wire	3 kls. 6	Concrete Ready Mixed (3,000 psi)	44 cu.m. 7	Po</t>
  </si>
  <si>
    <t xml:space="preserve"> Please see attached Terms of Reference</t>
  </si>
  <si>
    <t xml:space="preserve"> 1. Premium Wallright Cement                                                   5 bags 2. 600 mm x 60 mm floor tiles white                                        20 pcs 3. Tile Adhesive                                                                       1</t>
  </si>
  <si>
    <t xml:space="preserve"> - fabric for dress  :  400 meters - assorted threads for dress  :  40 rolls -  assorted buttons for dress  :  40 packs - zipper for dress  :  400 pcs - fabric for shirt  :  400 meters - assorted threads for shirt  :  40 rolls - assorted buttons for shirt </t>
  </si>
  <si>
    <t xml:space="preserve"> Department of Education Region VI-Western Visayas Division of Cadiz City Mabini National High School INVITATION TO BID FOR THE PROCUREMENT OF OFFICE SUPPLIES FOR MODULAR LEARNING MNHS-SHS 2020 1.	The Mabini National High School  of Cadiz City, through the</t>
  </si>
  <si>
    <t xml:space="preserve"> Supply and Materials for CCTV Maintenance Project</t>
  </si>
  <si>
    <t xml:space="preserve"> To support the procurement for the Repair and Maintenance Disaster and Rescue Equipment for the use of TOWSOL, Guillermo Nakar, Lucena City.</t>
  </si>
  <si>
    <t xml:space="preserve"> ITEM 	ITEM &amp;  DESCRIPTION	QUANTITY NO.		 1	Cement	112 bags 2	Sand 	7 cu.m. 3	Gravel	4 cu.m.  4	12mm x 6.0 RSB	8 pcs. 5	10mm x 6.0 RSB	8 pcs. 6	9mm x 6.0 RSB	80 pcs. 7	Tie Wire	12 kls. 8	4" CHB	880 kls. 9	Hacksaw Blade	6 liters 10	Assorted CW Nails	6 liter</t>
  </si>
  <si>
    <t xml:space="preserve"> Supply and Delivery of construction Materials for the improvement of PIS at Dangsal Besong and Construction of CIS @ Tidang Village</t>
  </si>
  <si>
    <t xml:space="preserve"> LABOR MATERIALS</t>
  </si>
  <si>
    <t xml:space="preserve"> 1. The City Government of Calamba through the LDRRM Fund intends to apply the sum of Php 394,860.00 being the Approved Budget for the Contract (ABC) to payments under the contract for G-2020-379 Supply and Delivery of Agricultural Inputs: Quail Egg Produc</t>
  </si>
  <si>
    <t xml:space="preserve"> One (1) lot – Repair of LED Wall System at the BSP Assembly Hall, Head Office, as per BSP Terms of Reference Php998,100.00, VAT inclusive (Quotations/Proposals exceeding this amount shall be disqualified.)</t>
  </si>
  <si>
    <t xml:space="preserve"> Other Supplies</t>
  </si>
  <si>
    <t xml:space="preserve"> 1. Two  (2)  Units  Prominent Germany Metering Pump, Model BT4b 1604 PVT,3.6 LPH at 16 bars (232 psi),                             230V, Single Phase, 60 Hz, IP65, Power:16.5 W complete with Standard Accessories. 2. Ten (10)  Pcs.   Grasslin 24-hour Timer</t>
  </si>
  <si>
    <t xml:space="preserve"> CITY ENGINEER'S OFFICE/ MOTORPOOL DIVISION 1 1 Unit/s Brand new counterbalance forklift with power output at least  110 hp minimum, gross vehicle weight at least 12,300 kg minimum at 2,000 rpm minimum, Diesel engine, 6 cylinders minimum, inline, direct in</t>
  </si>
  <si>
    <t xml:space="preserve"> 1 JOB ORDER   REHABILITATION/ IMPROVEMENT OF CARAGA NORTH DISTRICT                        POBLACION, CARAGA, DAVAO ORIENTAL              200,000.00</t>
  </si>
  <si>
    <t xml:space="preserve"> 1. The City Government of Calamba through the General Fund intends to apply the sum of Php 832,866.00 being the Approved Budget for the Contract (ABC) to payments under the contract for G-2020-380 Labor &amp; Materials for the Repair &amp; Maintenance of Various </t>
  </si>
  <si>
    <t xml:space="preserve"> Supply and Delivery of 210 pcs rapid testing kits for Locally stranded individuals</t>
  </si>
  <si>
    <t xml:space="preserve"> 1 unit GLOBAL POSITIONING SYSTEM - Water proof and/or splash proof - Min. 1000 waypoints - With camera: Colored display - Touch screen: with image viewer - Plug and Play: USB interface - Bluetooth (optional) Accessories: - Re-chargeable Lithium battery an</t>
  </si>
  <si>
    <t xml:space="preserve"> Description of Materials	Quantity	Unit Premium Cement	120	Bags Mixed Sand	20	Cu.m</t>
  </si>
  <si>
    <t xml:space="preserve"> Procurement construction materials for the installation of streetlights at Matalipni</t>
  </si>
  <si>
    <t xml:space="preserve"> SCOPE OF WORK: 1. Repainting of all Security Railings to include main gate &amp; check point areas; 2. Replacement of Damaged Railing Cyclone Wires: 3. Replacement of Damaged Caster Wheels; 4. Replacement of Damaged Railings Anchors; and 5. Cleaning and clear</t>
  </si>
  <si>
    <t xml:space="preserve"> Name of Project	:	Procurement of Drugs &amp; Medicines Location		:	MHARSMC, Mindog, Maningcol, Ozamiz City Brief Description	:	Drugs &amp; Medicines 2020 Approved Budget for the Contract	:	Php 12,540,885.93 total or corporate budget (please refer to the list  			</t>
  </si>
  <si>
    <t xml:space="preserve"> To lessen fears over possible increase of criminality due to illegal drugs, the Philippine nation Police  (PNP) further heightened the its security protocol.The PNP will deploy more mobile patrol units for anti-criminality and police visibility operations</t>
  </si>
  <si>
    <t xml:space="preserve"> The Land Transportation Office Regional Office 5 solicits from local reputable PHILGEPS registered dealers/suppliers/contractors Price Quotations for Repair and Maintenance of Air Conditioning Units in LTO Regional Office with an ABC amounting to Fifty-Tw</t>
  </si>
  <si>
    <t xml:space="preserve"> Vancomycin 500mg Inj. (HCL) Requirements for Drugs and Medicines: **Drugs with history of usage from VMMC (Requirements No. 1-5 only) ** **For Innovators (Requirements No. 1-4 only) ** 1. CPR 2. CGMP 3. LTO 4. CERTIFICATE OF DISTRIBUTOSHIP 5. CERTIFICATE </t>
  </si>
  <si>
    <t xml:space="preserve"> 6,428  pcs Cacao Planting Materials (Asesual) 1,500  bags  Soil Enhancer (Chicken Dung)</t>
  </si>
  <si>
    <t xml:space="preserve"> Republic of the Philippines Province of Aurora MUNICIPALITY OF MARIA AURORA Bids and Awards Committee INVITATION TO BID First Posting The Local Government Unit of Maria Aurora, through the Bid and Awards Committee (BAC), invites suppliers/interested party</t>
  </si>
  <si>
    <t xml:space="preserve"> LOT BIDDING FOR QUANTITY: EIGHT (8) SETS/PACKAGES OF DESCRIPTION Sari-Sari Store Negosyo Starter Kit / Package Packed in a Box with the following inclusion:   1) 50 sachets 30g 3-in-1 ready-to-drink mix coffee in sachet   2) 50 sachets Milo Drink 22g   3)</t>
  </si>
  <si>
    <t xml:space="preserve"> For the use of City Planning &amp; Development Office. 6 units Computer Desktop with UPS (i5, compatible motherboard, 8GB RAM, 1TB HDD, GT730 video card, mouse &amp; keyboard, casing with power supply, 19" monitor &amp; UPS)</t>
  </si>
  <si>
    <t xml:space="preserve"> Supply and Delivery of CM for the construction of Multi-purpose building/covered court phase II</t>
  </si>
  <si>
    <t xml:space="preserve"> Supply and Delivery of Various Medical and Dental Supplies as per PR NO. 20-01-0044</t>
  </si>
  <si>
    <t xml:space="preserve"> EXCAVATION, BOX CULVERT</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</si>
  <si>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</si>
  <si>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2 lot Desiccator, acrylic with gas port, cabinet-type, with built-in hygrometer, minimum 3 shelves, clear.</t>
  </si>
  <si>
    <t xml:space="preserve"> One-Year Preventive Maintenance of 9 Airconditioning Units - P57,999.96 Please see attached scope of work and details of airconditioning units. VAT Inclusive</t>
  </si>
  <si>
    <t xml:space="preserve"> The Local  Government   Unit  of General  Santos  City, through  the  DRRM FUND CY 2020  intends  to apply  the sum of fifty seven thousand five hundred seventy and xx / 100 Pesos Only (57,570.00)   being  the Approved  Budget  for the Contract   (ABC) to</t>
  </si>
  <si>
    <t xml:space="preserve"> installation of decorative  cement tiles</t>
  </si>
  <si>
    <t xml:space="preserve"> Various Hardware &amp; Construction Materials &amp; Supplies</t>
  </si>
  <si>
    <t xml:space="preserve"> Intended for the purchase of different electrical supplies to repair damaged electrical system in the RHU.</t>
  </si>
  <si>
    <t xml:space="preserve"> Purchase of 2T 150ltrs., Engine Oil 40 (Diesel) 250 ltrs.,Engine Oil 40 (Gasoline) 50 ltrs., Coolant 10 ltrs., Oil 10 4 pail, Brake Fluid 20 ltrs., ATF 20 ltrs., Flushing Oil 30 can,Additive 30 can, Grease 10 can, Synthetic Oil 40 ltrs., Gear Oil 90 40 lt</t>
  </si>
  <si>
    <t xml:space="preserve"> Glucose MR 4x100 ml (Linear)	 4 	Boxes Cholesterol Mr 4 x 100 ml (Linear)	 4 	Boxes Urea/BUN 3 x 100 ml (Linear)	 4 	Boxes Uric Acid MR 4 x 100 ml (Linear)	 4 	Boxes SGPT 3 x 100 ml (Linear)	 4 	Boxes SGOT 3 x 100 ml (Linear)	 2 	Boxes Triglycerides MR 4 </t>
  </si>
  <si>
    <t xml:space="preserve"> Description Please quote your price inclusive of VAT on the item/s listed below, subject to the Terms and conditions of the RFQ, and submit your quotation duly signed by your representative not later than June 30, 2020 at CGSO for Goods. Upon receipt of a</t>
  </si>
  <si>
    <t xml:space="preserve"> 1.  2 sets 4” submersible pump (pump head) 5HP, 3.7 kw 60Hz, control box for submersible motor, 5hp, 3.7kw, 230v 3.7kw, 1ph, 60Hz</t>
  </si>
  <si>
    <t xml:space="preserve"> Purified Drinking Water Refills 5 gallons per bottle round Inclusions:   Free use of 7 units of water dispenser   Free use of 50 round bottles (number of bottles may be increased when needed)   Free delivery Note: Supplier shall initially provide 50 fille</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</si>
  <si>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</si>
  <si>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Rice	48	sack Sardines 100's	28	bxs Meat Loaf 48's	24	bxs Coffee 3 in 1 200's (Twin Pack)	20	bxs Noodles	30	bxs</t>
  </si>
  <si>
    <t xml:space="preserve"> Invitation to Bid 1.	The Barangay Government of Tanza 2 through the 2020 BDRRM Fund,intend to apply the amount of  Ninety Thousand Pesos Only  (words)  Php 90,000.00 as the Approved Budget for the Contract (ABC) for the payment under the contract for the </t>
  </si>
  <si>
    <t xml:space="preserve"> 1. The City Government of Calamba through the General Fund intends to apply the sum of Php 131,304.00 being the Approved Budget for the Contract (ABC) to payments under the contract for G-2020-382 Supply and Delivery of I.T. Equipment, City General Servic</t>
  </si>
  <si>
    <t xml:space="preserve"> Republic of the Philippines 		      Province of Laguna MUNICIPAL GOVERNMENT OF PANGIL BIDS AND AWARDS COMMITTEE Nat’l Rd. Brgy. San Jose, Pangil, Laguna 	Tel.Nos.  (049)557-0284 &amp; 557-3139		 	 INVITATION TO APPLY FOR ELIGIBILITY AND TO BID The Municipalit</t>
  </si>
  <si>
    <t xml:space="preserve"> Republic of the Philippines													 City of San Carlos													 Negros Occidental													 													 INVITATION TO BID											FOR SALE	 			PURCHASE REQUEST NO: 9-20-06-0709				P 500.00	 Sealed bids for quotation of prices will be recei</t>
  </si>
  <si>
    <t xml:space="preserve"> 1  unit Printer 3 in 1            Printer Up to A3 	Colored 	Print Resolution up to 5760 x 440 dpi  	Print Speed up to 15ipm 	Refill Tank System Ink 1 unit	Desktop with Table 	CPU 3.0 Hz Intel Core i7 	Memory 8gb DBR44 1.066m Hz 	HD 4870 x 2512MB 2 gb nvi</t>
  </si>
  <si>
    <t xml:space="preserve"> Standard Form Number: SF-INFR-05 Revised on: July 28, 2004        INVITATION TO APPLY FOR ELIGIBILITY AND TO BID The Municipal Local Government Unit of Saguday, Quirino through its Bids and Awards Committee (BAC), invites contractors to apply for eligibil</t>
  </si>
  <si>
    <t xml:space="preserve"> FM BROADCAST TRANSMITTER STEREO 300 WATTS, ANTENNA 4-BAY CIRCULARY POLARIZED, BROADCAST CONSOLE, 2 SETS STUDIO MICROPHONE WITH BOOM ARM AND POP FILTER</t>
  </si>
  <si>
    <t xml:space="preserve"> Item No.	ITEM DESCRIPTION	QTY.	UNIT	UNIT PRICE	TOTAL PRICE 1.	Portland Cement 	120	bags		    2. 	12mmØ DRSB	20	lengths		    3. 	10mmØ DRSB	100	lengths 		    4.	Tie wire #16 	3	kgs.		    5.	¼” marine plywood 	50	sheets		    6.	amakan 	100	sheets		    7. 	C</t>
  </si>
  <si>
    <t xml:space="preserve"> 18 assy. Pen light 18-watts LED Lamp 1,081 bags Portland Cement type-1p 11 bags Skimcoat 98 bags Tile Adhesive Cement 7 box 1/8 Blind Revits at 1000 pcs/box 1 box Welding Rod Stainless Steel 1 box #14 THW Stranded 1 box #12 THW Stranded 1 box Stiple Wire </t>
  </si>
  <si>
    <t xml:space="preserve"> LOT BIDDING FOR Item No. 1: Well-Milled Rice (50 kls per sack) Quantity: 18 sacks Item No. 2: Regular-Milled Rice (50 kls per sack) Quantity: 12 sacks TOTAL APPROVED BUDGET: P60,000 INCLUSIVE DELIVERY AND DISTRIBUTION TO BARANGAY 18, CAGAYAN DE ORO FIRE V</t>
  </si>
  <si>
    <t xml:space="preserve"> QUANTITY         UNIT       DESCRIPTION                       3                     UNIT         THERMAL SCANNER                                                         SPECIFICATIONS:                                                        INFRARED THERMO</t>
  </si>
  <si>
    <t xml:space="preserve"> tires, tubeless 30x9.5 R15 Dueler A/T 697</t>
  </si>
  <si>
    <t xml:space="preserve"> INVITATION TO BID FOR SUPPLY AND DELIVERY OF WORKSTATION COMPUTERS  FOR DSWD-UCT NPMO —  ITB NO. GOP/19-DSWD-059-A — (PR NO. 01-20001-PR-2019-11-00121) 1.	The Department of Social Welfare and Development (DSWD), through the DSWD Funds, intends to apply th</t>
  </si>
  <si>
    <t xml:space="preserve"> The Schedule of submission of quotations / proposals will be on June 29, 2020 at 10:00am at Conference Hall, Cebu City District Engineering Office, V. Sotto St., Brgy. Tinago, Cebu City. Bids received in excess of the ABC shall be automatically rejected a</t>
  </si>
  <si>
    <t xml:space="preserve"> 2 units SMS Messenger for Power Monitoring NOTE: Price must be inclusive of VAT and item should be specified: Brand and Model: Warranty: Term of Payment:</t>
  </si>
  <si>
    <t xml:space="preserve"> Republic of the Philippines							 Province of Occidental Mindoro							 Municipality of STA. CRUZ							 							 REQUEST FOR QUOTATION							 Date:	Monday, June 22, 2020				                          PR No.: 		 SBO-093  					                           Ref</t>
  </si>
  <si>
    <t xml:space="preserve"> Municipal Ordinance No. 2020-04 - An Ordinance prohibiting the acts of vandalism, imposing penalties for violations thereof, and for other purposes Municipal Ordinance No. 2020-05 - An Ordinance establishing a septage management/sewerage program in the Mu</t>
  </si>
  <si>
    <t xml:space="preserve"> Supply and Delivery of CM for the improvement of Hanging Foot Bridge @ Pacac,Cabalatan Alang KNV</t>
  </si>
  <si>
    <t xml:space="preserve"> 2,200     cu.m.  Common Borrow    800        cu.m.  Base Course</t>
  </si>
  <si>
    <t xml:space="preserve"> INVITATION TO BID FOR THE Provision of Internet Service and Domestic Multi-Protocol Label Switching Services for Bicol University 1.	The BICOL UNIVERSITY, through the General Appropriations Act/Corporate Budget for the contract approved by the Board of Re</t>
  </si>
  <si>
    <t xml:space="preserve"> Republic of the Philippines MUNICIPALITY OF ECHAGUE Province of Isabela INVITATION TO BID FOR  THE  PURCHASE OF RAPID ELECTRIC VEHICLE CHARGER (FOR  E-TRIKE) 1.	The Local Government Unit , through  the  DOST FUND ( Grant)  intends to apply the sum of  ONE</t>
  </si>
  <si>
    <t xml:space="preserve"> Standard Form No. 60						 Revised on May 24, 2004						 REQUEST FOR QUOTATION						 Provincial Government of Romblon						 						 				Date:      June 23, 2020		 				Quotation No.:    529		 						 To Our Valued Suppliers:						 						 	Please quote your l</t>
  </si>
  <si>
    <t xml:space="preserve"> MULTIVITAMINS Requirements for Drugs and Medicines: **Drugs with history of usage from VMMC (Requirements No. 1-5 only) ** **For Innovators (Requirements No. 1-4 only) ** 1. CPR 2. CGMP 3. LTO 4. CERTIFICATE OF DISTRIBUTOSHIP 5. CERTIFICATE OF ANALYSIS 5.</t>
  </si>
  <si>
    <t xml:space="preserve"> Department of Education Region VI-Western Visayas Division of Cadiz City Mabini National High School INVITATION TO BID FOR THE PROCUREMENT OF OFFICE SUPPLIES FOR MODULAR LEARNING MNHS-JHS 2020 1.	The Mabini National High School  of Cadiz City, through the</t>
  </si>
  <si>
    <t xml:space="preserve"> Please see Terms of Reference</t>
  </si>
  <si>
    <t xml:space="preserve"> The ISU Cabagan, Isabela invites registered suppliers to submit bid quotations/bid proposal of the items listed in the attached RFQ. Submit your bid quotations / bid proposal duly signed by you or your authorized representative with certified true copies </t>
  </si>
  <si>
    <t xml:space="preserve"> CCDO 1 1 Unit/s Motor Vehicle (4 wheels), Brand new, Van Type and latest  model, 2.2L Diesel, 5-speed manual.   Please see attached file/document on associated components or BAC website www.davaocityportal.com (BAC posting) for the complete descriptions, </t>
  </si>
  <si>
    <t xml:space="preserve"> 50 boxes - Azithromycin 500mg Capsule 600 boxes - Ascorbic Acid 500mg Tablet xxxxxx</t>
  </si>
  <si>
    <t xml:space="preserve"> INVITATION TO BID The Municipality of San Mateo, through its Bids and Awards Committee (BAC), invites suppliers, manufacturers, distributors, contractors registered with the BAC in the Municipality of San Mateo, to apply for eligibility and if found eligi</t>
  </si>
  <si>
    <t xml:space="preserve"> Republic of the Philippines							 Province of Occidental Mindoro							 Municipality of STA. CRUZ							 							 REQUEST FOR QUOTATION							 Date:	Monday, June 22, 2020				                          PR No.: 		 06-22-20-33  					                          </t>
  </si>
  <si>
    <t xml:space="preserve"> CITY MAYOR'S OFFICE 1 1 Unit Vehicle, brand new Pick-Up Type, 3.0L Four Wheel Drive (4x4) Diesel Engine, A/T Transmission with Aircon, Color White.   Please see attached file/document on associated components or BAC website www.davaocityportal.com (BAC po</t>
  </si>
  <si>
    <t xml:space="preserve"> Different Offices</t>
  </si>
  <si>
    <t xml:space="preserve"> 1.40kg Portland Cement - 12 bags 2.Washed Sand (Silway) - 2 cu.m 3.3/4" Diameter x 6m RSB - 2 cu.m 4.10mm Diameter x 6m RSB - 10pcs 5.Water Proofing Nevada - 5 packs 6.#16 GI Tie Wire - 5 kls 7.1¼" Diameter x 90° G.I Elbow - 2 pcs 8.1¼" Diameter x 90° ST&gt;</t>
  </si>
  <si>
    <t xml:space="preserve"> Invitation to Bid to all Supplier/Contractor duly accredited by the City Council of Manila to supply and deliver the following items provided hereunder, to wit:  Item	Qty.	Unit	Articles 			 1	12 	Gal	Traffic Yellow Paint 2	13	Gal	Latex Paint, Blue 3	13	Ga</t>
  </si>
  <si>
    <t xml:space="preserve"> CITY MAYOR'S OFFICE 1 1000 Pieces Lechon (Baboy), Whole, 20 Kgs. Live Weight  2 10 Pieces Lechon (Baka), Whole, 50 Kgs. Live Weight  Terms and Condition: 1. Payment- Per Statement 2. All quoted prices shall be inclusive of VAT   Please see attached file/d</t>
  </si>
  <si>
    <t xml:space="preserve"> CITY HEALTH OFFICE -- Assorted Air Conditioners --   Please see attached file/document on associated components or BAC website www.davaocityportal.com (BAC posting) for the complete descriptions, terms of conditions and terms of references.   Bidding will</t>
  </si>
  <si>
    <t xml:space="preserve"> Republic of the Philippines Province of Davao de Oro MUNICIPALITY OF COMPOSTELA BIDS AND AWARDS COMMITTEE CP#: 0998-571-7569 INVITATION TO BID FOR  Procurement of Spare Parts for Repair of Municipal Light Vehicle (2nd Qtr.) – GSO ITB NO. 2020-06-029, BID </t>
  </si>
  <si>
    <t xml:space="preserve"> Bond paper Cactus long Bond Paper Cactus Short Bond Paper Cactus A4 Scathes Tape Logbook 500 pages Yellow Pad Folder long White Alcohol 70% big White Board pen Pentel pen block broad fastener staple wire #10 Stapler Correction pen Calculator Casio 8 digit</t>
  </si>
  <si>
    <t xml:space="preserve"> Republic of the Philippines Province of Pangasinan Municipality of Lingayen BARANGAY BASING INVITATION TO BID  The Barangay Basing , through the Barangay Development Fund  CY-2020       intends to apply the sum of   Six  Hundred Twenty Six  Thousand Two H</t>
  </si>
  <si>
    <t xml:space="preserve"> Republic of the Philippines													 City of San Carlos													 Negros Occidental													 													 INVITATION TO BID											FOR SALE	 			PURCHASE REQUEST NO: 18-20-06-0644				P 150.00	 Sealed bids for quotation of prices will be rece</t>
  </si>
  <si>
    <t xml:space="preserve"> The City Government of Malolos, through its BIDS and AWARDS COMMITTEE (BAC) Invites Suppliers/Manufacturers/Distributors to Bid for hereunder procurement:  PR No. : GSO-2020-03-459 Name of Project : PURCHASE OF 5 UNITS MINI DUMP TRUCK 6                   </t>
  </si>
  <si>
    <t xml:space="preserve"> Standard Form No. 60						 Revised on May 24, 2004						 REQUEST FOR QUOTATION						 Provincial Government of Romblon						 						 				Date:      June 23, 2020		 				Quotation No.:    548		 						 To Our Valued Suppliers:						 						 	Please quote your l</t>
  </si>
  <si>
    <t xml:space="preserve"> ITEM 	ITEM &amp;  DESCRIPTION	QUANTITY NO.		 		 1	Boulders	46 pcs. 2	Cement	172 bags 3	Sand	11 cu.m. 4	2"x2"x10' G.L.	45 pcs. 5	Gravel	7 cu.m. 6	10mm.Dia. X 6.0 RSB	62 pcs. 7	2" PVC Pipe	30 pcs. 8	# 16 Tie Wire	6 kls. 9	Filling Soil	60 cu.m. 10	Asst'd. C. W. </t>
  </si>
  <si>
    <t xml:space="preserve"> Republic of the Philippines PROVINCE OF ZAMBOANGA DEL NORTE Municipality of Godod BARANGAY RAMBON INVITATION TO BID FOR PROPOSED WATER SUPPLY REHABILITATION Rambon, Godod, Zamboanga del Norte 1.	The Barangay Local Government Unit of Rambon, Godod, ZAmboan</t>
  </si>
  <si>
    <t xml:space="preserve"> Printer, multifunctions, Ink Tank,(Print, Scan, and copy), Borderless printing, Print speed up to 33ppm, very small footprint, high page yield of 4500 (black) and 7,500 ( colored), include one set of Ink Bottles</t>
  </si>
  <si>
    <t xml:space="preserve"> Angle Bar 2x 1/4 STD        42 pc   Square Bar 12mm             73.50 pc   Welding Rod                      15.00 kilo   Epoxy Primer                    3.00 gal   Epoxy Thinner                   3.00 gal   Paint Brush                       5.00 pc   Cutt</t>
  </si>
  <si>
    <t xml:space="preserve"> One (1) Consultant on Health and Social Welfare (Social Protection).</t>
  </si>
  <si>
    <t xml:space="preserve"> 11 PCS WINDOWN BLINDS</t>
  </si>
  <si>
    <t xml:space="preserve"> 64	shts	G.I. Corrugated Sheet 5	kgs	Umbrella nails 5	pcs	Vulca seal 4	shts	Plain G.I. sheet 2	gals	QDE paint (red oxide primer) 30	pcs	1/4 thk ordinary plywood 120	bd ft 2”x2”x12” good lumber 8	kgs	Assorted CWN 10	gals	Semi-gloss latex paint (exterior wal</t>
  </si>
  <si>
    <t xml:space="preserve"> Republic of the Philippines							 Province of Occidental Mindoro							 Municipality of STA. CRUZ							 							 REQUEST FOR QUOTATION							 Date:	Monday, June 22, 2020				                          PR No.: 		 SBO-092  					                           Ref</t>
  </si>
  <si>
    <t xml:space="preserve"> LOT BIDDING FOR QUANTITY: THIRTY (30) SETS/PACKAGES OF DESCRIPTION Sari-Sari Store Negosyo Starter Kit / Package Packed in a Box with the following inclusion: 1) 50 sachets 30g 3-in-1 ready-to-drink mix coffee in sachet 2) 50 sachets Milo Drink 22g 3) 80 </t>
  </si>
  <si>
    <t xml:space="preserve"> 1. The City Government of Calamba through the General Fund intends to apply the sum of Php 921,468.00 being the Approved Budget for the Contract (ABC) to payments under the contract for G-2020-381 Supply and Delivery of Electrical Materials, City Engineer</t>
  </si>
  <si>
    <t xml:space="preserve"> Lactulose 3.3G/5ML (66%) SYRYP 120ML Requirements for Drugs and Medicines: **Drugs with history of usage from VMMC (Requirements No. 1-5 only) ** **For Innovators (Requirements No. 1-4 only) ** 1. CPR 2. CGMP 3. LTO 4. CERTIFICATE OF DISTRIBUTOSHIP 5. CER</t>
  </si>
  <si>
    <t xml:space="preserve"> Vitamin B Complex (B1-100MG, B6-MG, B12-50MCG) Requirements for Drugs and Medicines: **Drugs with history of usage from VMMC (Requirements No. 1-5 only) ** **For Innovators (Requirements No. 1-4 only) ** 1. CPR 2. CGMP 3. LTO 4. CERTIFICATE OF DISTRIBUTOS</t>
  </si>
  <si>
    <t xml:space="preserve"> 1.Disposable Gloves Mint-medium 100's - 5 boxes			 2.Cord Clamp 100's - 1 box			 3.Syringe 1cc 100's - 2 boxes			 4.Syringe 3cc 100's - 2 boxes			 5.Syringe 5cc 100's - 1 box			 6.Vasocan gauge 18  cannula - 10 pcs			 7.Vasocan gauge 20  cannula - 10 pcs	</t>
  </si>
  <si>
    <t xml:space="preserve"> Supply and Delivery of CM for the Improvement of Gusaran-Addon-Bineng Road and Improvement of Sta Cruz Hanging Foot bridge @ Sta Cruz Pingkian</t>
  </si>
  <si>
    <t xml:space="preserve"> OFFICE OF THE CITY MAYOR 1 8900 Sack/s Rice, 50 kilos per sack, V160/7 tonner  2 4600 Box/es Sardines, in tomato sauce, 155g., 100s per box Terms and Conditions: 1. The bidder must have atleast 3 storage facilities within Davao City that can accommodate t</t>
  </si>
  <si>
    <t xml:space="preserve"> 30 PCS AIR FRESHENER 280ml 30 PCS ALBATROS 30 PCS MULTI INSECT KILLER 30 PCS BLEACH 20 PCS DUST PAN 20 PCS FIBER BROOM 20 PCS COCONUT HUSK 20 PCS BROOMSTICK 50 PCS DOORMAT 50 PCS DISINFECTANT 50 PCS TOILET BOWL CLEANER 30 PCS TOILET BRUSH WITH HANDLE 60 P</t>
  </si>
  <si>
    <t xml:space="preserve"> For complete specification, please see attached RFQ at the  associate components link or request....</t>
  </si>
  <si>
    <t xml:space="preserve"> INVITATION TO BID for SALVACION-UNION CIS 1.	The National Irrigation Administration- Irrigation Management Office Davao de Oro, through the GAA –CARP-IC  fund 2020 Force Account Works intends to apply the sum of  One Million Five Hundred Sixty Eight Thous</t>
  </si>
  <si>
    <t xml:space="preserve"> REQUEST FOR QUOTATION (RFQ)  SUPPLY AND DELIVERY OF MOBILE PEDESTAL FILING CABINET-BLACK  UNDER EMB-AFMD-RFQ NO. EMB-AFMD-SHOPPING-CABINET -0024-6-22-2020-3rd Posting   1.	The Department of Environment and Natural Resources – Environmental Management Bure</t>
  </si>
  <si>
    <t xml:space="preserve"> The Municipality of President Roxas (MPR), through the Budget Approved by the Sanggunian, intends to apply the sum of Eighty Thousand Pesos (Php 80,000.00) being the Approved Budget for the Contract (ABC) to payments under the contract for the Procurement</t>
  </si>
  <si>
    <t xml:space="preserve"> INVITATION TO BID The Municipality of San Mateo, through its Bids and Awards Committee (BAC), invites suppliers, registered with the BAC in the Municipality of San Mateo, to apply for eligibility and if found eligible, to bid for the hereunder listed proj</t>
  </si>
  <si>
    <t xml:space="preserve"> Republic of the Philippines Province of Iloilo Municipality of San Miguel Invitation to Bid for  Purchase of Office Supplies Expenses for All Departments  ITB No. 2020-011 1.	The Municipality of San Miguel through the AB 2020 - Mayor’s Office intends to a</t>
  </si>
  <si>
    <t xml:space="preserve"> ***ABC: 56,100.00 ***Date of Delivery: July 6, 2020  **Place of Delivery: Catbalogan City Division, Catbalogan, City, Samar ***Please submit RFQ on or before the closing date 15	 pack  	AAA Battery (for the Digital BP App; by 4's 10	 pack  	AA Battery (fo</t>
  </si>
  <si>
    <t xml:space="preserve"> SF-GOOD-60 Standard Form Title: Request for Quotation 										_______________ 									             _______________________ _______________________ 	Please quote your lowest price on the items listed below, subject to the General Conditions on the last </t>
  </si>
  <si>
    <t xml:space="preserve"> CORING MACHINE: Concrete Pavement Coring Machine with Water Pump and Complete Accessories; 110-120kgs; 6.5HP Gasoline Powered Motor engine with vertical shaft; 1 pc 150mm Core Bit; 1 pc 100mm core bit; 1 pc 150mm Core Extractor; 1 pc 100mm Core Extractor.</t>
  </si>
  <si>
    <t xml:space="preserve"> The Local  Government   Unit  of General  Santos  City, through  the  GENERAL FUND CY 2020  intends  to apply  the sum of two hundred eighty six thousand five hundred eighty and xx / 100 Pesos Only (286,580.00)   being  the Approved  Budget  for the Contr</t>
  </si>
  <si>
    <t xml:space="preserve"> Republic of the Philippines Province of Pangasinan MUNICIPALITY OF LINGAYEN BARANGAY LIBSONG EAST Invitation to Bid    1. The Barangay Libsong East through the Barangay  Development Fund CY 2020 intends to apply the sum of    Six Hundred Fifty  Thousand  </t>
  </si>
  <si>
    <t xml:space="preserve"> Republic of the Philippines   Province of Laguna             Municipality of Calauan 		ITB No.  2020-01 BIDS AND AWARDS COMMITTEE INVITATION TO BID  1.	 The Municipal Government of Calauan, Laguna intends to apply the sum of FOUR MILLION PESOS (Php4,000,0</t>
  </si>
  <si>
    <t xml:space="preserve"> 1 set intel 17-9700+gigabyte Z390-M-gaming 2 pc DDR4 8GB GSkill 2666MHZ 1 pc WD 1TB Blue Sata 1 pc Sandisk SSD 120GB 2.5" 1 pc Dual GTX1650-04G DDR5 128Bit OC 1 pc case trendsonic 55AS with 650W 1 unit TPlink TLWA801ND 300 mbps accesspoint/range extender </t>
  </si>
  <si>
    <t xml:space="preserve"> SNACKS</t>
  </si>
  <si>
    <t xml:space="preserve"> QUANTITY                    UNIT                  DESCRIPTION 5                                  KG                   CHLORINE POWDER 1 KG 6                                  KG                   OXALIC POWDER 1 KG 350                              KG      </t>
  </si>
  <si>
    <t xml:space="preserve"> 2 PCS TV 40" AND 32"  1 WATER DISPENSER</t>
  </si>
  <si>
    <t xml:space="preserve"> 40	pcs	made to order customized polo shirt (XS-1, S-6, M-9, L-12,XL-7, 2XL-3, 3XL-2) 40	pcs	made to order customized tactical pants (size: 27-2, 28-1, 29-7, 30-3, 31-3, 32-3, 33-3, 34-11, 35-2, 36-3, 38-1, 50-1) 40	pcs	Customized cap - embroidered, color </t>
  </si>
  <si>
    <t xml:space="preserve"> ITEM 	ITEM &amp;  DESCRIPTION	QUANTITY NO.		 1	Item 200	9 cu.m. 2	Portland Cement Type I	270 bags 3	Fine Aggregates	22 cu.m. 4	Coarse Aggregates	22 cu.m. 5	12mmØ 6m. Deformed Steel Bar	59 pcs. 6	10mmØ x 6m. Deformed Steel Bar	272 pcs. 7	16mmØ x7m. Deformed St</t>
  </si>
  <si>
    <t xml:space="preserve"> ITEM 	ITEM &amp;  DESCRIPTION	QUANTITY NO.		 1	1/4"x2"x2" Angle Bar	23 pcs. 2	3/16"x11/2"x11/2" Angle Bar	13 pcs. 3	3/16"x11/4"11/4" Angle Bar ( Cross Brace)	21 pcs. 4	12mmØ x 6m. Plain Bar ( Cross Tension)	8 pcs. 5	2"x3" C -Purlins (1.5)	34 pcs. 6	10mmØ X 6M</t>
  </si>
  <si>
    <t xml:space="preserve"> Cadiz City SF-GOOD-60 Standard Form Title: Request for Quotation 										_______________ 				             ______________________ ______________________ 	Please quote your lowest price on the items listed below, subject to the General Conditions on the l</t>
  </si>
  <si>
    <t xml:space="preserve"> 1.265/70 R16 AT3 Dunlop - 4 pcs 2.Tire Valve Rubber - 3 pcs 3.Wheel Balancing Rim 17 - 2 pcs 4.1/2 oz Adhesive - 8 pcs 5.555 Ball Joint - 2 pcs 6.#44868 Rack End - 2 pcs 7.#2237 12" Plastic Tie - 2 pcs 8.#11905 Tie Rod End - 2 pcs 9.Replace Balljoint 4 Wh</t>
  </si>
  <si>
    <t xml:space="preserve"> Purchase of spareparts</t>
  </si>
  <si>
    <t xml:space="preserve"> The Local  Government   Unit  of General  Santos  City, through  the  GENERAL FUND CY 2020  intends  to apply  the sum of two hundred eighty thousand five hundred and xx / 100 Pesos Only (280,500.00)   being  the Approved  Budget  for the Contract   (ABC)</t>
  </si>
  <si>
    <t xml:space="preserve"> Standard Form No. 60							 Revised on May 24, 2004							 REQUEST FOR QUOTATION							 Provincial Government of Romblon							 							 				Date:      June 23, 2020			 				Quotation No.:    134-S			 							 To Our Valued Suppliers:							 							 	Please </t>
  </si>
  <si>
    <t xml:space="preserve"> Republic of the Philippines          City of Dumaguete Bids and Awards Committee INVITATION TO BID FOR JOB ORDER OF 1 UNIT FLOOR MOUNTED AIRCON 	The City of Dumaguete thru its BIDS AND AWARDS COMMITTEE (BAC), invites all interested manufacturers, supplier</t>
  </si>
  <si>
    <t xml:space="preserve"> Procurement of Meals and Snacks</t>
  </si>
  <si>
    <t xml:space="preserve"> CITY ENGINEER'S OFFICE/ MOTORPOOL DIVISION -- Spare Parts for Hyundai 6-Wheeler Dump Truck HD160 with Plate No. SKG-825 -- Spare Parts for Komatsu D65EX-15 Bulldozer with Equipment No. A2010-002L   Please see attached file/document on associated component</t>
  </si>
  <si>
    <t xml:space="preserve"> Supply &amp; Delivery of Construction Materials for the Water System Development at AKLIYANG E/S, Municipality of Bongabong, Oriental Mindoro</t>
  </si>
  <si>
    <t xml:space="preserve"> Republic of the Philippines Province of Bohol Municipality of San Miguel INVITATION TO BID FOR  SUPPLY AND DELIVERY OF SPARE PARTS OF MUNICIPAL ROAD GRADER AND BULLDOZER  1.	The Local Government Unit of San Miguel, Bohol, through the 5-02-13-060 intends t</t>
  </si>
  <si>
    <t xml:space="preserve"> 1	Ballpen  Blue 50's/box	20	box 2	Ballpen  Green 50's/box	20	box 3	Clip board	20	box 4	Correction Pen 	20	pcs 5	Correction Tape	20	pcs 6	Eraser Rubber, Good quality 	20	pcs 7	File Tray (3 layers)	20	pcs 8	Folder, expanding green	20	pcs 9	Folder, transpare</t>
  </si>
  <si>
    <t xml:space="preserve"> Supply and Delivery of 2 units 175cc Motorcycle 4-stroke, SOHC, Single Cylinder, Air cooled, 177 cc		 (10.8 cu.in), Electric &amp; Kick Starter, Carburetor, CDI		 Clutch Type</t>
  </si>
  <si>
    <t xml:space="preserve"> The City Government of Malolos, through its BIDS and AWARDS COMMITTEE (BAC) Invites Suppliers/Manufacturers/Distributors to Bid for hereunder procurement:  PR No. : GSO-2020-05-657 Name of Project : SUPPLY AND DELIVERY OF 600 CAVANS WELL                  </t>
  </si>
  <si>
    <t xml:space="preserve"> Portland Cement	220 Bags Sand	11 Cu. M Gravel ¾”	22 Cu. M Reinforcement Steel Bar 16mm	130 Pcs Reinforcement Steel Bar 10mm	146 Pcs Tying Wire # 16	20 Kilos 2” X 3” X 10 Coco Lumber	30 Pcs ½” ordinary Plywood	8 Pcs Common Wire Nails	14 Kilos Concrete Nail</t>
  </si>
  <si>
    <t xml:space="preserve"> Please see attached RFQ # 20-742-1 Submit your Sign and Sealed Quotation together with your UPDATED ELIGIBILITY Requirements For more details please call DA-SADDL (0917 514 0019/ 0916 256 2513)</t>
  </si>
  <si>
    <t xml:space="preserve"> The Local  Government   Unit  of General  Santos  City, through  the  GENERAL FUND CY 2020  intends  to apply  the sum of two hundred thirty nine thousand and xx / 100 Pesos Only (239,000.00)   being  the Approved  Budget  for the Contract   (ABC) to paym</t>
  </si>
  <si>
    <t xml:space="preserve"> Republic of the Philippines													 City of San Carlos													 Negros Occidental													 													 INVITATION TO BID											FOR SALE	 			PURCHASE REQUEST NO: 18-20-06-0647				P 150.00	 Sealed bids for quotation of prices will be rece</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</si>
  <si>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</si>
  <si>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DOH ANNIVERSARY Polo Shirt Specifications: Color: Emerald Green Fabric: Lacoste See Attached Design DOH ANNIVESARY Cloth Face Masks See Attached Design for Specifications. UMBRELLA UPSIDE DOWN INVERTED UMBRELLA, see attached design</t>
  </si>
  <si>
    <t xml:space="preserve"> NEWSPAPER PUBLICATION (Local Circulation) OF THE 2019 REVISED REVENUE CODE OF THE MUNICIPALITY OF TIGBAUAN, ILOILO.</t>
  </si>
  <si>
    <t xml:space="preserve"> Province of Benguet-CAR Municipality of Mankayan BIDS AND AWARDS COMMITTEE INVITATION TO APPLY FOR ELIGIBILITY AND TO BID JUNE 9, 2020 The Municipal Government of Mankayan, through its Bids and Awards Committee, invites PhilGEPS registered supplier for bi</t>
  </si>
  <si>
    <t xml:space="preserve"> EQ REQUEST FOR QUOTATION (RFQ)  SUPPLY AND DELIVERY OF VOICE RECORDER UNDER EMB-EQMD-HWMS  RFQ NO. EMB-EQMD-VOICE RECORDER-0026-6-22-2020-3rd Posting   1.	The Department of Environment and Natural Resources – Environmental Management Bureau (DENR-EMB) her</t>
  </si>
  <si>
    <t xml:space="preserve"> 1 unit SURBER SAMPLER - Frame  is made of stainlees steel - Frame size: 1 ft x 1 ft ( 2 pcs.) - Net: Mesh - 500 microns           90 cm long from the frame - with collecting bottle The following documents must be included in the submission of sealed price</t>
  </si>
  <si>
    <t xml:space="preserve"> The Local  Government   Unit  of General  Santos  City, through  the  GENERAL FUND CY 2020  intends  to apply  the sum of three thousand six hundred and xx / 100 Pesos Only (3,600.00)   being  the Approved  Budget  for the Contract   (ABC) to payments  un</t>
  </si>
  <si>
    <t xml:space="preserve"> The Department of Agriculture-RFO 3, invites interested suppliers to submit quotations/proposals for the hereunder requirement, to wit: ITEM NO.	QTY.	UNIT	ITEMS &amp; DESCRIPTION		UNIT PRICE	TOTAL AMOUNT	BRAND/MODEL 							 	4	bottle	Printer Ink for Brother M</t>
  </si>
  <si>
    <t xml:space="preserve"> Republic of the Philippines													 City of San Carlos													 Negros Occidental													 													 INVITATION TO BID											FOR SALE	 			PURCHASE REQUEST NO: 18-20-06-0645				P 300.00	 Sealed bids for quotation of prices will be rece</t>
  </si>
  <si>
    <t xml:space="preserve"> Construction of Two – Storey Six (6) Classroom PAGCOR Design School Building at Panitan NHS, Panitan, Capiz Affected by Typhoon Yolanda (Rebid)</t>
  </si>
  <si>
    <t xml:space="preserve"> SUPPLIES/MATERIALS/EQUIPMENT/TOOLS FOR THE IMPLEMENTATION OF LIVELIHOOD PROJECT OF BONTOC LAYAD ORGANIZATION SEE ATTACHED CANVASS FORM FOR THE DETAILS/REQUIREMENTS THE PROCUREMENT IS ON A LOT BASIS</t>
  </si>
  <si>
    <t xml:space="preserve"> Senior Citizen Booklet &amp; ID,  PWD Booklet &amp; ID and  Solo Parent ID</t>
  </si>
  <si>
    <t xml:space="preserve"> Contract I.D. No.: 20GCE0007 Contract Name: Procurement of Materials for use in the Activity 309 - Other Traffic Services (Centerline and Laneline Repainting) and in the Repair and Maintenance of Various National Roads Contract Location: DPWH Nueva Ecija </t>
  </si>
  <si>
    <t xml:space="preserve"> QUANTITY               UNIT                    DESCRIPTION 65                       PIECE                FACESHIELD 15                       BOX                   FACE MASK 100                     PIECE                ALCOHOL 70% SOLUTION 150ML 100       </t>
  </si>
  <si>
    <t xml:space="preserve"> PURPOSE: FOR USE IN DOP BACTERIOLOGY.  (ATTACHED RPRI NO. 2020-02-028) Fax your Price Quotation at Tel. Fax#: 426-30-45 / 927-64-26 local 2561 or Email at bacveterans@gmail.com. Please indicate the brand name and complete specifications.</t>
  </si>
  <si>
    <t xml:space="preserve"> SUPPLY AND DELIVERY OF FUEL/FUELS, ADDITIVES &amp; LUBRICANTS &amp; ANTI-CORROSIVE: 1400 liters diesel 200 liters super premium 2 liters gasoline engine oil 4 liters diesel engine oi 4 liters gear oil 2 liters motorcycle oil 6 liters brake fluid</t>
  </si>
  <si>
    <t xml:space="preserve"> The Local  Government   Unit  of General  Santos  City, through  the  GENERAL FUND CY 2020  intends  to apply  the sum of two hundred forty two thousand one hundred seventy one and xx / 100 Pesos Only (242,171.00)   being  the Approved  Budget  for the Co</t>
  </si>
  <si>
    <t xml:space="preserve"> The Local  Government   Unit  of General  Santos  City, through  the  DEPED SEF CY 2020  intends  to apply  the sum of nine thousand and xx / 100 Pesos Only (9,000.00)   being  the Approved  Budget  for the Contract   (ABC) to payments  under  the  contra</t>
  </si>
  <si>
    <t xml:space="preserve"> REQUEST FOR QUOTATION The Dr. Jose Fabella Memorial Hospital hereby invites interested suppliers to submit quotation for the supply and delivery of: Particular	Quantity	Unit Cost	Total Cost 1.Gloves, examination, powder-free, non-sterile, disposable, hypo</t>
  </si>
  <si>
    <t xml:space="preserve"> 1 unit TISSUE GRINDER - processing range: 0.25 ml - 30 ml - speed control: variable from 5000-35000 rpm - Dimensions: approx. 16cm (6.5in)(H) x 5.1cm (2in) diameter - with at least 1 year warranty The following documents must be included in the submission</t>
  </si>
  <si>
    <t xml:space="preserve"> All bid proposals/quotations and all required documents shall be submitted at the NFTI BAC Secretariat Camp Vicente Lim, Mayapa, Calamba City Laguna on or before June 25, 2020 not later than 4:00PM *Please see attached Request for Quotation (RFQ) for the </t>
  </si>
  <si>
    <t xml:space="preserve"> WASTE DISPOSAL OF INFECTIOUS / TOXIC WASTE FOR MCH MCH, San Carlos, Mexico, Pampanga BAC Activities	Schedule 1. Submission of Request for Expression of Interest and Eligibility Requirements	June 23-30, 2020 2.  Pre-bid Conference	June 30, 2020 @ 9:30 A.M.</t>
  </si>
  <si>
    <t xml:space="preserve"> Request for Quotation: RFQ-2006-564 1. 280 ltrs. Gasoline ( premium) 2. 750 ltrs. Diesel Fuel</t>
  </si>
  <si>
    <t xml:space="preserve"> BAC1-20-006 SUPPLY AND DELIVERY OF VARIOUS CONSTRUCTION SUPPLIES - PABX –  FOR 2020                                                      INVITATION  TO BID 1. The University of the Philippines Manila through its Bids and Awards Committee I (BAC 1), invite</t>
  </si>
  <si>
    <t xml:space="preserve"> 1	1	unit	Copier Machine				 			   Specification:				 			   --- 25 copies per minute printing/copying (letter) 				 			   --- Desktop A				 			   --- Mono Laser MFP				 			   --- Copier/Printer/Scanner				 			   --- Standard Network Printer/Scanner				 			</t>
  </si>
  <si>
    <t xml:space="preserve"> PURPOSE: FOR USE IN ANESTHESIA MACHINE W/ VAPORIZER. Fax your Price Quotation at Tel. Fax#: 426-30-45 / 927-64-26 local 2561 or Email at bacveterans@gmail.com. Please indicate the brand name and complete specifications.</t>
  </si>
  <si>
    <t xml:space="preserve"> The City Government of San Pedro, Laguna invites interested parties to quote for the following item/s as per request Sangguniang Panlungsod: Qty.	Unit of Issue	Item Description 		 520	pc	Whole Chicken  Forms can be obtained from the BAC Secretariat June 2</t>
  </si>
  <si>
    <t xml:space="preserve"> 1.Bearing #32218J - 8 pcs 2.Bearing #32219J -8 pcs 3.Hacksaw blade - 6 pcs 4. Auto bulb - 1 box 5.Air Freshener - 5 pcs</t>
  </si>
  <si>
    <t xml:space="preserve"> 1	Subscription	Procurement of Twelve (12) Months Videoconference Subscription	 			 		Host up to one hundred (100) participants				 		With at least twenty (20) hosts				 		Up to 24 hours  Meeting Duration				 		Unlimited Meetings				 		Supports Activity Re</t>
  </si>
  <si>
    <t xml:space="preserve"> Republic of the Philippines Province of Masbate MUNICIPALITY OF CATAINGAN BARANGAY VILLAPOGADO   			                                                                                              JULY 23, 2020 INVITATION TO APPLY FOR ELIGIBILITY AND TO BID </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</si>
  <si>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</si>
  <si>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TO AVOID FLU AND OTHER ILLNESS IN THE BARANGAY</t>
  </si>
  <si>
    <t xml:space="preserve"> Republic of the Philippines Province of Surigao del Sur Municipality of Lanuza Barangay Bunga INVITATION TO BID  PROCUREMENT OF HARDWARE MATERIALS FOR REHABILITATION OF EXISTING BUSANAMCO RATTAN PROCESSING CENTER AT BARANGAY BUNGA, LANUZA, SURIGAO DEL SUR</t>
  </si>
  <si>
    <t xml:space="preserve"> Consolidation-Subdivision of Lots Affected By Municipal Road up to the DENR Approval (More or Less 60 lots)</t>
  </si>
  <si>
    <t xml:space="preserve"> Republic of the Philippines				 Department of Health				 Treatment and Rehabilitation Center				 Brgy. Highway, Dulag, Leyte				 				 REQUEST FOR QUOTATIONS				 				 RFQ No:  2020-06-45 PR No:  	2020-06-201 				 GENTLEMEN: ______________________				 				 </t>
  </si>
  <si>
    <t xml:space="preserve"> 2 UNIT 4 STROKE OFF-ROAD MOTORCYCLE W/ COMPLETE GEAR AND TOOLS SPECIFICATIONS: *CLASS: DUAL SPORT *ENGINE:149.15CC (9.10 cu in) air-cooled 4-stroke 2-valve SOHC single cylinder *BORE/STROKE: 57.3 mm x 57.8 mm(2.26 in x 2.28 in) *COMPRESSION RATIO:9.5:1 *S</t>
  </si>
  <si>
    <t xml:space="preserve"> 1.) 375 kilos Fish Escohido/Tuna 2.) 750 kilos Assorted Fish (headless barilison, matambaka (big), burot (big) 3.) 25 kilos Squid 4.) 25 kilos Shrimp</t>
  </si>
  <si>
    <t xml:space="preserve"> ITEM 	ITEM &amp;  DESCRIPTION	QUANTITY NO.		 1	Portland Cement	23 bags 2	Screened Gravel	3 cu.m 3	Mixing Sand	2 cu.m. 4	2"x2"x10' Coco Lumber	15 pcs. 5	1/2"x4'x8' Ord. Plywood	2 sht. 6	No. 16 Tie Wire	3 kls. 7	C.W. Nails 4"	3 kls. 8	10mmØ x 6m RSB	12 pcs. 9	1</t>
  </si>
  <si>
    <t xml:space="preserve"> Republic of the Philippines Province of Southern Leyte MUNICIPALITY OF SOGOD -o0o- REQUEST FOR QUOTATION (RFQ) ___________________________________ ___________________________________ Sir/Madam: 	Please quote your price for the item/s specified below, taki</t>
  </si>
  <si>
    <t xml:space="preserve"> The Cagayan State University is pleased to invite you to quote your lowest price on the item/s listed below, stating the shortest time of delivery and submit your quotation duly signed by you, or by your authorized representative not later than 3 days.</t>
  </si>
  <si>
    <t xml:space="preserve"> PURPOSE: FOR USE IN DOP Fax your Price Quotation at Tel. Fax#: 426-30-45 / 927-64-26 local 2561 or Email at bacveterans@gmail.com. Please indicate the brand name and complete specifications.</t>
  </si>
  <si>
    <t xml:space="preserve"> The Local  Government   Unit  of General  Santos  City, through  the  GENERAL FUND CY 2020  intends  to apply  the sum of twenty four thousand five hundred and xx / 100 Pesos Only (24,500.00)   being  the Approved  Budget  for the Contract   (ABC) to paym</t>
  </si>
  <si>
    <t xml:space="preserve"> Republic of the Philippines													 City of San Carlos													 Negros Occidental													 													 INVITATION TO BID											FOR SALE	 			PURCHASE REQUEST NO: 221-20-06-0637				P 300.00	 Sealed bids for quotation of prices will be rec</t>
  </si>
  <si>
    <t xml:space="preserve"> Republic of the Philippines Province of Eastern Samar Municipality of Mercedes OFFICE OF THE BIDS AND AWARDS COMMITTEE (BAC) INVITATION TO BID # INFRA-2020- 004  INVITATION TO BID FOR THE PROPOSED REHABILITATION OF MUNICIPAL ROADS (Provincial Road with MO</t>
  </si>
  <si>
    <t xml:space="preserve"> 1	1	Unit	AS7004T-i3 INTEL COREi3-CPU 64 Bit				 			2x8GB DDR3, RAM FLASH MEMORY-16GB DOM				 							 2	1	Unit	4x16TB SEAGATE IRONWOLF PRO 3.5				 			SATA HDD				 							 3	1	Unit	MINI DESKTOP PC INTEL CORE i3-CPU 64Bit				 			1x8GB, DDR4 RAM				 			1x 240</t>
  </si>
  <si>
    <t xml:space="preserve"> Please submit your quotation to the END USER based on the attached RFQ. For further details please contact 0926-038-7985/ 0936-203-3477</t>
  </si>
  <si>
    <t xml:space="preserve"> Item No.	ITEM DESCRIPTION				QTY.	UNIT	ABC PER ITEM 							 							 1	PRINTING OF REGULATORY REFORM BROCHURE				2,000	pc.	 50.00  							 	Stock: inside - C2S 100 lbs.; cover - C2S 180 lbs.						 	Size: A4 - 8.25 x 11.75 inches - spread						 	8.25 x 5.87</t>
  </si>
  <si>
    <t xml:space="preserve"> Maximum Power: 56 kW maximum speed: 15000rpm Maximum Torque: 130N-m Maximum Torque Speed: 4124 MOI kg M^2:.02 With data acquisition systems</t>
  </si>
  <si>
    <t xml:space="preserve"> The AGRICULTURAL TRAINING INSTITUTE-REGIONAL TRAINING CENTER (ATI-RTC) X, through the 2020 General Appropriations Act intends to apply the sum of Forty Two Thousand Eight Hundred Fifty Pesos (P 42,850.00) being the Approved Budget for the Contract (ABC) t</t>
  </si>
  <si>
    <t xml:space="preserve"> CITY ENGINEER'S OFFICE -- Assorted Metals --   Please see attached file/document on associated components or BAC website www.davaocityportal.com (BAC posting) for the complete descriptions, terms of conditions and terms of references.   Bidding will be co</t>
  </si>
  <si>
    <t xml:space="preserve"> Marine Plywood 3/4 Umbrella Nails Paint - Elastomeric (Yellow Rush) Paint Brush #4 Rope #10</t>
  </si>
  <si>
    <t xml:space="preserve"> 1 UNIT OF LAPTOP  pROCESSOR : 10TH GENERATION INTEL CORE, I7 PROCESSOR VIDEOCARD:NVIDIA GE FORCE WITH 2 GB GDDR5 GRAPHICS MEMORY MEMORY: 8 GB, 1X8 GB, DDR4,, 2666MHZ HDD: 512 GB M.2 PCIE NVME SOLID STATE DRIVE</t>
  </si>
  <si>
    <t xml:space="preserve"> 1	64	Bags	Portland Cement				 2	4	cu.m.	Crushed Gravel				 3	5	cu.m.	Washed Sand				 4	15	Pcs.	1/4" Ordinary Plywood				 5	120	Pcs.	2"x3"x10' coco lumber				 6	7	Kgs.	C.W. Nails 4"				 7	7	Kgs.	C.W. Nails 2"				 8	30	Pcs.	12mmØ  x 6m def bar				 9	41	Pcs.</t>
  </si>
  <si>
    <t xml:space="preserve"> Ertapenem 1GM, Powder (as sodium) Requirements for Drugs and Medicines: **Drugs with history of usage from VMMC (Requirements No. 1-5 only) ** **For Innovators (Requirements No. 1-4 only) ** 1. CPR 2. CGMP 3. LTO 4. CERTIFICATE OF DISTRIBUTOSHIP 5. CERTIF</t>
  </si>
  <si>
    <t xml:space="preserve"> 1	100	piece	"Plastic pail, black,  10 Liters capacity" 2	200	piece	Clay pot #4, (no hole) 3	1	roll	Nylon net mesh, gauge 18 4	500	piece	Bag, Net bag, 19" x 26" ,with nylon string 5	1000	piece	Bamboo product, Bamboo Stick, 1 in x 8 in 6	1500	piece	Bamboo p</t>
  </si>
  <si>
    <t xml:space="preserve"> Various Office P.R. No. : CONSOLIDATED-12 Date: 02/18/2020 Date: 1 2 meter 50m measuring tape 1,400.00 2 4 can Air Freshener 1,000.00 3 27 can AIR FRESHENER, 280mL/150g min 2,695.68 4 98 bottle ALCOHOL, 70%, ethyl, 500ml 7,840.00 5 6 piece BATHROOM SOAP, </t>
  </si>
  <si>
    <t xml:space="preserve"> 538 cubic meter (sand and gravel) road graveling of various barangay roads of Sta. filomena, Dipolog City</t>
  </si>
  <si>
    <t xml:space="preserve"> Procurement of Security Services for DepEd Regional Office Proper and NEAP-R1  (please see attached Technical Specifications, statement of compliance form and RFQ in the associated components) Submission of of sealed quotation is on before  June 26, 2020 </t>
  </si>
  <si>
    <t xml:space="preserve"> 100 sets per pad  Original Copy -white bondpaper, subs.24 (back to back print)  Duplicate - yellow, bondapaper subs. 16 (front print only)  Triplicate -light pink, bondpaper subs. 16 (front print only)  Quadruplicate, light blue, bondpaper subs. 16 (front</t>
  </si>
  <si>
    <t xml:space="preserve"> Bid-Opening-July 2,2020 at 2:00 P.m. at Municipal Conference Room</t>
  </si>
  <si>
    <t xml:space="preserve"> CITY ENGINEER'S OFFICE/ MOTORPOOL DIVISION -- ASSORTED OIL AND LUBRICANTS --   Please see attached file/document on associated components or BAC website www.davaocityportal.com (BAC posting) for the complete descriptions, terms of conditions and terms of </t>
  </si>
  <si>
    <t xml:space="preserve"> REQUEST FOR QUOTATION The Dr. Jose Fabella Memorial Hospital hereby invites interested suppliers to submit quotation for the supply and delivery of: Particular	Quantity	Unit Cost	Total Cost 1. Bench (White/Cream)	30 pcs.	₱3,170.00	₱95,100.00 TOTAL	₱95,100</t>
  </si>
  <si>
    <t xml:space="preserve"> Supply &amp; Delivery of  STAINLESS STEEL WATER TANK</t>
  </si>
  <si>
    <t xml:space="preserve"> Date:				Project Reference Number ______________	 Quotation No.  ________				Name of Project:	 				Location  of the Project _____________	 	                                                                                                                   </t>
  </si>
  <si>
    <t xml:space="preserve"> OFFICE SUPPLIES AND CONSUMABLES ( PRINTER INK - BLACK 664, 003) BOND PAPER ( LONG AND SHORT), BALLPEN, CORRECTION TAPES  ETC.</t>
  </si>
  <si>
    <t xml:space="preserve"> Republic of the Philippines Province of Leyte Municipality of Tolosa BARANGAY POBLACION INVITATION TO BID FOR  Supply and Installation of Solar Streetlights at Brgy. Poblacion, Tolosa, Leyte  Job Request No. 20-06-01 1.	The Barangay of Poblacion, Tolosa, </t>
  </si>
  <si>
    <t xml:space="preserve"> CITY HEALTH OFFICE -- ASSORTED LABORATORY REAGENTS AND CHEMICALS -- TERMS AND CONDITIONS : Technical Documents Required for the Purchase of Medical Supplies, Laboratory Supplies and other Laboratory Reagents for Medical Laboratory Examination of the City </t>
  </si>
  <si>
    <t xml:space="preserve"> Portable Speaker System 15"	1 unit Bluetooth ready	 USB Port	 Rechargeable	 With Wireless Microphone</t>
  </si>
  <si>
    <t xml:space="preserve"> Download attachment in the Associated Components. For further information, please refer to: Atty. VIRGILIO B. GALEON- Head, BAC Secretariat BAC Office Government Center Bldg. A J. P. Rizal Blvd., Market Area  City of Santa Rosa, Laguna 4026 Telephone Numb</t>
  </si>
  <si>
    <t xml:space="preserve"> 250 mm THHN Copper Wire	 250 mm Terminal Lug	 500A Circuit breaker 15KAIC	 250A Circuit breaker	 Nema Enclosure 500A	 Nema Enclosure 250A</t>
  </si>
  <si>
    <t xml:space="preserve"> KN95 MASK 3M SAFETY GOOGLES GLOVES VITAMIM C HAND SANITIZER SPRAY VEST (INTERESTED SUPPLIERS ARE ADVISED TO VISIT DOLE-CAR FOR THE DESIGN/MATERIAL) SEE ATTCAHED CANVASS FORM FOR THE DETAILS/REQUIREMENTS THE PROCUREMENT IS ON A LOT BASIS</t>
  </si>
  <si>
    <t xml:space="preserve"> GSPS Prepaid load (Validity: 360 days)			36	units	936,000.00 					 					 					 Total					936,000.00</t>
  </si>
  <si>
    <t xml:space="preserve"> PROCUREMENT OF OFFICE SUPPLIES FOR THE USE OF SANGGUNIANG BAYAN OFFICE, TIGBAUAN, ILOILO.</t>
  </si>
  <si>
    <t xml:space="preserve"> 1	2	Pcs.	Tire 14.9-24 ON 13" RIM 13-24 8 P.R. 128AB Tubeless 			(Vibratory roller) 2	2	Pcs.	Tire 14.00 x2y T6-62 Tubeless 16 P.R (Grader case) 3	1	Set	Pinion &amp; Ring Gear (APS) DAEWOO DT 4	2	Pcs.	Pinion Bearing (APS) DAEWOO DT 5	2	Pcs.	Ring Gear Bearing (A</t>
  </si>
  <si>
    <t xml:space="preserve"> see attached Purchase Request /  Purchase Order</t>
  </si>
  <si>
    <t xml:space="preserve"> Standard Form No. 60							 Revised on May 24, 2004							 REQUEST FOR QUOTATION							 Provincial Government of Romblon							 							 				Date:      June 23, 2020			 				Quotation No.:    511			 							 To Our Valued Suppliers:							 							 	Please qu</t>
  </si>
  <si>
    <t xml:space="preserve"> Republic of the Philippines													 City of San Carlos													 Negros Occidental													 													 INVITATION TO BID											FOR SALE	 			PURCHASE REQUEST NO: 401-20-03-0443				P 300.00	 Sealed bids for quotation of prices will be rec</t>
  </si>
  <si>
    <t xml:space="preserve"> Refrigerator (2-doors, 5.7 cu. Ft.)	1 unit Gas Stove (2 burners)	1 unit Rice Cooker (5.6L)	1 unit</t>
  </si>
  <si>
    <t xml:space="preserve"> PURCHASE REQUEST					 					 Barangay:		ALEJAL		P.R. No. 20 - 06 - 032	 City/Municipal:_________/ CARMEN					 					 REQUISITION					 					 Item	Qty.	Unit of	Item Description	Estimated Unit	Estimated Number		Issue		Cost	Amount 1	1	pc.	Executive Tables with </t>
  </si>
  <si>
    <t xml:space="preserve"> INVITATION TO APPLY FOR ELIGIBILITY AND TO BID The Municipality of Alcoy, Cebu, through its Bids and Awards Committee (BAC), invites suppliers/manufacturers/distributors/contractors to apply for eligibility and to bid for the hereunder projects: 	Particul</t>
  </si>
  <si>
    <t xml:space="preserve"> EQ REQUEST FOR QUOTATION (RFQ)  SUPPLY AND DELIVERY OF WIRELESS MOUSE, WIRED MOUSE,  POWERBANK AND USB UNDER EMB-EQMD-PEPP  RFQ NO. EMB-EQMD-PEPP-SHOPPING-0020-6-22-2020-3rd posting   1.	The Department of Environment and Natural Resources – Environmental </t>
  </si>
  <si>
    <t xml:space="preserve"> INVITATION TO BID  FOR THE Supply and Delivery of Various Spare Parts for Heavy Equipment I.B. No. 2020 - 0024 1.	The LGU - Cabanatuan City, through the General Fund, FY 2020 intends to apply the sum of Seven Million Nine Hundred Fifty-Three Thousand Four</t>
  </si>
  <si>
    <t xml:space="preserve"> The Barangay Maluyo, Allacapan,CAgayan through its Bids and Awards Committee (BAC), invites suppliers/distributors/contractors to apply for eligibility and to bid for the hereunder project: Name of Contract : Concreting of Road Location : Burot, Allacapan</t>
  </si>
  <si>
    <t xml:space="preserve"> INVITATION TO BID 	 The Department of Public Works and Highways-Cebu 4th District Engineering Office, through its Bids and Awards Committee (BAC), invites contractors to submit bids for the Contract: 1.	Contract ID 		:	20HG0176 Contract Name           :  </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</si>
  <si>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</si>
  <si>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Standard Form Number: SF-INFR-05 Revised on: July 28, 2004          INVITATION TO APPLY FOR ELIGIBILITY AND TO BID The Municipal Local Government Unit of Saguday, Quirino through its Bids and Awards Committee (BAC), invites contractors to apply for eligib</t>
  </si>
  <si>
    <t xml:space="preserve"> 1     1,693    pcs      4" CHB 2        113    bags    Portland Cement 3          13    cu.m.  Washed Sand 4          94    pcs      10mm dia x 6m def.bars 5          15    kgs      Tie Wire #16 6        128    bags     Portland Cement 7           7     c</t>
  </si>
  <si>
    <t xml:space="preserve"> 100 ltrs. Premium Gasoline</t>
  </si>
  <si>
    <t xml:space="preserve"> 1	bag	12	"Fertilizer, Ammonium Phosphate (16-20-0), 50 kg per bag" 2	bag	4	"Fertilizer, Ammonium Sulfate (21-0-0-24S),  50 kg per bag" 3	bag	2	"Fertilizer, Ammonium Sulfate (21-0-0-24S),  50 kg per bag" 4	bag	20	"Fertilizer, Complete (14-14-14),  50 kg pe</t>
  </si>
  <si>
    <t xml:space="preserve"> Netbook	12 UNITS Specifications:	 Intel Celeron N4000	 Intel HD Graphics	 4GB DDR4 Memory	 500GB Hard Disk	 11.6" HD USLIM	 Windows 10	 5-10hrs Battery	 Continuous Printer	9 UNITS Specifications:	 Nozzle Configuration	 &gt;180 Nozzles Black, 59 Nozzles per C</t>
  </si>
  <si>
    <t xml:space="preserve"> Eperisone HCL 50mg Requirements for Drugs and Medicines: **Drugs with history of usage from VMMC (Requirements No. 1-5 only) ** **For Innovators (Requirements No. 1-4 only) ** 1. CPR 2. CGMP 3. LTO 4. CERTIFICATE OF DISTRIBUTOSHIP 5. CERTIFICATE OF ANALYS</t>
  </si>
  <si>
    <t xml:space="preserve"> CITY VET. OFFICE -- ASSORTED  VETERINARY DRUGS AND MEDICINES --   Please see attached file/document on associated components or BAC website www.davaocityportal.com (BAC posting) for the complete descriptions, terms of conditions and terms of references.  </t>
  </si>
  <si>
    <t xml:space="preserve"> Name of the Procuring Entity: TONDO MEDICAL CENTER Name of the Project: Procurement of Non-Glutaraldehyde Solution      			                                          Location of the Project: Tondo Medical Center Balut, Tondo Manila                         </t>
  </si>
  <si>
    <t xml:space="preserve"> INVITATION  TO BID 1. The University of the Philippines Manila through its Bids and Awards Committee I (BAC 1), invites suppliers/manufacturers/distributors/contractors to apply for eligibility and to bid for the hereunder project:  Name of Project      :</t>
  </si>
  <si>
    <t xml:space="preserve"> 147 bags Premium Cement 12 pcs. 12mm dia, X 20' std def. bar 24 pcs. 10mm dia. X 20' std def. bar 11 kls. # 16 tie wire 1 pc. 1/2 thk. Ordinary Plywood 10 kls. #4 common wire nails 10 kls. #3 common wire nails 1 kl. #1-1/2 common wire nails 350 pcs. 4x8x1</t>
  </si>
  <si>
    <t xml:space="preserve"> STRAIGHT CONTRACT: 1 lot Provision/Installation of Cubicles for Consultation of Suspected Covid-19 Patients PART A – GENERAL REQUIREMENTS A.1. 1 each Project Billboard/Signboard A.2.  1 lot Construction Safety and Health (Signage and Baricades) A.3.  1 lo</t>
  </si>
  <si>
    <t xml:space="preserve"> Standard Form No. 60						 Revised on May 24, 2004						 REQUEST FOR QUOTATION						 Provincial Government of Romblon						 						 				Date:      June 23, 2020		 				Quotation No.:    528		 						 To Our Valued Suppliers:						 						 	Please quote your l</t>
  </si>
  <si>
    <t xml:space="preserve"> QUANTITY                   UNIT                      DESCRIPTION 35                            BOX                          LONG BONDPAPER SUBS.20 60                            BOTTLES                   EPSON L3110 - INK 003 BLACK 11                      </t>
  </si>
  <si>
    <t xml:space="preserve"> 1	unit	WATER SAMPLER	 		- Volume: 3L	 		- Cylinder tube: acrylic	 		- Messenger: made of stainless steel	 		- Rope line: 30m of braided polyester	 		- End seals: made of silicon rubber	 		- with 2 pieces spare rubber seals	 		- with carrying case	 		- Hor</t>
  </si>
  <si>
    <t xml:space="preserve"> The Judicial and BAR Council, of the Supreme Court, through the Procurement Section, invites interested suppliers to quote for the price/s of the item/s listed in the attached document (PLEASE DOWNLOAD) Please also provide "Eligibility Documents, Annex A"</t>
  </si>
  <si>
    <t xml:space="preserve"> 194, 293 copies</t>
  </si>
  <si>
    <t xml:space="preserve"> Standard Form No. 60						 Revised on May 24, 2004						 REQUEST FOR QUOTATION						 Provincial Government of Romblon						 						 				Date:      June 23, 2020		 				Quotation No.:    298		 						 To Our Valued Suppliers:						 						 	Please quote your l</t>
  </si>
  <si>
    <t xml:space="preserve"> PR#20-06-0321 ABC 85,015.00 200 bags Portland Cement 95 pcs. Deformed Bars 10mmØ x 6m 3.47-3.92 kgs./pc. 6 kgs.   GI Tie Wire #16 3 sheets Ordinary Plywood 4’ x 8’ x 5mm 120 bd.ft. Coco Lumber 2” x 4” x 12’ – 15 pcs. 40 bd. ft.  Coco Lumber 2” x 2” x 12’ </t>
  </si>
  <si>
    <t xml:space="preserve"> EQ REQUEST FOR QUOTATION (RFQ)  SUPPLY AND DELIVERY OF EXTERNAL MEMORY DRIVE UNDER EMB-EQMD-HWMS  RFQ NO. EMB-EQMD-MEMORY DRIVE-0027-6-22-2020-3rd posting   1.	The Department of Environment and Natural Resources – Environmental Management Bureau (DENR-EMB</t>
  </si>
  <si>
    <t xml:space="preserve"> 15	pcs	LED BULB Light</t>
  </si>
  <si>
    <t xml:space="preserve"> 1 UNIT PROJECTOR WITH HDMI CABLE 1 UNIT PROJECTOR WHITE SCREEN 1 UNIT WATER DISPENSER 2 UNITS STEEL FILE CABINET (4 LAYER) 1 SET COMPUTER WITH PRINTER</t>
  </si>
  <si>
    <t xml:space="preserve"> Digital duplicator Print speed up to 130 ppm Scan 300 x 600 dpi resolution print 600 x 600 dpi High- resolution paper supply &amp; receiving Capacity approx. 1000 sheets Guaranteed 10 million copies LIFE TIME FREE SERVICE WARRANTY</t>
  </si>
  <si>
    <t xml:space="preserve"> 6 pcs. Thermo Gun 6 boxes Face Masks 60 pcs. Hand Soap 6 gallons Alcohol 70% 12 bottles Hand Sanitizer (1 ltr.) 70 pcs. Face Shield 30 boxes Gloves</t>
  </si>
  <si>
    <t xml:space="preserve"> Republic of the Philippines BIDS AND AWARDS COMMITTEE Municipality of Irosin Reference Number: BAC-0044-2020								 June 22, 2020 REQUEST FOR QUOTATION The Local Government Unit of Irosin, through its Bids &amp; Awards Committee (BAC), requests suppliers/man</t>
  </si>
  <si>
    <t xml:space="preserve"> Bid-Opening-July 14,2020 at 2:00 p.m. at Municipal Conference Room</t>
  </si>
  <si>
    <t xml:space="preserve"> Republic of the Philippines Province of Leyte Municipality of Hilongos Barangay BUNG-AW REQUEST FOR QUOTATION ________________ DATE _____________________ _____________________ .        Please quote your lowest price on the items/listed below for theProcur</t>
  </si>
  <si>
    <t xml:space="preserve"> 16 PCS OFFICE TABLES</t>
  </si>
  <si>
    <t xml:space="preserve"> Please see attached Request for Quotation and Technical Specifications</t>
  </si>
  <si>
    <t xml:space="preserve"> INVITATION TO BID FOR THE PROCUREMENT OF SUPPLY &amp; DELIVERY OF 56 HEADS CARACOWS (TYPHOON URSULA)     1.	The Department of Agriculture Regional Field Office 6 through the General Appropriations Act (GAA) of 2020 intends to apply the sum of Two Million Four</t>
  </si>
  <si>
    <t xml:space="preserve"> Invitation to Bid to all Supplier/Contractor duly accredited by the City Council of Manila to supply and deliver the following items provided hereunder, to wit:  Item	Qty.	Unit	Articles 1	5	Sets	Printer Ink (Blk, M,C,Y) 2	5	Bxs	Bond Paper, Short 3	5	Bxs	B</t>
  </si>
  <si>
    <t xml:space="preserve"> Republic of the Philippines Office of the President National Irrigation Administration SURIGAO DEL SUR IRRIGATION MANAGEMENT OFFICE Tabon-tabon, Tago, Surigao del Sur Telefax. No.: (086) 214-3155 REQUEST FOR QUOTATION June 1, 2020 Date ___________________</t>
  </si>
  <si>
    <t xml:space="preserve"> TECHNOLOGICAL UNIVERSITY OF THE PHILIPPINES  VISAYAS				 Capt. Sabi St., City of Talisay, Negros Occidental				 				       PROCUREMENT OFFICE				 				 REQUEST FOR QUOTATION				 				 			June 11, 2020	 __________________________________  				               </t>
  </si>
  <si>
    <t xml:space="preserve"> Republic of the Philippines Province of Bukidnon Municipality of Cabanglasan -o0o- ___________________________________________________________________________ INVITATION TO BID FOR PURCHASE OF MINI DUMPTRUCK PB-2020-01 1.	The Local Government Unit of Caba</t>
  </si>
  <si>
    <t xml:space="preserve"> 1	300	Vials	Hog cholera 10 doses with diluent 2	10	Vials	B1B1 3	10	Vials	B1 lasota</t>
  </si>
  <si>
    <t xml:space="preserve"> see attached description</t>
  </si>
  <si>
    <t xml:space="preserve"> ITEM 	ITEM &amp;  DESCRIPTION	QUANTITY NO.		 1	Item 200	9 cu.m 2	Portland Cement Type 1	66 bags 3	Fine Aggregates	3 cu.m. 4	Coarse Aggregates	4 cu.m. 5	12mm.x  6.0m. Deformed Bars	120 pcs. 6	#16 Tie Wire	8 kls. 7	4" CHB ( No Bearing Load)	700 pcs. 8	0.30x 1.0</t>
  </si>
  <si>
    <t xml:space="preserve"> INVITATION TO BID FOR THE PROCUREMENT OF SUPPLY &amp; DELIVERY OF GOAT (TYPHOON URSULA)     1.	The Department of Agriculture Regional Field Office 6 through the General Appropriations Act (GAA) of 2020 intends to apply the sum of Six Million Eight Hundred For</t>
  </si>
  <si>
    <t xml:space="preserve"> 11 lenght 3/16x1 Angle Bar 2 sheets 0.33 mm. Plain Sheet 8 pcs. ½ Brass Faucet 8 pcs. ½ G.I Coupling 3 rolls ½ Teflon Tape 8 pcs. ½ P.E Elbow 8 pcs. ½ Male P.E Elbow 8 pcs. ½ P.E Tee 60 meters ½ P.E Pipe 8 pcs. 2” PVC Pipe 8 pcs. 2” PVC Elbow 8 pcs. 2½ St</t>
  </si>
  <si>
    <t xml:space="preserve"> CITY GOVERNMENT OF DAVAO -- ASSORTED COMPUTER SUPPLIES AND MATERIALS --   Please see attached file/document on associated components or BAC website www.davaocityportal.com (BAC posting) for the complete descriptions, terms of conditions and terms of refer</t>
  </si>
  <si>
    <t xml:space="preserve"> 1	unit	megaphone</t>
  </si>
  <si>
    <t xml:space="preserve"> PLEASE DOWNLOAD THE ATTACHMENT/S FOR REFERENCE. Important Notes and Conditions: You can submit your quotation ON or BEFORE JUNE 29, 2020 at 10:00 AM with the photocopy of the following legal documents: a. Mayor’s / Business Permit  b. PhilGEPS Registratio</t>
  </si>
  <si>
    <t xml:space="preserve"> 1 UNIT OUTDOOR PROJECTOR     40,000.00 1 UNIT LAPTOP WITH PRINTER     50,000.00</t>
  </si>
  <si>
    <t xml:space="preserve"> Please quote your best price 30 rolls of Tape Transparent 1inch ABC 600.00 50 pcs of Record Book, 500 pages ABC 7,500.00 5 packs of Folder with tab, Legal ABC 2,000.00 10 boxes of Clip Backfold 32mm, 1 1\4 inches ABC 350.00 15 boxes of Clip Backfold 25mm,</t>
  </si>
  <si>
    <t xml:space="preserve"> CITY GOVERNMENT OF DAVAO -- ASSORTED OFFICE SUPPLIES AND MATERIALS --   Please see attached file/document on associated components or BAC website www.davaocityportal.com (BAC posting) for the complete descriptions, terms of conditions and terms of referen</t>
  </si>
  <si>
    <t xml:space="preserve"> REQUEST FOR QUOTATION FOR THE SUPPLY AND DELIVERY PROCUREMENT OF 1,476 PCS. 9mm AMMOS (HARDBALL) Please quote your lowest price on the item/s listed below, subject to the General Conditions and stating the shortest time of delivery and submit your quotati</t>
  </si>
  <si>
    <t xml:space="preserve"> MINDANAO STATE UNIVERSITY			Reference Nos.                           	565-20/6-8-2020 Fatima, General Santos City			Project Name:	 			Location:________________________	 REQUEST FOR QUOTATION				 __________________________			Date :  June 22, 2020	         </t>
  </si>
  <si>
    <t xml:space="preserve"> The MLGU-Pasil, now invites bids for the ROAD IMPROVEMENT ALONG BATONG BUHAY TO COLAYO FMR. The project is located at Batong Buhay, Balatoc, Pasil, Province of Kalinga. The following are the Item of Works;					 					 	ITEM NO.	DESCRIPTION	QUANTITY	UNIT	 	</t>
  </si>
  <si>
    <t xml:space="preserve"> Annual Medical Exam for Job Order Employees for CY 2020 List of Medical Procedures:  Complete Physical Exam  Complete Blood Count (CBC)  Urinalysis  Fecalysis  Chest X-Ray Drug Test (For Driver) Note: Billing Should be based on the actual employee th</t>
  </si>
  <si>
    <t xml:space="preserve"> Supply and Delivery of Diesel and Gasoline of SDSSU San Miguel Campus Please see attached Request for Quotation (RFQ)</t>
  </si>
  <si>
    <t xml:space="preserve"> SEE ATTACHED DESCRIPTION</t>
  </si>
  <si>
    <t xml:space="preserve"> DEPARTMENT OF PUBLIC WORKS AND HIGHWAYS										 LAS PINAS-MUNTINLUPA DISTRICT ENGINEERING OFFICE										 							Date:		June 30, 2020	 						RFQ No.:			2020-06-010 (SVP)	 						Office/End-user:			Maintenance Section	 REQUEST FOR QUOTATION										 COM</t>
  </si>
  <si>
    <t xml:space="preserve"> 75 unit Toilet Bowls</t>
  </si>
  <si>
    <t xml:space="preserve"> QUANTITY                 UNIT                      DESCRIPTION 800                        PIECE                     LONG PLASTIC ENVELOP 100                        BOX                        FASTENER</t>
  </si>
  <si>
    <t xml:space="preserve"> Bids received in excess of the ABC for each project shall be automatically rejected at bid opening. Prospective bidders should have undertaken a similar project within three (3) years from the date of bidding. Bidding will be conducted through open compet</t>
  </si>
  <si>
    <t xml:space="preserve"> Installation of additional Solar Street Lights</t>
  </si>
  <si>
    <t xml:space="preserve"> PROCUREMENT OF SENIOR CITIZENS ID, MEDICINE BOOKLETS AND GROCERY BOOKLETS FOR THE USE OF SENIOR CITIZENS, TIGBAUAN, ILOILO</t>
  </si>
  <si>
    <t xml:space="preserve"> The Barangay Maluyo, Allacapan,CAgayan through its Bids and Awards Committee (BAC), invites suppliers/distributors/contractors to apply for eligibility and to bid for the hereunder project: Name of Contract : Concreting of Road Location : Maluyo, Allacapa</t>
  </si>
  <si>
    <t xml:space="preserve"> PURPOSE: FOR USE IN HEARING EVALUATOR AT ENT Fax your Price Quotation at Tel. Fax#: 426-30-45 / 927-64-26 local 2561 or Email at bacveterans@gmail.com. Please indicate the brand name and complete specifications.</t>
  </si>
  <si>
    <t xml:space="preserve"> Republic of the Philippines Province of Ilocos Norte MUNICIPALITY OF DINGRAS INVITATION TO BID FOR THE PROCUREMENT OF TABLETS AND LAPTOPS 1.	The Local Government Unit of Dingras, through the SEF intends to apply the sum of Eight Hundred Sixteen Thousand P</t>
  </si>
  <si>
    <t xml:space="preserve"> The Municipality of Limay, through its Bids and Awards Committee (BAC) invites registered contractors to apply for eligibility and if found eligible, to bid for the hereunder project/contract: Project/Contract:    REHABILITATION OF FENCE (WEST SIDE AT LAM</t>
  </si>
  <si>
    <t xml:space="preserve"> Pag-IBIG FUND Tuguegarao Branch Office Editha Tuddao Bldg., Balzain Road, Tuguegarao City, Cagayan REQUEST FOR QUOTATION PROVISION OF DOMESTIC FORWARDING OR FREIGHT SERVICES  FOR THE TRANSMITTAL OF VARIOUS DOCUMENTS OF  Pag-IBIG FUND, CAGAYAN VALLEY REGIO</t>
  </si>
  <si>
    <t xml:space="preserve"> Please download Bidding Documents IB 2020 – 051 Procurement of 46,700 bottles Rifampicin 200mg/5ml (REBID) Bidding Document fee: 10,000.00 The pre - bid conference is open to interested bidders. You may be qualified to submit your bidding documents during</t>
  </si>
  <si>
    <t xml:space="preserve"> PROCUREMENT AND DELIVERY OF PRINTING SERVICESFOR RECRUITMENT OF FIRE OFFICER 1 ATTRITION QUOTA 1ST SEM OF BFP R4A FOR FY 2020</t>
  </si>
  <si>
    <t xml:space="preserve"> Request for Quotation RFQ No.		SVP-015-2020 MR No.		07118 Requisition No. 	LD-03-2019 Posting Date:         	June 23, 2020 Deadline for Submission:		June 29, 2020 at 9:00 AM Opening Date:	June 29, 2020 at 10:00 AM 	 TO:	Name of Supplier:__________________</t>
  </si>
  <si>
    <t xml:space="preserve"> This project entails purchase of office equipment for use at Mayor's office.</t>
  </si>
  <si>
    <t xml:space="preserve"> Republic of the Philippines Province of Zamboanga del Sur Municipality of Dimataling 1. The Municipal Government of Dimataling, Zamboanga del Sur, has an approved budget from the Sanggunian through Municipal Engineer's Office (MOOE Other Infra Fund) in th</t>
  </si>
  <si>
    <t xml:space="preserve"> Item No.	Description	Unit	Quantity 1	Standard Type Medical Oxygen Refill	Cylinder	256 2	Flask Type Medical Oxygen Refill	Cylinder	64 			 	Note: Manner of Delivery-Weekly		 	         Number of Deliveries:		 	         Standard Type – 8		 	         Flask Typ</t>
  </si>
  <si>
    <t xml:space="preserve"> REQUEST FOR QUOTATION FOR THE SUPPLY AND DELIVERY PROCUREMENT OF 800 LITERS OF ADF, 1 PAIL OF OIL 40 AND 2 PAIL OF OIL 10 Please quote your lowest price on the item/s listed below, subject to the General Conditions and stating the shortest time of deliver</t>
  </si>
  <si>
    <t xml:space="preserve"> 441 cu.m Fine Aggregates 674 cu.m Coarse Aggregates</t>
  </si>
  <si>
    <t xml:space="preserve"> INVITATION TO BID FOR THE PROCUREMENT OF SUPPLY &amp; DELIVERY OF NATIVE CHICKEN (TYPHOON URSULA)     1.	The Department of Agriculture Regional Field Office 6 through the General Appropriations Act (GAA) of 2020 intends to apply the sum of Three Million One H</t>
  </si>
  <si>
    <t xml:space="preserve"> The MLGU-Pasil, now invites bids for the SLOPE PROTECTION (at MLGU Premises). The project is located at Amdalao, Guinaang, Pasil, Province of Kalinga. The following are the Item of Works;					 					 	ITEM NO.	DESCRIPTION	QUANTITY	UNIT	 	102(2)b	Structure </t>
  </si>
  <si>
    <t xml:space="preserve"> DEPARTMENT OF PUBLIC WORKS AND HIGHWAYS										 LAS PINAS-MUNTINLUPA DISTRICT ENGINEERING OFFICE										 							Date:		June 30, 2020	 						RFQ No.:			2020-06-009 (SVP)	 						Office/End-user:			Maintenance Section	 REQUEST FOR QUOTATION										 COM</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</si>
  <si>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</si>
  <si>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Name of the Procuring Entity: TONDO MEDICAL CENTER Name of the Project: Procurement of Chest Freezer      			                                          Location of the Project: Tondo Medical Center Balut, Tondo Manila                                       </t>
  </si>
  <si>
    <t xml:space="preserve"> Date: June 11, 2020  	  	 	 	 	 	  Quotation No.100-20-06-365                 REQUEST FOR QUOTATION    (For Immediate Purchase Pursuant to Section 52.1a of the Revised IRR, RA 9184)  Item No. 	Qty. 	Unit 	Description 	ABC 	Unit Price 	Total 	Remarks  (Dat</t>
  </si>
  <si>
    <t xml:space="preserve"> Standard Form No. 60						 Revised on May 24, 2004						 REQUEST FOR QUOTATION						 Provincial Government of Romblon						 						 				Date:      June 23, 2020		 				Quotation No.:    531		 						 To Our Valued Suppliers:						 						 	Please quote your l</t>
  </si>
  <si>
    <t xml:space="preserve"> REQUEST FOR QUOTATION RFQ-BJMP12-2020-13 PROJECT TITLE: Repair and Maintenance of Alabel District Jail Facility of BJMPRO-XII for the Second Quarter of 2020 I. Fabrication of Steel Walkway at the Rooftop of the Jail Building (3.60m) and Installation of St</t>
  </si>
  <si>
    <t xml:space="preserve"> Request for Quotation June 22, 2020                                                                                     	 	Quotation No.  2020-06-066                                                                                       	 	 P.R. No.       </t>
  </si>
  <si>
    <t xml:space="preserve"> The MLGU-Pasil, now invites bids for the ROAD LANDSLIDE CLEARING &amp; PROTECTION PASIL ROAD ACCESS (BALINSAT SECTION ). The project is located at Magsilay, Pasil, Pasil, Province of Kalinga. The following are the Item of Works;					 					 	ITEM NO.	DESCRIPTI</t>
  </si>
  <si>
    <t xml:space="preserve"> INVITATION TO BID FOR THE PROCUREMENT OF SUPPLY &amp; DELIVERY OF PIGLETS (TYPHOON URSULA)     1.	The Department of Agriculture Regional Field Office 6 through the General Appropriations Act (GAA) of 2020 intends to apply the sum of Two Million Two Hundred Si</t>
  </si>
  <si>
    <t xml:space="preserve"> “ANNEX A” TERMS OF REFERENCE I. PROJECT &amp; LOCATION: PROJECT	:	TO SUPPLY LABOR, TOOLS, EQUIPMENT, CHEMICAL, TECHNICAL SUPERVISION FOR THE 3RD &amp; 4TH QUARTER TERMITE TREATMENT, PEST CONTROL OF RODENTS, COCKROACHES, MOSQUITOES AND OTHER HOUSEHOLD PEST ON THE </t>
  </si>
  <si>
    <t xml:space="preserve"> Standard Form No. 60						 Revised on May 24, 2004						 REQUEST FOR QUOTATION						 Provincial Government of Romblon						 						 				Date:      June 23, 2020		 				Quotation No.:    532		 						 To Our Valued Suppliers:						 						 	Please quote your l</t>
  </si>
  <si>
    <t xml:space="preserve"> QUANTITY                       UNIT                       DESCRIPTION 30                                     UNIT                   DISINFECTANT FOOT BATH WITH COATED STEEL TRAY</t>
  </si>
  <si>
    <t xml:space="preserve"> Alcohol spray 500ml,  Alcohol Bottle 500ml,  Disinfectant spray,  Face MAsk Disposable,  Face MAsk Cloth,  Tarpaulin,  Spaghetti Matting standard size</t>
  </si>
  <si>
    <t xml:space="preserve"> Republic of the Philippines          City of Dumaguete Bids and Awards Committee INVITATION TO BID FOR PURCHASE REQUEST OF 18 CU.M SAND (STD. SPECS) AND OTHER ITEMS 	The City of Dumaguete thru its BIDS AND AWARDS COMMITTEE (BAC), invites all interested ma</t>
  </si>
  <si>
    <t xml:space="preserve"> 64 pieces Garbage Bin with Lid ( Plastic )       * 16 pieces GREEN       * 32 pieces BLUE       * 16 pieces RED</t>
  </si>
  <si>
    <t xml:space="preserve"> Please download Bidding Documents IB 2020 – 053 Procurement of 600 bottles Immersion Oil Bidding Document fee: 1,000.00 The pre - bid conference is open to interested bidders. You may be qualified to submit your bidding documents during the public bidding</t>
  </si>
  <si>
    <t xml:space="preserve"> Standard Form No. 60						 Revised on May 24, 2004						 REQUEST FOR QUOTATION						 Provincial Government of Romblon						 						 				Date:      June 23, 2020		 				Quotation No.:    1676		 						 To Our Valued Suppliers:						 						 	Please quote your </t>
  </si>
  <si>
    <t xml:space="preserve"> Brake Cleaner. Aircon Filters, etc.</t>
  </si>
  <si>
    <t xml:space="preserve"> CONCRETING OF ROAD</t>
  </si>
  <si>
    <t xml:space="preserve"> 1 1 ass steering rock 2 1 lt ATF 3 1 pc water pipe line 4 1 pc bearing 5 1 pc alternator hose 6 2 pc motor support 7 7 lt motor oil synthetic 8 1 pc oil filter 9 1 pc FDEL filter 10 1 set piston brushing 11 1 set engine valve guide 12 1 set engine valve s</t>
  </si>
  <si>
    <t xml:space="preserve"> Communication equipment and accsessories..</t>
  </si>
  <si>
    <t xml:space="preserve"> 3 boxes X-ray Film, size 14/17, box of 100 2 set X-ray Developer Manual &amp; Fixer Set 12 boxes  Glass Slides Frosted, box of 70 1 kit AFB Staining Kit 4 bottle Denatured Alcohol 350cc 4 Examination Gloves, large, box of 100 pcs. 3 box Face mask, N-95, box 0</t>
  </si>
  <si>
    <t xml:space="preserve"> BAC1-20-008 SUPPLY AND DELIVERY OF VARIOUS CONSTRUCTION SUPPLIES - PAINTING  FOR 2020                                                            INVITATION  TO BID 1. The University of the Philippines Manila through its Bids and Awards Committee I (BAC 1)</t>
  </si>
  <si>
    <t xml:space="preserve"> 20 pax 1 Meals &amp; 2 Snacks for 5 days</t>
  </si>
  <si>
    <t xml:space="preserve"> Republic of the Philippines Department of Public Works and Highways OFFICE OF THE DISTRICT ENGINEER PAMPANGA 3RD DISTRICT ENGINEERING OFFICE San Francisco St., Brgy Pampang, Angeles City Telephone Nos. (045) 323-5782 / 887-3121 NOTICE OF PROCUREMENT THRU </t>
  </si>
  <si>
    <t xml:space="preserve"> LGU - Magsingal, Ilocos Sur				 Project Reference Number 						 	 Procurement of Motor Vehicle 		                                                              	 Magsingal, Ilocos Sur 					   Standard Form Number: SF-GOOD-59 Revised on: May 24, 2004 Standa</t>
  </si>
  <si>
    <t xml:space="preserve"> PROCUREMENT AND DELIVERY OF CATERING SERVICES FOR RECRUITMENT OF FIRE OFFICER 1 ATTRITION QUOTA 1ST SEM OF BFP R4A FOR FY 2020</t>
  </si>
  <si>
    <t xml:space="preserve"> 15 rolls Plastic Twine 115 pax Catering Services (2 meals &amp; 2 snacks) Menu: Breakfast:       Rice, Fried Eggs, Corned Beef,  Dried Fish &amp; Bottled Water AM Snacks: Steam Siopao &amp; Juice Lunch:       Rice, Pork Chop, Fried Fish,        Sotanghon, Banana &amp; So</t>
  </si>
  <si>
    <t xml:space="preserve"> Please download Bidding Documents IB 2020 – 052 Procurement of 42 set CD4 Machine Control (Rebid) Bidding Document fee: 500.00 The pre - bid conference is open to interested bidders. You may be qualified to submit your bidding documents during the public </t>
  </si>
  <si>
    <t xml:space="preserve"> DEPARTMENT OF PUBLIC WORKS AND HIGHWAYS										 LAS PINAS-MUNTINLUPA DISTRICT ENGINEERING OFFICE										 							Date:		June 30, 2020	 						RFQ No.:			2020-06-011 (SVP)	 						Office/End-user:			Construction Section	 REQUEST FOR QUOTATION										 CO</t>
  </si>
  <si>
    <t xml:space="preserve"> REQUEST  FOR  QUOTATION RFQ NO. 2020-06-02-(8058) 								   		PR No. 2020-356 									    		                   June 2, 2020       Date Company Name:	__________________________________________ Address		:	__________________________________________ Please </t>
  </si>
  <si>
    <t xml:space="preserve"> Const. of MP. Building Notice of Resumption of Bidding</t>
  </si>
  <si>
    <t xml:space="preserve"> Purchase of Photo Copier</t>
  </si>
  <si>
    <t xml:space="preserve"> 1.	1	bundle		White bed sheet cloth 100mx96” width 2.	4	bundles		Green bed sheet cloth 100mx96” width 3.	3	bundles		Blue bed sheet cloth 100mx96” width 4.	20	meters		Red alpha gena cloth 20mx60” width 5.	200	pcs.		Flat sewing machine needle no. 14 6.	200	p</t>
  </si>
  <si>
    <t xml:space="preserve"> Please see attached RFQ and Technical Specification</t>
  </si>
  <si>
    <t xml:space="preserve"> PURPOSE: FOR USE IN THE DEPT. OF OB-GYNE Fax your Price Quotation at Tel. Fax#: 426-30-45 / 927-64-26 local 2561 or Email at bacveterans@gmail.com. Please indicate the brand name and complete specifications.</t>
  </si>
  <si>
    <t xml:space="preserve"> DESCRIPTION Republic of the Philippines Province of Oriental Mindoro MUNICIPALITY OF NAUJAN BARANGAY DAO BIDS AND AWARDS COMMITTEE INVITATION TO BID SUPPLY &amp; DELIVERY OF MATERIALS TO BE USED FOR THE INSTALLATION OF STREET LIGHTS IN DIFFERENT SITIOS, BARAN</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</si>
  <si>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</si>
  <si>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PROCUREMENT AND DELIVERY OF OTHER SUPPLIES &amp; MATERIALS FOR ORIENTATION PROGRAM OF NEWLY APPOINTED FIRE OFFICEER 1 ATTRITION QUOTA 1ST SEM OF BFP R4A FOR FY 2020</t>
  </si>
  <si>
    <t xml:space="preserve"> Amlodipine 5MG (Besilate) Requirements for Drugs and Medicines: **Drugs with history of usage from VMMC (Requirements No. 1-5 only) ** **For Innovators (Requirements No. 1-4 only) ** 1. CPR 2. CGMP 3. LTO 4. CERTIFICATE OF DISTRIBUTOSHIP 5. CERTIFICATE OF</t>
  </si>
  <si>
    <t xml:space="preserve"> PROCUREMENT AND DELIVERY OF OFFICE SUPPLIES FOR ORIENTATION PROGRAM OF NEWLY APPOINTED FIRE OFFICER 1 ATTRITION QUOTA 1ST SEM OF BFP R4A FOR FY 2020</t>
  </si>
  <si>
    <t xml:space="preserve"> Standard Form No. 60						 Revised on May 24, 2004						 REQUEST FOR QUOTATION						 Provincial Government of Romblon						 						 				Date:      June 23, 2020		 				Quotation No.:    162		 						 To Our Valued Suppliers:						 						 	Please quote your l</t>
  </si>
  <si>
    <t xml:space="preserve"> Standard Form No. 60						 Revised on May 24, 2004						 REQUEST FOR QUOTATION						 Provincial Government of Romblon						 						 				Date:      June 23, 2020		 				Quotation No.:    518		 						 To Our Valued Suppliers:						 						 	Please quote your l</t>
  </si>
  <si>
    <t xml:space="preserve"> Republic of the Philippines Province of Capiz Municipality of Mambusao Barangay Bunga Invitation to Bid for a One (1) Job Order for the Supply of Labor and Materials for Construction of Perimeter Fence at Brgy. Bunga, Mambusao, Capiz   The Municipality of</t>
  </si>
  <si>
    <t xml:space="preserve"> Supply &amp; Delivery of  COMPUTER SETS</t>
  </si>
  <si>
    <t xml:space="preserve"> INVITATION TO BID FOR THE PROCUREMENT OF SUPPLY &amp; DELIVERY OF 64 HEADS CATTLE (TYPHOON URSULA)      1.	The Department of Agriculture Regional Field Office 6 through the General Appropriations Act (GAA) of 2020 intends to apply the sum of Three Million Fif</t>
  </si>
  <si>
    <t xml:space="preserve"> Republic of the Philippines Province of Zamboanga del Sur MUNICIPALITY OF SOMINOT Barangay Poblacion -o0o- JUNE 04, 2020 INVITATION FOR NEGOTIATED PROCUREMENT  (TWO FAILED BIDDINGS) PURCHASE OF MATERIALS FOR THE INSTALLATION OF 48” RCCP AT RIZAL STREET In</t>
  </si>
  <si>
    <t xml:space="preserve"> Const. of MP. Building Resumption of Bidding</t>
  </si>
  <si>
    <t xml:space="preserve"> Drugs and Medicines</t>
  </si>
  <si>
    <t xml:space="preserve"> The Municipal Government of Bayog, Zamboanga del Sur thru its Bids and Awards Committee (BAC) invites all interested bidders for the “EVENT MANAGEMENT - VENUE RENTAL, FOOD AND ACCOMMODATION” for the Three-Days Seminar Workshop on Gender and Development an</t>
  </si>
  <si>
    <t xml:space="preserve"> The Municipality of Limay, through its Bids and Awards Committee (BAC) invites registered contractors to apply for eligibility and if found eligible, to bid for the hereunder project/contract: Project/Contract:     REHABILITATION OF FENCE (EAST SIDE) AT L</t>
  </si>
  <si>
    <t xml:space="preserve"> To purchase various medical supplies.</t>
  </si>
  <si>
    <t xml:space="preserve"> Please download Bidding Documents IB 2020 – 054 Procurement of 1,700 pcs. Etonogestrel Subdermal Implant Bidding Document fee: 5,000.00 The pre - bid conference is open to interested bidders. You may be qualified to submit your bidding documents during th</t>
  </si>
  <si>
    <t xml:space="preserve"> Purchase of Expanded NBS Specimen Collection Kit for Newborn Screening Test.</t>
  </si>
  <si>
    <t xml:space="preserve"> Various Vehicle Parts &amp; Accessories</t>
  </si>
  <si>
    <t xml:space="preserve"> 8 unit Visitor Chair 8 pcs. Filing Cabinet (4 layer metal) 24 pcs. Back pack 75 pcs. Plaque (medium)</t>
  </si>
  <si>
    <t xml:space="preserve"> INVITATION TO APPLY FOR ELIGIBILITY AND TO BID  One (1) Lot Information Technology   ITB No. 2020-06-005 P.R. No. 2020-03-158 1.	The Mines and Geosciences Bureau, through the General Appropriations Act (GAA) for CY 2020 intends to apply the sum correspond</t>
  </si>
  <si>
    <t xml:space="preserve"> DEPARTMENT OF PUBLIC WORKS AND HIGHWAYS										 LAS PINAS-MUNTINLUPA DISTRICT ENGINEERING OFFICE										 							Date:		June 17, 2020	 						RFQ No.:			2020-06-012 (SHOP)	 						Office/End-user:			Maintenance Section	 REQUEST FOR QUOTATION										 CO</t>
  </si>
  <si>
    <t xml:space="preserve"> DEPARTMENT OF PUBLIC WORKS AND HIGHWAYS										 LAS PINAS-MUNTINLUPA DISTRICT ENGINEERING OFFICE										 							Date:		June 30, 2020	 						RFQ No.:			2020-06-012 (SVP)	 						Office/End-user:			Construction Section	 REQUEST FOR QUOTATION										 CO</t>
  </si>
  <si>
    <t xml:space="preserve"> Republic of the Philippines Province of Cotabato Municipality of Antipas BIDS AND AWARDS COMMITTEE INVITATION TO BID FOR Supply and Delivery of School Equipment 1.	The Municipal Government of Antipas, through the Budget approved by the Sanggunian intends </t>
  </si>
  <si>
    <t xml:space="preserve"> Supply and Delivery of   Booklets and Identification Cards for Senior Citizens</t>
  </si>
  <si>
    <t xml:space="preserve"> Lot 1 1 Unit HAND TRACTOR Specification 1.Two Wheel Hand Tractor w/ Trailer 2.. Prime Mover: 10-12HP Diesel Engine 3. Trailer Capacity: 1ton,  4. With Mud Guard, with Belt Guard or Cover, with Rubber Hand Grip,  5. Transmission with reverse and forward.  </t>
  </si>
  <si>
    <t xml:space="preserve"> PROCUREMENT OF JANITORIAL SUPPLIES FOR THE MAINTENANCE OF THE CLEANLINESS OF THE MUNICIPAL SURROUNDINGS, TIGBAUAN, ILOILO.</t>
  </si>
  <si>
    <t xml:space="preserve"> Interested suppliers may submit quotations to the Procurement Office, Pamantasan ng Lungsod ng Maynila, Intramuros, Manila and addressed to Atty. May Angeli M. Estolas, Acting Chief, Procurement Office As requirements please submit  photocopy of your Phil</t>
  </si>
  <si>
    <t xml:space="preserve"> Standard Form No. 60						 Revised on May 24, 2004						 REQUEST FOR QUOTATION						 Provincial Government of Romblon						 						 				Date:      June 23, 2020		 				Quotation No.:    549		 						 To Our Valued Suppliers:						 						 	Please quote your l</t>
  </si>
  <si>
    <t xml:space="preserve"> This project entails purchase of medical supplies for use at Municipal Health Office.</t>
  </si>
  <si>
    <t xml:space="preserve"> PURCHASE REQUEST  Municipality of Buenavista  LGU  Department: LGU-BUENAVISTA Section: DA PR: Date:  SA1 No.  Qty. 		Unit	Item Description 	Estimated Unit cost 	Estimated Total cost  30	heads	native chicken (female) 10	heads	native chicken (male’/ breeder</t>
  </si>
  <si>
    <t xml:space="preserve"> One (1) unit Motherboard (Prime B365M-A) and forty three (43) other L/I</t>
  </si>
  <si>
    <t xml:space="preserve"> PURPOSE: FOR USE IN TERMITE AROUND VMMC HOSPITAL BUILDINGS Fax your Price Quotation at Tel. Fax#: 426-30-45 / 927-64-26 local 2561 or Email at bacveterans@gmail.com. Please indicate the brand name and complete specifications.</t>
  </si>
  <si>
    <t xml:space="preserve"> REQUEST FOR QUOTATION (RFQ) SUPPLY AND DELIVERY OF OCP AND PCB STANDARDS UNDER EMB-ERLSD-ELSS RFQ NO. EMB-S-ERLSD-ELSS OCP/PCB STANDARDS 2020-0391(4th) 1.	The Department of Environment and Natural Resources – Environmental Management Bureau (DENR-EMB) her</t>
  </si>
  <si>
    <t xml:space="preserve"> Invitation to Bid for the supply &amp; delivery of Various Maintenance Materials as requested by the City Engineer’s Office, Batangas City</t>
  </si>
  <si>
    <t xml:space="preserve"> Republic of the Philippines PROVINCE OF BATANGAS Municipality of Lian OFFICE OF BIDS AND AWARDS COMMITTEE INVITATION TO BID 	The Municipal Government of Lian, Batangas through its Bids and Awards Committee (BAC) now calls for the submission of Letters of </t>
  </si>
  <si>
    <t xml:space="preserve"> kindly see attached file for your reference</t>
  </si>
  <si>
    <t xml:space="preserve"> 1 unit, Push Cart Foldable (trolley), 200 kilogram capacity</t>
  </si>
  <si>
    <t xml:space="preserve"> Republic of the Philippines Province of Ilocos Norte MUNICIPALITY OF DINGRAS INVITATION TO BID FOR THE PROCUREMENT OF 1 UNIT TOTAL STATION SURVEYING TOOL   1.	The Local Government Unit of Dingras, through the Gen. Fund intends to apply the sum of Three Hu</t>
  </si>
  <si>
    <t xml:space="preserve"> Please refer to the attached RFQ for more details.</t>
  </si>
  <si>
    <t xml:space="preserve"> 50 BOT ACICLOVER 200MG/5ML SUSP.,60ML SUSP. 50 BOT. ALCOHOL, ETHYL 70% SOLUTION 40 BOX ALUMINUM MAGNESIUM 200MG TABLET 30 BOT. ALUMINUM MAGNESIUM 200 MG/ 5ML SUSP, 60ML 20 BOX AMLODIPINE 5MG OR 10MG TABLET 48 BOX AMOXICILLIN 500MG CAPSULE 100 BOT. AMOXICI</t>
  </si>
  <si>
    <t xml:space="preserve"> PURCHASE REQUEST  Municipality of Buenavista  LGU  Department: LGU-BUENAVISTA Section: DA PR: Date:  SA1 No.  Qty. 		Unit	Item Description 	Estimated Unit cost 	Estimated Total cost  3	liters	dewormer (albendasole) 3	bots	wound spray 2	bots	bacterid (100m</t>
  </si>
  <si>
    <t xml:space="preserve"> public biding</t>
  </si>
  <si>
    <t xml:space="preserve"> Repair and Maintenance of Motor Vehicle, Calasiao, Pangasinan</t>
  </si>
  <si>
    <t xml:space="preserve"> Standard Form No. 60							 Revised on May 24, 2004							 REQUEST FOR QUOTATION							 Provincial Government of Romblon							 							 				Date:      June 23, 2020			 				Quotation No.:    605			 							 To Our Valued Suppliers:							 							 	Please qu</t>
  </si>
  <si>
    <t xml:space="preserve"> Complete Construction of (9.50mx23.00m) Two Storey; Four Classroom School Building Mostly Built With Concrete And Masonry, with PWD Ramp with handrails, parapet wall on concrete gutter and complete and electrical works, Sanitary/ Plumbing Works, ventilati</t>
  </si>
  <si>
    <t xml:space="preserve"> GENTLEMEN:				NOTE: 			 Please submit  your  lowest price quotation (including taxes and government discounts) on charged account basis, on the following supplies/materials/ equipment or labor for the account and official use of the Authority. This Reques</t>
  </si>
  <si>
    <t xml:space="preserve"> INVITATION TO APPLY FOR ELIGIBILITY AND TO BID  One (1) Lot Provision for Security Services for 2020 (August-December)   ITB No. 2020-06-004 P.R. No. 2020-06-172 1.	The Mines and Geosciences Bureau, through the General Appropriations Act (GAA) for CY 2020</t>
  </si>
  <si>
    <t xml:space="preserve"> PLEASE SEE ATTACHED PDF FILE OF PURCHASE REQUEST FOR REFERENCE</t>
  </si>
  <si>
    <t xml:space="preserve"> Invitation to Bid to all Supplier/Contractor duly accredited by the City Council of Manila to supply and deliver the following items provided hereunder, to wit:  Item	Qty.	Unit	Articles 			 1	19	Tin	Rubberries Paint Davies 2	20	Tin	Semi-Gloss Latex (White</t>
  </si>
  <si>
    <t xml:space="preserve"> June 22, 2020 REQUEST FOR QUOTATION (RFQ) SIPHONING WORKS OF BATMC SEPTIC TANKS 1.	The Batangas Medical Center hereinafter referred to as the “Purchaser” now request for submission of price proposal for the procurement of the aforesaid item described in t</t>
  </si>
  <si>
    <t xml:space="preserve"> City of Guihulngan Bids and Awards Committee  Tel. (035) 410 – 4198  P.R. No. : TF2020 – 4411 - 01 P.R. Date: 03 – 09 – 2020 REQUEST FOR QUOTATION Please quote your lowest price on the item/s listed below, subject to the General Conditions below, stating </t>
  </si>
  <si>
    <t xml:space="preserve"> Republic of the Philippines Province of Zamboanga del Sur MUNICIPALITY OF LAKE WOOD BIDS AND AWARDS COMMITTEE Invitation to Bid for Procurement of Diesel  use for all Government Vehicle in this Municipality 1.	The Local Government Unit of Lake Wood, Zambo</t>
  </si>
  <si>
    <t xml:space="preserve"> Mohon, Sogod, Cebu						Contract Ref. No.-01M-2020 Fabrication &amp; Installation of Basketball Goal at Mohon Sports Complex, Mohon, Sogod, Cebu 		 Standard Form Number: SF-INFR-05 Revised on: July 29, 2004 INVITATION TO BID The Mohon, Sogod, Cebu  through it</t>
  </si>
  <si>
    <t xml:space="preserve"> INVITATION FOR SUBMISSION OF QUOTATION (SMALL VALUE PROCUREMENT) 	The local Government Unit of Can-avid, through is Bid and Awards Committee (BAC). Invites suppliers to apply for eligibility, to bid for the hereunder contract: Name of Contract:  	Repair o</t>
  </si>
  <si>
    <t xml:space="preserve"> 20 PCS COT BED 10 PCS CADAVER BAGS 6 PCS HOSPITAL BED</t>
  </si>
  <si>
    <t xml:space="preserve"> Invitation to Bid for the supply &amp; delivery of Various Construction Materials as requested by Dep. Ed., Division of Batangas City</t>
  </si>
  <si>
    <t xml:space="preserve"> Republic of the Philippines Province of Ilocos Sur MUNICIPALITY OF MAGSINGAL Office of the Bids and Awards    Committee INVITATION TO BID FOR THE CONSTRUCTION OF PAGSANAAN SUR POST HARVEST FACILITY The Municipality of Magsingal, through its Bids and Award</t>
  </si>
  <si>
    <t xml:space="preserve"> The Government of the Philippines (GOP) has received a loan from International Bank for Reconstruction and Development – World Bank (IBRD-WB) amounting to FIVE HUNDREDONE MILLION TWO HUNDREDFIFTY THOUSAND DOLLARS (US$501,250,000) for the purpose of part-f</t>
  </si>
  <si>
    <t xml:space="preserve"> Farm Inputs..diff vegetable seeds for crop production under ARBold program</t>
  </si>
  <si>
    <t xml:space="preserve"> INVITATION TO BID Construction of Administrative Office at Palo National High School Identification No. TAMP-PB-GOODS-07-2020 1.	The Local Government of Tampakan, through the 20% MDF 2018/8918-300-1-07-10-020 intends to apply the sum of Two Hundred Ninete</t>
  </si>
  <si>
    <t xml:space="preserve"> INVITATION TO APPLY FOR ELIGIBILITY AND TO BID  One (1) Lot Laboratory Equipment   ITB No. 2020-06-006 P.R. No. 2020-06-171 1.	The Mines and Geosciences Bureau, through the General Appropriations Act (GAA) for CY 2020 intends to apply the sum correspondin</t>
  </si>
  <si>
    <t xml:space="preserve"> DELIVERY OF FOL</t>
  </si>
  <si>
    <t xml:space="preserve"> Delivery and Supply of Meals, Venue and Accommodation 2020 CPH Second Level Training BATANGAS &amp; RSSO Cluster Date of Conduct: July 20-25, 2020 Total # of Pax: 31 Accommodation: Accommodation should have regular provision for hand sanitizer inside training</t>
  </si>
  <si>
    <t xml:space="preserve"> 2	units	DIGITAL OVERHEAD STIRRER 			 50,000.00  		Specifications:  Stirring Capacity: Max 10L, (H20), Max. Viscosity/ Torque: 10,000 mPas Speed Range &amp; Motor: 0-3,000 rpm, Motor Rotating (Input?Output): 83/75 W, 1/10 HP Controller: Digital Chuck Grip Capa</t>
  </si>
  <si>
    <t xml:space="preserve"> Please download Bidding Documents IB 2020 – 056 Procurement of 433 pcs. Advocacy Jacket, reversible Bidding Document fee: 5,000.00 The pre - bid conference is open to interested bidders. You may be qualified to submit your bidding documents during the pub</t>
  </si>
  <si>
    <t xml:space="preserve"> One (1) pcs RJ45 Connector and thirty six (36) other L/I</t>
  </si>
  <si>
    <t xml:space="preserve"> Standard Form No. 60						 Revised on May 24, 2004						 REQUEST FOR QUOTATION						 Provincial Government of Romblon						 						 				Date:      June 23, 2020		 				Quotation No.:    606		 						 To Our Valued Suppliers:						 						 	Please quote your l</t>
  </si>
  <si>
    <t xml:space="preserve"> LABOR AND MATERIALS FOR THE CONSTRUCTION OF MUNICIPAL WAREHOUSE AT POBLACION,BADIAN,CEBU</t>
  </si>
  <si>
    <t xml:space="preserve"> BAC1-20-008 SUPPLY AND DELIVERY OF VARIOUS CONSTRUCTION SUPPLIES - MECHANICAL/CMGVS FOR 2020                                                            INVITATION  TO BID 1. The University of the Philippines Manila through its Bids and Awards Committee I </t>
  </si>
  <si>
    <t xml:space="preserve"> Invitation to Bid for the supply &amp; delivery of Chlorine Tablets &amp; Water Purification Tablets for use of the City Health Office, Batangas City</t>
  </si>
  <si>
    <t xml:space="preserve"> Wooden Wardrobe Cabinets Swingtype Door with Hanger Rod (9 pieces) Size: 35.5” x 21” 79” Wooden Single Size Bed Frames with pull-out (7 pieces) Wooden Double Deck Bed Frames (4 pieces) Size: 36” x 75” Wooden Single Size Bed Frames (4 pieces) Size: 36” x 7</t>
  </si>
  <si>
    <t xml:space="preserve"> Mun. Government of Alcantara, Romblon 				                     2020-019 Purchase of CCTV Camera Strengthening of Tobacco Control Program Office of the Municipal Health Standard Form Number: SF-GOOD-60						    Alcantara, Romblon Revised on: May 24, 2004 S</t>
  </si>
  <si>
    <t xml:space="preserve"> SOURCE OF FUNDS: ANNUAL BUDGET CY 2020 BIDDING DATE &amp; TIME: JUNE 30, 2020- 10:00 A.M</t>
  </si>
  <si>
    <t xml:space="preserve"> Supply and Delivery of   Furniture &amp; Fixtures for City Health Office</t>
  </si>
  <si>
    <t xml:space="preserve"> City of Guihulngan Bids and Awards Committee  Tel. (035) 410 – 4198  P.R. No. : 2020 – 05 - 1502 P.R. Date: 05 – 28 – 2020 REQUEST FOR QUOTATION Please quote your lowest price on the item/s listed below, subject to the General Conditions below, stating th</t>
  </si>
  <si>
    <t xml:space="preserve"> Labor &amp; Materials for the Completion of Municipal Library, Brgy. Balite, Rodriguez, Rizal ABC       :      Php. 198,016.00                                          Delivery Period    :    15 Cal. Days</t>
  </si>
  <si>
    <t xml:space="preserve"> Oil 10 Brake Fluid Coolant</t>
  </si>
  <si>
    <t xml:space="preserve"> Please download Bidding Documents IB 2020 – 055 Procurement of 1,091 cannister Effervescent Chlorine Tablet 1.7 g Bidding Document fee: 5,000.00 The pre - bid conference is open to interested bidders. You may be qualified to submit your bidding documents </t>
  </si>
  <si>
    <t xml:space="preserve"> 6 unit    Refrigerator /Freezer Thermometer,digital,triple display  2 unit   Macropipettor,volume 5 ml  4 unit   Digital Timer,hand held,lightweight 1 unit   Infrared Thermometer,handheld,lightweight Please see attached RFQ # 20-742-4 Submit your Sign and</t>
  </si>
  <si>
    <t xml:space="preserve"> BId-Opening-July 2, 2020 at 2:00 p.m. at Municipal Conference Room</t>
  </si>
  <si>
    <t xml:space="preserve"> PUBLIC BIDING</t>
  </si>
  <si>
    <t xml:space="preserve"> City of Guihulngan Bids and Awards Committee  Tel. (035) 410 – 4198  P.R. No. : 2020 – 05 - 1499 P.R. Date: 05 – 04 – 2020 REQUEST FOR QUOTATION Please quote your lowest price on the item/s listed below, subject to the General Conditions below, stating th</t>
  </si>
  <si>
    <t xml:space="preserve"> Bedside Tables (9 pieces) Study Table with steel provider coating finish with 2 drawers (9 pieces) Reading Lamps (9 pieces) Linens (4-in-1: beedsheet, pillow and blanket) for single beds (12 sets) Pillows (28 pieces)</t>
  </si>
  <si>
    <t xml:space="preserve"> SOURCE OF FUNDS: ANNUAL BUDGET CY 2020 BIDDING DATE &amp; TIME: JUNE 30, 2020- 9:00 A.M</t>
  </si>
  <si>
    <t xml:space="preserve"> REQUEST FOR QUOTATION 	The Caraga State University-Cabadbaran Campus, through its Bids and Awards Committee (BAC), will undertake a Negotiated Procurement (Small Value Procurement) for the project: PROCUREMENT ON SUPPLY AND DELIVERY OF CONSTRUCTION MATERI</t>
  </si>
  <si>
    <t xml:space="preserve"> City of Guihulngan Bids and Awards Committee  Tel. (035) 410 – 4198  P.R. No. : 2020 – 06 - 1855 P.R. Date: 06 – 02 – 2020 REQUEST FOR QUOTATION Please quote your lowest price on the item/s listed below, subject to the General Conditions below, stating th</t>
  </si>
  <si>
    <t xml:space="preserve"> 25 bot. Epson B/C/M/Y 16 cart Epson LX300/Lx310 50 rms. Bond Paper S S. 18 20 rms Bond Paper L S.18 1 box Marker Pen Permanent Black 1 box White Board Marker Black 20 Pcs. Correction tape 1 doz. Correction Pen 5 units stapler H. D. Mag 35 2 bxs Ballpen Bl</t>
  </si>
  <si>
    <t xml:space="preserve"> 1.	The DENR-Environmental Management Bureau Region 2, through the ESWM Fund (Fund 101) CY 2020 intends to apply the sum of Two Million Two Hundred Thousand Pesos (P2,200,000.00) the contract for Procurement Of Professional Consulting Service For The Condu</t>
  </si>
  <si>
    <t xml:space="preserve"> Please see attached RFQ # 20-710-2 Submit your Sign and Sealed Quotation together with your UPDATED ELIGIBILITY Requirements For more details please call BUB/Planning (426-0593)  Technical Requirements: 1. Valid Business Permit / Mayor's Permit 2. Valid P</t>
  </si>
  <si>
    <t xml:space="preserve"> PURCHASE REQUEST  Municipality of Buenavista  LGU  Department: LGU-BUENAVISTA Section: DA PR: Date:  SA1 No.  Qty. 		Unit	Item Description 	Estimated Unit cost 	Estimated Total cost  1	unit	motorcycle (baja 125 black) TOTAL  Purpose: Purchase 1 unit motor</t>
  </si>
  <si>
    <t xml:space="preserve"> Republic of the Philippines Province of Bukidnon Municipality of Cabanglasan -o0o- ___________________________________________________________________________ INVITATION TO BID FOR PURCHASE OF MATERIALS FOR CONSTRUCTION OF MULTIPURPOSE PAVEMENT PHASE I 1.</t>
  </si>
  <si>
    <t xml:space="preserve"> Rehab. of MP. Bldg. Resumption of Bidding</t>
  </si>
  <si>
    <t xml:space="preserve"> 1 Unit Water Purifying Device (Heavy Duty/Good Quality) at least 1 year product warranty</t>
  </si>
  <si>
    <t xml:space="preserve"> Item No.	Description	Unit	Quantity 1	Fire Extinguisher Refill  Dry Chemical 10lbs Capacity	 pcs	 7 2	Fire Extinguisher Refill  Dry Chemical 3lbs Capacity	 pc	 1 3	HCFC 123Refill 10lbs Capacity	 pcs	 3</t>
  </si>
  <si>
    <t xml:space="preserve"> Hydrogen 75 Cyl FOR PAGASA LEGAZPI STATION x-x-x-x-x-x-x-x-x-x-x-x-x-x-x-x-x Total ABC  (in PhP) 116,250.00</t>
  </si>
  <si>
    <t xml:space="preserve"> Parameters: Over all dimension 7585x2380x2900mm                    Curb weight 6300 kg                    GVW 15775 kg                    Wheelbase 4200mm Engine:         Type intercooler, turbocharge                     Displacement 4500 cc              </t>
  </si>
  <si>
    <t xml:space="preserve"> June 23, 2020 Name of Project:	PROCUREMENT AND DELIVERY OF CARDS FOR SCHOOLS DIVISION OFFICE USE. Sir/Madame: Please quote your lowest price for the following item enumerated below, taking into consideration the following: 1.	The Approved Budget for the C</t>
  </si>
  <si>
    <t xml:space="preserve"> Date of Conduct: July 20-25, 2020 Total # of Pax: 32 Accommodation: Accommodation should have regular provision for hand sanitizer inside training rooms, comfort rooms and other rooms that will be occupied by the participants; regular sanitizing of the tr</t>
  </si>
  <si>
    <t xml:space="preserve"> INVITATION FOR SUBMISSION OF QUOTATION  (Small Value Procurement) NAME OF PROJECT:		Procurement of Security Services Location:				Commission on Higher Education Regional Office VIII,  Athletic Road, Brgy. 43-B, Quarry District, Tacloban City BRIEF DESCRIP</t>
  </si>
  <si>
    <t xml:space="preserve"> SOUND SYSTEM	 Specs:	 Kevler Speaker	 Amplifier KAV 1400	 Mixer MK-GL8	 Equalizer 231	 DVD Player	 Wireless MIC DUAL	 1 roll wire	 Speak-on Connector	 XVR Cord	 RUA Cord</t>
  </si>
  <si>
    <t xml:space="preserve"> INVITATION TO BID  FOR THE Repair and Maintenance of Various Heavy Equipment I.B. No. 2020 - 0025 1.	The LGU - Cabanatuan City, through the General Fund, FY 2020 intends to apply the sum of Five Million Four Hundred Sixty-Four Thousand One Hundred Ninety-</t>
  </si>
  <si>
    <t xml:space="preserve"> 40	pcs	CI Sleeve Type Coupling 2" 10	pcs	CI Sleeve Type Coupling 2.5" 60	pcs	CI Sleeve Type Coupling 60"</t>
  </si>
  <si>
    <t xml:space="preserve"> 1	Set	Supply of 1 Unit INFRARED CAMERA 9 Hz, ABC 740,000.00/set Includes:				 Thermal imager with standard infrared lens				 AC power supply and battery pack charger				 (including universal AC adapters)				 Two, rugged lithium ion smart battery packs 			</t>
  </si>
  <si>
    <t xml:space="preserve"> 1. 1 unit Base Station  1 - VHF base unit 1-regulated power supply with built-in charger 16 amperes 1 - Tunable vertical antenna. Omni - vertical radomes , overlapping outershells, waterproof joint couplings, stainless steel hardware, 144-174 Mhz tunable </t>
  </si>
  <si>
    <t xml:space="preserve"> Labor &amp; Materials for Various Improvement @ Municipal Trial Court, Brgy. Balite ABC    :    Php. 133,948.60                                                            Delivery Period    :  15 Cal. Days</t>
  </si>
  <si>
    <t xml:space="preserve"> Please quote your lowest price inclusive of VAT on the item/s listed below, subject to the Terms and Conditions of this RFQ, and submit your quotation duly signed by your representative not later than 26 June 2020 at 306th Contracting Office, NSFA, Panaca</t>
  </si>
  <si>
    <t xml:space="preserve"> Invitation to Bid for the plotting &amp; blue printing of plans as requested by the City Engineer’s Office, Batangas City</t>
  </si>
  <si>
    <t xml:space="preserve"> Laundry Services for 9 curtains w/ valance for SB Office</t>
  </si>
  <si>
    <t xml:space="preserve"> Republic of the Philippines Province of Capiz Municipality of Mambusao REQUEST FOR QUOTATION BIDS AND AWARDS COMMITTEE 	        JUNE 23, 2020       Date    Please quote your lowest price on the items listed below, subject to the general conditions stated </t>
  </si>
  <si>
    <t xml:space="preserve"> Please download Bidding Documents IB 2020 – 059 Procurement of Various Drugs/Medicines to be used during emergencies and disasters Bidding Document fee: 5,000.00 The pre - bid conference is open to interested bidders. You may be qualified to submit your b</t>
  </si>
  <si>
    <t xml:space="preserve"> Please see the attached file in the associated components.</t>
  </si>
  <si>
    <t xml:space="preserve"> A.) Aircon with Installation</t>
  </si>
  <si>
    <t xml:space="preserve"> BAC RESOLUTION NO. 331-2020 “A RESOLUTION RECOMMENDING “NEGOTIATED - SMALL VALUE PROCUREMENT” FOR THE VARIOUS PURCHASE REQUESTS (PR’s) FROM VARIOUS OFFICES OF THE CITY OF CABADBARAN” 	 NO.	PR NO.	END-USER	PARTICULARS	AMOUNT 1	1443	BPLDiv	EXTENSION WIRES, </t>
  </si>
  <si>
    <t xml:space="preserve"> Rehabilitation of Creek Resumption of Bidding</t>
  </si>
  <si>
    <t xml:space="preserve"> Supply and Delivery of Supplies and Materials for the Native Swine Production of SDSSU San Miguel Campus Please see attached Request for Quotation (RFQ) Lot A- P 20,000.00 Lot B- P 42,500.00 Lot C- P 50,368.00 Lot C- P 45,000.00 Lot E- P   9,999.92 Lot F-</t>
  </si>
  <si>
    <t xml:space="preserve"> LABOR AND MATERIALS FOR THE CONSTRUCTION OF MUNICIPAL AGRICULTURE OFFICE AT POBALCION,BADIAN,CEBU</t>
  </si>
  <si>
    <t xml:space="preserve"> Labor Charge for the Repair of Handheld Radio and Spare Parts of Speaker</t>
  </si>
  <si>
    <t xml:space="preserve"> Republic of the Philippines Province of Leyte Municipality of Kananga BIDS AND AWARDS COMMITTEE REQUEST FOR QUOTATION The Municipality of Kananga, through its Bids and Awards Committee, will undertake a Small Value for the Printing Services for the Senior</t>
  </si>
  <si>
    <t xml:space="preserve"> INVITATION FOR NEGOTIATED PROCUREMENT FOR VARIOUS MEDICAL EQUIPMENT: 1.	In View of the two failed biddings, the Department of Health Center for Health Development I, through the Continuing Appropriations (CONAP) 2019 invites interested bidders to particip</t>
  </si>
  <si>
    <t xml:space="preserve"> Surgical Mask Expanded Envelope Expanded Folder Long Bond Paper A4 Bond Paper Alcohol 70% Air Freshener</t>
  </si>
  <si>
    <t xml:space="preserve"> " FULL  HD WEB CAMERA                              5 unit * Full High  Definition 1080p *Full Hd video recording "	 "HEADPHONE WITH MIC                             5 unit *Features: Headphone noise Cancellation / Reduction /Built in Microphone / Volume Co</t>
  </si>
  <si>
    <t xml:space="preserve"> Republic of the Philippines  Province of Samar Municipality of Jiabong Invitation to Bid  Emergency Purchase in Response to Covid19 mayor’s Office Jiab-2020-38A The Municipal Government of Jiabong, Samar, through LGU OF JIABONG   intends to apply the sum </t>
  </si>
  <si>
    <t xml:space="preserve"> A. Procurement of  Protective Equipment and Supplies		 Rubber Gloves, Large, Latex, Kitchen cleaning gloves	pair	4 Personal Protective Equipment (Bunny Suit), Washable, MicroFiber with Hodie and garterize foot cover, Fits Small to Medium	set	7 Personal Pr</t>
  </si>
  <si>
    <t xml:space="preserve"> Republic of the Philippines Province of Ilocos Sur MUNICIPALITY OF MAGSINGAL Office of the Bids and Awards    Committee INVITATION TO BID FOR THE CONSTRUCTION OF SLOPE PROTECTION AT MANZANTE BEACH ROAD ADJACENT TO FARMLANDS The Municipality of Magsingal, </t>
  </si>
  <si>
    <t xml:space="preserve"> 1 unit Smart-UPS 1500 Va Multi socket 10 unit Smart-UPS 650Va</t>
  </si>
  <si>
    <t xml:space="preserve"> Republic of the Philippines City Government of Cotabato BIDS AND AWARDS COMMITTEE Cotabato City INVITATION TO BID  FOR THE SUPPLY AND INSTALLATION  OF NEW ALUMINUM COMPOSITE PANEL PARTITIONS, DOORS AND URINALS 1.	The City Government of Cotabato, through  </t>
  </si>
  <si>
    <t xml:space="preserve"> The Municipality of Limay, through its Bids and Awards Committee (BAC) invites registered contractors to apply for eligibility and if found eligible, to bid for the hereunder project/contract: Project/Contract:     REHABILITATION OF FENCE (SOUTH SIDE) AT </t>
  </si>
  <si>
    <t xml:space="preserve"> Invitation to Bid for the printing of Newsletter as requested by the Public Information Office, Batangas City</t>
  </si>
  <si>
    <t xml:space="preserve"> 50	yards	Tetoron with 45" width (Green)     50	yards	Tetoron with 45" width (Yellow)     50	yards	Tetoron with 45" width (Red)     50	yards	Tetoron with 45" width (Blue)     50	yards	Tetoron with 45" width (Black)     50	yards	Oxford with 45" width (Bottl</t>
  </si>
  <si>
    <t xml:space="preserve"> Procurement of T-shirt and Pants</t>
  </si>
  <si>
    <t xml:space="preserve"> CCTV</t>
  </si>
  <si>
    <t xml:space="preserve"> One (1) Year Contract for the Supply and Delivery of Purified Water with Free Use of Hot and Cold Water Dispenser	15 Dispensers 	 	Approx. 250-300 bubbles/month 	 	 Note: Bidders must submit the following:	             1. Legal documents (DTI/SEC Mayor's </t>
  </si>
  <si>
    <t xml:space="preserve"> Republic of the Philippines Province of Palawan  Municipal Government of Cuyo BIDS AND AWARDS COMMITTEE Email Address: baccuyopalawan@gmail.com 									 RFQ No. 2020-027 REQUEST FOR QUOTATION (SUPPLY AND DELIVERY OF LABORATORY SUPPLIES FOR USE OF MUNICIP</t>
  </si>
  <si>
    <t xml:space="preserve"> SOURCE OF FUNDS: ANNUAL BUDGET CY 2020 BIDDING DATE &amp; TIME: JUNE 30, 2020- 11:00 A.M</t>
  </si>
  <si>
    <t xml:space="preserve"> PURPOSE: FOR MAINTENANCE USE OF BOILER 2. (DELIVERY DATE: AUG. 28, 2020) Fax your Price Quotation at Tel. Fax#: 426-30-45 / 927-64-26 local 2561 or Email at bacveterans@gmail.com. Please indicate the brand name and complete specifications.</t>
  </si>
  <si>
    <t xml:space="preserve"> Invitation to Bid for the repair &amp; maintenance of various service vehicles of Batangas City Government.</t>
  </si>
  <si>
    <t xml:space="preserve"> B. Medicine		 Multivitamins + Minerals capsule (Zinc, A, C, E)	piece	   11520</t>
  </si>
  <si>
    <t xml:space="preserve"> The Government of the Philippines (GOP) has received a loan from World Bank towards the cost of Philippine Rural Development Project, and it intends to apply part of the proceeds of this Loan to payments for the procurement of office supplies intended for</t>
  </si>
  <si>
    <t xml:space="preserve"> 2 unit, Peak flow Meter, Pediatric - range of measurement:  50ml to 400ml</t>
  </si>
  <si>
    <t xml:space="preserve"> REQUEST FOR QUOTATION The Local Government Unit of Molave, through its Bids and Awards Committee, will undertake a Small Value Procurement for the Purchase of Spareparts to be Used for the Repair and Maintenance of Grader (Terex) in accordance with Sectio</t>
  </si>
  <si>
    <t xml:space="preserve"> Note: Please download the complete bidding documents, including the Bid of Quantities and Plans/Drawings from the associated components found in this notice. The NATIONAL FOOD AUTHORITY, through its Capital Outlay for 2020 intends to apply the sum of  TWO</t>
  </si>
  <si>
    <t xml:space="preserve"> Kindly see attached file for your reference.</t>
  </si>
  <si>
    <t xml:space="preserve"> PURCHASE REQUEST								 Balingasag Water District, Balingasag, Misamis Oriental								 Agency								 Department:		Balingasag Water District			PR No. 	20-05-008	Date:	5/29/2020 		Balingasag, Misamis Oriental			SAI No.: 		Date:	 Section:								 ADMIN			</t>
  </si>
  <si>
    <t xml:space="preserve"> Supply and Delivery of various toners: (35) pcs Toner 283A and (6) pcs Toner 285A for Pag-IBIG Fund Iloilo Molo Branch</t>
  </si>
  <si>
    <t xml:space="preserve"> Section I. Invitation to Bid Republic of the Philippines Philippine Rural Development Project Invitation to Bid for the  Construction of Mango Processing Center  ID No. PRDP-IR-RO03-NUE-035-PAL-001-2019-R1 Loan No. 8816-PH   June 23, 2020 1.	The Governmen</t>
  </si>
  <si>
    <t xml:space="preserve"> Republic of the Philippines  Province of Samar Municipality of Jiabong Invitation to Bid  Emergency Purchase in Response to Covid19 DSWD Office Jiab-2020-39Af The Municipal Government of Jiabong, Samar, through LGU OF JIABONG   intends to apply the sum of</t>
  </si>
  <si>
    <t xml:space="preserve"> Portland Cement Type I, Washed Sand, Skim Coat, Drawer Handle, Glazing Putty, Liquid Nails, Cabinet Handle, 1" Metal Screw, Flatwall Enamel (White), Masonry Putty and others</t>
  </si>
  <si>
    <t xml:space="preserve"> 4 pcs. 265/65 R17 Tubeless Tire</t>
  </si>
  <si>
    <t xml:space="preserve"> PROCUREMENT OF 1 UNIT DESKTOP COMPUTER WITH PRINTER, RECHARGEABLE VOICE RECORDER AND DIGITAL CAMERA Capin's Office, Mexico, Pampanga</t>
  </si>
  <si>
    <t xml:space="preserve"> Republic of the Philippines BATANGAS STATE UNIVERSITY Batangas City REQUEST FOR QUOTATION "Procurement of Construction Supplies for BatStateU Lemery Campus" 1. The Batangas State University (BatState U) through the Bids and Awards Committee invites intere</t>
  </si>
  <si>
    <t xml:space="preserve"> Rubber Boots (Heavy Duty)	45 Pairs Raincoat (Jacket and Pants) heavy duty	45 Pcs</t>
  </si>
  <si>
    <t xml:space="preserve"> 20 box	Tranesamic Acid 500mg tab 100’s 50 bottle	Cetirizine 5mg/5ml syrup 50 bottle	Cetirizine 2.5mg/ml drops 10 box	Surgical Blade No. 10 100’s 50 bottle	Zinc Sulfate 55mg/5ml Syrup 50 bottle	Zinc Sulfate Oral Drops 60 bottle	Co-Amoxiclav 250mg/5ml Syrup</t>
  </si>
  <si>
    <t xml:space="preserve"> City of Guihulngan Bids and Awards Committee  Tel. (035) 410 – 4198  P.R. No. : 2020 – 05 - 1909 P.R. Date: 06 – 05 – 2020 REQUEST FOR QUOTATION Please quote your lowest price on the item/s listed below, subject to the General Conditions below, stating th</t>
  </si>
  <si>
    <t xml:space="preserve"> PR#	2020-06-0298 RPAO	 360	piece	Environment Month Polo Shirt	 180,000.00 	 		Color: Daffodil yellow on oxford blue		 		cloth: Cotton		 				 		See attached Sample		 				 				 				 				 				 		ALL ENTRIES SHOULD BE TYPEWRITTEN / LEGIBLY WRITTEN		 REQUIREME</t>
  </si>
  <si>
    <t xml:space="preserve"> REQUEST  FOR  QUOTATION RFQ NO. 2020-06-10-(8071) 								   		PR No. 2020-381 									    		                   June 15, 2020        Date Company Name:	__________________________________________ Address		:	__________________________________________ Pleas</t>
  </si>
  <si>
    <t xml:space="preserve"> Contract ID:	20GFH0012 Contract Name:	SUPPLY AND DELIVERY OF SPARE PARTS FOR USE IN THE REPLACEMENT OF WORN-OUT PARTS OF SERVICE VEHICLE ASSIGNED  IN THE DPWH-PLANNING &amp; DESIGN SECTION, VIRAC, CATANDUANES (PR#20-05-021 DATED 5/26/2020) Contract Location:	</t>
  </si>
  <si>
    <t xml:space="preserve"> INVITATION TO BID Date: June 22, 2020 1.	The Provincial Government of Davao del Sur, through its Bids and Awards Committee (BAC), invites all potential bidders/suppliers to apply to bid for the following goods. Bids received in excess of the ABC shall be </t>
  </si>
  <si>
    <t xml:space="preserve"> Plastic Union Coupling 2" Dia NLC 100 pcs General Conditions: 1.     Bidders must secure a copy of the original Request for Quotation at the La Trinidad Water District Office from the BAC Secretariat during office hours and to be submitted through postal/</t>
  </si>
  <si>
    <t xml:space="preserve"> 50 rms A4 book paper s.20 50 pcs Correction tape 200 pcs File Folder 14 pts 250 pcs File Folder 14 pts 20 cart HP 704 blk 20 cart HP 704 colored  20 bks 500 pp Record Book 40 Epson L850 10blk/10m/10c/10y</t>
  </si>
  <si>
    <t xml:space="preserve"> Supply and delivery of 5000 pieces of 60 ml Isopropyl alcohol and 5000 pieces washable face mask</t>
  </si>
  <si>
    <t xml:space="preserve"> PURPOSE: FOR MAINTENANCE USE OF BOILER 2. (DELIVERY DATE: SEPT. 30, 2020) Fax your Price Quotation at Tel. Fax#: 426-30-45 / 927-64-26 local 2561 or Email at bacveterans@gmail.com. Please indicate the brand name and complete specifications.</t>
  </si>
  <si>
    <t xml:space="preserve"> 30 scks rice 50 kls &amp; 22 Others</t>
  </si>
  <si>
    <t xml:space="preserve"> Republic of the Philippines Province of Compostela Valley Municipality of Monkayo -o0o- INVITATION TO BID FOR THE PROCUREMENT OF FUEL FOR MOBILIZATION OF VARIOUS OFFICES  The Municipality of Monkayo, through the GENERL FUND intends to apply the sum of ONE</t>
  </si>
  <si>
    <t xml:space="preserve"> 1	10	piece	USB, Flash Drive 32 GB	 700.00  2	5	piece	Bolts and Knots 1 ½, 300 pcs/pack	 1,200.00  3	10	piece	Clip Paper, gem type 33 min, 100s/box	 25.00  4	40	piece	Correction Tape 8 m K-508, Non-toxic	 40.00  5	1	piece	Dater January 1, 2020 to December </t>
  </si>
  <si>
    <t xml:space="preserve"> Please download Bidding Documents IB 2020 – 058 Procurement of 528,635 cap. Cefalexin 500mg capsule Bidding Document fee: 5,000.00 The pre - bid conference is open to interested bidders. You may be qualified to submit your bidding documents during the pub</t>
  </si>
  <si>
    <t xml:space="preserve"> Fender Ceft Side Bumper Front Head Light Hood Grill Radiator Fan Condenser Air Conditioning Body Repair and Alignment Painting Electrical</t>
  </si>
  <si>
    <t xml:space="preserve"> Procurement of Tilapia Feeds</t>
  </si>
  <si>
    <t xml:space="preserve"> 2.5 HP Split Type Air-condition with installation</t>
  </si>
  <si>
    <t xml:space="preserve"> The Municipality of Limay, through its Bids and Awards Committee (BAC) invites registered contractors to apply for eligibility and if found eligible, to bid for the hereunder project/contract: Project/Contract:     REHABILITATION OF FENCE (NORTH SIDE) AT </t>
  </si>
  <si>
    <t xml:space="preserve"> CONTRACT ID: 20GL00008; P.R. No. 2020-05-057 DATED 05/26/2020 CONTRACT LOCATION: U.P. MINDANAO MULTI-PURPOSE HUMAN KINETICS BUILDING, BAGO OSHIRO, DAVAO CITY CONTRACT DESCRIPTION: PROCUREMENT OF VARIOUS CONSTRUCTION SUPPLIES &amp; MATERIALS, FOR USE IN THE CO</t>
  </si>
  <si>
    <t xml:space="preserve"> Computer Desktop with complete accessories &amp; printer Computer Desktop Processor: i7-7700 processor, 8M Cache, up to 3.60 GHz RAM: 8.00 GB, DDR4, HDD: 1 TB, OS: Windows 10 Power Supply: 300W Connectivity: HDMI, USB 2.0, USB 3.0,  Card Reader, Wireless Keyb</t>
  </si>
  <si>
    <t xml:space="preserve"> Item	Qty.	Unit of	ITEM  Description No.		Issue	 1	1	unit	RISO Coppier 			300x300 dpi 			297mm x 435mm 			251mm x 357mm 			100mm x 148mm to 297mm x 420mm 			110mm stacking height 			90mm stacking height 			35gsm to 128gsm 			60, 80 and 100 prints per minut</t>
  </si>
  <si>
    <t xml:space="preserve"> City of Guihulngan Bids and Awards Committee  Tel. (035) 410 – 4198  P.R. No. : 2020 – 06 - 1910 P.R. Date: 06 – 05 – 2020 REQUEST FOR QUOTATION Please quote your lowest price on the item/s listed below, subject to the General Conditions below, stating th</t>
  </si>
  <si>
    <t xml:space="preserve"> Procurement of Laptop</t>
  </si>
  <si>
    <t xml:space="preserve"> INVITATION TO BID The Department of Public Works and Highways - Pampanga 1st District Engineering Office, through its Bids and Awards Committee (BAC), invites contractors to submit bids for the following Contract: 1.	 Procurement ID/Contract ID	:	20CG0142</t>
  </si>
  <si>
    <t xml:space="preserve"> NO.	QTY	UNIT	PARTICULARS/DESCRIPTION AND SPECIFICATIONS	APPROVED BUDGET COST	QUOTED PRICE 				UNIT COST	 1	1	lot	Proposed Canopy for COA office and HOME TECH . Building canal trench drain	 180,000.00 	 			Duration  30C.D		 			Contact I.D. SVP -13-20</t>
  </si>
  <si>
    <t xml:space="preserve"> 50 gals. International Orange Paint</t>
  </si>
  <si>
    <t xml:space="preserve"> 50 cu.m. Gravel G3/4		 73 cu.m. Fine Aggregate		 46 drums Asphalt Cement Penetration Grade 60/70		 10 drums Asphalt Emulsified Cationic SS1</t>
  </si>
  <si>
    <t xml:space="preserve"> SIR/MADAM:						           Please quote your price of item/s listed below as per specifications, stating the shortest time of delivery. Submit your quotation duly signed by you or your representative to the Bids and Awards Committee not later than  9:00 A</t>
  </si>
  <si>
    <t xml:space="preserve"> 1. 60 bdft. -	10 PCS.  2”X3”x12’ Coco Lumber 2. 1 Roll-	Nylon #16 3. 5 mtrs. -	Transparent Hose Size 5/16 4. 2 kgs. -	# 4 CWN Nails 5. 5 kgs. -	# 3 CWN Nails 6. 1kgs. - # 2 CWN Nails 7. 30 bags-	Portland Cement 8. 4sht- 	¼ thk 4x8 Ordinary Plywood 9. 120 </t>
  </si>
  <si>
    <t xml:space="preserve"> Republic of the Philippines								 CARLOS HILADO MEMORIAL STATE COLLEGE								 Talisay City, Negros Occidental								 Telefax: (034) 712-8404 / 495-3767								 bac.sec@chmsc.edu.ph								 								 REQUEST FOR QUOTATION								 								 							Date:  </t>
  </si>
  <si>
    <t xml:space="preserve"> Republic of the Philippines PROVINCE OF ZAMBOANGA DEL SUR Municipality of Dimataling BIDS AND AWARD COMMITTEE Reference Number : PR-139-100-200 Date: May 21, 2020 Project Title/P.R. # : PURCHASE OF IT EQUIPMENTS AND ACCESSORIES Approved Budget of the Cont</t>
  </si>
  <si>
    <t xml:space="preserve"> Republic of the Philippines DEPARTMENT OF PUBLIC WORKS AND HIGHWAYS MOUNTAIN PROVINCE SECOND DISTRICT ENGINEERING OFFICE CORDILLERA ADMINISTRATIVE REGION DENR Compound, Poblacion Paracelis, Mountain Province INVITATION TO BID FOR 20GPM006 - PURCHASE OF CO</t>
  </si>
  <si>
    <t xml:space="preserve"> 1 Lot Supply and Delivery of various sizes of spiral welded pipes BILL OF QUANTITIES A. 8" X 6MM X 6M Spiral Welded Pipes Beveled Ends : 30 pcs B. 14" X 6MM X 6M Spiral Welded Pipes Beveled Ends : 2 pcs General Conditions: 1.     Bidders must secure a cop</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</si>
  <si>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</si>
  <si>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REQUEST FOR QUOTATION (RFQ) 	The PHILIPPINE PORTS AUTHORITY (PPA), PMO-Surigao, through its Bids and Awards Committee (BAC)-Infra &amp; GOODS, hereby notifies entities duly registered with the Philippine Government Electronic Procurement System (PhilGEPS) to </t>
  </si>
  <si>
    <t xml:space="preserve"> 1 unit FP-53CFV036308 3 TR Inverter with Installation (Slimpac Services, R410A Refrigerant)</t>
  </si>
  <si>
    <t xml:space="preserve"> 70,000 PCS ASCOBIC ACID 2400 PCS ANTI BACTERIAL SOAP</t>
  </si>
  <si>
    <t xml:space="preserve"> Powder Soap 1 kg	6	case Laundry Soap 400g	12	case Bath Soap 100g	6	case Baby Bath Soap 100g	1	case Shampoo 200ml	6	case Toothpaste 190g	120	pcs Tawas Powder 50g	80	pcs Adult Toothbrush	60	pcs Children Toothbrush	30	pcs Powder 50g	60	pcs Lotion 200ml	30	bo</t>
  </si>
  <si>
    <t xml:space="preserve"> INVITATION TO BID CONTRACT ID: 20-06-088 Contract Name: PROCUREMENT OF VARIOUS DRUGS AND MEDICINES Approved Budget for the Contract (ABC) : Php 578,003.00 Cost of Bidding Document: 500.00 1. The DOH-Zamboanga Peninsula - Center for Health Development , th</t>
  </si>
  <si>
    <t xml:space="preserve"> Signage Faces		 8 pcs. R6-8 - REGULATORY SIGN		 High Intensity Aluminum Composite 4mm thk.		 (750 mm dia.) "PEDESTRIAN CROSSING"		 Black symbol and border on retro-reflective fluorescent 		 yellow-green background (See Plan)		 		 6 pcs. R6-9 - REGULATORY </t>
  </si>
  <si>
    <t xml:space="preserve"> 60 BTLS AIR Freshener  Aerosol 280ml &amp; 24 Others</t>
  </si>
  <si>
    <t xml:space="preserve"> Invitation to Bid for the repair &amp; maintenance of various service vehicles of Batangas City Government</t>
  </si>
  <si>
    <t xml:space="preserve"> 8 Liters Engine Oil 1 piece Oil Filter 1 piece DP Gasket 1 Liter Engine Flushing 1 Liter Engine Treatment 1 piece Injector Cleaner 1 piece Ethanol Drier 1 piece Air Filter 1 piece Air Refiner 1 piece Brake Cleaner 1 piece Wurth Washer 1 piece Fuel Filter </t>
  </si>
  <si>
    <t xml:space="preserve"> 20-10156</t>
  </si>
  <si>
    <t xml:space="preserve"> Hiring of Services of the Following Professionals: One (1) Licensed Structural Engineer, Two (2) Licensed Civil Engineer, and Electrical Engineer for the preparation of and signing of plans/drawings and detailed cost estimate only for the following projec</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</si>
  <si>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</si>
  <si>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Isosorbide-Dinitrate 5mg Sublingual Requirements for Drugs and Medicines: **Drugs with history of usage from VMMC (Requirements No. 1-5 only) ** **For Innovators (Requirements No. 1-4 only) ** 1. CPR 2. CGMP 3. LTO 4. CERTIFICATE OF DISTRIBUTOSHIP 5. CERT</t>
  </si>
  <si>
    <t xml:space="preserve"> Republic of the Philippines																		 Province of Bohol																		 Municipality of Buenavista																		 																		 Barangay Bonotbonot																		 INVITATION TO APPLY FOR ELIGIBILITY AND TO BID																		 						</t>
  </si>
  <si>
    <t xml:space="preserve"> Contract ID:	20GFH0013 Contract Name:	SUPPLY AND DELIVERY OF LUBRICANTS &amp; SPARE PARTS/MAINTENANCE OF SPARE PARTS FOR USE IN THE OPERATION OF ISUZU DMAX H1-5515, L300 VAN HI-6548, TOYOTA HI-LUX (POA 217) AND TOYOTA HI-LUX (PON 974) ASSIGNED IN CONSTRUCTION</t>
  </si>
  <si>
    <t xml:space="preserve"> Allocate much cheaper cost of items</t>
  </si>
  <si>
    <t xml:space="preserve"> Republic of the Philippines Province of Compostela Valley Municipality of Monkayo -o0o- INVITATION TO BID FOR THE PROCUREMENT OF MATERIALS FOR PUBLIC BUILDING MAINTENANCE  The Municipality of Monkayo, through the GENERL FUND intends to apply the sum of TH</t>
  </si>
  <si>
    <t xml:space="preserve"> Supply and Delivery of Agricultural Supplies of SDSSU San Miguel Campus Please see attached Request for Quotation (RFQ) Lot A-P 83,120.00 Lot B-P   8,200.00 Lot C-P 69,400.00</t>
  </si>
  <si>
    <t xml:space="preserve"> Standard Form No. 60						 Revised on May 24, 2004						 REQUEST FOR QUOTATION						 Provincial Government of Romblon						 						 				Date:      June 23, 2020		 				Quotation No.:    553		 						 To Our Valued Suppliers:						 						 	Please quote your l</t>
  </si>
  <si>
    <t xml:space="preserve"> Republic of the Philippines Province of Surigao del Sur MUNICIPALITY OF BAROBO INVITATION TO BID The Municipality of Barobo, through its Bids and Awards Committee (BAC), invites suppliers/bidders to Bid for the Supply and Delivery of  Construction Materia</t>
  </si>
  <si>
    <t xml:space="preserve"> Face Masks Cotton Roll Sign Pen Tissue 10 rolls/pack</t>
  </si>
  <si>
    <t xml:space="preserve"> LGU - Magsingal, Ilocos Sur			Project Reference Number 						Procurement of Materials for the Construction of Labut Footbridge leading to Farmlands	                                                         Magsingal, Ilocos Sur 					   Standard Form Number</t>
  </si>
  <si>
    <t xml:space="preserve"> Republic of the Philippines  Province of Samar Municipality of Jiabong Invitation to Bid  Emergency Purchase in Response to Covid19 Mayor’s Office Jiab-2020-41A The Municipal Government of Jiabong, Samar, through LGU OF JIABONG   intends to apply the sum </t>
  </si>
  <si>
    <t xml:space="preserve"> Materials for the Extension of H.E. Room as Stock Room</t>
  </si>
  <si>
    <t xml:space="preserve"> Item No.	Description	Unit	Quantity 1	Continuous Ink System Printer	Set	1 	   -Auto duplex printing		 	   -Wifi and Wifi direct		 	   -Borderless printing up to A4 size		 	   -Automatic 2sided printing (up to A4)		 	   -W/ SD Card, Memory Stick and USB Slo</t>
  </si>
  <si>
    <t xml:space="preserve"> Supply/Delivery of Surveying Supplies</t>
  </si>
  <si>
    <t xml:space="preserve"> PURCHASE REQUEST								 Municipality of Buenavista								 							 Department:  				PR:	_______________		Date:	 				SAI No.	_______________		Date:	 Section:							Date:	 Item No	Unit	Qty.		Item Description			Estimated	Estimated 							Unit cost	Total cos</t>
  </si>
  <si>
    <t xml:space="preserve"> Standard Form Number: SFGOOD60 Revised on: May 24, 2004 Standard Form Title: Request for Quotation Date: June 22, 2020  Quotation No. 20-06-0346 Purchase Request No. 19-12-2664 __________________________ Company Name ___________________________ Address Pl</t>
  </si>
  <si>
    <t xml:space="preserve"> Contract ID:	20GFH0014 Contract Name:	SUPPLY AND DELIVERY OF TIRES FOR USE IN THE OPERATION OF SERVICE VEHICLE NISSAN NAVARA FI-X700, NISSAN NAVARA FI-X440, ALTERA NJQ-720 AND TOYOTA HI-LUX POA 227, DPWH SAN ISIDRO VILLAGE, VIRAC, CATANDUANES (PR#20-06-03</t>
  </si>
  <si>
    <t xml:space="preserve"> 10 meter Oxygen / acetylene Hose 20 meter Welding cable #50 50 piece Bronze Rod 3 can Borax 2 piece Electrode Holder 300A 2 piece Electrode Holder 500A 4 box Welding Rod (6013) 1/8" (Ordinary) 2 box Welding Rod (7018) 5/32" (Penetration) 2 box Welding Rod</t>
  </si>
  <si>
    <t xml:space="preserve"> REQUEST FOR QUOTATION Date: June 22, 2020							 RFQ No.: 2020 – 101  Name of Company:	________________________________________________________ Office Address:	________________________________________________________			____________________________________</t>
  </si>
  <si>
    <t xml:space="preserve"> 8 BXS Bottled mineral water 350ml 24's &amp; 27 Others</t>
  </si>
  <si>
    <t xml:space="preserve"> HAND TRACTOR AND MULTI THRESHER SEE ATTACHED CANVASS FORM FOR THE DETAILS/REQUIREMENTS PROCUREMENT IS ON A LOT BASIS</t>
  </si>
  <si>
    <t xml:space="preserve"> 5 pcs. oil filter, caterpillar, IR0739 10 pcs. - oil filter, motorcraft, FL-1995 F4TZ-6731-A 12 pcs. - oil filter, motorcraft, FL-2051S BC3Z-6731-B 3 sets - clutch master assembly (Upper - Ford F81Z-7A543-FA tube; Lower - Ford F81Z-7A564-AA cylinder) for </t>
  </si>
  <si>
    <t xml:space="preserve"> I UNIT HEAVY DUTY GENERATOR SPECIFICATIONS: DIESEL 25KVA SUPER SILENT TYPE STANFORD ALTERNATOR SINGLE PHASE WATER COOLED RATED FREQUENCY: 60HZ RATED VOLTAGE: 220V PRIME/SURGE POWER: 18KVA/20KVA ENGINE SPEED: 1800RPM FUEL CONSUMPTION: 240L/H COOLANT CAPACI</t>
  </si>
  <si>
    <t xml:space="preserve"> 1 set 8 seaters dining table 10 pcs wooden chair</t>
  </si>
  <si>
    <t xml:space="preserve"> Signage Faces		 2 pcs. R6-8 - REGULATORY SIGN		 High Intensity Aluminum Composite 4mm thk.		 (750 mm dia.) "PEDESTRIAN CROSSING"		 Black symbol and border on retro-reflective fluorescent 		 yellow-green background (See Plan)		 		 4 pcs. R6-9 - REGULATORY </t>
  </si>
  <si>
    <t xml:space="preserve"> NO.	ITEM DESCRIPTION(ITEM NAME &amp; TECHNICAL SPECIFICATIONS)	QTY.	UNIT		 1	Computer Desktop (i3 processor 4gb memory 1tb hdd 23” monitor Keyboard, mouse with Microsoft office installed	1	set	 		Note: Delivery to the Project Site</t>
  </si>
  <si>
    <t xml:space="preserve"> Republic of the Philippines DEPARTMENT OF PUBLIC WORKS AND HIGHWAYS LAGUNA I  DISTRICT ENGINEERING OFFICE REGIONAL OFFICE NO. IV-A Santa Cruz, Laguna 									June 22, 2020 NOTICE OF PROCUREMENT THROUGH ALTERNATIVE METHOD 	Notice is given that the DPWH-La</t>
  </si>
  <si>
    <t xml:space="preserve"> 50 pcs. Rubber Cone (Orange Color) 10 pcs. Plastic Barrier</t>
  </si>
  <si>
    <t xml:space="preserve"> San Roque CES-Offices Supplies and Devices</t>
  </si>
  <si>
    <t xml:space="preserve"> Executive Office Table				1	piece 160 x 80 cm, Solid Wood, Chocolate Cbrown Finish, with glass					 on the top and with two (2) side drawers and front drawer w/ lock					 Reclining Executive Office Chair				1	piece Open Steel shelf (4 layers)				1	unit La</t>
  </si>
  <si>
    <t xml:space="preserve"> NO.	QTY	UNIT	PARTICULARS/DESCRIPTION AND SPECIFICATIONS	APPROVED BUDGET COST	QUOTED PRICE 				UNIT COST	 1	1	LOT	Construction of 5-storey training laboratory &amp; equipment for HRM (Buksu Hotel ),signed and sealed , mechanical and gas plan	 130,000.00 	 			D</t>
  </si>
  <si>
    <t xml:space="preserve"> 70 pcs Red Lady/sinta papaya 50 pcs Banana Suwi (Asst'd.) 50 pcs Calamansi</t>
  </si>
  <si>
    <t xml:space="preserve"> LGU - Magsingal, Ilocos Sur			   Project Reference Number Procurement of Materials for the Construction of Napo Footbridge Leading to Farmlands		                                                         Magsingal, Ilocos Sur 					   Standard Form Number: S</t>
  </si>
  <si>
    <t xml:space="preserve"> Republic of the Philippines CITY OF MARIKINA SF-GOOD-05 Revised on: July 28, 2004				 													Mkna-GSO-20-280	 	BIDS AND AWARDS COMMITTEE		 NOTICE OF PROPOSED PROCUREMENT The City Government of Marikina, through its Bids and Awards Committee (BAC), w</t>
  </si>
  <si>
    <t xml:space="preserve"> PLEASE SEE ATTACHED FILE OF INVITATION TO BID</t>
  </si>
  <si>
    <t xml:space="preserve"> SOURCE OF FUNDS: ANNUAL BUDGET CY 2020 BIDDING DATE &amp; TIME: JUNE 30, 2020- 12:00 P.M</t>
  </si>
  <si>
    <t xml:space="preserve"> Republic of the Philippines Department of Health Central Luzon Center for Health Development Talavera General Hospital Talavera, Nueva Ecija ISO QMS Certified INVITATION TO BID  Re-Bidding of Supply and Delivery of Various Medical and Hospital Supplies fo</t>
  </si>
  <si>
    <t xml:space="preserve"> INSTALLATION OF ELECTRICAL LINES FOR WATER WORKS SYSTEM AT SITIO CENTRO, BRGY. MAPULO</t>
  </si>
  <si>
    <t xml:space="preserve"> *Wi-Fi Range Extender Dual Band Wi-Fi Simultaneous 450Mbps on 2.4GHz + 1300Mbps on 5GHz RE450 (5 units) *DS-530 A4 Duplex Sheet-Fed Document Scanner, Scan at speeds up to 35ppm/70ipm(one-pass duplex) (2 units) *Network Attached Storage (NAS), 2 drive bays</t>
  </si>
  <si>
    <t xml:space="preserve"> Jute Tagboard- 3,000 kgs. 165 GSM, Size: 8.5” RW</t>
  </si>
  <si>
    <t xml:space="preserve"> Signage Faces		 8 pcs. R6-8 - REGULATORY SIGN		 High Intensity Aluminum Composite 4mm thk.		 (750 mm dia.) "PEDESTRIAN CROSSING"		 Black symbol and border on retro-reflective fluorescent 		 yellow-green background (See Plan)		 		 4 pcs. R6-9 - REGULATORY </t>
  </si>
  <si>
    <t xml:space="preserve"> Province of Bohol Municipality of San Miguel INVITATION TO BID FOR  SUPPLY AND DELIVERY OF DAY CARE PRE-SCHOOLER SUPPLIES  1.	The Local Government Unit of San Miguel, Bohol, through the 7999-46 and 1% Protection for Children intends to apply the sum of Th</t>
  </si>
  <si>
    <t xml:space="preserve"> Republic of the Philippines  Province of Samar Municipality of Jiabong Invitation to Bid  Emergency Purchase in Response to Covid19 Mayor’s Office Jiab-2020-42A The Municipal Government of Jiabong, Samar, through LGU OF JIABONG   intends to apply the sum </t>
  </si>
  <si>
    <t xml:space="preserve"> Please see attached RFQ and Detailed Estimates</t>
  </si>
  <si>
    <t xml:space="preserve"> Please see Invitation to Bid and Bidding Documents attached to Associated Components.O</t>
  </si>
  <si>
    <t xml:space="preserve"> C. Vaccine		 Influenza Vaccine 2020 0.5ml, quadrivalent, single dose vaccine, with needle (Fluarix Tetra)	piece	103</t>
  </si>
  <si>
    <t xml:space="preserve"> The AGRICULTURAL TRAINING INSTITUTE-REGIONAL TRAINING CENTER (ATI-RTC) X, through the 2020 General Appropriations Act intends to apply the sum of Twenty Five Thousand Pesos (P 25,000.00) being the Approved Budget for the Contract (ABC) to payments under t</t>
  </si>
  <si>
    <t xml:space="preserve"> 250 pcs monobloc chairs</t>
  </si>
  <si>
    <t xml:space="preserve"> Purpose: Training on Vegetable Production/Cash Crop Production at Buug, Zamboanga Sibugay We are looking for a supplier that can provide the herein stated articles. Please quote at your government price/s, taxes included, and such terms and conditions tha</t>
  </si>
  <si>
    <t xml:space="preserve"> Office Tables				                        2	pcs Solid Wood, Chocolate Brown finish, 24" x 42" with two (2) side					 drawers and front drawer with lock					 Office Chairs				                       2	pcs Foldable heavy duty chair				       10	pcs</t>
  </si>
  <si>
    <t xml:space="preserve"> REQUEST FOR QUOTATION Date: June 22, 2020 RFQ No.: 2020 – 102 Name of Company:	________________________________________________________ Office Address:	________________________________________________________			____________________________________________</t>
  </si>
  <si>
    <t xml:space="preserve"> Barangay Ibayo Tipas through its Bid and Awards Committee (BAC) invites Contractors to bid for the hereunder project: Prospective bidders should have undertaken a similar project within one year (1) from the date of bidding and accredited. Bidding will be</t>
  </si>
  <si>
    <t xml:space="preserve"> Amoxicillin 500mg (as Trihydrate) Requirements for Drugs and Medicines: **Drugs with history of usage from VMMC (Requirements No. 1-5 only) ** **For Innovators (Requirements No. 1-4 only) ** 1. CPR 2. CGMP 3. LTO 4. CERTIFICATE OF DISTRIBUTOSHIP 5. CERTIF</t>
  </si>
  <si>
    <t xml:space="preserve"> Item No.	Description	Unit	Quantity 1	Network Cabinet 6U	Unit	3 	   Height: 16.6”/345mm		 	   Weight: 250lbs		 	   Width: 23.5 (597mm)		 	   Usable Depth: 21.5 (57mm)		 	   Rail: 19” EIA		 	   Sides: Solid		 	   Wall Mounted		 2	24ports Gigabit Switch Hub </t>
  </si>
  <si>
    <t xml:space="preserve"> Procurement of Ceftriaxone 1g+10ml diluent 5000 vials</t>
  </si>
  <si>
    <t xml:space="preserve"> LGU - Magsingal, Ilocos Sur		Project Reference Number 					Procurement of Materials for the	 					Improvement/Rehabilitation of Sta. Monica Farmer’s Multi-Purpose Hall				                	Sta Monica,Magsingal, Ilocos Sur 					   Standard Form Number: SF-G</t>
  </si>
  <si>
    <t xml:space="preserve"> PURPOSE: FOR MAINTENANCE USE OF ELECTRICAL UNIT. (RE-PR) Fax your Price Quotation at Tel. Fax#: 426-30-45 / 927-64-26 local 2561 or Email at bacveterans@gmail.com. Please indicate the brand name and complete specifications.</t>
  </si>
  <si>
    <t xml:space="preserve"> Purchase of CCTV Equipments and Its Accessories.</t>
  </si>
  <si>
    <t xml:space="preserve"> 5 units toner 2 units drum 2 units developer 2 units blade 1 unit upper heat roller</t>
  </si>
  <si>
    <t xml:space="preserve"> INVITATION TO NEGOTIATED FOR THE  Supply &amp; Delivery of Trash Racks and Intake Gates for Gandiangan SIP IMELDA, ZAMBOANGA SIBUGAY 1.	The National Irrigation Administration – Zamboanga Sibugay Irrigation Management Office, Region 9, through the CARP-IC inte</t>
  </si>
  <si>
    <t xml:space="preserve"> SUPPLIES</t>
  </si>
  <si>
    <t xml:space="preserve"> Republic of the Philippines  Province of Samar Municipality of Jiabong Invitation to Bid  Emergency Purchase in Response to Covid19 MDRRM Office Jiab-2020-40A The Municipal Government of Jiabong, Samar, through LGU OF JIABONG   intends to apply the sum of</t>
  </si>
  <si>
    <t xml:space="preserve"> 1	unit	50 KVA Transformer 1	unit	Current Transformer, 600 V: Acc.,Class 0.3 1	unit	KV2C FM 3S Class 20 1	unit	Meter Base Class 20 - 7500 (5 Jaws, 1" Ø HUB) 30	mtrs.	# 3.5mm THHN Wire 6	pcs.	32mmØ PVC Male Adapter 3	pcs.	32mmØ x 3.0m Electrical Conduit 6	p</t>
  </si>
  <si>
    <t xml:space="preserve"> REQUEST FOR QUOTATION Date: June 22, 2020 RFQ No.: 2020 – 103 Name of Company:	________________________________________________________ Office Address:	________________________________________________________			____________________________________________</t>
  </si>
  <si>
    <t xml:space="preserve"> *FOR 01 JULY to 31 DECEMBER 2020 SUBSCRIPTION Please see attached Terms of Reference in the Associated Components Please email price quotations to beth.pascual@pms.gov.ph *For any inquiries, please look for Ms. Elizabeth Pascual. Telefax : 8733 4861/71 Su</t>
  </si>
  <si>
    <t xml:space="preserve"> 1	Water Dispenser				1	unit 2	Punch &amp; Binding Machine 24 Holes				1	unit 3	A5 Paper Photo Cutting machine Trimmer				1	unit 4	Branded Portable High Power Audio System with microphone				1	unit 	(CD,USB,Audio In,Bluetooth,Microphone Input,Handle for safe		</t>
  </si>
  <si>
    <t xml:space="preserve"> 20-10112</t>
  </si>
  <si>
    <t xml:space="preserve"> INVITATION TO BID CONSTRUCTION OF VARIOUS INFRASTRUCTURE PROJECTS FOR THE CITY OF NAVOTAS UNDER OTHER INFRASTRUCTURE ASSETS The City Government of Navotas, through its Bids and Awards Committee, will hold a Public Bidding for the CONSTRUCTION OF VARIOUS I</t>
  </si>
  <si>
    <t xml:space="preserve"> ITEM 	ITEM &amp;  DESCRIPTION	QUANTITY NO.		 1	Portland Cement	155 bags 2	Sand	11 cu.m. 3	Gravel	13 cu.m. 4	4"x8"x16" CHB	396 pcs. 5	10mmØ RSB	220 pcs. 6	12mm x 6.0 m Ø RSB	32 pcs. 7	1/2"x4'x8' Marine Plywood	3 pcs. 8	#16 Tie Wire	24 kgs. 9	2"x4"x8' Good Lumb</t>
  </si>
  <si>
    <t xml:space="preserve"> Republic of the Philippines Province of Aurora MUNICIPALITY OF BALER BIDS AND AWARDS COMMITTEE June 22, 2020 Invitation to Bid for PURCHASE OF MOBILE CLINIC MUNICIPAL GOVERNMENT OF BALER BALER, AURORA 1.	The Municipal Government of Baler, through its 20% </t>
  </si>
  <si>
    <t xml:space="preserve"> Please see attached Bidding Documents in the Associated Components. Thank you very much</t>
  </si>
  <si>
    <t xml:space="preserve"> REQUEST FOR EXPRESSION OF INTEREST FOR THE CONDUCT  OF SURFACE AND SUBSURFACE GEOLOGICAL AND GEOTECHNICAL INVESTIGATION OF  OCAMPO  SRIP (REBID), OCAMPO, CAMARINES SUR 1.	 The National Irrigation Administration RO V, Naga City, through the GAA/FSDE CY 201</t>
  </si>
  <si>
    <t xml:space="preserve"> For: SDLG, Road Grader		 1 pc. Oil Filter, Spin-On (Genuine Parts)		 2 pcs. Fuel Filer (Genuine Parts)		 1 pc. Fuel Filter, FWS (Genuine Parts)		 1 pc. Filter Insert (Genuine Parts)		 1 pc. Air Filter Insert (Genuine Parts)		 1 pc. Hydraulic Filter (Genui</t>
  </si>
  <si>
    <t xml:space="preserve"> DELA COSTA HOMES III BRGY. GRACEVILLE CSJDM, BULACAN</t>
  </si>
  <si>
    <t xml:space="preserve"> 720 pcs Amakan  500 pcs Nipa Purpose: intended for the rehabilitation of camp facilities of 75IB and 4th infantry Division ABC: Php 112,000.00 Bid Opening: June 29, 2020 @ 9:00 AM New Municipal Building - BAC Office Poblacion, Rosario, Agusan del Sur Fund</t>
  </si>
  <si>
    <t xml:space="preserve"> REPUBLIC OF THE PHILIPPINES																																							 Province of Davao del Sur																																							 MUNICIPALITY OF SANTA CRUZ																																							 -- oOo --																																							 								</t>
  </si>
  <si>
    <t xml:space="preserve"> IN FRONT OF GRACEVILLE ELEMENTARY SCHOOL ZONE V BRGY. GRACEVILLE CSJDM, BULACAN</t>
  </si>
  <si>
    <t xml:space="preserve"> Republic of the Philippines Province of Compostela Valley Municipality of Monkayo -o0o- INVITATION TO BID FOR THE PROCUREMENT OF IT EQUIPMENT  The Municipality of Monkayo, through the GENERL FUND intends to apply the sum of TWO HUNDRED THOUSAND PESOS ONLY</t>
  </si>
  <si>
    <t xml:space="preserve"> 1 box general biochemistry 1 box renal panel 1 box metabolic panel</t>
  </si>
  <si>
    <t xml:space="preserve"> ITEM NO. 1 Diesel 10,000 ltrs 2 Multi grade SAE 15w40 API CI-4 100 ltrs 3 TGMG GL-4n75W-90 20 ltrs 4 TGFS Sn/CF 5W-30 4L 20 ltrs 5 Break Fluid 20 ltrs 6 ATF 20 ltrs 7 Grease 20 ltrs 8 WD-40 191ml/155g 100 pcs 9 USA, Fully Synthetic Oil 20 ltrs 10 Colant 4</t>
  </si>
  <si>
    <t xml:space="preserve"> ITEM NO - QUANTITY - UNIT OF ISSUE - ITEM DESCRIPTION - ESTIMATED UNIT COST - ESTIMATED COST 1 - 144 - bottles - amoxicillin 125mg/5l 60ml - 32.00 - 4,608.00 2 - 144 - bottles - amoxicillin 100mg/ml drops - 30.00 - 4,320.00 3 - 144 - bottles - diphenhydra</t>
  </si>
  <si>
    <t xml:space="preserve"> Notice is hereby given that this Office will conduct SMALL VALUE PROCUREMENT as an alternative mode of procurement in accordance with Section 53.9 of the Revised Implementing Rules and Regulations of RA 9184.  Suppliers of known qualification and of good </t>
  </si>
  <si>
    <t xml:space="preserve"> 1 piece Clutch Master cylinder Assy. 1 piece Secondary Clutch Assy. 3 Liter Brake Fluid (DOT3) 3 kilo Freon 134A 1 piece Oil Filter HDT000257 6 Liters Engine Oil 20W50 3 piece Oil Filter F00339 2 Piece Turning Mounted Oil Filter Cartridge F00042</t>
  </si>
  <si>
    <t xml:space="preserve"> Republic of the Philippines										 Province of Misamis Oriental										 CITY OF EL SALVADOR										 										 REQUEST FOR QUOTATION										 								No.	2020-06-601	 										 										 										 	Please quote your price on the item/s listed b</t>
  </si>
  <si>
    <t xml:space="preserve"> INVITATION TO APPLY FOR ELIGIBILITY AND TO BID The Local Government Unit of Dinalungan, through its Municipal Bids and Awards Committee (MBAC) invites Suppliers and Dealers registered to apply for Eligibility. Prospective Bidders should have experienced i</t>
  </si>
  <si>
    <t xml:space="preserve"> Materials essential for the 2nd cropping of rice production this year 2020, such as agricultural chemicals and fertilizers.</t>
  </si>
  <si>
    <t xml:space="preserve"> INVITATION TO BID FOR THE  Supply &amp; Delivery of  Construction Equipment for   Sibuguey Valley Irrigation System BAYOG, ZAMBOANGA DEL SUR 1.	The National Irrigation Administration – Zamboanga Sibugay Irrigation Management Office, Region 9, through the RREN</t>
  </si>
  <si>
    <t xml:space="preserve"> Purchase of Medicines</t>
  </si>
  <si>
    <t xml:space="preserve"> 1.	The Local Government Unit (LGU) of Aroroy, through its Annual Budget 2020 to apply the sum of Php 499,715.00 being the Approved Budget for the Contract (ABC) to payments under the contract for Supply and Delivery of Construction Materials for BDSIP. Bi</t>
  </si>
  <si>
    <t xml:space="preserve"> Section I Republic of the Philippines Province of Sarangani Municipality of Maitum OFFICE OF BIDS AND AWARDS COMMITTEE Invitation to Bid for Vehicle Spareparts /Repair and Maintenance 1. The Local Government of Maitum, through the POP intends to apply the</t>
  </si>
  <si>
    <t xml:space="preserve"> OFFICE SUPPLIES MUST BE AT GOOD QUALITY</t>
  </si>
  <si>
    <t xml:space="preserve"> Purchase of 25 units of Alcohol Dispenser ABC: Php 70,000.00</t>
  </si>
  <si>
    <t xml:space="preserve"> ALBAY 3RD DISTRICT ENGINEERING OFFICE																										 Paulog, Ligao City																										 																										 																										 INVITATION TO BID																										 																										 																					</t>
  </si>
  <si>
    <t xml:space="preserve"> 14 Units LAPTOP, INTEL CORE i5-7200 to be used for full Implementation of Basic Education for DEPED Rizal Binangonan Sub-Office</t>
  </si>
  <si>
    <t xml:space="preserve"> VILLA SAN JOSE BRGY. GRACEVILLE, CSJDM, BULACAN</t>
  </si>
  <si>
    <t xml:space="preserve"> 1.	The Local Government Unit of Aroroy, through its Annual Budget (20% DF)  intends to apply the sum of Php 500,000.00 being the Approved Budget for the Contract (ABC) to payments under the contract for Expansion of Pier at Brgy. Amotag.  Bids received in</t>
  </si>
  <si>
    <t xml:space="preserve"> Supply and Delivery of Office Equipment (Lot I), Fuel (lot II), Various Supplies (Lot III and Motor Parts (Lot IV) for the use of Sports Office, Brooke’s Point, Palawan. Lot I- Office Equipment – 61,000.00 Lot II- Fuel – 7,340.00 Lot III- Various Material</t>
  </si>
  <si>
    <t xml:space="preserve"> 1 set CCTV system - 6 cameras HDCVI 1080p 1 unit 24" LED TV 2 sets CCTV System - 16 cameras HDCVI - 1080p 1 unit 40" LED TV</t>
  </si>
  <si>
    <t xml:space="preserve"> Purchase of Spare parts and motor vehicles.</t>
  </si>
  <si>
    <t xml:space="preserve"> Supply and Delivery of Office Equipment for the use of District Supervisor and District Office, Brooke’s Point, Palawan.</t>
  </si>
  <si>
    <t xml:space="preserve"> PHIVIDEC INDUSTRIAL AUTHORITY MCT Complex, Tagoloan, Mis. Oriental Tel Nos: (088) 5670-315 local 301 or Cell No. 0906-505-6204 email add: procurement@piamo.gov.ph or pia.bacsec@gmail.com PROCUREMENT MODE: SVP Standard Form Number: SF-GOOD-60 Revised on: O</t>
  </si>
  <si>
    <t xml:space="preserve"> Purchase of Equipment for Use in Ajuy Rural Health Unit</t>
  </si>
  <si>
    <t xml:space="preserve"> The Municipality of Bindoy thru the Disaster Risk Reduction Management Office will purchase 2 UNITS;  Drum Type; 16 klg; Automatic WASHING MACHINE FOR QUARANTINE FACILITY USE in this COVID19 pandemic.</t>
  </si>
  <si>
    <t xml:space="preserve"> 20-10107</t>
  </si>
  <si>
    <t xml:space="preserve"> RFQ</t>
  </si>
  <si>
    <t xml:space="preserve"> Construction/Rehabilitation of Water Supply/Septage and Sewerage/Rain Water Collectors include Earthworks; Plain and Reinforced Concrete Work; Finishings and Other Civil Works; and Mechanical.</t>
  </si>
  <si>
    <t xml:space="preserve"> Knapsack Sprayer for OA Program Extension Support 69 pcs Knapsack Sprayer, 16L **Please see an attached document in ASSOCIATED COMPONENTS for the RFQ</t>
  </si>
  <si>
    <t xml:space="preserve"> Procurement of Camera (24.2 Megapixel CMOS Sensor, 19 point all cross-type AF, Hybrid CMOS AF III, Wi-fi and NFC Supported and touchscreen LCD panel)</t>
  </si>
  <si>
    <t xml:space="preserve"> 6 bx Bottled mineral water 500ml 24's &amp; 14 Others</t>
  </si>
  <si>
    <t xml:space="preserve"> Procurement of Construction Supplies</t>
  </si>
  <si>
    <t xml:space="preserve"> Republic of the Philippines Province of Davao de Oro Municipality of Monkayo -o0o- INVITATION TO BID FOR THE PROCUREMENT OF LABOR &amp; MATERIALS FOR THE PROJECT OF CONSTRUCTION FOR KABANGKALAN ELEM. SCHOOL MULTI-PURPOSE HALL, LOCATED @ SCHOOL SITE, KABANGKAL</t>
  </si>
  <si>
    <t xml:space="preserve"> 1.	The Local Government Unit of Aroroy, through its Annual Budget (MDRRMF) intends to apply the sum of Php 1,000,000.00 being the Approved Budget for the Contract (ABC) to payments under the contract for Riprapping of Ambolong Creek.  Bids received in exc</t>
  </si>
  <si>
    <t xml:space="preserve"> Purpose:</t>
  </si>
  <si>
    <t xml:space="preserve"> for stock pile</t>
  </si>
  <si>
    <t xml:space="preserve"> Republic of the Philippines					 Province of Albay					 Municipality of Bacacay					 Tel.No.(052)558-32-43					 					 BIDS AND AWARDS COMMITTEE	 				 				Date     :	June 22, 2020 				Quotation No.	10020060033 ____________________________					 ____________</t>
  </si>
  <si>
    <t xml:space="preserve"> Request for Quotation: # 2006-579  1. 165 pcs. Polo Shirts with print</t>
  </si>
  <si>
    <t xml:space="preserve"> Complete Construction of (9.50m x 23.00m) Two Storey; Four Classroom School Building mostly built with concrete and masonry, with PWD ramp with handrails, parapet wall on concrete gutter and complete electrical works, sanitary/plumbing works, ventilation,</t>
  </si>
  <si>
    <t xml:space="preserve"> INVITATION TO REBID FOR THE PROCUREMENT OF SUPPLY &amp; DELIVERY OF VARIOUS FERTILIZERS      1.	The Department of Agriculture Regional Field Office 6 through the General Appropriations Act (GAA) of 2020 intends to apply the sum of Eight Million Nine Hundred T</t>
  </si>
  <si>
    <t xml:space="preserve"> Purchase of CCTV Cameras and Other Peripherals for Updating of CCTV System</t>
  </si>
  <si>
    <t xml:space="preserve"> Please quote your best price 30 pcs of CPR Pocket Mask Resuscitator ABC: 30,000.00 Specifications: Resuscitation Face Shield Individually and Hygienically packed Shield Size: 325 mm x 190mm Filter Diameter: 35mm Please email your quotation  Please downloa</t>
  </si>
  <si>
    <t xml:space="preserve"> 4 piece 1" x 2" x 8' S4S 3 pcs. 1" x 4" x 10' S4S 3 pcs. 2" x 2" x 8' S4S 2 pcs. 2" x 4" x 10' S4S 1 pcs. 2" x 3" x 10' S4S 1 pcs. 2" x 2" x 10' S4S 4 pcs. Marine plywood 1/4 2 kl. CW Nail 2" 1 kl. CW Nail 1" 1/2 Kl CW Nail 3" 4 set Locket 1 pail Gloss La</t>
  </si>
  <si>
    <t xml:space="preserve"> 24 btls Insecticide spray aerosol 600ml &amp; 26 Other</t>
  </si>
  <si>
    <t xml:space="preserve"> The Subic Bay Metropolitan Authority, through the Corporate Budget for the contract approved by the governing board for 2020 intends to apply the sum of Seventy Million Pesos (PHP 70,000,000.00) VAT Exclusive being the Approved Budget for the Contract (AB</t>
  </si>
  <si>
    <t xml:space="preserve"> INVITATION TO BID FOR  Supply and Delivery of Laptops to be Used by  Department of Education 1.	The City Government of Lipa, through the Special Education Fund (SEF) of 2020 intends to apply the sum of   One Hundred Fifteen Million Eight Hundred Thousand </t>
  </si>
  <si>
    <t xml:space="preserve"> INVITATION TO BID FOR THE      Procurement of Fuel   1.	The Municipality of Alabel, through the Annual Budget  for CY 2020  intends to apply the sum of:    Lot No.  	Description 	 	                          ABC 	         	Name/no. of contract    I. Fuel  </t>
  </si>
  <si>
    <t xml:space="preserve"> Agricultural Products for OA Program Extension Support 105 pcs Seedling Tray 105 container Molasses 25 pcs Polyethylene Bag (Pots), Large 34 pcs Plastic Mulch (Mulching) **Please see an attached document in ASSOCIATED COMPONENTS for the RFQ</t>
  </si>
  <si>
    <t xml:space="preserve"> 1.The Brgy.  Buenavista, through the LGSF-DBM intends to apply the sum of One Million Pesos Only (P1,000,000.00) being the Approved Budget for the Contract (ABC) to payments under the contract for Construction of Seawall. Bids received in excess of the AB</t>
  </si>
  <si>
    <t xml:space="preserve"> 1	Life jacket				50	Pcs 2	Crown SR-966				1	Unit 3	12v LED night fishing light				1	Pc 4	Navigation light, stainless steel				2	Pcs 5	Rechargeable aluminum waterproof flashlight				3	Pcs 6	Baong UV-5R portable two way handheld radio				4	Units 7	Compass		</t>
  </si>
  <si>
    <t xml:space="preserve"> Computer Ink EPSON T664 black Computer Ink EPSON T664 Magenta Computer Ink EPSON T664 cyan Computer Ink EPSON T664 yellow</t>
  </si>
  <si>
    <t xml:space="preserve"> Premium Latex Examination Gloves (Small) Premium Latex Examination Gloves (Medium) Sterile Gloves (Size 7) Surgical Mask (Earloop) Tuberculin Syringe (1cc) Syringe (3cc) D5LR 1 Liter Lidocaine 2% (20mg/ml) - 50ml Isoprophyl Alcohol, 70% (500ml/bottle) Amo</t>
  </si>
  <si>
    <t xml:space="preserve"> 4 bxs pineapple juice in can 240ml 24's &amp; 14 Others</t>
  </si>
  <si>
    <t xml:space="preserve"> ALBAY 3RD DISTRICT ENGINEERING OFFICE																										 Paulog, Ligao City																										 																										 																										 INVITATION TO BID																										 																										 The DPWH - Albay 3rd </t>
  </si>
  <si>
    <t xml:space="preserve"> 1	set	24- xa  0002D 23.8 - inch Full HD, Touch Intel Core 		 		i7 8th Gen w/ 2GB MX 130		 		Specification:		 		Processor: Intel Core-i7-8700T (2.4 Ghz, 6 core)		 		Chipset: H370		 		Memory: 8GB DDR4-2400 SDRAM (1x8GB)		 		Hard Drive: 1 TB 7200 rpm SATA		 </t>
  </si>
  <si>
    <t xml:space="preserve"> 50	Piece	No more nails -Adhesive (Cement), ABC 100.00/pc 300	Piece	Flourescent Tube - 40W, ABC 80.00/pc 800	Piece	LED Bulb - 11W,E27,6500K W, 60mm x 120mm,120-240V, ABC 400.00/pc 50	Piece	High Power Bulb - 40W, ABC 1,200.00/pc 300	Piece	16A Duplex 3pin Un</t>
  </si>
  <si>
    <t xml:space="preserve"> 2 bxs noddle in cup 60gms 20's &amp; 23 Others</t>
  </si>
  <si>
    <t xml:space="preserve"> Please quote your lowest price on the Supply, Delivery of Submersible Pump  for San Marcelino Water District, subject to the conditions also listed below, stating the shortest time of delivery and submit your sealed quotation which is duly signed by your </t>
  </si>
  <si>
    <t xml:space="preserve"> 80 Bag, Sabalo Feeds, Php 128,000.00</t>
  </si>
  <si>
    <t xml:space="preserve"> Please refer to the attached Request for Quotation, POW, BOQ and Drawing. Thank you.</t>
  </si>
  <si>
    <t xml:space="preserve"> Interested Suppliers may submit sealed quotations to the General Services Offices, Municipal Compound, Bgy. Poblacion, Narra, Palawan and Addressed to the BAC Chairman through BAC Secretariat.     Deadline of submission Three days starting from the public</t>
  </si>
  <si>
    <t xml:space="preserve"> Request for Quotation RFQ No.		SVP-016-2020 MR No.		11597 Requisition No. 	TSE-2020-036 Posting Date:         	June 23, 2020 Deadline for Submission:		June 29, 2020 at 9:00 AM Opening Date:	June 29, 2020 at 10:00 AM 	 TO:	Name of Supplier:________________</t>
  </si>
  <si>
    <t xml:space="preserve"> General Merchandise as Starter Kits for Corn By-products and Utilization 88 pcs Glue Gun 1600 pcs Glue Stick 410 rolls Ribbon 176 dozens Floral Tapes (White &amp; Green) 264 pcs Dye Color (for Corn Husk Coloring) (Blue, Yellow &amp; Red) **Please see an attached </t>
  </si>
  <si>
    <t xml:space="preserve"> Please submit your quotation in a close and sealed envelop and mail in this address: Agricultural Training Institute Regional Training Center III Gov't Complex, San Ramon, Dinalupihan, Bataan C/O Supply Management Unit. or Email us on atiregion3@yahoo.com</t>
  </si>
  <si>
    <t xml:space="preserve"> REQUEST FOR QUOTATION For Negotiated Procurement thru Small Value Procurement under Sec. 53.9 of the 2016 Revised IRR of RA 9184 Quotation No.:  2020-06-211 Date: June 18, 2020 PR No.: 20-06-222 PR Date: June 15, 2020 The Metropolitan Tuguegarao Water Dis</t>
  </si>
  <si>
    <t xml:space="preserve"> INVITATION TO BID  FOR THE Supply and Delivery of Various Drugs and Medicines I.B. No. 2020 - 0023 							 1. The LGU-Cabanatuan City, through the General Fund FY 2020 intends to apply the sum of One Million One Hundred Thirty-Nine Thousand Six Hundred Th</t>
  </si>
  <si>
    <t xml:space="preserve"> Page 1 of 3 INVITATION TO BID FOR THE REPAIR OF POST-HARVEST FACILITIES BUILDING IN NAVAL, BILIRAN Section I Invitation to Bid Page 2 of 3 INVITATION TO BID FOR THE REPAIR OF POST-HARVEST FACILITIES BUILDING IN NAVAL, BILIRAN Republic of the Philippines N</t>
  </si>
  <si>
    <t xml:space="preserve"> Improvement of Health Center</t>
  </si>
  <si>
    <t xml:space="preserve"> 1	13	sacks	Rice	 				 				 APPROVED BUDGET FOR THE CONTRACT: PHP 28,600.00 LOCATION OF THE CONTRACT: BATARAZA, PALAWAN DURATION OF THE CONTRACT: 7 DAYS SCHEDULE OF ACTIVITIES: POSTING AND ISSUANCE OF BIDS: JUNE 23-25, 2020 PRE-BID CONFERENCE : DEADLINE FO</t>
  </si>
  <si>
    <t xml:space="preserve"> POWER SPRAY CONTAINER EXTERNAL HARD DRIVE EPSON INK 003 BLACK EPSON INK 003 CYAN EPSON INK 003 MAGENTA EPSON INK 003 YELLOW</t>
  </si>
  <si>
    <t xml:space="preserve"> Construction of Don Mariano Perez Irrigation Pipeline System which is general consist of supply and installation of 8,512 meters HDPE pipe SDR 17 and G.I. Pipe Sch. 40 (broken down into 3,530 meters of 50mm nominal dia., 4,602 meters of 32mm no. dia.. and</t>
  </si>
  <si>
    <t xml:space="preserve"> RFQ No. 2020-06-015              REQUEST FOR QUOTATION (Medical Supplies) PR# 2020-06-178 The National Irrigation Administration – Upper Pampanga River Integrated Irrigation Systems (UPRIIS) Main Office hereinafter referred to as the “Purchaser”, through </t>
  </si>
  <si>
    <t xml:space="preserve"> 15   bxs   X-ray Film, 11 x 14, 100's (Green Sensitive) 15   bxs   X-ray Film, 14 x 14, 100's (Green Sensitive) 15   bxs   X-ray Film, 14 x 17, 100's (Green Sensitive) 15   bxs   X-ray Film, 10 x 12, 100's (Green Sensitive) 5     bxs  X-Ray Film Automatic</t>
  </si>
  <si>
    <t xml:space="preserve"> INVITATION TO BID FOR  SUPPLY &amp; DELIVERY OF COMMON USED JANITORIAL SUPPLIES, 1ST QUARTER, CY 2020 The Local Government Unit of Bayombong through the authorized      appropriations under 2018 General Fund  intends to apply the sum of THREE HUNDRED SIXTY FO</t>
  </si>
  <si>
    <t xml:space="preserve"> Removal of Structures and Obstructions  Forms and Scaffolds  Painting Works (Concrete) Painting Works (Metal Painting) Metal Structures</t>
  </si>
  <si>
    <t xml:space="preserve"> Stainless Steel Table for Meat Processing Hub 3 pcs Stainless Steel Table, Size: 2x8 ft. **Please see an attached document in ASSOCIATED COMPONENTS for the RFQ</t>
  </si>
  <si>
    <t xml:space="preserve"> PART A- Installation of lighting		 Amglobe 4"	 30.00 	pcs Receptacle Outlet 2"x2"	 30.00 	pcs LeD bulb 90 Watts	 30.00 	pcs G.I.Pipe 1¼	 15.00 	pcs 2.0mm sq. THW Wire	 300.00 	mts 3.5mm sq. THW Wire	 2,000.00 	mts PVC Pipe 20mm	 320.00 	pcs PVC Solvent 20</t>
  </si>
  <si>
    <t xml:space="preserve"> 1 unit copier 1 unit toner</t>
  </si>
  <si>
    <t xml:space="preserve"> Republic of the Philippines City of Lipa  INVITATION TO BID FOR  Supply and Delivery of Tablets to be Used by Department of Education 1.	The City Government of Lipa, through the Special Education Fund (SEF) of 2020 intends to apply the sum of Twenty-Eight</t>
  </si>
  <si>
    <t xml:space="preserve"> Invitation to Bid for Construction of Drainage Canal  No. 2020-001 1. The Barangay San Juan Accfa, through the Annual Budget 2020(General Fund) Approved by the Sanggunian intends to apply the sum of One Hundred Thirty Thousand Five Hundred Eigthy One Peso</t>
  </si>
  <si>
    <t xml:space="preserve"> INVITATION FOR SUBMISSION OF QUOTATION (SMALL VALUE PROCUREMENT) 	The local Government Unit of Can-avid, through is Bid and Awards Committee (BAC). Invites suppliers to apply for eligibility, to bid for the hereunder contract: Name of Contract:  	Repair /</t>
  </si>
  <si>
    <t xml:space="preserve"> Purchase of Medicines and Medical supplies to be used by Women about to give birth in Ajuy Birthing Center</t>
  </si>
  <si>
    <t xml:space="preserve"> Meat Processing Equipment for Meat Processing Hub 1 unit Meat Slicer 1 unit Sausage/Meat Filling Machine 1 unit Meat Grinder, Stainless Steel *PLEASE REFER TO AN ATTACHED RFQ FOR THE SPECIFICATIONS **Please see an attached document in ASSOCIATED COMPONENT</t>
  </si>
  <si>
    <t xml:space="preserve"> 20 Kilo, Complete fertilizer (14-14-14), PHP 640.00  20 Kilo, Potassium, PHP 1,100.00  20 Kilo, Urea, PHP 400.00  10 Bag, Fry mash/ crumble @ 25kg/bag, PHP 16,000.00  10 Bag, Floating fish feeds grower @ 25 kg/ bag, PHP 14,000.00  40 Bag, Floating fish fe</t>
  </si>
  <si>
    <t xml:space="preserve"> Republic of the Philippines PROVINCE OF ZAMBOANGA DEL SUR Municipality of Dimataling BIDS AND AWARD COMMITTEE 1. The Municipal Government of Dimataling, Zamboanga del Sur, has an approved budget from the Sanggunian through Gender and Development (GAD) Fun</t>
  </si>
  <si>
    <t xml:space="preserve"> Completion/Repair/Renovation of Rural Health Unit (RHU)					 					 Demolition of Existing Structure				0.24	Sq.m Kitchen Counter				1.12	Sq.m Plumbing Works				1	Lot Ceramic Tiles				1.44	Sq.m X-ray room protective screen &amp; lead Glass window				1	Lot Proj</t>
  </si>
  <si>
    <t xml:space="preserve"> (see bidding documents and other supporting papers in the associated component for further project details)</t>
  </si>
  <si>
    <t xml:space="preserve"> 600 PC MOTORCYCLE HELMET</t>
  </si>
  <si>
    <t xml:space="preserve"> FUEL</t>
  </si>
  <si>
    <t xml:space="preserve"> For use During 2-day Training Orientation on the Salient Features of R.A. 9184</t>
  </si>
  <si>
    <t xml:space="preserve"> Qty.          Unit of Issue                     Description 1                  unit                           Computer Desktop                                                      l5 Compatible motherhood                                                   </t>
  </si>
  <si>
    <t xml:space="preserve"> Project Location: Brgy. Bungro, Pinili, Ilocos Norte Project Description: Improvement of Ogee Dam, retaining wall and grouted riprap. Addition of concrete piers, provision of steel gate with sluice ways and outlet works. Scope of work to be done: Descript</t>
  </si>
  <si>
    <t xml:space="preserve"> Laptop		1 	unit &gt;processor: Intel Core i5 7th Generation Processor, 2.5 Ghz base clock speed			 &gt;memory: 8GB DDR4			 &gt;hard disk: 1 x 256GB SSD, 1 x 1 TB HDD			 &gt;display screen: 13.3" (1920 x 1080) ultra slim touch screen			 &gt;network interface: Wireless 80</t>
  </si>
  <si>
    <t xml:space="preserve"> Free-Range Chicken for Livestock Livelihood Program 100 heads Male 300 heads Female *PLEASE REFER TO AN ATTACHED RFQ FOR THE SPECIFICATIONS **Please see an attached document in ASSOCIATED COMPONENTS for the RFQ</t>
  </si>
  <si>
    <t xml:space="preserve"> NATIONAL TRANSMISSION CORPORATION RESOURCE MANAGEMENT SERVICES GROUP TransCo Annex Bldg., Diliman, Quezon City Tel. No. 902-1521/Fax No. 914-6209 SUPPLIER’S TECHNICAL/PRICE QUOTATION FORM (NEGOTIATED PROCUREMENT: SMALL VALUE PROCUREMENT) REFERENCE NO.:  N</t>
  </si>
  <si>
    <t xml:space="preserve"> Day 1			Lunch 1	225	pax	Rice,Beef Steak,Meniral water 			Snack am 2	225	pax	Pansit and Sanwich with Egg, C2 			Snack pm 3	225	pax	Spaghetti with Sandwich,Softdrinks 8oz 4	1	day	Rent of Venue BTC Function Hall @ 1 Day  			 APPROVED BUDGET FOR THE CONTRACT:</t>
  </si>
  <si>
    <t xml:space="preserve"> REQUEST FOR QUOTATION Supply and Delivery of Office Supplies, Equipment and Fixture for Various Offices in MinSCAT Main Campus The Mindoro State College of Agriculture and Technology (MinSCAT) through the Bids and Awards Committee invites interested firms</t>
  </si>
  <si>
    <t xml:space="preserve"> Request for Expression of Interest (REOI)  for the  GEOTECHNICAL AND GEOLOGICAL SURVEY (SOIL BORING EXPLORATION) OF VARIOUS BUILDINGS IN LA UNION 1.	The DPWH-Regional Office I through SR2020-02-0022685 intends to apply the sum of Five Million Three Hundre</t>
  </si>
  <si>
    <t xml:space="preserve"> Invitation to Bid for The Construction of Community Activity Center (Negotiated) Brgy. Tinindugan, Libertad, Antique The Local Government of Libertad, Antique, through the MDF 2018 intends to apply the sum of Two Million Two Hundred Thousand Pesos (PhP 2,</t>
  </si>
  <si>
    <t xml:space="preserve"> INVITATION TO BID  FOR THE Supply and Delivery of Tires and Batteries I.B. No. 2020 - 0027 1.	The LGU - Cabanatuan City, through the General Fund, FY 2020 intends to apply the sum of Seventeen Million Five Hundred Twenty-Six Thousand Seven Hundred Pesos (</t>
  </si>
  <si>
    <t xml:space="preserve"> The Urdaneta City National High School would like to publish the supply and delivery of various const., plumbing and other supplies for Juniod High School use.</t>
  </si>
  <si>
    <t xml:space="preserve"> ITEMS: 1   Lot    Cubicle 3   Pcs    Office Tables 5   Pcs    Office Chairs</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</si>
  <si>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</si>
  <si>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Title: Procurement of Services under P.R Nos. 2473-2020(Operational Support to Maritime Police), 2493-2020(Office of the City Economic Enterprise (Land Transport &amp; Terminal Operation),2494-2020(Office of the  City Economic Enterprise (Public market Operat</t>
  </si>
  <si>
    <t xml:space="preserve"> Title: Procurement of Vehicle Repair and Maintenance under P.R.Nos. 1974-2020(City Social Welfare Development Office), and 2110-2020(Commission on Election)-1Lot. Total ABC: Php 74,000.00 (INSTRUCTION AS TO THE REQUIRED FORM: For your price quotation, ple</t>
  </si>
  <si>
    <t xml:space="preserve"> Republic of the Philippines PROVINCE OF ZAMBOANGA SIBUGAY Municipality of Roseller T. Lim OFFICE OF THE BAC CHAIRMAN Barangay Mabini INVITATION TO BID 						June 22, 2020 To All Interested Bidders: Notice is hereby served that sealed bid be received for p</t>
  </si>
  <si>
    <t xml:space="preserve"> 350 vials Anti Rabies Vaccine 10ml/vial 5 bottles Antibiotic Pennicillin 100ml. 10 boxes Disposable Syringes 3ml. 5 boxes Disposable Gloves</t>
  </si>
  <si>
    <t xml:space="preserve"> Purchase of Office Equipment Supplies and Consumables for admin and faculty use.</t>
  </si>
  <si>
    <t xml:space="preserve"> Republic of the Philippines Region XII Province of Cotabato Municipality of Makilala OFFICE OF THE BIDS AND AWARD COMMITTEE REQUEST FOR QUOTATION (Shopping) Date: 	June 23, 2020 Shopping #: 2020-06-107 The MUNICIPALITY OF MAKILALA through its Bids and Awa</t>
  </si>
  <si>
    <t xml:space="preserve"> INVITATION TO BID FOR THE REBIDDING ON THE PROVISION OF LABOR, MATERIALS, EQUIPMENT AND OTHER INCIDENTALS NEEDED FOR THE IMPROVEMENT OF NAGPATPATAN CANAL LINING AT BRGY. NAGPATPATAN, SOLSONA, ILOCOS NORTE 1.	The Department of Agriculture Regional Field Of</t>
  </si>
  <si>
    <t xml:space="preserve"> Food:  Meals( Breakfast, Lunch, Dinner), Snacks  AM/PM and 1 Socials for 30 persons good for 5 days. 5X     - Breakfast 10X   - Snacks (AM/PM) 5X     - Lunch  5X     - Dinner  1X     - Socials REquirements:  2020 PhilGeps Registration, Business Permit, Ma</t>
  </si>
  <si>
    <t xml:space="preserve"> INVITATION TO RE-BID 1.	The Local Government Unit of Bayombong  - through the GENERAL FUND intends to apply the sum of ONE MILION THREE HUNDRED THOUSAND PESOS ONLY (P1,300,000.00) being the Approved Budget for the Contract (ABC) , payments under the contr</t>
  </si>
  <si>
    <t xml:space="preserve"> INVITATION TO BID  FOR THE Supply and Delivery of Laboratory Supplies I.B. No. 2020 - 0026 							 1. The LGU-Cabanatuan City, through the General Fund FY 2020 intends to apply the sum of Two Million Three Hundred Twenty Thousand Three Hundred Ninety Peso</t>
  </si>
  <si>
    <t xml:space="preserve"> SEE ATTACHED DOCUMENTS.</t>
  </si>
  <si>
    <t xml:space="preserve"> PURCHASE OF OFFICE SUPPLIES OF VARIOUS OFFICES</t>
  </si>
  <si>
    <t xml:space="preserve"> Please Download Attachment Invitation to Bid.</t>
  </si>
  <si>
    <t xml:space="preserve"> REQUEST FOR QUOTATION Local Government Unit of Guinobatan invites eligible Suppliers to submit Proposals specific named contract Purchase of Office Supplies for the daily operation of the Office of the SB Secretariat, LGU Guinobatan, Albay Procurement wil</t>
  </si>
  <si>
    <t xml:space="preserve"> Republic of the Philippines PROVINCE OF BUKIDNON Municipality of Pangantucan BARANGAY ADTUYON INVITATION TO BID ITB NO. 2020-06-004 	The Barangay Government of Adtuyon, through its Bids and Awards Committee (BAC), invites suppliers to apply for eligibilit</t>
  </si>
  <si>
    <t xml:space="preserve"> Invitation to Bid for Rehabilitation of Spring Box Libertad Municipal Water Supply System (Re-Bid)   Libertad, Antique The Local Government of Libertad, Antique, through the MDF 2020 intends to apply the sum of Three Hundred Thousand Pesos (PhP 300,000.00</t>
  </si>
  <si>
    <t xml:space="preserve"> - Supplies for worksheets reproduction eg. Ink Epson and Paper legal size</t>
  </si>
  <si>
    <t xml:space="preserve"> 1.The City of Koronadal Water District, through the Corporate Fund 2020 intends to apply the sum of Four Million Five Hundred Seventy Thousand Seven Hundred Thirty One Pesos (Php 4,570,731.00), being the Approved Budget for the Contract (ABC) to payments </t>
  </si>
  <si>
    <t xml:space="preserve"> 2,000     Sacks     Pebbles # 15</t>
  </si>
  <si>
    <t xml:space="preserve"> REQUEST FOR QUOTATION Local Government Unit of Guinobatan invites eligible Suppliers to submit Proposals specific named contract Purchase of Supplies for the daily operation of the Office of the Sangguniang Legislative, LGU, Guinobatan, Albay Procurement </t>
  </si>
  <si>
    <t xml:space="preserve"> Republic of the Philippines City of Dapitan BIDS AND AWARDS COMMITTEE 						June 22, 2020 NOTICE FOR RE - NEGOTIATED - SMALL VALUE PROCUREMENT The City Government of Dapitan through the Bids and Awards Committee (BAC) would like to inform PhilGEPS registe</t>
  </si>
  <si>
    <t xml:space="preserve"> 1.The City of Koronadal Water District, through the Corporate Fund 2020 intends to apply the sum of Two Million One Hundred Nine Thousand Four Hundred Eighty Four Pesos (Php 2,109,484.00), being the Approved Budget for the Contract (ABC) to payments under</t>
  </si>
  <si>
    <t xml:space="preserve"> Supply of Labor and Materials for the dismantling and re-installing of window glass and installation of window ledge Kindly see attached LINK for the details/requirements: https://drive.google.com/file/d/1b-P-fUeWRGqo68AI6V-u6x52E6G13tLE/view?usp=drivesdk</t>
  </si>
  <si>
    <t xml:space="preserve"> 4 pcs 9.00-20 14pr g100 2 pcs 9.00 - 20 tube 2 pcs 20 rv flap</t>
  </si>
  <si>
    <t xml:space="preserve"> 8			cu.m			screened gravel													 8			cu.m			washed sand													 4			cu.m			boulders													 40			bags			portland cement													 25			pcs			9mm x 6.0m steel bars													 10			pcs			10mm x 6.0m steel bars													 2			kgs			#1</t>
  </si>
  <si>
    <t xml:space="preserve"> Invitation to Bid for Concreting of Road at Panangkilon/Rehabilitation of Road at Brgy. Panangkilon (Re-Bid)   Brgy. Panangkilon, Libertad, Antique The Local Government of Libertad, Antique, through the MDF 2020 intends to apply the sum of Three Hundred T</t>
  </si>
  <si>
    <t xml:space="preserve"> Republic of the Philippines Province of Palawan Municipality of Busuanga OFFICE OF THE MUNICIPAL BIDS AND AWARDS COMMITTEE REQUEST FOR QUOTATION (SMALL VALUE PROCUREMENT) The Local Government of Busuanga, through its Municipal Bids and Awards Committee (M</t>
  </si>
  <si>
    <t xml:space="preserve"> Pag-IBIG FUND Tuguegarao Branch Office Editha Tuddao Bldg., Balzain Road, Tuguegarao City, Cagayan REQUEST FOR QUOTATION SUPPLY AND DELIVERY OF BRAND NEW LASER RANGE METER FOR  Pag-IBIG FUND, CAGAYAN VALLEY REGION  The Pag-IBIG Fund (HDMF) is inviting Sup</t>
  </si>
  <si>
    <t xml:space="preserve"> Different Animal feeds as poultry supplies for Livelihood Assistance for ARB Women in Distress     under ARBold Component ..Package 3</t>
  </si>
  <si>
    <t xml:space="preserve"> 48			pcs			12mm x 6.0m steel bar													 68			pcs			10mm x 6.0m steel bar													 15			kgs			#16 GI tie wire													 6			pcs			hacksaw blade													 100			bags			portland cement													 500			pcs			4" concrete hollow blocks							</t>
  </si>
  <si>
    <t xml:space="preserve"> Invitation to Re-Bid PROCUREMENT OF FUEL, OIL &amp; LUBRICANTS FOR MOTOR VEHICLES OF SANGGUNIAN BAYAN, CY 2020, LGU, BAYOMBONG, NUEVA VIZCAYA 1.	The LGU OF BAYOMBONG, through the General Appropriation Act CY 2020 intends to apply the sum of THREE HUNDRED THOU</t>
  </si>
  <si>
    <t xml:space="preserve"> Request for Quotation RFQ No.		SVP-017-2020 MR Nos.		08100, 08097 &amp; 02601 Requisition Nos. 	OD-019-105, OD-019-108 &amp; OD-019-106 Posting Date:         	June 23, 2020 Deadline for Submission:		June 29, 2020 at 9:00 AM Opening Date:	June 29, 2020 at 10:00 AM</t>
  </si>
  <si>
    <t xml:space="preserve"> Municipality of Looc Invitation to Bid for Construction of Bulacan Birthing Facility 1.	The Municipality of Looc, through the LDF intends to apply the sum of Php 1,800,000.00 being the Approved Budget for the Contract (ABC) to payments under the contract </t>
  </si>
  <si>
    <t xml:space="preserve"> "10 units Hands-free Liquid Soap Dispenser, table top capacity: 400 ml power source: battery  sensing distance: 5-15 cm"				 "20  units Hands-free Alcohol/Hand Sanitizer Dispenser, Wall mounted capable of handling the alcohol or hand sanitize capacity: at</t>
  </si>
  <si>
    <t xml:space="preserve"> LGU-AL-30-2020 CONSTRUCTION OF BARANGAY WATER SYSTEM PHASE 1 BRGY. ANIBONGON ABUYOG, LEYTE</t>
  </si>
  <si>
    <t xml:space="preserve"> VIDEO CONFERENCE EQUIPMENT DIMENSIONS Main unit Height x Width x Depth 104 mm x 400 mm x 85 mm Weight: 1.04 kg Remote Control Height x Width x Depth: 83 mm x 83 mm x 10 mm SYSTEM REQUIREMENTS Windows® 7, Windows 8.1, or Windows 10, macOS 10.10 or higher U</t>
  </si>
  <si>
    <t xml:space="preserve"> 1.The City of Koronadal Water District, through the Corporate Fund 2020 intends to apply the sum of Two Million Six Hundred Ten Thousand Pesos, (Php 2,610,000.00) only, being the Approved Budget for the Contract (ABC) to payments under the contract for Su</t>
  </si>
  <si>
    <t xml:space="preserve"> Section I. Invitation to Bid SUPPLY OF LABOR, EQUIPMENT AND RESTORATION MATERIALS FOR THE INSTALLATION, TESTING AND COMMISSIONING OF 250MM DIA. TRANSMISSION LINE ALONG AMULUNG SOLANA ROAD, CENTRO, SOLANA, CAGAYAN (CALAMAGUI UPGRADING PHASE 2)  1. The Metr</t>
  </si>
  <si>
    <t xml:space="preserve"> PR 2020-06-006 Purchase and Delivery of Fuels and Lubricants to be used by various sections of this Office for 3rd Quarter 2020</t>
  </si>
  <si>
    <t xml:space="preserve"> 1.      630       CASE        COFFEE 25G 2.      150       CASE        COFFEE LATTE (SINGLE) 3.      150       CASE        WHITE COFFEE (SINGLE) 4.      343       CASE        POWDERED MILK 150G 5.      590       CASE        POWDERED MILK 60G 6.    58,000 </t>
  </si>
  <si>
    <t xml:space="preserve"> PLEASE SEE ATTACHMENT</t>
  </si>
  <si>
    <t xml:space="preserve"> REQUEST FOR QUOTATION (RFQ) Supply and Delivery of Personalized CFO-Peso Sense Polo Shirt The Commission on Filipinos Overseas invites PhilGEPS registered supplier to apply for the eligibility and to quote the lowest price for the Supply and Delivery of P</t>
  </si>
  <si>
    <t xml:space="preserve"> 1.The City of Koronadal Water District, through the Corporate Fund 2020 intends to apply the sum of One Million Four Hundred Thousand Pesos (Php 1,400,000.00) only, being the Approved Budget for the Contract (ABC) to payments under the contract for Supply</t>
  </si>
  <si>
    <t xml:space="preserve"> 1.       28,600       SLICED BREAD</t>
  </si>
  <si>
    <t xml:space="preserve"> Consultancy Services for TPB’s ISO 9001:2015 Quality Management System Objectives: 1.   To enhance the competence of Officers, key personnel, and staff of TPB in the understanding and application of: •	ISO 9001:2015 QMS requirements  •	Setting of Quality </t>
  </si>
  <si>
    <t xml:space="preserve"> Description Request for Quotation 2020-06-03 Security Services The Iloilo State College of Fisheries Barotac Nuevo Campus through the Bids and Awards Committee (BAC) invites you as supplier of known qualification to quote your government price including v</t>
  </si>
  <si>
    <t xml:space="preserve"> 1.     5,000    TRAY      SALTED EGGS</t>
  </si>
  <si>
    <t xml:space="preserve"> 200     Bags     Cement</t>
  </si>
  <si>
    <t xml:space="preserve"> 1.     28,600   PACKS    SLICED BREAD</t>
  </si>
  <si>
    <t xml:space="preserve"> 1.The City of Koronadal Water District, through the Corporate Fund 2020 intends to apply the sum indicated below being the Approved Budget for the Contract (ABC) as payment for the 1st year only to the PROVISION OF TWO-YEAR CONTRACT SECURITY SERVICES. Bid</t>
  </si>
  <si>
    <t xml:space="preserve"> TOTAL MATERIALS = P 40,510.00 LUMP SUM LABOR = P 59,490.00</t>
  </si>
  <si>
    <t xml:space="preserve"> INVITATION TO BID: 1.  Project Title:  Supply, Delivery and Installation of Air Conditioning Units Lot 1: Window Type Air Conditioning Units Lot 2: Split Type Air Conditioning Units 2.  Approved Budget for the Contract:  Php 2,060,000.00 Lot 1: 768,000.00</t>
  </si>
  <si>
    <t xml:space="preserve"> Invitation to Bid for Invitation to Bid for Improvement of Municipal Emergency Operation Center (Re-Bid)   Libertad, Antique The Local Government of Libertad, Antique, through the MDF 2020 intends to apply the sum of Eight Hundred Thousand Pesos (PhP 800,</t>
  </si>
  <si>
    <t xml:space="preserve"> Pls see attached</t>
  </si>
  <si>
    <t xml:space="preserve"> 1.     2,000     SACK     RICE 25KG</t>
  </si>
  <si>
    <t xml:space="preserve"> INVITATION TO APPLY FOR ELIGIBILITY AND TO BID The Municipality of Silang, Cavite, through its Bids and Awards Committee (BAC), invites suppliers/ manufacturers/ distributors/ contractors to apply for eligibility and to bid for the projects: Supply and De</t>
  </si>
  <si>
    <t xml:space="preserve"> 1.     13,500    BOTTLE            WATER 2.         30      CONTAINER      WATER</t>
  </si>
  <si>
    <t xml:space="preserve"> purchase of computer</t>
  </si>
  <si>
    <t xml:space="preserve"> The Philippine Statistics Authority - Regional Statistical Service Office National Capital Region (PSA-RSSO NCR) invites interested suppliers / bidders to submit their quotations / proposals for the hereunder requirements: Delivery Dates:  	June 29 to Jul</t>
  </si>
  <si>
    <t xml:space="preserve"> Republic of the Philippines					 PROVINCE OF SOUTHERN LEYTE					 Maasin City					 	Standard Form No.: SF-GOOD-60			 Project Reference No. 119	 	Revised on:  May 24, 2004			 Name of the Project:  _______	 	Standard Form Title:                              </t>
  </si>
  <si>
    <t xml:space="preserve"> Page 1 of 3 Invitation to Bid 20GFC0011-15 Republic of the Philippines DEPARTMENT OF PUBLIC WORKS AND HIGHWAYS CAMARINES NORTE DISTRICT ENGINEERING OFFICE REGIONAL OFFICE V Daet, Camarines Norte INVITATION TO BID The Department of Public Works and Highway</t>
  </si>
  <si>
    <t xml:space="preserve"> 1.       4,850       PACKS        LUNCH 2.       3,655       PACKS        DINNER 3.       3,150       PACKS        SNACK AM/PM</t>
  </si>
  <si>
    <t xml:space="preserve"> INVITATION TO APPLY FOR ELIGIBILITY AND TO BID The Municipality of Silang, Cavite, through its Bids and Awards Committee (BAC), invites suppliers/ manufacturers/ distributors/ contractors to apply for eligibility and to bid for the projects: SUPPLY &amp; DELI</t>
  </si>
  <si>
    <t xml:space="preserve"> Republic of the Philippines					 PROVINCE OF SOUTHERN LEYTE					 Maasin City					 	Standard Form No.: SF-GOOD-60			 Project Reference No. 118	 	Revised on:  May 24, 2004			 Name of the Project:  _______	 	Standard Form Title:                              </t>
  </si>
  <si>
    <t xml:space="preserve"> REQUEST FOR QUOTATION The Bureau of Jail Management and Penology — National Headquarters (BJMPNHQ), through its Bids and Awards Committee, intends to procure Supply and Delivery of Various Flags which will be undertaken in accordance with the 2016 Revised</t>
  </si>
  <si>
    <t xml:space="preserve"> 1.     16,500      PCS     350ML BOTTLES</t>
  </si>
  <si>
    <t xml:space="preserve"> Republic of the Philippines					 PROVINCE OF SOUTHERN LEYTE					 Maasin City					 	Standard Form No.: SF-GOOD-60			 Project Reference No. 117	 	Revised on:  May 24, 2004			 Name of the Project:  _______	 	Standard Form Title:                              </t>
  </si>
  <si>
    <t xml:space="preserve"> Republic of the Philippines					 PROVINCE OF SOUTHERN LEYTE					 Maasin City					 	Standard Form No.: SF-GOOD-60			 Project Reference No. 116	 	Revised on:  May 24, 2004			 Name of the Project:  _______	 	Standard Form Title:                              </t>
  </si>
  <si>
    <t xml:space="preserve"> 1	unit 	Submersible motor, 50HP, 460VAC, 3Phase, 60Hz, 3450 RPM, with motor lead wire (6” diameter)				235,000.00</t>
  </si>
  <si>
    <t xml:space="preserve"> Request for Quotation RFQ No.		SVP-018-2020 MR No.		11588 Requisition No. 	TSE-2020-032 Posting Date:         	June 23, 2020 Deadline for Submission:		June 29, 2020 at 9:00 AM Opening Date:	June 29, 2020 at 10:00 AM 	 TO:	Name of Supplier:________________</t>
  </si>
  <si>
    <t xml:space="preserve"> Project Location: Brgy. Samac, San Nicolas, Ilocos Norte Project Description: Rehabilitation/Improvement of earth canal to concrete canal lining, excavation and spillway and marker Scope of work to be done: Description	Qty	Unit 1.	Mobilization and Demobil</t>
  </si>
  <si>
    <t xml:space="preserve"> 1.) 13 cylinders Liquid Gas Chlorine (68kgs/cyl)</t>
  </si>
  <si>
    <t xml:space="preserve"> Please download associated component  (RFQ)  and submit quotation together with the requirements in a sealed envelope to UP Cebu SPMO on or before 26 June 2020 at 5:00 PM.   Kindly click DRL if you wish to bid for the items herein posted.  1) PR 3442 HSU </t>
  </si>
  <si>
    <t xml:space="preserve"> ITEM	QTY.	UNIT	COMMODITY &amp; DESCRIPTION			 1	41	 Bottle 	 Alcohol  70% 			 2	30	 Pcs 	 Broom Stick 			 3	14	 Pack 	 Detergent Powder 			 4	2	 Box 	 Gloves(L) 			 5	15	 Gallon 	 Liquid Disinfectant(Gallon) 			 6	25	 Gallon 	 Alcohol Isoprophyl70% 			 7	6	 B</t>
  </si>
  <si>
    <t xml:space="preserve"> 126	 bag 	.60m x .60m Deramic Fllor Tiles	 30	 cu.m 	.40m x .40m Ceramic Fllor Tiles	 5	cu.m	 Tile Grout	 4	pcs	Tile Adhesive	 18	bags	Portland Cement	 2	length	50mm Sch. 40 GL Pipe	 3	length	1.2mm x 2" x 3" C-purlins	 4	pcs	Corrugated G.I. Sheet 1220mm x</t>
  </si>
  <si>
    <t xml:space="preserve"> 6    BP App (BAXTEL) 6    Thermogun</t>
  </si>
  <si>
    <t xml:space="preserve"> Republic of the Philippines  DEPARTMENT OF PUBLIC WORKS AND HIGHWAYS REGIONAL OFFICE VIII Baras, Palo, Leyte 	NOTICE OF POSTING @ PHILGEPS / DPWH WEBSITE / BULLETIN BOARD                                                                                     </t>
  </si>
  <si>
    <t xml:space="preserve"> TECHNICAL SPECIFICATIONS Item         :  Digital Color Multi-Function Device with Document Management System  Quantity:  One (1) unit ABC        :  P650,000.00  Agency Specifications 	 	 Statement of Compliance  Comply / Not Comply  Type  	 Multifunction </t>
  </si>
  <si>
    <t xml:space="preserve"> Purchase of Medical, Dental and Lab. Supply (RHU) - 140,000.00  * Strengthening the Existing Maternal Care and     Breastfeeding Program - P 70,000.00  *Healthy Lifestyle - P 70,000.00</t>
  </si>
  <si>
    <t xml:space="preserve"> Procurement of Tires and spare parts for the use of  service vehicles RHX646,XNT499,&amp; UNF111</t>
  </si>
  <si>
    <t xml:space="preserve"> Republic of the Philippines DEPARTMENT OF PUBLIC WORKS AND HIGHWAYS REGIONAL OFFICE VIII Baras, Palo, Leyte    INVITATION TO BID No. 2020-06-002 June 19, 2020 1.	The Department of Public Works and Highways Regional Office VIII, Baras, Palo, Leyte, through</t>
  </si>
  <si>
    <t xml:space="preserve"> Strengthening the Existing Maternal Care and Breastfeeding Program Purchase of Drugs and Medicines- P 100,000.00</t>
  </si>
  <si>
    <t xml:space="preserve"> Republic of the Philippines Province of Northern Samar MUNICIPALITY OF LOPE DE VEGA Lope De Vega, Northern Samar Invitation to Bid PROCUREMENT OF MATERIALS FOR THE CONSTRUCTION OF 26 UNITS SANITARY LATRINE Barangay Bonifacio, Lope De Vega, Northern Samar </t>
  </si>
  <si>
    <t xml:space="preserve"> Section I. Invitation to Bid SUPPLY OF LABOR, EQUIPMENT AND RESTORATION MATERIALS FOR THE INSTALLATION, TESTING AND COMMISSIONING OF 250MM DIA. TRANSMISSION LINE ALONG AMULUNG SOLANA ROAD, BASI, SOLANA, CAGAYAN (CALAMAGUI UPGRADING PHASE 3) 1.	The Metropo</t>
  </si>
  <si>
    <t xml:space="preserve"> Request for Quotation RFQ No.		SVP-020-2020 MR. No.		10754 Requisition No.	CORPLAN.06.13.2020 Posting Date:         	June 23, 2020 Deadline for Submission:		June 29, 2020 at 9:00 AM Opening Date:	June 29, 2020 at 10:00 AM TO:	Name of Supplier:____________</t>
  </si>
  <si>
    <t xml:space="preserve"> Materials 60 cu m lastillas 230 bags Portland cement 15 cu. m white sand 30 cu.m gravel 180 pcs RSB 10mmx6m 6 roll G.I. Tie wire #16 18 pcs 2x6x12 10 pcs 2x3x12 10kgs Cwn(Assorted) Labor 1 foreman 20 days 5 skilled laborers 20 days 9 laborers 20 days Equi</t>
  </si>
  <si>
    <t xml:space="preserve"> Dumping Fee for 7,142 (m3) of Municipal Waste</t>
  </si>
  <si>
    <t xml:space="preserve"> Request for Quotation RFQ No.		SVP-019-2020 MR. No.		10320 Posting Date:         	June 23, 2020 Deadline for Submission:		June 29, 2020 at 9:00 AM Opening Date:	June 29, 2020 at 10:00 AM TO:	Name of Supplier:_______________________ 	Address:______________</t>
  </si>
  <si>
    <t xml:space="preserve"> Submission of RFQ: not later that June 30, 2020, 2:00 PM Opening of Quotations: June 30, 2020, 3:00 PM at the BAC Office</t>
  </si>
  <si>
    <t xml:space="preserve"> SCHOOL SUPPLY AND BUILDING AND MAINTENANCE GOODS</t>
  </si>
  <si>
    <t xml:space="preserve"> Intensified Family Planning Program  Purchase of Drugs and Medicines - P 150,000.00</t>
  </si>
  <si>
    <t xml:space="preserve"> Republic of the Philippines Province of Northern Samar MUNICIPALITY OF LOPE DE VEGA Lope De Vega, Northern Samar Invitation to Bid CONSTRUCTION OF MRF Barangay Bonifacio, Lope De Vega, Northern Samar  The Local Government Unit – Lope De Vega, Northern Sam</t>
  </si>
  <si>
    <t xml:space="preserve"> Public Bidding</t>
  </si>
  <si>
    <t xml:space="preserve"> Civil Service Commission																			 Constitution Hills, Batasang Pambansa Complex Diliman, Quezon City																			 																			 REQUEST FOR QUOTATION																			 																			 RFQ No.	:	2020-050 NP SVP		 Date:	:	22-Jun-2</t>
  </si>
  <si>
    <t xml:space="preserve"> Maternal, Newborn, Child, Health and Nutrition (MNCHN) Program Purchase of Drugs and Medicines - P 140,000.00</t>
  </si>
  <si>
    <t xml:space="preserve"> Procurement of DOLE Kabuhayan Starter Kit, Barangay Mancruz, Daet, Camarines Norte 7 pc Burger machine with french fryer, 40 cm x 60 cm, 2 knobs (1 deep fryer) 2 set Casserole, set (high quality stainless steel) 28-32cm 2 pc Electric Hand Mixer 10 pc Food</t>
  </si>
  <si>
    <t xml:space="preserve"> National Tuberculosis Program Purchase of Drugs and Medicines - P 120,000.00</t>
  </si>
  <si>
    <t xml:space="preserve"> **To ensure safe, conducive, child-friendly classrooms, primarily used for classroom instruction.</t>
  </si>
  <si>
    <t xml:space="preserve"> PROCUREMENT OF JANITORIAL SUPPLIES</t>
  </si>
  <si>
    <t xml:space="preserve"> Republic of the Philippines DEPARTMENT OF PUBLIC WORKS AND HIGHWAYS NORTHERN SAMAR FIRST  DISTRICT ENGINEERING OFFICE REGIONAL OFFICE VIII Catarman, N. Samar INVITATION TO APPLY FOR ELIGIBILITY AND TO BID The DPWH Northern Samar 1st District Engineering O</t>
  </si>
  <si>
    <t xml:space="preserve"> Province of Zambales BARANGAY INHOBOL MUNICIPALITY OF MASINLOC OFFICE OF THE BIDS AND AWARDS COMMITTEE INVITATION TO BID The BARANGAY INHOBOL, MUNICIPALITY OF MASINLOC, Province of Zambales, through its Bids and Awards Committee (BAC), invites suppliers/M</t>
  </si>
  <si>
    <t xml:space="preserve"> City of Dapitan BIDS AND AWARDS COMMITTEE 						June 22, 2020 NOTICE FOR RE - NEGOTIATED - SMALL VALUE PROCUREMENT The City Government of Dapitan through the Bids and Awards Committee (BAC) would like to inform PhilGEPS registered suppliers that we will c</t>
  </si>
  <si>
    <t xml:space="preserve"> Engine Type: Mono-cylindric, forced air cooled,2 stroke engine, Max HP:4.6HP, Air Filter: Dry Type, paper element, Ignition System: Electronic, Starter System: Auto Retractable, Fuel Tank Capacity:2L, Product Mix Capacity:6L, Flow Rate, Max: 2.5L/Min, Hor</t>
  </si>
  <si>
    <t xml:space="preserve"> Flood Control 	 	 		 		 Cost of Bidding Documents: Php 1,000.00					 Source of Funds: Maintenance Fund 101 CY 2020 The significant times and deadlines of procurement activities are shown below: 1. Issuance of Bidding Documents	Deadline: June 15 – 29, 2020</t>
  </si>
  <si>
    <t xml:space="preserve"> Desktop Computer		3 	unit &gt; cpu: intel core i7-9700k 3.60HGz processor			 &gt; ram: 8GB DDR4 2400/2666MHz memory	&gt; ram: 8GB DDR4 2400/2666MHz memory		 &gt; ssd: 250 GB NVMe M.2 2280 PCIE GEN3 SSD	&gt; ssd: 250 GB NVMe M.2 2280 PCIE GEN3 SSD		 &gt; HDD: 1TB sata 7200 </t>
  </si>
  <si>
    <t xml:space="preserve"> PORTABLE SHEET-FED DOCUMENT SCANNER		1 	unit &gt;Scanner Type: A4 sheet-fed, simplex colour scanner			 &gt;Sensor Type: CIS			 &gt;Light Source: RGB LED			 &gt;Optical Resolution: 600 x 600 dpi			 &gt;Output Resolution: 50 - 1,200 dpi (in 1dpi increments)			 &gt;Scanner Bi</t>
  </si>
  <si>
    <t xml:space="preserve"> 11 pcs Samsung A01</t>
  </si>
  <si>
    <t xml:space="preserve"> INVITATION TO BID   Hire of Vehicle for Various DSWD-CAR Activities to All Provinces of Cordillera Administrative Region (CAR) from August to December 2020   (ITB 2020-DSWD-CAR-16) 1.	The Department of Social Welfare and Development - Cordillera Administr</t>
  </si>
  <si>
    <t xml:space="preserve"> INVITATION TO BID FOR THE PROCUREMENT OF SUPPLY AND INSTALLATION OF VARIOUS EQUIPMENT AND FACILITIES The LOCAL WATER UTILITIES ADMINISTRATION has received a Loan from the Asian Development Bank toward the cost of the Water District Development Sector Proj</t>
  </si>
  <si>
    <t xml:space="preserve"> Republic of the Philippines					 DEPARTMENT OF PUBLIC WORKS AND HIGHWAYS					 SURIGAO DEL NORTE 1ST					 DISTRICT ENGINEERING OFFICE					 REGIONAL OFFICE XIII					 Dapa, Siargao Island, Surigao del Norte					 Name of Procuring Entity: DPWH-Surigao del Nor</t>
  </si>
  <si>
    <t xml:space="preserve"> Quantity	Unit		Item Description 			 5	box		Paracetamol 500 mg 10	box		Blood Sugar Strips (easy touch) 5	box		Blood Uric Acid Strips (easy touch) 10	bottle	Alcohol 70% 1 liter 10	box		Clean gloves 10	box		Surgical mask 3	box		Lancet 3	box		Omeprazole 20 mg</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</si>
  <si>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</si>
  <si>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Please see ASSOCIATED COMPONENTS for details.</t>
  </si>
  <si>
    <t xml:space="preserve"> Supplies related to prevention and mitigation of COVID 19 virus</t>
  </si>
  <si>
    <t xml:space="preserve"> Date: _________________ REQUEST FOR QUOTATION The City Government of Olongapo (CGO), through its Bids and Awards Committee, would like to undertake a Request for Quotation in accordance with RULE XVI Alternative Mode of Procurement, Section 52 (Shopping) </t>
  </si>
  <si>
    <t xml:space="preserve"> Submission of RFQ: not later than June 30, 2020, 2:00PM Opening of Quotation: June 30, 2020, 3:00PM at the BAC Office</t>
  </si>
  <si>
    <t xml:space="preserve"> REQUEST FOR QUOTATION The Bureau of Jail Management and Penology — National Headquarters (BJMPNHQ), through its Bids and Awards Committee, intends to procure Supply, Delivery and Installation of 73 Sets of Automatic Emergency Lighting System which will be</t>
  </si>
  <si>
    <t xml:space="preserve"> Republic of the Philippines					 PROVINCE OF SOUTHERN LEYTE					 Maasin City					 	Standard Form No.: SF-GOOD-60			 Project Reference No. 115	 	Revised on:  May 24, 2004			 Name of the Project:  _______	 	Standard Form Title:                              </t>
  </si>
  <si>
    <t xml:space="preserve"> Flood Control 	 	 		 		 Cost of Bidding Documents: Php 5,000.00					 Source of Funds: Maintenance Fund 101 CY 2020 The significant times and deadlines of procurement activities are shown below: 1. Issuance of Bidding Documents	Deadline: June 15 – 29, 2020</t>
  </si>
  <si>
    <t xml:space="preserve"> 1 unit Laptop/Notebook     Processor - Intel, core i7 (10th Gen or higher)     Memory - 8gb, DDR4 (or higher)     Hard Drive - 500gb (or higher)     Operating system - Windows 10, 64bit     LCD Monitor Size - 13-14 inches     Graphics - NVIDIA, 2gb (or hi</t>
  </si>
  <si>
    <t xml:space="preserve"> Date: _________________ REQUEST FOR QUOTATION The City Government of Olongapo (CGO), through its Bids and Awards Committee, would like to undertake a Request for Quotation in accordance with RULE XVI Alternative Mode of Procurement, Section 53.9(Small Val</t>
  </si>
  <si>
    <t xml:space="preserve"> The DPWH – Bulacan First District Engineering Office, through its Bids and Awards Committee (BAC), invites contractors to submit bids for the following Contract: Contract ID: 20CC0256 Contract Name: Concreting of Brgy. Tarcan FMR Contract Location: Brgy. </t>
  </si>
  <si>
    <t xml:space="preserve"> Republic of the Philippines Province of Northern Samar MUNICIPALITY OF LOPE DE VEGA Lope De Vega, Northern Samar Invitation to Bid REHABILITATION OF WATER SYSTEM Barangay Bonifacio, Lope De Vega, Northern Samar  The Local Government Unit – Lope De Vega, N</t>
  </si>
  <si>
    <t xml:space="preserve"> Republic of the Philippines Province of Iloilo MUNICIPALITY OF CARLES Barangay Barosbos INVITATION TO BID 1.0 The Barangay Local Government of Barangay Abong, Carles, Province of Iloilo through its Twenty Percent Development Fund 2019 intends to apply the</t>
  </si>
  <si>
    <t xml:space="preserve"> INDUSTRIAL TECHNOLOGY DEVELOPMENT INSTITUTE DOST Cmpd., Bicutan, Taguig City Telephone Nos. (02) 837-20-71 to 82 local 2221 E-mail Add.: itdi.admbac@gmail.com INVITATION TO BID June 22, 2020 Sir/Madam: Please quote your price for the item/items listed bel</t>
  </si>
  <si>
    <t xml:space="preserve"> The DPWH – Bulacan First District Engineering Office, through its Bids and Awards Committee (BAC), invites contractors to submit bids for the following Contract: Contract ID: 20CC0255 Contract Name: Construction of three storey six classroom – Batia Eleme</t>
  </si>
  <si>
    <t xml:space="preserve"> INVITATION TO BID FOR THE FURNISHING OF LABOR AND MATERIALS FOR THE INSTALLATION OF  COMPAC SOLAR LED STREETLIGHT OF BARANGAY CORDOVA NORTE, TIGBAUAN, ILOILO</t>
  </si>
  <si>
    <t xml:space="preserve"> Supply and Delivery of Meals and Snacks for the Participants to the 3 days Training on Traffic Management and Safety on june 23-25, 2020 Meals and Snack:  100 packs Meals ( AM Snacks,Lunch PM Snacks)  100 packs Meals ( Am Snacks and Lunch only)</t>
  </si>
  <si>
    <t xml:space="preserve"> Procurement of Office Supplies for the Second Quarter</t>
  </si>
  <si>
    <t xml:space="preserve"> The DPWH – Bulacan First District Engineering Office, through its Bids and Awards Committee (BAC), invites contractors to submit bids for the following Contract: Contract ID: 20CC0199 Contract Name: Construction of Flood Control Structure along Bocaue Riv</t>
  </si>
  <si>
    <t xml:space="preserve"> 2020-06-0039 IT Equipment Parts and Accessories See attached file</t>
  </si>
  <si>
    <t xml:space="preserve"> Invitation to Bid for CONCRETING OF BUAYAN SITIO NAREK ROAD 1.	The Municipality of Datu Piang, through the CY 2020 ENGINEERING FUND  intends to apply the sum of Two Million Pesos (Php 2,000,000.00) being the Approved Budget for the Contract (ABC) to payme</t>
  </si>
  <si>
    <t xml:space="preserve"> The DPWH – Bulacan First District Engineering Office, through its Bids and Awards Committee (BAC), invites contractors to submit bids for the following Contract: Contract ID: 20CC0170 Contract Name: Upgrading of Barangay Road, Brgy. Sta. Ines Contract Loc</t>
  </si>
  <si>
    <t xml:space="preserve"> Invitation to Bid for REHABILITATION OF JICA BUILDING 1.	The Municipality of Datu Piang, through the CY 2020 GENDER AND DEVELOPMENT FUND  intends to apply the sum of One Million Five Hundred Thousand Pesos (Php 1,500,000.00) being the Approved Budget for </t>
  </si>
  <si>
    <t xml:space="preserve"> DepEd, Division of Sorsogon										 Standard Form Number: SF-GOOD-60										 Revised on: May 24, 2004										 REQUEST FOR QUOTATION										 										 						Date:				 						Quotation No.:		20-06-084-_____		 										 										 										 							</t>
  </si>
  <si>
    <t xml:space="preserve"> Job request submitted by Dida V. Gatanela ABC is Php 74,800.00</t>
  </si>
  <si>
    <t xml:space="preserve"> 1 pc Drum DR512 (Magenta) 1 pc Drum DR512 (Yellow) 1 tbs Toner TN220 (Cyan) 1 Tbs Toner TN220 (Yellow)</t>
  </si>
  <si>
    <t xml:space="preserve"> Supplies needed by students related to prevention and mitigation of COVID 19 virus</t>
  </si>
  <si>
    <t xml:space="preserve"> Please see the attached Request for Quotation</t>
  </si>
  <si>
    <t xml:space="preserve"> INVITATION TO BID FOR THE PROCUREMENT OF MATERIALS FOR THE CONTINUING CONSTRUCTION OF MULTI PURPOSE/EVACUATION CENTER (PHASE III)OF BARANGAY CORDOVA NORTE, TIGBAUAN, ILOILO</t>
  </si>
  <si>
    <t xml:space="preserve"> Procurement of Supplies for Sanitation and Disinfecting</t>
  </si>
  <si>
    <t xml:space="preserve"> JOSE B. LINGAD MEMORIAL REGIONAL HOSPITAL City of San Fernando, Pampanga Tel. No. (045) 961-3921 Date: June 23, 2020 No. 2020 – 06 - 190-S REQUEST FOR QUOTATION (Name of Agency) (Address) Sir/Madam: Please quote your lowest price on the item/s listed belo</t>
  </si>
  <si>
    <t xml:space="preserve"> Purchase request submitted by Helen Lobaton  ABC is Php 68,400.00</t>
  </si>
  <si>
    <t xml:space="preserve"> JOSE B. LINGAD MEMORIAL REGIONAL HOSPITAL City of San Fernando, Pampanga Tel. No. (045) 961-3921 Date: June 23, 2020 No. 2020 – 06 - 188-S REQUEST FOR QUOTATION (Name of Agency) (Address) Sir/Madam: Please quote your lowest price on the item/s listed belo</t>
  </si>
  <si>
    <t xml:space="preserve"> **To ensure safety of the pupils and teachers and have additional gate entrance.</t>
  </si>
  <si>
    <t xml:space="preserve"> **To ensure clean and safe water source primarily used for all teachers and pupils before entering the school.</t>
  </si>
  <si>
    <t xml:space="preserve"> INVITATION TO BID FOR Procurement of Various PPE and Laparatomy Packs for COVID-19 Patients Use IB NO: 2020-021 The Western Visayas Medical Center, through Agency Fund-GAA/SAA, in the amount of Two Million Seven Hundred Twenty Six Thousand Five Hundred Pe</t>
  </si>
  <si>
    <t xml:space="preserve"> JOSE B. LINGAD MEMORIAL REGIONAL HOSPITAL City of San Fernando, Pampanga Tel. No. (045) 961-3921 Date: June 23, 2020 No. 2020 – 06 - 189-S REQUEST FOR QUOTATION (Name of Agency) (Address) Sir/Madam: Please quote your lowest price on the item/s listed belo</t>
  </si>
  <si>
    <t xml:space="preserve"> PURCHASE OF THREE DIGITAL DUPLICATORS (RISOGRAPHING MACHINES) FOR DEPED SIKATUNA</t>
  </si>
  <si>
    <t xml:space="preserve"> Item			Quantity			Unit of			Item Description														 No.						Issue																	 1			1,150			Sacks			Rice</t>
  </si>
  <si>
    <t xml:space="preserve"> bottle		Ascorbic acid 100 mg/5 ml syrup, 60 ml/bottle			72	 box		Ascorbic acid 500 mg tablet, 100 tablets/bottle			10	 bottle		Multivitamins drops, 15 ml/bottle			40	 bottle		Multivitamins syrup, 60 ml/bottle			72	 box		Multivitamis capsule, 100 capsule/b</t>
  </si>
  <si>
    <t xml:space="preserve"> 1	 set 	Printer Continuous ( 3 n 1)</t>
  </si>
  <si>
    <t xml:space="preserve"> **To ensure safe and conducive used of record room and Guidance Office.</t>
  </si>
  <si>
    <t xml:space="preserve"> INVITATION TO BID  PR# 302775--2020--06-069 DATED JUNE 05, 2020  SUPPLY AND DELIVERY OF VARIOUS ICT EQUIPMENT  JULIO LEDESMA NATIONAL HIGH SCHOOL, Division of San Carlos City, Negros Occidental 1.	The JULIO LEDESMA NATIONAL HIGH SCHOOL, through the Genera</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</si>
  <si>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</si>
  <si>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Day Old Chick...for Livelihood Assistance for ARB Women in Distress under ARBold Project Component      Package 2</t>
  </si>
  <si>
    <t xml:space="preserve"> 1.         3,880      PAX      LUNCH 2.         1,400      PAX      DINNER 3.         2,325      PAX      SNACKS AM/PM</t>
  </si>
  <si>
    <t xml:space="preserve"> Republic of the Philippines DEPARTMENT OF PUBLIC WORKS AND HIGHWAYS MARINDUQUE DISTRICT ENGINEERING OFFICE Region IV-B, MIMAROPA  Boac, Marinduque INVITATION TO BID  The DPWH-Marinduque District Engineering Office, Boac, Marinduque, through its Bids and A</t>
  </si>
  <si>
    <t xml:space="preserve"> Please see attached PR for details.</t>
  </si>
  <si>
    <t xml:space="preserve"> Republic of the Philippines PROVINCE OF ZAMBALES IBA BIDS AND AWARDS COMMITTEE Invitation to Bid for the Package III: Construction of Multi-Purpose Hall, Barangay Balincaguing, San Felipe and Concreting of Purok 1 and 2, Barangay Paite, San Narciso 1.	The</t>
  </si>
  <si>
    <t xml:space="preserve"> Purchase request submitted by Felicidad B. Lopez ABC is Php 54,565.00</t>
  </si>
  <si>
    <t xml:space="preserve"> The Municipality of General Luna, Quezon, through its Bids and Awards Committee (BAC), invites contractors registered with and classified by the Philippine Contractors Accreditation Board (PCAB) to apply for the eligibility and to bid: Name of Contract	: </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</si>
  <si>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</si>
  <si>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REQUEST FOR QUOTATION (RFQ) Supply and Delivery of Paper Shredder use by CFO The Commission on Filipinos Overseas invites PhilGEPS registered supplier to apply for the eligibility and to quote the lowest price for the Supply and Delivery of Paper Shredder</t>
  </si>
  <si>
    <t xml:space="preserve"> Republic of the Philippines Province of Iloilo MUNICIPALITY OF CARLES Barangay Barosbos INVITATION TO BID 1.0 The Barangay Local Government Unit of Abong, Carles, Province of Iloilo through its Twenty Percent Development Fund 2019 intends to apply the sum</t>
  </si>
  <si>
    <t xml:space="preserve"> INVITATION TO RE-BID 1.	The Local Government Unit of Bayombong  - through the GENERAL FUND intends to apply the sum of ONE MILION SIXTY ONE THOUSAND ONE HUNDRED SIXTY EIGHT  PESOS AND 95/100 (P1,061,168.95) being the Approved Budget for the Contract (ABC)</t>
  </si>
  <si>
    <t xml:space="preserve"> The Department of Agriculture invites interested suppliers to submit quotations/proposals for the hereunder requirement: PROVISION OF PEST AND TERMITE CONTROL SERVICES FOR DA-ADMIN AND NEW BUILDING, BAFS BUILDING, ICTS BUILDING AND ADC BUILDING FOR CY 202</t>
  </si>
  <si>
    <t xml:space="preserve"> Invitation to Bid for the Construction of Brgy. S.M.H. Multi-Purpose Hall 1.	The Local Government Unit of Laoang, through the General Fund component of the SB approved Municipal Budget   intends to apply the sum of One Million Five Hundred Forty Three Tho</t>
  </si>
  <si>
    <t xml:space="preserve"> Republic of the Philippines DEPARTMENT OF PUBLIC WORKS AND HIGHWAYS BATANGAS II  DISTRICT ENGINEERING OFFICE REGIONAL OFFICE IV-A Kumintang Ilaya, Batangas City INVITATION TO BID For Concreting of Brgy. San Vicente FMR, Brgy. San Vicente, Bauan, Batangas </t>
  </si>
  <si>
    <t xml:space="preserve"> 1.	The Local Government Unit (LGU) of Sta. Teresita , Cagayan, through the General Fund  intends to apply the sum of TWO HUNDRED THOUSAND &amp; 00/100  PESOS (P200,000.00) being the Approved Budget for the Contract (ABC) to payments under the contract for the</t>
  </si>
  <si>
    <t xml:space="preserve"> The Agricultural Training Institute Region IV-A (ATI Region IV-A) invites interested suppliers to submit quotations/ proposals for the hereunder requirement: Provision of Meals and Snacks for the conduct of Training on Farm Fabrication of Improvised Farm </t>
  </si>
  <si>
    <t xml:space="preserve"> SEE ATTACHED FILES REQUEST FOR QUOTATION DRUGS AND MEDICINE &amp; HOSPITAL MEDICAL SUPPLIES;</t>
  </si>
  <si>
    <t xml:space="preserve"> Coffee Maker		1 	pc &gt; 12 cups	&gt; 12 cups		 &gt; auto-drip feature	&gt; auto-drip feature		 &gt; mild to strong aroma control	&gt; mild to strong aroma control		 &gt; easy access brewer	&gt; easy access brewer		 &gt; thermo-glass carafe	&gt; thermo-glass carafe		 &gt; keep warm heate</t>
  </si>
  <si>
    <t xml:space="preserve"> Republic of the Philippines DEPARTMENT OF PUBLIC WORKS AND HIGHWAYS BATANGAS II  DISTRICT ENGINEERING OFFICE REGIONAL OFFICE IV-A Kumintang Ilaya, Batangas City INVITATION TO BID For Concreting of Brgy. San Jose Sico FMR, Brgy. San Jose Sico, Batangas Cit</t>
  </si>
  <si>
    <t xml:space="preserve"> 1 LOT ABC:  200,000.00 COMPONENTS:  - 780 cans Canned Sardines in tomato sauce (155g)	  - 800 pcs Instant Noodles (70g)	  - 400 pcs. Pancit Canton,  (80g)	  - 600 packs Instant Coffee Reffill (25g) 	  - 600 pcs. Laundry Soap Bar (380 g)	  - 600 cans Meatl</t>
  </si>
  <si>
    <t xml:space="preserve"> Purchase request submitted by Chrisgel Aungon ABC is Php 600,000.00</t>
  </si>
  <si>
    <t xml:space="preserve"> Request for Quotation No.	: 20GOH0033 RFQ   Contract Name  		: Purchase of Materials for the Repainting of Corner Curbs at                                    Intersection, Center Islands/Divider Islands along National                                     R</t>
  </si>
  <si>
    <t xml:space="preserve"> Republic of the Philippines DEPARTMENT OF PUBLIC WORKS AND HIGHWAYS BATANGAS II  DISTRICT ENGINEERING OFFICE REGIONAL OFFICE IV-A Kumintang Ilaya, Batangas City INVITATION TO BID For Concreting of Brgy. Tulo FMR, Brgy. Tulo, Batangas City, Batangas 1.	The</t>
  </si>
  <si>
    <t xml:space="preserve"> REQUEST FOR QUOTATION (RFQ) Supply and Delivery of 75” Ultra HD Android Television The Commission on Filipinos Overseas invites PhilGEPS registered supplier to apply for the eligibility and to quote the lowest price for the Supply and Delivery of 75” Ultr</t>
  </si>
  <si>
    <t xml:space="preserve"> Office Supplies for Learners Module  173 ream Bond Paper A4 Size   2 pcs Printer 3 in 1 10 bottle ink Black 9 Bottle ink colored</t>
  </si>
  <si>
    <t xml:space="preserve"> Construction of Water Tank located at Sitio lower Malubog , Cebu City Amount 514,000.00</t>
  </si>
  <si>
    <t xml:space="preserve"> Request for Quotation No.	: 20GOH0034 RFQ   Contract Name  		: Proposed Purchase of Materials for the Repainting of                                    Faded/Damaged Lane Line Markings along various National                                    Roads within </t>
  </si>
  <si>
    <t xml:space="preserve"> Request for Quotation No.	: 20GOH0031 RFQ   Contract Name  		: Purchase of Engine for Use of Mini Dump Truck SEB-835 Purchase Request No. (PR No.)  : 2020-01-021 Approved Budget for the Contract (ABC): P 150,000.00                       Delivery Period   </t>
  </si>
  <si>
    <t xml:space="preserve"> ITEM NO. 1 Arch. Folders w/ DPWH-Logo (A4) 200 pcs 2 Ballpen (black/blue) 30 boxes 3 Battery triple A (chargeable) 50 packs 4 Bond Paper, A3 Subs. 22 105 reams 5 Bond Paper A4 150 reams 6 Bond Paper Legal 20 reams 7 Engineer's Field book 50 pcs 8 Expandin</t>
  </si>
  <si>
    <t xml:space="preserve"> Request for Quotation No.	: 20GOH0021 RFQ Re-ads   Contract Name  		: Purchase of Protective Suits and Floodguard including                                    Minor Equipments &amp; Tools for the Repair of National Roads                                   and </t>
  </si>
  <si>
    <t xml:space="preserve"> The DPWH-North Manila District Engineering Office, through its Bids and Awards Committee (BAC) for Goods, invites Suppliers to submit bids for the following Contract: 1.	Contract I.D. No: 20GOE0013 Contract Name 	: Procurement / Acquisition of Portable We</t>
  </si>
  <si>
    <t xml:space="preserve"> REQUEST FOR QUOTATION (RFQ) Supply and Delivery of Bottom Load Water Dispenser use by the CFO The Commission on Filipinos Overseas invites PhilGEPS registered supplier to apply for the eligibility and to quote the lowest price for the Supply and Delivery </t>
  </si>
  <si>
    <t xml:space="preserve"> 1 1 /2 x 100 ft fire hose with brass coupling ( double jacket ) 4 pcs  1 1/2 x 50 ft fire hose with brass coupling double jacket 2 pcs  40mm pistol grip nozzle QLD6.0 mpa regulating range 2.5- 5 5-6-5-8L/ sec Range :3.3m 1 pc  Fireman suit with complete a</t>
  </si>
  <si>
    <t xml:space="preserve"> Purchase request submitted by Rimmon T. Armones ABC is Php 100,000.00</t>
  </si>
  <si>
    <t xml:space="preserve"> MINI DUMP TRUCK Engine Type:   4-cylinder,In-line, 4-stroke,water cooled,direct injection,intercooler turbo,VE Pump                          Engine Displacement:     2.771cc;  Rated Power(kW/rpm:    76KW/3600RPM Horse Power:                   103PS:  ; Ma</t>
  </si>
  <si>
    <t xml:space="preserve"> JOSE B. LINGAD MEMORIAL REGIONAL HOSPITAL City of San Fernando, Pampanga Tel. No. (045) 961-3921 Date: June 23, 2020 No. 2020 – 06 - 191-S REQUEST FOR QUOTATION (Name of Agency) (Address) Sir/Madam: Please quote your lowest price on the item/s listed belo</t>
  </si>
  <si>
    <t xml:space="preserve"> SAMPLE DESCRIPTION 10 PCS. MONOPOLE 40FT. 35 PCS. IP CAM 50 BOX. STRANDED WIRE 1 SET HYBRID NVR with HIGH CAPACITY DRIVE 40 PCS. TRUMPET SPEAKER 10 PC. PUBLIC ADDRESS AMPLIFIER W/ CONFIGURATION 15 PCS. RADIO STATION W/ 2 CHANNEL ACTIVE 1 SET RADIO BASE ST</t>
  </si>
  <si>
    <t xml:space="preserve"> DENR-ENVIRONMENTAL MANAGEMENT BUREAU R3 INVITES ELIGIBLE SUPPLIERS TO QUOTE ON THE FF.: PROCUREMENT OF ONE (1) LOT PROFESSIONAL/ CONSULTING SERVICE FOR THE CONDUCT OF WATER POLLUTION LOAD ASSESSMENT FOR SEVEN (7) RIVERS IN REGION III REQUEST FOR EXPRESSIO</t>
  </si>
  <si>
    <t xml:space="preserve"> Project Location: Brgy. Nagtrigoan, Pinili, Ilocos Norte Project Description: Construction of slope protection along spillway laying of handlaid riprap at upstream apron of the dam and concrete canal lining Scope of work to be done: Description	Qty	Unit 1</t>
  </si>
  <si>
    <t xml:space="preserve"> Republic of the Philippines Province of Iloilo Municipality of Carles BARANGAY ABONG INVITATION TO BID 1.0 The Barangay Local Government Unit of Abong, Carles, Province of Iloilo through its Grant from the Office of the Provincial Governor intends to appl</t>
  </si>
  <si>
    <t xml:space="preserve"> REQUEST FOR QUOTATION PURCHASE OF ICT EQUIPMENT FOR USE AS AN INSTRUCTIONAL EQUIPMENT IN BUIA LABORATORY The Bicol University, through the Corporate Budget for the contract approved by the Board of Regents intends to apply the sum Three Hundred Thousand P</t>
  </si>
  <si>
    <t xml:space="preserve"> 1	Airconditioning Unit 2HP, Window type, Free Electrical Installation, Free Magnetic  Switch , 1 year warranty part  and compressure	1	unit 2	Airconditioning Unit Split Type, Box type, Freee Magnetic Switch. Free Electrical Installation. One Year Warranty</t>
  </si>
  <si>
    <t xml:space="preserve"> 1,000 liters Diesel Fuel 1,000 liters Gasoline</t>
  </si>
  <si>
    <t xml:space="preserve"> Republic of the Philippines  Department of  Science and Technology  Regional Office No. IX  Pettit Barracks,   Zamboanga  City Tel. Nos. (062) 992-1114; (062) 991-1024 INVITATION TO BID SUPPLY AND DELIVERY OF VARIOUS COMMON OFFICE SUPPLY   PR-20-05-0114 T</t>
  </si>
  <si>
    <t xml:space="preserve"> Supply and Delivery of Office Equipment for the use of Municipal Engineering Office, Brooke’s Point, Palawan.</t>
  </si>
  <si>
    <t xml:space="preserve"> Description Section I Republic of the Philippines Province of Sarangani Municipality of Maitum OFFICE OF BIDS AND AWARDS COMMITTEE Invitation to Bid for Vehicle Parts for Repair and Maintenance of Light Vehicle 1. The Local Government of Maitum, through t</t>
  </si>
  <si>
    <t xml:space="preserve"> 6	can	Hybrid Ampalaya-Galaxy Seed, 100g 6	can	Hybrid Tomato-Diamante Max Seeds, 25g 1	btl.	Bio-Supernet Spray 2	roll	Plastic Mulch 2	bag	Urea 2	bag	Complete Fertilizer 2	bag	Muriate of Potash 30	bag	Vermicompost 39	pc.	Seedling Trays</t>
  </si>
  <si>
    <t xml:space="preserve"> 1.	The Local Government Unit of Aroroy, through its Annual Budget (MDRRMF) intends to apply the sum of Php 1,000,000.00 being the Approved Budget for the Contract (ABC) to payments under the contract for Riprapping at Government Center (Phase II).  Bids r</t>
  </si>
  <si>
    <t xml:space="preserve"> REQUEST FOR QUOTATION RFQ No. 2020-0266 The CITY GOVERNMENT OF CABANATUAN through its Bid and Awards Committee (BAC), will undertake Small Value Procurement for the SUPPLY AND DELIVERY OF OFFICE SUPPLIES in accordance with Section 53.9 of the Revised Impl</t>
  </si>
  <si>
    <t xml:space="preserve"> Request for Quotation No.	: 20GOH0038 RFQ   Contract Name  		: Proposed Purchase of Materials for the Re-painting of                                    Faded/damaged Lane Line Markings along Various National                                    Roads within</t>
  </si>
  <si>
    <t xml:space="preserve"> TESDA Business Card		26 	box &gt;2" x 3.5"			 &gt;Material: Vinyl Plastic			 &gt;Others: Two (2) color front and full color black with Name, Company and Logo			 &gt;100 pcs per box			 &gt;as per attached sample			 DIR. JULIET O. OROZCO (20 boxes)			 &gt;Chief of Staff, ODG</t>
  </si>
  <si>
    <t xml:space="preserve"> REQUEST FOR QUOTATION (RFQ) Supply and Delivery of Professional Video Camera with SD Card Storage The Commission on Filipinos Overseas invites PhilGEPS registered supplier to apply for the eligibility and to quote the lowest price for the Supply and Deliv</t>
  </si>
  <si>
    <t xml:space="preserve"> INVITATION TO BID FOR  (ITB NO. 2020-028) PROCUREMENT OF SEVENTY – FIVE (75) LAPTOP UNITS FOR TOURISM PROMOTIONS BOARD EMPLOYEES 1.	The Tourism Promotions Board (TPB), through the 2020 Corporate Operating Budget (COB)   intends to apply the sum of Five Mi</t>
  </si>
  <si>
    <t xml:space="preserve"> Request for Quotation No.	: 20GOH0037 RFQ   Contract Name  		: Proposed Purchase of Materials for the Repair/                                   Re-installation of Damaged and Missing Steel Railings along                                   Bridges with SMDE</t>
  </si>
  <si>
    <t xml:space="preserve"> The Agricultural Training Institute Region IV-A (ATI Region IV-A) invites interested suppliers to submit quotations/ proposals for the hereunder requirement: Supply and Delivery of various Agricultural Tools, Materials and Inputs for the conduct of Semina</t>
  </si>
  <si>
    <t xml:space="preserve"> REQUEST FOR QUOTATION RFQ No. 2020-0265 The CITY GOVERNMENT OF CABANATUAN through its Bid and Awards Committee (BAC), will undertake Small Value Procurement for the SUPPLY AND DELIVERY OF OFFICE SUPPLIES in accordance with Section 53.9 of the Revised Impl</t>
  </si>
  <si>
    <t xml:space="preserve"> REQUEST FOR EXPRESSION OF INTEREST    DESIGN AND DEVELOPMENT OF THE INTRAMUROS ADMINISTRATION INTEGRATED INFORMATION SYSTEM Project No. 2020-01 1.	The INTRAMUROS ADMINISTRATION, through the General Appropriations Act of CY 2020 intends to apply the sum of</t>
  </si>
  <si>
    <t xml:space="preserve"> 1	6	months	January to June 2020 (1st &amp; @nd Qrtr.)	 			Publications of Accomplishment and 	 			Coverage of Projects of LGU Bataraza	 				 APPROVED BUDGET FOR THE CONTRACT: PHP 180,000.00 LOCATION OF THE CONTRACT: BATARAZA, PALAWAN DURATION OF THE CONTRACT:</t>
  </si>
  <si>
    <t xml:space="preserve"> 1 lot ABC: 60,000.00 Components: Sardines 155 g : 120 pcs. Corned Beef, 150g : 120 pcs. Meat Loaf, 150g : 120 pcs. Choco Energy drink 12 pcs x 24g : 30 packs 3 in 1 Twin pack Coffee Mix : 450 pcs. Powdered Milk, 150g : 120 pcs. White Sugar, 1/4 kilo : 120</t>
  </si>
  <si>
    <t xml:space="preserve"> Republic of the Philippines Barangay Government of Calarian  BIDS AND AWARDS COMMITTEE Calarian, Zamboanga City   INVITATION TO BID FOR THE CONSTRUCTION OF  WELCOME  LANDMARK  AT  BARANGAY CALARIAN , ZAMBOANGA CITY 1.	The BARANGAY GOVERNMENT OF CALARIAN ,</t>
  </si>
  <si>
    <t xml:space="preserve"> 1065 Kilo, Fresh Fish, Php 106,500.00</t>
  </si>
  <si>
    <t xml:space="preserve"> a. Repair of Pavement b. Concreting of Canal side pavement(Est length 100mts.)</t>
  </si>
  <si>
    <t xml:space="preserve"> LOT1:CONSTRUCTION MATERIALS AND SUPPLIES - Php.268,560.00</t>
  </si>
  <si>
    <t xml:space="preserve"> The Agricultural Training Institute Region IV-A (ATI Region IV-A) invites interested suppliers to submit quotations/ proposals for the hereunder requirement: Supply and Delivery of various Training Supplies and Materials for the conduct of Seminar on Urba</t>
  </si>
  <si>
    <t xml:space="preserve"> REQUEST FOR QUOTATION RFQ No. 2020-0264 The CITY GOVERNMENT OF CABANATUAN through its Bid and Awards Committee (BAC), will undertake Small Value Procurement for the SUPPLY AND DELIVERY OF OFFICE SUPPLIES in accordance with Section 53.9 of the Revised Impl</t>
  </si>
  <si>
    <t xml:space="preserve"> Please see attached file for details.</t>
  </si>
  <si>
    <t xml:space="preserve"> 54 flash drive 2 pocket wifi 2 boxes ballpen 25 reams long bond 20 reams short bond 10 reams A4 2 pcs external drive</t>
  </si>
  <si>
    <t xml:space="preserve"> MONTHLY ALLOTTED BUDGET  PHP. 15,000.00 x 2 Personnel (10 months) January to February  July to December</t>
  </si>
  <si>
    <t xml:space="preserve"> fb type vehicle  Engine : 2.2 diesel engine  with spare tire  Registration with insurance  with tire wrench and jack  Brandnew</t>
  </si>
  <si>
    <t xml:space="preserve"> INVITATION TO BID PROCUREMENT OF VARIOUS CIVIL WORKS The Local Government of Bayombong, through the 20% MUNICIPAL DEVELOPMENT FUND CY 2020  Projects intends to apply the total amount of SIX MILLION FIVE HUNDRED NINETY-SIX THOUSAND          NINE HUNDRED FO</t>
  </si>
  <si>
    <t xml:space="preserve"> REQUEST FOR QUOTATION Date: June 22, 2020 RFQ No.: 2020 – 104 Name of Company:	________________________________________________________ Office Address:	________________________________________________________			____________________________________________</t>
  </si>
  <si>
    <t xml:space="preserve"> AGD-074-0 Republic of the Philippines SAN PABLO CITY WATER DISTRICT Maharlika Highway, Brgy. San Gabriel, San Pablo City Telefax. No. (049) 503-0075 INVITATION TO BID  RE-BID: Supply and Delivery of Five Thousand Five Hundred (5,500) Ltrs. Gasoline and   </t>
  </si>
  <si>
    <t xml:space="preserve"> CONTRACT ID: 19-12-272 2ND REBID Contract Name: PROCUREMENT OF VARIOUS LABORATORY REAGENTS, MEDICAL DEVICES, DENTAL SUPPLIES AND INSTRUMENTS Approved Budget for the Contract (ABC) : Php 971,750.00 1. The DOH-Zamboanga Peninsula - Center for Health Develop</t>
  </si>
  <si>
    <t xml:space="preserve"> Request for Quotation No.	: 20GOH0036 RFQ   Contract Name  		: Purchase of Rubberized Cones, Plastic Barriers and Bollards                                    with Reflectorized sticker that will be used by Maintenance                                    Cr</t>
  </si>
  <si>
    <t xml:space="preserve"> To be served during the Management Meetings / Briefings and other significant events/ activities for 3rd Quarter of CY 2020</t>
  </si>
  <si>
    <t xml:space="preserve"> Stock No. Unit        Item Description                                                                          Quantity 1              Lot        IP Radio and Access Points with the following Specifications:                             IP Radio				      </t>
  </si>
  <si>
    <t xml:space="preserve"> Sodium Bicarbonate 1MEQ/ML 50ML Requirements for Drugs and Medicines: **Drugs with history of usage from VMMC (Requirements No. 1-5 only) ** **For Innovators (Requirements No. 1-4 only) ** 1. CPR 2. CGMP 3. LTO 4. CERTIFICATE OF DISTRIBUTOSHIP 5. CERTIFIC</t>
  </si>
  <si>
    <t xml:space="preserve"> Request for Quotation No.	: 20GOH0032 RFQ   Contract Name  		: Purchase of Materials for the Installation of Reflectorized                                   Deleanator along Roxas Boulevard, Manila  Purchase Request No. (PR No.)  : 2020-01-028 Approved Bu</t>
  </si>
  <si>
    <t xml:space="preserve"> Supply and Delivery of Fuel for the use of Sangguniang Bayan service Vehicles, Brooke’s Point, Palawan.</t>
  </si>
  <si>
    <t xml:space="preserve"> Request for Quotation No.	: 20GOH0035 RFQ   Contract Name  		: Purchase of Materials for the Repair of Road Deficiencies                                   (Potholes) using Coldmix Asphalt along Various National                                    Roads wit</t>
  </si>
  <si>
    <t xml:space="preserve"> 20 Boxes Ballpen (Black &amp; Blue) Branded 20 Reams Bond Paper A4 100 Reams Bond Paper Long 70 Reams Bond Paper Short 10 Units Calculator Desktop 12 Digits 12 Boxes Carbon Paper (Branded) 1 Pack Cartolina Red 200 Pcs Correction Tape 30 Pcs Eraser (Branded) 4</t>
  </si>
  <si>
    <t xml:space="preserve"> 4 pcs. 265/70 R16 Tubeless Tire</t>
  </si>
  <si>
    <t xml:space="preserve"> For: H3-6482, Man Diesel Dump Truck		 1 pc Solenoid Valve (As per Sample)		 16 pcs Wheel Bolt &amp; Nut (As per Sample)		 1 pc Temperature Sender (As per Sample)		 2 pcs O-ring (As per Sample)		 1 pc Oil Filter (As per Sample)		 2 pcs Fuel Filter (As per Samp</t>
  </si>
  <si>
    <t xml:space="preserve"> Republic of the Philippines Province of Cotabato Municipality of Mlang BIDS AND AWARDS COMMITTEE INVITATION TO BID            The Municipal Government of M’LANG intends to apply the sum of  EIGHT HUNDRED THOUSAND PESOS ONLY (P800,000.00) being the Approve</t>
  </si>
  <si>
    <t xml:space="preserve"> INVITATION TO BID FOR  SUPPLY, DELIVERY, INSTALLATION, TESTING AND COMMISSIONING OF MEDICAL EQUIPMENT FOR FY2020</t>
  </si>
  <si>
    <t xml:space="preserve"> CONSTRUCTION : AREA = 18 sq. m. I. CONCRETE, MASONRY WORKS AND EARTHWORKS: (INCLUDES ZOCALO, EXCAVATION, FOOTING, FLOORING AND INSTALLATION OF TILES) II. CARPENTRY WORKS III. PLUMBING WORKS IV. ELECTRICAL WORKS BREAKDOWN OF EXPENDITURES:  I.      MATERIAL</t>
  </si>
  <si>
    <t xml:space="preserve"> The Technical Education and Skills Development Authority (TESDA Region 10), through the Regional Operations Division, will undertake a Negotiated Procurement- Small Value Procurement in accordance with Section 53.9 of the 2016 RIRR of RA 9184. Please subm</t>
  </si>
  <si>
    <t xml:space="preserve"> PLEASE QUOTE YOUR PRICE(s) FOR THE FOLLOWING						SUPPLIER'S COLUMN	 Lot/	Qty.	Unit of	DESCRIPTION	 Item ABC 	 Total ABC 	Unit Price	Total Item							 No.		Issue		 (Php) 	 (Php) 	(Php)	(Php) 1	186	meters	Floor mat	 160.00 	 29,760.00 		 2	300	pieces	Plast</t>
  </si>
  <si>
    <t xml:space="preserve"> Please download Bidding Documents IB 2020 – 057 Procurement of 3,061 kits Hygiene Kit Bidding Document fee: 5,000.00 The pre - bid conference is open to interested bidders. You may be qualified to submit your bidding documents during the public bidding da</t>
  </si>
  <si>
    <t xml:space="preserve"> Materials for the Improvement/Fabrication of Peri-meter Fence</t>
  </si>
  <si>
    <t xml:space="preserve"> For repair of transmission lines at Paculago Bridge &amp; pipelines at F. Simeon due to road widening by the DPWH.</t>
  </si>
  <si>
    <t xml:space="preserve"> 1	services		Surveyor's Professional Fee and Services		 			Relocation/Verification Survey		 			10,000 sq. m. Poblacion, Bulalacao		 			Rural Health Unit		 			Surveyor's Professional Fee and Services		 			Verification Survey		 			7,497 sq. m. Campaasan, Bul</t>
  </si>
  <si>
    <t xml:space="preserve"> Standard Form No. 60						 Revised on May 24, 2004						 REQUEST FOR QUOTATION						 Provincial Government of Romblon						 						 				Date:      June 23, 2020		 				Quotation No.:    178		 						 To Our Valued Suppliers:						 						 	Please quote your l</t>
  </si>
  <si>
    <t xml:space="preserve"> Construction of Local Road Access- Brgy. Calabaca, Capalonga, Cam. Norte</t>
  </si>
  <si>
    <t xml:space="preserve"> Cement              56.00 bags Washed Sand       22 m3 Boulders  class A  59.00 m3 Gravel Fill            8.00  m3 Weep Holes          17.00 m3 Filter Cloth           1.00 m2 minor Material (1% of Material)</t>
  </si>
  <si>
    <t xml:space="preserve"> The Municipality of San Mariano, Isabela invite bidders to participate in this procurement,  Supply and Delivery of Information and Technology Equipment Approved Budget: Php. 157,000.00 1) 1 unit Laptop (Core I7, RAM:16GB, HDD:2TB, SSD/eMMc:512GB) 2) 1 se</t>
  </si>
  <si>
    <t xml:space="preserve"> CITY ENGINEER'S OFFICE 1 40 Metric Hot Asphalt 60/70 (Items must be in ISO Tank) 2 100 Drum/s Emulsified asphalt (bitamol), SS1 3 20 Metric Hot Asphalt 60/70 (Items must be in ISO Tank)    Please see attached file/document on associated components or BAC </t>
  </si>
  <si>
    <t xml:space="preserve"> CY 2019 Repair/Rehabilitation of Department of Education Regional Office VI, Duran Street, Iloilo City (Rebid)</t>
  </si>
  <si>
    <t xml:space="preserve"> Republic of the Philippines													 City of San Carlos													 Negros Occidental													 													 INVITATION TO BID											FOR SALE	 			PURCHASE REQUEST NO: 221-20-06-0635				P 300.00	 Sealed bids for quotation of prices will be rec</t>
  </si>
  <si>
    <t xml:space="preserve"> The Provincial Government of Laguna through its Bids and Awards Committee (BAC) invites suppliers/manufacturers/distributors/contractors to submit quotations for the hereunder project:  Name of Project	:	Toner Cartridge for stock and distribution of Gener</t>
  </si>
  <si>
    <t xml:space="preserve"> For further details, please see attached Program of Works in the associated components.</t>
  </si>
  <si>
    <t xml:space="preserve"> 1 unit VACUUM PUMP - 1/3 HP with regulator - 220V, 50 Hz - Max. power: 200W - Max. current: 12A - Max. vacuum: 120 mbar - Max. flow rate: 80L/min. - Vaccum regulator: Yes - With thermal protection - Motor rotation: 1450 rpm The following documents must be</t>
  </si>
  <si>
    <t xml:space="preserve"> Republic of the Philippine Province of Davao de Oro  BIDS AND AWARDS COMMITTEE  Cabidianan, Nabunturan, Davao de Oro INVITATION TO SUBMIT QUOTATION FOR THE PROCUREMENT OF GOODS RECOMMENDED FOR SMALL VALUE PROCUREMENT PURSUANT TO SECTION 53.9 OF THE REVISE</t>
  </si>
  <si>
    <t xml:space="preserve"> Refill of Expired Fire Extinguisher Dry type chemical				 16	Cyl	10 lbs of Dry type chemical Fire Extinguisher, ABC 1,100.00/cyl 57	Cyl	20 lbs of Dry type chemical Fire Extinguisher, ABC 2,200.00/cyl 2	Cyl	50 lbs of Dry type chemical Fire Extinguisher, AB</t>
  </si>
  <si>
    <t xml:space="preserve"> ITEM 	ITEM &amp;  DESCRIPTION	QUANTITY NO.		 1	2"x6" C- Purlins (Raffer)	6 pcs. 2	2"x4" c- Purlin ( Scollar Cleats)	2 pcs. 3	2"x3" C- Purlins ( Purlins)	18 pcs. 4	10mm x6.0 Plain Bar ( Sag Rod)	8 pcs. 5	1/4"x2-1/2"&lt; Bar ( Wedge Plate)	1 pc. 6	Welding Rod	5 kl</t>
  </si>
  <si>
    <t xml:space="preserve"> Standard Form No. 60						 Revised on May 24, 2004						 REQUEST FOR QUOTATION						 Provincial Government of Romblon						 						 				Date:      June 23, 2020		 				Quotation No.:    530		 						 To Our Valued Suppliers:						 						 	Please quote your l</t>
  </si>
  <si>
    <t xml:space="preserve"> 1 lot ABC: 120,000.00 Components: OVEN : 12 pcs. ELECTRIC MIXER : 12 pcs. MIXING BOWL : 36 pcs. SILICON RUBBER SCRAPER : 24 pcs. WIRE WISK : 12 pcs. MEASURE SPOON AND CUPS : 12 sets STAINLESS SPATULA : 12 pcs. CUPCAKE PAN : 24 pcs. LOAF PAN : 24 pcs. STAI</t>
  </si>
  <si>
    <t xml:space="preserve"> The Barangay Burot, Allacapan,CAgayan through its Bids and Awards Committee (BAC), invites suppliers/distributors/contractors to apply for eligibility and to bid for the hereunder project: Name of Contract :Rehabilitation of Road Location : Burot, Allacap</t>
  </si>
  <si>
    <t xml:space="preserve"> Procurement of COVID-19 materials</t>
  </si>
  <si>
    <t xml:space="preserve"> 1.	The Department of Social Welfare and Development (DSWD), through the Administrative Service – Building and Grounds Management Division (AS-BGMD) -  Department of Social Welfare and Development Funds, intends to apply the sum of One Million Three Hundre</t>
  </si>
  <si>
    <t xml:space="preserve"> The Local  Government   Unit  of General  Santos  City, through  the  GENERAL FUND CY 2020  intends  to apply  the sum of one hundred forty nine thousand four hundred twenty five and xx / 100 Pesos Only (149,425.00)   being  the Approved  Budget  for the </t>
  </si>
  <si>
    <t xml:space="preserve"> 1 lot ABC: 120,000.00 Components: Oven : 12 pcs. Electric Mixer : 12 pcs. Mixing Bowl : 36 pcs. Silicon Rubber Scrapper : 24 pcs. Measuring Spoons and Cups : 12 sets Cupcake Pan : 24 pcs. Loaf Pan : 24 pcs. Stainless Tray : 24 pcs. Pipping Tip : 12 sets P</t>
  </si>
  <si>
    <t xml:space="preserve"> Republic of the Philippines LOCAL GOVERNMENT UNIT OF IBA ROVINCE OF ZAMBALES Municipal Hall, R. Magsaysay Ave., Zone 1, Iba, Zambales (047) 602-1115/(047) 602-1122  ibasz2013@gmail.com   INVITATION TO BID OF SUPPLY AND DELIVERY OF BRAND NEW SINGLE NEED</t>
  </si>
  <si>
    <t xml:space="preserve"> Item No.	Scope of Work	Quantity	Unit	Total Estimated Cost I	Const. of Water System		 II	Inst. Of 3707 lm distribution line	3707	Lm	 III	35 units cluster assembly	35	Units	 IV	Repair of intake box	1	Lot	 V	Civil Structures			 VI	Pipe Support Riprap	1	Lot	 </t>
  </si>
  <si>
    <t xml:space="preserve"> Republic of the Philippines LOCAL GOVERNMENT UNIT OF IBA ROVINCE OF ZAMBALES Municipal Hall, R. Magsaysay Ave., Zone 1, Iba, Zambales (047) 602-1115/(047) 602-1122  ibasz2013@gmail.com   INVITATION TO BID OF SUPPLY AND DELIVERY OF PORTABLE WELDING MACH</t>
  </si>
  <si>
    <t xml:space="preserve"> 1 lot ABC: 120,000.00 Components: Food Processor : 12 pcs. Stainless Basin, 20" : 12 pcs. Stainless Basin, 12" : 12 pcs. Talyasi : 12 pcs. Food Sealer : 12 pcs. Flat Ladle : 12 pcs. Polvoron Molder : 48 pcs. Stainless Measuring Cup and Spoon : 12 sets Gas</t>
  </si>
  <si>
    <t xml:space="preserve"> Invitation to Bid for the  Construction of Concrete Bridge  (2.0m x 40.0 ln.m. bridge with railings, 2.0m x 6.0 ln.m. x 0.15 thick PCCP  extended along the concrete bridge) Barangay Gibatangan, Laoang, N. Samar  1.	The Local Government Unit of Laoang, thr</t>
  </si>
  <si>
    <t xml:space="preserve"> INVITATION TO BID FOR  Procurement of Dump Truck 1.	The Municipal Government of Cavinti, Laguna, through the DOE Electrification Fund intends to apply the sum of Three Million Nine Hundred Seventy  Thousand  Pesos Only (Php 3,970,000.00) being the Approve</t>
  </si>
  <si>
    <t xml:space="preserve"> 1.	The Department of Social Welfare and Development (DSWD), through the DSWD Funds, intends to apply the sum of Four Million Two Hundred Thousand Pesos (PHP 4,200,000.00), being the Approved Budget for the Contract (ABC) to payments under the contract for</t>
  </si>
  <si>
    <t xml:space="preserve"> Request for Quotation No.	: 20GOH0041 RFQ   Contract Name  		: Purchase of  Materials  for the repair of road deficiencies                                       (potholes) using coldmix asphalt along various national                                    roa</t>
  </si>
  <si>
    <t xml:space="preserve"> Please see attached</t>
  </si>
  <si>
    <t xml:space="preserve"> The PCIEERD invites sealed bid from eligible bidders for the PROCUREMENT OF ZOOM SUBSCRIPTION LICENSES FOR DOST-PCIEERD WEBINARS 2020 with details as follows: add-on for the existing zoom subscription Features: Webinar * 500 Participants * 2 host webinar </t>
  </si>
  <si>
    <t xml:space="preserve"> Request for Quotation No.	: 20GOH0039 RFQ   Contract Name  		: Purchase of Various Spare Parts and Labor for Use of                                    Dump Truck H3-6442 Purchase Request No. (PR No.)  : 2020-02-047 Approved Budget for the Contract (ABC): </t>
  </si>
  <si>
    <t xml:space="preserve"> The Local  Government   Unit  of General  Santos  City, through  the  GENEAL FUND CY 2020  intends  to apply  the sum of two hundred thirty two thousand three hundred twenty and xx / 100 Pesos Only (232,320.00)   being  the Approved  Budget  for the Contr</t>
  </si>
  <si>
    <t xml:space="preserve"> - assorted office supplies &amp; consumables</t>
  </si>
  <si>
    <t xml:space="preserve"> INVITATION TO BID FOR  Supply and Delivery of Grafted Calamansi Seedlings 1.	The Municipal Government of Cavinti, Laguna, through the Grant from DA intends to apply the sum of Seven Hundred Thousand Pesos Only (Php 700,000.00) being the Approved Budget fo</t>
  </si>
  <si>
    <t xml:space="preserve"> SCOPE OF WORK: CLEARING AND GRUBBING, STRUCTURAL EXCAVATION, REINFORCING STEEL BARS, FORMWORKS, STRUCTURAL CONCRETE, STONE MASONRY</t>
  </si>
  <si>
    <t xml:space="preserve"> Request for Quotation No.	: 20GOH0040 RFQ   Contract Name  		: Purchase of Paints and Materials for the Repainting of                                    Curbs and Nosing along Various National Roads within                                    SMDEO Jurisdic</t>
  </si>
  <si>
    <t xml:space="preserve"> Gasoline</t>
  </si>
  <si>
    <t xml:space="preserve"> SCOPE OF WORK: CLEARING AND GRUBBING, STRUCTURAL EXCAVATION, REINFORCING STEEL BARS, FORMWORKS, STRUCTURAL CONCRETE</t>
  </si>
  <si>
    <t xml:space="preserve"> SCOPE OF WORK: CLEARING AND GRUBBING, SUBGRADE PREPARATION, AGGREGATE BASE COARSE, PCCP, EMBANKMENT, STONE MASONRY</t>
  </si>
  <si>
    <t xml:space="preserve"> OPENING OF BIDS IN DSWDD FO IX ZAMBOANGA CITY, DELIVERY IN HOME FOR THE ELDERLY ZC PROCUREMENT FOR THE FF.: 1	LOT	REPLACEMENT/UPGRADING OF DESKTOP COMPUTER 2	units  	Processor;latest Architecture(not lower than 5mb) intel i3 8100 2	units	     Memory 4gb t</t>
  </si>
  <si>
    <t xml:space="preserve"> Livelihood Assistance to Tricycle Drivers</t>
  </si>
  <si>
    <t xml:space="preserve"> Livelihood Assistance to Farmers in the form of Fertilizer</t>
  </si>
  <si>
    <t xml:space="preserve"> Republic of the Philippines MUNICIPALITY OF BUNAWAN, AGUSAN DEL SUR Invitation to Bid/ Instruction to Bidders CONSTRUCTION OF PROPOSED SLAUGHTERHOUSE – SAN TEODORO June 23, 2020 1.	The Municipality of Bunawan, now invite bids for Construction of Proposed </t>
  </si>
  <si>
    <t xml:space="preserve"> INVITATION TO BID FOR  Procurement of Ambulance 1.	The Municipal Government of Cavinti, Laguna, through the DOE Electrification Fund intends to apply the sum of One Million Nine Hundred Ten Thousand  Pesos Only (Php 1,910,000.00) being the Approved Budget</t>
  </si>
  <si>
    <t xml:space="preserve"> Republic of the Philippines Bangsamoro Autonomous Region in Muslim Mindanao Provincial Government of Maguindanao BIDS AND AWARDS COMMITTEE INVITATION TO BID FOR CONSTRUCTION OF MULTI PURPOSE BUILDING – BRGY. BANATIN 1. The Provincial Government of Maguind</t>
  </si>
  <si>
    <t xml:space="preserve"> Republic of the Philippines MUNICIPALITY OF PAGBILAO Province of Quezon REQUEST FOR QUOTATION The Municipality of Pagbilao, through its Bids and Awards Committee (BAC), will undertake Negotiated Procurement (Small Value Procurement) for Extension of Multi</t>
  </si>
  <si>
    <t xml:space="preserve"> Purchase request submitted by Roberto C. Velasco Jr.  ABC is Php 103,950.00</t>
  </si>
  <si>
    <t xml:space="preserve"> 14 sets of Safety Package Inclusive of: Working Gloves PVC Boots Hard Hat Lineman Saftey Harness Heavy Duty Belt with Pole Strap Reflectorize Vest Face Shield Safety Goggles Heavy-Duty Rechargeable Flashlights First Aid Kit Please see attached for the com</t>
  </si>
  <si>
    <t xml:space="preserve"> Republic of the Philippines Department of Health WESTERN VISAYAS SANITARIUM Santa Barbara, Iloilo INVITATION TO BID FOR Procurement of Various Drugs and Medicines IB No. 2020-06-011-G The Western Visayas Sanitarium, through its Bids and Awards Committee (</t>
  </si>
  <si>
    <t xml:space="preserve"> Purchase request submitted by Roberto C. Velasco Jr.  39.2180 lacsa Area 9.8045 ha. ABC is Php 117,654.00</t>
  </si>
  <si>
    <t xml:space="preserve"> Purchase request submitted by Roberto C. Velasco Jr.  Php 122,568.00</t>
  </si>
  <si>
    <t xml:space="preserve"> Republic of the Philippines Region XII Province of Cotabato City of Kidapawan OFFICE OF THE BIDS AND AWARD COMMITTEE June 22, 2020 INVITATION TO BID FOR  SUPPLY AND DELIVERY OF LUBRICANTS AND ADDITIVES FOR THE USE OF THE VARIOUS HEAVY EQUIPMENTS(MOTORPOOL</t>
  </si>
  <si>
    <t xml:space="preserve"> Requisition for Year-End rites preparation</t>
  </si>
  <si>
    <t xml:space="preserve"> Please see attached PR for Specifications Please address your quotation to Engr. Carmela Valencia to: carmela.valencia@dict.gov.ph cc: laurencio.lopzjr@dict.gov.ph</t>
  </si>
  <si>
    <t xml:space="preserve"> Republic of the Philippines MUNICIPALITY OF PAGBILAO Province of Quezon REQUEST FOR QUOTATION The Municipality of Pagbilao, through its Bids and Awards Committee (BAC), will undertake Negotiated Procurement (Two Failed Biddings) for Supply and Delivery of</t>
  </si>
  <si>
    <t xml:space="preserve"> 16 units Headset Specifications: USB audio adapter Windshield foam for boom microphone Audio: Frequency Response 20Hz-20 kHz Max Input Power 30 mW Sensitivity 100 dB SPL @ 1 kHz / 1mW Impedance 32ohms Microphone Frequency response 100 Hz - 10kHz Microphon</t>
  </si>
  <si>
    <t xml:space="preserve"> Republic of the Philippines Region XII Province of Cotabato City of Kidapawan OFFICE OF THE BIDS AND AWARD COMMITTEE June 22, 2020 INVITATION TO BID FOR  SUPPLY OF FUEL FOR THE PROPOSED ROAD REHABILITATION/SPOT GRAVELLING /QUARRYING OF LIMESTONE AND COMPA</t>
  </si>
  <si>
    <t xml:space="preserve"> - assorted construction materials &amp; supplies</t>
  </si>
  <si>
    <t xml:space="preserve"> Republic of the Philippines Region XII Province of Cotabato City of Kidapawan OFFICE OF THE BIDS AND AWARD COMMITTEE June 22, 2020 INVITATION TO BID FOR  SUPPLY OF FUEL FOR THE PROPOSED ROAD REHABILITATION/SPOT GRAVELLING /QUARRYING OF LIMESTONE SPREADING</t>
  </si>
  <si>
    <t xml:space="preserve"> Rehabilitation of Local Access Road, Subec, Sta. Catalina, Ilocos Sur</t>
  </si>
  <si>
    <t xml:space="preserve"> OPENING OF BIDS IN DSWD FO IX ZAMBOANGA CITY		 	DELIVERY IN RSCC-MAMPANG ZAMBOANGA CITY		 	PROCUREMENT FOR THE FF.		 			 	1 LOT ASSORTED GROCERY ITEMS		 50	KILOS	ALL PURPOSE FLOUR (FIRST CLASS FLOUR)	 50	PACK	ALL PURPOSE CREAM (250 ml)	 80	PACK	BISCUIT AS</t>
  </si>
  <si>
    <t xml:space="preserve"> Health and Sanitation supplies and materials</t>
  </si>
  <si>
    <t xml:space="preserve"> Supply of Labor and Materials ( 6 sheets of ¼" thk clear Glass, 22 lengths of 40mm x 40mm. Powdered coated aluminum Frame )</t>
  </si>
  <si>
    <t xml:space="preserve"> REPUBLIC OF THE PHILIPPINES CITY OF MANILA OFFICE OF THE BARANGAY CHAIRMAN BIDS AND AWARDS COMMITTEE INVITATION TO BID - Additional CCTV Camera - 118,000 - Public Address System - 107,422 - Repair of Brgy. Hall - 28,200.00 Barangay 564 Zone- 55 District 1</t>
  </si>
  <si>
    <t xml:space="preserve"> REQUEST FOR QUOTATION Geographic Information Mapper Services for HRVC in MinSCAT The Mindoro State College of Agriculture and Technology (MinSCAT) through the Bids and Awards Committee invites interested firms/suppliers to submit quotation for the project</t>
  </si>
  <si>
    <t xml:space="preserve"> ALCOHOL FACE MASK SOAP LYSOL DISINFECTANT SPRAY DETERGENT SOAP FAMILY MED SOLUTION TISSUE ROLL EMPTY BOTTLES STAINLESS STEEL SANITIZING STATION</t>
  </si>
  <si>
    <t xml:space="preserve"> SCOPE OF WORK: 1. Clearing of tall grasses, bushes and growing trees. Note: a. Contractor must have pertinent documents such as PhilGEPS registration, Mayor's Permit, BIR and DTI registration and certification; b. Must be a local contractor of Siquijor or</t>
  </si>
  <si>
    <t xml:space="preserve"> Construction of Sanitary Toilet &amp; Hygiene Facility, Poblacion, Sta. Catalina, Ilocos Sur</t>
  </si>
  <si>
    <t xml:space="preserve"> Republic of the Philippines Province of Palawan Municipality of Roxas BIDS AND AWARDS COMMITTEE INVITATION TO BID FOR THE SUPPLY AND DELIVERY OF OFFICE SUPPLIES, FURNITURE AND EQUIPMENT FOR LGU-ROXAS, PALAWAN The Local Government Unit of Roxas, Palawan, t</t>
  </si>
  <si>
    <t xml:space="preserve"> Purchase of Diesel 7,096 ltrs. and Gasoline 1,928 ltrs.</t>
  </si>
  <si>
    <t xml:space="preserve"> OPENING OF BIDS IN DSWD FO IX ZAMBOANGA CITY				 DELIVERY IN RSCC-MAMPANG ZAMBOANGA CITY				 PROCUREMENT FOR THE FF.				 				 1 LOT FORMULA MILK FOR INFANT AND CHILDREN				 10	CASE	STANDARD MILK FORMULA FOR INFANT 0-6 MONTHS 1000-1600g		 10	CASE	STANDARD </t>
  </si>
  <si>
    <t xml:space="preserve"> 1 lot ABC: 120,000.00 Components: Sardines, 155g : 312 pcs. Corned Beef, 150g : 216 pcs. Meat Loaf, 150g : 216 pcs. Choco Energy Drink, 12 pcs x 24g : 72 pcs. 3 in 1 Twin Pack Coffee Mix : 732 pcs. Powdered Milk, 150g : 216 pcs. White Sugar, ¼ kilo : 168 </t>
  </si>
  <si>
    <t xml:space="preserve"> (please see canvass)</t>
  </si>
  <si>
    <t xml:space="preserve"> The Local  Government   Unit  of General  Santos  City, through  the  SEF FUND  CY 2020  intends  to apply  the sum of two hundred fifty thousand and xx / 100 Pesos Only (250,000.00)   being  the Approved  Budget  for the Contract   (ABC) to payments  und</t>
  </si>
  <si>
    <t xml:space="preserve"> 30 units, Stackable Bin Box/Storage Organizer, Large - color:  any - materials: reinforced base, side and stacking rim for extra strength, durable, non-toxic, smooth inside faces - features:  semi-open fronted allow for easy access of content. 25 units, S</t>
  </si>
  <si>
    <t xml:space="preserve"> Republic of the Philippines Region XII Province of Cotabato City of Kidapawan OFFICE OF THE BIDS AND AWARD COMMITTEE June 22, 2020 INVITATION TO BID FOR  SUPPLY OF FUEL FOR THE USE OF THE RP VEHICLES OF THE CITY ENRO OPERATIONS AND SERVICES The CITY GOVER</t>
  </si>
  <si>
    <t xml:space="preserve"> Republic of the Philippines Region XII Province of Cotabato City of Kidapawan OFFICE OF THE BIDS AND AWARD COMMITTEE June 22, 2020 INVITATION TO BID FOR  SUPPLY AND DELIVERY OF VETERINARY AND MEDICAL SUPPLIES TO BE USED BY THE OFFICE OF THE CITY VETERINAR</t>
  </si>
  <si>
    <t xml:space="preserve"> ABC: Php 116,900.00</t>
  </si>
  <si>
    <t xml:space="preserve"> Republic of the Philippines Region XII Province of Cotabato CITY OF KIDAPAWAN BIDS AND AWARDS COMMITTEE Invitation to Bid 						  		             Date: June 22, 2020 1.	The City Government of Kidapawan, through the Supplemental Budget CY 2019   intends to </t>
  </si>
  <si>
    <t xml:space="preserve"> Republic of the Philippines Region XII Province of Cotabato City of Kidapawan OFFICE OF THE BIDS AND AWARD COMMITTEE June 22, 2020 INVITATION TO BID FOR  SUPPLY AND DELIVERY OF DESKTOP COMPUTERS, TABLET AND PRINTER FOR THE USE OF THE CITY ASSESSOR’S OFFIC</t>
  </si>
  <si>
    <t xml:space="preserve"> Construction of Sheet Pile/Galvanized Iron Pipe Foot Bridge. See Program of Works, Structural Drawings and Bill of Quantities upon payment of bidding documents Minimum Required Equipment: 1. Welding Machine 2. Cut-off Machine 3. Backhoe 4. Dump Truck 5. 1</t>
  </si>
  <si>
    <t xml:space="preserve"> Republic of the Philippines Bangsamoro Autonomous Region in Muslim Mindanao Provincial Government of Maguindanao BIDS AND AWARDS COMMITTEE INVITATION TO BID FOR CONSTRUCTION OF MULTI PURPOSE BUILDING – BRGY. BUGCASAN NORTE 1. The Provincial Government of </t>
  </si>
  <si>
    <t xml:space="preserve"> Republic of the Philippines Bangsamoro Autonomous Region in Muslim Mindanao Provincial Government of Maguindanao BIDS AND AWARDS COMMITTEE INVITATION TO BID FOR CONSTRUCTION OF MULTI PURPOSE BUILDING – BRGY. NANGI 1. The Provincial Government of Maguindan</t>
  </si>
  <si>
    <t xml:space="preserve"> Republic of the Philippines Bangsamoro Autonomous Region in Muslim Mindanao Provincial Government of Maguindanao BIDS AND AWARDS COMMITTEE INVITATION TO BID FOR CONSTRUCTION OF MULTI PURPOSE BUILDING – BRGY. SAPAD 1. The Provincial Government of Maguindan</t>
  </si>
  <si>
    <t xml:space="preserve"> Republic of the Philippines Bangsamoro Autonomous Region in Muslim Mindanao Provincial Government of Maguindanao BIDS AND AWARDS COMMITTEE INVITATION TO BID FOR CONSTRUCTION OF MULTI PURPOSE BUILDING – BRGY. MATAYA 1. The Provincial Government of Maguinda</t>
  </si>
  <si>
    <t xml:space="preserve"> Republic of the Philippines Bangsamoro Autonomous Region in Muslim Mindanao Provincial Government of Maguindanao BIDS AND AWARDS COMMITTEE INVITATION TO BID FOR CONSTRUCTION OF MULTI PURPOSE BUILDING – BRGY. NARRA 1. The Provincial Government of Maguindan</t>
  </si>
  <si>
    <t xml:space="preserve"> Republic of the Philippines Bangsamoro Autonomous Region in Muslim Mindanao Provincial Government of Maguindanao BIDS AND AWARDS COMMITTEE INVITATION TO BID FOR CONSTRUCTION OF MULTI PURPOSE BUILDING – BRGY. LADIA 1. The Provincial Government of Maguindan</t>
  </si>
  <si>
    <t xml:space="preserve"> Republic of the Philippines Bangsamoro Autonomous Region in Muslim Mindanao Provincial Government of Maguindanao BIDS AND AWARDS COMMITTEE INVITATION TO BID FOR CONSTRUCTION OF MULTI PURPOSE BUILDING – BRGY. CENTRAL LANGCONG 1. The Provincial Government o</t>
  </si>
  <si>
    <t xml:space="preserve"> Republic of the Philippines Bangsamoro Autonomous Region in Muslim Mindanao Provincial Government of Maguindanao BIDS AND AWARDS COMMITTEE INVITATION TO BID FOR CONSTRUCTION OF MULTI PURPOSE BUILDING – BRGY. MINABAY 1. The Provincial Government of Maguind</t>
  </si>
  <si>
    <t xml:space="preserve"> 1,500.00 L.s. Subgrade Preparation 300.15 cu.m. Aggregate Base Course 1,100.00 sq.m. PCC Pavement, Plain SPL-I 2.00 each Warning 7 Hazard Signs SPL-II 1.00 l.s Construction Health and Safety SPL-III 1.00 unit Billboard MANPOWER: Mason/Carpenter Laborer Fi</t>
  </si>
  <si>
    <t xml:space="preserve"> Republic of the Philippines BIDS AND AWARDS COMMITTEE Province of Iloilo Invitation to Bid PURCHASE OF OTHER SUPPLIES &amp; MATERIALS Bid No. VET-20-0469-B 1. The Iloilo Provincial Government, through the GENERAL FUND intends to apply the sum of SEVENTEEN THO</t>
  </si>
  <si>
    <t xml:space="preserve"> To support the procurement for other supplies and materials expenses for the use of TOWSOL, Guillermo Nakar, Lucena City.</t>
  </si>
  <si>
    <t xml:space="preserve"> Procurement of school and office supplies.</t>
  </si>
  <si>
    <t xml:space="preserve"> Republic of the Philippines Bangsamoro Autonomous Region in Muslim Mindanao Provincial Government of Maguindanao BIDS AND AWARDS COMMITTEE INVITATION TO BID FOR CONSTRUCTION OF MULTI PURPOSE BUILDING – BRGY. DARUGAO 1. The Provincial Government of Maguind</t>
  </si>
  <si>
    <t xml:space="preserve"> Republic of the Philippines Region XII Province of Cotabato City of Kidapawan OFFICE OF THE BIDS AND AWARD COMMITTEE                              June 22, 2020 INVITATION TO BID FOR  SUPPLY AND DELIVERY OF HEAVY EQUIPMENT FOR THE USE OF THE CITY GOVERNMEN</t>
  </si>
  <si>
    <t xml:space="preserve"> INVITATION TO BID FOR THE Supply and Delivery of  Science Equipment (SEF-0519-042420) 1.	The City Government of Mandaue, through the Special Education Fund – (200)  10705140 Technical &amp; Scientific Equipment Approved by the Sanggunian intends to apply the </t>
  </si>
  <si>
    <t xml:space="preserve"> Submission of Quotation on a sealed envelope submit it to  UPLB BAC Secretariat SPMO Rambutan, Road. Telephone No. (049) 544-0382</t>
  </si>
  <si>
    <t xml:space="preserve"> Supply and Install 4sets 200W LED Floodlight (Warm White) including Accessories</t>
  </si>
  <si>
    <t xml:space="preserve"> Good Day!   We post the list of materials that amounting the some of P 113, 915.00 for a public bidding for this project of the Barangay. 131	bags	cement 74	pcs	16mmᴓ steel bar 72	pcs	12mmᴓsteel bar 18	pcs	10mmᴓsteel bar 18	pcs	¼ ordinary Plywood 320	bd-f</t>
  </si>
  <si>
    <t xml:space="preserve"> Republic of the Philippines Province of Pangasinan MUNICIPALITY OF POZORRUBIO -o0o- 					 INVITATION TO BID FOR  CONSTRUCTION OF DRAINAGE LINED CANAL  AT BARANGAY ALIPANGPANG, POZORRUBIO, PANGASINAN 1.	The Municipality of Pozorrubio, through the Local Fun</t>
  </si>
  <si>
    <t xml:space="preserve"> Republic of the Philippines Region XII Province of Cotabato City of Kidapawan OFFICE OF THE BIDS AND AWARD COMMITTEE                               June 22, 2020 INVITATION TO BID FOR  PURCHASE OF HEAVY EQUIPMENT FOR THE LIVE STOCK DEVELOPMENT OF CITY GOVE</t>
  </si>
  <si>
    <t xml:space="preserve"> Republic of the Philippines Province of Pangasinan MUNICIPALITY OF POZORRUBIO -o0o- 					 INVITATION TO BID FOR  CONSTRUCTION OF STONE MASONRY WITH GABION FOUNDATION FOR ROAD CONCRETING AT BARANGAY BALACAG,  POZORRUBIO, PANGASINAN 1.	The Municipality of P</t>
  </si>
  <si>
    <t xml:space="preserve"> Republic of the Philippines Bangsamoro Autonomous Region in Muslim Mindanao Provincial Government of Maguindanao BIDS AND AWARDS COMMITTEE INVITATION TO BID FOR CONSTRUCTION OF MULTI PURPOSE BUILDING – BRGY. CROSSING SIMUAY 1. The Provincial Government of</t>
  </si>
  <si>
    <t xml:space="preserve"> 1. Construction of 1 lot Sewer Line Outlet  2. Repair of 1 lot Toilet Room</t>
  </si>
  <si>
    <t xml:space="preserve"> Improvement/Upgrading of FMR 146.38 l.m. x 5m. x 0.23m thk. and other scope of works to be done</t>
  </si>
  <si>
    <t xml:space="preserve"> Republic of the Philippines Department of the Interior and Local Government BUREAU OF FIRE PROTECTION 10 OFFICE OF THE REGIONAL DIRECTOR Maharlika Bldg., Gumamela Extn. Carmen, Cagayan de Oro City Tel/Fax No. (088) 880-7534 Email Add: bfprbac10@yahoo.com </t>
  </si>
  <si>
    <t xml:space="preserve"> The San Francisco Water District through its Bids and Award Committee would like you to quote for;</t>
  </si>
  <si>
    <t xml:space="preserve"> 1 pc. Korg Kross Organ (kross-61) 1 set Cymbals (1 ride, 1 crash, 1 set hi hat/clappers) 1 pc. Camera EOS 200D II         SPECIFICATION:               Approx. 122.4mm x 92.6mm x 69.8mm               24.1 megapixel APS-C CMOS sensor               Wi-fi / B</t>
  </si>
  <si>
    <t xml:space="preserve"> See attached document, print Bid Notice Abstract and download ITB No. GOODS-20-114.</t>
  </si>
  <si>
    <t xml:space="preserve"> See attached documents, print Bid Notice Abstract and download ITB No. GOODS-20-113.</t>
  </si>
  <si>
    <t xml:space="preserve"> See attached documents, print Bid Notice Abstract and download ITB No. GOODS-20-112.</t>
  </si>
  <si>
    <t xml:space="preserve"> SALA SET STANDARD WOODEN SALA SET WITH FOAM 12-SEATER DINING SET</t>
  </si>
  <si>
    <t xml:space="preserve"> 2,220 LITERS OF DIESEL</t>
  </si>
  <si>
    <t xml:space="preserve"> INVITATION TO BID No. IB-2020-VII-13-02 The Municipality of Sibalom through its Bids &amp; Awards Committee (BAC), invites bidders/contractors to apply for eligibility and to bid for the hereunder project: Project           	 	:	 Farm to Market Road (Various </t>
  </si>
  <si>
    <t xml:space="preserve"> This project involves the improvement of 108 lnm cable bridge at barangay Mabongto, Lubuagan. SCOPE OF WORKS ARE AS FOLLOWS: DEMOLITION OF WORKS PROJECT LAY-OUT PORTAL "A" (EXCAVATION FOR STRUCTURES, EMBANKMENT, rsb, STRUCTURAL CONCRETE, FORMWORKS) DEADMA</t>
  </si>
  <si>
    <t xml:space="preserve"> 1. Supply and Fabrication of 221.76kgs Reinforcing Steel Bars	 2. Supply and Place 7.43Cu M Concrete 3500psi 3. Move and Place of Existing Covered Walk at PTB-2	 4. Supply and Place 3500psi Concrete including RSB</t>
  </si>
  <si>
    <t xml:space="preserve"> EARTHWORKS (LEVELLING OF SITE)         9.80 CUM SUB BASE COURSE  (SPREADING OF AGGREGATE)    17.50 CUM CONCRETE WORK INCLUDING FORMWORKS (CLASS "A")    17.50 CUM TRANSHIPMENT OF MATERIALS PROJECT BILLBOARD TOTAL ABC   240,000.00</t>
  </si>
  <si>
    <t xml:space="preserve"> 8 CANS CHINCESE CABBAGE  50G   6,800.00 45 KG POLE SITAO    63,000.00 18 CANS AMPALAYA   25,200.00 27 CAN OKRA  100G    18,900.00</t>
  </si>
  <si>
    <t xml:space="preserve"> 45 KG MARCOS PECHAY TYPE   36,000.00 45 KG PECHAY FLOWERING   36,000.00 18 CANS EGGPLANT    36,000.00 36 KG CLIMBING BEANS   50,400.00</t>
  </si>
  <si>
    <t xml:space="preserve"> 1. The Municipal Government Unit of Lubuagan through its Bids and Awards Committee (BAC) invites PhilGeps registered suppliers/contractors to submit their sealed quotation for the procurement of consulting services for the topographic survey of road conne</t>
  </si>
  <si>
    <t xml:space="preserve"> Invitation to Bid for the Supply and Delivery of Copiers and Printers Bid Reference No.: 04-2020-GOODS 1.	The Municipal Government of Delfin Albano, Isabela through the Appropriation Ordinance No. 59-2019 for CY 2020 intends to apply the sum of Three Hund</t>
  </si>
  <si>
    <t xml:space="preserve"> Republic of the Philippines Region XII Province of Cotabato City of Kidapawan OFFICE OF THE BIDS AND AWARD COMMITTEE                                June 22, 2020 INVITATION TO BID FOR  SUPPLY AND DELIVERY OF DUMP TRUCKS FOR THE USE OF THE CITY GOVERNMENT </t>
  </si>
  <si>
    <t xml:space="preserve"> Invitation to Bid REPAIRS OF THE INFORMATION TECHNOLOGY (FELIPE AGONCILLO) BLDG., ORGANIC CENTER (MRF BLDG.) AND 2-STOREY LABORATORY (PEDRO PATERNO) BLDG.  AT OMSC LABANGAN DAMAGED BY TYPHOON URSULA (B-8661-20-13) 1.	The OCCIDENTAL MINDORO STATE COLLEGE (</t>
  </si>
  <si>
    <t xml:space="preserve"> NEGOTIATED PROCUREMENT  FOR THE  Fabrication and Delivery of  Prisoner’s Vehicle (PR-2020-9999-0185) 1.	  In view of the two (2) failed biddings, the City Government of Mandaue invites interested bidders to participate in the negotiation for Fabrication a</t>
  </si>
  <si>
    <t xml:space="preserve"> construction Materials</t>
  </si>
  <si>
    <t xml:space="preserve"> DESCRIPTION Rehabilitation of the Electrical Wiring System of  Bldg V  *Check of overloaded circuits and rewiring *Replacement of Circuit Breaker with higher capacity *Installation of  wiring and outlets inside the classrooms</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</si>
  <si>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</si>
  <si>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Republic of the Philippines Province of Pangasinan MUNICIPALITY OF POZORRUBIO -o0o- 					 INVITATION TO BID FOR  ROAD CONCRETING AT BARANGAYS NAMA &amp; INOMAN,  POZORRUBIO, PANGASINAN 1.	The Municipality of Pozorrubio, through the Local Fund intends to apply</t>
  </si>
  <si>
    <t xml:space="preserve"> Republic of the Philippines Province of Pangasinan MUNICIPALITY OF POZORRUBIO -o0o- 					 INVITATION TO BID FOR  ROAD CONCRETING AT BARANGAYS MALOKIAT &amp; MANAOL,  POZORRUBIO, PANGASINAN 1.	The Municipality of Pozorrubio, through the Local Fund intends to a</t>
  </si>
  <si>
    <t xml:space="preserve"> May we request for your price quotation per PR # 20-06-206 dated 06/9/2020</t>
  </si>
  <si>
    <t xml:space="preserve"> INVITATION TO BID No. IB-2020-VII-13-01 The Municipality of Sibalom through its Bids &amp; Awards Committee (BAC), invites bidders/contractors to apply for eligibility and to bid for the hereunder project: Project           	 		:	Office Supplies Inks  &amp; Toner</t>
  </si>
  <si>
    <t xml:space="preserve"> PES Various Office Supplies available at PS 2020 with the alloted budget of Php 40,000.00 QTY	Unit	Agency Specification		Bidders Specification	 20	ream	paper multi copy, 80 gsm size 216mm x 330			 15	ream	paper multi copy A4 70gsm			 2	pc	Record book 300 </t>
  </si>
  <si>
    <t xml:space="preserve"> Common Office Supplies - 2nd Quarter (pls. see attached RFQ sheet)</t>
  </si>
  <si>
    <t xml:space="preserve"> Republic of the Philippines Province of Aurora Municipality of Maria Aurora BIDS AND AWARDS COMMITTEE INVITATION TO BID (First   Posting) The Local Government Unit of Maria Aurora, through its Bids and Awards Committee (BAC), invites suppliers/interested </t>
  </si>
  <si>
    <t xml:space="preserve"> Republic of the Philippines								 NATIONAL IRRIGATION ADMINISTRATION								 MAGAT RIVER INTEGRATED IRRIGATION SYSTEM								 Division I Batal, Santiago City								 								 							Quotation/Bid No.	 Company Name							PR No.:	EQP2020-06-33 							Date</t>
  </si>
  <si>
    <t xml:space="preserve"> Republic of the Philippines Province of Negros Oriental Municipality of Sibulan Barangay Looc OFFICE OF THE BIDS AND AWARDS INVITATION TO APPLY FOR ELIGIBILITY AND TO BID 	The Barangay Government of Looc, Sibulan, Negros Oriental invites all interested su</t>
  </si>
  <si>
    <t xml:space="preserve"> Republic of the Philippines								 NATIONAL IRRIGATION ADMINISTRATION								 MAGAT RIVER INTEGRATED IRRIGATION SYSTEM								 Division I Batal, Santiago City								 								 							Quotation/Bid No.	 Company Name							PR No.:	EQP2020-05-20 							Date</t>
  </si>
  <si>
    <t xml:space="preserve"> Republic of the Philippines Bangsamoro Autonomous Region in Muslim Mindanao Provincial Government of Maguindanao BIDS AND AWARDS COMMITTEE INVITATION TO BID FOR CONSTRUCTION OF MULTI PURPOSE BUILDING – BRGY. GANG 1. The Provincial Government of Maguindana</t>
  </si>
  <si>
    <t xml:space="preserve"> CLEARING AND EXCAVATION      20.63 CUM STRUCTURAL CONCRETE INCL. FORM WORKS    23.38 CUM TRANSHIPMENT OF MATERIALS AND MANUAL HAULING PROJECT BILLBOARD TOTAL ABC   300,000.00 CONTRACT DURATION   14 CD</t>
  </si>
  <si>
    <t xml:space="preserve"> Please see "associated component" for the specifications Stretch Wrap Film - 500 roll Food Box - 25,000 pcs Hand Gloves - 520 box Cup - 179 pack</t>
  </si>
  <si>
    <t xml:space="preserve"> Item	Quantity	Unit	Item Description 1	31	       Rolls	HDPE Hose (1”, Class A Royale) 2	4	      Rolls	HDPE Hose (1/2”, Class A Royale) 3	24	      Rolls	HDPE Hose (2”, Class A Royale) 4	3	      Unit	Water Pump ( Diesel, 7HP, with complete Accessories) 5	2	 </t>
  </si>
  <si>
    <t xml:space="preserve"> Republic of the Philippines Province of Pangasinan MUNICIPALITY OF POZORRUBIO -o0o- 					 INVITATION TO BID FOR  ROAD CONCRETING AT BARANGAYS ALIPANGPANG &amp; CABLONG,  POZORRUBIO, PANGASINAN 1.	The Municipality of Pozorrubio, through the Local Fund intends </t>
  </si>
  <si>
    <t xml:space="preserve"> copier rental July to December 2020</t>
  </si>
  <si>
    <t xml:space="preserve"> SPECIFICATIONS: Model &amp; Type: 2.5-liter 4 In-line DOHC 16 Valve Variable Turbocharged Diesel Engine Displacement: 2,450cc – 2,500cc Max. Power: 125 to 130hp/3,200 to 3,500rpm Max Torque: 350 to 360 N-m/1,350 to 2,000rpm Fuel System: Common Rail Direct Inj</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</si>
  <si>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</si>
  <si>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Republic of the Philippines DEPARTMENT OF PUBLIC WORKS AND HIGHWAYS ZAMBOANGA DEL SUR 2ND DISTRICT ENGINEERING OFFICE REGIONAL OFFICE IX Poblacion, Guipos INVITATION TO BID The Department of Public Works and Highways, 2nd District Engineering Office, Guip</t>
  </si>
  <si>
    <t xml:space="preserve"> SPECIFICATIONS: Type: 4 Cylinder, 16 Valve DOHC Variable, Nozzle Turbo with Front Mounted Intercooler Displacement: 2,390cc - 2,400cc Max. Output: 140-150/3,400-3,500hp/rpm Transmission: 5 Speed Manual Fuel/Fuel System: Diesel/Direct Injection Common Rail</t>
  </si>
  <si>
    <t xml:space="preserve"> Republic of the Philippines PROVINCE OF NUEVA VIZCAYA Municipality of Alfonso Castañeda  BIDS AND AWARDS COMMITTEE FOR INFRASTRUCTURE PROJECTS COMPLETION OF ALFONSO CASTAÑEDA RURAL HEALTH UNIT BUILDING 1.	The Local Government of Alfonso Castañeda, throu</t>
  </si>
  <si>
    <t xml:space="preserve"> Contract ID No.	: 20K00352     Contract Name	: Reconstruction/ Rehabilitation of Bridge along Barangay Road at Kurmatan Matampay     Contract Location	: Lanao del Sur     Scope of Work	: Reconst./Rehab. of Bridge     Appropriation		: Php. 40,000,000.00   </t>
  </si>
  <si>
    <t xml:space="preserve"> MUNICIPALITY OF ABRA DE ILOG Name of Procuring Entity						 Contract Reference Number Goods No. 22-2020 Name of Contract: Supply and Delivery of Materials for the  Construction of Local Access Road    Location:  Sitio, Amazona, Brgy. Lumangbayan, ADIOM Re</t>
  </si>
  <si>
    <t xml:space="preserve"> MUNICIPALITY OF ABRA DE ILOG Name of Procuring Entity						 Contract Reference Number Goods No. 21-2020 Name of Contract: Supply and Delivery of Materials for the  Construction of Local Access Road    Location:  Sitio, Rayusan, Brgy. Armado, ADIOM Republi</t>
  </si>
  <si>
    <t xml:space="preserve"> MUNICIPALITY OF ABRA DE ILOG Name of Procuring Entity						 Contract Reference Number Goods No. 20-2020 Name of Contract: Supply and Delivery of Materials for the  Construction of Local Access Road    Location:  Sitio, Kalinyawan, Brgy. San Vicente, ADIOM</t>
  </si>
  <si>
    <t xml:space="preserve"> ABC: PHP128,400.00</t>
  </si>
  <si>
    <t xml:space="preserve"> MUNICIPALITY OF ABRA DE ILOG Name of Procuring Entity						 Contract Reference Number Goods No.18-2020 Name of Contract: Supply and Delivery of Materials for the  Construction of RMG Office   Location:  LGU, ADIOM Republic of the Philippines Province of O</t>
  </si>
  <si>
    <t xml:space="preserve"> MUNICIPALITY OF ABRA DE ILOG Name of Procuring Entity						 Contract Reference Number Goods No.17-2020 Name of Contract: Supply and Delivery of Materials for the  Repair and Maintenance of Public Building and  Other Structures   Location:  LGU, ADIOM Repu</t>
  </si>
  <si>
    <t xml:space="preserve"> MUNICIPALITY OF ABRA DE ILOG Name of Procuring Entity						 Contract Reference Number Goods No.19-2020 Name of Contract: Supply and Delivery of Materials for the  Construction of Local Access Road    Location:  Sitio, Sto. Tomas , ADIOM Republic of the Ph</t>
  </si>
  <si>
    <t xml:space="preserve"> Tractor Maintenance 5	PAIL 	Diesel Engine Oil w-40 (18 ltrs /pail) 5	pail 	Hydraulic Oil (18 ltrs/pail) 2	pail 	Grease (18 ltrs/pail) 3	pail	Gear Oil 90(18ltrs /pail) 2	pcs	Fuel Filter Primary (as per sample) 2	pcs	Fuel Filter Secondary (as per sample) 6	</t>
  </si>
  <si>
    <t xml:space="preserve"> Republic of the Philippines DEPARTMENT OF HEALTH DR. JOSE RIZAL MEMORIAL HOSPITAL Lawaan, Dapitan City Telefax; (065) 213-6421 Website: www.djrmh.doh.gov.ph Email: dohdjrmh@gmail.com BIDS AND AWARDS COMMITTEE INVITATION TO BID PROCUREMENT OF DIETARY SUPPL</t>
  </si>
  <si>
    <t xml:space="preserve"> 1 unit EKMAN DREDGE - made of stainless steel - with messenger also made of stainless steel - Dimension: 6 in. x 6 in. x 6 in. - Rope: 30 to 40 meters of braided polythylene line - Weight: 6 to 8 kgs. (unit only, without weights attached) The following do</t>
  </si>
  <si>
    <t xml:space="preserve"> for CCTV Cameras with Installation and Services</t>
  </si>
  <si>
    <t xml:space="preserve"> Supply and Delivery of 100cm x 230cm x 1/2" clear glass with frameless door and LGU Logo</t>
  </si>
  <si>
    <t xml:space="preserve"> ITEM 	ITEM &amp;  DESCRIPTION	QUANTITY NO.		 	EXCAVATION/ BACKFILL	 1	Filling Materials	7 cu.m. 		 	PCCP( PORTLAND CEMENT CONCRETE PAVEMENT)	 2	Portland Cement	360 bags 3	Washed Sand	20 cu.m 4	3/4" Gravel	40 cu.m. 5	12mm RSB	225 length 6	#16 Tie Wire	20 kgs.</t>
  </si>
  <si>
    <t xml:space="preserve"> 30 boxes PDX wire#14 38 Pcs. Rubber Receptacle 38 pcs. electrical bulb 15 W 20 rls. electrical tape 38 pcs. ball insulator</t>
  </si>
  <si>
    <t xml:space="preserve"> 18 unit, Penlight, LED Bulb pocket size powered by AAA battery, aluminum body material, lightweight and durable</t>
  </si>
  <si>
    <t xml:space="preserve"> To support the procurement for Repairs and Maintenance ICT Equipment for the use of TOWSOL, Guillermo Nakar , Lucena City.</t>
  </si>
  <si>
    <t xml:space="preserve"> 1. The City Government of Calamba through the General Fund intends to apply the sum of Php 189,960.00 being the Approved Budget for the Contract (ABC) to payments under the contract for G-2020-378 Supply and Delivery of Office &amp; Janitorial Supplies, Busin</t>
  </si>
  <si>
    <t xml:space="preserve"> 1 unit Brand New Combined Rice Harvester SPECIFICATIONS: Engine: Water Cooled, 4 Cycle, 4 Cylinder, Vertical Diesel Engine (with turbo charger) Displacement: 2.430-2.450 liters Output: 50-51kw at 2,650-2,700rpm Fuel Capacity: 80-90 liters Travel Section: </t>
  </si>
  <si>
    <t xml:space="preserve"> DESKTOP HP Pavilion 24-r174d 23.8-in FHD, IPS Touch Intel Core i7-8700T/8GB/1TB/2GB Radeon 530/Win10 AIO PC - Intel Core i7-8700T 2.40 GHz Processor (12M Cache, up to 4.00 GHz) / 8GB / 1TB / AMD Radeon 530 Graphics (2 GB GDDR5 dedicated) / 23.8" diagonal </t>
  </si>
  <si>
    <t xml:space="preserve"> To support the procurement for Repairs and Maintenance- communication equipment for the use of TOWSOL, Camp Guillermo Nakar, Lucena City.</t>
  </si>
  <si>
    <t xml:space="preserve"> For Construction of IP Housing (Materials)</t>
  </si>
  <si>
    <t xml:space="preserve"> Item No.	ITEM DESCRIPTION	No.  of Items	Statement of Compliance (State “Compliant” or “Not Compliant”)	Total Bid Price 1 	PROCUREMENT OF PERSONAL PROTECTIVE EQUIPMENT (PPE), MEDICAL AND HYGIENE SUPPLIES IN THE MIDST OF COVID-19 PANDEMIC SITUATION-2ND POST</t>
  </si>
  <si>
    <t xml:space="preserve"> 1. The City Government of Calamba through the LDRRM Fund intends to apply the sum of Php 194,977.20 being the Approved Budget for the Contract (ABC) to payments under the contract for G-2020-376 Supply and Delivery of Office &amp; Janitorial Supplies, Local D</t>
  </si>
  <si>
    <t xml:space="preserve"> 2,000 liters Diesel Fuel (kindly see attached request for quotation)</t>
  </si>
  <si>
    <t xml:space="preserve"> The delivery term applicable to this Contract are delivered to the Department of Labor and Employment, Regional Office No. 8, Trece Martires Street, Tacloban City. Risk and title will pass from the Supplier to the DOLE upon receipt and final acceptance of</t>
  </si>
  <si>
    <t xml:space="preserve"> INVITATION TO BID FOR LAPTOP  		 1.	The Bicol State College of Applied Sciences and Technology, through the, Fund (101) FY 2020 intends to apply the sum of TWO MILLION THREE HUNDRED EIGHTY THOUSAND PESOS ONLY  (P 2,380,000.00) being the Approved Budget fo</t>
  </si>
  <si>
    <t xml:space="preserve"> MUNICIPALITY OF ABRA DE ILOG Name of Procuring Entity						 Contract Reference Number Goods No. 23-2020 Name of Contract: Supply and Delivery of Materials                FOR THE Maint. of Water System Location:  LGU, ADIOM Republic of the Philippines Prov</t>
  </si>
  <si>
    <t xml:space="preserve"> INVITATION TO BID FOR THE CONCRETING OF MAGARA BGY. ROAD PHASE II (MUNICIPALITY OF ROXAS, PALAWAN) 1.	The Provincial Government of Palawan, through its 20% Development Fund (OBR No. 300-20-06-07378) account intends to apply the sum of Three Million Two Hu</t>
  </si>
  <si>
    <t xml:space="preserve"> Republic of the Philippines													 City of San Carlos													 Negros Occidental													 										                    		REBIDDING	 INVITATION TO BID											FOR SALE	 			PURCHASE REQUEST NO: 4-20-02-0304				P 150.00	 Sealed bids for quot</t>
  </si>
  <si>
    <t xml:space="preserve"> Please find attach file.</t>
  </si>
  <si>
    <t xml:space="preserve"> This project is dealing of Brgy. Pisipis, Lopez, Quezon</t>
  </si>
  <si>
    <t xml:space="preserve"> Name of Project: 	20-05-377 Meals and Snacks Use during Committee Hearings, Meeting, Conferences of SB Members and Vice Mayor for 3rd Quarter 2020  Procurement Mode:		Small Value Procurement (SVP) Classification:			Goods Approved Budget for the Contract (</t>
  </si>
  <si>
    <t xml:space="preserve"> 1. 85 pcs Light Bulb, tornado, 24W, 220-240V, saving warm, white. N/F</t>
  </si>
  <si>
    <t xml:space="preserve"> DepEd Bais City Division is located at Laurel St., Brgy. 1, Bais City, Negros Oriental</t>
  </si>
  <si>
    <t xml:space="preserve"> REQUEST FOR QUOTATIONS 	The Philippine Council for Health Research and Development (PCHRD), through its Bids and Awards Committee (BAC), requests PhilGEPS registered suppliers to submit quotations for the supply and delivery of Adobe Creative Cloud and Vi</t>
  </si>
  <si>
    <t xml:space="preserve"> Fabrication of Basketball Fiber Glass Board</t>
  </si>
  <si>
    <t xml:space="preserve"> 500 kgs. Nylon String 300mm 3 pcs. Electode Holder Heavy Duty  4 pcs. Grass Cutter Lawn Scissor 4 pcs. Rake Heavy Duty 300 pcs. Safety Glasses TERMS AND CONDITIONS 1. All entries must be typewritten or legibly written 2. Delivery period within Twenty (20)</t>
  </si>
  <si>
    <t xml:space="preserve"> PLEASE SEE RFQ/TECHNICAL SPECIFICATIONS</t>
  </si>
  <si>
    <t xml:space="preserve"> MODULE PRINTING SHS FOR STUDENTS HANDOUTS</t>
  </si>
  <si>
    <t xml:space="preserve"> The Barangay 802, Zone 87, District V, Manila. Through its Bids and Awards Committee (BAC). INVITES ALL SUPPLIERS/CONTRACTORS to bid for the hereunder projects:</t>
  </si>
  <si>
    <t xml:space="preserve"> 20GCL0002 - Purchase of Materials for Maintenance (Paints) at Iba North &amp; South for 2nd Quarter.</t>
  </si>
  <si>
    <t xml:space="preserve"> Printing &amp; Publication Expense</t>
  </si>
  <si>
    <t xml:space="preserve"> MODULE PRINTING JHS FOR THEIR HANDOUTS</t>
  </si>
  <si>
    <t xml:space="preserve"> Description, Republic of the Philippines Municipality of Taytay Taytay,Palawan NOTICE TO BIDDERS Item #  Qty      Unit         Description    Amount 1.	  83     SACKS      RICE                199,200 2.	  20     kls            RICE                        </t>
  </si>
  <si>
    <t xml:space="preserve"> FABRICATION AND INSTALLATION OF STREETLIGHTS</t>
  </si>
  <si>
    <t xml:space="preserve"> 300 PAD WRITING PAD GRADE I 300 PAD WRITING PAD GRADE II 300 PAD WRITING PAD GRADE III 300 PAD WRITING PAD GRADE IV 318 PAD INTERMEDIATE PAPER 45 REAM BOND PAPER (LONG) 50 PIECE CARTOLINA 115 PIECE FOLDER (LONG) 5 BOXES FASTENER 31 BOTTLE PRINTER INK 10 P</t>
  </si>
  <si>
    <t xml:space="preserve"> Republic of the Philippines  Department of Education  Region V  Division of Camarines Sur  RAGAY NATIONAL AGRICULTURAL AND FISHERIES SCHOOL  BIDS AND AWARDS COMMITTEE  Liboro, Ragay, Camarines Sur  RNAFS-2020-06-015 ATTENTION:  ALL INTERESTED BIDDERS  SUB</t>
  </si>
  <si>
    <t xml:space="preserve"> Supply and Delivery of Various Office Equipment Please see attached RFQ and PR</t>
  </si>
  <si>
    <t xml:space="preserve"> Republic of the Philippines 	CITY OF SAN PEDRO Province of Laguna BIDS AND AWARDS COMMITTEE INVITATION TO APPLY FOR ELIGIBILITY AND TO BID PR NO. 0473 1.	The City Government of San Pedro, Laguna through the 2020 Budget Approved by the Sangguniang Panglung</t>
  </si>
  <si>
    <t xml:space="preserve"> Supply and Delivery of Venetian Blinds Please see attached RFQ and POW</t>
  </si>
  <si>
    <t xml:space="preserve"> Supply and Delivery of Customized Leather Padfolio and Acrylic Clipboard for the use of SDO Makati ISO Team Please see attached RFQ and PR</t>
  </si>
  <si>
    <t xml:space="preserve"> 1.The Barangay Government of Centro West through 20% Development Fund (Barangay) intends to apply the sum of THREE HUNDRED THOUSAND PESOS (P300,000.00) being the Approved Budget for the Contract (ABC) to payment under the contract for the CONTINUATION FOR</t>
  </si>
  <si>
    <t xml:space="preserve"> Maintenance Cleaning of Aircon 70 unit	Split type 7 unit	Window Type 4 unit	Floor Mounted</t>
  </si>
  <si>
    <t xml:space="preserve"> 1.	The Municipal Government of El Nido, through the 20 % DF BDAF-MASAGANA, intends to apply the sum of Two Hundred Fifty Six Thousand Eight Hundred Pesos (₱ 256,800.00) being the Approved Budget for the Contract (ABC) to payments for the Procurement and D</t>
  </si>
  <si>
    <t xml:space="preserve"> Contract ID No.	: 20K00353     Contract Name	: Construction of 2-Lane PCCP Pantar (Lanao del Norte)-Marawi City (Lanao del Sur) Road     Contract Location	: Lanao del Sur     Scope of Work	: Const. of Conc. Road     Appropriation		: Php. 221,926,429.00   </t>
  </si>
  <si>
    <t xml:space="preserve"> INVITATION FOR NEGOTIATED PROCUREMENT FOR THE FOLLOWING INFRASTRUCTURE PROJECTS: 1.	In View of the two failed biddings, the Department of Health Center for Health Development I, through the Continuing Appropriations (CONAP) 2019 invites interested bidders</t>
  </si>
  <si>
    <t xml:space="preserve"> 1.	The Municipal Government of El Nido, through the 20 % DF BDAF-SAN FERNANDO , intends to apply the sum of Two Hundred Fifty Six Thousand Eight Hundred Pesos (₱ 256,800.00) being the Approved Budget for the Contract (ABC) to payments for the Procurement </t>
  </si>
  <si>
    <t xml:space="preserve"> Celebration of Barangay Rizal Foundation Anniversary</t>
  </si>
  <si>
    <t xml:space="preserve"> The San Francisco Water District through its Bids and Award Committee would like you quote for</t>
  </si>
  <si>
    <t xml:space="preserve"> In view of the two (2) failed bidding, the Department of Agriculture-Regional Field Office 7, through the GAA 2020 intends to apply the sum of Nine Hundred Sixty Three Thousand Four Hundred Twenty Five Pesos (₱ 963,425.00) being the Approved Budget for th</t>
  </si>
  <si>
    <t xml:space="preserve"> 1.	The Philippine National Police Communications and Electronics Service – Bids and Awards Committee (CES-BAC), through the Notice of Fund Availability (NFA) from the Approved Program of Expenditure (POE-PA) of the PNP Trust Receipt for the Month of Febru</t>
  </si>
  <si>
    <t xml:space="preserve"> ANTI-COVID19 MATERIALS/SUPPLIES</t>
  </si>
  <si>
    <t xml:space="preserve"> 1700 CARBOYS LIQUID CHLORINE Sodium Hypochloride Liquid Chlorine NaCIo, 7.1% Concentration Note: With the following additional requirements 1. Certification of dealership/distributorship from the manufacturer itself 2. Certificate of chemical analysis fro</t>
  </si>
  <si>
    <t xml:space="preserve"> 1.	The Municipal Government of El Nido, through the 20 % DF BDAF-NEW IBAJAY, intends to apply the sum of Three Hundred Forty Seven Thousand Five Hundred Twenty Pesos (₱ 347,520.00) being the Approved Budget for the Contract (ABC) to payments for the Procu</t>
  </si>
  <si>
    <t xml:space="preserve"> Invitation to Apply for Eligibility and to Bid The Barangay Government of Barangay Banaba South, Batangas City intends to apply the sum of Seventy-Four Thousand Nine Hundred Eighty-Four Pesos Only (Php 74,984.00) broken down as follow: ITEM Brief Descript</t>
  </si>
  <si>
    <t xml:space="preserve"> Suction Hose #3 32 ft. Foot Valve #3 1 pc.</t>
  </si>
  <si>
    <t xml:space="preserve"> for Spare Parts for Various Vehicles</t>
  </si>
  <si>
    <t xml:space="preserve"> Republic of the Philippines Province of Quezon MUNICIPALITY OF UNISAN Invitation to Bid for CONSTRUCTION/REHABILITATION OF CONCRETE PAVEMENT, BRGY. LAPU-LAPU, UNISAN, QUEZON 1.	The LOCAL GOVERNMENT UNIT OF UNISAN, QUEZON, through the 20% MDF CY 2020 inten</t>
  </si>
  <si>
    <t xml:space="preserve"> For Medicines</t>
  </si>
  <si>
    <t xml:space="preserve"> Drums - Blue 240 ltrs. 17 pcs. Duck Hose #2 40 mtrs. #1 HP Submirsible Pump 1 pc.</t>
  </si>
  <si>
    <t xml:space="preserve"> Desktop Computer – Cloned (Mini Tower Case)-3 units         Processor – i7 7700         SSD – 240gb         RAM – 8gb ddr4         HDD – 1tb         ODD – DVDRW          Monitor – 21.5 inches         UPS –650 VA         Mouse &amp; Keyboard – USB type        </t>
  </si>
  <si>
    <t xml:space="preserve"> For Supplies for Solid Waste Management</t>
  </si>
  <si>
    <t xml:space="preserve"> Supply and Delivery of PR No. 2020-06-0010, 100 pieces Brass Water Meter ½” Ø Multi Jet Class B for Replenishment Stock Materials and Supply for BWD Maintenance and Operations 	        Item Description			          	   Unit			        Quantity Brass Water M</t>
  </si>
  <si>
    <t xml:space="preserve"> For Emergency Supplies</t>
  </si>
  <si>
    <t xml:space="preserve"> for Office Equipment</t>
  </si>
  <si>
    <t xml:space="preserve"> REQUEST FOR QUOTATIONS Purchase of Hardware and Construction Supplies to be used for the project entitled "Growth and Yield Response of Pilinut (Canarium ovatum Engl.) to Bio-fertilizer Application for Year 1 Implementation - Lot 6 The Bicol University, t</t>
  </si>
  <si>
    <t xml:space="preserve"> For Vehicles Tires</t>
  </si>
  <si>
    <t xml:space="preserve"> Supply and Delivery of Various ICT Equipment Please see attached RFQ and PR</t>
  </si>
  <si>
    <t xml:space="preserve"> REQUEST FOR QUOTATION (RFQ) The MDRRMO  through the Bids and Awards Committee (BAC) of the Municipality of Banaybanay, Davao Oriental hereby notifies and invites you to submit your quotation/bid for the hereunder proposed project/request, viz: DISINFECTIN</t>
  </si>
  <si>
    <t xml:space="preserve"> Item	Quantity	Unit	Description					 1	1		pc.	PROJECTOR					 2	1		pc.	TENT</t>
  </si>
  <si>
    <t xml:space="preserve"> The Department of Agriculture Regional Field Office IX, through the GAA 2020 - (RAED 2020) intends to apply the sum of (PHP 200,000.00) being the Approved Budget for the Contract (ABC) to payments under the contract for 06-018-20. Bids received in excess </t>
  </si>
  <si>
    <t xml:space="preserve"> for 1 unit 7.7 cubic 2 doors refrigerator</t>
  </si>
  <si>
    <t xml:space="preserve"> Procurement of deskctop &amp; laptop computer and portable scanner for BOR Secretary's Office use as per attached Request for Quotation.</t>
  </si>
  <si>
    <t xml:space="preserve"> Lay outing, Concreting</t>
  </si>
  <si>
    <t xml:space="preserve"> Supply and delivery of 7 units Biometrics to be used at DA RFO-1 4th Floor, 5th Floor, PREC-Sual, ILD and buffer stock 7 units Biometrics CPU: 32bit CPU (ARM9) Camera: High Resolution Infrared Camera Fingerprint Sensor: Optical Sensor USB Disk:yes LCD: 2.</t>
  </si>
  <si>
    <t xml:space="preserve"> Supply &amp; delivery of: 1	1	set	Transmission assembly w/ transfer Case  			(Toyota Land Cruiser 3L Engine) CH, 006622 2	4	pcs	Battery Terminal 			xxxxxxx</t>
  </si>
  <si>
    <t xml:space="preserve"> Procurement of submersible deppwell pump for ASU Water System use as per attached Request for Quotation.</t>
  </si>
  <si>
    <t xml:space="preserve"> Repair &amp; Maintenance Other Structure</t>
  </si>
  <si>
    <t xml:space="preserve"> PE Male Adaptor 1 pc. (PPA Quarantine Area) Lavatory P-trap Flexible 1 set   PE Female Elbow 1/2 4 pcs. (TPC Quarantine Area) PE Elbow 1/2 4 pcs. Angle Valve 1/2 x 1/2 3 pcs. Liquid Level Switch 3 pcs. Safety Hasp 1 pc. Hunges #3 1 pair Padlock big 1 pc.</t>
  </si>
  <si>
    <t xml:space="preserve"> The City Government of San Pedro, Laguna invites interested parties to quote for the following item/s as per request CSWD: Qty.	Unit of Issue	Item Description 		 		OSCA 2000	pcs	Numbered Senior Citizen ID's 1000	pcs	Unnumbered Senior Citizen ID's 4450	pcs</t>
  </si>
  <si>
    <t xml:space="preserve"> WHITE WOVE LONG SUBS 18      1000 REAMS        185.00             185,000.00</t>
  </si>
  <si>
    <t xml:space="preserve"> Request for Quotation for the Procurement of Materials for the Repair and maintenance of Guest house at SPAMAST Malita Campus</t>
  </si>
  <si>
    <t xml:space="preserve"> REPAIR AND MAINTENANCE OF STREETLIGHTS</t>
  </si>
  <si>
    <t xml:space="preserve"> Various Drugs And Medicines</t>
  </si>
  <si>
    <t xml:space="preserve"> Gigabit Passive Optical Network (GPON) 1 1 set 16 Ports GPON Optical Line Terminal (OLT) open platfform and compatible with any brand of ONU or ONT with web management interface and telnet/CLI management standard 19 inches rack mount size with 4 1GE (SFP)</t>
  </si>
  <si>
    <t xml:space="preserve"> REPUBLIC OF THE PHILIPPINES NATIONAL CAPITAL REGION DIVISION OF MARIKINA CITY CONCEPCION INTEGRATED SCHOOL (SECONDARY LEVEL) BIDS AND AWARDS COMMITTEE Request for Quotation (RFQ) (for SHOPPING)                          Date:	6/25/2020                     </t>
  </si>
  <si>
    <t xml:space="preserve"> Piglets 30 heads</t>
  </si>
  <si>
    <t xml:space="preserve"> Conference table &amp; chairs (12 seaters)</t>
  </si>
  <si>
    <t xml:space="preserve"> 1.	The Municipal Government of El Nido, through the 20 % DF BDAF-VILLA PAZ, intends to apply the sum of Two Hundred Fifty Six Thousand Eight Hundred Pesos (₱ 256,800.00) being the Approved Budget for the Contract (ABC) to payments for the Procurement and </t>
  </si>
  <si>
    <t xml:space="preserve"> Barangay Road Gravelling from Sitio Malunay going to Sitio Sumonop, Dawa, Josefina, ZDS</t>
  </si>
  <si>
    <t xml:space="preserve"> 1.	The City Government of Sipalay, through the 2020 Budget Appropriation approved by the Sanggunian Panlungsod intends to apply the sum of Three Million Six Hundred Thirty Thousand Pesos (P 3,630,000.00) only being the Approved Budget for the Contract (AB</t>
  </si>
  <si>
    <t xml:space="preserve"> - Packing -45kg/100 lb - Purity 70% min - Staggered Delivery depending on Kabankalan WD Schedule - FOB Kabankalan</t>
  </si>
  <si>
    <t xml:space="preserve"> Tire-Gaja Tunggal 8-25-20 4 pcs.</t>
  </si>
  <si>
    <t xml:space="preserve"> Hydraulic Hose 2 pcs.</t>
  </si>
  <si>
    <t xml:space="preserve"> Land Tenure Security and Real Property Tax Generation Program (Survey and Titling Works of Old Townsite)</t>
  </si>
  <si>
    <t xml:space="preserve"> REQUEST FOR QUOTATIONS Purchase of Agricultural Supplies to be used for the project, Enhancing Pilinut Propagation and Distribution System for Y1 Quarter 1-2 - Lot 4 The Bicol University, through the Corporate Budget for the contract approved by the Board</t>
  </si>
  <si>
    <t xml:space="preserve"> MUNICIPALITY OF ABRA DE ILOG Name of Procuring Entity						 Contract Reference Number Goods No. 24-2020 Name of Contract: Supply and Delivery of Materials                For the Livelihood Assistance to Fisher Folk Location:  LGU, ADIOM Republic of the Ph</t>
  </si>
  <si>
    <t xml:space="preserve"> 2 UNITS CELLPHONE</t>
  </si>
  <si>
    <t xml:space="preserve"> 3	Set	Desktop Computer with Complete Accessories 		Specifications: 		* Processor: No. of Cores – 3; No. of Threads – 4; Base Freq. – 3.60Ghz; 		Max. Turbo Freq. – 4.20 Ghz; Cache – 6 MB or higher 		* Memory: 4 GB DDR4 dual slot 		* Storage: 1 TB HDD SATA </t>
  </si>
  <si>
    <t xml:space="preserve"> this project consist of delivery of materials, construction projects and other scope of work based on program of work and detailed engineering design</t>
  </si>
  <si>
    <t xml:space="preserve"> QUOTATION ON DRUGS AND MEDICINES</t>
  </si>
  <si>
    <t xml:space="preserve"> The Department of Agriculture Regional Field Office IX, through the GAA 2020 - (RICE PROGRAM) intends to apply the sum of (PHP 122,360.00) being the Approved Budget for the Contract (ABC) to payments under the contract for 05-026-20. Bids received in exce</t>
  </si>
  <si>
    <t xml:space="preserve"> For collection and disposal of Infectious Wastes from the Barangay and Municipal Isolation Centers for COVID-19 PUM</t>
  </si>
  <si>
    <t xml:space="preserve"> 1	unit	Multi Cultivator Machine 		Engine 10 hp 		Air Cooled Four stroke 		Transmission: Gear Type 		2 Forward &amp; 2 Reverse (high &amp; low) 		Implement &amp; Accessories 		One Pair Iron Wheel 		One Pair Deep Tilling Knives 		One Piece Deep Trench forming Knife</t>
  </si>
  <si>
    <t xml:space="preserve"> 1.	The Municipal Government of El Nido, through the 20 % DF BDAF-PASADEÑA, intends to apply the sum of Two Hundred Fifty Six Thousand Eight Hundred Pesos (₱ 256,800.00) being the Approved Budget for the Contract (ABC) to payments for the Procurement and D</t>
  </si>
  <si>
    <t xml:space="preserve"> See Attached Document</t>
  </si>
  <si>
    <t xml:space="preserve"> FOR FURTHER INFORMATION, PLEASE REFER TO: MARIA T. JIMENEZ BAC SECRETARIAT BIDS AND AWARDS COMMITTEE OFFICE KATUGASAN, CABADBARAN CITY MOBILE NO: 09304045346</t>
  </si>
  <si>
    <t xml:space="preserve"> SUPPLY AND DELIVERY OF MEALS RELATIVE TO THE CONDUCT OF SERIES OF DIVISION WEBINARS IN CONDUCTING ONLINE TRAININGS, DEVELOPMENT OF INTERACTIVE DIGITAL LEARNING RESOURCES AND DESIGNING OF OFFLINE LEARNING MANAGEMENT SYSTEM USING OER AND MICROSOFT APPLICATI</t>
  </si>
  <si>
    <t xml:space="preserve"> 1.	The Municipal Government of El Nido, through the 20 % DF BDAF-VILLA LIBERTAD, intends to apply the sum of Two Hundred Fifty Six Thousand Eight Hundred Pesos (₱ 256,800.00) being the Approved Budget for the Contract (ABC) to payments for the Procurement</t>
  </si>
  <si>
    <t xml:space="preserve"> 80 SACKS OF RICE 25 CASES NOODLES 25 CASES SARDINES 250 BOTTLES ISOPROPYL ALCOHOL CARGO TRUCK RENTALS</t>
  </si>
  <si>
    <t xml:space="preserve"> For use FMD</t>
  </si>
  <si>
    <t xml:space="preserve"> Package 1 of 1: Supply of Services and Materials for the Printing and Delivery of 2021 DCWD Wall Calendars - 240,000 sets Medium Size (17" x 22”) and 10,000 sets Large Size (22” x 34")</t>
  </si>
  <si>
    <t xml:space="preserve"> 1 unit Chainsaw 36" 3 pcs. Chainsaw Chain 11 pcs. Chainsaw File 3/16</t>
  </si>
  <si>
    <t xml:space="preserve"> 1.	The Municipal Government of El Nido, through the 20 % DF BDAF-MABINI, intends to apply the sum of Two Hundred Fifty Six Thousand Eight Hundred Pesos (₱ 256,800.00) being the Approved Budget for the Contract (ABC) to payments for the Procurement and Del</t>
  </si>
  <si>
    <t xml:space="preserve"> Animal feeds and medicines</t>
  </si>
  <si>
    <t xml:space="preserve"> Sofa set with center table</t>
  </si>
  <si>
    <t xml:space="preserve"> Republic of the Philippines PROVINCE OF ZAMBALES I B A  Project Reference Number/Purchase Request No..	SMDH-2020-199 													                                                                                                 Location of the Project:	San</t>
  </si>
  <si>
    <t xml:space="preserve"> Department of Education Region VI-Western Visayas Division of Cadiz City Mabini National High School INVITATION TO BID FOR PROCUREMENT OF INTERNET LOAD MNHS-SHS 2020 1.	The Mabini National High School  of Cadiz City, through the Schools MOOE Fund CY 2020 </t>
  </si>
  <si>
    <t xml:space="preserve"> 1	2	pack	Shampoo sachet 13ml  2	2	pack	Toothpaste  23g 6s 3	3	pc	Paper towel-  2ply 4	2	pack	Disposable Plates 5	2	pc	Kitchen paper towel 6	2	pack	Disposable Spoon 7	2	pack	Disposable Fork 8	1	pack	Disposable paper cups 9	1	pack	Ziplock medium 10	2	bottle</t>
  </si>
  <si>
    <t xml:space="preserve"> Accomplished RFQ's must be received by the BAC SECRETARIAT of the PROCURING ENTITY at Department of Agriculture-RSO IX, Zamboanga City, on or before the deadline of submission.							 	ABC:	135,300.00	 	Delivery Period:		45 calendar days 	Delivery Site:		</t>
  </si>
  <si>
    <t xml:space="preserve"> Book Paper 70 GSM, 12.5"RW- 6,000 kgs. Imported Class A- Woodfree, uncoated, non-gloss material Roll diameter: min.- 35”, max.- 39”, core size: 3”</t>
  </si>
  <si>
    <t xml:space="preserve"> Specs: 21   pcs   Infant weighing scale</t>
  </si>
  <si>
    <t xml:space="preserve"> Installation of Closed Circuit Television (CCTV)</t>
  </si>
  <si>
    <t xml:space="preserve"> Supply and Delivery of Airconditioning Units For COVID-19 Quarantine Facilities</t>
  </si>
  <si>
    <t xml:space="preserve"> 6	boxes Sterile Gloves 50	boxes Non-Sterile Gloves 50	bot	70% Isoprophyl Alcohol  10	bot	Laundry Bleach 1 li 10	bot	Disinfectant Concentrate 500 ml 10	can	Disinfectant  Spray 20	kls	Detergent Powder 10	bar	Hand Soap  10	bot	Hand Sanitizer 10	roll	Cotton 4</t>
  </si>
  <si>
    <t xml:space="preserve"> 50000	pcs	bangus Fingerlings, 2 inches length</t>
  </si>
  <si>
    <t xml:space="preserve"> Republic of the Philippines                   Department of Health	       CENTRAL OFFICE BIDS AND AWARDS COMMITTEE  INVITATION TO BID FOR THE  PROCUREMENT OF HIV RAPID DIAGNOSTIC TEST-2   (FOR rHIVda CONFIRMATION) RE-BID IB NO. 2020-208-A 1.	The Departmen</t>
  </si>
  <si>
    <t xml:space="preserve"> 1.	The Municipal Government of El Nido, through the Supplemental Budget No.3-Fertilizer Subsidy To Farmers Non-Office intends to apply the sum of Four Million Four Hundred Sixteen Thousand Pesos (₱ 4,416,000.00) being the Approved Budget for the Contract </t>
  </si>
  <si>
    <t xml:space="preserve"> 2 PERSONAL COMPUTER WITH ACCESSORIES AND PRINTER</t>
  </si>
  <si>
    <t xml:space="preserve"> CCTV CAMERA WITH ACCESSORIES AND INSTALLATION INCLUDED</t>
  </si>
  <si>
    <t xml:space="preserve"> REQUEST FOR QUOTATION											 											 RFQ No.		NP 53.2_20-0720				Date				May 4,2020	 PR Reference		100-20-04-065				Implementing Office				CDRRMO	 Closing Date and Time											 Designated Places of Submission (Bid Box Designated Locations)					</t>
  </si>
  <si>
    <t xml:space="preserve"> Republic of the Philippines Bangsamoro Autonomous Region in Muslim Mindanao Provincial Government of Maguindanao BIDS AND AWARDS COMMITTEE INVITATION TO BID FOR OPENING OF FARM TO MARKET ROAD AT BRGY. PINGGUIAMAN 1. The Provincial Government of Maguindana</t>
  </si>
  <si>
    <t xml:space="preserve"> 1.	The Municipal Government of El Nido, through the 20 % DF BDAF-BAROTUAN, intends to apply the sum of Two Hundred Fifty Six Thousand Eight Hundred Pesos (₱ 256,800.00) being the Approved Budget for the Contract (ABC) to payments for the Procurement and D</t>
  </si>
  <si>
    <t xml:space="preserve"> LYSOL SPRAY, 170G RAGS PROTECTIVE EYE GOGGLES DISPOSABLE RUBBER GLOVES ZONROX BLEACH GERMICIDAL SOAP BRUSH WITH HANDLE MOP WITH HANDLE DETERGENT POWDER, SACHET GARBAGE BAGS BROOMS ELECTRIC &amp; PRESSURE SPRAYER EPSON L3110 PRINTER WITH WIFI EPSON 003 INK, BL</t>
  </si>
  <si>
    <t xml:space="preserve"> 293.25	cu m	I. SITE WORKS 293.25	sq.m	II. CONCRETE AND MASONRY WORKS 1	cu m	III. FORMWORKS 1	ls	IV. STEEL WORKS 82.8	sq.m	V. ROOFING WORKS 1	ls	VI. FINISHING WORKS 1	ls	VII. ELECTRICAL WORKS 1	ls	VIII. PLUMBING WORKS</t>
  </si>
  <si>
    <t xml:space="preserve"> 1	unit	Air Cooled Compact Fire 		Fighting Pump Specification: DIMENSION (mm): 731 x 652 x 709 DRY WEIGHT (kg): 85 PUMP TYPE: High Pressure One Stage Turbine Pump ENGINE TYPE: Water Cooled Two-Cycle Gasoline Engine COOLING SYSTEM: WATER COOLED TYPE NO OF C</t>
  </si>
  <si>
    <t xml:space="preserve"> The Department of Agriculture Regional Field Office IX, through the GAA 2020 - (STO 2020) intends to apply the sum of (PHP 96,000.00) being the Approved Budget for the Contract (ABC) to payments under the contract for 06-020-20. Bids received in excess of</t>
  </si>
  <si>
    <t xml:space="preserve"> INVITATION TO BID 22 June 2020 The municipality of Sampaloc through its Bids and Awards Committee (BAC) invites suppliers/manufacturers/distributors/contractors to apply for eligibility to bid for the hereunder project: Name of Project	:	OPENING OF BARANG</t>
  </si>
  <si>
    <t xml:space="preserve"> Republic of the Philippines Region XII Province of Cotabato Municipality of Antipas Barangay Luhong  BIDS AND AWARDS COMMITTEE INVITATION TO BID FOR MOBILE RICE MILL 1.	The Barangay Local Government Unit of Luhong, through the KC PAMANA IP-CDD, 2017 inten</t>
  </si>
  <si>
    <t xml:space="preserve"> LAPTOP COMPUTER WITH ACCESSORIES AND PRINTER</t>
  </si>
  <si>
    <t xml:space="preserve"> 600	pcs	hollowblock 4 60	bags	cement @ 40 kgs/bag 3	load	gravel, 1/2 3	load	coarse sand 15	kgs	GI Wire # 16 30	pcs	corrugated sheet #12 60	pcs	lumber 2x2x10 90	pcs	steel bar 10mm 90	pcs	steel bar 9 mm 6	kgs	umbrella nail 3 6	kgs	Common wood nail 2 6	kgs	C</t>
  </si>
  <si>
    <t xml:space="preserve"> 1. 12 bxs. Nylon Suture 3-0 18”  45cm 26mm PS 24’s Polyamide 6, Blue Monofilament non-absorbable 2. 6 bxs. Nylon Suture 4-0 18”  45cm 19mm PS-2 24’s Polyamide 6, Blue Monofilament non-absorbable 3. 2 bxs. Polypropylene 2-0 36”  90cm 26mm SH 36’s Blue M</t>
  </si>
  <si>
    <t xml:space="preserve"> 6	units	Biometeric machine: Uface 402 face, Fingerprint/Proximity reader for In/OUT Standalone Face Recognition and Fingerprint devices, 4.3"TFT touch screen, face template: 3,000, fingerprint template: 4,00, ID Card Capacity: 10,000, Transaction records:</t>
  </si>
  <si>
    <t xml:space="preserve"> 230	box	Paracetamol 500 mgs/tab (100's) 700	bot	Paracetamol 250mgs/5ml syrup (60ml) 500	bot	Paracetamol 100mgs/ml drops (15 ml) 250	bot	Paracetamol 125mgs/5ml syrup (60ml) 70	box	Amoxicillin 500mgs/cap. (100's) 36	box	Amoxicillin 250mgs/cap (100's) 600	bo</t>
  </si>
  <si>
    <t xml:space="preserve"> COMMITTEE IDENTIFICATION MULTI COLOR POLO SHIRT WITH PRINT (BARANGAY COMMITTEE/ SITIO MEMBERS)</t>
  </si>
  <si>
    <t xml:space="preserve"> SET OF RAINCOATS AND BOOTS / TRUNCHEON/ STICK</t>
  </si>
  <si>
    <t xml:space="preserve"> Metal Furring 160 pcs 4.5mm fiber cement board 80 pcs Plywood # 1/2 8 pcs Blind Rivets 1/8" x 1/2" 1,200 pcs Semi-gloss Latex Paint 10 gals Glazing Putty 15 liters Paint Roller Brush 3 sets Paint Brush # 3 4 pcs Paint Brush # 2 6 pcs 1.40m x 2.40m Glass d</t>
  </si>
  <si>
    <t xml:space="preserve"> 100	vial	rabies vaccine 10ml  (expiration yea must be 2022 25	liter	ruminant dewormer (1L) 15	box	BD 3ml syringe - needle 25	bottle	ADE with B Complex (100ml) expiration year must be 2022) 2	bottle	antibiotic long acting injectable (100ml) epiration year </t>
  </si>
  <si>
    <t xml:space="preserve"> FIRE EXTINGUISHERS AND REFILL OF EMPTY FIRE EXTINGUISHERS</t>
  </si>
  <si>
    <t xml:space="preserve"> Republic of the Philippines Region X PROVINCE OF LANAO DEL NORTE Municipality of Linamon -oOo- BIDS AND AWARDS COMMITTEE (BAC) INVITATION TO BID FOR SUPPLY AND DELIVERY OF CONSTRUCTION MATERIALS FOR THE PROPOSED ROAD CONCRETING (PHASE 1) AT POBLACION, LIN</t>
  </si>
  <si>
    <t xml:space="preserve"> 1 Lot CALIBRATION OF ALL HOSPITAL BIO-MEDICAL EQUIPMENT SCOPE OF WORKS: Functional Check-up Checking Functional condition of hardware such as Switches an controls meters displays, sensors Indicators and alarms, output devices, etc. Upkeep Routines Cleanin</t>
  </si>
  <si>
    <t xml:space="preserve"> 175	truckloads	desludging/siphoning service 5.5 cubic meters</t>
  </si>
  <si>
    <t xml:space="preserve"> 1.	The Western Visayas Medical Center, through the Regular Fund and Collection of Income, intends to apply the sum of PhP 3,875,000.00 Philippine Currency being the Approved Budget for the Contract (ABC) to payments under the contract for IB No. GS 2020-0</t>
  </si>
  <si>
    <t xml:space="preserve"> Department of Education Region VI-Western Visayas Division of Cadiz City Mabini National High School NOTICE FOR NEGOTIATED PROCUREMENT OF INTERNET MODEM 2020 1.	Mabini National High School, Division of Cadiz City, through the Schools MOOE and HRTD Fund CY</t>
  </si>
  <si>
    <t xml:space="preserve"> 1.	The Municipal Government of El Nido, through the 20 % DF BDAF-BUCANA, intends to apply the sum of Two Hundred Fifty Six Thousand Eight Hundred Pesos (₱ 256,800.00) being the Approved Budget for the Contract (ABC) to payments for the Procurement and Del</t>
  </si>
  <si>
    <t xml:space="preserve"> Standard Form Number: SFGOOD60 Revised on: May 24, 2004 Standard Form Title: Request for Quotation Date:  June 19, 2020 Quotation No. 20-06-0341 Purchase Request No. 20-06-756 __________________________ Company Name ___________________________ Address Ple</t>
  </si>
  <si>
    <t xml:space="preserve"> INVITATION TO BID 1.	The Bangko Sentral ng Pilipinas (BSP), through its Bids and Awards Committee-Security Plant Complex (BAC-SPC), invites Bidders to apply for eligibility and to bid for the hereunder requirements: Name of Requirement/Brief Description	A</t>
  </si>
  <si>
    <t xml:space="preserve"> 1315	bags	Certified Seeds</t>
  </si>
  <si>
    <t xml:space="preserve"> Repair and Maintenance of Vehicles</t>
  </si>
  <si>
    <t xml:space="preserve"> Republic of the Philippines Province of Masbate MUNICIPALITY OF CATAINGAN BARANGAY GAHIT   			                                                                                              JUNE 22, 2020 INVITATION TO APPLY FOR ELIGIBILITY AND TO BID The BA</t>
  </si>
  <si>
    <t xml:space="preserve"> Standard Form Number: SFGOOD60 Revised on: May 24, 2004 Standard Form Title: Request for Quotation Date:  June 19, 2020 Quotation No. 20-06-0340 Purchase Request No. 20-06-741 __________________________ Company Name ___________________________ Address Ple</t>
  </si>
  <si>
    <t xml:space="preserve"> INVITATION TO BID  ITB NO: 07-02-2020 CIVIL WORKS The Local Government Unit of Maramag, Bukidnon has a loan package from Land Bank of the Philippines intended to finance for infrastructure development within the municipality. The Local Government Unit of </t>
  </si>
  <si>
    <t xml:space="preserve"> I. Mobilization II. Demolition III. CSHP IV. Line Canal (L=82.4) V. Steel Grating VI. Equipment Labor</t>
  </si>
  <si>
    <t xml:space="preserve"> 2	units	Power Tiller 		Engine 10 hp 		Air Cooled Four stroke 		Transmission: Gear Type 		2 Forward &amp; 2 Reverse (high &amp; low) 2	units	STW Motor 5HP</t>
  </si>
  <si>
    <t xml:space="preserve"> 1"x1"x2.5 mm Tubular 90 pcs 2"x4"x2.5 mm Tubular 8 pcs Primer Paint 20 liters Welding Rod 30 kgs Paint Brush #2 6 pcs Paint Brush #3 6 pcs 1 1/2"x1 1/2"x2 mm Angular bar 22 pcs 2"x3"x6m Purlins 4 pcs Rib type Roofing (0.4mm thk) 170 ft. Rivets 2 box Wood </t>
  </si>
  <si>
    <t xml:space="preserve"> PLANTS IN A POT AND STEEL MATTING FRAME</t>
  </si>
  <si>
    <t xml:space="preserve"> 1. 1 unit Brand new Tractor Head, 6x4 10 wheeler, 4 cycle vertical 6 cylinder in-line overhead valve, water-cooled direct injection turbo charged intercooled diesel engine, 350 -375 PS @ 2,100 rpm maximum output, 1,500 – 1,600 Nm @ 1,500 rpm maximum torqu</t>
  </si>
  <si>
    <t xml:space="preserve"> Procurement of Forty One (41) Packs Biscuits 12's &amp; Fifteen (15) Line Items</t>
  </si>
  <si>
    <t xml:space="preserve"> Repair of Main Gate (Front Gate) &amp; Construction of Fence	 Fence Area = 160.52 sq.m; Gate Area = 15.64 sq.m; Road Shoulder = 1.932 cu m 1	ls	        I. DEMOLITION 176.16 cu m	II. CONCRETE AND MASONRY 22.57 sq.m	III. STEEL WORKS 28.8	sq.m	        IV. PAINTI</t>
  </si>
  <si>
    <t xml:space="preserve"> 1 ea Aircon System (dual) Maintenance &amp; 27 L/I</t>
  </si>
  <si>
    <t xml:space="preserve"> Republic of the Philippines Province of Davao de Oro BIDS AND AWARDS COMMITTEE Cabidianan, Nabunturan, Davao de Oro Invitation to Bid for the Construction of Water System at Liwanag Center, Brgy. Libasan, Nabunturan-Rebid 1.	The Provincial Government of D</t>
  </si>
  <si>
    <t xml:space="preserve"> 164	bot	Isopropyl Alchol 70% 4	box	Micropore Tape 65	roll	Cotton 400 gms. 2	box	Tongue Depressor 33	can	Insecticide Spray (500ml) 65	can	Disinfectant spray  42	can	Disinfectant Concentrate 500 ml  18	can	Air Freshener Spray (500 ml) 42	box	Laundry Bar 12	</t>
  </si>
  <si>
    <t xml:space="preserve"> I. R.C. WORKS: Volume = 15.538 cu m II. MASONRY WORKS: Area = 124.65 sq.m III. FLOORING: Volume = 7.425 cu m IV. ROOFING &amp; ROOF FRAMING: Area = 14.4 m x 8.65 m = 124.56 sq.m V. DOORS: Qty = 1 ls</t>
  </si>
  <si>
    <t xml:space="preserve"> IEC Prepation -LED TV</t>
  </si>
  <si>
    <t xml:space="preserve"> Republic of the Philippines Province of Zamboanga del Norte City of Dipolog BARANGAY PUNTA INVITATION TO APPLY FOR ELIGIBILITY TO BID The Barangay Government Unit of Punta, Dipolog City, Zamboanga del Norte through its Bids and Award Committee (BAC) invit</t>
  </si>
  <si>
    <t xml:space="preserve"> 1	each	Project Billboard 1	mo	Occupational Safety &amp; Health Program 8	pcs	Removal of Trees 91.94 cu m Embankment from Borrow, Common Soil 590	sq.m	Sub-grade Preparation 348	cu m	Aggregate Base Course 454	sq.m	Portland Cement Concrete Pavement 		(unreinforc</t>
  </si>
  <si>
    <t xml:space="preserve"> See attached technical specifications</t>
  </si>
  <si>
    <t xml:space="preserve"> Standard Form Number: SFGOOD60 Revised on: May 24, 2004 Standard Form Title: Request for Quotation Date:  June 19, 2020 Quotation No. 20-06-0342 Purchase Request No. 20-02-0369 __________________________ Company Name ___________________________ Address Pl</t>
  </si>
  <si>
    <t xml:space="preserve"> 1	ls I. DEMOLITION WORKS 2.46	cu m	II. R.C. WORKS 34.84 sq m III. CHB WALL 13.73 sq m IV. FLOORING  1	ls V. FORMWORKS 46.54 sq m VI. ROOFING AND ROOF FRAMING 1	ls	VII. ELECTRICAL WORKS 1	ls	VIII. PAINTING WORKS 1	ls	IX. DOORS</t>
  </si>
  <si>
    <t xml:space="preserve"> Standard Form Number: SFGOOD60 Revised on: May 24, 2004 Standard Form Title: Request for Quotation Date: June 19, 2020  Quotation No. 20-06-0348 PR No. 20-03-455 __________________________ Company Name _________________________________ Address         Ple</t>
  </si>
  <si>
    <t xml:space="preserve"> Metropolitan Manila Development Authority																																     BIDS AND AWARDS COMMITTEE																																 																																    REQUEST FOR QUOTATION																																 Small Value Procurement						</t>
  </si>
  <si>
    <t xml:space="preserve"> Section I. Invitation to Bid Republic of the Philippines PROVINCE OF CAGAYAN Municipality of Peñablanca PROVINCIAL BIDS AND AWARDS COMMITTEE INVITATION TO BID FOR  Procurement and Implementation of Personnel Management Information with Centralized Payroll</t>
  </si>
  <si>
    <t xml:space="preserve"> 55 Pax Heavy Meals for 70 days (for Enumerators)(Siargao Island) Menu: Beef course, fish course, pork course, vegetable, rice, softdrinks, 12oz PLEASE SEE ATTACHED RFQ. QUOTE YOUR PRICE AND SUBMIT TO THE BAC SECRETARIAT, PROVINCIAL GENERAL SERVICES OFFICE</t>
  </si>
  <si>
    <t xml:space="preserve"> Procurement of 35 rms Special Paper &amp; 10 LI</t>
  </si>
  <si>
    <t xml:space="preserve"> Rehabilitation of Multi-Purpose Hall For further information for the bill materials, Programs Works or any requests for additional information concerning this bidding shall be directed to the Bids and Awards Committee.</t>
  </si>
  <si>
    <t xml:space="preserve"> Installation of Aerial Street lights at Cabagan, Isabela LGU Cabagan Cabagan, Isabela</t>
  </si>
  <si>
    <t xml:space="preserve"> LOT 1:	ABC: Php78,083.00	 14	bottle	Alcohol, 70%, ethyl, 500ml		 6	piece	Bathroom Soap, 90gms		 2	can	Car Freshener, 70 grams		 4	pack	Cleanser, scouring powder, 350gms		 2	pack	Detergent Powder, all purpose, 500 gms		 3	bottle	Dishwashing Liquid (250 ml)</t>
  </si>
  <si>
    <t xml:space="preserve"> Name: Construction of Fence (Phase 1) Location: Barangay Talog, Taytay, Palawan Appropriation: Php. 349,628.00 Please Download Attachment for Price Quotation and specification.</t>
  </si>
  <si>
    <t xml:space="preserve"> ARTICLE AND DESCRIPTION											 															 ITEM	QTY.	UNIT						CEILING 					UNIT PRICE		TOTAL  								PRICE							 															 				Office: Justice Jose Abad Santos General Hospital  				PR No. 172							 				Charge to:  Philhelath  Trust Fund</t>
  </si>
  <si>
    <t xml:space="preserve"> Procurement of Four (4) Pcs Tire (250x70)  &amp; Thirteen (13) Line Items</t>
  </si>
  <si>
    <t xml:space="preserve"> Republic of the Philippines Province of Davao de Oro BIDS AND AWARDS COMMITTEE Cabidianan,Nabunturan, Davao de Oro Invitation to Bid for  Improvement of Gabi - Cabacungan - Sto. Niño Provincial Road (Cabacungan Section) (Concreting of 2.47kms. road, insta</t>
  </si>
  <si>
    <t xml:space="preserve"> Supply and delivery of various materials for the Proposed Improvement of Day Care Center, Brgy. San Antonio, San Enrique, Iloilo. Approved Budget for the Contract: Php. 82,100.00 Source of Fund: 20% Development Fund</t>
  </si>
  <si>
    <t xml:space="preserve"> The Bids and Awards Committee								 Province of Iloilo								 								      In connection with your Invitation to Bid No. PEO-20-0473 B (Rebid) scheduled on June 29, 2020, I/we proposed to furnish and deliver in conformity with the terms and conditions</t>
  </si>
  <si>
    <t xml:space="preserve"> Republic of the Philippines Province of Davao de Oro BIDS AND AWARDS COMMITTEE Cabidianan,Nabunturan, Davao de Oro Invitation to Bid for  Improvement of Hijo - Dumlan - Libay-libay - Sangab - Limbo Provincial Road (New Visayas - Sangab Section) (Concretin</t>
  </si>
  <si>
    <t xml:space="preserve"> ARTICLE AND DESCRIPTION											 ITEM	QTY.	UNIT						CEILING 					UNIT PRICE		TOTAL  								PRICE							 															 				Office: Universidad De Manila				PR No. 476							 				Charge to: Other Supplies and Materials Expenses				OBR No. 100-2003-021</t>
  </si>
  <si>
    <t xml:space="preserve"> 4 ea Aeronuatical Information Publication (AIP) &amp; 52 L/I</t>
  </si>
  <si>
    <t xml:space="preserve"> REQUEST FOR QUOTATION No. 2020-365                                                                                                                                 	   Request Reference Number: 100-20-06-304         Date: June 22, 2020 Pursuant to R.A. 918</t>
  </si>
  <si>
    <t xml:space="preserve"> Procurement of 100 Pieces Folder Long (Green) &amp; 18 LI</t>
  </si>
  <si>
    <t xml:space="preserve"> 2 ea Air Cleaner Filter &amp; 89 L/I</t>
  </si>
  <si>
    <t xml:space="preserve"> MUNICIPALITY OF BADOC BIDS AND AWARDS COMMITTEE INVITATION TO BID FOR THE Procurement of Garbage Compactor (5 cum capacity) Bid Reference BAC 2020-06-008 Approved Budget for the Contract: P 4,000,000.00 1.	The Municipality of Badoc intends to apply the su</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</si>
  <si>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</si>
  <si>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2 pcs Tires 20570R15</t>
  </si>
  <si>
    <t xml:space="preserve"> I.	BILLBOARD and SIGNAGE…………………………………………………………….1.00 SET  II.	SITE CLEARING AND PREPARATION……………………………………………………………1.00 LOT III.	EARTHWORKS…………………………………………………………….20.56 CU.M. IV.	REINFORCING STEEL BARS…………………………………………………………….1,935.13 KGS. V.	CONCRETE WORKS</t>
  </si>
  <si>
    <t xml:space="preserve"> Ref. No./PR No. : INFRA2020-CDD-001/MG-COM20-002 Description:        REPAIR/REHABILITATION OF WHARF WITH INTEGRATED ELEVATION 702 masl MARKER at                           Barangay Maindig, Binidayan, Lanao del Sur Pre- Bid Conference:  June 29, 2020 at 9:</t>
  </si>
  <si>
    <t xml:space="preserve"> I. SITE CLEARING AND LAND PREPARATION (PARKING LOT)...............................................674.00 SQ.M. II. DEMOLITION WORKS.......................................................1.00 LOT III. EXCAVATION.............................................</t>
  </si>
  <si>
    <t xml:space="preserve"> Cement 75 bags #4 CHB 475 pcs Sand and Gravel mixed 16 cu.m. 12mm dia.m bar 30 pcs 10mm dia.m bar 55 pcs Tiles 40cm x 40cm 110 pcs Tiles 60cm x 60cm 30 pcs Water Proofing 5 bags #16 Tiewire 15 kgs 2x2x10 cocolumber 150 bd.ft Ordinary Plywood 10 pcs CWN as</t>
  </si>
  <si>
    <t xml:space="preserve"> Republic of the Philippines Province of Bukidnon MUNICIPALITY OF KIBAWE O0o0o Bids and Awards Committee INVITATION TO BID June 19, 2020 The Local Government of Kibawe, Kibawe, Bukidnon through its Bids and Awards Committee (BAC), invites contractor’s regi</t>
  </si>
  <si>
    <t xml:space="preserve"> see attached file</t>
  </si>
  <si>
    <t xml:space="preserve"> Drilling of One (1) Exploratory/Production Well at Brgy. Sinasajan, Peñaranda, Nueva Ecija</t>
  </si>
  <si>
    <t xml:space="preserve"> Procurement of 200 bags Cement &amp; 32 LI</t>
  </si>
  <si>
    <t xml:space="preserve"> 35 ea Aviation Mechanic Handbook &amp; 33 L/I</t>
  </si>
  <si>
    <t xml:space="preserve"> Procurement of 20 Pcs 3/4 Marine Plywood &amp; 52 LI</t>
  </si>
  <si>
    <t xml:space="preserve"> The Office of Associate Justice Leonen of the Supreme Court, through the Procurement Section, invites interested suppliers to quote for the price/s of the item/s listed in the attached document (PLEASE DOWNLOAD) Please also provide "Eligibility Documents,</t>
  </si>
  <si>
    <t xml:space="preserve"> Republic of the Philippines Province of Davao de Oro BIDS AND AWARDS COMMITTEE Cabidianan,Nabunturan, Davao de Oro Invitation to Bid for  Road and Bridge Improvement of Alegria - Panag - Camanlangan (Fatima and Camanlangan Section) (Concreting of 3.392kms</t>
  </si>
  <si>
    <t xml:space="preserve"> Video Card for Autocad	2	pcs Desktop Computer 	1	set        ► i5 9th Gen. CPU		        ► 8GB RAM		        ► 1 TB HDD		        ► 18.5 LED Monitor		 External Hard Drive	1	pc  note: Installation Cost included</t>
  </si>
  <si>
    <t xml:space="preserve"> Municipal Engineering Office Repair &amp; Maintenance - Buildings and Other Structures - P 200,000.00</t>
  </si>
  <si>
    <t xml:space="preserve"> Raincoat						16,434	pc Color: Translucent							 Material: PVC nylon fabric							    Poncho with logo							    Thick							 							 PSA logo size: 3.5 inches in diameter							 2020 CPH logo size: 11 inches by 8.5 inches							 							 Please see attac</t>
  </si>
  <si>
    <t xml:space="preserve"> SEE ATTACHED FILE</t>
  </si>
  <si>
    <t xml:space="preserve"> Municipal Engineering Office Infrastracture Assets - P 200,000.00</t>
  </si>
  <si>
    <t xml:space="preserve"> NATIVE DOES 26 HEAD NATIVE BUCK 13 HEAD</t>
  </si>
  <si>
    <t xml:space="preserve"> Tumbler						16,434	pc	 Color: Translucent								 Capacity: 500 ml								 With Philippine Statistics Authority logo and 2020 CPH (printed or sticker)								 								 Please see attached sample picture</t>
  </si>
  <si>
    <t xml:space="preserve"> MOTOR POOL BRAND NEW 14HP DIESEL ENGINE</t>
  </si>
  <si>
    <t xml:space="preserve"> 15 ea Avionics Fundamental Handbook, Jeppessen &amp; 23L/I</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</si>
  <si>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</si>
  <si>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SNACKS 60 PAX LUNCH 30 PAX DINNER 30 PAX</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</si>
  <si>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</si>
  <si>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Ref.No./PR No./Description: INFRA2020-CDD-002/MG-COM20-003/Construction of Wharf with Integrated Elevation 702 masl. Marker at Brgy. Taliogon, Ganassi, Lanao del Sur Pre-Bid Conference:  June 29, 2020 at 9:30 AM Bid Submission/Opening:  July 13, 2020 at 9</t>
  </si>
  <si>
    <t xml:space="preserve"> MUNICIPALITY OF BADOC BIDS AND AWARDS COMMITTEE INVITATION TO BID FOR THE Procurement of Multi-Purpose Shredder (200-300 kls/hr capacity). Bid Reference BAC 2020-06-007 Approved Budget for the Contract: P 1,200,000.00 1.	The Municipality of Badoc intends </t>
  </si>
  <si>
    <t xml:space="preserve"> SNACKS AM/PM 60 PAX LUNCH 30 PAX</t>
  </si>
  <si>
    <t xml:space="preserve"> Republic of the Philippines CITY OF PANABO Province of Davao del Norte BIDS AND AWARDS COMMITTEE -o0o- INVITATION TO BID  SUPPLY OF CONSOLIDATED CONSTRUCTION MATERIALS 1.	The City of Panabo, through CMO-HOUSING/SITE DEVELOPMENT  IN RESETTLEMENT AREAS / CO</t>
  </si>
  <si>
    <t xml:space="preserve"> Provision of supplies and materials for the implementation of Waste Management Project of Barangay Post Proper Northside</t>
  </si>
  <si>
    <t xml:space="preserve"> Quotation #: 20-04-0301 REBID = PLUMBING SUPPLIES</t>
  </si>
  <si>
    <t xml:space="preserve"> PURCHASE OF ONE GRAY PICKUP VEHICLE</t>
  </si>
  <si>
    <t xml:space="preserve"> Concreting of 0.15m x 4m x 67 meters road at Sitio Elib  (Repost) NOTE: Barangay Construction Project of Barangay Talaguton in this Municipality CONTACT PERSON: VICENTE A. MARUYA III Punong Barangay Barangay Talaguton Municipality of Don Marcelino Provinc</t>
  </si>
  <si>
    <t xml:space="preserve"> Invitation to Bid The National Housing Authority (NHA), through the Corporate Budget approved by the NHA Board for CY 2020 intends to apply the sum of the Approved Budget for the Contract (ABC) to payments for the PROCUREMENT OF FULLY DEVELOPED LOTS AND C</t>
  </si>
  <si>
    <t xml:space="preserve"> Item Description...............................Quantity......................Unit of Issue Cement..............................................765..............................Bags</t>
  </si>
  <si>
    <t xml:space="preserve"> Section I. Invitation to Bid Republic of the Philippines PROVINCE OF ZAMBOANGA SIBUGAY Capitol Building, Ipil Heights, Ipil, Zamboanga Sibugay Invitation to Bid for  Construction of Boat / Fish Landing (Phase I) @ Brgy. Buluan, Ipil, Zamboanga Sibugay 1.	</t>
  </si>
  <si>
    <t xml:space="preserve"> Lot 8	 	 		 2	m³	4	Sand	 3	m³	2	Fine Sand 4,800.00</t>
  </si>
  <si>
    <t xml:space="preserve"> CONSTRUCTION PROJECTS</t>
  </si>
  <si>
    <t xml:space="preserve"> Construction of Multi-Purposed Building (Tourism Information and Assistance Center) @ Brgy Sapang Uwak, Porac, Pampanga</t>
  </si>
  <si>
    <t xml:space="preserve"> Construction Project</t>
  </si>
  <si>
    <t xml:space="preserve"> Republic of the Philippines Province of Batangas MUNICIPALITY OF LEMERY INVITATION TO BID FOR Construction/ Improvement/ Rehabilitation of Water System Facilities at Barangay Talaga, Lemery, Batangas 1.	The MUNICIPALITY OF LEMERY through the Supplemental </t>
  </si>
  <si>
    <t xml:space="preserve"> Site Clearing &amp; Loading of Garbage at Transfer Station, Pandaguirig, Floridablanca, Pampanga</t>
  </si>
  <si>
    <t xml:space="preserve"> CONTRACT ID #: 20-03-066 REBID = PROCUREMENT OF HARDWARES AND CONSTRUCTION MATERIALS</t>
  </si>
  <si>
    <t xml:space="preserve"> Purchase of Various Medicines for RHU  *see attached file for the list of medicines</t>
  </si>
  <si>
    <t xml:space="preserve"> Republic of the Philippines CITY OF PANABO Province of Davao del Norte BIDS AND AWARDS COMMITTEE -o0o- INVITATION TO BID  SUPPLY OF 1 UNIT BRAND NEW MOBILE X-RAY MACHINE TRUCK 1.	The City of Panabo, through CMO/MEDICAL EQUIPMENT-COVID 19 PPA’S UNDER BGCM </t>
  </si>
  <si>
    <t xml:space="preserve"> Weather proof speakers and all the accessories connected therewith</t>
  </si>
  <si>
    <t xml:space="preserve"> Quotation #: 20-06-0349 = PROCUREMENT OF VARIOUS DRUGS AND MEDICINES AND MEDICAL SUPPLIES</t>
  </si>
  <si>
    <t xml:space="preserve"> 232	pcs	Grafted Jackfruit Seedlings 69	pcs	Grafted Florida Mango Seedlings</t>
  </si>
  <si>
    <t xml:space="preserve"> Contract ID:	20FH0087 Contract Name:	CONSTRUCTION OF FOUR (4) STOREY SIXTEEN (16) CLASSROOM – TWO (2) UNITS (7X18) SCIENCE LABORATORY, TWO (2) UNITS (7X18) ICT LABORATORY AND FOUR (4) UNITS (7X18) REGULAR WORKSHOP SCHOOL BUILDING, GIGMOTO RURAL DEVELOPMEN</t>
  </si>
  <si>
    <t xml:space="preserve"> Provision of supplies and materials for the daily operations and functionality of VAWC Desk of Barangay Post Proper Northside</t>
  </si>
  <si>
    <t xml:space="preserve"> BLACK 2PCS CYAN 1 PC MAGENTA 1 PC YELLOW 1 PC</t>
  </si>
  <si>
    <t xml:space="preserve"> Contract ID:	20FH0085 Contract Name:	LOCAL ROADS AND BRIDGES-LOCAL ROADS-CONSTRUCTION/REHABILITATION/IMPROVEMENT OF BRGY. DUGUI TOO TO DUGUI WALA, VIRAC, CATANDUANES Contract Location:	VIRAC, CATANDUANES Scope of Work:	REHABILITATION/IMPROVEMENT OF 2,258.</t>
  </si>
  <si>
    <t xml:space="preserve"> Solid Waste Management Purchase of Other Supplies and Materials - P 150,000.00</t>
  </si>
  <si>
    <t xml:space="preserve"> RFQ 20-06-050 (NEBULIZER, HEAVY DUTY)</t>
  </si>
  <si>
    <t xml:space="preserve"> Purchase of Various Medicines for RHU *see attached file for the lists of medicines</t>
  </si>
  <si>
    <t xml:space="preserve"> Section I. Invitation to Bid Republic of the Philippines PROVINCE OF ZAMBOANGA SIBUGAY Capitol Building, Ipil Heights, Ipil, Zamboanga Sibugay Invitation to Bid for  Construction of Water System (Drilling) @ Brgy. Tupilac, R.T. Lim, Zamboanga Sibugay 1.	T</t>
  </si>
  <si>
    <t xml:space="preserve"> Republic of the Philippines Region X PROVINCE OF LANAO DEL NORTE Municipality of Linamon -oOo- BIDS AND AWARDS COMMITTEE (BAC) INVITATION TO BID FOR LABOR AND MATERIALS FOR THE CONSTRUCTION OF TINAGO FALLS DEVELOPMENT PROJECT (MULTI-PURPOSE HALL) PHASE 2 </t>
  </si>
  <si>
    <t xml:space="preserve"> Please see attached RFQ # 20-1034 Submit your Sign and Sealed Quotation together with your UPDATED ELIGIBILITY Requirements For more details please call RAFIS (Bernadeth 09358603052) or Email us at damimaropasvp@gmail.com Technical Requirements: 1. Valid </t>
  </si>
  <si>
    <t xml:space="preserve"> 1 pc aircon 2 pcs flat tv 32" 6 pcs stand fan 1 pc gas burner 1 pc tv anthena</t>
  </si>
  <si>
    <t xml:space="preserve"> Mayor's Office Repair &amp; Maintenance- Buildings and Other Structures - P 200,000.00</t>
  </si>
  <si>
    <t xml:space="preserve"> The Department of Agriculture-RFO 3, invites interested suppliers to submit quotations/proposals for the hereunder requirement, to wit: ITEM NO.	QTY.	UNIT	ITEMS &amp; DESCRIPTION		UNIT PRICE	TOTAL AMOUNT	BRAND/MODEL 							 			AI supplies				 	170	box	Shoulde</t>
  </si>
  <si>
    <t xml:space="preserve"> The Department of Agriculture-RFO 3, invites interested suppliers to submit quotations/proposals for the hereunder requirement, to wit: 15	cart	Ink Cart, Canon PG-810, Black	 8	set	Ink (bottomless), for Epson L3110, Black, Cyan, Yellow, Magenta (4 pcs/set</t>
  </si>
  <si>
    <t xml:space="preserve"> Mayor's Office Purchase of Other Supplies and Materials  - P 200,000.00</t>
  </si>
  <si>
    <t xml:space="preserve"> Job Order labor and material for the installation of 		CCTV System 		Specifications: 3	unit	Bullet ip camera 2	unit	Dome ip camera 2	unit	Ip camera adapter 1	pc	HDMI splitter (40 meters) 1	pc	HDMI to VGA adapter 1	pc	HDMI cable- High Definition (40 meters</t>
  </si>
  <si>
    <t xml:space="preserve"> Republic of the Philippines Province of Batangas MUNICIPALITY OF LEMERY INVITATION TO BID FOR Construction/ Improvement/ Rehabilitation of Water System Facilities at Sitio Bagong Paraiso, Barangay San Isidro Itaas, Lemery, Batangas 1.	The MUNICIPALITY OF </t>
  </si>
  <si>
    <t xml:space="preserve"> Order/Download and fill up attach Request for Quotation and submit to the BAC Office on/before closing date</t>
  </si>
  <si>
    <t xml:space="preserve"> Republic of the Philippines  LOCAL GOVERNMENT OF BRGY. ISABANG TAYABAS CITY INVITATION TO BID FOR  PROJECT NO. 20-06-28 – SUPPLY AND DELIVERY OF CONSTRUCTION MATERIALS FOR THE CONSTRUCTION/REHABILITATION OF MULTI-PURPOSE HALL - BRGY. ISABANG 1.	The Local </t>
  </si>
  <si>
    <t xml:space="preserve"> 6rms   Bookpaper S20 - long 4rms   Bookpaper S20 - short 3bxs   Paper fastener (plastic coated) 5bxs   Ballpen - Energel 0.5 (12pcs/bx) 2pcs   Scissor - big</t>
  </si>
  <si>
    <t xml:space="preserve"> Section I. Invitation to Bid Republic of the Philippines PROVINCE OF ZAMBOANGA SIBUGAY Capitol Building, Ipil Heights, Ipil, Zamboanga Sibugay Invitation to Bid for  Construction of Foot Bridge at Brgy. Gandaan - Brgy. Galas, Olutanga, Zamboanga Sibugay 1</t>
  </si>
  <si>
    <t xml:space="preserve"> Department of Health TONDO MEDICAL CENTER ISO 9001:2008 Certified Philhealth Accredited “Health care within your reach”  BIDS AND AWARDS COMMITTEE INVITATION TO BID   1.	The Tondo Medical Center (TMC), through the Genral Appropriations Act (GAA) intends t</t>
  </si>
  <si>
    <t xml:space="preserve"> Republic of the Philippines  Province of Eastern Samar Municipality of Salcedo Barangay Caridad Invitation to Bid for the Supply and Delivery of Materials for the Repair/Rehabilitation of Boardwalk  1.	The BLGU-Caridad, through the BDF intends to apply th</t>
  </si>
  <si>
    <t xml:space="preserve"> Section I. Invitation to Bid Republic of the Philippines PROVINCE OF ZAMBOANGA SIBUGAY Capitol Building, Ipil Heights, Ipil, Zamboanga Sibugay Invitation to Bid for  Construction of Water System (Drilling) @ Brgy. San Pedro, Tungawan, Zamboanga Sibugay 1.</t>
  </si>
  <si>
    <t xml:space="preserve"> Section I. Invitation to Bid Republic of the Philippines PROVINCE OF ZAMBOANGA SIBUGAY Capitol Building, Ipil Heights, Ipil, Zamboanga Sibugay Invitation to Bid for  Concreting of Tomitom Brgy. Road @ Brgy. Tomitom, Ipil, Zamboanga Sibugay 1.	The Province</t>
  </si>
  <si>
    <t xml:space="preserve"> Section I. Invitation to Bid Republic of the Philippines PROVINCE OF ZAMBOANGA SIBUGAY Capitol Building, Ipil Heights, Ipil, Zamboanga Sibugay Invitation to Bid for  Construction of Multi-Purpose Building @ Lindang, Diplahan, Zamboanga Sibugay 1.	The Prov</t>
  </si>
  <si>
    <t xml:space="preserve"> Office Equipment Parts &amp; Accessories</t>
  </si>
  <si>
    <t xml:space="preserve"> I. Electrical Works Labor OCM/CP/VAt</t>
  </si>
  <si>
    <t xml:space="preserve"> Republic of the Philippines BIDS AND AWARDS COMMITTEE Province of Iloilo Invitation to Bid Purchase of DRUGS AND MEDICINES Bid No.RPT-20-0294-B  1. The Iloilo Provincial Government, through the 2020 GENERAL FUND intends to apply the sum of SEVEN HUNDRED N</t>
  </si>
  <si>
    <t xml:space="preserve"> The Department of Agriculture-RFO 3, invites interested suppliers to submit quotations/proposals for the hereunder requirement, to wit: 		Bill of Materials for the Construction of Palay Shed	 11	pc	1/4" x 1 1/2" x 1 1/2" Angular Bar (Top, Bottom, Chord &amp; </t>
  </si>
  <si>
    <t xml:space="preserve"> CCTV units and all the accessories connected therewith...(1lot)</t>
  </si>
  <si>
    <t xml:space="preserve"> Republic of the Philippines BIDS AND AWARDS COMMITTEE Province of Iloilo Invitation to Bid Purchase of DRUGS AND MEDICINES Bid No.CDH-20-0713-B  1. The Iloilo Provincial Government, through the 2020 GENERAL FUND intends to apply the sum EIGHT HUNDRED FORT</t>
  </si>
  <si>
    <t xml:space="preserve"> Republic of the Philippines BIDS AND AWARDS COMMITTEE Province of Iloilo Invitation to Bid Purchase of DRUGS AND MEDICINES Bid No.CDH-20-0714-B  1. The Iloilo Provincial Government, through the 2020 GENERAL FUND intends to apply the sum SEVENTY-EIGHT THOU</t>
  </si>
  <si>
    <t xml:space="preserve"> Purchase of Van for Ambulance</t>
  </si>
  <si>
    <t xml:space="preserve"> Health and Protective Equipments -Face Masks -Temperature Scanner -Alcohol -Other Safety, Protective and Health Products</t>
  </si>
  <si>
    <t xml:space="preserve"> Republic of the Philippines BIDS AND AWARDS COMMITTEE Province of Iloilo Invitation to Bid Purchase of DRUGS AND MEDICINES Bid No.CDH-20-0712-B  1. The Iloilo Provincial Government, through the 2020 GENERAL FUND intends to apply the sum TWO HUNDRED EIGHTE</t>
  </si>
  <si>
    <t xml:space="preserve"> Invitation to Bid: Warehouse Handling (And Allied) Services for Grains for NFA Region VIII for CY 2020 Page 1 Republic of the Philippines NATIONAL FOOD AUTHORITY EASTERN VISAYAS REGIONAL OFFICE (REGION VIII) Pawing, Palo, Leyte TeleFax No. (053) 323-4240 </t>
  </si>
  <si>
    <t xml:space="preserve"> I. Electrical Works Labor OCM/CP/VAT</t>
  </si>
  <si>
    <t xml:space="preserve"> Republic of the Philippines BIDS AND AWARDS COMMITTEE Province of Iloilo Invitation to Bid Purchase of DRUGS AND MEDICINES Bid No.CDH-20-0711-B  1. The Iloilo Provincial Government, through the 2020 GENERAL FUND intends to apply the sum THREE HUNDRED EIGH</t>
  </si>
  <si>
    <t xml:space="preserve"> Republic of the Philippines Province of Davao de Oro MUNICIPALITY OF COMPOSTELA BIDS AND AWARDS COMMITTEE CP#: 0998-571-7569 INVITATION TO BID FOR  Procurement of Spare Tires for Heavy Equipments (2nd Qtr) – MOTORPOOL ITB NO. 2020-06-029, BID NO. 001 1.	T</t>
  </si>
  <si>
    <t xml:space="preserve"> Section I. Invitation to Bid Republic of the Philippines PROVINCE OF ZAMBOANGA SIBUGAY Capitol Building, Ipil Heights, Ipil, Zamboanga Sibugay Invitation to Bid for  Construction of Mangrove Boardwalk @ Brgy. Buluan, Ipil, Zamboanga Sibugay 1.	The Provinc</t>
  </si>
  <si>
    <t xml:space="preserve"> INVITATION TO BID Digitization, Upgrading and Updating of Tabaco City Tax Map (Rebid)  Various Barangays, Tabaco City Contract ID No. 030-12-2019-GOODS	 ABC: Php 1,500,000.00 										June 22, 2020 	 1.	The City Government of Tabaco, through the General </t>
  </si>
  <si>
    <t xml:space="preserve"> The Department of Agriculture-RFO 3, invites interested suppliers to submit quotations/proposals for the hereunder requirement, to wit: ITEM NO.	QTY.	UNIT	ITEMS &amp; DESCRIPTION		UNIT PRICE	TOTAL AMOUNT	BRAND/MODEL 							 			Other Supplies				 	20	pcs	Retra</t>
  </si>
  <si>
    <t xml:space="preserve"> Section I. Invitation to Bid Republic of the Philippines PROVINCE OF ZAMBOANGA SIBUGAY Capitol Building, Ipil Heights, Ipil, Zamboanga Sibugay Invitation to Bid for  Construction of Brgy Evacuation Center @ Brgy. Casacon, R.T. Lim, Zamboanga Sibugay 1.	Th</t>
  </si>
  <si>
    <t xml:space="preserve"> 1. The San Patricio Barangay Council intends to apply the sum of two hundred eleven thousand eight hundred seventy seven and 80/100 pesos (Php 211,877.80) under the barangay development fund (20%) as the approved budget for the contract (ABC) for the Reha</t>
  </si>
  <si>
    <t xml:space="preserve"> 230    pcs	 Good Lumber (2x2x8ft) 90      pcs	 Good Lumber (2x2x10ft) 35      pcs	 Marine Plywood (4x8ft), 1/4" 5        kgs	 Common nail (1") 5	  kgs	 Common nail (2") 5	  kgs	 Common nail (3") 1	  pc	 Crosscut Saw 1	  pc	 Steel Claw Hammer</t>
  </si>
  <si>
    <t xml:space="preserve"> Republic of the Philippines BIDS AND AWARDS COMMITTEE Province of Iloilo Invitation to Bid Purchase of DENTAL SUPPLIES Bid No.CDH-20-0434-B  1. The Iloilo Provincial Government, through the 2020 GENERAL FUND intends to apply the sum FIFTY-THREE THOUSAND F</t>
  </si>
  <si>
    <t xml:space="preserve"> Quantity	Unit of Issue	Item Description 	 	                  3	         Units                Drone Mavic 2 Pro with Smart Controller @ 110,000.00 per Unit 		                        Drone Mavic 2 Pro with Smart Controller DJI Intelligent Flight Battery for</t>
  </si>
  <si>
    <t xml:space="preserve"> Republic  of  the  Philippines  Province  of  Marinduque MUNICIPALITY  OF  GASAN INVITATION TO BID FOR THE IMPROVEMENT OF MUNICIPAL CEMETERY (Concreting of Pathway, Improvement of Stage, Septic Vault and Painting) 1.	The Municipality of Gasan, through Gen</t>
  </si>
  <si>
    <t xml:space="preserve"> 1Quotations and other requirements stated below shall be submitted to the San Jose City Water District, 2675 Maharlika Road, Abar Ist., San Jose City, N.E. or e-mail at sjc_waterdistrict@yahoo.com 	 Supplier shall submit the following requirements:	      </t>
  </si>
  <si>
    <t xml:space="preserve"> 1. Lunch       Rice, Pancit,Fried Chicken,Bottled water Snacks :            Sandwich &amp; Juice</t>
  </si>
  <si>
    <t xml:space="preserve"> 1.The Local Government Unit of the Municipality of Magsaysay, through LBP Loan intends to apply the sum of Twenty Million Nine-hundred Thousand Pesos (P 20,900,000.00) being the Approved Budget for the Contract (ABC) to payment under the Acquisition of He</t>
  </si>
  <si>
    <t xml:space="preserve"> WIFI Internet Connection installed @ Barrio site</t>
  </si>
  <si>
    <t xml:space="preserve"> Republic of the Philippines Province of Bataan MUNICIPALITY OF ORION Bids and Awards Committee 20ITB-INF-02-00040 Invitation to Bid for Labor and Materials for the Construction of Office Cabinet and Pantry at New RHU, Wawa, Orion, Bataan 1.	The Municipali</t>
  </si>
  <si>
    <t xml:space="preserve"> Sample description</t>
  </si>
  <si>
    <t xml:space="preserve"> Republic  of  the  Philippines  Province  of  Marinduque MUNICIPALITY  OF  GASAN INVITATION TO BID FOR THE INSTALLATION OF FLOOR TILES – STAGE COVERED TENNIS AND BASKETBALL COURT 1.	The Municipality of Gasan, through General Fund CY 2020, Repair and Maint</t>
  </si>
  <si>
    <t xml:space="preserve"> Quantity       Unit of Issue       Item Description     13                 units             VRF Accu Unit     53                 units             Cassette Type FCU Unit     22                 units             Wall Type FCU Unit      4                  </t>
  </si>
  <si>
    <t xml:space="preserve"> Quantity       Unit of Issue       Item Description    2500                set              Tableware set (plastic plate, plastic drinking cups, stainless spoon and fork) NAME OF PROJECT: Purchase of various kitchen wares to be used in the Office of the M</t>
  </si>
  <si>
    <t xml:space="preserve"> Republic of the Philippines  Department of Education  Region V  Division of Camarines Sur  RAGAY NATIONAL AGRICULTURAL AND FISHERIES SCHOOL  BIDS AND AWARDS COMMITTEE  Liboro, Ragay, Camarines Sur  RNAFS-2020-06-016 ATTENTION:  ALL INTERESTED BIDDERS  SUB</t>
  </si>
  <si>
    <t xml:space="preserve"> 638 bags Portland Cement 71 cu.m Gravel 35.5 cu.m Washed Sand 15 pcs. 12mm DRB 15 kgs. Asphalt Sealant 15 cu.m Aggregate Sub Base Coarse Form Works  14 pcs. 2 x 6 x 12 coco 5 kgs. CW Nails #4 Rental Equipment  8 days rental Concrete Bagger Mixer</t>
  </si>
  <si>
    <t xml:space="preserve"> 1 set 50" TV w/ cable</t>
  </si>
  <si>
    <t xml:space="preserve"> Quantity       Unit of Issue       Item Description      4                  units             Steel filing cabinet with 4 drawers and Enamel painted      2                  units             Water dispenser bottom steel technology with function of hot, co</t>
  </si>
  <si>
    <t xml:space="preserve"> 15" 2 Way 400W Powered Portable Sound System	3	unit Spefication:		 LCD Display		 2 Wireless Handheld Mic		 12V DC IN		 220V AC		 5 Band Equalizer		 Rechargeable battery		 Mic input		 Guitar / Mic2 Input		 AUX/Line in		 USB port		 SD port		 FM Radio		 Remo</t>
  </si>
  <si>
    <t xml:space="preserve"> Description I.	Signboard II.	Clearing and Grubbing III.	Surface Leveling and Base Correction  IV.	Aggregate Sub-Base Coarse  V.	Aggregate Base Coarse  VI.	Form Works VII.	Portland Cement Concrete Pavement VIII.	Shouldering (+10% Shrinkage) IX.	Constructio</t>
  </si>
  <si>
    <t xml:space="preserve"> Quantity       Unit of Issue       Item Description    100                 pcs               Garbage/Trash Circular Bins (drum style) NAME OF PROJECT: Purchase of garbage bins to be distributed to various barangay's of LGU Bauan, Batangas CONTRACT REF. NO</t>
  </si>
  <si>
    <t xml:space="preserve"> Quantity       Unit of Issue       Item Description     50                  pcs               Sphygmomanometer with cuffs     30                  pcs               Nebulizers NAME OF PROJECT: Purchase sphygmomanometer and nebulizer to be distributed to va</t>
  </si>
  <si>
    <t xml:space="preserve"> Republic of the Philippines Province of Cagayan Municipality of Solana -oOo- BIDS AND AWARDS COMMITTEE (BAC) Invitation for submission of price quotation Supply &amp; Delivery of Spareparts for the repair of Manlift (Boom Truck) 1.	The Municipal Government of</t>
  </si>
  <si>
    <t xml:space="preserve"> -Painting -Body Repair -Electrical -Upholstery -Dashboard -Power Window -Side Mirror -Muffler -Engine Oil -Oil Filter -Tail Light -Corner Lamp - Cargo Box -including labor</t>
  </si>
  <si>
    <t xml:space="preserve"> 2 units Welding Machine, Elect. Drive	 1 unit   Grinder</t>
  </si>
  <si>
    <t xml:space="preserve"> Quantity       Unit of Issue       Item Description     250                kls               Multi-purpose cleaner     500                btl               Toilet bowl cleaner      50                 pcs              Brush with long handle (plastic) NAME </t>
  </si>
  <si>
    <t xml:space="preserve"> The Department of Agriculture-RFO 3, invites interested suppliers to submit quotations/proposals for the hereunder requirement, to wit: 60	ream	Bond Paper, 8 1/2" x 11" (Sub 20/70gsm) 60	ream	Bond Paper, 8 1/2" x 13" (Sub 20/70gsm) 60	ream	Bond Paper, 8 1</t>
  </si>
  <si>
    <t xml:space="preserve"> Please see attached file (RFQ-20-03-0292/03-0293) for reference.</t>
  </si>
  <si>
    <t xml:space="preserve"> Invitation to Bid 1.	The Commission on Higher Education (CHED), through the General Appropriations Act Fiscal Year 2020  intends to apply the sum of Three Million Two Hundred Thousand Pesos (PHP 3,200,000.00) being the Approved Budget for the Contract (AB</t>
  </si>
  <si>
    <t xml:space="preserve"> Brgy. San Miguel, Danao, Bohol  						 Project Reference Number 			 : 	 2020-001 		  Name of Procuring Entity 						 Name of Project 			 : 	 Construction of Deep Wells Potable Water 5 Sitio's (Quarry, Apalili, Centro, Hantud &amp; Kagisukan) 		  StandardForm </t>
  </si>
  <si>
    <t xml:space="preserve"> Invitation to Bid for the Supply and Delivery of various Medicine for the use of Brgy. Dela Paz Pulot Aplaya, Batangas City</t>
  </si>
  <si>
    <t xml:space="preserve"> Improvement of Barangay Hall, 20% D.F.</t>
  </si>
  <si>
    <t xml:space="preserve"> Concreting of Farm-to Market Road w/ Drainage Canal, 20 % D.F.</t>
  </si>
  <si>
    <t xml:space="preserve"> The LOCAL BARANGAY GOVERNMENT UNIT of Barangay Naguiddayan, intends to apply the sum above-stated being the Approved Budget for the Contract (ABC) to payments under the contract for (Concreting &amp; Widening of Barangay Road), specified hereunder: MATERIALS </t>
  </si>
  <si>
    <t xml:space="preserve"> Republic  of  the  Philippines  Province  of  Marinduque MUNICIPALITY  OF  GASAN INVITATION TO BID FOR THE CONSTRUCTION OF 40 UNITS NICHES 1.	The Municipality of Gasan, through General Fund CY 2020, Construction of Niches intends to apply the sum of  One </t>
  </si>
  <si>
    <t xml:space="preserve"> TO ALL BIDDERS: Interested bidders may obtain further information from the LBGU Barangay Cabalanggan at the address given below. The Local Barangay Government Unit of Barangay Cabalanggan serves the right to accept or reject any bid, declares failure of b</t>
  </si>
  <si>
    <t xml:space="preserve"> 286 dose QUADRIVALENT ANTI-FLU VACCINE 0.5ml INACTIVATED, TYPES A AND B SUBVIRION PRE-FILLED SYRINGE, SINGEL DOSE SUSPENSION FOR MUSCLE INJECTION PRICE ARE INCLUSIVE OF THE FOLLOWING: MEDICAL TEAM (RN/MD) FOR THE ADMINISTRATION OF THE VACCINES. FREE VACCI</t>
  </si>
  <si>
    <t xml:space="preserve"> Republic of the Philippines Province of Cagayan Municipality of Solana -oOo- BIDS AND AWARDS COMMITTEE (BAC) Invitation for submission of price quotation Supply and Delivery of Basketball Backboard (fiber glass) 1.	The Municipal Government of Solana, thro</t>
  </si>
  <si>
    <t xml:space="preserve"> Invitation to Bid for the Supply and Delivery of various Medicine for the use of Brgy. Gulod Labac, Batangas City</t>
  </si>
  <si>
    <t xml:space="preserve"> Republic of the Philippines Province of Cagayan Municipality of Solana -oOo- BIDS AND AWARDS COMMITTEE (BAC) Invitation for submission of price quotation Supply &amp; Delivery of Spareparts  for the General Overhauling of Dumptruck #3 1.	The Municipal Governm</t>
  </si>
  <si>
    <t xml:space="preserve"> Quantity       Unit of Issue       Item Description      5                   pages           Publication of Ordinance Nos. 19-12-0215, 20-04-0221, 20-04-0223 &amp; 20-04-0224 NAME OF PROJECT: Publication of Ordinance Nos. 19-12-0215, 20-04-0221, 20-04-0223 &amp; </t>
  </si>
  <si>
    <t xml:space="preserve"> Republic of the Philippines Region X PROVINCE OF LANAO DEL NORTE Municipality of Linamon -oOo- BIDS AND AWARDS COMMITTEE (BAC) INVITATION TO BID FOR LABOR AND MATERIALS FOR THE IMPROVEMENT/ENHANCEMENT OF HISTORICAL SITES  Project Identification No. LIN-LD</t>
  </si>
  <si>
    <t xml:space="preserve"> Invitation to Bid for Construction of Multi-Purpose Hall for Livelihood for the Barangay Lim-ao Resettlement Site Home Owners Association, Brgy.Lim-ao, Kananga, Leyte 1.	The Barangay Government of Lim-ao, Kananga, Leyte, through its BIDS AND AWARDS COMMIT</t>
  </si>
  <si>
    <t xml:space="preserve"> The LOCAL BARANGAY GOVERNMENT UNIT of Barangay V, intends to apply the sum above-stated being the Approved Budget for the Contract (ABC) to payments under the contract for Construction of Drainage Canal, specified hereunder: MATERIALS COST - 106,964.50 CO</t>
  </si>
  <si>
    <t xml:space="preserve"> ITEM I - DEMOLITION OF CONCRETE           - (None) ITEM II - FORM WORKS 1          - 50 pcs. 2" x 2" x 8' Coco Lumber 2          - 50 Pcs. 1" x 2" x 8' Coco Lumber 3          - 30 Pcs. 1/4" thick Marine Plywood 4          - 2 Raolls Nylon #120 5          </t>
  </si>
  <si>
    <t xml:space="preserve"> Office equipment, school supplies and other categories</t>
  </si>
  <si>
    <t xml:space="preserve"> IMPROVEMENT OF SCHOOL CLINIC</t>
  </si>
  <si>
    <t xml:space="preserve"> ITEM I - SB-GRADE PREPARATION 1        - 22 Cu.m. Filling Materials ITEM II - REINFORCING STEEL 2        - 20 Length 16mm dia. x 6m RSB 3        - 5 Pcs. Hacksaw Blade (Quality Branded) 4        - 5 Length 12mm dia. x 6m RSB 5        - 5 Length 10mm dia. </t>
  </si>
  <si>
    <t xml:space="preserve"> Republic of the Philippines Danao City BIDS AND AWARDS COMMITTEE 	 REQUEST FOR QUOTATION The Local Government of Danao City, through the General Services Office intends to apply the sum of Php141,148.00 being the Approved Budget for the Contract (ABC) to </t>
  </si>
  <si>
    <t xml:space="preserve"> Republic of the Philippines Province of Davao de Oro BIDS AND AWARDS COMMITTEE Cabidianan, Nabunturan, Davao de Oro ITB No. 20-022 June 15, 2020 INVITATION TO BID  FOR  THE Procurement of Fertilizers 1.	The Provincial Government of Davao de Oro, through t</t>
  </si>
  <si>
    <t xml:space="preserve"> Republic of the Philippines Department of Justice Bureau of Corrections DAVAO PRISON AND PENAL FARM B. E. Dujali, Davao del Norte Section I. Invitation to Bid   INVITATION TO BID FOR SUPPLY AND DELIVERY OF FUEL FOR CY 2020 1.	The Davao Prison and Penal Fa</t>
  </si>
  <si>
    <t xml:space="preserve"> Republic of the Philippines Danao City BIDS AND AWARDS COMMITTEE 	 REQUEST FOR QUOTATION The Local Government of Danao City, through the General Services Office intends to apply the sum of Php64,975.00 being the Approved Budget for the Contract (ABC) to p</t>
  </si>
  <si>
    <t xml:space="preserve"> Republic of the Philippines Danao City BIDS AND AWARDS COMMITTEE 	 REQUEST FOR QUOTATION The Local Government of Danao City, through the City Admin./Waterworks Division intends to apply the sum of Php62,430.00 being the Approved Budget for the Contract (A</t>
  </si>
  <si>
    <t xml:space="preserve"> The Department of Agriculture-RFO 3, invites interested suppliers to submit quotations/proposals for the hereunder requirement, to wit: 130	Bottle	Spinetoram (250ml/bottle) 230	Bottle	chlorantraniliprole (250ml/bottle) 200	Sachet	Copper hydroxide (500gram</t>
  </si>
  <si>
    <t xml:space="preserve"> Republic of the Philippines Province of Davao de Oro BIDS AND AWARDS COMMITTEE Cabidianan, Nabunturan, Davao de Oro ITB No. 20-022 June 15, 2020 INVITATION TO BID  FOR  THE Procurement of 1 unit serofuge-Rebid  1.	The Provincial Government of Davao de Oro</t>
  </si>
  <si>
    <t xml:space="preserve"> Republic of the Philippines Danao City BIDS AND AWARDS COMMITTEE 	 REQUEST FOR QUOTATION The Local Government of Danao City, through the City Treasurers Office intends to apply the sum of Php75,000.00 being the Approved Budget for the Contract (ABC) to pa</t>
  </si>
  <si>
    <t xml:space="preserve"> EXTENSION OF LANATAN ELEMENTARY SCHOOL MULTI-PURPOSE BUILDING BARANGAY LANATAN, BALAYAN, BATANGAS</t>
  </si>
  <si>
    <t xml:space="preserve"> Republic of the Philippines Province of South Cotabato City of Koronadal BIDS AND AWARDS COMMITTEE Invitation to Bid for the Repair of Lined Canal, Agan Road, Brgy. Sta.Cruz, City of Koronadal 1.	The City Government of Koronadal, through its, CALAMITY FUN</t>
  </si>
  <si>
    <t xml:space="preserve"> Republic of the Philippines Province of Cagayan Municipality of Solana -oOo- BIDS AND AWARDS COMMITTEE (BAC) Invitation for submission of price quotation Purchase of Tire for Motor Grader 1.	The Municipal Government of Solana, through the General Fund  in</t>
  </si>
  <si>
    <t xml:space="preserve"> SUPPLIES &amp; MATERIALS</t>
  </si>
  <si>
    <t xml:space="preserve"> for the repair of Aministration Office COmfort Room</t>
  </si>
  <si>
    <t xml:space="preserve"> Republic of the Philippines     Province of South Cotabato     City of Koronadal     BIDS AND AWARDS COMMITTEE INVITATION TO BID FOR THE  Procurement for the Supply and Delivery of Various Construction Materials Lot 1, 2 &amp; 3, City of Koronadal 1.	The City</t>
  </si>
  <si>
    <t xml:space="preserve"> Republic of the Philippines Danao City BIDS AND AWARDS COMMITTEE 	 REQUEST FOR QUOTATION The Local Government of Danao City, through the General Services Office intends to apply the sum of Php141,100.00 being the Approved Budget for the Contract (ABC) to </t>
  </si>
  <si>
    <t xml:space="preserve"> Please see attached file (RFP-20-03-0296) for reference.</t>
  </si>
  <si>
    <t xml:space="preserve"> TO PURCHASE MINI DUMP TRUCK AS TO BE USE FOR THE COLLECTION OF GARBAGE AT BRGY. MUZON I</t>
  </si>
  <si>
    <t xml:space="preserve"> Item No.----------------Description---------Qty.-----------------------Unit I CONCRETE WORKS PORTLAND CEMENT----------15-----------bags COARSE SAND---------------3-----------cu.m GRAVEL 3/4-----------3--------cu.m 10mm RSB x6.0m---------------15--------pc</t>
  </si>
  <si>
    <t xml:space="preserve"> Supplies and materials for Public Address System Project</t>
  </si>
  <si>
    <t xml:space="preserve"> Please see attached file (RFQ-20-06-0482/20-06-0483) for reference.</t>
  </si>
  <si>
    <t xml:space="preserve"> Section I. Invitation to Bid Republic of the Philippines PROVINCE OF CAGAYAN Municipality of Peñablanca PROVINCIAL BIDS AND AWARDS COMMITTEE INVITATION TO BID FOR  Provision of Security Services to the various District Hospitals of the Provincial Governme</t>
  </si>
  <si>
    <t xml:space="preserve"> ITEM I - FORM WORKS 1 -   12 Pcs. 2"X 2"X 8' Coco Lumber 2 -   12 Pcs. 2" X 2" X 12' Coco Lumber 3 -   2 Rolls Nylon #120 4 -   3 kgs. CW Nail #3" and 4" ITEM II - SUB-GRADE PREPARATION 5 -   16 Cu.m. Quarrying Materials ITEM III - REINFORCING STEEL 6 -  </t>
  </si>
  <si>
    <t xml:space="preserve"> Republic of the Philippines Province of Davao de Oro BIDS AND AWARDS COMMITTEE Cabidianan, Nabunturan, Davao de Oro ITB No. 20-022 June 15, 2020 INVITATION TO BID  FOR  THE Procurement of 20 sets cutting edges w/bolts. Nuts and washers 1.	The Provincial G</t>
  </si>
  <si>
    <t xml:space="preserve"> List of Items available at the BAC office upon request</t>
  </si>
  <si>
    <t xml:space="preserve"> Polo shirt, tactical pants,raincoat,rainboots etc..(1lot)</t>
  </si>
  <si>
    <t xml:space="preserve"> Republic of the Philippines Department of Health Central Luzon Center for Health Development TALAVERA GENERAL HOSPITAL 	Talavera, Nueva Ecija	      ISO QMS Certified REQUEST FOR QUOTATION  for Talavera General Hospital Date: June 19, 2020 RFQ No.: 2020-52</t>
  </si>
  <si>
    <t xml:space="preserve"> REPUBLIC OF THE PHILIPPINES National Office, Diliman, Quezon City             June 19, 2020 INVITATION TO BID PUBLIC BIDDING NO.  2020-31 (GOODS)   1.	The   Bureau   of   Internal     Revenue – National Office (BIR-NO), through the General Appropriations </t>
  </si>
  <si>
    <t xml:space="preserve"> Republic of the Philippines Province of South Cotabato City of Koronadal BIDS AND AWARDS COMMITTEE INVITATION TO BID FOR THE  Procurement for the Supply and Delivery of 200 Units Printer (3 in 1) for DepEd City Division, City of Koronadal 1.	The City Gove</t>
  </si>
  <si>
    <t xml:space="preserve"> You may refer in the attached files for details.</t>
  </si>
  <si>
    <t xml:space="preserve"> The approved estimated budget was 30,000.00 for the purchases of the following items 1500 pcs Notebook 300 pcs Pad Paper 300 pcs Ball Pen 300 pcs Crayons 300 pcs Ruler 300 pcs Small Scissors 300 pcs Sharpener 300 pcs Plastic Folder</t>
  </si>
  <si>
    <t xml:space="preserve"> Concreting of Farm to Market Road                                  P 211,223.40</t>
  </si>
  <si>
    <t xml:space="preserve"> ITB No. 2020-010 (SHORT OF AWARD) 1.	The SUGAR REGULATORY ADMINISTRATION, through the SRA Corporate Operating Budget 2020 intends to apply the sum of Thirteen Million Four Hundred Fifty-Two Thousand Pesos (₱13,452,000.00) being the total Approved Budget f</t>
  </si>
  <si>
    <t xml:space="preserve"> Installation &amp; Maintenance of Streetlights                       P 76, 276.13</t>
  </si>
  <si>
    <t xml:space="preserve"> Republic of the Philippines     Province of South Cotabato     City of Koronadal     BIDS AND AWARDS COMMITTEE INVITATION TO BID FOR THE  Procurement for the Supply and Delivery of Thirteen (13) Units Duplicating Machine for DepEd City Division, City of K</t>
  </si>
  <si>
    <t xml:space="preserve"> Budget for the Improvement of School Drainage System is 20,000.00 20,000.00</t>
  </si>
  <si>
    <t xml:space="preserve"> Republic of the Philippines Province of Davao de Oro BIDS AND AWARDS COMMITTEE Cabidianan, Nabunturan, Davao de Oro ITB No. 20-022 June 15, 2020 INVITATION TO BID  FOR  THE Procurement of 1 lot Soil Investigation Test for Roads and Bridge 1.	The Provincia</t>
  </si>
  <si>
    <t xml:space="preserve"> Supplies and Materials for CCTV System Project</t>
  </si>
  <si>
    <t xml:space="preserve"> Republic of the Philippines Province of Davao de Oro BIDS AND AWARDS COMMITTEE Cabidianan, Nabunturan, Davao de Oro ITB No. 20-022 June 15, 2020 INVITATION TO BID  FOR  THE Procurement of 1 lot Supply and installation of Aluminium fixed glass wall, alumin</t>
  </si>
  <si>
    <t xml:space="preserve"> Republic of the Philippines Province of Occidental Mindoro MUNICIPALITY OF PALUAN BARANGAY III-SILAHIS NG PAG-ASA Invitation to Bid for Service Vehicle (Chariot) 1.	The Local Government Unit of Barangay III-Silahis ng Pag-Asa, Paluan, Occidental Mindoro i</t>
  </si>
  <si>
    <t xml:space="preserve"> 1.	The Government Service Insurance System (GSIS) through the GSIS Corporate Operating Budget for CY 2020 intends to apply the sum of Five Million Pesos (Php5,000,000.00) being the Approved Budget for the Contract (ABC) to payments under the contract for </t>
  </si>
  <si>
    <t xml:space="preserve"> REHABILITATION OF ROAD AT BLOCK 59, BARANGAY STO. NIÑO I, CITY OF SAN JOSE DEL MONTE, BULACAN</t>
  </si>
  <si>
    <t xml:space="preserve"> CONSTRUCTION OF OPEN CANAL AT BLOCK 63 (MARCOS ST., ESQUIVIAS AREA), BARANGAY STO. NIÑO I, CITY OF SAN JOSE DEL MONTE, BULACAN</t>
  </si>
  <si>
    <t xml:space="preserve"> REHABILITATION OF OPEN CANAL AT BLOCK 60 (RAMOS-ROSALES AREA), BARANGAY STO. NIÑO I, CITY OF SAN JOSE DEL MONTE, BULACAN</t>
  </si>
  <si>
    <t xml:space="preserve"> The Pasay City Government – City Cooperative Office, through its Bids and Awards Committee, intends to apply the sum of Seventy Seven Thousand Five Hundred Pesos (Php77,500.00) being the Approved Budget for the Contract (ABC) for the  project: Proposed Re</t>
  </si>
  <si>
    <t xml:space="preserve"> CONSTRUCTION OF OPEN CANAL AT BLK. 59 (ABRAHAM ST.), BARANGAY STO. NIÑO I, CITY OF SAN JOSE DEL MONTE, BULACAN</t>
  </si>
  <si>
    <t xml:space="preserve"> 1.00 UNIT SPECIAL ITEM L.S. L.S. FORMWORKS &amp; SCAFFOLDING 8.60 CU.M. CONCRETE WORKS 70 SQ.M. ROOF FRAMING 70 SQ.M. ROOFING SYSTEM</t>
  </si>
  <si>
    <t xml:space="preserve"> Department of Agriculture		 BUREAU OF PLANT INDUSTRY 692 San Andres Street Malate, Manila, Philippines E-mail Address: bpibac@yahoo.com Tel. No.: (02) 8526-7859, (02) 8691-0736 | Website: bpi.da.gov.ph SOLICITATION NO.: ITB PR NO. 0545-20BAC  INVITATION T</t>
  </si>
  <si>
    <t xml:space="preserve"> INVITATION TO BID FOR THE PROCUREMENT OF  ONE (1) UNIT MOTORCYCLE W/ SIDECAR &amp; ONE (1) UNIT MOTORCYCLE XR 150L MT 1.The LGU-KALINGA, Kalinga Province through its Bids and Awards Committee (BAC) intends to apply the sum of a. Four Million Six Hundred Thous</t>
  </si>
  <si>
    <t xml:space="preserve"> CONSTRUCTION OF OPEN CANAL AT PUROK 1 &amp; PUROK 2, BARANGAY BAGONG BUHAY II, CITY OF SAN JOSE DEL MONTE, BULACAN</t>
  </si>
  <si>
    <t xml:space="preserve"> OPENING OF BIDS IN DSWD FO IX ZAMBOANGA CITY		 DELIVERY IN DSWD-HOME FOR WOMEN , MAMPANG ZAMBOANGA CITY		 PROCUREMENT FOR THE FF.: 6 UNIT NETBOOK (SEE ATTACHED SPECIFICATION AT ASSOCIATED COMPONENT)	 1 UNIT SAFETY VAULT  SPECS: FIRE PROOF BRAND NEW SE SAF</t>
  </si>
  <si>
    <t xml:space="preserve"> OPENING OF BIDS IN DSWD FO IX ZAMBOANGA CITY				 	DELIVERY IN DSWD-PCDP , MAMPANG ZAMBOANGA CITY				 	PROCUREMENT FOR THE FF.: 1 LOT FRUIT SUPPLIES				 	100	KILOS	BANANA LAKATAN		 	75	KILOS	GRAPES SEEDLESS		 	75	CASE	ORANGE PONKAN -100 PCS./CASE		 	75	KIL</t>
  </si>
  <si>
    <t xml:space="preserve"> Republic of the Philippines  PROVINCE OF SURIGAO DEL SUR  		MUNICIPALITY OF CARRASCAL	 Barangay Bon-ot INVITATION FOR BIDS The Barangay Bon-ot through its Bids and Awards Committee invites sealed bids from eligible supplier of Construction Materials and S</t>
  </si>
  <si>
    <t xml:space="preserve"> Republic of the Philippines Province of Cavite Municipality of Tanza BARANGAY PUNTA I INVITATION TO BID The Barangay Government of Punta I  through its Bids and Awards Committee (BAC), invites contractors with and classified by the Philippine Contractors </t>
  </si>
  <si>
    <t xml:space="preserve"> OPENING OF BIDS IN DSWD FO IX ZAMBOANGA CITY DELIVERY IN DSWD-PCDP , MAMPANG ZAMBOANGA CITY PROCUREMENT FOR THE FF.: 1 LOT VEGETABLE SUPPLIES 200	KILOS	Amplaya (Bitter gourd) 100	KILOS	Baguio Beans 100	KILOS	Bell pepper 175	KILOS	Broccoli 50	KILOS	Calaman</t>
  </si>
  <si>
    <t xml:space="preserve"> SUPPLY AND DELIVERY OF MEDICINES Municipal Health Office Balayan, Batangas</t>
  </si>
  <si>
    <t xml:space="preserve"> 1	C-purlins (2x4x6 m)	9,450.00		lgts	18 2	C-purlins (2x3x6 m)	2,730.00		lgts	6 3	GI Corrugated Sheets	7,800.00		pcs	30 4	Tex screw 2"	750.00		pcs	300 5	Red lead paint	1,196.00		gal	2 6	Paint Thinner	402.00		bot	6 7	Paint Brush 3"	140.00		pcs	2 8	Welding R</t>
  </si>
  <si>
    <t xml:space="preserve"> Cctv camera</t>
  </si>
  <si>
    <t xml:space="preserve"> CONSTRUCTION OF HAND GRILL AT BLOCK 60 (EDWIN GAWAT AREA), BARANGAY STO. NIÑO I, CITY OF SAN JOSE DEL MONTE, BULACAN</t>
  </si>
  <si>
    <t xml:space="preserve"> Republic of the Philippines     Province of South Cotabato     City of Koronadal     BIDS AND AWARDS COMMITTEE INVITATION TO BID FOR THE  Procurement for the Supply and Delivery of 40 Units Laptop Computers for DepEd City Division, City of Koronadal 1.	Th</t>
  </si>
  <si>
    <t xml:space="preserve"> CONSTRUCTION OF PERIMETER FENCE Lanatan Munting Tubig Elementary School Barangay Lanatan, Balayan, Batangas</t>
  </si>
  <si>
    <t xml:space="preserve"> Department of Education Region VI-Western Visayas Division of Cadiz City Mabini National High School 	NOTICE FOR NEGOTIATED PROCUREMENT OF ICT EQUIPMENT AND MATERIALS 1.	Mabini National High School, Division of Cadiz City, through the Schools MOOE and HRT</t>
  </si>
  <si>
    <t xml:space="preserve"> 40" Smart LED TV	15	 Specification:		   Smart TV		   High Definition Ready		    HDMI Port, USB Port, AV Port, Lan Port		   Slim and Metal Frame</t>
  </si>
  <si>
    <t xml:space="preserve"> Republic of the Philippines Province of Davao de Oro BIDS AND AWARDS COMMITTEE Cabidianan, Nabunturan, Davao de Oro ITB No. 20-022 June 15, 2020 INVITATION TO BID  FOR  THE Procurement of construction supplies 1.	The Provincial Government of Davao de Oro,</t>
  </si>
  <si>
    <t xml:space="preserve"> Republic of the Philippines Province of Davao de Oro BIDS AND AWARDS COMMITTEE Cabidianan, Nabunturan, Davao de Oro ITB No. 20-022 June 15, 2020 INVITATION TO BID  FOR  THE Procurement of 1 package web hosting (9 months) 1.	The Provincial Government of Da</t>
  </si>
  <si>
    <t xml:space="preserve"> Section I. Invitation to Bid Republic of the Philippines PROVINCE OF ZAMBOANGA SIBUGAY Capitol Building, Ipil Heights, Ipil, Zamboanga Sibugay Invitation to Bid (REBID) for  Improvement of Barangay Health Center at Brgy. Ipil Heights, Ipil, Zamboanga Sibu</t>
  </si>
  <si>
    <t xml:space="preserve"> MILITARY, POLICE AND SECURITY EQUIPMENT</t>
  </si>
  <si>
    <t xml:space="preserve"> Municipal Civil Registrar Purchase of Information and Communication  Technology Equipment (MCR) - P 60,000.00</t>
  </si>
  <si>
    <t xml:space="preserve"> Republic of the Philippines Province of Leyte Municipality of Kananga BIDS AND AWARDS COMMITTEE Invitation to Bid for CONSTRUCTION OF STAGE AT RIZAL NATIONAL HIGH SCHOOL, BRGY. RIZAL, KANANGA, LEYTE - REPOST 1.	The Municipality of Kananga through the Spec</t>
  </si>
  <si>
    <t xml:space="preserve"> Republic of the Philippines Province of Davao de Oro BIDS AND AWARDS COMMITTEE Cabidianan, Nabunturan, Davao de Oro ITB No. 20-022 June 15, 2020 INVITATION TO BID  FOR  THE Procurement of 2 units computer, desktop core i5 with complete accessories 1.	The </t>
  </si>
  <si>
    <t xml:space="preserve"> 1.	In view of two (2) failed public biddings, the Municipal Government of Palimbang through its Bids and Awards Committee invites suppliers to participate in the negotiations for the project, “Vegetable Production” in accordance with Section 53.1 of the I</t>
  </si>
  <si>
    <t xml:space="preserve"> Republic of the Philippines Province of Iloilo Municipality of Lambunao Office of the Bids &amp; Awards Committee INVITATION TO BID/ REQUEST FOR PRICE QUOTATION Name of Project: Purchase of Fuel &amp; Oil for the Farm to Market Road (Concreting) Location: Brgy. L</t>
  </si>
  <si>
    <t xml:space="preserve"> BIDS AND AWARDS COMMITTEE: Item #	 Qty	   Unit	                   Item Description	  Unit Cost	      Total Cost 0001	2,250	pcs	CHB		 0002	260	pcs	Def. Bar 10mm		 0003	235	pcs	Def. Bar 12mm		 0004	235	bags	Cement		 0005	18	cu.m	Mixing Sand		 0006	17	cu.m	G</t>
  </si>
  <si>
    <t xml:space="preserve"> 2 units of DESKTOP-ASPIRE TC 860 9th 3 units of Printer L565 1 unit of ACER NITRO 5 Laptop 1 unit of External Hard Drive 2TG 1 unit of Projector with Tripod 2 units of USB Flash Drive</t>
  </si>
  <si>
    <t xml:space="preserve"> Item	                          Quantity	                        ABC     ALM-300DN                         	362 units	                3,475,200.00     ALM 320DN	                        318 units	                3,863,700.00                                 </t>
  </si>
  <si>
    <t xml:space="preserve"> 1	Computer Ink (Epson tricolor)	32,000.00		100	bot 2	Computer Ink( Epson Black)	20,150.00		65	bot 3	Bond Paper ( Legal sub.20)	21,450.00		110	ream 4	Bond Paper ( short sub.20)	2,850.00		15	ream 5	Bond Paper ( (A4 sub,20)	11,400.00		60	ream 6	Velum board (</t>
  </si>
  <si>
    <t xml:space="preserve"> INVITATION TO SUBMIT QUOTATION Quotation Issue Date: June 22, 2020 Quotation Closing Date:  June 29, 2020 Approved Budget for the Contract (ABC):  Php 240,000.00 Description of Goods and Quantity Required:  Procurement of Two (2) Units Multifunction Scann</t>
  </si>
  <si>
    <t xml:space="preserve"> BIDS AND AWARDS COMMITTEE: Item #	 Qty	   Unit	                   Item Description	  Unit Cost	      Total Cost 0001	1	unit	ITC T1-650 5 Zone Amplifier		 0002	24	unit	LD Systems CWMS-52 Wall Mount Speaker		 0003	1	unit	ITC T-521A Paging Microphone		 0004	</t>
  </si>
  <si>
    <t xml:space="preserve"> BIDS AND AWARDS COMMITTEE: Item #	 Qty	   Unit	                   Item Description	  Unit Cost	      Total Cost 0001		30	box	Amlodipine 10mg tab		 0002		10	box	Amlodipine 5mg tab		 0003		60	box	Amoxicillin 500mg cap		 0004		288	bot	Amoxicillin 250 susp		 </t>
  </si>
  <si>
    <t xml:space="preserve"> BIDS AND AWARDS COMMITTEE: Item #	 Qty	   Unit	                   Item Description	  Unit Cost	      Total Cost 0001	1	unit	1.5HP Wall Mounted aircon single phase 220v, 60hz (non-inverter)		 0002	1	unit	2HP Wall Mounted aircon single phase 220v, 60hz (non</t>
  </si>
  <si>
    <t xml:space="preserve"> Section I. Invitation to Bid Republic of the Philippines PROVINCE OF ZAMBOANGA SIBUGAY Capitol Building, Ipil Heights, Ipil, Zamboanga Sibugay Invitation to Bid for  Construction of Multi-Purpose Building @ Brgy. New Canaan, Titay, Zamboanga Sibugay 1.	Th</t>
  </si>
  <si>
    <t xml:space="preserve"> BIDS AND AWARDS COMMITTEE: Item #	 Qty	   Unit	                   Item Description	  Unit Cost	      Total Cost 0001	135	mtrs	100mm2 THW Wire		 0002	15	lgth	2 1/2 x 3 dia. PVC Pipe		 0003	2	pcs	2 1/2 dia. PVC Elbow		 0004	3	pcs	Solderlesse Connector for 1</t>
  </si>
  <si>
    <t xml:space="preserve"> BIDS AND AWARDS COMMITTEE: Item #	 Qty	   Unit	                   Item Description	  Unit Cost	      Total Cost 0001	1,200	pcs	CHB, 4		 0002	16	lgths	2 x 3 x 6.0m C-Purlins		 0003	5.5	cu.m	Mixing Sand		 0004	36	bags	Cement		 0005	18	lgths	10mm dia. X 6.0m</t>
  </si>
  <si>
    <t xml:space="preserve"> Department of Health TONDO MEDICAL CENTER ISO 9001:2008 Certified Philhealth Accredited “Health care within your reach”  BIDS AND AWARDS COMMITTEE INVITATION TO BID Procurement of Elastomeric Infusion Pump and Gas Sampling Line IB No. 2020 – 044    1.	The</t>
  </si>
  <si>
    <t xml:space="preserve"> The Pasay City Government – Human Resource Management and Development Office, through its Bids and Awards Committee, intends to apply the sum of One Hundred Twenty Thousand Eighty Six Pesos (Php120,086.00) being the Approved Budget for the Contract (ABC) </t>
  </si>
  <si>
    <t xml:space="preserve"> CONSTRUCTION OF OPEN CANAL AT BLOCK 60 (BALICAS - TORRENTE AREA), BARANGAY STO. NIÑO I, CITY OF SAN JOSE DEL MONTE, BULACAN</t>
  </si>
  <si>
    <t xml:space="preserve"> BIDS AND AWARDS COMMITTEE: Item #	 Qty	   Unit	                   Item Description	  Unit Cost	      Total Cost 0001	60	sacks	Rice		 			x-x-x-x Nothing Follows x-x-x-x		 ROY D. CARALDE                            WINNY C. WAYCO, CE, EnP	                   </t>
  </si>
  <si>
    <t xml:space="preserve"> The Department of Agriculture-RFO 3, invites interested suppliers to submit quotations/proposals for the hereunder requirement, to wit: ITEM NO.	QTY.	UNIT	ITEMS &amp; DESCRIPTION		UNIT PRICE	TOTAL AMOUNT	BRAND/MODEL 							 	318	hds	Range Chicken Ready to Lay</t>
  </si>
  <si>
    <t xml:space="preserve"> I. Installation Of Deepwell A. Materials: 5 pcs UPVC Pipe Neltex S-B , 2"Ø x 20' 4 pcs G.I Pipe Eagle S-40, 3/8" x 20' 3 pcs G.I. Pipe Eagle S-40, 3" x 20' 1 pc Cylinder Pump Champion  1 pc G.I Reducer Bushing 2"Ø x 1/2"Ø 1 pc G.I Reducing Tee 2 x 1-1/4"Ø</t>
  </si>
  <si>
    <t xml:space="preserve"> INVITATION TO BID BID NUMBER: 20-06-036 PURCHASE FOR: Other Supplies for the IGP Garments of Guimaras State College (Salvador Campus) ABC: Php.684,470.00 1.) The Guimaras State College through its BIDS AND AWARDS COMMITTEE (BAC) intends to apply the sum o</t>
  </si>
  <si>
    <t xml:space="preserve"> Contract Ref. No.:	20200619-01-G Name of Contract:	Procurement of Water Filter and Purifier for Child Development Center Location:	LGU-MABALACAT CITY Republic of the PHILIPPINES Province of PAMPANGA Municipality of MABALACAT INVITATION TO APPLY FOR ELIGIB</t>
  </si>
  <si>
    <t xml:space="preserve"> BIDS AND AWARDS COMMITTEE: Item #	 Qty	   Unit	                   Item Description	  Unit Cost	      Total Cost 0001 	1	Unit 	Engine Type: 4-stroke, 2 valves, SOHC, Air-cooled; Displacement:150cc; Bore X Stroke:57.30x57.84(mm); Max.Power:9.13KW@8,000rpm; </t>
  </si>
  <si>
    <t xml:space="preserve"> INVITATION TO  BID # 016-2020    The Municipal Government  of Aguilar, through its Bids and Awards Committee (BAC) invites suppliers/ manufacturers/contractors to bid for the hereunder project:.    Name of the Project: CONSTRUCTION OF TAMPAC BRIDGE  Locat</t>
  </si>
  <si>
    <t xml:space="preserve"> 1. The Barangay Alta Vista, Ormoc City, through the 20% DEVELOPMENT FUND FY 2020 intends to apply the sum of Three Hundred Thousand Pesos Only (Php300,000.00) being the Approved Budget for the Contract (ABC) to payments under the contract for the Fabricat</t>
  </si>
  <si>
    <t xml:space="preserve"> INVITATION TO  BID # 015-2020    The Municipal Government  of Aguilar, through its Bids and Awards Committee (BAC) invites suppliers/ manufacturers/contractors to bid for the hereunder project:.    Name of the Project: CONSTRUCTION OF CHILD DEVELOPMENT CE</t>
  </si>
  <si>
    <t xml:space="preserve"> Section I. Invitation to Bid Republic of the Philippines PROVINCE OF ZAMBOANGA SIBUGAY Capitol Building, Ipil Heights, Ipil, Zamboanga Sibugay Invitation to Bid (REBID) for  Construction of Water System (Drilling) @ Brgy. Tilasan Roseller R.T. Lim, Zamboa</t>
  </si>
  <si>
    <t xml:space="preserve"> Invitation to Bid Republic of the Philippines TANZA WATER DISTRICT A .Soriano Highway, Tanza, Cavite 4108 Tel. No. (046) 484-18-13 / 505-2906 1. The Tanza Water District through the Corporate Funds of 2020 intends to apply the sum of Two Million Five Hund</t>
  </si>
  <si>
    <t xml:space="preserve"> Contract Ref. No.:	20200214-02-G Name of Contract:	Procurement of Drugs and Medicines to be used by Central Pharmacy  Location:	LGU-MABALACAT CITY Republic of the PHILIPPINES Province of PAMPANGA Municipality of MABALACAT INVITATION TO APPLY FOR ELIGIBILI</t>
  </si>
  <si>
    <t xml:space="preserve"> Please see attached documents for more details.</t>
  </si>
  <si>
    <t xml:space="preserve"> Republic of the Philippines                                                              PROVINCE OF ISABELA                                                            Municipality of Dinapigue                                      INVITATION TO APPLY FOR </t>
  </si>
  <si>
    <t xml:space="preserve"> 1 set 1/3 Tubular Plate 2 sets and others.</t>
  </si>
  <si>
    <t xml:space="preserve"> Contract Ref. No.:	20200205-01-G Name of Contract:	Procurement of Various Janitorial and Other Maintenance Supplies for the use of the Departments of LGU- Mabalacat City Location:	LGU-MABALACAT CITY Republic of the PHILIPPINES Province of PAMPANGA Municip</t>
  </si>
  <si>
    <t xml:space="preserve"> Republic of the Philippines Province of Palawan Municipality of Dumaran BIDS AND AWARDS COMMITTEE dum_bacsecretariat@yahoo.com REQUEST FOR QUOTATION (SUPPLY AND DELIVERY OF DRUGS AND MEDICINES FOR ANIMAL BITE) _______________________ _____________________</t>
  </si>
  <si>
    <t xml:space="preserve"> INDUSTRIAL TECHNOLOGY DEVELOPMENT INSTITUTE DOST Cmpd., Bicutan, Taguig City Telephone Nos. (02) 837-20-71 to 82 local 2221 E-mail Add.: itdi.admbac@gmail.com INVITATION TO BID June 21, 2020 Sir/Madam: Please quote your price for the item/items listed bel</t>
  </si>
  <si>
    <t xml:space="preserve"> 300	pcs	CHB, 4" x 6" x 18"		 80	bags	Portland Cement, 40 kgs		 10	cu.m.	Sand &amp; Gravel		 10	pcs	Deformed Bars, 12mm x 6m		 10	pcs	Deformed Bars, 10mm x 6m		 30	pcs	Deformed Bars, 9mm x 6m		 5	kgs	Tie Wire, #18		 1	meter	Welded Screen, #1/8		 1	meter	Welded</t>
  </si>
  <si>
    <t xml:space="preserve"> INVITATION TO BID BID NUMBER: 20-06-031 PURCHASE FOR: Consolidated Other Supplies (1st batch) of Guimaras State College (Salvador Campus) ABC: Php.959,010.62 1.) The Guimaras State College through its BIDS AND AWARDS COMMITTEE (BAC) intends to apply the s</t>
  </si>
  <si>
    <t xml:space="preserve"> INVITATION TO BID BID NUMBER: 20-06-030 PURCHASE FOR: Consolidated IT Equipment &amp; Software/ Other Supplies &amp; Materials (1st batch) of Guimaras State College (Salvador Campus) ABC: Php.972,000.00 1.) The Guimaras State College through its BIDS AND AWARDS C</t>
  </si>
  <si>
    <t xml:space="preserve"> 1	1	Lot	Supply and Delivery of  Executive Chair 			Item Description: 	19	Units	Executive Office Chair   Color: BLACK   Leather   Heavy duty; can hold up to 120 .kgs   High Back chair with arm rest and foot rest   Reclining Backrest   Ergonomic   Chrome ba</t>
  </si>
  <si>
    <t xml:space="preserve"> 1. 1-Unit Conference table, glass top, 6 seater, 52.5” x 30.5” x 27”</t>
  </si>
  <si>
    <t xml:space="preserve"> 200 pieces Administration Set Adult/MACROSET IV Cannula G18, G20, G22 and G24</t>
  </si>
  <si>
    <t xml:space="preserve"> 1	1	Lot	Supply &amp; Delivery of Construction Materials 			Item Description: 	30	Pcs	Hose bib faucet (brass) 	30	Pcs	Goose neck faucet (brass) 	30	Pcs	Lavatory faucet ( brass) 	20	Pcs	Angle valve double 1/2 x 1/2 x 1/2 (brass) 	30	Pcs	Angle valve universal 1/</t>
  </si>
  <si>
    <t xml:space="preserve"> Invitation to Bid No. 2020-01 Republic of the Philippines Batangas City Invitation to Bid for the Purchase of Various Medicines for the use of Barangay Maruclap, Batangas City. The Barangay Government through the Office of the Brgy. Chairman intends to ap</t>
  </si>
  <si>
    <t xml:space="preserve"> INVITATION TO BID BID NUMBER: 20-06-039 PURCHASE FOR: Consolidated Office Supplies/Other Supplies &amp; Materials (Supplemental) of Guimaras State College (Salvador Campus) ABC: Php.417,050.00 1.) The Guimaras State College through its BIDS AND AWARDS COMMITT</t>
  </si>
  <si>
    <t xml:space="preserve"> INVITATION TO BID BID NUMBER: 20-06-034 PURCHASE FOR: Other Supplies &amp; Materials for the Guimaras State College (Baterna Campus) ABC: Php.455,249.00 1.) The Guimaras State College through its BIDS AND AWARDS COMMITTEE (BAC) intends to apply the sum of FOU</t>
  </si>
  <si>
    <t xml:space="preserve"> Please see attached RFQ for details.</t>
  </si>
  <si>
    <t xml:space="preserve"> CCTV with 5 HD infrared/ waterproof camera  heavy duty wire and 42'' Led TV Monitor</t>
  </si>
  <si>
    <t xml:space="preserve"> LOT-A 1. 1-Unit Printer 4 in 1 with CISS, Wi-fi connectivity, for multiple user, with 4 sets spare of computer ink (CYK) LOT-B 1. 1-Unit Photocopying machine (desktop) (Office use, as per sample) Specifications: Standard Functions: Copy, Print, Scan Optio</t>
  </si>
  <si>
    <t xml:space="preserve"> 1. 2-Tubes Photocopier Toner-UBIX TN 311</t>
  </si>
  <si>
    <t xml:space="preserve"> INVITATION TO BID BID NUMBER: 20-06-040 PURCHASE FOR: Consolidated IT Equipment/Office Equipment (Supplemental) of Guimaras State College (Salvador Campus) ABC: Php.976,951.99 1.) The Guimaras State College through its BIDS AND AWARDS COMMITTEE (BAC) inte</t>
  </si>
  <si>
    <t xml:space="preserve"> 1. 2-Tubes Photocopier toner-Sharp MX-237 FT</t>
  </si>
  <si>
    <t xml:space="preserve"> LOT-A 1. 8-Reams Substance 20 bond paper, A4 2. 6-Reams Substance 20 bond paper, long 3. 4-Bots. Rubbing alcohol, 500ml, 70% Solution 4. 7-Bots. Ink refill for HP Computer printer, black 5. 6-Bots. Ink refill, cyan, yellow, magenta (2 per color) for HP 6.</t>
  </si>
  <si>
    <t xml:space="preserve"> 1. 1-Unit laptop Specifications: Hard Drive: 500 GB RAM: 4 GB Screen Size: 14” Processor Speed: 2-3 GHz Memory: 4 GB Operating System: Windows 10 2. 1-Unit Projector with wide screen, color: white, lens: manual focus, optical zoom, light output: 5000 lume</t>
  </si>
  <si>
    <t xml:space="preserve"> Republic of the Philippines Province of Palawan Municipality of Dumaran BIDS AND AWARDS COMMITTEE dum_bacsecretariat@yahoo.com REQUEST FOR QUOTATION (SUPPLY AND DELIVERY OF DIESEL AND GASOLINE FOR DUMARAN MUNICIPAL POLICE STATION USE) ____________________</t>
  </si>
  <si>
    <t xml:space="preserve"> 1. 1-Unit Executive Office table: Length (180 cm or 70 ¾”); Width (90 cm or 35 3/8”), High quality solid wood, desk grommets for electronics, one desk drawer 2. 1-Unit Executive Office Chair: (High back, stainless frame, black color) 3. 1-Set Sala set, se</t>
  </si>
  <si>
    <t xml:space="preserve"> 1. 2-Units Desktop Computer, 2.3 GHz or Higher, 4 GB DDR4 memory, 1 TB HDD, 21” Monitor System, Windows 10 with complete accessories 2. 2-Units Printer 3 in 1 with CISS, Resolution: 5760 x 1440mm 3. 1-Unit External Hard drive, 2TB, 3.0</t>
  </si>
  <si>
    <t xml:space="preserve"> 6 Gross Ferrous Sulfate Drops, gross of 144 6 Gross Ferrous Sulfate Syrup, gross of 144</t>
  </si>
  <si>
    <t xml:space="preserve"> 65 bags Portland Cement 200 pcs. CHB 4'' 8 cu.m. washed Sand 6 cu.m. washed gravel 1 set 1.0m x 2.0m door (Frame w/ G.I Pipe) 8 pcs. glass block 40 pcs. 10mm dia. x 6.0m RSB 12 pcs. 16mm dia. x 6.0m RSB 30 pcs. 2''x3''x12' form lumber 10 kls. #16 tie wire</t>
  </si>
  <si>
    <t xml:space="preserve"> Republic of the Philippines Bangsamoro Autonomous Region in Muslim Mindanao OFFICE OF THE SPECIAL BIDS AND AWARDS COMMITTEE Provincial Capitol, Buluan, Maguindanao 	 INVITATION TO BID The Local Government Unit of Maguindanao, through its Special Bids and </t>
  </si>
  <si>
    <t xml:space="preserve"> Description   Republic of the Philippines Danao City BIDS AND AWARDS COMMITTEE INVITATION to APPLY for ELIGIBILITY and to BID Supply and Delivery of Hardware Materials for Construction of Ticket Outpost at Looc, Danao City of the City GOVERNMENT OF DANAO </t>
  </si>
  <si>
    <t xml:space="preserve"> REQUEST FOR QUOTATION RFQ No. 2020-0259 The CITY GOVERNMENT OF CABANATUAN through its Bid and Awards Committee (BAC), will undertake Small Value Procurement for the SUPPLY AND DELIVERY OF OFFICE SUPPLIES in accordance with Section 53.9 of the Revised Impl</t>
  </si>
  <si>
    <t xml:space="preserve"> Description   Republic of the Philippines Danao City BIDS AND AWARDS COMMITTEE INVITATION to APPLY for ELIGIBILITY and to BID Supply and Delivery of Hardware Materials for Improvement of Multi-Purpose Building at Masaba, Danao City of the City GOVERNMENT </t>
  </si>
  <si>
    <t xml:space="preserve"> REQUEST FOR QUOTATION RFQ No. 2020-0260 The CITY GOVERNMENT OF CABANATUAN through its Bid and Awards Committee (BAC), will undertake Small Value Procurement for the SUPPLY AND DELIVERY OF APPLIANCES in accordance with Section 53.9 of the Revised Implement</t>
  </si>
  <si>
    <t xml:space="preserve"> PLEASE SEE ATTACHED TOR</t>
  </si>
  <si>
    <t xml:space="preserve"> OFFICE SUPPLIES AND CONSUMMABLES</t>
  </si>
  <si>
    <t xml:space="preserve"> Description   Republic of the Philippines Danao City BIDS AND AWARDS COMMITTEE INVITATION to APPLY for ELIGIBILITY and to BID Supply and Delivery of Eighteen (18) Units Computer Laptop (SP) of the City GOVERNMENT OF DANAO The Local Government of Danao Cit</t>
  </si>
  <si>
    <t xml:space="preserve"> Description   Republic of the Philippines Danao City BIDS AND AWARDS COMMITTEE INVITATION to APPLY for ELIGIBILITY and to BID Supply and Delivery of Limestone for Embankment/Site Development/Construction of Motorpool Building at Barangay Cambanay, Danao C</t>
  </si>
  <si>
    <t xml:space="preserve"> Invitation to Bid SUPPLY &amp; DELIVERY OF MATERIALS FOR CONSTRUCTION OF  COCONUT OIL PLANT Calunasan Norte, Loboc, Bohol 1.	The LGU-Loboc through the Bids and Awards Committee (BAC) would like to invite interested bidders who are eligible and accredited supp</t>
  </si>
  <si>
    <t xml:space="preserve"> CCTV camera w/ installation * 8 channels * 6 cameras * 16'' monitor</t>
  </si>
  <si>
    <t xml:space="preserve"> 5 rolls P,E Pipe 1'' dia. 5 pcs. 1'' dia. Union patente 3 pcs. 1 1/2'' x 1'' dia. Elbow reducer 3 pcs. 1'' dia. Elbow 4 unit jecmatic pump 2 pcs. pitcher pump 3 pcs. foot valve 4 pcs. 1 1/4'' dia. Check valve 4 pcs. 1'' dia. check valve 2 pcs. pipe wrench</t>
  </si>
  <si>
    <t xml:space="preserve"> INSTALLATION OF PRESURRIZED WATER PUMP W/ 500 I.M WATER LINES 1 unit water pump goulds 1.5 Hp 1 unit stainless pressure tank 82 gal. 1 pc. 4'' dia. PVC Pipe blue x 20' 3 rolls P.E Pipe 1'' dia 1 unit 1'' dia foot valve 1 unit check valve 1 unit pressure g</t>
  </si>
  <si>
    <t xml:space="preserve"> 11 units Glucometer w/ Strips 4 sets  Sphygmomanometer, Adult Type, aneroid 42 boxes Glucometer strips, box of 25</t>
  </si>
  <si>
    <t xml:space="preserve"> 4 pcs. 1 1/2'' dia. G.I Pipe S40 1 pc. Pipe wrench 36'' 1 pc. Pipe chain wrench 36'' 4 pcs. 1 1/2'' dia. G.I Coupling  1 pail Chlorine 1 roll 1/2 dia. P.E pipe</t>
  </si>
  <si>
    <t xml:space="preserve"> REQUEST FOR QUOTATION RFQ No. 2020-258 The CITY GOVERNMENT OF CABANATUAN through its Bid and Awards Committee (BAC), will undertake Small Value Procurement for the SUPPLY AND DELIVERY OF OFFICE SUPPLIES in accordance with Section 53.9 of the Revised Imple</t>
  </si>
  <si>
    <t xml:space="preserve"> One (1) Job Pakyaw Contract for the Supply of Materials and Labor for the Floor Tiling of CTE Class Rooms of Guimaras State College (Salvador Campus)</t>
  </si>
  <si>
    <t xml:space="preserve"> PROCUREMENT OF THE FOLLOWING SERVICES: CONCRETING OF 0.10 METER THK, 0.60 METER WIDTH, 194.0 LINEAR METERS PATHWALK. A. MATERIALS B. LABOR C. HAULING D. OTHER SERVICES FOR MORE DETAILS VISIT THE BARANGAY</t>
  </si>
  <si>
    <t xml:space="preserve"> REQUEST FOR QUOTATION RFQ No. 2020-0253 The CITY GOVERNMENT OF CABANATUAN through its Bid and Awards Committee (BAC), will undertake Small Value Procurement for the SUPPLY AND DELIVERY OF OFFICE SUPPLIES in accordance with Section 53.9 of the Revised Impl</t>
  </si>
  <si>
    <t xml:space="preserve"> 1. The ISABELA CITY WATER DISTRICT through the CORPORATE OPERATING BUDGET 2020 approved by the Board of Directors intends to apply the sum listed below being the Approved Budget for the Contract (ABC) to payments under the contract for each lot per P.R. N</t>
  </si>
  <si>
    <t xml:space="preserve"> BROWN LONG ENVELOPE EPSON INK 664 BLACK EPSON INK 664 CYAN EPSON INK 664 MAGENTA EPSON INK 664 YELLOW SAMSUNG TONER M3820ND DISHWASHING LIQUID MULTIPURPOSE CLEANER DOWNY CARTOLINA ASSORTED COLOR LED 15 WATTS ROUND RAGS HEAVY DUTY MASTER PADLOCK SIGN PEN B</t>
  </si>
  <si>
    <t xml:space="preserve"> Description   Republic of the Philippines Danao City BIDS AND AWARDS COMMITTEE INVITATION to APPLY for ELIGIBILITY and to BID Supply and Delivery of One (1) Unit Consumables for 10,000 ID use of AYUDA Program of the City GOVERNMENT OF DANAO The Local Gove</t>
  </si>
  <si>
    <t xml:space="preserve"> REQUEST FOR QUOTATION RFQ No. 2020-255 The CITY GOVERNMENT OF CABANATUAN through its Bid and Awards Committee (BAC), will undertake Small Value Procurement for the SUPPLY AND DELIVERY OF OFFICE SUPPLIES in accordance with Section 53.9 of the Revised Imple</t>
  </si>
  <si>
    <t xml:space="preserve"> IMPROVEMENT OF SCHOOL WATER LINE / INSTALLATION OF GETMATIC</t>
  </si>
  <si>
    <t xml:space="preserve"> REQUEST FOR QUOTATION RFQ No. 2020-256 The CITY GOVERNMENT OF CABANATUAN through its Bid and Awards Committee (BAC), will undertake Small Value Procurement for the SUPPLY AND DELIVERY OF OFFICE SUPPLIES in accordance with Section 53.9 of the Revised Imple</t>
  </si>
  <si>
    <t xml:space="preserve"> Description   Republic of the Philippines Danao City BIDS AND AWARDS COMMITTEE INVITATION to APPLY for ELIGIBILITY and to BID Supply and Delivery of Hardware Materials for Construction of Ticket Outpost at Terminal Cashier of the City GOVERNMENT OF DANAO </t>
  </si>
  <si>
    <t xml:space="preserve"> REQUEST FOR QUOTATION RFQ No. 2020-0254 The CITY GOVERNMENT OF CABANATUAN through its Bid and Awards Committee (BAC), will undertake Small Value Procurement for the SUPPLY AND DELIVERY OF OFFICE SUPPLIES in accordance with Section 53.9 of the Revised Impl</t>
  </si>
  <si>
    <t xml:space="preserve"> Repair and Maintenance Transportation Equipment</t>
  </si>
  <si>
    <t xml:space="preserve"> FURNISHING AND DELIVERY OF TOOLS AND EQUIPMENT FOR THE SMAW NC 1, TAILORING NC II , AND EQUIPMENT FOR JUBAN, TRAINING CENTER</t>
  </si>
  <si>
    <t xml:space="preserve"> CONSTRUCTION AND IMPROVEMENT OF DRAINAGE CANAL BRGY. NORTH POBLACION &amp; EMBARCADERO, JUBAN, SORSOGON</t>
  </si>
  <si>
    <t xml:space="preserve"> FURNISHING AND DELIVERY OF MATERIALS AND EQUIPMENT FOR THE CONSTRUCTION OF MULTI PURPOSE COVERED COURT PHASE 2 AT BARANGAY, BACOLOD, JUBAN, SORSOGON</t>
  </si>
  <si>
    <t xml:space="preserve"> Description   Republic of the Philippines Danao City BIDS AND AWARDS COMMITTEE INVITATION to APPLY for ELIGIBILITY and to BID Supply and Delivery of Hardware Materials for Slope Protection in Landslide Prone Area at Sitio Awihaw Brgy. Sta. Rosa, Danao Cit</t>
  </si>
  <si>
    <t xml:space="preserve"> Construction of Sapinit Evacuation Center</t>
  </si>
  <si>
    <t xml:space="preserve"> ONE (1) UNIT 50 KVA STANDBY GENERATOR, SILENT TYPE, DIESEL GENERATOR, 3 PHASE, 460VAC 4 CYLINDER DEEPSEA CONTROLLER 0.8 POWER FACTOR 120 Li FUEL TANK CAPACITY WEIGHT (KGS): 1120 DIMENSION (MM): 2380 x 1080 x 1315 REQUIREMENTS:  - SUBMIT LETTER OF INTENT  </t>
  </si>
  <si>
    <t xml:space="preserve"> Invitation to Bid Supply and Delivery of Vehicle for National Capital Regional Office 1. The Department of Trade and Industry, through the General Appropriations Act for CY 2020, intends to apply the sum of One Million Four Hundred Thousand Pesos (Php 1,4</t>
  </si>
  <si>
    <t xml:space="preserve"> Description   Republic of the Philippines Danao City BIDS AND AWARDS COMMITTEE INVITATION to APPLY for ELIGIBILITY and to BID Supply and Delivery of Office Equipment for PNP-Danao City of the City GOVERNMENT OF DANAO The Local Government of Danao City, th</t>
  </si>
  <si>
    <t xml:space="preserve"> Installation of Satellite Broadband Internet Service</t>
  </si>
  <si>
    <t xml:space="preserve"> Description   Republic of the Philippines Danao City BIDS AND AWARDS COMMITTEE INVITATION to APPLY for ELIGIBILITY and to BID Supply and Delivery of One (1) Unit Multicab Van Type for BFP-Danao City of the City GOVERNMENT OF DANAO The Local Government of </t>
  </si>
  <si>
    <t xml:space="preserve"> Description   Republic of the Philippines Danao City BIDS AND AWARDS COMMITTEE INVITATION to APPLY for ELIGIBILITY and to BID Supply and Delivery of One (1) Unit 2HP Airconditioning System use for RTC Branch 91 (CMO) of the City GOVERNMENT OF DANAO The Lo</t>
  </si>
  <si>
    <t xml:space="preserve"> Horse Power:   Gross: 90 KW  121  HP@2200 rpm Net:    86 KW 115 HP @ 2200 rpm Operating Weight:   16680 - 17120 KG   36,770 - 37,740 lb. Bucket Capacity:  0.60 - 0.70 cu.m     0.78 - 0.92 cu.yd.</t>
  </si>
  <si>
    <t xml:space="preserve"> PROCUREMENT OF THE FOLLOWING SERVICES: CONCRETING OF 0.15 METER THK, 2.50 METERS WIDTH, 34.0 LINEAR METERS LOCAL ROAD ZONE 4-A. A. MATERIALS B. LABOR C. OTHER SERVICES FOR MORE DETAILS VISIT THE BARANGAY</t>
  </si>
  <si>
    <t xml:space="preserve"> INVITATION TO BID IB-2020-091-INFRA Design and Construction of Housing Facilities for Waste Granulator and Brick Making Equipment at Vitas Pumping Station, Tondo, Manila 1.	The Metropolitan Manila Development Authority, through the 2020 General Appropriat</t>
  </si>
  <si>
    <t xml:space="preserve"> The Department of Agriculture-RFO 3, invites interested suppliers/ bidders to submit bid proposal(s) for the hereunder requirement, to wit: 4,000 FALL ARMY-LURE (PHEROMONE LURE) Composition: (Z)-9-Tetradecenyl Acetate 79.17% w/w to control Spodoptera frug</t>
  </si>
  <si>
    <t xml:space="preserve"> Republic of the Philippines Province of Palawan Municipality of Narra INVITATION TO BID 1.	The Municipal Government of Narra, through Bids and Awards Committee intends to apply the sum of EIGHT HUNDRED FIFTY-TWO THOUSAND FIVE HUNDRED PESOS (PHP 852,500.00</t>
  </si>
  <si>
    <t xml:space="preserve"> INVITATION TO BID IB-2020-092-INFRA Supply and Replacement of LED Streetlights at the following locations: Along Buendia Ave., (Taft Ave. to Tramo St.), Makati City along Mayor Ignacio Diaz St. (N. Domingo St. to EDSA), Quezon City along Dimasalang Road (</t>
  </si>
  <si>
    <t xml:space="preserve"> 1 Lot Development and Testing of Android Application for Enumerators and Website Development for Management and Reports 1 Program Module: Website Login by two users type (Enumerator and Administrator); Enumerator can only view the forms they have synced f</t>
  </si>
  <si>
    <t xml:space="preserve"> Republic of the Philippines Region XII Province of Cotabato BIDS AND AWARDS COMMITTEE Amas, Kidapawan City INVITATION TO BID FOR Supply &amp; Installation of Transformer form the BioCon and Food Laboratory Building of the Office of the Provincial Agriculturis</t>
  </si>
  <si>
    <t xml:space="preserve"> INVITATION TO BID IB-2020-094-INFRA STREETLIGHTS PROJECT FOR BLACK SPOT LOCATIONS (GAD PROJECT) Along Aurora Blvd. / Marcos Highway (Katipunan Ave. To Marikina Bridge 1.20 Kilometers) 1.	The Metropolitan Manila Development Authority, through the Local Fun</t>
  </si>
  <si>
    <t xml:space="preserve"> The Department of Agriculture-RFO 3, invites interested suppliers/ bidders to submit bid proposal(s) for the hereunder requirement, to wit: 1,175 bottles SPINETORAM (250ml/bottle) Composition: Water: 832.2 g/L Dispersant: 30.8 g/L Other Inert: 93.6 g/L Re</t>
  </si>
  <si>
    <t xml:space="preserve"> Republic of the Philippines Region XII Province of Cotabato BIDS AND AWARDS COMMITTEE Amas, Kidapawan City INVITATION TO BID FOR Supply &amp; Delivery of Janitorial Supplies for Mlang District Hospital, Mlang, Cotabato. (PB-20-260) 1.	The Provincial Governmen</t>
  </si>
  <si>
    <t xml:space="preserve"> Republic of the Philippines BARANGAY SAN CELESTINO OFFICE OF THE PUNONG BARANGAY BIDS AND AWARDS COMMITTEE INVITATION TO BID The Barangay Government of BARANGAY SAN CELESTINO through its Bids and Awards Committee (BAC), invites suppliers/manufacturers/dis</t>
  </si>
  <si>
    <t xml:space="preserve"> INVITATION TO BID IB-2020-093-INFRA Supply and Replacement of LED Solar Powered Streetlights along Quirino Highways 3.75 Kilometers (from Quezon City / Caloocan Boundary to Malaria St.) 1.	The Metropolitan Manila Development Authority, through the Local F</t>
  </si>
  <si>
    <t xml:space="preserve"> 1 LOT Board Strategic Planning Conference - Facilitator/Resource Speaker  -In accordance with the Technical Specifications  ABC: Php 300,000.00  NOTE: Please sign all pages of the Technical Specifications and submit it together with your quotation in a SE</t>
  </si>
  <si>
    <t xml:space="preserve"> Republic of the Philippines 												 DEPARTMENT OF PUBLIC WORKS AND HIGHWAYS												 SOUTH COTABATO 1ST 												 DISTRICT ENGINEERING OFFICE												 REGIONAL OFFICE XII												 Tindalo St., Balite, Brgy. Lagao, General Santos City					</t>
  </si>
  <si>
    <t xml:space="preserve"> MEDICINES: 1) 2 boxes  Albendazole 400mg 100s/box 2) 30 boxes Aluminum Magnesium Hydroxide tablet, 100s/box 3) 7 boxes Amlodipine 10mg tablet, 100s/box 4) 576 bots Amoxicillin 100ml drops 5) 576 bots Amoxicillin 250/5 syrup 6) 200 boxes Amoxicillin 500mg </t>
  </si>
  <si>
    <t xml:space="preserve"> Republic of the Philippines Region XII Province of Cotabato BIDS AND AWARDS COMMITTEE Amas, Kidapawan City INVITATION TO BID FOR Supply &amp; Delivery of Handheld Radio for response operation use of PDRRMO. (PB-20-290) 1.	The Provincial Government of Cotabato</t>
  </si>
  <si>
    <t xml:space="preserve"> INVITATION TO APPLY FOR ELIGIBILITY AND TO BID 	The local Government Unit of Can-avid, through is Bid and Awards Committee (BAC). Invites suppliers to apply for eligibility, to bid for the hereunder contract: Name of Contract:      PURCHASE, DELIVERY &amp; IN</t>
  </si>
  <si>
    <t xml:space="preserve"> Republic of the Philippines Region XII Province of Cotabato BIDS AND AWARDS COMMITTEE Amas, Kidapawan City INVITATION TO BID FOR Procurement of Food &amp; Accommodation for various training activities of PDRRMO, Amas, Kidapawan City. (PB-20-284) 1.	The Provin</t>
  </si>
  <si>
    <t xml:space="preserve"> Republic of the Philippines BARANGAY SAMPAGUITA OFFICE OF THE PUNONG BARANGAY BIDS AND AWARDS COMMITTEE INVITATION TO BID The Barangay Government of BARANGAY SAMPAGUITA through its Bids and Awards Committee (BAC), invites suppliers/manufacturers/distribut</t>
  </si>
  <si>
    <t xml:space="preserve"> REQUEST FOR QUOTATION Printing &amp; Publication Expenses (PCADG-5029902000-1067-2020) 1.	The Philippine National Police Community Affairs and Development Group, through its Bidsand Awards Committee(BAC), will undertakea Small Value Procurement (SVP) for the </t>
  </si>
  <si>
    <t xml:space="preserve"> OPENING OF BIDS IN DSWD FO IX ZAMBOANGA CITY			 		DELIVERY IN DSWD-RSCC  MAMPANG, ZAMBOANGA CITY			 		PROCUREMENT FOR THE FF.:			 					 		1 LOT OFFICE AND COMPUTER TABLE			 					 		1	UNIT	OFFICE TABLE (SOLID WOODS) 55  1/8" x 30" h WITH 3 PCS. 6" DRAWERS </t>
  </si>
  <si>
    <t xml:space="preserve"> REQUEST FOR RFQ - SMAW SUPPLIES</t>
  </si>
  <si>
    <t xml:space="preserve"> Republic of the Philippines Region XII Province of Cotabato BIDS AND AWARDS COMMITTEE Amas, Kidapawan City INVITATION TO BID FOR Supply &amp; Delivery of Laboratory Supplies for Cotabato Provincial Hospital, Amas, Kidapawan City. (PB-20-262) 1.	The Provincial</t>
  </si>
  <si>
    <t xml:space="preserve"> schedule opening of bids</t>
  </si>
  <si>
    <t xml:space="preserve"> Republic of the Philippines Region XII Province of Cotabato BIDS AND AWARDS COMMITTEE Amas, Kidapawan City INVITATION TO BID FOR Supply &amp; Delivery of IV Fluids for Aleosan District Hospital, Aleosan, Cotabato. (PB-20-258) 1.	The Provincial Government of C</t>
  </si>
  <si>
    <t xml:space="preserve"> Republic of the Philippines BARANGAY SAN ISIDRO OFFICE OF THE PUNONG BARANGAY BIDS AND AWARDS COMMITTEE INVITATION TO BID The Barangay Government of BARANGAY SAN ISIDRO through its Bids and Awards Committee (BAC), invites suppliers/manufacturers/distribut</t>
  </si>
  <si>
    <t xml:space="preserve"> Republic of the Philippines Region XII Province of Cotabato BIDS AND AWARDS COMMITTEE Amas, Kidapawan City INVITATION TO BID FOR Supply &amp; Delivery of Medicines for Cotabato Provincial Hospital, Amas, Kidapawan City. (PB-20-264) 1.	The Provincial Governmen</t>
  </si>
  <si>
    <t xml:space="preserve"> The Bids and Awards Committee (BAC) of Luis UyChiat Elementary School invites interested bidders of 2020 Learning Modules reproduction. REPRODUCTION OF LEARNING MODULES 2020 Covered: August-December 2020 Approved Budget of Contract: 79,150.00 Pre-bid Conf</t>
  </si>
  <si>
    <t xml:space="preserve"> OPENING OF BIDS IN DSWD FO IX ZAMBOANGA CITY		 DELIVERY IN DSWD ZAMBOANGA CITY		 PROCUREMENT FOR THE FF.:		 		 188	PCS.	MALONG BATIK (SINGLE) 200	PCS.	ANTI-BACTERIAL BAR BATH SOAP 40 oz 200	PCS.	TWIN PACK WHITENING TOOTHPASTE 200	PCS.	SHAMPOO 200	PCS.	TOO</t>
  </si>
  <si>
    <t xml:space="preserve"> The Department of Agriculture-RFO 3, invites interested suppliers/ bidders to submit bid proposal(s) for the hereunder requirement, to wit: 2,000 bottles  Organic Pesticides	 Specification: Neem Oil Insect Growth Regulator Safe to Beneficial Insect OCCP C</t>
  </si>
  <si>
    <t xml:space="preserve"> Invitation to Bid CONCRETING OF BARANGAY ROAD (SECTION-2) Candasag, Loboc, Bohol 1.	The LGU-Loboc through the Bids and Awards Committee (BAC) would like to invite interested bidders registered with and classified by the Philippine Contractors Accreditatio</t>
  </si>
  <si>
    <t xml:space="preserve"> Invitation to Bid RENTAL OF HEAVY EQUIPMENT FOR QUARRYING OF ANAPOG Bonbon Upper, Loboc, Bohol 1.	The LGU-Loboc through the Bids and Awards Committee (BAC) would like to invite interested bidders who are eligible and accredited supplier/manufacturer/servi</t>
  </si>
  <si>
    <t xml:space="preserve"> Invitation to Bid CONCRETING OF BARANGAY ROAD (SECTION-1) Candasag, Loboc, Bohol 1.	The LGU-Loboc through the Bids and Awards Committee (BAC) would like to invite interested bidders registered with and classified by the Philippine Contractors Accreditatio</t>
  </si>
  <si>
    <t xml:space="preserve"> REQUEST FOR QUOTATION Printing &amp; Publication Expenses (PCADG-5029902000-1068-2020) 1.	The Philippine National Police Community Affairs and Development Group, through its Bidsand Awards Committee(BAC), will undertakea Small Value Procurement (SVP) for the </t>
  </si>
  <si>
    <t xml:space="preserve"> Purchase of school/office supplies intended for Bangkal Elementary School personnel (June 2020)</t>
  </si>
  <si>
    <t xml:space="preserve"> Invitation to Bid SUPPLY &amp; DELIVERY OF MATERIALS FOR CONSTRUCTION OF  NEW MOTORPOOL Calunasan Norte, Loboc, Bohol 1.	The LGU-Loboc through the Bids and Awards Committee (BAC) would like to invite interested bidders who are eligible and accredited supplier</t>
  </si>
  <si>
    <t xml:space="preserve"> OPENING OF BIDS IN DSWD FO IX ZAMBOANGA CITY									 DELIVERY IN DSWD FO IX  ZAMBOANGA CITY									 PROCUREMENT FOR THE FF.:									 									  REPAIR OF AIR CONDITION OF DSWD FIELD OFFICE IX									 									 1	LOT	KALAHI- LABOR AND MATERIALS TO ONE </t>
  </si>
  <si>
    <t xml:space="preserve"> Republic of the Philippines Province of Isabela LOCAL GOVERNMENT UNIT OF BENITO SOLIVEN INVITATION TO BID FOR THE ROAD CONCRETING AT BARANGAY BALLIAO 1.	The Municipal Government of Benito Soliven, intends to apply the sum of Five Million Pesos (P5,000,000</t>
  </si>
  <si>
    <t xml:space="preserve"> INVITATION TO BID IB NO: 2020-07-15 (12) PROCUREMENT OF EXPENDABLE MEDICAL SUPPLIES (RE-BID) 1. 	The Caraga Regional Hospital (CRH), through the General Appropriations Act /  Hospital Income   intends to apply the sum of  FIVE MILLION SIX HUNDRED SIXTY SE</t>
  </si>
  <si>
    <t xml:space="preserve"> Invitation to Bid to all Supplier/Contractor duly accredited by the City Council of Manila to supply and deliver the following items provided hereunder, to wit; Item	Qty.	 	Unit	 	 	 	DESCRIPTION 1	 	15	 	Pcs	Flashlight HD	 	 	 	 	  2	 	20	 	Pcs	Refill of</t>
  </si>
  <si>
    <t xml:space="preserve"> Republic of the Philippines Region XII Province of Cotabato BIDS AND AWARDS COMMITTEE Amas, Kidapawan City INVITATION TO BID FOR Supply &amp; Delivery of Office Equipment for Provincial Engineer’s Office, Amas, Kidapawan City. (PB-20-334) 1.	The Provincial Go</t>
  </si>
  <si>
    <t xml:space="preserve"> Republic of the Philippines Region XII Province of Cotabato BIDS AND AWARDS COMMITTEE Amas, Kidapawan City INVITATION TO BID FOR Supply &amp; Delivery of IT &amp; Office Equipment for Persons with Disability Affairs Office, Amas, Kidapawan City. (PB-20-332) 1.	Th</t>
  </si>
  <si>
    <t xml:space="preserve"> Invitation to Bid RENOVATION OF COA OFFICE AND BREASTFEEDING ROOM Municipal Bldg., Pob. Sawang, Loboc, Bohol 1.	The LGU-Loboc through the Bids and Awards Committee (BAC) would like to invite interested bidders registered with and classified by the Philipp</t>
  </si>
  <si>
    <t xml:space="preserve"> Invitation to Bid for REHABILITATION OF KALIPAPA-DUAMINANGA FLOOD CONTROL DIKE 1.	The Municipality of Datu Piang, through the CY 2020 ECONOMIC DEVELOPMENT FUND  intends to apply the sum of One Million Six Hundred Thousand One Hundred Thirteen Pesos (Php 1</t>
  </si>
  <si>
    <t xml:space="preserve"> Invitation to Bid for DE-CLOGGING OF CANALS 1.	The Municipality of Datu Piang, through the CY 2020 ECONOMIC DEVELOPMENT FUND  intends to apply the sum of One Million Five Hundred Thousand Pesos (Php 1,500,000.00) being the Approved Budget for the Contract</t>
  </si>
  <si>
    <t xml:space="preserve"> TERMS and CONDITIONS:	 1. All entries must be typewritten or legibly written.	 2. Delivery period within 30 W.D. upon receipt of the approved funded Purchased Order (P.O.) Administrative penalties pursuant to Sec. 69 of the Revised IRR-RA 9184 shall be im</t>
  </si>
  <si>
    <t xml:space="preserve"> Republic of the Philippines Region XII Province of Cotabato BIDS AND AWARDS COMMITTEE Amas, Kidapawan City INVITATION TO BID FOR Supply &amp; Delivery of IT &amp; Office Equipment for Provincial Governor’s Office, Amas, Kidapawan City. (PB-20-333) 1.	The Provinci</t>
  </si>
  <si>
    <t xml:space="preserve"> Invitation to Bid for REHABILITATION BUAYAN FLOOD CONTROL DIKE 1.	The Municipality of Datu Piang, through the CY 2020 LDRRM FUND  intends to apply the sum of Eight Hundred Thousand Pesos (Php 800,000.00) being the Approved Budget for the Contract (ABC) to</t>
  </si>
  <si>
    <t xml:space="preserve"> Republic of the Philippines Province of Isabela LOCAL GOVERNMENT UNIT OF BENITO SOLIVEN INVITATION TO BID FOR THE CONCRETING OF CORE LOCAL ACCESS ROAD OF BARANGAY VILLALUZ TO NEW MAGSAYSAY 1.	The Municipal Government of Benito Soliven, intends to apply th</t>
  </si>
  <si>
    <t xml:space="preserve"> Invitation to Bid for  Construction of Pagdildilan Farm to Market Road, San Juan, La Union 1.	The Provincial Government of La Union, through the RA7171 intends to apply the sum of ₱2,924,897.55 being the Approved Budget for the Contract (ABC) to payments </t>
  </si>
  <si>
    <t xml:space="preserve"> Waste Management Supplies</t>
  </si>
  <si>
    <t xml:space="preserve"> Brief Description of the Project			 Quantity	Unit	Item Description	 1.00	lot	Construction &amp; Occupational Health	 800.00	sq.m	Mobilization &amp; Site Clearing	 732.00	sq.m	Sub-Grade Preparation	  73.20 	cu.m.	Aggregate Sub-Base Course	  73.20 	cu.m.	Aggregate </t>
  </si>
  <si>
    <t xml:space="preserve"> PURCHASE AND DELIVERY OF MACHINERY AND EQUIPMENT FOR OMM-OPERATION OF SLAUGHTERHOUSE **PLEASE REFER TO THE ATTACHED PURCHASE REQUEST AT THE ASSOCIATED COMPONENTS SECTION FOR FURTHER DETAILS</t>
  </si>
  <si>
    <t xml:space="preserve"> No.	"ITEM DESCRIPTION  (ITEM NAME &amp; TECHNICAL SPECIFICATIONS)"	QTY.	UNIT	UNIT COST	APPROVED BUDGET OF CONTRACT (ABC)	 						 1	Arperture Light Selfie LED Ring Light Photo Studio Light with Tripod Stand and Phone Holder Set	1	set	₱1,500.00	 Php1,500.00 	 2</t>
  </si>
  <si>
    <t xml:space="preserve"> Procurement of Procurement of Rescue Utility Vehicle-Bongo and XRM Motor Vehicle, Barangay San Luis, Gingoog City</t>
  </si>
  <si>
    <t xml:space="preserve"> Hardware Supplies and Materials</t>
  </si>
  <si>
    <t xml:space="preserve"> INVITATION TO BID The DPWH Isabela 4th District Engineering Office through its Bids and Awards Committee (BAC), invites contractors to submit bids for the following Contract: ys Cost of Bidding Documents			: Php 25,000.00 Procurement ID / Contract ID			: </t>
  </si>
  <si>
    <t xml:space="preserve"> Invitation to Bid for  Rehabilitation and Improvement of Bacnotan-San Gabriel Road (San Juan Section), San Juan, La Union 1.	The Provincial Government of La Union, through the RA7171 intends to apply the sum of ₱3,900,010.79 being the Approved Budget for </t>
  </si>
  <si>
    <t xml:space="preserve"> INVITATION TO BID FOR THE SUPPLY OF FUEL (GASOLINE AND DIESEL) - PART 2 1.	The Provincial Government of La Union (PGLU), through the PGLU Annual Budget CY 2020intends to apply the sum of Three Million One Hundred Seventy One Thousand Seven Hundred Forty P</t>
  </si>
  <si>
    <t xml:space="preserve"> Brief Description of the Project		 Quantity	Unit	Item Description 1.00	lot	Construction &amp; Occupational Health 1.00	lot	Mobilization 280.00	cu.m.	Excavation Works 231.00	cu.m.	Stone Masonry</t>
  </si>
  <si>
    <t xml:space="preserve"> Peace and Order Supplies and Materials and Food and Drinks</t>
  </si>
  <si>
    <t xml:space="preserve"> Fire Extinguisher and Supplies</t>
  </si>
  <si>
    <t xml:space="preserve"> Please see attached ITB. ABC: 122,000.00</t>
  </si>
  <si>
    <t xml:space="preserve"> Ballpen: 10's Folder: long Folder: short Notebook: ordinary Printer Ink: Epson L360 (CMYK) 6Whiteboard Marker: Black/Fine Bond Paper: Short, 8.5x11 Bond Paper: Long, 8.5x13 Envelope: Brown, Long Envelope: Brown, Short Record Book/Logbook: 500pp Staple wir</t>
  </si>
  <si>
    <t xml:space="preserve"> the items listed are items needed by Pangantucan National High School - Senior High School for the first quarter</t>
  </si>
  <si>
    <t xml:space="preserve"> No.	"ITEM DESCRIPTION  (ITEM NAME &amp; TECHNICAL SPECIFICATIONS)"	QTY.	UNIT	UNIT COST	APPROVED BUDGET OF CONTRACT (ABC)	 						 1	Mounted Bathroom Liquid Soap Dispenser (with installation)	15	unit	₱2,500.00	 Php37,500.00 	 	"- Touchless automatic  - Plastic </t>
  </si>
  <si>
    <t xml:space="preserve"> NAME OF PROJECT:  CONSTRUCTION OF BARANGAY PUBLIC MARKET LOCATION:  Brgy. Talobatib, Labo. Camarines Norte PhP 300,000.00 SOURCE OF FUND: 20% Brgy. Development Fund</t>
  </si>
  <si>
    <t xml:space="preserve"> Invitation to Bid for  Construction of Luna Farmers Trading Center, Luna, La Union 1.	The Provincial Government of La Union, through the RA7171 intends to apply the sum of ₱9,750,000.00 being the Approved Budget for the Contract (ABC) to payments under th</t>
  </si>
  <si>
    <t xml:space="preserve"> Ballpen: Black Bond Paper: Long, 8.5x13, S-24 Bond Paper: Short, 8.5x11, S-24 Bond Paper: A4 S-24 Correction Tape: - Double Sided Tape: 1" Folder: long Folder: short Glue: - Highlighter Pen: - Laid Paper: Short Masking Tape: 1" Masking Tape: 2" Pencil: #1</t>
  </si>
  <si>
    <t xml:space="preserve"> Printer Ink: Epson T6641 black Printer Ink: Epson T6642 cyan Printer Ink: Epson T6643 magenta Printer Ink: Epson T6644 yellow Printer Ink: Epson T-003 Black Printer Ink: Epson T-003 cyan Printer Ink: Epson T-003 magenta Printer Ink: Epson T-003 yellow</t>
  </si>
  <si>
    <t xml:space="preserve"> Battery: AA Battery: AAA Bond Paper: Short, 8.5x11, white, S20 Bond Paper: Long, 8.5x13, white, S20 Ballpen: Black, Blue, Red Correction Tape: - Staple wire: No. 35 8Envelope: Brown, Long 500's Scotch Tape: 1" Pentel Pen: Black, Broad Folder: long 100's F</t>
  </si>
  <si>
    <t xml:space="preserve"> Polyethelyne Bag: 6x10 100's Rice Hull: (Carbonized) Big Pruning Saw: - Nutricote: - Fungicides: - Complete Fertilizer: (14-14-14)</t>
  </si>
  <si>
    <t xml:space="preserve"> Bath Soap: Regular size Bleaching Agent: 20 liter Bleaching Agent: Color Safe 900ml Bleaching Agent: 3785ml Original Scent Disinfectant: Solution Dishwashing Paste: grease stripper Dishwashing Liquid: 45ml Dishwashing Liquid: 200ml Distilled H20: 6,000ml </t>
  </si>
  <si>
    <t xml:space="preserve"> Seedlings: Mango (Grafted 3ft)</t>
  </si>
  <si>
    <t xml:space="preserve"> Banana Suckers: - Tissue Cultured Banana: -</t>
  </si>
  <si>
    <t xml:space="preserve"> INVITATION TO BID FOR THE COLLECTION, TRANSPORTATION, TREATMENT AND PROPER DISPOSAL OF HAZARDOUS AND TOXIC HEALTH CARE WASTES GENERATED USING NON-BURN TECHNOLOGYFORTHE 5 DISTRICT HOSPITALS 1.	The Provincial Government of La Union (PGLU), through the PGLU </t>
  </si>
  <si>
    <t xml:space="preserve"> Republic of the Philippines DEPARTMENT OF ENVIRONMENT AND NATURAL RESOURCES Provincial Environment and Natural Resources Officer – Nueva Ecija Brgy. Singalat, Palayan City, Nueva Ecija Invitation to Bid for Construction of Bayangbayang and Calaocan Irriga</t>
  </si>
  <si>
    <t xml:space="preserve"> Invitation to Bid for  Construction of Rimos National High School Pavilion and Completion of School Perimeter Fence, Luna, La Union 1.	The Provincial Government of La Union, through the RA8240 intends to apply the sum of ₱1,755,000.00 being the Approved B</t>
  </si>
  <si>
    <t xml:space="preserve"> Invitation to Bid for SUPPLY AND DELIVERY OF VARIOUS OFFICE EQUIPMENT  FOR MDRRM OFFICE The Municipal Government of Looc, Romblon, through the AO-NO. 018-2019 Regular1 intends to apply the sum of Eighty Thousand Pesos Only (P 80,000.00) being the Approved</t>
  </si>
  <si>
    <t xml:space="preserve"> INVITATION TO BID FOR THE SUPPLY, DELIVERY AND INSTALLATION OF OFFICE FURNITURES AND FIXTURES 1.	The Provincial Government of La Union (PGLU), through the PGLU Annual Budget CY 2020 intends to apply the sum of One Million Two Hundred Sixty-Four Thousand T</t>
  </si>
  <si>
    <t xml:space="preserve"> the specifications and materials required for CCTV are downloadable at associated sections</t>
  </si>
  <si>
    <t xml:space="preserve"> Republic of the Philippines Province of Surigao del Sur MUNICIPALITY OF CANTILAN OFFICE OF THE BIDS AND AWARDS COMMITTEE INVITATION TO BID The Municipality of Cantilan allocates fund from 20% EDF 2020 for the Supply &amp; Delivery of Materials for Rehabilitat</t>
  </si>
  <si>
    <t xml:space="preserve"> Garbage Bag: 18.5x18.5x40 Black Garbage Bag: 18.5x18.5x40 Green Garbage Bag: 18.5x18.5x40 Yellow Garbage Bag: 11x11x24 Black Garbage Bag: 11x11x24 Green Garbage Bag: 11x11x24 Yellow</t>
  </si>
  <si>
    <t xml:space="preserve"> Mushroom: Spawns in Fruiting Bags</t>
  </si>
  <si>
    <t xml:space="preserve"> Republic of the Philippines Province of Surigao del Sur MUNICIPALITY OF CANTILAN OFFICE OF THE BIDS AND AWARDS COMMITTEE INVITATION TO BID The Municipality of Cantilan allocates fund from 20% EDF 2020 for the Supply &amp; Delivery of Agricultural Supplies for</t>
  </si>
  <si>
    <t xml:space="preserve"> Supply,Delivery and Installation of Modular Workstations and Fit-outs for Additional Office Space for SEC Head Office</t>
  </si>
  <si>
    <t xml:space="preserve"> Planting Materials: (Purple Yam) Planting Materials: (Arrowroot) Organic Fertilizer: - Soil Inoculant/Conditioner: -</t>
  </si>
  <si>
    <t xml:space="preserve"> 1.	Contract ID No.	: 20GAD004  	Contract Name/	: Supply and Delivery of materials for the Repair and Maintenance   	Location	: along Tagudin-Cervantes Road         Brief Description of Goods to be Procured	:   		 ITEM NO.	PARTICULARS	QUANTITY	UNIT 1	Chevr</t>
  </si>
  <si>
    <t xml:space="preserve"> Republic of the Philippines Province of Surigao del Sur MUNICIPALITY OF CANTILAN OFFICE OF THE BIDS AND AWARDS COMMITTEE INVITATION TO BID The Municipality of Cantilan allocates fund from 20% EDF 2020 for the Supply &amp; Delivery of Materials for Installatio</t>
  </si>
  <si>
    <t xml:space="preserve"> Hybrid Eggplant: Fortuner 50g Hybrid Tomato: Diamante Max 25g Hybrid Hot Pepper: Django 25g Hybrid Pumpkin: Suprema 250g Hybrid Chili Pepper: Red Hot 25g Pechay: (Black Behi) Mustard (mustaza): Monteverde Pole Sitao: (sandigan) Okra: Smooth Pak Choi: 100g</t>
  </si>
  <si>
    <t xml:space="preserve"> Republic of the Philippines Province of Surigao del Sur MUNICIPALITY OF CANTILAN OFFICE OF THE BIDS AND AWARDS COMMITTEE INVITATION TO BID The Municipality of Cantilan allocates fund from 20% EDF 2020 for the Supply &amp; Delivery of Materials for Establishme</t>
  </si>
  <si>
    <t xml:space="preserve"> INVITATION TO BID (Public Bidding) The BFAR 08, through its Bids and Awards Committee (BAC), invites eligible suppliers to bid for the hereunder contract:	 NAME OF CONTRACT: 20-05-0564 Supply and Delivery of Materials for Tilapia Culture in Fish Cage as L</t>
  </si>
  <si>
    <t xml:space="preserve"> As per attached Summary &amp; RFQ</t>
  </si>
  <si>
    <t xml:space="preserve"> Multivitamins+Iron syrup: 60ml Amoxicillin tab: 500mg 100's Anti-Tetanus Serum amp: 1,500 I.U Azithromycin Dihydrate: 500mg 3's Cefalexin cap: 500mg 100's Ciprofloxacin tab: 500mg 100s Clopidogrel tab: 75mg 100's Co-Amoxiclav tab: 625mg 20's Hepa B: Immun</t>
  </si>
  <si>
    <t xml:space="preserve"> INVITATION TO BID (Public Bidding) The BFAR 08, through its Bids and Awards Committee (BAC), invites eligible suppliers to bid for the hereunder contract:	 NAME OF CONTRACT: 20-04-0511 Supply and Delivery of Materials for the Intensive Tilapia Culture in </t>
  </si>
  <si>
    <t xml:space="preserve"> Supply and delivery of the following items: A. Lot 1 - COMPUTER LAPTOPS WITH ACCESSORIES (ABC - PhP 210,000.00 1. 1 unit laptop with the following specifications: Processor: 8th gen Intel core i7-8550U processor RAM: 8GB, DDR4, memory speed 2400MHz OS: Wi</t>
  </si>
  <si>
    <t xml:space="preserve"> INVITATION TO BID (Public Bidding) The BFAR 08, through its Bids and Awards Committee (BAC), invites eligible suppliers to bid for the hereunder contract:	 		 NAME OF CONTRACT: 20-03-0414 Supply and Delivery of Feeds and Fingerlings for Bangus Production </t>
  </si>
  <si>
    <t xml:space="preserve"> INVITATION TO BID (Negotiated Procurement under Two Failed Bidding) The BFAR 08, through its Bids and Awards Committee (BAC), invites eligible suppliers to bid for the hereunder contract:	 NAME OF CONTRACT: 20-04-0473 Supply and Delivery of 20-30 Grammers</t>
  </si>
  <si>
    <t xml:space="preserve"> * FLU Vaccine  Shot 4 Strains * Medical Examination</t>
  </si>
  <si>
    <t xml:space="preserve"> TERMS and CONDITIONS:	 1. All entries must be typewritten or legibly written.	 2. Delivery period within 10 C.D. upon receipt of the approved funded Purchased Order (P.O.) Administrative penalties pursuant to Sec. 69 of the Revised IRR-RA 9184 shall be im</t>
  </si>
  <si>
    <t xml:space="preserve"> No.	"ITEM DESCRIPTION  (ITEM NAME &amp; TECHNICAL SPECIFICATIONS)"	QTY.	UNIT	UNIT COST	APPROVED BUDGET OF CONTRACT (ABC)	 						 1	Procurement of Laptop	1	unit	₱65,000.00	 Php65,000.00 	 	Ryzen 7 3700U or equivalent				 Php-   	 	8GB RAM				 Php-   	 	512 SSD</t>
  </si>
  <si>
    <t xml:space="preserve"> Gel Pen: Green Gel Pen: Black Sign Pen: Gel Impact black Bond Paper: Long, 8.5x13 Bond Paper: Short, 8.5x11 Pentel Pen: Black Highlighter Pen: - Rubber Band: Big Pencil: #2 Paper Clip: Vinyl Coated Small Paper Clip: Vinyl Coated Big Double Sided Tape: - S</t>
  </si>
  <si>
    <t xml:space="preserve"> Republic of the Philippines Region XII Province of Cotabato BIDS AND AWARDS COMMITTEE Amas, Kidapawan City INVITATION TO BID FOR Supply &amp; Delivery of Medicines for Mlang District Hospital, Mlang, Cotabato. (PB-20-338) 1.	The Provincial Government of Cotab</t>
  </si>
  <si>
    <t xml:space="preserve"> various construction mats. &amp; supplies</t>
  </si>
  <si>
    <t xml:space="preserve"> various construction mats &amp; supplies</t>
  </si>
  <si>
    <t xml:space="preserve"> INVITATION TO BID IB NO: 2020-07-13 (11) PROCUREMENT OF LABORATORY EQUIPMENT 1. 	The Caraga Regional Hospital (CRH), through the General Appropriations Act /  HEALTH FACILITIES ENHANCEMENT PROGRAM (HFEP)   intends to apply the sum of  FOUR MILLION FOUR HU</t>
  </si>
  <si>
    <t xml:space="preserve"> Construction Services</t>
  </si>
  <si>
    <t xml:space="preserve"> CONSTRUCTION OF PROTECTION DIKE – RIGHT SIDE DOWNSTREAM @ STA. 0+220 – 0+271.50</t>
  </si>
  <si>
    <t xml:space="preserve"> Installation of Street Lights Phase II</t>
  </si>
  <si>
    <t xml:space="preserve"> INVITATION TO BID PURCHASE OF BARANGAY DISASTER RISK REDUCTION MANAGEMENT COMMITTEE (BDRRMC) RESCUE VEHICLE OF BRGY. SALVACION, PANABO CITY 1.	The Barangay Salvacion of Panabo City, through (RRSTF) REMOTE REGISTRY OF SPECIAL TRUST FUND intends to apply th</t>
  </si>
  <si>
    <t xml:space="preserve"> MUNICIPALITY OF BALETE BIDS AND AWARDS COMMITTEE THE MUNICIPALITY OF BALETE THRU BIDS AND AWARDS COMMITTEE INVITES ALL SUPPLIERS/BIDDERS/CONTRACTORS TO APPLY FOR ELIGIBILITY SCREENING AND IF SUBSEQUENTLY FOUND ELIGIBLE FOR THE PROCUREMENT REQUEST FOR THE </t>
  </si>
  <si>
    <t xml:space="preserve"> INVITATION TO BID   PURCHASE OF ONE (1) UNIT PATROL CAR OF BRGY. CALUMPANG, GEN. SANTOS CITY The Local Government Unit of Barangay Calumpang, GSC, through the 20% LDRRMF and Brgy. Disaster and Risk Reduction Fund intents to apply the sum of One Million Si</t>
  </si>
  <si>
    <t xml:space="preserve"> Republic of the Philippines Province of Palawan Municipality of Narra INVITATION TO BID 1.	The Municipal Government of Narra, through Bids and Awards Committee intends to apply the sum of NINE HUNDRED TWENTY-FOUR THOUSAND AND FOUR PESOS ONLY (PHP 924,004.</t>
  </si>
  <si>
    <t xml:space="preserve"> please see attachment POW  at associated components</t>
  </si>
  <si>
    <t xml:space="preserve"> INVITATION TO BID (Public Bidding) The BFAR 08, through its Bids and Awards Committee (BAC), invites eligible suppliers to bid for the hereunder contract:	 NAME OF CONTRACT: 20-04-0503 Supply and Delivery of Tilapia Feeds for Tilapia Culture Livelihood an</t>
  </si>
  <si>
    <t xml:space="preserve"> REPUBLIC OF THE PHILIPPINES PROVINCE OF SURIGAO DEL NORTE MUNICIPALITY OF SAN ISIDRO San Isidro, Surigao del Norte 	 Section I. Invitation for Negotiated Procurement (emergency purchase) SUPPLY AND DELIVERY OF COVID-19 RAPID TEST KITS 1.	In view of the tw</t>
  </si>
  <si>
    <t xml:space="preserve"> REQUEST FOR QUOTATION Please quote your lowest price on the items listed below, subject to the conditions also listed below, stating the shortest time of delivery and submit your quotation duly signed by your authorized representative not later than 4:00 </t>
  </si>
  <si>
    <t xml:space="preserve"> INVITATION TO BID FOR SUPPLY AND DELIVERY OF AGRICULTURAL INPUTS AND FARM MACHINERY AND EQUIPMENT UNDER CLIMATE RESILIENT FARM PRODUCTIVITY SUPPORT PROJECT (CRFPSP) The Department of Agrarian Reform Camarines Sur 1 Provincial Office, through the General A</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</si>
  <si>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</si>
  <si>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Republic of the Philippines Province of Leyte Municipality of Tunga REQUEST FOR QUOTATION (RFQ) ______________ Date PROCUREMENT TERMS &amp; CONDITIONS 1.	The Total Approved Budget for the Contract (ABC) is One Hundred Thousand Pesos (P100,000.00) Only.  2.	Pr</t>
  </si>
  <si>
    <t xml:space="preserve"> TECHNICAL SPECIFICATIONS OF  DLL (SMS COMPONENT PROFESSIONAL LICENSE) Specifications: •	32-bit (AxSms32.dll) and 64-bit (AxSms64.dll) ActiveX component •	Easy to use API •	SMS messaging via GSM modem, SMPP, HTTP and Dialup •	Build SMSC with the SMPP serve</t>
  </si>
  <si>
    <t xml:space="preserve"> SPECIFICATIONS: A.	Medicines ITEM NO.	QUANTITY	DESCRIPTION 1	5 boxes	ACETYLCYSTEINE 200 mg. caps 100’s 2	6 boxes	AMOXICILLIN  500 mg. caps 100’s 3	6 boxes	ATORVASTATIN  20 mg. tabs 100’s 4	6 boxes	PARACETAMOL  500 mg. tabs 100’s 5	3 boxes	HYOSCINE-N-BUTYL</t>
  </si>
  <si>
    <t xml:space="preserve"> Item No.	Unit	Qty.	Description of Articles 1	Unit	1	L300 Cab and Chassis Euro 4 			2.2L Diesel 			5 speed Manual 			Overall Length:                                     mm 4,260 			Overall Width:                                      mm 1,695 			Overall Hei</t>
  </si>
  <si>
    <t xml:space="preserve"> length-22.00m width-3.00m thickness-0.15m</t>
  </si>
  <si>
    <t xml:space="preserve"> length-44.00m width-3.00m thickness-0.15m</t>
  </si>
  <si>
    <t xml:space="preserve"> TECHNICAL SPECIFICATIONS  OF   GSM MODEM Included in Package 1.	2- or more 8 ports modem pool  2.	1  Charger 8 * Antenna  3.	1 USB Cable Basic Features 1.	Quad band 850/900/1800/1900MHz 2.	Bulk SMS sending/receiving 3.	Unlimited IMEI change Products Descr</t>
  </si>
  <si>
    <t xml:space="preserve"> BID OPENING July 06, 2020 10:00am 1 Unit Brand New 12 seater Van Vehicle Specification: - Model Type: 2.5 L. 4 in line DOHC 16 valves - Variable Turbo Charged ( VGS) - Diesel (YD5DDTI) - Bore X Stroke / Displacement / Compression - Ratio: 89mmx100mm / 248</t>
  </si>
  <si>
    <t xml:space="preserve"> Repair/Maintenance of Flood Control</t>
  </si>
  <si>
    <t xml:space="preserve"> Barangay Cabid-an, East District		Project Reference Number: 2020-004 Sorsogon City			Name of the Project: PURCHASE OF PICK UP WITH CANOPY Location of the Project		:	 BrgyCabid-an, East District, Sor. City 					Source of Funds:  5% CALAMITY FUND Standard F</t>
  </si>
  <si>
    <t xml:space="preserve"> Spare Parts</t>
  </si>
  <si>
    <t xml:space="preserve"> length-22.00m width-0.30m thickness-0.15m</t>
  </si>
  <si>
    <t xml:space="preserve"> Installation of RCCP #42 Concreting Works See attached Program of Works</t>
  </si>
  <si>
    <t xml:space="preserve"> THE WORK INCLUDES REPAINTING OF INTERIOR AND EXTERIOR WALL, CEILING, CORRUGATED ROOFING AND WINDOW GRILLS. IT ALSO INCLUDES REP OF DOOR JAMB &amp; HEAD AND DOOR PANEL.</t>
  </si>
  <si>
    <t xml:space="preserve"> Please quote your lowest price inclusive of VAT on the item/s listed below, subject to the Terms and Conditions of this RFQ, and submit your quotation duly signed by your representative not later than  June 29,  2020  at Bids and Awards Committee Katipuna</t>
  </si>
  <si>
    <t xml:space="preserve"> Republic of the Philippines Province of Camarines Sur MUNICIPALITY OF BAAO INVITATION TO BID FOR THE SUPPLY AND DELIVERY OF CONSTRUCTION SUPPLIES FOR THE REHABILITATION OF MAYOR’S OFFICE PHASE 2 1. The LOCAL GOVERNMENT UNIT OF BAAO, through the Budget for</t>
  </si>
  <si>
    <t xml:space="preserve"> Length-22.00m width-3.00m thichness-0.15m</t>
  </si>
  <si>
    <t xml:space="preserve"> Culvert Installation Sidewalk/ Curbs and  Gutter Masonry Works See attached Program of Works</t>
  </si>
  <si>
    <t xml:space="preserve"> SOIL TESTING/EXPLORATION (FOR CY 2021 REGULAR INFRASTRUCTURE PROJECTS, BATCH 2)</t>
  </si>
  <si>
    <t xml:space="preserve"> Repair/Maintenance of National Road</t>
  </si>
  <si>
    <t xml:space="preserve"> Items listed are School Supplies and Instructional Materials of JUNIOR High School for the First Quarter</t>
  </si>
  <si>
    <t xml:space="preserve"> Republic of the Philippines Province of Surigao del Sur MUNICIPALITY OF CANTILAN OFFICE OF THE BIDS AND AWARDS COMMITTEE INVITATION TO BID The Municipality of Cantilan allocates fund from Capital Outlay 2018 for the Supply &amp; Delivery of Materials for Fenc</t>
  </si>
  <si>
    <t xml:space="preserve"> Contract ID No.	: 20GAD005  	Contract Name/	: Purchase of Road/Traffic Warning Signs for use along Manila North   	Location	: Road, Tagudin-Santa Section (accident blackspot), K0313+(-103)- 			K0395+149) Brief Description of  Goods to be Procured	:  		 IT</t>
  </si>
  <si>
    <t xml:space="preserve"> Republic of the Philippines Province of Palawan Municipality of Narra INVITATION TO BID 1.	The Municipal Government of Narra, through Bids and Awards Committee intends to apply the sum of THREE HUNDRED THOUSAND EIGHT HUNDRED SIXTY-FIVE PESOS (PHP 300,865.</t>
  </si>
  <si>
    <t xml:space="preserve"> PROCUREMENT OF THE FOLLOWING SERVICES: CONCRETING OF 0.10 METER THK, 0.60 METER WIDTH, 250.0 LINEAR METERS PATHWALK. A. MATERIALS B. LABOR C. OTHER SERVICES FOR MORE DETAILS VISIT THE BARANGAY</t>
  </si>
  <si>
    <t xml:space="preserve"> Republic of the Philippines Province of Camarines Sur MUNICIPALITY OF BAAO INVITATION TO BID FOR THE SUPPLY AND DELIVERY OF CONSTRUCTION SUPPLIES FOR THE IMPROVEMENT OF ACCOUNTING OFFICE PHASE 2 1. The LOCAL GOVERNMENT UNIT OF BAAO, through the Budget for</t>
  </si>
  <si>
    <t xml:space="preserve"> Description   Republic of the Philippines Danao City BIDS AND AWARDS COMMITTEE INVITATION to APPLY for ELIGIBILITY and to BID Supply and Delivery of Hardware Materials for Installation of Road Barriers at Barangay Malapoc, Danao City of the City GOVERNMEN</t>
  </si>
  <si>
    <t xml:space="preserve"> INVITATION TO BID  SUPPLY AND DELIVERY  OF CORRUGATED   GI SHEET FOR THE IDENTIFIED PARTIALLY DAMAGED OF TYPHOON TISOY IN THE CITY OF SORSOGON (2ND CALL) GS 2020 -005-016 1.	The City Government of Sorsogon    intends to apply the sum of   Three  Million  </t>
  </si>
  <si>
    <t xml:space="preserve"> Republic of the Philippines Province of Surigao del Sur MUNICIPALITY OF CANTILAN OFFICE OF THE BIDS AND AWARDS COMMITTEE INVITATION TO BID The Municipality of Cantilan allocates fund from 20% EDF for the Supply &amp; Delivery of Materials for Construction of </t>
  </si>
  <si>
    <t xml:space="preserve"> Republic of the Philippines Province of Palawan Municipality of Narra INVITATION TO BID 1.	The Municipal Government of Narra, through Bids and Awards Committee intends to apply the sum of THREE HUNDRED TWENTY-TWO THOUSAND NINE HUNDRED FIVE PESOS (PHP 322,</t>
  </si>
  <si>
    <t xml:space="preserve"> SUPPLY AND DELIVERY OF PATROL VEHCILE AT BARANGAY LAGUILE, TAAL, BATANGAS.</t>
  </si>
  <si>
    <t xml:space="preserve"> I. Construction Tools &amp; Paints (Bridges)							 1	Paint Latex Gloss (white)				99,000.00	100 		 2	Paint Latex Gloss (black)				99,000.00	100 		 3	Paint Latex Gloss (yellow)				99,000.00	100 		 4	Paint Rollers (152mm)				2,600.00	52 		 5	Brush Paint (101mm</t>
  </si>
  <si>
    <t xml:space="preserve"> Republic of the Philippines								 Province of Negros Occidental								 Municipality of La Castellana								 Bids and Awards Committee								 								 INVITATION TO APPLY FOR ELIGIBILITY AND TO BID								 								 Name of Project: 		IMPROVEMENT OF PA</t>
  </si>
  <si>
    <t xml:space="preserve"> (1 meal (pack lunch with 2 viands and cold beverage) and 2 snacks (packed AM/PM snacks with cold beverage) per day for 15 days activity with 16 participants) and an accommodation for the facilitators for 15days.</t>
  </si>
  <si>
    <t xml:space="preserve"> 1	Item 310: Bituminous Concrete Surface				1,799,793.00	209.40		 	Coarse (FD)							 	-x-x-x-x-x-x-x-x-x-x-x-x-x-x							 			Grand Total:		1,799,793.00</t>
  </si>
  <si>
    <t xml:space="preserve"> FOR RECORD'S OFFICE USE</t>
  </si>
  <si>
    <t xml:space="preserve"> FOR ONLINE TEACHING OF TEACHERS</t>
  </si>
  <si>
    <t xml:space="preserve"> FOR ONLINE TEACHING COMMUNICATION</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</si>
  <si>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</si>
  <si>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(6-units of complete set Manual Sewing Machine and 2-units of Edging Sewing Machine; Starter Kits for 16 pax-L-Square Ruler, Hip-Curve Ruler, French Curve Ruler, Scissor, Tape Measure, Patterned paper, Tailored chalk, Pencil, Safety Pin, 12” Ruler Stainle</t>
  </si>
  <si>
    <t xml:space="preserve"> 1. Demolition/Excavation works 2. Reinforced Concrete Works 3. Form Works</t>
  </si>
  <si>
    <t xml:space="preserve"> 1 unit Passengers Terminal Phase 1</t>
  </si>
  <si>
    <t xml:space="preserve"> Contract for the Rehabilitation of Drainage Canal Back of COA Building, PNP &amp; Hall of Justice The Municipality of Santo Tomas, through Supplemental Budget #3 CY 2020 intends to apply the sum of P’ 999,765.06  being the Approved Budget for the Contract (AB</t>
  </si>
  <si>
    <t xml:space="preserve"> Construction of Multi – Purpose Building</t>
  </si>
  <si>
    <t xml:space="preserve"> Rehabilitation of Concrete Road</t>
  </si>
  <si>
    <t xml:space="preserve"> PURCHASE REQUEST					 Barangay : GUINHAWA			P. R. No.: 2020 -010-06		 City/ Municipality : Pinamalayan			Date: 		 Provicne : Oriental Mindoro					 REQUISITION					 Item Number	Qty	Unit of Measurement	Item Description 	Estimated Unit Cost	Estimated Amount </t>
  </si>
  <si>
    <t xml:space="preserve"> INVITATION TO BID The LOCAL GOVERNMENT UNIT OF SANTO TOMAS,  through its Bids and Awards Committee (BAC), invites suppliers/ manufacturers/distributors/ contractors to apply for eligibility and to bid for the hereunder projects to be undertaken on  June 2</t>
  </si>
  <si>
    <t xml:space="preserve"> Rehabilitation of Paved Road</t>
  </si>
  <si>
    <t xml:space="preserve"> 1 unit passengers terminal (phase 1)</t>
  </si>
  <si>
    <t xml:space="preserve"> Construction of Concrete Road</t>
  </si>
  <si>
    <t xml:space="preserve"> Contract Location: Brgy. 18 Cabangan West Brief Description: Replacement of Windows Source of Fund: 20% Development Fund The BAC is conducting the public bidding for this Contract in accordance with RA 9184 and its Implementing Rules and Regulations (IRR)</t>
  </si>
  <si>
    <t xml:space="preserve"> Please see attached RFQ for complete details.</t>
  </si>
  <si>
    <t xml:space="preserve"> Surgical Mask Gloves (Medium) Gloves (Large) Sterile Gloves size 7 Sterile Gloves size 7.5 Cotton 400G Personal Protective Equipment Head Stabilizer</t>
  </si>
  <si>
    <t xml:space="preserve"> Diesel</t>
  </si>
  <si>
    <t xml:space="preserve"> REQUEST FOR QUOTATION RFQ No. 2020-257 The CITY GOVERNMENT OF CABANATUAN through its Bid and Awards Committee (BAC), will undertake Small Value Procurement for the SUPPLY AND DELIVERY OF OFFICE SUPPLIES in accordance with Section 53.9 of the Revised Imple</t>
  </si>
  <si>
    <t xml:space="preserve"> INDUSTRIAL TECHNOLOGY DEVELOPMENT INSTITUTE DOST Cmpd., Bicutan, Taguig City Telephone Nos. (02) 837-20-71 to 82 local 2221 E-mail Add.: itdi.admbac@gmail.com INVITATION TO BID June 20, 2020 Sir/Madam: Please quote your price for the item/items listed bel</t>
  </si>
  <si>
    <t xml:space="preserve"> Republic of the Philippines Province of Iloilo MUNICIPALITY OF BINGAWAN Office of the Bids and Awards Committee INVITATION TO RE-BID PURCHASE OF MATERIALS FOR THE CONSTRUCTION/REHAB OF DRAINAGE SYSTEM/DECLOGGING OF CANALS Name of Project The Local Governm</t>
  </si>
  <si>
    <t xml:space="preserve"> Description   Republic of the Philippines Danao City BIDS AND AWARDS COMMITTEE INVITATION to APPLY for ELIGIBILITY and to BID Supply and Delivery of Hardware Materials for Construction of Ticket Outpost at Poblacion, Danao City of the City GOVERNMENT OF D</t>
  </si>
  <si>
    <t xml:space="preserve"> Interested bidders are requested to pre-qualify and to bid for the supply of medicine to be delivered onsite</t>
  </si>
  <si>
    <t xml:space="preserve"> Location  : Legazpi City, Albay Scope of Work : Repair/Maintenance of DILG Building NAPOLCOM RO-V Main Building Rawis, Legazpi City, Albay</t>
  </si>
  <si>
    <t xml:space="preserve"> 1. 38-Reams Bond Paper, A4, Sub.20 2. 6-Pcs. Sign Pen, Blue, 0.5 3. 18-Pcs. Ball pen, black, fine 0.5 4. 3-Bots. Correction fluid-ball pen type 5. 5-Pcs. Correction tape (10m) 6. 25-Pcs. Folder, white, long, glossy 7. 25-Pcs. Folder, white, short, glossy </t>
  </si>
  <si>
    <t xml:space="preserve"> 1	1	Lot	Supply and Delivery of Dining Set &amp; Air Cooler 			Item Description: 	1	Set	Dining set with (8) seater specification : a) 8   seater b) Wedge cushion set c) Made in pure Malaysian rubber wood d) Not laminated particles e) Size range L200 210 x W90 </t>
  </si>
  <si>
    <t xml:space="preserve"> 1	1	Lot	Supply and Delivery of   I.T. Equipment 			Item Description: 	4	Units	PRINTER, Single function INK Tank System (Preferred Epson Printer) 180 nozzles Black, 59 nozzles each colour 5760 x 1440 dpi Maximum Print Resolution Bi directional printing Up </t>
  </si>
  <si>
    <t xml:space="preserve"> Description   Republic of the Philippines Danao City BIDS AND AWARDS COMMITTEE INVITATION to APPLY for ELIGIBILITY and to BID Supply and Delivery of Hardware Materials for Construction of Ticket Outpost at Danao City Fish Port of the City GOVERNMENT OF DA</t>
  </si>
  <si>
    <t xml:space="preserve"> Purchase of Air-conditioning Unit for various offices of Municipality of Samal, Bataan ITEM No.	Quantity	Unit	Item Description					 								 1	1	unit	3-Tonner ACU					 2	2	unit	2.5 HP ACU, split-type					 3	1	unit	1 HP ACU</t>
  </si>
  <si>
    <t xml:space="preserve"> INVITATION TO BID BID NUMBER: 20-06-035 PURCHASE FOR: Other Supplies &amp; Materials for the Guidance Office of Guimaras State College (Salvador Campus) ABC: Php.462,650.00 1.) The Guimaras State College through its BIDS AND AWARDS COMMITTEE (BAC) intends to </t>
  </si>
  <si>
    <t xml:space="preserve"> Delivery of Construction Materials</t>
  </si>
  <si>
    <t xml:space="preserve"> Contract Ref. No.:	20200619-02-G Name of Contract:	Procurement of Drugs and Medicines to be used by City Health Office Location:	LGU-MABALACAT CITY Republic of the PHILIPPINES Province of PAMPANGA Municipality of MABALACAT INVITATION TO APPLY FOR ELIGIBIL</t>
  </si>
  <si>
    <t xml:space="preserve"> Garbage Collection at Brgy. Bel-Air for CY 2020 		Period of Contract: August to December 31, 2020 		Schedule of Pick-up: 		a. Two (2) 10 Wheeler dump trucks daily ( 7 days a week) 		   For Bel-Air Village 1,2, 3 and 4 		   2 DT's @ P8,500.00 net of VAT 		</t>
  </si>
  <si>
    <t xml:space="preserve"> Construction of 4,000 Polyethelene Plastic Water Container</t>
  </si>
  <si>
    <t xml:space="preserve"> Republic of the Philippines MUNICIPALITY OF DAET PROVINCE OF CAMARINES NORTE                                                                                                                          Project Reference No. 2020-09-CW BIDS AND AWARDS COMMITTE</t>
  </si>
  <si>
    <t xml:space="preserve"> Description   Republic of the Philippines Danao City BIDS AND AWARDS COMMITTEE INVITATION to APPLY for ELIGIBILITY and to BID Supply and Delivery of Hardware Materials for Construction of Ticket Outpost at Mitsumi Gate 3, Sabang, Danao City of the City GO</t>
  </si>
  <si>
    <t xml:space="preserve"> Procurement of Fuel &amp; Lubricants of LGU Vehicles &amp; Heavy Equipment for 3rd Quarter Allotment 2020</t>
  </si>
  <si>
    <t xml:space="preserve"> 1    UNIT    All in One Desktop Computer Intel Core I5 1    unit      All in One Desktop Computer Intel Core I3</t>
  </si>
  <si>
    <t xml:space="preserve"> SUPPLY OF 5.10 DRUMS BITUMINOUS TACK COAT AND 298.41 M.T. BITUMINOUS CONCRETE SURFACE COURSE</t>
  </si>
  <si>
    <t xml:space="preserve"> The Barangay Government of Barangay BOOT, Tanauan City, Batangas through the Bids and Awards Committee (BAC) invites Suppliers/Contractors to apply for eligibility and if subsequently found eligible, to bid for the projects described hereunder, viz: Name </t>
  </si>
  <si>
    <t xml:space="preserve"> Construction of Bridge</t>
  </si>
  <si>
    <t xml:space="preserve"> (REFLECTORIZED THERMOPLASTIC PAVEMENT MARKINGS)</t>
  </si>
  <si>
    <t xml:space="preserve"> INVITATION TO BID BID NUMBER: 20-06-038 PURCHASE FOR: Supplies &amp; Materials for the Repair &amp; Maintenance of College Motor Vehicle of Guimaras State College (Salvador Campus) ABC: Php.402,270.00 1.) The Guimaras State College through its BIDS AND AWARDS COM</t>
  </si>
  <si>
    <t xml:space="preserve"> REQUEST FOR EXPRESSION OF INTEREST FOR  CONSULTING SERVICES FOR THE ADDITION &amp; RENOVATION OF ITDI-STD ANIMAL LABORATORY BUILDING 1.	The INDUSTRIAL TECHNOLOGY DEVELOPMENT INSTITUTE (ITDI), through the GIA Project “Upgrading of the ITDI Laboratory Animal Fa</t>
  </si>
  <si>
    <t xml:space="preserve"> Republic of the Philippines Province of Leyte Municipality of Kananga BIDS AND AWARDS COMMITTEE Invitation to Bid for CONSTRUCTION OF ADDITIONAL TOMBS / BONE VAULTS AT MUNICIPAL CEMETERY, BRGY. MONTEBELLO, KANANGA, LEYTE 1.	The Municipality of Kananga thr</t>
  </si>
  <si>
    <t xml:space="preserve"> Preventive Maintenance of Road: Asphalt Overlay</t>
  </si>
  <si>
    <t xml:space="preserve"> Invitation to Bid for: Concreting of Sta. Maria Street to Bernardo Street at 100 meters at Brgy. Bato, Gamay, Northern Samar The BLGU Bato, Gamay, Northern Samar, through the 20% Development Fund of 2020 intends to apply the sum of P 426,434.55 being the </t>
  </si>
  <si>
    <t xml:space="preserve"> Republic of the Philippines Province of Leyte Municipality of Kananga BIDS AND AWARDS COMMITTEE INVITATION TO BID FOR PROCUREMENT OF ONE (1) UNIT MOTOR VEHICLE (PASSENGER VAN) 1.	The Municipality of Kananga, through the General Fund intends to apply the s</t>
  </si>
  <si>
    <t xml:space="preserve"> Republic of the Philippines Province of Leyte Municipality of Kananga BIDS AND AWARDS COMMITTEE Invitation to Bid for CONCRETING OF ROADS MUNICIPAL WIDE AT  BRGY. POBLACION, KANANGA, LEYTE 1.	The Municipality of Kananga through the General Fund (GF) inten</t>
  </si>
  <si>
    <t xml:space="preserve"> Republic of the Philippines Province of Leyte Municipality of Kananga BIDS AND AWARDS COMMITTEE Invitation to Bid for CONSTRUCTION OF FLOOD CONTROL AND RETAINING WALL AT BRGY. MAHAWAN, KANANGA, LEYTE 1.	The Municipality of Kananga through the 5% DRRM FUND</t>
  </si>
  <si>
    <t xml:space="preserve"> Rehabilitation/ Major Repair of Drainage Structure</t>
  </si>
  <si>
    <t xml:space="preserve"> RFQ&gt;&gt;&gt; Supply and Delivery of Graduation Rites and Moving Up Ceremony Supplies and Materials for Dona Aurora ES | ABC=PhP84,280.00 Please download RFQ for compele details. Submit RFQ to: Cherry Pie P. Lengwa BAC Chairman Dona Aurora Elementary School Gen.</t>
  </si>
  <si>
    <t xml:space="preserve"> Rehabilitation of multi purpose hall</t>
  </si>
  <si>
    <t xml:space="preserve"> Purchase of office supplies for various offices of Municipality of Samal, Bataan ITEM No.	Quantity	Unit	Item Description					 								 1	rolls	10	Adding Slip					 2	bottles	20	Air Freshener					 3	pcs.	12	Albatross					 4	bottles	271	Alcohol					 5	pcs.	2</t>
  </si>
  <si>
    <t xml:space="preserve"> Procurement of Comprehensive Maintenance Service Agreement for Virtualization Software (Project Reference No. 2020-PB-VMWARE-030-01) 1.	The Power Sector Assets and Liabilities Management (PSALM) Corporation, through the 2020 Corporate Operating Budget (fo</t>
  </si>
  <si>
    <t xml:space="preserve"> INVITATION TO BID FOR THE PROCUREMENT OF ONE (1) UNIT BOOM TRUCK W/ COMPLETE ACCESSORIES 1.The LGU-KALINGA, Kalinga Province through its Bids and Awards Committee (BAC) intends to apply the sum of a. Four Million Six Hundred Thousand pesos &amp; 00/100 (P 4,6</t>
  </si>
  <si>
    <t xml:space="preserve"> Republic of the Philippines DEPARTMENT OF SCIENCE AND TECHNOLOGY PHILIPPINE SCIENCE HIGH SCHOOL-SOCCSKSARGEN REGION CAMPUS Bids and Awards Committee INVITATION TO BID FOR THE INSTALLATION OF POWER,  DISTRIBUTION LINE AND COMMUNICATION SYSTEMS 1.	 The PHIL</t>
  </si>
  <si>
    <t xml:space="preserve"> Rehabilitation/ Major Repair of Multi – Purpose Building</t>
  </si>
  <si>
    <t xml:space="preserve"> INVITATION TO BID The City Government of Pasay, through its Bids and Awards Committee (BAC) invites suppliers/manufacturers/distributors/contractors to apply and submit sealed bids for the supply and delivery of the following: PREVENTIVE MAINTENANCE for o</t>
  </si>
  <si>
    <t xml:space="preserve"> Province of Cagayan BARANGAY UGAC NORTE Tuguegarao City INVITATION TO BID NAME OF PROJECT:  SUPPLY, DELIVERY &amp; INSTALLATION OF  EMERGENCY PAGING SYSTEM REFERENCE NO.: PB-G-001-2020 DATE OF POSTING: June 21, 2020 1. The Barangay Council of Barangay Ugac No</t>
  </si>
  <si>
    <t xml:space="preserve"> INVITATION TO BID FOR THE SUPPLY OF LABOR &amp; MATERIALS FOR REHABILITATION/ IMPROVEMENT OF WATERWORKS 1. The Barangay Government of  MAYASANG  through ldf (20%) AB 2020 -intends to apply the sum of ONE HUNDRED THIRTY EIGHT THOUSAND PESOS ( Php 138,000.00) b</t>
  </si>
  <si>
    <t xml:space="preserve"> bags of groceries for gift giving project for Senior Citizens, Alfonso, Cavite</t>
  </si>
  <si>
    <t xml:space="preserve"> -	Transformer Type EFI -	12 Valve -	4WD -	Siren &amp; Blinker -	Full Steel Canopy with Passenger Set Back to Back Type -	Logo &amp; Body Sticker -	Mags Wheel -	Brand New Tires &amp; Battery -	Jack with handle -	Tire Wrench -	Spare Type -	1-year LTO registration with </t>
  </si>
  <si>
    <t xml:space="preserve"> Electrical materials and supplies for barangay.</t>
  </si>
  <si>
    <t xml:space="preserve"> 200 - bags - Cement 220 - length - Length 16mm DSB 5 - roll - Tie Wire (30 kg.) 100 - pcs - Coco Lumber 2x3x10 40 - pcs - Coco Lumber 2x2x12 2 - kls - CWN #1 5 - kls - CWN #2 1/2 5 - kls - CWN #3 10 - kls - CWN #4 1/2 - kl. - Concrete Nails #3 1/2 - kl. -</t>
  </si>
  <si>
    <t xml:space="preserve"> INVITATION TO BID The City Government of Pasay, through its Bids and Awards Committee (BAC) invites suppliers/manufacturers/distributors/contractors to apply and submit sealed bids for the supply and delivery of the following: Supply and delivery of Vario</t>
  </si>
  <si>
    <t xml:space="preserve"> INVITATION TO BID The City Government of Pasay, through its Bids and Awards Committee (BAC) invites suppliers/manufacturers/distributors/contractors to apply and submit sealed bids for the supply and delivery of the following: Supply, delivery &amp; installat</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</si>
  <si>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</si>
  <si>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Contract for the Concreting of Road Section at Cosmos St. to Fd. Rd. #4, Phase 2 The Municipality of Santo Tomas, through Supplemental Budget #3 CY 2020 intends to apply the sum of P’ 1,799,783.48  being the Approved Budget for the Contract (ABC) to payme</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</si>
  <si>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</si>
  <si>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Municipal Health Office  Purchase of Other Supplies and Materials - P 200,000.00</t>
  </si>
  <si>
    <t xml:space="preserve"> Invitation to Bid for Cab and Chasis 4x2 MT Dual Aircon with Ambulance Body. ABC: Php 1,400,000.00 Purpose: To transport patients of Barangay Iponan to treatment facilities which has also have its basic ambulance equipments to respond to medical emergenci</t>
  </si>
  <si>
    <t xml:space="preserve"> 18000 Liters	Diesel	47.15	848,700.00 2500	Liters  Unleaded Regular	56.35	140,875.00 For further information, please refer/contact to: AMELITA E. PEÑAFLOR BAC Chairman LGU Dinalupihan Email Add: amelitapeñaflor@yahoo.com Tel. No.: 047 636-0060 ISAGANI T. C</t>
  </si>
  <si>
    <t xml:space="preserve"> Mayor's Office R/M - Transportation Equipment - P 150,000.00</t>
  </si>
  <si>
    <t xml:space="preserve"> 28 btl	air freshener (automatic spray)					 114	btl	alcohol, 70%					 2	 pc 	adoptor					 311	 pc 	ballpen, blk,(HBW)					 227	 pc 	ballpen, blue,(HBW)					 141	 pc 	ballpen, black (faber castle)					 128	 pc 	ballpen, blue (faber castle)					 4	 pc 	ball</t>
  </si>
  <si>
    <t xml:space="preserve"> Item Description.....................................Quantity...............................Unit of Issue THC/Meth Drug Testing Strips......................500......................................Piece Surgical Face Mask..................................</t>
  </si>
  <si>
    <t xml:space="preserve"> Republic of the Philippines Region X PROVINCE OF LANAO DEL NORTE Municipality of Linamon -oOo- BIDS AND AWARDS COMMITTEE (BAC) INVITATION TO BID FOR SUPPLY AND DELIVERY OF CONSTRUCTION MATERIALS FOR THE PROPOSED TWO-STOREY MULTI-PURPOSE BUILDING (PHASE 1)</t>
  </si>
  <si>
    <t xml:space="preserve"> Technical Specification	Requirement General Compatibility	Must be compatible with the existing network routers and switches Device type	Must be a 28-port Gigabit Network Switch Enclosure type	Must be rack-mountable - 1U Ports	Must have 24 x 10/100/1000 + </t>
  </si>
  <si>
    <t xml:space="preserve"> BDF Approved Project</t>
  </si>
  <si>
    <t xml:space="preserve"> Please see attached RFQ # 20-1006 Submit your Sign and Sealed Quotation together with your UPDATED ELIGIBILITY Requirements For more details please call RAFIS (Bernadeth 09358603052) or Email us at damimaropasvp@gmail.com Technical Requirements: 1. Valid </t>
  </si>
  <si>
    <t xml:space="preserve"> Improvement of drainage system at purok San Marcus Barangay Centro (San Juan), Agdao District, Davao City worth One Hundred Fifty Thousand Pesos (Php150,000.00) Rehabilitation and Construction of Concrete Canal Cover for the Existing Concrete Canal from M</t>
  </si>
  <si>
    <t xml:space="preserve"> REQUEST FOR EXPRESSION OF INTEREST FOR  NATIONAL SURVEY ON THE AWARENESS OF PRIVATE FIRMS ON THE PHILIPPINE COMPETITION ACT AND THE PHILIPPINE COMPETITION COMMISSION 1.	The Philippine Competition Commission, through the 2020 General Appropriations Act int</t>
  </si>
  <si>
    <t xml:space="preserve"> Republic of the Philippines DEPARTMENT OF PUBLIC WORKS AND HIGHWAYS MASBATE 1st  DISTRICT ENGINEERING OFFICE REGIONAL OFFICE V San Fernando, Masbate Control No. 2020-05-001 								May 22, 2020 REQUEST FOR EXPERESSION OF INTEREST FOR THE: Contract ID:				</t>
  </si>
  <si>
    <t xml:space="preserve"> 1.	The Department of Social Welfare and Development (DSWD) – Pantawid Pamilyang Pilipino Program (hereinafter called “Procuring Entity”) has received financing (hereinafter called “funds”) from the Government of the Republic of the Philippines thru Pantaw</t>
  </si>
  <si>
    <t xml:space="preserve"> The Pasay City Government – City Engineer’s Office, through its Bids and Awards Committee, intends to apply the sum of Fifty Four Thousand Eight Hundred Seventy Five Pesos and 40/100 (Php54,875.40) being the Approved Budget for the Contract (ABC) for the </t>
  </si>
  <si>
    <t xml:space="preserve"> The Pasay City Government – City Engineer’s Office, through its Bids and Awards Committee, intends to apply the sum of Seventy Four Thousand Four Hundred Seventy Four Pesos and 50/100 (Php74,474.50) being the Approved Budget for the Contract (ABC) for the</t>
  </si>
  <si>
    <t xml:space="preserve"> Five (5) units Mini Dump truck - Surplus Reconditioned See attached link/Url under OTHER INFORMATION BOX</t>
  </si>
  <si>
    <t xml:space="preserve"> Straight Contract for Water Project See attached link/Url under OTHER INFORMATION BOX</t>
  </si>
  <si>
    <t xml:space="preserve"> Straight Contract for Rehabilitation of Covered Court See attached link/Url under OTHER INFORMATION BOX</t>
  </si>
  <si>
    <t xml:space="preserve"> Straight Contract for Construction of Multi-Purpose Building - Dialysis Center See attached link/Url under OTHER INFORMATION BOX</t>
  </si>
  <si>
    <t xml:space="preserve"> REPUBLIC OF THE PHILIPPINES CITY GOVERNMENT OF OROQUIETA BIDS AND AWARD COMMITTEE City Hall , Oroquieta City                                                                                                                                                   </t>
  </si>
  <si>
    <t xml:space="preserve"> The Municipal Government of Marilao hereby invites suppliers and distributors to apply for eligibility and to bid in accordance with IRR of R.A. 9970 for the supply of labor and materials in the amount of 5,000,000.00</t>
  </si>
  <si>
    <t xml:space="preserve"> The Municipal Government of Marilao hereby invites suppliers and distributors to apply for eligibility and to bid in accordance with IRR of R.A. 9970 for the FILLING MATERIALS in the amount of Php 5,000,000.00</t>
  </si>
  <si>
    <t xml:space="preserve"> Straight Contract for Improvement of Commission House See attached link/Url under OTHER INFORMATION BOX</t>
  </si>
  <si>
    <t xml:space="preserve"> Straight Contract for Installation of Street Lights (Phase 2) Along National Highway See attached link/Url under OTHER INFORMATION BOX</t>
  </si>
  <si>
    <t xml:space="preserve"> INVITATION TO BID FOR THE SUPPLY OF LABOR &amp; MATERIALS FOR THE INSTALLATION OF ADDITIONAL STREETLIGHTS 1. The Barangay Government of RIZAL through Supplemental Budget 2019 General Fund-Capital Outlay and Supplemental Budget 2018 General Fund-Capital Outlay</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</si>
  <si>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</si>
  <si>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5 brother ink-BT5000 cyan 4 brother ink-BT5000 magenta 6 brother ink - BT5000 yellow 5 brother ink - BT5000 black 4 brother Dcp - T710w ink black 2 brother dcp - t710w ink cyan 2 brother dcp- T710w ink magenta 2 brother dcp - T710w ink - yellow 14 comp in</t>
  </si>
  <si>
    <t xml:space="preserve"> INVITATION TO BID 20-56  SUPPLY &amp; DELIVERY OF INFANT INCUBATOR 1.	The Department of Health, Center for Health Development Bicol (DOH – CHD Bicol), through the 2020 General Appropriations Act intends to apply the sum of One Million One Hundred Forty Thousa</t>
  </si>
  <si>
    <t xml:space="preserve"> INVITATION TO BID NO. 20-57  SUPPLY &amp; DELIVERY OF WHEELED STRETCHER 1.	The Department of Health, Center for Health Development Bicol (DOH – CHD Bicol), through the 2020 General Appropriations Act intends to apply the sum of One Million Seven Hundred Thous</t>
  </si>
  <si>
    <t xml:space="preserve"> 1. The Mindanao State University - Tawi-Tawi College of Technology and Oceanography (MSU-TCTO), through the Trust Fund, intends to apply the sum of Six Hundred Fourteen Thousand One Hundred Thirty Pesos only (PhP 614,130.00) being Approved Budget of Contr</t>
  </si>
  <si>
    <t xml:space="preserve"> 1.	The Department of Public Works and Highways Regional Office XI, Davao City, through its Bids and Awards Committee (BAC), invites bidders to submit bids for the Infra projects funded under GAA FY 2020, to wit: Contract ID 	:	20L00137 Contract Name/Locat</t>
  </si>
  <si>
    <t xml:space="preserve"> The Municipal Government of Marilao hereby invites suppliers and distributors to apply for eligibility and to bid in accordance with IRR of R.A. 9970 for the supply of labor and materials in the amount of Php 1,400,000.00</t>
  </si>
  <si>
    <t xml:space="preserve"> INVITATION TO QUOTE Date:  June 18, 2020 1.	The Provincial Government of Davao del Sur, through its Bids and Awards Committee (BAC), invites all interested bidders/suppliers to quote for the following goods under Alternative Methods of Procurement (Small </t>
  </si>
  <si>
    <t xml:space="preserve"> 1.	The Department of Public Works and Highways Regional Office XI, Davao City, through its Bids and Awards Committee (BAC), invites bidders to submit bids for the Infra projects funded under GAA FY 2020, to wit: Contract ID 	:	20L00140 Contract Name/Locat</t>
  </si>
  <si>
    <t xml:space="preserve"> Contract Name:	PURCHASE OF OFFICE SUPPLIES FOR USE AT THE PLANNING &amp; DESIGN SECTION, ADMINISTRATIVE SECTION AND QUALITY ASSURANCE SECTION Contract Location:	DPWH-MPFDEO, Bontoc, Mountain Province Brief Description of Goods to be Procured:	Purchase of Offi</t>
  </si>
  <si>
    <t xml:space="preserve"> 1.	The Department of Public Works and Highways Regional Office XI, Davao City, through its Bids and Awards Committee (BAC), invites bidders to submit bids for the Infra projects funded under GAA FY 2020, to wit: Contract ID 	:	20L00043 Contract Name/Locat</t>
  </si>
  <si>
    <t xml:space="preserve"> INVITATION TO BID 20-52  SUPPLY &amp; DELIVERY OF OPERATING ROOM LED LIGHT, AND OPERATING ROOM TABLE 1.	The Department of Health, Center for Health Development Bicol (DOH – CHD Bicol), through the 2020 General Appropriations Act intends to apply the sum of On</t>
  </si>
  <si>
    <t xml:space="preserve"> EARTHWORKS CONCRETE WORKS MASONRY WORKS ROOFING WORKS ELECTRICAL WORKS MECHANICAL WORKS SANITARY/PLUMBING WORKS</t>
  </si>
  <si>
    <t xml:space="preserve"> 1	set	Brake Pads, Original		 1	set	Disc Rotor left and right, Original 		 1	set	Suspension Arm Assembly with bushing, Front, Upper, Left and right		 1	set	Suspension Arm Assembly with bushing, Front, Lower , Left and right		 2	pcs	Ball Joint upper,  Front</t>
  </si>
  <si>
    <t xml:space="preserve"> PA Amplifier PA Driver Unit 150w to 300w      PA 12” to 16” Horn Microphone with Cord THHN #14 Stranded Cable Tie Electric Tape</t>
  </si>
  <si>
    <t xml:space="preserve"> Supply and Delivery of Oils and Lubricants</t>
  </si>
  <si>
    <t xml:space="preserve"> Supply and Delivery of Tires</t>
  </si>
  <si>
    <t xml:space="preserve"> Contract Reference Number: 006976-0000-00 Name of Project and Location: Slope Protection and PCCP at Yabo River, Bgy. Carolina Approved Budget for the Contract  (ABC): P 2,211,800.00 Contract Duration (calendar days): 120	 Equipment Required: concrete mix</t>
  </si>
  <si>
    <t xml:space="preserve"> INVITATION TO BID Bid Reference No.  ____________ SUPPLY AND DELIVERY OF MATERIALS FOR THE REHABILITATION OF BARANGAY WATER SYSTEM Approved Budget for the Contract (ABC):  Php 782,913.15 1.	The Municipal Government Unit of Initao, Misamis Oriental intends</t>
  </si>
  <si>
    <t xml:space="preserve"> 50 BAGS CEMENT 7 CU.M SAND 14 CU.M GRAVEL 3/4" 400 PCS 10MM, SRB 380 PCS 9MM, SRB 168 KLS TIE WIRE #16 45 KLS CWN ASSORTED 40 PCS ORDINARY OLYWOOD 1/4" 200 PCS COCO LUMBER 2 X 2 X 10</t>
  </si>
  <si>
    <t xml:space="preserve"> Heavy duty photocopier ink for the said photocopier ink for DX 2430</t>
  </si>
  <si>
    <t xml:space="preserve"> INVITATION TO BID 20-60  SUPPLY &amp; DELIVERY OF VARIOUS LABORATORY  AND DIAGNOSTIC EQUIPMENT 1.	The Department of Health, Center for Health Development Bicol (DOH – CHD Bicol), through the 2020 General Appropriations Act intends to apply the sum of Five Mil</t>
  </si>
  <si>
    <t xml:space="preserve"> PR NO. 100-19-11-0290, 100-19-11-0014, 100-20-01-0148, 100-20-02-0341, 100-20-01-0147, 100-19-10-0230 The City Government of Tagum, through its Bids and Awards Committee (BAC) hereby invites all interested PhilGEPS registered suppliers to submit bids for </t>
  </si>
  <si>
    <t xml:space="preserve"> MUNICIPALITY OF BADOC BIDS AND AWARDS COMMITTEE INVITATION TO BID FOR THE Supply, Delivery and Installation of CCTV Cameras . Bid Reference BAC 2020-06-009 Approved Budget for the Contract: P 364,934.00 1.	The Municipality of Badoc intends to apply the su</t>
  </si>
  <si>
    <t xml:space="preserve"> 1	set	Transmitter with complete accessories	 		    600watts FM Transmitter (Brand New)	 		       - RF Output Power : 0-600 watts 1w/step	 		       - Frequency Range : 87.5-108 Mhz, 100Khz/step	 		       - RF Output Connector : L29-Female	 		       - RF Ou</t>
  </si>
  <si>
    <t xml:space="preserve"> Contract Reference Number: 007099-2020-01 Name of Project and Location: Road Concreting (half-lane) and RCBC at Sta. Cruz HS Access Road, Bgy. Sta. Cruz Approved Budget for the Contract  (ABC): 3,630,400.00 Contract Duration (calendar days): 120	 Equipmen</t>
  </si>
  <si>
    <t xml:space="preserve"> INVITATION TO BID 20-53  SUPPLY, DELIVERY, AND INSTALLATION OF X-RAY MACHINE 1.	The Department of Health, Center for Health Development Bicol (DOH – CHD Bicol), through the 2020 General Appropriations Act intends to apply the sum of Four Million Five Hund</t>
  </si>
  <si>
    <t xml:space="preserve"> Specs: 106  bxs/100s  Losartan 50mg 75    bxs/100s  Amlodipine 10mg 250  bxs/100s  Metformin 500mg 25    bxs/100s  Metoprolol 50mg</t>
  </si>
  <si>
    <t xml:space="preserve"> please refer to attached documents</t>
  </si>
  <si>
    <t xml:space="preserve"> Please refer to attached documents.</t>
  </si>
  <si>
    <t xml:space="preserve"> BARANGAY CENTRAL SIGNAL BIDS AND AWARDS COMMITTEE -- Advertisement/Posting of Invitation to Bid ------ June 20, 2020 -- Issuance and Availability of Bid Documents ----- June 22, 2020 -- Deadline for Submission -------------------------- June 29, 2020 @ 5P</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</si>
  <si>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</si>
  <si>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Contract Reference Number: 007026-2020-01 Name of Project and Location: Improvement of JMR Museum at J. Miranda Avenue corner Taal Avenue, Bgy. Concepcion Pequena Approved Budget for the Contract  (ABC): P 2,900,300.00	 Contract Duration (calendar days): </t>
  </si>
  <si>
    <t xml:space="preserve"> School Forms JHS for students grades anf files use</t>
  </si>
  <si>
    <t xml:space="preserve"> Contract Reference Number: 007116-2020-01 Name of Project and Location: Completion of Earthfilling and Rip-rap at Sta. Cruz HS Access Road, Bgy. Sta. Cruz Approved Budget for the Contract  (ABC): 2,850,500.00 Contract Duration (calendar days): 90	 Equipme</t>
  </si>
  <si>
    <t xml:space="preserve"> 135 gal - Ivory Latex Paint Semi-gloss 15 gal - Latex Flat White 10 pcs - Paint Brush #4 4 pcs - Paint Roller</t>
  </si>
  <si>
    <t xml:space="preserve"> Straight Contract for Water Project Level 2 See attached link/Url under OTHER INFORMATION BOX</t>
  </si>
  <si>
    <t xml:space="preserve"> Straight Contract for Construction of Health Center See attached link/Url under OTHER INFORMATION BOX</t>
  </si>
  <si>
    <t xml:space="preserve"> 1 LOT - PROCUREMENT FOR DEPED RO8 CY 2020 GENERAL SUPPLIES UNIT	PARTICULARS	QTY. roll	ACETATE 1 can	AIR FRESHENER, aerosol, 280ml/150g min 100 bottle	ALCOHOL, ethyl 70%, SOLUTION, 500ml 600 piece	BALL POINT PEN, BLACK	834 piece	BALL POINT PEN, BLUE 	930 p</t>
  </si>
  <si>
    <t xml:space="preserve"> Supply and delivery One (1) Unit Backhoe (Brand New) Specifications: Engine: Emission Regulation: Tier 2 / Stage II Model: Cummins B3.9 Type: 4-cylinder, 4-stroke, in line, water-cooled, turbocharged, diesel engine Gross Power: 86 KW (115.3 hp) @ 2,200 rp</t>
  </si>
  <si>
    <t xml:space="preserve"> 1.	The LGU-Mallig, Isabela, through the Tobacco Excise Tax 2016 intends to apply the sum of Five Million Fifty-Seven Thousand Eight Hundred Ninety Four Pesos &amp; 40/100 Only (Php 5,057,894.40) being the Approved Budget for the Contract (ABC) to payments und</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</si>
  <si>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</si>
  <si>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See Attached</t>
  </si>
  <si>
    <t xml:space="preserve"> 1. Book Paper, A4 size, substance 20			500 reams 2. Correction Tape					50 pcs 3. Double Adhessive Tape, 1"				30 roll 4. Evelope, Brown long					250 pcs 5. Envelope, mailing, white, long			5 box 6. Folder, long						2,000 pcs 7. Glue							20 pcs 8. Pack</t>
  </si>
  <si>
    <t xml:space="preserve"> Seven (7) units Motorcycles See attached link under OTHER INFORMATION BOX</t>
  </si>
  <si>
    <t xml:space="preserve"> Construction/Rehabilitation of Multi-Purpose Building,</t>
  </si>
  <si>
    <t xml:space="preserve"> PR NO. 100-19-11-0017, 100-19-11-0022, 100-20-03-0025, 100-19-10-0228, 100-19-11-0235 The City Government of Tagum, through its Bids and Awards Committee (BAC) hereby invites all interested PhilGEPS registered suppliers to submit bids for the procurement </t>
  </si>
  <si>
    <t xml:space="preserve"> INVITATION TO BID NO. 20-41 SUPPLY &amp; DELIVERY OF IUD INSERTION SET 1.	The Department of Health, Center for Health Development Bicol (DOH – CHD Bicol), through the 2020 General Appropriations Act intends to apply the sum of One Million Sixty Five Thousand </t>
  </si>
  <si>
    <t xml:space="preserve"> The Invitation To Bid is available at Brgy. 35 Gabu Sur, Laoag City.</t>
  </si>
  <si>
    <t xml:space="preserve"> 1 Lot Supply, delivery, and installation of Audio Conference System for CBC					 1	1	lot	"Discussion/conference system Main Controller Amplifier (1 Unit) Chairman Microphone Unit (1 Chairman Microphone) Delegate Microphone Unit (16 piece Delegate Micropho</t>
  </si>
  <si>
    <t xml:space="preserve"> Straight Contract for Water Project Level 3 See attached link under OTHER INFORMATION BOX</t>
  </si>
  <si>
    <t xml:space="preserve"> Location: Sto. Tomas, Pampanga Appropriation: Php 522,933.00 Source of Fund: LDRRM Fund Classification: Flood Control Limits: Sta. 00 + 000 to Sta. 00 + 100 Net Length: L=100.00 lin.m. No. of days to complete: 30 days</t>
  </si>
  <si>
    <t xml:space="preserve"> 1	MATERIALS FOR COVERED COURT		 	CARMEN EAST CENTRAL ELEMENTARY SCHOOL		 	POBLACION SUR, CARMEN, BOHOL		 	Item 2.   Footing to Concrete Column		 	        2.1 Concrete Works		 	Portland Cement, type 1	93	bags 	River Sand, good quality (approved source)	7	c</t>
  </si>
  <si>
    <t xml:space="preserve"> 1. The Total Approved Budget for the Contract (ABC) for the Purchase of Common Office Supplies, Computer Ink and Janitorial Supplies for Stock, for Various Related Office Works (Recanvass) are as follows:													 Lot 1: Purchase of Common Office Supp</t>
  </si>
  <si>
    <t xml:space="preserve"> Republic of the Philippines BIDS AND AWARDS COMMITTEE FOR THE PROCUREMENT OF GOODS City of Puerto Princesa Barangay Sta. Monica INVITATION TO BID (Procurement of Goods) PR No. 2020-06-029 Date: June 18, 2020 Procuring/Funding Office/Department: Barangay S</t>
  </si>
  <si>
    <t xml:space="preserve"> 100	Meter	Electrical Wire, 22 gauge 15m Red Black Zip Wire AWG cable Power Gound Stranded 3	Roll	Wire, THHN Wire, 150 meters, copper, 3.5mm2 3	Roll	Wire, THHN Wire, 150 meters, copper, 5.5mm2 3	Roll	Wire, THHN Wire, 150 meters, copper, 8.0mm2 3	Roll	Wire,</t>
  </si>
  <si>
    <t xml:space="preserve"> 5	sets	4.5 cm thk grey Aluminum  Cappings, x 150 cm height Partition Tone Fabric	 8,000.00  66	shts	3/4 '' thk Formica Laminated Wood Sheet	 2,480.00  330	lmtr	3/4 '' thk Unica Edige Laminated 	 16.00  41	set	Drawer Guide Set	 251.10  15	pcs	Cubicles Tabl</t>
  </si>
  <si>
    <t xml:space="preserve"> (1) 1 unit Submersible Motor, 15hp, 3 phase, 230vac, 60 hz (2) 1 unit Submersible Deep Well Pump, Discharge Capacity = 12 LPS at 90 Total dynamic head (3) 65 meters Submersible Cable, #4/3C (AWG) (4) 1 set Manual Transfer Switch (MTS), Control - 200 amp, </t>
  </si>
  <si>
    <t xml:space="preserve"> Straight Contract for Water Project Level 3 See attached link/Url under OTHER INFORMATION BOX</t>
  </si>
  <si>
    <t xml:space="preserve"> PR NO. 200-20-04-0052, 200-20-03-0152, 200-19-11-0333, 200-20-04-0050, 200-20-04-0048, 200-20-03-0246, 200-20-03-0248, 200-20-04-0049, 200-20-03-0243, 200-20-03-0018, 200-20-03-0242, 200-20-03-0245, 200-20-03-0291, 200-20-03-0292, 200-20-03-0247, 200-20-0</t>
  </si>
  <si>
    <t xml:space="preserve"> Procurement of 1 Lot Food stuff</t>
  </si>
  <si>
    <t xml:space="preserve"> 1. The Total Approved Budget for the Contract (ABC) for the Purchase of Wrenches, Shovel and Beach Umbrella to be Used for Construction &amp; Maintenance in Engineering &amp; Construction Division (Recanvass) is:													 Eighty-Eight Thousand Nine Hundred Fi</t>
  </si>
  <si>
    <t xml:space="preserve"> CONSTRUCTION MATERIALS AND SUPPLIES</t>
  </si>
  <si>
    <t xml:space="preserve"> Furnishing of labor, materials and equipment for the Rehabilitation/Repair of Day Care Center at Bacong</t>
  </si>
  <si>
    <t xml:space="preserve"> 1	MATERIALS FOR COVERED COURT PHASE III		 	CARMEN WEST CENTRAL ELEMENTARY SCHOOL		 			 	SCOPE OF WORKS:		 	Column/Footing/Steel Girt/Steel Truss Fabrication/Roofing Installation		 	10mm dia. def. bars	 25 	pcs. 	#16 tie wire	 10 	kgs. 	River sand (approve</t>
  </si>
  <si>
    <t xml:space="preserve"> Construction  of Multi-Purpose Building,</t>
  </si>
  <si>
    <t xml:space="preserve"> Construction of Multi-Purpose Building and other Improvement at Brgy. Talon 2, Las Pinas City</t>
  </si>
  <si>
    <t xml:space="preserve"> One (1) Unit Laptop and One (1) Unit External Hard Drive</t>
  </si>
  <si>
    <t xml:space="preserve"> INVITATION TO BID FOR THE SUPPLY OF FUEL  FOR THE THIRD QUARTER The Municipality of Isulan, through the 2020 GENERAL FUND  intends to apply the sum of ONE MILLION FIVE HUNDRED NINETY-FIVE THOUSAND NINE HUNDRED FIFTY-SEVEN PESOS &amp; 20/100 ONLY  (P1,595,957.</t>
  </si>
  <si>
    <t xml:space="preserve"> 1	3	piece	Memory Card, Extreme Pro SDXC Memory Card 32 GB-2 pieces, Micro SD Card 64 GB- 1 piece  2	86	Unit	Flash Drive, 16GB, USB 3.0 3	5	Unit	Flash Drive, 64GB, USB 3.0 4	3	piece	Flash Drive, USB OTG (On the Go flash drive; USB connection,support Hot pl</t>
  </si>
  <si>
    <t xml:space="preserve"> INVITATION TO BID 20-40  SUPPLY &amp; DELIVERY OF HOSPITAL EQUIPMENT AND FURNITURE 1.	The Department of Health, Center for Health Development Bicol (DOH – CHD Bicol), through the 2020 General Appropriations Act intends to apply the sum of Six Million Pesos (P</t>
  </si>
  <si>
    <t xml:space="preserve"> Name of Project: Purchase of 56 units Jet-type Pitcher  Location: Pura, Tarlac  ABC: Php150,000.00</t>
  </si>
  <si>
    <t xml:space="preserve"> 110 pcs Fuselink 1A, 160 pcs Fuselinks, 160 pcs Fuselink 3A, 110 pcs Fuselink 6A</t>
  </si>
  <si>
    <t xml:space="preserve"> Location: Sto. Tomas, Pampanga Appropriation: Php 900,000.00 Source of Fund: 20% Development Fund Classification: Barangay Road Net Length: L=84.00 lin.m. Roadbed/Embankment Width: 5.00 MTS. Asphalt/Pavement/Concrete: 4.00m. No. of days to complete: 30 C.</t>
  </si>
  <si>
    <t xml:space="preserve"> ITEM            QUANTITY            UNIT                DESCRIPTION 102(2)             61.2                 CU.M               COMMON EXCAVATION 201                 61.2                  CU.M               AGGREGATE BASE COURSE 301                 306    </t>
  </si>
  <si>
    <t xml:space="preserve"> Purchase of Office Supplies and Devices</t>
  </si>
  <si>
    <t xml:space="preserve"> Location: Sto. Tomas, Pampanga Appropriation: Php 699,600.00 Source of Fund: Gender and Development Fund No. of days to complete: 60 days</t>
  </si>
  <si>
    <t xml:space="preserve"> 2 unit Long Table, 2 unit Office table</t>
  </si>
  <si>
    <t xml:space="preserve"> Pls. quote the items listed below: 1.  1.50 Hp Deep Well Pump (bq)  -  1 unit 2.  4" Ø x 6m uPVC Pipe - blue (bq)  -  5 lgths. 3.  1 1/4" Ø Twin Jet Pack/Foot Valve Brass -   1 unit 4.  400cc Solvent Cement  -  1 can NOTE:                    Opening of Bi</t>
  </si>
  <si>
    <t xml:space="preserve"> SUPPLY AND DELIVERY OF LABORATORY SUPPLIES (APHERESIS KIT FOR RED CELL-PLASMA EXCHANGE-APHERESIS KIT FOR PLATELET) -ORDER OF PAYMENT FOR BID DOCS WILL BE AVAILABLE AT GSD-HEAD OFFICE @ 10TH FLOOR MAKATI CITY HALL BLDG. 2. LOOK FOR MR. REDEN VILLANUEVA. A </t>
  </si>
  <si>
    <t xml:space="preserve"> Request for Quotation for the Procurement of Vegetable Seeds to be used for the DA SAAD Vegetables Production Project in Siquijor Province 1.	The Department of Agriculture-Regional Field Office 7 (DA-RFO 7), through the General Appropriations Act of CY 20</t>
  </si>
  <si>
    <t xml:space="preserve"> SEE ATTACHED DOCUMENT.</t>
  </si>
  <si>
    <t xml:space="preserve"> Pls. quote the items listed below: 1.  Flower Pot (medium)  -  1,000 pcs. NOTE:                        Opening of Bids will be on June 30, 2020 @ 1:00 pm</t>
  </si>
  <si>
    <t xml:space="preserve"> 1. The Total Approved Budget for the Contract (ABC) for the Purchase of Kilowatt Hour Meter &amp; Meter Base, Electrical &amp; Other Various Materials for Installation of Transformer to Increase Electric Power Supply (Recanvass) are as follows:													 Lot 1</t>
  </si>
  <si>
    <t xml:space="preserve"> 50 pails Cold Mixed Asphalt</t>
  </si>
  <si>
    <t xml:space="preserve"> 1	2	Unit	Branded/Brand New Processor : Intel Core i7-8700T 2.40 GHz Processor (12M Cache, up to 4.00 GHz) Memory : 8 GB DDR4-2400 SDRAM (1 x 8 GB) Storage : 1 TB 7200 rpm SATA Optical Drive : DVD writer ODD Operating System : Windows 10 Pro Display : 23.8</t>
  </si>
  <si>
    <t xml:space="preserve"> Procurement of Various Medicines</t>
  </si>
  <si>
    <t xml:space="preserve"> Construction  of Multi-Purpose Building</t>
  </si>
  <si>
    <t xml:space="preserve"> Procurement of 2 packs E1 Cartridge 300 oQC</t>
  </si>
  <si>
    <t xml:space="preserve"> Metropolitan Manila Development Authority																																																	 Metropolitan Manila Development Authority																																     BIDS AND AWARDS COMMITTEE																																 																												</t>
  </si>
  <si>
    <t xml:space="preserve"> REQUEST FOR QUOTATION The Dr. Jose Fabella Memorial Hospital hereby invites interested suppliers to submit quotation for the supply and delivery of: Particular	Quantity	Unit Cost	Total Cost 1.Gloves, surgical, sterile, powder-free, hypoallergenic, elastic</t>
  </si>
  <si>
    <t xml:space="preserve"> The Bids and Awards Committee of Barangay Maloloy-on now invite bids for the above mentioned project. The pre-bid conference shall be opened to interested parties who have purchased the bidding documents. A complete set of bidding documents can be purchas</t>
  </si>
  <si>
    <t xml:space="preserve"> 1	1	Lot	Supply and Delivery of   Wireless Microphone 			Item Description: 	3	Pcs	Wireless Microphone Transmitter: RF Level Switch between 1mW and 10mW 2 “AA” batteries Up to 10 hours of battery life (Alkaline Batteries) Bottom on/off switch design Power a</t>
  </si>
  <si>
    <t xml:space="preserve"> Procurement for 1 Lot Airtime Services for the period July 1 to December 31, 2020</t>
  </si>
  <si>
    <t xml:space="preserve"> INVITATION TO BID CONSTRUCTION OF OYSTER MUSHROOM BUILDING (PHASE 1), MUNICIPAL AGRICULTURE’S OFFICE, BARANGAY 3, SFADS The Municipal Government of San Francisco, Agusan del Sur, through the BIDS and AWARDS COMMITTEE (BAC) intends to apply the sum of NINE</t>
  </si>
  <si>
    <t xml:space="preserve"> CONSTRUCTION MATERIALS	 4"X8"X16"CHB	150 PCS WASHED SAND	5 CU.M 3/4" CRUSHED ROCK	6 CU.M. 2"X2"X12' R/L	35 PCS. GLASS	 4 PANELS @ 13 BLADES X0.60M/ PANEL JALOUSIE WINDOW 	1 UNIT ON "CLASS A" ALUMINUM FRAMES W/ INSTALLATION	 2 PANELS @13 BLADES X 0.70M/PAN</t>
  </si>
  <si>
    <t xml:space="preserve"> LOT II-LUMBER		 2"X2"X10' R/L	140 LGTHS.	 2"X4"X10' R/L	120 LGTHS	 2"X4"X8' R/L	60 LGTHS.	 1"X2"X8' R/L	50 LGTHS.	                 X-X-X-X-X-X</t>
  </si>
  <si>
    <t xml:space="preserve"> Republic of the Philippines Province of Palawan Municipality of Dumaran dum_bacsecretariat@yahoo.com BIDS AND AWARDS COMMITTEE INVITATION TO BID 1.	The Municipal Government of Dumaran, Palawan, through its 20% Development Fund intends to apply the sum of </t>
  </si>
  <si>
    <t xml:space="preserve"> Procurement of various medicines</t>
  </si>
  <si>
    <t xml:space="preserve"> 1. The Total Approved Budget for the Contract (ABC) for the Purchase of Three (3) Units Three-Inch Thermal Printer and One (1) Unit DS4 Rugged Mobile Computer for Water Meter Reading and Printing of Statement of Accounts is: One Hundred Fifty-Two Thousand</t>
  </si>
  <si>
    <t xml:space="preserve"> INVITATION TO BID CONCRETING OF LOCAL CORE ACCESS ROAD ALONG BARANGAY 3 TO BARANGAY STA. ANA, SFADS The Municipal Government of San Francisco, Agusan del Sur, through the BIDS and AWARDS COMMITTEE (BAC) intends to apply the sum of SEVEN MILLION, EIGHT HUN</t>
  </si>
  <si>
    <t xml:space="preserve"> Purchase of Medical Supplies and Medical Equipment</t>
  </si>
  <si>
    <t xml:space="preserve"> Republic of the Philippines Province of Davao del Sur MUNICIPALITY OF MATANAO -oOo- INVITATION TO BID The Local Government Unit of Matanao, Davao del Sur, through its Bids and Awards Committee (BAC), invites interested suppliers/ distributors to apply for</t>
  </si>
  <si>
    <t xml:space="preserve"> Purchase of Office Equipment, Supplies and Consumables</t>
  </si>
  <si>
    <t xml:space="preserve"> INVITATION TO BID FOR IMPROVEMENT OF MULTI-PURPOSE BUILDING – PANDAYAN (SLAUGHTERHOUSE) The Municipality of San Juan, through its Bids and Awards Committee (BAC), invites contractors to submit bids for the following Contract: Contract ID		:          	20-0</t>
  </si>
  <si>
    <t xml:space="preserve"> Drainage Improvement including Rehabilitation of Road</t>
  </si>
  <si>
    <t xml:space="preserve"> 1	1	Lot	Supply and Delivery of I.T. Equipment  			Item Description: 	1	Unit	COMPUTER, Desktop Processor	Intel Core i7 9th Gen Memory		8 GB Graphics	4GB Discrete Graphics Display		23 Inch LED Monitor Storage		128GB SSD + 1TB HDD Accessories	USB Keyboard &amp; </t>
  </si>
  <si>
    <t xml:space="preserve"> The Bids and Awards Committee of Barangay Miligan now invite bids for the above mentioned project. The pre-bid conference shall be opened to interested parties who have purchased the bidding documents on July 3, 2020, 2:00 P.M. at the Barangay Hall of Mil</t>
  </si>
  <si>
    <t xml:space="preserve"> TERMS OF REFERENCE I. PROJECT AND LOCATION PROJECT	:	SUPPLY AND DELIVERY OF HARDWARE SUPPLIES LOCATION	:	PCA R&amp;D BLDG., ELLIPTICAL RD. QUEZON CITY II. SCOPE OF WORK 1.	Supply and delivery of the following items: a.	800 pcs - Vinyl Tiles, Plank Type       </t>
  </si>
  <si>
    <t xml:space="preserve"> 1. Alcohol, Isopropyl 70%				20 gal 2. Disinfection Solution				4 gal 3. Face/Surgical Mask, Pack of 50s			20 pack 4. Oxygen Tank with Oxygen and Accessories, 50 lbs	1 set 5. Surgical Gloves, latex, pack of 100s			3 pack 6. Thermal Scanner					6 pcs 7. Li</t>
  </si>
  <si>
    <t xml:space="preserve"> Republic of the Philippines CITY GOVERNMENT OF LA CARLOTA BIDS AND AWARDS COMMITTEE OFFICE TEL. NO.  735-1370                                                                                                      	               	 INVITATION TO BID FOR THE </t>
  </si>
  <si>
    <t xml:space="preserve"> Material Finish: Leatherette; High back with armrest; Adjustable gas lift; Color: Black Quantity: 25 pcs</t>
  </si>
  <si>
    <t xml:space="preserve"> INVITATION TO BID for  Provision of Motor Vehicle, and Motorcycle (G-20-03-A) 1.	The Central Bicol State University of Agriculture (CBSUA), through the Unexpended Income 2019 Fund intends to apply the sum of Two Million Eight Hundred Eighty Thousand Pesos</t>
  </si>
  <si>
    <t xml:space="preserve"> RFQ 2020-105 PROJECT		:	LBP TUBOD BRANCH RENOVATION  IMPLEMENTOR		: 	LBP RESOURCES AND DEVELOPMENT CORPORATION OWNER			:	LAND BANK OF THE PHILIPPINES	 REQUEST FOR QUOTATION FOR	:	SUPPLY OF ALUMINUM LOUVER VENT    DATE / TIME OF SUBMISSION		:	ON OR BEFORE </t>
  </si>
  <si>
    <t xml:space="preserve"> 100 sheets Marine Plywood, 1/4" thick 200 Bd.ft. Good Lumber, 2"x 2" x 10' S4S 20 kgs. CWN, 3" 15 kgs. CWN, 2 1/2" 8 kgs. CWN, 2" 4 kgs. CWN, 1" 28 gals. Liquid Tile Primer White 8 gals. Liquid Tile Reducer 150 meters Duplex Wire (Flat Chord), #16 30 pcs.</t>
  </si>
  <si>
    <t xml:space="preserve"> Procurement of 1 Lot Spare parts</t>
  </si>
  <si>
    <t xml:space="preserve"> 1 Lot Supply, delivery, installation, labor, electrical, piping, testing &amp; commissioning of CCTV System for BDD					 (see attached RFQ and location plan)</t>
  </si>
  <si>
    <t xml:space="preserve"> Republic of the Philippines BIDS AND AWARD COMMITTEE Province of Batangas INVITATION TO BID The Provincial Government of Batangas, through its Bids and Awards Committee (BAC) invites all accredited contractors to bid on the following projects: NAME OF PRO</t>
  </si>
  <si>
    <t xml:space="preserve"> 1.  Diesel 7,775 Liters</t>
  </si>
  <si>
    <t xml:space="preserve"> 1 unit of Motorcycle with Garong 140000 2 units of Garbage Pushcart 60000</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</si>
  <si>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</si>
  <si>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Ceiling works Tile works Electrical works Painting works Plumbing works Doors and windows</t>
  </si>
  <si>
    <t xml:space="preserve"> PURCHASE &amp; DELIVERY OF JETMATIC PUMP TO BE DISTRIBUTED IN 24 BRGYS OF THE MUNICIPALITY FOR THE CLEAN &amp; GREEN CONTEST 2019-2020</t>
  </si>
  <si>
    <t xml:space="preserve"> 4 units Mist Blower SPECIFICATION:			  * Weight without liquid: 8.5kg			  * Displacement: 27.2cc			  * Engine Power: 0.8 kw (1.07 bhp)			  * Fuel Capacity: 1050cc (35.5 oz)			  * Container Capacity: 10.0 l (2.1 gasl.)			  * Air Volume with tubes: 580m			 </t>
  </si>
  <si>
    <t xml:space="preserve"> Replacement of Polycarbonate Roofing of PBBD Screenhouse (Drought Tolerance Program) at PhilRice Central Experiment Station (2020-06-1122) SCOPE OF WORKS I. 	POLYCARBONATE ROOFING 	Remove and replace Policarbonate roofing with Embossed Corrugated Polycarb</t>
  </si>
  <si>
    <t xml:space="preserve"> Request for Quotation for the Procurement of Various Agricultural Supplies to be used as support in the project implementation of the Community-based Participatory Action Research (CPAR) Project in Valencia, Negros Oriental 1.	The Department of Agricultur</t>
  </si>
  <si>
    <t xml:space="preserve"> Republic of the Philippines Province of Camarines Sur MUNICIPALITY OF BAAO INVITATION TO BID FOR THE PURCHASE OF BRANDNEW EMERGENCY TRANSPORT VEHICLE 1. The LOCAL GOVERNMENT UNIT OF BAAO, through the Budget for the contract approved by the Sanggunian 2020</t>
  </si>
  <si>
    <t xml:space="preserve"> 1	1	Lot	Supply and Delivery of Office Supplies ₱44,860.87 			Item Description: 	20	Pcs	SIGN PEN, BLACK, liquid/gel ink, 0.5mm needle tip 	40	Pcs	SIGN PEN, BLUE, liquid/gel ink, 0.5mm needle tip 	20	Pcs	SIGN PEN, RED, liquid/gel ink, 0.5mm needle tip 	80	P</t>
  </si>
  <si>
    <t xml:space="preserve"> Supply, Delivery and Installation of Monocrystalline Panel, 60 Watts LED Lamp, Charge Controller, Battery Powered by Lithium Ion Battery 18650, 6 m. Φ Prepainted GI Lamp Post tapered @ 4'' Φ to 2'' Φ and 0.60m high Concrete Pedestal tapered bottom to top </t>
  </si>
  <si>
    <t xml:space="preserve"> Please quote your lowest price inclusive of tax to this Office on the items listed below and submit your quotation with the TITLE AND SOLICITATION NUMBER as a heading in a sealed envelope not later than JUNE 3, 2020 addressed to: THE CHAIRPERSON Bids and </t>
  </si>
  <si>
    <t xml:space="preserve"> INVITATION TO BID NO. 20-64 SUPPLY &amp; DELIVERY OF ULTRASOUND SCANNER MACHINE  WITH TRANS-VAGINAL PROBE 1.	The Department of Health, Center for Health Development Bicol (DOH – CHD Bicol), through the 2020 General Appropriations Act intends to apply the sum </t>
  </si>
  <si>
    <t xml:space="preserve"> Materials for Elevation of Road In front of PIS Centro</t>
  </si>
  <si>
    <t xml:space="preserve"> Please quote your lowest price inclusive of tax to this Office on the items listed below and submit your quotation with the TITLE AND SOLICITATION NUMBER as a heading in a sealed envelope not later than JUNE 15, 2020 addressed to: THE CHAIRPERSON Bids and</t>
  </si>
  <si>
    <t xml:space="preserve"> Republic of the Philippines DEPARTMENT OF PUBLIC WORKS AND HIGHWAYS CAMARINES SUR 2ND DISTRICT ENGINEERING OFFICE Regional Office V Baras, Canaman, Camarines Sur INVITATION TO BID FOR  20FE0124 – CONSTRUCTION OF CLASSROOMS, PAMPLONA NHS, PAMPLONA, CAMARIN</t>
  </si>
  <si>
    <t xml:space="preserve"> Department of Education Region VI-Western Visayas Cadiz City Alimatoc Elementary School Small Vlue Procurement for the Repair and Maintenance of Faulty Electrical Wiring of Alimatoc Elementary School 1.	The Alimatoc Elementary School, through the School’s</t>
  </si>
  <si>
    <t xml:space="preserve"> Republic of the PhilippinesA1:R44C16A1:R31A1:R64A1:R75C16A1:R31A1:R76A1:R74A1:R75A1:R76A1:R75A1:R76						 Department of Environment and Natural Resources						 FORESTLAND MANAGEMENT PROJECT						 Province of Iloilo, Region VI						 						 BILL OF QUANTITI</t>
  </si>
  <si>
    <t xml:space="preserve"> Republic of the Philippines						 Department of Environment and Natural Resources						 FORESTLAND MANAGEMENT PROJECT						 Province of Iloilo, Region VI						 						 SUBPROJECT PROGRAM OF WORK						 Subproject Title/Name		Construction of Canauillian Hang</t>
  </si>
  <si>
    <t xml:space="preserve"> OPENING OF BIDS IN DSWD FO IX ZAMBOANGA CITY				 DELIVERY IN ZAMBOANGA CITY				 PROCUREMENT FOR THE FF				 				 1 UNIT REFRIGERATOR				 SPECS: TOWER TYPE REF, TWO DOORS TYPE REF				 SIZE: AT LEAST 5.8 CUBIC FEET, COLOR: SILVER				 ECO POWER SAVE REFRIGERA</t>
  </si>
  <si>
    <t xml:space="preserve"> Materials for Construction of Pathway at Sitio Sagur</t>
  </si>
  <si>
    <t xml:space="preserve"> Invitation to Bid for the Supply and Delivery of various Medicine for the use of Brgy. San Antonio Isla Verde, Batangas City</t>
  </si>
  <si>
    <t xml:space="preserve"> 2 Lots Adobe Creative Cloud Complete  Unit Cost: P 39,000.00  Total Price: P 78,000.00  19 Lots Windows 10 Pro (64 Bit)  Unit Cost: P 11,500.00  Total Price: P 218, 500.00  Buy Lot  Total Price: P 296,500</t>
  </si>
  <si>
    <t xml:space="preserve"> Hygiene Kit Assistance for Senior Citizens</t>
  </si>
  <si>
    <t xml:space="preserve"> Metropolitan Manila Development Authority																																																 Metropolitan Manila Development Authority																																     BIDS AND AWARDS COMMITTEE																																 																													</t>
  </si>
  <si>
    <t xml:space="preserve"> ITEM          DESCRIPTION                          QTY.       UNIT I.              Construction of Water System      2          units</t>
  </si>
  <si>
    <t xml:space="preserve"> 1	16	UNITS	One (1) set burner w/Gasul Tank and Accessories	 			Gasul/Fuel Tank	 			 -11kgs.	 			 -12.1 Tare Wt	  			 -LPG regulator-Model; ic-318	 			Burner	 			 -single burner	 			 -Icook-Model; ic-223	 			 -Gross Wt:5.8kg	 			 -Net Wt: 5kg	 			 -Dimensi</t>
  </si>
  <si>
    <t xml:space="preserve"> INVITATION TO BID  FOR THE SUPPLY &amp; DELIVERY OF 2 SETS HIGH VOLUME LOW SPEED FAN The Municipality of Isulan, through the 2020 GENERAL FUND  intends to apply the sum of ONE MILLION PESOS ONLY (P1,000,000.00) being the total Approved Budget for the Contract</t>
  </si>
  <si>
    <t xml:space="preserve"> 1 lot Supply and Delivery of Brand New Bedding Sets 			 10 sets Flex Foam Matress Polyurethane foam; Density = 31kg/cu.m.; with cover 80GSM brushed poly cotton with custom Flex Foam print; size = single 			 10 sets Printed Bedding 3 pieces set twin; 100% </t>
  </si>
  <si>
    <t xml:space="preserve"> Construction Materials &amp; Supplies Materials: Drop Wire 1,200 meters, Lamp Holders 38 sets, Led Lamp Bulb 25 watts 38 pcs., G.I. Pipe 3” SCH 40 38 pcs., G.I Pipe 1 ½” SCH 20 10 pcs., THHN Wire# 14 60 meters, THHN #10 30 meters, Electrical Tape 19 rolls, Co</t>
  </si>
  <si>
    <t xml:space="preserve"> Materials for Regravelling of MRF at Bagong Barrio</t>
  </si>
  <si>
    <t xml:space="preserve"> INVITATION TO APPLY FOR ELIGIBILITY AND TO BID The Municipality of RONDA, through its Bids &amp; Awards Committee (BAC), invites contractors registered with and classified by the Philippine Contractors Accreditation Board (PCAB) to apply for eligibility and i</t>
  </si>
  <si>
    <t xml:space="preserve"> Construction of 1-storey 7.00mx16.00m evacuation center.</t>
  </si>
  <si>
    <t xml:space="preserve"> Republic of the Philippines Province of Bohol Municipality of Ubay INVITATION TO BID FOR SUPPLY AND DELIVERY OF OFFICE EQUIPMENTS 1.	The Municipality of Ubay, through the Annual Budget C.Y. 2020 (SEF Fund) intends to apply the sum of Nine Hundred Ninety S</t>
  </si>
  <si>
    <t xml:space="preserve"> INVITATION TO BID 20-43  SUPPLY AND DELIVERY OF DENTAL SET, AND DENTAL UNIT 1.	The Department of Health, Center for Health Development Bicol (DOH – CHD Bicol), through the 2020 General Appropriations Act intends to apply the sum of Four Million Three Hund</t>
  </si>
  <si>
    <t xml:space="preserve"> ITEM: 142 bag/s  Portland Cement 40kg 8     cu.m.  Washed Sand 16   cu.m.  Coarsed Gravel 10   length/s 12mm.dia.x6m.Deformed Bars 100 bd.ft  10-2"x 6" x 10ft Coco Lumber 2     pc/s  Hacksaw Blade 8     kg/s  Assorted Nails 5     liters Asphalt Sealant</t>
  </si>
  <si>
    <t xml:space="preserve"> INVITATION TO BID NO. 20-61  SUPPLY &amp; DELIVERY OF WEIGHING SCALE (ADULT AND INFANT) 1.	The Department of Health, Center for Health Development Bicol (DOH – CHD Bicol), through the 2020 General Appropriations Act intends to apply the sum of Three Million S</t>
  </si>
  <si>
    <t xml:space="preserve"> Republic of  the Philippines Province of  Quezon Municipality of  Atimonan INVITATION TO BID 	The Barangay Montes Kallagan of Atimonan thru the Bids and Awards Committee (BAC) invites interested suppliers/contractors to apply for eligibility screening and</t>
  </si>
  <si>
    <t xml:space="preserve"> kindly check Item Description in Canvass/Bid Form.</t>
  </si>
  <si>
    <t xml:space="preserve"> Kindly Check Canvass/Bid Form</t>
  </si>
  <si>
    <t xml:space="preserve"> 1.	The MUNICIPAL GOVERNMENT OF PALIMBANG through an appropriation from LDRRM Fund FY 2020 (5% of IRA) invites prospective and interested bidders for the project, to wit: 	 SUPPLY AND DELIVERY OF ONE (1) – UNIT RESCUE VEHICLE Solicitation Number: PB-2020-G</t>
  </si>
  <si>
    <t xml:space="preserve"> DENR-ENVIRONMENTAL MANAGEMENT BUREAU Region 3 invites all eligible supplier to quote the following: PROCUREMENT AND DELIVERY OF PERSONAL PROTECTIVE EQUIPMENT  Binocular---- 2 pcs (60x60 500M Day/Night Vision Outdoor portable Oil spill kit ---- 2pcs 80 lit</t>
  </si>
  <si>
    <t xml:space="preserve"> INVITATION TO BID NO. 20-49  SUPPLY &amp; DELIVERY OF PHOTOTHERAPY UNIT 1.	The Department of Health, Center for Health Development Bicol (DOH – CHD Bicol), through the 2020 General Appropriations Act intends to apply the sum of One Million Five Hundred Thousa</t>
  </si>
  <si>
    <t xml:space="preserve"> Procurement of 1 Lot Construction supplies and materials</t>
  </si>
  <si>
    <t xml:space="preserve"> SOURCE OF FUNDS: ANNUAL BUDGET CY 2020 BIDDING DATE &amp; TIME: JUNE 29, 2020- 1:00 P.M</t>
  </si>
  <si>
    <t xml:space="preserve"> Please see attached TOR, Tech. Specs. &amp; RFQ for details</t>
  </si>
  <si>
    <t xml:space="preserve"> INVITATION TO BID NO. 20-35  SUPPLY &amp; DELIVERY OF VENTILATOR 1.	The Department of Health, Center for Health Development Bicol (DOH – CHD Bicol), through the 2020 General Appropriations Act intends to apply the sum of Two Million Seven Hundred Thousand Pes</t>
  </si>
  <si>
    <t xml:space="preserve"> Ceramic tiles, adhesives, tile trim, cement, etc.</t>
  </si>
  <si>
    <t xml:space="preserve"> Republic of the Philippines						 Department of Environment and Natural Resources						 FORESTLAND MANAGEMENT PROJECT						 Province of Iloilo, Region VI						 						 BILL OF QUANTITIES						 Subproject Title/Name		Construction of Caratagan Irrigation Pip</t>
  </si>
  <si>
    <t xml:space="preserve"> (SVP-21-2020) REQUEST TO SUBMIT PROPOSAL FOR SUPPLY &amp; DELIVERY OF 1,424 LITERS ORGANIC FOLIAR FERTILIZER FOR DISTRIBUTION TO FARMERS UNDER FY 2019 SAAD PROGRAM AT APPROVED BUDGET FOR THE CONTRACT AMOUNTING TO EIGHT HUNDRED NINETY THOUSAND PESOS (PHP890,00</t>
  </si>
  <si>
    <t xml:space="preserve"> materials for the Construction of 9 Units Led Streetlights</t>
  </si>
  <si>
    <t xml:space="preserve"> Rental of Service Vehicle for the MPP/Engineer (AUV)</t>
  </si>
  <si>
    <t xml:space="preserve"> Pipe, lamp, bulbs, cement, wires, etc.</t>
  </si>
  <si>
    <t xml:space="preserve"> 3 unit MOTORCYCLE: Engine Type: 4-Stroke, 2 Valves, SOHC, Air-cooled Displacement:124cc-125cc min. Maximum Power: 9.13kw @ 8,000 rpm min. Maximum Torque: 11.50Nm (1.2kgf.m) 6,500 rpm min. Bore X Stroke: 57.30 x 57.84 (mm) Starting System: Electric &amp; Kick </t>
  </si>
  <si>
    <t xml:space="preserve"> INVITATION TO BID 20-48  SUPPLY &amp; DELIVERY OF VARIOUS MEDICAL EQUIPMENT 1.	The Department of Health, Center for Health Development Bicol (DOH – CHD Bicol), through the 2020 General Appropriations Act intends to apply the sum of Five Million Seven Hundred </t>
  </si>
  <si>
    <t xml:space="preserve"> Rental of Service Vehicle for the MPP/Engineer (4x4 Pick Up)</t>
  </si>
  <si>
    <t xml:space="preserve"> Republic of the Philippines  Province of Nueva Ecija City Government of Palayan INVITATION TO BID FOR THE PROCUREMENT OF FURNITURE’S 1.	The City Government of Palayan, through the General Fund 2020 intends to apply the sum of (Php518,000.00) being the App</t>
  </si>
  <si>
    <t xml:space="preserve"> 88 LI</t>
  </si>
  <si>
    <t xml:space="preserve"> SUPPLY AND DELIVERY OF MATEIALS</t>
  </si>
  <si>
    <t xml:space="preserve"> REGIONAL BIDS AND AWARDS COMMITTEE REGION II &amp; E-CAR Request for Quotation (RFQ) No. 2020-1-006 Provision of Electrical Layout for Offsite ATM at LGU Baggao as proposed by LBP Tuguegarao Capitol Branch NOTE: PLEASE SEE ATTACHED LBP REQUEST FOR QUOTATION F</t>
  </si>
  <si>
    <t xml:space="preserve"> 300 liters unleaded fuel 700 liters Diesoline</t>
  </si>
  <si>
    <t xml:space="preserve"> 1	1	Lot	Supply and Delivery of Office Equipment  			Item Description: 	1	Set	Executive Table with drawers &amp; Chairs Executive Table Specifications: -W2000XD700XH750mm -Laminated Table Top Finish with black/brown outline -Color Maple -Fixed side cabinet &amp; m</t>
  </si>
  <si>
    <t xml:space="preserve"> 1	1	Lot	Supply and Delivery of   Electrical Supplies 			Item Description: 	5	Set	LED light fixture, 12"Wx48"Lx3"D, recessed type, powder coated white w/ frosted glass cover, heavy duty tube holder &amp; 2 18W LED tube, T8, 230V, daylight, G13, 1200mm 	8	Set	L</t>
  </si>
  <si>
    <t xml:space="preserve"> Procurement of 4 units of CCTV Camera with Installation</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</si>
  <si>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</si>
  <si>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INVITATION TO BID FOR THE SUPPLY OF LABOR &amp; MATERIALS FOR THE IMPROVEMENT OF MULTI-PURPOSE HALL 1. The Barangay Government of RIZAL through Supplemental Budget 2016-2017 20% Local Development Fund (LDF) and Supplemental Budget 2018 20% Local Development F</t>
  </si>
  <si>
    <t xml:space="preserve"> Rental of Service Vehicle for the MPP/Engineer</t>
  </si>
  <si>
    <t xml:space="preserve"> INSTALLATION OF SOLAR STREETLIGHTS AT RICAFRENTE COMPOUND,  POBLACION, ROSARIO, CAVITE MATERIALS: 	25pcs.		Solar Powered Lightning Fixture, 10 Watts LED Lamp  	13pcs.		GI Pipe 2”0 	  8pcs		GI Pipe 1 ½”0 	10pcs.		RSB #9 	  3pcs.		Tie Wire #16 	  4pcs.		Wel</t>
  </si>
  <si>
    <t xml:space="preserve"> (SVP-22-2020) REQUEST TO SUBMIT PROPOSAL FOR SUPPLY &amp; DELIVERY OF OFFICE FURNITURE AND FIXTURES FOR USE OF SAAD PROGRAM RPMO AND PPMO FOR FY 2020  AT APPROVED BUDGET FOR THE CONTRACT AMOUNTING TO NINE HUNDRED FIFTEEN THOUSAND PESOS (PHP915,000.00) PURSUAN</t>
  </si>
  <si>
    <t xml:space="preserve"> Description The Barangay Anupul, Bamban, Tarlac, through its Bids and Award Committee (BAC), invites suppliers/manufacturers/distributors/contractor to apply for eligibility and to bid for the here under project: Name of contract: Furnishing of Labor and </t>
  </si>
  <si>
    <t xml:space="preserve"> The Municipal Government of Marilao hereby invites suppliers and distributors to apply for eligibility and to bid in accordance with IRR of R.A. 9970 for the HAULING, TRANSFER AND DISPOSAL OF SOLID WASTE in the amount of Php 15,200,000.00</t>
  </si>
  <si>
    <t xml:space="preserve"> Republic of the Philippines Department of Environment and Natural Resources ENVIRONMENTAL MANAGEMENT BUREAU Region VI, Iloilo City INVITATION TO BID FOR THE SUPPLY AND DELIVERY OF ICT SUPPLIES AND OTHER PERIPHERALS OF EMB REGION VI CY 2020 (RE-BID) ITB No</t>
  </si>
  <si>
    <t xml:space="preserve"> Republic of the Philippines Province of Agusan del Norte Municipality of Carmen Tel # 343-3801 OFFICE OF THE BIDS AND AWARDS COMMITTEE INVITATION TO BID The Local Government of Carmen, through its Bids and Awards Committee (BAC) invites Suppliers/Manufact</t>
  </si>
  <si>
    <t xml:space="preserve"> INVITATION TO BID FOR The Department of Public Works and Highways Camarines Sur 5TH, District Engineering Office through its Bids and Awards Committee (BAC) for Goods, invites suppliers to submit bids for the following Contract: Contract ID No. 20GFN0005 </t>
  </si>
  <si>
    <t xml:space="preserve"> PROCUREMENT OF TWO THOUSAND (2,000) BAGS CERTIFIED SEEDS Mexico, Pampanga BAC Activities	Schedule 1. Submission of Request for Expression of       Interest and Eligibility Requirements	June 20-29, 2020 2.  Pre-bid Conference	June 29, 2020 @ 9:30 A.M. @ M.</t>
  </si>
  <si>
    <t xml:space="preserve"> 1 Lot Supply, Delivery, Installation and Testing of Cotton Ginning and Baling Equipment 1 unit Automatic 40-Saw Ginning machine: (Php475,000.00) Structure: feeder system, cotton cleaning part, ginning box, ginning gill, saw blades, brush drum, cotton coll</t>
  </si>
  <si>
    <t xml:space="preserve"> INVITATION FOR NEGOTIATIONS  1.	The Technological University of the Philippines Visayas through Fund 164 FY2015 internally generated income per BOR Resolution No. 20, s. 2019 intends to apply the sum of One Million Two Hundred Thousand Pesos Only (Php1,20</t>
  </si>
  <si>
    <t xml:space="preserve"> 1	1	Lot	Supply and Delivery of  Construction Materials 			Item Description: 	100	Pcs	Paint brush 1"fine heavy duty 	100	Pcs	Paint brush 1 1/2" fine heavy duty 	100	Pcs	Paint brush 2"fine heavy duty 	100	Pcs	Paint brush 3"fine heavy duty 	100	Pcs	Paint rol</t>
  </si>
  <si>
    <t xml:space="preserve"> INVITATION TO BID FOR The Department of Public Works and Highways Camarines Sur 5TH, District Engineering Office through its Bids and Awards Committee (BAC) for Goods, invites suppliers to submit bids for the following Contract: Contract ID No. 20GFN0007 </t>
  </si>
  <si>
    <t xml:space="preserve"> (SVP-20-2020) REQUEST TO SUBMIT PROPOSAL FOR SUPPLY &amp; DELIVERY OF FOUR (4) UNITS MECHANICAL REAPER FOR IMPLEMENTATION UNDER 2020 SAAD AT APPROVED BUDGET FOR THE CONTRACT AMOUNTING TO FIVE HUNDRED FORTY THOUSAND PESOS (PHP540,000.00) PURSUANT TO ALTERNATIV</t>
  </si>
  <si>
    <t xml:space="preserve"> INVITATION TO BID Bid No. B-86-2020 (*REBIDDING) 1.	The Provincial Government of Negros Oriental, through Responsibility Center: 8918-160(19), intends to apply the sum of Nine Hundred Eighty Thousand Pesos (Php 980,000.00) being the Approved Budget for th</t>
  </si>
  <si>
    <t xml:space="preserve"> Various Electrical Supplies</t>
  </si>
  <si>
    <t xml:space="preserve"> The Local Government Unit of Enrile through the 20% Development Fund 2020 intends to apply the sum TWO Million Five Hundred Thousand pesos (Php 2,500,000.00) being the Approved Budget for the Contract (ABC) to payments under the contract for the Improveme</t>
  </si>
  <si>
    <t xml:space="preserve"> Rental of Service Vehicle for the Engineer (4x4 Pick Up A/T)</t>
  </si>
  <si>
    <t xml:space="preserve"> PROCUREMENT OF LABORATORY SUPPLIES FOR MCH MCH San Carlos, Mexico, Pampanga BAC Activities	Schedule 1. Submission of Request for Expression of       Interest and Eligibility Requirements	June 20-29, 2020 2.  Pre-bid Conference	June 29, 2020 @ 9:30 A.M. @ </t>
  </si>
  <si>
    <t xml:space="preserve"> Republic of the Philippines PROVINCE OF CAMIGUIN Mambajao, Camiguin BIDS AND AWARDS COMMITTEE (BAC) INVITATION TO BID  The Provincial Government of Camiguin through its Bids and Awards Committee (BAC) invites all interested and qualified bidders/suppliers</t>
  </si>
  <si>
    <t xml:space="preserve"> Department of Education Region VI-Western Visayas Division of Cadiz City Alimatoc Elementary School INVITATION TO BID FOR THE PROVISION OF MEDICINES  AND WASH IN SCHOOLFOR 2020 1.	The Alimatoc Elementary School of Cadiz City, through the Schools MOOE Fund</t>
  </si>
  <si>
    <t xml:space="preserve"> INVITATION TO BID for Procurement of Printer for 2020 1.	The Pedro Pitogo Elementary School of Cadiz City, through the Schools MOOE Fund CY 2020  intends to apply the sum of Seventeen Thousand Pesos (Php. 17,000.00) being the Approved Budget for the Contr</t>
  </si>
  <si>
    <t xml:space="preserve"> SUPPLY, DELIVERY AND INSTALLATION OF VARIOUS IT EQUIPMENTS FOR THE OFFICE OF THE MUNICIPAL ENGINEER Office of the Municipal Engineer, Mexico, Pampanga BAC Activities	Schedule 1. Submission of Request for Expression of       Interest and Eligibility Requir</t>
  </si>
  <si>
    <t xml:space="preserve"> INVITATION TO BID FOR The Department of Public Works and Highways Camarines Sur 5TH, District Engineering Office through its Bids and Awards Committee (BAC) for Goods, invites suppliers to submit bids for the following Contract: Contract ID No. 20GFN0006 </t>
  </si>
  <si>
    <t xml:space="preserve"> 1 50 REAM/S PAPER - BOND,PG,LEGAL,216MMX330MM(8-1/2"X13") 70 GSM 2 50 REAM/S PAPER - BOND,PG,A4,210MMX297MM,70GSM. 3 50 REAM/S PAPER - BOND,PG,SHORT 8 1/2X11" 4 1 BOX BALLPEN - BLACK ORDINARY 50'S 5 3 PC/S MOUSE - PAD 6 6 PC/S CORRECTION FLUID - 15ML 7 2 </t>
  </si>
  <si>
    <t xml:space="preserve"> Republic of the Philippines Province of Agusan del Norte Municipality of Carmen OFFICE OF THE BIDS AND AWARDS COMMITTEE INVITATION TO BID  The Local Government of Carmen, through its Bids and Awards Committee (BAC) invites Suppliers/Manufactures/Distribut</t>
  </si>
  <si>
    <t xml:space="preserve"> PROCUREMENT OF OFFICE SUPPLIES FOR MCH MCH-San Carlos, Mexico, Pampanga BAC Activities	Schedule 1. Submission of Request for Expression of       Interest and Eligibility Requirements	June 20-29, 2020 2.  Pre-bid Conference	June 29, 2020 @ 9:30 A.M. @ M.P.</t>
  </si>
  <si>
    <t xml:space="preserve"> 1	1	Lot	Supply and Delivery of  Printer ₱80,000.00 			Item Description: 	4	Units.	Print, Copy, Scan with ADF 400 nozzles black, 128 nozzles each colour  4800 x 1200 dpi maximum Print Resolution Bi-directional, Uni-directional printing Automatic 2-sided pr</t>
  </si>
  <si>
    <t xml:space="preserve"> Title:Procurement of Services under P.R.Nos. 2455-2020(SP Rosario-Committee on Infrastructure Development),2460-2020(City Special Concerns Office),2461-2020(Cooperative Organization and Development Project),2463-2020(Communication Development Program),246</t>
  </si>
  <si>
    <t xml:space="preserve"> QTY          UNIT                           DESCRIPTION  1             Unit	                   Alinco Base (DR-138)	                 4             Unit	                   Cignus (V85) Handset	                 1             Unit	                   F23 Ante</t>
  </si>
  <si>
    <t xml:space="preserve"> Labor and Materials for the Construction of Public Toilet</t>
  </si>
  <si>
    <t xml:space="preserve"> 5 units Portable Toilet with sink SPECIFICATION: * Size: 1100mm(W), 1100mm(L), 2300mm(H)			 * Wall and Roof: 50mm EPS color steel sandwich panel, heat insulation			 * Shutter Window: PVC shutter window			 * Door: 50mm EPS color steel sandwich panel with s</t>
  </si>
  <si>
    <t xml:space="preserve"> Invitation to Bid for the Supply and Delivery of Handheld Radio for the use of Brgy. Mahabang Dahilig, Batangas City</t>
  </si>
  <si>
    <t xml:space="preserve"> 12 packs BSTFA + TMCS, 99:1 (20 vials / pack) Expiration is at least 2 years from the date of delivery General Conditions: 1. All entries must be typewritten or in print. 2. Price validity shall be for a period of 90 calendar days. 3. PhilGEPS Registratio</t>
  </si>
  <si>
    <t xml:space="preserve"> See attached files.....</t>
  </si>
  <si>
    <t xml:space="preserve"> Republic of the Philippines						 Department of Environment and Natural Resources						 FORESTLAND MANAGEMENT PROJECT						 Province of Iloilo, Region VI						 						 BILL OF QUANTITIES						 Subproject Title/Name		Construction of Atimonan Irrigation and </t>
  </si>
  <si>
    <t xml:space="preserve"> CONSTRUCTION OF HANGING BRIDGE PHASE II SAN PABLO, MUNICIPALITY OF SISON, SURIGAO DEL NORTE Brief Description:      The project will involve Construction of Hanging Bridge (Phase II) with the following scope of works: Suspension cables, tension rods, road</t>
  </si>
  <si>
    <t xml:space="preserve"> BUTUAN CITY WATER DISTRICT Gov. Jose A. Rosales Ave., Butuan City INVITATION TO BID  For Package 03 -2020: Vehicle Rental Services of Eighteen (18) Units Vehicle with Tracker (Global Positioning System) for the Year 2020 The BUTUAN CITY WATER DISTRICT thr</t>
  </si>
  <si>
    <t xml:space="preserve"> Republic of the Philippines Province of Camarines Norte Municipality of Mercedes BIDS AND AWARDS COMMITTEE Municipal Engineer’s Office, LGU - Mercedes, Camarines Norte INVITATION TO BID FOR PURCHASE OF ONE (1) UNIT BRAND NEW HIGH LEVEL MODEL AMBULANCE WIT</t>
  </si>
  <si>
    <t xml:space="preserve"> INVITATION TO BID FOR Procurement of Communication Equipment &amp; Accessories for MDRRM Office 1.	The Local Government Unit of Jimenez, Misamis Occidental  through the Trust Fund-DRRM intends to apply the sum of Nine Hundred Seventy Five Thousand Three Hundr</t>
  </si>
  <si>
    <t xml:space="preserve"> SUPPLY AND DELIVERY OF WALL FANS FOR ALL PUBLIC ELEMENTARY AND SECONDARY SCHOOLS IN MAKATI CITY -ORDER OF PAYMENT FOR BID DOCS WILL BE AVAILABLE AT GSD-HEAD OFFICE @ 10TH FLOOR MAKATI CITY HALL BLDG. 2. LOOK FOR MR. REDEN VILLANUEVA. A COMPLETE SET OF BID</t>
  </si>
  <si>
    <t xml:space="preserve"> SUPPLY AND DELIVERY OF CUSTOMIZED ON-THE-GO (OTG) FLASHDRIVES FOR DISTRIBUTION TO ALL PUBLIC ELEMENTARY AND SECONDARY STUDENTS, TEACHERS AND TEACHING RELATED PERSONNEL IN MAKATI CITY -ORDER OF PAYMENT FOR BID DOCS WILL BE AVAILABLE AT GSD-HEAD OFFICE @ 10</t>
  </si>
  <si>
    <t xml:space="preserve"> Labor and Materials for the Construction of Concrete Bleachers</t>
  </si>
  <si>
    <t xml:space="preserve"> TERMS OF REFERENCE For the Engagement of Services of a Certifying Body to Provide Re-Certification Audit, Re-Issuance of ISO 9001:2015 Certificate and Surveillance Audits for the Quality Management System (QMS) of NEDA Regional Office X (2020-2023) I. PUR</t>
  </si>
  <si>
    <t xml:space="preserve"> Rental of Service Vehicle for the Engineer (4x4 Pick Up )</t>
  </si>
  <si>
    <t xml:space="preserve"> 1	pax	Special Snacks: (A.M./P.M.)  [ABC: P80.00]		 		   Sandwich or Native Delicacies or Toasted Bread		 		   Pasta or Noodles		 		   Locally Produced Juice/Tea		 				 1	pax	Special Meals: [ ABC: P165.00]		 		   3 Viands (1 Meat, 1 Fish, 1 Viggies)		 		  </t>
  </si>
  <si>
    <t xml:space="preserve"> 2.	a)  Contract ID:	20OF0318 b)  Contract Name:	Construction of four (4) storey twelve (12) classroom School Building at Lucas R. Pascual E/S, Q.C. c)  Contract Location:	Quezon City d)  Scope of Work:	Construction of Building e)  Approved Budget for the </t>
  </si>
  <si>
    <t xml:space="preserve"> INVITATION TO BID for Reproduction of Modules for SY 2020-2021 1.	The Pedro Pitogo Elementary School of Cadiz City, through the Schools MOOE Fund CY 2020  intends to apply the sum of Thirteen Thousand Six Hundred Fifty Pesos (Php. 13, 650) being the Appro</t>
  </si>
  <si>
    <t xml:space="preserve"> SUPPLY AND DELIVERY OF CUSTOMIZED WASHABLE/REUSABLE CLOTH FACE MASKS WITH POUCH FOR DISTRIBUTION TO ALL PUBLIC ELEMENTARY AND SECONDARY STUDENTS IN MAKATI CITY -ORDER OF PAYMENT FOR BID DOCS WILL BE AVAILABLE AT GSD-HEAD OFFICE @ 10TH FLOOR MAKATI CITY HA</t>
  </si>
  <si>
    <t xml:space="preserve"> 1.	a)  Contract ID:	20OF0317 b)  Contract Name:	Construction of four (4) storey sixteen (16) classroom School Building at Rosa L. Susano E/S, Q.C. c)  Contract Location:	Quezon City d)  Scope of Work:	Construction of Building e)  Approved Budget for the C</t>
  </si>
  <si>
    <t xml:space="preserve"> ** Please see attached **</t>
  </si>
  <si>
    <t xml:space="preserve"> INVITATION TO BID FOR Procurement of Drugs &amp; Medicines for LGU Jimenez Date: June 2020 1.	The Local Government Unit of Jimenez, Misamis Occidental thru its General Fund,  intends to apply the sum of Five Hundred Two Thousand Two Hundred Forty Eight Pesos </t>
  </si>
  <si>
    <t xml:space="preserve"> PR#20-06-0324 ABC 66,506.00 Note: Nominal working pressure - 160 psi Thickness - 2.60mm Measurement - With indicated perimeter</t>
  </si>
  <si>
    <t xml:space="preserve"> BAC RESOLUTION NO. 342-2020 “A RESOLUTION RECOMMENDING “NEGOTIATED - SMALL VALUE PROCUREMENT” FOR THE VARIOUS PURCHASE REQUESTS (PR’s) FROM VARIOUS OFFICES OF THE CITY OF CABADBARAN” WHEREAS, presented for consideration, the following Purchase Requests wh</t>
  </si>
  <si>
    <t xml:space="preserve"> PR#20-02-0065 ABC  89,800.00 Specifications: Processor: Intel Core i5-321 OM (2.56 Hz) Graphics: NVIDIA GeForce GT 630M Memory: 4GB DDR3 Display: 14.0"HD LED-Backlit (1366 x 768) Storage: 1TB HDD Dimensions: 343 x 245 x 33.4mm Weight: 2.3 kg.</t>
  </si>
  <si>
    <t xml:space="preserve"> Contract Labor and Materials for the Construction of Concrete Reservoir - BLGU Kaligutan, Laak, Davao De Oro with an ABC of Php. 549,800.00. Note: For further details of the said project, please see/contact Hon. Annalie F. Langomez - Punong Barangay of Ka</t>
  </si>
  <si>
    <t xml:space="preserve"> The City Government of Koronadal, through its Bids and Awards Committee (BAC) will undertake a Negotiated Procurement – Small Value Procurement for the “ CONSTRUCTION MATERIALS FOR THE IMPROVEMENT OF STAGE @ PRK. UPPER LIBERTAD, BRGY. TOPLAND, CITY OF KOR</t>
  </si>
  <si>
    <t xml:space="preserve"> The Provincial Government of Samar invites all interested registered suppliers to submit in person or authorized representative quotation for- 				 1.	1	unit	Foldable Multi-Purpose Lightweight Aluminum Ladder (Heavy Duty) 24 ft. 2.	1	unit	Foldable Multi-P</t>
  </si>
  <si>
    <t xml:space="preserve"> Republic of the Philippines City of Gapan Province of Nueva Ecija -------------------------------------------------------------------------- Invitation to Bid for the Upgrading and Rehabilitation of Damaged Paved Roads and Drainage Canal 1.	The City Gover</t>
  </si>
  <si>
    <t xml:space="preserve"> REQUEST FOR QUOTATION 1.	The Bangko Sentral ng Pilipinas requests quotations for the hereunder requirement: Name of the Requirement/Brief Description	:  	One (1) lot Work Environment Measurement, as per                                BSP Terms of Referenc</t>
  </si>
  <si>
    <t xml:space="preserve"> 3.	a)  Contract ID:	20OF0319 b)  Contract Name:	Construction of four (4) storey twelve (12) classroom School Building at Placido Del Mundo E/S, Q.C. c)  Contract Location:	Quezon City d)  Scope of Work:	Construction of Building e)  Approved Budget for the</t>
  </si>
  <si>
    <t xml:space="preserve"> MUNICIPALITY OF BORBON DESCRIPTION: 2000 Tabs Lithium Carbonate 450mg tab 6000 Tabs Biperiden 2mg tab 1000 Tabs Chlorpromazine 100mg Tab 1000 Tabs Clozapine 100mg Tab 2000 Tabs Haloperidol 5mg Tab 100 Boxes Olanzapine 10mg Tab 500 Tabs Quetiapine 200mg Ta</t>
  </si>
  <si>
    <t xml:space="preserve"> Republic of the Philippines DEPARTMENT OF PUBLIC WORKS AND HIGHWAYS CAMARINES SUR 2ND DISTRICT ENGINEERING OFFICE Regional Office V Baras, Canaman, Camarines Sur INVITATION TO BID FOR  20FE0125 – CONSTRUCTION OF CLASSROOMS, TINANQUIHAN PS, LIBMANAN, CAMAR</t>
  </si>
  <si>
    <t xml:space="preserve"> Printing and Publication</t>
  </si>
  <si>
    <t xml:space="preserve"> Article/Description             Qty       Unit                          CEMENT                              858       BAGS                    GRAVEL                                96        CU.M.             SAND                                   48      </t>
  </si>
  <si>
    <t xml:space="preserve"> ** see documents attached **</t>
  </si>
  <si>
    <t xml:space="preserve"> 1	Labor		6,000	July 2020</t>
  </si>
  <si>
    <t xml:space="preserve"> 1 unit Multicab FEATURES: 4WD 12 VALVE, 660CC 3 CYLINDER MANUAL POWER STEERING SPECIFICATION: RECONDITION UNIT ENGINE RECONDITION URETHANE PAINT GENERAL UPHOLSTERY BRANDE NEW TIRE BRAND NEW MAGS BRAND NEW BATTERY AIR-CONDITION USB TYPE STEREO ROOF RAIL, T</t>
  </si>
  <si>
    <t xml:space="preserve"> 24,400  ltrs  Diesel 1,000    ltrs   Silver 1,000    ltrs   Premium 40         btls   Brake fluid, 200ml</t>
  </si>
  <si>
    <t xml:space="preserve"> Unit	      Item Description	                          Quantity piece	Audio Splitter	                             4 unit	        Bridging Switch	                             2 unit	        Load Balance Routers (1)	             3 unit	         Load Balance </t>
  </si>
  <si>
    <t xml:space="preserve"> 4.	a)  Contract ID:	20OF0320 b)  Contract Name:	Construction of Retaining Wall at Kaligayahan E/S, Q.C. c)  Contract Location:	Quezon City d)  Scope of Work:	Construction of Retaining Wall e)  Approved Budget for the Contract (ABC):  P 13,860,333.50 f)  C</t>
  </si>
  <si>
    <t xml:space="preserve"> 1 Lot 3 Set Supply and Delivery of High-End Branded and Brand New Desktop PC with Monitor and Application Software Processor: 9th Generation 8-Core Processor (12MB Cache, up to 4.7 GHz with Turbo Boost Technology) Video Card: GTX 1650 4GB GDDR5 Memory: 16</t>
  </si>
  <si>
    <t xml:space="preserve"> INVITATION TO BID FOR The Department of Public Works and Highways Camarines Sur 5TH, District Engineering Office through its Bids and Awards Committee (BAC) for Goods, invites suppliers to submit bids for the following Contract: Contract ID No. 20GFN0008 </t>
  </si>
  <si>
    <t xml:space="preserve"> Republic of the Philippines  Province of Nueva Ecija City Government of Palayan INVITATION TO BID FOR THE CONSTRUCTION MATERIALS FOR 7-UNITS HOUSING PROJECT  1.	The City Government of Palayan, through the Trust Fund for the year 2020 intends to apply the </t>
  </si>
  <si>
    <t xml:space="preserve"> PRINTING/REPRODUCTION OF SELF-DIRECTED LEARNER'S MODULES FOR ALL PUBLIC ELEMENTARY AND SECONDARY SCHOOLS IN MAKATI CITY -ORDER OF PAYMENT FOR BID DOCS WILL BE AVAILABLE AT GSD-HEAD OFFICE @ 10TH FLOOR MAKATI CITY HALL BLDG. 2. LOOK FOR MR. REDEN VILLANUEV</t>
  </si>
  <si>
    <t xml:space="preserve"> INVITATION FOR NEGOTIATIONS  1.	The Technological University of the Philippines Visayas, through Fund 164 FY2015 internally generated income per BOR Resolution No. 20, s. 2019 intends to apply the sum of One Million Eight Hundred Thousand Pesos Only (Php1</t>
  </si>
  <si>
    <t xml:space="preserve"> CONCRETE WORKS, MASONRY WORKS, FORM WORKS AND CARPENTRY WORKS MATERIALS.</t>
  </si>
  <si>
    <t xml:space="preserve"> (Section I) Republic of the Philippines Department of Health CENTER FOR HEALTH DEVELOPMENT MIMAROPA Q.M.M.C. Compound, Project 4, Quezon City INVITATION TO BID  PUBLIC BIDDING FOR THE SUPPLY AND DELIVERY OF FAMILY PLANNING COMMODITIES  (LINE ITEMS)  The D</t>
  </si>
  <si>
    <t xml:space="preserve"> BIDS AND AWARDS COMMITTEE INVITATION TO BID  	The City Government of Valenzuela, through its Bids and Award Committee (BAC), invites contractors registered with the Philippine Contractors Accreditation Board (PCAB) to apply for eligibility and to bid for </t>
  </si>
  <si>
    <t xml:space="preserve"> Republic of the Philippines DEPARTMENT OF PUBLIC WORKS AND HIGHWAYS CAMARINES SUR 2ND DISTRICT ENGINEERING OFFICE Regional Office V Baras, Canaman, Camarines Sur INVITATION TO BID FOR  20FE0126 – CONSTRUCTION OF CLASSROOMS, MALITBOG ES, MINALABAC, CAMARIN</t>
  </si>
  <si>
    <t xml:space="preserve"> 5.	a)  Contract ID:	20OF0321 b)  Contract Name:	Construction/Rehabilitation of Multi-Purpose Building, Vargas Compound, Brgy. Culiat, Q.C. c)  Contract Location:	Quezon City d)  Scope of Work:	Construction/Rehabilitation of Building e)  Approved Budget fo</t>
  </si>
  <si>
    <t xml:space="preserve"> Republic of the Philippines Province of Iloilo Municipality of Lambunao Brgy. Jayubo Barangay Office of the Bids &amp; Awards Committee INVITATION TO BID Name of Project: Purchase of Materials for the Const. of Water Shield Toilet Location: Brgy. Jayubo, Lamb</t>
  </si>
  <si>
    <t xml:space="preserve"> Republic of the Philippines          City of Dumaguete Bids and Awards Committee INVITATION TO BID FOR PURCHASE REQUEST OF 1 UNIT CONCRETE LAMP POST W/ IONIC 3 WING CAPITAL ( FOR QUEZON PARK) AND OTHER ITEMS 	The City of Dumaguete thru its BIDS AND AWARDS</t>
  </si>
  <si>
    <t xml:space="preserve"> Personal Protective Equipment/Kit -----------------------------400 qty --------------------P500.00/kit X-X-X-X-X-X-X-X-X-X-X-X-X-X-X-X-X-X PURPOSE: Purchase Request for the use of Nursing Unit / Centralization (for 3 months consumption from Jan. to March </t>
  </si>
  <si>
    <t xml:space="preserve"> Rehab. of Slope Protection</t>
  </si>
  <si>
    <t xml:space="preserve"> Labor and materials for the refurbishment of NEDA 3 Main building						lot	1	 Hallway tiles (Technical Division side)								 								 Specifications:								 								 a. Approximate Floor area to be repaired: 50 sq.m.								 b. Number of tiles to be rep</t>
  </si>
  <si>
    <t xml:space="preserve"> 6	mos	Emergency Quick Response (Ambulance Rescue) 		 Period of Coverage: July 01 to December 31, 2020 		 		Coverage: 	1	24/7 Medical Advisory thru given Hotline 	2	Ambulance service within Barangay premises during an emergency 		 to be brought to any of t</t>
  </si>
  <si>
    <t xml:space="preserve"> Procurement of Meals and Snacks at Matalom, Leyte. Unit	Item &amp; Description	Quantity 	Procurement of Meals and Snacks 	 	Note: (Menu and Delivery of Goods are base from activity proposal/Design of each End User)	 	JULY	 Pax	Meeting &amp; conferences ( Mayor’s </t>
  </si>
  <si>
    <t xml:space="preserve"> REPAIR / REHABILITATION OF MULTI-PURPOSE PAVEMENT  @ SITIO NAILONG, BRGY. DAJA DAKU CONCRETING OF 22.0M X 12.0 M. LOCAL ACCESS ROAD (THICKNESS = 0.0375 M.)</t>
  </si>
  <si>
    <t xml:space="preserve"> Department of Public Works and Highways (DPWH) Contract ID: 20G00099 Contract Name: Repair/Maintenance of DPWH Buildings, Regional Office Location of the Contract: Fort San Pedro, Iloilo City ---------------------------------------------------------------</t>
  </si>
  <si>
    <t xml:space="preserve"> 2000	Pcs	"Sodium Ascorbate with zinc tab (BRANDED)     "					 1,000	Bottles	"Ambrooxol 15mg / 5 ml      "					 500	Pcs	"Acetylcysteine 600 mg tab (BRANDED)      "					 400	Bxs	"Losasrtan 50 mg tab 100's     "					 500	Bxs	"Multivitamins capsules 100's    </t>
  </si>
  <si>
    <t xml:space="preserve"> Invitation to Bid for the Supply and Delivery of CCTV Camera for the use of Brgy. Pallocan West, Batangas City</t>
  </si>
  <si>
    <t xml:space="preserve"> EARTHWORKS CLEARING AND GRUBBING, CONCRETE AND CARPENTRY WORKS, INSTALLATION OF PRE CAST CONCRETE POST PERIMETER FENCE W/ HOG WIRE AND BARB WIRE,FABRICATION AND INSTALLATION OF METAL GATES WORKS MATERIALS.</t>
  </si>
  <si>
    <t xml:space="preserve"> Scope of Works: -	Construction of 248.05 ln.m. concrete Line Canal with 0.20m x 0.15m concrete planks spaced @ 3.20m o.c., laying of 1-line 8 pcs 36” Ø and 1 line 7 pcs 24” Ø RCPC with concrete headwall @ both ends and installation of 230.00 units 0.15mm </t>
  </si>
  <si>
    <t xml:space="preserve"> Request for Quotation for the Procurement of Jute Sacks to be used for the DA SAAD Peanut Production Project in Siquijor Province 1.	The Department of Agriculture-Regional Field Office 7 (DA-RFO 7), through the General Appropriations Act of CY 2020)  inte</t>
  </si>
  <si>
    <t xml:space="preserve"> 1	Labor		16,000	July 2020</t>
  </si>
  <si>
    <t xml:space="preserve"> Request for Quotation for the Procurement of Other Supplies to be used as support in the project implementation of the Community-based Participatory Action Research (CPAR) Project in Valencia, Negros Oriental 1.	The Department of Agriculture-Regional Fiel</t>
  </si>
  <si>
    <t xml:space="preserve"> SUPPLY, DELIVERY AND INSTALLATION OF FLOOR MOUNTED AIR-CONDITIONING UNIT								 											 			(1-07-05-020) Office Equipment								 1	3	units	Floor Mounted Type Inverter Air-Conditioner					 165,000.00 		 495,000.00 	 			with Wireless Remote (5 Tons)		</t>
  </si>
  <si>
    <t xml:space="preserve"> 6.	a)  Contract ID:	20OF0322 b)  Contract Name:	Construction of Multi-Purpose Building (Novaliches Convention and Sports Center), Phase I, Brgy. Fairview, Q.C. c)  Contract Location:	Quezon City d)  Scope of Work:	Construction of Building e)  Approved Bud</t>
  </si>
  <si>
    <t xml:space="preserve"> Republic of the Philippines       Province of Camarines Norte         Municipality of Mercedes BIDS AND AWARDS COMMITTEE LGU - Mercedes, Camarines Norte 			 INVITATION TO BID-2ND POSTING The Local Government Unit of Mercedes, through 20% Municipal Develop</t>
  </si>
  <si>
    <t xml:space="preserve"> Article/Description            Qty       Unit                 TILES 60X60                  120        PCS.                      ADHESIVE                      10        SACKS               GROUTH                          5          KLS.                    </t>
  </si>
  <si>
    <t xml:space="preserve"> Republic of the Philippines Province of Palawan Municipality of Dumaran BIDS AND AWARDS COMMITTEE dum_bacsecretariat@yahoo.com INVITATION TO BID FOR SUPPLY AND DELIVERY OF MATERIALS FOR THE CONSTRUCTION OF CONCRETE WATER TANK AT BGY. CAPAYAS, DUMARAN, PAL</t>
  </si>
  <si>
    <t xml:space="preserve"> Request for Quotation for the Validation of Fumehoods to be used to prolong the lifespan of the laboratory equipment 1.	The Department of Agriculture-Regional Field Office 7 (DA-RFO 7), through the General Appropriations Act of CY 2020)  intends to apply </t>
  </si>
  <si>
    <t xml:space="preserve"> 1 50 PC/S CORRECTION TAPE - W/ CASE 2 2 PC/S USB FLASH DRIVE - 16 GB 3 5 BTL/S GLUE - 130G 4 1 PC/S GLUE GUN - BIG (HEAVY DUTY) 5 5 PC/S MOUSE - USB 6 3 UNIT/S MULTI- TRAY - 3 LAYERS- METAL 7 30 PC/S PENCIL WOODEN 8 20 PACKS PAPER - PHOTO A4 SIZE 200GMS 2</t>
  </si>
  <si>
    <t xml:space="preserve"> ITEM                       QTY                                  UNIT                                         ITEM DESCRIPTION 1                       27,188.77                             LITERS                                           DIESEL 2          </t>
  </si>
  <si>
    <t xml:space="preserve"> 120	sets	Laboratory Examination 		1.1. Complete Medical Examination 		  1.1.1 Taking Personal Medical, Family and Social Histories 		  1.1.2 Vital Signs (Heart Rate, Blood Pressure, Temperature, etc.) 		  1.1.3 Visual Acuity Testing 		  1.1.4 Physical Exa</t>
  </si>
  <si>
    <t xml:space="preserve"> Device and Materials: 3	units	PTZ Dome Camera 		 Specifications: 		2MP Full HD Starlight Network PTZ Dome 		25X Optical Zoom  		Support H.265/H.264, WDR, D&amp;N (ICR)  		Ultra DNR, EIS, IR up-to 150m 		Micro SD Card., PoE+ IP66 10	units	Wireless 29dbi long r</t>
  </si>
  <si>
    <t xml:space="preserve"> 1 4 REAM/S PAPER - BOND,PG,LEGAL,216MMX330MM(8-1/2"X13") 70 GSM 2 3 REAM/S PAPER - BOOK A4,210MMX297MM,MIN OF 70GSM 3 1 ROLL/S TAPE - MASKING #1 4 2 PC/S CUTTER - W/ PLASTIC &amp; METAL CASE,BIG 5 1 REAM/S FOLDER - LONG BROWN 6 1 BOT/S INK - CANON-GI-790-BLAC</t>
  </si>
  <si>
    <t xml:space="preserve"> Republic of the Philippines          City of Dumaguete Bids and Awards Committee INVITATION TO BID FOR PURCHASE REQUEST OF 238 BAGS PORTLAND CEMENT (40 KGS/BAG) AND OTHER ITEMS 	The City of Dumaguete thru its BIDS AND AWARDS COMMITTEE (BAC), invites all i</t>
  </si>
  <si>
    <t xml:space="preserve"> WAREHOUSE HANDLING (AND ALLIED) SERVICES FOR NFA-NCR AND BATANES WAREHOUSES</t>
  </si>
  <si>
    <t xml:space="preserve"> Request for Quotation for the Procurement of Chemical and Filtering Supplies to be used at Regional Soils Laboratory 1.	The Department of Agriculture-Regional Field Office 7 (DA-RFO 7), through the General Appropriations Act of CY 2020)  intends to apply </t>
  </si>
  <si>
    <t xml:space="preserve"> 7.	a)  Contract ID:	20OF0323 b)  Contract Name:	Construction of Multi-Purpose Building and Integrated Learning Facilities at Brgy. Santa Monica, Q.C. c)  Contract Location:	Quezon City d)  Scope of Work:	Construction of Building e)  Approved Budget for th</t>
  </si>
  <si>
    <t xml:space="preserve"> 1	Labor		5,500	July 2020</t>
  </si>
  <si>
    <t xml:space="preserve"> Sub Soil Exploration</t>
  </si>
  <si>
    <t xml:space="preserve"> Republic of the Philippines          City of Dumaguete Bids and Awards Committee INVITATION TO BID FOR PURCHASE REQUEST OF 50 PCS LED BULB 9 WATTS AND OTHER ITEMS 	The City of Dumaguete thru its BIDS AND AWARDS COMMITTEE (BAC), invites all interested manu</t>
  </si>
  <si>
    <t xml:space="preserve"> 1	56	pc.	Birthday Cake, soft-icing, with greetings and candle					 1,392.86 		 78,000.00 	 											 			(Delivery will depend on birthdates of barangay								 			officials and employees.)</t>
  </si>
  <si>
    <t xml:space="preserve"> 1	5	cu.m	Washed and Selected Sand and Gravel				 2	12	bags	Portland Cement				 3	8	lenghts	Grade 33: 10mmØ x 6.00m RSB				 4	12	lenghts	Grade 33: 8mmØ x 6.00m RSB				 5	2	kgs	Ga. #16 G.I Tie Wire				 6	1	kg	2 1/2" CW Nails				 7	1	kg	1" CW Nails				 8	2	s</t>
  </si>
  <si>
    <t xml:space="preserve"> REQUEST FOR QUOTATION Company Name: ___________________________________________________ Address: ___________________________________________________ Sir/Madame: DepEd SDO of Oriental Mindoro thru its Bids and Awards Committee invites all interested and le</t>
  </si>
  <si>
    <t xml:space="preserve"> Device and Materials: 9	units	4MP H.265+ Motorized lens WDR Bullet 		 Specifications: 		WDR (120dB), H.265+/H.265/H.264+/H.264, 4MP @ 20fps 		3MP (1-30fps), 2.7-13.5mm motorized lens 		IR 60m, Micro SD, IP67 2	units	Wireless 29dbi long range 		-PBE 620 5G</t>
  </si>
  <si>
    <t xml:space="preserve"> please download rfq and store furnish in the associated component</t>
  </si>
  <si>
    <t xml:space="preserve"> Contract ID: 2020-05-069 Contract Name: Supply and Delivery of Tubeless Tires to be used for the Repair/Maintenance of Isuzu DMAX with Temp. Plate No. 100804/ABC-2101 Contract Location: DPWH-MOFDEO, Gingoog City Brief Description of Goods to be procured: </t>
  </si>
  <si>
    <t xml:space="preserve"> SUPPLY AND DELIVERY OF CONSTRUCTION MATERIALS FOR THE CONSTRUCTION OF VIEW DECK PHASE II CHARGE TO 20% EDF 2020</t>
  </si>
  <si>
    <t xml:space="preserve"> SUPPLY AND DELIVERY OF CONSTRUCTION MATERIALS FOR THE REPAIR OF RADIO STATION BUILDING CHARGE TO NON OFFICE</t>
  </si>
  <si>
    <t xml:space="preserve"> Republic of the Philippines Province of Masbate Municipality of Pio V. Corpus INVITATION TO BID FOR THE PURCHASE OF OFFICE SUPPLIES (APPROPRIATION PER DEPARTMENT/OFFICES FOR 2ND, 3RD &amp; 4TH QUARTER OF 2020) 1. The Local Government of Pio V. Corpus, through</t>
  </si>
  <si>
    <t xml:space="preserve"> INVITATION TO BID FOR THE SUPPLY, DELIVERY AND COMMISSIONING OF ENDOSCOPIC VIDEO INFORMATION SYSTEM WITH BUILT-IN NARROW BAND IMAGING SYSTEM 1.  The Cagayan Valley Medical Center (CVMC), intends to apply the sum Thirteen Million Pesos (Php   13,000,000.00</t>
  </si>
  <si>
    <t xml:space="preserve"> 23 reams Bond paper LEgal Size 70gsm 29 reams Bond paper A4 size 80gsm 10 roll wrapping paper 1 ream Folder Tagboard A4 size 23 roll tape transparent 48mm 46 roll tape transparent 24mm 4 box Envelope expander documentary 3 box envelope expanding kraftboar</t>
  </si>
  <si>
    <t xml:space="preserve"> &gt; The Municipality of San Quintin Abra now invites bids for the PURCHASE OF FARM INPUTS AND EQUIPMENTS with the following items: 1. WATER PUMP DIESEL 80PH (WITH VASE AND PUMP) - 56 UNITS 2. FARM HOSE 2" - 70 ROLLS 3. HAND TRACTOR (KULIGLIG) 12PH WITH COMP</t>
  </si>
  <si>
    <t xml:space="preserve"> Republic of the Philippines          City of Dumaguete Bids and Awards Committee INVITATION TO BID FOR PURCHASE REQUEST OF 320 ORDINARY CORRUGATED ALUMINUM COATED SHT. 0.5MM X 12’ AND OTHER ITEMS 	The City of Dumaguete thru its BIDS AND AWARDS COMMITTEE (</t>
  </si>
  <si>
    <t xml:space="preserve"> INVITATION TO BID CONSTRUCTION OF HAZARDOUS WASTE SEPTIC VAULT AT MUNICIPAL DUMPSITE, DAMILAG, BARANGAY PISAAN, SFADS The Municipal Government of San Francisco, Agusan del Sur, through the BIDS and AWARDS COMMITTEE (BAC) intends to apply the sum of FOUR H</t>
  </si>
  <si>
    <t xml:space="preserve"> 1	Labor		4,000	July 2020</t>
  </si>
  <si>
    <t xml:space="preserve"> REPAIR / REPLACEMENT OF DEFECTIVE CCTV CAMERA AT AGUS 7 SPILLWAY</t>
  </si>
  <si>
    <t xml:space="preserve"> Request for Quotation for the Procurement of Other Supplies to be used in the Maintenance of Laboratories of RCPC, Mandaue City 1.	The Department of Agriculture-Regional Field Office 7 (DA-RFO 7), through the General Appropriations Act of CY 2020)  intend</t>
  </si>
  <si>
    <t xml:space="preserve"> BIDS AND AWARDS COMMITTEE 	 INVITATION TO BID Supply and Delivery of Laboratory Equipment for Agricultural  Biosystems Engineering in Main Campus 1.The Mindoro State College of Agriculture and Technology (MinSCAT), through STF intends to apply the sum of </t>
  </si>
  <si>
    <t xml:space="preserve"> Revised on: July 28, 2004                                            INVITATION TO APPLY FOR ELIGIBILITY AND TO BID                        The Local Government Unit of Catanauan, Quezon, through its Bids and Awards Committee (BAC), invites suppliers/manuf</t>
  </si>
  <si>
    <t xml:space="preserve"> Republic of the Philippines          City of Dumaguete Bids and Awards Committee INVITATION TO BID FOR PURCHASE REQUEST OF 10 REELS SERVICE DROP WIRE #6 AND OTHER ITEMS 	The City of Dumaguete thru its BIDS AND AWARDS COMMITTEE (BAC), invites all intereste</t>
  </si>
  <si>
    <t xml:space="preserve"> Repair and Maintenance of WATER SUPPLY SYSTEM</t>
  </si>
  <si>
    <t xml:space="preserve"> RFQ 2020-105 PROJECT		:	LBP CAR LENDING CENTER RENOVATION  IMPLEMENTOR		: 	LBP RESOURCES AND DEVELOPMENT CORPORATION OWNER			:	LAND BANK OF THE PHILIPPINES	 REQUEST FOR QUOTATION FOR	:	SUPPLY OF PANEL BOARD    DATE / TIME OF SUBMISSION		:	ON OR BEFORE JUN</t>
  </si>
  <si>
    <t xml:space="preserve"> ISO VG68</t>
  </si>
  <si>
    <t xml:space="preserve"> Particulars:  Diesel Quantity: 3,900 liters Total Amount: P 195,000.00</t>
  </si>
  <si>
    <t xml:space="preserve"> 1	24	pcs	Misting Fee					 455.00 		 10,920.00 	 2	36	bottles	Alcohol 70%					 130.00 		 4,680.00 	 3	36	bottles	Anti-Bacterial Disinfectant 					 260.00 		 9,360.00 	 4	36	bottles	Car Freshener					 351.00 		 12,636.00 	 5	36	gallons	All Purpose Bleach, 1</t>
  </si>
  <si>
    <t xml:space="preserve"> Republic of the Philippines  City of Canlaon Office of the Bids and Awards Committee  INVITATION TO BID FOR the Rehabilitation of Water System The Local Government of Canlaon City, through AIP 2020. Intends to apply the sum Three Hundred Seven Thousand Fo</t>
  </si>
  <si>
    <t xml:space="preserve"> Medical Supplies and Equipment</t>
  </si>
  <si>
    <t xml:space="preserve"> MAINTENANCE OF CCTV CAMERAS</t>
  </si>
  <si>
    <t xml:space="preserve"> The Local Government Unit of Aglipay through 20% Municipal Development Fund (MDF) CY 2018 3 intends to apply the sum of Six Hundred Seventy Thousand Nine Hundred Thirty Two Pesos and 97/100 (Php 670, 932.97) being the Approved Budget for the Contract (ABC</t>
  </si>
  <si>
    <t xml:space="preserve"> 1	Albatros	5	pcs 2	Audio Cable Plug Adapter Connector	1	pcs 3	Ballpen Faber Castle (.5 black)	150	pcs 4	Ballpen Faber Castle CX Black	140	pcs 5	Ballpen, HBW Matrix, Black	398	pcs 6	Ballpen Pilot, Black	110	pcs 7	Ballpen, Pilot, Blue	8	pcs 8	Ballpen Pilot,</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</si>
  <si>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</si>
  <si>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Invitation to Bid for the construction of local road The Barangay Guinoman, Diplahan Zamboanga Sibugay, through the Brgy. Fund intends to apply the sum of Four hundred eight thousand Pesos Only (PhP. 408, 000.00) being the Approved Budget for the Contract</t>
  </si>
  <si>
    <t xml:space="preserve"> To purchase Drugs and Medicines</t>
  </si>
  <si>
    <t xml:space="preserve"> 14,496 bottles (5 gallons/bottle) Purified Drinking Water Includes:    Free use of water dispenser (Hot and Cold) per end-user   Passed at least 14 stages of water treatment   5 gallons per bottle   Monthly Maintenance of water dispenser   NOTE:  Please i</t>
  </si>
  <si>
    <t xml:space="preserve"> DESKTOP COMPUTER Intel Core i7 7700 Kabylake 7th Gen CPU 8GB RAM 1TB SATA HDD 16x DVDWriter SATA ODD 2GB Dedicated Graphics Card Acer LED Monitor 21.5" Full HD USB Optical Mouse with Pad Standard Keyboard Internal Speaker Preinstalled with Windows 10 Prof</t>
  </si>
  <si>
    <t xml:space="preserve"> 576 bags cement 3 pcs 12mm0 RSB 39 pcs 16mm0 RSB 576 bdft Coco lumber 2 kgs Assorted CW Nail 32 cu.m Sand 64 cu.m. Gravel</t>
  </si>
  <si>
    <t xml:space="preserve"> Philippine Science High School – Central Luzon Campus (PSHS-CLC) wishes to invite proponent for the Procurement of One (1) Year Subscription of Anti-Plagiarism Software for Research Teachers and Students of PSHS-CLC with ABC of Two Hundred Thirty Thousand</t>
  </si>
  <si>
    <t xml:space="preserve"> 1 set     Projector</t>
  </si>
  <si>
    <t xml:space="preserve"> REPUBLIC OF THE PHILIPPINES 		                PROVINCE OF PALAWAN MUNICIPALITY OF LINAPACAN 	June 5, 2020 Invitation to Bid (ITB No. 30-20) 1.	The Municipal Government of Linapacan, Palawan through the Municipal Development Fund 2020 (20%) intends to appl</t>
  </si>
  <si>
    <t xml:space="preserve"> PROCUREMENT OF MUNICIPAL CAB AND CHASIS EURO 4 VEHICLE WITH THE FOLLOWING SPECIFICATIONS 	 TYPE OF BODY	              COMMERCIAL VEHICLE ENGINE	                      Type (4N14)2.2L in-line 4                                        Turbocharged and Interco</t>
  </si>
  <si>
    <t xml:space="preserve"> REPUBLIC OF THE PHILIPPINES 		                PROVINCE OF PALAWAN MUNICIPALITY OF LINAPACAN June 5, 2020 											  Date                                                                                                                                     </t>
  </si>
  <si>
    <t xml:space="preserve"> Republic of the Philippines								 Province of Negros Occidental								 Municipality of La Castellana								 Bids and Awards Committee								 								 INVITATION TO APPLY FOR ELIGIBILITY AND TO BID								 								 Name of Project: 		CONCRETING OF BAR</t>
  </si>
  <si>
    <t xml:space="preserve"> Republic of the Philippines Province of Negros Occidental CITY OF TALISAY INVITATION TO BID  Proposed Basement of HRMO Office located at New City Hall Building, Talisay City  1.	The City of Talisay, through the Capital Outlay 2018-2020 intends to apply th</t>
  </si>
  <si>
    <t xml:space="preserve"> (5-02-08-990) Other General Services								 1	12	month	Misting Fee					 400,000.00 		 400,000.00 	 											 			Scope of Works:								 			     - Quarterly Spraying								 			     - Monthly larvae trapping in 50-100 houses								 			    within the vi</t>
  </si>
  <si>
    <t xml:space="preserve"> Local Government Unit of Cordon, Isabela Invitation to Bid for Construction of Multi-Purpose Hall located  at LGU-Cordon, Isabela. 1.	The Local Government Unit, through the 20%EDF 2020 intends to apply the sum of Nine Million Three Hundred Ninety Nine Tho</t>
  </si>
  <si>
    <t xml:space="preserve"> Republic of the Philippines								 Province of Negros Occidental								 Municipality of La Castellana								 Bids and Awards Committee								 								 INVITATION TO APPLY FOR ELIGIBILITY AND TO BID								 								 Name of Project: 		PURCHASE OF VARIO</t>
  </si>
  <si>
    <t xml:space="preserve"> Republic of the Philippines          City of Dumaguete Bids and Awards Committee INVITATION TO BID FOR PURCHASE REQUEST OF 130 CU.M SAND (STD SPECS.) AND OTHER ITEMS 	The City of Dumaguete thru its BIDS AND AWARDS COMMITTEE (BAC), invites all interested m</t>
  </si>
  <si>
    <t xml:space="preserve"> 1 pc     Electric Fan</t>
  </si>
  <si>
    <t xml:space="preserve"> Philippine Science High School – Central Luzon Campus (PSHS-CLC) wishes to invite proponent for the Supply and Delivery of Multivitamins and Alcohol for PSHS-CLC COVID-19 Emergency Response to PSHS-CLC Skeletal Workforce-(COVID-19 Immunity Packs) with ABC</t>
  </si>
  <si>
    <t xml:space="preserve"> For facility improvement of perimeter fence of small and large ruminants.</t>
  </si>
  <si>
    <t xml:space="preserve"> For facility improvement of cattle barn of TESDA Kinoguitan National Agricultural School.</t>
  </si>
  <si>
    <t xml:space="preserve"> Republic of the Philippines  City of Canlaon Office of the Bids and Awards Committee  INVITATION TO BID FOR the Concreting of Pathway The Local Government of Canlaon City, through AIP 2020. Intends to apply the sum One Hundred Ninety Four Thousand Two Hun</t>
  </si>
  <si>
    <t xml:space="preserve"> 1	100	reams	Bond paper, sub.24, long					 468.00 		 46,800.00 	 2	100	reams	Bond paper, sub.24, short					 403.00 		 40,300.00 	 3	20	reams	Bond paper, sub.24, A4					 429.00 		 8,580.00 	 4	50	reams	Bond paper, sub.20, long					 390.00 		 19,500.00 	 5	5</t>
  </si>
  <si>
    <t xml:space="preserve"> To purchase of Drugs and Medicines</t>
  </si>
  <si>
    <t xml:space="preserve"> Supply and Delivery of the following: 1 tube 100bp DNA Ladder, 500mg/ml supplied with gel loading dye (6x) no SDS - Php10,000.00 1 tube 50 bp DNA Ladder, 50ug with 1mL 6x loading dye - Php10,000.00 7 tube Taq DNA Polymerase - Php35,000.00  - 100µl at 5u/µ</t>
  </si>
  <si>
    <t xml:space="preserve"> 15	reams	Bookpaper short s-20	 15	reams	Bookpaper long s-20	 10	packs	Photopaper	 11	pcs.	        Correction tape	 3	boxes	Pencil	 4	pcs.	        Scotch tape	 8	boxes	Paper clip big	 6	sets	        Epson ink (black,cyan,magenta,yellow)	 6	pcs.	        Dou</t>
  </si>
  <si>
    <t xml:space="preserve"> Invitation to Bid for the construction of Sanitary landfill The Barangay Guinoman, Diplahan Zamboanga Sibugay, through the Brgy. Fund intends to apply the sum of one hundred fifty thousand Pesos Only (PhP. 150, 000.00) being the Approved Budget for the Co</t>
  </si>
  <si>
    <t xml:space="preserve"> REQUEST FOR QUOTATION  JOB REQUEST OF TABLES AND OFFICE PARTITION FOR OFFICIAL USE OF PEMU SORSOGON  The Environmental Management Bureau Region V through the General Appropriation Act of 2020 intends to apply the sum TWO HUNDRED SIXTY TWO THOUSAND NINE HU</t>
  </si>
  <si>
    <t xml:space="preserve"> 8 units 30watts Solar light Street lamp installed in 3"0 c 6.0m G.I Pipe (sch 40) ans stable concrete pedestal</t>
  </si>
  <si>
    <t xml:space="preserve"> TECHNICAL SPECIFICATIONS of  HIGH SPEED SCANNER FOR SEC WEBSITE Flatbed Specifications Type:	A4 sheet-fed , one-pass duplex scanner  Scanning Method:	Fixed carriage and moving document Optical Sensor	4-line colour CCD Light Source	White LED Optical Resolu</t>
  </si>
  <si>
    <t xml:space="preserve"> Invitation to Bid for the Barangay Sorroundings Purposes The Barangay Guinoman, Diplahan Zamboanga Sibugay, through the Brgy. Fund intends to apply the sum of Two Hundred thousand Pesos Only (PhP. 200, 000.00) being the Approved Budget for the Contract (A</t>
  </si>
  <si>
    <t xml:space="preserve"> Procurement of Critical Logistic Emergency Supplies</t>
  </si>
  <si>
    <t xml:space="preserve"> 1.13 ROLLS 1/2" HDPE PIPE, SDR-11 (300M) 2. 1 ROLL 3/4" HDPE PIPE, SDR 11 (300m) 3. 1 PC 6" x 3/4" SADDLE CLAMP 4.  2 PCS 3/4" MALE ADAPTOR COMP. TYPE 5.  1 LNGHT3/4" PVC PIPE 6.  2 PCS 3/4" PVC ELBOW PLAIN 7.  1 PC 3/4" PVC FEMALE ADAPTOR 8.  1 PC BRASS </t>
  </si>
  <si>
    <t xml:space="preserve"> Republic of the Philippines          City of Dumaguete Bids and Awards Committee INVITATION TO BID FOR PURCHASE REQUEST OF 207 BAGS PORTLAND CEMENT (40 KGS/BAG) TYPE 1 AND OTHER ITEMS 	The City of Dumaguete thru its BIDS AND AWARDS COMMITTEE (BAC), invite</t>
  </si>
  <si>
    <t xml:space="preserve"> Republic of the Philippines  City of Canlaon Office of the Bids and Awards Committee  INVITATION TO BID FOR the Improvement/Rehabilitation of Administrative Building The Local Government of Canlaon City, through AIP 2020. Intends to apply the sum Eight Hu</t>
  </si>
  <si>
    <t xml:space="preserve"> Invitation to Bid for the Childrens Protection Fence The Barangay Guinoman, Diplahan Zamboanga Sibugay, through the Brgy. Fund intends to apply the sum of Eighty thousand Pesos Only (PhP. 80, 000.00) being the Approved Budget for the Contract (ABC) to pay</t>
  </si>
  <si>
    <t xml:space="preserve"> RFQ 2020-107 PROJECT		:	LBRDC MOST COMMONLY USED MATERIALS  IMPLEMENTOR		: 	LBP RESOURCES AND DEVELOPMENT CORPORATION OWNER			:	LAND BANK OF THE PHILIPPINES	 REQUEST FOR QUOTATION FOR	:	SUPPLY OF CONSTRUCTION MATERIALS    DATE / TIME OF SUBMISSION		:	ON O</t>
  </si>
  <si>
    <t xml:space="preserve"> Republic of the Philippines PROVINCE OF DAVAO ORIENTAL Municipality of Manay INVITATION TO BID FOR  Procurement of ESCOMBRO 1.	The Municipality of Manay, through  20% Development Fund intends to apply the sum of One Million Eighty Thousand Pesos being the</t>
  </si>
  <si>
    <t xml:space="preserve"> TECHNICAL SPECIFICATIONS  OF   SUBSCRIPTION TO DIGITAL CERTIFICATE, SECURE SOCKET LAYER (SSL) CERTIFICATE Descriptions	Item Technical Specifications General specifications: Organization Validated Wildcard SSL •	Trust Level should be Organization Validated</t>
  </si>
  <si>
    <t xml:space="preserve"> 13 cans</t>
  </si>
  <si>
    <t xml:space="preserve"> The LANDBANK Countryside Development Foundation, Inc. (LCDFI) will undertake a Small Value Procurement for the “Supply and Delivery of toner”, in accordance with Section 53.9 of the Implementing Rules and Regulations of Republic Act. No. 9184: Approved Bu</t>
  </si>
  <si>
    <t xml:space="preserve"> Department of Public Works and Highways (DPWH) Contract ID: 20G00100 Contract Name: Construction of Concrete Road – Barangay Comon – San Pedro Coastal Road leading to San Jose Port and Beaches, Resorts and Sunset Viewing, San Jose, Antique Location of the</t>
  </si>
  <si>
    <t xml:space="preserve"> Republic of the Philippines  City of Canlaon Office of the Bids and Awards Committee  INVITATION TO BID FOR the Repair of Footbridge, Proper &amp; Sitio Banban The Local Government of Canlaon City, through AIP 2020. Intends to apply the sum One Hundred Forty </t>
  </si>
  <si>
    <t xml:space="preserve"> Repair and Improvement of PCARRD Housing Unit #4 at PhilRice Central Experiment Station (PR#2020-05-1090) SCOPE OF WORKS		 		Carpentry Works 		Remove and Replace ALL delapitated and termite infested jambs at doors and windows  		Replace damaged ceiling wi</t>
  </si>
  <si>
    <t xml:space="preserve"> 30	box	Pencil #2 500	 pcs 	Envelope Brown, Legal 100	packs	Specialty Paper  1500	rms	Bond Paper A4, 80gsm 50	btls	HP CN692AA (HP 704) Black 50	btls	HP CN693AA (HP 704) Tri Color 30	btls	BT 5000 M 30	btls	BT 5000 C 30	btls	BT 5000 Y 50	btls	BT D60 BK 100	p</t>
  </si>
  <si>
    <t xml:space="preserve"> 2020-SVP-27 REQUEST TO SUBMIT BID OR QUOTATION FOR THE SUPPLY AND DELIVERY OF AGRICULTURAL SUPPLIES FOR USE IN TRAPPING FALL ARMY WORM UNDER 2020 STO-QRF-FAW FUNDS AT APPROVED BUDGET FOR THE CONTRACT AMOUNTING TO SEVENTY FOUR THOUSAND NINE HUNDRED NINETY </t>
  </si>
  <si>
    <t xml:space="preserve"> Republic of the Philippines City of Manila Office of the Barangay Chairman The Barangay 337, Zone 34, District 3, Manila Through its Bid and Awards Committee (BAC), Invites all supplier with Certificate of Accreditation duly approved by the City Council o</t>
  </si>
  <si>
    <t xml:space="preserve"> UNIVERSITY OF THE PHILIPPINES MANILA The Health Sciences Center 8/F PGH Central Block Bldg,  Taft Avenue, Manila INVITATION TO BID PROPOSED SERVICE ENTRANCE COLLEGE OF MEDICINE UNIVERSITY OF THE PHILIPPINES MANILA 1.	The University of the Philippines Mani</t>
  </si>
  <si>
    <t xml:space="preserve"> Invitation to Bid to all Supplier/Contractor duly accredited by the City Council of Manila to supply and deliver the following items provided hereunder, to wit:  Item	Qty.	Unit	Articles 			 1	5 	Bxs	Bond Paper, Short 2	3	Bxs	Bond Paper, Long 3	1	Pc	Toner </t>
  </si>
  <si>
    <t xml:space="preserve"> Local Government Unit of Cordon Invitation to Bid for CONSTRUCTION OF BOX CULVERT DRAINAGE SYSTEM (OPEN CANAL) PHASE II. 1.	The Local Government Unit of Cordon, through the 5% DRRMF 2020 intends to apply the sum of ONE MILLION EIGHT HUNDRED THOUSAND  PESO</t>
  </si>
  <si>
    <t xml:space="preserve"> 1	Portland Cement	 204 	bags 2	Mix Aggregates	 35 	cu.m 3	1/4" Marine Plywood	 27 	pcs 4	10mm dia. RSB	 126 	pcs 5	12mm dia. RSB	 84 	pcs 6	No.16 Annealed Tie Wire	 39.50 	kgs 7	Assorted CWN	 92 	kgs 8	Concrete Pail	 18 	pcs 9	Hacksaw Blade	 12 	pcs 10	16</t>
  </si>
  <si>
    <t xml:space="preserve"> INVITATION TO BID FOR SUPPLY AND DELIVERY OF WATER METER OF VARIOUS SIZES FOR REPLENISHMENT OF STOCKS 1.	The METRO KALIBO WATER DISTRICT, through the Corporate Budget for the contract approved by the governing Boards for the year 2020 intends to apply the</t>
  </si>
  <si>
    <t xml:space="preserve"> 1 UNIT WELDING MACHINE - PORTABLE - 300A COPPER</t>
  </si>
  <si>
    <t xml:space="preserve"> 1. Samples Hydrometer                              15 2. Samples Grain Size Analysis                    15 3. Samples Atterberg Limits                        15 4. Samples Moisture Content                       15 5. Samples Specific Gravity              </t>
  </si>
  <si>
    <t xml:space="preserve"> ITEM NO.	DESCRIPTION	QUANTITY	UNIT 1.	GARBAGE TRUCK COMPACTOR 	1	UNIT 	SPECIFICATIONS:		 	•	ENGINE DISPLACEMENT      :  7,160 CC		 	•	FUEL TYPE                              :  DIESEL		 	•	6 WHEELER TRUCK		 	•	NO. OF CYLINDER                :  6		 	•	LOAD </t>
  </si>
  <si>
    <t xml:space="preserve"> Location of the Project: Barangay Bondulan, San Dionisio, Iloilo Approved Budget for the Contract: P1,700,000.00 Funding Source: Department of Health Contract Duration: 90 Calendar Days Bid Opening: July 6, 2020 at 10:00 o'clock in the morning at Municipa</t>
  </si>
  <si>
    <t xml:space="preserve"> LABOR ONLY</t>
  </si>
  <si>
    <t xml:space="preserve"> 100 Bag Cement 303.28 Mtr. Metal Beam Guardrails (355mm) 152 Pcs Bolt, Nut &amp; Washer 5/8 '' dia. x 9'' 607 pcs. Bolt, Nut &amp; Washer 5/8 '' dia. x 1'' 142 Each Metal Guardrail End Piece 53 Pcs Galvanized Iron Pipes 152 mm dia 55 kg. Reinforcing Steel Bars, G</t>
  </si>
  <si>
    <t xml:space="preserve"> Item and Description TAKAHASHI Takahashi nasal forceps straight  Size: 7 ½” Angle: straight Shaft: 120mm Germany Stainless Takahashi Nasal forceps  Size: 7 ½” Angle: up butting Shaft: 120mm Germany stainless Takahashi nasal forceps Size: 7 ½” Angle: down </t>
  </si>
  <si>
    <t xml:space="preserve"> Republic of the Philippines Province of Oriental Mindoro MUNICIPALITY OF GLORIA Invitation to Bid ITB No. 2020-004   Bulaklakan Farm to Market Road (FMR) Concreting 1.	The Municipality of Gloria, through Annual Budget 2020 under the 20% Development Fund P</t>
  </si>
  <si>
    <t xml:space="preserve"> 1	SET	SHEAR TEST FIXTURE/JIG Conforms to ASTM C-273 with Plate 50.8 mm equipped with coupling that fits to Shimadzu Universal Testing machine AGS-X model with 5 kN Loadcell Capacity . 			 400,000.00</t>
  </si>
  <si>
    <t xml:space="preserve"> 1 10 PC/S MARKER PEN - PERMANENT, BROAD POINT, BLACK 2 5 PC/S MARKER PEN - PERMANENT, FINE POINT, BLACK 3 10 REAM/S PAPER - MULTI-PURPOSE (ASSORTED COLOR) -A4 4 7 ROLL/S TAPE - MASKING #2 5 10 PC/S BOOK - END ( LARGE STEEL) 6 50 PC/S PAPER - MANILA 7 5 BT</t>
  </si>
  <si>
    <t xml:space="preserve"> Republic of the Philippines          City of Dumaguete Bids and Awards Committee INVITATION TO BID FOR PURCHASE REQUEST OF 450 BOTS OIL-BASED MOSQUITO REPELLANT LOTION WITH CITRONLLA AND OTHER ITEMS 	The City of Dumaguete thru its BIDS AND AWARDS COMMITTE</t>
  </si>
  <si>
    <t xml:space="preserve"> Republic of the Philippines BIDS AND AWARDS COMMITTEE FOR THE PROCUREMENT OF GOODS City of Puerto Princesa Barangay Sta. Monica INVITATION TO BID (Procurement of Goods) PR No. 2020-06-030 Date: June 18, 2020 Procuring/Funding Office/Department: Barangay S</t>
  </si>
  <si>
    <t xml:space="preserve"> Republic of the Philippines  City of Canlaon Office of the Bids and Awards Committee  INVITATION TO BID FOR the Improvement of Multi-purpose Building The Local Government of Canlaon City, through AIP 2020. Intends to apply the sum Six Hundred Forty Three </t>
  </si>
  <si>
    <t xml:space="preserve"> 20 roll PE Pipe 1/2 x 300m SDR11</t>
  </si>
  <si>
    <t xml:space="preserve"> Republic of the Philippines Province of Oriental Mindoro MUNICIPALITY OF NAUJAN BIDS &amp; AWARDS COMMITTEE INVITATION TO BID CONCRETING OF ROADS IN DIFFERENT BARANGAYS, NAUJAN, ORIENTAL MINDORO 1.	The Municipal Government of Naujan – Bids and Awards Committe</t>
  </si>
  <si>
    <t xml:space="preserve"> Riprapping of Arman Creek at Purok Pikaw with an ABC of Php210,000.00 to be implemented at Brgy. Yabbi, this municipality. Please note that the project is for BLGU-Yabbi. Posting however is made by the LGU because the new administration of BLGU-Yabbi forg</t>
  </si>
  <si>
    <t xml:space="preserve"> Republic of the Philippines													 BUTUAN CITY WATER DISTRICT													 Gov. Jose A. Rosales Avenue, Butuan City													 Tel. Nos. 143 (Hotline) 342-3145/46 (Bayantel)													 Fax No. 341-4298													 				REQUEST FOR PRICE QUOTATIO</t>
  </si>
  <si>
    <t xml:space="preserve"> MSWDO 10	box	Ballpen, 12s,black 200	reams	Bond paper, long, sub 20 180	reams	Bond paper, short, sub 20 100	pieces	Brown Envelop long 4	pieces	Calculator, 12 digits 20	pcs	        certificate holder long Plastic 20	pcs	        certificate holder short plas</t>
  </si>
  <si>
    <t xml:space="preserve"> 20	box	Syringe 5ml L/slip - TER-SS.05S, 5cc Luer Slip Tip Syringe without Needle,                  Graduations: 0.2cc (6 cc total),  box of 100 20	box	Syringe, 10 ml, 21 G x 1" (0.80 x 25 mm), sterile, Luer lock tip, single use, non-toxic,                </t>
  </si>
  <si>
    <t xml:space="preserve"> The Local Government Unit of Bindoy thru the GAD and DRRM fund 2020 will in and as part of the Construction of Quarantine Facilities and Amenities located at 3K/JJ Island, Tinaogan, Bindoy, Negros Oriental in this COVID19 pandemic for the residents of the</t>
  </si>
  <si>
    <t xml:space="preserve"> The Local Government Unit of Quinapondan, Eastern Samar through the Department of Agriculture under the Bottoms Up Budgeting (BUB) Program  CY 2015 funds, has received an amount toward the cost of the Construction of Organic Fertilizer Production Center i</t>
  </si>
  <si>
    <t xml:space="preserve"> see attached document xxxxxxxxxxxxxxxx</t>
  </si>
  <si>
    <t xml:space="preserve"> ITEM	QTY.	UNIT	AGENCY'S SPECIFICATIONS		UNIT COST		UNIT PRICE NO.							 1	5	pck.	Board Paper (long)		 41.06 		 2	37	reams	Board Paper S20 (long)		 253.00 		 3	13	reams	Board Paper S20 (A4)		 236.00 		 4	2	pcs.	Correction Tape, 12m		 58.00 		 5	13	pcs.	Ex</t>
  </si>
  <si>
    <t xml:space="preserve"> 3 Units 3TR, Floor Mounted Air Condition</t>
  </si>
  <si>
    <t xml:space="preserve"> Department of Public Works and Highways (DPWH) Contract ID: 20G00101 Contract Name: Construction of Revetment Wall along Cangaranan River at Cangaranan Bridge (Abutment A), Bugasong, Antique Location of the Contract: Bugasong, Antique --------------------</t>
  </si>
  <si>
    <t xml:space="preserve"> PURCHASE OF VARIOUS MEDICINES</t>
  </si>
  <si>
    <t xml:space="preserve"> 1	 pcs. 		C.I. Gate Valve M/J, `200mm` 1	 pcs. 		C.I. Gate Valve M/J, `160mm` 2	 pcs. 		C.I. Gate Valve M/J, `63mm` 2	 pcs. 		C.I. Gate Valve M/J, `75mm` 2	 pcs. 		C.I. Gate Valve M/J, `90mm` 2	 pcs. 		C.I. Gate Valve M/J, 110 mm`` 10	 pcs. 		C.I. Sleeve </t>
  </si>
  <si>
    <t xml:space="preserve"> ITEM	QTY.	UNIT	AGENCY'S SPECIFICATIONS		UNIT COST		UNIT PRICE NO.							 1	10	reams	Bondpaper long (S20)		 253.00 		 2	10	reams	Bondpaper A4 (S20)		 236.00 		 3	2	rolls	Masking Tape 1"		 65.00 		 4	2	rolls	Cellophane Tape 1"		 52.00 		 5	2	rolls	Packaging</t>
  </si>
  <si>
    <t xml:space="preserve"> INVITATION TO BID SUPPLY &amp; DELIVERY OF HEAVY DUTY SHREDDER WITH TRAILER Reference No.: GDS-20-056 The MUNICIPAL GOVERNMENT OF DARAGA, through the Municipal Annual Budget, intends to apply the sum of One Million Two Hundred Thousand Pesos  (P1,200,000.00) </t>
  </si>
  <si>
    <t xml:space="preserve"> 1. Diesel Fuel          1000 liters 2. Gasoline Fuel        250 liters</t>
  </si>
  <si>
    <t xml:space="preserve"> PURCHASE OF VARIOUS RESCUE SUPPLIES</t>
  </si>
  <si>
    <t xml:space="preserve"> CEMENT, . CORRUGATED ROUND BAR, 7mm</t>
  </si>
  <si>
    <t xml:space="preserve"> 979	pcs.	Philippine Daily Inquirer 	M-F	4 53	pcs.	"	Sat	1 68	pcs.	"	Sun/Hol	1 734	pcs.	Philippine Star  	M-F	3 53	pcs.	"	Sat	1 68	pcs.	"	Sun/Hol	1 751	pcs.	Business World 	M-F	3 244	pcs.	Manila Bulletin	M-F	1 53	pcs.	"	Sat	1 68	pcs.	"	Sun/Hol	1 244	pcs.	B</t>
  </si>
  <si>
    <t xml:space="preserve"> Invitation to Bid for INFRA 2K20-45 CONST. OF FOUR (4) UNITS ELEVATED STEEL TANK STAND &amp; INSTALLATION OF 2,600 LTRS. CAP. STAINLESS TANK @ FARMERS' HALL, FISHERMEN'S HALL, FLORAL HALL &amp; SHEPHERDS' HALL June 19, 2020 1.	The Provincial Government of Zamboan</t>
  </si>
  <si>
    <t xml:space="preserve"> QTY	UNIT	ARTICLE / DESCRIPTION						 								 								 1	pc	Column for HPLC (High Performance Liquid for Total Sugar(Food) Analysis						 		Hi-Plex Ca						 		Internal Diameter: 7.7mm						 		Length: 300mm						 		Particle size: 8um						 		Crosslink Cont</t>
  </si>
  <si>
    <t xml:space="preserve"> The Philippine Nuclear Research Institute (PNRI), through the Bids and Awards Committee (BAC), invites interested bidders to bid for hereunder project: Name of Project: Procurement of One (1) Unit Thimble-Type Ionization Chamber with Electrometer and Wate</t>
  </si>
  <si>
    <t xml:space="preserve"> Completion of Concrete Bridge</t>
  </si>
  <si>
    <t xml:space="preserve"> Description   Revised on: July 28, 2004 INVITATION TO APPLY FOR ELIGIBILITY AND TO BID The Local Government Unit of Catanauan, Quezon, through its Bids and Awards Committee (BAC), invites suppliers/manufacturers/distributors/contractors to apply for eligi</t>
  </si>
  <si>
    <t xml:space="preserve"> pipes and fittings, valves installation service connection and restoration and removal of concrete</t>
  </si>
  <si>
    <t xml:space="preserve"> National Power Corporation INVITATION TO BID PUBLIC BIDDING 2020-0130 1.	The NATIONAL POWER CORPORATION (NPC), through       its        approved       Corporate Budget of CY 2020 intends to apply   the   sum   of (Please see schedule below) being the Appr</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</si>
  <si>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</si>
  <si>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1 625 HILL/S LAWAAN SEEDLINGS - . - Length: 1 ft. 2 625 HILL/S NARRA SEEDLINGS - . - Length: 1 ft. 3 625 HILL/S BAGRAS SEEDLINGS - . - Length: 1 ft. 4 625 HILL/S MANSANITAS SEEDLINGS - . - Length: 1 ft. 5 333 HILL/S PINE TREE - . - 233 Hills Banguet Pine </t>
  </si>
  <si>
    <t xml:space="preserve"> 1 20 GAL/S PAINT - Primer 2 5 GAL/S PAINT REDUCER - . 3 10 GAL/S CAST - . 4 7 GAL/S LACQUER THINNER - . 5 15 CAN/S PAINT - LATEX COLOR (THALU GREEN) 6 15 CAN/S PAINT - LATEX COLOR (THALU BLUE) 7 15 CAN/S PAINT - LATEX COLOR (HANSA YELLOW) 8 10 PC/S PAINT </t>
  </si>
  <si>
    <t xml:space="preserve"> The Philippine Nuclear Research Institute (PNRI), through the Bids and Awards Committee (BAC), invites interested bidders to bid for hereunder project: Name of Project:  Procurement of Desktop and Laptop Computers with Accessories - (Rebid) Location of th</t>
  </si>
  <si>
    <t xml:space="preserve"> REQUEST FOR QUOTATION 								Date: 		6/11/2020 								RFQ No.: 	20-55 Name of Business: 		_____________________________________________________ Address: 			_____________________________________________________ Name of Store:		___________________________</t>
  </si>
  <si>
    <t xml:space="preserve"> 1. Metal Analysis     400 samples</t>
  </si>
  <si>
    <t xml:space="preserve"> Title:Procurement of Construction Materials and Supplies under P.R.Nos. 2184-2020 and 2185-2020-Enforcement of Traffic Laws -1Lot Total ABC: Php 160,502.00 (INSTRUCTION AS TO THE REQUIRED FORM: For your price quotation, please use the attached Request for</t>
  </si>
  <si>
    <t xml:space="preserve"> Annual Preventive Maintenance of Fumehood  (SN: FH59-20170515) (Semi-Annual / 6 months interval) Schedule of PM September  2020 General Conditions: 1. All entries must be typewritten or in print. 2. Price validity shall be for a period of 90 calendar days</t>
  </si>
  <si>
    <t xml:space="preserve"> Construction of Materials &amp; Supplies MATERIALS: Drop Wire 570 meters, Lamp Holders 18 sets, Led Lamp Bulb 18 watts 18 pcs., G.I. Pipe 3” SCH 40 18 pcs., G.I Pipe 1 ½” SCH 20 10 pcs., THHN Wire# 14 22 meters, THHN #10 22 meters, Electrical Tape 16 rolls, C</t>
  </si>
  <si>
    <t xml:space="preserve"> Revised on: July 28, 2004 INVITATION TO APPLY FOR ELIGIBILITY AND TO BID The Local Government Unit of Catanauan, Quezon, through its Bids and Awards Committee (BAC), invites suppliers/manufacturers/distributors/contractors to apply for eligibility and to </t>
  </si>
  <si>
    <t xml:space="preserve"> 2 pcs. 2"x5"x7' Fabricated Door Jamb 6 pcs. 1/4" x 4' x 8' Marine Plywood 12 pcs. 2" x 2" x 8' Good Lumber 3 pcs. Door Knob 5 bxs. 2" x 3" Hinges 170 pcs. 60cm. x 40 xm Floor Tiles 30 pcs. 40 cm. x 40 cm. Floor Tiles 2 sacks Adhesive 2 kilos Tile Gout 1 k</t>
  </si>
  <si>
    <t xml:space="preserve"> Supply of Delivery of 1 set Branded Brand New RTK-Net PPK/GNSS-Centric Receiver System (base/rover configurate) with internal radio TRx, 2 watts including hands on training on hardware and software. Total Amount: Php 990,000.00</t>
  </si>
  <si>
    <t xml:space="preserve"> INVITATION TO BID The Municipality of Mutia through its Bids and  Awards Committee Invites  contractors to apply for eligibility and to bid for the project reflected hereunder;                                    NAME OF PROJECT	:  Supply &amp; Delivery of off</t>
  </si>
  <si>
    <t xml:space="preserve"> 1.	1		unit		Printer 3-in-1	 2.	9		unit		Office Table	 3.	9		unit		Office Chair	 4.	1		unit		Ladder - 10ft.	 5.	1		unit		Ladder - 20ft.	 6.	1		set		CCTV Camera</t>
  </si>
  <si>
    <t xml:space="preserve"> INVITATION TO BID FOR BUAGAO SIP/REMAINING WORKS SMALL IRRIGATION PROJECTS FUND/CY 2019 REFERENCE NO. INIMO-2020-06-040 1.	The National Irrigation Administration –Ilocos Norte Irrigation Management Office, through the CY 2019 General Appropriations Act (G</t>
  </si>
  <si>
    <t xml:space="preserve"> Republic of the Philippines DEPARTMENT OF PUBLIC WORKS AND HIGHWAYS SULTAN KUDARAT 2ND DISTRICT ENGINEERING OFFICE REGION XII Lebak, Sultan Kudarat INVITATION TO BID FOR RENTAL OF SERVICE VEHICLE FOR USE IN THE CONDUCT OF ENVIRONMENTAL IMPACT ASSESSMENT (</t>
  </si>
  <si>
    <t xml:space="preserve"> Republic of the Philippines								 Province of Ilocos Norte								 Municipality of Paoay								 								 REQUEST FOR QUOTATION								 								 					Date:		6/20/2020	 					Qoutation No:		2020-124	 THE MANAGER				 				 								 								 								        </t>
  </si>
  <si>
    <t xml:space="preserve"> INVITATION TO APPLY FOR ELIGIBILITY AND TO BID THE BIDS AND AWARD COMMITTEE OF THE MUNICIPALITY OF CAIBIRAN, BILIRAN IS INVITING ALL INTERESTED BIDDERS ON ITS FORTHCOMING PUBLIC BIDDING FOR: Project Title	: Acquisition of Tubeless Tire Delivery Period	: 2</t>
  </si>
  <si>
    <t xml:space="preserve"> Republic of the Philippines								 Province of Ilocos Norte								 Municipality of Paoay								 								 REQUEST FOR QUOTATION								 								 					Date:		6/20/2020	 					Qoutation No:		2020-122	 THE MANAGER				 				 								 								 								        </t>
  </si>
  <si>
    <t xml:space="preserve"> QTY	UNIT	ARTICLE / DESCRIPTION						 								 								 5	units	Handwashing Kiosk						 		Foot Operated						 		Inclusions:						 		Stainless sink						 		40-liter water tank						 		Anti-bacterial liquid hand soap						 		Installation of Drainage system f</t>
  </si>
  <si>
    <t xml:space="preserve"> INVITATION TO BID The Municipality of Mutia through its Bids and  Awards Committee Invites  contractors to apply for eligibility and to bid for the project reflected hereunder; NAME OF PROJECT	:  Supply &amp; Delivery of office Supply [MCR] LOCATION          </t>
  </si>
  <si>
    <t xml:space="preserve"> Republic of the Philippines BIDS AND AWARDS COMMITTEE FOR THE PROCUREMENT OF GOODS City of Puerto Princesa BARANGAY MANALO INVITATION TO BID (Procurement of Goods) PR No. 2020-06-04 Date: June 18, 2020 Procuring/Funding Office/Department: Barangay Manalo,</t>
  </si>
  <si>
    <t xml:space="preserve"> Republic of the Philippines Province of Misamis Occidental MUNICIPALITY OF CALAMBA INVITATION TO BID FOR PROCUREMENT OF MATERIALS FOR TEMPORARY HOLDING FACILITY  	June 20, 2020 1.	The Municipality of Calamba, Misamis Occidental, through the BGCM  intends </t>
  </si>
  <si>
    <t xml:space="preserve"> Procurement of various construction materials as establishment support to AM Nature’s Farm as School for Practical Agriculture (SPA) in Hiwacloy, Goa, Cam. Sur.  Approved Budget of the Contract (ABC) includes all expenses that may be incurred in the deliv</t>
  </si>
  <si>
    <t xml:space="preserve"> Please quote your lowest price for the following items enumerated below, with the following Terms and Conditions: 1.	All entries must be written legibly. 2.	Price validity shall be for a period of 120 calendar days. 3.	Evaluation of the quoted price will </t>
  </si>
  <si>
    <t xml:space="preserve"> ITEM NO.	UNIT		QTY		DESCRIPTION		 							 1	 meter 		100		Rescue rope, prusik cords (7mm x 100mm)		 					Polymide provided w/ the thermocore technology		 2	 pcs 		5		 Rescue 8 with horn, steel 		 					 Large sized figure eight descender,hot forced alloy 	</t>
  </si>
  <si>
    <t xml:space="preserve"> Procurement of 5000 pieces personalized eco bag with print for use in the distribution of start-up kit for the Urban Agriculture Project (A Project in support to the DA’s “Plant, Plant, Plant Program).</t>
  </si>
  <si>
    <t xml:space="preserve"> Republic of the Philippines								 Province of Ilocos Norte								 Municipality of Paoay								 								 REQUEST FOR QUOTATION								 								 					Date:		6/20/2020	 					Qoutation No:		2020-126	 THE MANAGER				 				 								 								 								        </t>
  </si>
  <si>
    <t xml:space="preserve"> Ceiling and masonry works</t>
  </si>
  <si>
    <t xml:space="preserve"> Department of Public Works and Highways Contract ID	:	20MH0107 Contract Name	:	Construction of Two(2)-Storey, Six(6)-Classrooms School Building at                    Sen. Ninoy Aquino National High School, Sen. Ninoy Aquino, Sultan Kudarat Contract Locati</t>
  </si>
  <si>
    <t xml:space="preserve"> Pag-IBIG FUND Tuguegarao Branch Office Editha Tuddao Bldg., Balzain Road, Tuguegarao City, Cagayan REQUEST FOR QUOTATION SUPPLY AND DELIVERY OF 5 UNITS STAND FAN AND 1 UNIT TELEVISION FOR Pag-IBIG FUND, TUGUEGARAO HUB  The Pag-IBIG Fund (HDMF) is inviting</t>
  </si>
  <si>
    <t xml:space="preserve"> Supply of Waterworks Materials</t>
  </si>
  <si>
    <t xml:space="preserve"> Department of Public Works and Highways Contract ID	:	20MH0105 Contract Name	:	Construction of Two(2)-Storey, Six(6)-Classrooms School Building at Bagumbayan National High School, Bagumbayan, Sultan Kudarat Contract Location	:	Bagumbayan, Sultan Kudarat D</t>
  </si>
  <si>
    <t xml:space="preserve"> Republic of the Philippines PROVINCE OF BUKIDNON Municipality of Don Carlos PROCUREMENT UNIT RA-11469 – THE BAYANIHAN TO HEAL AS ONE ACT REQUEST FOR QUOTATION 									 							Date:  							RFQ No.		                                                        </t>
  </si>
  <si>
    <t xml:space="preserve"> Procurement of various ICT Equipment for use in the establishment of FITS Hub sa Barangay.</t>
  </si>
  <si>
    <t xml:space="preserve"> Republic of the Philippines								 Province of Ilocos Norte								 Municipality of Paoay								 								 REQUEST FOR QUOTATION								 								 					Date:		6/20/2020	 					Qoutation No:		2020-132	 THE MANAGER				 				 								 								 								        </t>
  </si>
  <si>
    <t xml:space="preserve"> Please see associated components for details</t>
  </si>
  <si>
    <t xml:space="preserve"> Department of Public Works and Highways Contract ID	:	20MH0106 Contract Name	:	Construction of Two(2)-Storey, Six(6)-Classrooms School Building at Esperanza National High School, Esperanza, Sultan Kudarat Contract Location	:	Esperanza, Sultan Kudarat Depa</t>
  </si>
  <si>
    <t xml:space="preserve"> Please see attached Request for Quotation and Statement of Compliance (Annex 'A')</t>
  </si>
  <si>
    <t xml:space="preserve"> Republic of the Philippines Province of Camarines Sur MUNICIPALITY OF BAAO INVITATION FOR NEGOTIATIONS SUPPLY AND DELIVERY OF SUBSIDIZED PALAY, HYBRID CORN SEEDS, VEGETABLE SEEDS AND PROVISION OF OPV VEGETABLES FOR BACKYARD GARDENING 1. The LOCAL GOVERNME</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</si>
  <si>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</si>
  <si>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1 Lot Transportation &amp; Delivery Services (Rental) Destination : Davao City - Tagum City and Tagum City - Davao City    x-x-x-x-x</t>
  </si>
  <si>
    <t xml:space="preserve"> Department of Public Works and Highways Contract ID	:	20MH0108 Contract Name	:	Repair/Maintenance of River Bank Protection at Magon Bridge along Sen. Ninoy Aquino-Lebak-Kalamansig Road, K1881 + 940 Contract Location	:	Kalamansig, Sultan Kudarat Department</t>
  </si>
  <si>
    <t xml:space="preserve"> UNIVERSITY OF THE PHILIPPINES BAGUIO																					 Governor Pack Road, Baguio City, Benguet, CAR																					 VAT Reg. TIN: 000-864-006-00007																					 																					 Request for Quotation																					 												</t>
  </si>
  <si>
    <t xml:space="preserve"> Procurement of 7 units of Solar Panel Streetlights with Installation</t>
  </si>
  <si>
    <t xml:space="preserve"> REPUBLIC OF THE PHILIPPINES LOCAL GOVERNMENT UNIT OF BAROY BAROY LANAO DEL NORTE INVITATION TO BID IMPROVEMENT OF EVACUATION CENTER/MUNICIPAL AUDITORIUM ITB NO. 2020-02-001 The Procuring Entity LGU BAROY through its Bids and Awards Committee (BAC), invite</t>
  </si>
  <si>
    <t xml:space="preserve"> Supply and Delivery of the following: 2 tube Taq DNA Polymerase, high fidelity - Php45,000.00 	- 100µl at 5u/µl	 	- with 10x high fidelity buffer q80mM	 	- 50mM MgSO4	 1 btl Tris base, ultrapure 1kg - Php12,400.00 6 tube Bst Polymerase - Php117,000.00 	- </t>
  </si>
  <si>
    <t xml:space="preserve"> INVITATION TO BID The Department of Public Works and Highways, Iloilo 2nd District Engineering Office through its Bids and Awards Committee (BAC), invites contractors to submit bids for the following Contracts: Procurement ID/Contract ID No.:   20GG0177 C</t>
  </si>
  <si>
    <t xml:space="preserve"> 1. Dynamic Light Scattering (Zeta Potential), 32 samples, Php 1,400.00)</t>
  </si>
  <si>
    <t xml:space="preserve"> ITEM NO.	UNIT		QTY		DESCRIPTION		 							 1	 sq.m. 		 476.00 		Layout ans Staking		 2	 cu.m 		 240.60 		 Earth Works 		 3	 lot  		 1.00 		 Form Works and Scaffoldings 		 4	 kgs. 		 21,210.74 		 Reinforcing Steel 		 5	 cu.m 		 282.14 		 Reinforcing Concret</t>
  </si>
  <si>
    <t xml:space="preserve"> 1.	4		rms.		Bond Paper A4		 2.	4		rms.		Bond Paper (Long)		 3.	2		rms.		Bond Paper (Short)		 4.	100		pcs.		Plastic File Envelope		 5.	1000		pcs.		Assorted Notebook		 6.	150		pcs.		Crayola		 7.	50		pcs.		Binder Notebook		 8.	2		bxs.		Ballpen		 9.	100		pcs.</t>
  </si>
  <si>
    <t xml:space="preserve"> Bond paper legal Bond paper short Bondpaper A4</t>
  </si>
  <si>
    <t xml:space="preserve"> Republic of the Philippines Department of the Interior and Local Government BUREAU OF JAIL MANAGEMENT AND PENOLOGY Regional Office VII 		13B M. Veloso St., Guadalupe, Cebu City Tel: 254-4747  E-mail: bjmpregionaloffice7@gmail.com Website: www.bjmpro7.ph R</t>
  </si>
  <si>
    <t xml:space="preserve"> DESCRIPTION SUPPLY AND DELIVERY OF VERMICAST UNDER OAP  -	50kg per bag -	Total NPK : at least 2.5% -	Organic Matter: ≥20% -	Moisture Content: 30-35% -	Color: Brown to black -	Odor: No foul odor -	Supplier must have an existing Vermicast production facilit</t>
  </si>
  <si>
    <t xml:space="preserve"> Pag-IBIG FUND Tuguegarao Branch Office Editha Tuddao Bldg., Balzain Road, Tuguegarao City, Cagayan REQUEST FOR QUOTATION SUPPLY AND DELIVERY OF VARIOUS SEMI-EXPANDABLE FURNITURES  FOR Pag-IBIG FUND, TUGUEGARAO HUB  The Pag-IBIG Fund (HDMF) is inviting Sup</t>
  </si>
  <si>
    <t xml:space="preserve"> CONSTRUCTION OF 2-STOREY BUILDING (Floor Area: 105.98 sq.m.) WITH BALCONY COMPLETE WITH PAINTING, TILES, COMFORT ROOMS, ELECTRICAL SYSTEMS, SIGNAGE, RAILINGS &amp; OTHER FINISHING WORKS.</t>
  </si>
  <si>
    <t xml:space="preserve"> Supply and Delivery of the following:	 				 10 btl Acetone, AR, 2,5 liters/bottle - Php18,000.00 5 btl Petroleum Ether, AR, 4.0 liters/bottle - Php18,000.00 5 btl Absolute Ethanol, AR, 2.5 liters/bottle - Php10,000.00 1 btl Potassium Chloride, 4M (for pH </t>
  </si>
  <si>
    <t xml:space="preserve"> Republic of the Philippines Province of Camarines Sur MUNICIPALITY OF BAAO INVITATION FOR NEGOTIATIONS SUPPLY AND DELIVERY OF MAINTENANCE PARTS OF L300 VAN 1. The LOCAL GOVERNMENT UNIT OF BAAO, through the Budget for the contract approved by the Sanggunia</t>
  </si>
  <si>
    <t xml:space="preserve"> 1. Conical Tubes, Falcon, 10ml                           15 packs 2. Conical Tubes, Falcon, 50ml                           15 packs 3. Eppendorf Tubes, 100/pack                             2 packs 4. Vials, 20ml                                            </t>
  </si>
  <si>
    <t xml:space="preserve"> INVITATION TO BID The Municipality of Mutia through its Bids and  Awards Committee Invites  contractors to apply for eligibility and to bid for the project reflected hereunder; NAME OF PROJECT	:  Purchase of one[1] unit Desktop and 2 pcs. UPS [Accounting]</t>
  </si>
  <si>
    <t xml:space="preserve"> 1.	The Local Government Unit of Balangiga, through the Annual Budget for 20203 intends to apply the sum of Four Hundred Nineteen Thousand Five Hundred Pesos (Php 419,500.00) being the Approved Budget for the Contract (ABC) to payments under the contract f</t>
  </si>
  <si>
    <t xml:space="preserve"> Invitation to Bid The Barangay Dalumpinas, Municipality of San Nicolas Pangasinan through its Bids and Award Committee(BAC), invites contractors registered with and classfied by the Philgeps to apply for the eligibility and if found eligible, to bid for t</t>
  </si>
  <si>
    <t xml:space="preserve"> Assorted hardware/lumber materials:    50  pc.  Plywood, marine  3/4	    50  pc.  Plywood, marine  1/2	    50  pc.  Plywood, marine  1/4	      20  kl.   CWN 4”	    20  kl.   CWN 3”	    15  kl.   CWN 2”	    10  kl.   CWN 1 1/2	    10  kl.   CWN 1”	     10 </t>
  </si>
  <si>
    <t xml:space="preserve"> Project Description: Demolition of old roofing with wooden truss and installation of new roofing with steel trusses and steel purlins with rib type coloroof. Technical Personnel Required: Welder Laborer Roof Installer Equipment to be Used: 1 Bagger Concre</t>
  </si>
  <si>
    <t xml:space="preserve"> 1	PASSENGER VAN   Service Vehicle 	ENGINE SPECIFICATIONS 	*Model: 1GD-FTV 	*Engine Technology: 4 cylinders, In-line Type 	*Type: 16-Valve DOHC 	*Displacement:   2,755 - 3,000 cc 	*Maximum Output: 176/3,400 Ps/Rpm 	*Maximum Torque: 450/1,600~2,400 Nm/Rpm 	</t>
  </si>
  <si>
    <t xml:space="preserve"> Supply and Delivery of the following:	 				 2 tube Gelred Nucleic acid stain, 10000x in water, 0.5mL - Php16,700.00 				 3 tube Bst DNA polymerase - Php58,500.00 	 - 8,000U/mL, 2,000/units, w/reaction Buffer	 	 - (10x) and MgSO4 (100mM)	 8 tube Taq DNA po</t>
  </si>
  <si>
    <t xml:space="preserve"> Department of Public Works and Highways Contract ID	:	20MH0104 Contract Name	:	Construction of Two(2)-Storey, Six(6)-Classrooms School Building at Bagumbayan Central Elementary School, Bagumbayan, Sultan Kudarat Contract Location	:	Bagumbayan, Sultan Kuda</t>
  </si>
  <si>
    <t xml:space="preserve"> Invitation to Bid FOR THE UPLB-I-017-06-20 SUPPLY AND DELIVERY OF CONSTRUCTION MATERIALS AND SUPPLIES FOR UHO   1.	The UNIVERSITY OF THE PHILIPPINES LOS BAÑOS (UPLB), through the GOP (RCC: LB03015001-C0000683   FC: 8217400) intends to apply the sum of SIX</t>
  </si>
  <si>
    <t xml:space="preserve"> 1.	The LGU Mallig, Isabela, through the SBO Budget 2020 intends to apply the sum of One Million Three Hundred Thousand Pesos only (PhP 1,300,000.00) being the Approved Budget for the Contract (ABC) to payments under the contract for LGU-M-GOODS-05-20 Bids</t>
  </si>
  <si>
    <t xml:space="preserve"> 1. Particle Size Analysis by Dynamic Light Scattering (PSA), (10 samples, Php 2,500.00)           10 samples</t>
  </si>
  <si>
    <t xml:space="preserve"> 1.	The LGU-Mallig, Isabela, through the Tobacco Excise Tax 2016 intends to apply the sum of Six Hundred Thousand Nine Hundred Four Pesos &amp; 93/100 Only                        (Php 600,904.93) being the Approved Budget for the Contract (ABC) to payments und</t>
  </si>
  <si>
    <t xml:space="preserve"> FABRICATION AND INSTALLATION OF STREET LIGHTS (16 UNITS) AT BRGY. GUMAOK EAST, CSJDM, BULACAN</t>
  </si>
  <si>
    <t xml:space="preserve"> INVITATION TO BID The Municipality of Mutia through its Bids and  Awards Committee Invites  contractors to apply for eligibility and to bid for the project reflected hereunder; NAME OF PROJECT	:  Purchase of IT Equipment [MPDC] LOCATION                   </t>
  </si>
  <si>
    <t xml:space="preserve"> INVITATION TO BID The Municipality of Mutia through its Bids and  Awards Committee Invites  contractors to apply for eligibility and to bid for the project reflected hereunder; NAME OF PROJECT	:  Purchase of Polo Shirts [PNP] LOCATION                     </t>
  </si>
  <si>
    <t xml:space="preserve"> 2020 15TH PUBLIC BIDDING FOR PROCUREMENT OF MEDICAL EQUIPMENT</t>
  </si>
  <si>
    <t xml:space="preserve"> 1. Mounting Sheet, A3L, 297 x 420 mm                     10 packs 2. Tag boards 24 x 17 1/2 (genus cover, 100pcs/pack)         15 packs</t>
  </si>
  <si>
    <t xml:space="preserve"> 1.	The LGU-Mallig, Isabela, through the Tobacco Excise Tax 2016 intends to apply the sum of Nine Million Nine Hundred Forty-Nine Thousand Five Hundred Thirty-Four Pesos &amp; 06/100 Only (Php 9,949,534.06) being the Approved Budget for the Contract (ABC) to p</t>
  </si>
  <si>
    <t xml:space="preserve"> INVITATION TO BID The Municipality of Mutia through its Bids and  Awards Committee Invites  contractors to apply for eligibility and to bid for the project reflected hereunder; NAME OF PROJECT	:  Purchase of Furniture &amp; Fixture [wood cabinet] LOCATION    </t>
  </si>
  <si>
    <t xml:space="preserve"> Proposed Upgrading of Talacogon District Hospital (Construction of Isolation Building), Talacogon District Hospital, Agusan del Sur</t>
  </si>
  <si>
    <t xml:space="preserve"> Proposed Construction of Cadaver Holding, Lianga District Hospital, Surigao del Sur</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</si>
  <si>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</si>
  <si>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10	sacks	Rice - youngchow		 100	packs	Datu Puti Vinegar		 100	btls.	        Datu Puti Vinegar - small		 100	packs	Silver Swan Soy Sauce		 100	btls.	        Silver Swan Soy Sauce - small		 150	kgs	        Cooking Oil		 400	pcs.	        Lucky Me Instant Noo</t>
  </si>
  <si>
    <t xml:space="preserve"> Republic of the Philippines  Province of Aklan  MUNICIPALITY OF NABAS OFFICE OF THE BIDS AND AWARDS COMMITTEE INVITATION TO BID FOR THE PROCUREMENT OF MEDICINES/SUPPLEMENTS 1. The Municipality of Nabas, Aklan through its local budget approved by the Sangg</t>
  </si>
  <si>
    <t xml:space="preserve"> Please quote your price(s) for the article(s) as specified in the list below for the Schools Division of Bukidnon which are available in your store/establishment/company. If available, please furnish catalogue, descriptive brochures of literature about th</t>
  </si>
  <si>
    <t xml:space="preserve"> INCIDENT COMMAND CENTER (PHASE 2)</t>
  </si>
  <si>
    <t xml:space="preserve"> Contract ID                :    20CSEG01 Contract Name           :    Geotechnical Investigation for the Proposed  FY 2021                                      Infrastructure Program-Bridges Location of Contract    :    Replacement of Weak Bridge – Tanaba</t>
  </si>
  <si>
    <t xml:space="preserve"> 1.	The LGU-Mallig, Isabela, through the Tobacco Excise Tax 2016 intends to apply the sum of Six Hundred Twenty-Five Thousand Five Hundred Forty-Eight Pesos &amp; 12/100 Only (Php 625,548.12) being the Approved Budget for the Contract (ABC) to payments under t</t>
  </si>
  <si>
    <t xml:space="preserve"> Rental for Three (3) Months Laptop  - Processor: Core i5 7th gen or 8th gen  - Memory: 4 GB or 8 GB DDR4  - Storage: SSD 512 GB  - Display: 13 inches FHD (1920 x 1080)  - Weight: 1.4 kg or up to 1.8 kg  - OS Windows 10 64bit Pro  - MS Office 2016 or 2019 </t>
  </si>
  <si>
    <t xml:space="preserve"> Assorted construction materials: 1000  bag  Cement, portland	     50  pc.   RSB # 12	     50  pc.   RSB # 10	     50  pc.   RSB # 8	     20  cu.m.  Albay Sand	     30  cu.m.  Crushed Gravel ¾”	       5  roll   Tie Wire, 35kls/roll</t>
  </si>
  <si>
    <t xml:space="preserve"> 1. The Municipality of Nabas, Aklan through its local budget approved by the Sanggunian, intends to apply the sum of One Million One Hundred eighty Four Thousand Eighty Pesos and 50/100 only (P 1,184,080.50) being the Approved Budget for the Contract (ABC</t>
  </si>
  <si>
    <t xml:space="preserve"> INVITATION TO BID The Municipality of Mutia through its Bids and  Awards Committee Invites  contractors to apply for eligibility and to bid for the project reflected hereunder; NAME OF PROJECT	:  Purchase of Misting Fan LOCATION                           </t>
  </si>
  <si>
    <t xml:space="preserve"> INVITATION TO BID The Municipality of Mutia through its Bids and  Awards Committee Invites  contractors to apply for eligibility and to bid for the project reflected hereunder; NAME OF PROJECT	:  Supply &amp; Delivery of office Supply [Engineering] LOCATION  </t>
  </si>
  <si>
    <t xml:space="preserve"> INVITATION TO BID REPAIR/RENOVATION OF SELECTED OFFICES/STAFF ROOMS, LABORATORIES AND FACILITIES OF THE ENVIRONMENT AND BIOTECHNOLOGY DIVISION (EBD) 1.	The INDUSTRIAL TECHNOLOGY DEVELOPMENT INSTITUTE, through the General Appropriations Act (GAA) Capital O</t>
  </si>
  <si>
    <t xml:space="preserve"> INVITATION TO BID The Municipality of Mutia through its Bids and  Awards Committee Invites  contractors to apply for eligibility and to bid for the project reflected hereunder; NAME OF PROJECT	:  Purchase of one[1] unit Conditioning Unit [MDRRMO] LOCATION</t>
  </si>
  <si>
    <t xml:space="preserve"> INVITATION TO BID The Municipality of Mutia through its Bids and  Awards Committee Invites  contractors to apply for eligibility and to bid for the project reflected hereunder; NAME OF PROJECT	:  Purchase of one[1] unit Printer[MPDC] LOCATION             </t>
  </si>
  <si>
    <t xml:space="preserve"> INVITATION TO BID The Municipality of Mutia through its Bids and  Awards Committee Invites  contractors to apply for eligibility and to bid for the project reflected hereunder; NAME OF PROJECT	:  Supply &amp; Delivery of office Supply [Accounting] LOCATION   </t>
  </si>
  <si>
    <t xml:space="preserve"> Assorted painting materials/supplies:   20  tin  Paint, latex flat white	  20  tin  Paint, latex gloss white	  10  tin  Paint, QDE white	  10  gal.  Paint, enamel flat white  10  gal.  Paint, QDE Maple	  10  gal.  Epoxy Primer gray  10  gal.  Lacquer Thin</t>
  </si>
  <si>
    <t xml:space="preserve"> PROCUREMENT AND DELIVERY OF FEEDS FOR SAAD  PROGRAM CY 2020 LOT 1 Grower Crumble  @ 50 kg/bag Specifications: Crude Protein:  not less than 15.50% Crude Fat:  not less than 3% Crude Fiber:  not more than 6% Moisture:  Not more than 12% Calcium:  0.90 – 1.</t>
  </si>
  <si>
    <t xml:space="preserve"> Proposed Upgrading of  Bunawan District Hospital (Construction of Additional Ward Building), Bunawan District Hospital, Agusan del Sur</t>
  </si>
  <si>
    <t xml:space="preserve"> The Local Government Unit-Municipality of Malinao, Aklan through the 20% Development Fund, intends to apply the sum of Four Hundred Ninety Nine Thousand Nine Hundred Seventy Seven Pesos and 40/100 (Php499,977.40) as the Approved Budget for the Contract (A</t>
  </si>
  <si>
    <t xml:space="preserve"> Republic of the Philippines BIDS AND AWARDS COMMITTEE Province of Iloilo Invitation to Bid Purchase of Laboratory Supplies Bid No.ADH-20-0300-B 1. The Iloilo Provincial Government, through the 2020 GENERAL FUNDS intends to apply the sum of ONE HUNDRED FIF</t>
  </si>
  <si>
    <t xml:space="preserve"> Department of Education Region VI-Western Visayas Division of Cadiz City Mabini National High School NOTICE FOR NEGOTIATED PROCUREMENT OF MATERIALS FOR OFFICE AND SCHOOL SUPPLIES OF MNHS-SHS 2020 1.	The Mabini National High School  of Cadiz City, through </t>
  </si>
  <si>
    <t xml:space="preserve"> INVITATION TO BID The Municipality of Mutia through its Bids and  Awards Committee Invites  contractors to apply for eligibility and to bid for the project reflected hereunder; NAME OF PROJECT	:  Purchase of Diesel Fuel and Special Gasoline [PNP] LOCATION</t>
  </si>
  <si>
    <t xml:space="preserve"> Republic of the Philippines BIDS AND AWARDS COMMITTEE Province of Iloilo Invitation to Bid Purchase of Laboratory Supplies Bid No.ADH-20-0299-B 1. The Iloilo Provincial Government, through the 2020 GENERAL FUNDS intends to apply the sum of ONE HUNDRED SEV</t>
  </si>
  <si>
    <t xml:space="preserve"> Republic of the Philippines BIDS AND AWARDS COMMITTEE Province of Iloilo Invitation to Bid Purchase of Medical Supplies Bid No.ADH-20-0298-B 1. The Iloilo Provincial Government, through the 2020 GENERAL FUNDS intends to apply the sum of FOUR HUNDRED FORTY</t>
  </si>
  <si>
    <t xml:space="preserve"> Republic of the Philippines BIDS AND AWARDS COMMITTEE Province of Iloilo Invitation to Bid Purchase of LABORATORY SUPPLIES Bid No.RPT-20-0430-B  1. The Iloilo Provincial Government, through the 2020 GENERAL FUND intends to apply the sum of ONE HUNDRED FIF</t>
  </si>
  <si>
    <t xml:space="preserve"> Proposed Construction of Malimono District Hospital Admin Building, Surigao del Norte</t>
  </si>
  <si>
    <t xml:space="preserve"> Republic of the Philippines BIDS AND AWARDS COMMITTEE Province of Iloilo Invitation to Bid Purchase of DRUGS AND MEDICINES Bid No.RPT-20-0360-B  1. The Iloilo Provincial Government, through the 2020 GENERAL FUND intends to apply the sum of NINE HUNDRED SI</t>
  </si>
  <si>
    <t xml:space="preserve"> Republic of the Philippines 		MUNICIPALITY OF LEYTE LEYTE -oOo- INVITATION TO BID FOR THE CONSTRUCTION OF FARM-TO-MARKET ROAD (STA.1+505-STA.1+575) (So. Lawad, Brgy. Poblacion, Leyte, Leyte) P.R No: LL-21-20 The Municipality of Leyte, through its Bids and</t>
  </si>
  <si>
    <t xml:space="preserve"> Republic of the Philippines BIDS AND AWARDS COMMITTEE Province of Iloilo Invitation to Bid Purchase of Medical Supplies Bid No.ADH-20-0297-B 1. The Iloilo Provincial Government, through the 2020 GENERAL FUNDS intends to apply the sum of THREE HUNDRED SIXT</t>
  </si>
  <si>
    <t xml:space="preserve"> ITEM NO.       QUANTITY     UNIT OF ISSUE       DESCRIPTION 1.                   5,100           SACHET                 POWDERED MILK DRINK 2.                        10           KILO                     SKIMMED MILK CLASS A 3.                        32  </t>
  </si>
  <si>
    <t xml:space="preserve"> Concrete works, masonry, steel works, paintings and billboards.</t>
  </si>
  <si>
    <t xml:space="preserve"> Rehabilitation of Junior Fence</t>
  </si>
  <si>
    <t xml:space="preserve"> Proposed Upgrading of Nasipit District Hospital (Construction of Laundry Building and Repair Renovation of BEMONC Building)</t>
  </si>
  <si>
    <t xml:space="preserve"> 1-Unit Municipal Motor Pool Facility with Equipment, Concrete Perimeter Fence, Comfort Room, Smooth Finished Column, with Garage, with Lightnings, Water Facility and Convenient Outlet, with Chief Mechanic's Quarter and Provision of Basic Amenities with Ha</t>
  </si>
  <si>
    <t xml:space="preserve"> Republic of the Philippines BIDS AND AWARDS COMMITTEE Province of Iloilo Invitation to Bid Purchase of Laboratory Supplies Bid No.ADH-20-0301-B 1. The Iloilo Provincial Government, through the 2020 GENERAL FUNDS intends to apply the sum of FOUR HUNDRED SE</t>
  </si>
  <si>
    <t xml:space="preserve"> The Local Government Unit-Municipality of Malinao, Aklan through the 20% Development Fund, intends to apply the sum of One Million  Ninety Nine Thousand Three Hundred Sixty Four Pesos and 29/100 (Php1,099,364.29) as the Approved Budget for the Contract (A</t>
  </si>
  <si>
    <t xml:space="preserve"> IB 2020-007-008 POSE Procurement of Office Supplies &amp; Equipment, Furnitures &amp; Fixtures 2020-08</t>
  </si>
  <si>
    <t xml:space="preserve"> Delivery of construction materials and supplies</t>
  </si>
  <si>
    <t xml:space="preserve"> Republic of the Philippines BIDS AND AWARDS COMMITTEE Province of Iloilo Invitation to Bid Purchase of DRUGS AND MEDICINES Bid No.RPT-20-0359-B  1. The Iloilo Provincial Government, through the 2020 GENERAL FUND intends to apply the sum of EIGHT HUNDRED S</t>
  </si>
  <si>
    <t xml:space="preserve"> CONSTRUCTION OF DRAINAGE AND CANAL WITH PATHWALK AT BARANGAY WIDE, BRANGAY GUMAOK EAST, CSJDM, BULACAN</t>
  </si>
  <si>
    <t xml:space="preserve"> Quantity		Unit Issue			Item Description 5 			pieces			White Board (3 x 4) 5			pieces			White Board  Pen 5			pieces			White Board Eraser 100			pieces			Monoblocks Chairs (White) 20	                ream				Bond Paper Long Sub 20; paper One                  </t>
  </si>
  <si>
    <t xml:space="preserve"> Republic of the Philippines 		MUNICIPALITY OF LEYTE LEYTE -oOo- INVITATION TO BID FOR THE CONSTRUCTION OF FARM-TO-MARKET ROAD (STA.1+575-STA.1+645) (So. Lawad, Brgy. Poblacion, Leyte, Leyte) P.R No: LL-22-20 The Municipality of Leyte, through its Bids and</t>
  </si>
  <si>
    <t xml:space="preserve"> Construction of Slope Protection for 2 Storey 8 Classroom</t>
  </si>
  <si>
    <t xml:space="preserve"> Expansion of Distribution Pipelines along Liloan-Lower Usogan in Brgys. Liloan &amp; Lower Usogan, Bonifacio, Misamis Occidental</t>
  </si>
  <si>
    <t xml:space="preserve"> REBIDDING OF LOT 1: SUPPLY AND DELIVERY OF VARIOUS MEDICAL AND SURGICAL SUPPLIES (IB NO. 2020-GOODS-004R-02-0619) 1.	The ILOCOS TRAINING AND REGIONAL MEDICAL CENTER (ITRMC), through the Trust Fund- Income Collection, intends to apply the sum of SIX MILLIO</t>
  </si>
  <si>
    <t xml:space="preserve"> Procurement of HIV Test Kits</t>
  </si>
  <si>
    <t xml:space="preserve"> One (1) Job Furnishing Labor, Materials and Equipment for the Rehabilitation of Multi-Purpose Hall Phase II</t>
  </si>
  <si>
    <t xml:space="preserve"> Republic of the Philippines Province of  Agusan del Sur MUNICIPALITY OF PROSPERIDAD BIDS AND AWARDS COMMITTEE INVITATION TO BID NO. 2020-045 The Municipal Government of PROSPERIDAD, Province of Agusan del Sur, through its Bids and Awards Committee (BAC) i</t>
  </si>
  <si>
    <t xml:space="preserve"> Republic of the Philippines BIDS AND AWARDS COMMITTEE Province of Iloilo Invitation to Bid Purchase of MEDICAL EQUIPMENT Bid No.CDH-19-1434-B (RE-BID) 1. The Iloilo Provincial Government, through the 20% IRA intends to apply the sum of THREE HUNDRED THOUS</t>
  </si>
  <si>
    <t xml:space="preserve"> Republic of the Philippines BIDS AND AWARDS COMMITTEE Province of Iloilo Invitation to Bid Purchase of X-RAY SUPPLIES Bid No.CDH-20-0396-B  1. The Iloilo Provincial Government, through the 2020 GENERAL FUND intends to apply the sum ONE HUNDRED EIGHTY-SIX </t>
  </si>
  <si>
    <t xml:space="preserve"> Procurement of Office Supplies and Consumables</t>
  </si>
  <si>
    <t xml:space="preserve"> Republic of the Philippines BIDS AND AWARDS COMMITTEE Province of Iloilo Invitation to Bid Purchase of DRUGS AND MEDICINES Bid No.RPT-20-0358-B  1. The Iloilo Provincial Government, through the 2020 GENERAL FUND intends to apply the sum of NINE HUNDRED TH</t>
  </si>
  <si>
    <t xml:space="preserve"> Procurement of Personal Protective Equipment</t>
  </si>
  <si>
    <t xml:space="preserve"> ANTI RABBIES DRUGS MENTAL HEALTH DRUGS ANTI TETANUS DRUGS ANTI CHOLINERGIC/ANTACID ANTIBACTERIAL/ANTIBIOTICS EXTERNAL OINTMENT/DROPS AND ETC...................</t>
  </si>
  <si>
    <t xml:space="preserve"> SUPPLY &amp; INSTALLATION OF CCTV CAMERAS SPECS: 1SET 32CH POE NVR 10 SETS 2MP MINI BULLET IP CAMERA 8 SETS 4MP BULLET CAMERA 2 SETS 2 MP 30X ZOOM PTZIP CAMERA 4 SETS 50" UxD LED TV 5 SETS 5.6GHz TRANSMITTER ANTENNA 2 SETS 5.6GHz BASE STATION ANTENNA 2 SETS 5</t>
  </si>
  <si>
    <t xml:space="preserve"> Procurement of HIV Supplies</t>
  </si>
  <si>
    <t xml:space="preserve"> Procurement of Fetal Doppler</t>
  </si>
  <si>
    <t xml:space="preserve"> 11 UNITS PORTABLE GENERATOR: 5,500 WATTS ELEC. STARTER W/BATTERY</t>
  </si>
  <si>
    <t xml:space="preserve"> INVITATION TO BID IB NO. CW 2020 –  091 Concreting of Road at Sta. Maria, Mansalay, Oriental Mindoro 1.  The Provincial Government of Oriental Mindoro (PGOM) through the 20% Development Fund – SB # 2 intends to apply the sum of One Million Four Hundred Se</t>
  </si>
  <si>
    <t xml:space="preserve"> 1 UNIT DRONE  (MAVIC 2 ENTERPRISE DUAL) W/THERMAL SENSOR PA SPEAKER SYSTEM SPOTLIGHT  BEACON W/ACCESSORIES &amp; ONBOARD DATA STORAGE &amp; 64GB MEMO. CARD (COMPATIBLE TO THE UNIT) 2 ADD. BATTERIES  1 BATT CHARGING HUB 1 CAR CHARGER 1 SUB CONNECTOR 1 SOFT CASE  1</t>
  </si>
  <si>
    <t xml:space="preserve"> Republic of the Philippines Province of Cagayan Municipality of Baggao INVITATION TO BID FOR THE PROCUREMENT OF GOODS The Barangay Catugay, Baggao, Cagayan, through the 20% Barangay Development Fund CY 2018  intends to apply the sum of One Hundred Thousan</t>
  </si>
  <si>
    <t xml:space="preserve"> BEARING FRONT &amp; REAR (XR150) CLUTCH CABLE BRAKE SHOE DOUBLE FRONT &amp; REAR ROLLER CHAIN 428H TELESCOPIC MONO SHOCK ABSORBER HORN ENGINE SPROCKET W/CHAIN 16T REAR SPROCKET 48T FRONT FORK OIL SEAL ACCELERATOR CABLE/TORTLE CABLE RIM W/SPOKE FRONT &amp; REAR CYLIND</t>
  </si>
  <si>
    <t xml:space="preserve"> Procurement of Medical Equipment (BHS Package)</t>
  </si>
  <si>
    <t xml:space="preserve"> TRAINING TABLE BEECH WOOD(2x4 FT, FOLDING) EXE. CHAIR W/ ARMREST &amp; BACKREST, GAS TYPE STEEL FILLING CABINET(4 LAYERS) W/ CENTRALIZED LOCK WHITE BOARD W/FRAME &amp; STAND  (4x8 ft) CORK BOARD W/ FRAME WALL MOUNT (3x5ft) STEEL RACK (5 LAYERS) 2 ft x 8ft x 6ft O</t>
  </si>
  <si>
    <t xml:space="preserve"> INVITATION TO BID IB NO. CW 2020 –  090 Completion of Evacuation Center at M. Adriatico, Gloria, Oriental Mindoro 1.  The Provincial Government of Oriental Mindoro (PGOM) through the 5% Local Disaster Risk Reduction Management Fund FY 2018 intends to appl</t>
  </si>
  <si>
    <t xml:space="preserve"> Republic of the Philippines BIDS AND AWARDS COMMITTEE Province of Iloilo Invitation to Bid Purchase of TIRES Bid No.CDH-20-0433-B  1. The Iloilo Provincial Government, through the 2020 GENERAL FUND intends to apply the sum ONE HUNDRED TWENTY-ONE THOUSAND </t>
  </si>
  <si>
    <t xml:space="preserve"> COMPUTER SYSTEM: 3 UNITUPS 3 UNIT AVR HEAVY DUTY 500VA 4 UNIT CPU: 2.9GHz, 4GB DDR4 MEMO., 240GB SSD + 500GB 2 UNIT PRINTER W/ SCANNER MULTI COLOR 1 UNIT 18.2" MONITOR 1 UNIT COMPUTER SET:FULL SET, MONITOR, KEY BOARD, MOUSE, CPU: 2.9GHz, 4GB DDR SSD +500G</t>
  </si>
  <si>
    <t xml:space="preserve"> INVITATION TO BID IB NO. CW 2020 –  089 Construction of Water System at Panikian, Naujan, Oriental Mindoro 1.  The Provincial Government of Oriental Mindoro (PGOM) through the 20% Development Fund CA 2019 intends to apply the sum of One Million Four Hundr</t>
  </si>
  <si>
    <t xml:space="preserve"> Republic of the Philippines BIDS AND AWARDS COMMITTEE Province of Iloilo Invitation to Bid Purchase of LABORATORY SUPPLIES Bid No.RPT-20-0432-B  1. The Iloilo Provincial Government, through the 2020 GENERAL FUND intends to apply the sum of SIX HUNDRED FOU</t>
  </si>
  <si>
    <t xml:space="preserve"> Republic of the Philippines Province of Cagayan Municipality of Baggao INVITATION TO BID FOR THE PROCUREMENT OF GOODS The Barangay Catugay, Baggao, Cagayan, through the Provincial Assistance intends to apply the sum of Ninety Five Thousand Three Hundred T</t>
  </si>
  <si>
    <t xml:space="preserve"> PAIL W/COVER MODULAR TENT DRY BAG WHISTLE MUG (RESCUE LOGO PRINT) NAPKIN(FEMININE PAD) BATH SOAP 60G SHAMPOO 15ML TOOTHPASTE SCAHET SPOON FORK PLASTIC BAG LARGE&amp;MEDIUM LAUNDRY SOAP POWDER &amp; TWIN PACK LAUNDRY SAOP BAR HAMMOCK DISHWASHING LIQUID 100ML SERVI</t>
  </si>
  <si>
    <t xml:space="preserve"> CITY GOVERNMENT OF ZAMBOANGA		Purchase Request No.:	100-20-01-0046/December 9, 2019 Bids and Awards Committee  Villalobos St., Zamboanga City		Office of the:	CGSO-OSSP 		Amount:	P 594,108.00 SF-GOOD-60 REQUEST FOR QUOTATION (53.9 “Small Value Procurement”</t>
  </si>
  <si>
    <t xml:space="preserve"> CITY GOVERNMENT OF ZAMBOANGA		Purchase Request No.:	100-20-01-0021/December 4, 2019 Bids and Awards Committee  Villalobos St., Zamboanga City		Office of the:	CGSO-CITY AGRI. 		Amount:	P 594,108.00 SF-GOOD-60 REQUEST FOR QUOTATION (53.9 “Small Value Procur</t>
  </si>
  <si>
    <t xml:space="preserve"> Republic of the Philippines BIDS AND AWARDS COMMITTEE Province of Iloilo Invitation to Bid Purchase of MEDICAL EQUIPMENT Bid No.CDH-19-1245-B (RE-BID) 1. The Iloilo Provincial Government, through the SUPPLEMENTAL BUDGET NO. 2 intends to apply the sum of T</t>
  </si>
  <si>
    <t xml:space="preserve"> CITY GOVERNMENT OF ZAMBOANGA		Purchase Request No.:	100-20-01-0096/December 17, 2019 Bids and Awards Committee  Villalobos St., Zamboanga City		Office of the:	CGSO-CHO-Cristino M. Paragas Memorial Community Hospital 		Amount:	P 627,156.00 SF-GOOD-60 REQUE</t>
  </si>
  <si>
    <t xml:space="preserve"> CITY GOVERNMENT OF ZAMBOANGA		Purchase Request No.:	100-20-01-0017/December 4, 2019 Bids and Awards Committee  Villalobos St., Zamboanga City		Office of the:	CGSO-CITY ADMIN-STA CRUZ COMMERCIAL COMPLEX 		Amount:	P 418,104.00 SF-GOOD-60 REQUEST FOR QUOTATI</t>
  </si>
  <si>
    <t xml:space="preserve"> ANTHRACITE COAL SILICA SAND</t>
  </si>
  <si>
    <t xml:space="preserve"> Republic of the Philippines Province of Batangas CITY OF TANAUAN INVITATION TO BID Description 1)	The City Government of Tanauan, through the General Fund intends to apply the sum of Php7,809,192.00 being the Approved Budget for the Contract (ABC) to paym</t>
  </si>
  <si>
    <t xml:space="preserve"> CITY GOVERNMENT OF ZAMBOANGA		Purchase Request No.:	100-20-02-0496/February 13, 2020 Bids and Awards Committee  Villalobos St., Zamboanga City		Office of the:	CGSO-SP 		Amount:	P 71,420.80 SF-GOOD-60 REQUEST FOR QUOTATION (53.9 Small Value Procurement)   </t>
  </si>
  <si>
    <t xml:space="preserve"> CITY GOVERNMENT OF ZAMBOANGA		Purchase Request No.:	100-20-01-0041/December 6, 2019 Bids and Awards Committee  Villalobos St., Zamboanga City		Office of the:	CGSO-CIVIL REGISTRAR 		Amount:	P 594,108.00 SF-GOOD-60 REQUEST FOR QUOTATION (53.9 “Small Value P</t>
  </si>
  <si>
    <t xml:space="preserve"> CITY GOVERNMENT OF ZAMBOANGA		Purchase Request No.:	100-20-01-0352/January 28, 2020 Bids and Awards Committee  Villalobos St., Zamboanga City		Office of the:	CGSO-CITY AGRI. 		Amount:	P 160,000.00 SF-GOOD-60 REQUEST FOR QUOTATION (53.9 Small Value Procure</t>
  </si>
  <si>
    <t xml:space="preserve"> CITY GOVERNMENT OF ZAMBOANGA		Purchase Request No.:	100-20-01-0261/January 17,2020 Bids and Awards Committee  Villalobos St., Zamboanga City		Office of the:	CGSO-CEO 		Amount:	P 281,620.80 SF-GOOD-60	 REQUEST FOR QUOTATION (53.9 “Small Value Procurement”)</t>
  </si>
  <si>
    <t xml:space="preserve"> CITY GOVERNMENT OF ZAMBOANGA		Purchase Request No.:	100-20-01-0117/December 23, 2019 Bids and Awards Committee  Villalobos St., Zamboanga City		Office of the:	CGSO-CHRMO 		Amount:	P 594,108.00 SF-GOOD-60 REQUEST FOR QUOTATION (53.9 “Small Value Procuremen</t>
  </si>
  <si>
    <t xml:space="preserve"> Republic of the Philippines Province of Cagayan Municipality of Baggao INVITATION TO BID FOR THE PROCUREMENT OF GOODS The Barangay Catugay, Baggao, Cagayan, through the Provincial Assistance intends to apply the sum of Seventy Eight Thousand Thirty Four P</t>
  </si>
  <si>
    <t xml:space="preserve"> CITY GOVERNMENT OF ZAMBOANGA		Purchase Request No.:	100-20-01-0048/December 9, 2019 Bids and Awards Committee  Villalobos St., Zamboanga City		Office of the:	CGSO-COLEGIO DE LA CIUDAD DE ZAMBOANGA 		Amount:	P 803,160.00 SF-GOOD-60 REQUEST FOR QUOTATION (5</t>
  </si>
  <si>
    <t xml:space="preserve"> CITY GOVERNMENT OF ZAMBOANGA		Purchase Request No.:	100-20-01-0121/December 23, 2019 Bids and Awards Committee  Villalobos St., Zamboanga City		Office of the:	CGSO-CDRRMO 		Amount:	P 803,160.00 SF-GOOD-60 REQUEST FOR QUOTATION (53.9 “Small Value Procureme</t>
  </si>
  <si>
    <t xml:space="preserve"> CITY GOVERNMENT OF ZAMBOANGA		Purchase Request No.:	100-20-01-0375/January 31, 2020 Bids and Awards Committee  Villalobos St., Zamboanga City		Office of the:	CEO 		Amount:	P 867,500.00 SF-GOOD-60 REQUEST FOR QUOTATION (53.9 Small Value Procurement)       </t>
  </si>
  <si>
    <t xml:space="preserve"> Republic of the Philippines Province of Cagayan Municipality of Baggao INVITATION TO BID FOR THE PROCUREMENT OF GOODS The Barangay Dalin, Baggao, Cagayan, through the 20% Brgy. Development Fund CY 2019 intends to apply the sum of One Hundred Twenty Four T</t>
  </si>
  <si>
    <t xml:space="preserve"> The City Government of Naga, through the Environmental/Sanitary Services of the Solid Waste Management Office (SWMO), intends to apply the sum of TWELVE MILLION SEVEN HUNDRED TWENTY TWO THOUSAND SIX HUNDRED SEVENTY (P 12,722,670.00) PESOS, being the Appro</t>
  </si>
  <si>
    <t xml:space="preserve"> CITY GOVERNMENT OF ZAMBOANGA		Purchase Request No.:	100-20-01-0262/January 17,2020 Bids and Awards Committee  Villalobos St., Zamboanga City		Office of the:	CEO 		Amount:	P 111,375.00 SF-GOOD-60 REQUEST FOR QUOTATION (53.9 “Small Value Procurement”) 	    </t>
  </si>
  <si>
    <t xml:space="preserve"> Republic of the Philippines Province of Cagayan Municipality of Aparri BARANGAY NAVAGAN -oOo- BIDS AND AWARDS COMMITTEE 								                           June 17, 2020 	 INVITATION TO APPLY FOR ELIGIBILITY AND TO BID The Barangay of NAVAGAN, Municipality</t>
  </si>
  <si>
    <t xml:space="preserve"> INVITATION TO BID IB NO. CW 2020 –  092 Concreting of Balite-Pachoca-Lalud Road, Calapan City, Oriental Mindoro 1.  The Provincial Government of Oriental Mindoro (PGOM) through the 20% Development Fund CA 2019 intends to apply the sum of Three Million Nin</t>
  </si>
  <si>
    <t xml:space="preserve"> monthly AIRTIME SERVICES (1 hour and 30 minutes airtime every week)</t>
  </si>
  <si>
    <t xml:space="preserve"> 1. The Mindanao State University - Tawi-Tawi College of Technology and Oceanography (MSU-TCTO), through the TRUST FUND, intends to apply the sum of Five Hundred Ninety-Six  Thousand  One Hundred Seventy-One  and 03/100 pesos only (PhP 596,171.03) being ap</t>
  </si>
  <si>
    <t xml:space="preserve"> DESKTOP COMPUTER W/COMPLETE ACCESS. COMP. TABLE &amp; CHAIR 23.8" LED MONITOR, SMART TV, CPU iCORE i5, 3.2GHz, 8GB RAM , 1TB W/ 2 UNITS SPEAKER, 1 UNIT UPS LAPTOP W/ COMP. ACCESS. i7 8GB RAM, 1TB HDD WINDOWS 10 OR MORE PROJECTOR TOUCH SCREEN W/COMPLETE ACCESS</t>
  </si>
  <si>
    <t xml:space="preserve"> PLASTIC SPINE BOARD(FOR KIDS) HELMET (JUNIOR) REFLECTORIZED VEST (FOR KIDS) FIRST AID KIT/BOX W/ 3 LAYERS RACK MEGAPHONE FIRE EXTINGUISHER CAMEL BACK WATER BAG PERSONAL PROTECTIVE GEARS (TACTICAL DRESS) MINI PORTABLE GENSET AUTOMATIC FIRE ALARM SYSTEM POW</t>
  </si>
  <si>
    <t xml:space="preserve"> Republic of the Philippines Province of Iloilo Municipality of Lambunao Office of the Bids &amp; Awards Committee INVITATION TO BID/ REQUEST FOR PRICE QUOTATION Name of Project: Purchase of Equipment for the use Municipal Slaughterhouse Location: Lambunao, Il</t>
  </si>
  <si>
    <t xml:space="preserve"> DIESEL  GASOLINE ATF BRAKE FLUID OIL 40 OIL TREATMENT OIL 30</t>
  </si>
  <si>
    <t xml:space="preserve"> 1	Katig                                                  2	                                               pcs	 2	Tabaw(kawayan)	                         60                                                  pcs	 3	Bronse	                                    </t>
  </si>
  <si>
    <t xml:space="preserve"> TABLES AND CHAIRS</t>
  </si>
  <si>
    <t xml:space="preserve"> Water pumphouse 12 sq.m.</t>
  </si>
  <si>
    <t xml:space="preserve"> CITY GOVERNMENT OF ZAMBOANGA		Purchase Request No.:	100-19-08-2082/August 8, 2019 Bids and Awards Committee  Villalobos St., Zamboanga City		Office of the:	CGSO-CITY ADMIN-IBT 		Amount:	P 150,000.00 SF-GOOD-60 REQUEST FOR QUOTATION (53.9 Small Value Procu</t>
  </si>
  <si>
    <t xml:space="preserve"> SPECIFICATIONS:																		 Weight (Battery &amp; Propellers Included)				1375 g								 Diagonal Size (Propellers Excluded)				350 mm								 Max Ascent Speed							S-mode: 6 m/s, P-mode: 5 m/s								 Max Descent Speed							S-mode: 4 m/s, P-mode: 3 m</t>
  </si>
  <si>
    <t xml:space="preserve"> 1 unit Computer Printer 3 in 1 1 unit Computer Monitor 19' 1 pc Official Seal 1 unit Laptop Core i5 1unit Maintenance Box (Epson L6170)T04D1</t>
  </si>
  <si>
    <t xml:space="preserve"> Republic of the Philippines Province of Ilocos Sur Municipality of Quirino Barangay Patiacan INVITATION TO BID FOR THE PROCUREMENT OF GOODS FOR THE CONSTRUCTION OF CANAL ALONG PRECILLO BAWINGAN TO MOISES DOMEPNAS AT PATIACAN, QUIRINO, ILOCOS SUR 1. The Ba</t>
  </si>
  <si>
    <t xml:space="preserve"> Republic of the Philippines Province of Cagayan Municipality of Aparri BARANGAY CENTRO 11 -oOo- BIDS AND AWARDS COMMITTEE 								                           June 17, 2020 	 INVITATION TO APPLY FOR ELIGIBILITY AND TO BID The Barangay of CENTRO 11, Municipa</t>
  </si>
  <si>
    <t xml:space="preserve"> Republic of the Philippines Province of Cagayan Municipality of Aparri BARANGAY CENTRO 2 -oOo- BIDS AND AWARDS COMMITTEE 								                           June 17, 2020 	 INVITATION TO APPLY FOR ELIGIBILITY AND TO BID The Barangay of CENTRO 2, Municipali</t>
  </si>
  <si>
    <t xml:space="preserve"> CITY GOVERNMENT OF ZAMBOANGA		Purchase Request No.:	100-19-09-2564/September 18, 2019 Bids and Awards Committee  Villalobos St., Zamboanga City		Office of the:	CGSO-CITY ADMIN-IBT 		Amount:	P 80,000.00 SF-GOOD-60 REQUEST FOR QUOTATION (53.9 Small Value Pr</t>
  </si>
  <si>
    <t xml:space="preserve"> CITY GOVERNMENT OF ZAMBOANGA		Purchase Request No.:	100-20-03-0664/March 2, 2020 Bids and Awards Committee  Villalobos St., Zamboanga City		Office of the:	CGSO-CDRRMO 		Amount:	P 250,000.00 SF-GOOD-60 REQUEST FOR QUOTATION (53.9 Small Value Procurement)  </t>
  </si>
  <si>
    <t xml:space="preserve"> CITY GOVERNMENT OF ZAMBOANGA		Purchase Request No.:	100-20-02-0574/February 20, 2020 Bids and Awards Committee  Villalobos St., Zamboanga City		Office of the:	CGSO-STOCKS 		Amount:	P 230,032.00 SF-GOOD-60 REQUEST FOR QUOTATION (53.9 Small Value Procuremen</t>
  </si>
  <si>
    <t xml:space="preserve"> CITY GOVERNMENT OF ZAMBOANGA		Purchase Request No.:	100-20-01-0248/January 16, 2020 Bids and Awards Committee  Villalobos St., Zamboanga City		Office of the:	CGSO-CITY CIVIL REGISTRAR 		Amount:	P 76,000.00 SF-GOOD-60 REQUEST FOR QUOTATION (53.9 “Small Val</t>
  </si>
  <si>
    <t xml:space="preserve"> Republic of the Philippines BIDS AND AWARDS COMMITTEE Province of Iloilo Invitation to Bid Purchase of I.V FLUIDS  Bid No. SJH-20-0675-B 1. The Iloilo Provincial Government, through the 2020 GENERAL FUNDS intends to apply the sum of Nine Hundred Seventy-T</t>
  </si>
  <si>
    <t xml:space="preserve"> Republic of the Philippines Province of Cagayan Tuguegarao City Invitation to Bid for Development of Eco Park at Cagayan Sports Complex, Tuguegarao City Cagayan 1.	The Provincial Government of Cagayan, through the G.F. CY 2019 intends to apply the sum of </t>
  </si>
  <si>
    <t xml:space="preserve"> INVITATION TO BID IB NO. CW 2020 –  096 Concreting of Road at Roma, Mansalay, Oiental Mindoro 1.  The Provincial Government of Oriental Mindoro (PGOM) through the 20% Development – SB # 2 intends to apply the sum of One Million Four Hundred Seventy Three </t>
  </si>
  <si>
    <t xml:space="preserve"> Republic of the Philippines BIDS AND AWARDS COMMITTEE Province of Iloilo Invitation to Bid Purchase of Drugs &amp; Medicines  Bid No. SJH-20-0674-B 1. The Iloilo Provincial Government, through the 2020 GENERAL FUNDS intends to apply the sum of Eighty Thousand</t>
  </si>
  <si>
    <t xml:space="preserve"> PB NO. 2020-038		 			 1.	1	lot	Proposed concreting of road at Patria Village, Brgy. Del Remedio, San Pablo City. 			By: Contract 			 	Deadline for Submission of Bids: July 9, 2020 10:00 am</t>
  </si>
  <si>
    <t xml:space="preserve"> Republic of the Philippines Province of Cagayan Tuguegarao City Invitation to Bid for Fence Repair, Entrance Arch, Gates and Signages Cagayan Farm School and Agri – Tourism Center, Anquiray, Amulung, Cagayan  1.	The Provincial Government of Cagayan, throu</t>
  </si>
  <si>
    <t xml:space="preserve"> 5 UNITS DESKTOP COMPUTER SET (i3 OR HIGHER) Specifications: Core i3-4130 Processor (3M Cache, 3.40 GHz) Mother Board I3 Memory DDR4 4GB Hard Drive 1TB 19” LCD Monitor Micro ATX Casing W/Psu Wired USB Keyboard and Mouse Uninterruptible Power Supply (UPS) 5</t>
  </si>
  <si>
    <t xml:space="preserve"> Republic of the Philippines Province of Cagayan Tuguegarao City Invitation to Bid for  Cluster 3 a – (Dev’t of Ballesteros Agri – Eco Tourism Park Project) Animal Farm Development (Cagayan Breeding Farm) and Forage and Pasture Development Zitanga, Ballest</t>
  </si>
  <si>
    <t xml:space="preserve"> INVITATION TO BID IB NO. CW 2020 –  095 Concreting of Road at Brgy. Mabuhay, Roxas, Or. Mindoro 1.  The Provincial Government of Oriental Mindoro (PGOM) through the 20% Development – SB # 2 intends to apply the sum of One Million Nine Hundred Forty One Th</t>
  </si>
  <si>
    <t xml:space="preserve"> INVITATION TO BID IB NO. CW 2020 –  093 Concreting of Road at Sitio Proper West II, Nag-iba II, Naujan Oriental Mindoro 1.  The Provincial Government of Oriental Mindoro (PGOM) through the 20% Development Fund CA 2019 intends to apply the sum of One Milli</t>
  </si>
  <si>
    <t xml:space="preserve"> The ZAMBOANGA CITY STATE POLYTECHNIC COLLEGE through its Bids and Awards Committee (BAC) is inviting PHILGEPS registered suppliers to apply for eligibility and to submit bids for the items listed below: 1	Distilled water, 20 L/gal. (with gallon)	750	Gals.</t>
  </si>
  <si>
    <t xml:space="preserve"> Republic of the Philippines Province of Cagayan Tuguegarao City Invitation to Bid for 1.0 km Boardwalk (Phase 01) 96 Spans x 3.00m ( Cagayan Eco Tourism Forest Park) Nassiping, Gattaran, Cagayan  1.	The Provincial Government of Cagayan, through the SB #1 </t>
  </si>
  <si>
    <t xml:space="preserve"> Republic of the Philippines Province of Cagayan Tuguegarao City Invitation to Bid for Construction of PENRO Admin Building Nassiping, Gattaran, Cagayan  1.	The Provincial Government of Cagayan, through the SB #1 CY 2019 intends to apply the sum of P 4,999</t>
  </si>
  <si>
    <t xml:space="preserve"> Republic of the Philippines Province of Cagayan Tuguegarao City Invitation to Bid for Improvement of Multi Purpose Tuao Central Elementary School (Repair of Roof – School) Gymnasium  1.	The Provincial Government of Cagayan, through the AIP 2019 intends to</t>
  </si>
  <si>
    <t xml:space="preserve"> Republic of the Philippines Province of Cagayan Tuguegarao City Invitation to Bid for Concreting of Road Network with Line Drainage Tuao District Hospital, Tuao, Cagayan 1.	The Provincial Government of Cagayan, through the SG #1 intends to apply the sum o</t>
  </si>
  <si>
    <t xml:space="preserve"> PB NO. 2020-039		 			 1.	1	lot	Proposed construction of line canal at Brgy. San Nicolas, San Pablo City. 			By: Contract 			 	Deadline for Submission of Bids: July 9, 2020 1:00 pm</t>
  </si>
  <si>
    <t xml:space="preserve"> INVITATION TO BID  1.	The CITY GOVERNMENT OF CAUAYAN, ISABELA through the TRUST FUND intends to apply the sum of SEVEN MILLION PESOS (Php 7,000,000.00) being the Approved Budget for the Contract (ABC) to payments under the contract for the Supply and Deli</t>
  </si>
  <si>
    <t xml:space="preserve"> INVITATION TO BID: BID REF. NO.: 2020-18 “DRYDOCKING AND REPAIR WORKS OF VARIOUS BFAR PATROL VESSELS.” 1.	The Bureau of Fisheries and Aquatic Resources (BFAR) of the Department of Agriculture, through the General Appropriations Act for 2020 intends to app</t>
  </si>
  <si>
    <t xml:space="preserve"> INVITATION TO BID IB NO. CW 2020 –  097 Concreting of Road at Wasig, Mansalay, Oriental Mindoro 1.  The Provincial Government of Oriental Mindoro (PGOM) through the 20% Development – SB # 2 intends to apply the sum of One Million Four Hundred Sixty Nine T</t>
  </si>
  <si>
    <t xml:space="preserve"> Name of  Project/Contract	:	CONSTRUCTION OF COVERED COURT  Location				:	NANTAWAKAN, Kasibu, Nueva Vizcaya Brief Description	:	Construction of 18m x 30m Covered Court (Reinforced Concrete Footings, Columns and Beams, Steel Roof Framing (Two Trusses) Insta</t>
  </si>
  <si>
    <t xml:space="preserve"> Republic of the Philippines BIDS AND AWARDS COMMITTEE Province of Iloilo Invitation to Bid Purchase of Office Equipment Bid No. PPD-20-0661-B 1. The Iloilo Provincial Government, through the CAPITAL OUTLAY intends to apply the sum of THREE HUNDRED FOURTEE</t>
  </si>
  <si>
    <t xml:space="preserve"> Republic of the Philippines Province of Cagayan Tuguegarao City Invitation to Bid for Completion of Multi Purpose Building (Back of Aranz Granstand) Cagayan Sports Complex, Tuguegarao City  1.	The Provincial Government of Cagayan, through the AIP 2019 int</t>
  </si>
  <si>
    <t xml:space="preserve"> Republic of the Philippines Province of Cagayan Tuguegarao City Invitation to Bid for Construction of OPA Admin Building Anquiray, Amulung, Cagayan  1.	The Provincial Government of Cagayan, through the SB #1 CY2019 intends to apply the sum of P 4,999,510.</t>
  </si>
  <si>
    <t xml:space="preserve"> Republic of the Philippines Province of Cagayan Tuguegarao City Invitation to Bid for Concreting of Culung – Bugnay Farm to Market Road at Tuao, Cagayan 1.	The Provincial Government of Cagayan, through the Trust Fund intends to apply the sum of P 35,995,5</t>
  </si>
  <si>
    <t xml:space="preserve"> The ZAMBOANGA CITY STATE POLYTECHNIC COLLEGE through its Bids and Awards Committee (BAC) is inviting PHILGEPS registered suppliers to apply for eligibility and to submit bids for the items listed below: 1	Desktop	1	Set 	Monitor: 21” LED		 	Processor: Inte</t>
  </si>
  <si>
    <t xml:space="preserve"> The ZAMBOANGA CITY STATE POLYTECHNIC COLLEGE through its Bids and Awards Committee (BAC) is inviting PHILGEPS registered suppliers to apply for eligibility and to submit bids for the items listed below: 1	Continuous paper, 2-ply, s-18, 6 ½” x 9 ½”, 2000sh</t>
  </si>
  <si>
    <t xml:space="preserve"> Republic of the Philippines Province of Cagayan Tuguegarao City Invitation to Bid for  Cluster 6 Anquiray Farm Tourism Development Project (Farm Service Area Network Development, Farm Utilities Development (Construction of Tanks and Pipelines), Farm Utili</t>
  </si>
  <si>
    <t xml:space="preserve"> Republic of the Philippines Province of Cagayan Tuguegarao City Invitation to Bid for Construction of Second Floor of Cagayan Provincial Jail Grid Line A-G, 1-10, Tuguegarao City 1.	The Provincial Government of Cagayan, through the SB #1 CY-2019 intends t</t>
  </si>
  <si>
    <t xml:space="preserve"> Name of  Project/Contract	:	LOCAL ACCESS ROAD  Location				:	TADJI, Kasibu, Nueva Vizcaya Brief Description	:	Construction of 0.20m x 5m x 345m and 0.20m x 7.33m x 20m PCCP, Installation of 36” RCPC with stone masonry Head Wall Approved Budget  for the Co</t>
  </si>
  <si>
    <t xml:space="preserve"> INVITATION TO BID  1.	The CITY GOVERNMENT OF CAUAYAN, ISABELA through the TRUST FUND intends to apply the sum of ONE MILLION THREE HUNDRED THOUSAND PESOS (Php1,300,000.00) being the Approved Budget for the Contract (ABC) to payments under the contract for</t>
  </si>
  <si>
    <t xml:space="preserve"> 1. IMPROVEMENT OF DRAINAGE SYSTEM ALONG BANABA, TANGUILE AND LAWAAN STREETS, BRGY. SAN JOSE, RODRIGUEZ, RIZAL ABC    :    4013,062.27                                                             DURATION:     120 CAL. DAYS 2.  PROPOSED CONSTRUCTION OF MONT</t>
  </si>
  <si>
    <t xml:space="preserve"> The ZAMBOANGA CITY STATE POLYTECHNIC COLLEGE through its Bids and Awards Committee (BAC) is inviting PHILGEPS registered suppliers to apply for eligibility and to submit bids for the items listed below: 1	Ear-loop surgical face mask, 50pcs./box	100	Boxes </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</si>
  <si>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</si>
  <si>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Republic of the Philippines BIDS AND AWARDS COMMITTEE Province of Iloilo Invitation to Bid Purchase of Construction Materials Bid No. DIS-19-1554-B 1. The Iloilo Provincial Government, through the PDRRM FUND – Capital Outlay intends to apply the sum of ON</t>
  </si>
  <si>
    <t xml:space="preserve"> Republic of the Philippines BIDS AND AWARDS COMMITTEE Province of Iloilo Invitation to Bid Purchase of Office Supplies Bid No. PPD-20-0662-B 1. The Iloilo Provincial Government, through the GENERAL FUND intends to apply the sum of ONE HUNDRED TWENTY FIVE </t>
  </si>
  <si>
    <t xml:space="preserve"> Republic of the Philippines Province of Cagayan Tuguegarao City Invitation to Bid for Construction of Multi Purpose Building Sub Capitol Bangag Lallo Cagayan 1.	The Provincial Government of Cagayan, through the SB #1 CY 2019 intends to apply the sum of P </t>
  </si>
  <si>
    <t xml:space="preserve"> Assorted Janitorial Supplies: 70  doz.  Detergent Powder, sachet	 10  kg.   Chlorine 3  box  Muriatic Acid, 1 liter/bot / 12bot/box. 4  doz.  Deodorizer, big 15  pc.  Hard Broom	 30  pc.  Soft Broom (walis tambo)	 30  pc.  Dust Pan	 50  bot.  Dishwashing </t>
  </si>
  <si>
    <t xml:space="preserve"> Assorted school/Office Supplies and Devices: 10  roll  Acetate, gauge #3 50, in length	 6  rim   Bond Paper, long sub-20, colored blue	 6  rim   Bond Paper, long sub-20 colored green	 100  rim  Bond Paper, A4 size s-20	 150  rim  Bond Paper, short s-20	 2</t>
  </si>
  <si>
    <t xml:space="preserve"> CONCRETING OF OPEN CANAL @ PAGKAKAISA ST. PUROK 8</t>
  </si>
  <si>
    <t xml:space="preserve"> Republic of the Philippines Province of Cagayan Municipality Of Ballesteros BARANGAY ZITANGA INVITATION TO BID FOR “Procurement of Various Materials for the Procurement &amp; Installation of Solar Streetlights” 1.	The Barangay Government of Zitanga, Ballester</t>
  </si>
  <si>
    <t xml:space="preserve"> Republic of the Philippines Province of Cagayan Tuguegarao City Invitation to Bid for Nassiping Eco Park Development Project Construction of Water System (Tanks and Distribution Lines) Nassiping, Gattaran, Cagayan 1.	The Provincial Government of Cagayan, </t>
  </si>
  <si>
    <t xml:space="preserve"> Republic of the Philippines Province of Cagayan Municipality Of Ballesteros BARANGAY ZITANGA INVITATION TO BID FOR “Procurement of Various Materials for the Improvement/Rehabilitation of Multi-Purpose Hall” 1.	The Barangay Government of Zitanga, Ballester</t>
  </si>
  <si>
    <t xml:space="preserve"> Name of  Project/Contract	:	EXPANSION OF EVACUATION CENTER  Location				:	POBLACION, Kasibu, Nueva Vizcaya Brief Description	:	Construction of 27 ln.m Concrete line canal, 60 ln.m, perimeter fence, 3 m x 2.19m Gate and 0.10m x 1.25m x 75.5m Reinforce conc</t>
  </si>
  <si>
    <t xml:space="preserve"> The Barangay 122, Zone 9, District I, Manila. Through its Bids and Awards Committee (BAC). INVITES ALL SUPPLIERS/CONTRACTORS to bid for the hereunder projects:</t>
  </si>
  <si>
    <t xml:space="preserve"> OFFICE OF THE BIDS AND AWARDS COMMITTEE (BAC) INVITATION TO BID FOR: 20-06-460 Purchase of Base External 35W Radio (Wireless) for Survey 1.	The Local Government Unit of Alamada, through the 1011 Supplemental Budget No. 2 CY 2020 CO intends to apply the su</t>
  </si>
  <si>
    <t xml:space="preserve"> INVITATION TO BID FOR THE SUPPLY, DELIVERY AND INSTALLATION OF OFFICE EQUIPMENT &amp; OTHER MACHINERIES 1.	The Barangay Poblacion, City Muntinlupa, through its approved Budget for 2020, intends to apply the sum of Five Hundred Thousand Pesos (P500.000.00) bei</t>
  </si>
  <si>
    <t xml:space="preserve"> 2 units air-condition, floor standing, 4.0hp, inverter 1 unit air-condition, window type, 2.0hp, inverter</t>
  </si>
  <si>
    <t xml:space="preserve"> Name of  Project/Contract	:	ROAD IMPROVEMENT (RIPRAP MASONRY  OF PROTECTION WALL CORNER CABARROGUIS –MUNICIPAL ROAD TO BRIMO STREET Location				:	POBLACION,  Kasibu, Nueva Vizcaya Brief Description			:	Construction of 0.15m x 1.25m x 53m  PCCP and 53 ln.m</t>
  </si>
  <si>
    <t xml:space="preserve"> Name of  Project/Contract	:	LOCAL ACCESS ROAD  Location				:	PAQUET, Kasibu, Nueva Vizcaya Brief Description	:	Construction of 0.20m x 6m  x 465m PCCP Approved Budget  for the Contract (ABC)		:	P4,999,972.27 Source of Fund			:	DILG-TF LGSF ASSISTANCE TO M</t>
  </si>
  <si>
    <t xml:space="preserve"> Name of  Project/Contract	:	CONSTRUCTION OFMULTIPURPOSE BUILDING AND COVERED COURT Location				:	Papaya,  Kasibu, Nueva Vizcaya Brief Description	:	Fabrication and installation of steel roof framing (steel trusses) and Galva Steel Hi-Rib roofing materials</t>
  </si>
  <si>
    <t xml:space="preserve"> INVITATION TO BID (for the Procurement of Goods)           1.	The City Government of Puerto Princesa (CGPP), through its  General Appropriations Ordinance No. 1-2017 (General Fund FY 2018) intends to apply the sum, corresponds as the Approved Budget for t</t>
  </si>
  <si>
    <t xml:space="preserve"> CONCRETING OF OPEN CANAL @ TALISAY ST. PUROK 3</t>
  </si>
  <si>
    <t xml:space="preserve"> INVITATION TO BID IB NO. CW 2020 –  094 Concreting of Road Leading to Parola at Brgy. San Jose, Roxas, Oriental Mindoro 1.  The Provincial Government of Oriental Mindoro (PGOM) through the 20% Development Fund CA 2019 intends to apply the sum of One Milli</t>
  </si>
  <si>
    <t xml:space="preserve"> QUANTITY	UNIT 	DESCRIPTION                                        	UNIT COST EQUIPMENT 85          	Bags   	Palay ( White Seeds)                               	161,500.00 3      	Btls.       	Iron 100ml                                         	1,716.00 3 </t>
  </si>
  <si>
    <t xml:space="preserve"> MACHINERIES &amp; EQUIPMENT</t>
  </si>
  <si>
    <t xml:space="preserve"> 3 unit, Rice Cooker, 60-80 cups capacity 2 unit, Pressure Cooker, 8010 kg capacity 2 unit, Iron Cast Stove, 2 rings, 10-12" diameter gas operated</t>
  </si>
  <si>
    <t xml:space="preserve"> ENGINE Type :                                  2.4L Diesel, 4-Cylinder, 16 Valve DOHC Variable                                            Nozzle Turbo with Front Mounted Intercooler Displacement:                      2,393  Transmission:                  </t>
  </si>
  <si>
    <t xml:space="preserve"> 5     units      Genuine Desktop Computer Corei7 with 24" monitor                     Intel Core - 9th Generation Motherboard LGA 1151 Gigabyte 16GB DDR4 memory 129 GB                     SSD + 1TB HDD Storage 2GB NVIDIA Geforce Video Card Windows 10 64 b</t>
  </si>
  <si>
    <t xml:space="preserve"> NOTICE OF NEGOTIATED PROCUREMENT (Small Value Procurement) PNOC Exploration Corporation (PNOC EC), through its 2020 Corporate Budget, has an Approved Budget for the Contract (ABC) of Fifty Seven Thousand Four Hundred Ninety Pesos (Php57,490.00), inclusive</t>
  </si>
  <si>
    <t xml:space="preserve"> 10    units   Printer 3 in 1 1      unit     Genuine Desktop Computer Core i7-9700                   Operating  System: Windows 10 Pro                   Video Card: Intel UHD Graphics 630 with shared graphics memory                   Memory: 8GB, 8 GBx1, </t>
  </si>
  <si>
    <t xml:space="preserve"> Republic of the Philippines Department of Health CENTRAL OFFICE BIDS AND AWARDS COMMITTEE Name of the Procuring Entity:  Department of Health Name of the Project: Procurement of Watches Delivery Site: DOH-Central Office Warehouse, San Lazaro Compound Sta.</t>
  </si>
  <si>
    <t xml:space="preserve"> 1.00 UNIT SPECIAL ITEM 15.00 UNIT ELECTRICAL WORKS</t>
  </si>
  <si>
    <t xml:space="preserve"> Pulling out and Reinstallation of 13pcs-2"dis. G.I. Pipe , installation of 1 set of submersible pump and 5HP panel board</t>
  </si>
  <si>
    <t xml:space="preserve"> See attached document.</t>
  </si>
  <si>
    <t xml:space="preserve"> Lot A- Submersible pump and motor and complete accessories                  Php170,000.00 Lot B- construction supplies                                                                          129,367.00 Bidders should have  the option of submitting any bi</t>
  </si>
  <si>
    <t xml:space="preserve"> Construction of 127.19sq.m ceiling and tiling of 178.52 sq.m.</t>
  </si>
  <si>
    <t xml:space="preserve"> Installation of 1 set 5HP submersible pump and motor, 5HP panel board at Sitio Centro</t>
  </si>
  <si>
    <t xml:space="preserve"> CONCRETING OF OPEN CANAL @ AVOCADO ST. PUROK 4</t>
  </si>
  <si>
    <t xml:space="preserve"> CONCRETING OF OPEN CANAL @ SAN MATEO ST. PUROK 10</t>
  </si>
  <si>
    <t xml:space="preserve"> see attach file</t>
  </si>
  <si>
    <t xml:space="preserve"> REPUBLIC OF THE PHILIPPINES PROVINCE OF LA UNION MUNICIPALITY OF CABA BARANGAY SAN CARLOS  BIDS AND AWARDS COMMITTEE INVITATION TO BID FOR THE PROCUREMENT OF INFRASTRUCTURE PROJECTS 	      The San Carlos Barangay Council of Caba, La Union, through the Dev</t>
  </si>
  <si>
    <t xml:space="preserve"> School supplies for Tikalaan Central Elementary School</t>
  </si>
  <si>
    <t xml:space="preserve"> Please see attached Bid Docs</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</si>
  <si>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</si>
  <si>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Republic of the Philippines Province of Northern Samar BARANGAY LANDUSAN CAPUL, NORTHERN SAMAR BID AND AWARDS COMMITTEE INVITATION TO BID 2020-06-001 INF The BARANGAY LANDUSAN, CAPUL NORTHERN SAMAR through its BIDS AND AWARDS COMMITTEE (BAC), invites all </t>
  </si>
  <si>
    <t xml:space="preserve"> INVITATION TO BID The Bureau of Fisheries and Aquatic Resources Region 5 (BFAR 5), through the Government of the Philippines (GOP), for CY 2020 intends to apply the sum of One Million Pesos (PhP1,000,000.00) only, being the Approved Budget for the Contrac</t>
  </si>
  <si>
    <t xml:space="preserve"> 1.	10,000	liter/s	Diesel Fuel</t>
  </si>
  <si>
    <t xml:space="preserve"> 10	sacks	Rice - youngchow 100	packs	Datu Puti Vinegar 100	btls.	        Datu Puti Vinegar - small 100	packs	Silver Swan Soy Sauce 100	btls.	        Silver Swan Soy Sauce - small 150	kgs	       Cooking Oil 400	pcs.	       Lucky Me Instant Noodles 400	pcs. </t>
  </si>
  <si>
    <t xml:space="preserve"> SUPPLY AND DELIVERY OF 31.5MVA TRANSFORMER PRESSURE RELIEF DEVICE ALARM SWITCH AND ELECTRICAL CONNECTION</t>
  </si>
  <si>
    <t xml:space="preserve"> Computer Laptop</t>
  </si>
  <si>
    <t xml:space="preserve"> Brief Description/Specification: “PROCUREMENT OF LIFE INSURANCE” for the BERT/BDS Members in the Office of the Municipal Disaster Risk Reduction &amp; Management Officer, Municipal Government of Bayog, Zamboanga del Sur.   Approved Budget For The Contract:  P</t>
  </si>
  <si>
    <t xml:space="preserve"> REPAIR OF LEGISLATIVE OFFICE/BUILDING</t>
  </si>
  <si>
    <t xml:space="preserve"> ITEM: 20 lgths UPVC Pipe, Class 150, S8 with Rubber Rings 200mmØ PURPOSE: PROP. EXTENSION OF 100MM DISTRIBUTION LINE, 200MM DISTRIBUTION LINE WITH 75MM BLOW OFF VALVE @ LUMINARIAS ST. JR BORJA EXTN. CDOC (W.O.#20-001-A)		 ABC: PHP 155,732.00 DELIVERY SCHE</t>
  </si>
  <si>
    <t xml:space="preserve"> 1. P.E. Adaptor ½” CTS                                           -     350 pcs 2. Saddle Clamp 1 ½ x ½ (CI)                                 -       20 set 3. Saddle Clamp 4” x 1” (CI)                                   -       10 set 4. Saddle Clamp 4” x 2</t>
  </si>
  <si>
    <t xml:space="preserve"> ITEM: 1 set CI STD Pavement Manhole Cover, 1mØ PURPOSE: FOR PROPOSED CONCRETE CHAMBER FOR THE 100MM PSRV @ ZAYAS, CDOC (W.O.#NRW-RP-19-019-E)		 ABC: PHP 65,000.00 DELIVERY SCHEDULE: 10 CALENDAR DAYS</t>
  </si>
  <si>
    <t xml:space="preserve"> INVITATION TO BID The City of Bayawan, through its Bids and Awards Committee (BAC), invites suppliers/manufacturers/distributors/contractors to bid for the hereunder projects: 	Lot No. I		CHEMICALS					 8	25	bags	Potash(Muriate of Potash)(0-0-60)	Potash(M</t>
  </si>
  <si>
    <t xml:space="preserve"> please see attached invitation to apply for eligibility and to bid</t>
  </si>
  <si>
    <t xml:space="preserve"> Republic of the Philippines DEPARTMENTOF ENVIRONMENT AND NATURAL RESOURCES Provincial Environment and Natural Resources Office OFFICE OF THE BIDS &amp; AWARDS COMMITTEE Sta. Isabel, Dipolog City INVITATION TO QUALIFY AND BID The Department of Environment and </t>
  </si>
  <si>
    <t xml:space="preserve"> Republic of the Philippines										 BIDS AND AWARDS COMMITTEE										 Baguio City										 (074) 300-6537/ (074)442-8795										 BID FORM										 CP No. 2020-39 Bidding										June 17, 2020 Circular Proposal No.										Date Prepared The City </t>
  </si>
  <si>
    <t xml:space="preserve"> ITEM: 20 btls Chlorine Reagents CI₂-1							 Cat. No. 1.00086.0001							 200 tests/bottle							 10 btls Chlorine Reagents CI2-2							 Cat. No. 1.00087.0001							 400 tests/bottle							 All reagents should have an expiry date of 1 year delivery							</t>
  </si>
  <si>
    <t xml:space="preserve"> Various Constructions materials &amp; supplies</t>
  </si>
  <si>
    <t xml:space="preserve"> Description INVITATION TO BID / REQUEST FOR EXPRESSION OF INTEREST The Municipality of Allacapan, through its Bids and Awards Committee (BAC), invites suppliers/distributors/contractors to submit quotation for the hereunder project: Name of Contract :Repa</t>
  </si>
  <si>
    <t xml:space="preserve"> Request for Quotation The Bureau of Fisheries and Aquatic Resources, Regional Office No. 5, Fabrica, Bula, Camarines Sur is requesting from prospective suppliers to submit quotation for the Supply and Delivery of Tilapia Feeds at Buhi Freshwater Fishery F</t>
  </si>
  <si>
    <t xml:space="preserve"> 1	173.00	BAGS	PORTLAND CEMENT 2	14.00	CU.M	1”GRADED GRAVEL 3	6.00	CU.M	WASHED SAND 4	53.00	LENGHT	16MM RSB, GRADE 33 5	93.00	LENGHT	10MM RSB,GRADE 33 6	20.00	KG	#16 GI WIRE 7	15.00	PC	2X2X10 COCO LUMBER 8	40.00	LENGHT	BAMBOO POLES 9	15.00	SHEET	¼’ THICK O</t>
  </si>
  <si>
    <t xml:space="preserve"> TIRE 265/6- R18 (4) TIRE 215/70 R15C (4) BATTERY, 11 PLATES, 12 VOLTS (1)</t>
  </si>
  <si>
    <t xml:space="preserve"> 1.	25,000	liter/s	Diesel Fuel 2.	1,000	liter/s	Gasoline Fuel</t>
  </si>
  <si>
    <t xml:space="preserve"> 76	pcs.	GI pipe 2" X 20' shl 40  182 	pcs.	Swivel clamp for 2" GI pipe  11 	pcs.	Flat bar 5mm X 3" X 20'  10 	pcs.	Cutting disc 4" Tyrolit 10	pcs.	Grinding disc 4" Tyrolit 6	pcs.	Cutting off wheel 14" Tyrolit 86	pcs.	Jack basse for 2" G.I. pipe 30	kls	Wel</t>
  </si>
  <si>
    <t xml:space="preserve"> 24 SACKS WELL MILLED RICE, 50KGS/SACK</t>
  </si>
  <si>
    <t xml:space="preserve"> INVITATION TO BID The City of Bayawan, through its Bids and Awards Committee (BAC), invites suppliers/manufacturers/distributors/contractors to bid for the hereunder projects: Lot No. I		Oil and Lubricants	 				 1	18	drums	Oil, Hydrauli, SAE 10W					 2	12</t>
  </si>
  <si>
    <t xml:space="preserve"> Procurement of Four Equipment as a Compliance to the accreditation of Assessment Center in the Qualification of Refrigeration and Air-condition Servicing NC II 1. Freezer upright 6 cu ft. 2. Refrigerated Drinking Fountain 3. Beverage Cooler 4. Juice Dispe</t>
  </si>
  <si>
    <t xml:space="preserve"> HDPE tubing 1/2” - 25pcs plastic adapter 1/2”  - 500pcs plastic adapter 3/4 - 300pcs female threaded adapter 1/2” 500pcs  plastic union coupling adapter 1/2” - 200pcs plastic union coupling adapter 3/4” - 100pcs plastic union coupling adapter 1”  - 100pcs</t>
  </si>
  <si>
    <t xml:space="preserve"> Description REQUEST FOR QUOTATION The Municipality of Allacapan, through its Bids and Awards Committee (BAC), invites suppliers/distributors/contractors to submit quotation for the hereunder project: Name of Contract :Improvement of Barangay Health Statio</t>
  </si>
  <si>
    <t xml:space="preserve"> INVITATION TO BID NO. 20-51 SUPPLY &amp; DELIVERY OF HOSPITAL BED 1.	The Department of Health, Center for Health Development Bicol (DOH – CHD Bicol), through the 2020 General Appropriations Act intends to apply the sum of Fifteen Million Three Hundred Forty T</t>
  </si>
  <si>
    <t xml:space="preserve"> Procurement of Cattle Fattening Supplies</t>
  </si>
  <si>
    <t xml:space="preserve"> Assorted Const. Supplies</t>
  </si>
  <si>
    <t xml:space="preserve"> ITEM: 4 units IPAD MINI PURPOSE: FOR 2020 LOYALTY AWARDEES( 40 YEARS IN SERVICES)	 ABC:  PHP 108,000.00 DELIVERY SCHEDULE: 10 CALENDAR DAYS</t>
  </si>
  <si>
    <t xml:space="preserve"> Republic of the Philippines          City of Dumaguete Bids and Awards Committee INVITATION TO BID FOR PURCHASE REQUEST OF 189 BAGS PORTLAND CEMENT 40 KGS AND OTHER ITEMS 	The City of Dumaguete thru its BIDS AND AWARDS COMMITTEE (BAC), invites all interes</t>
  </si>
  <si>
    <t xml:space="preserve"> Project I.D No:         20-008 Name of Project: PURCHASE OF DUMPTRUCK Location:                  BATUAN, MASBATE Brief Description:Procurement of 1 unit brand new Dump truck with 4.5 cubic meter capacity and 115 horsepower Approved Budget for the Contract</t>
  </si>
  <si>
    <t xml:space="preserve"> Republic of the Philippines Province of Eastern Samar Municipality of Balangkayan INVITATION TO BID FOR: CONSTRUCTION OF MEO BUILDING, PHASE 1 Abrigo St. Mun. Gov’t Center, Balangkayan, E. Samar June 19 - 25, 2020 The Municipal Government of Balangkayan, </t>
  </si>
  <si>
    <t xml:space="preserve"> OTICE TO THE PUBLIC REQUEST FOR PROPOSAL Purchase Request No: PUR20-05-0432  The Philippine General Hospital hereby informs the public that it will be procuring the following item/s through Small Value Procurement: PUR20-05-0432  Information &amp; Technology </t>
  </si>
  <si>
    <t xml:space="preserve"> Republic of the Philippines TECHNOLOGICAL UNIVERSITY OF THE PHILIPPINES CAVITE Bids and Award Committee on Materials, Equipment &amp; Services Invitation to prequalify &amp; request for quotation notice is hereby given, that the TUPC will conduct a small value pr</t>
  </si>
  <si>
    <t xml:space="preserve"> 1 unit Motor Driven Dosing Pump, Fitted with Single Phase, 230 Volts feed rate – 15.5 liters per hour and up to 15 bars design back pressure, with PolyVinylidene DiFlouride – PVDF Pump end and its assembly is composed of Elastomer base reinforced with fib</t>
  </si>
  <si>
    <t xml:space="preserve"> Republic of the Philippines BIDS AND AWARDS COMMITTEE Province of Iloilo Invitation to Bid Purchase of Drugs and Medicines Bid No. FRT-20-0440-B 1. The Iloilo Provincial Government, through the GENERAL FUND 2020 intends to apply the sum of NINE HUNDRED NI</t>
  </si>
  <si>
    <t xml:space="preserve"> Qty	Unit	Item Description 1	unit	Labor and Materials (Garbage Truck) 		(Replacement of Idler, Track roller, Sprocket, adjuster)</t>
  </si>
  <si>
    <t xml:space="preserve"> Republic of the Philippines Municipality of Palompon  Barangay Central III BIDS AND AWARD COMMITTEE Palompon. Leyte INVITATION TO APPLY FOR ELIGIBILITY AND TO BID N0. 2020-0707-001                                                                           </t>
  </si>
  <si>
    <t xml:space="preserve"> Republic of the Philippines BIDS AND AWARDS COMMITTEE Province of Iloilo Invitation to Bid Purchase of Medical Supplies Bid No. FRT-20-0436-B 1. The Iloilo Provincial Government, through the GENERAL FUND 2020 intends to apply the sum of EIGHT HUNDRED NINE</t>
  </si>
  <si>
    <t xml:space="preserve"> 1.X-ray film green sensitive 14x17, 100's (5) box 2.x-ray film green sensetive 14x14, 100's (5) box 3.X-ray film green sensitive 11x14, 100's (5) box 4.X-ray film green sensitive 10x12, 100's  (3) box 5.X-ray film green sensitive 8x10, 100's (3) box 6.X-r</t>
  </si>
  <si>
    <t xml:space="preserve"> Request for Quotation The Bureau of Fisheries and Aquatic Resources, Regional Office No. 5, Fabrica, Bula, Camarines Sur is requesting from prospective suppliers to submit quotation for the Supply and Delivery of Commercial Feeds for Tilapia (Floating Typ</t>
  </si>
  <si>
    <t xml:space="preserve"> Supply and Delivery of Medical Supplies, Rescue Materials and Evacuation Facilities for DRRM Operations with an ABC of Php327,350.00, arranged in four (4) lots: LOT 1. Medical Supplies = 34,600.00 LOT 2. Uniform = 24,000.00 LOT 3. Rescue Equipment = 171,3</t>
  </si>
  <si>
    <t xml:space="preserve"> Laptop &amp; Steel Cabinet</t>
  </si>
  <si>
    <t xml:space="preserve"> Republic of the Philippines Province of Benguet MUNICIPALITY OF BOKOD BIDS AND AWARDS COMMITTEE INVITATION TO BID FOR PROCUREMENT OF MICRO-INFRA PROJECTS CLUSTER 03-2020 (MDF 2019/2020), BILA &amp; BOBOK-BISAL, BOKOD, BENGUET 1.	The MUNICIPALITY OF BOKOD, thr</t>
  </si>
  <si>
    <t xml:space="preserve"> Republic of the Philippines PROVINCE OF SIQUIJOR Capitol, Bldg., Pulangyuta, Siquijor, Siquijor INVITATION TO BID FOR Supply and Delivery of Laboratory Supplies 1.	The Province of Siquijor, through the IPHO Medical, Dental &amp; Laboratory Supplies Expenses  </t>
  </si>
  <si>
    <t xml:space="preserve"> Republic of the Philippines Municipality of Palompon  Barangay Rizal BIDS AND AWARD COMMITTEE Palompon. Leyte INVITATION TO APPLY FOR ELIGIBILITY AND TO BID N0. 2020-0707-001                                                                                 </t>
  </si>
  <si>
    <t xml:space="preserve"> Republic of the Philippines Province of Benguet MUNICIPALITY OF BOKOD BIDS AND AWARDS COMMITTEE INVITATION TO BID FOR PROCUREMENT OF MICRO-INFRA PROJECTS CLUSTER 04-2020 (MDF 2020), DAKLAN, BOKOD, BENGUET 1.	The MUNICIPALITY OF BOKOD, through the  MDF 202</t>
  </si>
  <si>
    <t xml:space="preserve"> QTY  UNIT  DESCRIPTION 3	Station	Geo-Resistivity 300	Ft.	Construction of Well (Well Drilling - 12" Ø Bore hole Note: No water no pay) 300	Ft.	Construction of Well (Casing) 1	Lot	Construction of Well (Concrete works) 1	Set	Pump and Accessories (Submersible</t>
  </si>
  <si>
    <t xml:space="preserve"> Republic of the Philippines Province of Cotabato Municipality of Aleosan Invitation to Bid  SUPPLY, DELIVERY AND REPAIR OF SPAREPARTS OF HEAVY EQUIPMENT (VIBRATORY COMPACTOR), LGU ALEOSAN, COTABATO                                                          </t>
  </si>
  <si>
    <t xml:space="preserve"> Office, Janitorial &amp; Other Supplies</t>
  </si>
  <si>
    <t xml:space="preserve"> BLGU-STACRUZ-G-01-2020 PURCHASE OF PUBLIC ADDRESS AMPLIFIER</t>
  </si>
  <si>
    <t xml:space="preserve"> INVITATION TO BID FOR  Supplies &amp; Delivery of  Materials   CONSTRUCTION OF BLEACHER  &amp; STAGE AT BASKETBALL  COURT San Nicolas  , Villasis, Pangasinan 1.	The Local Government  of  San Nicolas, Villasis,  Pangasinan, intends to apply the sum  of (P404,291.8</t>
  </si>
  <si>
    <t xml:space="preserve"> A.) Materials     1. Concrete Works     2. Masonry Works w/ Plastering     3. Ceiling     4. Remove/place of Doors     5. Tiles Works     6. Plumbing &amp; Sanitary Fixtures     7. Roofing Bending Accessories     8. Railing &amp; Iron Grill     9. Painting B.) La</t>
  </si>
  <si>
    <t xml:space="preserve"> Republic of the Philippines Province of Cagayan Municipality of Aparri BARANGAY PARUDDUN NORTE -oOo- BIDS AND AWARDS COMMITTEE 								                           June 18, 2020 	 INVITATION TO APPLY FOR ELIGIBILITY AND TO BID The Barangay of PARUDDUN NORTE</t>
  </si>
  <si>
    <t xml:space="preserve"> Heavy Duty Storage Tub Black (Large) 2 pcs  Heavy Duty Storage Tub Black (Medium) 2 pcs  Heavy Duty Storage Tub Black (Small) 2 pcs  Total Amount: P 10,000.00</t>
  </si>
  <si>
    <t xml:space="preserve"> INVITATION TO BID NO. 20- 50 SUPPLY &amp; DELIVERY OF ECG MACHINE WITH ANALYZER 1.	The Department of Health, Center for Health Development Bicol (DOH – CHD Bicol), through the 2020 General Appropriations Act intends to apply the sum of One Million Four Hundre</t>
  </si>
  <si>
    <t xml:space="preserve"> ITEM: 5 pcs SERVICE WATCH FOR FEMALE, 1 pc SERVICE WATCH FOR MALE PURPOSE: FOR 2020 LOYALTY AWARDEEES(35 YEARS IN SERVICES).		 ABC: PHP 72,000.00 DELIVERY SCHEDULE: 10 CALENDAR DAYS</t>
  </si>
  <si>
    <t xml:space="preserve"> 1.	30,000	liter/s	Diesel Fuel 2.	1,000	liter/s	Gasoline Fuel</t>
  </si>
  <si>
    <t xml:space="preserve"> INVITATION TO BID NO. 20-42  SUPPLY &amp; DELIVERY OF MEDICAL EQUIPMENT/ INSTRUMENT PACKAGES 1.	The Department of Health, Center for Health Development Bicol (DOH – CHD Bicol), through the Government of the Philippines 2020 General Appropriations Act intends </t>
  </si>
  <si>
    <t xml:space="preserve"> ITEM: 5 pcs SERVICE  RINGS PURPOSE: FOR 2020 LOYALTY AWARDEES(30 YEARS IN SERVICE)			 ABC: PHP 70,000.00 DELIVERY SCHEDULE: 10 CALENDAR DAYS</t>
  </si>
  <si>
    <t xml:space="preserve"> Republic of the Philippines Province of Benguet MUNICIPALITY OF BOKOD BIDS AND AWARDS COMMITTEE INVITATION TO BID FOR PROCUREMENT OF MICRO-INFRA PROJECTS CLUSTER 05-2020 (MDF 2020), PITO, BOKOD, BENGUET 1.	The MUNICIPALITY OF BOKOD, through the  MDF 2020 </t>
  </si>
  <si>
    <t xml:space="preserve"> Republic of the Philippines PROVINCE OF SIQUIJOR Capitol, Bldg., Pulangyuta, Siquijor, Siquijor INVITATION TO BID FOR Supply and Delivery of Drugs and Medicines 1.	The Province of Siquijor, through the IPHO Drugs and Medicines Expenses 3000-1-01-013 200-5</t>
  </si>
  <si>
    <t xml:space="preserve"> Republic of the Philippines BOHOL ISLAND STATE UNIVERSITY Main Campus, Tagbilaran City INVITATION TO BID FOR SUPPLY AND DELIVERY OF HOTEL PROPERTY MANAGEMENT SOFTWARE (PR NO. 2020-03-0474) 1.	The Bohol Island State University – Main Campus, Tagbilaran Cit</t>
  </si>
  <si>
    <t xml:space="preserve"> 1. INSULATION SHEET NOMEX, ARAMID 12 MILS &amp; 14 OTHERS DELIVERY SITE:  MARINAWA DPP                          BATO, CATANDUANES PLEASE SUBMIT REQUIREMENTS: 1.	MAYOR’S/BUSINESS PERMIT 2.	PhilGEPS REG. NUMBER/CERTIFICATE</t>
  </si>
  <si>
    <t xml:space="preserve"> ITEM:  44 pcs PLAQUE PURPOSE: FOR LOYALTY AWARDEES												 ABC: PHP 57,200.00 DELIVERY SCHEDULE: 10 CALENDAR DAYS</t>
  </si>
  <si>
    <t xml:space="preserve"> UNIT	ITEM DESCRIPTION	QTY pcs	CHB 4"	250 bags	cement	75 cu.m.	screened sand	4 cu.m.	screened sand	4 pcs	10mm ø RSB	30 pcs	9mm RSB	40 kgs	#16 G.I. Tie wire	5 cu.m.	earthfill	20 pcs	1/4" marine flywood	4 pcs	plain G.I. sheet 8"	4 bd.ft.	20-pcs 2" x 2" x 12"</t>
  </si>
  <si>
    <t xml:space="preserve"> Request for Proposal  The Bureau of Fisheries and Aquatic Resources Regional Office No. 5 (BFAR RO 5), Fabrica, Bula, Camarines Sur is requesting from prospective suppliers to submit written proposal for the Meals and Accommodation during the conduct of 2</t>
  </si>
  <si>
    <t xml:space="preserve"> INVITATION TO BID NO. 20-63  SUPPLY &amp; DELIVERY OF AUTOCLAVE 1.	The Department of Health, Center for Health Development Bicol (DOH – CHD Bicol), through the 2019 General Appropriations Act intends to apply the sum of Four Million Five Hundred Thirty Thousa</t>
  </si>
  <si>
    <t xml:space="preserve"> PURCHASE AND DELIVERY OF MATERIALS FOR THE CONSTRUCTION OF MULTI-PURPOSE BUILDING, BRGY. TABUGON DINGLE, ILOILO</t>
  </si>
  <si>
    <t xml:space="preserve"> 1.face mask (20) box 2.face shield (65) pcs 3.disposable gloves (10) box xxxxxxxxx</t>
  </si>
  <si>
    <t xml:space="preserve"> Location : Legazpi City, Albay Scope of Work : Repair/Maintenance of DPWH Building (Rediras Building) Albay II District Engineering Office, Airport Site, Legazpi City, Albay</t>
  </si>
  <si>
    <t xml:space="preserve"> 1	14	units	Handheld Radio IC V80 VHF FM Transceivers 750mW loud	 			Audio Powerful 5.5W of Output power 	 			IP54 and MIL-STD-810 Rugged Construction	 			A total of 207 Memory Channels Built-in CTCSS/DTCS	 			Internal VOX function; WX Channel and weather </t>
  </si>
  <si>
    <t xml:space="preserve"> Please send your lowest possible quotation for the Procurement of Ozone Generator. Due to the recent situation, you can forward your proposal and queries at clarisseannesalenga@dti.gov.ph until 23 June 2020, 10:00AM. For those who have not yet submitted t</t>
  </si>
  <si>
    <t xml:space="preserve"> 1.Aircon repair/cleaning (5) units xxxxxxxxxx</t>
  </si>
  <si>
    <t xml:space="preserve"> Republic of the Philippines Province of Iloilo Municipality of Lambunao Office of the Bids &amp; Awards Committee INVITATION TO BID/ REQUEST FOR PRICE QUOTATION Name of Project: Purchase of Materials for the Concreting of Municipal Streets, Latañafrancia and </t>
  </si>
  <si>
    <t xml:space="preserve"> Name of Project: Construction of Multi-Purpose Building (Phase IV) I.	 Masonry/Concrete/Plastering/Plumbing/Electrical	Works 1000	pcs	CHB 50	pcs	10mm RSB 2	cu. m	Fine sand 2	cu. m	SI,aggrs. 40	bags	Cement 10	pcs	Ridge Roll 21	kgs	 Tie wire 1	pc	PVC pipe 4</t>
  </si>
  <si>
    <t xml:space="preserve"> TERMS OF REFERENCE PROJECT	: 	REPAIR/PRVENTIVE MAINTENANCE OF VARIOUS LABORATORY INSTRUMENTS LOCATION	:	LABORATORY BLDG. PCA, ELLIPTICAL RD. DILIMAN, QUEZON CITY Lot 1 – Php. 5,000.00 Check-up / Assessment of Nitrogen Analyzer D480 DUMASTER Serial No. 161</t>
  </si>
  <si>
    <t xml:space="preserve"> 1	8000	liters	diesel				 2	4000	liters	premium gasoline				 x-x-x-x-x-mb</t>
  </si>
  <si>
    <t xml:space="preserve"> Project Location: San Sebastian, Luna, Apayao Materials for the Concreting of Farm To Market Road at Purok Sadiri Connected to Purok Saniata</t>
  </si>
  <si>
    <t xml:space="preserve"> 1. GASKET, COMPRESSED ASBESTOS, GRAPHITE 1/16X60X60 &amp; 19 OTHERS DELIVERY SITE :  MARINAWA DPP                           BATO, CATANDUANES PLEASE SUBMIT REQUIREMENTS: 1.	MAYOR’S/BUSINESS PERMIT 2.	PhilGEPS REG. NUMBER/CERTIFICATE</t>
  </si>
  <si>
    <t xml:space="preserve"> REQUEST FOR QUOTATION 	The Caraga State University-Cabadbaran Campus, through its Bids and Awards Committee (BAC), will undertake a Negotiated Procurement (Small Value Procurement) for the project: PROCUREMENT ON SUPPLY AND DELIVERY OF ICT EQUIPMENT (3RD </t>
  </si>
  <si>
    <t xml:space="preserve"> REQUEST FOR PROPOSAL Purchase Request No: PUR20-05-0451 The Philippine General Hospital hereby informs the public that it will be procuring the following item/s through Small Value Procurement: I.                    NAME OF PROJECT Provision of a reliable</t>
  </si>
  <si>
    <t xml:space="preserve"> Diesel fuel</t>
  </si>
  <si>
    <t xml:space="preserve"> BIDS AND AWARDS COMMITTEE (BAC) Email address: bacregion2@yahoo.com Telefax No.: (078) 304-0560 INVITATION TO BID ITB No.: 2020-06-22 The Department of Agriculture – Regional Field Office No. 02 (DA-RFO 02) through its Bids and Awards Committee (BAC) invi</t>
  </si>
  <si>
    <t xml:space="preserve"> Waterworks System</t>
  </si>
  <si>
    <t xml:space="preserve"> INVITATION TO BID NO. 20-54  SUPPLY &amp; DELIVERY OF DEFIBRILLATOR WITH MONITOR 1.	The Department of Health, Center for Health Development Bicol (DOH – CHD Bicol), through the 2020 General Appropriations Act intends to apply the sum of One Million Five Hundr</t>
  </si>
  <si>
    <t xml:space="preserve"> ITEM: 6 pcs Mechanical Submersible							 Self- priming Flexible Suction Water Pump							 Specifications:							 Self- priming 3 in 1 Suction Water Pump							 Centrifugal type							 Flexible shaft dia. 13mm							 Rubber Hose diameter and length 36mmx6</t>
  </si>
  <si>
    <t xml:space="preserve"> length-24.0m width-2.50m thickness-0.20m</t>
  </si>
  <si>
    <t xml:space="preserve"> A. 1 Set Desktop Computer Specs: Intel Core i5 -Processor 4GB DRR4 Memory 1 TB HDD 16" HD Lead Display Power Supply Printer Keyboard and Mouse PC Table B. 1 Unit Printer (3 &amp; 1) C. 5 PCS Toner MFP M436 LASERJET D. 1 Unit Steel Filing Cabinet</t>
  </si>
  <si>
    <t xml:space="preserve"> Qty	Unit	Items &amp; Description 		 15	unit	Cover all Protective Suit (Gown type) 10	Unit	Face shield (Polycarbonate material) 15	box	Latex disposable gloves x 100's, medium 10	box	Face mask x 50's (surgical, 3ply) 5	gal	Ethyl alcohol, 70%, 4 liters/gal 4	pai</t>
  </si>
  <si>
    <t xml:space="preserve"> 1.Tires (265/65R17) Mud terrain (4) pcs 2.Brake fluid (4) ltrs 3.Brake pad (2) set 4.Engine oil (15W-40) synthetic (28) litrs 5.Oil filter (4) pcs 6.Air cleaner (2) pcs 7.Battery 11 plates maintenance free (1) pc xxxxxxxxxxxx</t>
  </si>
  <si>
    <t xml:space="preserve"> 1 UNIT PURCHASE OF BRAND NEW 4X2 AT PICK-UP Minimum Specification:  Engine Size=2.4L - 2.5 L  Displacement : 2,300cc - 2,500cc Number of Cylinders: 4  Number of Values :16 Transmission Category: Automatic Transmission  Fuel Type: Diesel  Fuel Tank Capacit</t>
  </si>
  <si>
    <t xml:space="preserve"> 1	3000	liters	diesel				 2	14	liters	oil#40(trekker)				 3	2	pcs.	oil filter				 4	2	pcs.	fuel filter				 x-x-x-x-x-x-xmb</t>
  </si>
  <si>
    <t xml:space="preserve"> Republic of the Philippines BIDS AND AWARDS COMMITTEE Province of Iloilo Invitation to Bid Purchase of Drugs and Medicines Bid No. FRT-20-0394-B 1. The Iloilo Provincial Government, through the GENERAL FUND 2020 intends to apply the sum of EIGHT HUNDRED S</t>
  </si>
  <si>
    <t xml:space="preserve"> length-114.00m width-1.00m depth-1.00m</t>
  </si>
  <si>
    <t xml:space="preserve"> Construction of Health center</t>
  </si>
  <si>
    <t xml:space="preserve"> LOT 1 144 bots Co-amoxiclav 250mg/62.50mg susp 60ml 144 bots Cetirizine 10mg/ml drops 10ml 144 bots Cetirizine 5mg/5ml syrup 30ml 10 bxs Cetirizine 10mg tablet 100's 10 bxs Meclizine 25mg tablet 10 bxs Cotrimoxazole forte tablet 800mg/160mg 30 bxs Cotrimo</t>
  </si>
  <si>
    <t xml:space="preserve"> 140 meters Alphagena 6 pcs Toilet Brush 2 pcs Hanger 8 pcs Foot Rug 5 pcs Mop 12 pcs Dishwashing  12 pcs Sponge 50 pcs Digital Thermometer 20 pcs Pillows 20 pcs Blanket 20 pcs Pillow Case 10 pcs Plastic Broom w/dustpan 7 pcs Garbage Bins (Large 50L) 4 pcs</t>
  </si>
  <si>
    <t xml:space="preserve"> MINIMUM EQUIPMENT REQUIREMENT 1 CONCRETE MIXER (ONE BAGGER) 1 ROAD GRADER 1 ROAD ROLLER 1 CONCRETE VIBRATOR 1 CONCRETE SAW 1 BAR CUTTER 20 STEEL FORMS DESCRIPTION 100(2) CLEARING AND GRUBBING 105(1) SUBGRADE PREPARATION 201 AGGREGATE BASE COURSE 311 PCC P</t>
  </si>
  <si>
    <t xml:space="preserve"> INVITATION TO BID 20-55  SUPPLY &amp; DELIVERY OF DRESSING CART WITH DRESSING SET 1.	The Department of Health, Center for Health Development Bicol (DOH – CHD Bicol), through the 2020 General Appropriations Act intends to apply the sum of One Million Two Hundr</t>
  </si>
  <si>
    <t xml:space="preserve"> Fix Glass;Glass Door;Sliding Door;Window Glass; Aircon</t>
  </si>
  <si>
    <t xml:space="preserve"> Hygiene Supplies &amp; Plastic Bags</t>
  </si>
  <si>
    <t xml:space="preserve"> 1.Sardines 100's  (100) (boxes)  2.Beef loaf 100's (100) (boxes)  3.Corned beef 100's (100) (boxes) xxxxxxxxxxxxx</t>
  </si>
  <si>
    <t xml:space="preserve"> 6	rolls	Series Tube Led Lights 100 mtrs./Roll (Green)				 15	packs	Plastic Cable Tie Wrap #6" Long				 1	rolls	Duplex Wire #16</t>
  </si>
  <si>
    <t xml:space="preserve"> FURNISHING AND DELIVERY OF MATERIALS FOR THE REPAIR AND IMPROVEMENT OF SIPAYA AND CALATEO ROAD</t>
  </si>
  <si>
    <t xml:space="preserve"> 20-06-206 Procurement of Various Medical Supplies</t>
  </si>
  <si>
    <t xml:space="preserve"> Republic of the Philippines Province of Iloilo Municipality of Lambunao Office of the Bids &amp; Awards Committee INVITATION TO BID/ REQUEST FOR PRICE QUOTATION Name of Project: Purchase of Materials for the Const. of Slope Protection Retaining Wall - Phase I</t>
  </si>
  <si>
    <t xml:space="preserve"> 1 Contract Consultancy on Agricultural Productivity Enhancement Program Online Sessions (CAPEon)- Consultancy Fee 1 Contract Consultancy on Agricultural Productivity Enhancement Program Online Sessions (CAPEon)- Travelling Fee</t>
  </si>
  <si>
    <t xml:space="preserve"> 1.Wooden library study table and chairs (5) sets 2.Steel shelves (3) shelves xxxxxxxx</t>
  </si>
  <si>
    <t xml:space="preserve"> CONSTRUCTION OF RETAINING WALL &amp; STORM   				 	                      DRAIN CANAL				 1	Structure Excavation			            320	cu.m. 2	Stone Masonry (Storm Drain Canal)	    95	cu.m. 3	Embankment			                    120	cu.m. 	***Nothing follows***</t>
  </si>
  <si>
    <t xml:space="preserve"> 1.Tarpaulin 3x4 (1000) pcs xxxxxxxxxxxxx</t>
  </si>
  <si>
    <t xml:space="preserve"> Republic of the Philippines Province of Benguet MUNICIPALITY OF BOKOD BIDS AND AWARDS COMMITTEE INVITATION TO BID FOR PROCUREMENT OF MICRO-INFRA PROJECTS CLUSTER 06-2020 (MDF 2020), KARAO, BOKOD, BENGUET 1.	The MUNICIPALITY OF BOKOD, through the  MDF 2020</t>
  </si>
  <si>
    <t xml:space="preserve"> Location : Legazpi City, Albay Scope of Work : Repair/Maintenance of 15.00 l.m. Reinforced Concrete Dike</t>
  </si>
  <si>
    <t xml:space="preserve"> 1	Set	Single Motor with LTO registration, GSIS Insurance and red plate				 		(Owner City Gov't. of Surigao)				 		Free 1 Helmet, 1 Year Warranty (Engine only) TPL insurance				 						 		Specifications:				 		Engine Type: 4 - Stroke OHC Air Cooled Displace</t>
  </si>
  <si>
    <t xml:space="preserve"> Sticker paper 40pcs Long folder 2reams fastener 20pcs correction tape 20pcs Epson ink CYMB 10bottles Paper clip big 15boxes broom soft 15pcs brromstick 15pcs detergent powder 30pouches disinfectant spray 15cans rags 20packs folder expandable 200pcs photop</t>
  </si>
  <si>
    <t xml:space="preserve"> Intel Core i5 - 8250U Processor (6M Cache, up to 3.40GHz), 4GB of single-chanel, onboard DDR4 system memory, Upgradable up to 20GB of dual channel DDR System, ITB 2.5 inch 5400ROM, 15.6 in HD 1366 X 768 resolution, high - brightness 16.9 aspect ratio, ult</t>
  </si>
  <si>
    <t xml:space="preserve"> Project Title: REHABILITATION / IMPROVEMENT OF LOCAL ACCESS ROADS Location: Brgy. Balais &amp; San Isidro, Lagangilang, Abra</t>
  </si>
  <si>
    <t xml:space="preserve"> INVITATION TO BID NO. 20-45  SUPPLY &amp; DELIVERY OF FETAL DOPPLER AND FETAL MONITOR 1.	The Department of Health, Center for Health Development Bicol (DOH – CHD Bicol), through the 2020 General Appropriations Act intends to apply the sum of Four Million Thre</t>
  </si>
  <si>
    <t xml:space="preserve"> INVITATION TO BID FOR  Procurement of Banyan Tree &amp; Bamboo Seedlings 1.	The Local Government Unit  of Don Victoriano,  Don Victoriano, Misamis  Occidental through the  Bids and Awards Committee BAC intends to apply the sum of   Three Hundred Forty Thousan</t>
  </si>
  <si>
    <t xml:space="preserve"> Qty	Unit	Items &amp; Description 		 3	unit	Pulse Ox Santamedical De Luxe SM-110 (Two way Display) 2	set	Nebulizer Kit without mask 2	set	Oxygen Regulator (Oxiplus Medical) 10	set	First aide kit bag (Bear HoHo) 30	pcs	Triangular Bandage, top care (38" x 38" x </t>
  </si>
  <si>
    <t xml:space="preserve"> TWO (2) pieces EXHAUST FAN ----(27,995.00 X 2) ---------- P 55,990.00 **Fan Diameter: 38" **Fan weight: 59kg **Max Speed: 450rpm **Sound at Max Speed: 60dBA **Volume: 32,000 m3h **Dimensions: 1060x400x1060mm FOUR (4) pieces INDUSTRIAL FAN----(19,780.00 x </t>
  </si>
  <si>
    <t xml:space="preserve"> const. of public toilet for men &amp; women</t>
  </si>
  <si>
    <t xml:space="preserve"> Republic of the Philippines Province of Benguet MUNICIPALITY OF BOKOD BIDS AND AWARDS COMMITTEE INVITATION TO BID FOR COMPLETION OF MULTI PURPOSE BUILDING AT PITO, BOKOD, BENGUET (MDF 2020) 1.	The MUNICIPALITY OF BOKOD, through the  MDF 2020  intends to a</t>
  </si>
  <si>
    <t xml:space="preserve"> Republicof the Philippines PROVINCEOFAGUSAN DEL SUR Municipality of San Luis Barangay SAN PEDRO Invitation to Bid SUPPLY AND DELIVERY OF HARDWARE MATERIALS FOR THE REHAB/IMPROVEMENT OF BRGY. MULTI-PURPOSE BLDG. 1. The Barangay government of San Pedro, San</t>
  </si>
  <si>
    <t xml:space="preserve"> 20-06-209 Procurement of Liquid Hand Soap</t>
  </si>
  <si>
    <t xml:space="preserve"> Hand Held Two-Way Radios</t>
  </si>
  <si>
    <t xml:space="preserve"> Maternal Milk</t>
  </si>
  <si>
    <t xml:space="preserve"> 1	100mm x 6m uPVC pipe, S-10, with RR		10	pcs. 2	150mm x 6m uPVC pipe, S-10, with RR		20	pcs. 3	200mm x 6m uPVC pipe, S10, with RR			5	pcs. 4	100mm CI gate valve, NRS, with BNG			1	pcs. 5	150mm CI gate valve, NRS with BNG			3	pcs. 6	200mm CI Gate valve, N</t>
  </si>
  <si>
    <t xml:space="preserve"> INVITATION TO BID FOR PROCUREMENT OF MATERIALS AND RENTAL OF EQUIPMENT FOR IMPROVEMENT OF EARLY CHILDHOOD DEVELOPMENT CENTER 1.	The Barangay Mialem of Jimenez, Misamis Occidental, through the 20% Barangay Development Fund and Financial Assistance intends </t>
  </si>
  <si>
    <t xml:space="preserve"> 50 bags cement 10 pcs 10 mm steel bar 10 pcs drum 200L HDPE open top 1 pc weighing scale 60kg 1 pcs weighing scale 10kg 6 pairs construction orange rubber coated gloves 2 box surgical mask 1 pc white board 4'x8' 3  pcs white board marker (flexoffice)</t>
  </si>
  <si>
    <t xml:space="preserve"> FABRICATION OF WOODEN HULL FISHING BANCA WITH OUTRIGGER June 19, 2020 1.	The Local Government Unit of Santander, through Trust Fund intends to apply the sum of One Million One Hundred Eighty Four Thousand Pesos Only (Php 1,184,000.00) being the Approved B</t>
  </si>
  <si>
    <t xml:space="preserve"> REQUEST FOR QUOTATION (RFQ) Supply, Delivery, Installation, Testing and Commissioning of Air-condition units of CFO The Commission on Filipinos Overseas invites PhilGEPS registered supplier to apply for the eligibility and to quote the lowest price for th</t>
  </si>
  <si>
    <t xml:space="preserve"> INVITATION TO BID FOR PROCUREMENT OF MATERIALS FOR IMPROVEMENT OF MULTI-PURPOSE BUILDING 1.	The Barangay Mialem, through the 20% Barangay Development Fund intends to apply the sum of Sixty-Six Thousand Seven Hundred Fifty-One Pesos and 95/100 Only (Php66,</t>
  </si>
  <si>
    <t xml:space="preserve"> QUANTITY : 50 UNIT OF ISSUE : BOX DESCRIPTION : RIFAMPICIN + ISONIAZID FILM COATED TABLET ANTI-TUBERCULOSIS (DUOMAX) ESTIMATED UNIT COST : PHP 1,500.00 ESTIMATED COST : PHP 75,000.00</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</si>
  <si>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</si>
  <si>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Republic of the Philippines Province of Bukidnon City of Valencia Barangay Kahaponan Contract Reference No. 2020-07 06/18/2020 INVITATION TO BID FOR THE SUPPLY AND DELIVERY OF ANDROID PHONE FOR BARANGAY OFFICIALS OF KAHAPONAN, VALENCIA CITY, BUKIDNON 1. T</t>
  </si>
  <si>
    <t xml:space="preserve"> 1	Motorbike			                                                        1	unit 	     Specifications:				 	          Engine Type: 4-stroke, OHC, air cooled				 	          Displacement: 109.17 cc				 	          Bore &amp; Stroke: 50.0mm X 55.60mm 				 	          </t>
  </si>
  <si>
    <t xml:space="preserve"> INVITATION TO BID 20-47  SUPPLY &amp; DELIVERY OF DELIVERY LIGHT,  DELIVERY SET &amp; DELIVERY TABLE 1.	The Department of Health, Center for Health Development Bicol (DOH – CHD Bicol), through the 2020 General Appropriations Act intends to apply the sum of Three </t>
  </si>
  <si>
    <t xml:space="preserve"> The Local  Government   Unit  of General  Santos  City, through  the  GENERAL FUND CY 2020  intends  to apply  the sum of ninety four thousand forty and xx / 100 Pesos Only (94,040.00)   being  the Approved  Budget  for the Contract   (ABC) to payments  u</t>
  </si>
  <si>
    <t xml:space="preserve"> Road Length = 579.00 l.m., PCCP (Width) = 4.0 m, Road Width = +/-6.0 m, Road thicknes = 0.20 m</t>
  </si>
  <si>
    <t xml:space="preserve"> NOTE: A complete set of Bidding Documents may be purchased by interested Bidders (working days and hours only) from the address below upon payment of nonrefundable fee in the amount of 500 pesos only. It may also be downloaded free of charge from the webs</t>
  </si>
  <si>
    <t xml:space="preserve"> Republic of the Philippines Province of Agusan del Norte Municipality of Carmen Tel # 343-3801 OFFICE OF THE BIDS AND AWARDS COMMITTEE INVITATION TO BID  The Local Government of Carmen, through its Bids and Awards Committee (BAC) invites Suppliers/Manufac</t>
  </si>
  <si>
    <t xml:space="preserve"> Location : Daraga, Albay Scope of Work : Repair/Maintenance of 16.00 l.m. Reinforced Concrete Dike</t>
  </si>
  <si>
    <t xml:space="preserve"> Republic of the Philippines Province of Iloilo Municipality of Lambunao Office of the Bids &amp; Awards Committee INVITATION TO BID/ REQUEST FOR PRICE QUOTATION Name of Project: Purchase of Materials for the Const. of Visitors Center/ IP Museum (Phase II) Loc</t>
  </si>
  <si>
    <t xml:space="preserve"> Republic of the Philippines PROVINCE OF ZAMBOANGA DEL NORTE Municipality of Sibutad BIDS AND AWARDS COMMITTEE JUNE 19, 2020 INVITATION TO BID The Local Government Unit of Sibutad, Zamboanga del Norte under P.R. No. GFP100-2020-06-046 dated JUNE 9, 2020 wi</t>
  </si>
  <si>
    <t xml:space="preserve"> 1.Meal (252) pax xxxxxxxx</t>
  </si>
  <si>
    <t xml:space="preserve"> Portland Cement 9mm dia RSB Tie Wire #16 Common Nails (Assoreted) CHB 4x8x16 Sand Gravel</t>
  </si>
  <si>
    <t xml:space="preserve"> Assorted materials and fittings use for new household and service connections.</t>
  </si>
  <si>
    <t xml:space="preserve"> ITEM 105	: SUBGRADE PREPARATION			4,800.00	SQ.M A.	Capacity and Quantity Computation Area = 8x1500 = 4,800.00 sq.m Grader &amp; roller days = 4,000.00 sq.m./2,000 perd day=2.4 days 3 days B.	Direct Cost a.	Fuel Cost 400 ltrs Fuel deisel for grader		52.00 ltr	</t>
  </si>
  <si>
    <t xml:space="preserve"> Item			Quantity			Unit of			Item Description														 No.						Issue																	 1			400			Pcs.			SARS-Cov-2 IgM/IgG Antibody  Test Kit														 									(Colloidal Gold Method)</t>
  </si>
  <si>
    <t xml:space="preserve"> Republic of the Philippines Province of Oriental Mindoro Municipality of Bongabong Barangay Lisap Section I. Invitation to Bid 2020-001 SUPPLY AND DELIVERY OF CONSTRUCTION MATERIALS AND SUPPLIES FOR THE CONCRETING OF BARANGAY ROAD (SO. SIANGE) 1. The Bara</t>
  </si>
  <si>
    <t xml:space="preserve"> FOR RHU ANTI RABIES VACCINATION LGU Cabagan Cabagan, Isabela</t>
  </si>
  <si>
    <t xml:space="preserve"> length-82.00m width-1.50m thickness-0.10m</t>
  </si>
  <si>
    <t xml:space="preserve"> see agency estimate for details</t>
  </si>
  <si>
    <t xml:space="preserve"> 1.	The LGU - CORELLA, BOHOL, through the budget approved by the Sanggunian per Municipal Ordinance No. 2019-15 under 20% development fund intends to apply the sum of PHP 1,800,000.00 being the Approved Budget for the Contract (ABC) to payments under the c</t>
  </si>
  <si>
    <t xml:space="preserve"> Solar Streetlights</t>
  </si>
  <si>
    <t xml:space="preserve"> INVITATION TO BID FOR PROCUREMENT OF MATERIALS FOR IMPROVEMENT OF MULTI-PURPOSE BUILDING 1.	The Barangay Mialem, through the 20% Barangay Development Fund intends to apply the sum of Ninety Thousand Six Hundred Thirty Pesos Only (Php90,630.00) being the A</t>
  </si>
  <si>
    <t xml:space="preserve"> Acer Aspire AMD A6 Laptop</t>
  </si>
  <si>
    <t xml:space="preserve"> June 18, 2020 	 INVITATION TO BID Reference No. 7053373 / Solicitation No. 2020/06/055 	The City Government of Tagum invites interested Bidders/Suppliers to submit for eligibility and to bid for the following: BONGO FRONTIER CATS EYE 	 								400,000.00 </t>
  </si>
  <si>
    <t xml:space="preserve"> DIESEL AND OIL AND LUBRICANT   (ATTACHED REQUEST FOR QUOTATION)</t>
  </si>
  <si>
    <t xml:space="preserve"> INVITATION TO BID 20-33 SUPPLY &amp; DELIVERY GENERATOR SET 1.	The Department of Health, Center for Health Development Bicol (DOH – CHD Bicol), through the 2020 General Appropriations Act intends to apply the sum of Seven  Million Five  Hundred  Thousand Peso</t>
  </si>
  <si>
    <t xml:space="preserve"> Please see attached specifications for more details Kindly submit your quotation on or before June 25, 2020, 8:00am to 5:00pm at Procurement Management Division, Admin and Finance Building, Cultural Center of the Philippines, CCP Complex, Roxas Boulevard,</t>
  </si>
  <si>
    <t xml:space="preserve"> Purchase of Drug Testing Kits</t>
  </si>
  <si>
    <t xml:space="preserve"> Republic of the Philippines Province of Iloilo Municipality of Lambunao Office of the Bids &amp; Awards Committee INVITATION TO BID/ REQUEST FOR PRICE QUOTATION Name of Project: Purchase of materials for the Farm to Market Road (Concreting) Location: Brgy. Ba</t>
  </si>
  <si>
    <t xml:space="preserve"> 1. MOUSE, WIRELESS &amp; 3 OTHERS DELIVERY SITE:    MARINAWA DPP                            BATO, CATANDUANES PLEASE SUBMIT REQUIREMENTS: 1.	MAYOR’S/BUSINESS PERMIT 2.	PhilGEPS REG. NUMBER/CERTIFICATE</t>
  </si>
  <si>
    <t xml:space="preserve"> 4 Cylinder Diesel Engine Manual Transmission 4 Cu. Mtr. Capacity</t>
  </si>
  <si>
    <t xml:space="preserve"> Solar Street Lights</t>
  </si>
  <si>
    <t xml:space="preserve"> Description   Republic of the Philippines Barangay Government of Tugbungan BIDS AND AWARDS COMMITTEE Tugbungan , Zamboanga City INVITATION TO BID FOR REHABILITATION OF ROAD AT TROPICAL, PUROK 7, TUGBUNGAN, ZAMBOANGA CITY The Barangay Government of Tugbung</t>
  </si>
  <si>
    <t xml:space="preserve"> INVITATION TO BID FOR  PROCUREMENT OF FALCATA SEEDLINGS  1.	The Local Government Unit  of Don Victoriano,  Don Victoriano, Misamis  Occidental through the  Bids and Awards Committee BAC intends to apply the sum Four Hundred Sixteen Thousand Four Hundred P</t>
  </si>
  <si>
    <t xml:space="preserve"> Republic of the Philippines Province of Iloilo Municipality of Lambunao Office of the Bids &amp; Awards Committee INVITATION TO BID/ REQUEST FOR PRICE QUOTATION Name of Project: Purchase of Materials for the Farm to Market Road (Concreting) Location:Brgy. Cun</t>
  </si>
  <si>
    <t xml:space="preserve"> Procurement of 1 Lot-1 pc. HIgh Pressure Pump, etc.</t>
  </si>
  <si>
    <t xml:space="preserve"> Portland Cement Coco Lumber 2x4x12 Sand Gravel Common Nails (Assorted)</t>
  </si>
  <si>
    <t xml:space="preserve"> pcs 	 disinfectant mat 		        10   pcs 	 metal alcohol dispenser 		 6   liter  disinfectant liquid 		        10   pcs 	 500 ml sprayer 		        150   box 	 facemask 		                10   pcs 	 black bag 30 x 37 		        500   pcs 	 black bag 37 x 40</t>
  </si>
  <si>
    <t xml:space="preserve"> 1. The Local Government Unit of General Tinio, Nueva Ecija, through the MOOE Approved Budget CY- 2020 intends to apply the sum of Php 811,430.81being the Approved Budget for the Contract (ABC) to payments under the contract for Renovation of Old Barangay </t>
  </si>
  <si>
    <t xml:space="preserve"> 1.	The NATIONAL ECONOMIC AND DEVELOPMENT (NEDA) XII, through the Republic Act No. 11464 (RA 11461)  intends to apply the sum of two million one hundred fifty six thousand eight hundred fifty pesos (PhP 2,156,850.00) being the Approved Budget for the Contr</t>
  </si>
  <si>
    <t xml:space="preserve"> 1. PILLOW 4X12X20, COTTON &amp; 2 OHERS DELIVERY SITE:  OM-BOD OFFICE                           PEÑAFRANCIA, DARAGA, ALBAY PLEASE SUBMIT REQUIREMENTS: 1.	MAYOR’S/BUSINESS PERMIT 2.	PhilGEPS REG. NUMBER/CERTIFICATE</t>
  </si>
  <si>
    <t xml:space="preserve"> TWO (2) UNITS LARGE FORMAT A3 PRINTER -----( 52,640.00 X 2 )------ P 105,280.00 **Maximum Print Resolution: 5760x1140 dpi **Size: 13" **Nozzle Configuration: 180 nozzles x 8 **Media Feeding: roll or cut sheets **Ink Type: Pigment Based **Ink Pallete: 8 co</t>
  </si>
  <si>
    <t xml:space="preserve"> Specification: 5ft x 2ft x 5 inches dimensions Panaflex/laser-cut acrylic Vinyl Sticker Metal frame, metal sheet Aluminum angle bar LED Electrical supplies Hardware and accessories 42 units to be delivered and installed in the following locations: Marindu</t>
  </si>
  <si>
    <t xml:space="preserve"> The Municipality of General Mariano Alvarez, Cavite (GMA, Cavite), invites sealed bids from interested Bidders for the Purchase of 2 Units Rescue Vehicles with Accessories details stated as follows: 1.	PURCHASE OF 2 UNITS RESCUE VEHICLE with ACCESSORIES– </t>
  </si>
  <si>
    <t xml:space="preserve"> Procurement of 1 Lot, 2 bxs Welding Rod 1/8mm diameter</t>
  </si>
  <si>
    <t xml:space="preserve"> 1.	The University of Rizal System, through the Fund 011 and 052 of 2020  intends to apply the sum of Seven Million Eight Hundred Nineteen Thousand One Hundred One Pesos and 44/100 Only (₱7,819,101.44) being the Approved Budget for the Contract (ABC) to pa</t>
  </si>
  <si>
    <t xml:space="preserve"> INVITATION TO BID The Iligan City Government Bids and Awards Committee (BAC), invites contractors registered by the Philippine Contractors Accreditation Board (PCAB) to bid for the hereunder contract: Name of Project   : Proposed Improvement of City Engin</t>
  </si>
  <si>
    <t xml:space="preserve"> Republic of the Philippines Province of Oriental Mindoro Municipality of Bongabong Barangay Lisap Section I. Invitation to Bid 2020-003 SUPPLY AND DELIVERY OF CONSTRUCTION MATERIALS AND SUPPLIES FOR THE CONCRETING OF BARANGAY ROAD (SO. ALYANON) 1. The Bar</t>
  </si>
  <si>
    <t xml:space="preserve"> SUPPLY AND DELIVERY OF FERTILIZER REQUIREMENTS OF WET SEASON RICE 2020 PK SOLUTION</t>
  </si>
  <si>
    <t xml:space="preserve"> For Garbage Truck Izuzu ELF (4BE1)</t>
  </si>
  <si>
    <t xml:space="preserve"> Republic of the Philippines Municipality of Taytay Taytay, Palawan NOTICE TO BIDDERS Item # Qty Unit Description Amount 1.	1	pc	Radiator  2.	2	pcs	Rubber Patch (50 mm) 3.	2	pcs	Rubber Patch (65 mm) 4.	2	pcs	Vulcanizing Solution  5.	1	pc	Tire Guage (Brass)</t>
  </si>
  <si>
    <t xml:space="preserve"> INVITATION TO APPLY FOR ELIGIBILITY AND TO BID 	The Municipality of Lingig, thru the Bids and Awards Committee invites interested suppliers, distributors and/or manufacturers to apply for eligibility and to bid for the supply and delivery of the following</t>
  </si>
  <si>
    <t xml:space="preserve"> Qty	Unit	Items &amp; Description 		 		Lot 2 1	unit	Hospital Bed (Electrical Remote Control NHB) 1	unit	Medical Examining table 6	unit	Storage Bench, Gray, (150x40x40)</t>
  </si>
  <si>
    <t xml:space="preserve"> Supply and delivery of hardware supplies for use in the development and construction of solar forage drier at NSPRDC, Tiaong, Quezon Qty	Unit	Item/Description				              ABC 						 4	bag	cement (40 kg)				                   1,400.00  3	sack	sand				</t>
  </si>
  <si>
    <t xml:space="preserve"> Contract ID	: 20-HE-0119 Contract Name	: Repair and Maintenance of Road Safety Facility – 1. Installation of Internally Illuminated (Solar) Pavement Levelled Marker/Stud Flush Type (Bi-Directional) along Natalio Bacalso Avenue at K0021+000-K0022+000 (with</t>
  </si>
  <si>
    <t xml:space="preserve"> SUPPLY OF MATERIALS &amp; RENTAL EQUIPMENT</t>
  </si>
  <si>
    <t xml:space="preserve"> Repair/Maintenance of Big Mateo Bridge Revetment (Limits: K1622+217)</t>
  </si>
  <si>
    <t xml:space="preserve"> 10 CU.M. EMBANKMENT 168 SQ.M. FORMWORKS &amp; SCAFFOLDING 2839.2 KGS REBARS 23 CU.M. CONCRETE WORKS 140 SQ.M. ROOFING SYSTEM</t>
  </si>
  <si>
    <t xml:space="preserve"> Republic of the Philippines National Kidney and Transplant Institute Bids and Awards Committee East Avenue, Quezon City 1100 981-0300 / 981-0400 local 1157 http://www.nkti.gov.ph/          NOTICE OF PROCUREMENT OPPORTUNITY       (SMALL VALUE PROCUREMENT) </t>
  </si>
  <si>
    <t xml:space="preserve"> Procurement of Labor for the Repair of Existing Facilities at Lowan2 -Php200,000.00</t>
  </si>
  <si>
    <t xml:space="preserve"> Republic of the Philippines Province of Iloilo Municipality of Lambunao Office of the Bids &amp; Awards Committee INVITATION TO BID/ REQUEST FOR PRICE QUOTATION Name of Project: Purchase of Materials for the Farm to Market Road (Concreting) Location: Brgy. Ca</t>
  </si>
  <si>
    <t xml:space="preserve"> Procurement of 1 Lot various parts, etc.</t>
  </si>
  <si>
    <t xml:space="preserve"> HAULING/TRANSPORT OF LUBE OIL FROM LEGAZPI PORT TO PLANT SITE FREIGHT/HANDLING AND OTHER CHARGES, TRANSHIPMENT ACTIVITIES (43 DRUMS @ 200 LITERS/DRUM) SCOPE OF WORKS: 1. Hauling of Forty Three (43) drums of Engine Lubricant oil a. 22 Drums of PETROMAR HF </t>
  </si>
  <si>
    <t xml:space="preserve"> 1 contract Modified and Innovative Manufacturing Productivity Extension (MiMPEX) Program (Online Consulting Services)- Consultancy Fee 1 contract Modified and Innovative Manufacturing Productivity Extension (MiMPEX) Program (Online Consulting Services)- T</t>
  </si>
  <si>
    <t xml:space="preserve"> Procurement of 1 Lot T-shirts with print</t>
  </si>
  <si>
    <t xml:space="preserve"> ELECTRICAL WORKS WIRES AND WIRING DEVICES POWERLOAD CENTER,SWITCHGEAR AND PANELBOARDS LIGHTING FIXTURES</t>
  </si>
  <si>
    <t xml:space="preserve"> 4 Cylinder Diesel Engine Manual Transmission Dual A/C</t>
  </si>
  <si>
    <t xml:space="preserve"> Republic of the Philippines Province of Oriental Mindoro Municipality of Bongabong Barangay Lisap Section I. Invitation to Bid 2020-002 SUPPLY AND DELIVERY OF CONSTRUCTION MATERIALS AND SUPPLIES FOR THE INSTALLATION OF SOLAR STREETLIGHTS (SO. HINGIN I &amp; A</t>
  </si>
  <si>
    <t xml:space="preserve"> Procurement of 1 Lot vehicle spare parts</t>
  </si>
  <si>
    <t xml:space="preserve"> 2	piece	    THERMOHYGROMETER, digital room	 	            - Measurement ranges: 0.500C/32-1220F	 	            - Resolution: 0.10C/0.180F,0.1%RH	 	            - Impact-resistant electrical components	 	            - Programmable date and time	 	            </t>
  </si>
  <si>
    <t xml:space="preserve"> 1. 1500 tablets Cefuroxime 500mg/tablet 2. 1500 tablets Amoxicillin+Clavulanic Acid 625mg/tablet 3. 10 tubes Oxytetracycline+Polymycin B Sulfate(Teramycin Optic Ointment) 4. 100 boxes Vit. B Complex with Lyzine Capsule 5. 500 boxes Amoxicillin 500mg/ caps</t>
  </si>
  <si>
    <t xml:space="preserve"> ATTACHED</t>
  </si>
  <si>
    <t xml:space="preserve"> AIRCONDITIONER 2HP, 220VAC, 1-PHASE, WINDOW TYPE INVERTER TYPE REMOTE CONTROL Technical Specs: 2.0HP window type, inerter air-conditioner Energy Efficiency Ratio : 11 – minimum Air Flow : Multi Angle Condenser Type;  Blue fin Technology Compressor : Inver</t>
  </si>
  <si>
    <t xml:space="preserve"> Republic of the Philippines Department of the Interior and Local Government BUREAU OF FIRE PROTECTION  Regional Office 10 Maharlika Bldg., Gumamela Extension Carmen, Cagayan de Oro City Telfax Number: (088) 880-7534 Email: bfprbac10@yahoo.com INVITATION T</t>
  </si>
  <si>
    <t xml:space="preserve"> 300 boxes GLICLAZIDE 80 MG. TAB 500 BOXES VITAMIN E 400 IU/30'S 200 BOXES METFORMIN 500 MG 100'S 6 BOXES ORAL REHYDRATION TABLET (HYDRITE) 200 BOXES ASPIRIN 100MG X 100'S 12 BOTS DIPHENHYDRAMINE SYRUP</t>
  </si>
  <si>
    <t xml:space="preserve"> The Municipality of Gen. Mariano Alvarez, Cavite, through its Bids and Awards Committee (BAC), invites suppliers / manufacturers /distributors /contractors to apply for eligibility and to bid for the hereunder project:									 									 									 Name of</t>
  </si>
  <si>
    <t xml:space="preserve"> I. ELECTRICAL WORKS    a) MATERIAL    b) LABOR II. SPANDREL WORKS    a) MATERIAL    b) LABOR SPL. CONSTRUCTION SAFETY &amp; HEALTH</t>
  </si>
  <si>
    <t xml:space="preserve"> 1.	The Municipality of Guinayangan, Quezon through the 2019 &amp; 2020 MDF  intends to apply the sum of Three Million Eight Hundred Ninety Three Thousand Pesos (P 3,893,000.00) being the Approved Budget for the Contract (ABC) to payments under the contract fo</t>
  </si>
  <si>
    <t xml:space="preserve"> INVITATION TO BID  1.	The CITY GOVERNMENT OF CAUAYAN, ISABELA through the TRUST FUND (DA VEGETABLE SEED ASSISTANCE PROJECT) intends to apply the sum of TWO MILLION PESOS (PHP2,000,000.00) being the Approved Budget for the Contract (ABC) to payments under </t>
  </si>
  <si>
    <t xml:space="preserve"> Qty	Unit	Items &amp; Description 		 		Lot 3 3	unit	Lateral Filing Steel Cabinet, 4 drawers, white (915x460x1320)</t>
  </si>
  <si>
    <t xml:space="preserve"> Repair/Maintenance of DILG Building</t>
  </si>
  <si>
    <t xml:space="preserve"> Description GENERAL ENGINEERING CONSTRUCTION Other Information The only authorized person to buy and drop bid documents is the bidder himself or his representative through a Special Power of Attorney (SPA), particularly stating therein the title of the pr</t>
  </si>
  <si>
    <t xml:space="preserve"> various items ( as per Purchase Request)</t>
  </si>
  <si>
    <t xml:space="preserve"> Procurement of 1 Lot Medical Laboratory Equipment</t>
  </si>
  <si>
    <t xml:space="preserve"> 1	"Laptop-Ultrabook 			1	unit 	   Operating System : Windows 10 Home				 	   Processor : Intel® Core™ i5-1035G1 processor				 	   Memory : 8 GB of onboard LPDDR4 system memory				 	   Storage : 512GB NVMe SSD				 	   Graphics : Intel® UHD Graphics				 	  </t>
  </si>
  <si>
    <t xml:space="preserve"> Construction of One Septic Tank</t>
  </si>
  <si>
    <t xml:space="preserve"> Republic of the Philippines DR. EMILIO B. ESPINOSA, SR. MEMORIAL STATE COLLEGE  OF AGRICULTURE AND TECHNOLOGY (Masbate State College) http:www.debesmscat.edu.ph Cabitan, Mandaon, Masbate Sir/Madam; The DEBESMSCAT invites suppliers to submit quotations or </t>
  </si>
  <si>
    <t xml:space="preserve"> 851 heads Chicken (ready to lay) 49.5 bags Feeds (pdp) 50 kls. 82 heads Piglet (8-10 kls) 64 bags Feeds (starter) 123 bags Feeds (grower) 95 bags Feeds (finisher)</t>
  </si>
  <si>
    <t xml:space="preserve"> Procurement of Office Supplies Php557,027.58</t>
  </si>
  <si>
    <t xml:space="preserve"> Epson blank ink    8 bottles Epson ink cyan     3bottles Epson ink yellow   3bottles Epson ink magenta 3bottles ink brother t300 black 5pcs ink brother t300 cyan 3pcs ink brother t300 yellow 3pcs ink brother t300 magenta 3pcs specialty board    15packs fi</t>
  </si>
  <si>
    <t xml:space="preserve"> INVITATION TO BID FOR  PROCUREMENT OF FALCATA SEEDLINGS  1.	The Local Government Unit  of Don Victoriano,  Don Victoriano, Misamis  Occidental through the  Bids and Awards Committee BAC intends to apply the sum of   One Million         One Hundred Forty F</t>
  </si>
  <si>
    <t xml:space="preserve"> 1. Split Type Aircon, 1.5 HP Inverter Premium with Installation      3    units 2. Split Type Aircon, 1 HP Inverter Premium with Installation         1     unit</t>
  </si>
  <si>
    <t xml:space="preserve"> Republicof the Philippines PROVINCEOFAGUSAN DEL SUR Municipality of San Luis Barangay CECILIA Invitation to Bid SUPPLY AND DELIVERY OF HARDWARE MATERIALS FOR THE CONSTRUCTION OF MULTI-PURPOSE HALL BLDG. (PHASE-2) 1. The Barangay government of Cecilia, San</t>
  </si>
  <si>
    <t xml:space="preserve"> Republic of the Philippines Province of Iloilo Municipality of Lambunao Office of the Bids &amp; Awards Committee INVITATION TO BID/ REQUEST FOR PRICE QUOTATION Name of Project: Purchase of Materials for the Farm to Market Road (Concreting) Location:  Brgy. M</t>
  </si>
  <si>
    <t xml:space="preserve"> CONSTRUCTION OF 0.01M THK PATHWAY</t>
  </si>
  <si>
    <t xml:space="preserve"> Installation of Solar Lighting, Concrete Works &amp; Project Marker</t>
  </si>
  <si>
    <t xml:space="preserve"> Biologic s</t>
  </si>
  <si>
    <t xml:space="preserve"> Cobuta Dessil Engine (2 cyclinder head) Direct Couple Water Engine Pump (3HP)</t>
  </si>
  <si>
    <t xml:space="preserve"> Republic of the Philippines Province of Misamis Oriental Local Government Unit of Claveria INVITATION TO BID FOR  Procurement of   Materials  for  Proposed Level III  Water System Upgrading at Barangay  Pelaez The Local Government Unit of Claveria, throug</t>
  </si>
  <si>
    <t xml:space="preserve"> 1. FUEL FILTER ELEMENT PRIMARY PN:CH10930 &amp; 9 OTHERS DELIVERY SITE:  RAPU-RAPU DPP                          POB. RAPU-RAPU, ALBAY PLEASE SUBMIT REQUIREMENTS: 1.	MAYOR’S/BUSINESS PERMIT 2.	PhilGEPS REG. NUMBER/CERTIFICATE</t>
  </si>
  <si>
    <t xml:space="preserve"> 1 sht Hardiflex  2 shts Marine Plywood # 1/4 (4x8) 3 shts Marine Plywood #1/2 (4x8)  4 shts Marine Plywood # 3/4 (4x8)  5 shts Corrogated GI sheets gauge 24  6 shts Plain GI Sheets  7 kl Umbrella Nails 8 gal Gloss Enamel Paint (white) 9 gal Flat Enamel Pa</t>
  </si>
  <si>
    <t xml:space="preserve"> 10	units	Solar Street Lights 60 Watts				 13	pcs	G.I Pipe 2" S-40</t>
  </si>
  <si>
    <t xml:space="preserve"> package   TURBO CCTV CAMERA CAT-6 OUTDOOR UTP FLAT CORD #18 FLEXIBOX 6X6 VIDEO BALUN CABLE TIE 16 CHANNEL DVR MONITOR</t>
  </si>
  <si>
    <t xml:space="preserve"> 1.	The MUNICIPAL GOV’T. OF CORELLA, BOHOL, through the budget approved by the Sanggunian per Municipal Ordinance No. 2020-08 (Supplemental Budget No. 2 under the General Fund for CY 2020) intends to apply the sum of PHP 300,000.00 being the Approved Budge</t>
  </si>
  <si>
    <t xml:space="preserve"> 1	Water Closet  375 x 700 x 785mm 3/6 L dual flush Soft close seat &amp; cover With NANO coating Flexible hose Angle valve ½ x ½ Fixation set Wax flange	6	Set 2	Lavatory 490  375mm With NANO coating w/o over flow	4	Set 3	Faucet LUKE basin tap Angle valve ½ x </t>
  </si>
  <si>
    <t xml:space="preserve"> INVITATION TO BID The Iligan City Government Bids and Awards Committee (BAC), invites contractors registered by the Philippine Contractors Accreditation Board (PCAB) to bid for the hereunder contract: Name of Project   : Construction of Tourism Multi-Purp</t>
  </si>
  <si>
    <t xml:space="preserve"> 1.Desktop computer with complete set (mouse,keyboard , AVR) (1) unit    2TB, HD cap: 4GB RAM size; 23" screen size;2-3 GHz processor speed    hexa core processor core type; 4GB memory, OS windows 10;1920x1080 display resolution 2. Continous printer with s</t>
  </si>
  <si>
    <t xml:space="preserve"> INVITATION TO BID 20-39  SUPPLY &amp; DELIVERY OF EXAMINING TABLE WITH STIRRUPS 1.	The Department of Health, Center for Health Development Bicol (DOH – CHD Bicol), through the 2020 General Appropriations Act intends to apply the sum of Four Million Twenty Fiv</t>
  </si>
  <si>
    <t xml:space="preserve"> REQUEST FOR QUOTATION  	The Caraga State University-Cabadbaran Campus, through its Bids and Awards Committee (BAC), will undertake a Negotiated Procurement (Small Value Procurement) for the project: PROCUREMENT ON SUPPLY AND DELIVERY OF CONSTRUCTION EQUIP</t>
  </si>
  <si>
    <t xml:space="preserve"> For Repair of Tuburan Bridge (Labor)</t>
  </si>
  <si>
    <t xml:space="preserve"> Road length = 405.00 l.m., Road Width = 6.0 m, Road pavement = 4.0 m, Road thickness = 0.20 m, Grouted Rip-Rap = 340.00 cu.m</t>
  </si>
  <si>
    <t xml:space="preserve"> Procurement of Airconditioner Php600,000.00</t>
  </si>
  <si>
    <t xml:space="preserve"> 630lm</t>
  </si>
  <si>
    <t xml:space="preserve"> Republic of the Philippines Province of Iloilo Municipality of Lambunao Office of the Bids &amp; Awards Committee INVITATION TO BID/ REQUEST FOR PRICE QUOTATION Name of Project: Purchase of Materials for the Farm to Market Road (Concreting) Location:Brgy. Mai</t>
  </si>
  <si>
    <t xml:space="preserve"> Invitation to Bid  1.	The CITY GOVERNMENT OF CAUAYAN CITY, ISABELA  through the 20% DEVELOPMENT FUND 2020  intends to apply the sum of  NINE MILLION SEVEN  HUNDRED FORTY SEVEN  THOUSAND NINE  HUNDRED THIRTY ONE PESOS &amp; NINETEEN CENTAVOS (Php9,747,931.19) </t>
  </si>
  <si>
    <t xml:space="preserve"> The MUNICIPALITY OF GUINAYANGAN, QUEZON, through the  General Fund   intends to apply the sum of  Three Hundred Eighty Thousand   Pesos (P 380,000.00) being the Approved Budget for the Contract (ABC) to payments under the contract for  Supply &amp; Delivery o</t>
  </si>
  <si>
    <t xml:space="preserve"> 6m x 6m</t>
  </si>
  <si>
    <t xml:space="preserve"> Republic of the Philippines Province of Ilocos Sur Municipality of Santa Brgy. BASUG Construction of Multi-Purpose Building Php 133,479.40 A. Materials lot description qty bags cement 30 cu.m sand 6 cu.m gravel 6 pcs 12 mm rsb 15 pcs 10mm rsb 15 pcs 2x2x1</t>
  </si>
  <si>
    <t xml:space="preserve"> For Repair of Tuburan Bridge (Materials)</t>
  </si>
  <si>
    <t xml:space="preserve"> materials for the Concreting of Barangay Road</t>
  </si>
  <si>
    <t xml:space="preserve"> TERMS OF REFERENCE  CONTRACT OF SERVICE AS LEARNING SERVICE PROVIDER FOR THE CITY COLLEGE OF SAN JOSE DEL MONTE  PROFESSOR I          A.	TYPE OF CONTRACT: Contract of Service as Learning Service Provider B.	PROJECT DESCRIPTION OR CONTENT AND BACKGROUND  T</t>
  </si>
  <si>
    <t xml:space="preserve"> Republic of the Philippines Municipality of Taytay Taytay, Palawan NOTICE TO BIDDERS Item # Qty Unit Description Amount 1. 1 lot Construction Materials and Supplies The two envelope system of procurement shall be observed, Bidding documents shall be avail</t>
  </si>
  <si>
    <t xml:space="preserve"> Food Commodities</t>
  </si>
  <si>
    <t xml:space="preserve"> Republic of the Philippines Province of Albay Municipality of Sto. Domingo BARANGAY FIDEL SURTIDA BIDS AND AWARDS COMMITTEE INVITATION TO BID The LGU-Fide Surtida Sto. Domingo, Albay through the Bids and Awards Committee (BAC) invites suppliers/manufactur</t>
  </si>
  <si>
    <t xml:space="preserve"> Remov. of Actual Struc./Obst. L=40.0 In m, W= 4.0m, t=0.15m thk. Subgrade preparation, l=40.0 In.m, W=6.0m Aggregate Base Course, L=40.0 In.m, W=6.0m, t=0.20m thk. P.C.C.P ( 8'' THK.) L=40.0 In.m, W=5.0m, t=0.20m thk.</t>
  </si>
  <si>
    <t xml:space="preserve"> The Municipality of Lingig, thru the Bids and Awards Committee invites interested suppliers, distributors and/or manufacturers to apply for eligibility and to bid for the supply and delivery of the following:  1 LOT CONCRETING OF BARANGAY ACCESS ROAD (CRI</t>
  </si>
  <si>
    <t xml:space="preserve"> Republic of the Philippines Province of Iloilo Municipality of Lambunao Office of the Bids &amp; Awards Committee INVITATION TO BID/ REQUEST FOR PRICE QUOTATION Name of Project: Purchase of Materials for the Farm to Market Road (Concreting) Location: Brgy. Bi</t>
  </si>
  <si>
    <t xml:space="preserve"> Retainer Fee for Medical and Dental Services for CY 2020. Doctor's Fee at Salcedo Velasquez Park Doctor's Fee at Bel-Air Clinic Dentist at Salcedo Velasquez Park Dentist at Bel-Air Clinic Nurse at Salcedo Velasquez Park Nurse at Bel-Air Clinic Dental Assi</t>
  </si>
  <si>
    <t xml:space="preserve"> Republic of the Philippines Province of Ilocos Sur Municipality of Santa Barangay Calungboyan Construction of Solar Dryer  Php 147,000.00 A. Materials lot description qty cu.m filling materials  30 cu.m aggregate base course gravel 15 bags portland cement</t>
  </si>
  <si>
    <t xml:space="preserve"> 1.	The Municipality of Ubay, through the its bids and Awards Committee (BAC), Invites contractors to submit bids for the following contract: Contract ID No: 20INFR008 Contract Name: CONSTRUCTION OF UBAY OPEN MARKET STORE BAGSAKAN CENTER Contract Location:</t>
  </si>
  <si>
    <t xml:space="preserve"> Construction/Rehabilitation of Water Supply/Septage and Sewerage/Rain Water Collectors</t>
  </si>
  <si>
    <t xml:space="preserve"> Risograph Machine to be used for production of learning modules, worksheets, activity and lesson exemplars</t>
  </si>
  <si>
    <t xml:space="preserve"> 24	cases	Infant Formula 0-6 Months Old with energy, Fat, protein, carbohydrates,minerals and vitamins (1.8kg) 36	cases	Follow up formula 6-12monthd old with energy, Fat, protein, carbohydrates,minerals and vitamins (1.8kg)  48	cases	Follow up formula 1-3 </t>
  </si>
  <si>
    <t xml:space="preserve"> ATTACH</t>
  </si>
  <si>
    <t xml:space="preserve"> INVITATION TO BID Construction Materials (Construction/Rehabilitation of Brgy. Roads)-Re-Bid Project No: 2020-004 The Brgy. Council Carmelo 1, San Remigio, through the 20% Dev’t. Fund 1st &amp; 2nd Quarter CY 2020 intends to apply the sum of One Hundred Four </t>
  </si>
  <si>
    <t xml:space="preserve"> PLEASE SEE ATTACH REQUEST FOR QUOTATION Please quote your lowest price on the job/items listed (please use attached Request for Quotation and send it back to us), subject to the Specifications and Terms and Conditions provided herein, stating the shortest</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</si>
  <si>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</si>
  <si>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Specifications Color: Silver or Space or Space Gray 11 inch liquid retina display Mul-Touch display with IPS Technology Weight:  1.03 lb Size: 11 inches Resolution : 2388 x 1668 pixels Wifi A12X Bionic chip with 64-bit architecture M12 coprocessor IOS 13 </t>
  </si>
  <si>
    <t xml:space="preserve"> INVITATION TO BID The Surigao del Sur 1st District Engineering Office, Tandag City, through its Bids and Awards Committee (BAC), invites contractors to submit bids for the following Contract: CONTRACT ID	:	20NH0075 (RE-AD) CONTRACT NAME	:	Rehabilitation o</t>
  </si>
  <si>
    <t xml:space="preserve"> Republic of the Philippines BARANGAY TAMBO Lipa City OFFICE OF THE PUNONG BARANGAY BIDS AND AWARDS COMMITTEE INVITATION TO BID The Barangay Government of BARANGAY TAMBO, through its Bids and Awards Committee ( BAC ), invites suppliers/manufacturers/distri</t>
  </si>
  <si>
    <t xml:space="preserve"> Deodorizer to be used at different government facility</t>
  </si>
  <si>
    <t xml:space="preserve"> Bill of Quantities				 				 QUANTITY	    DESCRIPTION	     UNIT	     UNIT PRICE	    TOTAL 1.0 CARPENTRY WORKS				     80	 10 pcs. 2 x 4 x 12	     bd.ft.		     60	 10 pcs. 2 x 3 x 12	     bd.ft.		     10   	 2 x 2 x 8	                   bundles		      1	   </t>
  </si>
  <si>
    <t xml:space="preserve"> INVITATION TO BID RE-BIDDING LGU-El Salvador City, Misamis Oriental through its BAC, invites interested bidders to apply for eligibility and if found eligible to bid for the contract: 1. Contract ID No. : ITB No. 2020-06-047/Project ID No. 20-019-20% Name</t>
  </si>
  <si>
    <t xml:space="preserve"> Ink, Master Roll and Rubber Roll, to be used for production of learning modules, worksheets, activity and lesson exemplars</t>
  </si>
  <si>
    <t xml:space="preserve"> MOBILIZATION/ DEMOBILIZATION											 OCCUPATIONAL SAFETY AND HEALTH PROGRAM											 CONCRETE WORKS											 REINFORCING STEEL OF REINFORCED CONCRETE											 FORM WORKS &amp; FALSE WORK ONE STOREY)											 Fabricated Metal Roofing Accessory (Ridg</t>
  </si>
  <si>
    <t xml:space="preserve"> Bond Paper (Long Sub. 20) to be used for production of learning modules, worksheets, activity and lesson exemplars</t>
  </si>
  <si>
    <t xml:space="preserve"> Republic of the Philippines Province of Iloilo Municipality of Lambunao Office of the Bids &amp; Awards Committee INVITATION TO BID/ REQUEST FOR PRICE QUOTATION Name of Project: Purchase of Materials for the Farm to Market Road (Concreting) Location:Brgy. Bin</t>
  </si>
  <si>
    <t xml:space="preserve"> GYPSUM BOARD ON METAL FRAME CEILING 100mm CHB NON-LOAD BEARING  PORTLAND CEMENT CONCRETE PAVEMENT(UNREINFORCED) 200mm THK. STAINLESS RAILINGS SPANDREL STRUCTURAL CONCRETE FOR FOOTING TIE BEAM, COLUMN, SUSPENDED SLAB, GIRDER/BEAM (CLASS A) ALUMINUM GLASS W</t>
  </si>
  <si>
    <t xml:space="preserve"> 1.  CAMERA, DOCUMENT 32X ZOOM; 30FPS, 1080P HD, HDMI/VGA  &amp; 2 OTHERS DELIVERY SITE:   VIGA DPP                           VIGA, CATANDUANES PLEASE SUBMIT REQUIREMENTS: 1.	MAYOR’S/BUSINESS PERMIT 2.	PhilGEPS REG. NUMBER/CERTIFICATE</t>
  </si>
  <si>
    <t xml:space="preserve"> Republic of the Philippines Province of Leyte Municipality of Hilongos Barangay Tejero REQUEST FOR QUOTATION  JUNE 18, 2020          Date               ______________________ _______________________ _______________________ ________________________________</t>
  </si>
  <si>
    <t xml:space="preserve"> See attached Request for Quotation (RFQ)</t>
  </si>
  <si>
    <t xml:space="preserve"> 1	1	Unit	Floor polisher Net weight: 30 kg; Underside size: 40.6 cm with bumper; Handle size: 1m adjustable stainless tube; Cord: 13.5 royal cord; Motor: 3/4 HP, 220V, 60 cycles; Brush speed: 175 rpm; Consumption: 559 watts; Includes: compatible floor poli</t>
  </si>
  <si>
    <t xml:space="preserve"> for Construction of School Clinic Phase III (Labor)</t>
  </si>
  <si>
    <t xml:space="preserve"> for Improvement of Evacuation Center (Labor)</t>
  </si>
  <si>
    <t xml:space="preserve"> 1.  PROJECTOR MULTIMEDIA 3,000 MIN ANSI LUMENS, DIGITAL LIGHT PROCESSING (DLP) SYSTEM &amp; 2 OTHERS DELIVERY SITE:  BURIAS DPP                          SAN PASCUAL (BURIAS ISLAND) MASBATE PLEASE SUBMIT REQUIREMENTS: 1	MAYOR’S/BUSINESS PERMIT 2	PhilGEPS REG. </t>
  </si>
  <si>
    <t xml:space="preserve"> Republic of the Philippines Municipality of Taytay Taytay, Palawan NOTICE TO BIDDERS Item # Qty Unit Description Amount 1.    1     Lot    Office Supplies and Devices The two envelope system of procurement shall be observed, Bidding documents shall be ava</t>
  </si>
  <si>
    <t xml:space="preserve"> INVITATION TO BID The Surigao del Sur 1st District Engineering Office, Tandag City, through its Bids and Awards Committee (BAC), invites contractors to submit bids for the following Contract: CONTRACT ID	:	20NH0091 CONTRACT NAME	:	Construction of Multi-Pu</t>
  </si>
  <si>
    <t xml:space="preserve"> various medical and dental and laboratory supplies</t>
  </si>
  <si>
    <t xml:space="preserve"> Republic of the Philippines MUNICIPALITY OF AGONCILLO Province of Batangas Tel. No. 043-210-2344 INVITATION TO BID The Municipal Government, through its Bids and Awards Committee (BAC), invites suppliers/manufacturers/distributors/contractors to apply for</t>
  </si>
  <si>
    <t xml:space="preserve"> PHILIPPINE BIDDING DOCUMENTS (As Harmonized with Development Partners) MATERIALS AND APPARATUS NEEDED IN THE CMS CENTRALIZE MONITORING SYSTEM BIDDING Government of the Republic of the Philippines TABLE OF CONTENTS SECTION I. INVITATION TO BID…………………………………</t>
  </si>
  <si>
    <t xml:space="preserve"> Republic of the Philippines Province of Iloilo Municipality of Lambunao Office of the Bids &amp; Awards Committee INVITATION TO BID/ REQUEST FOR PRICE QUOTATION Name of Project: Purchase of Materials for the Farm to Market Road (Concreting) Location: Brgy. Ag</t>
  </si>
  <si>
    <t xml:space="preserve"> REQUEST FOR EXPRESSION OF INTEREST (REI) FOR 20CSCE003-CONSULTING SERVICES FOR THE CONDUCT OF SOIL/GEOTECHNICAL INVESTIGATION FOR THE PROPOSED WIDENING OF PERMANENT BRIDGES WITHIN THE 1st  AND 2nd LEGISLATIVE DISTRICT OF NUEVA ECIJA 1. The Department of P</t>
  </si>
  <si>
    <t xml:space="preserve"> Bill of Quantities				 				 QUANTITY	            DESCRIPTION	              UNIT	 UNIT PRICE	TOTAL 1.0 PIPING WORKS				      79	          #1 1/2 G.I. Pipe	            length		      82	          #1 1/2 G.I. Pipe Coupling	      pcs.		      79	          Tapel</t>
  </si>
  <si>
    <t xml:space="preserve"> Please see attached documents</t>
  </si>
  <si>
    <t xml:space="preserve"> 1. The Polomolok Water District now invites Bids from MANUFACTURERS/SUPPLIERS &amp; ELIGIBLE BIDDERS for the Supply and Delivery of Assorted Gate Valves with an approved budget amounting to P 599,000.00. Issuance and availability of bidding documents will be </t>
  </si>
  <si>
    <t xml:space="preserve"> 4	pack	AUTOCLAVABLE waste disposal bag (100's)	 		- 8.5 x 11 inches; steam autoclavable at 121 psi	 2	roll	AUTOCLAVE TAPE	 1	pair	CRUCIBLE TONG	 2	box	SYRINGE, 1cc	 2	box	SYRINGE, 5cc	 23	box	FACIAL MASK, earloop	 		- disposable, 3 ply	 5	piece	DUST MASK,</t>
  </si>
  <si>
    <t xml:space="preserve"> Republic of the Philippines Municipality of Taytay Taytay, Palawan NOTICE TO BIDDERS Item # Qty Unit Description Amount 1. 1 unit Word Cabinet w/glass Slide 2. 10 pcs Monoblock Chairs (Green) 3. 2 pcs Executive Chair w/arm 4. 3 pcs Visitor Chair 5. 1 pc W</t>
  </si>
  <si>
    <t xml:space="preserve"> Please see the attached Documents</t>
  </si>
  <si>
    <t xml:space="preserve"> Barangay Murong, Bagabag, Nueva Vizcaya, through the 2020-20% BDF &amp; 2020 MUNICIPAL ASSISTANCE, intends to apply the sum of FIVE HUNDRED FORTY THOUSAND ONE HUNDRED SIXTY PESOS (PHP540,160.00) ONLY Philippine Currency being the Approved Budget for the Contr</t>
  </si>
  <si>
    <t xml:space="preserve"> Republic of the Philippines Municipality of Taytay Taytay, Palawan NOTICE TO BIDDERS Item # Qty Unit Description Amount 1. 691 bags Cement 2. 21 kgs CW Nails #4 3. 16 kgs CW Nails #3 4. 10 kgs CW Nails #2.5 5. 4 rolls Nylon #100 6. 583 pcs RSB 10mm dia x </t>
  </si>
  <si>
    <t xml:space="preserve"> Production of Responsible Parenthood and Family Planning (RPFP) Go Kits FP Tool Kit - 240 pieces Materials: Poly rubber with 3 zippered nylon, mesh pocket and 3 open flat pocket with 210D nylon, garterized pockets and 3/4 inch plastic side release lock Go</t>
  </si>
  <si>
    <t xml:space="preserve"> Invitation to Bid  1.	The CITY GOVERNMENT OF CAUAYAN CITY, ISABELA  through the TRUST FUND intends to apply the sum of  FOURTEEN MILLION FOUR HUNDRED SIXTEEN THOUSAND SEVEN HUNDRED SEVENTY THREE PESOS &amp; EIGHTY FOUR CENTAVOS (Php14,416,773.84)  being the A</t>
  </si>
  <si>
    <t xml:space="preserve"> Republic of the Philippines DEPARTMENT OF PUBLIC WORKS AND HIGHWAYS LAGUNA II DISTRICT ENGINEERING OFFICE REGIONAL OFFICE IV-A Brgy. Bambang, Los Baños, Laguna Invitation to Bid No. 2020 - 11 The Department of Public Works and Highways- Laguna II District</t>
  </si>
  <si>
    <t xml:space="preserve"> Expansion of Potable Water System Level II</t>
  </si>
  <si>
    <t xml:space="preserve"> ECG Cable •	compatible with ECG machine model: SE-1 and SE-3	4	set ECG Chest Electrode Bulb (adult) •	rubber suction bulb •	1box = 6 bulbs •	electrodes are fitting to all varieties of ECG cable and lead wire	1	set ECG Chest Electrode Bulb (pedia) •	rubber</t>
  </si>
  <si>
    <t xml:space="preserve"> INVITATION TO BID NO. 20-44 SUPPLY &amp; DELIVERY OF CARDIAC MONITOR WITH PULSE OXIMETER 1.	The Department of Health, Center for Health Development Bicol (DOH – CHD Bicol), through the 2020 General Appropriations Act intends to apply the sum of Two Million On</t>
  </si>
  <si>
    <t xml:space="preserve"> Construction of Stone Masonry</t>
  </si>
  <si>
    <t xml:space="preserve"> ARTICLE AND DESCRIPTION                  										 ITEM	QTY	UNIT						CEILING 		UNIT PRICE			TOTAL  								PRICE					 			Office:  Manila City Council					PR No. 425					 			Charge to: Repair and Maintenance-Machinery &amp; Equipment										 			ABC: Php96,</t>
  </si>
  <si>
    <t xml:space="preserve"> 1. The Polomolok Water District now invites Bids from MANUFACTURERS/SUPPLIERS &amp; ELIGIBLE BIDDERS for the Supply and Delivery of Assorted Service Connection Materials with an approved budget amounting to PhP 764,525.00. Issuance and availability of bidding</t>
  </si>
  <si>
    <t xml:space="preserve"> Republic of the Philippines Province of Davao Oriental City of Mati BIDS &amp; AWARDS COMMITTEE INVITATION TO BID LOT Procurement of FOOD SUPPLIES for the Use of Indigent People Affected by Pandemic in the Province of Davao Oriental SOURCE OF FUND: OLF [1999Z</t>
  </si>
  <si>
    <t xml:space="preserve"> INVITATION TO BID IB No. GS-2020 – 073 Agricultural Products (Seeds, Seedlings, Plants…) for Distribution under Binhian sa Barangay and Mindoro Dinorado Rice Production Program-Agro Technology Resource and Management Services Division 1. The  Provincial  </t>
  </si>
  <si>
    <t xml:space="preserve"> INVITATION TO BID IB No. GS-2020 – 075 Hospital/Medical Equipment for use of OMSDH/ for the Covid &amp; Non Covid patients of OMSDH 1. The  Provincial  Government  of  Oriental  Mindoro  (PGOM)  through  the  20% Development Fund CA 2019 intends  to  apply  t</t>
  </si>
  <si>
    <t xml:space="preserve"> INVITATION TO BID 20-59  SUPPLY &amp; DELIVERY OF ELECTROLYTE ANALYZER 1.	The Department of Health, Center for Health Development Bicol (DOH – CHD Bicol), through the 2020 General Appropriations Act intends to apply the sum of One Million Two Hundred Fifty Th</t>
  </si>
  <si>
    <t xml:space="preserve"> Goggles, mist-free reusable polycarbonate lenses soft and light weight fit to wearing the corrective glasses, impact/ chemical/fluid resistant	75	PC Gown, surgical sterile disposable long sleeves extra large water proof, velcro neck, two strips knitted cu</t>
  </si>
  <si>
    <t xml:space="preserve"> SUPPLY, DELIVERY AND INSTALLATION OF 3-75KVA TRANSFORMERS INCLUDING ACCESSORIES I. GENERAL EXPENSES I.1 MOBILIZATION, DEMOBILIZATION AND CLEAN UP OF SITE II MAIN POWERLINE SYSTEM II.1 INSTALLATION OF POWERLINE SYSTEM INCLUDING TESTING AND COMMISSIONING OF</t>
  </si>
  <si>
    <t xml:space="preserve"> Republic of the Philippines Municipality of Taytay Taytay, Palawan NOTICE TO BIDDERS Item # Qty Unit Description Amount 1. 20 tons Green Mussel Juveniles 2. 20 tons Seaweeds Seedlings The two envelope system of procurement shall be observed, Bidding docum</t>
  </si>
  <si>
    <t xml:space="preserve"> Mail Cloud Server  100 Users  * 30GB Cloud Storage  * Business email through Gmail  * Shared Calendars  * Video and Voice Conferencing  * 1 Year Email-Based Support  * 10 Year Phone-Based Support  Unit Cost: P 5,000.00    Total Cost: P 500,000.00</t>
  </si>
  <si>
    <t xml:space="preserve"> 1. The Polomolok Water District now invites Bids from MANUFACTURERS/SUPPLIERS &amp; ELIGIBLE BIDDERS for the Supply and Delivery of Assorted Materials for the Establishment of District Metering Area with an approved budget amounting to PHP 430,000.00. Issuanc</t>
  </si>
  <si>
    <t xml:space="preserve"> Excavation, grouted riprap, plastering</t>
  </si>
  <si>
    <t xml:space="preserve"> 1.	Base Radio Repeater VHF	1	set 2.	Variloop Antenna	2	pcs 3.	Coaxial Cable US RG8 Stranded Wire	70	meters 4.	PL259 Connector	8	pcs 5.	GI Wire #12	65	kgs 6.	Turn Buckle M12	60	pcs 7.	Assemble Antenna with Step Bar G.I. Pipes Sched 40 (100ft)	1	pc 8.	Light</t>
  </si>
  <si>
    <t xml:space="preserve"> Republic of the Philippines                    PROVINCE OF BUKIDNON                    Municipality of Don Carlos                             BIDS AND AWARDS COMMITTEE REQUEST FOR QUOATATION 									 						                         Date:  							         </t>
  </si>
  <si>
    <t xml:space="preserve"> TERMS OF REFERENCE  CONTRACT OF SERVICE AS LEARNING SERVICE PROVIDER FOR THE CITY COLLEGE OF SAN JOSE DEL MONTE  ASSOCIATE PROFESSOR III          A.	TYPE OF CONTRACT: Contract of Service as Learning Service Provider B.	PROJECT DESCRIPTION OR CONTENT AND B</t>
  </si>
  <si>
    <t xml:space="preserve"> Construction of Day Care Center Building - 6 meter x 8 meter</t>
  </si>
  <si>
    <t xml:space="preserve"> Earthworks excavation, stone masonry works(88 lin.m), plastering, manual hauling of materials</t>
  </si>
  <si>
    <t xml:space="preserve"> 1-PC MINI WIRELESS USB ADAPTOR, &amp; 9 ITEMS</t>
  </si>
  <si>
    <t xml:space="preserve"> 42	bags	CEMENT 12 	lenghts	10mm Ø DEF. BARS 9	kl.	GI TIE WIRE #16 12	sheets	1/4 THK. ORDINARY MARINE PLYWOOD 18	kls.	SAHARA 20	pcs.	16mm Ø DEF. BARS 49	pcs.	12MM Ø DEF. BARS 20	pcs.	10mm Ø DEF. BARS 15	kls.	CWN #4 8	kls.	CWN# 2 1/2" 1	kls.	CWN #1" 5	lengt</t>
  </si>
  <si>
    <t xml:space="preserve"> PHIVIDEC INDUSTRIAL AUTHORITY	 MCT Complex, Tagoloan, Mis. Oriental	 Tel Nos: (08822) 740245, (088) 5670-315	 email add:  	bacsec@mail.piamo.gov.ph 	pia.bacsec@gmail.com 	 Standard Form Number: SF-GOOD-60	 Revised on: May 24, 2004	Oct-16 Standard Form Tit</t>
  </si>
  <si>
    <t xml:space="preserve"> Gigli wire, saw fine 400mm with unbraided monofilament	50	PC Kelly pad w/ inflator, rubberized, washable	13	PC Ligating clips, sterile, single pack for use with open and endoscopic single clip applier	15	PC</t>
  </si>
  <si>
    <t xml:space="preserve"> Republic of the Philippines CITY GOVERNMENT OF ANTIPOLO Antipolo City INVITATION TO BID For the Supply &amp; Delivery of Medical Oxygen The City Government of Antipolo, through the General Fund intends to apply the sum of P 3,518,500.00 being the Approved Bud</t>
  </si>
  <si>
    <t xml:space="preserve"> 194-Supply, Delivery and Installation of ICT Equipment &amp; Supplies of SDSSU Tandag Campus</t>
  </si>
  <si>
    <t xml:space="preserve"> Invitation to Bid to all Supplier/Contractor duly accredited by the City Council of Manila to supply and deliver the following items provided hereunder, to wit:  Item	Qty.	Unit	Articles 			 1	10	BOX	ELECTRICAL WIRE STRANDED #12 2	5	PCS	ELECTRICAL TAPE BIG</t>
  </si>
  <si>
    <t xml:space="preserve"> PETAL 06-2020 - construction of concrete fence at brgy hall</t>
  </si>
  <si>
    <t xml:space="preserve"> Republic of the Philippines Province of Davao Oriental City of Mati BIDS &amp; AWARDS COMMITTEE INVITATION TO BID LOT Procurement of LAPTOP and PRINTER for the Use of Brgy. Macambol, City of Mati, Davao Oriental SOURCE OF FUND: OLF [1999Z4B-5-02-14-030] 1.	Th</t>
  </si>
  <si>
    <t xml:space="preserve"> Republic of the Philippines Municipality of Taytay Barangay:Sandoval NOTICE TO BIDDERS 							 Item No.	Qty.		Unit of  Item		 Description		 				 1	       	50		sack 			 rice 			  2	      	10   		sack	       		 sugar			  3	       	520    	pcs	      		 g-tas</t>
  </si>
  <si>
    <t xml:space="preserve"> Republic of the Philippines							 Province of Bohol							 Municipality of Batuan							 							 ABSTRACT OF BID/BILL OF QUANTITIES							 ____________________________							 ____________________________							 ____________________________							 							</t>
  </si>
  <si>
    <t xml:space="preserve"> Earthworks excavation, stone masonry works, plastering, material carriage</t>
  </si>
  <si>
    <t xml:space="preserve"> 1. CARBON BRUSH 1"x1.25"x1.25" &amp; 1 OTHER DELIVERY SITE:  BALONGBONG HPP                           BATO, CATANDUANES PLEASE SUBMIT REQUIREMENTS: 1	MAYOR’S/BUSINESS PERMIT 2	PhilGEPS REG. NUMBER/CERTIFICATE</t>
  </si>
  <si>
    <t xml:space="preserve"> 1 3 CART. TONER - LBP 230DN CANON 2 3 CART. TONER - LBP 2900 3 4 PC/S INK - EPSON - BLACK T6641 4 4 PC/S INK - EPSON - MAGENTA T6643 5 4 PC/S INK - EPSON - CYAN T6642 6 4 PC/S INK - EPSON - YELLOW T6644 7 2 PC/S FLASH DISK - ( OTG ) 8 2 PC/S MOUSE - USB 9</t>
  </si>
  <si>
    <t xml:space="preserve"> Double lumen tube s.28, disposable single pack sterile 	3	PC	 Double lumen tube s.35, disposable single pack sterile 	3	PC	 Double lumen tube s.37, disposable single pack sterile 	3	PC</t>
  </si>
  <si>
    <t xml:space="preserve"> Republic of the Philippines DEPARTMENT OF PUBLIC WORKS AND HIGHWAYS OFFICE OF THE DISTRICT ENGINEER Biliran District Engineering Office Naval, Biliran Province INVITATION TO BID June 16, 2020 Contract ID Number	:  20GIA005 P.R. Number		:  2020-06-0057 dat</t>
  </si>
  <si>
    <t xml:space="preserve"> Republic of the Philippines SILAY CITY GOVERNMENT Zamora Street Silay City, Negros Occidental Telefax No. (034) 495-3746 	Control  Reference Number : GOODS#0122, ITB#0124,  PR#0328: SCG-2020 Name of the Project: Purchase of Construction Materials and Supp</t>
  </si>
  <si>
    <t xml:space="preserve"> Concreting of 2.02 Lane Km.; Width=2.50m, Thk.=0.20m, Installation of 6” CHB Line Canal with Stiffener and 0.910m ø RCPC with Headwall</t>
  </si>
  <si>
    <t xml:space="preserve"> CCTV DIGITAL VIDEO RECORDER, CCTV 16 CHANNELS AND SYSTEM COMPONENTS NOTE: I. Includes Installation of the following:     1 Unit – 16 Channel DVR, 3TB Hard   Drive and      Centralized Power Supply 5 Unit – Outdoor Camera (HD) 5 Unit – Indoor Camera (HD) 1</t>
  </si>
  <si>
    <t xml:space="preserve"> Construction of 1-Storey 2-Classroom School Building (with Toilet) with window grilles (9.5m x 18.0m plus corridor)</t>
  </si>
  <si>
    <t xml:space="preserve"> 1 4 REAM/S PAPER - BOOK SUBS.20 SHORT ( 8 1/2"X11" ) 2 2 REAM/S PAPER - BOOK LEGAL,216MMX330MM(8-1/2"X13"),MIN OF 70GSM 3 2 PC/S INK - EPSON - YELLOW T6644 4 2 PC/S INK - EPSON - CYAN T6642 5 2 PC/S INK - EPSON - MAGENTA T6643 6 2 PC/S INK - EPSON - BLACK</t>
  </si>
  <si>
    <t xml:space="preserve"> Signage Earthworks (Excavation &amp; Back filling) Reinforcing Steel Bars Form Works Masonry Works w/ Plaster Concrete Works Structural Steel Frame Roof and Cladding, including down spout installation Electrical Works Drainage Canal with Steel Grating and Cat</t>
  </si>
  <si>
    <t xml:space="preserve"> Absorbable haemostat (oxidized regenerated cellulose 3”x4”	100	PC Absorbent hemostatic sponge approximately 7cm x 15cm, 1cm, 10’s sterile	4	Box Gauze antiseptic dressing with soft paraffin and 0.5% chlorhexidine acetate 10cm x 10cm, single pack, sterile 	</t>
  </si>
  <si>
    <t xml:space="preserve"> Tree cutting and clearing, excavation, chipping of concrete, clearing &amp; wasting, canal cover, shoulder &amp; gutter and cross drain</t>
  </si>
  <si>
    <t xml:space="preserve"> Republic of the Philippines  CITY GOVERNMENT OF ANTIPOLO Antipolo City BIDS AND AWARDS COMMITTEE REQUEST FOR PROPOSAL/OFFER Negotiated Procurement(Two-Failed Biddings) 53.1 PURCHASE OF DRUGS AND MEDICINES, FLUIDS AND ELECTROLYTES 						 	The Antipolo City</t>
  </si>
  <si>
    <t xml:space="preserve"> Supply &amp; Delivery of Training Supplies ABC:95,934.00 5 packs Disposable hairnet @ 100 pcs/pack 200 pcs Apron Plain White 5 pack Disposable  gloves plastic @ 100 pcs/pack 3 pcs stainless steel knife 4 pcs chopping board 5 pcs stainless steel strainer bowl </t>
  </si>
  <si>
    <t xml:space="preserve"> INVITATION TO BID IB No. GS-2020 – 074 Agricultural Products (Seeds, Seedlings, Plants…) for Distribution of Fruit tress high quality Planting Materials to qualified Organization/Association/Cooperators of different Municipalities under High Value Commerc</t>
  </si>
  <si>
    <t xml:space="preserve"> 1	Water Dispenser HTTWD	1 	2, 500.00</t>
  </si>
  <si>
    <t xml:space="preserve"> Republic of the Philippines SILAY CITY GOVERNMENT Zamora Street Silay City, Negros Occidental Telefax No. (034) 495-3746 	Control  Reference Number : GOODS#0123, ITB#0125,  PR#0330: SCG-2020 Name of the Project: Purchase of Seeds and Fertilizers to be use</t>
  </si>
  <si>
    <t xml:space="preserve"> Excavation, concrete works, masonry works, roofing &amp; railings, doors &amp; windows, toilet, kitchen, &amp; tiles, ceiling, septic tank &amp; canal, electrical, gate, pergola &amp; barrier, painting</t>
  </si>
  <si>
    <t xml:space="preserve"> Republic of the Philippines Municipality of Bontoc Mountain Province Bids and Awards Committee INVITATION TO BID FOR SUPPLY AND DELIVERY OF OFFICE SUPPLIES, MATERIALS AND EQUIPMENT PB GOODS 2020-05/7054290 1.	The Municipal Government of Bontoc,Mountain Pr</t>
  </si>
  <si>
    <t xml:space="preserve"> Invitation to Bid on the Supply &amp; Installation of Various Furniture,  Steel Signage &amp; Combi. Blinds at Health Services Building (Main Campus) 1.	The Bukidnon State University, through the INCOME 2020-Fund 164  intends to apply the sum of Three Million Pes</t>
  </si>
  <si>
    <t xml:space="preserve"> 1.	The Municipality of Caraga, through the AM-OT CY 2018   intends to apply the sum of Four Hundred Fifty Thousand Pesos (PhP 450,000.00) being the Approved Budget for the Contract (ABC) to payments under the contract for the  Provision of Sanitary Toilet</t>
  </si>
  <si>
    <t xml:space="preserve"> For Improvement / Cleaning and Maintenance of Drainage Canal (Labor)</t>
  </si>
  <si>
    <t xml:space="preserve"> Surface preparation, base coarse preparation, PCCP, gravel surface coarse(road shouldering)</t>
  </si>
  <si>
    <t xml:space="preserve"> Hardware Materials</t>
  </si>
  <si>
    <t xml:space="preserve"> 51 sets Uniform (Polo &amp; Pants w/ Patches &amp; Bull Cap) 51 pcs. Uniform (Polo shirt w/ patches and Marking)</t>
  </si>
  <si>
    <t xml:space="preserve"> 130 SETS OF PAVEMENT MORTAR CEMENT</t>
  </si>
  <si>
    <t xml:space="preserve"> 1 1 CART. TONER - LBP 230DN CANON 2 3 REAM/S PAPER - BOOK LEGAL,216MMX330MM(8-1/2"X13"),MIN OF 70GSM 3 2 PC/S INK - EPSON - BLACK T6641 4 2 PC/S INK - EPSON - YELLOW T6644 5 2 PC/S INK - EPSON - CYAN T6642 6 2 PC/S INK - EPSON - MAGENTA T6643 7 2 BOT. ALC</t>
  </si>
  <si>
    <t xml:space="preserve"> 1 1 PC/S INK - EPSON - BLACK T6641 2 1 PC/S INK - EPSON - MAGENTA T6643 3 1 PC/S INK - EPSON - CYAN T6642 4 1 PC/S INK - EPSON - YELLOW T6644 5 4 REAM/S PAPER - BOOK LEGAL,216MMX330MM(8-1/2"X13"),MIN OF 70GSM 6 3 REAM/S PAPER - BOOK SUBS.20 SHORT ( 8 1/2"</t>
  </si>
  <si>
    <t xml:space="preserve"> BED SHEET FITTED 36X75 WITH PRINT WHITE COTTON 	900	PCS PATIENT GOWN WHITE FOR ADULT W/ PRINT	600	PCS OXFORD CLOTH ROLL 50 YARDS MAROON 	8	ROLL HEAD DRAPES 116CMX107CM AUTOCLAVABLE 	40	PCS FOOT DRAPES 160CMX107CM AUTOCLAVABLE	40	PCS LAP SHEET 300CMX107CM </t>
  </si>
  <si>
    <t xml:space="preserve"> 50 BOOKS 500 PAGES &amp;  16 OTHER ITEMS</t>
  </si>
  <si>
    <t xml:space="preserve"> Supply &amp; Delivery of Various Materials ABC:61,700.00 100 packs Rice (5 kls/pack) 100 packs Coffee (10 pcs/pack) 100 packs Sugar 100 packs Biscuits (10 pcs/pack) 5 boxes Sardines (100 pcs/box, 155 g/can) 10 boxes Noodles (55g, 72 pcs/box) 	Delivery period:</t>
  </si>
  <si>
    <t xml:space="preserve"> Republic of the Philippines Office of the Municipal Mayor BIDS AND AWARDS COMMITTEE Sual, Pangasinan Invitation to Bid for PROCUREMENT OF OFFICE SUPPLIES AND EQUIPMENT (Sual, Pangasinan) 1.	The Municipal Government of Sual, Pangasinan, through the 2020 Lo</t>
  </si>
  <si>
    <t xml:space="preserve"> For Improvement/ Cleaning and Maintenance of Drainage Canal (Materials)</t>
  </si>
  <si>
    <t xml:space="preserve"> Name of  Project/Contract	:	CONSTRUCTION OF DAYCARE CENTER Location				:	CAPISAAN,  Kasibu, Nueva Vizcaya Brief Description			:	1. Construction of 15.50m x 8.50m one storey building (Phase II) 					2. Excavation works for the exterior wall footing. 					3</t>
  </si>
  <si>
    <t xml:space="preserve"> Invitation to Bid for  Supply and Delivery of Construction Materials for Mambusao RIS NIAACIMO-RRENIS-MAMBUSAO-GS08-20 1.	The National Irrigation Administration Aklan-Capiz Irrigation Management Office, Linabuan Sur, Banga, Aklan, through the General Appr</t>
  </si>
  <si>
    <t xml:space="preserve"> Brief Description:Procurement of F &amp; B Concessionaire for CF-Bacolod Customers, Guests and Officers for a Period of Three (3) Years.  Contract Duration: Three (3) Years Contract from the date of receipt by the winning contractor of the Notice to Proceed. </t>
  </si>
  <si>
    <t xml:space="preserve"> 1 unit Multi-cab (Re-condition) for Brgy. Inlambo Mangaldan,Pangasinan</t>
  </si>
  <si>
    <t xml:space="preserve"> ACRYLIC SEMI GLOSS LATEX (INTERNATIONAL ORANGE) &amp; 9 OTHER ITEMS</t>
  </si>
  <si>
    <t xml:space="preserve"> Supply &amp; Delivery of Ink ABC:60,000.00 15 tubes Toner Ink for MP 2014 	Delivery period: 30 calendar days 	Delivery site: DA- RES, Balindog, Kidapawan City Note: Bidders must quote in all items (by lot) in a Sealed Envelope  together with Mandatory  requir</t>
  </si>
  <si>
    <t xml:space="preserve"> Earthworks: excavation, manual hauling of materials, embankment(stone masonry), concrete topping &amp; plastering</t>
  </si>
  <si>
    <t xml:space="preserve"> 1 4 ROLL/S BINDING - SPIRAL 1.5" 2 4 ROLL/S BINDING - SPIRAL 2" 3 5 ROLL/S BINDING - SPIRAL 2.5" 4 3 REAM/S PAPER - BOOK LEGAL,216MMX330MM(8-1/2"X13"),MIN OF 70GSM 5 30 PC/S PAPER - MANILA</t>
  </si>
  <si>
    <t xml:space="preserve"> INVITATION TO BID SUPPLY AND DELIVERY OF RICE FOR VARIOUS LAW ENFORCEMENT AGENCIES (3RD QUARTER) 1.	The Local Government Unit of Cabadbaran City through the PEACE &amp; ORDER FUND intends to apply the sum of FIVE HUNDRED SIXTY THOUSAND SEVEN HUNDRED PESOS ONL</t>
  </si>
  <si>
    <t xml:space="preserve"> for Construction of Multi-purpose Building Phase III</t>
  </si>
  <si>
    <t xml:space="preserve"> 1	KSM-IW10-6H1M Kolin 1HP INV SP	1 unit	32,000.00</t>
  </si>
  <si>
    <t xml:space="preserve"> Invitation to Bid for  Supply and Delivery of Construction Materials for Tina II PCIP NIAACIMO-SIP-TINA II-GS07-20 1.	The National Irrigation Administration Aklan-Capiz Irrigation Management Office, Linabuan Sur, Banga, Aklan, through the General Appropri</t>
  </si>
  <si>
    <t xml:space="preserve"> Straight Contract</t>
  </si>
  <si>
    <t xml:space="preserve"> Republic of the Philippines PROVINCE OF BOHOL  Municipality of Pres. Carlos P. Garcia Tel. No. 519-2010 INVITATION TO APPLY FOR ELIGIBILITY AND TO BID The LGU-Pres. C. P. Garcia, through its Bids and Awards Committee (BAC), invites suppliers/manufacturers</t>
  </si>
  <si>
    <t xml:space="preserve"> Supply and Delivery of Construction Materials and supplies (See section 1 of the bidding documents)</t>
  </si>
  <si>
    <t xml:space="preserve"> Labor and Materials for Construction of Pathway at Brgy Inlambo Mangaldan, Pangasinan</t>
  </si>
  <si>
    <t xml:space="preserve"> Provision of Food (meals &amp; snacks) ABC:165,000.00 Line item 1: Sarangani Province				25,300.00 - 46  pax 1 meal &amp; 2 snacks   Line item 2: South Cotabato Province				41,250.00 - 75  pax 1 meal &amp; 2 snacks   Line item 3: Sultan Kudarat Province				45,650.00	</t>
  </si>
  <si>
    <t xml:space="preserve"> 130m x 1.00m x 0.10m</t>
  </si>
  <si>
    <t xml:space="preserve"> 1	REAR AXLE CASE ASSEMBLY (HOUSING)  2	CROSS JOINT (PROPELLER  SHAFT )  3	HUB BOLT -LEFT FRONT  4	HUB BOLT -RIGHT FRONT  5	HUB BOLT -LEFT REAR  6	HUB BOLT -RIGHT REAR  7	STARTER ASSEMBLY  8	SPRING CHAMBER ASSEMBLY  9	WIPER MOTOR  10	LEAF SPRING (FRONT )  </t>
  </si>
  <si>
    <t xml:space="preserve"> Item 200- Aggregate Sub-Base Coarse Item 405- Structural Concrete CI A SPL Construction Safety and Health SCHEDULE OF BIDDING Advertisement/Posting – June 19-26, 2020 Issuance of Bid Documents – June 19-29, 2020 Submission and Opening of Bids – June 29, 2</t>
  </si>
  <si>
    <t xml:space="preserve"> 1 4 REAM/S PAPER - BOOK LEGAL,216MMX330MM(8-1/2"X13"),MIN OF 70GSM 2 3 REAM/S PAPER - BOOK SUBS.20 SHORT ( 8 1/2"X11" ) 3 1 CART. TONER - LBP 6230dn Canon 4 3 BOX/S PVC COVER - LONG-8 1/2"X13"</t>
  </si>
  <si>
    <t xml:space="preserve"> - installation of lighting points, ACU points and power point with complete accessories. - installation of electrical accessories,wire trunking,and other necessities.</t>
  </si>
  <si>
    <t xml:space="preserve"> Item  No.   Quantity	 Unit	         Item Description	 1	1	        piece	        CI sleeve type coupling 2" Ø F/M for HDPE with BNG	 2	4	        pieces	CI end cap 2" Ø		 3	30	        pairs	        CI saddle clamp 2" x 1" Ø		 4	5	        pieces	CI mechanica</t>
  </si>
  <si>
    <t xml:space="preserve"> To conduct flu vaccination for 100 constituents at Barangay Ligtong I.</t>
  </si>
  <si>
    <t xml:space="preserve"> 1 5 REAM/S PAPER - BOOK LEGAL,216MMX330MM(8-1/2"X13"),MIN OF 70GSM 2 3 REAM/S PAPER - MIMEO, GW, (NEWSPRINT) LEGAL, 216MMx330MM (8-1/2"x13"), 60GSM 3 1 ROLL LAMINATING FILM - 3" WIDE, 250MIC. 4 1 PC/S MAGAZINE ORGANIZER 5 6 PAD/S STICK NOTE PAD - (2" X 2"</t>
  </si>
  <si>
    <t xml:space="preserve"> Provision of Food &amp; Accommodation ABC:81,000.00 Live Out 70  pax 1 meal &amp; 2 snacks  for 2 days 10 pax Accommodation Only -	3-4 persons/room 	              Amenities : -	With free flowing coffee and water -	With strong internet/wifi connection -	With 24/7 </t>
  </si>
  <si>
    <t xml:space="preserve"> Republic of the Philippines Municipality of Taytay Taytay, Palawan NOTICE TO BIDDERS Item # Qty Unit Description Amount 1. 1 Lot Office Equipment The two envelope system of procurement shall be observed, Bidding documents shall be available at BAC Secreta</t>
  </si>
  <si>
    <t xml:space="preserve"> 1-LOT SOLAR POWER GENERATOR AND WIND TURBINE &amp; 3 OTHER ITEMS</t>
  </si>
  <si>
    <t xml:space="preserve"> ` Republic of the Philippines           PROVINCE OF BUKIDNON           Municipality of Don Carlos BIDS AND AWARDS COMMITTEE REQUEST FOR QUOATATION 					 							Date:  							RFQ No.											    		Name of Project: Rapid Test kit		 							End User: MHO/RH</t>
  </si>
  <si>
    <t xml:space="preserve"> 2ND INVITATION TO BID  SUPPLY AND DELIVERY OF SEVEN (7) UNITS MECHANICAL RICE TRANSPLANTER UNDER 2020 RICE PROGRAM 1.	The Department of Agriculture Regional Field Office No. 5, through the General Appropriation Act  for CY 2020-Rice intends to apply the s</t>
  </si>
  <si>
    <t xml:space="preserve"> I. Base Preparation II. Portland Cement Concrete Pavement</t>
  </si>
  <si>
    <t xml:space="preserve"> 1.	The Municipality of Caraga, through the Resolution No. 42 Series of 2018   intends to apply the sum of Two Hundred Fifty Thousand Pesos (PhP 250,000.00) being the Approved Budget for the Contract (ABC) to payments under the contract for the  Constructi</t>
  </si>
  <si>
    <t xml:space="preserve"> For Construction of DRRM Operations Center Phase I</t>
  </si>
  <si>
    <t xml:space="preserve"> Provide Labor &amp; Materials for RP Vehicle Repair (Plate # SAA-5044) ABC:156,460.00 6 bot  Engine Oil 1 bot oil filter 1 pc fuel filter 1 pc air filter 3 pcs gear oil 90 4 pcs gear oil 140 2 pcs brake fluid 1 pc clutch booster 1 pc clutch leave cylinder 1 p</t>
  </si>
  <si>
    <t xml:space="preserve"> Brief Description:Procurement of Cafeteria Concessionaire for CF-Iloilo Employees for a Period of Two (2) Years  Contract Duration: Two (2) Years Contract from the date of receipt by the winning contractor of the Notice to Proceed.  Approved Budget for th</t>
  </si>
  <si>
    <t xml:space="preserve"> 1. ADAPTOR 996-793 &amp; 7 OTHERS DELIVERY SITE:  TICAO DPP                          SAN JACINTO, MASBATE PLEASE SUBMIT REQUIREMENTS: 1	MAYOR’S/BUSINESS PERMIT 2	PhilGEPS REG. NUMBER/CERTIFICATE</t>
  </si>
  <si>
    <t xml:space="preserve"> purchase of furnitures and fixtures for the proper storage of Physics Laboratory equipment and clinic used</t>
  </si>
  <si>
    <t xml:space="preserve"> Materials Description                                     Quantity        Unit 1.)  GI Pipe casing, 8" Dia. (Sch. 40)                  15           Length 2.)  BI Pipe casing, 10" Dia. (sch. 40)                  5           Length 3.)  Submersible Pump, 5</t>
  </si>
  <si>
    <t xml:space="preserve"> For Concreting of 120 meters Unpaved road</t>
  </si>
  <si>
    <t xml:space="preserve"> INVITATION TO BID  Supply and Delivery of 245 bags Hybrid Palay Seeds for use in the Implementation  of  RRP-ALPAS Program under Rice Program 2020 1.	The Department of Agriculture Regional Field Office No. 5, through the General Appropriations Act (GAA) f</t>
  </si>
  <si>
    <t xml:space="preserve"> Supply &amp; Delivery of Various Supplies ABC:169,500.00 53  sets Vacutainer Gel and Clot Activator   	With needle and needle adaptor (EDTA),  	12x75mm, 4ml, plastic and violet top color 60 pcs Pig snare, holder (10cm), handle (15cm), loop (1m) 	Delivery peri</t>
  </si>
  <si>
    <t xml:space="preserve"> Item I Excavation Item II Formworks Item III 2 Barrel RCBC (incl. wingwall, headwall &amp; apron) Item IV Embankment Item V Subgrade Preparation Item VI Portland Cement Concrete Pavement</t>
  </si>
  <si>
    <t xml:space="preserve"> TThe Local Government Unit of Bula is inviting interested PhilGEPS accredited contractors to apply for eligibility and to submit complete bid for the CONSTRUCTION OF STANDARD DAY CARE CENTER at Barangay Fabrica, Bula, Camarines Sur under the DSWDO CY 2020</t>
  </si>
  <si>
    <t xml:space="preserve"> 1 4 BOX/S BALLPEN - RETRACTABLE (BLACK) 12'S 2 10 REAM/S PAPER - BOOK LEGAL,216MMX330MM(8-1/2"X13"),MIN OF 70GSM 3 10 REAM/S PAPER - BOOK SUBS.20 SHORT ( 8 1/2"X11" ) 4 6 PC/S RECORD BOOK - 500 PAGES,215MM X 275MM,55GSM,SMYTHE SEWN,W/ OFFICIAL RECORD BOOK</t>
  </si>
  <si>
    <t xml:space="preserve"> METER, ENERGY, 3 PHASE 4-WIRE WYE/DELTA ELECTRICITY/ENERGY METER, DIGITAL FREQUENCY: 60HZ VOLTAGE:69-277 WYE; 120-480 DELTA ACCURACY: 0.5 OR BETTER CT RATED, CLASS 20 TEST AMPERE: 2.5 CONNECTION: BOTTOM CONNECTED IEC OR ANSI STANDARD MEASURES/DISPLAYS: Kw</t>
  </si>
  <si>
    <t xml:space="preserve"> Republic of the Philippines Province of Iloilo Municipality of Lemery Invitation to Bid for Purchase of Office Supplies 1.	The Municipality of Lemery, Iloilo, through the General Fund   intends to apply the sum of  One Million Twenty Nine Thousand Four Hu</t>
  </si>
  <si>
    <t xml:space="preserve"> Engine R2 Dual Double tyre Diesel</t>
  </si>
  <si>
    <t xml:space="preserve"> Item I Demolition of Existing Structure Item II Subgrade Preparation Item III Masonry Works Item IV Fabrication &amp; Installation of Gate Item V Portland Cement Concrete Pavement</t>
  </si>
  <si>
    <t xml:space="preserve"> 45boxes      Surgical Mask 3ply 5boxes        Disposable gloves 3gallons      Alcohol 2pcs           Mobile Pedestal 3pcs           Sample pick 16pcs         PPE - field vest 100pcs       folder - expanding legal size, high quality</t>
  </si>
  <si>
    <t xml:space="preserve"> For Construction of Community Police Assistance Center (COMPAC)</t>
  </si>
  <si>
    <t xml:space="preserve"> 1 unit Submersible Pump Coupled with Submersible Motor w/ the ff. specs;       Pump: Q - 18 lps (300 GPM),      TDH - 135 ft,      NTP - 3",  Motor: Rating - 15 Hp,       Frequency - 60 HZ,      Eff. - 68%,       FS - 1.15,       Phasing – 3,      Voltage</t>
  </si>
  <si>
    <t xml:space="preserve"> Republic of the Philippines Province of Iloilo Municipality of Lambunao Office of the Bids &amp; Awards Committee INVITATION TO BID/ REQUEST FOR PRICE QUOTATION Name of Project: Purchase of Materials for the Farm to Market Road (Concreting) Location: Brgy. La</t>
  </si>
  <si>
    <t xml:space="preserve"> 1.	The Barangay Murong, Bagabag, Nueva Vizcaya, through the 2020-20% BDF &amp; 2020 MUNICIPAL ASSISTANCE, intends to apply the total sum of ONE HUNDRED SIXTEEN THOUSAND FIVE HUNDRED NINETY-TWO PESOS (PHP116,592.00) ONLY Philippine Currency described/distribut</t>
  </si>
  <si>
    <t xml:space="preserve"> QTY	UNIT	ARTICLE	 1      lot	Supply, Delivery,Installation and Commisioning of the Equipment for the Shared Service Facility (SSF)  for Camote Chips Processning of Nagkahiusang Mag-uuma Sa Nueva Granada to include the  following;	 			 1     unit	Deep Fat </t>
  </si>
  <si>
    <t xml:space="preserve"> Labor and Materials for Rehabilitation of Streetlights at Brgy Inlambo Mangaldan, Pangasinan</t>
  </si>
  <si>
    <t xml:space="preserve"> Procurement of Xerox Copier Machine (2 pc) Specifications: Max Original Size: A3/Ledger Print Per Minute: Up to 25/12 ppm Monochrome Printer First Copy Time: 7.0 seconds or less (DP) Approx. 5.8 seconds or less (Platen Cover) Warm Up Time: Approx. 20 seco</t>
  </si>
  <si>
    <t xml:space="preserve"> 1 5 REAM/S PAPER - BOND,PG,LEGAL,216MMX330MM(8-1/2"X13") 70 GSM 2 5 REAM/S PAPER - MULTI-PURPOSE (ASSORTED COLOR) -A4 3 7 PCS DOCUMENT KEEPER - W/ COVER,LONG AND THICK-BLUE 4 20 PC/S CORRECTION TAPE - W/ CASE 5 10 ROLL/S TAPE - TRANSPARENT, 12MM (0.5") WI</t>
  </si>
  <si>
    <t xml:space="preserve"> Specification: 1.	WATERPUMP W/ COMPLETE SET OF ACCESSORIES Pump: Type: Single end suction, 100x100mm, self-priming cetrifugal pump, semi open impeller Maximum Total head: 20m(minimum) Engine: Type: 8 horsepower, four stroke, single horizontal cylinder die</t>
  </si>
  <si>
    <t xml:space="preserve"> ITEM NO.	QTY.	UNIT	SPECIFIC DESCRIPTION	     1	         95	 Pcs	150mm(6”)Ø x 6m uPVC Pipe with Rubber Ring (Series 8)		     2	         95	 Pcs	200mm(8”)Ø x 6m uPVC Pipe with Rubber Ring (Series 8)		     3	       240	 Pcs	250mm(10”)Ø x 6m uPVC Pipe with Ru</t>
  </si>
  <si>
    <t xml:space="preserve"> RFQ-GS-20200616-01 Interested Suppliers are invited to submit Price Quotation for the above listed item. The official LANDBANK Request for Quotation Form may be obtained from MS. CHARM FLORIDO (email address: floridocharmaine@gmail.com). The deadline for </t>
  </si>
  <si>
    <t xml:space="preserve"> CELLPACK 20L/PK-30L	5	BOX STROMATOLYZER (4DL) 5L/FFD-200A	1	BOX STROMATOLYZER (4DS) 3 X 42ML/FFS0800A	1	BOX SULFOLYZER 5L/SLS-220A	1	BOX</t>
  </si>
  <si>
    <t xml:space="preserve"> Supply &amp; Delivery of Transformer	 ABC:90,000.00 1 unit Transformer 50 KVA   -	Rated voltage: 6/6.3/10/13.8KV -	output voltage: 0.22/0.38/0.4 KV, frequency 50/60 HHz -	coilstructure: toroidal, coil no. Two widing, -	phase: single -	material: copper 	Delive</t>
  </si>
  <si>
    <t xml:space="preserve"> Location: Sto. Tomas, Pampanga Appropriation: Php 2,500,000.00 Source of Fund: PCF Classification: Heavy Equipment No. of days to complete: 60 days</t>
  </si>
  <si>
    <t xml:space="preserve"> Location: Day Care Center,barangay Namnama,Cabatuan,Isabela Portland cement 71 bags Screened sand S1 1 load Gravel G1 1 load 9mmØx6.0m RSB 42 pcs. 10mmØx6.0m RSB 63 pcs. #16 GI Tie wire 15 kgs. 1/4"x4'x8' Marine plywood 3 pcs. 2"x2"x8' Good lumber 25 pcs.</t>
  </si>
  <si>
    <t xml:space="preserve"> 1. BLEACH, CONCENTRATED, DISINFECTANT &amp; 4 OTHERS DELIVERY SITE:  OM-BOD OFFICE                           PEÑAFRANCIA, DARAGA, ALBAY PLEASE SUBMIT REQUIREMENTS: 1	MAYOR’S/BUSINESS PERMIT 2	PhilGEPS REG. NUMBER/CERTIFICATE</t>
  </si>
  <si>
    <t xml:space="preserve"> Supply &amp; Delivery of Various Inorganic Fertilizers ABC:80,600.00 20 bags Complete Fertilizer (14-14-14) @ 50 kls/bag 20 bags Muriate of Potash Fertilizer (0-0-60) @ 50 kls/bag 20  bags Urea Fertilizer (45-0-0) at 50 kls/bag 	Delivery period: 30 calendar d</t>
  </si>
  <si>
    <t xml:space="preserve"> Republic of the Philippines Province of Ilocos Norte MUNICIPALITY OF PINILI INVITATION TO BID FOR “CONSTRUCTION OF BARANGAY HEALTH STATION AT BARANGAY BARBAR”  1.	The Municipality of Pinili, Ilocos Norte through the MDF 2019 intends to apply the sum TWO M</t>
  </si>
  <si>
    <t xml:space="preserve"> INVITATION TO BID FOR THE PURCHASE OF MATERIALS FOR THE CONSTRUCTION OF COVERED COURT AT MALUKO CENTRAL ELEMENTARY SCHOOL 1.	The Local Government Unit of Manolo Fortich, through the Special Education Fund intends to apply the sum of the following lots, to</t>
  </si>
  <si>
    <t xml:space="preserve"> Laryngoscope with blades with Stainless Steel MacIntosh Fiber-Optic Laryngoscope Blades; Green Standard (ISO 7376); Fiber Optic Halogen handle in AC/DC modes; Bright, white  Halogen illumination for clear, color-corrected view; Knurled finish ensure durab</t>
  </si>
  <si>
    <t xml:space="preserve"> Title: Procurement of Services under P.R.Nos. 2454-2020(City Procurement Management Office),2456-2020(City Internal Audit Service),2457-2020(SP Unay-Committee on Ways and Means),2458-2020(SP Unay-Committee on Franchise and Licenses),2459-2020(SP Burdeos-C</t>
  </si>
  <si>
    <t xml:space="preserve"> SWINE &amp; FEEDS PAMANA LIVELIHOOD PROJECT @ BARANGAY NEW LEYTE, KINUBAN, CALABCAB, LAPULAPU, MACO DAVAO DE ORO.</t>
  </si>
  <si>
    <t xml:space="preserve"> INVITATION TO BID 20-62  SUPPLY &amp; DELIVERY OF CHEMISTRY ANALYZER;  AND HEMATOLOGY ANALYZER 1.	The Department of Health, Center for Health Development Bicol (DOH – CHD Bicol), through the 2020 General Appropriations Act intends to apply the sum of Twelve M</t>
  </si>
  <si>
    <t xml:space="preserve"> 110 PAIRS - RUBBER BOOTS</t>
  </si>
  <si>
    <t xml:space="preserve"> 1 5 PC/S CLIPBOARD - WOODEN-LONG SIZE 2 2 PAIR/S SCISSORS - ORDINARY 15CM (6") 3 1 BOX BALLPEN - BLACK ORDINARY 50'S 4 2 PC/S CUTTER - W/ PLASTIC &amp; METAL CASE,BIG 5 12 PC/S FOLDER - BROWN ( LONG SIZE ) 6 24 PC/S FOLDER - EXPANDING LONG GREEN 7 3 PC/S RULE</t>
  </si>
  <si>
    <t xml:space="preserve"> 1 LOT	Hybrid Soil and Plant Laboratory (Chemistry and Biology) Equipment 							 Specifications/Inclusions:			 1 UNIT Interactive Projector - (Size 35.6 cm X 37.5 cmX 76.8 cm), (Weight- 12.7 kg), (Projector box- 51.6X 49.4X 57.9 cm, shipping weight- 14.5 </t>
  </si>
  <si>
    <t xml:space="preserve"> Sub-grade preparation, base coarse preparation, gravel surface coarse(shouldering), PCCP</t>
  </si>
  <si>
    <t xml:space="preserve"> Republic of the Philippines Province of Negros Occidental CITY OF TALISAY INVITATION TO BID  Road Concreting located starting at Approach Hacienda Manaul, Barangay Matab-ang, Talisay City  1.	The City of Talisay, through the SARO-OSEC-19-0024229 intends t</t>
  </si>
  <si>
    <t xml:space="preserve"> 3 site Conduct of Enginnering Geological &amp; Geo-Hazard Assessment (EGGA) to be performed by a license Geologist as required in the issuance of Environmental Compliance Certificate (ECC) Talaingod : Sitio Mesolong, Sto. Nino Sitio Nasilaban. Palma Gil New C</t>
  </si>
  <si>
    <t xml:space="preserve"> QTY	UNIT	ARTICLE	 1	lot	Supply, Delivery,Installation and Commisioning of the Equipment for the Shared Service Facility (SSF) for Banana Chips Processning of Sua Small Farmers Association (SUSFAA) to include the following;	 			 	1 unit	Deep Fat Fryer (wit</t>
  </si>
  <si>
    <t xml:space="preserve"> 1 7 REAM/S PAPER - BOOK LEGAL,216MMX330MM(8-1/2"X13"),MIN OF 70GSM 2 10 PACK/S PAPER - BOARD LONG (WHITE) 10'S 3 5 PC/S CORRECTION TAPE - W/ CASE 4 4 PC/S INK - EPSON - CYAN T6642 5 4 PC/S INK - EPSON - MAGENTA T6643 6 4 PC/S INK - EPSON - YELLOW T6644 7 </t>
  </si>
  <si>
    <t xml:space="preserve"> 1 6 PC/S MARKER PEN - PERMANENT, BROAD POINT, BLACK 2 10 PC/S PEN - SIGN 0.5 RED 3 2 BTL/S INK - REFILL FOR PERMANENT MARKER, BLACK 4 8 ROLL/S TAPE - MASKING #2 5 1 PACK/S CABLE TIE - . 6 5 BOX PAPER CLAMP - BIG 7 6 BOX/S PAPER CLAMP - SMALL-ASSTD. COLOR </t>
  </si>
  <si>
    <t xml:space="preserve"> Supply &amp; Delivery of Various Rice Seeds (RS &amp; CS) ABC:292,500.00 10  bags Irrigated Registered  Seeds @ 20 kgs/bag 4 bags Rainfed Registered Seeds @ 20 kgs/bag 93 bags Irrigated Certified Seeds @ 40 kgs/bag 10 bags Rainfed Certified Seeds @ 40 kgs/bag 	De</t>
  </si>
  <si>
    <t xml:space="preserve"> COUPLING VULASTIK, P-12020/24  FABRICATION OF COUPLING VULASTIC OF 500KW MAN CXZ B &amp;W 8L 20/27 SCOPE OF WORKS: 1. The contractor shall conduct actual verification of measurement of coupling vulastik of MAN genset at Ticao DPP. 2. Moulded items MS=3/8” T 2</t>
  </si>
  <si>
    <t xml:space="preserve"> Please see attached Invitation to Bid and Technical Specification</t>
  </si>
  <si>
    <t xml:space="preserve"> Please see attached Invitation to Bid and technical Specification</t>
  </si>
  <si>
    <t xml:space="preserve"> Repair/Rehabilitation of Barangay Outpost</t>
  </si>
  <si>
    <t xml:space="preserve"> Republic of the Philippines Province of Misamis Occidental MUNICIPALITY OF PANAON INVITATION TO BID FOR  PROCUREMENT OF ONE (1) UNIT K2500 DOUBLE CAB (Procurement of Goods) 									June 18, 2020 1.	The Municipality of Panaon, Misamis Occidental intends t</t>
  </si>
  <si>
    <t xml:space="preserve"> 1 20 BTL/S GLASS CLEANER - 500ML.-ORANGE SCENT 2 20 BAR/S DETERGENT - BAR 3 30 BTL/S FABRIC SOFTENER - 1000ML 4 35 PC/S BROOM - SOFT- THICK W/ WOODEN HANDLE 5 20 PC/S MOP - HANDLE,PLASTIC 6 15 PC/S MOP - HEAD,THREADED 7 13 GAL/S BLEACHING SOLUTION 8 10 CA</t>
  </si>
  <si>
    <t xml:space="preserve"> 1	Marine plywood 1/4x4x8	1 	445.00	July 2	Plyboard	2 	2,050	July 3	Body Filler (Glasuret)	1	698	July 4	Enamel Flat White	1	529	July 5	Sand Paper #120	1	17	July 6	Moulding #1 (wood) 12’’	5	840	July 7	baby roller #4	2	128	July 8	paint brush #2	2	90	July 9	p</t>
  </si>
  <si>
    <t xml:space="preserve"> Please download ITB in the Associated Components</t>
  </si>
  <si>
    <t xml:space="preserve"> Up keeping and Maintenance of the Port Physical Facilities for a period of  Eleven (11) Months</t>
  </si>
  <si>
    <t xml:space="preserve"> For Construction of Multi-purpose Building (DSWD)</t>
  </si>
  <si>
    <t xml:space="preserve"> Republic of the Philippines Province of Aurora MUNICIPALITY OF MARIA AURORA Bids and Awards Committee INVITATION TO BID Second Posting The Local Government Unit of Maria Aurora, through the Bid and Awards Committee (BAC), invites suppliers/interested part</t>
  </si>
  <si>
    <t xml:space="preserve"> 1. The Polomolok Water District now invites Bids from MANUFACTURERS/SUPPLIERS &amp; ELIGIBLE BIDDERS for the Supply and Delivery of GSM/SMS Data Logger (Flow and Pressure) and Accessories with an approved budget amounting to PhP 270,000.00. Issuance and avail</t>
  </si>
  <si>
    <t xml:space="preserve"> Repair of Coolant Pump for Unit 2 300 kW PERKINS and Unit 4 P300H-1 FG WILSON  SCOPE OF WORKS: 1.	Disassembly/inspection of coolant as to as “found status” 2.	Inspection/identification of defective parts. 3.	Replacement/Installation of defective internal </t>
  </si>
  <si>
    <t xml:space="preserve"> for Construction of School Building Phase III (Labor)</t>
  </si>
  <si>
    <t xml:space="preserve"> Educational Materials and Supplies for the SHS Faculty</t>
  </si>
  <si>
    <t xml:space="preserve"> Approved Budget Cost:  Php 300,000.00 To be delivered within 7 days upon receipt of P.O. Source of Fund:  Corporate Budget Fund Posting at PHILGEPS:  June 19, 2020</t>
  </si>
  <si>
    <t xml:space="preserve"> 2 UNIT DESKTOP COMPUTER - . - PC22 1TB-8GB, Intel Core i5-9400 Coffee Lake 6-Core 2.90 GHz LGA 1151 (300 series) 65W. CPU Package Computer Set with Keyboard, Mouse &amp; Mousepad (1 set)</t>
  </si>
  <si>
    <t xml:space="preserve"> Republic of the Philippines Local Government Unit of Tinambac, Camarines Sur Municipal Compound, Binalay, Tinambac, Camarines Sur Standard Form Number: SF-GOOD-05 Revised on: July 28, 2004 INVITATION TO APPLY FOR ELIGIBILITY AND TO BID The Local Governmen</t>
  </si>
  <si>
    <t xml:space="preserve"> Republika ng Pilipinas  (Republic of the Philippines) Kagawaran ng Katarungan  (Department of Justice) PAMBANSANG KAWANIHAN NG PAGSISIYASAT (NATIONAL BUREAU OF INVESTIGATION) Manila      	           	    Procurement Management Section REQUEST FOR QUOTATIO</t>
  </si>
  <si>
    <t xml:space="preserve"> Supply, Delivery, Labor, Materials, Installation, Testing and Commissioning of Step Chain and Rubber Rail of Existing Escalator Units SCOPE OF WORKS: 	Supply, Delivery, Labor, Materials, Installation, Testing and Commissioning of Step Chain and Rubber   </t>
  </si>
  <si>
    <t xml:space="preserve"> Lead Gown with Thyroid 0.25mmPb L=43.30 inch W=23.6 inch Sizes: XXXL 2 pcs XXL   2 pcs XL    8 pcs L      5 pcs M    3 pcs S    1 pc</t>
  </si>
  <si>
    <t xml:space="preserve"> 1 10 REAM/S PAPER - BOND,PG,SHORT 8 1/2X11" 2 8 REAM/S PAPER - BOOK LEGAL,216MMX330MM(8-1/2"X13"),MIN OF 70GSM 3 3 BOX BALLPEN - BLACK ORDINARY 50'S 4 5 ROLL/S DOUBLE SIDED TAPE - #2 5 4 ROLL/S TAPE - TRANSPARENT, 48MM (2") WIDTH, USABLE LENGHT OF 50M 6 4</t>
  </si>
  <si>
    <t xml:space="preserve"> Supply &amp; Delivery of Animals ABC:120,000.00 6 head  Gilt (Pig)  -	High breed -	8 mos. Old -	100-120 kgs 		 10 head  Native Chicken   -	Roaster -	 ready to breed 90 head  Native Chicken  -	Hen  -	Ready to breed 1 head  Goat (Buck) -	Ready to breed 	Deliver</t>
  </si>
  <si>
    <t xml:space="preserve"> QTY	UNIT	ARTICLE	 2	pc	Peanut  Thresher	 		-Description: Manually- operated rubber tire stripper	 		-Capacity: 60-80kgs/hr	 		-Efficiency: 95%	 		-Pod Damage: 3-5%	 2	pc	Peanut Sheller	 		-Powered by 6.5HP gasoline engine 3,600RPM	 		-Make: Combination ma</t>
  </si>
  <si>
    <t xml:space="preserve"> Quantity              Unit Multi-Jet Water Meter 1/2"                                              50                   pieces Specs: Stainless steel encapsulated register high impact, abrasion resistant, domed glass lens. Corrosion proof copper alloy bod</t>
  </si>
  <si>
    <t xml:space="preserve"> 1	Bronze glass	2 pcs	1725	July 2	 U-clip	2	300	July 3	Sealant	1 tube	220	July</t>
  </si>
  <si>
    <t xml:space="preserve"> 1 1 GAL/S ACID - MURIATIC 2 10 BTL/S DISINFECTANT SPRAY - LIQUID- 250ML 3 6 BAR/S DETERGENT - BAR 4 6 PC/S GLOVES - WORKING #7,LEATHERETTE</t>
  </si>
  <si>
    <t xml:space="preserve"> INVITATION TO BID REPAIR &amp; IMPROVEMENT OF MULTI PURPOSE HALL GURUYAN, JUBAN, SORSOGON  1.	The Local Government Unit of Brgy Guruyan, and the 20% AIP intends to apply the sum of  ONE HUNDRED THIRTY FOUR THOUSAND SEVEN HUNDRED SIXTY PESOS(Php 134,760.00) be</t>
  </si>
  <si>
    <t xml:space="preserve"> QTY	UNIT	ARTICLE	 1	lot	Supply, Delivery,Installation and Commisioning of the Equipment for the Shared Service Facility (SSF) for Banana Chips Processning of Danicop Farmers Multi-purpose Cooperative to include the following;	 			 	1 unit	Deep Fat Fryer  </t>
  </si>
  <si>
    <t xml:space="preserve"> SOURCE OF FUNDS: ANNUAL BUDGET CY 2020- 20% DF BIDDING DATE &amp; TIME: JUNE 26, 2020- 1:00 P.M</t>
  </si>
  <si>
    <t xml:space="preserve"> request for quotation please see attached file at associated component</t>
  </si>
  <si>
    <t xml:space="preserve"> 1 100 PC/S TISSUE PAPER 2 4 CAN/S DISHWASHING LIQUID - 200ML W/ ANTI-BACTERIAL FORMULA 3 3 BTL/S GLASS CLEANER - 500ML.-ORANGE SCENT</t>
  </si>
  <si>
    <t xml:space="preserve"> Republic of the Philippines Province of Iloilo Municipality of Lambunao Office of the Bids &amp; Awards Committee INVITATION TO BID/ REQUEST FOR PRICE QUOTATION Name of Project: Purchase of Materials for the Farm to Market Road (Concreting) Location: Brgy. Pa</t>
  </si>
  <si>
    <t xml:space="preserve"> The ZAMBOANGA CITY STATE POLYTECHNIC COLLEGE through its Bids and Awards Committee (BAC) is inviting PHILGEPS registered suppliers to apply for eligibility and to submit bids for the items listed below: Diagnostic examination – Chest X-ray posterior-anter</t>
  </si>
  <si>
    <t xml:space="preserve"> 10 UNITS-BRUSH CUTTER          10 PCS. BRUSH KNIFE            ETC.</t>
  </si>
  <si>
    <t xml:space="preserve"> Installation of street lighting system</t>
  </si>
  <si>
    <t xml:space="preserve"> “ANNEX A” TERMS OF REFERENCE PROJECT	:	SUPPLY AND DELIVERY OF LABORATORY SUPPLIES AND EQUIPMENT LOCATION	:	LABORATORY SERVICES DIVISION, PCA CENTRAL OFFICE, DILIMAN, QUEZON CITY I. SCOPE OF WORK Supply and delivery of the following supplies and equipment:</t>
  </si>
  <si>
    <t xml:space="preserve"> see ITB attached</t>
  </si>
  <si>
    <t xml:space="preserve"> Republic of the Philippines Province of Negros Oriental Municipality of Sibulan Barangay Magatas OFFICE OF THE BIDS AND AWARDS COMMITTEE INVITATION TO APPLY FOR ELIGIBILITY AND TO BID 					 	The BARANGAY GOVERNMENT of Magatas, Sibulan, Negros Oriental, in</t>
  </si>
  <si>
    <t xml:space="preserve"> 105(1)	Sub-Grade Preparation			1,200.00 	 sq.m.  201	Aggregate Sub-Base Coarse		        345.00 	 cu.m.  311	Portland Cement Concrete Pavement		 600.00 	 sq.m.</t>
  </si>
  <si>
    <t xml:space="preserve"> 1 2 UNIT PRINTER - . - Colored Single-Function Printer with Cartridge CISS and Elite Premium Dye Inks 2 1 UNIT PRINTER - . - A3+ Single Function Colored Printer with built-in Ink Tank System</t>
  </si>
  <si>
    <t xml:space="preserve"> Republic of the Philippines Province of Eastern Samar MUNICIPALITY OF DOLORES INVITATION TO BID FOR  CONSTRUCTION LEVEL II WATER SUPPLY SYSTEM   				 			                    The Local Government of Dolores, through the Department of Interior and Local Gove</t>
  </si>
  <si>
    <t xml:space="preserve"> TERMS AND CONDITIONS SHOPPING FOR THE   Construction of Processing Center and Storage Facilities RFQ No.: 081-2020 PR No.: PRDP-IR-R003-ZAM-019-000-000-2018 This Terms and conditions is hereby adopted by the Bids and Awards Committee (BAC) of the Provinci</t>
  </si>
  <si>
    <t xml:space="preserve"> Please see attached TOR.</t>
  </si>
  <si>
    <t xml:space="preserve"> 140pcs - Polo shirt with MGB logo</t>
  </si>
  <si>
    <t xml:space="preserve"> 1	Labor		6,000</t>
  </si>
  <si>
    <t xml:space="preserve"> Supply &amp; Delivery of  Laboratory  Supplies (for molecular test (polymerase chain reaction for African Swine fever) ABC: 73,100.00 	2 lot VP 72 forward primer, 25bp, 200nmol, desalted 	2 lot VP 72 reverse primer, 20 bp, 200nmol, desalted 	2 lot VP 72 probe</t>
  </si>
  <si>
    <t xml:space="preserve"> 1 UNIT PRINTER - . - printer, scanner and xerox with CISS - photocopy size: Upto short and A4 only - Print size: upto Legal or long</t>
  </si>
  <si>
    <t xml:space="preserve"> Information Technology Parts &amp; Accessories &amp; Peripherals for TVE Laboratories</t>
  </si>
  <si>
    <t xml:space="preserve"> REQUEST TO SUBMIT PROPOSAL FOR SUPPLY AND DELIVERY OF 100 UNITS PALLET FOR USE UNDER 2020 RICE PROGRAM AT APPROVED BUDGET FOR THE CONTRACT AMOUNTING TO SIX HUNDRED FIFTY THOUSAND PESOS (PHP650,000.00) PURSUANT TO ALTERNATIVE METHOD OF PROCUREMENT SPECIFIC</t>
  </si>
  <si>
    <t xml:space="preserve"> Construction Materials and Supplies Materials: Drop Wire 1,440 meters, Lamp Holders 48 sets, Led Lamp Bulb 25 watts 48 pcs., G.I. Pipe 3” SCH 40 48 pcs., G.I Pipe 1 ½” SCH 20 13 pcs., THHN Wire# 14 48 meters, THHN #10 44 meters, Electrical Tape 12 rolls, </t>
  </si>
  <si>
    <t xml:space="preserve"> Procurement of supply and delivery of Office Supplies 50	ream	Bondpaper A4, Substance 20 25	packs	L type transparent folder A4, 10pcs/pack 25	packs	L type transparent folder, long, 10pcs/pack 20	pcs	Notepad, Post It Sticky Notes, 100 sheets per pad, 2x4in</t>
  </si>
  <si>
    <t xml:space="preserve"> LOCATION OF PROJECTt: Sapuan, Ambassador, Tublay, Benguet ABC: Php 2,000,000.00 EQUIPMENTS TO BE USED: *1 Transit Mixer *Concrete Vibrator *Backhoe *Dump Truck (5 cu.m.) SCOPE OF WORK TO BE DONE: ITEM 103(1)a Structure Excavation (Common soil) ITEM 105(1)</t>
  </si>
  <si>
    <t xml:space="preserve"> Republic of the Philippines Municipality of Taytay Taytay, Palawan NOTICE TO BIDDERS Item # Qty Unit Description Amount 1. 7 units Desktop Computer: Specs: Processor: CPU @ 2.20ghz, Installed RAM: 4.00 GB, System Type: 64 Bit Operating System x64 based pr</t>
  </si>
  <si>
    <t xml:space="preserve"> 3units - AMD kaveri a10-7870k (replacement) 3untis - Motherboard - Asus A68hm-k (replacement) 3units - RAM - G.skill Aegis 8GB (8x1) (replacement) 3units - HDD - WD blue 1TB (replacement) 3untis - PSU &amp; Case - Tecware mono with 600w PSU (replacement)</t>
  </si>
  <si>
    <t xml:space="preserve"> Item I Preparation of Base Item II Riprap Item III Concrete Paving</t>
  </si>
  <si>
    <t xml:space="preserve"> SOURCE OF FUNDS: ANNUAL BUDGET CY 2020- 20% DF BIDDING DATE &amp; TIME: JUNE 26, 2020- 3:00 P.M</t>
  </si>
  <si>
    <t xml:space="preserve"> Equipment Rental for the Demolition and Reconstruction of MPB Php83,345.00</t>
  </si>
  <si>
    <t xml:space="preserve"> Supply &amp; Delivery of Common Office Supplies ABC:112,000.00 20 cart Ink Cart for Canon printer CL-88 black 20 cart Ink Cart for Canon printer CL-88 colored 10 cart Toner for Canon printer LBP 303 10 cart Toner for HP Printer , HP 85A 10 cart Toner for Phot</t>
  </si>
  <si>
    <t xml:space="preserve"> INVITATION TO BID The Surigao del Sur 1st District Engineering Office, Tandag City, through its Bids and Awards Committee (BAC), invites contractors to submit bids for the following Contract: CONTRACT ID	:	20NH0092 CONTRACT NAME	:	Construction/ Rehabilita</t>
  </si>
  <si>
    <t xml:space="preserve"> 150 - CU.M - ROAD REHABILITATION, RESURFACING, STOCK FILLING, HAULING, SPREADING AND COMPACTING (0.10Mx5.0Mx200M) 5.04 - SQ.M - BILLBOARD (1.2Mx2.4M)</t>
  </si>
  <si>
    <t xml:space="preserve"> SUPPLY AND DELIVERY OF FOLLOWING MATERIALS TO BE INSTALLED FOR THE ISOLATION OF BRIDGE CROSSING PIPELINE LOCATED IN MATAGOY BRIDGE II, RIZAL STREET, SILAY CITY. 1. F/F GATE VALVE, C.I., 200MM (8``), Rubber Seated, Powder Coated, C.I, Standard, with Hand W</t>
  </si>
  <si>
    <t xml:space="preserve"> 15boxes - Surgical mask, 3ply, 50pcs/box 10gallons - Alcohol, 70%, ethyl 15cans - Disinfectant spray, kills virus, mild scent 510g 12sets - PPE overall</t>
  </si>
  <si>
    <t xml:space="preserve"> a. Contract ID No:	20P00041     Contract Name:	Completion of Satellite laboratory Building – DPWH Ifugao First DEO Compound, Poblacion North, Lagawe, Ifugao     Approved Budget for the Contract:	Php 750,758.53     Scope of work:	Structural Steel (Canopy),</t>
  </si>
  <si>
    <t xml:space="preserve"> FOR INTERESTED BIDDER, PLEASE SEE ATTACHED PDF RFQ FOR YOUR QUOTATION.</t>
  </si>
  <si>
    <t xml:space="preserve"> Republic of the Philippines Municipality of Taytay Taytay, Palawan NOTICE TO BIDDERS Item # Qty Unit Description Amount 1. 30 set Seaweeds Paraphernalias 1 roll rope #20 6 roll rope #8 6 roll rope #6 10 roll straw 2. 10 set Balatan Paraphernalias 1 paldo </t>
  </si>
  <si>
    <t xml:space="preserve"> NOTICE FOR NEGOTIATED PROCUREMENT (Contract No. MKWD RFQ2020-06-035) 			 The Metro Kalibo Water District, through the Bids and Awards Committee (BAC), will undertake Negotiated Procurement (Small Value Procurement) for the Supply and Delivery of 5,100 Lit</t>
  </si>
  <si>
    <t xml:space="preserve"> Supply &amp; Delivery of Various Chemicals ABC:151,300.00 14 bags Insecticide, Carbofuran @ 16.7 kgs/bag 8 liters insecticide, Cypermethrin, 5EC, 50g/liter conc @ 1l/bottle 39 packs Fungicide, Chlorothalonil, WP 75 @ 1,000g/pack 12	gal Herbicide, Isopropylami</t>
  </si>
  <si>
    <t xml:space="preserve"> 8 - GALLONS MULTI-PURPOSE CLEANER      12 CARTRIDGE -HEAVY DUTY MULTI-PURPOSE BEARIG GEAR</t>
  </si>
  <si>
    <t xml:space="preserve"> Supply &amp; Delivery of Laboratory Supplies ABC:121,625.00 	300  packs oat meal (instant) 1 kg/pack -	1.5 years operation  from the data of delivery -	Original Flavor (plain) 	2,200  packs  Gulaman Bar (2 bars/pack) -	White /transparent  50	rolls  Cotton (bi</t>
  </si>
  <si>
    <t xml:space="preserve"> This project entails labor and materials for the construction of 1m x 120m x 0.10m concrete pathway in Purok 1 &amp; 3, Salvacion, Magallanes, Sorsogon.</t>
  </si>
  <si>
    <t xml:space="preserve"> 1 UNIT PRINTER - . - wifi all in-one Ink Tank Printer w/ ADF - Compact Intehrated Tank design - High yield ink bottles - Spill free, error-free refilling - Print, Scan, Copy Fax w/ ADF</t>
  </si>
  <si>
    <t xml:space="preserve"> Supply &amp; Delivery of Laboratory Supplies ABC:54,250.00 	100 pair Petri Plates 	50 rolls HDPE Cellophane 25 x 30 cm 	2 bot. Tetrazolium Chloride 	5 pcs Transfer Neddle 	50 boxes Rubber band 	30 boxes Face mask Disposable (1 box with 50 pcs) 	Delivery perio</t>
  </si>
  <si>
    <t xml:space="preserve"> COMPUTER DESKTOP, W/COMPLETE ACCESSORIES.., 2 unit @ 40,000.00/unit Common Specs For Desktop Computer Processor: at least Core i 3 or its equivqlent Memory ( RAM ): at least 4 GB Storage ( HDD) : at least 1 TB Video: Shared or Dedicated- Minimum 1 GB Audi</t>
  </si>
  <si>
    <t xml:space="preserve"> 450 - CU.M - ROAD REHABILITATION, RESURFACING, STOCK FILLING, HAULING, SPREADING AND COMPACTING (0.15Mx6.0Mx800M) 5.04 - SQ.M - BILLBOARD (1.8Mx2.4M)</t>
  </si>
  <si>
    <t xml:space="preserve"> 10cart - Brother ink photopro BK 16cart - Canon 810 16cart - Canon CLI-36 16cart - Canon PGI-35 15cart - HP 704 color 15cart - HP 704 black 10pcs - flash drive 8gb 5pcs - webcam with built in noise cancelling mic 1pc - NVIDIA GeForce GTX 1050ti (replaceme</t>
  </si>
  <si>
    <t xml:space="preserve"> PLs. quote the items listed below: 1. Emergency Light (rechargeable)  -  6 pcs. 2. EMS Complete Uniform  -  5 sets 3. Kermantel Rope 11mm  -  1 roll 4. Carabiner Steel - 2 pcs. NOTE:                         Opening of Bids will be on June 30, 2020 @ 1:00 </t>
  </si>
  <si>
    <t xml:space="preserve"> 2  sets    Air Conditioning Unit, Split Type (Inverter) - 2 HP    2  sets    Air Conditioning Unit, Split Type (Inverter) - 1 HP    1  set     Air Conditioning Unit, Split Type (Inverter) - 5 HP    1  unit    Refrigerator (10 cu. ft.)    1  unit    Televi</t>
  </si>
  <si>
    <t xml:space="preserve"> Republic of the Philippines Province of Camarines Sur Municipality of Pasacao Barangay Balogo oOo OFFICE OF BIDS AND AWARDS COMMITTEE INVITATION TO BID FOR:  PROCUREMENT OF MATERIALS FOR VARIOUS INFRA PROJECTS 1.	The BLGU, Balogo, Pasacao, Camarines Sur t</t>
  </si>
  <si>
    <t xml:space="preserve"> 1 UNIT DESKTOP COMPUTER - . - PC22 1TB-8GB, Intel Core i5-9400 Coffee Lake 6-Core 2.90 GHz LGA 1151 (300 series) 65W. CPU Package Computer Set with Keyboard, Mouse &amp; Mousepad (1 set)</t>
  </si>
  <si>
    <t xml:space="preserve"> June 18, 2020				 REYNALDO M. GUILLENA, CESO V										 Schools Division Superintendent										 Division of Davao City										 										 Madam:										                     This is to request approval to grant us the Cash Advance amounting to P 290</t>
  </si>
  <si>
    <t xml:space="preserve"> For Expansion/ Improvement of Level III Water System</t>
  </si>
  <si>
    <t xml:space="preserve"> various items (as per Purchase Request)</t>
  </si>
  <si>
    <t xml:space="preserve"> INTERNET BILL		 PHONE BILL		 BOND PAPER LONG		 BOND PAPER A4		 BOND PAPER SHORT		 CELLCARD		 EPSON INK BLACK		 EPSON INK ( C-M-Y)		 HAND SOAP		 BLEACH ( ZONROX)		 MOP ( TORNADO) 		 OPTIMUM TONER		 ID for teachers		 PRINTER		 DATA FILER ( ARCH FILE)		 LABO</t>
  </si>
  <si>
    <t xml:space="preserve"> Provision of Food  for 4 batches ABC:63,000.00 140 pax 1 meal &amp; 2 snacks  -	35  pax/batch -	4 batches -	Tentative date: June- November 2020 -	propose venue:  DA- Balindog RES, Kidapawan City 	(during the conduct of  Regular Quarterly Meeting of DA-BRES, B</t>
  </si>
  <si>
    <t xml:space="preserve"> 1 UNIT PRINTER - . - Color Print,Inkjet Printer - Print Resolution 5760 x1440 DPI - Print Speed: Black 33 PPM-Color 15 PPM - Paper Size: 10 x15cm-13 x18cm - 9x13cm A4 Letter ( 80 1/2x11 in ) PROCUREMENT</t>
  </si>
  <si>
    <t xml:space="preserve"> Procurement ID/ Contract ID:	20FJ0027 Contract Name:	Repair/ Maintenance of DPWH Building, Motorpool, Masbate III District Engineering Office                                                                  Contract Location:	Brgy. Balocawe, Dimasalang, M</t>
  </si>
  <si>
    <t xml:space="preserve"> 1 UNIT PRINTER - . - Print Resolution 5760 x 1440 DPI - Color Print Inkjet Printer - Print Speed: Black 33 PPM-Color 15 PPM - Paper size: 10 x 15 cm -13x18cm - 9x13cm letter (80 1/2 x 11inc)</t>
  </si>
  <si>
    <t xml:space="preserve"> Item No.	Description		 Quantity 	Unit FURNITURE FOR MDIP BUILDING				 1.	EOD Manager Chair		 1.000 	 set/s  	Executive Chair			 	W/ Upholstered Leatherette Armrest, Casters, Gaslift			 	W/ Chrome Legs , Tilting Mechanism			 	Color: : Leatherette Black			 </t>
  </si>
  <si>
    <t xml:space="preserve"> REQUEST TO SUBMIT PROPOSAL FOR SUPPLY AND DELIVERY OF OFFICE/I.T SUPPLIES FOR USE IN THE IMPLEMENTATION OF RRP-ALPAS PROGRAM UNDER 2020 RICE PROGRAM AT APPROVED BUDGET FOR THE CONTRACT AMOUNTING TO FOUR HUNDRED THIRTY THREE THOUSAND TWO HUNRED FORTY FIVE </t>
  </si>
  <si>
    <t xml:space="preserve"> For 400 pcs ARAD Water System</t>
  </si>
  <si>
    <t xml:space="preserve"> 50 PCS FILTER  F-1 ELEMENT</t>
  </si>
  <si>
    <t xml:space="preserve"> INVITATION TO BID The City Government of Pasay, through its Bids and Awards Committee (BAC) invites suppliers/manufacturers/distributors/contractors to apply and submit sealed bids for the supply and delivery of the following: Proposed Installation of Ded</t>
  </si>
  <si>
    <t xml:space="preserve"> GUIDELINES FOR SHOPPING AND SMALL VALUE PROCUREMENT 1. SCOPE AND PURPOSE These Guidelines shall prescribe the general procedures for procurement through: a. Shopping of readily available off-the-shelf goods, or ordinary/regular equipment under Section 52.</t>
  </si>
  <si>
    <t xml:space="preserve"> 3units - Canon PIXMA ip110 3units - Canon PIXMA g4010 3units - Portable handheld scanner-16-bit colored, 1200 dpi max</t>
  </si>
  <si>
    <t xml:space="preserve"> 1 2 PC/S STAMPING PAD - LARGE 2 2 PC/S RUBBER STAMP - MACHINE CUT - PMT Validated 3 2 BOX/S PVC COVER - LONG-8 1/2"X13" - Transparent 4 2 BOX PVC COVER - A4 SIZE 5 1 CART. TONER - LBP 2900 6 6 REAM/S PAPER - BOOK LEGAL,216MMX330MM(8-1/2"X13"),MIN OF 70G</t>
  </si>
  <si>
    <t xml:space="preserve"> JOB ORDER:			 For assembly of Portable Handwashing Booth for prevention of COVID-19		17	set infection: Portable Sink stainless with stand &amp; roofing Foot pedal valve both			 water and hand soft			 MATERIALS NEEDED FOR WATER PIPE CONNECTIONS:			 PVC Pipe 2"</t>
  </si>
  <si>
    <t xml:space="preserve"> 1 SET/S DESKTOP COMPUTER - WITH COMPLETE ACCESSORIES - Intel core i3,3.0GHz minimum processor speed - H110 Motherboard w/ VGA Port - 4GB-8GB DDR - 22" LED Monitor - DVD ROM - Tower case w/ power supply - USB Optical mouse - USB keyboard</t>
  </si>
  <si>
    <t xml:space="preserve"> INVITATION TO BID (CW-06-2020-019) The Department of Public Works and Highways (DPWH)-Batangas IV District Engineering Office, Marawoy, Lipa City, Batangas, through its Bids and Awards Committee (BAC), invites contractors to bid for the contract listed be</t>
  </si>
  <si>
    <t xml:space="preserve"> BOND PAPER, A4 SIZE, SUBS. 20, 80GMS= 720 REAMS</t>
  </si>
  <si>
    <t xml:space="preserve"> Provision of Food &amp; Accommodation for 2 days ABC:102,500.00 	1st day 	50 pax 2 meals &amp;2 snacks  with Accommodation    	2nd day 	50 pax 2 meals &amp;2 snacks    (during  the conduct of R &amp;D Pre-Agency in House Review on June-July 2020 at KIDAPAWAN CITY) Note: </t>
  </si>
  <si>
    <t xml:space="preserve"> GENERAL BODY REPAIR AND REPAINTING OF MITSUBISHI CANTER</t>
  </si>
  <si>
    <t xml:space="preserve"> ITEM NO.	UNIT		QTY		DESCRIPTION		 							 1	 ltr. 		35		Albendazole 15% (1liter)		 2	 bts. 		16		 Vitamin ADE (100ml/bottle) 		 3	 vials 		400		 Rabies Vaccine (10 doses/vial) 		 4	 amp 		12		 Ephinephrine 		 5	 pcs 		6821		 Dog tag/ Dog Collar 		 6	 pcs </t>
  </si>
  <si>
    <t xml:space="preserve"> INVITATION TO BID FOR THE SUPPLY AND DELIVERY OF BATTERY, INTERIOR AND EXTERIOR WITH FLAP FOR DUMP TRUCK, TO WIT: PLEASE SEE ATTACHED SPECIFICATIONS: 1. The Local Government Unit of Tanauan, Leyte through  General Fund intends to apply the sum ofONE HUNDR</t>
  </si>
  <si>
    <t xml:space="preserve"> 1.) Cellular Phones, 8 units Screen size: 6.4 inches Screen type: LCD CPU:Octa-Core       2 x Cortex-A76 2.27 GHz + 6 x Cortex-A55 1.88 GHz Operating System: EMUI 10.0.1 (Based on Android10.0) Memory: 8 GB RAM + 128 GB ROM External Memory Support: NM SD C</t>
  </si>
  <si>
    <t xml:space="preserve"> 2units - Logitech BCC950 Conference cam full HD 1080p video, webcan HD camera computer 1unit - 8 channel wireless microphone receiver base 8units - Portable VHF cordless audio mic set 1unit - samsung 860evo 1TB 2.5 inch SATA III internal, MZ-76E1T0W(SSD) </t>
  </si>
  <si>
    <t xml:space="preserve"> 2units - laptop - intel core i3,10110U, RAM 8GB(1x8GB), 128GB SSD &amp; 1TB HDD with ACM/intel UHD graphics, warranty (3-3-0), 14inches, windows 10Pro/Home</t>
  </si>
  <si>
    <t xml:space="preserve"> DESCRIPTION: One (1) Unit Dump Truck SPECIFICATIONS: 4 Cylinder Diesel Engine 4x4 (6 wheeler) 5 speed (Manual Transmission) 3.9 Liters (Turbo Intercooler) 8.25-16 &amp; 6.5-16 (Tire &amp; Rim) 8500 kg. Gross Vehicle Weight INCLUSIVE OF: 120 Ton Jack 1 Tire Wrench</t>
  </si>
  <si>
    <t xml:space="preserve"> Name of  Project/Contract	:	IMPROVEMENT/REHABILITATION OF FMR  Location				:	Calpatay, Pao, Kasibu, Nueva Vizcaya Brief Description	:	Excavation works/removal of eroded soil; installation of 24” dia. And 18” dia. RCPC pipes with aggregate base course; and</t>
  </si>
  <si>
    <t xml:space="preserve"> MEDICAL SUPPLIES:			 Alcohol, 70% Isopropyl (500ml)		200	bot Hand Sanitizer, Anti- Bacterial (500ml)	100	bot Disinfectant, anti-bacterial	50	gal Liquid Hand Soap		30	gal Thermal Scanner (Division-10; ORD-2 units; Guard-2 units)		14	unit Rechargeable Batte</t>
  </si>
  <si>
    <t xml:space="preserve"> INVITATION TO BID The City Government of Pasay, through its Bids and Awards Committee (BAC) invites suppliers/manufacturers/distributors/contractors to apply and submit sealed bids for the supply and delivery of the following: Proposed PREVENTIVE MAINTENA</t>
  </si>
  <si>
    <t xml:space="preserve"> Invitation to Bid for Construction Slope Protection (Lugsad Spring Including Intake Box) – Labor and Materials 1.	The Calabanga Water District, through the Corporate budget FY 2020 intends to apply the sum of Php2,000,000.00 being the Approved Budget for </t>
  </si>
  <si>
    <t xml:space="preserve"> 1.	The Municipality of Caraga, through the 20% LGDF  CY 2019 intends to apply the sum of Two Million Pesos (PhP 2,000,000.00) being the Approved Budget for the Contract (ABC) to payments under the contract for the  Concreting of Connecting Road from Natio</t>
  </si>
  <si>
    <t xml:space="preserve"> TERMS AND CONDITIONS: 1. Bidders shall provide correct and accurate information required in this form. 2. Bidders may quote for any or all items. 3. Price quotation/s must be valid for a period of Thirty (30) calendar days from the date of submission. 4. </t>
  </si>
  <si>
    <t xml:space="preserve"> ITEM NO. QTY UNIT DESCRIPTION 1.  580 PCS 4 THICK CHB 2.  48 BAGS CEMENT 3.  4.0 CU M WASH SAND 4.  30 LENGTH 10MM DEF BAR 5.  4 KILOS TIE WIRE # 16 6.  9 SHTS 1/4"X4'X8' B. I. PLATE 7.  16 LENGTH 1/4"X1"X1"X6.0M 8.  6 LENGTH  16MM DIAX6.0 DEF BAR 9.  8 P</t>
  </si>
  <si>
    <t xml:space="preserve"> Supply &amp; Delivery of Supplies &amp; Materials ABC:176,900.00	 	1 pc  Drum- AX FAD 89 (fax machine) 	5 carts Toner- KX-FAT88 (fax machine) 	6 carts HP color laserjet 128A- black 	10  carts HP color laserjet 128A -cyan 	8 carts HP color lasejet 128A- magenta 	1</t>
  </si>
  <si>
    <t xml:space="preserve"> 1		Face Mask Disposable		        		66	bx	      2		Face Shield						66	pc	      3		Alcohol 500ml						100	btl	        4		Alcohol Dispenser/spray bottle 1lt			20	btl	         5		Alcohol Dispenser Holder/Stand			5	pc	          5		Disinfectant Mat with tray/s</t>
  </si>
  <si>
    <t xml:space="preserve"> INVITATION TO BID Date: June 18, 2020 1.	The Provincial Government of Davao del Sur, through its Bids and Awards Committee (BAC), invites all potential bidders/suppliers to apply to bid for the following goods. Bids received in excess of the ABC shall be </t>
  </si>
  <si>
    <t xml:space="preserve"> Item No. Description Quantity Unit 1 Construction of temporary facility 1 Lot 2 Mobilization of one drilling unit, all equipment &amp; staff to project site 1 Lot 3 Drilling of 4" diam. Pilot hole from surface including strata sampling every 1 m. of penetrati</t>
  </si>
  <si>
    <t xml:space="preserve"> ITEM II. Removal/Installation of Casing/Suction 2 Pcs. 4"0 G.I. Pipe SCH. 40 2 Pcs. 4"0 G.I. Coupling 1 Pc. 1 1/4" 0 G.I. Pipe SCH. 40 1 Pc. 1 1/4" 0 G.I. Coupling ITEM III. Power &amp; Pumping Facilities a. Motor Pump &amp; Accessories 1 Set Submersible Pump w/ </t>
  </si>
  <si>
    <t xml:space="preserve"> Contract Name:	PURCHASE OF SPARE PARTS AND LABOR SERVICES: A.) For use on the repair of fuel system and replacement of worn out tires of HI-7377, Ford Everest 3.0, 2011 B.) For use of 141204 (HI-5871) and 024405 (HI-5606) C.) For replacement of defective </t>
  </si>
  <si>
    <t xml:space="preserve"> Name of  Project/Contract	:	COMPLETION OF COMPUTER ROOM-TADJI Location				:	Tadji, Kasibu, Nueva Vizcaya Brief Description	:	Tile works, Electrical works, Painting works and Ceiling works. Approved Budget  for the Contract (ABC)		:	P290,720.31 Source of F</t>
  </si>
  <si>
    <t xml:space="preserve"> ITEM NO.	UNIT		QTY		DESCRIPTION		 							 					Wood Vinegar Production		 1	 sacks 		80		 Coconut Shells 		 2	 pcs. 		500		 Empty Bottle(1.5) 		 3	 sacks 		100		 Wood Cuttings 		 4	 pcs. 		3		 Pail (Orocan) 		 5	 pcs. 		3		 Plywood Marine (1/2) 		 6	 bd.ft</t>
  </si>
  <si>
    <t xml:space="preserve"> Republic of the Philippines CITY OF BAIS BIDS AND AWARDS COMMITTEE NOTICE OF AWARD This is to certify that Fabrication and Installation of Build-up Signage in Front of the Evacuation Center and Multipurpose Facility in connection with the Tourism Developm</t>
  </si>
  <si>
    <t xml:space="preserve"> QTY	UNIT	ARTICLE	 1	LOT	Weaving tools and equipment	 		- Spooling equipment (2pcs @Php5,000each=Php10,000)	 		-Steel/metal reeds (30pcs @ Php3,000 each= Php90,000)	 1	LOT	Dyeing tools/equipment	 		"-Stainless Ladle (9pcs@Php500each=Php4,500)  - Diameter x</t>
  </si>
  <si>
    <t xml:space="preserve"> Purchase of Office Supplies and Consumables for daily operations of Barangay Post Proper Northside</t>
  </si>
  <si>
    <t xml:space="preserve"> Republic of the Philippines Province of Iloilo Municipality of Lambunao Office of the Bids &amp; Awards Committee INVITATION TO BID/ REQUEST FOR PRICE QUOTATION Name of Project: Purchase of Materials for the Farm to Market Road (Concreting) Location:Brgy. Can</t>
  </si>
  <si>
    <t xml:space="preserve"> 150 - CU.M - ROAD REHABILITATION, RESURFACING, STOCK FILLING, HAULING, SPREADING AND COMPACTING (0.10Mx5.00Mx200M) 5.04 - SQ.M - BILLBOARD (1.2Mx2.4M)</t>
  </si>
  <si>
    <t xml:space="preserve"> Republic of the Philippines DEPARTMENT OF PUBLIC WORKS AND HIGHWAYS REGIONAL OFFICE II Tuguegarao City, Cagayan REQUEST FOR EXPRESSION OF INTEREST (REI) FOR 20CSB005: CONSULTING SERVICES FOR THE GEOTECHNICAL INVESTIGATION FOR PROPOSED FLOOD CONTROL PROJEC</t>
  </si>
  <si>
    <t xml:space="preserve"> Purchase of Kits and materials for the Responsible Parenthood and Family Planning (RPFP) Go Kits line Item No 1 - 150 pcs Cyclebeads Vertical version; Plastic chalk beads;  Individually packed with manual of instructions line Item No 2 - 243 pcs Penile Mo</t>
  </si>
  <si>
    <t xml:space="preserve"> 1. SEAL- VALVE STEM, 934-871 &amp; 5 OTHERS DELIVERY SITE:   BURIAS DPP (BURIAS ISLAND)                           SAN PASCUAL, MASBATE PLEASE SUBMIT REQUIREMENTS: 1	MAYOR’S/BUSINESS PERMIT 2	PhilGEPS REG. NUMBER/CERTIFICATE</t>
  </si>
  <si>
    <t xml:space="preserve"> Republic of the Philippines DEPARTMENT OF PUBLIC WORKS AND HIGHWAYS PANGASINAN IV DISTRICT ENGINEERING OFFICE REGIONAL OFFICE I Tuliao, Sta. Barbara, Pangasinan Invitation to Bid for  Construction of Four (4) Storey Eight (8) Classroom School Building, Pr</t>
  </si>
  <si>
    <t xml:space="preserve"> For MMH Medicines</t>
  </si>
  <si>
    <t xml:space="preserve"> ITEM NO.	UNIT		QTY		DESCRIPTION		 							 					 BOTIKA NG BAYAN 		 					 Proper Dispensing and Monitoring of Prescribed Medicines 		 1	 bxs 		5		Acetylcysteine 200mg Sachet 100's		 2	 bxs 		10		 Acetylcysteine 600mg Effervescent 100's 		 3	 bxs 		25		 Alu</t>
  </si>
  <si>
    <t xml:space="preserve"> PROCUREMENT OF OFFICE SUPPLIES: 1. 600 ROLLS 2"X90M CLEAR TAPE 2. 2,500 PCS GLUE STICK, BIG 3. 200 PCS SIGN PEN , BLACK O.7 4. 200 PCS SIGN PEN ,BLUE 0.5 5. 2000 PCS FOLDER WHITE, LEGAL 6. 1000 PCS FOLDER WHITE, SHORT 7. 140 PCS TYPE WRITER RIBBON 8. 200 </t>
  </si>
  <si>
    <t xml:space="preserve"> Republic of the Philippines Province of Eastern Samar MUNICIPALITY OF DOLORES INVITATION TO BID FOR  CONSTRUCTION OF BARANGAY ROAD  	                    The Local Government of Dolores, through the 20% Economic Development Fund of CY 2020 (EDF) intends to</t>
  </si>
  <si>
    <t xml:space="preserve"> Please see the attached file.</t>
  </si>
  <si>
    <t xml:space="preserve"> Republika ng Pilipinas  (Republic of the Philippines) Kagawaran ng Katarungan  (Department of Justice) PAMBANSANG KAWANIHAN NG PAGSISIYASAT (NATIONAL BUREAU OF INVESTIGATION) Manila      	           	      Procurement Management Section REQUEST FOR QUOTAT</t>
  </si>
  <si>
    <t xml:space="preserve"> ITB No. 2020-75 June 19, 2020 Republic of the Philippines Province of Davao Oriental CITY OF MATI INVITATION TO BID CONSTRUCTION OF MULTI-PURPOSE BUILDING KAGITINGAN, MAGAY, BRGY. DON MARTIN MARUNDAN Name of Project 1.	The City Government of Mati, through</t>
  </si>
  <si>
    <t xml:space="preserve"> INVITATION TO BID FOR THE SUPPLY AND DELIVERY OF FACILITIES AND EQUIPMENT USE FOR MODEL HOME OF KILING NATIONAL HIGH SCHOOL, TO WIT: PLEASE SEE ATTACHED SPECIFICATIONS: 1. The Local Government Unit of Tanauan, Leyte through Capital Outlay Fund intends to </t>
  </si>
  <si>
    <t xml:space="preserve"> For 4 Units Aircon Floor Standing 3HP with Installation</t>
  </si>
  <si>
    <t xml:space="preserve"> CONTRACT NO.: BNLSL-LCB-04A-2019 LOCATION: Sto. Niño CIP, Babatngon, Leyte SCOPE OF WORK: Construction of Canal System APPROVED BUDGET FOR CONTRACT: Php 2,114,998.40 CONTRACT DURATION: 60 calendar days Bidding will be conducted in accordance with relevant</t>
  </si>
  <si>
    <t xml:space="preserve"> 10 units NSS Solar Flood lights 300 watts 2 units Street Pole Post G.I 2.5 3 units Street Pole post 10 units Street Light bracket</t>
  </si>
  <si>
    <t xml:space="preserve"> 4x4 wheeled vehicle with back cover / Van (Rent-a-Car) 4x4/Van, 2016-2019 model, diesel, aircon in good condition Inclusions: Maintenance, fuel (start of departure), driver For the conveyance of technical personnel of Geosciences Division in the conduct o</t>
  </si>
  <si>
    <t xml:space="preserve"> ITEM NO.	UNIT		QTY		DESCRIPTION		 							 					Clinical Laboratory Program		 					 Conduct of early diagnosis through Clinical Laboratory 		 					 examination 		 1	 bots 		12		 70% Isoprophyl Alcohol (1 liter) 		 2	 bxs 		16		 Face Mask 		 3	 bxs 		5		 Mi</t>
  </si>
  <si>
    <t xml:space="preserve"> Republic of the Philippines DEPARTMENT OF PUBLIC WORKS AND HIGHWAYS PANGASINAN IV DISTRICT ENGINEERING OFFICE REGIONAL OFFICE I Tuliao, Sta. Barbara, Pangasinan Invitation to Bid for  Construction of Four (4) Storey Eight (8) Classroom School Building, Bo</t>
  </si>
  <si>
    <t xml:space="preserve"> for 1 Washing Machine with Spinner</t>
  </si>
  <si>
    <t xml:space="preserve"> Republic of the Philippines Department of Environment and Natural Resources ENVIRONMENTAL MANAGEMENT BUREAU Region VI, Iloilo City INVITATION TO BID FOR THE SUPPLY AND DELIVERY OF ICT EQUIPMENT OF EMB REGION VI CY 2020 (RE-BID) ITB No. EMB-GOODS-NCB-2020-</t>
  </si>
  <si>
    <t xml:space="preserve"> Submission of RFQ = June 26, 2020, 9:00am at Municipal Hall, Casiguran, Sorsogon</t>
  </si>
  <si>
    <t xml:space="preserve"> Rental of one (1) unit Service Vehicle</t>
  </si>
  <si>
    <t xml:space="preserve"> For Health Equipment,</t>
  </si>
  <si>
    <t xml:space="preserve"> CONTRACT NO.: BNLSL-LCB-34-2020 LOCATION: Tabion SIP, Leyte, Leyte SCOPE OF WORK: Construction of Diversion Works, Canal and Farm Level System APPROVED BUDGET FOR CONTRACT: Php 6,592,238.00 CONTRACT DURATION: 200 calendar days Bidding will be conducted in</t>
  </si>
  <si>
    <t xml:space="preserve"> Purchase of Janitorial Supplies for the daily operations of Barangay Post Proper Northside</t>
  </si>
  <si>
    <t xml:space="preserve"> 11units - Powerbank 20,000mAh 10pcs - kaspersky antivirus 5 users 2019 version 2 years 6pcs - Reference manager and citation generator software subscription 5units - external hdd 2TB 2.5" USB3.0 5pcs - broadband prepaid home wifi 8units - 28in curve full </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</si>
  <si>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</si>
  <si>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PNOC EC now invites qualified bidders to submit proposals for the Project. Financial proposals received in excess of the ABC shall be automatically rejected at bid opening.  Item	Description: Peerless Box; corrugated boxes, double wall with print, with st</t>
  </si>
  <si>
    <t xml:space="preserve"> Republic of the Philippines DEPARTMENT OF PUBLIC WORKS AND HIGHWAYS PANGASINAN IV DISTRICT ENGINEERING OFFICE REGIONAL OFFICE I Tuliao, Sta. Barbara, Pangasinan Invitation to Bid for  Construction of Two (2) Storey Six (6) Classroom School Building at Tul</t>
  </si>
  <si>
    <t xml:space="preserve"> QTY	UNIT	ARTICLE	 3	pcs	Coco Kiosk	 		"High-end built, conforms to leading mall standards Main body (with wheels) : 4ft x 8inches(front) Formica finish Shelf with 2 layers Cabinets with lock &amp; key Drawers with lock &amp; key Aluminum frames Sticker on sintra </t>
  </si>
  <si>
    <t xml:space="preserve"> Republic of the Philippines Province of Eastern Samar MUNICIPALITY OF DOLORES INVITATION TO BID FOR  LOCAL ROAD CONCRETING  	                    The Local Government of Dolores, through the 20% Economic Development Fund of CY 2020 (EDF) intends to apply t</t>
  </si>
  <si>
    <t xml:space="preserve"> Invitation to Bid Supply and Delivery of Toners and Inks, 1 Lot, for the Utilization of Pantawid Pamilya staff in RPMO, POO1, POO2, POO3, POO4 and Its municipalities 1.	The Department of Social Welfare and Development, Field Office 02, through the Governm</t>
  </si>
  <si>
    <t xml:space="preserve"> Republic of the Philippines DEPARTMENT OF PUBLIC WORKS AND HIGHWAYS PANGASINAN IV DISTRICT ENGINEERING OFFICE REGIONAL OFFICE I Tuliao, Sta. Barbara, Pangasinan Invitation to Bid for  Construction of Four (4) Storey, Eight (8) Classroom School Building, M</t>
  </si>
  <si>
    <t xml:space="preserve"> Republic of the Philippines Department of Education Masbate City Division Jolly T. Fernandez Avenue, Masbate City REQUEST FOR QUOTATION Date: 06-18-2020 RFQ No. SDO-RFQ20-033                 The Department of Education - Masbate City Division, through its</t>
  </si>
  <si>
    <t xml:space="preserve"> Republic of the Philippines PROVINCE OF ZAMBALES IBA BIDS AND AWARDS COMMITTEE Invitation to Bid (2nd Bid Notice) for the Purchase and Installation of Medical Waste Autoclave, San Marcelino District Hospital 1.	The Provincial Government of Zambales, throu</t>
  </si>
  <si>
    <t xml:space="preserve"> For Medical Supplies for MMH</t>
  </si>
  <si>
    <t xml:space="preserve"> INVITATION TO BID FOR THE PROVISION OF LABOR, MATERIALS, EQUIPMENT RENTALS AND OTHER INCIDENTALS NEEDED FOR THE RECONSTRUCTION OF (2 UNITS) GOAT HOUSE IN PREC-SUAL, PANGASINAN 1.	The Department of Agriculture Regional Field Office 1 (DA RFO-1), through th</t>
  </si>
  <si>
    <t xml:space="preserve"> INVITATION TO BID The DPWH-Bataan 2nd District Engineering Office, through its Bids and Awards Committee (BAC), invites contractors to submit bids for the following Contract: Contract ID	:	20CB0072 Contract Name	:	Construction of Two(2) Storey Four(4) Cla</t>
  </si>
  <si>
    <t xml:space="preserve"> Republic of the Philippines Province of Eastern Samar MUNICIPALITY OF DOLORES INVITATION TO BID FOR  REHABILITATION OF MUNICIPAL PLAZA  	                    The Local Government of Dolores, through the 20% Economic Development Fund of CY 2020 (EDF) intend</t>
  </si>
  <si>
    <t xml:space="preserve"> Rental of one (1) Service Vehicle</t>
  </si>
  <si>
    <t xml:space="preserve"> Procurement of 1 Lot Vehicle parts of: Isusu Dumptruck Hyundai Dumptruck (2) units Hino-Big Yellow Dumptruck</t>
  </si>
  <si>
    <t xml:space="preserve"> INVITATION TO BID SUPPLY, DELIVERY, INSTALLATION, TESTING,  APPLICATIONS TRAINING, AND COMMISSIONING OF  VARIOUS MEDICAL EQUIPMENT (Batch 2)  FOR GOV. CELESTINO GALLARES MEMORIAL HOSPITAL  1.	The Gov. Celestino Gallares Memorial Hospital, through Hospital</t>
  </si>
  <si>
    <t xml:space="preserve"> Improvement of Multi-Purpose Hall at Barangay Kisikis, Alcala, Pangasinan</t>
  </si>
  <si>
    <t xml:space="preserve"> Procurement of Equipment/Furniture</t>
  </si>
  <si>
    <t xml:space="preserve"> 1.	The Municipality of Caraga, through the Assistance to Municipalities (LGSF-AM) Program and 20% LGDF 2019 intends to apply the sum of Two Million Five Hundred Fifty Three Thousand Pesos (2,553,000.00) being the Approved Budget for the Contract (ABC) to </t>
  </si>
  <si>
    <t xml:space="preserve"> Description   Section I Republic of the Philippines Province of Sarangani Municipality of Maitum OFFICE OF BIDS AND AWARDS COMMITTEE Invitation to Bid for DRUGS AND MEDICINES 1.The Local Government of Maitum, through the Philhealth FUND intends to apply t</t>
  </si>
  <si>
    <t xml:space="preserve"> Procurement of 1 Lot vehicle spare parts, materials including services for upholstering</t>
  </si>
  <si>
    <t xml:space="preserve"> Republic of the Philippines Province of Batanes MUNICIPALITY OF MAHATAO -oOo- BIDS AND AWARDS COMMITTEE INVITATION TO APPLY FOR ELIGIBILITY AND TO BID The Municipal Local Government of Mahatao through the 20% Development Funds intends to apply the sum of </t>
  </si>
  <si>
    <t xml:space="preserve"> INVITATION TO BID  1.	The CITY GOVERNMENT OF CAUAYAN, ISABELA through the 20% ECONOMIC DEVELOPMENT FUND intends to apply the sum of TWO MILLION SIX HUNDRED FORTY THREE THOUSAND TWO HUNDRED SIXTY NINE PESOS (PHP2,643,269.00) being the Approved Budget for t</t>
  </si>
  <si>
    <t xml:space="preserve"> INVITATION TO BID FOR THE SUPPLY AND DELIVERY OF SCHOOL SUPPLIES AND EQUIPMENT  1.	The Municipality of Salcedo, through the Special Education Fund  intends to apply the sum of Three Hundred Five Thousand Eight Hundred Eighty Six Pesos only ( Php 305,886.0</t>
  </si>
  <si>
    <t xml:space="preserve"> INVITATION TO BID The DPWH-Bataan 2nd District Engineering Office, through its Bids and Awards Committee (BAC), invites contractors to submit bids for the following Contract: Contract ID	:	20CB0071 Contract Name	:	Construction of Two(2) Storey Four(4) Cla</t>
  </si>
  <si>
    <t xml:space="preserve"> Supply &amp; Delivery of Various Chemicals ABC:78,500.00 13 packs Insecticide, Carbaryl @ 85WP @ 200 grams/pack 24 bot Fungicide, Propamocarb Hydrochloride, 250ml/bot 30 boxes Fungicide, copper oxychloride  @ 1kg/box 12 gal Herbicide, Isopropylamine Glyphosat</t>
  </si>
  <si>
    <t xml:space="preserve"> QTY	UNIT	ARTICLE	 1	pc	Decorticating Machine	 		"Type: Axial Flow/Drum Overall Dimension: Length: 1.0 meter(cylinder), 2.30 meters(with trailer) Width: 0.65 meter (cylinder), 1.5 meter(with 2 side wheels) Height: 1.35 meters(with tire) Engine: 12 HP, Dies</t>
  </si>
  <si>
    <t xml:space="preserve"> Various Drugs And Medicines (SK)</t>
  </si>
  <si>
    <t xml:space="preserve"> Republic of the Philippines PROVINCE OF ZAMBALES IBA BIDS AND AWARDS COMMITTEE Invitation to Bid for the Package II: Construction of Water System (Spring Development), Brgy. Aglao and Brgy. Buhawen; Construction of Multi-Purpose Hall (Child Dev’t Center) </t>
  </si>
  <si>
    <t xml:space="preserve"> INVITATION TO BID The DPWH-Bataan 2nd District Engineering Office, through its Bids and Awards Committee (BAC), invites contractors to submit bids for the following Contract: Contract ID	:	20CB0074 Contract Name	:	Construction of Two(2) Storey Four(4) Cla</t>
  </si>
  <si>
    <t xml:space="preserve"> Procurement of 1 Lot (20 sets) tires size 12.00 x 20  18PR Lug Tubes and Flaps</t>
  </si>
  <si>
    <t xml:space="preserve"> Republic of the Philippines DEPARTMENT OF PUBLIC WORKS AND HIGHWAYS CAGAYAN 2ND DISTRICT ENGINEERING OFFICE Regional Office II Abulug, Cagayan INVITATION TO BID FOR  CLUSTER  NO. 2020-04-GOODS The DPWH -Cagayan 2nd District Engineering Office through the </t>
  </si>
  <si>
    <t xml:space="preserve"> Republic of the Philippines Province of Sarangani Municipality of Maitum Invitation to Bid for  Rehabilitation of Public Market  1.	The Local Government of Maitum, through 20% LDF – Infrastructure Development Project intends to apply the sum of Php 520,00</t>
  </si>
  <si>
    <t xml:space="preserve"> Barangay Kabangbang, Bantayan, Cebu   				                                                                                                                                                                                                                     </t>
  </si>
  <si>
    <t xml:space="preserve"> Installation of Electrical Facilities at PS# 482 Bugtong 5 (Sunnyvale), Brgy. Bugtong na Pulo, Lipa City ABC : Php 492,251.63 Project Duration : 30 calendar days</t>
  </si>
  <si>
    <t xml:space="preserve"> Assorted Oil Crude Oil</t>
  </si>
  <si>
    <t xml:space="preserve"> QTY	UNIT	ARTICLE	 1	pc	Coconut Chips Slicer	 		"   Capacity: 20kg/h    Voltage: 380v    Power :1.1kw    Dimension: 970*700*1040mm "	 1	pc	Convection Oven	 		"Voltage:380V Power: 9KW Pan Qty: 3 Layer Baking Area: 1.2 sqm Hourly Output: 30Kg/H Dimension:120</t>
  </si>
  <si>
    <t xml:space="preserve"> Republic of the Philippines																																			 DEPARTMENT OF PUBLIC WORKS AND HIGHWAYS																																			 REGIONAL OFFICE IX																																			 Ipil, Zamboanga Sibugay																																			 Name</t>
  </si>
  <si>
    <t xml:space="preserve"> Activity Title: Training on Natural Farming System Participants: 30 pax Venue: Kapangan, Benguet</t>
  </si>
  <si>
    <t xml:space="preserve"> INVITATION TO APPLY FOR ELIGIBILITY AND TO BID (IAEB) June 19, 2020 The Municipality of Molave, Zamboanga del Sur, through its Bids and Awards Committee (BAC), invites interested bidders to apply for eligibility and to bid for the hereunder project: Contr</t>
  </si>
  <si>
    <t xml:space="preserve"> 5	pack	0.1-10 uL tips, clear, Microvolume, pack of 1000s 5	pack	0.1-20 uL tips, clear, Ultra Micro, pack of 1000s 5	pack	100-1000 uL tips, clear, pack of 1000s 5	pack	5-200 uL tips, ThermoScientific Labtip, Yellow 5	pack	Art 10 Reach Barrier Tip, Hinged R</t>
  </si>
  <si>
    <t xml:space="preserve"> INVITATION TO BID FOR THE PROVISION OF LABOR, MATERIALS, EQUIPMENT RENTALS AND OTHER INCIDENTALS NEEDED FOR THE RECONSTRUCTION OF PERIMETER FENCE WITH GATE AT DA-PREC, SUAL, PANGASINAN 1.	The Department of Agriculture Regional Field Office 1 (DA RFO-1), t</t>
  </si>
  <si>
    <t xml:space="preserve"> Educational Materials &amp; Supplies for the Reproduction of JHS Modules</t>
  </si>
  <si>
    <t xml:space="preserve"> INVITATION TO BID The DPWH-Bataan 2nd District Engineering Office, through its Bids and Awards Committee (BAC), invites contractors to submit bids for the following Contract: Contract ID	:	20CB0076 Contract Name	:	Construction of Three(3) Storey Six(6) Cl</t>
  </si>
  <si>
    <t xml:space="preserve"> Medical Dental and Laboratory Supplies</t>
  </si>
  <si>
    <t xml:space="preserve"> Renovation of Accounting Office</t>
  </si>
  <si>
    <t xml:space="preserve"> Invitation to Bid The Barangay San Vicente Hindang, Leyte through its Bids and Awards Committee (BAC) invites the PhilGEPS registered suppliers to apply to bid for the Supply and Delivery of Construction of Acces Road (Pathway). Interested bidders may pur</t>
  </si>
  <si>
    <t xml:space="preserve"> Improvement of Water System, Barangay Caranas, Janiuay, Iloilo Item No.	DESCRIPTION	Qty.	Unit I	WELL DEVELOPMENT  (80 feet target drill depth)		 I.A	Well Pipe Casing, Gravel Packing &amp; Concrete Stab  ( 0.6 x  0.6 x 0.15 (thick)	1	Lot I.B	Well Drilling Expl</t>
  </si>
  <si>
    <t xml:space="preserve"> Various Construction Materials</t>
  </si>
  <si>
    <t xml:space="preserve"> INVITATION TO BID The DPWH-Bataan 2nd District Engineering Office, through its Bids and Awards Committee (BAC), invites contractors to submit bids for the following Contract: Contract ID	:	20CB0077 Contract Name	:	Construction of Two(2) Storey Eight(8) Cl</t>
  </si>
  <si>
    <t xml:space="preserve"> Improvement of Regional Comptrollership Division Office</t>
  </si>
  <si>
    <t xml:space="preserve"> Republic of the PhilippinesA1:AJ35																																			 DEPARTMENT OF PUBLIC WORKS AND HIGHWAYS																																			 REGIONAL OFFICE IX																																			 Ipil, Zamboanga Sibugay																																	</t>
  </si>
  <si>
    <t xml:space="preserve"> 1-lot	- Supply, Delivery, Installation, Testing and Commissioning of one (1) unit 3.0 TR Ceiling Mounted (Inverter Type) Air-conditioning unit, complete with standard accessories per manufacturer's standards for Landbank Manolo Fortich Branch  including d</t>
  </si>
  <si>
    <t xml:space="preserve"> Office Supplies and Materials for barangay</t>
  </si>
  <si>
    <t xml:space="preserve"> Republic of the Philippines Province of Batanes MUNICIPALITY OF MAHATAO -oOo- BIDS AND AWARDS COMMITTEE INVITATION TO APPLY FOR ELIGIBILITY AND TO BID The Municipal Local Government of Mahatao through the General Funds intends to apply the sum of Php 218,</t>
  </si>
  <si>
    <t xml:space="preserve"> Regravelling of Farm-to-Market Road at Barangay San Pedro Ili, Alcala, Pangasinan</t>
  </si>
  <si>
    <t xml:space="preserve"> INVITATION TO BID FOR THE PROVISION OF LABOR, MATERIALS, EQUIPMENT RENTALS AND OTHER INCIDENTALS NEEDED FOR THE REHAB AND ENHANCEMENT OF FIELD OPERATIONS UNIT BUILDING AT DA-INREC STATION, BATAC CITY STATION, ILOCOS NORTE 1.	The Department of Agriculture </t>
  </si>
  <si>
    <t xml:space="preserve"> INVITATION TO BID FOR THE PROVISION OF LABOR, MATERIALS, EQUIPMENT RENTALS AND OTHER INCIDENTALS NEEDED FOR THE REHABILITATION AND ENHANCEMENT OF DORMITORY BUILDING AT DA-PREC, SUAL, PANGASINAN 1.	The Department of Agriculture Regional Field Office 1 (DA </t>
  </si>
  <si>
    <t xml:space="preserve"> Supply and Delivery of Sand and Gravel for the  Regravelling of Farm-to-Market Road (Including Road Shoulder and Approach)at Barangay Gualsic, Alcala, Pangasinan</t>
  </si>
  <si>
    <t xml:space="preserve"> INVITATION TO BID The DPWH-Bataan 2nd District Engineering Office, through its Bids and Awards Committee (BAC), invites contractors to submit bids for the following Contract: Contract ID	:	20CB0075 Contract Name	:	Construction of Two(2) Storey Four(4) Cla</t>
  </si>
  <si>
    <t xml:space="preserve"> Republic of the Philippines DEPARTMENT OF PUBLIC WORKS AND HIGHWAYS ILOILO 1st  DISTRICT ENGINEERING OFFICE Fort San Pedro Road, Iloilo City INVITATION TO BID (RE-BIDDING) 20GGF0014 – Procurement of five (5) pcs. Tires 255/70/R16 and one (1) pc. Aircon Fi</t>
  </si>
  <si>
    <t xml:space="preserve"> INVITATION TO BID FOR THE SUPPLY, DELIVERY AND COMMISSIONING OF LITHOTRIPTOR SET FOR STONE SURGERIES 1.  The Cagayan Valley Medical Center (CVMC), intends to apply the sum Six Million Pesos (Php   6,000,000.00 ) being the Approved Budget for the Contract </t>
  </si>
  <si>
    <t xml:space="preserve"> Item 1 (MPDC)	 12	pc	Ballpen, 145-B, black 12	pc	Ballpen, 145-B, blue 12	pc	Hi-techpoint V5, black 12	pc	Hi-techpoint V5, blue 25	pack	Board paper, long, cream 15	pack	Board paper, medium, cream 7	ream	Book paper, subs. 20 A4 (ultrawhite), 80gsm 15	ream	B</t>
  </si>
  <si>
    <t xml:space="preserve"> INVITATION TO BID The DPWH-Bataan 2nd District Engineering Office, through its Bids and Awards Committee (BAC), invites contractors to submit bids for the following Contract: Contract ID	:	20CB0073 Contract Name	:	Construction of Two(2) Storey Four(4) Cla</t>
  </si>
  <si>
    <t xml:space="preserve"> 2520 pack Meals (Breakfast, lunch, &amp; Dinner)</t>
  </si>
  <si>
    <t xml:space="preserve"> Stainless Steel Brass Letter Cut Signage (Brgy. Vacante Muliti Purpose Hall)</t>
  </si>
  <si>
    <t xml:space="preserve"> Educational Materials &amp; Supplies for the Reproduction of Modules</t>
  </si>
  <si>
    <t xml:space="preserve"> Republic of the Philippines Province of Sarangani Municipality of Maitum Invitation to Bid for  Construction of 3 Type Public Market Building No. 3-C 1.	The Local Government of Maitum, through 20% LDF 2020 intends to apply the sum of Php 7,600,000.00 bein</t>
  </si>
  <si>
    <t xml:space="preserve"> Purchase of instructional tools and equipment for Organic Agriculture Production NC II.</t>
  </si>
  <si>
    <t xml:space="preserve"> REPUBLIKA NG PILIPINAS KALAKHANG MAYNILA LUNGSOD NG NAVOTAS PAMAHALAANG BARANGAY SAN JOSE 329 GOV. A. PASCUAL ST. SAN JOSE, NAVOTAS CITY INVITATION TO BID PROCUREMENT OF 1 UNIT GARBAGE TRUCK 1.	The Brgy. Government of San Jose, through the 2020 Approved B</t>
  </si>
  <si>
    <t xml:space="preserve"> INVITATION TO BID Bid No. B-80-2020  1.	The Provincial Government of Negros Oriental through Responsibility Center: 9998-052(20) / Account Code: 10705030, intends to apply the sum of Two Million Three Hundred Fifty Thousand Pesos (Php 2,350,000.00) to pay</t>
  </si>
  <si>
    <t xml:space="preserve"> Republic of the Philippines DEPARTMENT OF PUBLIC WORKS AND HIGHWAYS REGIONAL OFFICE II Tuguegarao City, Cagayan REQUEST FOR EXPRESSION OF INTEREST (REI) FOR 20CSB004: CONSULTING SERVICES FOR THE GEOTECHNICAL INVESTIGATION FOR PROPOSED FLOOD CONTROL PROJEC</t>
  </si>
  <si>
    <t xml:space="preserve"> Project 2020-15: Purchase of Assorted Sizes uPVC Pipes S-8 &amp; S-10, Fixed Seal</t>
  </si>
  <si>
    <t xml:space="preserve"> Angle bar Rib Type, Long Span Roof Purlins Welding Rod Cement Tecscrew, etc</t>
  </si>
  <si>
    <t xml:space="preserve"> 1	Plywood Marine 1/4	10 pcs	4800	July 2	Angle bar 14x 1	10 pcs	8360	July 3	Electrode 6013	3 kgs	450	July 4	Breaker 100 Amp	1 pc	850	July 5	Breaker 60 amp	4 pcs	2720	July 6	PDX #10	60	83	July</t>
  </si>
  <si>
    <t xml:space="preserve"> MALIMPIN 04-2020 - construction of mini-park phase1</t>
  </si>
  <si>
    <t xml:space="preserve"> Plastering of the existing unplastered corner wall.			 			 Installation of flooring tiles of the damaged parts			 at the main floor.			 			 Installation of wall partitions in light metal frames 			 with 1-layer, 2-sides Hardiflex.			 			 Installation of b</t>
  </si>
  <si>
    <t xml:space="preserve"> 1.	The Municipality of Caraga, through the Gender and Development Fund  2019 intends to apply the sum of Five Hundred Ninety Nine Thousand Nine Hundred Ninety Two 85/100  (599,992.85) being the Approved Budget for the Contract (ABC) to payments under the </t>
  </si>
  <si>
    <t xml:space="preserve"> PLEASE SEE ATTACHED TOR.</t>
  </si>
  <si>
    <t xml:space="preserve"> Please download ITB and Checklist in the Associated Components.</t>
  </si>
  <si>
    <t xml:space="preserve"> The Barangay Bulo, Allacapan Cagayan, through its Bids and Awards Committee (BAC) will invites interested entities to submit their price quotation for the following details: Name of Project: Concreting of Barangay Road Source of Fund: 20% Provincial Devel</t>
  </si>
  <si>
    <t xml:space="preserve"> Notice is given that the North Manila Engineering District Will Conduct an Alternative Method of Procurement Thru Small Value Procurement in accordance with Section 53.9 of the Revised Implementing Rules and Regulation of RA 9184. Contractors/Suppliers of</t>
  </si>
  <si>
    <t xml:space="preserve"> 1. The Local Government Unit of Amulung, Cagayan through the Tobacco Excise Tax Fund (2011,2014,2015) intends to apply the sum of Php 2,000,000.00 being the Approved Budget for the Contract (ABC) to payments under the contract for Concreting of Farm to Ma</t>
  </si>
  <si>
    <t xml:space="preserve"> The Metro Kalibo Water District, through the Bids and Awards Committee (BAC), will undertake Negotiated Procurement (Small Value Procurement) for the Supply and Delivery of Various Water Service Connection Materials for Maintenance use for 2ND Quarter Pro</t>
  </si>
  <si>
    <t xml:space="preserve"> SECOND INVITATION TO BID  2nd Invitation for the Supply &amp; Delivery of Lot 3- 5 units Copier for use in the office and staff of RPMSO and PPMSO Sorsogon, Catanduanes and Masbate Special Area for Agricultural Development (SAAD) Program for FY 2020 1.	The De</t>
  </si>
  <si>
    <t xml:space="preserve"> Repair/Renovation of Service Stairwell including Demolition/Dismantling of Elevated Water Tank (Near Accounting Building)</t>
  </si>
  <si>
    <t xml:space="preserve"> Republic of the Philippines Province of Sarangani Municipality of Alabel oooOooo INVITATION TO BID FOR PROCUREMENT OF ONE (1) UNIT RESCUE VEHICLE 1.The Municipality of Alabel, through the 5% Calamity Fund for CY 2019 &amp; 2020[  Ibid.] intends to apply the s</t>
  </si>
  <si>
    <t xml:space="preserve"> 2bot - pH Electrode Storage Solution (Hanna) 230 ml 1bot - pH 4 buffer solution 1 liter 1bot - pH 7 buffer solution 1 liter 15pcs - Field Desk Heavy Polydura8 1/2" x 11" 10bundle - Sample bags / Chaleco Bag 1unit - Eyelet Grommet hand press punch machine </t>
  </si>
  <si>
    <t xml:space="preserve"> Book Paper Ballpen Computer Continues Forms Correction Pen Correction Tape Columnar Book Cutter, Heavy Duty Tracing paper Folder, Long Folder, Expanded Paper Fastener Flash Drive Staple Wire Ink, Epson LogBook Mailing Envelop Sliding Folder, etc</t>
  </si>
  <si>
    <t xml:space="preserve"> Philippine Science High School – Central Luzon Campus (PSHS-CLC) wishes to invite proponent for the Procurement for the Provision of Preventive Maintenance Services of Airconditioning Units of PSHS-CLC with ABC of Three Hundred Forty-Eight Thousand One Hu</t>
  </si>
  <si>
    <t xml:space="preserve"> Republic of the Philippines DEPARTMENT OF PUBLIC WORKS AND HIGHWAYS REGIONAL OFFICE II Tuguegarao City, Cagayan REQUEST FOR EXPRESSION OF INTEREST (REI) FOR 20CSB003: CONSULTING SERVICES FOR THE FEASIBILITY STUDY OF PROPOSED BAYBAYOG BYPASS ROAD AT ALCALA</t>
  </si>
  <si>
    <t xml:space="preserve"> INVITATION TO BID The DPWH-Bataan 2nd District Engineering Office, through its Bids and Awards Committee (BAC), invites contractors to submit bids for the following Contract: Contract ID	:	20CB0078 Contract Name	:	Construction of Two(2) Storey Ten(10) Cla</t>
  </si>
  <si>
    <t xml:space="preserve"> Provision of Fuel Consumption &amp; Lubricants ABC:52,950.00 696 liters  Diesel  330 liters Gasoline 	 	Delivery period: 30 days 	Delivery site: DA- Tupi RES RFO 12,  Bololmala, Tupi South Cotabato  Note: Bidders must quote in all items (by lot) in a Sealed E</t>
  </si>
  <si>
    <t xml:space="preserve"> SEE ATTACHED FILES IN THE LINK ON "OTHER INFORMATION"</t>
  </si>
  <si>
    <t xml:space="preserve"> 2units - Sandisk extreme 1tb portable usb 3.1 type C external SSD speed up to 550MB/s SDSSDE60-1T00-G25(black) 2units - 8gb ddr4 RAM for lenovo G40-70 Laptop (1Rx16 PC3L) 2unit - 8gb ddr4 RAM for acer aspire ES 15 ES1-572-58TD laptop (P288DRU) 1unit - 8gb</t>
  </si>
  <si>
    <t xml:space="preserve"> Procurement ID/ Contract ID:	20FJ0028 Contract Name:	Repair/ Maintenance of DPWH Building, Area Equipment Quarter, Airport Road, Brgy. Kalipay, Masbate City Contract Location:	Airport Road, Brgy. Kalipay, Masbate City Brief Description:	Repair/Maintenance</t>
  </si>
  <si>
    <t xml:space="preserve"> Supply and delivery of fuel for road opening</t>
  </si>
  <si>
    <t xml:space="preserve"> 6pairs - scissors symmetrical blade length 65mm min 60packs - battery dry cell lithium AA 4pcs per pack 10packs - battery dry cell lithium AAA 4pcs per pack 36bottles - alcohol ethyl 70% 500ml scented 12cans - insecticide aerosol type 600ml 50pcs - DVD re</t>
  </si>
  <si>
    <t xml:space="preserve"> Invitation to Bid The Barangay San Vicente Hindang, Leyte through its Bids and Awards Committee (BAC) invites the PhilGEPS registered suppliers to apply to bid for the Supply and Delivery for Upgrading of Barangay Sports Center. Interested bidders may pur</t>
  </si>
  <si>
    <t xml:space="preserve"> REQUEST TO SUBMIT PROPOSAL FOR SUPPLY AND DELIVERY OF LOT 1- OFFICE/I.T. SUPPLIES AND LOT 2- CONSUMABLE SUPPLIES FOR COPYING MACHINE FOR USE IN THE IMPLEMENTATION OF RRP-ALPAS PROGRAM UNDER 2020 RICE PROGRAM AT APPROVED BUDGET FOR THE CONTRACT AMOUNTING T</t>
  </si>
  <si>
    <t xml:space="preserve"> DEMOBILIZATION											 OCCUPATIONAL SAFETY &amp; HEALTH PROGRAM											 CONCRETE WORKS											 REINFORCING STEEL OF REINFORCED CONCRETE											 FORM WORKS &amp; FALSE WORK ONE STOREY)											 PLUMBING WORKS AND FIXTURES											 UN-GLAZED TILES		</t>
  </si>
  <si>
    <t xml:space="preserve"> 1. GLOVES HIGH VOLTAGE WITH COWHIDE, 15KV &amp; 5 OTHERS DELIVERY SITE:    VIGA DPP                            VIGA, CATANDUANES PLEASE SUBMIT REQUIREMENTS: 1	MAYOR’S/BUSINESS PERMIT 2	PhilGEPS REG. NUMBER/CERTIFICATE</t>
  </si>
  <si>
    <t xml:space="preserve"> 1.	The Municipality of Caraga, through the 2018-2019 20% LGDF   intends to apply the sum of Two Hundred Ninety Nine Thousand Nine Hundred Ninety Seven 35/100 (PhP 299,997.35) being the Approved Budget for the Contract (ABC) to payments under the contract </t>
  </si>
  <si>
    <t xml:space="preserve"> Republic of the Philippines Province of Bohol Municipality of Danao Invitation to Bid for  IMPROVEMENT / REHABILITATION OF LOCAL ACCESS ROAD OF BARANGAY CABATUAN 1.	The Municipality of Danao, Bohol  through the GF [Local Development Plan (20% of IRA) FY 2</t>
  </si>
  <si>
    <t xml:space="preserve"> REMOVAL OF STRUCTURES AND OBSTRUCTIONS SUBGRADE PREPARATION AGGRAGATE BASE COURSE PCC PAVEMENT, PLAIN (14 Days Curing) Structural Concrete Warning &amp; Hazard signs Including Bollards Health and Safety Billboard (4' x 8' Tarpaulin on 2" x 3" Wooden Frame)</t>
  </si>
  <si>
    <t xml:space="preserve"> Republic of the Philippines Province of Bohol Municipality of Danao Invitation to Bid for  IMPROVEMENT / REHABILITATION OF LOCAL ACCESS ROAD OF BARANGAY CARBON 1.	The Municipality of Danao, Bohol  through the GF [Local Development Plan (20% of IRA) FY 202</t>
  </si>
  <si>
    <t xml:space="preserve"> REPUBLIKA NG PILIPINAS KALAKHANG MAYNILA LUNGSOD NG NAVOTAS PAMAHALAANG BARANGAY SAN JOSE 329 GOV. A. PASCUAL ST. SAN JOSE, NAVOTAS CITY INVITATION TO BID PROCUREMENT OF OFFICE SUPPLIES AND CONSUMABLES 1.	The Brgy. Government of San Jose, through the 2020</t>
  </si>
  <si>
    <t xml:space="preserve"> 1.	The Municipality of Caraga, through the Gender and Development Fund  2020 intends to apply the sum of Nine Hundred Ninety Nine Thousand Nine Hundred Ninety Eight 66/100  (999,998.66) being the Approved Budget for the Contract (ABC) to payments under th</t>
  </si>
  <si>
    <t xml:space="preserve"> REPUBLIKA NG PILIPINAS KALAKHANG MAYNILA LUNGSOD NG NAVOTAS PAMAHALAANG BARANGAY SAN JOSE 329 GOV. A. PASCUAL ST. SAN JOSE, NAVOTAS CITY INVITATION TO BID PROCUREMENT OF 1 UNIT MOTORCYCLE 1.	The Brgy. Government of San Jose, through the 2020 Approved Budg</t>
  </si>
  <si>
    <t xml:space="preserve"> Item No.	Item Description	Quantity	Unit of Issue	Estimated Unit Cost (₱)	Total Estimated Cost (₱) 					 1	Rice Bran	53	bags	 950.00 	 50,350.00  2	Soya 	14	bags	 2,050.00 	 28,700.00  ABC                      79,050.00</t>
  </si>
  <si>
    <t xml:space="preserve"> Republic of the Philippines        NATIONAL FOOD AUTHORITY                 Cebu Provincial Office 	                      Banilad, Cebu City REQUEST FOR QUOTATION Thru NEGOTIATED Procurement – SMALL VALUE PROCUREMENT  Ref: Small Value Procurement Invitatio</t>
  </si>
  <si>
    <t xml:space="preserve"> SCOPE OF WORK: CONDUCT OF SUB-SURFACE EXPLORATION AT DESIRED DEPTH, CONDUCT SOIL LABORATORY TESTS AS STATED HEREIN AND PREPARE GEOTECHNICAL REPORT FOR THE INSTALLATION OF 80 TONS CAPACITY ELECTRONIC TRUCKSCALE IN BRGY. QUINTIN SALAS, JARO, ILOILO CITY PLE</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</si>
  <si>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</si>
  <si>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Item No.	Item Description	Quantity	Unit of Issue	Estimated Unit Cost (₱)	Total Estimated Cost (₱) 					 "JOB ORDER:        To provide labor, materials , tools and equipment  for the  Construction of One(1) Unit - Five (500) m2 Nursery Shed  located at DA-</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</si>
  <si>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</si>
  <si>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1.	The Municipality of Caraga, through the Gender and Development Fund (GAD) 2017 intends to apply the sum of Seven Hundred Fifty Six Thousand Pesos  (756,000.00 )being the Approved Budget for the Contract (ABC) to payments under the contract for the  Con</t>
  </si>
  <si>
    <t xml:space="preserve"> Republic of the Philippines Province of Bohol Municipality of Danao Invitation to Bid for  IMPROVEMENT / REHABILITATION OF LOCAL ACCESS ROAD OF BARANGAY SAN MIGUEL TO REMEDIOS ROAD 1.	The Municipality of Danao, Bohol  through the GF [Local Development Pla</t>
  </si>
  <si>
    <t xml:space="preserve"> Republic of the Philippines Province of Bohol Municipality of Danao Invitation to Bid for  IMPROVEMENT / REHABILITATION OF LOCAL ACCESS ROAD OF BARANGAY TAMING 1.	The Municipality of Danao, Bohol  through the GF [Local Development Plan (20% of IRA) FY 202</t>
  </si>
  <si>
    <t xml:space="preserve"> Labor and materials</t>
  </si>
  <si>
    <t xml:space="preserve"> 1.	The Municipality of Caraga, through the Local Council For the Protection of Children  (LCPC) Fund  2020 intends to apply the sum of Seven Hundred Ninety Nine Thousand Nine Hundred Ninety Nine 47/100  (799,999.47)being the Approved Budget for the Contra</t>
  </si>
  <si>
    <t xml:space="preserve"> Purchase of Materials for the Maintenance of St. Lights</t>
  </si>
  <si>
    <t xml:space="preserve"> INVITATION TO BID: BID REFERENCE NO.: 2020-19 “SUPPLY AND DELIVERY OF VARIOUS SCUBA DIVING GEARS FOR 10 UNITS 30m. MCS PATROL VESSELS, 4 UNITS OF 11m. MCS PATROL VESSELS, 2 UNITS MMOV, F/V TAMBAKOL AND MRG TECHNICIANS” 1. The Bureau of Fisheries and Aquat</t>
  </si>
  <si>
    <t xml:space="preserve"> PROCUREMENT OF FLOURESECENT LAMPS AND ITS COMPONENTS FOR SPARE SUPPLY FOR AIRFIELD LIGHTINGS OF  DAVAO INTERNATIONAL AIRPORT NOTE: CLOSING DATE OF ADVERTISEMENT  IS ON JUNE 23,2020 @ 12:00 NN. OPENING OF BIDDING DOCUMENTS   IS ON JUNE 23,2020 @ 01:30 PM. </t>
  </si>
  <si>
    <t xml:space="preserve"> PROCUREMENT OF LED COM LIGHT FOR REPLACMENT OF CONVENTIONAL LIGHT TO LED LIGHTINGS AT PTB PARKING AREA NOTE: CLOSING DATE OF ADVERTISEMENT  IS ON JUNE 23,2020 @ 12:00 NN. OPENING OF BIDDING DOCUMENTS   IS ON JUNE 23,2020 @ 01:30 PM. ////NOTHING FOLLOWS\\\</t>
  </si>
  <si>
    <t xml:space="preserve"> See attached files</t>
  </si>
  <si>
    <t xml:space="preserve"> Republic of the Philippines BARANGAY 816, ZONE 88, DISTRICT V, MANILA BIDS AND AWARDS COMMITTEE INVITATION TO BID (ITB) The BARANGAY 816, ZONE 88, DISTRICT V, MANILA. Through it's Bids and Awards Committee (BAC), to bid for the here under project. Project</t>
  </si>
  <si>
    <t xml:space="preserve"> Republic of the Philippines PROVINCE OF AGUSAN DEL SUR Municipality of Loreto Invitation to Bid for  CONSTRUCTION OF CULTURAL AND RECREATION PARK 1.	The Municipality of Loreto, through the GENERAL FUND (GAD) intends to apply the sum of FIVE MILLION PESOS </t>
  </si>
  <si>
    <t xml:space="preserve"> Republic of the Philippines Province of Bohol Municipality of Danao Invitation to Bid for  OPENING / IMPROVEMENT OF LOCAL ACCESS ROAD OF BARANGAY NAHUD 1.	The Municipality of Danao, Bohol  through the GF [Local Development Plan (20% of IRA) FY 2020]   int</t>
  </si>
  <si>
    <t xml:space="preserve"> Clearing and Grubbing Construction of PCCP Construction of Pipe Culverts and Storm Drains Stone Masonry Embankment from Roadway Excavation</t>
  </si>
  <si>
    <t xml:space="preserve"> Republic of the Philippines Province of Bohol Municipality of Danao Invitation to Bid for  IMPROVEMENT / REHABILITATION OF LOCAL ACCESS ROAD OF BARANGAY REMEDIOS 1.	The Municipality of Danao, Bohol  through the GF [Local Development Plan (20% of IRA) FY 2</t>
  </si>
  <si>
    <t xml:space="preserve"> UV Treated PE Film, 0.006" x 3.5 m ----- 7 Meters Superfine Net 24 x 24 mesh x 3.6 m ----- 33 Meters Straw shading net 70% shade taiwan ----- 6 Meters Black Plastic Wire 3mm ----- 1 Kgs. House Band Strap ----- 50 Meters Spring Clip 1/2" x 1/2" Alloyed Ste</t>
  </si>
  <si>
    <t xml:space="preserve"> Republic of the Philippines Province of Zamboanga del Sur MUNICIPALITY OF LAKE WOOD BIDS AND AWARDS COMMITTEE Invitation to Bid for Procurement of Construction/ of 1.2 K.M Pakong Road Gravelling with 36”ᴓ RCCP installation in this Municipality 1.	The Loca</t>
  </si>
  <si>
    <t xml:space="preserve"> INVITATION TO BID PB 2020-06-12 1.  The Local Government Unit of Abulug, Cagayan through 20% Development Fund 2020 intends to apply the sum of THREE HUNDRED TEN THOUSAND ONE HUNDRED EIGHTY FIVE PESOS &amp; 82/100 (P 310,185.82) being the Approved Budget for t</t>
  </si>
  <si>
    <t xml:space="preserve"> Invitation to Bid The Barangay Salpad, Municipality of San Nicolas Pangasinan through its Bids and Award Committee(BAC), invites contractors registered with and classfied by the Philgeps to apply for the eligibility and if found eligible, to bid for the h</t>
  </si>
  <si>
    <t xml:space="preserve"> 103(1)	Structural Excavation		     6.48 	 cu.m.  500	Reinforced Concrete Culvert Pipes     6.00 	 LM  506)	Stone Masonry (RCCP Headwall)	     1.92 	 cu.m.  104(1)	Embankment			     130.00 	 cu.m.  105(1)	Sub-Grade Preparation	    1,760.00 	 sq.m.  201	Agg</t>
  </si>
  <si>
    <t xml:space="preserve"> PREMIUM VAN SPECIFICATIONS: Manual Transmission Engine - 2.5 Liter 4 In-Line DOHC 16-Valve Turbocharged Diesel Fuel System - Common Rail Direct Injection Fuel Tank Capacity - 65 L Wheels &amp; Tires - 15-inch to 16-inch Steering Wheel - Equipped w/ Power Stee</t>
  </si>
  <si>
    <t xml:space="preserve"> The Municipality of Molave, Zamboanga del Sur, through its Bids and Awards Committee, invites suppliers/distributors to apply for eligibility and to bid for the rebidding of the hereunder project: Name of Project : PROCUREMENT OF VARIOUS HARDWARE AND CONS</t>
  </si>
  <si>
    <t xml:space="preserve"> The Philippine Crop Insurance Corporation (PCIC) invites interested suppliers to send quotation for the "Supply of Cloud Services for PCIC Data Storage.   Please order/download Associated Components for the complete details of the Invitation and Specifica</t>
  </si>
  <si>
    <t xml:space="preserve"> PROCUREMENT OF WATER MATERIALS PIPES AND FITTINGS FOR REPLACEMENT OF DEFECTIVE TRANSMISSION PIPE LINES OF WATER SYSTEM ONLY</t>
  </si>
  <si>
    <t xml:space="preserve"> INVITATION TO BID FOR PROCUREMENT OF MEDICAL EQUIPMENT UNDER HFEP 2020 1.	The Ospital ng Palawan, through HFEP GAA and Trust Fund intends to apply the sum of Forty Million Seven Thousand Eighty-One Pesos &amp; 95/100 (P40,007,081.95) being the Approved Budget</t>
  </si>
  <si>
    <t xml:space="preserve"> Republic of the Philippines Province of Bohol Municipality of Danao Invitation to Bid for  IMPROVEMENT / REHABILITATION OF LOCAL ACCESS ROAD OF BARANGAY CONCEPCION 1.	The Municipality of Danao, Bohol  through the GF [Local Development Plan (20% of IRA) FY</t>
  </si>
  <si>
    <t xml:space="preserve"> Construction of RCDG Bridge</t>
  </si>
  <si>
    <t xml:space="preserve"> 2,254    LITERS     DIESEL   125     LITERS     GASOLINE</t>
  </si>
  <si>
    <t xml:space="preserve"> Groceries item</t>
  </si>
  <si>
    <t xml:space="preserve"> 1.	The Dangerous Drugs Board, through the General Appropriation Act of 2020  intends to apply the sum of Ten Million Pesos (10,000,000.00) being the Approved Budget for the Contract (ABC) to payments under the contract for PROCUREMENT FOR INSTALLATION OF </t>
  </si>
  <si>
    <t xml:space="preserve"> INVITATION TO BID PB 2020-06-11 1.  The Local Government Unit of Abulug, Cagayan through 20% Development Fund 2020 intends to apply the sum of NINE HUNDRED SEVENTY ONE THOUSAND EIGHT HUNDRED THIRTY FIVE PESOS &amp; 12/100 (P 971,835.12) being the Approved Bud</t>
  </si>
  <si>
    <t xml:space="preserve"> a.) Project Signboard (Q=1 lot) b.) Mobilization/Demobilization (Q=1 lot c.) Construction Safety and Health Program (Q=1 lot) d.) Formworks &amp; wood works (Q-1 lot) e.) Steel Works (Q-1 lot) f.) Concrete Works (V=7,9585 cu.m.) g.) Masonry Works (Q= 1lot) h.</t>
  </si>
  <si>
    <t xml:space="preserve"> a.) Ceiling Works (Q=1 lot.) b.)Tile Works (Q=1 lot.) c.) Painting Works (Q=1 lot) d.) Metal Works (Q= 1 lot) e.) CSHP (Q=1 lot)</t>
  </si>
  <si>
    <t xml:space="preserve"> This project is dealing of Brgy. San Miguel Dao, Lopez, Quezon</t>
  </si>
  <si>
    <t xml:space="preserve"> PROCUREMENT OF VARIOUS OFFICE SUPPLY AND EQUIPMENT FOR CAAP DIFFERENT UNIT/FACILITIES USE NOTE: CLOSING DATE OF ADVERTISEMENT  IS ON JUNE 23,2020 @ 12:00 NN. OPENING OF BIDDING DOCUMENTS   IS ON JUNE 23,2020 @ 01:30 PM. ////NOTHING FOLLOWS\\\\\</t>
  </si>
  <si>
    <t xml:space="preserve"> Republic of the Philippines PROVINCE OF AGUSAN DEL SUR Municipality of Loreto INVITATION TO BID FOR CONSUMPTION OF MILITARY COMBAT/INTEL OPERATION (2ND QUARTER 2020) 1.	The Municipality of Loreto, through the GENERAL FUND intends to apply the sum of FOUR </t>
  </si>
  <si>
    <t xml:space="preserve"> PROCUREMENT OF IT SUPPLIES INK,FLASH DRIVE AND OTHER ACCESSORIES FOR CAAP DIFFRENT UNIT/ FACILITIES OPERATIONAL USE NOTE: CLOSING DATE OF ADVERTISEMENT  IS ON JUNE 23,2020 @ 12:00 NN. OPENING OF BIDDING DOCUMENTS   IS ON JUNE 23,2020 @ 01:30 PM. ////NOTHI</t>
  </si>
  <si>
    <t xml:space="preserve"> OPENING OF BIDS IN DSWD FO IX ZAMBOANGA CITY, DELIVERY IN DSWD FO IX ZC PROCUREMENT FOR THE FF.: 1 LOT ICT EQUIPMENT AND SUPPLIES 		 6	unit	MONITOR FLAT SCREEN , LED, AT LEAST 21.5 in, FULL HD 1920 x 1080 @ 60hz, 16x9 ASPECT RATION , WITH VGA ,DVI-in AND </t>
  </si>
  <si>
    <t xml:space="preserve"> Invitation to Bid to all Supplier/Contractor duly accredited by the City Council of Manila to supply and deliver the following items provided hereunder, to wit; Item	 	Qty.	 	Unit	 	 	 	DECRIPSTION 1	 	15	 	Rms	Bond Paper, Short	 	 	  2	 	15	 	Rms	Bond Pa</t>
  </si>
  <si>
    <t xml:space="preserve"> Invitation to Bid to all Supplier/Contractor duly accredited by the City Council of Manila to supply and deliver the following items provided hereunder, to wit; Item	Qty.	 	Unit	 	 	 	DESCRIPTION 1	 	1	 	Set	Motorcycle With Sidecar	 	 	  BID PROPOSAL shal</t>
  </si>
  <si>
    <t xml:space="preserve"> Invitation to Bid to all Supplier/Contractor duly accredited by the City Council of Manila to supply and deliver the following items provided hereunder, to wit; Item	Qty.	 	Unit	 	 	DESCRIPTION	 1	 	24	 	Pcs	LED Bulb	 	 	 	 	  2	 	2	 	Bxs	Electrical Wire	</t>
  </si>
  <si>
    <t xml:space="preserve"> Procurement of School Repair &amp; Maintenance and Office Supplies for Bogo Capalaran Elementary School, Molave, Zamboanga del Sur</t>
  </si>
  <si>
    <t xml:space="preserve"> a.) 601 bags Complete Fertilizer (14-14-14) b.) 405 bags 16-20-0 c.)  848 bags Urea (46-0-0) d.) 69 bags 21-0-0-24S e.) 970 bags Organic Fertilizer (Siglat)</t>
  </si>
  <si>
    <t xml:space="preserve"> CONCRETING OF ACCESS ROAD -STA CRUZ Brgy. Sta. Cruz, Labo, Cams. Norte</t>
  </si>
  <si>
    <t xml:space="preserve"> Purchase of laptops.</t>
  </si>
  <si>
    <t xml:space="preserve"> PURCHASE OF JANITORIAL SUPPLIES FOR CAAP PTB DIFFERENT UNIT USE NOTE: CLOSING DATE OF ADVERTISEMENT  IS ON JUNE 23,2020 @ 12:00 NN. OPENING OF BIDDING DOCUMENTS   IS ON JUNE 23,2020 @ 01:30 PM. ////NOTHING FOLLOWS\\\\\</t>
  </si>
  <si>
    <t xml:space="preserve"> Contract ID: 20GPF0012 Contract Name: Supply and Delivery of Lubricants, Tires, various vehicle and heavy equipment parts &amp; accessories for use of Maintenance Section of DPWH-BSDEO (CLUSTER I-2020 GOODS). Contract Location: Natubleng, Buguias, Benguet Bri</t>
  </si>
  <si>
    <t xml:space="preserve"> INVITATION TO BID  Supply &amp; Delivery of 7,179 liters Foliar Fertilizer for distribution to affected farmers of Typhoon Tisoy 1.	The Department of Agriculture Regional Field Office No. 5, through the General Appropriations Act (GAA) for TS Tisoy- intends t</t>
  </si>
  <si>
    <t xml:space="preserve"> CONSTRUCTION OF SCHOOL BUILDING, CUM EVACUATION CENTER MALAYA HIGH SCHOOL Brgy. Malaya, Labo, Cams. Norte</t>
  </si>
  <si>
    <t xml:space="preserve"> NOTICE OF PROCUREMENT (For Posting Purposes in the PhilGEPS and DPWH websites) Notice is hereby given that the Department of Public Works and Highways (DPWH)- Central Office is undertaking the procurement of Consulting Services for the Construction Superv</t>
  </si>
  <si>
    <t xml:space="preserve"> Quantity   unit    Description 1 pc. Glucometer 1 set Oxygen 1 pc pulse oximeter 1 pc nebulizer 2 pcs Spine board 3 pcs. Neck Brace 104 pcs. whistle 3 set throw bag with rope 5 pcs triangular bandage 3 pcs lifebouy rescue can 10 pcs raincoat 3 pcs fire bl</t>
  </si>
  <si>
    <t xml:space="preserve"> CONSTRUCTION OF MUNICIPAL DRAINAGE Labo, Cams. Norte</t>
  </si>
  <si>
    <t xml:space="preserve"> Republic of the Philippines PROVINCE OF AGUSAN DEL SUR Municipality of Loreto INVITATION TO BID FOR FOOD SUPPLIES FOR THE CONSUMPTION IN ESTABLISHMENT FOR MAINTENANCE OF INTEGRATED DEFENSE SYSTEM FOR MPOC 1.	The Municipality of Loreto, through the GENERAL</t>
  </si>
  <si>
    <t xml:space="preserve"> CONCRETING OF PAVEMENT-BRGY. STA CRUZ Brgy. Sta. Cruz, Labo, Cams. Norte</t>
  </si>
  <si>
    <t xml:space="preserve"> OPENING OF BIDS IN DSWD FO IX ZAMBOANGA CITY, DELIVERY IN DSWD FO IX ZC PROCUREMENT FOR THE FF.:	 I LOT ICT EQUIPMENT   4	UNIT	CPU  		SPECIFICATION: 		PROCESSOR: AT LEAST 4 CORE,i5,9th/10th GEN, AT LEAST 2.9GHz 		RAM: 8gb DDR 4 2.6 GHz OR BETTER 		ROM: SS</t>
  </si>
  <si>
    <t xml:space="preserve"> Republic of the Philippines PROVINCE OF AGUSAN DEL SUR Municipality of Loreto INVITATION TO BID FOR SPARE PARTS OF HEAVY EQUIPMENT UNDER MEO 1.	The Municipality of Loreto, through the GENERAL FUND intends to apply the sum of THREE HUNDRED FIFTEEN THOUSAND</t>
  </si>
  <si>
    <t xml:space="preserve"> One (1) Lot - Supply and Delivery of Various Computer Equipment 2 units Printer, Dot Matrix, POS (24 pins) 1 unit Printer, Laser, Document Network 4 units Multifunction Printer, Category A 4 units UPS, On-Line Interactive, 1KVA, PC *Please see attached Te</t>
  </si>
  <si>
    <t xml:space="preserve"> Republic of the Philippines Barangay Government of Calarian  BIDS AND AWARDS COMMITTEE Calarian, Zamboanga City   INVITATION TO BID FOR THE CONSTRUCTION/REHABILITATION/IMPROVEMENT  OF  DRAINAGE  SYSTEM  AT  PUROK  3A,  PDEA  COMPOUND , CALARIAN , ZAMBOANG</t>
  </si>
  <si>
    <t xml:space="preserve"> The Barangay Government of Barangay Santor, Tanauan City, Batangas through the Bids and Awards Committee (BAC) invites Suppliers/Contractors to apply for eligibility and if subsequently found eligible, to bid for the projects described hereunder, viz: Nam</t>
  </si>
  <si>
    <t xml:space="preserve"> Republic of the Philippines Barangay Government of Calarian  BIDS AND AWARDS COMMITTEE Calarian, Zamboanga City   INVITATION TO BID FOR THE CONSTRUCTION/REHABILITATION/IMPROVEMENT  OF  DRAINAGE  SYSTEM  AT  5TH  STREET SOUTHCOM VILLAGE , CALARIAN , ZAMBOA</t>
  </si>
  <si>
    <t xml:space="preserve"> Shredder machines 2 units</t>
  </si>
  <si>
    <t xml:space="preserve"> CONCRETING OF BARANGAY ROAD BULHAO Brgy. Bulhao, Labo, Cams. Norte</t>
  </si>
  <si>
    <t xml:space="preserve"> DRR Related Equipment</t>
  </si>
  <si>
    <t xml:space="preserve"> LOCATION OF PROJECT: Tabeyo, Ambassador, Tublay, Benguet ABC: 1,000,000.00 EQUIPMENTS TO BE USED: *1 Transit Mixer *Concrete Vibrator *Backhoe *Dump Truck (5 cu.m) SCOPE OF WORK TO BE DONE: ITEM 102(1) Roadway Excavation (C.E.) ITEM 105(1)a Sub Grade Prep</t>
  </si>
  <si>
    <t xml:space="preserve"> (FORM NO. 014 – INVITATION TO APPLY FOR ELIGIBILITY AND TO BID) Republic of the Philippines Sangguniang Barangay of MULIGUIN Barangay MULIGUIN, Unisan, Quezon INVITATION TO APPLY FOR ELIGIBILITY AND TO BID Date			:  					 The Sangguniang Barangay MULIGUIN</t>
  </si>
  <si>
    <t xml:space="preserve"> MPV with an engine displacement not exceeding 2500cc diesel -fed, 4 cylinder</t>
  </si>
  <si>
    <t xml:space="preserve"> a.) Excavation (Q=16.20cu.m.) b.)stone masonry (Q=85.50 cu.m.) c.) CSHP (Q=1 lot) d.) Handling of Materials (Q= 1 lot) e.) Project Signboard (Q=1 lot)</t>
  </si>
  <si>
    <t xml:space="preserve"> Section I. Invitation to Bid Republic of the Philippines Province of Davao del Norte MUNICIPALITY OF TALAINGOD 								19 June, 2020 Invitation to Bid for COMPLETION OF MANPOWER DEVELOPMENT CENTER (@JBL, Sto. Niño,Talaingod, DdN 1.	The Local Government Un</t>
  </si>
  <si>
    <t xml:space="preserve"> Contract ID No. 20OH0049 Re-ads Contract Name:  Local Program-Local Infrastructure Program-Flood Control and Drainage-Drainage / Protection Works-Rehabilitation of Estero with Footbridge, Estero Tripa de Gallina, Paco, Manila Contract Location: Manila Cit</t>
  </si>
  <si>
    <t xml:space="preserve"> LOCATION OF PROJECT: Salaksak, Ambassador, Tublay, Benguet ABC: Php 1,000,000.00 EQUIPMENTS TO BE USED: *1 Transit Mixer *Concrete Vibrator *Backhoe *Dump Truck (5 cu.m.) SCOPE OF WORK TO BE DONE: ITEM 102(1) Roadway Excavation (C.E.) ITEM 105(1)a Sub Gra</t>
  </si>
  <si>
    <t xml:space="preserve"> with engine displacement not exceeding 2800cc diesel fed, 4 cylinder</t>
  </si>
  <si>
    <t xml:space="preserve"> Republic of the Philippines City of manila OFFICE OF THE BARANGAY COUNCIL BIDS AND AWARDS COMMITEE INVITATION TO APPLY FOR ELIGIBILITY AND TO BID APPROVED BUDGET FOR THE CONTRACT: 280,000.00 PROCUREMENT OF: Office supplies and equipment</t>
  </si>
  <si>
    <t xml:space="preserve"> NOTICE OF PROCUREMENT June 19, 2020 Notice is hereby given that the Department of Public Works and Highways (DPWH)- Metro Manila 1st  District Engineering Office is undertaking the following contracts, through Negotiated Procurement in accordance with Sec</t>
  </si>
  <si>
    <t xml:space="preserve"> Section I. Invitation to Bid Republic of the Philippines Province of Davao del Norte MUNICIPALITY OF TALAINGOD 								19 June, 2020 Invitation to Bid for CONSTRUCTION OF STAR WOMEN’S BUILDING (@ Sto. Niño,Talaingod, DdN 1.	The Local Government Unit of Ta</t>
  </si>
  <si>
    <t xml:space="preserve"> Silid Aklatan para sa Kabataan</t>
  </si>
  <si>
    <t xml:space="preserve"> 105(1)	Sub-Grade Preparation		 1,200.00 	 sq.m.  201	Aggregate Sub-Base Coarse		 225.00 	 cu.m.  311	Portland Cement Concrete Pavement	 488.00 	 sq.m.</t>
  </si>
  <si>
    <t xml:space="preserve"> Republic of the Philippines City of manila OFFICE OF THE BARANGAY COUNCIL BIDS AND AWARDS COMMITEE INVITATION TO APPLY FOR ELIGIBILITY AND TO BID APPROVED BUDGET FOR THE CONTRACT: 200,000.00 PROCUREMENT OF: Office supplies and equipment</t>
  </si>
  <si>
    <t xml:space="preserve"> 1. The Mindanao State University – Tawi-Tawi College of Technology and Oceanography (MSU-TCTO), through 2020 General Appropriations Act (GAA) Budget, intends to apply the sum of Forty-Three Million Pesos and 00/100 (PhP 43,000,000.00) being the Approved B</t>
  </si>
  <si>
    <t xml:space="preserve"> Please see attached Request for Quotation for Terms</t>
  </si>
  <si>
    <t xml:space="preserve"> OFFICE OF THE BIDS AND AWARDS COMMITTEE REQUEST FOR QUOTATION (Negotiated 2-Failed Biddings) Name of Project: 20-03-251 Purchase of Goat as Livelihood Assistance for PWD, Solo and Women Welfare Program under the Office of MSWD Procurement Mode: Negotiated</t>
  </si>
  <si>
    <t xml:space="preserve"> Peace and Order -Drug Clearing Operations - Food pack</t>
  </si>
  <si>
    <t xml:space="preserve"> LOCATION OF PROJECT: Ambongdolan, Tublay, Benguet ABC: Php 1,500,000.00 EQUIPMENTS TO BE USED: *1 Transit Mixer *Concrete Vibrator *Backhoe *Dump Truck (5 cu.m.) SCOPE OF WORK TO BE DONE: ITEM 103(1)a Structure Excavation (Common Soil) ITEM 104 Embankment</t>
  </si>
  <si>
    <t xml:space="preserve"> Purchase of Computer</t>
  </si>
  <si>
    <t xml:space="preserve"> Repair and Maintenance Machinery and Equipment</t>
  </si>
  <si>
    <t xml:space="preserve"> 103(1)	Structural Excavation			 7.56 	 cu.m.  500	Reinforced Concrete Culvert Pipes	 7.00 	 LM  506)	Stone Masonry (RCCP Headwall)		 1.92 	 cu.m.  105(1)	Sub-Grade Preparation	  1,200.00 	 sq.m.  201	Aggregate Sub-Base Coarse	     385.00 	 cu.m.  311	Port</t>
  </si>
  <si>
    <t xml:space="preserve"> OFFICE OF THE BIDS AND AWARDS COMMITTEE REQUEST FOR QUOTATION (Negotiated 2-Failed Biddings) Name of Project: 20-03-225 Purchase of Brand New 10 Wheeler Dumptruck for Garbage Collection Procurement Mode: Negotiated Procurement (Two-Failed Biddings) Classi</t>
  </si>
  <si>
    <t xml:space="preserve"> Ibalik Sigla sa Pag-aaral</t>
  </si>
  <si>
    <t xml:space="preserve"> LOCATION OF PROJECT: Lower Coroz, Ambassador, Tublay, Benguet ABC: Php 2,000,000.00 EQUIPMENTS TO BE USED: *1 Transit Mixer *Concrete Vibrator *Backhoe *Dump Truck (5 cu.m.) SCOPE OF WORK TO BE DONE: ITEM 102(1) Roadway Excavation (C.E.) ITEM 105(1)a Sub </t>
  </si>
  <si>
    <t xml:space="preserve"> General Items, Intake Sump, Delivery Pipeline, Power House &amp; Pumping Set, Solar Mounting Structure, Perimeter Fence, Project Marker &amp; Signboard, Mobilization/Demobilization</t>
  </si>
  <si>
    <t xml:space="preserve"> PROCUREMENT OF BLADE CUTTER AND PROPER SHAFT ASSEMBLY WITH CROSS JOINT FOR EUROTRAC YTO X1204 FORD TRACTOR UTLIZED FOR GRASS CUTTING AND VEGETATION CONTROL ACTIVITIES NOTE: CLOSING DATE OF ADVERTISEMENT  IS ON JUNE 23,2020 @ 12:00 NN. OPENING OF BIDDING D</t>
  </si>
  <si>
    <t xml:space="preserve"> INVITATION TO APPLY FOR ELIGIBILITY AND TO BID THE MUNICIPALITY OF CAIBIRAN, BILIRAN IS INVITING ALL INTERESTED BIDDERS ON ITS FORTHCOMING PUBLIC BIDDING FOR: Project Title 	         : Acquisition of Modular Tent Location	                 : LGU, Caibiran,</t>
  </si>
  <si>
    <t xml:space="preserve"> Construction Safety and Health Formworks Demolition/Chipping Works Excavation Drainage Drainage Cover Sign Board</t>
  </si>
  <si>
    <t xml:space="preserve"> Republic of the Philippines BIDS AND AWARDS COMMITTEE FOR THE PROCUREMENT OF GOODS City of Puerto Princesa Barangay Babuyan, Puerto Princesa City INVITATION TO BID (Procurement of Goods) Date: June 18, 2020 Procuring/Funding Office/Department: Barangay Ba</t>
  </si>
  <si>
    <t xml:space="preserve"> OFFICE OF THE BIDS AND AWARDS COMMITTEE REQUEST FOR QUOTATION (Negotiated 2-Failed Biddings) Name of Project: 20-03-219 Furniture and Fixtures for the Office of the Municipal Mayor &amp; Different Offices of LGU Alamada Procurement Mode: Negotiated Procuremen</t>
  </si>
  <si>
    <t xml:space="preserve"> Republic of the Philippines SORSOGON STATE COLLEGE Bids And Awards Committee Sorsogon City REQUEST FOR PROPOSAL ____________________________ ____________________________ ____________________________ Gentlemen: The Sorsogon State College invites qualified </t>
  </si>
  <si>
    <t xml:space="preserve"> INVITATION TO BID  Supply &amp; Delivery of 7,179 packs Plant Growth Enhancer for distribution to affected farmers of Typhoon Tisoy 1.	The Department of Agriculture Regional Field Office No. 5, through the General Appropriations Act (GAA) for TS Tisoy- intend</t>
  </si>
  <si>
    <t xml:space="preserve"> Item No.	Item Description	Quantity	Unit of Issue	Estimated Unit Cost (₱)	Total Estimated Cost (₱) 					 1	Ginger Rhizomes Mother Plant	500	kg	 280.00 	 140,000.00  					 	 - Fully matured				 	 - No physical damage				 	 - No signs of insect damage and di</t>
  </si>
  <si>
    <t xml:space="preserve"> PROCUREMENT OF TILT CARRIER BEARING FOR BHS SPARE PARTS NOTE: CLOSING DATE OF ADVERTISEMENT  IS ON JUNE 23,2020 @ 12:00 NN. OPENING OF BIDDING DOCUMENTS   IS ON JUNE 23,2020 @ 01:30 PM. ////NOTHING FOLLOWS\\\\\</t>
  </si>
  <si>
    <t xml:space="preserve"> Installation of Solar Panel Date of bidding: June 26, 2020 Place of bidding: Barangay Hall Pre-bid: June 24, 2020</t>
  </si>
  <si>
    <t xml:space="preserve"> REPUBLIC OF THE PHILIPPINES 		                PROVINCE OF PALAWAN MUNICIPALITY OF LINAPACAN 	June 5, 2020 Invitation to Bid (ITB No. 10-20) 1.	The Municipal Government of Linapacan, Palawan through the MUNICIPAL DEVELOPMENT FUND  (20% MDF 2019) projects i</t>
  </si>
  <si>
    <t xml:space="preserve"> The Barangay Government of Barangay 03 Poblacion, Batangas City intends to apply the sum of Eighty Nine  Thousand  Nine Hundred Ninety Nine  Pesos and Eighty Centavos (P 1,000.00) broken down as follow: ITEM Brief Description SUB-ABC Lot 1 Purchase of Med</t>
  </si>
  <si>
    <t xml:space="preserve"> 105(1)	Sub-Grade Preparation			 300.00 	 sq.m.  201	Aggregate Sub-Base Coarse			 25.00 	 cu.m.  311	Portland Cement Concrete Pavement		150.00 	 sq.m.</t>
  </si>
  <si>
    <t xml:space="preserve"> Republic of the Philippines Cordillera Administrative Region PROVINCIAL GOVERNMENT OF ABRA Bangued Invitation to Bid for  PROPOSED SOLAR POWERED IRRIGATION SYSTEM 1.	The Provincial Government of Abra, through the Budget for the Contract Approved by the Sa</t>
  </si>
  <si>
    <t xml:space="preserve"> Republic of the Philippines Cordillera Administrative Region PROVINCIAL GOVERNMENT OF ABRA Bangued INVITATION TO BID FOR  SUPPLY AND DELIVERY OF OFFICE AND JANITORIAL SUPPLIES &amp; CONSUMABLES 1.	The PROVINCIAL GOVERNMENT OF ABRA, through the Budget for the </t>
  </si>
  <si>
    <t xml:space="preserve"> Innovation to Go</t>
  </si>
  <si>
    <t xml:space="preserve"> Kapwa! Responsibilidad ko</t>
  </si>
  <si>
    <t xml:space="preserve"> 105(1)	Sub-Grade Preparation		 2,736.00 	 sq.m.  201	Aggregate Sub-Base Coarse		870.00 	 cu.m.  311	Portland Cement Concrete Pavement	1,710.00 	 sq.m.</t>
  </si>
  <si>
    <t xml:space="preserve"> Barangay Operations and Monitoring System (BOMS)</t>
  </si>
  <si>
    <t xml:space="preserve"> LOCATION OF PROJECT: Chagao, Daclan, Tublay, Benguet ABC: Php 2,100,000.00 EQUIPMENTS TO BE USED: *1 Transit Mixer *Concrete Vibrator *Backhoe *Dump Truck (5 cu.m.) SCOPE OF WORK TO BE DONE: ITEM 102(1)a Roadway Excavation (Common Soil) ITEM 104(1)a Excav</t>
  </si>
  <si>
    <t xml:space="preserve"> Disaster Preparedness Program</t>
  </si>
  <si>
    <t xml:space="preserve"> Republic of the Philippines										 BIDS AND AWARDS COMMITTEE										 Province of Iloilo										 										 INVITATION TO BID										  Purchase of Food for the Training on Constitution and By-laws and Internal Policies of the Barangay Water System</t>
  </si>
  <si>
    <t xml:space="preserve"> REQUEST FOR EXPRESSION OF INTEREST (REI) FOR 20CSCE004-CONSULTING SERVICES FOR a.) PARCELLARY SURVEY b.) DETAILED ENGINEERING SURVEY c.) MONUMENTING d.) RESEARCH WORKS for the CONSTRUCTION OF SAN ROQUE-MATURANOC ROAD GUIMBA BY-PASS, NUEVA ECIJA 1st LEGISL</t>
  </si>
  <si>
    <t xml:space="preserve"> 100	Clearing &amp; Grubbing				 112.00 	 cu.m.  102	Excavtion to Line and Grade		 75.59 	 LM  104(1)	Embankment				 750.00 	 cu.m.  105(1)	Sub-Grade Preparation		 3,210.32 	 sq.m.  201	Aggregate Sub-Base Coarse		 960.00 	 cu.m.  311	Portland Cement Concrete P</t>
  </si>
  <si>
    <t xml:space="preserve"> Procurement of Labor Cost for Demolition and Reconstruction of MPB (Wellness Center) Php353,600.00</t>
  </si>
  <si>
    <t xml:space="preserve"> Barangay Profiling Laptop</t>
  </si>
  <si>
    <t xml:space="preserve"> Republic of the Philippines										 BIDS AND AWARDS COMMITTEE										 Baguio City										 (074) 300-6537/ (074)442-8795										 BID FORM										 CP No. 2020-40 Bidding										June 17, 2020 Circular Proposal No.										Date Prepared The City </t>
  </si>
  <si>
    <t xml:space="preserve"> Republic of the Philippines										 BIDS AND AWARDS COMMITTEE										 Province of Iloilo										 										 INVITATION TO BID										  Purchase of Food for the Training on Basic Leadership and Team Building of the Barangay Water System Association</t>
  </si>
  <si>
    <t xml:space="preserve"> Section I. Invitation to Bid Republic of the Philippines Province of Davao Oriental Municipality of Boston Bids and Awards Committee Invitation to Bid  for the  Procurement of Major Repair of One (1) Unit Motor Grader (Inclusive Labor &amp; Parts) 1.	The Muni</t>
  </si>
  <si>
    <t xml:space="preserve"> various medical, dental and laboratory supplies Prospective bidders should have experience in undertaking a similar project within the last two(2) years with an amount of at least 50% for non-expendable supplies and 25% for expendable supplies of the proj</t>
  </si>
  <si>
    <t xml:space="preserve"> Republic of the Philippines										 BIDS AND AWARDS COMMITTEE										 Province of Iloilo										 										 INVITATION TO BID										  Purchase of Food for the Training on Cost of Operation and Maintenance of the Barangay Water System Association </t>
  </si>
  <si>
    <t xml:space="preserve"> Security Services.</t>
  </si>
  <si>
    <t xml:space="preserve"> Republic of the Philippines Province of Eastern Samar Municipality of Maydolong INVITATION TO BID FOR  Procurement of Rescue/Emergency Vehicle 1.	The Municipal Government of Maydolong, Eastern Samar, through the 2019 &amp; 2020 LDRRM Pre-Disaster Preparedness</t>
  </si>
  <si>
    <t xml:space="preserve"> Various office supplies Prospective bidders should have experience in undertaking a similar project within the last two(2) years with an amount of at least 50% for non-expendable supplies and 25% for expendable supplies of the project to be bid.  The elig</t>
  </si>
  <si>
    <t xml:space="preserve"> SUPPLIES FOR TEACHERS 6 3 2020</t>
  </si>
  <si>
    <t xml:space="preserve"> Re-roofing of Brgy. Hall</t>
  </si>
  <si>
    <t xml:space="preserve"> 4000	TANKS	MEDICAL OXYGEN SPECIFICATION: PURITY: 99.6% TO 99.7% MOISTURE LESS THAN 5ppm ODOR: FREE 5.66 CU.M VOLUME: 5.66 CU.M 3000	TANKS	MEDICAL COMPRESSED AIR SPECIFICATION: OXYGEN CONTENT: 21% MOISTURE LESS THAN 5ppm ODOR: FREE VOLUME: 5.66 CU.M</t>
  </si>
  <si>
    <t xml:space="preserve"> 181 PCS. LED PHILIPS 9 WATTS</t>
  </si>
  <si>
    <t xml:space="preserve"> 800	PC	BED SHEET FLAT 60X90 WITH PRINT WHITE COTTON	 800	PC	BED SHEET FITTED 36X75 WITH PRINT WHITE COTTON	 400	PC	PATIENT GOWN, WHITE FOR ADULT W/ PRINT	 100	PC	OR GOWN OXFORD W/ PRINT AUTOCLAVABLE	 100	PC	DR GOWN OXFORD W/ PRINT	 800	PC	PILLOW CASE 16X2</t>
  </si>
  <si>
    <t xml:space="preserve"> Installation of Fire Hydrant</t>
  </si>
  <si>
    <t xml:space="preserve"> Construction of Pigcawayan Fire Station Building</t>
  </si>
  <si>
    <t xml:space="preserve"> 1.	The Provincial Government of Misamis Occidental, through the General Funds 2020  intends to apply the sum of Twenty-two Million Three Hundred Thirty-two Thousand Three Hundred Forty-seven Pesos and 27/100 (Php. 22,332,347.27) being the Approved Budget </t>
  </si>
  <si>
    <t xml:space="preserve"> Construction of Magpet Fire Station Building</t>
  </si>
  <si>
    <t xml:space="preserve"> Construction of Norala Fire Station Building</t>
  </si>
  <si>
    <t xml:space="preserve"> 700 SETS UPPER AND LOWER COMPLETE DENTURES 220 SETS UPPER COMPLETE DENTURES 240 SETS LOWER COMPLETE DENTURES 84 SETS UPPER REMOVABLE PARTIAL DENTURES 84 SETS LOWER REMOVABLE PARTIAL DENTURES SPECIFICATION: NEW ACE PONTICS &amp; RESIN-BASED DURACYL PINK</t>
  </si>
  <si>
    <t xml:space="preserve"> Invitation to Bid for the Completion of  Irrigation System     Brgy. Trinidad, Surigao City ITB No. 079-Infra-2020    1.	The City Government of Surigao, intends to apply the sum of   Two Million    Pesos (Php2,000,000.00)  being the Approved Budget for th</t>
  </si>
  <si>
    <t xml:space="preserve"> Invitation to Bid Project No.: R6-D2-2020QRF-01B-SR Repair and Rehabilitation of Classrooms Damaged by Fire Incidents and Various Calamities and Construction of Slope Protection of School Buildings (CY 2020 Quick Response Fund) 1.	The Department of Educat</t>
  </si>
  <si>
    <t xml:space="preserve"> Invitation to Bid Project No.: R6-D2-2020QRF-01A-SR Repair and Rehabilitation of Classrooms Damaged by Fire Incidents and Various Calamities and Construction of Slope Protection of School Buildings (CY 2020 Quick Response Fund) 1.	The Department of Educat</t>
  </si>
  <si>
    <t xml:space="preserve"> Republic of the Philippines Province of Bohol Municipality of Getafe Bids and Awards Committee Poblacion, Getafe, Bohol Telephone No. (038) 514-9048 REQUEST FOR QUOTATION RFQ NO. 1. The Municipality of Getafe, Bohol through its Bids and Awards Committee (</t>
  </si>
  <si>
    <t xml:space="preserve"> PROJECT DESCRIPTION: 	This program of works covers the Proposed Continuation of covered walk (length = 17.52 mtrs, width = 3.98 mtrs)         Work includes the following: Demolition, Excavation &amp; Backfill, Construction of Columns, Roof Beams &amp; Roof Deck, </t>
  </si>
  <si>
    <t xml:space="preserve"> Republic of the Philippines Province of Cagayan LOCAL GOVERNMENT UNIT-MUNICIPALITY SOLANA, 3503 BIDS AND AWARDS COMMITTEE (BAC) Invitation to Bid for  Rehabilitation of Parug-parug Diversion Dam 1.	The Municipal Government of Solana, through Trust Fund  i</t>
  </si>
  <si>
    <t xml:space="preserve"> INVITATION TO BID ITB  No. 076-Goods-2020 The City Government of Surigao, through its Bids and Awards Committee (BAC), invites suppliers to bid for the following: Name of Contract	:  Purchase of All New Pick-up     4 x 2 E 2.4L Diesel Manual Transmission </t>
  </si>
  <si>
    <t xml:space="preserve"> INVITATION TO BID ITB  No. 077-Goods-2020 The City Government of Surigao, through its Bids and Awards Committee (BAC), invites suppliers to bid for the following: Name of Contract	:  Purchase &amp; Delivery of Const. &amp; Electrical Supplies for the     project </t>
  </si>
  <si>
    <t xml:space="preserve"> Invitation to Bid SOLAR STREET LIGHT INSTALLED 1.	The Barangay Local Government Unit of Tinapian,Baleno,Masbate through the 20% EDF 2020 intends to apply the sum of One Hundred Fourteen Thousand Five Hundred Thirty Four Pesos Only (₱114,534.00 ) being the</t>
  </si>
  <si>
    <t xml:space="preserve"> Installation of CCTV</t>
  </si>
  <si>
    <t xml:space="preserve"> TILES 24 TILES 12 HOLLOW BLOCKS PORTLAND CEMENT SAND SALANDRA (FINISHING) DEF BARS 9MM BOWL PAINT COCO LUMBER 2X3X12 (300 BFT) COMMON NAIL #1 COMMON NAIL #3 COMMON NAIL #4 TIE WIRE SLIDING WINDOW REFLECTIVE GLASS BRONZE SWING DOOR ALUMINUM w/ GLASS TILES </t>
  </si>
  <si>
    <t xml:space="preserve"> Invitation to Bid For Three (3) Years Hardware Maintenance and License Subscription of Axway Secure Transport Server 1.	The LAND BANK OF THE PHILIPPINES (LANDBANK), through its Corporate Budget for the contract approved by the Board of Directors for 2020 </t>
  </si>
  <si>
    <t xml:space="preserve"> Anti rabies vaccines Prospective bidders should have experience in undertaking a similar project within the last two(2) years with an amount of at least 50% for non-expendable supplies and 25% for expendable supplies of the project to be bid.  The eligibi</t>
  </si>
  <si>
    <t xml:space="preserve"> Invitation to Bid for the Completion of  Irrigation System    Sitio Dacuman, Brgy. Ipil, Surigao City ITB No. 078-Infra-2020    1.	The City Government of Surigao, intends to apply the sum of   One Million    Pesos (Php1,000,000.00)  being the Approved Bud</t>
  </si>
  <si>
    <t xml:space="preserve"> Invitation to Bid Project No.: R6-D2-2020QRF-01I-SR Repair and Rehabilitation of Classrooms Damaged by Fire Incidents and Various Calamities and Construction of Slope Protection of School Buildings (CY 2020 Quick Response Fund) 1.	The Department of Educat</t>
  </si>
  <si>
    <t xml:space="preserve"> Plastic bag Prospective bidders should have experience in undertaking a similar project within the last two(2) years with an amount of at least 50% for non-expendable supplies and 25% for expendable supplies of the project to be bid.  The eligibility chec</t>
  </si>
  <si>
    <t xml:space="preserve"> Invitation to Bid Project No.: R6-D2-2020QRF-01E-SR Repair and Rehabilitation of Classrooms Damaged by Fire Incidents and Various Calamities and Construction of Slope Protection of School Buildings (CY 2020 Quick Response Fund) 1.	The Department of Educat</t>
  </si>
  <si>
    <t xml:space="preserve"> Invitation to Bid For One (1) Year Support and Maintenance of Single Back-up Systems Solution for Midrange and Enterprise Platforms 1.	The LAND BANK OF THE PHILIPPINES (LANDBANK), through its Corporate Budget for the contract approved by the Board of Dire</t>
  </si>
  <si>
    <t xml:space="preserve"> Invitation to Bid Project No.: R6-D2-2020QRF-01D-SR Repair and Rehabilitation of Classrooms Damaged by Fire Incidents and Various Calamities and Construction of Slope Protection of School Buildings (CY 2020 Quick Response Fund) 1.	The Department of Educat</t>
  </si>
  <si>
    <t xml:space="preserve"> Bladder Type Tank etc.  NOTE:To all suppliers bid documents and BAC Resolution 2020-029 are available at BAC Office and LGU website.</t>
  </si>
  <si>
    <t xml:space="preserve"> 4 pcs Crystal Lamp</t>
  </si>
  <si>
    <t xml:space="preserve"> Oil Filter etc.  NOTE:To all suppliers bid documents and BAC Resolution 2020-029 are available at BAC Office and LGU website.</t>
  </si>
  <si>
    <t xml:space="preserve"> Invitation to Bid Project No.: R6-D2-2020QRF-01F-SR Repair and Rehabilitation of Classrooms Damaged by Fire Incidents and Various Calamities and Construction of Slope Protection of School Buildings (CY 2020 Quick Response Fund) 1.	The Department of Educat</t>
  </si>
  <si>
    <t xml:space="preserve"> INVITATION TO BID FOR  The Procurement of One Hundred Eighty-Eight (188) Units Plow (Manual Cultivator Plow)  1.	The Department of Agriculture-Regional Field Office 7, through the GAA 2020  intends to apply the sum of Seven Hundred Fifty-Two Thousand Peso</t>
  </si>
  <si>
    <t xml:space="preserve"> INVITATION TO BID FOR  The Procurement of Forty  (40) Units of  Pump  Irrigation  System  for Open Source ( PISOS)  1.	The Department of Agriculture-Regional Field Office 7, through the GAA 2020  intends to apply the sum of  Three Million  Six Hundred Tho</t>
  </si>
  <si>
    <t xml:space="preserve"> Republic of the Philippines PROVINCE OF LEYTE Burauen, Leyte INVITATION TO BID   CONSTRUCTION OF BURAUEN COMMUNITY COLLEGE BUILDING (ADMINISTRATION BUILDING) BURAUEN SPORTS COMPLEX, BURAUEN, LEYTE The Municipality of Burauen, through the Bids and Awards C</t>
  </si>
  <si>
    <t xml:space="preserve"> Invitation to Bid Project No.: R6-D2-2020QRF-01G-SR Repair and Rehabilitation of Classrooms Damaged by Fire Incidents and Various Calamities and Construction of Slope Protection of School Buildings under CY 2020 Quick Response Fund 1.	The Department of Ed</t>
  </si>
  <si>
    <t xml:space="preserve"> Invitation to Bid Project No.: R6-D2-2020QRF-01C-SR Repair and Rehabilitation of Classrooms Damaged by Fire Incidents and Various Calamities and Construction of Slope Protection of School Buildings (CY 2020 Quick Response Fund) 1.	The Department of Educat</t>
  </si>
  <si>
    <t xml:space="preserve"> Invitation to Bid For Online Competency Assessment  1.	The LAND BANK OF THE PHILIPPINES (LANDBANK), through its Corporate Budget for the contract approved by the Board of Directors for 2020 intends to apply the total sum of One Million Three Hundred Thous</t>
  </si>
  <si>
    <t xml:space="preserve"> Invitation to Bid For    One (1) Lot Supply, Delivery and Installation of Signages, Acrylic Frame Panels, ATM Sunshade, and Thru-The-Wall ATM Enclosure, including Dismantling of existing signages, when necessary, at Four (4) LANDBANK Branches 1.	The LAND </t>
  </si>
  <si>
    <t xml:space="preserve"> ITEM DESCRIPTION UNIT QUANTITY 11 Excavation works sq.m 9.00 111 Scalfing, form bdft 282 1V concrete works cu.m 102.00 V R.S.B Works kgs 1623.84 V1 Transshipment and manual hauling Tabuk-Road end lot 1</t>
  </si>
  <si>
    <t xml:space="preserve"> QTY	UNIT	ITEM DESCRIPTION 		  85.90 	sq.m.	Masonry Works  1.55 	cu.m.	Concrete Works  64.94 	sq.m.	Roofing Works</t>
  </si>
  <si>
    <t xml:space="preserve"> 2 UNITS	Type II Wide Body Ambulance 	 		with complete accessories	 		Brand New	 		Description:	 		Inline -4 Cylinder, DOHC, 16 Valves,	 		variable Turbocharger (VGS);	 		Common Rail Direct Injection	 		129PS Max Power;	 		356NM Max Torque;	 		16 Liter fil</t>
  </si>
  <si>
    <t xml:space="preserve"> QTY	UNIT	ITEM DESCRIPTION 		 		Environmental Health Services  79.00 	pc/s	Insecticide Concentrate 1 Liter 		Specification: 		Metofluthrin 0.1% + Cyphenothrin 6% Piperonyl Butoxide 10% 		with Advance Evaporation Retardant Technology that maintains Droplet </t>
  </si>
  <si>
    <t xml:space="preserve"> Tricycle RE F1 etc. NOTE:To all suppliers bid documents and BAC Resolution 2020-029 are available at BAC Office and LGU website.</t>
  </si>
  <si>
    <t xml:space="preserve"> INVITATION TO BID FOR THE REBIDDING OF THE SUPPLY AND DELIVERY OF VARIOUS LABORATORY REAGENTS AND SUPPLIES (IB NO. 2020-GOODS-005R-02-0618Rep) 1.	The ILOCOS TRAINING AND REGIONAL MEDICAL CENTER (ITRMC), through the Trust Fund- Income Collection, intends t</t>
  </si>
  <si>
    <t xml:space="preserve"> Portland Cement etc NOTE:To all suppliers bid documents and BAC Resolution 2020-029 are available at BAC Office and LGU website.</t>
  </si>
  <si>
    <t xml:space="preserve"> Removal of Obstruction/Structure/Layout	1.00	lot Earthworks	80.00	cu.m. Reinforcing Steel Bar	5,516.74	kgs. Structural Concrete	42.41	cu.m. Roof Framing/Roofing	104.00	lot Masonry Works w/ Plastering	230.00	sq.m. Windows	19.08	sq.m. Electrical Works	1.00	</t>
  </si>
  <si>
    <t xml:space="preserve"> INVITATION TO BID ITB  No. 075-Brgy - 2020 The City Government of Surigao, through its Bids and Awards Committee (BAC), invites suppliers to bid for the following: Name of Contract	:  Purchase &amp; Delivery of Const. Materials &amp; Supplies for the  			   proje</t>
  </si>
  <si>
    <t xml:space="preserve"> Republic of the Philippines Province of Antique MUNICIPALITY OF SEBASTE OFFICE OF THE BIDS AND AWARDS COMMITTEE INVITATION TO BID ITB NO. 2020-01-011 The Local Government Unit of Sebaste, Sebaste, Antique, Telephone No. (036) 278-2003, invites interested </t>
  </si>
  <si>
    <t xml:space="preserve"> Republic of the Philippines Province of Antique MUNICIPALITY OF SEBASTE OFFICE OF THE BIDS AND AWARDS COMMITTEE INVITATION TO BID ITB NO. 2020-01-012	 The Local Government Unit of Sebaste, Sebaste, Antique, Telephone No. (036) 278-2003, invites interested</t>
  </si>
  <si>
    <t xml:space="preserve"> Medical Oxygen etc NOTE:To all suppliers bid documents and BAC Resolution 2020-029 are available at BAC Office and LGU website.</t>
  </si>
  <si>
    <t xml:space="preserve"> Republic of the Philippines PROVINCE OF ZAMBOANGA DEL NORTE Municipality of Sibutad BIDS AND AWARDS COMMITTEE JUNE 18, 2020 INVITATION TO BID The Local Government Unit of Sibutad, Zamboanga del Norte under P.R. No. CA100-2020-05-004 dated MAY 26, 2020 wit</t>
  </si>
  <si>
    <t xml:space="preserve"> All-in-One Desktop PC  -23.8" Full HD Touch  -Intel Core i5-6400T  -8GB DDR4  -480GB SSD  -1TB HDD  -Windows 10 With the following software   -SketchUp Pro 2020  -Perpectual License  -Single user  - 1 year maintenance and support ABC:Php 130,000.00/unit 4</t>
  </si>
  <si>
    <t xml:space="preserve"> 1. The Mindanao State University - Tawi-Tawi College of Technology and Oceanography (MSU-TCTO), through the TRUST FUND, intends to apply the sum of Four Hundred Sixty-Two Thousand Seven Hundred Fifty-One and 73/100 pesos only (PhP 462,751.73) being approv</t>
  </si>
  <si>
    <t xml:space="preserve"> 1. The Mindanao State University - Tawi-Tawi College of Technology and Oceanography (MSU-TCTO), through the TRUST FUND, intends to apply the sum of Five Hundred Nine-One Thousand Forty-Seven and 89/100 pesos only (PhP 591,047.89) being approved Budget for</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</si>
  <si>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</si>
  <si>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Laptop etc. NOTE:To all suppliers bid documents and BAC Resolution 2020-029 are available at BAC Office and LGU website.</t>
  </si>
  <si>
    <t xml:space="preserve"> Office Forms etc.  NOTE:To all suppliers bid documents and BAC Resolution 2020-029 are available at BAC Office and LGU website.</t>
  </si>
  <si>
    <t xml:space="preserve"> QTY	UNIT	ITEM DESCRIPTION 		  1.00 	l.s.	Concrete and Masonry Works  32.18 	sq.m.	Ceiling Works  12.00 	sq.m.	Wall Partition  1.00 	set/s	Installation of Doors  1.00 	l.s.	Plumbing Works  1.00 	l.s.	Electrical Works  1.00 	l.s.	Fabrication/Installation of</t>
  </si>
  <si>
    <t xml:space="preserve"> Invitation to Bid Project No.: R6-D2-2020QRF-01H-SR Repair and Rehabilitation of Classrooms Damaged by Fire Incidents and Various Calamities and Construction of Slope Protection of School Buildings under CY 2020 Quick Response Fund 1.	The Department of Ed</t>
  </si>
  <si>
    <t xml:space="preserve"> Construction and/ or Repair/ Rehabilitation of Multi-Purpose Building 6.00mx15.00mm Ground Floor Only; Ground Floor Area Only - 90.00sq.m at ground floor with canopy and sun breaker, doors and windows, ceiling, painting works for exterior and interior; ce</t>
  </si>
  <si>
    <t xml:space="preserve"> Please see attached RFQ # 20-1117 Submit the HARDCOPY of your SIGNED and SEALED quotation together with your UPDATED ELIGIBILITY requirement on or before the closing date of this opportunity. For more information, please contact Ma'am Coleta Quindong, APC</t>
  </si>
  <si>
    <t xml:space="preserve"> Republic of the Philippines PROVINCE OF BUKIDNON Municipality of Sumilao INVITATION TO BID  ITB NO. CW-2020-07 CONSTRUCTION OF DRAINAGE CANAL FOR TEN (10) BARANGAYS 1.	The Local Government Unit of Sumilao, through its Bids Awards Committee (BAC) invites c</t>
  </si>
  <si>
    <t xml:space="preserve"> see attached program of work</t>
  </si>
  <si>
    <t xml:space="preserve"> INVITATION TO BID THE BARANGAY NEW LAWAAN THROUGH ITS BIDS AND AWARD COMMITTEE (BAC) INVITES PHILGEPS REGISTERED SUPPLIERS TO APPLY TO BID FOR THE SUPPLY AND DELIVERY OF VARIOUS MATERIALS FOR THE CONSTRUCTION OF 2 UNITS MATERIALS RECOVERY FACILITY. I. CON</t>
  </si>
  <si>
    <t xml:space="preserve"> Description   1. The BARANGAY QUEZON JR, ORMOC CITY LEYTE through BRGY IRA FUND FY 2020intends to apply the sum of FOUR HUNDRED THOUSAND PESOS ONLY (PhP 400,000.00) being the Approved Budget for the Contract (ABC) to payments under the contract for the CO</t>
  </si>
  <si>
    <t xml:space="preserve"> Nabulo, Catubig, N. Samar through the 20%  BDF C.Y. 2020 intends to apply the sum of Sixty-six Nine  Thousand Hundred  Seven Pesos (Php 66,907.00) being the Approved Budget for the Street Cementing (Phase II). Quotation received in excess of the CWSR  sha</t>
  </si>
  <si>
    <t xml:space="preserve"> Municipal General Services Department 1. 1 unit UPS Power Supply, 1200VA, Load auto sensing and Abnormal Protection, fast charging 2. 1 unit Office Chair, mangerial, black, mesh back, adjustable height, Armrest, chrome legs 3. 1 unit Trolly Speakers -&lt;60 </t>
  </si>
  <si>
    <t xml:space="preserve"> Epson: 1.	3 Bottles Epson Ink BT003, black 2.	3 Bottles Epson Ink BT003, Cyan 3.	3 Bottles Epson Ink BT003, Magenta 4.	3 Bottles Epson Ink BT003, Yellow 5.	11 Bottles Epson Ink T7741, Black 6.	45 Bottles Epson Ink T6641, Black 7.	31 Bottles Epson Ink T664</t>
  </si>
  <si>
    <t xml:space="preserve"> 1 unit Bundy Clock 1 unit Bundy Clock 'Electronic 1 unit Camera, Digital SL '24.1MP 3 unit Soud System, Public Adress System</t>
  </si>
  <si>
    <t xml:space="preserve"> INVITATION TO BID (Re-Bid) PNOC Exploration Corporation (PNOC EC), through its Bids and Awards Committee (BAC), invites bidders to apply for eligibility and to bid for the hereunder project: Project Name 	Engagement of Service Provider for Group Life and </t>
  </si>
  <si>
    <t xml:space="preserve"> INVITATION TO BID THE BARANGAY NEW LAWAAN THROUGH ITS BIDS AND AWARDS COMMITTEE (BAC) INVITES PHILGEPS REGISTERED SUPPLIERS TO APPLY TO BID FOR THE SUPPLY AND DELIVERY OF VARIOUS MATERIALS FOR ROAD REHABILITATION. AGGREGATE SUB-BASE COARSE</t>
  </si>
  <si>
    <t xml:space="preserve"> Procurement for various Information Technology Equipment -The project is subdivided into five lots -The submission of bids would be through the "Online Submission of Bids (OSB)" facility found at the ILS website at ils.dole.gov.ph</t>
  </si>
  <si>
    <t xml:space="preserve"> 1. The Provincial Government of Misamis Occidental, through the General Funds 2019 intends to apply the sum of Nine Million Pesos (Php. 9,000,000.00) being the Approved Budget for the Contract (ABC) to payments under the contract for PB-C-2020-05-620: Pro</t>
  </si>
  <si>
    <t xml:space="preserve"> INVITATION TO BID FOR  The Supply of Labor and Materials for the Construction of Cangkue Diversion Dam located at Brgy. Sto. Niño , Tanjay City, Negros Oriental 1.	The Department of Agriculture-Regional Field Office 7, through the GAA 2020  intends to app</t>
  </si>
  <si>
    <t xml:space="preserve"> ARPA-RADAR Simulator  (Full Mission Ship Bridge Simulator) with complete accessories  (1 Instructor Station and 6 Students Station) including installation and training orientation.      please see attachment for more references...</t>
  </si>
  <si>
    <t xml:space="preserve"> PLEASE QUOTE  THE FOLLOWING Items subject to terms and conditions indicated in the attached RPQ for your reference</t>
  </si>
  <si>
    <t xml:space="preserve"> -1,374.00- bags - Thermoplastic Paint White (25 kgs./bag) -153.00- bags - Thermoplastic Paint Yellow (25 kgs./bag) -208.00- bags - Glass Beads (pre-mix) -752.00- liters - Primer -21.00- pc. - G.I. Pipe Schedule 40 6m (76mmØ) -24.00- pcs. - Prohibitory/res</t>
  </si>
  <si>
    <t xml:space="preserve"> Acquisition of equipments and office supplies for the SK Council office and provision of transportation, communicaation and meals for the SK Council members for efficient and effective delivery services for KK Members of Barangay Cembo.</t>
  </si>
  <si>
    <t xml:space="preserve"> Procurement of Toilet Bowl</t>
  </si>
  <si>
    <t xml:space="preserve"> Descriptions: 120 pcs ceramic toilet bowls Large ordinary</t>
  </si>
  <si>
    <t xml:space="preserve"> Embroidery Machine  - six(6) needles computerized embroidery machine with     bobbin winder and sewing kit  - With UPS, table and stand ABC:Php 495,000.00/set 1 set Sublimation Printer with heatpress machine  - Printer head -4ft maximum print area   - Wit</t>
  </si>
  <si>
    <t xml:space="preserve"> see attached program of works</t>
  </si>
  <si>
    <t xml:space="preserve"> Item No.	  Description		Qty.		Unit 100(1) Clearing and Grubbing- 0.0467 ha. 102(2) Surplus Common Excavation 56.040 cu.m. 103(1)a Structure Excavation, common soil 29.40 cu.m. 104(2)a Embankment from Borrow(Common soil)-57.190 cu.m. 200(1) Aggregate Sub-b</t>
  </si>
  <si>
    <t xml:space="preserve"> INVITATION TO BID FOR THE PROCUREMENT OF PSA SECURITY GUARD SERVICES FOR TWO (2) YEARS UNDER ITB NO.PB20-06-003ILO  The Philippine Amusement and Gaming Corporation (PAGCOR) is inviting all interested bidders in its forthcoming public bidding for Procureme</t>
  </si>
  <si>
    <t xml:space="preserve"> CONTRACT COST:		 1.			CONCRETING OF LUNA ST. ROAD SECTION TO PUBLIC MARKET (FROM COR. JOSE ROMERO DRIVE)		 			Work Description:		 			Surface type: Item 311 (PCCP)		 			Width: 6.0 l.m		 			thickness: 0.15m.		 			Road Section Length: 73 l.m	 	 	LOT	1	SPECIA</t>
  </si>
  <si>
    <t xml:space="preserve"> office supply</t>
  </si>
  <si>
    <t xml:space="preserve"> Republic of the Philippines PROVINCE OF ZAMBOANGA DEL NORTE Municipality of Sibutad BIDS AND AWARDS COMMITTEE JUNE 18, 2020 INVITATION TO BID The Local Government Unit of Sibutad, Zamboanga del Norte under P.R. No. GFP100-2020-06-047 dated JUNE 9, 2020 wi</t>
  </si>
  <si>
    <t xml:space="preserve"> Supply and Delivery of Materials</t>
  </si>
  <si>
    <t xml:space="preserve"> - All materials use in the fabrication of table and rack shall be 3/4 thick Class "A" Marine Plywood. - All joins shall be applied with generous amount of epoxy. - Drawers shall be provided with drawer handles and locks. - Provide drawer heavy duty drawer</t>
  </si>
  <si>
    <t xml:space="preserve"> Request for Quotation for the Procurement of Other Supplies to be used in the laboratories in M. Velez 1.	The Department of Agriculture-Regional Field Office 7 (DA-RFO 7), through the General Appropriations Act of CY 2020)  intends to apply the sum of Fif</t>
  </si>
  <si>
    <t xml:space="preserve"> Construction of Drainage</t>
  </si>
  <si>
    <t xml:space="preserve"> Construction of concrete box culvert with embankment at Rafael Lacson Street (Slaughterhouse road)</t>
  </si>
  <si>
    <t xml:space="preserve"> Improvement /expansion of LGU Water System at Fatima (Purok 5) Liloy, Zamboanga del Norte 48 cu.m.  - Concrete Water Tank 4 sq m.    - Pumphouse 70 sq. m. - Fence 10 kva     - Transformer (including calibration and installation 1 set        - Chlorinator </t>
  </si>
  <si>
    <t xml:space="preserve"> Construction of MPB</t>
  </si>
  <si>
    <t xml:space="preserve"> MODEL: 6GF-LDE7500 RATED POWER:6.5 KW MAXIMUM POWER:7.0 KW VOLTAGE: 220 V/60DHz ENGINE: 192 F STROKE: 4 STROKES AIR COOLED DIESEL ELECTRIC/ MANUAL START W/ AVR SILENT TYPE</t>
  </si>
  <si>
    <t xml:space="preserve"> Republic of the Philippines PROVINCE OF NORTHERN SAMAR BIDS AND AWARDS COMMITTEE Catarman Procurement of Tires for Service Vehicles and Heavy Equipment Province of Northern Samar NS-06-17-20-06 1.	The Provincial Government of Northern Samar, through the S</t>
  </si>
  <si>
    <t xml:space="preserve"> The Barangay Bulagao, Tuao Cagayan through its Barangay Development fund intends to apply the sum of Php 399,948.16 being the Approved Budget for the Contract (ABC) to payments under the contract for Improvement of Multi-Purpose Hall Building (Angara Buil</t>
  </si>
  <si>
    <t xml:space="preserve"> MATERIALS FOR COMSTRUCTION OF CROSS DRAINAGE CANAL AT PUROK 2, NEW ASTURIAS, MACO, DAVAO DE ORO.</t>
  </si>
  <si>
    <t xml:space="preserve"> OFFICE: MUNICIPAL AGRICULTURE PURPOSE:CORN PRODUCTION (LGU-CORN DEMO-FARM) ABC:720,000.00 ITEM DESCRIPTION FERTILIZER 300 BAGS  14-14-14 100 BAGS  UREA CORN SEEDS(HYBRID/OPV) 40 BAGS WHITE 10 BAGS YELLOW 50 GAL HERBICIDE</t>
  </si>
  <si>
    <t xml:space="preserve"> Construction of Convention Center</t>
  </si>
  <si>
    <t xml:space="preserve"> Multi Tester 360 etc. NOTE:To all suppliers bid documents and BAC Resolution 2020-029 are available at BAC Office and LGU website.</t>
  </si>
  <si>
    <t xml:space="preserve"> RIZAL CEMENT			200	BAG	59,800.00 GRAVEL			15	CU.M	10,725.00 WHITE SAND			25	PCS	16,250.00 CHB #5			2300	PCS	50,830.00 SAHARA CEMENT			100	PCS	3,900.00 STEEL BAR 12 MM X 6 M			275	PCS	64,350.00 STEEL BAR 10 MM X 6 M			275	PCS	48,262.50 STEEL BAR 16 MM X 6 </t>
  </si>
  <si>
    <t xml:space="preserve"> ONE UNIT PICK-UP VEHICLE not less than 2.8L but not more than 3.0L engine displacement 4x4 diesel, manual transmission, model 2020</t>
  </si>
  <si>
    <t xml:space="preserve"> QTY	UNIT	ITEM DESCRIPTION 		  1.00 	l.s.	Clearing  240.00 	lmtr.	Construction of Line Canal</t>
  </si>
  <si>
    <t xml:space="preserve"> INVITATION TO BID NO. 20-27 SUPPLY &amp; DELIVERY OF I.T. EQUIPMENT, PERIPHERALS AND CONSUMABLES  1.	The Department of Health Center for Health Development Bicol (DOH CHD Bicol), through the GOP General Appropriation Act of 2020, intends to apply the sum of O</t>
  </si>
  <si>
    <t xml:space="preserve"> Republic of the Philippines Province of South Cotabato BIDS AND AWARDS COMMITTEE City of Koronadal  INF-ITB 20-031 INVITATION TO BID  1.	The Provincial Government of South Cotabato, through the PEO-8751 20% LDF (8.4.4) intends to apply the sum of         </t>
  </si>
  <si>
    <t xml:space="preserve"> INVITATION TO BID 20-46  SUPPLY &amp; DELIVERY OF BLOOD CULTURE SENSITIVITY MACHINE 1.	The Department of Health, Center for Health Development Bicol (DOH – CHD Bicol), through the 2020 General Appropriations Act intends to apply the sum of One Million  Pesos </t>
  </si>
  <si>
    <t xml:space="preserve"> To purchase additional emergency Go Bags</t>
  </si>
  <si>
    <t xml:space="preserve"> 70  Lngts.    3” PE Pipe x6.m SDR11 ( Note: (BSP+ISO 9001)/Equiv.) 9     Rolls     1” HDPE Pipe x 100m SDR 11 ( Note:(BSP+ISO9001)/Equiv. 5     Rolls    ½” HDPE Pipe x 150m SDR 11 (Note: (BSP+ISO 9001)/Equiv. 20   pcs.       1” dia. Male Thread Adaptor 20</t>
  </si>
  <si>
    <t xml:space="preserve"> INVITATION TO BID FOR THE SUPPLY AND DELIVERY OF 6-WHEELER TRUCK   1.	The City of Iloilo, through the Trust Fund CY2017 intends to apply the sum of Two Million Nine Hundred Thousand Pesos (P2,900,000.00) being the Approved Budget for the Contract (ABC) to</t>
  </si>
  <si>
    <t xml:space="preserve"> Republic of the Philippines Province of Albay Municipality of Sto. Domingo Barangay Bagong San Rpque, Bids and Awards Committee INVITATION TO BID BIDS AND AWARDS COMMITTEE INVITATION TO BID The LGU-Barangay Bagong San Roque, Sto. Domingo Albay through the</t>
  </si>
  <si>
    <t xml:space="preserve"> Republic of the Philippines DEPARTMENT OF PUBLIC WORKS AND HIGHWAYS MASBATE 1st  DISTRICT ENGINEERING OFFICE REGIONAL OFFICE V San Fernando, Masbate Control No. 2020 - 004 								June 18, 2020 INVITATION TO BID The Department of Public Works and Highways</t>
  </si>
  <si>
    <t xml:space="preserve"> MOTORCYCLE BIKE-XRM 125 DUAL SPORT</t>
  </si>
  <si>
    <t xml:space="preserve"> The TARLAC AGRICULTURAL UNIVERSITY, through its Bids and Awards Committee (BAC), invites all suppliers and dealers to submit sealed quotation for the “PURCHASE OF COMMON OFFICE SUPPLIES TO BE USED IN THE DIFFERENT COLLEGES AND OFFICES OF THE UNIVERSITY". </t>
  </si>
  <si>
    <t xml:space="preserve"> Republic of the Philippines DEPARTMENT OF PUBLIC WORKS AND HIGHWAYS PANGASINAN 1ST DISTRICT ENGINEERING OFFICE REGIONAL OFFICE I Alaminos City, Pangasinan Name of Procuring Entity :  DPWH 1ST Pangasinan Engineering District	Request for Quotation No. :	RFQ</t>
  </si>
  <si>
    <t xml:space="preserve"> Republic of the Philippines PROVINCE OF NORTHERN SAMAR BIDS AND AWARDS COMMITTEE Catarman Purchase of Rescue Ambulance for the PDRRMO  Province of Northern Samar NS-06-17-20-07 1.	The Provincial Government of Northern Samar, through the SP Ordinance No. 2</t>
  </si>
  <si>
    <t xml:space="preserve"> Republic of the Philippines PROVINCE OF NORTHERN SAMAR BIDS AND AWARDS COMMITTEE Catarman Purchase of Biotek-M Dengue Package and Biotek-M Lamp Heater With Easyview LED Transilluminator for NSPH and District Hospitals Province of Northern Samar NS-06-17-2</t>
  </si>
  <si>
    <t xml:space="preserve"> 2 UNITS - MOTORCYLE (CUSTOMIZED) Engine Type: Air cooled, 4-stroke, SOHC, 2-valve Cylinder: Single Cylinder Displacement: 125cm³ Engine Oil Cap: 0.84L Fuel Supply: Fuel injection Transmission Type: V-belt automatic Customize (Emergency QRT): -	Blinkers an</t>
  </si>
  <si>
    <t xml:space="preserve"> INVITATION TO BID FOR  Procurement of Goods [Books] (Rebid) The   City Government of Tagbilaran,   through the Continuing Appropriation, intends to apply the sum of Three Million Three Hundred Sixty Seven Thousand Four Hundred Fifty Seven Pesos only (Php3</t>
  </si>
  <si>
    <t xml:space="preserve"> Books/reference materials for the Library to be used by the Colleges (CAS &amp; CIT)</t>
  </si>
  <si>
    <t xml:space="preserve"> Description Republic of the Philippines Province of Oriental Mindoro MUNICIPALITY OF NAUJAN BARANGAY BACUNGAN BIDS AND AWARDS COMMITTEE INVITATION TO BID SUPPLY AND DELIVERY OF MATERIALS TO BE USED IN INSTALLATION  OF POTABLE WATER SUPPLY SYSTEM LEVEL 1 &amp;</t>
  </si>
  <si>
    <t xml:space="preserve"> INVITATION TO BID Bid No. B-84-2020  1.	The Provincial Government of Negros Oriental, through Source of Fund: 1) 8918-047(20); 2) 8918-048(20); 3) 9998-037(20), intends to apply the sum of Thirteen Million Seven Hundred Twenty Thousand Pesos (Php 13,720,0</t>
  </si>
  <si>
    <t xml:space="preserve"> Invitation to Bid Drilling and Construction of Two (2) Test/Production Wells for Pamplona Water District in Pamplona, Camarines Sur 1. The Pamplona Water District intends to apply the sum of Three Million Nine Hundred Sixty Six Thousand One Hundred Twenty</t>
  </si>
  <si>
    <t xml:space="preserve"> Republic of the Philippines Province of South Cotabato BIDS AND AWARDS COMMITTEE City of Koronadal  INF-ITB 20-032 INVITATION TO BID  1.	The Provincial Government of South Cotabato, through the PEO-8751 20% LDF (8.6.1) intends to apply the sum of         </t>
  </si>
  <si>
    <t xml:space="preserve"> INVITATION TO BID Bid No. B-85-2020  1.	The Provincial Government of Negros Oriental through Responsibility Center: 8751-01(20) / Account Code: 50213090, intends to apply the sum of Four Million Six Hundred Twenty-Three Thousand Six Hundred Fifty-Two Peso</t>
  </si>
  <si>
    <t xml:space="preserve"> office printer colored</t>
  </si>
  <si>
    <t xml:space="preserve"> Removal of structure &amp; obstruction, Removal of Existing 24”Φ and 36"Φ RCPC drainage canal, Structure Excavation, Gravel Bedding and Construction of drainage canal with cover and manhole for every 3 meters @ left side = 196.64 l.m and @ right side = 43.11 </t>
  </si>
  <si>
    <t xml:space="preserve"> Kia bongo I-BEAM!!! tilting cab Jt 3.0 engine 4x2 MT NEWLY registered Complete papers w/ TPL insurance AIRCONDITION</t>
  </si>
  <si>
    <t xml:space="preserve"> INVITATION TO BID Bid No. B-83-2020  1.	The Provincial Government of Negros Oriental, through Source of Fund: SP. Res. No. 1076-2017, AO 57 series of 2017, 20% DF, CY 2018; SP. Res. No. 846-2108,20%DF, AIP 2019, intends to apply the sum of Two Million Two</t>
  </si>
  <si>
    <t xml:space="preserve"> items:    10 pcs 11 r22.5 tires (giga dumptruck)     2 pcs. 195 x 70 r15 tires (ambulance)     6 pcs. 750 x 16 (mini dumptruck) location: lgu motorpool, gutalac, zamboanga del norte approved budget for the contract: php450,000.00 opening of bids: july 8, </t>
  </si>
  <si>
    <t xml:space="preserve"> MAINTENANCE OF POWER INTAKE ELECTRICAL WIRINGS AND FIXTURES INCLUDING THE STREET &amp; PERIMETER LIGHTINGS</t>
  </si>
  <si>
    <t xml:space="preserve"> Republic of the Philippines PROVINCE OF NORTHERN SAMAR BIDS AND AWARDS COMMITTEE Catarman Purchase of Various Hospital Other Supplies and Materials Northern Samar Provincial Hospital Catarman, Northern Samar NS-06-17-20-05 1.	The Provincial Government of </t>
  </si>
  <si>
    <t xml:space="preserve"> Province of Zamboanga Sibugay				Project Reference Number MUNICIPAL GOVERNMENT OF TITAY				Name of the Project:     Barangay Poblacion Muslim					Location of the Project: Poblacion Muslim  Titay, ZS 	 Standard Form Number:	 Revised on : July 29, 2004 INVI</t>
  </si>
  <si>
    <t xml:space="preserve"> PROPOSED PURCHASE OF VARIOUS CCTV AND PUBLIC ADDRESS MATERIALS AND EQUIPMENTS AT BRGY. STA. MONICA, SAN PABLO CITY</t>
  </si>
  <si>
    <t xml:space="preserve"> Multicab              1 unit</t>
  </si>
  <si>
    <t xml:space="preserve"> TERM OF REFERENCE FOR CONSULTANTS 1.	CONSULTANT ON DRUG TESTING AND CLINICAL LABORATORY 1.	The consultant must be a Pathologist and must possess at least 5 years of experience needed for the position. 2.	That the consultant will serve as the head of the M</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</si>
  <si>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</si>
  <si>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Concreting of Sidewalk @ Brgy Jalung Porac, Pampanga Portland Cement 253 Bags Sand 40 CU.M Gravel 3/4" 30 CU.M GI Wire 2 Kls CW Nails 2 Kls Formed Lumber 1 Lot</t>
  </si>
  <si>
    <t xml:space="preserve"> Construction of Line Canal @ Brgy Manibaug Libutad, Porac, Pampanga CHB 5" 1,500 pcs Portland Cement 120 Bags Sand 2 T.L Gravel 3/4" 8 CU.M 12mm RSB 90 Pcs 10mm RSB 90 Pcs GI Wire 1 Roll CW Nails 8 Kls Formed Lumber 1 Lot</t>
  </si>
  <si>
    <t xml:space="preserve"> INVITATION TO BID NO. 20-24 SUPPLY &amp; DELIVERY OF ADVOCACY MATERIALS (T-SHIRTS, BAGS, UMBRELLAS, ETC)  1.	The Department of Health Center for Health Development Bicol (DOH CHD Bicol), through the GOP General Appropriation Act of 2020 intends to apply the s</t>
  </si>
  <si>
    <t xml:space="preserve"> Please see attached file..</t>
  </si>
  <si>
    <t xml:space="preserve"> To purchase supplies &amp; materials for rescuers of Barangay Oranbo, Pasig City</t>
  </si>
  <si>
    <t xml:space="preserve"> Name of Project:Construction of 1 Unit 2 Classrooms at Sitio Sinaca, Barangay Anticala, Butuan City Location: Sitio, Sinaca, Barangay Anticala, Butuan City Duration: 115 calendar days Total ABC: Php 3,791,994.31 For representative/s of interested bidders </t>
  </si>
  <si>
    <t xml:space="preserve"> INVITATION TO BID 20-38  SUPPLY &amp; DELIVERY OF ANESTHESIA MACHINE 1.	The Department of Health, Center for Health Development Bicol (DOH – CHD Bicol), through the 2020 General Appropriations Act intends to apply the sum of Three Million Seven Hundred Fifty </t>
  </si>
  <si>
    <t xml:space="preserve"> Description:		 			Road Canal Section Length: 260 L.m		 			Type:  Grouter Riprap		 			Depth: 0.08m		 			Width, Bottom: 0.60m		 			Top: 0.80m	 	 			CONTRACT COST:	 	 	LOT	1	SPECIAL-ITEM-GENERAL CONDITIONS		 	LOT	1	A. Mobilization and Demobilization		10,000.</t>
  </si>
  <si>
    <t xml:space="preserve"> OFFICE: MUNICIPAL AGRICULTURE PURPOSE: FOR VEGETABLE SEEDS DISTRIBUTION ABC: 100,000.00 20 CANS AMPALAYA 10 KG STRING BEANS 5 KG UPO 10 KG KANGKONG 10 KG OKRA 10 CANS SQUASH 12 CANS EGGPLANT 10 CANS TOMATO</t>
  </si>
  <si>
    <t xml:space="preserve"> 4 units Brand New Ambulance: Cab/Bed Type-Standard Cab/High Deck-Long Wheelbase;21 Seating Capacity;2.6L Engine,Naturally Aspirated,4 cyl,SOHC,8-valve;Diesel Engine-Euro2 Compliant;2607cc Displacement;91.1x100mm Bore X Stroke;22.0:1 Compression Ratio;79/4</t>
  </si>
  <si>
    <t xml:space="preserve"> Republic of the Philippines Province of Quezon Municipality of Perez Bids &amp; Awards Committee INVITATION TO BID FOR  Re-Blocking of Feeder Road with Canal Improvement, Brgy. Sangirin (Materials) 1.	The Municipal Government of Perez, Quezon through its 20% </t>
  </si>
  <si>
    <t xml:space="preserve"> The Department of Education, Schools Division Office of Albay, through the General Appropriations Act of 2020 intends to apply the sum of One Hundred Forty Eight Million One Hundred Seventy Thousand Two Hundred Nine Pesos &amp; 79/100 only (Php 148,170,209.79</t>
  </si>
  <si>
    <t xml:space="preserve"> Quantity	Unit 	Description/Article 400	pc	Hollow Blocks 2	cu.m	Fine Sand 15	pc	10mm Rebars 10	pc	9mm Rebars 25	sack	Premium Cement 10	kl	Tie Wire 5	sheet	Marine Plywood 3/4 2	pc	Main Door 30	pc	Square bar 10mm 6	pc	Flat Bar 3/16x1 4	length	1.5mm C-Purlins</t>
  </si>
  <si>
    <t xml:space="preserve"> SUPPLY &amp; DELIVERY OF LABORATORY REAGENTS  IB NO. 20-10 1.	The Department of Health, Center for Health Development Bicol, through the authorized appropriations under the GOP General Appropriation Act of 2020 intends to apply the sum of ONE MILLION FIVE HUN</t>
  </si>
  <si>
    <t xml:space="preserve"> Purchase and Delivery of Office Supplies for CY 2020 Santa, Ilocos Sur</t>
  </si>
  <si>
    <t xml:space="preserve"> LABOR &amp; EQUIPMENT RENTAL FOR CONSTRUCTION OF CROSS DRAINAGE CANAL AT PUROK 2, NEW ASTURIAS, MACO, DAVAO DE ORO.</t>
  </si>
  <si>
    <t xml:space="preserve"> Fry Mash			35	Bags	19,250.00 10 kgs per bag					 Crude Protein: 35-40%					 					 Grower Pellet			90	Bags	153,000.00 20 kgs per bag					 Crude Protein: 35-40%					 					 Grower Pellet			195	Bags	175,500.00 25 kgs per bag					 Crude Protein: 29% 					 Crud</t>
  </si>
  <si>
    <t xml:space="preserve"> Republic of the Philippines Province of Masbate MUNICIPALITY OF CATAINGAN BARANGAY PITOGO   			                                                                                               JUNE 18, 2020 INVITATION TO APPLY FOR ELIGIBILITY AND TO BID The </t>
  </si>
  <si>
    <t xml:space="preserve"> Republic of the Philippines PROVINCE OF NORTHERN SAMAR BIDS AND AWARDS COMMITTEE Catarman Invitation to Bid NS-06-17-20-10 Street Concreting Brgy. Magsaysay Bobon Northern Samar 1.	The Provincial Government of Northern Samar, through SP Ordinance No. 21, </t>
  </si>
  <si>
    <t xml:space="preserve"> Materials for the Completion of Spring Development Project</t>
  </si>
  <si>
    <t xml:space="preserve"> Purchase of:      NHK and PTV Programs Data for the period January to December 2019      *Please see attached for the T.O.R. (Terms of Reference)</t>
  </si>
  <si>
    <t xml:space="preserve"> Republic of the Philippines PROVINCE OF QUIRINO Cabarroguis -oOo- BIDS AND AWARDS COMMITTEE INVITATION TO BID FOR  Procurement of Various Medicines for COVID-19 Prevention Contract No. PB-GS-2020-007 							June 14, 2019 1.	The Bids and Awards Committee (</t>
  </si>
  <si>
    <t xml:space="preserve"> Disposable Face Mask N95			5	Box	32,500.00 Disposable Face Mask 3 Ply			10	Box	8,000.00 Hand Sanitizer			20	Gallon	18,000.00 Isoprophyl Alcohol			20	Gallon	12,000.00 Empty plastic spray bottles w/ round shoulder 500ml			24	Piece	6,000.00 Empty plastic spr</t>
  </si>
  <si>
    <t xml:space="preserve"> 1.	The MUNICIPAL GOVERNMENT OF PALIMBANG through an appropriation from 20% DF FY 2020 invites prospective and interested bidders for the project, to wit: 	 LANDSCAPING OF BAYWALK AT BARANGAY BARANAYAN Solicitation Number: PB-2020-CW-022 	Baranyan, Palimb</t>
  </si>
  <si>
    <t xml:space="preserve"> Republic of the Philippines Province of Quezon Municipality of Perez Bids &amp; Awards Committee INVITATION TO BID FOR  Repair &amp; Maintenance of Machinery &amp; Equipment (Tools &amp; Parts- Ambulance, Nissan Van, Volvo Truck, Pay Loader) 1.	The Municipal Government o</t>
  </si>
  <si>
    <t xml:space="preserve"> INVITATION TO BID NO. 20-36 REPRODUCTION &amp; DELIVERY OF BLOOD BAG LABER STICKER WITH PROVISION OF 1 UNIT BARCODE PRINTER 1.	The Department of Health Center for Health Development Bicol (DOH CHD Bicol), through the GOP General Appropriation Act of 2020, int</t>
  </si>
  <si>
    <t xml:space="preserve"> Logo Pin - 600 Pieces Material: Gold Plated Size: Standard Logo: New SEC Logo Philippine Flag Pin - 600 Pieces Size: Standard Logo: Philippine Flag</t>
  </si>
  <si>
    <t xml:space="preserve"> Republic of the Philippines PROVINCE OF ZAMBOANGA SIBUGAY Municipality of Mabuhay OFFICE OF THE BAC CHAIRMAN INVITATION TO BID June 17, 2020 To all interested Bidders; Notice is hereby served that sealed bid be received for public bidding under the harmon</t>
  </si>
  <si>
    <t xml:space="preserve"> INVITATION TO BID June 15, 2020 The DPWH-Quirino District Engineering Office, through its Bids and Awards Committee (BAC), invites contractors to submit bids for the following Contract: 	Contract I.D.  	:	20BK0146 	Name of Project	:	Construction of 2 Unit</t>
  </si>
  <si>
    <t xml:space="preserve"> Scope of Works:					 1	Mobilization				 2	Retiling of wall and flooring				 3	Fabrication of Janitorial supplies cabinet				 4	Replacement of ceiling				 5	Replacement of existing water closet				 6	Replacement of existing damaged cubicle door				 7	Repla</t>
  </si>
  <si>
    <t xml:space="preserve"> 4 units Brand New Dump Truck 8x4: COMPLETE KERB MASS (kg): 8x4, GVW (kg): 8500, DIMENSIONS LWH (mm): 10400*2500*3600, FRONT/REAR OVERHANG (mm): 1525/2055, WHEELBASE (mm): 1800+3600+1400, MAX. SPEED (kmh): 88, MIN. TURNING CIRCLE: 17, MIN. GROUND CIRCLE: 3</t>
  </si>
  <si>
    <t xml:space="preserve"> INVITATION TO BID June 15, 2020 The DPWH-Quirino District Engineering Office, through its Bids and Awards Committee (BAC), invites contractors to submit bids for the following Contract: Contract I.D.  	:	20BK0145 Name of Project	:	Construction/Rehabilitat</t>
  </si>
  <si>
    <t xml:space="preserve"> 1	7	lenghts	1.50mm x 2"x6" Tubular				 2	1	length	16mmØ Tension  Rod Assemblies				 3	2	length	6mm x 50mm x 50mm Angle bar				 4	1	kg	N55 Red Welding Rod				 5	5	pcs	#4 Ordinary Cutting Disc				 6	8	ln.m	8mm x 1.22m  Twinwall Polycarbonate Roofings				 7	</t>
  </si>
  <si>
    <t xml:space="preserve"> Please see attached file (RFQ-20-06-0451/20-06-0453/20-06-0454) for reference.</t>
  </si>
  <si>
    <t xml:space="preserve"> INVITATION TO BID June 15, 2020 The DPWH-Quirino District Engineering Office, through its Bids and Awards Committee (BAC), invites contractors to submit bids for the following Contract: 1	Contract I.D.  	:	20BK0144 	Name of Project	:	Construction/ Rehabil</t>
  </si>
  <si>
    <t xml:space="preserve"> Republic of the Philippines Province of Agusan del Norte Municipality of Remedios T. Romualdez BARANGAY TAGBONGABONG Invitation to Bid PROCUREMENT OF WATER SUPPLY ACCESSORIES AND MATERIALS FOR THE IMPROVEMENT OF WATER SYSTEM OF TAGBONGABONG 1. The BLGU Ta</t>
  </si>
  <si>
    <t xml:space="preserve"> Republic of the Philippines Province of Cebu MUNICIPALITY OF BALAMBAN Barangay Lamesa OFFICE OF THE BIDS and AWARDS COMMITTEE INVITATION TO BID FOR: 	Barangay Lamesa of the Municipality of Balamban, through the various sources of Funds, intends to apply t</t>
  </si>
  <si>
    <t xml:space="preserve"> Republic of the Philippines Province of Quezon Municipality of Perez Bids &amp; Awards Committee INVITATION TO BID FOR  Concreting of Refazo Street Extension (Materials) 1.	The Municipal Government of Perez, Quezon through its 20% MDF intends to apply the sum</t>
  </si>
  <si>
    <t xml:space="preserve"> Republic of the Philippines Province of Eastern Samar Municipality of Balangkayan INVITATION TO BID FOR: REHABILITATION/IMPROVEMENT OF NFA WAREHOUSE Former Elem. School Site, San Agustin St., Brgy. 03, Balangkayan, E. Samar June 18 - 24  , 2020 The Munici</t>
  </si>
  <si>
    <t xml:space="preserve"> Supply, Delivery, Installation, Testing and Commissioning of Four (4) units Brand New Power Supply of 2-200KVA UPS 4 pieces -  POWER SUPPLY                    CIE QB102 Universal Tropic Power Supply SCOPE OF WORKS: 	Pull out and Install 4 (Four) units po</t>
  </si>
  <si>
    <t xml:space="preserve"> Republic of the Philippines Province of Cagayan LOCAL GOVERNMENT UNIT-MUNICIPALITY SOLANA, 3503 BIDS AND AWARDS COMMITTEE (BAC) INVITATION TO BID FOR  PURCHASE OF GAMBREL AND HOG TROLLEY 1.	The Municipal Government of Solana, through the General Fund   in</t>
  </si>
  <si>
    <t xml:space="preserve"> Invitation to Bid for Construction of Drainage Canal  No. 2020-001 1. The Barangay Obrero, through the Annual Budget 2020(General Fund) Approved by the Sanggunian intends to apply the sum of Five Hundred Thousand Pesos  (Php 500,000.00 ) being the Approve</t>
  </si>
  <si>
    <t xml:space="preserve"> I	EARTHWORKS		 1a	CLEARING OR GRUBBING &amp; DEMOLITION	1	lot 1b	Excavation	1	lot 1c	HAULING (Materials)	1	lot 			 II	CONCRETE / MASONRY WORKS 		 	3/4" Gravel bedding 2" thk	4	m3 	CHB 5"	2900	pcs 	Portland cement	352	bags 	Sand s-1	27	m3 	Gravel	11	m3 	White </t>
  </si>
  <si>
    <t xml:space="preserve"> Republic of the Philippines Province of Davao del Sur Municipality of Malalag INVITATION TO BID FOR THE SUPPLY AND DELIVERY OF ONE (1) UNIT FABRICATED PLASTIC AND CELLOPHANE PULVERIZER EQUIPMENT 1.	The Local Government of Malalag, through its Annual Budge</t>
  </si>
  <si>
    <t xml:space="preserve"> Republic of the Philippines Province of Negros Occidental Municipality of San Enrique BILL OF QUANTITY Project Name : Construction of Box Culvert Location : Brgy. Batuan, San Enrique, Neg. Occ. Approved Budget Cost : P 800,000.00 Scope of Work : Replaceme</t>
  </si>
  <si>
    <t xml:space="preserve"> 1.	The Local Government Unit (LGU) of Caluya, Antique, through the Municipal Annual Budget 2020 intends to apply the sum of Nine Million Nine Hundred Ninety-Nine Thousand Nine Hundred Eighty-Six Pesos (P9,999,986.00) only being the Approved Budget for the</t>
  </si>
  <si>
    <t xml:space="preserve"> INVITATION TO APPLY FOR ELIGIBILITY AND TO BID THE BIDS AND AWARD COMMITTEE OF BRGY. MAURANG, MUNICIPALITY OF CAIBIRAN, BILIRAN IS INVITING ALL INTERESTED BIDDERS ON ITS FORTH COMING PUBLIC BIDDING FOR: Project Title	                : Re-Blocking of Baran</t>
  </si>
  <si>
    <t xml:space="preserve"> 1.	The Local Government Unit (LGU) of Caluya, Antique through the Municipal Annual Budget 2020 intends to apply the sum of Two Million Six Hundred Sixty-Five Thousand Four Hundred Pesos (Php2,665,400.00) only being the Approved Budget for the Contract (AB</t>
  </si>
  <si>
    <t xml:space="preserve"> Structure Excavation, Gravel Bedding. Fill and Backfill, Reinforced concrete of 5 units footing and column, 2 units x 6 L.m. Roof Beam and 3 units x 6 L.m. Roof Beam and 3 units x 6 L.m. Tie Beam, Fabrication and Installation of 2 units Full Truss, Roof F</t>
  </si>
  <si>
    <t xml:space="preserve"> Procurement of One (1) unit Laptop with Complete Accessories - Sangguniang Bayan Office, Laak, Davao De Oro with an ABC of Php. 50,000.00.</t>
  </si>
  <si>
    <t xml:space="preserve"> Republic of the Philippines Province of Davao del Sur Municipality of Malalag INVITATION TO BID FOR THE SUPPLY AND DELIVERY OF MATERIALS FOR THE CONSTRUCTION/REHAB. OF POTABLE WATERSYSTEM, IBO, MALALAG DAVAO DEL SUR 1.	The Local Government of Malalag, thr</t>
  </si>
  <si>
    <t xml:space="preserve"> OFFICE: MUNICIPAL AGRICULTURE PURPOSE: FOR MUNICIPAL VETERINARIAN SERVICES  ABC: 100,000.00 ITEM DESCRIPTION 19 LITER ALBENDAZOLE  20 BOT MULTIVITAMINS INJECTABLE 5 BOT OXYTETRACYCLINE 9 BOT WOUND SPARY 10 PCS MINERAL/SALT BLOCK 10 KG MULTIVITAMINS POWDER</t>
  </si>
  <si>
    <t xml:space="preserve"> Repair/Replacement/Maintenance of Aircon</t>
  </si>
  <si>
    <t xml:space="preserve"> PURCHASE REQUEST					 					 Barangay:		ALEJAL		P.R. No. 20 - 06 - 031	 City/Municipal:_________/ CARMEN					 					 REQUISITION					 					 Item	Qty.	Unit of	Item Description	Estimated Unit	Estimated Number		Issue		Cost	Amount 1	348	CU.M	Mixed Sand &amp; Gravel</t>
  </si>
  <si>
    <t xml:space="preserve"> I. 	REMOVAL OF EXISTING DILAPIDATED STAGE ROOFING	1	lot 			 II.	ROOFING WORKS		 	Long span (rib-type) roof	26	pcs 	0.5 mm x 1.0 m x 6.20 m (green)		 	G.I. ridge roll, 0.50 mm x 2.40 m	5	pcs 	G.I. flashing, 0.50 mm x 2.4 m	6	pcs 	tekscrew 1-1/2", steel	1	b</t>
  </si>
  <si>
    <t xml:space="preserve"> CARLOS HILADO MEMORIAL STATE COLLEGE BIDS AND AWARDS COMMITTEE Talisay City, Negros Occidental Telefax Nos. (034)712-8404 INVITATION TO BID  FOR ENHANCEMENT OF ENGINEERING AND TECHNOLOGY GREEN BUILDING (ETGB) ROOF SKIRTING (LABOR AND MATERIALS) – TALISAY </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</si>
  <si>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</si>
  <si>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Materials for the  Waterworks System</t>
  </si>
  <si>
    <t xml:space="preserve"> The Municipality of Calintaan through the Calamity Funds intends to apply the sum of One Million Seven Hundred Thousand Pesos Only (Php1,700,000.00) being the Approved Budget for the Contract (ABC) to payment under the contract for Procurement of One (1) </t>
  </si>
  <si>
    <t xml:space="preserve"> Title:Procurement of Vehicle Repair and Maintenance under P.R.Nos. 2186-2020 and 2193-2020-Office of the City Engineer-1Lot Total ABC: Php 196,715.00 (INSTRUCTION AS TO THE REQUIRED FORM: For your price quotation, please use the attached Request for Quota</t>
  </si>
  <si>
    <t xml:space="preserve"> Concreting of Local Road with Riprapping, Binoyoan, Sto. Domingo, Nabua, Camarines Sur</t>
  </si>
  <si>
    <t xml:space="preserve"> A. Removal of Dilapidated concrete pavement, Roadway Excavation, Aggregate base course of Road and Shoulder and Concreting of 129 L.m. x 6.10 m x 0.20 m thk road. B. Removal of Existing Structure, Roadway Excavation, Backfilling, Foundation Fill, Aggregat</t>
  </si>
  <si>
    <t xml:space="preserve"> Four-wheel vehicle multicab type</t>
  </si>
  <si>
    <t xml:space="preserve"> EARTHWORKS		 Site Clearing - Excavation / Demolition  &amp; Preparation	1	lot 		 BASE COURSE PREPARATION 		 2a. Equipment	1	lot Tandem Steel Roller		 Road Grader with Scarifier, G710A		 		 2b. Materials (Base Course) 137.00 x 2.00 x 2" thk		 Gravel G1 @ 0.062</t>
  </si>
  <si>
    <t xml:space="preserve"> PURCHASE OF VARIOUS ORNAMENTAL PLANTS AND DECORATIVE TERRACOTA JARS FOR SEC HEAD OFFICE</t>
  </si>
  <si>
    <t xml:space="preserve"> Information Technology 1. 2 sets-Computer with Printer Specs:Intel COre i5-7400 7th Gen. ASUS H110 mainboard 4GB DDR4 memory, 1TB HDD 23'LED Monitor, DVD Writer ATX case w/PSU,keyboard,mouse,speaker,AVR,Printer L220 2. 2 units-Laptop Specs:AMD Ryzen 73700</t>
  </si>
  <si>
    <t xml:space="preserve"> Republic of the Philippines Province of Davao del Sur Municipality of Malalag Barangay Mabini INVITATION TO BID FOR GOAT DISPERSAL LIVELIHOOD PROGRAM IN BARANGAY MABINI, MALALAG DAVAO DEL SUR 1.	The Barangay Mabini, through its Provincial Aid (Provincial </t>
  </si>
  <si>
    <t xml:space="preserve"> Fuel-Diesel Fuel</t>
  </si>
  <si>
    <t xml:space="preserve"> 45 units Laptop Specifications: -Intel core i3 7020U -4GB DDR4 -1TB HDD -AMD Radeon 530 2GB DDR5 -Windows 10 Home SL -14" HD -Card Reader -WebCam -WiFi -BT -LAN HDMI -HP 15.6" Value Backpack</t>
  </si>
  <si>
    <t xml:space="preserve"> 1 unit UV light Preferably 4 bulbs Power: 55W Purifying Tech: 254nm UV Purifying Area: 20-60 square meter Control: Timing, Mobile Application: Indoor Air Disinfection Disinfection Object: Bacteria, Virus, COVID-19 ABC: Php 29,000.00 1 unit Medicine and Va</t>
  </si>
  <si>
    <t xml:space="preserve"> INVITATION TO BID FOR THE  PURCHASE OF TRAINING EQUIPMENT FOR LIVELIHOOD PROGRAM – CLDO 1.	The City Government of Bacoor, Cavite, through the General Fund Year 2020 intends to apply the sum of ONE MILLION SIX HUNDRED FIFTY THOUSAND PESOS AND ZERO CENTAVO </t>
  </si>
  <si>
    <t xml:space="preserve"> SOUVENIR (Bantayog ng 		500	pcs Labintatlong Martir ng Cavite)</t>
  </si>
  <si>
    <t xml:space="preserve"> Generator</t>
  </si>
  <si>
    <t xml:space="preserve"> Republic of the Philippines Province of Quezon Municipality of Perez Bids &amp; Awards Committee INVITATION TO BID FOR  Extension of Manlogon Street (Brgy. Bagong Silang) (Materials) 1.	The Municipal Government of Perez, Quezon through its 20% MDF intends to </t>
  </si>
  <si>
    <t xml:space="preserve"> Kindly refer to the uploaded RFQ, BAC Form G-1 in the Associated Components, or proceed to https://philguarantee.gov.ph/procurements/requests-and-invitations/2020-2/ For inquiries, please contact Atty. Ronces Anne Reyes-De Leon at 8897-3287. When emailing</t>
  </si>
  <si>
    <t xml:space="preserve"> Construction Projects-Construction of Manpower &amp; Training w/GSO Building City Hall Site, Brgy. Awasian, Tandag City</t>
  </si>
  <si>
    <t xml:space="preserve"> INVITATION TO BID NO. 20-29 GENERAL OVERHAULING OF EXISTING GENERATOR SET AT BRDRL 1.	The Department of Health Center for Health Development Bicol (DOH CHD Bicol), through the GOP General Appropriation Act of 2020, intends to apply the sum of SEVEN HUNDRE</t>
  </si>
  <si>
    <t xml:space="preserve"> 1.	The MUNICIPAL GOVERNMENT OF PALIMBANG through an appropriation from Capital Outlay (Mayor’s Office) FY 2020 and Capital Outlay (Treasury Office) FY 2020 invites prospective and interested bidders for the project, to wit: 	 SUPPLY AND DELIVERY OF SIX (6</t>
  </si>
  <si>
    <t xml:space="preserve"> INVITATION TO BID FOR THE COMPLETION WORKS FOR THE SITE DEVELOPMENT &amp; CONSTRUCTION OF FLOOD CONTROL SYSTEM AT COLEGIO DE MUNTINLUPA, POSADAS AVE., BRGY. SUCAT, MUNTINLUPA CITY 1.	The City Government of Muntinlupa, through its duly-approved Supplemental Bu</t>
  </si>
  <si>
    <t xml:space="preserve"> 45 bags Potland Cement 7 cu.m. Screened gravel (w/ beddings) 3 cu.m. Screen Sand 45 bags Water proofing compound, 900 grams 91 pcs. 10mmØ x 6m DSB</t>
  </si>
  <si>
    <t xml:space="preserve"> CARLOS HILADO MEMORIAL STATE COLLEGE BIDS AND AWARDS COMMITTEE Talisay City, Negros Occidental Telefax Nos. (034)712-8404 INVITATION TO BID  FOR PROPOSED DESIGN AND BUILD FOR THE CONSTRUCTION OF COVERED COURT (PHASE-1) – BINALBAGAN CAMPUS, BRGY. ENCLARO, </t>
  </si>
  <si>
    <t xml:space="preserve"> INVITATION TO BID FOR THE CONSTRUCTION OF MULTI-PURPOSE COVERED STAGE, BLEACHER, AND PERIMETER FENCE AT VILLA CAROLINA 2, BRGY. TUNASAN, MUNTINLUPA CITY 1.	The City Government of Muntinlupa, through its duly-approved Executive Budget for 2019 intends to a</t>
  </si>
  <si>
    <t xml:space="preserve"> See attached Invitation to bid.</t>
  </si>
  <si>
    <t xml:space="preserve"> 115 pairs Uniform (Patrol Shirt and Pants) 115 pairs Patrol Shoes 9 pcs Tshirts with print (Ladies) 55 pcs Traffic Vest 55 pcs Traffic Gloves</t>
  </si>
  <si>
    <t xml:space="preserve"> BIDS AND AWARDS COMMITTEE REQUEST FOR QUOTATTION The Barangay Osukan of Labason, Z.N., invites all interested registered supplier to submit quotation for the Purchase of One (1) Unit 125 Dual Sport Motorcycle for Barangay Osukan: Approved Budget for the C</t>
  </si>
  <si>
    <t xml:space="preserve"> INVITATION TO BID     20-078 Name of Project	:	Personal Protective Equipment (PPE) for Laguna Medical Center Location	:	Sta. Cruz, Laguna  Brief Description	:	Medical Grade Approved Budget For the Contract	:	1,500,000.00 Delivery Period 	:	10 Calendar Day</t>
  </si>
  <si>
    <t xml:space="preserve"> 1 set - sala set</t>
  </si>
  <si>
    <t xml:space="preserve"> INVITATION TO APPLY FOR ELIGIBILITY AND TO BID THE BIDS AND AWARD COMMITTEE OF THE MUNICIPALITY OF CAIBIRAN, BILIRAN IS INVITING ALL INTERESTED BIDDERS ON ITS FORTHCOMING PUBLIC BIDDING FOR: Project Title	: Acquisition of Air Conditioner Delivery Period	:</t>
  </si>
  <si>
    <t xml:space="preserve"> INVITATION TO BID PROCUREMENT OF VARIOUS GOODS IB NO. 2020-07-08 (06) 1.	The Department of Health Cagayan Valley Center for Health Development, through the GOP-General Appropriations Act 2020 intends to apply the lump sum of One Million One Hundred Twelve</t>
  </si>
  <si>
    <t xml:space="preserve"> Title:Procurement of 13 Pack Absorbent 150g/pack,etc. under P.R.No. 1407-2020-Office of the City Veterinarian Total ABC: Php 221,288.00 (INSTRUCTION AS TO THE REQUIRED FORM: For your price quotation, please use the attached Request for Quotation (RFQ) For</t>
  </si>
  <si>
    <t xml:space="preserve"> Construction of Wet Market Phase 2 of Barangay Rizal, West District, Sorsogon City</t>
  </si>
  <si>
    <t xml:space="preserve"> 2000 pcs Business Plates 1500 pcs/pairs Tricycle Plates</t>
  </si>
  <si>
    <t xml:space="preserve"> Purchase of Office Supplies and Equipment  	The Municipal Government of San Andres, Romblon through MOOE Office Supplies (Regular Budget 2020) intends to apply the sum of Six Hundred Thirty Six Thousand Three Hundred Sixty Pesos(Php636,360.00) only  being</t>
  </si>
  <si>
    <t xml:space="preserve"> REQUEST FOR QUOTATION The Department of Justice (DOJ), through the Bids and Awards Committee (BAC) is inviting interested parties to submit proposal/price quotation for the following project: Name of Project Purchase of two (2) units Television and two (2</t>
  </si>
  <si>
    <t xml:space="preserve"> ARTICLE AND DESCRIPTION							 											 ITEM	QTY.	UNIT						CEILING 			 								PRICE			 											 				Office: Department of Engineering and Public Works				PR No. 637			 				Charge to:  Other Supplies and Materials Expenses				OBR No. 100-2005-04377</t>
  </si>
  <si>
    <t xml:space="preserve"> 1 unit Laptop-  Intel core i7-9750H 100gb HDD 16GB DRR4 MEMORY NVIDIA GE Force GX 1650 4GB DDRS 15.6" FHD IPS 120hz SLIM BEZEL LCD Windows 10 Home SL 55wh,Li-ion Battery</t>
  </si>
  <si>
    <t xml:space="preserve"> ARTICLE AND DESCRIPTION							 											 ITEM	QTY.	UNIT						CEILING 			 								PRICE			 											 				Office: Sta. Ana Hospital				PR No. 605			 				Charge to: Other Supplies and Materials Expenses				OBR No. 100-2005-04291			 				ABC:  Php185,980.0</t>
  </si>
  <si>
    <t xml:space="preserve"> Department of Education Region VI-Western Visayas Cadiz City Alimatoc Elementary School Small Value Procurement for  Improvement of Water Supply of Alimatoc Elementary School 1.	The Alimatoc Elementary School, through the School’s MOOE 2020  intends to ap</t>
  </si>
  <si>
    <t xml:space="preserve"> ITEM DESCRIPTION UNIT QUANTITY 1 SITE PREPARATION &amp; EXCAVATION CU.M 12.00 11 GROUTED RIPRAP, CONCRETE &amp; R.S.B CU.M 7.12 111 FORM SCAFFOLDING  BDFT 151.7 1V TRANSHIPMENT AND MANUAL HAULING LOT 1 TABUK HARDWARE-PROJECT SITE</t>
  </si>
  <si>
    <t xml:space="preserve"> Republic of the Philippines Province of Quezon Municipality of Perez Bids &amp; Awards Committee INVITATION TO BID FOR  Supply &amp; Delivery of Medicines (Second Bidding) 1.	The Municipal Government of Perez, Quezon through its Trust Fund intends to apply the su</t>
  </si>
  <si>
    <t xml:space="preserve"> Republic of the Philippines Province of South Cotabato BIDS AND AWARDS COMMITTEE City of Koronadal  INF-ITB 20-034 INVITATION TO BID  1.	The Provincial Government of South Cotabato, through the PEO-8751 20% LDF (8.6.1) intends to apply the sum of         </t>
  </si>
  <si>
    <t xml:space="preserve"> Republic of the Philippines Province of South Cotabato BIDS AND AWARDS COMMITTEE City of Koronadal  INF-ITB 20-033 INVITATION TO BID  1.	The Provincial Government of South Cotabato, through the PEO-8751 20% LDF (8.6.1) intends to apply the sum of         </t>
  </si>
  <si>
    <t xml:space="preserve"> 1.	30	pcs.	Face Mask  	Re-usable/Re-washable Bacterial filtration efficiency (BFE) Cottony Cloth With tie on or earloop Color: Black 2.	55	boxes	Face Mask 3 ply cotton 			Disposable 50’s 3.	50	pcs.	Normal Saline Solution 0.9% 			NaCl for wound irrigation </t>
  </si>
  <si>
    <t xml:space="preserve"> The TARLAC AGRICULTURAL UNIVERSITY, through its Bids and Awards Committee (BAC), invites all suppliers and dealers to submit sealed quotation for the “PURCHASE AND INSTALLATION OF COMBI BLINDS OF THE MEDICAL AND DENTAL CLINIC". Prospective bidders are req</t>
  </si>
  <si>
    <t xml:space="preserve"> The Zamboanga State College of Marine Sciences and Technology (ZSCMST), through its Bids and Awards Committee, is inviting PhilGeps registered suppliers to apply for eligibility and to submit bids for the items mentioned hereunder: B-033-2020 PROCUREMENT </t>
  </si>
  <si>
    <t xml:space="preserve"> CONSTRUCTION OF DRAINAGE CANAL AT BRGY CATAYAUAN, LAL-LO, CAGAYAN</t>
  </si>
  <si>
    <t xml:space="preserve"> INVITATION TO BID FOR THE RENT OF PRINTER WITH CONTINUOUS INK TO BE USED AT OSPITAL NG MUNTINLUPA  1.	The City Government of Muntinlupa, through its duly-approved Executive Budget for 2020  intends to apply the sum of One Million Five Hundred Thousand Pes</t>
  </si>
  <si>
    <t xml:space="preserve"> please see attachment and download the document</t>
  </si>
  <si>
    <t xml:space="preserve"> Department of Education Region VI-Western Visayas Cadiz City Alimatoc Elementary School Small Value Procurement for the Repair of School Landscaping of Alimatoc Elementary School 1.	The Alimatoc Elementary School, through the School’s MOOE 2020  intends t</t>
  </si>
  <si>
    <t xml:space="preserve"> INVITATION TO BID FOR THE SUPPLY &amp; DELIVERY OF IV FLUIDS IN BAG TO BE USED AT OSPITAL NG MUNTINLUPA  1.	The City Government of Muntinlupa, through its duly-approved Executive Budget for 2020 intends to apply the sum of One Million Eight Hundred Forty Seve</t>
  </si>
  <si>
    <t xml:space="preserve"> Title:Procurement of Vehicle Repair and Maintenance under P.R.Nos. 1416-2020(Office of the City Treasurer),2060-2020(Office of the City Assessor),2026-2020(Office of the City Assessor) and 2125-2020(Office for Senior Citizens Affairs)-1Lot. Total ABC: Php</t>
  </si>
  <si>
    <t xml:space="preserve"> SUPPLY AND DELIVERY OF ADDITIONAL MATERIALS NEEDED FOR THE FABRICATION AND INSTALLATION OF NEW STEEL PIPELINES FOR INTERCONNECTION AND REVISION DUE TO CONSTRUCTION OF NEW MALISBOG BRIDGE IN BRGY. E. LOPEZ, SILAY CITY. 1. BI PIPE, 6`` DIAMETER, ASTM A-53, </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</si>
  <si>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</si>
  <si>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Supply, Delivery and Installation of Seven (7) TV Stand Mount for SEC Head Office</t>
  </si>
  <si>
    <t xml:space="preserve"> Invitation to Bid for Repair &amp; Rehabilitation of Drainage Canal  No. 2020-003 1. The Barangay Mellojavilla, through the Annual Budget 2020(General Fund) Approved by the Sanggunian intends to apply the sum of One Hundred Ninety Six Thousand Pesos  (Php 196</t>
  </si>
  <si>
    <t xml:space="preserve"> Three (3) - drawer filing cabinet		1	pc Aircon split type 2hp		2	unit Money counter		2	unit 			 Desktop Computer		2	unit Model- Hp pavillion 500-334 D (New Model)			 Processor -Intel core i7-4460 (3.2Ghz)			 RAM-8 GB DDR3			 Hard Drive-1TB			 Tower Casing</t>
  </si>
  <si>
    <t xml:space="preserve"> Republic of the Philippines Province of Quezon Municipality of Perez Bids &amp; Awards Committee INVITATION TO BID FOR  Purchase of ICT Equipment  (Desktop, Laptop &amp; Printer) 1.	The Municipal Government of Perez, Quezon through its Local Fund intends to apply</t>
  </si>
  <si>
    <t xml:space="preserve"> Republic of the Philippines Province of Quezon MUNICIPALITY OF PANUKULAN INVITATION TO BID FOR SUPPLY AND DELIVERY OF  TWO (2) UNITS MOTORCYCLE The Local Government Unit of Panukulan through the General Fund   intends to apply the sum of  One Hundred Thir</t>
  </si>
  <si>
    <t xml:space="preserve"> NOTICE OF PROCUREMENT OF GOODS THROUGH ALTERNATIVE METHOD OF PROCUREMENT Notice is given that Duty Free Philippines Corporation (DFPC) with address at  New Fiestamall, Columbia Center, Sucat, Paranaque City will procure through NEGOTIATED PROCUREMENT   th</t>
  </si>
  <si>
    <t xml:space="preserve"> Invitation to Bid 1.	The MUNICIPAL GOVERNMENT OF SAN VICENTE, PALAWAN, through the General Fund for CY 2020 intends to apply the sum of  TWO HUNDRED FIFTY-SEVEN THOUSAND FOUR HUNDRED PESOS (Php 257,400.00) being the Approved Budget for the Contract (ABC) </t>
  </si>
  <si>
    <t xml:space="preserve"> 2nd Posting</t>
  </si>
  <si>
    <t xml:space="preserve"> INVITATION TO BID FOR THE SUPPLY &amp; DELIVERY OF VARIOUS MEDICAL SUPPLIES TO BE USED AT OSPITAL NG MUNTINLUPA 1.	The City Government of Muntinlupa, through its duly-approved Executive Budget for 2020 intends to apply the sum of  Three Million Three Hundred </t>
  </si>
  <si>
    <t xml:space="preserve"> Title:Procurement of 1 Package TV/LED Telecast under P.R.No. 2231-2020-Office of the City Mayor Total ABC: Php 70,000.00 (INSTRUCTION AS TO THE REQUIRED FORM: For your price quotation, please use the attached Request for Quotation (RFQ) Form and send to t</t>
  </si>
  <si>
    <t xml:space="preserve"> Procurement of Electrical Supplies and Materials</t>
  </si>
  <si>
    <t xml:space="preserve"> The Zamboanga State College of Marine Sciences and Technology (ZSCMST), through its Bids and Awards Committee, is inviting PhilGeps registered suppliers to apply for eligibility and to submit bids for the items mentioned hereunder: B-034-2020 PROCUREMENT </t>
  </si>
  <si>
    <t xml:space="preserve"> For the use of the Office of Barangay Hall 1 Unit Computer Set: Specs: Board:AM4 Socket Processor: quad Core Ram: 4 GB Ram DDR4 Storage: 500 GB Case: Computer Case w/ PSU 700W Keyboard &amp; Mouse USB 18.0" Monitor AVR Mouse Pad 1 Unit Printer all in one 2 Un</t>
  </si>
  <si>
    <t xml:space="preserve"> Title:Procurement of 6 Piece Philippine Flag, Nylon Tafetta, Size: 15 x 30 under P.R.No. 2374-2020-City Tourism Office Total ABC: Php 120,000.00 (INSTRUCTION AS TO THE REQUIRED FORM: For your price quotation, please use the attached Request for Quotation </t>
  </si>
  <si>
    <t xml:space="preserve"> Invitation to Bid 1.	The MUNICIPAL GOVERNMENT OF SAN VICENTE, PALAWAN, through the General Fund for CY 2020 intends to apply the sum of  THREE HUNDRED SIXTY-THREE THOUSAND TWO HUNDRED SIXTY-ONE PESOS (Php 363,261.00) being the Approved Budget for the Cont</t>
  </si>
  <si>
    <t xml:space="preserve"> IB NO. 20-37  SUPPLY &amp; DELIVERY OF DRUGS AND MEDICINES 1.	The Department of Health Center for Health Development Bicol (DOH CHD Bicol), through the GOP General Appropriation Act of 2020 intends to apply the sum of Two Million Eight Hundred Fifty-One Thous</t>
  </si>
  <si>
    <t xml:space="preserve"> 200 heads Native Chicken Hen (Ready to Lay) 50 heads Native Chicken Rooster Note: Please attach legal documents and updated PhilGEPS Ceritificate, failure to submit your bid documents will not be considered for the opening by the BAC.</t>
  </si>
  <si>
    <t xml:space="preserve"> 22 	 pcs 	Stainless steel (#304) lavatory faucet 1/2'' dia				  5 	 set 	Stainless steel (#304) lavatory faucet 1/2'' dia gooseneck type				  10 	 pcs 	stainless steel lavatory faucet 1/2'' dia				 	 pcs 	Stainless steel flexible hose 1/2'' dia				  35 	 </t>
  </si>
  <si>
    <t xml:space="preserve"> Republic of the Philippines Province of South Cotabato BIDS AND AWARDS COMMITTEE City of Koronadal  INF-ITB 20-035 INVITATION TO BID  1.	The Provincial Government of South Cotabato, through the PEO-8751 20% LDF (8.6.1) intends to apply the sum of         </t>
  </si>
  <si>
    <t xml:space="preserve"> Republic of the Philippines PROVINCE OF MARINDUQUE Capitol Boac, Marinduque OFFICE OF BIDS AND AWARDS COMMITTEE INVITATION TO BID  Supplying  one (1) unit Brand New Asian/Cross Over Utility Vehicle (AUV/CUV) not exceeding 2500cc engine displacement, diese</t>
  </si>
  <si>
    <t xml:space="preserve"> 2 pcs Tire: 16/70-20</t>
  </si>
  <si>
    <t xml:space="preserve"> ELECTRICAL SUPPLIES</t>
  </si>
  <si>
    <t xml:space="preserve"> 1	Water Pump		1	assy. 2	Cutting edge		1	set 3	End Bit		1	set 4	Plow bolt 5/8" x 2 1/2" NC		30	pcs 5	Battery 12V 21 Plates		2	pcs 6	Tires 17.5 x 25		6	pcs 				 	Note: Item # 1-3 are compatible with 			 	Tiangong Grader PY160M</t>
  </si>
  <si>
    <t xml:space="preserve"> AMOUNT OF MATERIALS FOR THE COMPLETION OF OLD MULTI-PURPOSE HALL AT BARANGAY MINAOG AMOUNTING Php 235,911.00</t>
  </si>
  <si>
    <t xml:space="preserve"> INVITATION TO BID FOR THE SUPPLY &amp; DELIVERY OF SEVOFLURANE (WET FORMULATION) TO BE USED AT OSPITAL NG MUNTINLUPA 1.	The City Government of Muntinlupa, through its duly-approved Executive Budget for 2020 intends to apply the sum of Three Million Five Hundr</t>
  </si>
  <si>
    <t xml:space="preserve"> DRUGS &amp; MEDICINES</t>
  </si>
  <si>
    <t xml:space="preserve"> Invitation to Bid 1.	The MUNICIPAL GOVERNMENT OF SAN VICENTE, PALAWAN, through the General Fund for CY 2020 intends to apply the sum of  FOUR HUNDRED SIXTY-ONE THOUSAND AND SEVENTY-FIVE PESOS (Php 461,075.00) being the Approved Budget for the Contract (AB</t>
  </si>
  <si>
    <t xml:space="preserve"> 1	Air Freshener 250 ml (lavender scent)		2	btls. 2	Alcohol 70% ethyl, 500 ml		10	btls. 3	Furniture polish 330 ml (lemon)		5	btls. 4	Glass Cleaner (200 ml) spray		5	btls. 5	Toliet Bowl cleaner ( 1000ml) lavender scent		30	btls. 6	Toilet bowl brush (plastic</t>
  </si>
  <si>
    <t xml:space="preserve"> Description   Contract ID: 20CRN007 Name of Project: Supply of Materials, Labor and Equipment for the Hermosa River Channels Flood Mitigation Project (Construction of Box Culvert &amp; Slope Protection) Location: Municipality of Hermosa Brief Description: Con</t>
  </si>
  <si>
    <t xml:space="preserve"> Supply and Delivery of Materials for the Completion of MUlti-Purpose Building of BLGU Andap, Laak, Davao De Oro with an ABC of Php. 65,000.00. Note: For further details of the said project, please see/contact Hon. Judith S. Vallente - Punong Barangay of A</t>
  </si>
  <si>
    <t xml:space="preserve"> INVITATION TO BID 20-58  SUPPLY &amp; DELIVERY OF CERVICAL INSPECTION SET 1.	The Department of Health, Center for Health Development Bicol (DOH – CHD Bicol), through the 2020 General Appropriations Act intends to apply the sum of One Million Four Hundred Twen</t>
  </si>
  <si>
    <t xml:space="preserve"> 1.	The Local Government Unit (LGU) of Caluya, Antique through the Municipal Annual Budget 2020 intends to apply the sum of Two Million Pesos (Php2,000,000.00) only being the Approved Budget for the Contract (ABC) to payments under the contract for Procure</t>
  </si>
  <si>
    <t xml:space="preserve"> LOCAL GOVERNMENT OF TITAY				Project Reference Number Province of Zamboanga Sibugay					Name of the Project:     Location of the Project:  Standard Form Number:	 Revised on: July 29, 2004 INVITATION TO BID The Municipality of Titay, Zamboanga Sibugay, thr</t>
  </si>
  <si>
    <t xml:space="preserve"> Republic of the Philippines Province of zamboanga Sibugay Municipality of Olutanga 7014 JUNE 17, 2020 NOTICE TO THE PUBLIC INVITIATION TO APPLY FOR ELIGIBILITY AND TO BID All interested bidders are invited to Pre-qualify and participate in sealed bidding </t>
  </si>
  <si>
    <t xml:space="preserve"> Republic of the Philippines						 Province of Misamis Oriental						 MUNICIPALITY OF VILLANUEVA						 REQUEST FOR QUOTATION						 Quotation No. 2020- ____________						 ________________________						                                                        </t>
  </si>
  <si>
    <t xml:space="preserve"> Republic of the Philippines City of Tacurong BARANGAY KALANDAGAN BIDS AND AWARDS COMMITTEE INVITATION TO BID 	June 17, 2020 	The Barangay Government of Kalandagan through the Bids and Awards Committee (BAC) is inviting suppliers to bid for the supply and </t>
  </si>
  <si>
    <t xml:space="preserve"> solar streetlight</t>
  </si>
  <si>
    <t xml:space="preserve"> Name of Procuring Entity:					 Contract Number: LGU-Q-SDG-N-02-20 LOCAL GOVERNMENT UNIT			                                         Name of the Contract: SUPPLY AND DELIVERY OF CEMENT OF QUEZON, ISABELA  					Location of the Contract: Municipality of Quezo</t>
  </si>
  <si>
    <t xml:space="preserve"> Republic of the Philippines Province of Davao del Sur Municipality of Malalag INVITATION TO BID FOR THE SUPPLY AND DELIVERY OF MATERIALS FOR ROAD CONCRETING, MSSD TO WET PUBLIC MARKET, POBLACION, MALALAG DAVAO DEL SUR 1.	The Local Government of Malalag, t</t>
  </si>
  <si>
    <t xml:space="preserve"> Repair/Maintenance/Replacement/Charging</t>
  </si>
  <si>
    <t xml:space="preserve"> Republic of the Philippines Municipality of Bontoc Mountain Province Bids and Awards Committee INVITATION TO BID FOR PURCHASE OF 1 UNIT MPV(MULTI-PURPOSE VEHICLE) 2.8L G DIESEL AT PB GOODS 2020-04/7050670 1.	The Municipal Government of Bontoc,Mountain Pro</t>
  </si>
  <si>
    <t xml:space="preserve"> Construction Materials for Drainage and Hand washing Facilities. 2ND POSTING</t>
  </si>
  <si>
    <t xml:space="preserve"> Construction of Masonry Drainage, Along Atal Street, Cataggaman Viejo, Tuguegarao City</t>
  </si>
  <si>
    <t xml:space="preserve"> Republic of the Philippines Province of Masbate MUNICIPALITY OF CATAINGAN BARANGAY VILLAPOGADO   			                                                                                              JUNE 18, 2020 INVITATION TO APPLY FOR ELIGIBILITY AND TO BID </t>
  </si>
  <si>
    <t xml:space="preserve"> Title:Procurement of 30 Bottle alcohol-70% Ethyl,500 ML,etc. under P.R.No. 0945-2020-5% City Disaster Risk Reduction and Management Fund Total ABC: Php 295,870.00 (INSTRUCTION AS TO THE REQUIRED FORM: For your price quotation, please use the attached Requ</t>
  </si>
  <si>
    <t xml:space="preserve"> Republic of the Philippines Province of Quezon Municipality of Perez Bids &amp; Awards Committee INVITATION TO BID FOR  Improvement of Public Cemetery, Brgy. Sangirin (Materials) 1.	The Municipal Government of Perez, Quezon through its Local Fund intends to a</t>
  </si>
  <si>
    <t xml:space="preserve"> Ilocos Regional Office (Region 1) _____________________________________________________________________________________________________ Urbiztondo, San Juan, La Union, 2514    Tel. No. (072) 682-9143     Fax No. (072) 242-59     region1@nfa.gov.ph REQUEST</t>
  </si>
  <si>
    <t xml:space="preserve"> Construction of Masonry Drainage Structure, Along Soriano Street, Centro 11, Balzain East, Tuguegarao City</t>
  </si>
  <si>
    <t xml:space="preserve"> INVITATION TO BID NO. 20-16 SUPPLY &amp; DELIVERY OF FOOD SUPPLIES (REBID) 1.	The Department of Health Center for Health Development Bicol (DOH CHD Bicol), through the GOP General Appropriation Act of 2020 intends to apply the sum of One Million Pesos Only (P</t>
  </si>
  <si>
    <t xml:space="preserve"> Purchase and Delivery of Two (2) Units Laptop Computers and other Equipment and Accessories Santa, Ilocos Sur</t>
  </si>
  <si>
    <t xml:space="preserve"> The TARLAC AGRICULTURAL UNIVERSITY, through its Bids and Awards Committee (BAC), invites all suppliers and dealers to submit sealed quotation for the “PURCHASE OF CONSTRUCTION AND ELECTRICAL MATERIALS FOR THE CONSTRUCTION OF KITCHEN AT THE CEC". Prospecti</t>
  </si>
  <si>
    <t xml:space="preserve"> 1.	The Local Government Unit of Siay, through the Budget Approved by the Sanggunian intends to apply the sum of Nine Hundred Seventy Nine Thousand Two Hundred Two Pesos Only ( PhP 979,202.00) being the Approved Budget for the Contract (ABC) to payments un</t>
  </si>
  <si>
    <t xml:space="preserve"> INVITATION TO BID FOR THE  PROCUREMENT OF SUPPLIES AND MATERIALS FOR DAY CARE SERVICE (OTHER SUPPLIES) 2ND QUARTER – CSWDO 1.	The City Government of Bacoor, Cavite, through the General Fund Year 2020 intends to apply the sum of ONE MILLION EIGHT HUNDRED T</t>
  </si>
  <si>
    <t xml:space="preserve"> I	EARTHWORKS		 1a	CLEARING OR GRUBBING &amp; DEMOLITION	1	lot 1b	Excavation (D 1.0 m) (0.8m x 0.8m) x 9 column	1	lot 1c	HAULING (Materials)	1	lot 			 II	CONCRETE / MASONRY WORKS 		 	3/4" Gravel bedding 2" thk	1	m3 	CHB 5"	770	pcs 	Portland cement	135	bags 	Sa</t>
  </si>
  <si>
    <t xml:space="preserve"> Republic of the Philippines PROVINCE OF NORTHERN SAMAR BIDS AND AWARDS COMMITTEE Catarman Invitation to Bid NS-06-17-20-09 Concreting of Salvacion-Balat Balud Farm to Market Road Bobon Northern Samar 1.	The Provincial Government of Northern Samar, through</t>
  </si>
  <si>
    <t xml:space="preserve"> INVITATION TO BID 20-32  SUPPLY &amp; DELIVERY OF ELECTROCAUTERY MACHINE WITH ARGON PLASMA COAGULATOR 1.	The Department of Health, Center for Health Development Bicol (DOH – CHD Bicol), through the 2020 General Appropriations Act intends to apply the sum of T</t>
  </si>
  <si>
    <t xml:space="preserve"> The Department of Budget and Management – Government Procurement Policy Board – Technical Support Office (DBM-GPPB-TSO), through its Bids and Awards Committee, intends to procure Psychological Tests for Recruitment of Personnel in the GPPB-TSO, which will</t>
  </si>
  <si>
    <t xml:space="preserve"> Republic of the Philippines Province of Leyte Municipality of Hilongos INVITATION TO BID FOR THE PROCUREMENT OF WHEEL TYPE BACKHOE (BRAND NEW) 1.  The Local Government Unit of Hilongos, through GENERAL FUND-20% LDF-CONTINUING APPROPRIATION &amp; SUPPLEMENTAL </t>
  </si>
  <si>
    <t xml:space="preserve"> Invitation to Bid 1.	The MUNICIPAL GOVERNMENT OF SAN VICENTE, PALAWAN, through the General Fund for CY 2020 intends to apply the sum of  ONE MILLION TWO HUNDRED TWENTY-SIX THOUSAND NINE HUNDRED THIRTY-FIVE PESOS AND TEN CENTAVOS (Php 1,226,935.10) being t</t>
  </si>
  <si>
    <t xml:space="preserve"> Name of Procuring Entity:		                        		                              Contract Reference No. LGU-Q-CWC-02-20 LOCAL GOVERNMENT UNIT                           		       Name of Contract: Improvement of Barangay Health Station  QUEZON, ISABELA 		</t>
  </si>
  <si>
    <t xml:space="preserve"> Republic of the Philippines PROVINCE OF NUEVA VIZCAYA Invitation to Bid for the  UPGRADING OF JCT. NATIONAL BUA-BULALA-MUTA-MACABENGA ROAD Located at Kasibu, Nueva Vizcaya  1.	The Provincial Government of Nueva Vizcaya, through the 2020 CMGP Program inten</t>
  </si>
  <si>
    <t xml:space="preserve"> Republic of the Philippines Province of Ifugao BIDS AND AWARDS COMMITTEE BAC Office, 2nd Floor COA Office Bldg., Provincial Capitol, Lagawe, Ifugao INVITATION TO BID  PUBLICATION NO. 34-2020-G (NEGOTIATED PROCUREMENT: TWO FAILED BIDDING) 1.	The Provincial</t>
  </si>
  <si>
    <t xml:space="preserve"> Procurement of One Unit Brand New SUV for LGU Operations</t>
  </si>
  <si>
    <t xml:space="preserve"> Republic of the Philippines Province of Ifugao BIDS AND AWARDS COMMITTEE BAC Office, 2nd Floor COA Office Bldg., Provincial Capitol, Lagawe, Ifugao INVITATION TO BID  PUBLICATION NO. 33-2020-G (NEGOTIATED PROCUREMENT: TWO FAILED BIDDING) 1.	The Provincial</t>
  </si>
  <si>
    <t xml:space="preserve"> The Local  Government   Unit  of General  Santos  City, through  the  GENERAL FUND CY 2020  intends  to apply  the sum of seven hundred eighty nine thousand six hundred twenty five and xx / 100 Pesos Only (789,625.00)   being  the Approved  Budget  for th</t>
  </si>
  <si>
    <t xml:space="preserve"> MUNICIPALITY OF DEL GALLEGO PROVINCE OF CAMARINES SUR INVITATION TO BID FOR PURCHASE OF FUELS/FUEL, ADDITIVES, LUBRICANTS AND ANTI CORROSIVE 105.	The Municipality of Del Gallego, Province of Camarines Sur, through the General Fund, Social Services, Annual</t>
  </si>
  <si>
    <t xml:space="preserve"> REPUBLIC OF THE PHILIPPINES 		                PROVINCE OF PALAWAN MUNICIPALITY OF LINAPACAN June 5, 2020 Invitation to Bid (ITB No. 23-20) 1.	The Municipal Government of Linapacan, Palawan through the General Fund intends to apply the sum of Two Hundred T</t>
  </si>
  <si>
    <t xml:space="preserve"> Republic of the Philippines PROVINCE OF MARINDUQUE Capitol Boac, Marinduque OFFICE OF BIDS AND AWARDS COMMITTEE INVITATION TO BID  Supplying  one (1) unit SWAT Patrol Vehicle, AUV or CUV, Manual Transmission, Diesel Fed, Displacement not exceeding 2500cc,</t>
  </si>
  <si>
    <t xml:space="preserve"> Supply and Delivery of Fuel for use uin the Planningn and Design Section's Service Vehicles. Diesel Fuel    10,000.00   liters</t>
  </si>
  <si>
    <t xml:space="preserve"> Republic of the Philippines Province of Lanao del Norte Municipality of Tubod BARANGAY PINPIN BARANGAY PINPIN BIDS AND AWARDS COMMITTEE INVITATION TO BID BARANGAY ROAD REHABILITATION (FARM TO MARKET ROAD)   PUROK 5, 6 &amp; 7 SITIO CAMP 13, BRGY. PINPIN, TUBO</t>
  </si>
  <si>
    <t xml:space="preserve"> Fuels and Lubricants for Road Repair and Maintenance (attached request for quotation)</t>
  </si>
  <si>
    <t xml:space="preserve"> Department of Education Region VI-Western Visayas Division of Cadiz City Alimatoc Elementary School SMALLVALUE PROCUREMENT OF LAWN MOWER FOR 2020 1.	The Alimatoc Elementary School of Cadiz City, through the Schools MOOE Fund CY 2020  intends to apply the </t>
  </si>
  <si>
    <t xml:space="preserve"> Invitation to Bid 1.	The MUNICIPAL GOVERNMENT OF SAN VICENTE, PALAWAN, through the GAD Fund 2019 intends to apply the sum of  TWO HUNDRED NINETY-EIGHT THOUSAND ONE HUNDRED SEVENTY-TWO PESOS (Php 298,172.00) being the Approved Budget for the Contract (ABC)</t>
  </si>
  <si>
    <t xml:space="preserve"> QUANTITY: 30 UNIT : SACK ESTIMATED UNIT COST : PHP1,900.00 ESTIMATED COST: PHP57,000.00</t>
  </si>
  <si>
    <t xml:space="preserve"> 300,000.00 CONSTRUCTION OF HANDWASH AREA AT				 TMC SENIOR HIGH SCHOOL, BRGY. GREGORIO,				 TRECE MARTIRES CITY</t>
  </si>
  <si>
    <t xml:space="preserve"> 1 pc 16CH XBR HD 1080P 7 pcs Big Bullet starlite HD CAM 1080P 4 mp 7 pcs Small bullet IP Cam 5 roll RG6 Cable w/Power 2 roll Cat5e/ Cat6 300 mtrs outdoor 1 pc PTZ 32x Zoom 1080P Cam HD 4MP 2 pcs 4TB hard drive storage 4 sets Ubiquiti main wireless access </t>
  </si>
  <si>
    <t xml:space="preserve"> Republic of the Philippines Province of Leyte Municipality of Hilongos INVITATION TO BID FOR THE PURCHASE OF TOILET BOWLS 1.  The Local Government Unit of Hilongos, through GENERAL FUND-SUPPLEMENTAL BUDGET NO. 2020-05 intends to apply the sum SIX HUNDRED </t>
  </si>
  <si>
    <t xml:space="preserve"> Republic of the Philippines Province of Ilocos Norte MUNICIPALITY OF DINGRAS INVITATION TO BID FOR THE CONSTRUCTION OF PERIMETER FENCE AT MUNICIPAL ENGINEERED SANITARY LANDFILL (PHASE I) 1.	The Local Government Unit of Dingras, through the 20%Municipal De</t>
  </si>
  <si>
    <t xml:space="preserve"> Republic of the Philippines         Province of Leyte     MUNICIPALITY OF ALBUERA       OFFICE OF THE BIDS AND AWARDS COMMITTEE INVITATION TO BID 	The Local Government Unit of Albuera, Leyte through its Bids and Awards Committee invites interested supplie</t>
  </si>
  <si>
    <t xml:space="preserve"> Construction of Barangay Health Building</t>
  </si>
  <si>
    <t xml:space="preserve"> unit		Laptop						1</t>
  </si>
  <si>
    <t xml:space="preserve"> H E A D Q U A R T E R S P H I L I P P I N E   A R M Y OFFICE OF THE PHILIPPINE ARMY BIDS AND AWARDS COMMITTEE 1 Fort Andres Bonifacio, Metro Manila ITB 005-20									17 June 2020 Invitation to Bid The Armed Forces of the Philippines, through the Philippi</t>
  </si>
  <si>
    <t xml:space="preserve"> Republic of the Philippines Province of Davao Oriental City of Mati BIDS &amp; AWARDS COMMITTEE INVITATION TO BID (REBID) LOT Procurement of MEDICAL SUPPLIES for the Use of DOPH Gov. Generoso SOURCE OF FUND: GENERAL FUND [4421-4-200-5-02-03-070] 1.	The Provin</t>
  </si>
  <si>
    <t xml:space="preserve"> 100pieces Brass Water Meter 15mm (1/2") complete with tailpiece Specifications: WM R100 Standard Width: 100mm Height: 108mm Connecting thread: G3/4B Weight with coupling: 1.6kgs.</t>
  </si>
  <si>
    <t xml:space="preserve"> Republic of the Philippines DEPARTMENT OF PUBLIC WORKS AND HIGHWAYS Region VII            South Road Properties (SRP), Cebu City                                        Contract ID	 : 20H00068 Contract Name   : Construction/Rehabilitation/Improvement of Fa</t>
  </si>
  <si>
    <t xml:space="preserve"> 10 units Laptop Inter Core I7-8565U Processor 8GB DDR4-2400 SDRAM Windows 10 3 Cell Battery 14 inch Diagonal FHD IPS Micro-Edge 1TB Multi-touch enabled edged to edge MX250 2GB WIN 10/17 -10510U  Republic of the Philippines Province of Batangas MUNICIPALIT</t>
  </si>
  <si>
    <t xml:space="preserve"> 2nd posting</t>
  </si>
  <si>
    <t xml:space="preserve"> Republic of the Philippines PROVINCE OF NUEVA VIZCAYA Invitation to Bid for the  UPGRADING OF DIFFUDAY-BONIFACIO ROAD Located at Quezon, Nueva Vizcaya  1.	The Provincial Government of Nueva Vizcaya, through the 2020 CMGP Program intends to apply the sum o</t>
  </si>
  <si>
    <t xml:space="preserve"> Retrofitting/Repair of Bridge</t>
  </si>
  <si>
    <t xml:space="preserve"> BID ACTIVITIES: PRE-BID CONFERENCE: JUNE 26, 2020@1:00PM ISSUANCE OF BID DOCUMENTS: JUNE 18, 2020 - JULY 10, 2020 OPENING OF BID DOCUMENTS: JULY 10, 2020@1:00PM A complete set of Bidding Documents may be acquired by interested Bidders on [June 18, 2020 – </t>
  </si>
  <si>
    <t xml:space="preserve"> Republic of the Philippines PROVINCE OF NUEVA VIZCAYA Invitation to Bid for the  UPGRADING OF CVR BATU-MAGAPUY-PAITAN ROAD Located at Bayombong, Nueva Vizcaya  1.	The Provincial Government of Nueva Vizcaya, through the 2020 CMGP Program intends to apply t</t>
  </si>
  <si>
    <t xml:space="preserve"> 1	Eggplant(50gms can, long purple)		33	cans 2	Tomato(50gms, can, athena type)		14	cans 3	String Beans(1kg foil pack, long green pod)		33	kls 4	Ampalaya(50gms can, Sta. Rita)		18	cans 5	Patola(100gms can, long smooth)		50	cans 6	Okra(1kg foil pack, smooth </t>
  </si>
  <si>
    <t xml:space="preserve"> Riprapping of Riverside &amp; Construction of Canal</t>
  </si>
  <si>
    <t xml:space="preserve"> Republic of the Philippines Province of Ilocos Norte MUNICIPALITY OF DINGRAS INVITATION TO BID FOR THE CONSTRUCTION OF PERIMETER FENCE OF SLAUGHTERHOUSE (PHASE I) 1.	The Local Government Unit of Dingras, through the 20%Municipal Development Fund  intends </t>
  </si>
  <si>
    <t xml:space="preserve"> QUANTITY : 2 UNIT: UNIT ESTIMATED UNIT COST : PHP 35,000.00 ESTIMATED COST : PHP 70,000.00 DESCRIPTION  BIOMETRICS (100,000 TRANSACTION/LOG CAPACITY BUILT IN EM CARD READER, WALL/DESK MOUNTABLE COMES WITH ELEGANT ECONOMIC DESIGN, 2.4TFT) COLOR SCREEN,320M</t>
  </si>
  <si>
    <t xml:space="preserve"> Republic of the Philippines PROVINCE OF NUEVA VIZCAYA Invitation to Bid for the  CONCRETING OF JCT. NATIONAL-GALINTUJA-DELACTAN-MAGINO ROAD Located at Alfonso Catañeda, Nueva Vizcaya  1.	The Provincial Government of Nueva Vizcaya, through the 2020 20% Dev</t>
  </si>
  <si>
    <t xml:space="preserve"> Republic of the Philippines Province of Ilocos Norte MUNICIPALITY OF DINGRAS INVITATION TO BID FOR THE IMPROVEMENT/REHABILITATION OF FARM-TO-MARKET ROADS (PACKAGE 4) 1.	The Local Government Unit of Dingras, through the RA 7171 Fund 2019  intends to apply </t>
  </si>
  <si>
    <t xml:space="preserve"> Republic of the Philippines Province of Davao Oriental City of Mati BIDS &amp; AWARDS COMMITTEE INVITATION TO BID (REBID) LOT Procurement of MATERIALS for Use in the Construction of Car Port at Provincial Tourism Office SOURCE OF FUND: PGO [1011-1-07-04-990] </t>
  </si>
  <si>
    <t xml:space="preserve"> Furnishing and delivery of materials only. Schedule of Activities: Issuance of Bid Documents - June 18-July 8, 2020 Submission of Bids - on or before July 8, 2020; 1:00 p.m. Bid Opening - July 8, 2020; 1:00 p.m. Bid Evaluation - July 9, 2020: 10:00 a.m. P</t>
  </si>
  <si>
    <t xml:space="preserve"> Republic of the Philippines Province of Davao Oriental City of Mati BIDS &amp; AWARDS COMMITTEE INVITATION TO BID (REBID) LOT Procurement of MEDICAL FLUIDS for the Use of DOPH MANAY SOURCE OF FUND: GENERAL FUND [4421-2-200-5-02-03-070] 1.	The Provincial Gover</t>
  </si>
  <si>
    <t xml:space="preserve"> 1.	The Department of Public Works and Highway – Zamboanga City District Engineering Office, through the CY: 2020 GOVERNMENT OF THE PHILIPPINES (GOP) intends to apply the sum of Php1,356,540.00 for the above contract, being the Approved Budget for the Cont</t>
  </si>
  <si>
    <t xml:space="preserve"> Republic of the Philippines Province of Ilocos Norte MUNICIPALITY OF DINGRAS INVITATION TO BID FOR THE CONSTRUCTION OF FLOOD CONTROL ALONG POBLACION AREAS (PHASE III) 1.	The Local Government Unit of Dingras, through the MDRRM Fund intends to apply the sum</t>
  </si>
  <si>
    <t xml:space="preserve"> Republic of the Philippines Province of Leyte Municipality of Hilongos INVITATION TO BID FOR THE PROCUREMENT OF MATERIALS FOR THE CONSTRUCTION OF K-9 HOUSE (ADDITIONAL WITH FENCE &amp; LIGHT) 1.  The Local Government Unit of Hilongos, through GENERAL FUND-SUP</t>
  </si>
  <si>
    <t xml:space="preserve"> 1. The Development Bank of the Philippines, through the Corporate Budget approved by the Board for CY 2020 intends to apply the sum of Six Million One Hundred Fifty Thousand Pesos (Php6,150,000.00) being the Approved Budget for the Contract (ABC) inclusiv</t>
  </si>
  <si>
    <t xml:space="preserve"> REPUBLIC OF THE PHILIPPINES 		                PROVINCE OF PALAWAN MUNICIPALITY OF LINAPACAN June 5, 2020 Invitation to Bid (ITB No. 24-20) 1.	The Municipal Government of Linapacan, Palawan through the National Fund (Philhealth) projects intends to apply t</t>
  </si>
  <si>
    <t xml:space="preserve"> Lot I - Fabrication, Hauling, and Installation including Labor Cost for Signage Replacement and Repainting of Stations for AWS and AWLS (Delivery within 60 days) Lot II - Supply and Delivery of Various IT Equipment (Delivery within 30 days) Lot III - Supp</t>
  </si>
  <si>
    <t xml:space="preserve"> Republic of the Philippines Province of Davao Oriental City of Mati BIDS &amp; AWARDS COMMITTEE INVITATION TO BID (REBID) ONE LOT Publication of the Approved Provincial Ordinance (Approved Schedule of Market Values) for Three Consecutive Publications with Aff</t>
  </si>
  <si>
    <t xml:space="preserve"> REPUBLIC OF THE PHILIPPINES 		                PROVINCE OF PALAWAN MUNICIPALITY OF LINAPACAN June 5, 2020 Invitation to Bid (ITB No. 26-20) 1.	The Municipal Government of Linapacan, Palawan through the GENDER AND DEVELOPMENT FUND (GAD 5%) projects intends </t>
  </si>
  <si>
    <t xml:space="preserve"> Republic of the Philippines Province of Ilocos Norte MUNICIPALITY OF DINGRAS INVITATION TO BID FOR THE IMPROVEMENT/REHABILITATION OF FARM-TO-MARKET ROADS (REPAIR OF BRIDGE ABUTMENT/APPROACH)  1.	The Local Government Unit of Dingras, through the RA 7171 Fu</t>
  </si>
  <si>
    <t xml:space="preserve"> Republic of the Philippines PROVINCE OF NUEVA VIZCAYA Invitation to Bid for the  CONCRETING OF BARESBES-BOLIWAO-INATUB ROAD Located at Quezon, Nueva Vizcaya  1.	The Provincial Government of Nueva Vizcaya, through the 2020 20% Development Fund intends to a</t>
  </si>
  <si>
    <t xml:space="preserve"> Qty Description Quantity Unit GI Pipe #3" by 40 5 pcs Coupling #3" 10 pcs Solar Light 100W 10 pcs Thinner Paint Thinner 1 gal Red Led Red Led Paint 1 gal Yellow Enamel Paint 1 gal Brush 3" 3 pcs</t>
  </si>
  <si>
    <t xml:space="preserve"> Excavation of 212 mtrs. Creek and Riprapping of Sidewall (Portion)</t>
  </si>
  <si>
    <t xml:space="preserve"> 1	Upgrading &amp; retraining of electronic-		1	job 	Busines Permit &amp; Licensing system:			 				 	Major Features Upgrade:			 	1. Data Entry and maintence support			 	2.Major Reports generated			 	3. Fix and secure computation of Business Tax			 	4. One window s</t>
  </si>
  <si>
    <t xml:space="preserve"> OTRepublic of the Philippines SILAY CITY GOVERNMENT Zamora Street Silay City, Negros Occidental Telefax No. (034) 495-3746 	Control  Reference Number : GOODS#0120, ITB#0122,  PR#0363: SCG-2020 Name of the Project: Purchase of Construction Materials and Su</t>
  </si>
  <si>
    <t xml:space="preserve"> OTRepublic of the Philippines SILAY CITY GOVERNMENT Zamora Street Silay City, Negros Occidental Telefax No. (034) 495-3746 	Control  Reference Number : GOODS#0119, ITB#0121,  PR#0358: SCG-2020 Name of the Project: Purchase of Construction Materials and Su</t>
  </si>
  <si>
    <t xml:space="preserve"> Qty.	Unit	Description 20 sets Glucose strip(25 strip/bot) 4 sets Hema quick wrigths stain (4x250ml) 12 bots urine strip 10 parameters 100pcs/bot 4 bots WBC Diluting fluid 1000ml/bot 1 box cover slip 100pcs/box 50 tubes Test tube 12x75ml 50 tubes Test tube</t>
  </si>
  <si>
    <t xml:space="preserve"> Republic of the Philippines Cordillera Administrative Region Provincial Local Government Unit of Ifugao BIDS AND AWARDS COMMITTEE 2nd Floor COA Bldg., Capitol Compound Lagawe, Ifugao Email Ad.: bacgoodsifugao13@gmail.com INVITATION TO BID IT EQUIPMENT Pub</t>
  </si>
  <si>
    <t xml:space="preserve"> REPUBLIC OF THE PHILIPPINES 		                PROVINCE OF PALAWAN MUNICIPALITY OF LINAPACAN June 5, 2020 Invitation to Bid (ITB No. 25-20) 1.	The Municipal Government of Linapacan, Palawan through the GENDER AND DEVELOPMENT FUND (GAD 5%) projects intends </t>
  </si>
  <si>
    <t xml:space="preserve"> 1.	The Municipality of Daram, through the 20% DF-2020 intends to apply the sum of Nine Hundred Thousand Pesos Only (P900,000.00) being the Approved Budget for the Contract (ABC) to payments under the contract for Construction of Concrete Footbridge (Conne</t>
  </si>
  <si>
    <t xml:space="preserve"> Procurement for Electrical Supply</t>
  </si>
  <si>
    <t xml:space="preserve"> Republic of the Philippines Province of Ilocos Norte MUNICIPALITY OF DINGRAS INVITATION TO BID FOR THE MAINTENACE/IMPROVEMENT OF MUNICIPAL HALL (UPGRADING OF ELECTRICAL SYSTEM-PHASE II) 1.	The Local Government Unit of Dingras, through the General Fund int</t>
  </si>
  <si>
    <t xml:space="preserve"> The Local  Government   Unit  of General  Santos  City, through  the  GENERAL FUND CY 2020  intends  to apply  the sum of ninety five thousand four hundred fifty eight and xx / 100 Pesos Only (95,458.00)   being  the Approved  Budget  for the Contract   (</t>
  </si>
  <si>
    <t xml:space="preserve"> see attached program of works.</t>
  </si>
  <si>
    <t xml:space="preserve"> 1.	The Municipality of Daram, through the 20% DF-2020 intends to apply the sum of Eight Hundred Thousand Pesos Only (P800,000.00) being the Approved Budget for the Contract (ABC) to payments under the contract for Installation of Water Rain Catchment. Bid</t>
  </si>
  <si>
    <t xml:space="preserve"> 1	TIRE CHANGER		1	unit 	SPECIFICATION:			 				 	Technical Number:			 	Lift height 830-1500mm			 	Exterior size 2400x1920x830mm			 	Weight 740kg.			 	The range of bold plate 14"-56"			 	Hydraulic pressure pump drive 			 	power 1.8 kw			 	Gear motor drivepo</t>
  </si>
  <si>
    <t xml:space="preserve"> 1	Professional Audio Amplified Speaker 			1	set 	USB Port /SD Card 				 	FM/MP3/WMA/bluetooth 				 	MIC INPUT 				 	SENSITIVITY :87DB 				 	FREQUENCY :50-20 KHz				 	SPEAKER UNITS :12:woofer +3"x2				 	Power Supply :AC 222-240,50-60HZ				 	Size:670x430x66</t>
  </si>
  <si>
    <t xml:space="preserve"> The Local  Government   Unit  of General  Santos  City, through  the  GENERAL FUND Y 2020  intends  to apply  the sum of three hundred twenty nine thousand seven hundred ninety and xx / 100 Pesos Only (329,790.00)   being  the Approved  Budget  for the Co</t>
  </si>
  <si>
    <t xml:space="preserve"> Republic of the Philippines PROVINCE OF NUEVA VIZCAYA 2nd Invitation to Bid for the  CONSTRUCTION OF CABINUANGAN BRIDGE Located at Quezon, Nueva Vizcaya  1.	The Provincial Government of Nueva Vizcaya, through the PDRRMO Capital Outlay 2017 intends to appl</t>
  </si>
  <si>
    <t xml:space="preserve"> A. Construction of slope protection and concreting of pavements (Site Development) B. Construction of Gate</t>
  </si>
  <si>
    <t xml:space="preserve"> REPUBLIC OF THE PHILIPPINES 		                PROVINCE OF PALAWAN MUNICIPALITY OF LINAPACAN June 5, 2020 Invitation to Bid (ITB No. 28-20) 1.	The Municipal Government of Linapacan, Palawan through 5% Fund 2020 projects intends to apply the sum Three Hundr</t>
  </si>
  <si>
    <t xml:space="preserve"> The Local  Government   Unit  of General  Santos  City, through  the  GENERAL FUND CY 2020  intends  to apply  the sum of fourteen thousand four hundred and xx / 100 Pesos Only (14,400.00)   being  the Approved  Budget  for the Contract   (ABC) to payment</t>
  </si>
  <si>
    <t xml:space="preserve"> The Local  Government   Unit  of General  Santos  City, through  the  GENERAL FUND CY 2020  intends  to apply  the sum of seventeen thousand four hundred and xx / 100 Pesos Only (17,400.00)   being  the Approved  Budget  for the Contract   (ABC) to paymen</t>
  </si>
  <si>
    <t xml:space="preserve"> INVITATION TO BID SUPPLY, DELIVERY, INSTALLATION, TESTING,  APPLICATIONS TRAINING, AND COMMISSIONING OF  VARIOUS MEDICAL EQUIPMENT (Batch 1) FOR GOV. CELESTINO GALLARES MEMORIAL HOSPITAL  1.	The Gov. Celestino Gallares Memorial Hospital, through Hospital </t>
  </si>
  <si>
    <t xml:space="preserve"> INVITATION TO BID 1)	The DPWH- Davao City District Engineering Office through its Bids and Awards Committee (BAC), invites contractors to submit bids for the following contract; 1. Procurement ID /          Contract ID No.	:	20LB0157     Contract Name	:	C</t>
  </si>
  <si>
    <t xml:space="preserve"> 1,  50 pcs Polo Shirt with design and logo 2.  50 pcs Tactical pants with reflectorized design 3.  150 pcs  Long Sleeve with reflectorized print and logo 4.  55  pcs  Chaleco with reflectorized design and logo xxxxxxxxxxxxxxxxxxxxxxxxxxxxxxxxxxxxxxxxxxxxx</t>
  </si>
  <si>
    <t xml:space="preserve"> 3 units (3 in 1) Printer (Print, Scan &amp; Copy) Specifications: Hi-Speed USB 2.0,  1 Sheet Manual Feed Slot, 2-sided print,  Borderless Printing, *ADF (Automatic Document Feeder): Paper Sizes A4 to Legal &amp; Up to 20 Sheets (80 g/m2 ) Mobile/Wireless Print, &amp;</t>
  </si>
  <si>
    <t xml:space="preserve"> 5 rolls Range Net, 1" mesh size 1 peice Nylon Adaptor 1 piece Brush Cutter with Nylon Adaptor</t>
  </si>
  <si>
    <t xml:space="preserve"> 1.	The Municipality of Daram, through the General Fund intends to apply the sum of Two Hundred Sixty Thousand Pesos Only (P260,000.00) being the Approved Budget for the Contract (ABC) to payments under the contract for Rehabilitation of SB Session Hall. B</t>
  </si>
  <si>
    <t xml:space="preserve"> I. Portland Cement Concrete Pavement    Length             32.5 m.    Width                 4.0 m.    Area                130.0 sq. m.    Thickness             0.2 m.    Volume             26.0  cu. m.</t>
  </si>
  <si>
    <t xml:space="preserve"> Department of Social Welfare and Development Field Office VI M.H. del Pilar St., Iloilo City INVITATION TO BID FOR THE PROCUREMENT OF 60,088 CANS OF CANNED TUNA FLAKES AND 149,770 SACHETS OF POWDERED CEREAL DRINKS AS RAW MATERIALS FOR FAMILY FOOD PACKS PR</t>
  </si>
  <si>
    <t xml:space="preserve"> INVITATION TO BID ON THE SUPPLY, DELIVERY AND INSTALLATION OF                                         1 LOT 645KVA GENERATOR SET OF BUKIDNON STATE UNIVERSITY 1.	The Bukidnon State University through the Bids and Awards Committee &amp; Budget Approved by the B</t>
  </si>
  <si>
    <t xml:space="preserve"> Republic of the Philippines Province of Iloilo Municipality of Lemery Invitation to Bid 1.	The Barangay  Capiǹahan,  Lemery, Iloilo, through  20% Development Fund 2018 &amp; 2020 intends to apply the sum of Four Hundred Seventy Seven Thousand Four Hundred Thi</t>
  </si>
  <si>
    <t xml:space="preserve"> Republic of the Philippines  City of Canlaon Office of the Bids and Awards Committee  INVITATION TO BID FOR the Construction of Water System The Local Government of Canlaon City, through AIP 2020. Intends to apply the sum Seventy Three Thousand Nine Hundr</t>
  </si>
  <si>
    <t xml:space="preserve"> Concreting of 270 cu.m. road pavement</t>
  </si>
  <si>
    <t xml:space="preserve"> Procurement of Vehicle Parts and Accessories Php63,750.00</t>
  </si>
  <si>
    <t xml:space="preserve"> Fabrication and Installation of 88 Units Streetlights in Various Barangays of Dalima, Putol, Bolboc and Talon 1.	Bids received in excess of the ABC shall be automatically rejected at bid opening. 2.	Bidders should have completed a contract similar to the </t>
  </si>
  <si>
    <t xml:space="preserve"> REPUBLIC OF THE PHILIPPINES 		                PROVINCE OF PALAWAN MUNICIPALITY OF LINAPACAN June 5, 2020 Invitation to Bid (ITB No. 27-20) 1.	The Municipal Government of Linapacan, Palawan through 5% Fund 2018 projects intends to apply the sum One Hundred</t>
  </si>
  <si>
    <t xml:space="preserve"> 3 units Ultrasonic Bulk Water Meter (Built-in Battery operated w/ 10 years minimum life) F/F DN 50mm (2") Cast iron epoxy coating body Programmable dual line LCD x-x-x-x nothing follows x-x-x-x-x</t>
  </si>
  <si>
    <t xml:space="preserve"> The Specification is available at Bids and Awards Committee Secretariat MPDC-2nd Floor, Lasam Municipal Town Hall</t>
  </si>
  <si>
    <t xml:space="preserve"> Republic of the Philippines                                                                   PROVINCE OF SAMAR                                                                      INVITATION TO BID                                                         </t>
  </si>
  <si>
    <t xml:space="preserve"> Construction of Concrete Pathway @ Purok 5, Aguada Norte, Magallanes, Sorsogon</t>
  </si>
  <si>
    <t xml:space="preserve"> Republic of the Philippines Province of Davao Oriental City of Mati BIDS &amp; AWARDS COMMITTEE INVITATION TO BID LOT Procurement of MATERIALS for Use in the Construction of Staff House at Tourism Complex, Brgy. Don Martin Marundan, City of Mati, Davao Orient</t>
  </si>
  <si>
    <t xml:space="preserve"> Provision of the supplies: 1. 28 rolls chicken enclosure net (100 mtrs per roll) 2. 35 dozens Electrolytes Suppliers with good standing shall only be entertained and preferably within locality. May you send your quotation to this e-mail address (ati7.phil</t>
  </si>
  <si>
    <t xml:space="preserve"> Republic of the Philippines Province of Leyte Municipality of Hilongos INVITATION TO BID FOR THE PROCUREMENT OF FUEL, OIL AND  LUBRICANTS 1.  The Local Government Unit of Hilongos, through GENERAL FUND-SUPPLEMENTAL BUDGET NO. 2020-05 intends to apply the </t>
  </si>
  <si>
    <t xml:space="preserve"> Republic of the Philippines MUNICIPALITY OF VILLANUEVA Province of Misamis Oriental Bids and Awards Committee INVITATION TO APPLY FOR ELIGIBILITY AND TO BID   The LGU of Villanueva, Misamis Oriental, through its Bids and Awards Committee (BAC), invites al</t>
  </si>
  <si>
    <t xml:space="preserve"> INVITATION TO BID ON THE SUPPLY, DELIVERY AND INSTALLATION OF  1 LOT SKILLS LABORATORY EQUIPMENT FOR NEW NURSING LABORATORY  OF BUKIDNON STATE UNIVERSITY 1.	The Bukidnon State University through the Bids and Awards Committee &amp; Budget Approved by the Board</t>
  </si>
  <si>
    <t xml:space="preserve"> 110 – bags – 40kg. Portland cement 11 – cu.m – crushed sand 12 - ¾” dia. Crushed gravel 112 – lgth - 10mm dia x 6.0m def std bar 16 – kls - #16 tie wire 5 – pcs – 100mm Ø x 0.40m G.I. nipple 5 – pcs – 100mm Ø x 0.20m G.I. nipple 5 –  pcs - 100mm Ø 45° G.I</t>
  </si>
  <si>
    <t xml:space="preserve"> Office table (with 4 drawers)    1 Unit Mahogany Hardwood Lumber Dimension: Length: 60” Width: 35” Height: 30”	 Office table (with 2 drawers)    	10 Units Mahogany Hardwood Lumber Dimension: Length: 48” Width: 24” Height: 30”</t>
  </si>
  <si>
    <t xml:space="preserve"> INVITATION TO BID ON THE SUPPLY, DELIVERY AND INSTALLATION OF  1 LOT HEAVY DUTY VARIABLE PERFECT BINDER WITH BUILT-IN AUTOMATIC/DIGITAL THICKNESS CALIPER AND FULLY AUTOMATIC LAMINATOR OF BUKIDNON STATE UNIVERSITY 1.	The Bukidnon State University through t</t>
  </si>
  <si>
    <t xml:space="preserve"> Item No.	Quantity	Unit of Issue	Item Description 1	9.00	Bags	40 kgs. Portland Cement 2	1.50	Cu.m.	Washed Sand 3	1.00	Cu.m.	Washed Gravel 4	6.00	Pcs.	12mmØ x 6m RSB Std. Def. Bars 5	10.00	Pcs.	10mmø x 6m RSB Std. Def. Bars 6	1.50	Kg.	#16 G.I Tie Wire 7	31.</t>
  </si>
  <si>
    <t xml:space="preserve"> Republic of the Philippines								 Province of Cebu								 Municipality of Alcantara								 								 								 								 Standard Form Number:			SF-INFR-05					 Revised on:								 								 INVITATION TO APPLY FOR ELIGIBILITY AND TO BID								 								 </t>
  </si>
  <si>
    <t xml:space="preserve"> FOR THE REPAIR  REHABILITATION OF 7 UNITS PUMP HOUSES OF WATERWORKS SYSTEM OPERATIONS, OFFICE OF THE ECONOMIC ENTERPRISE.</t>
  </si>
  <si>
    <t xml:space="preserve"> Procurement of Vehicle Parts Php85,714.28</t>
  </si>
  <si>
    <t xml:space="preserve"> INVITATION TO APPLY FOR ELIGIBILITY AND TO BID The MUNICIPALITY OF RONDA, through its Bids &amp; Awards Committee (BAC), Invites Suppliers registered with and classified by the DTI to Bid for the hereunder contract: Name of Contract	: Procurement of Relief/Se</t>
  </si>
  <si>
    <t xml:space="preserve"> The Zamboanga State College of Marine Sciences and Technology (ZSCMST), through its Bids and Awards Committee, is inviting PhilGeps registered suppliers to apply for eligibility and to submit bids for the items mentioned hereunder: B-035-2020 SUPPLY AND D</t>
  </si>
  <si>
    <t xml:space="preserve"> Republic of the Philippines  City of Canlaon Office of the Bids and Awards Committee  INVITATION TO BID FOR the Land Scaping in-front of Multi-purpose Hall The Local Government of Canlaon City, through AIP 2020. Intends to apply the sum One Hundred Thirty</t>
  </si>
  <si>
    <t xml:space="preserve"> The Barangay Alabug, Tuao Cagayan through its MUNICIPAL AID Fund intends to apply the sum of   Php 58,448.00  being the Approved Budget for the Contract (ABC) to payments under the contract for  Procurement of Materials for the Installation of Street Ligh</t>
  </si>
  <si>
    <t xml:space="preserve"> One (1) job Furnishing of Labor and Materials for the Rehabilitation of Solid Waste Management Ecological Center at                      Brgy. Capaliz, Dumangas, Iloilo</t>
  </si>
  <si>
    <t xml:space="preserve"> Republic of the Philippines MUNICIPALITY OF VILLANUEVA Province of Misamis Oriental Bids and Awards Committee INVITATION TO APPLY FOR ELIGIBILITY AND TO BID  The LGU of Villanueva, Misamis Oriental, through its Bids and Awards Committee (BAC), invites all</t>
  </si>
  <si>
    <t xml:space="preserve"> 1.	The Municipal Government of Mogpog, through the 2020 LDRRM Fund intends to apply the sum of FOUR MILLION NINE HUNDRED FIFTY THOUSAND PESOS being the Approved Budget for the Contract (ABC) to payments under the contract for Construction of MDRRM Office.</t>
  </si>
  <si>
    <t xml:space="preserve"> Republic of the Philippines Province of Sorsogon Barangay GIMALOTO West District Sorsogon City BIDS AND AWARDS COMMITTEE June 17, 2020 INVITATION TO BID Construction of Local Roads and Bridge Purok 1, 3, 6 &amp; 7, Brgy. Gimaloto West District, Sorsogon City </t>
  </si>
  <si>
    <t xml:space="preserve"> 8 boxes - Rapid Test Covid-19 (RTC)</t>
  </si>
  <si>
    <t xml:space="preserve"> Health Care Benefits of Commission on Appointments' employees for the year 2020-2021</t>
  </si>
  <si>
    <t xml:space="preserve"> INVITATION TO APPLY FOR ELIGIBILITY AND TO BID The MUNICIPALITY OF RONDA, through its Bids &amp; Awards Committee (BAC), Invites Suppliers registered with and classified by the DTI to Bid for the hereunder contract: Name of Contract	: Purchase/Supply/Delivery</t>
  </si>
  <si>
    <t xml:space="preserve"> Removal and Replacement of Sidewalk &amp; Drainage at Orchid St.</t>
  </si>
  <si>
    <t xml:space="preserve"> Newspaper Publication Services for Republic Acts and Other Presidential Issuances for CY 2020 (Ordering Agreement) – 2nd Newspaper Requirement</t>
  </si>
  <si>
    <t xml:space="preserve"> Construction of 5m x 4m Pumphouse for Tulunan Water District (INCLUDING LABOR AND MATERIALS) amounting to Two hundred eighty five thousand three hundred eighty-eight pesos and 11/100 (Php 285,388.11). Prospective Bidders may submit the following documents</t>
  </si>
  <si>
    <t xml:space="preserve"> The Local  Government   Unit  of General  Santos  City, through  the  GENERAL FUND CY 2020  intends  to apply  the sum of four hundred two thousand five hundred and xx / 100 Pesos Only (402,500.00)   being  the Approved  Budget  for the Contract   (ABC) t</t>
  </si>
  <si>
    <t xml:space="preserve"> CW-Construction of Level 2 Water System &amp; Extension of Lines Php1,159,017.27</t>
  </si>
  <si>
    <t xml:space="preserve"> Construction of 175 cu.m. capacity reservoir with chlorination house and perimeter fence</t>
  </si>
  <si>
    <t xml:space="preserve"> Republic of the Philippines Province of Palawan Municipality of Dumaran BIDS AND AWARDS COMMITTEE dum_bacsecretariat@yahoo.com INVITATION TO BID FOR SUPPLY AND DELIVERY OF SCHOOL AND OFFICE SUPPLIES FOR MODULES 1.	The Municipal Government of Dumaran, Pala</t>
  </si>
  <si>
    <t xml:space="preserve"> NORTHWEST SAMAR STATE UNIVERSITY-MAIN CAMPUS          	             TELEFAX NOS. (055) 2093122 / 2091554			              Project Reference No. 20-06-123 Name of Project: Supply and Delivery of Laptop Computers for Main Campus Location of Project: NwSSU-Ma</t>
  </si>
  <si>
    <t xml:space="preserve"> The  Sangguniang Barangay  M.H DEL PILAR , through its Bids and Awards Committee (BAC), invites suppliers/manufacturers/distributors/contractors to apply for eligibility and to bid for the hereunder project: Name of Project	:  REHABILITATION  OF MULTI – P</t>
  </si>
  <si>
    <t xml:space="preserve"> 1/4” Marine Plywood	6 Pcs 2”x3”x8’ Coco Lumber	40 Pcs 2”x2”x8’ Coco Lumber	70 Pcs #100 nylon	1 Clip 4” CWN	4 Kls 1-1/4” CWN	2 Kls #16 tie wire	9 Kls Portland Cement	335 Bags Fine Sand	13 Cu. M Graded gravel	14 Cu. M 16mm dia x 6m RSB	30 Pcs 12mm dia x 6m </t>
  </si>
  <si>
    <t xml:space="preserve"> INVITATION TO BID The DPWH Bukidnon 1st District Engineering Office, Malaybalay City, through its Bids and Awards Committee (BAC), invites contractors to submit bids for the following Contracts:   Contract ID 	:	20KA0143 Contract Name 	:	Reblocking of Dam</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</si>
  <si>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</si>
  <si>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Republic of the Philippines							 DEPARTMENT OF PUBLIC WORKS AND HIGHWAYS							 PANGASINAN IV							 DISTRICT ENGINEERING OFFICE							 REGIONAL OFFICE I							 Tuliao, Sta. Barbara, Pangasinan							 Name of Procuring Entity: PANGASINAN IV DISTRICT ENG</t>
  </si>
  <si>
    <t xml:space="preserve"> INVITATION TO BID ON THE SUPPLY AND DELIVERY OF  1 LOT CONSOLIDATED ICT PRINTING CONSUMABLES (MAIN CAMPUS)  OF BUKIDNON STATE UNIVERSITY 1.	The Bukidnon State University through the Bids and Awards Committee &amp; Budget Approved by the Board of Regents 2020 </t>
  </si>
  <si>
    <t xml:space="preserve"> The Local Government Unit of Isabel, Leyte through its Bids and Awards Committee (BAC), invites eligible philgeps supplier in the Philippines to supply the hereunder; Name of Project :Procurement of various medicine supplies Location: IEH, Isabel, Leyte B</t>
  </si>
  <si>
    <t xml:space="preserve"> 132 pcs. - Washable Overall Gown  38 boxes - Clean Gloves</t>
  </si>
  <si>
    <t xml:space="preserve"> Republic of the Philippines  City of Canlaon Office of the Bids and Awards Committee  INVITATION TO BID FOR the Procurement of one unit Mini-Ambulance The Local Government of Canlaon City, through Capital Outlay. intends to apply the sum Three Hundred Fif</t>
  </si>
  <si>
    <t xml:space="preserve"> Republic of the Philippines Province of Leyte Municipality of Hilongos INVITATION TO BID FOR THE PROCUREMENT OF FUEL FOR OPERATION AND MAINTENANCE OF FARM TO MARKET ROAD (FMR)-CONCEPCION-BAGUMBAYAN-HAMPANGAN 1.  The Local Government Unit of Hilongos, thro</t>
  </si>
  <si>
    <t xml:space="preserve"> Road Maintenance</t>
  </si>
  <si>
    <t xml:space="preserve"> The specification is available at the Bids and Awards Committee Secretariat MPDC-2nd Floor, Lasam Municipal Town Hall</t>
  </si>
  <si>
    <t xml:space="preserve"> Item No.    : 311 Portland Cement Concrete Pavement Design Mix :  1:2:4 Length       :  75.0 m Width         :   3.0 m Thickness    :   0.15 m Area            :  225.0 sq. m. Volume        :  33.75 cu. m.</t>
  </si>
  <si>
    <t xml:space="preserve"> 100 bd.ft. 30 pcs -2" x 2" x 10' Red Lauan or Equivalent 6 shts 1/4" x 4' x 8' Marine Plywood 14 shts 1/4" x 4' x 8' Parapet Board Fiber Cement 7 kgs Assorted Sizes CW Nail 2 kgs No. 1 Hardi Nail 90 L.M. 0.4mm x 1.09m Foam Green Corrugated 600 pcs Tekscre</t>
  </si>
  <si>
    <t xml:space="preserve"> BIDS AND AWARDS COMMITTEE INVITATION FOR NEGOTIATED PROCUREMENT 	 SUPPLY AND DELIVERY OF LABORATORY SUPPLIES (NEGOTIATED PROCUREMENT: TWO FAILED BIDDINGS) 	 The Schistosomiasis Hospital Palo, Leyte intends to contract the services of a qualified bidder to</t>
  </si>
  <si>
    <t xml:space="preserve"> INVITATION TO BID FOR ENVIRONMENTAL MANAGEMENT BUREAU- REGION VII STANDARD SOURCE EMISSION TESTING EQUIPMENT 1.	The ENVIRONMENTAL MANAGEMENT BUREAU OF THE DEPARTMENT OF ENVIRONMENT AND NATURAL RESOURCES - REGION VII, Banilad Mandaue City , through the Gen</t>
  </si>
  <si>
    <t xml:space="preserve"> 179.50 litrs XLF 61.50 ltrs XLF 128.50 ltrs XLF 66 ltrs XLF 381 ltrs ADO 218 ltrs ADO 357 ltrs ADO 285 ltrs ADO 5 ltrs Trekker 4 ltrs Touring 1 ltrs Oil Filter C-741</t>
  </si>
  <si>
    <t xml:space="preserve"> Request for Quotation for the Procurement of Two (2) Pieces Climate Bulletin Board to serve as Guidance and Source of Climate Information for AMIA Villages of CPAR-CRA project in Daanbantayan, Cebu 1.	The Department of Agriculture-Regional Field Office 7 </t>
  </si>
  <si>
    <t xml:space="preserve"> 1 5 BOT. ALCOHOL - 500ml 2 5 CAN/S DISINFECTANT SPRAY - 170G</t>
  </si>
  <si>
    <t xml:space="preserve"> 420 bags Portland Cement 50 cu.m. Screened Gravel 25 cu.m. Washed Sand 800 pcs. 10mm dia. x 6m. RSB 200 kgs. Tie Wire #16</t>
  </si>
  <si>
    <t xml:space="preserve"> the specification is available at the Bids and Awards Committee Secretariat MPDC-2nd Floor, Lasam, Municipal Town Hall</t>
  </si>
  <si>
    <t xml:space="preserve"> Request for Quotation for the Procurement of 1,000 (kgs.) Peanut Seeds to be used as Inputs for On-Farm Corn-Peanut Rotation Technology Demonstration and Corn+Peanut Intercropping Trial to be established in Daanbantayan, Cebu from Sept. 2020 1.	The Depart</t>
  </si>
  <si>
    <t xml:space="preserve"> supply and delivery of various office supplies and consumables piece	4	Load Card (Talk n Text) piece	16	Marker Permanent (Black) piece	2	Marker Permanent (Blue) piece	2	Marker Permanent (Red) set	2	Marker, Flourescent (assorted/set) gallon	1	Muriatic Acid</t>
  </si>
  <si>
    <t xml:space="preserve"> Description   A. Construction of Spring Box I Excavation Works II Reinforced Concrete Works III Formworks B. Conrete Apron C. Transmission Pipe D. Replacement of Distribution Pipes E. Hauling &amp; Transhipment of Materials</t>
  </si>
  <si>
    <t xml:space="preserve"> Republic of the Philippines Province of Siquijor Municipality of Enrique Villanueva Barangay Pari-an Invitation to Bid for Construction of Barangay Pari-an Multi-Purpose Hall and its Facilities Phase 1 1.	The Local Government Unit of Barangay Pari-an, thr</t>
  </si>
  <si>
    <t xml:space="preserve"> INVITATION TO BID FOR THE  PROCUREMENT OF 13 PCS SWIVEL CHAIR STA. FE, LEYTE (BDG-2020-03) 1.	 The Local Government Unit of Sta. Fe, Leyte, through the GENERAL Fund CY 2020 intends to apply the sum of One Hundred Thirty Thousand Pesos Only (Php130,000.00)</t>
  </si>
  <si>
    <t xml:space="preserve"> Procurement of Materials for Rehabilitation of Spring box and pipelines</t>
  </si>
  <si>
    <t xml:space="preserve"> 1.	The MUNICIPALITY OF GUINAYANGAN, QUEZON, through the  20% MDF Continuing Appropriation 2018 and 20 % MDF 2019 intends to apply the sum of  Four Million Pesos (P 4,000,000.00) being the Approved Budget for the Contract (ABC) to payments under the contra</t>
  </si>
  <si>
    <t xml:space="preserve"> Concreting of Road at Carmen Eco Tourism Park and Spring Resort</t>
  </si>
  <si>
    <t xml:space="preserve"> Furnishing and delivery of materials, labor, tools and equipment and other incidentals only. Schedule of Activities: Issuance of Bid Documents - June 18-July 8, 2020 Pre-Bid Conference - June 25, 2020; 1:00 p.m. Submission of Bids - on or before July 8, 2</t>
  </si>
  <si>
    <t xml:space="preserve"> Road Concreting</t>
  </si>
  <si>
    <t xml:space="preserve"> DESILTING OF VARIOUS CREEKS</t>
  </si>
  <si>
    <t xml:space="preserve"> Republic of the Philippines Province of Palawan Municipality of Dumaran BIDS AND AWARDS COMMITTEE dum_bacsecretariat@yahoo.com REQUEST FOR QUOTATION (SUPPLY AND DELIVERY OF 15 UNITS EXTERNAL HARD DRIVE FOR READING PROGRAM- DUMARAN ISLAND DISTRICT) _______</t>
  </si>
  <si>
    <t xml:space="preserve"> Supply and Delivery of 40 rolls AWG ACSR Duplex Wire #6 (1000m/roll) for Electrification Project Expansion of different Barangays, Brooke’s Point, Palawan</t>
  </si>
  <si>
    <t xml:space="preserve"> the specification is available at the Bids and Awards Committee Secretariat MPDC-2nd Floor, Lasam Municipal Town Hall</t>
  </si>
  <si>
    <t xml:space="preserve"> Republic of the Philippines Province of Palawan Municipality of Dumaran BIDS AND AWARDS COMMITTEE dum_bacsecretariat@yahoo.com INVITATION TO BID FOR SUPPLY AND DELIVERY OF 2 UNITS PHOTOCOPYING MACHINE (RESOGRAPH) 1.	The Municipal Government of Dumaran, Pa</t>
  </si>
  <si>
    <t xml:space="preserve"> Republic of the Philippines Province of Bohol Municipality of Panglao INVITATION TO BID FOR REHABILITATION/IMPROVEMENT OF PIPELINES OF PANGLAO WATERWORKS SYSTEM, PANGLAO, BOHOL 1.	The Municipality of Panglao, Bohol, through the 20% Development Fund 2017 i</t>
  </si>
  <si>
    <t xml:space="preserve"> Specification: Vehicle type: Dump Truck Dump box capacity: 5 cu.m. Engine: Diesel</t>
  </si>
  <si>
    <t xml:space="preserve"> Installation of Solar Panel Street Lights, Along Zone 01, 02 &amp; 03, Centro 12, Balzain West, Tuguegarao City</t>
  </si>
  <si>
    <t xml:space="preserve"> Procurement of Two (2)  Units Brand New  Ambulance to be Utilized as Emergency Vehicle for Probable/Suspect and/or Confirmed COVID - 19 case  and for other Health and/or Emergency Related Activities @ RHU, LGU-Javier, Leyte.	 	 TERMS AND CONDITIONS :  * 1</t>
  </si>
  <si>
    <t xml:space="preserve"> INVITATION TO BID ON THE SUPPLY, DELIVERY AND INSTALLATION OF  1 LOT IPGC SOLAR STREET LIGHT WITH POLE (60WATTS) OF BUKIDNON STATE UNIVERSITY 1.	The Bukidnon State University through the Bids and Awards Committee &amp; Budget Approved by the Board of Regents </t>
  </si>
  <si>
    <t xml:space="preserve"> 50 sacks Rice 50kg.  30 cases corned beef 60 cases sardines 60 case meatloaf 1,680  bags 1/2 kg. brown sugar 1,680 bags 150grms. powdered milk 70 boxes 340ml.  bottled fish sauce @24 70 boxes 350ml. bottled cooking oil @ 24 970 bags 500grms iodized salt</t>
  </si>
  <si>
    <t xml:space="preserve"> Republic of the Philippines PROVINCE OF MARINDUQUE Capitol Boac, Marinduque OFFICE OF BIDS AND AWARDS COMMITTEE INVITATION TO BID  Supplying labor and materials on the installation of Local Area Network (LAN) at Marinduque Provincial Hospital ICT Division</t>
  </si>
  <si>
    <t xml:space="preserve"> Request for Quotation for the Procurement of Animal/Zoological Supplies to be used in support to the Native Swine and Native Chicken production project at DA-SR Caipilan, Siquijor, Siquijor for C.Y. 2020 1.	The Department of Agriculture-Regional Field Off</t>
  </si>
  <si>
    <t xml:space="preserve"> The Local  Government   Unit  of General  Santos  City, through  the  GENERAL FUND CY 2020  intends  to apply  the sum of one hundred fifty six thousand three hundred ten and xx / 100 Pesos Only (156,310.00)   being  the Approved  Budget  for the Contract</t>
  </si>
  <si>
    <t xml:space="preserve"> 42.60 Cu.m. Premix Concrete (including breaking of existing concrete pavement</t>
  </si>
  <si>
    <t xml:space="preserve"> Republic of the Philippines Province of Oriental Mindoro MUNICIPALITY OF VICTORIA INVITATION TO RE-BID Supply and Delivery of Medical Equipment and Facilities for BEmONC in the Municipality of Victoria, Oriental Mindoro 1.The Municipal Government of Victo</t>
  </si>
  <si>
    <t xml:space="preserve"> The Local Government Unit of Isabel, Leyte through its Bids and Awards Committee (BAC), invites eligible philgeps supplier in the Philippines to supply the hereunder; Name of Project :Procurement of various medical and laboratory supplies Location: IEH, I</t>
  </si>
  <si>
    <t xml:space="preserve"> ITEMS: 140      HEADS    BREEDER CHICKEN MALE 1400    HEADS    BREEDER CHICKEN FEMALE</t>
  </si>
  <si>
    <t xml:space="preserve"> Republic  of  the  Philippines  Province  of  Marinduque MUNICIPALITY  OF  GASAN INVITATION TO REBID FOR THE INSTALLATION OF FIBER GLASS WINDOW ON  PUBLIC MARKET TOWER 1.	The Municipality of Gasan, through 20% Development Fund Continuing Appropriation int</t>
  </si>
  <si>
    <t xml:space="preserve"> Republic of the Philippines Province of Southern Leyte MUNICIPALITY OF LIMASAWA -o0o- Bids and Awards Committee Invitation to Bid for the Construction of Drainage Canal with Concrete Cover Barangay Cabulihan, Limasawa Southern Leyte  1.	The Local Governme</t>
  </si>
  <si>
    <t xml:space="preserve"> INVITATION TO BID Supply and Delivery of 2,000 Bottles of Organic Neem Insecticide for Use in the Management of Fall Army Worm under 2020 STO - QRF FAW The Department of Agriculture Regional Field Office No. 5, through the General Appropriation Act for CY</t>
  </si>
  <si>
    <t xml:space="preserve"> Invitation to Bid Republic of the Philippines City of Olongapo -0- BIDS AND AWARDS COMMITTEE BAC Office 3rd Floor  Olongapo City Hall  Web: www.olongapocity.gov.ph INVITATION TO BID FOR  OC-66(GSO-04) 20 GD PROCUREMENT FOR THE SUPPLY AND DELIVERY OF VARIO</t>
  </si>
  <si>
    <t xml:space="preserve"> the specification is available at the Bids and Awards Committee Secretariat MPDC-2nd-Floor, Lasam Municipal Town Hall</t>
  </si>
  <si>
    <t xml:space="preserve"> INFRA 2020-06-042 IMPROVEMENT/ CONSTRUCTION OF DRAINAGE SYSTEM AT BRGY. TULAY, MINGLANILLA, CEBU 1.	The MUNICIPALITY OF MINGLANILLA, through the Local Fund intends to apply the sum of   Three Million  Four  Hundred  Eighty  Nine  Thousand  Eighty Eight Pe</t>
  </si>
  <si>
    <t xml:space="preserve"> G.I. Pipe Threader 2" Rigid</t>
  </si>
  <si>
    <t xml:space="preserve"> Invitation to Bid for the Supply and Delivery of Livelihood Kits for Livelihood Seeding Program – Negosyo Serbisyo sa Barangay (LSP-NSB) Beneficiaries of Department of Trade and Industry in the Province of Isabela The Department of Trade and Industry Regi</t>
  </si>
  <si>
    <t xml:space="preserve"> BIDS AND AWARDS COMMITTEE INVITATION FOR NEGOTIATED PROCUREMENT 	 PROCUREMENT OF POWDERED MILK (NEGOTIATED PROCUREMENT: TWO FAILED BIDDINGS) 	 The Schistosomiasis Hospital Palo, Leyte intends to contract the services of a qualified bidder to undertake the</t>
  </si>
  <si>
    <t xml:space="preserve"> Republic of the Philippines PROVINCE OF MARINDUQUE Capitol Boac, Marinduque OFFICE OF BIDS AND AWARDS COMMITTEE INVITATION TO BID  Supplying various breeder animals to be dispersed to Marginalized farmers, solo parents, unemployed parents, parents with ch</t>
  </si>
  <si>
    <t xml:space="preserve"> ITEM: 2   UNITS    Four Wheeled Tractor                   Minimum Specifications:                   ENGINE:                   Rated Power: 50 – 55 HP                   Engine Speed: 2400 – 2500 rpm                   Type: 4 Stroke, Water Cooled,          </t>
  </si>
  <si>
    <t xml:space="preserve"> We are looking for a supplier for the plumbing materials, for more details and description please see attached request for quotation. Please submit your original quotations on or before  closing date in a sealed envelope, and /or-emailed together with you</t>
  </si>
  <si>
    <t xml:space="preserve"> FMR Sabangan</t>
  </si>
  <si>
    <t xml:space="preserve"> DEADLINE OF SUBMISSION AND OPENING OF BIDS: JULY 7, 2020, 1:00 P.M. AT THE MUNICIPAL BIDS SECRETARIAT OFFICE, IMBATUG, BAUNGON, BUKIDNON.</t>
  </si>
  <si>
    <t xml:space="preserve"> Department of Education Region VI-Western Visayas Division of Cadiz City Severino Escaro Elementary School INVITATION TO BID FOR THE PROVISION OF Instructional Learning Materials and office Supplies for 2020 1.	The Severino Escaro Elementary School (forme</t>
  </si>
  <si>
    <t xml:space="preserve"> Furnishing and delivery of materials, labor, tools and equipment and other incidentals only. Schedule of Activities: Issuance of Bid Documents - June 18-July 8, 2020 Submission of Bids - on or before July 8, 2020; 1:00 p.m. Bid Opening - July 8, 2020; 1:0</t>
  </si>
  <si>
    <t xml:space="preserve"> Purchase of construction materials and supplies for the construction of multi-purpose pavement project.</t>
  </si>
  <si>
    <t xml:space="preserve"> Supply/Delivery of Common Used Office Supplies &amp; equipment Please see attached document</t>
  </si>
  <si>
    <t xml:space="preserve"> I	135.00	CU.M	EXCAVATION WORKS		 II	1.00	LOT	FORM WORKS		 III	120.00	CU.M	EMBANKMENT WORKS		 IV	106.50	CU.M	CONCRETE WORKS W/ RSB</t>
  </si>
  <si>
    <t xml:space="preserve"> REPUBLIC OF THE PHILIPPINES 		                PROVINCE OF PALAWAN MUNICIPALITY OF LINAPACAN June 5, 2020 Invitation to Bid (ITB No. 29-20) 1.	The Municipal Government of Linapacan, Palawan through 5% Fund 2020 projects intends to apply the sum Seventy Fiv</t>
  </si>
  <si>
    <t xml:space="preserve"> Procurement of Construction Materials Php146,900.00</t>
  </si>
  <si>
    <t xml:space="preserve"> INFRA 2020-06-043 IMPROVEMENT  OF BRGY. LINAO COVERED COURT/ MULTI-PURPOSE HALL AT LINAO, MINGLANILLA, CEBU 1.	The MUNICIPALITY OF MINGLANILLA, through the Local Fund intends to apply the sum of   Two  Million  Three  Hundred  Twenty  One  Thousand  Five </t>
  </si>
  <si>
    <t xml:space="preserve"> 1.	The MUNICIPAL GOVERNMENT OF PALIMBANG through an appropriation from LDRRMO Fund (5% OF IRA) FY 2020 invites prospective and interested bidders for the project, to wit: 	 SUPPLY AND DELIVERY OF ONE (1) UNIT MOBILE CLINIC BUS Solicitation Number: PB-2020</t>
  </si>
  <si>
    <t xml:space="preserve"> Purchase of construction materials and supplies for the rehabilitation of multi-purpose building project.</t>
  </si>
  <si>
    <t xml:space="preserve"> DEMOLITION OF EXISTING STRUCTURES, STRUCTURAL EXCAVATION, FORMWORKS &amp; SCAFFOLDINGS, CONCRETE WORKS, MASONRY WORKS, ROOFING WORKS &amp; DOORS AND WINDOWS (GROUND FLOOR)</t>
  </si>
  <si>
    <t xml:space="preserve"> I.  General Program Information: 0 Program Title :	Reproduction of Periodical Test Papers for School Year 2019-2020 and School Year 2020-2021  Program Description:	This reproduction of Periodical Test Papers will address the evaluation of academic perform</t>
  </si>
  <si>
    <t xml:space="preserve"> PROCUREMENT OF CONSULTANCY SERVICES FOR THE IMPLEMENTATION OF PROFICIENCY STAGE OF THE PGS WITHIN THE MARINA ORGANIZATION -pls see Terms of Reference</t>
  </si>
  <si>
    <t xml:space="preserve"> Republic of the Philippines Province of Occidental Mindoro MUNICIPALITY OF PALUAN BARANGAY VIII-MARIKIT Invitation to Bid for Rehabilitation of Day Care Center 1.	The Local Government Unit of Barangay VIII-Marikit, Paluan, Occidental Mindoro intends to ap</t>
  </si>
  <si>
    <t xml:space="preserve"> The  Sangguniang Barangay  ROSARIO , through its Bids and Awards Committee (BAC), invites suppliers/manufacturers/distributors/contractors to apply for eligibility and to bid for the hereunder project: Name of Project	:  CONTINUATION  OF MULTI – PURPOSE H</t>
  </si>
  <si>
    <t xml:space="preserve"> Supply and delivery at Municipal Hall. Schedule of Activities: Issuance of Bid Documents - June 18-July 8, 2020 Pre-Bid Conference - June 25, 2020; 1:00 p.m.  Submission of Bids - on or before July 8, 2020; 1:00 p.m. Bid Opening - July 8, 2020; 1:00 p.m. </t>
  </si>
  <si>
    <t xml:space="preserve"> INVITATION TO BID Supply and Delivery of Chemicals for Use in the Management of Fall Army Worm under 2020 STO - QRF FAW The Department of Agriculture Regional Field Office No. 5, through the General Appropriation Act for CY 2020 – STO - QRF FAW intends to</t>
  </si>
  <si>
    <t xml:space="preserve"> DEADLINE OF SUBMISSION AND OPENING OF BIDS: JULY 7, 2020, 1:00 PM AT THE MUNICIPAL BAC SECRETARIAT OFFICE, IMBATUG, BAUNGON, BUKIDNON.</t>
  </si>
  <si>
    <t xml:space="preserve"> BIDS AND AWARDS COMMITTEE – SECURITY PLANT COMPLEX INVITATION TO BID 1.	The Bangko Sentral ng Pilipinas (BSP), through its Bids and Awards Committee-Security Plant Complex (BAC-SPC), invites Bidders to apply for eligibility and to bid for the hereunder re</t>
  </si>
  <si>
    <t xml:space="preserve"> INFRA 2020-06-046 CONSTRUCTION OF FOOTBRIDGE AT BRGY. TUNGKIL, MINGLANILLA, CEBU 1.	The MUNICIPALITY OF MINGLANILLA, through the Local Fund intends to apply the sum of  One  Million Nine  Hundred Ninety Seven Pesos &amp; 68/100 (Php  1,000,997.68) being the A</t>
  </si>
  <si>
    <t xml:space="preserve"> INVITATION TO APPLY FOR ELIGIBILITY AND TO BID The Barangay Poblacion of Alcoy, Cebu, through its Bids and Awards Committee (BAC), invites suppliers/manufacturers/distributors/contractors to apply for eligibility and to bid for the hereunder projects: 	Pa</t>
  </si>
  <si>
    <t xml:space="preserve"> QTY	UNIT	ITEM DESCRIPTION 		 1	set	AFB Staining Set 1	pc.	Hematocrit Centrifuse 1	set	ABO Blood typing Anti-sera 1	set	Blood Cholesterol Test Kit 1	set	Uric Acid Test Kit 3	bots.	Uric Acid Strips 10	bots.	Glucose Strips (Glucosure) 1	set	Easy Touch Hemogl</t>
  </si>
  <si>
    <t xml:space="preserve"> INVITATION TO BID FOR (GOODS &amp; SERVICES)       20GJC0206 – 1,400 liters Reflectorized Traffic Paint (White) etc. To be used in the                            Repair/Maintenance of Road Safety Facilities Repainting of Guardrails                           P</t>
  </si>
  <si>
    <t xml:space="preserve"> Republic of the Philippines DEPARTMENT OF PUBLIC WORKS AND HIGHWAYS OFFICE OF THE REGIONAL DIRECTOR Regional Office No. IV-A EDSA, Quezon City INVITATION TO BID The Department of Public Works and Highways (DPWH) Regional Office No. IV-A, through its Bids </t>
  </si>
  <si>
    <t xml:space="preserve"> I	Accounting (P 34, 002.00)		 1	Anti-virus software, 3 user package	3	pack 2	Epson 003 Black	3	cart 3	Epson 003 Yellow	2	cart 4	Epson 003 Magenta	2	cart 5	Epson 003 Blue	2	cart 6	Epson Ink T664 Black	9	btl 7	Epson Ink T664 Cyan	3	btl 8	Epson Ink T664 Mage</t>
  </si>
  <si>
    <t xml:space="preserve"> Department of Education Region VI-Western Visayas Division of Cadiz City Alimatoc Elementary School SMALL VALUE PROCUREMENT FOR PRINTING OF TARPAULINS 2020 1.	The Alimatoc Elementary School of Cadiz City, through the Schools MOOE Fund CY 2020  intends to </t>
  </si>
  <si>
    <t xml:space="preserve"> Name of Project: CONSTRUCTION OF MDRRMO BUILDING Location: Municipal Compound, Barangay 8, Mamburao, Occidental Mindoro 1.	CLEARING, REMOVAL OF TREES AND TRUSS DEMOLITION All surface objects and all tress, stumps, roots and other protruding obstructions, </t>
  </si>
  <si>
    <t xml:space="preserve"> 10 sets Flourescent with ballast (40w) 2 pc Thermometer (digital) 1 bag Air connection with adjuster #1 1 bag Air connection with adjuster 2 holes 1 bag Air connection tee without adjuster 1 bag Air connection cross without adjuster 1 bag Air connection t</t>
  </si>
  <si>
    <t xml:space="preserve"> H E A D Q U A R T E R S 6TH INFANTRY (KAMPILAN) DIVISION, PHILIPPPINE ARMY 6ID SPECIAL BIDS AND AWARD COMMITTEE Camp BGen Gonzalo H Siongco, Awang Datu Odin, Sinsuat, Maguindanao Invitation to Bid The Philippines Army through 6ID Special Bids and Awards C</t>
  </si>
  <si>
    <t xml:space="preserve"> Republic of the Philippines Province of Bohol Municipality of Panglao INVITATION TO BID FOR CONSTRUCTION OF CONCRETE PERIMETER FENCE WITH PLASTER BACK TO BACK AT TAWALA ELEMENTARY SCHOOL 1.	The Municipality of Panglao, Bohol, through the SEF - MOOE 2020 i</t>
  </si>
  <si>
    <t xml:space="preserve"> materials for Construction of 9 Units Led Streetlights</t>
  </si>
  <si>
    <t xml:space="preserve"> Supply and Delivery of Responders Kit, 15 sets		 Contains			 Heavy Duty Spine board, with Spider Strap	 (1) Oxygen Tank with Regulator and cannula (1) Heavy Duty First Aid Bag- Back Pack Type (2) Armsling			 (2) Alcohol 150ml			 (2) Cotton 300 grams			 (1</t>
  </si>
  <si>
    <t xml:space="preserve"> INVITATION TO BID FOR (GOODS &amp; SERVICES)       20GJC0210 – 131.60 bags Portland Cement etc. To be used in the Repair/Maint. of Road                           Safety Facilities along National Roads Installation of Guardrail along                           </t>
  </si>
  <si>
    <t xml:space="preserve"> Long Sleeve Uniform (w/Printed DPWH Logo 				215	pc &amp; Name)					 Polo Shirt Uniform (w/ Printed DPWH Logo 				198	pc &amp; Name)					 Reflectorized Traffic Vest				101	pc Safety Shoes				101	pair Raincoat w/ Printed DPWH Logo and Name				101	pc Rubber Boots (</t>
  </si>
  <si>
    <t xml:space="preserve"> INVITATION TO BID ITB No. 2020 - 32 1.	The Dr. Jose Fabella Memorial Hospital, through its Hospital Income intends to apply the amount of Three Million Six Hundred Thirty-Six Thousand Pesos (Php 3,636,000.00) being the Approved Budget for the Contract (AB</t>
  </si>
  <si>
    <t xml:space="preserve"> 200 piece - Data folder, Blue, Width: 75mm Height: 230mm Length: 380mm</t>
  </si>
  <si>
    <t xml:space="preserve"> Assorted const. Supplies</t>
  </si>
  <si>
    <t xml:space="preserve"> Contract ID : 20CSMH01 Contract Name : Contract Location : 1. 2. 3. DISTRICT ENGINEERING OFFICE Region XII Lebak, Sultan Kudarat REQUEST FOR EXPRESSION OF INTEREST (REOI) FOR SUB-SURFACE EXPLORATION (SOIL EXPLORATION) OF BRIDGES ALONG AWANG-UPI-LEBAK-KALA</t>
  </si>
  <si>
    <t xml:space="preserve"> Contract ID : 20CSMH02 Contract Name : Contract Location : 1. 2. 3. DISTRICT ENGINEERING OFFICE Region XII Lebak, Sultan Kudarat REQUEST FOR EXPRESSION OF INTEREST (REOI) FOR SUB-SURFACE EXPLORATION (SOIL EXPLORATION) OF SARMIENTO BR. (B00609MN) ALONG ISU</t>
  </si>
  <si>
    <t xml:space="preserve"> INVITATION TO BID FOR (GOODS &amp; SERVICES)       20GJC0209 – 48 bag Portland Cement etc. To be used in the Repair/Maintenance of Road                             safety Facilities along National Roads Installation of Danger/Warnings/Signs                   </t>
  </si>
  <si>
    <t xml:space="preserve"> pls refer to attached description</t>
  </si>
  <si>
    <t xml:space="preserve"> SUPPLY AND DELIVERY OF CONCRETE RESTORATION MATERIALS IN CONNECTION WITH THE WATERLINE EXTENSION PROJECT FROM NHA YOLANDA RESETTLEMENT SITE NO. 1 TO HDA. DANIEL, BRGY. E. LOPEZ, SILAY CITY 1. SAND, MIXING - 50 cu.m 2. CEMENT, - 185 bags NOTE: Supplier mus</t>
  </si>
  <si>
    <t xml:space="preserve"> INVITATION TO BID FOR (GOODS &amp; SERVICES)       20GJC0207 – 504 bags Thermoplastic Paint (White) etc. To be used in the                            Repair/Maintenance of Road Safety Facilities along National Roads                              (Painting/Repa</t>
  </si>
  <si>
    <t xml:space="preserve"> Republic of the Philippines DEPARTMENT OF PUBLIC WORKS AND HIGHWAYS CAMARINES NORTE  DISTRICT ENGINEERING OFFICE REGIONAL OFFICE V Daet, Camarines Norte INVITATION TO BID 	 The Department of Public Works and Highways, Camarines Norte District Engineering </t>
  </si>
  <si>
    <t xml:space="preserve"> 1.	1 unit 		6’ x 8’ Tarpaulin Printing ( Project Billboard) 2.	2 unit		2’ x 6’ Tarpaulin Printing ( Warning Sign Board) 3.	10 pcs.		2 x 2 x 10  Good Lumber – 33.33 bd.ft. 4.	6 pcs.		2 x 3 x 10 Good Lumber – 30.00 bd.ft 5.	34 pcs.		2 x 2 x 10 Good Lumber (</t>
  </si>
  <si>
    <t xml:space="preserve"> Please quote us your lowest price inclusive of VAT on the items listed below.</t>
  </si>
  <si>
    <t xml:space="preserve"> Republic of the Philippines Province of Ilocos Norte MUNICIPALITY OF ADAMS BIDS AND AWARDS COMMITTEE Cp nos.:09088956069  email address : mannegdege@yahoo.com June 17, 2020 INVITATION TO BID IMPROVEMENT OF RHU BUILDING ( ISOLATION ROOM) 1.	The Municipal G</t>
  </si>
  <si>
    <t xml:space="preserve"> pls refer to attched description</t>
  </si>
  <si>
    <t xml:space="preserve"> ASsorted Const. Supplies</t>
  </si>
  <si>
    <t xml:space="preserve"> Construction/ Rehabilitation of Water Supply/ Septage and Sewerage/ Rain Water Collectors - Rain Water Collectors in Public Facilities 1. Baguio City National High School (Main), Gov. Pack Rd., Baguio city 2. BCNHS – Fort Del Pilar Annex, Fort Del Pilar, </t>
  </si>
  <si>
    <t xml:space="preserve"> Installation of Solar Lighting System Receipt &amp; Opening of Bids . . . . . . . . . June 25, 2020 10:00AM Barangay hall</t>
  </si>
  <si>
    <t xml:space="preserve"> INVITATION TO BID The DPWH Zamboanga del Sur 2nd District Engineering Office, Poblacion, Guipos, Zamboanga del Sur, through its Bids and Awards Committee (BAC), invites contractors to submit bids for the following Contract: Contract ID	:	20JG0085 Contract</t>
  </si>
  <si>
    <t xml:space="preserve"> INVITATION TO BID The DPWH Zamboanga del Sur 2nd District Engineering Office, Poblacion, Guipos, Zamboanga del Sur, through its Bids and Awards Committee (BAC), invites contractors to submit bids for the following Contract: Contract ID	:	20JG0083 Contract</t>
  </si>
  <si>
    <t xml:space="preserve"> municipality of Balete BIDS AND AWARDS COMMITTEE THE MUNICIPALITY OF BALETE THRU BIDS AND AWARDS COMMITTEE INVITES ALL SUPPLIERS/BIDDERS/CONTRACTORS TO APPLY FOR ELIGIBILITY SCREENING AND IF SUBSEQUENTLY FOUND ELIGIBLE FOR THE SAID PROCUREMENT FOR THE IMP</t>
  </si>
  <si>
    <t xml:space="preserve"> INVITATION TO BID The DPWH Davao Occidental District Engineering Office, Buhangin, Malita, Davao Occidental, through its Bids and Awards Committee (BAC), invites contractors to submit bids for the following Contract: Procurement ID / Contract ID	:	20LE012</t>
  </si>
  <si>
    <t xml:space="preserve"> Department of Education Region VI-Western Visayas Division of Cadiz City Alimatoc Elementary School INVITATION TO BID FOR THE PROVISION OF OFFICE SUPPLIES AND FORMS 2020 1.	The Alimatoc Elementary School of Cadiz City, through the Schools MOOE Fund CY 202</t>
  </si>
  <si>
    <t xml:space="preserve"> INVITATION TO BID The DPWH Zamboanga del Sur 2nd District Engineering Office, Poblacion, Guipos, Zamboanga del Sur, through its Bids and Awards Committee (BAC), invites contractors to submit bids for the following Contract: Contract ID	:	20JG0080 Contract</t>
  </si>
  <si>
    <t xml:space="preserve"> 10714.28571</t>
  </si>
  <si>
    <t xml:space="preserve"> INVITATION TO BID The DPWH Zamboanga del Sur 2nd District Engineering Office, Poblacion, Guipos, Zamboanga del Sur, through its Bids and Awards Committee (BAC), invites contractors to submit bids for the following Contract: Contract ID	:	20JG0078 Contract</t>
  </si>
  <si>
    <t xml:space="preserve"> INVITATION TO BID The DPWH Zamboanga del Sur 2nd District Engineering Office, Poblacion, Guipos, Zamboanga del Sur, through its Bids and Awards Committee (BAC), invites contractors to submit bids for the following Contract: Contract ID	:	20JG0081 Contract</t>
  </si>
  <si>
    <t xml:space="preserve"> INVITATION TO BID The DPWH Zamboanga del Sur 2nd District Engineering Office, Poblacion, Guipos, Zamboanga del Sur, through its Bids and Awards Committee (BAC), invites contractors to submit bids for the following Contract: Contract ID	:	20JG0079 Contract</t>
  </si>
  <si>
    <t xml:space="preserve"> Delivery and Supply of Abaca Stripping Machine Specification Engine:	                      8-12 HP (Diesel/Gasoline Engine) Model:	                      MMAS Type:	                      Portable, Two Pedals, Spindle Type Output Capacity:	      1.00 - 2.00</t>
  </si>
  <si>
    <t xml:space="preserve"> I. GENERAL REQUIREMENTS II. SITE WORKS III. ADMINISTRATIVE BUILDING VI. DORMITORY BUILDING 1 V. DORMITORY BUILDING 2 VI. PERIMETER FENCE VII. MULTI-PURPOSE PAVEMENT</t>
  </si>
  <si>
    <t xml:space="preserve"> INVITATION TO BID The DPWH Zamboanga del Sur 2nd District Engineering Office, Poblacion, Guipos, Zamboanga del Sur, through its Bids and Awards Committee (BAC), invites contractors to submit bids for the following Contract: Contract ID	:	20JG0076 Contract</t>
  </si>
  <si>
    <t xml:space="preserve"> I. GENERAL REQUIREMENTS II. HEALTH AND SAFETY REQUIREMENTS III. FURNISH AND INSTALLATION OF BILLBOARDS IV. SITE WORKS V. DEMOLITION OF MARKET OFFICE AND OTHERS VI. CONCRETE PEDESTAL PLANT BOX AND STREET LIGHTS VII. IMPROVEMENT OF PUBLIC MARKET PHASE A VII</t>
  </si>
  <si>
    <t xml:space="preserve"> SCOPE OF WORKS: B.3	         Project Billboard &amp; Sign Board	2.00	each B.7	         Occupational Safety and Health Program	4.00	months	 801(1)	Removal of Structure &amp; Obstruction	1.00	l.s 803(1)a	Structure Excavation, Common Soil	30.00	cu.m. 804(1)b	Embankm</t>
  </si>
  <si>
    <t xml:space="preserve"> INVITATION TO BID FOR THE SUPPLY AND INSTALLATION OF SOUND SYSTEM 1.	The Barangay Poblacion, City Muntinlupa, through its  approved Budget for 2020, intends to apply the sum of Two Hundred Thousand Pesos (P200.000.00) being the Approved Budget for the Con</t>
  </si>
  <si>
    <t xml:space="preserve"> INVITATION TO BID The DPWH Zamboanga del Sur 2nd District Engineering Office, Poblacion, Guipos, Zamboanga del Sur, through its Bids and Awards Committee (BAC), invites contractors to submit bids for the following Contract: Contract ID	:	20JG0082 Contract</t>
  </si>
  <si>
    <t xml:space="preserve"> Invitation to Bid for: REPAIR /REHABILITATION OF DAMAGED DRAINAGE FACILITY AT BRGY. CENTRAL, GAMAY, NORTHERN SAMAR The LGU Gamay, Northern Samar, through the 70% Disaster Fund 2020 intends to apply the sum of P 1,499,553.57 being the Approved Budget for t</t>
  </si>
  <si>
    <t xml:space="preserve"> I. MATERIALS: 21 PCS. SOLAR POWERED LIGHTING FIXTURE WITH 10 WATTS LED LAMP 11 PCS. G.I. PIPE 2" 6 PCS. G.I. PIPE 1 1/2" 10 PCS. RSB mmØ x 6m 4 KGS. G.I. TIE WIRE #16 5 KGS. WELDING ROD 2 CU.M. WHITE SAND 1.5 CU.M. GRAVEL 14 BAGS PORTLAND CEMENT 16 PCS. C</t>
  </si>
  <si>
    <t xml:space="preserve"> Department of Education Region VI-Western Visayas Division of Cadiz City Alimatoc Elementary School SMALL VALUE PROCUREMENT FOR THE PROVISION OF SCHOOL FORMS 2020 1.	The Alimatoc Elementary School of Cadiz City, through the Schools MOOE Fund CY 2020  inte</t>
  </si>
  <si>
    <t xml:space="preserve"> I.CONCRETE WORKS II.MASONRY WORKS III.CARTPENTRY WORKS IV.ROOFING WORKS</t>
  </si>
  <si>
    <t xml:space="preserve"> Invitation to Bid for: CONSTRUCTION OF MULTI-PURPOSE BUILDING FOR SOLID WASTE MANAGEMENT EQUIPMENT AND MOTOR VEHICLES AT BRGY. BURABOD, GAMAY, NORTHERN SAMAR The LGU Gamay, Northern Samar, through the DILG – GRANT Performance Challenge Fund 2019 intends t</t>
  </si>
  <si>
    <t xml:space="preserve"> To wit are the items to bid: 1 unit Heavy Duty Laser Document Scanner with Heavy Duty Paper Shredder with the following specifications: Scanner:  o	Multi-functionality -  scanner/copier/ Printer o	Scan and Archive Documents -	Scan black/white and coloured</t>
  </si>
  <si>
    <t xml:space="preserve"> CONSTRUCTION OF PATHWALK  AT RC-8 NEAR DIQUIROS RES., BARANGAY CITRUS</t>
  </si>
  <si>
    <t xml:space="preserve"> CONCRETING OF PATHWALK AT CC-5 NEAR CION RES., BARANGAY CITRUS</t>
  </si>
  <si>
    <t xml:space="preserve"> SCOPE OF WORKS: I	Installation of Signage	5.00	pcs. II	Site Preparation	2,550.00	sq.m. III	Back filling Works	2,100.00	cu.m. IV	Concrete Works	214.30	cu.m.</t>
  </si>
  <si>
    <t xml:space="preserve"> Republic of the Philippines Province of Eastern Samar Municipality of Maydolong INVITATION TO BID FOR  Procurement of Supplies and Materials for the Conduct of Vegetable Demo Farm 1.	The Municipal Government of Maydolong, Eastern Samar, through the 2020 M</t>
  </si>
  <si>
    <t xml:space="preserve"> REHABILITATION OF PATHWALK AT YC-2 NEAR CECILLE RES., BARANGAY CITRUS</t>
  </si>
  <si>
    <t xml:space="preserve"> CONSTRUCTION OF PATHWALK AT RC-7 NEAR P. CATARUNGAN, BARANGAY CITRUS</t>
  </si>
  <si>
    <t xml:space="preserve"> SCOPE OF WORKS: I	General Requirements	1.00	lot II	Earth Works	561.87	cu.m. III	Concrete Works	50.06	cu.m. IV	Masonry Works	662.57	sq.m. V	Steel Works	1.00	lot VI	Tinning Works	337.50	sq.m. VII	Plumbing Works	1.00	lot VIII	Doors and Windows	1.00	lot IX	Ti</t>
  </si>
  <si>
    <t xml:space="preserve"> RIPRAPPING OF CREEKBANK AT RC-2 NEAR ROGELIO RES., BARANGAY CITRUS</t>
  </si>
  <si>
    <t xml:space="preserve"> To wit are the items to bid: 1 Unit Desktop PC with the following specifications: •	CPU 3 GHz intel Core i7 9th GEN •	23” LED Display •	MBoard Gigabyte GA-H310M-H LGA 1151 •	RAM 16GB DDR5 •	Storage 1TB HDD SATA + 256GB SSD •	USB Keyboard and Mouse 12 unit</t>
  </si>
  <si>
    <t xml:space="preserve"> CONSTRUCTION OF PATHWALK WITH DRAINAGE AT RC-11, BARANGAY CITRUS</t>
  </si>
  <si>
    <t xml:space="preserve"> SCOPE OF WORKS: B.3	Project Billboard &amp; Signboard	2.00	each B.7	Occupational Safety and Health Program	8.00	months		 801(1)	Removal of Structures &amp; Obstruction	1.00	l.s		 803(1)a	Structure Excavation, Common Soil	70.00	cu.m. 804(1)b	Embankment from Borrow</t>
  </si>
  <si>
    <t xml:space="preserve"> SCOPE OF WORKS: I	General Requirements	1.00	lot II	Lay Out Works	1.00	cu.m. III	Earth Works	264.24	cu.m. IV	Concrete Works	74.95	sq.m. V	Masonry Works	74.80	lot VI	Steel Works	1.00	sq.m. VII	Tinning Works	597.25	lot VIII	Painting Works	127.40	sq.m.</t>
  </si>
  <si>
    <t xml:space="preserve"> CONSTRUCTION OF PATHWALK WITH DRAINAGE AT UC-1, BARANGAY CITRUS</t>
  </si>
  <si>
    <t xml:space="preserve"> IMPROVEMENT OF MULTI-PURPOSE BUILDING AT UC-3, BARANGAY CITRUS</t>
  </si>
  <si>
    <t xml:space="preserve"> barangay malangcao basud would like to do maintance of their street lights from purok1 to purok 6</t>
  </si>
  <si>
    <t xml:space="preserve"> Republic of the Philippines DEPARTMENT OF PUBLIC WORKS AND HIGHWAYS BATANGAS II  DISTRICT ENGINEERING OFFICE REGIONAL OFFICE IV-A Kumintang Ilaya, Batangas City INVITATION TO BID For Construction of Evacuation Center in Bolbok, Batangas City, Batangas 1.	</t>
  </si>
  <si>
    <t xml:space="preserve"> COMMUTER DELUXE 2.8 L, DIESEL EMPTY WITH COMPLETE ACCESSORIES</t>
  </si>
  <si>
    <t xml:space="preserve"> Republic of the Philippines Province of Eastern Samar Municipality of Maydolong INVITATION TO BID FOR  Procurement of MDRRM Protective Equipment 1.	The Municipal Government of Maydolong, Eastern Samar, through the 2020 LDRRM Pre-Disaster Preparedness Fund</t>
  </si>
  <si>
    <t xml:space="preserve"> CONSTRUCTION OF PATHWALK WITH DRAINAGE AT UC-3 NEAR BEN ABANAG, BARANGAY CITRUS</t>
  </si>
  <si>
    <t xml:space="preserve"> CONSTRUCTION OF OPEN CANAL AT ABU-ABU, BARANGAY CITRUS</t>
  </si>
  <si>
    <t xml:space="preserve"> INVITATION TO BID The DPWH Zamboanga del Sur 2nd District Engineering Office, Poblacion, Guipos, Zamboanga del Sur, through its Bids and Awards Committee (BAC), invites contractors to submit bids for the following Contract: Contract ID	:	20JG0084 Contract</t>
  </si>
  <si>
    <t xml:space="preserve"> PROJECT TITLE:	BREATH ALCOHOL ANALYZER 		  					        INSTRUCTIONS:	__√_	ADDITIONAL INSTRUCTIONS ATTACHED 		____	NO ADDITIONAL INSTRUCTIONS 1.	Fax / Email / Submit your quote or regret (with reasons thereof) using the PNOC issued BID FORM; 2.	Fax / Emai</t>
  </si>
  <si>
    <t xml:space="preserve"> INVITATION TO BID FOR THE PROCUREMENT OF SUPPLY &amp; DELIVERY OF PHEROMONE LURE      1.	The Department of Agriculture Regional Field Office 6 through the General Appropriations Act (GAA) of 2020 intends to apply the sum of Three Million Five Hundred Fifteen </t>
  </si>
  <si>
    <t xml:space="preserve"> Contract Period: One (1) year subscription period shall commence on the date stipulated in the Notice to Proceed to be issued by the BSP Institute. Bidders should have completed from Y2015 to present a contract similar to the requirement.  The Eligibility</t>
  </si>
  <si>
    <t xml:space="preserve"> Republic of the Philippines PROVINCE OF SAMAR Municipality of Pinabacdao Barangay Bangon Invitation to Bid  Construction of Landmark Brgy. Bangon, Pinabacdao, Samar 1.	The BARANGAY LOCAL GOVERNMENT UNIT of Bangon, Pinabacdao, Samar, through the 2020 20% B</t>
  </si>
  <si>
    <t xml:space="preserve"> CONSTRUCTION OF PATHWALK AT RC-10 NEAR JUWASAN RES., BARANGAY CITRUS</t>
  </si>
  <si>
    <t xml:space="preserve"> Republic of the Philippines PROVINCE OF SAMAR Municipality of Pinabacdao Barangay Bangon Invitation to Bid  Installation of 7-units Purok Signages Brgy. Bangon, Pinabacdao, Samar 1.	The BARANGAY LOCAL GOVERNMENT UNIT of Bangon, Pinabacdao, Samar, through </t>
  </si>
  <si>
    <t xml:space="preserve"> Republic of the Philippines PROVINCE OF NUEVA ECIJA City of Palayan INVITATION TO BID FOR  SUPPLY AND DELIVERY OF MEALS AND SNACKS FOR THE USE OF GOVERNOR’S OFFICE (RE-BID) June 18, 2020 1.	The Provincial Government of Nueva Ecija (PGNE), through the Gene</t>
  </si>
  <si>
    <t xml:space="preserve"> CONSTRUCTION OF FOOTBRIDGE AT RC-11 NEAR BULAWAN RES., BARANGAY CITRUS</t>
  </si>
  <si>
    <t xml:space="preserve"> Delivery and Supply of Looms Specification: Dimension (LxWxH):	58x39x54 cm Accessories:	        with Sab-ongan/Warping Board, Kalinyasan/Spooling Wheel</t>
  </si>
  <si>
    <t xml:space="preserve"> To wit are the items to bid: 30 pairs Raincoat with Pants 200 pieces Face Mask, cotton fabric 200 pieces Utility gloves, durable 30 pairs Rubber Boots, assorted sizes, durable light weight 30 pieces Jacket with Hood 10 kilos Chlorine Powder 10 kilos Deter</t>
  </si>
  <si>
    <t xml:space="preserve"> INVITATION TO BID (for the Procurement of Goods)           1.	The City Government of Puerto Princesa (CGPP), through its GGeneral Appropriations Ordinance No. 1-2018 (General Fund FY 2019)intends to apply the sum, corresponds as the Approved Budget for th</t>
  </si>
  <si>
    <t xml:space="preserve"> 10 pc Filter bag (0.5x9") 5microns 4 yards Plankton net (45microns) 4 yards Plankton net (65microns) 100 pc Lead sinker 10 kg Japonicus 1 unit Shallow well (with complete materials)</t>
  </si>
  <si>
    <t xml:space="preserve"> INVITATION TO BID  CONSTRUCTION OF SAN PEDRO  EVACUATION CENTER LGU-GIGMOTO, CATANDUANES 		 March 3, 2020 1.	The Municipal Government of Gigmoto, through CY 2020 20% EDF intends to apply the sum of Nine Hundred Ninety Four Thousand Six Hundred Ninety Six </t>
  </si>
  <si>
    <t xml:space="preserve"> CONSTRUCTION OF STAIR PATHWALK AT UC-2, BARANGAY CITRUS</t>
  </si>
  <si>
    <t xml:space="preserve"> Republic of the Philippines Province of La Union Municipality of Sudipen BIDS AND AWARDS COMMITTEE Invitation to Bid for  REHABILITATION OF FARM TO MARKET ROAD (NAMALTUGAN – UP-UPLAS ROAD) LOCATED AT BARANGAY UP-UPLAS, SUDIPEN, LA UNION 1. The MUNICIPALIT</t>
  </si>
  <si>
    <t xml:space="preserve"> Republic of the Philippines Province of La Union Municipality of Sudipen BIDS AND AWARDS COMMITTEE Invitation to Bid for  REHABILITATION OF FARM TO MARKET ROAD (SITIO BITTAO) LOCATED AT BARANGAY DUPLAS, SUDIPEN, LA UNION 1. The MUNICIPALITY OF SUDIPEN, LA</t>
  </si>
  <si>
    <t xml:space="preserve"> INVITATION TO BID (for the Procurement of Goods)           1.	The City Government of Puerto Princesa (CGPP), through its General Appropriations Ordinance No. 1-2017 (General Fund FY 2018) intends to apply the sum, corresponds as the Approved Budget for th</t>
  </si>
  <si>
    <t xml:space="preserve"> INVITATION TO BID (for the Procurement of Goods)           1.	The City Government of Puerto Princesa (CGPP), through its GGeneral Appropriations Ordinance No. 1-2018 (General Fund FY 2019) intends to apply the sum, corresponds as the Approved Budget for t</t>
  </si>
  <si>
    <t xml:space="preserve"> Department of Education Region VI-Western Visayas Cadiz City Alimatoc Elementary School Small Value Procurement for the Improvement of Covered Foot Walk 1.	The Alimatoc Elementary School, through the School’s MOOE 2020  intends to apply the sum of Twenty </t>
  </si>
  <si>
    <t xml:space="preserve"> DEPARTMENT OF ENVIRONMENT AND NATURAL RESOURCES													 													 CONTRACT REFERENCE NUMBER:  2020-011													 NAME OF THE CONTRACT:  Procurement of ICT Equipment (Desktop Computers and Laptops)													 													 LOCATION OF THE CON</t>
  </si>
  <si>
    <t xml:space="preserve"> Description   Department of Education Region VI-Western Visayas Cadiz City Alimatoc Elementary School Invitation to Bid for the Repair of School Stage of Alimatoc Elementary School 1. The Alimatoc Elementary School, through the School’s MOOE 2020 intends </t>
  </si>
  <si>
    <t xml:space="preserve"> NOTICE TO PROSPECTIVE BIDDERS Procurement of Data Center and Network  Security Licenses Subscription RESUMPTION OF BIDDING ACTIVITIES DURING THE GENERAL COMMUNITY QUARANTINE  On 27 February 2020 and 09 March 2020, the Bases Conversion and Development Auth</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</si>
  <si>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</si>
  <si>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Procurement of educational/office supplies</t>
  </si>
  <si>
    <t xml:space="preserve"> PROJECT TITLE:	CALIBRATION OF VARIOUS METERS	  					        INSTRUCTIONS:	__√_	ADDITIONAL INSTRUCTIONS ATTACHED 			___	NO ADDITIONAL INSTRUCTIONS 1.	Fax / Email / Submit your quote or regret (with reasons thereof) using the PNOC issued BID FORM; 2.	Fax / </t>
  </si>
  <si>
    <t xml:space="preserve"> Republic of the Philippines Province of La Union Municipality of Sudipen BIDS AND AWARDS COMMITTEE Invitation to Bid for  CONCRETE PAVING OF FARM TO MARKET ROAD (SITIO GUDEL) LOCATED AT BARANGAY NAMALTUGAN, SUDIPEN, LA UNION 1. The MUNICIPALITY OF SUDIPEN</t>
  </si>
  <si>
    <t xml:space="preserve"> CONSTRUCTION OF STAIR PATHWALK AT UC-4B NEAR MIRANDA RES., BARANGAY CITRUS</t>
  </si>
  <si>
    <t xml:space="preserve"> Department of Education Region VI-Western Visayas Division of Cadiz City Alimatoc Elementary School SMALL VALUE  FOR PROCUREMENT OF PRINTER FOR 2020 1.	The Alimatoc Elementary School of Cadiz City, through the Schools MOOE Fund CY 2020  intends to apply t</t>
  </si>
  <si>
    <t xml:space="preserve"> FABRICATION AND INSTALLTION OF STREETLIGHTS (10-UNITS) AT BARANGAY WIDE FROM CC-5 TO G-4, BARANGAY CITRUS</t>
  </si>
  <si>
    <t xml:space="preserve"> SCOPE OF WORKS: B.5	Project Billboard &amp; Signboard	2.00	each B.7	Occupational Safety &amp; Health Program	3.00	months		 103(1)a	Structure Excavation	165.00	cu.m. 104	Embankment 	72.00	cu.m.	 903(1)	Formworks &amp; False Works	260.76	sq.m. 404(1)a	Reinforcing Steel</t>
  </si>
  <si>
    <t xml:space="preserve"> The Barangay Government of Barangay Tinga labac , Batangas City intends to apply the sum of Two Hundred Thousand  Pesos  (P 200,000.00) broken down as follow: ITEM Brief Description SUB-ABC Lot 1 Installation of Solar Lightings         Bids received in ex</t>
  </si>
  <si>
    <t xml:space="preserve"> INVITATION TO BID The DPWH Zamboanga del Sur 2nd District Engineering Office, Poblacion, Guipos, Zamboanga del Sur, through its Bids and Awards Committee (BAC), invites contractors to submit bids for the following Contract: Contract ID	:	20JG0075 Contract</t>
  </si>
  <si>
    <t xml:space="preserve"> INVITATION TO REBID FOR THE PROCUREMENT OF SUPPLY &amp; DELIVERY OF ORGANIC AND INORGANIC INSECTICIDE (BY LOT)     1.	The Department of Agriculture Regional Field Office 6 through the General Appropriations Act (GAA) of 2020 intends to apply the sum of Five M</t>
  </si>
  <si>
    <t xml:space="preserve"> INVITATION TO BID The DPWH Zamboanga del Sur 2nd District Engineering Office, Poblacion, Guipos, Zamboanga del Sur, through its Bids and Awards Committee (BAC), invites contractors to submit bids for the following Contract: Contract ID	:	20JG0086 Contract</t>
  </si>
  <si>
    <t xml:space="preserve"> CONSTRUCTION OF STAIR PATHWALK AT RC-10 NEAR PELENIO RES., BARANGAY CITRUS</t>
  </si>
  <si>
    <t xml:space="preserve"> INVITATION TO BID The DPWH Zamboanga del Sur 2nd District Engineering Office, Poblacion, Guipos, Zamboanga del Sur, through its Bids and Awards Committee (BAC), invites contractors to submit bids for the following Contract: Contract ID	:	20JG0077 Contract</t>
  </si>
  <si>
    <t xml:space="preserve"> 5555.55556 liters</t>
  </si>
  <si>
    <t xml:space="preserve"> INVITATION TO BID  	 The Department of Public Works and Highways-National Capital Region (DPWH-NCR) and Unified Project Management Office - Flood Control Management Cluster (UPMO-FCMC), through the NCR Bids and Awards Committee (NCR-BAC), invites contract</t>
  </si>
  <si>
    <t xml:space="preserve"> Drive type: 4 x 2 Engine Model: 4 cylinder, in line Horse Power: 120 HP Rated Power/ Speed: 90/3000 Displacement: 3.857 Liters Wheelbase: 3200 mm Brake: Air Breaking System Emission Standard: Euro IV Alternator: 24 V Cargo Body Size: 3750x2000x600 Dump Bo</t>
  </si>
  <si>
    <t xml:space="preserve"> Contract ID : 20CSMH04 Contract Name : Contract Location : 1. 2. 3. DISTRICT ENGINEERING OFFICE Region XII Lebak, Sultan Kudarat REQUEST FOR EXPRESSION OF INTEREST (REOI) FOR SUB-SURFACE EXPLORATION (SOIL EXPLORATION) OF BRIDGES ALONG ISULAN JCT.- NINOY A</t>
  </si>
  <si>
    <t xml:space="preserve"> this serves as second posting for the second bidding for the barangay cabatuhan project...</t>
  </si>
  <si>
    <t xml:space="preserve"> Contract ID : 20CSMH03 Contract Name : Contract Location : 1. 2. 3. The Department of Public Works and Highways - Sultan Kudarat 2nd District Engineering Office, Lebak, Sultan Kudarat, through the NEP/GAA 2020 intends to apply the sum of TWO HUNDRED FIFTY</t>
  </si>
  <si>
    <t xml:space="preserve"> BARANGAY GOVERNMENT UNIT OF CABADIANGAN Revised on: July 29, 2005 INVITATION TO APPLY FOR ELIGIBILITY AND TO BID The Barangay Government Unit of Cabadiangan, Kadingilan, Bukidnon, through the Bids and Award Committee (BAC), invites suppliers/manufactures/</t>
  </si>
  <si>
    <t xml:space="preserve"> INFORMATION TECHNOLOGY EQUIPMENTS</t>
  </si>
  <si>
    <t xml:space="preserve"> Contract ID : 20CSMH05 Contract Name : Contract Location : 1. 2. 3. The Department of Public Works and Highways - Sultan Kudarat 2nd District Engineering Office, Lebak, Sultan Kudarat, through the NEP/GAA 2020 intends to apply the sum of SEVEN HUNDRED EIG</t>
  </si>
  <si>
    <t xml:space="preserve"> INVITATION TO BID FOR (GOODS &amp; SERVICES)       20GJC0208 – 43.20 bag Portland Cement etc. To be used in the Repair/Maintenance of                               Road Safety Facilities along National Roads (Installation of Chevron Signs)                    </t>
  </si>
  <si>
    <t xml:space="preserve"> For the Project MODERNIZATION OF LABORATORY EQUIPMENT FOR BACHELOR OF SCIENCE IN ELECTRICAL ENGINEERING  Invitation to Bid No. 2020-007 1.	The Tarlac State University, through the Trust Fund (TF) intends to apply the sum of Ten Million Pesos (P 10,000,000</t>
  </si>
  <si>
    <t xml:space="preserve"> Republic of the Philippines BULACAN STATE UNIVERSITY City of Malolos, Bulacan ________________________________________ INVITATION TO BID FOR    Procurement of Security Services for Bulacan State University  (BulSU-BAC-G-2020-23) The BULACAN STATE UNIVERSI</t>
  </si>
  <si>
    <t xml:space="preserve"> Item I	-174.00 sq.m. Finishing and Other Interior Fit-Out Works Item II	-1.00 lot Provision of President’s Office Pantry Item III	-1.00 lot Provision of Toilet and Bath Fixtures Item IV	-1.00 lot Electrical Works</t>
  </si>
  <si>
    <t xml:space="preserve"> barangay malancao basud is implementing a project from GAD plan to maintain their water system...</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</si>
  <si>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</si>
  <si>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Item Description........................................Quantity...............................Unit of Issue 4 x 2, Six Wheeler, Mounted with.....................1..........................................Unit 5.5 cu.m. Dump Truck Body GCM Rating: 16,000 </t>
  </si>
  <si>
    <t xml:space="preserve"> 1.	The MUNICIPAL GOVERNMENT OF PALIMBANG through an appropriation from 20% DF FY 2020 invites prospective and interested bidders for the project, to wit: 	 CONSTRUCTION OF MULTI-PURPOSE BUILDING Solicitation Number: PB-2020-CW-021 	Municipal Hall, Palimb</t>
  </si>
  <si>
    <t xml:space="preserve"> Republic of the Philippines DEPARTMENT OF PUBLIC WORKS AND HIGHWAYS NEGROS OCCIDENTAL 1ST DISTRICT ENGINEERING OFFICE Region VI Matab-ang, Talisay City, Negros Occidental INVITATION TO BID  The Department of Public Works and Highways Negros Occidental 1st</t>
  </si>
  <si>
    <t xml:space="preserve"> *2 spots per day for 4 months and 1 week Total spots - 246</t>
  </si>
  <si>
    <t xml:space="preserve"> PROPOSED ROAD CONCRETING SITIO LANGON ABC: 14 DAYS</t>
  </si>
  <si>
    <t xml:space="preserve"> BY CONTRACT I.	MOBILIZATION/DEMOBILIZATION II.	REMOVAL OF STRUCTURES AND OBSTRUCTION III.	EXCAVATION IV.	EMBANKMENT V.	REINFORCED CONCRETE VI.	MASONRY WORKS VII.	TILE WORKS VIII.	STEEL WORKS IX.	PRE-PAINTED METAL SHEET X.	PLUMBING WORKS XI.	ELECTRICAL WOR</t>
  </si>
  <si>
    <t xml:space="preserve"> June 15, 2020 INVITATION TO BID 1.	The Department of Public Works and Highways, Mindoro Occidental District Engineering Office, Mamburao, Occidental Mindoro, through the General Appropriations Act intends to apply the sum of the Approved Budget for the Co</t>
  </si>
  <si>
    <t xml:space="preserve"> *4 spots per day for 4 months Total spots - 320</t>
  </si>
  <si>
    <t xml:space="preserve"> Republic of the Philippines Province of Iloilo BIDS AND AWARDS COMMITTEE INVITATION TO BID Purchase of Kitchenware Bid No. AGR-20-0338-B 1. The Iloilo Provincial Government, through the   General Fund CY 2020 intends to apply the sum of ONE HUNDRED THOUSA</t>
  </si>
  <si>
    <t xml:space="preserve"> City Government of Manila INVITATION TO BID NO. 2020-06-89 Procurement of 92,500 pcs. Birthday Cake for the period July to December 31, 2020 1.	The City Government of Manila, through the General Fund CY 2020 – Other Maintenance and Operating Expenses inte</t>
  </si>
  <si>
    <t xml:space="preserve"> Republic of the Philippines BIDS AND AWARDS COMMITTEE Province of Iloilo Invitation to Bid PURCHASE OF AMBULANCE WITH COMPLETE MEDICAL EQUIPMENT Bid No. HMO-20-0354-B 1. The Iloilo Provincial Government, through the 20% IRA 2019 intends to apply the sum o</t>
  </si>
  <si>
    <t xml:space="preserve"> INVITATION TO BID FOR THE Procurement of *3,600 packs of PHROMONE LURE (5 sachets/pack) 1. The Department of Agriculture-Regional Field Office 7, through the GAA 2020 intends to apply the sum of Two Million Three Hundred Forty Thousand Pesos (₱ 2,340,000.</t>
  </si>
  <si>
    <t xml:space="preserve"> Construction of Concrete Footwalk</t>
  </si>
  <si>
    <t xml:space="preserve"> Republic of the Philippines Province of Davao Oriental Municipality of Boston BIDS AND AWARDS COMMITTEE I N V I T A T I O N   T O   B I D  REHABILITATION OF LOCAL ROADS Sitio Napo, Caatihan, Boston, Davao Oriental 1.	The Municipality of Boston, through Ap</t>
  </si>
  <si>
    <t xml:space="preserve"> Procurement of Hydraulic Breaker and Hydraulic Grapple for use at EMD (PR No. 20-05-103 dated 5/29/2020), DPWH Regional Office No. V, Rawis, Legazpi City</t>
  </si>
  <si>
    <t xml:space="preserve"> 1.	The Municipality of Esperanza, through the Municipal &amp; Barangay Fund intends to apply the sum of Five Million One Hundred Thousand Pesos (Php5,100,000.00) being the Approved Budget for the Contract (ABC) to payments under the contract for Construction </t>
  </si>
  <si>
    <t xml:space="preserve"> INVITATION TO BID FOR THE Procurement of Various Chemical and Filtering Supplies (450 bottles Lambda Cyhalothrin (500ml/bot) et al..) 1. The Department of Agriculture-Regional Field Office 7, through the GAA 2020 intends to apply the sum of Four Million E</t>
  </si>
  <si>
    <t xml:space="preserve"> 1	A4 Laminating Film	5	pcs 2	Accession Book	2	pcs 3	Adhessive Tape (1inch)	5	rolls 4	Air Freshener  (Spray) 320ml	38	bots 5	Air Freshener Can w/ holder 70g	64	cans 6	Airpot (good for 2L)	1	unit 7	Albatross big	62	pcs 8	Albatross small	9	pcs 9	"Alcohol 500</t>
  </si>
  <si>
    <t xml:space="preserve"> The Municipality of Bay, through the GOP intends to apply the sum of Two Hundred Thousand Pesos Only (PHP 200,000.00) being the Approved Budget for the Contract (ABC) to payments under the contract for the Delivery of labor and materials for the project o</t>
  </si>
  <si>
    <t xml:space="preserve"> Republic of the Philippines Province of Leyte MUNICIPALITY OF PALO Invitation to Bid for the Repair of Gazebo Building Canopy at the Municipal Hall Compound of Palo, Leyte Job Request No. 20-06-112 	 1.	The Municipality of Palo, Leyte, through the General</t>
  </si>
  <si>
    <t xml:space="preserve"> Republic of the Philippines BIDS AND AWARDS COMMITTEE Province of Iloilo Invitation to Bid PURCHASE OF DRUGS AND MEDICINES Bid No. SDH-20-0361-B 1. The Iloilo Provincial Government, through the GENERAL FUND 2020 intends to apply the sum of THREE MILLION O</t>
  </si>
  <si>
    <t xml:space="preserve"> The Municipality of Bay, through the GOP – 20% Economic Development Fund (EDF) intends to apply the sum of Two Hundred Thousand Pesos Only (PHP 200,000.00) being the Approved Budget for the Contract (ABC) to payments under the contract for the Delivery of</t>
  </si>
  <si>
    <t xml:space="preserve"> PROPOSED DRAINAGE WITH ROAD WIDENING Zone 6 San Rafael Cararayan, Naga City P250,000.00</t>
  </si>
  <si>
    <t xml:space="preserve"> Republic of the Philippines Province of Sarangani Municipality of Malapatan INVITATION TO BID  	 2020-B1-06-014        PROCUREMENT OF OFFICE SUPPLIES FOR DIFFERENT OFFICES (1st – 2nd Quarter), MALAPATAN, SARANGANI PROVINCE 1.	The Local Government Unit of </t>
  </si>
  <si>
    <t xml:space="preserve"> Republic of the Philippines PROVINCE OF AKLAN Kalibo -oOo- BIDS AND AWARDS COMMITTEE (BAC) INVITATION TO BID 1.	The Provincial   Government   of   Aklan, through   Road Maintenance, MOOE Fund CY 2020 intends   to   apply   the   sum   of  Three Hundred Th</t>
  </si>
  <si>
    <t xml:space="preserve"> The Municipality of Bay, Laguna through the GOP/General Fund intends to apply the sum of Five Hundred Thousand Pesos Only (Php, 500,000.00) being the Approved Budget for the Contract (ABC) to payments under the contract for the 4. Bids received in excess </t>
  </si>
  <si>
    <t xml:space="preserve"> Republic of the Philippines PROVINCE OF AKLAN Kalibo -oOo- BIDS AND AWARDS COMMITTEE (BAC) INVITATION TO BID 1.	The Provincial   Government   of   Aklan, through   20% IRA Development Fund CY 2020 intends   to   apply   the   sum   of  Four Million Eight </t>
  </si>
  <si>
    <t xml:space="preserve"> Republic of the Philippines  Province of Bukidnon  MUNICIPALITY OF KALILANGAN    Bids and Award Committee (BAC)  INVITATION TO BID FOR  Infra 2020-06-014 The Local Government Unit – Kalilangan, Bukidnon through the BIDS AND AWARDS COMMITTEE (BAC) now invi</t>
  </si>
  <si>
    <t xml:space="preserve"> 1.	The Municipality of Esperanza, through the Municipal &amp; Barangay Fund intends to apply the sum of Three Million Six Hundred Thousand Pesos (Php3,600,000.00) being the Approved Budget for the Contract (ABC) to payments under the contract for Construction</t>
  </si>
  <si>
    <t xml:space="preserve"> Std. Form No.: SF-05	 										Revised on: July 28, 2005	 											 Republic of the Philippines											 City Government of Ormoc											 2nd /F New Ormoc City Hall Bldg., Ormoc City											      Tel. # (053) 255-2054  &amp; 560-8050 											   </t>
  </si>
  <si>
    <t xml:space="preserve"> Republic of the Philippines PROVINCE OF AKLAN Kalibo -oOo- BIDS AND AWARDS COMMITTEE (BAC) INVITATION TO BID 1.	The Provincial   Government   of   Aklan, through   20% IRA Development Fund CY 2020 intends   to   apply   the   sum   of  Two Million Four Hu</t>
  </si>
  <si>
    <t xml:space="preserve"> PROPOSED PATHWALK Zone 7 San Rafael Cararayan, Naga City ABC:P135,000.00</t>
  </si>
  <si>
    <t xml:space="preserve"> Republic of the Philippines Province of Sarangani Municipality of Malapatan INVITATION TO BID  	 2020-B1-002        PROCUREMENT OF OFICE EQUIPMENT FOR MUNICIPAL INFORMATION OFFICE, MALAPATAN, SARANGANI PROVINCE 1.	The Local Government Unit of Malapatan, t</t>
  </si>
  <si>
    <t xml:space="preserve"> Republic of the Philippines Province of Sarangani Municipality of Malapatan INVITATION TO BID  	 2020-B1-02        PROCUREMENT OF MATERIALS FOR THE MAINTENANCE AND DEVELOPMENT OF HRIS SYSTEM, MALAPATAN, SARANGANI PROVINCE 1.	The Local Government Unit of M</t>
  </si>
  <si>
    <t xml:space="preserve"> 1.	The Provincial Government of Batanes, through the 2018-20% Development Fund and 2019-20% Development Fund intends to apply the sum of Nine Million Eight Hundred Sixty Thousand Eight Hundred Four Pesos and 59/100 (9,860,804.59) being the Approved Budget</t>
  </si>
  <si>
    <t xml:space="preserve"> Republic of the Philippines PROVINCE OF AKLAN Kalibo -oOo- BIDS AND AWARDS COMMITTEE (BAC) INVITATION TO BID 1.	The Provincial   Government   of   Aklan, through   5% LDRRM Fund CY 2019 intends   to   apply   the   sum   of  Seven Hundred Thirty Two Thous</t>
  </si>
  <si>
    <t xml:space="preserve"> INVITATION TO BID FOR THE Procurement of Assorted Feeds 1.	The Department of Agriculture-Regional Field Office 7, through the GAA 2020  intends to apply the sum of One Million Four Hundred Fifty Two Thousand Pesos (₱1,452,000.00) being the Approved Budget</t>
  </si>
  <si>
    <t xml:space="preserve"> INVITATION TO BID FOR THE Procurement of 3,600 heads of Native Chicken 1. The Department of Agriculture-Regional Field Office 7, through the GAA 2020 intends to apply the sum of One Million Two Hundred Sixty Thousand Pesos (₱ 1,260,000.00) being the Appro</t>
  </si>
  <si>
    <t xml:space="preserve"> INVITATION TO BID FOR THE Procurement of *571 bottles of Azadirahtin (1 liter/bot. Organic Pesticide) and *100 boxes of Bacillus Thuringiensis (5 x 100 gram/box) 1. The Department of Agriculture-Regional Field Office 7, through the GAA 2020 intends to app</t>
  </si>
  <si>
    <t xml:space="preserve"> Republic of the Philippines PROVINCE OF AKLAN Kalibo -oOo- BIDS AND AWARDS COMMITTEE (BAC) INVITATION TO BID 1.	The Provincial   Government   of   Aklan, through   20% IRA Development Fund CY 2015 – PRDP 1-Build Counterpart (Supplemental Budget #2  intend</t>
  </si>
  <si>
    <t xml:space="preserve"> SUPPLY AND DELIVERY OF MATERIALS FOR THE CONSTRUCTION OF EVACUATION CENTER LOCATED AT BARANGAY NAMBARAN, SANTO DOMINGO, ILOCOS SUR.</t>
  </si>
  <si>
    <t xml:space="preserve"> Republic of the Philippines PROVINCE OF AKLAN Kalibo -oOo- BIDS AND AWARDS COMMITTEE (BAC) INVITATION TO BID 1.	The Provincial   Government   of   Aklan, through   5% PWD’s intends   to   apply   the   sum   of  Two Hundred Forty Thousand Pesos Only (Php </t>
  </si>
  <si>
    <t xml:space="preserve"> INVITATION TO BID FOR THE Procurement of Various Feeds 1.	The Department of Agriculture-Regional Field Office 7, through the GAA 2020  intends to apply the sum of One Million One Hundred Seventy Thousand Pesos (₱1,170,000.00) being the Approved Budget for</t>
  </si>
  <si>
    <t xml:space="preserve"> Rental of Financial program for Accounting Office for the Month of July 2020 to December 2020</t>
  </si>
  <si>
    <t xml:space="preserve"> project billboard 1 lot surplus common excavation 118 cu.m. structural steel sheet piles, furnished 148 l.m. structural steel sheet piles, driven 138 l.m. reinforced steel bar, grade 40 700 kls. structural concrete class A 26 cu.m. stone masonry 7.50 cu.m</t>
  </si>
  <si>
    <t xml:space="preserve"> Republic of the Philippines PROVINCE OF AKLAN Kalibo -oOo- BIDS AND AWARDS COMMITTEE (BAC) INVITATION TO BID 1.	The Provincial   Government   of   Aklan, through   Unexpended Balance of 5% LDRRM Fund CY 2017 intends   to   apply   the   sum   of  One Hund</t>
  </si>
  <si>
    <t xml:space="preserve"> Republic of the Philippines PROVINCE OF AKLAN Kalibo -oOo- BIDS AND AWARDS COMMITTEE (BAC) INVITATION TO BID 1.	The Provincial   Government   of   Aklan, through   20% IRA Development Fund CY 2019 intends   to   apply   the   sum   of  Three Hundred Thous</t>
  </si>
  <si>
    <t xml:space="preserve"> Republic of the Philippines Province of Cebu City of Toledo Barangay Don Andres Soriano Invitation to Bid for PROPOSED CONSTRUCTION OF DRAINAGE SYSTEM @ PUROK dascc  1.The BARANGAY DON ANDRES SORIANO, through its  20% Developmental Fund 2019 intends to ap</t>
  </si>
  <si>
    <t xml:space="preserve"> Republic of the Philippines Province of Cebu City of Toledo Barangay Don Andres Soriano Invitation to Bid for PROPOSED CONSTRUCTION OF PATHWAYS AT PUROK QCRO 1.The BARANGAY DON ANDRES SORIANO, through its  20% Developmental Fund 2019 intends to apply the </t>
  </si>
  <si>
    <t xml:space="preserve"> Republic of the Philippines  Province of Bukidnon  MUNICIPALITY OF KALILANGAN    Bids and Award Committee (BAC)  INVITATION TO BID FOR  Infra 2020-06-012 The Local Government Unit – Kalilangan, Bukidnon through the BIDS AND AWARDS COMMITTEE (BAC) now invi</t>
  </si>
  <si>
    <t xml:space="preserve"> INVITATION TO BID (GOODS) The Municipality of Sibonga, through the Trust Fund intends to apply the sum of Two hundred thirty-six thousand seven hundred ten &amp; 50/100 pesos only (236,710.50) being the Approved Budget for the Contract (ABC) to payment under </t>
  </si>
  <si>
    <t xml:space="preserve"> Republic of the Philippines  Province of Bukidnon  MUNICIPALITY OF KALILANGAN    Bids and Award Committee (BAC)  INVITATION TO BID FOR  Infra 2020-06-008 The Local Government Unit – Kalilangan, Bukidnon through the BIDS AND AWARDS COMMITTEE (BAC) now invi</t>
  </si>
  <si>
    <t xml:space="preserve"> See Philippine Bidding Documents, bill of Quantities, and Checklist hereto attached.</t>
  </si>
  <si>
    <t xml:space="preserve"> Republic of the Philippines PROVINCE OF AKLAN Kalibo -oOo- BIDS AND AWARDS COMMITTEE (BAC) INVITATION TO BID 1.	The Provincial   Government   of   Aklan, through   20% IRA Development Fund CY 2020 intends   to   apply   the   sum   of  Nine Hundred Sevent</t>
  </si>
  <si>
    <t xml:space="preserve"> INVITATION TO BID (GOODS) The Municipality of Sibonga, through the Trust Fund intends to apply the sum of Eight hundred ninety-one thousand five hundred seventy-five &amp; 85/100 pesos only (891,575.85) being the Approved Budget for the Contract (ABC) to paym</t>
  </si>
  <si>
    <t xml:space="preserve"> INVITATION TO BID FOR THE Procurement of Assorted Feeds 1.	1.	The Department of Agriculture-Regional Field Office 7, through the GAA 2020  intends to apply the sum of Seven Hundred Sixty Nine Thousand Two Hundred Fifty Pesos (₱ 769,250.00) being the Appro</t>
  </si>
  <si>
    <t xml:space="preserve"> Republic of the Philippines Province of Davao del Sur MUNICIPALITY OF STA.CRUZ INVITATION TO BID CONSTRUCTION OF RESIDUAL CONTAINMENT AREA (ITB No. 07-INFRA-2020) 1.	The Local Government Unit of Sta. Cruz, Davao del Sur through the General Funds for the Y</t>
  </si>
  <si>
    <t xml:space="preserve"> Republic of the Philippines PROVINCE OF AKLAN Kalibo -oOo- BIDS AND AWARDS COMMITTEE (BAC) INVITATION TO BID 1.	The Provincial   Government   of   Aklan, through   20% IRA Development Fund CY 2019  intends   to   apply   the   sum   of  Two Million Eight </t>
  </si>
  <si>
    <t xml:space="preserve"> Republic of the Philippines PROVINCE OF AKLAN Kalibo -oOo- BIDS AND AWARDS COMMITTEE (BAC) INVITATION TO BID 1.	The Provincial   Government   of   Aklan, through   20% IRA Development Fund CY 2019  intends   to   apply   the   sum   of  One Million Pesos </t>
  </si>
  <si>
    <t xml:space="preserve"> INVITATION TO BID FOR THE Procurement of 100 rolls of Range Nets 1.	The Department of Agriculture-Regional Field Office 7, through the GAA 2020  intends to apply the sum of Five Hundred Fifty Thousand Pesos (₱ 550,000.00) being the Approved Budget for the</t>
  </si>
  <si>
    <t xml:space="preserve"> Republic of the Philippines  Province of Bukidnon  MUNICIPALITY OF KALILANGAN    Bids and Award Committee (BAC)  INVITATION TO BID FOR  Infra 2020-06-015 The Local Government Unit – Kalilangan, Bukidnon through the BIDS AND AWARDS COMMITTEE (BAC) now invi</t>
  </si>
  <si>
    <t xml:space="preserve"> Republic of the Philippines  Province of Bukidnon  MUNICIPALITY OF KALILANGAN    Bids and Award Committee (BAC)  INVITATION TO BID FOR  Infra 2020-06-013 The Local Government Unit – Kalilangan, Bukidnon through the BIDS AND AWARDS COMMITTEE (BAC) now invi</t>
  </si>
  <si>
    <t xml:space="preserve"> Republic of the Philippines PROVINCE OF AKLAN Kalibo -oOo- BIDS AND AWARDS COMMITTEE (BAC) INVITATION TO BID 1.	The Provincial   Government   of   Aklan, through   5% LDRRM Fund CY 2019 intends   to   apply   the   sum   of  Two Million Pesos Only (Php 2,</t>
  </si>
  <si>
    <t xml:space="preserve"> SUPPLY AND DELIVERY OF 100 HEADS OF F1 MEAT TYPE HOGS FOR USE IN THE KADIWA NI ANI AT KITA FOR THE PROJECT: FINAL HANDS-ON TRAINING AND FOR TESDA ASSESSMENT  OF BATCH 11 AND 12 (PB 2020-02A) 1.	The NATIONAL TOBACCO ADMINISTRATION (NTA), through the 2020 C</t>
  </si>
  <si>
    <t xml:space="preserve"> INVITATION TO BID FOR THE Procurement of 4,185 kilos of Ginger (Planting Materials) 1.	The Department of Agriculture-Regional Field Office 7, through the GAA 2020  intends to apply the sum of One Million Forty Six Thousand Two Hundred Fifty Pesos (₱ 1,046</t>
  </si>
  <si>
    <t xml:space="preserve"> Republic of the Philippines BIDS AND AWARDS COMMITTEE Province of Iloilo Invitation to Bid PURCHASE OF I.V. FLUIDS Bid No. SDH-20-0364-B 1. The Iloilo Provincial Government, through the GENERAL FUND 2020 intends to apply the sum of ONE MILLION FIVE HUNDRE</t>
  </si>
  <si>
    <t xml:space="preserve"> Republic of the Philippines REGION X Province of Lanao del Norte MUNICIPALITY OF MATUNGAO matungaolgu@gmail.com  INVITATION TO BID CONCRETING OF 0.670 KM BARANGAY POBLACION TO COMPRA ROAD at Barangay Poblacion-Barangay Puntod, Matungao, Lanao del Norte IT</t>
  </si>
  <si>
    <t xml:space="preserve"> Republic of the Philippines Province of La Union Municipality of Sudipen BIDS AND AWARDS COMMITTEE Invitation to Bid for  REHABILITATION OF FARM TO MARKET ROAD LOCATED AT BARANGAY SAN FRANCISCO NORTE, SUDIPEN, LA UNION 1. The MUNICIPALITY OF SUDIPEN, LA U</t>
  </si>
  <si>
    <t xml:space="preserve"> Republic of the Philippines CITY GOVERNMENT OF ORMOC  2nd /F New Ormoc City Hall Bldg.,Ormoc City Tel # (053) 255-2054 &amp; 560-8050 Local # 1126, 1127 &amp; 1123	      36-________________________ INVITATION TO BID         The City Government of Ormoc, through t</t>
  </si>
  <si>
    <t xml:space="preserve"> Republic of the Philippines Province of La Union Municipality of Sudipen BIDS AND AWARDS COMMITTEE Invitation to Bid for  REHABILITATION OF FARM TO MARKET ROAD LOCATED AT BARANGAY BIGBIGA, SUDIPEN, LA UNION 1. The MUNICIPALITY OF SUDIPEN, LA UNION, throug</t>
  </si>
  <si>
    <t xml:space="preserve"> Item Description........................................Quantity...............................Unit of Issue Bottle and Glass Crusher..................................1..........................................Unit Capacity..............................: </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</si>
  <si>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</si>
  <si>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REQUEST FOR EXPRESSION OF INTEREST (REOI) FOR CONSULTING SERVICES  19CSK00041 – Consultancy Services for the Conduct of Geotechnical &amp; Geological Investigation and Survey Works for the Proposed Construction of Sabo Dam on Upper and Lower Dinanggasan River</t>
  </si>
  <si>
    <t xml:space="preserve"> Office: MDRRMO PURPOSE: UTILITY VEHICLE FOR MDRRMO (RESCUE VEHICLE) ABC: 1,949,000.00 1 UNIT PICK-UP TRACK  SPECS DISPLACEMENT : 1,996 EMISSION STAGE LEVEL: EURO IV ENGINE: 2.0L BI-TURBO DIESEL FUEL TANK CAPACITY (L): 80 MAXIMUM POWER (PS/RPM):213@3750 MA</t>
  </si>
  <si>
    <t xml:space="preserve"> SUPPLY AND DELIVERY OF HARDWARE MATERIALS</t>
  </si>
  <si>
    <t xml:space="preserve"> Contract ID: 20CD0167      Contract Name:  Repair/Rehabilitation of Valenzuela-Obando-Meycauayan                                 Flood Control Structures along Palasan River (Panghulo to                                 Paliwas Sec.) Obando, Bulacan      C</t>
  </si>
  <si>
    <t xml:space="preserve"> Republic of the Philippines DEPARTMENT OF PUBLIC WORKS AND HIGHWAYS CAGAYAN 2ND DISTRICT ENGINEERING OFFICE Regional Office II Abulug, Cagayan June 15, 2020 INVITATION TO BID  The Cagayan 2nd District Engineering Office, Abulug, Cagayan, through its Bids </t>
  </si>
  <si>
    <t xml:space="preserve"> Sir/Madam:					 					                  Please quote your lowest price on the item/s listed below, subject to the General Conditions stated hereunder, and submit your quotation duly signed by your authorized representative in sealed envelope.					 					   </t>
  </si>
  <si>
    <t xml:space="preserve"> Republic of the Philippines Office of the Punong Barangay BIDS AND AWARDS COMMITTEE Ambugat, Burgos, Ilocos Sur INVITATION TO BID The Barangay Government of Ambugat, Burgos, Ilocos Sur, through its Bids and Awards Committee (BAC) invites bids for the here</t>
  </si>
  <si>
    <t xml:space="preserve"> The DPWH, Negros Occidental 3rd District Engineering Office, Kabankalan City, Negros Occidental, through its Bids and Awards Committee (BAC), invites contractors to submit bids for the following contract: 1. Contract ID		:	20GM0064 (Re-bidding) Contract N</t>
  </si>
  <si>
    <t xml:space="preserve"> Terms and conditions for this quotation: 1. Vehicle specifications: a. Pick-up/Sports Utility Vehicle/Multi-Purpose Van with seating capacity of 5 to 7 person (including driver); b. Not more than 5 years old; c. In good working condition; d. Properly regi</t>
  </si>
  <si>
    <t xml:space="preserve"> The Municipality of Malangas, through the Bids and Award Committee (BAC), invites suppliers/manufactures/distributors/contractors to bid for the hereunder contract: Name of Project	: PROCUREMENT OF 1 SET BUTT FUSION MACHINE Technical Specification: 	230 V</t>
  </si>
  <si>
    <t xml:space="preserve"> Invitation to Bid 1.	The Barangay Government of Tanza 2 through the 2020 Development Fund,intend to apply the amount of  Two Hundred Three Thousand  Four Hundred Ninety Nine Pesos (words)  Php 2,467,893.00 as the Approved Budget for the Contract (ABC) for</t>
  </si>
  <si>
    <t xml:space="preserve"> Republic of the Philippines Province of La Union Municipality of Sudipen BIDS AND AWARDS COMMITTEE Invitation to Bid for  PURCHASE OF MEDICINES (2ND SEMESTER-2020) FOR THE MUNICIPALITY OF SUDIPEN, LA UNION 1. The MUNICIPALITY OF SUDIPEN, LA UNION, through</t>
  </si>
  <si>
    <t xml:space="preserve"> “Garbage Granulator”           CAPACITY: 5 Cu .Meter per Hour a)	Prime Mover:4D35 Diesel Engine                       (Remanufactured) b)	Granulating Chamber: 1”thk. X 70 Cm X 70 Cm X 1.2 Meter c)	BLADES: 19mm x 150mm x 575mm d)	Main Gear Box    : 20 Hp e</t>
  </si>
  <si>
    <t xml:space="preserve"> Invitation to Bid 1.	The Barangay Government of Tanza 2 through the 2019 Development Fund,intend to apply the amount of  Two Hundred Three Thousand Four Hundred Ninety Nine Pesos  (words)  Php 203,499.00 as the Approved Budget for the Contract (ABC) for t</t>
  </si>
  <si>
    <t xml:space="preserve"> Invitation to Bid 1.	The Barangay Government of Tanza 2 through the 2020 CAPITAL OUTLAY, intend to apply the amount of  SEVENTY THOUSAND Pesos  (words)  Php 70,000.00 as the Approved Budget for the Contract (ABC) for the payment under the contract for the</t>
  </si>
  <si>
    <t xml:space="preserve"> Republic of the Philippines PROVINCE OF NORTHERN SAMAR BIDS AND AWARDS COMMITTEE Catarman Invitation to Bid NS-06-17-20-01 Repair/Improvement of SP Offices at New Capitol Building Brgy. Dalakit Catarman, Northern Samar 1.	The Provincial Government of Nort</t>
  </si>
  <si>
    <t xml:space="preserve"> Repainting of Public Buildings. (Barangay Office, Public Market Building, Health Center, AL's Building and BPAT Outpost)</t>
  </si>
  <si>
    <t xml:space="preserve"> 60 pcs. Plywood 24 liters Paint color: sky blue 100 pcs. Jealousy 2 pcs. Door Knob 6 kilos Common Nails #1</t>
  </si>
  <si>
    <t xml:space="preserve"> Republic of the Philippines PROVINCE OF BOHOL Municipality of Dagohoy INVITATION TO BID FOR THE CONCRETING OF FARM TO MARKET ROAD (SITIO 3-MARKET ROAD)    1.The Local Government Unit of Dagohoy, Bohol intends to apply the sum of Five Million Pesos (Php 5,</t>
  </si>
  <si>
    <t xml:space="preserve"> The specification is available at the Bids and Awards Committee Secretariat Municipal Town Hall, Centro 02, Lasam, Cagayan</t>
  </si>
  <si>
    <t xml:space="preserve"> INVITATION TO BID 	 Date: June 16, 2020 1.	The Provincial Government of Davao Occidental, through its Bids and Awards Committee (BAC), invites all potential contractors to apply to bid for the following infrastructure projects: IB NO.	Description	ABC	Sour</t>
  </si>
  <si>
    <t xml:space="preserve"> Fabrication of Canal Grills at Gen. Lucban St. Brgy 4 Lucban, Quezon</t>
  </si>
  <si>
    <t xml:space="preserve"> Republic of the Philippines        PROVINCE OF BUKIDNON             Don Carlos, Bukidnon Invitation to Bid for the Rehabilitation of Multi-Purpose Building at Lake Pinamaloy Area  In Don Carlos, Bukidnon (Straight Contract) (Project Reference No. 006-025-</t>
  </si>
  <si>
    <t xml:space="preserve"> Location: Brgy. Calamay, Moncada, Tarlac Floor Area: 8.00 m x 7.80m Scope of Work to be Done: 1. Footing and Wall Footing 2.  Column 3. Beam 4. Flooring 5. CHB Wall and Partition 6. Doors and Windows 7. Ceiling 8. Roofing and Roof Framing 9. Kitchen Count</t>
  </si>
  <si>
    <t xml:space="preserve"> 1. The Municipality of Banguingui, through its 5% GAD Fund intends to apply the sum of P 3,000,000.00 Three Million Pesos being the Approved Budget for the Contract (ABC) to payments under the contract for Construction of Womens Livelihood &amp; Recreational </t>
  </si>
  <si>
    <t xml:space="preserve"> Republic of the Philippines        PROVINCE OF BUKIDNON             Don Carlos, Bukidnon Invitation to Bid for the Construction of Two-Storey Hall of Justice Building,  Don Carlos, Bukidnon – Phase II (Straight Contract) (Project Reference No. 006-024-202</t>
  </si>
  <si>
    <t xml:space="preserve"> Invitation to Bid 1.	The Barangay Government of Tanza 2 through the 2020 BDRRM FUND,intend to apply the amount of  Fifty Seven Thousand Eight Hundred Pesos  (words)  Php 57,800.00 as the Approved Budget for the Contract (ABC) for the payment under the con</t>
  </si>
  <si>
    <t xml:space="preserve"> Republic of the Philippines Province of Agusan del Norte Municipality of Remedios T. Romualdez Invitation to Bid PROCUREMENT OF RESCUE EQUIPMENT AND SUPPLIES  1. The Municipality of Remedios T. Romualdez, Agusan del Norte, through the 5% MDRRM Funds inten</t>
  </si>
  <si>
    <t xml:space="preserve"> Furnishing/ delivering of various common construction materials and supplies ***** Nothing follows *****</t>
  </si>
  <si>
    <t xml:space="preserve"> Windows 10 Intel Core i7-7700 CPU@2.80HHz 2.81GHz 8gb ram 64-bit OS x64-based processor</t>
  </si>
  <si>
    <t xml:space="preserve"> REPOST PHILGEPS DUE TO WRONG BID AMOUNT</t>
  </si>
  <si>
    <t xml:space="preserve"> Republic of the Philippines PROVINCE OF NORTHERN SAMAR BIDS AND AWARDS COMMITTEE Catarman Invitation to Bid NS-06-17-20-02 Repair/Improvement of Emergency Room at G.B. Tan Memorial Hospital Laoang, Northern Samar 1.	The Provincial Government of Northern S</t>
  </si>
  <si>
    <t xml:space="preserve"> Republic of the Philippines Province of La Union Municipality of Sudipen BIDS AND AWARDS COMMITTEE Invitation to Bid for  PURCHASE OF MEDICAL SUPPLIES (2ND SEMESTER-2020) FOR THE MUNICIPALITY OF SUDIPEN, LA UNION 1. The MUNICIPALITY OF SUDIPEN, LA UNION, </t>
  </si>
  <si>
    <t xml:space="preserve"> Republic of the Philippines Province of La Union Municipality of Sudipen BIDS AND AWARDS COMMITTEE Invitation to Bid for  PURCHASE OF RELIEF SUPPLIES FOR THE MDRRM OPERATION CENTER OF THE MUNICIPALITY OF SUDIPEN, LA UNION 1. The MUNICIPALITY OF SUDIPEN, L</t>
  </si>
  <si>
    <t xml:space="preserve"> Invitation to Bid 1.	The Barangay Government of Tanza 2 through the 2020 BCPC Fund, intend to apply the amount One Hundred Four Thousand  Pesos  (words)  Php 104,000.00 as the Approved Budget for the Contract (ABC) for the payment under the contract for t</t>
  </si>
  <si>
    <t xml:space="preserve"> Items of Work: I. Site Preparation.......................................1 Lot II. Excavation, Foundation of Column and Wall Footing.........................1 Lot III. Carpentry and Welding Works, Installation of Steel Truss, Roofing &amp; Ceiling............</t>
  </si>
  <si>
    <t xml:space="preserve"> INVITATION TO BID FOR THE SUPPLY AND DELIVERY OF VARIOUS PHARMACEUTICAL DRUGS, MEDICINES AND CONTRAST MEDIA (NEGOTIATED PROCUREMENT- TWO FAILED BIDDING) (IB NO. 2020-GOODS-002NP-02-0617) 1.	The ILOCOS TRAINING AND REGIONAL MEDICAL CENTER (ITRMC), through </t>
  </si>
  <si>
    <t xml:space="preserve"> Work item includes Subgrade Preparation, Aggregate Sub-base Course, PCCP Class A, Concreting of Adjoining Premises and Grouted Rip rap (Slope Protection)</t>
  </si>
  <si>
    <t xml:space="preserve"> REQUEST FOR QUOTATION For Above Php 50,000.00 to Php 500,000.00 Date: June 17, 2020 Procurement Title: Supply and Delivery of Two (2) units S/S Submersible Pump  Approved Budget for the Contract (ABC): Php 350,000.00 Name of Company	: ___________________ </t>
  </si>
  <si>
    <t xml:space="preserve"> Please see attached Inivtation to Bid</t>
  </si>
  <si>
    <t xml:space="preserve"> OFFICE: MAYOR'S OFFICE PURPOSE: FOR PEACE AND ORDER AND PUBLIC SAFETY VEHICLE ABC: 2,000,000.00 1 UNIT PICK-UP TRACK MODEL: 4JJ1-TCX TYPE: 4-CYLINDER IN-LINE BLUE POWER DIESEL ENGINE WITH TURBO INTERCOOLER MAXIMUM POWER: PS (KW)@RPM 177 (130) @ 3,600 MAXI</t>
  </si>
  <si>
    <t xml:space="preserve"> INSTALLATION OF CONCRETE DRAINAGE SYSTEM OF TAMBUNAN - STA. LUCIA TOURISM ROAD</t>
  </si>
  <si>
    <t xml:space="preserve"> 20 units Micro Desktop Computer 33 units Laptop Computer 5 units High-End Laptop Computer 2 units Portable Scanner 5 units Network Switch 5 units Entry-Level Server 6 units Uninterruptible Power Supply 5 units NAS Rack Mounted 5 units Network Rack</t>
  </si>
  <si>
    <t xml:space="preserve"> INVITATION TO BID FOR PURCHASE OF BOOKS / LEARNING MATERIALS FOR CHILD DEVELOPMENT CENTER (DAYCARE PUPILS) 1.	The Municipal Government of Sta. Maria through the 20% Local Development Fund 2020 intends to apply the sum of One Million Nine Hundred Thousand </t>
  </si>
  <si>
    <t xml:space="preserve"> Republic of the Philippines        PROVINCE OF BUKIDNON             Don Carlos, Bukidnon Invitation to Bid for the Proposed Development of Municipal Cemetery in Norte, Don Carlos, Bukidnon – Phase II (Straight Contract) (Project Reference No. 006-027-2020</t>
  </si>
  <si>
    <t xml:space="preserve"> PEO-2020-0173 PR2020-0436 INVITATION TO BID FOR THE PROCUREMENT OF LABOR, MATERIALS, AND EQUIPMENT FOR THE REHABILITATION AND IMPROVEMENT OF PEO BUILDING (ELECTRICAL CONNECTION REVAMP, REPLACEMENT OF DOORS AND WINDOWS, CEILING AND PAINTING WORKS) AT NEW C</t>
  </si>
  <si>
    <t xml:space="preserve"> INVITATION TO APPLY FOR ELIGIBILITY AND TO BID The  Municipality of Barobo , through its Bids and Awards Committee (BAC), invites contractors registered with and classified by the Philippine Contractors Accreditation Board (PCAB) to apply for eligibility </t>
  </si>
  <si>
    <t xml:space="preserve"> Republic of the Philippines Province of Negros Occidental Municipality of Binalbagan Telephone/ FAX Number: (034) 3888701 INVITATION TO BID The Municipality   of  Binalbagan, Negros Occidental, through its Bids and Awards Committee (BAC), invites supplier</t>
  </si>
  <si>
    <t xml:space="preserve"> 450 liters Insecticide (Active ingredient-Luferurony Carbosulfan)</t>
  </si>
  <si>
    <t xml:space="preserve"> Invitation to Bid for the Leachate Pond Completion at Sanitary Landfill 1.	The Local Government Unit of Manolo Fortich, through the General Fund intends to apply the sum of THREE MILLION FIVE HUNDRED THOUSAND PESOS (PhP 3,500,000.00) being the Approved Bu</t>
  </si>
  <si>
    <t xml:space="preserve"> Republic of the Philippines PROVINCE OF NORTHERN SAMAR BIDS AND AWARDS COMMITTEE Catarman Invitation to Bid NS-06-17-20-03 Fabrication of Steel Gate at Provincial Sports Center in Brgy. Cawayan, Catarman, Northern Samar 1.	The Provincial Government of Nor</t>
  </si>
  <si>
    <t xml:space="preserve"> ITEM DESCRIPTION ARE IN ATTACHED FILE</t>
  </si>
  <si>
    <t xml:space="preserve"> Work item includes Subgrade preparation, aggregate sub-base course, PCCP, embankment (filling of road shoulders) and rip rapping of existing RCP sides</t>
  </si>
  <si>
    <t xml:space="preserve"> Supply, delivery and installation of One (1) unit Shrink Wrapping Machine, Packing size: min. of or close to 450mm x 330mm x 200mm (L x W x H), Power Supply: 220-240V, per BSP Specifications</t>
  </si>
  <si>
    <t xml:space="preserve"> AUDIO AND VISUAL EQUIPMENT</t>
  </si>
  <si>
    <t xml:space="preserve"> INVITATION TO BID June 16, 2020 1.	The Provincial Government of Davao Occidental, through its Bids and Awards Committee (BAC), invites all suppliers to apply to bid for the following goods: Bids received in excess of the ABC shall be automatically rejecte</t>
  </si>
  <si>
    <t xml:space="preserve"> 1 unit Dump truck Specs: Engine            :  Euro 4 Displacement  : 3933cc Max. Power     : 150 ps @2900 rpm Max. Torque: 59 kg-m@ 1,600 rpm Turbo charger: Turbo charger Suspension Type: Semi-elliptic, laminated leaf spring w/shock absorber Fuel Tank Cap</t>
  </si>
  <si>
    <t xml:space="preserve"> Procurement of Farm Machineries and Equipment - Php 970,000.00 7 HP DIESEL ENGINE PALAY THRESHER - 1 unit - Php 162,000 Irrigation Water Supply w/ Accesories 7HP engine pumps, horizontal water cooled, 4-cycle diesel engine; bore x stroke – 80 x 75 mm; dis</t>
  </si>
  <si>
    <t xml:space="preserve"> Supply and delivery of One (1) unit Barcode Scanner, Personal Data Terminal, wireless, handheld, Operating System: Microsoft Windows CE 6.0 R3 and android 2.3 (multi language), Software required: to interface with SAP-based system, laser scanner: 1D and 2</t>
  </si>
  <si>
    <t xml:space="preserve"> 1. 2 units Corn Mill -Progressive type, capable of milling white corn for human food with slight switching port adjustment to immediately use for yellow corn milling for poultry and livestock Minimum Specifications: -Input Capacity:200kg-250kg/hr -Power S</t>
  </si>
  <si>
    <t xml:space="preserve"> Work item includes subgrade preparation, aggregate sub base course, PCCP &amp; embankment (filling of road shoulders)</t>
  </si>
  <si>
    <t xml:space="preserve"> Republic of the Philippines PROVINCE OF NORTHERN SAMAR BIDS AND AWARDS COMMITTEE Catarman Invitation to Bid NS-06-17-20-04-R5 Establishment of Automated Weather Station Sitio Tabuk, Brgy. E. Laodenio, Mapanas, Northern Samar 1.	The Provincial Government o</t>
  </si>
  <si>
    <t xml:space="preserve"> please download the ITB and its supporting documents in the associated component</t>
  </si>
  <si>
    <t xml:space="preserve"> Republic of the Philippines                                                        Province of Misamis Oriental                                                MUNICIPALITY OF KINOGUITAN                                           BIDS AND AWARDS COMMITTEE (</t>
  </si>
  <si>
    <t xml:space="preserve"> ITB No. 2020-74 June 17, 2020 Republic of the Philippines Province of Davao Oriental CITY OF MATI INVITATION TO BID ESTABLISHMENT OF STOCK ROOM FOR LIVESTOCK AND POULTRY MULTIPLIER FARM Name of Project 1.	The City Government of Mati, through the 20% Local</t>
  </si>
  <si>
    <t xml:space="preserve"> PROJECT: PROVISION OF SLOPE PROTECTION (1.60m X 26.15m) WITH HANDWASHING FACILITIES (0.40m X 28m) AND DRAINAGE SYSTEM (0.20m X 0.30m X 53m) - PHASE I 75	bags	Cement 650	pcs	Concrete Hollow Block 6" 8	cu.m	Fine Sand 4	cu.m	Gravel 3/4 30	pcs	Steel Bar 12mm </t>
  </si>
  <si>
    <t xml:space="preserve"> REGION XII  Province of Cotabato  Municipality of Midsayap  BIDS &amp; AWARDS COMMITTEE  Tel. Nos. (064) 229-8018; 229-8650; 229-8450  INVITATION TO BID FOR   2020-063, CONSTRUCTION OF WATER SYSTEM LEVEL II AT PUROK BOUGAINVILLE,  BUAL NORTE, MIDSAYAP, COTABA</t>
  </si>
  <si>
    <t xml:space="preserve"> The Barangay Capagaran, Allacapan,CAgayan through its Bids and Awards Committee (BAC), invites suppliers/distributors/contractors to apply for eligibility and to bid for the hereunder project: Name of Contract :Repair of Gamma Bridge Location : Capagaran,</t>
  </si>
  <si>
    <t xml:space="preserve"> INVITATION TO BID FOR PURCHASE OF BOOKS / LEARNING MATERIALS FOR KINDERGARTEN PUPILS 1.	The Municipal Government of Sta. Maria through the Special Education Funds 2020 intends to apply the sum of Three Hundred Sixty One Thousand Pesos (₱361,000.00) being </t>
  </si>
  <si>
    <t xml:space="preserve"> REGION XII  Province of Cotabato  Municipality of Midsayap  BIDS &amp; AWARDS COMMITTEE  Tel. Nos. (064) 229-8018; 229-8650; 229-8450  INVITATION TO BID FOR   2020-062, CONSTRUCTION OF 3 UNITS WATER SYSTEM LEVEL II AT PUROK 1, 3 AND 7,   ILBOCEAN, MIDSAYAP, C</t>
  </si>
  <si>
    <t xml:space="preserve"> Procurement of FArm Inputs: Php 635,840.00 Certified imbreed Rice Seeds - 32 bags@40kg @Php 1,200/kg Red Pinoy (onion) seeds (46-0-0)-32 cans@ Php 1,850 Urea (46-0-0)- 32 bags@50kg -@Php 985.00/bag Complete (14-14-14)-32 bags@50kg -@Php 1,200/bag 0-0-60 -</t>
  </si>
  <si>
    <t xml:space="preserve"> Supply and delivery of Twenty Five (25) pcs Ammunition Bag, heavy duty</t>
  </si>
  <si>
    <t xml:space="preserve"> Opening of Farm to Market Road Barangay Mabilbila Sur, Santa, Ilocos Sur</t>
  </si>
  <si>
    <t xml:space="preserve"> Section I. Invitation to Bid Republic of the Philippines Province of Sultan Kudarat Municipality of Bagumbayan OFFICE OF THE BIDS AND AWARDS COMMITTEE Bagumbayan, Sultan Kudarat INVITATION TO BID FOR PROCUREMENT FOR THE 30,260 LITERS OF DIESOLINE FOR THE </t>
  </si>
  <si>
    <t xml:space="preserve"> INFORMATION TECHNOLOGY</t>
  </si>
  <si>
    <t xml:space="preserve"> Office: Mayor's Office Purpose: For Patrol Vehicles ABC: 1,500,000.00 1 UTILITY VAN VARIANT: PREMIUM M/T (15-SEATER) TRANSMISSION: 5-SPEED MANUAL ENGINE MODEL AND TYPE: 2.5-LITER 4 IN-LINE DOHC 16 VALVE VARIABLE TURBO CHARGE (VGS) DIESEL (YD25DDTI) BORE X</t>
  </si>
  <si>
    <t xml:space="preserve"> Republic of the Philippines Department of Agriculture BUREAU OF FISHERIES AND AQUATIC RESOURCES Fisheries Regional Office No. 10 Macabalan, Cagayan de Oro City TIN – 000-550-823-017 INVITATION TO BID  The Bureau of Fisheries and Aquatic Resources Regional</t>
  </si>
  <si>
    <t xml:space="preserve"> The Barangay Government of Brgy. Sto. Nino, through its Bids and Awards Committee (BAC), intends to apply the sum of One Hundred Thirteen Thousand One Hundred Six Pesos and 20/100 (Php 113,106.20), under the 20% BDF of the approved Annual Budget CY 2020, </t>
  </si>
  <si>
    <t xml:space="preserve"> REGION XII  Province of Cotabato  Municipality of Midsayap  BIDS &amp; AWARDS COMMITTEE  Tel. Nos. (064) 229-8018; 229-8650; 229-8450  INVITATION TO BID FOR   2020-065, CONSTRUCTION OF (14M X 18M) MULTI-PURPOSE DRYING PAVEMENT AT ANONANG, MIDSAYAP, COTABATO  </t>
  </si>
  <si>
    <t xml:space="preserve"> One (1) lot Neuro-Psychological Test for 29 Security Division personnel per BSP Terms of Reference</t>
  </si>
  <si>
    <t xml:space="preserve"> Republic of the Philippines Province of Sarangani Municipality of Malapatan INVITATION TO BID  	 2020-B1-06-015        PROCUREMENT OF PNP RESPONSE VEHICLE, MALAPATAN, SARANGANI PROVINCE 1.	The Local Government Unit of Malapatan, through the 2018 LDRRMF in</t>
  </si>
  <si>
    <t xml:space="preserve"> Name of Project   :Supply of Manpower, Materials, Tools &amp; Equipment and Engineering Supervision for the Re-piping  work of AHU Water Supply in all Quadrants, replacing the G.I. Pipe into P.P.R. from Roofdeck area going down to Ground Floor Lobby Area. App</t>
  </si>
  <si>
    <t xml:space="preserve"> REGION XII  Province of Cotabato  Municipality of Midsayap  BIDS &amp; AWARDS COMMITTEE  Tel. Nos. (064) 229-8018; 229-8650; 229-8450  INVITATION TO BID FOR   2020-066, CONSTRUCTION OF WATER SYSTEM AT DILANGALEN NATIONAL HIGH SCHOOL, POBLACION 1, MIDSAYAP, CO</t>
  </si>
  <si>
    <t xml:space="preserve"> Republic of the Philippines        PROVINCE OF BUKIDNON             Don Carlos, Bukidnon Invitation to Bid for the Rehabilitation of Local Road – Perimeter Road along Public Market, Poblacion Sur, Don Carlos, Bukidnon (Straight Contract) (Project Referenc</t>
  </si>
  <si>
    <t xml:space="preserve"> INVITATION TO APPLY FOR ELIGIBILITY AND TO BID THE MUNICIPALITY OF CAIBIRAN, BILIRAN IS INVITING ALL INTERESTED BIDDERS ON ITS FORTHCOMING PUBLIC BIDDING FOR: Project Title 	: Acquisition of Laptop (for Engineering Design) Location	        : Office of the</t>
  </si>
  <si>
    <t xml:space="preserve"> I N V I T A T I O N   T O   B I D 2020 - 104 June 17, 2020 1.	The Provincial Government of Tarlac through the PENRO SB #1 2019 - Healthcare Waste Management Program at GOTMH intends to apply the sum of One Million Three Hundred Ninety-Nine Thousand Four H</t>
  </si>
  <si>
    <t xml:space="preserve"> Republic of the Philippines Sangguniang Barangay of Barangay 5 Poblacion Quezon, Quezon INVITATION TO BID Date: June 19, 2020 The Sangguniang Barangay 5 Poblacion, through its Bids and Awards Committee (BAC), invites supplier/manufactures/distributors/con</t>
  </si>
  <si>
    <t xml:space="preserve"> Planting Materials (Seedlings) Langka Lansones Macapuno Rambotan</t>
  </si>
  <si>
    <t xml:space="preserve"> SEE ATTACHED DOCUMENTS...</t>
  </si>
  <si>
    <t xml:space="preserve"> INVITATION TO BID 2020-CS-06 The Department of Public Works and Highways QUEZON III DISTRICT ENGINEERING OFFICE, Catanauan, Quezon, through the FY2020 PDE FUND intends to apply the amount of ₱ ₱1,050,000.00 being the Approved Budget for the Contract (ABC)</t>
  </si>
  <si>
    <t xml:space="preserve"> INVITATION TO BID 2020-CS-05 The Department of Public Works and Highways QUEZON III DISTRICT ENGINEERING OFFICE, Catanauan, Quezon, through the FY2020 PDE FUND intends to apply the amount of ₱ ₱1,000,000.00 being the Approved Budget for the Contract (ABC)</t>
  </si>
  <si>
    <t xml:space="preserve"> 35 PCS OF CLASSROOM ROUND TABLE</t>
  </si>
  <si>
    <t xml:space="preserve"> 1.	The Department of Public Works and Highways Regional Office XI, Davao City, through its Bids and Awards Committee (BAC), invites bidders to submit bids for the Infra projects funded under GAA FY 2020, to wit: Contract ID 	:	20L00032 Contract Name/Locat</t>
  </si>
  <si>
    <t xml:space="preserve"> I. BILLBOARD AND SIGNAGE.................................................1.00SET II. EXCAVATION...............................................................30.00CU.M. III. REINFORCING STEEL BARS...........................................................</t>
  </si>
  <si>
    <t xml:space="preserve"> Republic of the Philippines Province of La Union Municipality of Sudipen BIDS AND AWARDS COMMITTEE Invitation to Bid for  REHABILITATION OF SAN JOSE - CASTRO ROAD (SAN JOSE SECTION) LOCATED AT BARANGAY SAN JOSE, SUDIPEN, LA UNION 1. The MUNICIPALITY OF SU</t>
  </si>
  <si>
    <t xml:space="preserve"> INVITATION TO BID 2020-CS-04 The Department of Public Works and Highways QUEZON III DISTRICT ENGINEERING OFFICE, Catanauan, Quezon, through the FY2020 PDE FUND intends to apply the amount of ₱ ₱2,030,000.00 being the Approved Budget for the Contract (ABC)</t>
  </si>
  <si>
    <t xml:space="preserve"> LGU-BAROBO		Project Reference Number			 Name of Procuring Entity		Supply and Delivery of Motorcycle			 					 			Barobo, Surigao del Sur		 Standard Form Number: SF-GOOD-60					 Revised on: May 24, 2004					 Standard Form Title: REQUEST FOR QUOTATION					 	</t>
  </si>
  <si>
    <t xml:space="preserve"> INVITATION TO BID ON THE SUPPLY AND DELIVERY OF  CONSOLIDATED ICT EQUIPMENT, IT SUPPLIES AND PHOTOCOPIER (SUB-LOT) OF BUKIDNON STATE UNIVERSITY 1.	The Bukidnon State University through the Bids and Awards Committee &amp; Budget Approved by the Board of Regent</t>
  </si>
  <si>
    <t xml:space="preserve"> I N V I T A T I O N   T O   B I D 2020 - 103 June 17, 2020 1.	The Provincial Government of Tarlac through the 20% DF '19 Continuing - Improvement of Sewerage Treatment Plant at TPH intends to apply the sum of One Million Four Hundred Ninety-Nine Thousand </t>
  </si>
  <si>
    <t xml:space="preserve"> 1.	The MUNICIPAL GOVERNMENT OF PALIMBANG through an appropriation from Peace and Order and Public Safety Plan LDRRMO FUND (5% OF IRA) FY 2020 invites prospective and interested bidders for the project, to wit: 	 SUPPLY, DELIVERY, INSTALLATION AND COMMISSI</t>
  </si>
  <si>
    <t xml:space="preserve"> Supply and delivery at Municipal Hall. Schedule of Activities: Issuance of Bid Documents - June 18-July 8, 2020 Pre-Bid Conference - June 25, 2020; 1:00 p.m. Submission of Bids - on or before July 8, 2020; 1:00 p.m. Bid Opening - July 8, 2020; 1:00 p.m. B</t>
  </si>
  <si>
    <t xml:space="preserve"> 1.	The Department of Public Works and Highways Regional Office XI, Davao City, through its Bids and Awards Committee (BAC), invites bidders to submit bids for the Infra projects funded under GAA FY 2020, to wit: Contract ID 	:	20L00148 Contract Name/Locat</t>
  </si>
  <si>
    <t xml:space="preserve"> Republic of the Philippines Province of Oriental Mindoro MUNICIPALITY OF VICTORIA 												 INVITATION TO RE-BID Concreting of Farm to Market Road at Sitio Malamig, Barangay Leido, Victoria, Oriental Mindoro 1.The Municipal Government of Victoria, thro</t>
  </si>
  <si>
    <t xml:space="preserve"> INVITATION TO BID Supply and Delivery of 6,000 Packs of Lure (Pheromone) for Use in the Management of Fall Army Worm under 2020 STO - QRF FAW The Department of Agriculture Regional Field Office No. 5, through the General Appropriation Act for CY 2020 – ST</t>
  </si>
  <si>
    <t xml:space="preserve"> Republic of the Philippines Province of La Union Municipality of Sudipen BIDS AND AWARDS COMMITTEE Invitation to Bid for  REHABILITATION OF CASTRO – PORPORIKET ROAD LOCATED AT BARANGAY CASTRO &amp; PORPORIKET, SUDIPEN, LA UNION 1. The MUNICIPALITY OF SUDIPEN,</t>
  </si>
  <si>
    <t xml:space="preserve"> Republic of the Philippines Province of La Union Municipality of Sudipen BIDS AND AWARDS COMMITTEE Invitation to Bid for  CONCRETE PAVING OF FARM TO MARKET ROAD (SITIO MINDANAO) LOCATED AT BARANGAY NAMALTUGAN, SUDIPEN, LA UNION 1. The MUNICIPALITY OF SUDI</t>
  </si>
  <si>
    <t xml:space="preserve"> INFRA 2020-06-045 CONSTRUCTION OF DRAIANGE CANAL WITH COVER AT TUNGKIL, MINGLANILLA, CEBU 1.	The MUNICIPALITY OF MINGLANILLA, through the Local Fund intends to apply the sum of   Two  Million   Twelve  Thousand  Eight  Hundred   Forty  Seven   Pesos  &amp;  9</t>
  </si>
  <si>
    <t xml:space="preserve"> INFRA 2020-06-044 IMPROVEMENT  OF BRGY. WARD I COVERED COURT/ MULTI-PURPOSE BUILDING (PHASE III) AT BRGY. WARD I, MINGLANILLA, CEBU 1.	The MUNICIPALITY OF MINGLANILLA, through the Local Fund intends to apply the sum of   Two  Million   Nine   Hundred   Ni</t>
  </si>
  <si>
    <t xml:space="preserve"> Procurement of Meals/Snacks Php 100,040.00</t>
  </si>
  <si>
    <t xml:space="preserve"> Purchase of construction materials and supplies for the construction of multi-purpose building project.</t>
  </si>
  <si>
    <t xml:space="preserve"> 20CSAE01: SUBSURFACE EXPLORATION FOR THE PROPOSED 2021 PROJECTS WITHIN THE FIRST DISTRICT OF LA UNION Republic of the Philippines DEPARTMENT OF PUBLIC WORKS AND HIGHWAYS LA UNION 1ST DISTRICT ENGINEERING OFFICE REGIONAL OFFICE I Lingsat, City of San Ferna</t>
  </si>
  <si>
    <t xml:space="preserve"> ACCOUNTING - P 123,884.90		 1	PENCIL NO. 2 , BOX OF 12	2	box 2	BALLPEN, BLACK, BALL POINT	12	pc 3	BALLPEN, BLUE, BALLPOINT	12	pc 4	BALLPEN, GREEN, BALLPOINT	12	pc 5	BALLPEN, RED, BALLPOINT	12	pc 6	SIGNPEN, WITH GEL - BLACK 0.5	36	pc 7	SIGNPEN, WITH GEL - </t>
  </si>
  <si>
    <t xml:space="preserve"> Republic of the Philippines Province of Bukidnon Municipality of Cabanglasan -o0o- ___________________________________________________________________________ INVITATION TO BID FOR  Purchase of Diesel and Lubricants for Rehabilitation of Barangay Road, Hi</t>
  </si>
  <si>
    <t xml:space="preserve"> 1 unit backhoe specs: Engine Power: 40hp Emission : Stage EC Stage lllA Loader Bucket Capacity: 0.36 cu.m. Backhoe Bucket Capacity: 0.08 cu.m. Operating Weight: 4262kg Max. Dig Depth:3.05m Loader Load over Height: up to 2.65m</t>
  </si>
  <si>
    <t xml:space="preserve"> ITEM DESCRIPTION 1,500.00 L.s. Subgrade Preparation 300.15 cu.m. Aggregate Base Course 1,100.00 sq.m. PCC Pavement, Plain SPL-I 2.00 each Warning 7 Hazard Signs SPL-II 1.00 l.s Construction Health and Safety SPL-III 1.00 unit Billboard MANPOWER: Mason/Car</t>
  </si>
  <si>
    <t xml:space="preserve"> Procurement of FArm Inputs: Php 1,340,000 Certified imbreed Rice Seeds - 100 bags -Php 480,000.00 Swire Urea Red (46-0-0)      - 100 bags - Php 400,000.00 Swire complete (14-14-14)   - 100 bags - Php 480,000.00</t>
  </si>
  <si>
    <t xml:space="preserve"> Republic of the Philippines Province of Ilocos Sur Vigan City INVITATION TO BID FOR  Purchase &amp; Delivery of Medical Equipment for Ilocos District Hospitals-Tagudin, Sta. Lucia &amp; Narvacan Ilocos Sur 1.	The Provincial Government of Ilocos Sur, through the 2</t>
  </si>
  <si>
    <t xml:space="preserve"> Republic of the Philippines Province of Bukidnon Municipality of Cabanglasan -o0o- ___________________________________________________________________________ INVITATION TO BID FOR  Purchase of Materials for Maintenance of Roads and Bridges at Cabanglasan</t>
  </si>
  <si>
    <t xml:space="preserve"> concrete pavemernt 303 x 4 m x 4 x.10</t>
  </si>
  <si>
    <t xml:space="preserve"> PVC ID PRINTER &amp; LAMINATOR -	Smart Card Printer -	Flipper (Back to Back Printing) -	Dual Side Printing  -	Card Feeding -	Full Color Ribbon with Black, Overlay and Black for Back Side -	Machine includes Colored Ribbon and 200 PVC Cards   Supplies included:</t>
  </si>
  <si>
    <t xml:space="preserve"> Procurement of FArm Machineries and Equipment-Php 4,000,000.00 35 HP 4WD Tractor - 4 units @ Php 1,000,000.00</t>
  </si>
  <si>
    <t xml:space="preserve"> INVITATION TO BID June 15, 2020 The Eastern Visayas Regional Medical Center, through its Bids and Awards Committee (BAC B) invites suppliers/manufacturers/distributors/contractors to bid for the hereunder project:  Procurement Activity	Approved Budget for</t>
  </si>
  <si>
    <t xml:space="preserve"> Opening of Farm to Market Road Barangay Bucalag, Santa, Ilocos Sur</t>
  </si>
  <si>
    <t xml:space="preserve"> Republic of the Philippines CITY OF SAN PEDRO Province of Laguna BIDS AND AWARDS COMMITTEE INVITATION TO BID The City Government of San Pedro Laguna through the 2020 Budget Approved by Sangguniang Panglungsod intends to apply the sum of Php 3,238,515.35 b</t>
  </si>
  <si>
    <t xml:space="preserve"> CONSTRUCTION /INSTALLATION OF STREET LIGHTING SYSTEM @ GELERANG KAWAYAN</t>
  </si>
  <si>
    <t xml:space="preserve"> CONSTRUCTION OF NATIONAL CHILD DEVELOPMENT CENTER @ POBLACION, SAN ISIDRO, LEYTE. FOR THE DETAILED DESCRIPTION, PLEASE SEE ATTACHED FILE  (TECHNICAL REPORT PAGE1 AND PAGE2)</t>
  </si>
  <si>
    <t xml:space="preserve"> Republic of the Philippines Province of Ilocos Sur Vigan City INVITATION TO BID FOR  Purchase &amp; Delivery of Food Packs for Adults &amp; Nutri Packs for Children for distribution Provincewide 1.	The Provincial Government of Ilocos Sur, through the Supplemental</t>
  </si>
  <si>
    <t xml:space="preserve"> 1.	The Municipality of Daram, through the 20%-Development Fund-2020 intends to apply the sum of Two Million Two Hundred Thousand Pesos (P2,200,000.00) being the Approved Budget for the Contract (ABC) to payments under the contract for the Supply and Deliv</t>
  </si>
  <si>
    <t xml:space="preserve"> City Government of Manila INVITATION TO BID NO. 2020-06-91 Procurement of 11,000 pcs. Laptop 1.	The City Government of Manila, through the SEF Fund CY 2020 –intends to apply the sum of One Hundred  Sixty Five Million  Pesos Only (Php165,000,000.00) being </t>
  </si>
  <si>
    <t xml:space="preserve"> INVITATION TO BID FOR SUPPLY AND DELIVERY OF NINETY (90) CYLINDERS LIQUID GAS CHLORINE (68 KGS/CYLINDER) FOR WATER TREATMENT USE 1.	The METRO KALIBO WATER DISTRICT, through the Corporate Budget for the contract approved by the governing Boards for the yea</t>
  </si>
  <si>
    <t xml:space="preserve"> Republic of the Philippines Province of Ilocos Sur Vigan City INVITATION TO BID FOR  Purchase &amp; Delivery of Medical Equipment for Ilocos Sur Provincial Hospital-Gabriela Silang &amp; Ilocos District Hospitals-Sinait &amp; Magsingal Ilocos Sur 1.	The Provincial Go</t>
  </si>
  <si>
    <t xml:space="preserve"> MATERIALS AND LABOR COST</t>
  </si>
  <si>
    <t xml:space="preserve"> Republic of the Philippines Province of Bukidnon Municipality of Cabanglasan -o0o- ___________________________________________________________________________ INVITATION TO BID FOR  Purchase of Materials for Construction of Multi-Purpose Building X Poblac</t>
  </si>
  <si>
    <t xml:space="preserve"> REGION XII  Province of Cotabato  Municipality of Midsayap  BIDS &amp; AWARDS COMMITTEE  Tel. Nos. (064) 229-8018; 229-8650; 229-8450  INVITATION TO BID FOR   2020-069, CONCRETING OF ROAD FROM LOWER KATINGAWAN TO BAGUMBA, LOWER KATINGAWAN, MIDSAYAP, COTABATO </t>
  </si>
  <si>
    <t xml:space="preserve"> Please see attached PR for specification</t>
  </si>
  <si>
    <t xml:space="preserve"> Republic of the Philippines Province of Bukidnon Municipality of Cabanglasan -o0o- ___________________________________________________________________________ INVITATION TO BID FOR  Purchase of Materials for Construction of Multi-Purpose Building V (Perim</t>
  </si>
  <si>
    <t xml:space="preserve"> Republic of the Philippines Province of Bukidnon Municipality of Cabanglasan -o0o- ___________________________________________________________________________ INVITATION TO BID FOR  Purchase of Materials for Construction of Multi-Purpose Building W (Perim</t>
  </si>
  <si>
    <t xml:space="preserve"> 6 Sets Solar Panel with LED Lights	 6 pcs Battery	 6 pcs G.I Pipes	 6 pcs Cement	 1 t/l Screened Sand</t>
  </si>
  <si>
    <t xml:space="preserve"> Republic of the Philippines Province of Bukidnon Municipality of Cabanglasan -o0o- ___________________________________________________________________________ INVITATION TO BID FOR  Purchase of Materials for Construction of Multi-Purpose Building Q(Perime</t>
  </si>
  <si>
    <t xml:space="preserve"> Republic of the Philippines PROVINCE OF ZAMBOANGA SIBUGAY Municipality of Talusan Barangay Poblacion INVITATION TO BID  (FOR BARANGAY POBLACION) 1.	The Barangay Local Government Unit of Poblacion Talusan Zamboanga Sibugay, through the 20% Development Fund</t>
  </si>
  <si>
    <t xml:space="preserve"> QTY        UNIT          DESCRIPTION 384       BAGS     PORTLAND CEMENT 17         LOADS   GRAVEL, G1 9           LOADS    RIVERMIXED 4           PCS        2x 6 C-PURLINS x 1.2MM 4           LOADS    CEMENT HAULING TO SITE</t>
  </si>
  <si>
    <t xml:space="preserve"> Republic of the Philippines Province of Bukidnon Municipality of Cabanglasan -o0o- ___________________________________________________________________________ INVITATION TO BID FOR  Purchase of Materials for Construction of Multi-Purpose Building U Canang</t>
  </si>
  <si>
    <t xml:space="preserve"> City Government of Manila INVITATION TO BID NO. 2020-06-92 Procurement of 286,000 pcs. Mobile Prepaid SIM Cards  1.	The City Government of Manila, through the SEF Fund CY 2020 –intends to apply the sum of Two Hundred Forty Three Million One Hundred Thousa</t>
  </si>
  <si>
    <t xml:space="preserve"> Please see the attached document</t>
  </si>
  <si>
    <t xml:space="preserve"> Republic of the Philippines Province of Bukidnon Municipality of Cabanglasan -o0o- ___________________________________________________________________________ INVITATION TO BID FOR  Purchase of Materials for Construction of Multi-Purpose Building T Imbatu</t>
  </si>
  <si>
    <t xml:space="preserve"> Republic of the Philippines PROVINCE OF SURIGAO DEL SUR Municipality of Carrascal   Barangay Caglayag   INVITATION FOR BIDS                      The Barangay Bacolod through its Bids and Awards Committee invites sealed bids from eligible supplier for Tran</t>
  </si>
  <si>
    <t xml:space="preserve"> INVITATION TO APPLY FOR ELIGIBILITY AND TO BID THE MUNICIPALITY OF CAIBIRAN, BILIRAN IS INVITING ALL INTERESTED BIDDERS ON ITS FORTHCOMING PUBLIC BIDDING FOR: Project Title 	: Provision of Pedicab (Small Transport) Sewing Machine &amp; Motorboat Engines to Se</t>
  </si>
  <si>
    <t xml:space="preserve"> Republic of the Philippines CITY OF SAN PEDRO Province of Laguna BIDS AND AWARDS COMMITTEE INVITATION TO BID The City Government of San Pedro Laguna through the 2020 CDC Budget Approved by Sangguniang Panglungsod intends to apply the sum of Php 1,500,000.</t>
  </si>
  <si>
    <t xml:space="preserve"> Materials for printing of Modules for SY 2020-2021</t>
  </si>
  <si>
    <t xml:space="preserve"> Albatross 50g Air Freshener, spray, glade 320ml. Air Freshener, can , glade Ballpen, black - good quality Carbon Paper, Club-Short (blue) Carbon Paper, Plastofoil, short Chlorine Copy Paper, US, Sub 20 70 gsm, legal 8 1/2 x 14" Copy Paper, US, Sub 20 70 g</t>
  </si>
  <si>
    <t xml:space="preserve"> INVITATION TO BID FOR Supply and Delivery of Materials for Construction of Line Canal 1.	The Barangay Local Government of Malatab, Antipas, through the Budget Approved by the Sangguniang intends to apply the sum of Fifty Four Thousand Five Hundred Sixty F</t>
  </si>
  <si>
    <t xml:space="preserve"> City Government of Manila INVITATION TO BID NO. 2020-06-90 Procurement of 77,000 pcs. Tablet 10” and 33,000 pcs. Tablet 8” 1.	The City Government of Manila, through the SEF Fund CY 2020 –intends to apply the sum of Six Hundred Fifty Three Million Four Hun</t>
  </si>
  <si>
    <t xml:space="preserve"> RFQ-GS-20200609-01 Interested Suppliers are invited to submit Price Quotation for the above listed item. The official LANDBANK Request for Quotation Form may be obtained from MS. MS. NADZ ILETO (email address: iletonadia25@gmail.com). The deadline for the</t>
  </si>
  <si>
    <t xml:space="preserve"> INVITATION TO  BID 17 June 2020 The municipality of Sampaloc through its Bids and Awards Committee (BAC) invites suppliers/manufacturers/distributors/contractors to apply for eligibility to bid for the hereunder project: Name of Project	:	CONSTRUCTION OF </t>
  </si>
  <si>
    <t xml:space="preserve"> Please download PDF @ associated for more information</t>
  </si>
  <si>
    <t xml:space="preserve"> Badiangan to Villa Flores Road Opening to include Roadway Excavation</t>
  </si>
  <si>
    <t xml:space="preserve"> Invitation to Bid Republic of the Philippines City of Olongapo -0- BIDS AND AWARDS COMMITTEE BAC Office 3rd Floor  Olongapo City Hall  Web: www.olongapocity.gov.ph INVITATION TO BID FOR  OC-68(ESMO-06) 20 GD PROCUREMENT FOR THE SUPPLY AND DELIVERY OF NINE</t>
  </si>
  <si>
    <t xml:space="preserve"> Republic of the Philippines Province of Bukidnon Municipality of Cabanglasan -o0o- ___________________________________________________________________________ INVITATION TO BID FOR  Purchase of Materials for Construction Steel Goal at Pangian, Tagawili, B</t>
  </si>
  <si>
    <t xml:space="preserve"> Republic of the Philippines PROVINCE OF SIQUIJOR Capitol, Bldg., Pulangyuta, Siquijor, Siquijor INVITATION TO BID FOR Supply and Delivery of 1500 packs Fortified Powdered Milk (600gms) and 122 packs 370gms Fortified Powdered Milk &amp; 5 Kilos Rice 1.	The Pro</t>
  </si>
  <si>
    <t xml:space="preserve"> THE BRGY. NBBS DAGAT-DAGATAN THRU BIDS AND AWARDS COMMITTEE, THROUGH THE CY 2020 ANNUAL BUDGET INTENDS TO APPLY THE SUM OF PHP. 434,936.57 BEING THE ABC TO PAYMENTS UNDER THE CONTRACT FOR LABOR &amp; MATERIALS FOR UPGRADING OF ALLEY WITH IMPROVEMENT OF DRAINA</t>
  </si>
  <si>
    <t xml:space="preserve"> I.	Invitation to Apply for Eligibility and to Bid Rebidding for the Repair and Renovation of Second Floor Bonifacio P. Sibayan Hall	 1. The Philippine Normal University, through Fund 101 intends to apply the sum of Ten Million Three Hundred Fifty-One Thou</t>
  </si>
  <si>
    <t xml:space="preserve"> Invitation to Apply for Eligibility and to Bid The Barangay Government of Barangay Bucal, Batangas City intends to apply the sum of One Hundred Twenty Thousand Pesos Only (Php 120,000.00) broken down as follow: ITEM Brief Description SUB-ABC Lot 1 PURCHAS</t>
  </si>
  <si>
    <t xml:space="preserve"> THE BRGY. NBBS DAGAT-DAGATAN THRU BIDS AND AWARDS COMMITTEE, THROUGH THE CY 2020 ANNUAL BUDGET INTENDS TO APPLY THE SUM OF PHP. 512,233.79 BEING THE ABC TO PAYMENTS UNDER THE CONTRACT FOR LABOR &amp; MATERIALS FOR UPGRADING OF ALLEY WITH IMPROVEMENT OF DRAINA</t>
  </si>
  <si>
    <t xml:space="preserve"> Please download PDF @ associated components for more information</t>
  </si>
  <si>
    <t xml:space="preserve"> Republic of the Philippines Province of Iloilo Municipality of Lambunao Office of the Bids &amp; Awards Committee INVITATION TO BID/ REQUEST FOR PRICE QUOTATION Name of Project: Purchase of Ambulance (Hi-Roof) Location: Lambunao, Iloilo ABC: Php 2,200,000.00 </t>
  </si>
  <si>
    <t xml:space="preserve"> INVITATION TO BID CONSTRUCTION / ESTABLISHMENT OF TOURISM INFORMATION AND PASALUBONG CENTER 1.	The Local Government Unit of Cabadbaran City through the GF – CITY TOURISM PROGRAMS &amp; ACTIVITIES intends to apply the sum of  ONE MILLION ONE HUNDRED FIFTY-NINE</t>
  </si>
  <si>
    <t xml:space="preserve"> Republic of the Philippines Province of Bukidnon Municipality of Cabanglasan -o0o- ___________________________________________________________________________ INVITATION TO BID FOR  Purchase of Materials for Construction of Calacapan Swimming Pool (Additi</t>
  </si>
  <si>
    <t xml:space="preserve"> Republic of the Philippines PROVINCE OF ZAMBOANGA DEL NORTE Municipality of Sibutad BIDS AND AWARDS COMMITTEE 					                                                                                                                    June 17, 2020 INVITATION</t>
  </si>
  <si>
    <t xml:space="preserve"> 1. Provision of six (6) Security Guards for six (6 months) July to December 2020.     a. Three (3) Guards Guards Day Shift @ 8 hours per duty/shift for Regional Office, Wangal, La Trinidad, Benguet.          8 AM - 4 PM          4 PM - 12 MN          12 M</t>
  </si>
  <si>
    <t xml:space="preserve"> INVITATION TO BID FOR THE PROCUREMENT OF TWO (2) YEAR SUBSCRIPTION FOR TWO (2) LOTS OF MOBILE POSTPAID AND PREPAID PLAN FOR PAGCOR OFFICERS AND KEY PERSONNEL under ITB No. PB20-04-034COR The Philippine Amusement and Gaming Corporation (PAGCOR) is inviting</t>
  </si>
  <si>
    <t xml:space="preserve"> Pls. quote the item listed below: 1.  Diesel  -   2,824.25 ltrs. End Users:   RHU  -  1,050 ltrs.   MEO  -  1,229 ltrs.   MAO  -  545.25 ltrs.  NOTE:                      Opening of Bids will be on June 30, 2020 @ 1:00 pm</t>
  </si>
  <si>
    <t xml:space="preserve"> Name of the Procuring Entity: TONDO MEDICAL CENTER Name of the Project:  Supply and Delivery of Mineral Water for Nutrtion and Dietetics Service      			                                          Location of the Project: Tondo Medical Center Balut, Tondo M</t>
  </si>
  <si>
    <t xml:space="preserve"> INVITATION TO BID FOR Breeding Stocks  (Name of Project)    1.	The CITY GOVERNMENT OF ZAMBOANGA, through the AB FY 2020 intends to apply the sum of ONE MILLION THREE HUNDRED TWENTY THOUSAND PESOS (P1,320,000.00) ONLY being the Approved Budget for the Cont</t>
  </si>
  <si>
    <t xml:space="preserve"> Republic of the Philippines  Province of Cebu Municipality of Boljoon INVITATION TO BID FOR the purchase of Construction materials for open canal 1.	The Municipality of Boljoon, through the DRRMF-Special Trust Fund  in the amount of One hundred thousand  </t>
  </si>
  <si>
    <t xml:space="preserve"> Completion of Road Concreting at Sitio Ruston, San Antonio Ogbon to La Opinion, Sitio Ruston San Antonio Ogbon, Nabua, Camarines Sur</t>
  </si>
  <si>
    <t xml:space="preserve"> Construction of Multi-Purpose Hall is funded thru Trust Fund. Please be guided by the following schedule: 1. Submission of Letter of Intent - June 25-26, 2020 2. Eligibility Screening - June 29, 2020 3. Issuance and Availability of Bidding Documents - Jun</t>
  </si>
  <si>
    <t xml:space="preserve"> Specifications can be viewed online by clicking the "Associated Components" section on this ITB. The Local Government Unit-Municipality of Malinao, Aklan through the Bids and Awards Committee, intends to apply the sum of One Million Four Hundred  Thousand</t>
  </si>
  <si>
    <t xml:space="preserve"> Republic of the Philippines Province of Bukidnon Municipality of Cabanglasan -o0o- ___________________________________________________________________________ INVITATION TO BID FOR  Purchase of Materials for Pasalubong Center lot 1,2 PB-2020-23 1.	The Loc</t>
  </si>
  <si>
    <t xml:space="preserve"> Republic of the Philippines Province of Iloilo Municipality of Lambunao Office of the Bids &amp; Awards Committee INVITATION TO BID/ REQUEST FOR PRICE QUOTATION Name of Project: Purchase of Generator Set to for the use of Municipal Slaughterhouse Location: La</t>
  </si>
  <si>
    <t xml:space="preserve"> Concreting of Local Road at Barangay Angustia Going to Brgy. Salvacion Que Gatos, Nabua, Camarines Sur</t>
  </si>
  <si>
    <t xml:space="preserve"> 1.The Brgy. Pondang, through the LGSF-DBM intends to apply the sum of Seven Hundred Fifty Thousand Pesos Only (P750,000.00) being the Approved Budget for the Contract (ABC) to payments under the contract for Construction of Multi-purpose Hall. Bids receiv</t>
  </si>
  <si>
    <t xml:space="preserve"> INVITATION TO BID FOR Other Supplies  (Name of Project)    1.	The CITY GOVERNMENT OF ZAMBOANGA, through the Trust Fund intends to apply the sum of ONE MILLION FIVE HUNDRED THOUSAND PESOS (P1,500,000.00) ONLY being the Approved Budget for the Contract (ABC</t>
  </si>
  <si>
    <t xml:space="preserve"> Name of Project: Drilling of one (1) Deep Well through Percussion Drilling Method, 10" diameter, Depth - 100 meters, with the provision that in the event the desired 100 meters is not reached, bid shall automatically be reduced to accedptable amount appro</t>
  </si>
  <si>
    <t xml:space="preserve"> INVITATION TO BID KB-GOODS-2020-05 I.	The Municipality of Kitaotao, intends to apply the sum of Three Hundred Thirty Pesos (P330,000.00) for the Supply and Delivery of Various Goods . Bids received more than the ABC shall be automatically rejected at Bid </t>
  </si>
  <si>
    <t xml:space="preserve"> INVITATION TO BID FOR  Procurement of Goods [Operational Tent] (Rebid) The   City Government of Tagbilaran,   through the Appropriation Ordinance No. 19-05 for FY 2020, intends to apply the sum of Eight Million Pesos only (Php8,000,000.00)being the  Appro</t>
  </si>
  <si>
    <t xml:space="preserve"> 1.	The Local Government Unit of Tuao, Cagayan  through General Fund (Capital Outlay) 2020  intends to  apply the sum of  Php 540,000.00   being the Approved Budget for the Contract (ABC) to payments under  the contract for PURCHASE AND DELIVERY OF 2 UNITS</t>
  </si>
  <si>
    <t xml:space="preserve"> PROCUREMENT OF ONE (1) UNIT RESCUE VEHICLE (VAN)</t>
  </si>
  <si>
    <t xml:space="preserve"> Republic of the Philippines Province of Nueva Vizcaya BIDS AND AWARDS COMMITTEE (BAC-Goods) BAC OFFICE, Provincial Capitol, Bayombong, Nueva Vizcaya Tel. No. 078-392-2062 	 INVITATION TO BID FOR THE SUPPLY AND DELIVERY OF VEHICLE PARTS (III) FOR   HEAVY E</t>
  </si>
  <si>
    <t xml:space="preserve"> Scaffolding                                           LS              LS Plastering at Existing CHB Wall (Exterior and Interior)                          187.20       sq.m Tile Works, Height = 1.80m (Walling and Flooring)                           80.00  </t>
  </si>
  <si>
    <t xml:space="preserve"> 3 set Door Knob etc.</t>
  </si>
  <si>
    <t xml:space="preserve"> INVITATION TO BID FOR  Procurement of Goods [Water Meter and Others] (Rebid) The   City Government of Tagbilaran,   through the Continuing Appropriation, intends to apply the sum of One Million Four Hundred Twenty Eight Thousand Five Hundred Thirty Six Pe</t>
  </si>
  <si>
    <t xml:space="preserve"> Item No. Qty. unit. Description 1.            4    rim   Bond Paper (Long) 2.            4    rim   Bond Paper (short) 3.            2    rim   Bond Paper (A4) 4.           50   Pcs.  Folder (Long) 5.            1    Box  Staple Wire (35m) 6.            2</t>
  </si>
  <si>
    <t xml:space="preserve"> INVITATION TO BID KB-GOODS-2020-05 I.	The Municipality of Kitaotao, intends to apply the sum of One Hundred Thousand Pesos (P100,000.00) for the Supply and Delivery of Various Goods . Bids received more than the ABC shall be automatically rejected at Bid </t>
  </si>
  <si>
    <t xml:space="preserve"> Item No.	Quantity	Unit of Issue	Item Description 1	10.00  	Sq.m.	            Plastic Grass 2	500.00	Pcs.	            Hexagonal Paver Blocks 3	24.00  	Bags	            40 kgs. Portland Cement 4	2.00	       Cu.m.	           Washed Sand 5	4.00	       Cu.m	  </t>
  </si>
  <si>
    <t xml:space="preserve"> ONE (1) UNIT Brand New Electric Generator Set Silent type 100 KVA, 460 volts, 3 phase, 60 hz "Cummins diesel engine", RPM 1,800 class H insulation with complete accessories or its equivalent (Trailer Mounted) Control Panel: Digital control panel with disp</t>
  </si>
  <si>
    <t xml:space="preserve"> 1. The Municipality of Banguingui, through its GAA intends to apply the sum of P 2,100,000.00 Two Million One Hundred Pesos being the Approved Budget for the Contract (ABC) to payments under the contract for Construction of MATERIAL RECOVERY FACILITY. Bid</t>
  </si>
  <si>
    <t xml:space="preserve"> Concreting of Local Road, Sitio Sogod, Sto. Domingo, Nabua, Camarines Sur</t>
  </si>
  <si>
    <t xml:space="preserve"> Item No.	Description	Unit	Quantity A.1.1(6)	Provision of Combined Field Office, Laboratory and Living Quarters (Rental basis)	mo/s	3.00 B5	Project Billboard/Signage	unit/s	2.00 B.7.1	Occupational Safety and Health Program	mo/s	3.00 b.8(1)	Traffic Manageme</t>
  </si>
  <si>
    <t xml:space="preserve"> Contract ID:	20FH0096 Contract Name:	REPAIR/MAINTENANCE OF DPWH BUILDING, MAIN OFFICE BUILDING, CATANDUANES DEO, VIRAC, CATANDUANES Contract Location:	CATANDUANES DEO, VIRAC, CATANDUANES Scope of Work:	REPAIR OF DPWH BUILDING Approved Budget for the Contr</t>
  </si>
  <si>
    <t xml:space="preserve"> 1.	The Local Government Unit of  Tuao, Cagayan  through General Fund (Capital Outlay) 2020  intends to  apply the sum of  Php 399,000.00   being the Approved Budget for the Contract (ABC) to payments under  the contract for ACQUISITION OF 6 UNITS MOTORCYC</t>
  </si>
  <si>
    <t xml:space="preserve"> ELECTRICAL WIRING, LIGHTING, MAIN SERVICE</t>
  </si>
  <si>
    <t xml:space="preserve"> Republic of the Philippines                                               Province of Leyte  	                     MUNICIPALITY OF ALBUERA                              OFFICE OF THE MUNICIPAL MAYOR                    OFFICE OF THE BIDS AND AWARDS COMMITTE</t>
  </si>
  <si>
    <t xml:space="preserve"> INVITATION TO BID NO. 2020-CW-06 The       DPWH-QUEZON III DISTRICT ENGINEERING OFFICE, Catanauan, Quezon, through its Bids and Awards Committee (BAC), invites contractors to submit bids for the following Contracts: 1.	Procurement ID/Contract ID: 20DM0068</t>
  </si>
  <si>
    <t xml:space="preserve"> supply and delivery of various construction materials for the extension of Protection dike at barangay tawagan Boulders	110	cu.m. Mixed Sand and Gravel	50	cu.m. Portland Cement	220	bags 10mm Dia. RSB	90	length 1/4 Thick Ordinary Plywood	6	sheet 2x3x8 Form</t>
  </si>
  <si>
    <t xml:space="preserve"> Republic of the Philippines DEPARTMENT OF PUBLIC WORKS AND HIGHWAYS Region VII            South Road Properties (SRP), Cebu City                                        Contract ID	 : 20H00062 Contract Name   : Construction/Repair/Rehabilitation/Improvemen</t>
  </si>
  <si>
    <t xml:space="preserve"> SUPPLY AND INSTALLATION OF DOORS AND WINDOWS PROJECT BILLBOARD</t>
  </si>
  <si>
    <t xml:space="preserve"> supply and delivery of 2000 liters diesel fuel for the filling of barangay site of barangay Poblacion</t>
  </si>
  <si>
    <t xml:space="preserve"> COMPREHENSIVE SCHOOL MANAGEMENT SUITE (ISM-SUITE) with the following features: * ADMISSION MANAGEMENT * SCHOOL ADMINISTRATION MODULE * FINANCE * CENTRALIZED DATABASE * TRAINING</t>
  </si>
  <si>
    <t xml:space="preserve"> Request for Quotation for the Procurement of One (1) Unit Multi-rotor Drone to be used for Documentation of Rice Activities and Rapid Assessment of Damages on Rice during Calamities 1.	The Department of Agriculture-Regional Field Office 7 (DA-RFO 7), thro</t>
  </si>
  <si>
    <t xml:space="preserve"> Contract ID: 20PF0068 Contract Name: Construction / Rehabilitation of Flood Mitigation Facilities within Major River Basins &amp; Principal Rivers: Construction of Copias Flood Control Brief Description: Flood Control: Construction - Slope Protection using St</t>
  </si>
  <si>
    <t xml:space="preserve"> Item Number	Description	Unit	Quantity 			 1	D5 Lactated Ringer Solution 1L x 12	Bx	5 2	Plain Lactated Ringer Solution 1L x12	Bx	30 3	Plain 0.9 Saline 1L x12	Bx	30 4	D5 0.3 Sodium Chloride 500 CC x 24	Bx	3 5	D5 Ionosol MB 1L x12	Bx	8 6	Sterile Water for in</t>
  </si>
  <si>
    <t xml:space="preserve"> supply and delivery of 2400 liters diesel fuel for filling of barangay site of barangay Poblacion</t>
  </si>
  <si>
    <t xml:space="preserve"> Contract ID:	20GFH0011 Contract Name:	SUPPLY AND DELIVERY OF OFFICE EQUIPMENT FOR USE IN THE DPWH-DEO CATANDUANES, VIRAC, CATANDUANES (PR#20-06-025 DATED 6/8/2020) Contract Location:	VIRAC, CATANDUANES Scope of Work:	SUPPLY AND DELIVERY OF OFFICE EQUIPMEN</t>
  </si>
  <si>
    <t xml:space="preserve"> Item Number	Description	Unit	Quantity 			 1	ATS 1,500 UNITS AMP. X10’S	bx	80 2	TETANUS TOXIOD AMP X10’S	bx	25 3	CEFUROXIME 750 VIAL X10’S	bx	80 4	CEFTRIAXONE 1G VIAL X10’S	bx	50 5	CO-AMOXICLAV 1.2 G VIAL X1’S	bx	50 6	DIPHENHYDRAMINE HCL 50MG AMP X10’S	bx	</t>
  </si>
  <si>
    <t xml:space="preserve"> Republic of the Philippines DEPARTMENT OF PUBLIC WORKS AND HIGHWAYS Region VII            South Road Properties (SRP), Cebu City                                        Contract ID	 : 20H00064 Contract Name   : Construction/Repair/Rehabilitation/Improvemen</t>
  </si>
  <si>
    <t xml:space="preserve"> INVITATION TO BID KB-GOODS-2020-05 I.	The Municipality of Kitaotao, intends to apply the sum of  Eighty Thousand Pesos (P80,000.00) for the Supply and Delivery of Various Goods . Bids received more than the ABC shall be automatically rejected at Bid openi</t>
  </si>
  <si>
    <t xml:space="preserve"> Contract ID	No. 	      	: 20AD0096 Contract Name	      	: Construction (Completion) of Candon City Hospital    (Satellite ITRMC) Buildings  Contract Location	      	: Candon City, Ilocos Sur	       Brief Description	      	: Construction of Multi-Purpose </t>
  </si>
  <si>
    <t xml:space="preserve"> Negotiated Procurement No. 2020-15 (GAS) NOTICE FOR RENEGOTIATED PROCUREMENT The Department of Agriculture, Western Visayas, Iloilo City invites all suppliers/distributors to participate in the RENEGOTIATION for the Procurement of Supply &amp; Delivery of Var</t>
  </si>
  <si>
    <t xml:space="preserve"> Republic of the Philippines DEPARTMENT OF PUBLIC WORKS AND HIGHWAYS Region VII            South Road Properties (SRP), Cebu City                                        Contract ID	 : 20H00063 Contract Name   : Construction/Repair/Rehabilitation/Improvemen</t>
  </si>
  <si>
    <t xml:space="preserve"> Republic of the Philippines DEPARTMENT OF PUBLIC WORKS AND HIGHWAYS NUEVA ECIJA 2ND DISTRICT ENGINEERING OFFICE REGIONAL OFFICE III San Isidro, Cabanatuan City INVITATION TO BID  1.	The DPWH-Nueva Ecija 2nd District Engineering Office, through its Bids an</t>
  </si>
  <si>
    <t xml:space="preserve"> Request for Quotation for the Procurement of Various Office Supplies to be used in the DA-RFO7 offices in support to the Implementation of Various Projects 1.	The Department of Agriculture-Regional Field Office 7 (DA-RFO 7), through the General Appropriat</t>
  </si>
  <si>
    <t xml:space="preserve"> Item No.	Description	Unit	Quantity b.9	Mobilization/Demobilization	unit 	1.00 B5	Project Billboard / Signage	unit	1.00 b.7.1	Occupational Safety and Health Program	lot	1.00 A1.1(6)	Provision for combined field office, lab. And	lot	1.00 100(3).b3	Removal o</t>
  </si>
  <si>
    <t xml:space="preserve"> Item No.	Quantity	Unit of Issue	Item Description B-5-          	2	each	               Project Billboard 405(2)	      5.81	Cu.m.	               Structural Concrete Class “B” 704	             56.79	Sq.m.          	Masonry 804	             34.01	Cu.m.	      </t>
  </si>
  <si>
    <t xml:space="preserve"> INVITATION TO BID FOR PROCUREMENT OF EQUIPMENT FOR COE PHYSICS &amp; CHEMISTRY LABORATORY           The CAMARINES SUR POLYTECHNIC COLLEGES, through the GAA (2020) intends to apply the sum of One Million Five Hundred Twenty One Thousand Six Hundred Pesos (₱1,5</t>
  </si>
  <si>
    <t xml:space="preserve"> Bid-Opening-July 7,2020 at 2:00 p.m. at Municipal Conference Room</t>
  </si>
  <si>
    <t xml:space="preserve"> Department of Education Region VI-Western Visayas Cadiz City Alimatoc Elementary School Small Value Procurement of the Repair of 2 Span Perimeter Fence 1.	The Alimatoc Elementary School, through the School’s MOOE 2020  intends to apply the sum of Twenty T</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</si>
  <si>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</si>
  <si>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REPAINTING OF BARANGAY GYM, BARANGAY HALL, DAY CARE CENTER &amp; WATER SYSTEM</t>
  </si>
  <si>
    <t xml:space="preserve"> (IB NO. 2020DJG-001) The PhilHealth Regional Office VI, through the COB of CY 2020 intends to apply the sum of Two Million Seven Hundred Sixty Eight Thousand Seven Hundred Two Pesos and 15/100 only  (Php 2,768,702.15), being the Approved Budget for the Co</t>
  </si>
  <si>
    <t xml:space="preserve"> Use of RHU for nutrition month celebration  20 bxs Milk Powder 320 grams 36's</t>
  </si>
  <si>
    <t xml:space="preserve"> Location: Sto. Tomas, Pampanga Appropriation: Php 1,000,000.00 Source of Fund: General Fund Classification: Flood Control Limits: Sta. 00 + 000 to Sta. 00 + 147 Net Length: L=147.00 lin.m. No. of days to complete: 30 days</t>
  </si>
  <si>
    <t xml:space="preserve"> Republic of the Philippines DEPARTMENT OF PUBLIC WORKS AND HIGHWAYS Region VII            South Road Properties (SRP), Cebu City                                        Contract ID	 : 20H00067 Contract Name   : Construction/Repair/Rehabilitation/Improvemen</t>
  </si>
  <si>
    <t xml:space="preserve"> 1 UNIT/S RESCUE VEHICLE - DUMPTRUCK - 8 Cyclinder diesel engine - 12 cubic meter dumpbox capacity/ 10 wheelers 6x6 - with free print of the following municipal logo and word MDRRMC in the front - with GSIS insurance and LTO Registration - 1 year warranty </t>
  </si>
  <si>
    <t xml:space="preserve"> INVITATION TO BID KB-GOODS-2020-05 I.	The Municipality of Kitaotao, intends to apply the sum of Ninety-Three Thousand Pesos (P93,000.00) for the Supply and Delivery of Various Goods . Bids received more than the ABC shall be automatically rejected at Bid </t>
  </si>
  <si>
    <t xml:space="preserve"> INVITATION TO BID KB-GOODS-2020-05 I.	The Municipality of Kitaotao, intends to apply the sum of Forty Thousand Pesos (P40,000.00) for the Supply and Delivery of Various Goods . Bids received more than the ABC shall be automatically rejected at Bid opening</t>
  </si>
  <si>
    <t xml:space="preserve"> Item No.	Description	Unit	Quantity A.1.1(6)	Provision of Combined Field	2.00	mo/s b.5	Project Billboard/Signage	1.00	unit b.7.(1)	Occupational Safety and Health Program	2.00	mo/s b.8 (1)	Traffic Management	2.00	mo/s b.9	Mobilization / Demobilization	1.00	</t>
  </si>
  <si>
    <t xml:space="preserve"> PLEASE SEE ATTACHED PR, TOR AND BID DOCUMENTS FOR DETAILS</t>
  </si>
  <si>
    <t xml:space="preserve"> INVITATION TO BID KB-GOODS-2020-05 I.	The Municipality of Kitaotao, intends to apply the sum of Eighty Thousand Pesos Only (P80,000.00) for the Supply and Delivery of Various Goods . Bids received more than the ABC shall be automatically rejected at Bid o</t>
  </si>
  <si>
    <t xml:space="preserve"> INVITATION TO BID FOR Procurement of Reference Books &amp; Professional Journals (Lot 1-2) 	          The CAMARINES SUR POLYTECHNIC COLLEGES, through the College Income intends to apply the sum of the following listed below being the Approved Budget for the C</t>
  </si>
  <si>
    <t xml:space="preserve"> Republic of the Philippines DEPARTMENT OF PUBLIC WORKS AND HIGHWAYS Region VII            South Road Properties (SRP), Cebu City                                        Contract ID	 : 20H00065 Contract Name   : Construction/Repair/Rehabilitation/Improvemen</t>
  </si>
  <si>
    <t xml:space="preserve"> 1	63	Cu. M.	Gravel for filling 2	480	bag	Portland Cement 3	30	Cu. M.	Gravel G#3/4 4	31	Cu. M.	Sand 5	2480	pcs	4” thick concrete hollow blocks 6	190	pcs	10mm diameter by 6.0m Rebars 7	137	pcs	12mm diameter by 6.0m Rebars 8	48	pcs	16mm diameter by 6.0m Reba</t>
  </si>
  <si>
    <t xml:space="preserve"> IMPROVEMENT OF BARANGAY HALL @ BRGY. BAGUMBAYAN, LAL-LO, CAGAYAN</t>
  </si>
  <si>
    <t xml:space="preserve"> Republic of the Philippines          City of Dumaguete Bids and Awards Committee INVITATION TO BID FOR THE JOB ORDER: EQUIPMENT RENTAL 	The City of Dumaguete thru its BIDS AND AWARDS COMMITTEE (BAC), invites all interested manufacturers, suppliers, dealer</t>
  </si>
  <si>
    <t xml:space="preserve"> 1	 Diploma Holder with Gold Seal 							600	pcs 	 Includes: 								 	 Maroon Haspe Book Cover 								 	 9x11.5" 								 	 3 1/2 diameter evsu gold logo 								 	 printed in gold foil 								 	 #25 paste board 								 	 vellum 180gms 								 	 w/ du</t>
  </si>
  <si>
    <t xml:space="preserve"> item no.       qty.          unit                   description  1                 10           pcs.                 electrical tape 2                 100         pcs.                 LED Bulb 9 watts  3                 50           pcs.                 r</t>
  </si>
  <si>
    <t xml:space="preserve"> INVITATION TO BID The Philippine Children’s Medical Center, through GAA/HFEP (DOH) CY 2019 intends to apply the sum of Seventeen Million One Hundred Twenty One Thousand Three Hundred Pesos (Php 17,121,300.00) being the Approved Budget for the Contract (AB</t>
  </si>
  <si>
    <t xml:space="preserve"> INVITATION TO BID FOR CIVIL WORKS June 16, 2020 1.	The Department of Public Works and Highways (DPWH), Bukidnon Second District Engineering Office, Pinamaloy, Don Carlos, Bukidnon through its Bids and Awards Committee BAC, invites contractors to submit bi</t>
  </si>
  <si>
    <t xml:space="preserve"> PHO-2020-038 PR2020-0150 INVITATION TO BID FOR THE PROCUREMENT OF BASIC LIFE SUPPORT AMBULANCE FOR THE USE IN CONG. SIMEON G. TORIBIO MEMORIAL HOSPITAL, CARMEN, BOHOL ABC: P 2,500,000.00 COST OF BID DOCUMENTS: P 5,000.00 ADVERTISEMENT PERIOD: JUNE 17 - JU</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</si>
  <si>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</si>
  <si>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PLS. SEE ATTACHED PURCHASE REQUISITION, TERMS OF REFERENCE &amp; BID DOCUMENTS FOR DETAILS</t>
  </si>
  <si>
    <t xml:space="preserve"> INVITATION TO BID KB-GOODS-2020-05 I.	The Municipality of Kitaotao, intends to apply the sum of  Forty Thousand Pesos Only (P40,000.00) for the Supply and Delivery of Various Goods . Bids received more than the ABC shall be automatically rejected at Bid o</t>
  </si>
  <si>
    <t xml:space="preserve"> Standard Form Number, SF          Revised on May 24, 2004   PR#: 2020-01-06-014                                                                                                              Date : June 10, 2020                                              </t>
  </si>
  <si>
    <t xml:space="preserve"> REQUEST FOR QUOTATION The National Irrigation Administration – Bulacan-Aurora-Nueva Ecija Irrigation Management Office, Tambubong, San Rafael, Bulacan through its Bids and Awards Committee (BAC), will undertake NEGOTIATED PROCUREMENT – Small Value Procure</t>
  </si>
  <si>
    <t xml:space="preserve"> Request for Quotation for the Procurement of Various Laboratory Supplies to be used at the Vaccine Production Laboratory  1.	The Department of Agriculture-Regional Field Office 7 (DA-RFO 7), through the General Appropriations Act of CY 2020)  intends to a</t>
  </si>
  <si>
    <t xml:space="preserve"> CONSTRUCTION OF DAY CARE CENTER @ BRGY CAMBONG, LAL-LO, CAGAYAN</t>
  </si>
  <si>
    <t xml:space="preserve"> PLEASE SEE ATTACHED ITB.</t>
  </si>
  <si>
    <t xml:space="preserve"> Republic of the Philippines          City of Dumaguete Bids and Awards Committee INVITATION TO BID FOR THE JOB ORDER: SUPPLY AND PLANTING OF BERMUDA GRASS, ETC. 	The City of Dumaguete thru its BIDS AND AWARDS COMMITTEE (BAC), invites all interested manufa</t>
  </si>
  <si>
    <t xml:space="preserve"> The Local Government Unit – Quinapondan, Eastern Samar, through its Bids &amp; Awards Committee (BAC ), intends to apply the sum of Three Hundred Sixty Eight Thousand Three Hundred Sixty Pesos and 88/100 (Php368,360.88) under the approved Appropriation Ordina</t>
  </si>
  <si>
    <t xml:space="preserve"> PLEASE CALL FOR THE DETAILS OF THE REQUIRED ITEMS</t>
  </si>
  <si>
    <t xml:space="preserve"> PLS. SEE ATTACHED PURCHASE REQUISITION, TERMS OF REFERENCE, BID DOCUMENTS FOR DETAILS</t>
  </si>
  <si>
    <t xml:space="preserve"> 1 set Head Cylinder Assembly TD27 (Surplus) 1 set Overhauling Gasket 7 liters Engine oil 1 piece Oil filter 1 piece Fuel filter</t>
  </si>
  <si>
    <t xml:space="preserve"> INVITATION TO BID KB-GOODS-2020-05 I.	The Municipality of Kitaotao, intends to apply the sum of Twenty-Five Thousand Pesos (P25,000.00) for the Supply and Delivery of Various Goods . Bids received more than the ABC shall be automatically rejected at Bid o</t>
  </si>
  <si>
    <t xml:space="preserve"> Republic of the Philippines D E P A R T M E N T  O F  H E A L T H PHILIPPINE CHILDREN’ S MEDICAL CENTER Quezon Avenue, Quezon City             588-9900 loc 361/355  Website: www.pcmc.gov.ph email: bac@pcmc.gov.ph INVITATION TO BID The Philippine Children’</t>
  </si>
  <si>
    <t xml:space="preserve"> Department of Education Region VI-Western Visayas Division of Cadiz City Alimatoc Elementary School SMALL VALUE PROCUREMENT FOR THE GRADUATION YEAR 2020 1.	The Alimatoc Elementary School of Cadiz City, through the Schools MOOE Fund CY 2019  intends to app</t>
  </si>
  <si>
    <t xml:space="preserve"> Republic of the Philippines Province of Nueva Vizcaya BIDS AND AWARDS COMMITTEE (BAC-Goods) BAC OFFICE, Provincial Capitol, Bayombong, Nueva Vizcaya 	 2nd REQUEST FOR QUOTATION (RFQ) For the Procurement of Office Supplies (1st Quarter) For the Sangguiang </t>
  </si>
  <si>
    <t xml:space="preserve"> concrete pavement 455 m x 4 m x .10 m</t>
  </si>
  <si>
    <t xml:space="preserve"> Description of works to be done	Quantity	Unit 	CIVIL, MECHANICAL, ELECTRICAL AND SANITARY/PLUMBING WORKS		 	PART A – OTHER GENERAL REQUIREMENTS		 A.1.1(1)	Construction of Combined Field Office. Laboratory and Living Quarters Building for the Engineer	All	</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</si>
  <si>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</si>
  <si>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INVITATION TO BID (INFRA) The Municipality of Sibonga through the General Fund intends to apply the sum of Twenty-five million three hundred fifty-six thousand seven hundred forty-nine &amp; 79/100 pesos only (25,356,749.74) being the Approved Budget for the </t>
  </si>
  <si>
    <t xml:space="preserve"> The Local Government Unit – Quinapondan, Eastern Samar, through its Bids &amp; Awards Committee (BAC ), intends to apply the sum of Two Hundred Sixteen Thousand Seven Hundred Fifty Six pesos (216,756.00) under the approved Annual Budget Appropriation Ordinanc</t>
  </si>
  <si>
    <t xml:space="preserve"> INVITATION TO BID KB-GOODS-2020-05 I.	The Municipality of Kitaotao, intends to apply the sum of One Hundred Fifteen Thousand Four Hundred Thirty-Three Pesos &amp; 26/100 centavos (P115,433.26) for the Supply and Delivery of Drugs &amp; Medicines . Bids received m</t>
  </si>
  <si>
    <t xml:space="preserve"> Republic of the Philippines DEPARTMENT OF PUBLIC WORKS AND HIGHWAYS Region VII            South Road Properties (SRP), Cebu City                                        Contract ID	 : 20H00066 Contract Name   : Construction/Repair/Rehabilitation/Improvemen</t>
  </si>
  <si>
    <t xml:space="preserve"> 940 m x 4 m x .10 m</t>
  </si>
  <si>
    <t xml:space="preserve"> 1.) 	10	pieces	Clutch Lining 2.)	2	boxes	Spark Plug 3.)	10	pieces	Nylon Connector 4.)	5	pieces	Piston with Ring 5.)	5	pieces	Clutch adaptor threaded 6.)	5	pieces	Gear Box 7.)	2	pieces	Tank regulator 8.)	4	sets	Bore .</t>
  </si>
  <si>
    <t xml:space="preserve"> Request for Quotation for the Supply of Fuel and Oil for Vehicles at PATCO Bohol Province 1.	The Department of Agriculture-Regional Field Office 7 (DA-RFO 7), through the General Appropriations Act of CY 2020)  intends to apply the sum of Two Hundred Elev</t>
  </si>
  <si>
    <t xml:space="preserve"> Brass Ball Faucet 1/2'' ISO std. w/ bibb -50pcs Brass Ball Valve w/ lockwing 1/2'' ISO.std. -50pcs Brass Ball Valve w/ lockwing 3/4' ISO.std. -50pcs Brass Ball Valve w/ lockwing 1'' ISO.std. -50pcs Brass Replacement Piece 1/2'' ISO.std. -50pcs Brass Repla</t>
  </si>
  <si>
    <t xml:space="preserve"> INVITATION TO BID KB-GOODS-2020-05 I.	The Municipality of Kitaotao, intends to apply the sum of Seventy Five Thousand Pesos Only (P75,000.00) for the Supply and Delivery of Various Goods . Bids received more than the ABC shall be automatically rejected at</t>
  </si>
  <si>
    <t xml:space="preserve"> INVITATION TO BID PROCUREMENT OF NFA - REGION I 2020 PESTICIDES REQUIREMENT  (LEFT-OUT LOTS) (REBIDDING) Project Reference No.: NFA-RO1-RBAC-2020-06-016 1.	The NATIONAL FOOD AUTHORITY (NFA) Regional Office 1 intends to apply the sum of PESOS: ONE MILLION </t>
  </si>
  <si>
    <t xml:space="preserve"> Republic of the Philippines DEPARTMENT OF PUBLIC WORKS AND HIGHWAYS REGIONAL OFFICE II Tuguegarao City, Cagayan INVITATION TO BID 1.	The Department of Public Works and Highways – Regional Office No. 02,, through the DPWH FY 2020 GAA intends to apply the A</t>
  </si>
  <si>
    <t xml:space="preserve"> concrete pavement 1 km LM</t>
  </si>
  <si>
    <t xml:space="preserve"> concrete pavement 667 m x 4 m x .10 m</t>
  </si>
  <si>
    <t xml:space="preserve"> SSS Bago Branch Diesel Fuel for the Period July to December 2020 for Service Vehicle SHG 322 Specifications:     1,920 LITERS 1. Diesel or approved equal for automotive 2. Euro 4 Compliant Diesel Fuel 3. Clean Air Act of 2014 compliant to sulfur 4. Water </t>
  </si>
  <si>
    <t xml:space="preserve"> PLS. SEE ATTACHED PURCHASE REQUISITION, TERMS OF REFERENCE, &amp; BID DOCUMENTS FOR DETAILS</t>
  </si>
  <si>
    <t xml:space="preserve"> INVITATION TO BID FOR DRILLING OF ONE (1) EXPLORATORY/PRODUCTION WELL AT BRGY. RAFAELA BARRERA (PROVISION OF WATER SUPPLY TO NHA PERMANENT RESETTLEMENT SITES HOUSING PROGRAM IN YOLANDA AFFECTED AREAS) FOR SAGAY WATER DISTRICT 1. The SAGAY WATER DISTRICT (</t>
  </si>
  <si>
    <t xml:space="preserve"> Line Upgrading 3 Phase Load.</t>
  </si>
  <si>
    <t xml:space="preserve"> The MLGU-Pasil, now invites bids for the CONCRETING OF PATHWAY, GALDANG. The project is located at Galdang, Pasil, Province of Kalinga. The following are the Item of Works;					 					 	ITEM NO.	DESCRIPTION	QUANTITY	UNIT	 	103	Excavation &amp; Levelling 	 30.0</t>
  </si>
  <si>
    <t xml:space="preserve"> REGION XII  Province of Cotabato  Municipality of Midsayap  BIDS &amp; AWARDS COMMITTEE  Tel. Nos. (064) 229-8018; 229-8650; 229-8450    INVITATION TO BID FOR   2020-070, SUPPLY AND DELIVERY OF BUSINESS REGISTRATION PLATE AT LGU MIDSAYAP, COTABATO    1.	The M</t>
  </si>
  <si>
    <t xml:space="preserve"> Nylon # 2 (30meters)- 12 roll CWN # 3 - 36 kgs CWN # 4 - 42 kgs Portland Cement - 1764 bags</t>
  </si>
  <si>
    <t xml:space="preserve"> 1.	The Local Government Unit of Las Nieves, through the Budget for the Contract approved by the Sanggunian (20% DF) intends to apply the sum of one million and five hundred thousand pesos only (Php 1,500,000.00), being the Approved Budget for the Contract</t>
  </si>
  <si>
    <t xml:space="preserve"> The Local Government Unit – Quinapondan, Eastern Samar, through its Bids &amp; Awards Committee (BAC ), intends to apply the sum of FOUR HUNDRED TWENTY NINE THOUSAND TWO HUNDRED FIFTY FOUR PESOS AND 63/100 (P429,254.63) under Annual Budget Appropriation Ordin</t>
  </si>
  <si>
    <t xml:space="preserve"> Republic of the Philippines PROVINCE OF ZAMBOANGA SIBUGAY Municipality of Roseller T. Lim    INVITATION TO BID 						June 15, 2020 	 To All Interested Bidders: Notice is hereby served that sealed bid be received for public bidding under the harmonious pro</t>
  </si>
  <si>
    <t xml:space="preserve"> Procurement of Fuel and Oil</t>
  </si>
  <si>
    <t xml:space="preserve"> ITEM.	QTY	UNIT OF	DESCRIPTION NO.		ISSUE	 			 1	48	units	Printer 2	997	reams	Bond Paper A4  3	56	set	Ink(black,cyan,magenta,yellow)</t>
  </si>
  <si>
    <t xml:space="preserve"> 1 unit Tractor Brandnew with complete accessories/with warranty 75Hp 3 Cyl.Turbocharged,  Power steering ,Rotary Inj. Pump,12.4x 24 front tire; 18.4x 30 rear tire  Accessories: 1 unit universal Heavy Duty Disc Plow  1 unit universal Hydraulic disc plow 1 </t>
  </si>
  <si>
    <t xml:space="preserve"> Request for Quotation for the Procurement of Diesel and Gasoline to be used in the Establishment of 10 hectares Rice Seed Production Project at DA-BES, Gabi, Ubay, Bohol for Cropping Season Jun-Dec. 2020  1.	The Department of Agriculture-Regional Field Of</t>
  </si>
  <si>
    <t xml:space="preserve"> 455 m x 4 m x .10 m</t>
  </si>
  <si>
    <t xml:space="preserve"> A. FURNITURE AND FIXTURES 1. 35 units Customized Tables Shape: Trapezoid Size: Height - 29" Main Base - 29" Sec. Base - 24" Sides - 20" Materials: Hardwood and wood laminates with one open pull out layer under Wheels: Roller caster 2. 35 units Chairs Stak</t>
  </si>
  <si>
    <t xml:space="preserve"> Republic of the Philippines Province of Iloilo Municipality of Lambunao Office of the Bids &amp; Awards Committee INVITATION TO BID/ REQUEST FOR PRICE QUOTATION Name of Project: Purchase of Clinical Equipment for the use of Lambunao MHO-Laboratory Location: L</t>
  </si>
  <si>
    <t xml:space="preserve"> Contract ID: 20PL0120 Contract Name: Repair of Cross Drainage Inlet and Canal Lining along Mt. Province-Boundary-Calanan-Pinukpuk-Abbut Road (Cagaluan-Calanan Section) Contract Location: K0485+710-K0485+780, Tabuk City, Kalinga Brief Description: Construc</t>
  </si>
  <si>
    <t xml:space="preserve"> 2 pcs. - Tire, 185R 14, 8 ply</t>
  </si>
  <si>
    <t xml:space="preserve"> PLS. SEE ATTACHED PURCHASE REQUISITION , TERMS OF REFERENCE &amp; BID DOCUMENTS FOR DETAILS</t>
  </si>
  <si>
    <t xml:space="preserve"> Invitation to Apply for Eligibility and to Bid Republic of the Philippines Municipality of  Roseller T. Lim Concreting of Road at Ecopark – Phase II 									June  10, 2020 1.	The Municipality of Roseller T. Lim, through its 20% Economic Development Funds</t>
  </si>
  <si>
    <t xml:space="preserve"> I. Lay-out/Staking - 1.00 lot II. Excavation / Back fill - 75.60 cu.m III. Steel Reinforcement - 10,937.63 kgs. IV. Concrete Pouring - 154.07 cu.m V. G.I Pipe Structure Frames - 1.00 lot VI. Roofing Works - 777.23 sq.m VII. Electrical Works - 76.00 In.m V</t>
  </si>
  <si>
    <t xml:space="preserve"> Republic of the Philippines DEPARTMENT OF PUBLIC WORKS AND HIGHWAYS LAGUNA II DISTRICT ENGINEERING OFFICE REGIONAL OFFICE IV-A Brgy. Bambang, Los Baños, Laguna Invitation to Bid No. 2020 - 10 The Department of Public Works and Highways- Laguna II District</t>
  </si>
  <si>
    <t xml:space="preserve"> 1	1	Set	Desktop with printer 			Intel I7-9700F 4.7Ghz 1151 12 MB Processor; Motherboard B365M;8GB DDR4;256gb SSD m.                           2;1TB harddisk; GTX1050TI 4GB DDR5 videocard;DVD writer;CASING with power                            management;2</t>
  </si>
  <si>
    <t xml:space="preserve"> Item No. 	Item Description					QTY.	Unit	Unit Price	Total Price 1	Communicaiton Equipment					11	units</t>
  </si>
  <si>
    <t xml:space="preserve"> Contract ID: 20PL0119 Contract Name: Improvement of Shoulder Structure and Repair of Cross Drainage along Mt. Province-Boundary-Calanan-Pinukpuk-Abbut Road (Cagaluan-Calanan Section) Contract Location: K0484+550-K0485+590, Tabuk City, Kalinga Brief Descri</t>
  </si>
  <si>
    <t xml:space="preserve"> The MLGU-Pasil, now invites bids for the INSTALLATION OF GLASS DOORS AT THE MP BUILDING (Mayor's, Vice Mayor's &amp; SB Office). The project is located at Amdalao, Guinaang, Pasil, Province of Kalinga. The following are the Item of Works;					 					 	ITEM NO.</t>
  </si>
  <si>
    <t xml:space="preserve"> ITEM No.	Description	 Quantity 	Unit 	ROAD COMPONENTS		 	PART A- EARTHWORK		 100(3)a1	Individual Removal of Trees (150-300mm dia.)- Small	 58.00 	each 102(2)	Surplus Common Excavation	 660.00 	cu.m. 102(3)a	Surplus Rock excavation	 615.00 	cu.m. 104(2)a	E</t>
  </si>
  <si>
    <t xml:space="preserve"> 2 SETS GSM CONTROLLER</t>
  </si>
  <si>
    <t xml:space="preserve"> PLEASE CALL FOR THE DETAILS AND REQUIREMENTS</t>
  </si>
  <si>
    <t xml:space="preserve"> CENTRAL OFFICE BIDS AND AWARDS COMMITTEE (COBAC) INVITATION TO BID PROCUREMENT OF DATABASE SERVER COBAC IB NO. 002 (G) S. 2020  1.	The Department of the Interior and Local Government (DILG), through the General Appropriations Act FY 2020, intends to apply</t>
  </si>
  <si>
    <t xml:space="preserve"> REQUEST FOR QUOTATION Date	:	June 17, 2020 Project Title	:	Procurement of Two (2) Years Subscription of Pocket Wifi ITB No.             	:	FB20-06-008COR Approved Budget for the Contract (ABC)	:	Four Hundred Twenty-Eight Thousand One Hundred Forty Pesos a</t>
  </si>
  <si>
    <t xml:space="preserve"> concrete pavement 758 m x 4 m x .10 m</t>
  </si>
  <si>
    <t xml:space="preserve"> Contract ID: 20PL0118 Contract Name: Improvement of Roadside Structures and Shoulder along Mt. Province-Boundary-Calanan-Pinukpuk-Abbut Road (Cagaluan-Calanan Section) Contract Location: K0483+790-K0483+870, Tabuk City, Kalinga Brief Description: Construc</t>
  </si>
  <si>
    <t xml:space="preserve"> Please see BAC Chairman &amp; attached document.</t>
  </si>
  <si>
    <t xml:space="preserve"> I	10.00	UNIT	LAPTOP			 			Specifications			 			Raizen 5			 			4GB RAM			 			Quad Core, 2.1 ghz			 			1 TB Hardrive			 			128SSD			 			14" Monitor			 			Wifi &amp; Bluetooth Ready			 			with Camera			 			Windows 10</t>
  </si>
  <si>
    <t xml:space="preserve"> Republic of the Philippines                                       Province of Leyte                        MUNICIPALITY OF ALBUERA                     OFFICE OF THE MUNICIPAL MAYOR OFFICE OF THE BIDS AND AWARDS COMMITTEE INVITATION TO BID 	The Local Gover</t>
  </si>
  <si>
    <t xml:space="preserve"> Republic of the Philippines  Province of Cebu Municipality of Boljoon INVITATION TO BID FOR the purchase of T-Shirts 1.	The Municipality of Boljoon, through the 4040-SPA-Dengue Program, BHW &amp; BNS and Support to Nutrition Activities  in the amount of One h</t>
  </si>
  <si>
    <t xml:space="preserve"> Contract ID: 20PL0121 Contract Name: Rehabilitation of National road, K0534+056 - K0534+106 (Babalag-Kinama-San Francisco Section), Rizal, Kalinga Contract Location: Rizal Kalinga Brief Description: Road Maintenance Approved Budget for the Contract (ABC):</t>
  </si>
  <si>
    <t xml:space="preserve"> Please download associated component (RFQ) and submit quotation together with the requirements in a sealed envelope to UP Cebu on or before 26 June 2020 at 3:00 PM.  Kindly click DRL if you wish to bid for the item/s herein posted.</t>
  </si>
  <si>
    <t xml:space="preserve"> Department of Education Region VI-Western Visayas Division of Cadiz City Alimatoc Elementay School SMALL VALUE PROCUREMENT FOR THE PROVISION OF FREE SCHOOL SUPPLIES FOR 2020 1.	The Alimatoc Elementay School of Cadiz City, through the Schools MOOE Fund CY </t>
  </si>
  <si>
    <t xml:space="preserve"> PLS. SEE ATTACHED PURCHASE REQUISITION,TERMS OF REFERENCE &amp; BID DOCUMENTS FOR DETAILS</t>
  </si>
  <si>
    <t xml:space="preserve"> Republic of the Philippines                   Department of Health	       CENTRAL OFFICE BIDS AND AWARDS COMMITTEE  INVITATION TO BID FOR THE  PROCUREMENT OF AUDIO VISUAL PRODUCTION SET-UP BUNDLE IB NO. 2020-217 1.	The Department of Health (DOH), through </t>
  </si>
  <si>
    <t xml:space="preserve"> Vehicle Parts &amp; Accessories</t>
  </si>
  <si>
    <t xml:space="preserve"> PLS. SEE ATTACHED PR, TOR, &amp; BID DOCS FOR DETAILS</t>
  </si>
  <si>
    <t xml:space="preserve"> Republic of the Philippines Province of Southern Leyte Municipality of San Juan Barangay San Jose BIDS AND AWARD COMMITTEE INVITATION TO BID FOR Supply &amp; Delivery of Vehicles The Brgy. San Jose of San Juan, Southern Leyte through the Province Financial As</t>
  </si>
  <si>
    <t xml:space="preserve"> ITEM No.	Description	 Quantity 	Unit 	ROAD COMPONENTS		 	PART A- EARTHWORK		 100(3)a1	Individual Removal of Trees (150-300mm dia.)- Small	 159.00 	each 102(2)	Surplus Common Excavation	 1,320.00 	cu.m. 102(3)a	Surplus Rock excavation	 854.00 	cu.m. 104(2)</t>
  </si>
  <si>
    <t xml:space="preserve"> Republic of the Philippines Province of Nueva Vizcaya BIDS AND AWARDS COMMITTEE (BAC-GOODS) BAC OFFICE, Provincial Capitol, Bayombong, Nueva Vizcaya Tel. No. (078) 392-2650 	 2ND INVITATION TO BID FOR THE SUPPLY AND DELIVERY OF HOSPITAL EQUIPMENT FOR THE </t>
  </si>
  <si>
    <t xml:space="preserve"> Republic of the Philippines Province of Leyte Municipality of Palompon oOo BIDS &amp; AWARD COMMITTEE Invitation to Bid for  REHABILITATION/IMPROVEMENT OF VARIOUS BARANGAY ROAD (SAN ROQUE-CATIGAHAN-HINAGBUAN) 2020-0707-013 Project Identification No. 1.	The Lo</t>
  </si>
  <si>
    <t xml:space="preserve"> Republic of the Philippines BOHOL ISLAND STATE UNIVERSITY Main Campus, Tagbilaran City INVITATION TO BID FOR PR NO. 2020-02-0182-MAIN-SUPPLY AND DELIVERY OF STENOGRAPH MACHINE FOR STENOGRAPH LABORATORY OF CBAS 1.	The Bohol Island State University – Main C</t>
  </si>
  <si>
    <t xml:space="preserve"> (see bidding document in the associated component for further project details)</t>
  </si>
  <si>
    <t xml:space="preserve"> Department of Education Region VI-Western Visayas Division of Cadiz City Alimatoc Elementary School SMALL VALUE FOR PROCURING FOR COMMUNICATION LOAD ALIMATOC ELEMENTARY SCHOOL FOR 2020 1.	The Alimatoc Elementary School of Cadiz City, through the Schools M</t>
  </si>
  <si>
    <t xml:space="preserve"> PURCHASE OF SUPPLIES AND MATERIALS FOR SMOKE FREE BARANGAY AND SOLID WASTE MANAGEMENT CAMPAIGN PROGRAM</t>
  </si>
  <si>
    <t xml:space="preserve"> Republic of the Philippines Department of Public Works and Highways SULTAN KUDARAT 1st DISTRICT ENGINEERING OFFICE REGIONAL OFFICE  Isulan, Sultan Kudarat REQUEST FOR EXPRESSION OF INTEREST (REOI) Contract I.D No.	: 20CF0002 Contract Name	Geotechnical Sur</t>
  </si>
  <si>
    <t xml:space="preserve"> Plumbing Materials</t>
  </si>
  <si>
    <t xml:space="preserve"> PLS. SEE ATTACHED PURCHASE REQUISITION, TERMS OF REFERENCE, &amp; BID DOCS FOR DETAILS</t>
  </si>
  <si>
    <t xml:space="preserve"> National Power Corporation INVITATION TO BID PUBLIC BIDDING 2020-0128 1.	The NATIONAL POWER CORPORATION (NPC), through       its        approved       Corporate Budget of CY 2020 intends to apply   the   sum   of (Please see schedule below) being the Appr</t>
  </si>
  <si>
    <t xml:space="preserve"> Republic of the Philippines BOHOL ISLAND STATE UNIVERSITY Main Campus, Tagbilaran City INVITATION TO BID FOR PR NO. 2020-02-0277-MAIN-SUPPLY AND DELIVERY OF STEEL FILING CABINETS FOR  THE DIFFERENT OFFICES 1.	The Bohol Island State University – Main Campu</t>
  </si>
  <si>
    <t xml:space="preserve"> I N V I T A T I O N   T O   B I D 2020 - 105 June 17, 2020 1.	The Provincial Government of Tarlac through the Trust Fund intends to apply the sum of Seventeen Million Six Hundred Thirty-Eight Thousand One Hundred Sixty-Four Pesos and 50/100 (Php 17,638,16</t>
  </si>
  <si>
    <t xml:space="preserve"> PURCHASE OF COMMUNICATION EQUIPMENT</t>
  </si>
  <si>
    <t xml:space="preserve"> DP 160 - 3a, 50.0 LPS @ 84. mts, 6" dia NPT, SS316 submersible pump, coupled to 75.0 Hp, 460V, phase, 3 wires, 6" dia submersible motor 3C - 50mm2/#1.0 AWG submersible wire VFD motor controller Please see attached bidding documents for the details of the </t>
  </si>
  <si>
    <t xml:space="preserve"> PURCHASE OF ADDITIONAL CCTV</t>
  </si>
  <si>
    <t xml:space="preserve"> PURCHASE OF SUPPLIES AND MATERIALS FOR  TREE TRIMMING AND STREET LIGHTING PURPOSES</t>
  </si>
  <si>
    <t xml:space="preserve"> Republic of the Philippines DEPARTMENT OF PUBLIC WORKS AND HIGHWAYS NUEVA ECIJA 2ND DISTRICT ENGINEERING OFFICE REGIONAL OFFICE III San Isidro, Cabanatuan City INVITATION TO BID The   DPWH- Nueva Ecija 2nd District Engineering Office, through its Bids and</t>
  </si>
  <si>
    <t xml:space="preserve"> PURCHASE OF OFFICE EQUIPMENT</t>
  </si>
  <si>
    <t xml:space="preserve"> CONTRACT ID: 19GL00110; P.R. No. 2020-03-034 DATED 03/03/2020; P.R. No. 2020-05-058 DATED 05/27/2020; P.R. No. 2020-05-059 DATED 05/27/2020; P.R. No. 2020-06-062 DATED 06/05/2020; P.R. No. 2020-06-063 DATED 06/05/2020; P.R. No. 2020-06-064 DATED 06/05/202</t>
  </si>
  <si>
    <t xml:space="preserve"> PURCHASE OF OTHER SUPPLIES AND MATERIALS</t>
  </si>
  <si>
    <t xml:space="preserve"> The Sangguniang Barangay of Katimo, Tagkawayan, Quezon invites interested bidders for construction of Spillway with abc  300,000.00. The bidding will be conducted through open competitive bidding procedures using a non discrepancy pass/fail criteria which</t>
  </si>
  <si>
    <t xml:space="preserve"> PURCHASE OF OFFICE SUPPLIES AND MATERIALS</t>
  </si>
  <si>
    <t xml:space="preserve"> Please see attached File Thank you</t>
  </si>
  <si>
    <t xml:space="preserve"> Description   The MINISTRY OF SOCIAL SERVICES AND DEVELOPMENT BARMM, intends to apply the sum of FOURTEEN MILLION AND THREE HUNDRED EIGHTY THOUSAND (P14,380,000.00) / PB-2020-001-1 being the Approved Budget for the Contract (ABC) to payments under the con</t>
  </si>
  <si>
    <t xml:space="preserve"> PURCHASE OF FURNITURE AND FIXTURES</t>
  </si>
  <si>
    <t xml:space="preserve"> I N V I T A T I O N   T O   B I D 2020 - 110 June 17, 2020 1.	The Provincial Government of Tarlac through the Trust Fund intends to apply the sum of One Million One Hundred Eighty-Six Thousand Eight Pesos and 12/100 (PhP 1,186,008.12) being the Approved B</t>
  </si>
  <si>
    <t xml:space="preserve"> See attached Terms of Reference</t>
  </si>
  <si>
    <t xml:space="preserve"> 3 Storey Multipurpose Building with Function Hall</t>
  </si>
  <si>
    <t xml:space="preserve"> INVITATION TO BID The Iligan City Government Bids and Awards Committee (BAC), through General Fund 2020, intends to apply the sum of P 1,499,425.00 being the Approved Budget for the Contract (ABC) to payments under the Contract for Procurement of Medical </t>
  </si>
  <si>
    <t xml:space="preserve"> INVITATION TO BID FOR Upgrading of BiPSU Electrical System (Main Campus &amp; Biliran Campus) 1.	The BILIRAN PROVINCE STATE UNIVERSITY (BiPSU), through the General Appropriations Act (GAA) 2020 intends to apply the sum of Nine Million Six Hundred Sixty Thousa</t>
  </si>
  <si>
    <t xml:space="preserve"> OFFICE OF THE BIDS AND AWARDS COMMITTEE (BAC) INVITATION TO BID FOR: 20-06-445 Purchase of Fuel for Oplan Ligtas na Pamayanan Program under Bureau of Fire Protection (BFP) 1.	The Local Government Unit of Alamada, through the TF 2019-5-02-03-090 intends to</t>
  </si>
  <si>
    <t xml:space="preserve"> OFFICE OF THE BIDS AND AWARDS COMMITTEE (BAC) INVITATION TO BID FOR: 20-05-409 Purchase of Cacao Seedlings for Cacao Production, Processing and Marketing Project under DAR-MinSAAD 1.	The Local Government Unit of Alamada, through the TRUST FUND- DAR-MinSAA</t>
  </si>
  <si>
    <t xml:space="preserve"> 66.0 LPS @ 65m TDH SS-316 submersible pump 4.0 LPS LPS @ 85m TDH pump, SS316 3.3 LPS @ 77m TDH  Please see attached bidding documents for the details of the project to be bid.</t>
  </si>
  <si>
    <t xml:space="preserve"> I N V I T A T I O N   T O   B I D 2020 - 109 June 17, 2020 1.	The Provincial Government of Tarlac through the PGO - Capital Outlay - ICT Equipment; PGO - Other MOE intends to apply the sum of Three Million Thirty-Seven Thousand Three Hundred Eighty-Six Pe</t>
  </si>
  <si>
    <t xml:space="preserve"> CONTRACT ID: 19GL00112; P.R. No. 2020-06-061 DATED 06/04/2020 CONTRACT LOCATION: EQUIPMENT MANAGEMENT DIVISION, DPWH R.O. XI, PANACAN, DAVAO CITY CONTRACT DESCRIPTION:	PROCUREMENT OF VARIOUS FILTERS &amp; LUBRICANT, FOR USE IN THE CORRECTIVE &amp; PREVENTIVE MAIN</t>
  </si>
  <si>
    <t xml:space="preserve"> I N V I T A T I O N   T O   B I D 2020 - 108 June 17, 2020 1.	The Provincial Government of Tarlac through the Trust Fund intends to apply the sum of Three Million Six Hundred Fifty-Three Thousand Seven Hundred Fifty-Six Pesos Only (PhP 3,653,756.00) being</t>
  </si>
  <si>
    <t xml:space="preserve"> I N V I T A T I O N   T O   B I D 2020 - 106 June 17, 2020 1.	The Provincial Government of Tarlac through the Trust Fund intends to apply the sum of Four Million Two Hundred Fifty-Two Thousand Four Hundred Six Pesos Only (PhP 4,252,406.00) being the Appro</t>
  </si>
  <si>
    <t xml:space="preserve"> Republic of the Philippines DEPARTMENT OF PUBLIC WORKS AND HIGHWAYS OFFICE OF THE DISTRICT ENGINEER Bukidnon 1st District Engineering Office Malaybalay City INVITATION TO BID The Department of Public Works and Highways, Bukidnon 1st District Engineering o</t>
  </si>
  <si>
    <t xml:space="preserve"> DP 160 - 3a, 50.0 LPS @ 67.6 mts, 6" dia NPT, SS316 submersible pump, coupled to 75.0 Hp, 460V, phase, 3 wires, 6" dia submersible motor 82-A3 splicing kit 3C - 50mm2/#1.0 AWG submersible wire VFD motor controller Please see attached bidding documents for</t>
  </si>
  <si>
    <t xml:space="preserve"> 10,000 Food Packs 	*3 kilograms rice (good quality) 	*3 cans sardines (155g) 	*1/2 kilogram pancit (pre-packed) 	*2 cans corned-beef (175g)</t>
  </si>
  <si>
    <t xml:space="preserve"> CONTRACT ID: 19GL00111; P.R. No. 2020-06-061 DATED 06/04/2020 CONTRACT LOCATION: EQUIPMENT MANAGEMENT DIVISION, DPWH R.O. XI, PANACAN, DAVAO CITY CONTRACT DESCRIPTION: PROCUREMENT OF VARIOUS TIRES, FOR USE IN THE CORRECTIVE &amp; PREVENTIVE MAINTENANCE OF VAR</t>
  </si>
  <si>
    <t xml:space="preserve"> 125 KVA, 460, 3 phase, generator set, water colled, turbo diesel engine, open- type skid base mounted Please see attached bidding documents for the details of the project to be bid.</t>
  </si>
  <si>
    <t xml:space="preserve"> Development of additional existing water system at New Poblacion and Bilis by tapping water from Ribsuan River</t>
  </si>
  <si>
    <t xml:space="preserve"> PURCHASE OF SUPPLIES AND MATERIALS FOR WASTE MANAGEMENT</t>
  </si>
  <si>
    <t xml:space="preserve"> I N V I T A T I O N   T O   B I D 2020 - 107 June 17, 2020 1.	The Provincial Government of Tarlac, intends to apply the sum tabulated herein being the Approved Budget for the Contract (ABC) to payments under the contract of Procurement of Drugs and Medici</t>
  </si>
  <si>
    <t xml:space="preserve"> PARTICULAR		"APPROVED BUDGET FOR THE CONTRACT (ABC)  PH"	SOURCE OF FUND FOR 2020 NO.	ITEM DESCRIPTION		 1	Data Storage	 750,000.00 	GAA 2	Desktop Computer	 2,125,000.00 	 3	Notebook Computer	 1,600,000.00 	 4	Microsoft Office Pro 2019 	 500,000.00 	 5	Des</t>
  </si>
  <si>
    <t xml:space="preserve"> Republic of the Philippines Province of Batangas CITY OF TANAUAN INVITATION TO BID Description 1)	The City Government of Tanauan, through the    General Fund intends to apply the sum of PHP  10,034,000.00 per month for (5 Months)   being the Approved Budg</t>
  </si>
  <si>
    <t xml:space="preserve"> CENTRAL OFFICE BIDS AND AWARDS COMMITTEE (COBAC) Invitation to Bid PROCUREMENT OF VARIOUS VACCINES COBAC IB NO. 003 (G) S. 2020 The Department of the Interior and Local Government (DILG), through the General Appropriations Act FY 2020 intends to apply the</t>
  </si>
  <si>
    <t xml:space="preserve"> Republic of the Philippines Province of Cotabato Municipality of Aleosan Invitation to Bid  SUPPLY AND DELIVERY OF DEVICES AND EQUIPMENTS FOR MUNICIPAL BIRTHING HOME, ALEOSAN, COTABATO                                                                       </t>
  </si>
  <si>
    <t xml:space="preserve"> INVITATION TO BID The National Irrigation Administration through CY 2020 Projects intends to apply the sum of Four Million One Hundred Fifty Five Thousand Five Hundred Thirty Three Pesos and 38/100 Centavos Only  (P4,155,533.38) being the total Approved B</t>
  </si>
  <si>
    <t xml:space="preserve"> CY 2020 Basic Educational Facilities Fund (BEFF) - Construction of 4 Storey, 8 Classrooms, San Vicente Elementary School, Camp 8, San Vicente, Baguio City Contract Location :	Baguio City Approved Budget for the Contract :	Php23,441,250.00 Scope of  work  </t>
  </si>
  <si>
    <t xml:space="preserve"> CONTRACT ID: 19GL00113; P.R. No. 2020-02-031 DATED 02/27/2020 CONTRACT LOCATION: DPWH DAVAO ORIENTAL 2ND DEO, CITY OF MATI, DAVAO ORIENTAL CONTRACT DESCRIPTION: PROCUREMENT OF VARIOUS FURNITURES, FOR USE IN THE SATELLITE MATERIALS TESTING LABORATORY (SMTL</t>
  </si>
  <si>
    <t xml:space="preserve"> Procurement of Hardware Materials for office glass sliding windows and glass division wall with sliding door including installation services</t>
  </si>
  <si>
    <t xml:space="preserve"> PROPOSEDPATHWALK VARIOUS ZONES CARARAYAN,NAGA CITY P197,000.00</t>
  </si>
  <si>
    <t xml:space="preserve"> I	1.00	UNIT	ONE UNIT BRAND NEW RESCUE AMBULANCE FULLY EQUIPPED 							 			BIG VAN							 			MINIMUM REQUIREMENTS							 			engine displacement: 2,755cc							 			engine type: 4 cylinders, In-line Type; 16 valve DOHC							 			6-speed manual diesel							 </t>
  </si>
  <si>
    <t xml:space="preserve"> PROPOSED EXPANSION OF MULTI-PURPOSE BLDG BACK OF BARANGAY HALL ZONE 2 CARARAYAN, NAGA CITY ABC: P180,000.00</t>
  </si>
  <si>
    <t xml:space="preserve"> Republic of the Philippines BOHOL ISLAND STATE UNIVERSITY Main Campus, Tagbilaran City INVITATION TO BID FOR PR NO. 2020-06-0561-MAIN-SUPPLY AND DELIVERY OF INKS AND TONERS FOR EXISTING PRINTERS OF THE DIFFERENT BISU OFFICES 1.	The Bohol Island State Univ</t>
  </si>
  <si>
    <t xml:space="preserve"> INSTALLATION OF CCTV CAMERA WITH COMPLETE ACCESSORIES</t>
  </si>
  <si>
    <t xml:space="preserve"> Consulting Services for Cabacanan Small Reservoir Irrigation Project-Detailed Engineering</t>
  </si>
  <si>
    <t xml:space="preserve"> PRINTING AND BINDING</t>
  </si>
  <si>
    <t xml:space="preserve"> ITEM NO.	UNIT		QTY		DESCRIPTION		 							 1	 ltrs 		45010		Diesel 		 2	 gals 		152		 Oil #10 		 3	 gals 		75		 Oil #40 		 INVITATION TO BID The Municipality of Sablayan through its Bids and Awards Committee (BAC) invites all interested contractors to appl</t>
  </si>
  <si>
    <t xml:space="preserve"> I N V I T A T I O N   T O   B I D 2020 - 118 June 17, 2020 1.	The Provincial Government of Tarlac, intends to apply the sum tabulated herein being the Approved Budget for the Contract (ABC) to payments under the contract of Implementation of Essential Hea</t>
  </si>
  <si>
    <t xml:space="preserve"> Invitation to Apply for Eligibility and to Bid Republic of the Philippines Municipality of  Roseller T. Lim Concreting of Access Road to municipal Water Storage Area – Phase I 									June  10, 2020 1.	The Municipality of Roseller T. Lim, through its 20%</t>
  </si>
  <si>
    <t xml:space="preserve"> I N V I T A T I O N   T O   B I D 2020 - 117 June 17, 2020 1.	The Provincial Government of Tarlac through the SEF - Special Programs (Essential Health Care Program and Kits for Kids) intends to apply the sum of Two Million Seven Hundred Thousand Pesos Onl</t>
  </si>
  <si>
    <t xml:space="preserve"> I N V I T A T I O N   T O   B I D 2020 - 116 June 17, 2020 1.	The Provincial Government of Tarlac through the SEF - Library on Wheels intends to apply the sum of Two Million Eight Hundred Eighty-Seven Thousand Two Hundred Pesos Only (PhP 2,887,200.00) bei</t>
  </si>
  <si>
    <t xml:space="preserve"> INVITATION TO BID                                                                   ITB NO. 20-08 	The Lung Center of the Philippines (LCP), through its Bids and Awards Committee (BAC), invites eligible bidders to bid for the : “PROCUREMENT OF VARIOUS MED</t>
  </si>
  <si>
    <t xml:space="preserve"> I N V I T A T I O N   T O   B I D 2020 - 115 June 17, 2020 1.	The Provincial Government of Tarlac through the Non Office - Office Supplies Expenses intends to apply the sum of Four Million Four Hundred Eighty-Two Thousand One Hundred Eighty-Three Pesos On</t>
  </si>
  <si>
    <t xml:space="preserve"> I N V I T A T I O N   T O   B I D 2020 - 114 June 17, 2020 1.	The Provincial Government of Tarlac through the TPH - Drugs and Medicines Expenses intends to apply the sum of Two Million Four Hundred Eighteen Thousand Seven Hundred Fifty Pesos Only (PhP 2,4</t>
  </si>
  <si>
    <t xml:space="preserve"> This project is own and govern by Barangay Bogo Calabat, Josefina, Zamboanga del Sur which they implement this rehab road from Duntolan to Barangay Nopulan and Purok 5 Crossing Boundary to Barangay Pitianan Misamis Occidental and has a distance of more th</t>
  </si>
  <si>
    <t xml:space="preserve"> I N V I T A T I O N   T O   B I D 2020 - 113 June 17, 2020 1.	The Provincial Government of Tarlac through the Trust Fund intends to apply the sum of Four Million Eight Hundred Thirty-Six Thousand Three Hundred Nine Pesos and 52/100 (PhP 4,836,309.52) bein</t>
  </si>
  <si>
    <t xml:space="preserve"> Republic of the Philippines Province of Nueva Vizcaya BIDS AND AWARDS COMMITTEE (BAC-Goods) BAC OFFICE, Provincial Capitol, Bayombong, Nueva Vizcaya Tel. No. 078-392-2062 	 INVITATION TO BID FOR THE SUPPLY &amp; DELIVERY OF DESKTOP COMPUTERS, LAPTOP, NETWORK </t>
  </si>
  <si>
    <t xml:space="preserve"> Invitation to bid SUPPLY AND DELIVERY OF IT EQUIPMENT: LARGE FORMAT SCANNER ITB No. R4B-20-06-07 1.	The NIA MIMAROPA Regional Office, through the General Appropriations Act of 2018 intends to apply the sum of ONE MILLION TWO HUNDRED THIRTY FIVE THOUSAND &amp;</t>
  </si>
  <si>
    <t xml:space="preserve"> ITEM NO.	UNIT		QTY		DESCRIPTION		 							 1	 unit 		22		Siren		 					 Specs: 		 					 Requires: 220V AC power source 		 					 Specifications of JDW188 Electric Mechanical  		 					 Omnidirectional Warning Alarm Siren 		 					 SKU: 371948935_PH-843166671 	</t>
  </si>
  <si>
    <t xml:space="preserve"> PLS. SEE ATTACHED PURCHASE REQUISITION, TERMS OF REFERENCE&amp; BID DOCUMENTS FOR DETAILS.</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</si>
  <si>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</si>
  <si>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ELF MINI-DUMP TRUCK 6 WHEELERS NEW TIRES ENGINE-4BE1 EAGLE 3 SEATERS DIESEL 3 CUBIC</t>
  </si>
  <si>
    <t xml:space="preserve"> ITEM NO.	UNIT		QTY		DESCRIPTION		 							 1	 serve 		500		Snacks set A (sandwich and water)		 2	 serve 		500		 Snacks set B (sandwich, noodles and water) 		 3	 serve 		350		 Meals set A (rice, meat and water) 		 4	 serve 		500		 Meals set B (meat,veg. fru</t>
  </si>
  <si>
    <t xml:space="preserve"> ITEM NO.	UNIT		QTY		DESCRIPTION		 							 1	 l.m 		 248.00 		Layout &amp; Staking		 2	 cu.m 		 954.78 		 Earth Works 		 3	 cu.m 		 99.80 		 Reinforcing Concrete 		 4	 lot 		 1.00 		 Reinforcing Steel 		 5	 sq.m 		 1,612.47 		 Masonry Works 		 6	 l.m 		 248.00</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</si>
  <si>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</si>
  <si>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</si>
  <si>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I N V I T A T I O N   T O   B I D 2020 - 112 June 17, 2020 1.	The Provincial Government of Tarlac through the Non Office - Repair and Maintenance - Infrastructure Projects intends to apply the sum of One Million Six Hundred Seventy-Seven Thousand Five Hun</t>
  </si>
  <si>
    <t xml:space="preserve"> 1.	The Laguna State Polytechnic University Main Campus, through the LSPU-STF intends to apply the sum of Php2,000,000.00 being the Approved Budget for the Contract (ABC) to payments under the contract for the Procurement of Books for the University Librar</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</si>
  <si>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</si>
  <si>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Procurement of Medical Supplies Lot 1</t>
  </si>
  <si>
    <t xml:space="preserve"> Procurement of Male Condom</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</si>
  <si>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</si>
  <si>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Procurement of Lynestrenol</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</si>
  <si>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</si>
  <si>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Office Supplies , Equipment and consumables</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</si>
  <si>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</si>
  <si>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</si>
  <si>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</si>
  <si>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One (1) Job Contract Furnishing Materials, Labor &amp; Equipment for Construction of Evacuation Center Phase 4</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</si>
  <si>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</si>
  <si>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</si>
  <si>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</si>
  <si>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</si>
  <si>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</si>
  <si>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</si>
  <si>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</si>
  <si>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</si>
  <si>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Republic of the Philippines PROVINCE OF SOUTHERN LEYTE Maasin City Invitation to Bid for the Procurement of Greenhouse-Materials &amp; Installation  with complete Accessories &amp; Irrigation Facilities                                           Contract ID # 2020</t>
  </si>
  <si>
    <t xml:space="preserve"> Republic of the Philippines Department of Education Region v SCHOOLS DIVISION OF SORSOGON Capitol Compound, Sorsogon City INVITATION TO BID FOR PROVISION OF SECURITY SERVICES FOR 2020 PROJECT NO.:	20-06-001 1.	The DepEd Schools Division Sorsogon Province,</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</si>
  <si>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</si>
  <si>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</si>
  <si>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</si>
  <si>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Concreting of 58.50 linear meter barangay road.</t>
  </si>
  <si>
    <t xml:space="preserve"> Materials to be used for construction and re painting of offices.</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</si>
  <si>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</si>
  <si>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</si>
  <si>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l.	The MUNICIPALITY OF GUINAYANGAN, QUEZON, through  the  2020 C.O.    intends to apply the sum of  Two Hundred Twelve Thousand Three Hundred Twenty  Pesos                   (P 212,320.00) being the Approved Budget for the Contract (ABC) to payments under</t>
  </si>
  <si>
    <t xml:space="preserve"> Republic of the Philippines PROVINCIAL GOVERNMENT OF EASTERN SAMAR Capitol Building, Borongan, Eastern Samar, 6800 Tel No. (055)-560-8312 E-mail Address: esamar.bac@gmail.com BIDS AND AWARDS COMMITTEE (BAC) INVITATION TO BID FOR CONCRETING OF CAROLINA – H</t>
  </si>
  <si>
    <t xml:space="preserve"> Republic of the Philippines PROVINCE OF SOUTHERN LEYTE Maasin City Invitation to Bid for the Procurement of Office Supplies  Contract ID # 2020-07-07-355PG 1.	The Provincial Government of Southern Leyte through the PGO– Office Supplies Expenses intend to </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</si>
  <si>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</si>
  <si>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Republic of the Philippines PROVINCE OF SOUTHERN LEYTE Maasin City Invitation to Bid for the Procurement of Catering Services                                           Contract ID # 2020-07-07-351PG 1.	The Provincial Government of Southern Leyte through t</t>
  </si>
  <si>
    <t xml:space="preserve"> Repair/Improvement of Multipurpose Bldg. (Health Center) of Barangay San Jose, Bacon District, Sorsogon City</t>
  </si>
  <si>
    <t xml:space="preserve"> 1.	The AGRICULTURAL TRAINING INSTITUTE (ATI), through the 2020 GENERAL APPROPRIATIONS ACT (GAA) intends to apply the sum of TWELVE MILLION FOUR HUNDRED EIGHTY-FIVE THOUSAND ONE HUNDRED PESOS (PHP 12,485,100.00) being the Approved Budget for the Contract (</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</si>
  <si>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</si>
  <si>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Invitation to Bid for Filling at ESSU Mini Park at ESSU Main Campus 1.	The Eastern Samar State University – Main Campus, through the FY 2020 Special Trust Fund intends to apply the sum of Six Million Three Hundred Five Thousand Five Hundred Fourteen Pesos</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</si>
  <si>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</si>
  <si>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Republika ng Pilipinas BAYAN NG CORTES Surigao del Sur BIDS AND AWARDS COMMITTEE 						           June 16, 2020 INVITATION TO BID FOR    Purchase of Other Accessories and Supply and Repair of L300 Vehicle Services 	The Local Government Unit of Cortes thro</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</si>
  <si>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</si>
  <si>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365 sacks Noodles (BIHON) at 24 pack/sack 365 cases of Instant Noodles at 72 pieces per case 265 cases SARDINES (100 pcs./ case) 200 packs ECOBAG (size LARGE)</t>
  </si>
  <si>
    <t xml:space="preserve"> 1.  POINT MOBILE      -                 9PCS Texas  instrument Cortex A8 Processor @1.6 GHz Windows Mobile Embedded 6.5 Pro 3G, GSM Capable GPS 1D Laser (Scanner) Integrated Bluetooth, Class II, Ver. 2.1 + EDR WLAN IEEE 802.11 a/b/g/n Li-on Battery 4,000m</t>
  </si>
  <si>
    <t xml:space="preserve"> Construction Materials.</t>
  </si>
  <si>
    <t xml:space="preserve"> 3,875 sacks of  RICE at 25 kgs. per sack</t>
  </si>
  <si>
    <t xml:space="preserve"> Invitation to Bid for  SUPPLY &amp; DELIVERY OF CONSTRUCTION MATERIALS FOR THE CONSTRUCTION OF SLAUGHTER HOUSE BLDG. @ BRGY. PILINTANGAN, WAO, LANAO DEL SUR ------------------------------------------------------------------------------------------------------</t>
  </si>
  <si>
    <t xml:space="preserve"> l.	The MUNICIPALITY OF GUINAYANGAN, QUEZON, through  the  2020 C.O.    intends to apply the sum of  One Hundred Sixty  Two Thousand Three Hundred Ten  Pesos                      (P 162,310.00) being the Approved Budget for the Contract (ABC) to payments u</t>
  </si>
  <si>
    <t xml:space="preserve"> By Contract.</t>
  </si>
  <si>
    <t xml:space="preserve"> 1       ROLL        TRAPAL 8FT.                            9,850.00          9,850.00 60     METERS    TRAPAL BAGA                            695.00         41,700.00 5       BOXES     STAPLE WIRE #1                          78.50             285.00 13   </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</si>
  <si>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</si>
  <si>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Drainage Constructed</t>
  </si>
  <si>
    <t xml:space="preserve"> Invitation to Bid for  SUPPLY &amp; DELIVERY OF CONSTRUCTION MATERIALS FOR THE COMPLETION OF SECOND FLOOR OF WAO MUNICIPAL HALL, MUNICIPAL SITE, BRGY. WESTERN, WAO, LANAO DEL SUR --------------------------------------------------------------------------------</t>
  </si>
  <si>
    <t xml:space="preserve"> Invitation to ReBid for  PROCUREMENT OF BACKHOE FOR MENRO/SLF OPERATION ---------------------------------------------------------------------------------------------------------------- ITB NO. 2020I_18 1.The Office of the Municipal Environment &amp; Natural R</t>
  </si>
  <si>
    <t xml:space="preserve"> LGU-BAROBO		Project Reference Number			 Name of Procuring Entity		Supply &amp; Delivery of Office  Equipment			 					 			Barobo, Surigao del Sur		 Standard Form Number: SF-GOOD-60					 Revised on: May 24, 2004					 Standard Form Title: REQUEST FOR QUOTATION		</t>
  </si>
  <si>
    <t xml:space="preserve"> 20ID0073	Concreting of Poblacion District 9 to Brgy. Gamay FMR, Brgy. Gamay,Burauen, Leyte 	Concrete Paving for 2.06 Ln. Km. 	12,869,538.62	FMR FY 2020	65 CD	25,000.00 To be eligible to bid for this Contract, a contractor must meet the following major req</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</si>
  <si>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</si>
  <si>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Republika ng Pilipinas BAYAN NG CORTES Surigao del Sur BIDS AND AWARDS COMMITTEE June 16, 2020 INVITATION TO BID FOR   Rehabilitation of Barangay Farm to Market Roads Osawan-Tigao to Burgos, Cortes Surigao del Sur 	The Local Government Unit of Cortes thro</t>
  </si>
  <si>
    <t xml:space="preserve"> RFQ No. 20-06-058 - Purchase of Coring Bit for use in the QualityAssurance Section (Laboratory)</t>
  </si>
  <si>
    <t xml:space="preserve"> 2,201 pieces 4" X 8" x 16" Concrete Hollow Block 97 CU.M. washed GRAVEL 78 CU.M. washed SAND</t>
  </si>
  <si>
    <t xml:space="preserve"> Construction of Fence</t>
  </si>
  <si>
    <t xml:space="preserve"> 65 Hectares Comprehensive Site Development under the Enhanced National Greening Program Cacao Component located at Brgy. Balaoi, Pagudpud, Ilocos Norte</t>
  </si>
  <si>
    <t xml:space="preserve"> Construction Project of Drainage Canal along Diosdado Macapagal St.,at East Pob., Rizal, Zamboanga del Norte Phase I</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</si>
  <si>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</si>
  <si>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l.	The MUNICIPALITY OF GUINAYANGAN, QUEZON, through  the  2020 C.O.    intends to apply the sum of  One Hundred Twenty Four Thousand Eighty Two  Pesos                      (P 124,082.00) being the Approved Budget for the Contract (ABC) to payments under t</t>
  </si>
  <si>
    <t xml:space="preserve"> Uniform and Accesories for BSF and Traffic Enforcers.</t>
  </si>
  <si>
    <t xml:space="preserve"> INVITATION TO BID FOR THE PROPOSED BOX CULVERT AT PUBLIC PLAZA, BRGY. III, POBLACION, MUNICIPALITY OF HINIGARAN, NEGROS OCCIDENTAL 1.	The Local Government Unit of Hinigaran, through 20% Development Fund intends to apply the sum of  ₱ 2,999,526.55 being th</t>
  </si>
  <si>
    <t xml:space="preserve"> The Bids and Awards Committee								 Province of Iloilo								 								      In connection with your Invitation to Bid No. PEO-20-0504 B (Rebid) scheduled on July 1, 2020, I/we proposed to furnish and deliver in conformity with the terms and conditions,</t>
  </si>
  <si>
    <t xml:space="preserve"> Republic of the Philippines PROVINCIAL GOVERNMENT OF EASTERN SAMAR Capitol Building, Borongan, Eastern Samar, 6800 Tel No. (055)-560-8312 E-mail Address: esamar.bac@gmail.com BIDS AND AWARDS COMMITTEE (BAC) INVITATION TO BID FOR CONSTRUCTION OF TRIPLE BAR</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</si>
  <si>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</si>
  <si>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Republika ng Pilipinas BAYAN NG CORTES Surigao del Sur BIDS AND AWARDS COMMITTEE 						           June 16, 2020 INVITATION TO BID FOR    Construction of MRF &amp; Purchase of Plastic Bins 	The Local Government Unit of Cortes through LGU PR. No.  401-048 dated</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</si>
  <si>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</si>
  <si>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</si>
  <si>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Republic of the Philippines Department of Education Region v SCHOOLS DIVISION OF SORSOGON Capitol Compound, Sorsogon City INVITATION TO BID FOR PURCHASE OF COMMON OFFICE SUPPLIES FOR F.Y. 2020 PROJECT NO.:	20-06-002 1.	The DepEd Schools Division Sorsogon </t>
  </si>
  <si>
    <t xml:space="preserve"> RFQ No. 20-06-057 - Procurement of Diesel Fuel and Lubricants for use of Service Vehicle and Heavy Equipment for the 1st &amp; and Quarter</t>
  </si>
  <si>
    <t xml:space="preserve"> See attached Documents</t>
  </si>
  <si>
    <t xml:space="preserve"> Construction Project of Floating Seaweed Dryer II</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</si>
  <si>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</si>
  <si>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I. SUBBASE @ BASE COURSE II. CONCRETE WORKS III. FORMWORKS</t>
  </si>
  <si>
    <t xml:space="preserve"> Please see attached Program of Works for Specifications</t>
  </si>
  <si>
    <t xml:space="preserve"> Construction Project (Construction/Improvement of Main MRF Building</t>
  </si>
  <si>
    <t xml:space="preserve"> Construction Project of Drainage Canal along Diosdado Macapagal St.,at East Pob., Rizal, Zamboanga del Norte Phase II</t>
  </si>
  <si>
    <t xml:space="preserve"> Construction of Niches</t>
  </si>
  <si>
    <t xml:space="preserve"> One (1) Job Contract for the Electrification (Installation of 25Kva, 760Vac Primary / 230Vac, Secondary, 60Hz, 1-Phase, OISC, Distribution Transformer and Construction of Streetlights)/Brgy. Gegacjac/P311,659.00</t>
  </si>
  <si>
    <t xml:space="preserve"> Construction of Slope Protection</t>
  </si>
  <si>
    <t xml:space="preserve"> LGU-ALLEN, NORTHERN SAMAR                                               MUNICIPAL BIDS AND AWARDS COMMITTEE                                                                INVITATION TO BID 	The Municipal Government of Allen Northern Samar through its Bids</t>
  </si>
  <si>
    <t xml:space="preserve"> INVITATION TO BID  PROCUREMENT AND INSTALLATION OF AIR-CONDITIONING UNITS FOR THE OFFICES &amp; CLASSROOMS OF THE NFSTI - PPSC BAC IB NO.007 (G) 2020 1.	The Philippine Public Safety College through the General Appropriations Act of FY2020 , intends to apply t</t>
  </si>
  <si>
    <t xml:space="preserve"> Climate Proofed Concrete Road</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</si>
  <si>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</si>
  <si>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L=5.5LM;  W=7M, FLOORING EMBANKMENT=1M COL. SIZE= 10"X10"</t>
  </si>
  <si>
    <t xml:space="preserve"> B.9	Mobilization/Demobiliazation	lot	all	18,854.00 103(1)a	Structure Excavation (CommonSoil)	5.30	cu.m.	1,780.80 105(1)	Subgrade Preparation (Common Material)	312	sq.m.	5,460.00 201	Aggregate Base Coarse (100mm thk.)	31.20	cu.m.	38,073.36 311(1)a	PCC Pave</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</si>
  <si>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</si>
  <si>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</si>
  <si>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STP at slaugther House</t>
  </si>
  <si>
    <t xml:space="preserve"> INVITATION TO BID COMPLETION OF PAAGAN WATER SYSTEM PAAGAN, SANTOL, LA UNION 1.	The Municipal Government of Santol, La Union through the MDF-2020 intends to apply the sum of ONE MILLION FIVE HUNDRED THOUSAND PESOS (Php 1,500,000.00) being the Approved Bud</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</si>
  <si>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</si>
  <si>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</si>
  <si>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IMPROVEMENT OF MUNICIPAL IP HALL GROUND</t>
  </si>
  <si>
    <t xml:space="preserve"> l.	The MUNICIPALITY OF GUINAYANGAN, QUEZON, through  the  2020 C.O.    intends to apply the sum of  One Hundred Sixty Nine Thousand Four Hundred Ninety  Pesos                      (P 169,490.00) being the Approved Budget for the Contract (ABC) to payments</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</si>
  <si>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</si>
  <si>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</si>
  <si>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Solar Generator Set 6000 watts with (6) 370 watts panel          - Solar Panel: 370W 36V mono solar panel *6 pcs          - DC Combiner: 4 in 1 out          - Controler: PWM 60A48V          - Inverter: 6000W 48V Pure sine wave          - Battery: 200Ah12V</t>
  </si>
  <si>
    <t xml:space="preserve"> Construction Project of Pres. Elpidio Quirino Street</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</si>
  <si>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</si>
  <si>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</si>
  <si>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INVITATION TO BID FOR SUPPLY AND INSTALL OF BY-PASS POTABLE WATER PIPE LINE QUINANLIMAN, BRGY. POB. 1, REAL, QUEZON 1.	The Municipal Government of Real, Quezon, through the Economic Enterprise &amp; General Fund CY 2020  intends to apply the sum of Nine Hundr</t>
  </si>
  <si>
    <t xml:space="preserve"> Barangay Tagaytay Hill, Josefina, ZDS</t>
  </si>
  <si>
    <t xml:space="preserve"> Invitation to Bid for  Completion of Climate Resilient Multi-Purpose Hall  @Brgy. Capalong, Real, Quezon 1.	The Municipal Government of Real, Quezon, through the 20% MDF CY2019 intends to apply the sum of One Million Two Hundred  Ninety Nine Thousand Two </t>
  </si>
  <si>
    <t xml:space="preserve"> Purchase and installation of 149 units sanitary toilets</t>
  </si>
  <si>
    <t xml:space="preserve"> INVITATION TO APPLY FOR ELIGIBILITY AND TO BID  One (1) Lot Information Technology   ITB No. 2020-06-003 P.R. No. 2020-06-173 1.	The Mines and Geosciences Bureau, through the General Appropriations Act (GAA) for CY 2020 intends to apply the sum correspond</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</si>
  <si>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</si>
  <si>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</si>
  <si>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1. Materials and Equipment Rental for the Repair and Improvement of School Stage , Efraim Santibañez National High School, Brgy. Sto. Tomas, Passi City, Iloilo/LSB/P 139,460.00 Stock No. Unit Description Qty. 1 pcs angle bar 1/4" x 2" x 6m 30 2 pcs c-purl</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</si>
  <si>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</si>
  <si>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Republic of the Philippines Province of Davao de Oro MUNICIPALITY OF MONTEVISTA BIDS AND AWARDS COMMITTEE 		 Reference No:  CB-2020-016 INVITATION TO BID FOR OFFICE SUPPLIES 1. 	The Municipality of  Montevista, Compostela Valley Province, through its  Gen</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</si>
  <si>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</si>
  <si>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Invitation to Bid for  Rehabilitation of Extension/Satellite Office @ Brgy. Llavac, Real, Quezon 1.	The Municipal Government of Real, Quezon, through the General Fund -Continuing Legislative Appropriation 2015 intends to apply the sum of Three Hundred For</t>
  </si>
  <si>
    <t xml:space="preserve"> PB NO. 2020-037		 			 1.	14	persons	Janitorial Service for July 2020 to December 2020 			14 Utility Worker x 17,325.03 x 6 months for 8 hrs. 			 	Deadline for Submission of Bids: July 7, 2020 10:00 am</t>
  </si>
  <si>
    <t xml:space="preserve"> 1. The Department of Agriculture – Regional Field Office – Cordillera Administrative Region (DA-RFO-CAR) intends to apply part of its CY 2020 General Appropriation Act (GAA) the total sum of Six Hundred Thousand Pesos (P6,000,000.00) being the Approved Bu</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</si>
  <si>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</si>
  <si>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Please see attached Program of Works for Specification</t>
  </si>
  <si>
    <t xml:space="preserve"> Republic of the Philippines Province of Batangas Municipality of San Juan BIDS AND AWARDS COMMITTEE INVITATION TO APPLY FOR ELIGIBILITY AND TO BID THE LOCAL GOVERNMENT UNIT OF BRGY. PULANGBATO,  SAN JUAN, BATANGAS, through its Bids and Awards Committee (B</t>
  </si>
  <si>
    <t xml:space="preserve"> Prk. Pinya, Tagaytay, Josefina, ZDS</t>
  </si>
  <si>
    <t xml:space="preserve"> SOIL BEARING CAPACITY TEST 2 BOREHOLES</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</si>
  <si>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</si>
  <si>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</si>
  <si>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</si>
  <si>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</si>
  <si>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A=14m x 18m</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</si>
  <si>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</si>
  <si>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</si>
  <si>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Procurement is for Barangay Limama-an, Tambulig, ZDS</t>
  </si>
  <si>
    <t xml:space="preserve"> PARTICULARS Start-up stock of cattle fattening (at least 150-180 kilos) Php16,500/head 70 beneficiaries Supplement commercial grower feeds Php. 1530/2 sacks 70 beneficiaries Dewormer (oral Albendazol to be administered 1ml/10kg body live weight a total of</t>
  </si>
  <si>
    <t xml:space="preserve"> Republic of the Philippines Cordillera Administrative Region MUNICIPAL GOVERNMENT OF MALIBCONG Province of Abra Project Title: CONSTRUCTION OF TWO STOREY MULTI-PURPOSE (MUNICIPAL ISOLATION) BUILDING POBLACION, MALIBCONG, ABRA 1.  The Municipal Government </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</si>
  <si>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</si>
  <si>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</si>
  <si>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See attached file.....</t>
  </si>
  <si>
    <t xml:space="preserve"> B.9	Mobilization/Demobiliazation	lot	all	13,211.60 103(1)a	Structure Excavation (Common Soil)	9.30	cu.m.	2,966.70 105(1)	Subgrade Preparation (Common Material)	260	sq.m.	4,563.00 201	Aggregate Base Coarse (100mm thk.)	26	cu.m.	48,360.00 311(1)a	PCC Paveme</t>
  </si>
  <si>
    <t xml:space="preserve"> 12 sets HOSPITAL BED MANUAL (3 CRANKS) complete accessories with Bedside Table</t>
  </si>
  <si>
    <t xml:space="preserve"> 11 units</t>
  </si>
  <si>
    <t xml:space="preserve"> CONSTRUCTION OF PROPER KALEO DRAINAGE</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</si>
  <si>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</si>
  <si>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Republic of the Philippines                       EASTERN VISAYAS STATE UNIVERSITY                                                                              Tacloban City                     										 BIDS AND AWARDS COMMITTEE INVITATION TO BID  SUPPL</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</si>
  <si>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</si>
  <si>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CONSTRUCTION OF SIKLING FOOTBRIDGE BARANGAY LATANG</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</si>
  <si>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</si>
  <si>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1 storey building - 88m</t>
  </si>
  <si>
    <t xml:space="preserve"> Procurement of assorted navigation equipment under the Hybrid Trimaran Project as per attached Request for Quotation.</t>
  </si>
  <si>
    <t xml:space="preserve"> Republic of the Philippines  BIDS AND AWARDS COMMITTEE FOR THE PROCUREMENT OF GOODS City of Puerto Princesa Barangay Sta. Monica INVITATION TO BID (Procurement of Goods) PR No. 2020-06-023 Date: June 11, 2020 Procuring/Funding Office/Department: Barangay </t>
  </si>
  <si>
    <t xml:space="preserve"> 4.20m x 3.70m</t>
  </si>
  <si>
    <t xml:space="preserve"> REFER TO ATTACHED ITB NO. 010 OF 2020</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</si>
  <si>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</si>
  <si>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The works consist of (a.) Occupational and Health Program, (b.) Surplus Common Excavation, (c.) Structural Excavation (d) Embankment from Roadway Excavation, (e.) Sub-grade Preparation (f.) Aggregate Sub-Base Course, (g.) Portland cements Concrete Pavemen</t>
  </si>
  <si>
    <t xml:space="preserve"> 20ID0075	Repair/ Rehabilitation of Damaged Concrete Pavement along Dulag-Julita-Burauen Road, K0946+000-K0947+500 with exceptions 	Concrete Reblocking  For 0.135 Km.	1,411,491.00	Routine Maintenance CY 2020	60 CD	5,000.00 To be eligible to bid for this Co</t>
  </si>
  <si>
    <t xml:space="preserve"> Department of Education Region VI-Western Visayas Cadiz City Alimatoc Elementary School Invitation to Bid for the Repair of School Stage of Alimatoc Elementary School 1.	The Alimatoc Elementary School, through the School’s MOOE 2020  intends to apply the </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</si>
  <si>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</si>
  <si>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</si>
  <si>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INVITATION TO APPLY FOR ELIGIBILITY AND BID								 								 The  Municipality  of  Maasin,  Iloilo,  through  its  Bids  and  Awards  Committee (BAC),  invites  suppliers/								 distributors/ contractors to apply for eligibility and to bid for the here</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</si>
  <si>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</si>
  <si>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Republic of the Philippines Province of Guimaras OFFICE OF THE BIDS AND AWARDS COMMITTEE INVITATION TO BID FOR    SUPPLY AND DELIVERY OF OUTER TIRE WITH INNER TUBE AND FLAP Bid Ref. No. 2020-06-339 1.	The Province of Guimaras , through the Repair and Main</t>
  </si>
  <si>
    <t xml:space="preserve"> RFQ (20-06-059) Various Laboratory Supplies and Reagents</t>
  </si>
  <si>
    <t xml:space="preserve"> INVITATION TO BID FOR THE INSTALLATION OF FIBER GLASS BOARD AND LIGHTING OF BASKETBALL COURT OF BARANGAY BAG-ONG KAUSWAGAN, TAMBULIG, ZAMBOANGA DEL SUR 1.	The BLGU  of Barangay Bag-ong Kauswagan, Tambulig Zamboanga del Sur now invites bid for INSTALLATION</t>
  </si>
  <si>
    <t xml:space="preserve"> 1. PC Desktop, Processor: Intel Core 17 2600, 3.4Ghz, 8M cache, RAM memory total :8GB, Hard Drive: 2TB, OS: Windows 10, Monitor, 22 inch LCD DVD: recordable (with DVD playback &amp; burner software), Keyboard: Full size-US english, Pointing device: Optical mo</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</si>
  <si>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</si>
  <si>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Republic of the Philippines Province of Camarines Norte MUNICIPALITY OF VINZONS BIDS AND AWARDS COMMITTEE (BAC) (Tel. # 446-63-09) INVITATION TO BID 	 Invitation to Bid for: REHABILITATION OF PUBLIC MARKET – POBLACION I, VINZONS, CAM. NORTE  1.	The Local </t>
  </si>
  <si>
    <t xml:space="preserve"> RFQ (20-06-054) Oxygen</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</si>
  <si>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</si>
  <si>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Republic of the Philippines Province of Camarines Norte MUNICIPALITY OF VINZONS BIDS AND AWARDS COMMITTEE (BAC) (Tel. # 446-63-09) INVITATION TO BID 	 Invitation to Bid for: REHABILITATION OF BREAKWATER PHASE I (SABANG)  1.	The Local Government Unit of Vi</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</si>
  <si>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</si>
  <si>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Republic of the Philippines Province of Misamis Occidental Municipality of Aloran INVITATION TO BID FOR THE IMPROVEMENT OF ALORAN WATER SUPPLY SYSTEM (BARANGAY OSPITAL-DULLAN) 				JUNE 15, 2020 1.	The Local Government Unit of Aloran, Misamis Occidental th</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</si>
  <si>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</si>
  <si>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OPERATING System: Windows 10 Processor Type: 3rd Generation Processor Base Frequency: 2.3 GHz Memory Capacity: 4 GB Memory Type: DDR4 Max Supported Memory: 32 GB Drive Configuration: 200 GB SSD + 1 TB HDD Dedicated Graphics: Yes Video Ports: 1xHDMI Audio </t>
  </si>
  <si>
    <t xml:space="preserve"> REFER TO ATTACHED ITB NO. 012 OF 2020</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</si>
  <si>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</si>
  <si>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Procurement of assorted CCTV equipment and accessories under the Hybrid Trimaran Project as per attached Request for Quotation.</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</si>
  <si>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</si>
  <si>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Republic of the Philippines Province of Batangas Municipality of San Juan BIDS AND AWARDS COMMITTEE INVITATION TO APPLY FOR ELIGIBILITY AND TO BID THE LOCAL GOVERNMENT UNIT OF BRGY. POCTOL,  SAN JUAN, BATANGAS, through its Bids and Awards Committee (BAC),</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</si>
  <si>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</si>
  <si>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Republic of the Philippines Province of Camarines Norte MUNICIPALITY OF VINZONS BIDS AND AWARDS COMMITTEE (BAC) (Tel. # 446-63-09) 	 INVITATION TO BID FOR: PURCHASE/DELIVERY OF 1 UNIT BACKHOE 1.	The Local Government Unit of Vinzons through the MDRRMF – CA</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</si>
  <si>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</si>
  <si>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REFER TO ATTACHED ITB NO. 011 OF 2020</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</si>
  <si>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</si>
  <si>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</si>
  <si>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SEE ATTACHED BID DOCS</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</si>
  <si>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</si>
  <si>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</si>
  <si>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20ID0074	Concreting of Sitio Diyo to Sitio Kapitugan Brgy. Libo FMR,Brgy. Libo,Carigara,Leyte  	Concrete Paving for 1.400 Ln. Km.	11,879,669.71	FMR FY 2020	86 CD	25,000.00 To be eligible to bid for this Contract, a contractor must meet the following major</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</si>
  <si>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</si>
  <si>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</si>
  <si>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Construction of Local Road/Bridge at Purok 5, Barangay San Jose, Bacon District, Sorsogon City</t>
  </si>
  <si>
    <t xml:space="preserve"> One (1) Job Contract Furnishing Materials</t>
  </si>
  <si>
    <t xml:space="preserve"> INVITATION TO BID The DPWH Isabela 4th District Engineering Office through its Bids and Awards Committee (BAC), invites contractors to submit bids for the following Contract: Procurement ID / Contract ID			: 20BH0141 Contract Name/                        </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</si>
  <si>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</si>
  <si>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PLEASE SEE ATTACHED INVITATION TO BID FOR THE PROJECT DESCRIPTION.</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</si>
  <si>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</si>
  <si>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Procurement of Various COD Working Uniform for 2020</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</si>
  <si>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</si>
  <si>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Request for Quotation RFQ No.		SVP-010-2020 MR No.		11596 Requisition No. 	TSE-2020-037 Posting Date:         	June 16, 2020 Deadline for Submission:		June 22, 2020 at 9:00 AM Opening Date:	June 22, 2020, 2020 at 10:00 AM TO:	Name of Supplier:____________</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</si>
  <si>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</si>
  <si>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</si>
  <si>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</si>
  <si>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</si>
  <si>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</si>
  <si>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</si>
  <si>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</si>
  <si>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GEOTECHNICAL AND GEOLOGICAL SURVEY/ INVESTIGATIONS.</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</si>
  <si>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</si>
  <si>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</si>
  <si>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</si>
  <si>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</si>
  <si>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</si>
  <si>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</si>
  <si>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</si>
  <si>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</si>
  <si>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June 15, 2020 INVITATION TO BID  Reference No. 7031606 /Solicitation No.20-22 The City Government of Tagum invites interested Bidders/Suppliers to bid for the following: Name of Contract         :  SUPPLY AND INSTALLATION OF PANORAMIC/SCENIC ELEVATOR     </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</si>
  <si>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</si>
  <si>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I N V I T A T I O N   T O   B I D 2020 - 111 June 17, 2020 1.	The Provincial Government of Tarlac through the Non Office - Repair and Maintenance - Infrastructure Projects intends to apply the sum of Five Million Two Hundred Ninety-Seven Thousand Pesos On</t>
  </si>
  <si>
    <t xml:space="preserve"> 1 set Broad Band 1 set Laptop 1 set Desk Top 1 Unit Photo Copier w/ scanner 1 Unit Digit Camera (DSLR) 4 pcs External Memory 2 pcs External Drive 2 Unit Desk Top Computer 1 Unit Laptop Computer 1 Unit Printer 1 Unit Laptop 2 Units Printer FX 2175  1 Units</t>
  </si>
  <si>
    <t xml:space="preserve"> Department of Education Region VI-Western Visayas Division of Cadiz City Alimatoc Elementary School SMALL VALUE PROCUREMENT FOR CATERING SERVICES OF ALIMATOC ELEMENTARY SCHOOL FOR  2020 1.	The Alimatoc Elementary School of Cadiz City, through the Schools </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</si>
  <si>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</si>
  <si>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The Ipil NHS wants to hire 2 Agency Security Guards with an ABC of 240,000.00 in a year.</t>
  </si>
  <si>
    <t xml:space="preserve"> Republic of the Philippines Province of Camarines Norte Municipality of Daet BARANGAY V Tel. 721-1820 OFFICE OF THE BIDS AND AWARDS COMMITTEE June 16, 2020 INVITATION TO APPLY FOR ELIGIBILITY AND TO BID The BARANGAY V, Daet Camarines Norte, through its Bi</t>
  </si>
  <si>
    <t xml:space="preserve"> PLEASE CALL FOR THE DETAILS AND INCLUSIONS</t>
  </si>
  <si>
    <t xml:space="preserve"> Republic of the Philippines					 DEPARTMENT OF PUBLIC WORKS AND HIGHWAYS					 BUTUAN CITY DISTRICT ENGINEERING OFFICE					 REGIONAL OFFICE XIII					 Butuan City, Agusan del Norte					   Tel. Nos. 342-5331  Fax No. 225-2022					 					Page 1 of 2 Name of Pr</t>
  </si>
  <si>
    <t xml:space="preserve"> INVITATION TO APPLY FOR ELIGIBILITY AND TO BID THE BIDS AND AWARD COMMITTEE OF THE MUNICIPALITY OF CAIBIRAN, BILIRAN IS INVITING ALL INTERESTED BIDDERS ON ITS FORTH COMING PUBLIC BIDDING FOR:   Project Title	                : Concrete Pavement of Access R</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</si>
  <si>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</si>
  <si>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</si>
  <si>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Contract ID No. 20OH0152 Contract Name :  Local Program - Local   Infrastructure  Program - Buildings  and  other  Structures - Multi-Purpose/Facilities-Construction/Rehabilitation of Various Multi-purpose Building, Baseco Port Area, Manila Contract Locat</t>
  </si>
  <si>
    <t xml:space="preserve"> See attached for the request of quotation form.</t>
  </si>
  <si>
    <t xml:space="preserve"> ALBAY 3RD DISTRICT ENGINEERING OFFICE																											 Paulog, Ligao City																											 																											 INVITATION TO BID																											 																											 The Department of Public Works and Highways</t>
  </si>
  <si>
    <t xml:space="preserve"> 1 10 BOT/S ALCOHOL - 70% SOL. 500ML 2 3 BTL/S GLUE - 130G 3 200 PC/S FOLDER - BROWN ( LONG SIZE ) 4 10 BOX/S FASTENER - PAPER, PLASTIC, 50 SETS/BOX 5 2 TUBE/S MECHANICAL PENCIL - LEAD, 0.5 (FOR STEADLER) 6 6 PC/S MASKING TAPE - # 1" 7 12 PC/S RIBBON- REFI</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</si>
  <si>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</si>
  <si>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</si>
  <si>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</si>
  <si>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</si>
  <si>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1 unit 	Water bath/holding tank with thermometer and heater	 	  -Rectangular shape, L1M x W0.6M x H0.5M	 	  -made of stainless steel 304 materials , 3mm thick	 	  -removable inner platform, made of perforated sheet	 	  -hinge cover with gasket	 	  -electr</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</si>
  <si>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</si>
  <si>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Republic of the Philippines DEPARTMENT OF PUBLIC WORKS AND HIGHWAYS BATANGAS III DISTRICT ENGINEERING OFFICE REGIONAL OFFICE IV-A J. Gonzales St., Barangay 4, Tanauan City INVITATION TO BID (GS-2020-005) The Department of Public Works and Highways (DPWH),</t>
  </si>
  <si>
    <t xml:space="preserve"> INVITATION TO BID No. DARRO V-4-2020 1.	The Department of Agrarian Reform Regional Office No. V (DARRO V) through the General Appropriations Act (GAA) 2020 intends to apply the amount of  EIGHT HUNDRED FORTY-FIVE THOUSAND PESOS (P 845,000.00), being the s</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</si>
  <si>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</si>
  <si>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RFQ (20-06-052) Entera Nutrition - Pediatric POlymeric 400g 1-3 years old</t>
  </si>
  <si>
    <t xml:space="preserve"> The Municipality of Baliwag, through its Bids and Awards Committee (BAC), invites contractors to apply for eligibility and to bid the here ender project: Name of Project	:	PURCHASE OF ONE YEAR SSL SUBSCRIPTION FOR 				THE MUNICIPALITY OF BALIWAG 	 Locatio</t>
  </si>
  <si>
    <t xml:space="preserve"> Department of Education Region VI-Western Visayas Cadiz City Alimatoc Elementary School Small Value for Procurement of the Improvement of Gulayan sa Paaralan 1.	The Alimatoc Elementary School, through the School’s MOOE 2020  intends to apply the sum of Fo</t>
  </si>
  <si>
    <t xml:space="preserve"> CONSTRUCTION OF LOCAL ACCESS ROAD @ BRGY. BAWOD, SAN ISIDRO, LEYTE. CONSTRUCTION OF 91.20M. X 6.0M X.20M CONCRETE PAVEMENT WITH REINFORCED CONCRETE CANAL AND COVER ON BOTH SIDES OF THE ROAD 5.0 UNITS 1.0M. X 1.0M. RCBC, 334.34 LN.M. CENTER ISLAND, 574.32 </t>
  </si>
  <si>
    <t xml:space="preserve"> RFQ (20-06-049) Various Supplies for Mechanical Ventilator Rental Use</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</si>
  <si>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</si>
  <si>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</si>
  <si>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Use for Backhoe -UH-04</t>
  </si>
  <si>
    <t xml:space="preserve"> 1 unit 	UV-Vis spectrophotometer - Benchtop type, double-beam, Compact  	 	     (space saver), Wavelength range of 190nm-1100nm, Path length must	 	     be 1 cm, and/or changeable with 1-10cm path, must include at least 2 	 	     cuvettes and all necessar</t>
  </si>
  <si>
    <t xml:space="preserve"> 1.	Materials &amp; Equipment Rental for the Improvement of Agriculture Office, Brgy. Sablogon, Passi City, Iloilo, (P 83,910.39)		 Stock No.	Description	Unit	Qty. 1	D-1,0.90m x 2.10m Painted Wood Panel type Door (Swing Type), w/ Wood Door Jam, Heavy Duty Door</t>
  </si>
  <si>
    <t xml:space="preserve"> RFQ (20-06-057) Tolda and Sodium hypochlorite (sprayer decontamination)</t>
  </si>
  <si>
    <t xml:space="preserve"> Department of Education Region VI-Western Visayas Cadiz City Alimatoc Elementary School Invitation to Bid for the Repair and Maintenance of Faulty Electrical Wiring of Alimatoc Elementary School 1.	The Alimatoc Elementary School, through the School’s MOOE</t>
  </si>
  <si>
    <t xml:space="preserve"> Concreting of 71.0m x 5.0m. local access road (thickness=0.20m). Concrete curb and gutter and concrete canal with reinforced canal cover on both sides of the road including 1.0m. (1.0m x1.0m. x5.0m.) RCBC</t>
  </si>
  <si>
    <t xml:space="preserve"> 1 unit 	Dual-powered solar dryer</t>
  </si>
  <si>
    <t xml:space="preserve"> assorted drugs &amp; medicines</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</si>
  <si>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</si>
  <si>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</si>
  <si>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Republic of the Philippines Province of Samar  Municipality of Jiabong INVITATION TO BID FOR  CONSTRUCTION OF MULTI-PURPOSE HALL BRGY CANTONGTONG, JIABONG SAMAR Jiab-2020-25A 1.	The Municipal Government of Jiabong, Samar, intends to apply the sum of ONE H</t>
  </si>
  <si>
    <t xml:space="preserve"> 39 unit 	Small smoke house - Height: 1 meter, Diameter 37.5 cm with 5 	 	     stainless steel trays and 4 tray holders, With glass view window,	 	     With thermostat; Stainless body, With stainless sliding firebed and	 	     firebed holder heat source, C</t>
  </si>
  <si>
    <t xml:space="preserve"> REPAIR &amp; MAINTENANCE OF FISHPORT FACILITIES (A. PERIMETER FENCE) REPAIR &amp; MAINTENANCE OF FISHPORT FACILITIES (B. OLD PUBLIC MARKET BLDG.) EXPANSION OF MAGSAYSAY BOULEBARD</t>
  </si>
  <si>
    <t xml:space="preserve"> QUANTITY	UNIT	ARTICLES				 150	pcs	Longspan Rib Type 20'				 17	pcs	Ridgeroll				 30	pcs	Wall Flashing				 17	pcs	Gutter				 350	pcs	Gutter Rivets				 290	pcs	Plywood, 3/4 				 290	pcs	Plywood, 1/2 				 300	bd. ft.	Coco Lumber (form &amp; scaffolding)				 8	k</t>
  </si>
  <si>
    <t xml:space="preserve"> Republic of the Philippines Province of Batangas Municipality of San Juan BIDS AND AWARDS COMMITTEE INVITATION TO APPLY FOR ELIGIBILITY AND TO BID THE LOCAL GOVERNMENT UNIT OF BRGY. SAMPIRO,  SAN JUAN, BATANGAS, through its Bids and Awards Committee (BAC)</t>
  </si>
  <si>
    <t xml:space="preserve"> CONSTRUCTION OF DEEP WELL, CONCRETE FLOORING AND COVER, INSTALLATION OF ELECTRIC PUMP &amp; PIPPINGS AND INSTALLATION OF 750.00 LINEAR METERS PIPELINES.</t>
  </si>
  <si>
    <t xml:space="preserve"> 3 units - Rechargeable Megaphone 5 units Heavy Duty Rechargeable Flashlight 10 pcs Resucue Helmet 1 unit Infant CPR Mannequin 1 unit Child CPR Mannequin 3 units VHF Radio with License 13 pairs Knee Pads 13 pairs Elbow Pads 15 PCs Head Lamp 15 pcs Personal</t>
  </si>
  <si>
    <t xml:space="preserve"> 14	unit 	Chest type freezer/chiller - Chest type, Two door, 18 cu ft, Inverter 1	unit 	Ice cream machine - 304 stainless steel blade with adjustable scrapers,  		     ABS Housing, Air cooled,  304 stainless steel inner bowl, Large opening:  		     Allows </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</si>
  <si>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</si>
  <si>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Republic of the Philippines Province of Iloilo Municipality of Lambunao Office of the Bids &amp; Awards Committee INVITATION TO BID/ REQUEST FOR PRICE QUOTATION Name of Project: PUrchase of Materials for the Concreting of Municipal Streets (DELMES Access Road</t>
  </si>
  <si>
    <t xml:space="preserve"> Republic of the Philippines                   Department of Health	       CENTRAL OFFICE BIDS AND AWARDS COMMITTEE  PROCUREMENT OF TROCLOSENE SODIUM IB No. 2020- 176 1.	The Department of Health (DOH), through the General Appropriations Act of 2020 intends</t>
  </si>
  <si>
    <t xml:space="preserve"> PROJECT:CONSTRUCTION OF SEPTIC VAULT FOR HEALTH CARE WASTE LOCATION: SAN GREGORIO, RIZAL, NUEVA ECIJA DESCRIPTION: 10 X 2 = 20.0 SQ.M. SOURCE OF FUND: 20% MUNICIPAL DEVELOPMENT FUND ABC: PHP 200,000.00</t>
  </si>
  <si>
    <t xml:space="preserve"> QTY		UNIT		DESCRIPTION LABORATORY EQUIPMENTS AND REAGENTS 1		Unit		Fully Automated Chemistry Analyzer 1		Unit		Automated Hematology Analyzer(3 Parts) 1		Unit		Electrolytes Analyzer 1		Unit		Digital Clinical Centrifuge 		 *Chemistry Analyzer* 1		Btl		Chole</t>
  </si>
  <si>
    <t xml:space="preserve"> Republic of the Philippines Province of Abra Municipality of Pilar  Invitation to Bid for Construction of Flood Control 1.	The Municipality of Pilar, through the RA 7171 to apply the sum of Php25,000,000.00 being the Approved Budget for the Contract (ABC)</t>
  </si>
  <si>
    <t xml:space="preserve"> Procurement of Various  Common-Use Office Supplies. Please refer to ABE for the specifications</t>
  </si>
  <si>
    <t xml:space="preserve"> PROCUREMENT OF TOOLS AND EQUIPMENT FOR CITY ENGINEER'S OFFICE				 ABC: 1,188,509.64				 				 1	unit	Surveying Instrument		 1	unit	Road Concrete Cutter with 10 blades		 2	units	Welding Machine 500 ampere		 1	unit	Electric Bar Cutting Machine 32mm dia.		 1	</t>
  </si>
  <si>
    <t xml:space="preserve"> 1 Set	Water Retort Chamber with Accessories 	 	(steam boiler and cooling tower)	 		 	A. Counter Pressure Retort ,2 - baskets capacity	 	  -  Horizontal type, Stainless Steel T304 type materials	 	  -  Dimensions: L220mm x Diameter 1200mm	 	  -  2" thick r</t>
  </si>
  <si>
    <t xml:space="preserve"> Department of Public Works and Highways Contract ID:	20NA0070 Title: 		Concreting of Brgy. Sangay FMR, Buenavista, Agusan del Norte Location:		Buenavista, Agusan del Norte ___________________________________________________________________________________</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</si>
  <si>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</si>
  <si>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</si>
  <si>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The detailed Bill of Materials is attached to the Bid Forms.</t>
  </si>
  <si>
    <t xml:space="preserve"> PROJECT: DISSILTING OF CREEK FOR FLOOD PREVENTION LOCATION: BICOS, RIZAL, NUEVA ECIJA DESCRIPTION: L=200.0M, W=6.0M, H=3.0M SOURCE OF FUND: CALAMITY FUND ABC: PHP 150,000.00</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</si>
  <si>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</si>
  <si>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</si>
  <si>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Republic of the Philippines 	Province of Pangasinan 	Municipality of Infanta 	Barangay Poblacion 	BIDS AND AWARDS COMMITTEE 	 Invitation to Bid for CONCRETING OF ACCESS ROAD @ SAN ROQUE ST., POBLACION, INFANTA, PANGASINAN 1.	The BARANGAY POBLACION, INFANT</t>
  </si>
  <si>
    <t xml:space="preserve"> Item No.	Quantity	Unit of Issue	Item Description SLP-1	         19.72	Cu.m.	               Excavation SLP-11	 4.788	Cu.m.  	       Concrete Post 704	         102.0	Sq. m.	       Masonry</t>
  </si>
  <si>
    <t xml:space="preserve"> Construction of Mini-Library</t>
  </si>
  <si>
    <t xml:space="preserve"> 1. The Department of Agriculture – Regional Field Office – Cordillera Administrative Region (DA-RFO-CAR) intends to apply part of its CY 2020 General Appropriation Act (GAA) the total sum of Nine Hundred Ninety Four Thousand Four Hundred Ten Pesos (P994,4</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</si>
  <si>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</si>
  <si>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Use For Executive Order in Schedule Barangay ( Tarpaulin )</t>
  </si>
  <si>
    <t xml:space="preserve"> Construction of Bridge ( Phase I &amp; Phase II) at Antipolo Old, Nabua, Camarines Sur</t>
  </si>
  <si>
    <t xml:space="preserve"> INVITATION TO BID FOR Janitorial Supplies  (Name of Project)    1.	The CITY GOVERNMENT OF ZAMBOANGA, through the General Fund intends to apply the sum of ONE MILLION FIFTY THOUSAND SIX HUNDRED NINETY EIGHT PESOS (P1,050,698.00) ONLY being the Approved Bud</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</si>
  <si>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</si>
  <si>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INVITATION TO BID SUPPLY AND DELIVERY OF IT EQUIPMENT AND ACCESSORIES FOR THE CITY HEALTH OFFICE – 2ND BIDDING 1.	The Local Government Unit of Cabadbaran City through the GENERAL FUND intends to apply the sum of TWO HUNDRED FIFTY-FIVE THOUSAND FOUR HUNDRE</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</si>
  <si>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</si>
  <si>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</si>
  <si>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</si>
  <si>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</si>
  <si>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Item No.	Quantity	Unit of Issue	Item Description 1	             1		                         Construction of Reservoir</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</si>
  <si>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</si>
  <si>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Section I. Invitation to Bid   Republic of the Philippines CITY GOVERNMENT OF SAN FERNANDO City Hall Building, F. Ortega Highway Tel. No. (072)8886901, (072) 867-8100/Fax No. (072)8886907 Website: www.sanfernandocity.gov.ph Email: csflu_98@yahoo.com INVIT</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</si>
  <si>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</si>
  <si>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</si>
  <si>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Construction materials</t>
  </si>
  <si>
    <t xml:space="preserve"> Please submit your quotation for the following items on or before 5:00PM on Jun 26, 2020. ITEM D E S C R I P T I O N QTY. UNIT 1 Pipe, G.I. S-40 Std 1``Ø x 6m 27 pc 2 Steel, Flat Bar, ¾`` x ¼``, (20mm x 6mm) 27 pc 3 Steel, Matting, 2`` x 4.5mmØ 18 pc 4 We</t>
  </si>
  <si>
    <t xml:space="preserve"> Item No.	Quantity	Unit of Issue	Item Description 803 (1)	  7.01  	Cu.m.	                Structural Excavation 804	         33.04	Cu.m.	                Embankment 404     	301.28	Kgs.	                Reinforcing Steel Bars 405 (1)	3.11	        Cu.m.	      </t>
  </si>
  <si>
    <t xml:space="preserve"> Republic of the Philippines CITY GOVERNMENT OF SAN FERNANDO City Hall Building, F. Ortega Highway Tel. No. (072)8886901, (072) 867-8100/Fax No. (072)8886907 Website: www.sanfernandocity.gov.ph Email: csflu_98@yahoo.com INVITATION TO BID FOR  REHABILITATIO</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</si>
  <si>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</si>
  <si>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INVITATION TO BID Project Name:	Construction of Multi-Purpose Building Name of Bidder:	 Address :	 ITB Number:	BUSO – 001-20 ABC	P 444,728.50 Project Duration	66 Calendar Days Please quote your lowest price on the item/s listed below, stating the shortest</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</si>
  <si>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</si>
  <si>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Rehabilitation of 10 Child Development Centers is funded thru the Early Childhood Care &amp; Development Council Grant. Please be guided by the following schedule: 1. Submission of Letter of Intent - June 25-26, 2020 2. Eligibility Screening - June 29, 2020 3</t>
  </si>
  <si>
    <t xml:space="preserve"> Republic of the Philippines CITY GOVERNMENT OF SAN FERNANDO City Hall Building, F. Ortega Highway Tel. No. (072)8886901, (072) 867-8100/Fax No. (072)8886907 Website: www.sanfernandocity.gov.ph Email: csflu_98@yahoo.com INVITATION TO BID FOR  CONTINUATION </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</si>
  <si>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</si>
  <si>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Republic of the Philippines PROVINCE OF SOUTHERN LEYTE Maasin City Invitation to Bid for the Procurement of Banana Cardava Plantlets  Contract ID # 2020-07-07-368PG 1.	The Provincial Government of Southern Leyte through the PAGSO - Other Maintenance and O</t>
  </si>
  <si>
    <t xml:space="preserve"> INVITATION TO BID FOR THE SUPPLY, DELIVERY AND COMMISSIONING OF OPHTHALMIC ULTRASOUND A/B SCAN WITH UBM 1.  The Cagayan Valley Medical Center (CVMC), intends to apply the sum Three Million Pesos (Php   3,000,000.00 ) being the Approved Budget for the Cont</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</si>
  <si>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</si>
  <si>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Invitation to Bid for the Supply and Delivery of various Medicine for the use of Brgy. Balete, Batangas City</t>
  </si>
  <si>
    <t xml:space="preserve"> INVITATION TO BID SUPPLY AND DELIVERY OF ONE (1) UNIT BRAND NEW GENERATOR SET FOR THE CITY HEALTH OFFICE – 2ND BIDDING 1.	The Local Government Unit of Cabadbaran City through the GENERAL FUND intends to apply the sum of FIVE HUNDRED THIRTY-TWO THOUSAND PE</t>
  </si>
  <si>
    <t xml:space="preserve"> Item No.	Quantity	Unit of Issue	Item Description 1032 (1)	834.4	            Sq. m.	Metal Painting  B.5 H 	2	            Each	Project Billboard B.7	       L.S.	            L.S	Occupational Safety and Health</t>
  </si>
  <si>
    <t xml:space="preserve"> Clearing and grubbing, Common excavation manual, Masonry works, Plastering, Installation of paving blocks,     Sub-grade preparation, Aggregate sub-base course, PCCP, COSH</t>
  </si>
  <si>
    <t xml:space="preserve"> Invitation to Bid for the Supply and Delivery of various Medicine for the use of Brgy. Banaba West, Batangas City</t>
  </si>
  <si>
    <t xml:space="preserve"> 1     UNIT         LAPTOP            1               47,541.92            47,541.92 1     UNIT         PRINTER          2               12,045.29             12,045.29                                                                                TOTAL: 5</t>
  </si>
  <si>
    <t xml:space="preserve"> Item No.	Quantity	Unit of Issue	Item Description 1	24	Pcs.	10mm dia x 6m RSB Std. Def. Bar 2	26	Pcs.	12mm dia x 6m RSB Std. Def. Bar 3	6	Kgs.	#16 G.I. Wire  4	8	Pcs.	Hacksaw Blade 5	66	Bags 	40 kg. Portland Cement 6	4.5	Cu.m.	Washed Sand 7	7	Cu.m.	Washed </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</si>
  <si>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</si>
  <si>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REGION XII  Province of Cotabato  Municipality of Midsayap  BIDS &amp; AWARDS COMMITTEE  Tel. Nos. (064) 229-8018; 229-8650; 229-8450  INVITATION TO BID FOR   2020-060, COMPLETION OF COVERED COURT AT BARANGAY NALIN, MIDSAYAP, COTABATO    1.	The MUNICIPAL GOVE</t>
  </si>
  <si>
    <t xml:space="preserve"> Clearing and grubbing, Structure Excavation, Safety and Health</t>
  </si>
  <si>
    <t xml:space="preserve"> Invitation to Bid for the  CONSTRUCTION OF DRAINAGE CANAL  Kiblawan, Davao del Sur 1.The Local Government Unit of Kiblawan, through the 20% Local Government Development Fund 2020[ In the case of National Government Agencies, the General Appropriations Act</t>
  </si>
  <si>
    <t xml:space="preserve"> Riprapping</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</si>
  <si>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</si>
  <si>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National Power Corporation INVITATION TO BID PUBLIC BIDDING 2020-0125 1.	The NATIONAL POWER CORPORATION (NPC), through       its        approved       Corporate Budget of CY 2020 intends to apply   the   sum   of (Please see schedule below) being the Appr</t>
  </si>
  <si>
    <t xml:space="preserve"> Removal of structure and obstruction, Structure excavation, Reinforcing steel bar, Structural concrete works, Masonry works w/ plastering, Electrical works, Roofing works, Installation of ACP</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</si>
  <si>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</si>
  <si>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</si>
  <si>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</si>
  <si>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Contract ID: 20PL0117 Contract Name: Construction/Concreting of the Tabuk City, Kalinga - Tuao, Cagayan Road via the Burayugan-San Francisco-Naruangan Section, Cagayan Road, Tabuk City, Kalinga Contract Location: Tabuk City, Kalinga Brief Description: Con</t>
  </si>
  <si>
    <t xml:space="preserve"> Invitation to Bid for the Supply and Delivery of various Medicine for the use of Brgy. Bucal, Batangas City</t>
  </si>
  <si>
    <t xml:space="preserve"> INVITATION TO BID FOR Procurement of Various Medical Equipment for CY 2020 IB NO: 2020-020 The Western Visayas Medical Center, through Regular Agency Fund/SAA No. 2020-04-0846, in the amount of Twenty One Million Four Hundred Sixty Six Thousand Two Hundre</t>
  </si>
  <si>
    <t xml:space="preserve"> TYPE/MODEL: SINOTUK HOWO, T7 / A7 6 X 4, 10 WHEELER, DUMP TRUCK. ENGINE NO.: D10.38-40, 380HP, EURO 4 TRANSMISSION: HW19710 FRONT AXLE: HF9 REAR AXLE: HC16 COLOR: WHITE TIRES: 12.00R20, 11, STEEL TIRES INCLUDING ONE (1) SPARE TIRE DUMP: 5600*2300*1500mm F</t>
  </si>
  <si>
    <t xml:space="preserve"> Contract ID: 20PL0116 Contract Name: Concreting of Sitio Turod to Sitio Burubur (Phase II) FMR, Brgy. Bulo, Tabuk City, Kalinga Contract Location: Tabuk City, Kalinga Brief Description: Construction of 579m x 6.1m x 0.20m thk PCCP Approved Budget for the </t>
  </si>
  <si>
    <t xml:space="preserve"> Clearing &amp; grubbing, Structure excavation, Stone masonry, Embankment fill, Removal of existing concrete pavement, Sub-grade preparation, Aggregate sub-base course, PCCP, RSB, Structural concrete, Construction Safety and Health</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</si>
  <si>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</si>
  <si>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Republic of the Philippines CITY GOVERNMENT OF SAN FERNANDO City Hall Building, F. Ortega Highway Tel. No. (072)8886901, (072) 867-8100/Fax No. (072)8886907 Website: www.sanfernandocity.gov.ph Email: csflu_98@yahoo.com INVITATION TO BID FOR  ESTABLISHMENT</t>
  </si>
  <si>
    <t xml:space="preserve"> Contract ID: 20PL0104 Contract Name: Construction of Pinukpuk-Balbalan Road (Bal - Aba-Aba Section), Brgy. Ballayangon, Pinukpuk, Kalinga Contract Location: Pinukpuk, Kalinga Brief Description: Construction of 3,200m Road Gravelling Approved Budget for th</t>
  </si>
  <si>
    <t xml:space="preserve"> ROAD CONSTRUCTION WITH DRAINAGE CANAL AT PUROK 8A, BACACA, BARANGAY 19-B, POBLACION DISTRICT, DAVAO CITY ABC: 3,000,000.00 Location: Barangay 19-B, Davao City Fund Source: SARO-OSEC-19-0014429 Physical Target: Roads and Drainage</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</si>
  <si>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</si>
  <si>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Republic of the Philippines						 City Government of Davao						 						 INVITATION TO BID						 for Infrastructure Projects B13-2020						 						 The City Government of Davao now invites bidders for the project/s under B13-2020 as listed below.   The pros</t>
  </si>
  <si>
    <t xml:space="preserve"> REGION XII  Province of Cotabato  Municipality of Midsayap  BIDS &amp; AWARDS COMMITTEE  Tel. Nos. (064) 229-8018; 229-8650; 229-8450  INVITATION TO BID FOR   2020-061, CONSTRUCTION OF 2 UNITS WATER SYSTEM LEVEL II AT PUROK 5 AND 10,   MALAMOTE, MIDSAYAP, COT</t>
  </si>
  <si>
    <t xml:space="preserve"> 1 572 pcs 4" x 8" x 16" CHB 2 95 bags 40kg Portland Cement 3 9 cu.m Crushed Sand 4 7 cu.m Crushed Gravel 3/4" dia 5 15 lgth 12mm dia x 6m def bars 6 110 lgth 10mm dia x 6m def bars 7 15 kls #16 Tie Wire 8 205 bd ft 2 x 3 x 10 Coco Lumber 9 11 lgth 1/4 x 2</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</si>
  <si>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</si>
  <si>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</si>
  <si>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Republic of the Philippines                   Department of Health	       CENTRAL OFFICE BIDS AND AWARDS COMMITTEE  PROCUREMENT OF RED EVACUATED TUBE IB No. 2020- 189 1.	The Department of Health (DOH), through the General Appropriations Act of 2020 intend</t>
  </si>
  <si>
    <t xml:space="preserve"> RFQ (20-06-053) Compressed Air</t>
  </si>
  <si>
    <t xml:space="preserve"> Republic of the Philippines PROVINCE OF DAVAO ORIENTAL MUNICIPALITY OF SAN ISIDRO INVITATION TO BID FOR THE PROCUREMENT OF VCM&amp;S FOR THE REHABILITATION OF LOCAL ROAD AT KABAISANAN, PUROK PERLAS, BATOBATO, SAN ISIDRO,DAVAO ORIENTAL 1.	The Municipality of S</t>
  </si>
  <si>
    <t xml:space="preserve"> Completion of Concreting of Local  Road, Inapatan to Angustia, Nabua, Camarines Sur</t>
  </si>
  <si>
    <t xml:space="preserve"> Republic of the Philippines PROVINCE OF DAVAO ORIENTAL MUNICIPALITY OF SAN ISIDRO INVITATION TO BID FOR THE PROCUREMENT OF WORKS FOR THE CONST’N OF 1 UNIT – 67.20 SQ.M. AND 3 UNITS – 25.5 SQ.M. MRF, SAN ISIDRO, DAVAO ORIENTAL 1.	The Mun. of San Isidro, Da</t>
  </si>
  <si>
    <t xml:space="preserve"> CONSUMABLE</t>
  </si>
  <si>
    <t xml:space="preserve"> Hybrid Trimaran Vessel Classification as per attached Request for Quotation.</t>
  </si>
  <si>
    <t xml:space="preserve"> Republic of the Philippines PROVINCE OF DAVAO ORIENTAL MUNICIPALITY OF SAN ISIDRO INVITATION TO BID FOR THE PROCUREMENT OF WORKS FOR THE CONST’N OF VAWC CRISIS CENTER INCL. MADAC DRUG TREATMENT CENTER AT BRGY BATOBATO, SAN ISIDRO, DAVAO ORIENTAL 1.	The Mu</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</si>
  <si>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</si>
  <si>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The Local Government Unit of Barugo, through the 20% Project Development Fund intends to apply the sum of Two Million Six Hundred Fifty Thousand Pesos (Php2,650,000.00)  being the Approved Budget for the Contract (ABC) to payments under the contract for P</t>
  </si>
  <si>
    <t xml:space="preserve"> 30 Rolls PE PIPE SDR9 # 1 1/2</t>
  </si>
  <si>
    <t xml:space="preserve"> INVITATION TO BID (National Competitive Bidding) The BFAR XIII, through its Bids and Awards Committee (BAC), invites eligible suppliers to bid for the hereunder contracts: Project Title: Procurement of Fuel and Lubricants’ Fleet Card for Official use of B</t>
  </si>
  <si>
    <t xml:space="preserve"> 1.	The Local Government Unit of Kabacan, through the MOOE 2020 of various offices  intends to apply the sum of Six Hundred Sixty Four Thousand One Hundred Twenty Eight &amp; 54/100 Pesos (P 664,128.54) being the Approved Budget for the Contract (ABC) to payme</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</si>
  <si>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</si>
  <si>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Republic of the Philippines Province of Bukidnon Municipality of Cabanglasan -o0o- ___________________________________________________________________________ INVITATION TO BID FOR  Purchase of Solar Lights at Buso/P11 Poblacion/Jasaan/Salimbobonog Capino</t>
  </si>
  <si>
    <t xml:space="preserve"> Rehabilitation</t>
  </si>
  <si>
    <t xml:space="preserve"> Plastic monobloc chairs with backrest (beige color)</t>
  </si>
  <si>
    <t xml:space="preserve"> Please download attached documents or visit our website @www.prc.gov.ph for more details.</t>
  </si>
  <si>
    <t xml:space="preserve"> National Power Corporation INVITATION TO BID PUBLIC BIDDING 2020-0126 1.	The NATIONAL POWER CORPORATION (NPC), through       its        approved       Corporate Budget of CY 2020 intends to apply   the   sum   of (Please see schedule below) being the Appr</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</si>
  <si>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</si>
  <si>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Concreting of Local Road Zone 5, Angustia, Nabua, Camarines Sur</t>
  </si>
  <si>
    <t xml:space="preserve"> Clearing and grubbing, Excavation, RSB, Structural concrete, Construction Safety and Health</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</si>
  <si>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</si>
  <si>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Construction/ Repair/ Rehabilitation/ Improvement of Various Infrastructure Including Local Projects – Rehabilitation of Road Teodora Alonzo, Baguio City Contract Location :	Baguio City Approved Budget for the Contract :	Php1,960,000.00 Scope of  work  :	</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</si>
  <si>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</si>
  <si>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</si>
  <si>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Republic  of  the  Philippines  Province  of  Marinduque MUNICIPALITY  OF  GASAN INVITATION TO  BID  FOR THE IMPROVEMENT  OF SLAUGHTER HOUSE 1.	The Municipality of Gasan, through  20% Development Fund CY 2020, Public Market and Slaughter House intends to </t>
  </si>
  <si>
    <t xml:space="preserve"> SOURCE DEVELOPMENT; PROVISION OF PUMP AND ITS ACCESSORIES; CONSTRUCTION OF POWER HOUSE</t>
  </si>
  <si>
    <t xml:space="preserve"> Construction/ Repair/ Rehabilitation/ Improvement of Various Infrastructure Including Local Projects - Rehabilitation of Road at Purok 2 and 3, Brgy. Sta. Escolastica Village, Baguio City Contract Location :	Baguio City Approved Budget for the Contract :	</t>
  </si>
  <si>
    <t xml:space="preserve"> 1.	The Philippine Science High School Central Luzon Campus through the GAA 2020  intends to apply the sum of One Million One Hundred Eighty Thousand Pesos (PHP 1,180,000.00) being the Approved Budget for the Contract (ABC) to payments under the contract f</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</si>
  <si>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</si>
  <si>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</si>
  <si>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</si>
  <si>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Construction/ Repair/ Rehabilitation/ Improvement of Various Infrastructure Including Local Projects - Rehabilitation of Multi-Purpose Hall, Baguio City Contract Location :	East Modernsite, Baguio City Approved Budget for the Contract :	Php980,000.00 Scop</t>
  </si>
  <si>
    <t xml:space="preserve"> Description   Republic of the Philippines BIDS AND AWARDS COMMITTEE FOR THE PROCUREMENT OF GOODS City of Puerto Princesa Barangay Sta. Monica INVITATION TO BID (Procurement of Goods) PR No. 2020-06-024 Date: June 15, 2020 Procuring/Funding Office/Departme</t>
  </si>
  <si>
    <t xml:space="preserve"> NAME OF PROJECT: IMPROVEMENT OF FARM TO MARKET ROAD AT PALINA  BALINSAWANG, TALOY SUR PROJECT LOCATION: PALINA, TALOY SUR, TUBA, BENGUET PROJECT DESCRIPTION: BILLBOARD, REMOVAL OF STRUCTURES AND OBSTRUCTIONS, SUBGRADE PREPARATION AND PORTLAND CEMENT CONCR</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</si>
  <si>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</si>
  <si>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NAME OF PROJECT: CONSTRUCTION OF SEBIT-CAUCALAN WATER WORKS SYSTEM (PHASE 2) PROJECT LOCATION: CAUCALAN, TALOY SUR, TUBA, BENGUET PROJECT DESCRIPTION: BIILBOARD WITH STAND, STRUCTURE EXCAVATION, CONSTRUCTION OF WATER TANK (a. reinforced concrete works b. </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</si>
  <si>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</si>
  <si>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Description: REHAB.OF BULUA BRGY.WATER SYSTEM, Barangay Bulua,Cagayan de Oro City.   Invitation to Apply for Eligibility and to Bid Republic of the Philippines City of Cagayan de Oro Barangay Bulua JUNE 29,2020 Date of Bidding Purchase Request : 20-06-55 </t>
  </si>
  <si>
    <t xml:space="preserve"> Improvement of Barangay Road to include:     1. Excavation    2. Drainage Riprap    3. Roadway Preparation    4. Concrete Pavement</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</si>
  <si>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</si>
  <si>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</si>
  <si>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</si>
  <si>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</si>
  <si>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NAME OF PROJECTS: CONSTRUCTION OF MULTIPURPOSE HALL LOCATION: TALOY SUR, TUBA, BENGUET SCOPE OF WORK: INSTALLATION OF SIGNBOARD, STRUCTURAL EXCAVATION, CONSTRUCTION OF TIE BEAM NO. OF WORKING DAYS TO COMPLETE WORK: 9</t>
  </si>
  <si>
    <t xml:space="preserve"> INVITATION TO BID FOR THE PROCUREMENT OF FUEL FOR 3RD QUARTER OF 2020, SAN ISIDRO,DAVAO ORIENTAL 1.	The Municipality of San Isidro, through the AIP 2020 Fund intends to apply the sum of Php 600,000.00 being the Approved Budget for the Contract (ABC) to pa</t>
  </si>
  <si>
    <t xml:space="preserve"> LGU Patnanungan, Quezon						Ref.		See other bid docs                                                                                            	 Name of Project	As shown                                                                                    </t>
  </si>
  <si>
    <t xml:space="preserve"> SURIGAO STATE COLLEGE OF TECHNOLOGY Surigao City INVITATION TO BID FOR PROCUREMENT OF SECURITY SERVICES (1 YEAR CONTRACT)  1.	The Surigao State College of Technology, through the General Appropriations Act of 2020 intends to apply the sum of Five Million </t>
  </si>
  <si>
    <t xml:space="preserve"> Invitation to Bid for  Purchase of One (1) unit Ambulance for MDRRM use Source of Fund: Trust Fund (5% MDRRMF) Nonrefundable Fee for Bidding Documents: 5,000.00</t>
  </si>
  <si>
    <t xml:space="preserve"> Department of Education Region VI-Western Visayas Division of Cadiz City Alimatoc Elementary School SMALL VALUE PROCUREMENT OF HEAVY DUTY  PRINTER  WITH SCANNER 2019 1.	The Alimatoc Elementary School of Cadiz City, through the Schools MOOE Fund CY 2019  i</t>
  </si>
  <si>
    <t xml:space="preserve"> RCDG BRIDGE</t>
  </si>
  <si>
    <t xml:space="preserve"> Republic of the Philippines Province of Quezon CITY GOVERNMENT OF TAYABAS INVITATION TO BID FOR PROJECT # 20-053 - PROCUREMENT OF CCTV CAMERA WITH TV MONITOR SYSTEM AND NETWORK INFRASTRUCTURE – CITY SCHOOL DIVISION OFFICE The City Government of Tayabas, t</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</si>
  <si>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</si>
  <si>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</si>
  <si>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Province of Cagayan BARANGAY UGAC NORTE Tuguegarao City INVITATION TO BID NAME OF PROJECT:  CONSTRUCTION OF MASONRY DRAINAGE STRUCTURE  along Bassig Street (Simangan Alley) REFERENCE NO.: PB-INF-19-005  DATE OF POSTING: June 16, 2020 1. The Barangay Counc</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</si>
  <si>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</si>
  <si>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Republic of the Philippines Province of Quezon CITY GOVERNMENT OF TAYABAS INVITATION TO BID FOR PROJECT # 20-055 – PROCUREMENT OF RESPONSE / VEHICLE 4 WHEELER -LDRRMO. 1.	The City Government of Tayabas, through the General Fund Continuing 2020 intends to </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</si>
  <si>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</si>
  <si>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Republic of the Philippines Province of Northern Samar MUNICIPALITY OF LOPE DE VEGA Lope De Vega, Northern Samar Invitation to Bid IMPROVEMENT OF WATER SYSTEM  Barangay Magsaysay and Poblacion (Purok 9 &amp; 10), Lope De Vega, Northern Samar  The Local Govern</t>
  </si>
  <si>
    <t xml:space="preserve"> June 09, 2020 RE-INVITATION TO BID 1.	The Department of Public Works and Highways, Mindoro Occidental District Engineering Office, Mamburao, Occidental Mindoro, through the General Appropriations Act intends to apply the sum of the Approved Budget for the</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</si>
  <si>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</si>
  <si>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Republic of the Philippines Province of Quezon CITY GOVERNMENT OF TAYABAS INVITATION TO BID FOR PROJECT # 20-043 – PROCUREMENT OF MOTOR VEHICLE (RESCUE VEHICLE CUSTOMIZED PICK-UP) -LDRRMO. 1.	The City Government of Tayabas, through the General Fund Contin</t>
  </si>
  <si>
    <t xml:space="preserve"> INVITATION TO BID The Philippine Children’s Medical Center, through GAA/HFEP (DOH) CY 2019 intends to apply the sum of Fourteen Million Seven Hundred Sixty Thousand Pesos (Php 14,760,000.00) being the Approved Budget for the Contract (ABC) to payment unde</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</si>
  <si>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</si>
  <si>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PB NO. 2020-034		 			 1.	100	UNITS	LAPTOP 			SPECIFICATIONS: 			ASUS TUF GAMING FX 505DT-AL182T 			SAND BLASTED FINISH-GUN METAL 			(COLOR/MAKE NAME: GOLD STEEL) 			DIMENSION: 36.0 X 26.2 X 2.50 2.60 CM 			14.17 X 10.31 X 0.98 1.02 INCHES 			PROCESSOR: AM</t>
  </si>
  <si>
    <t xml:space="preserve"> Republic of the Philippines Province of Northern Samar MUNICIPALITY OF LOPE DE VEGA Lope De Vega, Northern Samar Invitation to Bid CONSTRUCTION OF DAY CARE CENTER Barangay Cag-aguingay, Lope De Vega, Northern Samar  The Local Government Unit – Lope De Veg</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</si>
  <si>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</si>
  <si>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INVITATION TO BID FOR THE PROCUREMENT OF SUPPLY AND DELIVERY OF NINE (9) UNITS RICE COMBINE HARVESTER (REBID)   1.	The Department of Agriculture Regional Field Office (DA RFO) No. 6, through the General Appropriations Act of 2020 intends to apply the sum </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</si>
  <si>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</si>
  <si>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Republic of the Philippines BIDS AND AWARDS COMMITTEE Province of Iloilo Invitation to Bid Purchase of LABORATORY SUPPLIES Bid No.RPT-20-0429-B  1. The Iloilo Provincial Government, through the 2020 GENERAL FUND intends to apply the sum of ONE HUNDRED NIN</t>
  </si>
  <si>
    <t xml:space="preserve"> Republic of the Philippines BIDS AND AWARDS COMMITTEE Province of Iloilo Invitation to Bid Purchase of LABORATORY SUPPLIES Bid No.RPT-20-0431-B  1. The Iloilo Provincial Government, through the 2020 GENERAL FUND intends to apply the sum of EIGHTY-SEVEN TH</t>
  </si>
  <si>
    <t xml:space="preserve"> Republic of the Philippines BIDS AND AWARDS COMMITTEE Province of Iloilo Invitation to Bid Purchase of LABORATORY SUPPLIES Bid No.RPT-20-0400-B  1. The Iloilo Provincial Government, through the 2020 GENERAL FUND intends to apply the sum of EIGHTY-SIX THOU</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</si>
  <si>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</si>
  <si>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Republic of the Philippines BIDS AND AWARDS COMMITTEE Province of Iloilo Invitation to Bid Purchase of LABORATORY SUPPLIES Bid No.RPT-20-0399-B  1. The Iloilo Provincial Government, through the 2020 GENERAL FUND intends to apply the sum of NINETY THOUSAND</t>
  </si>
  <si>
    <t xml:space="preserve"> Republic of the Philippines BIDS AND AWARDS COMMITTEE Province of Iloilo Invitation to Bid Purchase of LABORATORY SUPPLIES Bid No.RPT-20-0398-B  1. The Iloilo Provincial Government, through the 2020 GENERAL FUND intends to apply the sum of FIFTY-TWO THOUS</t>
  </si>
  <si>
    <t xml:space="preserve"> PB NO. 2020-035		 			 1.	1	lot	Proposed Asphalt overlay at Brgy. Sta. Ana, San Pablo City. 			By: Contract 			 	Deadline for Submission of Bids: July 6, 2020 1:00 pm</t>
  </si>
  <si>
    <t xml:space="preserve"> Republic of the Philippines BIDS AND AWARDS COMMITTEE Province of Iloilo Invitation to Bid Purchase of LABORATORY SUPPLIES Bid No.RPT-20-0397-B  1. The Iloilo Provincial Government, through the 2020 GENERAL FUND intends to apply the sum of SEVEN HUNDRED S</t>
  </si>
  <si>
    <t xml:space="preserve"> Republic of the Philippines Department of Education Region VI – Western Visayas DIVISION OF AKLAN Poblacion, Numancia, Aklan INVITATION TO BID Project No.: DepED-RO6-D1-2020QRF(REPAIR)-C1-018-2020 The Department of Education (DepED) Division of Aklan, thr</t>
  </si>
  <si>
    <t xml:space="preserve"> INVITATION TO BID FOR SECURITY SERVICES 1. The Cebu Technological University, through the GAA intends to apply the sum of Nine Hundred Ninety-Five Thousand Pesos (Php995,000.00) being the Approved Budget for the Contract (ABC) to payments under the contra</t>
  </si>
  <si>
    <t xml:space="preserve"> Republic of the Philippines BIDS AND AWARDS COMMITTEE Province of Iloilo Invitation to Bid Purchase of MEDICAL SUPPLIES Bid No.RPT-20-0296-B  1. The Iloilo Provincial Government, through the 2020 GENERAL FUND intends to apply the sum of NINE HUNDRED FIFTY</t>
  </si>
  <si>
    <t xml:space="preserve"> Republic of the Philippines BIDS AND AWARDS COMMITTEE Province of Iloilo Invitation to Bid Purchase of LABORATORY SUPPLIES Bid No.RPT-20-0401-B  1. The Iloilo Provincial Government, through the 2020 GENERAL FUND intends to apply the sum of SIXTY-SIX THOUS</t>
  </si>
  <si>
    <t xml:space="preserve"> Department of Education Region VI-Western Visayas Division of Cadiz City Alimatoc Elementary School SMALL VALUE PROCUREMENT OF 2 SETS 18X20 CANOPY  1.	The Alimatoc Elementary School of Cadiz City, through the Schools MOOE Fund CY 2020  intends to apply th</t>
  </si>
  <si>
    <t xml:space="preserve"> Republic of the Philippines Province of Northern Samar MUNICIPALITY OF LOPE DE VEGA Lope De Vega, Northern Samar Invitation to Bid CONSTRUCTION OF WATER SYSTEM FOR DOMESTIC USE Barangay Poblacion, Lope De Vega, Northern Samar  The Local Government Unit – </t>
  </si>
  <si>
    <t xml:space="preserve"> CONSTRUCTION OF PESKONG DRAINAGE</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</si>
  <si>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</si>
  <si>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Republic of the Philippines BIDS AND AWARDS COMMITTEE Province of Iloilo Invitation to Bid Purchase of DRUGS AND MEDICINES Bid No.RPT-20-0295-B  1. The Iloilo Provincial Government, through the 2020 GENERAL FUND intends to apply the sum of SEVEN HUNDRED T</t>
  </si>
  <si>
    <t xml:space="preserve"> Invitation to Bid for Purchase of Two (2) units Rescue Vehicle for the use of Emergency response Source of Fund: Trust Fund (5% MDRRMF) Nonrefundable fee for bidding douments: 10,000.00</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</si>
  <si>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</si>
  <si>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Republic of the Philippines BIDS AND AWARDS COMMITTEE Province of Iloilo Invitation to Bid Purchase of DRUGS AND MEDICINES Bid No.RPT-20-0357-B  1. The Iloilo Provincial Government, through the 2020 GENERAL FUND intends to apply the sum of SIX HUNDRED NIN</t>
  </si>
  <si>
    <t xml:space="preserve"> CONSTRUCTION OF SA-ONG COVERED DRAINAGE</t>
  </si>
  <si>
    <t xml:space="preserve"> Republic of the Philippines Pangasinan State University Lingayen, Pangasinan INVITATION TO BID FOR THE UPGRADING OF ENGINEERING AND TECHNOLOGY LABORATORIES OF THE PANGASINAN STATE UNIVERSITY 1.	The Pangasinan State University, through the Fund 184 (Extern</t>
  </si>
  <si>
    <t xml:space="preserve"> CONSTRUCTION OF SAFIANGON-CHALLOS FOOTBRIDGE</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</si>
  <si>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</si>
  <si>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Republic of the Philippines Pangasinan State University Lingayen, Pangasinan INVITATION TO BID FOR THE MODERNIZATION OF INFORMATION TECHNOLOGY AND NETWORK COMMUNICATION LABORATORY FACILITY OF COLLEGE OF COMPUTING SCIENCES 1.	The Pangasinan State Universit</t>
  </si>
  <si>
    <t xml:space="preserve"> Province of Cagayan BARANGAY UGAC NORTE Tuguegarao City INVITATION TO BID NAME OF PROJECT:  CONSTRUCTION OF MASONRY DRAINAGE STRUCTURE  along Bassig Street (Bangayan Alley) REFERENCE NO.: PB-INF-19-006  DATE OF POSTING: June 16, 2020 1. The Barangay Counc</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</si>
  <si>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</si>
  <si>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</si>
  <si>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</si>
  <si>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Republic of the Philippines Province of Quezon CITY GOVERNMENT OF TAYABAS INVITATION TO BID FOR PROJECT # 20-039 - PROCUREMENT OF ICT EQUIPMENT FOR TEACHING AND LEARNING PURPOSES – CITY SCHOOL DIVISION OFFICE. The City Government of Tayabas, through the S</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</si>
  <si>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</si>
  <si>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</si>
  <si>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Description I.	Structure Excavation  1. Barangay Ada, TANAUAN, LEYTE through the bids and awards comm.) invites suppliers, distributors of construction materials for the project: Improvement of Designated Excavation Center  2. The bids and awards committe</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</si>
  <si>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</si>
  <si>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Flue curing barn: Excavation works, Masonry works, Roofing works, Hangers, Door ventilation, Flue system, Construction safety and health</t>
  </si>
  <si>
    <t xml:space="preserve"> Republic of the Philippines PROVINCE OF NUEVA VIZCAYA 2nd Invitation to Bid for the  CONSTRUCTION OF NAMANGEGAN ALLOY CIS PHASE III Located at Kasibu, Nueva Vizcaya  1.	The Provincial Government of Nueva Vizcaya, through the 2020 20% Development Fund inte</t>
  </si>
  <si>
    <t xml:space="preserve"> PROCURMENT OF HARDWARE/SOFTWARE EQIPEMENTS FOR AUTOMATION OF PERMITS &amp; LICENSES (EASE OF DOING BUSINESS 1.	The Municipality of San Isidro, through the TRUST Fund 2019 Fund intends to apply the sum of Php 1,153,000.00 being the Approved Budget for the Cont</t>
  </si>
  <si>
    <t xml:space="preserve"> Description   Supplies and Deliveries of   Electrical  Materials Invitation to Apply for Eligibility and to Bid Republic of the Philippines City of Cagayan de Oro Barangay Bulua JUNE 29,2020 Date of Bidding Purchase Request : 20-5-54 ABC Php 500,000.00 Na</t>
  </si>
  <si>
    <t xml:space="preserve"> Republic of the Philippines PROVINCE OF NUEVA VIZCAYA Invitation to Bid for the  EXTENSION OF NVPH SLOPE PROTECTION Located at Almaguer North, Bambang, Nueva Vizcaya  1.	The Provincial Government of Nueva Vizcaya, through the PGSO (5-02-13-020) Land Impro</t>
  </si>
  <si>
    <t xml:space="preserve"> Republic of the Philippines PROVINCE OF NUEVA VIZCAYA 2nd Invitation to Bid for the  CONSTRUCTION OF PANIKI UPPER TALLA, CORDON CIS Located at Cordon, Kasibu, Nueva Vizcaya  1.	The Provincial Government of Nueva Vizcaya, through the 2020 20% Development F</t>
  </si>
  <si>
    <t xml:space="preserve"> Republic of the Philippines BIDS AND AWARDS COMMITTEE Province of Iloilo Invitation to Bid PURCHASE OF LABORATORY SUPPLIES Bid No. SDH-20-0449-B 1. The Iloilo Provincial Government, through the GENERAL FUND 2020 intends to apply the sum of ONE HUNDRED EIG</t>
  </si>
  <si>
    <t xml:space="preserve"> Republic of the Philippines PROVINCE OF NUEVA VIZCAYA 2nd Invitation to Bid for the  CONSTRUCTION OF UBUN-PAPAYA-DOMANG CIS Located at Kasibu, Nueva Vizcaya  1.	The Provincial Government of Nueva Vizcaya, through the 2020 20% Development Fund intends to a</t>
  </si>
  <si>
    <t xml:space="preserve"> Please see attached Bill of Quantities and Invitation to Bid in the Philippine Bidding Documents</t>
  </si>
  <si>
    <t xml:space="preserve"> Republic of the Philippines BIDS AND AWARDS COMMITTEE Province of Iloilo Invitation to Bid PURCHASE OF MEDICAL SUPPLIES Bid No. SDH-20-0441-B 1. The Iloilo Provincial Government, through the GENERAL FUND 2020 intends to apply the sum of NINE HUNDRED THIRT</t>
  </si>
  <si>
    <t xml:space="preserve"> Republic of the Philippines BIDS AND AWARDS COMMITTEE Province of Iloilo Invitation to Bid PURCHASE OF LABORATORY SUPPLIES Bid No. SDH-20-0444-B 1. The Iloilo Provincial Government, through the GENERAL FUND 2020 intends to apply the sum of SEVENTY-SEVEN T</t>
  </si>
  <si>
    <t xml:space="preserve"> Republic of the Philippines PROVINCE OF NUEVA VIZCAYA Invitation to Bid for the  REHAB./RESTORATION OF ARTC GREENHOUSE INSTALLATION OF NET COVER AND DRIP IRRIGATION (CONST. OF ELEVATED CONC. WATER TANK) Located at Prov’l. Nursery, Magsaysay, Bay., Nueva V</t>
  </si>
  <si>
    <t xml:space="preserve"> Republic of the Philippines BIDS AND AWARDS COMMITTEE Province of Iloilo Invitation to Bid PURCHASE OF LABORATORY SUPPLIES Bid No. SDH-20-0446-B 1. The Iloilo Provincial Government, through the GENERAL FUND 2020 intends to apply the sum of FOUR HUNDRED NI</t>
  </si>
  <si>
    <t xml:space="preserve"> Republic of the Philippines PROVINCE OF NUEVA VIZCAYA Invitation to Bid for the  REHAB./RESTORATION OF ARTC GREENHOUSE INSTALLATION OF NET COVER AND DRIP IRRIGATION (INST. OF DRIP IRRIGATION SYSTEM) Located at Prov’l. Nursery, Magsaysay, Bay., Nueva Vizca</t>
  </si>
  <si>
    <t xml:space="preserve"> Republic of the Philippines PROVINCE OF NUEVA VIZCAYA Invitation to Bid for the  REHAB./RESTORATION OF ARTC GREENHOUSE INSTALLATION OF NET COVER AND DRIP IRRIGATION (INST. OF NET COVER) Located at Prov’l. Nursery, Magsaysay, Bay., Nueva Vizcaya  1.	The Pr</t>
  </si>
  <si>
    <t xml:space="preserve"> Republic of the Philippines BIDS AND AWARDS COMMITTEE Province of Iloilo Invitation to Bid PURCHASE OF LABORATORY SUPPLIES Bid No. SDH-20-0445-B 1. The Iloilo Provincial Government, through the GENERAL FUND 2020 intends to apply the sum of ONE HUNDRED EIG</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</si>
  <si>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</si>
  <si>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Republic of the Philippines PROVINCE OF NUEVA VIZCAYA Invitation to Bid for the  REHAB./RESTORATION OF ARTC GREENHOUSE INSTALLATION OF NET COVER AND DRIP IRRIGATION (INST. OF SOLAR PUMP IRRIGATION SYSTEM) Located at Prov’l. Nursery, Magsaysay, Bay., Nueva</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</si>
  <si>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</si>
  <si>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Republic of the Philippines DEPARTMENT OF PUBLIC WORKS AND HIGHWAYS DAVAO ORIENTAL FIRST DISTRICT ENGINEERING OFFICE REGION XI Lucod, Baganga, Davao Oriental INVITATION TO BID No. 2020-0009  1.	The Department of Public Works and Highways, Davao Oriental F</t>
  </si>
  <si>
    <t xml:space="preserve"> Republic of the Philippines Municipality of Taytay Taytay, Palawan NOTICE TO BIDDERS Item # Qty Unit Description Amount 1. 400 meters Local Access Roads, So. Lake Danao, Bgy. Poblacion                      Width = 6.1M                      Thickness = 20m</t>
  </si>
  <si>
    <t xml:space="preserve"> 165 m.t. Bituminous Concrete Surface Course (FD-Sandmix) 416 m.t. Bituminous Concrete Surface Course (FD) x-x-x-x-xx-x-x-x-x-x-x-x-x-x-x-x-xxxxxxxxxxxxxxxxxx</t>
  </si>
  <si>
    <t xml:space="preserve"> Please refer to the attached document.</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</si>
  <si>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</si>
  <si>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</si>
  <si>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Portland Cement Gravel Gravel Rough Lumber 2x4x12 CWN Assorted Mixing Water</t>
  </si>
  <si>
    <t xml:space="preserve"> INVITATION TO BID FOR THE SUPPLY, DELIVERY, INSTALLATION AND COMMISSIONING OF ONE (1) UNIT ENT-HNS DIGITAL VIDEO STROBOSCOPE (IB NO. 2020-GOODS-014-01-0615) 1.	The ILOCOS TRAINING AND REGIONAL MEDICAL CENTER (ITRMC), through the GAA, FY 2020 (HFEP Fund), </t>
  </si>
  <si>
    <t xml:space="preserve"> CONCRETING &amp; RIPRAPPING</t>
  </si>
  <si>
    <t xml:space="preserve"> Republic of the Philippines BIDS AND AWARDS COMMITTEE Province of Iloilo Invitation to Bid PURCHASE OF DRUGS AND MEDICINES Bid No. SDH-20-0363-B 1. The Iloilo Provincial Government, through the GENERAL FUND 2020 intends to apply the sum of TWO HUNDRED NIN</t>
  </si>
  <si>
    <t xml:space="preserve"> CONSTRUCTION OF 55 METERS CONCRETE CANAL AT PUROK SEGUIDILLA, BRGY. MAYPANGDAN, BORONGAN CITY, EASTERN SAMAR</t>
  </si>
  <si>
    <t xml:space="preserve"> INVITATION TO BID ITB No. 2020-30 1.	The Dr. Jose Fabella Memorial Hospital, through its Hospital Income intends to apply the amount of Twelve Million Three Hundred Seventy-Three Thousand Nine Hundred Ninety-Two Pesos (Php 12,373,992) being the Approved B</t>
  </si>
  <si>
    <t xml:space="preserve"> INVITATION TO BID FOR THE PROCUREMENT OF SUPPLY AND DELIVERY OF EIGHT (8) UNITS RICE TRANSPLANTER (RIDE-ON) (REBID) 1.	The Department of Agriculture Regional Field Office (DA RFO) No. 6, through the General Appropriations Act of 2020 intends to apply the </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</si>
  <si>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</si>
  <si>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CONTRACT NO.: BNLSL-LCB-31A-2020 LOCATION: Bahay SIP, San Miguel, Leyte SCOPE OF WORK: Construction of Canal, Farm Level, Drainage and Road System (Package II) APPROVED BUDGET FOR CONTRACT: Php 4,128,455.38 CONTRACT DURATION: 120 calendar days Bidding wil</t>
  </si>
  <si>
    <t xml:space="preserve"> INVITATION TO BID FOR (GOODS &amp; SERVICES) 	     20GJC0193 – 8 units Desktop Computer etc. To be used in Planning and Design Section.                          (PR # 20-05-181) 1. 	      The DPWH, 2nd District Engineering Office,Labason,Zamboanga del Norte, </t>
  </si>
  <si>
    <t xml:space="preserve"> CONTRACT NO.: BNLSL-LCB-31-2020 LOCATION: Bahay SIP, San Miguel, Leyte SCOPE OF WORK: Construction of Pump Works (Package I) APPROVED BUDGET FOR CONTRACT: Php 16,119,108.75 CONTRACT DURATION: 360 calendar days Bidding will be conducted in accordance with </t>
  </si>
  <si>
    <t xml:space="preserve"> INVITATION TO BID FOR  REHABILITATION OF MULTI-PURPOSE BUILDING - CAMINDOROAN The Municipality of San Juan, through its Bids and Awards Committee (BAC), invites contractors to submit bids for the following Contract: Contract ID		:          	20-00045						</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</si>
  <si>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</si>
  <si>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1. The Government Service Insurance System (GSIS), through the GSIS Corporate Operating Budget for CY 2020, intends to apply the sum of Twenty Three Million Five Hundred Thousand Pesos (Php23,500,000.00) being the Approved Budget for the Contract (ABC) to</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</si>
  <si>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</si>
  <si>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</si>
  <si>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</si>
  <si>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Republic of the Philippines BIDS AND AWARDS COMMITTEE Province of Iloilo Invitation to Bid PURCHASE OF DRUGS AND MEDICINES Bid No. SDH-20-0362-B 1. The Iloilo Provincial Government, through the GENERAL FUND 2020 intends to apply the sum of THREE HUNDRED F</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</si>
  <si>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</si>
  <si>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1,400 bags Thermoplastic Paint (White) 25kg. 200 bags Thermoplastic Paint (Yellow) 25kg. x-x-xx-x-x-x-x-x-x-x-x-xx-x-xxxxxxxxxxxxxxxxx</t>
  </si>
  <si>
    <t xml:space="preserve"> Invitation to Bid for the Supply and Delivery of  Xerox Machine for the use of Brgy. Sta. Rita Karsada, Batangas City</t>
  </si>
  <si>
    <t xml:space="preserve"> Republic of the Philippines BIDS AND AWARDS COMMITTEE Province of Iloilo Invitation to Bid PURCHASE OF LABORATORY SUPPLIES Bid No. SDH-20-0447-B 1. The Iloilo Provincial Government, through the GENERAL FUND 2020 intends to apply the sum of FIVE HUNDRED EI</t>
  </si>
  <si>
    <t xml:space="preserve"> Republic of the Philippines BIDS AND AWARDS COMMITTEE Province of Iloilo Invitation to Bid PURCHASE OF LABORATORY SUPPLIES Bid No. SDH-20-0448-B 1. The Iloilo Provincial Government, through the GENERAL FUND 2020 intends to apply the sum of FOUR HUNDRED FI</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</si>
  <si>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</si>
  <si>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Description I.	Metal Structures  1. Barangay Ada, TANAUAN, LEYTE through the bids and awards comm.) invites suppliers, distributors of construction materials for the project: Fabrication of 4-Units Waste Management Segregation  2. The bids and awards comm</t>
  </si>
  <si>
    <t xml:space="preserve"> Republic of the Philippines BIDS AND AWARDS COMMITTEE Province of Iloilo Invitation to Bid PURCHASE OF OFFICE SUPPLIES Bid No. SDH-20-0443-B 1. The Iloilo Provincial Government, through the GENERAL FUND 2020 intends to apply the sum of TWO HUNDRED SEVENTY</t>
  </si>
  <si>
    <t xml:space="preserve"> Republic of the Philippines BIDS AND AWARDS COMMITTEE Province of Iloilo Invitation to Bid PURCHASE OF MEDICAL SUPPLIES Bid No. SDH-20-0442-B 1. The Iloilo Provincial Government, through the GENERAL FUND 2020 intends to apply the sum of NINE HUNDRED NINET</t>
  </si>
  <si>
    <t xml:space="preserve"> Republic of the Philippines BIDS AND AWARDS COMMITTEE Province of Iloilo Invitation to Bid PURCHASE OF OFFICE SUPPLIES Bid No. SDH-20-0273-B 1. The Iloilo Provincial Government, through the GENERAL FUND 2020 intends to apply the sum of TWENTY-NINE THOUSAN</t>
  </si>
  <si>
    <t xml:space="preserve"> REHABILITATION OF SOLAR DRYER BRGY. NEW VISAYAS, PANABO CITY  79.68 SQ.M OF CONCRETE SLAB NOTE: PLEASE ATTACHED LINK BELOW ON OHTER INFORMATION FOR MORE REFERENCE.</t>
  </si>
  <si>
    <t xml:space="preserve"> SUPPLY &amp; DELIVERY OF OFFICE SUPPLIES 1.	The Local Government Unit of Kabacan, through the MOOE 2020 of various offices  intends to apply the sum of Six Hundred Fifty Seven Thousand Eight Hundred Twenty Nine &amp; 82/100 (P 657,829.82) being the Approved Budge</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</si>
  <si>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</si>
  <si>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CONTRACT NO.: BNLSL-LCB-30-2020 LOCATION: Buli SIP, Bato, Leyte SCOPE OF WORK: Construction of Diversion Works, Canal, Farm Level and Drainage System APPROVED BUDGET FOR CONTRACT: Php 28,252,433.41 CONTRACT DURATION: 360 calendar days Bidding will be cond</t>
  </si>
  <si>
    <t xml:space="preserve"> GIVING IN FAMILY TOGETHER (GIFT)</t>
  </si>
  <si>
    <t xml:space="preserve"> Republic of the Philippines BIDS AND AWARDS COMMITTEE Province of Iloilo Invitation to Bid PURCHASE OF HOUSEKEEPING SUPPLIES Bid No. SDH-20-0395-B 1. The Iloilo Provincial Government, through the GENERAL FUND 2020 intends to apply the sum of FOUR HUNDRED </t>
  </si>
  <si>
    <t xml:space="preserve"> ENVIRONMENTAL AWARENESS AND EDUCATION REPUBLIC ACT 9512 OF 2008</t>
  </si>
  <si>
    <t xml:space="preserve"> MUSIK LABAN</t>
  </si>
  <si>
    <t xml:space="preserve"> Republic  of  the  Philippines  Province  of  Marinduque MUNICIPALITY  OF  GASAN INVITATION TO  BID  FOR THE CONSTRUCTION OF SECOND FLOOR FOOD COURT PHASE 2 1.	The Municipality of Gasan, through  20% Development Fund Continuing Appropriation,  Public Mark</t>
  </si>
  <si>
    <t xml:space="preserve"> SAMPIRO LIVELIHOOD FESTIVAL</t>
  </si>
  <si>
    <t xml:space="preserve"> HELP:HONING AND EDUCATING LEADERS OF POBLACION</t>
  </si>
  <si>
    <t xml:space="preserve"> CAREER DAY FOR POBLACION KIDS</t>
  </si>
  <si>
    <t xml:space="preserve"> EDUCATION SUMMIT</t>
  </si>
  <si>
    <t xml:space="preserve"> FEELING PASKO SA POBLACION</t>
  </si>
  <si>
    <t xml:space="preserve"> GI Pipe 4" sch. 40- 4pcs.  GI Pipe 2" sch. 40 - 8pcs GI Pipe 1 1/2" sch. 40- 4 pcs. GI Pipe 1" sch. 40- 2pcs.  Steel Plate 1/2" x 6" x 6" -2pcs Steel Plate 1/4" x 5" x5" - 8pcs.  Roller Wheel (HD)- 8pcs Machine Bolt 7/8" x 2" - 32 pcs.  Grinding Disc- 10 </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</si>
  <si>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</si>
  <si>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INVITATION TO BID 1.	The Tondo Medical Center (TMC), through the General Appropriations Act/HFEP intends to apply the sum of Three Million Philippine Pesos (PhP 3,000,000.00) being the Approved Budget for the Contract (ABC) to payments under the contract </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</si>
  <si>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</si>
  <si>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</si>
  <si>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</si>
  <si>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Local Infrastructure Program – Renovation of PFVR Building, Department of Education Division Office, Brgy. Military Cut Off, Baguio City, Benguet Contract Location :	Baguio City Approved Budget for the Contract :	Php24,750,000.00 Scope of  work  :	Rehabil</t>
  </si>
  <si>
    <t xml:space="preserve"> CONSTRUCTION/IMPROVEMENT/REHABILITATION</t>
  </si>
  <si>
    <t xml:space="preserve"> Public Bidding See Attachment</t>
  </si>
  <si>
    <t xml:space="preserve"> Invitation to Apply for Eligibility and to Bid Republic of the Philippines Municipality of  Roseller T. Lim Construction of Concrete Pavement at Public Market Area 									June  10, 2020 1.	The Municipality of Roseller T. Lim, through its 20% Economic De</t>
  </si>
  <si>
    <t xml:space="preserve"> INVITATION TO BID 1.	The Tondo Medical Center (TMC), through the General Appropriations Act/HFEP intends to apply the sum of Fifteen Million Philippine Pesos (PhP 15,000,000.00) being the Approved Budget for the Contract (ABC) to payments under the contra</t>
  </si>
  <si>
    <t xml:space="preserve"> THE BRGY. NBBS DAGAT-DAGATAN THRU BIDS AND AWARDS COMMITTEE, THROUGH THE CY 2020 ANNUAL BUDGET INTENDS TO APPLY THE SUM OF PHP. 1,196,025.57 BEING THE ABC TO PAYMENTS UNDER THE CONTRACT FOR LABOR &amp; MATERIALS FOR UPGRADING OF ALLEY WITH IMPROVEMENT OF DRAI</t>
  </si>
  <si>
    <t xml:space="preserve"> 1 Lot CONSTRUCTION SUPPLIES AND MATERIALS</t>
  </si>
  <si>
    <t xml:space="preserve"> Republic of the Philippines MUNICIPALITY OF CABUGAO Ilocos Sur Invitation to Bid for the Concreting of Farm to Market Road @ Brgy. Pug-os (Balay-oac), Cabugao, Ilocos Sur 1. The Local Government Unit of Cabugao, Ilocos Sur, through the R.A. 7171 thru Appr</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</si>
  <si>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</si>
  <si>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Republic of the Philippines MUNICIPALITY OF CABUGAO Ilocos Sur Invitation to Bid for the Construction of Slope Protection @ Brgy. Quezon, Cabugao, Ilocos Sur 1. The Local Government Unit of Cabugao, Ilocos Sur, through the R.A. 7171 thru Appropriation Ord</t>
  </si>
  <si>
    <t xml:space="preserve"> Republic of the Philippines MUNICIPALITY OF CABUGAO Ilocos Sur Invitation to Bid for the Construction of Multi-Purpose Building @ Brgy. Carusipan (Proper), Cabugao, Ilocos Sur 1. The Local Government Unit of Cabugao, Ilocos Sur, through the R.A. 7171 thru</t>
  </si>
  <si>
    <t xml:space="preserve"> Republic of the Philippines MUNICIPALITY OF CABUGAO Ilocos Sur Invitation to Bid for the Construction of Multi-Purpose Drying Pavement (MPDP) @ Brgy. Quezon, Cabugao, Ilocos Sur 1. The Local Government Unit of Cabugao, Ilocos Sur, through the R.A. 7171 th</t>
  </si>
  <si>
    <t xml:space="preserve"> Republic of the Philippines MUNICIPALITY OF CABUGAO Ilocos Sur Invitation to Bid for the Construction of Multi-Purpose Drying Pavement (MPDP) @ Brgy. Bato, Cabugao, Ilocos Sur 1. The Local Government Unit of Cabugao, Ilocos Sur, through the R.A. 7171 thru</t>
  </si>
  <si>
    <t xml:space="preserve"> Republic of the Philippines										 BIDS AND AWARDS COMMITTEE										 Baguio City										 (074) 300-6537/ (074)442-8795										 BID FORM										 CP No. 2020-38 Bidding										June 11, 2020 Circular Proposal No.										Date Prepared The City </t>
  </si>
  <si>
    <t xml:space="preserve"> Republic of the Philippines										 BIDS AND AWARDS COMMITTEE										 Baguio City										 (074) 300-6537/ (074)442-8795										 BID FORM										 CP No. 2020-37 Bidding										June 11, 2020 Circular Proposal No.										Date Prepared The City </t>
  </si>
  <si>
    <t xml:space="preserve"> Concreting of Barangay Road Station 2</t>
  </si>
  <si>
    <t xml:space="preserve"> DALOY NG KASAYSAYN POBLACION RIVER CRUISE</t>
  </si>
  <si>
    <t xml:space="preserve"> INVITATION TO APPLY FOR ELIGIBILITY AND TO BID THE BIDS AND AWARD COMMITTEE OF THE MUNICIPALITY OF CAIBIRAN, BILIRAN IS INVITING ALL INTERESTED BIDDERS ON ITS FORTH COMING PUBLIC BIDDING FOR:   Project Title	: Drainage Construction along General Luna St. </t>
  </si>
  <si>
    <t xml:space="preserve"> The Municipality of Bindoy, through the Municipal Unutilized &amp; Realigned 20% DF – Revised) intends to apply the sum of Two Million Six Hundred Eighty Eight Thousand Two Hundred Forty Pesos (P 2,688,240.00) being the Approved Budget for the Contract (ABC) </t>
  </si>
  <si>
    <t xml:space="preserve"> Procurement of Material for the Rehabilitation and Installation of Streetlights</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</si>
  <si>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</si>
  <si>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</si>
  <si>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</si>
  <si>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</si>
  <si>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</si>
  <si>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</si>
  <si>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</si>
  <si>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</si>
  <si>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Invitation to Apply for Eligibility and to Bid Republic of the Philippines Municipality of  Roseller T. Lim Concreting of Rerouting Road From Legislative to In Front of MSWD Office - Phase I 									June  10, 2020 1.	The Municipality of Roseller T. Lim, </t>
  </si>
  <si>
    <t xml:space="preserve"> Republic of the Philippines MUNICIPALITY OF CABUGAO Ilocos Sur Invitation to Bid for the Concreting of Farm to Market Road @ Brgy. Pug-os (Inanama Norte), Cabugao, Ilocos Sur 1. The Local Government Unit of Cabugao, Ilocos Sur, through the R.A. 7171 thru </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</si>
  <si>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</si>
  <si>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</si>
  <si>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</si>
  <si>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</si>
  <si>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</si>
  <si>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</si>
  <si>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</si>
  <si>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Stone masonry of newly concreted barangay road.</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</si>
  <si>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</si>
  <si>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</si>
  <si>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</si>
  <si>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</si>
  <si>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</si>
  <si>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</si>
  <si>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</si>
  <si>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Republic of the Philippines MUNICIPALITY OF CABUGAO Ilocos Sur Invitation to Bid for the Concreting of Farm to Market Road @ Brgy. Pug-os (Inanama Sur), Cabugao, Ilocos Sur 1. The Local Government Unit of Cabugao, Ilocos Sur, through the R.A. 7171 thru Ap</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</si>
  <si>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</si>
  <si>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</si>
  <si>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</si>
  <si>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</si>
  <si>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</si>
  <si>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</si>
  <si>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</si>
  <si>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</si>
  <si>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computer consumables</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</si>
  <si>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</si>
  <si>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</si>
  <si>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</si>
  <si>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</si>
  <si>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</si>
  <si>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</si>
  <si>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TILING, WINDOWS, PAINTING, PLUMBING</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</si>
  <si>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</si>
  <si>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</si>
  <si>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</si>
  <si>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Republic of the Philippines Department of Education Region VI – Western Visayas DIVISION OF AKLAN Poblacion, Numancia, Aklan INVITATION TO BID Project No.: DepED-RO6-D1-2020QRF(REPAIR)-C12-029-2020 The Department of Education (DepED) Division of Aklan, th</t>
  </si>
  <si>
    <t xml:space="preserve"> Republic of the Philippines Department of Education Region VI – Western Visayas DIVISION OF AKLAN Poblacion, Numancia, Aklan INVITATION TO BID Project No.: DepED-RO6-D1-2020QRF(REPAIR)-C9-026-2020 The Department of Education (DepED) Division of Aklan, thr</t>
  </si>
  <si>
    <t xml:space="preserve"> Republic of the Philippines Department of Education Region VI – Western Visayas DIVISION OF AKLAN Poblacion, Numancia, Aklan INVITATION TO BID Project No.: DepED-RO6-D1-2020QRF(REPAIR)-C13-030-2020 The Department of Education (DepED) Division of Aklan, th</t>
  </si>
  <si>
    <t xml:space="preserve"> Republic of the Philippines Department of Education Region VI – Western Visayas DIVISION OF AKLAN Poblacion, Numancia, Aklan INVITATION TO BID Project No.: DepED-RO6-D1-2020QRF(REPAIR)-C8-025-2020 The Department of Education (DepED) Division of Aklan, thr</t>
  </si>
  <si>
    <t xml:space="preserve"> Republic of the Philippines Department of Education Region VI – Western Visayas DIVISION OF AKLAN Poblacion, Numancia, Aklan INVITATION TO BID Project No.: DepED-RO6-D1-2020QRF(REPAIR)-C11-028-2020 The Department of Education (DepED) Division of Aklan, th</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</si>
  <si>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</si>
  <si>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Republic of the Philippines Department of Education Region VI – Western Visayas DIVISION OF AKLAN Poblacion, Numancia, Aklan INVITATION TO BID Project No.: DepED-RO6-D1-2020QRF(REPAIR)-C4-021-2020 The Department of Education (DepED) Division of Aklan, thr</t>
  </si>
  <si>
    <t xml:space="preserve"> Republic of the Philippines Department of Education Region VI – Western Visayas DIVISION OF AKLAN Poblacion, Numancia, Aklan INVITATION TO BID Project No.: DepED-RO6-D1-2020QRF(REPAIR)-C10-027-2020 The Department of Education (DepED) Division of Aklan, th</t>
  </si>
  <si>
    <t xml:space="preserve"> Republic of the Philippines Department of Education Region VI – Western Visayas DIVISION OF AKLAN Poblacion, Numancia, Aklan INVITATION TO BID Project No.: DepED-RO6-D1-2020QRF(REPAIR)-C3-020-2020 The Department of Education (DepED) Division of Aklan, thr</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</si>
  <si>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</si>
  <si>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Republic of the Philippines Department of Education Region VI – Western Visayas DIVISION OF AKLAN Poblacion, Numancia, Aklan INVITATION TO BID Project No.: DepED-RO6-D1-2020QRF(REPAIR)-C7-024-2020 The Department of Education (DepED) Division of Aklan, thr</t>
  </si>
  <si>
    <t xml:space="preserve"> Republic of the Philippines Province of Surigao del Sur Municipality of Lanuza INVITATION TO BID  PROCUREMENT OF HABAL-HABAL MINI SPAREPARTS STORE WITH CARWASH WELDING AND VULCANIZING SHOP AT BARANGAY MAMPI, LANUZA, SURIGAO DEL SUR  1.	The Local Governmen</t>
  </si>
  <si>
    <t xml:space="preserve"> NOTICE TO THE PUBLIC REQUEST FOR QUOTATION Purchase Request No: PUR20-05-0443 The Philippine General Hospital hereby informs the public that it will be procuring the following item/s through SHOPPING 10,637 bottle Alcohol P 59.00 &gt; 68-72% ethanol (ethyl) </t>
  </si>
  <si>
    <t xml:space="preserve"> Republic of the Philippines Department of Education Region VI – Western Visayas DIVISION OF AKLAN Poblacion, Numancia, Aklan INVITATION TO BID Project No.: DepED-RO6-D1-2020QRF(REPAIR)-C6-023-2020 The Department of Education (DepED) Division of Aklan, thr</t>
  </si>
  <si>
    <t xml:space="preserve"> Supply and Delivery of 10pcs Water Resistant 2-way Radio with extra 2 pcs battery</t>
  </si>
  <si>
    <t xml:space="preserve"> Republic of the Philippines Department of Education Region VI – Western Visayas DIVISION OF AKLAN Poblacion, Numancia, Aklan INVITATION TO BID Project No.: DepED-RO6-D1-2020QRF(REPAIR)-C27-044-2020 The Department of Education (DepED) Division of Aklan, th</t>
  </si>
  <si>
    <t xml:space="preserve"> Republic of the Philippines Department of Education Region VI – Western Visayas DIVISION OF AKLAN Poblacion, Numancia, Aklan INVITATION TO BID Project No.: DepED-RO6-D1-2020QRF(REPAIR)-C26-043-2020 The Department of Education (DepED) Division of Aklan, th</t>
  </si>
  <si>
    <t xml:space="preserve"> Republic of the Philippines Department of Education Region VI – Western Visayas DIVISION OF AKLAN Poblacion, Numancia, Aklan INVITATION TO BID Project No.: DepED-RO6-D1-2020QRF(REPAIR)-C25-042-2020 The Department of Education (DepED) Division of Aklan, th</t>
  </si>
  <si>
    <t xml:space="preserve"> Republic of the Philippines Department of Education Region VI – Western Visayas DIVISION OF AKLAN Poblacion, Numancia, Aklan INVITATION TO BID Project No.: DepED-RO6-D1-2020QRF(REPAIR)-C23-040-2020 The Department of Education (DepED) Division of Aklan, th</t>
  </si>
  <si>
    <t xml:space="preserve"> Republic of the Philippines Department of Education Region VI – Western Visayas DIVISION OF AKLAN Poblacion, Numancia, Aklan INVITATION TO BID Project No.: DepED-RO6-D1-2020QRF(REPAIR)-C22-039-2020 The Department of Education (DepED) Division of Aklan, th</t>
  </si>
  <si>
    <t xml:space="preserve"> Republic of the Philippines Department of Education Region VI – Western Visayas DIVISION OF AKLAN Poblacion, Numancia, Aklan INVITATION TO BID Project No.: DepED-RO6-D1-2020QRF(REPAIR)-C20-037-2020 The Department of Education (DepED) Division of Aklan, th</t>
  </si>
  <si>
    <t xml:space="preserve"> NOTICE TO THE PUBLIC REQUEST FOR PROPOSAL Purchase Request No: PUR20-03-0248 The Philippine General Hospital hereby informs the public that it will be procuring the following item/s through Small Value Procurement: 192 gallon   Alcohol, ethyl 70%  P 400.0</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</si>
  <si>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</si>
  <si>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PURCHASE OF OFFICES SUPPLIES FOR THE REPRODUCTION OF IM'S IN PREPARATION FOR THE OPENING OF SCHOOL YEAR ON AUGUST 24, 2020, IN WHICH FACE-FACE INSTRUCTION IS WAIVED DUE TO COVID-19 PANDEMIC (BONDPAPER, STAPLER, STAPLE WIRE, INK)</t>
  </si>
  <si>
    <t xml:space="preserve"> Republic of the Philippines Department of Education Region VI – Western Visayas DIVISION OF AKLAN Poblacion, Numancia, Aklan INVITATION TO BID Project No.: DepED-RO6-D1-2020QRF(REPAIR)-C24-041-2020 The Department of Education (DepED) Division of Aklan, th</t>
  </si>
  <si>
    <t xml:space="preserve"> Republic of the Philippines Department of Education Region VI – Western Visayas DIVISION OF AKLAN Poblacion, Numancia, Aklan INVITATION TO BID Project No.: DepED-RO6-D1-2020QRF(REPAIR)-C21-038-2020 The Department of Education (DepED) Division of Aklan, th</t>
  </si>
  <si>
    <t xml:space="preserve"> Republic of the Philippines Province of Surigao del Sur Municipality of Lanuza INVITATION TO BID  PROCUREMENT OF HARDWARE MATERIALS FOR PROPOSED NURSERY ESTABLISHMENT 1.	The Local Government Unit of Lanuza, through the People’s Survival Fund Projects inte</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</si>
  <si>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</si>
  <si>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</si>
  <si>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</si>
  <si>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</si>
  <si>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</si>
  <si>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</si>
  <si>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</si>
  <si>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</si>
  <si>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</si>
  <si>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REPAIR/MAINTENANCE OF FLOOD CONTROL</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</si>
  <si>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</si>
  <si>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</si>
  <si>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</si>
  <si>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Republic of the Philippines Department of Education Region VI – Western Visayas DIVISION OF AKLAN Poblacion, Numancia, Aklan INVITATION TO BID Project No.: DepED-RO6-D1-2020QRF(REPAIR)-C5-022-2020 The Department of Education (DepED) Division of Aklan, thr</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</si>
  <si>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</si>
  <si>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Republic of the Philippines Department of Education Region VI – Western Visayas DIVISION OF AKLAN Poblacion, Numancia, Aklan INVITATION TO BID Project No.: DepED-RO6-D1-2020QRF(REPAIR)-C19-036-2020 The Department of Education (DepED) Division of Aklan, th</t>
  </si>
  <si>
    <t xml:space="preserve"> Republic of the Philippines Department of Education Region VI – Western Visayas DIVISION OF AKLAN Poblacion, Numancia, Aklan INVITATION TO BID Project No.: DepED-RO6-D1-2020QRF(REPAIR)-C17-034-2020 The Department of Education (DepED) Division of Aklan, th</t>
  </si>
  <si>
    <t xml:space="preserve"> Republic of the Philippines Department of Education Region VI – Western Visayas DIVISION OF AKLAN Poblacion, Numancia, Aklan INVITATION TO BID Project No.: DepED-RO6-D1-2020QRF(REPAIR)-C16-033-2020 The Department of Education (DepED) Division of Aklan, th</t>
  </si>
  <si>
    <t xml:space="preserve"> Republic of the Philippines Department of Education Region VI – Western Visayas DIVISION OF AKLAN Poblacion, Numancia, Aklan INVITATION TO BID Project No.: DepED-RO6-D1-2020QRF(REPAIR)-C15-032-2020 The Department of Education (DepED) Division of Aklan, th</t>
  </si>
  <si>
    <t xml:space="preserve"> 1	Low Bed Truck Specifications: 1. Engine 1.1 19,688cc, V Type, 355hp 1.2 8 cylinder 1.3 7 Speed Manual Transmission 1.4 12 wheeler 2. Self-Loader Body and Cabin 2.1 Self Loader with sliding body 2.2 Non-skid heavy duty wood flooring with side mounted hoo</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</si>
  <si>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</si>
  <si>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Invitation to Bid for  Construction of Ambaracao Farmers Multi-Purpose Center, Naguilian, La Union 1.	The Provincial Government of La Union, through the RA7171 intends to apply the sum of ₱2,925,000.00 being the Approved Budget for the Contract (ABC) to p</t>
  </si>
  <si>
    <t xml:space="preserve"> Invitation to Bid for  Improvement of Barangay I Farm to Market Road, San Fernando City, La Union 1.	The Provincial Government of La Union, through the RA7171 intends to apply the sum of ₱1,950,000.00 being the Approved Budget for the Contract (ABC) to pa</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</si>
  <si>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</si>
  <si>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Republic of the Philippines Department of Education Region VI – Western Visayas DIVISION OF AKLAN Poblacion, Numancia, Aklan INVITATION TO BID Project No.: DepED-RO6-D1-2020QRF(REPAIR)-C18-035-2020 The Department of Education (DepED) Division of Aklan, th</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</si>
  <si>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</si>
  <si>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Republic of the Philippines Department of Education Region VI – Western Visayas DIVISION OF AKLAN Poblacion, Numancia, Aklan INVITATION TO BID Project No.: DepED-RO6-D1-2020QRF(REPAIR)-C14-031-2020 The Department of Education (DepED) Division of Aklan, th</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</si>
  <si>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</si>
  <si>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Invitation to Bid for  Rehabilitation and Improvement of Pagbennecan - Tallaoen Road, Luna, La Union 1.	The Provincial Government of La Union, through the RA7171 intends to apply the sum of ₱1,950,000.00 being the Approved Budget for the Contract (ABC) to</t>
  </si>
  <si>
    <t xml:space="preserve"> SUPPLY AND DELIVERY OF CONSTRUCTION MATERIALS</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</si>
  <si>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</si>
  <si>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1. The ENERGY REGULATORY COMMISSION (ERC), through the Government of the Philippines (GOP), intends to apply the sum of Six Million Five Hundred Seventy-Two Thousand Five Hundred Pesos (PhP6,572,500.00) inclusive of all government taxes and other fees and</t>
  </si>
  <si>
    <t xml:space="preserve"> The Barangay Government of Concepcion Pequeña, Naga City intends to apply for the sum of Five Hundred Twenty Thousand Three Hundred Pesos (Php 520,300.00) to payments under the contract for the proposed Drainage at Zone 2, Happy Homes to Outfall, Concepci</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</si>
  <si>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</si>
  <si>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</si>
  <si>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Installation of 1 unit single piston at least 24HP diesel engine 2,400RPM, input capacity approximate 6 to 8sack/hour at 50kg per sack, all steel heavy duty framing, with a feeder and return elevator with auto overload by pass, with cyclone dust/bran cole</t>
  </si>
  <si>
    <t xml:space="preserve"> Air Compressor: HD Coffee Brewer: 15Liters Capacity Coffee Maker: (Commercial Coffee Maker); Dimension: 12.5"x13.25"x16"  2000ml 250g Commercial Juice Dispenser Machine: Dimension: 320x445x680mm; Net  Weight: 20kg Double Jacketed Kettle: /Machine, 300L Ge</t>
  </si>
  <si>
    <t xml:space="preserve"> Republic of the Philippines Province of Surigao del Sur Municipality of Lanuza INVITATION TO BID  PROCUREMENT OF HARDWARE MATERIALS FOR CONSTRUCTION OF 83.95 LM. OPEN CANAL ALONG THE NATIONAL HIGHWAY AT ZONE II, LANUZA SURIGAO DEL SUR 1.	The Local Governm</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</si>
  <si>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</si>
  <si>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Polycarbonate Roof: Transparent 12ft Chlorine Granules: 50kg Powder Soap: 10kg Formaldehyde: - Steel Wall: - Flexible Hose: 1/2 PVC Tee: 1.5" Alcohol: 70% 500 ml Plankton net: 46 microns Air Stone: - Spatula: 6" Foot Brush: -</t>
  </si>
  <si>
    <t xml:space="preserve"> Republic of the Philippines Department of Health CENTRAL OFFICE BIDS AND AWARDS COMMITTEE 11 June 2020 REQUEST FOR QUOTATION PROCUREMENT OF VARIOUS ICT RFQ No. 2020-003 1.	The Department of Health (DOH), hereinafter referred to as “the Purchaser”, has a r</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</si>
  <si>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</si>
  <si>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UNIT          QTY. UNIT,          1 DESCRIPTION:  fx 4X2 2.4L   MANUAL TRANSMISSION  ENGINE/TRANSMISSION; MODEL:  2GD-FTV(LOW) TYPE: 2.4LDIESEL,  4-CYLINDER, 16-VALVE DOHC  VARIABLE NOZZLE TURBO WITH  FRONT MOUNTED INTERCOOLER  DISPLACEMENT CC: 2,393  MAX</t>
  </si>
  <si>
    <t xml:space="preserve"> Construction Projects</t>
  </si>
  <si>
    <t xml:space="preserve"> Palay Seeds: (Certified) 40kg/bag Seeds: (Registered) 20kg/bag</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</si>
  <si>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</si>
  <si>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The National Irrigation Administration – Pangasinan IMO now invites bids for the CONSTRUCTION OF BAYAOAS SRIP – IRRIGATION FACILITIES (PHASE I) under FUND 501. The project is located at Aguilar, Pangasinan with the following description of work:	 I.	CONST</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</si>
  <si>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</si>
  <si>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</si>
  <si>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Heavy duty mobile trash bins</t>
  </si>
  <si>
    <t xml:space="preserve"> DETAILED ESTIMATES: ITEM I EXCAVATION ITEM II CONCRETE WORKS ITEM III FORM WORKS</t>
  </si>
  <si>
    <t xml:space="preserve"> Cooling fan with cold air release</t>
  </si>
  <si>
    <t xml:space="preserve"> The Barangay Government of Concepcion Pequeña, Naga City intends to apply for the sum of Two Hundred Ninety Seven Thousand One Hundred Pesos (Php 297,100.00) to payments under the contract for the proposed Drainage at Zone 2, Canuto Village, Concepcion Pe</t>
  </si>
  <si>
    <t xml:space="preserve"> Medical and Dental equipment</t>
  </si>
  <si>
    <t xml:space="preserve"> 1.	The Capiz Provincial Government, through the GOP–2020 intends to apply the total amount Two Million Two Hundred Twenty Thousand Five Hundred Twenty-Five Pesos (Php 2,220,525.00) being the total Approved Budget for the Contract (ABC) to payments under t</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</si>
  <si>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</si>
  <si>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1 unit ID Printer Colored</t>
  </si>
  <si>
    <t xml:space="preserve"> Motorcycle with sidecar and Single Motorcycle</t>
  </si>
  <si>
    <t xml:space="preserve"> 1.	The Bureau of Jail Management and Penology Regional Office CALABARZON (BJMPRO-CALABARZON) through the GAA2020   intends to apply the sum of Five  Million Five Hundred Thirty-Five Thousand Nine Hundred Pesos (Php 5,535,900.00) being the Approved Budget </t>
  </si>
  <si>
    <t xml:space="preserve"> Name of Project	:	HIRING OF RESEARCH BOAT AND MOTOR LAUNCH FOR OFFICIAL USE OF TUBBATAHA                                 REEFS NATURAL PARK – MANAGEMENT OFFICE Destination	:	Puerto Princesa City to Tubbataha Reefs Natural Park, Cagayancillo, Palawan to Pu</t>
  </si>
  <si>
    <t xml:space="preserve"> Republic of the Philippines Province of Eastern Samar Municipality of Mercedes INVITATION TO BID FOR THE PROCUREMENT OF GOODS PROCUREMENT OF LDRRM IT EQUIPMENT  (1 LOT CCTV SUPPLY AND INSTALLATION) ITB NO. GOODS-2020-02-003  1.	The LOCAL GOVERNMENT  UNIT </t>
  </si>
  <si>
    <t xml:space="preserve"> ITEM NO.	UNIT		QTY		DESCRIPTION		 							 1	 ltrs 		46270		Diesel		 2	 gal 		88		 Oil #10 		 3	 gal 		56		 Oil #40 		 4	 ltrs 		84		 ATF 		 INVITATION TO BID The Municipality of Sablayan through its Bids and Awards Committee (BAC) invites all interested c</t>
  </si>
  <si>
    <t xml:space="preserve"> ITEM NO.	UNIT		QTY		DESCRIPTION		 							 1	 clip 		6		Nylon String		 2	 kgs. 		17		 CWN Assorted 		 3	 bd. Ft. 		375		 Form Lumber 		 4	 cu.m 		66		 Aggregates 		 5	 pcs. 		10		 Pinolic Board 1/2" 		 6	 bags 		220		 Cement 		 7	 cu.m 		34		 Mixed Aggrega</t>
  </si>
  <si>
    <t xml:space="preserve"> ITEM NO.	UNIT		QTY		DESCRIPTION		 							 1	 ltrs 		46020		Diesel		 2	 gals 		104		 Oil #10 		 3	 gals 		52		 Oil #40 		 4	 ltrs 		92		 ATF 		 INVITATION TO BID The Municipality of Sablayan through its Bids and Awards Committee (BAC) invites all intereste</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</si>
  <si>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</si>
  <si>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</si>
  <si>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Finishing Wokrs of Brgy. Imbalbalatong Multi-Purpose Hall</t>
  </si>
  <si>
    <t xml:space="preserve"> Finishing Wokrs of Brgy. Dilan Multi-Purpose Hall</t>
  </si>
  <si>
    <t xml:space="preserve"> 1.	The National Irrigation Administration – Pangasinan IMO now invites bids for the CONSTRUCTION OF DUMOLOC SRIP – FIELD OFFICE under FUND 501. The project is located at Dumoloc, Pangasinan with the following description of work:	 I.	CONSTRUCTION OF FIELD</t>
  </si>
  <si>
    <t xml:space="preserve"> ITEM NO.	UNIT		QTY		DESCRIPTION		 							 1	 bags 		381		Portland Cement (Type I)		 2	 cu.m 		42		 Gravel  		 3	 cu.m 		21		 Sand 		 4	 kgs 		8		 Asphalt Filter 		 5	 cu.m 		37		 Mixed Aggregates 		 INVITATION TO BID The Municipality of Sablayan through i</t>
  </si>
  <si>
    <t xml:space="preserve"> .13 mo. CS and HP 133.50 sq.m. clearing and grubbing 106.80 cu.m. excavation 189.13 cu.m. stone masonry</t>
  </si>
  <si>
    <t xml:space="preserve"> DETAILED ESTIMATES ITEM I DEMOLITION AND REMOVAL OF EXISTING STRUCTURES ITEM II CONCRETE WORKS ITEM III FORMS AND SCAFFOLDINGS ITEM IV ROOFING AND ROOF FRAMING</t>
  </si>
  <si>
    <t xml:space="preserve"> Desktop Computer, Laptop Computer and Colored Printer</t>
  </si>
  <si>
    <t xml:space="preserve"> Construction / Rehabilitation of Water Supply</t>
  </si>
  <si>
    <t xml:space="preserve"> TITLE: SUPPLY AND INSTALLATION OF AIRCON 2.5HP INVERTER SPLIT TYPE  ABC: PHP116,000.00 SOURCE OF FUNDS: BRGY. IRA FUND SUPPLY AND INSTALLATION OF 2 UNITS AIRCON 2.5HP INVERTER SPLIT TYPE                                               x-x-x-x-x-x</t>
  </si>
  <si>
    <t xml:space="preserve"> REHABILITATION OF BASKETBALL COURT</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</si>
  <si>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</si>
  <si>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Republic of the Philippines								 Province of Negros Occidental								 Municipality of La Castellana								 Bids and Awards Committee								 								 INVITATION TO APPLY FOR ELIGIBILITY AND TO BID								 								 Name of Project: 		PROPOSED WATER TA</t>
  </si>
  <si>
    <t xml:space="preserve"> Lot No.  Unit Item  Description/Particular   Quantity             No. Of Pax                  Unit Cost      Total Cost Lot No. 1 PSA-RSSO IX - Zamboanga City-Procurement                      Live-in participants-    2,500/pax    Php 645,000.00 of Caterin</t>
  </si>
  <si>
    <t xml:space="preserve"> Supplies and Materials for Barangay Traffic Enforcers</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</si>
  <si>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</si>
  <si>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2028 bags 21-0-0 (ammonia)</t>
  </si>
  <si>
    <t xml:space="preserve"> 1 mo. CS and HP 101.17 sq.m. unglazed/glazed tiles (stainless letter) 58.76 sq.m. ceiling works 125.70 sq.m. structural steel (sidings cover and frame) 60 sq.m. painting works )metal surfaces/steel trusses)</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</si>
  <si>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</si>
  <si>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Invitation to Bid for  Completion/Expansion of Vinegar Processing Center, Maragayap, Bacnotan, La Union 1.	The Provincial Government of La Union, through the RA7171 intends to apply the sum of ₱1,784,268.49 being the Approved Budget for the Contract (ABC)</t>
  </si>
  <si>
    <t xml:space="preserve"> Republic of the Philippines Province of Ilocos Sur Municipality of San Juan Barangay Lira OFFICE OF THE BIDS AND AWARDS COMMITTEE INVITATION TO APPLY FOR ELIGIBILITY AND TO BID The Barangay Lira,San Juan,Ilocos Sur through the Bids and Awards Committee (B</t>
  </si>
  <si>
    <t xml:space="preserve"> Anti-flu vaccines @ least 6 months or more validity before expiry date (Quadrivalent Seasonal Flu/Influenza) 0.5 ml pre-filled syringe</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</si>
  <si>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</si>
  <si>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REPUBLIC OF THE PHILIPPINES LGU-Tigaon, Camarines Sur Caraycayon, Tigaon, Camarines Sur -o0o- BIDS &amp; AWARDS COMMITTEE INVITATION TO BID CONSTRUCTION OF VARIOUS INFRA PROJECTS PROJECT ID NO. INFRA-20-003 1.	The Local Government Unit of Tigaon, Camarines Su</t>
  </si>
  <si>
    <t xml:space="preserve"> Invitation to Bid for the Repair of Multi-Purposed Building thru Repair and Water Collection for Environment Protection @ Brgy. Tongonan, Kananga, Leyte 1.	The Barangay Government of Tongonan, Kananga, Leyte, through its BIDS AND AWARDS COMMITTEE (BAC), t</t>
  </si>
  <si>
    <t xml:space="preserve"> Republic of the Philippines Province of Pangasinan MUNICIPALITY OF AGNO THE BIDS AND AWARDS COMMITTEE Invitation to Bid for CONSTRUCTION OF PCCP AT SITIO ARINAAR ROAD, BARANGAY MAGSAYSAY 1.	The Municipality of Agno, Pangasinan, through the Annual Budget C</t>
  </si>
  <si>
    <t xml:space="preserve"> 1 lot 2020-059, EXPANSION OF RURAL HEALTH UNIT(RHU) BUILDING, POBLACION 3, MIDSAYAP, COTABATO</t>
  </si>
  <si>
    <t xml:space="preserve"> Invitation to Bid for the Repair of Multi-Purpose Building (GYM) @ Brgy. Tongonan, Kananga, Leyte 1.	The Barangay Government of Tongonan, Kananga, Leyte, through its BIDS AND AWARDS COMMITTEE (BAC), through the DOE ER 1-94 intends to apply the sum of Thre</t>
  </si>
  <si>
    <t xml:space="preserve"> INVITATION TO BID REPUBLIC OF THE PHILIPPINES CITY OF GOVERNMENT OF NAVOTAS BARANGAY SAN RAFAEL VILLAGE   BIDS AND AWARDS COMMITTEE 1.The Sangguniang BaraNGAY San Rafael Village, through its Bids and Awards Committee intends to  apply the sun of  Ninety-E</t>
  </si>
  <si>
    <t xml:space="preserve"> INVITATION TO BID REPUBLIC OF THE PHILIPPINES CITY OF GOVERNMENT OF NAVOTAS BARANGAY SAN RAFAEL VILLAGE   BIDS AND AWARDS COMMITTEE 1.The Sangguniang BaraNGAY San Rafael Village, through its Bids and Awards Committee intends      to apply the sun of Eight</t>
  </si>
  <si>
    <t xml:space="preserve"> 1.	The National Irrigation Administration – Pangasinan IMO, through the General Appropriation Act of 2020 intends to apply the sum of TWELVE MILLION ONE HUNDRED SIXTY TWO THOUSAND ONE HUNDRED TWENTY SEVEN &amp; 67/100 PESOS (12,162,127.68) being the Approved </t>
  </si>
  <si>
    <t xml:space="preserve"> Invitation to Bid for  Construction of Payocpoc Sur Slope Protection, Bauang, La Union 1.	The Provincial Government of La Union, through the RA7171 intends to apply the sum of ₱1,950,000.00 being the Approved Budget for the Contract (ABC) to payments unde</t>
  </si>
  <si>
    <t xml:space="preserve"> 1 lot 2020-058, CONSTRUCTION OF MULTI-PURPOSE HALL AT PUROK 6, BARANGAY NALIN, MIDSAYAP, COTABATO</t>
  </si>
  <si>
    <t xml:space="preserve"> Procurement of Other Supplies</t>
  </si>
  <si>
    <t xml:space="preserve"> Repair of Office Building (Repair of IMEG Lounge)</t>
  </si>
  <si>
    <t xml:space="preserve"> INVITATION TO BID NO. UPRIIS-DI-CW-2020-04 1.The National Irrigation Administration - Upper Pampanga River Integrated Irrigation Systems (NIA-UPRIIS), Division I, Malayantoc, Sto. Domingo, Nueva Ecija, through the GAA CY 2020 project intends to apply the </t>
  </si>
  <si>
    <t xml:space="preserve"> Construction of Slope Protection- Stone Masonry and Retaining Wall</t>
  </si>
  <si>
    <t xml:space="preserve"> INVITATION TO BID REPUBLIC OF THE PHILIPPINES CITY OF GOVERNMENT OF NAVOTAS BARANGAY SAN RAFAEL VILLAGE   BIDS AND AWARDS COMMITTEE 1.The Sangguniang BaraNGAY San Rafael Village, through its Bids and Awards Committee intends to  apply the sun of Two Hundr</t>
  </si>
  <si>
    <t xml:space="preserve"> Contract Package 7: Preventive Maintenance: a. Abanao Ext. – Chainage 008 – Chainage 111 (SO5052LZ) b. Major Mane Rd. – Chainage 057 – Chainage 112 (SO0489LZ) c. Quezon Hill Drive – Chainage 000 – Chainage 075 (SO0503LZ) d. Quirino H-Way (Baguio-Bauang) –</t>
  </si>
  <si>
    <t xml:space="preserve"> INVITATION TO BID REPUBLIC OF THE PHILIPPINES CITY OF GOVERNMENT OF NAVOTAS BARANGAY SAN RAFAEL VILLAGE   BIDS AND AWARDS COMMITTEE 1.The Sangguniang BaraNGAY San Rafael Village, through its Bids and Awards Committee intends to  apply the sun of Eighty Th</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</si>
  <si>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</si>
  <si>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</si>
  <si>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Rehabilitation/ Reconstruction of Roads with Slips, Slope Collapse, and Landslide – Quezon Hill Rd #1 – K0308+153 – K0308+175, K0308+428 – K0308+447 Contract Location :	Baguio City Approved Budget for the Contract :	Php8,330,000.00 Scope of  work  :	Rehab</t>
  </si>
  <si>
    <t xml:space="preserve"> 1 lot 2020-057, COMPLETION OF COVERED COURT AT BARANGAY SAN ISIDRO, MIDSAYAP, COTABATO</t>
  </si>
  <si>
    <t xml:space="preserve"> Republic of the Philippines Department of Education Region VI – Western Visayas DIVISION OF AKLAN Poblacion, Numancia, Aklan INVITATION TO BID Project No.: DepED-RO6-D1-2020QRF(REPAIR)-C2-019-2020 The Department of Education (DepED) Division of Aklan, thr</t>
  </si>
  <si>
    <t xml:space="preserve"> 1. The ENERGY REGULATORY COMMISSION (ERC), through the Government of the Philippines (GOP), intends to apply the sum of One Million Nine Hundred Sixteen Thousand Pesos (P1,916,000.00.), inclusive of all government taxes, and other fees and charges being t</t>
  </si>
  <si>
    <t xml:space="preserve"> INVITATION TO BID  for  Construction of Covered Court at Gayusan Integrated School at Brgy. Gayusan, Agno, Pangasinan Solicitation No. PANG-2020-0780 1.	The Provincial Government of Pangasinan, through the School Board (PR#2020-02-1859) intends to apply t</t>
  </si>
  <si>
    <t xml:space="preserve"> INVITATION TO BID  for  Roofing of Existing Bleachers at Longos E/S, Calasiao, Pangasinan Solicitation No. PANG-2020-0778 1.	The Provincial Government of Pangasinan, through the School Board (PR#2020-02-1851) intends to apply the sum of One Million Five H</t>
  </si>
  <si>
    <t xml:space="preserve"> INVITATION TO BID REPUBLIC OF THE PHILIPPINES CITY OF GOVERNMENT OF NAVOTAS BARANGAY SAN RAFAEL VILLAGE  BIDS AND AWARDS COMMITTEE 1.The Sangguniang Barangay San Rafael, through its Bids and Awards Committee intends to  apply the sun of One Hundred Five T</t>
  </si>
  <si>
    <t xml:space="preserve"> Republic of the Philippines Province of Antique MUNICIPALITY OF SEBASTE OFFICE OF THE BIDS AND AWARDS COMMITTEE INVITATION TO BID ITB NO. 2020-01-010	 The Local Government Unit of Sebaste, Sebaste, Antique, Telephone No. (036) 278-2003, invites interested</t>
  </si>
  <si>
    <t xml:space="preserve"> 1.	The Municipal Government of El Nido, through the General Fund intends to apply the sum of One Million One Hundred Eighty Two Thousand Six Hundred Pesos (₱ 1,182,600.00) being the Approved Budget for the Contract (ABC) to payments for the Procurement An</t>
  </si>
  <si>
    <t xml:space="preserve"> 1.	The Municipal Government of El Nido, through the Trust Fund-Office of the Bldg. Official (OBO), and General Fund intends to apply the sum of One Million One Hundred Twenty Three Thousand Five Hundred Pesos (₱ 1,123,500.00) being the Approved Budget for</t>
  </si>
  <si>
    <t xml:space="preserve"> June 09, 2020 INVITATION TO BID 1.	The Department of Public Works and Highways, Mindoro Occidental District Engineering Office, Mamburao, Occidental Mindoro, through the General Appropriations Act intends to apply the sum of the Approved Budget for the Co</t>
  </si>
  <si>
    <t xml:space="preserve"> Republic of the Philippines PROVINCE OF ZAMBOANGA SIBUGAY Municipality of Buug BIDS AND AWARDS COMMITTEE Invitation to Bid for Rehablitation/Maintenance of Manlin-Pamintayan &amp; Delmonte FMR 1.	The Local Government Unit of Buug, through the 20 % Development</t>
  </si>
  <si>
    <t xml:space="preserve"> Contract ID #					 :    20II0061 Contract Name				         :    Repair and Maintenance of Road Safety Facilities (Supply, Delivery and Installation of Danger, Hazard, Warning, Regulatory and Informative Signages) along Catarman Laoang Road, Laoang –Catubi</t>
  </si>
  <si>
    <t xml:space="preserve"> 20 sets Solar Lamp 60w 38mm dia GI s40 Bracket 50mm dia GI s40 Column With Anchorae Bar Stiffener And Concrete Footing Padestal @0.60m depth Labor included</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</si>
  <si>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</si>
  <si>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June 09, 2020 INVITATION TO BID  The Department of Public Works and Highways, Mindoro Occidental District Engineering Office, Mamburao, Occidental Mindoro, through its Bids and Award Committee (BAC), invites contractors to submit bids for the following Co</t>
  </si>
  <si>
    <t xml:space="preserve"> INVITATION TO BID  for  Repair of One (1) unit, Three (3) Classroom School Building at Mangatarem II Central E/S, Mangatarem, Pangasinan Solicitation No. PANG-2020-0779 1.	The Provincial Government of Pangasinan, through the School Board (PR#2020-02-1849)</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</si>
  <si>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</si>
  <si>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</si>
  <si>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Republic of the Philippines Province of Agusan del Norte Municipality of Remedios T. Romualdez BARANGAY TAGBONGABONG Invitation to Bid SUPPLY AND DELIVERY OF RAW MATERIALS/INGREDIENTS (FOODSTUFF) FOR THE LIVELIHOOD PROGRAM-MEAT PROCESSING OF SALAKNIB FARM</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</si>
  <si>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</si>
  <si>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1.	The Department of Education, Schools Division Office of Albay, through the General Appropriations Act of 2019 or Continuing Appropriations intends to apply the sum of Nine Hundred Thirty Eight Thousand, Three Hundred Pesos (Php 938,300.00) being the Ap</t>
  </si>
  <si>
    <t xml:space="preserve"> EDUCATIONAL SUPPLIES AND MATERIALS</t>
  </si>
  <si>
    <t xml:space="preserve"> A Republic of the Philippines BIDS AND AWARDS COMMITTEE Dagupan City Invitation to Bid   for PROPOSED IMPROVEMENT/REHABILITATION OF THE CITY PEOPLE’S ASTRODOME (INTERIOR AND INCLUDING FAÇADE) AT BARANGAY TAPUAC, DAGUPAN CITY 1.	The City Government of Dagu</t>
  </si>
  <si>
    <t xml:space="preserve"> EDUCATIONAL SUPPLIES AND CONSUMABLES</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</si>
  <si>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</si>
  <si>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</si>
  <si>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</si>
  <si>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THERMOGUN ALCOHOL</t>
  </si>
  <si>
    <t xml:space="preserve"> The Power Sector Assets and Liabilities Management (PSALM) Corporation is procuring the services of qualified service providers to undertake Sampling and Analysis of Transformer Oil from Five (5) units of Unserviceable Transformers stored at Ligao Stockya</t>
  </si>
  <si>
    <t xml:space="preserve"> Republic of the Philippines Province of Oriental Mindoro MUNICIPALITY OF NAUJAN BIDS &amp; AWARDS COMMITTEE INVITATION TO BID CONSTRUCTION OF MULTI- PURPOSE HALL AT BARANGAY SANTIAGO, NAUJAN, ORIENTAL MINDORO 1.	The Municipal Government of Naujan – Bids and A</t>
  </si>
  <si>
    <t xml:space="preserve"> SUPPLY OF MATERIALS FOR - SCAFFOLDINGS - CONCRETE WORKS (Concrete Floor = 1.89 cu.m.) - PLASTERING WORKS (Interior Only = 43.62 sq.m.) - DOORS AND WINDOWS - ELECTRICAL WORKS (Rough-In Only) - PROJECT BILLBOARD</t>
  </si>
  <si>
    <t xml:space="preserve"> FOR GOODS OFFERED Project Name:	Installation of Street Lighting System Location:	Brgy. Tagabakid, City of Mati, Davao Oriental Approved Budget:	P 999,087.75 Project Duration	39 Calendar Days ITB Number	TAGABAKID-2020-01 Please quote your lowest price on t</t>
  </si>
  <si>
    <t xml:space="preserve"> PROCUREMENT OF ASSORTED ITEMS FOR MEALS AND SNACKS DURING THE REGULAR MEETING OF THE MUNICIPAL OFFICIALS AND DEPUTY MAYORS</t>
  </si>
  <si>
    <t xml:space="preserve"> PROCUREMENT OF ONE HUNDRED SIXTY (160) BAGS OF RICE (25 KILOS)</t>
  </si>
  <si>
    <t xml:space="preserve"> Invitation to Bid for the Completion of Damilag Public Market (Construction of Waste Water Treatment Facilty) 1.	The Local Government Unit of Manolo Fortich, through the 20% Local Development Fund intends to apply the sum of FOUR MILLION FIVE HUNDRED THOU</t>
  </si>
  <si>
    <t xml:space="preserve"> PURCHASE OF ONE(1) UNIT MINI-DUMP TRUCK SURPLUS ABC 850,000.00</t>
  </si>
  <si>
    <t xml:space="preserve"> INVITATION TO BID					 					 Purchase and Delivery of Medical, Dental and Laboratory Supplies					 ITB 2020-06-034(GOODS)					 					 1. The Municipality of Tuba, through the Budget for the contract approved by the Sangguniang Bayan for CY 2020 intends to </t>
  </si>
  <si>
    <t xml:space="preserve"> Republic of the Philippines Province of Leyte BRGY. PINAMOPOAN, CAPOOCAN, LEYTE -oOo- BIDS AND AWARD COMMITTEE INVITATION TO BID  FOR THE PROCUREMENT OF SUPPLIES AND MATERIALS FOR THE CONSTRUCTION OF GARAGE 1.	The Brgy. Pinamopoan, Capoocan, Leyte, throug</t>
  </si>
  <si>
    <t xml:space="preserve"> Procurement of One (1) unit Motorcycle ACTIVITY	SCHEDULE	VENUE 1. Issuance of Bid Document June 12, 2020-June 30, 2020 BAC Secretariat Office -MPDO 2. Pre-Bid Conference/ Supplemental Bid-  3. Submission of Bids	  June 30, 2020 @ 10:00 AM BAC Secretariat </t>
  </si>
  <si>
    <t xml:space="preserve"> INVITATION TO BID  for  Supply and Delivery of 577 MT Asphalt Pre-Mix at PGO, Lingayen, Pangasinan (for use in the Repair/Maintenance of Various Provincial Roads and Bridges within the Province) Solicitation No. PANG-2020-0784 1.	The Provincial Government</t>
  </si>
  <si>
    <t xml:space="preserve"> INVITATION TO APPLY FOR ELIGIBILITY AND BID The Barangay of Magsaysay, Maasin, Iloilo, through its Bids and Awards Committee (BAC), invites suppliers/ distributors/ contractors to apply for eligibility and to bid for the hereunder project: Name of Project</t>
  </si>
  <si>
    <t xml:space="preserve"> 1. 838 book Notebook, 80 leaves 2. 19 boxes Chalk, Colored 3. 19 sets Stamp, appreciation, assorted 4. 19 pcs Alphabet Chart 5. 19 pcs Number Chart 6. 19 pcs Parts of the Body Chart 7. 19 pcs Color Chart 8. 19 pcs Shapes Chart 9. 19 pcs Five Senses chart </t>
  </si>
  <si>
    <t xml:space="preserve"> INVITATION TO BID Purchase and Delivery of Automated External Defibrillator (AED) Complete Set ITB 2020-06-033 (GOODS) 1. 	The Municipality of Tuba, through the Budget for the contract approved by the Sangguniang Bayan for CY 2019 intends to apply the sum</t>
  </si>
  <si>
    <t xml:space="preserve"> INVITATION TO BID KB-INFRA- 2020-06 The MUNICIPALITY OF KITAOTAO, through its Bids and Awards Committee (BAC), invites supplier’s manufacturers/contractors to apply for eligibility and to bid for hereunder project:   Project Name	          :  CONSTRUCTION</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</si>
  <si>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</si>
  <si>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Republic of the Philippines BIDS AND AWARDS COMMITTEE Bacolod City INVITATION TO BID FOR THE PURCHASE OF ONE MOTOR VEHICLE (AUV-BRAND NEW) FOR CITY MAYOR’S OFFICE USE 1.	The City of Bacolod, through the Sangguniang Panlungsod 2019 intends to apply the sum</t>
  </si>
  <si>
    <t xml:space="preserve"> Republic of the Philippines Province of Iloilo Lemery Iloilo Invitation to Bid for Purchase of Information Technology Equipments 1.	The Municipality of Lemery, Iloilo, through the Purple Ribbon Fund   intends to apply the sum of  One Hundred Forty Nine Th</t>
  </si>
  <si>
    <t xml:space="preserve"> TO : ALL BIDDERS WHAT : Schedule for the bid; WHEN : July 2, 2020 @ 9:00 A.M. WHERE : Multi-Purpose Hall, 2nd Floor, Left Wing, Bogo City Hall, Cayang, Bogo City, Cebu Attention: All Bidders 1) You are required to bring Universal Serial Bus (USB) Flash Dr</t>
  </si>
  <si>
    <t xml:space="preserve"> Republic of the Philippines                                                                   PROVINCE OF SAMAR                                                                   2nd  INVITATION TO BID                                                       </t>
  </si>
  <si>
    <t xml:space="preserve"> 2	SETS	13.6x24 BRAND NEW TIRE W/ TUBE AND FLAP 12	SETS	1200X20 BRAND NEW TIRE W/ TUBE AND FLAP 12	SETS	1000X20 BRAND NEW TIRE W/ TUBE AND FLAP 4	SETS	900X20 BRAND NEW TIRE W/ TUBE AND FLAP 10	SETS	825X20 BRAND NEW TIRE W/ TUBE AND FLAP 10	SETS	825X16 BRAN</t>
  </si>
  <si>
    <t xml:space="preserve"> INVITATION TO BID KB-INFRA- 2020-06 The MUNICIPALITY OF KITAOTAO, through its Bids and Awards Committee (BAC), invites supplier’s manufacturers/contractors to apply for eligibility and to bid for hereunder project: Project Name	  : CONSTRUCTION OF MULTIPU</t>
  </si>
  <si>
    <t xml:space="preserve"> Republic of the Philippines                                                                   PROVINCE OF SAMAR                                                                    INVITATION TO BID                                                           </t>
  </si>
  <si>
    <t xml:space="preserve"> Supply and Delivery of Construction Supplies and Materials needed for the Improvement of Barangay Health Station at Bulala with an ABC of Php300,488.25 LOT 1. Billboard = 1,900.00 LOT 2. Miscellaneous Materials = 257,500.25 LOT 3. Electrical Supplies = 21</t>
  </si>
  <si>
    <t xml:space="preserve"> Project Description: Type: Concrete                                            Drainage Length: 123 meters                                      Length: 120m (L=60m,R=60m) Width: 4 meters                                           Width=0.50m Thickness: 6"(</t>
  </si>
  <si>
    <t xml:space="preserve"> Republic of the Philippines BIDS AND AWARDS COMMITTEE Bacolod City INVITATION TO BID FOR THE PURCHASE OF HIGH SPEED FULL COLOR INKJET PRINTER 1.	The City of Bacolod, through the Sangguniang Panlungsod 2019 intends to apply the sum of                      </t>
  </si>
  <si>
    <t xml:space="preserve"> Procurement of various materials with installation of CCTV Fiber Optic</t>
  </si>
  <si>
    <t xml:space="preserve"> Supply and Delivery of Construction Supplies and Materials needed for the Improvement of Barangay Health Station at Belance with an ABC of Php320,812.29 LOT 1. Billboard = 1,900.00 LOT 2. Miscellaneous Materials = 277,112.29 LOT 3. Electrical Supplies = 2</t>
  </si>
  <si>
    <t xml:space="preserve"> Service Vehicle				1	unit &gt; Brand New					 &gt; Sports Utility Vehicle					 &gt; Engine Displacement : 1898cc (minimum)					 &gt; Engine Type : 4-cylinder, Diesel-fed, with turbo intercooler					 &gt; Power : 150 PS 					 &gt; Torque : 350 N-m					 &gt; Fuel System : CRDI	</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</si>
  <si>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</si>
  <si>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ITEM NO.	QUANTITY	UNIT	DESCRIPTION 			 1	5400	pcs	35x25x5.5cm (Barbell) Block Paver 2	2250	pcs	Cement (Paver) Tiles 3	45	pcs	30 x 30 x 2 cm (Cement Tiles) 4	35	pcs	60 x 60cm Ceramic Tiles 5	30	cu.m.	Earthfilling 6	25	pcs	Gravel 7	45	cu.m.	Sand 8	356	bags	</t>
  </si>
  <si>
    <t xml:space="preserve"> Installation of 4 units floor mounted inverter type airconditioning units at PCA bldg., 4th floor</t>
  </si>
  <si>
    <t xml:space="preserve"> Polyethylene Water storage Tank (2,000 L) 1 unit Angle bar 2"x2"x1/4"thk 34 pcs Cement 33 bags Sand 2 cu.m Gravel 4 cu.m 16mm dia RSB 40 pcs 10mm dia RSB 25 pcs GI wire #16 4 kgs GI plain sheet 2 pcs Plywood 1/2"thk 4 pcs Cocolumber 2"x3"x10' 8 pcs Assort</t>
  </si>
  <si>
    <t xml:space="preserve"> unit	Pick up type Vehicle 4x4	1 	With engine displacement not exceeding	 	3000cc	 	Diesel fed	 	Number of Cylinder: 4	 	Number Valves: 16	 	Transmission Category: 6 Speed Automatic	 Purpose: Peace and Order Monitoring to all barangays in the Municipality </t>
  </si>
  <si>
    <t xml:space="preserve"> Republic of the Philippines BIDS AND AWARDS COMMITTEE Bacolod City INVITATION TO BID FOR THE PURCHASE OF 4 WHEELER-TRUCK FOR SOCIO ECONOMIC ENTERPRISE UNIT-MARKETS USE 1.	The City of Bacolod, through the Sangguniang Panlungsod 2019 intends to apply the su</t>
  </si>
  <si>
    <t xml:space="preserve"> INVITATION TO BID  for  Supply and Delivery of 160 MT Asphalt Pre-Mix and 8 drums Emulsified Asphalt at PGO, Lingayen, Pangasinan (for use in the Asphalting of School Ground at Libsong E/S and PSAT, Lingayen, Pangasinan) Solicitation No. PANG-2020-0783 1.</t>
  </si>
  <si>
    <t xml:space="preserve"> Supply, delivery and installation of 24 units steel rack for ACA records Center</t>
  </si>
  <si>
    <t xml:space="preserve"> Procurement ID/Contract ID:	20PI0096 Contract Name:	Maintenance, Repair and Rehabilitation of Infrastructure Facilities and Other Related Activities - Flood Control and Drainage Systems, Structures and Related Facilities: 2. Calacaban Bridge Abutment Supp</t>
  </si>
  <si>
    <t xml:space="preserve"> Republic of the Philippines Dagupan City BIDS AND AWARDS COMMITTEE INVITATION TO BID For the Procurement of Three (3) Units Brand New Motorcycle (PR no.: 2020-00784-024) 1.	The City Government of Dagupan, through the 2017 Approved CONTINUING APPROPRIATION</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</si>
  <si>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</si>
  <si>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</si>
  <si>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INVITATION TO BID FOR THE PROCUREMENT OF Medical Equipment 1.	The Local Government Unit of Buug, through the General  Fund  intends to apply the sum of  Six Hundred Eighty Thousand Pesos only ( 680,000.00) being the Approved Budget for the Contract (ABC) </t>
  </si>
  <si>
    <t xml:space="preserve"> INVITATION TO BID FOR  SUPPLY AND DELIVERY OF ONE (1) UNIT RING NET (2nd Publication) 1.	The Local Government Unit of Laoang, through the Trust Fund ( intends to apply the sum of Two Million Five Hundred Thousand (Php2, 500,000.00) being the Approved Budg</t>
  </si>
  <si>
    <t xml:space="preserve"> INVITATION TO BID IB No. 03, S. 2020 The Municipality of General Nakar, Quezon through the Approved  Purchase Request amounting to One Million One Hundred Seventy Thousand Eight Hundred and Sixty Five Pesos (PhP1,170,865.00) being the Approved Budget for </t>
  </si>
  <si>
    <t xml:space="preserve"> WDR Ir Dome Camera Network units 13 * 7mm-35mm 5x Zoom * Lens 5x Zoom 8MP 8MP WDR IR Mini Bullet Network Camera units 19 * 1/1.8" 8Megapixel progressive scan CMOS * H. 265&amp;H.264 dual-stream encoding * 25/30 fps @ 8MP (3840x2160) * WDR (120dB), Day/Night (</t>
  </si>
  <si>
    <t xml:space="preserve"> details at the BAC and RHU</t>
  </si>
  <si>
    <t xml:space="preserve"> Supply and Delivery of Construction Supplies and Materials needed for the Improvement of Barangay Health Station at New Gumiad with an ABC of Php339,158.66 LOT 1. Billboard = 1,900.00 LOT 2. Miscellaneous Materials = 320,758.66 LOT 3. Hauling of Materials</t>
  </si>
  <si>
    <t xml:space="preserve"> INVITATION TO BID FOR CIVIL WORKS June 10, 2020 1.	The Department of Public Works and Highways (DPWH), Bukidnon Second District Engineering Office, Pinamaloy, Don Carlos, Bukidnon through its Bids and Awards Committee BAC, invites contractors to submit bi</t>
  </si>
  <si>
    <t xml:space="preserve"> Four Wheel Drive 2.0 L BI Turbo Diesel 1,996 to 2,000 Engine Displacement 10 Speed Automatic Transmission Customized Equipment: Rain Gutter	 Hood Guard	 Head Light Cover	 Tail Guard Cover	 Hard Deck Cover Automatic	 Tow Hitch with Pin, Clip and Tow Ball	 </t>
  </si>
  <si>
    <t xml:space="preserve"> Please download PDF @ associated components for information</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</si>
  <si>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</si>
  <si>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Construction of Stockroom for ballot boxes</t>
  </si>
  <si>
    <t xml:space="preserve"> Various Construction Materials (please download Associated Components for the details)</t>
  </si>
  <si>
    <t xml:space="preserve"> Please see BAC Chairman &amp; attached document</t>
  </si>
  <si>
    <t xml:space="preserve"> POROPOSED CONSTRUCTION OF CANAL AT BRGY II-B, SAN PABLO CITY</t>
  </si>
  <si>
    <t xml:space="preserve"> Completion of Livelihood Center at Municipal Agri. Office, District III, San Miguel, Catanduanes. Scope of Works: Demolition (roof/roof framings, ceiling, beams) &amp; Chipping of Concrete Column, Concrete Works, Rebar Works, Forms/False Works &amp; Electrical Wo</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</si>
  <si>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</si>
  <si>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The East Avenue Medical Center through its Hospital Bids and Awards Committee (BAC) through the General Appropriations Act and /or Hospital Income, invites suppliers / manufacturers / distributors for the bidding of the following project for CY 2020. Inte</t>
  </si>
  <si>
    <t xml:space="preserve"> Republic of the Philippines PROVINCE OF DINAGAT ISLANDS Municipality of Basilisa -oOo- Invitation to Bid EMBANKMENT/EARTFILLING OF SITE FOR NATIONAL LINE AGENCY BUILDING The Municipality of Basilisa, through the 20 % Municipal Development Fund (MDF) 2013 </t>
  </si>
  <si>
    <t xml:space="preserve"> Republic of the Philippines PROVINCE OF ZAMBOANGA SIBUGAY Municipality of Buug BIDS AND AWARDS COMMITTEE Procurement of Office Supplies ( 1st and 2nd quarter of 2020) 1. The Local Government Unit of Buug ,Buug, Zamboanga Sibugay, through the General Fund </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</si>
  <si>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</si>
  <si>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INVITATION TO APPLY FOR ELIGIBILITY AND TO BID FOR THE SCIENCE RESEARCH FACILITY UNDER DESIGN AND BUILD SCHEME (REBIDDING) 1.The  Philippine Science High School-Bicol Region Campus, through the GAA 2020 intends to apply the sum of  FOUR MILLION EIGHT HUND</t>
  </si>
  <si>
    <t xml:space="preserve"> Two units Pick-Up Type Vehicle not exceeding 3000cc engine displacement, diesel-fed, and 4 cylinder</t>
  </si>
  <si>
    <t xml:space="preserve"> Const. of 4 lane km. concrete road including 3,280 linear meter of lined canal</t>
  </si>
  <si>
    <t xml:space="preserve"> Materials (Hardware/ Construction)</t>
  </si>
  <si>
    <t xml:space="preserve"> Various Office Supplies for Offices Items are indicated in the Bid Docs</t>
  </si>
  <si>
    <t xml:space="preserve"> INVITATION TO BID BID REFERENCE NO.: 2020-15 “SUPPLY AND DELIVERY OF BFAR VIDEO/PHOTO EQUIPMENT FOR THE OFFICE PRODUCTIVITY PROJECT” The Bureau of Fisheries and Aquatic Resources (BFAR) of the Department of Agriculture, through the General Appropriations </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</si>
  <si>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</si>
  <si>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INVITATION TO BID FOR THE PROCUREMENT OF SUPPLY &amp; DELIVERY OF FARM INPUTS (TYPHOON URSULA)      1.	The Department of Agriculture Regional Field Office 6 through the General Appropriations Act (GAA) of 2020 intends to apply the sum of One Million One Hundr</t>
  </si>
  <si>
    <t xml:space="preserve"> INVITATION TO BID BID REFERENCE NO.: 2020-14 “SUPPLY AND DELIVERY OF BFAR COMPUTER HARDWARE FOR THE OFFICE PRODUCTIVITY PROJECT” The Bureau of Fisheries and Aquatic Resources (BFAR) of the Department of Agriculture, through the General Appropriations Act </t>
  </si>
  <si>
    <t xml:space="preserve"> Laboratory Equipment for the Rehabilitation of BSA/BTVTE Building at BPSU Abucay Campus. See attached bidding documents.</t>
  </si>
  <si>
    <t xml:space="preserve"> Republic of the Philippines Province of Cagayan Municipality of Camalaniugan Barangay Minanga June 11, 2020 INVITATION TO BID  FOR THE FURNISHING &amp; DELIVERY OF VARIOUS  MATERIALS FOR THE CONCRETING OF BARANGAY ROAD AT MINANGA, CAMALANIUGAN, CAGAYAN - 1ST </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</si>
  <si>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</si>
  <si>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Section I. Invitation to Bid INVITATION TO BID  DA8-Goods-2020-41 (PR No. HVCDP 20-04-28-0551) 1.	The Department of Agriculture-Regional Field Office No. 8, through the HVCDP-2020 intends to apply the sum of Four Million Five Hundred Twenty-Two Thousand E</t>
  </si>
  <si>
    <t xml:space="preserve"> INVITATION TO BID BID REFERENCE NO.: 2020-13 “SUPPLY, DELIVERY, AND INSTALLATION OF ENTERPRISE DATABASE MANAGEMENT SOFTWARE FOR LINUX PLATFORM” The Bureau of Fisheries and Aquatic Resources (BFAR) of the Department of Agriculture, through the General Appr</t>
  </si>
  <si>
    <t xml:space="preserve"> Section I. Invitation to Bid INVITATION TO BID  DA8-Goods-2020-40 (PR No. RICE 20-05-12-0686) 1.	The Department of Agriculture-Regional Field Office No. 8, through the RICE 2020 intends to apply the sum of One Million Six Hundred Thousand Pesos Only (P1,6</t>
  </si>
  <si>
    <t xml:space="preserve"> Repair/Improvement of Office at Municipal Agri. Office, District III, San Miguel, Cat'nes. Scope of Works: Concrete Works, Masonry Works, Rebar Works, Forms/False Works, Cement Plastered Finish, Windows &amp; Electrical Works (installation/repair). Source of </t>
  </si>
  <si>
    <t xml:space="preserve"> Republic of the Philippines Dagupan City BIDS AND AWARDS COMMITTEE INVITATION TO BID For the Procurement of One (1) Unit Brand New Vacuum Excavation Truck (PR no.: 2020-00729-051) 1.	The City Government of Dagupan, through the 2017 &amp; 2019 Approved CONTINU</t>
  </si>
  <si>
    <t xml:space="preserve"> INVITATION TO BID  (SEC PB No. 2020-011) The Securities and Exchange Commission (SEC), through the authorized appropriations under the FY 2020 Revised Corporation Code (RCC) intends to apply the sum of Three Million Seventy Thousand Pesos (Php3,070,000.00</t>
  </si>
  <si>
    <t xml:space="preserve"> NOTICE OF SHORT LIST AND REQUEST FOR PROPOSALS (RFP) for 20CSPA001 : DETAILED ENGINEERING DESIGN OF ABRA COLISEUM AND CONVENTION CENTER, La Paz, Abra The DPWH-Abra District Engineering Office reserves the right to accept or reject any bid and to annul the</t>
  </si>
  <si>
    <t xml:space="preserve"> BIDS AND AWARD COMMITTEE				 	                         INFRA 20-25A GENERAL FUND Standard Form Number: SF-INFR-O5                                                                 Renovation of Market Offices  Revised on: July 29, 2004   	Poblacion, Lapu-La</t>
  </si>
  <si>
    <t xml:space="preserve"> ITB No. 2020-12-EFS June 12, 2020 Republic of the Philippines Province of Davao Oriental CITY OF MATI INVITATION TO BID CONSTRUCTION / IMPROVEMENT OF GOVERNMENT BUILDINGS: Repair/Rehab &amp; Improvement of Government Building Name of Project 1.	The City Gover</t>
  </si>
  <si>
    <t xml:space="preserve"> DESIGN AND BUILD FOR THE CONSTRUCTION OF 2-STOREY PASSENGER TERMINAL BUILDING AT MALATAPAY, BARANGAY MALUAY, ZAMBOANGUITA, NEGROS ORIENTAL</t>
  </si>
  <si>
    <t xml:space="preserve"> Republic of the Philippines DEPARTMENT OF PUBLIC WORKS AND HIGHWAYS LAGUNA II DISTRICT ENGINEERING OFFICE REGIONAL OFFICE IV-A Brgy. Bambang, Los Baños, Laguna Invitation to Bid No. 2020 - 09 The Department of Public Works and Highways- Laguna II District</t>
  </si>
  <si>
    <t xml:space="preserve"> INFRASTRUCTURE WORKS FOR THE CONSTRUCTION OF LINE CANAL AT BARANGAY CALANGO, ZAMBOANGUITA, NEGROS ORIENTAL</t>
  </si>
  <si>
    <t xml:space="preserve"> Republic of the Philippines Dagupan City BIDS AND AWARDS COMMITTEE INVITATION TO BID For the Procurement of One (1) Unit Brand New 6-Wheeler Water Truck (PR no.: 2020-00730-051) 1.	The City Government of Dagupan, through the 2019 Approved CONTINUING APPRO</t>
  </si>
  <si>
    <t xml:space="preserve"> Please download and then print the attached Invitation to Bid (ITB) for more details and for your reference. To view this attachment, just click “ORDER” opposite the ASSOCIATED COMPONENTS. TOTAL APPROVED BUDGET FOR THE CONTRACT (ABC): ₱931,550.00</t>
  </si>
  <si>
    <t xml:space="preserve"> Republic of the Philippines Province of Agusan del Norte Municipality of Remedios T. Romualdez Invitation to Bid SUPPLY AND DELIVERY OF DRUGS AND MEDICINES 1. The Municipality of Remedios T. Romualdez, Agusan del Norte, through the General Funds/PFPR inte</t>
  </si>
  <si>
    <t xml:space="preserve"> Name of Project	:	PURCHASE OF COMPLETE SET DESKTOP AND LAPTOP COMPUTERS FOR OFFICIAL USE OF                                 DENR PALAWAN Place of Delivery	:	PENRO Office, Bgy. Sta. Monica, Puerto Princesa City Brief Description	:	Supply and Delivery of: 	</t>
  </si>
  <si>
    <t xml:space="preserve"> Section I. Invitation to Bid INVITATION TO BID  DA8-Goods-2020-42 (PR No. CORN 20-05-29-0164) 1.	The Department of Agriculture-Regional Field Office No. 8, through the CORN 2020-C.O intends to apply the sum of Three Million Five Hundred thousand Pesos Onl</t>
  </si>
  <si>
    <t xml:space="preserve"> INVITATION TO BID The Department of Public Works and Highways (DPWH) Camarines Sur 5th, District Engineering Office, Camarines Sur, through its Bids and Awards Committee (BAC), invites contractors to submit bids for the following contract(s):   Contract I</t>
  </si>
  <si>
    <t xml:space="preserve"> PAINTING WORKS (MASONRY PAINTING) PAINTING WORKS (METAL PAINTING) ELECTRICAL ROUGHING-IN, WIRING AND ACCESSORIES FORM WORKS AND FALSE WORK OCCUPATIONAL SAFETY AND HEALTH PROGRAM</t>
  </si>
  <si>
    <t xml:space="preserve"> Republic of the Philippines Province of Pangasinan Municipality of Sual Barangay Caoayan Invitation to Bid for the Construction of Brgy. Road at Sitio Dating Daan At Barangay Caoayan Sual, Pangasinan 1.	The Barangay Council of Caoayan,through the Barangay</t>
  </si>
  <si>
    <t xml:space="preserve"> Please download and then print the attached Invitation to Bid (ITB) for more details and for your reference. To view this attachment, just click “ORDER” opposite the ASSOCIATED COMPONENTS. TOTAL APPROVED BUDGET FOR THE CONTRACT (ABC): ₱788,400.00</t>
  </si>
  <si>
    <t xml:space="preserve"> 20PA0134 : CONCRETING OF BARANGAY TABACDA FMR, Barangay Tabacda, Tubo, Abra Contract Location:                    Barangay Tabacda, Tubo, Abra Brief Description:                     Concreting of Road using PCCP (Unreinforced, 0.20m thk. 14 days) The DPWH</t>
  </si>
  <si>
    <t xml:space="preserve"> Const. of 1.12 lane km. concrete road including 590 linear meter of lined canal</t>
  </si>
  <si>
    <t xml:space="preserve"> INVITATION TO BID FOR THE PROCUREMENT OF SUPPLY &amp; DELIVERY OF FARM INPUTS (TYPHOON URSULA)      1.	The Department of Agriculture Regional Field Office 6 through the General Appropriations Act (GAA) of 2020 intends to apply the sum of One Million Five Hund</t>
  </si>
  <si>
    <t xml:space="preserve"> Republic of the Philippines Region XII Province of Cotabato Municipality of Aleosan  INVITATION TO BID FOR THE Supply and Delivery of Construction Materials and Supplies for the Improvement of Multi-Purpose Building June 12, 2020 1.	The Local Government U</t>
  </si>
  <si>
    <t xml:space="preserve"> Please download and then print the attached Invitation to Bid (ITB) for more details and for your reference. To view this attachment, just click “ORDER” opposite the ASSOCIATED COMPONENTS. TOTAL APPROVED BUDGET FOR THE CONTRACT (ABC): ₱14,430,000.00</t>
  </si>
  <si>
    <t xml:space="preserve"> 184 LI</t>
  </si>
  <si>
    <t xml:space="preserve"> Republic of the Philippines Province of Agusan del Norte Municipality of Remedios T. Romualdez BARANGAY TAGBONGABONG Invitation to Bid SUPPLY AND DELIVERY OF FOOD PROCESSING EQUIPMENT FOR THE LIVELIHOOD PROGRAM-MEAT PROCESSING OF SALAKNIB FARMERS ASSOCIAT</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</si>
  <si>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</si>
  <si>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BIDS AND AWARD COMMITTEE				 	                         INFRA 20-26A DEVELOPMENT FUND Standard Form Number: SF-INFR-O5                                                                 Construction of Barangay Buaya Health Center (Phase I)  Revised on: July </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</si>
  <si>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</si>
  <si>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INVITATION TO BID BID REFERENCE NO.: 2020-16 “SUPPLY AND DELIVERY OF UNMANNED AERIAL VEHICLE (UAV) “DRONE” AND ACCESSORIES” The Bureau of Fisheries and Aquatic Resources (BFAR) of the Department of Agriculture, through the General Appropriations Act for 2</t>
  </si>
  <si>
    <t xml:space="preserve"> Please download and then print the attached Invitation to Bid (ITB) for more details and for your reference. To view this attachment, just click “ORDER” opposite the ASSOCIATED COMPONENTS. TOTAL APPROVED BUDGET FOR THE CONTRACT (ABC): ₱13,776,000.00</t>
  </si>
  <si>
    <t xml:space="preserve"> Straight contract</t>
  </si>
  <si>
    <t xml:space="preserve"> Security Services    CSC Regional Office, San Gabriel, Tug. City                      3 Security Guards, 3 shifts, 7 days a week, Monday to Sunday                                Cagayan/Batanes Field Office , Carig Sur, Tuguegarao City                    </t>
  </si>
  <si>
    <t xml:space="preserve"> INVITATION TO BID (SEC PB No. 2020-012) The Securities and Exchange Commission (SEC), through the authorized appropriations under the FY 2020 Revised Corporation Code (RCC) intends to apply the sum of Five Million Pesos (Php5,000,000.00) being the Approve</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</si>
  <si>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</si>
  <si>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Please download and then print the attached Invitation to Bid (ITB) for more details and for your reference. To view this attachment, just click “ORDER” opposite the ASSOCIATED COMPONENTS. TOTAL APPROVED BUDGET FOR THE CONTRACT (ABC): ₱392,400.00</t>
  </si>
  <si>
    <t xml:space="preserve"> Please download and then print the attached Invitation to Bid (ITB) for more details and for your reference. To view this attachment, just click “ORDER” opposite the ASSOCIATED COMPONENTS. TOTAL APPROVED BUDGET FOR THE CONTRACT (ABC): ₱8,075,000.00</t>
  </si>
  <si>
    <t xml:space="preserve"> Please download and then print the attached Invitation to Bid (ITB) for more details and for your reference. To view this attachment, just click “ORDER” opposite the ASSOCIATED COMPONENTS. TOTAL APPROVED BUDGET FOR THE CONTRACT (ABC): ₱8,840,000.00</t>
  </si>
  <si>
    <t xml:space="preserve"> Republic of the Philippines   Municipality of Sual BIDS AND AWARDS COMMITTEE Sual, Pangasinan   Invitation to Bid for Construction of Two (2) Units Potable Water Supply System Level 3 Baybay Norte &amp; Baybay Sur, Sual, Pangasinan 1.	The Municipal Government</t>
  </si>
  <si>
    <t xml:space="preserve"> The Municipal Government of Pilar, through the 20% Development Fund intends to apply the sum of Two Million Two Hundred Forty Nine Thousand Nine Hundred Twenty Four &amp; 25/100 Pesos (P/2,249, 924.25) being the Approved Budget for the Contract (ABC) to payme</t>
  </si>
  <si>
    <t xml:space="preserve"> CONSTRUCTION OF MULTI PURPOSE BUILDING (WAREHOUSE) AT SIARGAO DISTRICT HOSPITAL Municipality of Dapa, Surigao del Norte Brief Description:    The project has the following scope of works: General Requirements, Earthworks, Concrete Works, Reinforcing Steel</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</si>
  <si>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</si>
  <si>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Republic of the Philippines BIDS AND AWARDS COMMITTEE Cadiz City      BID DOCUMENTS for the CONSTRUCTION OF ONE (1) STOREY, 1-CLASSROOM SCHOOL BUILDING @ SAN ANDRES ELEMENTARY SCHOOL, BRGY. BANQUEROHAN, CADIZ CITY (1) BIDS AND AWARDS COMMITTEE  Cadiz City</t>
  </si>
  <si>
    <t xml:space="preserve"> Request for Proposal  The Bureau of Fisheries and Aquatic Resources Regional Office No. 5 (BFAR RO 5), Fabrica, Bula, Camarines Sur is requesting from prospective suppliers to submit written proposal for the Labor and Materials for the Fabrication and Ins</t>
  </si>
  <si>
    <t xml:space="preserve"> Purchase of IT Equipment for Various Offices Items to Bid are included on the Bid Docs</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</si>
  <si>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</si>
  <si>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1. The [Local Government Unit of Inopacan, Leyte], through the [Installation of Budgeting and Accounting System, IT Equipment and Software under Capital Outlay of the Municipal Budget Office and Municipal Accounting Office in the 2020 General Fund Supplem</t>
  </si>
  <si>
    <t xml:space="preserve"> Invitation to Bid and Bidding Documents</t>
  </si>
  <si>
    <t xml:space="preserve"> COMPLETION OF INSTALLATION OF STREETLIGHTING SYSTEM @ BANGQUEROHAN AREA</t>
  </si>
  <si>
    <t xml:space="preserve"> Republic of the Philippines Province of Pangasinan Municipality of Sual Barangay Caoayan Invitation to Bid for the Construction of Waiting Shed At Barangay Caoayan Sual, Pangasinan 1.	The Barangay Council of Caoayan,through the Barangay Fund 2020 intends </t>
  </si>
  <si>
    <t xml:space="preserve"> Please refer to the attached Bid Documents for more details.</t>
  </si>
  <si>
    <t xml:space="preserve"> BRAND NEW, 4 X 2 - 6 WHEELER (EURO 4) TRUCK CHASSIS Engine: NO4C-UV (EURO 4) 150 PS (ISO NET) DIESEL Cycle cylinder, vertical in line, turbo charge and inner cooled overhead valve, water cooled, direct injection, electronic control common rail type Transm</t>
  </si>
  <si>
    <t xml:space="preserve"> Republic of the Philippines BIDS AND AWARDS COMMITTEE Cadiz City      BID DOCUMENTS for the CONSTRUCTION OF CITY FIRE HYDRANTS &amp; ACCESSORIES @ CITY PROPER, CADIZ CITY (1) BIDS AND AWARDS COMMITTEE  Cadiz City   INVITATION TO BID/REQUEST FOR EXPRESSION OF </t>
  </si>
  <si>
    <t xml:space="preserve"> Supply and Delivery of Office Equipment &amp; I.T. Equipment.</t>
  </si>
  <si>
    <t xml:space="preserve"> Rehabilitation of Multi Purpose Building Cost of Bidding Documents: Php 5,000.00					 Source of Funds: GAA FY 2020  The significant times and deadlines of procurement activities are shown below: 1. Issuance of Bidding Documents	Deadline: June 15 – 29, 202</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</si>
  <si>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</si>
  <si>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Package I	 Abra        1. Bucay BHS	              1,980,000.00        2. San Miguel BHS	      500,000.00        3. Talogtog BHS	              500,000.00  Package II	 Abra       1. Luba RHU	                       1,000,000.00       2. Manabo RHU	          </t>
  </si>
  <si>
    <t xml:space="preserve"> REPUBLIC OF THE PHILIPPINES																																			 	PROVINCE OF ZAMBOANGA DEL NORTE																																			 	MUNICIPALITY OF PRES. MANUEL A. ROXAS																																			 	BIDS AND AWARDS COMMITTEE																								</t>
  </si>
  <si>
    <t xml:space="preserve"> Republic of the Philippines Province of Ilocos Sur Municipality of San Juan Barangay Sunggiam OFFICE OF THE BIDS AND AWARDS COMMITTEE INVITATION TO APPLY FOR ELIGIBILITY AND TO BID The Barangay Sunggiam,Sa Juan,Ilocos Sur through the Bids And Awards Commi</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</si>
  <si>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</si>
  <si>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INVITATION TO BID    SUPPLY AND DELIVERY OF THIRTY FOUR (34) UNITS BRAND NEW TRACTOR WITH IMPLEMENTS 1.	The Sugar Regulatory Administration through the 2018 and 2019 General Appropriations Act (GAA) Continuing Budget intends to apply the sum of One Hundre</t>
  </si>
  <si>
    <t xml:space="preserve"> CONSTRUCTION/CONCRETING OF PROVINCIAL ROADS, HIGHWAYS AND BRIDGES (PATAG-SAN MATEO ROAD) Municipality of Burgos, Surigao del Norte Brief Description: 	 The project will involve the Construction/ Concreting of Provincial Roads, Highways and Bridges (Patag-</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</si>
  <si>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</si>
  <si>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CONCRETING OF BAYATAKAN ROAD PHASE II Municipality of Dapa, Surigao del Norte Brief Description:    The project has the following scope of works: Construction survey and staking, Project Billboard, Occupational Safety and Health Program, Mobilization/Demo</t>
  </si>
  <si>
    <t xml:space="preserve"> REPUBLIC OF THE PHILIPPINES																															 	PROVINCE OF ZAMBOANGA DEL NORTE																															 	MUNICIPALITY OF PRES. MANUEL A. ROXAS																															 	BIDS AND AWARDS COMMITTEE																															 				</t>
  </si>
  <si>
    <t xml:space="preserve"> Road Safety Devices  			 		 Cost of Bidding Documents: Php 5,000.00					 Source of Funds: GAA 101 Maintenance Fund CY 2020 The significant times and deadlines of procurement activities are shown below: 1. Issuance of Bidding Documents	Deadline: June 15 – </t>
  </si>
  <si>
    <t xml:space="preserve"> Section I. Invitation to Bid Republic of the Philippines PROVINCE OF CAGAYAN Municipality of Peñablanca PROVINCIAL BIDS AND AWARDS COMMITTEE INVITATION TO BID FOR  Procurement of 313, 150 Liters Diesel Fuel 1.	The Provincial Government of Cagayan, through</t>
  </si>
  <si>
    <t xml:space="preserve"> Construction of 1 unit Rainwater Collector System</t>
  </si>
  <si>
    <t xml:space="preserve"> 1.	The Municipality of Impasugong, through the 20% DF – Rehabilitation of Multi-Purpose Halls – Capitan Bayong – Barangay Proper Phase 2 intends to apply the sum of Two Million Five Hundred Thousand Pesos (PhP 2,500,000.00) being the Approved Budget for t</t>
  </si>
  <si>
    <t xml:space="preserve"> Development of spring source, Construction of Intake Box, Construction of 250 cu.m. Concrete ground reservoir (2-ea) and Pipeline Distribution</t>
  </si>
  <si>
    <t xml:space="preserve"> IMPROVEMENT OF PANGANIBAN MUNICIPAL WATER SYSTEM of Barangays Sta. Ana, Burabod, Mabini, San Miguel, San Jose, San Nicolas, and Burabod, Panganiban, Catanduanes</t>
  </si>
  <si>
    <t xml:space="preserve"> 1.	250		pcs.		Plastic Envelope w/ handle		 2.	2500		pcs.		Notebooks		 3.	500		pcs.		Pencil		 4.	750		pcs.		Ballpen		 5.	250		pcs.		Sharpener		 6.	250		pcs.		Ruler		 7.	250		pcs.		Eraser		 8.	250		pcs.		Pad Paper (Grade 1-4)		 9.	250		bxs.		Crayola #16		 1</t>
  </si>
  <si>
    <t xml:space="preserve"> REQUEST FOR EXPRESSION OF INTEREST REOI2020-C02 1.	The Department of Public Works and Highway-Isabela 3rd District Engineering Office     through the PDE 2020 intends to apply the Approved Budget for the Contract (ABC) to payment under the following contr</t>
  </si>
  <si>
    <t xml:space="preserve"> REHABILITATION OF EXISTING MUNICIPAL ROADS @ Barangays San Jose and Salvacion, Panganiban, Catanduanes</t>
  </si>
  <si>
    <t xml:space="preserve"> Please download and then print the attached Invitation to Bid (ITB) for more details and for your reference. To view this attachment, just click “ORDER” opposite the ASSOCIATED COMPONENTS. TOTAL APPROVED BUDGET FOR THE CONTRACT (ABC): ₱999,971.00</t>
  </si>
  <si>
    <t xml:space="preserve"> Republic of the Philippines Province of Dinagat Islands Municipality of Basilisa BARANGAY VILLA PANTINOPLE -oOo- BIDS AND AWARDS COMMITTEE -oOo- INVITATION TO APPLY FOR ELIGIBILITY AND TO BID The Barangay Villa Pantinople, Municipality of Basilisa, Provin</t>
  </si>
  <si>
    <t xml:space="preserve"> Consolidated I.T. Consumables</t>
  </si>
  <si>
    <t xml:space="preserve"> Quantity       Unit of Issue       Item Description    150	        bxs	          D5 LR 1L x 12's      5          	bxs	          D5 0.3 Nacl 1L X 12's      5	                bxs              D5 0.3 Nacl 500ml X 24's     70	        bxs	          PNSS 1L x 1</t>
  </si>
  <si>
    <t xml:space="preserve"> Procurement of 1 Lot Various Drugs and Medicines for the 3rd Quarter of 2020</t>
  </si>
  <si>
    <t xml:space="preserve"> 1700 pcs. CHB 4" thk 186 bags Portland Cement 18 cu.m. washed Sand 12 cu.m washed gravel 178 pcs. 10mm dia. x 6.0m RSB 45 pcs. 12mm dia. 6.0m RSB 20 pcs. 2''x2''x12' form lumber 6 pcs. 1/2'' thk phenolic board 15 pcs. hacksaw blade 10 kls. #16 tie wire 8 </t>
  </si>
  <si>
    <t xml:space="preserve"> REQUEST FOR EXPRESSION OF INTEREST FOR  Consulting Services for the Preparation of Environmental Impact Statement and  Facilitation of ECC Application for the Modernization Plan of  Gov. Celestino Gallares Memorial Hospital Project located in Cortes, Boho</t>
  </si>
  <si>
    <t xml:space="preserve"> INVITATION TO BID The Department of Public Works and Highways (DPWH), Cavite 3rd District Engineering Office, Carmona, Cavite through its Bids and Awards Committee (BAC), invites contractors to submit bids for the following Contract:     4. Contract I.D. </t>
  </si>
  <si>
    <t xml:space="preserve"> Procurement of 1 Lot Fuel, Oil and Lubricant Expenses for the 3rd Quarter of 2020</t>
  </si>
  <si>
    <t xml:space="preserve"> Procurement of 1 Lot Rehabilitation Supplies for the 3rd Quarter of 2020</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</si>
  <si>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</si>
  <si>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Quantity      Unit of Issue      Item Description     180	       btls	        Alcohol 70% Isopropyl 500ml      10	       pcs	        Bulb with Airflo Control 1891       5	       pcs     	Latex Bulb Adult 1840       5	       pcs	        Velcro Cuff Adult 1</t>
  </si>
  <si>
    <t xml:space="preserve"> 20M00180 - Construction of Tulunan Public Cemetery</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</si>
  <si>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</si>
  <si>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Republic of the Philippines Pangasinan State University Lingayen, Pangasinan INVITATION TO BID FOR THE ONE (1) YEAR SUBSCRIPTION OF ELECTRONIC BOOKS FOR THE UNIVERSITY 1.	The Pangasinan State University, through the Fund 164 (Income) intends to apply the </t>
  </si>
  <si>
    <t xml:space="preserve"> Republic of the Philippines Pangasinan State University Lingayen, Pangasinan INVITATION TO BID FOR THE PROCUREMENT AND INSTALLATION OF VARIOUS AIRCONDITION UNITS FOR THE DIFFERENT CAMPUSES OF THE UNIVERSITY 1.	The Pangasinan State University, through the </t>
  </si>
  <si>
    <t xml:space="preserve"> Republic of the Philippines Pangasinan State University Lingayen, Pangasinan INVITATION TO BID FOR THE PROCUREMENT AND INSTALLATION OF RADIO STATION EQUIPMENT 1.	The Pangasinan State University, through the Fund 164 (Income) intends to apply the sum of Th</t>
  </si>
  <si>
    <t xml:space="preserve"> as per BSP Technical Specifications and Terms of Reference</t>
  </si>
  <si>
    <t xml:space="preserve"> The Philippine Nuclear Research Institute (PNRI), through the Bids and Awards Committee (BAC), invites interested bidders to bid for hereunder project:  Name of Project	Procurement of One (1) Lot Cremation Equipment for Small Animals and One (1) Lot Indiv</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</si>
  <si>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</si>
  <si>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ITEM	DESCRIPTION	QUANTITY	UNIT 	A.	Temporary Works Facilities, Mobilization &amp; Demobilization		 1	Temporary Works Facilities	1.00	ls 2	Mobilization/Demobilization	1.00	ls 	B.	Construction of Canal Bench Flume		 1	Common Excavation	1,858.59	cu.m 2	Barrow w/</t>
  </si>
  <si>
    <t xml:space="preserve"> 20M00179 - Completion/Rehabilitation of MPB</t>
  </si>
  <si>
    <t xml:space="preserve"> 20M00181 - Construction/Completion/Rehabilitation of MPB</t>
  </si>
  <si>
    <t xml:space="preserve"> ITEM	DESCRIPTION	QUANTITY	UNIT 1	Portland Cement	1,900	bags 2	Sand	130	cu.m. 3	Gravel (3/4” Ø)	340	cu.m. 4	RSB – 10 mm Ø	2,000	pcs. 5	4’ x 8’ x ½” Marine Plywood	100	pcs 6	2” x “ x 12’ Form Lumber	1,600	bd.ft 7	CWN 4” 	50	kgs. 8	CWN 3”	50	kgs. 9	CWN 2 ½”	</t>
  </si>
  <si>
    <t xml:space="preserve"> Procurement of 1 Lot Military Supplies (Ammunition) for the 3rd Quarter of 2020</t>
  </si>
  <si>
    <t xml:space="preserve"> REQUEST FOR EXPRESSION OF INTEREST FOR  Consulting Services for the Conduct of Geotechnical (Soil) Investigation for the Construction of Proposed 6-Storey New Buildings for the Modernization Plan of Gov. Celestino Gallares Memorial Hospital Project locate</t>
  </si>
  <si>
    <t xml:space="preserve"> Procurement of 1 Lot Printing and Publication for the 3rd Quarter of 2020</t>
  </si>
  <si>
    <t xml:space="preserve"> ITEM	DESCRIPTION	QUANTITY	UNIT 	Civil Works - Construction of Construction of Canal Structures, Temporary Access Road, Supply &amp; Installation of Steel Pipe Siphon:		 A.	Temporary Works Facilities, Mobilization &amp; Demobilization &amp; Temporary Access Road		 1	T</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</si>
  <si>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</si>
  <si>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1.	The Department of Public Works and Highway-Isabela 3rd District Engineering Office     through the PDE 2020 intends to apply the Approved Budget for the Contract (ABC) to payment under the following contract for: Contract ID No.	: 20CSBG004 Contract Na</t>
  </si>
  <si>
    <t xml:space="preserve"> Republic of the Philippines Province of Masbate Municipality of Mandaon BIDS AND AWARD COMMITTEE INVITATION TO APPLY FOR ELIGIBILITY AND TO BID The Local Government Unit of Mandaon, through the ANNUAL BUDGET 2020   intends to apply for the sum of Php 590,</t>
  </si>
  <si>
    <t xml:space="preserve"> Invitation to Bid for Construction of Dome Shape Gymnasium for Senior High School - at San Nicolas 3 (Greenvalley) City of Bacoor (Repost) 1.	The City Government of Bacoor, Cavite, through the SPP 2019 (S) - LSB -02 SEF Supplemental #2 intends to apply th</t>
  </si>
  <si>
    <t xml:space="preserve"> Republic of the Philippines Province of Cagayan Municipality of Baggao INVITATION TO BID FOR THE PROCUREMENT OF GOODS The Barangay San Jose, Baggao, Cagayan, through the Provincial Assistance CY 2018 intends to apply the sum of  Two Hundred Eighty Eight T</t>
  </si>
  <si>
    <t xml:space="preserve"> 1.	1 unit brand new PICK UP VEHICLE  Color Black customized with emergency equipment and  apparatus (emergency siren with speakers, Flood lights, strobe lights, emergency medical kit, rescue towing rope (2500kg towing capacity), overhead carrier, two-way </t>
  </si>
  <si>
    <t xml:space="preserve"> City Government of Manila INVITATION TO BID  NO. 2020-06-46A Procurement of one (1) lot Laboratory Examinations and Diagnostic  Procedures Send Out for 2020 1.	The City Government of Manila, through the General Fund CY 2020 – Other Maintenance and Operati</t>
  </si>
  <si>
    <t xml:space="preserve"> TERMS AND CONDITIONS: •	The details listed below are the end-user’s minimum specifications/requirements and must be complied on a pass/fail basis. •	Suppliers/Bidders shall provide correct and accurate information required in this form •	Prices must be qu</t>
  </si>
  <si>
    <t xml:space="preserve"> INVITATION TO BID FOR  SUPPLY &amp; DELIVERY OF VARIOUS MEDICINES (3rd QUARTER) FOR USE IN  MUNICIPAL HEALTH OFFICE VILLASIS, PANGASINAN 	 		 1.	The Local Government of Villasis, Pangasinan, through General Fund , intends to apply the sum of Four hundred Nine</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</si>
  <si>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</si>
  <si>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The Municipal Government of Aloguinsan invites prospective bidders to bid for the project Supply and Delivery of Medical Supplies. Source of Fund: GEN. FUND FY 2020 ABC: Php 262,480.00 The complete schedule of activities will be as follows: 1. Submission </t>
  </si>
  <si>
    <t xml:space="preserve"> REQUEST FOR EXPRESSION OF INTEREST REOI2020-C03 1.	The Department of Public Works and Highway-Isabela 3rd District Engineering Office     through the PDE 2020 intends to apply the Approved Budget for the Contract (ABC) to payment under the following contr</t>
  </si>
  <si>
    <t xml:space="preserve"> 20E00084 - LIP - Construction of Odiongan By-pass Road (Phase 4), Odiongan, Romblon</t>
  </si>
  <si>
    <t xml:space="preserve"> IB 2020-07-007 PVSV Procurement of Passenger Van Service Vehicle  2020-07</t>
  </si>
  <si>
    <t xml:space="preserve"> Scope of Work: A. STAIR RAILING, WOODEN STEPS, TABLES &amp; CHAIRS   I. Steel Works   II. Carpentry and Joinery Works   III. Electrical Fixtures B. GENERAL REQUIREMENTS</t>
  </si>
  <si>
    <t xml:space="preserve"> Invitation to Bid for the Poblacion – Dicklum Water System – Phase I 1.	The Local Government Unit of Manolo Fortich, through the Special Trust Fund intends to apply the sum of TWELVE MILLION NINETY THREE THOUSAND FIVE HUNDRED NINETY SIX PESOS (PhP 12,093,</t>
  </si>
  <si>
    <t xml:space="preserve"> The Municipal Government of Aloguinsan invites prospective bidders to bid for the project Supply and Delivery of Family Planning Commodities Source of Fund: General Fund FY 2020 ABC: Php 350,000.00 The complete schedule of activities will be as follows: 1</t>
  </si>
  <si>
    <t xml:space="preserve"> Republic of the Philippines Province of Ilocos Norte MUNICIPALITY OF PIDDIG BARANGAY ANAO INVITATION TO BID FOR Supply and Delivery of Construction Supplies and Materials for the various projects of Brgy. Anao 1. The Barangay Council of Anao through the  </t>
  </si>
  <si>
    <t xml:space="preserve"> Invitation to Bid  For the Construction/Rehabilitation/Repair/Widening of Roads at Brgy. Tabuc Suba (Urban Poor Village Petals Ville) Jaro, Iloilo City 1.	The City of Iloilo, through the 20% Development Fund, CY2020 intends to apply the sum of Three Milli</t>
  </si>
  <si>
    <t xml:space="preserve"> Invitation to Bid  For the Construction/Rehabilitation of Existing Drainage System at Brgy. Tabuc Suba, Jaro, Iloilo City 1.	The City of Iloilo, through the 20% ADF, CY2019 intends to apply the sum of Two Million Five Hundred Thousand Pesos (Php 2,500,000</t>
  </si>
  <si>
    <t xml:space="preserve"> Scope of Work: A. AMPHITHEATER CLEACHER   I. Steel Works   II. Carpentry Works B. PWD RAMP OF MUNICIPAL BUILDING   I. Earth Works   II. Concrete Works (Footing, Column, Beam, Slab)   III. Form Works   IV. Steel Works C. TRANSFORMER PEDESTAL PAD   I. Earth</t>
  </si>
  <si>
    <t xml:space="preserve"> Invitation to Bid  For the Rehabilitation of All Gabaldon Building at Iloilo Central Elementary School, City Proper, Iloilo City 1.	The City of Iloilo, through the SEF Capital Outlay SB No. 2, CY2019 intends to apply the sum of Seven Million Pesos (Php 7,</t>
  </si>
  <si>
    <t xml:space="preserve"> Invitation to Bid  For the Construction/Rehabilitation/Repair/Widening of Roads at ICAG Road, Molo, Iloilo City 1.	The City of Iloilo, through the 20% Development Fund, CY2020 intends to apply the sum of Two Million Pesos (Php 2,000,000.00) being the Appr</t>
  </si>
  <si>
    <t xml:space="preserve"> Invitation to Bid  For the Construction/Rehabilitation of Existing Drainage System at Brgy. San Isidro, Lapaz, Iloilo City 1.	The City of Iloilo, through the 20% Development Fund, CY2019 intends to apply the sum of One Million Pesos (Php 1,000,000.00) bei</t>
  </si>
  <si>
    <t xml:space="preserve"> Republic of the Philippines Province of Cagayan Municipality of Baggao INVITATION TO BID FOR THE PROCUREMENT OF GOODS The Barangay Ibulo, Baggao, Cagayan, through the 20% BDF CY 2020 intends to apply the sum of Ninety Seven Thousand Four Hundred Eighteen </t>
  </si>
  <si>
    <t xml:space="preserve"> Invitation to Bid  For the Repair of Classrooms at Sambag Elementary School, Jaro, Iloilo City 1.	The City of Iloilo, through the SEF Capital Outlay SB No. 1, CY2018 intends to apply the sum of Three Million Four Hundred Thousand Pesos (Php 3,400,000.00) </t>
  </si>
  <si>
    <t xml:space="preserve"> Procurement of 1 Lot Various Office Supplies for the 3rd Quarter of 2020</t>
  </si>
  <si>
    <t xml:space="preserve"> Republic of the Philippines Province of Leyte BRGY. POBLACION ZONE 1, CAPOOCAN, LEYTE -oOo- BIDS AND AWARD COMMITTEE INVITATION TO BID  FOR THE PROCUREMENT OF CCTV 1.	The Brgy. Poblacion Zone I Capoocan, Leyte, through the 20% Development Funds of 2020 in</t>
  </si>
  <si>
    <t xml:space="preserve"> Republic of the Philippines City of Cagayan de Oro BIDS AND AWARDS COMMITTEE  INVITATION TO BID  FOR  Supply and Delivery of One (1) Unit Dropside Truck; PR No. 20-1367 dated 01 April 2020; SN 127 - 2020 1.	The City Government of Cagayan de Oro, through G</t>
  </si>
  <si>
    <t xml:space="preserve"> Invitation to Bid  For the Construction/Rehabilitation of Existing Drainage System at Brgy. Don Esteban, Lapuz, Iloilo City 1.	The City of Iloilo, through the 20% Development Fund, CY2019 intends to apply the sum of One Million Pesos (Php 1,000,000.00) be</t>
  </si>
  <si>
    <t xml:space="preserve"> Republic of the Philippines Province of Cagayan Municipality of Baggao INVITATION TO BID FOR THE PROCUREMENT OF GOODS The Barangay San Jose, Baggao, Cagayan, through the 20% Barangay Development Fund CY 2019 intends to apply the sum of  One Hundred Six Th</t>
  </si>
  <si>
    <t xml:space="preserve"> Invitation to Bid for Upgrading of Electrical Installation at Talaba Elementary School (Repost) 1.	The City Government of Bacoor, Cavite, through the SPP 2018(S)-LSB-01 (SEF 2018) intends to apply the sum of ONE MILLION TWO HUNDRED THOUSAND PESOS AND ZERO</t>
  </si>
  <si>
    <t xml:space="preserve"> Invitation to Bid for Construction of School Building Digman Elementary School at Digman Bacoor City, Cavite (Repost) 1.	The City Government of Bacoor, Cavite, through the APP 2019 - Annex C (LSB 2019) intends to apply the sum of SIX MILLION EIGHT HUNDRED</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</si>
  <si>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</si>
  <si>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</si>
  <si>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The Municipal Government of Aloguinsan invites prospective bidders to bid for the project Supply and Delivery of Medicines &amp; Psychotropic Drugs. Source of Fund: GEN. FUND FY 2020 ABC: Php 1,659,930.00 The complete schedule of activities will be as follows</t>
  </si>
  <si>
    <t xml:space="preserve"> Republic of the Philippines Province of Cagayan Municipality of Baggao INVITATION TO BID FOR THE PROCUREMENT OF GOODS The Barangay Asinga-Via, Baggao, Cagayan, through the 20% BDF CY 2020 intends to apply the sum of Two Hundred Forty Nine Thousand Three H</t>
  </si>
  <si>
    <t xml:space="preserve"> Installation of Ceiling</t>
  </si>
  <si>
    <t xml:space="preserve"> PARTICULARS	Unit Cost Supply, Delivery, Installation and Configuration of Various ICT Equipment, Office Equipment and Computer Software in Support to Operations and Research Division	 1) Twenty (20) Units Desktop Computer (Windows OS) 	Intel Core i3-9300</t>
  </si>
  <si>
    <t xml:space="preserve"> CONTRACT NO.: BNLSL-LCB-05A-2019 LOCATION: Labiranan CIP, Dulag, Leyte SCOPE OF WORK: Construction of Canal System APPROVED BUDGET FOR CONTRACT: Php 1,208,392.19 CONTRACT DURATION: 60 calendar days Bidding will be conducted in accordance with relevant pro</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</si>
  <si>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</si>
  <si>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</si>
  <si>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SCOPE OF WORK IN EACH BARANGAY: I. STRUCTURE EXCAVATION 1.15 CU.M. II. CONCRETE WORKS 0.96 CU.M. III. INSTALLATION OF STEEL POST &amp; SOLAR LIGHTS  5 UNITS IV. PAINTING WORKS 1 LOT</t>
  </si>
  <si>
    <t xml:space="preserve"> Construction of Flood Control Project (Gabion Type) Along Paliwan River at Brgy. Guinbanga-an &amp; Jaguiquican, structure excavation, Gabion, Filter Cloth, Mobilization/Demobilization, Project Billboard, Occupational Safety and Health Program</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</si>
  <si>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</si>
  <si>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</si>
  <si>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City Government of Manila INVITATION TO BID NO. 2020-06-56A Procurement of Food and Drinks 1.	The City Government of Manila, through the General Fund CY 2020 – Extraordinary &amp; Miscellaneous Expenses intends to apply the sum of Two Million Pesos Only (Php2</t>
  </si>
  <si>
    <t xml:space="preserve"> City Government of Manila INVITATION TO BID NO. 2020-06-51A Procurement of Thirty-One (31) Air Conditioning Units 1.	The City Government of Manila, through the General Fund CY 2020 – Office Equipment intends to apply the sum of Two Million Four Hundred Fi</t>
  </si>
  <si>
    <t xml:space="preserve"> City Government of Manila INVITATION TO BID NO. 2020-06-65A Procurement of Various Office Supplies 1.	The City Government of Manila, through the General Fund CY 2020 – Office Supplies Expenses intends to apply the sum of Two Million Three Hundred Seven Th</t>
  </si>
  <si>
    <t xml:space="preserve"> City Government of Manila INVITATION TO BID NO. 2020-06-55A Procurement of Various I.T. Equipment 1.	The City Government of Manila, through the General Fund CY 2020 – Information &amp; Communication Technology Equipment (Capital Outlay) intends to apply the s</t>
  </si>
  <si>
    <t xml:space="preserve"> 1 UNIT AMBULANCE  PHILIPPINE BIDDING DOCUMENTS Procurement of GOODS Government of the Republic of the Philippines Third Edition October 2009   Preface These Philippine Bidding Documents (PBDs) for the procurement of Goods through Competitive Bidding have </t>
  </si>
  <si>
    <t xml:space="preserve"> INVITATION TO BID Improvement of Canal Service Roads 1.	 The NIA-MARIIS Division II, through the GAA CY  2019  intends to apply the sum of Two Million Seven Hundred Forty Thousand Five Hundred Fifteen Pesos &amp; Sixty Four  Centavos (₱2,745,515.64) being the</t>
  </si>
  <si>
    <t xml:space="preserve"> Invitation to Bid  For the Construction of ICARE Center at Time Square Gaisano, Gaisano Time Square Center Compound, B. Aquino Ave. Mandurriao, Iloilo City 1.	The City of Iloilo, through the General Fund SB No. 3, CY2019 intends to apply the sum of Thirty</t>
  </si>
  <si>
    <t xml:space="preserve"> Invitation to Bid  For the Construction of Three (3) Storey 6 Classroom with Demolition at A. Mirasol Elementary School, mandurriao, Iloilo City 1.	The City of Iloilo, through the 20% Development Fund, CY2019 intends to apply the sum of Twenty One Million</t>
  </si>
  <si>
    <t xml:space="preserve"> PB NO. 2020-033		 			 1.	1	lot	Proposed Additional Floor and its completion of Dormitory Type Hotel at Brgy. San Jose, San Pablo City. 			By: Contract 			 	Deadline for Submission of Bids: July 1, 2020 10:00 am</t>
  </si>
  <si>
    <t xml:space="preserve"> Invitation to Bid  For the Completion of Two (2) Storey Building Six (6) Classrooms at Uswag San Isidro Elementary School, Jaro, Iloilo City 1.	The City of Iloilo, through the SEF Capital Outlay SB No. 1, CY2018 intends to apply the sum of Four Million Fi</t>
  </si>
  <si>
    <t xml:space="preserve"> INVITATION TO BID Improvement of Canal Service Roads 1.	 The NIA-MARIIS Division II, through the GAA CY  2019  intends to apply the sum of Two Million Two Thousand Five Hundred Eighty Three Pesos &amp; Seventy Six  Centavos (₱2,002,583.76) being the Approved </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</si>
  <si>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</si>
  <si>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Invitation to Bid  For the Construction/Rehabilitation/Repair/Widening of Roads at Brgy. Claudio Castilla, EL-98, Jaro, Iloilo City 1.	The City of Iloilo, through the 20% Development Fund, CY2020 intends to apply the sum of Two Million Seven Hundred Sixty</t>
  </si>
  <si>
    <t xml:space="preserve"> 20M00182 - Construction / Rehabilitation of Damawato Bridge</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</si>
  <si>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</si>
  <si>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Invitation to Bid  For the Construction of Two (2) Storey Eight (8) Classrooms Building at N.J. Elementary School, Lapaz, Iloilo City 1.	The City of Iloilo, through the SEF Capital Outlay, CY2019 intends to apply the sum of Nineteen Million Pesos (Php 19,</t>
  </si>
  <si>
    <t xml:space="preserve"> INVITATION TO BID The Surigao del Sur 1st District Engineering Office, Tandag City, through its Bids and Awards Committee (BAC), invites contractors to submit bids for the following Contract: CONTRACT ID	:	20NH0089(RE-AD) CONTRACT NAME	:	Construction/ Reh</t>
  </si>
  <si>
    <t xml:space="preserve"> Quantity       Unit of Issue       Item Description    100	       amps	          Amikacin 250mg/ml   1000	       vials	          Ampicillin 250mg   1000	       vials	          Ampicillin 500mg    500	       vials	          ATS 500     20	       amps	     </t>
  </si>
  <si>
    <t xml:space="preserve"> Please download and then print the attached Invitation to Bid (ITB) for more details and for your reference. To view this attachment, just click “ORDER” opposite the ASSOCIATED COMPONENTS. TOTAL APPROVED BUDGET FOR THE CONTRACT (ABC): ₱7,787,827.00</t>
  </si>
  <si>
    <t xml:space="preserve"> Please download and then print the attached Invitation to Bid (ITB) for more details and for your reference. To view this attachment, just click “ORDER” opposite the ASSOCIATED COMPONENTS. TOTAL APPROVED BUDGET FOR THE CONTRACT (ABC): ₱165,000.00</t>
  </si>
  <si>
    <t xml:space="preserve"> Purchase of Furniture’s and Fixtures for Various Offices Items to Bid are indicated on the Bid Docs</t>
  </si>
  <si>
    <t xml:space="preserve"> Republic of the Philippines City of Cagayan de Oro BIDS AND AWARDS COMMITTEE Invitation to Bid  for Completion of City Hospital - Lumbia (Phase II); SN 128 - 2020 ` 1.	The City Government of Cagayan de Oro, through the Current Appropriation, Annual Budget</t>
  </si>
  <si>
    <t xml:space="preserve"> CONSTRUCTION OF CORE HOUSING UNITS FOR BATO RESETTLEMENT PROJECT (PHASE 1) AT MASOLI, BATO, CAM. SUR</t>
  </si>
  <si>
    <t xml:space="preserve"> The MUNICIPALITY OF CALINTAAN, through the 20% Local Development Fund intends to apply the sum of One Million One Hundred  Fifty Thousand Pesos Only (Php1,150,000.00) being the Approved Budget for the Contract (ABC) to payment  under the contract for the </t>
  </si>
  <si>
    <t xml:space="preserve"> PURCHASE OF MICRONUTRIENT POWDER FOR COMPREHENSIVE NUTRITION PROGRAM - Order of payment for Bid Docs will be available at GSD-Head Office @ 10th Floor Makati City Hall Bldg. 2.  Look for Mr. Reden Villanueva. - A complete set of Bidding Documents will be </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</si>
  <si>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</si>
  <si>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we are improving our 2nd floor to become an efficient quarantine facility cum evacuation center for this pandemic materials needed 6 sets 1.25x1.20m sliding windows 6 sets 1.20x1.20m tubular windo grills 3 bags tile grout 111 kgs 10mm dia dsb 106.6 kgs 12</t>
  </si>
  <si>
    <t xml:space="preserve"> SUPPLY AND DELIVERY OF BRAND NEW SERVICE VEHICLES, INCLUDING PREVENTIVE MAINTENANCE SERVICE (2 LOTS) LOT 1: SUPPLY AND DELIVERY OF ONE (1) BRAND NEW SERVICE VEHICLE (21 SEATER VAN) WITH PREVENTIVE MAINTENANCE SERVICE LOT 2: SUPPLY AND DELIVERY OF ONE (1) </t>
  </si>
  <si>
    <t xml:space="preserve"> details at the GSO</t>
  </si>
  <si>
    <t xml:space="preserve"> Supply and Delivery of IT Equipments</t>
  </si>
  <si>
    <t xml:space="preserve"> INVITATION TO BID FOR  THE PROCUREMENT FOR THE SUPPLY, DELIVERY, INSTALLATION, TESTING AND COMMISSIONING OF TWO (2) UNITS OF PUMPING EQUIPMENT FOR THE IGACOS WATER DISTRICT’S WATER SUPPLY SYSTEM AND IMRPOVEMENT PROJECT  1.	The Igacos Water District Water </t>
  </si>
  <si>
    <t xml:space="preserve"> INVITATION TO APPLY FOR ELIGIBILITY AND TO BID The Local Government Unit-Barangay Salog, Sorsogon City throught its Bids and Awards Committee (BAC), invites suppliers registered with and classified by the Department of Trade and Industry(DTI), to bid for </t>
  </si>
  <si>
    <t xml:space="preserve"> Procurement of Civil Works-Construction of 2 storey building to accommodate PUIs/PUMs</t>
  </si>
  <si>
    <t xml:space="preserve"> SUPPLY AND DELIVERY OF BRAND NEW MOTORCYCLE WITH SINGLE PASSENGER SIDE CAR - Order of payment for Bid Docs will be available at GSD-Head Office @ 10th Floor Makati City Hall Bldg. 2.  Look for Mr. Reden Villanueva. - A complete set of Bidding Documents wi</t>
  </si>
  <si>
    <t xml:space="preserve"> Republic of the Philippines PROVINCE OF SAMAR Municipality of Pinabacdao Invitation to Bid Repair of Brgy. Mambog Multi-purpose School Building (District Office) Pinabacdao Samar 1. The LOCAL GOVERMENT UNIT of Pinabacdao Samar, through the FY 2020 Budget </t>
  </si>
  <si>
    <t xml:space="preserve"> QTY	UNIT	ITEM DESCRIPTION 		  1.00 	l.s.	Cutting of Trees and Vegetation  1.00 	l.s.	Hauling of Materials  370.00 	sq.m.	Concrete Works</t>
  </si>
  <si>
    <t xml:space="preserve"> SUPPLY AND DELIVERY OF VARIOUS INSTRUMENTS/EQUIPMENT FOR MAKATI HEALTH DEPARTMENT - Order of payment for Bid Docs will be available at GSD-Head Office @ 10th Floor Makati City Hall Bldg. 2.  Look for Mr. Reden Villanueva. - A complete set of Bidding Docum</t>
  </si>
  <si>
    <t xml:space="preserve"> QTY	UNIT	ITEM DESCRIPTION 		  2.00 	set/s	Installation of Main Service  Entrance  146.00 	set/s	Purchase and Installation of Street Lights 		 		Note: Street Lights 		Brgy. Aguila - 2 set/s 		Brgy. Banaybanay I - 33 set/s 		Brgy. Banaybanay II - 3 set/s 		</t>
  </si>
  <si>
    <t xml:space="preserve"> (Procurement Of Goods) INVITATION TO BID FOR  ONE (1) UNIT BRGY.RESCUE VEHICLE (BONGGO DOUBL CAB) 1.	The Barangay Local Government of Baganian, Tabina, Zamboanga del Sur through the  20% Development Fund for the year 2012-2018 intends to apply the sum of </t>
  </si>
  <si>
    <t xml:space="preserve"> Supply and Delivery of Second Quarter Various Office Supplies with an ABC of Php307,341.95 arranged in three (3) lots: LOT 1. Common Office Supplies/Consumables LOT 2. Computer Supplies LOT 3. Janitorial/Electrical/Housekeeping Supplies For further detail</t>
  </si>
  <si>
    <t xml:space="preserve"> Multi-Purpose Hall, Farm to Market Road w/ drainage Canal, Flood Control Canal, Farm to Market Road</t>
  </si>
  <si>
    <t xml:space="preserve"> QTY	UNIT	ITEM DESCRIPTION 		  1.00 	lot	Clearing  406.00 	cu.m.	Grouted Riprap</t>
  </si>
  <si>
    <t xml:space="preserve"> SUPPLY AND DELIVERY OF OFFICE EQUIPMENT AND SUPPLIES FOR VARIOUS DEPARTMENTS/OFFICES OF THE CITY GOVERNMENT OF MAKATI  - Order of payment for Bid Docs will be available at GSD-Head Office @ 10th Floor Makati City Hall Bldg. 2.  Look for Mr. Reden Villanue</t>
  </si>
  <si>
    <t xml:space="preserve"> SCOPE OF WORKS IN EACH BARANGAY: I. EXCAVATION WORKS   29.40 CU.M. II. CONCRETE WORKS 5.08 CU.M. III. MASONRY WORKS 81.60 SQ.M.</t>
  </si>
  <si>
    <t xml:space="preserve"> 30 CANS RED GOLD TOMATO@25GRAMS 100 PACK/SACHET SWEET PEPPER 30 CANS SQUASH SUPREMA 25GRAMS 200 KLS. MONGGO SUPER YIELD 30 CANS AMPALAYA MESTIZA 50GRAMS 20 CANS WATER MELON BULILIT SWEET 16 (100GRAMS) 100 CANS BULILIT MEGA C</t>
  </si>
  <si>
    <t xml:space="preserve"> OUTSOURCING OF BASIC CLINICAL AND DIAGNOSTIC LABORATORY SUPPLIES AND SERVICES THROUGH AN ORDERING AGREEMENT  - Order of payment for Bid Docs will be available at GSD-Head Office @ 10th Floor Makati City Hall Bldg. 2.  Look for Mr. Reden Villanueva. - A co</t>
  </si>
  <si>
    <t xml:space="preserve"> The MUNICIPALITY OF CALINTAAN, through the 20% Local Development Fund intends to apply the sum of One Million Three Hundred Thousand Pesos Only (Php1,300,000.00) being the Approved Budget for the Contract (ABC) to payment  under the contract for the Const</t>
  </si>
  <si>
    <t xml:space="preserve"> QTY	UNIT	ITEM DESCRIPTION 		  1.00 	lot	Clearing  99.87 	cu.m.	Grouted Riprap</t>
  </si>
  <si>
    <t xml:space="preserve"> 2.	Procurement ID/Contract I.D.: 20CN0151 A.	Repair/Maintenance of Pingit Creek Revetment 2 &amp; 3 Flood Control, Brgy. Pingit, Baler, Aurora B.	Repair/Maintenance of Cabatangan River Revetment 2 Flood Control, Brgy. Dikildit, Maria Aurora, Aurora Brief Desc</t>
  </si>
  <si>
    <t xml:space="preserve"> Procurement ID/Contract I.D.: 20CN0150 Contract Name: Construction of Multi-Purpose Building Contract Location: Brgy. Dibaraybay, Dinalungan, Aurora Brief Description: Civil, Mechanical, Electrical, and Sanitary/Plumbing Works; Earthworks, Plain and Reinf</t>
  </si>
  <si>
    <t xml:space="preserve"> 1. The  Municipality  of   Laua-an,  Antique   intends  to  apply  the  sum   of One Million Two Hundred Thousand Two Hundred Forty Eight Pesos Only (Php1,200,248.00) being the Approved  Budget  for the  Contract  (ABC) to payments under the contract Purc</t>
  </si>
  <si>
    <t xml:space="preserve"> CONTRACT NO.: MPBRIS-LCB-08A-2019 LOCATION: Mainit RIS, Alangalang, Leyte SCOPE OF WORK: Construction of Canal System APPROVED BUDGET FOR CONTRACT: Php 1,642,033.01 CONTRACT DURATION: 150 calendar days Bidding will be conducted in accordance with relevant</t>
  </si>
  <si>
    <t xml:space="preserve"> Procurement ID/Contract I.D.: 20CN0152 Contract Name: Repair/Rehabilitation of Slope Protection along National Roads Contract Location: A. Castañeda – Ma. Aurora San Luis Road, K0226+375, K0202+850, Dimasalang Bridge Brief Description: Earthworks, Bridge </t>
  </si>
  <si>
    <t xml:space="preserve"> INSTALLATION OF RCPC AT CONTROLLED DUMPSITE LOCATED AT AGOS, BATO, CAM. SUR</t>
  </si>
  <si>
    <t xml:space="preserve"> STRUCTURE EXCAVATION (COMMON SOIL) STRUCTURAL CONCRETE FOR FOOTING TIE BEAM, COLUMN, SUSPENDED SLAB, GIRDER/BEAM (CLASS A) I BEAM STRUCTURAL STEEL PURLINS PREPAINTED METAL SHEET(RIB TYPE, SHORT/LONG SPAN, BELOW 0.47/ABOVE 0.47 THK) REINFORCING STEEL OF RE</t>
  </si>
  <si>
    <t xml:space="preserve"> a.CONTRACT  ID : ANTIPOLO-01JULY2020-03 b. NAME OF PROJECT : Construction of Stone Masonry Riverwall (Portion) Along Labahan Creek at Palemon Street, Crestview Subdivision, Brgy. Cupang, Antipolo City c. LOCATION : Brgy. Cupang, Antipolo City d. BRIEF DES</t>
  </si>
  <si>
    <t xml:space="preserve"> MOBILIZATION/ DEMOBILIZATION											 OCCUPATIONAL SAFETY &amp; HEALTH PROGRAM											 SCALDING TANK , FURNACE AND CHIMNEY											 BLOOD COLLECTING SINK/ TROUGH											 HOG RESTRAINER											 ELECTRIC HOG STUNNER											 CLEARING OF UNNECESSA</t>
  </si>
  <si>
    <t xml:space="preserve"> Republic of the Philippines Province of South Cotabato BIDS AND AWARDS COMMITTEE City of Koronadal  INF-ITB 20-028 INVITATION TO BID  1.	The Provincial Government of South Cotabato, through the PEO-8751 CA-2020-78-GF intends to apply the sum of          ₱</t>
  </si>
  <si>
    <t xml:space="preserve"> a.CONTRACT  ID : ANTIPOLO-01JULY2020-02 b. NAME OF PROJECT : Repair/Rehabilitation Works of Three (3) Storey Six (6) Rooms PLED Building at San Isidro National High School Brgy San Isidro, Antipolo City c. LOCATION : Brgy San Isidro, Antipolo City d. BRIE</t>
  </si>
  <si>
    <t xml:space="preserve"> Title:Supply and Delivery for the City Disaster Risk Reduction and Management Office (CDRRMO) under P.R.No. 0693-2020-Subject to Ordering Agreement Arrangement Total ABC: Php 699,660.00</t>
  </si>
  <si>
    <t xml:space="preserve"> Republic of the Philippines Province of Ilocos Sur MUNICIPALITY OF MAGSINGAL Office of the Bids and Awards    Committee   INVITATION TO BID The LGU – MAGSINGAL, through the Bids and Awards Committee (BAC), invites PhilGEPS registered suppliers/contractors</t>
  </si>
  <si>
    <t xml:space="preserve"> SUPPLY AND DELIVERY OF APPLIANCES AND OTHER EQUIPMENT FOR VARIOUS DEPARTMENTS/OFFICES OF THE CITY GOVERNMENT OF MAKATI  - Order of payment for Bid Docs will be available at GSD-Head Office @ 10th Floor Makati City Hall Bldg. 2.  Look for Mr. Reden Villanu</t>
  </si>
  <si>
    <t xml:space="preserve"> OUTSOURCING OF IMAGING SERVICES FOR VULNERABLE GROUPS THROUGH AN ORDERING AGREEMENT - Order of payment for Bid Docs will be available at GSD-Head Office @ 10th Floor Makati City Hall Bldg. 2.  Look for Mr. Reden Villanueva. - A complete set of Bidding Doc</t>
  </si>
  <si>
    <t xml:space="preserve"> Republic of the Philippines DEPARTMENT OF PUBLIC WORKS AND HIGHWAYS CAMARINES SUR 1st DISTRICT ENGINEERING OFFICE REGIONAL OFFICE V Baras, Canaman, Camarines Sur INVITATION TO BID 		FOR 20GFD0008 – Supply and Delivery of Materials for the Repair and Maint</t>
  </si>
  <si>
    <t xml:space="preserve"> Republika ng Pilipinas PAMAHALAANG LUNGSOD NG TACLOBAN (City Government of Tacloban) Kanhuraw Hill, Tacloban City 6500 BIDS AND AWARDS COMMITTEE INVITATION TO BID  REF #040-06-2020 (JUNE 11, 2020) PR# 2020-181 DATED 02-10-2020 7038486 The Procuring Entity</t>
  </si>
  <si>
    <t xml:space="preserve"> INVITATION TO BID FOR THE SUPPLY AND DELIVERY OF PIPELINE MATERIALS FOR THE 3rd Quarter and 4th Quarter Operation and Maintenance Requirement @ PS 9 Compound, Sito Maag, Penaplata, Samal District IGaCoS under Purchase Order No. 2020 -03- 097 1.	The IGaCoS</t>
  </si>
  <si>
    <t xml:space="preserve"> SUPPLY AND DELIVERY OF JANITORIAL AND CLEANING SUPPLIES FOR VARIOUS DEPARTMENTS/OFFICES IN THE CITY GOVERNMENT OF MAKATI - Order of payment for Bid Docs will be available at GSD-Head Office @ 10th Floor Makati City Hall Bldg. 2.  Look for Mr. Reden Villan</t>
  </si>
  <si>
    <t xml:space="preserve"> Invitation to Bid for the   CONSTRUCTION OF DRAINAGE CANAL along Magbanua Street The MUNICIPALITY OF ISULAN, through the MDRRM Fund 2020  intends to apply the sum of ONE MILLION FIVE HUNDRED NINE THOUSAND ONE HUNDRED FIFTY-FOUR PESOS AND 91/100 ONLY (PHP </t>
  </si>
  <si>
    <t xml:space="preserve"> a.CONTRACT  ID : ANTIPOLO-01JULY2020-01 b. NAME OF PROJECT : Construction of Stone Masonry Riverwall Along Creek at Antipolo Hills Subdivision, Brgy. San Luis, Antipolo City c. LOCATION : Brgy. San Luis, Antipolo City  d. BRIEF DESCRIPTION : Construction </t>
  </si>
  <si>
    <t xml:space="preserve"> Contract ID No.	: 20K00349     Contract Name	: Const. of By-Pass and Diversion Road Jct. CDO Talakag Road/ Macapagal Drive-Upper Carmen-Patag-Jct. BCIR/ Kauswagan, Cagayan de Oro City     Contract Location	: Cagayan de Oro City     Scope of Work	: Const. </t>
  </si>
  <si>
    <t xml:space="preserve"> The Roxas City Government, through the GOP-2020 intends to apply the total amount of Nine Hundred Seventy-One Thousand One Hundred Nine Pesos (Php 971,109.00) being the Aggregate Approved Budget for the Contract (ABC) to payments under the contract for Pu</t>
  </si>
  <si>
    <t xml:space="preserve"> Waterworks Materials to be used for raw materials for Organic Production</t>
  </si>
  <si>
    <t xml:space="preserve"> SOIL/ GEOTECHNICAL INVESTIGATION FOR THE PROPOSED CONSTRUCTION OF VARIOUS FLOOD CONTROL PROJECTS AND PROPOSED CONSTRUCTION OF BUILDING PROJECT WITHIN 5TH AND 6TH DISTRICT OF PANGASINAN</t>
  </si>
  <si>
    <t xml:space="preserve"> QTY	UNIT	ITEM DESCRIPTION 		  7,140.00 	cu.m.	Compacted Solid Waste (Garbage) Hauling &amp; Disposal to Contractor's Disposal Site</t>
  </si>
  <si>
    <t xml:space="preserve"> 15 units 26 watt LED Street Light, Installed in a 15ft Steel Pole with arm, hot-dipped galvanized, mounted on a galvanized stud w/ Bolt and stable concrete pedestal. -nothing follows- Other Information</t>
  </si>
  <si>
    <t xml:space="preserve"> a.CONTRACT  ID : ANTIPOLO-01JULY2020-09 b. NAME OF PROJECT : Improvement/ Replacement/ Repair/ Repainting at Various Schools, Brgy. Cupang, Antipolo City  (2020 – Package 20) a. Improvement of Portion of Perimeter Fence and Replacement of Steel Gate at Cu</t>
  </si>
  <si>
    <t xml:space="preserve"> INVITATION TO BID FOR THE SUPPLY AND DELIVERY OF PLUMBING FIXTURE &amp; FITTING MATERIALS FOR THE  3rd and 4th Quarter Operation and Maintenance Requirement  @ PS 9 Compound, Sito Maag, Penaplata, Samal District IGaCoS under Purchase Order No. 2020 -03- 094 1</t>
  </si>
  <si>
    <t xml:space="preserve"> a.CONTRACT  ID : ANTIPOLO-01JULY2020-08 b. NAME OF PROJECT : Repair/Repainting of School Canteen at Bagong Nayon II National Highschool - Annex, Brgy. San Isidro, Antipolo City c. LOCATION : Brgy. San Isidro, Antipolo City d. BRIEF DESCRIPTION : Repair/Re</t>
  </si>
  <si>
    <t xml:space="preserve"> SUPPLY AND DELIVERY OF GROCERY SUPPLIES FOR VARIOUS OFFICES OF THE CITY GOVERNMENT OF MAKATI - Order of payment for Bid Docs will be available at GSD-Head Office @ 10th Floor Makati City Hall Bldg. 2.  Look for Mr. Reden Villanueva. - A complete set of Bi</t>
  </si>
  <si>
    <t xml:space="preserve"> One (1) Unit Computer Desktop w/ complete accessories</t>
  </si>
  <si>
    <t xml:space="preserve"> INVITATION TO BID FOR  Procurement of Drugs and Medicines 1.	The Ospital ng Palawan, through its Trust Fund for CY 2020 intends to apply the sum of Five Million Seven Hundred Thirty-Eight Seven Hundred Thirty-Two Pesos and Fifty Cents (5,738,732.50) being</t>
  </si>
  <si>
    <t xml:space="preserve"> 1.	13     UNITS    	3 IN 1 PRINTER Specification: Function: print, scan, print Print type: inkjet printer With CISS Kit with accessories and ADF(Automatic Document Feeder) 2.	3 SETS DESKTOP COMPUTER WITH PRINTER intel core i3-4170 processor 1150, Processo</t>
  </si>
  <si>
    <t xml:space="preserve"> Supply and Delivery of Instructional Materials and Laboratory Supplies</t>
  </si>
  <si>
    <t xml:space="preserve"> Republic of the Philippines DEPARTMENT OF PUBLIC WORKS AND HIGHWAYS CAMARINES SUR 1st DISTRICT ENGINEERING OFFICE REGIONAL OFFICE V Baras, Canaman, Camarines Sur INVITATION TO BID 		FOR 20GFD0007 – Supply and Delivery of Materials for Repair and Maintenan</t>
  </si>
  <si>
    <t xml:space="preserve"> Supply and Delivery of Medical, Laboratory and Birthing Facility Supplies for the 1st and 2nd Quarter 2020 with an ABC of Php350,000.00 arranged in five (5) lots: LOT 1. Medicines (MOOE) = Php196,852.00 LOT 2. Laboratory Supplies (MOOE) = Php100,317.50 LO</t>
  </si>
  <si>
    <t xml:space="preserve"> a.CONTRACT  ID : ANTIPOLO-01JULY2020-05 b. NAME OF PROJECT : Concreting of Ilang-Ilang St. at Bermuda Heights Subd., Brgy. San Luis, Antipolo City c. LOCATION : Brgy. San Luis, Antipolo City d. BRIEF DESCRIPTION : Concreting of Road e. MAJOR ITEM OF WORKS</t>
  </si>
  <si>
    <t xml:space="preserve"> a.CONTRACT  ID : ANTIPOLO-01JULY2020-10 b. NAME OF PROJECT : Improvement of Covered Pathwalk at Bagong Nayon II Elementary School, Brgy. San Isidro, Antipolo City c. LOCATION : Brgy. San Isidro, Antipolo City d. BRIEF DESCRIPTION : Improvement of Covered </t>
  </si>
  <si>
    <t xml:space="preserve"> Available upon request xxxxxxxxxxxxxxxxxxxxx</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</si>
  <si>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</si>
  <si>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a.CONTRACT  ID : ANTIPOLO-01JULY2020-06 b. NAME OF PROJECT : Repair/ Improvement of Two(2) Storey, Four(4) Classrooms AUS-AID Building at Old Boso-Boso Elementary School, Sitio Boso-Boso Brgy. San Jose, Antipolo City c. LOCATION : Brgy. San Jose, Antipolo</t>
  </si>
  <si>
    <t xml:space="preserve"> Construction of Multi-Purpose Hall is funded thru the 2020 20% AIP DF Please be guided by the following schedule: 1. Submission of Letter of Intent - June 22-23, 2020 2. Eligibility Screening - June 25, 2020 3. Issuance and Availability of Bidding Documen</t>
  </si>
  <si>
    <t xml:space="preserve"> a.CONTRACT  ID : ANTIPOLO-01JULY2020-11 b. NAME OF PROJECT : Construction of Covered Pathwalk  and Repair/ Improvement of Sitio Hall at Brgy. San Jose, Antipolo City (2020 – Package 21) a. Construction of  Covered Pathwalk at Sen. L. Sumulong Circle (Besi</t>
  </si>
  <si>
    <t xml:space="preserve"> Livestocks for communal garden</t>
  </si>
  <si>
    <t xml:space="preserve"> Republic of the Philippines Province of Negros Occidental  Municipality of Ilog Invitation to bid for sale Amount: Php 5,000 Purchase of Multi-Purpose Vehicle for the use of Ilog Rural Health Unit. Ilog, Negros Occidental MULTI-PURPOSE VEHICLE (Four Wheel</t>
  </si>
  <si>
    <t xml:space="preserve"> a.CONTRACT  ID : ANTIPOLO-01JULY2020-15 b. NAME OF PROJECT : Construction of Drainage System Phase IV at Maguey Road, Barangay San Luis, Antipolo City c. LOCATION : Barangay San Luis, Antipolo City d. BRIEF DESCRIPTION : Construction of Drainage System e.</t>
  </si>
  <si>
    <t xml:space="preserve"> Specifications: Engine: F6A No. of Cylinders: 3 No. of CC: 660CC Tire Size: 12" Battery Size: NS40</t>
  </si>
  <si>
    <t xml:space="preserve"> I. REPAIR OF BASKETBALL BOARD 2 UNITS II. INSTALLATION OF BASKETBALL COURT LIGHTS 14. SETS III. REPAIR OF BASKETBALL STEEL FRAME 2 UNITS IV. PAINTING WORKS 1 LOT V. FORM WORKS/SCAFFOLDING 1 LOT</t>
  </si>
  <si>
    <t xml:space="preserve"> Contract ID No.	: 20K00351     Contract Name	: Const. of By-Pass and Diversion Roads, Claveria-Balingoan By-Pass Road, (Kabangasan-Mapua Section), Misamis Oriental     Contract Location	: Misamis Oriental     Scope of Work	: Const. of Conc. Road     Appro</t>
  </si>
  <si>
    <t xml:space="preserve"> Bid-Opening-June 30, 2020 at 2:00 p.m. at Municipal Conference Room</t>
  </si>
  <si>
    <t xml:space="preserve"> Republic of the Philippines Province of Negros Occidental Municipality of Ilog Invitation to bid for sale  Amount 500 Purchase of materials for the construction of Drainage Canal, Purok Kapitan Andres-Mabini, Barangay I, Pob. Ilog, Neg. Occ</t>
  </si>
  <si>
    <t xml:space="preserve"> a.CONTRACT  ID : ANTIPOLO-01JULY2020-13 b. NAME OF PROJECT : Construction of Foundation of Niches at City Public Cemetery No. 2, Sto. Niño St., Barangay San Jose, Antipolo  City c. LOCATION : Barangay San Jose, Antipolo  City d. BRIEF DESCRIPTION : Constr</t>
  </si>
  <si>
    <t xml:space="preserve"> Construction of 200 sq. meters solar dryer, 10 meters x 20 meters with a thickness of 0.15 meters class "A" concrete mixture semi smoothed finished dryer.</t>
  </si>
  <si>
    <t xml:space="preserve"> Invitation to Bid for the   CONSTRUCTION OF DRAINAGE CANAL along Panes-Laud Street The MUNICIPALITY OF ISULAN, through the MDRRM Fund 2020  intends to apply the sum of ONE MILLION FOUR HUNDRED TWENTY THOUSAND SIX HUNDRED EIGHTY-SIX PESOS AND 77/100 ONLY (</t>
  </si>
  <si>
    <t xml:space="preserve"> INVITATION TO BID 	 The Department of Public Works and Highways-Cebu 4th District Engineering Office, through its Bids and Awards Committee (BAC), invites contractors to submit bids for the Contract: 1.	Contract ID 		:	20HG0174 Contract Name           :  </t>
  </si>
  <si>
    <t xml:space="preserve"> Contract ID No.	: 20K00350     Contract Name	: Const. of By-Pass and Diversion Roads Cagayan de Oro Diversion Road, (Jct. Balubal Sayre Highway-Pueblo de Oro, CDO-Old Airport Road Diversion Road (Pueblo de Oro/ Jct. CDO-Old Airport Road), Phase II, Packag</t>
  </si>
  <si>
    <t xml:space="preserve"> a.CONTRACT  ID : ANTIPOLO-01JULY2020-20 b. NAME OF PROJECT : Dismantling / Transfer / Erection of Elevated Steel Tank from San Juan Water Service Multi - Purpose Cooperative (SJWSMC), Sitio Buntong Palay, Brgy. San Juan to Kaysakat National High School, B</t>
  </si>
  <si>
    <t xml:space="preserve"> Concreting of 320 meters length; 5 meters in width; 0.20 meters in thickness with one (1) line 910 mm dia. RCPC class "A" concrete mixtures.</t>
  </si>
  <si>
    <t xml:space="preserve"> The Bids and Awards Committee (BAC) of the BARANGAY BURABOD Castilla, Sorsogon invites qualified contractor’s to bid for the project: The Procurement process of the afore-mentioned projects will be conducted by this Bids and Awards Committee (BAC) in acco</t>
  </si>
  <si>
    <t xml:space="preserve"> a.CONTRACT  ID : ANTIPOLO-01JULY2020-04 b. NAME OF PROJECT : Concreting of Road 1 and Construction of Drainage Canal at Bayugo-Padi Heights Subd., Brgy. San Luis, Antipolo City c. LOCATION : Brgy. San Luis, Antipolo City d. BRIEF DESCRIPTION : Concreting </t>
  </si>
  <si>
    <t xml:space="preserve"> Republic of the Philippines  Province of Negros Occidental Municipality of Ilog Invitation to bid for sale Amount:Php 1000 Purchase of materials for the road concreting, Purok Santan, BRgy. Vista Alegre, Ilog, Neg. Occ.</t>
  </si>
  <si>
    <t xml:space="preserve"> a.CONTRACT  ID : ANTIPOLO-01JULY2020-18 b. NAME OF PROJECT : Repair/ Improvement of Two (2) Storey Six(6) Classrooms Sumulong Building at San Juan National High School, Brgy. San Juan, Antipolo City c. LOCATION : Brgy. San Juan, Antipolo City d. BRIEF DES</t>
  </si>
  <si>
    <t xml:space="preserve"> Subgrade Preparation, Aggregate Sub-base Course, PCCP Concrete Class ‘A’, Reinforcing Steel Bar, Forms and Scaffoldings Excavation for Structure</t>
  </si>
  <si>
    <t xml:space="preserve"> Republic of the Philippines Province of Negros Occidental Municipality of Ilog Invitation to bid for sale Amount:Php 1000</t>
  </si>
  <si>
    <t xml:space="preserve"> Republic of the Philippines Province of Negros Occidental Municipality of Ilog Invitation to bid for sale Amount:Php500  Purchase of materials for the concrete pavement BRgy. Balicotoc, Ilog, Neg. Occ.</t>
  </si>
  <si>
    <t xml:space="preserve"> Purchase of 20 units seafood stall.</t>
  </si>
  <si>
    <t xml:space="preserve"> a.CONTRACT  ID : ANTIPOLO-01JULY2020-19 b. NAME OF PROJECT : Construction of Material Recovery Facility (MRF) at Brgy. Calawis, Antipolo City c. LOCATION : Brgy. Calawis, Antipolo City d. BRIEF DESCRIPTION : Construction of Material Recovery Facility (MRF</t>
  </si>
  <si>
    <t xml:space="preserve"> Construction of 22m River Control</t>
  </si>
  <si>
    <t xml:space="preserve"> a.CONTRACT  ID : ANTIPOLO-01JULY2020-14 b. NAME OF PROJECT : Construction of Drainage System Phase III at Maguey Road, Barangay San Isidro, Antipolo City c. LOCATION : Barangay San Isidro, Antipolo City d. BRIEF DESCRIPTION : Construction of Drainage Syst</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</si>
  <si>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</si>
  <si>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1 unit	Vacuum Machine (Stand Type 485 Mml Brwn)	 	        ABC: Php 72,000.00/unit		 			 			 1 unit	Chiller/Freezer 4 Door, 1 Comp (Stand Up)	 	        ABC: Php 120,000.00/unit		 			 			 1 unit	Milling Machine: Capacity: 30-60kg/hr 	        ABC: Php 64,000</t>
  </si>
  <si>
    <t xml:space="preserve"> a.CONTRACT  ID : ANTIPOLO-01JULY2020-07 b. NAME OF PROJECT : Repair/ Repainting of Covered Court and Rewiring of School Building at Brgy. Sta. Cruz and Brgy. San Isidro, Antipolo City (2020 – Package 19) a. Repair/ Repainting of 17.0 m x 30.0 m Ynares Mul</t>
  </si>
  <si>
    <t xml:space="preserve"> Brgy. Calbani Maripipi Biliran Vertical Project</t>
  </si>
  <si>
    <t xml:space="preserve"> 20CSHN09 -Appraisal Services for Road-Right-of-Way Acquisition – Road Widening - Secondary Roads - Consolacion-Tayud-Liloan  Road - Chainage 1920 - Chainage 2823, Consolacion, Cebu Scope of Work		:	Appraisal Services</t>
  </si>
  <si>
    <t xml:space="preserve"> Procurement of Various Office and IT Equipment of Different Offices - LGU Laak, Davao De Oro with an ABC of Php. 251,271.00.</t>
  </si>
  <si>
    <t xml:space="preserve"> Title:Procurement of 3 unit Computer Desktop,etc. under P.R.No. 2173-2020-5% City Disaster Risk Reduction and Management Fund(Continuing). Total ABC: Php 2,100,000.00 For representative/s of interested bidders who wish to attend the Pre-Bidding Conference</t>
  </si>
  <si>
    <t xml:space="preserve"> PROJECT REFERENCE NO. CWD 24-2020 INVITATION TO BID FOR  Outsourcing of Ten (10) Personnel  to Perform the Distribution of Water Bills  within the Service Areas of the District (Rebidding) Item No.	Item Description	Qty.	Unit	Total Amount 1	Outsourcing of </t>
  </si>
  <si>
    <t xml:space="preserve"> REQUEST FOR QUOTATION 				 							Date:        June 1, 2020 							RFQ No.    DGPD20-003 							PR NO.      PD2003-12-084     To All Eligible Suppliers  Please quote your lowest price inclusive of VAT on the item/s listed below, subject to the Terms and C</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</si>
  <si>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</si>
  <si>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Republic of the Philippines Province of South Cotabato BIDS AND AWARDS COMMITTEE City of Koronadal  INF-ITB 20-029 INVITATION TO BID  1.	The Provincial Government of South Cotabato, through the PEO-8751 20% LDF (8.5.1) intends to apply the sum of         </t>
  </si>
  <si>
    <t xml:space="preserve"> Republic of the Philippines Province of South Cotabato BIDS AND AWARDS COMMITTEE City of Koronadal  INF-ITB 20-030 INVITATION TO BID  1.	The Provincial Government of South Cotabato, through the 1011-PGO Staff-P/P 1-07-04-990-8.D.1-M/BDP-Brgy Facilities, C</t>
  </si>
  <si>
    <t xml:space="preserve"> INVITATION TO BID 	 The Department of Public Works and Highways-Cebu 4th District Engineering Office, through its Bids and Awards Committee (BAC), invites contractors to submit bids for the Contract: 1.	Contract ID 		:	20HG0175 Contract Name           :  </t>
  </si>
  <si>
    <t xml:space="preserve"> a.CONTRACT  ID : ANTIPOLO-01JULY2020-21 b. NAME OF PROJECT : Improvement of Drainage Canal at Dela Paz St. (Portion), Brgy. Dela Paz, Antipolo City c. LOCATION : Brgy. Dela Paz, Antipolo City d. BRIEF DESCRIPTION : Improvement of Drainage Canal e. MAJOR I</t>
  </si>
  <si>
    <t xml:space="preserve"> CONSTRUCTION PROJECT</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</si>
  <si>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</si>
  <si>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Concreting of 160 meters length; 5 meters in width; 0.20 meters in thickness class "A" concrete mixtures.</t>
  </si>
  <si>
    <t xml:space="preserve"> Construction of Dike with a total length of 79.00 l.m. dimension are 0.60 x 1.00 m. Rubble concrete class "B" thickness was 0.40m. Footing dimension 0.70 x 1.00m.</t>
  </si>
  <si>
    <t xml:space="preserve"> 1.	     459     bags     40kg. Portland Cement 2.	     13       cu.m.    Washed Sand (338 sacks) 3.	      9        cu.m.     Washed Gravel (234 sacks) 4.	     2,745  pcs.        4”CHB 5.	     123     pcs.        10mmØ x 6m RSB 6.	     36       pcs.       </t>
  </si>
  <si>
    <t xml:space="preserve"> a.CONTRACT  ID : ANTIPOLO-01JULY2020-17 b. NAME OF PROJECT : Repair/ Repainting of Two (2) Storey, Six (6) Rooms Pled School Building 4 at Antipolo National High School, Brgy. Sta. Cruz, Antipolo City c. LOCATION : Brgy. Sta. Cruz, Antipolo City d. BRIEF </t>
  </si>
  <si>
    <t xml:space="preserve"> Republic of the Philippines Province of Ilocos Sur Vigan City INVITATION TO BID FOR  Tobacco Farmers/Cooperatives' Farm Mechanization and Post-Harvest Facility Assistance Project 1.	The Provincial Government of Ilocos Sur, through the CY 2020 Appropriatio</t>
  </si>
  <si>
    <t xml:space="preserve"> Rehabilitation of Multi-Purpose Hall (phase 2), located at Barangay Mallorga, Talalora, Samar The Barangay Victory Of Talalora, Samar through its Bids and Awards Committee (BAC), invites interested bidders to apply for eligibility and to bid for the hereu</t>
  </si>
  <si>
    <t xml:space="preserve"> Concreting of 0.44 lm. @ Sitio Cagbalod Road San Jose, Pilar</t>
  </si>
  <si>
    <t xml:space="preserve"> Republic of the Philippines Cordillera Administrative Region Province of Kalinga Municipality of Rizal BIDS AND AWARDS COMMITTEE INVITATION TO BID The Local Government Unit of Rizal, through its Bids and Awards Committee , invites contractors to submit bi</t>
  </si>
  <si>
    <t xml:space="preserve"> June 11, 2020 INVITATION TO BID The Barangay Lam-an of Ozamiz City, through its Bids and Awards Committee (BAC), invites suppliers/contractors to apply for eligibility and to bid for the hereunder projects: Item No.	1 Name of Project/Description &amp; Locatio</t>
  </si>
  <si>
    <t xml:space="preserve"> construction of 5.50m x 7.50m stage</t>
  </si>
  <si>
    <t xml:space="preserve"> Concreting of 200 meters length and 370 meters concrete pathway, 2 meters in width, 0.15 meter in thickness "class A".</t>
  </si>
  <si>
    <t xml:space="preserve"> Brgy. Trabugan Maripipi, Biliran Vertical project</t>
  </si>
  <si>
    <t xml:space="preserve"> Republic of the Philippines Province of Masbate MUNICIPALITY OF CATAINGAN BARANGAY CHIMENEA   			                                                                                               June 11, 2020 INVITATION TO APPLY FOR ELIGIBILITY AND TO BID Th</t>
  </si>
  <si>
    <t xml:space="preserve"> The works includes: construction of 40.0 In.m. concrete canal and plastering of   230In.m. existing canal. It also includes installation and replacement of 24”dia.   RCPC with grouted riprap headwalls, complete as per approved plans &amp; POW,</t>
  </si>
  <si>
    <t xml:space="preserve"> SPCL-I  -  Project Billboard    32.00   sq.ft. I -           Breaking of Existing Pavement   740.00    sq.m. II -          Embankment/Backfilling and Compaction   149.00  cu.m. III -         P.C.C.P. @ 0.127m thick   192 sq.m. Invitation to Bid  EMBANKMEN</t>
  </si>
  <si>
    <t xml:space="preserve"> Sub grade Preparation, Aggregate Sub-base Course</t>
  </si>
  <si>
    <t xml:space="preserve"> Retrofitting of Mauhang Bridge</t>
  </si>
  <si>
    <t xml:space="preserve"> Republic of the Philippines Province of Masbate MUNICIPALITY OF CATAINGAN BARANGAY DIVISORIA   			                                                                                              JUNE  11, 2020 INVITATION TO APPLY FOR ELIGIBILITY AND TO BID T</t>
  </si>
  <si>
    <t xml:space="preserve"> Concreting of 250 meters length; 3.6 meters in width; 0.15 meters in thickness class "A" concrete mixtures.</t>
  </si>
  <si>
    <t xml:space="preserve"> ROTARY COMPOSTER MACHINE</t>
  </si>
  <si>
    <t xml:space="preserve"> Republic of the Philippines City of Cadiz OFFICE OF THE CITY MAYOR DESIGN AND BUILD COMMITTEE CONCEPTUAL DESIGN Project Title	:  	Installation of Automatic Fire Sprinkler System (with Automatic Fire Detection, Automatic Fire Alarm, Water Tank, Pump House </t>
  </si>
  <si>
    <t xml:space="preserve"> Concreting of 210 meters length; 5 meters in width; 0.15 meters in thickness class "A" concrete mixtures.</t>
  </si>
  <si>
    <t xml:space="preserve"> Fabrication and Installation of 70 LM GI Pipe Guardrails</t>
  </si>
  <si>
    <t xml:space="preserve"> Purchase of 165 pails paint and 1,000 sacks cement.</t>
  </si>
  <si>
    <t xml:space="preserve"> 1.	2     UNIT     OVEN 4 PLATE 2.	4     UNIT     LPG TANK W/ CONTENT 3.	4     UNIT     ELECTRIC MIXER 4.	2     UNIT     STAINLESS STEEL TABLES(Processing Area) 5.	2     UNIT     STAINLESS STEEL TABLES(Packaging Area) 6.	2     UNIT     IMPULSE SEALER(FS 30</t>
  </si>
  <si>
    <t xml:space="preserve"> a.CONTRACT  ID : ANTIPOLO-01JULY2020-16 b. NAME OF PROJECT : Repair/ Repainting of Various School Buildings at Brgy. Sta. Cruz, Antipolo City (2020 – Package 22) a. Repair/ Repainting of Two (2) Storey, Four (4) Rooms PLED School Building 3 at Antipolo Na</t>
  </si>
  <si>
    <t xml:space="preserve"> Republic of the Philippines Province of Negros Occidental  Municipality of Ilog Invitation to bid for sale Amount Php 1000 Purchase of materials for the construction of drainage canal, Barangay Dancalan, Ilog, neg. Occ.</t>
  </si>
  <si>
    <t xml:space="preserve"> Location				: Opol, Misamis Oriental	 Total Approved Budget for the  Contract (ABC)	: Nine Hundred Ninety Nine Thousand Nine Hundred Ninety Eight Pesos and 80/100 Only (Php 999,998.80) Delivery Period				: 30 Calendar Days</t>
  </si>
  <si>
    <t xml:space="preserve"> Concreting of 130 meters length; 2 meters in width; 0.15 meters in thickness class "A" concrete mixtures.</t>
  </si>
  <si>
    <t xml:space="preserve"> INVITATION TO BID (CW-06-2020-018) The Department of Public Works and Highways (DPWH)-Batangas IV District Engineering Office, Marawoy, Lipa City, Batangas, through its Bids and Awards Committee (BAC), invites contractors to bid for the contract listed be</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</si>
  <si>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</si>
  <si>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Republic of the Philippines PROVINCE OF AGUSAN DEL SUR Bids and Awards Committee Gov. Democrito O. Plaza Government Center, Prosperidad Invitation to Bid for Improvement of All Nurses Station 1.	The Provincial Government of Agusan del Sur through the Gene</t>
  </si>
  <si>
    <t xml:space="preserve"> Republic of the Philippines PROVINCE OF AGUSAN DEL SUR Bids and Awards Committee Gov. Democrito O. Plaza Government Center, Prosperidad Invitation to Bid for Rehabilitation/Improvement of EMCH Building Phase II for Non-COVID-19 Patients 1.	The Provincial </t>
  </si>
  <si>
    <t xml:space="preserve"> The Roxas City Government, through the GOP-2020 intends to apply the  amount of Ninety-nine Thousand Nine Hundred Ninety-two Pesos (PhP 99,992.00) being the Approved Budget for the Contract (ABC) to payments under the contract for Public Bidding for the S</t>
  </si>
  <si>
    <t xml:space="preserve"> Concreting of 161.4m x 5m x 0.15m Barangay Road</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</si>
  <si>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</si>
  <si>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Education-PAULINO R. REOMERO		 1	20	pcs	1/4" Marine Plywood 4' x 8', class AAA	 2	1	pcs	3/4"thk Marine plywood 4' x 8'	 3	1	pcs	 Clear glass 5mm thk x 1m x 1.5m	 4	3	pairs	Loose pin hinges, 3 x 4, stanley	 5	6	gal	Premium Wood Primer	 6	7	gal	Premium wate</t>
  </si>
  <si>
    <t xml:space="preserve"> FOR SALE	 Lot 	Amount 1	P 150.00 2	P 300.00 3	P 300.00 4	P 150.00 5	P 150.00 6	P 150.00 7	P 150.00 8	P 150.00 9	P 1,500.00 Republic of the Philippines												 City of San Carlos												 Negros Occidental												 												 			INVITATION TO B</t>
  </si>
  <si>
    <t xml:space="preserve"> Desilting of River with a total length of 601 l.m. total area of river to be dessilted 9,854.19m &amp; total volume of 4,622.06 cu.m. height of cmt 0.48m.</t>
  </si>
  <si>
    <t xml:space="preserve"> IMPROVEMENT OF WATER SYSTEM 1.   The Barangay Council of Libertad, Nabas, Aklan through its local budget approved by the Sanggunian, intends to apply the sum of One Hundred Ten Thousand Pesos and 00/100 only (P 110,000.00), being the Approved Budget for t</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</si>
  <si>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</si>
  <si>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Republic of the Philippines PROVINCE OF AGUSAN DEL SUR Bids and Awards Committee Gov. Democrito O. Plaza Government Center, Prosperidad Invitation to Bid for Concreting of NRJ (Rosario) Poblacion-Novele-Sta. Cruz Circumferential Road 1.	The Provincial Gov</t>
  </si>
  <si>
    <t xml:space="preserve"> 303	cases	Powdered Milk 700kg x 12 125	bags.	Biscuit Cracker 24g x 15 3622	kls.	Brown Sugar (1/2 kl)</t>
  </si>
  <si>
    <t xml:space="preserve"> QUANTITY	UNIT	ARTICLES				 		GRADE 3				 5220	pieces	Back Pack Bag, Customized (See attached design)				 5220	pads	Pad Paper (Grade 3)				 20880	pieces	Writing Notebook 				 5220	pieces	Pen, Red				 5220	pieces	Pen, Black				 		***END***</t>
  </si>
  <si>
    <t xml:space="preserve"> QUANTITY	UNIT	ARTICLES				 		GRADE 1				 6500	pieces	Back Pack Bag, Customized (See attached design)				 6500	pads	Pad Paper (Grade 1)				 6500	pieces	Pencil #2				 6500	packs	Crayons, Single				 26000	pieces	Writing Notebook				 		***END***</t>
  </si>
  <si>
    <t xml:space="preserve"> QUANTITY	UNIT	ARTICLES				 		GRADE 2				 6350	pieces	Back Pack Bag, Customized (See attached design)				 6350	pads	Pad Paper (Grade 2)				 6350	pieces	Pencil #2				 6350	packs	Crayons, Single				 25400	pieces	Writing Notebook				 		***END***</t>
  </si>
  <si>
    <t xml:space="preserve"> 1	LOT	Supply, delivery and installation of equipment, instruments and software for the research project entitled “Improving Productivity of Philippine Carabao Mango through Introduction of Smart Farming Technologies in Plant Water Relation Manipulation”		</t>
  </si>
  <si>
    <t xml:space="preserve"> The Municipality of San Quintin Abra now invites bids for the CONSTRUCTION OF FARM TO MARKET ROAD AT ZONE II; ITEM DESCRIPTION UNIT QUANTITY 100(1) CLEARING &amp; GRUBBING with STRIPPING sq.m. 650.00 102(2)a. ROADWAY EXCAVATION (SURPLUS COMMON) cu.m. 320.00 1</t>
  </si>
  <si>
    <t xml:space="preserve"> Project consist of clearing &amp; grubbing with an area of 2,468.13 m2. Creek excavation volume of 1,914 m3. It includes the hauling and proper disposal of excavated materials. Construction safety and health during the work.</t>
  </si>
  <si>
    <t xml:space="preserve"> QUANTITY	UNIT	ARTICLES				 		JUNIOR / SENIOR HIGH SCHOOL				 14200	pcs	Binder Notebook				 		*****END*****</t>
  </si>
  <si>
    <t xml:space="preserve"> CONSTRUCTION OF 4 UNITS COLUMNS WITH FOOTING COMPLETE ROOF FRAMING AND ROOFING SYSTEM INIDICATED IN THE PLAN WITH FASCIA BOARD.</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</si>
  <si>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</si>
  <si>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Lot 1	1	unit	ABC=708,400.00 			"Stereomicroscopic with camera system:                  A. Stereoscope 			     - Zoom Ratio: 7.5:1 			     - Zoom Range: 0.67x - 5x 			     - Magnification: 13.4x - 100x 			     - Eyepiece: 20x, Field no. 12.5 			     - Eyep</t>
  </si>
  <si>
    <t xml:space="preserve"> Repair/Maintenance of Bridge Revetment</t>
  </si>
  <si>
    <t xml:space="preserve"> The Roxas City Government, through the GOP-2020 intends to apply the total amount of Seventy Thousand Pesos (PhP 70,000.00) being the Approved Budget for the Contract (ABC) to payments under the contract for Public Bidding for the Supply and Delivery of D</t>
  </si>
  <si>
    <t xml:space="preserve"> The Roxas City Government, through the GOP-2020 intends to apply the total amount of One Hundred Seventy-Two Thousand Pesos (PhP 172,000.00) being the Approved Budget for the Contract (ABC) to payments under the contract for Public Bidding for the Supply </t>
  </si>
  <si>
    <t xml:space="preserve"> INVITATION TO BID FOR THE FURNISHING OF LABOR AND MATERIALS FOR THE CONSTRUCTION/REHABILITATION OF LOCAL ROAD OF BARANGAY BAGUINGIN, TIGBAUAN, ILOILO</t>
  </si>
  <si>
    <t xml:space="preserve"> QUANTITY	UNIT	ARTICLES				 		KINDER				 5600	pieces	Back Pack Bag, Customized (See attached design)				 5600	pieces	Pencil, Jumbo, Black				 5600	packs	Crayons, So Big				 5600	pads	Pad Paper (Grade 1)				 		***END***</t>
  </si>
  <si>
    <t xml:space="preserve"> 1. The Municipality of San Quintin, Abra now invites bids for the Purchase and installation of Solar Power System with a technical SPEC: • Model Type :SOLAR 5000TLM • Rating :5Kw • Topology : Transformerless  • Number of Independent MPPT : 2 • Maximum Inp</t>
  </si>
  <si>
    <t xml:space="preserve"> Interested bidders are requested to be pre-qualified to bid fr the supply of materials to be delivered onsite.</t>
  </si>
  <si>
    <t xml:space="preserve"> QUANTITY	UNIT	ARTICLES				 		GRADE 6				 6150	pieces	Back Pack Bag, Customized (See attached design)				 6150	pads	Intermediate Pad Paper				 24600	pieces	Composition Notebook 				 6150	pieces	Pen, Red				 6150	pieces	Pen, Black				 		***END***</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</si>
  <si>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</si>
  <si>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unit	1	Steel Portable/ Movable Smoke House, Vertical Offset Charcoal Smoker, 50.2'' H x 43.3'' W x 21'' D Cooking Area :1890 square inches Cooking Area Width 22.5'' Cooking Area Depth 14''	 unit	1	"Electric Food Meat Slicer 10""inch MEAT SLICER Semi-Autom</t>
  </si>
  <si>
    <t xml:space="preserve"> ONE (1) UNIT 3 TONER FLOOR MOUNTED INVERTER AIR CONDITION WITH ACCESSORIES INCLUDING POWER SUPPLY AND INSTALLATION.</t>
  </si>
  <si>
    <t xml:space="preserve"> QUANTITY	UNIT	ARTICLES				 		JUNIOR / SENIOR HIGH SCHOOL				 15000	pieces	Back Pack Bag, Customized (See attached design)				 14200	pieces	Pen, Red				 14200	pieces	Pen, Black				 		***END***</t>
  </si>
  <si>
    <t xml:space="preserve"> The Roxas City Government, through the GOP-2020 intends to apply the total amount of Six Million Eight Hundred Seventy Five Thousand Pesos (PhP 6,875,000.00) being the Approved Budget for the Contract (ABC) to payments under the contract for Public Biddin</t>
  </si>
  <si>
    <t xml:space="preserve"> Republic of the Philippines Province of Abra MUNICIPALITY OF LUBA Invitation to Bid for  PROCUREMENT OF COMMON-USED OFFICE SUPPLIES Contract Number: 2020-21 1.	The MUNICIPALITY OF LUBA, through the GENERAL FUND intends to apply the sum of Php. 750,000.00 </t>
  </si>
  <si>
    <t xml:space="preserve"> QUANTITY	UNIT	ARTICLES				 		GRADE 5				 6130	pieces	Back Pack Bag, Customized (See attached design)				 6130	pads	Intermediate Pad Paper				 24520	pieces	Composition Notebook 				 6130	pieces	Pen, Red				 6130	pieces	Pen, Black				 		***END***</t>
  </si>
  <si>
    <t xml:space="preserve"> CID No. 20IC0076:  Const. of Rain Water Collection System (RWCS) at Twenty Two (22) Various School Locations in Alangalang, Babatngon, San Miguel, Sta. Fe, Tanauan, Tolosa and Palo, Leyte;  ABC: P4,378,687.50; 90 CD ACTIVITY	TIME	PLACE 1.  Issuance/Downlo</t>
  </si>
  <si>
    <t xml:space="preserve"> please download the ITB and its other supporting documents in the associated component</t>
  </si>
  <si>
    <t xml:space="preserve"> QUANTITY	UNIT	ARTICLES				 		GRADE 4				 5640	pieces	Back Pack Bag, Customized (See attached design)				 5640	pads	Pad Paper (Grade 4)				 22560	pieces	Composition Notebook 				 5640	pieces	Pen, Red				 5640	pieces	Pen, Black				 		***END***</t>
  </si>
  <si>
    <t xml:space="preserve"> 1.	The OFFICE OF CIVIL DEFENSE, through the OCD Quick Response Fund 2019 – Capital Outlay (Continuing Appropriation), intends to apply the sum of Twenty Three Million, One Hundred Seventy Four Thousand, Thirty Three and 92/100 Pesos (PHP23,174,033.92), be</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</si>
  <si>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</si>
  <si>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Procurement of Food Supplies</t>
  </si>
  <si>
    <t xml:space="preserve"> REPUBLIC OF THE PHILIPPINES  DEPARTMENT OF SOCIAL WELFARE AND DEVELOPMENT MIMAROPA REGION 1680 F. T Benitez cor Malvar Sts. Malate, Manila INVITATION TO BID FOR SUPPLY AND DELIVERY OF FOOD ITEMS (NUTRIPACKS) FOR THE IMPLEMENTATION OF SUPPLEMENTARY FEEDING</t>
  </si>
  <si>
    <t xml:space="preserve"> Specifications can be viewed online by clicking the "Associated Components" section on this ITB. The Local Government Unit-Municipality of Malinao, Aklan through the Bids and Awards Committee, intends to apply the sum of Two Hundred Ninety Eight Thousand </t>
  </si>
  <si>
    <t xml:space="preserve"> Subgrade Preparation, Aggregate Sub-base Course Portland Cement Concrete Pavement (PCCP) Embankment</t>
  </si>
  <si>
    <t xml:space="preserve"> 10   Box   Carbamazepine 200 mg. /Tab. (100/box) 10   Box   Chlorpromazine 100 mg tab (100/box) 10   Box   Clozapine 100 mg/tab (100 tabs/box) 10   Box   Diphenhydramine 50 mg/ Cap. (100/box) 4     Box   Haloperidol , 5 mg tab (100/box) 2     Amp   Halope</t>
  </si>
  <si>
    <t xml:space="preserve"> 1	UNIT	Car Vehicle 	 	Grade:1.3 J,Transmission:5-Speed M/T 	 	DIMENSION AND WEIGHT 	 	  Overall LengthxWidthx height-4,190mmx1,660mmx1,695mm 	 	Wheelbase-2,655mm, Tread *Front/Rear-1,425mm*1,435mm 	 	Min.Ground Clearance * Without Axle-200mm 	 	Min. Groun</t>
  </si>
  <si>
    <t xml:space="preserve"> Construction of concrete revetment with a total length of 80 l.m. footing of 1.00 x 2.63, rubble thickness of 0.30m &amp; headwall of 0.50 x 0.60 m.</t>
  </si>
  <si>
    <t xml:space="preserve"> National Power Corporation INVITATION TO BID PUBLIC BIDDING 2020-0113 1.	The NATIONAL POWER CORPORATION (NPC), through       its        approved       Corporate Budget of CY 2020 intends to apply   the   sum   of (Please see schedule below) being the Appr</t>
  </si>
  <si>
    <t xml:space="preserve"> REPAIR/MAINTENANCE OF DPWH BUILDINGS Contract Location:                   a.) Multi-Purpose Building, Zone 7, Bangued, Abra                                               b.) Canteen, Zone 7, Bangued, Abra  Brief Description:                    Repair/Main</t>
  </si>
  <si>
    <t xml:space="preserve"> Specifications can be viewed online by clicking the "Associated Components" section on this ITB. The Local Government Unit-Municipality of Malinao, Aklan through the Bids and Awards Committee, intends to apply the sum of Six Hundred Ninety Four Thousand F</t>
  </si>
  <si>
    <t xml:space="preserve"> Brgy. Ermita Maripipi Biliran VERTICAL PROJECT</t>
  </si>
  <si>
    <t xml:space="preserve"> Water Source (spring); Installation of Water Pumping System 1- (Pumping Station 1.6m x 1.6m); Installation of Transformer with complete accessories; Construction of One (1) Intake box; Installation of Pipes and Fittings; Installation of Overhead Tank (con</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</si>
  <si>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</si>
  <si>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Qty	Unit	Unit of Issue 		Youth Summit 108	cover	Snacks (a.m.) (Siopao&amp; Zest-O) 108	Cover	Lunch (Ampalaya/Fried Chicken/Pork Steak/Rice/Water 108	Cover	Snacks (p.m.) (Torta&amp; C2) 		Children’s Month Celebration (Nov. 2020) 290	Cover	Snacks (a.m.) (Moron &amp; C2</t>
  </si>
  <si>
    <t xml:space="preserve"> ITEM: 45   Pcs   Drum Size Styrofoam 2       Rolls    V-Net 750   Rolls   Ukay-Ukay Rope 22mm 90     Sacs    Cement 15    Kgs    Mono Nylon 450   Pcs    Habong (palwa with lukay, buli)</t>
  </si>
  <si>
    <t xml:space="preserve"> Republic of the Philippines DEPARTMENTOF SOCIAL WELFARE AND DEVELOPMENT Regional  Office No. 10, Masterson Avenue, Upper Carmen, Cagayan de Oro City INVITATION TO BID FOR REBIDDING OF SECURITY SERVICES FOR DSWD REGION 10 OFFICE, CENTERS AND SUB OFFICES 20</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</si>
  <si>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</si>
  <si>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National Power Corporation INVITATION TO BID PUBLIC BIDDING 2020-0106 1.	The NATIONAL POWER CORPORATION (NPC), through       its        approved       Corporate Budget of CY 2020 intends to apply   the   sum   of (Please see schedule below) being the Appr</t>
  </si>
  <si>
    <t xml:space="preserve"> Purchase of Medical Equipment Maripipi, Biliran</t>
  </si>
  <si>
    <t xml:space="preserve"> Installation of CFS, 1 Layer on Span 1,2,4 of Main Member 1 - 4; Span of Main Member 1 - 3; Installation of CFP on Span 1 – 4 of Main Member 1 - 4</t>
  </si>
  <si>
    <t xml:space="preserve"> 150    Pcs   Acetylcysteine 600 mg sachet 150    Pcs   Acetylcysteine 200 mg sachet 3    Box   Al-MgOH tab. (200/100) 100/box 72   Bot   Amoxycillin 250 mg/5 susp.60ml./bot.flav. w/ box 18   Box   Amoxycillin 500 mg cap. Blister 100/box 10   Box   Amlodep</t>
  </si>
  <si>
    <t xml:space="preserve"> Reconstruction of box culvert from double barrel to singke barrel box culvert. Construction of slope protection with total length of 40 l.m.</t>
  </si>
  <si>
    <t xml:space="preserve"> Purchase of 1 unit Solvent recovery unit, 10 l/h. 230 V, 50-60 Hz, 2 units Heavy duty universal core drilling machine, three speeds motor 230 zv, 50-60 Hz, 6 pcs Coring 100mmx200mm Bit, 6 pcs Coring Bit 100mmx400mm, 1 unit Vibration hammer for soil and as</t>
  </si>
  <si>
    <t xml:space="preserve"> Republic of the Philippines Province of Abra MUNICIPALITY OF LUBA Invitation to Bid for  PROCUREMENT OF OFFICE EQUIPMENT Contract Number: 2020-22 1.	The MUNICIPALITY OF LUBA, through the GENERAL FUND intends to apply the sum of Php. 240,000.00 being the A</t>
  </si>
  <si>
    <t xml:space="preserve"> The Roxas City Government, through the GOP-2020 intends to apply the amount of One Million Three Hundred Twenty Thousand Pesos (PhP 1,320,000.00) being the Approved Budget for the Contract (ABC) to payments under the contract for Public Bidding for the Su</t>
  </si>
  <si>
    <t xml:space="preserve"> Water Source (drilling); Installation of Water Pumping System 1- (Pumping Station 1.6m x 1.6m), Installation of Overhead Tank (concrete) (2.5x2.5x2.5)M – 3MHT.; Installation of 1 Transformer with complete accessories; Installation of Pipes and Fittings</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</si>
  <si>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</si>
  <si>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Item No.	Unit	Description	Qty 1	Lot	Catering Services of OG3, PA (Attached is the Terms and Conditions)	1 * * * * * * * * * * * * * * * * * * * * * * * * NOTHING FOLLOWS * * * * * * * * * * * * * * * * * * * * * * * *</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</si>
  <si>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</si>
  <si>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</si>
  <si>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1 lot 2020-056, CONSTRUCTION OF COVERED COURT AT SITIO BULOD, BARANGAY TUGAL, MIDSAYAP, COTABATO</t>
  </si>
  <si>
    <t xml:space="preserve"> 1 Unit Rescue Van Diesel Engine Type: 4 cylinder Engine Euro 4: 2494cc 5 speed manual transmission Republic of the Philippines Province of Batangas MUNICIPALITY OF MALVAR Office of the Municipal Mayor SECTION I INVITATION TO BID  FOR ACQUISITION OF MOTOR </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</si>
  <si>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</si>
  <si>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Purchase of Food Assistance !5 Barangay's Maripipi, Biliran</t>
  </si>
  <si>
    <t xml:space="preserve"> 1	unit	Refrigerator (inverter type), side by side ( 912x1780x738, whd) 4	unit	Freezer (Chest type/vertical) 6	unit	Split type aircon inverter 1Hp, AH-XS10UF 2	unit	Dehumidifier</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</si>
  <si>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</si>
  <si>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INVITATION TO BID No. IB-2020-VI-30-06 The Municipality of Sibalom through its Bids &amp; Awards Committee (BAC), invites bidders/contractors to apply for eligibility and to bid for the hereunder project: Project           	 	:	 Construction of Barangay Healt</t>
  </si>
  <si>
    <t xml:space="preserve"> 60,000	pcs	Cacao seedlings, grafted 1,440	pcs	Calamansi, budded 2,200	pcs	Black pepper seedlings 560	        pcs	Pomelo, budded 400	        kg	Corn Seeds, 1kg foil bag 20	        bag	Pechay 80	        can	Ampalaya 120	        bag	Pole Sitao 160	        ca</t>
  </si>
  <si>
    <t xml:space="preserve"> Manpower Requirement			 I	I.1 SEC-Head Office	Janitor	13	Immediately upon  contract implementation 		Hauler	15	 		Electrician	1	 		Telephone Technician	1	 		Carpenter/Plumber	1	 		Driver	2	 		Supervisor	1	 	I.2  SEC-Legazpi Ext. Office	Janitors  	2	 	I.3 </t>
  </si>
  <si>
    <t xml:space="preserve"> The Philippine Carabao Center at USM through its Bids and Awards Committee (BAC) invites PhilGEPS registered suppliers to apply to bid for the Supply and Delivery of Fuels/Fuel Additives &amp; Lubricants &amp; Anti-Corrosive. Diesel 5500 ltrs Gasoline 350 ltrs Lu</t>
  </si>
  <si>
    <t xml:space="preserve"> INVITATION TO BID No. IB-2020-VI-30-05 The Municipality of Sibalom through its Bids &amp; Awards Committee (BAC), invites bidders/contractors to apply for eligibility and to bid for the hereunder project: Project           	 	:	 Construction of Barangay Healt</t>
  </si>
  <si>
    <t xml:space="preserve"> Facilities for Engineer, Other General Requirements, Earthworks, Subbase and Base Course, Surface Courses, Drainage and slope Protection Structures, Miscellaneous Structures</t>
  </si>
  <si>
    <t xml:space="preserve"> INVITATION TO BID The City of Bayawan, through its Bids and Awards Committee (BAC), invites suppliers/manufacturers/distributors/contractors to bid for the hereunder projects: 	Lot No. I		Tarpaulin Printing					 1	1	lot	"Labor and Materials ( Tarpaulin Pr</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</si>
  <si>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</si>
  <si>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1 lot 2020-055, CONSTRUCTION OF DAY CARE CENTER HALL AT LOMOPOG, MIDSAYAP, COTABATO</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</si>
  <si>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</si>
  <si>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CONSTRUCTION OF SLOPE PROTECTION</t>
  </si>
  <si>
    <t xml:space="preserve"> INVITATION TO BID No. IB-2020-VI-30-04 The Municipality of Sibalom through its Bids &amp; Awards Committee (BAC), invites bidders/contractors to apply for eligibility and to bid for the hereunder project: Project           	 	:	 Traffic Sign with Stand (SITMO</t>
  </si>
  <si>
    <t xml:space="preserve"> Republic of the Philippines CITY GOVERNMENT OF LA CARLOTA BIDS AND AWARDS COMMITTEE OFFICE TEL. NO.  735-1370                                                                                                      	               	         INVITATION TO BID </t>
  </si>
  <si>
    <t xml:space="preserve"> The University of the Philippines Baguio, through the Corporate Budget for the contract approved by the governing Board intends to apply the sum of One Million One Hundred Thousand Pesos (PhP 1,100,000.00) being the Approved Budget for the Contract (ABC) </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</si>
  <si>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</si>
  <si>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INVITATION TO BID No. IB-2020-VI-30-02 The Municipality of Sibalom through its Bids &amp; Awards Committee (BAC), invites bidders/contractors to apply for eligibility and to bid for the hereunder project: Project           	 		:	Construction Materials (Tordes</t>
  </si>
  <si>
    <t xml:space="preserve"> as per BSP Technical Specifications</t>
  </si>
  <si>
    <t xml:space="preserve"> Republic of the Philippines                   Department of Health	       CENTRAL OFFICE BIDS AND AWARDS COMMITTEE  INVITATION TO BID FOR THE  PROCUREMENT FOR THE RENEWAL OF DOH BLADE CHASSIS AND BLADE SERVERS MAINTENANCE AGREEMENT – REBID  IB NO. 2020-04</t>
  </si>
  <si>
    <t xml:space="preserve"> INVITATION TO BID No. IB-2020-VI-30-03 The Municipality of Sibalom through its Bids &amp; Awards Committee (BAC), invites bidders/contractors to apply for eligibility and to bid for the hereunder project: Project           	 	:	 Farm to Market Road (Various B</t>
  </si>
  <si>
    <t xml:space="preserve"> 200,000   pcs  Washable Face Mask --------------------------------------------------------------------------------------------------------------------------- Bids received in excess of the ABC shall be automatically rejected during the bid opening. The bi</t>
  </si>
  <si>
    <t xml:space="preserve"> 2149	bags	Urea Fertilizer 2329	bags	Complete Fertilizer 6840	bags	Chicken Manure (50kg/bag) 96	pcs	Insecticide 80	pcs	Fungicide ----------------------------------------------------------------------------------------------------------------------------- B</t>
  </si>
  <si>
    <t xml:space="preserve"> PL - NB BALDO 1 unit Generator (Dynamo 10 KVA) _ Kubato Diesel Engine, RT 140 14Hp, water cooled, direct injection, with tools, manual, stub shaft coupled with dynamo 2 units Heavy duty distribution transformer (20 KVA) rewiring and installation</t>
  </si>
  <si>
    <t xml:space="preserve"> Purchase of Medicine</t>
  </si>
  <si>
    <t xml:space="preserve"> Item No.	Unit	Description	Qty 1	gals	Sanding sealer	24 2	gals	PU to coat	24 3	gals	PU reducer	24 4	gals	Lacquer thinner	17 5	gals	Automatic yellow	4 6	gals	Automotic black	3 7	gals	Polituff / hardener	4 8	ltrs	Pulatite	12 9	mtrs	Sand paper #120	10 10	mtrs</t>
  </si>
  <si>
    <t xml:space="preserve"> INVITATION TO BID PROVISION OF MEALS AND DRINKING WATER FOR PROJECT SAGIP BATANG SOLVENT (PSBS)  Bid Ref. No. 2020-18 1.	The Philippine Drug Enforcement Agency (PDEA), thru its Bids and Awards Committee (BAC), intends to apply the following sum being the </t>
  </si>
  <si>
    <t xml:space="preserve"> I.	WORKSCOPE Based on the requirements of SEC Public Reference Unit (PRU), below are the scopes of work which Service Provider will provide: 1.	Five (5) units of printer with speed of at least 75 ppm, A4 images, to be deployed as primary printer 2.	Seven </t>
  </si>
  <si>
    <t xml:space="preserve"> Poblacion Maripipi, Biliran Horizontal Project</t>
  </si>
  <si>
    <t xml:space="preserve"> Water Source (drilling); Installation of Water Pumping System 1- (Pumping Station 1.6m x 1.6m), (Well Drilling 8dia. Borehole x 90m depth); Installation of Overhead Tank (concrete) (3.0x3.0x3.0)M – 3MHT.; Installation of 1 Transformer with complete access</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</si>
  <si>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</si>
  <si>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Name of Contract: Concreting of Pal-ew-Sto. Niño Road, Barangay Pal-ew (Additional Allocation) and Concreting of Sto. Niño-Pal-ew Road, Barangay Sto. Niño (Additional Allocation) IAC Classification: Small "B" for Roads PCAB Category "D" Duration: 90 Calen</t>
  </si>
  <si>
    <t xml:space="preserve"> Water Source (spring); Installation of Overhead Tank (concrete) (2.5x2.5x2.5)M – 3MHT; Installation of Pipes and Fittings</t>
  </si>
  <si>
    <t xml:space="preserve"> Item No.	Unit	Description	Qty 1	pcs	Glow Plug	4 2	set	Brake pad Front	1 3	set	Brake Shoe (rear)	1 4	ea	Pressure Plate	1 5	ea	Cluth Disc	1 6	ea	Release Bearing	1 7	pcs	Tie Rod End (L &amp; R)	2 8	pcs	Rack End (L &amp; R)	2 9	pcs	Ball Joint (L &amp; R)	2 10	pcs	Axle Be</t>
  </si>
  <si>
    <t xml:space="preserve"> Supply of Labor and Materials for Rehabilitation / Restoration of Kalayaan Hall Exterior</t>
  </si>
  <si>
    <t xml:space="preserve"> Project Description: Construction of 380m x 6m Item No. - Description				Percent of Total	Unit	Quantity 						 						 I	BILLBOARDS/SIGNAGES			0.07%	lot	1.00 II	 CLEARING AND GRUBBING 			2.99%	sq.m	2,660.00 III	 EMBANKMENT 			22.85%	cu.m	2,432.00 IV	 AGGRE</t>
  </si>
  <si>
    <t xml:space="preserve"> See attached</t>
  </si>
  <si>
    <t xml:space="preserve"> Republic of the Philippines Province of Lanao del Norte Municipality of Tubod OFFICE OF THE BIDS AND AWARDS COMMITTEE INVITATION TO BID CONSTRUCTION/CONCRETING OF 270 LN. M. LOCAL ACCESS ROAD   Purok 5, TCES, Poblacion, Tubod, Lanao del Norte  (ITB-2020-J</t>
  </si>
  <si>
    <t xml:space="preserve"> Kindly see attached documents</t>
  </si>
  <si>
    <t xml:space="preserve"> INVITATION TO BID No. IB-2020-VI-30-07 The Municipality of Sibalom through its Bids &amp; Awards Committee (BAC), invites bidders/contractors to apply for eligibility and to bid for the hereunder project: Project           	 	:	 Construction of Barangay Healt</t>
  </si>
  <si>
    <t xml:space="preserve"> Procurement of Services and Provision of One Hundred Twenty-Five (125) Units Brand New Multi-Function Printers (MFP) for the Printing and Photocopying Requirements of Various OP Offices for FY 2020</t>
  </si>
  <si>
    <t xml:space="preserve"> INVITATION TO BID (GOODS) The Municipality of Sibonga, through the Trust Fund intends to apply the sum of Four hundred ninety-nine thousand nine hundred pesos only (499,900.00) being the Approved Budget for the Contract (ABC) to payment under the contract</t>
  </si>
  <si>
    <t xml:space="preserve"> INVITATION TO BID No. IB-2020-VI-30-08 The Municipality of Sibalom through its Bids &amp; Awards Committee (BAC), invites bidders/contractors to apply for eligibility and to bid for the hereunder project: Project           	 	:	 Construction of Barangay Healt</t>
  </si>
  <si>
    <t xml:space="preserve"> Republic of the Philippines Province of Misamis Oriental Municipality of Lugait -oOo- INVITATION TO BID FOR THE PROCUREMENT OF 1-UNIT BRAND NEW GOVERNMENT VEHICLE (AMBULANCE TYPE) FOR THE USE OF LOCAL GOVERNMMENT UNIT OF LUGAIT, MISAMIS ORIENTAL. The Muni</t>
  </si>
  <si>
    <t xml:space="preserve"> Republic of the Philippines Province of Southern Leyte Municipality of Tomas Oppus Invitation to Bid  PROCUREMENT OF MATERIALS FOR THE CONSTRUCTION OF MULTI-PURPOSE BLDG./EVACUATION CENTER 1.	The Barangay Government of San Isidro, Tomas Oppus, Southern Le</t>
  </si>
  <si>
    <t xml:space="preserve"> Republic of the Philippines Department of Health Cagayan Valley Center for Health Development BATANES GENERAL HOSPITAL Basco, Batanes E-mail Address: bataneshospital@gmail.com INVITATION TO BID ITB NO. 2020-06 Supply &amp; Delivery of Various Medicines 1. The</t>
  </si>
  <si>
    <t xml:space="preserve"> Invitation to Bid for QRF2020-RVI-022-ILOILO-B1-L2 ITB No. 008 The Department of Education (DepED) Schools Division of Iloilo, through the CY 2020 Quick Response Fund (QRF), intends to apply the sum Five Million One Hundred Sixty Two Thousand Four Hundred</t>
  </si>
  <si>
    <t xml:space="preserve"> Republic of the Philippines WESTERN PHILIPPINES UNIVERSITY          A STRONG PARTNER FOR SUSTAINABLE DEVELOPMENT BIDS AND AWARDS COMMITTEE Invitation to Bid for Supply, Delivery and Installation of Digital Speech Laboratory The Western Philippines Univers</t>
  </si>
  <si>
    <t xml:space="preserve"> CONCRETING OF BARANGAY GUINGUINABANG FMR Contract Location:                     Barangay Guinguinabang, Lacub, Abra Brief Description:                     Concreting of Road using PCCP (Unreinforced, 0.20m thk.) The DPWH-Abra District Engineering Office r</t>
  </si>
  <si>
    <t xml:space="preserve"> Construction of Multipurpose Building with a floor area of 7.00m x8.00m consist of the following scope of works;Plastering Works; Painting works for all elevation including parapet walls and ceiling; Fabrication and installation of Doors and Windows; as p</t>
  </si>
  <si>
    <t xml:space="preserve"> supply and delivery of one unit Dosing Pump with accessories, EMEC, K CL PLUS (Constant Dosing System with level control)</t>
  </si>
  <si>
    <t xml:space="preserve"> Republic of the Philippines Province of Samar  Municipality of Jiabong INVITATION TO BID FOR  CONSTRUCTION  OF PERIMETER FENCE OF NATIONAL CHILD DEVELOPMENT CENTER Jiab-2020-20A 1.	The Municipal Government of Jiabong, Samar, intends to apply the sum of ON</t>
  </si>
  <si>
    <t xml:space="preserve"> INVITATION TO BID No. IB-2020-VI-30-10 The Municipality of Sibalom through its Bids &amp; Awards Committee (BAC), invites bidders/contractors to apply for eligibility and to bid for the hereunder project: Project           	 		:	Construction Materials (Egana </t>
  </si>
  <si>
    <t xml:space="preserve"> Project Description: Re-Blocking of 6 x 538m Las Navas Municipal Road Item No. - Description				Percent of Total	Unit	Quantity 						 						 I	BILLBOARDS/SIGNAGES			0.07%	lot	1.00 II	 Removal of Existing Structure 			11.52%	sq.m	3,228.00 III	 BASE PREPARA</t>
  </si>
  <si>
    <t xml:space="preserve"> The Department of Education, Schools Division of Puerto Princesa Bids and Awards Committee through the FY 2020  General Appropriation Act intends to apply the sum of One Million Seven Hundred Seventy Seven Thousand Six Hundred Thirteen Pesos and 88/100 On</t>
  </si>
  <si>
    <t xml:space="preserve"> Supply and Delivery of 70 bags Okra Seeds- 1 kilo, 70 bags Sitao Seeds- 1 kilo, 45 bags Pechay seeds- 1 kilo, 45 bags Radish Seeds- 1 kilo, 70 cans Eggplant Seeds- 50 grams, 115 bag Complete Fertilizer, etc.....</t>
  </si>
  <si>
    <t xml:space="preserve"> Name of Contract: Concreting of Road Leading to Jacinto Aguilar M/S Barangay Tugas, Concreting of Road Leading to Buyao-Tugas and Concreting of Road Sito Canlibot, Barangay Tugas IAC Classification: Small "B" for Roads PCAB Category "D" Duration: 90 Calen</t>
  </si>
  <si>
    <t xml:space="preserve"> Smartphone, Realme 6, storage: 128gb, RAM: 8gb, Display Android Smartphone</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</si>
  <si>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</si>
  <si>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Republic of the Philippines Province of Misamis Oriental Municipality of Lugait -oOo- PROCUREMENT OF OFFICE FURNITURE ADDITIONAL (OFFICE TABLES, CABINET &amp; CHAIRS), DELIVERY AND INSTALLATION FOR THE USE OF LOCAL GOVERNMMENT UNIT OF LUGAIT, MISAMIS ORIENTAL</t>
  </si>
  <si>
    <t xml:space="preserve"> 1. The Department of Agriculture – Regional Field Office – Cordillera Administrative Region (DA-RFO-CAR) intends to apply part of its CY 2020 General Appropriation Act (GAA) the total sum of Seven Million Five Hundred Sixty Nine Thousand Pesos (P7,569,000</t>
  </si>
  <si>
    <t xml:space="preserve"> Invitation to Bid for QRF2020-RVI-022-ILOILO-B1-L7 ITB No. 013 The Department of Education (DepED) Schools Division of Iloilo, through the CY 2020 Quick Response Fund (QRF), intends to apply the sum Six Million Five Hundred Ninety Thousand Four Hundred Tw</t>
  </si>
  <si>
    <t xml:space="preserve"> Please see attached Invitation to Bid for details.</t>
  </si>
  <si>
    <t xml:space="preserve"> Republic of the Philippines 	CITY OF SAN PEDRO Province of Laguna BIDS AND AWARDS COMMITTEE INVITATION TO APPLY FOR ELIGIBILITY AND TO BID PR NO. 0224 1.	The City Government of San Pedro, Laguna through the 2020 Budget Approved by the Sangguniang Panglung</t>
  </si>
  <si>
    <t xml:space="preserve"> Invitation to Bid for QRF2020-RVI-022-ILOILO-B1-L1 ITB No. 007 The Department of Education (DepED) Schools Division of Iloilo, through the CY 2020 Quick Response Fund (QRF), intends to apply the sum Five Million Eighty Eight Thousand Eight Hundred Twenty </t>
  </si>
  <si>
    <t xml:space="preserve"> 1.	The Local Government Unit (LGU) of Aroroy, through its Supplemental Budget No. 05 - 2020 to apply the sum of Php 2,000,000.00 being the Approved Budget for the Contract (ABC) to payments under the contract for Supply and Delivery of Supplies/Materials </t>
  </si>
  <si>
    <t xml:space="preserve"> Republic of the Philippines Cordillera Administrative Region Provincial Local Government Unit of Ifugao BIDS AND AWARDS COMMITTEE 2nd Floor COA Bldg., Capitol Compound Lagawe, Ifugao Email Ad.: bacgoodsifugao13@gmail.com INVITATION TO BID OFFICE EQUIPMENT</t>
  </si>
  <si>
    <t xml:space="preserve"> INVITATION TO BID (GOODS) The Municipality of Sibonga, through the General Fund intends to apply the sum of Six hundred seventy-seven thousand eight hundred seventy-five pesos only (677,875.00) being the Approved Budget for the Contract (ABC) to payment u</t>
  </si>
  <si>
    <t xml:space="preserve"> Invitation to Bid for QRF2020-RVI-022-ILOILO-B1-L11 ITB No. 017 The Department of Education (DepED) Schools Division of Iloilo, through the CY 2020 Quick Response Fund (QRF), intends to apply the sum Five Million Twenty Thousand Six Hundred Eighty Six Pes</t>
  </si>
  <si>
    <t xml:space="preserve"> Invitation to Bid for QRF2020-RVI-022-ILOILO-B1-L10 ITB No. 016 The Department of Education (DepED) Schools Division of Iloilo, through the CY 2020 Quick Response Fund (QRF), intends to apply the sum Six Million One Hundred Sixty Five Thousand Two Hundred</t>
  </si>
  <si>
    <t xml:space="preserve"> Republic of the Philippines     Province of South Cotabato     City of Koronadal     BIDS AND AWARDS COMMITTEE INVITATION TO BID FOR THE  Procurement for the Supply and Delivery of One Unit Mobile Patrol Vehicle with Complete Accessories, City of Koronada</t>
  </si>
  <si>
    <t xml:space="preserve"> 1. The Department of Agriculture – Regional Field Office – Cordillera Administrative Region (DA-RFO-CAR) intends to apply part of its CY 2020 General Appropriation Act (GAA) the total sum of Two Million Seven Hundred Eighty Four Thousand Seventeen Pesos a</t>
  </si>
  <si>
    <t xml:space="preserve"> Invitation to Bid for QRF2020-RVI-022-ILOILO-B1-L3 ITB No. 009 The Department of Education (DepED) Schools Division of Iloilo, through the CY 2020 Quick Response Fund (QRF), intends to apply the sum Four Million Seven Hundred Thirty Two Thousand Six Hundr</t>
  </si>
  <si>
    <t xml:space="preserve"> Facilities for Engineer, Other General Requirements, Earthworks, Subbase and Base Course, Surface Courses, Drainage and Slope Protection Structures, Miscellaneous Structures</t>
  </si>
  <si>
    <t xml:space="preserve"> Republic of the Philippines     Province of South Cotabato     City of Koronadal     BIDS AND AWARDS COMMITTEE INVITATION TO BID FOR THE  Procurement for the Supply and Delivery of One (1) Unit Six (6) Wheeler Reconditioned Water Truck for CENRO, City of </t>
  </si>
  <si>
    <t xml:space="preserve"> 1. The Department of Agriculture – Regional Field Office – Cordillera Administrative Region (DA-RFO-CAR) intends to apply part of its CY 2020 General Appropriation Act (GAA) the total sum of Seven Million Four Hundred Fifty Eight Thousand Eight Hundred Fo</t>
  </si>
  <si>
    <t xml:space="preserve"> Supply and Delivery of 47,900 pcs. Composition Notebook (80 leaves) 46 gsm, 155,000 pcs.  Spiral Notebook (80 leaves 46 GSM), 42,750 pcs.  Writing Pad 80 leaves, 68,500 Inter.  Writing Pad 80 leaves,  13,600 pcs. Bond Paper (Short) 80 GMS 50pcs/ sheets, 8</t>
  </si>
  <si>
    <t xml:space="preserve"> Republic of the Philippines Province of South Cotabato City of Koronadal BIDS AND AWARDS COMMITTEE INVITATION TO BID FOR THE  Procurement for the Supply and Delivery of 3,700 Pieces School Bags for Public School Grade – 1 Pupils of the City 1.	The City Go</t>
  </si>
  <si>
    <t xml:space="preserve"> 1.	The Tondo Medical Center (TMC), through the General Appropriations Act/HFEP intends to apply the sum of Eleven Million Eight Hundred Forty Five Thousand Two Hundred Sixty Philippine Pesos (PhP 11,845,260.00) being the Approved Budget for the Contract (</t>
  </si>
  <si>
    <t xml:space="preserve"> 1.	The Tondo Medical Center (TMC), through the General Appropriations Act/HFEP intends to apply the sum of Sixteen Million Philippine Pesos (PhP 16,000,000.00) being the Approved Budget for the Contract (ABC) to payments under the contract for the Procure</t>
  </si>
  <si>
    <t xml:space="preserve"> The Philippine National Police (PNP) Health Service (HS) invites all PhilGEPS-accredited suppliers to apply for eligibility and to bid for the Procurement of Medical, Dental &amp; Laboratory Supplies. Approved Budget for Contract: Php4,550,000.00 Bid Document</t>
  </si>
  <si>
    <t xml:space="preserve"> Invitation to Bid for QRF2020-RVI-022-ILOILO-B1-L21 ITB No. 027 The Department of Education (DepED) Schools Division of Iloilo, through the CY 2020 Quick Response Fund (QRF), intends to apply the sum Three Million Two Hundred Forty Thousand Twenty Seven P</t>
  </si>
  <si>
    <t xml:space="preserve"> Invitation to Bid for QRF2020-RVI-022-ILOILO-B1-L9 ITB No. 015 The Department of Education (DepED) Schools Division of Iloilo, through the CY 2020 Quick Response Fund (QRF), intends to apply the sum Five Million One Hundred Thirty One Thousand Seven Hundr</t>
  </si>
  <si>
    <t xml:space="preserve"> Republic of the Philippines Cordillera Administrative Region Provincial Local Government Unit of Ifugao BIDS AND AWARDS COMMITTEE 2nd Floor COA Bldg., Capitol Compound Lagawe, Ifugao Email Ad.: bacgoodsifugao13@gmail.com INVITATION TO BID COMPUTER SERVER </t>
  </si>
  <si>
    <t xml:space="preserve"> Invitation to Bid for QRF2020-RVI-022-ILOILO-B1-L19 ITB No. 025 The Department of Education (DepED) Schools Division of Iloilo, through the CY 2020 Quick Response Fund (QRF), intends to apply the sum Five Million Six Thousand Four Hundred Ninety Eight Pes</t>
  </si>
  <si>
    <t xml:space="preserve"> Invitation to Bid for QRF2020-RVI-022-ILOILO-B1-L18 ITB No. 024 The Department of Education (DepED) Schools Division of Iloilo, through the CY 2020 Quick Response Fund (QRF), intends to apply the sum Five Million One Hundred Twenty Eight Thousand Six HUnd</t>
  </si>
  <si>
    <t xml:space="preserve"> 1. The Department of Agriculture – Regional Field Office – Cordillera Administrative Region (DA-RFO-CAR) intends to apply part of its CY 2020 General Appropriation Act (GAA) the total sum of One Million Nine Hundred Ninety Six Thousand Four Hundred Pesos </t>
  </si>
  <si>
    <t xml:space="preserve"> Invitation to Bid for QRF2020-RVI-022-ILOILO-B1-L16 ITB No. 022 The Department of Education (DepED) Schools Division of Iloilo, through the CY 2020 Quick Response Fund (QRF), intends to apply the sum Five Million Nine Hundred Forty Six Thousand Fifty Two </t>
  </si>
  <si>
    <t xml:space="preserve"> Invitation to Bid for QRF2020-RVI-022-ILOILO-B1-L4 ITB No. 010 The Department of Education (DepED) Schools Division of Iloilo, through the CY 2020 Quick Response Fund (QRF), intends to apply the sum Three Million Six Hundred Ninety Thousand Nine Hundred T</t>
  </si>
  <si>
    <t xml:space="preserve"> Invitation to Bid for QRF2020-RVI-022-ILOILO-B1-L15 ITB No. 021 The Department of Education (DepED) Schools Division of Iloilo, through the CY 2020 Quick Response Fund (QRF), intends to apply the sum Six Million Two Hundred Fifty Six Thousand One Hundred </t>
  </si>
  <si>
    <t xml:space="preserve"> Invitation to Bid for QRF2020-RVI-022-ILOILO-B1-L17 ITB No. 023 The Department of Education (DepED) Schools Division of Iloilo, through the CY 2020 Quick Response Fund (QRF), intends to apply the sum Five Million Five Hundred Eighty Six Thousand Two Hundr</t>
  </si>
  <si>
    <t xml:space="preserve"> Demolition of existing wall and window, structure excavation, concrete works with reinforcement  for footing, wall footing, column and concrete pouring for slab, masonry works for right side-window, rear side, installation of structural steel for roof fra</t>
  </si>
  <si>
    <t xml:space="preserve"> 1. The Department of Agriculture – Regional Field Office – Cordillera Administrative Region (DA-RFO-CAR) intends to apply part of its CY 2020 General Appropriation Act (GAA) the total sum of Twenty Four Million One Hundred Ninety Seven Thousand Three Hund</t>
  </si>
  <si>
    <t xml:space="preserve"> 1. The Department of Agriculture – Regional Field Office – Cordillera Administrative Region (DA-RFO-CAR) intends to apply part of its CY 2020 General Appropriation Act (GAA) the total sum of Two Million Two Hundred Sixty Eight Thousand Five Hundred Pesos </t>
  </si>
  <si>
    <t xml:space="preserve"> 1. The Department of Agriculture – Regional Field Office – Cordillera Administrative Region (DA-RFO-CAR) intends to apply part of its CY 2020 General Appropriation Act (GAA) the total sum of Six Million Nine Hundred Sixteen Thousand Three Hundred Fifty Pe</t>
  </si>
  <si>
    <t xml:space="preserve"> Invitation to Bid for QRF2020-RVI-022-ILOILO-B1-L20 ITB No. 026 The Department of Education (DepED) Schools Division of Iloilo, through the CY 2020 Quick Response Fund (QRF), intends to apply the sum Three Million Ninety Six Thousand Eight Hundred Fifty P</t>
  </si>
  <si>
    <t xml:space="preserve"> Invitation to Bid for QRF2020-RVI-022-ILOILO-B1-L12 ITB No. 018 The Department of Education (DepED) Schools Division of Iloilo, through the CY 2020 Quick Response Fund (QRF), intends to apply the sum Three Million Three Hundred Eighteen Thousand Three Hun</t>
  </si>
  <si>
    <t xml:space="preserve"> Invitation to Bid for QRF2020-RVI-022-ILOILO-B1-L14 ITB No. 020 The Department of Education (DepED) Schools Division of Iloilo, through the CY 2020 Quick Response Fund (QRF), intends to apply the sum Six Million Two Hundred Sixty Thousand Three Hundred Th</t>
  </si>
  <si>
    <t xml:space="preserve"> Supply and Delivery of 8,650 pcs. Plastic Protractor 10cm 180, 21,200 pcs. ID Lace and Holder (Personalized), 54,800 pcs. Plastic Envelope Long, 27,400 pcs. Colored Plastic Expanded Envelope, 2,400 pcs. Calculator, 22,250 pcs. Plastic Pencil Sharpener 2 -</t>
  </si>
  <si>
    <t xml:space="preserve"> Part B		Other General Requirements	 B.5	Lot	Project Billboard/Signboard	2 Part III		Civil/Electrical Works	 Part A		Earthworks	 803 (1) a	Cu.m	Structure Excavation – Common Soil (Stage)	29.32 804 (1) a	Cu.m	Embankment from Structure Excavation (Stage)	20.</t>
  </si>
  <si>
    <t xml:space="preserve"> The Metro Kalibo Water District, through the Bids and Awards Committee (BAC), will undertake Negotiated Procurement (Small Value Procurement) for the SUPPLY AND DELIVERY OF VARIOUS WATER SERVICE CONNECTION MATERIALS FOR REPAIR/MAINTENANCE OF DISTRIBUTION </t>
  </si>
  <si>
    <t xml:space="preserve"> Republic of the Philippines PROVINCE OF LEYTE Burauen, Leyte INVITATION TO BID   SUPPLY &amp; INSTALLATION OF CCTV CAMERA FOR PUBLIC MARKET, DIST 9, BURAUEN BUS TERMINAL, DISTRICT II, STO NIÑO ST, COR. STA ANA, BURAUEN SPORT COMPLEX BURAUEN, LEYTE The Municip</t>
  </si>
  <si>
    <t xml:space="preserve"> Rehabilitation of Public Market (36.m x 10.8m)</t>
  </si>
  <si>
    <t xml:space="preserve"> National Power Corporation INVITATION TO BID PUBLIC BIDDING 2020-0114 1.	The NATIONAL POWER CORPORATION (NPC), through       its        approved       Corporate Budget of CY 2020 intends to apply   the   sum   of (Please see schedule below) being the Appr</t>
  </si>
  <si>
    <t xml:space="preserve"> Invitation to Bid for QRF2020-RVI-022-ILOILO-B1-L13 ITB No. 019 The Department of Education (DepED) Schools Division of Iloilo, through the CY 2020 Quick Response Fund (QRF), intends to apply the sum Four Million One Hundred Fifty One Thousand Six Hundred</t>
  </si>
  <si>
    <t xml:space="preserve"> Supply &amp; Delivery of Drugs, Medicines and Laboratory Supplies</t>
  </si>
  <si>
    <t xml:space="preserve"> 1. The Department of Agriculture – Regional Field Office – Cordillera Administrative Region (DA-RFO-CAR) intends to apply part of its CY 2020 General Appropriation Act (GAA) the total sum of One Million Five Hundred Twenty Nine Thousand Nine Hundred Eight</t>
  </si>
  <si>
    <t xml:space="preserve"> Invitation to Bid for QRF2020-RVI-022-ILOILO-B1-L23 ITB No. 029 The Department of Education (DepED) Schools Division of Iloilo, through the CY 2020 Quick Response Fund (QRF), intends to apply the sum Three Million Four Hundred Ninety Five Thousand Four Hu</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</si>
  <si>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</si>
  <si>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</si>
  <si>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Republic of the Philippines DEPARTMENT OF PUBLIC WORKS AND HIGHWAYS CAMARINES SUR 2ND DISTRICT ENGINEERING OFFICE Regional Office V Baras, Canaman, Camarines Sur INVITATION TO BID  FOR   20GFE0011 – SUPPLY OF MATERIALS FOR EROSION CONTROL, TRAFFIC SERVICE</t>
  </si>
  <si>
    <t xml:space="preserve"> DESCRIPTION PROCUREMENT AND DELIVERY OF 834 BAGS OF GM HYBRID YELLOW CORN SEEDS FOR HIGH ELEVATION CORN AREAS @ 9KG/ BAG GM Hybrid Yellow Corn Seeds for High Elevation Corn Areas of Davao City @ 9 kilograms/ bag Farmer's preferred varieties:  NSIC 2019 GM</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</si>
  <si>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</si>
  <si>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Provision of Field Office for the Engineer (Rental Basis); Permits and Clearances; Project Billboard/Signboard; Occupational Safety and Health Program; Mobilization/Demobilization; Removal of Structures and Obstruction; Structure Excavation (Common Soil);</t>
  </si>
  <si>
    <t xml:space="preserve"> Republic of the Philippines PROVINCE OF LEYTE Burauen, Leyte INVITATION TO BID   REHABILITATION OF LEVEL II WATER SYSTEM OF BARANGAY ANONANG WITH PROVISION FOR LEVEL III BURAUEN, LEYTE (RE-BIDDING) The Municipality of Burauen, through the Bids and Awards </t>
  </si>
  <si>
    <t xml:space="preserve"> DESCRIPTION PROCUREMENT AND DELIVERY OF 901 BAGS OF GM HYBRID YELLOW CORN SEEDS @ 9KG/ BAG Minimum Specifications: - Herbicide-resistant - Must be an NSIC approved GMCn variety. (Reference: Seed     Catalogue) - Variety adoptable to both low and high elev</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</si>
  <si>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</si>
  <si>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Provision of Field Office for the Engineer (Rental Basis); Permits and Clearances; Project Billboard/Signboard; Occupational Safety and Health Program; Mobilization/Demobilization; Structure Excavation (Common Soil) – Catch Basin); Structural Concrete, Co</t>
  </si>
  <si>
    <t xml:space="preserve"> Republic of the Philippines PROVINCE OF LEYTE Burauen, Leyte INVITATION TO BID   PURCHASE OF IN-ORGANIC FERTILIZER FOR RICE ENHANCEMENT PROGRAM (NEGOTIATED PROCUREMENT) The Municipality of Burauen, through the Bids and Awards Committee (BAC) invites contr</t>
  </si>
  <si>
    <t xml:space="preserve"> Provision of Field Office for the Engineer (Rental Basis); Permits and Clearances; Project Billboard/Signboard; Occupational Safety and Health Program; Mobilization/Demobilization; Clearing and Grubbing; Structure Excavation (Common Soil); Embankment from</t>
  </si>
  <si>
    <t xml:space="preserve"> NAME OF THE PROJECT: Construction of Perimeter Fence  LOCATION OF THE PROJECT: Donsol Community College- Tres Marias, Donsol, Sorsogon  PROJECT REFERENCE NO.:  INFRA-PB-2020-012  Approved Budget for the Contract: ₱1,500,000.00  Source of Fund: 20%  MCDF 2</t>
  </si>
  <si>
    <t xml:space="preserve"> NAME OF THE PROJECT: Installation of Street Lights  LOCATION OF THE PROJECT: Donsol Community College to Tres Marias, Donsol, Sorsogon  PROJECT REFERENCE NO.:  INFRA-PB-2020-014  Approved Budget for the Contract: ₱2,800,000.00  Source of Fund: MCDF 2019 B</t>
  </si>
  <si>
    <t xml:space="preserve"> Republic of the Philippines                   Department of Health	       CENTRAL OFFICE BIDS AND AWARDS COMMITTEE  INVITATION TO BID FOR  PROCUREMENT FOR THE EXPANSION OF EXISTING SOLID STATE DRIVE (SSD) IB NO. 2020-222 1.	The Department of Health (DOH),</t>
  </si>
  <si>
    <t xml:space="preserve"> NAME OF THE PROJECT: Improvement of New Public Building  LOCATION OF THE PROJECT: Market Site, Donsol, Sorsogon  PROJECT REFERENCE NO.:  INFRA-PB-2020-013  Approved Budget for the Contract: ₱2,000,000.00  Source of Fund: A.O. No. 07, s-2020 BRIEF DESCRIPT</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</si>
  <si>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</si>
  <si>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Under the Supreme Court decision with GR Nos 171947-48, dated December 19, 2008, was tasked the DENR to lead in the rehabilitation, clean up and preservation of Manila Bay, top restore and maintain its water SB level. The DENR-PENRO Laguna identified rive</t>
  </si>
  <si>
    <t xml:space="preserve"> NAME OF THE PROJECT: Improvement of Tourism Building (Governor’s Guest House)  LOCATION OF THE PROJECT:  Tourism Compound, Dancalan, Donsol, Sorsogon  PROJECT REFERENCE NO.:  INFRA-PB-2020-011  Approved Budget for the Contract: ₱1,000,000.00  Source of Fu</t>
  </si>
  <si>
    <t xml:space="preserve"> Contract Name:	Completion of Motorpool- Bulanao Campus Contract ID Number:	IB_CivilWorks_2020-06-034 Location of the Contract:	KSU Main Campus, National Highway, Purok 6, Bulanao, Tabuk City, Kalinga Lot and Reference:	Two Lots - Completion of Motorpool- </t>
  </si>
  <si>
    <t xml:space="preserve"> The Philippine National Police (PNP) Health Service (HS) invites all PhilGEPS-accredited suppliers to apply for eligibility and to bid for the Procurement of Other Supplies &amp; Materials. Approved Budget for Contract: Php6,883,593.75 Bid Documents shall be </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</si>
  <si>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</si>
  <si>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The Department of Agriculture-RFO 3, invites interested suppliers/ bidders to submit bid proposal(s) for the hereunder requirement, to wit: QUANTITY UNIT Item No. Description 1 lot I Permits &amp; Clearance 177 cu.m II Earth Works &amp; Dismantling 1 ls III Tools</t>
  </si>
  <si>
    <t xml:space="preserve"> Republic of the Philippines Province of Isabela LOCAL GOVERNMENT UNIT OF BENITO SOLIVEN INVITATION TO BID FOR THE PROCUREMENT OF MEDICINES AND MEDICAL SUPPLIES – 2ND QUARTER (GAD FUND) 1.	The Municipal Government of Benito Soliven, intends to apply the su</t>
  </si>
  <si>
    <t xml:space="preserve"> a. CONTRACT ID: RIZAL-30JUNE2020-4 b. NAME OF PROJECT: Improvement / Construction of Stone Masonry for Slope Protection and Concreting of Creek bed, Brgy. Malakaban, Binangonan, Rizal c. LOCATION: Brgy. Malakaban, Binangonan, Rizal d. BRIEF DESCRIPTION: S</t>
  </si>
  <si>
    <t xml:space="preserve"> a. CONTRACT ID: RIZAL-30JUNE2020-3 b. NAME OF PROJECT: Repainting/Improvement of Ynares Multi-Purpose Covered Court &amp; Const. of Comfort Room at Rainbow Village 1, Brgy. Kalayaan, Angono, Rizal c. LOCATION: Brgy. Kalayaan, Angono, Rizal d. BRIEF DESCRIPTIO</t>
  </si>
  <si>
    <t xml:space="preserve"> a. CONTRACT ID: RIZAL-30JUNE2020-2 b. NAME OF PROJECT: Improvement (Provision of Tiles) of School Buildings at San Vicente Elem. School, Brgy. San Vicente, Angono, Rizal c. LOCATION: Brgy. San Vicente, Angono, Rizal  d. BRIEF DESCRIPTION: Improvement of S</t>
  </si>
  <si>
    <t xml:space="preserve"> Republic of the Philippines Province of Southern Leyte Municipality of San Juan BIDS AND AWARDS COMMITTEE INVITATION TO BID 								Date:	January 10, 2020						                Contract no:    MSJ-2020-17 The LGU of the Municipality of San Juan, Southern L</t>
  </si>
  <si>
    <t xml:space="preserve"> Republic of the Philippines Province of Laguna Municipality of Paete Tel. Nos. (049) 501-6490-101, (049) 557-0001  Invitation to Bid for  Invitation to Bid for Local Access Road, Concreting of C.M. Recto, C. Cajumban St., C. Mila., and A. Caguin Sr. St. B</t>
  </si>
  <si>
    <t xml:space="preserve"> INVITATION TO BID FOR  CONSTRUCTION OF FLOOD CONTROL - DARDARAT The Municipality of San Juan, through its Bids and Awards Committee (BAC), invites contractors to submit bids for the following Contract: Contract ID		:          	20-00042						 Contract Name</t>
  </si>
  <si>
    <t xml:space="preserve"> Republic of the Philippines DEPARTMENT OF PUBLIC WORKS AND HIGHWAYS OFFICE OF THE DISTRICT ENGINEER Cavite II District Engineering Office Brgy. Mangas II, Alfonso, Cavite INVITATION TO BID The Department of Public Works and Highways (DPWH) Cavite II Distr</t>
  </si>
  <si>
    <t xml:space="preserve"> INVITATION TO BID IB No. GS-2020 – 070 Office Supplies and Devices/Other Supplies for use of PGOM Office Supplies 3rd Quarter Based on the  Consolidated Annual Procurement Plan for the year 2020 1. The  Provincial  Government  of  Oriental  Mindoro  (PGOM</t>
  </si>
  <si>
    <t xml:space="preserve"> a. CONTRACT ID: RIZAL-30JUNE2020-1 b. NAME OF PROJECT: Repair/Improvement of Ynares Multi-Purpose Covered Court &amp; Repair of Comfort Room at Brgy. San Jose, Brgy. Dalig &amp; Brgy. Mayamot, Antipolo City a)  Repair/Improvement of Ynares Multi-Purpose Covered C</t>
  </si>
  <si>
    <t xml:space="preserve"> a. CONTRACT ID: RIZAL-30JUNE2020-6 b. NAME OF PROJECT: Improvement/Repair of Ynares Multi-Purpose Covered Court, Brgy. Pilapila, Binangonan, Rizal c. LOCATION: Brgy. Pilapila, Binangonan, Rizal d. BRIEF DESCRIPTION: Improvement of Ynares Multi-Purpose Cov</t>
  </si>
  <si>
    <t xml:space="preserve"> a. CONTRACT ID: RIZAL-30JUNE2020-24 b. NAME OF PROJECT: Construction of 2-storey, 6-rooms Ynares School Building at Abuyod Elem. School, Brgy. Dalig, Teresa, Rizal c. LOCATION: Brgy. Dalig, Teresa, Rizal  d. BRIEF DESCRIPTION: Construction of Ynares Schoo</t>
  </si>
  <si>
    <t xml:space="preserve"> a. CONTRACT ID: RIZAL-30JUNE2020-23 b. NAME OF PROJECT: Repair of Various Ynares School Building at Tanay National High School, Brgy. Plaza Aldea, Tanay, Rizal c. LOCATION: Brgy. Plaza Aldea, Tanay, Rizal d. BRIEF DESCRIPTION: Repair of Various Ynares Sch</t>
  </si>
  <si>
    <t xml:space="preserve"> a. CONTRACT ID: RIZAL-30JUNE2020-22 b. NAME OF PROJECT: Concreting / Construction of Drainage Canal of Road at Daang Tubo East, Brgy. Guitnang Bayan I, San Mateo, Rizal c. LOCATION: Brgy. Guitnang Bayan I, San Mateo, Rizal d. BRIEF DESCRIPTION: Constructi</t>
  </si>
  <si>
    <t xml:space="preserve"> a. CONTRACT ID: RIZAL-30JUNE2020-21 b. NAME OF PROJECT: Const. of Ynares Stage at Phase 2 Eastwood Greenview Subd. , Brgy. San Isidro, Rodriguez, Rizal c. LOCATION: Brgy. San Isidro, Rodriguez, Rizal d. BRIEF DESCRIPTION: Const. of Ynares Stage e. MAJOR I</t>
  </si>
  <si>
    <t xml:space="preserve"> a. CONTRACT ID: RIZAL-30JUNE2020-20 b. NAME OF PROJECT: Concreting (portion) of Road at Pililla GK Village, Pililla, Rizal c. LOCATION: Pililla, Rizal d. BRIEF DESCRIPTION: Road improvement.  e. MAJOR ITEM OF WORK: PCC Pavement (Plain) – Conventional Meth</t>
  </si>
  <si>
    <t xml:space="preserve"> a. CONTRACT ID: RIZAL-30JUNE2020-19 b. NAME OF PROJECT: Construction of 2-Units Artesian Well, Brgy. Bagumbong, Jalajala, Rizal c. LOCATION: Brgy. Bagumbong, Jalajala, Rizal d. BRIEF DESCRIPTION: Construction Artesian Well. e. MAJOR ITEM OF WORK: Drilling</t>
  </si>
  <si>
    <t xml:space="preserve"> a. CONTRACT ID: RIZAL-30JUNE2020-18 b. NAME OF PROJECT: Asphalt Overlaying/Concrete Reblocking (portion) of Serafin Reyes St., Brgy. Punta, Jalajala, Rizal c. LOCATION: Brgy. Punta, Jalajala, Rizal d. BRIEF DESCRIPTION: Road improvement. e. MAJOR ITEM OF </t>
  </si>
  <si>
    <t xml:space="preserve"> a. CONTRACT ID: RIZAL-30JUNE2020-17 b. NAME OF PROJECT: Asphalt Overlaying of A. Kalaw St., Sitio Sambungan, Brgy. Bagumbong, Jalajala, Rizal c. LOCATION: Brgy. Bagumbong, Jalajala, Rizal d. BRIEF DESCRIPTION: Road improvement. e. MAJOR ITEM OF WORK: Bitu</t>
  </si>
  <si>
    <t xml:space="preserve"> a. CONTRACT ID: RIZAL-30JUNE2020-16 b. NAME OF PROJECT: Rehabilitation / Concreting of Bayanihan Street, Brgy. 3rd District, Jalajala, Rizal c. LOCATION: Brgy. 3rd District, Jalajala, Rizal d. BRIEF DESCRIPTION: Road improvement. e. MAJOR ITEM OF WORK: PC</t>
  </si>
  <si>
    <t xml:space="preserve"> NAME OF THE PROJECT: Improvement of Visitor’s Center- (Ogod)  LOCATION OF THE PROJECT:  Ogod, Donsol, Sorsogon  PROJECT REFERENCE NO.:  INFRA-PB-2020-010  Approved Budget for the Contract: ₱1,000,000.00  Source of Fund: A.O. No. 6, s-2020 BRIEF DESCRIPTIO</t>
  </si>
  <si>
    <t xml:space="preserve"> Republic of the Philippines Province of Laguna Municipality of Paete Tel. Nos. (049) 501-6490-101, (049) 557-0001  Invitation to Bid for  Invitation to Bid for Improvement of Drainage Canal at San Rafael St., Kapt Aguinaldo St., &amp; E. Cagayan St., Barangay</t>
  </si>
  <si>
    <t xml:space="preserve"> a. CONTRACT ID: RIZAL-30JUNE2020-13 b. NAME OF PROJECT: Construction of Perimeter Fence of Rural Health Unit at Southville 9 Phase 2, Brgy. Pinugay, Baras, Rizal c. LOCATION: Brgy. Pinugay, Baras, Rizal d. BRIEF DESCRIPTION: Construction of Perimeter Fenc</t>
  </si>
  <si>
    <t xml:space="preserve"> a. CONTRACT ID: RIZAL-30JUNE2020-12 b. NAME OF PROJECT: Replacement of CHB Wall &amp; Steel Matting Fence at Rotary Day Care Center Southville 9 Phase 1, Brgy. Pinugay, Baras, Rizal c. LOCATION: Brgy. Pinugay, Baras, Rizal d. BRIEF DESCRIPTION: Replacement of</t>
  </si>
  <si>
    <t xml:space="preserve"> a. CONTRACT ID: RIZAL-30JUNE2020-15 b. NAME OF PROJECT: Rehabilitation / Improvement of Road at Sitio Pinagkitran, Brgy. Boor, Cardona, Rizal c. LOCATION: Brgy. Boor, Cardona, Rizal d. BRIEF DESCRIPTION: Road improvement. e. MAJOR ITEM OF WORK: Stone Maso</t>
  </si>
  <si>
    <t xml:space="preserve"> a. CONTRACT ID: RIZAL-30JUNE2020-9 b. NAME OF PROJECT: Construction of 2-storey, 10-rooms Ynares School Building Don Jose Ynares Sr. Mem. School, Brgy. San Carlos, Binangonan, Rizal c. LOCATION: Brgy. San Carlos, Binangonan, Rizal d. BRIEF DESCRIPTION: Co</t>
  </si>
  <si>
    <t xml:space="preserve"> a. CONTRACT ID: RIZAL-30JUNE2020-8 b. NAME OF PROJECT: Construction/Provision of Wash Facilities (Water, Sanitation &amp; Hygiene) at Bangad Elem. School, Brgy. Bangad, Binangonan, Rizal c. LOCATION: Brgy. Bangad, Binangonan, Rizal  d. BRIEF DESCRIPTION: Wash</t>
  </si>
  <si>
    <t xml:space="preserve"> a. CONTRACT ID: RIZAL-30JUNE2020-7 b. NAME OF PROJECT: Construction/Provision of Wash Facilities (Water, Sanitation &amp; Hygiene) at Casimiro A. Ynares Sr. Elem. School, Brgy. Mambog, Binangonan, Rizal c. LOCATION: Brgy. Mambog, Binangonan, Rizal d. BRIEF DE</t>
  </si>
  <si>
    <t xml:space="preserve"> a. CONTRACT ID: RIZAL-30JUNE2020-5 b. NAME OF PROJECT: Improvement of School building, Concreting of Ground &amp; Construction of Gate at Darangan Elem. School, Brgy. Darangan, Binangonan, Rizal c. LOCATION: Brgy. Darangan, Binangonan, Rizal d. BRIEF DESCRIPT</t>
  </si>
  <si>
    <t xml:space="preserve"> Republic of the Philippines MUNICIPALITY OF BOLINAO Province of Pangasinan PROPOSED ROAD OPENING AT PUROK 5 TO SITIO SICUPET, CATUNGI, BOLINAO, PANGASINAN 1.	The LOCAL GOVERNMENT UNIT OF BOLINAO, PANGASINAN through the 20% Development Fundintends to apply</t>
  </si>
  <si>
    <t xml:space="preserve"> a. CONTRACT ID: RIZAL-30JUNE2020-14 b. NAME OF PROJECT: Construction of 2-storey, 8-rooms Ynares School Building at Looc Elem. School, Brgy. Looc, Cardona, Rizal c. LOCATION: Brgy. Looc, Cardona, Rizal d. BRIEF DESCRIPTION: Construction of Ynares School B</t>
  </si>
  <si>
    <t xml:space="preserve"> a. CONTRACT ID: RIZAL-30JUNE2020-11 b. NAME OF PROJECT: Construction of 4-storey, 8-rooms Ynares School Building at Rosario Ocampo Elem. School, Brgy. San Juan, Taytay, Rizal c. LOCATION: Brgy. San Juan, Taytay, Rizal  d. BRIEF DESCRIPTION: Construction o</t>
  </si>
  <si>
    <t xml:space="preserve"> a. CONTRACT ID: RIZAL-30JUNE2020-10 b. NAME OF PROJECT: Improvement / Concreting of Burbank Street (Area 10 &amp; 11) at Brookside Hills Subd., Brgy. San Isidro, Cainta, Rizal c. LOCATION: Brgy. San Isidro, Cainta, Rizal d. BRIEF DESCRIPTION: Road improvement</t>
  </si>
  <si>
    <t xml:space="preserve"> PROCUREMENT OF HEAVY EQUIPMENT &amp; TRUCK</t>
  </si>
  <si>
    <t xml:space="preserve"> I. To be Installed to the following branches (Please see attached files @ Associated Components) LAGUNA BINAN BRANCH- Old National Highway, Brgy. Canlalay Binan, Laguna CABUYAO BRACH- Don Onofre Bldg., F. Bailon St. Brgy. Sala Cabuyao, Laguna CALAMBA BRAN</t>
  </si>
  <si>
    <t xml:space="preserve"> The DENR-PENRO Davao del Sur, through its Bids and Awards Committee (BAC), invites contractors to submit bids for the following Contract: Contract Name      :    Establishment of 1,000 cu.m Gabions                                    Contract Location :   </t>
  </si>
  <si>
    <t xml:space="preserve"> Section I. Notice of Eligibility and Short Listing 09 June 2020 Mr. Jose Victor Gaite Chief Finance Officer EON (Events Organizer Network), Inc. 8F OPL Building, 100 C. Palanca St., Legaspi Village, Makati City Dear Mr. Gaite: 1.	The Department of Health </t>
  </si>
  <si>
    <t xml:space="preserve"> 1. The Barangay Government of Bagontaas, Valencia City, Bukidnon through its 2020 20% LDF, intends to apply the following sum of One hundred forty three thousand nine hundred eighty &amp; 32/100 (P143,980.32) @ P-11a, Bagontaas, Valencia City, Bukidnon.  Bids</t>
  </si>
  <si>
    <t xml:space="preserve"> Republic of the Philippines City of Manila OFFICE OF THE CITY MAYOR BIDS AND AWARDS COMMITTEE INVITATION TO BID  The City Government of Manila, through the Capital Outlay FY 2020, intends to apply the following amount for the following proposed project: 1</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</si>
  <si>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</si>
  <si>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Republic of the Philippines PROVINCE OF LEYTE Burauen, Leyte INVITATION TO BID   PROCUREMENT OF MEDICINES AND SUPPLY FOR RURAL HEALTH UNIT BURAUEN, LEYTE The Municipality of Burauen, through the Bids and Awards Committee (BAC) invites contractors / suppli</t>
  </si>
  <si>
    <t xml:space="preserve"> The Philippine National Police (PNP) Health Service (HS) invites all PhilGEPS-accredited suppliers to apply for eligibility and to bid for the Other General Services. Approved Budget for Contract: Php301,750.00 Bid Documents shall be available at the HS B</t>
  </si>
  <si>
    <t xml:space="preserve"> Republic of the Philippines Province of Isabela LOCAL GOVERNMENT UNIT OF BENITO SOLIVEN INVITATION TO BID FOR THE PROCUREMENT OF MEDICINES AND MEDICAL SUPPLIES – 2ND QUARTER (GENERAL FUND) 1.	The Municipal Government of Benito Soliven, intends to apply th</t>
  </si>
  <si>
    <t xml:space="preserve"> unit	Plastic Shredder Machine	1 		 	Specs:	 	Heavy duty plastic recycling shredder Machine	 	Height-1500mm, width-600mm, length-1000mm	 	Frame-6mmx50mmx500mm, angle bar w/ 3mm mild steel (MS) plate sliding cover	 	Shredding component-12mm MS Plate blade, </t>
  </si>
  <si>
    <t xml:space="preserve"> Republic of the Philippines                   Department of Health	       CENTRAL OFFICE BIDS AND AWARDS COMMITTEE  INVITATION TO BID FOR THE  PROCUREMENT OF EXTERNAL HARD DISK IB NO. 2020-206 1.	The Department of Health (DOH), through the General Appropr</t>
  </si>
  <si>
    <t xml:space="preserve"> Part B		Other General Requirements	 B.5	Each	Project Billboard/Signboard	2 B.9	L.S	Mobilization/Demobilization	1 Part C		Earthworks	 102 (1)	cu.m	Roadway Excavation (Unsuitable)	3,070.40 Project Description: Excavation of Roadway w/ 3,070.40 cu.m 1.	The L</t>
  </si>
  <si>
    <t xml:space="preserve"> Republic of the Philippines Cordillera Administrative Region Provincial Local Government Unit of Ifugao BIDS AND AWARDS COMMITTEE 2nd Floor COA Bldg., Capitol Compound Lagawe, Ifugao Email Ad.: bacgoodsifugao13@gmail.com INVITATION TO BID Two (2) units Br</t>
  </si>
  <si>
    <t xml:space="preserve"> Republic of the Philippines     Province of South Cotabato     City of Koronadal     BIDS AND AWARDS COMMITTEE INVITATION TO BID FOR THE  Procurement for the Supply and Delivery of One (1) Unit Four Wheeled Vehicle (Pick-Up) for CSU Operations, City of Ko</t>
  </si>
  <si>
    <t xml:space="preserve"> Republic of the Philippines Cordillera Administrative Region Provincial Local Government Unit of Ifugao BIDS AND AWARDS COMMITTEE 2nd Floor COA Bldg., Capitol Compound Lagawe, Ifugao Email Ad.: bacgoodsifugao13@gmail.com INVITATION TO BID HEAVY EQUIPMENTS</t>
  </si>
  <si>
    <t xml:space="preserve"> The Philippine National Police (PNP) Health Service (HS) invites all PhilGEPS-accredited suppliers to apply for eligibility and to bid for the Other General Services. Approved Budget for Contract: Php100,583.34 Bid Documents shall be available at the HS B</t>
  </si>
  <si>
    <t xml:space="preserve"> Invitation to Bid for QRF2020-RVI-022-ILOILO-B1-L22 ITB No. 028 The Department of Education (DepED) Schools Division of Iloilo, through the CY 2020 Quick Response Fund (QRF), intends to apply the sum Three Million Eight Hundred Eighty Thousand Four Hundre</t>
  </si>
  <si>
    <t xml:space="preserve"> 1.	The Provincial Government of Ilocos Norte, through the General Fund  intends to apply the sum of Two Million Five Hundred Thousand Pesos                                  (Php 2,500,000.00               ) being the Approved Budget for the Contract (ABC)</t>
  </si>
  <si>
    <t xml:space="preserve"> 1. The Department of Agriculture – Regional Field Office – Cordillera Administrative Region (DA-RFO-CAR) intends to apply part of its CY 2020 General Appropriation Act (GAA) the total sum of One Million Fifty Nine Thousand Six Hundred Pesos (P1,059,600.00</t>
  </si>
  <si>
    <t xml:space="preserve"> 1. The Department of Agriculture – Regional Field Office – Cordillera Administrative Region (DA-RFO-CAR) intends to apply part of its CY 2020 General Appropriation Act (GAA) the total sum of Three Million Three Hundred Ninety Five Thousand Four Hundred Pe</t>
  </si>
  <si>
    <t xml:space="preserve"> Supply and Delivery of 4,550 pcs. Small Bag- Back Pack Color:  Orange bag with side pocket net and logo, 9,050 pcs.  Medium Bag- Back Pack, Color:  Blue bag with side pocket net and logo, 8,650 pcs. Large bag-  Back Pack Color:  Mint Green with front pock</t>
  </si>
  <si>
    <t xml:space="preserve"> Republic of the Philippines DEPARTMENT OF HEALTH WESTERN VISAYAS Center for Health Development INVITATION TO BID FOR THE  Rebidding of Laboratory Supplies for STI, HIV and AIDS Program,  IB No. SB-2020-012 1.	The Department of Health – WV CHD, through the</t>
  </si>
  <si>
    <t xml:space="preserve"> PROCUREMENT OF OFFICE SUPPLIES</t>
  </si>
  <si>
    <t xml:space="preserve"> a. CONTRACT ID: RIZAL-30JUNE2020-25 b. NAME OF PROJECT: Installation of Electrical Lighting System of Ynares Multi-Purpose Covered Courts at Brgy. Dalig, Teresa, Rizal a)  Installation of Electrical Lighting System of Ynares Multi-Purpose Covered Court at</t>
  </si>
  <si>
    <t xml:space="preserve"> PROCUREMENT OF FURNITURE AND FIXTURES</t>
  </si>
  <si>
    <t xml:space="preserve"> PROCUREMENT OF OFFICE EQUIPMENT</t>
  </si>
  <si>
    <t xml:space="preserve"> Purchase and Delivery of Drugs and Medical Supplies for 2nd Quarter 2020</t>
  </si>
  <si>
    <t xml:space="preserve"> Invitation to Bid for QRF2020-RVI-022-ILOILO-B1-L8 ITB No. 014 The Department of Education (DepED) Schools Division of Iloilo, throtyugh the CY 2020 Quick Response Fund (QRF), intends to apply the sum Five Million Nine Hundred Fifty Eight Thousand Eight H</t>
  </si>
  <si>
    <t xml:space="preserve"> Republic of the Philippines MUNICIPALITY OF ORION Province of Bataan Bids and Awards Committee Secretariat Office, 2nd Floor Municipal Building, San Vicente, Orion, Bataan Telephone No. 244-9611 local 101 20ITB-G-02-00033 Invitation to Bid Supply, Install</t>
  </si>
  <si>
    <t xml:space="preserve"> CONSTRUCTION OF SIDE WALK WITH BENCHES AND STREETLIGHTS IN ENVERGA BLVD., Barangay Sadsaran (GAT-UBAN TO REGIDOR ST.) MAUBAN, QUEZON. 1.	The Local Government Unit of Mauban  through the 20% DEVELOPMENT FUND (DF)-8751/1-07-03-010, 2020 intends to apply the</t>
  </si>
  <si>
    <t xml:space="preserve"> CONSTRUCTION OF MASONRY WALL IN ENVERGA BLVD., BARANGAY SADSARAN (NEAR GAT-UBAN PARK), MAUBAN, QUEZON. 1.	The Local Government Unit of Mauban  through the 20% DEVELOPMENT FUND(DF)-8751/1-07-03-990, 2020 intends to apply the sum of Five Hundred Ninety Seve</t>
  </si>
  <si>
    <t xml:space="preserve"> The Philippine National Police (PNP) Health Service (HS) invites all PhilGEPS-accredited suppliers to apply for eligibility and to bid for the Other General Services. Approved Budget for Contract: Php201,166.66 Bid Documents shall be available at the HS B</t>
  </si>
  <si>
    <t xml:space="preserve"> SUPPLY AND DELIVERY OF LABORATORY SUPPLIES FOR RHU LABORATORY The Local Government Unit of Mauban through the GENERAL FUND-4411/5-02-03-080 (03), 2020 intends to		 apply the sum of Six Hundred Forty Nine Thousand Four Hundred Thirty Pesos (Php 649,430.00)</t>
  </si>
  <si>
    <t xml:space="preserve"> Procurement of various construction materials for use in the Repair and Maintenance of National Roads and Bridges within the district, DPWH, Negros Occidental 3rd District Engineering Office, Kabankalan City. 1.	The DPWH Negros Occidental 3rd District Eng</t>
  </si>
  <si>
    <t xml:space="preserve"> Republic of the Philippines DEPARTMENT OF HEALTH WESTERN VISAYAS Center for Health Development INVITATION TO BID FOR THE  Rebidding of Supplies for Water Purification and Testing,  IB No. SB-2020-006 1.	The Department of Health – WV CHD, through the GOP –</t>
  </si>
  <si>
    <t xml:space="preserve"> Republic of the Philippines Province of Davao De Oro MUNICIPALITY OF COMPOSTELA BIDS AND AWARDS COMMITTEE CP#: 0998-571-7569 INVITATION TO BID FOR  Procurement of Hardware Materials for Improvement of Bridges along Purok 9 to Purok 6 Mangayon ITB NO. 2020</t>
  </si>
  <si>
    <t xml:space="preserve"> INVITATION TO BID The Northern Negros State College of Science and Technology at Old Sagay, Sagay City, Negros Occidental through its Bids and Awards Committee (BAC), invites bidders to apply for eligibility and if found eligible, to bid for the hereunder</t>
  </si>
  <si>
    <t xml:space="preserve"> PROCUREMENT OF OTHER SUPPLIES</t>
  </si>
  <si>
    <t xml:space="preserve"> RENTAL OF MOTOR VEHICLE</t>
  </si>
  <si>
    <t xml:space="preserve"> Republic of the Philippines DEPARTMENT OF HEALTH WESTERN VISAYAS Center for Health Development INVITATION TO BID FOR THE  Rebidding of TB Drugs,  IB No. SB-2020-009 1.	The Department of Health – WV CHD, through the NTP CONAP 2019 fund  intends to apply th</t>
  </si>
  <si>
    <t xml:space="preserve"> CONSTRUCTIONS OF SOU PHASE 1</t>
  </si>
  <si>
    <t xml:space="preserve"> 1. The CITY GOVERNMENT OF CALAMBA through the General Fund intends to apply the sum of PHP 1,162,660.80 being the Approved Budget for the Contract (ABC) to payments under the contract for: G-2020-324 Supply and Delivery of Rabies Vaccine City Health Servi</t>
  </si>
  <si>
    <t xml:space="preserve"> Use in Cebu City Medical Center-College of Nursing.</t>
  </si>
  <si>
    <t xml:space="preserve"> Item No.	Unit	Qty.	Description of Articles 1	unit	1	Aircon 			2.5 HP 			Window Type 			Good Quality</t>
  </si>
  <si>
    <t xml:space="preserve"> Republic of the Philippines PROVINCE OF LEYTE Burauen, Leyte INVITATION TO BID   PROCUREMENT OF ONE (1) UNIT MULTI-CAB FOR ENGINEERING OFFICE LGU- BURAUEN, LEYTE The Municipality of Burauen, through the Bids and Awards Committee (BAC) invites contractors </t>
  </si>
  <si>
    <t xml:space="preserve"> 1. The CITY GOVERNMENT OF CALAMBA through the General Fund intends to apply the sum of PHP 4,998,830.71 being the Approved Budget for the Contract (ABC) to payments under the contract for: I-2020-010 Construction of Retaining Wall Barangay Barandal (Calam</t>
  </si>
  <si>
    <t xml:space="preserve"> PROCUREMENT OF TRAINING SUPPLIES</t>
  </si>
  <si>
    <t xml:space="preserve"> 1. The CITY GOVERNMENT OF CALAMBA through the General Fund intends to apply the sum of PHP 2,042,872.49 being the Approved Budget for the Contract (ABC) to payments under the contract for: I-2020-008 Construction of Two Storey Canteen Bldg. with Roof Deck</t>
  </si>
  <si>
    <t xml:space="preserve"> Republic of the Philippines Province of Batangas MUNICIPALITY OF MALVAR Office of the Municipal Mayor SECTION I INVITATION TO BID FOR CONSTRUCTION OF DRAINAGE SYSTEM AT BARANGAY SAN PIOQUINTO, MALVAR BATANGAS 1. The Municipality of Malvar, through the Sup</t>
  </si>
  <si>
    <t xml:space="preserve"> 1. The CITY GOVERNMENT OF CALAMBA through the GAD Fund intends to apply the sum of PHP 1,756,560.00 being the Approved Budget for the Contract (ABC) to payments under the contract for: G-2020-284 Supply and Delivery of Agricultural Inputs: Broiler Product</t>
  </si>
  <si>
    <t xml:space="preserve"> 1. The CITY GOVERNMENT OF CALAMBA through the General Fund intends to apply the sum of PHP 1,416,000.00 being the Approved Budget for the Contract (ABC) to payments under the contract for: G-2020-278 Supply and Delivery of Hearing Aid Office of the City M</t>
  </si>
  <si>
    <t xml:space="preserve"> 1. The CITY GOVERNMENT OF CALAMBA through the Special Education Fund intends to apply the sum of PHP 1,996,597.32 being the Approved Budget for the Contract (ABC) to payments under the contract for: Construction of Drainage Facility, E. Barretto Sr. ES Ba</t>
  </si>
  <si>
    <t xml:space="preserve"> 1. The CITY GOVERNMENT OF CALAMBA through the General Fund intends to apply the sum of PHP 1,416,798.00 being the Approved Budget for the Contract (ABC) to payments under the contract for: G-2020-200 Supply and Installation of Dry Container Van with Pedes</t>
  </si>
  <si>
    <t xml:space="preserve"> 1.	The Provincial Government of Ilocos Norte, through the General Fund  intends to apply the sum of Eighteen Million Pesos            (Php  18,000,000.00                        ) being the Approved Budget for the Contract (ABC) to payments under the contr</t>
  </si>
  <si>
    <t xml:space="preserve"> Item No.	Unit	Qty.	Description of Articles 1	bags	180	Portland Cement 2	cu.m	10	Sand (Washed) 3	cu.m	20	Gravel (Fine) 4	lgth	175	12mm dia x 6.0m DSB  5	lgth	105	10mm dia x 6.0m DSB  6	lgth	10	3" dia x 3.0 m uPVC Pipe, Orange S-500 7	kgs	25	#16 G.I. Tie Wi</t>
  </si>
  <si>
    <t xml:space="preserve"> Republic of the Philippines PROVINCE OF SAMAR Municipality of Pinabacdao Invitation to Bid Concreting of Pathwalk at Core Shelter Project(Pabahay) Pinabacdao Samar 1. The LOCAL GOVERMENT UNIT of Pinabacdao Samar, through the FY 2020 Budget intends to appl</t>
  </si>
  <si>
    <t xml:space="preserve"> Project Billboard/Signboard; Occupational Safety and Health Program; Mobilization/Demobilization; Structure Excavation (Common Soil); Gravel Fill; Structural Concrete (Footings and Slab on Fill) Class A, 28 days; Structural Concrete (Columns) Class A, 28 </t>
  </si>
  <si>
    <t xml:space="preserve"> Procurement of Training Supplies</t>
  </si>
  <si>
    <t xml:space="preserve"> 1. The CITY GOVERNMENT OF CALAMBA through the General Fund intends to apply the sum of PHP 1,500,000.00 being the Approved Budget for the Contract (ABC) to payments under the contract for: G-2020-277 Supply and Delivery of Nebulizer Office of the City May</t>
  </si>
  <si>
    <t xml:space="preserve"> ITEM NO.                DESCRIPTION                            QUANTITY           UNIT 100                        CLEARING  AND GRUBBING            180                  SQ.M 105                        SUB-GRADE PREPARATION             900                 </t>
  </si>
  <si>
    <t xml:space="preserve"> 1. The CITY GOVERNMENT OF CALAMBA through the Special Education Fund intends to apply the sum of PHP 17,979,300.00 being the Approved Budget for the Contract (ABC) to payments under the contract for: G-2020-209 Supply and Installation of CCTV Various Scho</t>
  </si>
  <si>
    <t xml:space="preserve"> Concreting Project at Rafael Lacson Street (Slaughter House Road) Liloy, Zamboanga del Norte amounting                     P 2,300,000.00  190 meters Length 0.20 m thickness 6.10 m width 150 calendar days to complete the project</t>
  </si>
  <si>
    <t xml:space="preserve"> Republic of the Philippines Province of Batangas MUNICIPALITY OF MALVAR Office of the Municipal Mayor SECTION I INVITATION TO BID FOR IMPROVEMENT OF SENIOR CITIZENS BUILDING AT BARANGAY SANTIAGO, MALVAR BATANGAS 1. The Municipality of Malvar, through the </t>
  </si>
  <si>
    <t xml:space="preserve"> Republic of the Philippines BIDS AND AWARDS COMMITTEE Province of Iloilo Invitation to Bid Purchase of  DUPLICATOR MACHINE Bid No. JCH-20-0225-B 1. The Iloilo Provincial Government, through the Supplemental Budget No. 2 2019 intends to apply the sum of ON</t>
  </si>
  <si>
    <t xml:space="preserve"> CONSTRUCTION OF SOU LAST PHASE</t>
  </si>
  <si>
    <t xml:space="preserve"> Contract ID: 20PL0112 Contract Name: Package 2: A.) Repair/Maintenance of Kintoy Kasabaan Flood Control, Bulanao, Tabuk City, Kalinga, B.) Repair/Maintenance of Wakki Creek Flood Control, Sagpat, Bulanao, Tabuk City, Kalinga, C.) Repair Maintenance of Ta-</t>
  </si>
  <si>
    <t xml:space="preserve"> ENVIRONMENTAL SIGNAGES, MATERIALS AND LABOR NOTE: (FOR JOB ORDER) REQUEST FOR QUOTATION SHALL BE THRU EMAIL DUE TO COVID 19.   YOU CAN DROP YOUR QUOTATIONS AT OUR BID BOX SITUATED IN FRONT OF OUR MAINGATE GUARDHOUSE – AGUS 6/7 HPPC.</t>
  </si>
  <si>
    <t xml:space="preserve"> Equipment for Banana Tissue Culture Laboratory Kindly see attached file. Thank you!</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</si>
  <si>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</si>
  <si>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Republic of the Philippines  Province of La Union  Municipality of Bacnotan  Bids and Awards Committee  INVITATION TO BID FOR  Supply and Delivery of Various Information and Communication Technology Equipment  1.	The Municipality of Bacnotan, through the </t>
  </si>
  <si>
    <t xml:space="preserve"> Republic of the Philippines  Province of La Union  Municipality of Bacnotan  Bids and Awards Committee  INVITATION TO BID FOR  Supply and Delivery of Furniture and Fixture for Bacnotan Farmer’s Agri-Tourism Center  1.	The Municipality of Bacnotan, through</t>
  </si>
  <si>
    <t xml:space="preserve"> Republic of the Philippines BIDS AND AWARDS COMMITTEE Province of Iloilo Invitation to Bid Purchase of Medical Equipment Bid No. DDH-19-2097-B 1. The Iloilo Provincial Government, through the 20% IRA OF 2018 intends to apply the sum of ONE HUNDRED EIGHTY </t>
  </si>
  <si>
    <t xml:space="preserve"> SUPPLY OF MATERIALS FOR THE REPAIR &amp; MAINTENANCE OF MOTOR VEHICLES REPAIR &amp; INSTALLATION &amp; MAINTENANCE AND SUPPLY OF MATERIALS FOR SJA 587</t>
  </si>
  <si>
    <t xml:space="preserve"> 1. The CITY GOVERNMENT OF CALAMBA through the General Fund intends to apply the sum of PHP 1,344,000.00 being the Approved Budget for the Contract (ABC) to payments under the contract for: G-2020-279 Supply and Delivery of Monoblock Chairs Office of the C</t>
  </si>
  <si>
    <t xml:space="preserve"> Provision of Combined Field Office, Laboratory and Living Quarters Building for the Engineer (Rental Basis); Miscellaneous Survey and Staking; Project Billboard / Signboard; Occupational Safety and Health Program; Traffic Management; Mobilization/Demobili</t>
  </si>
  <si>
    <t xml:space="preserve"> Rental of Motor Vehicles</t>
  </si>
  <si>
    <t xml:space="preserve"> Republic of the Philippines Province of Batangas MUNICIPALITY OF MALVAR Office of the Municipal Mayor SECTION I INVITATION TO BID  FOR CONSTRUCTION OF CANAL AT BARANGAY SANTIAGO, MALVAR, BATANGAS 1. The Municipality of Malvar, through the Supplemental Bud</t>
  </si>
  <si>
    <t xml:space="preserve"> SUPPLY AND DELIVERY OF THE FOLLOWING: ITEM NO.       DESCRIPTION                                                           UNIT            QUANTITY      I              REINFORCED CONCRETE BOX CULVERT (RCBC)            cum                5.94      II      </t>
  </si>
  <si>
    <t xml:space="preserve"> Department of Public Works and Highways (DPWH) Contract ID: 20IB0142 Contract Name: Construction of Shelves Commission on Audit Office ESDEO-DPWH Location of the Contract: Brgy. Alang-Alang, Borongan City, Eastern Samar Republic of the Philippines DEPARTM</t>
  </si>
  <si>
    <t xml:space="preserve"> Repair of Office Equipment</t>
  </si>
  <si>
    <t xml:space="preserve"> Municipality of Looc INVITATION TO BID FOR Supply/Installation of Isolation Facility Accessories 1.	The Municipality of Looc, through the Bayanihan Grant intends to apply the sum of Php 1,020,000.00 being the Approved Budget for the Contract (ABC) to paym</t>
  </si>
  <si>
    <t xml:space="preserve"> Republic of the Philippines Province of Batangas MUNICIPALITY OF MALVAR Office of the Municipal Mayor SECTION I INVITATION TO BID  FOR IMPROVEMENT OF MULTI-PURPOSE BUILDING AT BARANGAY SAN JUAN, MALVAR, BATANGAS 1.	The Municipality of Malvar, through the </t>
  </si>
  <si>
    <t xml:space="preserve"> Office of the Municipal Mayor	1	unit ID Card Printer Machine, Dye Sublimation, 300dpi, full		 color printing		 		 Refrigerator, 2 doors, 8 cubic feet, digital, inverter	1	unit 		 CCTV, 8 cameras, 16 DVR channels, 32" LED TV, 6 TB HDD	1	unit 		 Office of t</t>
  </si>
  <si>
    <t xml:space="preserve"> Republic of the Philippines  Province of La Union  Municipality of Bacnotan  Bids and Awards Committee  INVITATION TO BID FOR  Supply and Delivery of Drugs and Medicines  1.	The Municipality of Bacnotan, through the General Fund intends to apply the sum o</t>
  </si>
  <si>
    <t xml:space="preserve"> SUPPLY AND DELIVERY OF THE FOLLOWING: ITEM NO.       DESCRIPTION                                                              UNIT          QUANTITY     I                PORTLAND CEMENT, TYPE 1 @ 40 KLS. PER BAG              BAGS            1,110     II  </t>
  </si>
  <si>
    <t xml:space="preserve"> SUPPLY AND DELIVERY OF THE FOLLOWING: ITEM NO.      DESCRIPTION                                            UNIT         QUANTITY     I              DEMOLITION AND CHEEPING WORKS            lot               108.00     II             CONCRETE WORKS        </t>
  </si>
  <si>
    <t xml:space="preserve"> Repair of Motor Vehicles</t>
  </si>
  <si>
    <t xml:space="preserve"> Republic of the Philippines BIDS AND AWARDS COMMITTEE Province of Iloilo Invitation to Bid Purchase of Defibrillator  Bid No. FRT-19-1689-B(REBID) 1. The Iloilo Provincial Government, through the SUPPLEMENTAL BUDGET #2, 2017 intends to apply the sum of ON</t>
  </si>
  <si>
    <t xml:space="preserve"> Republic of the Philippines Office of the Municipal Mayor BIDS AND AWARDS COMMITTEE Sual, Pangasinan Invitation to Bid for PROCUREMENT OF FISHING BOATS  (BANGKA PARA SA MANGINGISDA) Sual, Pangasinan 1.	The Municipal Government of Sual, Pangasinan, through</t>
  </si>
  <si>
    <t xml:space="preserve"> Repair of IT Equipment and Software</t>
  </si>
  <si>
    <t xml:space="preserve"> Contract ID: 20PL0114 Contract Name: Concreting of Brgy. Ballayangon FMR, Brgy. Ballayangon, Pinukpuk, Kalinga Contract Location: Pinukpuk, Kalinga Brief Description: Construction of 810m x 5.0m x 0.20m thk PCCP Approved Budget for the Contract (ABC): PhP</t>
  </si>
  <si>
    <t xml:space="preserve"> SUPPLY AND DELIVERY OF THE FOLLOWING ITEM NO.       DESCRIPTION                                          UNIT       QUANTITY      I              STEEL GATE                                             sqm            11.02      II             STEEL FENCE   </t>
  </si>
  <si>
    <t xml:space="preserve"> Repair and Maintenance of Motor Vehicle</t>
  </si>
  <si>
    <t xml:space="preserve"> ITEM NO.                DESCRIPTION                              QUANTITY           UNIT 100                         CLEARING AND GRUBBING             180                 SQ.M 105                         SUB-GRADE PREPARATION             900              </t>
  </si>
  <si>
    <t xml:space="preserve"> Republic of the Philippines Province of Batangas MUNICIPALITY OF MALVAR Office of the Municipal Mayor SECTION I INVITATION TO BID  FOR IMPROVEMENT OF MULTI-PURPOSE BUILDING AT BARANGAY SAN ISIDRO, MALVAR, BATANGAS 1.	The Municipality of Malvar, through th</t>
  </si>
  <si>
    <t xml:space="preserve"> 1. DEODORIZER.........................................................280 CARBOY Specifications: 100% Biodegradable from Plant Extract 1:200 Dilution Ratio Odor Eliminator Natural Disinfectant Organic Product NOTE: Please be informed that the City Governm</t>
  </si>
  <si>
    <t xml:space="preserve"> 38     pcs     1/4 x 4 x 8 Marine Plywood  80     pcs     2 x 2 x 8 Good Lumber 15     kls     Assorted Common Nails 6      gals     Flatwall Enamel Paint 3      gals     paint Thinner 1      pc       7" Roller Brush w/ Tray 27    mtrs    12/2 PDX Copper </t>
  </si>
  <si>
    <t xml:space="preserve"> SEE ATTACHED FORM TO BID</t>
  </si>
  <si>
    <t xml:space="preserve"> INVITATION TO BID NO. INFRA-2020-04 									 1.	The Municipal Government of Hungduan, Ifugao, through the 20% Municipal Development Fund intends to apply the sum of One Million Six Hundred Thirty Six Thousand Six Hundred Fourteen Pesos &amp; Seventy Four Cen</t>
  </si>
  <si>
    <t xml:space="preserve"> Invitation to Bid 									June 10, 2020 	 1.	 The Municipal Government of Tinoc through the Bids and Awards Committee advertised an Invitation to bid for the Purchase of One (1) Unit Mini Dump Truck   funded under the LGSF – Other Financial Assistance of</t>
  </si>
  <si>
    <t xml:space="preserve"> Republic of the Philippines Province of Eastern Samar Municipality of Mercedes OFFICE OF THE BIDS AND AWARDS COMMITTEE (BAC) INVITATION TO BID # INFRA-2020-006  Invitation to Bid for the Proposed Municipal Building Front Yard Landscaping (Phase 1) &amp; Rehab</t>
  </si>
  <si>
    <t xml:space="preserve"> ITEM        DESCRIPTION                                 QTY.            UNIT   I.           Const. of Bleacher                           10                m</t>
  </si>
  <si>
    <t xml:space="preserve"> Republic of the Philippines Province of Iloilo Municipality of Lemery Invitation to Bid 1.	The Barangay  Marapal,  Lemery, Iloilo, through  General Fund  intends to apply the sum of Two Hundred Twenty Thousand  Pesos ( P220,000.00 ) being the Approved  Bu</t>
  </si>
  <si>
    <t xml:space="preserve"> Republic of the Philippines Province of Leyte Municipality of Hilongos INVITATION TO RE-BID FOR THE PURCHASE OF FUEL, OIL AND LUBRICANTS 1.  The Local Government Unit of Hilongos, through GENERAL FUND-CURRENT APPROPRIATION intends to apply the sum ONE MIL</t>
  </si>
  <si>
    <t xml:space="preserve"> Please see attached bidding documents.</t>
  </si>
  <si>
    <t xml:space="preserve"> Republic of the Philippines																		 Province of Bohol																		 Municipality of Buenavista																		 																		 Barangay Panghagban																	 INVITATION TO APPLY FOR ELIGIBILITY AND TO BID																		 							</t>
  </si>
  <si>
    <t xml:space="preserve"> Office of the Municipal Mayor		 Laptop Computer, Intel Core i7 or higher, GTX 1050 or higher, 8GB RAM	1	unit or higher, 120GB SSD+ 1TB HDD (7200 RPM), Win10 64bit		 		 Desktop Computer, Intel Core i7 or higher, GTX 1070 or higher, 16GB	1	unit RAM, 500GB S</t>
  </si>
  <si>
    <t xml:space="preserve"> INVITATION TO BID The Police Community Affairs and Development Group (PCADG), through its Bids and Awards Committee (BAC), invites all PhilGeps registered suppliers to bid pursuant to the Revised Implementing Rules and Regulations (IRR) of Republic Act (R</t>
  </si>
  <si>
    <t xml:space="preserve"> Office of the Municipal Mayor	 1	Office Chairs, Ergodynamic Design	10 2	Filing Steel Cabinet with vault, 3 layers	1 3	Sofa with coffee table and side table, Hard wood with cushion	1 4	Oconference Table, Customized, arrangeable U-Shape, hard wood	7 		 	Off</t>
  </si>
  <si>
    <t xml:space="preserve"> Specifications Item No.	Description	Quantity	Unit 	ROAD COMPONENTS		 	PART A – OTHER GENERAL REQUIREMENTS		 A.1.4(1)	Provision of Progress Photograps	610.00	each B.5	Project Billboard/Signboard	2.00	each B.7	Occupational Safety &amp; Health Program	all	l.s. B</t>
  </si>
  <si>
    <t xml:space="preserve"> INVITATION TO BID ITB 2020 - _29_ 1.	The Dr. Jose Fabella Memorial Hospital, through General Appropriations Act 2020 (GAA 2020) intends to apply the amount of Seven Million Three Hundred Twenty One Thousand One Hundred Fifty Pesos (Php 7,321,150.00) being</t>
  </si>
  <si>
    <t xml:space="preserve"> 4 	Procurement ID/Contract ID		20LC0155 	Contract Name		Tanglaw Bridge 2 (B00187MN) along Tagum －Panabo Circumferential Road 	Contract Location		Braulio E. Dujali, Davao del Norte 	Brief Description		Widening of Bridge 	Approved Budget for the Contract ( </t>
  </si>
  <si>
    <t xml:space="preserve"> 1	12	Sheets	1/4" thick Marine Plywood 2	150	Bd.Ft.	 2" x 2" x 12' Good lumber 3	160	Bd.Ft.	 2" x 2" x 10' Good lumber 4	55	Bd.Ft.	 2" x 2" x 8' Good lumber 5	10	kgs	  #2 1/2" CWN 6	3	kgs	  #1" CWN 7	12	bd.ft.	1'' x 3'' x 6' good lumber 8	12	bd.ft.	1'' x 3</t>
  </si>
  <si>
    <t xml:space="preserve"> Improvement of Day Care Center</t>
  </si>
  <si>
    <t xml:space="preserve"> Contract ID No.	:20GII0009 Contract Name	:Repair and Maintenance of Defective Roadways under D.O. 41 s2016 along Catarman-Laoang Road and Rawis-Catubig Road Contract Location:Northern Samar Second District Brief Description of Goods to be Procured:Use as </t>
  </si>
  <si>
    <t xml:space="preserve"> INVITATION TO BID NO. INFR-2020-10 									Date: June 10, 2020 1.	The Government of the Philippines (GOP) has received a Loan and administered by the International Fund for Agricultural Development (IFAD) through Loan No. 2000001773 toward the cost of th</t>
  </si>
  <si>
    <t xml:space="preserve"> Installation of Solar LED Street Light at Barangay Salingcomot, Baganga, Davao Oriental.</t>
  </si>
  <si>
    <t xml:space="preserve"> Invitation to Bid 									June 10, 2020 	 1.	 The Municipal Government of Tinoc through the Bids and Awards Committee advertised an Invitation to bid for the Purchase of One (1) Unit Wheeled Backhoe   funded under the Year 2020 Annual Budget – 20% Local </t>
  </si>
  <si>
    <t xml:space="preserve"> Contract ID: 20PL0113 Contract Name: Concreting of Brgy. Sandara FMR, Brgy. Sandara, Rizal, Kalinga Contract Location: Rizal, Kalinga Brief Description: Construction of 600m x 5.0m x 0.20m thk PCCP Approved Budget for the Contract (ABC): PhP 11,937,445.31</t>
  </si>
  <si>
    <t xml:space="preserve"> Republic of the Philippines DEPARTMENT OF PUBLIC WORKS AND HIGHWAYS BATANGAS III DISTRICT ENGINEERING OFFICE REGIONAL OFFICE IV-A J. Gonzales St., Barangay 4, Tanauan City RE-INVITATION TO BID (CW-2020-035) The DPWH–Batangas III District Engineering Offic</t>
  </si>
  <si>
    <t xml:space="preserve"> Republic of the Philippines                                                       Province of Zamboanga del Norte                                                          MUNICIPALITY OF MANUKAN 	                                                           </t>
  </si>
  <si>
    <t xml:space="preserve"> Republic of the Philippines  Province of La Union  Municipality of Bacnotan  Bids and Awards Committee  INVITATION TO BID FOR  COMPUTERIZATION OF INTEGRATED FINANCIAL MANAGEMENT INFORMATION AND OPERATIONS LINKED WITH REVENUE SYSTEM  1.	The Municipality of</t>
  </si>
  <si>
    <t xml:space="preserve"> INVITATION TO BID NO. INFR-2020-11 									Date: June 10, 2020 1.	The Government of the Philippines (GOP) has received a Loan and administered by the International Fund for Agricultural Development (IFAD) through Loan No. 2000001773 toward the cost of th</t>
  </si>
  <si>
    <t xml:space="preserve"> Road Opening at Ikog Buaya, Sitio Nonocan, Barangay Dapnan Phase III, Baganga, Davao Oriental</t>
  </si>
  <si>
    <t xml:space="preserve"> NAME OF PROJECT: FABRICATION OF ELEVATED WATER TANK LOCATION: BRGY. MAILHI, BAYBAY CITY, LEYTE SOURCE OF FUND: IRA DETAILED ESTIMATES  MATERIALS AND LABOR</t>
  </si>
  <si>
    <t xml:space="preserve"> Temporary Facilities, Project Billboard, Construction Safety and Health, Mobilization/Demobilization, Clearing and Grubbing, Roadway Excavation (Surplus Soft Rock for Disposal), Foundation Fill, Pipe Culvert and Drain Excavation, Embankment from Road Exca</t>
  </si>
  <si>
    <t xml:space="preserve"> Republic of the Philippines Province of Cotabato Municipality of Antipas BIDS AND AWARDS COMMITTEE INVITATION TO BID FOR Supply and Installation of Streetlights 1.	The Municipal Government of Antipas, through the Budget approved by the Sanggunian intends </t>
  </si>
  <si>
    <t xml:space="preserve"> CLEANING / CLEARING OF WATERLILIES</t>
  </si>
  <si>
    <t xml:space="preserve"> Scope of Works *Clearing and Grubbing *Sub-Grade Preparation *Aggregate Sub-Base Course *Aggregate Base Course *Portland Cement Concrete Pavement *Stoned Masonry Canal *Contingencies</t>
  </si>
  <si>
    <t xml:space="preserve"> Repair of Building 1, Repair of Building 2, Repair of Gazebo and Wooden Trellis, Repainting of Gate, Electrical Works (Bldg 1, 2 and Gazebo), Construction of Pumphouse, Installation of Water Tanks, Temporary Facilities, Project Billboard, Mobilization/Dem</t>
  </si>
  <si>
    <t xml:space="preserve"> Scope of Works: *Clearing and Grubbing *Structural Excavation *Filling and Compaction, Concrete Works *Forms and Scaffolding *Masonry Works *Septic Tank *Windows *Doors *Corrugated Metal Roofing *Ceiling *Plumbing Works *Roof Framing Works *Painting Works</t>
  </si>
  <si>
    <t xml:space="preserve"> Republic of the Philippines Province of Bukidnon MUNICIPALITY OF LIBONA   INVITATION TO BID 	The Local Government Unit of libona, through its Bids and Awards Committee (BAC) invites Suppliers/manufacturers/distributors/contractors with to apply for eligib</t>
  </si>
  <si>
    <t xml:space="preserve"> Scope of Works *Lay-Out *Base Preparation *Portland Cement Concrete Pavement *Labor *Equipment Rental *Contingencies</t>
  </si>
  <si>
    <t xml:space="preserve"> Republic of the Philippines Province of Northern Samar LOCAL GOVERNMENT UNIT CAPUL, NORTHERN SAMAR BID AND AWARDS COMMITTEE INVITATION TO BID 2020-06-001 GD The LOCAL GOVERNMENT UNIT OF CAPUL NORTHERN SAMAR through its BIDS AND AWARDS COMMITTEE (BAC), inv</t>
  </si>
  <si>
    <t xml:space="preserve"> False Works and Forms, Concrete Slab, Masonry Works, Carpentry Works, Glass Works, and Fabricated Materials, Reflected Ceiling, Electrical Works, Tile Works (CR), Painting Works, Riprap (Class A) – Slope Protection, Lined Canal (0.80 x 0.90m), Storm Drain</t>
  </si>
  <si>
    <t xml:space="preserve"> TRAINING PACKAGE OF SECURITY, BODY GUARD AND TRAFFIC ENFORCER OF MAUBAN, QUEZON The Local Government Unit of Mauban through the GENERAL FUND, 1011/5-02-02-010, 2020 intends to apply the sum of Two hundred ninety two thousand pesos (Php 292,000.00) being t</t>
  </si>
  <si>
    <t xml:space="preserve"> CONSTRUCTION OF APAYAO LIVELIHOOD TRAINING CENTER</t>
  </si>
  <si>
    <t xml:space="preserve"> Rehabilitation of Barangay Road from Diversion Road to Sitio Paopagon, Barangay Salingcomot, Baganga, Davao Oriental.</t>
  </si>
  <si>
    <t xml:space="preserve"> BARANGAY DAY PARADE</t>
  </si>
  <si>
    <t xml:space="preserve"> Benguet First District Engineering Office La Trinidad, Benguet June 8, 2020 INVITATION TO BID The Benguet First District Engineering Office, through its Bids and Awards Committee (BAC), invites contractors to submit bids for the following Contract: Contra</t>
  </si>
  <si>
    <t xml:space="preserve"> Construction of Multi-Purpose Building, Centro 10, Tuguegarao City, Cagayan</t>
  </si>
  <si>
    <t xml:space="preserve"> Construction of Masonry Drainage Structure, Along Highway Road, Caritan Centro, Tuguegarao City</t>
  </si>
  <si>
    <t xml:space="preserve"> WASTE MANAGEMENT MATERIALS</t>
  </si>
  <si>
    <t xml:space="preserve"> INVITATION TO BID The Department of Public Works and Highways Ilocos Norte Second District Engineering Office , through its Bids and Awards Committee (BAC) for Goods, invites suppliers to submit bids for the following Contract: Contract ID: 20GAB0003 Cont</t>
  </si>
  <si>
    <t xml:space="preserve"> ADDITIONAL CCTV at PANSOL PROPER AND KAINGIN 1</t>
  </si>
  <si>
    <t xml:space="preserve"> Republic of the Philippines Department of Education Region VIII SCHOOLS DIVISION OF TACLOBAN CITY Tacloban City INVITATION TO BID Project No.: CY 2020_QRF (REPAIR)-Lot 1 1. The Department of Education (DepED) Division of Tacloban City, through the General</t>
  </si>
  <si>
    <t xml:space="preserve"> INVITATION TO BID NO. INFRA-2020-05 									 1.	The Municipal Government of Hungduan, Ifugao, through the 20% Municipal Development Fund intends to apply the sum of Five Hundred Seventy Thousand Two Hundred Seventy Four Pesos &amp; Fifty Seven Centavos (₱572</t>
  </si>
  <si>
    <t xml:space="preserve"> INVITATION TO BID FOR THE PROCUREMENT OF VARIOUS AGRICULTURAL INPUTS AND POST-HARVEST FACILITIES FOR TECHNOLOGY DEMONSTRATION AND POST-HARVEST PROJECTS IMPLEMENTATION UNDER THE NATIONAL FISHERIES PROGRAM FOR CY 2020 (2ND BIDDING) Invitation to Bid No. 202</t>
  </si>
  <si>
    <t xml:space="preserve"> Construction of Masonry Drainage Structure, Along Reyno Street, Caritan Centro, Tuguegarao City</t>
  </si>
  <si>
    <t xml:space="preserve"> Please see attached bidding documents for details.</t>
  </si>
  <si>
    <t xml:space="preserve"> 1. 40	units	 Hospital Bed 3 cranks panel type Complete set w/ 6” Bed Mattress, side rails, IV Pole size: 2160mm x 1000mm x 500mm Standard Configuration: Double Protection Screw System Luxurious Silent Castors Aluminum Alloy Guardrails Double Protection Sc</t>
  </si>
  <si>
    <t xml:space="preserve"> INVITATION TO  BID The Municipality of San Nicolas, Pangasinan through its Bids and Awards Committee (BAC), invites contractors registered with and classified by the Philippine Contractors Accreditation Board (PCAB) to apply for eligibility and if found e</t>
  </si>
  <si>
    <t xml:space="preserve"> INVITATION TO BID NO. INFRA-2020-08 									 1.	The Municipal Government of Hungduan, Ifugao, through the 20% Municipal Development Fund intends to apply the sum of One Million One Hundred Fifty Thousand Four Hundred Sixty Two Pesos &amp; Forty Two Centavos </t>
  </si>
  <si>
    <t xml:space="preserve"> Republic of the Philippines                   Department of Health	       CENTRAL OFFICE BIDS AND AWARDS COMMITTEE  INVITATION TO BID FOR THE PROCUREMENT OF LAN ADAPTER TYPE-C IB NO. 2020-220 1.	The Department of Health (DOH), through the General Appropri</t>
  </si>
  <si>
    <t xml:space="preserve"> Republic of the Philippines Province of Bukidnon MUNICIPALITY OF LIBONA Barangay Government Unit of Pongol INVITATION TO BID 	The Barangay Government Unit of Pongol, through its Bids and Awards Committee (BAC) invites Suppliers/manufacturers/distributors/</t>
  </si>
  <si>
    <t xml:space="preserve"> CONSTRUCTION/REHABILITATION OF WATER SUPPLY/SEPTAGE AND SEWERAGE/RAIN WATER COLLECTORS</t>
  </si>
  <si>
    <t xml:space="preserve"> 2 units Rescue Passenger Van 2.2L Diesel MT Length: 4,260mm- 4300mm Width:1,695mm- 1700mm Height: 1,895mm wheelbase: 2,350mm curb weight: 1,140kg- 1,200kg engine: 2.2L E4 Compliant fuel tank capacity: 55L Suspension Front Independent Wishbone and coil sta</t>
  </si>
  <si>
    <t xml:space="preserve"> ITEM NO.	ITEM AND DESCRIPTION			QTY	UNIT 1	Electrical wirings (drop wire) No. 6 for Surung SUSIMO Building			50	Linear meter 2	Electrical wirings (drop wire) No. 6 for PITA SUSIMO Building			125	Linear meter 3	Electrical wirings (drop wire) No. 6 for Cal-</t>
  </si>
  <si>
    <t xml:space="preserve"> Republic of the Philippines						 Province of Negros Occidental						 Municipality of La Castellana						 Bids and Awards Committee						 						 INVITATION TO APPLY FOR ELIGIBILITY AND TO BID						 						 Name of Project: 		WIDENING OF MUNICIPAL STREETS 	</t>
  </si>
  <si>
    <t xml:space="preserve"> Republic of the Philippines Municipality of Taytay Taytay, Palawan NOTICE TO BIDDERS Item # Qty Unit Description Amount 1. 1 unit Brand New Vehicle (VAN) Specification: Transmission and chassis: Transmission: 6-speed MANUAL, Suspension Front/Rear: McPhers</t>
  </si>
  <si>
    <t xml:space="preserve"> Republic of the Philippines DEPARTMENT OF PUBLIC WORKS AND HIGHWAYS LAGUNA II DISTRICT ENGINEERING OFFICE REGIONAL OFFICE IV-A Brgy. Bambang, Los Baños, Laguna Invitation to Bid No. 2020 - 08 The Department of Public Works and Highways- Laguna II District</t>
  </si>
  <si>
    <t xml:space="preserve"> Concreting of Local Roads with 130m (Item 311) Length, 0.20m thickness, 5.00m width and 1.00m shouldering on both sides. Scope of Works: Item 102 - Surplus Common Excavation Item 103(6) - Pipe Culvert and Drain Excavation Item 200 - Aggregates Sub-base Co</t>
  </si>
  <si>
    <t xml:space="preserve"> Concreting of Roads (Shoulders), Along Highway Road, Caritan Centro, Tuguegarao City</t>
  </si>
  <si>
    <t xml:space="preserve"> 1. The Provincial Government of Davao Del Norte, through 20% DF CY 2020 and Trust Fund (NHA), intends to apply the sum of Forty Four Million Six Hundred Twenty Four Thousand One Hundred Thirty Two and 95/100 Pesos (Php 44,624,132.95) and being the Approve</t>
  </si>
  <si>
    <t xml:space="preserve"> INVITATION TO BID NO. INFRA-2020-07 									 1.	The Municipal Government of Hungduan, Ifugao, through the 20% Municipal Development Fund intends to apply the sum of Nine Hundred Fifty Four Thousand Eight Hundred Sixty Five Pesos &amp; Ninety Seven Centavos (</t>
  </si>
  <si>
    <t xml:space="preserve"> Republic of the Philippines Office of the Punong Barangay BIDS AND AWARDS COMMITTEE Lucaban, Burgos, Ilocos Sur INVITATION TO BID The Barangay Government of Lucaban, Burgos, Ilocos Sur, through its Bids and Awards Committee (BAC) invites bids for the here</t>
  </si>
  <si>
    <t xml:space="preserve"> Passenger Van Engine: 1GD ftv, 4 cylinders in line 16 valve DOHC Diplacement: 2,755 Emission Standard: Euro 4 Seating Capacity:15 Over All LxWxH: 5,265x1,950x1990 Transmission: 6 speed manual Power Features: Window, Door Retract Steering System: Variable </t>
  </si>
  <si>
    <t xml:space="preserve"> Section I. Invitation to Bid   INVITATION TO BID FOR  Supply and Delivery of 6x6 Saddam Truck Rescue Vehicle (Surplus) 1.	The Local Government Unit of Lambayong, through the MDRRM Expenses Fund intends to apply the sum of Two Million Four Hundred Fifty Th</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</si>
  <si>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</si>
  <si>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SEE ATTACHED INVITATION TO BID, CHECKLISTS, BIDDING DOCUMENTS, STANDARD BIDDING FORMS AND PLANS</t>
  </si>
  <si>
    <t xml:space="preserve"> INVITATION TO BID June 8, 2020 The Eastern Visayas Regional Medical Center, through its Bids and Awards Committee (BAC A) invites suppliers/manufacturers/distributors to bid for the hereunder project:  Item/Description	Approved Budget for the Contract (AB</t>
  </si>
  <si>
    <t xml:space="preserve"> Republic of the Philippines Province of Bukidnon MUNICIPALITY OF LIBONA Barangay Government Unit of Capihan INVITATION TO BID 	The Barangay Government Unit of Capihan, through its Bids and Awards Committee (BAC) invites Suppliers/manufacturers/distributor</t>
  </si>
  <si>
    <t xml:space="preserve"> 1. 50,000		pcs	Thermal Printed Card (design to be provided) 				Process: Retransfer 	Printing: YMCKO Finish: Overlay Gloss / Laminated Size: ISO CR80 85.60 x 53.98 mm Protocol: ISO 14443A Thickness: 0.88mm 13.56MHz MIFARE Classic 1K PVC Card body material</t>
  </si>
  <si>
    <t xml:space="preserve"> Please see Request for Quotation/Bid form attached to Associated Components.</t>
  </si>
  <si>
    <t xml:space="preserve"> INVITATION TO BID NO. INFRA-2020-03 									 1.	The Municipal Government of Hungduan, Ifugao, through the 20% Municipal Development Fund intends to apply the sum of Five Hundred Seventy Six Thousand Sixty Two Pesos &amp; Eleven Centavos (₱576,062.11) being t</t>
  </si>
  <si>
    <t xml:space="preserve"> Air Freshener, 280 ml can, lemon	75	can Air Freshener,gel	17	pack Alcohol, 500ml, 70% ethanol	181	bottle Ballpen (Blue)	24	piece Ballpen (Black)	228	piece Ballpen (Red)	28	piece Battery, dry cell, AA	46	packet Battery, dry cell, AAA	15	packet Bleach disin</t>
  </si>
  <si>
    <t xml:space="preserve"> Rehabilitation of Barangay Road from Sitio Cabanbanan, Barangay Dapnan to Sitio Lapaz &amp; Sitio Calinaban, Barangay San Isidro, Baganga, Davao Oriental</t>
  </si>
  <si>
    <t xml:space="preserve"> Toyota Hilux 4x2</t>
  </si>
  <si>
    <t xml:space="preserve"> Republic of the Philippines                   Department of Health	       CENTRAL OFFICE BIDS AND AWARDS COMMITTEE  INVITATION TO BID FOR THE  PROCUREMENT OF VARIOUS USB FLASH DRIVE  IB NO. 2020-210 1.	The Department of Health (DOH), through the General A</t>
  </si>
  <si>
    <t xml:space="preserve"> Item No.	Scope of Work	 		 405	MASONRYWORKS	 707	REINFORCING STEEL	 300	REINFORCING CONCRETE	 1027	PLASTERING WORKS	 1010	DOORS	 1009	WINDOWS	 1003	CEILINGS	 1102	ELECTRICAL WORKS	 SPL	TILING WORKS	 1032	PAINT WORKS	 B.5:	PROJECT BILLBOARD</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</si>
  <si>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</si>
  <si>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</si>
  <si>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Scope of Works: *Layout *Structural Excavation and Clearing *Filling and Compaction *Concrete Works *Masonry Works, Roof Framing Works *Ceiling *Roofing Works *Doors *Windows *Sanitary Works, Septic Tank *Painting *Window Grills *Electrical *Hauling</t>
  </si>
  <si>
    <t xml:space="preserve"> Invitation to Bid for Construction of Two (2) Storey Men’s Dormitory Building at ESSU Salcedo Campus Re-Bidding 1.	The Eastern Samar State University – Main Campus, through the FY 2020 GAA, R.A 11465 intends to apply the sum of Eighteen Million Two Hundre</t>
  </si>
  <si>
    <t xml:space="preserve"> Item No.	Scope of Work	 		 403	REINFORCING STEEL	 900	REINFORCE CONCRETE	 414	FORMS &amp; FALSEWORKS	 704	MASONRY WORKS	 103(1)a	Structure Excavation	 1027	PLASTERING WORKS	 1010	WINDOW	 SPL	TILE WORKS	 ITEM B.5:	PROJECT BILLBOARD</t>
  </si>
  <si>
    <t xml:space="preserve"> Republic of the Philippines DEPARTMENT OF PUBLIC WORKS AND HIGHWAYS Region VII   South Road Properties (SRP), Cebu City                                        Contract ID	 : 20H00061 Contract Name  : Cluster Project: Construction of Rain Water Supply/Sept</t>
  </si>
  <si>
    <t xml:space="preserve"> Rehabilitation of Barangay Road from Proper San Victor to Sitio Heni, Barangay San Victor, Baganga, Davao Oriental</t>
  </si>
  <si>
    <t xml:space="preserve"> Section I. Invitation to Bid     Republic of the Philippines Province of La union Municipality of Bacnotan INVITATION TO BID The Local Government of Bacnotan through its Bids and Awards Committee (BAC) invites contractors to submit bids for the following </t>
  </si>
  <si>
    <t xml:space="preserve"> Lot 1 - IT Equipments Lot 2 - Furniture and Fixtures</t>
  </si>
  <si>
    <t xml:space="preserve"> DEMOLITION OF UNNECESSARY STRUCTURES, CONCRETE AND MASONRY WORKS, FORM WORKS AND SCAFFOLDING WORKS, TILES, METAL AND ROOFING WORKS, SANITARY AND PLUMBING WORKS, CEILING AND CARPENTRY WORKS, DOORS AND WINDOWS, ELECTRICAL AND PAINTING WORKS.</t>
  </si>
  <si>
    <t xml:space="preserve"> Construction of Teacher Education Building (General Requirements, Mobilization &amp; Demobilization, Demolition, Excavation, Filling, Concrete &amp; Masonry Works, Column Footings, Tie Beam &amp; Wall Footing, Columns (grand to roof deck) Second Floor Beam, Ground Fl</t>
  </si>
  <si>
    <t xml:space="preserve"> Republic of the Philippines DEPARTMENT OF HEALTH WESTERN VISAYAS Center for Health Development INVITATION TO BID FOR THE  Procurement of Disinfectants,  IB No. SB-2020-020 1.	The Department of Health – WV CHD, through the SAA-2020-03-0345 fund  intends to</t>
  </si>
  <si>
    <t xml:space="preserve"> Improvement of Cemetery Road</t>
  </si>
  <si>
    <t xml:space="preserve"> Construction of Pa-o Farmers Multi-purpose Pavement</t>
  </si>
  <si>
    <t xml:space="preserve"> Improvement of Sector 7 Calungbuyan Farm to Market Road</t>
  </si>
  <si>
    <t xml:space="preserve"> The Local Government Unit of Barugo, through the Department of Labor and Employment Integrated Livelihood and Emergency Employment Program (DILEEP) 2019 intends to apply the sum of Eight Hundred Eleven Thousand Pesos only (Php811,000.00) being the Approve</t>
  </si>
  <si>
    <t xml:space="preserve"> Invitation to Bid The National Housing Authority (NHA), through the Corporate Budget approved by the NHA Board for CY 2020 intends to apply the sum of the Approved Budget for the Contract (ABC) to payments for the following contract: Ref. No. 2020-010	 PR</t>
  </si>
  <si>
    <t xml:space="preserve"> Improvement of Bet-ang Farmers Multi-purpose Pavement</t>
  </si>
  <si>
    <t xml:space="preserve"> Republic of the Philippines Province of La union Municipality of Bacnotan INVITATION TO BID The Local Government of  Bacnotan through its Bids and Awards Committee (BAC) invites contractors to submit bids for the following contract. Contract Name: Improve</t>
  </si>
  <si>
    <t xml:space="preserve"> Improvement of Bet-ang Farmers Multi-purpose Building</t>
  </si>
  <si>
    <t xml:space="preserve"> The Local Government Unit – Quinapondan, Eastern Samar, through its Bids &amp; Awards Committee (BAC ), intends to apply the sum of On Hundred Sixty six Thousand One Hundred Sixty five Pesos and 12/100 (Php166,165.12) under the approved Appropriation Ordinanc</t>
  </si>
  <si>
    <t xml:space="preserve"> Republic of the Philippines Department of Education Region VIII SCHOOLS DIVISION OF TACLOBAN CITY Tacloban City INVITATION TO BID Project No.: CY 2020_QRF (REPAIR)-Lot 2 1. The Department of Education (DepED) Division of Tacloban City, through the General</t>
  </si>
  <si>
    <t xml:space="preserve"> Local Government of Valencia Catarata Street, Poblacion, Valencia City,  Bukidnon, Philippines Philippine access (088) 828-5430 Contract Reference No. 2020-09 RE-BID 06/09/2020 INVITATION TO BID FOR THE SUPPLY AND DELIVERY OF 2 UNITS BRANDNEW UTILITY VAN </t>
  </si>
  <si>
    <t xml:space="preserve"> SCOPE OF WORK IN EACH BARANGAY: I. BASE COURSE AGGREGATES 18.90 CU.M. II. CONCRETE WORKS  128.31 CU.M.</t>
  </si>
  <si>
    <t xml:space="preserve"> June 9, 2020 1.	The Provincial Government of Davao del Sur, through its Special Bids and Awards Committee (SBAC), invites all potential bidders/contractors to apply to bid for the following project. Bids submitted in excess of the ABC shall be automatical</t>
  </si>
  <si>
    <t xml:space="preserve"> I.  MOBILIZATION/DEMOBILIZATION II. FORM WORKS III. MASONRY WORKS</t>
  </si>
  <si>
    <t xml:space="preserve"> INVITATION TO BID FOR THE REBIDDING ON THE PROVISION OF LABOR, MATERIALS, EQUIPMENT AND OTHER INCIDENTALS NEEDED FOR THE IMPROVEMENT OF TANGAOAN SMALL WATER IMPOUNDING PROJECT (SWIP) CANAL LINING AT BRGY. TANGAOAN, PIDDIG, ILOCOS NORTE 1.	The Department o</t>
  </si>
  <si>
    <t xml:space="preserve"> Republic of the Philippines Department of Health Central Luzon Center for Health Development Talavera General Hospital Talavera, Nueva Ecija   ISO QMS Certified INVITATION FOR NEGOTIATION Negotiation of Supply &amp; Delivery of Various Drugs &amp; Medicine for Ja</t>
  </si>
  <si>
    <t xml:space="preserve"> ITEMS OF WORK: I. EARTHWORKS AND MOBILIZATION ......................................................1.00 Lot II. FORMWORKS......................................................1.00 Lot III. CONCRETE AND MASONRY WORKS.......................................</t>
  </si>
  <si>
    <t xml:space="preserve"> 2020-053, CONCRETING OF BARANGAY ROAD AT PUROK 3-PUROK 5, LAGUMBINGAN, MIDSAYAP, COTABATO</t>
  </si>
  <si>
    <t xml:space="preserve"> Republic of the Philippines DEPARTMENT OF HEALTH WESTERN VISAYAS Center for Health Development INVITATION TO BID FOR THE  Procurement of N95 Mask,  IB No. SB-2020-021 1.	The Department of Health – WV CHD, through the NTP CONAP 2019 fund  intends to apply </t>
  </si>
  <si>
    <t xml:space="preserve"> INVITATION TO BID FOR  Procurement of Sound System 1.	The Local Government Unit  of Don Victoriano,  Don Victoriano, Misamis  Occidental through the  Bids and Awards Committee BAC intends to apply the sum of   Four Hundred Thousand Pesos  (P 400,000.00)  </t>
  </si>
  <si>
    <t xml:space="preserve"> INVITATION TO BID FOR THE REBIDDING ON THE PROVISION OF LABOR, MATERIALS, EQUIPMENT AND OTHER INCIDENTALS NEEDED FOR THE REHABILITATION/IMPROVEMENT OF BIMOYAYONG DIVERSION DAM (DD) AT BRGY. VIRBIRA, CARASI, ILOCOS NORTE 1.	The Department of Agriculture Re</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</si>
  <si>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</si>
  <si>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INVITATION TO BID FOR THE REBIDDING ON THE PROVISION OF LABOR, MATERIALS, EQUIPMENT AND OTHER INCIDENTALS NEEDED FOR THE REHABILITATION/IMPROVEMENT OF PIMENTEL SMALL WATER IMPOUNDING PROJECT (SWIP) CANAL LINING AT BRGY. PIMENTEL, BATAC CITY, ILOCOS NORTE </t>
  </si>
  <si>
    <t xml:space="preserve"> INVITATION TO BID FOR THE REBIDDING ON THE PROVISION OF LABOR, MATERIALS, EQUIPMENT AND OTHER INCIDENTALS NEEDED FOR THE REHABILITATION OF BUNGAD DIVERSION DAM (DD) AT BRGY. ANGSET, CARASI, ILOCOS NORTE 1.	The Department of Agriculture Regional Field Offi</t>
  </si>
  <si>
    <t xml:space="preserve"> Republic of the Philippines                   Department of Health	       CENTRAL OFFICE BIDS AND AWARDS COMMITTEE  INVITATION TO BID FOR THE PROCUREMENT OF LINK LOAD BALANCER IB NO. 2020-219 1.	The Department of Health (DOH), through the General Appropri</t>
  </si>
  <si>
    <t xml:space="preserve"> SUPPLY AND DELIVERY OF MATERIALS FOR IMPROVEMENT OF MULTI-PURPOSE HALL IN BARANGAY BATO, MAUBAN, QUEZON. 1.	The Local Government Unit of Mauban through the 20% DEVELOPMENT FUND (DF)-8751/1-07-10-030, 2020 intends to apply the sum of Two hundred sixty seve</t>
  </si>
  <si>
    <t xml:space="preserve"> Contract ID: 20PL0115 Contract Name: Upgrading/Improvement of Local Road from Employees Village-Upper CARAA Ground-NIA Access Road, Bulanao, Tabuk City, Kalinga Contract Location: Tabuk City, Kalinga Brief Description: Construction of 210m x 6.1m x 0.23m </t>
  </si>
  <si>
    <t xml:space="preserve"> Republic of the Philippines Province of Iloilo Municipality of Lemery Invitation to Bid 1.	The Barangay  Velasco,  Lemery, Iloilo, through  General Fund  intends to apply the sum of One Hundred Fifty Three Thousand Three Hundred Pesos ( P153,300.00 ) bein</t>
  </si>
  <si>
    <t xml:space="preserve"> INVITATION TO BID NO. INFRA-2020-06 									 1.	The Municipal Government of Hungduan, Ifugao, through the 20% Municipal Development Fund intends to apply the sum of Six Hundred Sixty Eight Thousand Five Hundred Forty Five Pesos &amp; Ten Centavos (₱668,545.1</t>
  </si>
  <si>
    <t xml:space="preserve"> I N V I T A T I O N   T O   B I D  The Visayas State University (VSU) through its Bids and Awards Committee (BAC) invites contractors to bid for the hereunder project: Name of Project 	:  Completion of Covered Court of VSU Isabel (INFRA-20-05) Location		:</t>
  </si>
  <si>
    <t xml:space="preserve"> 1 lot 2020-054, CONCRETING OF BARANGAY ROAD FROM BARANGAY HALL TO PUROK 6, MALAMOTE, MIDSAYAP, COTABATO</t>
  </si>
  <si>
    <t xml:space="preserve"> Section I. Invitation to Bid     Republic of the Philippines Province of La union Municipality of Bacnotan INVITATION TO BID The Local Government of  Bacnotan through its Bids and Awards Committee (BAC) invites contractors to submit bids for the following</t>
  </si>
  <si>
    <t xml:space="preserve"> CONSTRUCTION OF PERIMETER FENCE WITH PERGOLA OF EARLY CHILDHOOD CARE AND DEVELOPMENT CENTER AT POBLACION ZONE II, JAVIER LEYTE. TERMS AND CONDITIONS : 1.	Supply and Delivery of  Labor and Materials for the Construction of Perimeter Fence with Pergola of E</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</si>
  <si>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</si>
  <si>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Republic of the Philippines Department of Education Region VIII SCHOOLS DIVISION OF TACLOBAN CITY Tacloban City INVITATION TO BID Project No.: CY 2020_QRF (REPAIR)-Lot 3 1. The Department of Education (DepED) Division of Tacloban City, through the General</t>
  </si>
  <si>
    <t xml:space="preserve"> Republic of the Philippines Office of the Punong Barangay BIDS AND AWARDS COMMITTEE Dirdirig Burgos, Ilocos Sur INVITATION TO BID The Barangay Government of Dirdirig, Burgos, Ilocos Sur, through its Bids and Awards Committee (BAC) invites bids for the her</t>
  </si>
  <si>
    <t xml:space="preserve"> Republic of the Philippines Province of La union Municipality of Bacnotan INVITATION TO BID The Local Government of Bacnotan through its Bids and Awards Committee (BAC) invites contractors to submit bids for the following contract. Contract Name: Improvem</t>
  </si>
  <si>
    <t xml:space="preserve"> The Local Government Unit – Quinapondan, Eastern Samar, through its Bids &amp; Awards Committee (BAC ), intends to apply the sum of One Hundred Fifty Five Thousand Four Hundred Sixty One Pesos and 76/100 (Php155,461.76) under the approved Appropriation Ordina</t>
  </si>
  <si>
    <t xml:space="preserve"> CONCRETING OF BARANGAY TUBTUBA FMR Contract Location:                     Barangay Tubtuba, Tubo, Abra Brief Description:                     Concreting of Roads using PCCP (Unreinforced, 0.20m thk., 14 days) The DPWH-Abra District Engineering Office rese</t>
  </si>
  <si>
    <t xml:space="preserve"> See attached ITB No. GOODS-20-108 and print Bid Notice Abstract</t>
  </si>
  <si>
    <t xml:space="preserve"> Barangay Road Opening:  - From NHJ Sitio Tuajon, Barangay Dapnan to Sitio Kasukan, Barangay San Victor  - From Barangay Site Saoquigue to Diversion Road.  - From Proposed Cemetery, Barangay Salingcomot  - At Ikog Buaya, Sitio Nonocan, Barangay Dapnan Phas</t>
  </si>
  <si>
    <t xml:space="preserve"> Construction of PDAO Office Extension Building at Municipal Complex, Baganga, Davao Oriental.</t>
  </si>
  <si>
    <t xml:space="preserve"> Structure Excavation; Embankment; Structural Concrete for Fooling and Slab on Fill; Structural Concrete for Fooling Tie Beam, Girder/Beam; Reinforcing Steel of Reinforced Concrete Structures; Formworks and Falseworks; catch Basin (Concrete/CHB); Plumbing </t>
  </si>
  <si>
    <t xml:space="preserve"> 1 lot 2020-052, CONCRETING OF ROAD FROM PUROK 5-PUROK 9, SAN ISIDRO, MIDSAYAP, COTABATO</t>
  </si>
  <si>
    <t xml:space="preserve"> Construction of 1 unit Multi-Purpose Pavement (0.10 x 17 x 28 M) at Sitio Obian 2, Barangay San Victor, Baganga, Davao Oriental.</t>
  </si>
  <si>
    <t xml:space="preserve"> Republic of the Philippines Province of South Cotabato BIDS AND AWARDS COMMITTEE Salada Street, Poblacion Tupi, South Cotabato Tel. Fax No.: (083) 226-1045 INVITATION TO BID FOR THE SUPPLY AND DELIVERY OF ONE (1) UNIT UTILITY VEHICLE (PICK UP) 1.	The Muni</t>
  </si>
  <si>
    <t xml:space="preserve"> Republic of the Philippines Province of Oriental Mindoro Municipality of Bulalacao Invitation to Bid for   IMPROVEMENT OF BULALACAO BAY PARK FOR URBAN GREENING/EXPANSION OF FISH LANDING PORT            June 1, 2020 1.	The Municipality of Bulalacao, throug</t>
  </si>
  <si>
    <t xml:space="preserve"> Construction of Concrete “Mabuhay Silvino  Lubos” Signage to include earthworks and  concrete works (footing, pedestal, slab on  grade, concrete signage).</t>
  </si>
  <si>
    <t xml:space="preserve"> INVITATION TO BID  for the following Projects: Construction/Rehabilitation of Water Supply/Rain Water Collector, Office of the Governor, Office of the Vice-Governor, GSO Building of the Provincial Capitol, Provincial Police Office Building, Municipal Poli</t>
  </si>
  <si>
    <t xml:space="preserve"> CONCRETING OF BARANGAY ALANGTIN FMR Contract Location:                     Barangay Alangtin, Tubo, Abra Brief Description:                     Concreting of Roads using PCCP (Unreinforced, 0.28m thk., 14 days) The DPWH-Abra District Engineering Office re</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</si>
  <si>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E</t>
  </si>
  <si>
    <t xml:space="preserve"> Supply and Delivery of Four (4) Units Motorcycle- DRR Rescue Vehicle With the Following Specifications: Engine Type: not exceeding 200cc Displacement: not exceeding 200cc Seating Capacity: 1 driver plus 8 passengers Type of Fuel: Gasoline Additional Appar</t>
  </si>
  <si>
    <t xml:space="preserve"> Construction of Masonry Drainage Structure, Along Del Rosario Street, Centro 06, Tuguegarao City, Cagayan</t>
  </si>
  <si>
    <t xml:space="preserve"> Republic of the Philippines Province of Agusan del Norte Municipality of Nasipit Invitation to Bid for the Improvement of Public Bus Terminal (Road Concreting of the Rear Portion of Bus Terminal) and Construction of Public Bus Terminal Drainage System, Br</t>
  </si>
  <si>
    <t xml:space="preserve"> CONTRACT NO.: BNLSL-LCB-28A-2020 LOCATION: Cambalading SIP, Albuera, Leyte SCOPE OF WORK: Construction of Supplementary Dam APPROVED BUDGET FOR CONTRACT: Php 5,859,258.63 CONTRACT DURATION: 180 calendar days Bidding will be conducted in accordance with re</t>
  </si>
  <si>
    <t xml:space="preserve"> Rehabilitation of of Sunrise Boulevard, Barangay Dapnan, Baganga, Davao Oriental</t>
  </si>
  <si>
    <t xml:space="preserve"> INVITATION TO BID FOR Procurement of Security Manpower Services FY 2020 for NORSU Campuses Project Reference No.: GOOD2020-03-03 1. The Negros Oriental State University (NORSU) Campuses and the Bids and Awards Committee (BAC), through General Appropriatio</t>
  </si>
  <si>
    <t xml:space="preserve"> CONTRACT NO.: BNLSL-LCB-28-2020 LOCATION: Cambalading SIP, Albuera, Leyte SCOPE OF WORK: Construction of Diversion Works, Canal and Farm Level System (Package I)  APPROVED BUDGET FOR CONTRACT: Php 17,805,795.61 CONTRACT DURATION: 360 calendar days Bidding</t>
  </si>
  <si>
    <t xml:space="preserve"> Republic of the Philippines Department of Education Region VIII SCHOOLS DIVISION OF TACLOBAN CITY Tacloban City INVITATION TO BID Project No.: CY 2020_QRF (REPAIR)-Lot 6 1. The Department of Education (DepED) Division of Tacloban City, through the General</t>
  </si>
  <si>
    <t xml:space="preserve"> Procurement of One (1) unit Brand New Van (for Mobile Blood Donation).</t>
  </si>
  <si>
    <t xml:space="preserve"> Replacement of Roofing panels of legislative  building, replacement of 5 units steel  windows to aluminum sliding windows and  converting of roofing to concrete slab of ABC  Building.</t>
  </si>
  <si>
    <t xml:space="preserve"> DRINKS AND BEVERAGES  1	90	cases	Canned Juice Drink- Pineapple, Orange, Four                                Seasons (240 ml x 24) 2	100	cases	Flavored Juice w/ GCE &amp; L-carnitine (330ml x 24) 3	20	cases	Ready-to-Drink Tonic Food Drink (24 x 250ml) GROCERIE</t>
  </si>
  <si>
    <t xml:space="preserve"> Republic of the Philippines Department of Health REGION 1 MEDICAL CENTER Arellano Street, Dagupan City BAC Office Tel No.: (075) 523-18-65 Telefax: (075) 523-41-03 r1mcsbac2012@gmail.com Invitation to Bid for the R1MC Tubular Slatch Wind Pressure Support </t>
  </si>
  <si>
    <t xml:space="preserve"> Republic of the Philippines PROVINCE OF ZAMBOANGA DEL NORTE Municipality of Godod BARANGAY SIORAN INVITATION TO BID FOR PROPOSED SPRING DEVELOPMENT REHABILITATION Sioran, Godod, Zamboanga del Norte 1.	The Barangay Local Government Unit of Sioran, Godod, Z</t>
  </si>
  <si>
    <t xml:space="preserve"> Invitation to Bid for REPAIR OF CAS SCHOOL BUILDING AT NORSU BAYAWAN-STA. CATALINA CAMPUS INFRA2020-06-04 1. The Negros Oriental State University (NORSU), through the SPECIAL TRUST FUND (STF) intends to apply the sum Two Million Five Hundred Thousand Peso</t>
  </si>
  <si>
    <t xml:space="preserve"> Republic of the Philippines								 Province of Negros Occidental								 Municipality of La Castellana								 Bids and Awards Committee								 								 INVITATION TO APPLY FOR ELIGIBILITY AND TO BID								 								 Name of Project: 		REPAIR OF HANGING</t>
  </si>
  <si>
    <t xml:space="preserve"> Name of Project: Concreting of Farm to Market Road Location: Purok 1, Brgy. Balite, Pura, Tarlac ABC: Php 500,000.00</t>
  </si>
  <si>
    <t xml:space="preserve"> Allopurinol 300mg caps 100's	30	box Aluminum Magnesium 200mg tab 500's	50	box Amlodipine 10mg tablet 100's	70	box Amoxicillin 500mg capsule 100's	200	box Anti-fungal ointment	70	tubes Anti-Scabies Ointment	50	tubes Ascorbic Acid	1000	box Aspirin 80mg tabs</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</si>
  <si>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</si>
  <si>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RE-INVITATION TO BID The DPWH-Regional Office No. III,  through  its  Bids  and  Awards  Committee  (BAC),  invites contractors to submit bids for the Contract below: Procurement ID/Contract ID:    20C00046 Contract Name:      Construction of the DENR – E</t>
  </si>
  <si>
    <t xml:space="preserve"> COMPLETION OF BUILDING, REHABILITATION OF DOMESTIC WATER SUPPLY, CONSTRUCTION OF FOOTHPATH AND REPAIR &amp; CONSTRUCTION OF FOOTHBRIDGE PROJECT COMPONENT: 1. REPAIR OF DEPYANG I AT DALIPEY, TACADANG (PHP430,500.00). 2. COMPLETION AND IMPROVEMENT OF SADDLE CHI</t>
  </si>
  <si>
    <t xml:space="preserve"> UNIVERSITY OF THE PHILIPPINES MANILA The Health Sciences Center 8/F PGH Central Block Bldg,  Taft Avenue, Manila INVITATION TO BID PROPOSED OFFICE FOR DISASTER SIMULATION CENTER 2ND  FLOOR, JUAQUIN  GONZALES COMPOUND UNIVERSITY OF THE PHILIPPINES MANILA 1</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</si>
  <si>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</si>
  <si>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CONTRACT NO.: BNLSL-LCB-24-2020 LOCATION: Montebello SIP, Kananga, Leyte SCOPE OF WORK: Construction of Diversion Works, Canal, Farm Level and Road System APPROVED BUDGET FOR CONTRACT: Php 18,834,953.01 CONTRACT DURATION: 360 calendar days Bidding will be</t>
  </si>
  <si>
    <t xml:space="preserve"> REQUEST FOR EXPRESSION OF INTEREST REOI2020-C01 1.	The Department of Public Works and Highway-Isabela 3rd District Engineering Office     through the PDE 2020 intends to apply the Approved Budget for the Contract (ABC) to payment under the following contr</t>
  </si>
  <si>
    <t xml:space="preserve"> Invitation to Bid Design and Build of Single - storey Administration Building for Dipaculao Water District, Dipaculao, Aurora 1.	The Dipaculao Water District intends to apply the sum of Seven Hundred Eighty-Nine Thousand Pesos (P789,000.00) being the tota</t>
  </si>
  <si>
    <t xml:space="preserve"> 1.	The Local Government Unit of Las Nieves, through the Budget for the Contract approved by the Sanggunian (MDRRMF-TF) intends to apply the sum of two million two hundred and fifty thousand pesos only (Php 2,250,000.00), being the Approved Budget for the </t>
  </si>
  <si>
    <t xml:space="preserve"> Republic of the Philippines Municipality of Taytay Taytay, Palawan NOTICE TO BIDDERS Item # Qty Unit Description Amount 1. 1 Unit Const. Of Multi-Purpose Hall The two envelope system of procurement shall be observed, Bidding documents shall be available a</t>
  </si>
  <si>
    <t xml:space="preserve"> 1	1	unit	Ceiling Helicopter Fan (24 ft diameter, variable speed)</t>
  </si>
  <si>
    <t xml:space="preserve"> Republic of the Philippines Province of Ilocos Norte MUNICIPALITY OF CURRIMAO INVITATION TO BID FOR  PURCHASE OF CELLCARDS 1.	The Municipality of Currimao intends to apply the sum of [Two Hundred Six Thousand Pesos (P206,000.00)] being the Approved Budget</t>
  </si>
  <si>
    <t xml:space="preserve"> Republic of the Philippines CITY GOVERNMENT OF SAN FERNANDO City Hall Building, F. Ortega Highway Tel. No. (072)8886901, (072) 867-8100/Fax No. (072)8886907 Website: www.sanfernandocity.gov.ph Email: csflu_98@yahoo.com INVITATION TO BID FOR  Procurement o</t>
  </si>
  <si>
    <t xml:space="preserve"> Concreting of 200m x 5m x 0.20m roadway w/.5 shoulder both sides demolition of existing PCCP thick with the following proposed work:  Item No.			Description				          Unit 		   Quantity     A.1.1	Provision of Field for the Engineer (rental basis)	   mo</t>
  </si>
  <si>
    <t xml:space="preserve"> Republic of the Philippines Municipality of Taytay Taytay, Palawan NOTICE TO BIDDERS Item # Qty Unit Description Amount 1.   1    Unit   Const. Of Multi-Purpose Hall The two envelope system of procurement shall be observed, Bidding documents shall be avai</t>
  </si>
  <si>
    <t xml:space="preserve"> INVITATION TO BID The DPWH-Bataan 2nd District Engineering Office, through its Bids and Awards Committee (BAC), invites contractors to submit bids for the following Contract: Contract ID	:	20CB0066 Contract Name	:	Concreting of Brgy. Ibis Farm-to-Market R</t>
  </si>
  <si>
    <t xml:space="preserve"> INVITATION TO BID FOR SUPPLY AND DELIVERY OF DOCUMENT SCANNERS FOR DSWD CENTRAL OFFICE —  ITB NO. GOP/20-DSWD-037 — (PR NO. 01-20001-PR-2020-03-00300) 1. The Department of Social Welfare and Development (DSWD), through the DSWD Funds, intends to apply the</t>
  </si>
  <si>
    <t xml:space="preserve"> Republic of the Philippines DEPARTMENT OF PUBLIC WORKS AND HIGHWAYS CAGAYAN 2ND DISTRICT ENGINEERING OFFICE Regional Office II Abulug, Cagayan June 9, 2020 INVITATION TO BID  The Cagayan 2nd District Engineering Office, Abulug, Cagayan, through its Bids a</t>
  </si>
  <si>
    <t xml:space="preserve"> RGMO - Sudaria		 1	107	Unit	Harrow (Bearing Oil Type, Tire: 700 x 15, 9 	 			blade, Shafting 2 1/2, Blade Size 24", Frame 	 			118" &amp; 131"	 2	1	Unit	Disc Plow (standard size)</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</si>
  <si>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</si>
  <si>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Supply, Delivery, Installation, Testing and Commissioning of Two (2) Units Synchronizing Unit Module for the Two (2) Units Doosan Electric Generators.</t>
  </si>
  <si>
    <t xml:space="preserve"> All-Weather Waterproof, with 4K Gimbal Camera, Payload Release System for Search and Rescue, Land and Take-Off in the  Water, Mapping Drone to include Mapping Software Optical Sensor Type / Size: ½.3” CMOS Valid Pixels: 14MP Recording Media: Micro SD Card</t>
  </si>
  <si>
    <t xml:space="preserve"> Republic of the Philippines Department of Health Central Luzon Center for Health Development Talavera General Hospital Talavera, Nueva Ecija   ISO QMS Certified INVITATION TO BID  SUPPLY AND DELIVERY OF ONE (1) LOT HEALTH MANAGEMENT SYSTEM WITH STRUCTURED</t>
  </si>
  <si>
    <t xml:space="preserve"> Procurement of ABG Cassette/Cartridge with the Provision of ABG Analyzer Machine (Tie-Up)</t>
  </si>
  <si>
    <t xml:space="preserve"> INVITATION TO BID The DPWH-Bataan 2nd District Engineering Office, through its Bids and Awards Committee (BAC), invites contractors to submit bids for the following Contract: Contract ID	:	20CB0065 Contract Name	:	Concreting of Sitio Kinaragan to Sitio Ba</t>
  </si>
  <si>
    <t xml:space="preserve"> Republic of the Philippines Municipality of Taytay Taytay, Palawan NOTICE TO BIDDERS Item # Qty Unit Description Amount 1.	24	pcs 	Tires Intended for 3 Hi-lux  2.	16	pcs 	Tires Intended for 2 Commuter Ambulance 3.	6	pcs 	Tires 7.50 RIG LT 10 PLY Intended </t>
  </si>
  <si>
    <t xml:space="preserve"> 1.	The Local Government Unit of Las Nieves, through the Budget for the Contract approved by the Sanggunian (MDRRMF-TF) intends to apply the sum of one million and nine hundred thousand pesos only (Php 1,900,000.00), being the Approved Budget for the Contr</t>
  </si>
  <si>
    <t xml:space="preserve"> Republic of the Philippines PROVINCE OF BUKDINON Malaybalay City OFFICE OF THE PROVINCIAL GOVERNOR Bids and Awards Committee INVITATION TO BID FOR THE “SUPPLY AND DELIVERY OF ONE LOT HOUSEKEEPING SUPPLIES” ITB No. 2020-149 June 9, 2020 1.	The Provincial G</t>
  </si>
  <si>
    <t xml:space="preserve"> Repair/Maintenance of DPWH Building</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</si>
  <si>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</si>
  <si>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Project No.: QRF2020-B1-NS-REPAIR-L2 The Department of Education (DepED) Division of Northern Samar, through the 2020 Government Appropriations Act (GAA), intends to apply the sum of One Million Six Hundred Eighty-Eight Thousand Three Hundred Seventy-Six </t>
  </si>
  <si>
    <t xml:space="preserve"> Project No.: QRF2020-B1-NS-REPAIR-L7 The Department of Education (DepED) Division of Northern Samar, through the 2020 Government Appropriations Act (GAA), intends to apply the sum of One Million Two Hundred Forty-Eight Thousand One Hundred Seventy-Seven P</t>
  </si>
  <si>
    <t xml:space="preserve"> 1. The Department of Agriculture – Regional Field Office – Cordillera Administrative Region (DA-RFO-CAR) intends to apply part of its CY 2020 General Appropriation Act (GAA) the total sum of Eight Million Five Thousand Pesos (P8,005,000.00) being the Appr</t>
  </si>
  <si>
    <t xml:space="preserve"> Purchase of Supplies for the Rehabilitation of Court</t>
  </si>
  <si>
    <t xml:space="preserve"> Procurement of One (1) Unit Android Electronic Total Station Specification:  Android 5.1 Operating System  1000m Reflector less/5000m Reflector  1”/2” Angle Accuracy  Automatic Graph Drawing  Complete with surveying Programs  5.0 inch capacitive Tou</t>
  </si>
  <si>
    <t xml:space="preserve"> INVITATION TO BID  SUPPLY AND DELIVERY OF IT EQUIPMENT  UNDER PB 20-02-15A (FOR BRANCH STATION) 1.	The Philippine Rice Research Institute, through the 2020 Capital Outlay Fund Budget intends to apply the sum of THREE MILLION SIX HUNDRED EIGHTY THOUSAND PE</t>
  </si>
  <si>
    <t xml:space="preserve"> The National Irrigation Administration-Regional Office XII, through the GAA Fund CY2019 intends to apply the sum of EIGHT MILLION PESOS (P 8,000,000.00) being the Approved Budget for the Contract (ABC) to payments under the contract for NIA12-R.O.-GOODS-2</t>
  </si>
  <si>
    <t xml:space="preserve"> Republic of the Philippines WESTERN PHILIPPINES UNIVERSITY          A STRONG PARTNER FOR SUSTAINABLE DEVELOPMENT BIDS AND AWARDS COMMITTEE Invitation to Bid for Supply, Delivery and Installation of equipment for the DA-ACEF indigenous fruits project The W</t>
  </si>
  <si>
    <t xml:space="preserve"> Project No.: QRF2020-B1-NS-REPAIR-L5 The Department of Education (DepED) Division of Northern Samar, through the 2020 Government Appropriations Act (GAA), intends to apply the sum of One Million Eight Hundred Seventy-Three Thousand Four Hundred Eighty Pes</t>
  </si>
  <si>
    <t xml:space="preserve"> Project No.: QRF2020-B1-NS-REPAIR-L4 The Department of Education (DepED) Division of Northern Samar, through the 2020 Government Appropriations Act (GAA), intends to apply the sum of One Million Five Hundred Thirty-Three Thousand Nine Hundred Eight Pesos </t>
  </si>
  <si>
    <t xml:space="preserve"> Republic of the Philippines CITY GOVERNMENT OF SAN FERNANDO City Hall Building, F. Ortega Highway Tel. No. (072)8886901, (072) 867-8100/Fax No. (072)8886907 Website: www.sanfernandocity.gov.ph Email: csflu_98@yahoo.com INVITATION TO BID FOR  PROCUREMENT F</t>
  </si>
  <si>
    <t xml:space="preserve"> Project No.: QRF2020-B1-NS-REPAIR-L1 The Department of Education (DepED) Division of Northern Samar, through the 2020 Government Appropriations Act (GAA), intends to apply the sum of Two Million Two Hundred Nineteen Thousand One Hundred Seven Pesos and 39</t>
  </si>
  <si>
    <t xml:space="preserve"> INVITATION TO BID FOR SUPPLY AND DELIVERY OF 1,796 UNITS 15MM Ø MULTI JET BRASS WATER METER 1. The Tanay Water District, through the 2020 Corporate Operating Budget intends to apply the sum of Two Million Six Hundred Ninety Four Thousand Pesos (₱2,694,000</t>
  </si>
  <si>
    <t xml:space="preserve"> Project No.: QRF2020-B1-NS-REPAIR-L3 The Department of Education (DepED) Division of Northern Samar, through the 2020 Government Appropriations Act (GAA), intends to apply the sum of One Million Fifteen Thousand Seven Hundred Five Pesos and 36/100 Centavo</t>
  </si>
  <si>
    <t xml:space="preserve"> 2x4 Mini dump Truck Dimensions: Wheelbase 3200, Front Overhang 1230 Ring Overhang 1360, Wheel Track Front Axie 1530 Wheel track rear axie 1584,Chassis length 5780 Approach angle 29, Departure angle 23 Maximum driving speed (Km/H 74) Maximum gradiability 1</t>
  </si>
  <si>
    <t xml:space="preserve"> 1.	The Local Government Unit of Las Nieves, through the Budget for the Contract approved by the Sanggunian (20% DF) intends to apply the sum of one million and five hundred thousand pesos only (Php 1,500,000.00) being the Approved Budget for the Contract </t>
  </si>
  <si>
    <t xml:space="preserve"> INVITATION TO BID The DPWH-Bataan 2nd District Engineering Office, through its Bids and Awards Committee (BAC), invites contractors to submit bids for the following Contract: Contract ID	:	20CB0070 Contract Name	:	Repair/Maintenance of DWPH Building, Main</t>
  </si>
  <si>
    <t xml:space="preserve"> Project No.: QRF2020-B1-NS-REPAIR-L12 The Department of Education (DepED) Division of Northern Samar, through the 2020 Government Appropriations Act (GAA), intends to apply the sum of Two Million Three Hundred Thirty-Five Thousand Eight Hundred Fifty-Nine</t>
  </si>
  <si>
    <t xml:space="preserve"> Republic of the Philippines DEPARTMENT OF PUBLIC WORKS AND HIGHWAYS SULTAN KUDARAT 1ST DISTRICT ENGINEERING OFFICE REGIONAL OFFICE XII Isulan, Sultan K INVITATION TO BID The Department of Public Works and Highways, Sultan Kudarat 1st District Engineering </t>
  </si>
  <si>
    <t xml:space="preserve"> INVITATION TO BID The DPWH-Bataan 2nd District Engineering Office, through its Bids and Awards Committee (BAC), invites contractors to submit bids for the following Contract: Contract ID	:	20CB0069 Contract Name	:	Concreting of Purok 6, Brgy. Gen. Lim Far</t>
  </si>
  <si>
    <t xml:space="preserve"> INVITATION TO BID  SUPPLY AND DELIVERY OF IT EQUIPMENT UNDER PB 20-02-14A 1.	The Philippine Rice Research Institute, through the 2020 Regular Trust Fund Budget intends to apply the sum of ONE MILLION EIGHT HUNDRED FIFTY THOUSAND PESOS AND 00/100 ONLY (PhP</t>
  </si>
  <si>
    <t xml:space="preserve"> Project No.: QRF2020-B1-NS-REPAIR-L6 The Department of Education (DepED) Division of Northern Samar, through the 2020 Government Appropriations Act (GAA), intends to apply the sum of One Million Six Hundred Seventy-Nine Thousand Seven Hundred Eighty-Four </t>
  </si>
  <si>
    <t xml:space="preserve"> Contract ID:	20DL0207 Contract Name:	CONSTRUCTION/REHABILITATION OF WATER SUPPLY/SEPTAGE AND SEWERAGE/RAIN WATER COLLECTORS - RAIN WATER COLLECTORS IN PUBLIC FACILITIES - REGION IV-A  A. COMETA ELEMENTARY SCHOOL, BRGY. COMETA, QUEZON, QUEZON B. GUMUBAT EL</t>
  </si>
  <si>
    <t xml:space="preserve"> Project No.: QRF2020-B1-NS-REPAIR-L11 The Department of Education (DepED) Division of Northern Samar, through the 2020 Government Appropriations Act (GAA), intends to apply the sum of One Million Seven Hundred Fifty-Four Thousand Eight Hundred Nineteen Pe</t>
  </si>
  <si>
    <t xml:space="preserve"> INVITATION TO BID The DPWH-Bataan 2nd District Engineering Office, through its Bids and Awards Committee (BAC), invites contractors to submit bids for the following Contract: Contract ID	:	20CB0068 Contract Name	:	Concreting of Brgy. Balagtas to Roman Sup</t>
  </si>
  <si>
    <t xml:space="preserve"> Contract ID:	20DL0206 Contract Name:	71X-SPECIAL MAINTENANCE H. PLACING NEW TRAFFIC SIGNS ALONG DAANG MAHARLIKA, K0159+000 - K0181+000 Contract Location:	ATIMONAN, QUEZON Brief Description:		PLACING NEW TRAFFIC SIGNS Approved Budget for the Contract (ABC)</t>
  </si>
  <si>
    <t xml:space="preserve"> INVITATION TO BID The DPWH-Bataan 2nd District Engineering Office, through its Bids and Awards Committee (BAC), invites contractors to submit bids for the following Contract: Contract ID	:	20CB0067 Contract Name	:	Concreting of Brgy. Alangan Farm-to-Marke</t>
  </si>
  <si>
    <t xml:space="preserve"> Contract ID:	20DL0204 Contract Name:	REPAIR/MAINTENANCE OF DRAINAGE ALONG QUEZON-ALABAT-PEREZ ROAD, KM.022+050-KM.022+097 (RIGHT SIDE) Contract Location:	ALABAT, QUEZON Brief Description:		REPAIR/MAINTENANCE OF DRAINAGE STRUCTURES Approved Budget for the </t>
  </si>
  <si>
    <t xml:space="preserve"> Contract ID:	20DL0205 Contract Name:	A)	REPAIR/MAINTENANCE OF DILG BUILDING, PNP – STORAGE ROOM/BARRACKS BUILDING, GUMACA, QUEZON 	 B)	REPAIR/MAINTENANCE OF DPWH BUILDING, DPWH SUB OFFICE (FIELD ENGR. OFFICE), BRGY. LAGYO, GUMACA, QUEZON C)	REPAIR/MAINTEN</t>
  </si>
  <si>
    <t xml:space="preserve"> Project No.: QRF2020-B1-NS-REPAIR-L9 The Department of Education (DepED) Division of Northern Samar, through the 2020 Government Appropriations Act (GAA), intends to apply the sum of Two Million Seven Hundred Sixty-Seven Thousand Five Hundred Eight Pesos </t>
  </si>
  <si>
    <t xml:space="preserve"> Republic of the Philippines WESTERN PHILIPPINES UNIVERSITY          A STRONG PARTNER FOR SUSTAINABLE DEVELOPMENT BIDS AND AWARDS COMMITTEE Invitation to Bid for Supply and Delivery of Customized Polo Shirt and Sling Bag  The Western Philippines University</t>
  </si>
  <si>
    <t xml:space="preserve"> CVM - MP Condino		 1	10	Unit	Steel Cabinet, heavy duty 4 -drawers	 2	4	Unit	Office Steel rack Open Steel shelves filing cabinet, 5 layers	 4	15	Unit	Executive Chair	 5	2	Unit	L Shape Sofa set, modern and simple design, leather with center table	 6	4	Set	S</t>
  </si>
  <si>
    <t xml:space="preserve"> Contract ID:	20DL0203 Contract Name:	REPAIR/MAINTENANCE OF FLOOD CONTROL &amp; DRAINAGE STRUCTURES ALONG BAYOD BRIDGE, TALABA-SUMMIT-PANAON ROAD, KM.180+728, ATIMONAN, QUEZON 	 Contract Location:	ATIMONAN, QUEZON Brief Description:		REPAIR/MAINTENANCE OF FLOO</t>
  </si>
  <si>
    <t xml:space="preserve"> PHILIPPINE BIDDING DOCUMENTS (As Harmonized with Development Partners) Procurement for  IMPROVEMENT OF SHELTER FOR YOUTH OFFENDER &amp; CRISIS CENTER BRGY. TINAMNAN LUCBAN, QUEZON BIDDING Government of the Republic of the Philippines Fourth Edition   Preface </t>
  </si>
  <si>
    <t xml:space="preserve"> Contract Reference Number: ITB#2020-038; PR# 2020-02-0506 Name of the Contract: DRAINAGE IMPROVEMENT (RIPRAP), GEGONCILLO VILLAGE, BRGY. BALINTAWAK (STRAIGHT CONTRACT LABOR &amp; MATERIALS) Location of the Contract: ESCALANTE GOVERNMENT CENTER Standard Form N</t>
  </si>
  <si>
    <t xml:space="preserve"> The Metro Kalibo Water District, through the Bids and Awards Committee (BAC), will undertake Negotiated Procurement (Small Value Procurement) for the SUPPLY AND DELIVERY OF VARIOUS WATER SERVICE CONNECTION MATERIALS FOR INTERCONNECTION AND ACTIVATION OF B</t>
  </si>
  <si>
    <t xml:space="preserve"> Project No.: QRF2020-B1-NS-REPAIR-L10 The Department of Education (DepED) Division of Northern Samar, through the 2020 Government Appropriations Act (GAA), intends to apply the sum of Two Million Ninety-Three Thousand Ninety-Six Pesos and 36/100 Centavos </t>
  </si>
  <si>
    <t xml:space="preserve"> Project No.: QRF2020-B1-NS-REPAIR-L18 The Department of Education (DepED) Division of Northern Samar, through the 2020 Government Appropriations Act (GAA), intends to apply the sum of One Million Twenty Thousand Seven Hundred Seventy Three Pesos and 28/10</t>
  </si>
  <si>
    <t xml:space="preserve"> The DPWH Nueva Ecija 1st DEO, through its Bids and Awards Committee (BAC), invites contractors to submit bids for the following contract:			 				 	20CE0209: Construction of Multi-Purpose Building, Brgy. Abar 1st, City of San Jose, Nueva Ecija			 				 				</t>
  </si>
  <si>
    <t xml:space="preserve"> Project No.: QRF2020-B1-NS-REPAIR-L8 The Department of Education (DepED) Division of Northern Samar, through the 2020 Government Appropriations Act (GAA), intends to apply the sum of One Million Two Hundred Sixty-Four Thousand Two Hundred Ninety-Nine Peso</t>
  </si>
  <si>
    <t xml:space="preserve"> Project No.: QRF2020-B1-NS-REPAIR-L17 The Department of Education (DepED) Division of Northern Samar, through the 2020 Government Appropriations Act (GAA), intends to apply the sum of Three Million Three Hundred Fifty Four Thousand Eighty Nine Pesos and 7</t>
  </si>
  <si>
    <t xml:space="preserve"> •Repair and Rehabilitation of School Building [Marcos Pimentel ES, Labo (5)] - ₱ 1,564,875.35 •Construction of Concrete Slab on Covered Court and Improvement of School Fence (F. Baldovino ES, Daet) - ₱ 456,176.41 Please download the attached bidding docum</t>
  </si>
  <si>
    <t xml:space="preserve"> ITEM NO.	UNIT		QTY		DESCRIPTION		 							 1	 serve 		250		Snacks Set A (sandwich &amp; water)		 2	 serve 		500		 Snacks Set B (sandwich, noodles &amp; water) 		 3	 serve 		300		 Meals Set A (rice, meat, water) 		 4	 serve 		250		 Meals Set B (meat, veg., fruits &amp;</t>
  </si>
  <si>
    <t xml:space="preserve"> Project No.: QRF2020-B1-NS-REPAIR-L16 The Department of Education (DepED) Division of Northern Samar, through the 2020 Government Appropriations Act (GAA), intends to apply the sum of One Million Five Hundred Twenty Three Thousand One Hundred Eighty Six P</t>
  </si>
  <si>
    <t xml:space="preserve"> Project No.: QRF2020-B1-NS-REPAIR-L19 The Department of Education (DepED) Division of Northern Samar, through the 2020 Government Appropriations Act (GAA), intends to apply the sum of One Million Eight Hundred Forty Thousand Six Hundred Fifty Pesos and 82</t>
  </si>
  <si>
    <t xml:space="preserve"> ITEM NO.	UNIT		QTY		DESCRIPTION		 							 					PHILHEALTH PCB		 							 1	 pcs 		14		 BP Apparatus 		 							 2	 pcs 		7		 Treatment/Medicine Cart 		 							 3	 tank 		9		 Oxygen refill 50lbs 		 							 							 4	 unit 		1		 Steam Sterilzer Autoclave, 16.</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</si>
  <si>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</si>
  <si>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REQUEST FOR EXPRESSION OF INTEREST FOR THE Procurement of Consultancy Services for the “Implementation of the 2020 PhilHealth Client Awareness and Satisfaction Survey” 1.	The Philippine Council for Health Research and Development (PCHRD), through the 2019</t>
  </si>
  <si>
    <t xml:space="preserve"> Contract Name: 20GKF0035-Purchase of Materials for Regravelling of Road Shoulders along Tubod-Ganassi Road K1600+000-K1605+000. Contract Location: Lanao del Norte Brief Description of Goods to be Procured: Aggregate Base Course = 333 cu.m. Approved Budget</t>
  </si>
  <si>
    <t xml:space="preserve"> Supply and Delivery of Customized Gift Certificates for DTI Pangkabuhayan sa Pagbangon at Ginhawa (DTI-PBG) 1.	The Department of Trade and Industry Region IV-A, through the General Appropriations Act intends to apply the sum of  Twelve Million Four Hundre</t>
  </si>
  <si>
    <t xml:space="preserve"> Contract Name: 20GKF0032- Purchase of Materials for Regravelling of Shoulders along Linamon-Zamboanga Road K1561+000-K1564+000. Contract Location: Lanao del Norte Brief Description of Goods to be Procured: Aggregate Base Course = 414 cu.m. Approved Budget</t>
  </si>
  <si>
    <t xml:space="preserve"> MUNICIPALITY OF HINABANGAN Hinabangan, Samar Invitation to Bid for  Repair &amp; Maintenance of Conduit Pipelines 1.	The Municipal Government of Hinabangan, through the MOOE CY 2020 (Mayor’s Office) intends to apply the sum of SIX HUNDRED THIRTY ONE THOUSAND </t>
  </si>
  <si>
    <t xml:space="preserve"> ITEM NO.	UNIT		QTY		DESCRIPTION		 							 					PHILHEALTH PCB		 					 CAPITAL OUTLAY 		 1	 unit 		1		 Television 65 inch KD-65X7007E 		 					 TYPE:  		 					 TV type: LCD 		 					 Screen size: 65 inches 		 					 Resolution: 3840 x 2160 		 					 SPECS: 		 </t>
  </si>
  <si>
    <t xml:space="preserve"> Contract Name: 20GKF0034-Purchase of Materials for Regravelling of RoadShoulders along LDNICR (Magsaysay-Tubod Section) K1588+000- K1591+600. Contract Location: Lanao del Norte Brief Description of Goods to be Procured: Aggregate Base Course = 368 cu.m. A</t>
  </si>
  <si>
    <t xml:space="preserve"> 103(1)a	Structure Excavation	18	cu.m.	7,308.00 900(1)	Structural Concrete	13.60	cu.m.	95,798.40 902(1)	Reinforcing Steel	148.00	kgs	10,360.00 1047(2)a	Structural Steel	1	lot	385,033.60 SPL 	Project Billboard	lot	All	1,500.00 	Equipment Needed: (Minimum) W</t>
  </si>
  <si>
    <t xml:space="preserve"> Contract Name: 20GKF0030-Purchase of Various Office Supply for use in DPWH-Lanao del Norte 2nd DEO Contract Location: Iligan City Brief Description of Goods to be Procured: various office supplies (see attached RFQ/specification) Approved Budget for the C</t>
  </si>
  <si>
    <t xml:space="preserve"> Location of Project: Alawihao National High School, Alawihao, Daet, Camarines Norte Please download the attached bidding document for more info about the project. For further information, please refer to: Mrs. Maria Flora T. Pandes or Mrs. Herbie B. De Le</t>
  </si>
  <si>
    <t xml:space="preserve"> B.9	Mobilization/Demobilization	1	lot	15,853.95 103(1)	Structure Excavation	51	cu.m.	14,790.00 511	Gabions	102	cu.m.	417,853.20 SPL 	Project Billboard	lot	All	1,502.85 	Equipment Needed: (Minimum) Dumptruck (10cu.m.)		1 unit Backhoe (0.80cu.m.)		1 unit Ca</t>
  </si>
  <si>
    <t xml:space="preserve"> Contract ID No. 20OH0151 Contract Name :  Proposed Construction/Rehabilitation of Water Supply/Septage and Sewerage/Rainwater                            Collector-Rainwater Collector System at: 1)	Aurora A. Quezon E/S San Andres cor. Vasquez, Malate, Mani</t>
  </si>
  <si>
    <t xml:space="preserve"> Republic of the Philippines Region XII Province of Cotabato BIDS AND AWARDS COMMITTEE Amas, Kidapawan City INVITATION TO BID FOR Supply of Diesel Fuel for the use of various activities and official vehicles of the Office of the Vice Governor and Sanggunia</t>
  </si>
  <si>
    <t xml:space="preserve"> Contract Name: 20GKF0031-Purchase of Materials for Regravelling of Shoulders along Linamon-Zamboanga Road K1570+000-K1573+000. Contract Location: Lanao del Norte Brief Description of Goods to be Procured: Aggregate Base Course = 414 cu.m. Approved Budget </t>
  </si>
  <si>
    <t xml:space="preserve"> Contract ID No. 20OH0150 Contract Name :  Renovation of Planning Service Offices, DPWH Head Office, Bonifacio Drive, Port Area, Manila Contract Location: Manila City	 Scope of Work: Renovation of Office Building Source of Fund and Year: GAA 2020  Approved</t>
  </si>
  <si>
    <t xml:space="preserve"> Contract ID No. 20OH0148 Contract Name : Local  Program - Construction/Repair/Rehabilitation/Improvement  of  various   Infrastructure including Local Projects-Buildings and other Structures-Multi-Purpose/facilities-Construction of Various Multi-Purpose B</t>
  </si>
  <si>
    <t xml:space="preserve"> Invitation to Bid for Construction/Rehabilitation of Local Roads, Poblacion,Mogpog, Marinduque 1.	The Municipal Government of Mogpog, through the 2020Annual Investment Fundintends to apply the sum of ONE MILLION SEVEN HUNDRED SEVENTY NINE THOUSAND SIX HUN</t>
  </si>
  <si>
    <t xml:space="preserve"> Contract Name: 20GKF0033-Purchase of Materials for Regravelling of Road Shoulders along Tubod-Ganassi Road K1590+000-K1595+000. Contract Location: Lanao del Norte Brief Description of Goods to be Procured: Aggregate Base Course = 333 cu.m. Approved Budget</t>
  </si>
  <si>
    <t xml:space="preserve"> Contract ID No. 20OH0102 Re-ads Contract Name :  Local Program-Local  Infrastructure  Program-Buildings  and other Structures - Multi-Purpose/Facilities-Construction of Multi-Purpose Building Villamor Air Base, Pasay City Contract Location: Pasay City	 Sc</t>
  </si>
  <si>
    <t xml:space="preserve"> Semi-Integrated Solar Street Lamp 	35	unit (Lamp + Battery + Controller + Solar Panel)		  - Lamp : 80 Led Beads, 220 Lumens/Watts		 &gt; 3,000 Lumen, &gt; 50,000 Hrs, 6000k Color Temp.,		  - Charge Controller: MPPT, 10A Charge 		 Current, Intellegent Led Power </t>
  </si>
  <si>
    <t xml:space="preserve"> Republic of the Philippines WESTERN PHILIPPINES UNIVERSITY          A STRONG PARTNER FOR SUSTAINABLE DEVELOPMENT BIDS AND AWARDS COMMITTEE Invitation to Bid for Supply and Delivery of Materials and Equipment for DA-ACEF Mango Project The Western Philippin</t>
  </si>
  <si>
    <t xml:space="preserve"> MUNICIPALITY OF HINABANGAN Hinabangan, Samar Invitation to Bid for  Improvement of Water System Transmission Line  (Diversion Road) 1.	The Municipal Government of Hinabangan, through the 20% Development Fund CY 2020 intends to apply the sum of ONE MILLION</t>
  </si>
  <si>
    <t xml:space="preserve"> Contract ID No. 20OH0149 Contract Name : Local Program-Local Infrastructure Program-Buildings and other Structures-  Multipurpose / Facilities - Construction of Multi-purpose Building and Facilities, Pres. Corazon C. Aquino Senior High School, Baseco Port</t>
  </si>
  <si>
    <t xml:space="preserve"> OFFICE OF THE BIDS AND AWARDS COMMITTEE INVITATION TO BID NO. 91-20 Name of Project: Procurement of Aggregates used for Road Concreting of Brgy. Street @ Brgy. San Roque, Socorro, SDN Source of Funds: 20% Development Fund The Municipality of Socorro throu</t>
  </si>
  <si>
    <t xml:space="preserve"> OFFICE OF THE BIDS AND AWARDS COMMITTEE INVITATION TO BID NO. 90-20 Name of Project: Procurement of Hardware Materials used for Road Concreting of Brgy. Street @ Brgy. San Roque, Socorro, SDN Source of Funds: 20% Development Fund The Municipality of Socor</t>
  </si>
  <si>
    <t xml:space="preserve"> INVITATION TO BID PROCUREMENT OF VARIOUS MEDICAL EQUIPMENT CY 2020 PUBLIC BIDDING NO. VMC-2020-026 1.	The Valenzuela Medical Center (VMC), through the General Appropriations Act CY 2020/Income Fund intends to apply the sum of Philippine Currency: Forty Fi</t>
  </si>
  <si>
    <t xml:space="preserve"> 801	Removal &amp; Relocation of Structures (63mmØ HDPE Pipes	720	ln.m.	47,520.00 803(1)	Structure Excavation (Common Soil)	108	cu.m.	48,168.00 804(1)	Embankment From Structure Excavation	108	cu.m.	24,084.00 900(1)	Structural Concrete, Class “A”	1.75	cu.m.	11,</t>
  </si>
  <si>
    <t xml:space="preserve"> Contract Name: 20GKF0036-Purchase of Materials for Regravelling of Shoulders along Linamon-Zamboanga Road K1590+000-K1593+000. Contract Location: Lanao del Norte Brief Description of Goods to be Procured: Aggregate Base Course = 414 cu.m. Approved Budget </t>
  </si>
  <si>
    <t xml:space="preserve"> Contract Name: 20GKF0038-Purchase of Materials for Regravelling of Road Shoulders along Tubod-Ganassi Road K1605+000-K1610+000. Contract Location: Lanao del Norte Brief Description of Goods to be Procured: Aggregate Base Course = 333 cu.m. Approved Budget</t>
  </si>
  <si>
    <t xml:space="preserve"> Contract Name: 20GKF0040-Purchase of Materials for Regravelling of Shoulders along Linamon-Zamboanga Road K1576+000-K1579+000. Contract Location: Lanao del Norte Brief Description of Goods to be Procured: Aggregate Base Course = 414 cu.m. Approved Budget </t>
  </si>
  <si>
    <t xml:space="preserve"> Contract Name: 20GKF0029-Purchase of Various Janitorial Office Supply for use in DPWH-Lanao del Norte 2nd DEO Contract Location: Iligan City Brief Description of Goods to be Procured: various cleaning reagents and accessories (see attached RFQ/specificati</t>
  </si>
  <si>
    <t xml:space="preserve"> 803(1)a	Structure Excavation (Common Soil)	20	cu.m.	10,740.00 804(1)a	Embarkment from Excavation	40	cu.m.	9,200.00 900(1)	Structural Concrete	19	cu.m.	133,380.00 902(1)	Reinforcing Steel	1,540.85	kgs	100,155.25 903(2)	Form works and False Works	30	sq.m.	2</t>
  </si>
  <si>
    <t xml:space="preserve"> Project No.: QRF2020-B1-NS-REPAIR-L25 The Department of Education (DepED) Division of Northern Samar, through the 2020 Government Appropriations Act (GAA), intends to apply the sum of One Million Eight Hundred Ninety Three Thousand Nine Hundred Thirty Nin</t>
  </si>
  <si>
    <t xml:space="preserve"> Contract Name: 20GKF0037-Purchase of Materials for Regravelling of Shoulders along Linamon-Zamboanga Road K1585+000-K1588+000. Contract Location: Lanao del Norte Brief Description of Goods to be Procured: Aggregate Base Course = 414 cu.m. Approved Budget </t>
  </si>
  <si>
    <t xml:space="preserve"> Republic of the Philippines Province of Batangas MUNICIPALITY OF LOBO Invitation to Bid for the PURCHASE OF GENERATOR SET TO BE INSTALLED AT NEW PUBLIC MARKET, BARANGAY POBLACION, LOBO, BATANGAS Contract ID No. 3-01-001-20-076 			 1.The Municipal Governme</t>
  </si>
  <si>
    <t xml:space="preserve"> Project No.: QRF2020-B1-NS-REPAIR-L22 The Department of Education (DepED) Division of Northern Samar, through the 2020 Government Appropriations Act (GAA), intends to apply the sum of One Million Two Hundred Twelve Thousand One Hundred Ninty Three Pesos a</t>
  </si>
  <si>
    <t xml:space="preserve"> Project No.: QRF2020-B1-NS-REPAIR-L20 The Department of Education (DepED) Division of Northern Samar, through the 2020 Government Appropriations Act (GAA), intends to apply the sum of One Million Seven Hundred Forty Four Thousand Seven Hundred Thirty Two </t>
  </si>
  <si>
    <t xml:space="preserve"> Cement, Portland	840	bags Sand, S &amp; W	50	cu.m. Gravel, 3/4" - 1"	100	cu.m. 16Ø x 6.0 RSB, Deformed	30	pcs. 25pcs. 2" x 6" x 12' Coco Lumber	300	BF 8pcs. 2" x 2" x 12' Coco Lumber	32	BF 1pc. 3" x 4" x 10' Apitong	10	BF 1/4" x 2" x 8' Flat Moulding	2	pcs. 3</t>
  </si>
  <si>
    <t xml:space="preserve"> INVITATION TO BID FOR  Procurement of Information and Communication Technology Equipment  1.	The Local Government Unit  of Don Victoriano,  Don Victoriano, Misamis  Occidental through the  Bids and Awards Committee BAC intends to apply the sum of   Five H</t>
  </si>
  <si>
    <t xml:space="preserve"> Project No.: QRF2020-B1-NS-REPAIR-L23 The Department of Education (DepED) Division of Northern Samar, through the 2020 Government Appropriations Act (GAA), intends to apply the sum of One Million Seven Hundred Twenty Nine Thousand Nine Hundred Sixty Five </t>
  </si>
  <si>
    <t xml:space="preserve"> Project No.: QRF2020-B1-NS-REPAIR-L14 The Department of Education (DepED) Division of Northern Samar, through the 2020 Government Appropriations Act (GAA), intends to apply the sum of One Million Eight Hundred Twenty-Eight Thousand Eight Hundred Fifty-Fou</t>
  </si>
  <si>
    <t xml:space="preserve"> Project No.: QRF2020-B1-NS-REPAIR-L21 The Department of Education (DepED) Division of Northern Samar, through the 2020 Government Appropriations Act (GAA), intends to apply the sum of One Million Eight Hundred Sixty-Eight Thousand Ninety-Six Pesos and 49/</t>
  </si>
  <si>
    <t xml:space="preserve"> Contract Name: 20GKF0039-Purchase of Materials for Regravelling of Road Shoulders along Tubod-Ganassi Road K1605+000-K1610+000. Contract Location: Lanao del Norte Brief Description of Goods to be Procured: Aggregate Base Course = 333 cu.m. Approved Budget</t>
  </si>
  <si>
    <t xml:space="preserve"> Project No.: QRF2020-B1-NS-REPAIR-L13 The Department of Education (DepED) Division of Northern Samar, through the 2020 Government Appropriations Act (GAA), intends to apply the sum of One Million Two Hundred Thirty Eight Thousand Three Hundred Twenty Nine</t>
  </si>
  <si>
    <t xml:space="preserve"> INVITATION TO BID Bid No. B-81-2020  1.	The Provincial Government of Negros Oriental, through Source of Fund: 1) SP Res.#1115-2019 AO #72,Series of 2019,20% DF CY 2020; 2) SP Res.#846-2018 (20% DF,AIP 2019); 3) SP Res.#1076-2017  AO 57 Series of 2017 20 %</t>
  </si>
  <si>
    <t xml:space="preserve"> Name of Project: Concreting of Farm to Market Road Location: Purok 2, Brgy Naya, Pura, Tarlac ABC: Php 500,000.00</t>
  </si>
  <si>
    <t xml:space="preserve"> 1	1	Unit	Hydraulic Hot stamping Machine 			1 Power: 380V 50HZ 			2 Stamping area 400 * 600mm 			3 Table area: 520 * 800mm 			4 Heating power: 6400W 			5 Motor power : 3700W 			6 Maximum pressure: 60T 			7 Bronzing thickness &lt; 75mm 			8 Stamping temperatur</t>
  </si>
  <si>
    <t xml:space="preserve"> UNIT	  DESCRIPTION		QUANTITY 105	Subgrade Preparation		 	A = 345m x 5m		 	Qty.= 1794 sq.m		 I- Equipment Rental:			 	1 Road Grader  for 6 hours		 	1 Road Roller    for 6 hours		 			 II- Labor:			 	1 Foreman  for 0.5 day(s)		 	2 Laborers  for 0.5 day(s)		 </t>
  </si>
  <si>
    <t xml:space="preserve"> 2" GRAVEL	5.67	m3 1" Gravel	0.94	m3 Portland Cement 40 kg Type I	61	Bags 3/4" Gravel	5.78	m3 Sand	7.22	m3 Ordinary Plywood (4' x 8' x 1/2") 	2	pcs 2" x 2" x 12' Cocolumber 	10	pcs Common wire nails (Assorted Size)	5	kgs 16 mmØ x 6 mtr RSB	12	pcs 12 mmØ x </t>
  </si>
  <si>
    <t xml:space="preserve"> Project No.: QRF2020-B1-NS-REPAIR-L15 The Department of Education (DepED) Division of Northern Samar, through the 2020 Government Appropriations Act (GAA), intends to apply the sum of One Million Two Hundred Fifty Nine Thousand Two Hundred Ninety Three Pe</t>
  </si>
  <si>
    <t xml:space="preserve"> INVITATION TO BID FOR PROCUREMENT OF JANITORIAL SERVICES 2020 FOR NORSU CAMPUSES Project Reference No.: GOOD2020-02-01 1. The Negros Oriental State University (NORSU) Campuses and the Bids and Awards Committee (BAC), through General Appropriation and Allo</t>
  </si>
  <si>
    <t xml:space="preserve"> INVITATION TO BID FOR Purchase of Various Office Supplies for LGU of San Jose (2nd Quarter) 1.	The Municipality of San Jose, through the 2020 Annual Budget (General Fund) under the Office Supplies Expenses of the Local Government Unit of San Jose   intend</t>
  </si>
  <si>
    <t xml:space="preserve"> Project No.: QRF2020-B1-NS-REPAIR-L24 The Department of Education (DepED) Division of Northern Samar, through the 2020 Government Appropriations Act (GAA), intends to apply the sum of One Million Four Hundred Five Thousand Two Hundred Sixty One Pesos and </t>
  </si>
  <si>
    <t xml:space="preserve"> Republic of the Philippines Department of Education Region VIII SCHOOLS DIVISION OF TACLOBAN CITY Tacloban City INVITATION TO BID Project No.: CY 2020_QRF (REPAIR)-Lot 5 1. The Department of Education (DepED) Division of Tacloban City, through the General</t>
  </si>
  <si>
    <t xml:space="preserve"> INVITATION TO BID The DPWH-Regional Office No. III,  through  its  Bids  and  Awards  Committee  (BAC),  invites contractors to submit bids for the Contract below: Procurement ID/Contract ID:    20C00047 Contract Name:      Rehabilitation/Restoration of D</t>
  </si>
  <si>
    <t xml:space="preserve"> Contract ID: 			200003	 Contract Name: 	Purchase of One  (1) Unit  Heavy Equipment  for use at DPWH-Bataan 1st   District Engineering Office  (DEO) Contract Location: 		Orani,Bataan                  Approved Budget for the Contract (ABC):  Php 6,800,000.0</t>
  </si>
  <si>
    <t xml:space="preserve"> Diesel Fuel etc. NOTE:To all suppliers bid documents and BAC Resolution 2020-029 are available at  BAC Office and LGU website.</t>
  </si>
  <si>
    <t xml:space="preserve"> Procurement of Mental Drugs Lot 2</t>
  </si>
  <si>
    <t xml:space="preserve"> Republic of the Philippines Province of Cebu Municipality of Cordova BIDS AND AWARDS COMMITTEE (BAC) (032-236-6171) INVITATION TO BID  The Municipality of Cordova, through its Bids and Awards Committee (BAC) intends to apply  the sum of Eighty Million Sev</t>
  </si>
  <si>
    <t xml:space="preserve"> Procurement of Mental Drugs Lot 1</t>
  </si>
  <si>
    <t xml:space="preserve"> INVITATION TO BID: BID REFERENCE NO. 2020-68 “(REPOSTING) PROCUREMENT OF TWO (2) UNITS MULTI-PURPOSE VEHICLE” The DA-Bureau of Fisheries and Aquatic Resources Region VII, through the General Appropriations Act (GAA) FY 2020 intends to apply the sum of TWO</t>
  </si>
  <si>
    <t xml:space="preserve"> INVITATION TO BID: BID REFERENCE NO. 2020-66 “(REPOSTING) PROCUREMENT OF FIFTEEN (15) UNITS 7HP MARINE ENGINE (GASOLINE FED) WITH COMPLETE ACCESSORIES UNDER TARGET 2020 FOR COASTAL MUNICIPALITY OF BOHOL” The DA-Bureau of Fisheries and Aquatic Resources Re</t>
  </si>
  <si>
    <t xml:space="preserve"> INVITATION TO BID: BID REFERENCE NO. 2020-65 “(REPOSTING) PROCUREMENT OF EIGHT (8) UNITS 7HP MARINE ENGINE (GASOLINE FED) WITH COMPLETE ACCESSORIES UNDER SAAD 2020 FOR COASTAL MUNICIPALITY OF BOHOL” The DA-Bureau of Fisheries and Aquatic Resources Region </t>
  </si>
  <si>
    <t xml:space="preserve"> INVITATION TO BID: BID REFERENCE NO. 2020-64 “(REPOSTING) PROCUREMENT OF TEN (10) UNITS 20HP MARINE ENGINE (DIESEL) WITH COMPLETE ACCESSORIES FOR CEBU PROVINCE” The DA-Bureau of Fisheries and Aquatic Resources Region VII, through the General Appropriation</t>
  </si>
  <si>
    <t xml:space="preserve"> 20F00124 - Maintenance, Repair and Rehabilitation of Infrastructure Facilities and Other Related Activities – Maintenance Repair and Rehabilitation of Infrastructure Facilities – Flood Control and Drainage Systems Structures and Related Facilities: Repair</t>
  </si>
  <si>
    <t xml:space="preserve"> Supply and delivery of various construction materials for Various Projects LOT 5</t>
  </si>
  <si>
    <t xml:space="preserve"> INVITATION TO BID SUPPLY AND DELIVERY OF DESKTOP COMPUTER AND OTHER EQUIPMENT  1.	The NATIONAL DAIRY AUTHORITY through the PL480 FUNDS intends to apply the sum of PESOS: ONE MILLION NINE HUNDRED TWENTY FIVE THOUSAND FIVE HUNDRED (P1,925,500.00) ONLY on th</t>
  </si>
  <si>
    <t xml:space="preserve"> Billboard; Excavation Works; RSB Works; Structural Concrete Class A; PCC Pavement (Plain); Steel Grating; Painting Works (Masonry painting); Safety &amp; Health (Construction Health and safety Requirement); Equipment Requirement:  payloader; backhoe; batching</t>
  </si>
  <si>
    <t xml:space="preserve"> CMUPRES LC RAZALO		 1	1	Unit	Digital Duplicator	 			Print Speed: At least 130ppm and up	 			Paper feed table capacity: At least 1000 sheets and up	 			Paper weight: 45 - 210 gsm	 			Power consumption: max 220 W	 			Power: 160 W, TEC: 2.23 KWh	 			Heavy du</t>
  </si>
  <si>
    <t xml:space="preserve"> Republic of the Philippines						 City Government of Davao						 						 INVITATION TO BID						 for Infrastructure Projects B12-2020						 						 The City Government of Davao now invites bidders for the project/s under B12-2020 as listed below.   The pros</t>
  </si>
  <si>
    <t xml:space="preserve"> Construction of Monreal Municipal Port</t>
  </si>
  <si>
    <t xml:space="preserve"> B.5 PROJECT BILLBOARD/SIGN BOARD 1 EACH 803(1)A EXCAVATION 132 CU.M 900(1)A2 STRUCTURAL CONCRETE *WALL FOOTING 15.50 CU.M 900(1)B2 STRUCTURAL CONCRETE *SLAB ON FILL 57.60 CU.M 1046(2)A CHB NON LOAD BEARING (*INCLUDING REINFORCING STEEL) 668 SQ.M 1027(1) C</t>
  </si>
  <si>
    <t xml:space="preserve"> 800(1) CLEARING &amp; GRUBBING 250 SQ.M 803(1) STRUCTURE EXCAVATION 120 CU.M 505(5) GROUTED RIPRAP (CLASS A) 253.13 CU.M 900(1)B4 PLAIN AND REINFORCED CONCRETE WORKS 52.32 104(1) EMBANKMENT 48 CU.M SPL INSTALLATION OF BAILEY BRIDGE(PANEL LUMBER ACCESSORIES &amp; </t>
  </si>
  <si>
    <t xml:space="preserve"> Supply and Delivery of Additional Global Navigation Satellite System assigned at PDD (PR No. 20-03-074 dated 3/09/2020), DPWH Regional Office No. V, Rawis, Legazpi City</t>
  </si>
  <si>
    <t xml:space="preserve"> Republic of the Philippines Region XII Province of Cotabato CITY OF KIDAPAWAN BIDS AND AWARDS COMMITTEE Invitation to Bid 						  		            Date: June 09, 2020 1.	The City Government of Kidapawan, through the Local Disaster Risk Reduction Management F</t>
  </si>
  <si>
    <t xml:space="preserve"> Procurement of Mental Drugs Lot 3</t>
  </si>
  <si>
    <t xml:space="preserve"> Republic of the Philippines Region XII Province of Cotabato CITY OF KIDAPAWAN BIDS AND AWARDS COMMITTEE Invitation to Bid 						  		             Date: June 09, 2020 1.	The City Government of Kidapawan, through the Local Disaster Risk Reduction Management </t>
  </si>
  <si>
    <t xml:space="preserve"> Supply and Installation of Additional 3-units Air Conditioning Units at Construction Division DPWH RO-V, (PR No. 20-02-038 dated 2/19/2020), DPWH Regional Office No. V, Rawis, Legazpi City</t>
  </si>
  <si>
    <t xml:space="preserve"> Procurement of Space Spray (cyphenothrin 5%,BTL)</t>
  </si>
  <si>
    <t xml:space="preserve"> Procurement of Mental Drugs Lot 6</t>
  </si>
  <si>
    <t xml:space="preserve"> INVITATION TO BID BID REFERENCE NO. 2020-67 “(REPOSTING) PROCUREMENT OF VARIOUS MATERIALS FOR FABRICATION OF 8 UNITS (22FT) MOTORIZED FRP BOAT UNDER SAAD 2020 FOR COASTAL MUNICIPALITY OF BOHOL” The DA-Bureau of Fisheries and Aquatic Resources Region VII, </t>
  </si>
  <si>
    <t xml:space="preserve"> Procurement of Mental Drugs Lot 5</t>
  </si>
  <si>
    <t xml:space="preserve"> Procurement of Mental Drugs Lot 4</t>
  </si>
  <si>
    <t xml:space="preserve"> Installation of Solar LED Street Light at Barangay Dapnan, Baganga, Davao Oriental</t>
  </si>
  <si>
    <t xml:space="preserve"> INVITATION TO BID: BID REFERENCE NO. 2020-63 “(REPOSTING) PROCUREMENT OF NINETY (90) UNITS 7.5HP MARINE ENGINE (DIESEL) WITH COMPLETE ACCESSORIES FOR CEBU PROVINCE” The DA-Bureau of Fisheries and Aquatic Resources Region VII, through the General Appropria</t>
  </si>
  <si>
    <t xml:space="preserve"> B.5 PROJECT BILLBOARD/SIGNBOARD 1 EACH 101(3)B3 REMOVAL OF ACTUAL STRUCTURES/OBSTRUCTIONS 1,200.20 SQ.M 103(1) STRUCTURE EXCAVATION 17.64 CU.M 300(1) AGGREGATE SURFACE COURSE(UNCRUSHED) 188.60 CU.M 311(1)A PORTLAND CEMENT CONCRETE PAVEMENT 1,109.40 CU.M</t>
  </si>
  <si>
    <t xml:space="preserve"> Republic of the Philippines Region XII Province of Cotabato CITY OF KIDAPAWAN BIDS AND AWARDS COMMITTEE Invitation to Bid 						  		             Date: June 09, 2020 1.	The City Government of Kidapawan, through the 20% EDF CY 2020 Appropriation Ordinance 2</t>
  </si>
  <si>
    <t xml:space="preserve"> Procurement of Mental Drugs Lot 7</t>
  </si>
  <si>
    <t xml:space="preserve"> Republic of the Philippines Region XII Province of Cotabato CITY OF KIDAPAWAN BIDS AND AWARDS COMMITTEE Invitation to Bid 						  		          Date: June 09, 2020 1.	The City Government of Kidapawan, through the 20% EDF CY 2020 Appropriation Ordinance 20-0</t>
  </si>
  <si>
    <t xml:space="preserve"> Republic of the Philippines Department of Education Region VIII SCHOOLS DIVISION OF TACLOBAN CITY Tacloban City INVITATION TO BID Project No.: CY 2020_QRF (REPAIR)-Lot 4 1. The Department of Education (DepED) Division of Tacloban City, through the General</t>
  </si>
  <si>
    <t xml:space="preserve"> 1 unit Bottle and Glass Crusher Grinding Capacity: 500-1,000kg/hr Prime Mover: 10-14 HP Diesel Engine Horizontal Blades: Approx. 26 pcs, high impact steel blades Rotor Diameter: 215mm Hopper Dimension: Approx. 22" x 18" Perforation Screen Size: Approx. 5/</t>
  </si>
  <si>
    <t xml:space="preserve"> Construction of 0.20m X 4.00m X 90.00m  Climate Proofed Concrete Pavement to  include demolition of existing structure,  embankment, concrete works (includes  rectification of concrete steps-one side), and  masonry worksi</t>
  </si>
  <si>
    <t xml:space="preserve"> Republic of the Philippines Region XII Province of Cotabato CITY OF KIDAPAWAN BIDS AND AWARDS COMMITTEE Invitation to Bid 						  		             Date: June 9, 2020 1.	The City Government of Kidapawan, through the Trust Fund (Department of Agriculture Acco</t>
  </si>
  <si>
    <t xml:space="preserve"> Republic of the Philippines PROVINCE OF SAMAR Municipality of Pinabacdao Invitation to Bid Repair of Brgy. Botoc Health Station and Installation of Facilities Pinabacdao Samar 1. The LOCAL GOVERMENT UNIT of Pinabacdao Samar, through the FY 2020 Budget int</t>
  </si>
  <si>
    <t xml:space="preserve"> Republic of the Philippines PROVINCE OF MISAMIS OCCIDENTAL Municipality of Clarin ooOoo INVITATION TO APPLY FOR ELIGIBILITY AND TO BID (IAEB) The Municipal Government of Clarin, Province of Misamis Occidental, through its Bid and Award Committee (BAC) inv</t>
  </si>
  <si>
    <t xml:space="preserve"> I. STRUCTURE EXCAVATION 8.83 CU.M. II. CONCRETE WORKS 8.83 CU.M. III. INSTALLATION OF  POST &amp; SOLAR LIGHTS 46 UNITS IV. PAINTING WORKS 1 LOT</t>
  </si>
  <si>
    <t xml:space="preserve"> Republic of the Philippines CITY OF TACURONGAlong National Highway &amp; City S OFFICE OF THE CITY MAYOR INVITATION TO BID FOR  INSTALLATION OF SOLAR STREET LIGHTS (Contract ID No: 2020-CW-017) The City Government of Tacurong, through Locally Funded Projects </t>
  </si>
  <si>
    <t xml:space="preserve"> Improvement of Sector 4&amp;5 Bungol Farm to Market Road</t>
  </si>
  <si>
    <t xml:space="preserve"> Improvement of Pa-o Farmers Multi-purpose Building</t>
  </si>
  <si>
    <t xml:space="preserve"> INVITATION TO BID FOR THE REBIDDING ON THE PROVISION OF LABOR, MATERIALS, EQUIPMENT AND OTHER INCIDENTALS NEEDED FOR THE REHABILITATION/IMPROVEMENT OF SARICAO SMALL WATER IMPOUNDING PROJECT (SWIP) AT BRGY. SARICAO, VINTAR, ILOCOS NORTE 1.	The Department o</t>
  </si>
  <si>
    <t xml:space="preserve"> Formworks &amp; Scaffolding                          LS              LS    Demolition of Existing Roofing  Roof Framing &amp; Roof Beams                      LS              LS  Reinforced Concrete Footing   (at Stage -1st floor &amp; 2nd floor)                cu.m  </t>
  </si>
  <si>
    <t xml:space="preserve"> Construction of Butubut Sur Civic Center</t>
  </si>
  <si>
    <t xml:space="preserve"> Improvement of Sector 07 Camiling Farm to Market Road</t>
  </si>
  <si>
    <t xml:space="preserve"> INVITATION TO BID SUPPLY AND DELIVERY OF ONE (1) UNIT PASSENGER VAN VEHICLE (PV)    The Pag-IBIG Fund Corporate Headquarters, through its Bids and Awards Committee – Goods and Services (BAC-GS) intends to apply the sum of Two Million Six Hundred Thousand </t>
  </si>
  <si>
    <t xml:space="preserve"> I. MOBILIZATION/DEMOLIBILIZATION.SIGNAGE II. CARPENTRY WORKS III. MASONRY WORKS</t>
  </si>
  <si>
    <t xml:space="preserve"> Local Government of Valencia Catarata Street, Poblacion, Valencia City,  Bukidnon, Philippines Philippine access (088) 828-5430 Contract Reference No. 10-2020 06/09/2020 INVITATION TO BID FOR THE PROPOSED CONSTRUCTION OF MULTI-PURPOSE BUILDING PHASE I AT </t>
  </si>
  <si>
    <t xml:space="preserve"> Procurement of various Medical Equipment.</t>
  </si>
  <si>
    <t xml:space="preserve"> SUPPLY AND DELIVERY OF 2 UNITS MOTORCYCLE USE AT ENGINEERING OFFICE AS SERVICE FOR INSPECTION OF PROJECTS, MAUBAN, QUEZON. The Local Government Unit of Mauban through the TRUST FUND-ENGINEERING OFFICE, 2020 intends to apply the sum of Two hundred seventee</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</si>
  <si>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</si>
  <si>
    <t xml:space="preserve"> Installation of Solar LED Street Light at Barangay San Isidro, Baganga, Davao Oriental.</t>
  </si>
  <si>
    <t xml:space="preserve"> INVITATION TO BID GS 2020-006-020              FABRICATION AND SUPPLY OF FIBER GLASS MOTORIZED MOTORBOAT AND NON-MOTORIZED MOTORBOAT(SIBID-SIBID) 1.	The City Government of Sorsogon, through the Tanging Program under the 10 Pts. Agenda Other Purpose Funds </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</si>
  <si>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</si>
  <si>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INVITATION TO BID The DPWH Zamboanga del Sur 2nd District Engineering Office, Poblacion, Guipos, Zamboanga del Sur, through its Bids and Awards Committee (BAC), invites contractors to submit bids for the following Contract: Contract ID	:	20JG0051 - rebid </t>
  </si>
  <si>
    <t xml:space="preserve"> 1 - GONGS, Kalsa and Pinsak = 19 sets 2 - SOLIBAO, Solibao and Kimbal = 19 sets Note: made of carabao, cow or deer skin, good quality</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</si>
  <si>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</si>
  <si>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Republic of the Philippines Province of Agusan del Norte Municipality of Nasipit Invitation to Bid for Improvement of Public Bus Terminal (Building), Brgy. Triangulo 1. The Local Government Unit of Nasipit, through the 20% MDF 2020 intends to apply the su</t>
  </si>
  <si>
    <t xml:space="preserve"> Name of  Project/Contract	:	IMPROVEMENT OF LOWER SISI-MANTAE-LIMAN ROAD Location				:	PUDI,  Kasibu, Nueva Vizcaya Brief Description			:	1.Excavation for Structure 					2. Aggregate base coarse 					3. Installation of 24” and 36” RCPC with Stone Masonry H</t>
  </si>
  <si>
    <t xml:space="preserve"> Item I	-92.16 sq.m. Ceiling works Item II	-65 l.m. Fencing works Item III	-101.71 sq.m. Tileworks Item IV	-16.46 sq.m. Glassworks Item V	-736.47 sq.m. Paintworks Item VI	-130.35 l.m. Installation of Fascia board Item VII	-6 units Installation of Doors Ite</t>
  </si>
  <si>
    <t xml:space="preserve"> Improvement of Almeida Farmers Multi-purpose Pavement</t>
  </si>
  <si>
    <t xml:space="preserve"> Item No.	Scope of Work	 		 403	REINFORCING STEEL	 900	REINFORCE CONCRETE	 414	FORMS &amp; FALSEWORKS	 704	MASONRY WORKS	 103(1)a	Structure Excavation	 1027	PLASTERING WORKS	 1010	WINDOW	 500(1)	ROOFING WORKS	 ITEM B.5:	PROJECT BILLBOARD</t>
  </si>
  <si>
    <t xml:space="preserve"> Construction of 2 units Single Detached Commercial Hometel at Sunrise Boulevard, Barangay Dapnan, Baganga, Davao Oriental.</t>
  </si>
  <si>
    <t xml:space="preserve"> Name of  Project/Contract	:	CONCRETINGOF FMR (KAKIDUGEN-CATARAWAN) Location				:	KAKIDUGEN,  Kasibu, Nueva Vizcaya Brief Description			:	1. Excavation for Structure 					2. 0.15m x 5m x 255m aggregate base coarse 					3. Construction of 0.15m x 5.0m x 255</t>
  </si>
  <si>
    <t xml:space="preserve"> Republic of the Philippines Province of Southern Leyte MUNICIPALITY OF SAINT BERNARD BIDS AND AWARDS COMMITTEE INVITATION TO RE-BID FOR SUPPLY AND DELIVERY OF ONE (1) UNIT 6-WHEELER 4 x 4, 6 CUBIC METER DUMPTRUCK BAC-SBSL-MENRO-2020-10A 1.	The Municipalit</t>
  </si>
  <si>
    <t xml:space="preserve"> Concrete Paving along River Park 100LM NOTE:To all bidders bid documents and BAC Resolution 2020-029 are available at BAC Office and LGU website.</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</si>
  <si>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</si>
  <si>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BIDS AND AWARDS COMMITTEE  INVITATION TO BID The DEPARTMENT OF HEALTH – CENTRAL VISAYAS CENTER for HEALTH DEVELOPMENT (DOH CV CHD), through its Bids and Awards Committee (BAC), invites suppliers to bid for the hereunder projects: BAC NO. 2020 - E06 Item #</t>
  </si>
  <si>
    <t xml:space="preserve"> this project consist of delivery of materials and construction projects</t>
  </si>
  <si>
    <t xml:space="preserve"> INVITATION TO BID NO. INFRA-2020-09 									 1.	The Municipal Government of Hungduan, Ifugao, through the 20% Municipal Development Fund intends to apply the sum of One Million Two Hundred Fifty Five Thousand Eight Hundred Seventeen Pesos &amp; Sixty Four Ce</t>
  </si>
  <si>
    <t xml:space="preserve"> Name of  Project/Contract	:	CONSTRUCTION OF STANDARD DAYCARE CENTER BUILDING WITH COMPLETE FACILITIES Location				:	ALIMIT,  Kasibu, Nueva Vizcaya Brief Description			:	1. Reinforced concrete beams, columns and slabs 					2. Installation of CHB 					3. St</t>
  </si>
  <si>
    <t xml:space="preserve"> City Government of Manila INVITATION TO BID  NO. 2020-06-81 Procurement of Various Construction Supplies and Materials 1.	The City Government of Manila, through the General Fund CY 2020 – Repairs and Maintenance – Infrastructure Assets &amp; Repairs and Maint</t>
  </si>
  <si>
    <t xml:space="preserve"> City Government of Manila INVITATION TO BID  NO. 2020-06-79 Procurement of Various Electrical Supplies and Materials 1.	The City Government of Manila, through the General Fund CY 2020 – Other Supplies and Materials Expenses intends to apply the sum of Two</t>
  </si>
  <si>
    <t xml:space="preserve"> Name of  Project/Contract	:	IMPROVEMENT OF FMR-EDRALIN-ATAN ROAD Location				:	ANTUTOT,  Kasibu, Nueva Vizcaya Brief Description			:	1. 0.15M thick aggregate base coarse 					2. Construction of 0.15m x 5.0m x 45m PCCP and 0.15m x 445m concrete tirepath 		</t>
  </si>
  <si>
    <t xml:space="preserve"> Republic of the Philippines BULACAN STATE UNIVERSITY City of Malolos, Bulacan ________________________________________ INVITATION TO BID FOR   Re-Bidding Supply and Delivery of Ground Penetrating Radar (BulSU-BAC-G-2020-14) The BULACAN STATE UNIVERSITY (B</t>
  </si>
  <si>
    <t xml:space="preserve"> Republic of the Philippines Cordillera Administrative Region Mountain Province MUNICIPALITY OF TADIAN OFFICE OF THE BIDS AND AWARDS COMMITTEE Invitation to Bid for   REHABILITATION OF CAGUBATAN DOMESTIC DOMESTIC WATER SYSTEM Date: June 9, 2020 1.	The Muni</t>
  </si>
  <si>
    <t xml:space="preserve"> Name of  Project/Contract	:	COMPLETION OF STANDARD BIRTHING CLINIC - ALIMIT Location				:	ALIMIT,  Kasibu, Nueva Vizcaya Brief Description			:	1. Construction of Reinforced Concrete Slabs 					2. Installation of 4” CHB 					3. 20mm thick plastering works </t>
  </si>
  <si>
    <t xml:space="preserve"> P H I L I P P I N E   A R M Y OFFICE OF THE PHILIPPINE ARMY SPECIAL BIDS AND AWARDS COMMITTEE Fort Andres Bonifacio, Metro Manila Invitation to Bid The Armed Forces of the Philippines, through the Philippine Army Special Bids and Awards Committee (PASBAC)</t>
  </si>
  <si>
    <t xml:space="preserve"> Republic of the Philippines DR. EMILIO B. ESPINOSA, SR. MEMORIAL STATE COLLEGE  OF AGRICULTURE AND TECHNOLOGY (Masbate State College) BIDS AND AWARDS COMMITTEE http:www.debesmscat.edu.ph INVITATION TO BID FOR THE SUPPLY, DELIVERY AND INSTALLATION OF OFFIC</t>
  </si>
  <si>
    <t xml:space="preserve"> BIDS AND AWARDS COMMITTEE  FDA-BAC Ref. NO. ITB No. 2020-003-CSL INVITATION TO BIDS 1.       The Food and Drug Administration (FDA), through the FDA MOOE Fund of 2020 intends to apply the sum of Three Million Nine Hundred Thirty-Seven Thousand Two Hundred</t>
  </si>
  <si>
    <t xml:space="preserve"> City Government of Manila INVITATION TO BID  NO. 2020-06-83 Procurement of Various Supplies and Materials 1.	The City Government of Manila, through the General Fund CY 2020 – Other Supplies and Materials Expenses  intends to apply the sum of  Five Million</t>
  </si>
  <si>
    <t xml:space="preserve"> Republic of the Philippines DR. EMILIO B. ESPINOSA, SR. MEMORIAL STATE COLLEGE  OF AGRICULTURE AND TECHNOLOGY (Masbate State College) BIDS AND AWARDS COMMITTEE http:www.debesmscat.edu.ph INVITATION TO BID FOR THE SUPPLY AND DELIVERY OF  EQUIPMENT, SUPPLIE</t>
  </si>
  <si>
    <t xml:space="preserve"> FOR GOODS OFFERED Project Name:	CONSTRUCTION OF EVACUATION CENTER Location:	Purok 8 (Sitio Magasa), Brgy. Lanca, City of Mati, Davao Oriental Approved Budget:	P 999,764.22 Project Duration	46 Calendar Days ITB Number	LANCA-2020-01 Pre-bidding Conference	J</t>
  </si>
  <si>
    <t xml:space="preserve"> BIDS AND AWARDS COMMITTEE  FDA-BAC Ref. No. ITB No. 2020-002-CSL INVITATION TO BIDS SUPPLY AND DELIVERY OF VARIOUS LABORATORY STANDARDS, REAGENTS AND MEDIA FOR ALABANG TESTING AND QUALITY ASSURANCE LABORATORY (ATQAL) AND CEBU TESTING AND QUALITY ASSURANCE</t>
  </si>
  <si>
    <t xml:space="preserve"> Construction of Sanitary Landfill- Cell 3 at Nabanngan, Payawan, Lamut, Ifugao Please see attached documents</t>
  </si>
  <si>
    <t xml:space="preserve"> THE OFFICE OF THE BIDS AND AWARDS COMMITTEE, SAN CARLOS CITY IS IN NEED OF SUPPLY/DELIVERY OF PROCUREMENT OF THE FOLLOWING EMERGENCY EVACUATION EQUIPMENT: 100 UNIT FAMILY MODULAR TENT SPECS: MEASURING 1.5 X 1.5 METERS, CAN ACCOMMODATE 5-7 PERSONS, TOP OPE</t>
  </si>
  <si>
    <t xml:space="preserve"> Republic of the Philippines Province of Batanes	 MUNICIPALITY OF BASCO               		INVITATION TO BID FOR THE PROCUREMENT OF SUBMERSIBLE PUMPS WITH CAPACITOR 1.	The Municipal Local Government Unit of Basco, through the General Fund  intends to apply th</t>
  </si>
  <si>
    <t xml:space="preserve"> 1	Passenger Van Not exceeding 3000cc engine displacement, diesel-fed and 4 cylinders</t>
  </si>
  <si>
    <t xml:space="preserve"> Republic of the Philippines MUNICIPALITY OF KAPALONG Province of Davao del Norte 	o0o	 INVITATION TO BID 	 Supply &amp; Delivery of Materials for Proposed Closure and Rehabilitation of Open Dumpsite at Banate Capungagan, Kapalong, Davao del Norte 1.	The Local</t>
  </si>
  <si>
    <t xml:space="preserve"> Republic of the Philippines MUNICIPALITY OF KAPALONG Province of Davao del Norte 	o0o	 INVITATION TO BID 	 Supply &amp; Delivery One (1) unit Mini Hydraulic Excavator 1.	The Local Government Unit of Kapalong, through the MDRRM Fund   intends to apply the sum </t>
  </si>
  <si>
    <t xml:space="preserve"> ITB No. 2020-08 (SHORT OF AWARD) 1.	The SUGAR REGULATORY ADMINISTRATION, through the SRA Corporate Operating Budget 2020 intends to apply the sum of One Million Three Hundred Fifty Thousand Pesos (₱1,350,000.00) being the total Approved Budget for the Con</t>
  </si>
  <si>
    <t xml:space="preserve"> INVITATION TO BID Bid No. B-79-2020 (*REBIDDING) 1.	The Provincial Government of Negros Oriental, through Responsibility Center: 8918-021(19), intends to apply the sum of Five Million Three Hundred Ninety Thousand Pesos (Php 5,390,000.00) being the Approv</t>
  </si>
  <si>
    <t xml:space="preserve"> Construction/Rehabilitation of River Control at Brgy. Punta, Libagon, So. Leyte</t>
  </si>
  <si>
    <t xml:space="preserve"> See Phil. Bidding Documents, Bill of Quantities and Checklist hereto attached.</t>
  </si>
  <si>
    <t xml:space="preserve"> 1	Pick-up Type Vehicle Not exceeding 3000cc engine displacement, diesel-fed 4 cylinders Manual Freedom White(Pearl White)/Silver Mettalic/Attitude Black Mica(Midnight Black) 2	Asian Utility Vehicle Not exceeding 2500cc engine displacement, diesel-fed and </t>
  </si>
  <si>
    <t xml:space="preserve"> INVITATION TO BID  PROCUREMENT OF RESCUE ROPES FOR BASIC ROPE RESCUE SKILLS                                                                                                                                              PPSC BAC IB NO.005 (G) 2020 1.	The Phi</t>
  </si>
  <si>
    <t xml:space="preserve"> Republic of the Philippines CITY OF MALABON Metro Manila BIDS AND AWARDS COMMITTEE I N V I T A T I O N    T O    B I D SUPPLY AND DELIVERY OF MOBILE CARS FOR THE  PHILIPINE NATIONAL POLICE - MALABON 1.	The City Government of Malabon, through the Trust Fun</t>
  </si>
  <si>
    <t xml:space="preserve"> Date: June 08, 2020 1.	The Provincial Government of Davao del Sur, through its Bids and Awards Committee (BAC), invites all potential bidders / suppliers to apply to bid for the following goods. Bids received in excess of the ABC shall be automatically re</t>
  </si>
  <si>
    <t xml:space="preserve"> Republic of the Philippines Province of Southern Leyte Municipality of Tomas Oppus Invitation to Bid  PROCUREMENT OF MATERIALS FOR THE CONSTRUCTION OF  COMMUNITY LEARNING CENTER 1.	The Barangay Local Government Unit, Hinagtikan, Tomas Oppus, Southern Leyt</t>
  </si>
  <si>
    <t xml:space="preserve"> City Government of Manila INVITATION TO BID  NO. 2020-06-80 Procurement of one (1) lot Molecular Laboratory Set Up 1.	The City Government of Manila, through the General Fund CY 2020 – Medical Equipment-Capital Outlay   intends to apply the sum of  Fourtee</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</si>
  <si>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</si>
  <si>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1 LOT</t>
  </si>
  <si>
    <t xml:space="preserve"> City Government of Manila INVITATION TO BID  NO. 2020-06-88 Procurement of Various Vehicle Spare Parts 1.	The City Government of Manila, through the General Fund CY 2020 – Other Supplies and Materials Expenses intends to apply the sum of One Million Three</t>
  </si>
  <si>
    <t xml:space="preserve"> City Government of Manila INVITATION TO BID NO. 2020-06-75 Procurement of Two (2) Units Bed Passenger Elevator including Installation, Testing  Commissioning, Civil Works, Dismantling and Preventive Maintenance  1.	The City Government of Manila, through t</t>
  </si>
  <si>
    <t xml:space="preserve"> City Government of Manila INVITATION TO BID NO. 2020-06-78 Procurement of Various Airconditioning Units and Supplies &amp; Materials for Installation 1.	The City Government of Manila, through the Philhealth Trust Fund CY 2020  intends to apply the sum of Two </t>
  </si>
  <si>
    <t xml:space="preserve"> Republic of the Philippines Province of Eastern Samar City of Borongan -0- BIDS AND AWARDS COMMITTEE ------------------------------------------------------------------------------------------ Invitation to Bid for CONSTRUCTION OF LOOM RIVER FRONT PARK AT </t>
  </si>
  <si>
    <t xml:space="preserve"> City Government of Manila INVITATION TO BID  NO. 2020-06-63A Rental of Heavy Equipment 1.	The City Government of Manila, through the General Fund CY 2020 – Rent Expenses intends to apply the sum of Two Million Five Hundred  Thousand Pesos Only (Php2,500,0</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</si>
  <si>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</si>
  <si>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Procurement of One (1) unit Brand New MPV ACTIVITY	SCHEDULE	VENUE 1. Issuance of Bid Document June 10, 2020-June 30, 2020 BAC Secretariat Office -MPDO 2. Pre-Bid Conference/ Supplemental Bid- June 17, 2020 @ Tourism Office @ 1:30 PM	 3. Submission of Bids</t>
  </si>
  <si>
    <t xml:space="preserve"> Lot No.	Unit	Item Description/Particular	Quantity     No. of Pax	   Unit Cost	Total  Cost Lot  No. 1	pax	PSA-RSSO IX - Zamboanga City- Procurement of  Catering Services  (Lunch with AM and PM Snacks) Live-out for 6 days  in the conduct of the  4th Level  </t>
  </si>
  <si>
    <t xml:space="preserve"> City Government of Manila INVITATION TO BID  NO. 2020-06-53A Preventive Maintenance Services for Various Hospital and Medical Equipment 1.	The City Government of Manila, through the General Fund CY 2020 – Repairs and Maintenance – Machinery and Equipment </t>
  </si>
  <si>
    <t xml:space="preserve"> ITB No. 2020-11-EFS June 10, 2020 Republic of the Philippines Province of Davao Oriental CITY OF MATI INVITATION TO BID IMPROVEMENT OF THE GUANG-GUANG MANGROVE PARK Name of Project 1.	The City Government of Mati, through the Trust Fund Account (from the D</t>
  </si>
  <si>
    <t xml:space="preserve"> INVITATION TO BID  PROCUREMENT OF FOUR (4) UNITS GENERATOR SET FOR THE PPSC HEAD OFFICE AND NPC SILANG PPSC BAC IB NO.006 (G) 2020 1.	The Philippine Public Safety College through the General Appropriations Act of FY2020 , intends to apply the sum indicate</t>
  </si>
  <si>
    <t xml:space="preserve"> Republic of the Philippines CITY OF BAIS BIDS AND AWARDS COMMITTEE INVITATION TO APPLY FOR ELIGIBILITY AND TO BID 	The City Government of Bais invites interested bidders to apply for eligibility and to bid for use in Waste Management and Environmental San</t>
  </si>
  <si>
    <t xml:space="preserve"> ITEM NO.	ITEM AND DESCRIPTION			QTY	UNIT 	Common Office Supplies				 1	Correctional tape, 6 meters			90	pc 2	Bond paper A4- 20/70 gsm			700	rms 3	Bond paper short, 20/70 gsm			700	rms 4	Bond paper long, 20/70 gsm			700	rms 5	Ballpen-Black and Blue			90	bo</t>
  </si>
  <si>
    <t xml:space="preserve"> 5.	a)  Contract ID:	20OF0316 b)  Contract Name:	Construction/Rehabilitation of Water Supply/Septage and Sewerage/Rain Water Collectors-Rain Water Collectors in Public Facilities, Q.C. c)  Contract Location:	Quezon City d)  Scope of Work:	Construction/Reha</t>
  </si>
  <si>
    <t xml:space="preserve"> Republic of the Philippines Province of Negros Oriental MUNICIPALITY OF BACONG Barangay Tubod INVITATION TO BID Improvement of Multi-purpose Hall,  Tubod Bacong, Negros Oriental RFQ 2020-01 1.	The Barangay Tubod through the Brgy Fund  intends to apply the</t>
  </si>
  <si>
    <t xml:space="preserve"> DRRM COMMAND CENTER/CCTV CONTROL BUILDING - COMPLETION</t>
  </si>
  <si>
    <t xml:space="preserve"> 4.	a)  Contract ID:	20OF0315 b)  Contract Name:	General Repair and Rehabilitation of the Main Building Roofing HREP Compound, Batasan Road, Brgy. Batasan Hills, Q.C.  c)  Contract Location:	Quezon City d)  Scope of Work:	General Repair and Rehabilitation </t>
  </si>
  <si>
    <t xml:space="preserve"> PROJECT NAME: PROPOSED CONSTRUCTION OF CONCRETE PERIMETER FENCE LOCATION: KINAN-OAN ELEMENTARY SCHOOL, KINAN-OA, TRINIDAD, BOHOL OWNER'S NAME: DEP-ED - KES TOTAL LENGTH: 55 METERS PROJECT COST: 200,000</t>
  </si>
  <si>
    <t xml:space="preserve"> Republic of the Philippines Cordillera Administrative Region PROVINCIAL GOVERNMENT OF ABRA Bangued Invitation to Bid for  IMPROVEMENT OF TOURISM INFRASTRUCTURE - PARKS 1.	The Provincial Government of Abra, through the Budget for the Contract Approved by t</t>
  </si>
  <si>
    <t xml:space="preserve"> INVITATION TO BID The City Vigan, through its Bids and Awards Committee (BAC), invites suppliers/manufacturers/distributors/contractors to apply for eligibility and to bid for the hereunder project: Name of Project:	Procurement of Aerial Vehicle (Drone) f</t>
  </si>
  <si>
    <t xml:space="preserve"> City Government of Manila INVITATION TO BID NO. 2020-06-74 Procurement of Food and Drinks 1.	The City Government of Manila, through the General Fund CY 2020 – Representation Expenses intends to apply the sum of Four Million Six Hundred Eighty Thousand Pes</t>
  </si>
  <si>
    <t xml:space="preserve"> Section 1. INVITATION to BID (IB) No. 2020-012 The Municipality of Cabiao, Nueva Ecija, through its Bids and Awards Committee (BAC), invites suppliers/manufacturers/distributors to apply for eligibility and to bid if found eligible, to bid for the followi</t>
  </si>
  <si>
    <t xml:space="preserve"> 3.	a)  Contract ID:	20OF0314 b)  Contract Name:	Repair/Repainting of Exterior Walls and Doors of House Members Offices in the North and Batasan Complex, Brgy. Batasan Hills, Q.C. c)  Contract Location:	Quezon City d)  Scope of Work:	Repair/Re-Painting of </t>
  </si>
  <si>
    <t xml:space="preserve"> SUPPLY AND DELIVERY OF DRONE &amp; IPAD MINI FOR OFFICIAL USE OF DENR TARLAC</t>
  </si>
  <si>
    <t xml:space="preserve"> OFFICE CUBICLE AND OFFICE EQUIPMENT</t>
  </si>
  <si>
    <t xml:space="preserve"> Procurement of Infrastructure Projects 1. Construction of Material Recovery Facility @ Trading Post, Mabatobato, Lamut, Ifugao 2. Extension of Trading Post Building @ Mabatobato, Lamut, Ifugao Please see attached documents</t>
  </si>
  <si>
    <t xml:space="preserve"> Brief Description of the Project				 Quantity	Unit	Item Description		  1.00 	unit	Passenger Van (converted into an ambulance		 		   and fitted with necessary medical equipment		 		   and apparatus)		 		Specifications:		 		Engine:		 		·         not exceddi</t>
  </si>
  <si>
    <t xml:space="preserve"> SUPPLY AND INSTALLATION OF AGISOFT SOFTWARE FOR OFFICIAL USE OF DENR TARLAC</t>
  </si>
  <si>
    <t xml:space="preserve"> Reshaping &amp; compaction, including trimming of road side slopes of Katipunan Barangay Road networks.</t>
  </si>
  <si>
    <t xml:space="preserve"> Invitation to Bid for the Construction of Potable Water System, Brgy. Kanapawan, Labo, Camarines Norte 1.	TheProvincial Government of Camarines Norte, through the 20% Development Fund 2019intends to apply the sum of Four MillionNine Hundred Eighty-Eight T</t>
  </si>
  <si>
    <t xml:space="preserve"> 2 PCS. tIRES # 540/65R 34 REAR 2 PCS TIRE # 440/65r 24 FRONT 12 PCS OIL SEAL BEARING 12 PCS BEARING # 6310 1 PC CLUTCH CABLE 1M 1 PC. OIL FILTER 1 PC FUEL FILTER 1 PC AIR  CLEANER</t>
  </si>
  <si>
    <t xml:space="preserve"> The Municipal Government of San Mariano, Isabela intends to apply the sum of Two Million Four Hundred Ninety Nine Thousand Six Hundred Sixty Eight pesos and Fifty-Three Centavos Only. (Php2,499,668.53) being the Approved Budget for the Contract (ABC) char</t>
  </si>
  <si>
    <t xml:space="preserve"> The Municipal Government of San Mariano, Isabela intends to apply the sum of Thirteen Million Five Hundred Twenty Six Thousand Five Hundred Seventy Pesos and 05/100 (Php13,526,570.05) being the Approved Budget for the Contract (ABC) chargeable against CY </t>
  </si>
  <si>
    <t xml:space="preserve"> INVITATION TO BID The City Vigan, through its Bids and Awards Committee (BAC), invites suppliers/manufacturers/distributors/contractors to apply for eligibility and to bid for the hereunder project: Name of Project:	Procurement of Personal Watercrafts wit</t>
  </si>
  <si>
    <t xml:space="preserve"> gasoline supplies for lawn mower</t>
  </si>
  <si>
    <t xml:space="preserve"> Republic of the Philippines DEPARTMENT OF PUBLIC WORKS AND HIGHWAYS PANGASINAN 1ST DISTRICT ENGINEERING OFFICE REGIONAL OFFICE I Alaminos City, Pangasinan INVITATION TO BID FOR 20GAG0003- Furnishing of Materials, Furniture and Equipment  for the Completio</t>
  </si>
  <si>
    <t xml:space="preserve"> The Municipal Government of San Mariano, Isabela intends to apply the sum of One Million Thirty-Eight Thousand Four Hundred Ninety-Nine Pesos and Eighty-Four Pesos (Php1,038,499.84) being the Approved Budget for the Contract (ABC) chargeable against CY 20</t>
  </si>
  <si>
    <t xml:space="preserve"> 1.	The Municipality of Consolacion, through the GF - 20% EDF intends to apply the sum of Three Million Five Hundred Thousand Pesos (P 3,500,000.00) being the Approved Budget for the Contract (ABC) to payments under the contract for Construction/Installati</t>
  </si>
  <si>
    <t xml:space="preserve"> Section I. Invitation to Bid INVITATION TO BID: BID REFERENCE NO.: 2020-014 Supply and Delivery of Various Fingerlings  The Bureau of Fisheries and Aquatic Resources-12 (BFAR-12) of the Department of Agriculture, through the General Appropriations Act for</t>
  </si>
  <si>
    <t xml:space="preserve"> Procurement of Infrastructure Projects 1. Constn. of Interconnector of Buildings @ Public Market, Pob. West, Lamut, Ifugao 2. Constn. of Entrance/ Exit gate at Trading Post, Mabatobato, Lamut, Ifugao 3. Constn. of Vault for Special Wastes 4. Constn. of Co</t>
  </si>
  <si>
    <t xml:space="preserve"> Reproduction of Learners Materials Supplies of Ink for Modules</t>
  </si>
  <si>
    <t xml:space="preserve"> Republic of the Philippines  Province of Cotabato Municipality of Antipas Barangay Kiyaab OFFICE OF THE BIDS &amp; AWARD COMMITTEE Invitation to Bid for Construction Of 1-Unit Tribal Hall 1.	The Barangay Government of Kiyaab through the Trust Fund intends to </t>
  </si>
  <si>
    <t xml:space="preserve"> Republic of the Philippines Province of Quezon MUNICIPALITY OF POLILLO ***** INVITATION TO BID FOR  SUPPLY AND DELIVERY OF ONE (1) UNIT MINI DUMPTRUCK (BRAND NEW) AND (1) UNIT MINI PAYLOADER (BRAND NEW) OF LGU POLILLO 1.	The Municipality of Polillo, throu</t>
  </si>
  <si>
    <t xml:space="preserve"> I.    CONCRETE AND MASONRY WORKS              -         5.375  CU.M.</t>
  </si>
  <si>
    <t xml:space="preserve"> MUNICIPALITY OF ABRA DE ILOG Name of Procuring Entity							 Contract Reference Number Goods No.14-2020 Name of Contract: Supply and Delivery of Medicines    Location:  LGU, ADIOM Republic of the Philippines Province of Occidental Mindoro Municipality of </t>
  </si>
  <si>
    <t xml:space="preserve"> Republic of the Philippines DEPARTMENT OF PUBLIC WORKS AND HIGHWAYS PANGASINAN 1ST DISTRICT ENGINEERING OFFICE REGIONAL OFFICE I Alaminos City, Pangasinan INVITATION TO BID FOR 20GAG0002- Provision of Office Equipment and Accessories for the use of office</t>
  </si>
  <si>
    <t xml:space="preserve"> The Municipal Government of San Mariano, Isabela intends to apply the sum of Nine Hundred Ninety Nine Thousand Nine Hundred Ninety-Six Pesos and Eighty-Four Centavos (Php999,996.84) being the Approved Budget for the Contract (ABC) chargeable against CY 20</t>
  </si>
  <si>
    <t xml:space="preserve"> Republic of the Philippines DEPARTMENT OF PUBLIC WORKS AND HIGHWAYS PANGASINAN 1ST DISTRICT ENGINEERING OFFICE REGIONAL OFFICE I Alaminos City, Pangasinan INVITATION TO BID FOR 20GAG0001- Furnishing of Materials for the Completion of DPWH Main Building, D</t>
  </si>
  <si>
    <t xml:space="preserve"> Invitation to Bid for the  SUPPLY AND DELIVERY OF STARTER KITS FOR DOLE DRESSMAKING, BAKING &amp; SMALL MOTOR ENGINE SERVICE (SMES) PROGRAM 1.	The LGU-RAMON, ISABELA, through the Budget for the contract approved by the Sanggunian intends to apply the sum of P</t>
  </si>
  <si>
    <t xml:space="preserve"> A Republic of the Philippines BIDS AND AWARDS COMMITTEE Dagupan City Invitation to Bid   for PROPOSED CONCRETING OF PAVEMENT AND COVERED DRAINAGE AT DIVISION OFFICE, BRGY. POBLACION OESTE, DAGUPAN CITY 1.	The City Government of Dagupan, through the CONTIN</t>
  </si>
  <si>
    <t xml:space="preserve"> JUNE 8, 2020 INVITATION TO BID Name of Project: SUPPLY &amp; DELIVERY OF LIMESTONE FOR THE MAINTENANCE OF PROVINCIAL ROADS &amp; BRIDGES (MACHINE GRADING, REGRAVELLING SAND, GRAVEL&amp; LIMESTONE)  Approved Budget of the Contract: P 1,501,500.00 ITEM: 2,730	cu.m.	Lim</t>
  </si>
  <si>
    <t xml:space="preserve"> Procurement ID/Contract ID:	20PI0092 Contract Name:	Local Infrastructure Program - Water Management Facilities - Water Supply: Construction/ Rehabilitation/ Improvement of Waterworks, Brgy. Bontoc Ili, Poblacion and Calutit, Bontoc, Mountain Province Cont</t>
  </si>
  <si>
    <t xml:space="preserve"> 15,000	Ltr	Fuel, Diesel 1,300	Ltr	Fuel, Gasoline, Special 100   	Ltr	Oil, Diesel Engine 15W40 20    	Pail	Oil, Hydraulic VG 68 60    	Ltr	Oil, Hydraulic SAE 30 120   	Ltr	Oil, Hydraulic SAE 10 14    	Ltr	Oil, 2T 25    	Ltr	Oil, Gasoline Engine 20W50 25   </t>
  </si>
  <si>
    <t xml:space="preserve"> INVITATION TO BID The City of Bayawan, through its Bids and Awards Committee (BAC), invites suppliers/manufacturers/distributors/contractors to bid for the hereunder projects: 	Lot No. I		Materials, labor, fuel and equipment needed for the development of </t>
  </si>
  <si>
    <t xml:space="preserve"> Construction of Rainwater Collection System (Polyethylene Tank – Vertical)</t>
  </si>
  <si>
    <t xml:space="preserve"> BIDS AND AWARDS COMMITTEE (BAC) Email address: bacregion2@yahoo.com Telefax No.: (078) 304-0560 CP Nos.: 09173190220 INVITATION TO BID ITB No.: 2020-06-20 The Department of Agriculture – Regional Field Office No. 02 (DA-RFO 02) through its Bids and Awards</t>
  </si>
  <si>
    <t xml:space="preserve"> 1.	The National Irrigation Administration Interim Albay-Catanduanes IMO, Tuburan, Ligao City, through the GAA/SIP CY 2020 intends to apply the sum of P941,747.59 being the Approved Budget for the Contract (ABC) to STA. ISABEL CIP, Bato, Catanduanes under </t>
  </si>
  <si>
    <t xml:space="preserve"> 1.	The Municipality of Consolacion, through the GF - 20% intends to apply the sum of One Million Three Hundred Sixty-Six Thousand Nine Hundred Sixty-Three Pesos and 34/100 (P 1,366,963.34) being the Approved Budget for the Contract (ABC) to payments under</t>
  </si>
  <si>
    <t xml:space="preserve"> MUNICIPALITY OF ABRA DE ILOG Name of Procuring Entity						                Contract Reference Number Goods No.11-2020 Name of Contract: Supply and Delivery of Materials for the  Construction and Upgrading of Potable Water System    Location: Abra de Ilog,</t>
  </si>
  <si>
    <t xml:space="preserve"> Reinforced Concrete Revetment</t>
  </si>
  <si>
    <t xml:space="preserve"> Republic of the Philippines Province of Ilocos Sur MUNICIPALITY OF MAGSINGAL Office of the Bids and Awards    Committee INVITATION TO BID FOR THE PROVISION OF POTABLE WATER SUPPLY FOR TOBACCO FARMERS OF SITIO SARAGCAO, MAAS-ASIN, MAGSINGAL, ILOCOS SUR The</t>
  </si>
  <si>
    <t xml:space="preserve"> BIDS AND AWARDS COMMITTEE (BAC) Email address: bacregion2@yahoo.com Telefax No.: (078) 304-0560 CP Nos.: 09173190220 INVITATION TO BID ITB No.: 2020-06-21 The Department of Agriculture – Regional Field Office No. 02 (DA-RFO 02) through its Bids and Awards</t>
  </si>
  <si>
    <t xml:space="preserve"> Invitation to Bid for the Rehabilitation of Solar Streetlights, Cory Aquino Boulevard, Camarines Norte 1.	TheProvincial Government of Camarines Norte, through the General Fund 2020intends to apply the sum of Four MillionEight Hundred Sixty-One Thousand Fi</t>
  </si>
  <si>
    <t xml:space="preserve"> Invitation to Bid for Construction/Improvement of Drainage System of Libertad Public Market  Libertad, Antique The Local Government of Libertad, Antique, through the MDF 2020 intends to apply the sum of One Million Three Hundred Thousand Pesos (PhP 1,300,</t>
  </si>
  <si>
    <t xml:space="preserve"> Purchase of Catering Services</t>
  </si>
  <si>
    <t xml:space="preserve"> INVITATION TO BID The City Vigan, through its Bids and Awards Committee (BAC), invites suppliers/manufacturers/distributors/contractors to apply for eligibility and to bid for the hereunder project: Name of Project:	Procurement of Post Processing Software</t>
  </si>
  <si>
    <t xml:space="preserve"> Portland Cement Coco Lumber 2x4x12 Sand Gravel Common Nails #3</t>
  </si>
  <si>
    <t xml:space="preserve"> INVITATION TO BID  1.	The CITY GOVERNMENT OF CAUAYAN, ISABELA through the 2020 GENERAL FUND intends to apply the sum of ONE MILLION EIGHT HUNDRED TEN THOUSAND PESOS (PHP1,810,000.00) being the Approved Budget for the Contract (ABC) to payments under the c</t>
  </si>
  <si>
    <t xml:space="preserve"> Republic of the Philippines PROVINCE OF SAMAR Municipality of Pinabacdao Invitation to Bid Repair of Brgy.Mambog Baily Bridge Pinabacdao Samar 1. The LOCAL GOVERMENT UNIT of PInabacdao Samar, through the FY 2020 Budget intends to apply the sum of Six Hund</t>
  </si>
  <si>
    <t xml:space="preserve"> INVITATION TO BID June 5, 2020            Contract ID Number	:  20GIA004 P.R. Number		:  2020-05-0052 dated May 26, 2020 (GOODS) A B C			:  P 1,730,000.00 Contract Location	:  Naval, Province of Biliran Brief Description	:  Procurement of Instant Cold Mix</t>
  </si>
  <si>
    <t xml:space="preserve"> Construction of Livelihood Center for DSWD Clients ( OFW, Solo Parent, PWDs, Women, &amp; AMMA-Phase 4 Please see attached documents</t>
  </si>
  <si>
    <t xml:space="preserve"> 1		Set		Tire, 23.5 x 25, 18/20 PR, Tube Type 	 1		Pc		Tire, 23.1 x 26, 12 PR Tubeless, Non directional 34		Set		Tire, 12 x 20, Tube Type, Super Lug, (Cross Lug) 18 PR 13		Set		Tire, 11 x 20, Tube Type, Super Lug (Cross Lug) 18 PR 4		Set		Battery, Low Main</t>
  </si>
  <si>
    <t xml:space="preserve"> Republic of the Philippines Province of Iloilo MUNICIPALITY OF CARLES INVITATION TO BID 1.0 The Municipal Government of Carles, Province of Iloilo through its GRANT by DOH-HFEP CY 2019 intends to apply the sum of One Million Seven Hundred Thousand Pesos O</t>
  </si>
  <si>
    <t xml:space="preserve"> Construction of Bridge to Memorial Park - Phase II @ Mabatobato, Lamut, Ifugao Please see attached documents</t>
  </si>
  <si>
    <t xml:space="preserve"> 2.	a)  Contract ID:	20OF0313 b)  Contract Name:	Repair and Re-Painting of HREP Perimeter Fence Batasan Complex, Brgy. Batasan Hills, Q.C. c)  Contract Location:	Quezon City d)  Scope of Work:	Repair and Re-Painting of Building  e)  Approved Budget for the</t>
  </si>
  <si>
    <t xml:space="preserve"> JUNE 8, 2020 INVITATION TO BID Name of Project: SUPPLY AND DELIVERY OF LIMESTONE FOR REHABILITATION OF BARANGAY ROADS OF 16 BARANGAYS  BALINTAWAK,EAST KIBAWE, GUTAPOL, KIORAO, LABUAGON, MARAPANGE,MASCARIÑAS, NATULONGAN, NEW KIDAPAWAN, OLD KIBAWE, PALMA, R</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</si>
  <si>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</si>
  <si>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SUPPLY OF 64,000.00 LITERS OF DIESEL FUEL.</t>
  </si>
  <si>
    <t xml:space="preserve"> Supply and delivery of the following: 1. 300 pcs. Chairs (Plastic) 2. 2 units Filling Cabinet (Metal) 3. 10 sets Office Tables with Chairs 4. 1 set Sofa bed (6" Disclaimer) 5. 2 pcs. Office Chairs</t>
  </si>
  <si>
    <t xml:space="preserve"> Purchase of Computer set and Accessories</t>
  </si>
  <si>
    <t xml:space="preserve"> Invitation to Bid for the Construction/Improvement of Barangay Road (Phase II), Brgy. Tabas, Paracale, Camarines Norte 1.	TheProvincial Government of Camarines Norte, through the Performance Challenge Fund CY 2020intends to apply the sum of Four MillionFi</t>
  </si>
  <si>
    <t xml:space="preserve"> [Republic of the Philippines] Province of Pangasinan Municipality of Natividad INVITATION TO BID FOR TITLE: Construction/Improvement/Widening of Box Culvert at Purok 4 in Brgy. San Miguel Project Cost: P1,500,000.00 The [MUNICIPALITY OF NATIVIDAD], throug</t>
  </si>
  <si>
    <t xml:space="preserve"> PLEASE REFER  ATTACHMENT</t>
  </si>
  <si>
    <t xml:space="preserve"> 1.	a)  Contract ID:	20OF0312 b)  Contract Name:	Repair of Hallways and Ceiling at the South Wing Annex Building from the Second to the Fourth Floors, including Aluminum Swing Door Enclosures at the East and West Stairwells HREP Compound, Brgy. Batasan Hil</t>
  </si>
  <si>
    <t xml:space="preserve"> 1	MINI 4WD FARM TRACTOR SPECIFICATIONS: &gt; with rated power 36-40 horsepower, vertical, three to four (3-4) cylinders, 4 stroke cycles, direct injection, natural aspirated diesel engine, minimum PTO horsepower is 85% of the maximum rated horsepower, PTO sp</t>
  </si>
  <si>
    <t xml:space="preserve"> Invitation to Bid for the Contract Package for the Concreting of Farm to Market Road with Stone Masonry, Barangay Pudoc West, Tagudin, Ilocos Sur 1.	The Local Government Unit of Tagudin, Ilocos Sur, thru its Bids and Awards Committee intends to apply the </t>
  </si>
  <si>
    <t xml:space="preserve"> LGU - Padre Burgos, Southern Leyte INVITATION TO BID FOR  Procurement of Backhoe Track Shoe Type Padre Burgos, Southern Leyte 1.	The LGU Padre Burgos, Southern Leyte through the 20% EDF , CY 2020  intends to apply the sum of Three Million Sixty Seven Thou</t>
  </si>
  <si>
    <t xml:space="preserve"> JUNE 8, 2020 INVITATION TO BID Name of Project: SUPPLY &amp; DELIVERY OF DIESEL FOR ROAD ROLLER AND ROAD GRADER FOR THE MAINTENANCE OF PROVINCIAL ROADS &amp; BRIDGES (MACHINE GRADING, REGRAVELLING SAND, GRAVEL&amp; LIMESTONE)  Approved Budget of the Contract: 322,850</t>
  </si>
  <si>
    <t xml:space="preserve"> Procurement ID/Contract ID:	20PI0094 Contract Name:	Maintenance, Repair and Rehabilitation of Infrastructure Facilities and Other Related Activities - Public Buildings: Repair/Maintenance of: 1. DPWH Building Old DE's Quarters, Caluttit, Bontoc, Mountain </t>
  </si>
  <si>
    <t xml:space="preserve"> 1.	The Municipality of Consolacion, through the GF - 20% intends to apply the sum of One Million Four Hundred Seventy-Five Thousand Seven Hundred Seventy-Four Pesos and 96/100 (P 1,475,774.96) being the Approved Budget for the Contract (ABC) to payments u</t>
  </si>
  <si>
    <t xml:space="preserve"> Department of Public Works and Highways Contract ID:	20NA0069 Title: 		Concreting of Brgy. Guinabsan FMR, Buenavista, Agusan del Norte Location:		Buenavista, Agusan del Norte ________________________________________________________________________________</t>
  </si>
  <si>
    <t xml:space="preserve"> Invitation to Bid for Road Rehabilitation of General Fullon Street to Zaldivar Street  Libertad, Antique The Local Government of Libertad, Antique, through the MDF 2020 intends to apply the sum of Three Million Pesos (PhP 3,000,000.00) being the Approved </t>
  </si>
  <si>
    <t xml:space="preserve"> Name of Project: Provision of Sixteen (16) Sets Solar Streetlight Location: Brgy Estipona, Pura, Tarlac ABC: Php 787,500.50 Specification: 16 sets LED Solar Light 150 V SMD, Warm White Model: SSL 150W-WW Specification: Light Output: 150W Solar Panel:250W </t>
  </si>
  <si>
    <t xml:space="preserve"> JUNE 8, 2020 INVITATION TO BID Name of Project: SUPPLY AND DELIVERY OF FUEL FOR REHABILITATION OF BARANGAY ROADS OF 16 BARANGAYS   Approved Budget of the Contract: P 786,500.00 ITEM: 14,300	liters	Fuel  (for road grader) 		 The conduct of Bid for SUPPLY A</t>
  </si>
  <si>
    <t xml:space="preserve"> Republic of the Philippines Province of Samar MUNICIPALITY OF MARABUT INVITATION to BID for  RELOCATION OF THREE LOCAL HEROES MONUMENT  	 1.	The Municipal Government of Marabut, through its 20% Development Fund intends to apply the sum of Four Hundred Tho</t>
  </si>
  <si>
    <t xml:space="preserve"> Republic of the Philippines Cordillera Administrative Region PROVINCIAL GOVERNMENT OF ABRA Bangued Invitation to Bid for  REHABILITATION AND IMPROVEMENT OF  POBLACION LICUAN-DOMINGLAY ROAD 1.	The Provincial Government of Abra, through the Budget for the C</t>
  </si>
  <si>
    <t xml:space="preserve"> The Local Government Unit of Barugo, through the 20% Project Development Fund (PDF)  intends to apply the sum of Three Hundred Fifty Thousand Pesos only (Php350,000.00) being the Approved Budget for the Contract (ABC) to payments under the contract for Pr</t>
  </si>
  <si>
    <t xml:space="preserve"> MUNICIPALITY OF ABRA DE ILOG Name of Procuring Entity						                Contract Reference Number Infra No. 01-2020 Name of Contract:  Construction and Development of Auxiliary Source Water      Location: Brgy. Tibag, Abra de Ilog, Occ. Mindoro Republi</t>
  </si>
  <si>
    <t xml:space="preserve"> The CAGAYAN STATE UNIVERSITY through the GAA FY 2020 intends to apply the sum Five Million Four Hundred Twenty-Eight Thousand Eight Hundred Pesos(P 5,428,800.00), being the Approved Budget for the Contract (ABC) to payments under the contract for “REPAIR </t>
  </si>
  <si>
    <t xml:space="preserve"> Republic of the Philippines Province of Guimaras Municipality of Jordan  Invitation to Bid for Concreting of Barangay Roads at Balingasag, Sinapsapan, Jordan, Guimaras Invitation to Bid No. 20-038 (Re-bid) 1.	The Municipal Government of Jordan, through th</t>
  </si>
  <si>
    <t xml:space="preserve"> Republic of the Philippines Province of Pangasinan BIDS AND AWARDS COMMITTEE Municipality of Calasiao INVITATION TO BID FOR  REPAIR OF GOVERNMENT FACILITIES FOR USE DURING THE OPERATION OF COVID 19 PANDEMIC AT CALASIAO, PANGASINAN 1.	The Municipality of C</t>
  </si>
  <si>
    <t xml:space="preserve"> Province of Guimaras			 Municipality of Jordan			 BIDS AWARDS COMMITTEE			 			  			8-Jun-20 			 Invitation of Bid No.20-039			 			 Sealed bids, in triplicate subject to the coordination herein below specified will be received in the			 Property Division o</t>
  </si>
  <si>
    <t xml:space="preserve"> Republic of the Philippines																		 Province of Bohol																		 Municipality of Buenavista																		 																		 Barangay Cambuhat																		 INVITATION TO APPLY FOR ELIGIBILITY AND TO BID																		 								</t>
  </si>
  <si>
    <t xml:space="preserve"> Engine Specification		 Type		2.8L Diesel, 4 Cylinder, In line 16V, DOHC, Turbo charged Engine Technology	Direct Injection Common Rail Diesel (d-4D) Displacement		  2.755cc   Max Output		  176ps/3,4000rpm   Max Torque		  420nm/1,400-2,600rpm   Fuel Tank Ca</t>
  </si>
  <si>
    <t xml:space="preserve"> Procurement ID/Contract ID:	20PI0095 Contract Name:	Concreting of Brgy. Agawa FMR, Brgy. Agawa, Besao, Mountain Province Contract Location:	Besao, Mountain Province Brief Description:	Road concreting Approved Budget for the Contract (ABC):	Php 11,939,999.</t>
  </si>
  <si>
    <t xml:space="preserve"> various agricultural machinery and equipment</t>
  </si>
  <si>
    <t xml:space="preserve"> JUNE 8, 2020 INVITATION TO BID Name of Project: SUPPLY &amp; DELIVERY OF SAND &amp; GRAVEL FOR THE MAINTENANCE OF PROVINCIAL ROADS &amp; BRIDGES (MACHINE GRADING, REGRAVELLING SAND, GRAVEL&amp; LIMESTONE) Approved Budget of the Contract: P 1,029,000.00 ITEM: 735	cu.m.	Sa</t>
  </si>
  <si>
    <t xml:space="preserve"> ITEM NO.	PARTICULARS	 UNIT 	QTY 1	Roadpod VT Plus A	unit	 3.00  			 2	Road "O" Tubes (30M/Roll)                                                                                                                            	roll	 4.00  			 3	Figure 8 Road Cle</t>
  </si>
  <si>
    <t xml:space="preserve"> Mobile Aerial Platform GVW (kg) 6775 Engine Model: 4B2-115C50 Euro4   Net Weight (kg) 5775     Drive size 4*2     Max speed: 95kmh     Platform Specs: Max lift: 12m Max crane     Weight 100kg., Basket Max weight 200kg     Power: 90Kw     Displacement: 5.5</t>
  </si>
  <si>
    <t xml:space="preserve"> Republic of the Philippines Province of Pangasinan Municipality of Bugallon OFFICE OF THE BIDS AND AWARDS COMMITTEE INVITATION TO BID The Barangay Magtaking of the Municipality of Bugallon, Pangasinan, through its Bids and Awards Committee (BAC), invites </t>
  </si>
  <si>
    <t xml:space="preserve"> FOR SALE	 TOTAL ABC: P 1,941,293.00	 Lot	Amount per BAC 1	P 150.00 2	P 300.00 3	P 150.00 4	P 150.00 5	P 300.00 6	P 300.00 7	P 300.00 8	P 300.00 9	P 150.00 10	P 300.00 11	P 300.00 12	P 150.00 13	P 150.00 14	P 300.00 15	P 150.00 16	P 300.00 17	P 150.00 18	P</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</si>
  <si>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</si>
  <si>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Item No.	Scope of Work	Quantity	Unit	Total Estimated Cost I	Excavation and Lay Out	1 lot	 II	Forms and Scaffolding	480	Bd.ft.	 III	Concrete and Masonry Works	170	Bags	 IV	Steel/Roofing Works	84	pcs	 				657,018.63</t>
  </si>
  <si>
    <t xml:space="preserve"> 1.	The Municipality of Impasugong, through the 20% Rubber Plantation Project/Oil Palm Project intends to apply the sum Two Million Five Hundred Thousand Pesos (PhP 2,500,000.00) being the Approved Budget for the Contract (ABC) to payments under the contra</t>
  </si>
  <si>
    <t xml:space="preserve"> Please download pDf @ associated components for more information</t>
  </si>
  <si>
    <t xml:space="preserve"> INVITATION TO BID PROCUREMENT OF VARIOUS GOODS IB NO. 2020-06-30 (05) 1.	The Department of Health Cagayan Valley Center for Health Development, through the GOP-General Appropriations Act 2020 intends to apply the lump sum of One Million Two Hundred Fifty </t>
  </si>
  <si>
    <t xml:space="preserve"> Republic of the Philippines CITY OF MALABON Metro Manila BIDS AND AWARDS COMMITTEE I N V I T A T I O N    T O    B I D SUPPLY AND DELIVERY OF VARIOUS PRINTED FORMS, STICKERS AND  TIN PLATES FOR THE PROJECT “REGISTRATION AND FRANCHISING  OF TRICYCLES, PEDI</t>
  </si>
  <si>
    <t xml:space="preserve"> 120	pcs.	    0.60"Ø x 1.0m RCPC 450	pcs.	    4" CHB 42	bags	    Portland Cement 4	cu.m.	Crushed Sand 2	cu.m.	Gravel, Crushed Stone, 3/4" 24	lngth	    10mmØ x 6.0m RSB, deformed 1	pcs.	    Hacksaw Blade 3	kgs.	    #16 G.I. Wire</t>
  </si>
  <si>
    <t xml:space="preserve"> INVITATION TO BID PROCUREMENT OF VARIOUS PHARMACEUTICALS  ITB No. 2020-03-003 1.	The NORTHERN MINDANAO MEDICAL CENTER (NMMC), through the General Appropriations Act 2020 intends to apply the sum of One Hundred Sixty Nine Million Seven Hundred Sixty Six Th</t>
  </si>
  <si>
    <t xml:space="preserve"> This project is located at barangay Nueva Era,Cabatuan,Isabela			 			 I.	CLEARING AND GRUBBING	8,050.00	sq.m. II.	SUBGRADE PREPARATION	8,050.00	sq.m. III.	AGGREGATE SUB-BASE COARSE	1,207.50	cu.m. IV.	AGGREGATE BASE COARSE	966.00	cu.m. V.	PORTLAND CEMENT C</t>
  </si>
  <si>
    <t xml:space="preserve"> Construction of 160.00 meters concrete road</t>
  </si>
  <si>
    <t xml:space="preserve"> Construction of 3,077 ln.m. Water Supply System</t>
  </si>
  <si>
    <t xml:space="preserve"> City Government of Manila INVITATION TO BID NO. 2020-06-77 Procurement of Various MTPB Uniforms, Supplies and Materials 1.	The City Government of Manila, through the TRUSTFUND CY 2020 (2-01-01-020-OVR-25%) intends to apply the sum of Eight Million Three H</t>
  </si>
  <si>
    <t xml:space="preserve"> SECTION I. INVITATION TO BID FOR THE PROPOSED RENOVATION AND IMPROVEMENTS OF BOARDWALK AND WAINTING SHED 1. 	The DENR PENRO CEBU through the IPAF-RIA of PA OIWS intends to apply the sum of Three Million Two Hundred Seven Thousand Pesos (P3,207,000.00) bei</t>
  </si>
  <si>
    <t xml:space="preserve"> 1,166	Bags	Hog grower Pellets (50 kilos) 3,080	Bags	Hog Gestating Mash (50 kilos) 1,166	Bags	Hog Lactating Mash (50 kilos) 330	Bags	Piglet Booster (24 kilos) 3,916	Bags	Pre Starter (25 kilos) TERMS &amp; CONDITIONS: 1. The Supplier has a capacity to deliver t</t>
  </si>
  <si>
    <t xml:space="preserve"> Republic of the Philippines Dagupan City BIDS AND AWARDS COMMITTEE INVITATION TO BID For the Procurement of Drugs and Medicines for CHO use (PR no.: 2020-00615-014) 1.	The City Government of Dagupan, through the 2020 Approved ANNUAL BUDGET intends to appl</t>
  </si>
  <si>
    <t xml:space="preserve"> Republic of the Philippines												 City of San Carlos												 Negros Occidental												 												 			INVITATION TO BID							FOR SALE	 			PURCHASE REQUEST NO: 31-20-02-0344			P 3,000.00	 Sealed bids for quotation of prices will be received</t>
  </si>
  <si>
    <t xml:space="preserve"> 1.	The Municipality of Consolacion, through the GF - 20% intends to apply the sum of Two Hundred Fifty-Three Thousand Four Hundred Fifty-Eight Pesos (P 253,458.00) being the Approved Budget for the Contract (ABC) to payments under the contract for Repair/</t>
  </si>
  <si>
    <t xml:space="preserve"> The Municipal Government of Luna, Isabela through its Bids and Awards Committee (BAC) invites contractors registered by the Philippine Contractors Accreditation Board (PCAB) to apply and bid for the hereunder project: Name of Project: UPGRADING (EARTH TO </t>
  </si>
  <si>
    <t xml:space="preserve"> 500	sets	Supply and Delivery of nine hundred (900) sets galvanized metal layer cage with forty-eight (48) heads of pullets ready to lay in every set. To thirty (30) MIC Farmers Associations in the Municipality of Leyte subject to its terms and conditions.</t>
  </si>
  <si>
    <t xml:space="preserve"> Republic of the Philippines												 City of San Carlos												 Negros Occidental												 												 			INVITATION TO BID							FOR SALE	 			PURCHASE REQUEST NO: 1-20-03-0520			P 1,000.00	 Sealed bids for quotation of prices will be received </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</si>
  <si>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</si>
  <si>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</si>
  <si>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Item No.	Scope of Work	Quantity	Unit	Total Estimated Cost 1	Steel and Welding Works	8.00	units	 				 				 				 				211,945.77</t>
  </si>
  <si>
    <t xml:space="preserve"> Republic of the Philippines												 City of San Carlos												 Negros Occidental												 												 			INVITATION TO BID							FOR SALE	 			PURCHASE REQUEST NO: 18-20-04-0549			P 1,956.00	 Sealed bids for quotation of prices will be received</t>
  </si>
  <si>
    <t xml:space="preserve"> 1	Pick-Up 4x4 1. Automatic transmission 2. 2.0 - 3.0 cc Engine displacement 3. Bedliner 4. Leather seat cover 5. Towing hitch</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</si>
  <si>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</si>
  <si>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</si>
  <si>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20GID0016	Supply and Delivery of Reflectorized Traffic Paints for use in Repainting of Bridges, Guardrails and Headwall within the 2nd District of Leyte  Supply and Delivery of the Following: 120 pails Reflectorized Traffic Paint -White 20 pails- Reflecto</t>
  </si>
  <si>
    <t xml:space="preserve"> Brief Description/Specification: “SUPPLY AND DELIVERY OF VARIOUS FIRST AID SUPPLIES AND MATERIALS” for preparedness and operations of the Municipal Disaster Risk Reduction &amp; Management Office in the Municipal Government of Bayog, Zamboanga del Sur.   Appr</t>
  </si>
  <si>
    <t xml:space="preserve"> INVITATION TO BID  1.	The CITY GOVERNMENT OF CAUAYAN, ISABELA through the 2020 GENERAL FUND intends to apply the sum of FOUR MILLION FIVE HUNDRED THOUSAND PESOS (Php 4,500,000.00) being the Approved Budget for the Contract (ABC) to payments under the cont</t>
  </si>
  <si>
    <t xml:space="preserve"> Construction of Field Office for the Engineer, Provision of Furnitures/Fixtures, Equipment and Appliances for the Field Office of the Engineer, Construction Survey and Staking, Project Billboard, Occupational Safety and Health Program, Traffic Management,</t>
  </si>
  <si>
    <t xml:space="preserve"> Concreting of Roads - Cluster II Area A. Villegas Road, Barangay Pilpila B. Espino Road, Barangay Vargas C. Esteban Road, Barangay Vargas D. Road #11, Barangay Sta. Ines East E. Road #5, Barangay Sta. Ines East</t>
  </si>
  <si>
    <t xml:space="preserve"> ALBAY 3RD DISTRICT ENGINEERING OFFICE																										 Paulog, Ligao City																										 																										 INVITATION TO BID																										 																										 The DPWH - Albay 3rd District Engineering Office</t>
  </si>
  <si>
    <t xml:space="preserve"> Concreting of Roads - Cluster I Area A. Valeroso Road, Barangay Caduldulaoan B. Marquez Road, Barangay Botbotones C. Antonio Road, Barangay San Vicente D. Antimano Road (Gap), Barangay Pinpinas</t>
  </si>
  <si>
    <t xml:space="preserve"> ALBAY 3RD DISTRICT ENGINEERING OFFICE																											 Paulog, Ligao City																											 																											 																											 INVITATION TO BID																											 																											 															</t>
  </si>
  <si>
    <t xml:space="preserve"> INVITATION TO BID  1.	The CITY GOVERNMENT OF CAUAYAN, ISABELA through the 2020 GENERAL FUND intends to apply the sum of FOUR MILLION PESOS (Php 4,000,000.00) being the Approved Budget for the Contract (ABC) to payments under the contract for the Supply an</t>
  </si>
  <si>
    <t xml:space="preserve"> Concreting of Roads - Cluster III Area A. Road #12, St. Anthony Subd., Barangay Pob. East B. Sagun Road, Barangay Pob. West C. Morales St. Extension (Gap), Barangay Pob. West D. Road #11, Barangay Pob. West</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</si>
  <si>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</si>
  <si>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SURIGAO STATE COLLEGE OF TECHNOLOGY Surigao City INVITATION TO BID FOR IMPROVEMENT OF BUILDINGS AND ESTATES/PLANNING OFFICE 1.	The Surigao State College of Technology, through the Corporate Budget for the Contract Approved by the Governing Boards intends </t>
  </si>
  <si>
    <t xml:space="preserve"> Construction of Field Office for the Engineer, Project Billboard, Occupational Safety and Health Program, Traffic Management, Mobilization/Demobilization, Clearing and Grubbing, Roadway Excavation (Common), Foundation Fill, Pipe Culvert and Drain Excavati</t>
  </si>
  <si>
    <t xml:space="preserve"> Construction of Three (3) Phase Primary Distribution Line for Tuguegarao City Slaughter House (Ipil-Ipil Street, Capatan, Tuguegarao City)</t>
  </si>
  <si>
    <t xml:space="preserve"> SPECIFICATION: &gt; Hybrid Solar Inverter (5KVA with Built-in MPPT Charge Controller, 48 vdc Input Voltage, 60A, 220-250VAC Pure Sine Wave Output &gt; Monocrystalline 335 watts Solar PV Modules (14 units) &gt; 4mm2/6mm2 DC Solar Cables &gt; 4.69lWp railing kit and ac</t>
  </si>
  <si>
    <t xml:space="preserve"> 1000	vials	AMPICILLIN 250mg 1000	vials	AMPICILLIN 500mg 2000	vials	AMPICILLIN + SULBACTAM Na 750mg 1000	amps	BUPIVACAINE 0.5% HEAVY 4ml Sol. 2000	vials	CEFAZOLIN 1g 1000	vials	CEFTAZIDIME 1g 2000	vials	CEFTRIAXONE 1g 5000	vials	CEFUROXIME 750mg 500	amps	C</t>
  </si>
  <si>
    <t xml:space="preserve"> Invitation to Bid Republic of the Philippines City of Olongapo -0- BIDS AND AWARDS COMMITTEE BAC Office 3rd Floor  Olongapo City Hall  Web: www.olongapocity.gov.ph INVITATION TO BID FOR  OC-63(JLGMH-17) 20 GD  PROCUREMENT FOR THE SUPPLY AND DELIVERY OF ME</t>
  </si>
  <si>
    <t xml:space="preserve"> Republic of the Philippines Province of Leyte MUNICIPALITY OF CAPOOCAN -oOo- CAPOOCAN BIDS AND AWARD COMMITTEE INVITATION TO BID  for SUPPLY AND DELIVERY OF 3 UNITS MOTOR VEHICLES 1.	The MUNICIPALITY of Capoocan, Leyte, through the MO GENERAL FUND, MDRRM </t>
  </si>
  <si>
    <t xml:space="preserve"> Republic of the Philippines PROVINCE OF BUKDINON Malaybalay City OFFICE OF THE PROVINCIAL GOVERNOR Bids and Awards Committee INVITATION TO BID FOR THE “SUPPLY AND DELIVERY OF ONE LOT CONSUMABLES &amp; I.T SUPPLIES” ITB No. 2020-151 June 8, 2020 1.	The Provinc</t>
  </si>
  <si>
    <t xml:space="preserve"> Contract ID No. 20GSK00012 - Supply and Installation of Office Furnitures &amp; Fixtures for use in the Road Right of Way New Office, Planning and Design Division. (Please see attached ITB)</t>
  </si>
  <si>
    <t xml:space="preserve"> 288	bot	Aluminum Magnesium SUSP 60 ml 200	box	Aluminum Hydroxide + Magnesium Hydroxide 720	bot	Ambroxol 6mg/ml DROPS 15ml 2880	bot	Ambroxol 15mg/ml SYRUP 60ml 500	box	Ambroxol 30mg TAB 100s 300	box	Amlodipine 5mg TAB 100s 500	box	Amoxicillin 500mg CAP 100</t>
  </si>
  <si>
    <t xml:space="preserve"> 330	Heads	GILT 		1. Grand Parent Stocks 		2. Parent Stocks 22	Heads	Boar 		1. Grand Parent Stocks 		2. Terminal lines 		3. A.I. Trained TERMS AND CONDITIONS: 1. The Supplier has a capacity to deliver the required Gilts and Boars needed by the project. 2. </t>
  </si>
  <si>
    <t xml:space="preserve"> Local Government Unit of Cordon, Isabela Invitation to Bid for Construction of Multi-Purpose Hall located  at LGU-Cordon, Isabela. 1.	The Local Government Unit, through the Provincial  Fund intends to apply the sum of Five Million Pesos          (P5,000,0</t>
  </si>
  <si>
    <t xml:space="preserve"> The Municipal Government of Bayog, Zamboanga del Sur thru its Bids and Awards Committee (BAC) invites all interested bidders for the “SUPPLY AND DELIVERY OF EMERGENCY AND RESCUE EQUIPMENT FOR FLOOD AND EARTHQUAKE” for preparedness and operations of the Mu</t>
  </si>
  <si>
    <t xml:space="preserve"> 900	BAGS	Chicken Layer Grower Crumble (50 kilos) 300	BAGS	Chicken Pre-Layer Crumble (50 kilos) 1500	BAGS	Chicken Layer 1 Crumble (50 kilos Terms and Conditions: a. Feeds delivered should be in good condition. b. Feeds should be delivered at thirty (30) Fa</t>
  </si>
  <si>
    <t xml:space="preserve"> Invitation to Bid for the  PROCUREMENT OF VEHICLE Kiblawan, Davao del Sur 1.The Local Government Unit of Kiblawan, through the 2020 Peace and Order Fund[ In the case of National Government Agencies, the General Appropriations Act and/or continuing appropr</t>
  </si>
  <si>
    <t xml:space="preserve"> Republic of the Philippines PROVINCE OF SAMAR Municipality of Pinabacdao Invitation to Bid Repair of Brgy.Mambog Baily Bridge Pinabacdao Samar 1. The LOCAL GOVERMENT UNIT of PInabacdao Samar, through the FY 2020 Budget intends to apply the sum of Five Hun</t>
  </si>
  <si>
    <t xml:space="preserve"> Temporary Facilities, Project Billboard, Construction Safety and Health, Mobilization/Demobilization, Clearing and Grubbing, Roadway Excavation (Common), Foundation Fill, Pipe Culvert and Drain Excavation, Embankment from Road Excavation, Subgrade Prepara</t>
  </si>
  <si>
    <t xml:space="preserve"> BIDS AND AWARDS COMMITTEE INVITATION TO BID No. 026-2020 The METRO ROXAS WATER DISTRICT (MRWD), through its Bids and Awards Committee (BAC), invites Janitorial Agencies/Janitorial Service Providers to apply for eligibility and to bid for the hereunder pro</t>
  </si>
  <si>
    <t xml:space="preserve"> Construction of Masonry Drainage along Sampaguita Street (Panacal Village), Caggay-Tanza, Tuguegarao City</t>
  </si>
  <si>
    <t xml:space="preserve"> Contract ID No. 20GSK00011 - Supply and Delivery of Office Supplies for the use in the Planning and Design Division for 2nd quarter, 2020. (Please see attached ITB)</t>
  </si>
  <si>
    <t xml:space="preserve"> INVITATION TO BID CONSTRUCTION OF VARIOUS INFRASTRUCTURE PROJECTS FOR THE CITY OF NAVOTAS UNDER LGSF The City Government of Navotas, through its Bids and Awards Committee, will hold a Public Bidding for the CONSTRUCTION OF VARIOUS INFRASTRUCTURE PROJECTS </t>
  </si>
  <si>
    <t xml:space="preserve"> Contract ID: 20PK0069 Contract Name: Cluster 1 - Repair and Rehabilitation of Infrastructure Facilities and Other Related Activities - Flood Control and Drainage Systems, Structures and Related Facilities, Mabilong and Dangoy, Lubuagan, Kalinga   Contract</t>
  </si>
  <si>
    <t xml:space="preserve"> Diesel,  Umleaded Prospective Bidders must have completed a contract similar to the project with the amount of at least 50% of the ABC. Bidding will be conducted through open competitive bidding procedures using a non-discretionary “pass/fail” criterion a</t>
  </si>
  <si>
    <t xml:space="preserve"> Vaccine, Rabies, Vero Cell Purified, 2.5IU/0.5ml vial +diluent,   Serum, anti-rabies (equine) 200IU/ml, 5ml vial Prospective Bidders must have completed a contract similar to the project with the amount of at least 50% of the ABC. Bidding will be conducte</t>
  </si>
  <si>
    <t xml:space="preserve"> Invitation to Bid for the CONSTRUCTION OF JIABONG FIRE STATION  1.	The Bureau of Fire Protection Region 8, through the Special Accounts in the General Fund SAGF 2020 intends to apply the sum of Seven Million Three Hundred Twenty Thousand Nine Hundred Sixt</t>
  </si>
  <si>
    <t xml:space="preserve"> Const. of Two Storey Building (Total Floor Area:  161.00 sq.m.) with 11.5m x 1.50m Balcony made of concrete, masonry works, C- Joist suspended slabs, steel &amp; galva iron roofing sheets complete with ceilings,  hanger &amp; nailers, paintings, plumbing &amp; sanita</t>
  </si>
  <si>
    <t xml:space="preserve"> ITEM NO                     DESCRIPTION                            QUANTITY        UNIT 105 (1)                       SUB-GRADE PREPARATION          900                SQ.M 201                             AGGREGATE BASE COURSE         157.5             CU</t>
  </si>
  <si>
    <t xml:space="preserve"> Contract ID No. 20GSK00010 - Supply and Installation for Air Conditioning Units for use in the Planning and Design Division (RROW), 1st Quarter. (Please see attached ITB)</t>
  </si>
  <si>
    <t xml:space="preserve"> The Municipality of Baliwag, through its Bids and Awards Committee (BAC), invites contractors to apply for eligibility and to bid the here ender project: Name of Project	:	ICT EQUIPMENT FOR EODB ONE STOP SHOP 	 Location		:	BALIWAG, BULACAN	 Brief Descript</t>
  </si>
  <si>
    <t xml:space="preserve"> CONCRETING OF BARANGAY BUDAC TO BARANGAY GADDANI FMR Contract Location:                      Barangay Budac and Barangay Gaddani, Tayum, Abra Brief Description:                     Concreting of Roads using PCCP (Unreinforced,                             </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</si>
  <si>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</si>
  <si>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Republic of the Philippines  Province of Bukidnon  MUNICIPALITY OF KALILANGAN    Bids and Award Committee (BAC)  INVITATION TO BID FOR  Goods 2020-06-016 The Local Government Unit – Kalilangan, Bukidnon through the BIDS AND AWARDS COMMITTEE (BAC) now invi</t>
  </si>
  <si>
    <t xml:space="preserve"> Invitation to Bid for the CONSTRUCTION OF PINABACDAO FIRE STATION 1. The Bureau of Fire Protection Region 8, through the Special Accounts in the General Fund SAGF 2020 intends to apply the sum of Seven Million Three Hundred Twenty Thousand Nine Hundred Si</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</si>
  <si>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</si>
  <si>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Concreting of Road with following description of works re:  Portland Cement Concrete Pavement (1,101.00 sq.m. @ 0.20m thk.) including subgrade and aggregate base course preparation and compaction.</t>
  </si>
  <si>
    <t xml:space="preserve"> INVATATION TO BID   CONSTRUCTION OF 2-STOREY MUNICIPAL MULTI-PURPOSE BUILDING Identification No. BARMM-SUL-06-SIA-03-20 June 4, 2020 The Municipality of Siasi, Province of Sulu, implementing  partner of the Development Bank of the Philippine (DBP) now inv</t>
  </si>
  <si>
    <t xml:space="preserve"> ITEMS OF WORK I. CLEARING AND GRUBBING II. INTAKE TANK III. TRANSMISSION PIPELINE IV. CABLE INSTALLATION V. PROJECT BILLBOARD</t>
  </si>
  <si>
    <t xml:space="preserve"> Const. of Two Storey Building (Dimension:  8.50m x 6.20m) made of concrete, masonry works, C- Joist suspended  slabs, steel, &amp; galva iron roofing sheets complete with ceilings, hanger, fie exit ladder, signages &amp; electrical systems including demolition of</t>
  </si>
  <si>
    <t xml:space="preserve"> INVITATION TO BID The DPWH Cebu 3rd District Engineering Office through its Bids and Awards Committee (BAC) for Goods, invites suppliers to submit bids for the following Contract:             Contract ID: 20GHF0005            Contract Name: Supply and Del</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</si>
  <si>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</si>
  <si>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Invitation to Bid for the CONSTRUCTION OF PADRE BURGOS FIRE STATION  1.	The Bureau of Fire Protection Region 8, through the Special Accounts in the General Fund SAGF 2020 intends to apply the sum of Seven Million Three Hundred Twenty Thousand Nine Hundred</t>
  </si>
  <si>
    <t xml:space="preserve"> INVITATION TO BID FOR SUPPLY AND DELIVERY OF HDPE PIPES AND COMPRESSION FITTINGS 1. The Tanay Water District, through the Corporate Budget for the contract approved by the governing Boards intends to apply the sum of One Million One Hundred Seventy Two Th</t>
  </si>
  <si>
    <t xml:space="preserve"> Republic of the Philippines Province of Misamis Occidental MUNICIPALITY OF CALAMBA   INVITATION TO BID FOR THE CONCRETING OF IMAN STREET- BARANGAY MAGCAMIGUING 	June 9, 2020 1.	The Local Government Unit of Calamba, Misamis Occidental, through the 20% Deve</t>
  </si>
  <si>
    <t xml:space="preserve"> Repair and Maintenance of Lined Canal</t>
  </si>
  <si>
    <t xml:space="preserve"> ITEMS OF WORK CLEARING AND GRUBBING INTAKE TANK TRANSMISSION PIPELINE RESERVOIR TANKS PROJECTS BILLBOARD</t>
  </si>
  <si>
    <t xml:space="preserve"> ITEMS OF WORK: I. DEMOLITION (SLABS, WALLS) ......................................................28.50 CU.M. II. EXCAVATION WORKS (MANUAL) ......................................................95.00 CU.M. III. HAULING AND DISPOSAL OF DEMOLISHED AND EXCAV</t>
  </si>
  <si>
    <t xml:space="preserve"> Concreting of Road with following description of works re:  Portland Cement Concrete Pavement (1,113.00 sq.m. @ 0.20m thk.) including subgrade and aggregate base course preparation and compaction.</t>
  </si>
  <si>
    <t xml:space="preserve"> Concreting of Road with following description of works re:  Portland Cement Concrete Pavement (492.00 sq.m. @ 0.20m thk.) including removal of existing PCCP (reblocking), roadway excavation, subgrade and aggregate base course preparation and compaction.</t>
  </si>
  <si>
    <t xml:space="preserve"> Construction of Slope Protection with following description of works re:  Grouted Riprap, Class A (Total Volume:  120.66 cu.m.) including individual Removal of Trees, Structure Excavation, Embankment &amp; Concrete Sealing, 150mm thk.</t>
  </si>
  <si>
    <t xml:space="preserve"> 1. The LGU-Bakun, Benguet, through the 2020 20% MDF intends to apply the sum of   P 1,699,347.45 being the Approved Budget for the Contract (ABC) to payments under the contract Various Infrastructure Projects under Cluster I-2020, Kayapa, Bakun, Benguet (</t>
  </si>
  <si>
    <t xml:space="preserve"> INVITATION TO BID FOR Procurement of Hospital Engineering &amp; Facilities Management Unit (HEMU) Supplies and ICT Equipment IB NO: 2020-019 The Western Visayas Medical Center, through Internally Generated Income and FY 2020 GAA, in the amount of Three Millio</t>
  </si>
  <si>
    <t xml:space="preserve"> Republic of the Philippines Province of Oriental Mindoro MUNICIPALITY OF NAUJAN BIDS AND AWARDS COMMITTEE INVITATION TO BID SUPPLY AND DELIVERY OF MATERIALS TO BE USED IN THE INSTALLATION/ REHABILITATION OF WATER SYSTEM LEVEL II &amp; III IN DIFFERENT BARANGA</t>
  </si>
  <si>
    <t xml:space="preserve"> Const. of Stage with dressing room (Dimension: 8.0m x 7.00) complete with Reinf. Concrete column, masonry works, steel trusses &amp; coloroof g.i. sheet, rib- type roofing, paintings, doors, windows, ceiling, tileworks, sanitary/ plumbing and electrical syste</t>
  </si>
  <si>
    <t xml:space="preserve"> BIDS AND AWARDS COMMITTEE MUNICIPALITY OF BALETE THE MUNICIPALITY OF BALETE  THRU BIDS AND AWARDS COMMITTEE INVITES ALL SUPPLIERS/BIDDERS/CONTRACTORS TO APPLY FOR ELIGIBILITY SCREENING AND IF SUBSEQUENTLY FOUND ELIGIBLE FOR THE PROCUREMENT REQUEST FOR THE</t>
  </si>
  <si>
    <t xml:space="preserve"> CONCRETING OF FMR-BRGY. STA CRUZ Brgy. Sta. Cruz, Labo, Cams. Norte</t>
  </si>
  <si>
    <t xml:space="preserve"> INVITATION TO BID MUNICIPALITY OF BALETE THE MUNICIPALITY OF BALETE THRU BIDS AND AWARDS COMMITTEE INVITES ALL SUPPLIERS/BIDDERS/CONTRACTORS TO APPLY FOR ELIGIBILITY SCREENING AND IF SUBSEQUENTLY FOUND ELIGIBLE FOR THE PROCUREMENT REQUEST FOR THE PROJECT </t>
  </si>
  <si>
    <t xml:space="preserve"> 2020-049 REHABILITATION OF BUREAU OF FIRE PROTECTION (BFP) BUILDING AT MUNICIPAL HALL COMPOUND, MIDSAYAP, COTABATO</t>
  </si>
  <si>
    <t xml:space="preserve"> Municipality of ATIMONAN, QUEZON Standard From Number SF-INFRA-05 Revised on July 28, 2004 INVITATION TO BID The Municipal Government of ATIMONAN, QUEZON, through its Bids and Awards Committee (BAC), invites Contractors to apply for Eligibility and to Bid</t>
  </si>
  <si>
    <t xml:space="preserve"> Const. of Three Storey Building (Dimension: 36m x 9.40m) made of concrete, masonry works, steel &amp; galva iron roofing sheets complete with ceilings, hanger &amp; nailers, paintings, plumbing &amp; sanitary fixtures, doors &amp; windows with grills, railings, fire exit</t>
  </si>
  <si>
    <t xml:space="preserve"> Const. of Two Storey "ALS" Building (Dimension:  19.05m x 9.15m) made of concrete, masonry works, C-Joist suspended slabs, steel &amp; galva iron roofing sheets complete with  ceilings, hanger &amp; nailers, paintings, plumbing &amp; sanitary fixtures, doors &amp; window</t>
  </si>
  <si>
    <t xml:space="preserve"> City Government of Manila INVITATION TO BID  NO. 2020-06-86 Procurement of Various Airconditioning units and Supplies and Materials for Installation 1.	The City Government of Manila, through the Philhealth Fund intends to apply the sum of Four Million Thr</t>
  </si>
  <si>
    <t xml:space="preserve"> Section II. Instructions to Bidders A.  General 1.	Scope of Bid 		 	1.1	The Procuring Entity as defined in the BDS, invites bids for the construction of Works, as described in Section VI- Specifications.  The name and identification number of the Contract</t>
  </si>
  <si>
    <t xml:space="preserve"> Const. of Two Storey Four Classroom Building (Dimension:  22.50m x 9.40m) made of concrete, masonry works, C- Joist suspended slabs, steel &amp; galva iron roofing sheets complete with ceilings, hanger &amp; nailers, paintings, plumbing &amp; sanitary fixtures, doors</t>
  </si>
  <si>
    <t xml:space="preserve"> Const. of Two Storey Four Classroom Bldg. at Talisay ES, Brgy. Talisay, Calaca, Batangas</t>
  </si>
  <si>
    <t xml:space="preserve"> 2020-050, CONSTRUCTION OF BOX CULVERT AT PUROK 3, MILAYA, MIDSAYAP, COTABATO</t>
  </si>
  <si>
    <t xml:space="preserve"> REQUEST FOR EXPRESSION OF INTEREST (REI) Consulting Services for the Conduct of Sub-surface Soil Exploration and Geotechnical Investigation for the Construction of various Buildings and Other Structures in Tarlac. 1.	The Department of Public Works and Hig</t>
  </si>
  <si>
    <t xml:space="preserve"> 2020-051, SUPPLY AND DELIVERY OF ELECTRONIC DEVICES AND EQUIPMENT FOR EXPLOSIVE ORDNANCE DISPOSAL (EOD) UNIT AT LGU MIDSAYAP, COTABATO</t>
  </si>
  <si>
    <t xml:space="preserve"> The DPWH-North Manila District Engineering Office, through its Bids and Awards Committee (BAC) invites contractors to submit bids for the following Contract: 4.	 Contract I.D. No. 20OE0201   Contract Name: Construction / Rehabilitation of Water Supply / S</t>
  </si>
  <si>
    <t xml:space="preserve"> 2020-039, CONSTRUCTION OF BAILEY BRIDGE CONNECTING PUROK 4 AND PUROK 5, POBLACION 5, MIDSAYAP, COTABATO</t>
  </si>
  <si>
    <t xml:space="preserve"> RENOVATION OF LABO MUNICIPAL MUSEUM Municipal Museum, Labo, Cams. Norte</t>
  </si>
  <si>
    <t xml:space="preserve"> The DPWH-North Manila District Engineering Office, through its Bids and Awards Committee (BAC) invites contractors to submit bids for the following Contract: 3.	Contract I.D. No. 20OE0200   Contract Name: MOOE – Maintenance, Repair and Rehabilitation of I</t>
  </si>
  <si>
    <t xml:space="preserve"> INVITATION TO BID  No. 2020-015 The Department of Public Works and Highways -Davao del Norte District Engineering Office, Tagum City, Davao del Norte, through its Bids and Awards Committee (BAC), invites contractors to submit bids for the following Contra</t>
  </si>
  <si>
    <t xml:space="preserve"> Const. of Two (2) units Communal Toilet (Floor Area:  CR #1- 18.12 sqm; CR #2 22.06 sq.m.) made of concrete, masonry works, steel &amp; galva iron roofing sheets complete with ceilings, hanger &amp; nailers, paintings, plumbing, &amp; sanitary fixtures, doors &amp; windo</t>
  </si>
  <si>
    <t xml:space="preserve"> 2020-036, CONSTRUCTION OF STEEL BRIDGE AT SITIO PANGPANG, PUROK 4, BARANGAY UPPER GLAD 1, MIDSAYAP, COTABATO</t>
  </si>
  <si>
    <t xml:space="preserve"> The DPWH – Bulacan First District Engineering Office, through its Bids and Awards Committee (BAC), invites contractors to submit bids for the following Contract: Contract ID: 20CC0254 Contract Name: Concreting of Brgy. Siling Bata to Brgy. Cacarong Matand</t>
  </si>
  <si>
    <t xml:space="preserve"> The DPWH – Bulacan First District Engineering Office, through its Bids and Awards Committee (BAC), invites contractors to submit bids for the following Contract: Contract ID: 20CC0253 Contract Name: Concreting of Brgy. Tanawan to Brgy. Poblacion FMR Contr</t>
  </si>
  <si>
    <t xml:space="preserve"> The DPWH – Bulacan First District Engineering Office, through its Bids and Awards Committee (BAC), invites contractors to submit bids for the following Contract: Contract ID: 20CC0252 Contract Name: Concreting of Brgy. Catacte FMR Contract Location: Brgy.</t>
  </si>
  <si>
    <t xml:space="preserve"> For Road Protection in Sitio Can-Anyong</t>
  </si>
  <si>
    <t xml:space="preserve"> The DPWH – Bulacan First District Engineering Office, through its Bids and Awards Committee (BAC), invites contractors to submit bids for the following Contract: Contract ID: 20CC0247 Contract Name: Construction of three storey nine classroom – Longos Ele</t>
  </si>
  <si>
    <t xml:space="preserve"> The DPWH – Bulacan First District Engineering Office, through its Bids and Awards Committee (BAC), invites contractors to submit bids for the following Contract: Contract ID: 20CC0250 Contract Name: Construction of three storey twelve classroom – Bungahan</t>
  </si>
  <si>
    <t xml:space="preserve"> The DPWH – Bulacan First District Engineering Office, through its Bids and Awards Committee (BAC), invites contractors to submit bids for the following Contract: Contract ID: 20CC0246 Contract Name: Construction of three storey nine classroom – Pres. Cora</t>
  </si>
  <si>
    <t xml:space="preserve"> The DPWH – Bulacan First District Engineering Office, through its Bids and Awards Committee (BAC), invites contractors to submit bids for the following Contract: Contract ID: 20CC0248 Contract Name: Construction of three storey nine classroom – Tikay Elem</t>
  </si>
  <si>
    <t xml:space="preserve"> The DPWH – Bulacan First District Engineering Office, through its Bids and Awards Committee (BAC), invites contractors to submit bids for the following Contract: Contract ID: 20CC0251 Contract Name: Construction of three storey nine classroom – Bulihan Na</t>
  </si>
  <si>
    <t xml:space="preserve"> Republic of the Philippines Province of Northern Samar MUNICIPALITY OF LOPE DE VEGA Lope De Vega, Northern Samar Invitation to Bid CONSTRUCTION OF SLOPE PROTECTION AND COMPLETION OF EVACUATION CENTER Barangay Osmena, Lope De Vega, Northern Samar  The Loca</t>
  </si>
  <si>
    <t xml:space="preserve"> Invitation to Bid for: UPGRADING OF ELECTRICAL SYSTEM, PHASE I 1.	The Municipal Government of Placer, through the Budget approved by the Sanggunian - 20% EDF CY2020 intends to apply the sum of Five Million pesos (P5,000,000.00) being the Approved Budget f</t>
  </si>
  <si>
    <t xml:space="preserve"> Invitation to Bid for: CONSTRUCTION OF INTEGRATED TERMINAL 1.	The Municipal Government of Placer, through the Budget approved by the respective Sanggunian - through DBP loan intends to apply the sum of Twenty Five Million pesos (P25,000,000.00) being the </t>
  </si>
  <si>
    <t xml:space="preserve"> 4x4 Mini-Dump Truck for Hauling of Solid Waste with the following Specifications: Cabin:					1880mm extended cab,LHD, A/C  Vehicle Main Dimensions:		Overall dimensions (LxWxH)mm5995x2350x3450 Wheel base:  			(mm)3360Wheel track (front/rear) (mm)1160/1475 </t>
  </si>
  <si>
    <t xml:space="preserve"> The DPWH – Bulacan First District Engineering Office, through its Bids and Awards Committee (BAC), invites contractors to submit bids for the following Contract: Contract ID: 20CC0249 Contract Name: Construction of four storey eight classroom – Lolomboy N</t>
  </si>
  <si>
    <t xml:space="preserve"> Invitation to Bid for Rehabilitation and Construction of Barangay Street Lights, Brgy.Lim-ao, Kananga, Leyte 1.	The Barangay Government of Lim-ao, Kananga, Leyte, through its BIDS AND AWARDS COMMITTEE (BAC),through the DOE ER 1-94 funds intends to apply t</t>
  </si>
  <si>
    <t xml:space="preserve"> The Municipal Government of Atok, Benguet now invites bids for MDF CLUSTER 11-2020 PROJECT: REHABILITATION OF IRRIGATION CANAL AT CASDAN, NAGUEY, ATOK, BENGUET with the following Scope of Works: SPL. 1.	INSTALLATION OF BILLBOARD/TARPAULIN	 I.	EXCAVATION/S</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</si>
  <si>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</si>
  <si>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Supply and Delivery of Plastic Melter for City ENRO</t>
  </si>
  <si>
    <t xml:space="preserve"> Supply and Delivery of Medical Equipment for Community Hospital</t>
  </si>
  <si>
    <t xml:space="preserve"> Procurement of Computed Radiography Laser Imaging System(HFEP)</t>
  </si>
  <si>
    <t xml:space="preserve"> Procurement of Ultrasound (HFEP)</t>
  </si>
  <si>
    <t xml:space="preserve"> PROCUREMENT OF FURNITURE &amp; FIXTURES &amp; OTHER EQUIPMENT 1.	The Municipal Government of Placer, through the Budget for the contract approved by the respective Sanggunian-  General Fund CY 2020 intends to apply the sum of One Million Four Hundred Thirty Thous</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</si>
  <si>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</si>
  <si>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Two-Storey School Building</t>
  </si>
  <si>
    <t xml:space="preserve"> For Awuyon Community Municipal Hospital use.</t>
  </si>
  <si>
    <t xml:space="preserve"> ACQUISITION OF 55 UNITS LAPTOPS		 		 		 UNIT	ITEM/DESRIPTION	QUANTITY pcs	Laptops	55 	Core i5 ( latest gen)	 	8gb RAM	 	256GB SSD	 	ITB HDD	 	Intel UHD Graphics 620 Nvidia MX130 GDDR5 2 G	 	Windows 10 Pro 64bit	 	Ports:	 	1 USB type C 3.1 Gen 1 with Power</t>
  </si>
  <si>
    <t xml:space="preserve"> The DPWH – Bulacan First District Engineering Office, through its Bids and Awards Committee (BAC), invites contractors to submit bids for the following Contract: Contract ID: 20CC0245 Contract Name: Construction of two storey six classroom – Guiguinto Cen</t>
  </si>
  <si>
    <t xml:space="preserve"> BID PROPOSAL MESS FOODSTUFF						 AUGUST TO DEC 2020						 LOT .F VEGETABLES,LEGUMES &amp; DESSERT						 						 MONTHS						 ITEMS/DESCRIPTION	QTY 	UNIT	Unit Price	Total Price	Unit Price	Total Price 	 5 months					 Ampalaya	320	kg.		 -   		 -    Ampalaya leav</t>
  </si>
  <si>
    <t xml:space="preserve"> For distribution to farmers.</t>
  </si>
  <si>
    <t xml:space="preserve"> 2.	The Municipal Government of Atok, Benguet now invites bids for MDRRMF CLUSTER 3-2020 PROJECT: REHABILITATION OF KM. 288-BETAC-WAGI ROAD AT ABIANG, ATOK, BENGUET with the following Scope of Works: 102.		EXCAVATION 104.		EMBANKMENT 405.		STRUCTURAL CONCR</t>
  </si>
  <si>
    <t xml:space="preserve"> BID PROPOSAL MESS FOODSTUFF						 AUGUST TO DEC 2020						 LOT.E GROCERIES						 						 MONTHS						 ITEMS/DESCRIPTION	QTY 	UNIT	Unit Price	Total Price	Unit Price	Total Price 	 5 months					 GROCERIES						 All Around Sarsa, 320 gm	 500 	btl.		 -   		 -  </t>
  </si>
  <si>
    <t xml:space="preserve"> BID PROPOSAL MESS FOODSTUFF						 AUGUST TO DEC 2020						 						 LOT .G COLD CUTS						 						 MONTHS						 ITEMS/DESCRIPTION	QTY 	UNIT	Unit Price	Total Price	Unit Price	Total Price 	 5 months					 Burger Patties,80 pcs	160	box		 -   		 -    Hotdog jumbo</t>
  </si>
  <si>
    <t xml:space="preserve"> BID PROPOSAL MESS FOODSTUFF						 AUGUST TO DEC 2020						 LOT C. POULTRY						 						 MONTHS						 ITEMS/DESCRIPTION	QTY 	UNIT	Unit Price	Total Price	Unit Price	Total Price 	 5 months					 Chicken Breast ( less neck)	3000	kgs		 -   		 -    Chicken Legs (</t>
  </si>
  <si>
    <t xml:space="preserve"> IB 2020-06-005 PORL Procurement of Operating Room Light 2020-05</t>
  </si>
  <si>
    <t xml:space="preserve"> This project is own by the Barangay Government of Lower Bag-ong Tudela, Josefina, Zamboanga del Sur which they have to repair their streetlights inorder to maintain the safety of their constituents.</t>
  </si>
  <si>
    <t xml:space="preserve"> Republic of the Philippines  Province of Bukidnon  MUNICIPALITY OF KALILANGAN    Bids and Award Committee (BAC)  INVITATION TO BID FOR  Infra 2020-06-009 The Local Government Unit – Kalilangan, Bukidnon through the BIDS AND AWARDS COMMITTEE (BAC) now invi</t>
  </si>
  <si>
    <t xml:space="preserve"> IMPROVEMENT/ UPGRADING OF ABATAN- BAGNEN ROAD FUND SOURCE: DILG (CMGP) TYPES OF WORK TO BE DONE: Provision of field office for the engineer (rental basis) Provision of furniture, equipment and appliances Provision of 4x4 pick-up type service vehicle for t</t>
  </si>
  <si>
    <t xml:space="preserve"> IMPROVEMENT/ UPGRADING OF BONTOC- MAINIT ROAD FUND COURCE: DILG (CMGP) TYPES OF WORK TO BE DONE: Provision of field office for the engineer (rental basis) Provision of furniture, equipment and appliances Provision of 4x4 pick-up type service vehicle for t</t>
  </si>
  <si>
    <t xml:space="preserve"> INVITATION TO BID FOR THE INSTALLATION / REHABILITATION OF STREETLIGHTING SYSTEM &amp; PATHWAY (PLAZA AND AROUND THE CHURCH &amp; NATIONAL HIWAY FROM TUMAGBOK BRIDGE TO SAPA BRIDGE), POBLACION, MIAGAO    1.	The Municipality of Miagao through the Budget for the Co</t>
  </si>
  <si>
    <t xml:space="preserve"> IMPROVEMENT/ UPGRADING OF SADSADAN- CUBA ROAD FUND SOURCE: DILG (CMGP) TYPES OF WORK TO BE DONE: Provision of field office for the engineer (rental basis) Provision of furniture, equipment and appliances Provision of 4x4 pick-up type service vehicle for t</t>
  </si>
  <si>
    <t xml:space="preserve"> Republic of the Philippines Province of Davao de Oro BIDS AND AWARDS COMMITTE Cabidianan, Nabunturan, Davao de Oro ITB No. 20-021 June 03, 2020 INVITATION TO BID  FOR  THE Procurement of food supplies (meals and snacks)within Davao de Oro 1.	The Provincia</t>
  </si>
  <si>
    <t xml:space="preserve"> Republic of the Philippines Province of Davao de Oro BIDS AND AWARDS COMMITTE Cabidianan, Nabunturan, Davao de Oro ITB No. 20-021 June 03, 2020 INVITATION TO BID  FOR  THE Procurement of spareparts (heavy equipment) 1.	The Provincial Government of Davao d</t>
  </si>
  <si>
    <t xml:space="preserve"> BID PROPOSAL MESS FOODSTUFF						 AUGUST TO DEC 2020						 LOT B. MEAT 						 						 MONTHS						 ITEMS/DESCRIPTION	QTY 	UNIT	Unit Price	Total Price	Unit Price	Total Price 	 5 months					 Beef Sirloin (cut as requested)	3000	kgs		 -   		 -    Pork liempo	</t>
  </si>
  <si>
    <t xml:space="preserve"> IMPROVEMENT/ UPGRADING OF MAMAGA- SACLIT ROAD FUND SOURCE: DILG (CMGP) TYPES OF WORK TO BE DONE: Provision of field office for the engineer (rental basis) Provision of furniture, equipment and appliances Provision of 4x4 pick-up type service vehicle for t</t>
  </si>
  <si>
    <t xml:space="preserve"> Republic of the Philippines Cordillera Administrative Region Province of Abra Bangued INVITATION TO BID FOR THE SUPPLY AND DELIVERY OF BACKYARD GARDENING SUPPLIES AND ASSORTED VEGETABLE SEEDS 1.	The PROVINCIAL GOVERNMENT OF ABRA through the Budget for the</t>
  </si>
  <si>
    <t xml:space="preserve"> ROAD IMPROVEMENT: SEE PROGRAM OF WORKS, DRAWINGS AND BILL OF QUANTITIES UPON PAYMENT OF BIDDING DOCUMENTS</t>
  </si>
  <si>
    <t xml:space="preserve"> Description of Works to be Done Part A. Civil Works.......................................92.77% Part B. General Item &amp; Other Requirements......7.23% ...................................................................100% Item/Description.................</t>
  </si>
  <si>
    <t xml:space="preserve"> BIDS AND AWARDS COMMITTEE INVITATION TO BID The DEPARTMENT OF HEALTH – CENTRAL VISAYAS CENTER for HEALTH DEVELOPMENT (DOH – CV CHD), through its Bids and Awards Committee (BAC), invites contractors to bid for the hereunder projects: BAC NO. 2020-I01 	 NAM</t>
  </si>
  <si>
    <t xml:space="preserve"> Invitation to Bid for the Road Concreting (NRJ Camagong-Resettlement Site) Barangay Road, Brgy. Camagong The Local Government Unit of Nasipit, through the 20% MDF 2020 intends to apply the sum of One Million Nine Hundred Thousand Pesos (Php 1,900,000.00) </t>
  </si>
  <si>
    <t xml:space="preserve"> Food Supplies Assistance to Military and MPOC Members.</t>
  </si>
  <si>
    <t xml:space="preserve"> Republic of the Philippines PROVINCE OF SOUTHERN LEYTE Municipality of San Juan BIDS AND AWARD COMMITTEE INVITATION TO BID FOR  Procurement of Surveying Equipment The Municipality of San Juan through the General Fund intends to apply the sum of Four Hundr</t>
  </si>
  <si>
    <t xml:space="preserve"> Invitation to Bid for the Construction of Multi-Purpose Building (Phase III), Brgy. Cubi-Cubi 1.	The Local Government Unit of Nasipit, through the 20% MDF 2020 intends to apply the sum of Nine Hundred Ninety-Nine Thousand Nine Hundred Fifty-One Pesos and </t>
  </si>
  <si>
    <t xml:space="preserve"> BID PROPOSAL MESS FOODSTUFF						 AUGUST TO DEC 2020						 						 LOT A. RICE						 						 MONTHS						 ITEMS/DESCRIPTION	QTY 	UNIT	Unit Price	Total Price	Unit Price	Total Price 	 5 months					 Rice; Semi-laon/Commercial 50 kg (long grain)	1000	sacks		 - </t>
  </si>
  <si>
    <t xml:space="preserve"> For replace of various damaged parts of Municipal Vehicles.</t>
  </si>
  <si>
    <t xml:space="preserve"> INVITATION TO BID FOR THE  LAYOUT AND PRINTING OF VARIOUS MANUALS IB NO. 2020-183 1.	The Department of Health (DOH), through the General Appropriations Act of 2020 intends to apply the sum of Three Million Nine Hundred Thirty Nine Thousand Five Hundred Ph</t>
  </si>
  <si>
    <t xml:space="preserve"> INVITATION TO BID  CONCRETING OF TAMBO BARANGAY ROAD, AYUNGON, NEGROS ORIENTAL BID IDENTIFICATION NUMBER 2020-06-24 1.	The Municipality of Ayungon, through the 20% LDF 2020 Supplemental Budget intends to apply the sum of Two Million Pesos (Php 2,000,000.0</t>
  </si>
  <si>
    <t xml:space="preserve"> INVITATION TO BID  CONCRETING OF SITIO KANLUKDUHAN, BARANGAY GOMENTOC, BARANGAY ROAD, AYUNGON, NEGROS ORIENTAL BID IDENTIFICATION NUMBER 2020-06-23 1.	The Municipality of Ayungon, through the 20% LDF 2020 Supplemental Budget intends to apply the sum of Tw</t>
  </si>
  <si>
    <t xml:space="preserve"> INVITATION TO BID 1.	The Tondo Medical Center (TMC), through the General Appropriations Act/HFEP intends to apply the sum of Nine Million Four Hundred Sixty Thousand Philippine Pesos (PhP 9,460,000.00) being the Approved Budget for the Contract (ABC) to p</t>
  </si>
  <si>
    <t xml:space="preserve"> Republic of the Philippines Province of Cotabato Municipality of Makilala OFFICE OF THE BIDS &amp; AWARDS COMMITTEE INVITATION TO BID #2020-010 The Municipality of Makilala, funded by the Municipal Government applies for the Construction of Five (5) Units Mul</t>
  </si>
  <si>
    <t xml:space="preserve"> Republic of the Philippines Department of Public Works and Highways DAVAO ORIENTAL FIRST DISTRICT ENGINEERING OFFICE REGION XI Lucod, Baganga, Davao Oriental INVITATION TO BID ITB No. 2020-035 1.	The Department of Public Works and Highways Davao Oriental </t>
  </si>
  <si>
    <t xml:space="preserve"> Brief Description of the Project: Pipelaying of 6”Ø, 4”Ø &amp; 3”Ø uPVC Pipes S10 and installation of 9 G.I. Pipe S-40/super “A” Drainage Crossing A.	Additional Guidelines to be followed in line with the COVID-19 measures, are as follows: a.	Number of partici</t>
  </si>
  <si>
    <t xml:space="preserve"> INVITATION TO BID  CONCRETING OF JANDALAMANON BARANGAY ROAD, AYUNGON, NEGROS ORIENTAL BID IDENTIFICATION NUMBER 2020-06-20 1.	The Municipality of Ayungon, through the 20% LDF 2020 Supplemental Budget intends to apply the sum of Two Million Pesos (Php 2,00</t>
  </si>
  <si>
    <t xml:space="preserve"> Upgrading of Primary/Secondary Lines, Transformers and provision of Gen-Set with Housing</t>
  </si>
  <si>
    <t xml:space="preserve"> Two-Storey School Building (Research Office)</t>
  </si>
  <si>
    <t xml:space="preserve"> The LOCAL GOVERNMENT UNIT OF MAGDALENA, through the 2019 LGSF-AM Program thru Notice of ADA (NADAI) No. 02-101254-09-2019 &amp; counterpart of the Municipality of Magdalena as per OBR No. 100-2003-164 to apply the sum of Six Million Seven Hundred Twenty Seven</t>
  </si>
  <si>
    <t xml:space="preserve"> INVITATION TO BID  CONCRETING OF INACBAN BARANGAY ROAD, AYUNGON, NEGROS ORIENTAL BID IDENTIFICATION NUMBER 2020-06-21 1.	The Municipality of Ayungon, through the 20% LDF 2020 Supplemental Budget intends to apply the sum of Two Million Pesos (Php 2,000,000</t>
  </si>
  <si>
    <t xml:space="preserve"> BID PROPOSAL MESS FOODSTUFF						 AUGUST TO DEC 2020						 LOT D.DRIED &amp; FRESH FISH						 						 MONTHS						 ITEMS/DESCRIPTION	QTY 	UNIT	Unit Price	Total Price	Unit Price	Total Price 	 5 months					 						 Bangus,cleaned 2 pcs/kg	1300	kgs		 -   		 -    G</t>
  </si>
  <si>
    <t xml:space="preserve"> PR # 178 -020 INVITATION TO BID (INFRA) The Municipality of Sibonga through the General Fund intends to apply the sum of Eight hundred forty-three thousand ninety-nine &amp; 4/100 pesos only (843,099.04) being the Approved Budget for the Contract (ABC) to pay</t>
  </si>
  <si>
    <t xml:space="preserve"> INVITATION TO BID  CONCRETING OF KILABAN BARANGAY ROAD, AYUNGON, NEGROS ORIENTAL BID IDENTIFICATION NUMBER 2020-06-22 1.	The Municipality of Ayungon, through the 20% LDF 2020 Supplemental Budget intends to apply the sum of Two Million Pesos (Php 2,000,000</t>
  </si>
  <si>
    <t xml:space="preserve"> Republic of the Philippines Department of Education Region V SCHOOLS DIVISION OFFICE OF CAMARINES SUR 	 INVITATION TO BID Project No.: 2020-06-01 The Department of Education (DepED) Schools Division Office of Camarines Sur, through the CY 2020 QUICK RESPO</t>
  </si>
  <si>
    <t xml:space="preserve"> 4 cylinder, turbo-intercooler, common-rail direct injection, blue power diesel engine, passenger van body type,  Displacement: 2.8-3.0 liters Max power PS/RPM: 72kw (98hp)/3400 Max torque (Nm/Rpm): 220N.m/1700 Emission standard: EURO 4 Brakes: service: dr</t>
  </si>
  <si>
    <t xml:space="preserve"> PHILIPPINE BIDDING DOCUMENTS (As Harmonized with Development Partners) Procurement for  CONSTRUCTION OF SANITARY LANDFILL FACILITY, CELL 2 BRGY. KALYAAT LUCBAN, QUEZON BIDDING Government of the Republic of the Philippines Fourth Edition   Preface These Ph</t>
  </si>
  <si>
    <t xml:space="preserve"> PR # 214-020 INVITATION TO BID (GOODS) The Municipality of Sibonga, through the Trust Fund intends to apply the sum of Five hundred eleven thousand seven hundred fifty-seven &amp; 80/100 pesos only (511,757.80) being the Approved Budget for the Contract (ABC)</t>
  </si>
  <si>
    <t xml:space="preserve"> PR # 086-020 INVITATION TO BID (GOODS) The Municipality of Sibonga, through the General Fund intends to apply the sum of Five hundred ninety-nine thousand four hundred fifty pesos only (599,450.00) being the Approved Budget for the Contract (ABC) to payme</t>
  </si>
  <si>
    <t xml:space="preserve"> Republic of the Philippines Province of Siquijor Municipality of Maria INVITATION TO BID FOR Procurement of Dog Trap in Support to Dog Termination Program – Maria, Siquijor / MAR-00033G-2020 1.	The LGU – Municipality of Maria, through the Capital Outlay i</t>
  </si>
  <si>
    <t xml:space="preserve"> 1. The National Irrigation Administration (NIA), Regional Irrigation Office No.7, through the Lined Project 2020 intends to apply the sum of Thirteen Million Two Hundred Sixty Four Thousand Seven Hundred Thirty Pesos and 68/100 (P 13,264,730.68) being the</t>
  </si>
  <si>
    <t xml:space="preserve"> Construction of Multi-Purpose Building</t>
  </si>
  <si>
    <t xml:space="preserve"> INVITATION TO BID GS 2020-006-019              PROCUREMENT  OF VARIOUS   FERTILIZERS 1.	The City Government of Sorsogon, through the Tanging Program under the 10 Pts. Agenda Other Purpose Funds CY 2020  intends to apply the sum of Two Million Five  Hundre</t>
  </si>
  <si>
    <t xml:space="preserve"> PB NO. 2020-032		 			 1.	1	lot	Proposed Construction of Fence at Animal Pound Office, Brgy. San Gregorio, San Pablo City. 			By: Contract 			 	Deadline for Submission of Bids: June 29, 2020 1:00 pm</t>
  </si>
  <si>
    <t xml:space="preserve"> Republic of the Philippines Province of Cotabato Municipality of Makilala OFFICE OF THE BIDS &amp; AWARDS COMMITTEE INVITATION TO BID #2020-011 The Municipality of Makilala, funded by the Municipal Government applies for the Construction of Five (5) Units Mul</t>
  </si>
  <si>
    <t xml:space="preserve"> X X X X X X X X X X STRAIGHT CONTRACT FOR THE COMPLETION OF TB DOTS X X X X X X X X X X X X X I. TILE WORKS II. ELECTRICAL WORKS III. CEILING WORKS IV. DOORS AND WINDOWS V. PLUMBING AND PIPES FITTINGS VI. PAINTING WORKS VII. PERIMETER PATHWALK VIII. X-RAY</t>
  </si>
  <si>
    <t xml:space="preserve"> INVITATION TO BID    	NO	PROJECT DESCRIPTION / LOCATION	BRIEF DESCRIPTION	APPROVED BUDGET FOR THE CONTRACT	CONTRACT DURATION (CALENDAR  DAYS) PGL INFRA 20-056	01	Rehabilitation/Improvement of 32 Classroom School Building Rear Exterior, PGMNHS, Sta. Cruz, </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</si>
  <si>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</si>
  <si>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INVITATION TO BID      20-076 Name of Project	:	Organic Fertilizer and Assorted Vegetable Seeds for Distribution to Households in the Province of Laguna as Food Security Measure for COVID-19 Pandemic  Location	:	Sta. Cruz, Laguna  Brief Description	:	Orga</t>
  </si>
  <si>
    <t xml:space="preserve"> INVITATION TO BID     20-077 Name of Project	:	Laboratory Supplies for LPH-Majayjay District Hospital No Balance Billing (NBB) Location	:	Majayjay, Laguna  Brief Description	:	Various Laboratory Supplies  Approved Budget For the Contract	:	999,976.00 Deli</t>
  </si>
  <si>
    <t xml:space="preserve"> INVITATION TO BID     20-075 Name of Project	:	Medicines for LPH-San Pablo City District Hospital Location	:	San Pablo City  Brief Description	:	Various Medicines  Approved Budget For the Contract	:	1,517,485.10 Delivery Period 	:	10 Calendar Days The Pro</t>
  </si>
  <si>
    <t xml:space="preserve"> 2 unit Aircon 3TR Standard Floor Mounted 1 unit Aircon 2.0 HP Inverter Wall Mounted 1 unit Aircon 2.0 HP Standard Wall Mounted</t>
  </si>
  <si>
    <t xml:space="preserve"> 1. The National Irrigation Administration (NIA), Regional Irrigation Office No.7, through the Lined Project 2020 intends to apply the sum of Eleven Million Three Hundred Sixty Five Thousand Seventy Eight Pesos and 85/100 (P 11,365,078.85) being the Approv</t>
  </si>
  <si>
    <t xml:space="preserve"> The Local Government Unit-Municipality of Malinao, Aklan through the 20% Development Fund, intends to apply the sum of One Hundred Nineteen Thousand Four Hundred Forty Eight Pesos and 50/100 (Php119,448.50) as the Approved Budget for the Contract (ABC) to</t>
  </si>
  <si>
    <t xml:space="preserve"> The Local Government Unit-Municipality of Malinao, Aklan through the 20% Development Fund, intends to apply the sum of Seven Hundred Fifty Four Thousand Two Hundred Sixteen Pesos and 00/100 (Php754,216.00) as the Approved Budget for the Contract (ABC) to </t>
  </si>
  <si>
    <t xml:space="preserve"> 1.	The Department of Public Works and Highways Regional Office XI, Davao City, through its Bids and Awards Committee (BAC), invites bidders to submit bids for the Infra project funded under FY 2020 RA 11465 Regular 2020 CURRENT, to wit: Contract ID 	:	20L</t>
  </si>
  <si>
    <t xml:space="preserve"> PR # 085 -020 INVITATION TO BID (INFRA) The Municipality of Sibonga through the Trust Fund intends to apply the sum of Two hundred ninety-six thousand eight hundred sixty-four &amp; 68/100 pesos only (296,864.68) being the Approved Budget for the Contract (AB</t>
  </si>
  <si>
    <t xml:space="preserve"> INVITATION TO BID FOR Procurement of Machineries, Equipment, Furniture’s and Fixtures for the University use at ESSU Main Campus  1.	The EASTERN SAMAR STATE UNIVERSITY, through the FY 2020 GAA, R.A No. 11465 intends to apply the sum of Nine Million Five H</t>
  </si>
  <si>
    <t xml:space="preserve"> The Local Government Unit-Municipality of Malinao, Aklan through the 20% Development Fund, intends to apply the sum of Two Hundred Ninety Eight Thousand Six Hundred Ninety Pesos and 00/100 (Php298,690.00) as the Approved Budget for the Contract (ABC) to p</t>
  </si>
  <si>
    <t xml:space="preserve"> Concreting of Linconan-Liki Road</t>
  </si>
  <si>
    <t xml:space="preserve"> PB NO. 2020-031		 			 1.	1	lot	Proposed Construction of City Veterinary Office at Brgy. San Gregorio, San Pablo City. 			By: Contract 			 	Deadline for Submission of Bids: June 29, 2020 10:00 am</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</si>
  <si>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</si>
  <si>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Republic of the Philippines Department of Health	 CENTRAL OFFICE BIDS AND AWARDS COMMITTEE  INVITATION TO BID FOR THE SUPPLY, DELIVERY, TESTING AND COMMISSIONING OF BRAND NEW MOBILE DENTAL VEHICLE IB NO. 2020-144 1.	The Department of Health (DOH), through</t>
  </si>
  <si>
    <t xml:space="preserve"> Section I. Invitation to Bid Republic of the Philippines PROVINCE OF ZAMBOANGA SIBUGAY Capitol Building, Ipil Heights, Ipil, Zamboanga Sibugay INVITATION TO BID (REBID) FOR  Diesel, gas, and lubricants 1.	The Province of Zamboanga Sibugay, through the Gen</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</si>
  <si>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</si>
  <si>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Section I. Invitation to Bid Republic of the Philippines PROVINCE OF ZAMBOANGA SIBUGAY Capitol Building, Ipil Heights, Ipil, Zamboanga Sibugay INVITATION TO BID FOR  Medical Equipment 1.	The Province of Zamboanga Sibugay, through the 20% DF, 2019 intends </t>
  </si>
  <si>
    <t xml:space="preserve"> Section I. Invitation to Bid Republic of the Philippines PROVINCE OF ZAMBOANGA SIBUGAY Capitol Building, Ipil Heights, Ipil, Zamboanga Sibugay INVITATION TO BID FOR  2 Units Service Vehicle 1.	The Province of Zamboanga Sibugay, through the GF-SB#1, BY 202</t>
  </si>
  <si>
    <t xml:space="preserve"> 1.	The Western Visayas Medical Center, through the Regular Fund and Collection of Income, intends to apply the sum of PhP 1,500,000.00 Philippine Currency being the Approved Budget for the Contract (ABC) to payments under the contract for IB No. GS 2020-0</t>
  </si>
  <si>
    <t xml:space="preserve"> INVITATION TO BID      20-074 Name of Project	:	Termite/Pest Control Services for the Facilities of LPH-Luisiana District Hospital, LPH-Bay District Hospital, LPH-Nagcarlan District Hospital, LPH-San Pablo City District Hospital, LPH-Dr. J.P. Rizal Memori</t>
  </si>
  <si>
    <t xml:space="preserve"> 50 BAGS HYDRIDE LIME  2 BAGS 14-14-14 2 BAGS 46-0-0 40 BAGS FISH FEED STARTER 75 BAGS FISH FEED GROWER 50 BAGS FISHFEED FINISHER</t>
  </si>
  <si>
    <t xml:space="preserve"> 100 BAGS  HYDRIDE LIME  2HAS 4 BAGS 14-14-14/ HAS    4 BAGS 46-0-0 80 BAGS FISH FEEDS STARTER 150 BAGS FISH FEED GROWER 100 BAGS FISH FEED FINISHER</t>
  </si>
  <si>
    <t xml:space="preserve"> INVITATION TO BID FOR THE PROCUREMENT OF SUPPLY &amp; DELIVERY OF BANANA PLANTLET      1.	The Department of Agriculture Regional Field Office 6 through the General Appropriations Act (GAA) of 2020 intends to apply the sum of One Million Eight Hundred Twenty E</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</si>
  <si>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</si>
  <si>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Republic of the Philippines Province of Siquijor Municipality of Maria Barangay Pisong-A INVITATION TO BID FOR Procurement of Solar Lamp in Support to Youth Development– Pisong-A, Maria, Siquijor / PIA-0003G-2020 1.	The BLGU –Pisong A,  Maria, through the</t>
  </si>
  <si>
    <t xml:space="preserve"> Section I. Invitation to Bid Republic of the Philippines PROVINCE OF ZAMBOANGA SIBUGAY Capitol Building, Ipil Heights, Ipil, Zamboanga Sibugay INVITATION TO BID FOR  1 Unit Newborn Hearing Screening Machine 1.	The Province of Zamboanga Sibugay, through th</t>
  </si>
  <si>
    <t xml:space="preserve"> INVITATION TO BID  CONCRETING OF LAMIGAN (ABURAO SECTION) BARANGAY ROAD AT AYUNGON, NEGROS ORIENTAL BID IDENTIFICATION NUMBER 2020-06-26 1.	The Municipality of Ayungon, through the 20% LDF 2020 Supplemental Budget intends to apply the sum of Seven Hundred</t>
  </si>
  <si>
    <t xml:space="preserve"> Republic of the Philippines Province of Cotabato Municipality of Makilala OFFICE OF THE BIDS &amp; AWARDS COMMITTEE INVITATION TO BID #2020-009 The Municipality of Makilala, funded by the DILG-AM applies for the Local Road Upgrading (Improvement of Bato Road)</t>
  </si>
  <si>
    <t xml:space="preserve"> Section I. Invitation to Bid Republic of the Philippines PROVINCE OF ZAMBOANGA SIBUGAY Capitol Building, Ipil Heights, Ipil, Zamboanga Sibugay INVITATION TO BID FOR  Provision of Security Services 1.	The Province of Zamboanga Sibugay, through the GF-BY 20</t>
  </si>
  <si>
    <t xml:space="preserve"> INVITATION TO BID NO. 2020-06-0013 PROCUREMENT OF ELECTRICAL SUPPLIES AND EQUIPMENT OF CAPSU SIGMA SATELLITE COLLEGE 1.	The Capiz State University, through the Special Trust Fund - 2020 intends to apply the sum of One Million Two Hundred Sixty-Seven Thous</t>
  </si>
  <si>
    <t xml:space="preserve"> REQUEST FOR QUOTATION										 										 RFQ No.		  NP/PB 20-0658		Date				  June 8, 2020		 PR Reference		  300-19-05-016		Implementing Office				  CDRRMO		 Pre-Bid Conference and Time				  June 16, 2020 (10:00 A. M.)						 Closing Date and Time				  Ju</t>
  </si>
  <si>
    <t xml:space="preserve"> INVITATION TO BID  IMPROVEMENT/REBLOCKING/SHOULDER/CANAL OF MUNICIPAL STREET- KAPITANA TIRAY STREET, DEGUIT STREET, TABURAZA STREET, ENARDECIDO STREET AND VILLANUEVA STREET, BRGY. POBLACION, AYUNGON, NEGROS ORIENTAL BID IDENTIFICATION NUMBER 2020-06-27 1.</t>
  </si>
  <si>
    <t xml:space="preserve"> Republic of the Philippines  Province of Bukidnon  MUNICIPALITY OF KALILANGAN    Bids and Award Committee (BAC)  INVITATION TO BID FOR  Infra 2020-06-006 The Local Government Unit – Kalilangan, Bukidnon through the BIDS AND AWARDS COMMITTEE (BAC) now invi</t>
  </si>
  <si>
    <t xml:space="preserve"> INVITATION TO BID 1.	The Tondo Medical Center (TMC), through the General Appropriations Act/HFEP intends to apply the sum of Eight Million Fifty Thousand Philippine Pesos (PhP 8,050,000.00) being the Approved Budget for the Contract (ABC) to payments unde</t>
  </si>
  <si>
    <t xml:space="preserve"> INVITATION TO BID  ROAD CONCRETING OF MUNICIPAL CEMETERY ACCESS ROAD AT AYUNGON, NEGROS ORIENTAL BID IDENTIFICATION NUMBER 2020-06-25 1.	The Municipality of Ayungon, through the 20% LDF 2020 Supplemental Budget intends to apply the sum of Two Million Peso</t>
  </si>
  <si>
    <t xml:space="preserve"> Republic of the Philippines Province of Quezon CITY GOVERNMENT OF TAYABAS INVITATION TO RE-BID FOR PROJECT # 19 – 171–PROCUREMENT OF Acquisition of Road Right-of-Way (RROW) for East Road/West Road/ Government Center (PARCELLARY SURVEY FOR EAST ROAD) –Offi</t>
  </si>
  <si>
    <t xml:space="preserve"> For both campuses</t>
  </si>
  <si>
    <t xml:space="preserve"> For research.</t>
  </si>
  <si>
    <t xml:space="preserve"> Republic of the Philippines Province of Cotabato Municipality of Makilala OFFICE OF THE BIDS &amp; AWARDS COMMITTEE INVITATION TO BID #2020-014 The Municipality of Makilala, funded by the Municipal Government applies for the Construction of Temporary Office, </t>
  </si>
  <si>
    <t xml:space="preserve"> SUPPLY, DELIVERY AND INSTALLATION OF ICT EQUIPMENT FOR MONITORING OF PROJECT MITHI (20-03-142) 1.	Department of Science and Technology – MIMAROPA (DOST-MIMAROPA), through its Bids and Awards Committee (BAC) invites all prospective bidders to bid for the p</t>
  </si>
  <si>
    <t xml:space="preserve"> INVITATION TO BID  The Technical Education and Skills Development Authority (TESDA), through the General Appropriations Act (GAA) CY 2020 intends to apply the sum of Nine Million Eight Hundred Seventy-Four Thousand Two Hundred Ninety-Two Pesos (Php 9,874,</t>
  </si>
  <si>
    <t xml:space="preserve"> INVITATION TO BID FOR THE CONSTRUCTION OF RIVERBANK PROTECTION,  BRGY. FRANTILLA,  MIAGAO, ILOILO 1.	The Municipality of Miagao through the Budget for the Contract Approved by the Sanggunian, Trust Fund – Provincial Aid,  Budget Year 2020 intends to apply</t>
  </si>
  <si>
    <t xml:space="preserve"> INVITATION TO BID FOR PROCUREMENT OF SECURITY SERVICES      1. The Department of Agriculture Regional Field Office IX, through the GAA 2020 intends to apply the sum of  FIVE MILLION FOUR HUNDRED SIXTY  THREE  THOUSAND SEVEN HUNDRED FORTY ONE PESOS AND  NI</t>
  </si>
  <si>
    <t xml:space="preserve"> I.  Electrical Works Labor OCMP/CP/VAT</t>
  </si>
  <si>
    <t xml:space="preserve"> Review Plan and Prepare the Following: Identifying the issues, potentials and furture development needs and spatial requirement of the city. Assess the Situation using both technical and participatory methods *Accomplishment of current CLUP Based on Key r</t>
  </si>
  <si>
    <t xml:space="preserve"> For procurement office.</t>
  </si>
  <si>
    <t xml:space="preserve"> INVITATION TO BID  1.	The National Printing Office, through the Revolving Fund 2020 intends to apply the sum of Php8,000,000.00 being the Approved Budget for the Contract (ABC) to payments under the contract for the Procurement of Supply and Delivery of 2</t>
  </si>
  <si>
    <t xml:space="preserve"> Republic of the Philippines PROVINCIAL GOVERNMENT OF EASTERN SAMAR Capitol Building, Borongan, Eastern Samar, 6800 Tel No. (055)-560-8312 E-mail Address: esamar.bac@gmail.com BIDS AND AWARDS COMMITTEE (BAC) INVITATION TO BID FOR CONSTRUCTION/IMPROVEMENT O</t>
  </si>
  <si>
    <t xml:space="preserve"> Republic of the Philippines PROVINCIAL GOVERNMENT OF EASTERN SAMAR Capitol Building, Borongan, Eastern Samar, 6800 Tel No. (055)-560-8312 E-mail Address: esamar.bac@gmail.com BIDS AND AWARDS COMMITTEE (BAC) INVITATION TO BID FOR THE  PROCUREMENT OF CONSTR</t>
  </si>
  <si>
    <t xml:space="preserve"> Republic of the Philippines PROVINCIAL GOVERNMENT OF EASTERN SAMAR Capitol Building, Borongan, Eastern Samar, 6800 Tel No. (055)-560-8312 E-mail Address: esamar.bac@gmail.com BIDS AND AWARDS COMMITTEE (BAC) INVITATION TO BID FOR CONSTRUCTION OF BUABUA – B</t>
  </si>
  <si>
    <t xml:space="preserve"> Republic of the Philippines PROVINCIAL GOVERNMENT OF EASTERN SAMAR Capitol Building, Borongan, Eastern Samar, 6800 Tel No. (055)-560-8312 E-mail Address: esamar.bac@gmail.com BIDS AND AWARDS COMMITTEE (BAC) INVITATION TO BID FOR REPAIR/REHABILITATION OF S</t>
  </si>
  <si>
    <t xml:space="preserve"> Republic of the Philippines Region XII Province of Cotabato Municipality of Makilala  OFFICE OF THE BIDS AND AWARD COMMITTEE INVITATION TO BID N0. 2020-013            The Municipality of Makilala, through the  Municipal Government-20% EDF  intends to appl</t>
  </si>
  <si>
    <t xml:space="preserve"> INVITATION TO BID (CW 2020-006-015)   The CITY GOVERNMENT OF SORSOGON, through its Bids and Awards Committee (BAC), invites suppliers/contractors to apply for eligibility and to bid for the hereunder project:  Name of Project		:	CONSTRUCTION/IMPROVEMENT O</t>
  </si>
  <si>
    <t xml:space="preserve"> INVITATION TO BID FOR SLOPE PROTECTION PROJECT,  BRGY. CAGBANG, MIAGAO, ILOILO 1.	The Municipality of Miagao through the Budget for the Contract Approved by the Sanggunian, Trust Fund – Provincial Aid,  Budget Year 2020 intends to apply the sum of P 3,780</t>
  </si>
  <si>
    <t xml:space="preserve"> Republic of the Philippines Province of Northern Samar MUNICIPALITY OF VICTORIA -o0o- INVITATION TO BID FOR THE SUPPLY AND DELIVERY OF OFFICE FURNITURE AND FIXTURES Contract No. LGU-PI-2020-06-14PB 1.	The Local Government Unit of Victoria, Northern Samar,</t>
  </si>
  <si>
    <t xml:space="preserve"> Republic of the Philippines PROVINCIAL GOVERNMENT OF EASTERN SAMAR Capitol Building, Borongan, Eastern Samar, 6800 Tel No. (055)-560-8312 E-mail Address: esamar.bac@gmail.com BIDS AND AWARDS COMMITTEE (BAC) INVITATION TO BID FOR ROAD CONCRETING OF MACAANG</t>
  </si>
  <si>
    <t xml:space="preserve"> Republic of the Philippines Province of Northern Samar MUNICIPALITY OF VICTORIA -o0o- INVITATION TO BID FOR THE SUPPLY AND DELIVERY OF TWO (2) UNITS MOTORCYCLE Contract No. LGU-PI-2020-06-13PB 1.	The Local Government Unit of Victoria, Northern Samar, thro</t>
  </si>
  <si>
    <t xml:space="preserve"> For the University</t>
  </si>
  <si>
    <t xml:space="preserve"> For Bayombong Campus</t>
  </si>
  <si>
    <t xml:space="preserve"> Republic of the Philippines Province of Davao De Oro MUNICIPALITY OF COMPOSTELA BIDS AND AWARDS COMMITTEE (BAC) Invitation to Bid for Rehabilitation of Water System of Barangay Maparat (ITB NO. 2020-06-025 - BID NO. 001) 1.	The Municipality of Compostela,</t>
  </si>
  <si>
    <t xml:space="preserve"> INVITATION TO BID The Cauayan City Water District intends to apply the sum of TWENTY ONE MILLION FOUR HUNDRED SIX THOUSAND SEVEN HUNDRED THIRTY THREE AND 83/100 PESOS (₱21,406,733.83) being the Approved Budget for the Contract (ABC) to payment under the c</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</si>
  <si>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</si>
  <si>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</si>
  <si>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Republic of the Philippines Department of Health Cagayan Valley Center for Health Development BATANES GENERAL HOSPITAL Basco, Batanes E-mail Address: bataneshospital@gmail.com REQUEST FOR PROPOSAL RFP NO. 2020-03 Supply &amp; Delivery of Various Medicines 1.	</t>
  </si>
  <si>
    <t xml:space="preserve"> INVITATION TO BID FOR THE FABRICATION AND DELIVERY OF FIBERGLASS REINFORCED PLASTIC MOTORIZED FISHING BOAT 1. The Bureau of Fisheries and Aquatic Resources-Regional Fisheries Office I (BFAR RFO I), through the General Appropriation Act of 2020 (GAA 2020) </t>
  </si>
  <si>
    <t xml:space="preserve"> INVITATION TO BID The University of the Philippines Manila – School of Health Sciences through its Bids and Awards Committee, invites contractors/contractual services agencies duly registered and licensed to operate business under the laws of the Philippi</t>
  </si>
  <si>
    <t xml:space="preserve"> Republic of the Philippines Province of Surigao del Sur Municipality of Tago ---ooo0ooo--- Invitation to Bid REHABILITAITON OF TAGO TOWN HALL Project ID No. TAG-SDS-053-2020 The Local Government Unit of Tago, Surigao del Sur invites sealed Bids from eligi</t>
  </si>
  <si>
    <t xml:space="preserve"> INVITATION TO BID (CW 2020-006-017)   The CITY GOVERNMENT OF SORSOGON, through its Bids and Awards Committee (BAC), invites suppliers/contractors to apply for eligibility and to bid for the hereunder project:  Name of Project		:	CONSTRUCTION/IMPROVEMENT O</t>
  </si>
  <si>
    <t xml:space="preserve"> Republic of the Philippines PROVINCIAL GOVERNMENT OF EASTERN SAMAR Capitol Building, Borongan, Eastern Samar, 6800 Tel No. (055)-560-8312 E-mail Address: esamar.bac@gmail.com BIDS AND AWARDS COMMITTEE (BAC) INVITATION TO BID FOR CONCRETING OF BARANGAY ROA</t>
  </si>
  <si>
    <t xml:space="preserve"> INVITATION TO BID (for the Procurement of Goods)           1.	The City Government of Puerto Princesa (CGPP), through Appropriation Ordinance No. 6-2019 (Supplemental Budget No. 3 for CY 2019/Fund Source: Borrowings – Loan at Land Bank of the Philippines) </t>
  </si>
  <si>
    <t xml:space="preserve"> INVITATION TO BID PROCUREMENT OF SERVICE PROVIDER FOR THE PHASE II OF ENHANCED FARMLAND GEOGRAPHIC INFORMATION SYSTEM (FGIS DIGITIZATION OF PARCELLARY MAPS AND FARMLAND DATABASE DEVELOPMENT)  ITB NO. BS-003-2020 1.	The National Irrigation Administration (</t>
  </si>
  <si>
    <t xml:space="preserve"> The Local government Unit of Jipapad, Eastern Samar through the 5% DRRM Fund (2019) intends to apply the sum of One Hundred Fifty Thousand Pesos (150,000.00) being the Approved Budget for the Contract (ABC) as payment under the contract for the Purchase o</t>
  </si>
  <si>
    <t xml:space="preserve"> INVITATION TO BID  PROCUREMENT  OF ONE  (1) UNIT  BRAND NEW NON- REFRIGERATED CLOSE MEAT DELIVERY VAN    GS 2020 -006-018 1.	The City Government of Sorsogon    intends to apply the sum of   One   Million   Seven  Hundred      Thousand      Pesos (P 1,700,</t>
  </si>
  <si>
    <t xml:space="preserve"> INVITATION TO BID FOR THE CONCRETING OF BARANGAY ROAD AND  CONSTRUCTION OF OVERFLOW, BRGY. PARO-ON,  MIAGAO, ILOILO 1.	The Municipality of Miagao through the Budget for the Contract Approved by the Sanggunian, Trust Fund – Provincial Aid,  Budget Year 202</t>
  </si>
  <si>
    <t xml:space="preserve"> Republic of the Philippines Department of Health	 CENTRAL OFFICE BIDS AND AWARDS COMMITTEE  INVITATION TO BID FOR THE  HIRING OF A SERVICE PROVIDER PARTICULARLY MEDIA AGENCY TO DEVELOP A MEDIA PLAN AND PROCURE MEDIA PLACEMENTS TO AMPLIFY THE DOH COVID-19 </t>
  </si>
  <si>
    <t xml:space="preserve"> INVITATION TO BID  PROCUREMENT  OF TWO (2) UNITS  BRAND NEW MEDICAL AMBULANCE   GS 2020-006-021 1.	The City Government of Sorsogon    intends to apply the sum of   Four   Million   Four Hundred      Thousand      Pesos (P 4,400,000.00) being the Approved </t>
  </si>
  <si>
    <t xml:space="preserve"> Republic of the Philippines PROVINCIAL GOVERNMENT OF EASTERN SAMAR Capitol Building, Borongan, Eastern Samar, 6800 Tel No. (055)-560-8312 E-mail Address: esamar.bac@gmail.com BIDS AND AWARDS COMMITTEE (BAC) INVITATION TO BID FOR CONSTRUCTION OF BRGY. ROAD</t>
  </si>
  <si>
    <t xml:space="preserve"> 1. The Local government Unit of Jipapad, Eastern Samar through the 5% DRRM Fund (2020) intends to apply the sum of Three Hundred Thousand Pesos (300,000.00) being the Approved Budget for the Contract (ABC) as payment under the contract for the Purchase of</t>
  </si>
  <si>
    <t xml:space="preserve"> 1.	The Department of Agriculture (DA) – Central Office, through the GAA CY 2020 intends to apply the sum One Million One Hundred Sixty-Two Thousand Nine Hundred Seventy-Five Pesos (PhP1,162,975.00) being the Approved Budget for the Contract (ABC) to payme</t>
  </si>
  <si>
    <t xml:space="preserve"> Republic of the Philippines PROVINCIAL GOVERNMENT OF EASTERN SAMAR Capitol Building, Borongan, Eastern Samar, 6800 Tel No. (055)-560-8312 E-mail Address: esamar.bac@gmail.com BIDS AND AWARDS COMMITTEE (BAC) INVITATION TO BID FOR CONCRETING OF HOLLYWOOD TO</t>
  </si>
  <si>
    <t xml:space="preserve"> INVITATION TO BID  1.	The National Printing Office, through the Revolving Fund 2020 intends to apply the sum of ₱1,275,000.00 being the Approved Budget for the Contract (ABC) to payments under the contract for the Procurement of Supply, Delivery and Insta</t>
  </si>
  <si>
    <t xml:space="preserve"> Republic of the Philippines MUNICIPALITY OF ECHAGUE Province of Isabela INVITATION TO BID FOR  THE PROCUREMENT OF  TIRES 1.	The Local Government Unit , through  the  GENERAL   FUND  Of  2020   intends to apply the sum of  FOUR  MILLION NINE HUNDRED EIGHTY</t>
  </si>
  <si>
    <t xml:space="preserve"> Republic of the Philippines Province of Oriental Mindoro MUNICIPALITY OF NAUJAN BIDS &amp; AWARDS COMMITTEE INVITATION TO BID CONSTRUCTION OF EVACUATION CENTER AT BARANGAY MALVAR, NAUJAN, ORIENTAL MINDORO 1.	The Municipal Government of Naujan – Bids and Award</t>
  </si>
  <si>
    <t xml:space="preserve"> Concreting of Road at Sitio Obbog, Sta. Maria Norte, Binalonan, Pangasinan (49m x 6m x 0.2m)</t>
  </si>
  <si>
    <t xml:space="preserve"> Invitation to Bid 1.	The Commission on Higher Education (CHED), through the General Appropriations Act Fiscal Year 2019 intends to apply the sum of Five Hundred Sixty Four Thousand Six Hundred Fifty Pesos (PHP 564,650.00) being the Approved Budget for the</t>
  </si>
  <si>
    <t xml:space="preserve"> 1.	The Department of Agriculture (DA) – Central Office, PhilFIDA, PCAF and FDC, through the GAA CY2020 intends to apply the sum of Fifteen Million Nine Hundred Fourteen Thousand Two Hundred Ninety-Two Pesos and 30/100 (PhP15,914,292.30) being the Approved</t>
  </si>
  <si>
    <t xml:space="preserve"> Republic of the Philippines Province of Oriental Mindoro MUNICIPALITY OF NAUJAN BIDS AND AWARDS COMMITTEE INVITATION TO BID SUPPLY AND DELIVERY OF ONE (1) UNIT AMBULANCE TO BE USED IN THE MUNICIPAL HEALTH OFFICE, NAUJAN, ORIENTAL MINDORO 1. 	The Municipal</t>
  </si>
  <si>
    <t xml:space="preserve"> SEE ATTACHED BID DOCUMENTS FOR COMPLETE DETAILS</t>
  </si>
  <si>
    <t xml:space="preserve"> Republic of the Philippines  Province of Bukidnon  MUNICIPALITY OF KALILANGAN    Bids and Award Committee (BAC)  INVITATION TO BID FOR  Infra 2020-06-005 The Local Government Unit – Kalilangan, Bukidnon through the BIDS AND AWARDS COMMITTEE (BAC) now invi</t>
  </si>
  <si>
    <t xml:space="preserve"> Republic of the Philippines  Province of Bukidnon  MUNICIPALITY OF KALILANGAN    Bids and Award Committee (BAC)  INVITATION TO BID FOR  Infra 2020-06-007 The Local Government Unit – Kalilangan, Bukidnon through the BIDS AND AWARDS COMMITTEE (BAC) now invi</t>
  </si>
  <si>
    <t xml:space="preserve"> 1.	The Department of Agriculture (DA) – Central Office, through the GAA CY2020 intends to apply the sum of Seven Million Twenty-Two Thousand Six Hundred Seventy-Nine Pesos and 51/100 (PhP7,022,679.51) being the Approved Budget for the Contract (ABC) to pa</t>
  </si>
  <si>
    <t xml:space="preserve"> Two-Storey School Building (Training Center with Lodging Rooms)</t>
  </si>
  <si>
    <t xml:space="preserve"> IB 2020-06-006 PSS Procurement of Steam Sterilizer 2020-06</t>
  </si>
  <si>
    <t xml:space="preserve"> Republic of the Philippines Province of Northern Samar MUNICIPALITY OF LOPE DE VEGA Lope De Vega, Northern Samar Invitation to Bid IMPROVEMENT OF MUNICIPAL PARK Barangay Poblacion, Lope De Vega, Northern Samar  The Local Government Unit – Lope De Vega, No</t>
  </si>
  <si>
    <t xml:space="preserve"> Republic of the Philippines Province of Iloilo  Municipality of Pototan BIDS AND AWARDS COMMITTEE INVITATION TO BID 1.	The Municipality of Pototan, through the IRA Fund‘‘ intends to apply the sum of (2,500,000.00) being the Approved Budget for the Contrac</t>
  </si>
  <si>
    <t xml:space="preserve"> Utility Vehicle for LDRRMC Use with the Following Specifications: Engine Model:		2 GD-FTV (low) Engine Type:		2.4diesel, 4-cylinder, 16 valve DOHC Variable, Nozzle Turbo with front Mounted Intercooler Displacement:		2,389 cc Max Output: 			hm/rpm 147/3,40</t>
  </si>
  <si>
    <t xml:space="preserve"> Republic of the Philippines DEPARTMENT OF PUBLIC WORKS AND HIGHWAYS BATANGAS III DISTRICT ENGINEERING OFFICE REGIONAL OFFICE IV-A J. Gonzales St., Barangay 4, Tanauan City INVITATION TO BID (CW-2020-034) The DPWH–Batangas III District Engineering Office, </t>
  </si>
  <si>
    <t xml:space="preserve"> INVITATION TO BID FOR:  PROCUREMENT OF IT &amp; OTHER OFFICE EQUIPMENT 1.	The Municipal Government of Placer, through the Budgte for the contract approved by the respective Sanggunian-  General Fund CY 2020 intends to apply the sum of Two Million One Hundred </t>
  </si>
  <si>
    <t xml:space="preserve"> The DPWH – Bulacan First District Engineering Office, through its Bids and Awards Committee (BAC), invites contractors to submit bids for the following Contract: Contract ID: 20CC0244 Contract Name: Construction of two storey six classroom – Lolomboy Elem</t>
  </si>
  <si>
    <t xml:space="preserve"> Cluster 15- Sewerage and Waste Water Facility and Boardwalk, Puerto Galera, Oriental Mindoro  15.1 Construction of Boardwalk and Sewage Treatment Plant Phase 2 at Sabang Beach, Puerto Galera, Oriental Mindoro 15.2 Construction of Boardwalk and Sewage Trea</t>
  </si>
  <si>
    <t xml:space="preserve"> Project Billboard/Sign Board; Occupational Safety and Health Program; Mobilization/Demobilization; Subgrade Preparation (Common Material); Aggregate Subbase Course (0.15m thick); Portland Cement Concrete Pavement (Unreinforced), (0.20m thick, 14 days).</t>
  </si>
  <si>
    <t xml:space="preserve"> Provision of Field Office for the Engineer (Rental Basis); Project Billboard/Sign Board; Occupational Safety &amp; Health Program; Mobilization/Demobilization; Clearing &amp; Grubbing; Surplus Common Excavation; Structure Excavation, Soft Rock; Embankment from Bo</t>
  </si>
  <si>
    <t xml:space="preserve"> The DPWH-North Manila District Engineering Office, through its Bids and Awards Committee (BAC) invites contractors to submit bids for the following Contract: 2.	  Contract I.D. No. 20OE0199   Contract Name: MOOE – Maintenance, Repair and Rehabilitation of</t>
  </si>
  <si>
    <t xml:space="preserve"> STOCK NO.		ITEM DESCRIPTION		QTY.	UNIT 1	)	Alcohol, Isopropyl, 70% Solution, 330ml, Spray 		94	bottles 2	)	Anti-virus Software, Licensed, 5 Devices		2	lic. 3	)	Ballpen, 0.5mm, Ball Needle Point, Black 		24	pieces 4	)	Ballpen, 1 Box, Black		1	box 5	)	Ballp</t>
  </si>
  <si>
    <t xml:space="preserve"> The DPWH-North Manila District Engineering Office, through its Bids and Awards Committee (BAC) invites contractors to submit bids for the following Contract: 1.	  Contract I.D. No. 20OE0198   Contract Name: MOOE – Maintenance, Repair and Rehabilitation of</t>
  </si>
  <si>
    <t xml:space="preserve"> CONCRETING OF FMR-BRGY. MASALONG Dumpsite, Brgy. Masalong, Labo, Cams. Norte</t>
  </si>
  <si>
    <t xml:space="preserve"> CONCRETING OF FMR-BRGY. BAKIAD PSHIDA, Brgy. Bakiad, Labo, Cams. Norte</t>
  </si>
  <si>
    <t xml:space="preserve"> Provision of Combined Field Office, Laboratory and Living Quarters Building for the Engineer (Rental Basis); Project Billboard/Signboard; Occupational Safety and Health Program; Traffic Management; Mobilization/Demobilization; Clearing and Grubbing (w/ st</t>
  </si>
  <si>
    <t xml:space="preserve"> CONCRETING OF FMR-BRGY. BAKIAD P3, Brgy. Bakiad, Labo, Cams. Norte</t>
  </si>
  <si>
    <t xml:space="preserve"> Pick-up Utility Vehicle for LDRRMC Use with the following Specifications: Engine Model:				4JJ1-TCX Engine Type:	4-cylinder In-line Blue Power Diesel w/ Turbo intercooler Displacement:				2,999cc Maximum Power	PS(kW)@rpm:	177(130)@3,600 Maximum Torque	N-m</t>
  </si>
  <si>
    <t xml:space="preserve"> Republic of the Philippines DEPARTMENT OF PUBLIC WORKS AND HIGHWAYS REGIONAL OFFICE VIII Baras, Palo, Leyte    INVITATION TO BID No. 2020-06-001 June 8, 2020 1.	The Department of Public Works and Highways Regional Office VIII, Baras, Palo, Leyte, through </t>
  </si>
  <si>
    <t xml:space="preserve"> BIDS AND AWARDS COMMITTEE MUNICIPALITY OF BALETE THE MUNICIPALITY OF BALETE THRU BIDS AND AWARDS COMMITTE INVITES ALL SUPPLIERS/BIDDERS/CONTRACTORS TO APPLY FOR ELIGIBILITY SCREENING AND IF SUBSEQUENTLY FOUND ELIGIBLE FOR THE PROCUREMENT REQUEST FOR THE P</t>
  </si>
  <si>
    <t xml:space="preserve"> Const. of Two Storey Building (Dimension: 31.50m x 9.40m) made of concrete, masonry works, C- Joist suspended slabs, steel &amp; galva iron roofing sheets complete with ceilings, hanger &amp; nailers, paintings, plumbing &amp; sanitary fixtures, doors &amp; windows with </t>
  </si>
  <si>
    <t xml:space="preserve"> Republic of the Philippines Province of Oriental Mindoro MUNICIPALITY OF NAUJAN BIDS &amp; AWARDS COMMITTEE INVITATION TO BID CONSTRUCTION OF EVACUATION CENTER AT BARANGAY SAN ANDRES, NAUJAN, ORIENTAL MINDORO 1.	The Municipal Government of Naujan – Bids and A</t>
  </si>
  <si>
    <t xml:space="preserve"> 1.	The Municipality of Guinayangan, Quezon through the 2020 C.O. intends to apply the sum of One Million Five Hundred Twelve Thousand Pesos  (P 1,512,000.00) being the Approved Budget for the Contract (ABC) to payments under the contract for the Concretin</t>
  </si>
  <si>
    <t xml:space="preserve"> em No. Unit Description Qty 1 lot Catering Services 1 * * * * * * * * * * * * * * * * * * * * * * * * NOTHING FOLLOWS * * * * * * * * * * * * * * * * * * * * * * * *</t>
  </si>
  <si>
    <t xml:space="preserve"> Const. of Two Storey Building (Dimension:  11.80m x 7.00m) made of concrete, masonry works, steel &amp; galva iron roofing sheets complete with ceilings, hanger &amp; nailers, paintings, plumbing &amp; sanitary fixtures, doors &amp; windows with grills, railings, signage</t>
  </si>
  <si>
    <t xml:space="preserve"> INVITATION TO BID  1.	The CITY GOVERNMENT OF CAUAYAN, ISABELA through the 2020 GENERAL FUND intends to apply the sum of ONE MILLION THREE HUNDRED EIGHTY THOUSAND PESOS (Php 1,380,000.00) being the Approved Budget for the Contract (ABC) to payments under t</t>
  </si>
  <si>
    <t xml:space="preserve"> Invitation to Bid Republic of the Philippines City of Olongapo -0- BIDS AND AWARDS COMMITTEE BAC Office 3rd Floor  Olongapo City Hall  Web: www.olongapocity.gov.ph INVITATION TO BID FOR  OC-64(DRRMO-05) 20 GD PROCUREMENT FOR THE SUPPLY AND DELIVERY OF BAS</t>
  </si>
  <si>
    <t xml:space="preserve"> 1.	The Department of Agriculture (DA) – Central Office, through the GAA CY 2020 intends to apply the sum of Six Million One Hundred Eighty Seven Thousand Five Hundred Pesos (PhP6,187,500.00) being the Approved Budget for the Contract (ABC) to payments und</t>
  </si>
  <si>
    <t xml:space="preserve"> Approved Budget for the Contract: Php 3,647,420.00 Estimated Budget Contract Duration/ Delivery Period: 30 Calendar Days SCHEDULE of ACTIVITIES 1. Issuance of Bid Documents: June 9 – 29, 2020 before bid opening 2. Pre-bid Conference: June 16, 2020, 09:00 </t>
  </si>
  <si>
    <t xml:space="preserve"> Please see attached Bidding Document in the Associated Components. Thank you very much</t>
  </si>
  <si>
    <t xml:space="preserve"> INVITATION TO BID The Department of Public Works and Highways - Pampanga 1st District Engineering Office, through its Bids and Awards Committee (BAC), invites contractors to submit bids for the following Contract: 1.	 Procurement ID/Contract ID	:	20CG0140</t>
  </si>
  <si>
    <t xml:space="preserve"> Municipality of Dolores, Quezon INVITATION TO BID FOR CONSTRUCTION OF 1 CLASSROOM AND 1 COMPUTER LABORATORY AT BUNGOY ELEMENTARY SCHOOL  The LGU, through  the General  Fund ( 20% DF)–intends to apply the sum of  Two Million Six Hundred  Thousand  Pesos (P</t>
  </si>
  <si>
    <t xml:space="preserve"> INVITATION TO BID  1.	The CITY GOVERNMENT OF CAUAYAN, ISABELA through the 2020 GENERAL FUND intends to apply the sum of ONE MILLION THREE HUNDRED THOUSAND PESOS (Php 1,300,000.00) being the Approved Budget for the Contract (ABC) to payments under the cont</t>
  </si>
  <si>
    <t xml:space="preserve"> MUNICIPALITY OF ABRA DE ILOG Name of Procuring Entity						                Contract Reference Number Infra No. 02-2020 Name of Contract:  Upgrading and Improvement of Kuli-kuli Road 3      Location: Brgy. Armado, Abra de Ilog, Occ. Mindoro Republic of the</t>
  </si>
  <si>
    <t xml:space="preserve"> 500	units	Heavy Duty Utility Bed with the following specifications: -2020 all new model-hHigh  Density -Rigid-Military grade Camp AId Regular Utility Bed -3 Folds Utility Bed -Oxford Polyester Fabric  -Black PVC Coated Fabric density 6x6 275g/m2 -PVC Late</t>
  </si>
  <si>
    <t xml:space="preserve"> Construction of 179.52 meters concrete road</t>
  </si>
  <si>
    <t xml:space="preserve"> MUNICIPALITY OF ABRA DE ILOG Name of Procuring Entity							 Contract Reference Number Goods No.15-2020 Name of Contract: Supply and Delivery of  Materials for the Construction of Day Care Center Poblacion    Location:  Abra de Ilog, Occ. Mindoro Republic</t>
  </si>
  <si>
    <t xml:space="preserve"> Invitation to Bid Republic of the Philippines City of Olongapo -0- BIDS AND AWARDS COMMITTEE BAC Office 3rd Floor  Olongapo City Hall  Web: www.olongapocity.gov.ph INVITATION TO BID FOR  OC-65(DRRMO-06) 20 GD  PROCUREMENT FOR THE SUPPLY AND DELIVERY OF RE</t>
  </si>
  <si>
    <t xml:space="preserve"> It includes: 107,520.00 Liters of Diesel and 32, 192.00 liters of Premium (Ron 91)</t>
  </si>
  <si>
    <t xml:space="preserve"> City Government of Manila INVITATION TO BID NO. 2020-06-87 Procurement of Various I.T. and Office Equipment 1.	The City Government of Manila, through the Capital Outlay-Operating Expenses CY 2020 for Peace and Order intends to apply the sum of Two Million</t>
  </si>
  <si>
    <t xml:space="preserve"> Municipality of Dolores, Quezon INVITATION TO BID FOR THE LOCAL PROGRAM, LOCAL INFRASTRUCTURE PROGRAM, CONSTRUCTION OF MULTI PURPOSE BUILDING-PHASE 1 (MUNICIPAL HALL) AT DOLORES, QUEZON The LGU, through  the General Fund  (Office of the Mayor)–intends to </t>
  </si>
  <si>
    <t xml:space="preserve"> Contract ID: 20PK0070 Contract Name: Repair/Maintenance of DPWH Building, Quality Assurance Section Office Building, P-6, Bulanao, Tabuk City, Kalinga   Contract Location: P-6, Bulanao, Tabuk City, Kalinga Brief Description: Repair and Maintenance of Buil</t>
  </si>
  <si>
    <t xml:space="preserve"> 3	Procurement ID/Contract ID		20LC0154 	Contract Name		Tanglaw Bridge 2 (B00187MN) along Tagum －Panabo Circumferential Road 	Contract Location		Braulio E. Dujali, Davao del Norte 	Brief Description		Widening of Bridge 	Approved Budget for the Contract ( A</t>
  </si>
  <si>
    <t xml:space="preserve"> Republic of the Philippines Province of Davao de Oro MUNICIPALITY OF COMPOSTELA BIDS AND AWARDS COMMITTEE CP#: 0998-571-7569 INVITATION TO BID FOR  Procurement for the Supply, Delivery and Installation of Window Blinds and Office Furniture and Fixtures fo</t>
  </si>
  <si>
    <t xml:space="preserve"> Construction of Seventy (70) Spans-Concrete Fence Please call Engr. Richard Pablo at 0926-395-9865  for more information regarding the ITB posted.  Kindly see attached file. Thank you!</t>
  </si>
  <si>
    <t xml:space="preserve"> Republic of the Philippines Province of Batangas MUNICIPALITY OF MALVAR Office of the Municipal Mayor SECTION I INVITATION TO BID FOR IMPROVEMENT OF MULTI-PURPOSE GYMNASIUM AT BARANGAY SAN GREGORIO, MALVAR BATANGAS 1. The Municipality of Malvar, through t</t>
  </si>
  <si>
    <t xml:space="preserve"> Procurement ID/Contract ID:	20PI0093 Contract Name:	Local Infrastructure Program - Local Roads and Bridges, Local Bridges, Construction/ Rehabilitation/ Improvement of Various Footbridges, Brgy. Betwagan, Sadanga, Mountain Province Contract Location:	Sada</t>
  </si>
  <si>
    <t xml:space="preserve"> Republic of the Philippines Province of Batangas MUNICIPALITY OF MALVAR Office of the Municipal Mayor SECTION I INVITATION TO BID FOR CONSTRUCTION/IMPROVEMENT OF MULTI-PURPOSE BUILDING AT BARANGAY BAGONG POOK, MALVAR BATANGAS 1. The Municipality of Malvar</t>
  </si>
  <si>
    <t xml:space="preserve"> PROCUREMENT OF FOOD SUPPLIES</t>
  </si>
  <si>
    <t xml:space="preserve"> 1.	The West Visayas State University Medical Center, through its Use of Income Fund 2020 intends to apply  the sum of  TWO MILLION FORTY ONE THOUSAND NINE HUNDRED SIXTY PESOS (PhP 2,041,960.00) ONLY being the Approved Budget for the Contract (ABC) to paym</t>
  </si>
  <si>
    <t xml:space="preserve"> For Administrative Support Program.</t>
  </si>
  <si>
    <t xml:space="preserve"> Republic of the Philippines CITY GOVERNMENT OF ORMOC  2nd /F New Ormoc City Hall Bldg.,Ormoc City Tel # (053) 255-2054 &amp; 560-8050 Local # 1126, 1127 &amp; 1123   33-________________________ INVITATION TO BID         The City Government of Ormoc, through the B</t>
  </si>
  <si>
    <t xml:space="preserve"> Republic of the Philippines CITY GOVERNMENT OF ORMOC  2nd /F New Ormoc City Hall Bldg.,Ormoc City Tel # (053) 255-2054 &amp; 560-8050 Local # 1126, 1127 &amp; 1123	      35-________________________ INVITATION TO BID         The City Government of Ormoc, through t</t>
  </si>
  <si>
    <t xml:space="preserve"> Republic of the Philippines Province of Batangas MUNICIPALITY OF MALVAR Office of the Municipal Mayor SECTION I INVITATION TO BID FOR IMPROVEMENT OF MULTI-PURPOSE GYMNASIUM AT BARANGAY SAN JUAN, MALVAR BATANGAS 1. The Municipality of Malvar, through the S</t>
  </si>
  <si>
    <t xml:space="preserve"> 34-________________________ INVITATION TO BID         The City Government of Ormoc, through the Bids and Awards Committee (BAC), invites contractors registered with and classified by the Philippine Contractors Accreditation Board (PCAB) to bid for the her</t>
  </si>
  <si>
    <t xml:space="preserve"> General Requirements, Demolition Works, Earthworks, Structural Works, Architectural Works, Electrical , Plumbing</t>
  </si>
  <si>
    <t xml:space="preserve"> Ceiling Works, Windows, Doors, Plastering, Painting Works, Floor Topping, Tile Works, Electrical</t>
  </si>
  <si>
    <t xml:space="preserve"> Republic of the Philippines Province of Leyte Municipality of Palo INVITATION TO BID FOR  Supply/Delivery of Materials for the Repair/Replacement Installation of LED Street Lights along the National Highway at  Brgy. Salvacion, San Miguel, Cavite East, Ca</t>
  </si>
  <si>
    <t xml:space="preserve"> Republic of the Philippines Province of Isabela LOCAL GOVERNMENT UNIT OF BENITO SOLIVEN INVITATION TO BID FOR THE CONSTRUCTION OF DOUBLE BARREL REINFORCED CONCRETE BOX CULVERT PHASE I AT BARANGAY PLACER 1.	The Barangay Government of Placer thru the Bids a</t>
  </si>
  <si>
    <t xml:space="preserve"> Earthworks,  Subbase And Base Course,  Surface Course,  Drainage &amp; Slope Protection Structures, Miscellaneous</t>
  </si>
  <si>
    <t xml:space="preserve"> INVITATION TO BID The Iligan City Government Bids and Awards Committee (BAC), through General Fund 2020, intends to apply the sum of P 1,493,425.00 being the Approved Budget for the Contract (ABC) to payments under the Contract for Procurement of Medical </t>
  </si>
  <si>
    <t xml:space="preserve"> Republic of the Philippines Province of Albay Municipality of Tiwi OFFICE OF THE BIDS AND AWARDS COMMITTEE CP#0917-851-2315 INVITATION TO BID  PROCUREMENT OF MATERIALS FOR THE INTEGRATED COMMUNITY FOOD PRODUCTION (ICFP) PROJECT 1.	The Local Government Uni</t>
  </si>
  <si>
    <t xml:space="preserve"> ITEM           DESCRIPTION         QUANTITY           UNIT 1	FURNISHING OF LABOR AND MATERIALS FOR THE INSTALLATION OF DISTRIBUTION LINE AT ZONE 1, BARANGAY BARAS, CANAMAN, CAMARINES SUR           1 LOT																					 																						 								</t>
  </si>
  <si>
    <t xml:space="preserve"> ADDITIONAL SCHOOL AND OFFICE SUPPLIES SHS</t>
  </si>
  <si>
    <t xml:space="preserve"> I. SITE PREPARATION - 9.79% -- LS II. AGGREGATE BASE COURSE (ITEM 201) - 1.79% - 3.2 III. P.C.C.P (ITEM 311) - 11.96%  IV. GOUTED RIPRAP (ITEM 504) /RUB CONC. - 16.87% V. FOOTBRIDGE -- 41.25% VI. FORMS/SCAFFOLDINGS -- 18.35% -- LS DIRECT COST LABOR---34.2</t>
  </si>
  <si>
    <t xml:space="preserve"> REPAINTING OF SCHOOL GROUND SHS FOR SCHOOL BEAUTIFICATION</t>
  </si>
  <si>
    <t xml:space="preserve"> INSTALLATION OF WASTE MANAGEMENT FACILITY FOR SCHOOL</t>
  </si>
  <si>
    <t xml:space="preserve"> INVITATION TO BID PUBLIC BIDDING NO.: 2005021 FUNDING SOURCE: GOVERNMENT OF THE PHILIPPINES THROUGH GENERAL APPROPRIATIONS ACT  (GAA) FY 2020 The Department of Science and Technology (DOST-CAR), through its Bids and Awards Committee  (BAC),  invites  bidd</t>
  </si>
  <si>
    <t xml:space="preserve"> Procurement of One (1) unit Service Vehicle  Pick-up ACTIVITY	SCHEDULE	VENUE 1. Issuance of Bid Document June 10, 2020-June 30, 2020 BAC Secretariat Office -MPDO 2. Pre-Bid Conference/ Supplemental Bid- June 17, 2020 @ Tourism Office @ 1:30 PM	 3. Submiss</t>
  </si>
  <si>
    <t xml:space="preserve"> Republic of the Philippines Province of Isabela LOCAL GOVERNMENT UNIT OF BENITO SOLIVEN INVITATION TO BID FOR THE COMPLETION OF COVERED COURT (ROOFING WORKS) AT BARANGAY GOMEZ 1.	The Barangay Government of Gomez thru the Bids and Awards Committee of the M</t>
  </si>
  <si>
    <t xml:space="preserve"> Republic of the Philipines Province of Camarines Sur Municipality of Del Gallego BIDS AND AWARDS COMMITTEE INVITATION TO BID FOR CONSTRUCTION OF MULTI-PURPOSE BUILDING WITH WHARF AND LANDING AREA The Local Government Unit of Del Gallego, Camarines Sur, th</t>
  </si>
  <si>
    <t xml:space="preserve"> MG-ADM20-005..REPLACEMENT OF EXISTING STREET LIGHTING INSIDE NPC MINGEN MRC ABC : P 3,000,000.00 PLACE OF DELIVERY :  MINGEN CENTRAL WAREHOUSE DITUCALAN, ILIGAN CITY AMOUNT OF BID DOCUMENTS : P 3,000.00</t>
  </si>
  <si>
    <t xml:space="preserve"> 1.	The Capiz Provincial Government, through the GOP–2020 intends to apply the total amount One Million Four Hundred Forty-One Thousand Five Hundred Pesos (Php 1,441,500.00) being the total Approved Budget for the Contract (ABC) to payments under the contr</t>
  </si>
  <si>
    <t xml:space="preserve"> I. SITE PREPARATION (REMOVAL OF EXST ROOF) -- 4% II. REPAIR OF ROOF/ROOF FRAMING -- 53.64% III. REPAIR OF CEILING -- 22.08% IV. PAINTING - 12.69% V. SCAFFOLDINGS -- 7.60% -- LS</t>
  </si>
  <si>
    <t xml:space="preserve"> MEALS FOR TEAM SUPERVISION FOR VISITORS AND TEACHERS</t>
  </si>
  <si>
    <t xml:space="preserve"> INVITATION TO BID IB NO. CW 2020 – 083 Construction of Slope Protection at Brgy. Waygan Spillway, Mansalay Oriental Mindoro 1.  The Provincial Government of Oriental Mindoro (PGOM) through the General Fund – 5% Calamity Fund 2019 intends to apply the sum </t>
  </si>
  <si>
    <t xml:space="preserve"> Medical Oxygen: 1800 PSI</t>
  </si>
  <si>
    <t xml:space="preserve"> MG-A5M20-001..AG4 SUPPLY, DELIVERY, INST., COMMISSIONING OF OIL-WATER SEPARATOR AT SUMP PIT ABC  : P 8,600,000.00 PLACE OF DELIVERY : AGUS 4 HEP WAREHOUSE BALOI-, LANAO DEL NORTE AMOUNT OF BID DOCUMENTS : P 10,000.00</t>
  </si>
  <si>
    <t xml:space="preserve"> Republic of the Philippines PROVINCE OF QUIRINO Cabarroguis -oOo- BIDS AND AWARDS COMMITTEE INVITATION TO BID FOR  Completion of Hanging Footbridge Contract No. PB-CW-2020-024 							June 6, 2020 1.	The Bids and Awards Committee (BAC) of the Provincial Go</t>
  </si>
  <si>
    <t xml:space="preserve"> Republic of the Philippines PROVINCE OF QUIRINO Cabarroguis -oOo- BIDS AND AWARDS COMMITTEE INVITATION TO BID FOR  Completion of Hanging Footbridge Contract No. PB-CW-2020-023 							June 6, 2020 1.	The Bids and Awards Committee (BAC) of the Provincial Go</t>
  </si>
  <si>
    <t xml:space="preserve"> Republic of the Philippines PROVINCE OF QUIRINO Cabarroguis -oOo- BIDS AND AWARDS COMMITTEE INVITATION TO BID FOR  Completion of Hanging Footbridge Contract No. PB-CW-2020-022 							June 6, 2020 1.	The Bids and Awards Committee (BAC) of the Provincial Go</t>
  </si>
  <si>
    <t xml:space="preserve"> ITB NO. 2020-0013 Supply, Delivery, Installation, Testing, Commissioning and Training of Six (6) Units of Audio Processors for the Manila, Zamboanga, Guimaras, Naga, and Cotabato Transmitter Stations of the People`s Television Network, Inc. (PTNI)</t>
  </si>
  <si>
    <t xml:space="preserve"> INVITATION TO BID IB NO. CW 2020 – 082 Construction of Bridge at Sta. Maria, Mansalay, Oriental Mindoro 1.  The Provincial Government of Oriental Mindoro (PGOM) through the 20% Development Fund CA 2019 intends to apply the sum of One Million Nine Hundred </t>
  </si>
  <si>
    <t xml:space="preserve"> ITB NO. 2020-0011 Provision of Security  Services of People’s Television Network, Inc. Manila Office and its Provincial Station</t>
  </si>
  <si>
    <t xml:space="preserve"> Republic of the Philippines Province of Albay Municipality of Tiwi OFFICE OF THE BIDS AND AWARDS COMMITTEE CP#0917-851-2315 INVITATION TO BID  PROCUREMENT OF ONE (1) UNIT AMBULANCE 1.	The Local Government Unit of Tiwi, Albay, through General Fund (SB#1) o</t>
  </si>
  <si>
    <t xml:space="preserve"> 130 "Unit(s)" "100-watts LED Street Light -" "100-265 volts, 12,000 lumens, IP65 Bridgelux Chips Meanwell Driver, Daylight, size: 725x285x82mm no arm and photo switch" 70 "Piece(s)" "Photo Control Switch -" "" 2 "Roll(s)" "#6 Service Drop Wire -" "" *****</t>
  </si>
  <si>
    <t xml:space="preserve"> INVITATION TO BID  (Public Bidding) The BFAR 08, through its Bids and Awards Committee (BAC), invites eligible suppliers to bid for the hereunder contract:	 NAME OF CONTRACT: 20-05-0545 Supply and Delivery of Materials for Intensive Tilapia Farming in Pon</t>
  </si>
  <si>
    <t xml:space="preserve"> Contract for the Concreting of Road Section at Purok 6. Rd. A (Sitjar Area) 300m, Brgy. Tibal - Og The Municipality of Santo Tomas, through MDF CY 2020 intends to apply the sum of P’ 2,497,407.01 being the Approved Budget for the Contract (ABC) to payment</t>
  </si>
  <si>
    <t xml:space="preserve"> Republic of the Philippines Province of Albay Municipality of Tiwi OFFICE OF THE BIDS AND AWARDS COMMITTEE CP#0917-851-2315 Invitation to Bid for the IMPROVEMENT OF ROADWAY &amp; SLOPE PROTECTION &amp; DRAINAGE 1.	The Local Government Unit of Tiwi, Albay, through</t>
  </si>
  <si>
    <t xml:space="preserve"> MG-PLM20-015..REPLACEMENT OF POWERHOUSE STATION BATTERIES ABC : P4,000,000.00 PLACE OF DELIVERY : PULANGI IV HEP WAREHOUSE MARAMAG, BUKIDNON AMOUNT OF BID DOCUMENTS : P 5,000.00</t>
  </si>
  <si>
    <t xml:space="preserve"> Republic of the Philippines PROVINCE OF QUIRINO Cabarroguis -oOo- BIDS AND AWARDS COMMITTEE INVITATION TO BID FOR  Completion of Hanging Footbridge Contract No. PB-CW-2020-021 							June 6, 2020 1.	The Bids and Awards Committee (BAC) of the Provincial Go</t>
  </si>
  <si>
    <t xml:space="preserve"> Republic of the Philippines Province of Albay Municipality of Tiwi BIDS AND AWARDS COMMITTEE Invitation to Bid for the CHILD DEVELOPMENT CENTER FENCING &amp; WATER TANK &amp; SITE DEVELOPMENT 1.	The Local Government Unit of Tiwi, Albay, through General Fund (SB N</t>
  </si>
  <si>
    <t xml:space="preserve"> SEE SPECS</t>
  </si>
  <si>
    <t xml:space="preserve"> 30 "Piece(s)" "First Aide Paper Tape 1/2"" -" "" 200 "Box(es)" "Face Mask -" "" 200 "Box(es)" "Non-sterile gloves size Large -" "" 5 "Pack(s)" "Toilet paper (12rolls/pack) -" "" 30 "Piece(s)" "Face Mask N95 -" "" 5 "Unit(s)" "Portable Nebulizer -" "" 10 "</t>
  </si>
  <si>
    <t xml:space="preserve"> INVITATION TO BID The City Government of Pasay, through its Bids and Awards Committee (BAC) invites suppliers/manufacturers/distributors/contractors to apply and submit sealed bids for the supply and delivery of the following: Proposed supply and delivery</t>
  </si>
  <si>
    <t xml:space="preserve"> DRAINAGE SYSTEM</t>
  </si>
  <si>
    <t xml:space="preserve"> INVITATION TO BID IB NO. CW 2020 – 088 Installation of Automatic Fire Suppression System at Oriental Mindoro Southern District Hospital, Roxas, Oriental Mindoro 1.  The Provincial Government of Oriental Mindoro (PGOM) through the General Fund CA 2018 inte</t>
  </si>
  <si>
    <t xml:space="preserve"> Concreting of barangay road @ brgy San Antonio, Lal-lo, Cagayan</t>
  </si>
  <si>
    <t xml:space="preserve"> Republic of the Philippines DR. EMILIO B. ESPINOSA, SR. MEMORIAL STATE COLLEGE  OF AGRICULTURE AND TECHNOLOGY (Masbate State College) BIDS AND AWARDS COMMITTEE http:www.debesmscat.edu.ph Cabitan, Mandaon, Masbate Invitation to Bid for the  Construction of</t>
  </si>
  <si>
    <t xml:space="preserve"> Procurement of Two (2) units Rescue Vehicle for Barangays of LGU Laak, Davao De Oro with an ABC if Php. 3,200,000.00. Specification: *Engine: Model: 2GD-FTV(low), Type: 2.4L Diesel, 4-Cylinder, 16-valve DOHC, Variable Nozzle Turbo w/ front Mounted interco</t>
  </si>
  <si>
    <t xml:space="preserve"> Name of Project:Site Development of Bancasi Rotunda JCT BCI Highway and DOP Avenue-2nd Bidding Location: Barangay Bancasi,Butuan City Duration:200 calendar days Total ABC: Php 9,900,954.74 For representative/s of interested bidders who wish to attend the </t>
  </si>
  <si>
    <t xml:space="preserve"> 4 ROLLS PE PIPE 1'' Ø 3 ROLLS PE PIPE 2 2 1/2'' Ø  5 ROLLS PE PIPE 3/4'' Ø</t>
  </si>
  <si>
    <t xml:space="preserve"> INVITATION TO BID (Public Bidding) The BFAR 08, through its Bids and Awards Committee (BAC), invites eligible suppliers to bid for the hereunder contract:	 NAME OF CONTRACT: 20-05-0550 Supply and Delivery of Materials for Aquaponics with Intensive Tilapia</t>
  </si>
  <si>
    <t xml:space="preserve"> Stock	ITEM DESCRIPTION	QTY	UNIT No.			 			 A.	 General Requirements		 	1. Permits (Building Permits, Occupancy Permit, ECC, DOLE 	1	lot 	    and  other Local Permits required)		 	2. Mobilization/Demobilization	1	lot 	3. Temporary Facilities	1	lot 	4. Phot</t>
  </si>
  <si>
    <t xml:space="preserve"> Title:Procurement of 1,000 Vial Rabies Vaccine(10 Dose/Vial),etc. under P.R.No. 1408-2020-Office of the City Veterinarian-2nd Bidding Total ABC: Php 1,595,798.00 For representative/s of interested bidders who wish to attend the Pre-Bidding Conference, ple</t>
  </si>
  <si>
    <t xml:space="preserve"> Republic of the Philippines Province of Compostela Valley Municipality of Monkayo -o0o- INVITATION TO BID FOR THE PROCUREMENT OF DRUGS &amp; MEDICINES FOR MUNICIPAL HEALTH CENTER VARIOUS PROGRAM-1st SEMESTER The Municipality of Monkayo, through the GENERAL FU</t>
  </si>
  <si>
    <t xml:space="preserve"> Invitation to Bid for the Construction of 1 Unit 3 Classroom Bldg at Gaboc Elementary School 1.	The Local Government Unit of Manolo Fortich, through the Special Education Fund intends to apply the sum of FOUR MILLION THREE HUNDRED THOUSAND PESOS (PhP 4,30</t>
  </si>
  <si>
    <t xml:space="preserve"> 1.	The Capiz Provincial Government, through the GOP–2020 intends to apply the total amount of Seven Hundred Fifty-Nine Thousand Six Hundred Pesos (Php759,600.00) being the total aggregated Approved Budget for the Contract (ABC) to payments under the contr</t>
  </si>
  <si>
    <t xml:space="preserve"> Name of Project: Purchase of One (1) Set Sand Separator/ Filter bag housing for Pura Water System Pumping Station  Location: Brgy Estipona, Pura, Tarlac ABC: Php 640,000.00 2 units SAND SEPARATOR/ FILTER BAG HOUSING Filter bag housing : Single PR# : SBF-0</t>
  </si>
  <si>
    <t xml:space="preserve"> Contract Labor and Materials for the Concreting of Toribio Suan Street, Laac (Pob.), Laak, Davao De Oro with an ABC of Php. 1,428,263.51.</t>
  </si>
  <si>
    <t xml:space="preserve"> Construction of 9 units  Streetlights</t>
  </si>
  <si>
    <t xml:space="preserve"> Contract Labor and Materials for the Construction of Concrete Pavement of Public Night Market Stalls at Laac (Pob.), Laak, Davao De Oro with an ABC of Php. 809,306.17.</t>
  </si>
  <si>
    <t xml:space="preserve"> Rehabilitation of Road</t>
  </si>
  <si>
    <t xml:space="preserve"> PANEL 900 WATS INVERTER 7500 WATTS RATING 2X7500 WATTS PANEL MOUNTING &amp; ACCESSORIES DC SURGE PROTECTION AC CIRCUIT BREAKER PV POWER CABLES OTHER INST. MATERIALS</t>
  </si>
  <si>
    <t xml:space="preserve"> MUST HAVE AN DENR ENVIRONMENTAL COMPLIANCE CERTIFICATE FOR SANITARY LANDFILL</t>
  </si>
  <si>
    <t xml:space="preserve"> Name of Project: Purchase of three (3) sets Sand Separator/ Filter bag housing for Pura Water System Pumping Station Location: Brgy Singat, Nilasin 2nd and Poblacion 3, Pura, Tarlac ABC: Php 1,600,000.00 5 units SAND SEPARATOR/ FILTER BAG HOUSING Filter b</t>
  </si>
  <si>
    <t xml:space="preserve"> INVITATION TO BID IB NO. CW 2020 – 081 Concreting of Pili – Banilad Road, Pinamalayan, Oriental Mindoro 1.  The Provincial Government of Oriental Mindoro (PGOM) through the 20% Development Fund 2019 intends to apply the sum of Five Million Nine Hundred Th</t>
  </si>
  <si>
    <t xml:space="preserve"> Procurement of Seven (7) units Rescue Vehicle for Barangays of LGU Laak, Davao De Oro with an ABC of Php. 11,200,000.00. Specification: *Engine: Model: 2GD-FTV(low), Type: 2.4L Diesel, 4-Cylinder, 16-valve DOHC, Variable Nozzle Turbo w/ front Mounted inte</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</si>
  <si>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</si>
  <si>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</si>
  <si>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INVITATION TO BID June 4, 2020 The Eastern Visayas Regional Medical Center, through its Bids and Awards Committee (BAC A) invites suppliers/manufacturers/distributors to bid for the hereunder project:  Item/Description	Approved Budget for the Contract (AB</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</si>
  <si>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</si>
  <si>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Republic of the Philippines Province of Negros Occidental CITY OF TALISAY INVITATION TO BID  FOR THE Purchase of Eight (8) units of Assault Rifle   For the use of Talisay PNP of the   City of Talisay 1.	The City of Talisay, through the PNP Capital Outlay </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</si>
  <si>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</si>
  <si>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Construction of Concrete Road:  Length= 5,280.00m; Width= 5.00m; Thickness= 0.23m; Area= 28,230.424 sq.m. Double Barrel: 3x3x12, Single Barrel: 3x3x10</t>
  </si>
  <si>
    <t xml:space="preserve"> Procurement of Seven (7) units Steel Goal with Ring &amp; Board and Complete Accessories for Barangay Langtud, Melale, Sto. Niño, Mangloy, Kidawa and Datu Ampunan - Laak, Davao De Oro with an ABC of Php. 2,100,000.00.</t>
  </si>
  <si>
    <t xml:space="preserve"> SUPPLY AND DELIVERY OF MEDICAL, DENTAL AND LABORATORY SUPPLIES FOR VARIOUS DEPARTMENTS/OFFICES OF THE CITY GOVERNMENT OF MAKATI - Order of payment for Bid Docs will be available at GSD-Head Office @ 10th Floor Makati City Hall Bldg. 2.  Look for Mr. Reden</t>
  </si>
  <si>
    <t xml:space="preserve"> Procurement of One (1) Brand New Emergency Vehicle (DOH Standard Ambulance) of LGU Laak, Davao De Oro with an ABC of Php. 2,600,000.00. Specification: - 2.5 L In-line, 4 Cylinder DOHC 16, Turbo Charge Diesel Engine (Valve Variable), 120-130 PS (Max Power)</t>
  </si>
  <si>
    <t xml:space="preserve"> Republic of the Philippines                                                     PROVINCE OF SAMAR                                                        2nd INVITATION TO BID                                               Supply of Electrical Equipment 1) </t>
  </si>
  <si>
    <t xml:space="preserve"> INVITATION TO BID FOR  CY 2020 ENHANCED NATIONAL GREENING PROGRAM- HAULING OF SEEDLINGS UNDER MECHANIZED AND MODENIZED FOREST NURSERY DENR-ENGP-MMFN-HAULING-2020-001 1.	The Department of Environment and Natural Resources, Regional Office No. 5, Rawis, Leg</t>
  </si>
  <si>
    <t xml:space="preserve"> Acquasition of construction materials for improvement of Barangay Multi Purpose Hall Taguihon, Baclayon, Bohol Bill of materials:   INSTALLATION OF DOOR AND WINDOWS 1.  1 set   - Fixed glass window 1 w/ aluminum frame (1.12mx1.00m with opening) 2.  2 sets</t>
  </si>
  <si>
    <t xml:space="preserve"> INVITATION TO APPLY FOR ELIGIBILITY TO BID The Local Government Unit of Matag-ob, through its Bids and Awards Committee (BAC), invites Suppliers /Manufacturers/Distributors/ Contractors to apply for eligibility and to bid for the hereunder projects. Name </t>
  </si>
  <si>
    <t xml:space="preserve"> SUPPLY AND DELIVERY OF MEDICAL EQUIPMENT ACCESSORIES FOR INFUSION PUMPS (JMS AND TERUMO BATTERIES) - Order of payment for Bid Docs will be available at GSD-Head Office @ 10th Floor Makati City Hall Bldg. 2.  Look for Mr. Reden Villanueva. - A  complete se</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</si>
  <si>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</si>
  <si>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Construction of Concrete Road: Length= 3,323.529m, Width= Variable, Thickness= 0.23m, Area= 13,404.97 sq.m. Drainage (CHB 4" Line Canal) Length= 345.93m, Width= Variable, Height= 1.00m</t>
  </si>
  <si>
    <t xml:space="preserve"> SUPPLY, DELIVERY AND INSTALLATION OF LABORATORY INFORMATION SYSTEM (LIS) FOR OSPITAL NG MAKATI  - Order of payment for Bid Docs will be available at GSD-Head Office @ 10th Floor Makati City Hall Bldg. 2.  Look for Mr. Reden Villanueva. - A  complete set o</t>
  </si>
  <si>
    <t xml:space="preserve"> SUPPLY AND DELIVERY OF FABRICATED RECYCLABLE BINS - Order of payment for Bid Docs will be available at GSD-Head Office @ 10th Floor Makati City Hall Bldg. 2.  Look for Mr. Reden Villanueva. - A  complete set of Bidding Documents will be available from day</t>
  </si>
  <si>
    <t xml:space="preserve"> 1.	The LGU - CORELLA, BOHOL, through the budget approved by the Sanggunian per Municipal Ordinance No. 2019-15 under 20% development fund intends to apply the sum of PHP 1,658,802.91 being the Approved Budget for the Contract (ABC) to payments under the c</t>
  </si>
  <si>
    <t xml:space="preserve"> REPAIR OF VARIOUS MEDICAL EQUIPMENT (2 LOTS) LOT 1: REPAIR OF MEDICAL EQUIPMENT (ULTRASOUND MACHINE – HITACHI F37) LOT 2: REPAIR OF MEDICAL EQUIPMENT (INFANT INCUBATOR – WEYER VITA) - Order of payment for Bid Docs will be available at GSD-Head Office @ 10</t>
  </si>
  <si>
    <t xml:space="preserve"> SUPPLY, DELIVERY AND INSTALLATION OF FURNITURE AND FIXTURES FOR THE CITY CIVIL REGISTRATION OFFICE - Order of payment for Bid Docs will be available at GSD-Head Office @ 10th Floor Makati City Hall Bldg. 2.  Look for Mr. Reden Villanueva. - A  complete se</t>
  </si>
  <si>
    <t xml:space="preserve"> Republic of the Philippines LOCAL GOVERNMENT UNIT OF GINGOOG BIDS AND AWARDS COMMITTEE Gingoog City 	INVITATION TO BID	 PURCHASE OF DAIRY STOCKS UNDER P.R. NO. 50-20-05-042 (CHARGED TO: 20&amp; DF DAIRY PRODUCTION (DAIRY STOCKS, HF X JERSEY, PREGNANT)) 1.	The</t>
  </si>
  <si>
    <t xml:space="preserve"> PRINTING OF MAKATI ANNUAL REPORTS 2019 WITH DOCUMENTARY ENVELOPE - Order of payment for Bid Docs will be available at GSD-Head Office @ 10th Floor Makati City Hall Bldg. 2.  Look for Mr. Reden Villanueva. - A  complete set of Bidding Documents will be ava</t>
  </si>
  <si>
    <t xml:space="preserve"> PURCHASE OF SUPPLIES AND MATERIALS FOR ACTIVITIES/PROGRAMS OF VARIOUS OFFICES/DEPARTMENTS OF THE CITY GOVERNMENT OF MAKATI - Order of payment for Bid Docs will be available at GSD-Head Office @ 10th Floor Makati City Hall Bldg. 2.  Look for Mr. Reden Vill</t>
  </si>
  <si>
    <t xml:space="preserve"> DESIGN, LAYOUT AND PRINTING OF MAKATI TOURIST MAPS - Order of payment for Bid Docs will be available at GSD-Head Office @ 10th Floor Makati City Hall Bldg. 2.  Look for Mr. Reden Villanueva. - A  complete set of Bidding Documents will be available from da</t>
  </si>
  <si>
    <t xml:space="preserve"> 1 LOT Equipment and Facilities for the Rehabilitation of Old Engineering Building Item Description: ( Please see the Official Bidding Form for the full specification of each items) [2 UNITS] Wireless spectrometer with Fiber Optic Cable Accessory Concepts </t>
  </si>
  <si>
    <t xml:space="preserve"> Supply and Delivery: 27,660 Liters of Diesel</t>
  </si>
  <si>
    <t xml:space="preserve"> RE-INVITATION TO BID  The Department of Public Works and Highways – Cordillera Administrative Region, through its Bids and Awards Committee (BAC) for Goods, invites suppliers to submit bids for the contract below: Contract ID No.:	20GP00033 Contract Name:</t>
  </si>
  <si>
    <t xml:space="preserve"> PRINTING OF MATERIALS AND FORMS FOR VARIOUS DEPARTMENTS - Order of payment for Bid Docs will be available at GSD-Head Office @ 10th Floor Makati City Hall Bldg. 2.  Look for Mr. Reden Villanueva. - A  complete set of Bidding Documents will be available fr</t>
  </si>
  <si>
    <t xml:space="preserve"> Invitation to Bid for the  CONSTRUCTION OF MULTI-PURPOSE HALL/EVACUATION CENTER-PHASE V AT BUGALLON PROPER, RAMON, ISABELA 1.	The LGU-RAMON, ISABELA, through the Budget for the contract approved by the Sanggunian intends to apply the sum of P15,000,000.00</t>
  </si>
  <si>
    <t xml:space="preserve"> BATCH 1 Item 	Quantity	Unit of	Item Description	 No.		Issue		 1	480	bag	Bt Corn Seeds P3774YHR	 2	480	liter	Organic Foliar Fertilizer (11-3-4)	 3	960	bag	Complete Fertilizer (14-14-14)	 4	720	bag	Urea (46-0-0)	 5	300	liter	Glyphosate Herbicide	 BATCH 2 It</t>
  </si>
  <si>
    <t xml:space="preserve"> 1.) 	 1 	 - Unit 	 - Motor Vehicle (Passenger Van) 			 			Engine: 2.80 Diesel Manual Transmission, 4 cylinders 			Displacement: 2.755cc 			Maximum Output: 176/3,400 			Fuel Tank Capacity: 70L 			Emission Standard: EURO 4 			Tires: 235/65 R16 			Seating Ca</t>
  </si>
  <si>
    <t xml:space="preserve"> Construction of Bridge: Length= 45.00m Road: Length= 207.00 ln.m., Width= 6.70 m., Area= 1,386.90 sq.m.</t>
  </si>
  <si>
    <t xml:space="preserve"> SUPPLY AND DELIVERY OF BIRTHDAY CAKES FOR THE CITY EMPLOYEES THROUGH ORDERING AGREEMENT - Order of payment for Bid Docs will be available at GSD-Head Office @ 10th Floor Makati City Hall Bldg. 2.  Look for Mr. Reden Villanueva. - A  complete set of Biddin</t>
  </si>
  <si>
    <t xml:space="preserve"> UNIVERSITY OF THE PHILIPPINES MANILA The Health Sciences Center 8/F PGH Central Block Bldg,  Taft Avenue, Manila INVITATION TO BID PROPOSED REHABILITATION AND RENOVATION OF  REMAINING BASIC SCIENCE LABORATORIES SALCEDO HALL, COLLEGE OF MEDICINE UNIVERSITY</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</si>
  <si>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</si>
  <si>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INVITATION TO BID  Supply and Delivery of (9,375) Nine Thousand Three Hundred Seventy-Five Heads Free Ranged Chicken and (1,768) One Thousand Seven Hundred Sixty-Eight Heads Ducks for use under Livestock and Poultry Program 	The Department of Agriculture </t>
  </si>
  <si>
    <t xml:space="preserve"> INVITATION TO BID  Supply and Delivery of Poultry Feeds for use under Livestock and Poultry Program 	The Department of Agriculture Regional Field Office No. 5, through the General Appropriation Act   for CY 2020-Livestock intends to apply the sum of One M</t>
  </si>
  <si>
    <t xml:space="preserve"> REQUEST FOR EXPRESSION OF INTEREST (REI) FOR 20CSCE001-CONSULTING SERVICES FOR THE CONDUCT OF SOIL/GEOTECHNICAL INVESTIGATION FOR THE PROPOSED CONSTRUCTION OF VARIOUS MULTI-PURPOSE AND SCHOOL BUILDING PROJECTS WITHIN THE 1st AND 2nd LEGISLATIVE DISTRICT O</t>
  </si>
  <si>
    <t xml:space="preserve"> REQUEST FOR EXPRESSION OF INTEREST (REI) FOR 20CSCE002-CONSULTING SERVICES FOR THE CONDUCT OF SOIL/GEOTECHNICAL INVESTIGATION FOR THE PROPOSED CONSTRUCTION/REHABILITATION OF VARIOUS FLOOD CONTROL AND BRIDGE PROJECTS WITHIN THE 1st AND 2nd LEGISLATIVE DIST</t>
  </si>
  <si>
    <t xml:space="preserve"> Photocopier, Heavy Duty 4 Sets • Print, copy, scan functions • Auto-duplex printing • Borderless printing up A5 to A3 • ADF Capability with reverting feeder • Scan to USB/ USB Printing • Ethernet (LAN) • Copy/Print Speed (A4): 23 ppm; Duplex: 17 ppm • Cop</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</si>
  <si>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</si>
  <si>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Improvement of Multipurposed Building at Brgy, Antipolo, Rizal, Laguna</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</si>
  <si>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</si>
  <si>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INVITATION TO BID FOR CW-APAYAO-LARIP-01-2020 1.	The National Irrigation Administration – Cordillera Administrative Region (NIA-CAR), through the General Appropriations Act (GAA) 2020 intends to apply the sum Fifty Million Two Hundred Ninety Five Thousand</t>
  </si>
  <si>
    <t xml:space="preserve"> Republic of the Philippines DEPARTMENT OF PUBLIC WORKS AND HIGHWAYS OFFICE OF THE REGIONAL DIRECTOR Region VII                                                                                                                        South Road Properties (SR</t>
  </si>
  <si>
    <t xml:space="preserve"> Republic of the Philippines 	CITY OF SAN PEDRO Province of Laguna BIDS AND AWARDS COMMITTEE INVITATION TO APPLY FOR ELIGIBILITY AND TO BID PR NO. 0390 1.	The City Government of San Pedro, Laguna through the 2020 Budget Approved by the Sangguniang Panglung</t>
  </si>
  <si>
    <t xml:space="preserve"> Acquisition of Construction materials: Formworks			 Marine Plywood, 1/4" x 4' x 8'	2	sheets	 9pcs.-2" x 2" x 10' Mahogany Lumber	30	bd.ft.	  CWN #4	1	kg.	  CWN #2-1/2	1	kg.	   	 Concrete Works			 Portland Cement	18	pcs.	   Sand (Fine Sand)	1.5	pcs.	  Grav</t>
  </si>
  <si>
    <t xml:space="preserve"> Rebid: Supply and Delivery of Various Drugs and Medicines for Community Hospital- 3rd Quarter (GF-2020)</t>
  </si>
  <si>
    <t xml:space="preserve"> Provide Labor, Materials and Equipment for the Construction of Feed Mill Facility Location: DARCES Manambulan, Tugbok District, Davao City Note: Plans and Designs could be downloaded at the DA Website at davao.da.gov.ph or see BAC Secretariat office. FOR </t>
  </si>
  <si>
    <t xml:space="preserve"> Procurement Of Five (5) Units Brand New Hauling Truck Package 1:	Three (3) Units Brand New Hauling Truck (Six Wheeler Drop-Side Body Type) DELIVERY TERM: 60 Calendar days Package 2:	Two(2) Units Brand New Hauling Truck (4WD Double Cab) DELIVERY TERM: 60 C</t>
  </si>
  <si>
    <t xml:space="preserve"> Contract ID: 20PK0066 Contract Name: Repair / Maintenance of DPWH Building, Area Parts and Component Building, P-6, Bulanao, Tabuk City, Kalinga   Contract Location: P-6, Bulanao, Tabuk City, Kalinga Brief Description: Repair and Maintenance of Building A</t>
  </si>
  <si>
    <t xml:space="preserve"> Procurement of One (1) Unit 45 hp  4WD Farm Tractor With Disc Plow. DELIVERY TERM: 45 Calendar days FOR MORE DETAILS KINDLY DOWNLOAD ASSOCIATED COMPONENTS</t>
  </si>
  <si>
    <t xml:space="preserve"> Republic of the Philippines 	CITY OF SAN PEDRO Province of Laguna BIDS AND AWARDS COMMITTEE INVITATION TO APPLY FOR ELIGIBILITY AND TO BID PR NO. 0406 1.	The City Government of San Pedro, Laguna through the 2020 Budget Approved by the Sangguniang Panglung</t>
  </si>
  <si>
    <t xml:space="preserve"> Rebid: Supply and Delivery of Drugs and Medicines for City Health Office-3rd Quarter</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</si>
  <si>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</si>
  <si>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Installation of 4,000 liters Rainwater Collector</t>
  </si>
  <si>
    <t xml:space="preserve"> 2,220,000 pcs each</t>
  </si>
  <si>
    <t xml:space="preserve"> INVITATION TO BID FOR THE PROCUREMENT OF  OFFICE AND JANITORIAL SUPPLIES  1.	The Municipal Government of Lal-lo, through the General Fund of 2020 intends to apply the sum of Seven Hundred Ninety Thousand Pesos (Php 790,000.00) being the Approved Budget fo</t>
  </si>
  <si>
    <t xml:space="preserve"> 5 LI</t>
  </si>
  <si>
    <t xml:space="preserve"> Republic of the Philippines   Province of Sarangani  Municipality of Alabel    Invitation to Bid for the Installation of 120 Watts Solar Lights within Poblacion Area 1.The Municipality of Alabel, through the SARO-OSEC-19-0024229[ In the case of National G</t>
  </si>
  <si>
    <t xml:space="preserve"> Item SPL-1: Mobilization/Demobilization Item SPL-2: Sign Board/Billboard Item 103: Structure excavation (mechanical) Item 104: Embankment Item 201: Aggregate Surface Item 311: Concrete works with steel Item 500: Pipe culverts dia (24"dia.) Item 505: Grout</t>
  </si>
  <si>
    <t xml:space="preserve"> QUARTERLY PREVENTIVE MAINTENANCE OF 194 MOTORVEHICLES 1.	The Bureau of Fire Protection Region 8, through the General Appropriations Act CY 2020 intends to apply the sum of One Million Nine Hundred Forty Thousand Pesos (₱1,940,000.00) being the Approved Bu</t>
  </si>
  <si>
    <t xml:space="preserve"> Invitation to Bid for the Construction of Evacuation Center 1.	The Municipal Government of Lal-lo, through the Performance Challenge Fund (PCF) intends to apply the sum of Two Million Three Hundred Thousand Pesos (Php2,300,000.00) being the Approved Budge</t>
  </si>
  <si>
    <t xml:space="preserve"> 1.	The Provincial Government of Ilocos Norte, through the RA 7171 Fund  intends to apply the sum of Ten Million Five Hundred Twenty Thousand Pesos                     (Php  10,520,000.00                    ) being the Approved Budget for the Contract (ABC</t>
  </si>
  <si>
    <t xml:space="preserve"> REPUBLIC OF THE PHILIPPINES PROVINCE OF CEBU MUNICIPALITY OF PINAMUNGAJAN Invitation to Bid for:  CONSTRUCTION OF PUBLIC CEMETERY 			      Purok Sambag, Pandacan, Pinamungajan, Cebu 1.	The MUNICIPALITY OF PINAMUNGAJAN, through the GENERAL FUND  intends to</t>
  </si>
  <si>
    <t xml:space="preserve"> INVITATION TO BID FOR THE PROCUREMENT OF  11 UNITS LAPTOP 1.	The Municipal Government of Lal-lo, through the General Fund of 2020 intends to apply the sum of Five Hundred Seventy Thousand Pesos (Php 570,000.00) being the Approved Budget for the Contract (</t>
  </si>
  <si>
    <t xml:space="preserve"> 1.	The Provincial Government of Ilocos Norte, through the RA 7171 Fund  intends to apply the sum of Fifteen Million Pesos   (Php 15,000,000.00                ) being the Approved Budget for the Contract (ABC) to payments under the contract for Procurement</t>
  </si>
  <si>
    <t xml:space="preserve"> Temporary Facility 1 LS Mobilization/Demobilization 1 LS Surplus common excavation 2,570.60 cu.m. Embankment 663.80 cu.m. Sub Grade Preparation 3,850.00 sq.m. Aggregate Sub-Base Course 412.5 cu.m. Portland Cement Concrete Pavement 2,750 sq.m.</t>
  </si>
  <si>
    <t xml:space="preserve"> Description: 1.Super Carry Van 2. Yr. Model 2018 3. 5 doors 4. Passenger capacity-9 including driver 5. Milleage Reaching-not to exceed 8,000 Kms. 6. Fully loaded- Pioneer car stereo and 4 speakers - Aricon front and rear - heavy tinted 7. Engine-0.8 Lite</t>
  </si>
  <si>
    <t xml:space="preserve"> REQUEST FOR QUOTATION PROCUREMENT OF THREE (3) UNITS WATER PURIFIER WITH SOLAR BATTERY  AND 100 PIECES FILTER (Negotiated Procurement-Two Failed Biddings) Reference No: 2020-06-008 Sir/Madam: The Municipal Government of Lal-lo through the Bids and Awards </t>
  </si>
  <si>
    <t xml:space="preserve"> Republic of the Philippines BANGSAMORO AUTONOMOUS REGION IN MUSLIM MINDANAO Province  of  Lanao  del  Sur INVITATION TO BID  The Provincial Government of  Lanao del Sur through its  Bids and Awards Committee (BAC) invites accredited  suppliers  for the pr</t>
  </si>
  <si>
    <t xml:space="preserve"> Republic of the Philippines Province of Ilocos Norte Municipality of Burgos BARANGAY POBLACION INVITATION TO BID FOR  PROCUREMENT OF HANDHELD RADIO 1.	The Barangay Government of Poblacion, Burgos, Ilocos Norte, through the CY 2018 and 2019, Supplemental B</t>
  </si>
  <si>
    <t xml:space="preserve"> Rebid: Supply and Delivery of Various Drugs and Medicines including Anti-rabies Vaccines for Community Hospital- 3rd Quarter (GAD-2020)</t>
  </si>
  <si>
    <t xml:space="preserve"> Republic of the Philippines DEPARTMENT OF SCIENCE AND TECHNOLOGY PHILIPPINE SCIENCE HIGH SCHOOL - SOCCSKSARGEN REGION CAMPUS Bids and Awards Committee INVITATION TO BID FOR THE PROCUREMENT OF 50 LAPTOP COMPUTERS 1.	The Philippine Science High School SOCCS</t>
  </si>
  <si>
    <t xml:space="preserve"> CAGAYAN DE ORO CITY 1ST DISTRICT ENGINEERING OFFICE REGIONAL OFFICE X 	10th RES Compound, Bulua, Cagayan de Oro City 	 INVITATION TO BID The Department of Public Works and Highways – Cagayan de Oro City 1st District Engineering Office, through its Bids an</t>
  </si>
  <si>
    <t xml:space="preserve"> INVITATION TO BID 2020-CS-01 The Department of Public Works and Highways QUEZON III DISTRICT ENGINEERING OFFICE, Catanauan, Quezon, through the FY2020 PDE FUND intends to apply the amount of ₱ ₱2,500,000.00  being the Approved Budget for the Contract (ABC</t>
  </si>
  <si>
    <t xml:space="preserve"> Republic of the Philippines Province of Ilocos Norte Municipality of Burgos BARANGAY POBLACION INVITATION TO BID FOR  Purchase of Motor Vehicle 1.	The Barangay Government of Poblacion, Burgos, Ilocos Norte, through the CY, 2019 and 2018 Supplemental Budge</t>
  </si>
  <si>
    <t xml:space="preserve"> ITEM	QTY	Unit of 	DESCRIPTION NO		Issue	 1	100	bxs	Amlodipine 10 mg tab 100' 2	288	bots	Ascorbic Acid syr 60 mL 3	300	bxs	Ascorbic Acid 500 mg tab 100' 4	201	bxs	B-Complex tab 100' 5	11	bxs	Celecoxib 200 mg cap 100' 6	144	bots	Lagundi syrup 60 mL 7	100	bx</t>
  </si>
  <si>
    <t xml:space="preserve"> INVITATION TO BID 2020-CS-02 The Department of Public Works and Highways QUEZON III DISTRICT ENGINEERING OFFICE, Catanauan, Quezon, through the FY2020 PDE FUND intends to apply the amount of ₱ ₱6,000,000.00  being the Approved Budget for the Contract (ABC</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</si>
  <si>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</si>
  <si>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1.	The Philippine Institute for Development Studies (PIDS), through the 2020 Corporate Operating Budget intends to apply the sum of Two Million Four Hundred Thousand Pesos &amp; 00/100 (PHP2,400,000.00), being the Approved Budget for the Contract (ABC) to pay</t>
  </si>
  <si>
    <t xml:space="preserve"> Contract ID: 20PK0067 Contract Name: Repair/Maintenance of DPWH BUILDING, AES Office-Repair Bay and Planning Office, P-6 Bulanao, Tabuk City, Kalinga   Contract Location: P-6, Bulanao, Tabuk City, Kalinga Brief Description: Repair and Maintenance of Build</t>
  </si>
  <si>
    <t xml:space="preserve"> The City Government of Naga, through the Other Supplies and Materials Account of various offices, intends to apply the sum of One Million Ninety Three Thousand Six Hundred  Eighty Four (P 1,093,684.00) Pesos being the Approved Budget for the Contract (ABC</t>
  </si>
  <si>
    <t xml:space="preserve"> Republic of the Philippines	 Department of Science and Technology PHILIPPINE SCIENCE HIGH SCHOOL – ZAMBOANGA PENINSULA REGION CAMPUS Cogon, Dipolog City INVITATION TO BID FOR THE CONSTRUCTION OF DORMITORY BUILDING III (MALE) REBID Design and Build  APPROV</t>
  </si>
  <si>
    <t xml:space="preserve"> Name of Contract: Construction of Tanjay City Adolescent Friendly Health Service Center at Barangay Sta. Cruz Viejo IAC Classification: Small "B" for Buildings PCAB Category "D" Duration: 120 C.D. Approved Budget for the Contract: Php 1,118,704.62 xxxxxxx</t>
  </si>
  <si>
    <t xml:space="preserve"> PLEASE SEE ATTACHED BID DOCUMENTS FOR COMPLETE DETAILS</t>
  </si>
  <si>
    <t xml:space="preserve"> Republic of the Philippines											 	Office of the Municipal Mayor											 	BIDS AND AWARDS COMMITTEE											 	Binmaley, Pangasinan											 												 	Invitation to Bid											 	 for 											 	Completion of Multi-Purpose/Evacuation Ce</t>
  </si>
  <si>
    <t xml:space="preserve"> Labor and Materials for the Concreting of Road (Bypass Road) at Brgy. Sta Rita - Brgy. San Francisco, Concepcion, Tarlac Approved Budget for the Contract : P 4,997,378.79 Source of Fund : 20% EDF 2020 The contract to be performed by the successful bidder </t>
  </si>
  <si>
    <t xml:space="preserve"> REPUBLIKA NG PILIPINAS KALAKHANG MAYNILA LUNGSOD NG NAVOTAS Pamahaalaang Barangay ng Navotas West H. MONROY ST. NAVOTAS WEST, NAVOTAS CITY Invitation to Bid UPGRADING OF ALLEY WITH IMPROVEMENT OF DRAINAGE CANAL  Int. Davila St., (Near Totoy Bidang Res.) b</t>
  </si>
  <si>
    <t xml:space="preserve"> Item No.	Item Description 	Quantity	Unit PROJECT BILLBOARD ITEM B.5:	Project Billboard / Signboard	          1.00 	pc Occupational Safety and Health Program ITEM B.7:	Occupational Safety and Health Program	          1.00 	L.S.  Check Dam A (Rubble Masonry</t>
  </si>
  <si>
    <t xml:space="preserve"> Extension of Multi-Purpose Hall : See Attached Drawings for Details</t>
  </si>
  <si>
    <t xml:space="preserve"> CONSTRUCTION OF WATER SUPPLY</t>
  </si>
  <si>
    <t xml:space="preserve"> ITEM NO.	DESCRIPTION	QUANTITY	UNIT 			 PROJECT BILLBOARD  ITEM B.5:	Project Billboard / Signboard	          1.00 	pc Occupational Safety and Health Program ITEM B.7:	Occupational Safety and Health Program	          1.00 	L.S. INTAKE TANK (1.0m x 1.0m x 1.</t>
  </si>
  <si>
    <t xml:space="preserve"> REPUBLIC OF THE PHILIPPINES PROVINCE OF CEBU MUNICIPALITY OF PINAMUNGAJAN Invitation to Bid for : CONSTRUCTION OF DRAINAGE &amp; PROVISION OF COVER 					(at Brgy. Pandacan) 	 1. The MUNICIPALITY OF PINAMUNGAJAN, through the GENERAL FUND  intends to apply the </t>
  </si>
  <si>
    <t xml:space="preserve"> 1.	The OCCIDENTAL MINDORO STATE COLLEGE (OMSC), through the Special Trust Fund intend to apply the sum of Two Million Three Hundred Eighty-Three Thousand Six Hundred Seventy Seven Pesos Only (Php2,383,677.00) being the Approved Budget for the Contract (AB</t>
  </si>
  <si>
    <t xml:space="preserve"> Republic of the Philippines PROVINCE OF SOUTHERN LEYTE Municipality of San Juan BIDS AND AWARD COMMITTEE INVITATION TO BID FOR  Supply and Delivery of Medicines The Municipality of San Juan through the General Fund intends to apply the sum of Six Hundred </t>
  </si>
  <si>
    <t xml:space="preserve"> Republic of the Philippines Department of Health Center for Health Development-Bicol BICOL REGION GENERAL HOSPITAL AND GERIATRIC MEDICAL CENTER                                             Cabusao, Camarines Sur INVITATION TO BID  PROCUREMENT OF DRUGS AND </t>
  </si>
  <si>
    <t xml:space="preserve"> INVITATION TO BID 1.	The Cabagan Water District (CWD) has an approved Program of Work amounting to P 3,904,104.00 from the CWD Corporate Operating Budget Approved by the Board of Directors for the Drilling of Two(2) Production Wells. 2.	The CABAGAN WATER </t>
  </si>
  <si>
    <t xml:space="preserve"> Item No.	Item Description	Quantity	Unit PROJECT BILLBOARD ITEM B.5:	Project Billboard / Signboard	        1.00 	pc Occupational Safety and Health Program ITEM B.7:	Occupational Safety and Health Program	        1.00 	L.S. INTAKE TANK (1.0m x 1.0m x 1.0 m </t>
  </si>
  <si>
    <t xml:space="preserve"> ITEM NO.	DESCRIPTION	QUANTITY	UNIT 			  PROJECT BILLBOARD   ITEM B.5:	Project Billboard / Signboard	          1.00 	pc Occupational Safety and Health Program ITEM B.7:	Occupational Safety and Health Program	          1.00 	L.S. Check Dam A (Rubble Masonry</t>
  </si>
  <si>
    <t xml:space="preserve"> ITEM NO.	DESCRIPTION	QUANTITY	UNIT 			 PROJECT BILLBOARD  ITEM B.5:	Project Billboard / Signboard	          1.00 	pc Occupational Safety and Health Program ITEM B.7:	Occupational 	          1.00 	L.S. Check Dam A (Rubble Masonry) ITEM 100 (1):	Clearing an</t>
  </si>
  <si>
    <t xml:space="preserve"> REPUBLIC OF THE PHILIPPINES PROVINCE OF CEBU MUNICIPALITY OF PINAMUNGAJAN Invitation to Bid for : BARANGAY  ROAD CONCRETING AT GUIMBAWIAN 						 1. The MUNICIPALITY OF PINAMUNGAJAN, through the GENERAL FUND  intends to apply the sum of ONE MILLION FIVE  H</t>
  </si>
  <si>
    <t xml:space="preserve"> VEHICLE REPAIR</t>
  </si>
  <si>
    <t xml:space="preserve"> Supply, Delivery and Installation of Digital X-Ray Machine for Community Hospital</t>
  </si>
  <si>
    <t xml:space="preserve"> Supply and Delivery of Medical and Laboratory Supplies for Community Hospital- GAD 2020</t>
  </si>
  <si>
    <t xml:space="preserve"> INVITATION TO BID FOR THE SUPPLY, DELIVERY, INSTALLATION AND COMMISSIONING OF ONE (1) UNIT FULLY AUTOMATED SYSTEM FOR COAGULATION 1.	The Eversley Childs Sanitarium and General Hospital, through HFEP 2020 GAA, intends to apply the sum of Seven Million Five</t>
  </si>
  <si>
    <t xml:space="preserve"> Concreting of Alley Road</t>
  </si>
  <si>
    <t xml:space="preserve"> Supply and Delivery of Medical and Laboratory Supplies for Community Hospital- GF 2020</t>
  </si>
  <si>
    <t xml:space="preserve"> The Works consist of 1. Project Billboard 2. Excavation 3. Concrete Line Canal 4. Grouted Riprap</t>
  </si>
  <si>
    <t xml:space="preserve"> Concreting of Alley RoadC</t>
  </si>
  <si>
    <t xml:space="preserve"> The DPWH, Negros Occidental 3rd District Engineering Office, Kabankalan City, Negros Occidental, through its Bids and Awards Committee (BAC), invites contractors to submit bids for the following contract: 1. Contract ID		:	20GM0079 Contract Name	:	Concret</t>
  </si>
  <si>
    <t xml:space="preserve"> The DPWH, Negros Occidental 3rd District Engineering Office, Kabankalan City, Negros Occidental, through its Bids and Awards Committee (BAC), invites contractors to submit bids for the following contract: 1. Contract ID		:	20GM0078 Contract Name	:	Concret</t>
  </si>
  <si>
    <t xml:space="preserve"> INVITATION TO BID The MUNICIPALITY OF BANI, through its Bids and Awards Committee (BAC), invites suppliers/contractors to bid for the following: Name of Project	:Procurement of Farm Equipment	 Project Location	:Bani, Pangasinan Project Description :	100 u</t>
  </si>
  <si>
    <t xml:space="preserve"> REPUBLIKA NG PILIPINAS KALAKHANG MAYNILA LUNGSOD NG NAVOTAS Pamahaalaang Barangay ng Navotas West H. MONROY ST. NAVOTAS WEST, NAVOTAS CITY Invitation to Bid UPGRADING OF ALLEY WITH IMPROVEMENT OF DRAINAGE CANAL  Int. Davila St. (Near Echol) Brgy. Navotas </t>
  </si>
  <si>
    <t xml:space="preserve"> ITEM NO.	ITEM DESCRIPTION	QUANTITY	UNIT PROJECT BILLBOARD			 ITEM B.5:	Project Billboard / Signboard	1.00	pc Occupational Safety and Health Program ITEM B.7:	Occupational Safety and Health Program	1.00	L.S. Check Dam A (Rubble Masonry)		 ITEM 100 (1):	Cle</t>
  </si>
  <si>
    <t xml:space="preserve"> The DPWH, Negros Occidental 3rd District Engineering Office, Kabankalan City, Negros Occidental, through its Bids and Awards Committee (BAC), invites contractors to submit bids for the following contract: 1. Contract ID		:	20GM0077 Contract Name	:	Concret</t>
  </si>
  <si>
    <t xml:space="preserve"> Opening of Farm to Market Road Barangay Rizal, Santa, Ilocos Sur</t>
  </si>
  <si>
    <t xml:space="preserve"> The DPWH, Negros Occidental 3rd District Engineering Office, Kabankalan City, Negros Occidental, through its Bids and Awards Committee (BAC), invites contractors to submit bids for the following contract: 1. Contract ID		:	20GM0073 Contract Name	:	Concret</t>
  </si>
  <si>
    <t xml:space="preserve"> INVITATION TO BID FOR  “Supply and Delivery of Five (5) sets High Availability Firewall Appliance (2 paired units)” 1.	The Philippine Institute of Volcanology and Seismology, through the GAA 2020 intends to apply the sum of One Million Seven Hundred Fifty</t>
  </si>
  <si>
    <t xml:space="preserve"> Republic of the Philippines Province of Oriental Mindoro MUNICIPALITY OF NAUJAN 	 BIDS &amp; AWARDS COMMITTEE INVITATION TO BID CONCRETING OF ROADS IN DIFFERENT BARANGAYS, NAUJAN, ORIENTAL MINDORO 1.	The Municipal Government of Naujan – Bids and Awards Commit</t>
  </si>
  <si>
    <t xml:space="preserve"> Contract ID: 20PF0066 Contract Name: Repair and Maintenance of Road Safety Facilities Brief Description: Traffic Engineering and Management System Approved Budget for the Contract (ABC): PhP 4,971,000.00 Source of Funds: FY 2020 GAA AMWP Contract Duration</t>
  </si>
  <si>
    <t xml:space="preserve"> Republic of the Philippines Province of Misamis Oriental Municipality of Initao Invitation to Bid  CONCRETING OF FARM-TO-MARKET ROAD (TUBIGAN) 1.	The Municipal Government of Initao, Misamis Oriental, through its General Fund 2019, intends to apply the sum</t>
  </si>
  <si>
    <t xml:space="preserve"> Hauling Vehicle Air-conditioning System,Dual Sun Visor, Power Window,Adjustable Seats Engine Type: Four Cylinder,In-line, Water  Cooling,Gasoline Engine - Euro 4 Displacement 1,498cc/ 1.5L Fuel Tank Capacity : 50 Liters Transmission Gear / Drive Train 5-S</t>
  </si>
  <si>
    <t xml:space="preserve"> The Municipality of Bay, through the GOP – 20% Economic Development Fund (EDF) intends to apply the sum of Two Million Two Hundred Thirty Six Eight Hundred Eighty Two Pesos and Sixty Centavos (PHP 2,236,882.62) being the Approved Budget for the Contract (</t>
  </si>
  <si>
    <t xml:space="preserve"> Improvement/ Rehabilitation of Public Market Santa, Ilocos Sur</t>
  </si>
  <si>
    <t xml:space="preserve"> Republic of the Philippines Province of Sorsogon                                            Municipality of Irosin                                        BIDS &amp; AWARDS COMMITTEE CONSTRUCTION OF SLOPE PROTECTION-SAN JULIAN  TABLE OF CONTENTS SECTION I. INV</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</si>
  <si>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</si>
  <si>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The Works consist of 1. Project Billboard 2. Manual Excavation and Backfilling 3. Installation of light post Lot 1. Installation of Street Lighting at Barangay Son-ok II, Pintuyan, Southern Leyte (Php200,000.00) Lot 2. Installation of Street Lighting at P</t>
  </si>
  <si>
    <t xml:space="preserve"> INVITATION TO BID CATERING SERVICES FOR HEALTH EMERGENCY MONITORING 1.	The Local Government Unit of Cabadbaran City through the PEACE &amp; ORDER FUND intends to apply the sum of ONE HUNDRED NINETY-EIGHT THOUSAND THREE HUNDRED PESOS ONLY (P 198,360.00) being </t>
  </si>
  <si>
    <t xml:space="preserve"> 1.	The OCCIDENTAL MINDORO STATE COLLEGE (OMSC), through the Special Trust Fund intend to apply the sum of Three Million One Hundred Fifty-Three Thousand Nine Hundred Thirty Two Pesos Only (Php3,153,932.00) being the Approved Budget for the Contract (ABC) </t>
  </si>
  <si>
    <t xml:space="preserve"> Supply and Delivery of Medical, Dental and Laboratory Supplies for City Health Office</t>
  </si>
  <si>
    <t xml:space="preserve"> Republic of the Philippines PROVINCE OF CAMARINES SUR BIDS AND AWARDS COMMITTEE 									    	                      ITB No.032-06-2020 INVITATION TO BID 	The Provincial Government of Camarines Sur (PGCS) through its Bids and Awards Committee (BAC) invites</t>
  </si>
  <si>
    <t xml:space="preserve"> Construction of Line Canal Mabilbila, Santa, Ilocos Su</t>
  </si>
  <si>
    <t xml:space="preserve"> The DPWH, Negros Occidental 3rd District Engineering Office, Kabankalan City, Negros Occidental, through its Bids and Awards Committee (BAC), invites contractors to submit bids for the following contract: 1. Contract ID		:	20GM0076 Contract Name	:	Concret</t>
  </si>
  <si>
    <t xml:space="preserve"> PLEASE SEE ATTACHED BIDDING DOCUMENTS</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</si>
  <si>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</si>
  <si>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Republic of the Philippines Province of Agusan del Norte  CITY OF CABADBARAN     BIDS AND AWARDS COMMITTEE                	 BIDS AND AWARDS COMMITTEE INVITATION TO BID CONSTRUCTION OF DAY CARE CENTER AT BARANGAY SITE (PERPETUAL SUCCOR) 1.	The Local Govern</t>
  </si>
  <si>
    <t xml:space="preserve"> Construction Projects-Concreting of Access Road to Evacuation Center Phase 1, Brgy. Awasian, Tandag City</t>
  </si>
  <si>
    <t xml:space="preserve"> Supply &amp; Delivery of Vegetable Seeds for the Community Based Vegetable Gardening of the Municipal Agriculturist's Office, Municipality of  Bongabong, Oriental Mindoro.</t>
  </si>
  <si>
    <t xml:space="preserve"> Stock	ITEM DESCRIPTION	QTY	UNIT No.			 1	HOUSEHOLD-LEVEL DATA MANAGEMENT SYSTEM	1	system 	Project Components and Detailed Requirements:		 	1. Cloud Service		 	- Highly secured infrastructure, at least Level 1 PCI DSS		 	- SSL compliant for data encryption</t>
  </si>
  <si>
    <t xml:space="preserve"> The DPWH, Negros Occidental 3rd District Engineering Office, Kabankalan City, Negros Occidental, through its Bids and Awards Committee (BAC), invites contractors to submit bids for the following contract: 1. Contract ID		:	20GM0075 Contract Name	:	Concret</t>
  </si>
  <si>
    <t xml:space="preserve"> Supply of labor, materials and rental of equipment</t>
  </si>
  <si>
    <t xml:space="preserve"> Acquisition of multifilament net &amp; accessories for Agriculture Office Items: 1.  18 bundles - Multifilament net 210/2x25kx200md 2.  6 rolls        - P.e. Rope (3 mm) 3.  6 kls.         - lead sinker no. 2 4.  2 packs      - rubber floats 5.  18 spool     </t>
  </si>
  <si>
    <t xml:space="preserve"> Supply &amp; Delivery of 1 Unit of Payloader for the MENRO, Municipality of Bongabong, Oriental Mindoro</t>
  </si>
  <si>
    <t xml:space="preserve"> Invitation to Bid CONSTRUCTION OF GUITABAYAG BRIDGE (Gomez to Nagbukel) Solicitation No. Infra-2020-06 The Municipality of San Isidro, Isabela, through the Trust Fund for FY 2020, intends to apply the sum of Four Million Nine Hundred Forty-Five Thousand T</t>
  </si>
  <si>
    <t xml:space="preserve"> The DPWH, Negros Occidental 3rd District Engineering Office, Kabankalan City, Negros Occidental, through its Bids and Awards Committee (BAC), invites contractors to submit bids for the following contract: 1. Contract ID		:	20GM0074 Contract Name	:	Concret</t>
  </si>
  <si>
    <t xml:space="preserve"> Concreting/Improvement of Roxas Barangay Road Municipality of Mainit, Surigao del Norte Brief Description:	The project will involve the Concreting/Improvement of Roxas Barangay Road with the following scope of works: General Requirements, Clearing, Surplu</t>
  </si>
  <si>
    <t xml:space="preserve"> PROCUREMENT OF 1,225 HEADS OF LIVE NATIVE CHICKEN (HEN) &amp; 245 HEADS OF LIVE COCKEREL (MALE CHICKEN)</t>
  </si>
  <si>
    <t xml:space="preserve"> PROCUREMENT OF 205 HEADS OF LIVE DOE &amp; 7 HEADS OF LIVE BUCK</t>
  </si>
  <si>
    <t xml:space="preserve"> MAINTENANCE OF CORE LOCAL ROADS AT ATOK CIS SERVICE ROAD ATOK, FLORA, APAYAO</t>
  </si>
  <si>
    <t xml:space="preserve"> Provision of 1 Unit Four Wheeled Farm Tractor for the Municipal Agriculturist Office, Municipality of Bongabong, Oriental Mindoro.</t>
  </si>
  <si>
    <t xml:space="preserve"> FUND SOURCE: 20% PDF 2020 TYPES OF WORK TO BE DONE: Project billboard/ signboard/ occupational safety and health program/ clearing and grubbing/ reinforcing steel bar/ structural concrete class A (minor structure)/ structure excavation (unclassified)/ 65m</t>
  </si>
  <si>
    <t xml:space="preserve"> 20 W Solar Panel 5w LED Buld 10A Solar Charge Controller, Weatherproof, Dush Till Dawn 16ah Solar Battery  2"Post with Padestal 6" AMCO Globe</t>
  </si>
  <si>
    <t xml:space="preserve"> Fund Source: 20% PDF 2020 Types of Work to be Done: project billboard/ signboard/ occupational safety and health program/ removal of structures and obstruction/ structure excavation (manual excavation common soil)/ structure concrete/ structure concrete (</t>
  </si>
  <si>
    <t xml:space="preserve"> Piglets Hog Starter Hog Grower Hog Finisher Dewormer (Injectable Ivermection, 10 ml/bottle -3 ml/cycle for 2 heads (.3 bottle/cycle Vitamin B. Complaex (Injectable BEXAN SP20 ml/bottle)-8 ml/cycle for 2 heads (08 bottle/cycle)</t>
  </si>
  <si>
    <t xml:space="preserve"> PROCUREMENT OF 14 HEADS OF LIVE CARABAO/COW</t>
  </si>
  <si>
    <t xml:space="preserve"> Republic of the Philippines City Government of Cotabato BIDS AND AWARDS COMMITTEE Cotabato City INVITATION FOR NEGOTIATED PROCUREMENT Projects: 	I. Provisions of Barangay Health Station at Barangay RH-2, Cotabato City II. Provisions of Lying-Inns for Stra</t>
  </si>
  <si>
    <t xml:space="preserve"> Republic of the Philippines Province of Nueva Vizcaya Municipality of Solano -o0o- INVITATION TO BID FOR Supply &amp; Delivery of Laboratory Reagents for Hematology Analyzer   (SOLANO 056-2020) 1.	The Local Government Unit of Solano, Nueva Vizcaya through the</t>
  </si>
  <si>
    <t xml:space="preserve"> REQUEST FOR EXPRESSION OF INTEREST (REOI) Hiring of Consultancy Services (Individual Consultant) Solicitation No. SIC-95-2020-PRDP-RPCO1 EPC: Php288,000.00 1. 	The Government of the Philippines has received a loan from the World Bank towards the cost of t</t>
  </si>
  <si>
    <t xml:space="preserve"> The Works consist of 1. Project Billboard 2. Demolition and Clearing 3. Excavation 4. Installation of Pipe Culvert 5. Backfilling works 6. Masonry works 7. Concreting works</t>
  </si>
  <si>
    <t xml:space="preserve"> INVITATION TO BID FOR  “Supply and Delivery of Twenty (20) units Solar Charge Controllers/Regulators” 1.	The Philippine Institute of Volcanology and Seismology, through the GAA 2020 intends to apply the sum of Six Hundred Twenty Thousand Pesos Only (₱620,</t>
  </si>
  <si>
    <t xml:space="preserve"> INVITATION TO BID The City Government of Ozamiz, through its Bids and Awards Committee (BAC), invites contractors registered with and classified by the Philippine Contractors Accreditation Board (PCAB) to apply for eligibility and to bid for the hereunder</t>
  </si>
  <si>
    <t xml:space="preserve"> item no, unit qty description 1.   11 roll 2" diax60m PE Pipe sdr 11 2.  10 pcs 2"dia PE Pipe Connector 3.  1 pc 2" dia PE Female Connector 4.  1 pc 2" dia PE elbow 5.  25 roll tapelone tape big</t>
  </si>
  <si>
    <t xml:space="preserve"> Invitation to Bid CONSTRUCTION OF GUITABAYAG BRIDGE (Gomez to Villaflor) Solicitation No. Infra-2020-05 The Municipality of San Isidro, Isabela, through the Trust Fund for FY 2020, intends to apply the sum of Four Million Nine Hundred Forty-Seven Thousand</t>
  </si>
  <si>
    <t xml:space="preserve"> Acquisition of bills of materials for construction/fabrication of block tienda Fabrication and Installation of Block Tienda		 Rectangular Tube, 1.5mm x 2" x 3" (B.I)	343	pcs. Cement Fiber Board, 1/2" x 4' x 8' 	180	sheets Marine Plywood, 1/4" x 4' x 8'	24</t>
  </si>
  <si>
    <t xml:space="preserve"> DESCRIPTION LOCAL GOVERNMENT UNIT - MUNICIPALITY OF BACOLOR INVITATION TO APPLY FOR ELIGIBILITY AND TO BID The Local Government Unit - Municipality of Bacolor, Bacolor, Pampanga, through the Bids and Award Committee (BAC), invites contractors/suppliers to</t>
  </si>
  <si>
    <t xml:space="preserve"> INVITATION TO BID FOR CW-APAYAO-LARIP-02-2020 1.	The National Irrigation Administration – Cordillera Administrative Region (NIA-CAR), through the General Appropriations Act (GAA) 2020 intends to apply the sum Fifty Five Million One Hundred Sixty Seven Tho</t>
  </si>
  <si>
    <t xml:space="preserve"> INVITATION TO BID FOR CW-KALINGA-UCRIS-03-2020 1.	The National Irrigation Administration – Cordillera Administrative Region (NIA-CAR), through the General Appropriations Act (GAA) 2020 intends to apply the sum Sixteen Million Three Hundred  Thousand Nine </t>
  </si>
  <si>
    <t xml:space="preserve"> Contract ID: 20PK0068 Contract Name: Repair/Maintenance of DPWH Building, Adiministrative/Main Building, P-6 Bulanao, Tabuk City, Kalinga   Contract Location: P-6, Bulanao, Tabuk City, Kalinga Brief Description: Repair and Maintenance of Building Approved</t>
  </si>
  <si>
    <t xml:space="preserve"> Supply and Delivery: 37,760 Liters of Diesel</t>
  </si>
  <si>
    <t xml:space="preserve"> CONSTRUCTION OF MRF, POBLACION EAST, FLORA, APAYAO</t>
  </si>
  <si>
    <t xml:space="preserve"> REPUBLIKA NG PILIPINAS KALAKHANG MAYNILA LUNGSOD NG NAVOTAS Pamahaalaang Barangay ng Navotas West H. MONROY ST. NAVOTAS WEST, NAVOTAS CITY Invitation to Bid PROCUREMENT OF BABY KITS FOR NEW BORN BABIES. 1. The Brgy. Government of Navotas West, through the</t>
  </si>
  <si>
    <t xml:space="preserve"> SUPPLY &amp; DELIVERY OF THE FOLLOWING: Lot 1	2 Units Printer and 1 Unit Laptop/Notebook Computer for the Municipal Budget Office  Lot 2 2 Units Printer, 2 Units Desktop Computer  and 1 Unit Tablet for the (BPLO)</t>
  </si>
  <si>
    <t xml:space="preserve"> Supply &amp; Delivery of Drugs &amp; Medicines for Municipal Health Office (1st Semester), Municipality of Bongabong, Oriental Mindoro.</t>
  </si>
  <si>
    <t xml:space="preserve"> 1.	The Capiz Provincial Government, through the GOP CY-2020 intends to apply the total amount of Nine Million Eight Hundred Thousand Pesos (Php 9,800,000.00) being the Approved Budget for the Contract (ABC).  Bids received in excess of the ABC shall be au</t>
  </si>
  <si>
    <t xml:space="preserve"> REHABILITATION OF MAIN ELECTRIC LINE OF MUNICIPAL HALL BUILDING FLORA, APAYAO</t>
  </si>
  <si>
    <t xml:space="preserve"> SEE ATTACHED BIDDING DOCS, PLANS AND CHECKLIST</t>
  </si>
  <si>
    <t xml:space="preserve"> LOCAL GOVERNMENT UNIT OF NAGUILIAN, ISABELA Invitation to Bid for the COMPLETION OF NAGUILIAN COMMUNITY CENTER 1.	The Local Government Unit of Naguilian, Isabela, through the Provincial Government of Isabela  intends to apply the sum of Five Million Pesos</t>
  </si>
  <si>
    <t xml:space="preserve"> Invitation to Bid for the           REHABILITATION/ IMPROVEMENT OF ISULAN     INTEGRATED PUBLIC TERMINAL The MUNICIPALITY OF ISULAN, through the 20% Development Fund 2020  intends to apply the sum of  ONE MILLION SIX HUNDRED THIRTY-THREE THOUSAND FIVE HUN</t>
  </si>
  <si>
    <t xml:space="preserve"> Supply and Delivery of Materials (Lot #1), Good Lumber (Lot #2) Fuel (Lot #3) and Labor (Lot #4) for Proposed Road Concreting from National Highway Sta. 00+400 to Sta. 00+990m leading to Tagpirara Elementary School, Barangay Saraza, Brooke’s Point, Palawa</t>
  </si>
  <si>
    <t xml:space="preserve"> REPUBLIKA NG PILIPINAS KALAKHANG MAYNILA LUNGSOD NG NAVOTAS Pamahaalaang Barangay ng Navotas West H. MONROY ST. NAVOTAS WEST, NAVOTAS CITY Invitation to Bid PROCUREMENT OF COASTAL CLEAN UP DRIVE SUPPLIES. 1. The Brgy. Government of Navotas West, through t</t>
  </si>
  <si>
    <t xml:space="preserve"> INVITATION TO BID FOR THE PURCHASE OF TWENTY (20) UNITS BRAND NEW SINGLE MOTORCYCLE The Municipality of Isulan, through the GENERAL FUND 2020  intends to apply the sum of ONE MILLION ONE HUNDRED FORTY THOUSAND PESOS (P 1,140,000.00) being the Approved Bud</t>
  </si>
  <si>
    <t xml:space="preserve"> Supply and delivery of Materials (Lot #1), Good Lumber (Lot #2), Fuel (Lot #3) Drainage Structure (Lot #4) and Labor (Lot #5) for Proposed Road Concreting from National Highway sta. 00+350 to Sta. 00+760m leading to Kilala Elementary School, Barangay Mali</t>
  </si>
  <si>
    <t xml:space="preserve"> Republic of the Philippines MUNICIPALITY OF PANIQUI Province of Tarlac 	Solicitation No.: I-2020-014 Name of the Project      : Construction of New Public Market (Main Building 1) Location of the Project : Burgos St., Brgy. Tablang, Paniqui, Tarlac INVITA</t>
  </si>
  <si>
    <t xml:space="preserve"> REPUBLIKA NG PILIPINAS KALAKHANG MAYNILA LUNGSOD NG NAVOTAS Pamahaalaang Barangay ng Navotas West H. MONROY ST. NAVOTAS WEST, NAVOTAS CITY Invitation to Bid PROCUREMENT OF MEDICAL EQUIPMENT 1. The Brgy. Government of Navotas West, through the 2020 Annual </t>
  </si>
  <si>
    <t xml:space="preserve"> RIPRAPPING OF LESSEB BARANGAY ROAD (LAWLAWITAN SECTION) FUND SOURCE: 20% PDF 2020 TYPES OF WORK TO BE DONE: Project billboard/ signboard/ occupational safety and health program/ structure excavation (common soil)/ grouted riprap (class A) IMPROVEMENT OF B</t>
  </si>
  <si>
    <t xml:space="preserve"> Construction of Slope Protection along Magsaysay-Paco Road Municipality of Mainit, Surigao del Norte Brief Description:	The project will involve the following scope of works: Grouted Riprap, Structural Concrete, Stone Masonry and Metal Guardrails with Con</t>
  </si>
  <si>
    <t xml:space="preserve"> Construction (Completion) of Multi-Purpose Building (360.00 sq.m.) includes repainting of existing structure, replacement of stage flooring, fence (front only), repair/replacement of damage roofing and gutter, construction of stage roofing</t>
  </si>
  <si>
    <t xml:space="preserve"> Supply and Delivery of Fitting &amp; Valves (Lot #1), Fuel &amp; Diesel (Lot #2), Chlorine Granules (Lot #3) and Chlorine Test Kit (Lot #4) for the use of Brooke’s Point Water System Office, Brooke’s Point, Palawan Lot #1 Fitting &amp; Valves: 1,711,781.00 Lot #2 Fue</t>
  </si>
  <si>
    <t xml:space="preserve"> SUPPLY AND DELIVERY OF COMMERCIAL RICE FOR MAKATI CITY JAIL - Order of payment for Bid Docs will be available at GSD-Head Office @ 10th Floor Makati City Hall Bldg. 2.  Look for Mr. Reden Villanueva. - A  complete set of Bidding Documents will be availabl</t>
  </si>
  <si>
    <t xml:space="preserve"> SUPPLY AND DELIVERY OF MEALS FOR ACTIVITIES OF VARIOUS DEPARTMENTS/OFFICES OF THE CITY GOVERNMENT OF MAKATI - Order of payment for Bid Docs will be available at GSD-Head Office @ 10th Floor Makati City Hall Bldg. 2.  Look for Mr. Reden Villanueva. - A  co</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</si>
  <si>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</si>
  <si>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Construction of 1.995 lane km. concrete road</t>
  </si>
  <si>
    <t xml:space="preserve"> SUPPLY AND DELIVERY OF CRAWLER EXCAVATOR - Order of payment for Bid Docs will be available at GSD-Head Office @ 10th Floor Makati City Hall Bldg. 2.  Look for Mr. Reden Villanueva. - A  complete set of Bidding Documents will be available from day of posti</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</si>
  <si>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</si>
  <si>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REQUEST FOR QUOTATION 				 							Date:        June 1, 2020 							RFQ No.  DGPD20-002 							PR NO.      PD2002-19-037     To All Eligible Suppliers  Please quote your lowest price inclusive of VAT on the item/s listed below, subject to the Terms and Con</t>
  </si>
  <si>
    <t xml:space="preserve"> Supply And Delivery of Materials (Lot #1), Good Lumber (Lot #2), Fuel (Lot #3) Drainage Structure (Lot #4) and Labor (Lot #5) for Proposed Road Concreting from National Highway Sta. 00+015 to Sta. 00+246m leading to Maasin Nat’l. Highway, Barangay Maasin,</t>
  </si>
  <si>
    <t xml:space="preserve"> SUPPLY AND DELIVERY OF MATERIALS, TOOLS AND PPES FOR VARIOUS PROJECTS OF EEMO,DEPW AND GSD - Order of payment for Bid Docs will be available at GSD-Head Office @ 10th Floor Makati City Hall Bldg. 2.  Look for Mr. Reden Villanueva. - A  complete set of Bid</t>
  </si>
  <si>
    <t xml:space="preserve"> Pre-bid Conference @ BAC Conference Room, GSO, 1st floor, New Capitol Blg, Pigcarangan, Tubod,LDN on June 18, 2020 @ 10:00 AM Deadline for Submission of Eligibility requirements and bidding documents for bid opening (all bids must be placed in a sealed en</t>
  </si>
  <si>
    <t xml:space="preserve"> Procurement of Security Services	2 12 months contract starting	 July 2020-June 2021	 	 Includes the following:	 Compliant to Technical Specification stated on Section VII of the Bidding Document	 Compliant to requirements stated on Section VI of the Biddi</t>
  </si>
  <si>
    <t xml:space="preserve"> Supply &amp; Delivery of Construction Materials for the Improvement of School Workshop (BBCS) at BBII, Bongabong, Oriental Mindoro.</t>
  </si>
  <si>
    <t xml:space="preserve"> Department of Public Works and Highways (DPWH) Contract ID: 20G00098 Contract Name: Construction of Revetment at Sibalom Bridge (Abutment B Downstream and Upstream) Pangpang, Sibalom, Antique Location of the Contract: Sibalom, Antique --------------------</t>
  </si>
  <si>
    <t xml:space="preserve"> CONSTRUCTION OF PLAZA DRAINAGE, LESEB, BAUKO FUND SOURCE: 20% PDF 2020 TYPES OF WORK TO BE DONE: Project billboard/ signboard/ occupational safety and health program/ structure excavation/ concrete (gutter and pathway)/ metal frames and grating/ reinforci</t>
  </si>
  <si>
    <t xml:space="preserve"> Republic of the Philippines 	Province of Agusan del Sur	 MUNICIPALITY OF SAN FRANCISCO OFFICE OF THE BIDS AND AWARDS COMMITTEE (BAC) INVITATION TO BID MUNICIPAL ROAD CONCRETING ALONG LADGADAN ROAD, BARANGAY LADGADAN, SFADS The Municipal Government of San </t>
  </si>
  <si>
    <t xml:space="preserve"> Supply &amp; Delivery of Medical Supplies for Municipal Health Office (1st Semester), Municipality of Bongabong, Oriental Mindoro.</t>
  </si>
  <si>
    <t xml:space="preserve"> INVITATION TO BID 2020-GS-02 The Department of Public Works and Highways QUEZON III DISTRICT ENGINEERING OFFICE, Catanauan, Quezon, through the FY2020 EAO Fund intends to apply the amount of ₱ 1,766,064.60 being the Approved Budget for the Contract (ABC) </t>
  </si>
  <si>
    <t xml:space="preserve"> IMPROVEMENT OF SUMEY-ANG- SADSADAN ROAD, BAUKO FUND SOURCE; 20% PDF 2020 TYPES OF WORK TO BE DONE: Project billboard/ signboard/ occupational safety and health program/ structure excavation (common soil)/ aggregate base course/ PCCP/ grouted riprap (class</t>
  </si>
  <si>
    <t xml:space="preserve"> Invitation to Bid The National Housing Authority (NHA), through the Corporate Budget approved by the NHA Board for CY 2020 intends to apply the sum of the Approved Budget for the Contract (ABC) to payments for the following contract: Ref. No. 2020-S001	 P</t>
  </si>
  <si>
    <t xml:space="preserve"> Supply &amp; Delivery of Construction Materials for the Holding Pen Extension (Slaughterhouse), Bongabong, Oriental Mindoro.</t>
  </si>
  <si>
    <t xml:space="preserve"> Invitation to Bid The National Housing Authority (NHA), through the Corporate Budget approved by the NHA Board for CY 2020 intends to apply the sum of the Approved Budget for the Contract (ABC) to payments for the following contract: Ref. No. 2020-S002	 P</t>
  </si>
  <si>
    <t xml:space="preserve"> Sukol River Night Lights at Poblacion, Bongabong, Oriental Mindoro</t>
  </si>
  <si>
    <t xml:space="preserve"> SUPPLY AND DELIVERY OF FOOD SUPPLIES FOR FOOD ASSISTANCE AND NUTRI-BATA PROJECTS (2 LOTS) LOT 1: SUPPLY AND DELIVERY OF COMMERCIAL RICE LOT 2: SUPPLY AND DELIVERY OF OTHER FOOD SUPPLIES (EGGS-MONGGO) - Order of payment for Bid Docs will be available at GS</t>
  </si>
  <si>
    <t xml:space="preserve"> I.	MOB./DEMOB. II.	GENERAL REQUIREMENTS     A. Sign Board        B. Temporary Facility III.	DIVERSION WORKS IV.	CANALIZATION V.	CANAL STRUCTURES</t>
  </si>
  <si>
    <t xml:space="preserve"> 1.	The Barangay Council of Baragay Buntun, through the 20% Development Fund for Calendar Year 2020, intends to apply the sum of  One Hundred Eighty Three Thousand Five Hundred Thirty Three Pesos and Ninety Six Centavos (PhP183,533.96), being the Approved </t>
  </si>
  <si>
    <t xml:space="preserve"> Republic of the Philippines Province of Davao Oriental City of Mati BIDS &amp; AWARDS COMMITTEE INVITATION TO BID LOT Procurement of SPAREPARTS for the Use of Light and Heavy Equipment SOURCE OF FUND: 20% LGDF [8000A-300-1-07-03-010-17-12] 1.	The Provincial G</t>
  </si>
  <si>
    <t xml:space="preserve"> Republic of the Philippines 	Province of Agusan del Sur	 MUNICIPALITY OF SAN FRANCISCO OFFICE OF THE BIDS AND AWARDS COMMITTEE (BAC) INVITATION TO BID CONSTRUCTION OF SOLID WASTE SEGREGATION FACILITY AT DUMPSITE , SITIO DAMILAG, BARANGAY PISAAN, SFADS The</t>
  </si>
  <si>
    <t xml:space="preserve"> I.	GENERAL REQUIREMENTS     A. Sign Board        B. Temporary Facility II.	DIVERSION WORKS III.	CANALIZATION IV.	CANAL STRUCTURES</t>
  </si>
  <si>
    <t xml:space="preserve"> BUILDING CONSTRUCTION (SINGLE STOREY BIRTHING FACILITY)</t>
  </si>
  <si>
    <t xml:space="preserve"> Republic of the Philippines Province of Davao Oriental BIDS &amp; AWARDS COMMITTEE City of Mati INVITATION TO BID  Contract No.: CW20-19 The Provincial Government of Davao Oriental through its Bids and Awards Committee (BAC), invites licensed contractors to b</t>
  </si>
  <si>
    <t xml:space="preserve"> National Power Corporation INVITATION TO BID PUBLIC BIDDING 2020-0098 1.	The NATIONAL POWER CORPORATION (NPC), through       its        approved       Corporate Budget of CY 2020 intends to apply   the   sum   of (Please see schedule below) being the Appr</t>
  </si>
  <si>
    <t xml:space="preserve"> Republic of the Philippines 	Province of Agusan del Sur	 MUNICIPALITY OF SAN FRANCISCO OFFICE OF THE BIDS AND AWARDS COMMITTEE (BAC) INVITATION TO BID SUPPLY AND DELIVERY OF TWO (2) UNITS MOTOR VEHICLE (PATROL CAR), PNP, SFADS The Municipal Government of </t>
  </si>
  <si>
    <t xml:space="preserve"> 1.	The Barangay Council of Baragay Buntun, through the 20% Development Fund for Calendar Year 2020, intends to apply the sum of Seven Hundred Thirty Four Thousand One Hundred Thirty Six Pesos and Eighty Four Centavos (PhP 734,136.84), being the Approved B</t>
  </si>
  <si>
    <t xml:space="preserve"> REPUBLIKA NG PILIPINAS KALAKHANG MAYNILA LUNGSOD NG NAVOTAS Pamahaalaang Barangay ng Navotas West H. MONROY ST. NAVOTAS WEST, NAVOTAS CITY Invitation to Bid PROCUREMENT OF STOCK PILE 1. The Brgy. Government of Navotas West, through the 2020 Annual Budget </t>
  </si>
  <si>
    <t xml:space="preserve"> SUPPLY, DELIVERY AND INSTALLATION OF DESKTOP AND LAPTOP COMPUTERS FOR VARIOUS OFFICES/DEPARTMENTS OF CITY GOVERNMENT OF MAKATI - Order of payment for Bid Docs will be available at GSD-Head Office @ 10th Floor Makati City Hall Bldg. 2.  Look for Mr. Reden </t>
  </si>
  <si>
    <t xml:space="preserve"> SUPPLY AND DELIVERY OF STENOGRAPH MACHINES - Order of payment for Bid Docs will be available at GSD-Head Office @ 10th Floor Makati City Hall Bldg. 2.  Look for Mr. Reden Villanueva. - A  complete set of Bidding Documents will be available from day of pos</t>
  </si>
  <si>
    <t xml:space="preserve"> Construction of Concrete Road Length= 5,689.80m, Width= variable, Thickness= 0.23m, Area= 19,117.45 sq.m. (including flare) Drainage (Culvert Pipes 60" dia &amp; 36" dia) Length= 9.00 ln.m. &amp; 24.00 ln.m.</t>
  </si>
  <si>
    <t xml:space="preserve"> 16-20-0  : 4,300 bags 10-18-24 : 1,700 bags</t>
  </si>
  <si>
    <t xml:space="preserve"> The National Food Authority (NFA) Southern Tagalog Region intends to apply the sum of Ninety Three Million Nine Hundred Sixty Nine Thousand Eight Hunded Seventy Five Pesos (P93,969,875.00) inclusive of VAT from its Corporate Operating Budget as the Approv</t>
  </si>
  <si>
    <t xml:space="preserve"> The Government of the Philippines (GOP) has received a Loan from the World Bank towards the cost of Philippine Rural Development Project and intends to apply part of the proceeds of this loan to payments under the contract for the Construction of Chocolat</t>
  </si>
  <si>
    <t xml:space="preserve"> Department of Public Works and Highways (DPWH) Contract ID: 20MB0153 Contract Name:  Construction/Rehabilitation of Water Supply/Septage and Sewerage/Rain Water Collectors Contract Location: a)	Blagan Elementary School, Brgy. San Jose, General Santos City</t>
  </si>
  <si>
    <t xml:space="preserve"> ITEM NO.	DESCRIPTION	   Qty	Statement of Compliance 	Assorted Lowland  Vegetable Seeds		 1	Hybrid Ampalaya @ 50g/can	800 cans	 2	Hybrid Squash @ 50g/can	800 cans	 3	Hybrid Cucumber @ 50g/can	800 cans	 4	OP Upo @ 50g/can	750 cans	 5	Hybrid Eggplant @ 50g/c</t>
  </si>
  <si>
    <t xml:space="preserve"> ITEM NO.	DESCRIPTION	 Qty 	Statement of Compliance 	Procurement and delivery of Mungbean, Peanut and Watermelon seeds under  HVCDP 2020		 1	Mungbean	250 bags	 Bidders must state here either “Comply” or “Not Comply” against each of the individual parameter</t>
  </si>
  <si>
    <t xml:space="preserve"> Contract Period: The contract shall commence on the date stipulated in the Notice to Proceed to be issued by the Administrative Services Department (ASD), to end 31 December 2020. Please see attachment in the Associated Components for the complete set of </t>
  </si>
  <si>
    <t xml:space="preserve"> DESCRIPTION Item No.	PROCUREMENT AND DELIVERY OF VARIOUS LABORATORY SUPPLIES FOR THE 2nd  QUARTER OF CY 2020 UNDER ILD 	QTY (unit) 1	L-tryptophan, AR, 25g/bot.	2 bots. 2	Ammonium Acetate, AR, 500g/bot.	2 bots. 3	Acetonitrile, HPLC Grade, 4L/bot.	2 bots. 4</t>
  </si>
  <si>
    <t xml:space="preserve"> Construction of road</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</si>
  <si>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</si>
  <si>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The Local Government Unit of Tangcal, Lanao del Norte invites contractors to submit bids for the Rehabilitation of Box Culvert for 60 Calendar Days. NOTE: Download attached document(s) for more details</t>
  </si>
  <si>
    <t xml:space="preserve"> Item Description                     Quantity                Unit of Use Printer Multi-Function Inkjet         2                            Unit Laptop: X409UA HT731T, Core     4                            Unit i3/4GB/1TB HDD,NO OS/14"</t>
  </si>
  <si>
    <t xml:space="preserve"> Construction of Concrete Road Length= 2,882.838m, Width= variable, Thickness= 0.23m, Area= 4,800.271 sq.m. Approach Bridge: Length= 496.479m, Width= 6.7m, Thickness= 0.28m, Area= 3,326.409 sq.m.</t>
  </si>
  <si>
    <t xml:space="preserve"> I.	General Requirements     A. Sign Board        B. Temporary Facility II.	Canalization</t>
  </si>
  <si>
    <t xml:space="preserve"> Acquisition of IT Equipments for Department of Education Items: 1. 5 units Desktop Computers     Specifications:        Core i3        8GB DDR4        1 TB HDD SATA        Casing/Power Supply 650 watts        USB Keyboard &amp; Mouse        18.5 LED Monitor  </t>
  </si>
  <si>
    <t xml:space="preserve"> Completion of Multi-Purpose Building</t>
  </si>
  <si>
    <t xml:space="preserve"> SOLICITATION NO.: ITB PR NO. 0177-20BAC  INVITATION TO BID FOR THE PROCUREMENT FOR THE SUPPLY AND DELIVERY OF MYCOTOXIN SUPPLIES FOR USE IN LABORATORIES OF PLANT PRODUCT SAFETY SERVICES DIVISION (PPSSD) 1.	The Bureau of Plant Industry (BPI), through the Q</t>
  </si>
  <si>
    <t xml:space="preserve"> Concreting of Road: Width= 5m, thickness= 0.23m, total length= 1.580 Km/3.160 Lane-Km Construction of Box Culvert, Drainage and Provision of Hazard Markers and Reflectorized Pavement Markings</t>
  </si>
  <si>
    <t xml:space="preserve"> Invitation to Bid for  LOWER SIBUGUEY II RIS EXTENSION PROJECT PACKAGE 2 CY 2017 REMAINING WORKS Imelda, Zamboanga Sibugay 1.	The National Irrigation Administration – Zamboanga Sibugay Irrigation Management Office, Region 9, through the LINEPROGRAMS-EXTEN</t>
  </si>
  <si>
    <t xml:space="preserve"> Republic of the Philippines DEPARTMENT OF PUBLIC WORKS AND HIGHWAYS CAMARINES NORTE  DISTRICT ENGINEERING OFFICE REGIONAL OFFICE V Daet, Camarines Norte INVITATION TO BID (Re-Advertisement) The Department of Public Works and Highways, Camarines Norte Dist</t>
  </si>
  <si>
    <t xml:space="preserve"> The Local Government Unit of Tangcal, Lanao del Norte invites contractors to submit bids for the Rehabilitation of Road from Poblacion to Bubong for 90 Calendar Days. NOTE: Download attached document(s) for more details</t>
  </si>
  <si>
    <t xml:space="preserve"> Completion of 2 Storey MPB with Common Toilet and Pantry</t>
  </si>
  <si>
    <t xml:space="preserve"> Republic of the Philippines DEPARTMENT OF PUBLIC WORKS AND HIGHWAYS SULTAN KUDARAT 2ND DISTRICT ENGINEERING OFFICE REGION XII Lebak, Sultan Kudarat INVITATION TO BID FOR SUPPLY/DELIVERY OF THERMOPLASTIC PAINTS FOR THE REPAIR/MAINTENANCE OF NATIONAL ROAD &amp;</t>
  </si>
  <si>
    <t xml:space="preserve"> Republic of the Philippines DEPARTMENT OF PUBLIC WORKS AND HIGHWAYS SULTAN KUDARAT 2ND DISTRICT ENGINEERING OFFICE REGION XII Lebak, Sultan Kudarat INVITATION TO BID FOR SUPPLY/DELIVERY OF  ASPHALT COLD MIX FOR THE REPAIR/MAINTENANCE OF NATIONAL ROADS &amp; B</t>
  </si>
  <si>
    <t xml:space="preserve"> OFFICE OF THE BIDS AND AWARDS COMMITTEE (BAC) INVITATION TO BID FOR THE 20-05-399 Construction of Water System at Maracabac, Guiling, Alamada, Cotabato 1.	The Local Government Unit of Alamada, through the Supplemental Budget No. 1 CY 2020 CO (1-07-03-040)</t>
  </si>
  <si>
    <t xml:space="preserve"> 1.	The Municipality of Consolacion, through the General Fund intends to apply the sum of Three Hundred Twenty-One Thousand Thirty Pesos (P 321,030.00) being the Approved Budget for the Contract (ABC) to payments under the contract for Procurement of Medic</t>
  </si>
  <si>
    <t xml:space="preserve"> 1.	The Municipality of Consolacion, through the Financial Assistance from the Municipality and from the Provincial Capitol intends to apply the sum of Four Hundred Eighty Thousand Pesos (P 480,000.00) being the Approved Budget for the Contract (ABC) to pa</t>
  </si>
  <si>
    <t xml:space="preserve"> General Requirements, Occupational Safety and Health Program, Site Clearing and Layout, Excavation and Backfilling, Embankment, Reinforcing Steel (Grade 40), Structural Concrete (21Mpa), Masonry Works, Plastering Works, Stainless Railings, Roofing and roo</t>
  </si>
  <si>
    <t xml:space="preserve"> OFFICE OF THE BIDS AND AWARDS COMMITTEE (BAC) INVITATION TO BID FOR: 20-06-443 Purchase of 8 in 1 Assorted Vegetables Seeds for Sustainable Integrated Natural Garden (SUSING) Livelihood Program-Livelihood Seeds Distribution for Alamada Constituents 1.	The</t>
  </si>
  <si>
    <t xml:space="preserve"> Republic of the Philippines Province of Camarines Sur MUNICIPALITY OF MINALABAC -o0o- Invitation to Bid for PURCHASE OF 2 UNITS STAINLESS WATER LORRY TRUCK 1. LGU-Minalabac, Camarines Sur, through its 5% DRRM Fund, CY 2020 intends to apply the sum of Five</t>
  </si>
  <si>
    <t xml:space="preserve"> Section I. Invitation to Bid   INVITATION TO BID FOR  Supply and Delivery of Robotics (LSB) 1.	The Local Government Unit of Lambayong, through the SEF Expenses Fund intends to apply the sum of Two Million Five Hundred Thousand Pesos (PhP2,500,000.00) bein</t>
  </si>
  <si>
    <t xml:space="preserve"> STACK EMISSION TESTING SCOPE OF WORKS: 1. TESTING OF IN-STACK CONCENTRATIONS OF SULFUR DIOXIDE (SO2),NITROGEN DIOXIDE(NO2) AND CARBON MONOXIDE(CO)      OF 1 UNIT 270K W AND ONE (1) UNIT 250K W GEENRATOR SET FOR THREE (3) RUNS PER UNIT. 2. TESTING OF IN-ST</t>
  </si>
  <si>
    <t xml:space="preserve"> INVITATION TO BID FOR  ESTABLISHMENT OF THREE (3) UNITS OF SMALL WATER IMPOUNDING SYSTEM (SWIS) AT BRGY. SAN ROQUE, BULALACAO, ORIENTAL MINDORO 1.	The DENR PENRO – Oriental Mindoro, through the RA 11465, GAA 2020 intends to apply the sum of Three Million </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</si>
  <si>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</si>
  <si>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Republic of the Philippines PROVINCE OF PAMPANGA City of San Fernando INVITATION TO BID NO. 2020-16 IG - BAC INVITATION TO BID FOR PURCHASE REQUEST NO. 20-0554 and 20-0620 The Provincial Government of Pampanga (“Province”) intends to apply the following s</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</si>
  <si>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</si>
  <si>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</si>
  <si>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</si>
  <si>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</si>
  <si>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1.	The Department of Public Works and Highways Regional Office XI, Davao City, through its Bids and Awards Committee (BAC), invites bidders to submit bids for the Infra projects funded under GAA FY 2020, to wit: Contract ID 	:	20L00152 Contract Name/Locat</t>
  </si>
  <si>
    <t xml:space="preserve"> Republic of the Philippines Province of Sarangani Municipality of Malapatan INVITATION TO BID  	 2020-B1-04-010        PROCUREMENT OF HYBRID WHITE CORN SEEDS, MALAPATAN SARANGANI PROVINCE   1.	The Local Government Unit of Malapatan, through the GENERAL FU</t>
  </si>
  <si>
    <t xml:space="preserve"> 1.	The Department of Public Works and Highways Regional Office XI, Davao City, through its Bids and Awards Committee (BAC), invites bidders to submit bids for the Infra projects funded under GAA FY 2020, to wit: Contract ID 	:	20L00151 Contract Name/Locat</t>
  </si>
  <si>
    <t xml:space="preserve"> IA. Name of Project:   Riprapping of Sitio Sala River (Php1,500,000.00)       Location	     	:   Sitio Sala, Brgy. San Antonio, Kalayaan, Laguna       Brief Description	:   I.Temporary Facilities;                                     II. Site Preparation/E</t>
  </si>
  <si>
    <t xml:space="preserve"> Republic of the Philippines Province of Sarangani Municipality of Malapatan INVITATION TO BID  	 2020-B2-02 ESTABLISHMENT OF MULTI-COMMODITY DRYING PAVEMENT AT SITIO KITULAG, BRGY. KINAM &amp; SITIO BOLOLKALON, BRGY. LUN PADIDU, MALAPATAN SARANGANI PROVINCE  </t>
  </si>
  <si>
    <t xml:space="preserve"> 1.	The Department of Public Works and Highways Regional Office XI, Davao City, through its Bids and Awards Committee (BAC), invites bidders to submit bids for the Infra projects funded under GAA FY 2020, to wit: Contract ID 	:	20L00150 Contract Name/Locat</t>
  </si>
  <si>
    <t xml:space="preserve"> 1.	The Department of Public Works and Highways Regional Office XI, Davao City, through its Bids and Awards Committee (BAC), invites bidders to submit bids for the Infra projects funded under GAA FY 2020, to wit: Contract ID 	:	20L00028 Contract Name/Locat</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</si>
  <si>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</si>
  <si>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Republic of the Philippines City of Cagayan de Oro BIDS AND AWARDS COMMITTEE  INVITATION TO BID  FOR  Supply and Delivery of One (1) Unit Basic Life Support (BLS) Ambulance Vehicle; PR No. 20-1182 dated 24 January 2020; SN 124 - 2020 1.	The City Governmen</t>
  </si>
  <si>
    <t xml:space="preserve"> Republic of the Philippines City of Cagayan de Oro BIDS AND AWARDS COMMITTEE Invitation to Bid  for Construction and Operation of Sanitary Landfill (Pagalungan); SN 125 - 2020 ` 1.	The City Government of Cagayan de Oro, through the Current Appropriation, </t>
  </si>
  <si>
    <t xml:space="preserve"> Republic of the Philippines City of Cagayan de Oro BIDS AND AWARDS COMMITTEE  INVITATION TO BID  FOR  Supply and Delivery of Various Medical, Dental and Laboratory Supplies (Lot No. 1 and Lot No. 9); PR No. 20-0946 dated 30 March 2020; SN 96a - 2020 1.	Th</t>
  </si>
  <si>
    <t xml:space="preserve"> Republic of the Philippines Province of Sarangani Municipality of Malapatan INVITATION TO BID  	 2020-B1-04 PROCUREMENT OF MATERIALS FOR PROPOSED EXPANSION OF WATER SYSTEM AT SITIO ASPANG- MALYANG, BRGY. POBLACION, MALAPATAN, SARANGANI PROVINCE 1.	The Loc</t>
  </si>
  <si>
    <t xml:space="preserve"> HYDRAULIC OIL	 	 	 HYDRAULIC OIL HYPLUS	 HYDRAULIC OIL, TURBINE OIL T68	 	 HIGH QUALITY ANTI WEAR HYDRAULIC OIL FORTIFIES WITH AN EFFECTIVE ADDITIVE PACKAGE FOR HYDRAULIC SYSTEMS OPERATING UNDER A WIDE RANGE OF TEMPERATURE	 OPERATIONS. COMPATBLE WITH THE </t>
  </si>
  <si>
    <t xml:space="preserve"> Republic of the Philippines DEPARTMENT OF PUBLIC WORKS AND HIGHWAYS SULTAN KUDARAT 2ND DISTRICT ENGINEERING OFFICE REGION XII Lebak, Sultan Kudarat INVITATION TO BID FOR SUPPLY/DELIVERY OF  ROAD SIGN FOR THE MAINTENANCE/IMPROVEMENT OF NATIONAL ROAD, SULTA</t>
  </si>
  <si>
    <t xml:space="preserve"> Republic of the Philippines City of Cagayan de Oro BIDS AND AWARDS COMMITTEE  INVITATION TO BID  FOR  Supply and Delivery of Various Medical, Dental and Laboratory Supplies (Lot No. 1 to Lot No. 5); PR No. 20-1165 dated 06 April 2020; SN 122-2020 1.	The C</t>
  </si>
  <si>
    <t xml:space="preserve"> Republic of the Philippines City of Cagayan de Oro BIDS AND AWARDS COMMITTEE  	 INVITATION TO BID  FOR  Supply and Delivery of Circuit Breakers and Other Items; PR No. 20-1244 dated 04 May 2020; SN 121 - 2020 1.	The City Government of Cagayan de Oro, thro</t>
  </si>
  <si>
    <t xml:space="preserve"> Republic of the Philippines Province of Sarangani Municipality of Malapatan INVITATION TO BID  	 2020-B1-05-012        PROCUREMENT OF MULTI-PURPOSE VEHICLE OF MUNICIPAL MAYOR’S OFFICE, MALAPATAN SARANGANI PROVINCE   1.	The Local Government Unit of Malapat</t>
  </si>
  <si>
    <t xml:space="preserve"> 1.	The Department of Education – Division of Southern Leyte, through the General Appropriations Act (GAA) CY 2020 intends to apply the sum of One Million Seven Hundred Twenty-seven Thousand Five Hundred Twenty-two Pesos and Fifty-four Centavos Only (Php 1</t>
  </si>
  <si>
    <t xml:space="preserve"> Republic of the Philippines DEPARTMENT OF PUBLIC WORKS AND HIGHWAYS SULTAN KUDARAT 2ND DISTRICT ENGINEERING OFFICE REGION XII Lebak, Sultan Kudarat INVITATION TO BID FOR SUPPLY/DELIVERY OF ROAD SAFETY FACILITIES FOR THE MAINTENANCE/IMPROVEMENT OF NATIONAL</t>
  </si>
  <si>
    <t xml:space="preserve"> Republic of the Philippines Province of Sarangani Municipality of Malapatan INVITATION TO BID  	 2020-B1-03-007        PROCUREMENT OF ONE (1) UNIT FIRETRUCK FORWARD FTR SINGLE CAB FOR BUREAU OF FIRE PROTECTION, MALAPATAN, SARANGANI PROVINCE 1.	The Local G</t>
  </si>
  <si>
    <t xml:space="preserve"> Republic of the Philippines Province of Sarangani Municipality of Malapatan INVITATION TO BID  	 2020-B1-03-009 PROCUREMENT OF RESCUE/ EXTRICATION EQUIPMENT OF MDRRMO, MALAPATAN, SARANGANI PROVINCE 1.	The Local Government Unit of Malapatan, through the MD</t>
  </si>
  <si>
    <t xml:space="preserve"> All items and descriptions are specified in the attached PR and RFQ, and posted in the associated component of ITB in the PhilGEPS Website.</t>
  </si>
  <si>
    <t xml:space="preserve"> Republic of the Philippines Province of Sarangani Municipality of Malapatan INVITATION TO BID  	 2020-B1-04-011        PROCUREMENT OF UREA AND TRIPLE 14 (14-14-14) FERTILIZERS, MALAPATAN SARANGANI PROVINCE   1.	The Local Government Unit of Malapatan, thro</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</si>
  <si>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</si>
  <si>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PROVINCIAL GOVERNMENT OF ISABELA Invitation to Bid for  Construction  of Rattan Processing Center Facility, Phase 1, Cabisera 10, City of Ilagan, Isabela  1.	The Provincial Government of Isabela, through the 2019-Re-programming intends to apply the sum of</t>
  </si>
  <si>
    <t xml:space="preserve"> PROCUREMENT OF LABOR AND MATERIALS FOR INSTALLATION AND REHABILITATION OF TRANSMISSION AND DISTRIBUTION LINES IN VARIOUS LOCATIONS (4 LOTS) ***Kindly see attached Bidding Documents and Bill of Quantities for the Technical Specifications and Conditions of </t>
  </si>
  <si>
    <t xml:space="preserve"> 1.   2  - units  - Slightly Used 4x2 Toyota Hi-Lux               - 1,500,000.00                         Model: 2017 0r 2018</t>
  </si>
  <si>
    <t xml:space="preserve"> Republic of the Philippines Province of zamboanga Sibugay Municipality of Olutanga 7014 JUNE 3, 2020 NOTICE TO THE PUBLIC INVITIATION TO APPLY FOR ELIGIBILITY AND TO BID All interested bidders are invited to Pre-qualify and participate in sealed bidding f</t>
  </si>
  <si>
    <t xml:space="preserve"> PB NO. 2020-030		 			 1.	1	lot	Proposed Asphalt overlay at Brgy. San Juan, San Pablo City. 			By: Contract 			 	Deadline for Submission of Bids: June 25, 2020 1:00 pm</t>
  </si>
  <si>
    <t xml:space="preserve"> PROVINCIAL GOVERNMENT OF ISABELA Invitation to Bid for  Construction  of Slope Protection at KM 8+945 to KM 8+969, Ilagan &amp; Divilacan, Isabela  1.	The Provincial Government of Isabela, through the EDF-AB-2020 intends to apply the sum of Four Million Nine </t>
  </si>
  <si>
    <t xml:space="preserve"> Republic of the Philippines PROVINCE OF PAMPANGA City of San Fernando INVITATION TO BID NO. 2020-16 IG-BAC INVITATION TO BID FOR PURCHASE REQUEST NO. 20-1204, 20-0842, 20-0910, 20-0906, 20-0905 and 20-0904 The Provincial Government of Pampanga (“Province”</t>
  </si>
  <si>
    <t xml:space="preserve"> Republic of the Philippines Province of Surigao del Sur Municipality of Tago Barangay Umbay ---ooo0ooo--- Invitation to Bid Purchase of Various Construction Materials Project ID No. UMB-TAG-SDS-01-2020 The Local Government Unit of Brgy. Umbay, Tago, Surig</t>
  </si>
  <si>
    <t xml:space="preserve"> The ZAMBOANGA CITY STATE POLYTECHNIC COLLEGE through its Bids and Awards Committee (BAC) is inviting PHILGEPS registered suppliers to apply for eligibility and to submit bids for the items listed below: 1.	Cement, Portland, 40kgs./bag (1800 bags) 2.	Sand,</t>
  </si>
  <si>
    <t xml:space="preserve"> Republic of the Philippines Province of Ilocos Norte Municipality of Paoay BIDS AND AWARDS COMMITTEE INVITATION TO BID 2020-013 Invitation to Bid for the Purchase of commonly used drugs and medicines to be use at the Rural Health Unit 1.	The Municipal Gov</t>
  </si>
  <si>
    <t xml:space="preserve"> PROVINCIAL GOVERNMENT OF ISABELA Invitation to Bid for  Construction  of Nanaguan Bridge, Brgy. Nanaguan, City of Ilagan, Isabela  1.	The Provincial Government of Isabela, through the EDF-2019 Re-programing intends to apply the sum of Five Million Eight H</t>
  </si>
  <si>
    <t xml:space="preserve"> LABOR AND MATERIALS FOR THE EVACUATION CENTER AND DISASTER RISK REDUCTION-RELATED EQUIPMENT AT POBLACION,BADIAN,CEBU FOR DETAILS PLS. CONTACT: MA.LUISA L. QUILESTINO BAC SECRETARIAT TEL.NO.(032) 475-9118</t>
  </si>
  <si>
    <t xml:space="preserve"> 1.	The Department of Public Works and Highways Regional Office XI, Davao City, through its Bids and Awards Committee (BAC), invites bidders to submit bids for the Infra projects funded under GAA FY 2020, to wit: Contract ID 	:	20L00154 Contract Name/Locat</t>
  </si>
  <si>
    <t xml:space="preserve"> I.Site Preparation/Removal and Disposal of PCCP; II. Aggregate Base Course (0.10m thk);  III.Portland Cement Concrete Pavement (0.15m thk)</t>
  </si>
  <si>
    <t xml:space="preserve"> PROVINCIAL GOVERNMENT OF ISABELA Invitation to Bid for  Construction  of Slope Protection at KM 10+860 to KM 10+990, Ilagan &amp; Divilacan, Isabela  1.	The Provincial Government of Isabela, through the EDF-AB-2020 intends to apply the sum of Nine Hundred Fiv</t>
  </si>
  <si>
    <t xml:space="preserve"> Republic of the Philippines Province of Ilocos Norte Municipality of Paoay BIDS AND AWARDS COMMITTEE INVITATION TO BID 2020-012 Invitation to Bid for the Purchase of commonly used medical, dental and laboratory supplies to be use at the Rural Health Unit </t>
  </si>
  <si>
    <t xml:space="preserve"> Installation of Gabions and mattresses</t>
  </si>
  <si>
    <t xml:space="preserve"> 1	LOT	Lecture Rooms Equipment (see attached bidding form for items included in the lot) 1	LOT	Agricultural and Biosystems Engineering Processing Equipment and Instruments (see attached bidding form for items included in the lot) 1	LOT	Agricultural and Bio</t>
  </si>
  <si>
    <t xml:space="preserve"> 1.	  12	-box	- 2.0mm2 THHN/TWHN-2 copper lead free Wire (150m/box, black color)	  - 3,500.00 2.	 4	-box	- 2.0mm2THHN/TWHN-2 copper Lead free Wire (150m/box, blue/white color)- 3,500.00 3.	 4	-box	- 2.0mm2THHN/TWHN-2 copper lead free Wire (150m/box,green/y</t>
  </si>
  <si>
    <t xml:space="preserve"> Completion of Multi-Purpose Building (Stage) with reinforced concrete, cement plaster finish, finishing hardware, painting masonry, structural steel (roofing), and electrical works.</t>
  </si>
  <si>
    <t xml:space="preserve"> Republic of the Philippines PROVINCE OF QUIRINO Cabarroguis -oOo- BIDS AND AWARDS COMMITTEE INVITATION TO BID FOR  Improvement of Processing Center of Quirino Coffee Enterprise Contract No. PB-CW-2020-020 							June 4, 2020 1.	The Bids and Awards Committ</t>
  </si>
  <si>
    <t xml:space="preserve"> Republic of the Philippines PROVINCE OF QUIRINO Cabarroguis -oOo- BIDS AND AWARDS COMMITTEE INVITATION TO BID FOR  Improvement of Processing Center of Quirino Banana Enterprise Contract No. PB-CW-2020-019 							June 4, 2020 1.	The Bids and Awards Committ</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</si>
  <si>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</si>
  <si>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</si>
  <si>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Asphalt Overlay (width = 13.40m., thk. = 50mm) Application of Reflectorized Thermoplastic Pavement Markings Installation of Pavement Stud Markers</t>
  </si>
  <si>
    <t xml:space="preserve"> DESCRIPTION: Republic of the Philippines Province of Cebu MUNICIPALITY OF MEDELLIN  DRAFT TERMS OF REFERENCE (TOR) FOR THE PROPOSED CONSULTANCY SERVICES FOR CLUP &amp; CDP FORMULATION   I.	RATIONALE/BACKGROUND Medellin is a 2nd class municipality in the Provi</t>
  </si>
  <si>
    <t xml:space="preserve"> Consultancy Services for the Geotechnical Investigation for the Construction of Multi-Purpose Building</t>
  </si>
  <si>
    <t xml:space="preserve"> I N V I T A T I O N  T O  B I D The Manila International Airport Authority, through its Bids and Awards Committee (BAC), invites interested parties to apply for eligibility and to bid for the hereunder service contract: 	 Name of Contract       :  	Replac</t>
  </si>
  <si>
    <t xml:space="preserve"> Republic of the Philippines Province of South Cotabato BIDS AND AWARDS COMMITTEE Salada Street, Poblacion Tupi, South Cotabato Tel. Fax No.: (083) 226-1045 INVITATION TO BID FOR THE SUPPLY AND DELIVERY OF ONE (1) UNIT AMBULANCE WITH COMPLETE ACCESSORIES (</t>
  </si>
  <si>
    <t xml:space="preserve"> BOHOL ISLAND STATE UNIVERSITY Main Campus, Tagbilaran City INVITATION TO BID FOR PR NO. 2020-02-0267-MAIN-SUPPLY AND DELIVERY OF COSMETOLOGY EQUIPMENT FOR THE COSMETOLOGY TECHNOLOGY LABORATORY OF CTAS 1.	The Bohol Island State University – Main Campus, Ta</t>
  </si>
  <si>
    <t xml:space="preserve"> 2nd INVITATION TO APPLY FOR ELIGIBILITY AND TO BID (IAEB)   The Municipality of Molave, Zamboanga del Sur, through its Bids and Awards Committee, invites suppliers/distributors to apply for eligibility and to bid for the rebidding of the hereunder project</t>
  </si>
  <si>
    <t xml:space="preserve"> Republic of the Philippines Cordillera Administrative Region Provincial Local Government Unit of Ifugao BIDS AND AWARDS COMMITTEE 2nd Floor COA Bldg., Capitol Compound Lagawe, Ifugao Email Ad.: bacgoodsifugao13@gmail.com INVITATION TO BID COMMON OFFICE SU</t>
  </si>
  <si>
    <t xml:space="preserve"> PROCUREMENT OF SERVICES FOR THE ONE (1) LOT – EVENT ORGANIZING</t>
  </si>
  <si>
    <t xml:space="preserve"> Procurement of Construction Materials for the Fabrication of Cadaver Niches Php 329,475.00</t>
  </si>
  <si>
    <t xml:space="preserve"> VARIOUS MEDICINES AND LABORATORY SUPPLIES</t>
  </si>
  <si>
    <t xml:space="preserve"> Contract ID		:	20GM0072 Contract Name	:	Concreting of Sitio Banman, Brgy. Locotan FMR, Brgy. Locotan, Kabankalan City, Negros Occidental Location of the Contract:    	Brgy. Locotan, Kabankalan City, Negros Occidental ______________________________________</t>
  </si>
  <si>
    <t xml:space="preserve"> Republic of the Philippines Province of Bataan MUNICIPALITY OF ORION Bids and Awards Committee 20ITB-INF-02-00032 Invitation to Bid for Labor and Materials for the Perimeter Fence of the New Rural Health Unit at Sitio Pag-asa, Brgy. Wawa, Orion, Bataan 1.</t>
  </si>
  <si>
    <t xml:space="preserve"> 16-20-0	2,650	bags 		 Insecticides (100ml)	1,500	bottles 		 Fungicides (500 g)	943	packs</t>
  </si>
  <si>
    <t xml:space="preserve"> Contract ID: 20GKK0025 Contract Name: Supply, Delivery and Installation of Regulatory Signs along GCVR Contract Location: DPWH-MOFDEO, Gingoog City Brief Description of Goods to be procured: Fabrication and Installation of Regulatory Signs Approved Budget</t>
  </si>
  <si>
    <t xml:space="preserve"> Concreting of road with a total length of 100 linear meters, width of 4 meters wide and a thickness of 0.20 meter thick. with shouldering at 0.50-meter-wide at both sides.</t>
  </si>
  <si>
    <t xml:space="preserve"> Please see attached bid Documents</t>
  </si>
  <si>
    <t xml:space="preserve"> Republic of the Philippines DEPARTMENT OF AGRICULTURE Regional Field Office IX Zamboanga Peninsula 		 INVITATION TO BID  ITB NO. 05-0013-20 SUPPLY AND DELIVERY OF HAULING TRUCK LOT 1: TWO (2) UNITS HAULING TRUCK (ALUMINUM VAN TYPE) LOT 2: ONE (1) UNIT HAU</t>
  </si>
  <si>
    <t xml:space="preserve"> Contract ID: 20GKK0026 Contract Name: Supply, Delivery and Replacement/Installation of Pavement Studs Contract Location: DPWH-MOFDEO, Gingoog City Brief Description of Goods to be procured: 360º Reflective Cat’s Eye Highway Glass Road Stud Approved Budget</t>
  </si>
  <si>
    <t xml:space="preserve"> ITB No. 2020-07 (SHORT OF AWARD) 1.	The SUGAR REGULATORY ADMINISTRATION, through the SRA Corporate Operating Budget 2020 intends to apply the sum of Thirteen Million Nine Hundred Thousand Pesos (₱13,900,000.00) being the total Approved Budget for the Cont</t>
  </si>
  <si>
    <t xml:space="preserve"> Soil Investigation</t>
  </si>
  <si>
    <t xml:space="preserve"> INVITATION TO APPLY FOR ELIGIBILITY AND TO BID (IAEB)   The Municipality of Molave, Zamboanga del Sur, through its Bids and Awards Committee, invites suppliers/distributors to apply for eligibility and to bid for the rebidding of the hereunder project:   </t>
  </si>
  <si>
    <t xml:space="preserve"> Republika ng Pilipinas PAMAHALAANG LUNGSOD NG TACLOBAN (City Government of Tacloban) Kanhuraw Hill, Tacloban City 6500 BIDS AND AWARDS COMMITTEE INVITATION TO BID  REF #039-06-2020 (JUNE 04, 2020) PR# 2020-634 DATED 05-26-2020 PR# 2020-635 DATED 05-26-202</t>
  </si>
  <si>
    <t xml:space="preserve"> INVITATION TO APPLY FOR ELIGIBILITY AND TO BID The local Government Unit of Taft, through is Bid and Awards Committee (BAC). Invites suppliers to apply for eligibility, to bid for the hereunder contract: Name of Contract: Proposed Land Development of Ceme</t>
  </si>
  <si>
    <t xml:space="preserve"> INVITATION TO BID FOR THE  PROCUREMENT OF VEHICLES TO BE USED FOR MITIGATION, PREPAREDNESS, RESCUE, AND EMERGENCY RESPONSE OPERATIONS – BDRRMO 1.	The City Government of Bacoor, Cavite, through the General Fund Year 2020 intends to apply the sum of NINE MI</t>
  </si>
  <si>
    <t xml:space="preserve"> Republic of the Philippines Province of Sarangani Municipality of Malapatan INVITATION TO BID  	 2020-B2-05-013 CONSTRUCTION OF MNHS SITE-B DRAINAGE SYSTEM AT MNHS SITE-B SCHOOL SITE, BRGY. POBLACION, MALAPATAN SARANGANI PROVINCE  1.	The Local Government </t>
  </si>
  <si>
    <t xml:space="preserve"> 1 Phase line extension &amp; upgrading intended for power supply of water pump.</t>
  </si>
  <si>
    <t xml:space="preserve"> INVITATION TO BID IB-2020-080-INFRA  Proposed Rehabilitation &amp; Expansion of Equipment Workshop at Napindan Equipment Yard (Phase II) Napindan Hydraulic Control Structure Compound, J.P. Rizal St., Brgy. East Rembo, Makati City 1.	The Metropolitan Manila De</t>
  </si>
  <si>
    <t xml:space="preserve"> Kindly refer to the attached Bidding Documents. Thank you.</t>
  </si>
  <si>
    <t xml:space="preserve"> Consultancy Services for the Geotechnical Investigation for Bridge &amp; Flood Control Projects</t>
  </si>
  <si>
    <t xml:space="preserve"> Contract ID: 20GKK0024 Contract Name: Supply and Delivery of Consumable Supplies to be used for Kyocera Printers at BAC, Supply, Cash Unit, Construction, PDS and Maintenance Section Contract Location: DPWH-MOFDEO, Gingoog City Brief Description of Goods t</t>
  </si>
  <si>
    <t xml:space="preserve"> Renovation of MDRRMO Building</t>
  </si>
  <si>
    <t xml:space="preserve"> Name of Contract: Construction of Seawall, Barangay 4 IAC Classification: Small "B" for Flood Control PCAB Category "D" Duration: 90 C.D. Approved Budget for the Contract: Php 2,000,000.00 xxxxxxx</t>
  </si>
  <si>
    <t xml:space="preserve"> INVITATION TO BID IB-2020-081-INFRA  Improvement/Desilting of EDSA - Lumbang Drainage Main, District I, Makati City 1.	The Metropolitan Manila Development Authority, through the 2020 General Appropriations Act (GAA) intends to apply the sum of Four Millio</t>
  </si>
  <si>
    <t xml:space="preserve"> Fabrication of rebar sand ceiling works, installation of roofing and fascia board and gutter, installation of electrical works, installation of tiles and doors.</t>
  </si>
  <si>
    <t xml:space="preserve"> Public Bidding of Office Equipment</t>
  </si>
  <si>
    <t xml:space="preserve"> Public Bidding of Disinfection Machine</t>
  </si>
  <si>
    <t xml:space="preserve"> Name of Contract: Construction of Flood Protection and Control Project (Phase IV) for Tanjay River IAC Classification: Small "B" for Flood Control PCAB Category "D" Duration: 270 Calendar Days Approved Budget for the Contract: Php 10,000,000.00 xxxxxxxx</t>
  </si>
  <si>
    <t xml:space="preserve"> Construction of pedestal/B. I Poles/Excavation and Backfilling/Installation of LED LIGHTS/ Testing</t>
  </si>
  <si>
    <t xml:space="preserve"> Public Bidding of Category Laboratory Equipment</t>
  </si>
  <si>
    <t xml:space="preserve"> Construction of pedestal/B.I Poles/ Excavation and Back filling/Installation of LED LIGHTS/Testing</t>
  </si>
  <si>
    <t xml:space="preserve"> Contract ID: 20GKK0031 Contract Name: Supply and Delivery of Nylon to be used for Vegetation Control along BCIR and GCVR Section Contract Location: DPWH-MOFDEO, Gingoog City Brief Description of Goods to be procured: Nylon #300 Approved Budget for the Con</t>
  </si>
  <si>
    <t xml:space="preserve"> Contract ID: 20GKK0029 Contract Name: Supply and Delivery of Sand to be used for Asphalting Works along BCIR Contract Location: DPWH-MOFDEO, Gingoog City Brief Description of Goods to be procured: Sand Approved Budget for the Contract (ABC): PhP 180,000.0</t>
  </si>
  <si>
    <t xml:space="preserve"> Republic of the Philippines Cordillera Administrative Region Province of Kalinga B A L B A L A N MUNICIPALITY OF BALBALAN Invitation to Apply for Eligibility and to Bid for the COMPLETION OF BUAYA BARANGAY HEALTH CLINIC, MAPITPITA,BUAYA, BALBALAN, KALINGA</t>
  </si>
  <si>
    <t xml:space="preserve"> Contract ID: 20GKK0027 Contract Name: Supply and Delivery of Grasscutter/BrushCutter to be used by Maintenance Roadside Worker for Vegetation Control along BCIR and GCVR Contract Location: DPWH-MOFDEO, Gingoog City Brief Description of Goods to be procure</t>
  </si>
  <si>
    <t xml:space="preserve"> Tinsmithry-Ceiling-Trusses-Tiles-Stairs, Doors and Window-Painting-Slab</t>
  </si>
  <si>
    <t xml:space="preserve"> Republic of the Philippines PROVINCE OF PAMPANGA City of San Fernando INVITATION TO BID NO. 2020-17 MEDIC-BAC INVITATION TO BID FOR PURCHASE REQUEST NO. 20-0843 The Provincial Government of Pampanga (“Province”) intends to apply the following sums from th</t>
  </si>
  <si>
    <t xml:space="preserve"> Contract ID: 20GKK0028 Contract Name: Supply and Delivery of Asphalt Pen. Grade 60/70 to be used for Act. 122 - Cracks and Joint Sealing of Concrete Pavement along BCIR Contract Location: DPWH-MOFDEO, Gingoog City Brief Description of Goods to be procured</t>
  </si>
  <si>
    <t xml:space="preserve"> Concreting of Open Space</t>
  </si>
  <si>
    <t xml:space="preserve"> Republic of the Philippines CITY GOVERNMENT OF ANTIPOLO Antipolo City INVITATION TO BID For the Supply &amp; Delivery of Construction Materials The City Government of Antipolo, through the General Fund intends to apply the sum of P 1,324,200.00 being the Appr</t>
  </si>
  <si>
    <t xml:space="preserve"> Please see attached ITB and RFQ in Associated Component Section for Specifications</t>
  </si>
  <si>
    <t xml:space="preserve"> Name of Contract: Repair/Rehabilitation of Drainage Canals and Canal Covering Surrounding the Tanjay City Public Market IAC Classification: Small "B" for Flood Control PCAB Category "D" Duration: 120 Calendar Days Approved Budget for the Contract: Php 1,0</t>
  </si>
  <si>
    <t xml:space="preserve"> May 28, 2020 INVITATION TO BID  The Department of Public Works and Highways, Mindoro Occidental District Engineering Office, Mamburao, Occidental Mindoro, through its Bids and Award Committee (BAC), invites contractors to submit bids for the following Con</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</si>
  <si>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</si>
  <si>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Republic of the Philippines	 Department of Science and Technology PHILIPPINE SCIENCE HIGH SCHOOL – ZAMBOANGA PENINSULA REGION CAMPUS Cogon, Dipolog City INVITATION TO BID FOR THE PROCUREMENT OF SITE DEVELOPMENT (PHASE V) Design and Build APPROVED BUDGET F</t>
  </si>
  <si>
    <t xml:space="preserve"> Contract ID: 20GKK0030 Contract Name: Supply and Delivery of Road Primer to be used for the Thermoplastic Application along BCIR Contract Location: DPWH-MOFDEO, Gingoog City Brief Description of Goods to be procured: Road Primer Approved Budget for the Co</t>
  </si>
  <si>
    <t xml:space="preserve"> INVITATION TO BID IB-2020-090-INFRA Desilting / Cleaning of Pacheco Drainage Main, Tondo, District I, Manila 1.	The Metropolitan Manila Development Authority, through the 2020 General Appropriations Act (GAA)intends to apply the sum of SixteenMillion, Nin</t>
  </si>
  <si>
    <t xml:space="preserve"> INVITATION TO BID IB-2020-087-INFRA Improvement of Catmon-Niugan Creek, Malabon City 1.	The Metropolitan Manila Development Authority, through the 2020 General Appropriations Act (GAA)intends to apply the sum of Two Million, ThreeHundredNinety-FiveThousan</t>
  </si>
  <si>
    <t xml:space="preserve"> 12 LITER FOLIAR FERTILIZER (LIQUID) 6 BAGS COMPLETE (14-14-14) 6 BAGS UREA (46-0-0) 6 BAGS MURIATE OF POTASH (0-0-60) 60 BAGS VERMICAST 6 CAN EGGPLANT - 25g/CAN 6 CAN TOMATO - 25g/CAN 6 KG POLE SITAO 6 KG OKRA 30 SACHETS HOT PEPPER 30 SACHETS KALABASA 6 K</t>
  </si>
  <si>
    <t xml:space="preserve"> INVITATION TO BID IB-2020-089-INFRA Improvement of Casili Creek, District II, Caloocan City 1.	The Metropolitan Manila Development Authority, through the 2020 General Appropriations Act (GAA)intends to apply the sum of NineMillion, NineHundredEighty-NineT</t>
  </si>
  <si>
    <t xml:space="preserve"> 1.	 20	- Bots.		- Ambroxol 15mg/5ml, syrup 60ml		- 27.00 2.	 20	- bots		- Ambroxol 30mg/5ml, syrup 60ml		- 27.00 3.	 50	- bots		- Amoxicillin 100/ml,10ml			- 22.00 4.	200	- vial		- Ampicillin 500mg tab 100’s			- 30.00 5.	1,000	- tab		- Ascorbic Acid 500mg</t>
  </si>
  <si>
    <t xml:space="preserve"> INVITATION TO BID IB-2020-086-INFRA Improvement / Maintenance of Blumentritt Interceptor and Vicinities, Sampaloc, District IV, Manila 1.	The Metropolitan Manila Development Authority, through the 2020 General Appropriations Act (GAA)intends to apply the </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</si>
  <si>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</si>
  <si>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INVITATION TO BID IB-2020-088-INFRA Rehabilitation / Bank Improvement of Estero De Magdalena Tondo, District II, Manila 1.	The Metropolitan Manila Development Authority, through the 2020 General Appropriations Act (GAA)intends to apply the sum of Twenty-T</t>
  </si>
  <si>
    <t xml:space="preserve"> INVITATION TO BID IB-2020-084-INFRA Improvement of Saranai Creek (Phase II) District I, Caloocan City 1.	The Metropolitan Manila Development Authority, through the 2020 General Appropriations Act (GAA)intends to apply the sum of FourteenMillion, NineHundr</t>
  </si>
  <si>
    <t xml:space="preserve"> Lot 1 - Pump and VFD Control 1 lot Vertical In-Line Centrifugal Pump and Variable Frequency Drive (VFD) Lot 2 – CI Fittings 5	pcs C.I. Sleeve Coupling 4" PVC/PVC 3	pcs C.I. Sleeve Coupling 6" PVC/PVC 1	pc C.I. Sleeve Coupling 3" PVC/PVC 1	pc C.I. Sleeve C</t>
  </si>
  <si>
    <t xml:space="preserve"> Structure Excavation (Common Soil), Reinforcing Steel Bar (Grade 40), Structural Concrete, Storm Drainage and Downspout, and Water Tank</t>
  </si>
  <si>
    <t xml:space="preserve"> INVITATION TO BID IB-2020-085-INFRA Dredging / Deepening of Buwaya Creek and its Vicinities, (Inside Camp Aguinaldo) District III, Quezon City 1.	The Metropolitan Manila Development Authority, through the 2020 General Appropriations Act (GAA)intends to ap</t>
  </si>
  <si>
    <t xml:space="preserve"> 1. The Provincial Government of Davao Del Norte, through SB #4 CY 2019, 20% DF CY 2020, SB #1 CY 2020 and 20% AB CY 2019, intends to apply the sum of Eleven Million One Hundred Thirty Four Thousand Two Hundred Eighty Three and 93/100 Pesos (Php 11,134,283</t>
  </si>
  <si>
    <t xml:space="preserve"> see attached Invitation to Bid &amp; Bid Documents</t>
  </si>
  <si>
    <t xml:space="preserve"> The Municipal Government of Pilar, through the General Fund intends to apply the sum of Two Million (P/2,000,000.00) Pesos being the Approved Budget for the Contract (ABC) to payment under the contract for the Construction of Riprap at Paniquian Irrigatio</t>
  </si>
  <si>
    <t xml:space="preserve"> Issuance of Bid Documents Starts: June 3, 2020 Cost of Bid Document: Php 1,000.00 Venue of Dropping and Opening Bids: BAC Conference Room, Leyte SMED Center, Provincial Capitol Grounds, Tacloban City</t>
  </si>
  <si>
    <t xml:space="preserve"> The Local Government Unit of Science City of Muñoz, through the 2020 Development Fund, intends to apply the sum of Eight Million Pesos (Php 8,000,000.00) being the Approved Budget for the Contract (ABC) to payments under the contract for Rehabilitation of</t>
  </si>
  <si>
    <t xml:space="preserve"> The Local Government Unit of Science City of Muñoz, through the 2020 Development Fund, intends to apply the sum of Eight Million Pesos (Php 8,000,000.00) being the Approved Budget for the Contract (ABC) to payments under the contract for Construction of M</t>
  </si>
  <si>
    <t xml:space="preserve"> The Local Government Unit of Science City of Muñoz, through the 2020 Development Fund, intends to apply the sum of Five Million Five Hundred Thousand Pesos (Php 5,500,000.00) being the Approved Budget for the Contract (ABC) to payments under the contract </t>
  </si>
  <si>
    <t xml:space="preserve"> The Local Government Unit of Science City of Muñoz, through the 2020 Development Fund, intends to apply the sum of Four Million Pesos (Php 4,000,000.00) being the Approved Budget for the Contract (ABC) to payments under the contract for Concreting of City</t>
  </si>
  <si>
    <t xml:space="preserve"> 1 consultant</t>
  </si>
  <si>
    <t xml:space="preserve"> 1.	The Municipality of Baliguian, now invites bids for the Civil works for the Concreting of 240meter Farm to Market Road at Diangas to Guimotan Section, Baliguian, Zamboanga del Norte.  2.	Bidding will be conducted in accordance with relevant procedures </t>
  </si>
  <si>
    <t xml:space="preserve"> 1.	The Municipality of Baliguian, now invites bids for the Civil works for the Concreting of 200meter Farm to Market Road at Sitio Tumbaga, Barangay Nonoyan, Baliguian, Zamboanga del Norte.  2.	Bidding will be conducted in accordance with relevant procedu</t>
  </si>
  <si>
    <t xml:space="preserve"> 1.	The Municipality of Baliguian, now invites bids for the Civil works for the Concreting of 120 meter Farm to Market Road at Barangay San Jose, Baliguian, Zamboanga del Norte.  2.	Bidding will be conducted in accordance with relevant procedures for open </t>
  </si>
  <si>
    <t xml:space="preserve"> INVITATION TO BID IB-2020-083-INFRA        Improvement/Deepening of Makati-Pateros River, District II, Makati City 1.	The Metropolitan Manila Development Authority, through the 2020 General Appropriations Act (GAA) intends to apply the sum of Nineteen Mil</t>
  </si>
  <si>
    <t xml:space="preserve"> Republic of the Philippines Province of Surigao del Sur MUNICIPALITY OF BAROBO  INVITATION TO BID The Municipality of Barobo, through its Bids and Awards Committee (BAC), invites suppliers/bidders to Bid for the Supply and Delivery of Two (2) Units Heavy </t>
  </si>
  <si>
    <t xml:space="preserve"> Construction of Reception/Guardhouse Building (Phase I)</t>
  </si>
  <si>
    <t xml:space="preserve"> The Bureau of Fisheries and Aquatic Resources 6, through the FY 2020 General Appropriations Act 11465 intends to apply for the Procurement of Various IT Supplies/ Equipment, Janitorial and Electrical Supplies and Office Supplies of BFAR6 for CY 2020 with </t>
  </si>
  <si>
    <t xml:space="preserve"> INVITATION TO BID FOR  CONSTRUCTION OF FLOOD CONTROL - PANDAYAN The Municipality of San Juan, through its Bids and Awards Committee (BAC), invites contractors to submit bids for the following Contract: Contract ID		:          	20-00037						 Contract Name</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</si>
  <si>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</si>
  <si>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INVITATION TO BID FOR  Procurement of Goods [Security Services] (REBID) The   City Government of Tagbilaran,   through the Special Education Fund (SEF) for FY 2020, intends to apply the sum of Twelve Million Eight Hundred Fifty Two Thousand Six Hundred Se</t>
  </si>
  <si>
    <t xml:space="preserve"> Republic of the Philippines Province of Bohol MUNICIPALITY OF GETAFE BIDS AND AWARDS COMMITTEE ________________________________________ INVITATION TO BID  ( 2nd Public Bidding ) FOR PURCHASE OF  60 HEADS  FEMALE CARABAO FOR THE USED OF INTEGRATED CARABAO </t>
  </si>
  <si>
    <t xml:space="preserve"> Republic of the Philippines Province of zamboanga Sibugay Municipality of Olutanga 7014 JUNE 2, 2020 NOTICE TO THE PUBLIC INVITIATION TO APPLY FOR ELIGIBILITY AND TO BID All interested bidders are invited to Pre-qualify and participate in sealed bidding f</t>
  </si>
  <si>
    <t xml:space="preserve"> Invitation to Bid for  INFRA 2K20-42 CONST. OF CAPABILITY DEVELOPMENT CENTER FOR LAW ENFORCERS &amp; DISASTER RISK REDUCTION MANAGEMENT OFFICES (RENOV./IMPROV’T. OF FORMERLY ZAMBOANGA DEL SUR SPORTS ACADEMY FOR THE PROPOSED PDRRMO) PGC, Dao, Pagadian City, Za</t>
  </si>
  <si>
    <t xml:space="preserve"> INVITATION TO BID IB-2020-082-INFRA          Improvement of Bangkulasi Cut-Off Channel and Vicinity, Navotas City 1.	The Metropolitan Manila Development Authority, through the 2020 General Appropriations Act (GAA) intends to apply the sum of Fourteen Mill</t>
  </si>
  <si>
    <t xml:space="preserve"> Location : Legazpi City, Albay Scope of Work : Asphalt Overlay of 5.249 Lane Km. Road with Reflectorized Thermoplastic Pavement Markings including Reblocking of PCCP on Intermittent Section and Construction of 1,100.00 l.m. Line Canal</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</si>
  <si>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</si>
  <si>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INVITATION TO BID FOR  Procurement of Goods [Rabies Vaccine and Others] The   City Government of Tagbilaran,   through the Appropriation Ordinance No. 19-05 for FY 2020, intends to apply the sum of Two Million Seven Hundred Eighty Five Thousand Two Hundre</t>
  </si>
  <si>
    <t xml:space="preserve"> Invitation to Bid for  INFRA 2K20-43 RENOVATION AND IMPROVEMENT OF 2- STOREY PSWD BUILDING Capitol Compound, Pagadian City June 03, 2020 1.	The Provincial Government of Zamboanga del Sur, through the Capital Outlay CY 2020 / SB No.3 CY 2020 intends to app</t>
  </si>
  <si>
    <t xml:space="preserve"> INVITATION TO BID FOR  Procurement of Goods [Supply and Installation of Close Circuit Television Security] The   City Government of Tagbilaran,   through the Appropriation Ordinance No. 19-05 for FY 2020, intends to apply the sum of Nine Hundred Eighty Th</t>
  </si>
  <si>
    <t xml:space="preserve"> 1.	The Bureau of Jail Management and Penology Regional Office CALABARZON (BJMPRO-CALABARZON) through the GAA2020   intends to apply the sum of Six  Million Nine Hundred Thousand Pesos (Php 6,900,000.00) being the Approved Budget for the Contract (ABC) to </t>
  </si>
  <si>
    <t xml:space="preserve"> Invitation to Bid for  INFRA 2K20-44 REPAIR/IMPROVEMENT OF COMMON BUILDING AND FACILITIES (BUILDING B) FOR RTC AND ZDSMC WARD Prov’l. Gov’t. Complex, Dao, Pagadian City, Zamboanga del Sur June 02, 2020 1.	The Provincial Government of Zamboanga del Sur, th</t>
  </si>
  <si>
    <t xml:space="preserve"> 1. 1 unit - Brand New Ambulance Vehicle DOH Standard compliance inclusive of vehicle, accessories and consumables COLOR: White ENGINE: 2.5-3.0 (DSL) 4 CYLINDER DOHC 16V (EURO 4) DISPLACEMENT : 2,400 – 2,800CC MAX TORQUE: 420 Nm@1,400-2,000 rpm DIRECT INJE</t>
  </si>
  <si>
    <t xml:space="preserve"> Contract ID		:	20GM0071 Contract Name	:	Concreting of Sitio Batbat to Sitio Tis-an, Brgy. Isio FMR, Brgy. Isio, Cauayan, Negros Occidental Location of the Contract:    	Brgy. Isio Cauayan, Negros Occidental ________________________________________________</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</si>
  <si>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</si>
  <si>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Republic of the Philippines PROVINCE OF NORTHERN SAMAR BIDS AND AWARDS COMMITTEE Catarman Contracting of Security Services (Blue Guards) for Twelve Months Province of Northern Samar NS-06-04-20 1.	The Provincial Government of Northern Samar, through the S</t>
  </si>
  <si>
    <t xml:space="preserve"> Concreting of Kawayan St. (from Sampaguita Ave. - Gumamela St.)</t>
  </si>
  <si>
    <t xml:space="preserve"> Republic of the Philippines PROVINCE OF SIQUIJOR Capitol, Bldg., Pulangyuta, Siquijor, Siquijor INVITATION TO BID FOR Supply and Delivery of Various Medical Supplies 1.	The Province of Siquijor, through the IPHO Non-Office Bayanihan Grant to Prov. 200-502</t>
  </si>
  <si>
    <t xml:space="preserve"> 1. 30,000 pack - Powdered Milk Drink (300 grams) (Fortified Filled Milk, With Vitamins, A, C, D, Iron and Zinc)</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</si>
  <si>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</si>
  <si>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INVITATION TO BID PROCUREMENT OF CONSTRUCTION MATERIALS FOR CONCREING OF MUNICIPAL ROAD AT NGILEB, ALFONSO LISTA, IFUGAO 1.	The Local Government Unit Alfonso Lista, Ifugao through the 20% Development Fund 2020 intends to apply the sum of One Million Three</t>
  </si>
  <si>
    <t xml:space="preserve"> 1	LOT	Supply, Delivery and Installation of Furniture and Fixtures for the Completion of 2-Storey Academic Building 2 at BPSU Abucay Campus					 		[14 UNITS] Faculty Workstations with Mobile Pedestal					 		Full fabric partition 1200mm height aluminum in p</t>
  </si>
  <si>
    <t xml:space="preserve"> Excavation Gravel Fill Structural Concrete Masonry Roofing Plumbing Doors And Windows Tiles Painting Hardware Materials</t>
  </si>
  <si>
    <t xml:space="preserve"> Republic of the Philippines Province of Misamis Oriental Local Government Unit of Claveria Invitation to Bid for  Procurement for the  construction of  multi-purpose  building at Sitio Daruca, Poblacion The Local Government Unit of Claveria, through the b</t>
  </si>
  <si>
    <t xml:space="preserve"> PHILIPPINE BIDDING DOCUMENTS (As Harmonized with Development Partners) Procurement for  CONSTRUCTION OF LOCAL ACCESS ROAD TO SANITARY LANDFILL BRGY. KALYAAT LUCBAN, QUEZON BIDDING Government of the Republic of the Philippines Fourth Edition   Preface Thes</t>
  </si>
  <si>
    <t xml:space="preserve"> Department of Education Region VI-Western Visayas Division of Cadiz City Mabini National High School INVITATION TO BID FOR THE PROCUREMENT OF WATER DISPENSERS  1.	Mabini National High School, Division of Cadiz City, through the Schools MOOE and HRTD Fund </t>
  </si>
  <si>
    <t xml:space="preserve"> Concreting of Molave St. (from Lawaan St. - Kawayan St.)</t>
  </si>
  <si>
    <t xml:space="preserve"> The Bids and Awards Committee								 Province of Iloilo								 								      In connection with your Invitation to Bid No. PEO-20-0543 B  scheduled on June 26, 2020, I/we proposed to furnish and deliver in conformity with the terms and conditions, and s</t>
  </si>
  <si>
    <t xml:space="preserve"> The Bids and Awards Committee								 Province of Iloilo								 								      In connection with your Invitation to Bid No. PEO-20-0501 B  scheduled on June 26, 2020, I/we proposed to furnish and deliver in conformity with the terms and conditions, and s</t>
  </si>
  <si>
    <t xml:space="preserve"> INVITATION TO BID  Supply and Delivery of Lot 1- 1-unit Light Cargo Truck, 6 wheelers &amp; Lot 2- 1-unit Light Cargo Truck 4 or 6 Wheelers for the Implementation 1.	The Department of Agriculture Regional Field Office No. 5, through the General Appropriation </t>
  </si>
  <si>
    <t xml:space="preserve"> Rehabilitation of 7.0m x 24.0m senior citizen with concrete works, roofing sheets &amp; accessories, painting &amp; plastering and steel works</t>
  </si>
  <si>
    <t xml:space="preserve"> INVITATION TO BID FOR  Supply and Delivery of Furniture and Fixtures for Community Based Processing Facility Establishment  1.	The Department of Agriculture Regional Field Office No. 5, through the General Appropriation Act (GAA) for CY 2020-HVCDP intends</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</si>
  <si>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</si>
  <si>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Republic of the Philippines Province of Davao Oriental City of Mati BIDS &amp; AWARDS COMMITTEE INVITATION TO BID Procurement BY LOT of DISTRIBUTION TRANSFORMER, ELECTRIC GENERATOR SET and AUTOMATIC TRANSFER SWITCH for the Use of the Provincial DRRM Council C</t>
  </si>
  <si>
    <t xml:space="preserve"> The Bids and Awards Committee								 Province of Iloilo								 								      In connection with your Invitation to Bid No. PEO-20-0545 B scheduled on June 26, 2020, I/we proposed to furnish and deliver in conformity with the terms and conditions, and sp</t>
  </si>
  <si>
    <t xml:space="preserve"> The Bids and Awards Committee								 Province of Iloilo								 								      In connection with your Invitation to Bid No. PEO-20-0547-B scheduled on June 26, 2020, I/we proposed to furnish and deliver in conformity with the terms and conditions, and sp</t>
  </si>
  <si>
    <t xml:space="preserve"> 20M00079- Construction/Improvement of Various Infrastructure in Support of National Security – Construction of SK Pendatun Municipal Police Station Building, Gen. Salipada SK Pendatun, Maguindanao</t>
  </si>
  <si>
    <t xml:space="preserve"> INVITATION TO BID FOR  Supply and Delivery of Various Agricultural Equipment 1.	The Department of Agriculture Regional Field Office No. 5, through the General Appropriation Act (GAA) for CY 2020-Corn Program intends to apply the sum of Twenty Million Eigh</t>
  </si>
  <si>
    <t xml:space="preserve"> INVITATION TO BID FOR  Supply and Delivery of Agricultural and Forestry Equipment for Community Based Processing Facility Establishment  1.	The Department of Agriculture Regional Field Office No. 5, through the General Appropriation Act (GAA) for CY 2020-</t>
  </si>
  <si>
    <t xml:space="preserve"> REPUBLIC OF THE PHILIPPINES DEPARTMENT OF FINANCE BUREAU OF INTERNAL REVENUE National Office, Diliman, Quezon City             May 29, 2020 INVITATION TO BID 1.	The   Bureau   of   Internal     Revenue – National Office (BIR-NO), through the General Appro</t>
  </si>
  <si>
    <t xml:space="preserve"> Scope of Work		:	Conduct of Appraisal Services</t>
  </si>
  <si>
    <t xml:space="preserve"> Invitation to Bid for the Procurement of Various Equipment, Instruments and Furnitures for TANJAY WATER DISTRICT</t>
  </si>
  <si>
    <t xml:space="preserve"> Republic of the Philippines Province of zamboanga Sibugay Municipality of Olutanga 7014 JUNE 1, 2020 NOTICE TO THE PUBLIC INVITIATION TO APPLY FOR ELIGIBILITY AND TO BID All interested bidders are invited to Pre-qualify and participate in sealed bidding f</t>
  </si>
  <si>
    <t xml:space="preserve"> 27630-022	STEEL PLATE  16MM X 4' X 8' CRS (5/8")	18	SHEET	17,800.00	320,400.00 For fabrication of various flanges and fittings TERMS AND CONDITIONS: 1.	Delivery Term: Within 30 calendar days after receipt of P.O. 2.	Place of Delivery: TALAMBAN 3.	Payment </t>
  </si>
  <si>
    <t xml:space="preserve"> INVITATION FOR NEGOTIATED PROCUREMENT  Petroleum, Oil and Lubricants 1.	In view of two (2) failed public biddings, the Department of Budget and Management-Bids and Awards Committee (DBM-BAC) invites interested bidders to participate in the negotiation for</t>
  </si>
  <si>
    <t xml:space="preserve"> Concreting (width=6.10m., thk. = 230mm) Roadway Excavation - Common Surplus Excavation Removal and Relocation of Utilities (Electric Post) Construction of Double Barrel Box Culvert Construction of Minor Drainage Structures Application of Reflectorized The</t>
  </si>
  <si>
    <t xml:space="preserve"> 100 BAGS - GLUTINOUS CORN SEEDS @ 18KG/BAG Please see attached RFQ # 20-1000-1 Submit your Sign and Sealed Quotation together with your UPDATED ELIGIBILITY Requirements at 3/F ATI Building Department of Agriculture Region IV-MiMaRoPa, Property&amp;Supply Unit</t>
  </si>
  <si>
    <t xml:space="preserve"> Rehabilitation of MPB (GYM), with ceiling (acoustical), painting, concrete and masonry works</t>
  </si>
  <si>
    <t xml:space="preserve"> SCOPE OF WORKS: B.5	Project Billboard &amp; Signboard	2.00	each		 101(3)b	Removal of Existing Asphalt Pavement (100 mm thk.)	1,500.00	cu.m. 103(1)a	Structure Excavation (Common Soil, RCPC)	3.82	cu.m. 104(1)a	Embankment from Roadway Excavation	268.06	cu.m. 104</t>
  </si>
  <si>
    <t xml:space="preserve"> Concreting (width=6.10m., thk. = 230mm) Roadway Excavation - Common Surplus Excavation Construction of Concrete Lined Canal and Other Minor Drainage Structures Application of Reflectorized Thermoplastic Pavement Markings</t>
  </si>
  <si>
    <t xml:space="preserve"> SCOPE OF WORKS: B.5	Project Billboard &amp; Signboard	2.00	each	 101(4)a	Removal of Structures/Obstructions, 457 mm dia. RCPC	6.00	cu.m. 103(1)a	Structure Excavation (Common Soil, RCPC)	105.89	cu.m. 104(1)a	Embankment from Roadway Excavation	824.96	cu.m. 104(</t>
  </si>
  <si>
    <t xml:space="preserve"> 1.	The Municipality of Guinayangan, Quezon through the 2020 C.O. (Supplemental) intends to apply the sum of Four Million Seven Hundred Fifty Thousand Pesos                  (P 4,750,000.00) being the Approved Budget for the Contract (ABC) to payments unde</t>
  </si>
  <si>
    <t xml:space="preserve"> 5     Units     Slip Printer</t>
  </si>
  <si>
    <t xml:space="preserve"> SCOPE OF WORKS: B.5    	Project Billboard &amp; Signboard	2.00	each	 104(1)a	Embankment from Roadway Excavation	463.96	cu.m. 104(2)a	Embankment from Borrow	103.36	cu.m. 105(1)a	Subgrade Preparation (Common Materials)	3,816.00	sq.m.	 200(1)	Aggregate Subbase C</t>
  </si>
  <si>
    <t xml:space="preserve"> INVITATION TO BID PAITAN SWIP 1.	The National Irrigation Administration – Bulacan-Aurora-Nueva Ecija Irrigation Management Office, Tambubong, San Rafael, Bulacan, through GAA 2020 intends to apply the sum of Nine Million Two Hundred Twenty-Four Thousand F</t>
  </si>
  <si>
    <t xml:space="preserve"> Renovation of Old Female Comfort Room		1	lot	________________		 391,032.94 	___________ 							 Scope of Work:							 1. Demolition works							 2. Chipping Works							 3. Plumbing Works							 4. Tile Works							 5. Concreting Works							 6. Partition</t>
  </si>
  <si>
    <t xml:space="preserve"> Republic of the Philippines Province of Compostela Valley Municipality of Monkayo -o0o- INVITATION TO BID FOR THE PROCUREMENT OF LABOR &amp; MATERIALS FOR RENOVATION OF DRY MARKET LOCATED AT BLOCK 2, MARKET SITE, BARANGAY POBLACION, MONKAYO DAVAO DE ORO The M</t>
  </si>
  <si>
    <t xml:space="preserve"> INVITATION TO BID SIMIMBAAN SWIP 1.	The National Irrigation Administration – Bulacan-Aurora-Nueva Ecija Irrigation Management Office, Tambubong, San Rafael, Bulacan, through GAA 2020 intends to apply the sum of Nine Million Two Hundred Eighty-One Thousand</t>
  </si>
  <si>
    <t xml:space="preserve"> Invitation to Bid For Supply, Delivery, Installation and Configuration of Privileged Access Management (PAM) Solution  with Hardware Appliance with Three (3) Years Warranty  1.	The LAND BANK OF THE PHILIPPINES (LANDBANK), through its Corporate Budget for </t>
  </si>
  <si>
    <t xml:space="preserve"> INVITATION TO BID IB-2020-058 The Philippine Children’s Medical Center, through PCMC Corporate Fund for CY 2020 intends to apply the sum of Twenty-Six Million Two Hundred Thousand Pesos (Php 26,200,000.00) being the Approved Budget for the Contract (ABC) </t>
  </si>
  <si>
    <t xml:space="preserve"> Invitation to Bid For Supply and Delivery of 250 Units Gigabit Ethernet Switch 1.	The LAND BANK OF THE PHILIPPINES (LANDBANK), through its Corporate Budget for the contract approved by the Board of Directors for 2020 intends to apply the total sum of One </t>
  </si>
  <si>
    <t xml:space="preserve"> INVITATION TO BID REFERENCE NO. 2020-05-005 1.The Department of Social Welfare and Development FO VIII, through the General Appropriations Act of CY 2020 intends to apply the sum Three Million, Five Hundred Sixty-Seven Thousand Pesos (Php3,567,000.00) onl</t>
  </si>
  <si>
    <t xml:space="preserve"> Republic of the Philippines Province of Compostela Valley Municipality of Monkayo -o0o- INVITATION TO BID FOR THE PROCUREMENT OF LABOR &amp; MATERIALS FOR ESTABLISHMENT OF TOURISM INFORMATION CENTER LOCATED AT POBLACION MONKAYO DAVAO DE ORO The Municipality o</t>
  </si>
  <si>
    <t xml:space="preserve"> INVITATION TO BID June 2, 2020 CHINA STATE CONSTRUCTION ENGINEERING CORPORATION LIMITED / CHINA GEO ENGINEERING CORPORATION (JV) 12F Petron Megaplaza, 358 Gil Puyat Avenue, Makati City  Email address: liuwei@chinaconstruction.com SUBJECT	:	Contract Packag</t>
  </si>
  <si>
    <t xml:space="preserve"> Invitation to Bid For   One (1) Year Courier Services for LANDBANK Credit Cards, Statement of Accounts and Other Credit Card Related Parcels 1.	The LAND BANK OF THE PHILIPPINES (LANDBANK), through its Corporate Budget for the contract approved by the Boar</t>
  </si>
  <si>
    <t xml:space="preserve"> SCOPE OF WORKS: B.5	Project Billboard &amp; Signboard	2.00	each	 101(2)	Removal of Concrete Canal Structures	6.00	cu.m. 103(1)a	Structure Excavation (Common Soil, RCPC)	4.13	cu.m. 104(1)a	Embankment from Roadway Excavation	368.05	cu.m. 104(2)	Embankment from </t>
  </si>
  <si>
    <t xml:space="preserve"> Republic of the Philippines Province of Nueva Vizcaya BIDS AND AWARDS COMMITTEE (BAC-Goods) BAC OFFICE, Provincial Capitol, Bayombong, Nueva Vizcaya 	 REQUEST FOR QUOTATION (RFQ)  For the Procurement of RSS Refrigerant 30 pounds/13.60kg, (SF) w/ Recyclabl</t>
  </si>
  <si>
    <t xml:space="preserve"> Republic of the Philippines PROVINCE OF ZAMBOANGA SIBUGAY Municipality of Mabuhay OFFICE OF THE BAC CHAIRMAN                         INVITATION TO BID FOR THE COMPLETION OF SERGIO OSMEÑA ST. (GOING MABUHAY CENTRAL ELEMENTARY SCHOOL) Identification No. LGU</t>
  </si>
  <si>
    <t xml:space="preserve"> 1	Brass Ball Valve ¾” with lockwing, std.	100	pcs. 2	Brass Ball Valve 1” with lockwing, std.	50	pcs. 3	Brass Check Valve ¾”	100	pcs. 4	Brass Check Valve 1”	50	pcs. 5	Brass Straight Coupling ¾” w/o PJ nuts std.	200	pcs. 6	Brass Straight Coupling 1” w/o PJ </t>
  </si>
  <si>
    <t xml:space="preserve"> PLANETARY GEAR</t>
  </si>
  <si>
    <t xml:space="preserve"> Contract Labor and Materials for the Expansion of Potable Water System Level III at Prk. 14, Poblacion Laak, Davao De Oro with an ABC of Php. 902,018.45.</t>
  </si>
  <si>
    <t xml:space="preserve"> Contract Labor and Materials for the Expansion of Potable Water System Level III at Prk. 15 &amp; 16, Poblacion Laak, Davao De Oro with an ABC of Php. 914,730.45.</t>
  </si>
  <si>
    <t xml:space="preserve"> INVITATION TO SUBMIT QUOTATION  FOR CATERING SERVICES WITH VENUE AND ACCOMMODATION  DURING THE 2020 CENSUS OF POPULATION AND HOUSING (2020 CPH)  SECOND LEVEL TRAINING ON JULY 20-JULY 25, 2020  AT TUGUEGARAO CITY, CAGAYAN 1.	The Philippine Statistics Autho</t>
  </si>
  <si>
    <t xml:space="preserve"> Contract Labor and Materials for the Expansion of Potable Water System Level III at Prk. 17 &amp; 18, Poblacion Laak, Davao De Oro with an ABC of Php. 920,783.00.</t>
  </si>
  <si>
    <t xml:space="preserve"> Contract Labor and Materials for the Expansion of Potable Water System at Prk. 6, 7, 8 &amp; 9, Poblacion Laak, Davao De Oro with an ABC of Php. 2,084,918.90.</t>
  </si>
  <si>
    <t xml:space="preserve"> Supply and Delivery of Forest Trees Seedlings under Municipal Greening Program of MENRO - Laak, Davao De Oro with an ABC of Php. 450,000.00.</t>
  </si>
  <si>
    <t xml:space="preserve"> Republic of the Philippines Province of Cagayan Municipality of Baggao INVITATION TO BID FOR THE PROCUREMENT OF GOODS The LOCAL GOVERNMENT UNIT OF BAGGAO, CAGAYAN, through the 01-011-5-02-03-070 &amp; 01-011-5-02-03-080 intends to apply the sum of Eight Hundr</t>
  </si>
  <si>
    <t xml:space="preserve"> Contract Labor and Materials for the Expansion of Potable Water System Level III at Brgy. Concepcion, Laak, Davao De Oro with an ABC of Php. 998,939.65.</t>
  </si>
  <si>
    <t xml:space="preserve"> Item No. Unit Description Qty 1 pcs Interment flag 3 ftx6 ft 100 2 set Wreath round type 12 3 set Caisson Arrangement 5 * * * * * * * * * * * * * * * * * * * * * * * * NOTHING FOLLOWS * * * * * * * * * * * * * * * * * * * * * * * *</t>
  </si>
  <si>
    <t xml:space="preserve"> Republic of the Philippines Province of Davao Occidental MUNICIPALITY OF SARANGANI Invitation to Bid ROAD CONCRETING (DOUBLE LANE) BULAWAN ST., MABILA, (8000-2-2-14), SARANGANI, DAVAO OCCIDENTAL. The Municipality of Sarangani, through 20% Devt.  Fund for </t>
  </si>
  <si>
    <t xml:space="preserve"> The SANGGUNIANG BARANGAY OF BARANGAY PANTAY BATA, TANAUAN CITY, BATANGAS, through the Barangay Operating Budget 2020 intends to apply the sum of Fifty Thousand  Pesos Only (Php 50,000.00) being the Approved Budget of the Contract (ABC) to payment under th</t>
  </si>
  <si>
    <t xml:space="preserve"> 1.	The LOCAL WATER UTILITIES ADMINISTRATIONhas receiveda Loan from the Asian Development Banktoward the cost of the Water District Development Sector Project, and it intends to apply part of the proceeds of this loan to payments under the contract for the</t>
  </si>
  <si>
    <t xml:space="preserve"> INVITATION TO BID FOR THE    CONTRACT ID: 20-05-083  Contract Name: PROCUREMENT OF FAMILY PLANNING COMMODITIES  Approved Budget for the Contract (ABC) : Php      4,696,400.00    1. The DOH-Zamboanga Peninsula - Center for Health Development , through the </t>
  </si>
  <si>
    <t xml:space="preserve"> Republic of the Philippines Province of Davao Occidental MUNICIPALITY OF SARANGANI Invitation to Bid CONSTRUCTION OF BOX CULVERT CREEK 2 TORANG, CAMALIG, (8000-2-2-9), SARANGANI, DAVAO OCCIDENTAL. The Municipality of Sarangani, through 20% Devt.  Fund for</t>
  </si>
  <si>
    <t xml:space="preserve"> Armchairs	450 pcs  			 		Technical Specifications:	 		                                    Dimensions	 		Seat:	 		Width                                                                 450mm	 		 Length                                                        </t>
  </si>
  <si>
    <t xml:space="preserve"> To All Eligible Bidders; Please quote your lowest price on the items listed below, subject to the General Condition stated herein and submit the same to the Office of the BAC-Secretariat on or before June 10, 2020 at 10:00 o'clock in the morning. (SGD.) W</t>
  </si>
  <si>
    <t xml:space="preserve"> INVITATION TO BID FOR Supply and Delivery of Global Navigation Satellite System (GNSS) Equipment for use in the Pre-Detailed Engineering Activities of Personnel Under Planning and Design Section, DPWH-LU 1st DEO, Lingsat, City of San Fernando, La Union Th</t>
  </si>
  <si>
    <t xml:space="preserve"> INVITATION TO BID The DPWH Bukidnon 1st District Engineering Office, Malaybalay City, through its Bids and Awards Committee (BAC), invites contractors to submit bids for the following Contracts:   			 7	Contract ID 	:	20KA0141 	Contract Name 	:	Paving of </t>
  </si>
  <si>
    <t xml:space="preserve"> INVITATION TO BID The DPWH Bukidnon 1st District Engineering Office, Malaybalay City, through its Bids and Awards Committee (BAC), invites contractors to submit bids for the following Contracts:   			 6	Contract ID 	:	20KA0140 	Contract Name 	:	Paving of </t>
  </si>
  <si>
    <t xml:space="preserve"> INVITATION TO BID The DPWH Bukidnon 1st District Engineering Office, Malaybalay City, through its Bids and Awards Committee (BAC), invites contractors to submit bids for the following Contracts:   			 5	Contract ID 	:	20KA0139 	Contract Name 	:	Road Widen</t>
  </si>
  <si>
    <t xml:space="preserve"> INVITATION TO BID The DPWH Bukidnon 1st District Engineering Office, Malaybalay City, through its Bids and Awards Committee (BAC), invites contractors to submit bids for the following Contracts:   			 4	Contract ID 	:	20KA0138 	Contract Name 	:	Constructi</t>
  </si>
  <si>
    <t xml:space="preserve"> INVITATION TO BID The DPWH Bukidnon 1st District Engineering Office, Malaybalay City, through its Bids and Awards Committee (BAC), invites contractors to submit bids for the following Contracts:   			 3	Contract ID 	:	20KA0137 	Contract Name 	:	Paving of </t>
  </si>
  <si>
    <t xml:space="preserve"> RE -BID INVITATION TO BID 	 The Department of Public Works and Highways-Cebu 4th District Engineering Office, through its Bids and Awards Committee (BAC), invites contractors to submit bids for the Contract: 1.	Contract ID 		:	20HG0161 Contract Name      </t>
  </si>
  <si>
    <t xml:space="preserve"> Republic of the Philippines Province of Davao Occidental MUNICIPALITY OF SARANGANI Invitation to Bid CONSTRUCTION OF BOX CULVERT CREEK 3 TORANG, CAMALIG, (8000-2-2-10), SARANGANI, DAVAO OCCIDENTAL. The Municipality of Sarangani, through 20% Devt.  Fund fo</t>
  </si>
  <si>
    <t xml:space="preserve"> Supply and delivery of the following items: 1. 75 boxes Amoxicillin 500mg caps., 100's/box 2. 288 bottles Ascorbic acid 100mg/5ml x 60ml/bot 3. 144 bottles Ascorbic acid 100mg/ml x 15ml/bot 4. 74 boxes Ascorbic acid 500mg, 100's/box 5. 50 boxes Cefuroxime</t>
  </si>
  <si>
    <t xml:space="preserve"> Contract ID: 20-DO-0079 Contract Name: LOCAL PROGRAM - Local Infrastructure Program - Building and Other Structures - Multipurpose/Facilities - Construction of Multi-Purpose Building and Facilities, San Francisco St., Brgy. Patunhay, Cardona, Rizal Contra</t>
  </si>
  <si>
    <t xml:space="preserve"> Department of Agriculture		 BUREAU OF PLANT INDUSTRY 692 San Andres Street Malate, Manila, Philippines E-mail Address: bpibac@yahoo.com Tel. No.: (02) 8526-7859, (02) 8691-0736 | Website: bpi.da.gov.ph SOLICITATION NO.: ITB PR NOS. 0347, 0348-20BAC  INVIT</t>
  </si>
  <si>
    <t xml:space="preserve"> Department of Agriculture		 BUREAU OF PLANT INDUSTRY 692 San Andres Street Malate, Manila, Philippines E-mail Address: bpibac@yahoo.com Tel. No.: (02) 8526-7859, (02) 8691-0736 | Website: bpi.da.gov.ph SOLICITATION NO.: ITB PR NO. 0374-20BAC  INVITATION T</t>
  </si>
  <si>
    <t xml:space="preserve"> Republic of the Philippines Province of Pangasinan Municipality of Bugallon OFFICE OF THE BIDS AND AWARDS COMMITTEE INVITATION TO BID The Barangay Poblacion of the Municipality of Bugallon, Pangasinan, through its Bids and Awards Committee (BAC), invites </t>
  </si>
  <si>
    <t xml:space="preserve"> Department of Agriculture				 BUREAU OF PLANT INDUSTRY 692 San Andres Street Malate, Manila, Philippines E-mail Address: bpibac@yahoo.com Tel. No.: (02) 8526-7859, (02) 8691-0736 | Website: bpi.da.gov.ph SOLICITATION NO.: ITB PR NO. 0376-20BAC  INVITATION</t>
  </si>
  <si>
    <t xml:space="preserve"> Republic of the Philippines Province of Iloilo Municipality of Ajuy Barangay of Tubogan BIDS AND AWARD COMMITTEE INVITATION TO BID 	The Barangay of Tubogan, Ajuy, Iloilo invites Accredited Supplier to apply for eligibility and to bid for the Concreting of</t>
  </si>
  <si>
    <t xml:space="preserve"> 1. breakfast with juice: Php 65/meal     &gt; meat &amp; vegetable with rice 2. Lunch with water/juice: Php 65/meal     &gt; meat &amp; vegetable with rice 3. Dinner with water/juice: Php 65/meal     &gt; meat &amp; vegetable with rice</t>
  </si>
  <si>
    <t xml:space="preserve"> 1.	The Municipality of Tayug, Pangasinan  through the Bids and Awards Committee intends to apply the sum of Two Million Five Hundred Thousand Pesos (Php2,500,000.00) being the Approved Budget for the Contract (ABC)  to payments under the conract for the C</t>
  </si>
  <si>
    <t xml:space="preserve"> RE -BID INVITATION TO BID 	 The Department of Public Works and Highways-Cebu 4th District Engineering Office, through its Bids and Awards Committee (BAC), invites contractors to submit bids for the Contract: 1.	Contract ID 		:	20HG0162 Contract Name      </t>
  </si>
  <si>
    <t xml:space="preserve"> Contract Labor and Materials for the Expansion of Potable Water System Level III - Brgy. Poblacion (Prk. 13), Laak, Davao De Oro with an ABC of 921,055.00.</t>
  </si>
  <si>
    <t xml:space="preserve"> New Construction 62.40 cu.m. Intake and Rehabilitation of Existing Tank Re schedule of bidding  due to COVID</t>
  </si>
  <si>
    <t xml:space="preserve"> Barangay Government Unit										 Imelda, Zamboanga Sibugay										 										 INVITATION TO APPLY FOR ELIGIBILITY AND TO BID										 										 The Barangay Government Unit  of Imelda, Zamboanga Sibugay , through its Bids and  Awards Committee (BAC)</t>
  </si>
  <si>
    <t xml:space="preserve"> 1 unit  Desktop Computer(Digital Age,AMD powerful A8 Quad,Crore processor 1  unit Epson L565 All in One Ink Tank Printer 1 unit Epson LCD Projector (Digi serv Solution Epson S41/EB S31 1 unit HP core i5 Laptop 15..6 inches (LED screen RAM 8gd ,HDD 2 TB) 1</t>
  </si>
  <si>
    <t xml:space="preserve"> Contract Labor and Materials for the Expansion of Potable Water System Level III at Prk. 4 &amp; 5, Poblacion Laak, Davao De Oro with an ABC of Php. 863,434.90.</t>
  </si>
  <si>
    <t xml:space="preserve"> Republic of the Philippines DEPARTMENT OF PUBLIC WORKS AND HIGHWAYS CENTRAL OFFICE Manila  INVITATION TO BID  	 For ORGANIZATIONAL OUTCOME 1: Ensure Safe and Reliable National Road System - Network Development Program, Construction of Missing Links/New Ro</t>
  </si>
  <si>
    <t xml:space="preserve"> Republic of the Philippines DEPARTMENT OF PUBLIC WORKS AND HIGHWAYS CENTRAL OFFICE Manila  INVITATION TO BID  	 For ORGANIZATIONAL OUTCOME 1: Ensure Safe and Reliable National Road System - Network Development Program - Construction of Missing Links/New R</t>
  </si>
  <si>
    <t xml:space="preserve"> The Philippine Carabao Center at USM through its Bids and Awards Committee (BAC) invites PhilGEPS registered suppliers to apply to bid for the Supply and Delivery of Agricultural Machinery Equipment. Farrower (5 blades with Coil Spring) 1 unit</t>
  </si>
  <si>
    <t xml:space="preserve"> Republic of the Philippines DEPARTMENT OF PUBLIC WORKS AND HIGHWAYS CENTRAL OFFICE Manila  INVITATION TO BID  	 For ORGANIZATIONAL OUTCOME 1: Ensure Safe and Reliable National Road System - Network Development Program, Construction of Missing Links/Roads </t>
  </si>
  <si>
    <t xml:space="preserve"> 1 unit Heavy Duty Hydraulic RAM 1st stage push force=51,500 lbs=229KN 2nd stage push force=18,500 lbs=82.3KN Exetended Lenght 32.75 in Closed lenght 16.75 in width 4.50 inc height 8.50 in weight 400 lbs 1 unit 3HP Hydraulic pump (gasoline) max working pre</t>
  </si>
  <si>
    <t xml:space="preserve"> Republic of the Philippines DEPARTMENT OF PUBLIC WORKS &amp; HIGHWAYS OFFICE OF THE REGIONAL DIRECTOR Region III Sindalan, City of San Fernando, Pampanga INVITATION TO BID The DPWH-Regional Office No. III,  through  its  Bids  and  Awards  Committee  (BAC),  </t>
  </si>
  <si>
    <t xml:space="preserve"> Republic of the Philippines Province of Misamis Occidental Municipality of Aloran INVITATION TO BID FOR THE PURCHASE OF ONE (1) UNIT MULTI-PURPOSE VEHICLE FOR MUNICIPAL DISASTER RISK REDUCTION MANAGEMENT OFFICE 				MAY 28, 2020 1.	The Local Government Uni</t>
  </si>
  <si>
    <t xml:space="preserve"> 2  unit  PTZ Camera /2.8” 2 Megapixel             Starvis CMOS ,Powerful 25 x optical zoom            Starlight Technology ,Max 25/30 fps @ 1080P            IR distance up to 100m,IP66 1 unit  NVR4K Series DVR,8 MP Preview,80 Mbps Bandwidth 1 pcs  1 TB Su</t>
  </si>
  <si>
    <t xml:space="preserve"> 1.	The Department of Trade and Industry, through the 2019 General Appropriations Act Continuing Appropriations intends to apply the sum of Three Hundred Sixty Two Thousand Five Hundred Ninety Five Pesos (Php 362,595.00) being the Approved Budget for the C</t>
  </si>
  <si>
    <t xml:space="preserve"> 1.	The Department of Trade and Industry, through the  INREMP LES 2 under ADB funding intends to apply the sum of  Seven Hundred Five Thousand Pesos (Php 705,000.00) being the Approved Budget for the Contract (ABC) for the contract for  White Corn Processi</t>
  </si>
  <si>
    <t xml:space="preserve"> 5	case	Vacuum Filter/Storage Bottle System, 1000 mL  0.22 µm Pore 54.5cm² Polyethersulfone (PES)                  Membrane, Sterile, Case of 12s 4	pack	Plastic Disposable Transfer Pipets, Non-sterile, 3mL, PE (Polyethylene), Pack of 500 6	pack	Transfer Pi</t>
  </si>
  <si>
    <t xml:space="preserve"> 1.	The Department of Trade and Industry, through the INREMP-LES 2 under ADB Funding intends to apply the sum of Four Hundred Seventy-Two Thousand Five Hundred Fifty Pesos Only (Php 472,550.00) being the Approved Budget for the Contract (ABC) for the contr</t>
  </si>
  <si>
    <t xml:space="preserve"> 1.	The Department of Trade and Industry, through the INREMP-LES 2 under ADB Funding intends to apply the sum of Eight Hundred Seventy Thousand Pesos Only (Php 870,000.00) being the Approved Budget for the Contract (ABC) for the contract for Heirloom Rice </t>
  </si>
  <si>
    <t xml:space="preserve"> One job furnishing labor and materials for the CONSTRUCTION OF STORM SURGE PROTECTION, BULARAN, BANATE, ILOILO</t>
  </si>
  <si>
    <t xml:space="preserve"> 1.	The Department of Trade and Industry, through the INREMP LES 2 under ADB Funding intends to apply the sum of One Million Eighty Thousand Pesos Only (Php1,080,000.00) being the Approved Budget for the Contract (ABC) for the contract for SUSTAINING THE L</t>
  </si>
  <si>
    <t xml:space="preserve"> 1.	The Department of Trade and Industry, through the INREMP-LES 2 under ADB Funding intends to apply the sum of Five Hundred Two Thousand Six Hundred Eighty Pesos Only (Php 502,680.00) being the Approved Budget for the Contract (ABC) for the contract for </t>
  </si>
  <si>
    <t xml:space="preserve"> 1.	The Department of Trade and Industry, through the Integrated Natural Resources and Environmental Management Project – Livelihood Enhancement Support 2 (INREMP-LES 2) under Asian Development Bank (ADB) Funding intends to apply the sum of Five Hundred Fi</t>
  </si>
  <si>
    <t xml:space="preserve"> Republic of the Philippines DEPARTMENT OF PUBLIC WORKS AND HIGHWAYS CENTRAL OFFICE Manila Roads Management Cluster 1 (Bilateral), Unified Project Management Office 2nd Street, Port Area, Manila -------------------------------------------------------------</t>
  </si>
  <si>
    <t xml:space="preserve"> 1.	The Department of Trade and Industry, through the Integrated Natural Resources and Environmental Management Project – Livelihood Enhancement Support 2 (INREMP-LES 2) under Asian Development Bank (ADB) Funding intends to apply the sum of One Hundred Two</t>
  </si>
  <si>
    <t xml:space="preserve"> REQUEST FOR EXPRESSION OF INTEREST FOR FEASIBILITY STUDY OF  BOSIGON  IRRIGATION PROJECT LABO, VINZONS &amp; PARACALE, CAMARINES NORTE 1.	 The National Irrigation Administration RO V, Naga City, through the GAA/FSDE CY 2018  intends to apply the sum of P 11,2</t>
  </si>
  <si>
    <t xml:space="preserve"> CLOTH FLANELLA GLOVES HIGH VOLTAGE ROPE 3/4 X 100M, POLYDACRON HOSE HYDRAULIC, 4WIRE BRAIDED W/STRIGHT CRIMPED @ ONE END &amp; 45 DEG.ANGLE FLANGE W/ 2PCS O-RING@ OTHER END 1-1/4 IDX36 LEGTH OXYGEN CONTENT ONLY ACETYLENE CONTENT ONLY NOTE: REQUEST FOR QUOTATI</t>
  </si>
  <si>
    <t xml:space="preserve"> UPS TECHNICAL SPECIFICATIONS: POWER RATING: 3000 VA/ 2700W INPUT AC PARAMETERS: INPUT SOCKET: IEC 320-C20 OUTPUT SOCKET: (6) IEC 320-C13; (1) IEC320-C19 BATTERY PARAMETERS: QUANTITY X VOLTAGE X RATING (Ahr): 6 X 12 V X 9.0 ENVIRONMENTAL: AUDIBLE NOISE (Db</t>
  </si>
  <si>
    <t xml:space="preserve"> Invitation to Bid for the  SUPPLY AND DELIVERY OF IT EQUIPMENT 1.	The Metropolitan Tuguegarao Water District through the Corporate Budget for the Year 2020 intends to apply the sum of Two Million Four Hundred Thousand Pesos (P 2,400,000.00) being the Appr</t>
  </si>
  <si>
    <t xml:space="preserve"> 1.	The Department of Trade and Industry, through the INREMP LES 2 under ADB Funding intends to apply the sum of Four Hundred Twenty Eight Thousand Five Hundred Pesos Only (Php428,500.00) being the Approved Budget for the Contract (ABC) for the contract fo</t>
  </si>
  <si>
    <t xml:space="preserve"> 1.	The Department of Trade and Industry, through the INREMP LES 2 under ADB Funding intends to apply the sum of Six Hundred Seventy One Thousand Five Hundred Pesos Only (Php671,500.00) being the Approved Budget for the Contract (ABC) for the contract for </t>
  </si>
  <si>
    <t xml:space="preserve"> Request for Expression of Interest Consulting Service for the Support and Maintenance of the Business Name Registration System Next Generation (BNRSNextGEN) 1.	The Department of Trade and Industry, through the CY 2020 General Appropriations Act and/or con</t>
  </si>
  <si>
    <t xml:space="preserve"> 1.	The Department of Trade and Industry, through the INREMP LES 2 under ADB Funding intends to apply the sum of Four Hundred Eighty Three Thousand Nine Hundred Pesos Only (Php483,900.00) being the Approved Budget for the Contract (ABC) for the contract fo</t>
  </si>
  <si>
    <t xml:space="preserve"> Please see attached RFQ # 20-978. Submit your Sign and Sealed Quotation together with your UPDATED ELIGIBILITY Requirements at 3/F ATI Building Department of Agriculture Region IV-MiMaRoPa, Property&amp;Supply Unit/BAC Secretariat Elliptical Road, Diliman, Qu</t>
  </si>
  <si>
    <t xml:space="preserve"> 1.	The Department of Trade and Industry, through the INREMP LES 2 under ADB funding intends to apply the sum of Nine Hundred Fifty Five Thousand Pesos (Php 955,000.00) being the Approved Budget for the Contract (ABC) for the contract for Enhancing the Liv</t>
  </si>
  <si>
    <t xml:space="preserve"> 1.	The Department of Trade and Industry, through the INREMP LES 2 under ADB Funding intends to apply the sum of One Million Three Hundred Fifty Three Thousand  Pesos Only (Php1,353,000.00) being the Approved Budget for the Contract (ABC) for the contract </t>
  </si>
  <si>
    <t xml:space="preserve"> SPL MOBILIZATION/DEMOBILIZATION 1 LOT 102 SURPLUS COMMON EXCAVATION 800 CU.M 103 STRUCTURE EXCAVATION 150 CU.M 104 EMBANKMENT, FROM EXCAVATED SUITABLE MATERIAL 900 CU.M 105 SUBGRADE PREPARATION 6000 SQ.M 200 AGGREGATES SUB-BASE COARSE 1610 SQ.M 300 AGGREG</t>
  </si>
  <si>
    <t xml:space="preserve"> Please quote your lowest possible price for THE Supply of Labor, Tools, Materials and Technical Supervision for the General Cleaning and Repair of Air-condition Units. For the complete details, please see attached Request for Quotation form. All details a</t>
  </si>
  <si>
    <t xml:space="preserve"> Please see attached RFQ # 20-959 Submit your Sign and Sealed Quotation together with your UPDATED ELIGIBILITY Requirements For more details please call BUB/Planning (426-0593)  Technical Requirements: 1. Valid Business Permit / Mayor's Permit 2. Valid Phi</t>
  </si>
  <si>
    <t xml:space="preserve"> 1.	The Department of Trade and Industry, through the INREMP LES 2 under ADB Funding intends to apply the sum of One Million Three Hundred Fifty Three Thousand Pesos Only (Php1,353,000.00) being the Approved Budget for the Contract (ABC) for the contract f</t>
  </si>
  <si>
    <t xml:space="preserve"> 1	The DPWH, ZN 3rd Engineering District, Segabe, Piñan, Zamboanga del Norte, through the CY 2020 PDE Funds intends to apply the sum of ONE MILLION ONE HUNDRED NINETY NINE THOUSAND SEVEN HUNDRED NINETY TWO PESOS AND SEVENTY SEVEN CENTAVOS (Php 1,199,792.77</t>
  </si>
  <si>
    <t xml:space="preserve"> 1	The DPWH, ZN 3rd Engineering District, Segabe, Piñan, Zamboanga del Norte, through the CY 2020 PDE Funds intends to apply the sum of FOUR HUNDRED TWENTY FOUR THOUSAND SEVEN HUNDRED SIXTY NINE PESOS AND THIRTY NINE CENTAVOS (Php 424,769.39) being the App</t>
  </si>
  <si>
    <t xml:space="preserve"> One (1) Lot Engagement of Consultant for the Assessment of Enterprise Risk, Business Continuity Management Frameworks and Development of Compliance Management Framework and Program for the Bangko Sentral ng Pilipinas (BSP), as per BSP Terms of Reference P</t>
  </si>
  <si>
    <t xml:space="preserve"> The DPWH – Bulacan First District Engineering Office, through its Bids and Awards Committee (BAC), invites contractors to submit bids for the following Contract: Contract ID: 20CC0214 Contract Name: Construction of Bridge, Brgy. Bonga Menor Contract Locat</t>
  </si>
  <si>
    <t xml:space="preserve"> see attached bid docs</t>
  </si>
  <si>
    <t xml:space="preserve"> Republic of the Philippines Province of Ilocos Sur Municipality of San Juan Barangay Sabangan OFFICE OF THE BIDS AND AWARDS COMMITTEE INVITATION TO APPLY FOR ELIGIBILITY AND TO BID The Barangay Sabangan,San Juan,Ilocos Sur through the Bids and Awards Comm</t>
  </si>
  <si>
    <t xml:space="preserve"> Provision of Labor, Materials and Equipment for the Repair/ Improvement of Isolation Room of Western Leyte Provincial Hospital in Baybay City, Leyte in accordance with the plan and specifications : SCOPE OF WORK: * Removal of Existing Structure and Obstru</t>
  </si>
  <si>
    <t xml:space="preserve"> Handheld Radios</t>
  </si>
  <si>
    <t xml:space="preserve"> PNOC Exploration Corporation (PNOC EC), through its Bids and Awards Committee (BAC), invites bidders to apply for eligibility and to bid for the hereunder project:                                    Project Name : Supply and Delivery of Materials, Labor, </t>
  </si>
  <si>
    <t xml:space="preserve"> Lot 1: One (1) Lot Application of Polyurethane Foam on all BSP Buildings of BSP Cebu RO (see attached Scope of Work and Specifications)                                                                Lot 2: One (1) Lot Application of Polyurethane Foam Insu</t>
  </si>
  <si>
    <t xml:space="preserve"> 1.	The Department of Trade and Industry, through the INREMP LES 2 under ADB Funding intends to apply the sum of Seven Hundred Sixty Seven Thousand Pesos Only (Php767,000.00) being the Approved Budget for the Contract (ABC) for the contract for ENHANCING T</t>
  </si>
  <si>
    <t xml:space="preserve"> Lot 1: One (1) Unit Motor Vehicle for BSP Bacolod Branch, as per attached specifications Lot 2: One (1) Unit Motor Vehicle for BSP Dumaguete Branch, as per attached specifications Lot 3: One (1) Unit Motor Vehicle for BSP Iloilo Branch, as per attached sp</t>
  </si>
  <si>
    <t xml:space="preserve"> Republic of the Philippines Province of Davao Occidental MUNICIPALITY OF SARANGANI Invitation to Bid CONSTRUCTION OF BOX CULVERT CREEK 1 TORANG, CAMALIG, (8000-2-2-12), 000000000SARANGANI, DAVAO OCCIDENTAL. The Municipality of Sarangani, through 20% Devt.</t>
  </si>
  <si>
    <t xml:space="preserve"> ITB-SSS-Goods-2020-016 Approved Budget for the Contract (ABC)   Lot 1: NCR North and East Divisions   -   P 57,425,000.00 per year Lot 2: NCR West and South Divisions  -   P 46,631,871.00 per year Source of Fund	:   Approved 2020 Corporate Operating Budge</t>
  </si>
  <si>
    <t xml:space="preserve"> Invitation to Bid for Project No.: ITB 2020-Infra-002 1.	The Department of Education (DepEd) Division of Calamba City, intends to apply the sum of Two million six hundred six thousand nine hundred fifty-one pesos &amp; 31/100 only (Php.2,606,951.31) being the</t>
  </si>
  <si>
    <t xml:space="preserve"> 1.	The Philippine Health Insurance Corporation, through the Corporate Operating Budget of CY 2020 intends to apply the sum of Fourteen Million Four Hundred Fifty Eight Pesos Three Hundred Thirty Three Pesos and Fifty Centavos (PhP14,458,333.50) for the fi</t>
  </si>
  <si>
    <t xml:space="preserve"> INVITATION TO BID FOR HIRING OF SERVICE PROVIDER FOR CUSTOMS BROKERAGE AND CARGO HAULING SERVICES FOR FY 2020 — ITB NO. GOP/20-DSWD-032 — (PR NO. 2019121832) 1.	The Department of Social Welfare and Development (DSWD) – National Resource and Logistics Mana</t>
  </si>
  <si>
    <t xml:space="preserve"> Department of Public Works and Highways OFFICE OF THE REGIONAL DIRECTOR DPWH Regional Office VII South Road Properties, Cebu City  Request for Expression of Interest for the Procurement of  Consultancy Services for the Detailed Engineering Design (DED) Ac</t>
  </si>
  <si>
    <t xml:space="preserve"> Department of Public Works and Highways OFFICE OF THE REGIONAL DIRECTOR DPWH Regional Office VII South Road Properties, Cebu City  Request for Expression of Interest for the Procurement of Consultancy Services for the Detailed Engineering Design (DED) Act</t>
  </si>
  <si>
    <t xml:space="preserve"> Invitation to Bid for Project No.: ITB 2020-Infra-001 1.	The Department of Education (DepEd) Division of Calamba City, intends to apply the sum of Three million twenty-five thousand six hundred fifty-seven pesos &amp; 63/100 only (Php.3,025,657.63) being the </t>
  </si>
  <si>
    <t xml:space="preserve"> INVITATION TO BID The DPWH-Regional Office No. III,  through  its  Bids  and  Awards  Committee  (BAC),  invites contractors to submit bids for the following Contracts below:   Procurement ID/Contract ID:    20C00042 Contract Name:      Local Program-Cons</t>
  </si>
  <si>
    <t xml:space="preserve"> The Philippine Carabao Center at USM through its Bids and Awards Committee (BAC) invites PhilGEPS registered suppliers to apply to bid for the Supply and Delivery of Packaging Supplies and Materials.</t>
  </si>
  <si>
    <t xml:space="preserve"> Request for Quotation The Bureau of Fisheries and Aquatic Resources, Regional Office No. 5, Fabrica, Bula, Camarines Sur is requesting from prospective suppliers to submit quotation for the Supply and Delivery of Tools for the Repair and Maintenance of al</t>
  </si>
  <si>
    <t xml:space="preserve"> CONSTRUCTION OF WATER TANK WITH AN AREA OF 3MX3M AND SUPPLY AND DELIVERY OF CONST. MATERIALS</t>
  </si>
  <si>
    <t xml:space="preserve"> Purchase of 2,600 Bags of Syntethic Fertilizers to be distributed to the farmers of Porac, Pampanga</t>
  </si>
  <si>
    <t xml:space="preserve"> SUPPLY AND DELIVERY/PURCHASE OF TOILET BOWL</t>
  </si>
  <si>
    <t xml:space="preserve"> WIDENING OF ACUTE ANGLE, W=MORE OR LESS 4M EARTH FILL WIDE</t>
  </si>
  <si>
    <t xml:space="preserve"> Procurement of Printing Services 3,300	Sq. ft	Printing of tarpaulin with the following specifications: Assorted sizes of tarpaulins Heavy duty with borders and eyelets For DA-WV programs, projects, promotions and activities PR# 2020-771</t>
  </si>
  <si>
    <t xml:space="preserve"> REQUEST FOR EXPRESSION OF INTEREST (REOI) Hiring of Consultancy Services (Individual Consultant) Solicitation No. SIC-92-2020-PRDP-RPCO1 EPC: Php384,000.00 1. 	The Government of the Philippines has received a loan from the World Bank towards the cost of t</t>
  </si>
  <si>
    <t xml:space="preserve"> Invitation to Bid for Construction of Balikatan Pumping Station (Civil Works) 1. The Tanay Water District, through the Corporate Budget for the contract approved by the governing Board intends to apply the sum of Two Million Eight Hundred Twenty Three Tho</t>
  </si>
  <si>
    <t xml:space="preserve"> Invitation for Negotiated Procurement Drilling of One (1) Production Well at Kat-Bayani Pumping Station  1. In view of the two (2) failed competitive public biddings, the Tanay Water District, through its Bids and Awards Committee (BAC), invites intereste</t>
  </si>
  <si>
    <t xml:space="preserve"> Invitation to Bid for Project No.: ITB 2020-Infra-004 1.	The Department of Education (DepEd) Division of Calamba City, intends to apply the sum of One million one hundred fourteen thousand seven hundred ninety-three pesos &amp; 99/100 only (Php.1,114,793.99) </t>
  </si>
  <si>
    <t xml:space="preserve"> Invitation to Bid For   Supply and Delivery of 4,300 pieces Ribbon for EPSON Printer FX2190 and 440 pieces  Genuine Burroughs Black Multiline Print Inkjet Cartridge 1.	The LAND BANK OF THE PHILIPPINES (LANDBANK), through its Corporate Budget for the contr</t>
  </si>
  <si>
    <t xml:space="preserve"> REFURBISHING OF 5 UNITS CR @ A6 SCOPE OF WORKS 1.MOBILIZATION OF MATERIALS AND SITE PREPARATION. 2. CLEARING THE UNNECESSARY OBJECTS OF THE SITE. 3. INSTALLATION OF FINISHING MATERIALS (CEILINGS,FLOORS,WALLS,DOORS,EXHAUST FAN, HANGING CABINETS, FAUCETS, H</t>
  </si>
  <si>
    <t xml:space="preserve"> Procurement of supply and delivery of farm chemicals 2	Bottle	Ethylene diamine tetra acetic acid (Na2EDTA.2H20) 3	Bottle	Potassium nitrate, 1kg/bot, AR 4	Bottle	Ammonium nitrate, 1kg/bot, AR 3	Bottle	Calcium chloride dehydrate, 500g/bot,AR 3	Bottle	Magnes</t>
  </si>
  <si>
    <t xml:space="preserve"> Swimming Pool ( Inner Walls and Floor) 525	sq.m	Pool Area(Including surface preparation) 480	sq.m	Deck Area (Including surface preparation) 51	gals	Liquid Tiles Primer 32	gals	Liquid Tiles Reducer 80	gals	Liquid Tiles paint w/reducer 15	gals	Paint Remover</t>
  </si>
  <si>
    <t xml:space="preserve"> Request for Quotation The Bureau of Fisheries and Aquatic Resources, Regional Office No. 5, Fabrica, Bula, Camarines Sur is requesting from prospective suppliers to submit quotation for the Supply and Delivery of Ink and Printer.   Quantity	Unit	Item Desc</t>
  </si>
  <si>
    <t xml:space="preserve"> Request for Proposal  The Bureau of Fisheries and Aquatic Resources Regional Office No. 5 (BFAR RO 5), Fabrica, Bula, Camarines Sur is requesting from prospective suppliers to submit written proposal for the Supply and Installation of Accessories of RP Ve</t>
  </si>
  <si>
    <t xml:space="preserve"> Request for Quotation The Bureau of Fisheries and Aquatic Resources, Regional Office No. 5, Fabrica, Bula, Camarines Sur is requesting from prospective suppliers to submit quotation for the Supply and Delivery of FRP Materials, Underwater Fittings and Mar</t>
  </si>
  <si>
    <t xml:space="preserve"> Request for Proposal  The Bureau of Fisheries and Aquatic Resources Regional Office No. 5 (BFAR RO 5), Fabrica, Bula, Camarines Sur is requesting from prospective suppliers to submit written proposal for the Upgrading of Desktop Computer. Quantity	Unit	It</t>
  </si>
  <si>
    <t xml:space="preserve"> 1. Pre-procurement	May 7, 2020 2. Advertisement/Posting of IBEI	May 8-14, 2020 3.  Eligibility Check	May 15-16, 2020 4. Issuance and availability of Bidding Documents	May 18-June 1, 2020 5. Pre-Bid Conference 	May 19, 2020 6. Submission and Opening of Bid</t>
  </si>
  <si>
    <t xml:space="preserve"> Request for Quotation The Bureau of Fisheries and Aquatic Resources, Regional Office No. 5, Fabrica, Bula, Camarines Sur is requesting from prospective suppliers to submit quotation for the Supply and Delivery of Six (6) Units of Cellphone.   Quantity	Uni</t>
  </si>
  <si>
    <t xml:space="preserve"> Request for Quotation The Bureau of Fisheries and Aquatic Resources, Regional Office No. 5, Fabrica, Bula, Camarines Sur is requesting from prospective suppliers to submit quotation for the Supply and Delivery of FSP Computer Equipment.   Quantity	Unit	It</t>
  </si>
  <si>
    <t xml:space="preserve"> Request for Quotation The Bureau of Fisheries and Aquatic Resources, Regional Office No. 5, Fabrica, Bula, Camarines Sur is requesting from prospective suppliers to submit quotation for the Supply and Delivery of Office Supplies intended for printing and </t>
  </si>
  <si>
    <t xml:space="preserve"> Request for Quotation The Bureau of Fisheries and Aquatic Resources, Regional Office No. 5, Fabrica, Bula, Camarines Sur is requesting from prospective suppliers to submit quotation for the Supply and Delivery of Office Equipment.   Quantity	Unit	Item Des</t>
  </si>
  <si>
    <t xml:space="preserve"> Procurement of supply and delivery of various NSIC approve hybrid rice seeds Private Hybrid @18kg/bag 40	bag	NSIC Rc 314H 40	bag	NSIC Rc 322H 20	bag	NSIC Rc 410H PR# 2020-811</t>
  </si>
  <si>
    <t xml:space="preserve"> Invitation to Bid for Project No.: ITB 2020-Infra-007 1.	The Department of Education (DepEd) Division of Calamba City, intends to apply the sum of One million one hundred eighty-seven thousand eight hundred forty-nine pesos &amp; 29/100 only (Php.1,187,849.29</t>
  </si>
  <si>
    <t xml:space="preserve"> Invitation to Bid for Project No.: ITB 2020-Infra-006 1.	The Department of Education (DepEd) Division of Calamba City, intends to apply the sum of Two million seven hundred eighty-seven thousand seven hundred fifty-six pesos &amp; 08/100 only (Php.2,787,756.0</t>
  </si>
  <si>
    <t xml:space="preserve"> Invitation to Bid for Project No.: ITB 2020-Infra-005 1.	The Department of Education (DepEd) Division of Calamba City, intends to apply the sum of One million three hundred twenty-nine thousand four hundred twenty-eight pesos &amp; 01/100 only (Php.1,329,428.</t>
  </si>
  <si>
    <t xml:space="preserve"> PGM-BAC reserves the right to reject any or all quotations to waive formality therein and to accept offers as may be considered advantageous to the government. 	 THE BAC CHAIRPERSON Boac, Marinduque</t>
  </si>
  <si>
    <t xml:space="preserve"> Location : Manito, Albay Scope of Work : Construction of Water System which includes Drilling Works, Stainless Steel Tank, 672.00m Distribution Pipelines and seven (7) Communal Faucets</t>
  </si>
  <si>
    <t xml:space="preserve"> Request for Quotation The Bureau of Fisheries and Aquatic Resources, Regional Office No. 5, Fabrica, Bula, Camarines Sur is requesting from prospective suppliers to submit quotation for the Supply and Delivery of Common-Use Office Supplies.   Quantity	Uni</t>
  </si>
  <si>
    <t xml:space="preserve"> INVITATION TO BID The Department of Public Works and Highways Zamboanga del Sur 1st District Engineering Office, Pagadian City, through its Bids and Awards Committee (BAC), invites contractors to submit bids for the following Contract: Contract ID	:	20JE0</t>
  </si>
  <si>
    <t xml:space="preserve"> Invitation to Bid for Project No.: ITB 2020-Infra-003 1.	The Department of Education (DepEd) Division of Calamba City, intends to apply the sum of Two million three hundred forty thousand eight hundred one pesos &amp; 68/100 only (Php.2,340,801.68) being the </t>
  </si>
  <si>
    <t xml:space="preserve"> Please see attached RFQ # 20-786 Submit your Sign and Sealed Quotation together with your UPDATED ELIGIBILITY Requirements at 3/F ATI Building Department of Agriculture Region IV-MiMaRoPa, Property&amp;Supply Unit/BAC Secretariat Elliptical Road, Diliman, Que</t>
  </si>
  <si>
    <t xml:space="preserve"> 302 cu.m Aggregate Base Course (2" Crush Stone) 1,260 liters Diesoline 2  pails Oil 68(Hydraulic Oil) 1 pail Oil 40 (Gear Oil) 2 gals OIl 40 (Diesel Oil) 2 liters Brake Fluid</t>
  </si>
  <si>
    <t xml:space="preserve"> Construction of Multi-Purpose Building includes Civil, Mechanical, Electrical, and Sanitary/Plumbing Works; Earthwork; Plain and Reinforced Concrete Work; and Finishings and Other Civil Works; Electrical; Mechanical</t>
  </si>
  <si>
    <t xml:space="preserve"> Item No. Unit Description Qty 1 pcs Travelling Bag trolley good for 40kg 10 2 pcs Personalized Tshirt dry fit 20 3 pcs Lapu-lapu Miniature memento 15 4 pcs Paperweight memento 30 5 pcs Personalized Mugs memento 30 6 pcs Keychain memento 30 * * * * * * * *</t>
  </si>
  <si>
    <t xml:space="preserve"> LOT 1 - MEALS AND SNACKS VENUE: SAN JOSE, OCCIDENTAL MINDORO BRGY. SITES: 30 PAX - CAMBURAY - AUGUST 3, 2020 30 PAX - BATASAN - AUGUST 4, 2020 30 PAX - MONTE CLARO - AUGUST 5, 2020 30 PAX - BATASAN - AUGUST 6, 2020 30 PAX - MURTHA - AUGUST 7, 2020 PURPOSE</t>
  </si>
  <si>
    <t xml:space="preserve"> Request for Quotation The Bureau of Fisheries and Aquatic Resources, Regional Office No. 5, Fabrica, Bula, Camarines Sur is requesting from prospective suppliers to submit quotation for the Supply and Delivery of Tilapia Feeds.   Quantity	Unit	Item Descri</t>
  </si>
  <si>
    <t xml:space="preserve"> H E A D Q U A R T E R S P H I L I P P I N E   A R M Y OFFICE OF THE PHILIPPINE ARMY BIDS AND AWARDS COMMITTEE 1 Fort Andres Bonifacio, Metro Manila Invitation to Bid The Armed Forces of the Philippines, through the Philippine Army Bids and Awards Committe</t>
  </si>
  <si>
    <t xml:space="preserve"> Republic of the Philippines Province of Davao Occidental MUNICIPALITY OF SARANGANI Invitation to Bid PROCUREMENT OF LAPTOP, DRONE &amp; GPS DEVICE  Formulation of Comprehensive Development Plan (CDP), Comprehensive Land Use Plan (CLUP) Plan, Municipal Disaste</t>
  </si>
  <si>
    <t xml:space="preserve"> •	Concreting (width = 6.10m., thk. = 230mm) •	Roadway Excavation - Common Surplus Excavation •	Construction of Minor Drainage Structures •	Application of Reflectorized Thermoplastic Pavement Markings</t>
  </si>
  <si>
    <t xml:space="preserve"> Republic of the Philippines Province of Davao Occidental MUNICIPALITY OF SARANGANI Invitation to Bid CATERING SERVICES (Meals &amp; Snacks) Formulation of Comprehensive Development Plan (CDP), Comprehensive Land Use Plan (CLUP) Plan, Municipal Disaster Risk R</t>
  </si>
  <si>
    <t xml:space="preserve"> TEWS-Alerting Siren Components Set includes: 1. DOST-ASTI arQ Data Logger 2. One set production and assembly of controller box with manual trigger    a. 1  enclosure box with customized interface holes    b. 1 pc of fabrication of TEWS trigger switch boar</t>
  </si>
  <si>
    <t xml:space="preserve"> Gazebo</t>
  </si>
  <si>
    <t xml:space="preserve"> INVITATION TO BID FOR SUPPLY AND DELIVERY OF TWO THOUSAND THREE HUNDRED NINETY (2,390) SETS CHLORINE DIOXIDE (BUG BUST 4322 &amp; 4324) FOR WATER TREATMENT AND MAINTENANCE USE- 2ND QUARTER OF CY 2020  1.	The METRO KALIBO WATER DISTRICT, through the Corporate </t>
  </si>
  <si>
    <t xml:space="preserve"> LUBRICANT, WIRE ROPE	 	 	 SPECIFICATIONS:	 SEMI FLUID WIRE ROPE DRESSING FOR EASY APPLICATION AND ROPE PENETRATION WHICH RESIST FLING-OFF AND WATER WASH-OUT. CONTAINS NO SOLVENT DILUENT. WIRE ROPE	 DRESSING WILL PENETRATE RIGHT INTO THE CORE OF THE ROPE, </t>
  </si>
  <si>
    <t xml:space="preserve"> The DPWH-Ilocos Sur 1st District Engineering Office, through its Bids and Awards Committee (BAC), invites contractors to submit bids for the following Contract:   Contract ID: 20AC0084   Contract Name: Construction of River Control Along Bical River, San </t>
  </si>
  <si>
    <t xml:space="preserve"> The DPWH-Ilocos Sur 1st District Engineering Office, through its Bids and Awards Committee (BAC), invites contractors to submit bids for the following Contract:   Contract ID: 20AC0082   Contract Name: Construction of Box Culvert and Improvement of Draina</t>
  </si>
  <si>
    <t xml:space="preserve"> The DPWH-Ilocos Sur 1st District Engineering Office, through its Bids and Awards Committee (BAC), invites contractors to submit bids for the following Contract:   Contract ID: 20AC0090   Contract Name: Constructionof Multi-Purpose Building, Magsingal, Ilo</t>
  </si>
  <si>
    <t xml:space="preserve"> The DPWH-Ilocos Sur 1st District Engineering Office, through its Bids and Awards Committee (BAC), invites contractors to submit bids for the following Contract:   Contract ID: 20AC0080   Contract Name: Construction of Drainage Canal Along Sta. Elena Creek</t>
  </si>
  <si>
    <t xml:space="preserve"> The DPWH-Ilocos Sur 1st District Engineering Office, through its Bids and Awards Committee (BAC), invites contractors to submit bids for the following Contract:   Contract ID: 20AC0089   Contract Name: Construction / Rehabilitation of Multi-Purpose Buildi</t>
  </si>
  <si>
    <t xml:space="preserve"> The DPWH-Ilocos Sur 1st District Engineering Office, through its Bids and Awards Committee (BAC), invites contractors to submit bids for the following Contract:   Contract ID: 20AC0087   Contract Name: Rehabilitation of Tamorong Road with Slope Protection</t>
  </si>
  <si>
    <t xml:space="preserve"> REMOVAL OF WATERLILIES &amp; OTHER DEBRIS AT THE APPROACH CHANNEL OF AGUS 6 POWER INTAKE REMOVAL OF WATERLILIES &amp; OTHER DEBRIS AT AGUS 6 DAM FURNISHING OF LABOR, TOOL AND MATERIALS FOR THE REMOVAL AND CLEARING OF WATERLILIES AND OTHER DEBRIS AT THE APPROACH C</t>
  </si>
  <si>
    <t xml:space="preserve"> The DPWH-Ilocos Sur 1st District Engineering Office, through its Bids and Awards Committee (BAC), invites contractors to submit bids for the following Contract:   Contract ID: 20AC0091   Contract Name: Construction of Multi-Purpose Building, Brgy. San Vic</t>
  </si>
  <si>
    <t xml:space="preserve"> PROVISION OF WATCHMAN SERVICES FROM MARCH 1-DECEMBER 31, 2020</t>
  </si>
  <si>
    <t xml:space="preserve"> Sea Ambulance with 2 Stroke Double Engine 75 HP, 25 Passenger Capacity, GPS big 14 inches, Big Oxygen Tank and with Medical Kit</t>
  </si>
  <si>
    <t xml:space="preserve"> The DPWH-Ilocos Sur 1st District Engineering Office, through its Bids and Awards Committee (BAC), invites contractors to submit bids for the following Contract:   Contract ID: 20AC0088   Contract Name: Construction of Multi-Purpose Building, Brgy. Bungro,</t>
  </si>
  <si>
    <t xml:space="preserve"> The DPWH-Ilocos Sur 1st District Engineering Office, through its Bids and Awards Committee (BAC), invites contractors to submit bids for the following Contract:   Contract ID: 20AC0083   Contract Name: Construction of Flood Control Structure Along Mestizo</t>
  </si>
  <si>
    <t xml:space="preserve"> Invitation to Bid For Supply and Delivery of 600 Units Passbook Printer 1.	The LAND BANK OF THE PHILIPPINES (LANDBANK), through its Corporate Budget for the contract approved by the Board of Directors for 2019 intends to apply the total sum of Nine Millio</t>
  </si>
  <si>
    <t xml:space="preserve"> Invitation to Bid for Procurement of Gate Valves, Combi Flange w/ Sealing and STC w/Brass Tensile Ring 1.	The Norzagaray Water District (Nor-WD) through its Corporate Budget for the contract approved by the governing Boards intends to apply the sum of One</t>
  </si>
  <si>
    <t xml:space="preserve"> The DPWH-Ilocos Sur 1st District Engineering Office, through its Bids and Awards Committee (BAC), invites contractors to submit bids for the following Contract:   Contract ID: 20AC0081   Contract Name: Rehabilitation of Rivero Street, Including Constructi</t>
  </si>
  <si>
    <t xml:space="preserve"> DESCRIPTION	UNIT	QUANTITY PART A	FACILITIES FOR THE ENGINEER		 A.1.1(10)	PROVISION OF LIVING QUARTER FOR THE ENGINEER (RENTAL BASIS)	MO.	2.87 PART B	OTHER GENERAL REQUIREMENTS		 B.4(1)	CONSTRUCTION SURVEY &amp; STAKING	KM.	1.006 B.5	PROJECT BILLBOARD	EACH	4.0</t>
  </si>
  <si>
    <t xml:space="preserve"> The DPWH-Ilocos Sur 1st District Engineering Office, through its Bids and Awards Committee (BAC), invites contractors to submit bids for the following Contract:   Contract ID: 20AC0079   Contract Name: Construction of Don Dimas – Don Alejandro Road, Caoay</t>
  </si>
  <si>
    <t xml:space="preserve"> A) REQUEST FOR QUOTATION 1. 6 pcs. External Hard Drive, ITB, 2.5”HDD, USB 3.0, 1 unit in individual box Note: Delivery terms Fifteen (15) calendar days B) USE COMPANY LETTERHEAD FOR YOUR QUOTATION &amp; ADDRESS TO: DIR. JAMES JUPER B. AGUILAR Head, Procuremen</t>
  </si>
  <si>
    <t xml:space="preserve"> A) REQUEST FOR QUOTATION 1. 6 units Computer Set Minimum Specification: * At least Core i3 Latest Gen * At least 8GB Memory  * At least 4GB DDR5 Graphics Card * Mother Board * Atleast 500 GB HDD * with Display Port /HDMI/DVI Support * At least 23" Monitor</t>
  </si>
  <si>
    <t xml:space="preserve"> Republic of the Philippines DEPARTMENT OF HEALTH WESTERN VISAYAS Center for Health Development INVITATION TO BID FOR THE  Procurement of Anti-Rabies Vaccines,  IB No. SB-2020-019 1.	The Department of Health – WV CHD, through the CONAP PHM 2019 and CONAP S</t>
  </si>
  <si>
    <t xml:space="preserve"> Republic of the Philippines DEPARTMENT OF HEALTH WESTERN VISAYAS Center for Health Development INVITATION TO BID FOR THE  Procurement of Medical Supplies and Materials,  IB No. SB-2020-017 1.	The Department of Health – WV CHD, through the PHM 2020 and SCE</t>
  </si>
  <si>
    <t xml:space="preserve"> Invitation to Bid For Additional License for the Existing Solarwinds Servers, Networks, Database and Application Monitoring Tool 1.	The LAND BANK OF THE PHILIPPINES (LANDBANK), through its Corporate Budget for the contract approved by the Board of Directo</t>
  </si>
  <si>
    <t xml:space="preserve"> 1 	lot	Strong Motion Accelerograph	 		23 pcs Strong Motion Accelerograph	 		-1x Fully tested 3-axis MEMS accelerograph	 		circuit board	 		-1x Vertical Earth motion monitoring sensor	 		("geophone", 4.5 Hz)	 		-1x Raspberry Pi single-board computer	 		-1x</t>
  </si>
  <si>
    <t xml:space="preserve"> Republic of the Philippines DEPARTMENT OF HEALTH WESTERN VISAYAS Center for Health Development INVITATION TO BID FOR THE  Procurement of Drugs and Medicines,  IB No. SB-2020-018 1.	The Department of Health – WV CHD, through the CONAP 2019, NBS Trust Fund </t>
  </si>
  <si>
    <t xml:space="preserve"> Republic of the Philippines DEPARTMENT OF HEALTH WESTERN VISAYAS Center for Health Development INVITATION TO BID FOR THE  Rebidding of Hospital Equipment,  IB No. SB-2020-001 1.	The Department of Health – WV CHD, through the HFEP CY 2020 fund  intends to </t>
  </si>
  <si>
    <t xml:space="preserve"> BID TENDER The Bids and Awards Committee Province of Iloilo      In connection with your Invitation to Bid No. GSO-20-0202-B scheduled on April 3, 2020 I/we proposed to furnish and deliver in conformity with the terms and conditions, and specifications of</t>
  </si>
  <si>
    <t xml:space="preserve"> The DPWH-Ilocos Sur 1st District Engineering Office, through its Bids and Awards Committee (BAC), invites contractors to submit bids for the following Contract:   Contract ID: 20AC0078   Contract Name: Construction of Multi-Purpose Building (Covered Court</t>
  </si>
  <si>
    <t xml:space="preserve"> Invitation to Bid For   Three (3) Years ATM Cash Loading and First Level Maintenance (FLM) Services for  600 LANDBANK ATM Units 1.	The LAND BANK OF THE PHILIPPINES (LANDBANK), through its Corporate Budget for the contract approved by the Board of Director</t>
  </si>
  <si>
    <t xml:space="preserve"> The DPWH-Ilocos Sur 1st District Engineering Office, through its Bids and Awards Committee (BAC), invites contractors to submit bids for the following Contract:   Contract ID: 20AC0071   Contract Name: Construction of Drainage Canal Along Barangay Road Go</t>
  </si>
  <si>
    <t xml:space="preserve"> The DPWH-Ilocos Sur 1st District Engineering Office, through its Bids and Awards Committee (BAC), invites contractors to submit bids for the following Contract:   Contract ID: 20AC0076   Contract Name: Construction of Multi-Purpose Building (Covered Court</t>
  </si>
  <si>
    <t xml:space="preserve"> WORK ENVIRONMENT MEASUREMENT		 		 		 		 SCOPE OF WORKS:		 WORK ENVIRONMENT MEASUREMENT FOR THE FOLLOWING:		 PARAMETERS	NO. OF SAMPLING AREA/ STATION	 1.ILLUMINATION	15	 2.NOISE	15	 3.VENTILATION	15	 4.HEAT STRESS	15	 5.RELATIVE HUMIDITY &amp; AIR	15	 6. TOTAL</t>
  </si>
  <si>
    <t xml:space="preserve"> The DPWH-Ilocos Sur 1st District Engineering Office, through its Bids and Awards Committee (BAC), invites contractors to submit bids for the following Contract:   Contract ID: 20AC0065   Contract Name: Construction of Flood Control Brgy. Nagsabaran Bical </t>
  </si>
  <si>
    <t xml:space="preserve"> INVITATION TO BID FOR THE PROCUREMENT OF  15,000 REAMS OF BOOK PAPER  WITH AN ABC OF PHP 16,920,000.00 1.	The Philippine Charity Sweepstakes Office (PCSO), through the 2020 Corporate Operating Budget intends to apply the sum of Sixteen Million Nine Hundre</t>
  </si>
  <si>
    <t xml:space="preserve"> The San Francisco Water District through its Bids and Award committee will invites you to quote;</t>
  </si>
  <si>
    <t xml:space="preserve"> The Zamboanga State College of Marine Sciences and Technology (ZSCMST), through its Bids and Awards Committee, is inviting PhilGeps registered suppliers to apply for eligibility and to submit bids for the items mentioned hereunder: B-026-2020 PROCUREMENT </t>
  </si>
  <si>
    <t xml:space="preserve"> The DPWH-Ilocos Sur 1st District Engineering Office, through its Bids and Awards Committee (BAC), invites contractors to submit bids for the following Contract:   Contract ID: 20AC0066   Contract Name: Construction of Revetment Wall, Cadanglaan, Sinait, I</t>
  </si>
  <si>
    <t xml:space="preserve"> INVITATION TO BID FOR THE SUPPLY, DELIVERY, INSTALLATION, TESTING AND COMMISSIONING OF FIRE SUPPRESSION SYSTEM, 5-KW AIRCON, UPS, DOOR ACCESS CONTROL, TEMPERATURE AND HUMIDITY MONITORING SYSTEM, SERVER RACK AND RETROFITTING OF SERVER ROOM UNDER ITB NO. PB</t>
  </si>
  <si>
    <t xml:space="preserve"> Section I. Invitation to Bid FOR THE UPLB-RES-031-04-20  SUPPLY AND DELIVERY OF BRANDED AND BRAND NEW CHEMICALS AND CHEMICAL PRODUCTS FOR BIOTECH &amp; IPB 1.	The UNIVERSITY OF THE PHILIPPINES LOS BAÑOS (UPLB), through the GOP (LB03023001-C002482-N826947; and</t>
  </si>
  <si>
    <t xml:space="preserve"> Invitation to Bid For One (1) Lot Supply, Delivery and Installation of 50 Units Thru-The-Wall Cash Deposit Machine with Four (4) – Year Maintenance Package and Spare Parts   1.	The LAND BANK OF THE PHILIPPINES (LANDBANK), through its Corporate Budget for </t>
  </si>
  <si>
    <t xml:space="preserve"> Contract ID: 20-DO-0075 Contract Name: LOCAL PROGRAM - Local Infrastructure Program - Building and Other Structures - Multipurpose/Facilities - Construction of Multi-Purpose Building at Gen. Luna St. Brgy. Dulong Bayan 1, San Mateo, Rizal Contract Locatio</t>
  </si>
  <si>
    <t xml:space="preserve"> The DPWH-Ilocos Sur 1st District Engineering Office, through its Bids and Awards Committee (BAC), invites contractors to submit bids for the following Contract:   Contract ID: 20AC0075   Contract Name: Construction of Multi-Purpose Building, Brgy. Fuerte,</t>
  </si>
  <si>
    <t xml:space="preserve"> INVITATION TO BID FOR THE SUPPLY AND DELIVERY OF TEN (10) LOTS CONSOLIDATED I.T. EQUIPMENT AND OTHER PERIPHERALS FOR CORPORATE AND SOG 4 UNDER ITB NO. PB20-03-032COR The Philippine Amusement and Gaming Corporation (PAGCOR) is inviting all interested bidde</t>
  </si>
  <si>
    <t xml:space="preserve"> The DPWH-Ilocos Sur 1st District Engineering Office, through its Bids and Awards Committee (BAC), invites contractors to submit bids for the following Contract:   Contract ID: 20AC0077   Contract Name: Construction of Multi-Purpose Building (Covered Court</t>
  </si>
  <si>
    <t xml:space="preserve"> The DPWH Nueva Ecija 1st DEO, through its Bids and Awards Committee (BAC), invites contractors to submit bids for the following contract:			 				 	20CE0204: Construction of Multi-Purpose Building (School Gym), Kita-Kita High School, Brgy. Kita-Kita, San J</t>
  </si>
  <si>
    <t xml:space="preserve"> 3 sets Desktop Computer w/ accessories Processor: Intel Corei5-9400 (9M Cache, up to 4.10 GHz) OS: Windows 10 Pro 64 bit Video Card: NVIDIA GeForce GTX 1650 4GB GDDR5 Memory: 8GB HyperXFury DDR4 2666Mhz Hard Drive: 250 GB M.2 PCle NVMe Solid State Drive+1</t>
  </si>
  <si>
    <t xml:space="preserve"> INVITATION TO BID FOR SUPPLY AND DELIVERY OF EIGHT (8) LOTS VARIOUS SPARE PARTS FOR THE REPAIR AND MAINTENANCE OF MOTOR VEHICLES UNDER ITB NO. PB20-00-008CORA-02 (REBIDDING) The Philippine Amusement and Gaming Corporation (PAGCOR) is inviting all interest</t>
  </si>
  <si>
    <t xml:space="preserve"> INVITATION TO BID PROCUREMENT OF OTHER SUPPLIES AND MATERIALS (SUPPLIES AND TOOLS ON SHIELDED METAL ARTS &amp; WELDING) FOR SAN ROQUE NHS (UNDER SCHOOLS DIVISION OFFICE) 	 The City Government of Navotas, through its Bids and Awards Committee, will hold a Publ</t>
  </si>
  <si>
    <t xml:space="preserve"> The DPWH-Ilocos Sur 1st District Engineering Office, through its Bids and Awards Committee (BAC), invites contractors to submit bids for the following Contract:   Contract ID: 20AC0060   Contract Name: Construction of Seawall at Paratong-Subec, Sta. Catal</t>
  </si>
  <si>
    <t xml:space="preserve"> Republic of the Philippines         President Ramon Magsaysay State University (Formerly Ramon Magsaysay Technological University) Iba, Zambales, Philippines Tel/Fax No.: (047) 811-1683 INVITATION TO BID FOR  UPGRADING OF EQUIPMENT FOR PROCESSING LABORATO</t>
  </si>
  <si>
    <t xml:space="preserve"> The DPWH-Ilocos Sur 1st District Engineering Office, through its Bids and Awards Committee (BAC), invites contractors to submit bids for the following Contract:   Contract ID: 20AC0063   Contract Name: Concreting of Roads, Brgy. Baclig-Margaay-Salapasap, </t>
  </si>
  <si>
    <t xml:space="preserve"> INVITATION TO BID for the ITB No. 20-047 Supply and Delivery of Two Hundred Fifty-Two Thousand (252,000) Heparin Sodium, 1000IU/mL 5mL, Vial  1.The National Kidney and Transplant Institute (NKTI) through its Corporate Operating Budget (COB) intends to app</t>
  </si>
  <si>
    <t xml:space="preserve"> INVITATION TO BID FOR THE SUPPLY AND DELIVERY OF TWO (2) LOTS JUMBO TISSUE ROLL AND PAPER TOWEL UNDER ITB NO. PB20-03-004MAL The Philippine Amusement and Gaming Corporation (PAGCOR) is inviting all interested bidders in its forthcoming Public Bidding for </t>
  </si>
  <si>
    <t xml:space="preserve"> The DPWH-Ilocos Sur 1st District Engineering Office, through its Bids and Awards Committee (BAC), invites contractors to submit bids for the following Contract:   Contract ID: 20AC0069   Contract Name: Construction of Multi-Purpose Building (Covered Court</t>
  </si>
  <si>
    <t xml:space="preserve"> Request for Proposal  The Bureau of Fisheries and Aquatic Resources Regional Office No. 5 (BFAR RO 5), Fabrica, Bula, Camarines Sur is requesting from prospective suppliers to submit written proposal for the Labor for the Repair of FARMC Office. Scope of </t>
  </si>
  <si>
    <t xml:space="preserve"> The Zamboanga State College of Marine Sciences and Technology (ZSCMST), through its Bids and Awards Committee, is inviting PhilGeps registered suppliers to apply for eligibility and to submit bids for the items mentioned hereunder: B-025-2020 REPIPING OF </t>
  </si>
  <si>
    <t xml:space="preserve"> The DPWH-Ilocos Sur 1st District Engineering Office, through its Bids and Awards Committee (BAC), invites contractors to submit bids for the following Contract:   Contract ID: 20AC0062   Contract Name: Construction of Multi-Purpose Building (Covered Court</t>
  </si>
  <si>
    <t xml:space="preserve"> Contract Name: Construction and / or Repair / Rehabilitation of Multi – Purpose Building Brgy. 72, Zone 6, Tondo Manila       Contract Location: Tondo, Manila       Brief Description: Construction/ Repair/ Rehabilitation of Multi – Purpose Building       </t>
  </si>
  <si>
    <t xml:space="preserve"> The Zamboanga State College of Marine Sciences and Technology (ZSCMST), through its Bids and Awards Committee, is inviting PhilGeps registered suppliers to apply for eligibility and to submit bids for the items mentioned hereunder: B-024-2020 REPAIR AND M</t>
  </si>
  <si>
    <t xml:space="preserve"> 24	sets	Park Lamp Head 		 Specifications: 		Metal canopy with black painted finished &amp; clear acrylic 		lens and E-27 socket 24	pcs.	LED Bulb 		 Specifications: 		Wattage: 40 watts daylight, LED, E-27 socket 24	sets	Fluorescent Fixtures 		 Specifications: </t>
  </si>
  <si>
    <t xml:space="preserve"> Standard Form Number: SF-GOODS-05 Revised on:  July 28, 2004 INVITATION TO BID The University of the Philippines Cebu, through its Bids and Awards Committee (BAC), invites bidders to bid for the hereunder project: Name of Projects       :  Pocurement of I</t>
  </si>
  <si>
    <t xml:space="preserve"> Psychological Test is a tool for guidance use with regards to students development that includes assessment, mental ability, personality and socio-emotional functioning.  Testing materials listed as follow: 1.) 1	set Career Decision Scale(CDS) Introductor</t>
  </si>
  <si>
    <t xml:space="preserve"> Contract Name: Construction of Retention Basin at Estero de Sampaloc, Manila City Contract Location: Sampaloc, Manila      Brief Description: Construction of Retention Basin at Estero de Calubcob      Approved Budget for the Contract (ABC):  Php 48,999,86</t>
  </si>
  <si>
    <t xml:space="preserve"> 1.)	1 pc	Professional Android by Meier / 2018	@ P	4,996.00	 / pc 2.)	1 pc	Information Technology Project Management by 3G E-Learning / 2019	@ P	4,996.00 / pc 3.)	1 pc	Software Quality : Concepts and Practice by Galin / 2018 @ P	12,497.00 / pc 4.)	1 pc	Adv</t>
  </si>
  <si>
    <t xml:space="preserve"> Certified Rice Seeds 85 bags Urea (46-0-0) 85 bags Complete(14-14-14) 170 bags</t>
  </si>
  <si>
    <t xml:space="preserve"> REQUEST FOR EXPRESSION OF INTEREST (REOI) FOR CONSULTING SERVICES  19CSK00047 – Consulting Services for the Conduct of Feasibility Study for Region X Priority Road Infrastructure Projects-27 (REXPRIP-27) a.	PIA Bypass Road, Misamis Oriental 2nd Legislativ</t>
  </si>
  <si>
    <t xml:space="preserve"> Republiuc of the Philippnes				 PROVINCE OF APAYAO	PROVINCE OF APAYAO			 Provincial Government Center	Provincial Government Center, San Isidro Sur			 San Isidro Sur, Luna, Apayao	LUNA, APAYAO			 				 PROVINCIAL BIDS AND AWARD COMMITTEE-INFRA				 				 INVI</t>
  </si>
  <si>
    <t xml:space="preserve"> 1.) 4	reams Biancoflash Master Paper @ P 4,750.00 / ream - For Transcript of Records - White, 120 gsm  ; Size: 14" x 18.5"  		 2.) 35 reams Multipurpose Colored Paper(For Certificate of Registration) ; Total ABC:  P 39,000.00 a. 28 reams, Color: Solar yel</t>
  </si>
  <si>
    <t xml:space="preserve"> Standard Form Number: SF-GOODS-05 Revised on:  July 28, 2004 INVITATION TO BID The University of the Philippines Cebu, through its Bids and Awards Committee (BAC), invites bidders to bid for the hereunder project: Name of Projects       :  Supply and Deli</t>
  </si>
  <si>
    <t xml:space="preserve"> Invitation to Bid Procurement of Technical and Scientific Equipment 		 1.	The Department of Environment and Natural Resources (DENR) Region IV-A (CALABARZON), through the General Appropriations Acts of 2020 intends to apply the sum of One Million One Hund</t>
  </si>
  <si>
    <t xml:space="preserve"> National Power Corporation INVITATION TO BID PUBLIC BIDDING 2020-0085 1.	The NATIONAL POWER CORPORATION (NPC), through       its        approved       Corporate Budget of CY 2020 intends to apply   the   sum   of (Please see schedule below) being the Appr</t>
  </si>
  <si>
    <t xml:space="preserve"> The DPWH-Ilocos Sur 1st District Engineering Office, through its Bids and Awards Committee (BAC), invites contractors to submit bids for the following Contract:   Contract ID: 20AC0059   Contract Name: Construction of Multi-Purpose Building, Bahet, San Il</t>
  </si>
  <si>
    <t xml:space="preserve"> Section I. Invitation to Bid FOR THE UPLB-RES-030-04-20  SUPPLY AND DELIVERY OF BRANDED AND BRAND NEW LABORATORY AND SCIENTIFIC EQUIPMENT FOR BIOTECH AND IPB 1.	The UNIVERSITY OF THE PHILIPPINES LOS BAÑOS (UPLB), through the GOP (LB03023001-C0001921-N8193</t>
  </si>
  <si>
    <t xml:space="preserve"> 1 Unit Procurement of Works for the establishment of wood vinegar facility Location: Region VI Please see attached Program of Works and Detailed Estimate PR# 2020-76</t>
  </si>
  <si>
    <t xml:space="preserve"> The CITY OF MANDALUYONG, through its Bids and Awards Committee (BAC), invites suppliers, manufacturer and distributor to bid for  the hereunder project: Contract Name :  Supply and Delivery of X-Ray Films for Mandaluyong City Medical Center, City Of Manda</t>
  </si>
  <si>
    <t xml:space="preserve"> The CITY OF MANDALUYONG, through its Bids and Awards Committee (BAC), invites suppliers, manufacturer and distributor to bid for  the hereunder project: Contract Name :  Supply and Delivery of Medicines for Mandaluyong City Medical Center, City Of Mandalu</t>
  </si>
  <si>
    <t xml:space="preserve"> The CITY OF MANDALUYONG, through its Bids and Awards Committee (BAC), invites suppliers, manufacturer and distributor to bid for  the hereunder project: Contract Name :  Supply and Delivery of OBY-Gyne Supplies for Mandaluyong City Medical Center, City Of</t>
  </si>
  <si>
    <t xml:space="preserve"> The DPWH-Ilocos Sur 1st District Engineering Office, through its Bids and Awards Committee (BAC), invites contractors to submit bids for the following Contract:   Contract ID: 20AC0064   Contract Name: Construction of River Control Along Parsua River, Mag</t>
  </si>
  <si>
    <t xml:space="preserve"> The CITY OF MANDALUYONG, through its Bids and Awards Committee (BAC), invites suppliers, manufacturer and distributor to bid for  the hereunder project: Contract Name :  Supply and Delivery of Medical Equipment for Mandaluyong City Medical Center, City Of</t>
  </si>
  <si>
    <t xml:space="preserve"> The CITY OF MANDALUYONG, through its Bids and Awards Committee (BAC), invites suppliers, manufacturer and distributor to bid for  the hereunder project: Contract Name :  Supply and Delivery of Medical Devices for Mandaluyong City Medical Center, City Of M</t>
  </si>
  <si>
    <t xml:space="preserve"> The CITY OF MANDALUYONG, through its Bids and Awards Committee (BAC), invites suppliers, manufacturer and distributor to bid for  the hereunder project: Contract Name :  Supply and Delivery of  Medicines for the Continuous Provision of Basic Health Servic</t>
  </si>
  <si>
    <t xml:space="preserve"> The CITY OF MANDALUYONG, through its Bids and Awards Committee (BAC), invites suppliers, manufacturer and distributor to bid for  the hereunder project: Contract Name :  Supply and Delivery of Scannable Answer Sheet for School Division Office, City of Man</t>
  </si>
  <si>
    <t xml:space="preserve"> The SUPPLIER shall provide Garbage Hauling Services of 150 trips at Fiestamall Store and Integrated Warehouse for a period of one (1) year. SCOPE OF SERVICES: To haul three times a week the domestic garbage and other waste materials at designated garbage </t>
  </si>
  <si>
    <t xml:space="preserve"> Page 1 of 2 Invitation to Bid 20GFC0007 Republic of the Philippines DEPARTMENT OF PUBLIC WORKS AND HIGHWAYS CAMARINES NORTE DISTRICT ENGINEERING OFFICE REGIONAL OFFICE V Daet, Camarines Norte INVITATION TO BID The Department of Public Works and Highways C</t>
  </si>
  <si>
    <t xml:space="preserve"> The CITY OF MANDALUYONG, through its Bids and Awards Committee (BAC), invites suppliers, manufacturer and distributor to bid for  the hereunder project: Contract Name :  Supply and Delivery of Medical Supplies for O.R. Department, Mandaluyong City Medical</t>
  </si>
  <si>
    <t xml:space="preserve"> 350	sets	Garland Leaves 		 Specifications: 		Color: Green 		Painted with round bar holders</t>
  </si>
  <si>
    <t xml:space="preserve"> Republic of the Philippines         President Ramon Magsaysay State University (Formerly Ramon Magsaysay Technological University) Iba, Zambales, Philippines Tel/Fax No.: (047) 811-1683 INVITATION TO BID FOR  SUPPLY AND DELIVERY OF STUDY CHAIR            </t>
  </si>
  <si>
    <t xml:space="preserve"> The DPWH-Ilocos Sur 1st District Engineering Office, through its Bids and Awards Committee (BAC), invites contractors to submit bids for the following Contract:   Contract ID: 20AC0061   Contract Name: Construction of Seawall, Sitio Mindanao, Barangay Par</t>
  </si>
  <si>
    <t xml:space="preserve"> The CITY OF MANDALUYONG, through its Bids and Awards Committee (BAC), invites suppliers, manufacturer and distributor to bid for  the hereunder project: Contract Name :  Supply and Delivery of  Anti Rabies Vaccines for the Continuous Provision of Basic He</t>
  </si>
  <si>
    <t xml:space="preserve"> Contract Location: TIWI, ALBAY Brief Description: REHABILITATION/RECONSTRUCTION OF ROAD SLIPS Source of Funds: GAA 2020 DPWH INFRA  The BAC is conducting the public bidding for this Contract in accordance with RA 9184 and its Implementing Rules and Regula</t>
  </si>
  <si>
    <t xml:space="preserve"> The DPWH-Ilocos Sur 1st District Engineering Office, through its Bids and Awards Committee (BAC), invites contractors to submit bids for the following Contract:   Contract ID: 20AC0058   Contract Name: Construction of Seawall at Paratong Sitio Mindanao, S</t>
  </si>
  <si>
    <t xml:space="preserve"> The CITY OF MANDALUYONG, through its Bids and Awards Committee (BAC), invites suppliers, manufacturer and distributor to bid for  the hereunder project: Contract Name :  Supply and Delivery of  Multi-Vitamins for Nutrition Program City of Mandaluyong Cont</t>
  </si>
  <si>
    <t xml:space="preserve"> The Zamboanga State College of Marine Sciences and Technology (ZSCMST), through its Bids and Awards Committee, is inviting PhilGeps registered suppliers to apply for eligibility and to submit bids for the items mentioned hereunder: B-023-2020 SUPPLY AND D</t>
  </si>
  <si>
    <t xml:space="preserve"> Republic of the Philippines         President Ramon Magsaysay State University (Formerly Ramon Magsaysay Technological University) Iba, Zambales, Philippines Tel/Fax No.: (047) 811-1683 INVITATION TO BID FOR  UPGRADING OF MILKFISH AND TILAPIA PROCESSING F</t>
  </si>
  <si>
    <t xml:space="preserve"> Contract Name: Installation of Pumping Station (Mini Pump) at Barangay 598 Zone 59, Manila City       Contract Location: Manila City       Brief Description: Installation of Mini Pump       Approved Budget for the Contract (ABC):  Php 53,074,892.40       </t>
  </si>
  <si>
    <t xml:space="preserve"> INVITATION TO BID The City Government of Pasay, through its Bids and Awards Committee (BAC) invites suppliers/manufacturers/distributors/contractors to apply and submit sealed bids for the supply and delivery of the following: Supply and delivery of one (</t>
  </si>
  <si>
    <t xml:space="preserve"> National Power Corporation NEGOTIATED PROCUREMENT NP 2020-003 1.	The NATIONAL POWER CORPORATION (NPC), through       its        approved       Corporate Budget of CY 2020 intends to apply   the   sum   of (Please see schedule below) being the Approved Bud</t>
  </si>
  <si>
    <t xml:space="preserve"> INVITATION TO BID The City Government of Pasay, through its Bids and Awards Committee (BAC) invites suppliers/manufacturers/distributors/contractors to apply and submit sealed bids for the supply and delivery of the following: Supply and delivery of 12,09</t>
  </si>
  <si>
    <t xml:space="preserve"> REGIONAL BIDS AND AWARDS COMMITTEE REGION II &amp; E-CAR Request for Quotation (RFQ) No. 2020-1-004 Minor Repair &amp; Modification of Branch Onsite ATM as proposed by LBP Roxas Branch NOTE: PLEASE SEE ATTACHED LBP REQUEST FOR QUOTATION FORM DRAWING PLAN Interest</t>
  </si>
  <si>
    <t xml:space="preserve"> Construction/Rehabilitation of Various District Engineering Office including construction of Multi-Purpose Gym, Renovation of Old DPWH Office, Multipurpose Hall at roofdeck including CCTV, Paging System and Air-Conditioning</t>
  </si>
  <si>
    <t xml:space="preserve"> INVITATION TO BID The City Government of Pasay, through its Bids and Awards Committee (BAC) invites suppliers/manufacturers/distributors/contractors to apply and submit sealed bids for the supply and delivery of the following: Proposed FDLRC (Furnishing, </t>
  </si>
  <si>
    <t xml:space="preserve"> CLARK DEVELOPMENT CORPORATION Clark Freeport Zone, Philippines NOTICE TO CONDUCT NEGOTIATED PROCUREMENT CONTINUATION OF THE TERMINATED RENOVATION OF FORMER CYBER CITY BLDGS. PHASE II (PACKAGE IV) The Clark Development Corporation (CDC), through the CDC Co</t>
  </si>
  <si>
    <t xml:space="preserve"> REQUEST FOR QUOTATION Date: March 3, 2019	  RFQ No. MCPD20-005 PR NO. PD2002-26-046 To All Eligible Suppliers Please quote your lowest price inclusive of VAT on the item/s listed below, subject to the Terms and Conditions of this RFQ, for more information</t>
  </si>
  <si>
    <t xml:space="preserve"> INVITATION TO BID FOR SUPPLY OF SECURITY PERSONNEL FOR NORZAGARAY WATER DISTRICT 1.	The Norzagaray Water District (NorWD) through its Corporate Budget for the contract approved by the governing Boards intends to apply the sum of One Million Two  Hundred  </t>
  </si>
  <si>
    <t xml:space="preserve"> 1.	The DENR-Environmental Management Bureau Region 2, through the Air Quality Monitoring Fund (Fund 155) CY 2019 and Environmental Revolving Fund (ERF) CY 2020	intends to apply the sum of One Million Three Hundred Thousand Pesos (P1,300,000.00) the contra</t>
  </si>
  <si>
    <t xml:space="preserve"> 1 LOT SUPPLY AND DELIVERY OF VARIOUS CONSTRUCTION SUPPLIES 		 Breakdown:		 3	cans	Acrylic paint spray ,800 ml,red 3	cans	Acrylic paint spray,800 ml, yellow 4	pcs	Angle bar, 1/4 in x 1 1/2 in x 1 1/2 x 6 m  2	pcs	Angle bar, 1/4 in x 2 in x 2 in x 6 m 4	gal</t>
  </si>
  <si>
    <t xml:space="preserve"> 1.	The Bureau of Fire Protection Region 8, through the General Appropriations Act CY 2020 intends to apply the sum of One Million Seven Hundred Forty-One Thousand Nine Hundred Thirty-Six Pesos and Forty-Three Centavos (₱1,741,936.43) being the Approved Bu</t>
  </si>
  <si>
    <t xml:space="preserve"> The CITY OF MANDALUYONG, through its Bids and Awards Committee (BAC), invites suppliers, manufacturer and distributor to bid for  the hereunder project: Contract Name :  Supply and Delivery of Drugs for Mandaluyong City Medical Center, City Of Mandaluyong</t>
  </si>
  <si>
    <t xml:space="preserve"> National Power Corporation INVITATION TO BID PUBLIC BIDDING 2020-0076 1.	The NATIONAL POWER CORPORATION (NPC), through       its        approved       Corporate Budget of CY 2020 intends to apply   the   sum   of (Please see schedule below) being the Appr</t>
  </si>
  <si>
    <t xml:space="preserve"> The CITY OF MANDALUYONG, through its Bids and Awards Committee (BAC), invites suppliers, manufacturer and distributor to bid for  the hereunder project: Contract Name :  Supply and Delivery of Hematology 5 Parts Machine for Mandaluyong City Medical Center</t>
  </si>
  <si>
    <t xml:space="preserve"> 1. The Department of Foreign Affairs, through the authorized appropriations under the Multi-Year Contractual Authority (MYCA) MYCA No. MYCA-BMB-D-20-0000002, intends to apply the sum of One Billion Nine Hundred Forty-Seven Million Sixty-Two Thousand One H</t>
  </si>
  <si>
    <t xml:space="preserve"> National Power Corporation INVITATION TO BID PUBLIC BIDDING 2020-0079 1.	The NATIONAL POWER CORPORATION (NPC), through       its        approved       Corporate Budget of CY 2020 intends to apply   the   sum   of (Please see schedule below) being the Appr</t>
  </si>
  <si>
    <t xml:space="preserve"> INVITATION TO BID FOR THE EXTENSION OF MULTI-PURPOSE BUILDING AT BRGY. MACATIW, CITY OF ALAMINOS, PANGASINAN 1.	The CITY GOVERNMENT OF ALAMINOS, PANGASINAN through its Special Purpose Appropriation (SPA) intends to apply an amount of Seven Hundred Seventy</t>
  </si>
  <si>
    <t xml:space="preserve"> Description please Submit the Copy of the following before Closing DATE 1. Price Quotation w/ CLSU Quotation downloaded in Philgeps 2. BIR Certification 3. Business / Mayors Permit 4. Philgeps Registration Number 5. Omnibus Sworn Statement Quotation and R</t>
  </si>
  <si>
    <t xml:space="preserve"> INVITATION TO BID FOR THE CONSTRUCTION OF WINGS OF MULTI-PURPOSE BUILDING AT BRGY. TELBANG, CITY OF ALAMINOS, PANGASINAN 1.	The CITY GOVERNMENT OF ALAMINOS, PANGASINAN through its Development Fund intends to apply an amount of One Million Seven Hundred Fo</t>
  </si>
  <si>
    <t xml:space="preserve"> Contract Location: TABACO CITY, ALBAY Brief Description: REPLACEMENT/CONSTRUCTION OF BRIDGE Source of Funds: GAA CY 2020 DPWH INFRA The BAC is conducting the public bidding for this Contract in accordance with RA 9184 and its Implementing Rules and Regula</t>
  </si>
  <si>
    <t xml:space="preserve"> INVITATION TO BID FOR THE CONSTRUCTION OF MULTI-PURPOSE BUILDING AT BRGY. TANGCARANG, CITY OF ALAMINOS, PANGASINAN 1.	The CITY GOVERNMENT OF ALAMINOS, PANGASINAN through its Special Purpose Appropriation (SPA) intends to apply an amount of Two Million Fiv</t>
  </si>
  <si>
    <t xml:space="preserve"> WATER POTABILITY TESTING	  	  	 25 SAMPLING POINTS ( 3 -  PHYSICO-CHEMICAL AND 22 - MICROBIOLOGICAL TESTS)	 PARAMETERS FOR PHYSIO-CHEMICAL ARE ARSENIC, CADMIUM, LEAD NITRATES, COLOR, TURBIDITY, IRON, Ph, MANGANESE, CHLORIDE, SULFATE AND TOTAL	 DISSOLVED S</t>
  </si>
  <si>
    <t xml:space="preserve"> A) REQUEST FOR QUOTATION 1. 2 gal Body filler w/ hardener 2. 3 gal Lacquer Glazing Putty 3. 3 gal Lacquer Primer Surfacer white 4. 3 gal Automotive Lacquer white 5. 3 gal Lacquer Sanding Sealer 6. 3 gal Clear Gloss Lacquer 7. 2 ltr Automotive Lacquer lemo</t>
  </si>
  <si>
    <t xml:space="preserve"> INVITATION TO BID The City Government of Pasay, through its Bids and Awards Committee (BAC) invites suppliers/manufacturers/distributors/contractors to apply and submit sealed bids for the supply and delivery of the following: Supply and delivery of LEARN</t>
  </si>
  <si>
    <t xml:space="preserve"> The DPWH Nueva Ecija 1st DEO, through its Bids and Awards Committee (BAC), invites contractors to submit bids for the following contract:			 				 	20CE0200: Construction of Multi-Purpose Building, Central Luzon State University, Muñoz, Nueva Ecija			 				</t>
  </si>
  <si>
    <t xml:space="preserve"> 1. The APO Production Unit, Inc., through the Approved Annual Procurement Plan (APP) for CY 2020 intends to apply the sum of One Million Eight Hundred Thousand Pesos (PhP 1,800,000.00) being the Approved Budget for the Contract (ABC) to payments under the</t>
  </si>
  <si>
    <t xml:space="preserve"> PHILIPPINE DEPOSIT INSURANCE CORPORATION Makati City INVITATION TO BID PROCUREMENT OF SECURITY SERVICE PROVIDER FOR A PERIOD OF ONE (1) YEAR 1.	The Philippine Deposit Insurance Corporation, through its 2020 Corporate Operating Budget, intends to apply the</t>
  </si>
  <si>
    <t xml:space="preserve"> Package 16 of 17: Supply and Delivery of 3,656 pcs. - G.I. Cross Tee, 19mm.Ø  (Standard)</t>
  </si>
  <si>
    <t xml:space="preserve"> REGIONAL BIDS AND AWARDS COMMITTEE REGION II &amp; E-CAR Request for Quotation (RFQ) No. 2020-1-005 Supply &amp; Delivery of Six (6) Units 18-Drawer Signature Card Cabinet as proposed by LBP Tuguegarao Capitol Branch NOTE: PLEASE SEE ATTACHED LBP REQUEST FOR QUOT</t>
  </si>
  <si>
    <t xml:space="preserve"> Package 15 of 17: Supply and Delivery of 650 pcs. – Valve Box Cover, 160mm. (Cast Iron or Ductile Iron)</t>
  </si>
  <si>
    <t xml:space="preserve"> 1. The APO Production Unit, Inc., through the Approved Annual Procurement Plan (APP) for CY 2020 intends to apply the sum of Thirty Million Pesos (Php 30,000,000.00) being the Approved Budget for the Contract (ABC) to payments under the contract for the L</t>
  </si>
  <si>
    <t xml:space="preserve"> Package 13 of 17: Supply and Delivery of 33 pcs. – D.I. Gate  Valve  Flange Type, 200mm. (8”), Non-Rising Stem with Operating Nut</t>
  </si>
  <si>
    <t xml:space="preserve"> Package 17 of 17: Supply and Delivery of 18,931 pcs. - G.I. Bushing, 19mm. x 12mm (Standard)</t>
  </si>
  <si>
    <t xml:space="preserve"> Lot 1 (Lot 6 Rebid)  REPAIR OF CLASSROOMS AT LANAO DEL NORTE PROVINCIAL SCIENCE AND TECHNOLOGY HS,TUBOD,LDN	 ABC Php3,759,553.34	 Contract Days: 90 CD	 Cost of Bidding Documents: Php5,000.00 The bidding shall be governed by the Implementing Rules and Regu</t>
  </si>
  <si>
    <t xml:space="preserve"> Cloud Subscription / Services for NEA BIT Project</t>
  </si>
  <si>
    <t xml:space="preserve"> Package 14 of 17: Supply and Delivery of 328 pcs. D.I. Mechanical Sleeve Type Coupling, 100mm. (4”) Ø (Universal Type)</t>
  </si>
  <si>
    <t xml:space="preserve"> Section I. Invitation to Bid FOR THE UPLB-S-044-03-20  SUPPLY, DELIVERY AND INSTALLATION OF BRANDED AND BRAND NEW VARIOUS LABORATORY EQUIPMENT 1.	The UNIVERSITY OF THE PHILIPPINES LOS BAÑOS (UPLB), through the GOP intends to apply the sum of TWO MILLION T</t>
  </si>
  <si>
    <t xml:space="preserve"> National Power Corporation INVITATION TO BID PUBLIC BIDDING 2020-0073 1.	The NATIONAL POWER CORPORATION (NPC), through       its        approved       Corporate Budget of CY 2020 intends to apply   the   sum   of (Please see schedule below) being the Appr</t>
  </si>
  <si>
    <t xml:space="preserve"> Contract ID: 			20GO0038 Contract 	Name: 			 Widening/Improvement/Upgrading of Honorata Manalo  (Buri Road), Brgy. Mandalagan, Bacolod City Contract 	Location: 		 Brgy. Mandalagan, Bacolod City, Negros Occidental Brief Description:                   Widen</t>
  </si>
  <si>
    <t xml:space="preserve"> INVITATION TO BID The National Housing Authority (NHA) Region 4, through the Corporate Budget by the NHA Board for the year 2019 intends to apply the sum of the Approved Budget for the Contract (ABC) to payments for the following contracts: Ref No.	PROJEC</t>
  </si>
  <si>
    <t xml:space="preserve"> Section I. Invitation to Bid FOR THE UPLB-S-031-03-20  SUPPLY AND DELIVERY OF BRANDED AND BRAND NEW INFORMATION TECHNOLOGY PARTS, ACCESSORIES AND PERIPHERALS 1.	The UNIVERSITY OF THE PHILIPPINES LOS BAÑOS (UPLB), through the GOP intends to apply the sum o</t>
  </si>
  <si>
    <t xml:space="preserve"> Page 1 of 3 Invitation to Bid 20GFC0001-06 Republic of the Philippines DEPARTMENT OF PUBLIC WORKS AND HIGHWAYS CAMARINES NORTE DISTRICT ENGINEERING OFFICE REGIONAL OFFICE V Daet, Camarines Norte INVITATION TO BID The Department of Public Works and Highway</t>
  </si>
  <si>
    <t xml:space="preserve"> Republic of the Philippines COMMISSION ON ELECTIONS M a n i l a INVITATION TO BID Supply and Delivery of Microsoft Office Home and Business for Installation in the Computers with Installed Ubuntu Operating System in the Main and Field Offices of the Commi</t>
  </si>
  <si>
    <t xml:space="preserve"> Contract ID: 20-DO-0067 Contract Name: LOCAL PROGRAM - Local Infrastructure Program – Buildings and Other Structures – Multipurpose/Facilities – Construction and/or Repair/ Rehabilitation of Multi-Purpose Building, Brgy. Rizal, Baras, Rizal Contract Locat</t>
  </si>
  <si>
    <t xml:space="preserve"> Invitation to Bid No. 2020-02-03 PROCUREMENT OF VARIOUS LIBRARY BOOKS FOR ULRC AND COM (RE-BIDDING)  1.	The West Visayas State University, through the GAA 2020 intends to apply the sum of Six Hundred Thousand Pesos (PhP600,000.00) Only being the Approved </t>
  </si>
  <si>
    <t xml:space="preserve"> Repair/Maintenance including Road Slips</t>
  </si>
  <si>
    <t xml:space="preserve"> pulvurizer, shredder ect...</t>
  </si>
  <si>
    <t xml:space="preserve"> CONDUCT OF FEASIBILITY STUDY.</t>
  </si>
  <si>
    <t xml:space="preserve"> INVITATION TO BID Febuary 21, 2020 The DPWH-Quirino District Engineering Office, through its Bids and Awards Committee (BAC), invites contractors to submit bids for the following Contract: Contract I.D.  	:	20BK0129 Name of Project	:	Water Distribution Sy</t>
  </si>
  <si>
    <t xml:space="preserve"> Procurement and Delivery of ICT Equipment</t>
  </si>
  <si>
    <t xml:space="preserve"> INVITATION TO BID Febuary 21, 2020 The DPWH-Quirino District Engineering Office, through its Bids and Awards Committee (BAC), invites contractors to submit bids for the following Contract: Contract I.D.  	:	20BK0130 Name of Project	:	Water Distribution Sy</t>
  </si>
  <si>
    <t xml:space="preserve"> Please see attached RFQ # 20-396-2 Submit your signed and sealed quotation together with your UPDATED ELIGIBILITY requirement. For more information, please contact Ma'am Nanette M. Rosales at 0977-804-7701 BAC Chairman (Oriental Mindoro): Jovilito D. Land</t>
  </si>
  <si>
    <t xml:space="preserve"> Contract Location:  BACACAY, STO. DOMINGO, MALINAO &amp; TABACO CITY, ALBAY Brief Description: WIDENING &amp; CONCRETING OF ROADS Source of Funds: GAA 2020 DPWH INFRA  The BAC is conducting the public bidding for this Contract in accordance with RA 9184 and its I</t>
  </si>
  <si>
    <t xml:space="preserve"> 1.) 20 pcs	Handsaws	@ P 150.00 / pc Specifications:  18" / 450mm ;  Machine set teeth ; Resharpenable ; Wooden handle 	 2.) 20 pcs	Claw hammer @ P 150.00 / pc Specifications: Wood handle, 450g ; Preferably branded 		 3.) 20 pcs	Flat screwdriver	@ P 100.00</t>
  </si>
  <si>
    <t xml:space="preserve"> 2 sets Engineer's Transit with Tripod @ P 80,000.00 / set Specifications: 30x magnification, 40mm apperture, 2m shortest distance focus, 30' vertical and horizontal scale interval, 100 stadia factor, with case, tripod, compass and accessories Note: 1.) At</t>
  </si>
  <si>
    <t xml:space="preserve"> National Power Corporation INVITATION TO BID PUBLIC BIDDING 2020-0072 1.	The NATIONAL POWER CORPORATION (NPC), through       its        approved       Corporate Budget of CY 2020 intends to apply   the   sum   of (Please see schedule below) being the Appr</t>
  </si>
  <si>
    <t xml:space="preserve"> Contract Location:  FIRST DISTRICT OF ALBAY Brief Description: CONSTRUCTION OF WATER SYSTEM Source of Funds: GAA 2020 DPWH INFRA  The BAC is conducting the public bidding for this Contract in accordance with RA 9184 and its Implementing Rules and Regulati</t>
  </si>
  <si>
    <t xml:space="preserve"> Section I. Invitation to Bid FOR THE UPLB-S-042-03-20 (FORMERLY UPLB-S-120-12-19)  UPGRADE / REHABILITATION OF INTERNET CONNECTION OF BIOTECH 1.	The UNIVERSITY OF THE PHILIPPINES LOS BAÑOS (UPLB), through the GOP intends to apply the sum of NINE HUNDRED F</t>
  </si>
  <si>
    <t xml:space="preserve"> National Power Corporation INVITATION TO BID PUBLIC BIDDING 2020-0066 1.	The NATIONAL POWER CORPORATION (NPC), through       its        approved       Corporate Budget of CY 2020 intends to apply   the   sum   of (Please see schedule below) being the Appr</t>
  </si>
  <si>
    <t xml:space="preserve"> Republic of the Philippines BARANGAY PINAGKAWITAN OFFICE OF THE PUNONG BARANGAY BIDS AND AWARDS COMMITTEE INVITATION TO BID The Barangay Government of BARANGAY PINAGKAWITAN through its Bids and Awards Committee (BAC), invites suppliers/manufacturers/distr</t>
  </si>
  <si>
    <t xml:space="preserve"> National Power Corporation INVITATION TO BID PUBLIC BIDDING 2020-0068 1.	The NATIONAL POWER CORPORATION (NPC), through       its        approved       Corporate Budget of CY 2020 intends to apply   the   sum   of (Please see schedule below) being the Appr</t>
  </si>
  <si>
    <t xml:space="preserve"> Republic of the Philippines Department of Public Works and Highways REGIONAL OFFICE VIII Baras, Palo, Leyte INVITATION TO BID February 26, 2020 1.	The DPWH Regional Office VIII, Baras, Palo, Leyte through its Bids and Awards Committee (BAC), invites contr</t>
  </si>
  <si>
    <t xml:space="preserve"> CLARK DEVELOPMENT CORPORATION Clark Freeport Zone, Philippines NOTICE TO CONDUCT NEGOTIATED PROCUREMENT PROVISION OF SIDEWALK AND DRAINAGE ALONG IE-5 SERVICE ROAD  The Clark Development Corporation (CDC), through the CDC Corporate Budget for CY 2020, inte</t>
  </si>
  <si>
    <t xml:space="preserve"> Invitation to Bid For   One (1) Lot Supply, Delivery and Installation of Signage, ATM Acrylic Frame Panels, Glass Panel Stickers, Rehabilitation of ATM Sunshade, Dismantling of Existing Signage and Removal of Existing Glass Panel Stickers at LANDBANK Alle</t>
  </si>
  <si>
    <t xml:space="preserve"> National Power Corporation INVITATION TO BID PUBLIC BIDDING 2020-0065 1.	The NATIONAL POWER CORPORATION (NPC), through       its        approved       Corporate Budget of CY 2020 intends to apply   the   sum   of (Please see schedule below) being the Appr</t>
  </si>
  <si>
    <t xml:space="preserve"> INVITATION TO BID The Department of Public Works and Highways - Pampanga 1st District Engineering Office, through its Bids and Awards Committee (BAC), invites contractors to submit bids for the following Contract: 1.	 Procurement ID/Contract ID	:	20CG0119</t>
  </si>
  <si>
    <t xml:space="preserve"> INVITATION TO BIDDERS The Pag-IBIG Fund invites prospective bidders to bid for the Supply and Delivery of One (1) Unit Custom-Built Motor Vehicle (Mobile Office Vehicle). The requirement shall be procured through Negotiated Method of Procurement Due to 2-</t>
  </si>
  <si>
    <t xml:space="preserve"> The DPWH-North Manila District Engineering Office, through its Bids and Awards Committee (BAC) invites contractors to submit bids for the following Contract: 2.	 Contract I.D. No. 20OE0114 Contract Name: Rehabilitation of School Building at Gen. Licerio G</t>
  </si>
  <si>
    <t xml:space="preserve"> Section I. Invitation to Bid FOR THE UPLB-S-038-03-20  SUPPLY AND DELIVERY OF BRANDED AND BRAND NEW VARIOUS WINDOW TYPE AIRCONDITIONING UNITS 1.	The UNIVERSITY OF THE PHILIPPINES LOS BAÑOS (UPLB), through the GOP intends to apply the sum of TWO MILLION SE</t>
  </si>
  <si>
    <t xml:space="preserve"> National Power Corporation INVITATION TO BID PUBLIC BIDDING 2020-0067 1.	The NATIONAL POWER CORPORATION (NPC), through       its        approved       Corporate Budget of CY 2020 intends to apply   the   sum   of (Please see schedule below) being the Appr</t>
  </si>
  <si>
    <t xml:space="preserve"> Please see attached RFQ # 20-396-3 Submit your signed and sealed quotation together with your UPDATED ELIGIBILITY requirement. For more information, please contact Ma'am Nanette M. Rosales at 0977-804-7701 BAC Chairman (Oriental Mindoro): Jovilito D. Land</t>
  </si>
  <si>
    <t xml:space="preserve"> The DPWH Nueva Ecija 1st DEO, through its Bids and Awards Committee (BAC), invites contractors to submit bids for the following contract:			 				 	20CE0201: Construction of Multi-Purpose Building (Barangay Gym), Brgy. Capintalan, Carranglan, Nueva Ecija		</t>
  </si>
  <si>
    <t xml:space="preserve"> Republic of the Philippines DEPARTMENT OF HEALTH TALISAY DISTRICT HOSPITAL        (DR. JACINTO VELEZ SR. MEMORIAL HOSPITAL) San Isidro, Talisay City, Cebu (032)273-3226  (032) 273-3226 talisaydistricthospital@gmail.com http://www.tdh.doh.gov.ph INVITAT</t>
  </si>
  <si>
    <t xml:space="preserve"> Republic of the Philippines DEPARTMENT OF HEALTH TALISAY DISTRICT HOSPITAL        (DR. JACINTO VELEZ SR. MEMORIAL HOSPITAL) San Isidro, Talisay City, Cebu (032)273-8785  (032) 273-8785 talisaydistricthospital@gmail.com http://www.tdh.doh.gov.ph INVITAT</t>
  </si>
  <si>
    <t xml:space="preserve"> Section I. Invitation to Bid FOR THE UPLB-S-030-03-20  PROCUREMENT OF SIPHONING SERVICES OF SEPTIC TANKS FOR UPLB DORMITORIES (NEW DORMITORY, VETMED DORMITORY, FORESTRY RESIDENCE HALL, NEW FORESTRY RESIDENCE HALL) 1.	The UNIVERSITY OF THE PHILIPPINES LOS </t>
  </si>
  <si>
    <t xml:space="preserve"> INVITATION TO BID FOR THE REHABILITATION / UPGRADING OF FARM TO MARKET ROAD (SABANGAN PORTION) AT BRGY. SABANGAN, CITY OF ALAMINOS, PANGASINAN 1.	The CITY GOVERNMENT OF ALAMINOS, PANGASINAN through its Development Fund (DF) intends to apply an amount of E</t>
  </si>
  <si>
    <t xml:space="preserve"> The DPWH-North Manila District Engineering Office, through its Bids and Awards Committee (BAC) invites contractors to submit bids for the following Contract: 1.	Contract I.D. No. 20OE0108 Contract Name: Rehabilitation of School Building at P. Burgos Eleme</t>
  </si>
  <si>
    <t xml:space="preserve"> The Zamboanga del Norte 3rd District Engineering Office, through its Bids and Awards Committee (BAC), invites contractors to submit bids for the Contract:												 												 Contract ID:				20JD0100								 Contract Name:				Construction of Water Su</t>
  </si>
  <si>
    <t xml:space="preserve"> National Power Corporation INVITATION TO BID PUBLIC BIDDING 2020-0059 1.	The NATIONAL POWER CORPORATION (NPC), through       its        approved       Corporate Budget of CY 2020 intends to apply   the   sum   of (Please see schedule below) being the Appr</t>
  </si>
  <si>
    <t xml:space="preserve"> Contract Name: Improvement of Multi – Purpose Facilities, Brgy. 617, Manila City Contract Location: Manila City      Brief Description: Improvement of Multi – Purpose Building      Approved Budget for the Contract (ABC):  Php 48,999,996.39      Source of </t>
  </si>
  <si>
    <t xml:space="preserve"> CONDUCT OF MASTER PLAN AND FEASIBILITY STUDY OF A COMPREHENSIVE DRAINAGE PLAN.</t>
  </si>
  <si>
    <t xml:space="preserve"> Contract Name: Rehabilitation / Reconstruction / Improvement of Multi – Purpose Building, Patricia Paraiso Complex, Brgy. 177, Tondo, Manila Contract Location: Manila City      Brief Description: Rehabilitation / Reconstruction / Improvement of Multi – Pu</t>
  </si>
  <si>
    <t xml:space="preserve"> INVITATION TO BID FOR THE UPGRADING OF THE LOCAL AREA NETWORK (LAN) OF DARCO TO IMPROVE THE PERFORMANCE AND RELIABILITY OF NETWORK SERVICES (Re-bid) Reference Number:  PBD-20-02 1.	The Department of Agrarian Reform (DAR), through the 2019 continuing Gener</t>
  </si>
  <si>
    <t xml:space="preserve"> Contract Name: Continuation of Multi – Purpose Building, Brgy. 259, Tondo, Manila Contract Location: Manila City      Brief Description: Rehabilitation of Multi – Purpose Building      Approved Budget for the Contract (ABC):  Php 14,849,659.73      Source</t>
  </si>
  <si>
    <t xml:space="preserve"> Contract Name: Rehabilitation of Multi – Purpose Building (Bacood Health Center), Manila Contract Location: Manila City      Brief Description: Rehabilitation of Multi – Purpose Building       Approved Budget for the Contract (ABC):  Php 9,799,932.60     </t>
  </si>
  <si>
    <t xml:space="preserve"> Republic of the Philippines COMMISSION ON ELECTIONS M a n i l a INVITATION TO BID Supply and Delivery of Sheet Fed Scanners for the Document Management System (DMS) Project of the Commission (BAC Ref No. 04-2020SFC) Approved Budget for the Contract:  Php2</t>
  </si>
  <si>
    <t xml:space="preserve"> Contract Name: Preventive Maintenance – Secondary Roads – Plaza Sta. Cruz – (S02423LZ) (FLR) Chainage 000 – Chainage 104, Manila City Contract Location: Manila City      Brief Description: Asphalt Overlay      Approved Budget for the Contract (ABC):  Php </t>
  </si>
  <si>
    <t xml:space="preserve"> Republic of the Philippines COMMISSION ON ELECTIONS M a n i l a INVITATION TO BID Supply and Delivery of Printer Toner Cartridges for Replenishment of Stocks for 1st Quarter FY 2020 (BAC Ref No. 03-2020PTC) Approved Budget for the Contract:  Php35,596,000</t>
  </si>
  <si>
    <t xml:space="preserve"> Procurement of supply and delivery of services for equipment calibration 11	unit	Single Channel Pipettor 5	unit	Multi Channel Pipettor 5	unit	Incubator/Oven 2	unit	Refrigerator 		PAB Certified Calibrator PR# 2020-268</t>
  </si>
  <si>
    <t xml:space="preserve"> Invitation to Bid LANDBANK Baguio Corporate Center Building Construction 1.	The LAND BANK OF THE PHILIPPINES, through its Corporate Budget for the contract approved by the Board of Directors for 2019 intends to apply the sum of Seventy Nine Million Nine H</t>
  </si>
  <si>
    <t xml:space="preserve"> Contract Name: Construction of Multi – Purpose Building at the Department of Social Welfare and Development – National Cpital Region, Manila Contract Location: Manila City      Brief Description: Construction of Multi – Purpose Building      Approved Budg</t>
  </si>
  <si>
    <t xml:space="preserve"> A. Clearing. Layout and false works B. Excavation C. Concrete Line Canal with Concrete Cover and Concrete Shoulder D. Concrete Line Canal</t>
  </si>
  <si>
    <t xml:space="preserve"> Invitation to Bid LANDBANK Marawi (Lanao del Sur) Building Construction 1.	The LAND BANK OF THE PHILIPPINES, through its Corporate Budget for the contract approved by the Board of Directors for 2020 intends to apply the sum of Nineteen Million Eight Hundr</t>
  </si>
  <si>
    <t xml:space="preserve"> CLARK DEVELOPMENT CORPORATION Clark Freeport Zone, Philippines INVITATION TO BID The Clark Development Corporation (CDC), through its Bids and Awards Committee (BAC), invites suppliers to bid for: Name of Project	:	Supply and Delivery of Brand New Three (</t>
  </si>
  <si>
    <t xml:space="preserve"> PHILIPPINE SCIENCE HIGH SCHOOL SYSTEM						"REQUEST FOR QUOTATION FORM &amp;  NOTICE (GOODS)"		 Office / Campus:			MAIN CAMPUS					 Address / Contact Details:			AGHAM ROAD, DILIMAN, QUEZON CITY					 								 						Quotation No.:	20-02-069	 	GENTELMEN:					Dat</t>
  </si>
  <si>
    <t xml:space="preserve"> REQUEST FOR EXPRESSION OF INTEREST FOR DETAILED ARCHITECTURAL AND ENGINEERING DESIGN (DAED) OF THE PROPOSED CONSTRUCTION OF THE ELECTRICAL ENGINEERING BUILDING PHASE 2 1.	The UP Los Baños, through the GOP intends to apply the sum of Three Million Five Hun</t>
  </si>
  <si>
    <t xml:space="preserve"> INVITATION TO BID The Department of Public Works and Highways-National Capital Region-Metro Manila 3rd District Engineering Office, through its Bids and Awards Committee (BAC), invites contractors to apply to bid for the following contract/s:   Contract I</t>
  </si>
  <si>
    <t xml:space="preserve"> Smart Load Card 500		6 Smart Load Card 300		126 Globe 500		30 Globe 300		306 TM 500		3 Talk 'n Text Load Card 300		33 TM 300		36</t>
  </si>
  <si>
    <t xml:space="preserve"> The Zamboanga del Norte 3rd District Engineering Office, through its Bids and Awards Committee (BAC), invites contractors to submit bids for the Contract:												 												 Contract ID:				20JD0094								 Contract Name:				Construction of Water Sy</t>
  </si>
  <si>
    <t xml:space="preserve"> INVITATION TO BID The National Development Company (NDC), through its Bids &amp; Awards Committee, invites bids for the public bidding of the project specified below: Name of Project          :	4th Public Bidding of the Site Development Works for the NDC Indu</t>
  </si>
  <si>
    <t xml:space="preserve"> REQUEST FOR EXPRESSION OF INTEREST FOR DETAILED ARCHITECTURAL AND ENGINEERING DESIGN (DAED) OF THE PROPOSED PILOT PLANT AND SCREENHOUSES FOR BIOFERTILIZERS, BIOSTIMULANTS AND BIOPESTICIDES AT BIOTECH-UPLB 1.	The UP Los Baños, through the GOP intends to ap</t>
  </si>
  <si>
    <t xml:space="preserve"> see attached.</t>
  </si>
  <si>
    <t xml:space="preserve"> Invitation to Bid For   Supply, Delivery and Installation of Digital Corner Counter at Various LANDBANK Offices 1.	The LAND BANK OF THE PHILIPPINES (LANDBANK), through its Corporate Budget for the contract approved by the Board of Directors for 2019 inten</t>
  </si>
  <si>
    <t xml:space="preserve"> Contract Name: Rehabilitation of Multi – Purpose Building, Brgy 636, Sta. Mesa, Manila Contract Location: Manila City      Brief Description: Rehabilitation of Multi – Purpose Building       Approved Budget for the Contract (ABC):  Php 9,899,596.36      S</t>
  </si>
  <si>
    <t xml:space="preserve"> The Department of Public Works and Highways Regional Office XI, Davao City, through its Bids and Awards Committee (BAC), invites bidders to submit bids for the Infra projects funded under GAA FY 2020, to wit: Contract ID 	:	20L00108 Contract Name/Location</t>
  </si>
  <si>
    <t xml:space="preserve"> REQUEST FOR QUOTATION Improvement of Cavite City Campus – Construction of Storm Drainage 1. The Cavite State University (CvSU) invites interested firms/supplier to submit quotation for the project “Improvement of Cavite City Campus – Construction of Storm</t>
  </si>
  <si>
    <t xml:space="preserve"> 1.) 4	units	Virtual Desktop	@ P8,750.00 / unit Specifications:			 L300 Virtual Desktop for vSpace / 2 USB 1.1 ports for USB Keyboard/Mouse + additional 2 x USB 2.0 Ports for Periperals/ LAN Port / VGA Display Port (Max 1920 x 1080 Full HD Video Resolution</t>
  </si>
  <si>
    <t xml:space="preserve"> Contract ID: 20-DO-0068 Contract Name: LOCAL PROGRAM - Local Infrastructure Program – Buildings and Other Structures – Multipurpose/Facilities – Construction of Multi-Purpose Building (Barangay Health Center), Dela Costa Homes Barangay Burgos, Rodriguez, </t>
  </si>
  <si>
    <t xml:space="preserve"> The DPWH-North Manila District Engineering Office, through its Bids and Awards Committee (BAC) invites contractors to submit bids for the following Contract: 20.	Contract I.D. No. 20OE0173 Contract Name: Rehabilitation / Reconstruction / Improvement of Mu</t>
  </si>
  <si>
    <t xml:space="preserve"> INVITATION TO BID The __DPWH-2nd District Engineering Office, Labason, Zamboanga del Norte  , through its Bids and Awards Committee (BAC), invites contractors to submit bids for the following Contract:      Contract ID: 20JC0063       Contract Name: Const</t>
  </si>
  <si>
    <t xml:space="preserve"> Contract Name: Construction of Multi-Purpose Building (Rizal Covered Court), City of Manila Contract Location: Manila City      Brief Description: Construction of Covered Court      Approved Budget for the Contract (ABC):  Php 98,998,843.79      Source of</t>
  </si>
  <si>
    <t xml:space="preserve"> CLARK DEVELOPMENT CORPORATION Clark Freeport Zone, Philippines REQUEST FOR EXPRESSION OF INTEREST The Clark Development Corporation (CDC), through its Bids and Awards Committee (BAC), invites consultants to apply for eligibility and short-listing and if f</t>
  </si>
  <si>
    <t xml:space="preserve"> INVITATION TO BID The __DPWH-2nd District Engineering Office, Labason, Zamboanga del Norte  , through its Bids and Awards Committee (BAC), invites contractors to submit bids for the following Contract:      Contract ID: 20JC0055       Contract Name: Const</t>
  </si>
  <si>
    <t xml:space="preserve"> CLARK DEVELOPMENT CORPORATION Clark Freeport Zone, Philippines INVITATION TO BID The Clark Development Corporation (CDC), through its Bids and Awards Committee (BAC), invites contractors registered with and classified by the Philippine Contractors Accredi</t>
  </si>
  <si>
    <t xml:space="preserve"> REQUEST FOR QUOTATION Date: February 07, 2019	  RFQ No. MCPD20-002 PR NO. PD2001-20-005 To All Eligible Suppliers Please quote your lowest price inclusive of VAT on the item/s listed below, subject to the Terms and Conditions of this RFQ, for more informa</t>
  </si>
  <si>
    <t xml:space="preserve"> 1.	The Davao del Norte State College through the Regular Agency Fund (FY 2020 GAA) intends to apply the sum of Forty Million Pesos Only (Php 40,000,000.00) being the Approved Budget for the Contract (ABC) to payment under the contract for the CONSTRUCTION</t>
  </si>
  <si>
    <t xml:space="preserve"> Contract Name: Construction of Multi – Purpose Buildings ( Daycare Centers), Manila City Contract Location: Manila City      Brief Description: Construction of Multi – Purpose Buildings      Approved Budget for the Contract (ABC):  Php 97,998,833.48      </t>
  </si>
  <si>
    <t xml:space="preserve"> CLARK DEVELOPMENT CORPORATION Clark Freeport Zone, Philippines INVITATION TO BID The Clark Development Corporation (CDC), through its Bids and Awards Committee (BAC), invites life insurance companies to bid for the hereunder project: Name of Project	:	CDC</t>
  </si>
  <si>
    <t xml:space="preserve"> Name of Requirement/Brief Description: One (1) Lot Structural Engineering Consultancy Services for the Proposed Structural Audit and Retrofitting Design of the Buildings in BSP Cebu and Davao Regional Offices, as per BSP Terms of Reference Approved Budget</t>
  </si>
  <si>
    <t xml:space="preserve"> INVITATION TO BID FOR THE SUPPLY, DELIVERY AND INSTALLATION OF ATTENDANCE CAPTURING MACHINES under ITB No. PB20-01-017COR The Philippine Amusement and Gaming Corporation (PAGCOR) is inviting all interested bidders in its forthcoming public bidding for the</t>
  </si>
  <si>
    <t xml:space="preserve"> REQUEST FOR EXPRESSION OF INTEREST (REOI) FOR CONSULTING SERVICES  19CSK00049 – Consultancy Services for the Conduct of Feasibility Study for Misamis Occidental Economic Zone Diversion Road (ReXPRIP-29), Misamis Occidental 1st and 2nd Legislative District</t>
  </si>
  <si>
    <t xml:space="preserve"> Contract Name: Re – Development of Estero de Binondo, Dasmariñas St., Brgy. 282, Zone 26, District 3, Manila Contract Location: Manila City      Brief Description: Construction of Multi-Purpose Building      Approved Budget for the Contract (ABC):  Php 98</t>
  </si>
  <si>
    <t xml:space="preserve"> Contract Location: STO. DOMINGO, MALINAO AND MALILIPOT, ALBAY Brief Description: REHABILITATION/CONSTRUCTION/IMPROV’T OF FLOOD CONTROL Source of Funds: GAA 2020 DPWH INFRA  The BAC is conducting the public bidding for this Contract in accordance with RA 9</t>
  </si>
  <si>
    <t xml:space="preserve"> 300 copies Printing of Newsletter @ P70.00 / copy Specifications: Material: White Paper; C2S (90 GSM) - (Inlet); C2S (120 GSM) - (cover page) Size: Letter (8x5" x 11") - 20 pages Binding: Stapled Color:  a.) Inlet: 6 pages colored, 12 pages black and whit</t>
  </si>
  <si>
    <t xml:space="preserve"> The DPWH-North Manila District Engineering Office, through its Bids and Awards Committee (BAC) invites contractors to submit bids for the following Contract: 13.	Contract I.D. No. 20OE0166 Contract Name: Construction of 3 Storey Multi – purpose Building, </t>
  </si>
  <si>
    <t xml:space="preserve"> REQUEST FOR EXPRESSION OF INTEREST (REOI) FOR CONSULTING SERVICES  19CSK00048 – Consultancy Services for the Conduct of Feasibility Study for Tubod-Kapatagan Bypass Road, Sapad-Pualas Road, Kauswagan-Poona Piagapo-Marantao Road, Balo-i Bypass Road, (ReXPR</t>
  </si>
  <si>
    <t xml:space="preserve"> INVITATION TO BID FOR THE SUPPLY AND DELIVERY OF ASSORTED FOOD SUPPLIES, PAPER CUPS AND OTHER NON-FOOD SUPPLIES FOR VIP BAR  UNDER ITB NO. PB20-02-008ANG The Philippine Amusement and Gaming Corporation (PAGCOR) is inviting all interested bidders in its fo</t>
  </si>
  <si>
    <t xml:space="preserve"> 1. The Bureau of Fire Protection Region 8, through the General Appropriations Act CY 2020 intends to apply the sum of Three Million One Hundred Seventy-Eight Thousand Nine Hundred Thirty-Eight Pesos and Thirteen Centavos (₱3,178,938.13) being the Approved</t>
  </si>
  <si>
    <t xml:space="preserve"> 1.)	2 Issues	Issues in Teacher Education (Caddo Gap Press)	@ P	3,512.00 / issue 2.)	10 Issues	Modern Teacher	@ P	137.50 / issue 3.)	13 Issues	C! Magazine @ P 228.38 / issue 4.)	12 Issues	Plant Engineering @ P 740.33 / issue 5.)	12 Issues	Construction Spec</t>
  </si>
  <si>
    <t xml:space="preserve"> Package 12 of 17: Supply and Delivery of 100 pcs. – D.I. Gate  Valve  Flange Type 100mm. (4”), Non-Rising Stem with Operating Nut</t>
  </si>
  <si>
    <t xml:space="preserve"> Contract ID No. 20OH0121 Contract Name: 	Local Program - Local Infrastructure Program - Flood Control and Drainage - Drainage / Protection Works - Drainage and Protection Works at Estero Tripa de Gallina – Maricaban Creek, Pasay City Contract Location: Pa</t>
  </si>
  <si>
    <t xml:space="preserve"> INVITATION TO BID Provision of Security Services for Pag-IBIG Fund Central and Eastern Visayas Branches, Offices and Warehouses covering the period Y2020-2021 The Pag-IBIG Fund Technical and Administrative Support for Central and Eastern Visayas (TAS-CEV)</t>
  </si>
  <si>
    <t xml:space="preserve"> National Power Corporation INVITATION TO BID PUBLIC BIDDING 2020-0081 1.	The NATIONAL POWER CORPORATION (NPC), through       its        approved       Corporate Budget of CY 2020 intends to apply   the   sum   of (Please see schedule below) being the Appr</t>
  </si>
  <si>
    <t xml:space="preserve"> INVITATION TO BID FOR THE PROCUREMENT OF ONE (1) LOT, THREE (3) YEARS PRIVATE SECURITY AGENCY (PSA) SERVICES FOR CF-DAVAO AND APO VIEW SATELLITE UNDER ITB NO. PB20-03-002DAV The Philippine Amusement and Gaming Corporation (PAGCOR) is inviting all interest</t>
  </si>
  <si>
    <t xml:space="preserve"> Invitation to Bid For   Three (3) Years Managed Laser Print Services with Consumables 1.	The LAND BANK OF THE PHILIPPINES (LANDBANK), through its Corporate Budget for the contract approved by the Board of Directors for 2020 intends to apply the total sum </t>
  </si>
  <si>
    <t xml:space="preserve"> Invitation to Bid For One (1) Lot Supply and Delivery of EMV VISA Debit Card and Paywave Debit Card for OFBANK  1.	The LAND BANK OF THE PHILIPPINES (LANDBANK), through its Corporate Budget for the contract approved by the Board of Directors for 2020 inten</t>
  </si>
  <si>
    <t xml:space="preserve"> INVITATION TO BID The City Government of Pasay, through its Bids and Awards Committee (BAC) invites suppliers/manufacturers/distributors/contractors to apply and submit sealed bids for the supply and delivery of the following: Proposed Improvement of Drai</t>
  </si>
  <si>
    <t xml:space="preserve"> National Power Corporation INVITATION TO BID PUBLIC BIDDING 2020-0078 1.	The NATIONAL POWER CORPORATION (NPC), through       its        approved       Corporate Budget of CY 2020 intends to apply   the   sum   of (Please see schedule below) being the Appr</t>
  </si>
  <si>
    <t xml:space="preserve"> Invitation to Bid For   Supply and Delivery of 1,100 Units Desktop Computer 1.	The LAND BANK OF THE PHILIPPINES (LANDBANK), through its Corporate Budget for the contract approved by the Board of Directors for 2019 intends to apply the total sum of Forty S</t>
  </si>
  <si>
    <t xml:space="preserve"> REGIONAL BIDS AND AWARDS COMMITTEE REGION II &amp; E-CAR Request for Quotation (RFQ) No. 2020-1-002 Supply &amp; Delivery of Four (4) units 16-Drawer Signature Card Cabinet as proposed by LBP Santiago Branch NOTE: PLEASE SEE ATTACHED LBP REQUEST FOR QUOTATION FOR</t>
  </si>
  <si>
    <t xml:space="preserve"> INVITATION TO BID The Department of Public Works and Highways - Pampanga 1st District Engineering Office, through its Bids and Awards Committee (BAC), invites contractors to submit bids for the following Contract: 1.	 Procurement ID/Contract ID	:	20CG0080</t>
  </si>
  <si>
    <t xml:space="preserve"> INVITATION TO BID The Department of Public Works and Highways - Pampanga 1st District Engineering Office, through its Bids and Awards Committee (BAC), invites contractors to submit bids for the following Contract: 1.	 Procurement ID/Contract ID	:	20CG0079</t>
  </si>
  <si>
    <t xml:space="preserve"> INVITATION TO BID The Department of Public Works and Highways - Pampanga 1st District Engineering Office, through its Bids and Awards Committee (BAC), invites contractors to submit bids for the following Contract: 1.	 Procurement ID/Contract ID	:	20CG0082</t>
  </si>
  <si>
    <t xml:space="preserve"> INVITATION TO BID The Department of Public Works and Highways - Pampanga 1st District Engineering Office, through its Bids and Awards Committee (BAC), invites contractors to submit bids for the following Contract: 1.	 Procurement ID/Contract ID	:	20CG0081</t>
  </si>
  <si>
    <t xml:space="preserve"> INVITATION TO BID The Department of Public Works and Highways - Pampanga 1st District Engineering Office, through its Bids and Awards Committee (BAC), invites contractors to submit bids for the following Contract:   1.	 Procurement ID/Contract ID	:	20CG00</t>
  </si>
  <si>
    <t xml:space="preserve"> INVITATION TO BID The City Government of Pasay, through its Bids and Awards Committee (BAC) invites suppliers/manufacturers/distributors/contractors to apply and submit sealed bids for the supply and delivery of the following: Proposed Renovation, Rehabil</t>
  </si>
  <si>
    <t xml:space="preserve"> INVITATION FOR BIDS Date: 17 January 2020 Loan/Grant No. and Title:   ADB Loan No. 3631 – PHI: Improving Growth Corridors in Mindanao Road Sector Project (IGCMRSP) Contract No. and Title:        Contract No. 19Z00011, PR-01a, Gutalac-Baliguian Alternative</t>
  </si>
  <si>
    <t xml:space="preserve"> I. Road Clearing II. Hauling of Surface Materials (GUIZO) III. Spreading of Surface Materials (GUIZO) IV. Installation of Pipe Culvert 1.20 w/ Riprap and grouted (4 station) EQUIPMENT REQUIRED: 1-UNIT GRADER 1-UNIT ROAD ROLLER 1-UNIT BACKHOE 1-UNIT DUMP T</t>
  </si>
  <si>
    <t xml:space="preserve"> * 200 pcs Armchair, - heavy duty; made of resin supported with metal arms and legs; with writing board for right-hand use; gray</t>
  </si>
  <si>
    <t xml:space="preserve"> INVITATION TO BID The Department of Public Works and Highways-National Capital Region-Metro Manila 3rd District Engineering Office, through its Bids and Awards Committee (BAC), invites contractors to apply to bid for the following contract/s:    Contract </t>
  </si>
  <si>
    <t xml:space="preserve"> PGO-EXEC-COMBINATION BLINDS</t>
  </si>
  <si>
    <t xml:space="preserve"> Source of Funds: 20% BARANGAY IRA MATERIAL COST   1 cu.m. River boulders 6"Ø   31 bags Portland Cement   1.6 m° Washed Sand   3.3 m° River Gravel 1"Ø   13 length 16mmØ Reinforcing Steel Bars   6 length 12mmØ Reinforcing Steel Bars   12 lenght 10mmØ Reinfo</t>
  </si>
  <si>
    <t xml:space="preserve"> Construction of Public  Building</t>
  </si>
  <si>
    <t xml:space="preserve"> REPUBLIC OF THE PHILIPPINES								 	PHILIPPINE SCIENCE HIGH SCHOOL - MAIN CAMPUS								 	Agham Road, Diliman, Quezon City								 	REQUEST FOR QUOTATION								 							NO:	19-08-257	 							DATE:	07-Aug	 	GENTLEMEN:								 	This is to request for quota</t>
  </si>
  <si>
    <t xml:space="preserve"> CLARK DEVELOPMENT CORPORATION Clark Freeport Zone, Philippines INVITATION TO BID The Clark Development Corporation, through its Bids and Awards Committee (BAC), invites contractors registered with and classified by the Philippine Contractors Accreditation</t>
  </si>
  <si>
    <t xml:space="preserve"> Republic of the Philippines								 	Department of Science and Technology								 	PHILIPPINE SCIENCE HIGH SCHOOL - MAIN CAMPUS								 	Agham Road, Diliman, Quezon City								 									 	REQUEST FOR QUOTATION								 							NO:	20-01-031	 							DATE:	J</t>
  </si>
  <si>
    <t xml:space="preserve"> * Scope of Work: - Site Clearing and Preparation - Masonry and Tile Works - Carpentry Works - Plumbing Works - Electrical Works - Painting Works - Miscellaneous Works</t>
  </si>
  <si>
    <t xml:space="preserve"> CLARK DEVELOPMENT CORPORATION  Clark Freeport Zone, Philippines REQUEST FOR EXPRESSION OF INTEREST The Clark Development Corporation (CDC), through its Bids and Awards Committee (BAC), invites consultants to apply for eligibility and short-listing and if </t>
  </si>
  <si>
    <t xml:space="preserve"> Invitation to Bid  for the  Subic-Clark Railway Project Public Bidding No.  19-341-7 1.	The Government of the Philippines (GoP) intends to apply for a Loan from the People’s Republic of China toward the cost of the Subic-Clark Railway Project (SCRP), and </t>
  </si>
  <si>
    <t xml:space="preserve"> The DPWH-Ilocos Sur 1st District Engineering Office, through its Bids and Awards Committee (BAC), invites contractors to submit bids for the following Contract:   Contract ID: 20AC0057   Contract Name: Construction of Seawal at Paratong, Sta. Catalina, Il</t>
  </si>
  <si>
    <t xml:space="preserve"> Package 11 of 17: Supply and Delivery of 25 units Fire Hydrant Head 4"Ø (Angle Type) and 15 units Fire Hydrant Head 6"Ø (3-Way) (re-bidding)</t>
  </si>
  <si>
    <t xml:space="preserve"> The DPWH-Ilocos Sur 1st District Engineering Office, through its Bids and Awards Committee (BAC), invites contractors to submit bids for the following Contract:   Contract ID: 20AC0068   Contract Name: Construction of Flood Control of Catabeng Brook Along</t>
  </si>
  <si>
    <t xml:space="preserve"> The Zamboanga State College of Marine Sciences and Technology (ZSCMST), through its Bids and Awards Committee, is inviting PhilGeps registered suppliers to apply for eligibility and to submit bids for the items mentioned hereunder: B-011-2020 SUPPLY AND D</t>
  </si>
  <si>
    <t xml:space="preserve"> 1 pc Trumpet Intermediate YTR-2330 1 pc Trumpet Stand (DS510B) 1 set Trumpet Cleaning Kit 1 pc Tenor Trombone YSL-154 1 pc Trombone Stand(DS 420B)</t>
  </si>
  <si>
    <t xml:space="preserve"> Request for Quotation for the Procurement of Agricultural Supplies  1.	The Department of Agriculture-Regional Field Office 7 (DA-RFO 7), through the General Appropriation Act for CY 2020 intends to apply the sum of Eighty Thousand Pesos (P 80,000.00) bein</t>
  </si>
  <si>
    <t xml:space="preserve"> The DPWH-Ilocos Sur 1st District Engineering Office, through its Bids and Awards Committee (BAC), invites contractors to submit bids for the following Contract:   Contract ID: 20AC0074   Contract Name: Construction of Multi-Purpose Building (Covered Court</t>
  </si>
  <si>
    <t xml:space="preserve"> The DPWH-Ilocos Sur 1st District Engineering Office, through its Bids and Awards Committee (BAC), invites contractors to submit bids for the following Contract:   Contract ID: 20AC0067   Contract Name: Construction of Seawall, Brgy. Solot-solot, San Juan,</t>
  </si>
  <si>
    <t xml:space="preserve"> National Power Corporation INVITATION TO BID PUBLIC BIDDING 2020-0095 1.	The NATIONAL POWER CORPORATION (NPC), through       its        approved       Corporate Budget of CY 2020 intends to apply   the   sum   of (Please see schedule below) being the Appr</t>
  </si>
  <si>
    <t xml:space="preserve"> Section I. Invitation to Bid FOR THE UPLB-RES-029-04-20  PROCUREMENT OF DIAGNOSTIC AND LABORATORY SERVICES FOR IPB AND IBS 1.	The UNIVERSITY OF THE PHILIPPINES LOS BAÑOS (UPLB), through the GOP (LB04011001-C0002421-N919721 AND LB03039001-C0002075- N9A5423</t>
  </si>
  <si>
    <t xml:space="preserve"> INVITATION TO BID The DPWH Bukidnon 1st District Engineering Office, Malaybalay City, through its Bids and Awards Committee (BAC), invites contractors to submit bids for the following Contracts:   			 Contract ID 	:	20KA0101(Readvertisement) Contract Name</t>
  </si>
  <si>
    <t xml:space="preserve"> The Zamboanga State College of Marine Sciences and Technology (ZSCMST), through its Bids and Awards Committee, is inviting PhilGeps registered suppliers to apply for eligibility and to submit bids for the items mentioned hereunder: B-010-2020-B SUPPLY AND</t>
  </si>
  <si>
    <t xml:space="preserve"> Construction of Multi-Purpose Building Covered Court - 16.00m x 30.00m; 6-5.00m per span; with floor area- 480 sq.m; 0.40m elevation from NGL; with PWD Ramp and Railings (Painted Finish); Painted Plaster Finish at Columns and beams; with gutter, with chlo</t>
  </si>
  <si>
    <t xml:space="preserve"> Contract Name: Rehabilitation of Roads and Drainage at Cordillera St. and Ext., Manila Contract Location: Manila City      Brief Description: Rehabilitation of Roads and Drainage      Approved Budget for the Contract (ABC):  Php 9,899,900.44      Source o</t>
  </si>
  <si>
    <t xml:space="preserve"> Section I. Invitation to Bid FOR THE UPLB-RES-027-04-20  SUPPLY AND DELIVERY OF BRANDED AND BRAND NEW INFORMATION TECHNOLOGY FOR ICS 1.	The UNIVERSITY OF THE PHILIPPINES LOS BAÑOS (UPLB), through the GOP (LB03041001-C0002467-N920123) intends to apply the </t>
  </si>
  <si>
    <t xml:space="preserve"> The BAC shall draw up the short list of consultants from those who have submitted Expressions of Interest and Eligibility Documents and have been determined as eligible in accordance with the provisions of Republic Act (RA) No. 9184, otherwise known as th</t>
  </si>
  <si>
    <t xml:space="preserve"> The DPWH-Ilocos Sur 1st District Engineering Office, through its Bids and Awards Committee (BAC), invites contractors to submit bids for the following Contract:   Contract ID: 20AC0073   Contract Name: Construction of Flood Control Structure Along Mestizo</t>
  </si>
  <si>
    <t xml:space="preserve"> Invitation to Bid for CONSTRUCTION OF AREA DRAIN WITH INTERCEPTOR CANAL, DEPARTMENT OF MILITARY SCIENCE AND TACTICS, UPLB, COLLEGE, LAGUNA 1.	The U.P. LOS BAÑOS, through the GOP through UPLB-Reprogrammed Funds intends to apply the sum of ₱1,555,122.75 bei</t>
  </si>
  <si>
    <t xml:space="preserve"> Invitation to Bid for IMPROVEMENT OF SITE ORNAMENTAL CROPS NURSERY, LUZ ONATE ST., UPLB CAMPUS 1.	The U.P. LOS BAÑOS, through the GOP through UPLB-UGTFI (Trust Fund) intends to apply the sum of ₱9,149,048.61 being the Approved Budget for the Contract (ABC</t>
  </si>
  <si>
    <t xml:space="preserve"> The DPWH-Ilocos Sur 1st District Engineering Office, through its Bids and Awards Committee (BAC), invites contractors to submit bids for the following Contract:   Contract ID: 20AC0072   Contract Name: Construction of Multi-Purpose Building (Covered Court</t>
  </si>
  <si>
    <t xml:space="preserve"> Republic of the Philippines				 				                   Office of the Municipal Mayor				 					       BIDS AND AWARDS COMMITTEE				 					            Sta. Barbara, Pangasinan				 									 					               Invitation to Bid 				 					                    </t>
  </si>
  <si>
    <t xml:space="preserve"> INVITATION TO BID The DPWH Regional Office IX, Veterans Avenue Extension, Tetuan, Zamboanga City, through its Bids and Awards Committee (BAC), invites contractors to submit bids for the following Contract: Contract ID	:	20J00180 Contract Name	:	Constructi</t>
  </si>
  <si>
    <t xml:space="preserve"> 2	bags	Portland Cement, 40 kgs 4	pcs	Deformed Rebars, 10mm x 6m 1	kgs	Tie Wire #18 4	cu.m.	Sand &amp; Gravel, mixed 2	pcs	Palette 10	shts	Fiber Cement Board, 3/16" x 4 x 8 25	pcs	Good Lumber, 2 x 2 x 12 3	kgs	Fiber Board Nail, 3" 3	kgs	Fiber Board Nail, 4" 3	</t>
  </si>
  <si>
    <t xml:space="preserve"> Request for Quotation for the Procurement of Molasses 1.	The Department of Agriculture-Regional Field Office 7 (DA-RFO 7), through the General Appropriation Act for CY 2020 intends to apply the sum of Two Hundred Thirty Two Thousand Nine Hundred Pesos (P </t>
  </si>
  <si>
    <t xml:space="preserve"> INVITATION TO BID The DPWH Regional Office IX, Veterans Avenue Extension, Tetuan, Zamboanga City, through its Bids and Awards Committee (BAC), invites contractors to submit bids for the following Contract: Contract ID	:	20J00173 Contract Name	:	Constructi</t>
  </si>
  <si>
    <t xml:space="preserve"> Conctract ID No.:	:	20K00347 Conctract Name:	:	Construction of By-Pass and Diversion Road Jct. CDO-Talakag Road/ Macapagal Drive-Upper Carmen-Patag-Jct. BCIR/Kauswagan, Cagayan de Oro City Conctract Location:	:	Cagayan de Oro City Scope of Work:	:	Constru</t>
  </si>
  <si>
    <t xml:space="preserve"> 1.	The Power Sector Assets and Liabilities Management (PSALM) Corporation, through the 2020 Corporate Operating Budget (for the portion of the Contract to be performed in 2020) and 2021 Corporate Operating Budget (for the portion of the Contract to be per</t>
  </si>
  <si>
    <t xml:space="preserve"> INVITATION TO BID FOR THE PROCUREMENT ONE (1) LOT, THREE (3) YEARS JANITORIAL SERVICES FOR CF-DAVAO AND APO VIEW SATELLITE UNDER     ITB NO. PB20-03-003DAV The Philippine Amusement and Gaming Corporation (PAGCOR) is inviting all interested bidders in its </t>
  </si>
  <si>
    <t xml:space="preserve"> PROCUREMENT OF MANAGED SECURITY SERVICES 	 Project No.: 2020-CIMS(008)-PB-001 FUNDING SOURCE:  CIC CORPORATE BUDGET FOR F.Y. 2020 1.	The CREDIT INFORMATION CORPORATION (CIC) invites PhilGEPS registered providers to bid for the following: QTY	DESCRIPTION	A</t>
  </si>
  <si>
    <t xml:space="preserve"> Invitation to Bid For One (1) Lot Supply, Delivery, Installation, Testing and Commissioning of Variable Refrigerant Flow (VRF) Air-Conditioning Units at LANDBANK Sta. Cruz Office Building 1.	The LAND BANK OF THE PHILIPPINES (LANDBANK), through its Corpora</t>
  </si>
  <si>
    <t xml:space="preserve"> April 13, 2020 NOTICE TO THE PUBLIC SUBJECT:	POSTPONEMENT OF THE SUBMISSION AND OPENING OF BIDS FOR THE      	             INFRASTRUCTURE PROJECTS AND TRADITIONAL INSTRUMENTS                Pursuant to the Memorandum from the Executive Secretary, issued o</t>
  </si>
  <si>
    <t xml:space="preserve"> BRAND NEW 4 WHEELER DOUBLE CAB    LIGHT TRUCK , DROP SIDE WITH HARD TOP     CANOPY AND AIRCON   Engine Type:    4 cylinder,Turbo-Intercooler, Common Rail Direct   Injection System, Diesel Engine   Displacement:2771 cc   Emission : Euro IV   Max Torque (Nm</t>
  </si>
  <si>
    <t xml:space="preserve"> Supply and Delivery of the following DRRM Rescue Vehicles: 1. 6 units DRRM Rescue Vehicle, pick-up body type, 4x4 Manual Transmission with the following specifications: Model 2020, colors Silver Metallic, Gray Metallic, Crimson Spark Red, Orange Metallic,</t>
  </si>
  <si>
    <t xml:space="preserve"> INVITATION TO BID The DPWH Bukidnon 1st District Engineering Office, Malaybalay City, through its Bids and Awards Committee (BAC), invites contractors to submit bids for the following Contracts:   1	Contract ID 	:	20KA0135 	Contract Name 	:	Road Widening </t>
  </si>
  <si>
    <t xml:space="preserve"> The Department of Environment and Natural Resources (DENR) XII PENRO Cotabato, Kidapawan City, through its Bids and Awards Committee (BAC), invites all prospective bidders to apply for eligibility and subsequently bid for: 1. Name of Project: SUPPLY OF IC</t>
  </si>
  <si>
    <t xml:space="preserve"> Republic of the Philippines PROVINCE OF CAMARINES SUR BIDS AND AWARDS COMMITTEE ITB No. 029-06-2020 INVITATION TO BID  	The Provincial Government of Camarines Sur (PGCS) through its Bids and Awards Committee (BAC) invites suppliers/manufacturers/distribut</t>
  </si>
  <si>
    <t xml:space="preserve"> INVITATION TO BID The DPWH Bukidnon 1st District Engineering Office, Malaybalay City, through its Bids and Awards Committee (BAC), invites contractors to submit bids for the following Contracts:   			 2	Contract ID 	:	20KA0136 	Contract Name 	:	Paving of </t>
  </si>
  <si>
    <t xml:space="preserve"> The Local Government Unit of Quinapondan, Eastern Samar through the Department of Agriculture under the YRRP funds has received an amount toward the cost of the Supply and Delivery of Fertilizers in support to the Corn and Corn-Based Farming System/YRRP F</t>
  </si>
  <si>
    <t xml:space="preserve"> Invitation to Bid For One (1) Lot Supply and Delivery of 65,500 pcs. EMV VISA Debit Card with Personalization 1.	The LAND BANK OF THE PHILIPPINES (LANDBANK), through its Corporate Budget for the contract approved by the Board of Directors for 2020 intends</t>
  </si>
  <si>
    <t xml:space="preserve"> Pls. see attached documents</t>
  </si>
  <si>
    <t xml:space="preserve"> Republic of the Philippines                   Department of Health	       CENTRAL OFFICE BIDS AND AWARDS COMMITTEE  INVITATION TO BID FOR THE  PROCUREMENT OF TERMITE TREATMENT AND GENERAL PEST CONTROL MAINTENANCE IB NO. 2020-215 1.	The Department of Healt</t>
  </si>
  <si>
    <t xml:space="preserve"> INVITATION TO BID June 2, 2020 CHINA GEZHOUBA GROUP CORPORATION LIMITED / CHINA GEZHOUBA GROUP MUNICIPAL ENGINEERING CORPORATION LIMITED (JV) Unit 916, High Street South Corporate Plaza Tower1, 26th Street corner 9th Ave., Bonifacio Global City, Taguig Ci</t>
  </si>
  <si>
    <t xml:space="preserve"> Republic of the Philippines Province of Surigao del Sur Municipality of Tago ----oo0oo---- Invitation to Bid Supply and Delivery of Floor Mounted Air conditioner (Including Installation) Project ID No. TAG-SDS-052-2020 The Local Government Unit of Tago, S</t>
  </si>
  <si>
    <t xml:space="preserve"> INVITATION TO BID KB-GOODS-2020-05 I.	The Municipality of Kitaotao, intends to apply the sum of One Million Nine Hundred Thousand Pesos Only (P1,900,000.00) for the Supply and Delivery of Brand New 4x4 Manual Transmission Pick-up. Bids received more than </t>
  </si>
  <si>
    <t xml:space="preserve"> - The Municipality of Baliguian, request for quotation for the Procurement of customized ambulance with complete and standard medical accessories and emergency medical kits. - The Estimated Budget Cost is One Million Nine Hundred Thousand Pesos (Php1,900,</t>
  </si>
  <si>
    <t xml:space="preserve"> Republic of the Philippines                   Department of Health	       CENTRAL OFFICE BIDS AND AWARDS COMMITTEE  INVITATION TO BID FOR THE  PROCUREMENT OF BIFENTHRIN  IB NO. 2020-212 1.	The Department of Health (DOH), through the General Appropriations</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</si>
  <si>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</si>
  <si>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INVITATION TO BID FOR  Procurement of Goods [Fuel and Lubricants] The   City Government of Tagbilaran,   through the Appropriation Ordinance No. 19-05 for FY 2020, intends to apply the sum of Two Million Pesos only (Php2,000,000.00)being the  Approved Bud</t>
  </si>
  <si>
    <t xml:space="preserve"> 1.	272 	- bags		- Portland Cement			- 285.00 2.	 36 		- lenghts	- 20mmØx 6.0 DSB			- 630.00 3.	142		- lenghts	-16mmØx 6.0 DSB			- 410.00 4.	331		- lengths	- 12mmØx6.0 DSB			- 218.00 5.	 57		- lengths	- 10mmØx6.0 DSB			- 155.00 6.	  9		-  pcs.	- Hacksaw Bl</t>
  </si>
  <si>
    <t xml:space="preserve"> I. Mobilization II. CSHP III. Project Billboard IV. Masonry Works V. Roof Framing VI. Plumbing Works VII. Carpentry Works VIII. Forms and Scaffolding IX. Electrical X. Windows XI. Painting Works Labor</t>
  </si>
  <si>
    <t xml:space="preserve"> REQUEST FOR EXPRESSION OF INTEREST FOR  SUBDIVISION SURVEY OF NEW LANDS (RA 3844) 1. The DEPARTMENT OF AGRARIAN REFORM, through the GOVERNMENT APPROPRIATIONS ACT 2020 intends to apply the sum of TWO MILLION ONE HUNDRED EIGTHY EIGHT THOUSAND PESOS (Php. 2,</t>
  </si>
  <si>
    <t xml:space="preserve"> The Bids and Awards Committee								 Province of Iloilo								 								      In connection with your Invitation to Bid No. PEO-20-0597-B scheduled on June 26, 2020, I/we proposed to furnish and deliver in conformity with the terms and conditions, and sp</t>
  </si>
  <si>
    <t xml:space="preserve"> Department of Agriculture		 BUREAU OF PLANT INDUSTRY 692 San Andres Street Malate, Manila, Philippines E-mail Address: bpibac@yahoo.com Tel. No.: (02) 8526-7859, (02) 8691-0736 | Website: bpi.da.gov.ph SOLICITATION NO.: ITB PR NO. 0772-20BAC  INVITATION T</t>
  </si>
  <si>
    <t xml:space="preserve"> Department of Agriculture		 BUREAU OF PLANT INDUSTRY 692 San Andres Street Malate, Manila, Philippines E-mail Address: bpibac@yahoo.com Tel. No.: (02) 8526-7859, (02) 8691-0736 | Website: bpi.da.gov.ph SOLICITATION NO.: ITB PR NO. 0499-20BAC  INVITATION T</t>
  </si>
  <si>
    <t xml:space="preserve"> SOLICITATION NO.: ITB PR NO. 0204-20BAC  INVITATION TO BID FOR THE PROCUREMENT FOR THE SUPPLY AND DELIVERY OF LC, HPLC CONSUMABLES FOR USE IN LABORATORIES OF PLANT PRODUCT SAFETY SERVICES DIVISION (PPSSD) 1.	The Bureau of Plant Industry (BPI), through the</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</si>
  <si>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</si>
  <si>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Republic of the Philippines                                                     PROVINCE OF SAMAR                                                         INVITATION TO BID                                                       Supply of Fishing Gears 1) Th</t>
  </si>
  <si>
    <t xml:space="preserve"> Department of Agriculture		 BUREAU OF PLANT INDUSTRY 692 San Andres Street Malate, Manila, Philippines E-mail Address: bpibac@yahoo.com Tel. No.: (02) 8526-7859, (02) 8691-0736 | Website: bpi.da.gov.ph SOLICITATION NO.: ITB PR NO. 0774-20BAC  INVITATION T</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</si>
  <si>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</si>
  <si>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building</t>
  </si>
  <si>
    <t xml:space="preserve"> INVITATION TO BID  PROCUREMENT OF CIVIL WORKS  OF VARIOUS FACILITIES  1.	The LOCAL WATER UTILITIES ADMINISTRATION has received a Loan from the Asian Development Bank toward the cost of the Water District Development Sector Project (WDDSP), and it intends </t>
  </si>
  <si>
    <t xml:space="preserve"> INVITATION TO BID IB NO. CW 2020 – 086 Concreting of Road Section at Brgy. Sta. Rosa II, Binaybay, Baco, Oriental Mindoro 1.  The Provincial Government of Oriental Mindoro (PGOM) through the 20% Development Fund CA 2019 intends to apply the sum of One Mil</t>
  </si>
  <si>
    <t xml:space="preserve"> INVITATION TO BID IB NO. CW 2020 – 085 Concreting of Road at Brgy. Batong Dalig, Socorro, Oriental Mindoro 1.  The Provincial Government of Oriental Mindoro (PGOM) through the 20% Development Fund CA 2019 intends to apply the sum of One Million Six Hundre</t>
  </si>
  <si>
    <t xml:space="preserve"> Invitation to Bid for  INFRA 2K20-40 CONSTRUCTION OF 14 LN.M. HANGING BRIDGE June 02, 2020 1.	The Provincial Government of Zamboanga del Sur, through the Capital Outlay CY 2020 / SB No.3 CY 2020 intends to apply the sum of TWO MILLION THREE HUNDRED EIGHTY</t>
  </si>
  <si>
    <t xml:space="preserve"> Republic of the Philippines PROVINCE OF PAMPANGA City of San Fernando INVITATION TO BID NO. 2020-18 IG - BAC INVITATION TO BID FOR PURCHASE REQUEST NO. 20-1417 and 20-0554 The Provincial Government of Pampanga (“Province”) intends to apply the following s</t>
  </si>
  <si>
    <t xml:space="preserve"> INVITATION TO BID FOR THE Supply and Delivery of 1-unit Passenger Van for Bicol University 1. The BICOL UNIVERSITY, through the Corporate Budget for the contract approved by the Board of Regents intends to apply the sum of Two Million One Hundred Eighty-S</t>
  </si>
  <si>
    <t xml:space="preserve"> General Rqmts., Pathwalk, Access ramp with railings, Access stairs with railings</t>
  </si>
  <si>
    <t xml:space="preserve"> Republic of the Philippines Province of Isabela LOCAL GOVERNMENT UNIT OF BENITO SOLIVEN INVITATION TO BID FOR THE CONCRETING OF YEBAN NORTE-PUNIT ROAD (530 METERS) 1.	The Municipal Government of Benito Soliven, intends to apply the sum of Two Million Four</t>
  </si>
  <si>
    <t xml:space="preserve"> Supply and Delivery of Computer Paper Continuous Forms for the Regional Payroll Services Unit of the Department of Education, Regional Office VI (Rebid) Item No. Qty. Unit Description 1 350 Box Computer Paper Continuous Form, 14 7/8"x11"; carbonless 4 ply</t>
  </si>
  <si>
    <t xml:space="preserve"> Invitation to Bid for  Construction of Farmers Multi-Purpose Center, Juan Cartas, Caba, La Union 1.	The Provincial Government of La Union, through the RA7171 intends to apply the sum of ₱3,900,000.00 being the Approved Budget for the Contract (ABC) to pay</t>
  </si>
  <si>
    <t xml:space="preserve"> INVITATION TO BID FOR THE Supply and Delivery of 1-unit Sports Utility Vehicle for Bicol University 1. The BICOL UNIVERSITY, through the Corporate Budget for the contract approved by the Board of Regents intends to apply the sum of One Million Seven Hundr</t>
  </si>
  <si>
    <t xml:space="preserve"> ITB NO. 2020-0012 Design, Supply, Fabrication of Mounting Brackets and Installation and Testing of Antenna Panels for the Zamboanga Transmitter Station of the People’s Television Network Inc. (PTNI)</t>
  </si>
  <si>
    <t xml:space="preserve"> The NATIONAL FOOD AUTHORITY (NFA) Regional Office VI intends to apply the sum of Twenty Nine Million Seven Hundred Sixty Two Thousand One Hundred Twelve Pesos and 77/100 (Php 29,762,112.77) inclusive of VAT from its Corporate Operating Budget as the Appro</t>
  </si>
  <si>
    <t xml:space="preserve"> Invitation to Bid for  Improvement/Widening of Balecbec-Basca Farm to Market Road, Naguilian, La Union 1.	The Provincial Government of La Union, through the RA7171 intends to apply the sum of ₱3,900,000.00 being the Approved Budget for the Contract (ABC) </t>
  </si>
  <si>
    <t xml:space="preserve"> INVITATION TO BID IB NO. CW 2020 – 084 Construction  of Gabion at Sitio Tagascan, Brgy. San Vicente, Roxas, Oriental Mindoro 1.  The Provincial Government of Oriental Mindoro (PGOM) through the General Fund – 5% Calamity Fund 2019 intends to apply the sum</t>
  </si>
  <si>
    <t xml:space="preserve"> Invitation to Bid for  Rehabilitation of Lingsat Farm to Market Road (Hufano Street), San Fernando City, La Union 1.	The Provincial Government of La Union, through the RA7171 intends to apply the sum of ₱3,900,000.00 being the Approved Budget for the Cont</t>
  </si>
  <si>
    <t xml:space="preserve"> Invitation to Bid for  Improvement of Rimos #4  Road, Luna, La Union 1.	The Provincial Government of La Union, through the RA7171 intends to apply the sum of ₱1,462,500.00 being the Approved Budget for the Contract (ABC) to payments under the contract for</t>
  </si>
  <si>
    <t xml:space="preserve"> Invitation to Bid for  Rehabilitation and Improvement of Sapilang Road, Bacnotan, La Union 1.	The Provincial Government of La Union, through the RA7171 intends to apply the sum of ₱3,899,991.84 being the Approved Budget for the Contract (ABC) to payments </t>
  </si>
  <si>
    <t xml:space="preserve"> Invitation to Bid SUPPLY AND DELIVERY OF TWO (2) UNITS BRAND NEW OFFICE VEHICLES UNDER PR NO. 13799 (Rebid) 1. The Metro Iloilo Water District through the Corporate Fund of 2020 intends to apply the sum of Two Million Five Hundred Thousand Pesos (P 2,500,</t>
  </si>
  <si>
    <t xml:space="preserve"> Invitation to Bid for  Improvement of Naguilian-San Fernando Road, Naguilian, La Union 1.	The Provincial Government of La Union, through the RA7171 intends to apply the sum of ₱9,750,000.00 being the Approved Budget for the Contract (ABC) to payments unde</t>
  </si>
  <si>
    <t xml:space="preserve"> Back-up of databases, applications and electronic file wrappers</t>
  </si>
  <si>
    <t xml:space="preserve"> Construction of single storey 8.00 x 18.00 m. (144.00 sq.m.) Barangay Multi purpose building with amenities</t>
  </si>
  <si>
    <t xml:space="preserve"> Invitation to Bid for  Construction of Dallangayan Este Creek Slope Protection, San Fernando City, La Union 1.	The Provincial Government of La Union, through the RA7171 intends to apply the sum of ₱1,950,000.00 being the Approved Budget for the Contract (</t>
  </si>
  <si>
    <t xml:space="preserve"> Invitation to Bid for  Rehabilitation and Improvement of Biday-Mameltac-Saoay-Dallangayan Road, San Fernando City, La Union 1.	The Provincial Government of La Union, through the RA7171 intends to apply the sum of ₱3,900,000.00 being the Approved Budget fo</t>
  </si>
  <si>
    <t xml:space="preserve"> Invitation to Bid for QRF2020-RVI-022-ILOILO-B1-L6 ITB No. 012 The Department of Education (DepED) Schools Division of Iloilo, through the CY 2020 Quick Response Fund (QRF), intends to apply the sum Four Million Two Hundred Forty Three Thousand Eight Hund</t>
  </si>
  <si>
    <t xml:space="preserve"> Republic of the Philippines Department of Public Works and Highways REGIONAL OFFICE VIII Baras, Palo, Leyte INVITATION TO BID June 10, 2020 1.	The DPWH Regional Office VIII, Baras, Palo, Leyte through its Bids and Awards Committee (BAC), invites contracto</t>
  </si>
  <si>
    <t xml:space="preserve"> The purpose of procuring one (1) lot firewall software subscription support is to enable IPOPHL to protect its employees, network and information assets against known and advanced persistent cyber-attacks proliferating the Internet.</t>
  </si>
  <si>
    <t xml:space="preserve"> Invitation to Bid for QRF2020-RVI-022-ILOILO-B1-L5 ITB No. 011 The Department of Education (DepED) Schools Division of Iloilo, through the CY 2020 Quick Response Fund (QRF), intends to apply the sum Four Million Three Hundred Thirty Seven Thousand Seven H</t>
  </si>
  <si>
    <t xml:space="preserve"> CONCRETING OF BARANGAY NAGCANASAN FMR Contract Location:                    Barangay Nagcanasan, Pilar, Abra Brief Description:                     Concreting of Road using PCCP (Unreinforced, 0.20m thk. 14 days) The DPWH-Abra District Engineering Office </t>
  </si>
  <si>
    <t xml:space="preserve"> Construction of Flood Control Structures along Zapote River and its Tributaries</t>
  </si>
  <si>
    <t xml:space="preserve"> Republic of the Philippines Department of Health Central Luzon Center for Health Development Talavera General Hospital Talavera, Nueva Ecija    ISO QMS Certified INVITATION TO BID  Re-Bidding of Supply and Delivery of One (1) Lot Various Engineering and M</t>
  </si>
  <si>
    <t xml:space="preserve"> Supply and Delivery of 5,600 pcs. Jumbo Yellow Pencil with Eraser, 97,250 pcs. Yellow Pencil with Eraser, 93,000 pcs. Ballpen 1.0mm, 27,400 pcs. Pentel pen Black, and 13,600 pcs. Colored Paper 20's assorted</t>
  </si>
  <si>
    <t xml:space="preserve"> Project Description: Construction of 1m x 1.0m x 980m Long Drainage Canal with units of 1x1x7m Box Culvert Item No. - Description				Percent of Total	Unit	Quantity 						 						 I		STANDARD BILLBOARD		0.07%	Each	1.00 II		REMOVAL OF EXISTING STRUCTURE		7.7</t>
  </si>
  <si>
    <t xml:space="preserve"> Invitation to Bid for  LOWER SIBUGUEY I RIS EXTENSION PROJECT PACKAGE 3 CY 2016 REMAINING WORKS Diplahan, Zamboanga Sibugay 1.	The National Irrigation Administration – Zamboanga Sibugay Irrigation Management Office, Region 9, through the LINEPROGRAMS-EXTE</t>
  </si>
  <si>
    <t xml:space="preserve"> Republic of the Philippines												 City of San Carlos												 Negros Occidental												 												 			INVITATION TO BID							FOR SALE	 			PURCHASE REQUEST NO: 9-20-05-0601			P 1,800.00	 Sealed bids for quotation of prices will be received </t>
  </si>
  <si>
    <t xml:space="preserve"> Republic of the Philippines Province of Samar  Municipality of Jiabong INVITATION TO BID FOR  REPAIR OF BARANGAY HALL (BRGY LULUGAYAN) Jiab-2020-21A 1.	The Municipal Government of Jiabong, Samar, intends to apply the sum of ONE HUNDRED FIFTY THOUSAND  PES</t>
  </si>
  <si>
    <t xml:space="preserve"> Republic of the Philippines PROVINCE OF SIQUIJOR Capitol, Bldg., Pulangyuta, Siquijor, Siquijor INVITATION TO BID FOR Supply and Delivery of 2 units Mechanical Ventilator, Digital 1.	The Province of Siquijor, through the IPHO Medical Equipment Non-Office </t>
  </si>
  <si>
    <t xml:space="preserve"> INVITATION TO BID KB-GOODS-2020-05 I.	The Municipality of Kitaotao, intends to apply the sum of Two Million Pesos Only (P2,000,000.00) for the Supply and Delivery of Brand New Utility Vehicle (pick-up). Bids received more than the ABC shall be automatical</t>
  </si>
  <si>
    <t xml:space="preserve"> Kindly see and download attachments</t>
  </si>
  <si>
    <t xml:space="preserve"> Construction of Poblacion Drainage System (Magsaysay Street) Poblacion, Libungan, Cotabato</t>
  </si>
  <si>
    <t xml:space="preserve"> Republic of the Philippines PROVINCE OF AGUSAN DEL SUR Bids and Awards Committee Gov. Democrito O. Plaza Government Center, Prosperidad Invitation to Bid for Construction of Outpatient Department Building for Non-COVID-19 Patients 1.	The Provincial Govern</t>
  </si>
  <si>
    <t xml:space="preserve"> Construction of Multipurpose Building with a floor area of 7.00m x8.00m consist of the following scope of works: Masonry works for Septic Vault; Concrete Works for Slab, Sidewalk and Septic Vault(Slab); Plastering Works for all elevation  including Parape</t>
  </si>
  <si>
    <t xml:space="preserve"> African Night Crawlers</t>
  </si>
  <si>
    <t xml:space="preserve"> Republic of the Philippines PROVINCE OF AGUSAN DEL SUR Bids and Awards Committee Gov. Democrito O. Plaza Government Center, Prosperidad Invitation to Bid for Concreting of NRJ (Bayugan City) Sta. Teresita-Mt. Carmel-Osmeña Circumferential Road 1.	The Prov</t>
  </si>
  <si>
    <t xml:space="preserve"> Republic of the Philippines Province of Surigao del Sur Municipality of Tago ----oo0oo---- Invitation to Bid Supply and Delivery of Various Brand New Heavy Equipments and Brand New Six (6) Wheelers Dump truck Project ID No. TAG-SDS-051-2020 The Local Gove</t>
  </si>
  <si>
    <t xml:space="preserve"> Item I-A - General Requirements (Mob./Demob.)  1.00  lot Item I-B - General Requirements (Proj. Signboard &amp; BM)  2.88  sq.m. Item II-A - Earthworks @ Site (Excavation/Backfilling)  19.44  cu.m. Item II-B - Earthworks @ Site (Filling Materials @ G-Floor)  </t>
  </si>
  <si>
    <t xml:space="preserve"> Specifications: Engine: 4D32 No. of Cylinders: 4 Tire Size: 7.00x16 Battery Size: 2 pcs. 2SM Load Capacity: 5 Cubic Meters (more or less)</t>
  </si>
  <si>
    <t xml:space="preserve"> Reconstruction/Upgrading of 1.191 km./2.382 lane km. of road along Salvador H. Escudero III Diversion Road; and Construction of 0.289 km./0.52 lane kilometer road</t>
  </si>
  <si>
    <t xml:space="preserve"> Supply and Delivery of Technical and Scientific Equipment</t>
  </si>
  <si>
    <t xml:space="preserve"> Republic of the Philippines          City of Dumaguete Bids and Awards Committee INVITATION TO BID FOR THE PURCHASE OF 2,485 CU.M. LOOSE EARTH SOIL AND OTHER ITEMS 	The City of Dumaguete thru its BIDS AND AWARDS COMMITTEE (BAC), invites all interested man</t>
  </si>
  <si>
    <t xml:space="preserve"> Feeds to be used for raw materials for Organic Production</t>
  </si>
  <si>
    <t xml:space="preserve"> Republic of the Philippines PROVINCE OF AGUSAN DEL SUR Bids and Awards Committee Gov. Democrito O. Plaza Government Center, Prosperidad Invitation to Bid for Concreting of NRJ (Sibagat) San Vicente-Esperanza Road 1.	The Provincial Government of Agusan del</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</si>
  <si>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</si>
  <si>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The Barangay Government of Barangay Tagpopongan  through the 20% Devt Funds  intends to apply the sum of Four Hundred Twenty Two Thousand Five Hundred Forty Two Pesos Only (PhP422,542.00) for the Supply and Delivery of Materials for the Improvement of Wat</t>
  </si>
  <si>
    <t xml:space="preserve"> a.CONTRACT  ID : ANTIPOLO-01JULY2020-12 b. NAME OF PROJECT : Construction of Bleacher, Canopy and Perimeter Fence at Sierra Vista Subdivision, Brgy. Cupang, Antipolo City c. LOCATION : Brgy. Cupang, Antipolo City d. BRIEF DESCRIPTION : Construction of Ble</t>
  </si>
  <si>
    <t xml:space="preserve"> Construction/ Concreting of Provincial Roads, Highways and Bridges (Panhutungan Feeder Road Slope Protection) Municipality of Placer, Surigao del Norte Name of Contract:	Construction/ Concreting of Provincial Roads, Highways and Bridges (Panhutungan Feede</t>
  </si>
  <si>
    <t xml:space="preserve"> Repair of embankment stoned masonry protection and re-construction of reinforced concrete slab.</t>
  </si>
  <si>
    <t xml:space="preserve"> Supply, Delivery, Testing, Integration, Training and  Commissioning of News Production Editing System with  Complete Accessories for the Mindanao Media Hub of the  People’s Television Network, Inc. (PTNI)  (Negotiated Procurement: Two Failed Biddings)</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</si>
  <si>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</si>
  <si>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Republic of the Philippines BIDS AND AWARDS COMMITTEE Bacolod City INVITATION TO BID FOR THE PURCHASE OF BRAND NEW SERVICE VEHICLE FOR USE AS SERVICE VEHICLE OF PUBLIC WORK DIVISION, CEO 1.	The City of Bacolod, through the Sangguniang Panlungsod 2019 inte</t>
  </si>
  <si>
    <t xml:space="preserve"> ITEM NO.	QUANTITY	UNIT	DESCRIPTION 1	68	pcs	Angle Bar, 1/4" x 2" x 2" x 6m 2	25	m	Assorted Sanding Paper 3	70	pcs	Assorted Paint Rollers/Brush 4	100	pcs	Bamboo Poles 5	3	box	Blind Rivets, 5/32 x 1" 6	10	box	Blind Rivets, 1/8 x 1" 7	45	pcs	C-Purlin, 2" x 4</t>
  </si>
  <si>
    <t xml:space="preserve"> Republic of the Philippines BIDS AND AWARDS COMMITTEE Bacolod City INVITATION TO BID FOR THE PURCHASE OF MOTOR VEHICLE FOR CITY ADMINISTRATOR'S OFFICE USE 1.	The City of Bacolod, through the Sangguniang Panlungsod 2019 intends to apply the sum of         </t>
  </si>
  <si>
    <t xml:space="preserve"> The Mabitac Water District, through the Siniloan Water District (SIWADI) BAC intends to apply the sum of PhP 870,000.00 being ABC to payment under the contract for the Drilling of one (1) Exploratoryh/Production Well. We now invites sealed Bids from prosp</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</si>
  <si>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</si>
  <si>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INVITATION TO BID BAC-IB NO. 2020-31 	 The Research Institute for Tropical Medicine (RITM) through its Bids and Awards Committee (BAC) invites legally, technically and financially capable PhilGEPS registered contractors with valid and appropriate PCAB Lic</t>
  </si>
  <si>
    <t xml:space="preserve"> INVITATION TO BID  for  Construction of Breakwater for Storm Surge Mitigation at Lingayen, Pangasinan Solicitation No. PANG-2020-0318 1.	The Provincial Government of Pangasinan, through the Local Disaster Risk Reduction Management Fund (PR#2020-02-1858) i</t>
  </si>
  <si>
    <t xml:space="preserve"> 1.	The General Mariano Alvarez Water District (GMAWD), through the GMAWD General Fund, intends to apply the sum of FIVE MILLION NINE HUNDRED SIXTY THREE THOUSAND PESOS (Php5,963,000.00)  being the Approved Budget for the Contract (ABC) to payments under t</t>
  </si>
  <si>
    <t xml:space="preserve"> Republic of the Philippines Province of Bukidnon Municipality of Cabanglasan -o0o- ___________________________________________________________________________ INVITATION TO BID FOR  Purchase of Materials for Construction of Multi-Purpose Building P Poblac</t>
  </si>
  <si>
    <t xml:space="preserve"> Supply and Delivery of Construction Supplies and Materials for the Improvement of Barangay Health Station at Mabasa with an ABC of Php282,745.00 LOT 1. Billboard = 1,900.00 LOT 2. Miscellaneous Materials = 275,345.00 LOT 3. Equipment Rental = 5,500.00 For</t>
  </si>
  <si>
    <t xml:space="preserve"> INVITATION TO BID  for  Supply and Delivery of Pre-Mix Asphalt and Emulsified Asphalt Solicitation No. PANG-2020-0782 1.	The Provincial Government of Pangasinan, through the Construction, Repair &amp; Maintenance of Various Roads and Bridges intends to apply </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</si>
  <si>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</si>
  <si>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Republic of the Philippines Province of Leyte Municipality of Mahaplag BARANGAY CUATRO DE AGOSTO Invitation to bid for the Procurement of Materials for the Construction of Concrete Pathway at Sitio Maitom 1. The Barangay Cuatro De Agosto of Mahaplag, Leyt</t>
  </si>
  <si>
    <t xml:space="preserve"> OFFICE: PNP SALUG PURPOSE: FOR GENERAL REPAIR PF PNP PATROL VEHICLE ABC: 309,750.00 REPAIR OF POLICE MOBILE PATROL (MAHINDRA) COLOR WIHITE</t>
  </si>
  <si>
    <t xml:space="preserve"> Republic of the Philippines Province of Bukidnon Municipality of Cabanglasan -o0o- ___________________________________________________________________________ INVITATION TO BID FOR  Purchase of Materials for Construction of Multi-Purpose Building C, Pobla</t>
  </si>
  <si>
    <t xml:space="preserve"> Purchase of Various IT Equipment for Various Offices. Three (3) units Laptop Two (2) units Computer Printer Two (2) units Desktop Computer  Note: For specifications of the above-mentioned IT Equipment, please refer to the ABE.</t>
  </si>
  <si>
    <t xml:space="preserve"> One (1) Year Internet Connection Service for the Six (6) Campuses of ISPSC 1. STA. MARIA CAMPUS (Main Campus) Particulars: *** 50 Mbps Dedicated Fiber Internet 2. Tagudin Campus Particulars: *** 30 Mbps Dedicated Fiber Internet 3. Narvacan, Santiago, Cand</t>
  </si>
  <si>
    <t xml:space="preserve"> Republic of the Philippines CITY OF SAN PEDRO Province of Laguna BIDS AND AWARDS COMMITTEE INVITATION TO BID The City Government of San Pedro Laguna through the 2020 CDC Budget Approved by Sangguniang Panglungsod intends to apply the sum of Php 1,499,966.</t>
  </si>
  <si>
    <t xml:space="preserve"> This project is dealing of Brgy. Guinuangan, Lopez, Quezon</t>
  </si>
  <si>
    <t xml:space="preserve"> Electrical Systems and Lighting Components</t>
  </si>
  <si>
    <t xml:space="preserve"> 3.0 TR Floor Mounted Airconditioner.</t>
  </si>
  <si>
    <t xml:space="preserve"> OPV-2020-0174 PR2020-0440 INVITATION TO BID FOR THE PROCUREMENT OF OFFICE FURNITURE AND FIXTURES FOR OFFICE USE AT OFFICE OF THE PROVINCIAL VETERINARIAN ABC: P 2,605,500.00 COST OF BID DOCUMENTS: P 5,000.00 ADVERTISEMENT PERIOD: JUNE 17 - JULY 8, 2020 PRE</t>
  </si>
  <si>
    <t xml:space="preserve"> Section I. Invitation to Bid Republic of the Philippines Province of Sultan Kudarat Municipality of Bagumbayan OFFICE OF THE BIDS AND AWARDS COMMITTEE Bagumbayan, Sultan Kudarat INVITATION TO BID FOR THE PROCUREMENT OF CONSTRUCTION MATERIALS FOR THE IMPRO</t>
  </si>
  <si>
    <t xml:space="preserve"> Republic of the Philippines Province of Bukidnon Municipality of Cabanglasan -o0o- ___________________________________________________________________________ INVITATION TO BID FOR  Purchase of Materials for Construction of Market Stalls (PhaseII) Market </t>
  </si>
  <si>
    <t xml:space="preserve"> Construction of Drainage Canal at Purok 1-B at Barangay bobongon</t>
  </si>
  <si>
    <t xml:space="preserve"> Republic of the Philippines 	CITY OF SAN PEDRO Province of Laguna BIDS AND AWARDS COMMITTEE INVITATION TO APPLY FOR ELIGIBILITY AND TO BID PR NO. 0452 1.	The City Government of San Pedro, Laguna through the 2020 Budget Approved by the Sangguniang Panglung</t>
  </si>
  <si>
    <t xml:space="preserve"> Subject:		INVITATION FOR NEGOTIATED PROCUREMENT Reference:	Replacement of Escalator East and Escalator West at NAIA Terminal 1 In accordance with the provisions of the Implementing Rules and Regulations of the Republic Act No. 9184, the MIAA General Manag</t>
  </si>
  <si>
    <t xml:space="preserve"> Improvement of Multi-Purpose Building - Guiamlong, Caramoran, Catanduanes Improvement of Multi-Purpose Building - Datag West, Caramoran, Catanduanes Extension of Multi-Purpose Building - Camburo, Caramoran, Catanduanes</t>
  </si>
  <si>
    <t xml:space="preserve"> Roofing materials</t>
  </si>
  <si>
    <t xml:space="preserve"> Republic of the Philippines Province of Cotabato Municipality of Aleosan Invitation to Bid for the  CONSTRUCTION OF COMFORT ROOM BUILDING (PROGRESSIVE TYPE) AT ALEOSAN PUBLIC MARKET, LGU ALEOSAN, COT. 								June 15, 2020 		 1.	The Local Government Unit </t>
  </si>
  <si>
    <t xml:space="preserve"> the specification is available at the Bids and Awards Committee Secretariat MPDC-2nd Floor, Lasam Municipal Town Hall Centro 02, Lasam. Cagayan</t>
  </si>
  <si>
    <t xml:space="preserve"> Republic of the Philippines PROVINCE OF MARINDUQUE Capitol Boac, Marinduque OFFICE OF BIDS AND AWARDS COMMITTEE INVITATION TO BID  Supplying various medical oxygen for use of the three (3) hospitals owned by the Marinduque Provincial Government, SCDH/TMH/</t>
  </si>
  <si>
    <t xml:space="preserve"> Republic of the Philippines PROVINCE OF MARINDUQUE Capitol Boac, Marinduque OFFICE OF BIDS AND AWARDS COMMITTEE INVITATION TO BID  Supplying various breeder animals to be dispersed to Solo Parents of Torrijos Municipality, Provincial Veterinary Office, Bo</t>
  </si>
  <si>
    <t xml:space="preserve"> Solvents ALCOHOL, ethyl, 68%-70%, scented, 500m1 (-5m1)-185 bottle Pesticides or Pest Repellents INSECI1CIDE, aerosol type, net content: 600m1 min-20can Color Compounds and Dispersions STAMP PAD INK, purple or violet-6bottle Paper Materials and Products C</t>
  </si>
  <si>
    <t xml:space="preserve"> ITEM: 100    HEADS    GOAT UPGRADED FEMALE</t>
  </si>
  <si>
    <t xml:space="preserve"> Rubber Seedlings</t>
  </si>
  <si>
    <t xml:space="preserve"> Purchase of Various Materials and Supplies which will be used for New Service Connection of the district.</t>
  </si>
  <si>
    <t xml:space="preserve"> A total of six (6) units of motorcycle (see attached PR/TOR for technical specifications) each with Motor Vehicle Registration (Comprehensive), added accessories namely, Full-face Helmet, Top Box, Knee and Elbow Pads, and one (1) year warranty on parts an</t>
  </si>
  <si>
    <t xml:space="preserve"> 1. The [Local Government Unit of Inopacan, Leyte], through the [Capital Outlay of the Municipal Engineering Office in the 2020 General Fund Supplemental Budget No. 1 as per Appropriation Ordinance No. 20-02 by the 14th Sangguniang Bayan of Inopacan, Leyte</t>
  </si>
  <si>
    <t xml:space="preserve"> Supply And Delivery of One (1) unit Meat Van (Brand New) and Two (2) units LED TV CCTV Monitor to be used for delivery of dressed meat from slaughter house to Public Market and Market Satey and Security Surveillance, Brooke’s Point, Palawan Lot #1 Meat Va</t>
  </si>
  <si>
    <t xml:space="preserve"> H E A D Q U A R T E R S 6TH INFANTRY (KAMPILAN) DIVISION, PHILIPPPINE ARMY 6ID SPECIAL BIDS AND AWARD COMMITTEE  Camp BGen Gonzalo H Siongco, Awang Datu Odin, Sinsuat, Maguindanao Invitation to Bid The Philippines Army through 6ID Special Bids and Awards </t>
  </si>
  <si>
    <t xml:space="preserve"> The DPWH-Regional Office I, through its Bids and Awards Committee (BAC), invites contractors to submit bids for the following Contract: Contract ID: 20A00070 Contract Name: Construction of By-pass and Diversion Roads, Laoag-San Nicolas Bypass Road (San Ni</t>
  </si>
  <si>
    <t xml:space="preserve"> Republic of the Philippines Province of Bohol Municipality of Panglao INVITATION TO BID FOR REHABILITATION OF PERIMETER FENCE AT PANGLAO PUBLIC MARKET, POBLACION, PANGLAO, BOHOL 1.	The Municipality of Panglao, Bohol, through the 2019 Supplemental Budget N</t>
  </si>
  <si>
    <t xml:space="preserve"> REPUBLIC OF THE PHILIPPINES CITY GOVERNMENT OF OROQUIETA BIDS AND AWARD COMMITTEE City Hall, Oroquieta City                                                                                                                       June 17, 2020                </t>
  </si>
  <si>
    <t xml:space="preserve"> DESIGN AND BUILD FOR THE CONSTRUCTION OF NEW MANAPLA PUBLIC MARKET 1. The Municipality of Manapla, through Loan (Land Bank of the Philippines) intends to apply the total of One Hundred Twenty Five Million Pesos (P 125,000,000.00) being the Approved Budget</t>
  </si>
  <si>
    <t xml:space="preserve"> Republic of the Philippines Province of Palawan Municipality of Dumaran BIDS AND AWARDS COMMITTEE dum_bacsecretariat@yahoo.com INVITATION TO BID FOR SUPPLY AND DELIVERY OF 15 UNITS TELEVISION FOR READING PROGRAM 1.	The Municipal Government of Dumaran, Pal</t>
  </si>
  <si>
    <t xml:space="preserve"> Supply and Delivery of 16 rolls AWG ACSR Duplex Wire #2 (1000m/roll) to be used for expansion/installation of NEW Electrical Lines of different Barangays, Brooke’s Point, Palawan</t>
  </si>
  <si>
    <t xml:space="preserve"> The DPWH-Regional Office I, through its Bids and Awards Committee (BAC), invites contractors to submit bids for the following Contract: Contract ID: 20A00021 Contract Name: Construction of By-Pass and Diversion Roads, Bauang-San Fernando-San Juan Bypass R</t>
  </si>
  <si>
    <t xml:space="preserve"> INVITATION TO BID FOR THE FURNISHING OF LABOR AND MATERIALS FOR THE INSTALLATION OF COMPAC SOLAR STREETLIGHT (HIGH BRID SOLAR) OF BARANGAY 2 POBLACION, TIGBAUAN, ILOILO</t>
  </si>
  <si>
    <t xml:space="preserve"> Republic of the Philippines  City of Canlaon Office of the Bids and Awards Committee  INVITATION TO BID FOR the Construction of Pathway The Local Government of Canlaon City, through AIP 2020. intends to apply the sum Ninety Seven Thousand Two Hundred Eigh</t>
  </si>
  <si>
    <t xml:space="preserve"> see attached programs of works.</t>
  </si>
  <si>
    <t xml:space="preserve"> UNIT	  DESCRIPTION		QUANTITY SPL-1	INSTALLATION OF HOSPITAL LIFT ELEVATOR		 	Qty. = 1.00 lot		 I.	Materials		 lot	Hospital Lift Elevator 2 tons Capacity with		1 	75KW motor incl. mechanical and electrical		 	installation incl. accessories &amp; fittings		 II.</t>
  </si>
  <si>
    <t xml:space="preserve"> Only suppliers duly registered and accredited with Barangay Council of Malanday may be allowed to participate in the submission of eligibility requirements. Complete sets of Eligibility Requirements and Bid Documents may be obtained at the (Malanday BAC O</t>
  </si>
  <si>
    <t xml:space="preserve"> INVITATION TO BID FOR  PURCHASE OF DISASTER EQUIPMENTS/MATERIALS/SUPPLIES &amp; INVENTORIES 	The Municipality of San Juan through the Government of the Philippines intends to apply the sum of  FOUR HUNDRED THOUSAND PESOS  (Php.400,000.00)  being the Approved </t>
  </si>
  <si>
    <t xml:space="preserve"> 2 UNIT CHAIR - Executive</t>
  </si>
  <si>
    <t xml:space="preserve"> We are looking for a supplier for the plumbing materials, for more details and description please see attached request for quotation. Please submit your original quotations on or before closing date in a sealed envelope, and /or e-mailed together with you</t>
  </si>
  <si>
    <t xml:space="preserve"> 45 days 1-unit Bulldozer 31 days 1-unit Backhoe</t>
  </si>
  <si>
    <t xml:space="preserve"> Procurement of IT and Geographic Information System Eqpt. with accessories</t>
  </si>
  <si>
    <t xml:space="preserve"> Republic of the Philippines PROVINCE OF NUEVA VIZCAYA 2nd Invitation to Bid for the  UPGRADING OF NVPH WATER SYSTEM Located at Bambang, Nueva Vizcaya  1.	The Provincial Government of Nueva Vizcaya, through the 2020 20% Development Fund intends to apply th</t>
  </si>
  <si>
    <t xml:space="preserve"> Republic of the Philippines Province of Eastern Samar City  of  Borongan BARANGAY BATO  E-mail address: nidabadiola@yahoo.com. Tel#09194536037 ========================================================================== BIDS AND AWARDS COMMITTEE  (BAC) INVI</t>
  </si>
  <si>
    <t xml:space="preserve"> The Local  Government   Unit  of General  Santos  City, through  the  GENERAL FUND CY 2020  intends  to apply  the sum of twelve thousand and xx / 100 Pesos Only (12,000.00)   being  the Approved  Budget  for the Contract   (ABC) to payments  under  the  </t>
  </si>
  <si>
    <t xml:space="preserve"> Publication of:		15	pages ORDINANCE NO. 2020-332			 An ordinance creating the tricycle			 Task force in Trece Martires City			 			 ORDINANCE NO. 2020-333			 An ordinance establishing Nutrition-Aksyon			 A nutrition Program in he city of			 Trece martires	</t>
  </si>
  <si>
    <t xml:space="preserve"> Republic of the Philippines PROVINCE OF NUEVA VIZCAYA Invitation to Bid for the  CONCRETING OF JCT. CALAOCAN-DIFFUNCIAN ROAD Located at Quezon, Nueva Vizcaya  1.	The Provincial Government of Nueva Vizcaya, through the 2020 20% Development Fund intends to </t>
  </si>
  <si>
    <t xml:space="preserve"> Terms of Delivery: FOB Zamboanga City-WMSU</t>
  </si>
  <si>
    <t xml:space="preserve"> Bids received in excess of the ABC shall be automatically rejected at the opening of the Financial Proposals.</t>
  </si>
  <si>
    <t xml:space="preserve"> Terms of Delivery:b FOB Zamboanga City-WMSU</t>
  </si>
  <si>
    <t xml:space="preserve"> Bid Documents are also downloadable in the DPWH Website</t>
  </si>
  <si>
    <t xml:space="preserve"> Inquire at the Office of Sangguniang Panlalawigan - BM Ubana II for details.</t>
  </si>
  <si>
    <t xml:space="preserve"> Inquire at the Office of Sangguniang Panlalawigan - BM Sio for details.</t>
  </si>
  <si>
    <t xml:space="preserve"> Inquire at the Office of the Provincial Veterinarian for details.</t>
  </si>
  <si>
    <t xml:space="preserve"> Inquire at the Office of Quezon Medical Center for details.</t>
  </si>
  <si>
    <t xml:space="preserve"> Inquire at the Office of the Provincial Planning and Development Coordinator for details.</t>
  </si>
  <si>
    <t xml:space="preserve"> Inquire at the Office of the Provincial Engineer for details.</t>
  </si>
  <si>
    <t xml:space="preserve"> Inquire at the Office of Sangguniang Panlalawigan - BM Arrogancia for details.</t>
  </si>
  <si>
    <t xml:space="preserve"> 1. All entries must be printed or type written					</t>
  </si>
  <si>
    <t xml:space="preserve"> Inquire at the Office of BIDS and AWARDS Committee for details.</t>
  </si>
  <si>
    <t xml:space="preserve"> Inquire at the Office of Economic Enterprise Unit for details.</t>
  </si>
  <si>
    <t xml:space="preserve"> Inquire at the Office of Sangguniang Panlalawigan - BM Obispo for details.</t>
  </si>
  <si>
    <t xml:space="preserve"> Inquire at the Office of the Provincial Governor for details.</t>
  </si>
  <si>
    <t xml:space="preserve"> Inquire at the Office of Magsaysay Memorial District Hospital for details.</t>
  </si>
  <si>
    <t xml:space="preserve"> CONTACT PERSON:</t>
  </si>
  <si>
    <t xml:space="preserve"> Check associated components.</t>
  </si>
  <si>
    <t xml:space="preserve"> Inquire at the Office of San Narciso Municipal Hospital for details.</t>
  </si>
  <si>
    <t xml:space="preserve"> Also available at the DPWH Website.</t>
  </si>
  <si>
    <t xml:space="preserve"> 1</t>
  </si>
  <si>
    <t xml:space="preserve"> Inquire at the Office of  Doña Marta Memorial District Hospital for details.</t>
  </si>
  <si>
    <t xml:space="preserve"> Inquire at the Office of Sampaloc Medicare Community Hospital for details.</t>
  </si>
  <si>
    <t xml:space="preserve"> Inquire at the Office of Doña Marta Memorial District Hospital for details.</t>
  </si>
  <si>
    <t xml:space="preserve"> Republic of the Philippines </t>
  </si>
  <si>
    <t xml:space="preserve"> Bidder / Supplier must download the attached document in Associated Components.</t>
  </si>
  <si>
    <t xml:space="preserve"> Please Quote your lowest price on the item/s listed below, subject to the General Conditions, stating the shortest time of delivery and submit your quotation duly signed by your representative not later than June 29, 2020 (4:00 PM) 3rd floor Provincial Capitol,Bontoc Mountain Province.</t>
  </si>
  <si>
    <t xml:space="preserve"> Lowest calculated and responsive bidder.</t>
  </si>
  <si>
    <t xml:space="preserve"> Mazda Bongo XTD</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</si>
  <si>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</si>
  <si>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https://drive.google.com/file/d/1lH9HQ_F6t5heE8ZjNaKIAfCqXkDZ54gz/view?usp=drivesdk</t>
  </si>
  <si>
    <t xml:space="preserve"> Inquire at the Office of Candelaria Municipal Hospital for details.</t>
  </si>
  <si>
    <t xml:space="preserve"> Inquire at the Office of Guinayangan Medicare Community Hospital for details.</t>
  </si>
  <si>
    <t xml:space="preserve"> Inquire at the Office of Ma. L. Eleazar Memorial District Hospital for details.</t>
  </si>
  <si>
    <t xml:space="preserve"> https://drive.google.com/file/d/17Ax7XN5ZFFzL9ONgbQCdZPyYEA5FcTS_/view?usp=drivesdk</t>
  </si>
  <si>
    <t xml:space="preserve"> https://drive.google.com/file/d/15i3DiuhKEVHjs0pkM80ypze-pDqnIVps/view?usp=drivesdk</t>
  </si>
  <si>
    <t xml:space="preserve"> https://drive.google.com/file/d/1W95gF6DqbGw-ZLTKIw43GfdOUa5L2p4h/view?usp=drivesdk</t>
  </si>
  <si>
    <t xml:space="preserve"> https://drive.google.com/file/d/1Jid32240KGlF_qNwjvoRqeOXHYcpBzjw/view?usp=drivesdk</t>
  </si>
  <si>
    <t xml:space="preserve"> https://drive.google.com/file/d/1V1ZFl6us22EzJfDm2FhI6gmfnlwA9vp8/view?usp=drivesdk</t>
  </si>
  <si>
    <t xml:space="preserve"> Please see attached Specifications</t>
  </si>
  <si>
    <t xml:space="preserve"> https://drive.google.com/file/d/1t9EJ6OTBWcwR1gp5LQJirKd-scNzHO2p/view?usp=drivesdk</t>
  </si>
  <si>
    <t xml:space="preserve"> https://drive.google.com/file/d/1y7aj_hNCdro8pIieY9shQy1ist8Za75Y/view?usp=drivesdk</t>
  </si>
  <si>
    <t xml:space="preserve"> https://drive.google.com/file/d/1mnYOu4BfMeT5zdQb0AuBdvaDnsOmDfAK/view?usp=drivesdk</t>
  </si>
  <si>
    <t xml:space="preserve"> See attached Quotation form</t>
  </si>
  <si>
    <t xml:space="preserve"> SHERVANDO S. MACALA</t>
  </si>
  <si>
    <t xml:space="preserve"> with free use of Riso Machine</t>
  </si>
  <si>
    <t xml:space="preserve"> please call To: 0998-247-0239  &amp;  0906-256-9238  for other details . . .</t>
  </si>
  <si>
    <t xml:space="preserve"> Please download the document at the associated components.</t>
  </si>
  <si>
    <t xml:space="preserve"> please call To: 0998-247-0239  &amp;  0906-256-9238  for other details. .</t>
  </si>
  <si>
    <t xml:space="preserve"> please call To: 0998-247-0239  &amp;  0906-256-92378  for other details . . .</t>
  </si>
  <si>
    <t xml:space="preserve"> To Our Supplier, Bid Documents are Available at BAC Secretariat</t>
  </si>
  <si>
    <t xml:space="preserve"> PLEASE SEE ATTACHED RFQ FOR MORE DETAILS.</t>
  </si>
  <si>
    <t xml:space="preserve"> Other information</t>
  </si>
  <si>
    <t xml:space="preserve"> please call To: 0998-247-0239  &amp;  0906-256-9238  for other details . . . .</t>
  </si>
  <si>
    <t xml:space="preserve"> please call To:  0998-247-0269 &amp; 0906-256-9238 for other details</t>
  </si>
  <si>
    <t xml:space="preserve"> BAC ACTIVITY DATES:</t>
  </si>
  <si>
    <t xml:space="preserve"> Pre-Bid Conference 2:00 P.M. July 01, 2020 DPWH Pampanga 2nd DEO BAC-Office</t>
  </si>
  <si>
    <t xml:space="preserve"> For further details please contact</t>
  </si>
  <si>
    <t xml:space="preserve"> June 25, 2020</t>
  </si>
  <si>
    <t xml:space="preserve"> Submit your quotation together with your PhilGEPS Cert</t>
  </si>
  <si>
    <t xml:space="preserve"> Republic of the Philippines										</t>
  </si>
  <si>
    <t xml:space="preserve"> REMINDERS:</t>
  </si>
  <si>
    <t xml:space="preserve"> A complete set of Bidding Documents may be acquired by interested Bidders on October 30, 2018 from the address below and upon payment of the applicable fee for the Bidding Documents, pursuant to the latest Guidelines issued by the GPPB, in the amount of One Thousand Pesos (Php500.00).</t>
  </si>
  <si>
    <t xml:space="preserve"> The bidders must download the attached documents in the associated components section.</t>
  </si>
  <si>
    <t xml:space="preserve"> Download RFQ and Memo at the associated components and submit both documents.</t>
  </si>
  <si>
    <t xml:space="preserve"> https://drive.google.com/file/d/1wryrsz7M4MR2due6Pz6mlvuYFzSU0aIa/view?usp=drivesdk</t>
  </si>
  <si>
    <t xml:space="preserve"> Specifications:</t>
  </si>
  <si>
    <t xml:space="preserve"> ENGR. LUKE C. CADOYAS</t>
  </si>
  <si>
    <t xml:space="preserve"> Republic of the Philippines</t>
  </si>
  <si>
    <t xml:space="preserve"> For more information,please see or contact the BAC Members of LGU-Magallanes, Sorsogon.</t>
  </si>
  <si>
    <t xml:space="preserve"> CONSTRUCTION OF WASH AREA AND FABRICATION OF ACRYLIC SNEEZE GUARDS	FOR THE PUPILS AND TEACHERS OF CHFES-MAIN</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</si>
  <si>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</si>
  <si>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Note:									</t>
  </si>
  <si>
    <t xml:space="preserve"> TECHNICAL SPECIFICATIONS</t>
  </si>
  <si>
    <t xml:space="preserve"> NOTICE TO PROSPECTIVE BIDDERS</t>
  </si>
  <si>
    <t xml:space="preserve"> The deadline of Submission and opening of the RFQ are as follows:	</t>
  </si>
  <si>
    <t xml:space="preserve"> PLEASE SEE ASSOCIATED COMPONENTS FOR THE COMPLETE SET OF BIDDING DOCUMENTS</t>
  </si>
  <si>
    <t xml:space="preserve"> Civil Service Commission																			</t>
  </si>
  <si>
    <t xml:space="preserve"> For Information only.</t>
  </si>
  <si>
    <t xml:space="preserve"> https://drive.google.com/file/d/1kD1qcnx3Y11vUw3kgem6YBq60-OAC-WI/view?usp=drivesdk</t>
  </si>
  <si>
    <t xml:space="preserve"> Bidders must download the attached document in the associated component section and can also be downloaded at www.ilocossur.gov.ph.</t>
  </si>
  <si>
    <t xml:space="preserve"> https://drive.google.com/file/d/1Vz_HJeoEO1YGkSj8pFweYLC0C0uvSTWx/view?usp=drivesdk</t>
  </si>
  <si>
    <t xml:space="preserve"> https://drive.google.com/file/d/1BwSSTulHH8CGtc_u-6hnBtCgqD7LU8DD/view?usp=drivesdk</t>
  </si>
  <si>
    <t xml:space="preserve"> https://drive.google.com/file/d/1Eshayw-H_ZqKbRO51sSXDoL2dQpgEnXV/view?usp=drivesdk</t>
  </si>
  <si>
    <t xml:space="preserve"> FOR COMPLETE LIST OF ITEMS PLEASE SEE ATTACHED REQUEST FOR QUOTATION</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</si>
  <si>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SSS Bacolod Branch at Tel Nos. (034)709-0880 local 309.</t>
  </si>
  <si>
    <t xml:space="preserve"> https://drive.google.com/file/d/1e6DXb35HM97E8BhE3hIbHZg7T1qnxfbe/view?usp=drivesdk</t>
  </si>
  <si>
    <t xml:space="preserve"> BID DOCUMENTS IS AVAILABLE ONLY TO PROSPECTIVE BIDDER UPON PAYMENT OF NON-REFUNDABLE FEE IN THE AMOUNT OF 5,000.00 TO THE MUNICIPAL TREASURY OFFICE. BIDDING DOCUMENTS WILL STILL BE AVAILABLE BEFORE THE OPENING OF BIDS.</t>
  </si>
  <si>
    <t xml:space="preserve"> Please see attached at Associated Components</t>
  </si>
  <si>
    <t xml:space="preserve"> https://drive.google.com/file/d/1limVw56CJW-SjxeZuTAglyM7gvmC29Uf/view?usp=drivesdk</t>
  </si>
  <si>
    <t xml:space="preserve"> OPENING OF PRICE QUOTATION ON JULY 3, 2020 2:00 PM AT  DENR-PENR OFFICE, SAN VICTORIES ST. BRGY 9, MALAYBALAY CITY</t>
  </si>
  <si>
    <t xml:space="preserve"> SB SESSION HALL, SB OFFICE AND VM OFFICE</t>
  </si>
  <si>
    <t xml:space="preserve"> BID DOCUMENT SECTION 1-7 IS AVAILABLE</t>
  </si>
  <si>
    <t xml:space="preserve"> Item I	EARTHWORKS		</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</si>
  <si>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</si>
  <si>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Deadline of submission is on or before July 3, 2020 @ 1:00pm</t>
  </si>
  <si>
    <t xml:space="preserve"> 7.	For further information, please refer to:</t>
  </si>
  <si>
    <t xml:space="preserve"> Re-post</t>
  </si>
  <si>
    <t xml:space="preserve"> Source of Fund: Capital Outlay</t>
  </si>
  <si>
    <t xml:space="preserve"> You may download bidding documents using the link below:</t>
  </si>
  <si>
    <t xml:space="preserve"> Suppliers shall submit their valid and current eligibility requirements as follows:</t>
  </si>
  <si>
    <t xml:space="preserve"> Note: Please copy the link below and paste to the web browser for the attached RFQ form.</t>
  </si>
  <si>
    <t xml:space="preserve"> EMERGENCY PURCHASE</t>
  </si>
  <si>
    <t xml:space="preserve"> The winning bidder will deliver the Boars at </t>
  </si>
  <si>
    <t xml:space="preserve"> 25 reams     Bond paper long (Hard Copy)	</t>
  </si>
  <si>
    <t xml:space="preserve"> Other document to be submitted:</t>
  </si>
  <si>
    <t xml:space="preserve"> 21	pcs.	Foam Single</t>
  </si>
  <si>
    <t xml:space="preserve"> 1. Bidders are required to read the instructions and fill ALL the blanks in typewritten form or written legibly in permanent ink. </t>
  </si>
  <si>
    <t xml:space="preserve"> Activity	Date and Time	Venue</t>
  </si>
  <si>
    <t xml:space="preserve"> The duly accomplished RFQ documents may be sent through email or delivered to the BAC Secretariat on or before the closing date of this notice.</t>
  </si>
  <si>
    <t xml:space="preserve"> Please use the official quotation attached and provide a copy of PhilGEPS Certificate (Platinum).</t>
  </si>
  <si>
    <t xml:space="preserve"> For more information, you may contact the BAC Chairman or the BAC Secretary's contact number 09954552660.</t>
  </si>
  <si>
    <t xml:space="preserve"> Checklist for Alternative Mode of Procurement</t>
  </si>
  <si>
    <t xml:space="preserve"> under CENRO Culasi</t>
  </si>
  <si>
    <t xml:space="preserve"> SUPPLIERS MUST DOWNLOAD THE ATTACHED DOCUMENTS IN THE ASSOCIATED COMPONENTS SECTION</t>
  </si>
  <si>
    <t xml:space="preserve"> https://drive.google.com/file/d/1GxCurdWHFP5_Xt__QX3DiNfSDMU3YxPO/view?usp=drivesdk</t>
  </si>
  <si>
    <t xml:space="preserve"> NOTE: The winning bid shall be determined based on the proposal with the most advantageous financial package cost, provided that the amount of the bid does not exceed the above total budget.</t>
  </si>
  <si>
    <t xml:space="preserve"> Deadline for submission of bids will be on JULY 07, 2020, 10:00 A.M. at the Supply Office, Town Hall, Poblacion, Kibungan, Benguet.</t>
  </si>
  <si>
    <t xml:space="preserve"> The winning bidder will deliver the items at ATI-RTC XII, San Felipe, Tantangan, South Cotabato.</t>
  </si>
  <si>
    <t xml:space="preserve"> ***NOTE: Please copy the link below and paste to the web browser for the attached RFQ form.</t>
  </si>
  <si>
    <t xml:space="preserve"> Pls. see Municipal Engineer"s Office for details.</t>
  </si>
  <si>
    <t xml:space="preserve"> https://drive.google.com/file/d/1hhdw1mVorjiccaWOhfssegxPMBSITzVP/view?usp=drivesdk</t>
  </si>
  <si>
    <t xml:space="preserve"> https://drive.google.com/file/d/1IZkKaTErVXW_llnsHula0Lk7XFhd5700/view?usp=drivesdk PLAN 20CN0153 PART 1</t>
  </si>
  <si>
    <t xml:space="preserve"> ***Note: Please copy the link below and paste to the web browser for the attached RFQ form.</t>
  </si>
  <si>
    <t xml:space="preserve"> https://drive.google.com/file/d/1xLoqfeOnyaQGHpGKLDqTjAYNEcoYWOnU/view?usp=drivesdk PLAN 20CN0101 PART 1</t>
  </si>
  <si>
    <t xml:space="preserve"> https://drive.google.com/file/d/11Ndq6BJBL-_60i9PfAQygbZG_msDn524/view?usp=drivesdk</t>
  </si>
  <si>
    <t xml:space="preserve"> Link:</t>
  </si>
  <si>
    <t xml:space="preserve"> bid document cost is Php500.00</t>
  </si>
  <si>
    <t xml:space="preserve"> Province of Iloilo</t>
  </si>
  <si>
    <t xml:space="preserve"> Deadline for submission of bids will be on JULY 14, 2020, 10:00 A.M. at the Supply Office, Town Hall, Poblacion, Kibungan, Benguet.</t>
  </si>
  <si>
    <t xml:space="preserve"> Deadline for submission of bid, 2pm, July 2, 2020.</t>
  </si>
  <si>
    <t xml:space="preserve"> NONE</t>
  </si>
  <si>
    <t xml:space="preserve"> The Schedule of BAC Activities is as follows:</t>
  </si>
  <si>
    <t xml:space="preserve"> NOTICE TO PROSPECTIVE BIDDER</t>
  </si>
  <si>
    <t xml:space="preserve"> All items must be delivered at Bohol Island State University- Calape Campus, Calape, Bohol</t>
  </si>
  <si>
    <t xml:space="preserve"> https://drive.google.com/file/d/1qeGQ9vzCunB-s9WskI0z8W6Yc94DMUbD/view?usp=drivesdk PLAN 20CN0154 PART 1</t>
  </si>
  <si>
    <t xml:space="preserve"> RENELITO B. CALDERON</t>
  </si>
  <si>
    <t xml:space="preserve"> July 1, 2020, 9:30am	- 	Deadline of submission Quotation</t>
  </si>
  <si>
    <t xml:space="preserve"> Kindly download the attached bidding documents for the requirements and technical specifications.</t>
  </si>
  <si>
    <t xml:space="preserve"> SUPPLIERS/BIDDERS MUST DOWNLOAD THE ATTACHED DOCUMENT IN THE ASSOCIATED COMPONENT SECTION.</t>
  </si>
  <si>
    <t xml:space="preserve"> Bidders must download the attached document in the associated component section.</t>
  </si>
  <si>
    <t xml:space="preserve"> Please quote your price on the items in the herewith attached Request for Quotation (RFQ), subject to the specifications, terms and conditions and submit your quotation at the Procurement Office, Philippine Science High School-Bicol Region Campus, Tagongtong, Goa, Camarines Sur not later than 8:00AM of July 3, 2020.</t>
  </si>
  <si>
    <t xml:space="preserve"> please click this link to download bidding documents </t>
  </si>
  <si>
    <t xml:space="preserve"> you can also email to jocelyn.saplala.afab@gmail.com</t>
  </si>
  <si>
    <t xml:space="preserve"> Deadline for submission of bids will be on JULY 02, 2020, 10:00 A.M. at the Supply Office, Town Hall, Poblacion, Kibungan, Benguet.</t>
  </si>
  <si>
    <t xml:space="preserve"> For further information, please refer to:</t>
  </si>
  <si>
    <t xml:space="preserve"> please click this link to download bidding documents</t>
  </si>
  <si>
    <t xml:space="preserve"> 1. Bidders are required to read the instruction.</t>
  </si>
  <si>
    <t xml:space="preserve"> Other Information</t>
  </si>
  <si>
    <t xml:space="preserve"> 1.	All items must be delivered on site (Bohol Island State University- Calape Campus, Calape, Bohol).</t>
  </si>
  <si>
    <t xml:space="preserve"> FOR INQUIRY PLEASE PROCEED TO BRGY. MAPULO</t>
  </si>
  <si>
    <t xml:space="preserve"> Deadline for submission, 2pm, July 2, 2020.</t>
  </si>
  <si>
    <t xml:space="preserve"> Training will be on July 20-31, 2020 at ATI-RTC XII, San Felipe, Tantangan, South Cotabato.</t>
  </si>
  <si>
    <t xml:space="preserve"> https://drive.google.com/file/d/1eC0r0t4WF5os-HhdVo4CuufGg2CPev_S/view?usp=drivesdk</t>
  </si>
  <si>
    <t xml:space="preserve"> The BAC shall issue bidding documents upon payment of Five Hundred Pesos Only (Php 500.00)  to the disbursing/collecting officer of the LGU.</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</si>
  <si>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Administrative Section , SSS Sagay Branch at Tel Nos. (034) 722-1869</t>
  </si>
  <si>
    <t xml:space="preserve"> Submit your quotation together with your philgeps certification</t>
  </si>
  <si>
    <t xml:space="preserve"> Visit BAC Office and Bring the following requirements when acquiring prescribe Quotation Form and other inquiries:</t>
  </si>
  <si>
    <t xml:space="preserve"> Scope of Work:</t>
  </si>
  <si>
    <t xml:space="preserve"> Kindly download attached file.</t>
  </si>
  <si>
    <t xml:space="preserve"> Please deliver at San Agustin Integrated School, St. Jude Village, City of San Fernando, Pampanga</t>
  </si>
  <si>
    <t xml:space="preserve"> ELIGIBILITY CHECK REQUIREMENTS FOR THE PROCUREMENT OF GOODS</t>
  </si>
  <si>
    <t xml:space="preserve"> bidders must download the attached document in the associated components section.</t>
  </si>
  <si>
    <t xml:space="preserve"> The complete schedule of activities is listed, as follows:</t>
  </si>
  <si>
    <t xml:space="preserve"> The  schedule of activities is listed, as follows:							</t>
  </si>
  <si>
    <t xml:space="preserve"> kindly specify brand names on your sealed quotation</t>
  </si>
  <si>
    <t xml:space="preserve"> EMERGENCY TRANSPORT MOTOR VEHICLE</t>
  </si>
  <si>
    <t xml:space="preserve"> NO</t>
  </si>
  <si>
    <t xml:space="preserve"> Terms of Delivery: FOB for the following Delivery Hub/Location</t>
  </si>
  <si>
    <t xml:space="preserve"> https://tinyurl.com/ycsxb2ya</t>
  </si>
  <si>
    <t xml:space="preserve"> Bidders must submit along with their quotations the certified true copies of the following documents:</t>
  </si>
  <si>
    <t xml:space="preserve"> Buyer: N.R. Abarquez</t>
  </si>
  <si>
    <t xml:space="preserve"> 1.Suppliers/Bidders must download the attached Document/RFQ in the associated component section.</t>
  </si>
  <si>
    <t xml:space="preserve"> PROCUREMENT SCHEDULE OF ACTIVITIES:</t>
  </si>
  <si>
    <t xml:space="preserve"> he Schedule of BAC Activities is as follows:</t>
  </si>
  <si>
    <t xml:space="preserve"> A.  Please submit your quotation in a sealed envelope, addressed to:</t>
  </si>
  <si>
    <t xml:space="preserve"> Buyer: J.F. Ramos</t>
  </si>
  <si>
    <t xml:space="preserve"> SUBMISSION OF QUOTATION NOT LATER THAN JUNE 29, 2020 UNTIL 5:00PM AT BAC OFFICE ROOM 302 3/F CITY GOVERNMENT CENTER, SAN JUAN CITY</t>
  </si>
  <si>
    <t xml:space="preserve"> BIDDING DATE: JULY 14, 2020 @ 9:00 A.M.</t>
  </si>
  <si>
    <t xml:space="preserve"> SUBMISSION OF QUOTATION NOT LATER THAN MARCH 11, 2020 UNTIL 5:00PM AT BAC OFFICE ROOM 302 3/F CITY GOVERNMENT CENTER, SAN JUAN CITY</t>
  </si>
  <si>
    <t xml:space="preserve"> ***Please see attached Request for Quotation...</t>
  </si>
  <si>
    <t xml:space="preserve"> 1	Bidders are required to read the instructions  and fill ALL the blanks in typewritten form or written legibly in permanent ink.						</t>
  </si>
  <si>
    <t xml:space="preserve"> 902	Reinforcing Steel 				16.88%	pc/s </t>
  </si>
  <si>
    <t xml:space="preserve"> BIDDING DATE: JULY 14, 2020 @ 10:00 A.M.</t>
  </si>
  <si>
    <t xml:space="preserve"> For the use of 4IB, 2ID, PA</t>
  </si>
  <si>
    <t xml:space="preserve"> BIDDING DATE: JULY 14, 2020 @ 11:00 A.M.</t>
  </si>
  <si>
    <t xml:space="preserve"> For more information, please contact Ms. Meriden E. Maranan at 8924-6031 loc 232.</t>
  </si>
  <si>
    <t xml:space="preserve"> A complete set of Bidding Documents may be acquired by interested bidders on JUNE 25, 2020 to JULY 14,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</si>
  <si>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contact school BAC and school Head</t>
  </si>
  <si>
    <t xml:space="preserve"> Bid Opening</t>
  </si>
  <si>
    <t xml:space="preserve"> Please download attached quotation (RFQ) form / TOR, completely fill-out and submit quotation through or any of the following:</t>
  </si>
  <si>
    <t xml:space="preserve"> For the use of 74IB, 2ID, PA</t>
  </si>
  <si>
    <t xml:space="preserve"> Opening of Quotation shall be on June 30, 2020, 2:00 P.M. at the PPA Conference Room, PMO-Zamboanga del Norte, Port Area, Dapitan City.</t>
  </si>
  <si>
    <t xml:space="preserve"> Preferably supplier from Cagayan de Oro City, Misamis Oriental</t>
  </si>
  <si>
    <t xml:space="preserve"> Please send your Quotations thru sealed bid addressed to the Regional Bids and Awards Committee Area IV-B c/o RBAC Secretariat, Landbank San Pablo Branch (2nd floor), Colago Avenue Brgy. I-A San Pablo City, Laguna</t>
  </si>
  <si>
    <t xml:space="preserve"> None</t>
  </si>
  <si>
    <t xml:space="preserve"> contact BAC Secretariat for specs &amp; requirements</t>
  </si>
  <si>
    <t xml:space="preserve"> BID DOCUMENTS IS AVAILABLE ONLY TO PROSPECTIVE BIDDER UPON PAYMENT OF NON-REFUNDABLE FEE IN THE AMOUNT OF 500.00 TO BARANGAY TREASURER.</t>
  </si>
  <si>
    <t xml:space="preserve"> NANCY P. BRIT</t>
  </si>
  <si>
    <t xml:space="preserve"> For more information, please see or contact the BAC Members of Brgy.Binisitahan Norte, Magallanes, Sorsogon.</t>
  </si>
  <si>
    <t xml:space="preserve"> GENERAL INSTRUCTIONS TO BIDDERS:							</t>
  </si>
  <si>
    <t xml:space="preserve"> ELIGIBILITY CHECK REQUIREMENTS FOR THE PROCUREMENT OF INFRASTRUCTURE PROJECT</t>
  </si>
  <si>
    <t xml:space="preserve"> For more Information and details please contact the BAC Secretariat, LGU Tigbauan at (033) 511-8790.</t>
  </si>
  <si>
    <t xml:space="preserve"> 1.		Amlodipine 10 mg Tablet	60,000	Tablets	44,400.00	</t>
  </si>
  <si>
    <t xml:space="preserve"> For further inquiries and/or information, please call the BAC Secretariat at telephone number (02) 84223000 loc. 5705</t>
  </si>
  <si>
    <t xml:space="preserve"> https://drive.google.com/file/d/16fyO-waFgko1cZlQu5j4gWgrgtn-jbYr/view?usp=drivesdk</t>
  </si>
  <si>
    <t xml:space="preserve"> BIDDERS MUST DOWNLOAD ELECTRONIC COPY OF BIDDING DOCUMENTS IN THE LINK BELOW:</t>
  </si>
  <si>
    <t xml:space="preserve"> Instruction for Suppliers on How to View/Download the document:</t>
  </si>
  <si>
    <t xml:space="preserve"> OPENING: JULY 1, 2020 10: 00 A.M.</t>
  </si>
  <si>
    <t xml:space="preserve"> 1.	NAAT – LAMP Reagents and Consumables	37	Packages	2,035,000.00	Within 30 Calendar Days from receipt of the NTP	DOH – WV CHD</t>
  </si>
  <si>
    <t xml:space="preserve"> Please see attached:</t>
  </si>
  <si>
    <t xml:space="preserve"> PHILIPPINE BIDDING DOCUMENTS</t>
  </si>
  <si>
    <t xml:space="preserve"> https://drive.google.com/file/d/1kpFv84I6SX3Z4y5zXDnTWJmGgd5-rmBb/view?usp=drivesdk</t>
  </si>
  <si>
    <t xml:space="preserve"> NOTE: ALL DOCUMENTS LISTED IN THE CHECKLIST SHOULD BE SUBMITTED REGARDLESS IF APPLICABLE OR NOT APPLICABLE.</t>
  </si>
  <si>
    <t xml:space="preserve"> https://drive.google.com/file/d/1NGgSBjYSAjVjHvGXnQV-OQkT7iCNLajk/view?usp=drivesdk</t>
  </si>
  <si>
    <t xml:space="preserve"> Bidder must submit:</t>
  </si>
  <si>
    <t xml:space="preserve"> Item No.	Description	Qty	Unit	ABC	Delivered	Delivery Site</t>
  </si>
  <si>
    <t xml:space="preserve"> https://drive.google.com/file/d/1GIrH9MjU6PwBfOl2QTU6167fxrqg9CUT/view?usp=drivesdk</t>
  </si>
  <si>
    <t xml:space="preserve"> • Similar Contracts: Supply and delivery of Diesel Generating Sets or Mechanical and/or Electrical Parts / Components / Equipment for Diesel Generating Sets</t>
  </si>
  <si>
    <t xml:space="preserve"> https://drive.google.com/file/d/12t0RccWPft6PPezw305z4yWToICCCDSi/view?usp=drivesdk</t>
  </si>
  <si>
    <t xml:space="preserve"> Please dial 8711-4276 local 240 and look for Ms. Susan</t>
  </si>
  <si>
    <t xml:space="preserve"> The LGU-IGaCoS reserves the right to accept or reject any bid, to annul the bidding process, and to reject all bids at any time prior to contract award, without thereby incurring any liability to the affected bidder or bidders. </t>
  </si>
  <si>
    <t xml:space="preserve"> For info, contact: Julieta Cabajes at 09075522879</t>
  </si>
  <si>
    <t xml:space="preserve"> 1.	Interested supplier/bidder/services should submit their quotation in an official Request for Quotation Form. ( forms are available at Taysan NHS Property Officer)</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</si>
  <si>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</si>
  <si>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https://drive.google.com/file/d/1utsLwDAM7fY6Wo2KJ3kb9AuAEHEHaFAO/view?usp=drivesdk</t>
  </si>
  <si>
    <t xml:space="preserve"> Bidding Documents may be secured from the BAC Secretariat, Office of the Municipal Treasurer – Supply Section upon payment to the MTO Cashier of a non-refundable amount of ₱ 5,000.00. </t>
  </si>
  <si>
    <t xml:space="preserve"> Delivery Point: Plantsite / Power Barge 119, Isabela City, Basilan</t>
  </si>
  <si>
    <t xml:space="preserve"> Bid Docs Fee P/5,000.00</t>
  </si>
  <si>
    <t xml:space="preserve"> Item no.		Item &amp; Decription			Brand/Model	Quantity	Unit	Unit Price</t>
  </si>
  <si>
    <t xml:space="preserve"> The BAC shall issue bidding documents upon payment of Five Thousand Pesos Only (Php5,000.00) to the disbursing/collecting officer of the LGU.</t>
  </si>
  <si>
    <t xml:space="preserve"> Delivery Point: SPUG-MOD Warehouse, Zamboanga City</t>
  </si>
  <si>
    <t xml:space="preserve"> Deadline of submission is on or before July 3,2020 @ 1:00pm</t>
  </si>
  <si>
    <t xml:space="preserve"> Certification: This is to certify that item(s) requested are/is included in approved Project Procurement Management Plan (PPMP) for CY 2020 with BAC Resolution No. 2020-02, as that, the procurement is under SMALL VALUE</t>
  </si>
  <si>
    <t xml:space="preserve"> For inquiries, please call:</t>
  </si>
  <si>
    <t xml:space="preserve"> Schedule of Bidding Activities: </t>
  </si>
  <si>
    <t xml:space="preserve"> All quotations must be in the prescribed canvass form and suppliers or its duly authorized representative shall personally submit the same to the City Procurement Office, City Government of Antipolo.</t>
  </si>
  <si>
    <t xml:space="preserve"> https://drive.google.com/file/d/1fuoLjFBwrV8_xOBwJew0SJOzxYJ6x7Mj/view?usp=drivesdk</t>
  </si>
  <si>
    <t xml:space="preserve"> 1. Letter of Intent of Contractor must be signed original with PhilGEPS Certificate of Registration (Platinum Category) and Valid PCAB License and Registration.</t>
  </si>
  <si>
    <t xml:space="preserve"> Instruction for Suppliers on how to View/Download the document just go to the link below:</t>
  </si>
  <si>
    <t xml:space="preserve"> https://drive.google.com/file/d/14splrRYzgMoIwoPKEvfkvSxQnSdBSNDX/view?usp=drivesd</t>
  </si>
  <si>
    <t xml:space="preserve"> See attached bidding documents</t>
  </si>
  <si>
    <t xml:space="preserve"> Opening of Request for Quotation will be June 29, 2020, 1:00 PM at the Conference Room, 2nd floor of the Municipal Building.</t>
  </si>
  <si>
    <t xml:space="preserve"> INSTRUCTIONS/TERMS AND CONDITIONS:								</t>
  </si>
  <si>
    <t xml:space="preserve"> Bidders must download the attached documents at the Associated Component Section.</t>
  </si>
  <si>
    <t xml:space="preserve"> PLEASE SEE ATTACHED INVITATION TO BID.</t>
  </si>
  <si>
    <t xml:space="preserve"> Delivery Point: Plantsite / SIASI DPP, Sulu Province</t>
  </si>
  <si>
    <t xml:space="preserve"> 2     pads	Biogesic</t>
  </si>
  <si>
    <t xml:space="preserve"> 1ST POSTING...</t>
  </si>
  <si>
    <t xml:space="preserve"> LED TV 40 "</t>
  </si>
  <si>
    <t xml:space="preserve"> 16  pcs	PVC Pipe E. blue 32Ø</t>
  </si>
  <si>
    <t xml:space="preserve"> AIDA P. BOBONG</t>
  </si>
  <si>
    <t xml:space="preserve"> Supplies and Equipment will be delivered to Doña Gregoria Ramos Memorial School</t>
  </si>
  <si>
    <t xml:space="preserve"> All quotations will be collated and checked a day after the 7 days posting.</t>
  </si>
  <si>
    <t xml:space="preserve"> Created By: Elrene C. Villar</t>
  </si>
  <si>
    <t xml:space="preserve"> INSTRUCTIONS:</t>
  </si>
  <si>
    <t xml:space="preserve"> For complete set/copy of Bidding Documents, please visit the BSP Website. Complete set of documents were not uploaded to this website due to file size restriction.</t>
  </si>
  <si>
    <t xml:space="preserve"> Please email your quotation and documentary requirements together with your PhilGEPS, Mayors Permit, BIR Registration and Omnibus Sworn Statement at jllanciola@bcda.gov.ph</t>
  </si>
  <si>
    <t xml:space="preserve"> Deadline for Submission of quotations/proposals AND documentary requirements: 30 June 2020, 10:00am</t>
  </si>
  <si>
    <t xml:space="preserve"> https://drive.google.com/file/d/175gXfkJnVPr3tW2jV3ujGV_tfN_K14WV/view?usp=drivesdk</t>
  </si>
  <si>
    <t xml:space="preserve"> DTI Misamis Oriental reserves the right to accept or reject any quotation/proposal, and to annul the procurement process and reject all quotations/proposals at any time prior to contact award, without thereby incurring any liability to the affected bidder(s). DTI Misamis Oriental also reserves the right to waive any required formality in the proposals received and select the proposal which it determines to be advantageous to the government.</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</si>
  <si>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</si>
  <si>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Please download the Price Quotation Form and Omnibus Sworn Statement using the links below:</t>
  </si>
  <si>
    <t xml:space="preserve"> https://drive.google.com/file/d/1fG0ROx1KVNsqWyIV-6qUVVgIblsYVbib/view?usp=drivesdk</t>
  </si>
  <si>
    <t xml:space="preserve"> https://drive.google.com/file/d/12WCBbtkIkSYNYgSvCmliGAf29R_LC-Ay/view?usp=drivesdk</t>
  </si>
  <si>
    <t xml:space="preserve"> Please download the attached document in the associated components</t>
  </si>
  <si>
    <t xml:space="preserve"> 1. Can supply and deliver all the item in advance</t>
  </si>
  <si>
    <t xml:space="preserve"> Please submit your quotation and legal documents duly signed by your representative to email address janet_villafranca@tpb.gov.ph not later than 30  June 2020, 5:00PM, subject to the Terms and Conditions stated herewith and the shortest time of delivery.</t>
  </si>
  <si>
    <t xml:space="preserve"> Please email your quotation and documentary requirements together with your PhilGEPS Registration, Mayors Permit, BIR Registration and Omnibus Sworn Statement @ jllanciola@bcda.gov.ph</t>
  </si>
  <si>
    <t xml:space="preserve"> Please email your quotation and documentary requirements together with your PhilGEPS, Mayors Permit, BIR Registration and Omnibus Sworn Statement @jllanciola@bcda.gov.ph</t>
  </si>
  <si>
    <t xml:space="preserve"> BAC Schedule of Activities</t>
  </si>
  <si>
    <t xml:space="preserve"> Please download RFQ in the associated components.</t>
  </si>
  <si>
    <t xml:space="preserve"> Downloadables are available in the Associated Component / Supplemental Page</t>
  </si>
  <si>
    <t xml:space="preserve"> 2	unit	Brand New Dump Truck</t>
  </si>
  <si>
    <t xml:space="preserve"> Bidding Documents may be secured from the BAC Secretariat, Office of the Municipal Treasurer – Supply Section upon payment to the MTO Cashier of a non-refundable amount of ₱ 500.00. </t>
  </si>
  <si>
    <t xml:space="preserve"> AGRICULTURAL AND MARINE SUPPLIES EXPENSES		</t>
  </si>
  <si>
    <t xml:space="preserve"> BID TENDER							</t>
  </si>
  <si>
    <t xml:space="preserve"> BID TENDER														</t>
  </si>
  <si>
    <t xml:space="preserve"> GUILLER J. DAPITAN</t>
  </si>
  <si>
    <t xml:space="preserve"> CHECKLIST OF REQUIREMENTS FOR SMALL VALUE PROCUREMENT</t>
  </si>
  <si>
    <t xml:space="preserve"> https://drive.google.com/file/d/1C2RhrfeugkB5KkKNX9BXbtJ0bUeJwLav/view?usp=drivesdk</t>
  </si>
  <si>
    <t xml:space="preserve"> Kindly download the attached documents for the requirements and technical specifications.</t>
  </si>
  <si>
    <t xml:space="preserve"> Please see the attached in the associated components</t>
  </si>
  <si>
    <t xml:space="preserve"> The DOH-Treatment and Rehabilitation Center, Argao reserves the right to accept or reject any bid, to annul the</t>
  </si>
  <si>
    <t xml:space="preserve"> Only the Project Manager will attend the Pre - Bid Conference.</t>
  </si>
  <si>
    <t xml:space="preserve"> SOURCE OF FUND: 20% DF 2018-2019</t>
  </si>
  <si>
    <t xml:space="preserve"> https://drive.google.com/file/d/1Tt-Ns3_sAVeVJYwa59mGpdyQs6Z_5xnI/view?usp=drivesdk</t>
  </si>
  <si>
    <t xml:space="preserve"> https://drive.google.com/file/d/1uNFBLBrU6T3aM6QTZ0QlVd1Oj33YKMXh/view?usp=drivesdk</t>
  </si>
  <si>
    <t xml:space="preserve"> Please Quote your lowest price on the item/s listed above, subject to the General Conditions, stating the shortest time of delivery and submit your quotation duly signed by your representative not later than June 29, 2020, 4:00 P.M. at the Bids and Awards Committee Office, 3rd Floor, Provincial Capitol Building, Bontoc, Mountain Province.</t>
  </si>
  <si>
    <t xml:space="preserve"> Please download canvass (RFQ) form/TOR, completely fill-out and submit either through any  of the following:</t>
  </si>
  <si>
    <t xml:space="preserve"> Opening of envelope will be on July 1, 2020 9:00AM at CENR Office, Talakag, Bukidnon and by LOT.</t>
  </si>
  <si>
    <t xml:space="preserve"> BID TENDER								</t>
  </si>
  <si>
    <t xml:space="preserve"> https://drive.google.com/file/d/1bWxsZ4raN6TpvhSz9vRyHgIiS6s1y3FY/view?usp=drives</t>
  </si>
  <si>
    <t xml:space="preserve"> Weighing Scale(10kls)		36	units</t>
  </si>
  <si>
    <t xml:space="preserve"> [Republic of the Philippines]</t>
  </si>
  <si>
    <t xml:space="preserve"> Any interested, REGISTERED suppliers, may contact the BIDS &amp; AWARDS SECRETARIAT in the following schedule at the above stated office:</t>
  </si>
  <si>
    <t xml:space="preserve"> Bid Documents must be secured from the BAC Secretariat, Leyte SMED Center, Provincial Capitol Grounds, Tacloban City</t>
  </si>
  <si>
    <t xml:space="preserve">  Option to reserve the stock for the VMMC: seven (7) working days after the opening of this canvass</t>
  </si>
  <si>
    <t xml:space="preserve"> https://drive.google.com/file/d/1FgxFXO2fKac2rDZlz4ST5QLROrrtvwqk/view?usp=drivesdk</t>
  </si>
  <si>
    <t xml:space="preserve"> https://drive.google.com/file/d/1pf4GRO6pii5WH6tZihG-vpj7sKz75Bij/view?usp=drivesdk</t>
  </si>
  <si>
    <t xml:space="preserve"> See attached quotation form, program of works and engineering design</t>
  </si>
  <si>
    <t xml:space="preserve"> SECOND POSTING</t>
  </si>
  <si>
    <t xml:space="preserve"> https://drive.google.com/file/d/1KVcLeYMWFyWUQc9f1t_7VsxPnOd_nCfx/view?usp=drivesdk</t>
  </si>
  <si>
    <t xml:space="preserve"> Please Quote your lowest price on the item/s listed below, subject to the General Conditions, stating the shortest time of delivery and submit your quotation duly signed by your representative not later than June 29, 2020 (4:00 PM) 3rd Floor Provincial Capitol,Bontoc,Mountain Province.</t>
  </si>
  <si>
    <t xml:space="preserve"> Please send your proposed quotation at sta.ignaciawd@yahoo.com</t>
  </si>
  <si>
    <t xml:space="preserve"> Please see attached PR and submit sealed quotations with the following eligibility requirements:</t>
  </si>
  <si>
    <t xml:space="preserve"> oOption to reserve the stock for the VMMC: seven (3) working days after the opening of this canvass</t>
  </si>
  <si>
    <t xml:space="preserve"> Lowest bid materials</t>
  </si>
  <si>
    <t xml:space="preserve"> Refer to:</t>
  </si>
  <si>
    <t xml:space="preserve"> Other Information:</t>
  </si>
  <si>
    <t xml:space="preserve"> Contact Person 			FARHAN M. AMBIONG</t>
  </si>
  <si>
    <t xml:space="preserve"> A complete set of bidding document may be purchased by interested bidders on June 24, 2020 to July 13, 2020 from the address below upon payment of a non-refundable fee for the bidding documents in the amount of P500.00</t>
  </si>
  <si>
    <t xml:space="preserve"> Description:</t>
  </si>
  <si>
    <t xml:space="preserve"> https://drive.google.com/file/d/1ImxXzPDs1Oy7eNvrzlg5lFb65TvlZvui/view?usp=drivesdk</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</si>
  <si>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</si>
  <si>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Schedule of Delivery: Every Monday</t>
  </si>
  <si>
    <t xml:space="preserve"> Requirements:</t>
  </si>
  <si>
    <t xml:space="preserve"> INQUIRE AT BAC OFFICE, MUNICIPAL HALL, TAMBULIG, ZAMBOANGA DEL SUR</t>
  </si>
  <si>
    <t xml:space="preserve"> james03repita@gmail.com</t>
  </si>
  <si>
    <t xml:space="preserve"> Please quote your lowest net price, included on the item/s mentioned above and submit your sealed bid quotation to the Chairperson, Bids and Awards Committee of this Office, in duplicate with all the two (2) copies signed and stating shortest time when the delivery can be made.</t>
  </si>
  <si>
    <t xml:space="preserve"> Schedule of BAC Activities:</t>
  </si>
  <si>
    <t xml:space="preserve"> Deadline of submission of quotation is on June 29, 2020 at 8:00 AM</t>
  </si>
  <si>
    <t xml:space="preserve"> You can also download the items and specifications at our official website: www.cebucity.gov.ph under For</t>
  </si>
  <si>
    <t xml:space="preserve"> https://drive.google.com/file/d/1h13dJ3YLNR4dO1Z_N0AJiqenSSfwS1-j/view?usp=drivesdk</t>
  </si>
  <si>
    <t xml:space="preserve"> Bidders must download the attached documents in the associated component section.</t>
  </si>
  <si>
    <t xml:space="preserve"> you can email your quotation to jocelyn.saplala.afab@gmail.com</t>
  </si>
  <si>
    <t xml:space="preserve"> RFQ - Available @ Lungsodaan Brgy.  Hall</t>
  </si>
  <si>
    <t xml:space="preserve"> For other information and queries, visit us at Headquarters 113th Contracting Office, AFPPS, Camp O'Donnell, Brgy Sta Lucia, Capas Tarlac and look for Chief 113th CO, AFPPS. Submission of Request for Quotation must reach to this Office not later than 291000H June 2020 for the opening of Canvass at 113th CO conference room.</t>
  </si>
  <si>
    <t xml:space="preserve"> Please fax quotation together with your PhilGEPS Registration, BIR Registration, Mayor's Permit and Omnibus Sworn Statement to 8575-1785 or submit to BCDA Reception Area, 2/F Bonifacio Technology Center, 31st St. corner 2nd Ave. Bonifacio Global City, Taguig City.</t>
  </si>
  <si>
    <t xml:space="preserve"> https://drive.google.com/file/d/1k-lANZ_TdLNe4vslV8fLoPUEMrp0Psvm/view?usp=drivesdk</t>
  </si>
  <si>
    <t xml:space="preserve"> Mary Ann T. CAsuncad</t>
  </si>
  <si>
    <t xml:space="preserve"> Please submit quotation to the Procurement Office at Gate 2 Karangalan Drive, Cainta, Rizal</t>
  </si>
  <si>
    <t xml:space="preserve"> Terms and Conditions:</t>
  </si>
  <si>
    <t xml:space="preserve"> Bid Documents will be available only to prospective bidders upon payment of a non-refundable amount of Five Hundred Pesos (PhP. 500.00) to the Office of the Barangay Treasurer Cashier.</t>
  </si>
  <si>
    <t xml:space="preserve"> The complete schedule of BAC activities is listed as follows:</t>
  </si>
  <si>
    <t xml:space="preserve"> PLEASE SEE ATTACHED FILE</t>
  </si>
  <si>
    <t xml:space="preserve"> Please submit sealed quotation.</t>
  </si>
  <si>
    <t xml:space="preserve"> https://drive.google.com/file/d/19lp6w8j2QJTlPUZOOCLQEsAt296DPd_R/view?usp=drivesdk</t>
  </si>
  <si>
    <t xml:space="preserve"> General requirements - 1 lot</t>
  </si>
  <si>
    <t xml:space="preserve"> Bidding Documents are available to prospective bidders who purchase the bidding documents at the office of the Municipal Treasurer office of the Local Government Unit of magpet.</t>
  </si>
  <si>
    <t xml:space="preserve"> https://drive.google.com/file/d/1VVKXHVDODXRw3ObMhGIvJkwQDfBFO0i4/view?usp=drivesdk</t>
  </si>
  <si>
    <t xml:space="preserve"> https://drive.google.com/file/d/1ADWCCOsllwidSECrNwV2ifJO6aGwP_op/view?usp=drivesdk</t>
  </si>
  <si>
    <t xml:space="preserve"> For more information, please contact Mr. Darwin R. Tejerero of BPKMD at 8924-6031 loc 221.</t>
  </si>
  <si>
    <t xml:space="preserve"> https://drive.google.com/file/d/1njlDjaXrTd7IRk8VoG-tThAF3eJcG_s4/view?usp=drivesdk</t>
  </si>
  <si>
    <t xml:space="preserve"> The procurement project shall cover supply and delivery of construction materials only.</t>
  </si>
  <si>
    <t xml:space="preserve"> SCHEDULE OF DELIVERY: EVERY MONDAY</t>
  </si>
  <si>
    <t xml:space="preserve"> DBM XII BAC reserves the right to waive any formality in the responses to the eligibility requirements and to this invitation.  It further reserves the right to reject any and all proposals, or declare a failure of bidding, or not award the contract, and makes no assurance that a contract shall be entered into as a result of this invitation.</t>
  </si>
  <si>
    <t xml:space="preserve"> Bid Openig Venue: BAC Office, 9:00AM</t>
  </si>
  <si>
    <t xml:space="preserve"> June 24, 2020 to July 13, 2020</t>
  </si>
  <si>
    <t xml:space="preserve"> https://drive.google.com/file/d/1kfijS5JprkC8ih6vNf-F5wN29UJJQExd/view?usp=drivesdk</t>
  </si>
  <si>
    <t xml:space="preserve"> Terms of Payment</t>
  </si>
  <si>
    <t xml:space="preserve"> Area of Delivery:</t>
  </si>
  <si>
    <t xml:space="preserve"> https://drive.google.com/file/d/1rWvummZrOVami-x2dlQkxrmQaLVERnBU/view?usp=drivesdk</t>
  </si>
  <si>
    <t xml:space="preserve"> https://drive.google.com/file/d/1AvCj0g7g65jMtVkVQ7_pqAtPHmYCQSq4/view?usp=drivesdk</t>
  </si>
  <si>
    <t xml:space="preserve"> https://drive.google.com/file/d/1A1twUukyNq00Aj8vg_dFrswrop264mw7/view?usp=drivesdk</t>
  </si>
  <si>
    <t xml:space="preserve"> Please look BAC Secretary/TWG for bidding documents/clarification,failure of submitting necessary documents will be subjected to disqualification.</t>
  </si>
  <si>
    <t xml:space="preserve"> Deadline of submission of quotation is on June 29, 2020.</t>
  </si>
  <si>
    <t xml:space="preserve"> Contact BAC Sec, Laua-an, Antique</t>
  </si>
  <si>
    <t xml:space="preserve"> NOTE: To all Suppliers,</t>
  </si>
  <si>
    <t xml:space="preserve"> Bidding date July 9,2020 @ 10:00am at HRMO Office</t>
  </si>
  <si>
    <t xml:space="preserve"> Note:</t>
  </si>
  <si>
    <t xml:space="preserve"> Please download Associated Components “Request for Quotation” at www.philgeps.gov.ph or www.cagayandeoro.da.gov.ph &amp; send your sealed quotation with signature by fastest means or drop your sealed quotation with signature reflecting PR Number at the quotation box provided by BAC</t>
  </si>
  <si>
    <t xml:space="preserve"> https://drive.google.com/file/d/1fu6nwraI2Ec14NU_4oTg9sDKh2ta3O-N/view?usp=drivesdk</t>
  </si>
  <si>
    <t xml:space="preserve"> https://drive.google.com/file/d/1JidpU7XXGRbnwxJsyi9jHVQ1C6F4-ell/view?usp=drivesdk</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</si>
  <si>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</si>
  <si>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https://drive.google.com/file/d/1NceBnVCJsGEz3-vPWoT9_9LMAwI4QArf/view?usp=drivesdk</t>
  </si>
  <si>
    <t xml:space="preserve"> Cost of Bid Docs: Php 500.00</t>
  </si>
  <si>
    <t xml:space="preserve"> Glycidas I. Penaranda</t>
  </si>
  <si>
    <t xml:space="preserve"> https://drive.google.com/file/d/1ddEDEYGqV4RgDGqk40fB2pZWkl76h82-/view?usp=drivesdk</t>
  </si>
  <si>
    <t xml:space="preserve"> 1. Must provide a Free 3 Years LTO Registration</t>
  </si>
  <si>
    <t xml:space="preserve"> June 24, 2020</t>
  </si>
  <si>
    <t xml:space="preserve"> 1.    26  units Duplicating Machine </t>
  </si>
  <si>
    <t xml:space="preserve"> June 26, 2020 - Issuance of Bidding Documents</t>
  </si>
  <si>
    <t xml:space="preserve"> Please see the attached RFQ for your reference.</t>
  </si>
  <si>
    <t xml:space="preserve"> For more information kindly contact:</t>
  </si>
  <si>
    <t xml:space="preserve"> INQUIRE AT BAC OFFICE, TAMBULIG, ZAMBOANGA DEL SUR</t>
  </si>
  <si>
    <t xml:space="preserve"> THIS POSTING IS DONE IN BEHALF OF BARANGAY TAMBONGON, PANTUKAN, DAVA DE ORO</t>
  </si>
  <si>
    <t xml:space="preserve"> FUNDED UNDER BDF 2020</t>
  </si>
  <si>
    <t xml:space="preserve"> Please quote us your government price/s for the above and state the earliest time within which you can deliver.				</t>
  </si>
  <si>
    <t xml:space="preserve"> Deliver to school</t>
  </si>
  <si>
    <t xml:space="preserve"> Shop documents are available at Prenza Barangay Hall</t>
  </si>
  <si>
    <t xml:space="preserve"> Please submit your proposals to Engr. Charles Bronson B. Olea through his e-mail at charlesolea@laguna-water.com</t>
  </si>
  <si>
    <t xml:space="preserve"> Local suppliers around the site is priority.</t>
  </si>
  <si>
    <t xml:space="preserve"> Health and Accident Insurance (BPATs)</t>
  </si>
  <si>
    <t xml:space="preserve"> Shopping documents are available at Arpili Barangay Hall</t>
  </si>
  <si>
    <t xml:space="preserve"> Pub: June 24-28, 2020</t>
  </si>
  <si>
    <t xml:space="preserve"> Prospective bidders in need for the further information may forward their inquiry to:</t>
  </si>
  <si>
    <t xml:space="preserve"> Contact BAC Secretariat, Laua-an, Antique</t>
  </si>
  <si>
    <t xml:space="preserve"> Deadline for submission of the quotation shall be on June 29, 2020 at 1:30 PM in MPDC Office Libungan, Cotabato.</t>
  </si>
  <si>
    <t xml:space="preserve"> Please download ITB &amp; Biddocs in the Associated Components for reference.</t>
  </si>
  <si>
    <t xml:space="preserve"> Please download "associated components" in the link, fill-up completely, place in a sealed envelop and sent to BAC</t>
  </si>
  <si>
    <t xml:space="preserve"> Please refer to the attached Request for Quotation (RFQ) for complete and detailed specifications. For queries, please call at 317-1768 local 592/590 and look for Dr. Rowena B. Escoto.</t>
  </si>
  <si>
    <t xml:space="preserve"> Bidding documents shall be made available to prospective bidders or its duly authorized representative only at the Office of the Bids &amp; Awards Committee, Procurement Division, Rizal Provincial Government, Ynares Center Complex Antipolo City.</t>
  </si>
  <si>
    <t xml:space="preserve"> PLS. SEE ATTACHED PDF DOCUMENTS.</t>
  </si>
  <si>
    <t xml:space="preserve"> Please submit your quotation and legal documents until 29 JUNE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</si>
  <si>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Please see file on associated component</t>
  </si>
  <si>
    <t xml:space="preserve"> DOCUMENTARY REQUIREMENTS FOR ALTERNATIVE METHODS OF PROCUREMENT</t>
  </si>
  <si>
    <t xml:space="preserve"> Deadline for Submission of quotations/proposals AND documentary requirements: 29 June 2020, 10:00am</t>
  </si>
  <si>
    <t xml:space="preserve"> Deadline of Submission of Quotation JUNE 29, 2020 5:00PM</t>
  </si>
  <si>
    <t xml:space="preserve"> https://drive.google.com/file/d/1wWEoxOGxH5xBWezKVSrW2O8EF9fX91Rw/view?usp=drivesdk</t>
  </si>
  <si>
    <t xml:space="preserve"> I.	DEMOLITION WORKS	1	LOT</t>
  </si>
  <si>
    <t xml:space="preserve"> Deadline for submision of bid, 2pm, July 1, 2020.</t>
  </si>
  <si>
    <t xml:space="preserve"> For more information, please call the BAC Secretariat Section Office at telephone nos. 8522-7252 / 5335-1777 or 87 loc. 397.</t>
  </si>
  <si>
    <t xml:space="preserve"> Please download RFQ and submit duly filled up &amp; signed RFQ through personal delivery at DOH-TRC-CDO, Upper Puerto, Cagayan de Oro City, or email at trcdohproc@gmail.com on or before June 29, 2020, 8:00 AM</t>
  </si>
  <si>
    <t xml:space="preserve"> Kindly send you quotation to my email-ad elden.padin@deped.gov.ph</t>
  </si>
  <si>
    <t xml:space="preserve"> https://drive.google.com/file/d/1DEMe5Cci6h6wFnQ7hYDyTOQ2_-yzBPu3/view?usp=drivesdk</t>
  </si>
  <si>
    <t xml:space="preserve"> Kindly send your quotaion to my  email add elden.padin@deped.gov.ph</t>
  </si>
  <si>
    <t xml:space="preserve"> Deadline for submission of bid, 2pm, July 1, 2020.</t>
  </si>
  <si>
    <t xml:space="preserve"> Deadline of Submission of Bidding Documents JULY 16, 2020 10:00AM</t>
  </si>
  <si>
    <t xml:space="preserve"> https://drive.google.com/file/d/182Gs21Kbgh_2LCR9SetxnIk47OlqQ3ZI/view?usp=drivesdk</t>
  </si>
  <si>
    <t xml:space="preserve"> https://drive.google.com/file/d/1xWpasuCw5Ijgj4DnhBjS6o5hcC9kEyzq/view?usp=drivesdk</t>
  </si>
  <si>
    <t xml:space="preserve"> BATCH 1</t>
  </si>
  <si>
    <t xml:space="preserve"> Please see file on associated conponent</t>
  </si>
  <si>
    <t xml:space="preserve"> PLEASE SEE ATTACHED INVITATION TO BID AND TECHNICAL SPECIFICATIONS.</t>
  </si>
  <si>
    <t xml:space="preserve"> JULLIAN KYLE GONZAGA SAN MATEO</t>
  </si>
  <si>
    <t xml:space="preserve"> 25 pcs       foot tray</t>
  </si>
  <si>
    <t xml:space="preserve"> CONTACT: MRS. RHODORA A. SEGARANG AT ENGINEERING OFFICE</t>
  </si>
  <si>
    <t xml:space="preserve"> For Particulars, please coordinate with the BAC of this office from June 23 to 25, 2020. The Deadline for submission of the accomplished application forms will be on June 26, 2020 at 10:00 A.M. and shall be opened at 2:00 P.M. on the same date. QUOTATION THRU MAIL / FAX WILL NOT BE ACCEPTED.</t>
  </si>
  <si>
    <t xml:space="preserve"> For more information, please call CDA Admin GSS at telephone number 87238306.  Look for Ms. Tonet or Elmer.</t>
  </si>
  <si>
    <t xml:space="preserve"> attach rfq with Approved Budget for the Contract stated.</t>
  </si>
  <si>
    <t xml:space="preserve"> Publication: June 24-30, 2020</t>
  </si>
  <si>
    <t xml:space="preserve"> Please download RFQ thru the Associated Component under the Bid Notice Abstract</t>
  </si>
  <si>
    <t xml:space="preserve"> james03repita@gamil.com</t>
  </si>
  <si>
    <t xml:space="preserve"> BAC  Schedule of Activities		</t>
  </si>
  <si>
    <t xml:space="preserve"> Attach ABC for quotation</t>
  </si>
  <si>
    <t xml:space="preserve"> Please download RFQ in the Associated Components for Quotation.</t>
  </si>
  <si>
    <t xml:space="preserve"> Call BAC Secretariat for inquiries at tel # (056) 333-6310</t>
  </si>
  <si>
    <t xml:space="preserve"> 1	Lanzones	4,000	pcs</t>
  </si>
  <si>
    <t xml:space="preserve"> Attach ABC for quotation reference</t>
  </si>
  <si>
    <t xml:space="preserve"> for information only.</t>
  </si>
  <si>
    <t xml:space="preserve"> OPENING OF BIDS WILL BE ON 10:00 AM OF JULY 1, 2020 AT BARANGAY HALL OF BARANGAY AGAN-AN, SIBULAN, NEGROS ORIENTAL. FOR INQUIRIES, YOU MAY CONTACT THE BARANGAY BAC SECRETARIAT, GENCITA N. ACIBO, WITH CONTACT NUMBER, 09651101704</t>
  </si>
  <si>
    <t xml:space="preserve"> For more inquiries:</t>
  </si>
  <si>
    <t xml:space="preserve"> INQUIRE AT BAC OFFICE, MUNIICPAL HALL, TAMBULIG, ZAMBOANGA DEL SUR</t>
  </si>
  <si>
    <t xml:space="preserve"> 19 DRUMS CHLORINE (LIQUID)</t>
  </si>
  <si>
    <t xml:space="preserve"> Please see file on Associated component</t>
  </si>
  <si>
    <t xml:space="preserve"> BAC Activities	Schedule	</t>
  </si>
  <si>
    <t xml:space="preserve"> Interested bidders may obtain further information and inspect the Bidding Documents during office hours at 8:00 AM to 5:00 PM on June 24, 2020 to July 13, 2020 from the RBAC Secretariat, c/o Miriam D. Mapatac, Philippine Statistics Authority – Regional Statistical Services Office XIII, Freeman Building, J. C. Aquino Avenue, Butuan City with telephone numbers (085) 225-5219 or (085) 815-2878.</t>
  </si>
  <si>
    <t xml:space="preserve"> 1. Funded under the General Fund 20% Development Fund with an ABC of Php 199,941.00</t>
  </si>
  <si>
    <t xml:space="preserve"> Fire Extinguisher refill for CN Provincial Jail</t>
  </si>
  <si>
    <t xml:space="preserve"> Pre Bid Conference -  July 3, 2020, 9:00 A.M.  at ABC Conference  Hall, Lingayen, Pangasinan</t>
  </si>
  <si>
    <t xml:space="preserve"> https://drive.google.com/file/d/1II18DEoVjW4xnEqhsOcJiuoDjr9nfND9/view?usp=drivesdk</t>
  </si>
  <si>
    <t xml:space="preserve"> https://drive.google.com/file/d/15UjV0kLCLW6PEUUbYGdRX6ksFIgN_rfr/view?usp=drivesdk</t>
  </si>
  <si>
    <t xml:space="preserve"> CNPH use</t>
  </si>
  <si>
    <t xml:space="preserve"> See Associated Components</t>
  </si>
  <si>
    <t xml:space="preserve"> for WEO gears and paraphernalias re: Forest Protection for AMMNBA</t>
  </si>
  <si>
    <t xml:space="preserve"> Interested bidders must download the bidding documents in the following links:</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</si>
  <si>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</si>
  <si>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1	Mobile Corn Mill	1	unit</t>
  </si>
  <si>
    <t xml:space="preserve"> for SUMS Projects</t>
  </si>
  <si>
    <t xml:space="preserve"> deadline of submission of quotation is on June 29, 2020 at 8:00 AM.</t>
  </si>
  <si>
    <t xml:space="preserve"> Use of PROVET - cost of animal zoological supplies</t>
  </si>
  <si>
    <t xml:space="preserve"> https://drive.google.com/file/d/1mEJKgv0bbFoB90PeNYUS4CxJXmyUl9O6/view?usp=drivesdk</t>
  </si>
  <si>
    <t xml:space="preserve"> Very Important Instruction:</t>
  </si>
  <si>
    <t xml:space="preserve"> Submit your proposal to BAC Secretariat, Office of the Procurement Services, EARIST or email pjacorn@yahoo.com together with your legal documents philgeps, mayors  permit, omnibus sworn statement , income/business tax clearance, secretary’s certificate in case of corporation</t>
  </si>
  <si>
    <t xml:space="preserve"> LEVI C. EDMA</t>
  </si>
  <si>
    <t xml:space="preserve"> Use of PROVET - cost of Animal zoological supplies</t>
  </si>
  <si>
    <t xml:space="preserve"> https://drive.google.com/file/d/14u_s5cdjsT-0oFeOw-o-afkLUEOL73Cv/view?usp=drivesdk</t>
  </si>
  <si>
    <t xml:space="preserve"> 1	Mobile Rice Mill	1	unit</t>
  </si>
  <si>
    <t xml:space="preserve"> Interested bidders  must be included in the registry of manufacturers/ suppliers/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</si>
  <si>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associated components</t>
  </si>
  <si>
    <t xml:space="preserve"> Please address your sealed envelope to the BAC, CHAIRMAN and submit the same to the PROCUREMENT MANAGEMENT OFFICE, Ground Floor, Main Building, Sta. Mesa, Manila. For more information, please call up 8713-15-04 or email us at procurementoffice@pup.edu.ph.</t>
  </si>
  <si>
    <t xml:space="preserve"> 5			Unit	Video Conferencing Equipment				</t>
  </si>
  <si>
    <t xml:space="preserve"> Payment will be made in staggared basis.</t>
  </si>
  <si>
    <t xml:space="preserve"> https://drive.google.com/file/d/1HknLBjevom7Rvrzc7dxiBiraW9VgvJuR/view?usp=drivesdk</t>
  </si>
  <si>
    <t xml:space="preserve"> Please see attached Bidding Documents for more details</t>
  </si>
  <si>
    <t xml:space="preserve"> https://drive.google.com/file/d/1G7ECzKMkQhPzwrwmkgyR_QQ2-9J7bTmG/view?usp=drivesdk</t>
  </si>
  <si>
    <t xml:space="preserve"> https://drive.google.com/file/d/1ShBPdCjms2K86UBXTAthm-H_dk5HadwU/view?usp=drivesdk</t>
  </si>
  <si>
    <t xml:space="preserve"> https://drive.google.com/file/d/1gP-XSOqVFi6p5VFYXWWqFvIN8QSFlBM3/view?usp=drivesdk</t>
  </si>
  <si>
    <t xml:space="preserve"> Send your quoted quotation to----------- aslynlyselrasel@gmail.com</t>
  </si>
  <si>
    <t xml:space="preserve"> https://drive.google.com/file/d/1lpzwaJ1MIPIpwBzmlvhsxSRj2Df-sX1d/view?usp=drivesdk</t>
  </si>
  <si>
    <t xml:space="preserve"> 1. Procurement is done by Lot.</t>
  </si>
  <si>
    <t xml:space="preserve"> Note: Please see the uploaded file at associated components.</t>
  </si>
  <si>
    <t xml:space="preserve"> Prospective bidders should possess a valid PCAB License applicable to the contract, have completed a similar contract with a value of at least 50% of the ABC, and have key personnel and equipment (listed in the Eligibility Forms) available for the prosecution of the contract. The BAC will use non-discretionary pass/fail criteria in the Eligibility Check/Screening as well as the Preliminary Examination of Bids. The BAC will conduct post-qualification of the lowest calculated bid.</t>
  </si>
  <si>
    <t xml:space="preserve"> https://drive.google.com/file/d/1kjjpJWsw9cxca78xW7TZnjTDxoCu2uJC/view?usp=drivesdk</t>
  </si>
  <si>
    <t xml:space="preserve"> https://drive.google.com/file/d/14mIj81ZlCcGs3UxIRCmxODEGKmc4j6Mx/view?usp=drivesdk</t>
  </si>
  <si>
    <t xml:space="preserve"> The Municipal Government of Kabayan, through its Bids and Awards Committee (BAC), invites registered suppliers/dealers/manufacturers/distributors/proprietors to submit their express of interest to supply for the supplies of the the above project.</t>
  </si>
  <si>
    <t xml:space="preserve"> Please see the details/items on the attached file in Associated Components</t>
  </si>
  <si>
    <t xml:space="preserve"> Note: Please see the uploaded file at associated components</t>
  </si>
  <si>
    <t xml:space="preserve"> PLEASE SEE ATTACHED PROSE LAY OUT AND REQUEST FOR QUOTATION</t>
  </si>
  <si>
    <t xml:space="preserve"> Deadline for the submission of bid is on July 2, 2020 at 2:00 PM and opening of bids to follow immediately.Please submit your sealed bid/quotation at BAC Office, New Civil Aviation Authority of the Philippines Bldg., Mactan-Cebu Int'l. Airport, Lapu-lapu City , Cebu and look for Hannah. </t>
  </si>
  <si>
    <t xml:space="preserve"> LINKS to download the Terms of Reference</t>
  </si>
  <si>
    <t xml:space="preserve"> PLEASE SEE ATTACHED RFQ</t>
  </si>
  <si>
    <t xml:space="preserve"> For Particulars: Inquire at BAC Secretariat of Barangay Zone IV Poblacion, Atimonan, Quezon</t>
  </si>
  <si>
    <t xml:space="preserve"> https://drive.google.com/file/d/1RepqyYqpDc1sNl57hNyURypfNjP1CeKz/view?usp=drivesdk</t>
  </si>
  <si>
    <t xml:space="preserve"> Please see attached document for details.</t>
  </si>
  <si>
    <t xml:space="preserve"> https://drive.google.com/file/d/1lVdTGVXr_panuNATkvGvxki4mGVOt0IJ/view?usp=drivesdk</t>
  </si>
  <si>
    <t xml:space="preserve"> Submission &amp; Opening of Bid Quotation: </t>
  </si>
  <si>
    <t xml:space="preserve"> PLS. SEE ATTACHED.</t>
  </si>
  <si>
    <t xml:space="preserve"> 1.	All interested bidders/suppliers may now submit Eligibility Documents and other documents.</t>
  </si>
  <si>
    <t xml:space="preserve"> Submission &amp; Opening of Bids: </t>
  </si>
  <si>
    <t xml:space="preserve"> Interested suppliers shall download the attached documents in the Associated Components Section</t>
  </si>
  <si>
    <t xml:space="preserve"> For other inquiries/concerns about the Terms of Reference (TOR) please contact end-user Mr. Dante Lontok (AS-GSD) at Trunk Line 479-29-00. SUPPLIER/BIDDER is required to upon submission of offer in the SEALED ENVELOPE attach the following documents; PhilGEPS Registration Number, Mayor's Permit, Income/Business Tax Return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</si>
  <si>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For other inquiries/concerns about the Terms of Reference (TOR) please contact end-user Mr. Dante Lontok (AS-GSD) at Trunk Line 479-29-00. SUPPLIER/BIDDER is required to upon submission of offer in the SEALED ENVELOPE attach the following documents; PhilGEPS Registration Number, Mayor's Permit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</si>
  <si>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9.	For further information, please refer to:</t>
  </si>
  <si>
    <t xml:space="preserve"> APPLE BRAND</t>
  </si>
  <si>
    <t xml:space="preserve"> Kindly download the attached file in the associated component section</t>
  </si>
  <si>
    <t xml:space="preserve"> https://drive.google.com/file/d/1KAbzk_A3mdNAFxZG9Ipre5Ob20N2PsAh/view?usp=drivesdk</t>
  </si>
  <si>
    <t xml:space="preserve"> Supplier must copy the link below and paste it on URL tab:</t>
  </si>
  <si>
    <t xml:space="preserve"> The Supplier must copy the link below and paste it on the "URL Tab":</t>
  </si>
  <si>
    <t xml:space="preserve"> Submission of Bids June 24, 2020 until July 2,2020 @ 12noon</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</si>
  <si>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</si>
  <si>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OTHER CONDITIONS:							</t>
  </si>
  <si>
    <t xml:space="preserve"> Created By: Aireen T. Dizon</t>
  </si>
  <si>
    <t xml:space="preserve"> please see attached documents</t>
  </si>
  <si>
    <t xml:space="preserve"> https://drive.google.com/file/d/18gdKDTCFnfb44H_RYV_RE_OqQXnhYVb9/view?usp=drivesdk</t>
  </si>
  <si>
    <t xml:space="preserve"> Include Brand, Model, Quality and Warranty</t>
  </si>
  <si>
    <t xml:space="preserve"> https://drive.google.com/file/d/1zrp1afFeuG68utHQzMRQmEEQZrzOhTvP/view?usp=drivesdk</t>
  </si>
  <si>
    <t xml:space="preserve"> *Total cost is inclusive of VAT</t>
  </si>
  <si>
    <t xml:space="preserve"> EMR for XDP Care Project</t>
  </si>
  <si>
    <t xml:space="preserve"> Submission of Bids June 24, 2020 until July 2, 2020 @ 12noon</t>
  </si>
  <si>
    <t xml:space="preserve"> Created By: Madel Arquillo</t>
  </si>
  <si>
    <t xml:space="preserve"> Upon Purchase of Bidding Documents, please submit the following documents:</t>
  </si>
  <si>
    <t xml:space="preserve"> Please see bidding documents for details</t>
  </si>
  <si>
    <t xml:space="preserve"> See Specification sheet for full specs</t>
  </si>
  <si>
    <t xml:space="preserve"> Materials should be delivered to school</t>
  </si>
  <si>
    <t xml:space="preserve"> 	Option to reserve the stock for the VMMC: seven (7) working days after the opening of this canvass</t>
  </si>
  <si>
    <t xml:space="preserve"> https://drive.google.com/file/d/1BLzW9kq3CQC1wOpc5Jbqpbj_6g7PQyFB/view?usp=drivesdk PLAN 20CN0073</t>
  </si>
  <si>
    <t xml:space="preserve"> Please attached pictures</t>
  </si>
  <si>
    <t xml:space="preserve"> Area of Delivery: Quezon City</t>
  </si>
  <si>
    <t xml:space="preserve"> Laboratory Supplies use in Labo District Hospital</t>
  </si>
  <si>
    <t xml:space="preserve"> Office Supplies use in Labo District Hospital</t>
  </si>
  <si>
    <t xml:space="preserve"> Improvement of COMELEC Office, Provincial Capitol, Daet, Camarines Norte</t>
  </si>
  <si>
    <t xml:space="preserve"> for various guests and visitors of the Governor</t>
  </si>
  <si>
    <t xml:space="preserve"> CNPH Patient's use</t>
  </si>
  <si>
    <t xml:space="preserve"> CNPH Patients use</t>
  </si>
  <si>
    <t xml:space="preserve"> https://tinyurl.com/ycj5b2c3</t>
  </si>
  <si>
    <t xml:space="preserve"> To be assigned at Maritime Industry Authority, Regional Office No. V located at Regional Center Site, Rawis, Legazpi City</t>
  </si>
  <si>
    <t xml:space="preserve"> Please contact et.malong@philrice.gov.ph or emilymalong95@gmail.com</t>
  </si>
  <si>
    <t xml:space="preserve"> Materials for Streamer for Advocacy Campaign Ads/Information Dissemination</t>
  </si>
  <si>
    <t xml:space="preserve"> Repair and Maintenance of Government Service Vehicles</t>
  </si>
  <si>
    <t xml:space="preserve"> for use in Labo District Hospital</t>
  </si>
  <si>
    <t xml:space="preserve"> Repair and Maintenance of Machinery and Equipment</t>
  </si>
  <si>
    <t xml:space="preserve"> for GSO use</t>
  </si>
  <si>
    <t xml:space="preserve"> Service Vehicle (Pick up)</t>
  </si>
  <si>
    <t xml:space="preserve"> for GO use</t>
  </si>
  <si>
    <t xml:space="preserve"> for CNPH animal bite use</t>
  </si>
  <si>
    <t xml:space="preserve"> Meals and Snacks during Budget Hearing</t>
  </si>
  <si>
    <t xml:space="preserve"> info. dissemination on war against pandemic covid 19</t>
  </si>
  <si>
    <t xml:space="preserve"> for PPOC use</t>
  </si>
  <si>
    <t xml:space="preserve"> Kindly download the attached bidding documents for the requirements and specifications.</t>
  </si>
  <si>
    <t xml:space="preserve"> Please submit your quotation and legal documents until 26 JUNE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</si>
  <si>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CNPH - Patients use</t>
  </si>
  <si>
    <t xml:space="preserve"> for more information, please download attached</t>
  </si>
  <si>
    <t xml:space="preserve"> https://tinyurl.com/y9me76eo</t>
  </si>
  <si>
    <t xml:space="preserve"> Pls see attached RFQ</t>
  </si>
  <si>
    <t xml:space="preserve"> A complete set of Bidding Documents may be acquired by interested June 22, 2020 to July 10, 2020 from the address below.</t>
  </si>
  <si>
    <t xml:space="preserve"> Kindly download the attached bidding documents for details of requirements and specifications.</t>
  </si>
  <si>
    <t xml:space="preserve"> Infomercial/advocacy campaign</t>
  </si>
  <si>
    <t xml:space="preserve"> Please contact the school head of Sanghan ES, Mrs. Lilibeth P. Delabahan (TNT 0938-034-2196/ Globe 0916-223-1520)</t>
  </si>
  <si>
    <t xml:space="preserve"> BILL OF MATERIALS</t>
  </si>
  <si>
    <t xml:space="preserve"> Please see attached file for quotation</t>
  </si>
  <si>
    <t xml:space="preserve"> Please download RFQ in the Associated Compoment</t>
  </si>
  <si>
    <t xml:space="preserve"> https://drive.google.com/file/d/1xlNBpoPXG7AX5RPCdYC4KIzZLOnSXyzt/view?usp=drivesdk</t>
  </si>
  <si>
    <t xml:space="preserve"> For the use of GSMO, 2ID, PA</t>
  </si>
  <si>
    <t xml:space="preserve"> For queries, please contact Mr. Raymund Jun T. Oberes, Land Bank of the Philippines, Roxas City Branch, P. Gomez St., Roxas City at telephone No. (036) 6212-066, (036) 522-8199</t>
  </si>
  <si>
    <t xml:space="preserve"> Warranty Period : 6 months from receipt of materials</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</si>
  <si>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</si>
  <si>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aa</t>
  </si>
  <si>
    <t xml:space="preserve"> SUBMIT YOUR SEALED QUOTATION (ADDRESS TO THE REGIONAL DIRECTOR, ATTENTION TO: BAC CHAIRMAN) TOGETHER WITH THE FF. DOC'S; 1) CURRENT MAYOR'S/BUSINESS PERMIT 2) SEC/DTI REGISTRATION CERTIFICATE 3) PHILGEPS CERTIFICATE OF REGISTRATION 4) TAX CLEARANCE AT RM 205 PPRD OFFICE, OFFICE OF THE BAC SECRETARIAT, DEPED NCR, 1A BRGY. STO.CRISTO, MISAMIS ST., BAGO BANTAY, QC. LOOK FOR MS. ARLYN J. CABITEN.</t>
  </si>
  <si>
    <t xml:space="preserve"> pls. download bid document in the associated component</t>
  </si>
  <si>
    <t xml:space="preserve"> Venue: Training &amp; Production Center, Lanang, Aroroy, Masbate</t>
  </si>
  <si>
    <t xml:space="preserve"> Kindly download RFQ docs on the associated component.</t>
  </si>
  <si>
    <t xml:space="preserve"> Bidders must from the Province of Zamboanga del Norte and must have a physical office within the mentioned Province</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</si>
  <si>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</si>
  <si>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To all interested supplier/s kindly address your quotation/s to Mr. CICERO D CLARO BAC Secretariat, HEAD and attach the documentary requirements. Supplier’s submission of incomplete requirements is automatically disqualified. Kindly submit in sealed quotation.</t>
  </si>
  <si>
    <t xml:space="preserve"> All prices must be VAT Inclusive.</t>
  </si>
  <si>
    <t xml:space="preserve"> Double Cab Truck w/ Customized Casket Compartment</t>
  </si>
  <si>
    <t xml:space="preserve"> for GO consumption</t>
  </si>
  <si>
    <t xml:space="preserve"> BLUE GUARD SECURITY</t>
  </si>
  <si>
    <t xml:space="preserve"> Line item awarding</t>
  </si>
  <si>
    <t xml:space="preserve"> Bid documents are available at Prenza Barangay Hall</t>
  </si>
  <si>
    <t xml:space="preserve"> for inquiry proceed to barangay hall BILOGO TAYSAN BATANGAS</t>
  </si>
  <si>
    <t xml:space="preserve"> Bidders/Suppliers Must Download the Attached Document in the Associated Component Section </t>
  </si>
  <si>
    <t xml:space="preserve"> Please see attached RFQ for more details.</t>
  </si>
  <si>
    <t xml:space="preserve"> 1. Funded under the General Fund 20% Development fund with an ABC of Php 419,775.56</t>
  </si>
  <si>
    <t xml:space="preserve"> Buyer: K.C. Lacatan</t>
  </si>
  <si>
    <t xml:space="preserve"> 1.)	65	boxes	Syringe w/ Needle 5ml Disposable G.23x1”x100’s (sterile, packed individually, non-toxic, non-pyrogenic) air tight plunger</t>
  </si>
  <si>
    <t xml:space="preserve"> NOTE: THIS IS A REBIDDING FOR THE SAID ITEM IN THIS PURCHASE REQUEST.</t>
  </si>
  <si>
    <t xml:space="preserve"> INVITATION TO BID</t>
  </si>
  <si>
    <t xml:space="preserve"> • Complete Project Title: Supply of Labor and Materials for the Preventive Maintenance Cleaning and Replacement of Water Filter, Ultra Violet, Carbon and Chemical Cleaning of 17 units Drinking Fountains at NPC-Head Office</t>
  </si>
  <si>
    <t xml:space="preserve"> 2 Units Floor Mounted Aircon 4.0 HP</t>
  </si>
  <si>
    <t xml:space="preserve"> NOTE: THIS IS A REBIDDING FOR ALL ITEMS IN THIS PURCHASE REQUEST..</t>
  </si>
  <si>
    <t xml:space="preserve"> For more information and details, please contact the BAC Secretariat</t>
  </si>
  <si>
    <t xml:space="preserve"> Buyer: A.S. Dizon</t>
  </si>
  <si>
    <t xml:space="preserve"> June 29, 2020, 9:30am	- 	Deadline of submission Quotation</t>
  </si>
  <si>
    <t xml:space="preserve"> NOTE: THIS IS A REBIDDING FOR ALL ITEMS IN THIS PURCHASE REQUEST.</t>
  </si>
  <si>
    <t xml:space="preserve"> RFQ is available at the BAC Office during Office Hour.</t>
  </si>
  <si>
    <t xml:space="preserve"> GEO-TAGGING INFORMATION</t>
  </si>
  <si>
    <t xml:space="preserve"> PLEASE DOWNLOAD BID DOCUMENTS</t>
  </si>
  <si>
    <t xml:space="preserve"> SUPPLIER MUST DOWNLOAD THE ATTACHED DOCUMENTS IN THE ASSOCIATED COMPONENTS SECTION</t>
  </si>
  <si>
    <t xml:space="preserve"> For the use of SSBN, 2ID, PA</t>
  </si>
  <si>
    <t xml:space="preserve"> Municipal Social Welfare and Dev. Office</t>
  </si>
  <si>
    <t xml:space="preserve"> INSTRUCTION:</t>
  </si>
  <si>
    <t xml:space="preserve"> NOTE: THIS IS A REBIDDING FOR ALL ITEMS ON THIS PURCHASE REQUEST.</t>
  </si>
  <si>
    <t xml:space="preserve"> Record book                   	piece	14</t>
  </si>
  <si>
    <t xml:space="preserve"> Date of Bid Opening: July 1, 2020; 2:00 p.m.</t>
  </si>
  <si>
    <t xml:space="preserve"> Wok</t>
  </si>
  <si>
    <t xml:space="preserve"> NOTE: WEAR FACE MASK AND OBSERVED SOCIAL DISTANCING DURING THE OPENING OF BIDS.</t>
  </si>
  <si>
    <t xml:space="preserve"> For Technical Inquiry Contact Ms. Nona Colobong, Engineering Service at 8931-5001 loc 7500</t>
  </si>
  <si>
    <t xml:space="preserve"> Same Date and venue</t>
  </si>
  <si>
    <t xml:space="preserve"> Note: Please see attached Invitation To Bid (ITB) and Bidding Documents</t>
  </si>
  <si>
    <t xml:space="preserve"> NOTE: INCLUDE IN YOUR PROPOSAL BRAND NAME AND MODEL</t>
  </si>
  <si>
    <t xml:space="preserve"> Bidding is on July 1 2020 at 10 o'clock in the morning at the 3rd Floor of Municipal Health Unit</t>
  </si>
  <si>
    <t xml:space="preserve"> For More Info. Please Contact:</t>
  </si>
  <si>
    <t xml:space="preserve"> FOR INQUIRY PLEASE PROCEED TO BAC OFFICE</t>
  </si>
  <si>
    <t xml:space="preserve"> see attached components.</t>
  </si>
  <si>
    <t xml:space="preserve"> FOR INQUIRY PLEASE PROCEED TO BAC OFFICE </t>
  </si>
  <si>
    <t xml:space="preserve"> Kindly download attachment. Thankyou.</t>
  </si>
  <si>
    <t xml:space="preserve"> Please see attached at Associated Component</t>
  </si>
  <si>
    <t xml:space="preserve"> 2 burner stove with LPG, hose, regulator, &amp; tank with gas (11kg)		set	12</t>
  </si>
  <si>
    <t xml:space="preserve"> Interested supplier's please submit certificate of philgeps registration, mayor's permit &amp; tax clearance</t>
  </si>
  <si>
    <t xml:space="preserve"> Suppliers are required to submit their quotation/written proposal with the following documents on or before JUNE 29, 2020 9:00 AM at BAC Office, this LGU, to wit:</t>
  </si>
  <si>
    <t xml:space="preserve"> All quotation must be submitted in a sealed envelope directly to LPGH&amp;STC, address to Ms. Cecille P. Manipon, BAC Chairman or email, together with the following requirements;</t>
  </si>
  <si>
    <t xml:space="preserve"> see associated components.</t>
  </si>
  <si>
    <t xml:space="preserve"> You may submit your quotation through the ff.:</t>
  </si>
  <si>
    <t xml:space="preserve"> JORNELYN F. SANTUILE </t>
  </si>
  <si>
    <t xml:space="preserve"> All suppliers must submit their quotation together with the following:</t>
  </si>
  <si>
    <t xml:space="preserve"> Deadline of submission is on or before July 1, 2020 @ 1:00pm</t>
  </si>
  <si>
    <t xml:space="preserve"> PLEASE SEE ASSOCIATED COMPONENTS</t>
  </si>
  <si>
    <t xml:space="preserve"> Refer to RFQ.</t>
  </si>
  <si>
    <t xml:space="preserve"> All interested bidders shall pay 5,000 for the bid docs</t>
  </si>
  <si>
    <t xml:space="preserve"> 1.	Request for Quotation (RFQ) form can be obtained at 110th Contracting Office, AFPPS Canvass Contracting Committee Secretariat, 53rd Engineer Brigade, PA, Camp Lapulapu, Cebu City. Submission of Sealed price quotation will be at designated price quotation box located on same address and will be opened on date/time as indicated.</t>
  </si>
  <si>
    <t xml:space="preserve"> DATE OF PUBLIC BIDDING: JULY 02 , 2020 @ 10:00 A.M </t>
  </si>
  <si>
    <t xml:space="preserve"> PR# 2020-06-006  P 152,000.00</t>
  </si>
  <si>
    <t xml:space="preserve"> Prospective bidders should have experience in undertaking a similar project within the last (2) two years with an 				</t>
  </si>
  <si>
    <t xml:space="preserve"> NOTE: PLEASE COPY THE LINK BELOW AND PASTE TO THE WEB BROWSER TO DOWNLOAD THE ATTACHED RFQ.</t>
  </si>
  <si>
    <t xml:space="preserve"> Items will be delivered at SAO Office, TOWSOL, Guillermo Nakar, Lucena CIty.</t>
  </si>
  <si>
    <t xml:space="preserve"> For inquiry, pls. call at 09989747713</t>
  </si>
  <si>
    <t xml:space="preserve"> Lot A 	3,115,922.75		</t>
  </si>
  <si>
    <t xml:space="preserve"> please see attachment</t>
  </si>
  <si>
    <t xml:space="preserve"> Please submit sealed quotation at the Philippine Eye Research Institute, 5th Flr SOJR Building, PGH Compound, Taft Ave. Manila.</t>
  </si>
  <si>
    <t xml:space="preserve"> 1.	Issuance of bid documents is on June 23, 2020 until 1:00 pm of July 1, 2020 (working days only).</t>
  </si>
  <si>
    <t xml:space="preserve"> Deadline of Submission of Bid Documents JULY 16 2020 10:00AM</t>
  </si>
  <si>
    <t xml:space="preserve"> Call BAC Secretariat at Tel # (056) 333-6310</t>
  </si>
  <si>
    <t xml:space="preserve"> For more Information and details please contact the BAC Secretariat Mrs. Juna Carla Tabian at (033) 5118790, LGU Tigbauan, Iloilo.</t>
  </si>
  <si>
    <t xml:space="preserve"> Please see the attached file</t>
  </si>
  <si>
    <t xml:space="preserve"> contact BAC Secretariat for requirements</t>
  </si>
  <si>
    <t xml:space="preserve"> 1.	Availability of Request for Quotation (RFQ) Form is on June 23, 2020 until 5:00 pm of June 30, 2020 (working days only).</t>
  </si>
  <si>
    <t xml:space="preserve"> Please see attached PDF file.</t>
  </si>
  <si>
    <t xml:space="preserve"> Please send your quotation to:</t>
  </si>
  <si>
    <t xml:space="preserve"> The Local Government Unit of the Island Garden City of Samal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</si>
  <si>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for Documents</t>
  </si>
  <si>
    <t xml:space="preserve"> Request for Quotation (RFQ) Documents Alternative download link:</t>
  </si>
  <si>
    <t xml:space="preserve"> Please see attach downloaded files/documents</t>
  </si>
  <si>
    <t xml:space="preserve"> For more Information and details pls. contact the BAC Secretariat Mrs. Juna Carla Tabian at (033) 5118790, LGU Tigbauan, Iloilo.</t>
  </si>
  <si>
    <t xml:space="preserve"> Please see attached Program of Work</t>
  </si>
  <si>
    <t xml:space="preserve"> sEE aSSOCIATED COMPONENTS</t>
  </si>
  <si>
    <t xml:space="preserve"> 1.   A complete set of Bidding Documents may be purchased by interested Bidders from the address below starting on June 23, 2020 and upon payment of a nonrefundable fee for the Bidding Documents in the amount of Five Hundred Pesos (P500.00) at the Municipal Treasury Office, Amdalao, Guinaang, Pasil, Kalinga.   					</t>
  </si>
  <si>
    <t xml:space="preserve"> Electronic Submission and Receipt of Price Quotation will not be adopted in this procurement.</t>
  </si>
  <si>
    <t xml:space="preserve"> For more Information and details please contact the BAC Secretariat, LGU Tigbauan, Mrs. Juna Carla Tabian at (033) 511-8790.</t>
  </si>
  <si>
    <t xml:space="preserve"> For more information, please see or contact the BAC Members of LGU-Magallanes, Sorsogon</t>
  </si>
  <si>
    <t xml:space="preserve"> 1.   A complete set of Bidding Documents may be purchased by interested Bidders from the address below starting on June 23, 2020 and upon payment of a nonrefundable fee for the Bidding Documents in the amount of One Thousand Pesos (P1,000.00) at the Municipal Treasury Office, Amdalao, Guinaang, Pasil, Kalinga.   					</t>
  </si>
  <si>
    <t xml:space="preserve"> https://drive.google.com/file/d/1aewgzS7m_BpJ_0tU22M6zehXwKf-AJIH/view?usp=drivesdk</t>
  </si>
  <si>
    <t xml:space="preserve"> Receipt by the BAC of Bids Deadline: 10:00 A.M. June 30, 2020 </t>
  </si>
  <si>
    <t xml:space="preserve"> 88	pax	Venue Rental</t>
  </si>
  <si>
    <t xml:space="preserve"> Pls contact Bac Secretariat at 09750779875</t>
  </si>
  <si>
    <t xml:space="preserve"> For more Information and details please contact the BAC Secretariat, LGU Tigbauan, Mrs. Juna Carla Tabian at (033)511-8790.</t>
  </si>
  <si>
    <t xml:space="preserve"> 1 Lot Procurement of Fuel, Oil and Lubricants  (Fleet Card Service Program)		</t>
  </si>
  <si>
    <t xml:space="preserve"> For more information, please see or contact the BAC Members of LGU-Magallanes, Sorsogon.</t>
  </si>
  <si>
    <t xml:space="preserve"> For the use of 4ISU, ISG, PA</t>
  </si>
  <si>
    <t xml:space="preserve"> BIDDERS MUST DOWNLOAD THE ATTACHED DOCUMENT IN THE ASSOCIATED COMPONENT SECTION.</t>
  </si>
  <si>
    <t xml:space="preserve"> https://drive.google.com/file/d/11_UCrb3yyW5N-__uGVfTNhbHmHtcuFOm/view?usp=drivesdk</t>
  </si>
  <si>
    <t xml:space="preserve"> FOR OTHER INQUIRIES PLEASE CALL</t>
  </si>
  <si>
    <t xml:space="preserve"> This is a second posting..Kindly submit your duly signed Quotation with attach Legal documents on or before June 26, 2020 9am</t>
  </si>
  <si>
    <t xml:space="preserve"> For further information, please refer to:							</t>
  </si>
  <si>
    <t xml:space="preserve"> For the use of OG6, 2ID, PA</t>
  </si>
  <si>
    <t xml:space="preserve"> Mail the following Eligibility requirements</t>
  </si>
  <si>
    <t xml:space="preserve"> For more information, please contact Mr. Randy C. Mabana at 8924-6031 loc 221.</t>
  </si>
  <si>
    <t xml:space="preserve"> Warranty : 6 months from receipt of materials</t>
  </si>
  <si>
    <t xml:space="preserve"> https://drive.google.com/file/d/1T9hNS9BkMy9uw5-8jE3jmnKkLHR5G4P8/view?usp=drivesdk</t>
  </si>
  <si>
    <t xml:space="preserve"> SIR/MADAM:						</t>
  </si>
  <si>
    <t xml:space="preserve"> Brand names of items must be indicated in the bid.</t>
  </si>
  <si>
    <t xml:space="preserve"> Submission of RFQs: JUNE 26, 2020 at 9:00AM</t>
  </si>
  <si>
    <t xml:space="preserve"> allocate much cheaper cost of items but it is commendable</t>
  </si>
  <si>
    <t xml:space="preserve"> Deadline for submission of bids will be on JUNE 30, 2020, 10:00 A.M. at the Supply Office, Town Hall, Poblacion, Kibungan, Benguet.</t>
  </si>
  <si>
    <t xml:space="preserve"> CONTACT BAC SECRETARIAT</t>
  </si>
  <si>
    <t xml:space="preserve"> Procurement is done by Lot.</t>
  </si>
  <si>
    <t xml:space="preserve"> https://drive.google.com/file/d/1TaEhUv6c4G5uao3Q6_TOF8_9F7CPs8pa/view?usp=drivesdk</t>
  </si>
  <si>
    <t xml:space="preserve"> 1. Current Mayor’s Permit</t>
  </si>
  <si>
    <t xml:space="preserve"> 1. Pre-bid Conference - July 2, 2020 @ 10:00AM at ASSCAT Conference Room</t>
  </si>
  <si>
    <t xml:space="preserve"> Name of Project: Construction of Two Public Restroom and Urinals in Support to Sanitation Program</t>
  </si>
  <si>
    <t xml:space="preserve"> 16	bxs	AMLODIPINE 5MG				</t>
  </si>
  <si>
    <t xml:space="preserve"> Activities Schedule:</t>
  </si>
  <si>
    <t xml:space="preserve"> https://drive.google.com/file/d/1sjQcZX4Wa9Hw9DRH8cgMpLpaO4JQWWyZ/view?usp=drivesdk</t>
  </si>
  <si>
    <t xml:space="preserve"> Pursuant to par.(g), Section 8.2.2 of RA 9184 &amp; its 2016 IRR, the BFAR-MIMAROPA BAC does not depend on the PHILGEPS Certificate of Registration's Annex A (List of Eligibility Documents) and reserves its authority to actually check the bidders' eligibilities. Thus, interested bidders for all our Invitations to Bid must still submit the required original/ certified true copy of legal, technical, and financial documents (duly signed on each page by the bidder) together with BFAR-MIMAROPA's official Request for Quotation (RFQ) Form. All bids submitted shall be subject to the procurement procedures prescribed by RA 9184 and its IRR; and the evaluation of the BAC.</t>
  </si>
  <si>
    <t xml:space="preserve"> Please see attached Invitation to Bid.</t>
  </si>
  <si>
    <t xml:space="preserve"> ADDITIONAL INSTRUCTION TO BIDDERS:</t>
  </si>
  <si>
    <t xml:space="preserve"> https://drive.google.com/file/d/1nAfDdzd0EC7TvMIuprZj828mwZiw-6mj/view?usp=drivesdk</t>
  </si>
  <si>
    <t xml:space="preserve"> Please visit BAC office</t>
  </si>
  <si>
    <t xml:space="preserve"> Fogging Machine	1</t>
  </si>
  <si>
    <t xml:space="preserve"> Training will be on July 20-31, 2020 at ATI-RTC XII Training Complex, San Felipe, Tantangan, South Cotabato.</t>
  </si>
  <si>
    <t xml:space="preserve"> (Please Attach Sample Pictures with Brand, Model and Specifications).</t>
  </si>
  <si>
    <t xml:space="preserve"> PLEASE SUBMIT YOUR BID DOCUMENT BEFORE JULY 1, 2020 AT 10 A.M.</t>
  </si>
  <si>
    <t xml:space="preserve"> Please contact the school principal of A.C. Dagani CES formerly Tolosa Central ES</t>
  </si>
  <si>
    <t xml:space="preserve"> Kindly see attached LINK for the details/requirements:</t>
  </si>
  <si>
    <t xml:space="preserve"> Suppliers should be within the locality only (Bayombong, Nueva Vizcaya)</t>
  </si>
  <si>
    <t xml:space="preserve"> Please submit your quotation and legal documents duly signed by your representative to email address janet_villafranca@tpb.gov.ph not later than 26 June 2020, 5:00PM, subject to the Terms and Conditions stated herewith and the shortest time of delivery.</t>
  </si>
  <si>
    <t xml:space="preserve"> Please download the attached Request for Quotation form to be included in the Document Request List &amp; Bidders List...</t>
  </si>
  <si>
    <t xml:space="preserve"> BIDDERS MUST DOWNLOAD THE ATTACHED DOCUMENTS IN THE ASSOCIATED COMPONENT SECTION.</t>
  </si>
  <si>
    <t xml:space="preserve"> For other information, contact directly to:</t>
  </si>
  <si>
    <t xml:space="preserve"> No Pre-Bid Conference</t>
  </si>
  <si>
    <t xml:space="preserve"> NO GIFT ALLOWED. Pursuant to RA 6713, otherwise known as the Code of Conduct and Ethical Standards for Public Officials and Employees. The DSWD reserves the right to reject any or all offers at no costs, waive any therein and accept the offer most advantageous to the government.</t>
  </si>
  <si>
    <t xml:space="preserve"> RFQ Available @ BAC Office</t>
  </si>
  <si>
    <t xml:space="preserve"> Laptop Budget - P140,000.00</t>
  </si>
  <si>
    <t xml:space="preserve"> https://drive.google.com/file/d/1k7bfe1ezGdY0c74rbuplkpkPBKAXvmvr/view?usp=drivesdk</t>
  </si>
  <si>
    <t xml:space="preserve"> 45 pc Deformed Bar, 12mmФx6m</t>
  </si>
  <si>
    <t xml:space="preserve"> https://drive.google.com/file/d/11EKfoINESiUX9FSb48IUsXIvlrNGVPQa/view?usp=drivesdk</t>
  </si>
  <si>
    <t xml:space="preserve"> for more information just contact barangay secretariat of Barangay Cordova Norte Tigbauan, Iloilo</t>
  </si>
  <si>
    <t xml:space="preserve"> https://drive.google.com/file/d/1zmjJdPl3pRQds6gVBRrKihX6IxV61HoS/view?usp=drivesdk</t>
  </si>
  <si>
    <t xml:space="preserve"> https://drive.google.com/file/d/1iqy7hJY-Pl-PXMHh_-89lBekOlUW8ikN/view?usp=drivesdk</t>
  </si>
  <si>
    <t xml:space="preserve"> RFQ Available @ BAC office</t>
  </si>
  <si>
    <t xml:space="preserve"> 300 pcs CHB 4"X8"X16"</t>
  </si>
  <si>
    <t xml:space="preserve"> NOTE: Please call ATI IV-A for more details</t>
  </si>
  <si>
    <t xml:space="preserve"> Please download attached Request For Quotation (RFQ) for you reference</t>
  </si>
  <si>
    <t xml:space="preserve"> For Inquiries Please contact Ms. Anabel Alis Basas BAC Secretariat @09500981535</t>
  </si>
  <si>
    <t xml:space="preserve"> 30 bags Portland Cement, 40kg</t>
  </si>
  <si>
    <t xml:space="preserve"> 1.  Issuance of Bid Documents	June 23, 2020</t>
  </si>
  <si>
    <t xml:space="preserve"> For the additional requirements (Eligibility, Technical and Financial list of required documents) you may send an email to pgss.embregion3@gmail.com</t>
  </si>
  <si>
    <t xml:space="preserve"> Only Authorized personnel are allowed to purchase bidding documents. Please bring authorization letter from the company/contractor/supplier, valid ID or company ID</t>
  </si>
  <si>
    <t xml:space="preserve"> Please download the attached RFQ and TOR for further details of the project.</t>
  </si>
  <si>
    <t xml:space="preserve"> Bidding will set by BAC upon submission of COA Request</t>
  </si>
  <si>
    <t xml:space="preserve"> PLEASE CONTACT SUSAN M.PANIQUE PRINCIPAL II OF TALISAY ELEMENTARY SCHOOL</t>
  </si>
  <si>
    <t xml:space="preserve"> Please download bid documents at:</t>
  </si>
  <si>
    <t xml:space="preserve"> Please be informed that the Bid Documents can't be downloaded from the website. Interested bidders are requested to acquire the documents directly and personally from the Mayor's Office upon payment of a corresponding fee of Php5,000.00 for the said project at the Municipal Treasury Office.</t>
  </si>
  <si>
    <t xml:space="preserve"> Prospective bidders are encouraged to attend the prebid conference as scheduled.</t>
  </si>
  <si>
    <t xml:space="preserve"> BAC Schedule of Activities;</t>
  </si>
  <si>
    <t xml:space="preserve"> Items will be delivered at SAO Office, TOWSOL, Geillermo Nakar, Lucena City. Lateral coordination is highly appreciated.</t>
  </si>
  <si>
    <t xml:space="preserve"> Prospective bidders shall submit the best offer for the item/s described herein, subject to the Terms and Conditions provided including the following required documents duly signed by you or your duly authorized representative: </t>
  </si>
  <si>
    <t xml:space="preserve"> the others documents is also available in Barangay Hall office.</t>
  </si>
  <si>
    <t xml:space="preserve"> https://drive.google.com/file/d/1BQ92oDJ-ip9OX9wSEAtp-AdsF46lILBd/view?usp=drivesdk</t>
  </si>
  <si>
    <t xml:space="preserve"> https://drive.google.com/file/d/1q-5q4M9Sc6zqlHnRsXU_aEhJBFfwDsU_/view?usp=drivesdk</t>
  </si>
  <si>
    <t xml:space="preserve"> Shall be complete with CI adapter Female-Mechanical for uPVC.</t>
  </si>
  <si>
    <t xml:space="preserve"> TO BE DELIVERED AT LUBUAGAN MUNICIPAL BUILDING, POBLACION, LUBUAGAN</t>
  </si>
  <si>
    <t xml:space="preserve"> 2019-LGSF-AM</t>
  </si>
  <si>
    <t xml:space="preserve"> 2019 20% DF</t>
  </si>
  <si>
    <t xml:space="preserve"> 3RD POSTING</t>
  </si>
  <si>
    <t xml:space="preserve"> 3rd Posting</t>
  </si>
  <si>
    <t xml:space="preserve"> The duly accomplished RFQ documents must be sent through email or delivered to the BAC Secretariat on or before the closing date of this notice.</t>
  </si>
  <si>
    <t xml:space="preserve"> https://drive.google.com/file/d/1VwP1JD8e9BjlnBUWNXeza6LwLrESAM2d/view?usp=drivesdk</t>
  </si>
  <si>
    <t xml:space="preserve"> https://drive.google.com/file/d/1goF-ucFnXnwLZEdJcMXa_a4_ty8oDAzE/view?usp=drivesdk</t>
  </si>
  <si>
    <t xml:space="preserve"> OPENING OF BIDS WILL BE ON 2:00 PM OF JUNE 30, 2020 AT BARANGAY HALL OF LOOC, SIBULAN, NEGROS ORIENTAL. FOR INQUIRIES, PLEASE CONTACT THE BARANGAY BAC SECRETARIAT, MS. VANESSA A. GERMODO, 09533621832</t>
  </si>
  <si>
    <t xml:space="preserve"> 2020 DF</t>
  </si>
  <si>
    <t xml:space="preserve"> Bid Opening: July 13, 2020 @ 09:00 a.m. at BAC Office, Dap-ay di Tubo, Poblacion, Tubo, Abra</t>
  </si>
  <si>
    <t xml:space="preserve"> https://drive.google.com/file/d/17Zlz22NIuDPTg6k8JFBu5UypBxcuDoWV/view?usp=drivesdk</t>
  </si>
  <si>
    <t xml:space="preserve"> ATTACHED POW</t>
  </si>
  <si>
    <t xml:space="preserve"> Please Contact:</t>
  </si>
  <si>
    <t xml:space="preserve"> NOTE: PLEASE COPY THE LINK BELOW AND PASTE TO THE WEB BROWSER.</t>
  </si>
  <si>
    <t xml:space="preserve"> Items will be delivered at SAO Office, TOWSOL Guillermo Nakar, Lucena City.</t>
  </si>
  <si>
    <t xml:space="preserve"> Items will be delivered at SAO Office, TOWSOL, Camp Guillermo Nakar, Lucena City. lateral coordination is highly appreciated.</t>
  </si>
  <si>
    <t xml:space="preserve"> Interested supplier's please submit certificate of philgeps registration,mayor's permit &amp; tax clearance.</t>
  </si>
  <si>
    <t xml:space="preserve"> https://drive.google.com/file/d/13YAwfi7C89DJBgVVs0pQkNURvmIHslq5/view?usp=drivesdk</t>
  </si>
  <si>
    <t xml:space="preserve"> All bidders must download the attached document in the associated component section.</t>
  </si>
  <si>
    <t xml:space="preserve"> 1 set CCTV Camera</t>
  </si>
  <si>
    <t xml:space="preserve"> PLEASE SEE BAC SECRETARIAT</t>
  </si>
  <si>
    <t xml:space="preserve"> SOURCE OF FUND:   MOOE</t>
  </si>
  <si>
    <t xml:space="preserve"> Please see attached RFQ and PR and submit quotations thru sdomakatibacsec@gmail.com with the following eligibility requirements:		</t>
  </si>
  <si>
    <t xml:space="preserve"> Please see attached RFQ and PR and submit quotations thru sdomakatibacsec@gmail.com with the following eligibility requirements:	</t>
  </si>
  <si>
    <t xml:space="preserve"> Must present shop drawing</t>
  </si>
  <si>
    <t xml:space="preserve"> https://drive.google.com/file/d/1vK0UEmbfbAA3LHQRVBMUTwoexO9AaElk/view?usp=drivesdk</t>
  </si>
  <si>
    <t xml:space="preserve"> Construction Project is for Barangay Dawa, Josefina, ZDS</t>
  </si>
  <si>
    <t xml:space="preserve"> for inquiries you may contact Mr. Hermenegildo E. Regala III at 8711-42-76</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</si>
  <si>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</si>
  <si>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1. DTI Business Name Registration or SEC Registration, CDA, Registration</t>
  </si>
  <si>
    <t xml:space="preserve"> Issuance of bid documents - June 22, 2020- July 14, 2020</t>
  </si>
  <si>
    <t xml:space="preserve"> https://drive.google.com/file/d/1g1EltkLI4xpC6vl2UIczibrpA6XuWU8G/view?usp=drivesdk</t>
  </si>
  <si>
    <t xml:space="preserve"> ALL INTERESTED BIDDERS ARE REQUIRED TO SUBMIT THEIR COMPLETE ELIGIBILITY REQUIREMENTS TO THE BAC FOR EVALUATION DURING THE PRE-BID CONFERENCE ON JUNE 29, 2020 9:00A.M. AT THE BAC SECRETARIAT OFFICE, 2ND FLOOR, CITY HALL OF DASMARIÑAS, CAVITE. BIDDERS WHO SHALL FAIL TO ATTEND THE PRE-BID SHALL NOT BE ALLOWED TO JOIN THE BIDDING FOR THE AFORESAID PROJECT. </t>
  </si>
  <si>
    <t xml:space="preserve"> 1. Please Download ITB and bidding documents in the associated component</t>
  </si>
  <si>
    <t xml:space="preserve"> Plans:</t>
  </si>
  <si>
    <t xml:space="preserve"> https://drive.google.com/file/d/1e8CLQyIyyKO-cT_fLi6gEQ2FPvt-QFmn/view?usp=drivesdk</t>
  </si>
  <si>
    <t xml:space="preserve"> SPECS</t>
  </si>
  <si>
    <t xml:space="preserve"> The BAC will issue to prospective bidders Eligibility Forms and Bid Documents at the Office of the BAC Secretariat, LGU Gattaran, Cagayan, upon their submission of a LOI, and upon their payment of a non-refundable amount of Php 5,000.00 to the Municipal Treasurer of the local Government Unit of Gattaran.</t>
  </si>
  <si>
    <t xml:space="preserve"> The BAC will issue to prospective bidders Eligibility Forms and Bid Documents at the Office of the BAC Secretariat, LGU Gattaran, Cagayan, upon their submission of a LOI, and upon their payment of a non-refundable amount of Php 10,000.00 to the Municipal Treasurer of the local Government Unit of Gattaran.</t>
  </si>
  <si>
    <t xml:space="preserve"> Specs</t>
  </si>
  <si>
    <t xml:space="preserve"> Procurement of Spare Tires for Heavy Equipments (2nd Qtr) - MOTORPOOL</t>
  </si>
  <si>
    <t xml:space="preserve"> Delivery Site:	DENR-PENRO City of Ilagan, Isabela</t>
  </si>
  <si>
    <t xml:space="preserve"> Bidder / Supplier must download the attached documents in Associated Components.</t>
  </si>
  <si>
    <t xml:space="preserve"> For more information, please contact barangay treasurer - 09432418991</t>
  </si>
  <si>
    <t xml:space="preserve"> ACTIVITIES SCHEDULE:</t>
  </si>
  <si>
    <t xml:space="preserve"> 1. Issuance of Bid Docs--------June 22. 2020</t>
  </si>
  <si>
    <t xml:space="preserve"> For UOM of Lots 4 to 9:</t>
  </si>
  <si>
    <t xml:space="preserve"> The approved estimated budget was 30,000.00 for the purchases of the following items</t>
  </si>
  <si>
    <t xml:space="preserve"> Budget: 20,000.00</t>
  </si>
  <si>
    <t xml:space="preserve"> Bidder bids the lowest price for the materials and supplies.</t>
  </si>
  <si>
    <t xml:space="preserve"> Bidders bids the lowest price</t>
  </si>
  <si>
    <t xml:space="preserve"> Please bring your letter of intent if you are interested to purchase bidding documents. Thank you.</t>
  </si>
  <si>
    <t xml:space="preserve"> It may also be downloaded free of charge from the website of the Bangko Sentral ng Pilipinas (www.bsp.gov.ph) provided that bidders shall pay the applicable fee for the Bidding Documents not later than the submission of their bids.</t>
  </si>
  <si>
    <t xml:space="preserve"> REQUEST FOR QUOTATION FORM WILL BE AVAILABLE AT GINGOOG CITY WATER DISTRICT OFFICE</t>
  </si>
  <si>
    <t xml:space="preserve"> Below is the link of the bidding document for this Project.</t>
  </si>
  <si>
    <t xml:space="preserve"> Please copy the link below and paste it on new tab:</t>
  </si>
  <si>
    <t xml:space="preserve"> Interested bidders  must be included in the registry of manufacturers/s uppliers/ distributors in the PhilGEPS. Please submit your bid/quotation and PhilGEPS Certificate in a sealed envelope addressed to Mr. Victor Y. Romano or email it to bac@philfida.da.gov.ph. Information relating to examination, evaluation and comparison of price quotations shall be confidential.</t>
  </si>
  <si>
    <t xml:space="preserve"> Procurement of Office Supplies for Barangay Magallanes use :</t>
  </si>
  <si>
    <t xml:space="preserve"> https://drive.google.com/file/d/10zR2gRPl4T_ASroyBs3pFop8FBX1ZJ62/view?usp=drivesdk</t>
  </si>
  <si>
    <t xml:space="preserve"> Bid opening on July 15, 2020 at 9:00A.M at the Municipal Hall.</t>
  </si>
  <si>
    <t xml:space="preserve"> Please Contact Jaren D. Ducay, BAC Secretariat at 09956498330</t>
  </si>
  <si>
    <t xml:space="preserve"> Please copy the LINK below for the PLAN</t>
  </si>
  <si>
    <t xml:space="preserve"> Criteria: Pass or Fail </t>
  </si>
  <si>
    <t xml:space="preserve"> Inquire at the Office of the Provincial Agriculturist for details.</t>
  </si>
  <si>
    <t xml:space="preserve"> The bidder must quote to all items</t>
  </si>
  <si>
    <t xml:space="preserve"> bidders/supplier must download the attached file in the associated section.</t>
  </si>
  <si>
    <t xml:space="preserve"> BID FORM</t>
  </si>
  <si>
    <t xml:space="preserve"> The schedule of key procurement activities for this Contract is shown below:  </t>
  </si>
  <si>
    <t xml:space="preserve"> PROCUREMENT ACTIVITIES	DATE	TIME (BFAR8 2nd floor Biometric Clock)	VENUE</t>
  </si>
  <si>
    <t xml:space="preserve"> Inquire at the Office of IPHO-Technical Services Division for details.</t>
  </si>
  <si>
    <t xml:space="preserve"> Project Reference No.: GS100-29003-120 &amp; 173</t>
  </si>
  <si>
    <t xml:space="preserve"> PLEASE SUBMIT YOUR LETTER ON INTENT ON OR BEFORE THE PRE-BID CONFERENCE AT THE BRK OFFICE.</t>
  </si>
  <si>
    <t xml:space="preserve"> Submission of Letter of Intent June 23-27, 2020</t>
  </si>
  <si>
    <t xml:space="preserve"> LOI - 06/26/20</t>
  </si>
  <si>
    <t xml:space="preserve"> LOI - 06/26/2020</t>
  </si>
  <si>
    <t xml:space="preserve"> invitation to bid</t>
  </si>
  <si>
    <t xml:space="preserve"> Source of Fund : Local Fund/Current Appropriation</t>
  </si>
  <si>
    <t xml:space="preserve"> Source of Fund: Local Fund/Current Budget</t>
  </si>
  <si>
    <t xml:space="preserve"> "Prospective supplier must be registered at the Philippine Government Electronic Procurement System (PhilGEPS). You may visit the PhilGEPS website at www. philgeps.gov.ph to register". The Request for Quotation can also be downloaded from www.fo4b.dswd.gov.ph</t>
  </si>
  <si>
    <t xml:space="preserve"> the bidder must quote to all items</t>
  </si>
  <si>
    <t xml:space="preserve"> PLEASE SEE SIMILAR INFORMATION POSTED AT THE WEBSITE OF THE PROCURING ENTITY</t>
  </si>
  <si>
    <t xml:space="preserve"> LCRB</t>
  </si>
  <si>
    <t xml:space="preserve"> Cost of Bid Docs: Php 5,000.00</t>
  </si>
  <si>
    <t xml:space="preserve"> Bidding Date/Time: July 02,2020 at 9:00 am in the morning</t>
  </si>
  <si>
    <t xml:space="preserve"> ITB20-06-027D</t>
  </si>
  <si>
    <t xml:space="preserve"> Preliminary Examination and Opening of Bids -- June 29, 2020 at 2:00 P.M.</t>
  </si>
  <si>
    <t xml:space="preserve"> ITB20-06-027A</t>
  </si>
  <si>
    <t xml:space="preserve"> ITB20-06-027C</t>
  </si>
  <si>
    <t xml:space="preserve"> ITB20-06-027B</t>
  </si>
  <si>
    <t xml:space="preserve"> Please see attached Part I of the Bidding Documents</t>
  </si>
  <si>
    <t xml:space="preserve"> Pre-Bid Conference will be held at the BAC Office, DPWH Masbate 1st District Engineering Office, San Fernando, Masbate on June 30, 2020 at 10:00 a.m.</t>
  </si>
  <si>
    <t xml:space="preserve"> Pre-bid Conference is on 01 July 2020 12:00PM Katapatan Conference Room (Boardroom), 4th Floor, DSWD Central Office, IBP Road, Constitution Hills, Quezon City</t>
  </si>
  <si>
    <t xml:space="preserve"> Issuance of Bid Documents  : 8:00AM - 5:00PM June 20, 2020 to 8:00AM - 10:00AM, July 14, 2020</t>
  </si>
  <si>
    <t xml:space="preserve"> https://drive.google.com/file/d/1GBnCKlFUU7WJFmurh7jhovYgTzJRsK3o/view?usp=drivesdk</t>
  </si>
  <si>
    <t xml:space="preserve"> To View the Bidding Document Please Click</t>
  </si>
  <si>
    <t xml:space="preserve"> To View the bidding Document Please Click</t>
  </si>
  <si>
    <t xml:space="preserve"> Also available at the DPWH Website</t>
  </si>
  <si>
    <t xml:space="preserve"> The BAC is conducting the public bidding for this Contract in accordance with RA 9184 and its Implementing Rules and Regulations.</t>
  </si>
  <si>
    <t xml:space="preserve"> https://drive.google.com/file/d/1uQqXD516dNKnvDd6UWB5LkvygVnoGM3K/view?usp=drivesdk</t>
  </si>
  <si>
    <t xml:space="preserve"> To view the Bid Docs Click: </t>
  </si>
  <si>
    <t xml:space="preserve"> Please email to camanzon@bcda.gov.phthe  quotation together with your PhilGEPS Registration, BIR Registration, Mayor's Permit and Omnibus Sworn Statement to 575-1785 or submit to BCDA Reception Area, 2/F Bonifacio Technology Center, 31st St. corner 2nd Ave. Bonifacio Global City, Taguig City.</t>
  </si>
  <si>
    <t xml:space="preserve"> Please download the Bid Document in the Associated Component.</t>
  </si>
  <si>
    <t xml:space="preserve"> To view the bidding document, please click https://drive.google.com/file/d/1jkO_l-ddDaGVjvKY7uCOw9w4vlc04RTs/view?usp=drivesdk</t>
  </si>
  <si>
    <t xml:space="preserve"> https://drive.google.com/file/d/1UuU4KiR_E6GYu8p1fB0tO_Uch8XiBcDw/view?usp=drivesdk</t>
  </si>
  <si>
    <t xml:space="preserve"> to view the bidding documents click: https://drive.google.com/file/d/1w18odiMeWWvy7umz_0ndFUjLrsu9WsDN/view?usp=drivesdk</t>
  </si>
  <si>
    <t xml:space="preserve"> - kindly submit the basic documents, as such (1) DTI/SEC/CDA Registration; (2) Tax Clearance; (3) PhilGeps Registration; and (4) Mayor's Permit</t>
  </si>
  <si>
    <t xml:space="preserve"> - kindly submit the 4 basic documents as such: (1) DTI, SEC, CDA Registration; (2) Tax Clearance; (3) Philgeps Registration; and (4) Mayor's Permit with bid proposal</t>
  </si>
  <si>
    <t xml:space="preserve"> must be delivered to Gusa Elementary School, Gusa Cagayan de Oro City                                                                Store location must be within CDO area</t>
  </si>
  <si>
    <t xml:space="preserve"> The Local Government Unit of Ibajay, through the 20% DF - Supplemental Budget #2, intends to apply the sum of Five Million Five Hundred Thousand Pesos Only (Php 5,500,000.00) being the Approved Budget for the Contract (ABC) to payments under the contract for the PURCHASE OF ONE (1) UNIT BACKHOE (BRAND NEW) (Supply and delivery) in the Municipality of Ibajay, Aklan.  Bids received in excess of ABC shall be automatically rejected at bid opening.</t>
  </si>
  <si>
    <t xml:space="preserve"> https://drive.google.com/file/d/1wJVT4G7yWGZFl5iUNHBhypmMMO_0jq_g/view?usp=drivesdk</t>
  </si>
  <si>
    <t xml:space="preserve"> to view the bidding document please click</t>
  </si>
  <si>
    <t xml:space="preserve"> Terms of Payment = 90 days</t>
  </si>
  <si>
    <t xml:space="preserve"> 2nd Publication</t>
  </si>
  <si>
    <t xml:space="preserve"> MTO:</t>
  </si>
  <si>
    <t xml:space="preserve"> For more details you may call/visit BAC Secretariat @ LGU POLANCO, Polanco, Z. N.</t>
  </si>
  <si>
    <t xml:space="preserve"> For more information you may call/visit BAC Secretariat @ LGU POLANCO, Polanco, Z. N.</t>
  </si>
  <si>
    <t xml:space="preserve"> June 26, 2020, 9:30am	- 	Deadline of submission Quotation</t>
  </si>
  <si>
    <t xml:space="preserve"> 1 unit	Hanging Cabinet</t>
  </si>
  <si>
    <t xml:space="preserve"> 1. https://drive.google.com/file/d/13ev0UFkHXGWa4F9yFXDdUUQupLVZZs3y/view?usp=drivesdk</t>
  </si>
  <si>
    <t xml:space="preserve"> Technical Specifications:</t>
  </si>
  <si>
    <t xml:space="preserve"> 2. https://drive.google.com/file/d/1uZAEbQi9aJpffSA7HPOaiMPc28hPNqtR/view?usp=drivesdk</t>
  </si>
  <si>
    <t xml:space="preserve"> to view the bidding documents;https://drive.google.com/file/d/1SWOd9A2dVxC75dCkWxtdDtaVFfpGp-SX/view?usp=drivesdk</t>
  </si>
  <si>
    <t xml:space="preserve"> 9. https://drive.google.com/file/d/1VTOy7rFzWlJCUBQXchcxTtQTRN-EYeGE/view?usp=drivesdk</t>
  </si>
  <si>
    <t xml:space="preserve"> 5. https://drive.google.com/file/d/1AZ3I3xwvpydi48yZEpmd24xiEvDXVx69/view?usp=drivesdk</t>
  </si>
  <si>
    <t xml:space="preserve"> 8. https://drive.google.com/file/d/1gobUix9EeYU1X_itrMojR7zXL2LsULNy/view?usp=drivesdk</t>
  </si>
  <si>
    <t xml:space="preserve"> 7. https://drive.google.com/file/d/19Pqc9hBi10E2A9rx8v2zQDb6fcV20xZN/view?usp=drivesdk</t>
  </si>
  <si>
    <t xml:space="preserve"> 6. https://drive.google.com/file/d/13ISk4cm87N-gW_QwvP1dS3AWj0FQ2boN/view?usp=drivesdk</t>
  </si>
  <si>
    <t xml:space="preserve"> 3. https://drive.google.com/file/d/1sH0MJGvJzGWCuaKj_TH7ROGOsvGRHu0v/view?usp=drivesdk</t>
  </si>
  <si>
    <t xml:space="preserve"> to view the bidding documents click https://drive.google.com/file/d/1w5vdyBqRDlr9fQA_hxPBnN9GgXlirp_V/view?usp=drivesdk</t>
  </si>
  <si>
    <t xml:space="preserve"> To view the bidding document, please click https://drive.google.com/file/d/1fNJxMdJsSxRdXdz8U2bWL_JG4CHEhqVg/view?usp=drivesdk</t>
  </si>
  <si>
    <t xml:space="preserve"> For Particulars: Inquire at the Bac Secretariat of Barangay Montes Kallagan, Atimonan, Quezon</t>
  </si>
  <si>
    <t xml:space="preserve"> 4. https://drive.google.com/file/d/1QvTYXPAnIMcgu61iz8h4Yo2NAtXD04Gj/view?usp=drivesdk</t>
  </si>
  <si>
    <t xml:space="preserve"> to view the bidding documents;https://drive.google.com/file/d/1NpOGGmLElD0yQJP2gNJ1L5rRGq0zauPu/view?usp=drivesdk</t>
  </si>
  <si>
    <t xml:space="preserve"> 12.  https://drive.google.com/file/d/138NiCCcoPcwewCvhkFJM4x6X_rGZNz1H/view?usp=drivesdk</t>
  </si>
  <si>
    <t xml:space="preserve"> Delivery Point: MRMD, Muntinlupa City, Metro Manila</t>
  </si>
  <si>
    <t xml:space="preserve"> 11. https://drive.google.com/file/d/1FTiU1xBJpBMXfz_AfshyqMIN13flTXfG/view?usp=drivesdk</t>
  </si>
  <si>
    <t xml:space="preserve"> to view the bidding documents;https://drive.google.com/file/d/1Wh61m2KjMNDSHw1NLV7J46YHQiTPKAQS/view?usp=drivesdk</t>
  </si>
  <si>
    <t xml:space="preserve"> 17. https://drive.google.com/file/d/1bn6Oc1NeuCkWgKiKqQqBHaMwoWMKiMJ2/view?usp=drivesdk</t>
  </si>
  <si>
    <t xml:space="preserve"> 16. https://drive.google.com/file/d/1wSFZDfWu2jaQePzJ3_oaLHGMhk5Hv8aO/view?usp=drivesdk</t>
  </si>
  <si>
    <t xml:space="preserve"> 15. https://drive.google.com/file/d/1RoOk8GzttOXbuvehYn_FYJaGdyOiA7rw/view?usp=drivesdk</t>
  </si>
  <si>
    <t xml:space="preserve"> 18. https://drive.google.com/file/d/1ZvCoRYyw5APrP5kxWwas799eqKwFCofX/view?usp=drivesdk</t>
  </si>
  <si>
    <t xml:space="preserve"> https://drive.google.com/file/d/1pBqou3gob9Y36d4KbKTcO5A7SWTevPTM/view?usp=drivesdk</t>
  </si>
  <si>
    <t xml:space="preserve"> to view the bidding documents;https://drive.google.com/file/d/1FG5-KnZ4qKhgUyMSbxwU22Umr9_euwMy/view?usp=drivesdk</t>
  </si>
  <si>
    <t xml:space="preserve"> 20. https://drive.google.com/file/d/1bP7N-O9p6A8aRRYFxmaLLwACQ3_DC6ly/view?usp=drivesdk</t>
  </si>
  <si>
    <t xml:space="preserve"> 19. https://drive.google.com/file/d/1yLj6B7-XMX3weFLgrvc_qSdyzy11Y1mo/view?usp=drivesdk</t>
  </si>
  <si>
    <t xml:space="preserve"> 21. https://drive.google.com/file/d/1oZZRv2k5qxVy8A2Ml9ggqWsipET4j5nw/view?usp=drivesdk</t>
  </si>
  <si>
    <t xml:space="preserve"> 22. https://drive.google.com/file/d/1R0kN0yJy9hrAZPzkgbyONhENiYdQbbYL/view?usp=drivesdk</t>
  </si>
  <si>
    <t xml:space="preserve"> Bidders must download the attached documents associated in the component section.</t>
  </si>
  <si>
    <t xml:space="preserve"> 27. https://drive.google.com/file/d/103f9_gphXSOV62ETU_vgrmwXC_ZWjEXs/view?usp=drivesdk</t>
  </si>
  <si>
    <t xml:space="preserve"> 25. https://drive.google.com/file/d/1VenIsOBbysq38uejNA7jd5WieVYfjbaT/view?usp=drivesdk</t>
  </si>
  <si>
    <t xml:space="preserve"> 24. https://drive.google.com/file/d/15BBL9xmbxQeZ4cenUhhxkrldcLbNaUFP/view?usp=drivesdk</t>
  </si>
  <si>
    <t xml:space="preserve"> 23. https://drive.google.com/file/d/1e9fm3VQUtKu6VMkS9VqLzdbfJTVJyRhS/view?usp=drivesdk</t>
  </si>
  <si>
    <t xml:space="preserve"> 29. https://drive.google.com/file/d/1GFriRcqf1BbldME0Mq_ACwq8qywhCQ-D/view?usp=drivesdk</t>
  </si>
  <si>
    <t xml:space="preserve"> 28. https://drive.google.com/file/d/1zbx_-T51ntcXh_zgz_QUYquMbF-ET06o/view?usp=drivesdk</t>
  </si>
  <si>
    <t xml:space="preserve"> 14. https://drive.google.com/file/d/1H8QpXmEvfUxRUiu_F__JomOtFGWzN_rI/view?usp=drivesdk</t>
  </si>
  <si>
    <t xml:space="preserve"> 32. https://drive.google.com/file/d/1YZeSY2QmQ26gvjZ_3VM4Wsp52_cjAkPz/view?usp=drivesdk</t>
  </si>
  <si>
    <t xml:space="preserve"> 13. https://drive.google.com/file/d/1vR9XN4ymdCD3X63gRfSkiZOkPPWPJgHx/view?usp=drivesdk</t>
  </si>
  <si>
    <t xml:space="preserve"> 10. https://drive.google.com/file/d/1YZld1GY_lxhwfm9lIwPrTIAygmS-l8rT/view?usp=drivesdk</t>
  </si>
  <si>
    <t xml:space="preserve"> The BAC is conducting the public bidding for this Contract in accordance with Republic Act NO. 9184 and its implementing Rules and Regulations (IRR).</t>
  </si>
  <si>
    <t xml:space="preserve"> 26. https://drive.google.com/file/d/1Em876bz8t6q2NZ3CgavxqN5TXB2VkC6G/view?usp=drivesdk</t>
  </si>
  <si>
    <t xml:space="preserve"> 30. https://drive.google.com/file/d/1JbE1bDgdPlkjVgnoKcxCn6LzY3oEpjVa/view?usp=drivesdk</t>
  </si>
  <si>
    <t xml:space="preserve"> 31. https://drive.google.com/file/d/1mxaJ8S-SirvgCMV3QKkAMBlQTnfaejEW/view?usp=drivesdk</t>
  </si>
  <si>
    <t xml:space="preserve"> 1. Date of First Publication: JUNE 20, 2020</t>
  </si>
  <si>
    <t xml:space="preserve"> 33. https://drive.google.com/file/d/1nBqg_TBjL9zy4N1bBPHgZeNxq6pgy7KG/view?usp=drivesdk</t>
  </si>
  <si>
    <t xml:space="preserve"> 34. https://drive.google.com/file/d/1Ebl4qYNeWRV0NN1Sft_ykifNDE9DnhI4/view?usp=drivesdk</t>
  </si>
  <si>
    <t xml:space="preserve"> 35. https://drive.google.com/file/d/10Bs61ZYnoxw_k5IcjG3tG5PGmkOgdbS-/view?usp=drivesdk</t>
  </si>
  <si>
    <t xml:space="preserve"> Pre bid Conference: June 26, 2020 2:00 P.M.</t>
  </si>
  <si>
    <t xml:space="preserve"> 37. https://drive.google.com/file/d/1one7NeL7s9dnLnZuVdWfY2Gr5d9jBI8C/view?usp=drivesdk</t>
  </si>
  <si>
    <t xml:space="preserve"> PLS. SEE ATTACHED PDF DOCUMENT.</t>
  </si>
  <si>
    <t xml:space="preserve"> 36. https://drive.google.com/file/d/1YVHC2JLzkpHy1TndhyqOEBVF2KMYcsHZ/view?usp=drivesdk</t>
  </si>
  <si>
    <t xml:space="preserve"> BIDDERS MUST DOWNLOAD THE ATTACHED DOCUMENTS IN THE COMPONENTS SECTION</t>
  </si>
  <si>
    <t xml:space="preserve"> The Municipal Government of Dauin, Negros Oriental, through MO, intends to apply the sum listed above being the Approved Budget of the Contract (ABC) to payments for the delivery of goods and materials and the procurements of materials of the above listed projects. Bids received in excess of the ABC shall be automatically rejected at Bid opening.</t>
  </si>
  <si>
    <t xml:space="preserve"> 39. https://drive.google.com/file/d/1K6DFrc30g6nvF37E-qm-CaPj95i38Tml/view?usp=drivesdk</t>
  </si>
  <si>
    <t xml:space="preserve"> Interested consultants must submit their eligibility documents on or before June 26, 2020 2:00 P.M at the Bids and Awards Committee (BAC) for Consulting Services, BAC Conference Room, DPWH-Pampanga 2nd</t>
  </si>
  <si>
    <t xml:space="preserve"> 40. https://drive.google.com/file/d/1GJFoODUr7yCdjw399PBI8Rs3eOf9i6_U/view?usp=drivesdk</t>
  </si>
  <si>
    <t xml:space="preserve"> 38. https://drive.google.com/file/d/1EqfeyuTWxDs-j0y9DzNQVW2c70akqimQ/view?usp=drivesdk</t>
  </si>
  <si>
    <t xml:space="preserve"> 41. https://drive.google.com/file/d/14o6fPtf74_OOAo10mu5ox4LxX4SDZ0i7/view?usp=drivesdk</t>
  </si>
  <si>
    <t xml:space="preserve"> 42. https://drive.google.com/file/d/1RSwZwZLAMtCfHWvFXgZGLO_OY3UBX_12/view?usp=drivesdk</t>
  </si>
  <si>
    <t xml:space="preserve"> 43. https://drive.google.com/file/d/10BCfuDjHLObebu2Dc_kRio-kdw51_kGC/view?usp=drivesdk</t>
  </si>
  <si>
    <t xml:space="preserve"> for RHU use, medical supplies and equipment for COVID 19</t>
  </si>
  <si>
    <t xml:space="preserve"> 1. ISSUANCE OF BID DOCUMENTS - JUNE 19, 2000 - JULY 8, 2000</t>
  </si>
  <si>
    <t xml:space="preserve"> created by: Hon. NARCISO P. ANDALES JR.</t>
  </si>
  <si>
    <t xml:space="preserve"> Delivery Point: Plantsite / JOLO DPP, Sulu Province</t>
  </si>
  <si>
    <t xml:space="preserve"> Prospective bidders should have the experience in undertaking a similar contract within the last five (5) years. Bidding will be conducted through open competitive bidding procedures using a non – discretionary “Pass/Fail” criterion as specified under Implementing Rules and Regulation of R.A 9184 otherwise known as the “Government Procurement Reform Act”</t>
  </si>
  <si>
    <t xml:space="preserve"> RHU Use, preparedness and response to COVID19</t>
  </si>
  <si>
    <t xml:space="preserve"> Delivery Point: Plantsite / PANDAMI DPP, Sulu Province</t>
  </si>
  <si>
    <t xml:space="preserve"> created by: HON. NARCISO P. ANDALES JR.</t>
  </si>
  <si>
    <t xml:space="preserve"> SAID REQUEST IS PER LOT</t>
  </si>
  <si>
    <t xml:space="preserve"> created by; HON. NARCISO P. ANDALES JR.</t>
  </si>
  <si>
    <t xml:space="preserve"> Created By: HON. NARCISO P. ANGLES JR.</t>
  </si>
  <si>
    <t xml:space="preserve"> Delivery Point: Plantsite / TANDUBAS DPP, TAWI TAWI</t>
  </si>
  <si>
    <t xml:space="preserve"> 1. ISSUANCE OF BID DOCUMENTS - JUNE 19, 2020 - JULY 8, 2020</t>
  </si>
  <si>
    <t xml:space="preserve"> Please be informed that the Bid Documents can’t be downloaded from the website. Prospective bidders are requested to acquire the documents directly and personally from the BAC Secretariat upon payment at the Barangay Treasurer a corresponding fee of Php500.00 for the said project.</t>
  </si>
  <si>
    <t xml:space="preserve"> https://drive.google.com/file/d/199ZxFOU5he6Cdoj7-uN7BD9fviofAQDB/view?usp=drivesdk</t>
  </si>
  <si>
    <t xml:space="preserve"> TERMS AND CONDITIONS							</t>
  </si>
  <si>
    <t xml:space="preserve"> 1 set Biodegradable Heavy Duty Shredder with Trailer</t>
  </si>
  <si>
    <t xml:space="preserve"> Please fax quotation together with your PhilGEPS Registration, BIR Registration, Mayor's Permit and Omnibus Sworn Statement to 575-1785 or submit to BCDA Reception Area, 2/F Bonifacio Technology Center, 31st St. corner 2nd Ave. Bonifacio Global City, Taguig City.</t>
  </si>
  <si>
    <t xml:space="preserve"> For the use of Planning and Design Section</t>
  </si>
  <si>
    <t xml:space="preserve"> You may see the Supply Officer, Municipality of Caibiran</t>
  </si>
  <si>
    <t xml:space="preserve"> For more details, please contact the Municipal Engineer Jopson D. Baones with his Mobile No. 09399029802.</t>
  </si>
  <si>
    <t xml:space="preserve"> Delivery Point: Plantsite /TANDUBAS DPP, Tawi-Tawi</t>
  </si>
  <si>
    <t xml:space="preserve"> https://drive.google.com/file/d/1E6FzbCyeTt3tpjyJoFU5UILWfuY01YwF/view?usp=drivesdk</t>
  </si>
  <si>
    <t xml:space="preserve"> The deadline of submission is on or before the closing date.</t>
  </si>
  <si>
    <t xml:space="preserve"> https://drive.google.com/file/d/1c3lBxtkMXgk8re2ajgyjKtE7XnlH42p1/view?usp=drivesdk</t>
  </si>
  <si>
    <t xml:space="preserve"> https://drive.google.com/file/d/1Jwq7DIc8jhatD84LmUXUiUTlLn8XClbn/view?usp=drivesdk</t>
  </si>
  <si>
    <t xml:space="preserve"> https://drive.google.com/file/d/1ZiDR59e5Bn8IxVSv-ifiMv9wGjj6scKE/view?usp=drivesdk</t>
  </si>
  <si>
    <t xml:space="preserve"> https://drive.google.com/file/d/1sMECckpmOlfhdWAf2UXB9gEW6nOwaPu2/view?usp=sharing</t>
  </si>
  <si>
    <t xml:space="preserve"> https://drive.google.com/file/d/1uhCL24oTGi3QPGIub_vtbQygUgkq5ylO/view?usp=sharing</t>
  </si>
  <si>
    <t xml:space="preserve"> https://drive.google.com/file/d/1cyvXay_Qjyjd0quDVYidk_dIsFxTcRfr/view?usp=sharing</t>
  </si>
  <si>
    <t xml:space="preserve"> https://drive.google.com/file/d/1tEPf2v14hKUD0Ci-9BGemRJSpo9kFoj2/view?usp=sharing</t>
  </si>
  <si>
    <t xml:space="preserve"> https://drive.google.com/file/d/1GCtDHNh1YjaCLkYYSv_MiEALq6q6MIhV/view?usp=sharing</t>
  </si>
  <si>
    <t xml:space="preserve"> Rosalia Aglay Ayag Elem. School is formerly Tawantawan Elem. School</t>
  </si>
  <si>
    <t xml:space="preserve"> for other inquiry please contact @ 2050-293 BAC or BAC Secretariat</t>
  </si>
  <si>
    <t xml:space="preserve"> Quotation and all supporting documents of a qualified bidder must be submitted in sealed envelope marked as "NSB STARTER KITS"</t>
  </si>
  <si>
    <t xml:space="preserve"> Any requests for additional information concerning this bidding shall be directed to the following:</t>
  </si>
  <si>
    <t xml:space="preserve"> for other inquiry please contact BAC or BAC Secretariat @ 2050-293</t>
  </si>
  <si>
    <t xml:space="preserve"> Alfredo M. Maduay</t>
  </si>
  <si>
    <t xml:space="preserve"> Submission of Letter of Intent						June 18-20,2020		</t>
  </si>
  <si>
    <t xml:space="preserve"> BAC ACTIVITIES	SCHEDULE</t>
  </si>
  <si>
    <t xml:space="preserve"> Note: Online Submission of Bids still not available as of this writing.</t>
  </si>
  <si>
    <t xml:space="preserve"> 1.	Photocopied documents must be authenticated.</t>
  </si>
  <si>
    <t xml:space="preserve"> R/M - MOTOR VEHICLE</t>
  </si>
  <si>
    <t xml:space="preserve"> https://drive.google.com/file/d/1QRPTKPSzgZpaQaKaMKpbUsI4cai9hZDX/view?usp=drivesdk</t>
  </si>
  <si>
    <t xml:space="preserve"> Approved Budget for the Contract - Php 1,088,200.00</t>
  </si>
  <si>
    <t xml:space="preserve"> 1. All entries must be printed or type written						</t>
  </si>
  <si>
    <t xml:space="preserve"> Quotations and all supporting documents of a qualified bidder must be submitted to DTI Camiguin Provincial Office in sealed envelope marked as Negosyo Center Starter Kits </t>
  </si>
  <si>
    <t xml:space="preserve"> NOTE: BUDGET AMOUNT IS INCLUSIVE OF VAT</t>
  </si>
  <si>
    <t xml:space="preserve"> Schedule of Activities:</t>
  </si>
  <si>
    <t xml:space="preserve"> 667	persons		Life Insurance</t>
  </si>
  <si>
    <t xml:space="preserve"> Pre-bid conference will be on June 26, 2020, 2:00 pm at MPDO, Municipal Hall, Sibulan, Negros Oriental and Opening of bids will be on July 8, 2020, 2:00 pm at the same venue.</t>
  </si>
  <si>
    <t xml:space="preserve"> to view the Bidding Documents Click: </t>
  </si>
  <si>
    <t xml:space="preserve"> Activities	Schedule</t>
  </si>
  <si>
    <t xml:space="preserve"> - 70 Mbps or higher</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</si>
  <si>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</si>
  <si>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BAC ACTIVITIES AND SCHEDULE</t>
  </si>
  <si>
    <t xml:space="preserve"> You may email publicbidding.dohchd5@gmail.com, for a copy of the bidding documents</t>
  </si>
  <si>
    <t xml:space="preserve"> to view the bidding documents, please click</t>
  </si>
  <si>
    <t xml:space="preserve"> https://drive.google.com/file/d/15WgbD9r9mGknLYKA88Cqrr7KRkx74-5f/view?usp=drivesdk</t>
  </si>
  <si>
    <t xml:space="preserve"> PLS SEE ATTACHED TOR (PR#S1-MRN20-018)</t>
  </si>
  <si>
    <t xml:space="preserve"> to view the bidding documents please click</t>
  </si>
  <si>
    <t xml:space="preserve"> Cost of Bid Docs: Php 1,000.00</t>
  </si>
  <si>
    <t xml:space="preserve"> PLS SEE ATTACHED TOR (PR#S1-MRW20-013)</t>
  </si>
  <si>
    <t xml:space="preserve"> Please download RFQ in the associated components</t>
  </si>
  <si>
    <t xml:space="preserve"> To View The Bidding document, pleas Click</t>
  </si>
  <si>
    <t xml:space="preserve"> letter of intent - June 26, 2020</t>
  </si>
  <si>
    <t xml:space="preserve"> LOI - 6/26/2020</t>
  </si>
  <si>
    <t xml:space="preserve"> Bid Documents are available at the Office of the Punong Barangay</t>
  </si>
  <si>
    <t xml:space="preserve"> To View The Bidding DOcument Please Click</t>
  </si>
  <si>
    <t xml:space="preserve"> PLEASE SUBMIT SEALED QUOTATION</t>
  </si>
  <si>
    <t xml:space="preserve"> FOR OTHER INFORMATION PLEASE CONTACT</t>
  </si>
  <si>
    <t xml:space="preserve"> Issuance of Bidding Documents starts June 19, 2020 until 1:00 PM of July 10, 2020</t>
  </si>
  <si>
    <t xml:space="preserve"> To view the bidding documents click: https://drive.google.com/file/d/1oGT9VScQB4wVly4poJVwMWQddbLdN8KE/view?usp=drivesdk</t>
  </si>
  <si>
    <t xml:space="preserve"> https://drive.google.com/file/d/1zTdqxupiH63cVNV_5BTCO7IqxFXlWdfS/view?usp=drivesdk</t>
  </si>
  <si>
    <t xml:space="preserve"> PLS SEE ATTACHED TOR (PR#S1-MRW20-022)</t>
  </si>
  <si>
    <t xml:space="preserve"> BID DOCS</t>
  </si>
  <si>
    <t xml:space="preserve"> PLS SEE ATTACHED TOR (PR#S1-CAT20-024)</t>
  </si>
  <si>
    <t xml:space="preserve"> 240 pcs Students Chair, Plastic finish with Tablet and Tray</t>
  </si>
  <si>
    <t xml:space="preserve"> 6 units Digital Display interface - 55" smart tv with full hd display, wall bracket, including installation</t>
  </si>
  <si>
    <t xml:space="preserve"> https://drive.google.com/file/d/16AY2o7TWjfIcU9vEGpM2sP6ThdGFUtnO/view?usp=drivesdk</t>
  </si>
  <si>
    <t xml:space="preserve"> PLS SEE ATTACHED TOR (PR#S1-RDP20-015)</t>
  </si>
  <si>
    <t xml:space="preserve"> - Core i5 7th Gen. 7400</t>
  </si>
  <si>
    <t xml:space="preserve"> Issuance of Bidding Documents starts June 19, 2020 until 1:00 PM of July 10,2020</t>
  </si>
  <si>
    <t xml:space="preserve"> Contact 09460493915</t>
  </si>
  <si>
    <t xml:space="preserve"> PLS SEE ATTACHED TOR (PR#S1-MRN20-004)</t>
  </si>
  <si>
    <t xml:space="preserve"> Please attached RFQ for more details.</t>
  </si>
  <si>
    <t xml:space="preserve"> The schedule of opening of bid will be on June 29, 2020 at exactly 3:00 o'clock in the afternoon at the Office of the BAC Chairman c/o Municipal Budget Office, Dauis, Bohol.</t>
  </si>
  <si>
    <t xml:space="preserve"> PLS SEE ATATCHED TOR ( PR#S1-RDP20-003)</t>
  </si>
  <si>
    <t xml:space="preserve"> Subject to the submission of the following requirements:</t>
  </si>
  <si>
    <t xml:space="preserve"> CONTACT 09460493915</t>
  </si>
  <si>
    <t xml:space="preserve"> Bid Documents are available at the office of the Punong Barangay</t>
  </si>
  <si>
    <t xml:space="preserve"> IP-PBX System</t>
  </si>
  <si>
    <t xml:space="preserve"> https://drive.google.com/file/d/1CKHVB8l5t6ToHsV3vU0q9A6Ly_XyVa-Z/view?usp=drivesdk</t>
  </si>
  <si>
    <t xml:space="preserve"> https://drive.google.com/file/d/1cxQq67r4NP-pZZP6-OveA_8yCW2vFu1p/view?usp=drivesdk</t>
  </si>
  <si>
    <t xml:space="preserve"> PLS SEE ATTACHED TOR (PR#S1-VDP20-016)</t>
  </si>
  <si>
    <t xml:space="preserve"> PLS SEE ATTACHED TOR (PR#S1-BRS20-017)</t>
  </si>
  <si>
    <t xml:space="preserve"> For More Info. Please Contact</t>
  </si>
  <si>
    <t xml:space="preserve"> Scope of Works:</t>
  </si>
  <si>
    <t xml:space="preserve"> 20CSCE003 - CONSULTING SERVICES FOR THE CONDUCT OF SOIL/GEOTECHNICAL INVESTIGATION FOR THE PROPOSED WIDENING OF PERMANENT BRIDGES WITHIN THE 1st  AND 2nd LEGISLATIVE DISTRICT OF NUEVA ECIJA</t>
  </si>
  <si>
    <t xml:space="preserve"> CONTANT 09460493915</t>
  </si>
  <si>
    <t xml:space="preserve"> Also available in DPWH Website</t>
  </si>
  <si>
    <t xml:space="preserve"> Note: Kindly submit your updated PhilGEPS documents, Tax Clearance, Mayor’s permit, SEC Certificate/DTI permit, and brochures if any.</t>
  </si>
  <si>
    <t xml:space="preserve"> To view the bidding document, please click </t>
  </si>
  <si>
    <t xml:space="preserve"> https://drive.google.com/file/d/1voToBdmMNtiUrQpSqwnFkcnagrGiS1PE/view?usp=drivesdk</t>
  </si>
  <si>
    <t xml:space="preserve"> 1.)	50	sacks	Rice</t>
  </si>
  <si>
    <t xml:space="preserve"> Please see attached RFQ No. 20-0563 NP-SVP for complete list/description of Items.</t>
  </si>
  <si>
    <t xml:space="preserve"> To view the bidding document, please click https://drive.google.com/file/d/1peBoCUM9Li8pqHCHdLWoJBuXucZEFG6Z/view?usp=drivesdk</t>
  </si>
  <si>
    <t xml:space="preserve"> at brgy Bato I, Maasin City, Southern Leyte</t>
  </si>
  <si>
    <t xml:space="preserve"> Deadline of submission is on or before June 29,2020 @ 1:00 pm</t>
  </si>
  <si>
    <t xml:space="preserve"> at brgy Nonok Norte, Maasin City, Southern Leyte</t>
  </si>
  <si>
    <t xml:space="preserve"> THE CHAIRMAN</t>
  </si>
  <si>
    <t xml:space="preserve"> Deadline for submission 2pm June 26, 2020.</t>
  </si>
  <si>
    <t xml:space="preserve"> 7300 tank Medical Oxygen, 50lbs.</t>
  </si>
  <si>
    <t xml:space="preserve"> 1.) 2 units PORTABLE LAPTOP</t>
  </si>
  <si>
    <t xml:space="preserve"> at brgy Sta. Cruz, Maasin City, Southern Leyte</t>
  </si>
  <si>
    <t xml:space="preserve"> PLS SEE ATTACHED TOR (S1-BHP20-013)</t>
  </si>
  <si>
    <t xml:space="preserve"> https://drive.google.com/file/d/1j91SFdQHtebmWXUCcdZU_txECvXHy_aZ/view?usp=drivesdk</t>
  </si>
  <si>
    <t xml:space="preserve"> PLS SEE ATTACHED TOR (PR#S1-BHP20-018)</t>
  </si>
  <si>
    <t xml:space="preserve"> at brgy Mambajao, Maasin City, Southern Leyte</t>
  </si>
  <si>
    <t xml:space="preserve"> at DANAO, brgy Malapoc Norte, Maasin City, Southern Leyte</t>
  </si>
  <si>
    <t xml:space="preserve"> Please see attached bidding document in associated component</t>
  </si>
  <si>
    <t xml:space="preserve"> at brgy Tam-is (Upper), Maasin City, Southern Leyte</t>
  </si>
  <si>
    <t xml:space="preserve"> ITB</t>
  </si>
  <si>
    <t xml:space="preserve"> at brgy Tunga-tunga, Maasin City, Southern Leyte</t>
  </si>
  <si>
    <t xml:space="preserve"> Venue: Barangay Hall. Cabangcalan, Aroroy, Masbate</t>
  </si>
  <si>
    <t xml:space="preserve"> Deadline of submission is on or before June  29,2020 @ 1:00pm</t>
  </si>
  <si>
    <t xml:space="preserve"> PLS SEE ATTACHED TOR (PR#S1-TDP20-012)</t>
  </si>
  <si>
    <t xml:space="preserve"> PLS SEE ATTACHED TOR (PR#S1-TDP20-026)</t>
  </si>
  <si>
    <t xml:space="preserve"> https://drive.google.com/file/d/1odri7x4MrX46g7qm1mOXqqYu4UIRF9jG/view?usp=drivesdk</t>
  </si>
  <si>
    <t xml:space="preserve"> quotation shall be submitted via email (lbphobac@mail.landbank.com) not later than July 8,2020, 3:00PM</t>
  </si>
  <si>
    <t xml:space="preserve"> PLS SEE ATTACHED TOR (PR#S1-CAT20-025)</t>
  </si>
  <si>
    <t xml:space="preserve"> CHECKLIST FOR BIDDING OF GOODS</t>
  </si>
  <si>
    <t xml:space="preserve"> at brgy Tam-is (Lower), Maasin City, Southern Leyte</t>
  </si>
  <si>
    <t xml:space="preserve"> PLS SEE ATTACHED TOR (PR#S1-TDP20-027)</t>
  </si>
  <si>
    <t xml:space="preserve"> Please Download the Associated Components</t>
  </si>
  <si>
    <t xml:space="preserve"> Bid Documents</t>
  </si>
  <si>
    <t xml:space="preserve"> PLS SEE ATTACHED TOR (PR#S1-BAT20-005)</t>
  </si>
  <si>
    <t xml:space="preserve"> For further information, please contact MS. JOCELYN A. FERNANDO, MPMG, Executive Officer, Procurement Management Section, at 523-8231 local 5481, National Bureau of Investigation, Taft Avenue, Ermita, Manila.</t>
  </si>
  <si>
    <t xml:space="preserve"> TERMS &amp; CONDITIONS:</t>
  </si>
  <si>
    <t xml:space="preserve"> delivered at project site</t>
  </si>
  <si>
    <t xml:space="preserve"> Deadline for submission 2pm, June 26, 2020.</t>
  </si>
  <si>
    <t xml:space="preserve"> please call the principal at 09156238041</t>
  </si>
  <si>
    <t xml:space="preserve"> OPENING OF BIDS WILL BE ON JUNE 26, 2020, 10:00 AM AT BARANGAY HALL OF MAGATAS, SIBULAN, NEGROS ORIENTAL</t>
  </si>
  <si>
    <t xml:space="preserve"> Please contact:</t>
  </si>
  <si>
    <t xml:space="preserve"> SOURCE OF FUND: 20% Municipal Development Fund (MDF) CY 2020</t>
  </si>
  <si>
    <t xml:space="preserve"> The BAC is conducting the public bidding for this Contract in accordance with RA 9184 and its Implementing Rules and Regulations (IRR).</t>
  </si>
  <si>
    <t xml:space="preserve"> For more information, please see or contact the BAC Members of Brgy. Salvacion, Magallanes, Sorsogon.</t>
  </si>
  <si>
    <t xml:space="preserve"> For more information pls. visit/call BAC Secretariat @ LGU POLANCO, Polanco, Z.N.</t>
  </si>
  <si>
    <t xml:space="preserve"> https://drive.google.com/file/d/1KEWNLhVcB0gi4DGQtL3_FxGJyQGmYzoz/view?usp=drivesdk</t>
  </si>
  <si>
    <t xml:space="preserve"> ITB20-06-026B</t>
  </si>
  <si>
    <t xml:space="preserve"> WITH LABOR REQUIREMENT:</t>
  </si>
  <si>
    <t xml:space="preserve"> ITB20-06-026A</t>
  </si>
  <si>
    <t xml:space="preserve"> THE SUPPLIER MUST DOWNLOAD THE ATTACHED DOCUMENTS IN THE ASSOCIATED COMPONENTS.</t>
  </si>
  <si>
    <t xml:space="preserve"> PLS SEE ATTACHED TOR (PR#S1-BRS20-18)</t>
  </si>
  <si>
    <t xml:space="preserve"> https://drive.google.com/file/d/1q_H3Gby0V2RhQMCPg6VML7gZjXibwc7h/view?usp=drivesdk</t>
  </si>
  <si>
    <t xml:space="preserve"> RFQ FORMS AVAILABLE AT BAC SECRETARIAT.</t>
  </si>
  <si>
    <t xml:space="preserve"> https://drive.google.com/file/d/1W4I-xRSFGBBR1xVfWoSWemkd-ktbO9kk/view?usp=drivesdk</t>
  </si>
  <si>
    <t xml:space="preserve"> uploaded docs are also available in DPWH website</t>
  </si>
  <si>
    <t xml:space="preserve"> You may fax or email your quotation with delivery, validity, payment, brochure with complete technical specifications at 8840-1619 or email at rcbartolome@pnoc-ec.com.ph on or before June 25, 2020. PNOC EC prefers a 30-days payment terms ARPO or upon delivery. PNOC EC reserves the right to accept or reject any bid, to annul the bidding process, and to reject all bids at any time prior to contract award, without thereby incurring any liability to the affected bidder or bidders. For inquiries, call us at 8479-9413</t>
  </si>
  <si>
    <t xml:space="preserve"> https://drive.google.com/file/d/14X7lI0lhEXQgWx6ObnrjILgs4fA7guIs/view?usp=drivesdk</t>
  </si>
  <si>
    <t xml:space="preserve"> https://drive.google.com/file/d/1h9J8A7fULSmscmKIXodtbthUk_fjRK4c/view?usp=drivesdk</t>
  </si>
  <si>
    <t xml:space="preserve"> Bidders must download the attached document in the associated component.</t>
  </si>
  <si>
    <t xml:space="preserve"> The PRO 7 BAC will issue a complete set of Bidding Documents upon payment in cash of a non-refundable amount of Five Thousand Pesos (₱ 5,000.00) for the project with ABC of 1M-5M.Prospective Bidders may obtain further information at the PRO 7-BAC Secretariat, PRO 7, Camp Sergio Osmeña Sr., Cebu City at telephone numbers (032) 255-0364 Look for PSSg Ryan D Delos Reyes.</t>
  </si>
  <si>
    <t xml:space="preserve"> https://drive.google.com/file/d/1mnGRVBqsCwu69iqhrTZkVvKPCHGe6umI/view?usp=drivesdk</t>
  </si>
  <si>
    <t xml:space="preserve"> Brand names of all items must be indicated in the bid.</t>
  </si>
  <si>
    <t xml:space="preserve"> Pre-bid Conference is open to all interested bidders.</t>
  </si>
  <si>
    <t xml:space="preserve"> https://drive.google.com/file/d/1DP8ZT1jk-xQ918ghkEoEwKIz0tjgTaop/view?usp=drivesdk</t>
  </si>
  <si>
    <t xml:space="preserve"> https://drive.google.com/file/d/1dPrTzrctwxSNnncodJ5g2kQ3g1vsspPX/view?usp=drivesdk</t>
  </si>
  <si>
    <t xml:space="preserve"> https://drive.google.com/file/d/1vCgALvJYyOicDj3sbjGk2KcJxnTrYnMT/view?usp=drivesdk</t>
  </si>
  <si>
    <t xml:space="preserve"> PLS SEE ATTACHED TOR (PR#S1-VDP20-015)</t>
  </si>
  <si>
    <t xml:space="preserve"> This ROAD CONCRETING AT CONCEPCION COMPOUND, SANTIAGO &amp; STO. NINO contract has already been awarded to ALEA CONSTRUCTION CORPORATION last Ocotber 30, 2019, and this is just for re-posting due to the error of previous posting date that went past the required Philgeps closing date.</t>
  </si>
  <si>
    <t xml:space="preserve"> a.	Concreting/Reblocking of San Juan Bag-o-Abad Santos-	    900,000.00</t>
  </si>
  <si>
    <t xml:space="preserve"> Project Description	: Construction</t>
  </si>
  <si>
    <t xml:space="preserve"> Date of posting - June 19-26, 2020</t>
  </si>
  <si>
    <t xml:space="preserve"> Bid Opening: July 10, 2020, 10:00 AM.</t>
  </si>
  <si>
    <t xml:space="preserve"> Bid Opening: July 10, 2020, 9:00 AM.</t>
  </si>
  <si>
    <t xml:space="preserve"> Item	Qty	Unit of 	Item Description 	</t>
  </si>
  <si>
    <t xml:space="preserve"> Please see attached Bidding Document</t>
  </si>
  <si>
    <t xml:space="preserve"> Bid Opening: July 10, 2020, 9:30 AM.</t>
  </si>
  <si>
    <t xml:space="preserve"> a.	Improvt. of Donsol District Hospital Grounds (Landscaping)	650,000.00</t>
  </si>
  <si>
    <t xml:space="preserve"> The Above-listed documents can de downloaded at the DPWH website: </t>
  </si>
  <si>
    <t xml:space="preserve"> https://drive.google.com/file/d/1rHg6FtN0-1gHfvlM0Ot_fvEXowBB1L2V/view?usp=drivesdk</t>
  </si>
  <si>
    <t xml:space="preserve"> https://drive.google.com/file/d/1Ox6mvNhx1iSHjzo41uE6JJSG4-kWU1fG/view?usp=drivesdk</t>
  </si>
  <si>
    <t xml:space="preserve"> https://drive.google.com/file/d/1SrbwW01uP9bs883N2cQFVoZ0B6heu-Vq/view?usp=drivesdk</t>
  </si>
  <si>
    <t xml:space="preserve"> https://drive.google.com/file/d/12MT4Ip2zgbzqaVw4FVTHvRBwkfzHn99e/view?usp=drive</t>
  </si>
  <si>
    <t xml:space="preserve"> https://drive.google.com/file/d/1l79UWnM2Qd1Gbw1HJVK-JMsMRS0T-0LZ/view?usp=drivesdk</t>
  </si>
  <si>
    <t xml:space="preserve"> https://drive.google.com/file/d/1DaXYiRYxxbsVV1sXeigghCc4IlvtFkRE/view?usp=drivesdk</t>
  </si>
  <si>
    <t xml:space="preserve"> You may see the MDRRMO, Municipality of Caibiran</t>
  </si>
  <si>
    <t xml:space="preserve"> https://drive.google.com/file/d/1FaRR5ejn1BJQPCkP9WprUv6FJ4vqZvA-/view?usp=drivesdk</t>
  </si>
  <si>
    <t xml:space="preserve"> 20CSCE004 - CONSULTING SERVICES FOR a.) PARCELLARY SURVEY b.) DETAILED ENGINEERING SURVEY c.) MONUMENTING d.) RESEARCH WORKS for the CONSTRUCTION OF SAN ROQUE-MATURANOC ROAD GUIMBA BY-PASS, NUEVA ECIJA 1st LEGISLATIVE DISTRICT</t>
  </si>
  <si>
    <t xml:space="preserve"> Pre bid conference will be on June 25, 2020 and competitive bidding is on July 7, 2020</t>
  </si>
  <si>
    <t xml:space="preserve"> pre-bid conference will be on June 25, 2020 &amp; competitive bidding is on July 7, 2020</t>
  </si>
  <si>
    <t xml:space="preserve"> please see attachment for more info.</t>
  </si>
  <si>
    <t xml:space="preserve"> ELIGIBILITY REQUIREMENTS:</t>
  </si>
  <si>
    <t xml:space="preserve"> Bureau of Fire Memorandum Circular 2020-016.</t>
  </si>
  <si>
    <t xml:space="preserve"> Pre-Bid conference will be on June 25, 2020 &amp; Competitive bidding is on July 7, 2020</t>
  </si>
  <si>
    <t xml:space="preserve"> Bids may be submitted/delivered to the address indicated below:  </t>
  </si>
  <si>
    <t xml:space="preserve"> Pre-bid conference will be on June 25, 2020 &amp; competitive bidding will be on July 7, 2020</t>
  </si>
  <si>
    <t xml:space="preserve"> for queries, you may email MS. NADIA ILETO at iletonadia25@gmail.com</t>
  </si>
  <si>
    <t xml:space="preserve"> Pre-Bid conference will be on June 25, 2020 and Competitive Bidding is on July 7, 2020</t>
  </si>
  <si>
    <t xml:space="preserve"> Pre-bid conference will be on June 25, 2020 &amp; Competitive Bidding is on July 7, 2020.</t>
  </si>
  <si>
    <t xml:space="preserve"> Pre-Bid conference will be on June 25, 2020 and Competitive Bidding will be on July 7, 2020</t>
  </si>
  <si>
    <t xml:space="preserve"> for queries, you may email MS. JAM FABELLA at jamfabella@gmail.com</t>
  </si>
  <si>
    <t xml:space="preserve"> Please refer attached documents.</t>
  </si>
  <si>
    <t xml:space="preserve"> ITEM NO.	ITEM &amp; DESCRIPTION	UNIT	QTY</t>
  </si>
  <si>
    <t xml:space="preserve"> for queries, you may email MS. ANJ EMETERIO at mqemeterio@gmail.com</t>
  </si>
  <si>
    <t xml:space="preserve"> for queries, you may email MR. RUEL MARCA at ruelmarca@yahoo.com</t>
  </si>
  <si>
    <t xml:space="preserve"> 1. Pre-Bid Conference: June 29, 2020, 2:00PM at the Municipal Conference Hall, Galimuyod, Ilocos Sur</t>
  </si>
  <si>
    <t xml:space="preserve"> Please see the BAC for further clarification &amp; further information</t>
  </si>
  <si>
    <t xml:space="preserve"> Please see the BAC For some clarifications and further informations.</t>
  </si>
  <si>
    <t xml:space="preserve"> https://drive.google.com/file/d/1Owhv0OZct8pX33hCp_Y88_8AULI1J1C4/view?usp=drivesdk</t>
  </si>
  <si>
    <t xml:space="preserve"> Please see attached documents for other information</t>
  </si>
  <si>
    <t xml:space="preserve"> ARPA-RADAR Simulator  (Full Mission Ship Bridge Simulator) with complete accessories (1 Instructor Station and 6 Students Station) including installation and training orientation.</t>
  </si>
  <si>
    <t xml:space="preserve"> https://drive.google.com/file/d/1MHcVeihWdIDOI4jf8MZYDflF1PLGBRhy/view?usp=drivesdk</t>
  </si>
  <si>
    <t xml:space="preserve"> To ensure the functionality of the SK Council for the continuous delivery of service on youth development and to conduct regular meeting and special meetings of SK Council members.</t>
  </si>
  <si>
    <t xml:space="preserve"> opening of Bids: July 08, 2020 at 2:00 pm. at BAC office, Dap-ay di Tubo, Poblacion, Tubo, Abra</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</si>
  <si>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</si>
  <si>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https://drive.google.com/file/d/1m3gKWhy_4l3BWBpYAvFVSWCP0fJ8UNaM/view?usp=drivesdk</t>
  </si>
  <si>
    <t xml:space="preserve"> 1.	Bidders should have completed a contract similar to the Project. The description of an eligible bidder is contained in the Bidding Documents, particularly, in Section 2. Instructions to Bidders.</t>
  </si>
  <si>
    <t xml:space="preserve"> https://drive.google.com/file/d/10rDbTbga7K7zUx_6Mb9RFyi4pMWQvfiA/view?usp=drivesdk</t>
  </si>
  <si>
    <t xml:space="preserve"> Please see personally the head of the BAC secretariat for the availability of the bid document upon payment of the non-refundable amount of P 5,000.00 to the cashierl</t>
  </si>
  <si>
    <t xml:space="preserve"> Please see personally the head of the BAC Secretariat for the availability of the bid document upon payment of the non-refundable amount of P 5,000.00 to the cashier.</t>
  </si>
  <si>
    <t xml:space="preserve"> BIDDERS MUST BE FROM THE PROVINCE OF ZAMBOANGA DEL NORTE ONLY AND MUST HAVE A PHYSICAL OFFICE WITHIN THE MENTIONED PROVINCE.</t>
  </si>
  <si>
    <t xml:space="preserve"> A complete set of Bidding Documents may be acquired by interested bidders on JUNE 18, 2020 to JULY 7,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</si>
  <si>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To view the Bidding Document pls click https://drive.google.com/file/d/1Zut-DwBX48jyPtzFyErCC24GIK3TBwl1/view?usp=drivesdk</t>
  </si>
  <si>
    <t xml:space="preserve"> Issuance of Bid Documents: June 22-July 2, 2020</t>
  </si>
  <si>
    <t xml:space="preserve"> to view to bidding documents please click</t>
  </si>
  <si>
    <t xml:space="preserve"> BIDDERS MUST FROM PROVINCE OF ZAMBOANGA DEL NORTE ONLY AND MUST HAVE A PHYSICAL OFFICE WITHIN THE MENTIONED PROVINCE</t>
  </si>
  <si>
    <t xml:space="preserve"> To view the bidding document pls click: </t>
  </si>
  <si>
    <t xml:space="preserve"> To view the bidding document, please click https://drive.google.com/file/d/1LBKbjvkUWr4bnEh6xXKE5jPl5UziuzFd/view?usp=drivesdk</t>
  </si>
  <si>
    <t xml:space="preserve"> Bid documents are available at Lamesa Barangay Hall</t>
  </si>
  <si>
    <t xml:space="preserve"> The place of bid opening is MUNICIPAL HALL, LOS BANOS, LAGUNA</t>
  </si>
  <si>
    <t xml:space="preserve"> You may see the Brgy. Chairman of Brgy. Maurang, Municipality of Caibiran</t>
  </si>
  <si>
    <t xml:space="preserve"> BIDDERS MUST BE FROM THE PROVINCE OF ZAMBOANGA DEL NORTE ONLY AND HAS A PHYSICAL ADDRESS WITHIN THE MENTIONED PROVINCE.</t>
  </si>
  <si>
    <t xml:space="preserve"> Cost of Bid Documents: Php1,000.00</t>
  </si>
  <si>
    <t xml:space="preserve"> Bid opening shall be on July 6, 2020; 09:30 A.M at the Conference Room,  Office of the Mayor, 2/f building, Municipal Compound, Brgy. Poblacion, Calintaan, Occ. Mindoro.</t>
  </si>
  <si>
    <t xml:space="preserve"> Cost of Bid Documents: Php5,000.00</t>
  </si>
  <si>
    <t xml:space="preserve"> Please include the brand and model upon submission of quotation.</t>
  </si>
  <si>
    <t xml:space="preserve"> To view the bidding document, please click https://drive.google.com/file/d/1GUEBzrumEurgLCVf3y5k_aqzs2d_p-OC/view?usp=drivesdk</t>
  </si>
  <si>
    <t xml:space="preserve"> Delivery Point: Plantsite / Pandami DPP, Sulu Province</t>
  </si>
  <si>
    <t xml:space="preserve"> You may see the Supplier Officer, Municipality of Caibiran</t>
  </si>
  <si>
    <t xml:space="preserve"> BAC Secretariat</t>
  </si>
  <si>
    <t xml:space="preserve"> Annex "A"</t>
  </si>
  <si>
    <t xml:space="preserve"> Reference: PR No: 20-06-001</t>
  </si>
  <si>
    <t xml:space="preserve"> Submit LOI</t>
  </si>
  <si>
    <t xml:space="preserve"> Delivery Point: Plantsite / Languyan DPP,  Tawi-Tawi Province</t>
  </si>
  <si>
    <t xml:space="preserve"> please Download the complete bidding documents using the links below</t>
  </si>
  <si>
    <t xml:space="preserve"> Reference: PR No: 20-06-002</t>
  </si>
  <si>
    <t xml:space="preserve"> To view the bidding document, please click https://drive.google.com/file/d/1O-UHBuo7KJpm6HV8C7ZApe_kJklE1eBI/view?usp=drivesdk</t>
  </si>
  <si>
    <t xml:space="preserve"> SOURCE OF FUND: AB-2020.</t>
  </si>
  <si>
    <t xml:space="preserve"> To view the bidding document, please click https://drive.google.com/file/d/1WU5Pxp6xjJKS4xN4tDT9sE_0UfEpgNBx/view?usp=drivesdk</t>
  </si>
  <si>
    <t xml:space="preserve"> https://drive.google.com/file/d/1ji6BK00bwU68tOJoVrFeINcTKGM9wifO/view?usp=drivesdk</t>
  </si>
  <si>
    <t xml:space="preserve"> To view the bidding documents, please click https://drive.google.com/file/d/1aZNVflVAjiJ7Clt5s0hG5e-3tuWoHSm-/view?usp=drivesdk</t>
  </si>
  <si>
    <t xml:space="preserve"> Please download ITB and bidding documents in the associated component</t>
  </si>
  <si>
    <t xml:space="preserve"> to View the Bidding Documents Pls. Click: </t>
  </si>
  <si>
    <t xml:space="preserve"> The Works consists of Concreting of 1647.01m long x 6.10m wide x 0.23m thick PCCP provincial road; provision of 106l.m. ø910mm RCPC, 163.75 l.m. stone masonry headwall and protection structure, 39.10 l.m. stone msonry catch basin’ and provision of metal guardrail, Danger/Warning Signs, Chevron Signs, and Reflectorized Thermoplastic Pavement Markings (White and Yellow).</t>
  </si>
  <si>
    <t xml:space="preserve"> https://drive.google.com/file/d/1WX0rGrMs6L_0AYwyVyc1PP4b0u8RVgCG/view?usp=drivesdk</t>
  </si>
  <si>
    <t xml:space="preserve"> contact the BAC Chairman, Engr. Noel Salvatierra</t>
  </si>
  <si>
    <t xml:space="preserve"> https://drive.google.com/file/d/1bjMD36nkIXPX5tG4jcUmhFEbigaxk89e/view?usp=drivesdk</t>
  </si>
  <si>
    <t xml:space="preserve"> 1.)	100	neb	 Erceflora neb 10s </t>
  </si>
  <si>
    <t xml:space="preserve"> For the copy of ITB please follow this link; </t>
  </si>
  <si>
    <t xml:space="preserve"> The Works consists of Concreting of 1951.08 meter long x 6.10m wide x 0.23 m thick Plain PCCP provincial Road; provision of 2025.93l.m. stone masonry slope protection structure, 18l.m. stone masonry headwall, and 29pcs. 910mm RCPC; provision of Danger/Warning Signs, Chevron Signs, and Reflectorized Thermoplastic Pavement Markings (White).</t>
  </si>
  <si>
    <t xml:space="preserve"> The Works consists of Concreting of 95.45m long x 6.10m wide x 0.20m thk plain PCCP, 82.7.00m long x 5.00m wide x 0.20m thk plain PCCP, 36.30m long x 1.05m wide concrete road expansion at both existing PCCP and 131.75l.m. curb &amp; gutter.</t>
  </si>
  <si>
    <t xml:space="preserve"> For the copy of ITB, please follow this link: </t>
  </si>
  <si>
    <t xml:space="preserve"> 1.)	40	bd.ft	Coco lumber 2x2x12 50 pcs</t>
  </si>
  <si>
    <t xml:space="preserve"> https://drive.google.com/file/d/1mW_j0TXEbOFxvU2gAPkGvSXnc_5LhjjB/view?usp=drivesdk</t>
  </si>
  <si>
    <t xml:space="preserve"> 1.)	900	pcs	Plain NSS 1L</t>
  </si>
  <si>
    <t xml:space="preserve"> For interested suppliers, please also submit Mayor's/Business Permit and PhilGEPS Registration Number along with the accomplished RFQ. </t>
  </si>
  <si>
    <t xml:space="preserve"> &gt; 1 Lot PUBLICATION OF APPROVED PROVINCIAL ORDINANCE</t>
  </si>
  <si>
    <t xml:space="preserve"> The Works consists of Concreting of 257.20m long x 6.10m wide x 0.20m thk provincial road; provision of 186.00l.m. (244.67cu.m.) stone masonry slope protection structure.</t>
  </si>
  <si>
    <t xml:space="preserve"> 1.	Bidders should have completed, within 2 years from the date of submission and receipt of bids, a contract similar to the Project. The description of an eligible bidder is contained in the Bidding Documents, particularly, in Section II. Instructions to Bidders.</t>
  </si>
  <si>
    <t xml:space="preserve"> https://drive.google.com/file/d/1kuEiSQzsfl-lNaYOqc1whGLejNRba09B/view?usp=drivesdk</t>
  </si>
  <si>
    <t xml:space="preserve"> The Works consists of Provision of 42 pcs ø910mm RCPC with 24.0 l.m. (24.33cu.m.) stone masonry headwall, 44.0 l.m. (66.55cu.m.) stone masonry protection structure, 3.0m wide x 11.0 m long x 0.40m thk (21.69cu.m.) apron with buffle and sidewall, conscreting of 41.00m. long x 6.10m wide x 0.20m thk plain PCCP and concreting of 34.00m. long x 6.10m. wide x 0.20thk Plain PCCP and concreting of 34.00 m. long x 6.10 m. wide x 0.20m thk Reinforced PCCP overflow bridge.</t>
  </si>
  <si>
    <t xml:space="preserve"> FOR BID DOCS:</t>
  </si>
  <si>
    <t xml:space="preserve"> 1.)	53.33	bd.ft	16 pcs 2x2x10 Coco lumber</t>
  </si>
  <si>
    <t xml:space="preserve"> Reference: PR No: 20-06-009</t>
  </si>
  <si>
    <t xml:space="preserve"> 1.  Issuance of Bid Documents	June 18, 2020	</t>
  </si>
  <si>
    <t xml:space="preserve"> Bidding requirements/bid forms may be obtained, beginning June 22, 2020 from C.A. General Service upon payment of a non-refundable fee of P5,000.00.  Interested parties may get in touch with Ms. Weng Mirhan, BAC Secretariat at telephone no. 8834-2708.</t>
  </si>
  <si>
    <t xml:space="preserve"> Please see Associated Component attached.</t>
  </si>
  <si>
    <t xml:space="preserve"> https://drive.google.com/file/d/1UwNvNB9bvxymZunlw81mZeHxzBoRatDE/view?usp=drivesdk</t>
  </si>
  <si>
    <t xml:space="preserve"> BIDDING DOCUMENTS AVAILABLE AT ENGINEERING'S OFFICE, SAN AGUSTIN, SAN SIMON, PAMPANGA</t>
  </si>
  <si>
    <t xml:space="preserve"> BAC Schedule of Activity:</t>
  </si>
  <si>
    <t xml:space="preserve"> The Schedule of BAC activities are as follows:						</t>
  </si>
  <si>
    <t xml:space="preserve"> Bid Docs available at BAC Office</t>
  </si>
  <si>
    <t xml:space="preserve"> FOR 2ND BIDDING</t>
  </si>
  <si>
    <t xml:space="preserve"> https://drive.google.com/file/d/1UlHwZ0XsF4TQn4Abcxavj1yOBspRSAxx/view?usp=drivesdk</t>
  </si>
  <si>
    <t xml:space="preserve"> https://drive.google.com/file/d/1TI7xzX1JEZd6rSGcXKjFn85iQodmVX-M/view?usp=drivesdk</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</si>
  <si>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</si>
  <si>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Availability of Bid Documents: June 18 - July 07, 2020; 8:00 AM-5:00 PM; Monday through Friday</t>
  </si>
  <si>
    <t xml:space="preserve"> https://drive.google.com/file/d/1_uVjaI6Uigv69agJx_0FaBSRS-445oSi/view?usp=drivesdk</t>
  </si>
  <si>
    <t xml:space="preserve"> https://drive.google.com/file/d/19qdWZw_mVuzsK32QmjjezP75qHb4-tM2/view?usp=drivesdk</t>
  </si>
  <si>
    <t xml:space="preserve"> Bid Opening is on July 7, 2020 at the Mun. Session Hall, Mun. Bldg., Pagsanghan, Samar</t>
  </si>
  <si>
    <t xml:space="preserve"> Bid Documents and Plans are also downloadable in the DPWH Website</t>
  </si>
  <si>
    <t xml:space="preserve"> Opening of bids shall be done 48-hours after the deadline of submission of bid or on JUNE 29, 2020 (MONDAY), 2:00 p.m. at the BAC/Budget Office, 3rd Floor, Municipal Building, Brgy. Timugan, Los Baños, Laguna. This is as per BAC Resolution No. 2020-025 dated 27th of May 2020 with the subject Re: Resolution Implementing Safety Measures during BAC Meetings including Online Bid Submission, Videoconferencing and other Procurement Procedures Relative to the Control and Prevention of Corona Virus Disease 2019 (COVID-19). (Note: June 27, 2020 falls on a Saturday).</t>
  </si>
  <si>
    <t xml:space="preserve"> Bidders are required to read the instructions:</t>
  </si>
  <si>
    <t xml:space="preserve"> "To be used for Various Maintenance Activities &amp; Traffic Safety Along Various National Roads &amp; Bridges within Rizal I </t>
  </si>
  <si>
    <t xml:space="preserve"> https://drive.google.com/file/d/1cHjm0H2ViWRRLo8ebn60C5wgpuijfvY1/view?usp=drivesdk</t>
  </si>
  <si>
    <t xml:space="preserve"> https://drive.google.com/file/d/11SUCDecrZLlmcHphyFU-N4naRcEPYot7/view?usp=drivesdk</t>
  </si>
  <si>
    <t xml:space="preserve"> https://drive.google.com/file/d/1I0IgQ5KDIXKxFHOyomcQJ6YHxXhkAzPF/view?usp=drivesdk</t>
  </si>
  <si>
    <t xml:space="preserve"> https://drive.google.com/file/d/1H1KFpKxY4FMFw1CIoPYwbkZq4Zm2rN4e/view?usp=drivesdk</t>
  </si>
  <si>
    <t xml:space="preserve"> Please see attached E-file for further Information</t>
  </si>
  <si>
    <t xml:space="preserve"> 1.  Submission of Letter of Intent and Application of Eligibility					June 18, 2020	-	June 25, 2020</t>
  </si>
  <si>
    <t xml:space="preserve"> Bid documents shall be available for issuance at the PNOC-Procurement Management Division at the G/F of the PNOC Building from 9:00 AM – 3:00 PM.</t>
  </si>
  <si>
    <t xml:space="preserve"> https://drive.google.com/file/d/1LA2-1oTSX-fFKgKWZIhKHuxBb6BbKuz9/view?usp=drivesdk</t>
  </si>
  <si>
    <t xml:space="preserve"> https://drive.google.com/file/d/1ZMHGepnCHpQ87ZaJgc67pD4DGWliyHqG/view?usp=drivesdk</t>
  </si>
  <si>
    <t xml:space="preserve"> https://drive.google.com/file/d/1GRr_3D0_xvS0J3oxJu4wE6KMe_JJhrwU/view?usp=drivesdk</t>
  </si>
  <si>
    <t xml:space="preserve"> Bid Documents and Plans are also dwnloadable in the DPWH Website</t>
  </si>
  <si>
    <t xml:space="preserve"> https://drive.google.com/file/d/1QhYBGqOB3dkSY3J7iGOh01m1OwLtDCUV/view?usp=drivesdk</t>
  </si>
  <si>
    <t xml:space="preserve"> NNC to provide materials.</t>
  </si>
  <si>
    <t xml:space="preserve"> NNC to provide materials</t>
  </si>
  <si>
    <t xml:space="preserve"> Bidders must download the attached document in the associated components section.</t>
  </si>
  <si>
    <t xml:space="preserve"> Pre-Bid Conference: June 24, 2020 @ 2:00 PM</t>
  </si>
  <si>
    <t xml:space="preserve"> BID TENDER											</t>
  </si>
  <si>
    <t xml:space="preserve"> Stock	Unit	Item Description	Qty.</t>
  </si>
  <si>
    <t xml:space="preserve"> Unit	Item Description	Qty.</t>
  </si>
  <si>
    <t xml:space="preserve"> Contact Person: Jerry Donato</t>
  </si>
  <si>
    <t xml:space="preserve"> 1.BIDDERS ARE ADVISED TO DOWNLOAD ALL ASSOCIATED COMPONENTS FOR GUIDANCE AND REFERENCE.</t>
  </si>
  <si>
    <t xml:space="preserve"> ALL BIDDERS MUST BE FROM VISAYAS AND MINDANAO ONLY</t>
  </si>
  <si>
    <t xml:space="preserve"> Please download P.B.D. in the associated components.</t>
  </si>
  <si>
    <t xml:space="preserve"> The deadline of submission is on or before July 7, 2020 at 1:30 in the afternoon, 2nd floor, BAC Office, Municipal Hall of Don Carlos, Don Carlos, Bukidnon</t>
  </si>
  <si>
    <t xml:space="preserve"> The deadline of submission is on or before July 7, 2020 at 1:30 in the afternoon, 2nd floor, BAC Office, Municipal Hall of Don Carlos, Don Carlos, Bukidnon.</t>
  </si>
  <si>
    <t xml:space="preserve"> Qualified bidder/ supplier is required to attend the pre-bid conference as scheduled. Submit letter of intent and pre qualification documents on or before pre-bid conference. Location of bidder/ supplier is preferably within the Province of Capiz.</t>
  </si>
  <si>
    <t xml:space="preserve"> Please click the Associated Components for the Checklist of Requirements. Thank you.</t>
  </si>
  <si>
    <t xml:space="preserve"> BIDDERS MUST BE FROM VISAYAS AND MINDANAO</t>
  </si>
  <si>
    <t xml:space="preserve"> The BAC shall issue bidding documents upon payment of Five Hundred Pesos Only (Php500.00) to the disbursing/collecting officer of the LGU.</t>
  </si>
  <si>
    <t xml:space="preserve"> https://drive.google.com/file/d/1cemfxsAGbplPkPsEobeypofl4Sbn6khY/view?usp=drivesdk</t>
  </si>
  <si>
    <t xml:space="preserve"> 1	Diesoline	 30,260   Liters</t>
  </si>
  <si>
    <t xml:space="preserve"> BIDDERS MUST BE FROM VISAYAS AND MINDANAO ONLY.</t>
  </si>
  <si>
    <t xml:space="preserve"> You may see the Municipal Engineer, Municipality of Caibiran</t>
  </si>
  <si>
    <t xml:space="preserve"> ALL INTERESTED BIDDERS ARE REQUIRED TO SUBMIT THEIR COMPLETE ELIGIBILITY REQUIREMENTS TO THE BAC FOR EVALUATION DURING THE PRE-BID CONFERENCE ON JUNE 24, 2020 9:00A.M. AT THE BAC SECRETARIAT OFFICE, 2ND FLOOR, CITY HALL OF DASMARIÑAS, CAVITE. BIDDERS WHO SHALL FAIL TO ATTEND THE PRE-BID SHALL NOT BE ALLOWED TO JOIN THE BIDDING FOR THE AFORESAID PROJECT. </t>
  </si>
  <si>
    <t xml:space="preserve"> https://drive.google.com/file/d/1ZZhgeIl_tRI9WHqBAI5oq-nJxSksijEK/view?usp=drivesdk</t>
  </si>
  <si>
    <t xml:space="preserve"> https://drive.google.com/file/d/1RfLjM4sDXSh5o6IHig3dJbWbVVrgwuYK/view?usp=drivesdk</t>
  </si>
  <si>
    <t xml:space="preserve"> https://drive.google.com/file/d/1TEGzaCf6nexJW8ZYlBmHRlhcUBZso450/view?usp=drivesdk</t>
  </si>
  <si>
    <t xml:space="preserve"> BID DOCS PhP 5,000.00</t>
  </si>
  <si>
    <t xml:space="preserve"> Please DOWNLOAD attached file/s for Specifications.</t>
  </si>
  <si>
    <t xml:space="preserve"> Six(6) years warranty</t>
  </si>
  <si>
    <t xml:space="preserve"> You may see the PISO Manager. Municipality of Caibiran</t>
  </si>
  <si>
    <t xml:space="preserve"> quotation shall be submitted via email (lbphobac@mail.landbank.com) not later than June 24,2020, 3:00PM</t>
  </si>
  <si>
    <t xml:space="preserve"> Fund:164</t>
  </si>
  <si>
    <t xml:space="preserve"> Bid Docs Fee P/5,000.00 available at BAC Office</t>
  </si>
  <si>
    <t xml:space="preserve"> https://drive.google.com/file/d/1M6IadHoPvQXC7QFfZptV6v5wnW99TQa2/view?usp=drivesdk</t>
  </si>
  <si>
    <t xml:space="preserve"> Please refer to https://www.pnu.edu.ph/bidding-opportunities/ for the Drawings.</t>
  </si>
  <si>
    <t xml:space="preserve"> https://drive.google.com/file/d/1JSPYiZDYF70sQ798yb7DMcmpdBn3ncz_/view?usp=drivesdk</t>
  </si>
  <si>
    <t xml:space="preserve"> Tuklas Lunas-External</t>
  </si>
  <si>
    <t xml:space="preserve"> Pls. download bid documents @ https://drive.google.com/file/d/1v9vsnI7H5s6TrUpjGOct3NEA4pPsLpoj/view?usp=drivesdk</t>
  </si>
  <si>
    <t xml:space="preserve"> For more information you may visit/call BAC Secretariat @ LGU POLANCO, Polanco, Z. N.</t>
  </si>
  <si>
    <t xml:space="preserve"> Download Bidding Documents @ https://drive.google.com/file/d/1v9vsnI7H5s6TrUpjGOct3NEA4pPsLpoj/view?usp=drivesdk</t>
  </si>
  <si>
    <t xml:space="preserve"> see attached BQ (specifications) for details</t>
  </si>
  <si>
    <t xml:space="preserve"> Interested Bidders may secure bidding documents at the Bids and Awards Committee, Dapitan City Water District or may call 065-213-6406.</t>
  </si>
  <si>
    <t xml:space="preserve"> BID OPENING: JULY 6 2020    2:30PM   BAC OFFICE, MUNICIPAL HALL, STA. MARCELA, APAYAO</t>
  </si>
  <si>
    <t xml:space="preserve"> 1. 3 rolls 1/2" dia. P.E Pipe, 300 mtrs SDR 11, ISO</t>
  </si>
  <si>
    <t xml:space="preserve"> BID OPENING: JULY 6 2020    1:00PM BAC OFFICE, MUNICIPAL HALL, STA. MARCELA, APAYAO</t>
  </si>
  <si>
    <t xml:space="preserve"> https://drive.google.com/file/d/1tARHVUtwEr4AHH7lmSLi1kdLwz7QEqDB/view?usp=drivesdk</t>
  </si>
  <si>
    <t xml:space="preserve"> see attached Bill of Quantities for reference.</t>
  </si>
  <si>
    <t xml:space="preserve"> see Bill of Quantities for reference</t>
  </si>
  <si>
    <t xml:space="preserve"> Please click link below to download Plan.</t>
  </si>
  <si>
    <t xml:space="preserve"> Submission and Opening of Bids will be on July 7, 2020 @ 10:00 A.M.</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</si>
  <si>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Administrative Section, SSS Bago branch at Tel. No. (034) 461-0910.</t>
  </si>
  <si>
    <t xml:space="preserve"> For more information and clarification, please feel free to contact our BAC Secretariat.</t>
  </si>
  <si>
    <t xml:space="preserve"> 1.   A complete set of Bidding Documents may be purchased by interested Bidders from the address below starting on June 03, 2020 and upon payment of a nonrefundable fee for the Bidding Documents in the amount of Five Hundred Pesos (P500.00) at the Municipal Treasury Office, Amdalao, Guinaang, Pasil, Kalinga.   					</t>
  </si>
  <si>
    <t xml:space="preserve"> https://tinyurl.com/y874pclj</t>
  </si>
  <si>
    <t xml:space="preserve"> FIRST ENVELOPE (ELIGIBILITY &amp; TECHNICAL COMPONENTS) </t>
  </si>
  <si>
    <t xml:space="preserve"> BAC Activities	Schedule</t>
  </si>
  <si>
    <t xml:space="preserve"> https://drive.google.com/file/d/13Wz23TeTMpg6Cm2M9i58r-nUZaErcepp/view?usp=drivesdk</t>
  </si>
  <si>
    <t xml:space="preserve"> https://drive.google.com/file/d/1It5wZBHAMktqn4E2kZ6cb-V6d0oN3yYb/view?usp=drivesdk</t>
  </si>
  <si>
    <t xml:space="preserve"> https://drive.google.com/file/d/1v-hpFtPzz90-tLOOncAyu0n9hvZ9h8hE/view?usp=drivesdk</t>
  </si>
  <si>
    <t xml:space="preserve"> Availability of Bid Documents: June 17 – July 06, 2020; 8:00 AM-5:00 PM; Monday through Friday</t>
  </si>
  <si>
    <t xml:space="preserve"> Specs:</t>
  </si>
  <si>
    <t xml:space="preserve"> https://drive.google.com/file/d/154Vu4trVTFT-ge6jCF-u9oKthOOz9523/view?usp=drivesdk</t>
  </si>
  <si>
    <t xml:space="preserve"> Schedule of Bidding Activities:</t>
  </si>
  <si>
    <t xml:space="preserve"> https://drive.google.com/file/d/1FIn0ACYZUbS9ALWOaCSAiwCBev5EN6r1/view?usp=drivesdk</t>
  </si>
  <si>
    <t xml:space="preserve"> Deadline for the submission of bid is on June 25, 2020 at 2:00 PM and opening of bids to follow immediately.Please submit your sealed bid/quotation at BAC Office, New Civil Aviation Authority of the Philippines Bldg., Mactan-Cebu Int'l. Airport, Lapu-lapu City , Cebu and look for Hannah. </t>
  </si>
  <si>
    <t xml:space="preserve"> June 17, 2020 to July 6, 2020</t>
  </si>
  <si>
    <t xml:space="preserve"> • Similar Contracts: Provision, configuration and testing of messaging and collaboration platform for at least 2300 users</t>
  </si>
  <si>
    <t xml:space="preserve"> • Similar Contracts: Supply, delivery, installation, configuration and testing of CPU Hyper-Converged Integrated System (HCIS) Server</t>
  </si>
  <si>
    <t xml:space="preserve"> https://drive.google.com/file/d/13L_cg_VRH00l-d0ij7S8USzuDljNeHcK/view?usp=drivesdk</t>
  </si>
  <si>
    <t xml:space="preserve"> Bidder must download the attached document in the associated component section</t>
  </si>
  <si>
    <t xml:space="preserve"> Upgrading of BiPSU Electrical System Main Campus and Biliran Campus</t>
  </si>
  <si>
    <t xml:space="preserve"> https://drive.google.com/file/d/1RiXjHzxJPOJ_u3Db16IVzthK3_jB0skE/view?usp=drivesdk</t>
  </si>
  <si>
    <t xml:space="preserve"> https://drive.google.com/file/d/1k_RRtwN-wnmSqpcCk5dNABPrLRNSzNlO/view?usp=drivesdk</t>
  </si>
  <si>
    <t xml:space="preserve"> FOR MORE DETAILED INFORMATION, PLEASE CONTACT THE BIDS AND AWARDS COMMITTEE.</t>
  </si>
  <si>
    <t xml:space="preserve"> https://drive.google.com/file/d/1_uizNyXFOweEiQzKGj40-hZrloJSyHLB/view?usp=drivesdk</t>
  </si>
  <si>
    <t xml:space="preserve"> https://drive.google.com/file/d/1CEgGGG1g56M3v64dfkA1YR5tDLOjCK1i/view?usp=drivesdk</t>
  </si>
  <si>
    <t xml:space="preserve"> DPWH Laguna 2nd District Engineering Office Conference Room, Brgy. Bambang Los Baños, Laguna</t>
  </si>
  <si>
    <t xml:space="preserve"> https://drive.google.com/file/d/15w_xwnMIh0bgwD-WCVi0e_wJflBkxNJZ/view?usp=drivesdk</t>
  </si>
  <si>
    <t xml:space="preserve"> Please give us a call at 924-6101 local 1063/1067</t>
  </si>
  <si>
    <t xml:space="preserve"> For more info, please notify Mrs Rebecca Taboñiag, Barangay Secretary of Brgy Bogo Calabat, Josefina, Zamboanga del Sur with contact number 09514893412.</t>
  </si>
  <si>
    <t xml:space="preserve"> Total Book  Titles= 123</t>
  </si>
  <si>
    <t xml:space="preserve"> Medicine and Medical Supplies Rack, 1st bay double side, 7 levels, H1.8mx W 6.870m x L900mm, Wire Mesh racking, Beige Color, Powder Coated, 100Kg Load capacity per level	9	unit</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</si>
  <si>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</si>
  <si>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COPY AND PASTE IN THE BROWSER THE LINK BELOW TO VIEW THE BIDDING DOCUMENTS; </t>
  </si>
  <si>
    <t xml:space="preserve"> For further information, please contact Ms. JOCELYN A.</t>
  </si>
  <si>
    <t xml:space="preserve"> KINDLY DOWNLOAD BID DOCUMENTS ON THE ASSOCIATED COMPONENT.</t>
  </si>
  <si>
    <t xml:space="preserve"> Kindly download bid documents on the associated component.</t>
  </si>
  <si>
    <t xml:space="preserve"> 1.  Submission of Letter of Intent and Application of Eligibility				June 16, 2020 - June 23, 2020		</t>
  </si>
  <si>
    <t xml:space="preserve"> COPY AND PASTE IN THE BROWSER THE LINK BELOW TO VIEW BIDDING DOCUMENTS; </t>
  </si>
  <si>
    <t xml:space="preserve"> https://drive.google.com/file/d/1ohktBYBTai9oJUKwWwBm3g56Iet9u4oa/view?usp=drivesdk</t>
  </si>
  <si>
    <t xml:space="preserve"> The National Forensic Science Training Institute (NFSTI) is a Constitutive Unit (CU) of the PPSC located in Camp Vicente Lim Brgy. Mayapa Canlubang Laguna.</t>
  </si>
  <si>
    <t xml:space="preserve"> 1.		DIESOLINE		1	Lot</t>
  </si>
  <si>
    <t xml:space="preserve"> copy this link to gogle drive to download bidding documents:</t>
  </si>
  <si>
    <t xml:space="preserve"> BID DOCUMENT IS AVAILABLE AT ENGINEERING OFFICE, BAC SECRETARIAT</t>
  </si>
  <si>
    <t xml:space="preserve"> https://drive.google.com/file/d/1dAjSpCezvEkmCXnpMcHYLKSt5-yDYjqe/view?usp=drivesdk</t>
  </si>
  <si>
    <t xml:space="preserve"> 1. Issuance of Bidding Documents	:	June 16, 2020 to July 07, 2020</t>
  </si>
  <si>
    <t xml:space="preserve"> https://drive.google.com/file/d/1ZpmEg1-w_OX2xGCe0KeseWNoFBg9bQmk/view?usp=drivesdk</t>
  </si>
  <si>
    <t xml:space="preserve"> https://drive.google.com/file/d/19IxS2V13Afb_GQ_3ONVkajUc1ryw34X2/view?usp=drivesdk</t>
  </si>
  <si>
    <t xml:space="preserve"> MATERIALS</t>
  </si>
  <si>
    <t xml:space="preserve"> SEE ASSOCIATED COMPONENTS</t>
  </si>
  <si>
    <t xml:space="preserve"> Please download document in associate components</t>
  </si>
  <si>
    <t xml:space="preserve"> INVITATION TO BID FOR  PURCHASE OF LAPTOP FOR SANGGUNIANG BAYAN OFFICE – Poblacion Occidental, Valencia, Bohol</t>
  </si>
  <si>
    <t xml:space="preserve"> https://drive.google.com/file/d/1ECC1x9E53mC3EuwZNpFyJGyj2dScAqnJ/view?usp=drivesdk</t>
  </si>
  <si>
    <t xml:space="preserve"> 2020 20% DF</t>
  </si>
  <si>
    <t xml:space="preserve"> Travelling Rice Mill</t>
  </si>
  <si>
    <t xml:space="preserve"> https://drive.google.com/file/d/1YgPwD_L2G1JTBLN1equXfy0qg69Ednwr/view</t>
  </si>
  <si>
    <t xml:space="preserve"> Bid documents will be available to prospective bidders who  purchase the bidding documents  from the office of the Municipal Treasurer of the Local Government Unit of Mapet</t>
  </si>
  <si>
    <t xml:space="preserve"> https://drive.google.com/file/d/1x7SOPF9QcpNCipvjqhH459nUGq6EkWsC/view?usp=drivesdk</t>
  </si>
  <si>
    <t xml:space="preserve"> https://drive.google.com/file/d/1Se4C4Dn_JWsx8kTY-PbAv7Fy41U_LC5l/view?usp=drivesdk</t>
  </si>
  <si>
    <t xml:space="preserve"> Pre-bid Conference will be done through teleconference. Any interested bidder you could contact the Head BAC Secretariat or email us.</t>
  </si>
  <si>
    <t xml:space="preserve"> SUPPLIERS/ BIDDERS MUST DOWNLOAD THE ATTACHED DOCUMENT IN ASSOCIATED COMPONENT SECTION.</t>
  </si>
  <si>
    <t xml:space="preserve"> BID DOCS PhP 10,000.00</t>
  </si>
  <si>
    <t xml:space="preserve"> 1. BIDDERS ARE ADVISED TO DOWNLOAD ALL ASSOCIATED COMPONENTS</t>
  </si>
  <si>
    <t xml:space="preserve"> BID DOCS PhP. 5,000.00</t>
  </si>
  <si>
    <t xml:space="preserve"> BID DOCS PhP 500.00</t>
  </si>
  <si>
    <t xml:space="preserve"> Interested bidders may download attached documents located in the Associated Component Section.</t>
  </si>
  <si>
    <t xml:space="preserve"> Please copy the link below and print for a copy of Bidding Document.</t>
  </si>
  <si>
    <t xml:space="preserve"> https://drive.google.com/file/d/1ES3gMDHG4BaII6JGhFiyH99HWH2VIU3C/view?usp=drivesdk</t>
  </si>
  <si>
    <t xml:space="preserve"> copy this link to google drive to downlaod bidding documents:</t>
  </si>
  <si>
    <t xml:space="preserve"> Interested Bidders may download attached documents located in the Associated Components Section.</t>
  </si>
  <si>
    <t xml:space="preserve"> Please download the complete bidding documents using the link below:</t>
  </si>
  <si>
    <t xml:space="preserve"> Please see attached bidding documents for more details.</t>
  </si>
  <si>
    <t xml:space="preserve"> Please download the complete Bidding Documents using the link below:</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</si>
  <si>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</si>
  <si>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https://drive.google.com/file/d/1GkLTa0K0iU2O6aoP1WuAqJahuVHrUKMq/view?usp=drivesdk</t>
  </si>
  <si>
    <t xml:space="preserve"> https://drive.google.com/file/d/1Jw2ZuWkmwUF_SWnYQr43J12iboPh1IZ0/view?usp=drivesdk</t>
  </si>
  <si>
    <t xml:space="preserve"> Please download the complete bidding documents using he link below:</t>
  </si>
  <si>
    <t xml:space="preserve"> https://drive.google.com/file/d/1x93sa1W8kByeJXmqtPS1qHBql1_J2v2I/view?usp=drivesdk</t>
  </si>
  <si>
    <t xml:space="preserve"> INQUIRE AT BAC OFFICE, TAMBULIG, MUNICIPAL HALL, TAMBULIG, ZAMBOANGA DLE SUR</t>
  </si>
  <si>
    <t xml:space="preserve"> Fund:161</t>
  </si>
  <si>
    <t xml:space="preserve"> https://drive.google.com/file/d/1kQt4ro205WQ4i_pSQZQcgWFm0diL2N89/view?usp=drivesdk</t>
  </si>
  <si>
    <t xml:space="preserve"> • Similar Contracts: On-site overhauling / rebuilding / repair works of diesel engines for diesel power plants</t>
  </si>
  <si>
    <t xml:space="preserve"> https://drive.google.com/file/d/1Bxk0GmdiYY1lZOjG2wOrTR2W_FqKGWR4/view?usp=drivesdk</t>
  </si>
  <si>
    <t xml:space="preserve"> https://drive.google.com/file/d/11pOgrjSN9vx66UVLHeBCFgw14stR7TyS/view?usp=drivesdk</t>
  </si>
  <si>
    <t xml:space="preserve"> • Similar Contracts: Supply and delivery of various Personnel Protective Equipment (PPE) and/or any two (2) similar items under this contract</t>
  </si>
  <si>
    <t xml:space="preserve"> https://drive.google.com/file/d/1N8xk1GpL3fuS3teIClj2RFRLWaP7R_Hn/view?usp=drivesdk</t>
  </si>
  <si>
    <t xml:space="preserve"> https://drive.google.com/file/d/1LpN7m14i915AqJLNSjx--RfwuCohZek3/view?usp=drivesdk</t>
  </si>
  <si>
    <t xml:space="preserve"> Please inquire at the Office of the BAC Secretariat for more details</t>
  </si>
  <si>
    <t xml:space="preserve"> 8o							</t>
  </si>
  <si>
    <t xml:space="preserve"> Activity	Date &amp; Time	Venue</t>
  </si>
  <si>
    <t xml:space="preserve"> ABC is Two Million Five Hundred Thousand Pesos Only (Php.2,500,000.00).</t>
  </si>
  <si>
    <t xml:space="preserve"> The Works consists of Construction of 193.00 ln.m  4” THK (2 layers) CHB  Canal lining with concrete column and stiffener spaced at every 5.0m.</t>
  </si>
  <si>
    <t xml:space="preserve"> The Works consists of Excavate the slope for the construction of stone masonry besides the temporary building at NVPH and construct Extension of Stone masonry for Slope Protection.</t>
  </si>
  <si>
    <t xml:space="preserve"> The Works consists of Construction of 196 ln.m  4” THK CHB 2 layers Canal lining with concrete column and stiffener spaced at every 5.0m.</t>
  </si>
  <si>
    <t xml:space="preserve"> The Works consists of Construction of 122.0ln.m (3 layer) 4” THK CHB Canal lining with concrete column and stiffener spaced at every 5.om.</t>
  </si>
  <si>
    <t xml:space="preserve"> The Works consists of Construction of 1 unit elevated concrete water tank (L-22.5m x W-2.5 x H-2.0m) with water line (Pipes and fittings).</t>
  </si>
  <si>
    <t xml:space="preserve"> The Works consists of Installation of Water Pipe line (1-1/2 2” øGi Pipe, s40) with 8 row distribution line (32mm ø x 65m HDPE Pipe, sdr 17) w/ drippers.</t>
  </si>
  <si>
    <t xml:space="preserve"> The Works consists of Installation of 30% Shade net (green) Cover for 37.50 ln.m x 7.0m wide Greenhouse.</t>
  </si>
  <si>
    <t xml:space="preserve"> The Works consists of Installation of PV MODULE, POLYCRYSTALLINE, Submersible Multi-stage Centrifugal Solar Pump w/ casing including controller w/ data module, motor and pump and control units with cabling and accessories and water pumping system and drilling of 60m. dept. max (including 4” ø Gi pipe casing and 2” ø Discharge Pipe).</t>
  </si>
  <si>
    <t xml:space="preserve"> BID TENDER												</t>
  </si>
  <si>
    <t xml:space="preserve"> https://drive.google.com/file/d/1pTbpr-g-SQcqTRe7y7dej9R7cQk1nxiY/view?usp=drivesdk</t>
  </si>
  <si>
    <t xml:space="preserve"> Alexander G. Diez</t>
  </si>
  <si>
    <t xml:space="preserve"> https://drive.google.com/file/d/1RfNwpgZ4nKhWLJ_7F-T1c_T5kgX7xDRQ/view?usp=drivesdk</t>
  </si>
  <si>
    <t xml:space="preserve"> https://drive.google.com/file/d/1kMLEozAXgkW1orBOSvNNjdbnKL_7mAPz/view?usp=drivesdk</t>
  </si>
  <si>
    <t xml:space="preserve"> https://drive.google.com/file/d/1H8IjkLL_KkDrRvndDYhYatH2wyloX_VX/view?usp=drivesdk</t>
  </si>
  <si>
    <t xml:space="preserve"> You may see the LCE, Municipality of Caibiran, Biliran</t>
  </si>
  <si>
    <t xml:space="preserve"> Contact admin</t>
  </si>
  <si>
    <t xml:space="preserve"> Copy and paste the link below in the URL to download Bidding documents attached.</t>
  </si>
  <si>
    <t xml:space="preserve"> Please see attached PDF files for more information.</t>
  </si>
  <si>
    <t xml:space="preserve"> Please see attached PDF for more information.</t>
  </si>
  <si>
    <t xml:space="preserve"> PICK UP</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</si>
  <si>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</si>
  <si>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Instruction for Suppliers on how to View/Download the document:</t>
  </si>
  <si>
    <t xml:space="preserve"> please go to link https://drive.google.com/file/d/1NLo-qSzuKBpH9VMgq9x7Y-GJq5jHG9nY/view?usp=drivesdk for a copy of the Bidding Documents</t>
  </si>
  <si>
    <t xml:space="preserve"> 10. For further information, please refer to:</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</si>
  <si>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</si>
  <si>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https://drive.google.com/file/d/1EO_yu8YXQXYAXaPcECLPZIxmoiyKxY-5/view?usp=drivesdk</t>
  </si>
  <si>
    <t xml:space="preserve"> For further information, please contact</t>
  </si>
  <si>
    <t xml:space="preserve"> Procurement of Janitorial Supplies for Barangay Magallanes use :</t>
  </si>
  <si>
    <t xml:space="preserve"> Procurement of Waste Segregation program para sa Barangay Magallanes :</t>
  </si>
  <si>
    <t xml:space="preserve"> Procurement of Cooling fans for Barangay Magallanes use :</t>
  </si>
  <si>
    <t xml:space="preserve"> Procurement of Medical Equipment for Barangay Clinic use :</t>
  </si>
  <si>
    <t xml:space="preserve"> https://drive.google.com/file/d/16S9zQkvbzpL6YDQSLmIHaZFS8GnQoIuK/view?usp=drivesdk</t>
  </si>
  <si>
    <t xml:space="preserve"> Procurement of Barangay ID Printer colored for Barangay Magallanes use :</t>
  </si>
  <si>
    <t xml:space="preserve"> Procurement of Motor vehicle for Barangay Peace and Order :</t>
  </si>
  <si>
    <t xml:space="preserve"> https://drive.google.com/file/d/1FKr_18uFlfP0x51-_LmnnF4ETNrzKEIb/view?usp=drivesdk</t>
  </si>
  <si>
    <t xml:space="preserve"> https://drive.google.com/file/d/17C2ExZPmbGYQx3PmnKK-GMP3v3vDFR0F/view?usp=drivesd</t>
  </si>
  <si>
    <t xml:space="preserve"> Procurement of Office Equipment for Barangay Use :</t>
  </si>
  <si>
    <t xml:space="preserve"> Procurement of Supplies and Materials for Barangay Traffic Enforcers: </t>
  </si>
  <si>
    <t xml:space="preserve"> Procurement of Anti-flu vaccines for the Oplan Bantay-Kalusugan : Immunization Program 2020</t>
  </si>
  <si>
    <t xml:space="preserve"> For inquiries you may contact the BAC Secretariat at (082) 227-4073/2463 local 1142 or 0923-7216533/0917-3156929/0999-8878095(call only) local 1142</t>
  </si>
  <si>
    <t xml:space="preserve"> https://drive.google.com/file/d/1MEsNk8flqs8vDqk8GA2Eoft7mQjOh6sO/view?usp=drivesdk</t>
  </si>
  <si>
    <t xml:space="preserve"> Buyer: J.S. Medina</t>
  </si>
  <si>
    <t xml:space="preserve"> https://drive.google.com/file/d/1xOAzBaSofinmytC1ZBrVN-42ks4Ut6ws/view?usp=drivesdk </t>
  </si>
  <si>
    <t xml:space="preserve"> ttps://drive.google.com/file/d/1Hk98lTI3c7OfiiupxKhsnVQ5lG-MJQyL/view?usp=drivesdk</t>
  </si>
  <si>
    <t xml:space="preserve"> https://drive.google.com/file/d/151M_JuA6ROuJUobYPJp3qqG_ypt1N54i/view?usp=drivesdk</t>
  </si>
  <si>
    <t xml:space="preserve"> Please see the BAC for further information and clarification</t>
  </si>
  <si>
    <t xml:space="preserve"> https://drive.google.com/file/d/1iHh2YA4ElsX1RNutOeTO76No7063l9UW/view?usp=drivesdk</t>
  </si>
  <si>
    <t xml:space="preserve"> https://drive.google.com/file/d/1ib9RS0GvD0NYftGCxgO1KQWDibnRWBY7/view?usp=drivesdk</t>
  </si>
  <si>
    <t xml:space="preserve"> https://drive.google.com/file/d/1eJqRrgxhlI1if8_K-b_FwtO5ZuQK0mpS/view?usp=drivesdk</t>
  </si>
  <si>
    <t xml:space="preserve"> Bidder's must download the attached document in the associated component section.</t>
  </si>
  <si>
    <t xml:space="preserve"> https://drive.google.com/file/d/1Pq5d7vAi_EzFsPKs3HS4YhqajZAScNWm/view?usp=drivesdk</t>
  </si>
  <si>
    <t xml:space="preserve"> Bidding document 500.00 Non-refundable</t>
  </si>
  <si>
    <t xml:space="preserve"> Note: Please bring any prof that your are safe in COVID-19 Pandamic.</t>
  </si>
  <si>
    <t xml:space="preserve"> Suppliers/bidders must download the attached documents in the associated component section.</t>
  </si>
  <si>
    <t xml:space="preserve"> Please bring any prof that you are safe of COVID-19 Pandamic.</t>
  </si>
  <si>
    <t xml:space="preserve"> Bidding Activities	Schedule / Venue</t>
  </si>
  <si>
    <t xml:space="preserve"> There will be no pre-bid conference</t>
  </si>
  <si>
    <t xml:space="preserve"> Suppliers/Bidders must download the attached supporting documents at the associated component section.</t>
  </si>
  <si>
    <t xml:space="preserve"> Suppliers/Bidders must download the attached supporting documents at the associated component section</t>
  </si>
  <si>
    <t xml:space="preserve"> The BAC is conducting the public bidding for this Contract in accordance with the 2016 Revised IRR of RA 9184.</t>
  </si>
  <si>
    <t xml:space="preserve"> BIDDERS MUST DOWNLOAD THE ATTACHED DOCUMENT IN THE ASSOCIATED COMPONENT SECTION</t>
  </si>
  <si>
    <t xml:space="preserve"> The schedule of opening of bid will be on June 29, 2020 at exactly 2 o'clock in the afternoon at the BAC Office c/o Budget Office LGU Dauis, Bohol.</t>
  </si>
  <si>
    <t xml:space="preserve"> Fund 164</t>
  </si>
  <si>
    <t xml:space="preserve"> Bidding Documents may be purchased by the Interested Bidders on June 17-18, 2020 from 8:00 A.M to 5:00 P.M. and upon payment of non - refundable fee of Five Hundred Pesos (Php 500.00).</t>
  </si>
  <si>
    <t xml:space="preserve"> Date of Advertisement:  June 12-19, 2020</t>
  </si>
  <si>
    <t xml:space="preserve"> https://www.philgeps.gov.ph/GEPSNONPILOT/Tender/CreateNoticeStep2UI.aspx?RefID=7042331</t>
  </si>
  <si>
    <t xml:space="preserve"> https://www.philgeps.gov.ph/GEPSNONPILOT/Tender/CreateNoticeStep2UI.aspx?RefID=7042289</t>
  </si>
  <si>
    <t xml:space="preserve"> https://drive.google.com/file/d/14aMNNxWyiBL7yy41pceB-BhXlNkoDzHy/view?usp=drivesdk</t>
  </si>
  <si>
    <t xml:space="preserve"> Also  available in DPWH Website</t>
  </si>
  <si>
    <t xml:space="preserve"> https://drive.google.com/file/d/1A0X7XPnMovaaOtYBxCRIqMeHR8v1GKAX/view?usp=drivesdk</t>
  </si>
  <si>
    <t xml:space="preserve"> https://drive.google.com/file/d/1qweY_HTi67b9bNX8y0S33wJqFwwz_ney/view?usp=drivesdk</t>
  </si>
  <si>
    <t xml:space="preserve"> https://drive.google.com/file/d/1rtF9SIXSwzP0YsAaGEKkv1--lvEgWll3/view?usp=drivesdk</t>
  </si>
  <si>
    <t xml:space="preserve"> ITB </t>
  </si>
  <si>
    <t xml:space="preserve"> Project Description:</t>
  </si>
  <si>
    <t xml:space="preserve"> For further information, Please refer to:</t>
  </si>
  <si>
    <t xml:space="preserve"> https://drive.google.com/file/d/10u_N8hIxX-lq9AUSPKVsv3Wiaahojg_b/view?usp=drivesdk</t>
  </si>
  <si>
    <t xml:space="preserve"> Interested bidders may obtain further information from Palawan 2nd District Engineering Office (BAC Secretariat) and inspect the Bidding Documents at the address given below during 8:00am to 5:00pm.</t>
  </si>
  <si>
    <t xml:space="preserve"> Please download complete Bid Documents for your reference.</t>
  </si>
  <si>
    <t xml:space="preserve"> The BAC is conducting the public bidding for this contract in accordance with RA 9184 and its Implementing Rules and Regulations (IRR).</t>
  </si>
  <si>
    <t xml:space="preserve"> I	EARTHWORKS		</t>
  </si>
  <si>
    <t xml:space="preserve"> https://drive.google.com/file/d/1efI4v3IaBO2rCsXGz1pKEYfxwOwGfJcr/view?usp=drivesdk</t>
  </si>
  <si>
    <t xml:space="preserve"> https://www.philgeps.gov.ph/GEPSNONPILOT/Tender/CreateNoticeStep2UI.aspx?RefID=7043105</t>
  </si>
  <si>
    <t xml:space="preserve"> https://www.philgeps.gov.ph/GEPSNONPILOT/Tender/CreateNoticeStep2UI.aspx?RefID=7043100</t>
  </si>
  <si>
    <t xml:space="preserve"> https://www.philgeps.gov.ph/GEPSNONPILOT/Tender/CreateNoticeStep2UI.aspx?RefID=7043090</t>
  </si>
  <si>
    <t xml:space="preserve"> Pre-Eligibility Conference : June 19, 2020 @ 9:00AM</t>
  </si>
  <si>
    <t xml:space="preserve"> Also available at DPWH website.</t>
  </si>
  <si>
    <t xml:space="preserve"> To download the bidding document, please visit this link - https://drive.google.com/file/d/10o__TqAyBh90YUFZd4LLTEcYomyYE-Vj/view?usp=drivesdk</t>
  </si>
  <si>
    <t xml:space="preserve"> Pre-Eligibility Conference : June 22, 2020 @ 9:00AM</t>
  </si>
  <si>
    <t xml:space="preserve"> 1. Issuance of Bidding Documents</t>
  </si>
  <si>
    <t xml:space="preserve"> Prospective bidder may seek further information through BAC Office @ 469-9056.</t>
  </si>
  <si>
    <t xml:space="preserve"> The BAC shall issue bidding documents upon payment of Five Thousand Pesos Only (Php5,000.00) to the disbursing/ collecting officer of the LGU.</t>
  </si>
  <si>
    <t xml:space="preserve"> Prospective bidders may seek further information through BAC Office @ 469-9056.</t>
  </si>
  <si>
    <t xml:space="preserve"> Please contact to Mr. Reno C. Salazar the BAC Secretary with CP # 09459852914 or you may call to Ms. Ma. Teresa L. Minguyez the BAC Chairperson. Thanks and God Bless us all.</t>
  </si>
  <si>
    <t xml:space="preserve"> Fund 101</t>
  </si>
  <si>
    <t xml:space="preserve"> Fund:101</t>
  </si>
  <si>
    <t xml:space="preserve"> Bid Opening shall be on June 26, 2020, 09:30 AM at the Conference Room, Office of the Mayor,  2/f Municipal Hall Building, Municipal Compound, Brgy. Poblacion, Calintaan, Occ. Mindoro.</t>
  </si>
  <si>
    <t xml:space="preserve"> https://drive.google.com/file/d/1yWjzUO4QIi_2hG618xavU0cCjLxFOJUe/view?usp=drivesdk 20CN0151 PLAN PART 1</t>
  </si>
  <si>
    <t xml:space="preserve"> https://drive.google.com/file/d/1TUwXkF-iQ-DLD50aXTfMz4Wussvrs3WV/view?usp=drivesdk 20CN0150 PLAN</t>
  </si>
  <si>
    <t xml:space="preserve"> .   For further information, please refer to:</t>
  </si>
  <si>
    <t xml:space="preserve"> https://drive.google.com/file/d/1RLl-6TGTcRePDl8DTIIDDeiuTyOMYziY/view?usp=drivesdk 20CN0152 PLAN</t>
  </si>
  <si>
    <t xml:space="preserve"> Cost of Documents: Php 1,000.00</t>
  </si>
  <si>
    <t xml:space="preserve"> It may also be downloaded free of charge for the website of the Philippine Ports Authority at www.ppa.com.ph</t>
  </si>
  <si>
    <t xml:space="preserve"> Submission of Bids June 11, 2020 until July 8, 2020 @12noon</t>
  </si>
  <si>
    <t xml:space="preserve"> Funding Source - 20% EDF Current</t>
  </si>
  <si>
    <t xml:space="preserve"> 1.	Request for Expression of Interest	:	June 11, 2020 to June 18, 2020</t>
  </si>
  <si>
    <t xml:space="preserve"> For copies of the bidding documents and technical specifications, kindly click the associated components.</t>
  </si>
  <si>
    <t xml:space="preserve"> FOR INQUIRY PROCEED TO BARANGAY HALL OF BACAO TAYSAN BATANGAS</t>
  </si>
  <si>
    <t xml:space="preserve"> TECHNICAL SPECIFICATION</t>
  </si>
  <si>
    <t xml:space="preserve"> CO-Mayor's Office</t>
  </si>
  <si>
    <t xml:space="preserve"> CO - MAyor's Office</t>
  </si>
  <si>
    <t xml:space="preserve"> https://drive.google.com/file/d/1lc2mocFNnhy3ak3Sl9SStldVPW0nQp4d/view?usp=drivesdk</t>
  </si>
  <si>
    <t xml:space="preserve"> for more information just contact barangay secretariat of Barangay Baguingin , Tigbauan, Iloilo</t>
  </si>
  <si>
    <t xml:space="preserve"> https://drive.google.com/file/d/1LR6_7q1qoe8mfgLpx1CLoa26Hx2xdew_/view?usp=drivesdk</t>
  </si>
  <si>
    <t xml:space="preserve"> Bid Documents can also be downloaded at www.fo4b.dswd.gov.ph (Invitation to Bid)</t>
  </si>
  <si>
    <t xml:space="preserve"> https://drive.google.com/file/d/1EdoGFeNBrsPxz8ItZl_FugaQPV7Yb1aL/view?usp=drivesdk</t>
  </si>
  <si>
    <t xml:space="preserve"> • Similar Contracts - Lease of Modular Diesel Generating Sets or Operation and Maintenance (O &amp; M) of Diesel Generating Sets</t>
  </si>
  <si>
    <t xml:space="preserve"> https://drive.google.com/file/d/1LbjJ49ooBfp0PmAYYGOwxB5SoqqP3hF2/view?usp=drivesdk</t>
  </si>
  <si>
    <t xml:space="preserve"> BIDDERS MUST DOWNLOAD THE ATTACHED DOCUMENTS IN THE ASSOCIATED COMPONENT SECTION</t>
  </si>
  <si>
    <t xml:space="preserve"> Opening of BIDs is on June 30, 2020 at the Municipal Session Hall, Municipal Building, Pagsanghan, Samar</t>
  </si>
  <si>
    <t xml:space="preserve"> • Similar Contracts: Lease of Modular Diesel Generating Sets or Operation and Maintenance (O &amp; M) of Diesel Generating Sets </t>
  </si>
  <si>
    <t xml:space="preserve"> 1. ISSUANCE OF BID DOCUMENTS - JUNE 10, 2020- JUNE 25, 2020</t>
  </si>
  <si>
    <t xml:space="preserve"> https://drive.google.com/file/d/1S6AMxFSt3QsXNHdNXda-dolkWuFZ3IkS/view?usp=drivesdk</t>
  </si>
  <si>
    <t xml:space="preserve"> https://drive.google.com/file/d/1ZAseh7mEfcEXR1zYbve9zxJvF2MspaM0/view?usp=drivesdk</t>
  </si>
  <si>
    <t xml:space="preserve"> https://drive.google.com/file/d/19WOIURr1s2YQB2aL2GnZtntXEGwbre0S/view?usp=drivesdk</t>
  </si>
  <si>
    <t xml:space="preserve"> For information only.</t>
  </si>
  <si>
    <t xml:space="preserve"> Please see attached files @ Other Information</t>
  </si>
  <si>
    <t xml:space="preserve"> https://drive.google.com/file/d/1nb6vK_XpIbFLjZ0sPR_RoHGLfwhqMLdZ/view?usp=drivesdk</t>
  </si>
  <si>
    <t xml:space="preserve"> Department of Public Works and Highways (DPWH)</t>
  </si>
  <si>
    <t xml:space="preserve"> https://drive.google.com/file/d/1DxYmysjvVmF2bRdJ-Mff4_KKzTU97TmU/view?usp=drivesdk</t>
  </si>
  <si>
    <t xml:space="preserve"> PERCY M. BORRO</t>
  </si>
  <si>
    <t xml:space="preserve"> https://drive.google.com/file/d/1A-NqeEKFWLBKq_UAla1rxxRYt1fNA7Xg/view?usp=drivesdk</t>
  </si>
  <si>
    <t xml:space="preserve"> copy this link to google drive to download bidding documents:</t>
  </si>
  <si>
    <t xml:space="preserve"> copy this link to google drive to download bidding documetns:</t>
  </si>
  <si>
    <t xml:space="preserve"> Please see attached file @ Other Information</t>
  </si>
  <si>
    <t xml:space="preserve"> Bidding Documents Alternative download link: https://drive.google.com/file/d/1XsWua7wbTgiQ-sgsFQQhdLei4NtbT_sR/view?usp=drivesdk</t>
  </si>
  <si>
    <t xml:space="preserve"> Bidding Documents Alternative download link: https://drive.google.com/file/d/1_hyJZrAB5KiulXemQ_YiLwTU8-e21kWl/view?usp=drivesdk</t>
  </si>
  <si>
    <t xml:space="preserve"> • Similar Contracts: Dry docking and Ship repair</t>
  </si>
  <si>
    <t xml:space="preserve"> Bidding Documents Alternative download link: https://drive.google.com/file/d/1Gam4Wf_ul6EYbrAY6_YAKr-23MnHAIBZ/view?usp=drivesdk</t>
  </si>
  <si>
    <t xml:space="preserve"> Interested bidders must download the bidding documents found in the associated components.</t>
  </si>
  <si>
    <t xml:space="preserve"> BIDDERS MUST DOWNLOAD THE ATTACHED DOCUMENT IN THE ASSOCIATED COMPONENT</t>
  </si>
  <si>
    <t xml:space="preserve"> https://drive.google.com/file/d/1ZHHAbRTyg10HwBBhYLTCc7sTSK5VhI9O/view?usp=drivesdk</t>
  </si>
  <si>
    <t xml:space="preserve"> The significant times and deadlines of procurement activities are shown below:</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</si>
  <si>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</si>
  <si>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Bidding Documents Alternative download link: https://drive.google.com/file/d/1R1KsVkeRtLq43z7LHa3_xPdoGp6NAnL6/view?usp=drivesdk</t>
  </si>
  <si>
    <t xml:space="preserve"> PHILIPPINE BIDDING DOCUMENT</t>
  </si>
  <si>
    <t xml:space="preserve"> 049-501-6490-101</t>
  </si>
  <si>
    <t xml:space="preserve"> 0495016490101</t>
  </si>
  <si>
    <t xml:space="preserve"> Please inquire at the Office of the BAC Secretariat for more details...</t>
  </si>
  <si>
    <t xml:space="preserve"> https://drive.google.com/file/d/1J3S1xwpjJ2DndBVmJyKlKpzzdIg1UBX7/view?usp=drivesdk</t>
  </si>
  <si>
    <t xml:space="preserve"> 1.Suppliers/Bidders must download the attached Bid Document in the associated component section.</t>
  </si>
  <si>
    <t xml:space="preserve"> 1.	Cryovials, 2ml Graduated self standing tube with cap, sterile	50	Packs	55,000.00	Within 30 Calendar Days from receipt of the NTP	DOH – WV CHD</t>
  </si>
  <si>
    <t xml:space="preserve"> Bidder must download the attached document in Associated Components.</t>
  </si>
  <si>
    <t xml:space="preserve"> 1              Earthworks:</t>
  </si>
  <si>
    <t xml:space="preserve"> I          Demolition                                                          1.00           L.S.</t>
  </si>
  <si>
    <t xml:space="preserve"> 1	2	set	BIOSYSTEMS GLUCOSE REAGENT - A15	</t>
  </si>
  <si>
    <t xml:space="preserve"> 1. 	Water Purification Tablets 17.5 g	20,000	Tablets	40,000.00	Within 30 Calendar Days from receipt of the NTP	DOH – WV CHD</t>
  </si>
  <si>
    <t xml:space="preserve"> 1.	TB Kits in Children (HRZE)	1100	Kits	1,474,396.00	Within 30 Calendar Days from receipt of the NTP	DOH – WV CHD</t>
  </si>
  <si>
    <t xml:space="preserve"> Please see personally the head of the BAC secretariat for the availability of the bid document upon payment of the non-refundable amount of P 5,000.00 to the Cashier.</t>
  </si>
  <si>
    <t xml:space="preserve"> https://drive.google.com/file/d/1quhMtRnAqfR3qqTMHVuidO5x2LUU_8bd/view?usp=drivesdk</t>
  </si>
  <si>
    <t xml:space="preserve"> https://drive.google.com/file/d/1Op9CkAkOnfzy89C13fTlKPO9NV_ZeUft/view?usp=drivesdk</t>
  </si>
  <si>
    <t xml:space="preserve"> Item Lists:</t>
  </si>
  <si>
    <t xml:space="preserve"> Bidding Date: July 1, 2020, 2:00PM at the Municipal Conference Hall, Galimuyod, Ilocos Sur</t>
  </si>
  <si>
    <t xml:space="preserve"> https://drive.google.com/file/d/1GVO6X0sUJ3-83eE1dBiKZbHo6y6DFEKL/view?usp=drivesdk</t>
  </si>
  <si>
    <t xml:space="preserve"> ALL INTERESTED BIDDERS ARE REQUIRED TO SUBMIT THEIR COMPLETE ELIGIBILITY REQUIREMENTS TO THE BAC FOR EVALUATION DURING THE PRE-BID CONFERENCE ON JUNE 17, 2020 9:00A.M. AT THE BAC SECRETARIAT OFFICE, 2ND FLOOR, CITY HALL OF DASMARIÑAS, CAVITE. BIDDERS WHO SHALL FAIL TO ATTEND THE PRE-BID SHALL NOT BE ALLOWED TO JOIN THE BIDDING FOR THE AFORESAID PROJECT. </t>
  </si>
  <si>
    <t xml:space="preserve"> https://drive.google.com/file/d/14zbyzg3OaNugYfTyZh4gfUC2N0C1w-ls/view?usp=drivesdk</t>
  </si>
  <si>
    <t xml:space="preserve"> https://drive.google.com/file/d/1FGR-ud2VF4o7uVSs2fh31Jm51bn38rhW/view?usp=drivesdk</t>
  </si>
  <si>
    <t xml:space="preserve"> Downloads available at the Associated Components/Bid Supplements pages.</t>
  </si>
  <si>
    <t xml:space="preserve"> 1 1 lot Training Package (for 150 pax x 12 session)</t>
  </si>
  <si>
    <t xml:space="preserve"> Bid opening will be on June 26, 2020, 10:30AM at DENR-PENRO Conference Hall, Bulanao, Tabuk City, Kalinga.</t>
  </si>
  <si>
    <t xml:space="preserve"> This procurement is done by lot.</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</si>
  <si>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</si>
  <si>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Opening of bids June 29, 2020 @ 4:00 PM at Dap-ay di Tubo Poblacion, Tubo Abra.</t>
  </si>
  <si>
    <t xml:space="preserve"> COPY AND PASTE IN THE BROWSER THE LINK BELOW TO VIEW THE BIDDING DOCUMENTS: </t>
  </si>
  <si>
    <t xml:space="preserve"> Opening of bids June 29, 2020 @2:00 PM at Dap-ay di Tubo Poblacion Tubo Abra</t>
  </si>
  <si>
    <t xml:space="preserve"> 1. Date of First Publication: JUNE 10, 2020</t>
  </si>
  <si>
    <t xml:space="preserve"> 1.	Disinfectants (surfaces)	220	Bottles	319,000.00	Within 30 Calendar Days from receipt of the NTP	DOH – WV CHD</t>
  </si>
  <si>
    <t xml:space="preserve"> 1.	N95 Mask (20’s/Box)	180	Boxes	547,200.00	Within 30 Calendar Days from receipt of the NTP	DOH – WV CHD</t>
  </si>
  <si>
    <t xml:space="preserve"> https://drive.google.com/file/d/1fjI6SwKQAp5cnWbFQuD83AgleZJujMnS/view?usp=drivesdk</t>
  </si>
  <si>
    <t xml:space="preserve"> 1          17         pcs        Whole bamboo, 4"- 6" dia. 40ft long</t>
  </si>
  <si>
    <t xml:space="preserve"> https://drive.google.com/file/d/1RVwUva7R4YzKwafK4FBrWzYR3xi9_j7A/view?usp=drivesdk</t>
  </si>
  <si>
    <t xml:space="preserve"> https://drive.google.com/file/d/14IOK5E1NAtOk5fsbeBXBQXI6KM-YdADA/view?usp=drivesdk</t>
  </si>
  <si>
    <t xml:space="preserve"> https://drive.google.com/file/d/1MkJfAxZeCnFsKJn5A75b5pr7-UhTXJ9S/view?usp=drivesdk</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</si>
  <si>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</si>
  <si>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https://tinyurl.com/ycknztec</t>
  </si>
  <si>
    <t xml:space="preserve"> The Municipal Government of Rizal, Occidental Mindoro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</si>
  <si>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Please check link below to download Plan.</t>
  </si>
  <si>
    <t xml:space="preserve"> Please see attached Bidding Documents for more details.</t>
  </si>
  <si>
    <t xml:space="preserve"> Please check links below to download Plan.</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</si>
  <si>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 </t>
  </si>
  <si>
    <t xml:space="preserve"> https://tinyurl.com/yct3f77n</t>
  </si>
  <si>
    <t xml:space="preserve"> https://drive.google.com/file/d/1s-dkgcEbx5vQWaD9RJPBPC-QiN2GAcFB/view?usp=drivesdk</t>
  </si>
  <si>
    <t xml:space="preserve"> MR. MOHAMADSUAIB  B. ESMAEL, BAC-B, Chairperson</t>
  </si>
  <si>
    <t xml:space="preserve"> https://tinyurl.com/yct2njqh</t>
  </si>
  <si>
    <t xml:space="preserve"> https://drive.google.com/file/d/1bBvAO53k7aa11RkleDDoaeBPRNG3nbjd/view?usp=drivesdk</t>
  </si>
  <si>
    <t xml:space="preserve"> 20CE0209: Construction of Multi-Purpose Building, Brgy. Abar 1st, City of San Jose, Nueva Ecija; Invitation to Bid including Plans and other Supporting Docs</t>
  </si>
  <si>
    <t xml:space="preserve"> ITB, Bidding Documents and RFQ can be download in the Associated Components.</t>
  </si>
  <si>
    <t xml:space="preserve"> Source of Funds: CY-2020</t>
  </si>
  <si>
    <t xml:space="preserve"> 1.  Issuance of Bid Documents	June 10, 2020	</t>
  </si>
  <si>
    <t xml:space="preserve"> https://drive.google.com/file/d/1DRRK_RQ99FSwXwZkG7v1vFak0S8G9-cL/view?usp=drivesdk</t>
  </si>
  <si>
    <t xml:space="preserve"> Please inquire at the Office of the BAC Secretariat for more details.</t>
  </si>
  <si>
    <t xml:space="preserve"> 1.) LETTER OF INTENT ADDRESS TO THE REGIONAL DIRECTOR, ALLAN L. POQUITA, Ph.D. AND ATTENTION TO THE BAC CHAIRPERSON, ATTY. KIM LAURIS M. LABASAN</t>
  </si>
  <si>
    <t xml:space="preserve"> please see attached</t>
  </si>
  <si>
    <t xml:space="preserve"> https://drive.google.com/file/d/16JMlHxV2smZBGFTm65hJ_49lBdfxoQy7/view?usp=drivesdk</t>
  </si>
  <si>
    <t xml:space="preserve"> https://drive.google.com/file/d/1WJT-6qPbAkn5JIs72S5Csorxnfy9LAUI/view?usp=drivesdk</t>
  </si>
  <si>
    <t xml:space="preserve"> Pre-Bid Conference: June 17, 2020 @ 2:00 PM</t>
  </si>
  <si>
    <t xml:space="preserve"> CONTACT 09300410683</t>
  </si>
  <si>
    <t xml:space="preserve"> 1 2 units Motorcycle (preferably YAMAHA AEROX 155)</t>
  </si>
  <si>
    <t xml:space="preserve"> Please check similar information posted in the website of the procuring entity</t>
  </si>
  <si>
    <t xml:space="preserve"> BID DOCS: https://drive.google.com/file/d/1sXVE5o4Zi-e_qKfkFgbbdJJU0q3j_A2Y/view?usp=drivesdk</t>
  </si>
  <si>
    <t xml:space="preserve"> ITB 2020-06-032 (GOODS)</t>
  </si>
  <si>
    <t xml:space="preserve"> Oxygen Tanks 2000 lbs	80	cylinder</t>
  </si>
  <si>
    <t xml:space="preserve"> Opening of bids June 29, 2020 @ 2:00 PM at Dap-ay di Tubo Poblacion Tubo abra.</t>
  </si>
  <si>
    <t xml:space="preserve"> https://drive.google.com/file/d/1PHqgZ3FumEkCA_K3fjjrtNUR_Fcche1I/view?usp=drivesdk</t>
  </si>
  <si>
    <t xml:space="preserve"> https://drive.google.com/file/d/1iWq224rkR4SjxB0X2jjAExjz3CukkqwL/view?usp=drivesdk</t>
  </si>
  <si>
    <t xml:space="preserve"> Desktop Computer</t>
  </si>
  <si>
    <t xml:space="preserve"> https://drive.google.com/file/d/1Rc2R5AxRKd5AbWQor_YWuy0NsH5XsfwG/view?usp=drivesdk</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</si>
  <si>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</si>
  <si>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FOR MORE INFORMATION PLEASE CONTACT ARLAINE DE VERA, BAC SECRETARIAT AT (075)-955-5862 OR EMAIL AT arlainemdevera@yahoo.com</t>
  </si>
  <si>
    <t xml:space="preserve"> https://drive.google.com/file/d/177jImNvXjEfHSculFALszGJ7NwZDfL9t/view?usp=drivesdk</t>
  </si>
  <si>
    <t xml:space="preserve"> https://drive.google.com/file/d/1xdHCgdjL-Tgp1FjS-kLFzGa_0xspkdZW/view?usp=drivesdk</t>
  </si>
  <si>
    <t xml:space="preserve"> Rescue Ropes for basic rope rescue skills is for the National Fire Training Institute (NFTI) a Constitutive Unit (CU) of the PPSC located in Camp Vicente Lim Canlubang Laguna.</t>
  </si>
  <si>
    <t xml:space="preserve"> https://drive.google.com/file/d/1d-VUOP3uzvucMY6-Lsi62u2rHwSwuq2v/view?usp=drivesdk</t>
  </si>
  <si>
    <t xml:space="preserve"> Bid opening will be June 26, 2020, 10:30AM at DENR-PENRO Conference Hall, Bulanao, Tabuk City, Kalinga.</t>
  </si>
  <si>
    <t xml:space="preserve"> PISTON STD	2	set</t>
  </si>
  <si>
    <t xml:space="preserve"> https://drive.google.com/file/d/1AWH3Uhry6j9DQwxu96emcJIaRHGVcvyR/view?usp=drivesdk</t>
  </si>
  <si>
    <t xml:space="preserve"> FOR MORE INFO AND CLARIFICATION, PLEASE SEE BAC SECRETARIAT OF BRGY. BUNTAY COUNCIL AT BRGY. BUNTAY HALL, BRGY. BUNTAY, DULAG LEYTE FROM MONDAY TO FRIDAY (8:00 A.M. TO 5:00 P.M.)</t>
  </si>
  <si>
    <t xml:space="preserve"> ITEM	QUANTITY 	UNIT	DESCRIPTION</t>
  </si>
  <si>
    <t xml:space="preserve"> 1.Please download ITB and bidding documents in the associated component</t>
  </si>
  <si>
    <t xml:space="preserve"> Contact Person</t>
  </si>
  <si>
    <t xml:space="preserve"> 1. Please download ITB and bidding documents in the associated component</t>
  </si>
  <si>
    <t xml:space="preserve"> https://drive.google.com/file/d/1vibp7emFBTd_F98h7OInThtcJgQ5ETVH/view?usp=drivesdk</t>
  </si>
  <si>
    <t xml:space="preserve"> Fund: External</t>
  </si>
  <si>
    <t xml:space="preserve"> 1	Complete Fertilizer	1,000	sacks</t>
  </si>
  <si>
    <t xml:space="preserve"> Allowed to attend during the Pre-bid:</t>
  </si>
  <si>
    <t xml:space="preserve"> Issuance of Bid Documents Starts: June 9, 2020</t>
  </si>
  <si>
    <t xml:space="preserve"> https://drive.google.com/file/d/1McCM1t7c9npFpGFiIJm3ga8Du6bowvC3/view?usp=drivesdk</t>
  </si>
  <si>
    <t xml:space="preserve"> 4	units	Outdoor Hiking Rechargeable LED Worklight</t>
  </si>
  <si>
    <t xml:space="preserve"> OPENING OF BID WILL BE ON JULY 29, 2020 AT EXACTLY 10:00 A.M. LATE BID WILL NOT BE ACCEPTED</t>
  </si>
  <si>
    <t xml:space="preserve"> PR No. TF-LDRRMF S. 2019 20-016</t>
  </si>
  <si>
    <t xml:space="preserve"> 1	unit	Solar Marine Brush Bottom Inflatable Rubber Boat 2-6 person 0.9mm PVC</t>
  </si>
  <si>
    <t xml:space="preserve"> The unit of measurement to be used is person.</t>
  </si>
  <si>
    <t xml:space="preserve"> Bidders shall pay the BAC a non-refundable fee of Php10,000.00 for the Bidding Documents, upon securing hard copies of the Documents. Bidders that download the Documents from the DPWH/PhilGEPS website shall pay the fee upon submission of their bids. </t>
  </si>
  <si>
    <t xml:space="preserve"> https://drive.google.com/file/d/1dQebZNQJXB98B3W1ASAWeXdSASDU8n2g/view?usp=drivesdk</t>
  </si>
  <si>
    <t xml:space="preserve"> PLEASE SEE FILE ON ASSOCIATED COMPONENT</t>
  </si>
  <si>
    <t xml:space="preserve"> For information inquire at BAC Secretariat of Atimonan, Quezon.</t>
  </si>
  <si>
    <t xml:space="preserve"> Bidding Documents</t>
  </si>
  <si>
    <t xml:space="preserve"> Pleace click the Associated Components for the Checklist of Requirements. Thank you.</t>
  </si>
  <si>
    <t xml:space="preserve"> https://drive.google.com/file/d/1BbuZ1dY32IOl50aq0DO247OSqlhtCLIF/view?usp=drivesdk</t>
  </si>
  <si>
    <t xml:space="preserve"> https://drive.google.com/file/d/1dmT-3P--7Grp-hCyNjr_KuJs67b8ouw5/view?usp=drivesdk</t>
  </si>
  <si>
    <t xml:space="preserve"> https://drive.google.com/file/d/1TYfBVuQ0-zcqt8Pgctifc2N4aWSJp6na/view?usp=drivesdk</t>
  </si>
  <si>
    <t xml:space="preserve"> https://drive.google.com/file/d/1aMy22VyW9l76Qh244LBZrWa2LRgxTKvd/view?usp=drivesdk</t>
  </si>
  <si>
    <t xml:space="preserve"> https://drive.google.com/file/d/12Yi9PrWt1-S80m5Yc2hlxFzJigOPugil/view?usp=drivesdk</t>
  </si>
  <si>
    <t xml:space="preserve"> https://drive.google.com/file/d/13hpph7h6NpmJRxkccu16dPcnB_Sp_goD/view?usp=drivesdk</t>
  </si>
  <si>
    <t xml:space="preserve"> https://drive.google.com/file/d/1SgPposmKsPeRCCCnziEkOdmpVM77nUnt/view?usp=drivesdk</t>
  </si>
  <si>
    <t xml:space="preserve"> https://drive.google.com/file/d/1IqynqVKDofCOaPIBUFg1MiPP3JXvS51h/view?usp=drivesdk</t>
  </si>
  <si>
    <t xml:space="preserve"> https://drive.google.com/file/d/1IEXqIK6SkGwxbQHyzqNqncOTJAhmuGhH/view?usp=drivesdk</t>
  </si>
  <si>
    <t xml:space="preserve"> Please be informed that the bid documents cannot be downloaded from the website. It is non – electronic. </t>
  </si>
  <si>
    <t xml:space="preserve"> 1.	The Ilocos Sur Polytechnic State College, through the Corporate Budget for the contract approved by the Governing Board (GAA 2020) intends to apply the sum of Fifteen Million Pesos and 0/100 (Php 15,000,000.00) being the Approved Budget for the Contract (ABC) to payments under the contract for Repair and Renovation of Administration Building / 2020-03-INFR. Bids received in excess of the ABC shall be automatically rejected at bid opening.</t>
  </si>
  <si>
    <t xml:space="preserve"> INVITATION TO BID FOR THE ACQUISITION OF 55 UNITS LAPTOPS FOR CY 2020</t>
  </si>
  <si>
    <t xml:space="preserve"> https://drive.google.com/file/d/1CmL8c3Q8kz_M62RUnsEmBG6yn-9_CZxo/view?usp=drivesdk</t>
  </si>
  <si>
    <t xml:space="preserve"> INVITATION TO BID FOR PMMA MESS FOODSTUFFS </t>
  </si>
  <si>
    <t xml:space="preserve"> LGSF-SALINTUBIG</t>
  </si>
  <si>
    <t xml:space="preserve"> For more information, please notify Ms Rinafe Cajegas - Brgy Secretary of Lower Bag-ong Tudela, Josefina, Zamboanga del Sur thru 11 digit no. 09367364378.</t>
  </si>
  <si>
    <t xml:space="preserve"> A complete set of Bidding Documents may be acquired by interested bidders on JUNE 8, 2020 to JUNE 29, 2020 from 8:00AM to 5:00PM at the Office of the Bids and Awards Committee, 3rd Floor, Provincial Capitol, Bontoc, Mountain Province upon payment of the applicable fee for the Bidding Documents, pursuant to the latest Guidelines issued by the GPPB, in the amount of Twenty Five Thousand Pesos Only (Php25,000.00) at the Cashier’s Office, Provincial Capitol, Bontoc, Mountain Province.</t>
  </si>
  <si>
    <t xml:space="preserve"> BAC 2020-I01 PLANS PROJECT 1 PAGES 1 TO 50</t>
  </si>
  <si>
    <t xml:space="preserve"> 1.	The Ilocos Sur Polytechnic State College, through the Corporate Budget for the contract approved by the Governing Board (GAA 2020) intends to apply the sum of Twenty-One Million Nine Hundred Ninety-Nine Thousand Nine Hundred Ninety-Six Pesos and 92/100 (Php 21,999,996.92) or by Lots as presented below being the Approved Budget for the Contract (ABC) to payments under the contract for Upgrading of Power System / 2020-02-INFR. Bids received in excess of the ABC shall be automatically rejected at bid opening.</t>
  </si>
  <si>
    <t xml:space="preserve"> 1.	The Ilocos Sur Polytechnic State College, through the Corporate Budget for the contract approved by the Governing Board (GAA 2020) intends to apply the sum of Nine Million Nine Hundred Ninety-Nine Thousand Nine Hundred Ninety-Eight Pesos and 64/100 (Php 9,999,998.64) being the Approved Budget for the Contract (ABC) to payments under the contract for Continuation of the Repair and Renovation of Research Office / FTC (Phase II) / 2020-04-INFR. Bids received in excess of the ABC shall be automatically rejected at bid opening.</t>
  </si>
  <si>
    <t xml:space="preserve"> 6. The National Irrigation Administration (NIA), Regional Irrigation Office No.7, will hold a Pre-Bid Conference on June 16, 2020, 2:00 PM at NIA Regional Office 7 Conference Room, Dao District, Tagbilaran City, which shall be open to prospective bidders.</t>
  </si>
  <si>
    <t xml:space="preserve"> Please similar information posted in the website of the procuring entity</t>
  </si>
  <si>
    <t xml:space="preserve"> ITB20-06-025</t>
  </si>
  <si>
    <t xml:space="preserve"> COPY AND PASTE IN THE BROWSER THE LINK BELOW TO VIEW BIDDING DOCUMENTS: </t>
  </si>
  <si>
    <t xml:space="preserve"> INQUIRE AT BAC OFFICE,  MUNICIPAL HALL, TAMBULIG, ZAMBOANGA DEL SUR</t>
  </si>
  <si>
    <t xml:space="preserve"> INQUIRE AT BAC OFFICE</t>
  </si>
  <si>
    <t xml:space="preserve"> VICKY R. DURANA, MPA</t>
  </si>
  <si>
    <t xml:space="preserve"> Suppliers/Bidders must download attached documents in the associated components</t>
  </si>
  <si>
    <t xml:space="preserve"> https://drive.google.com/file/d/1ly1QOiTBUkLiSFtnpMt5vikObDPQZlRa/view?usp=drivesdk</t>
  </si>
  <si>
    <t xml:space="preserve"> See Attached ITB and BID Docs</t>
  </si>
  <si>
    <t xml:space="preserve"> Issuance of Bid Documents : 8:00AM - 5:00PM June 8, 2020 to 8:00AM - 10:00AM, July 1, 2020</t>
  </si>
  <si>
    <t xml:space="preserve"> Diesel/Fuel		39,337.47	liters</t>
  </si>
  <si>
    <t xml:space="preserve"> PLEASE CHECK SIMILAR INFORMATION POSTED IN THE PROCURING ENTITY'S WEBSITE</t>
  </si>
  <si>
    <t xml:space="preserve"> (i)   Allow full inspection by the Fund of all bid documentation and related records;  </t>
  </si>
  <si>
    <t xml:space="preserve"> All inquiries shall be directed to Dr. Rolando O. Borrinaga, Chairman, Bids and Awards Committee, UP Manila – School of Health Sciences, Palo, Leyte.</t>
  </si>
  <si>
    <t xml:space="preserve"> PLEASE CHECK SIMILAR INFORMATION POSTED AT THE PROCURING ENTITY'S WEBSITE</t>
  </si>
  <si>
    <t xml:space="preserve"> Please check similar information posted at the website of the procuring entity</t>
  </si>
  <si>
    <t xml:space="preserve"> Please see similar information posted at the website of the procuring entity</t>
  </si>
  <si>
    <t xml:space="preserve"> PROJECT LOCATION: MMTS OFFICE-KUMINTANG ST., MINTAL, TUGBOK DIST., DAVAO CITY</t>
  </si>
  <si>
    <t xml:space="preserve"> please see file on associated component</t>
  </si>
  <si>
    <t xml:space="preserve"> 1.	The Ilocos Sur Polytechnic State College, through the Corporate Budget for the contract approved by the Governing Board (GAA 2020) intends to apply the sum of Fourteen Million Nine Hundred Ninety-Nine Thousand Nine Hundred Ninety-Six Pesos and 21/100 (Php 14,999.996.21) being the Approved Budget for the Contract (ABC) to payments under the contract for Repair and Renovation of Administration Building / 2020-01-INFR. Bids received in excess of the ABC shall be automatically rejected at bid opening.</t>
  </si>
  <si>
    <t xml:space="preserve"> https://drive.google.com/file/d/1xUfEQ6tOrc7Gg9_VAsGA8B8n0ueM48hO/view?usp=drivesdk</t>
  </si>
  <si>
    <t xml:space="preserve"> Bid Docs Fee P/1,000.00</t>
  </si>
  <si>
    <t xml:space="preserve"> 1. Pre-bid Conference - June 16, 2020 @ 10:00AM at ASSCAT Conference Room</t>
  </si>
  <si>
    <t xml:space="preserve"> Bidders shall pay the BAC a non-refundable fee of Php5,000.00 for the Bidding Documents, upon securing hard copies of the Documents. Bidders that download the Documents from the DPWH/PhilGEPS website shall pay the fee upon submission of their bids. </t>
  </si>
  <si>
    <t xml:space="preserve"> https://drive.google.com/file/d/1SvMGBAETTzEufjkL-ej7OpNVQkqfvl2C/view?usp=drivesdk</t>
  </si>
  <si>
    <t xml:space="preserve"> https://drive.google.com/file/d/1DVZ_Hogoe_5t8VePEWyKCsIbEx3liPnS/view?usp=drivesdk</t>
  </si>
  <si>
    <t xml:space="preserve"> PROCUREMENT ACTIVITIES	DATE	TIME (BFAR8 Ground floor Biometric Clock)	VENUE</t>
  </si>
  <si>
    <t xml:space="preserve"> ITB20-06-024</t>
  </si>
  <si>
    <t xml:space="preserve"> https://drive.google.com/file/d/1J4FomXtqMFpF3vmbdR0RB691HGAwGG-m/view?usp=drivesdk</t>
  </si>
  <si>
    <t xml:space="preserve"> https://drive.google.com/file/d/1C1JbT2K_ZFfTyJAqzHe_AxZXYP6puhPq/view?usp=drivesdk</t>
  </si>
  <si>
    <t xml:space="preserve"> opening of bids June 29, 2020 @ 9:00 AM at Dap-ay di Tubo Poblacion, Tubo Abra.</t>
  </si>
  <si>
    <t xml:space="preserve"> TERMS OF REFERENCE</t>
  </si>
  <si>
    <t xml:space="preserve"> docs are also uploaded in dpwh websute</t>
  </si>
  <si>
    <t xml:space="preserve"> docs are also uploaded in dpwh website</t>
  </si>
  <si>
    <t xml:space="preserve"> Opening of Bids: June 29, 2020</t>
  </si>
  <si>
    <t xml:space="preserve"> The BAC is conducting the public bidding for this Contracts in accordance with RA 9184 and its Revised Implementing Rules and Regulations. Bids received in excess of the ABC of each lot shall be automatically rejected at bid opening. Awarding of Contract will be per Lot.</t>
  </si>
  <si>
    <t xml:space="preserve"> LENGTH - 54.00M</t>
  </si>
  <si>
    <t xml:space="preserve"> Pre-Bid will be on June 15, 2020 @ 10:00 A.M. @ Bids &amp; Awards Committee Office</t>
  </si>
  <si>
    <t xml:space="preserve"> REQUEST FOR EXPRESSION OF INTEREST (REI) FOR 20CSCE001-CONSULTING SERVICES FOR THE CONDUCT OF SOIL/GEOTECHNICAL INVESTIGATION FOR THE PROPOSED CONSTRUCTION OF VARIOUS MULTI-PURPOSE AND SCHOOL BUILDING PROJECTS WITHIN THE 1st AND 2nd LEGISLATIVE DISTRICT OF NUEVA ECIJA</t>
  </si>
  <si>
    <t xml:space="preserve"> 20CSCE002-CONSULTING SERVICES FOR THE CONDUCT OF SOIL/GEOTECHNICAL INVESTIGATION FOR THE PROPOSED CONSTRUCTION/REHABILITATION OF VARIOUS FLOOD CONTROL AND BRIDGE PROJECTS WITHIN THE 1st AND 2nd LEGISLATIVE DISTRICT OF NUEVA ECIJA</t>
  </si>
  <si>
    <t xml:space="preserve"> DELIVERY POINT: SPUG MOD WAREHOUSE, KUMINTANG ST., MINTAL, TUGBOK DIST., DAVAO CITY</t>
  </si>
  <si>
    <t xml:space="preserve"> LOT AWARD</t>
  </si>
  <si>
    <t xml:space="preserve"> Bidders shall pay the BAC a non-refundable fee of Php1,000.00 for the Bidding Documents, upon securing hard copies of the Documents. Bidders that download the Documents from the DPWH/PhilGEPS website shall pay the fee upon submission of their bids. </t>
  </si>
  <si>
    <t xml:space="preserve"> LOT AWARD, </t>
  </si>
  <si>
    <t xml:space="preserve"> https://drive.google.com/file/d/1oDtsXF5LnKTOKjM7e7yycEPvbPMECI_O/view?usp=drivesdk</t>
  </si>
  <si>
    <t xml:space="preserve"> Publication- June 5-15, 2020</t>
  </si>
  <si>
    <t xml:space="preserve"> Concreting of Alley  Road</t>
  </si>
  <si>
    <t xml:space="preserve"> Issuance of Bidding Documents:  June 5, 2020 until 1:30 p.m. of June 25, 2020</t>
  </si>
  <si>
    <t xml:space="preserve"> A complete set of Bidding Documents may be acquired by interested bidders on JUNE 5, 2020 to JUNE 29,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</si>
  <si>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1.  Submission of Letter of Intent and Application of Eligibility			June 05, 2020	-	June 12, 2020</t>
  </si>
  <si>
    <t xml:space="preserve"> https://drive.google.com/file/d/1PLxuBx1YHE-1DUm0qpnWoyilqCwJRkSW/view?usp=drivesdk</t>
  </si>
  <si>
    <t xml:space="preserve"> BAC Activity Schedule:</t>
  </si>
  <si>
    <t xml:space="preserve"> FOR MITSUBISHI MG330 MOTOR GRADER (N1-51P)</t>
  </si>
  <si>
    <t xml:space="preserve"> Deadline for submission of bids will be on June 29, 2020, 10:00 A.M. at the Supply Office, Town Hall, Poblacion, Kibungan, Benguet.</t>
  </si>
  <si>
    <t xml:space="preserve"> https://drive.google.com/file/d/1IQ-q30-l9xWg1ZV23YWDN5pqUnKnRjZx/view?usp=drivesdk</t>
  </si>
  <si>
    <t xml:space="preserve"> https://drive.google.com/file/d/1QvDFzoRIoLSNW_evBLpf0Uo-2Ey8oGk_/view?usp=sharing</t>
  </si>
  <si>
    <t xml:space="preserve"> https://drive.google.com/file/d/1lgDq32L_EwLoYplI3b0L_-1INi1BnJ0g/view?usp=drivesdk</t>
  </si>
  <si>
    <t xml:space="preserve"> https://drive.google.com/file/d/16pF-pV-vOMvDEVBWqjPMw6s9VMq3gvuU/view?usp=sharing</t>
  </si>
  <si>
    <t xml:space="preserve"> https://drive.google.com/file/d/12jy0DKSdEdB-v2Kh5aJk64TAJNTG9a76/view?usp=drivesdk</t>
  </si>
  <si>
    <t xml:space="preserve"> https://drive.google.com/file/d/1oYf-DdCvVNjcXRdLVwd-arQVEmbVtcgt/view?usp=drivesdk</t>
  </si>
  <si>
    <t xml:space="preserve"> https://drive.google.com/file/d/1UhFhffARy4zZ532shPLm0V7kVRsSVHhO/view?usp=drivesdk</t>
  </si>
  <si>
    <t xml:space="preserve"> https://drive.google.com/file/d/1JogRaxv3PPjo1-bShiSsmZIEIZwYLxwi/view?usp=drivesdk</t>
  </si>
  <si>
    <t xml:space="preserve"> https://drive.google.com/file/d/1Z1g129X4mZx2HG9CyJnnYjjyu_hA1oII/view?usp=drivesdk</t>
  </si>
  <si>
    <t xml:space="preserve"> Multi-purpose vehicle</t>
  </si>
  <si>
    <t xml:space="preserve"> unit	Fire Truck Forward FTR Single Cab                         1</t>
  </si>
  <si>
    <t xml:space="preserve"> Unit	Item Description</t>
  </si>
  <si>
    <t xml:space="preserve"> https://drive.google.com/file/d/1J9ohZri2GjisVi7eEQ6w0SOuavvaTHym/view?usp=drivesdk </t>
  </si>
  <si>
    <t xml:space="preserve"> QTY/UNIT/ITEM DESCRIPTION</t>
  </si>
  <si>
    <t xml:space="preserve"> 1. Pre-Bid Conference: June 15, 2020, 2:00PM at the Municipal Conference Hall, Galimuyod, Ilocos Sur</t>
  </si>
  <si>
    <t xml:space="preserve"> Stock 	Unit	Item Description			QTY.</t>
  </si>
  <si>
    <t xml:space="preserve"> Unit	           Item Description	                                                         Qty.</t>
  </si>
  <si>
    <t xml:space="preserve"> Project Description	: Rehabilitation</t>
  </si>
  <si>
    <t xml:space="preserve"> Project Description	: Construction/Establishment</t>
  </si>
  <si>
    <t xml:space="preserve"> 3 drums bituminous tack coat</t>
  </si>
  <si>
    <t xml:space="preserve"> Project Description	: Construction/Development</t>
  </si>
  <si>
    <t xml:space="preserve"> Project Description	: Concreting</t>
  </si>
  <si>
    <t xml:space="preserve"> https://drive.google.com/file/d/1YctlKqliOhW_8e6MwyUbqoN1y7rOovs0/view?usp=drivesdk</t>
  </si>
  <si>
    <t xml:space="preserve"> a.	Rehabilitation/Improvement of Salvador R. Encinas  	   	1,800,000.00</t>
  </si>
  <si>
    <t xml:space="preserve"> a.	Improvt. of Potable Water System at Brgy. Patag, Irosin  	   2,000,000.00</t>
  </si>
  <si>
    <t xml:space="preserve"> a.	Construction of Waste Water Treatment Facility at	   	2,000,000.00</t>
  </si>
  <si>
    <t xml:space="preserve"> https://drive.google.com/file/d/1YS0pJH9lQyb9y3xGsud3AWZlKqQFfN58/view?usp=drivesdk</t>
  </si>
  <si>
    <t xml:space="preserve"> a.	Development of Water Source and Construction	   	2,000,000.00</t>
  </si>
  <si>
    <t xml:space="preserve"> a.	Reblocking of Bolos-Guruyan Road	  		2,500,000.00</t>
  </si>
  <si>
    <t xml:space="preserve"> a.	Construction/Establishment of Emergency Operation	   	  2,000,000.00</t>
  </si>
  <si>
    <t xml:space="preserve"> - other information may be discussed during pre-bid conference.</t>
  </si>
  <si>
    <t xml:space="preserve"> - other information may be discussed during pre-bid conference..</t>
  </si>
  <si>
    <t xml:space="preserve"> Project Description	: Rehabilitation/Reconstruction</t>
  </si>
  <si>
    <t xml:space="preserve"> Project Description	: Completion</t>
  </si>
  <si>
    <t xml:space="preserve"> Cost of Bid Docs: Php 50,000.00</t>
  </si>
  <si>
    <t xml:space="preserve"> for queries, you may email MS. KIM STO. TOMAS  at kimjoyangeles@yahoo.com</t>
  </si>
  <si>
    <t xml:space="preserve"> a.	Rehabilitation of Municipal Main Drainage System	   	2,000,000.00</t>
  </si>
  <si>
    <t xml:space="preserve"> Contact Person:</t>
  </si>
  <si>
    <t xml:space="preserve"> LOT I – DISTRIBUTION TRANSFORMER</t>
  </si>
  <si>
    <t xml:space="preserve"> 1.	Request for Expression of Interest	:	June 02, 2020 to June 08, 2020</t>
  </si>
  <si>
    <t xml:space="preserve"> for queries, you may email Ms. Anj Emeterio at mqemeterio@gmail.com</t>
  </si>
  <si>
    <t xml:space="preserve"> for queries, you may contact MS. LUBELLE LUMABAS AT TEL NO. 84057233 TO 34</t>
  </si>
  <si>
    <t xml:space="preserve"> Project Reference no. - GS100-20-04-134</t>
  </si>
  <si>
    <t xml:space="preserve"> https://drive.google.com/file/d/1KgHRA1CgLn0h8QZo9dFR0kgGgD4506Np/view?usp=drivesdk</t>
  </si>
  <si>
    <t xml:space="preserve"> https://drive.google.com/file/d/18uJKjI88hxfEUokFW8Oeu49ZQrW18OEP/view?usp=drivesdk</t>
  </si>
  <si>
    <t xml:space="preserve"> see attached invitation to bid</t>
  </si>
  <si>
    <t xml:space="preserve"> Link to the complete set of bidding documents</t>
  </si>
  <si>
    <t xml:space="preserve"> https://drive.google.com/file/d/1yjL7SD0Cmm8zoYiNr_RfWyiZRDDAAZG5/view?usp=drivesdk</t>
  </si>
  <si>
    <t xml:space="preserve"> https://drive.google.com/file/d/110616sSCorQvgSfybggB53wd155-sgyV/view?usp=drivesdk</t>
  </si>
  <si>
    <t xml:space="preserve"> https://drive.google.com/file/d/128Rzfp_XR5PWH1nO7loIt27z39iTwwXp/view?usp=drivesdk</t>
  </si>
  <si>
    <t xml:space="preserve"> https://drive.google.com/file/d/1Z4QIEebKrDBkqq7zHbpvHdbebPhjMYvr/view?usp=drivesdk</t>
  </si>
  <si>
    <t xml:space="preserve"> https://drive.google.com/file/d/1ut13Wa3CSNISdDdbKWljQgvdwH-10n5f/view?usp=drivesdk</t>
  </si>
  <si>
    <t xml:space="preserve"> AS PER INVITATION TO BID</t>
  </si>
  <si>
    <t xml:space="preserve"> https://drive.google.com/file/d/1OhJYfUKXKxIsmyTUju70sM5Tmpqf1WOY/view?usp=drivesdk</t>
  </si>
  <si>
    <t xml:space="preserve"> A complete set of Bidding Documents may be purchased by interested Bidders starting May 13, 2020 from the above address and upon payment of a nonrefundable fee for the Bidding Documents in the amount of Five Thousand Pesos (Php5,000.00). It may also be downloaded free of charge from the website of the Philippine Government Electronic Procurement System (www.philgeps.gov.ph) and PNOC EC’s website (www.pnoc-ec.com.ph), provided that Bidders shall pay the nonrefundable fee for the Bidding Documents not later than the submission of their bids. </t>
  </si>
  <si>
    <t xml:space="preserve"> REGIONAL BIDS AND AWARDS COMMITTEE – CEBU REGIONAL OFFICE</t>
  </si>
  <si>
    <t xml:space="preserve"> https://drive.google.com/file/d/1w0OSxL1ylNwS7UJmM7QfeBOJvbf4ZTBB/view?usp=drivesdk</t>
  </si>
  <si>
    <t xml:space="preserve"> for queries, pls. contact MR. CHARM FLORIDO at tel nos. 85512200 locals 2452, 2453; 84057233 to 34</t>
  </si>
  <si>
    <t xml:space="preserve"> NOTE: (FOR JOB ORDER)</t>
  </si>
  <si>
    <t xml:space="preserve"> Cost of Bid Docs: Php 25,000.00</t>
  </si>
  <si>
    <t xml:space="preserve"> none</t>
  </si>
  <si>
    <t xml:space="preserve"> for inquiries, pls contact MS. ARVIE ESTRELLA at tel no. 8-405-7233 to 34, 8-5512200 locals 2452, 2453, 2731, 2609, 2979 &amp; 2290</t>
  </si>
  <si>
    <t xml:space="preserve"> 1. PRE-BID CONFERENCE – MARCH 25, 2020 @ 10:00 A.M.</t>
  </si>
  <si>
    <t xml:space="preserve"> https://drive.google.com/file/d/1hbJZmipbsnhT-CP6rebOgrphug3NQcKJ/view?usp=drivesdk</t>
  </si>
  <si>
    <t xml:space="preserve"> 1.		Serum, Anti-rabies (Equine) 200 IU/mL, 5 mL Vial	3,839	Vials	4,999,568.09	Within 20 to 30 Calendar Days from receipt of the NTP	DOH – WV CHD</t>
  </si>
  <si>
    <t xml:space="preserve"> 1.	Cotton Balls, 150pcs/Box	30	Packs	1,522.50	Within 15 Calendar Days from receipt of the NTP	DOH – WV CHD</t>
  </si>
  <si>
    <t xml:space="preserve"> 1.		Acetylcysteine 600 mg Effervescent Tablet	1,000	Tablets	24,200.00	Within 30 Calendar Days from receipt of the NTP	DOH – WV CHD</t>
  </si>
  <si>
    <t xml:space="preserve"> 1.	Anesthesia Machine with Ventilator and Patient Monitor with Capnograph	1	Unit	2,500,000.00	Within 60 Calendar Days from receipt of the NTP	Lorenzo D. Zayco District Hospital, Kabankalan, Negros Occidental</t>
  </si>
  <si>
    <t xml:space="preserve"> for queries, pls. contact MS. ANJ EMETERIO at vtel nos. 8-4057234, 8-4057233, 8-5512200 locals 2452, 2453, 2290, 2979</t>
  </si>
  <si>
    <t xml:space="preserve"> https://drive.google.com/file/d/1m-ZNn7v5CzAv2Yt0sUvOP6g_LJ7mrN3U/view?usp=drivesdk</t>
  </si>
  <si>
    <t xml:space="preserve"> Download the complete set of Bidding Documents at pcso.gov.ph</t>
  </si>
  <si>
    <t xml:space="preserve"> Purpose: For Students and Employees ID Production (School Year 2020-2021).</t>
  </si>
  <si>
    <t xml:space="preserve"> KINDLY DOWNLOAD THE ATTACHED PHILIPPINE BIDDING DOCUMENTS (PBD) WITH TECH SPECS AND PRICE AND CHECKLIST OF ELIGIBILITY REQUIREMENTS IN THE ASSOCIATED COMPONENTS.</t>
  </si>
  <si>
    <t xml:space="preserve"> https://drive.google.com/file/d/1ewFBVJ3vleA9qA7rdiOCbeRZp0I0SgUE/view?usp=drivesdk</t>
  </si>
  <si>
    <t xml:space="preserve"> for queries, pls. contact MS. JENKIN DY at tel no. 085512200 locals 2290, 2979, 4169, 2609</t>
  </si>
  <si>
    <t xml:space="preserve"> https://drive.google.com/file/d/1AaNPLShVUb8a0PaJwU9vo5R7eV2VoOAN/view?usp=drivesdk</t>
  </si>
  <si>
    <t xml:space="preserve"> 20CE0204: Construction of Multi-Purpose Building (School Gym), Kita-Kita High School, Brgy. Kita-Kita, San Jose City, Nueva Ecija; Invitation to Bid including Plans and other Supporting Docs</t>
  </si>
  <si>
    <t xml:space="preserve"> View/Download for complete set of Bidding Documents thru link&gt;&gt;</t>
  </si>
  <si>
    <t xml:space="preserve"> View/Download for complete set of Bidding Document thru this link&gt;&gt;</t>
  </si>
  <si>
    <t xml:space="preserve"> View/Download for complete set of Bidding Documents thru this link&gt;&gt;</t>
  </si>
  <si>
    <t xml:space="preserve"> View/Download the complete set of Bidding Documents thru this link&gt;&gt;</t>
  </si>
  <si>
    <t xml:space="preserve"> View/Download the complete set of Bidding documents thru this link&gt;&gt;</t>
  </si>
  <si>
    <t xml:space="preserve"> Please download the attached PBD in the associated components</t>
  </si>
  <si>
    <t xml:space="preserve"> Purpose: Repiping of Water Lines at Chemistry Laboratory</t>
  </si>
  <si>
    <t xml:space="preserve"> Purpose: Repair of HI-ACE Grandia GL with Plate No.: SJE-963, Repair of CHEVROLET TRAILBLAZER with Plate No.: SAA-4045</t>
  </si>
  <si>
    <t xml:space="preserve"> • Similar Contracts: Supply, delivery, installation, configuration and testing of Data Analytics License and/or enterprise application software</t>
  </si>
  <si>
    <t xml:space="preserve"> Buyer: A. S. Dizon</t>
  </si>
  <si>
    <t xml:space="preserve"> Purpose: To be used for crushing/to powderized food and food product prototypes of the Zamboanga Penisula Food Innovation Center, To be used for the conduct of food experiments and development of food product prototypes of the Zamboanga Penisula Food Innovation Center, To be used for the conduct of food experimentation and production of food product prototypes of the Zamboanga Penisula Food Innovation Center</t>
  </si>
  <si>
    <t xml:space="preserve"> ITB20-03-022B</t>
  </si>
  <si>
    <t xml:space="preserve"> • Complete Project Title: Supply, Delivery, Installation, Test and Commissioning of 1 x 200 kW and 1 x 100 kW Modular Diesel Gensets and Associated Electrical Equipment for Sarangani Diesel Power Plant, Sarangani, Davao Occidental</t>
  </si>
  <si>
    <t xml:space="preserve"> ITB20-03-022A</t>
  </si>
  <si>
    <t xml:space="preserve"> https://drive.google.com/file/d/1vHUImqTUEA8sxppcI-jrA8Qu2iHXODms/view?usp=drivesdk</t>
  </si>
  <si>
    <t xml:space="preserve"> ITB20-03-021A</t>
  </si>
  <si>
    <t xml:space="preserve"> • Similar Contracts: Security Services</t>
  </si>
  <si>
    <t xml:space="preserve"> For copies of the Drawings and Technical Specifications, kindly refer to the LINKS below.</t>
  </si>
  <si>
    <t xml:space="preserve"> • Complete Project Title: Supply, Delivery, Installation, Test &amp; Commissioning of 3 x 50 kW Modular Diesel Gensets, Associated Electrical Equipment and Balance of Plant for the Electrification of New Area in Sulu under Package 11A</t>
  </si>
  <si>
    <t xml:space="preserve"> ITB20-03-021B</t>
  </si>
  <si>
    <t xml:space="preserve"> 20CE0200: Construction of Multi-Purpose Building, Central Luzon State University, Muñoz, Nueva Ecija; Invitation to Bid including Plans and other Supporting Docs</t>
  </si>
  <si>
    <t xml:space="preserve"> please download associated documents</t>
  </si>
  <si>
    <t xml:space="preserve"> • PCAB License: License Category of at least “Category B – General Building” and registration classification of at least “Medium A – Building or Industrial Plant”</t>
  </si>
  <si>
    <t xml:space="preserve"> Pls download attached file</t>
  </si>
  <si>
    <t xml:space="preserve"> • PCAB License: License Category of at least “Category D – General Building” and registration classification of at least “Small B – Building or Industrial Plant” or “Category D – General Engineering” and registration classification of at least “Small B – Road, Highways, Pavement, Railways, Airport, Horizontal Structure and Bridges” or “Small B – Irrigation or Flood Control” or “Small B – Port, Harbor or Offshore Engineering”</t>
  </si>
  <si>
    <t xml:space="preserve"> https://drive.google.com/file/d/1S99bbKF0ugZ3dTTl2KyFEW7qIxcz-GoC/view?usp=drivesdk</t>
  </si>
  <si>
    <t xml:space="preserve"> • Similar Contracts: Supply and Delivery of Electrical / Mechanical Spare Parts for Diesel Generating Sets</t>
  </si>
  <si>
    <t xml:space="preserve"> PCAB License: License Category of at least “Category B – General Building” and registration classification of at least “Medium A – Port, Harbor or Offshore Engineering”</t>
  </si>
  <si>
    <t xml:space="preserve"> • Complete Project Title: Supply, Delivery, Installation, Test and Commissioning of Eight (8) Units of Modular Diesel Generating Sets and Electrical Equipment for Panay and Agutaya SPUG Areas under Schedule IID</t>
  </si>
  <si>
    <t xml:space="preserve"> COPY AND PASTE IN THE BROWSER THE LINK BELOW TO VIEW PLANS:</t>
  </si>
  <si>
    <t xml:space="preserve"> for queries, pls. contact MR. RUEL MARCA at tel no. 85512200 locals 2979, 2290, 2609, 4169</t>
  </si>
  <si>
    <t xml:space="preserve"> • Complete Project Title: Supply, Delivery, Installation, Test and Commissioning of Eight (8) Units of 50kW Modular Diesel Gensets, Associated Electrical Equipment and Balance of Plant for Dipla, Maytegued, Batas and Debangan DPP under the Electrification of New Areas in Palawan (Package 8)</t>
  </si>
  <si>
    <t xml:space="preserve"> https://drive.google.com/file/d/1L2VTGX1FxO2mFunsdks4lpZnBMpXuzaW/view?usp=drivesdk</t>
  </si>
  <si>
    <t xml:space="preserve"> • PCAB License: License Category of at least “Category D – General Building” and registration classification of at least “Small B – Building and Industrial Plant”</t>
  </si>
  <si>
    <t xml:space="preserve"> 20CE0201: Construction of Multi-Purpose Building (Barangay Gym), Brgy. Capintalan, Carranglan, Nueva Ecija; Invitation to Bid including Plans and other Supporting Docs</t>
  </si>
  <si>
    <t xml:space="preserve"> Bidding Documents:</t>
  </si>
  <si>
    <t xml:space="preserve"> BIDDING DOCUMENTS:</t>
  </si>
  <si>
    <t xml:space="preserve"> https://drive.google.com/file/d/1BMLeAuDBi1I6Wh0Eu-m7NsEpJlmHVWRe/view?usp=drivesdk</t>
  </si>
  <si>
    <t xml:space="preserve"> • Complete Project Title: Supply, Delivery, Installation, Test and Commissioning of Thirty-One (31) Units of Modular Diesel Generating Sets and Electrical Equipment for Samar SPUG Areas under Schedule IIA</t>
  </si>
  <si>
    <t xml:space="preserve"> • Complete Project Title: Supply, Delivery, Installation, Test &amp; Commissioning of Seven (7) Units of Modular Diesel Gensets and Associated Electrical Equipment for Three (3) Areas of Barangay Power Association (BAPA) in Palawan</t>
  </si>
  <si>
    <t xml:space="preserve"> https://drive.google.com/file/d/1o6UduD7IhCrh6ajyk20Jd-twV44O_w62/view?usp=drivesdk</t>
  </si>
  <si>
    <t xml:space="preserve"> https://drive.google.com/file/d/1faW7igh9kE8fO9dm7OAx86mfhF1kE0Zq/view?usp=drivesdk</t>
  </si>
  <si>
    <t xml:space="preserve"> https://drive.google.com/file/d/1GrlOFIyCPNun6HYU9OytofopFaLTVy2E/view?usp=drivesdk</t>
  </si>
  <si>
    <t xml:space="preserve"> for queries, pls. contact MR. JENKIN DY at tel no. 85512200 locals 2290, 2979, 2609, 4169</t>
  </si>
  <si>
    <t xml:space="preserve"> https://drive.google.com/file/d/15dxq8qcQWGpyxnIZ83ZRyLP9JP8VGoiA/view?usp=drivesdk</t>
  </si>
  <si>
    <t xml:space="preserve"> Details and other information will be discuss during pre-bid conference.</t>
  </si>
  <si>
    <t xml:space="preserve"> https://drive.google.com/file/d/1MtveD1f1rPWRMrEP3kK69o7oveB9OA1O/view?usp=drivesdk</t>
  </si>
  <si>
    <t xml:space="preserve"> https://drive.google.com/file/d/1ZpBjAlvhV3DFg2UJ8QgQqSD3Abuys4Cj/view?usp=drivesdk</t>
  </si>
  <si>
    <t xml:space="preserve"> https://drive.google.com/file/d/1BYxq_L13rb408SObQ3XcbIVOYKYcCZeD/view?usp=drivesdk</t>
  </si>
  <si>
    <t xml:space="preserve"> https://drive.google.com/file/d/1ndXv6LvvZqV1ifFbGO6pMSl0RENVJJUH/view?usp=drivesdk</t>
  </si>
  <si>
    <t xml:space="preserve"> Also available at DPWH Website.</t>
  </si>
  <si>
    <t xml:space="preserve"> • PCAB License: License Category of at least “Category D – Electrical Works” and registration classification of at least “Small B – Electrical Works”</t>
  </si>
  <si>
    <t xml:space="preserve"> • PCAB License: License Category of at least “Category D – General Engineering” and registration classification of at least “Small B – Road, Highway Pavement, Railways, Airport Horizontal Structures and Bridges”</t>
  </si>
  <si>
    <t xml:space="preserve"> • Similar Contracts: Dry docking and ship repair</t>
  </si>
  <si>
    <t xml:space="preserve"> For query,  pls. contact MS. ANJ EMETERIO at tel no. 8-4057234, 8-4057233, 8-5512200 LOCALS 2452, 2453, 2731</t>
  </si>
  <si>
    <t xml:space="preserve"> For query,  pls. contact MS. NADZ ILETO at tel no. 8-5512200 locals 2290, 2979, 2609, 4169</t>
  </si>
  <si>
    <t xml:space="preserve"> ITB20-03-020A</t>
  </si>
  <si>
    <t xml:space="preserve"> • Similar Contracts: Supply, Delivery, Test and Commissioning of Diesel Power Generations Systems with aggregate output capacity of at least 5.0 MW e.</t>
  </si>
  <si>
    <t xml:space="preserve"> https://drive.google.com/file/d/1Y8RTYaJuG43A6aaofD7VKq0JpBhYREJh/view?usp=drivesdk</t>
  </si>
  <si>
    <t xml:space="preserve"> For query,  pls. contact MR. JENKIN DY at tel no. 8-5512200 locals 2290, 2979, 2609, 4169</t>
  </si>
  <si>
    <t xml:space="preserve"> ITB20-03-020B</t>
  </si>
  <si>
    <t xml:space="preserve"> https://drive.google.com/file/d/1Ush2-R79XMZ9ikg5YailCkNJXlm1l7w_/view?usp=drivesdk</t>
  </si>
  <si>
    <t xml:space="preserve"> https://drive.google.com/file/d/1lDmUjRoexhUR2MYlzv3t4bT_veGZKCNi/view?usp=drivesdk</t>
  </si>
  <si>
    <t xml:space="preserve"> https://drive.google.com/file/d/1cEFdhOv6LXj7EsIR8IslG-7wz-TmLi-I/view?usp=drivesdk</t>
  </si>
  <si>
    <t xml:space="preserve"> Deadline for submission of quotations:</t>
  </si>
  <si>
    <t xml:space="preserve"> https://drive.google.com/file/d/1ABUlXMZ53Xm_9nfEat4bN84dPS9YHw-y/view?usp=drivesdk</t>
  </si>
  <si>
    <t xml:space="preserve"> FOR MORE INFORMATION, PLEASE CONTACT BRGY. CHAIRMAN OR VISIT BARANGAY POTOL, DAPITAN CITY.</t>
  </si>
  <si>
    <t xml:space="preserve"> https://drive.google.com/file/d/1yqVANqrWHqOumOFL-5zHLn1fS1ZphI_v/view?usp=drivesdk</t>
  </si>
  <si>
    <t xml:space="preserve"> https://drive.google.com/file/d/16S4MtyKyeZ14a_cB23ehX9AAyPvfCJkR/view?usp=drivesdk</t>
  </si>
  <si>
    <t xml:space="preserve"> Purpose: To keep safe of the documents under the office of the Alumni Affairs.</t>
  </si>
  <si>
    <t xml:space="preserve"> • PCAB License: License Category of at least “Category D – General Building” and registration classification of at least “Small B – Building or Industrial Plant”</t>
  </si>
  <si>
    <t xml:space="preserve"> Purpose: For Equipment and Fixtures for the Research Workshop Room</t>
  </si>
  <si>
    <t xml:space="preserve"> https://drive.google.com/file/d/1fc33Sp9qpE37s7np9HlqZpTV8hwXJGp3/view?usp=drivesdk</t>
  </si>
  <si>
    <t xml:space="preserve"> https://drive.google.com/file/d/15QaRDg9CE3uvAFbp4LeE0GEtuBKgr_Gd/view?usp=drivesdk</t>
  </si>
  <si>
    <t xml:space="preserve"> https://drive.google.com/file/d/1WFzbNKeh8L4hRp7GHMts2dCXHDoLxRt_/view?usp=drivesdk</t>
  </si>
  <si>
    <t xml:space="preserve"> June 1, 2020 - Issuance of Bidding Documents</t>
  </si>
  <si>
    <t xml:space="preserve"> Project Reference No.: GS300-20-02-66</t>
  </si>
  <si>
    <t xml:space="preserve"> for queries, pls. contact MS. NADZ ILETO at tel no. 85512200 locals 2979, 2290, 2609; 8405-7233 to 34</t>
  </si>
  <si>
    <t xml:space="preserve"> Note: If you are interested bidders to attend the Public Bidding. Please bring any proof that you are safe of COVID-19  Pandemic.</t>
  </si>
  <si>
    <t xml:space="preserve"> Contact Person: Atty. JESSICA S. SAPALO</t>
  </si>
  <si>
    <t xml:space="preserve"> Bid Document Fee:     PhP5,000.00</t>
  </si>
  <si>
    <t xml:space="preserve"> Bidding Document Fee:     PhP5,000.00</t>
  </si>
  <si>
    <t xml:space="preserve"> https://drive.google.com/file/d/1I2Sz3lqoO4q3NgExZ24uiwZ1ya-qd9JA/view?usp=drivesdk</t>
  </si>
  <si>
    <t xml:space="preserve"> https://drive.google.com/file/d/1PkaNyMy5EDTKNbSGscYObHDnuycUOAfg/view?usp=drivesdk</t>
  </si>
  <si>
    <t xml:space="preserve"> Interested bidders may obtain further information from Barangay Government of Barangay Tagpopongan through the Bids and Awards Committee Secretariat and inspect the Bidding Documents at the address given below during office hours.</t>
  </si>
  <si>
    <t xml:space="preserve"> Pre-bid conference will be held on June 18, 2020 at Siniloan Water District Office, Bibiana Bldg., E. Castro St., Brgy. Bagumbarangay, Siniloan, Laguna</t>
  </si>
  <si>
    <t xml:space="preserve"> Since the Barangay has no PhilGEPS account the LGU PhilGEPS has been used with their consent.</t>
  </si>
  <si>
    <t xml:space="preserve"> BIDDERS MUST BE FROM WITHIN PROVINCE OF ZAMBOANGA DEL NORTE ONLY.</t>
  </si>
  <si>
    <t xml:space="preserve"> Download Bidding Document at:</t>
  </si>
  <si>
    <t xml:space="preserve"> 1	Portland cement	240	Bags</t>
  </si>
  <si>
    <t xml:space="preserve"> if you have any inquiries please contact the following person/s:</t>
  </si>
  <si>
    <t xml:space="preserve"> Interested bidder/s are requested to submit three (3) sets of the following documents on or before June 26, 2020 not later than 9:30 A.M. Late bids shall not be ACCEPTED.</t>
  </si>
  <si>
    <t xml:space="preserve"> Fund Source - 20% EDF Current</t>
  </si>
  <si>
    <t xml:space="preserve"> Tax, delivery and other incidental expenses must be included in the quotation.</t>
  </si>
  <si>
    <t xml:space="preserve"> Bidding Documents may be secured from the BAC Secretariat, Office of the Municipal Treasurer – Supply Section upon payment to the MTO Cashier of a non-refundable amount of ₱ 1,000.00. </t>
  </si>
  <si>
    <t xml:space="preserve"> https://drive.google.com/file/d/1O5SyJj0l8iB14UFTIw_hnYELZOvTS3cM/view?usp=drivesdk</t>
  </si>
  <si>
    <t xml:space="preserve"> Pleas see attached associated components.</t>
  </si>
  <si>
    <t xml:space="preserve"> https://drive.google.com/file/d/1FdAmgEspLfdtdm8Y6Bj1vE_TXkP_wxxr/view?usp=drivesdk</t>
  </si>
  <si>
    <t xml:space="preserve"> for more information just contact barangay secretariat of Barangay 2 Poblacion Tigbauan, Iloilo</t>
  </si>
  <si>
    <t xml:space="preserve"> https://drive.google.com/file/d/1zJOgufhI068GBvgBMttap6_VQ94zOcIX/view?usp=drivesdk</t>
  </si>
  <si>
    <t xml:space="preserve"> Delivery at the job site.</t>
  </si>
  <si>
    <t xml:space="preserve"> The Works consists of 60 lm. Drilling and installation of Submersible pump – 840. Installation of transmission pipe – 4.25m x 7.50m construction of Reservoir and Pump house.</t>
  </si>
  <si>
    <t xml:space="preserve"> https://drive.google.com/file/d/1oRSpiWcMTZ6GRm6XMEjV-w0SyjSqHH-P/view?usp=drivesdk</t>
  </si>
  <si>
    <t xml:space="preserve"> The Works consists of Concreting of 171.00m long x 5.00m wide x 0.20thk PCCP provincial road and provision of 20 l.m. (33.32 cu.m.) stone masonry protection structure.</t>
  </si>
  <si>
    <t>Roland Dayuno Morales</t>
  </si>
  <si>
    <t>Marife Aglosolos</t>
  </si>
  <si>
    <t>Ronelio N Hernandez</t>
  </si>
  <si>
    <t>DELIZA M CUTARA</t>
  </si>
  <si>
    <t>Riza Joy Barnizo Pele-in</t>
  </si>
  <si>
    <t>ELIZABETH S. FERNANDEZ</t>
  </si>
  <si>
    <t>Harold C. Duremdes</t>
  </si>
  <si>
    <t>Roch Jerome L Capistrano</t>
  </si>
  <si>
    <t>Mary Grace L. Romero</t>
  </si>
  <si>
    <t>Marilou Seno Villanueva</t>
  </si>
  <si>
    <t>Pinky Miriam D Canlas</t>
  </si>
  <si>
    <t>Vivian Sesgundo Calabia</t>
  </si>
  <si>
    <t>Socorro Brenda Acuna</t>
  </si>
  <si>
    <t>Castor Gracilla Verdeblanco</t>
  </si>
  <si>
    <t>Daisy Acero Umbina</t>
  </si>
  <si>
    <t>Rodelio Jr. Abordo Vera</t>
  </si>
  <si>
    <t>Nerichelle R Bobis</t>
  </si>
  <si>
    <t>Aurelia Araoarao Bongcac</t>
  </si>
  <si>
    <t>Sherrymine C. Lazaga</t>
  </si>
  <si>
    <t>Jovellen G. Diaz</t>
  </si>
  <si>
    <t>SUSAN REYES</t>
  </si>
  <si>
    <t>Maylen Asuncion</t>
  </si>
  <si>
    <t>Dionesia B. Lagas</t>
  </si>
  <si>
    <t>Grace Delos Reyes Dumadag</t>
  </si>
  <si>
    <t>TECHIE SAYAG MANARANG</t>
  </si>
  <si>
    <t>Ryan Saguyod Apolonio</t>
  </si>
  <si>
    <t>Katherine V Veracruz</t>
  </si>
  <si>
    <t>Christian Ian Caligagan Villarin</t>
  </si>
  <si>
    <t>Glory Vi A. Mesina</t>
  </si>
  <si>
    <t>Angelika A. Paladan</t>
  </si>
  <si>
    <t>Alerry Layog</t>
  </si>
  <si>
    <t>Korina Sibulo Tronqued</t>
  </si>
  <si>
    <t>Engimer A. Ludovice</t>
  </si>
  <si>
    <t>Jovelyn Pasinag Perez</t>
  </si>
  <si>
    <t>Joseph R. Sermonia</t>
  </si>
  <si>
    <t>SALMA QUIBAYEN PADILLA</t>
  </si>
  <si>
    <t>Ramer B. Panes</t>
  </si>
  <si>
    <t>Alan Lawas</t>
  </si>
  <si>
    <t>Mark Andrew Abas Dilay</t>
  </si>
  <si>
    <t>Manny Maturan Da-ang</t>
  </si>
  <si>
    <t>M.A Cueva</t>
  </si>
  <si>
    <t>Joel Manansala Paule</t>
  </si>
  <si>
    <t>Joseph Cañas Hernani</t>
  </si>
  <si>
    <t>Kris Kringle Tamayo Lopez</t>
  </si>
  <si>
    <t>Liza C Dorado</t>
  </si>
  <si>
    <t>Sheila Marie S Chua</t>
  </si>
  <si>
    <t>dipolog water bac</t>
  </si>
  <si>
    <t>Noel C. Salvacruz</t>
  </si>
  <si>
    <t>Lawrence Nacpil Carlos</t>
  </si>
  <si>
    <t>Rommel Oroceo Subaldo</t>
  </si>
  <si>
    <t>Danille Marie Male Osorio</t>
  </si>
  <si>
    <t>Cynthlyn Alfante Gutierez</t>
  </si>
  <si>
    <t>Nathaniel G Echano</t>
  </si>
  <si>
    <t>SALVADOR J MALANUM</t>
  </si>
  <si>
    <t>Maria Cristina Macarayan Dapal</t>
  </si>
  <si>
    <t>Editha Ignacio De Lemos</t>
  </si>
  <si>
    <t>Kelly Sajo</t>
  </si>
  <si>
    <t>Brett Andrew Surell</t>
  </si>
  <si>
    <t>Veronica CV Esguerra</t>
  </si>
  <si>
    <t>Cayylord D. Niala</t>
  </si>
  <si>
    <t>Edmundo Jr M Abueg</t>
  </si>
  <si>
    <t>Erick Sombrio Dalumpines</t>
  </si>
  <si>
    <t>Bazil Nacman Cabria</t>
  </si>
  <si>
    <t>REYSHA  T.  QUIMADO</t>
  </si>
  <si>
    <t>Nelzar Borres Arsenio</t>
  </si>
  <si>
    <t>Rosario Fe Quizon Arevalo</t>
  </si>
  <si>
    <t>Genevieve Nuñez</t>
  </si>
  <si>
    <t>MARY ANNE C LADO</t>
  </si>
  <si>
    <t>Ronald M Teves</t>
  </si>
  <si>
    <t>Mark J. Arceo</t>
  </si>
  <si>
    <t>BIENVENIDA PAMAN DULCERO</t>
  </si>
  <si>
    <t>RAFAEL LACBAYO SANTIAGO</t>
  </si>
  <si>
    <t>Jhea E Ebal</t>
  </si>
  <si>
    <t>Michael Angelo J. Paras</t>
  </si>
  <si>
    <t>Jose Raymond Ajes Manalo</t>
  </si>
  <si>
    <t>Frenzel Ray Kitan Tomas</t>
  </si>
  <si>
    <t>ROEL B CADAGAT</t>
  </si>
  <si>
    <t>Loel Bacatan Fajardo</t>
  </si>
  <si>
    <t>Daniel Apilado Suyat</t>
  </si>
  <si>
    <t>Minda C. Pelea</t>
  </si>
  <si>
    <t>ALEC JORDAN T. BUENCAMINO</t>
  </si>
  <si>
    <t>Jennylyn Fernando Macapagal</t>
  </si>
  <si>
    <t>Roxanne Padilla</t>
  </si>
  <si>
    <t>GRIFFRINEO C. FLORES</t>
  </si>
  <si>
    <t>Arniel A. Abellonar</t>
  </si>
  <si>
    <t>Richard San Juan Miguel</t>
  </si>
  <si>
    <t>Leonardo Y. Yamat</t>
  </si>
  <si>
    <t>Jed D Panes</t>
  </si>
  <si>
    <t>Janica Damilao Arsua</t>
  </si>
  <si>
    <t>MARLYN BARREZA SUMAYA</t>
  </si>
  <si>
    <t>Carlos J Martus</t>
  </si>
  <si>
    <t>Ana Gutierrez Palenzuela</t>
  </si>
  <si>
    <t>Amelia P. Santos</t>
  </si>
  <si>
    <t>Reynante B. Quiros</t>
  </si>
  <si>
    <t>Edward Rumohr</t>
  </si>
  <si>
    <t>Ramon Jr. Paras Dela Cruz</t>
  </si>
  <si>
    <t>Lydia Yumang Vinculado</t>
  </si>
  <si>
    <t>ANECITA A. SESPEÑE</t>
  </si>
  <si>
    <t>Lealoraine A. Gomez</t>
  </si>
  <si>
    <t>Roy C Gonzales</t>
  </si>
  <si>
    <t>Vanezza Blanche F Agbayani</t>
  </si>
  <si>
    <t>Brian D. Lumague</t>
  </si>
  <si>
    <t>Juanito Biadnes Acorin</t>
  </si>
  <si>
    <t>Bernadette Baua</t>
  </si>
  <si>
    <t>Jomar Feliciano Doncillo</t>
  </si>
  <si>
    <t>Marino E Martinquilla</t>
  </si>
  <si>
    <t>Sharmaine J. Vicente</t>
  </si>
  <si>
    <t>Michael Rey Villaluz Biado</t>
  </si>
  <si>
    <t>JOEL ARROYO SANTES</t>
  </si>
  <si>
    <t>Olive V Ferreras</t>
  </si>
  <si>
    <t>Joel R Perez</t>
  </si>
  <si>
    <t>Joseph Rommel A Bascar</t>
  </si>
  <si>
    <t>Orlando Batalla</t>
  </si>
  <si>
    <t>Roxanne C. Pimentel</t>
  </si>
  <si>
    <t>Gemma Pugong Luglug</t>
  </si>
  <si>
    <t>Zosimo B. Coloma</t>
  </si>
  <si>
    <t>Generoso Jr. Projillo Maghopoy</t>
  </si>
  <si>
    <t>Eduardo D. Fernandez</t>
  </si>
  <si>
    <t>VALERIE VERBO SAGIBO</t>
  </si>
  <si>
    <t>Jimmy Lamayra Gonzales</t>
  </si>
  <si>
    <t>Fe P Sagre</t>
  </si>
  <si>
    <t>Patria Pailan Guizano</t>
  </si>
  <si>
    <t>Penarando Surquia</t>
  </si>
  <si>
    <t>Marlone Dagle Alejado</t>
  </si>
  <si>
    <t>Manuel Jesus Dufourt Roxas III</t>
  </si>
  <si>
    <t>Zandro A. Samarista</t>
  </si>
  <si>
    <t>Irma Danganan Lugue</t>
  </si>
  <si>
    <t>Kristine Salve Estipona Hao</t>
  </si>
  <si>
    <t>Arthur Molenilla Balmadrid</t>
  </si>
  <si>
    <t>Jenalyn Julaton Acosta</t>
  </si>
  <si>
    <t>Cyrene T Palparan</t>
  </si>
  <si>
    <t>Rommel T Reamico</t>
  </si>
  <si>
    <t>Rowena B. Quierez</t>
  </si>
  <si>
    <t>Rosine Salcedo Gonzalez</t>
  </si>
  <si>
    <t>Mark Joseph Justimbaste Calinao</t>
  </si>
  <si>
    <t>Sittie Aisah T. Balindong</t>
  </si>
  <si>
    <t>Jose Marlowe Torrefranca Echem</t>
  </si>
  <si>
    <t>Leonor F.  Santos</t>
  </si>
  <si>
    <t>Elmera Zabate Ebrada</t>
  </si>
  <si>
    <t>Trish Mariella De Guzman Villarojo</t>
  </si>
  <si>
    <t>Lea Marie  P.  Gulloy</t>
  </si>
  <si>
    <t>20/11/2019</t>
  </si>
  <si>
    <t>27/01/2020</t>
  </si>
  <si>
    <t>22/03/2020</t>
  </si>
  <si>
    <t>04/01/2019</t>
  </si>
  <si>
    <t>07/03/2018</t>
  </si>
  <si>
    <t>23/03/2020</t>
  </si>
  <si>
    <t>03/12/2019</t>
  </si>
  <si>
    <t>27/03/2020</t>
  </si>
  <si>
    <t>23/04/2020</t>
  </si>
  <si>
    <t>15/05/2017</t>
  </si>
  <si>
    <t>16/04/2020</t>
  </si>
  <si>
    <t>18/05/2020</t>
  </si>
  <si>
    <t>21/01/2020</t>
  </si>
  <si>
    <t>31/05/2020</t>
  </si>
  <si>
    <t>03/05/2020</t>
  </si>
  <si>
    <t>29/04/2020</t>
  </si>
  <si>
    <t>05/05/2020</t>
  </si>
  <si>
    <t>08/05/2020</t>
  </si>
  <si>
    <t>20/04/2020</t>
  </si>
  <si>
    <t>29/03/2020</t>
  </si>
  <si>
    <t>13/02/2020</t>
  </si>
  <si>
    <t>17/02/2020</t>
  </si>
  <si>
    <t>23/02/2020</t>
  </si>
  <si>
    <t>04/02/2020</t>
  </si>
  <si>
    <t>23/01/2020</t>
  </si>
  <si>
    <t>28/01/2020</t>
  </si>
  <si>
    <t>07/02/2019</t>
  </si>
  <si>
    <t>30/07/2019</t>
  </si>
  <si>
    <t>04/10/2019</t>
  </si>
  <si>
    <t>05/11/2019</t>
  </si>
  <si>
    <t>27/11/2019</t>
  </si>
  <si>
    <t>08/08/2019</t>
  </si>
  <si>
    <t>06/01/2020</t>
  </si>
  <si>
    <t>11/11/2019</t>
  </si>
  <si>
    <t>22/08/2019</t>
  </si>
  <si>
    <t>19/12/2019</t>
  </si>
  <si>
    <t>15/03/2020</t>
  </si>
  <si>
    <t>13/04/2020</t>
  </si>
  <si>
    <t>24/03/2020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</si>
</sst>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99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HYPERLINK("https://www.philgeps.gov.ph/GEPSNONPILOT/Tender/SplashBidNoticeAbstractUI.aspx?menuIndex=3&amp;refID=6675528&amp;Result=3","6675528")</f>
        <v>0</v>
      </c>
      <c r="B2" t="s">
        <v>24</v>
      </c>
      <c r="C2" t="s">
        <v>3529</v>
      </c>
      <c r="D2" t="s">
        <v>18781</v>
      </c>
      <c r="E2" t="s">
        <v>18881</v>
      </c>
      <c r="F2" t="s">
        <v>32664</v>
      </c>
      <c r="G2" t="s">
        <v>32671</v>
      </c>
      <c r="H2" t="s">
        <v>12635</v>
      </c>
      <c r="I2" t="s">
        <v>32684</v>
      </c>
      <c r="J2" t="s">
        <v>32805</v>
      </c>
      <c r="K2" t="s">
        <v>42281</v>
      </c>
      <c r="M2" t="s">
        <v>42586</v>
      </c>
      <c r="N2" t="s">
        <v>46569</v>
      </c>
      <c r="O2" t="s">
        <v>46570</v>
      </c>
      <c r="P2">
        <v>0</v>
      </c>
      <c r="Q2">
        <v>6</v>
      </c>
      <c r="R2" t="s">
        <v>46571</v>
      </c>
      <c r="S2" t="s">
        <v>46687</v>
      </c>
      <c r="T2" t="s">
        <v>48211</v>
      </c>
      <c r="U2" t="s">
        <v>48776</v>
      </c>
      <c r="W2" t="s">
        <v>42586</v>
      </c>
      <c r="X2" t="s">
        <v>63604</v>
      </c>
    </row>
    <row r="3" spans="1:24">
      <c r="A3">
        <f>HYPERLINK("https://www.philgeps.gov.ph/GEPSNONPILOT/Tender/SplashBidNoticeAbstractUI.aspx?menuIndex=3&amp;refID=6942031&amp;Result=3","6942031")</f>
        <v>0</v>
      </c>
      <c r="B3" t="s">
        <v>25</v>
      </c>
      <c r="C3" t="s">
        <v>3530</v>
      </c>
      <c r="D3" t="s">
        <v>18782</v>
      </c>
      <c r="E3" t="s">
        <v>18882</v>
      </c>
      <c r="F3" t="s">
        <v>32664</v>
      </c>
      <c r="G3" t="s">
        <v>32672</v>
      </c>
      <c r="H3" t="s">
        <v>12635</v>
      </c>
      <c r="I3" t="s">
        <v>8797</v>
      </c>
      <c r="J3" t="s">
        <v>32806</v>
      </c>
      <c r="K3" t="s">
        <v>42281</v>
      </c>
      <c r="M3" t="s">
        <v>42587</v>
      </c>
      <c r="N3" t="s">
        <v>46569</v>
      </c>
      <c r="O3" t="s">
        <v>46570</v>
      </c>
      <c r="P3">
        <v>0</v>
      </c>
      <c r="Q3">
        <v>1</v>
      </c>
      <c r="R3" t="s">
        <v>46571</v>
      </c>
      <c r="S3" t="s">
        <v>46687</v>
      </c>
      <c r="T3" t="s">
        <v>48212</v>
      </c>
      <c r="U3" t="s">
        <v>48777</v>
      </c>
      <c r="V3" t="s">
        <v>61599</v>
      </c>
      <c r="W3" t="s">
        <v>42587</v>
      </c>
      <c r="X3" t="s">
        <v>46682</v>
      </c>
    </row>
    <row r="4" spans="1:24">
      <c r="A4">
        <f>HYPERLINK("https://www.philgeps.gov.ph/GEPSNONPILOT/Tender/SplashBidNoticeAbstractUI.aspx?menuIndex=3&amp;refID=6942081&amp;Result=3","6942081")</f>
        <v>0</v>
      </c>
      <c r="B4" t="s">
        <v>25</v>
      </c>
      <c r="C4" t="s">
        <v>3531</v>
      </c>
      <c r="D4" t="s">
        <v>18782</v>
      </c>
      <c r="E4" t="s">
        <v>18883</v>
      </c>
      <c r="F4" t="s">
        <v>32664</v>
      </c>
      <c r="G4" t="s">
        <v>32672</v>
      </c>
      <c r="H4" t="s">
        <v>12635</v>
      </c>
      <c r="I4" t="s">
        <v>6168</v>
      </c>
      <c r="J4" t="s">
        <v>32807</v>
      </c>
      <c r="K4" t="s">
        <v>42281</v>
      </c>
      <c r="M4" t="s">
        <v>42587</v>
      </c>
      <c r="N4" t="s">
        <v>46569</v>
      </c>
      <c r="O4" t="s">
        <v>46570</v>
      </c>
      <c r="P4">
        <v>0</v>
      </c>
      <c r="Q4">
        <v>0</v>
      </c>
      <c r="R4" t="s">
        <v>46571</v>
      </c>
      <c r="S4" t="s">
        <v>46687</v>
      </c>
      <c r="T4" t="s">
        <v>48212</v>
      </c>
      <c r="U4" t="s">
        <v>48778</v>
      </c>
      <c r="V4" t="s">
        <v>61599</v>
      </c>
      <c r="W4" t="s">
        <v>42587</v>
      </c>
      <c r="X4" t="s">
        <v>46682</v>
      </c>
    </row>
    <row r="5" spans="1:24">
      <c r="A5">
        <f>HYPERLINK("https://www.philgeps.gov.ph/GEPSNONPILOT/Tender/SplashBidNoticeAbstractUI.aspx?menuIndex=3&amp;refID=6982055-2&amp;Result=3","6982055-2")</f>
        <v>0</v>
      </c>
      <c r="B5" t="s">
        <v>26</v>
      </c>
      <c r="C5" t="s">
        <v>3532</v>
      </c>
      <c r="D5" t="s">
        <v>18783</v>
      </c>
      <c r="E5" t="s">
        <v>18884</v>
      </c>
      <c r="F5" t="s">
        <v>32664</v>
      </c>
      <c r="G5" t="s">
        <v>32672</v>
      </c>
      <c r="H5" t="s">
        <v>32681</v>
      </c>
      <c r="I5" t="s">
        <v>32681</v>
      </c>
      <c r="J5" t="s">
        <v>32808</v>
      </c>
      <c r="K5" t="s">
        <v>42282</v>
      </c>
      <c r="M5" t="s">
        <v>42588</v>
      </c>
      <c r="N5" t="s">
        <v>46569</v>
      </c>
      <c r="O5" t="s">
        <v>46570</v>
      </c>
      <c r="P5">
        <v>0</v>
      </c>
      <c r="Q5">
        <v>0</v>
      </c>
      <c r="R5" t="s">
        <v>46571</v>
      </c>
      <c r="S5" t="s">
        <v>46687</v>
      </c>
      <c r="T5" t="s">
        <v>48213</v>
      </c>
      <c r="U5" t="s">
        <v>48779</v>
      </c>
      <c r="V5" t="s">
        <v>61600</v>
      </c>
      <c r="W5" t="s">
        <v>42588</v>
      </c>
      <c r="X5" t="s">
        <v>46572</v>
      </c>
    </row>
    <row r="6" spans="1:24">
      <c r="A6">
        <f>HYPERLINK("https://www.philgeps.gov.ph/GEPSNONPILOT/Tender/SplashBidNoticeAbstractUI.aspx?menuIndex=3&amp;refID=6941948&amp;Result=3","6941948")</f>
        <v>0</v>
      </c>
      <c r="B6" t="s">
        <v>25</v>
      </c>
      <c r="C6" t="s">
        <v>3533</v>
      </c>
      <c r="D6" t="s">
        <v>18782</v>
      </c>
      <c r="E6" t="s">
        <v>18885</v>
      </c>
      <c r="F6" t="s">
        <v>32664</v>
      </c>
      <c r="G6" t="s">
        <v>32672</v>
      </c>
      <c r="H6" t="s">
        <v>12635</v>
      </c>
      <c r="I6" t="s">
        <v>8797</v>
      </c>
      <c r="J6" t="s">
        <v>32809</v>
      </c>
      <c r="K6" t="s">
        <v>42281</v>
      </c>
      <c r="M6" t="s">
        <v>42587</v>
      </c>
      <c r="N6" t="s">
        <v>46569</v>
      </c>
      <c r="O6" t="s">
        <v>46570</v>
      </c>
      <c r="P6">
        <v>0</v>
      </c>
      <c r="Q6">
        <v>1</v>
      </c>
      <c r="R6" t="s">
        <v>46571</v>
      </c>
      <c r="S6" t="s">
        <v>46687</v>
      </c>
      <c r="T6" t="s">
        <v>48212</v>
      </c>
      <c r="U6" t="s">
        <v>48780</v>
      </c>
      <c r="V6" t="s">
        <v>61599</v>
      </c>
      <c r="W6" t="s">
        <v>42587</v>
      </c>
      <c r="X6" t="s">
        <v>46682</v>
      </c>
    </row>
    <row r="7" spans="1:24">
      <c r="A7">
        <f>HYPERLINK("https://www.philgeps.gov.ph/GEPSNONPILOT/Tender/SplashBidNoticeAbstractUI.aspx?menuIndex=3&amp;refID=6941920&amp;Result=3","6941920")</f>
        <v>0</v>
      </c>
      <c r="B7" t="s">
        <v>25</v>
      </c>
      <c r="C7" t="s">
        <v>3534</v>
      </c>
      <c r="D7" t="s">
        <v>18782</v>
      </c>
      <c r="E7" t="s">
        <v>18886</v>
      </c>
      <c r="F7" t="s">
        <v>32664</v>
      </c>
      <c r="G7" t="s">
        <v>32672</v>
      </c>
      <c r="H7" t="s">
        <v>12635</v>
      </c>
      <c r="I7" t="s">
        <v>5589</v>
      </c>
      <c r="J7" t="s">
        <v>32810</v>
      </c>
      <c r="K7" t="s">
        <v>42281</v>
      </c>
      <c r="M7" t="s">
        <v>42587</v>
      </c>
      <c r="N7" t="s">
        <v>46569</v>
      </c>
      <c r="O7" t="s">
        <v>46570</v>
      </c>
      <c r="P7">
        <v>0</v>
      </c>
      <c r="Q7">
        <v>1</v>
      </c>
      <c r="R7" t="s">
        <v>46571</v>
      </c>
      <c r="S7" t="s">
        <v>46687</v>
      </c>
      <c r="T7" t="s">
        <v>48212</v>
      </c>
      <c r="U7" t="s">
        <v>48781</v>
      </c>
      <c r="V7" t="s">
        <v>61599</v>
      </c>
      <c r="W7" t="s">
        <v>42587</v>
      </c>
      <c r="X7" t="s">
        <v>46682</v>
      </c>
    </row>
    <row r="8" spans="1:24">
      <c r="A8">
        <f>HYPERLINK("https://www.philgeps.gov.ph/GEPSNONPILOT/Tender/SplashBidNoticeAbstractUI.aspx?menuIndex=3&amp;refID=6941881&amp;Result=3","6941881")</f>
        <v>0</v>
      </c>
      <c r="B8" t="s">
        <v>25</v>
      </c>
      <c r="C8" t="s">
        <v>3535</v>
      </c>
      <c r="D8" t="s">
        <v>18782</v>
      </c>
      <c r="E8" t="s">
        <v>18887</v>
      </c>
      <c r="F8" t="s">
        <v>32664</v>
      </c>
      <c r="G8" t="s">
        <v>32672</v>
      </c>
      <c r="H8" t="s">
        <v>12635</v>
      </c>
      <c r="I8" t="s">
        <v>4205</v>
      </c>
      <c r="J8" t="s">
        <v>32811</v>
      </c>
      <c r="K8" t="s">
        <v>42281</v>
      </c>
      <c r="M8" t="s">
        <v>42587</v>
      </c>
      <c r="N8" t="s">
        <v>46569</v>
      </c>
      <c r="O8" t="s">
        <v>46570</v>
      </c>
      <c r="P8">
        <v>0</v>
      </c>
      <c r="Q8">
        <v>0</v>
      </c>
      <c r="R8" t="s">
        <v>46571</v>
      </c>
      <c r="S8" t="s">
        <v>46687</v>
      </c>
      <c r="T8" t="s">
        <v>48212</v>
      </c>
      <c r="U8" t="s">
        <v>48782</v>
      </c>
      <c r="V8" t="s">
        <v>61601</v>
      </c>
      <c r="W8" t="s">
        <v>42587</v>
      </c>
      <c r="X8" t="s">
        <v>46682</v>
      </c>
    </row>
    <row r="9" spans="1:24">
      <c r="A9">
        <f>HYPERLINK("https://www.philgeps.gov.ph/GEPSNONPILOT/Tender/SplashBidNoticeAbstractUI.aspx?menuIndex=3&amp;refID=6938977&amp;Result=3","6938977")</f>
        <v>0</v>
      </c>
      <c r="B9" t="s">
        <v>27</v>
      </c>
      <c r="C9" t="s">
        <v>3536</v>
      </c>
      <c r="E9" t="s">
        <v>18888</v>
      </c>
      <c r="F9" t="s">
        <v>32664</v>
      </c>
      <c r="G9" t="s">
        <v>32671</v>
      </c>
      <c r="H9" t="s">
        <v>12635</v>
      </c>
      <c r="I9" t="s">
        <v>5589</v>
      </c>
      <c r="J9" t="s">
        <v>32812</v>
      </c>
      <c r="K9" t="s">
        <v>42283</v>
      </c>
      <c r="M9" t="s">
        <v>42589</v>
      </c>
      <c r="N9" t="s">
        <v>46569</v>
      </c>
      <c r="O9" t="s">
        <v>46570</v>
      </c>
      <c r="P9">
        <v>0</v>
      </c>
      <c r="Q9">
        <v>13</v>
      </c>
      <c r="R9" t="s">
        <v>46571</v>
      </c>
      <c r="S9" t="s">
        <v>46687</v>
      </c>
      <c r="T9" t="s">
        <v>48214</v>
      </c>
      <c r="U9" t="s">
        <v>48783</v>
      </c>
      <c r="W9" t="s">
        <v>42589</v>
      </c>
      <c r="X9" t="s">
        <v>46633</v>
      </c>
    </row>
    <row r="10" spans="1:24">
      <c r="A10">
        <f>HYPERLINK("https://www.philgeps.gov.ph/GEPSNONPILOT/Tender/SplashBidNoticeAbstractUI.aspx?menuIndex=3&amp;refID=7040936&amp;Result=3","7040936")</f>
        <v>0</v>
      </c>
      <c r="B10" t="s">
        <v>28</v>
      </c>
      <c r="C10" t="s">
        <v>3537</v>
      </c>
      <c r="D10" t="s">
        <v>18784</v>
      </c>
      <c r="E10" t="s">
        <v>18889</v>
      </c>
      <c r="F10" t="s">
        <v>32664</v>
      </c>
      <c r="G10" t="s">
        <v>32672</v>
      </c>
      <c r="H10" t="s">
        <v>32682</v>
      </c>
      <c r="I10" t="s">
        <v>6168</v>
      </c>
      <c r="J10" t="s">
        <v>32813</v>
      </c>
      <c r="K10" t="s">
        <v>42284</v>
      </c>
      <c r="M10" t="s">
        <v>42590</v>
      </c>
      <c r="N10" t="s">
        <v>46569</v>
      </c>
      <c r="O10" t="s">
        <v>46570</v>
      </c>
      <c r="P10">
        <v>0</v>
      </c>
      <c r="Q10">
        <v>0</v>
      </c>
      <c r="R10" t="s">
        <v>46571</v>
      </c>
      <c r="S10" t="s">
        <v>46687</v>
      </c>
      <c r="T10" t="s">
        <v>48215</v>
      </c>
      <c r="U10" t="s">
        <v>48784</v>
      </c>
      <c r="W10" t="s">
        <v>42590</v>
      </c>
      <c r="X10" t="s">
        <v>46586</v>
      </c>
    </row>
    <row r="11" spans="1:24">
      <c r="A11">
        <f>HYPERLINK("https://www.philgeps.gov.ph/GEPSNONPILOT/Tender/SplashBidNoticeAbstractUI.aspx?menuIndex=3&amp;refID=7030834-2&amp;Result=3","7030834-2")</f>
        <v>0</v>
      </c>
      <c r="B11" t="s">
        <v>29</v>
      </c>
      <c r="C11" t="s">
        <v>3538</v>
      </c>
      <c r="D11" t="s">
        <v>18785</v>
      </c>
      <c r="E11" t="s">
        <v>18890</v>
      </c>
      <c r="F11" t="s">
        <v>32664</v>
      </c>
      <c r="G11" t="s">
        <v>32673</v>
      </c>
      <c r="H11" t="s">
        <v>32681</v>
      </c>
      <c r="I11" t="s">
        <v>32681</v>
      </c>
      <c r="J11" t="s">
        <v>32814</v>
      </c>
      <c r="K11" t="s">
        <v>42285</v>
      </c>
      <c r="M11" t="s">
        <v>42591</v>
      </c>
      <c r="N11" t="s">
        <v>46569</v>
      </c>
      <c r="O11" t="s">
        <v>46570</v>
      </c>
      <c r="P11">
        <v>0</v>
      </c>
      <c r="Q11">
        <v>1</v>
      </c>
      <c r="R11" t="s">
        <v>46571</v>
      </c>
      <c r="S11" t="s">
        <v>46687</v>
      </c>
      <c r="T11" t="s">
        <v>48216</v>
      </c>
      <c r="U11" t="s">
        <v>48785</v>
      </c>
      <c r="V11" t="s">
        <v>61602</v>
      </c>
      <c r="W11" t="s">
        <v>42591</v>
      </c>
      <c r="X11" t="s">
        <v>46572</v>
      </c>
    </row>
    <row r="12" spans="1:24">
      <c r="A12">
        <f>HYPERLINK("https://www.philgeps.gov.ph/GEPSNONPILOT/Tender/SplashBidNoticeAbstractUI.aspx?menuIndex=3&amp;refID=6819197&amp;Result=3","6819197")</f>
        <v>0</v>
      </c>
      <c r="B12" t="s">
        <v>25</v>
      </c>
      <c r="C12" t="s">
        <v>3539</v>
      </c>
      <c r="D12" t="s">
        <v>18782</v>
      </c>
      <c r="E12" t="s">
        <v>18891</v>
      </c>
      <c r="F12" t="s">
        <v>32664</v>
      </c>
      <c r="G12" t="s">
        <v>32672</v>
      </c>
      <c r="H12" t="s">
        <v>12635</v>
      </c>
      <c r="I12" t="s">
        <v>6168</v>
      </c>
      <c r="J12" t="s">
        <v>32815</v>
      </c>
      <c r="K12" t="s">
        <v>42281</v>
      </c>
      <c r="M12" t="s">
        <v>42587</v>
      </c>
      <c r="N12" t="s">
        <v>46569</v>
      </c>
      <c r="O12" t="s">
        <v>46570</v>
      </c>
      <c r="P12">
        <v>0</v>
      </c>
      <c r="Q12">
        <v>0</v>
      </c>
      <c r="R12" t="s">
        <v>46571</v>
      </c>
      <c r="S12" t="s">
        <v>46687</v>
      </c>
      <c r="T12" t="s">
        <v>48212</v>
      </c>
      <c r="U12" t="s">
        <v>48786</v>
      </c>
      <c r="V12" t="s">
        <v>61599</v>
      </c>
      <c r="W12" t="s">
        <v>42587</v>
      </c>
      <c r="X12" t="s">
        <v>63605</v>
      </c>
    </row>
    <row r="13" spans="1:24">
      <c r="A13">
        <f>HYPERLINK("https://www.philgeps.gov.ph/GEPSNONPILOT/Tender/SplashBidNoticeAbstractUI.aspx?menuIndex=3&amp;refID=6982065-2&amp;Result=3","6982065-2")</f>
        <v>0</v>
      </c>
      <c r="B13" t="s">
        <v>26</v>
      </c>
      <c r="C13" t="s">
        <v>3540</v>
      </c>
      <c r="D13" t="s">
        <v>18783</v>
      </c>
      <c r="E13" t="s">
        <v>18892</v>
      </c>
      <c r="F13" t="s">
        <v>32664</v>
      </c>
      <c r="G13" t="s">
        <v>32672</v>
      </c>
      <c r="H13" t="s">
        <v>32681</v>
      </c>
      <c r="I13" t="s">
        <v>32681</v>
      </c>
      <c r="J13" t="s">
        <v>32816</v>
      </c>
      <c r="K13" t="s">
        <v>42286</v>
      </c>
      <c r="M13" t="s">
        <v>42588</v>
      </c>
      <c r="N13" t="s">
        <v>46569</v>
      </c>
      <c r="O13" t="s">
        <v>46570</v>
      </c>
      <c r="P13">
        <v>0</v>
      </c>
      <c r="Q13">
        <v>0</v>
      </c>
      <c r="R13" t="s">
        <v>46571</v>
      </c>
      <c r="S13" t="s">
        <v>46687</v>
      </c>
      <c r="T13" t="s">
        <v>48213</v>
      </c>
      <c r="U13" t="s">
        <v>48787</v>
      </c>
      <c r="V13" t="s">
        <v>61600</v>
      </c>
      <c r="W13" t="s">
        <v>42588</v>
      </c>
      <c r="X13" t="s">
        <v>46572</v>
      </c>
    </row>
    <row r="14" spans="1:24">
      <c r="A14">
        <f>HYPERLINK("https://www.philgeps.gov.ph/GEPSNONPILOT/Tender/SplashBidNoticeAbstractUI.aspx?menuIndex=3&amp;refID=6982063-2&amp;Result=3","6982063-2")</f>
        <v>0</v>
      </c>
      <c r="B14" t="s">
        <v>26</v>
      </c>
      <c r="C14" t="s">
        <v>3541</v>
      </c>
      <c r="D14" t="s">
        <v>18783</v>
      </c>
      <c r="E14" t="s">
        <v>18893</v>
      </c>
      <c r="F14" t="s">
        <v>32664</v>
      </c>
      <c r="G14" t="s">
        <v>32672</v>
      </c>
      <c r="H14" t="s">
        <v>32681</v>
      </c>
      <c r="I14" t="s">
        <v>32681</v>
      </c>
      <c r="J14" t="s">
        <v>32817</v>
      </c>
      <c r="K14" t="s">
        <v>42287</v>
      </c>
      <c r="M14" t="s">
        <v>42588</v>
      </c>
      <c r="N14" t="s">
        <v>46569</v>
      </c>
      <c r="O14" t="s">
        <v>46570</v>
      </c>
      <c r="P14">
        <v>0</v>
      </c>
      <c r="Q14">
        <v>0</v>
      </c>
      <c r="R14" t="s">
        <v>46571</v>
      </c>
      <c r="S14" t="s">
        <v>46687</v>
      </c>
      <c r="T14" t="s">
        <v>48213</v>
      </c>
      <c r="U14" t="s">
        <v>48787</v>
      </c>
      <c r="V14" t="s">
        <v>61600</v>
      </c>
      <c r="W14" t="s">
        <v>42588</v>
      </c>
      <c r="X14" t="s">
        <v>46572</v>
      </c>
    </row>
    <row r="15" spans="1:24">
      <c r="A15">
        <f>HYPERLINK("https://www.philgeps.gov.ph/GEPSNONPILOT/Tender/SplashBidNoticeAbstractUI.aspx?menuIndex=3&amp;refID=7045232&amp;Result=3","7045232")</f>
        <v>0</v>
      </c>
      <c r="B15" t="s">
        <v>30</v>
      </c>
      <c r="C15" t="s">
        <v>3542</v>
      </c>
      <c r="D15" t="s">
        <v>18786</v>
      </c>
      <c r="E15" t="s">
        <v>18894</v>
      </c>
      <c r="F15" t="s">
        <v>32664</v>
      </c>
      <c r="G15" t="s">
        <v>32674</v>
      </c>
      <c r="H15" t="s">
        <v>12635</v>
      </c>
      <c r="I15" t="s">
        <v>32685</v>
      </c>
      <c r="J15" t="s">
        <v>32818</v>
      </c>
      <c r="K15" t="s">
        <v>42283</v>
      </c>
      <c r="M15" t="s">
        <v>42592</v>
      </c>
      <c r="N15" t="s">
        <v>46569</v>
      </c>
      <c r="O15" t="s">
        <v>46570</v>
      </c>
      <c r="P15">
        <v>0</v>
      </c>
      <c r="Q15">
        <v>0</v>
      </c>
      <c r="R15" t="s">
        <v>46571</v>
      </c>
      <c r="S15" t="s">
        <v>46687</v>
      </c>
      <c r="T15" t="s">
        <v>48217</v>
      </c>
      <c r="U15" t="s">
        <v>48788</v>
      </c>
      <c r="W15" t="s">
        <v>42592</v>
      </c>
      <c r="X15" t="s">
        <v>46581</v>
      </c>
    </row>
    <row r="16" spans="1:24">
      <c r="A16">
        <f>HYPERLINK("https://www.philgeps.gov.ph/GEPSNONPILOT/Tender/SplashBidNoticeAbstractUI.aspx?menuIndex=3&amp;refID=6982060-2&amp;Result=3","6982060-2")</f>
        <v>0</v>
      </c>
      <c r="B16" t="s">
        <v>26</v>
      </c>
      <c r="C16" t="s">
        <v>3543</v>
      </c>
      <c r="D16" t="s">
        <v>18783</v>
      </c>
      <c r="E16" t="s">
        <v>18895</v>
      </c>
      <c r="F16" t="s">
        <v>32664</v>
      </c>
      <c r="G16" t="s">
        <v>32672</v>
      </c>
      <c r="H16" t="s">
        <v>32681</v>
      </c>
      <c r="I16" t="s">
        <v>32681</v>
      </c>
      <c r="J16" t="s">
        <v>32819</v>
      </c>
      <c r="K16" t="s">
        <v>42288</v>
      </c>
      <c r="M16" t="s">
        <v>42588</v>
      </c>
      <c r="N16" t="s">
        <v>46569</v>
      </c>
      <c r="O16" t="s">
        <v>46570</v>
      </c>
      <c r="P16">
        <v>0</v>
      </c>
      <c r="Q16">
        <v>0</v>
      </c>
      <c r="R16" t="s">
        <v>46571</v>
      </c>
      <c r="S16" t="s">
        <v>46687</v>
      </c>
      <c r="T16" t="s">
        <v>48218</v>
      </c>
      <c r="U16" t="s">
        <v>48779</v>
      </c>
      <c r="V16" t="s">
        <v>61600</v>
      </c>
      <c r="W16" t="s">
        <v>42588</v>
      </c>
      <c r="X16" t="s">
        <v>46572</v>
      </c>
    </row>
    <row r="17" spans="1:24">
      <c r="A17">
        <f>HYPERLINK("https://www.philgeps.gov.ph/GEPSNONPILOT/Tender/SplashBidNoticeAbstractUI.aspx?menuIndex=3&amp;refID=7041769&amp;Result=3","7041769")</f>
        <v>0</v>
      </c>
      <c r="B17" t="s">
        <v>31</v>
      </c>
      <c r="C17" t="s">
        <v>3544</v>
      </c>
      <c r="D17" t="s">
        <v>18787</v>
      </c>
      <c r="E17" t="s">
        <v>18896</v>
      </c>
      <c r="F17" t="s">
        <v>32664</v>
      </c>
      <c r="G17" t="s">
        <v>32671</v>
      </c>
      <c r="H17" t="s">
        <v>12635</v>
      </c>
      <c r="I17" t="s">
        <v>6168</v>
      </c>
      <c r="J17" t="s">
        <v>32820</v>
      </c>
      <c r="K17" t="s">
        <v>42289</v>
      </c>
      <c r="M17" t="s">
        <v>42593</v>
      </c>
      <c r="N17" t="s">
        <v>46569</v>
      </c>
      <c r="O17" t="s">
        <v>46570</v>
      </c>
      <c r="P17">
        <v>0</v>
      </c>
      <c r="Q17">
        <v>0</v>
      </c>
      <c r="R17" t="s">
        <v>46571</v>
      </c>
      <c r="S17" t="s">
        <v>46687</v>
      </c>
      <c r="T17" t="s">
        <v>48219</v>
      </c>
      <c r="U17" t="s">
        <v>48789</v>
      </c>
      <c r="W17" t="s">
        <v>42593</v>
      </c>
      <c r="X17" t="s">
        <v>46585</v>
      </c>
    </row>
    <row r="18" spans="1:24">
      <c r="A18">
        <f>HYPERLINK("https://www.philgeps.gov.ph/GEPSNONPILOT/Tender/SplashBidNoticeAbstractUI.aspx?menuIndex=3&amp;refID=7050872&amp;Result=3","7050872")</f>
        <v>0</v>
      </c>
      <c r="B18" t="s">
        <v>25</v>
      </c>
      <c r="C18" t="s">
        <v>3545</v>
      </c>
      <c r="D18" t="s">
        <v>18782</v>
      </c>
      <c r="E18" t="s">
        <v>3545</v>
      </c>
      <c r="F18" t="s">
        <v>32664</v>
      </c>
      <c r="G18" t="s">
        <v>32672</v>
      </c>
      <c r="H18" t="s">
        <v>32683</v>
      </c>
      <c r="I18" t="s">
        <v>10627</v>
      </c>
      <c r="J18" t="s">
        <v>32821</v>
      </c>
      <c r="K18" t="s">
        <v>42290</v>
      </c>
      <c r="M18" t="s">
        <v>42587</v>
      </c>
      <c r="N18" t="s">
        <v>46569</v>
      </c>
      <c r="O18" t="s">
        <v>46570</v>
      </c>
      <c r="P18">
        <v>0</v>
      </c>
      <c r="Q18">
        <v>1</v>
      </c>
      <c r="R18" t="s">
        <v>46571</v>
      </c>
      <c r="S18" t="s">
        <v>46687</v>
      </c>
      <c r="T18" t="s">
        <v>48220</v>
      </c>
      <c r="U18" t="s">
        <v>48790</v>
      </c>
      <c r="W18" t="s">
        <v>42587</v>
      </c>
      <c r="X18" t="s">
        <v>46579</v>
      </c>
    </row>
    <row r="19" spans="1:24">
      <c r="A19">
        <f>HYPERLINK("https://www.philgeps.gov.ph/GEPSNONPILOT/Tender/SplashBidNoticeAbstractUI.aspx?menuIndex=3&amp;refID=7050387&amp;Result=3","7050387")</f>
        <v>0</v>
      </c>
      <c r="B19" t="s">
        <v>32</v>
      </c>
      <c r="C19" t="s">
        <v>3546</v>
      </c>
      <c r="D19" t="s">
        <v>18788</v>
      </c>
      <c r="E19" t="s">
        <v>18897</v>
      </c>
      <c r="F19" t="s">
        <v>32664</v>
      </c>
      <c r="G19" t="s">
        <v>32671</v>
      </c>
      <c r="H19" t="s">
        <v>12635</v>
      </c>
      <c r="I19" t="s">
        <v>4997</v>
      </c>
      <c r="J19" t="s">
        <v>32822</v>
      </c>
      <c r="K19" t="s">
        <v>42281</v>
      </c>
      <c r="M19" t="s">
        <v>42594</v>
      </c>
      <c r="N19" t="s">
        <v>46569</v>
      </c>
      <c r="O19" t="s">
        <v>46570</v>
      </c>
      <c r="P19">
        <v>0</v>
      </c>
      <c r="Q19">
        <v>0</v>
      </c>
      <c r="R19" t="s">
        <v>46571</v>
      </c>
      <c r="S19" t="s">
        <v>46687</v>
      </c>
      <c r="T19" t="s">
        <v>48221</v>
      </c>
      <c r="U19" t="s">
        <v>48791</v>
      </c>
      <c r="V19" t="s">
        <v>61603</v>
      </c>
      <c r="W19" t="s">
        <v>42594</v>
      </c>
      <c r="X19" t="s">
        <v>46579</v>
      </c>
    </row>
    <row r="20" spans="1:24">
      <c r="A20">
        <f>HYPERLINK("https://www.philgeps.gov.ph/GEPSNONPILOT/Tender/SplashBidNoticeAbstractUI.aspx?menuIndex=3&amp;refID=6992175&amp;Result=3","6992175")</f>
        <v>0</v>
      </c>
      <c r="B20" t="s">
        <v>33</v>
      </c>
      <c r="C20" t="s">
        <v>3547</v>
      </c>
      <c r="D20" t="s">
        <v>18789</v>
      </c>
      <c r="E20" t="s">
        <v>18898</v>
      </c>
      <c r="F20" t="s">
        <v>32664</v>
      </c>
      <c r="G20" t="s">
        <v>32672</v>
      </c>
      <c r="H20" t="s">
        <v>12635</v>
      </c>
      <c r="I20" t="s">
        <v>9946</v>
      </c>
      <c r="J20" t="s">
        <v>32823</v>
      </c>
      <c r="K20" t="s">
        <v>42291</v>
      </c>
      <c r="M20" t="s">
        <v>42595</v>
      </c>
      <c r="N20" t="s">
        <v>46569</v>
      </c>
      <c r="O20" t="s">
        <v>46570</v>
      </c>
      <c r="P20">
        <v>0</v>
      </c>
      <c r="Q20">
        <v>2</v>
      </c>
      <c r="R20" t="s">
        <v>46571</v>
      </c>
      <c r="S20" t="s">
        <v>46687</v>
      </c>
      <c r="T20" t="s">
        <v>48222</v>
      </c>
      <c r="U20" t="s">
        <v>48792</v>
      </c>
      <c r="W20" t="s">
        <v>42595</v>
      </c>
      <c r="X20" t="s">
        <v>46617</v>
      </c>
    </row>
    <row r="21" spans="1:24">
      <c r="A21">
        <f>HYPERLINK("https://www.philgeps.gov.ph/GEPSNONPILOT/Tender/SplashBidNoticeAbstractUI.aspx?menuIndex=3&amp;refID=7041565&amp;Result=3","7041565")</f>
        <v>0</v>
      </c>
      <c r="B21" t="s">
        <v>31</v>
      </c>
      <c r="C21" t="s">
        <v>3548</v>
      </c>
      <c r="D21" t="s">
        <v>18787</v>
      </c>
      <c r="E21" t="s">
        <v>18899</v>
      </c>
      <c r="F21" t="s">
        <v>32664</v>
      </c>
      <c r="G21" t="s">
        <v>32671</v>
      </c>
      <c r="H21" t="s">
        <v>12635</v>
      </c>
      <c r="I21" t="s">
        <v>8849</v>
      </c>
      <c r="J21" t="s">
        <v>32824</v>
      </c>
      <c r="K21" t="s">
        <v>42284</v>
      </c>
      <c r="M21" t="s">
        <v>42593</v>
      </c>
      <c r="N21" t="s">
        <v>46569</v>
      </c>
      <c r="O21" t="s">
        <v>46570</v>
      </c>
      <c r="P21">
        <v>0</v>
      </c>
      <c r="Q21">
        <v>1</v>
      </c>
      <c r="R21" t="s">
        <v>46571</v>
      </c>
      <c r="S21" t="s">
        <v>46687</v>
      </c>
      <c r="T21" t="s">
        <v>48219</v>
      </c>
      <c r="U21" t="s">
        <v>48793</v>
      </c>
      <c r="W21" t="s">
        <v>42593</v>
      </c>
      <c r="X21" t="s">
        <v>46585</v>
      </c>
    </row>
    <row r="22" spans="1:24">
      <c r="A22">
        <f>HYPERLINK("https://www.philgeps.gov.ph/GEPSNONPILOT/Tender/SplashBidNoticeAbstractUI.aspx?menuIndex=3&amp;refID=7051558&amp;Result=3","7051558")</f>
        <v>0</v>
      </c>
      <c r="B22" t="s">
        <v>32</v>
      </c>
      <c r="C22" t="s">
        <v>3549</v>
      </c>
      <c r="D22" t="s">
        <v>18788</v>
      </c>
      <c r="E22" t="s">
        <v>18900</v>
      </c>
      <c r="F22" t="s">
        <v>32664</v>
      </c>
      <c r="G22" t="s">
        <v>32671</v>
      </c>
      <c r="H22" t="s">
        <v>12635</v>
      </c>
      <c r="I22" t="s">
        <v>4205</v>
      </c>
      <c r="J22" t="s">
        <v>32825</v>
      </c>
      <c r="K22" t="s">
        <v>42281</v>
      </c>
      <c r="M22" t="s">
        <v>42594</v>
      </c>
      <c r="N22" t="s">
        <v>46569</v>
      </c>
      <c r="O22" t="s">
        <v>46570</v>
      </c>
      <c r="P22">
        <v>0</v>
      </c>
      <c r="Q22">
        <v>1</v>
      </c>
      <c r="R22" t="s">
        <v>46571</v>
      </c>
      <c r="S22" t="s">
        <v>46687</v>
      </c>
      <c r="T22" t="s">
        <v>48221</v>
      </c>
      <c r="U22" t="s">
        <v>48794</v>
      </c>
      <c r="V22" t="s">
        <v>61604</v>
      </c>
      <c r="W22" t="s">
        <v>42594</v>
      </c>
      <c r="X22" t="s">
        <v>46579</v>
      </c>
    </row>
    <row r="23" spans="1:24">
      <c r="A23">
        <f>HYPERLINK("https://www.philgeps.gov.ph/GEPSNONPILOT/Tender/SplashBidNoticeAbstractUI.aspx?menuIndex=3&amp;refID=7051474&amp;Result=3","7051474")</f>
        <v>0</v>
      </c>
      <c r="B23" t="s">
        <v>32</v>
      </c>
      <c r="C23" t="s">
        <v>3550</v>
      </c>
      <c r="D23" t="s">
        <v>18788</v>
      </c>
      <c r="E23" t="s">
        <v>18901</v>
      </c>
      <c r="F23" t="s">
        <v>32664</v>
      </c>
      <c r="G23" t="s">
        <v>32671</v>
      </c>
      <c r="H23" t="s">
        <v>12635</v>
      </c>
      <c r="I23" t="s">
        <v>32686</v>
      </c>
      <c r="J23" t="s">
        <v>32826</v>
      </c>
      <c r="K23" t="s">
        <v>42281</v>
      </c>
      <c r="M23" t="s">
        <v>42594</v>
      </c>
      <c r="N23" t="s">
        <v>46569</v>
      </c>
      <c r="O23" t="s">
        <v>46570</v>
      </c>
      <c r="P23">
        <v>0</v>
      </c>
      <c r="Q23">
        <v>1</v>
      </c>
      <c r="R23" t="s">
        <v>46571</v>
      </c>
      <c r="S23" t="s">
        <v>46687</v>
      </c>
      <c r="T23" t="s">
        <v>48221</v>
      </c>
      <c r="U23" t="s">
        <v>48795</v>
      </c>
      <c r="V23" t="s">
        <v>61605</v>
      </c>
      <c r="W23" t="s">
        <v>42594</v>
      </c>
      <c r="X23" t="s">
        <v>46579</v>
      </c>
    </row>
    <row r="24" spans="1:24">
      <c r="A24">
        <f>HYPERLINK("https://www.philgeps.gov.ph/GEPSNONPILOT/Tender/SplashBidNoticeAbstractUI.aspx?menuIndex=3&amp;refID=7051544&amp;Result=3","7051544")</f>
        <v>0</v>
      </c>
      <c r="B24" t="s">
        <v>32</v>
      </c>
      <c r="C24" t="s">
        <v>3551</v>
      </c>
      <c r="D24" t="s">
        <v>18788</v>
      </c>
      <c r="E24" t="s">
        <v>18902</v>
      </c>
      <c r="F24" t="s">
        <v>32664</v>
      </c>
      <c r="G24" t="s">
        <v>32675</v>
      </c>
      <c r="H24" t="s">
        <v>12635</v>
      </c>
      <c r="I24" t="s">
        <v>6168</v>
      </c>
      <c r="J24" t="s">
        <v>32827</v>
      </c>
      <c r="K24" t="s">
        <v>42281</v>
      </c>
      <c r="M24" t="s">
        <v>42594</v>
      </c>
      <c r="N24" t="s">
        <v>46569</v>
      </c>
      <c r="O24" t="s">
        <v>46570</v>
      </c>
      <c r="P24">
        <v>0</v>
      </c>
      <c r="Q24">
        <v>0</v>
      </c>
      <c r="R24" t="s">
        <v>46571</v>
      </c>
      <c r="S24" t="s">
        <v>46687</v>
      </c>
      <c r="T24" t="s">
        <v>48221</v>
      </c>
      <c r="U24" t="s">
        <v>48796</v>
      </c>
      <c r="V24" t="s">
        <v>61606</v>
      </c>
      <c r="W24" t="s">
        <v>42594</v>
      </c>
      <c r="X24" t="s">
        <v>46579</v>
      </c>
    </row>
    <row r="25" spans="1:24">
      <c r="A25">
        <f>HYPERLINK("https://www.philgeps.gov.ph/GEPSNONPILOT/Tender/SplashBidNoticeAbstractUI.aspx?menuIndex=3&amp;refID=7051525&amp;Result=3","7051525")</f>
        <v>0</v>
      </c>
      <c r="B25" t="s">
        <v>32</v>
      </c>
      <c r="C25" t="s">
        <v>3552</v>
      </c>
      <c r="D25" t="s">
        <v>18788</v>
      </c>
      <c r="E25" t="s">
        <v>18903</v>
      </c>
      <c r="F25" t="s">
        <v>32664</v>
      </c>
      <c r="G25" t="s">
        <v>32671</v>
      </c>
      <c r="H25" t="s">
        <v>12635</v>
      </c>
      <c r="I25" t="s">
        <v>10590</v>
      </c>
      <c r="J25" t="s">
        <v>32828</v>
      </c>
      <c r="K25" t="s">
        <v>42281</v>
      </c>
      <c r="M25" t="s">
        <v>42594</v>
      </c>
      <c r="N25" t="s">
        <v>46569</v>
      </c>
      <c r="O25" t="s">
        <v>46570</v>
      </c>
      <c r="P25">
        <v>0</v>
      </c>
      <c r="Q25">
        <v>0</v>
      </c>
      <c r="R25" t="s">
        <v>46571</v>
      </c>
      <c r="S25" t="s">
        <v>46687</v>
      </c>
      <c r="T25" t="s">
        <v>48221</v>
      </c>
      <c r="U25" t="s">
        <v>48797</v>
      </c>
      <c r="V25" t="s">
        <v>61607</v>
      </c>
      <c r="W25" t="s">
        <v>42594</v>
      </c>
      <c r="X25" t="s">
        <v>46579</v>
      </c>
    </row>
    <row r="26" spans="1:24">
      <c r="A26">
        <f>HYPERLINK("https://www.philgeps.gov.ph/GEPSNONPILOT/Tender/SplashBidNoticeAbstractUI.aspx?menuIndex=3&amp;refID=7050299&amp;Result=3","7050299")</f>
        <v>0</v>
      </c>
      <c r="B26" t="s">
        <v>32</v>
      </c>
      <c r="C26" t="s">
        <v>3553</v>
      </c>
      <c r="D26" t="s">
        <v>18788</v>
      </c>
      <c r="E26" t="s">
        <v>18904</v>
      </c>
      <c r="F26" t="s">
        <v>32664</v>
      </c>
      <c r="G26" t="s">
        <v>32675</v>
      </c>
      <c r="H26" t="s">
        <v>12635</v>
      </c>
      <c r="I26" t="s">
        <v>6168</v>
      </c>
      <c r="J26" t="s">
        <v>32829</v>
      </c>
      <c r="K26" t="s">
        <v>42281</v>
      </c>
      <c r="M26" t="s">
        <v>42594</v>
      </c>
      <c r="N26" t="s">
        <v>46569</v>
      </c>
      <c r="O26" t="s">
        <v>46570</v>
      </c>
      <c r="P26">
        <v>0</v>
      </c>
      <c r="Q26">
        <v>1</v>
      </c>
      <c r="R26" t="s">
        <v>46571</v>
      </c>
      <c r="S26" t="s">
        <v>46687</v>
      </c>
      <c r="T26" t="s">
        <v>48221</v>
      </c>
      <c r="U26" t="s">
        <v>48798</v>
      </c>
      <c r="V26" t="s">
        <v>61603</v>
      </c>
      <c r="W26" t="s">
        <v>42594</v>
      </c>
      <c r="X26" t="s">
        <v>46579</v>
      </c>
    </row>
    <row r="27" spans="1:24">
      <c r="A27">
        <f>HYPERLINK("https://www.philgeps.gov.ph/GEPSNONPILOT/Tender/SplashBidNoticeAbstractUI.aspx?menuIndex=3&amp;refID=7048707&amp;Result=3","7048707")</f>
        <v>0</v>
      </c>
      <c r="B27" t="s">
        <v>34</v>
      </c>
      <c r="C27" t="s">
        <v>3554</v>
      </c>
      <c r="D27" t="s">
        <v>18790</v>
      </c>
      <c r="E27" t="s">
        <v>18905</v>
      </c>
      <c r="F27" t="s">
        <v>32664</v>
      </c>
      <c r="G27" t="s">
        <v>32672</v>
      </c>
      <c r="H27" t="s">
        <v>12635</v>
      </c>
      <c r="I27" t="s">
        <v>11464</v>
      </c>
      <c r="J27" t="s">
        <v>32830</v>
      </c>
      <c r="K27" t="s">
        <v>42281</v>
      </c>
      <c r="M27" t="s">
        <v>42596</v>
      </c>
      <c r="N27" t="s">
        <v>46569</v>
      </c>
      <c r="O27" t="s">
        <v>46570</v>
      </c>
      <c r="P27">
        <v>0</v>
      </c>
      <c r="Q27">
        <v>0</v>
      </c>
      <c r="R27" t="s">
        <v>46571</v>
      </c>
      <c r="S27" t="s">
        <v>46687</v>
      </c>
      <c r="T27" t="s">
        <v>48223</v>
      </c>
      <c r="U27" t="s">
        <v>48799</v>
      </c>
      <c r="W27" t="s">
        <v>42596</v>
      </c>
      <c r="X27" t="s">
        <v>46580</v>
      </c>
    </row>
    <row r="28" spans="1:24">
      <c r="A28">
        <f>HYPERLINK("https://www.philgeps.gov.ph/GEPSNONPILOT/Tender/SplashBidNoticeAbstractUI.aspx?menuIndex=3&amp;refID=7047730&amp;Result=3","7047730")</f>
        <v>0</v>
      </c>
      <c r="B28" t="s">
        <v>32</v>
      </c>
      <c r="C28" t="s">
        <v>3555</v>
      </c>
      <c r="D28" t="s">
        <v>18788</v>
      </c>
      <c r="E28" t="s">
        <v>18906</v>
      </c>
      <c r="F28" t="s">
        <v>32664</v>
      </c>
      <c r="G28" t="s">
        <v>32671</v>
      </c>
      <c r="H28" t="s">
        <v>12635</v>
      </c>
      <c r="I28" t="s">
        <v>10590</v>
      </c>
      <c r="J28" t="s">
        <v>32831</v>
      </c>
      <c r="K28" t="s">
        <v>42281</v>
      </c>
      <c r="M28" t="s">
        <v>42594</v>
      </c>
      <c r="N28" t="s">
        <v>46569</v>
      </c>
      <c r="O28" t="s">
        <v>46570</v>
      </c>
      <c r="P28">
        <v>0</v>
      </c>
      <c r="Q28">
        <v>0</v>
      </c>
      <c r="R28" t="s">
        <v>46571</v>
      </c>
      <c r="S28" t="s">
        <v>46687</v>
      </c>
      <c r="T28" t="s">
        <v>48221</v>
      </c>
      <c r="U28" t="s">
        <v>48800</v>
      </c>
      <c r="V28" t="s">
        <v>61608</v>
      </c>
      <c r="W28" t="s">
        <v>42594</v>
      </c>
      <c r="X28" t="s">
        <v>46580</v>
      </c>
    </row>
    <row r="29" spans="1:24">
      <c r="A29">
        <f>HYPERLINK("https://www.philgeps.gov.ph/GEPSNONPILOT/Tender/SplashBidNoticeAbstractUI.aspx?menuIndex=3&amp;refID=6982057-2&amp;Result=3","6982057-2")</f>
        <v>0</v>
      </c>
      <c r="B29" t="s">
        <v>26</v>
      </c>
      <c r="C29" t="s">
        <v>3556</v>
      </c>
      <c r="D29" t="s">
        <v>18783</v>
      </c>
      <c r="E29" t="s">
        <v>18907</v>
      </c>
      <c r="F29" t="s">
        <v>32664</v>
      </c>
      <c r="G29" t="s">
        <v>32672</v>
      </c>
      <c r="H29" t="s">
        <v>32681</v>
      </c>
      <c r="I29" t="s">
        <v>32681</v>
      </c>
      <c r="J29" t="s">
        <v>32832</v>
      </c>
      <c r="K29" t="s">
        <v>42292</v>
      </c>
      <c r="M29" t="s">
        <v>42588</v>
      </c>
      <c r="N29" t="s">
        <v>46569</v>
      </c>
      <c r="O29" t="s">
        <v>46570</v>
      </c>
      <c r="P29">
        <v>0</v>
      </c>
      <c r="Q29">
        <v>0</v>
      </c>
      <c r="R29" t="s">
        <v>46571</v>
      </c>
      <c r="S29" t="s">
        <v>46687</v>
      </c>
      <c r="T29" t="s">
        <v>48213</v>
      </c>
      <c r="U29" t="s">
        <v>48779</v>
      </c>
      <c r="V29" t="s">
        <v>61600</v>
      </c>
      <c r="W29" t="s">
        <v>42588</v>
      </c>
      <c r="X29" t="s">
        <v>46572</v>
      </c>
    </row>
    <row r="30" spans="1:24">
      <c r="A30">
        <f>HYPERLINK("https://www.philgeps.gov.ph/GEPSNONPILOT/Tender/SplashBidNoticeAbstractUI.aspx?menuIndex=3&amp;refID=7047707&amp;Result=3","7047707")</f>
        <v>0</v>
      </c>
      <c r="B30" t="s">
        <v>32</v>
      </c>
      <c r="C30" t="s">
        <v>3557</v>
      </c>
      <c r="D30" t="s">
        <v>18788</v>
      </c>
      <c r="E30" t="s">
        <v>18908</v>
      </c>
      <c r="F30" t="s">
        <v>32664</v>
      </c>
      <c r="G30" t="s">
        <v>32675</v>
      </c>
      <c r="H30" t="s">
        <v>12635</v>
      </c>
      <c r="I30" t="s">
        <v>6168</v>
      </c>
      <c r="J30" t="s">
        <v>32833</v>
      </c>
      <c r="K30" t="s">
        <v>42281</v>
      </c>
      <c r="M30" t="s">
        <v>42594</v>
      </c>
      <c r="N30" t="s">
        <v>46569</v>
      </c>
      <c r="O30" t="s">
        <v>46570</v>
      </c>
      <c r="P30">
        <v>0</v>
      </c>
      <c r="Q30">
        <v>0</v>
      </c>
      <c r="R30" t="s">
        <v>46571</v>
      </c>
      <c r="S30" t="s">
        <v>46687</v>
      </c>
      <c r="T30" t="s">
        <v>48221</v>
      </c>
      <c r="U30" t="s">
        <v>48801</v>
      </c>
      <c r="V30" t="s">
        <v>61609</v>
      </c>
      <c r="W30" t="s">
        <v>42594</v>
      </c>
      <c r="X30" t="s">
        <v>46580</v>
      </c>
    </row>
    <row r="31" spans="1:24">
      <c r="A31">
        <f>HYPERLINK("https://www.philgeps.gov.ph/GEPSNONPILOT/Tender/SplashBidNoticeAbstractUI.aspx?menuIndex=3&amp;refID=6982058-2&amp;Result=3","6982058-2")</f>
        <v>0</v>
      </c>
      <c r="B31" t="s">
        <v>26</v>
      </c>
      <c r="C31" t="s">
        <v>3558</v>
      </c>
      <c r="D31" t="s">
        <v>18783</v>
      </c>
      <c r="E31" t="s">
        <v>18909</v>
      </c>
      <c r="F31" t="s">
        <v>32664</v>
      </c>
      <c r="G31" t="s">
        <v>32672</v>
      </c>
      <c r="H31" t="s">
        <v>32681</v>
      </c>
      <c r="I31" t="s">
        <v>32681</v>
      </c>
      <c r="J31" t="s">
        <v>32834</v>
      </c>
      <c r="K31" t="s">
        <v>42293</v>
      </c>
      <c r="M31" t="s">
        <v>42588</v>
      </c>
      <c r="N31" t="s">
        <v>46569</v>
      </c>
      <c r="O31" t="s">
        <v>46570</v>
      </c>
      <c r="P31">
        <v>0</v>
      </c>
      <c r="Q31">
        <v>0</v>
      </c>
      <c r="R31" t="s">
        <v>46571</v>
      </c>
      <c r="S31" t="s">
        <v>46687</v>
      </c>
      <c r="T31" t="s">
        <v>48213</v>
      </c>
      <c r="U31" t="s">
        <v>48787</v>
      </c>
      <c r="V31" t="s">
        <v>61600</v>
      </c>
      <c r="W31" t="s">
        <v>42588</v>
      </c>
      <c r="X31" t="s">
        <v>46572</v>
      </c>
    </row>
    <row r="32" spans="1:24">
      <c r="A32">
        <f>HYPERLINK("https://www.philgeps.gov.ph/GEPSNONPILOT/Tender/SplashBidNoticeAbstractUI.aspx?menuIndex=3&amp;refID=6941994&amp;Result=3","6941994")</f>
        <v>0</v>
      </c>
      <c r="B32" t="s">
        <v>25</v>
      </c>
      <c r="C32" t="s">
        <v>3559</v>
      </c>
      <c r="D32" t="s">
        <v>18782</v>
      </c>
      <c r="E32" t="s">
        <v>18910</v>
      </c>
      <c r="F32" t="s">
        <v>32664</v>
      </c>
      <c r="G32" t="s">
        <v>32672</v>
      </c>
      <c r="H32" t="s">
        <v>12635</v>
      </c>
      <c r="I32" t="s">
        <v>32684</v>
      </c>
      <c r="J32" t="s">
        <v>32835</v>
      </c>
      <c r="K32" t="s">
        <v>42281</v>
      </c>
      <c r="M32" t="s">
        <v>42587</v>
      </c>
      <c r="N32" t="s">
        <v>46569</v>
      </c>
      <c r="O32" t="s">
        <v>46570</v>
      </c>
      <c r="P32">
        <v>0</v>
      </c>
      <c r="Q32">
        <v>1</v>
      </c>
      <c r="R32" t="s">
        <v>46571</v>
      </c>
      <c r="S32" t="s">
        <v>46687</v>
      </c>
      <c r="T32" t="s">
        <v>48212</v>
      </c>
      <c r="U32" t="s">
        <v>48802</v>
      </c>
      <c r="V32" t="s">
        <v>61599</v>
      </c>
      <c r="W32" t="s">
        <v>42587</v>
      </c>
      <c r="X32" t="s">
        <v>46682</v>
      </c>
    </row>
    <row r="33" spans="1:24">
      <c r="A33">
        <f>HYPERLINK("https://www.philgeps.gov.ph/GEPSNONPILOT/Tender/SplashBidNoticeAbstractUI.aspx?menuIndex=3&amp;refID=7050342&amp;Result=3","7050342")</f>
        <v>0</v>
      </c>
      <c r="B33" t="s">
        <v>32</v>
      </c>
      <c r="C33" t="s">
        <v>3560</v>
      </c>
      <c r="D33" t="s">
        <v>18788</v>
      </c>
      <c r="E33" t="s">
        <v>18911</v>
      </c>
      <c r="F33" t="s">
        <v>32664</v>
      </c>
      <c r="G33" t="s">
        <v>32671</v>
      </c>
      <c r="H33" t="s">
        <v>12635</v>
      </c>
      <c r="I33" t="s">
        <v>32687</v>
      </c>
      <c r="J33" t="s">
        <v>32836</v>
      </c>
      <c r="K33" t="s">
        <v>42281</v>
      </c>
      <c r="M33" t="s">
        <v>42594</v>
      </c>
      <c r="N33" t="s">
        <v>46569</v>
      </c>
      <c r="O33" t="s">
        <v>46570</v>
      </c>
      <c r="P33">
        <v>0</v>
      </c>
      <c r="Q33">
        <v>0</v>
      </c>
      <c r="R33" t="s">
        <v>46571</v>
      </c>
      <c r="S33" t="s">
        <v>46687</v>
      </c>
      <c r="T33" t="s">
        <v>48221</v>
      </c>
      <c r="U33" t="s">
        <v>48803</v>
      </c>
      <c r="V33" t="s">
        <v>61603</v>
      </c>
      <c r="W33" t="s">
        <v>42594</v>
      </c>
      <c r="X33" t="s">
        <v>46579</v>
      </c>
    </row>
    <row r="34" spans="1:24">
      <c r="A34">
        <f>HYPERLINK("https://www.philgeps.gov.ph/GEPSNONPILOT/Tender/SplashBidNoticeAbstractUI.aspx?menuIndex=3&amp;refID=7055754&amp;Result=3","7055754")</f>
        <v>0</v>
      </c>
      <c r="B34" t="s">
        <v>35</v>
      </c>
      <c r="C34" t="s">
        <v>3561</v>
      </c>
      <c r="D34" t="s">
        <v>18791</v>
      </c>
      <c r="E34" t="s">
        <v>18912</v>
      </c>
      <c r="F34" t="s">
        <v>32664</v>
      </c>
      <c r="G34" t="s">
        <v>32672</v>
      </c>
      <c r="H34" t="s">
        <v>12635</v>
      </c>
      <c r="I34" t="s">
        <v>11464</v>
      </c>
      <c r="J34" t="s">
        <v>32837</v>
      </c>
      <c r="K34" t="s">
        <v>42289</v>
      </c>
      <c r="M34" t="s">
        <v>42597</v>
      </c>
      <c r="N34" t="s">
        <v>46569</v>
      </c>
      <c r="O34" t="s">
        <v>46570</v>
      </c>
      <c r="P34">
        <v>0</v>
      </c>
      <c r="Q34">
        <v>3</v>
      </c>
      <c r="R34" t="s">
        <v>46571</v>
      </c>
      <c r="S34" t="s">
        <v>46687</v>
      </c>
      <c r="T34" t="s">
        <v>48216</v>
      </c>
      <c r="U34" t="s">
        <v>48804</v>
      </c>
      <c r="W34" t="s">
        <v>42597</v>
      </c>
      <c r="X34" t="s">
        <v>46577</v>
      </c>
    </row>
    <row r="35" spans="1:24">
      <c r="A35">
        <f>HYPERLINK("https://www.philgeps.gov.ph/GEPSNONPILOT/Tender/SplashBidNoticeAbstractUI.aspx?menuIndex=3&amp;refID=7054829&amp;Result=3","7054829")</f>
        <v>0</v>
      </c>
      <c r="B35" t="s">
        <v>36</v>
      </c>
      <c r="C35" t="s">
        <v>3562</v>
      </c>
      <c r="D35" t="s">
        <v>18792</v>
      </c>
      <c r="E35" t="s">
        <v>18913</v>
      </c>
      <c r="F35" t="s">
        <v>32664</v>
      </c>
      <c r="G35" t="s">
        <v>32671</v>
      </c>
      <c r="H35" t="s">
        <v>12635</v>
      </c>
      <c r="I35" t="s">
        <v>4439</v>
      </c>
      <c r="J35" t="s">
        <v>32838</v>
      </c>
      <c r="K35" t="s">
        <v>42281</v>
      </c>
      <c r="M35" t="s">
        <v>42598</v>
      </c>
      <c r="N35" t="s">
        <v>46569</v>
      </c>
      <c r="O35" t="s">
        <v>46570</v>
      </c>
      <c r="P35">
        <v>0</v>
      </c>
      <c r="Q35">
        <v>1</v>
      </c>
      <c r="R35" t="s">
        <v>46571</v>
      </c>
      <c r="S35" t="s">
        <v>46687</v>
      </c>
      <c r="T35" t="s">
        <v>48224</v>
      </c>
      <c r="U35" t="s">
        <v>48805</v>
      </c>
      <c r="V35" t="s">
        <v>61610</v>
      </c>
      <c r="W35" t="s">
        <v>42598</v>
      </c>
      <c r="X35" t="s">
        <v>46578</v>
      </c>
    </row>
    <row r="36" spans="1:24">
      <c r="A36">
        <f>HYPERLINK("https://www.philgeps.gov.ph/GEPSNONPILOT/Tender/SplashBidNoticeAbstractUI.aspx?menuIndex=3&amp;refID=7047675&amp;Result=3","7047675")</f>
        <v>0</v>
      </c>
      <c r="B36" t="s">
        <v>32</v>
      </c>
      <c r="C36" t="s">
        <v>3563</v>
      </c>
      <c r="D36" t="s">
        <v>18788</v>
      </c>
      <c r="E36" t="s">
        <v>18914</v>
      </c>
      <c r="F36" t="s">
        <v>32664</v>
      </c>
      <c r="G36" t="s">
        <v>32671</v>
      </c>
      <c r="H36" t="s">
        <v>12635</v>
      </c>
      <c r="I36" t="s">
        <v>32687</v>
      </c>
      <c r="J36" t="s">
        <v>32839</v>
      </c>
      <c r="K36" t="s">
        <v>42281</v>
      </c>
      <c r="M36" t="s">
        <v>42594</v>
      </c>
      <c r="N36" t="s">
        <v>46569</v>
      </c>
      <c r="O36" t="s">
        <v>46570</v>
      </c>
      <c r="P36">
        <v>0</v>
      </c>
      <c r="Q36">
        <v>0</v>
      </c>
      <c r="R36" t="s">
        <v>46571</v>
      </c>
      <c r="S36" t="s">
        <v>46687</v>
      </c>
      <c r="T36" t="s">
        <v>48221</v>
      </c>
      <c r="U36" t="s">
        <v>48806</v>
      </c>
      <c r="V36" t="s">
        <v>61609</v>
      </c>
      <c r="W36" t="s">
        <v>42594</v>
      </c>
      <c r="X36" t="s">
        <v>46580</v>
      </c>
    </row>
    <row r="37" spans="1:24">
      <c r="A37">
        <f>HYPERLINK("https://www.philgeps.gov.ph/GEPSNONPILOT/Tender/SplashBidNoticeAbstractUI.aspx?menuIndex=3&amp;refID=7054053&amp;Result=3","7054053")</f>
        <v>0</v>
      </c>
      <c r="B37" t="s">
        <v>32</v>
      </c>
      <c r="C37" t="s">
        <v>3564</v>
      </c>
      <c r="D37" t="s">
        <v>18788</v>
      </c>
      <c r="E37" t="s">
        <v>18915</v>
      </c>
      <c r="F37" t="s">
        <v>32664</v>
      </c>
      <c r="G37" t="s">
        <v>32675</v>
      </c>
      <c r="H37" t="s">
        <v>12635</v>
      </c>
      <c r="I37" t="s">
        <v>6168</v>
      </c>
      <c r="J37" t="s">
        <v>32840</v>
      </c>
      <c r="K37" t="s">
        <v>42281</v>
      </c>
      <c r="M37" t="s">
        <v>42594</v>
      </c>
      <c r="N37" t="s">
        <v>46569</v>
      </c>
      <c r="O37" t="s">
        <v>46570</v>
      </c>
      <c r="P37">
        <v>0</v>
      </c>
      <c r="Q37">
        <v>0</v>
      </c>
      <c r="R37" t="s">
        <v>46571</v>
      </c>
      <c r="S37" t="s">
        <v>46687</v>
      </c>
      <c r="T37" t="s">
        <v>48221</v>
      </c>
      <c r="U37" t="s">
        <v>48807</v>
      </c>
      <c r="V37" t="s">
        <v>61611</v>
      </c>
      <c r="W37" t="s">
        <v>42594</v>
      </c>
      <c r="X37" t="s">
        <v>46578</v>
      </c>
    </row>
    <row r="38" spans="1:24">
      <c r="A38">
        <f>HYPERLINK("https://www.philgeps.gov.ph/GEPSNONPILOT/Tender/SplashBidNoticeAbstractUI.aspx?menuIndex=3&amp;refID=7053502&amp;Result=3","7053502")</f>
        <v>0</v>
      </c>
      <c r="B38" t="s">
        <v>32</v>
      </c>
      <c r="C38" t="s">
        <v>3565</v>
      </c>
      <c r="D38" t="s">
        <v>18788</v>
      </c>
      <c r="E38" t="s">
        <v>18916</v>
      </c>
      <c r="F38" t="s">
        <v>32664</v>
      </c>
      <c r="G38" t="s">
        <v>32671</v>
      </c>
      <c r="H38" t="s">
        <v>12635</v>
      </c>
      <c r="I38" t="s">
        <v>4205</v>
      </c>
      <c r="J38" t="s">
        <v>32841</v>
      </c>
      <c r="K38" t="s">
        <v>42281</v>
      </c>
      <c r="M38" t="s">
        <v>42594</v>
      </c>
      <c r="N38" t="s">
        <v>46569</v>
      </c>
      <c r="O38" t="s">
        <v>46570</v>
      </c>
      <c r="P38">
        <v>0</v>
      </c>
      <c r="Q38">
        <v>0</v>
      </c>
      <c r="R38" t="s">
        <v>46571</v>
      </c>
      <c r="S38" t="s">
        <v>46687</v>
      </c>
      <c r="T38" t="s">
        <v>48221</v>
      </c>
      <c r="U38" t="s">
        <v>48808</v>
      </c>
      <c r="V38" t="s">
        <v>61612</v>
      </c>
      <c r="W38" t="s">
        <v>42594</v>
      </c>
      <c r="X38" t="s">
        <v>46578</v>
      </c>
    </row>
    <row r="39" spans="1:24">
      <c r="A39">
        <f>HYPERLINK("https://www.philgeps.gov.ph/GEPSNONPILOT/Tender/SplashBidNoticeAbstractUI.aspx?menuIndex=3&amp;refID=7048312&amp;Result=3","7048312")</f>
        <v>0</v>
      </c>
      <c r="B39" t="s">
        <v>37</v>
      </c>
      <c r="C39" t="s">
        <v>3566</v>
      </c>
      <c r="D39" t="s">
        <v>18793</v>
      </c>
      <c r="E39" t="s">
        <v>18917</v>
      </c>
      <c r="F39" t="s">
        <v>32664</v>
      </c>
      <c r="G39" t="s">
        <v>32672</v>
      </c>
      <c r="H39" t="s">
        <v>32683</v>
      </c>
      <c r="I39" t="s">
        <v>10627</v>
      </c>
      <c r="J39" t="s">
        <v>32842</v>
      </c>
      <c r="K39" t="s">
        <v>42294</v>
      </c>
      <c r="M39" t="s">
        <v>42599</v>
      </c>
      <c r="N39" t="s">
        <v>46569</v>
      </c>
      <c r="O39" t="s">
        <v>46570</v>
      </c>
      <c r="P39">
        <v>0</v>
      </c>
      <c r="Q39">
        <v>0</v>
      </c>
      <c r="R39" t="s">
        <v>46571</v>
      </c>
      <c r="S39" t="s">
        <v>46687</v>
      </c>
      <c r="T39" t="s">
        <v>48225</v>
      </c>
      <c r="U39" t="s">
        <v>48809</v>
      </c>
      <c r="W39" t="s">
        <v>42599</v>
      </c>
      <c r="X39" t="s">
        <v>46580</v>
      </c>
    </row>
    <row r="40" spans="1:24">
      <c r="A40">
        <f>HYPERLINK("https://www.philgeps.gov.ph/GEPSNONPILOT/Tender/SplashBidNoticeAbstractUI.aspx?menuIndex=3&amp;refID=7053380&amp;Result=3","7053380")</f>
        <v>0</v>
      </c>
      <c r="B40" t="s">
        <v>32</v>
      </c>
      <c r="C40" t="s">
        <v>3567</v>
      </c>
      <c r="D40" t="s">
        <v>18788</v>
      </c>
      <c r="E40" t="s">
        <v>18918</v>
      </c>
      <c r="F40" t="s">
        <v>32664</v>
      </c>
      <c r="G40" t="s">
        <v>32671</v>
      </c>
      <c r="H40" t="s">
        <v>12635</v>
      </c>
      <c r="I40" t="s">
        <v>32687</v>
      </c>
      <c r="J40" t="s">
        <v>32843</v>
      </c>
      <c r="K40" t="s">
        <v>42281</v>
      </c>
      <c r="M40" t="s">
        <v>42594</v>
      </c>
      <c r="N40" t="s">
        <v>46569</v>
      </c>
      <c r="O40" t="s">
        <v>46570</v>
      </c>
      <c r="P40">
        <v>0</v>
      </c>
      <c r="Q40">
        <v>0</v>
      </c>
      <c r="R40" t="s">
        <v>46571</v>
      </c>
      <c r="S40" t="s">
        <v>46687</v>
      </c>
      <c r="T40" t="s">
        <v>48221</v>
      </c>
      <c r="U40" t="s">
        <v>48810</v>
      </c>
      <c r="V40" t="s">
        <v>61613</v>
      </c>
      <c r="W40" t="s">
        <v>42594</v>
      </c>
      <c r="X40" t="s">
        <v>46578</v>
      </c>
    </row>
    <row r="41" spans="1:24">
      <c r="A41">
        <f>HYPERLINK("https://www.philgeps.gov.ph/GEPSNONPILOT/Tender/SplashBidNoticeAbstractUI.aspx?menuIndex=3&amp;refID=7053135&amp;Result=3","7053135")</f>
        <v>0</v>
      </c>
      <c r="B41" t="s">
        <v>32</v>
      </c>
      <c r="C41" t="s">
        <v>3568</v>
      </c>
      <c r="D41" t="s">
        <v>18788</v>
      </c>
      <c r="E41" t="s">
        <v>18919</v>
      </c>
      <c r="F41" t="s">
        <v>32664</v>
      </c>
      <c r="G41" t="s">
        <v>32671</v>
      </c>
      <c r="H41" t="s">
        <v>12635</v>
      </c>
      <c r="I41" t="s">
        <v>32688</v>
      </c>
      <c r="J41" t="s">
        <v>32844</v>
      </c>
      <c r="K41" t="s">
        <v>42281</v>
      </c>
      <c r="M41" t="s">
        <v>42594</v>
      </c>
      <c r="N41" t="s">
        <v>46569</v>
      </c>
      <c r="O41" t="s">
        <v>46570</v>
      </c>
      <c r="P41">
        <v>0</v>
      </c>
      <c r="Q41">
        <v>3</v>
      </c>
      <c r="R41" t="s">
        <v>46571</v>
      </c>
      <c r="S41" t="s">
        <v>46687</v>
      </c>
      <c r="T41" t="s">
        <v>48221</v>
      </c>
      <c r="U41" t="s">
        <v>48811</v>
      </c>
      <c r="V41" t="s">
        <v>61606</v>
      </c>
      <c r="W41" t="s">
        <v>42594</v>
      </c>
      <c r="X41" t="s">
        <v>46578</v>
      </c>
    </row>
    <row r="42" spans="1:24">
      <c r="A42">
        <f>HYPERLINK("https://www.philgeps.gov.ph/GEPSNONPILOT/Tender/SplashBidNoticeAbstractUI.aspx?menuIndex=3&amp;refID=7053098&amp;Result=3","7053098")</f>
        <v>0</v>
      </c>
      <c r="B42" t="s">
        <v>32</v>
      </c>
      <c r="C42" t="s">
        <v>3569</v>
      </c>
      <c r="D42" t="s">
        <v>18788</v>
      </c>
      <c r="E42" t="s">
        <v>18920</v>
      </c>
      <c r="F42" t="s">
        <v>32664</v>
      </c>
      <c r="G42" t="s">
        <v>32671</v>
      </c>
      <c r="H42" t="s">
        <v>12635</v>
      </c>
      <c r="I42" t="s">
        <v>32689</v>
      </c>
      <c r="J42" t="s">
        <v>32845</v>
      </c>
      <c r="K42" t="s">
        <v>42281</v>
      </c>
      <c r="M42" t="s">
        <v>42594</v>
      </c>
      <c r="N42" t="s">
        <v>46569</v>
      </c>
      <c r="O42" t="s">
        <v>46570</v>
      </c>
      <c r="P42">
        <v>0</v>
      </c>
      <c r="Q42">
        <v>0</v>
      </c>
      <c r="R42" t="s">
        <v>46571</v>
      </c>
      <c r="S42" t="s">
        <v>46687</v>
      </c>
      <c r="T42" t="s">
        <v>48221</v>
      </c>
      <c r="U42" t="s">
        <v>48812</v>
      </c>
      <c r="V42" t="s">
        <v>61614</v>
      </c>
      <c r="W42" t="s">
        <v>42594</v>
      </c>
      <c r="X42" t="s">
        <v>46578</v>
      </c>
    </row>
    <row r="43" spans="1:24">
      <c r="A43">
        <f>HYPERLINK("https://www.philgeps.gov.ph/GEPSNONPILOT/Tender/SplashBidNoticeAbstractUI.aspx?menuIndex=3&amp;refID=7053551&amp;Result=3","7053551")</f>
        <v>0</v>
      </c>
      <c r="B43" t="s">
        <v>32</v>
      </c>
      <c r="C43" t="s">
        <v>3570</v>
      </c>
      <c r="D43" t="s">
        <v>18788</v>
      </c>
      <c r="E43" t="s">
        <v>18921</v>
      </c>
      <c r="F43" t="s">
        <v>32664</v>
      </c>
      <c r="G43" t="s">
        <v>32675</v>
      </c>
      <c r="H43" t="s">
        <v>12635</v>
      </c>
      <c r="I43" t="s">
        <v>6168</v>
      </c>
      <c r="J43" t="s">
        <v>32833</v>
      </c>
      <c r="K43" t="s">
        <v>42281</v>
      </c>
      <c r="M43" t="s">
        <v>42594</v>
      </c>
      <c r="N43" t="s">
        <v>46569</v>
      </c>
      <c r="O43" t="s">
        <v>46570</v>
      </c>
      <c r="P43">
        <v>0</v>
      </c>
      <c r="Q43">
        <v>1</v>
      </c>
      <c r="R43" t="s">
        <v>46571</v>
      </c>
      <c r="S43" t="s">
        <v>46687</v>
      </c>
      <c r="T43" t="s">
        <v>48221</v>
      </c>
      <c r="U43" t="s">
        <v>48813</v>
      </c>
      <c r="V43" t="s">
        <v>61604</v>
      </c>
      <c r="W43" t="s">
        <v>42594</v>
      </c>
      <c r="X43" t="s">
        <v>46578</v>
      </c>
    </row>
    <row r="44" spans="1:24">
      <c r="A44">
        <f>HYPERLINK("https://www.philgeps.gov.ph/GEPSNONPILOT/Tender/SplashBidNoticeAbstractUI.aspx?menuIndex=3&amp;refID=7053341&amp;Result=3","7053341")</f>
        <v>0</v>
      </c>
      <c r="B44" t="s">
        <v>32</v>
      </c>
      <c r="C44" t="s">
        <v>3571</v>
      </c>
      <c r="D44" t="s">
        <v>18788</v>
      </c>
      <c r="E44" t="s">
        <v>18922</v>
      </c>
      <c r="F44" t="s">
        <v>32664</v>
      </c>
      <c r="G44" t="s">
        <v>32671</v>
      </c>
      <c r="H44" t="s">
        <v>12635</v>
      </c>
      <c r="I44" t="s">
        <v>8797</v>
      </c>
      <c r="J44" t="s">
        <v>32846</v>
      </c>
      <c r="K44" t="s">
        <v>42281</v>
      </c>
      <c r="M44" t="s">
        <v>42594</v>
      </c>
      <c r="N44" t="s">
        <v>46569</v>
      </c>
      <c r="O44" t="s">
        <v>46570</v>
      </c>
      <c r="P44">
        <v>0</v>
      </c>
      <c r="Q44">
        <v>0</v>
      </c>
      <c r="R44" t="s">
        <v>46571</v>
      </c>
      <c r="S44" t="s">
        <v>46687</v>
      </c>
      <c r="T44" t="s">
        <v>48221</v>
      </c>
      <c r="U44" t="s">
        <v>48814</v>
      </c>
      <c r="V44" t="s">
        <v>61615</v>
      </c>
      <c r="W44" t="s">
        <v>42594</v>
      </c>
      <c r="X44" t="s">
        <v>46578</v>
      </c>
    </row>
    <row r="45" spans="1:24">
      <c r="A45">
        <f>HYPERLINK("https://www.philgeps.gov.ph/GEPSNONPILOT/Tender/SplashBidNoticeAbstractUI.aspx?menuIndex=3&amp;refID=7058906&amp;Result=3","7058906")</f>
        <v>0</v>
      </c>
      <c r="B45" t="s">
        <v>38</v>
      </c>
      <c r="C45" t="s">
        <v>3572</v>
      </c>
      <c r="D45" t="s">
        <v>18784</v>
      </c>
      <c r="E45" t="s">
        <v>18923</v>
      </c>
      <c r="F45" t="s">
        <v>32664</v>
      </c>
      <c r="G45" t="s">
        <v>32672</v>
      </c>
      <c r="H45" t="s">
        <v>12635</v>
      </c>
      <c r="I45" t="s">
        <v>6223</v>
      </c>
      <c r="J45" t="s">
        <v>32847</v>
      </c>
      <c r="K45" t="s">
        <v>42281</v>
      </c>
      <c r="M45" t="s">
        <v>42600</v>
      </c>
      <c r="N45" t="s">
        <v>46569</v>
      </c>
      <c r="O45" t="s">
        <v>46570</v>
      </c>
      <c r="P45">
        <v>0</v>
      </c>
      <c r="Q45">
        <v>0</v>
      </c>
      <c r="R45" t="s">
        <v>46571</v>
      </c>
      <c r="S45" t="s">
        <v>46687</v>
      </c>
      <c r="T45" t="s">
        <v>48226</v>
      </c>
      <c r="U45" t="s">
        <v>48815</v>
      </c>
      <c r="W45" t="s">
        <v>42600</v>
      </c>
      <c r="X45" t="s">
        <v>46575</v>
      </c>
    </row>
    <row r="46" spans="1:24">
      <c r="A46">
        <f>HYPERLINK("https://www.philgeps.gov.ph/GEPSNONPILOT/Tender/SplashBidNoticeAbstractUI.aspx?menuIndex=3&amp;refID=7058565&amp;Result=3","7058565")</f>
        <v>0</v>
      </c>
      <c r="B46" t="s">
        <v>39</v>
      </c>
      <c r="C46" t="s">
        <v>3573</v>
      </c>
      <c r="D46" t="s">
        <v>18788</v>
      </c>
      <c r="E46" t="s">
        <v>18924</v>
      </c>
      <c r="F46" t="s">
        <v>32664</v>
      </c>
      <c r="G46" t="s">
        <v>32672</v>
      </c>
      <c r="H46" t="s">
        <v>12635</v>
      </c>
      <c r="I46" t="s">
        <v>32690</v>
      </c>
      <c r="J46" t="s">
        <v>32848</v>
      </c>
      <c r="K46" t="s">
        <v>42281</v>
      </c>
      <c r="M46" t="s">
        <v>42601</v>
      </c>
      <c r="N46" t="s">
        <v>46569</v>
      </c>
      <c r="O46" t="s">
        <v>46570</v>
      </c>
      <c r="P46">
        <v>0</v>
      </c>
      <c r="Q46">
        <v>2</v>
      </c>
      <c r="R46" t="s">
        <v>46571</v>
      </c>
      <c r="S46" t="s">
        <v>46687</v>
      </c>
      <c r="T46" t="s">
        <v>48227</v>
      </c>
      <c r="U46" t="s">
        <v>48816</v>
      </c>
      <c r="W46" t="s">
        <v>42601</v>
      </c>
      <c r="X46" t="s">
        <v>46575</v>
      </c>
    </row>
    <row r="47" spans="1:24">
      <c r="A47">
        <f>HYPERLINK("https://www.philgeps.gov.ph/GEPSNONPILOT/Tender/SplashBidNoticeAbstractUI.aspx?menuIndex=3&amp;refID=7054152&amp;Result=3","7054152")</f>
        <v>0</v>
      </c>
      <c r="B47" t="s">
        <v>40</v>
      </c>
      <c r="C47" t="s">
        <v>3574</v>
      </c>
      <c r="D47" t="s">
        <v>18786</v>
      </c>
      <c r="E47" t="s">
        <v>18925</v>
      </c>
      <c r="F47" t="s">
        <v>32664</v>
      </c>
      <c r="G47" t="s">
        <v>32671</v>
      </c>
      <c r="H47" t="s">
        <v>32682</v>
      </c>
      <c r="I47" t="s">
        <v>32691</v>
      </c>
      <c r="J47" t="s">
        <v>32849</v>
      </c>
      <c r="K47" t="s">
        <v>42295</v>
      </c>
      <c r="M47" t="s">
        <v>42602</v>
      </c>
      <c r="N47" t="s">
        <v>46569</v>
      </c>
      <c r="O47" t="s">
        <v>46570</v>
      </c>
      <c r="P47">
        <v>0</v>
      </c>
      <c r="Q47">
        <v>1</v>
      </c>
      <c r="R47" t="s">
        <v>46571</v>
      </c>
      <c r="S47" t="s">
        <v>46687</v>
      </c>
      <c r="T47" t="s">
        <v>48221</v>
      </c>
      <c r="U47" t="s">
        <v>48817</v>
      </c>
      <c r="W47" t="s">
        <v>42602</v>
      </c>
      <c r="X47" t="s">
        <v>46578</v>
      </c>
    </row>
    <row r="48" spans="1:24">
      <c r="A48">
        <f>HYPERLINK("https://www.philgeps.gov.ph/GEPSNONPILOT/Tender/SplashBidNoticeAbstractUI.aspx?menuIndex=3&amp;refID=7058525&amp;Result=3","7058525")</f>
        <v>0</v>
      </c>
      <c r="B48" t="s">
        <v>41</v>
      </c>
      <c r="C48" t="s">
        <v>3575</v>
      </c>
      <c r="E48" t="s">
        <v>18926</v>
      </c>
      <c r="F48" t="s">
        <v>32664</v>
      </c>
      <c r="G48" t="s">
        <v>32671</v>
      </c>
      <c r="H48" t="s">
        <v>12635</v>
      </c>
      <c r="I48" t="s">
        <v>32692</v>
      </c>
      <c r="J48" t="s">
        <v>32850</v>
      </c>
      <c r="K48" t="s">
        <v>42283</v>
      </c>
      <c r="M48" t="s">
        <v>42603</v>
      </c>
      <c r="N48" t="s">
        <v>46569</v>
      </c>
      <c r="O48" t="s">
        <v>46570</v>
      </c>
      <c r="P48">
        <v>0</v>
      </c>
      <c r="Q48">
        <v>0</v>
      </c>
      <c r="R48" t="s">
        <v>46571</v>
      </c>
      <c r="S48" t="s">
        <v>46687</v>
      </c>
      <c r="T48" t="s">
        <v>48219</v>
      </c>
      <c r="U48" t="s">
        <v>48818</v>
      </c>
      <c r="W48" t="s">
        <v>42603</v>
      </c>
      <c r="X48" t="s">
        <v>46575</v>
      </c>
    </row>
    <row r="49" spans="1:24">
      <c r="A49">
        <f>HYPERLINK("https://www.philgeps.gov.ph/GEPSNONPILOT/Tender/SplashBidNoticeAbstractUI.aspx?menuIndex=3&amp;refID=7057394&amp;Result=3","7057394")</f>
        <v>0</v>
      </c>
      <c r="B49" t="s">
        <v>42</v>
      </c>
      <c r="C49" t="s">
        <v>3576</v>
      </c>
      <c r="D49" t="s">
        <v>18794</v>
      </c>
      <c r="E49" t="s">
        <v>18927</v>
      </c>
      <c r="F49" t="s">
        <v>32664</v>
      </c>
      <c r="G49" t="s">
        <v>32671</v>
      </c>
      <c r="H49" t="s">
        <v>12635</v>
      </c>
      <c r="I49" t="s">
        <v>32685</v>
      </c>
      <c r="J49" t="s">
        <v>32851</v>
      </c>
      <c r="K49" t="s">
        <v>42283</v>
      </c>
      <c r="M49" t="s">
        <v>42604</v>
      </c>
      <c r="N49" t="s">
        <v>46569</v>
      </c>
      <c r="O49" t="s">
        <v>46570</v>
      </c>
      <c r="P49">
        <v>0</v>
      </c>
      <c r="Q49">
        <v>0</v>
      </c>
      <c r="R49" t="s">
        <v>46571</v>
      </c>
      <c r="S49" t="s">
        <v>46687</v>
      </c>
      <c r="T49" t="s">
        <v>48228</v>
      </c>
      <c r="U49" t="s">
        <v>48819</v>
      </c>
      <c r="V49" t="s">
        <v>61616</v>
      </c>
      <c r="W49" t="s">
        <v>42604</v>
      </c>
      <c r="X49" t="s">
        <v>46577</v>
      </c>
    </row>
    <row r="50" spans="1:24">
      <c r="A50">
        <f>HYPERLINK("https://www.philgeps.gov.ph/GEPSNONPILOT/Tender/SplashBidNoticeAbstractUI.aspx?menuIndex=3&amp;refID=6982061-2&amp;Result=3","6982061-2")</f>
        <v>0</v>
      </c>
      <c r="B50" t="s">
        <v>26</v>
      </c>
      <c r="C50" t="s">
        <v>3577</v>
      </c>
      <c r="D50" t="s">
        <v>18783</v>
      </c>
      <c r="E50" t="s">
        <v>18928</v>
      </c>
      <c r="F50" t="s">
        <v>32664</v>
      </c>
      <c r="G50" t="s">
        <v>32672</v>
      </c>
      <c r="H50" t="s">
        <v>32681</v>
      </c>
      <c r="I50" t="s">
        <v>32681</v>
      </c>
      <c r="J50" t="s">
        <v>32852</v>
      </c>
      <c r="K50" t="s">
        <v>42296</v>
      </c>
      <c r="M50" t="s">
        <v>42588</v>
      </c>
      <c r="N50" t="s">
        <v>46569</v>
      </c>
      <c r="O50" t="s">
        <v>46570</v>
      </c>
      <c r="P50">
        <v>0</v>
      </c>
      <c r="Q50">
        <v>0</v>
      </c>
      <c r="R50" t="s">
        <v>46571</v>
      </c>
      <c r="S50" t="s">
        <v>46687</v>
      </c>
      <c r="T50" t="s">
        <v>48213</v>
      </c>
      <c r="U50" t="s">
        <v>48779</v>
      </c>
      <c r="V50" t="s">
        <v>61600</v>
      </c>
      <c r="W50" t="s">
        <v>42588</v>
      </c>
      <c r="X50" t="s">
        <v>46572</v>
      </c>
    </row>
    <row r="51" spans="1:24">
      <c r="A51">
        <f>HYPERLINK("https://www.philgeps.gov.ph/GEPSNONPILOT/Tender/SplashBidNoticeAbstractUI.aspx?menuIndex=3&amp;refID=7056983&amp;Result=3","7056983")</f>
        <v>0</v>
      </c>
      <c r="B51" t="s">
        <v>43</v>
      </c>
      <c r="C51" t="s">
        <v>3578</v>
      </c>
      <c r="D51" t="s">
        <v>18789</v>
      </c>
      <c r="E51" t="s">
        <v>18929</v>
      </c>
      <c r="F51" t="s">
        <v>32664</v>
      </c>
      <c r="G51" t="s">
        <v>32671</v>
      </c>
      <c r="H51" t="s">
        <v>12635</v>
      </c>
      <c r="I51" t="s">
        <v>32693</v>
      </c>
      <c r="J51" t="s">
        <v>32853</v>
      </c>
      <c r="K51" t="s">
        <v>42297</v>
      </c>
      <c r="M51" t="s">
        <v>42605</v>
      </c>
      <c r="N51" t="s">
        <v>46569</v>
      </c>
      <c r="O51" t="s">
        <v>46570</v>
      </c>
      <c r="P51">
        <v>0</v>
      </c>
      <c r="Q51">
        <v>3</v>
      </c>
      <c r="R51" t="s">
        <v>46571</v>
      </c>
      <c r="S51" t="s">
        <v>46687</v>
      </c>
      <c r="T51" t="s">
        <v>48229</v>
      </c>
      <c r="U51" t="s">
        <v>48820</v>
      </c>
      <c r="V51" t="s">
        <v>61617</v>
      </c>
      <c r="W51" t="s">
        <v>42605</v>
      </c>
      <c r="X51" t="s">
        <v>46577</v>
      </c>
    </row>
    <row r="52" spans="1:24">
      <c r="A52">
        <f>HYPERLINK("https://www.philgeps.gov.ph/GEPSNONPILOT/Tender/SplashBidNoticeAbstractUI.aspx?menuIndex=3&amp;refID=7056772&amp;Result=3","7056772")</f>
        <v>0</v>
      </c>
      <c r="B52" t="s">
        <v>44</v>
      </c>
      <c r="C52" t="s">
        <v>3579</v>
      </c>
      <c r="D52" t="s">
        <v>18795</v>
      </c>
      <c r="E52" t="s">
        <v>18930</v>
      </c>
      <c r="F52" t="s">
        <v>32664</v>
      </c>
      <c r="G52" t="s">
        <v>32672</v>
      </c>
      <c r="H52" t="s">
        <v>32683</v>
      </c>
      <c r="I52" t="s">
        <v>10627</v>
      </c>
      <c r="J52" t="s">
        <v>32854</v>
      </c>
      <c r="K52" t="s">
        <v>42298</v>
      </c>
      <c r="M52" t="s">
        <v>42606</v>
      </c>
      <c r="N52" t="s">
        <v>46569</v>
      </c>
      <c r="O52" t="s">
        <v>46570</v>
      </c>
      <c r="P52">
        <v>0</v>
      </c>
      <c r="Q52">
        <v>0</v>
      </c>
      <c r="R52" t="s">
        <v>46571</v>
      </c>
      <c r="S52" t="s">
        <v>46687</v>
      </c>
      <c r="T52" t="s">
        <v>48226</v>
      </c>
      <c r="U52" t="s">
        <v>48821</v>
      </c>
      <c r="W52" t="s">
        <v>42606</v>
      </c>
      <c r="X52" t="s">
        <v>46577</v>
      </c>
    </row>
    <row r="53" spans="1:24">
      <c r="A53">
        <f>HYPERLINK("https://www.philgeps.gov.ph/GEPSNONPILOT/Tender/SplashBidNoticeAbstractUI.aspx?menuIndex=3&amp;refID=7056696&amp;Result=3","7056696")</f>
        <v>0</v>
      </c>
      <c r="B53" t="s">
        <v>45</v>
      </c>
      <c r="C53" t="s">
        <v>3580</v>
      </c>
      <c r="D53" t="s">
        <v>18789</v>
      </c>
      <c r="E53" t="s">
        <v>18931</v>
      </c>
      <c r="F53" t="s">
        <v>32664</v>
      </c>
      <c r="G53" t="s">
        <v>32672</v>
      </c>
      <c r="H53" t="s">
        <v>12635</v>
      </c>
      <c r="I53" t="s">
        <v>32692</v>
      </c>
      <c r="J53" t="s">
        <v>32855</v>
      </c>
      <c r="K53" t="s">
        <v>42289</v>
      </c>
      <c r="M53" t="s">
        <v>42607</v>
      </c>
      <c r="N53" t="s">
        <v>46569</v>
      </c>
      <c r="O53" t="s">
        <v>46570</v>
      </c>
      <c r="P53">
        <v>0</v>
      </c>
      <c r="Q53">
        <v>1</v>
      </c>
      <c r="R53" t="s">
        <v>46571</v>
      </c>
      <c r="S53" t="s">
        <v>46687</v>
      </c>
      <c r="T53" t="s">
        <v>48230</v>
      </c>
      <c r="U53" t="s">
        <v>48822</v>
      </c>
      <c r="W53" t="s">
        <v>42607</v>
      </c>
      <c r="X53" t="s">
        <v>46577</v>
      </c>
    </row>
    <row r="54" spans="1:24">
      <c r="A54">
        <f>HYPERLINK("https://www.philgeps.gov.ph/GEPSNONPILOT/Tender/SplashBidNoticeAbstractUI.aspx?menuIndex=3&amp;refID=7056291&amp;Result=3","7056291")</f>
        <v>0</v>
      </c>
      <c r="B54" t="s">
        <v>32</v>
      </c>
      <c r="C54" t="s">
        <v>3581</v>
      </c>
      <c r="D54" t="s">
        <v>18788</v>
      </c>
      <c r="E54" t="s">
        <v>18932</v>
      </c>
      <c r="F54" t="s">
        <v>32664</v>
      </c>
      <c r="G54" t="s">
        <v>32671</v>
      </c>
      <c r="H54" t="s">
        <v>12635</v>
      </c>
      <c r="I54" t="s">
        <v>32694</v>
      </c>
      <c r="J54" t="s">
        <v>32856</v>
      </c>
      <c r="K54" t="s">
        <v>42281</v>
      </c>
      <c r="M54" t="s">
        <v>42594</v>
      </c>
      <c r="N54" t="s">
        <v>46569</v>
      </c>
      <c r="O54" t="s">
        <v>46570</v>
      </c>
      <c r="P54">
        <v>0</v>
      </c>
      <c r="Q54">
        <v>0</v>
      </c>
      <c r="R54" t="s">
        <v>46571</v>
      </c>
      <c r="S54" t="s">
        <v>46687</v>
      </c>
      <c r="T54" t="s">
        <v>48221</v>
      </c>
      <c r="U54" t="s">
        <v>48823</v>
      </c>
      <c r="V54" t="s">
        <v>61618</v>
      </c>
      <c r="W54" t="s">
        <v>42594</v>
      </c>
      <c r="X54" t="s">
        <v>46577</v>
      </c>
    </row>
    <row r="55" spans="1:24">
      <c r="A55">
        <f>HYPERLINK("https://www.philgeps.gov.ph/GEPSNONPILOT/Tender/SplashBidNoticeAbstractUI.aspx?menuIndex=3&amp;refID=7056258&amp;Result=3","7056258")</f>
        <v>0</v>
      </c>
      <c r="B55" t="s">
        <v>46</v>
      </c>
      <c r="C55" t="s">
        <v>3582</v>
      </c>
      <c r="D55" t="s">
        <v>18796</v>
      </c>
      <c r="E55" t="s">
        <v>18933</v>
      </c>
      <c r="F55" t="s">
        <v>32664</v>
      </c>
      <c r="G55" t="s">
        <v>32674</v>
      </c>
      <c r="H55" t="s">
        <v>12635</v>
      </c>
      <c r="I55" t="s">
        <v>10370</v>
      </c>
      <c r="J55" t="s">
        <v>32857</v>
      </c>
      <c r="K55" t="s">
        <v>42297</v>
      </c>
      <c r="M55" t="s">
        <v>42608</v>
      </c>
      <c r="N55" t="s">
        <v>46569</v>
      </c>
      <c r="O55" t="s">
        <v>46570</v>
      </c>
      <c r="P55">
        <v>0</v>
      </c>
      <c r="Q55">
        <v>0</v>
      </c>
      <c r="R55" t="s">
        <v>46571</v>
      </c>
      <c r="S55" t="s">
        <v>46687</v>
      </c>
      <c r="T55" t="s">
        <v>48231</v>
      </c>
      <c r="U55" t="s">
        <v>48824</v>
      </c>
      <c r="W55" t="s">
        <v>42608</v>
      </c>
      <c r="X55" t="s">
        <v>46577</v>
      </c>
    </row>
    <row r="56" spans="1:24">
      <c r="A56">
        <f>HYPERLINK("https://www.philgeps.gov.ph/GEPSNONPILOT/Tender/SplashBidNoticeAbstractUI.aspx?menuIndex=3&amp;refID=7058260&amp;Result=3","7058260")</f>
        <v>0</v>
      </c>
      <c r="B56" t="s">
        <v>39</v>
      </c>
      <c r="C56" t="s">
        <v>3583</v>
      </c>
      <c r="D56" t="s">
        <v>18788</v>
      </c>
      <c r="E56" t="s">
        <v>18934</v>
      </c>
      <c r="F56" t="s">
        <v>32664</v>
      </c>
      <c r="G56" t="s">
        <v>32672</v>
      </c>
      <c r="H56" t="s">
        <v>32683</v>
      </c>
      <c r="I56" t="s">
        <v>10627</v>
      </c>
      <c r="J56" t="s">
        <v>32858</v>
      </c>
      <c r="K56" t="s">
        <v>42299</v>
      </c>
      <c r="M56" t="s">
        <v>42601</v>
      </c>
      <c r="N56" t="s">
        <v>46569</v>
      </c>
      <c r="O56" t="s">
        <v>46570</v>
      </c>
      <c r="P56">
        <v>0</v>
      </c>
      <c r="Q56">
        <v>0</v>
      </c>
      <c r="R56" t="s">
        <v>46571</v>
      </c>
      <c r="S56" t="s">
        <v>46687</v>
      </c>
      <c r="T56" t="s">
        <v>48232</v>
      </c>
      <c r="U56" t="s">
        <v>48825</v>
      </c>
      <c r="W56" t="s">
        <v>42601</v>
      </c>
      <c r="X56" t="s">
        <v>46576</v>
      </c>
    </row>
    <row r="57" spans="1:24">
      <c r="A57">
        <f>HYPERLINK("https://www.philgeps.gov.ph/GEPSNONPILOT/Tender/SplashBidNoticeAbstractUI.aspx?menuIndex=3&amp;refID=7056935&amp;Result=3","7056935")</f>
        <v>0</v>
      </c>
      <c r="B57" t="s">
        <v>43</v>
      </c>
      <c r="C57" t="s">
        <v>3584</v>
      </c>
      <c r="D57" t="s">
        <v>18789</v>
      </c>
      <c r="E57" t="s">
        <v>18935</v>
      </c>
      <c r="F57" t="s">
        <v>32664</v>
      </c>
      <c r="G57" t="s">
        <v>32672</v>
      </c>
      <c r="H57" t="s">
        <v>12635</v>
      </c>
      <c r="I57" t="s">
        <v>14442</v>
      </c>
      <c r="J57" t="s">
        <v>32837</v>
      </c>
      <c r="K57" t="s">
        <v>42297</v>
      </c>
      <c r="M57" t="s">
        <v>42605</v>
      </c>
      <c r="N57" t="s">
        <v>46569</v>
      </c>
      <c r="O57" t="s">
        <v>46570</v>
      </c>
      <c r="P57">
        <v>0</v>
      </c>
      <c r="Q57">
        <v>3</v>
      </c>
      <c r="R57" t="s">
        <v>46571</v>
      </c>
      <c r="S57" t="s">
        <v>46687</v>
      </c>
      <c r="T57" t="s">
        <v>48233</v>
      </c>
      <c r="U57" t="s">
        <v>48826</v>
      </c>
      <c r="V57" t="s">
        <v>61617</v>
      </c>
      <c r="W57" t="s">
        <v>42605</v>
      </c>
      <c r="X57" t="s">
        <v>46577</v>
      </c>
    </row>
    <row r="58" spans="1:24">
      <c r="A58">
        <f>HYPERLINK("https://www.philgeps.gov.ph/GEPSNONPILOT/Tender/SplashBidNoticeAbstractUI.aspx?menuIndex=3&amp;refID=7053591&amp;Result=3","7053591")</f>
        <v>0</v>
      </c>
      <c r="B58" t="s">
        <v>32</v>
      </c>
      <c r="C58" t="s">
        <v>3585</v>
      </c>
      <c r="D58" t="s">
        <v>18788</v>
      </c>
      <c r="E58" t="s">
        <v>18936</v>
      </c>
      <c r="F58" t="s">
        <v>32664</v>
      </c>
      <c r="G58" t="s">
        <v>32675</v>
      </c>
      <c r="H58" t="s">
        <v>12635</v>
      </c>
      <c r="I58" t="s">
        <v>6168</v>
      </c>
      <c r="J58" t="s">
        <v>32859</v>
      </c>
      <c r="K58" t="s">
        <v>42281</v>
      </c>
      <c r="M58" t="s">
        <v>42594</v>
      </c>
      <c r="N58" t="s">
        <v>46569</v>
      </c>
      <c r="O58" t="s">
        <v>46570</v>
      </c>
      <c r="P58">
        <v>0</v>
      </c>
      <c r="Q58">
        <v>0</v>
      </c>
      <c r="R58" t="s">
        <v>46571</v>
      </c>
      <c r="S58" t="s">
        <v>46687</v>
      </c>
      <c r="T58" t="s">
        <v>48221</v>
      </c>
      <c r="U58" t="s">
        <v>48827</v>
      </c>
      <c r="V58" t="s">
        <v>61614</v>
      </c>
      <c r="W58" t="s">
        <v>42594</v>
      </c>
      <c r="X58" t="s">
        <v>46578</v>
      </c>
    </row>
    <row r="59" spans="1:24">
      <c r="A59">
        <f>HYPERLINK("https://www.philgeps.gov.ph/GEPSNONPILOT/Tender/SplashBidNoticeAbstractUI.aspx?menuIndex=3&amp;refID=7058585&amp;Result=3","7058585")</f>
        <v>0</v>
      </c>
      <c r="B59" t="s">
        <v>47</v>
      </c>
      <c r="C59" t="s">
        <v>3586</v>
      </c>
      <c r="D59" t="s">
        <v>18797</v>
      </c>
      <c r="E59" t="s">
        <v>18937</v>
      </c>
      <c r="F59" t="s">
        <v>32664</v>
      </c>
      <c r="G59" t="s">
        <v>32672</v>
      </c>
      <c r="H59" t="s">
        <v>32683</v>
      </c>
      <c r="I59" t="s">
        <v>10627</v>
      </c>
      <c r="J59" t="s">
        <v>32860</v>
      </c>
      <c r="K59" t="s">
        <v>42285</v>
      </c>
      <c r="M59" t="s">
        <v>42609</v>
      </c>
      <c r="N59" t="s">
        <v>46569</v>
      </c>
      <c r="O59" t="s">
        <v>46570</v>
      </c>
      <c r="P59">
        <v>0</v>
      </c>
      <c r="Q59">
        <v>6</v>
      </c>
      <c r="R59" t="s">
        <v>46571</v>
      </c>
      <c r="S59" t="s">
        <v>46687</v>
      </c>
      <c r="T59" t="s">
        <v>48234</v>
      </c>
      <c r="U59" t="s">
        <v>48828</v>
      </c>
      <c r="W59" t="s">
        <v>42609</v>
      </c>
      <c r="X59" t="s">
        <v>46575</v>
      </c>
    </row>
    <row r="60" spans="1:24">
      <c r="A60">
        <f>HYPERLINK("https://www.philgeps.gov.ph/GEPSNONPILOT/Tender/SplashBidNoticeAbstractUI.aspx?menuIndex=3&amp;refID=6982054-2&amp;Result=3","6982054-2")</f>
        <v>0</v>
      </c>
      <c r="B60" t="s">
        <v>26</v>
      </c>
      <c r="C60" t="s">
        <v>3587</v>
      </c>
      <c r="D60" t="s">
        <v>18783</v>
      </c>
      <c r="E60" t="s">
        <v>18938</v>
      </c>
      <c r="F60" t="s">
        <v>32664</v>
      </c>
      <c r="G60" t="s">
        <v>32672</v>
      </c>
      <c r="H60" t="s">
        <v>32681</v>
      </c>
      <c r="I60" t="s">
        <v>32681</v>
      </c>
      <c r="J60" t="s">
        <v>32861</v>
      </c>
      <c r="K60" t="s">
        <v>42287</v>
      </c>
      <c r="M60" t="s">
        <v>42588</v>
      </c>
      <c r="N60" t="s">
        <v>46569</v>
      </c>
      <c r="O60" t="s">
        <v>46570</v>
      </c>
      <c r="P60">
        <v>0</v>
      </c>
      <c r="Q60">
        <v>0</v>
      </c>
      <c r="R60" t="s">
        <v>46571</v>
      </c>
      <c r="S60" t="s">
        <v>46687</v>
      </c>
      <c r="T60" t="s">
        <v>48213</v>
      </c>
      <c r="U60" t="s">
        <v>48779</v>
      </c>
      <c r="V60" t="s">
        <v>61600</v>
      </c>
      <c r="W60" t="s">
        <v>42588</v>
      </c>
      <c r="X60" t="s">
        <v>46572</v>
      </c>
    </row>
    <row r="61" spans="1:24">
      <c r="A61">
        <f>HYPERLINK("https://www.philgeps.gov.ph/GEPSNONPILOT/Tender/SplashBidNoticeAbstractUI.aspx?menuIndex=3&amp;refID=7059757&amp;Result=3","7059757")</f>
        <v>0</v>
      </c>
      <c r="B61" t="s">
        <v>48</v>
      </c>
      <c r="C61" t="s">
        <v>3588</v>
      </c>
      <c r="D61" t="s">
        <v>18798</v>
      </c>
      <c r="E61" t="s">
        <v>18939</v>
      </c>
      <c r="F61" t="s">
        <v>32664</v>
      </c>
      <c r="G61" t="s">
        <v>32672</v>
      </c>
      <c r="H61" t="s">
        <v>12635</v>
      </c>
      <c r="I61" t="s">
        <v>6168</v>
      </c>
      <c r="J61" t="s">
        <v>32862</v>
      </c>
      <c r="K61" t="s">
        <v>42284</v>
      </c>
      <c r="M61" t="s">
        <v>42610</v>
      </c>
      <c r="N61" t="s">
        <v>46569</v>
      </c>
      <c r="O61" t="s">
        <v>46570</v>
      </c>
      <c r="P61">
        <v>0</v>
      </c>
      <c r="Q61">
        <v>0</v>
      </c>
      <c r="R61" t="s">
        <v>46571</v>
      </c>
      <c r="S61" t="s">
        <v>46687</v>
      </c>
      <c r="T61" t="s">
        <v>48232</v>
      </c>
      <c r="U61" t="s">
        <v>48829</v>
      </c>
      <c r="W61" t="s">
        <v>42610</v>
      </c>
      <c r="X61" t="s">
        <v>46574</v>
      </c>
    </row>
    <row r="62" spans="1:24">
      <c r="A62">
        <f>HYPERLINK("https://www.philgeps.gov.ph/GEPSNONPILOT/Tender/SplashBidNoticeAbstractUI.aspx?menuIndex=3&amp;refID=7059675&amp;Result=3","7059675")</f>
        <v>0</v>
      </c>
      <c r="B62" t="s">
        <v>49</v>
      </c>
      <c r="C62" t="s">
        <v>3589</v>
      </c>
      <c r="D62" t="s">
        <v>18799</v>
      </c>
      <c r="E62" t="s">
        <v>18940</v>
      </c>
      <c r="F62" t="s">
        <v>32664</v>
      </c>
      <c r="G62" t="s">
        <v>32672</v>
      </c>
      <c r="H62" t="s">
        <v>32683</v>
      </c>
      <c r="I62" t="s">
        <v>10627</v>
      </c>
      <c r="J62" t="s">
        <v>32863</v>
      </c>
      <c r="K62" t="s">
        <v>42300</v>
      </c>
      <c r="M62" t="s">
        <v>42611</v>
      </c>
      <c r="N62" t="s">
        <v>46569</v>
      </c>
      <c r="O62" t="s">
        <v>46570</v>
      </c>
      <c r="P62">
        <v>0</v>
      </c>
      <c r="Q62">
        <v>4</v>
      </c>
      <c r="R62" t="s">
        <v>46571</v>
      </c>
      <c r="S62" t="s">
        <v>46687</v>
      </c>
      <c r="T62" t="s">
        <v>48235</v>
      </c>
      <c r="U62" t="s">
        <v>48830</v>
      </c>
      <c r="V62" t="s">
        <v>61619</v>
      </c>
      <c r="W62" t="s">
        <v>63463</v>
      </c>
      <c r="X62" t="s">
        <v>46574</v>
      </c>
    </row>
    <row r="63" spans="1:24">
      <c r="A63">
        <f>HYPERLINK("https://www.philgeps.gov.ph/GEPSNONPILOT/Tender/SplashBidNoticeAbstractUI.aspx?menuIndex=3&amp;refID=7059741&amp;Result=3","7059741")</f>
        <v>0</v>
      </c>
      <c r="B63" t="s">
        <v>49</v>
      </c>
      <c r="C63" t="s">
        <v>3590</v>
      </c>
      <c r="D63" t="s">
        <v>18799</v>
      </c>
      <c r="E63" t="s">
        <v>18941</v>
      </c>
      <c r="F63" t="s">
        <v>32664</v>
      </c>
      <c r="G63" t="s">
        <v>32672</v>
      </c>
      <c r="H63" t="s">
        <v>32683</v>
      </c>
      <c r="I63" t="s">
        <v>10627</v>
      </c>
      <c r="J63" t="s">
        <v>32864</v>
      </c>
      <c r="K63" t="s">
        <v>42301</v>
      </c>
      <c r="M63" t="s">
        <v>42611</v>
      </c>
      <c r="N63" t="s">
        <v>46569</v>
      </c>
      <c r="O63" t="s">
        <v>46570</v>
      </c>
      <c r="P63">
        <v>0</v>
      </c>
      <c r="Q63">
        <v>3</v>
      </c>
      <c r="R63" t="s">
        <v>46571</v>
      </c>
      <c r="S63" t="s">
        <v>46687</v>
      </c>
      <c r="T63" t="s">
        <v>48235</v>
      </c>
      <c r="U63" t="s">
        <v>48831</v>
      </c>
      <c r="V63" t="s">
        <v>61619</v>
      </c>
      <c r="W63" t="s">
        <v>63463</v>
      </c>
      <c r="X63" t="s">
        <v>46574</v>
      </c>
    </row>
    <row r="64" spans="1:24">
      <c r="A64">
        <f>HYPERLINK("https://www.philgeps.gov.ph/GEPSNONPILOT/Tender/SplashBidNoticeAbstractUI.aspx?menuIndex=3&amp;refID=7059642&amp;Result=3","7059642")</f>
        <v>0</v>
      </c>
      <c r="B64" t="s">
        <v>50</v>
      </c>
      <c r="C64" t="s">
        <v>3591</v>
      </c>
      <c r="D64" t="s">
        <v>18800</v>
      </c>
      <c r="E64" t="s">
        <v>18942</v>
      </c>
      <c r="F64" t="s">
        <v>32664</v>
      </c>
      <c r="G64" t="s">
        <v>32672</v>
      </c>
      <c r="H64" t="s">
        <v>32683</v>
      </c>
      <c r="I64" t="s">
        <v>10627</v>
      </c>
      <c r="J64" t="s">
        <v>32865</v>
      </c>
      <c r="K64" t="s">
        <v>42298</v>
      </c>
      <c r="L64" t="s">
        <v>50</v>
      </c>
      <c r="M64" t="s">
        <v>42612</v>
      </c>
      <c r="N64" t="s">
        <v>46569</v>
      </c>
      <c r="O64" t="s">
        <v>46570</v>
      </c>
      <c r="P64">
        <v>0</v>
      </c>
      <c r="Q64">
        <v>0</v>
      </c>
      <c r="R64" t="s">
        <v>46571</v>
      </c>
      <c r="S64" t="s">
        <v>46687</v>
      </c>
      <c r="T64" t="s">
        <v>48236</v>
      </c>
      <c r="U64" t="s">
        <v>48832</v>
      </c>
      <c r="V64" t="s">
        <v>61620</v>
      </c>
      <c r="W64" t="s">
        <v>42612</v>
      </c>
      <c r="X64" t="s">
        <v>46574</v>
      </c>
    </row>
    <row r="65" spans="1:24">
      <c r="A65">
        <f>HYPERLINK("https://www.philgeps.gov.ph/GEPSNONPILOT/Tender/SplashBidNoticeAbstractUI.aspx?menuIndex=3&amp;refID=7059634&amp;Result=3","7059634")</f>
        <v>0</v>
      </c>
      <c r="B65" t="s">
        <v>51</v>
      </c>
      <c r="C65" t="s">
        <v>3592</v>
      </c>
      <c r="D65" t="s">
        <v>18801</v>
      </c>
      <c r="E65" t="s">
        <v>18943</v>
      </c>
      <c r="F65" t="s">
        <v>32664</v>
      </c>
      <c r="G65" t="s">
        <v>32672</v>
      </c>
      <c r="H65" t="s">
        <v>12635</v>
      </c>
      <c r="I65" t="s">
        <v>32695</v>
      </c>
      <c r="J65" t="s">
        <v>32866</v>
      </c>
      <c r="K65" t="s">
        <v>42284</v>
      </c>
      <c r="M65" t="s">
        <v>42613</v>
      </c>
      <c r="N65" t="s">
        <v>46569</v>
      </c>
      <c r="O65" t="s">
        <v>46570</v>
      </c>
      <c r="P65">
        <v>0</v>
      </c>
      <c r="Q65">
        <v>1</v>
      </c>
      <c r="R65" t="s">
        <v>46571</v>
      </c>
      <c r="S65" t="s">
        <v>46687</v>
      </c>
      <c r="T65" t="s">
        <v>48237</v>
      </c>
      <c r="U65" t="s">
        <v>48833</v>
      </c>
      <c r="W65" t="s">
        <v>42613</v>
      </c>
      <c r="X65" t="s">
        <v>46574</v>
      </c>
    </row>
    <row r="66" spans="1:24">
      <c r="A66">
        <f>HYPERLINK("https://www.philgeps.gov.ph/GEPSNONPILOT/Tender/SplashBidNoticeAbstractUI.aspx?menuIndex=3&amp;refID=7059610&amp;Result=3","7059610")</f>
        <v>0</v>
      </c>
      <c r="B66" t="s">
        <v>34</v>
      </c>
      <c r="C66" t="s">
        <v>3593</v>
      </c>
      <c r="D66" t="s">
        <v>18790</v>
      </c>
      <c r="E66" t="s">
        <v>18944</v>
      </c>
      <c r="F66" t="s">
        <v>32664</v>
      </c>
      <c r="G66" t="s">
        <v>32672</v>
      </c>
      <c r="H66" t="s">
        <v>12635</v>
      </c>
      <c r="I66" t="s">
        <v>4439</v>
      </c>
      <c r="J66" t="s">
        <v>32867</v>
      </c>
      <c r="K66" t="s">
        <v>42281</v>
      </c>
      <c r="M66" t="s">
        <v>42596</v>
      </c>
      <c r="N66" t="s">
        <v>46569</v>
      </c>
      <c r="O66" t="s">
        <v>46570</v>
      </c>
      <c r="P66">
        <v>0</v>
      </c>
      <c r="Q66">
        <v>0</v>
      </c>
      <c r="R66" t="s">
        <v>46571</v>
      </c>
      <c r="S66" t="s">
        <v>46687</v>
      </c>
      <c r="T66" t="s">
        <v>48223</v>
      </c>
      <c r="U66" t="s">
        <v>48834</v>
      </c>
      <c r="W66" t="s">
        <v>42596</v>
      </c>
      <c r="X66" t="s">
        <v>46574</v>
      </c>
    </row>
    <row r="67" spans="1:24">
      <c r="A67">
        <f>HYPERLINK("https://www.philgeps.gov.ph/GEPSNONPILOT/Tender/SplashBidNoticeAbstractUI.aspx?menuIndex=3&amp;refID=7059750&amp;Result=3","7059750")</f>
        <v>0</v>
      </c>
      <c r="B67" t="s">
        <v>51</v>
      </c>
      <c r="C67" t="s">
        <v>3594</v>
      </c>
      <c r="D67" t="s">
        <v>18801</v>
      </c>
      <c r="E67" t="s">
        <v>18943</v>
      </c>
      <c r="F67" t="s">
        <v>32664</v>
      </c>
      <c r="G67" t="s">
        <v>32672</v>
      </c>
      <c r="H67" t="s">
        <v>12635</v>
      </c>
      <c r="I67" t="s">
        <v>32695</v>
      </c>
      <c r="J67" t="s">
        <v>32868</v>
      </c>
      <c r="K67" t="s">
        <v>42284</v>
      </c>
      <c r="M67" t="s">
        <v>42613</v>
      </c>
      <c r="N67" t="s">
        <v>46569</v>
      </c>
      <c r="O67" t="s">
        <v>46570</v>
      </c>
      <c r="P67">
        <v>0</v>
      </c>
      <c r="Q67">
        <v>0</v>
      </c>
      <c r="R67" t="s">
        <v>46571</v>
      </c>
      <c r="S67" t="s">
        <v>46687</v>
      </c>
      <c r="T67" t="s">
        <v>48237</v>
      </c>
      <c r="U67" t="s">
        <v>48835</v>
      </c>
      <c r="W67" t="s">
        <v>42613</v>
      </c>
      <c r="X67" t="s">
        <v>46574</v>
      </c>
    </row>
    <row r="68" spans="1:24">
      <c r="A68">
        <f>HYPERLINK("https://www.philgeps.gov.ph/GEPSNONPILOT/Tender/SplashBidNoticeAbstractUI.aspx?menuIndex=3&amp;refID=7058909&amp;Result=3","7058909")</f>
        <v>0</v>
      </c>
      <c r="B68" t="s">
        <v>38</v>
      </c>
      <c r="C68" t="s">
        <v>3595</v>
      </c>
      <c r="D68" t="s">
        <v>18784</v>
      </c>
      <c r="E68" t="s">
        <v>18945</v>
      </c>
      <c r="F68" t="s">
        <v>32664</v>
      </c>
      <c r="G68" t="s">
        <v>32672</v>
      </c>
      <c r="H68" t="s">
        <v>12635</v>
      </c>
      <c r="I68" t="s">
        <v>6223</v>
      </c>
      <c r="J68" t="s">
        <v>32869</v>
      </c>
      <c r="K68" t="s">
        <v>42298</v>
      </c>
      <c r="M68" t="s">
        <v>42600</v>
      </c>
      <c r="N68" t="s">
        <v>46569</v>
      </c>
      <c r="O68" t="s">
        <v>46570</v>
      </c>
      <c r="P68">
        <v>0</v>
      </c>
      <c r="Q68">
        <v>1</v>
      </c>
      <c r="R68" t="s">
        <v>46571</v>
      </c>
      <c r="S68" t="s">
        <v>46687</v>
      </c>
      <c r="T68" t="s">
        <v>48238</v>
      </c>
      <c r="U68" t="s">
        <v>48836</v>
      </c>
      <c r="W68" t="s">
        <v>42600</v>
      </c>
      <c r="X68" t="s">
        <v>46575</v>
      </c>
    </row>
    <row r="69" spans="1:24">
      <c r="A69">
        <f>HYPERLINK("https://www.philgeps.gov.ph/GEPSNONPILOT/Tender/SplashBidNoticeAbstractUI.aspx?menuIndex=3&amp;refID=7059522&amp;Result=3","7059522")</f>
        <v>0</v>
      </c>
      <c r="B69" t="s">
        <v>44</v>
      </c>
      <c r="C69" t="s">
        <v>3596</v>
      </c>
      <c r="D69" t="s">
        <v>18795</v>
      </c>
      <c r="E69" t="s">
        <v>18946</v>
      </c>
      <c r="F69" t="s">
        <v>32664</v>
      </c>
      <c r="G69" t="s">
        <v>32672</v>
      </c>
      <c r="H69" t="s">
        <v>12635</v>
      </c>
      <c r="I69" t="s">
        <v>6223</v>
      </c>
      <c r="J69" t="s">
        <v>32870</v>
      </c>
      <c r="K69" t="s">
        <v>42283</v>
      </c>
      <c r="M69" t="s">
        <v>42606</v>
      </c>
      <c r="N69" t="s">
        <v>46569</v>
      </c>
      <c r="O69" t="s">
        <v>46570</v>
      </c>
      <c r="P69">
        <v>0</v>
      </c>
      <c r="Q69">
        <v>0</v>
      </c>
      <c r="R69" t="s">
        <v>46571</v>
      </c>
      <c r="S69" t="s">
        <v>46687</v>
      </c>
      <c r="T69" t="s">
        <v>48226</v>
      </c>
      <c r="U69" t="s">
        <v>48837</v>
      </c>
      <c r="W69" t="s">
        <v>42606</v>
      </c>
      <c r="X69" t="s">
        <v>46574</v>
      </c>
    </row>
    <row r="70" spans="1:24">
      <c r="A70">
        <f>HYPERLINK("https://www.philgeps.gov.ph/GEPSNONPILOT/Tender/SplashBidNoticeAbstractUI.aspx?menuIndex=3&amp;refID=7055786&amp;Result=3","7055786")</f>
        <v>0</v>
      </c>
      <c r="B70" t="s">
        <v>45</v>
      </c>
      <c r="C70" t="s">
        <v>3597</v>
      </c>
      <c r="D70" t="s">
        <v>18789</v>
      </c>
      <c r="E70" t="s">
        <v>18947</v>
      </c>
      <c r="F70" t="s">
        <v>32664</v>
      </c>
      <c r="G70" t="s">
        <v>32672</v>
      </c>
      <c r="H70" t="s">
        <v>12635</v>
      </c>
      <c r="I70" t="s">
        <v>4439</v>
      </c>
      <c r="J70" t="s">
        <v>32871</v>
      </c>
      <c r="K70" t="s">
        <v>42289</v>
      </c>
      <c r="M70" t="s">
        <v>42607</v>
      </c>
      <c r="N70" t="s">
        <v>46569</v>
      </c>
      <c r="O70" t="s">
        <v>46570</v>
      </c>
      <c r="P70">
        <v>0</v>
      </c>
      <c r="Q70">
        <v>4</v>
      </c>
      <c r="R70" t="s">
        <v>46571</v>
      </c>
      <c r="S70" t="s">
        <v>46687</v>
      </c>
      <c r="T70" t="s">
        <v>48230</v>
      </c>
      <c r="U70" t="s">
        <v>48838</v>
      </c>
      <c r="W70" t="s">
        <v>42607</v>
      </c>
      <c r="X70" t="s">
        <v>46577</v>
      </c>
    </row>
    <row r="71" spans="1:24">
      <c r="A71">
        <f>HYPERLINK("https://www.philgeps.gov.ph/GEPSNONPILOT/Tender/SplashBidNoticeAbstractUI.aspx?menuIndex=3&amp;refID=7059398&amp;Result=3","7059398")</f>
        <v>0</v>
      </c>
      <c r="B71" t="s">
        <v>52</v>
      </c>
      <c r="C71" t="s">
        <v>3598</v>
      </c>
      <c r="D71" t="s">
        <v>18802</v>
      </c>
      <c r="E71" t="s">
        <v>18948</v>
      </c>
      <c r="F71" t="s">
        <v>32664</v>
      </c>
      <c r="G71" t="s">
        <v>32672</v>
      </c>
      <c r="H71" t="s">
        <v>12635</v>
      </c>
      <c r="I71" t="s">
        <v>10374</v>
      </c>
      <c r="J71" t="s">
        <v>32872</v>
      </c>
      <c r="K71" t="s">
        <v>42302</v>
      </c>
      <c r="M71" t="s">
        <v>42614</v>
      </c>
      <c r="N71" t="s">
        <v>46569</v>
      </c>
      <c r="O71" t="s">
        <v>46570</v>
      </c>
      <c r="P71">
        <v>0</v>
      </c>
      <c r="Q71">
        <v>0</v>
      </c>
      <c r="R71" t="s">
        <v>46571</v>
      </c>
      <c r="S71" t="s">
        <v>46687</v>
      </c>
      <c r="T71" t="s">
        <v>48216</v>
      </c>
      <c r="U71" t="s">
        <v>48839</v>
      </c>
      <c r="W71" t="s">
        <v>42614</v>
      </c>
      <c r="X71" t="s">
        <v>46574</v>
      </c>
    </row>
    <row r="72" spans="1:24">
      <c r="A72">
        <f>HYPERLINK("https://www.philgeps.gov.ph/GEPSNONPILOT/Tender/SplashBidNoticeAbstractUI.aspx?menuIndex=3&amp;refID=7060402&amp;Result=3","7060402")</f>
        <v>0</v>
      </c>
      <c r="B72" t="s">
        <v>48</v>
      </c>
      <c r="C72" t="s">
        <v>3599</v>
      </c>
      <c r="D72" t="s">
        <v>18798</v>
      </c>
      <c r="E72" t="s">
        <v>18949</v>
      </c>
      <c r="F72" t="s">
        <v>32664</v>
      </c>
      <c r="G72" t="s">
        <v>32672</v>
      </c>
      <c r="H72" t="s">
        <v>32682</v>
      </c>
      <c r="I72" t="s">
        <v>4205</v>
      </c>
      <c r="J72" t="s">
        <v>32873</v>
      </c>
      <c r="K72" t="s">
        <v>42284</v>
      </c>
      <c r="M72" t="s">
        <v>42610</v>
      </c>
      <c r="N72" t="s">
        <v>46569</v>
      </c>
      <c r="O72" t="s">
        <v>46570</v>
      </c>
      <c r="P72">
        <v>0</v>
      </c>
      <c r="Q72">
        <v>0</v>
      </c>
      <c r="R72" t="s">
        <v>46571</v>
      </c>
      <c r="S72" t="s">
        <v>46687</v>
      </c>
      <c r="T72" t="s">
        <v>48232</v>
      </c>
      <c r="U72" t="s">
        <v>48840</v>
      </c>
      <c r="W72" t="s">
        <v>42610</v>
      </c>
      <c r="X72" t="s">
        <v>46574</v>
      </c>
    </row>
    <row r="73" spans="1:24">
      <c r="A73">
        <f>HYPERLINK("https://www.philgeps.gov.ph/GEPSNONPILOT/Tender/SplashBidNoticeAbstractUI.aspx?menuIndex=3&amp;refID=7060331&amp;Result=3","7060331")</f>
        <v>0</v>
      </c>
      <c r="B73" t="s">
        <v>48</v>
      </c>
      <c r="C73" t="s">
        <v>3600</v>
      </c>
      <c r="D73" t="s">
        <v>18798</v>
      </c>
      <c r="E73" t="s">
        <v>18950</v>
      </c>
      <c r="F73" t="s">
        <v>32664</v>
      </c>
      <c r="G73" t="s">
        <v>32672</v>
      </c>
      <c r="H73" t="s">
        <v>12635</v>
      </c>
      <c r="I73" t="s">
        <v>6168</v>
      </c>
      <c r="J73" t="s">
        <v>32874</v>
      </c>
      <c r="K73" t="s">
        <v>42284</v>
      </c>
      <c r="M73" t="s">
        <v>42610</v>
      </c>
      <c r="N73" t="s">
        <v>46569</v>
      </c>
      <c r="O73" t="s">
        <v>46570</v>
      </c>
      <c r="P73">
        <v>0</v>
      </c>
      <c r="Q73">
        <v>0</v>
      </c>
      <c r="R73" t="s">
        <v>46571</v>
      </c>
      <c r="S73" t="s">
        <v>46687</v>
      </c>
      <c r="T73" t="s">
        <v>48232</v>
      </c>
      <c r="U73" t="s">
        <v>48841</v>
      </c>
      <c r="W73" t="s">
        <v>42610</v>
      </c>
      <c r="X73" t="s">
        <v>46574</v>
      </c>
    </row>
    <row r="74" spans="1:24">
      <c r="A74">
        <f>HYPERLINK("https://www.philgeps.gov.ph/GEPSNONPILOT/Tender/SplashBidNoticeAbstractUI.aspx?menuIndex=3&amp;refID=7059680&amp;Result=3","7059680")</f>
        <v>0</v>
      </c>
      <c r="B74" t="s">
        <v>53</v>
      </c>
      <c r="C74" t="s">
        <v>3601</v>
      </c>
      <c r="E74" t="s">
        <v>18951</v>
      </c>
      <c r="F74" t="s">
        <v>32664</v>
      </c>
      <c r="G74" t="s">
        <v>32671</v>
      </c>
      <c r="H74" t="s">
        <v>12635</v>
      </c>
      <c r="I74" t="s">
        <v>9486</v>
      </c>
      <c r="J74" t="s">
        <v>32875</v>
      </c>
      <c r="K74" t="s">
        <v>42284</v>
      </c>
      <c r="M74" t="s">
        <v>42615</v>
      </c>
      <c r="N74" t="s">
        <v>46569</v>
      </c>
      <c r="O74" t="s">
        <v>46570</v>
      </c>
      <c r="P74">
        <v>0</v>
      </c>
      <c r="Q74">
        <v>0</v>
      </c>
      <c r="R74" t="s">
        <v>46571</v>
      </c>
      <c r="S74" t="s">
        <v>46687</v>
      </c>
      <c r="T74" t="s">
        <v>48230</v>
      </c>
      <c r="U74" t="s">
        <v>48842</v>
      </c>
      <c r="W74" t="s">
        <v>42615</v>
      </c>
      <c r="X74" t="s">
        <v>46574</v>
      </c>
    </row>
    <row r="75" spans="1:24">
      <c r="A75">
        <f>HYPERLINK("https://www.philgeps.gov.ph/GEPSNONPILOT/Tender/SplashBidNoticeAbstractUI.aspx?menuIndex=3&amp;refID=7059544&amp;Result=3","7059544")</f>
        <v>0</v>
      </c>
      <c r="B75" t="s">
        <v>50</v>
      </c>
      <c r="C75" t="s">
        <v>3602</v>
      </c>
      <c r="D75" t="s">
        <v>18800</v>
      </c>
      <c r="E75" t="s">
        <v>18952</v>
      </c>
      <c r="F75" t="s">
        <v>32664</v>
      </c>
      <c r="G75" t="s">
        <v>32672</v>
      </c>
      <c r="H75" t="s">
        <v>32683</v>
      </c>
      <c r="I75" t="s">
        <v>10627</v>
      </c>
      <c r="J75" t="s">
        <v>32876</v>
      </c>
      <c r="K75" t="s">
        <v>42285</v>
      </c>
      <c r="L75" t="s">
        <v>50</v>
      </c>
      <c r="M75" t="s">
        <v>42612</v>
      </c>
      <c r="N75" t="s">
        <v>46569</v>
      </c>
      <c r="O75" t="s">
        <v>46570</v>
      </c>
      <c r="P75">
        <v>0</v>
      </c>
      <c r="Q75">
        <v>0</v>
      </c>
      <c r="R75" t="s">
        <v>46571</v>
      </c>
      <c r="S75" t="s">
        <v>46687</v>
      </c>
      <c r="T75" t="s">
        <v>48236</v>
      </c>
      <c r="U75" t="s">
        <v>48843</v>
      </c>
      <c r="V75" t="s">
        <v>61620</v>
      </c>
      <c r="W75" t="s">
        <v>42612</v>
      </c>
      <c r="X75" t="s">
        <v>46574</v>
      </c>
    </row>
    <row r="76" spans="1:24">
      <c r="A76">
        <f>HYPERLINK("https://www.philgeps.gov.ph/GEPSNONPILOT/Tender/SplashBidNoticeAbstractUI.aspx?menuIndex=3&amp;refID=7060283&amp;Result=3","7060283")</f>
        <v>0</v>
      </c>
      <c r="B76" t="s">
        <v>48</v>
      </c>
      <c r="C76" t="s">
        <v>3603</v>
      </c>
      <c r="D76" t="s">
        <v>18798</v>
      </c>
      <c r="E76" t="s">
        <v>18953</v>
      </c>
      <c r="F76" t="s">
        <v>32664</v>
      </c>
      <c r="G76" t="s">
        <v>32672</v>
      </c>
      <c r="H76" t="s">
        <v>32683</v>
      </c>
      <c r="I76" t="s">
        <v>10627</v>
      </c>
      <c r="J76" t="s">
        <v>32877</v>
      </c>
      <c r="K76" t="s">
        <v>42281</v>
      </c>
      <c r="M76" t="s">
        <v>42610</v>
      </c>
      <c r="N76" t="s">
        <v>46569</v>
      </c>
      <c r="O76" t="s">
        <v>46570</v>
      </c>
      <c r="P76">
        <v>0</v>
      </c>
      <c r="Q76">
        <v>0</v>
      </c>
      <c r="R76" t="s">
        <v>46571</v>
      </c>
      <c r="S76" t="s">
        <v>46687</v>
      </c>
      <c r="T76" t="s">
        <v>48232</v>
      </c>
      <c r="U76" t="s">
        <v>48844</v>
      </c>
      <c r="W76" t="s">
        <v>42610</v>
      </c>
      <c r="X76" t="s">
        <v>46574</v>
      </c>
    </row>
    <row r="77" spans="1:24">
      <c r="A77">
        <f>HYPERLINK("https://www.philgeps.gov.ph/GEPSNONPILOT/Tender/SplashBidNoticeAbstractUI.aspx?menuIndex=3&amp;refID=7060248&amp;Result=3","7060248")</f>
        <v>0</v>
      </c>
      <c r="B77" t="s">
        <v>48</v>
      </c>
      <c r="C77" t="s">
        <v>3604</v>
      </c>
      <c r="D77" t="s">
        <v>18798</v>
      </c>
      <c r="E77" t="s">
        <v>18954</v>
      </c>
      <c r="F77" t="s">
        <v>32664</v>
      </c>
      <c r="G77" t="s">
        <v>32672</v>
      </c>
      <c r="H77" t="s">
        <v>32683</v>
      </c>
      <c r="I77" t="s">
        <v>9597</v>
      </c>
      <c r="J77" t="s">
        <v>32878</v>
      </c>
      <c r="K77" t="s">
        <v>42303</v>
      </c>
      <c r="M77" t="s">
        <v>42610</v>
      </c>
      <c r="N77" t="s">
        <v>46569</v>
      </c>
      <c r="O77" t="s">
        <v>46570</v>
      </c>
      <c r="P77">
        <v>0</v>
      </c>
      <c r="Q77">
        <v>1</v>
      </c>
      <c r="R77" t="s">
        <v>46571</v>
      </c>
      <c r="S77" t="s">
        <v>46687</v>
      </c>
      <c r="T77" t="s">
        <v>48232</v>
      </c>
      <c r="U77" t="s">
        <v>48845</v>
      </c>
      <c r="W77" t="s">
        <v>42610</v>
      </c>
      <c r="X77" t="s">
        <v>46574</v>
      </c>
    </row>
    <row r="78" spans="1:24">
      <c r="A78">
        <f>HYPERLINK("https://www.philgeps.gov.ph/GEPSNONPILOT/Tender/SplashBidNoticeAbstractUI.aspx?menuIndex=3&amp;refID=7060102&amp;Result=3","7060102")</f>
        <v>0</v>
      </c>
      <c r="B78" t="s">
        <v>49</v>
      </c>
      <c r="C78" t="s">
        <v>3605</v>
      </c>
      <c r="D78" t="s">
        <v>18799</v>
      </c>
      <c r="E78" t="s">
        <v>18955</v>
      </c>
      <c r="F78" t="s">
        <v>32664</v>
      </c>
      <c r="G78" t="s">
        <v>32672</v>
      </c>
      <c r="H78" t="s">
        <v>32683</v>
      </c>
      <c r="I78" t="s">
        <v>10627</v>
      </c>
      <c r="J78" t="s">
        <v>32879</v>
      </c>
      <c r="K78" t="s">
        <v>42304</v>
      </c>
      <c r="M78" t="s">
        <v>42611</v>
      </c>
      <c r="N78" t="s">
        <v>46569</v>
      </c>
      <c r="O78" t="s">
        <v>46570</v>
      </c>
      <c r="P78">
        <v>0</v>
      </c>
      <c r="Q78">
        <v>3</v>
      </c>
      <c r="R78" t="s">
        <v>46571</v>
      </c>
      <c r="S78" t="s">
        <v>46687</v>
      </c>
      <c r="T78" t="s">
        <v>48239</v>
      </c>
      <c r="U78" t="s">
        <v>48846</v>
      </c>
      <c r="V78" t="s">
        <v>61619</v>
      </c>
      <c r="W78" t="s">
        <v>63463</v>
      </c>
      <c r="X78" t="s">
        <v>46574</v>
      </c>
    </row>
    <row r="79" spans="1:24">
      <c r="A79">
        <f>HYPERLINK("https://www.philgeps.gov.ph/GEPSNONPILOT/Tender/SplashBidNoticeAbstractUI.aspx?menuIndex=3&amp;refID=7060016&amp;Result=3","7060016")</f>
        <v>0</v>
      </c>
      <c r="B79" t="s">
        <v>32</v>
      </c>
      <c r="C79" t="s">
        <v>3606</v>
      </c>
      <c r="D79" t="s">
        <v>18788</v>
      </c>
      <c r="E79" t="s">
        <v>18956</v>
      </c>
      <c r="F79" t="s">
        <v>32664</v>
      </c>
      <c r="G79" t="s">
        <v>32671</v>
      </c>
      <c r="H79" t="s">
        <v>12635</v>
      </c>
      <c r="I79" t="s">
        <v>9486</v>
      </c>
      <c r="J79" t="s">
        <v>32880</v>
      </c>
      <c r="K79" t="s">
        <v>42281</v>
      </c>
      <c r="M79" t="s">
        <v>42594</v>
      </c>
      <c r="N79" t="s">
        <v>46569</v>
      </c>
      <c r="O79" t="s">
        <v>46570</v>
      </c>
      <c r="P79">
        <v>0</v>
      </c>
      <c r="Q79">
        <v>1</v>
      </c>
      <c r="R79" t="s">
        <v>46571</v>
      </c>
      <c r="S79" t="s">
        <v>46687</v>
      </c>
      <c r="T79" t="s">
        <v>48221</v>
      </c>
      <c r="U79" t="s">
        <v>48847</v>
      </c>
      <c r="V79" t="s">
        <v>61621</v>
      </c>
      <c r="W79" t="s">
        <v>42594</v>
      </c>
      <c r="X79" t="s">
        <v>46574</v>
      </c>
    </row>
    <row r="80" spans="1:24">
      <c r="A80">
        <f>HYPERLINK("https://www.philgeps.gov.ph/GEPSNONPILOT/Tender/SplashBidNoticeAbstractUI.aspx?menuIndex=3&amp;refID=7059532&amp;Result=3","7059532")</f>
        <v>0</v>
      </c>
      <c r="B80" t="s">
        <v>34</v>
      </c>
      <c r="C80" t="s">
        <v>3607</v>
      </c>
      <c r="D80" t="s">
        <v>18790</v>
      </c>
      <c r="E80" t="s">
        <v>18957</v>
      </c>
      <c r="F80" t="s">
        <v>32664</v>
      </c>
      <c r="G80" t="s">
        <v>32672</v>
      </c>
      <c r="H80" t="s">
        <v>12635</v>
      </c>
      <c r="I80" t="s">
        <v>14442</v>
      </c>
      <c r="J80" t="s">
        <v>32881</v>
      </c>
      <c r="K80" t="s">
        <v>42297</v>
      </c>
      <c r="M80" t="s">
        <v>42596</v>
      </c>
      <c r="N80" t="s">
        <v>46569</v>
      </c>
      <c r="O80" t="s">
        <v>46570</v>
      </c>
      <c r="P80">
        <v>0</v>
      </c>
      <c r="Q80">
        <v>1</v>
      </c>
      <c r="R80" t="s">
        <v>46571</v>
      </c>
      <c r="S80" t="s">
        <v>46687</v>
      </c>
      <c r="T80" t="s">
        <v>48223</v>
      </c>
      <c r="U80" t="s">
        <v>48848</v>
      </c>
      <c r="W80" t="s">
        <v>42596</v>
      </c>
      <c r="X80" t="s">
        <v>46574</v>
      </c>
    </row>
    <row r="81" spans="1:24">
      <c r="A81">
        <f>HYPERLINK("https://www.philgeps.gov.ph/GEPSNONPILOT/Tender/SplashBidNoticeAbstractUI.aspx?menuIndex=3&amp;refID=7059970&amp;Result=3","7059970")</f>
        <v>0</v>
      </c>
      <c r="B81" t="s">
        <v>32</v>
      </c>
      <c r="C81" t="s">
        <v>3608</v>
      </c>
      <c r="D81" t="s">
        <v>18788</v>
      </c>
      <c r="E81" t="s">
        <v>18958</v>
      </c>
      <c r="F81" t="s">
        <v>32664</v>
      </c>
      <c r="G81" t="s">
        <v>32671</v>
      </c>
      <c r="H81" t="s">
        <v>12635</v>
      </c>
      <c r="I81" t="s">
        <v>9486</v>
      </c>
      <c r="J81" t="s">
        <v>32831</v>
      </c>
      <c r="K81" t="s">
        <v>42281</v>
      </c>
      <c r="M81" t="s">
        <v>42594</v>
      </c>
      <c r="N81" t="s">
        <v>46569</v>
      </c>
      <c r="O81" t="s">
        <v>46570</v>
      </c>
      <c r="P81">
        <v>0</v>
      </c>
      <c r="Q81">
        <v>0</v>
      </c>
      <c r="R81" t="s">
        <v>46571</v>
      </c>
      <c r="S81" t="s">
        <v>46687</v>
      </c>
      <c r="T81" t="s">
        <v>48221</v>
      </c>
      <c r="U81" t="s">
        <v>48849</v>
      </c>
      <c r="V81" t="s">
        <v>61622</v>
      </c>
      <c r="W81" t="s">
        <v>42594</v>
      </c>
      <c r="X81" t="s">
        <v>46574</v>
      </c>
    </row>
    <row r="82" spans="1:24">
      <c r="A82">
        <f>HYPERLINK("https://www.philgeps.gov.ph/GEPSNONPILOT/Tender/SplashBidNoticeAbstractUI.aspx?menuIndex=3&amp;refID=7060044&amp;Result=3","7060044")</f>
        <v>0</v>
      </c>
      <c r="B82" t="s">
        <v>54</v>
      </c>
      <c r="C82" t="s">
        <v>3609</v>
      </c>
      <c r="D82" t="s">
        <v>18803</v>
      </c>
      <c r="E82" t="s">
        <v>18959</v>
      </c>
      <c r="F82" t="s">
        <v>32664</v>
      </c>
      <c r="G82" t="s">
        <v>32674</v>
      </c>
      <c r="H82" t="s">
        <v>12635</v>
      </c>
      <c r="I82" t="s">
        <v>4439</v>
      </c>
      <c r="J82" t="s">
        <v>32882</v>
      </c>
      <c r="K82" t="s">
        <v>42297</v>
      </c>
      <c r="M82" t="s">
        <v>42616</v>
      </c>
      <c r="N82" t="s">
        <v>46569</v>
      </c>
      <c r="O82" t="s">
        <v>46570</v>
      </c>
      <c r="P82">
        <v>0</v>
      </c>
      <c r="Q82">
        <v>0</v>
      </c>
      <c r="R82" t="s">
        <v>46571</v>
      </c>
      <c r="S82" t="s">
        <v>46687</v>
      </c>
      <c r="T82" t="s">
        <v>48221</v>
      </c>
      <c r="U82" t="s">
        <v>48850</v>
      </c>
      <c r="W82" t="s">
        <v>42616</v>
      </c>
      <c r="X82" t="s">
        <v>46574</v>
      </c>
    </row>
    <row r="83" spans="1:24">
      <c r="A83">
        <f>HYPERLINK("https://www.philgeps.gov.ph/GEPSNONPILOT/Tender/SplashBidNoticeAbstractUI.aspx?menuIndex=3&amp;refID=7059977&amp;Result=3","7059977")</f>
        <v>0</v>
      </c>
      <c r="B83" t="s">
        <v>49</v>
      </c>
      <c r="C83" t="s">
        <v>3610</v>
      </c>
      <c r="D83" t="s">
        <v>18799</v>
      </c>
      <c r="E83" t="s">
        <v>18960</v>
      </c>
      <c r="F83" t="s">
        <v>32664</v>
      </c>
      <c r="G83" t="s">
        <v>32672</v>
      </c>
      <c r="H83" t="s">
        <v>32683</v>
      </c>
      <c r="I83" t="s">
        <v>10627</v>
      </c>
      <c r="J83" t="s">
        <v>32883</v>
      </c>
      <c r="K83" t="s">
        <v>42304</v>
      </c>
      <c r="M83" t="s">
        <v>42611</v>
      </c>
      <c r="N83" t="s">
        <v>46569</v>
      </c>
      <c r="O83" t="s">
        <v>46570</v>
      </c>
      <c r="P83">
        <v>0</v>
      </c>
      <c r="Q83">
        <v>3</v>
      </c>
      <c r="R83" t="s">
        <v>46571</v>
      </c>
      <c r="S83" t="s">
        <v>46687</v>
      </c>
      <c r="T83" t="s">
        <v>48239</v>
      </c>
      <c r="U83" t="s">
        <v>48851</v>
      </c>
      <c r="V83" t="s">
        <v>61619</v>
      </c>
      <c r="W83" t="s">
        <v>63463</v>
      </c>
      <c r="X83" t="s">
        <v>46574</v>
      </c>
    </row>
    <row r="84" spans="1:24">
      <c r="A84">
        <f>HYPERLINK("https://www.philgeps.gov.ph/GEPSNONPILOT/Tender/SplashBidNoticeAbstractUI.aspx?menuIndex=3&amp;refID=7060270&amp;Result=3","7060270")</f>
        <v>0</v>
      </c>
      <c r="B84" t="s">
        <v>55</v>
      </c>
      <c r="C84" t="s">
        <v>3611</v>
      </c>
      <c r="D84" t="s">
        <v>18804</v>
      </c>
      <c r="E84" t="s">
        <v>18961</v>
      </c>
      <c r="F84" t="s">
        <v>32664</v>
      </c>
      <c r="G84" t="s">
        <v>32672</v>
      </c>
      <c r="H84" t="s">
        <v>12635</v>
      </c>
      <c r="I84" t="s">
        <v>9486</v>
      </c>
      <c r="J84" t="s">
        <v>32884</v>
      </c>
      <c r="K84" t="s">
        <v>42281</v>
      </c>
      <c r="M84" t="s">
        <v>42617</v>
      </c>
      <c r="N84" t="s">
        <v>46569</v>
      </c>
      <c r="O84" t="s">
        <v>46570</v>
      </c>
      <c r="P84">
        <v>0</v>
      </c>
      <c r="Q84">
        <v>1</v>
      </c>
      <c r="R84" t="s">
        <v>46571</v>
      </c>
      <c r="S84" t="s">
        <v>46687</v>
      </c>
      <c r="T84" t="s">
        <v>48240</v>
      </c>
      <c r="U84" t="s">
        <v>48852</v>
      </c>
      <c r="W84" t="s">
        <v>42617</v>
      </c>
      <c r="X84" t="s">
        <v>46574</v>
      </c>
    </row>
    <row r="85" spans="1:24">
      <c r="A85">
        <f>HYPERLINK("https://www.philgeps.gov.ph/GEPSNONPILOT/Tender/SplashBidNoticeAbstractUI.aspx?menuIndex=3&amp;refID=7059700&amp;Result=3","7059700")</f>
        <v>0</v>
      </c>
      <c r="B85" t="s">
        <v>53</v>
      </c>
      <c r="C85" t="s">
        <v>3612</v>
      </c>
      <c r="E85" t="s">
        <v>18962</v>
      </c>
      <c r="F85" t="s">
        <v>32664</v>
      </c>
      <c r="G85" t="s">
        <v>32671</v>
      </c>
      <c r="H85" t="s">
        <v>12635</v>
      </c>
      <c r="I85" t="s">
        <v>7429</v>
      </c>
      <c r="J85" t="s">
        <v>32885</v>
      </c>
      <c r="K85" t="s">
        <v>42281</v>
      </c>
      <c r="M85" t="s">
        <v>42615</v>
      </c>
      <c r="N85" t="s">
        <v>46569</v>
      </c>
      <c r="O85" t="s">
        <v>46570</v>
      </c>
      <c r="P85">
        <v>0</v>
      </c>
      <c r="Q85">
        <v>3</v>
      </c>
      <c r="R85" t="s">
        <v>46571</v>
      </c>
      <c r="S85" t="s">
        <v>46687</v>
      </c>
      <c r="T85" t="s">
        <v>48230</v>
      </c>
      <c r="U85" t="s">
        <v>48853</v>
      </c>
      <c r="W85" t="s">
        <v>42615</v>
      </c>
      <c r="X85" t="s">
        <v>46574</v>
      </c>
    </row>
    <row r="86" spans="1:24">
      <c r="A86">
        <f>HYPERLINK("https://www.philgeps.gov.ph/GEPSNONPILOT/Tender/SplashBidNoticeAbstractUI.aspx?menuIndex=3&amp;refID=7060048&amp;Result=3","7060048")</f>
        <v>0</v>
      </c>
      <c r="B86" t="s">
        <v>32</v>
      </c>
      <c r="C86" t="s">
        <v>3613</v>
      </c>
      <c r="D86" t="s">
        <v>18788</v>
      </c>
      <c r="E86" t="s">
        <v>18963</v>
      </c>
      <c r="F86" t="s">
        <v>32664</v>
      </c>
      <c r="G86" t="s">
        <v>32675</v>
      </c>
      <c r="H86" t="s">
        <v>12635</v>
      </c>
      <c r="I86" t="s">
        <v>6168</v>
      </c>
      <c r="J86" t="s">
        <v>32886</v>
      </c>
      <c r="K86" t="s">
        <v>42281</v>
      </c>
      <c r="M86" t="s">
        <v>42594</v>
      </c>
      <c r="N86" t="s">
        <v>46569</v>
      </c>
      <c r="O86" t="s">
        <v>46570</v>
      </c>
      <c r="P86">
        <v>0</v>
      </c>
      <c r="Q86">
        <v>0</v>
      </c>
      <c r="R86" t="s">
        <v>46571</v>
      </c>
      <c r="S86" t="s">
        <v>46687</v>
      </c>
      <c r="T86" t="s">
        <v>48221</v>
      </c>
      <c r="U86" t="s">
        <v>48854</v>
      </c>
      <c r="V86" t="s">
        <v>61623</v>
      </c>
      <c r="W86" t="s">
        <v>42594</v>
      </c>
      <c r="X86" t="s">
        <v>46574</v>
      </c>
    </row>
    <row r="87" spans="1:24">
      <c r="A87">
        <f>HYPERLINK("https://www.philgeps.gov.ph/GEPSNONPILOT/Tender/SplashBidNoticeAbstractUI.aspx?menuIndex=3&amp;refID=7060872&amp;Result=3","7060872")</f>
        <v>0</v>
      </c>
      <c r="B87" t="s">
        <v>48</v>
      </c>
      <c r="C87" t="s">
        <v>3614</v>
      </c>
      <c r="D87" t="s">
        <v>18798</v>
      </c>
      <c r="E87" t="s">
        <v>18964</v>
      </c>
      <c r="F87" t="s">
        <v>32664</v>
      </c>
      <c r="G87" t="s">
        <v>32672</v>
      </c>
      <c r="H87" t="s">
        <v>12635</v>
      </c>
      <c r="I87" t="s">
        <v>9486</v>
      </c>
      <c r="J87" t="s">
        <v>32887</v>
      </c>
      <c r="K87" t="s">
        <v>42284</v>
      </c>
      <c r="M87" t="s">
        <v>42610</v>
      </c>
      <c r="N87" t="s">
        <v>46569</v>
      </c>
      <c r="O87" t="s">
        <v>46570</v>
      </c>
      <c r="P87">
        <v>0</v>
      </c>
      <c r="Q87">
        <v>2</v>
      </c>
      <c r="R87" t="s">
        <v>46571</v>
      </c>
      <c r="S87" t="s">
        <v>46687</v>
      </c>
      <c r="T87" t="s">
        <v>48232</v>
      </c>
      <c r="U87" t="s">
        <v>48855</v>
      </c>
      <c r="W87" t="s">
        <v>42610</v>
      </c>
      <c r="X87" t="s">
        <v>46574</v>
      </c>
    </row>
    <row r="88" spans="1:24">
      <c r="A88">
        <f>HYPERLINK("https://www.philgeps.gov.ph/GEPSNONPILOT/Tender/SplashBidNoticeAbstractUI.aspx?menuIndex=3&amp;refID=7060817&amp;Result=3","7060817")</f>
        <v>0</v>
      </c>
      <c r="B88" t="s">
        <v>49</v>
      </c>
      <c r="C88" t="s">
        <v>3615</v>
      </c>
      <c r="D88" t="s">
        <v>18799</v>
      </c>
      <c r="E88" t="s">
        <v>18965</v>
      </c>
      <c r="F88" t="s">
        <v>32664</v>
      </c>
      <c r="G88" t="s">
        <v>32672</v>
      </c>
      <c r="H88" t="s">
        <v>32683</v>
      </c>
      <c r="I88" t="s">
        <v>10627</v>
      </c>
      <c r="J88" t="s">
        <v>32888</v>
      </c>
      <c r="K88" t="s">
        <v>42304</v>
      </c>
      <c r="M88" t="s">
        <v>42611</v>
      </c>
      <c r="N88" t="s">
        <v>46569</v>
      </c>
      <c r="O88" t="s">
        <v>46570</v>
      </c>
      <c r="P88">
        <v>0</v>
      </c>
      <c r="Q88">
        <v>3</v>
      </c>
      <c r="R88" t="s">
        <v>46571</v>
      </c>
      <c r="S88" t="s">
        <v>46687</v>
      </c>
      <c r="T88" t="s">
        <v>48241</v>
      </c>
      <c r="U88" t="s">
        <v>48856</v>
      </c>
      <c r="V88" t="s">
        <v>61619</v>
      </c>
      <c r="W88" t="s">
        <v>63463</v>
      </c>
      <c r="X88" t="s">
        <v>46574</v>
      </c>
    </row>
    <row r="89" spans="1:24">
      <c r="A89">
        <f>HYPERLINK("https://www.philgeps.gov.ph/GEPSNONPILOT/Tender/SplashBidNoticeAbstractUI.aspx?menuIndex=3&amp;refID=7060998&amp;Result=3","7060998")</f>
        <v>0</v>
      </c>
      <c r="B89" t="s">
        <v>48</v>
      </c>
      <c r="C89" t="s">
        <v>3616</v>
      </c>
      <c r="D89" t="s">
        <v>18798</v>
      </c>
      <c r="E89" t="s">
        <v>18966</v>
      </c>
      <c r="F89" t="s">
        <v>32664</v>
      </c>
      <c r="G89" t="s">
        <v>32674</v>
      </c>
      <c r="H89" t="s">
        <v>12635</v>
      </c>
      <c r="I89" t="s">
        <v>32688</v>
      </c>
      <c r="J89" t="s">
        <v>32889</v>
      </c>
      <c r="K89" t="s">
        <v>42284</v>
      </c>
      <c r="M89" t="s">
        <v>42610</v>
      </c>
      <c r="N89" t="s">
        <v>46569</v>
      </c>
      <c r="O89" t="s">
        <v>46570</v>
      </c>
      <c r="P89">
        <v>0</v>
      </c>
      <c r="Q89">
        <v>1</v>
      </c>
      <c r="R89" t="s">
        <v>46571</v>
      </c>
      <c r="S89" t="s">
        <v>46687</v>
      </c>
      <c r="T89" t="s">
        <v>48242</v>
      </c>
      <c r="U89" t="s">
        <v>48857</v>
      </c>
      <c r="W89" t="s">
        <v>42610</v>
      </c>
      <c r="X89" t="s">
        <v>46574</v>
      </c>
    </row>
    <row r="90" spans="1:24">
      <c r="A90">
        <f>HYPERLINK("https://www.philgeps.gov.ph/GEPSNONPILOT/Tender/SplashBidNoticeAbstractUI.aspx?menuIndex=3&amp;refID=7060932&amp;Result=3","7060932")</f>
        <v>0</v>
      </c>
      <c r="B90" t="s">
        <v>48</v>
      </c>
      <c r="C90" t="s">
        <v>3617</v>
      </c>
      <c r="D90" t="s">
        <v>18798</v>
      </c>
      <c r="E90" t="s">
        <v>18967</v>
      </c>
      <c r="F90" t="s">
        <v>32664</v>
      </c>
      <c r="G90" t="s">
        <v>32672</v>
      </c>
      <c r="H90" t="s">
        <v>32683</v>
      </c>
      <c r="I90" t="s">
        <v>10627</v>
      </c>
      <c r="J90" t="s">
        <v>32890</v>
      </c>
      <c r="K90" t="s">
        <v>42305</v>
      </c>
      <c r="M90" t="s">
        <v>42610</v>
      </c>
      <c r="N90" t="s">
        <v>46569</v>
      </c>
      <c r="O90" t="s">
        <v>46570</v>
      </c>
      <c r="P90">
        <v>0</v>
      </c>
      <c r="Q90">
        <v>0</v>
      </c>
      <c r="R90" t="s">
        <v>46571</v>
      </c>
      <c r="S90" t="s">
        <v>46687</v>
      </c>
      <c r="T90" t="s">
        <v>48232</v>
      </c>
      <c r="U90" t="s">
        <v>48858</v>
      </c>
      <c r="W90" t="s">
        <v>42610</v>
      </c>
      <c r="X90" t="s">
        <v>46574</v>
      </c>
    </row>
    <row r="91" spans="1:24">
      <c r="A91">
        <f>HYPERLINK("https://www.philgeps.gov.ph/GEPSNONPILOT/Tender/SplashBidNoticeAbstractUI.aspx?menuIndex=3&amp;refID=7060922&amp;Result=3","7060922")</f>
        <v>0</v>
      </c>
      <c r="B91" t="s">
        <v>49</v>
      </c>
      <c r="C91" t="s">
        <v>3618</v>
      </c>
      <c r="D91" t="s">
        <v>18799</v>
      </c>
      <c r="E91" t="s">
        <v>18968</v>
      </c>
      <c r="F91" t="s">
        <v>32664</v>
      </c>
      <c r="G91" t="s">
        <v>32672</v>
      </c>
      <c r="H91" t="s">
        <v>32683</v>
      </c>
      <c r="I91" t="s">
        <v>10627</v>
      </c>
      <c r="J91" t="s">
        <v>32891</v>
      </c>
      <c r="K91" t="s">
        <v>42304</v>
      </c>
      <c r="M91" t="s">
        <v>42611</v>
      </c>
      <c r="N91" t="s">
        <v>46569</v>
      </c>
      <c r="O91" t="s">
        <v>46570</v>
      </c>
      <c r="P91">
        <v>0</v>
      </c>
      <c r="Q91">
        <v>3</v>
      </c>
      <c r="R91" t="s">
        <v>46571</v>
      </c>
      <c r="S91" t="s">
        <v>46687</v>
      </c>
      <c r="T91" t="s">
        <v>48243</v>
      </c>
      <c r="U91" t="s">
        <v>48859</v>
      </c>
      <c r="V91" t="s">
        <v>61619</v>
      </c>
      <c r="W91" t="s">
        <v>63463</v>
      </c>
      <c r="X91" t="s">
        <v>46574</v>
      </c>
    </row>
    <row r="92" spans="1:24">
      <c r="A92">
        <f>HYPERLINK("https://www.philgeps.gov.ph/GEPSNONPILOT/Tender/SplashBidNoticeAbstractUI.aspx?menuIndex=3&amp;refID=7060728&amp;Result=3","7060728")</f>
        <v>0</v>
      </c>
      <c r="B92" t="s">
        <v>49</v>
      </c>
      <c r="C92" t="s">
        <v>3619</v>
      </c>
      <c r="D92" t="s">
        <v>18799</v>
      </c>
      <c r="E92" t="s">
        <v>18969</v>
      </c>
      <c r="F92" t="s">
        <v>32664</v>
      </c>
      <c r="G92" t="s">
        <v>32672</v>
      </c>
      <c r="H92" t="s">
        <v>32683</v>
      </c>
      <c r="I92" t="s">
        <v>10627</v>
      </c>
      <c r="J92" t="s">
        <v>32892</v>
      </c>
      <c r="K92" t="s">
        <v>42304</v>
      </c>
      <c r="M92" t="s">
        <v>42611</v>
      </c>
      <c r="N92" t="s">
        <v>46569</v>
      </c>
      <c r="O92" t="s">
        <v>46570</v>
      </c>
      <c r="P92">
        <v>0</v>
      </c>
      <c r="Q92">
        <v>3</v>
      </c>
      <c r="R92" t="s">
        <v>46571</v>
      </c>
      <c r="S92" t="s">
        <v>46687</v>
      </c>
      <c r="T92" t="s">
        <v>48241</v>
      </c>
      <c r="U92" t="s">
        <v>48860</v>
      </c>
      <c r="V92" t="s">
        <v>61619</v>
      </c>
      <c r="W92" t="s">
        <v>63463</v>
      </c>
      <c r="X92" t="s">
        <v>46574</v>
      </c>
    </row>
    <row r="93" spans="1:24">
      <c r="A93">
        <f>HYPERLINK("https://www.philgeps.gov.ph/GEPSNONPILOT/Tender/SplashBidNoticeAbstractUI.aspx?menuIndex=3&amp;refID=7060801&amp;Result=3","7060801")</f>
        <v>0</v>
      </c>
      <c r="B93" t="s">
        <v>48</v>
      </c>
      <c r="C93" t="s">
        <v>3620</v>
      </c>
      <c r="D93" t="s">
        <v>18798</v>
      </c>
      <c r="E93" t="s">
        <v>18970</v>
      </c>
      <c r="F93" t="s">
        <v>32664</v>
      </c>
      <c r="G93" t="s">
        <v>32672</v>
      </c>
      <c r="H93" t="s">
        <v>12635</v>
      </c>
      <c r="I93" t="s">
        <v>8797</v>
      </c>
      <c r="J93" t="s">
        <v>32893</v>
      </c>
      <c r="K93" t="s">
        <v>42284</v>
      </c>
      <c r="M93" t="s">
        <v>42610</v>
      </c>
      <c r="N93" t="s">
        <v>46569</v>
      </c>
      <c r="O93" t="s">
        <v>46570</v>
      </c>
      <c r="P93">
        <v>0</v>
      </c>
      <c r="Q93">
        <v>2</v>
      </c>
      <c r="R93" t="s">
        <v>46571</v>
      </c>
      <c r="S93" t="s">
        <v>46687</v>
      </c>
      <c r="T93" t="s">
        <v>48232</v>
      </c>
      <c r="U93" t="s">
        <v>48861</v>
      </c>
      <c r="W93" t="s">
        <v>42610</v>
      </c>
      <c r="X93" t="s">
        <v>46574</v>
      </c>
    </row>
    <row r="94" spans="1:24">
      <c r="A94">
        <f>HYPERLINK("https://www.philgeps.gov.ph/GEPSNONPILOT/Tender/SplashBidNoticeAbstractUI.aspx?menuIndex=3&amp;refID=7060673&amp;Result=3","7060673")</f>
        <v>0</v>
      </c>
      <c r="B94" t="s">
        <v>56</v>
      </c>
      <c r="C94" t="s">
        <v>3621</v>
      </c>
      <c r="D94" t="s">
        <v>18805</v>
      </c>
      <c r="E94" t="s">
        <v>18971</v>
      </c>
      <c r="F94" t="s">
        <v>32664</v>
      </c>
      <c r="G94" t="s">
        <v>32672</v>
      </c>
      <c r="H94" t="s">
        <v>32683</v>
      </c>
      <c r="I94" t="s">
        <v>10627</v>
      </c>
      <c r="J94" t="s">
        <v>32894</v>
      </c>
      <c r="K94" t="s">
        <v>42290</v>
      </c>
      <c r="M94" t="s">
        <v>42618</v>
      </c>
      <c r="N94" t="s">
        <v>46569</v>
      </c>
      <c r="O94" t="s">
        <v>46570</v>
      </c>
      <c r="P94">
        <v>0</v>
      </c>
      <c r="Q94">
        <v>0</v>
      </c>
      <c r="R94" t="s">
        <v>46571</v>
      </c>
      <c r="S94" t="s">
        <v>46687</v>
      </c>
      <c r="T94" t="s">
        <v>48222</v>
      </c>
      <c r="U94" t="s">
        <v>48862</v>
      </c>
      <c r="W94" t="s">
        <v>42618</v>
      </c>
      <c r="X94" t="s">
        <v>46574</v>
      </c>
    </row>
    <row r="95" spans="1:24">
      <c r="A95">
        <f>HYPERLINK("https://www.philgeps.gov.ph/GEPSNONPILOT/Tender/SplashBidNoticeAbstractUI.aspx?menuIndex=3&amp;refID=7060651&amp;Result=3","7060651")</f>
        <v>0</v>
      </c>
      <c r="B95" t="s">
        <v>48</v>
      </c>
      <c r="C95" t="s">
        <v>3622</v>
      </c>
      <c r="D95" t="s">
        <v>18798</v>
      </c>
      <c r="E95" t="s">
        <v>18972</v>
      </c>
      <c r="F95" t="s">
        <v>32664</v>
      </c>
      <c r="G95" t="s">
        <v>32672</v>
      </c>
      <c r="H95" t="s">
        <v>32683</v>
      </c>
      <c r="I95" t="s">
        <v>10627</v>
      </c>
      <c r="J95" t="s">
        <v>32895</v>
      </c>
      <c r="K95" t="s">
        <v>42298</v>
      </c>
      <c r="M95" t="s">
        <v>42610</v>
      </c>
      <c r="N95" t="s">
        <v>46569</v>
      </c>
      <c r="O95" t="s">
        <v>46570</v>
      </c>
      <c r="P95">
        <v>0</v>
      </c>
      <c r="Q95">
        <v>0</v>
      </c>
      <c r="R95" t="s">
        <v>46571</v>
      </c>
      <c r="S95" t="s">
        <v>46687</v>
      </c>
      <c r="T95" t="s">
        <v>48232</v>
      </c>
      <c r="U95" t="s">
        <v>48863</v>
      </c>
      <c r="W95" t="s">
        <v>42610</v>
      </c>
      <c r="X95" t="s">
        <v>46574</v>
      </c>
    </row>
    <row r="96" spans="1:24">
      <c r="A96">
        <f>HYPERLINK("https://www.philgeps.gov.ph/GEPSNONPILOT/Tender/SplashBidNoticeAbstractUI.aspx?menuIndex=3&amp;refID=7060796&amp;Result=3","7060796")</f>
        <v>0</v>
      </c>
      <c r="B96" t="s">
        <v>57</v>
      </c>
      <c r="C96" t="s">
        <v>3623</v>
      </c>
      <c r="D96" t="s">
        <v>18806</v>
      </c>
      <c r="E96" t="s">
        <v>18973</v>
      </c>
      <c r="F96" t="s">
        <v>32664</v>
      </c>
      <c r="G96" t="s">
        <v>32672</v>
      </c>
      <c r="H96" t="s">
        <v>12635</v>
      </c>
      <c r="I96" t="s">
        <v>7759</v>
      </c>
      <c r="J96" t="s">
        <v>32896</v>
      </c>
      <c r="K96" t="s">
        <v>42297</v>
      </c>
      <c r="M96" t="s">
        <v>42619</v>
      </c>
      <c r="N96" t="s">
        <v>46569</v>
      </c>
      <c r="O96" t="s">
        <v>46570</v>
      </c>
      <c r="P96">
        <v>0</v>
      </c>
      <c r="Q96">
        <v>1</v>
      </c>
      <c r="R96" t="s">
        <v>46571</v>
      </c>
      <c r="S96" t="s">
        <v>46687</v>
      </c>
      <c r="T96" t="s">
        <v>48226</v>
      </c>
      <c r="U96" t="s">
        <v>48864</v>
      </c>
      <c r="W96" t="s">
        <v>42619</v>
      </c>
      <c r="X96" t="s">
        <v>46574</v>
      </c>
    </row>
    <row r="97" spans="1:24">
      <c r="A97">
        <f>HYPERLINK("https://www.philgeps.gov.ph/GEPSNONPILOT/Tender/SplashBidNoticeAbstractUI.aspx?menuIndex=3&amp;refID=7060642&amp;Result=3","7060642")</f>
        <v>0</v>
      </c>
      <c r="B97" t="s">
        <v>58</v>
      </c>
      <c r="C97" t="s">
        <v>3624</v>
      </c>
      <c r="E97" t="s">
        <v>18974</v>
      </c>
      <c r="F97" t="s">
        <v>32664</v>
      </c>
      <c r="G97" t="s">
        <v>32671</v>
      </c>
      <c r="H97" t="s">
        <v>12635</v>
      </c>
      <c r="I97" t="s">
        <v>32696</v>
      </c>
      <c r="J97" t="s">
        <v>32842</v>
      </c>
      <c r="K97" t="s">
        <v>42289</v>
      </c>
      <c r="M97" t="s">
        <v>42620</v>
      </c>
      <c r="N97" t="s">
        <v>46569</v>
      </c>
      <c r="O97" t="s">
        <v>46570</v>
      </c>
      <c r="P97">
        <v>0</v>
      </c>
      <c r="Q97">
        <v>0</v>
      </c>
      <c r="R97" t="s">
        <v>46571</v>
      </c>
      <c r="S97" t="s">
        <v>46687</v>
      </c>
      <c r="T97" t="s">
        <v>48244</v>
      </c>
      <c r="U97" t="s">
        <v>48865</v>
      </c>
      <c r="W97" t="s">
        <v>42620</v>
      </c>
      <c r="X97" t="s">
        <v>46574</v>
      </c>
    </row>
    <row r="98" spans="1:24">
      <c r="A98">
        <f>HYPERLINK("https://www.philgeps.gov.ph/GEPSNONPILOT/Tender/SplashBidNoticeAbstractUI.aspx?menuIndex=3&amp;refID=7058933&amp;Result=3","7058933")</f>
        <v>0</v>
      </c>
      <c r="B98" t="s">
        <v>51</v>
      </c>
      <c r="C98" t="s">
        <v>3625</v>
      </c>
      <c r="D98" t="s">
        <v>18801</v>
      </c>
      <c r="E98" t="s">
        <v>18943</v>
      </c>
      <c r="F98" t="s">
        <v>32664</v>
      </c>
      <c r="G98" t="s">
        <v>32672</v>
      </c>
      <c r="H98" t="s">
        <v>12635</v>
      </c>
      <c r="I98" t="s">
        <v>32695</v>
      </c>
      <c r="J98" t="s">
        <v>32897</v>
      </c>
      <c r="K98" t="s">
        <v>42284</v>
      </c>
      <c r="M98" t="s">
        <v>42613</v>
      </c>
      <c r="N98" t="s">
        <v>46569</v>
      </c>
      <c r="O98" t="s">
        <v>46570</v>
      </c>
      <c r="P98">
        <v>0</v>
      </c>
      <c r="Q98">
        <v>0</v>
      </c>
      <c r="R98" t="s">
        <v>46571</v>
      </c>
      <c r="S98" t="s">
        <v>46687</v>
      </c>
      <c r="T98" t="s">
        <v>48245</v>
      </c>
      <c r="U98" t="s">
        <v>48866</v>
      </c>
      <c r="W98" t="s">
        <v>42613</v>
      </c>
      <c r="X98" t="s">
        <v>46575</v>
      </c>
    </row>
    <row r="99" spans="1:24">
      <c r="A99">
        <f>HYPERLINK("https://www.philgeps.gov.ph/GEPSNONPILOT/Tender/SplashBidNoticeAbstractUI.aspx?menuIndex=3&amp;refID=7060769&amp;Result=3","7060769")</f>
        <v>0</v>
      </c>
      <c r="B99" t="s">
        <v>48</v>
      </c>
      <c r="C99" t="s">
        <v>3626</v>
      </c>
      <c r="D99" t="s">
        <v>18798</v>
      </c>
      <c r="E99" t="s">
        <v>18975</v>
      </c>
      <c r="F99" t="s">
        <v>32664</v>
      </c>
      <c r="G99" t="s">
        <v>32672</v>
      </c>
      <c r="H99" t="s">
        <v>12635</v>
      </c>
      <c r="I99" t="s">
        <v>32697</v>
      </c>
      <c r="J99" t="s">
        <v>32898</v>
      </c>
      <c r="K99" t="s">
        <v>42284</v>
      </c>
      <c r="M99" t="s">
        <v>42610</v>
      </c>
      <c r="N99" t="s">
        <v>46569</v>
      </c>
      <c r="O99" t="s">
        <v>46570</v>
      </c>
      <c r="P99">
        <v>0</v>
      </c>
      <c r="Q99">
        <v>1</v>
      </c>
      <c r="R99" t="s">
        <v>46571</v>
      </c>
      <c r="S99" t="s">
        <v>46687</v>
      </c>
      <c r="T99" t="s">
        <v>48232</v>
      </c>
      <c r="U99" t="s">
        <v>48867</v>
      </c>
      <c r="W99" t="s">
        <v>42610</v>
      </c>
      <c r="X99" t="s">
        <v>46574</v>
      </c>
    </row>
    <row r="100" spans="1:24">
      <c r="A100">
        <f>HYPERLINK("https://www.philgeps.gov.ph/GEPSNONPILOT/Tender/SplashBidNoticeAbstractUI.aspx?menuIndex=3&amp;refID=7060536&amp;Result=3","7060536")</f>
        <v>0</v>
      </c>
      <c r="B100" t="s">
        <v>49</v>
      </c>
      <c r="C100" t="s">
        <v>3627</v>
      </c>
      <c r="D100" t="s">
        <v>18799</v>
      </c>
      <c r="E100" t="s">
        <v>18976</v>
      </c>
      <c r="F100" t="s">
        <v>32664</v>
      </c>
      <c r="G100" t="s">
        <v>32672</v>
      </c>
      <c r="H100" t="s">
        <v>32683</v>
      </c>
      <c r="I100" t="s">
        <v>10627</v>
      </c>
      <c r="J100" t="s">
        <v>32899</v>
      </c>
      <c r="K100" t="s">
        <v>42304</v>
      </c>
      <c r="M100" t="s">
        <v>42611</v>
      </c>
      <c r="N100" t="s">
        <v>46569</v>
      </c>
      <c r="O100" t="s">
        <v>46570</v>
      </c>
      <c r="P100">
        <v>0</v>
      </c>
      <c r="Q100">
        <v>3</v>
      </c>
      <c r="R100" t="s">
        <v>46571</v>
      </c>
      <c r="S100" t="s">
        <v>46687</v>
      </c>
      <c r="T100" t="s">
        <v>48241</v>
      </c>
      <c r="U100" t="s">
        <v>48868</v>
      </c>
      <c r="V100" t="s">
        <v>61619</v>
      </c>
      <c r="W100" t="s">
        <v>63463</v>
      </c>
      <c r="X100" t="s">
        <v>46574</v>
      </c>
    </row>
    <row r="101" spans="1:24">
      <c r="A101">
        <f>HYPERLINK("https://www.philgeps.gov.ph/GEPSNONPILOT/Tender/SplashBidNoticeAbstractUI.aspx?menuIndex=3&amp;refID=7060659&amp;Result=3","7060659")</f>
        <v>0</v>
      </c>
      <c r="B101" t="s">
        <v>49</v>
      </c>
      <c r="C101" t="s">
        <v>3628</v>
      </c>
      <c r="D101" t="s">
        <v>18799</v>
      </c>
      <c r="E101" t="s">
        <v>18977</v>
      </c>
      <c r="F101" t="s">
        <v>32664</v>
      </c>
      <c r="G101" t="s">
        <v>32672</v>
      </c>
      <c r="H101" t="s">
        <v>32683</v>
      </c>
      <c r="I101" t="s">
        <v>10627</v>
      </c>
      <c r="J101" t="s">
        <v>32892</v>
      </c>
      <c r="K101" t="s">
        <v>42304</v>
      </c>
      <c r="M101" t="s">
        <v>42611</v>
      </c>
      <c r="N101" t="s">
        <v>46569</v>
      </c>
      <c r="O101" t="s">
        <v>46570</v>
      </c>
      <c r="P101">
        <v>0</v>
      </c>
      <c r="Q101">
        <v>3</v>
      </c>
      <c r="R101" t="s">
        <v>46571</v>
      </c>
      <c r="S101" t="s">
        <v>46687</v>
      </c>
      <c r="T101" t="s">
        <v>48241</v>
      </c>
      <c r="U101" t="s">
        <v>48869</v>
      </c>
      <c r="V101" t="s">
        <v>61619</v>
      </c>
      <c r="W101" t="s">
        <v>63463</v>
      </c>
      <c r="X101" t="s">
        <v>46574</v>
      </c>
    </row>
    <row r="102" spans="1:24">
      <c r="A102">
        <f>HYPERLINK("https://www.philgeps.gov.ph/GEPSNONPILOT/Tender/SplashBidNoticeAbstractUI.aspx?menuIndex=3&amp;refID=7060508&amp;Result=3","7060508")</f>
        <v>0</v>
      </c>
      <c r="B102" t="s">
        <v>58</v>
      </c>
      <c r="C102" t="s">
        <v>3629</v>
      </c>
      <c r="E102" t="s">
        <v>18978</v>
      </c>
      <c r="F102" t="s">
        <v>32664</v>
      </c>
      <c r="G102" t="s">
        <v>32671</v>
      </c>
      <c r="H102" t="s">
        <v>12635</v>
      </c>
      <c r="I102" t="s">
        <v>32696</v>
      </c>
      <c r="J102" t="s">
        <v>32900</v>
      </c>
      <c r="K102" t="s">
        <v>42289</v>
      </c>
      <c r="M102" t="s">
        <v>42620</v>
      </c>
      <c r="N102" t="s">
        <v>46569</v>
      </c>
      <c r="O102" t="s">
        <v>46570</v>
      </c>
      <c r="P102">
        <v>0</v>
      </c>
      <c r="Q102">
        <v>0</v>
      </c>
      <c r="R102" t="s">
        <v>46571</v>
      </c>
      <c r="S102" t="s">
        <v>46687</v>
      </c>
      <c r="T102" t="s">
        <v>48244</v>
      </c>
      <c r="U102" t="s">
        <v>48865</v>
      </c>
      <c r="W102" t="s">
        <v>42620</v>
      </c>
      <c r="X102" t="s">
        <v>46574</v>
      </c>
    </row>
    <row r="103" spans="1:24">
      <c r="A103">
        <f>HYPERLINK("https://www.philgeps.gov.ph/GEPSNONPILOT/Tender/SplashBidNoticeAbstractUI.aspx?menuIndex=3&amp;refID=7060478&amp;Result=3","7060478")</f>
        <v>0</v>
      </c>
      <c r="B103" t="s">
        <v>59</v>
      </c>
      <c r="C103" t="s">
        <v>3630</v>
      </c>
      <c r="D103" t="s">
        <v>18807</v>
      </c>
      <c r="E103" t="s">
        <v>18979</v>
      </c>
      <c r="F103" t="s">
        <v>32664</v>
      </c>
      <c r="G103" t="s">
        <v>32671</v>
      </c>
      <c r="H103" t="s">
        <v>12635</v>
      </c>
      <c r="I103" t="s">
        <v>4439</v>
      </c>
      <c r="J103" t="s">
        <v>32901</v>
      </c>
      <c r="K103" t="s">
        <v>42284</v>
      </c>
      <c r="M103" t="s">
        <v>42621</v>
      </c>
      <c r="N103" t="s">
        <v>46569</v>
      </c>
      <c r="O103" t="s">
        <v>46570</v>
      </c>
      <c r="P103">
        <v>0</v>
      </c>
      <c r="Q103">
        <v>0</v>
      </c>
      <c r="R103" t="s">
        <v>46571</v>
      </c>
      <c r="S103" t="s">
        <v>46687</v>
      </c>
      <c r="T103" t="s">
        <v>48211</v>
      </c>
      <c r="U103" t="s">
        <v>48870</v>
      </c>
      <c r="W103" t="s">
        <v>42621</v>
      </c>
      <c r="X103" t="s">
        <v>46574</v>
      </c>
    </row>
    <row r="104" spans="1:24">
      <c r="A104">
        <f>HYPERLINK("https://www.philgeps.gov.ph/GEPSNONPILOT/Tender/SplashBidNoticeAbstractUI.aspx?menuIndex=3&amp;refID=7061813&amp;Result=3","7061813")</f>
        <v>0</v>
      </c>
      <c r="B104" t="s">
        <v>60</v>
      </c>
      <c r="C104" t="s">
        <v>3631</v>
      </c>
      <c r="D104" t="s">
        <v>18808</v>
      </c>
      <c r="E104" t="s">
        <v>18980</v>
      </c>
      <c r="F104" t="s">
        <v>32664</v>
      </c>
      <c r="G104" t="s">
        <v>32671</v>
      </c>
      <c r="H104" t="s">
        <v>12635</v>
      </c>
      <c r="I104" t="s">
        <v>6628</v>
      </c>
      <c r="J104" t="s">
        <v>32902</v>
      </c>
      <c r="K104" t="s">
        <v>42281</v>
      </c>
      <c r="M104" t="s">
        <v>42622</v>
      </c>
      <c r="N104" t="s">
        <v>46569</v>
      </c>
      <c r="O104" t="s">
        <v>46570</v>
      </c>
      <c r="P104">
        <v>0</v>
      </c>
      <c r="Q104">
        <v>2</v>
      </c>
      <c r="R104" t="s">
        <v>46571</v>
      </c>
      <c r="S104" t="s">
        <v>46687</v>
      </c>
      <c r="T104" t="s">
        <v>48221</v>
      </c>
      <c r="U104" t="s">
        <v>48871</v>
      </c>
      <c r="W104" t="s">
        <v>42622</v>
      </c>
      <c r="X104" t="s">
        <v>46573</v>
      </c>
    </row>
    <row r="105" spans="1:24">
      <c r="A105">
        <f>HYPERLINK("https://www.philgeps.gov.ph/GEPSNONPILOT/Tender/SplashBidNoticeAbstractUI.aspx?menuIndex=3&amp;refID=7060726&amp;Result=3","7060726")</f>
        <v>0</v>
      </c>
      <c r="B105" t="s">
        <v>48</v>
      </c>
      <c r="C105" t="s">
        <v>3632</v>
      </c>
      <c r="D105" t="s">
        <v>18798</v>
      </c>
      <c r="E105" t="s">
        <v>18981</v>
      </c>
      <c r="F105" t="s">
        <v>32664</v>
      </c>
      <c r="G105" t="s">
        <v>32672</v>
      </c>
      <c r="H105" t="s">
        <v>32683</v>
      </c>
      <c r="I105" t="s">
        <v>10627</v>
      </c>
      <c r="J105" t="s">
        <v>32853</v>
      </c>
      <c r="K105" t="s">
        <v>42281</v>
      </c>
      <c r="M105" t="s">
        <v>42610</v>
      </c>
      <c r="N105" t="s">
        <v>46569</v>
      </c>
      <c r="O105" t="s">
        <v>46570</v>
      </c>
      <c r="P105">
        <v>0</v>
      </c>
      <c r="Q105">
        <v>0</v>
      </c>
      <c r="R105" t="s">
        <v>46571</v>
      </c>
      <c r="S105" t="s">
        <v>46687</v>
      </c>
      <c r="T105" t="s">
        <v>48232</v>
      </c>
      <c r="U105" t="s">
        <v>48872</v>
      </c>
      <c r="W105" t="s">
        <v>42610</v>
      </c>
      <c r="X105" t="s">
        <v>46574</v>
      </c>
    </row>
    <row r="106" spans="1:24">
      <c r="A106">
        <f>HYPERLINK("https://www.philgeps.gov.ph/GEPSNONPILOT/Tender/SplashBidNoticeAbstractUI.aspx?menuIndex=3&amp;refID=7060624&amp;Result=3","7060624")</f>
        <v>0</v>
      </c>
      <c r="B106" t="s">
        <v>61</v>
      </c>
      <c r="C106" t="s">
        <v>3633</v>
      </c>
      <c r="D106" t="s">
        <v>18809</v>
      </c>
      <c r="E106" t="s">
        <v>18982</v>
      </c>
      <c r="F106" t="s">
        <v>32664</v>
      </c>
      <c r="G106" t="s">
        <v>32671</v>
      </c>
      <c r="H106" t="s">
        <v>12635</v>
      </c>
      <c r="I106" t="s">
        <v>32698</v>
      </c>
      <c r="J106" t="s">
        <v>32903</v>
      </c>
      <c r="K106" t="s">
        <v>42284</v>
      </c>
      <c r="M106" t="s">
        <v>42623</v>
      </c>
      <c r="N106" t="s">
        <v>46569</v>
      </c>
      <c r="O106" t="s">
        <v>46570</v>
      </c>
      <c r="P106">
        <v>0</v>
      </c>
      <c r="Q106">
        <v>0</v>
      </c>
      <c r="R106" t="s">
        <v>46571</v>
      </c>
      <c r="S106" t="s">
        <v>46687</v>
      </c>
      <c r="T106" t="s">
        <v>48246</v>
      </c>
      <c r="U106" t="s">
        <v>48873</v>
      </c>
      <c r="W106" t="s">
        <v>42623</v>
      </c>
      <c r="X106" t="s">
        <v>46574</v>
      </c>
    </row>
    <row r="107" spans="1:24">
      <c r="A107">
        <f>HYPERLINK("https://www.philgeps.gov.ph/GEPSNONPILOT/Tender/SplashBidNoticeAbstractUI.aspx?menuIndex=3&amp;refID=7061794&amp;Result=3","7061794")</f>
        <v>0</v>
      </c>
      <c r="B107" t="s">
        <v>53</v>
      </c>
      <c r="C107" t="s">
        <v>3634</v>
      </c>
      <c r="E107" t="s">
        <v>18983</v>
      </c>
      <c r="F107" t="s">
        <v>32664</v>
      </c>
      <c r="G107" t="s">
        <v>32672</v>
      </c>
      <c r="H107" t="s">
        <v>12635</v>
      </c>
      <c r="I107" t="s">
        <v>6168</v>
      </c>
      <c r="J107" t="s">
        <v>32904</v>
      </c>
      <c r="K107" t="s">
        <v>42284</v>
      </c>
      <c r="M107" t="s">
        <v>42624</v>
      </c>
      <c r="N107" t="s">
        <v>46569</v>
      </c>
      <c r="O107" t="s">
        <v>46570</v>
      </c>
      <c r="P107">
        <v>0</v>
      </c>
      <c r="Q107">
        <v>0</v>
      </c>
      <c r="R107" t="s">
        <v>46571</v>
      </c>
      <c r="S107" t="s">
        <v>46687</v>
      </c>
      <c r="T107" t="s">
        <v>48240</v>
      </c>
      <c r="U107" t="s">
        <v>48874</v>
      </c>
      <c r="W107" t="s">
        <v>42624</v>
      </c>
      <c r="X107" t="s">
        <v>46573</v>
      </c>
    </row>
    <row r="108" spans="1:24">
      <c r="A108">
        <f>HYPERLINK("https://www.philgeps.gov.ph/GEPSNONPILOT/Tender/SplashBidNoticeAbstractUI.aspx?menuIndex=3&amp;refID=7061723&amp;Result=3","7061723")</f>
        <v>0</v>
      </c>
      <c r="B108" t="s">
        <v>62</v>
      </c>
      <c r="C108" t="s">
        <v>3635</v>
      </c>
      <c r="D108" t="s">
        <v>18810</v>
      </c>
      <c r="E108" t="s">
        <v>18984</v>
      </c>
      <c r="F108" t="s">
        <v>32664</v>
      </c>
      <c r="G108" t="s">
        <v>32672</v>
      </c>
      <c r="H108" t="s">
        <v>12635</v>
      </c>
      <c r="I108" t="s">
        <v>32699</v>
      </c>
      <c r="J108" t="s">
        <v>32905</v>
      </c>
      <c r="K108" t="s">
        <v>42281</v>
      </c>
      <c r="M108" t="s">
        <v>42625</v>
      </c>
      <c r="N108" t="s">
        <v>46569</v>
      </c>
      <c r="O108" t="s">
        <v>46570</v>
      </c>
      <c r="P108">
        <v>0</v>
      </c>
      <c r="Q108">
        <v>1</v>
      </c>
      <c r="R108" t="s">
        <v>46571</v>
      </c>
      <c r="S108" t="s">
        <v>46687</v>
      </c>
      <c r="T108" t="s">
        <v>48223</v>
      </c>
      <c r="U108" t="s">
        <v>48875</v>
      </c>
      <c r="W108" t="s">
        <v>42625</v>
      </c>
      <c r="X108" t="s">
        <v>46573</v>
      </c>
    </row>
    <row r="109" spans="1:24">
      <c r="A109">
        <f>HYPERLINK("https://www.philgeps.gov.ph/GEPSNONPILOT/Tender/SplashBidNoticeAbstractUI.aspx?menuIndex=3&amp;refID=7060630&amp;Result=3","7060630")</f>
        <v>0</v>
      </c>
      <c r="B109" t="s">
        <v>48</v>
      </c>
      <c r="C109" t="s">
        <v>3636</v>
      </c>
      <c r="D109" t="s">
        <v>18798</v>
      </c>
      <c r="E109" t="s">
        <v>18985</v>
      </c>
      <c r="F109" t="s">
        <v>32664</v>
      </c>
      <c r="G109" t="s">
        <v>32672</v>
      </c>
      <c r="H109" t="s">
        <v>32683</v>
      </c>
      <c r="I109" t="s">
        <v>10627</v>
      </c>
      <c r="J109" t="s">
        <v>32906</v>
      </c>
      <c r="K109" t="s">
        <v>42281</v>
      </c>
      <c r="M109" t="s">
        <v>42610</v>
      </c>
      <c r="N109" t="s">
        <v>46569</v>
      </c>
      <c r="O109" t="s">
        <v>46570</v>
      </c>
      <c r="P109">
        <v>0</v>
      </c>
      <c r="Q109">
        <v>0</v>
      </c>
      <c r="R109" t="s">
        <v>46571</v>
      </c>
      <c r="S109" t="s">
        <v>46687</v>
      </c>
      <c r="T109" t="s">
        <v>48232</v>
      </c>
      <c r="U109" t="s">
        <v>48876</v>
      </c>
      <c r="W109" t="s">
        <v>42610</v>
      </c>
      <c r="X109" t="s">
        <v>46574</v>
      </c>
    </row>
    <row r="110" spans="1:24">
      <c r="A110">
        <f>HYPERLINK("https://www.philgeps.gov.ph/GEPSNONPILOT/Tender/SplashBidNoticeAbstractUI.aspx?menuIndex=3&amp;refID=7061693&amp;Result=3","7061693")</f>
        <v>0</v>
      </c>
      <c r="B110" t="s">
        <v>63</v>
      </c>
      <c r="C110" t="s">
        <v>3637</v>
      </c>
      <c r="D110" t="s">
        <v>18811</v>
      </c>
      <c r="E110" t="s">
        <v>18986</v>
      </c>
      <c r="F110" t="s">
        <v>32664</v>
      </c>
      <c r="G110" t="s">
        <v>32671</v>
      </c>
      <c r="H110" t="s">
        <v>32683</v>
      </c>
      <c r="I110" t="s">
        <v>10627</v>
      </c>
      <c r="J110" t="s">
        <v>32907</v>
      </c>
      <c r="K110" t="s">
        <v>42281</v>
      </c>
      <c r="M110" t="s">
        <v>42626</v>
      </c>
      <c r="N110" t="s">
        <v>46569</v>
      </c>
      <c r="O110" t="s">
        <v>46570</v>
      </c>
      <c r="P110">
        <v>0</v>
      </c>
      <c r="Q110">
        <v>0</v>
      </c>
      <c r="R110" t="s">
        <v>46571</v>
      </c>
      <c r="S110" t="s">
        <v>46687</v>
      </c>
      <c r="T110" t="s">
        <v>48247</v>
      </c>
      <c r="U110" t="s">
        <v>48877</v>
      </c>
      <c r="W110" t="s">
        <v>63464</v>
      </c>
      <c r="X110" t="s">
        <v>46574</v>
      </c>
    </row>
    <row r="111" spans="1:24">
      <c r="A111">
        <f>HYPERLINK("https://www.philgeps.gov.ph/GEPSNONPILOT/Tender/SplashBidNoticeAbstractUI.aspx?menuIndex=3&amp;refID=7060677&amp;Result=3","7060677")</f>
        <v>0</v>
      </c>
      <c r="B111" t="s">
        <v>48</v>
      </c>
      <c r="C111" t="s">
        <v>3638</v>
      </c>
      <c r="D111" t="s">
        <v>18798</v>
      </c>
      <c r="E111" t="s">
        <v>18987</v>
      </c>
      <c r="F111" t="s">
        <v>32664</v>
      </c>
      <c r="G111" t="s">
        <v>32672</v>
      </c>
      <c r="H111" t="s">
        <v>12635</v>
      </c>
      <c r="I111" t="s">
        <v>10374</v>
      </c>
      <c r="J111" t="s">
        <v>32908</v>
      </c>
      <c r="K111" t="s">
        <v>42284</v>
      </c>
      <c r="M111" t="s">
        <v>42610</v>
      </c>
      <c r="N111" t="s">
        <v>46569</v>
      </c>
      <c r="O111" t="s">
        <v>46570</v>
      </c>
      <c r="P111">
        <v>0</v>
      </c>
      <c r="Q111">
        <v>0</v>
      </c>
      <c r="R111" t="s">
        <v>46571</v>
      </c>
      <c r="S111" t="s">
        <v>46687</v>
      </c>
      <c r="T111" t="s">
        <v>48232</v>
      </c>
      <c r="U111" t="s">
        <v>48878</v>
      </c>
      <c r="W111" t="s">
        <v>42610</v>
      </c>
      <c r="X111" t="s">
        <v>46574</v>
      </c>
    </row>
    <row r="112" spans="1:24">
      <c r="A112">
        <f>HYPERLINK("https://www.philgeps.gov.ph/GEPSNONPILOT/Tender/SplashBidNoticeAbstractUI.aspx?menuIndex=3&amp;refID=7061667&amp;Result=3","7061667")</f>
        <v>0</v>
      </c>
      <c r="B112" t="s">
        <v>63</v>
      </c>
      <c r="C112" t="s">
        <v>3639</v>
      </c>
      <c r="D112" t="s">
        <v>18811</v>
      </c>
      <c r="E112" t="s">
        <v>18988</v>
      </c>
      <c r="F112" t="s">
        <v>32664</v>
      </c>
      <c r="G112" t="s">
        <v>32671</v>
      </c>
      <c r="H112" t="s">
        <v>32683</v>
      </c>
      <c r="I112" t="s">
        <v>10627</v>
      </c>
      <c r="J112" t="s">
        <v>32909</v>
      </c>
      <c r="K112" t="s">
        <v>42281</v>
      </c>
      <c r="M112" t="s">
        <v>42626</v>
      </c>
      <c r="N112" t="s">
        <v>46569</v>
      </c>
      <c r="O112" t="s">
        <v>46570</v>
      </c>
      <c r="P112">
        <v>0</v>
      </c>
      <c r="Q112">
        <v>0</v>
      </c>
      <c r="R112" t="s">
        <v>46571</v>
      </c>
      <c r="S112" t="s">
        <v>46687</v>
      </c>
      <c r="T112" t="s">
        <v>48247</v>
      </c>
      <c r="U112" t="s">
        <v>48879</v>
      </c>
      <c r="W112" t="s">
        <v>63464</v>
      </c>
      <c r="X112" t="s">
        <v>46574</v>
      </c>
    </row>
    <row r="113" spans="1:24">
      <c r="A113">
        <f>HYPERLINK("https://www.philgeps.gov.ph/GEPSNONPILOT/Tender/SplashBidNoticeAbstractUI.aspx?menuIndex=3&amp;refID=7061521&amp;Result=3","7061521")</f>
        <v>0</v>
      </c>
      <c r="B113" t="s">
        <v>64</v>
      </c>
      <c r="C113" t="s">
        <v>3640</v>
      </c>
      <c r="D113" t="s">
        <v>18812</v>
      </c>
      <c r="E113" t="s">
        <v>18989</v>
      </c>
      <c r="F113" t="s">
        <v>32664</v>
      </c>
      <c r="G113" t="s">
        <v>32671</v>
      </c>
      <c r="H113" t="s">
        <v>12635</v>
      </c>
      <c r="I113" t="s">
        <v>4439</v>
      </c>
      <c r="J113" t="s">
        <v>32910</v>
      </c>
      <c r="K113" t="s">
        <v>42306</v>
      </c>
      <c r="M113" t="s">
        <v>42627</v>
      </c>
      <c r="N113" t="s">
        <v>46569</v>
      </c>
      <c r="O113" t="s">
        <v>46570</v>
      </c>
      <c r="P113">
        <v>0</v>
      </c>
      <c r="Q113">
        <v>0</v>
      </c>
      <c r="R113" t="s">
        <v>46571</v>
      </c>
      <c r="S113" t="s">
        <v>46687</v>
      </c>
      <c r="T113" t="s">
        <v>48248</v>
      </c>
      <c r="U113" t="s">
        <v>48880</v>
      </c>
      <c r="W113" t="s">
        <v>42627</v>
      </c>
      <c r="X113" t="s">
        <v>46574</v>
      </c>
    </row>
    <row r="114" spans="1:24">
      <c r="A114">
        <f>HYPERLINK("https://www.philgeps.gov.ph/GEPSNONPILOT/Tender/SplashBidNoticeAbstractUI.aspx?menuIndex=3&amp;refID=7061307&amp;Result=3","7061307")</f>
        <v>0</v>
      </c>
      <c r="B114" t="s">
        <v>65</v>
      </c>
      <c r="C114" t="s">
        <v>3641</v>
      </c>
      <c r="D114" t="s">
        <v>18783</v>
      </c>
      <c r="E114" t="s">
        <v>18990</v>
      </c>
      <c r="F114" t="s">
        <v>32664</v>
      </c>
      <c r="G114" t="s">
        <v>32672</v>
      </c>
      <c r="H114" t="s">
        <v>32683</v>
      </c>
      <c r="I114" t="s">
        <v>10627</v>
      </c>
      <c r="J114" t="s">
        <v>32911</v>
      </c>
      <c r="K114" t="s">
        <v>42298</v>
      </c>
      <c r="M114" t="s">
        <v>42628</v>
      </c>
      <c r="N114" t="s">
        <v>46569</v>
      </c>
      <c r="O114" t="s">
        <v>46570</v>
      </c>
      <c r="P114">
        <v>0</v>
      </c>
      <c r="Q114">
        <v>0</v>
      </c>
      <c r="R114" t="s">
        <v>46571</v>
      </c>
      <c r="S114" t="s">
        <v>46687</v>
      </c>
      <c r="T114" t="s">
        <v>48220</v>
      </c>
      <c r="U114" t="s">
        <v>48881</v>
      </c>
      <c r="V114" t="s">
        <v>61624</v>
      </c>
      <c r="W114" t="s">
        <v>42628</v>
      </c>
      <c r="X114" t="s">
        <v>46574</v>
      </c>
    </row>
    <row r="115" spans="1:24">
      <c r="A115">
        <f>HYPERLINK("https://www.philgeps.gov.ph/GEPSNONPILOT/Tender/SplashBidNoticeAbstractUI.aspx?menuIndex=3&amp;refID=7060223&amp;Result=3","7060223")</f>
        <v>0</v>
      </c>
      <c r="B115" t="s">
        <v>48</v>
      </c>
      <c r="C115" t="s">
        <v>3642</v>
      </c>
      <c r="D115" t="s">
        <v>18798</v>
      </c>
      <c r="E115" t="s">
        <v>18991</v>
      </c>
      <c r="F115" t="s">
        <v>32664</v>
      </c>
      <c r="G115" t="s">
        <v>32672</v>
      </c>
      <c r="H115" t="s">
        <v>12635</v>
      </c>
      <c r="I115" t="s">
        <v>6168</v>
      </c>
      <c r="J115" t="s">
        <v>32912</v>
      </c>
      <c r="K115" t="s">
        <v>42284</v>
      </c>
      <c r="M115" t="s">
        <v>42610</v>
      </c>
      <c r="N115" t="s">
        <v>46569</v>
      </c>
      <c r="O115" t="s">
        <v>46570</v>
      </c>
      <c r="P115">
        <v>0</v>
      </c>
      <c r="Q115">
        <v>1</v>
      </c>
      <c r="R115" t="s">
        <v>46571</v>
      </c>
      <c r="S115" t="s">
        <v>46687</v>
      </c>
      <c r="T115" t="s">
        <v>48232</v>
      </c>
      <c r="U115" t="s">
        <v>48882</v>
      </c>
      <c r="W115" t="s">
        <v>42610</v>
      </c>
      <c r="X115" t="s">
        <v>46574</v>
      </c>
    </row>
    <row r="116" spans="1:24">
      <c r="A116">
        <f>HYPERLINK("https://www.philgeps.gov.ph/GEPSNONPILOT/Tender/SplashBidNoticeAbstractUI.aspx?menuIndex=3&amp;refID=7061728&amp;Result=3","7061728")</f>
        <v>0</v>
      </c>
      <c r="B116" t="s">
        <v>62</v>
      </c>
      <c r="C116" t="s">
        <v>3643</v>
      </c>
      <c r="D116" t="s">
        <v>18810</v>
      </c>
      <c r="E116" t="s">
        <v>18992</v>
      </c>
      <c r="F116" t="s">
        <v>32664</v>
      </c>
      <c r="G116" t="s">
        <v>32672</v>
      </c>
      <c r="H116" t="s">
        <v>12635</v>
      </c>
      <c r="I116" t="s">
        <v>32700</v>
      </c>
      <c r="J116" t="s">
        <v>32853</v>
      </c>
      <c r="K116" t="s">
        <v>42298</v>
      </c>
      <c r="M116" t="s">
        <v>42625</v>
      </c>
      <c r="N116" t="s">
        <v>46569</v>
      </c>
      <c r="O116" t="s">
        <v>46570</v>
      </c>
      <c r="P116">
        <v>0</v>
      </c>
      <c r="Q116">
        <v>0</v>
      </c>
      <c r="R116" t="s">
        <v>46571</v>
      </c>
      <c r="S116" t="s">
        <v>46687</v>
      </c>
      <c r="T116" t="s">
        <v>48223</v>
      </c>
      <c r="U116" t="s">
        <v>48883</v>
      </c>
      <c r="W116" t="s">
        <v>42625</v>
      </c>
      <c r="X116" t="s">
        <v>46573</v>
      </c>
    </row>
    <row r="117" spans="1:24">
      <c r="A117">
        <f>HYPERLINK("https://www.philgeps.gov.ph/GEPSNONPILOT/Tender/SplashBidNoticeAbstractUI.aspx?menuIndex=3&amp;refID=7061340&amp;Result=3","7061340")</f>
        <v>0</v>
      </c>
      <c r="B117" t="s">
        <v>65</v>
      </c>
      <c r="C117" t="s">
        <v>3644</v>
      </c>
      <c r="D117" t="s">
        <v>18783</v>
      </c>
      <c r="E117" t="s">
        <v>18993</v>
      </c>
      <c r="F117" t="s">
        <v>32664</v>
      </c>
      <c r="G117" t="s">
        <v>32672</v>
      </c>
      <c r="H117" t="s">
        <v>32683</v>
      </c>
      <c r="I117" t="s">
        <v>10627</v>
      </c>
      <c r="J117" t="s">
        <v>32913</v>
      </c>
      <c r="K117" t="s">
        <v>42290</v>
      </c>
      <c r="M117" t="s">
        <v>42628</v>
      </c>
      <c r="N117" t="s">
        <v>46569</v>
      </c>
      <c r="O117" t="s">
        <v>46570</v>
      </c>
      <c r="P117">
        <v>0</v>
      </c>
      <c r="Q117">
        <v>0</v>
      </c>
      <c r="R117" t="s">
        <v>46571</v>
      </c>
      <c r="S117" t="s">
        <v>46687</v>
      </c>
      <c r="T117" t="s">
        <v>48220</v>
      </c>
      <c r="U117" t="s">
        <v>48884</v>
      </c>
      <c r="V117" t="s">
        <v>61624</v>
      </c>
      <c r="W117" t="s">
        <v>42628</v>
      </c>
      <c r="X117" t="s">
        <v>46574</v>
      </c>
    </row>
    <row r="118" spans="1:24">
      <c r="A118">
        <f>HYPERLINK("https://www.philgeps.gov.ph/GEPSNONPILOT/Tender/SplashBidNoticeAbstractUI.aspx?menuIndex=3&amp;refID=7061190&amp;Result=3","7061190")</f>
        <v>0</v>
      </c>
      <c r="B118" t="s">
        <v>49</v>
      </c>
      <c r="C118" t="s">
        <v>3645</v>
      </c>
      <c r="D118" t="s">
        <v>18799</v>
      </c>
      <c r="E118" t="s">
        <v>18994</v>
      </c>
      <c r="F118" t="s">
        <v>32664</v>
      </c>
      <c r="G118" t="s">
        <v>32672</v>
      </c>
      <c r="H118" t="s">
        <v>32683</v>
      </c>
      <c r="I118" t="s">
        <v>10627</v>
      </c>
      <c r="J118" t="s">
        <v>32914</v>
      </c>
      <c r="K118" t="s">
        <v>42304</v>
      </c>
      <c r="M118" t="s">
        <v>42611</v>
      </c>
      <c r="N118" t="s">
        <v>46569</v>
      </c>
      <c r="O118" t="s">
        <v>46570</v>
      </c>
      <c r="P118">
        <v>0</v>
      </c>
      <c r="Q118">
        <v>3</v>
      </c>
      <c r="R118" t="s">
        <v>46571</v>
      </c>
      <c r="S118" t="s">
        <v>46687</v>
      </c>
      <c r="T118" t="s">
        <v>48243</v>
      </c>
      <c r="U118" t="s">
        <v>48885</v>
      </c>
      <c r="V118" t="s">
        <v>61619</v>
      </c>
      <c r="W118" t="s">
        <v>63463</v>
      </c>
      <c r="X118" t="s">
        <v>46574</v>
      </c>
    </row>
    <row r="119" spans="1:24">
      <c r="A119">
        <f>HYPERLINK("https://www.philgeps.gov.ph/GEPSNONPILOT/Tender/SplashBidNoticeAbstractUI.aspx?menuIndex=3&amp;refID=7061226&amp;Result=3","7061226")</f>
        <v>0</v>
      </c>
      <c r="B119" t="s">
        <v>65</v>
      </c>
      <c r="C119" t="s">
        <v>3646</v>
      </c>
      <c r="D119" t="s">
        <v>18783</v>
      </c>
      <c r="E119" t="s">
        <v>18995</v>
      </c>
      <c r="F119" t="s">
        <v>32664</v>
      </c>
      <c r="G119" t="s">
        <v>32672</v>
      </c>
      <c r="H119" t="s">
        <v>32683</v>
      </c>
      <c r="I119" t="s">
        <v>10627</v>
      </c>
      <c r="J119" t="s">
        <v>32915</v>
      </c>
      <c r="K119" t="s">
        <v>42298</v>
      </c>
      <c r="M119" t="s">
        <v>42628</v>
      </c>
      <c r="N119" t="s">
        <v>46569</v>
      </c>
      <c r="O119" t="s">
        <v>46570</v>
      </c>
      <c r="P119">
        <v>0</v>
      </c>
      <c r="Q119">
        <v>0</v>
      </c>
      <c r="R119" t="s">
        <v>46571</v>
      </c>
      <c r="S119" t="s">
        <v>46687</v>
      </c>
      <c r="T119" t="s">
        <v>48220</v>
      </c>
      <c r="U119" t="s">
        <v>48886</v>
      </c>
      <c r="V119" t="s">
        <v>61624</v>
      </c>
      <c r="W119" t="s">
        <v>42628</v>
      </c>
      <c r="X119" t="s">
        <v>46574</v>
      </c>
    </row>
    <row r="120" spans="1:24">
      <c r="A120">
        <f>HYPERLINK("https://www.philgeps.gov.ph/GEPSNONPILOT/Tender/SplashBidNoticeAbstractUI.aspx?menuIndex=3&amp;refID=7061726&amp;Result=3","7061726")</f>
        <v>0</v>
      </c>
      <c r="B120" t="s">
        <v>62</v>
      </c>
      <c r="C120" t="s">
        <v>3647</v>
      </c>
      <c r="D120" t="s">
        <v>18810</v>
      </c>
      <c r="E120" t="s">
        <v>18996</v>
      </c>
      <c r="F120" t="s">
        <v>32664</v>
      </c>
      <c r="G120" t="s">
        <v>32672</v>
      </c>
      <c r="H120" t="s">
        <v>12635</v>
      </c>
      <c r="I120" t="s">
        <v>32699</v>
      </c>
      <c r="J120" t="s">
        <v>32853</v>
      </c>
      <c r="K120" t="s">
        <v>42281</v>
      </c>
      <c r="M120" t="s">
        <v>42625</v>
      </c>
      <c r="N120" t="s">
        <v>46569</v>
      </c>
      <c r="O120" t="s">
        <v>46570</v>
      </c>
      <c r="P120">
        <v>0</v>
      </c>
      <c r="Q120">
        <v>0</v>
      </c>
      <c r="R120" t="s">
        <v>46571</v>
      </c>
      <c r="S120" t="s">
        <v>46687</v>
      </c>
      <c r="T120" t="s">
        <v>48223</v>
      </c>
      <c r="U120" t="s">
        <v>48887</v>
      </c>
      <c r="W120" t="s">
        <v>42625</v>
      </c>
      <c r="X120" t="s">
        <v>46573</v>
      </c>
    </row>
    <row r="121" spans="1:24">
      <c r="A121">
        <f>HYPERLINK("https://www.philgeps.gov.ph/GEPSNONPILOT/Tender/SplashBidNoticeAbstractUI.aspx?menuIndex=3&amp;refID=7061197&amp;Result=3","7061197")</f>
        <v>0</v>
      </c>
      <c r="B121" t="s">
        <v>66</v>
      </c>
      <c r="C121" t="s">
        <v>3648</v>
      </c>
      <c r="D121" t="s">
        <v>18813</v>
      </c>
      <c r="E121" t="s">
        <v>18997</v>
      </c>
      <c r="F121" t="s">
        <v>32664</v>
      </c>
      <c r="G121" t="s">
        <v>32671</v>
      </c>
      <c r="H121" t="s">
        <v>12635</v>
      </c>
      <c r="I121" t="s">
        <v>4439</v>
      </c>
      <c r="J121" t="s">
        <v>32916</v>
      </c>
      <c r="K121" t="s">
        <v>42281</v>
      </c>
      <c r="M121" t="s">
        <v>42629</v>
      </c>
      <c r="N121" t="s">
        <v>46569</v>
      </c>
      <c r="O121" t="s">
        <v>46570</v>
      </c>
      <c r="P121">
        <v>0</v>
      </c>
      <c r="Q121">
        <v>1</v>
      </c>
      <c r="R121" t="s">
        <v>46571</v>
      </c>
      <c r="S121" t="s">
        <v>46687</v>
      </c>
      <c r="T121" t="s">
        <v>48249</v>
      </c>
      <c r="U121" t="s">
        <v>48888</v>
      </c>
      <c r="W121" t="s">
        <v>42629</v>
      </c>
      <c r="X121" t="s">
        <v>46574</v>
      </c>
    </row>
    <row r="122" spans="1:24">
      <c r="A122">
        <f>HYPERLINK("https://www.philgeps.gov.ph/GEPSNONPILOT/Tender/SplashBidNoticeAbstractUI.aspx?menuIndex=3&amp;refID=7062444&amp;Result=3","7062444")</f>
        <v>0</v>
      </c>
      <c r="B122" t="s">
        <v>67</v>
      </c>
      <c r="C122" t="s">
        <v>3649</v>
      </c>
      <c r="D122" t="s">
        <v>18814</v>
      </c>
      <c r="E122" t="s">
        <v>18998</v>
      </c>
      <c r="F122" t="s">
        <v>32664</v>
      </c>
      <c r="G122" t="s">
        <v>32671</v>
      </c>
      <c r="H122" t="s">
        <v>32683</v>
      </c>
      <c r="I122" t="s">
        <v>10627</v>
      </c>
      <c r="J122" t="s">
        <v>32917</v>
      </c>
      <c r="K122" t="s">
        <v>42289</v>
      </c>
      <c r="M122" t="s">
        <v>42630</v>
      </c>
      <c r="N122" t="s">
        <v>46569</v>
      </c>
      <c r="O122" t="s">
        <v>46570</v>
      </c>
      <c r="P122">
        <v>0</v>
      </c>
      <c r="Q122">
        <v>0</v>
      </c>
      <c r="R122" t="s">
        <v>46571</v>
      </c>
      <c r="S122" t="s">
        <v>46687</v>
      </c>
      <c r="T122" t="s">
        <v>48250</v>
      </c>
      <c r="U122" t="s">
        <v>48889</v>
      </c>
      <c r="V122" t="s">
        <v>61625</v>
      </c>
      <c r="W122" t="s">
        <v>42630</v>
      </c>
      <c r="X122" t="s">
        <v>46573</v>
      </c>
    </row>
    <row r="123" spans="1:24">
      <c r="A123">
        <f>HYPERLINK("https://www.philgeps.gov.ph/GEPSNONPILOT/Tender/SplashBidNoticeAbstractUI.aspx?menuIndex=3&amp;refID=7061245&amp;Result=3","7061245")</f>
        <v>0</v>
      </c>
      <c r="B123" t="s">
        <v>66</v>
      </c>
      <c r="C123" t="s">
        <v>3650</v>
      </c>
      <c r="D123" t="s">
        <v>18813</v>
      </c>
      <c r="E123" t="s">
        <v>18999</v>
      </c>
      <c r="F123" t="s">
        <v>32664</v>
      </c>
      <c r="G123" t="s">
        <v>32675</v>
      </c>
      <c r="H123" t="s">
        <v>12635</v>
      </c>
      <c r="I123" t="s">
        <v>32701</v>
      </c>
      <c r="J123" t="s">
        <v>32918</v>
      </c>
      <c r="K123" t="s">
        <v>42289</v>
      </c>
      <c r="M123" t="s">
        <v>42629</v>
      </c>
      <c r="N123" t="s">
        <v>46569</v>
      </c>
      <c r="O123" t="s">
        <v>46570</v>
      </c>
      <c r="P123">
        <v>0</v>
      </c>
      <c r="Q123">
        <v>0</v>
      </c>
      <c r="R123" t="s">
        <v>46571</v>
      </c>
      <c r="S123" t="s">
        <v>46687</v>
      </c>
      <c r="T123" t="s">
        <v>48249</v>
      </c>
      <c r="U123" t="s">
        <v>48888</v>
      </c>
      <c r="W123" t="s">
        <v>42629</v>
      </c>
      <c r="X123" t="s">
        <v>46574</v>
      </c>
    </row>
    <row r="124" spans="1:24">
      <c r="A124">
        <f>HYPERLINK("https://www.philgeps.gov.ph/GEPSNONPILOT/Tender/SplashBidNoticeAbstractUI.aspx?menuIndex=3&amp;refID=7062442&amp;Result=3","7062442")</f>
        <v>0</v>
      </c>
      <c r="B124" t="s">
        <v>68</v>
      </c>
      <c r="C124" t="s">
        <v>3651</v>
      </c>
      <c r="D124" t="s">
        <v>18815</v>
      </c>
      <c r="E124" t="s">
        <v>19000</v>
      </c>
      <c r="F124" t="s">
        <v>32664</v>
      </c>
      <c r="G124" t="s">
        <v>32674</v>
      </c>
      <c r="H124" t="s">
        <v>12635</v>
      </c>
      <c r="I124" t="s">
        <v>6168</v>
      </c>
      <c r="J124" t="s">
        <v>32919</v>
      </c>
      <c r="K124" t="s">
        <v>42283</v>
      </c>
      <c r="M124" t="s">
        <v>42631</v>
      </c>
      <c r="N124" t="s">
        <v>46569</v>
      </c>
      <c r="O124" t="s">
        <v>46570</v>
      </c>
      <c r="P124">
        <v>0</v>
      </c>
      <c r="Q124">
        <v>0</v>
      </c>
      <c r="R124" t="s">
        <v>46571</v>
      </c>
      <c r="S124" t="s">
        <v>46687</v>
      </c>
      <c r="T124" t="s">
        <v>48251</v>
      </c>
      <c r="U124" t="s">
        <v>48890</v>
      </c>
      <c r="V124" t="s">
        <v>61626</v>
      </c>
      <c r="W124" t="s">
        <v>42631</v>
      </c>
      <c r="X124" t="s">
        <v>46573</v>
      </c>
    </row>
    <row r="125" spans="1:24">
      <c r="A125">
        <f>HYPERLINK("https://www.philgeps.gov.ph/GEPSNONPILOT/Tender/SplashBidNoticeAbstractUI.aspx?menuIndex=3&amp;refID=7062416&amp;Result=3","7062416")</f>
        <v>0</v>
      </c>
      <c r="B125" t="s">
        <v>69</v>
      </c>
      <c r="C125" t="s">
        <v>3652</v>
      </c>
      <c r="D125" t="s">
        <v>18784</v>
      </c>
      <c r="E125" t="s">
        <v>19001</v>
      </c>
      <c r="F125" t="s">
        <v>32664</v>
      </c>
      <c r="G125" t="s">
        <v>32672</v>
      </c>
      <c r="H125" t="s">
        <v>32683</v>
      </c>
      <c r="I125" t="s">
        <v>10627</v>
      </c>
      <c r="J125" t="s">
        <v>32920</v>
      </c>
      <c r="K125" t="s">
        <v>42290</v>
      </c>
      <c r="M125" t="s">
        <v>42632</v>
      </c>
      <c r="N125" t="s">
        <v>46569</v>
      </c>
      <c r="O125" t="s">
        <v>46570</v>
      </c>
      <c r="P125">
        <v>0</v>
      </c>
      <c r="Q125">
        <v>3</v>
      </c>
      <c r="R125" t="s">
        <v>46571</v>
      </c>
      <c r="S125" t="s">
        <v>46687</v>
      </c>
      <c r="T125" t="s">
        <v>48252</v>
      </c>
      <c r="U125" t="s">
        <v>48891</v>
      </c>
      <c r="W125" t="s">
        <v>42632</v>
      </c>
      <c r="X125" t="s">
        <v>46573</v>
      </c>
    </row>
    <row r="126" spans="1:24">
      <c r="A126">
        <f>HYPERLINK("https://www.philgeps.gov.ph/GEPSNONPILOT/Tender/SplashBidNoticeAbstractUI.aspx?menuIndex=3&amp;refID=7062396&amp;Result=3","7062396")</f>
        <v>0</v>
      </c>
      <c r="B126" t="s">
        <v>69</v>
      </c>
      <c r="C126" t="s">
        <v>3653</v>
      </c>
      <c r="D126" t="s">
        <v>18784</v>
      </c>
      <c r="E126" t="s">
        <v>19002</v>
      </c>
      <c r="F126" t="s">
        <v>32664</v>
      </c>
      <c r="G126" t="s">
        <v>32672</v>
      </c>
      <c r="H126" t="s">
        <v>32683</v>
      </c>
      <c r="I126" t="s">
        <v>10627</v>
      </c>
      <c r="J126" t="s">
        <v>32921</v>
      </c>
      <c r="K126" t="s">
        <v>42285</v>
      </c>
      <c r="M126" t="s">
        <v>42632</v>
      </c>
      <c r="N126" t="s">
        <v>46569</v>
      </c>
      <c r="O126" t="s">
        <v>46570</v>
      </c>
      <c r="P126">
        <v>0</v>
      </c>
      <c r="Q126">
        <v>3</v>
      </c>
      <c r="R126" t="s">
        <v>46571</v>
      </c>
      <c r="S126" t="s">
        <v>46687</v>
      </c>
      <c r="T126" t="s">
        <v>48252</v>
      </c>
      <c r="U126" t="s">
        <v>48892</v>
      </c>
      <c r="W126" t="s">
        <v>42632</v>
      </c>
      <c r="X126" t="s">
        <v>46573</v>
      </c>
    </row>
    <row r="127" spans="1:24">
      <c r="A127">
        <f>HYPERLINK("https://www.philgeps.gov.ph/GEPSNONPILOT/Tender/SplashBidNoticeAbstractUI.aspx?menuIndex=3&amp;refID=7062388&amp;Result=3","7062388")</f>
        <v>0</v>
      </c>
      <c r="B127" t="s">
        <v>57</v>
      </c>
      <c r="C127" t="s">
        <v>3654</v>
      </c>
      <c r="D127" t="s">
        <v>18806</v>
      </c>
      <c r="E127" t="s">
        <v>19003</v>
      </c>
      <c r="F127" t="s">
        <v>32664</v>
      </c>
      <c r="G127" t="s">
        <v>32672</v>
      </c>
      <c r="H127" t="s">
        <v>32683</v>
      </c>
      <c r="I127" t="s">
        <v>10627</v>
      </c>
      <c r="J127" t="s">
        <v>32922</v>
      </c>
      <c r="K127" t="s">
        <v>42307</v>
      </c>
      <c r="M127" t="s">
        <v>42619</v>
      </c>
      <c r="N127" t="s">
        <v>46569</v>
      </c>
      <c r="O127" t="s">
        <v>46570</v>
      </c>
      <c r="P127">
        <v>0</v>
      </c>
      <c r="Q127">
        <v>0</v>
      </c>
      <c r="R127" t="s">
        <v>46571</v>
      </c>
      <c r="S127" t="s">
        <v>46687</v>
      </c>
      <c r="T127" t="s">
        <v>48253</v>
      </c>
      <c r="U127" t="s">
        <v>48893</v>
      </c>
      <c r="W127" t="s">
        <v>42619</v>
      </c>
      <c r="X127" t="s">
        <v>46573</v>
      </c>
    </row>
    <row r="128" spans="1:24">
      <c r="A128">
        <f>HYPERLINK("https://www.philgeps.gov.ph/GEPSNONPILOT/Tender/SplashBidNoticeAbstractUI.aspx?menuIndex=3&amp;refID=7061007&amp;Result=3","7061007")</f>
        <v>0</v>
      </c>
      <c r="B128" t="s">
        <v>65</v>
      </c>
      <c r="C128" t="s">
        <v>3655</v>
      </c>
      <c r="D128" t="s">
        <v>18783</v>
      </c>
      <c r="E128" t="s">
        <v>19004</v>
      </c>
      <c r="F128" t="s">
        <v>32664</v>
      </c>
      <c r="G128" t="s">
        <v>32672</v>
      </c>
      <c r="H128" t="s">
        <v>32683</v>
      </c>
      <c r="I128" t="s">
        <v>10627</v>
      </c>
      <c r="J128" t="s">
        <v>32923</v>
      </c>
      <c r="K128" t="s">
        <v>42298</v>
      </c>
      <c r="M128" t="s">
        <v>42628</v>
      </c>
      <c r="N128" t="s">
        <v>46569</v>
      </c>
      <c r="O128" t="s">
        <v>46570</v>
      </c>
      <c r="P128">
        <v>0</v>
      </c>
      <c r="Q128">
        <v>0</v>
      </c>
      <c r="R128" t="s">
        <v>46571</v>
      </c>
      <c r="S128" t="s">
        <v>46687</v>
      </c>
      <c r="T128" t="s">
        <v>48220</v>
      </c>
      <c r="U128" t="s">
        <v>48894</v>
      </c>
      <c r="V128" t="s">
        <v>61624</v>
      </c>
      <c r="W128" t="s">
        <v>42628</v>
      </c>
      <c r="X128" t="s">
        <v>46574</v>
      </c>
    </row>
    <row r="129" spans="1:24">
      <c r="A129">
        <f>HYPERLINK("https://www.philgeps.gov.ph/GEPSNONPILOT/Tender/SplashBidNoticeAbstractUI.aspx?menuIndex=3&amp;refID=7061805&amp;Result=3","7061805")</f>
        <v>0</v>
      </c>
      <c r="B129" t="s">
        <v>70</v>
      </c>
      <c r="C129" t="s">
        <v>3656</v>
      </c>
      <c r="D129" t="s">
        <v>18782</v>
      </c>
      <c r="E129" t="s">
        <v>19005</v>
      </c>
      <c r="F129" t="s">
        <v>32664</v>
      </c>
      <c r="G129" t="s">
        <v>32671</v>
      </c>
      <c r="H129" t="s">
        <v>12635</v>
      </c>
      <c r="I129" t="s">
        <v>32702</v>
      </c>
      <c r="J129" t="s">
        <v>32924</v>
      </c>
      <c r="K129" t="s">
        <v>42284</v>
      </c>
      <c r="M129" t="s">
        <v>42633</v>
      </c>
      <c r="N129" t="s">
        <v>46569</v>
      </c>
      <c r="O129" t="s">
        <v>46570</v>
      </c>
      <c r="P129">
        <v>0</v>
      </c>
      <c r="Q129">
        <v>0</v>
      </c>
      <c r="R129" t="s">
        <v>46571</v>
      </c>
      <c r="S129" t="s">
        <v>46687</v>
      </c>
      <c r="T129" t="s">
        <v>48219</v>
      </c>
      <c r="U129" t="s">
        <v>48895</v>
      </c>
      <c r="W129" t="s">
        <v>42633</v>
      </c>
      <c r="X129" t="s">
        <v>46573</v>
      </c>
    </row>
    <row r="130" spans="1:24">
      <c r="A130">
        <f>HYPERLINK("https://www.philgeps.gov.ph/GEPSNONPILOT/Tender/SplashBidNoticeAbstractUI.aspx?menuIndex=3&amp;refID=7062348&amp;Result=3","7062348")</f>
        <v>0</v>
      </c>
      <c r="B130" t="s">
        <v>44</v>
      </c>
      <c r="C130" t="s">
        <v>3657</v>
      </c>
      <c r="D130" t="s">
        <v>18795</v>
      </c>
      <c r="E130" t="s">
        <v>19006</v>
      </c>
      <c r="F130" t="s">
        <v>32664</v>
      </c>
      <c r="G130" t="s">
        <v>32672</v>
      </c>
      <c r="H130" t="s">
        <v>12635</v>
      </c>
      <c r="I130" t="s">
        <v>32703</v>
      </c>
      <c r="J130" t="s">
        <v>32925</v>
      </c>
      <c r="K130" t="s">
        <v>42283</v>
      </c>
      <c r="M130" t="s">
        <v>42606</v>
      </c>
      <c r="N130" t="s">
        <v>46569</v>
      </c>
      <c r="O130" t="s">
        <v>46570</v>
      </c>
      <c r="P130">
        <v>0</v>
      </c>
      <c r="Q130">
        <v>0</v>
      </c>
      <c r="R130" t="s">
        <v>46571</v>
      </c>
      <c r="S130" t="s">
        <v>46687</v>
      </c>
      <c r="T130" t="s">
        <v>48226</v>
      </c>
      <c r="U130" t="s">
        <v>48896</v>
      </c>
      <c r="W130" t="s">
        <v>42606</v>
      </c>
      <c r="X130" t="s">
        <v>46573</v>
      </c>
    </row>
    <row r="131" spans="1:24">
      <c r="A131">
        <f>HYPERLINK("https://www.philgeps.gov.ph/GEPSNONPILOT/Tender/SplashBidNoticeAbstractUI.aspx?menuIndex=3&amp;refID=7062330&amp;Result=3","7062330")</f>
        <v>0</v>
      </c>
      <c r="B131" t="s">
        <v>69</v>
      </c>
      <c r="C131" t="s">
        <v>3658</v>
      </c>
      <c r="D131" t="s">
        <v>18784</v>
      </c>
      <c r="E131" t="s">
        <v>19007</v>
      </c>
      <c r="F131" t="s">
        <v>32664</v>
      </c>
      <c r="G131" t="s">
        <v>32672</v>
      </c>
      <c r="H131" t="s">
        <v>32683</v>
      </c>
      <c r="I131" t="s">
        <v>10627</v>
      </c>
      <c r="J131" t="s">
        <v>32926</v>
      </c>
      <c r="K131" t="s">
        <v>42308</v>
      </c>
      <c r="M131" t="s">
        <v>42632</v>
      </c>
      <c r="N131" t="s">
        <v>46569</v>
      </c>
      <c r="O131" t="s">
        <v>46570</v>
      </c>
      <c r="P131">
        <v>0</v>
      </c>
      <c r="Q131">
        <v>3</v>
      </c>
      <c r="R131" t="s">
        <v>46571</v>
      </c>
      <c r="S131" t="s">
        <v>46687</v>
      </c>
      <c r="T131" t="s">
        <v>48252</v>
      </c>
      <c r="U131" t="s">
        <v>48897</v>
      </c>
      <c r="W131" t="s">
        <v>42632</v>
      </c>
      <c r="X131" t="s">
        <v>46573</v>
      </c>
    </row>
    <row r="132" spans="1:24">
      <c r="A132">
        <f>HYPERLINK("https://www.philgeps.gov.ph/GEPSNONPILOT/Tender/SplashBidNoticeAbstractUI.aspx?menuIndex=3&amp;refID=7062427&amp;Result=3","7062427")</f>
        <v>0</v>
      </c>
      <c r="B132" t="s">
        <v>69</v>
      </c>
      <c r="C132" t="s">
        <v>3659</v>
      </c>
      <c r="D132" t="s">
        <v>18784</v>
      </c>
      <c r="E132" t="s">
        <v>19008</v>
      </c>
      <c r="F132" t="s">
        <v>32664</v>
      </c>
      <c r="G132" t="s">
        <v>32672</v>
      </c>
      <c r="H132" t="s">
        <v>32683</v>
      </c>
      <c r="I132" t="s">
        <v>10627</v>
      </c>
      <c r="J132" t="s">
        <v>32927</v>
      </c>
      <c r="K132" t="s">
        <v>42290</v>
      </c>
      <c r="M132" t="s">
        <v>42632</v>
      </c>
      <c r="N132" t="s">
        <v>46569</v>
      </c>
      <c r="O132" t="s">
        <v>46570</v>
      </c>
      <c r="P132">
        <v>0</v>
      </c>
      <c r="Q132">
        <v>3</v>
      </c>
      <c r="R132" t="s">
        <v>46571</v>
      </c>
      <c r="S132" t="s">
        <v>46687</v>
      </c>
      <c r="T132" t="s">
        <v>48252</v>
      </c>
      <c r="U132" t="s">
        <v>48898</v>
      </c>
      <c r="W132" t="s">
        <v>42632</v>
      </c>
      <c r="X132" t="s">
        <v>46573</v>
      </c>
    </row>
    <row r="133" spans="1:24">
      <c r="A133">
        <f>HYPERLINK("https://www.philgeps.gov.ph/GEPSNONPILOT/Tender/SplashBidNoticeAbstractUI.aspx?menuIndex=3&amp;refID=7062208&amp;Result=3","7062208")</f>
        <v>0</v>
      </c>
      <c r="B133" t="s">
        <v>44</v>
      </c>
      <c r="C133" t="s">
        <v>3660</v>
      </c>
      <c r="D133" t="s">
        <v>18795</v>
      </c>
      <c r="E133" t="s">
        <v>19009</v>
      </c>
      <c r="F133" t="s">
        <v>32664</v>
      </c>
      <c r="G133" t="s">
        <v>32672</v>
      </c>
      <c r="H133" t="s">
        <v>12635</v>
      </c>
      <c r="I133" t="s">
        <v>6628</v>
      </c>
      <c r="J133" t="s">
        <v>32928</v>
      </c>
      <c r="K133" t="s">
        <v>42297</v>
      </c>
      <c r="M133" t="s">
        <v>42606</v>
      </c>
      <c r="N133" t="s">
        <v>46569</v>
      </c>
      <c r="O133" t="s">
        <v>46570</v>
      </c>
      <c r="P133">
        <v>0</v>
      </c>
      <c r="Q133">
        <v>0</v>
      </c>
      <c r="R133" t="s">
        <v>46571</v>
      </c>
      <c r="S133" t="s">
        <v>46687</v>
      </c>
      <c r="T133" t="s">
        <v>48226</v>
      </c>
      <c r="U133" t="s">
        <v>48899</v>
      </c>
      <c r="W133" t="s">
        <v>42606</v>
      </c>
      <c r="X133" t="s">
        <v>46573</v>
      </c>
    </row>
    <row r="134" spans="1:24">
      <c r="A134">
        <f>HYPERLINK("https://www.philgeps.gov.ph/GEPSNONPILOT/Tender/SplashBidNoticeAbstractUI.aspx?menuIndex=3&amp;refID=7062141&amp;Result=3","7062141")</f>
        <v>0</v>
      </c>
      <c r="B134" t="s">
        <v>71</v>
      </c>
      <c r="C134" t="s">
        <v>3661</v>
      </c>
      <c r="D134" t="s">
        <v>18798</v>
      </c>
      <c r="E134" t="s">
        <v>19010</v>
      </c>
      <c r="F134" t="s">
        <v>32664</v>
      </c>
      <c r="G134" t="s">
        <v>32674</v>
      </c>
      <c r="H134" t="s">
        <v>12635</v>
      </c>
      <c r="I134" t="s">
        <v>6168</v>
      </c>
      <c r="J134" t="s">
        <v>32929</v>
      </c>
      <c r="K134" t="s">
        <v>42306</v>
      </c>
      <c r="M134" t="s">
        <v>42634</v>
      </c>
      <c r="N134" t="s">
        <v>46569</v>
      </c>
      <c r="O134" t="s">
        <v>46570</v>
      </c>
      <c r="P134">
        <v>0</v>
      </c>
      <c r="Q134">
        <v>2</v>
      </c>
      <c r="R134" t="s">
        <v>46571</v>
      </c>
      <c r="S134" t="s">
        <v>46687</v>
      </c>
      <c r="T134" t="s">
        <v>48254</v>
      </c>
      <c r="U134" t="s">
        <v>48900</v>
      </c>
      <c r="V134" t="s">
        <v>61627</v>
      </c>
      <c r="W134" t="s">
        <v>42634</v>
      </c>
      <c r="X134" t="s">
        <v>46573</v>
      </c>
    </row>
    <row r="135" spans="1:24">
      <c r="A135">
        <f>HYPERLINK("https://www.philgeps.gov.ph/GEPSNONPILOT/Tender/SplashBidNoticeAbstractUI.aspx?menuIndex=3&amp;refID=7062094&amp;Result=3","7062094")</f>
        <v>0</v>
      </c>
      <c r="B135" t="s">
        <v>72</v>
      </c>
      <c r="C135" t="s">
        <v>3662</v>
      </c>
      <c r="D135" t="s">
        <v>18788</v>
      </c>
      <c r="E135" t="s">
        <v>19011</v>
      </c>
      <c r="F135" t="s">
        <v>32664</v>
      </c>
      <c r="G135" t="s">
        <v>32672</v>
      </c>
      <c r="H135" t="s">
        <v>12635</v>
      </c>
      <c r="I135" t="s">
        <v>32704</v>
      </c>
      <c r="J135" t="s">
        <v>32930</v>
      </c>
      <c r="K135" t="s">
        <v>42298</v>
      </c>
      <c r="M135" t="s">
        <v>42635</v>
      </c>
      <c r="N135" t="s">
        <v>46569</v>
      </c>
      <c r="O135" t="s">
        <v>46570</v>
      </c>
      <c r="P135">
        <v>0</v>
      </c>
      <c r="Q135">
        <v>2</v>
      </c>
      <c r="R135" t="s">
        <v>46571</v>
      </c>
      <c r="S135" t="s">
        <v>46687</v>
      </c>
      <c r="T135" t="s">
        <v>48255</v>
      </c>
      <c r="U135" t="s">
        <v>48901</v>
      </c>
      <c r="W135" t="s">
        <v>42635</v>
      </c>
      <c r="X135" t="s">
        <v>46573</v>
      </c>
    </row>
    <row r="136" spans="1:24">
      <c r="A136">
        <f>HYPERLINK("https://www.philgeps.gov.ph/GEPSNONPILOT/Tender/SplashBidNoticeAbstractUI.aspx?menuIndex=3&amp;refID=7061428&amp;Result=3","7061428")</f>
        <v>0</v>
      </c>
      <c r="B136" t="s">
        <v>73</v>
      </c>
      <c r="C136" t="s">
        <v>3663</v>
      </c>
      <c r="D136" t="s">
        <v>18813</v>
      </c>
      <c r="E136" t="s">
        <v>19012</v>
      </c>
      <c r="F136" t="s">
        <v>32665</v>
      </c>
      <c r="G136" t="s">
        <v>32672</v>
      </c>
      <c r="H136" t="s">
        <v>12635</v>
      </c>
      <c r="I136" t="s">
        <v>11464</v>
      </c>
      <c r="J136" t="s">
        <v>32931</v>
      </c>
      <c r="K136" t="s">
        <v>42284</v>
      </c>
      <c r="M136" t="s">
        <v>42636</v>
      </c>
      <c r="N136" t="s">
        <v>46569</v>
      </c>
      <c r="O136" t="s">
        <v>46570</v>
      </c>
      <c r="P136">
        <v>0</v>
      </c>
      <c r="Q136">
        <v>1</v>
      </c>
      <c r="R136" t="s">
        <v>46571</v>
      </c>
      <c r="S136" t="s">
        <v>46687</v>
      </c>
      <c r="T136" t="s">
        <v>48233</v>
      </c>
      <c r="U136" t="s">
        <v>48902</v>
      </c>
      <c r="V136" t="s">
        <v>61628</v>
      </c>
      <c r="W136" t="s">
        <v>42636</v>
      </c>
      <c r="X136" t="s">
        <v>46574</v>
      </c>
    </row>
    <row r="137" spans="1:24">
      <c r="A137">
        <f>HYPERLINK("https://www.philgeps.gov.ph/GEPSNONPILOT/Tender/SplashBidNoticeAbstractUI.aspx?menuIndex=3&amp;refID=7061980&amp;Result=3","7061980")</f>
        <v>0</v>
      </c>
      <c r="B137" t="s">
        <v>74</v>
      </c>
      <c r="C137" t="s">
        <v>3664</v>
      </c>
      <c r="D137" t="s">
        <v>18816</v>
      </c>
      <c r="E137" t="s">
        <v>19013</v>
      </c>
      <c r="F137" t="s">
        <v>32664</v>
      </c>
      <c r="G137" t="s">
        <v>32671</v>
      </c>
      <c r="H137" t="s">
        <v>12635</v>
      </c>
      <c r="I137" t="s">
        <v>4439</v>
      </c>
      <c r="J137" t="s">
        <v>32932</v>
      </c>
      <c r="K137" t="s">
        <v>42303</v>
      </c>
      <c r="M137" t="s">
        <v>42637</v>
      </c>
      <c r="N137" t="s">
        <v>46569</v>
      </c>
      <c r="O137" t="s">
        <v>46570</v>
      </c>
      <c r="P137">
        <v>0</v>
      </c>
      <c r="Q137">
        <v>1</v>
      </c>
      <c r="R137" t="s">
        <v>46571</v>
      </c>
      <c r="S137" t="s">
        <v>46687</v>
      </c>
      <c r="T137" t="s">
        <v>48256</v>
      </c>
      <c r="U137" t="s">
        <v>48903</v>
      </c>
      <c r="W137" t="s">
        <v>42637</v>
      </c>
      <c r="X137" t="s">
        <v>46573</v>
      </c>
    </row>
    <row r="138" spans="1:24">
      <c r="A138">
        <f>HYPERLINK("https://www.philgeps.gov.ph/GEPSNONPILOT/Tender/SplashBidNoticeAbstractUI.aspx?menuIndex=3&amp;refID=7062304&amp;Result=3","7062304")</f>
        <v>0</v>
      </c>
      <c r="B138" t="s">
        <v>69</v>
      </c>
      <c r="C138" t="s">
        <v>3665</v>
      </c>
      <c r="D138" t="s">
        <v>18784</v>
      </c>
      <c r="E138" t="s">
        <v>19014</v>
      </c>
      <c r="F138" t="s">
        <v>32664</v>
      </c>
      <c r="G138" t="s">
        <v>32672</v>
      </c>
      <c r="H138" t="s">
        <v>32683</v>
      </c>
      <c r="I138" t="s">
        <v>10627</v>
      </c>
      <c r="J138" t="s">
        <v>32933</v>
      </c>
      <c r="K138" t="s">
        <v>42290</v>
      </c>
      <c r="M138" t="s">
        <v>42632</v>
      </c>
      <c r="N138" t="s">
        <v>46569</v>
      </c>
      <c r="O138" t="s">
        <v>46570</v>
      </c>
      <c r="P138">
        <v>0</v>
      </c>
      <c r="Q138">
        <v>3</v>
      </c>
      <c r="R138" t="s">
        <v>46571</v>
      </c>
      <c r="S138" t="s">
        <v>46687</v>
      </c>
      <c r="T138" t="s">
        <v>48252</v>
      </c>
      <c r="U138" t="s">
        <v>48904</v>
      </c>
      <c r="W138" t="s">
        <v>42632</v>
      </c>
      <c r="X138" t="s">
        <v>46573</v>
      </c>
    </row>
    <row r="139" spans="1:24">
      <c r="A139">
        <f>HYPERLINK("https://www.philgeps.gov.ph/GEPSNONPILOT/Tender/SplashBidNoticeAbstractUI.aspx?menuIndex=3&amp;refID=7062290&amp;Result=3","7062290")</f>
        <v>0</v>
      </c>
      <c r="B139" t="s">
        <v>75</v>
      </c>
      <c r="C139" t="s">
        <v>3666</v>
      </c>
      <c r="D139" t="s">
        <v>18806</v>
      </c>
      <c r="E139" t="s">
        <v>19015</v>
      </c>
      <c r="F139" t="s">
        <v>32664</v>
      </c>
      <c r="G139" t="s">
        <v>32672</v>
      </c>
      <c r="H139" t="s">
        <v>12635</v>
      </c>
      <c r="I139" t="s">
        <v>32704</v>
      </c>
      <c r="J139" t="s">
        <v>32934</v>
      </c>
      <c r="K139" t="s">
        <v>42298</v>
      </c>
      <c r="M139" t="s">
        <v>42638</v>
      </c>
      <c r="N139" t="s">
        <v>46569</v>
      </c>
      <c r="O139" t="s">
        <v>46570</v>
      </c>
      <c r="P139">
        <v>0</v>
      </c>
      <c r="Q139">
        <v>10</v>
      </c>
      <c r="R139" t="s">
        <v>46571</v>
      </c>
      <c r="S139" t="s">
        <v>46687</v>
      </c>
      <c r="T139" t="s">
        <v>48257</v>
      </c>
      <c r="U139" t="s">
        <v>48905</v>
      </c>
      <c r="W139" t="s">
        <v>42638</v>
      </c>
      <c r="X139" t="s">
        <v>46573</v>
      </c>
    </row>
    <row r="140" spans="1:24">
      <c r="A140">
        <f>HYPERLINK("https://www.philgeps.gov.ph/GEPSNONPILOT/Tender/SplashBidNoticeAbstractUI.aspx?menuIndex=3&amp;refID=7061963&amp;Result=3","7061963")</f>
        <v>0</v>
      </c>
      <c r="B140" t="s">
        <v>76</v>
      </c>
      <c r="C140" t="s">
        <v>3667</v>
      </c>
      <c r="D140" t="s">
        <v>18781</v>
      </c>
      <c r="E140" t="s">
        <v>19016</v>
      </c>
      <c r="F140" t="s">
        <v>32664</v>
      </c>
      <c r="G140" t="s">
        <v>32674</v>
      </c>
      <c r="H140" t="s">
        <v>12635</v>
      </c>
      <c r="I140" t="s">
        <v>6168</v>
      </c>
      <c r="J140" t="s">
        <v>32935</v>
      </c>
      <c r="K140" t="s">
        <v>42281</v>
      </c>
      <c r="M140" t="s">
        <v>42639</v>
      </c>
      <c r="N140" t="s">
        <v>46569</v>
      </c>
      <c r="O140" t="s">
        <v>46570</v>
      </c>
      <c r="P140">
        <v>0</v>
      </c>
      <c r="Q140">
        <v>0</v>
      </c>
      <c r="R140" t="s">
        <v>46571</v>
      </c>
      <c r="S140" t="s">
        <v>46687</v>
      </c>
      <c r="T140" t="s">
        <v>48258</v>
      </c>
      <c r="U140" t="s">
        <v>48906</v>
      </c>
      <c r="W140" t="s">
        <v>42639</v>
      </c>
      <c r="X140" t="s">
        <v>46573</v>
      </c>
    </row>
    <row r="141" spans="1:24">
      <c r="A141">
        <f>HYPERLINK("https://www.philgeps.gov.ph/GEPSNONPILOT/Tender/SplashBidNoticeAbstractUI.aspx?menuIndex=3&amp;refID=7062159&amp;Result=3","7062159")</f>
        <v>0</v>
      </c>
      <c r="B141" t="s">
        <v>69</v>
      </c>
      <c r="C141" t="s">
        <v>3668</v>
      </c>
      <c r="D141" t="s">
        <v>18784</v>
      </c>
      <c r="E141" t="s">
        <v>19017</v>
      </c>
      <c r="F141" t="s">
        <v>32664</v>
      </c>
      <c r="G141" t="s">
        <v>32672</v>
      </c>
      <c r="H141" t="s">
        <v>32683</v>
      </c>
      <c r="I141" t="s">
        <v>10627</v>
      </c>
      <c r="J141" t="s">
        <v>32936</v>
      </c>
      <c r="K141" t="s">
        <v>42308</v>
      </c>
      <c r="M141" t="s">
        <v>42632</v>
      </c>
      <c r="N141" t="s">
        <v>46569</v>
      </c>
      <c r="O141" t="s">
        <v>46570</v>
      </c>
      <c r="P141">
        <v>0</v>
      </c>
      <c r="Q141">
        <v>3</v>
      </c>
      <c r="R141" t="s">
        <v>46571</v>
      </c>
      <c r="S141" t="s">
        <v>46687</v>
      </c>
      <c r="T141" t="s">
        <v>48252</v>
      </c>
      <c r="U141" t="s">
        <v>48907</v>
      </c>
      <c r="W141" t="s">
        <v>42632</v>
      </c>
      <c r="X141" t="s">
        <v>46573</v>
      </c>
    </row>
    <row r="142" spans="1:24">
      <c r="A142">
        <f>HYPERLINK("https://www.philgeps.gov.ph/GEPSNONPILOT/Tender/SplashBidNoticeAbstractUI.aspx?menuIndex=3&amp;refID=7062696&amp;Result=3","7062696")</f>
        <v>0</v>
      </c>
      <c r="B142" t="s">
        <v>77</v>
      </c>
      <c r="C142" t="s">
        <v>3669</v>
      </c>
      <c r="D142" t="s">
        <v>18784</v>
      </c>
      <c r="E142" t="s">
        <v>19018</v>
      </c>
      <c r="F142" t="s">
        <v>32664</v>
      </c>
      <c r="G142" t="s">
        <v>32671</v>
      </c>
      <c r="H142" t="s">
        <v>12635</v>
      </c>
      <c r="I142" t="s">
        <v>10374</v>
      </c>
      <c r="J142" t="s">
        <v>32937</v>
      </c>
      <c r="K142" t="s">
        <v>42284</v>
      </c>
      <c r="M142" t="s">
        <v>42640</v>
      </c>
      <c r="N142" t="s">
        <v>46569</v>
      </c>
      <c r="O142" t="s">
        <v>46570</v>
      </c>
      <c r="P142">
        <v>0</v>
      </c>
      <c r="Q142">
        <v>0</v>
      </c>
      <c r="R142" t="s">
        <v>46571</v>
      </c>
      <c r="S142" t="s">
        <v>46687</v>
      </c>
      <c r="T142" t="s">
        <v>48259</v>
      </c>
      <c r="U142" t="s">
        <v>48908</v>
      </c>
      <c r="V142" t="s">
        <v>61629</v>
      </c>
      <c r="W142" t="s">
        <v>42640</v>
      </c>
      <c r="X142" t="s">
        <v>46573</v>
      </c>
    </row>
    <row r="143" spans="1:24">
      <c r="A143">
        <f>HYPERLINK("https://www.philgeps.gov.ph/GEPSNONPILOT/Tender/SplashBidNoticeAbstractUI.aspx?menuIndex=3&amp;refID=7062690&amp;Result=3","7062690")</f>
        <v>0</v>
      </c>
      <c r="B143" t="s">
        <v>78</v>
      </c>
      <c r="C143" t="s">
        <v>3670</v>
      </c>
      <c r="D143" t="s">
        <v>18784</v>
      </c>
      <c r="E143" t="s">
        <v>19019</v>
      </c>
      <c r="F143" t="s">
        <v>32664</v>
      </c>
      <c r="G143" t="s">
        <v>32672</v>
      </c>
      <c r="H143" t="s">
        <v>12635</v>
      </c>
      <c r="I143" t="s">
        <v>9597</v>
      </c>
      <c r="J143" t="s">
        <v>32938</v>
      </c>
      <c r="K143" t="s">
        <v>42309</v>
      </c>
      <c r="M143" t="s">
        <v>42641</v>
      </c>
      <c r="N143" t="s">
        <v>46569</v>
      </c>
      <c r="O143" t="s">
        <v>46570</v>
      </c>
      <c r="P143">
        <v>0</v>
      </c>
      <c r="Q143">
        <v>3</v>
      </c>
      <c r="R143" t="s">
        <v>46571</v>
      </c>
      <c r="S143" t="s">
        <v>46687</v>
      </c>
      <c r="T143" t="s">
        <v>48211</v>
      </c>
      <c r="U143" t="s">
        <v>48909</v>
      </c>
      <c r="W143" t="s">
        <v>42641</v>
      </c>
      <c r="X143" t="s">
        <v>46573</v>
      </c>
    </row>
    <row r="144" spans="1:24">
      <c r="A144">
        <f>HYPERLINK("https://www.philgeps.gov.ph/GEPSNONPILOT/Tender/SplashBidNoticeAbstractUI.aspx?menuIndex=3&amp;refID=7062368&amp;Result=3","7062368")</f>
        <v>0</v>
      </c>
      <c r="B144" t="s">
        <v>69</v>
      </c>
      <c r="C144" t="s">
        <v>3671</v>
      </c>
      <c r="D144" t="s">
        <v>18784</v>
      </c>
      <c r="E144" t="s">
        <v>19020</v>
      </c>
      <c r="F144" t="s">
        <v>32664</v>
      </c>
      <c r="G144" t="s">
        <v>32672</v>
      </c>
      <c r="H144" t="s">
        <v>32683</v>
      </c>
      <c r="I144" t="s">
        <v>10627</v>
      </c>
      <c r="J144" t="s">
        <v>32939</v>
      </c>
      <c r="K144" t="s">
        <v>42290</v>
      </c>
      <c r="M144" t="s">
        <v>42632</v>
      </c>
      <c r="N144" t="s">
        <v>46569</v>
      </c>
      <c r="O144" t="s">
        <v>46570</v>
      </c>
      <c r="P144">
        <v>0</v>
      </c>
      <c r="Q144">
        <v>3</v>
      </c>
      <c r="R144" t="s">
        <v>46571</v>
      </c>
      <c r="S144" t="s">
        <v>46687</v>
      </c>
      <c r="T144" t="s">
        <v>48252</v>
      </c>
      <c r="U144" t="s">
        <v>48910</v>
      </c>
      <c r="W144" t="s">
        <v>42632</v>
      </c>
      <c r="X144" t="s">
        <v>46573</v>
      </c>
    </row>
    <row r="145" spans="1:24">
      <c r="A145">
        <f>HYPERLINK("https://www.philgeps.gov.ph/GEPSNONPILOT/Tender/SplashBidNoticeAbstractUI.aspx?menuIndex=3&amp;refID=7062639&amp;Result=3","7062639")</f>
        <v>0</v>
      </c>
      <c r="B145" t="s">
        <v>79</v>
      </c>
      <c r="C145" t="s">
        <v>3672</v>
      </c>
      <c r="D145" t="s">
        <v>18817</v>
      </c>
      <c r="E145" t="s">
        <v>19021</v>
      </c>
      <c r="F145" t="s">
        <v>32664</v>
      </c>
      <c r="G145" t="s">
        <v>32671</v>
      </c>
      <c r="H145" t="s">
        <v>12635</v>
      </c>
      <c r="I145" t="s">
        <v>10361</v>
      </c>
      <c r="J145" t="s">
        <v>32940</v>
      </c>
      <c r="K145" t="s">
        <v>42283</v>
      </c>
      <c r="M145" t="s">
        <v>42642</v>
      </c>
      <c r="N145" t="s">
        <v>46569</v>
      </c>
      <c r="O145" t="s">
        <v>46570</v>
      </c>
      <c r="P145">
        <v>0</v>
      </c>
      <c r="Q145">
        <v>0</v>
      </c>
      <c r="R145" t="s">
        <v>46571</v>
      </c>
      <c r="S145" t="s">
        <v>46687</v>
      </c>
      <c r="T145" t="s">
        <v>48221</v>
      </c>
      <c r="U145" t="s">
        <v>48911</v>
      </c>
      <c r="W145" t="s">
        <v>42642</v>
      </c>
      <c r="X145" t="s">
        <v>46573</v>
      </c>
    </row>
    <row r="146" spans="1:24">
      <c r="A146">
        <f>HYPERLINK("https://www.philgeps.gov.ph/GEPSNONPILOT/Tender/SplashBidNoticeAbstractUI.aspx?menuIndex=3&amp;refID=7061041&amp;Result=3","7061041")</f>
        <v>0</v>
      </c>
      <c r="B146" t="s">
        <v>48</v>
      </c>
      <c r="C146" t="s">
        <v>3673</v>
      </c>
      <c r="D146" t="s">
        <v>18798</v>
      </c>
      <c r="E146" t="s">
        <v>19022</v>
      </c>
      <c r="F146" t="s">
        <v>32664</v>
      </c>
      <c r="G146" t="s">
        <v>32674</v>
      </c>
      <c r="H146" t="s">
        <v>12635</v>
      </c>
      <c r="I146" t="s">
        <v>32705</v>
      </c>
      <c r="J146" t="s">
        <v>32941</v>
      </c>
      <c r="K146" t="s">
        <v>42284</v>
      </c>
      <c r="M146" t="s">
        <v>42610</v>
      </c>
      <c r="N146" t="s">
        <v>46569</v>
      </c>
      <c r="O146" t="s">
        <v>46570</v>
      </c>
      <c r="P146">
        <v>0</v>
      </c>
      <c r="Q146">
        <v>0</v>
      </c>
      <c r="R146" t="s">
        <v>46571</v>
      </c>
      <c r="S146" t="s">
        <v>46687</v>
      </c>
      <c r="T146" t="s">
        <v>48242</v>
      </c>
      <c r="U146" t="s">
        <v>48912</v>
      </c>
      <c r="W146" t="s">
        <v>42610</v>
      </c>
      <c r="X146" t="s">
        <v>46574</v>
      </c>
    </row>
    <row r="147" spans="1:24">
      <c r="A147">
        <f>HYPERLINK("https://www.philgeps.gov.ph/GEPSNONPILOT/Tender/SplashBidNoticeAbstractUI.aspx?menuIndex=3&amp;refID=7062636&amp;Result=3","7062636")</f>
        <v>0</v>
      </c>
      <c r="B147" t="s">
        <v>80</v>
      </c>
      <c r="C147" t="s">
        <v>3674</v>
      </c>
      <c r="D147" t="s">
        <v>18798</v>
      </c>
      <c r="E147" t="s">
        <v>19023</v>
      </c>
      <c r="F147" t="s">
        <v>32664</v>
      </c>
      <c r="G147" t="s">
        <v>32672</v>
      </c>
      <c r="H147" t="s">
        <v>12635</v>
      </c>
      <c r="I147" t="s">
        <v>10370</v>
      </c>
      <c r="J147" t="s">
        <v>32942</v>
      </c>
      <c r="K147" t="s">
        <v>42295</v>
      </c>
      <c r="M147" t="s">
        <v>42643</v>
      </c>
      <c r="N147" t="s">
        <v>46569</v>
      </c>
      <c r="O147" t="s">
        <v>46570</v>
      </c>
      <c r="P147">
        <v>0</v>
      </c>
      <c r="Q147">
        <v>2</v>
      </c>
      <c r="R147" t="s">
        <v>46571</v>
      </c>
      <c r="S147" t="s">
        <v>46687</v>
      </c>
      <c r="T147" t="s">
        <v>48245</v>
      </c>
      <c r="U147" t="s">
        <v>48913</v>
      </c>
      <c r="W147" t="s">
        <v>42643</v>
      </c>
      <c r="X147" t="s">
        <v>46573</v>
      </c>
    </row>
    <row r="148" spans="1:24">
      <c r="A148">
        <f>HYPERLINK("https://www.philgeps.gov.ph/GEPSNONPILOT/Tender/SplashBidNoticeAbstractUI.aspx?menuIndex=3&amp;refID=7062604&amp;Result=3","7062604")</f>
        <v>0</v>
      </c>
      <c r="B148" t="s">
        <v>57</v>
      </c>
      <c r="C148" t="s">
        <v>3675</v>
      </c>
      <c r="D148" t="s">
        <v>18806</v>
      </c>
      <c r="E148" t="s">
        <v>19024</v>
      </c>
      <c r="F148" t="s">
        <v>32664</v>
      </c>
      <c r="G148" t="s">
        <v>32672</v>
      </c>
      <c r="H148" t="s">
        <v>32683</v>
      </c>
      <c r="I148" t="s">
        <v>10627</v>
      </c>
      <c r="J148" t="s">
        <v>32943</v>
      </c>
      <c r="K148" t="s">
        <v>42298</v>
      </c>
      <c r="M148" t="s">
        <v>42619</v>
      </c>
      <c r="N148" t="s">
        <v>46569</v>
      </c>
      <c r="O148" t="s">
        <v>46570</v>
      </c>
      <c r="P148">
        <v>0</v>
      </c>
      <c r="Q148">
        <v>0</v>
      </c>
      <c r="R148" t="s">
        <v>46571</v>
      </c>
      <c r="S148" t="s">
        <v>46687</v>
      </c>
      <c r="T148" t="s">
        <v>48253</v>
      </c>
      <c r="U148" t="s">
        <v>48914</v>
      </c>
      <c r="W148" t="s">
        <v>42619</v>
      </c>
      <c r="X148" t="s">
        <v>46573</v>
      </c>
    </row>
    <row r="149" spans="1:24">
      <c r="A149">
        <f>HYPERLINK("https://www.philgeps.gov.ph/GEPSNONPILOT/Tender/SplashBidNoticeAbstractUI.aspx?menuIndex=3&amp;refID=7062603&amp;Result=3","7062603")</f>
        <v>0</v>
      </c>
      <c r="B149" t="s">
        <v>81</v>
      </c>
      <c r="C149" t="s">
        <v>3676</v>
      </c>
      <c r="D149" t="s">
        <v>18818</v>
      </c>
      <c r="E149" t="s">
        <v>19025</v>
      </c>
      <c r="F149" t="s">
        <v>32664</v>
      </c>
      <c r="G149" t="s">
        <v>32672</v>
      </c>
      <c r="H149" t="s">
        <v>12635</v>
      </c>
      <c r="I149" t="s">
        <v>4439</v>
      </c>
      <c r="J149" t="s">
        <v>32944</v>
      </c>
      <c r="K149" t="s">
        <v>42283</v>
      </c>
      <c r="M149" t="s">
        <v>42644</v>
      </c>
      <c r="N149" t="s">
        <v>46569</v>
      </c>
      <c r="O149" t="s">
        <v>46570</v>
      </c>
      <c r="P149">
        <v>0</v>
      </c>
      <c r="Q149">
        <v>0</v>
      </c>
      <c r="R149" t="s">
        <v>46571</v>
      </c>
      <c r="S149" t="s">
        <v>46687</v>
      </c>
      <c r="T149" t="s">
        <v>48260</v>
      </c>
      <c r="U149" t="s">
        <v>48915</v>
      </c>
      <c r="V149" t="s">
        <v>61630</v>
      </c>
      <c r="W149" t="s">
        <v>42644</v>
      </c>
      <c r="X149" t="s">
        <v>46573</v>
      </c>
    </row>
    <row r="150" spans="1:24">
      <c r="A150">
        <f>HYPERLINK("https://www.philgeps.gov.ph/GEPSNONPILOT/Tender/SplashBidNoticeAbstractUI.aspx?menuIndex=3&amp;refID=7062002&amp;Result=3","7062002")</f>
        <v>0</v>
      </c>
      <c r="B150" t="s">
        <v>72</v>
      </c>
      <c r="C150" t="s">
        <v>3677</v>
      </c>
      <c r="D150" t="s">
        <v>18788</v>
      </c>
      <c r="E150" t="s">
        <v>19026</v>
      </c>
      <c r="F150" t="s">
        <v>32664</v>
      </c>
      <c r="G150" t="s">
        <v>32672</v>
      </c>
      <c r="H150" t="s">
        <v>12635</v>
      </c>
      <c r="I150" t="s">
        <v>32704</v>
      </c>
      <c r="J150" t="s">
        <v>32945</v>
      </c>
      <c r="K150" t="s">
        <v>42298</v>
      </c>
      <c r="M150" t="s">
        <v>42635</v>
      </c>
      <c r="N150" t="s">
        <v>46569</v>
      </c>
      <c r="O150" t="s">
        <v>46570</v>
      </c>
      <c r="P150">
        <v>0</v>
      </c>
      <c r="Q150">
        <v>2</v>
      </c>
      <c r="R150" t="s">
        <v>46571</v>
      </c>
      <c r="S150" t="s">
        <v>46687</v>
      </c>
      <c r="T150" t="s">
        <v>48255</v>
      </c>
      <c r="U150" t="s">
        <v>48916</v>
      </c>
      <c r="W150" t="s">
        <v>42635</v>
      </c>
      <c r="X150" t="s">
        <v>46573</v>
      </c>
    </row>
    <row r="151" spans="1:24">
      <c r="A151">
        <f>HYPERLINK("https://www.philgeps.gov.ph/GEPSNONPILOT/Tender/SplashBidNoticeAbstractUI.aspx?menuIndex=3&amp;refID=7062693&amp;Result=3","7062693")</f>
        <v>0</v>
      </c>
      <c r="B151" t="s">
        <v>57</v>
      </c>
      <c r="C151" t="s">
        <v>3678</v>
      </c>
      <c r="D151" t="s">
        <v>18806</v>
      </c>
      <c r="E151" t="s">
        <v>19027</v>
      </c>
      <c r="F151" t="s">
        <v>32664</v>
      </c>
      <c r="G151" t="s">
        <v>32672</v>
      </c>
      <c r="H151" t="s">
        <v>32683</v>
      </c>
      <c r="I151" t="s">
        <v>10627</v>
      </c>
      <c r="J151" t="s">
        <v>32943</v>
      </c>
      <c r="K151" t="s">
        <v>42310</v>
      </c>
      <c r="M151" t="s">
        <v>42619</v>
      </c>
      <c r="N151" t="s">
        <v>46569</v>
      </c>
      <c r="O151" t="s">
        <v>46570</v>
      </c>
      <c r="P151">
        <v>0</v>
      </c>
      <c r="Q151">
        <v>0</v>
      </c>
      <c r="R151" t="s">
        <v>46571</v>
      </c>
      <c r="S151" t="s">
        <v>46687</v>
      </c>
      <c r="T151" t="s">
        <v>48253</v>
      </c>
      <c r="U151" t="s">
        <v>48917</v>
      </c>
      <c r="W151" t="s">
        <v>42619</v>
      </c>
      <c r="X151" t="s">
        <v>46573</v>
      </c>
    </row>
    <row r="152" spans="1:24">
      <c r="A152">
        <f>HYPERLINK("https://www.philgeps.gov.ph/GEPSNONPILOT/Tender/SplashBidNoticeAbstractUI.aspx?menuIndex=3&amp;refID=7062569&amp;Result=3","7062569")</f>
        <v>0</v>
      </c>
      <c r="B152" t="s">
        <v>82</v>
      </c>
      <c r="C152" t="s">
        <v>3679</v>
      </c>
      <c r="D152" t="s">
        <v>18804</v>
      </c>
      <c r="E152" t="s">
        <v>19028</v>
      </c>
      <c r="F152" t="s">
        <v>32664</v>
      </c>
      <c r="G152" t="s">
        <v>32672</v>
      </c>
      <c r="H152" t="s">
        <v>12635</v>
      </c>
      <c r="I152" t="s">
        <v>4439</v>
      </c>
      <c r="J152" t="s">
        <v>32946</v>
      </c>
      <c r="K152" t="s">
        <v>42289</v>
      </c>
      <c r="M152" t="s">
        <v>42645</v>
      </c>
      <c r="N152" t="s">
        <v>46569</v>
      </c>
      <c r="O152" t="s">
        <v>46570</v>
      </c>
      <c r="P152">
        <v>0</v>
      </c>
      <c r="Q152">
        <v>1</v>
      </c>
      <c r="R152" t="s">
        <v>46571</v>
      </c>
      <c r="S152" t="s">
        <v>46687</v>
      </c>
      <c r="T152" t="s">
        <v>48234</v>
      </c>
      <c r="U152" t="s">
        <v>48918</v>
      </c>
      <c r="W152" t="s">
        <v>42645</v>
      </c>
      <c r="X152" t="s">
        <v>46573</v>
      </c>
    </row>
    <row r="153" spans="1:24">
      <c r="A153">
        <f>HYPERLINK("https://www.philgeps.gov.ph/GEPSNONPILOT/Tender/SplashBidNoticeAbstractUI.aspx?menuIndex=3&amp;refID=7061136&amp;Result=3","7061136")</f>
        <v>0</v>
      </c>
      <c r="B153" t="s">
        <v>49</v>
      </c>
      <c r="C153" t="s">
        <v>3680</v>
      </c>
      <c r="D153" t="s">
        <v>18799</v>
      </c>
      <c r="E153" t="s">
        <v>19029</v>
      </c>
      <c r="F153" t="s">
        <v>32664</v>
      </c>
      <c r="G153" t="s">
        <v>32672</v>
      </c>
      <c r="H153" t="s">
        <v>32683</v>
      </c>
      <c r="I153" t="s">
        <v>10627</v>
      </c>
      <c r="J153" t="s">
        <v>32947</v>
      </c>
      <c r="K153" t="s">
        <v>42304</v>
      </c>
      <c r="M153" t="s">
        <v>42611</v>
      </c>
      <c r="N153" t="s">
        <v>46569</v>
      </c>
      <c r="O153" t="s">
        <v>46570</v>
      </c>
      <c r="P153">
        <v>0</v>
      </c>
      <c r="Q153">
        <v>3</v>
      </c>
      <c r="R153" t="s">
        <v>46571</v>
      </c>
      <c r="S153" t="s">
        <v>46687</v>
      </c>
      <c r="T153" t="s">
        <v>48243</v>
      </c>
      <c r="U153" t="s">
        <v>48919</v>
      </c>
      <c r="V153" t="s">
        <v>61619</v>
      </c>
      <c r="W153" t="s">
        <v>63463</v>
      </c>
      <c r="X153" t="s">
        <v>46574</v>
      </c>
    </row>
    <row r="154" spans="1:24">
      <c r="A154">
        <f>HYPERLINK("https://www.philgeps.gov.ph/GEPSNONPILOT/Tender/SplashBidNoticeAbstractUI.aspx?menuIndex=3&amp;refID=7062624&amp;Result=3","7062624")</f>
        <v>0</v>
      </c>
      <c r="B154" t="s">
        <v>82</v>
      </c>
      <c r="C154" t="s">
        <v>3681</v>
      </c>
      <c r="D154" t="s">
        <v>18804</v>
      </c>
      <c r="E154" t="s">
        <v>19030</v>
      </c>
      <c r="F154" t="s">
        <v>32664</v>
      </c>
      <c r="G154" t="s">
        <v>32672</v>
      </c>
      <c r="H154" t="s">
        <v>12635</v>
      </c>
      <c r="I154" t="s">
        <v>4439</v>
      </c>
      <c r="J154" t="s">
        <v>32948</v>
      </c>
      <c r="K154" t="s">
        <v>42289</v>
      </c>
      <c r="M154" t="s">
        <v>42645</v>
      </c>
      <c r="N154" t="s">
        <v>46569</v>
      </c>
      <c r="O154" t="s">
        <v>46570</v>
      </c>
      <c r="P154">
        <v>0</v>
      </c>
      <c r="Q154">
        <v>0</v>
      </c>
      <c r="R154" t="s">
        <v>46571</v>
      </c>
      <c r="S154" t="s">
        <v>46687</v>
      </c>
      <c r="T154" t="s">
        <v>48234</v>
      </c>
      <c r="U154" t="s">
        <v>48918</v>
      </c>
      <c r="W154" t="s">
        <v>42645</v>
      </c>
      <c r="X154" t="s">
        <v>46573</v>
      </c>
    </row>
    <row r="155" spans="1:24">
      <c r="A155">
        <f>HYPERLINK("https://www.philgeps.gov.ph/GEPSNONPILOT/Tender/SplashBidNoticeAbstractUI.aspx?menuIndex=3&amp;refID=7062528&amp;Result=3","7062528")</f>
        <v>0</v>
      </c>
      <c r="B155" t="s">
        <v>69</v>
      </c>
      <c r="C155" t="s">
        <v>3682</v>
      </c>
      <c r="D155" t="s">
        <v>18784</v>
      </c>
      <c r="E155" t="s">
        <v>19031</v>
      </c>
      <c r="F155" t="s">
        <v>32664</v>
      </c>
      <c r="G155" t="s">
        <v>32672</v>
      </c>
      <c r="H155" t="s">
        <v>32683</v>
      </c>
      <c r="I155" t="s">
        <v>10627</v>
      </c>
      <c r="J155" t="s">
        <v>32949</v>
      </c>
      <c r="K155" t="s">
        <v>42308</v>
      </c>
      <c r="M155" t="s">
        <v>42632</v>
      </c>
      <c r="N155" t="s">
        <v>46569</v>
      </c>
      <c r="O155" t="s">
        <v>46570</v>
      </c>
      <c r="P155">
        <v>0</v>
      </c>
      <c r="Q155">
        <v>3</v>
      </c>
      <c r="R155" t="s">
        <v>46571</v>
      </c>
      <c r="S155" t="s">
        <v>46687</v>
      </c>
      <c r="T155" t="s">
        <v>48252</v>
      </c>
      <c r="U155" t="s">
        <v>48920</v>
      </c>
      <c r="W155" t="s">
        <v>42632</v>
      </c>
      <c r="X155" t="s">
        <v>46573</v>
      </c>
    </row>
    <row r="156" spans="1:24">
      <c r="A156">
        <f>HYPERLINK("https://www.philgeps.gov.ph/GEPSNONPILOT/Tender/SplashBidNoticeAbstractUI.aspx?menuIndex=3&amp;refID=7062513&amp;Result=3","7062513")</f>
        <v>0</v>
      </c>
      <c r="B156" t="s">
        <v>69</v>
      </c>
      <c r="C156" t="s">
        <v>3683</v>
      </c>
      <c r="D156" t="s">
        <v>18784</v>
      </c>
      <c r="E156" t="s">
        <v>19032</v>
      </c>
      <c r="F156" t="s">
        <v>32664</v>
      </c>
      <c r="G156" t="s">
        <v>32672</v>
      </c>
      <c r="H156" t="s">
        <v>32683</v>
      </c>
      <c r="I156" t="s">
        <v>10627</v>
      </c>
      <c r="J156" t="s">
        <v>32950</v>
      </c>
      <c r="K156" t="s">
        <v>42290</v>
      </c>
      <c r="M156" t="s">
        <v>42632</v>
      </c>
      <c r="N156" t="s">
        <v>46569</v>
      </c>
      <c r="O156" t="s">
        <v>46570</v>
      </c>
      <c r="P156">
        <v>0</v>
      </c>
      <c r="Q156">
        <v>4</v>
      </c>
      <c r="R156" t="s">
        <v>46571</v>
      </c>
      <c r="S156" t="s">
        <v>46687</v>
      </c>
      <c r="T156" t="s">
        <v>48252</v>
      </c>
      <c r="U156" t="s">
        <v>48921</v>
      </c>
      <c r="W156" t="s">
        <v>42632</v>
      </c>
      <c r="X156" t="s">
        <v>46573</v>
      </c>
    </row>
    <row r="157" spans="1:24">
      <c r="A157">
        <f>HYPERLINK("https://www.philgeps.gov.ph/GEPSNONPILOT/Tender/SplashBidNoticeAbstractUI.aspx?menuIndex=3&amp;refID=7062494&amp;Result=3","7062494")</f>
        <v>0</v>
      </c>
      <c r="B157" t="s">
        <v>69</v>
      </c>
      <c r="C157" t="s">
        <v>3684</v>
      </c>
      <c r="D157" t="s">
        <v>18784</v>
      </c>
      <c r="E157" t="s">
        <v>19033</v>
      </c>
      <c r="F157" t="s">
        <v>32664</v>
      </c>
      <c r="G157" t="s">
        <v>32672</v>
      </c>
      <c r="H157" t="s">
        <v>32683</v>
      </c>
      <c r="I157" t="s">
        <v>10627</v>
      </c>
      <c r="J157" t="s">
        <v>32951</v>
      </c>
      <c r="K157" t="s">
        <v>42308</v>
      </c>
      <c r="M157" t="s">
        <v>42632</v>
      </c>
      <c r="N157" t="s">
        <v>46569</v>
      </c>
      <c r="O157" t="s">
        <v>46570</v>
      </c>
      <c r="P157">
        <v>0</v>
      </c>
      <c r="Q157">
        <v>3</v>
      </c>
      <c r="R157" t="s">
        <v>46571</v>
      </c>
      <c r="S157" t="s">
        <v>46687</v>
      </c>
      <c r="T157" t="s">
        <v>48252</v>
      </c>
      <c r="U157" t="s">
        <v>48922</v>
      </c>
      <c r="W157" t="s">
        <v>42632</v>
      </c>
      <c r="X157" t="s">
        <v>46573</v>
      </c>
    </row>
    <row r="158" spans="1:24">
      <c r="A158">
        <f>HYPERLINK("https://www.philgeps.gov.ph/GEPSNONPILOT/Tender/SplashBidNoticeAbstractUI.aspx?menuIndex=3&amp;refID=7062470&amp;Result=3","7062470")</f>
        <v>0</v>
      </c>
      <c r="B158" t="s">
        <v>69</v>
      </c>
      <c r="C158" t="s">
        <v>3685</v>
      </c>
      <c r="D158" t="s">
        <v>18784</v>
      </c>
      <c r="E158" t="s">
        <v>19034</v>
      </c>
      <c r="F158" t="s">
        <v>32664</v>
      </c>
      <c r="G158" t="s">
        <v>32672</v>
      </c>
      <c r="H158" t="s">
        <v>32683</v>
      </c>
      <c r="I158" t="s">
        <v>10627</v>
      </c>
      <c r="J158" t="s">
        <v>32952</v>
      </c>
      <c r="K158" t="s">
        <v>42311</v>
      </c>
      <c r="M158" t="s">
        <v>42632</v>
      </c>
      <c r="N158" t="s">
        <v>46569</v>
      </c>
      <c r="O158" t="s">
        <v>46570</v>
      </c>
      <c r="P158">
        <v>0</v>
      </c>
      <c r="Q158">
        <v>3</v>
      </c>
      <c r="R158" t="s">
        <v>46571</v>
      </c>
      <c r="S158" t="s">
        <v>46687</v>
      </c>
      <c r="T158" t="s">
        <v>48252</v>
      </c>
      <c r="U158" t="s">
        <v>48923</v>
      </c>
      <c r="W158" t="s">
        <v>42632</v>
      </c>
      <c r="X158" t="s">
        <v>46573</v>
      </c>
    </row>
    <row r="159" spans="1:24">
      <c r="A159">
        <f>HYPERLINK("https://www.philgeps.gov.ph/GEPSNONPILOT/Tender/SplashBidNoticeAbstractUI.aspx?menuIndex=3&amp;refID=7062456&amp;Result=3","7062456")</f>
        <v>0</v>
      </c>
      <c r="B159" t="s">
        <v>83</v>
      </c>
      <c r="C159" t="s">
        <v>3686</v>
      </c>
      <c r="D159" t="s">
        <v>18784</v>
      </c>
      <c r="E159" t="s">
        <v>19035</v>
      </c>
      <c r="F159" t="s">
        <v>32664</v>
      </c>
      <c r="G159" t="s">
        <v>32671</v>
      </c>
      <c r="H159" t="s">
        <v>12635</v>
      </c>
      <c r="I159" t="s">
        <v>6118</v>
      </c>
      <c r="J159" t="s">
        <v>32953</v>
      </c>
      <c r="K159" t="s">
        <v>42283</v>
      </c>
      <c r="M159" t="s">
        <v>42646</v>
      </c>
      <c r="N159" t="s">
        <v>46569</v>
      </c>
      <c r="O159" t="s">
        <v>46570</v>
      </c>
      <c r="P159">
        <v>0</v>
      </c>
      <c r="Q159">
        <v>0</v>
      </c>
      <c r="R159" t="s">
        <v>46571</v>
      </c>
      <c r="S159" t="s">
        <v>46687</v>
      </c>
      <c r="T159" t="s">
        <v>48226</v>
      </c>
      <c r="U159" t="s">
        <v>48924</v>
      </c>
      <c r="W159" t="s">
        <v>42646</v>
      </c>
      <c r="X159" t="s">
        <v>46573</v>
      </c>
    </row>
    <row r="160" spans="1:24">
      <c r="A160">
        <f>HYPERLINK("https://www.philgeps.gov.ph/GEPSNONPILOT/Tender/SplashBidNoticeAbstractUI.aspx?menuIndex=3&amp;refID=7062452&amp;Result=3","7062452")</f>
        <v>0</v>
      </c>
      <c r="B160" t="s">
        <v>69</v>
      </c>
      <c r="C160" t="s">
        <v>3687</v>
      </c>
      <c r="D160" t="s">
        <v>18784</v>
      </c>
      <c r="E160" t="s">
        <v>19036</v>
      </c>
      <c r="F160" t="s">
        <v>32664</v>
      </c>
      <c r="G160" t="s">
        <v>32672</v>
      </c>
      <c r="H160" t="s">
        <v>32683</v>
      </c>
      <c r="I160" t="s">
        <v>10627</v>
      </c>
      <c r="J160" t="s">
        <v>32954</v>
      </c>
      <c r="K160" t="s">
        <v>42308</v>
      </c>
      <c r="M160" t="s">
        <v>42632</v>
      </c>
      <c r="N160" t="s">
        <v>46569</v>
      </c>
      <c r="O160" t="s">
        <v>46570</v>
      </c>
      <c r="P160">
        <v>0</v>
      </c>
      <c r="Q160">
        <v>3</v>
      </c>
      <c r="R160" t="s">
        <v>46571</v>
      </c>
      <c r="S160" t="s">
        <v>46687</v>
      </c>
      <c r="T160" t="s">
        <v>48252</v>
      </c>
      <c r="U160" t="s">
        <v>48925</v>
      </c>
      <c r="W160" t="s">
        <v>42632</v>
      </c>
      <c r="X160" t="s">
        <v>46573</v>
      </c>
    </row>
    <row r="161" spans="1:24">
      <c r="A161">
        <f>HYPERLINK("https://www.philgeps.gov.ph/GEPSNONPILOT/Tender/SplashBidNoticeAbstractUI.aspx?menuIndex=3&amp;refID=7062546&amp;Result=3","7062546")</f>
        <v>0</v>
      </c>
      <c r="B161" t="s">
        <v>56</v>
      </c>
      <c r="C161" t="s">
        <v>3688</v>
      </c>
      <c r="D161" t="s">
        <v>18805</v>
      </c>
      <c r="E161" t="s">
        <v>19037</v>
      </c>
      <c r="F161" t="s">
        <v>32664</v>
      </c>
      <c r="G161" t="s">
        <v>32672</v>
      </c>
      <c r="H161" t="s">
        <v>32683</v>
      </c>
      <c r="I161" t="s">
        <v>10627</v>
      </c>
      <c r="J161" t="s">
        <v>32955</v>
      </c>
      <c r="K161" t="s">
        <v>42298</v>
      </c>
      <c r="M161" t="s">
        <v>42618</v>
      </c>
      <c r="N161" t="s">
        <v>46569</v>
      </c>
      <c r="O161" t="s">
        <v>46570</v>
      </c>
      <c r="P161">
        <v>0</v>
      </c>
      <c r="Q161">
        <v>0</v>
      </c>
      <c r="R161" t="s">
        <v>46571</v>
      </c>
      <c r="S161" t="s">
        <v>46687</v>
      </c>
      <c r="T161" t="s">
        <v>48222</v>
      </c>
      <c r="U161" t="s">
        <v>48926</v>
      </c>
      <c r="W161" t="s">
        <v>42618</v>
      </c>
      <c r="X161" t="s">
        <v>46573</v>
      </c>
    </row>
    <row r="162" spans="1:24">
      <c r="A162">
        <f>HYPERLINK("https://www.philgeps.gov.ph/GEPSNONPILOT/Tender/SplashBidNoticeAbstractUI.aspx?menuIndex=3&amp;refID=7061816&amp;Result=3","7061816")</f>
        <v>0</v>
      </c>
      <c r="B162" t="s">
        <v>53</v>
      </c>
      <c r="C162" t="s">
        <v>3689</v>
      </c>
      <c r="E162" t="s">
        <v>19038</v>
      </c>
      <c r="F162" t="s">
        <v>32664</v>
      </c>
      <c r="G162" t="s">
        <v>32672</v>
      </c>
      <c r="H162" t="s">
        <v>12635</v>
      </c>
      <c r="I162" t="s">
        <v>32706</v>
      </c>
      <c r="J162" t="s">
        <v>32956</v>
      </c>
      <c r="K162" t="s">
        <v>42283</v>
      </c>
      <c r="M162" t="s">
        <v>42624</v>
      </c>
      <c r="N162" t="s">
        <v>46569</v>
      </c>
      <c r="O162" t="s">
        <v>46570</v>
      </c>
      <c r="P162">
        <v>0</v>
      </c>
      <c r="Q162">
        <v>0</v>
      </c>
      <c r="R162" t="s">
        <v>46571</v>
      </c>
      <c r="S162" t="s">
        <v>46687</v>
      </c>
      <c r="T162" t="s">
        <v>48240</v>
      </c>
      <c r="U162" t="s">
        <v>48927</v>
      </c>
      <c r="W162" t="s">
        <v>42624</v>
      </c>
      <c r="X162" t="s">
        <v>46573</v>
      </c>
    </row>
    <row r="163" spans="1:24">
      <c r="A163">
        <f>HYPERLINK("https://www.philgeps.gov.ph/GEPSNONPILOT/Tender/SplashBidNoticeAbstractUI.aspx?menuIndex=3&amp;refID=7062512&amp;Result=3","7062512")</f>
        <v>0</v>
      </c>
      <c r="B163" t="s">
        <v>82</v>
      </c>
      <c r="C163" t="s">
        <v>3690</v>
      </c>
      <c r="D163" t="s">
        <v>18804</v>
      </c>
      <c r="E163" t="s">
        <v>19039</v>
      </c>
      <c r="F163" t="s">
        <v>32664</v>
      </c>
      <c r="G163" t="s">
        <v>32672</v>
      </c>
      <c r="H163" t="s">
        <v>12635</v>
      </c>
      <c r="I163" t="s">
        <v>4439</v>
      </c>
      <c r="J163" t="s">
        <v>32957</v>
      </c>
      <c r="K163" t="s">
        <v>42289</v>
      </c>
      <c r="M163" t="s">
        <v>42645</v>
      </c>
      <c r="N163" t="s">
        <v>46569</v>
      </c>
      <c r="O163" t="s">
        <v>46570</v>
      </c>
      <c r="P163">
        <v>0</v>
      </c>
      <c r="Q163">
        <v>0</v>
      </c>
      <c r="R163" t="s">
        <v>46571</v>
      </c>
      <c r="S163" t="s">
        <v>46687</v>
      </c>
      <c r="T163" t="s">
        <v>48234</v>
      </c>
      <c r="U163" t="s">
        <v>48918</v>
      </c>
      <c r="W163" t="s">
        <v>42645</v>
      </c>
      <c r="X163" t="s">
        <v>46573</v>
      </c>
    </row>
    <row r="164" spans="1:24">
      <c r="A164">
        <f>HYPERLINK("https://www.philgeps.gov.ph/GEPSNONPILOT/Tender/SplashBidNoticeAbstractUI.aspx?menuIndex=3&amp;refID=7060999&amp;Result=3","7060999")</f>
        <v>0</v>
      </c>
      <c r="B164" t="s">
        <v>49</v>
      </c>
      <c r="C164" t="s">
        <v>3691</v>
      </c>
      <c r="D164" t="s">
        <v>18799</v>
      </c>
      <c r="E164" t="s">
        <v>19040</v>
      </c>
      <c r="F164" t="s">
        <v>32664</v>
      </c>
      <c r="G164" t="s">
        <v>32672</v>
      </c>
      <c r="H164" t="s">
        <v>32683</v>
      </c>
      <c r="I164" t="s">
        <v>10627</v>
      </c>
      <c r="J164" t="s">
        <v>32958</v>
      </c>
      <c r="K164" t="s">
        <v>42304</v>
      </c>
      <c r="M164" t="s">
        <v>42611</v>
      </c>
      <c r="N164" t="s">
        <v>46569</v>
      </c>
      <c r="O164" t="s">
        <v>46570</v>
      </c>
      <c r="P164">
        <v>0</v>
      </c>
      <c r="Q164">
        <v>3</v>
      </c>
      <c r="R164" t="s">
        <v>46571</v>
      </c>
      <c r="S164" t="s">
        <v>46687</v>
      </c>
      <c r="T164" t="s">
        <v>48243</v>
      </c>
      <c r="U164" t="s">
        <v>48928</v>
      </c>
      <c r="V164" t="s">
        <v>61619</v>
      </c>
      <c r="W164" t="s">
        <v>63463</v>
      </c>
      <c r="X164" t="s">
        <v>46574</v>
      </c>
    </row>
    <row r="165" spans="1:24">
      <c r="A165">
        <f>HYPERLINK("https://www.philgeps.gov.ph/GEPSNONPILOT/Tender/SplashBidNoticeAbstractUI.aspx?menuIndex=3&amp;refID=7059923&amp;Result=3","7059923")</f>
        <v>0</v>
      </c>
      <c r="B165" t="s">
        <v>32</v>
      </c>
      <c r="C165" t="s">
        <v>3692</v>
      </c>
      <c r="D165" t="s">
        <v>18788</v>
      </c>
      <c r="E165" t="s">
        <v>19041</v>
      </c>
      <c r="F165" t="s">
        <v>32664</v>
      </c>
      <c r="G165" t="s">
        <v>32671</v>
      </c>
      <c r="H165" t="s">
        <v>12635</v>
      </c>
      <c r="I165" t="s">
        <v>8797</v>
      </c>
      <c r="J165" t="s">
        <v>32959</v>
      </c>
      <c r="K165" t="s">
        <v>42281</v>
      </c>
      <c r="M165" t="s">
        <v>42594</v>
      </c>
      <c r="N165" t="s">
        <v>46569</v>
      </c>
      <c r="O165" t="s">
        <v>46570</v>
      </c>
      <c r="P165">
        <v>0</v>
      </c>
      <c r="Q165">
        <v>4</v>
      </c>
      <c r="R165" t="s">
        <v>46571</v>
      </c>
      <c r="S165" t="s">
        <v>46687</v>
      </c>
      <c r="T165" t="s">
        <v>48221</v>
      </c>
      <c r="U165" t="s">
        <v>48929</v>
      </c>
      <c r="V165" t="s">
        <v>61631</v>
      </c>
      <c r="W165" t="s">
        <v>42594</v>
      </c>
      <c r="X165" t="s">
        <v>46574</v>
      </c>
    </row>
    <row r="166" spans="1:24">
      <c r="A166">
        <f>HYPERLINK("https://www.philgeps.gov.ph/GEPSNONPILOT/Tender/SplashBidNoticeAbstractUI.aspx?menuIndex=3&amp;refID=7062457&amp;Result=3","7062457")</f>
        <v>0</v>
      </c>
      <c r="B166" t="s">
        <v>84</v>
      </c>
      <c r="C166" t="s">
        <v>3693</v>
      </c>
      <c r="D166" t="s">
        <v>18781</v>
      </c>
      <c r="E166" t="s">
        <v>19042</v>
      </c>
      <c r="F166" t="s">
        <v>32664</v>
      </c>
      <c r="G166" t="s">
        <v>32672</v>
      </c>
      <c r="H166" t="s">
        <v>12635</v>
      </c>
      <c r="I166" t="s">
        <v>11464</v>
      </c>
      <c r="J166" t="s">
        <v>32960</v>
      </c>
      <c r="K166" t="s">
        <v>42312</v>
      </c>
      <c r="M166" t="s">
        <v>42647</v>
      </c>
      <c r="N166" t="s">
        <v>46569</v>
      </c>
      <c r="O166" t="s">
        <v>46570</v>
      </c>
      <c r="P166">
        <v>0</v>
      </c>
      <c r="Q166">
        <v>7</v>
      </c>
      <c r="R166" t="s">
        <v>46571</v>
      </c>
      <c r="S166" t="s">
        <v>46687</v>
      </c>
      <c r="T166" t="s">
        <v>48261</v>
      </c>
      <c r="U166" t="s">
        <v>48930</v>
      </c>
      <c r="W166" t="s">
        <v>42647</v>
      </c>
      <c r="X166" t="s">
        <v>46573</v>
      </c>
    </row>
    <row r="167" spans="1:24">
      <c r="A167">
        <f>HYPERLINK("https://www.philgeps.gov.ph/GEPSNONPILOT/Tender/SplashBidNoticeAbstractUI.aspx?menuIndex=3&amp;refID=7059899&amp;Result=3","7059899")</f>
        <v>0</v>
      </c>
      <c r="B167" t="s">
        <v>32</v>
      </c>
      <c r="C167" t="s">
        <v>3694</v>
      </c>
      <c r="D167" t="s">
        <v>18788</v>
      </c>
      <c r="E167" t="s">
        <v>19043</v>
      </c>
      <c r="F167" t="s">
        <v>32664</v>
      </c>
      <c r="G167" t="s">
        <v>32671</v>
      </c>
      <c r="H167" t="s">
        <v>12635</v>
      </c>
      <c r="I167" t="s">
        <v>9486</v>
      </c>
      <c r="J167" t="s">
        <v>32961</v>
      </c>
      <c r="K167" t="s">
        <v>42281</v>
      </c>
      <c r="M167" t="s">
        <v>42594</v>
      </c>
      <c r="N167" t="s">
        <v>46569</v>
      </c>
      <c r="O167" t="s">
        <v>46570</v>
      </c>
      <c r="P167">
        <v>0</v>
      </c>
      <c r="Q167">
        <v>1</v>
      </c>
      <c r="R167" t="s">
        <v>46571</v>
      </c>
      <c r="S167" t="s">
        <v>46687</v>
      </c>
      <c r="T167" t="s">
        <v>48221</v>
      </c>
      <c r="U167" t="s">
        <v>48931</v>
      </c>
      <c r="V167" t="s">
        <v>61632</v>
      </c>
      <c r="W167" t="s">
        <v>42594</v>
      </c>
      <c r="X167" t="s">
        <v>46574</v>
      </c>
    </row>
    <row r="168" spans="1:24">
      <c r="A168">
        <f>HYPERLINK("https://www.philgeps.gov.ph/GEPSNONPILOT/Tender/SplashBidNoticeAbstractUI.aspx?menuIndex=3&amp;refID=7062598&amp;Result=3","7062598")</f>
        <v>0</v>
      </c>
      <c r="B168" t="s">
        <v>85</v>
      </c>
      <c r="C168" t="s">
        <v>3695</v>
      </c>
      <c r="D168" t="s">
        <v>18786</v>
      </c>
      <c r="E168" t="s">
        <v>19044</v>
      </c>
      <c r="F168" t="s">
        <v>32664</v>
      </c>
      <c r="G168" t="s">
        <v>32672</v>
      </c>
      <c r="H168" t="s">
        <v>32683</v>
      </c>
      <c r="I168" t="s">
        <v>10627</v>
      </c>
      <c r="J168" t="s">
        <v>32962</v>
      </c>
      <c r="K168" t="s">
        <v>42290</v>
      </c>
      <c r="M168" t="s">
        <v>42648</v>
      </c>
      <c r="N168" t="s">
        <v>46569</v>
      </c>
      <c r="O168" t="s">
        <v>46570</v>
      </c>
      <c r="P168">
        <v>0</v>
      </c>
      <c r="Q168">
        <v>0</v>
      </c>
      <c r="R168" t="s">
        <v>46571</v>
      </c>
      <c r="S168" t="s">
        <v>46687</v>
      </c>
      <c r="T168" t="s">
        <v>48262</v>
      </c>
      <c r="U168" t="s">
        <v>48932</v>
      </c>
      <c r="W168" t="s">
        <v>42648</v>
      </c>
      <c r="X168" t="s">
        <v>46573</v>
      </c>
    </row>
    <row r="169" spans="1:24">
      <c r="A169">
        <f>HYPERLINK("https://www.philgeps.gov.ph/GEPSNONPILOT/Tender/SplashBidNoticeAbstractUI.aspx?menuIndex=3&amp;refID=7062579&amp;Result=3","7062579")</f>
        <v>0</v>
      </c>
      <c r="B169" t="s">
        <v>57</v>
      </c>
      <c r="C169" t="s">
        <v>3696</v>
      </c>
      <c r="D169" t="s">
        <v>18806</v>
      </c>
      <c r="E169" t="s">
        <v>19045</v>
      </c>
      <c r="F169" t="s">
        <v>32664</v>
      </c>
      <c r="G169" t="s">
        <v>32672</v>
      </c>
      <c r="H169" t="s">
        <v>32683</v>
      </c>
      <c r="I169" t="s">
        <v>10627</v>
      </c>
      <c r="J169" t="s">
        <v>32963</v>
      </c>
      <c r="K169" t="s">
        <v>42285</v>
      </c>
      <c r="M169" t="s">
        <v>42619</v>
      </c>
      <c r="N169" t="s">
        <v>46569</v>
      </c>
      <c r="O169" t="s">
        <v>46570</v>
      </c>
      <c r="P169">
        <v>0</v>
      </c>
      <c r="Q169">
        <v>0</v>
      </c>
      <c r="R169" t="s">
        <v>46571</v>
      </c>
      <c r="S169" t="s">
        <v>46687</v>
      </c>
      <c r="T169" t="s">
        <v>48253</v>
      </c>
      <c r="U169" t="s">
        <v>48933</v>
      </c>
      <c r="W169" t="s">
        <v>42619</v>
      </c>
      <c r="X169" t="s">
        <v>46573</v>
      </c>
    </row>
    <row r="170" spans="1:24">
      <c r="A170">
        <f>HYPERLINK("https://www.philgeps.gov.ph/GEPSNONPILOT/Tender/SplashBidNoticeAbstractUI.aspx?menuIndex=3&amp;refID=7059918&amp;Result=3","7059918")</f>
        <v>0</v>
      </c>
      <c r="B170" t="s">
        <v>48</v>
      </c>
      <c r="C170" t="s">
        <v>3697</v>
      </c>
      <c r="D170" t="s">
        <v>18798</v>
      </c>
      <c r="E170" t="s">
        <v>19046</v>
      </c>
      <c r="F170" t="s">
        <v>32664</v>
      </c>
      <c r="G170" t="s">
        <v>32672</v>
      </c>
      <c r="H170" t="s">
        <v>12635</v>
      </c>
      <c r="I170" t="s">
        <v>10370</v>
      </c>
      <c r="J170" t="s">
        <v>32964</v>
      </c>
      <c r="K170" t="s">
        <v>42284</v>
      </c>
      <c r="M170" t="s">
        <v>42610</v>
      </c>
      <c r="N170" t="s">
        <v>46569</v>
      </c>
      <c r="O170" t="s">
        <v>46570</v>
      </c>
      <c r="P170">
        <v>0</v>
      </c>
      <c r="Q170">
        <v>1</v>
      </c>
      <c r="R170" t="s">
        <v>46571</v>
      </c>
      <c r="S170" t="s">
        <v>46687</v>
      </c>
      <c r="T170" t="s">
        <v>48232</v>
      </c>
      <c r="U170" t="s">
        <v>48934</v>
      </c>
      <c r="W170" t="s">
        <v>42610</v>
      </c>
      <c r="X170" t="s">
        <v>46574</v>
      </c>
    </row>
    <row r="171" spans="1:24">
      <c r="A171">
        <f>HYPERLINK("https://www.philgeps.gov.ph/GEPSNONPILOT/Tender/SplashBidNoticeAbstractUI.aspx?menuIndex=3&amp;refID=7061973&amp;Result=3","7061973")</f>
        <v>0</v>
      </c>
      <c r="B171" t="s">
        <v>86</v>
      </c>
      <c r="C171" t="s">
        <v>3698</v>
      </c>
      <c r="D171" t="s">
        <v>18819</v>
      </c>
      <c r="E171" t="s">
        <v>19047</v>
      </c>
      <c r="F171" t="s">
        <v>32664</v>
      </c>
      <c r="G171" t="s">
        <v>32671</v>
      </c>
      <c r="H171" t="s">
        <v>12635</v>
      </c>
      <c r="I171" t="s">
        <v>7759</v>
      </c>
      <c r="J171" t="s">
        <v>32859</v>
      </c>
      <c r="K171" t="s">
        <v>42284</v>
      </c>
      <c r="M171" t="s">
        <v>42649</v>
      </c>
      <c r="N171" t="s">
        <v>46569</v>
      </c>
      <c r="O171" t="s">
        <v>46570</v>
      </c>
      <c r="P171">
        <v>0</v>
      </c>
      <c r="Q171">
        <v>0</v>
      </c>
      <c r="R171" t="s">
        <v>46571</v>
      </c>
      <c r="S171" t="s">
        <v>46687</v>
      </c>
      <c r="T171" t="s">
        <v>48258</v>
      </c>
      <c r="U171" t="s">
        <v>48935</v>
      </c>
      <c r="W171" t="s">
        <v>42649</v>
      </c>
      <c r="X171" t="s">
        <v>46573</v>
      </c>
    </row>
    <row r="172" spans="1:24">
      <c r="A172">
        <f>HYPERLINK("https://www.philgeps.gov.ph/GEPSNONPILOT/Tender/SplashBidNoticeAbstractUI.aspx?menuIndex=3&amp;refID=7059861&amp;Result=3","7059861")</f>
        <v>0</v>
      </c>
      <c r="B172" t="s">
        <v>49</v>
      </c>
      <c r="C172" t="s">
        <v>3699</v>
      </c>
      <c r="D172" t="s">
        <v>18799</v>
      </c>
      <c r="E172" t="s">
        <v>19048</v>
      </c>
      <c r="F172" t="s">
        <v>32664</v>
      </c>
      <c r="G172" t="s">
        <v>32672</v>
      </c>
      <c r="H172" t="s">
        <v>32683</v>
      </c>
      <c r="I172" t="s">
        <v>10627</v>
      </c>
      <c r="J172" t="s">
        <v>32965</v>
      </c>
      <c r="K172" t="s">
        <v>42304</v>
      </c>
      <c r="M172" t="s">
        <v>42611</v>
      </c>
      <c r="N172" t="s">
        <v>46569</v>
      </c>
      <c r="O172" t="s">
        <v>46570</v>
      </c>
      <c r="P172">
        <v>0</v>
      </c>
      <c r="Q172">
        <v>3</v>
      </c>
      <c r="R172" t="s">
        <v>46571</v>
      </c>
      <c r="S172" t="s">
        <v>46687</v>
      </c>
      <c r="T172" t="s">
        <v>48235</v>
      </c>
      <c r="U172" t="s">
        <v>48936</v>
      </c>
      <c r="V172" t="s">
        <v>61619</v>
      </c>
      <c r="W172" t="s">
        <v>63463</v>
      </c>
      <c r="X172" t="s">
        <v>46574</v>
      </c>
    </row>
    <row r="173" spans="1:24">
      <c r="A173">
        <f>HYPERLINK("https://www.philgeps.gov.ph/GEPSNONPILOT/Tender/SplashBidNoticeAbstractUI.aspx?menuIndex=3&amp;refID=7059897&amp;Result=3","7059897")</f>
        <v>0</v>
      </c>
      <c r="B173" t="s">
        <v>49</v>
      </c>
      <c r="C173" t="s">
        <v>3700</v>
      </c>
      <c r="D173" t="s">
        <v>18799</v>
      </c>
      <c r="E173" t="s">
        <v>19049</v>
      </c>
      <c r="F173" t="s">
        <v>32664</v>
      </c>
      <c r="G173" t="s">
        <v>32672</v>
      </c>
      <c r="H173" t="s">
        <v>32683</v>
      </c>
      <c r="I173" t="s">
        <v>10627</v>
      </c>
      <c r="J173" t="s">
        <v>32966</v>
      </c>
      <c r="K173" t="s">
        <v>42304</v>
      </c>
      <c r="M173" t="s">
        <v>42611</v>
      </c>
      <c r="N173" t="s">
        <v>46569</v>
      </c>
      <c r="O173" t="s">
        <v>46570</v>
      </c>
      <c r="P173">
        <v>0</v>
      </c>
      <c r="Q173">
        <v>3</v>
      </c>
      <c r="R173" t="s">
        <v>46571</v>
      </c>
      <c r="S173" t="s">
        <v>46687</v>
      </c>
      <c r="T173" t="s">
        <v>48239</v>
      </c>
      <c r="U173" t="s">
        <v>48937</v>
      </c>
      <c r="V173" t="s">
        <v>61619</v>
      </c>
      <c r="W173" t="s">
        <v>63463</v>
      </c>
      <c r="X173" t="s">
        <v>46574</v>
      </c>
    </row>
    <row r="174" spans="1:24">
      <c r="A174">
        <f>HYPERLINK("https://www.philgeps.gov.ph/GEPSNONPILOT/Tender/SplashBidNoticeAbstractUI.aspx?menuIndex=3&amp;refID=7059320&amp;Result=3","7059320")</f>
        <v>0</v>
      </c>
      <c r="B174" t="s">
        <v>44</v>
      </c>
      <c r="C174" t="s">
        <v>3701</v>
      </c>
      <c r="D174" t="s">
        <v>18795</v>
      </c>
      <c r="E174" t="s">
        <v>19050</v>
      </c>
      <c r="F174" t="s">
        <v>32664</v>
      </c>
      <c r="G174" t="s">
        <v>32672</v>
      </c>
      <c r="H174" t="s">
        <v>12635</v>
      </c>
      <c r="I174" t="s">
        <v>32686</v>
      </c>
      <c r="J174" t="s">
        <v>32967</v>
      </c>
      <c r="K174" t="s">
        <v>42297</v>
      </c>
      <c r="M174" t="s">
        <v>42606</v>
      </c>
      <c r="N174" t="s">
        <v>46569</v>
      </c>
      <c r="O174" t="s">
        <v>46570</v>
      </c>
      <c r="P174">
        <v>0</v>
      </c>
      <c r="Q174">
        <v>1</v>
      </c>
      <c r="R174" t="s">
        <v>46571</v>
      </c>
      <c r="S174" t="s">
        <v>46687</v>
      </c>
      <c r="T174" t="s">
        <v>48226</v>
      </c>
      <c r="U174" t="s">
        <v>48938</v>
      </c>
      <c r="W174" t="s">
        <v>42606</v>
      </c>
      <c r="X174" t="s">
        <v>46574</v>
      </c>
    </row>
    <row r="175" spans="1:24">
      <c r="A175">
        <f>HYPERLINK("https://www.philgeps.gov.ph/GEPSNONPILOT/Tender/SplashBidNoticeAbstractUI.aspx?menuIndex=3&amp;refID=7059318&amp;Result=3","7059318")</f>
        <v>0</v>
      </c>
      <c r="B175" t="s">
        <v>87</v>
      </c>
      <c r="C175" t="s">
        <v>3702</v>
      </c>
      <c r="D175" t="s">
        <v>18808</v>
      </c>
      <c r="E175" t="s">
        <v>19051</v>
      </c>
      <c r="F175" t="s">
        <v>32664</v>
      </c>
      <c r="G175" t="s">
        <v>32672</v>
      </c>
      <c r="H175" t="s">
        <v>32682</v>
      </c>
      <c r="I175" t="s">
        <v>5589</v>
      </c>
      <c r="J175" t="s">
        <v>32968</v>
      </c>
      <c r="K175" t="s">
        <v>42291</v>
      </c>
      <c r="M175" t="s">
        <v>42650</v>
      </c>
      <c r="N175" t="s">
        <v>46569</v>
      </c>
      <c r="O175" t="s">
        <v>46570</v>
      </c>
      <c r="P175">
        <v>0</v>
      </c>
      <c r="Q175">
        <v>4</v>
      </c>
      <c r="R175" t="s">
        <v>46571</v>
      </c>
      <c r="S175" t="s">
        <v>46687</v>
      </c>
      <c r="T175" t="s">
        <v>48218</v>
      </c>
      <c r="U175" t="s">
        <v>48939</v>
      </c>
      <c r="W175" t="s">
        <v>42650</v>
      </c>
      <c r="X175" t="s">
        <v>46574</v>
      </c>
    </row>
    <row r="176" spans="1:24">
      <c r="A176">
        <f>HYPERLINK("https://www.philgeps.gov.ph/GEPSNONPILOT/Tender/SplashBidNoticeAbstractUI.aspx?menuIndex=3&amp;refID=7056254&amp;Result=3","7056254")</f>
        <v>0</v>
      </c>
      <c r="B176" t="s">
        <v>44</v>
      </c>
      <c r="C176" t="s">
        <v>3703</v>
      </c>
      <c r="D176" t="s">
        <v>18795</v>
      </c>
      <c r="E176" t="s">
        <v>19052</v>
      </c>
      <c r="F176" t="s">
        <v>32664</v>
      </c>
      <c r="G176" t="s">
        <v>32672</v>
      </c>
      <c r="H176" t="s">
        <v>12635</v>
      </c>
      <c r="I176" t="s">
        <v>6223</v>
      </c>
      <c r="J176" t="s">
        <v>32969</v>
      </c>
      <c r="K176" t="s">
        <v>42297</v>
      </c>
      <c r="M176" t="s">
        <v>42606</v>
      </c>
      <c r="N176" t="s">
        <v>46569</v>
      </c>
      <c r="O176" t="s">
        <v>46570</v>
      </c>
      <c r="P176">
        <v>0</v>
      </c>
      <c r="Q176">
        <v>0</v>
      </c>
      <c r="R176" t="s">
        <v>46571</v>
      </c>
      <c r="S176" t="s">
        <v>46687</v>
      </c>
      <c r="T176" t="s">
        <v>48226</v>
      </c>
      <c r="U176" t="s">
        <v>48940</v>
      </c>
      <c r="W176" t="s">
        <v>42606</v>
      </c>
      <c r="X176" t="s">
        <v>46577</v>
      </c>
    </row>
    <row r="177" spans="1:24">
      <c r="A177">
        <f>HYPERLINK("https://www.philgeps.gov.ph/GEPSNONPILOT/Tender/SplashBidNoticeAbstractUI.aspx?menuIndex=3&amp;refID=7059224&amp;Result=3","7059224")</f>
        <v>0</v>
      </c>
      <c r="B177" t="s">
        <v>44</v>
      </c>
      <c r="C177" t="s">
        <v>3704</v>
      </c>
      <c r="D177" t="s">
        <v>18795</v>
      </c>
      <c r="E177" t="s">
        <v>19053</v>
      </c>
      <c r="F177" t="s">
        <v>32664</v>
      </c>
      <c r="G177" t="s">
        <v>32672</v>
      </c>
      <c r="H177" t="s">
        <v>12635</v>
      </c>
      <c r="I177" t="s">
        <v>8797</v>
      </c>
      <c r="J177" t="s">
        <v>32970</v>
      </c>
      <c r="K177" t="s">
        <v>42283</v>
      </c>
      <c r="M177" t="s">
        <v>42606</v>
      </c>
      <c r="N177" t="s">
        <v>46569</v>
      </c>
      <c r="O177" t="s">
        <v>46570</v>
      </c>
      <c r="P177">
        <v>0</v>
      </c>
      <c r="Q177">
        <v>0</v>
      </c>
      <c r="R177" t="s">
        <v>46571</v>
      </c>
      <c r="S177" t="s">
        <v>46687</v>
      </c>
      <c r="T177" t="s">
        <v>48226</v>
      </c>
      <c r="U177" t="s">
        <v>48941</v>
      </c>
      <c r="W177" t="s">
        <v>42606</v>
      </c>
      <c r="X177" t="s">
        <v>46574</v>
      </c>
    </row>
    <row r="178" spans="1:24">
      <c r="A178">
        <f>HYPERLINK("https://www.philgeps.gov.ph/GEPSNONPILOT/Tender/SplashBidNoticeAbstractUI.aspx?menuIndex=3&amp;refID=7056199&amp;Result=3","7056199")</f>
        <v>0</v>
      </c>
      <c r="B178" t="s">
        <v>35</v>
      </c>
      <c r="C178" t="s">
        <v>3705</v>
      </c>
      <c r="D178" t="s">
        <v>18791</v>
      </c>
      <c r="E178" t="s">
        <v>19054</v>
      </c>
      <c r="F178" t="s">
        <v>32664</v>
      </c>
      <c r="G178" t="s">
        <v>32672</v>
      </c>
      <c r="H178" t="s">
        <v>32683</v>
      </c>
      <c r="I178" t="s">
        <v>10627</v>
      </c>
      <c r="J178" t="s">
        <v>32837</v>
      </c>
      <c r="K178" t="s">
        <v>42305</v>
      </c>
      <c r="M178" t="s">
        <v>42597</v>
      </c>
      <c r="N178" t="s">
        <v>46569</v>
      </c>
      <c r="O178" t="s">
        <v>46570</v>
      </c>
      <c r="P178">
        <v>0</v>
      </c>
      <c r="Q178">
        <v>1</v>
      </c>
      <c r="R178" t="s">
        <v>46571</v>
      </c>
      <c r="S178" t="s">
        <v>46687</v>
      </c>
      <c r="T178" t="s">
        <v>48263</v>
      </c>
      <c r="U178" t="s">
        <v>48942</v>
      </c>
      <c r="W178" t="s">
        <v>42597</v>
      </c>
      <c r="X178" t="s">
        <v>46577</v>
      </c>
    </row>
    <row r="179" spans="1:24">
      <c r="A179">
        <f>HYPERLINK("https://www.philgeps.gov.ph/GEPSNONPILOT/Tender/SplashBidNoticeAbstractUI.aspx?menuIndex=3&amp;refID=7059368&amp;Result=3","7059368")</f>
        <v>0</v>
      </c>
      <c r="B179" t="s">
        <v>34</v>
      </c>
      <c r="C179" t="s">
        <v>3706</v>
      </c>
      <c r="D179" t="s">
        <v>18790</v>
      </c>
      <c r="E179" t="s">
        <v>19055</v>
      </c>
      <c r="F179" t="s">
        <v>32664</v>
      </c>
      <c r="G179" t="s">
        <v>32672</v>
      </c>
      <c r="H179" t="s">
        <v>12635</v>
      </c>
      <c r="I179" t="s">
        <v>9486</v>
      </c>
      <c r="J179" t="s">
        <v>32971</v>
      </c>
      <c r="K179" t="s">
        <v>42297</v>
      </c>
      <c r="M179" t="s">
        <v>42596</v>
      </c>
      <c r="N179" t="s">
        <v>46569</v>
      </c>
      <c r="O179" t="s">
        <v>46570</v>
      </c>
      <c r="P179">
        <v>0</v>
      </c>
      <c r="Q179">
        <v>0</v>
      </c>
      <c r="R179" t="s">
        <v>46571</v>
      </c>
      <c r="S179" t="s">
        <v>46687</v>
      </c>
      <c r="T179" t="s">
        <v>48223</v>
      </c>
      <c r="U179" t="s">
        <v>48943</v>
      </c>
      <c r="W179" t="s">
        <v>42596</v>
      </c>
      <c r="X179" t="s">
        <v>46574</v>
      </c>
    </row>
    <row r="180" spans="1:24">
      <c r="A180">
        <f>HYPERLINK("https://www.philgeps.gov.ph/GEPSNONPILOT/Tender/SplashBidNoticeAbstractUI.aspx?menuIndex=3&amp;refID=7059884&amp;Result=3","7059884")</f>
        <v>0</v>
      </c>
      <c r="B180" t="s">
        <v>32</v>
      </c>
      <c r="C180" t="s">
        <v>3707</v>
      </c>
      <c r="D180" t="s">
        <v>18788</v>
      </c>
      <c r="E180" t="s">
        <v>19056</v>
      </c>
      <c r="F180" t="s">
        <v>32664</v>
      </c>
      <c r="G180" t="s">
        <v>32671</v>
      </c>
      <c r="H180" t="s">
        <v>12635</v>
      </c>
      <c r="I180" t="s">
        <v>9486</v>
      </c>
      <c r="J180" t="s">
        <v>32972</v>
      </c>
      <c r="K180" t="s">
        <v>42281</v>
      </c>
      <c r="M180" t="s">
        <v>42594</v>
      </c>
      <c r="N180" t="s">
        <v>46569</v>
      </c>
      <c r="O180" t="s">
        <v>46570</v>
      </c>
      <c r="P180">
        <v>0</v>
      </c>
      <c r="Q180">
        <v>0</v>
      </c>
      <c r="R180" t="s">
        <v>46571</v>
      </c>
      <c r="S180" t="s">
        <v>46687</v>
      </c>
      <c r="T180" t="s">
        <v>48221</v>
      </c>
      <c r="U180" t="s">
        <v>48944</v>
      </c>
      <c r="V180" t="s">
        <v>61633</v>
      </c>
      <c r="W180" t="s">
        <v>42594</v>
      </c>
      <c r="X180" t="s">
        <v>46574</v>
      </c>
    </row>
    <row r="181" spans="1:24">
      <c r="A181">
        <f>HYPERLINK("https://www.philgeps.gov.ph/GEPSNONPILOT/Tender/SplashBidNoticeAbstractUI.aspx?menuIndex=3&amp;refID=7056241&amp;Result=3","7056241")</f>
        <v>0</v>
      </c>
      <c r="B181" t="s">
        <v>32</v>
      </c>
      <c r="C181" t="s">
        <v>3708</v>
      </c>
      <c r="D181" t="s">
        <v>18788</v>
      </c>
      <c r="E181" t="s">
        <v>19057</v>
      </c>
      <c r="F181" t="s">
        <v>32664</v>
      </c>
      <c r="G181" t="s">
        <v>32671</v>
      </c>
      <c r="H181" t="s">
        <v>12635</v>
      </c>
      <c r="I181" t="s">
        <v>4205</v>
      </c>
      <c r="J181" t="s">
        <v>32973</v>
      </c>
      <c r="K181" t="s">
        <v>42281</v>
      </c>
      <c r="M181" t="s">
        <v>42594</v>
      </c>
      <c r="N181" t="s">
        <v>46569</v>
      </c>
      <c r="O181" t="s">
        <v>46570</v>
      </c>
      <c r="P181">
        <v>0</v>
      </c>
      <c r="Q181">
        <v>0</v>
      </c>
      <c r="R181" t="s">
        <v>46571</v>
      </c>
      <c r="S181" t="s">
        <v>46687</v>
      </c>
      <c r="T181" t="s">
        <v>48221</v>
      </c>
      <c r="U181" t="s">
        <v>48945</v>
      </c>
      <c r="V181" t="s">
        <v>61612</v>
      </c>
      <c r="W181" t="s">
        <v>42594</v>
      </c>
      <c r="X181" t="s">
        <v>46577</v>
      </c>
    </row>
    <row r="182" spans="1:24">
      <c r="A182">
        <f>HYPERLINK("https://www.philgeps.gov.ph/GEPSNONPILOT/Tender/SplashBidNoticeAbstractUI.aspx?menuIndex=3&amp;refID=7055958&amp;Result=3","7055958")</f>
        <v>0</v>
      </c>
      <c r="B182" t="s">
        <v>44</v>
      </c>
      <c r="C182" t="s">
        <v>3709</v>
      </c>
      <c r="D182" t="s">
        <v>18795</v>
      </c>
      <c r="E182" t="s">
        <v>19058</v>
      </c>
      <c r="F182" t="s">
        <v>32664</v>
      </c>
      <c r="G182" t="s">
        <v>32672</v>
      </c>
      <c r="H182" t="s">
        <v>12635</v>
      </c>
      <c r="I182" t="s">
        <v>32707</v>
      </c>
      <c r="J182" t="s">
        <v>32974</v>
      </c>
      <c r="K182" t="s">
        <v>42297</v>
      </c>
      <c r="M182" t="s">
        <v>42606</v>
      </c>
      <c r="N182" t="s">
        <v>46569</v>
      </c>
      <c r="O182" t="s">
        <v>46570</v>
      </c>
      <c r="P182">
        <v>0</v>
      </c>
      <c r="Q182">
        <v>1</v>
      </c>
      <c r="R182" t="s">
        <v>46571</v>
      </c>
      <c r="S182" t="s">
        <v>46687</v>
      </c>
      <c r="T182" t="s">
        <v>48226</v>
      </c>
      <c r="U182" t="s">
        <v>48946</v>
      </c>
      <c r="W182" t="s">
        <v>42606</v>
      </c>
      <c r="X182" t="s">
        <v>46577</v>
      </c>
    </row>
    <row r="183" spans="1:24">
      <c r="A183">
        <f>HYPERLINK("https://www.philgeps.gov.ph/GEPSNONPILOT/Tender/SplashBidNoticeAbstractUI.aspx?menuIndex=3&amp;refID=7055816&amp;Result=3","7055816")</f>
        <v>0</v>
      </c>
      <c r="B183" t="s">
        <v>35</v>
      </c>
      <c r="C183" t="s">
        <v>3710</v>
      </c>
      <c r="D183" t="s">
        <v>18791</v>
      </c>
      <c r="E183" t="s">
        <v>19059</v>
      </c>
      <c r="F183" t="s">
        <v>32664</v>
      </c>
      <c r="G183" t="s">
        <v>32672</v>
      </c>
      <c r="H183" t="s">
        <v>32683</v>
      </c>
      <c r="I183" t="s">
        <v>10627</v>
      </c>
      <c r="J183" t="s">
        <v>32943</v>
      </c>
      <c r="K183" t="s">
        <v>42313</v>
      </c>
      <c r="M183" t="s">
        <v>42597</v>
      </c>
      <c r="N183" t="s">
        <v>46569</v>
      </c>
      <c r="O183" t="s">
        <v>46570</v>
      </c>
      <c r="P183">
        <v>0</v>
      </c>
      <c r="Q183">
        <v>0</v>
      </c>
      <c r="R183" t="s">
        <v>46571</v>
      </c>
      <c r="S183" t="s">
        <v>46687</v>
      </c>
      <c r="T183" t="s">
        <v>48220</v>
      </c>
      <c r="U183" t="s">
        <v>48947</v>
      </c>
      <c r="W183" t="s">
        <v>42597</v>
      </c>
      <c r="X183" t="s">
        <v>46577</v>
      </c>
    </row>
    <row r="184" spans="1:24">
      <c r="A184">
        <f>HYPERLINK("https://www.philgeps.gov.ph/GEPSNONPILOT/Tender/SplashBidNoticeAbstractUI.aspx?menuIndex=3&amp;refID=7052986&amp;Result=3","7052986")</f>
        <v>0</v>
      </c>
      <c r="B184" t="s">
        <v>53</v>
      </c>
      <c r="C184" t="s">
        <v>3711</v>
      </c>
      <c r="E184" t="s">
        <v>19060</v>
      </c>
      <c r="F184" t="s">
        <v>32664</v>
      </c>
      <c r="G184" t="s">
        <v>32672</v>
      </c>
      <c r="H184" t="s">
        <v>12635</v>
      </c>
      <c r="I184" t="s">
        <v>8797</v>
      </c>
      <c r="J184" t="s">
        <v>32975</v>
      </c>
      <c r="K184" t="s">
        <v>42284</v>
      </c>
      <c r="M184" t="s">
        <v>42624</v>
      </c>
      <c r="N184" t="s">
        <v>46569</v>
      </c>
      <c r="O184" t="s">
        <v>46570</v>
      </c>
      <c r="P184">
        <v>0</v>
      </c>
      <c r="Q184">
        <v>0</v>
      </c>
      <c r="R184" t="s">
        <v>46571</v>
      </c>
      <c r="S184" t="s">
        <v>46687</v>
      </c>
      <c r="T184" t="s">
        <v>48240</v>
      </c>
      <c r="U184" t="s">
        <v>48948</v>
      </c>
      <c r="W184" t="s">
        <v>42624</v>
      </c>
      <c r="X184" t="s">
        <v>46578</v>
      </c>
    </row>
    <row r="185" spans="1:24">
      <c r="A185">
        <f>HYPERLINK("https://www.philgeps.gov.ph/GEPSNONPILOT/Tender/SplashBidNoticeAbstractUI.aspx?menuIndex=3&amp;refID=7052893&amp;Result=3","7052893")</f>
        <v>0</v>
      </c>
      <c r="B185" t="s">
        <v>32</v>
      </c>
      <c r="C185" t="s">
        <v>3712</v>
      </c>
      <c r="D185" t="s">
        <v>18788</v>
      </c>
      <c r="E185" t="s">
        <v>19061</v>
      </c>
      <c r="F185" t="s">
        <v>32664</v>
      </c>
      <c r="G185" t="s">
        <v>32671</v>
      </c>
      <c r="H185" t="s">
        <v>12635</v>
      </c>
      <c r="I185" t="s">
        <v>32689</v>
      </c>
      <c r="J185" t="s">
        <v>32976</v>
      </c>
      <c r="K185" t="s">
        <v>42281</v>
      </c>
      <c r="M185" t="s">
        <v>42594</v>
      </c>
      <c r="N185" t="s">
        <v>46569</v>
      </c>
      <c r="O185" t="s">
        <v>46570</v>
      </c>
      <c r="P185">
        <v>0</v>
      </c>
      <c r="Q185">
        <v>0</v>
      </c>
      <c r="R185" t="s">
        <v>46571</v>
      </c>
      <c r="S185" t="s">
        <v>46687</v>
      </c>
      <c r="T185" t="s">
        <v>48221</v>
      </c>
      <c r="U185" t="s">
        <v>48949</v>
      </c>
      <c r="V185" t="s">
        <v>61614</v>
      </c>
      <c r="W185" t="s">
        <v>42594</v>
      </c>
      <c r="X185" t="s">
        <v>46578</v>
      </c>
    </row>
    <row r="186" spans="1:24">
      <c r="A186">
        <f>HYPERLINK("https://www.philgeps.gov.ph/GEPSNONPILOT/Tender/SplashBidNoticeAbstractUI.aspx?menuIndex=3&amp;refID=7059040&amp;Result=3","7059040")</f>
        <v>0</v>
      </c>
      <c r="B186" t="s">
        <v>88</v>
      </c>
      <c r="C186" t="s">
        <v>3713</v>
      </c>
      <c r="D186" t="s">
        <v>18814</v>
      </c>
      <c r="E186" t="s">
        <v>19062</v>
      </c>
      <c r="F186" t="s">
        <v>32665</v>
      </c>
      <c r="G186" t="s">
        <v>32676</v>
      </c>
      <c r="H186" t="s">
        <v>12635</v>
      </c>
      <c r="I186" t="s">
        <v>32692</v>
      </c>
      <c r="J186" t="s">
        <v>32977</v>
      </c>
      <c r="K186" t="s">
        <v>42283</v>
      </c>
      <c r="M186" t="s">
        <v>42651</v>
      </c>
      <c r="N186" t="s">
        <v>46569</v>
      </c>
      <c r="O186" t="s">
        <v>46570</v>
      </c>
      <c r="P186">
        <v>0</v>
      </c>
      <c r="Q186">
        <v>1</v>
      </c>
      <c r="R186" t="s">
        <v>46571</v>
      </c>
      <c r="S186" t="s">
        <v>46687</v>
      </c>
      <c r="T186" t="s">
        <v>48264</v>
      </c>
      <c r="U186" t="s">
        <v>48950</v>
      </c>
      <c r="W186" t="s">
        <v>42651</v>
      </c>
      <c r="X186" t="s">
        <v>46574</v>
      </c>
    </row>
    <row r="187" spans="1:24">
      <c r="A187">
        <f>HYPERLINK("https://www.philgeps.gov.ph/GEPSNONPILOT/Tender/SplashBidNoticeAbstractUI.aspx?menuIndex=3&amp;refID=7062843&amp;Result=3","7062843")</f>
        <v>0</v>
      </c>
      <c r="B187" t="s">
        <v>57</v>
      </c>
      <c r="C187" t="s">
        <v>3714</v>
      </c>
      <c r="D187" t="s">
        <v>18806</v>
      </c>
      <c r="E187" t="s">
        <v>19063</v>
      </c>
      <c r="F187" t="s">
        <v>32664</v>
      </c>
      <c r="G187" t="s">
        <v>32672</v>
      </c>
      <c r="H187" t="s">
        <v>32683</v>
      </c>
      <c r="I187" t="s">
        <v>10627</v>
      </c>
      <c r="J187" t="s">
        <v>32962</v>
      </c>
      <c r="K187" t="s">
        <v>42314</v>
      </c>
      <c r="M187" t="s">
        <v>42619</v>
      </c>
      <c r="N187" t="s">
        <v>46569</v>
      </c>
      <c r="O187" t="s">
        <v>46570</v>
      </c>
      <c r="P187">
        <v>0</v>
      </c>
      <c r="Q187">
        <v>0</v>
      </c>
      <c r="R187" t="s">
        <v>46571</v>
      </c>
      <c r="S187" t="s">
        <v>46687</v>
      </c>
      <c r="T187" t="s">
        <v>48253</v>
      </c>
      <c r="U187" t="s">
        <v>48951</v>
      </c>
      <c r="W187" t="s">
        <v>42619</v>
      </c>
      <c r="X187" t="s">
        <v>46573</v>
      </c>
    </row>
    <row r="188" spans="1:24">
      <c r="A188">
        <f>HYPERLINK("https://www.philgeps.gov.ph/GEPSNONPILOT/Tender/SplashBidNoticeAbstractUI.aspx?menuIndex=3&amp;refID=7059932&amp;Result=3","7059932")</f>
        <v>0</v>
      </c>
      <c r="B188" t="s">
        <v>32</v>
      </c>
      <c r="C188" t="s">
        <v>3715</v>
      </c>
      <c r="D188" t="s">
        <v>18788</v>
      </c>
      <c r="E188" t="s">
        <v>19064</v>
      </c>
      <c r="F188" t="s">
        <v>32664</v>
      </c>
      <c r="G188" t="s">
        <v>32671</v>
      </c>
      <c r="H188" t="s">
        <v>12635</v>
      </c>
      <c r="I188" t="s">
        <v>9486</v>
      </c>
      <c r="J188" t="s">
        <v>32978</v>
      </c>
      <c r="K188" t="s">
        <v>42281</v>
      </c>
      <c r="M188" t="s">
        <v>42594</v>
      </c>
      <c r="N188" t="s">
        <v>46569</v>
      </c>
      <c r="O188" t="s">
        <v>46570</v>
      </c>
      <c r="P188">
        <v>0</v>
      </c>
      <c r="Q188">
        <v>0</v>
      </c>
      <c r="R188" t="s">
        <v>46571</v>
      </c>
      <c r="S188" t="s">
        <v>46687</v>
      </c>
      <c r="T188" t="s">
        <v>48221</v>
      </c>
      <c r="U188" t="s">
        <v>48952</v>
      </c>
      <c r="V188" t="s">
        <v>61623</v>
      </c>
      <c r="W188" t="s">
        <v>42594</v>
      </c>
      <c r="X188" t="s">
        <v>46574</v>
      </c>
    </row>
    <row r="189" spans="1:24">
      <c r="A189">
        <f>HYPERLINK("https://www.philgeps.gov.ph/GEPSNONPILOT/Tender/SplashBidNoticeAbstractUI.aspx?menuIndex=3&amp;refID=7056105&amp;Result=3","7056105")</f>
        <v>0</v>
      </c>
      <c r="B189" t="s">
        <v>35</v>
      </c>
      <c r="C189" t="s">
        <v>3716</v>
      </c>
      <c r="D189" t="s">
        <v>18791</v>
      </c>
      <c r="E189" t="s">
        <v>19065</v>
      </c>
      <c r="F189" t="s">
        <v>32664</v>
      </c>
      <c r="G189" t="s">
        <v>32672</v>
      </c>
      <c r="H189" t="s">
        <v>32683</v>
      </c>
      <c r="I189" t="s">
        <v>10627</v>
      </c>
      <c r="J189" t="s">
        <v>32979</v>
      </c>
      <c r="K189" t="s">
        <v>42313</v>
      </c>
      <c r="M189" t="s">
        <v>42597</v>
      </c>
      <c r="N189" t="s">
        <v>46569</v>
      </c>
      <c r="O189" t="s">
        <v>46570</v>
      </c>
      <c r="P189">
        <v>0</v>
      </c>
      <c r="Q189">
        <v>0</v>
      </c>
      <c r="R189" t="s">
        <v>46571</v>
      </c>
      <c r="S189" t="s">
        <v>46687</v>
      </c>
      <c r="T189" t="s">
        <v>48265</v>
      </c>
      <c r="U189" t="s">
        <v>48953</v>
      </c>
      <c r="W189" t="s">
        <v>42597</v>
      </c>
      <c r="X189" t="s">
        <v>46577</v>
      </c>
    </row>
    <row r="190" spans="1:24">
      <c r="A190">
        <f>HYPERLINK("https://www.philgeps.gov.ph/GEPSNONPILOT/Tender/SplashBidNoticeAbstractUI.aspx?menuIndex=3&amp;refID=7062773&amp;Result=3","7062773")</f>
        <v>0</v>
      </c>
      <c r="B190" t="s">
        <v>89</v>
      </c>
      <c r="C190" t="s">
        <v>3717</v>
      </c>
      <c r="D190" t="s">
        <v>18784</v>
      </c>
      <c r="E190" t="s">
        <v>19066</v>
      </c>
      <c r="F190" t="s">
        <v>32664</v>
      </c>
      <c r="G190" t="s">
        <v>32672</v>
      </c>
      <c r="H190" t="s">
        <v>12635</v>
      </c>
      <c r="I190" t="s">
        <v>6223</v>
      </c>
      <c r="J190" t="s">
        <v>32980</v>
      </c>
      <c r="K190" t="s">
        <v>42309</v>
      </c>
      <c r="M190" t="s">
        <v>42652</v>
      </c>
      <c r="N190" t="s">
        <v>46569</v>
      </c>
      <c r="O190" t="s">
        <v>46570</v>
      </c>
      <c r="P190">
        <v>0</v>
      </c>
      <c r="Q190">
        <v>0</v>
      </c>
      <c r="R190" t="s">
        <v>46571</v>
      </c>
      <c r="S190" t="s">
        <v>46687</v>
      </c>
      <c r="T190" t="s">
        <v>48211</v>
      </c>
      <c r="U190" t="s">
        <v>48954</v>
      </c>
      <c r="W190" t="s">
        <v>42652</v>
      </c>
      <c r="X190" t="s">
        <v>46573</v>
      </c>
    </row>
    <row r="191" spans="1:24">
      <c r="A191">
        <f>HYPERLINK("https://www.philgeps.gov.ph/GEPSNONPILOT/Tender/SplashBidNoticeAbstractUI.aspx?menuIndex=3&amp;refID=7062757&amp;Result=3","7062757")</f>
        <v>0</v>
      </c>
      <c r="B191" t="s">
        <v>57</v>
      </c>
      <c r="C191" t="s">
        <v>3718</v>
      </c>
      <c r="D191" t="s">
        <v>18806</v>
      </c>
      <c r="E191" t="s">
        <v>19067</v>
      </c>
      <c r="F191" t="s">
        <v>32664</v>
      </c>
      <c r="G191" t="s">
        <v>32672</v>
      </c>
      <c r="H191" t="s">
        <v>32683</v>
      </c>
      <c r="I191" t="s">
        <v>10627</v>
      </c>
      <c r="J191" t="s">
        <v>32981</v>
      </c>
      <c r="K191" t="s">
        <v>42315</v>
      </c>
      <c r="M191" t="s">
        <v>42619</v>
      </c>
      <c r="N191" t="s">
        <v>46569</v>
      </c>
      <c r="O191" t="s">
        <v>46570</v>
      </c>
      <c r="P191">
        <v>0</v>
      </c>
      <c r="Q191">
        <v>0</v>
      </c>
      <c r="R191" t="s">
        <v>46571</v>
      </c>
      <c r="S191" t="s">
        <v>46687</v>
      </c>
      <c r="T191" t="s">
        <v>48266</v>
      </c>
      <c r="U191" t="s">
        <v>48955</v>
      </c>
      <c r="W191" t="s">
        <v>42619</v>
      </c>
      <c r="X191" t="s">
        <v>46573</v>
      </c>
    </row>
    <row r="192" spans="1:24">
      <c r="A192">
        <f>HYPERLINK("https://www.philgeps.gov.ph/GEPSNONPILOT/Tender/SplashBidNoticeAbstractUI.aspx?menuIndex=3&amp;refID=7056001&amp;Result=3","7056001")</f>
        <v>0</v>
      </c>
      <c r="B192" t="s">
        <v>45</v>
      </c>
      <c r="C192" t="s">
        <v>3719</v>
      </c>
      <c r="D192" t="s">
        <v>18789</v>
      </c>
      <c r="E192" t="s">
        <v>19068</v>
      </c>
      <c r="F192" t="s">
        <v>32664</v>
      </c>
      <c r="G192" t="s">
        <v>32672</v>
      </c>
      <c r="H192" t="s">
        <v>12635</v>
      </c>
      <c r="I192" t="s">
        <v>4439</v>
      </c>
      <c r="J192" t="s">
        <v>32855</v>
      </c>
      <c r="K192" t="s">
        <v>42289</v>
      </c>
      <c r="M192" t="s">
        <v>42607</v>
      </c>
      <c r="N192" t="s">
        <v>46569</v>
      </c>
      <c r="O192" t="s">
        <v>46570</v>
      </c>
      <c r="P192">
        <v>0</v>
      </c>
      <c r="Q192">
        <v>3</v>
      </c>
      <c r="R192" t="s">
        <v>46571</v>
      </c>
      <c r="S192" t="s">
        <v>46687</v>
      </c>
      <c r="T192" t="s">
        <v>48230</v>
      </c>
      <c r="U192" t="s">
        <v>48956</v>
      </c>
      <c r="W192" t="s">
        <v>42607</v>
      </c>
      <c r="X192" t="s">
        <v>46577</v>
      </c>
    </row>
    <row r="193" spans="1:24">
      <c r="A193">
        <f>HYPERLINK("https://www.philgeps.gov.ph/GEPSNONPILOT/Tender/SplashBidNoticeAbstractUI.aspx?menuIndex=3&amp;refID=7062790&amp;Result=3","7062790")</f>
        <v>0</v>
      </c>
      <c r="B193" t="s">
        <v>57</v>
      </c>
      <c r="C193" t="s">
        <v>3720</v>
      </c>
      <c r="D193" t="s">
        <v>18806</v>
      </c>
      <c r="E193" t="s">
        <v>19069</v>
      </c>
      <c r="F193" t="s">
        <v>32664</v>
      </c>
      <c r="G193" t="s">
        <v>32672</v>
      </c>
      <c r="H193" t="s">
        <v>32683</v>
      </c>
      <c r="I193" t="s">
        <v>10627</v>
      </c>
      <c r="J193" t="s">
        <v>32982</v>
      </c>
      <c r="K193" t="s">
        <v>42316</v>
      </c>
      <c r="M193" t="s">
        <v>42619</v>
      </c>
      <c r="N193" t="s">
        <v>46569</v>
      </c>
      <c r="O193" t="s">
        <v>46570</v>
      </c>
      <c r="P193">
        <v>0</v>
      </c>
      <c r="Q193">
        <v>0</v>
      </c>
      <c r="R193" t="s">
        <v>46571</v>
      </c>
      <c r="S193" t="s">
        <v>46687</v>
      </c>
      <c r="T193" t="s">
        <v>48253</v>
      </c>
      <c r="U193" t="s">
        <v>48957</v>
      </c>
      <c r="W193" t="s">
        <v>42619</v>
      </c>
      <c r="X193" t="s">
        <v>46573</v>
      </c>
    </row>
    <row r="194" spans="1:24">
      <c r="A194">
        <f>HYPERLINK("https://www.philgeps.gov.ph/GEPSNONPILOT/Tender/SplashBidNoticeAbstractUI.aspx?menuIndex=3&amp;refID=7062739&amp;Result=3","7062739")</f>
        <v>0</v>
      </c>
      <c r="B194" t="s">
        <v>48</v>
      </c>
      <c r="C194" t="s">
        <v>3721</v>
      </c>
      <c r="D194" t="s">
        <v>18798</v>
      </c>
      <c r="E194" t="s">
        <v>19070</v>
      </c>
      <c r="F194" t="s">
        <v>32664</v>
      </c>
      <c r="G194" t="s">
        <v>32674</v>
      </c>
      <c r="H194" t="s">
        <v>12635</v>
      </c>
      <c r="I194" t="s">
        <v>32708</v>
      </c>
      <c r="J194" t="s">
        <v>32983</v>
      </c>
      <c r="K194" t="s">
        <v>42284</v>
      </c>
      <c r="M194" t="s">
        <v>42610</v>
      </c>
      <c r="N194" t="s">
        <v>46569</v>
      </c>
      <c r="O194" t="s">
        <v>46570</v>
      </c>
      <c r="P194">
        <v>0</v>
      </c>
      <c r="Q194">
        <v>3</v>
      </c>
      <c r="R194" t="s">
        <v>46571</v>
      </c>
      <c r="S194" t="s">
        <v>46687</v>
      </c>
      <c r="T194" t="s">
        <v>48242</v>
      </c>
      <c r="U194" t="s">
        <v>48958</v>
      </c>
      <c r="W194" t="s">
        <v>42610</v>
      </c>
      <c r="X194" t="s">
        <v>46573</v>
      </c>
    </row>
    <row r="195" spans="1:24">
      <c r="A195">
        <f>HYPERLINK("https://www.philgeps.gov.ph/GEPSNONPILOT/Tender/SplashBidNoticeAbstractUI.aspx?menuIndex=3&amp;refID=7062743&amp;Result=3","7062743")</f>
        <v>0</v>
      </c>
      <c r="B195" t="s">
        <v>48</v>
      </c>
      <c r="C195" t="s">
        <v>3722</v>
      </c>
      <c r="D195" t="s">
        <v>18798</v>
      </c>
      <c r="E195" t="s">
        <v>19071</v>
      </c>
      <c r="F195" t="s">
        <v>32664</v>
      </c>
      <c r="G195" t="s">
        <v>32674</v>
      </c>
      <c r="H195" t="s">
        <v>12635</v>
      </c>
      <c r="I195" t="s">
        <v>32709</v>
      </c>
      <c r="J195" t="s">
        <v>32984</v>
      </c>
      <c r="K195" t="s">
        <v>42284</v>
      </c>
      <c r="M195" t="s">
        <v>42610</v>
      </c>
      <c r="N195" t="s">
        <v>46569</v>
      </c>
      <c r="O195" t="s">
        <v>46570</v>
      </c>
      <c r="P195">
        <v>0</v>
      </c>
      <c r="Q195">
        <v>1</v>
      </c>
      <c r="R195" t="s">
        <v>46571</v>
      </c>
      <c r="S195" t="s">
        <v>46687</v>
      </c>
      <c r="T195" t="s">
        <v>48242</v>
      </c>
      <c r="U195" t="s">
        <v>48959</v>
      </c>
      <c r="W195" t="s">
        <v>42610</v>
      </c>
      <c r="X195" t="s">
        <v>46573</v>
      </c>
    </row>
    <row r="196" spans="1:24">
      <c r="A196">
        <f>HYPERLINK("https://www.philgeps.gov.ph/GEPSNONPILOT/Tender/SplashBidNoticeAbstractUI.aspx?menuIndex=3&amp;refID=7062753&amp;Result=3","7062753")</f>
        <v>0</v>
      </c>
      <c r="B196" t="s">
        <v>90</v>
      </c>
      <c r="C196" t="s">
        <v>3717</v>
      </c>
      <c r="D196" t="s">
        <v>18784</v>
      </c>
      <c r="E196" t="s">
        <v>19072</v>
      </c>
      <c r="F196" t="s">
        <v>32664</v>
      </c>
      <c r="G196" t="s">
        <v>32672</v>
      </c>
      <c r="H196" t="s">
        <v>12635</v>
      </c>
      <c r="I196" t="s">
        <v>6223</v>
      </c>
      <c r="J196" t="s">
        <v>32985</v>
      </c>
      <c r="K196" t="s">
        <v>42309</v>
      </c>
      <c r="M196" t="s">
        <v>42653</v>
      </c>
      <c r="N196" t="s">
        <v>46569</v>
      </c>
      <c r="O196" t="s">
        <v>46570</v>
      </c>
      <c r="P196">
        <v>0</v>
      </c>
      <c r="Q196">
        <v>0</v>
      </c>
      <c r="R196" t="s">
        <v>46571</v>
      </c>
      <c r="S196" t="s">
        <v>46687</v>
      </c>
      <c r="T196" t="s">
        <v>48211</v>
      </c>
      <c r="U196" t="s">
        <v>48960</v>
      </c>
      <c r="W196" t="s">
        <v>42653</v>
      </c>
      <c r="X196" t="s">
        <v>46573</v>
      </c>
    </row>
    <row r="197" spans="1:24">
      <c r="A197">
        <f>HYPERLINK("https://www.philgeps.gov.ph/GEPSNONPILOT/Tender/SplashBidNoticeAbstractUI.aspx?menuIndex=3&amp;refID=7062729&amp;Result=3","7062729")</f>
        <v>0</v>
      </c>
      <c r="B197" t="s">
        <v>57</v>
      </c>
      <c r="C197" t="s">
        <v>3723</v>
      </c>
      <c r="D197" t="s">
        <v>18806</v>
      </c>
      <c r="E197" t="s">
        <v>19073</v>
      </c>
      <c r="F197" t="s">
        <v>32664</v>
      </c>
      <c r="G197" t="s">
        <v>32672</v>
      </c>
      <c r="H197" t="s">
        <v>32683</v>
      </c>
      <c r="I197" t="s">
        <v>10627</v>
      </c>
      <c r="J197" t="s">
        <v>32945</v>
      </c>
      <c r="K197" t="s">
        <v>42317</v>
      </c>
      <c r="M197" t="s">
        <v>42619</v>
      </c>
      <c r="N197" t="s">
        <v>46569</v>
      </c>
      <c r="O197" t="s">
        <v>46570</v>
      </c>
      <c r="P197">
        <v>0</v>
      </c>
      <c r="Q197">
        <v>0</v>
      </c>
      <c r="R197" t="s">
        <v>46571</v>
      </c>
      <c r="S197" t="s">
        <v>46687</v>
      </c>
      <c r="T197" t="s">
        <v>48253</v>
      </c>
      <c r="U197" t="s">
        <v>48961</v>
      </c>
      <c r="W197" t="s">
        <v>42619</v>
      </c>
      <c r="X197" t="s">
        <v>46573</v>
      </c>
    </row>
    <row r="198" spans="1:24">
      <c r="A198">
        <f>HYPERLINK("https://www.philgeps.gov.ph/GEPSNONPILOT/Tender/SplashBidNoticeAbstractUI.aspx?menuIndex=3&amp;refID=7062712&amp;Result=3","7062712")</f>
        <v>0</v>
      </c>
      <c r="B198" t="s">
        <v>91</v>
      </c>
      <c r="C198" t="s">
        <v>3724</v>
      </c>
      <c r="E198" t="s">
        <v>19074</v>
      </c>
      <c r="F198" t="s">
        <v>32664</v>
      </c>
      <c r="G198" t="s">
        <v>32672</v>
      </c>
      <c r="H198" t="s">
        <v>12635</v>
      </c>
      <c r="I198" t="s">
        <v>6223</v>
      </c>
      <c r="J198" t="s">
        <v>32986</v>
      </c>
      <c r="K198" t="s">
        <v>42309</v>
      </c>
      <c r="M198" t="s">
        <v>42654</v>
      </c>
      <c r="N198" t="s">
        <v>46569</v>
      </c>
      <c r="O198" t="s">
        <v>46570</v>
      </c>
      <c r="P198">
        <v>0</v>
      </c>
      <c r="Q198">
        <v>0</v>
      </c>
      <c r="R198" t="s">
        <v>46571</v>
      </c>
      <c r="S198" t="s">
        <v>46687</v>
      </c>
      <c r="T198" t="s">
        <v>48211</v>
      </c>
      <c r="U198" t="s">
        <v>48962</v>
      </c>
      <c r="W198" t="s">
        <v>42654</v>
      </c>
      <c r="X198" t="s">
        <v>46573</v>
      </c>
    </row>
    <row r="199" spans="1:24">
      <c r="A199">
        <f>HYPERLINK("https://www.philgeps.gov.ph/GEPSNONPILOT/Tender/SplashBidNoticeAbstractUI.aspx?menuIndex=3&amp;refID=7056022&amp;Result=3","7056022")</f>
        <v>0</v>
      </c>
      <c r="B199" t="s">
        <v>92</v>
      </c>
      <c r="C199" t="s">
        <v>3725</v>
      </c>
      <c r="D199" t="s">
        <v>18820</v>
      </c>
      <c r="E199" t="s">
        <v>19075</v>
      </c>
      <c r="F199" t="s">
        <v>32664</v>
      </c>
      <c r="G199" t="s">
        <v>32671</v>
      </c>
      <c r="H199" t="s">
        <v>12635</v>
      </c>
      <c r="I199" t="s">
        <v>6628</v>
      </c>
      <c r="J199" t="s">
        <v>32976</v>
      </c>
      <c r="K199" t="s">
        <v>42309</v>
      </c>
      <c r="M199" t="s">
        <v>42655</v>
      </c>
      <c r="N199" t="s">
        <v>46569</v>
      </c>
      <c r="O199" t="s">
        <v>46570</v>
      </c>
      <c r="P199">
        <v>0</v>
      </c>
      <c r="Q199">
        <v>0</v>
      </c>
      <c r="R199" t="s">
        <v>46571</v>
      </c>
      <c r="S199" t="s">
        <v>46687</v>
      </c>
      <c r="T199" t="s">
        <v>48221</v>
      </c>
      <c r="U199" t="s">
        <v>48963</v>
      </c>
      <c r="W199" t="s">
        <v>42655</v>
      </c>
      <c r="X199" t="s">
        <v>46577</v>
      </c>
    </row>
    <row r="200" spans="1:24">
      <c r="A200">
        <f>HYPERLINK("https://www.philgeps.gov.ph/GEPSNONPILOT/Tender/SplashBidNoticeAbstractUI.aspx?menuIndex=3&amp;refID=7062783&amp;Result=3","7062783")</f>
        <v>0</v>
      </c>
      <c r="B200" t="s">
        <v>93</v>
      </c>
      <c r="C200" t="s">
        <v>3726</v>
      </c>
      <c r="D200" t="s">
        <v>18799</v>
      </c>
      <c r="E200" t="s">
        <v>19076</v>
      </c>
      <c r="F200" t="s">
        <v>32664</v>
      </c>
      <c r="G200" t="s">
        <v>32675</v>
      </c>
      <c r="H200" t="s">
        <v>12635</v>
      </c>
      <c r="I200" t="s">
        <v>8730</v>
      </c>
      <c r="J200" t="s">
        <v>32987</v>
      </c>
      <c r="K200" t="s">
        <v>42289</v>
      </c>
      <c r="M200" t="s">
        <v>42656</v>
      </c>
      <c r="N200" t="s">
        <v>46569</v>
      </c>
      <c r="O200" t="s">
        <v>46570</v>
      </c>
      <c r="P200">
        <v>0</v>
      </c>
      <c r="Q200">
        <v>0</v>
      </c>
      <c r="R200" t="s">
        <v>46571</v>
      </c>
      <c r="S200" t="s">
        <v>46687</v>
      </c>
      <c r="T200" t="s">
        <v>48244</v>
      </c>
      <c r="U200" t="s">
        <v>48964</v>
      </c>
      <c r="W200" t="s">
        <v>42940</v>
      </c>
      <c r="X200" t="s">
        <v>46573</v>
      </c>
    </row>
    <row r="201" spans="1:24">
      <c r="A201">
        <f>HYPERLINK("https://www.philgeps.gov.ph/GEPSNONPILOT/Tender/SplashBidNoticeAbstractUI.aspx?menuIndex=3&amp;refID=7062723&amp;Result=3","7062723")</f>
        <v>0</v>
      </c>
      <c r="B201" t="s">
        <v>48</v>
      </c>
      <c r="C201" t="s">
        <v>3727</v>
      </c>
      <c r="D201" t="s">
        <v>18798</v>
      </c>
      <c r="E201" t="s">
        <v>19077</v>
      </c>
      <c r="F201" t="s">
        <v>32664</v>
      </c>
      <c r="G201" t="s">
        <v>32672</v>
      </c>
      <c r="H201" t="s">
        <v>12635</v>
      </c>
      <c r="I201" t="s">
        <v>6628</v>
      </c>
      <c r="J201" t="s">
        <v>32988</v>
      </c>
      <c r="K201" t="s">
        <v>42284</v>
      </c>
      <c r="M201" t="s">
        <v>42610</v>
      </c>
      <c r="N201" t="s">
        <v>46569</v>
      </c>
      <c r="O201" t="s">
        <v>46570</v>
      </c>
      <c r="P201">
        <v>0</v>
      </c>
      <c r="Q201">
        <v>1</v>
      </c>
      <c r="R201" t="s">
        <v>46571</v>
      </c>
      <c r="S201" t="s">
        <v>46687</v>
      </c>
      <c r="T201" t="s">
        <v>48232</v>
      </c>
      <c r="U201" t="s">
        <v>48965</v>
      </c>
      <c r="W201" t="s">
        <v>42610</v>
      </c>
      <c r="X201" t="s">
        <v>46573</v>
      </c>
    </row>
    <row r="202" spans="1:24">
      <c r="A202">
        <f>HYPERLINK("https://www.philgeps.gov.ph/GEPSNONPILOT/Tender/SplashBidNoticeAbstractUI.aspx?menuIndex=3&amp;refID=7062705&amp;Result=3","7062705")</f>
        <v>0</v>
      </c>
      <c r="B202" t="s">
        <v>77</v>
      </c>
      <c r="C202" t="s">
        <v>3728</v>
      </c>
      <c r="D202" t="s">
        <v>18784</v>
      </c>
      <c r="E202" t="s">
        <v>19078</v>
      </c>
      <c r="F202" t="s">
        <v>32664</v>
      </c>
      <c r="G202" t="s">
        <v>32671</v>
      </c>
      <c r="H202" t="s">
        <v>12635</v>
      </c>
      <c r="I202" t="s">
        <v>10374</v>
      </c>
      <c r="J202" t="s">
        <v>32989</v>
      </c>
      <c r="K202" t="s">
        <v>42284</v>
      </c>
      <c r="M202" t="s">
        <v>42640</v>
      </c>
      <c r="N202" t="s">
        <v>46569</v>
      </c>
      <c r="O202" t="s">
        <v>46570</v>
      </c>
      <c r="P202">
        <v>0</v>
      </c>
      <c r="Q202">
        <v>0</v>
      </c>
      <c r="R202" t="s">
        <v>46571</v>
      </c>
      <c r="S202" t="s">
        <v>46687</v>
      </c>
      <c r="T202" t="s">
        <v>48267</v>
      </c>
      <c r="U202" t="s">
        <v>48966</v>
      </c>
      <c r="V202" t="s">
        <v>61629</v>
      </c>
      <c r="W202" t="s">
        <v>42640</v>
      </c>
      <c r="X202" t="s">
        <v>46573</v>
      </c>
    </row>
    <row r="203" spans="1:24">
      <c r="A203">
        <f>HYPERLINK("https://www.philgeps.gov.ph/GEPSNONPILOT/Tender/SplashBidNoticeAbstractUI.aspx?menuIndex=3&amp;refID=7062715&amp;Result=3","7062715")</f>
        <v>0</v>
      </c>
      <c r="B203" t="s">
        <v>48</v>
      </c>
      <c r="C203" t="s">
        <v>3729</v>
      </c>
      <c r="D203" t="s">
        <v>18798</v>
      </c>
      <c r="E203" t="s">
        <v>19079</v>
      </c>
      <c r="F203" t="s">
        <v>32664</v>
      </c>
      <c r="G203" t="s">
        <v>32672</v>
      </c>
      <c r="H203" t="s">
        <v>12635</v>
      </c>
      <c r="I203" t="s">
        <v>10370</v>
      </c>
      <c r="J203" t="s">
        <v>32990</v>
      </c>
      <c r="K203" t="s">
        <v>42284</v>
      </c>
      <c r="M203" t="s">
        <v>42610</v>
      </c>
      <c r="N203" t="s">
        <v>46569</v>
      </c>
      <c r="O203" t="s">
        <v>46570</v>
      </c>
      <c r="P203">
        <v>0</v>
      </c>
      <c r="Q203">
        <v>0</v>
      </c>
      <c r="R203" t="s">
        <v>46571</v>
      </c>
      <c r="S203" t="s">
        <v>46687</v>
      </c>
      <c r="T203" t="s">
        <v>48232</v>
      </c>
      <c r="U203" t="s">
        <v>48967</v>
      </c>
      <c r="W203" t="s">
        <v>42610</v>
      </c>
      <c r="X203" t="s">
        <v>46573</v>
      </c>
    </row>
    <row r="204" spans="1:24">
      <c r="A204">
        <f>HYPERLINK("https://www.philgeps.gov.ph/GEPSNONPILOT/Tender/SplashBidNoticeAbstractUI.aspx?menuIndex=3&amp;refID=7062711&amp;Result=3","7062711")</f>
        <v>0</v>
      </c>
      <c r="B204" t="s">
        <v>55</v>
      </c>
      <c r="C204" t="s">
        <v>3730</v>
      </c>
      <c r="D204" t="s">
        <v>18804</v>
      </c>
      <c r="E204" t="s">
        <v>19080</v>
      </c>
      <c r="F204" t="s">
        <v>32664</v>
      </c>
      <c r="G204" t="s">
        <v>32672</v>
      </c>
      <c r="H204" t="s">
        <v>12635</v>
      </c>
      <c r="I204" t="s">
        <v>32694</v>
      </c>
      <c r="J204" t="s">
        <v>32991</v>
      </c>
      <c r="K204" t="s">
        <v>42281</v>
      </c>
      <c r="M204" t="s">
        <v>42617</v>
      </c>
      <c r="N204" t="s">
        <v>46569</v>
      </c>
      <c r="O204" t="s">
        <v>46570</v>
      </c>
      <c r="P204">
        <v>0</v>
      </c>
      <c r="Q204">
        <v>0</v>
      </c>
      <c r="R204" t="s">
        <v>46571</v>
      </c>
      <c r="S204" t="s">
        <v>46687</v>
      </c>
      <c r="T204" t="s">
        <v>48230</v>
      </c>
      <c r="U204" t="s">
        <v>48968</v>
      </c>
      <c r="W204" t="s">
        <v>42617</v>
      </c>
      <c r="X204" t="s">
        <v>46573</v>
      </c>
    </row>
    <row r="205" spans="1:24">
      <c r="A205">
        <f>HYPERLINK("https://www.philgeps.gov.ph/GEPSNONPILOT/Tender/SplashBidNoticeAbstractUI.aspx?menuIndex=3&amp;refID=7063380&amp;Result=3","7063380")</f>
        <v>0</v>
      </c>
      <c r="B205" t="s">
        <v>94</v>
      </c>
      <c r="C205" t="s">
        <v>3731</v>
      </c>
      <c r="D205" t="s">
        <v>18804</v>
      </c>
      <c r="E205" t="s">
        <v>19081</v>
      </c>
      <c r="F205" t="s">
        <v>32664</v>
      </c>
      <c r="G205" t="s">
        <v>32671</v>
      </c>
      <c r="H205" t="s">
        <v>12635</v>
      </c>
      <c r="I205" t="s">
        <v>8730</v>
      </c>
      <c r="J205" t="s">
        <v>32992</v>
      </c>
      <c r="K205" t="s">
        <v>42281</v>
      </c>
      <c r="M205" t="s">
        <v>42657</v>
      </c>
      <c r="N205" t="s">
        <v>46569</v>
      </c>
      <c r="O205" t="s">
        <v>46570</v>
      </c>
      <c r="P205">
        <v>0</v>
      </c>
      <c r="Q205">
        <v>3</v>
      </c>
      <c r="R205" t="s">
        <v>46571</v>
      </c>
      <c r="S205" t="s">
        <v>46687</v>
      </c>
      <c r="T205" t="s">
        <v>48268</v>
      </c>
      <c r="U205" t="s">
        <v>48969</v>
      </c>
      <c r="W205" t="s">
        <v>42657</v>
      </c>
      <c r="X205" t="s">
        <v>46573</v>
      </c>
    </row>
    <row r="206" spans="1:24">
      <c r="A206">
        <f>HYPERLINK("https://www.philgeps.gov.ph/GEPSNONPILOT/Tender/SplashBidNoticeAbstractUI.aspx?menuIndex=3&amp;refID=7063397&amp;Result=3","7063397")</f>
        <v>0</v>
      </c>
      <c r="B206" t="s">
        <v>95</v>
      </c>
      <c r="C206" t="s">
        <v>3732</v>
      </c>
      <c r="D206" t="s">
        <v>18807</v>
      </c>
      <c r="E206" t="s">
        <v>19082</v>
      </c>
      <c r="F206" t="s">
        <v>32664</v>
      </c>
      <c r="G206" t="s">
        <v>32672</v>
      </c>
      <c r="H206" t="s">
        <v>12635</v>
      </c>
      <c r="I206" t="s">
        <v>32694</v>
      </c>
      <c r="J206" t="s">
        <v>32993</v>
      </c>
      <c r="K206" t="s">
        <v>42281</v>
      </c>
      <c r="M206" t="s">
        <v>42658</v>
      </c>
      <c r="N206" t="s">
        <v>46569</v>
      </c>
      <c r="O206" t="s">
        <v>46570</v>
      </c>
      <c r="P206">
        <v>0</v>
      </c>
      <c r="Q206">
        <v>0</v>
      </c>
      <c r="R206" t="s">
        <v>46571</v>
      </c>
      <c r="S206" t="s">
        <v>46687</v>
      </c>
      <c r="T206" t="s">
        <v>48230</v>
      </c>
      <c r="U206" t="s">
        <v>48970</v>
      </c>
      <c r="W206" t="s">
        <v>42658</v>
      </c>
      <c r="X206" t="s">
        <v>46573</v>
      </c>
    </row>
    <row r="207" spans="1:24">
      <c r="A207">
        <f>HYPERLINK("https://www.philgeps.gov.ph/GEPSNONPILOT/Tender/SplashBidNoticeAbstractUI.aspx?menuIndex=3&amp;refID=7062709&amp;Result=3","7062709")</f>
        <v>0</v>
      </c>
      <c r="B207" t="s">
        <v>48</v>
      </c>
      <c r="C207" t="s">
        <v>3733</v>
      </c>
      <c r="D207" t="s">
        <v>18798</v>
      </c>
      <c r="E207" t="s">
        <v>19083</v>
      </c>
      <c r="F207" t="s">
        <v>32664</v>
      </c>
      <c r="G207" t="s">
        <v>32672</v>
      </c>
      <c r="H207" t="s">
        <v>12635</v>
      </c>
      <c r="I207" t="s">
        <v>32684</v>
      </c>
      <c r="J207" t="s">
        <v>32994</v>
      </c>
      <c r="K207" t="s">
        <v>42284</v>
      </c>
      <c r="M207" t="s">
        <v>42610</v>
      </c>
      <c r="N207" t="s">
        <v>46569</v>
      </c>
      <c r="O207" t="s">
        <v>46570</v>
      </c>
      <c r="P207">
        <v>0</v>
      </c>
      <c r="Q207">
        <v>3</v>
      </c>
      <c r="R207" t="s">
        <v>46571</v>
      </c>
      <c r="S207" t="s">
        <v>46687</v>
      </c>
      <c r="T207" t="s">
        <v>48232</v>
      </c>
      <c r="U207" t="s">
        <v>48971</v>
      </c>
      <c r="W207" t="s">
        <v>42610</v>
      </c>
      <c r="X207" t="s">
        <v>46573</v>
      </c>
    </row>
    <row r="208" spans="1:24">
      <c r="A208">
        <f>HYPERLINK("https://www.philgeps.gov.ph/GEPSNONPILOT/Tender/SplashBidNoticeAbstractUI.aspx?menuIndex=3&amp;refID=7062745&amp;Result=3","7062745")</f>
        <v>0</v>
      </c>
      <c r="B208" t="s">
        <v>76</v>
      </c>
      <c r="C208" t="s">
        <v>3734</v>
      </c>
      <c r="D208" t="s">
        <v>18781</v>
      </c>
      <c r="E208" t="s">
        <v>19084</v>
      </c>
      <c r="F208" t="s">
        <v>32664</v>
      </c>
      <c r="G208" t="s">
        <v>32672</v>
      </c>
      <c r="H208" t="s">
        <v>12635</v>
      </c>
      <c r="I208" t="s">
        <v>10590</v>
      </c>
      <c r="J208" t="s">
        <v>32995</v>
      </c>
      <c r="K208" t="s">
        <v>42298</v>
      </c>
      <c r="M208" t="s">
        <v>42639</v>
      </c>
      <c r="N208" t="s">
        <v>46569</v>
      </c>
      <c r="O208" t="s">
        <v>46570</v>
      </c>
      <c r="P208">
        <v>0</v>
      </c>
      <c r="Q208">
        <v>0</v>
      </c>
      <c r="R208" t="s">
        <v>46571</v>
      </c>
      <c r="S208" t="s">
        <v>46687</v>
      </c>
      <c r="T208" t="s">
        <v>48269</v>
      </c>
      <c r="U208" t="s">
        <v>48972</v>
      </c>
      <c r="W208" t="s">
        <v>42639</v>
      </c>
      <c r="X208" t="s">
        <v>46573</v>
      </c>
    </row>
    <row r="209" spans="1:24">
      <c r="A209">
        <f>HYPERLINK("https://www.philgeps.gov.ph/GEPSNONPILOT/Tender/SplashBidNoticeAbstractUI.aspx?menuIndex=3&amp;refID=7063330&amp;Result=3","7063330")</f>
        <v>0</v>
      </c>
      <c r="B209" t="s">
        <v>96</v>
      </c>
      <c r="C209" t="s">
        <v>3735</v>
      </c>
      <c r="D209" t="s">
        <v>18786</v>
      </c>
      <c r="E209" t="s">
        <v>19085</v>
      </c>
      <c r="F209" t="s">
        <v>32664</v>
      </c>
      <c r="G209" t="s">
        <v>32674</v>
      </c>
      <c r="H209" t="s">
        <v>12635</v>
      </c>
      <c r="I209" t="s">
        <v>14442</v>
      </c>
      <c r="J209" t="s">
        <v>32996</v>
      </c>
      <c r="K209" t="s">
        <v>42281</v>
      </c>
      <c r="M209" t="s">
        <v>42659</v>
      </c>
      <c r="N209" t="s">
        <v>46569</v>
      </c>
      <c r="O209" t="s">
        <v>46570</v>
      </c>
      <c r="P209">
        <v>0</v>
      </c>
      <c r="Q209">
        <v>7</v>
      </c>
      <c r="R209" t="s">
        <v>46571</v>
      </c>
      <c r="S209" t="s">
        <v>46687</v>
      </c>
      <c r="T209" t="s">
        <v>48268</v>
      </c>
      <c r="U209" t="s">
        <v>48973</v>
      </c>
      <c r="W209" t="s">
        <v>42659</v>
      </c>
      <c r="X209" t="s">
        <v>46573</v>
      </c>
    </row>
    <row r="210" spans="1:24">
      <c r="A210">
        <f>HYPERLINK("https://www.philgeps.gov.ph/GEPSNONPILOT/Tender/SplashBidNoticeAbstractUI.aspx?menuIndex=3&amp;refID=7063311&amp;Result=3","7063311")</f>
        <v>0</v>
      </c>
      <c r="B210" t="s">
        <v>97</v>
      </c>
      <c r="C210" t="s">
        <v>3736</v>
      </c>
      <c r="D210" t="s">
        <v>18798</v>
      </c>
      <c r="E210" t="s">
        <v>19086</v>
      </c>
      <c r="F210" t="s">
        <v>32664</v>
      </c>
      <c r="G210" t="s">
        <v>32672</v>
      </c>
      <c r="H210" t="s">
        <v>32683</v>
      </c>
      <c r="I210" t="s">
        <v>10627</v>
      </c>
      <c r="J210" t="s">
        <v>32962</v>
      </c>
      <c r="K210" t="s">
        <v>42318</v>
      </c>
      <c r="M210" t="s">
        <v>42660</v>
      </c>
      <c r="N210" t="s">
        <v>46569</v>
      </c>
      <c r="O210" t="s">
        <v>46570</v>
      </c>
      <c r="P210">
        <v>0</v>
      </c>
      <c r="Q210">
        <v>0</v>
      </c>
      <c r="R210" t="s">
        <v>46571</v>
      </c>
      <c r="S210" t="s">
        <v>46687</v>
      </c>
      <c r="T210" t="s">
        <v>48270</v>
      </c>
      <c r="U210" t="s">
        <v>48974</v>
      </c>
      <c r="W210" t="s">
        <v>42660</v>
      </c>
      <c r="X210" t="s">
        <v>46573</v>
      </c>
    </row>
    <row r="211" spans="1:24">
      <c r="A211">
        <f>HYPERLINK("https://www.philgeps.gov.ph/GEPSNONPILOT/Tender/SplashBidNoticeAbstractUI.aspx?menuIndex=3&amp;refID=7062736&amp;Result=3","7062736")</f>
        <v>0</v>
      </c>
      <c r="B211" t="s">
        <v>98</v>
      </c>
      <c r="C211" t="s">
        <v>3737</v>
      </c>
      <c r="D211" t="s">
        <v>18784</v>
      </c>
      <c r="E211" t="s">
        <v>19087</v>
      </c>
      <c r="F211" t="s">
        <v>32664</v>
      </c>
      <c r="G211" t="s">
        <v>32672</v>
      </c>
      <c r="H211" t="s">
        <v>12635</v>
      </c>
      <c r="I211" t="s">
        <v>6223</v>
      </c>
      <c r="J211" t="s">
        <v>32997</v>
      </c>
      <c r="K211" t="s">
        <v>42309</v>
      </c>
      <c r="M211" t="s">
        <v>42661</v>
      </c>
      <c r="N211" t="s">
        <v>46569</v>
      </c>
      <c r="O211" t="s">
        <v>46570</v>
      </c>
      <c r="P211">
        <v>0</v>
      </c>
      <c r="Q211">
        <v>0</v>
      </c>
      <c r="R211" t="s">
        <v>46571</v>
      </c>
      <c r="S211" t="s">
        <v>46687</v>
      </c>
      <c r="T211" t="s">
        <v>48245</v>
      </c>
      <c r="U211" t="s">
        <v>48975</v>
      </c>
      <c r="W211" t="s">
        <v>42661</v>
      </c>
      <c r="X211" t="s">
        <v>46573</v>
      </c>
    </row>
    <row r="212" spans="1:24">
      <c r="A212">
        <f>HYPERLINK("https://www.philgeps.gov.ph/GEPSNONPILOT/Tender/SplashBidNoticeAbstractUI.aspx?menuIndex=3&amp;refID=7063383&amp;Result=3","7063383")</f>
        <v>0</v>
      </c>
      <c r="B212" t="s">
        <v>97</v>
      </c>
      <c r="C212" t="s">
        <v>3738</v>
      </c>
      <c r="D212" t="s">
        <v>18798</v>
      </c>
      <c r="E212" t="s">
        <v>19088</v>
      </c>
      <c r="F212" t="s">
        <v>32664</v>
      </c>
      <c r="G212" t="s">
        <v>32672</v>
      </c>
      <c r="H212" t="s">
        <v>32683</v>
      </c>
      <c r="I212" t="s">
        <v>10627</v>
      </c>
      <c r="J212" t="s">
        <v>32998</v>
      </c>
      <c r="K212" t="s">
        <v>42319</v>
      </c>
      <c r="M212" t="s">
        <v>42660</v>
      </c>
      <c r="N212" t="s">
        <v>46569</v>
      </c>
      <c r="O212" t="s">
        <v>46570</v>
      </c>
      <c r="P212">
        <v>0</v>
      </c>
      <c r="Q212">
        <v>0</v>
      </c>
      <c r="R212" t="s">
        <v>46571</v>
      </c>
      <c r="S212" t="s">
        <v>46687</v>
      </c>
      <c r="T212" t="s">
        <v>48270</v>
      </c>
      <c r="U212" t="s">
        <v>48976</v>
      </c>
      <c r="W212" t="s">
        <v>42660</v>
      </c>
      <c r="X212" t="s">
        <v>46573</v>
      </c>
    </row>
    <row r="213" spans="1:24">
      <c r="A213">
        <f>HYPERLINK("https://www.philgeps.gov.ph/GEPSNONPILOT/Tender/SplashBidNoticeAbstractUI.aspx?menuIndex=3&amp;refID=7063297&amp;Result=3","7063297")</f>
        <v>0</v>
      </c>
      <c r="B213" t="s">
        <v>99</v>
      </c>
      <c r="C213" t="s">
        <v>3739</v>
      </c>
      <c r="D213" t="s">
        <v>18814</v>
      </c>
      <c r="E213" t="s">
        <v>19089</v>
      </c>
      <c r="F213" t="s">
        <v>32664</v>
      </c>
      <c r="G213" t="s">
        <v>32671</v>
      </c>
      <c r="H213" t="s">
        <v>12635</v>
      </c>
      <c r="I213" t="s">
        <v>32686</v>
      </c>
      <c r="J213" t="s">
        <v>32999</v>
      </c>
      <c r="K213" t="s">
        <v>42284</v>
      </c>
      <c r="M213" t="s">
        <v>42662</v>
      </c>
      <c r="N213" t="s">
        <v>46569</v>
      </c>
      <c r="O213" t="s">
        <v>46570</v>
      </c>
      <c r="P213">
        <v>0</v>
      </c>
      <c r="Q213">
        <v>2</v>
      </c>
      <c r="R213" t="s">
        <v>46571</v>
      </c>
      <c r="S213" t="s">
        <v>46687</v>
      </c>
      <c r="T213" t="s">
        <v>48271</v>
      </c>
      <c r="U213" t="s">
        <v>48977</v>
      </c>
      <c r="W213" t="s">
        <v>42662</v>
      </c>
      <c r="X213" t="s">
        <v>46573</v>
      </c>
    </row>
    <row r="214" spans="1:24">
      <c r="A214">
        <f>HYPERLINK("https://www.philgeps.gov.ph/GEPSNONPILOT/Tender/SplashBidNoticeAbstractUI.aspx?menuIndex=3&amp;refID=7059873&amp;Result=3","7059873")</f>
        <v>0</v>
      </c>
      <c r="B214" t="s">
        <v>63</v>
      </c>
      <c r="C214" t="s">
        <v>3740</v>
      </c>
      <c r="E214" t="s">
        <v>19090</v>
      </c>
      <c r="F214" t="s">
        <v>32664</v>
      </c>
      <c r="G214" t="s">
        <v>32671</v>
      </c>
      <c r="H214" t="s">
        <v>32683</v>
      </c>
      <c r="I214" t="s">
        <v>10627</v>
      </c>
      <c r="J214" t="s">
        <v>33000</v>
      </c>
      <c r="K214" t="s">
        <v>42281</v>
      </c>
      <c r="M214" t="s">
        <v>42626</v>
      </c>
      <c r="N214" t="s">
        <v>46569</v>
      </c>
      <c r="O214" t="s">
        <v>46570</v>
      </c>
      <c r="P214">
        <v>0</v>
      </c>
      <c r="Q214">
        <v>0</v>
      </c>
      <c r="R214" t="s">
        <v>46571</v>
      </c>
      <c r="S214" t="s">
        <v>46687</v>
      </c>
      <c r="T214" t="s">
        <v>48247</v>
      </c>
      <c r="U214" t="s">
        <v>48978</v>
      </c>
      <c r="W214" t="s">
        <v>63464</v>
      </c>
      <c r="X214" t="s">
        <v>46574</v>
      </c>
    </row>
    <row r="215" spans="1:24">
      <c r="A215">
        <f>HYPERLINK("https://www.philgeps.gov.ph/GEPSNONPILOT/Tender/SplashBidNoticeAbstractUI.aspx?menuIndex=3&amp;refID=7063235&amp;Result=3","7063235")</f>
        <v>0</v>
      </c>
      <c r="B215" t="s">
        <v>97</v>
      </c>
      <c r="C215" t="s">
        <v>3741</v>
      </c>
      <c r="D215" t="s">
        <v>18798</v>
      </c>
      <c r="E215" t="s">
        <v>19091</v>
      </c>
      <c r="F215" t="s">
        <v>32664</v>
      </c>
      <c r="G215" t="s">
        <v>32672</v>
      </c>
      <c r="H215" t="s">
        <v>12635</v>
      </c>
      <c r="I215" t="s">
        <v>11464</v>
      </c>
      <c r="J215" t="s">
        <v>33001</v>
      </c>
      <c r="K215" t="s">
        <v>42289</v>
      </c>
      <c r="M215" t="s">
        <v>42660</v>
      </c>
      <c r="N215" t="s">
        <v>46569</v>
      </c>
      <c r="O215" t="s">
        <v>46570</v>
      </c>
      <c r="P215">
        <v>0</v>
      </c>
      <c r="Q215">
        <v>3</v>
      </c>
      <c r="R215" t="s">
        <v>46571</v>
      </c>
      <c r="S215" t="s">
        <v>46687</v>
      </c>
      <c r="T215" t="s">
        <v>48270</v>
      </c>
      <c r="U215" t="s">
        <v>48979</v>
      </c>
      <c r="W215" t="s">
        <v>42660</v>
      </c>
      <c r="X215" t="s">
        <v>46573</v>
      </c>
    </row>
    <row r="216" spans="1:24">
      <c r="A216">
        <f>HYPERLINK("https://www.philgeps.gov.ph/GEPSNONPILOT/Tender/SplashBidNoticeAbstractUI.aspx?menuIndex=3&amp;refID=7063290&amp;Result=3","7063290")</f>
        <v>0</v>
      </c>
      <c r="B216" t="s">
        <v>97</v>
      </c>
      <c r="C216" t="s">
        <v>3742</v>
      </c>
      <c r="D216" t="s">
        <v>18798</v>
      </c>
      <c r="E216" t="s">
        <v>19092</v>
      </c>
      <c r="F216" t="s">
        <v>32664</v>
      </c>
      <c r="G216" t="s">
        <v>32672</v>
      </c>
      <c r="H216" t="s">
        <v>32683</v>
      </c>
      <c r="I216" t="s">
        <v>10627</v>
      </c>
      <c r="J216" t="s">
        <v>32962</v>
      </c>
      <c r="K216" t="s">
        <v>42320</v>
      </c>
      <c r="M216" t="s">
        <v>42660</v>
      </c>
      <c r="N216" t="s">
        <v>46569</v>
      </c>
      <c r="O216" t="s">
        <v>46570</v>
      </c>
      <c r="P216">
        <v>0</v>
      </c>
      <c r="Q216">
        <v>0</v>
      </c>
      <c r="R216" t="s">
        <v>46571</v>
      </c>
      <c r="S216" t="s">
        <v>46687</v>
      </c>
      <c r="T216" t="s">
        <v>48270</v>
      </c>
      <c r="U216" t="s">
        <v>48980</v>
      </c>
      <c r="W216" t="s">
        <v>42660</v>
      </c>
      <c r="X216" t="s">
        <v>46573</v>
      </c>
    </row>
    <row r="217" spans="1:24">
      <c r="A217">
        <f>HYPERLINK("https://www.philgeps.gov.ph/GEPSNONPILOT/Tender/SplashBidNoticeAbstractUI.aspx?menuIndex=3&amp;refID=7063176&amp;Result=3","7063176")</f>
        <v>0</v>
      </c>
      <c r="B217" t="s">
        <v>95</v>
      </c>
      <c r="C217" t="s">
        <v>3743</v>
      </c>
      <c r="D217" t="s">
        <v>18807</v>
      </c>
      <c r="E217" t="s">
        <v>19093</v>
      </c>
      <c r="F217" t="s">
        <v>32664</v>
      </c>
      <c r="G217" t="s">
        <v>32672</v>
      </c>
      <c r="H217" t="s">
        <v>12635</v>
      </c>
      <c r="I217" t="s">
        <v>6628</v>
      </c>
      <c r="J217" t="s">
        <v>32982</v>
      </c>
      <c r="K217" t="s">
        <v>42281</v>
      </c>
      <c r="M217" t="s">
        <v>42658</v>
      </c>
      <c r="N217" t="s">
        <v>46569</v>
      </c>
      <c r="O217" t="s">
        <v>46570</v>
      </c>
      <c r="P217">
        <v>0</v>
      </c>
      <c r="Q217">
        <v>6</v>
      </c>
      <c r="R217" t="s">
        <v>46571</v>
      </c>
      <c r="S217" t="s">
        <v>46687</v>
      </c>
      <c r="T217" t="s">
        <v>48230</v>
      </c>
      <c r="U217" t="s">
        <v>48981</v>
      </c>
      <c r="W217" t="s">
        <v>42658</v>
      </c>
      <c r="X217" t="s">
        <v>46573</v>
      </c>
    </row>
    <row r="218" spans="1:24">
      <c r="A218">
        <f>HYPERLINK("https://www.philgeps.gov.ph/GEPSNONPILOT/Tender/SplashBidNoticeAbstractUI.aspx?menuIndex=3&amp;refID=7063304&amp;Result=3","7063304")</f>
        <v>0</v>
      </c>
      <c r="B218" t="s">
        <v>100</v>
      </c>
      <c r="C218" t="s">
        <v>3744</v>
      </c>
      <c r="E218" t="s">
        <v>19094</v>
      </c>
      <c r="F218" t="s">
        <v>32664</v>
      </c>
      <c r="G218" t="s">
        <v>32672</v>
      </c>
      <c r="H218" t="s">
        <v>12635</v>
      </c>
      <c r="I218" t="s">
        <v>32701</v>
      </c>
      <c r="J218" t="s">
        <v>33002</v>
      </c>
      <c r="K218" t="s">
        <v>42283</v>
      </c>
      <c r="M218" t="s">
        <v>42663</v>
      </c>
      <c r="N218" t="s">
        <v>46569</v>
      </c>
      <c r="O218" t="s">
        <v>46570</v>
      </c>
      <c r="P218">
        <v>0</v>
      </c>
      <c r="Q218">
        <v>2</v>
      </c>
      <c r="R218" t="s">
        <v>46571</v>
      </c>
      <c r="S218" t="s">
        <v>46687</v>
      </c>
      <c r="T218" t="s">
        <v>48253</v>
      </c>
      <c r="U218" t="s">
        <v>48982</v>
      </c>
      <c r="W218" t="s">
        <v>42663</v>
      </c>
      <c r="X218" t="s">
        <v>46573</v>
      </c>
    </row>
    <row r="219" spans="1:24">
      <c r="A219">
        <f>HYPERLINK("https://www.philgeps.gov.ph/GEPSNONPILOT/Tender/SplashBidNoticeAbstractUI.aspx?menuIndex=3&amp;refID=7063082&amp;Result=3","7063082")</f>
        <v>0</v>
      </c>
      <c r="B219" t="s">
        <v>81</v>
      </c>
      <c r="C219" t="s">
        <v>3745</v>
      </c>
      <c r="D219" t="s">
        <v>18818</v>
      </c>
      <c r="E219" t="s">
        <v>19095</v>
      </c>
      <c r="F219" t="s">
        <v>32664</v>
      </c>
      <c r="G219" t="s">
        <v>32672</v>
      </c>
      <c r="H219" t="s">
        <v>12635</v>
      </c>
      <c r="I219" t="s">
        <v>4439</v>
      </c>
      <c r="J219" t="s">
        <v>33003</v>
      </c>
      <c r="K219" t="s">
        <v>42283</v>
      </c>
      <c r="M219" t="s">
        <v>42644</v>
      </c>
      <c r="N219" t="s">
        <v>46569</v>
      </c>
      <c r="O219" t="s">
        <v>46570</v>
      </c>
      <c r="P219">
        <v>0</v>
      </c>
      <c r="Q219">
        <v>0</v>
      </c>
      <c r="R219" t="s">
        <v>46571</v>
      </c>
      <c r="S219" t="s">
        <v>46687</v>
      </c>
      <c r="T219" t="s">
        <v>48260</v>
      </c>
      <c r="U219" t="s">
        <v>48983</v>
      </c>
      <c r="V219" t="s">
        <v>61634</v>
      </c>
      <c r="W219" t="s">
        <v>42644</v>
      </c>
      <c r="X219" t="s">
        <v>46573</v>
      </c>
    </row>
    <row r="220" spans="1:24">
      <c r="A220">
        <f>HYPERLINK("https://www.philgeps.gov.ph/GEPSNONPILOT/Tender/SplashBidNoticeAbstractUI.aspx?menuIndex=3&amp;refID=7063076&amp;Result=3","7063076")</f>
        <v>0</v>
      </c>
      <c r="B220" t="s">
        <v>101</v>
      </c>
      <c r="C220" t="s">
        <v>3746</v>
      </c>
      <c r="D220" t="s">
        <v>18821</v>
      </c>
      <c r="E220" t="s">
        <v>19096</v>
      </c>
      <c r="F220" t="s">
        <v>32664</v>
      </c>
      <c r="G220" t="s">
        <v>32671</v>
      </c>
      <c r="H220" t="s">
        <v>12635</v>
      </c>
      <c r="I220" t="s">
        <v>32694</v>
      </c>
      <c r="J220" t="s">
        <v>33004</v>
      </c>
      <c r="K220" t="s">
        <v>42281</v>
      </c>
      <c r="M220" t="s">
        <v>42664</v>
      </c>
      <c r="N220" t="s">
        <v>46569</v>
      </c>
      <c r="O220" t="s">
        <v>46570</v>
      </c>
      <c r="P220">
        <v>0</v>
      </c>
      <c r="Q220">
        <v>0</v>
      </c>
      <c r="R220" t="s">
        <v>46571</v>
      </c>
      <c r="S220" t="s">
        <v>46687</v>
      </c>
      <c r="T220" t="s">
        <v>48267</v>
      </c>
      <c r="U220" t="s">
        <v>48984</v>
      </c>
      <c r="W220" t="s">
        <v>42664</v>
      </c>
      <c r="X220" t="s">
        <v>46573</v>
      </c>
    </row>
    <row r="221" spans="1:24">
      <c r="A221">
        <f>HYPERLINK("https://www.philgeps.gov.ph/GEPSNONPILOT/Tender/SplashBidNoticeAbstractUI.aspx?menuIndex=3&amp;refID=7063013&amp;Result=3","7063013")</f>
        <v>0</v>
      </c>
      <c r="B221" t="s">
        <v>44</v>
      </c>
      <c r="C221" t="s">
        <v>3747</v>
      </c>
      <c r="D221" t="s">
        <v>18795</v>
      </c>
      <c r="E221" t="s">
        <v>19097</v>
      </c>
      <c r="F221" t="s">
        <v>32664</v>
      </c>
      <c r="G221" t="s">
        <v>32672</v>
      </c>
      <c r="H221" t="s">
        <v>12635</v>
      </c>
      <c r="I221" t="s">
        <v>13883</v>
      </c>
      <c r="J221" t="s">
        <v>33005</v>
      </c>
      <c r="K221" t="s">
        <v>42297</v>
      </c>
      <c r="M221" t="s">
        <v>42606</v>
      </c>
      <c r="N221" t="s">
        <v>46569</v>
      </c>
      <c r="O221" t="s">
        <v>46570</v>
      </c>
      <c r="P221">
        <v>0</v>
      </c>
      <c r="Q221">
        <v>0</v>
      </c>
      <c r="R221" t="s">
        <v>46571</v>
      </c>
      <c r="S221" t="s">
        <v>46687</v>
      </c>
      <c r="T221" t="s">
        <v>48226</v>
      </c>
      <c r="U221" t="s">
        <v>48985</v>
      </c>
      <c r="W221" t="s">
        <v>42606</v>
      </c>
      <c r="X221" t="s">
        <v>46573</v>
      </c>
    </row>
    <row r="222" spans="1:24">
      <c r="A222">
        <f>HYPERLINK("https://www.philgeps.gov.ph/GEPSNONPILOT/Tender/SplashBidNoticeAbstractUI.aspx?menuIndex=3&amp;refID=7063242&amp;Result=3","7063242")</f>
        <v>0</v>
      </c>
      <c r="B222" t="s">
        <v>81</v>
      </c>
      <c r="C222" t="s">
        <v>3748</v>
      </c>
      <c r="D222" t="s">
        <v>18818</v>
      </c>
      <c r="E222" t="s">
        <v>19098</v>
      </c>
      <c r="F222" t="s">
        <v>32664</v>
      </c>
      <c r="G222" t="s">
        <v>32672</v>
      </c>
      <c r="H222" t="s">
        <v>12635</v>
      </c>
      <c r="I222" t="s">
        <v>4439</v>
      </c>
      <c r="J222" t="s">
        <v>33006</v>
      </c>
      <c r="K222" t="s">
        <v>42283</v>
      </c>
      <c r="M222" t="s">
        <v>42665</v>
      </c>
      <c r="N222" t="s">
        <v>46569</v>
      </c>
      <c r="O222" t="s">
        <v>46570</v>
      </c>
      <c r="P222">
        <v>0</v>
      </c>
      <c r="Q222">
        <v>0</v>
      </c>
      <c r="R222" t="s">
        <v>46571</v>
      </c>
      <c r="S222" t="s">
        <v>46687</v>
      </c>
      <c r="T222" t="s">
        <v>48260</v>
      </c>
      <c r="U222" t="s">
        <v>48986</v>
      </c>
      <c r="V222" t="s">
        <v>61635</v>
      </c>
      <c r="W222" t="s">
        <v>42665</v>
      </c>
      <c r="X222" t="s">
        <v>46573</v>
      </c>
    </row>
    <row r="223" spans="1:24">
      <c r="A223">
        <f>HYPERLINK("https://www.philgeps.gov.ph/GEPSNONPILOT/Tender/SplashBidNoticeAbstractUI.aspx?menuIndex=3&amp;refID=7063247&amp;Result=3","7063247")</f>
        <v>0</v>
      </c>
      <c r="B223" t="s">
        <v>102</v>
      </c>
      <c r="C223" t="s">
        <v>3749</v>
      </c>
      <c r="D223" t="s">
        <v>18788</v>
      </c>
      <c r="E223" t="s">
        <v>19099</v>
      </c>
      <c r="F223" t="s">
        <v>32664</v>
      </c>
      <c r="G223" t="s">
        <v>32671</v>
      </c>
      <c r="H223" t="s">
        <v>12635</v>
      </c>
      <c r="I223" t="s">
        <v>32694</v>
      </c>
      <c r="J223" t="s">
        <v>33007</v>
      </c>
      <c r="K223" t="s">
        <v>42284</v>
      </c>
      <c r="M223" t="s">
        <v>42666</v>
      </c>
      <c r="N223" t="s">
        <v>46569</v>
      </c>
      <c r="O223" t="s">
        <v>46570</v>
      </c>
      <c r="P223">
        <v>0</v>
      </c>
      <c r="Q223">
        <v>0</v>
      </c>
      <c r="R223" t="s">
        <v>46571</v>
      </c>
      <c r="S223" t="s">
        <v>46687</v>
      </c>
      <c r="T223" t="s">
        <v>48221</v>
      </c>
      <c r="U223" t="s">
        <v>48987</v>
      </c>
      <c r="W223" t="s">
        <v>42666</v>
      </c>
      <c r="X223" t="s">
        <v>46573</v>
      </c>
    </row>
    <row r="224" spans="1:24">
      <c r="A224">
        <f>HYPERLINK("https://www.philgeps.gov.ph/GEPSNONPILOT/Tender/SplashBidNoticeAbstractUI.aspx?menuIndex=3&amp;refID=7063201&amp;Result=3","7063201")</f>
        <v>0</v>
      </c>
      <c r="B224" t="s">
        <v>103</v>
      </c>
      <c r="C224" t="s">
        <v>3750</v>
      </c>
      <c r="D224" t="s">
        <v>18822</v>
      </c>
      <c r="E224" t="s">
        <v>19100</v>
      </c>
      <c r="F224" t="s">
        <v>32664</v>
      </c>
      <c r="G224" t="s">
        <v>32672</v>
      </c>
      <c r="H224" t="s">
        <v>32683</v>
      </c>
      <c r="I224" t="s">
        <v>10627</v>
      </c>
      <c r="J224" t="s">
        <v>33008</v>
      </c>
      <c r="K224" t="s">
        <v>42290</v>
      </c>
      <c r="M224" t="s">
        <v>42667</v>
      </c>
      <c r="N224" t="s">
        <v>46569</v>
      </c>
      <c r="O224" t="s">
        <v>46570</v>
      </c>
      <c r="P224">
        <v>0</v>
      </c>
      <c r="Q224">
        <v>0</v>
      </c>
      <c r="R224" t="s">
        <v>46571</v>
      </c>
      <c r="S224" t="s">
        <v>46687</v>
      </c>
      <c r="T224" t="s">
        <v>48216</v>
      </c>
      <c r="U224" t="s">
        <v>48988</v>
      </c>
      <c r="W224" t="s">
        <v>42667</v>
      </c>
      <c r="X224" t="s">
        <v>46573</v>
      </c>
    </row>
    <row r="225" spans="1:24">
      <c r="A225">
        <f>HYPERLINK("https://www.philgeps.gov.ph/GEPSNONPILOT/Tender/SplashBidNoticeAbstractUI.aspx?menuIndex=3&amp;refID=7062940&amp;Result=3","7062940")</f>
        <v>0</v>
      </c>
      <c r="B225" t="s">
        <v>57</v>
      </c>
      <c r="C225" t="s">
        <v>3751</v>
      </c>
      <c r="D225" t="s">
        <v>18806</v>
      </c>
      <c r="E225" t="s">
        <v>19101</v>
      </c>
      <c r="F225" t="s">
        <v>32664</v>
      </c>
      <c r="G225" t="s">
        <v>32672</v>
      </c>
      <c r="H225" t="s">
        <v>32683</v>
      </c>
      <c r="I225" t="s">
        <v>10627</v>
      </c>
      <c r="J225" t="s">
        <v>33009</v>
      </c>
      <c r="K225" t="s">
        <v>42290</v>
      </c>
      <c r="M225" t="s">
        <v>42619</v>
      </c>
      <c r="N225" t="s">
        <v>46569</v>
      </c>
      <c r="O225" t="s">
        <v>46570</v>
      </c>
      <c r="P225">
        <v>0</v>
      </c>
      <c r="Q225">
        <v>0</v>
      </c>
      <c r="R225" t="s">
        <v>46571</v>
      </c>
      <c r="S225" t="s">
        <v>46687</v>
      </c>
      <c r="T225" t="s">
        <v>48253</v>
      </c>
      <c r="U225" t="s">
        <v>48989</v>
      </c>
      <c r="W225" t="s">
        <v>42619</v>
      </c>
      <c r="X225" t="s">
        <v>46573</v>
      </c>
    </row>
    <row r="226" spans="1:24">
      <c r="A226">
        <f>HYPERLINK("https://www.philgeps.gov.ph/GEPSNONPILOT/Tender/SplashBidNoticeAbstractUI.aspx?menuIndex=3&amp;refID=7063361&amp;Result=3","7063361")</f>
        <v>0</v>
      </c>
      <c r="B226" t="s">
        <v>104</v>
      </c>
      <c r="C226" t="s">
        <v>3752</v>
      </c>
      <c r="E226" t="s">
        <v>19102</v>
      </c>
      <c r="F226" t="s">
        <v>32664</v>
      </c>
      <c r="G226" t="s">
        <v>32672</v>
      </c>
      <c r="H226" t="s">
        <v>12635</v>
      </c>
      <c r="I226" t="s">
        <v>32704</v>
      </c>
      <c r="J226" t="s">
        <v>32837</v>
      </c>
      <c r="K226" t="s">
        <v>42283</v>
      </c>
      <c r="M226" t="s">
        <v>42668</v>
      </c>
      <c r="N226" t="s">
        <v>46569</v>
      </c>
      <c r="O226" t="s">
        <v>46570</v>
      </c>
      <c r="P226">
        <v>0</v>
      </c>
      <c r="Q226">
        <v>5</v>
      </c>
      <c r="R226" t="s">
        <v>46571</v>
      </c>
      <c r="S226" t="s">
        <v>46687</v>
      </c>
      <c r="T226" t="s">
        <v>48272</v>
      </c>
      <c r="U226" t="s">
        <v>48990</v>
      </c>
      <c r="W226" t="s">
        <v>42668</v>
      </c>
      <c r="X226" t="s">
        <v>46573</v>
      </c>
    </row>
    <row r="227" spans="1:24">
      <c r="A227">
        <f>HYPERLINK("https://www.philgeps.gov.ph/GEPSNONPILOT/Tender/SplashBidNoticeAbstractUI.aspx?menuIndex=3&amp;refID=7062909&amp;Result=3","7062909")</f>
        <v>0</v>
      </c>
      <c r="B227" t="s">
        <v>57</v>
      </c>
      <c r="C227" t="s">
        <v>3753</v>
      </c>
      <c r="D227" t="s">
        <v>18806</v>
      </c>
      <c r="E227" t="s">
        <v>19103</v>
      </c>
      <c r="F227" t="s">
        <v>32664</v>
      </c>
      <c r="G227" t="s">
        <v>32672</v>
      </c>
      <c r="H227" t="s">
        <v>32683</v>
      </c>
      <c r="I227" t="s">
        <v>10627</v>
      </c>
      <c r="J227" t="s">
        <v>32930</v>
      </c>
      <c r="K227" t="s">
        <v>42311</v>
      </c>
      <c r="M227" t="s">
        <v>42619</v>
      </c>
      <c r="N227" t="s">
        <v>46569</v>
      </c>
      <c r="O227" t="s">
        <v>46570</v>
      </c>
      <c r="P227">
        <v>0</v>
      </c>
      <c r="Q227">
        <v>0</v>
      </c>
      <c r="R227" t="s">
        <v>46571</v>
      </c>
      <c r="S227" t="s">
        <v>46687</v>
      </c>
      <c r="T227" t="s">
        <v>48253</v>
      </c>
      <c r="U227" t="s">
        <v>48991</v>
      </c>
      <c r="W227" t="s">
        <v>42619</v>
      </c>
      <c r="X227" t="s">
        <v>46573</v>
      </c>
    </row>
    <row r="228" spans="1:24">
      <c r="A228">
        <f>HYPERLINK("https://www.philgeps.gov.ph/GEPSNONPILOT/Tender/SplashBidNoticeAbstractUI.aspx?menuIndex=3&amp;refID=7063884&amp;Result=3","7063884")</f>
        <v>0</v>
      </c>
      <c r="B228" t="s">
        <v>105</v>
      </c>
      <c r="C228" t="s">
        <v>3754</v>
      </c>
      <c r="D228" t="s">
        <v>18823</v>
      </c>
      <c r="E228" t="s">
        <v>19104</v>
      </c>
      <c r="F228" t="s">
        <v>32664</v>
      </c>
      <c r="G228" t="s">
        <v>32672</v>
      </c>
      <c r="H228" t="s">
        <v>12635</v>
      </c>
      <c r="I228" t="s">
        <v>4439</v>
      </c>
      <c r="J228" t="s">
        <v>32959</v>
      </c>
      <c r="K228" t="s">
        <v>42297</v>
      </c>
      <c r="M228" t="s">
        <v>42669</v>
      </c>
      <c r="N228" t="s">
        <v>46569</v>
      </c>
      <c r="O228" t="s">
        <v>46570</v>
      </c>
      <c r="P228">
        <v>0</v>
      </c>
      <c r="Q228">
        <v>1</v>
      </c>
      <c r="R228" t="s">
        <v>46571</v>
      </c>
      <c r="S228" t="s">
        <v>46687</v>
      </c>
      <c r="T228" t="s">
        <v>48225</v>
      </c>
      <c r="U228" t="s">
        <v>48992</v>
      </c>
      <c r="W228" t="s">
        <v>42669</v>
      </c>
      <c r="X228" t="s">
        <v>46573</v>
      </c>
    </row>
    <row r="229" spans="1:24">
      <c r="A229">
        <f>HYPERLINK("https://www.philgeps.gov.ph/GEPSNONPILOT/Tender/SplashBidNoticeAbstractUI.aspx?menuIndex=3&amp;refID=7063872&amp;Result=3","7063872")</f>
        <v>0</v>
      </c>
      <c r="B229" t="s">
        <v>106</v>
      </c>
      <c r="C229" t="s">
        <v>3755</v>
      </c>
      <c r="D229" t="s">
        <v>18787</v>
      </c>
      <c r="E229" t="s">
        <v>19105</v>
      </c>
      <c r="F229" t="s">
        <v>32664</v>
      </c>
      <c r="G229" t="s">
        <v>32671</v>
      </c>
      <c r="H229" t="s">
        <v>32683</v>
      </c>
      <c r="I229" t="s">
        <v>10627</v>
      </c>
      <c r="J229" t="s">
        <v>33010</v>
      </c>
      <c r="K229" t="s">
        <v>42305</v>
      </c>
      <c r="M229" t="s">
        <v>42670</v>
      </c>
      <c r="N229" t="s">
        <v>46569</v>
      </c>
      <c r="O229" t="s">
        <v>46570</v>
      </c>
      <c r="P229">
        <v>0</v>
      </c>
      <c r="Q229">
        <v>0</v>
      </c>
      <c r="R229" t="s">
        <v>46571</v>
      </c>
      <c r="S229" t="s">
        <v>46687</v>
      </c>
      <c r="T229" t="s">
        <v>48244</v>
      </c>
      <c r="U229" t="s">
        <v>48993</v>
      </c>
      <c r="W229" t="s">
        <v>42670</v>
      </c>
      <c r="X229" t="s">
        <v>46573</v>
      </c>
    </row>
    <row r="230" spans="1:24">
      <c r="A230">
        <f>HYPERLINK("https://www.philgeps.gov.ph/GEPSNONPILOT/Tender/SplashBidNoticeAbstractUI.aspx?menuIndex=3&amp;refID=7063860&amp;Result=3","7063860")</f>
        <v>0</v>
      </c>
      <c r="B230" t="s">
        <v>81</v>
      </c>
      <c r="C230" t="s">
        <v>3756</v>
      </c>
      <c r="D230" t="s">
        <v>18818</v>
      </c>
      <c r="E230" t="s">
        <v>19106</v>
      </c>
      <c r="F230" t="s">
        <v>32664</v>
      </c>
      <c r="G230" t="s">
        <v>32672</v>
      </c>
      <c r="H230" t="s">
        <v>12635</v>
      </c>
      <c r="I230" t="s">
        <v>6223</v>
      </c>
      <c r="J230" t="s">
        <v>33011</v>
      </c>
      <c r="K230" t="s">
        <v>42283</v>
      </c>
      <c r="M230" t="s">
        <v>42665</v>
      </c>
      <c r="N230" t="s">
        <v>46569</v>
      </c>
      <c r="O230" t="s">
        <v>46570</v>
      </c>
      <c r="P230">
        <v>0</v>
      </c>
      <c r="Q230">
        <v>0</v>
      </c>
      <c r="R230" t="s">
        <v>46571</v>
      </c>
      <c r="S230" t="s">
        <v>46687</v>
      </c>
      <c r="T230" t="s">
        <v>48260</v>
      </c>
      <c r="U230" t="s">
        <v>48994</v>
      </c>
      <c r="V230" t="s">
        <v>61636</v>
      </c>
      <c r="W230" t="s">
        <v>42665</v>
      </c>
      <c r="X230" t="s">
        <v>46573</v>
      </c>
    </row>
    <row r="231" spans="1:24">
      <c r="A231">
        <f>HYPERLINK("https://www.philgeps.gov.ph/GEPSNONPILOT/Tender/SplashBidNoticeAbstractUI.aspx?menuIndex=3&amp;refID=7063852&amp;Result=3","7063852")</f>
        <v>0</v>
      </c>
      <c r="B231" t="s">
        <v>107</v>
      </c>
      <c r="C231" t="s">
        <v>3757</v>
      </c>
      <c r="D231" t="s">
        <v>18804</v>
      </c>
      <c r="E231" t="s">
        <v>19107</v>
      </c>
      <c r="F231" t="s">
        <v>32664</v>
      </c>
      <c r="G231" t="s">
        <v>32672</v>
      </c>
      <c r="H231" t="s">
        <v>32683</v>
      </c>
      <c r="I231" t="s">
        <v>10627</v>
      </c>
      <c r="J231" t="s">
        <v>33012</v>
      </c>
      <c r="K231" t="s">
        <v>42296</v>
      </c>
      <c r="M231" t="s">
        <v>42671</v>
      </c>
      <c r="N231" t="s">
        <v>46569</v>
      </c>
      <c r="O231" t="s">
        <v>46570</v>
      </c>
      <c r="P231">
        <v>0</v>
      </c>
      <c r="Q231">
        <v>0</v>
      </c>
      <c r="R231" t="s">
        <v>46571</v>
      </c>
      <c r="S231" t="s">
        <v>46687</v>
      </c>
      <c r="T231" t="s">
        <v>48273</v>
      </c>
      <c r="U231" t="s">
        <v>48995</v>
      </c>
      <c r="W231" t="s">
        <v>42671</v>
      </c>
      <c r="X231" t="s">
        <v>46573</v>
      </c>
    </row>
    <row r="232" spans="1:24">
      <c r="A232">
        <f>HYPERLINK("https://www.philgeps.gov.ph/GEPSNONPILOT/Tender/SplashBidNoticeAbstractUI.aspx?menuIndex=3&amp;refID=7063955&amp;Result=3","7063955")</f>
        <v>0</v>
      </c>
      <c r="B232" t="s">
        <v>108</v>
      </c>
      <c r="C232" t="s">
        <v>3758</v>
      </c>
      <c r="D232" t="s">
        <v>18824</v>
      </c>
      <c r="E232" t="s">
        <v>19108</v>
      </c>
      <c r="F232" t="s">
        <v>32664</v>
      </c>
      <c r="G232" t="s">
        <v>32672</v>
      </c>
      <c r="H232" t="s">
        <v>32683</v>
      </c>
      <c r="I232" t="s">
        <v>10627</v>
      </c>
      <c r="J232" t="s">
        <v>33013</v>
      </c>
      <c r="K232" t="s">
        <v>42283</v>
      </c>
      <c r="M232" t="s">
        <v>42672</v>
      </c>
      <c r="N232" t="s">
        <v>46569</v>
      </c>
      <c r="O232" t="s">
        <v>46570</v>
      </c>
      <c r="P232">
        <v>0</v>
      </c>
      <c r="Q232">
        <v>0</v>
      </c>
      <c r="R232" t="s">
        <v>46571</v>
      </c>
      <c r="S232" t="s">
        <v>46687</v>
      </c>
      <c r="T232" t="s">
        <v>48274</v>
      </c>
      <c r="U232" t="s">
        <v>48996</v>
      </c>
      <c r="W232" t="s">
        <v>42672</v>
      </c>
      <c r="X232" t="s">
        <v>46573</v>
      </c>
    </row>
    <row r="233" spans="1:24">
      <c r="A233">
        <f>HYPERLINK("https://www.philgeps.gov.ph/GEPSNONPILOT/Tender/SplashBidNoticeAbstractUI.aspx?menuIndex=3&amp;refID=7062927&amp;Result=3","7062927")</f>
        <v>0</v>
      </c>
      <c r="B233" t="s">
        <v>81</v>
      </c>
      <c r="C233" t="s">
        <v>3759</v>
      </c>
      <c r="D233" t="s">
        <v>18818</v>
      </c>
      <c r="E233" t="s">
        <v>19109</v>
      </c>
      <c r="F233" t="s">
        <v>32664</v>
      </c>
      <c r="G233" t="s">
        <v>32672</v>
      </c>
      <c r="H233" t="s">
        <v>12635</v>
      </c>
      <c r="I233" t="s">
        <v>4439</v>
      </c>
      <c r="J233" t="s">
        <v>33014</v>
      </c>
      <c r="K233" t="s">
        <v>42283</v>
      </c>
      <c r="M233" t="s">
        <v>42644</v>
      </c>
      <c r="N233" t="s">
        <v>46569</v>
      </c>
      <c r="O233" t="s">
        <v>46570</v>
      </c>
      <c r="P233">
        <v>0</v>
      </c>
      <c r="Q233">
        <v>0</v>
      </c>
      <c r="R233" t="s">
        <v>46571</v>
      </c>
      <c r="S233" t="s">
        <v>46687</v>
      </c>
      <c r="T233" t="s">
        <v>48260</v>
      </c>
      <c r="U233" t="s">
        <v>48997</v>
      </c>
      <c r="V233" t="s">
        <v>61637</v>
      </c>
      <c r="W233" t="s">
        <v>42644</v>
      </c>
      <c r="X233" t="s">
        <v>46573</v>
      </c>
    </row>
    <row r="234" spans="1:24">
      <c r="A234">
        <f>HYPERLINK("https://www.philgeps.gov.ph/GEPSNONPILOT/Tender/SplashBidNoticeAbstractUI.aspx?menuIndex=3&amp;refID=7063835&amp;Result=3","7063835")</f>
        <v>0</v>
      </c>
      <c r="B234" t="s">
        <v>109</v>
      </c>
      <c r="C234" t="s">
        <v>3760</v>
      </c>
      <c r="D234" t="s">
        <v>18825</v>
      </c>
      <c r="E234" t="s">
        <v>19110</v>
      </c>
      <c r="F234" t="s">
        <v>32664</v>
      </c>
      <c r="G234" t="s">
        <v>32671</v>
      </c>
      <c r="H234" t="s">
        <v>12635</v>
      </c>
      <c r="I234" t="s">
        <v>4439</v>
      </c>
      <c r="J234" t="s">
        <v>33015</v>
      </c>
      <c r="K234" t="s">
        <v>42289</v>
      </c>
      <c r="M234" t="s">
        <v>42673</v>
      </c>
      <c r="N234" t="s">
        <v>46569</v>
      </c>
      <c r="O234" t="s">
        <v>46570</v>
      </c>
      <c r="P234">
        <v>0</v>
      </c>
      <c r="Q234">
        <v>0</v>
      </c>
      <c r="R234" t="s">
        <v>46571</v>
      </c>
      <c r="S234" t="s">
        <v>46687</v>
      </c>
      <c r="T234" t="s">
        <v>48219</v>
      </c>
      <c r="U234" t="s">
        <v>48998</v>
      </c>
      <c r="V234" t="s">
        <v>49881</v>
      </c>
      <c r="W234" t="s">
        <v>42673</v>
      </c>
      <c r="X234" t="s">
        <v>46573</v>
      </c>
    </row>
    <row r="235" spans="1:24">
      <c r="A235">
        <f>HYPERLINK("https://www.philgeps.gov.ph/GEPSNONPILOT/Tender/SplashBidNoticeAbstractUI.aspx?menuIndex=3&amp;refID=7063728&amp;Result=3","7063728")</f>
        <v>0</v>
      </c>
      <c r="B235" t="s">
        <v>81</v>
      </c>
      <c r="C235" t="s">
        <v>3761</v>
      </c>
      <c r="D235" t="s">
        <v>18818</v>
      </c>
      <c r="E235" t="s">
        <v>19111</v>
      </c>
      <c r="F235" t="s">
        <v>32664</v>
      </c>
      <c r="G235" t="s">
        <v>32672</v>
      </c>
      <c r="H235" t="s">
        <v>12635</v>
      </c>
      <c r="I235" t="s">
        <v>4439</v>
      </c>
      <c r="J235" t="s">
        <v>33006</v>
      </c>
      <c r="K235" t="s">
        <v>42283</v>
      </c>
      <c r="M235" t="s">
        <v>42665</v>
      </c>
      <c r="N235" t="s">
        <v>46569</v>
      </c>
      <c r="O235" t="s">
        <v>46570</v>
      </c>
      <c r="P235">
        <v>0</v>
      </c>
      <c r="Q235">
        <v>0</v>
      </c>
      <c r="R235" t="s">
        <v>46571</v>
      </c>
      <c r="S235" t="s">
        <v>46687</v>
      </c>
      <c r="T235" t="s">
        <v>48260</v>
      </c>
      <c r="U235" t="s">
        <v>48999</v>
      </c>
      <c r="V235" t="s">
        <v>61638</v>
      </c>
      <c r="W235" t="s">
        <v>42665</v>
      </c>
      <c r="X235" t="s">
        <v>46573</v>
      </c>
    </row>
    <row r="236" spans="1:24">
      <c r="A236">
        <f>HYPERLINK("https://www.philgeps.gov.ph/GEPSNONPILOT/Tender/SplashBidNoticeAbstractUI.aspx?menuIndex=3&amp;refID=7063722&amp;Result=3","7063722")</f>
        <v>0</v>
      </c>
      <c r="B236" t="s">
        <v>110</v>
      </c>
      <c r="C236" t="s">
        <v>3762</v>
      </c>
      <c r="D236" t="s">
        <v>18826</v>
      </c>
      <c r="E236" t="s">
        <v>19112</v>
      </c>
      <c r="F236" t="s">
        <v>32664</v>
      </c>
      <c r="G236" t="s">
        <v>32671</v>
      </c>
      <c r="H236" t="s">
        <v>12635</v>
      </c>
      <c r="I236" t="s">
        <v>4439</v>
      </c>
      <c r="J236" t="s">
        <v>33016</v>
      </c>
      <c r="K236" t="s">
        <v>42321</v>
      </c>
      <c r="M236" t="s">
        <v>42674</v>
      </c>
      <c r="N236" t="s">
        <v>46569</v>
      </c>
      <c r="O236" t="s">
        <v>46570</v>
      </c>
      <c r="P236">
        <v>0</v>
      </c>
      <c r="Q236">
        <v>0</v>
      </c>
      <c r="R236" t="s">
        <v>46571</v>
      </c>
      <c r="S236" t="s">
        <v>46687</v>
      </c>
      <c r="T236" t="s">
        <v>48268</v>
      </c>
      <c r="U236" t="s">
        <v>49000</v>
      </c>
      <c r="W236" t="s">
        <v>42674</v>
      </c>
      <c r="X236" t="s">
        <v>46573</v>
      </c>
    </row>
    <row r="237" spans="1:24">
      <c r="A237">
        <f>HYPERLINK("https://www.philgeps.gov.ph/GEPSNONPILOT/Tender/SplashBidNoticeAbstractUI.aspx?menuIndex=3&amp;refID=7063661&amp;Result=3","7063661")</f>
        <v>0</v>
      </c>
      <c r="B237" t="s">
        <v>111</v>
      </c>
      <c r="C237" t="s">
        <v>3763</v>
      </c>
      <c r="D237" t="s">
        <v>18805</v>
      </c>
      <c r="E237" t="s">
        <v>19113</v>
      </c>
      <c r="F237" t="s">
        <v>32664</v>
      </c>
      <c r="G237" t="s">
        <v>32672</v>
      </c>
      <c r="H237" t="s">
        <v>32683</v>
      </c>
      <c r="I237" t="s">
        <v>10627</v>
      </c>
      <c r="J237" t="s">
        <v>33017</v>
      </c>
      <c r="K237" t="s">
        <v>42283</v>
      </c>
      <c r="M237" t="s">
        <v>42675</v>
      </c>
      <c r="N237" t="s">
        <v>46569</v>
      </c>
      <c r="O237" t="s">
        <v>46570</v>
      </c>
      <c r="P237">
        <v>0</v>
      </c>
      <c r="Q237">
        <v>1</v>
      </c>
      <c r="R237" t="s">
        <v>46571</v>
      </c>
      <c r="S237" t="s">
        <v>46687</v>
      </c>
      <c r="T237" t="s">
        <v>48216</v>
      </c>
      <c r="U237" t="s">
        <v>49001</v>
      </c>
      <c r="V237" t="s">
        <v>61639</v>
      </c>
      <c r="W237" t="s">
        <v>42675</v>
      </c>
      <c r="X237" t="s">
        <v>46573</v>
      </c>
    </row>
    <row r="238" spans="1:24">
      <c r="A238">
        <f>HYPERLINK("https://www.philgeps.gov.ph/GEPSNONPILOT/Tender/SplashBidNoticeAbstractUI.aspx?menuIndex=3&amp;refID=7063673&amp;Result=3","7063673")</f>
        <v>0</v>
      </c>
      <c r="B238" t="s">
        <v>110</v>
      </c>
      <c r="C238" t="s">
        <v>3764</v>
      </c>
      <c r="D238" t="s">
        <v>18826</v>
      </c>
      <c r="E238" t="s">
        <v>19114</v>
      </c>
      <c r="F238" t="s">
        <v>32664</v>
      </c>
      <c r="G238" t="s">
        <v>32671</v>
      </c>
      <c r="H238" t="s">
        <v>12635</v>
      </c>
      <c r="I238" t="s">
        <v>4439</v>
      </c>
      <c r="J238" t="s">
        <v>33018</v>
      </c>
      <c r="K238" t="s">
        <v>42321</v>
      </c>
      <c r="M238" t="s">
        <v>42674</v>
      </c>
      <c r="N238" t="s">
        <v>46569</v>
      </c>
      <c r="O238" t="s">
        <v>46570</v>
      </c>
      <c r="P238">
        <v>0</v>
      </c>
      <c r="Q238">
        <v>0</v>
      </c>
      <c r="R238" t="s">
        <v>46571</v>
      </c>
      <c r="S238" t="s">
        <v>46687</v>
      </c>
      <c r="T238" t="s">
        <v>48268</v>
      </c>
      <c r="U238" t="s">
        <v>49000</v>
      </c>
      <c r="W238" t="s">
        <v>42674</v>
      </c>
      <c r="X238" t="s">
        <v>46573</v>
      </c>
    </row>
    <row r="239" spans="1:24">
      <c r="A239">
        <f>HYPERLINK("https://www.philgeps.gov.ph/GEPSNONPILOT/Tender/SplashBidNoticeAbstractUI.aspx?menuIndex=3&amp;refID=7063614&amp;Result=3","7063614")</f>
        <v>0</v>
      </c>
      <c r="B239" t="s">
        <v>81</v>
      </c>
      <c r="C239" t="s">
        <v>3765</v>
      </c>
      <c r="D239" t="s">
        <v>18818</v>
      </c>
      <c r="E239" t="s">
        <v>19115</v>
      </c>
      <c r="F239" t="s">
        <v>32664</v>
      </c>
      <c r="G239" t="s">
        <v>32672</v>
      </c>
      <c r="H239" t="s">
        <v>12635</v>
      </c>
      <c r="I239" t="s">
        <v>4439</v>
      </c>
      <c r="J239" t="s">
        <v>33006</v>
      </c>
      <c r="K239" t="s">
        <v>42283</v>
      </c>
      <c r="M239" t="s">
        <v>42665</v>
      </c>
      <c r="N239" t="s">
        <v>46569</v>
      </c>
      <c r="O239" t="s">
        <v>46570</v>
      </c>
      <c r="P239">
        <v>0</v>
      </c>
      <c r="Q239">
        <v>0</v>
      </c>
      <c r="R239" t="s">
        <v>46571</v>
      </c>
      <c r="S239" t="s">
        <v>46687</v>
      </c>
      <c r="T239" t="s">
        <v>48260</v>
      </c>
      <c r="U239" t="s">
        <v>49002</v>
      </c>
      <c r="V239" t="s">
        <v>61640</v>
      </c>
      <c r="W239" t="s">
        <v>42665</v>
      </c>
      <c r="X239" t="s">
        <v>46573</v>
      </c>
    </row>
    <row r="240" spans="1:24">
      <c r="A240">
        <f>HYPERLINK("https://www.philgeps.gov.ph/GEPSNONPILOT/Tender/SplashBidNoticeAbstractUI.aspx?menuIndex=3&amp;refID=7063603&amp;Result=3","7063603")</f>
        <v>0</v>
      </c>
      <c r="B240" t="s">
        <v>82</v>
      </c>
      <c r="C240" t="s">
        <v>3766</v>
      </c>
      <c r="D240" t="s">
        <v>18804</v>
      </c>
      <c r="E240" t="s">
        <v>19116</v>
      </c>
      <c r="F240" t="s">
        <v>32664</v>
      </c>
      <c r="G240" t="s">
        <v>32672</v>
      </c>
      <c r="H240" t="s">
        <v>12635</v>
      </c>
      <c r="I240" t="s">
        <v>4439</v>
      </c>
      <c r="J240" t="s">
        <v>33019</v>
      </c>
      <c r="K240" t="s">
        <v>42289</v>
      </c>
      <c r="M240" t="s">
        <v>42645</v>
      </c>
      <c r="N240" t="s">
        <v>46569</v>
      </c>
      <c r="O240" t="s">
        <v>46570</v>
      </c>
      <c r="P240">
        <v>0</v>
      </c>
      <c r="Q240">
        <v>1</v>
      </c>
      <c r="R240" t="s">
        <v>46571</v>
      </c>
      <c r="S240" t="s">
        <v>46687</v>
      </c>
      <c r="T240" t="s">
        <v>48234</v>
      </c>
      <c r="U240" t="s">
        <v>48918</v>
      </c>
      <c r="W240" t="s">
        <v>42645</v>
      </c>
      <c r="X240" t="s">
        <v>46573</v>
      </c>
    </row>
    <row r="241" spans="1:24">
      <c r="A241">
        <f>HYPERLINK("https://www.philgeps.gov.ph/GEPSNONPILOT/Tender/SplashBidNoticeAbstractUI.aspx?menuIndex=3&amp;refID=7063424&amp;Result=3","7063424")</f>
        <v>0</v>
      </c>
      <c r="B241" t="s">
        <v>112</v>
      </c>
      <c r="C241" t="s">
        <v>3767</v>
      </c>
      <c r="D241" t="s">
        <v>18813</v>
      </c>
      <c r="E241" t="s">
        <v>19117</v>
      </c>
      <c r="F241" t="s">
        <v>32664</v>
      </c>
      <c r="G241" t="s">
        <v>32672</v>
      </c>
      <c r="H241" t="s">
        <v>12635</v>
      </c>
      <c r="I241" t="s">
        <v>8730</v>
      </c>
      <c r="J241" t="s">
        <v>33020</v>
      </c>
      <c r="K241" t="s">
        <v>42281</v>
      </c>
      <c r="M241" t="s">
        <v>42676</v>
      </c>
      <c r="N241" t="s">
        <v>46569</v>
      </c>
      <c r="O241" t="s">
        <v>46570</v>
      </c>
      <c r="P241">
        <v>0</v>
      </c>
      <c r="Q241">
        <v>1</v>
      </c>
      <c r="R241" t="s">
        <v>46571</v>
      </c>
      <c r="S241" t="s">
        <v>46687</v>
      </c>
      <c r="T241" t="s">
        <v>48275</v>
      </c>
      <c r="U241" t="s">
        <v>49003</v>
      </c>
      <c r="V241" t="s">
        <v>61641</v>
      </c>
      <c r="W241" t="s">
        <v>42676</v>
      </c>
      <c r="X241" t="s">
        <v>46573</v>
      </c>
    </row>
    <row r="242" spans="1:24">
      <c r="A242">
        <f>HYPERLINK("https://www.philgeps.gov.ph/GEPSNONPILOT/Tender/SplashBidNoticeAbstractUI.aspx?menuIndex=3&amp;refID=7063784&amp;Result=3","7063784")</f>
        <v>0</v>
      </c>
      <c r="B242" t="s">
        <v>81</v>
      </c>
      <c r="C242" t="s">
        <v>3768</v>
      </c>
      <c r="D242" t="s">
        <v>18818</v>
      </c>
      <c r="E242" t="s">
        <v>19118</v>
      </c>
      <c r="F242" t="s">
        <v>32664</v>
      </c>
      <c r="G242" t="s">
        <v>32672</v>
      </c>
      <c r="H242" t="s">
        <v>12635</v>
      </c>
      <c r="I242" t="s">
        <v>32690</v>
      </c>
      <c r="J242" t="s">
        <v>33021</v>
      </c>
      <c r="K242" t="s">
        <v>42283</v>
      </c>
      <c r="M242" t="s">
        <v>42665</v>
      </c>
      <c r="N242" t="s">
        <v>46569</v>
      </c>
      <c r="O242" t="s">
        <v>46570</v>
      </c>
      <c r="P242">
        <v>0</v>
      </c>
      <c r="Q242">
        <v>0</v>
      </c>
      <c r="R242" t="s">
        <v>46571</v>
      </c>
      <c r="S242" t="s">
        <v>46687</v>
      </c>
      <c r="T242" t="s">
        <v>48260</v>
      </c>
      <c r="U242" t="s">
        <v>49004</v>
      </c>
      <c r="V242" t="s">
        <v>61642</v>
      </c>
      <c r="W242" t="s">
        <v>42665</v>
      </c>
      <c r="X242" t="s">
        <v>46573</v>
      </c>
    </row>
    <row r="243" spans="1:24">
      <c r="A243">
        <f>HYPERLINK("https://www.philgeps.gov.ph/GEPSNONPILOT/Tender/SplashBidNoticeAbstractUI.aspx?menuIndex=3&amp;refID=7063877&amp;Result=3","7063877")</f>
        <v>0</v>
      </c>
      <c r="B243" t="s">
        <v>113</v>
      </c>
      <c r="C243" t="s">
        <v>3769</v>
      </c>
      <c r="D243" t="s">
        <v>18801</v>
      </c>
      <c r="E243" t="s">
        <v>19119</v>
      </c>
      <c r="F243" t="s">
        <v>32664</v>
      </c>
      <c r="G243" t="s">
        <v>32674</v>
      </c>
      <c r="H243" t="s">
        <v>12635</v>
      </c>
      <c r="I243" t="s">
        <v>5501</v>
      </c>
      <c r="J243" t="s">
        <v>33022</v>
      </c>
      <c r="K243" t="s">
        <v>42303</v>
      </c>
      <c r="M243" t="s">
        <v>42677</v>
      </c>
      <c r="N243" t="s">
        <v>46569</v>
      </c>
      <c r="O243" t="s">
        <v>46570</v>
      </c>
      <c r="P243">
        <v>0</v>
      </c>
      <c r="Q243">
        <v>4</v>
      </c>
      <c r="R243" t="s">
        <v>46571</v>
      </c>
      <c r="S243" t="s">
        <v>46687</v>
      </c>
      <c r="T243" t="s">
        <v>48256</v>
      </c>
      <c r="U243" t="s">
        <v>49005</v>
      </c>
      <c r="W243" t="s">
        <v>42677</v>
      </c>
      <c r="X243" t="s">
        <v>46573</v>
      </c>
    </row>
    <row r="244" spans="1:24">
      <c r="A244">
        <f>HYPERLINK("https://www.philgeps.gov.ph/GEPSNONPILOT/Tender/SplashBidNoticeAbstractUI.aspx?menuIndex=3&amp;refID=7064438&amp;Result=3","7064438")</f>
        <v>0</v>
      </c>
      <c r="B244" t="s">
        <v>114</v>
      </c>
      <c r="C244" t="s">
        <v>3770</v>
      </c>
      <c r="E244" t="s">
        <v>19120</v>
      </c>
      <c r="F244" t="s">
        <v>32664</v>
      </c>
      <c r="G244" t="s">
        <v>32671</v>
      </c>
      <c r="H244" t="s">
        <v>12635</v>
      </c>
      <c r="I244" t="s">
        <v>32699</v>
      </c>
      <c r="J244" t="s">
        <v>33023</v>
      </c>
      <c r="K244" t="s">
        <v>42289</v>
      </c>
      <c r="M244" t="s">
        <v>42678</v>
      </c>
      <c r="N244" t="s">
        <v>46569</v>
      </c>
      <c r="O244" t="s">
        <v>46570</v>
      </c>
      <c r="P244">
        <v>0</v>
      </c>
      <c r="Q244">
        <v>0</v>
      </c>
      <c r="R244" t="s">
        <v>46571</v>
      </c>
      <c r="S244" t="s">
        <v>46687</v>
      </c>
      <c r="T244" t="s">
        <v>48244</v>
      </c>
      <c r="U244" t="s">
        <v>49006</v>
      </c>
      <c r="V244" t="s">
        <v>61643</v>
      </c>
      <c r="W244" t="s">
        <v>42678</v>
      </c>
      <c r="X244" t="s">
        <v>46573</v>
      </c>
    </row>
    <row r="245" spans="1:24">
      <c r="A245">
        <f>HYPERLINK("https://www.philgeps.gov.ph/GEPSNONPILOT/Tender/SplashBidNoticeAbstractUI.aspx?menuIndex=3&amp;refID=7062704&amp;Result=3","7062704")</f>
        <v>0</v>
      </c>
      <c r="B245" t="s">
        <v>48</v>
      </c>
      <c r="C245" t="s">
        <v>3771</v>
      </c>
      <c r="D245" t="s">
        <v>18798</v>
      </c>
      <c r="E245" t="s">
        <v>19121</v>
      </c>
      <c r="F245" t="s">
        <v>32664</v>
      </c>
      <c r="G245" t="s">
        <v>32672</v>
      </c>
      <c r="H245" t="s">
        <v>12635</v>
      </c>
      <c r="I245" t="s">
        <v>32710</v>
      </c>
      <c r="J245" t="s">
        <v>33024</v>
      </c>
      <c r="K245" t="s">
        <v>42284</v>
      </c>
      <c r="M245" t="s">
        <v>42610</v>
      </c>
      <c r="N245" t="s">
        <v>46569</v>
      </c>
      <c r="O245" t="s">
        <v>46570</v>
      </c>
      <c r="P245">
        <v>0</v>
      </c>
      <c r="Q245">
        <v>2</v>
      </c>
      <c r="R245" t="s">
        <v>46571</v>
      </c>
      <c r="S245" t="s">
        <v>46687</v>
      </c>
      <c r="T245" t="s">
        <v>48232</v>
      </c>
      <c r="U245" t="s">
        <v>49007</v>
      </c>
      <c r="W245" t="s">
        <v>42610</v>
      </c>
      <c r="X245" t="s">
        <v>46573</v>
      </c>
    </row>
    <row r="246" spans="1:24">
      <c r="A246">
        <f>HYPERLINK("https://www.philgeps.gov.ph/GEPSNONPILOT/Tender/SplashBidNoticeAbstractUI.aspx?menuIndex=3&amp;refID=7064405&amp;Result=3","7064405")</f>
        <v>0</v>
      </c>
      <c r="B246" t="s">
        <v>115</v>
      </c>
      <c r="C246" t="s">
        <v>3772</v>
      </c>
      <c r="D246" t="s">
        <v>18784</v>
      </c>
      <c r="E246" t="s">
        <v>19122</v>
      </c>
      <c r="F246" t="s">
        <v>32664</v>
      </c>
      <c r="G246" t="s">
        <v>32672</v>
      </c>
      <c r="H246" t="s">
        <v>12635</v>
      </c>
      <c r="I246" t="s">
        <v>4205</v>
      </c>
      <c r="J246" t="s">
        <v>33025</v>
      </c>
      <c r="K246" t="s">
        <v>42284</v>
      </c>
      <c r="M246" t="s">
        <v>42679</v>
      </c>
      <c r="N246" t="s">
        <v>46569</v>
      </c>
      <c r="O246" t="s">
        <v>46570</v>
      </c>
      <c r="P246">
        <v>0</v>
      </c>
      <c r="Q246">
        <v>0</v>
      </c>
      <c r="R246" t="s">
        <v>46571</v>
      </c>
      <c r="S246" t="s">
        <v>46687</v>
      </c>
      <c r="T246" t="s">
        <v>48275</v>
      </c>
      <c r="U246" t="s">
        <v>49008</v>
      </c>
      <c r="W246" t="s">
        <v>42679</v>
      </c>
      <c r="X246" t="s">
        <v>46573</v>
      </c>
    </row>
    <row r="247" spans="1:24">
      <c r="A247">
        <f>HYPERLINK("https://www.philgeps.gov.ph/GEPSNONPILOT/Tender/SplashBidNoticeAbstractUI.aspx?menuIndex=3&amp;refID=7064388&amp;Result=3","7064388")</f>
        <v>0</v>
      </c>
      <c r="B247" t="s">
        <v>115</v>
      </c>
      <c r="C247" t="s">
        <v>3772</v>
      </c>
      <c r="D247" t="s">
        <v>18784</v>
      </c>
      <c r="E247" t="s">
        <v>19123</v>
      </c>
      <c r="F247" t="s">
        <v>32664</v>
      </c>
      <c r="G247" t="s">
        <v>32672</v>
      </c>
      <c r="H247" t="s">
        <v>12635</v>
      </c>
      <c r="I247" t="s">
        <v>4205</v>
      </c>
      <c r="J247" t="s">
        <v>33025</v>
      </c>
      <c r="K247" t="s">
        <v>42284</v>
      </c>
      <c r="M247" t="s">
        <v>42679</v>
      </c>
      <c r="N247" t="s">
        <v>46569</v>
      </c>
      <c r="O247" t="s">
        <v>46570</v>
      </c>
      <c r="P247">
        <v>0</v>
      </c>
      <c r="Q247">
        <v>0</v>
      </c>
      <c r="R247" t="s">
        <v>46571</v>
      </c>
      <c r="S247" t="s">
        <v>46687</v>
      </c>
      <c r="T247" t="s">
        <v>48275</v>
      </c>
      <c r="U247" t="s">
        <v>49008</v>
      </c>
      <c r="W247" t="s">
        <v>42679</v>
      </c>
      <c r="X247" t="s">
        <v>46573</v>
      </c>
    </row>
    <row r="248" spans="1:24">
      <c r="A248">
        <f>HYPERLINK("https://www.philgeps.gov.ph/GEPSNONPILOT/Tender/SplashBidNoticeAbstractUI.aspx?menuIndex=3&amp;refID=7064419&amp;Result=3","7064419")</f>
        <v>0</v>
      </c>
      <c r="B248" t="s">
        <v>115</v>
      </c>
      <c r="C248" t="s">
        <v>3773</v>
      </c>
      <c r="D248" t="s">
        <v>18784</v>
      </c>
      <c r="E248" t="s">
        <v>19124</v>
      </c>
      <c r="F248" t="s">
        <v>32664</v>
      </c>
      <c r="G248" t="s">
        <v>32672</v>
      </c>
      <c r="H248" t="s">
        <v>12635</v>
      </c>
      <c r="I248" t="s">
        <v>10590</v>
      </c>
      <c r="J248" t="s">
        <v>33026</v>
      </c>
      <c r="K248" t="s">
        <v>42284</v>
      </c>
      <c r="M248" t="s">
        <v>42679</v>
      </c>
      <c r="N248" t="s">
        <v>46569</v>
      </c>
      <c r="O248" t="s">
        <v>46570</v>
      </c>
      <c r="P248">
        <v>0</v>
      </c>
      <c r="Q248">
        <v>0</v>
      </c>
      <c r="R248" t="s">
        <v>46571</v>
      </c>
      <c r="S248" t="s">
        <v>46687</v>
      </c>
      <c r="T248" t="s">
        <v>48275</v>
      </c>
      <c r="U248" t="s">
        <v>49008</v>
      </c>
      <c r="W248" t="s">
        <v>42679</v>
      </c>
      <c r="X248" t="s">
        <v>46573</v>
      </c>
    </row>
    <row r="249" spans="1:24">
      <c r="A249">
        <f>HYPERLINK("https://www.philgeps.gov.ph/GEPSNONPILOT/Tender/SplashBidNoticeAbstractUI.aspx?menuIndex=3&amp;refID=7064370&amp;Result=3","7064370")</f>
        <v>0</v>
      </c>
      <c r="B249" t="s">
        <v>115</v>
      </c>
      <c r="C249" t="s">
        <v>3774</v>
      </c>
      <c r="D249" t="s">
        <v>18784</v>
      </c>
      <c r="E249" t="s">
        <v>19125</v>
      </c>
      <c r="F249" t="s">
        <v>32664</v>
      </c>
      <c r="G249" t="s">
        <v>32672</v>
      </c>
      <c r="H249" t="s">
        <v>12635</v>
      </c>
      <c r="I249" t="s">
        <v>8730</v>
      </c>
      <c r="J249" t="s">
        <v>33027</v>
      </c>
      <c r="K249" t="s">
        <v>42284</v>
      </c>
      <c r="M249" t="s">
        <v>42679</v>
      </c>
      <c r="N249" t="s">
        <v>46569</v>
      </c>
      <c r="O249" t="s">
        <v>46570</v>
      </c>
      <c r="P249">
        <v>0</v>
      </c>
      <c r="Q249">
        <v>0</v>
      </c>
      <c r="R249" t="s">
        <v>46571</v>
      </c>
      <c r="S249" t="s">
        <v>46687</v>
      </c>
      <c r="T249" t="s">
        <v>48275</v>
      </c>
      <c r="U249" t="s">
        <v>49008</v>
      </c>
      <c r="W249" t="s">
        <v>42679</v>
      </c>
      <c r="X249" t="s">
        <v>46573</v>
      </c>
    </row>
    <row r="250" spans="1:24">
      <c r="A250">
        <f>HYPERLINK("https://www.philgeps.gov.ph/GEPSNONPILOT/Tender/SplashBidNoticeAbstractUI.aspx?menuIndex=3&amp;refID=7063700&amp;Result=3","7063700")</f>
        <v>0</v>
      </c>
      <c r="B250" t="s">
        <v>110</v>
      </c>
      <c r="C250" t="s">
        <v>3775</v>
      </c>
      <c r="D250" t="s">
        <v>18826</v>
      </c>
      <c r="E250" t="s">
        <v>19126</v>
      </c>
      <c r="F250" t="s">
        <v>32664</v>
      </c>
      <c r="G250" t="s">
        <v>32671</v>
      </c>
      <c r="H250" t="s">
        <v>12635</v>
      </c>
      <c r="I250" t="s">
        <v>4439</v>
      </c>
      <c r="J250" t="s">
        <v>33028</v>
      </c>
      <c r="K250" t="s">
        <v>42303</v>
      </c>
      <c r="M250" t="s">
        <v>42674</v>
      </c>
      <c r="N250" t="s">
        <v>46569</v>
      </c>
      <c r="O250" t="s">
        <v>46570</v>
      </c>
      <c r="P250">
        <v>0</v>
      </c>
      <c r="Q250">
        <v>0</v>
      </c>
      <c r="R250" t="s">
        <v>46571</v>
      </c>
      <c r="S250" t="s">
        <v>46687</v>
      </c>
      <c r="T250" t="s">
        <v>48276</v>
      </c>
      <c r="U250" t="s">
        <v>49000</v>
      </c>
      <c r="W250" t="s">
        <v>42674</v>
      </c>
      <c r="X250" t="s">
        <v>46573</v>
      </c>
    </row>
    <row r="251" spans="1:24">
      <c r="A251">
        <f>HYPERLINK("https://www.philgeps.gov.ph/GEPSNONPILOT/Tender/SplashBidNoticeAbstractUI.aspx?menuIndex=3&amp;refID=7064366&amp;Result=3","7064366")</f>
        <v>0</v>
      </c>
      <c r="B251" t="s">
        <v>115</v>
      </c>
      <c r="C251" t="s">
        <v>3774</v>
      </c>
      <c r="D251" t="s">
        <v>18784</v>
      </c>
      <c r="E251" t="s">
        <v>19127</v>
      </c>
      <c r="F251" t="s">
        <v>32664</v>
      </c>
      <c r="G251" t="s">
        <v>32672</v>
      </c>
      <c r="H251" t="s">
        <v>12635</v>
      </c>
      <c r="I251" t="s">
        <v>8730</v>
      </c>
      <c r="J251" t="s">
        <v>33027</v>
      </c>
      <c r="K251" t="s">
        <v>42284</v>
      </c>
      <c r="M251" t="s">
        <v>42679</v>
      </c>
      <c r="N251" t="s">
        <v>46569</v>
      </c>
      <c r="O251" t="s">
        <v>46570</v>
      </c>
      <c r="P251">
        <v>0</v>
      </c>
      <c r="Q251">
        <v>1</v>
      </c>
      <c r="R251" t="s">
        <v>46571</v>
      </c>
      <c r="S251" t="s">
        <v>46687</v>
      </c>
      <c r="T251" t="s">
        <v>48275</v>
      </c>
      <c r="U251" t="s">
        <v>49008</v>
      </c>
      <c r="W251" t="s">
        <v>42679</v>
      </c>
      <c r="X251" t="s">
        <v>46573</v>
      </c>
    </row>
    <row r="252" spans="1:24">
      <c r="A252">
        <f>HYPERLINK("https://www.philgeps.gov.ph/GEPSNONPILOT/Tender/SplashBidNoticeAbstractUI.aspx?menuIndex=3&amp;refID=7064354&amp;Result=3","7064354")</f>
        <v>0</v>
      </c>
      <c r="B252" t="s">
        <v>115</v>
      </c>
      <c r="C252" t="s">
        <v>3776</v>
      </c>
      <c r="D252" t="s">
        <v>18784</v>
      </c>
      <c r="E252" t="s">
        <v>19128</v>
      </c>
      <c r="F252" t="s">
        <v>32664</v>
      </c>
      <c r="G252" t="s">
        <v>32672</v>
      </c>
      <c r="H252" t="s">
        <v>12635</v>
      </c>
      <c r="I252" t="s">
        <v>6118</v>
      </c>
      <c r="J252" t="s">
        <v>33029</v>
      </c>
      <c r="K252" t="s">
        <v>42284</v>
      </c>
      <c r="M252" t="s">
        <v>42679</v>
      </c>
      <c r="N252" t="s">
        <v>46569</v>
      </c>
      <c r="O252" t="s">
        <v>46570</v>
      </c>
      <c r="P252">
        <v>0</v>
      </c>
      <c r="Q252">
        <v>0</v>
      </c>
      <c r="R252" t="s">
        <v>46571</v>
      </c>
      <c r="S252" t="s">
        <v>46687</v>
      </c>
      <c r="T252" t="s">
        <v>48275</v>
      </c>
      <c r="U252" t="s">
        <v>49008</v>
      </c>
      <c r="W252" t="s">
        <v>42679</v>
      </c>
      <c r="X252" t="s">
        <v>46573</v>
      </c>
    </row>
    <row r="253" spans="1:24">
      <c r="A253">
        <f>HYPERLINK("https://www.philgeps.gov.ph/GEPSNONPILOT/Tender/SplashBidNoticeAbstractUI.aspx?menuIndex=3&amp;refID=7064348&amp;Result=3","7064348")</f>
        <v>0</v>
      </c>
      <c r="B253" t="s">
        <v>115</v>
      </c>
      <c r="C253" t="s">
        <v>3776</v>
      </c>
      <c r="D253" t="s">
        <v>18784</v>
      </c>
      <c r="E253" t="s">
        <v>19129</v>
      </c>
      <c r="F253" t="s">
        <v>32664</v>
      </c>
      <c r="G253" t="s">
        <v>32672</v>
      </c>
      <c r="H253" t="s">
        <v>12635</v>
      </c>
      <c r="I253" t="s">
        <v>6118</v>
      </c>
      <c r="J253" t="s">
        <v>33030</v>
      </c>
      <c r="K253" t="s">
        <v>42284</v>
      </c>
      <c r="M253" t="s">
        <v>42679</v>
      </c>
      <c r="N253" t="s">
        <v>46569</v>
      </c>
      <c r="O253" t="s">
        <v>46570</v>
      </c>
      <c r="P253">
        <v>0</v>
      </c>
      <c r="Q253">
        <v>0</v>
      </c>
      <c r="R253" t="s">
        <v>46571</v>
      </c>
      <c r="S253" t="s">
        <v>46687</v>
      </c>
      <c r="T253" t="s">
        <v>48275</v>
      </c>
      <c r="U253" t="s">
        <v>49008</v>
      </c>
      <c r="W253" t="s">
        <v>42679</v>
      </c>
      <c r="X253" t="s">
        <v>46573</v>
      </c>
    </row>
    <row r="254" spans="1:24">
      <c r="A254">
        <f>HYPERLINK("https://www.philgeps.gov.ph/GEPSNONPILOT/Tender/SplashBidNoticeAbstractUI.aspx?menuIndex=3&amp;refID=7064379&amp;Result=3","7064379")</f>
        <v>0</v>
      </c>
      <c r="B254" t="s">
        <v>116</v>
      </c>
      <c r="C254" t="s">
        <v>3777</v>
      </c>
      <c r="D254" t="s">
        <v>18805</v>
      </c>
      <c r="E254" t="s">
        <v>19130</v>
      </c>
      <c r="F254" t="s">
        <v>32664</v>
      </c>
      <c r="G254" t="s">
        <v>32671</v>
      </c>
      <c r="H254" t="s">
        <v>12635</v>
      </c>
      <c r="I254" t="s">
        <v>32692</v>
      </c>
      <c r="J254" t="s">
        <v>33031</v>
      </c>
      <c r="K254" t="s">
        <v>42306</v>
      </c>
      <c r="M254" t="s">
        <v>42680</v>
      </c>
      <c r="N254" t="s">
        <v>46569</v>
      </c>
      <c r="O254" t="s">
        <v>46570</v>
      </c>
      <c r="P254">
        <v>0</v>
      </c>
      <c r="Q254">
        <v>0</v>
      </c>
      <c r="R254" t="s">
        <v>46571</v>
      </c>
      <c r="S254" t="s">
        <v>46687</v>
      </c>
      <c r="T254" t="s">
        <v>48228</v>
      </c>
      <c r="U254" t="s">
        <v>49009</v>
      </c>
      <c r="W254" t="s">
        <v>42680</v>
      </c>
      <c r="X254" t="s">
        <v>46573</v>
      </c>
    </row>
    <row r="255" spans="1:24">
      <c r="A255">
        <f>HYPERLINK("https://www.philgeps.gov.ph/GEPSNONPILOT/Tender/SplashBidNoticeAbstractUI.aspx?menuIndex=3&amp;refID=7064560&amp;Result=3","7064560")</f>
        <v>0</v>
      </c>
      <c r="B255" t="s">
        <v>117</v>
      </c>
      <c r="C255" t="s">
        <v>3778</v>
      </c>
      <c r="D255" t="s">
        <v>18799</v>
      </c>
      <c r="E255" t="s">
        <v>19131</v>
      </c>
      <c r="F255" t="s">
        <v>32664</v>
      </c>
      <c r="G255" t="s">
        <v>32677</v>
      </c>
      <c r="H255" t="s">
        <v>12635</v>
      </c>
      <c r="I255" t="s">
        <v>10370</v>
      </c>
      <c r="J255" t="s">
        <v>33032</v>
      </c>
      <c r="K255" t="s">
        <v>42283</v>
      </c>
      <c r="M255" t="s">
        <v>42681</v>
      </c>
      <c r="N255" t="s">
        <v>46569</v>
      </c>
      <c r="O255" t="s">
        <v>46570</v>
      </c>
      <c r="P255">
        <v>0</v>
      </c>
      <c r="Q255">
        <v>4</v>
      </c>
      <c r="R255" t="s">
        <v>46571</v>
      </c>
      <c r="S255" t="s">
        <v>46687</v>
      </c>
      <c r="T255" t="s">
        <v>48249</v>
      </c>
      <c r="U255" t="s">
        <v>49010</v>
      </c>
      <c r="W255" t="s">
        <v>42681</v>
      </c>
      <c r="X255" t="s">
        <v>46572</v>
      </c>
    </row>
    <row r="256" spans="1:24">
      <c r="A256">
        <f>HYPERLINK("https://www.philgeps.gov.ph/GEPSNONPILOT/Tender/SplashBidNoticeAbstractUI.aspx?menuIndex=3&amp;refID=7064412&amp;Result=3","7064412")</f>
        <v>0</v>
      </c>
      <c r="B256" t="s">
        <v>115</v>
      </c>
      <c r="C256" t="s">
        <v>3779</v>
      </c>
      <c r="D256" t="s">
        <v>18784</v>
      </c>
      <c r="E256" t="s">
        <v>19132</v>
      </c>
      <c r="F256" t="s">
        <v>32664</v>
      </c>
      <c r="G256" t="s">
        <v>32672</v>
      </c>
      <c r="H256" t="s">
        <v>12635</v>
      </c>
      <c r="I256" t="s">
        <v>8797</v>
      </c>
      <c r="J256" t="s">
        <v>33033</v>
      </c>
      <c r="K256" t="s">
        <v>42284</v>
      </c>
      <c r="M256" t="s">
        <v>42679</v>
      </c>
      <c r="N256" t="s">
        <v>46569</v>
      </c>
      <c r="O256" t="s">
        <v>46570</v>
      </c>
      <c r="P256">
        <v>0</v>
      </c>
      <c r="Q256">
        <v>1</v>
      </c>
      <c r="R256" t="s">
        <v>46571</v>
      </c>
      <c r="S256" t="s">
        <v>46687</v>
      </c>
      <c r="T256" t="s">
        <v>48275</v>
      </c>
      <c r="U256" t="s">
        <v>49011</v>
      </c>
      <c r="W256" t="s">
        <v>42679</v>
      </c>
      <c r="X256" t="s">
        <v>46573</v>
      </c>
    </row>
    <row r="257" spans="1:24">
      <c r="A257">
        <f>HYPERLINK("https://www.philgeps.gov.ph/GEPSNONPILOT/Tender/SplashBidNoticeAbstractUI.aspx?menuIndex=3&amp;refID=7064376&amp;Result=3","7064376")</f>
        <v>0</v>
      </c>
      <c r="B257" t="s">
        <v>115</v>
      </c>
      <c r="C257" t="s">
        <v>3772</v>
      </c>
      <c r="D257" t="s">
        <v>18784</v>
      </c>
      <c r="E257" t="s">
        <v>19133</v>
      </c>
      <c r="F257" t="s">
        <v>32664</v>
      </c>
      <c r="G257" t="s">
        <v>32672</v>
      </c>
      <c r="H257" t="s">
        <v>12635</v>
      </c>
      <c r="I257" t="s">
        <v>4205</v>
      </c>
      <c r="J257" t="s">
        <v>33025</v>
      </c>
      <c r="K257" t="s">
        <v>42284</v>
      </c>
      <c r="M257" t="s">
        <v>42679</v>
      </c>
      <c r="N257" t="s">
        <v>46569</v>
      </c>
      <c r="O257" t="s">
        <v>46570</v>
      </c>
      <c r="P257">
        <v>0</v>
      </c>
      <c r="Q257">
        <v>0</v>
      </c>
      <c r="R257" t="s">
        <v>46571</v>
      </c>
      <c r="S257" t="s">
        <v>46687</v>
      </c>
      <c r="T257" t="s">
        <v>48275</v>
      </c>
      <c r="U257" t="s">
        <v>49011</v>
      </c>
      <c r="W257" t="s">
        <v>42679</v>
      </c>
      <c r="X257" t="s">
        <v>46573</v>
      </c>
    </row>
    <row r="258" spans="1:24">
      <c r="A258">
        <f>HYPERLINK("https://www.philgeps.gov.ph/GEPSNONPILOT/Tender/SplashBidNoticeAbstractUI.aspx?menuIndex=3&amp;refID=7064562&amp;Result=3","7064562")</f>
        <v>0</v>
      </c>
      <c r="B258" t="s">
        <v>117</v>
      </c>
      <c r="C258" t="s">
        <v>3780</v>
      </c>
      <c r="D258" t="s">
        <v>18799</v>
      </c>
      <c r="E258" t="s">
        <v>19134</v>
      </c>
      <c r="F258" t="s">
        <v>32664</v>
      </c>
      <c r="G258" t="s">
        <v>32677</v>
      </c>
      <c r="H258" t="s">
        <v>12635</v>
      </c>
      <c r="I258" t="s">
        <v>10370</v>
      </c>
      <c r="J258" t="s">
        <v>33034</v>
      </c>
      <c r="K258" t="s">
        <v>42283</v>
      </c>
      <c r="M258" t="s">
        <v>42681</v>
      </c>
      <c r="N258" t="s">
        <v>46569</v>
      </c>
      <c r="O258" t="s">
        <v>46570</v>
      </c>
      <c r="P258">
        <v>0</v>
      </c>
      <c r="Q258">
        <v>4</v>
      </c>
      <c r="R258" t="s">
        <v>46571</v>
      </c>
      <c r="S258" t="s">
        <v>46687</v>
      </c>
      <c r="T258" t="s">
        <v>48249</v>
      </c>
      <c r="U258" t="s">
        <v>49012</v>
      </c>
      <c r="W258" t="s">
        <v>42681</v>
      </c>
      <c r="X258" t="s">
        <v>46572</v>
      </c>
    </row>
    <row r="259" spans="1:24">
      <c r="A259">
        <f>HYPERLINK("https://www.philgeps.gov.ph/GEPSNONPILOT/Tender/SplashBidNoticeAbstractUI.aspx?menuIndex=3&amp;refID=7064559&amp;Result=3","7064559")</f>
        <v>0</v>
      </c>
      <c r="B259" t="s">
        <v>118</v>
      </c>
      <c r="C259" t="s">
        <v>3781</v>
      </c>
      <c r="E259" t="s">
        <v>19135</v>
      </c>
      <c r="F259" t="s">
        <v>32664</v>
      </c>
      <c r="G259" t="s">
        <v>32672</v>
      </c>
      <c r="H259" t="s">
        <v>32683</v>
      </c>
      <c r="I259" t="s">
        <v>10627</v>
      </c>
      <c r="J259" t="s">
        <v>33035</v>
      </c>
      <c r="K259" t="s">
        <v>42322</v>
      </c>
      <c r="M259" t="s">
        <v>42682</v>
      </c>
      <c r="N259" t="s">
        <v>46569</v>
      </c>
      <c r="O259" t="s">
        <v>46570</v>
      </c>
      <c r="P259">
        <v>0</v>
      </c>
      <c r="Q259">
        <v>0</v>
      </c>
      <c r="R259" t="s">
        <v>46571</v>
      </c>
      <c r="S259" t="s">
        <v>46687</v>
      </c>
      <c r="T259" t="s">
        <v>48237</v>
      </c>
      <c r="U259" t="s">
        <v>49013</v>
      </c>
      <c r="W259" t="s">
        <v>42682</v>
      </c>
      <c r="X259" t="s">
        <v>46572</v>
      </c>
    </row>
    <row r="260" spans="1:24">
      <c r="A260">
        <f>HYPERLINK("https://www.philgeps.gov.ph/GEPSNONPILOT/Tender/SplashBidNoticeAbstractUI.aspx?menuIndex=3&amp;refID=7064557&amp;Result=3","7064557")</f>
        <v>0</v>
      </c>
      <c r="B260" t="s">
        <v>117</v>
      </c>
      <c r="C260" t="s">
        <v>3782</v>
      </c>
      <c r="D260" t="s">
        <v>18799</v>
      </c>
      <c r="E260" t="s">
        <v>3782</v>
      </c>
      <c r="F260" t="s">
        <v>32664</v>
      </c>
      <c r="G260" t="s">
        <v>32677</v>
      </c>
      <c r="H260" t="s">
        <v>12635</v>
      </c>
      <c r="I260" t="s">
        <v>32710</v>
      </c>
      <c r="J260" t="s">
        <v>32853</v>
      </c>
      <c r="K260" t="s">
        <v>42283</v>
      </c>
      <c r="M260" t="s">
        <v>42681</v>
      </c>
      <c r="N260" t="s">
        <v>46569</v>
      </c>
      <c r="O260" t="s">
        <v>46570</v>
      </c>
      <c r="P260">
        <v>0</v>
      </c>
      <c r="Q260">
        <v>1</v>
      </c>
      <c r="R260" t="s">
        <v>46571</v>
      </c>
      <c r="S260" t="s">
        <v>46687</v>
      </c>
      <c r="T260" t="s">
        <v>48249</v>
      </c>
      <c r="U260" t="s">
        <v>49014</v>
      </c>
      <c r="W260" t="s">
        <v>42681</v>
      </c>
      <c r="X260" t="s">
        <v>46572</v>
      </c>
    </row>
    <row r="261" spans="1:24">
      <c r="A261">
        <f>HYPERLINK("https://www.philgeps.gov.ph/GEPSNONPILOT/Tender/SplashBidNoticeAbstractUI.aspx?menuIndex=3&amp;refID=7064558&amp;Result=3","7064558")</f>
        <v>0</v>
      </c>
      <c r="B261" t="s">
        <v>117</v>
      </c>
      <c r="C261" t="s">
        <v>3783</v>
      </c>
      <c r="D261" t="s">
        <v>18799</v>
      </c>
      <c r="E261" t="s">
        <v>19136</v>
      </c>
      <c r="F261" t="s">
        <v>32664</v>
      </c>
      <c r="G261" t="s">
        <v>32677</v>
      </c>
      <c r="H261" t="s">
        <v>12635</v>
      </c>
      <c r="I261" t="s">
        <v>10370</v>
      </c>
      <c r="J261" t="s">
        <v>33036</v>
      </c>
      <c r="K261" t="s">
        <v>42283</v>
      </c>
      <c r="M261" t="s">
        <v>42681</v>
      </c>
      <c r="N261" t="s">
        <v>46569</v>
      </c>
      <c r="O261" t="s">
        <v>46570</v>
      </c>
      <c r="P261">
        <v>0</v>
      </c>
      <c r="Q261">
        <v>4</v>
      </c>
      <c r="R261" t="s">
        <v>46571</v>
      </c>
      <c r="S261" t="s">
        <v>46687</v>
      </c>
      <c r="T261" t="s">
        <v>48249</v>
      </c>
      <c r="U261" t="s">
        <v>49015</v>
      </c>
      <c r="W261" t="s">
        <v>42681</v>
      </c>
      <c r="X261" t="s">
        <v>46572</v>
      </c>
    </row>
    <row r="262" spans="1:24">
      <c r="A262">
        <f>HYPERLINK("https://www.philgeps.gov.ph/GEPSNONPILOT/Tender/SplashBidNoticeAbstractUI.aspx?menuIndex=3&amp;refID=7064254&amp;Result=3","7064254")</f>
        <v>0</v>
      </c>
      <c r="B262" t="s">
        <v>119</v>
      </c>
      <c r="C262" t="s">
        <v>3784</v>
      </c>
      <c r="D262" t="s">
        <v>18782</v>
      </c>
      <c r="E262" t="s">
        <v>19137</v>
      </c>
      <c r="F262" t="s">
        <v>32664</v>
      </c>
      <c r="G262" t="s">
        <v>32674</v>
      </c>
      <c r="H262" t="s">
        <v>12635</v>
      </c>
      <c r="I262" t="s">
        <v>32692</v>
      </c>
      <c r="J262" t="s">
        <v>33037</v>
      </c>
      <c r="K262" t="s">
        <v>42295</v>
      </c>
      <c r="M262" t="s">
        <v>42683</v>
      </c>
      <c r="N262" t="s">
        <v>46569</v>
      </c>
      <c r="O262" t="s">
        <v>46570</v>
      </c>
      <c r="P262">
        <v>0</v>
      </c>
      <c r="Q262">
        <v>0</v>
      </c>
      <c r="R262" t="s">
        <v>46571</v>
      </c>
      <c r="S262" t="s">
        <v>46687</v>
      </c>
      <c r="T262" t="s">
        <v>48217</v>
      </c>
      <c r="U262" t="s">
        <v>49016</v>
      </c>
      <c r="V262" t="s">
        <v>61644</v>
      </c>
      <c r="W262" t="s">
        <v>42683</v>
      </c>
      <c r="X262" t="s">
        <v>46573</v>
      </c>
    </row>
    <row r="263" spans="1:24">
      <c r="A263">
        <f>HYPERLINK("https://www.philgeps.gov.ph/GEPSNONPILOT/Tender/SplashBidNoticeAbstractUI.aspx?menuIndex=3&amp;refID=7064556&amp;Result=3","7064556")</f>
        <v>0</v>
      </c>
      <c r="B263" t="s">
        <v>118</v>
      </c>
      <c r="C263" t="s">
        <v>3785</v>
      </c>
      <c r="E263" t="s">
        <v>19138</v>
      </c>
      <c r="F263" t="s">
        <v>32664</v>
      </c>
      <c r="G263" t="s">
        <v>32674</v>
      </c>
      <c r="H263" t="s">
        <v>32682</v>
      </c>
      <c r="I263" t="s">
        <v>32694</v>
      </c>
      <c r="J263" t="s">
        <v>32898</v>
      </c>
      <c r="K263" t="s">
        <v>42309</v>
      </c>
      <c r="M263" t="s">
        <v>42682</v>
      </c>
      <c r="N263" t="s">
        <v>46569</v>
      </c>
      <c r="O263" t="s">
        <v>46570</v>
      </c>
      <c r="P263">
        <v>0</v>
      </c>
      <c r="Q263">
        <v>0</v>
      </c>
      <c r="R263" t="s">
        <v>46571</v>
      </c>
      <c r="S263" t="s">
        <v>46687</v>
      </c>
      <c r="T263" t="s">
        <v>48246</v>
      </c>
      <c r="U263" t="s">
        <v>49017</v>
      </c>
      <c r="W263" t="s">
        <v>42682</v>
      </c>
      <c r="X263" t="s">
        <v>46572</v>
      </c>
    </row>
    <row r="264" spans="1:24">
      <c r="A264">
        <f>HYPERLINK("https://www.philgeps.gov.ph/GEPSNONPILOT/Tender/SplashBidNoticeAbstractUI.aspx?menuIndex=3&amp;refID=7064561&amp;Result=3","7064561")</f>
        <v>0</v>
      </c>
      <c r="B264" t="s">
        <v>117</v>
      </c>
      <c r="C264" t="s">
        <v>3786</v>
      </c>
      <c r="D264" t="s">
        <v>18799</v>
      </c>
      <c r="E264" t="s">
        <v>19139</v>
      </c>
      <c r="F264" t="s">
        <v>32664</v>
      </c>
      <c r="G264" t="s">
        <v>32677</v>
      </c>
      <c r="H264" t="s">
        <v>12635</v>
      </c>
      <c r="I264" t="s">
        <v>10370</v>
      </c>
      <c r="J264" t="s">
        <v>33038</v>
      </c>
      <c r="K264" t="s">
        <v>42283</v>
      </c>
      <c r="M264" t="s">
        <v>42681</v>
      </c>
      <c r="N264" t="s">
        <v>46569</v>
      </c>
      <c r="O264" t="s">
        <v>46570</v>
      </c>
      <c r="P264">
        <v>0</v>
      </c>
      <c r="Q264">
        <v>4</v>
      </c>
      <c r="R264" t="s">
        <v>46571</v>
      </c>
      <c r="S264" t="s">
        <v>46687</v>
      </c>
      <c r="T264" t="s">
        <v>48249</v>
      </c>
      <c r="U264" t="s">
        <v>49018</v>
      </c>
      <c r="W264" t="s">
        <v>42681</v>
      </c>
      <c r="X264" t="s">
        <v>46572</v>
      </c>
    </row>
    <row r="265" spans="1:24">
      <c r="A265">
        <f>HYPERLINK("https://www.philgeps.gov.ph/GEPSNONPILOT/Tender/SplashBidNoticeAbstractUI.aspx?menuIndex=3&amp;refID=7064552&amp;Result=3","7064552")</f>
        <v>0</v>
      </c>
      <c r="B265" t="s">
        <v>120</v>
      </c>
      <c r="C265" t="s">
        <v>3787</v>
      </c>
      <c r="D265" t="s">
        <v>18827</v>
      </c>
      <c r="E265" t="s">
        <v>19140</v>
      </c>
      <c r="F265" t="s">
        <v>32664</v>
      </c>
      <c r="G265" t="s">
        <v>32672</v>
      </c>
      <c r="H265" t="s">
        <v>32683</v>
      </c>
      <c r="I265" t="s">
        <v>10627</v>
      </c>
      <c r="J265" t="s">
        <v>33039</v>
      </c>
      <c r="K265" t="s">
        <v>42305</v>
      </c>
      <c r="M265" t="s">
        <v>42684</v>
      </c>
      <c r="N265" t="s">
        <v>46569</v>
      </c>
      <c r="O265" t="s">
        <v>46570</v>
      </c>
      <c r="P265">
        <v>0</v>
      </c>
      <c r="Q265">
        <v>0</v>
      </c>
      <c r="R265" t="s">
        <v>46571</v>
      </c>
      <c r="S265" t="s">
        <v>46687</v>
      </c>
      <c r="T265" t="s">
        <v>48248</v>
      </c>
      <c r="U265" t="s">
        <v>49019</v>
      </c>
      <c r="W265" t="s">
        <v>42684</v>
      </c>
      <c r="X265" t="s">
        <v>46572</v>
      </c>
    </row>
    <row r="266" spans="1:24">
      <c r="A266">
        <f>HYPERLINK("https://www.philgeps.gov.ph/GEPSNONPILOT/Tender/SplashBidNoticeAbstractUI.aspx?menuIndex=3&amp;refID=7063484&amp;Result=3","7063484")</f>
        <v>0</v>
      </c>
      <c r="B266" t="s">
        <v>104</v>
      </c>
      <c r="C266" t="s">
        <v>3788</v>
      </c>
      <c r="E266" t="s">
        <v>19141</v>
      </c>
      <c r="F266" t="s">
        <v>32664</v>
      </c>
      <c r="G266" t="s">
        <v>32672</v>
      </c>
      <c r="H266" t="s">
        <v>12635</v>
      </c>
      <c r="I266" t="s">
        <v>32704</v>
      </c>
      <c r="J266" t="s">
        <v>33040</v>
      </c>
      <c r="K266" t="s">
        <v>42283</v>
      </c>
      <c r="M266" t="s">
        <v>42668</v>
      </c>
      <c r="N266" t="s">
        <v>46569</v>
      </c>
      <c r="O266" t="s">
        <v>46570</v>
      </c>
      <c r="P266">
        <v>0</v>
      </c>
      <c r="Q266">
        <v>8</v>
      </c>
      <c r="R266" t="s">
        <v>46571</v>
      </c>
      <c r="S266" t="s">
        <v>46687</v>
      </c>
      <c r="T266" t="s">
        <v>48272</v>
      </c>
      <c r="U266" t="s">
        <v>48990</v>
      </c>
      <c r="W266" t="s">
        <v>42668</v>
      </c>
      <c r="X266" t="s">
        <v>46573</v>
      </c>
    </row>
    <row r="267" spans="1:24">
      <c r="A267">
        <f>HYPERLINK("https://www.philgeps.gov.ph/GEPSNONPILOT/Tender/SplashBidNoticeAbstractUI.aspx?menuIndex=3&amp;refID=7064547&amp;Result=3","7064547")</f>
        <v>0</v>
      </c>
      <c r="B267" t="s">
        <v>121</v>
      </c>
      <c r="C267" t="s">
        <v>3789</v>
      </c>
      <c r="D267" t="s">
        <v>18828</v>
      </c>
      <c r="E267" t="s">
        <v>19142</v>
      </c>
      <c r="F267" t="s">
        <v>32664</v>
      </c>
      <c r="G267" t="s">
        <v>32672</v>
      </c>
      <c r="H267" t="s">
        <v>12635</v>
      </c>
      <c r="I267" t="s">
        <v>32711</v>
      </c>
      <c r="J267" t="s">
        <v>33041</v>
      </c>
      <c r="K267" t="s">
        <v>42281</v>
      </c>
      <c r="M267" t="s">
        <v>42685</v>
      </c>
      <c r="N267" t="s">
        <v>46569</v>
      </c>
      <c r="O267" t="s">
        <v>46570</v>
      </c>
      <c r="P267">
        <v>0</v>
      </c>
      <c r="Q267">
        <v>0</v>
      </c>
      <c r="R267" t="s">
        <v>46571</v>
      </c>
      <c r="S267" t="s">
        <v>46687</v>
      </c>
      <c r="T267" t="s">
        <v>48277</v>
      </c>
      <c r="U267" t="s">
        <v>49020</v>
      </c>
      <c r="W267" t="s">
        <v>42685</v>
      </c>
      <c r="X267" t="s">
        <v>46573</v>
      </c>
    </row>
    <row r="268" spans="1:24">
      <c r="A268">
        <f>HYPERLINK("https://www.philgeps.gov.ph/GEPSNONPILOT/Tender/SplashBidNoticeAbstractUI.aspx?menuIndex=3&amp;refID=7064359&amp;Result=3","7064359")</f>
        <v>0</v>
      </c>
      <c r="B268" t="s">
        <v>115</v>
      </c>
      <c r="C268" t="s">
        <v>3774</v>
      </c>
      <c r="D268" t="s">
        <v>18784</v>
      </c>
      <c r="E268" t="s">
        <v>19143</v>
      </c>
      <c r="F268" t="s">
        <v>32664</v>
      </c>
      <c r="G268" t="s">
        <v>32672</v>
      </c>
      <c r="H268" t="s">
        <v>12635</v>
      </c>
      <c r="I268" t="s">
        <v>8730</v>
      </c>
      <c r="J268" t="s">
        <v>33027</v>
      </c>
      <c r="K268" t="s">
        <v>42284</v>
      </c>
      <c r="M268" t="s">
        <v>42679</v>
      </c>
      <c r="N268" t="s">
        <v>46569</v>
      </c>
      <c r="O268" t="s">
        <v>46570</v>
      </c>
      <c r="P268">
        <v>0</v>
      </c>
      <c r="Q268">
        <v>0</v>
      </c>
      <c r="R268" t="s">
        <v>46571</v>
      </c>
      <c r="S268" t="s">
        <v>46687</v>
      </c>
      <c r="T268" t="s">
        <v>48275</v>
      </c>
      <c r="U268" t="s">
        <v>49008</v>
      </c>
      <c r="W268" t="s">
        <v>42679</v>
      </c>
      <c r="X268" t="s">
        <v>46573</v>
      </c>
    </row>
    <row r="269" spans="1:24">
      <c r="A269">
        <f>HYPERLINK("https://www.philgeps.gov.ph/GEPSNONPILOT/Tender/SplashBidNoticeAbstractUI.aspx?menuIndex=3&amp;refID=7064541&amp;Result=3","7064541")</f>
        <v>0</v>
      </c>
      <c r="B269" t="s">
        <v>121</v>
      </c>
      <c r="C269" t="s">
        <v>3790</v>
      </c>
      <c r="D269" t="s">
        <v>18828</v>
      </c>
      <c r="E269" t="s">
        <v>19144</v>
      </c>
      <c r="F269" t="s">
        <v>32664</v>
      </c>
      <c r="G269" t="s">
        <v>32672</v>
      </c>
      <c r="H269" t="s">
        <v>12635</v>
      </c>
      <c r="I269" t="s">
        <v>32696</v>
      </c>
      <c r="J269" t="s">
        <v>33042</v>
      </c>
      <c r="K269" t="s">
        <v>42305</v>
      </c>
      <c r="M269" t="s">
        <v>42685</v>
      </c>
      <c r="N269" t="s">
        <v>46569</v>
      </c>
      <c r="O269" t="s">
        <v>46570</v>
      </c>
      <c r="P269">
        <v>0</v>
      </c>
      <c r="Q269">
        <v>3</v>
      </c>
      <c r="R269" t="s">
        <v>46571</v>
      </c>
      <c r="S269" t="s">
        <v>46687</v>
      </c>
      <c r="T269" t="s">
        <v>48277</v>
      </c>
      <c r="U269" t="s">
        <v>49021</v>
      </c>
      <c r="W269" t="s">
        <v>42685</v>
      </c>
      <c r="X269" t="s">
        <v>46573</v>
      </c>
    </row>
    <row r="270" spans="1:24">
      <c r="A270">
        <f>HYPERLINK("https://www.philgeps.gov.ph/GEPSNONPILOT/Tender/SplashBidNoticeAbstractUI.aspx?menuIndex=3&amp;refID=7064577&amp;Result=3","7064577")</f>
        <v>0</v>
      </c>
      <c r="B270" t="s">
        <v>117</v>
      </c>
      <c r="C270" t="s">
        <v>3791</v>
      </c>
      <c r="D270" t="s">
        <v>18799</v>
      </c>
      <c r="E270" t="s">
        <v>19145</v>
      </c>
      <c r="F270" t="s">
        <v>32664</v>
      </c>
      <c r="G270" t="s">
        <v>32677</v>
      </c>
      <c r="H270" t="s">
        <v>12635</v>
      </c>
      <c r="I270" t="s">
        <v>11464</v>
      </c>
      <c r="J270" t="s">
        <v>33043</v>
      </c>
      <c r="K270" t="s">
        <v>42283</v>
      </c>
      <c r="M270" t="s">
        <v>42681</v>
      </c>
      <c r="N270" t="s">
        <v>46569</v>
      </c>
      <c r="O270" t="s">
        <v>46570</v>
      </c>
      <c r="P270">
        <v>0</v>
      </c>
      <c r="Q270">
        <v>0</v>
      </c>
      <c r="R270" t="s">
        <v>46571</v>
      </c>
      <c r="S270" t="s">
        <v>46687</v>
      </c>
      <c r="T270" t="s">
        <v>48249</v>
      </c>
      <c r="U270" t="s">
        <v>49022</v>
      </c>
      <c r="W270" t="s">
        <v>42681</v>
      </c>
      <c r="X270" t="s">
        <v>46572</v>
      </c>
    </row>
    <row r="271" spans="1:24">
      <c r="A271">
        <f>HYPERLINK("https://www.philgeps.gov.ph/GEPSNONPILOT/Tender/SplashBidNoticeAbstractUI.aspx?menuIndex=3&amp;refID=7064591&amp;Result=3","7064591")</f>
        <v>0</v>
      </c>
      <c r="B271" t="s">
        <v>122</v>
      </c>
      <c r="C271" t="s">
        <v>3792</v>
      </c>
      <c r="D271" t="s">
        <v>18788</v>
      </c>
      <c r="E271" t="s">
        <v>19146</v>
      </c>
      <c r="F271" t="s">
        <v>32664</v>
      </c>
      <c r="G271" t="s">
        <v>32672</v>
      </c>
      <c r="H271" t="s">
        <v>12635</v>
      </c>
      <c r="I271" t="s">
        <v>4333</v>
      </c>
      <c r="J271" t="s">
        <v>33044</v>
      </c>
      <c r="K271" t="s">
        <v>42297</v>
      </c>
      <c r="M271" t="s">
        <v>42686</v>
      </c>
      <c r="N271" t="s">
        <v>46569</v>
      </c>
      <c r="O271" t="s">
        <v>46570</v>
      </c>
      <c r="P271">
        <v>0</v>
      </c>
      <c r="Q271">
        <v>0</v>
      </c>
      <c r="R271" t="s">
        <v>46571</v>
      </c>
      <c r="S271" t="s">
        <v>46687</v>
      </c>
      <c r="T271" t="s">
        <v>48278</v>
      </c>
      <c r="U271" t="s">
        <v>49023</v>
      </c>
      <c r="W271" t="s">
        <v>42686</v>
      </c>
      <c r="X271" t="s">
        <v>46572</v>
      </c>
    </row>
    <row r="272" spans="1:24">
      <c r="A272">
        <f>HYPERLINK("https://www.philgeps.gov.ph/GEPSNONPILOT/Tender/SplashBidNoticeAbstractUI.aspx?menuIndex=3&amp;refID=7064555&amp;Result=3","7064555")</f>
        <v>0</v>
      </c>
      <c r="B272" t="s">
        <v>117</v>
      </c>
      <c r="C272" t="s">
        <v>3793</v>
      </c>
      <c r="D272" t="s">
        <v>18799</v>
      </c>
      <c r="E272" t="s">
        <v>19147</v>
      </c>
      <c r="F272" t="s">
        <v>32664</v>
      </c>
      <c r="G272" t="s">
        <v>32671</v>
      </c>
      <c r="H272" t="s">
        <v>12635</v>
      </c>
      <c r="I272" t="s">
        <v>5501</v>
      </c>
      <c r="J272" t="s">
        <v>33045</v>
      </c>
      <c r="K272" t="s">
        <v>42283</v>
      </c>
      <c r="M272" t="s">
        <v>42681</v>
      </c>
      <c r="N272" t="s">
        <v>46569</v>
      </c>
      <c r="O272" t="s">
        <v>46570</v>
      </c>
      <c r="P272">
        <v>0</v>
      </c>
      <c r="Q272">
        <v>5</v>
      </c>
      <c r="R272" t="s">
        <v>46571</v>
      </c>
      <c r="S272" t="s">
        <v>46687</v>
      </c>
      <c r="T272" t="s">
        <v>48249</v>
      </c>
      <c r="U272" t="s">
        <v>49024</v>
      </c>
      <c r="W272" t="s">
        <v>42681</v>
      </c>
      <c r="X272" t="s">
        <v>46572</v>
      </c>
    </row>
    <row r="273" spans="1:24">
      <c r="A273">
        <f>HYPERLINK("https://www.philgeps.gov.ph/GEPSNONPILOT/Tender/SplashBidNoticeAbstractUI.aspx?menuIndex=3&amp;refID=7064551&amp;Result=3","7064551")</f>
        <v>0</v>
      </c>
      <c r="B273" t="s">
        <v>117</v>
      </c>
      <c r="C273" t="s">
        <v>3794</v>
      </c>
      <c r="D273" t="s">
        <v>18799</v>
      </c>
      <c r="E273" t="s">
        <v>19148</v>
      </c>
      <c r="F273" t="s">
        <v>32664</v>
      </c>
      <c r="G273" t="s">
        <v>32671</v>
      </c>
      <c r="H273" t="s">
        <v>12635</v>
      </c>
      <c r="I273" t="s">
        <v>32706</v>
      </c>
      <c r="J273" t="s">
        <v>33046</v>
      </c>
      <c r="K273" t="s">
        <v>42283</v>
      </c>
      <c r="M273" t="s">
        <v>42681</v>
      </c>
      <c r="N273" t="s">
        <v>46569</v>
      </c>
      <c r="O273" t="s">
        <v>46570</v>
      </c>
      <c r="P273">
        <v>0</v>
      </c>
      <c r="Q273">
        <v>0</v>
      </c>
      <c r="R273" t="s">
        <v>46571</v>
      </c>
      <c r="S273" t="s">
        <v>46687</v>
      </c>
      <c r="T273" t="s">
        <v>48249</v>
      </c>
      <c r="U273" t="s">
        <v>49025</v>
      </c>
      <c r="W273" t="s">
        <v>42681</v>
      </c>
      <c r="X273" t="s">
        <v>46573</v>
      </c>
    </row>
    <row r="274" spans="1:24">
      <c r="A274">
        <f>HYPERLINK("https://www.philgeps.gov.ph/GEPSNONPILOT/Tender/SplashBidNoticeAbstractUI.aspx?menuIndex=3&amp;refID=7064554&amp;Result=3","7064554")</f>
        <v>0</v>
      </c>
      <c r="B274" t="s">
        <v>117</v>
      </c>
      <c r="C274" t="s">
        <v>3795</v>
      </c>
      <c r="D274" t="s">
        <v>18799</v>
      </c>
      <c r="E274" t="s">
        <v>19149</v>
      </c>
      <c r="F274" t="s">
        <v>32664</v>
      </c>
      <c r="G274" t="s">
        <v>32671</v>
      </c>
      <c r="H274" t="s">
        <v>12635</v>
      </c>
      <c r="I274" t="s">
        <v>32706</v>
      </c>
      <c r="J274" t="s">
        <v>33047</v>
      </c>
      <c r="K274" t="s">
        <v>42283</v>
      </c>
      <c r="M274" t="s">
        <v>42681</v>
      </c>
      <c r="N274" t="s">
        <v>46569</v>
      </c>
      <c r="O274" t="s">
        <v>46570</v>
      </c>
      <c r="P274">
        <v>0</v>
      </c>
      <c r="Q274">
        <v>0</v>
      </c>
      <c r="R274" t="s">
        <v>46571</v>
      </c>
      <c r="S274" t="s">
        <v>46687</v>
      </c>
      <c r="T274" t="s">
        <v>48249</v>
      </c>
      <c r="U274" t="s">
        <v>49026</v>
      </c>
      <c r="W274" t="s">
        <v>42681</v>
      </c>
      <c r="X274" t="s">
        <v>46572</v>
      </c>
    </row>
    <row r="275" spans="1:24">
      <c r="A275">
        <f>HYPERLINK("https://www.philgeps.gov.ph/GEPSNONPILOT/Tender/SplashBidNoticeAbstractUI.aspx?menuIndex=3&amp;refID=7064583&amp;Result=3","7064583")</f>
        <v>0</v>
      </c>
      <c r="B275" t="s">
        <v>123</v>
      </c>
      <c r="C275" t="s">
        <v>3796</v>
      </c>
      <c r="D275" t="s">
        <v>18826</v>
      </c>
      <c r="E275" t="s">
        <v>19137</v>
      </c>
      <c r="F275" t="s">
        <v>32664</v>
      </c>
      <c r="G275" t="s">
        <v>32674</v>
      </c>
      <c r="H275" t="s">
        <v>12635</v>
      </c>
      <c r="I275" t="s">
        <v>8730</v>
      </c>
      <c r="J275" t="s">
        <v>33048</v>
      </c>
      <c r="K275" t="s">
        <v>42297</v>
      </c>
      <c r="L275" t="s">
        <v>123</v>
      </c>
      <c r="M275" t="s">
        <v>42687</v>
      </c>
      <c r="N275" t="s">
        <v>46569</v>
      </c>
      <c r="O275" t="s">
        <v>46570</v>
      </c>
      <c r="P275">
        <v>0</v>
      </c>
      <c r="Q275">
        <v>0</v>
      </c>
      <c r="R275" t="s">
        <v>46571</v>
      </c>
      <c r="S275" t="s">
        <v>46687</v>
      </c>
      <c r="T275" t="s">
        <v>48279</v>
      </c>
      <c r="U275" t="s">
        <v>49027</v>
      </c>
      <c r="W275" t="s">
        <v>42687</v>
      </c>
      <c r="X275" t="s">
        <v>46572</v>
      </c>
    </row>
    <row r="276" spans="1:24">
      <c r="A276">
        <f>HYPERLINK("https://www.philgeps.gov.ph/GEPSNONPILOT/Tender/SplashBidNoticeAbstractUI.aspx?menuIndex=3&amp;refID=7064579&amp;Result=3","7064579")</f>
        <v>0</v>
      </c>
      <c r="B276" t="s">
        <v>117</v>
      </c>
      <c r="C276" t="s">
        <v>3797</v>
      </c>
      <c r="D276" t="s">
        <v>18799</v>
      </c>
      <c r="E276" t="s">
        <v>3797</v>
      </c>
      <c r="F276" t="s">
        <v>32664</v>
      </c>
      <c r="G276" t="s">
        <v>32677</v>
      </c>
      <c r="H276" t="s">
        <v>12635</v>
      </c>
      <c r="I276" t="s">
        <v>32696</v>
      </c>
      <c r="J276" t="s">
        <v>33049</v>
      </c>
      <c r="K276" t="s">
        <v>42283</v>
      </c>
      <c r="M276" t="s">
        <v>42681</v>
      </c>
      <c r="N276" t="s">
        <v>46569</v>
      </c>
      <c r="O276" t="s">
        <v>46570</v>
      </c>
      <c r="P276">
        <v>0</v>
      </c>
      <c r="Q276">
        <v>0</v>
      </c>
      <c r="R276" t="s">
        <v>46571</v>
      </c>
      <c r="S276" t="s">
        <v>46687</v>
      </c>
      <c r="T276" t="s">
        <v>48249</v>
      </c>
      <c r="U276" t="s">
        <v>49028</v>
      </c>
      <c r="W276" t="s">
        <v>42681</v>
      </c>
      <c r="X276" t="s">
        <v>46572</v>
      </c>
    </row>
    <row r="277" spans="1:24">
      <c r="A277">
        <f>HYPERLINK("https://www.philgeps.gov.ph/GEPSNONPILOT/Tender/SplashBidNoticeAbstractUI.aspx?menuIndex=3&amp;refID=7064586&amp;Result=3","7064586")</f>
        <v>0</v>
      </c>
      <c r="B277" t="s">
        <v>124</v>
      </c>
      <c r="C277" t="s">
        <v>3798</v>
      </c>
      <c r="D277" t="s">
        <v>18781</v>
      </c>
      <c r="E277" t="s">
        <v>19150</v>
      </c>
      <c r="F277" t="s">
        <v>32664</v>
      </c>
      <c r="G277" t="s">
        <v>32672</v>
      </c>
      <c r="H277" t="s">
        <v>32683</v>
      </c>
      <c r="I277" t="s">
        <v>10627</v>
      </c>
      <c r="J277" t="s">
        <v>33050</v>
      </c>
      <c r="K277" t="s">
        <v>42314</v>
      </c>
      <c r="M277" t="s">
        <v>42688</v>
      </c>
      <c r="N277" t="s">
        <v>46569</v>
      </c>
      <c r="O277" t="s">
        <v>46570</v>
      </c>
      <c r="P277">
        <v>0</v>
      </c>
      <c r="Q277">
        <v>0</v>
      </c>
      <c r="R277" t="s">
        <v>46571</v>
      </c>
      <c r="S277" t="s">
        <v>46687</v>
      </c>
      <c r="T277" t="s">
        <v>48223</v>
      </c>
      <c r="U277" t="s">
        <v>49029</v>
      </c>
      <c r="W277" t="s">
        <v>42688</v>
      </c>
      <c r="X277" t="s">
        <v>46572</v>
      </c>
    </row>
    <row r="278" spans="1:24">
      <c r="A278">
        <f>HYPERLINK("https://www.philgeps.gov.ph/GEPSNONPILOT/Tender/SplashBidNoticeAbstractUI.aspx?menuIndex=3&amp;refID=7064578&amp;Result=3","7064578")</f>
        <v>0</v>
      </c>
      <c r="B278" t="s">
        <v>117</v>
      </c>
      <c r="C278" t="s">
        <v>3799</v>
      </c>
      <c r="D278" t="s">
        <v>18799</v>
      </c>
      <c r="E278" t="s">
        <v>3799</v>
      </c>
      <c r="F278" t="s">
        <v>32664</v>
      </c>
      <c r="G278" t="s">
        <v>32677</v>
      </c>
      <c r="H278" t="s">
        <v>12635</v>
      </c>
      <c r="I278" t="s">
        <v>6628</v>
      </c>
      <c r="J278" t="s">
        <v>33051</v>
      </c>
      <c r="K278" t="s">
        <v>42283</v>
      </c>
      <c r="M278" t="s">
        <v>42681</v>
      </c>
      <c r="N278" t="s">
        <v>46569</v>
      </c>
      <c r="O278" t="s">
        <v>46570</v>
      </c>
      <c r="P278">
        <v>0</v>
      </c>
      <c r="Q278">
        <v>5</v>
      </c>
      <c r="R278" t="s">
        <v>46571</v>
      </c>
      <c r="S278" t="s">
        <v>46687</v>
      </c>
      <c r="T278" t="s">
        <v>48249</v>
      </c>
      <c r="U278" t="s">
        <v>49030</v>
      </c>
      <c r="W278" t="s">
        <v>42681</v>
      </c>
      <c r="X278" t="s">
        <v>46572</v>
      </c>
    </row>
    <row r="279" spans="1:24">
      <c r="A279">
        <f>HYPERLINK("https://www.philgeps.gov.ph/GEPSNONPILOT/Tender/SplashBidNoticeAbstractUI.aspx?menuIndex=3&amp;refID=7064575&amp;Result=3","7064575")</f>
        <v>0</v>
      </c>
      <c r="B279" t="s">
        <v>117</v>
      </c>
      <c r="C279" t="s">
        <v>3800</v>
      </c>
      <c r="D279" t="s">
        <v>18799</v>
      </c>
      <c r="E279" t="s">
        <v>19151</v>
      </c>
      <c r="F279" t="s">
        <v>32664</v>
      </c>
      <c r="G279" t="s">
        <v>32677</v>
      </c>
      <c r="H279" t="s">
        <v>12635</v>
      </c>
      <c r="I279" t="s">
        <v>11464</v>
      </c>
      <c r="J279" t="s">
        <v>33052</v>
      </c>
      <c r="K279" t="s">
        <v>42283</v>
      </c>
      <c r="M279" t="s">
        <v>42681</v>
      </c>
      <c r="N279" t="s">
        <v>46569</v>
      </c>
      <c r="O279" t="s">
        <v>46570</v>
      </c>
      <c r="P279">
        <v>0</v>
      </c>
      <c r="Q279">
        <v>0</v>
      </c>
      <c r="R279" t="s">
        <v>46571</v>
      </c>
      <c r="S279" t="s">
        <v>46687</v>
      </c>
      <c r="T279" t="s">
        <v>48249</v>
      </c>
      <c r="U279" t="s">
        <v>49031</v>
      </c>
      <c r="W279" t="s">
        <v>42681</v>
      </c>
      <c r="X279" t="s">
        <v>46572</v>
      </c>
    </row>
    <row r="280" spans="1:24">
      <c r="A280">
        <f>HYPERLINK("https://www.philgeps.gov.ph/GEPSNONPILOT/Tender/SplashBidNoticeAbstractUI.aspx?menuIndex=3&amp;refID=7064585&amp;Result=3","7064585")</f>
        <v>0</v>
      </c>
      <c r="B280" t="s">
        <v>125</v>
      </c>
      <c r="C280" t="s">
        <v>3801</v>
      </c>
      <c r="D280" t="s">
        <v>18818</v>
      </c>
      <c r="E280" t="s">
        <v>19152</v>
      </c>
      <c r="F280" t="s">
        <v>32664</v>
      </c>
      <c r="G280" t="s">
        <v>32672</v>
      </c>
      <c r="H280" t="s">
        <v>12635</v>
      </c>
      <c r="I280" t="s">
        <v>4439</v>
      </c>
      <c r="J280" t="s">
        <v>33053</v>
      </c>
      <c r="K280" t="s">
        <v>42283</v>
      </c>
      <c r="M280" t="s">
        <v>42689</v>
      </c>
      <c r="N280" t="s">
        <v>46569</v>
      </c>
      <c r="O280" t="s">
        <v>46570</v>
      </c>
      <c r="P280">
        <v>0</v>
      </c>
      <c r="Q280">
        <v>0</v>
      </c>
      <c r="R280" t="s">
        <v>46571</v>
      </c>
      <c r="S280" t="s">
        <v>46687</v>
      </c>
      <c r="T280" t="s">
        <v>48273</v>
      </c>
      <c r="U280" t="s">
        <v>49032</v>
      </c>
      <c r="W280" t="s">
        <v>42689</v>
      </c>
      <c r="X280" t="s">
        <v>46572</v>
      </c>
    </row>
    <row r="281" spans="1:24">
      <c r="A281">
        <f>HYPERLINK("https://www.philgeps.gov.ph/GEPSNONPILOT/Tender/SplashBidNoticeAbstractUI.aspx?menuIndex=3&amp;refID=7064573&amp;Result=3","7064573")</f>
        <v>0</v>
      </c>
      <c r="B281" t="s">
        <v>117</v>
      </c>
      <c r="C281" t="s">
        <v>3802</v>
      </c>
      <c r="D281" t="s">
        <v>18799</v>
      </c>
      <c r="E281" t="s">
        <v>19153</v>
      </c>
      <c r="F281" t="s">
        <v>32664</v>
      </c>
      <c r="G281" t="s">
        <v>32677</v>
      </c>
      <c r="H281" t="s">
        <v>12635</v>
      </c>
      <c r="I281" t="s">
        <v>11464</v>
      </c>
      <c r="J281" t="s">
        <v>33054</v>
      </c>
      <c r="K281" t="s">
        <v>42283</v>
      </c>
      <c r="M281" t="s">
        <v>42681</v>
      </c>
      <c r="N281" t="s">
        <v>46569</v>
      </c>
      <c r="O281" t="s">
        <v>46570</v>
      </c>
      <c r="P281">
        <v>0</v>
      </c>
      <c r="Q281">
        <v>1</v>
      </c>
      <c r="R281" t="s">
        <v>46571</v>
      </c>
      <c r="S281" t="s">
        <v>46687</v>
      </c>
      <c r="T281" t="s">
        <v>48249</v>
      </c>
      <c r="U281" t="s">
        <v>49033</v>
      </c>
      <c r="W281" t="s">
        <v>42681</v>
      </c>
      <c r="X281" t="s">
        <v>46572</v>
      </c>
    </row>
    <row r="282" spans="1:24">
      <c r="A282">
        <f>HYPERLINK("https://www.philgeps.gov.ph/GEPSNONPILOT/Tender/SplashBidNoticeAbstractUI.aspx?menuIndex=3&amp;refID=7064571&amp;Result=3","7064571")</f>
        <v>0</v>
      </c>
      <c r="B282" t="s">
        <v>117</v>
      </c>
      <c r="C282" t="s">
        <v>3803</v>
      </c>
      <c r="D282" t="s">
        <v>18799</v>
      </c>
      <c r="E282" t="s">
        <v>3803</v>
      </c>
      <c r="F282" t="s">
        <v>32664</v>
      </c>
      <c r="G282" t="s">
        <v>32677</v>
      </c>
      <c r="H282" t="s">
        <v>12635</v>
      </c>
      <c r="I282" t="s">
        <v>32684</v>
      </c>
      <c r="J282" t="s">
        <v>33055</v>
      </c>
      <c r="K282" t="s">
        <v>42283</v>
      </c>
      <c r="M282" t="s">
        <v>42681</v>
      </c>
      <c r="N282" t="s">
        <v>46569</v>
      </c>
      <c r="O282" t="s">
        <v>46570</v>
      </c>
      <c r="P282">
        <v>0</v>
      </c>
      <c r="Q282">
        <v>4</v>
      </c>
      <c r="R282" t="s">
        <v>46571</v>
      </c>
      <c r="S282" t="s">
        <v>46687</v>
      </c>
      <c r="T282" t="s">
        <v>48249</v>
      </c>
      <c r="U282" t="s">
        <v>49034</v>
      </c>
      <c r="W282" t="s">
        <v>42681</v>
      </c>
      <c r="X282" t="s">
        <v>46572</v>
      </c>
    </row>
    <row r="283" spans="1:24">
      <c r="A283">
        <f>HYPERLINK("https://www.philgeps.gov.ph/GEPSNONPILOT/Tender/SplashBidNoticeAbstractUI.aspx?menuIndex=3&amp;refID=7064570&amp;Result=3","7064570")</f>
        <v>0</v>
      </c>
      <c r="B283" t="s">
        <v>117</v>
      </c>
      <c r="C283" t="s">
        <v>3804</v>
      </c>
      <c r="D283" t="s">
        <v>18799</v>
      </c>
      <c r="E283" t="s">
        <v>19154</v>
      </c>
      <c r="F283" t="s">
        <v>32664</v>
      </c>
      <c r="G283" t="s">
        <v>32677</v>
      </c>
      <c r="H283" t="s">
        <v>12635</v>
      </c>
      <c r="I283" t="s">
        <v>32698</v>
      </c>
      <c r="J283" t="s">
        <v>33056</v>
      </c>
      <c r="K283" t="s">
        <v>42283</v>
      </c>
      <c r="M283" t="s">
        <v>42681</v>
      </c>
      <c r="N283" t="s">
        <v>46569</v>
      </c>
      <c r="O283" t="s">
        <v>46570</v>
      </c>
      <c r="P283">
        <v>0</v>
      </c>
      <c r="Q283">
        <v>0</v>
      </c>
      <c r="R283" t="s">
        <v>46571</v>
      </c>
      <c r="S283" t="s">
        <v>46687</v>
      </c>
      <c r="T283" t="s">
        <v>48249</v>
      </c>
      <c r="U283" t="s">
        <v>49035</v>
      </c>
      <c r="W283" t="s">
        <v>42681</v>
      </c>
      <c r="X283" t="s">
        <v>46572</v>
      </c>
    </row>
    <row r="284" spans="1:24">
      <c r="A284">
        <f>HYPERLINK("https://www.philgeps.gov.ph/GEPSNONPILOT/Tender/SplashBidNoticeAbstractUI.aspx?menuIndex=3&amp;refID=7064568&amp;Result=3","7064568")</f>
        <v>0</v>
      </c>
      <c r="B284" t="s">
        <v>126</v>
      </c>
      <c r="C284" t="s">
        <v>3805</v>
      </c>
      <c r="D284" t="s">
        <v>18829</v>
      </c>
      <c r="E284" t="s">
        <v>19155</v>
      </c>
      <c r="F284" t="s">
        <v>32664</v>
      </c>
      <c r="G284" t="s">
        <v>32672</v>
      </c>
      <c r="H284" t="s">
        <v>12635</v>
      </c>
      <c r="I284" t="s">
        <v>4439</v>
      </c>
      <c r="J284" t="s">
        <v>33057</v>
      </c>
      <c r="K284" t="s">
        <v>42305</v>
      </c>
      <c r="M284" t="s">
        <v>42690</v>
      </c>
      <c r="N284" t="s">
        <v>46569</v>
      </c>
      <c r="O284" t="s">
        <v>46570</v>
      </c>
      <c r="P284">
        <v>0</v>
      </c>
      <c r="Q284">
        <v>0</v>
      </c>
      <c r="R284" t="s">
        <v>46571</v>
      </c>
      <c r="S284" t="s">
        <v>46687</v>
      </c>
      <c r="T284" t="s">
        <v>48237</v>
      </c>
      <c r="U284" t="s">
        <v>49036</v>
      </c>
      <c r="W284" t="s">
        <v>42690</v>
      </c>
      <c r="X284" t="s">
        <v>46572</v>
      </c>
    </row>
    <row r="285" spans="1:24">
      <c r="A285">
        <f>HYPERLINK("https://www.philgeps.gov.ph/GEPSNONPILOT/Tender/SplashBidNoticeAbstractUI.aspx?menuIndex=3&amp;refID=7064594&amp;Result=3","7064594")</f>
        <v>0</v>
      </c>
      <c r="B285" t="s">
        <v>127</v>
      </c>
      <c r="C285" t="s">
        <v>3806</v>
      </c>
      <c r="D285" t="s">
        <v>18830</v>
      </c>
      <c r="E285" t="s">
        <v>19156</v>
      </c>
      <c r="F285" t="s">
        <v>32664</v>
      </c>
      <c r="G285" t="s">
        <v>32671</v>
      </c>
      <c r="H285" t="s">
        <v>12635</v>
      </c>
      <c r="I285" t="s">
        <v>6168</v>
      </c>
      <c r="J285" t="s">
        <v>33058</v>
      </c>
      <c r="K285" t="s">
        <v>42298</v>
      </c>
      <c r="M285" t="s">
        <v>42691</v>
      </c>
      <c r="N285" t="s">
        <v>46569</v>
      </c>
      <c r="O285" t="s">
        <v>46570</v>
      </c>
      <c r="P285">
        <v>0</v>
      </c>
      <c r="Q285">
        <v>3</v>
      </c>
      <c r="R285" t="s">
        <v>46571</v>
      </c>
      <c r="S285" t="s">
        <v>46687</v>
      </c>
      <c r="T285" t="s">
        <v>48217</v>
      </c>
      <c r="U285" t="s">
        <v>49037</v>
      </c>
      <c r="V285" t="s">
        <v>61645</v>
      </c>
      <c r="W285" t="s">
        <v>42691</v>
      </c>
      <c r="X285" t="s">
        <v>46572</v>
      </c>
    </row>
    <row r="286" spans="1:24">
      <c r="A286">
        <f>HYPERLINK("https://www.philgeps.gov.ph/GEPSNONPILOT/Tender/SplashBidNoticeAbstractUI.aspx?menuIndex=3&amp;refID=7064613&amp;Result=3","7064613")</f>
        <v>0</v>
      </c>
      <c r="B286" t="s">
        <v>128</v>
      </c>
      <c r="C286" t="s">
        <v>3807</v>
      </c>
      <c r="D286" t="s">
        <v>18827</v>
      </c>
      <c r="E286" t="s">
        <v>19157</v>
      </c>
      <c r="F286" t="s">
        <v>32664</v>
      </c>
      <c r="G286" t="s">
        <v>32672</v>
      </c>
      <c r="H286" t="s">
        <v>32683</v>
      </c>
      <c r="I286" t="s">
        <v>10627</v>
      </c>
      <c r="J286" t="s">
        <v>33059</v>
      </c>
      <c r="K286" t="s">
        <v>42323</v>
      </c>
      <c r="M286" t="s">
        <v>42692</v>
      </c>
      <c r="N286" t="s">
        <v>46569</v>
      </c>
      <c r="O286" t="s">
        <v>46570</v>
      </c>
      <c r="P286">
        <v>0</v>
      </c>
      <c r="Q286">
        <v>0</v>
      </c>
      <c r="R286" t="s">
        <v>46571</v>
      </c>
      <c r="S286" t="s">
        <v>46687</v>
      </c>
      <c r="T286" t="s">
        <v>48274</v>
      </c>
      <c r="U286" t="s">
        <v>49038</v>
      </c>
      <c r="W286" t="s">
        <v>42692</v>
      </c>
      <c r="X286" t="s">
        <v>46572</v>
      </c>
    </row>
    <row r="287" spans="1:24">
      <c r="A287">
        <f>HYPERLINK("https://www.philgeps.gov.ph/GEPSNONPILOT/Tender/SplashBidNoticeAbstractUI.aspx?menuIndex=3&amp;refID=7064525&amp;Result=3","7064525")</f>
        <v>0</v>
      </c>
      <c r="B287" t="s">
        <v>121</v>
      </c>
      <c r="C287" t="s">
        <v>3808</v>
      </c>
      <c r="D287" t="s">
        <v>18828</v>
      </c>
      <c r="E287" t="s">
        <v>19158</v>
      </c>
      <c r="F287" t="s">
        <v>32664</v>
      </c>
      <c r="G287" t="s">
        <v>32672</v>
      </c>
      <c r="H287" t="s">
        <v>32683</v>
      </c>
      <c r="I287" t="s">
        <v>10627</v>
      </c>
      <c r="J287" t="s">
        <v>33060</v>
      </c>
      <c r="K287" t="s">
        <v>42324</v>
      </c>
      <c r="M287" t="s">
        <v>42685</v>
      </c>
      <c r="N287" t="s">
        <v>46569</v>
      </c>
      <c r="O287" t="s">
        <v>46570</v>
      </c>
      <c r="P287">
        <v>0</v>
      </c>
      <c r="Q287">
        <v>0</v>
      </c>
      <c r="R287" t="s">
        <v>46571</v>
      </c>
      <c r="S287" t="s">
        <v>46687</v>
      </c>
      <c r="T287" t="s">
        <v>48277</v>
      </c>
      <c r="U287" t="s">
        <v>49039</v>
      </c>
      <c r="W287" t="s">
        <v>42685</v>
      </c>
      <c r="X287" t="s">
        <v>46573</v>
      </c>
    </row>
    <row r="288" spans="1:24">
      <c r="A288">
        <f>HYPERLINK("https://www.philgeps.gov.ph/GEPSNONPILOT/Tender/SplashBidNoticeAbstractUI.aspx?menuIndex=3&amp;refID=7064609&amp;Result=3","7064609")</f>
        <v>0</v>
      </c>
      <c r="B288" t="s">
        <v>129</v>
      </c>
      <c r="C288" t="s">
        <v>3809</v>
      </c>
      <c r="D288" t="s">
        <v>18792</v>
      </c>
      <c r="E288" t="s">
        <v>19159</v>
      </c>
      <c r="F288" t="s">
        <v>32664</v>
      </c>
      <c r="G288" t="s">
        <v>32671</v>
      </c>
      <c r="H288" t="s">
        <v>12635</v>
      </c>
      <c r="I288" t="s">
        <v>4439</v>
      </c>
      <c r="J288" t="s">
        <v>33061</v>
      </c>
      <c r="K288" t="s">
        <v>42281</v>
      </c>
      <c r="M288" t="s">
        <v>42693</v>
      </c>
      <c r="N288" t="s">
        <v>46569</v>
      </c>
      <c r="O288" t="s">
        <v>46570</v>
      </c>
      <c r="P288">
        <v>0</v>
      </c>
      <c r="Q288">
        <v>0</v>
      </c>
      <c r="R288" t="s">
        <v>46571</v>
      </c>
      <c r="S288" t="s">
        <v>46687</v>
      </c>
      <c r="T288" t="s">
        <v>48221</v>
      </c>
      <c r="U288" t="s">
        <v>49040</v>
      </c>
      <c r="W288" t="s">
        <v>42693</v>
      </c>
      <c r="X288" t="s">
        <v>46572</v>
      </c>
    </row>
    <row r="289" spans="1:24">
      <c r="A289">
        <f>HYPERLINK("https://www.philgeps.gov.ph/GEPSNONPILOT/Tender/SplashBidNoticeAbstractUI.aspx?menuIndex=3&amp;refID=7064572&amp;Result=3","7064572")</f>
        <v>0</v>
      </c>
      <c r="B289" t="s">
        <v>117</v>
      </c>
      <c r="C289" t="s">
        <v>3810</v>
      </c>
      <c r="D289" t="s">
        <v>18799</v>
      </c>
      <c r="E289" t="s">
        <v>19160</v>
      </c>
      <c r="F289" t="s">
        <v>32664</v>
      </c>
      <c r="G289" t="s">
        <v>32677</v>
      </c>
      <c r="H289" t="s">
        <v>12635</v>
      </c>
      <c r="I289" t="s">
        <v>7324</v>
      </c>
      <c r="J289" t="s">
        <v>32898</v>
      </c>
      <c r="K289" t="s">
        <v>42283</v>
      </c>
      <c r="M289" t="s">
        <v>42681</v>
      </c>
      <c r="N289" t="s">
        <v>46569</v>
      </c>
      <c r="O289" t="s">
        <v>46570</v>
      </c>
      <c r="P289">
        <v>0</v>
      </c>
      <c r="Q289">
        <v>3</v>
      </c>
      <c r="R289" t="s">
        <v>46571</v>
      </c>
      <c r="S289" t="s">
        <v>46687</v>
      </c>
      <c r="T289" t="s">
        <v>48249</v>
      </c>
      <c r="U289" t="s">
        <v>49041</v>
      </c>
      <c r="W289" t="s">
        <v>42681</v>
      </c>
      <c r="X289" t="s">
        <v>46572</v>
      </c>
    </row>
    <row r="290" spans="1:24">
      <c r="A290">
        <f>HYPERLINK("https://www.philgeps.gov.ph/GEPSNONPILOT/Tender/SplashBidNoticeAbstractUI.aspx?menuIndex=3&amp;refID=7064612&amp;Result=3","7064612")</f>
        <v>0</v>
      </c>
      <c r="B290" t="s">
        <v>130</v>
      </c>
      <c r="C290" t="s">
        <v>3811</v>
      </c>
      <c r="D290" t="s">
        <v>18826</v>
      </c>
      <c r="E290" t="s">
        <v>19161</v>
      </c>
      <c r="F290" t="s">
        <v>32664</v>
      </c>
      <c r="G290" t="s">
        <v>32671</v>
      </c>
      <c r="H290" t="s">
        <v>12635</v>
      </c>
      <c r="I290" t="s">
        <v>8797</v>
      </c>
      <c r="J290" t="s">
        <v>33062</v>
      </c>
      <c r="K290" t="s">
        <v>42283</v>
      </c>
      <c r="M290" t="s">
        <v>42694</v>
      </c>
      <c r="N290" t="s">
        <v>46569</v>
      </c>
      <c r="O290" t="s">
        <v>46570</v>
      </c>
      <c r="P290">
        <v>0</v>
      </c>
      <c r="Q290">
        <v>2</v>
      </c>
      <c r="R290" t="s">
        <v>46571</v>
      </c>
      <c r="S290" t="s">
        <v>46687</v>
      </c>
      <c r="T290" t="s">
        <v>48280</v>
      </c>
      <c r="U290" t="s">
        <v>49042</v>
      </c>
      <c r="V290" t="s">
        <v>61646</v>
      </c>
      <c r="W290" t="s">
        <v>42694</v>
      </c>
      <c r="X290" t="s">
        <v>46572</v>
      </c>
    </row>
    <row r="291" spans="1:24">
      <c r="A291">
        <f>HYPERLINK("https://www.philgeps.gov.ph/GEPSNONPILOT/Tender/SplashBidNoticeAbstractUI.aspx?menuIndex=3&amp;refID=7064582&amp;Result=3","7064582")</f>
        <v>0</v>
      </c>
      <c r="B291" t="s">
        <v>131</v>
      </c>
      <c r="C291" t="s">
        <v>3812</v>
      </c>
      <c r="D291" t="s">
        <v>18829</v>
      </c>
      <c r="E291" t="s">
        <v>19162</v>
      </c>
      <c r="F291" t="s">
        <v>32666</v>
      </c>
      <c r="G291" t="s">
        <v>32672</v>
      </c>
      <c r="H291" t="s">
        <v>12635</v>
      </c>
      <c r="I291" t="s">
        <v>4439</v>
      </c>
      <c r="J291" t="s">
        <v>33063</v>
      </c>
      <c r="K291" t="s">
        <v>42297</v>
      </c>
      <c r="M291" t="s">
        <v>42695</v>
      </c>
      <c r="N291" t="s">
        <v>46569</v>
      </c>
      <c r="O291" t="s">
        <v>46570</v>
      </c>
      <c r="P291">
        <v>0</v>
      </c>
      <c r="Q291">
        <v>0</v>
      </c>
      <c r="R291" t="s">
        <v>46571</v>
      </c>
      <c r="S291" t="s">
        <v>46687</v>
      </c>
      <c r="T291" t="s">
        <v>48281</v>
      </c>
      <c r="U291" t="s">
        <v>49043</v>
      </c>
      <c r="W291" t="s">
        <v>42695</v>
      </c>
      <c r="X291" t="s">
        <v>46572</v>
      </c>
    </row>
    <row r="292" spans="1:24">
      <c r="A292">
        <f>HYPERLINK("https://www.philgeps.gov.ph/GEPSNONPILOT/Tender/SplashBidNoticeAbstractUI.aspx?menuIndex=3&amp;refID=7064610&amp;Result=3","7064610")</f>
        <v>0</v>
      </c>
      <c r="B292" t="s">
        <v>132</v>
      </c>
      <c r="C292" t="s">
        <v>3813</v>
      </c>
      <c r="D292" t="s">
        <v>18831</v>
      </c>
      <c r="E292" t="s">
        <v>19163</v>
      </c>
      <c r="F292" t="s">
        <v>32664</v>
      </c>
      <c r="G292" t="s">
        <v>32672</v>
      </c>
      <c r="H292" t="s">
        <v>12635</v>
      </c>
      <c r="I292" t="s">
        <v>32708</v>
      </c>
      <c r="J292" t="s">
        <v>33064</v>
      </c>
      <c r="K292" t="s">
        <v>42305</v>
      </c>
      <c r="M292" t="s">
        <v>42696</v>
      </c>
      <c r="N292" t="s">
        <v>46569</v>
      </c>
      <c r="O292" t="s">
        <v>46570</v>
      </c>
      <c r="P292">
        <v>0</v>
      </c>
      <c r="Q292">
        <v>3</v>
      </c>
      <c r="R292" t="s">
        <v>46571</v>
      </c>
      <c r="S292" t="s">
        <v>46687</v>
      </c>
      <c r="T292" t="s">
        <v>48270</v>
      </c>
      <c r="U292" t="s">
        <v>49044</v>
      </c>
      <c r="V292" t="s">
        <v>61647</v>
      </c>
      <c r="W292" t="s">
        <v>42696</v>
      </c>
      <c r="X292" t="s">
        <v>46572</v>
      </c>
    </row>
    <row r="293" spans="1:24">
      <c r="A293">
        <f>HYPERLINK("https://www.philgeps.gov.ph/GEPSNONPILOT/Tender/SplashBidNoticeAbstractUI.aspx?menuIndex=3&amp;refID=7064607&amp;Result=3","7064607")</f>
        <v>0</v>
      </c>
      <c r="B293" t="s">
        <v>130</v>
      </c>
      <c r="C293" t="s">
        <v>3814</v>
      </c>
      <c r="D293" t="s">
        <v>18826</v>
      </c>
      <c r="E293" t="s">
        <v>19164</v>
      </c>
      <c r="F293" t="s">
        <v>32664</v>
      </c>
      <c r="G293" t="s">
        <v>32674</v>
      </c>
      <c r="H293" t="s">
        <v>32683</v>
      </c>
      <c r="I293" t="s">
        <v>10627</v>
      </c>
      <c r="J293" t="s">
        <v>33065</v>
      </c>
      <c r="K293" t="s">
        <v>42283</v>
      </c>
      <c r="M293" t="s">
        <v>42694</v>
      </c>
      <c r="N293" t="s">
        <v>46569</v>
      </c>
      <c r="O293" t="s">
        <v>46570</v>
      </c>
      <c r="P293">
        <v>0</v>
      </c>
      <c r="Q293">
        <v>0</v>
      </c>
      <c r="R293" t="s">
        <v>46571</v>
      </c>
      <c r="S293" t="s">
        <v>46687</v>
      </c>
      <c r="T293" t="s">
        <v>48280</v>
      </c>
      <c r="U293" t="s">
        <v>49045</v>
      </c>
      <c r="V293" t="s">
        <v>61648</v>
      </c>
      <c r="W293" t="s">
        <v>42694</v>
      </c>
      <c r="X293" t="s">
        <v>46572</v>
      </c>
    </row>
    <row r="294" spans="1:24">
      <c r="A294">
        <f>HYPERLINK("https://www.philgeps.gov.ph/GEPSNONPILOT/Tender/SplashBidNoticeAbstractUI.aspx?menuIndex=3&amp;refID=7064605&amp;Result=3","7064605")</f>
        <v>0</v>
      </c>
      <c r="B294" t="s">
        <v>130</v>
      </c>
      <c r="C294" t="s">
        <v>3815</v>
      </c>
      <c r="D294" t="s">
        <v>18826</v>
      </c>
      <c r="E294" t="s">
        <v>19165</v>
      </c>
      <c r="F294" t="s">
        <v>32664</v>
      </c>
      <c r="G294" t="s">
        <v>32674</v>
      </c>
      <c r="H294" t="s">
        <v>32683</v>
      </c>
      <c r="I294" t="s">
        <v>10627</v>
      </c>
      <c r="J294" t="s">
        <v>32984</v>
      </c>
      <c r="K294" t="s">
        <v>42283</v>
      </c>
      <c r="M294" t="s">
        <v>42694</v>
      </c>
      <c r="N294" t="s">
        <v>46569</v>
      </c>
      <c r="O294" t="s">
        <v>46570</v>
      </c>
      <c r="P294">
        <v>0</v>
      </c>
      <c r="Q294">
        <v>0</v>
      </c>
      <c r="R294" t="s">
        <v>46571</v>
      </c>
      <c r="S294" t="s">
        <v>46687</v>
      </c>
      <c r="T294" t="s">
        <v>48280</v>
      </c>
      <c r="U294" t="s">
        <v>49046</v>
      </c>
      <c r="V294" t="s">
        <v>61646</v>
      </c>
      <c r="W294" t="s">
        <v>42694</v>
      </c>
      <c r="X294" t="s">
        <v>46572</v>
      </c>
    </row>
    <row r="295" spans="1:24">
      <c r="A295">
        <f>HYPERLINK("https://www.philgeps.gov.ph/GEPSNONPILOT/Tender/SplashBidNoticeAbstractUI.aspx?menuIndex=3&amp;refID=7064603&amp;Result=3","7064603")</f>
        <v>0</v>
      </c>
      <c r="B295" t="s">
        <v>132</v>
      </c>
      <c r="C295" t="s">
        <v>3816</v>
      </c>
      <c r="D295" t="s">
        <v>18831</v>
      </c>
      <c r="E295" t="s">
        <v>19166</v>
      </c>
      <c r="F295" t="s">
        <v>32664</v>
      </c>
      <c r="G295" t="s">
        <v>32672</v>
      </c>
      <c r="H295" t="s">
        <v>12635</v>
      </c>
      <c r="I295" t="s">
        <v>32712</v>
      </c>
      <c r="J295" t="s">
        <v>33066</v>
      </c>
      <c r="K295" t="s">
        <v>42305</v>
      </c>
      <c r="M295" t="s">
        <v>42696</v>
      </c>
      <c r="N295" t="s">
        <v>46569</v>
      </c>
      <c r="O295" t="s">
        <v>46570</v>
      </c>
      <c r="P295">
        <v>0</v>
      </c>
      <c r="Q295">
        <v>1</v>
      </c>
      <c r="R295" t="s">
        <v>46571</v>
      </c>
      <c r="S295" t="s">
        <v>46687</v>
      </c>
      <c r="T295" t="s">
        <v>48270</v>
      </c>
      <c r="U295" t="s">
        <v>49047</v>
      </c>
      <c r="V295" t="s">
        <v>61647</v>
      </c>
      <c r="W295" t="s">
        <v>42696</v>
      </c>
      <c r="X295" t="s">
        <v>46572</v>
      </c>
    </row>
    <row r="296" spans="1:24">
      <c r="A296">
        <f>HYPERLINK("https://www.philgeps.gov.ph/GEPSNONPILOT/Tender/SplashBidNoticeAbstractUI.aspx?menuIndex=3&amp;refID=7064602&amp;Result=3","7064602")</f>
        <v>0</v>
      </c>
      <c r="B296" t="s">
        <v>133</v>
      </c>
      <c r="C296" t="s">
        <v>3817</v>
      </c>
      <c r="D296" t="s">
        <v>18832</v>
      </c>
      <c r="E296" t="s">
        <v>19167</v>
      </c>
      <c r="F296" t="s">
        <v>32664</v>
      </c>
      <c r="G296" t="s">
        <v>32671</v>
      </c>
      <c r="H296" t="s">
        <v>12635</v>
      </c>
      <c r="I296" t="s">
        <v>6168</v>
      </c>
      <c r="J296" t="s">
        <v>33067</v>
      </c>
      <c r="K296" t="s">
        <v>42281</v>
      </c>
      <c r="M296" t="s">
        <v>42697</v>
      </c>
      <c r="N296" t="s">
        <v>46569</v>
      </c>
      <c r="O296" t="s">
        <v>46570</v>
      </c>
      <c r="P296">
        <v>0</v>
      </c>
      <c r="Q296">
        <v>0</v>
      </c>
      <c r="R296" t="s">
        <v>46571</v>
      </c>
      <c r="S296" t="s">
        <v>46687</v>
      </c>
      <c r="T296" t="s">
        <v>48282</v>
      </c>
      <c r="U296" t="s">
        <v>49048</v>
      </c>
      <c r="W296" t="s">
        <v>42697</v>
      </c>
      <c r="X296" t="s">
        <v>46572</v>
      </c>
    </row>
    <row r="297" spans="1:24">
      <c r="A297">
        <f>HYPERLINK("https://www.philgeps.gov.ph/GEPSNONPILOT/Tender/SplashBidNoticeAbstractUI.aspx?menuIndex=3&amp;refID=7064600&amp;Result=3","7064600")</f>
        <v>0</v>
      </c>
      <c r="B297" t="s">
        <v>130</v>
      </c>
      <c r="C297" t="s">
        <v>3818</v>
      </c>
      <c r="D297" t="s">
        <v>18826</v>
      </c>
      <c r="E297" t="s">
        <v>19168</v>
      </c>
      <c r="F297" t="s">
        <v>32664</v>
      </c>
      <c r="G297" t="s">
        <v>32674</v>
      </c>
      <c r="H297" t="s">
        <v>12635</v>
      </c>
      <c r="I297" t="s">
        <v>7429</v>
      </c>
      <c r="J297" t="s">
        <v>33068</v>
      </c>
      <c r="K297" t="s">
        <v>42283</v>
      </c>
      <c r="M297" t="s">
        <v>42694</v>
      </c>
      <c r="N297" t="s">
        <v>46569</v>
      </c>
      <c r="O297" t="s">
        <v>46570</v>
      </c>
      <c r="P297">
        <v>0</v>
      </c>
      <c r="Q297">
        <v>0</v>
      </c>
      <c r="R297" t="s">
        <v>46571</v>
      </c>
      <c r="S297" t="s">
        <v>46687</v>
      </c>
      <c r="T297" t="s">
        <v>48280</v>
      </c>
      <c r="U297" t="s">
        <v>49049</v>
      </c>
      <c r="V297" t="s">
        <v>61649</v>
      </c>
      <c r="W297" t="s">
        <v>42694</v>
      </c>
      <c r="X297" t="s">
        <v>46572</v>
      </c>
    </row>
    <row r="298" spans="1:24">
      <c r="A298">
        <f>HYPERLINK("https://www.philgeps.gov.ph/GEPSNONPILOT/Tender/SplashBidNoticeAbstractUI.aspx?menuIndex=3&amp;refID=7064587&amp;Result=3","7064587")</f>
        <v>0</v>
      </c>
      <c r="B298" t="s">
        <v>134</v>
      </c>
      <c r="C298" t="s">
        <v>3819</v>
      </c>
      <c r="D298" t="s">
        <v>18784</v>
      </c>
      <c r="E298" t="s">
        <v>19169</v>
      </c>
      <c r="F298" t="s">
        <v>32664</v>
      </c>
      <c r="G298" t="s">
        <v>32671</v>
      </c>
      <c r="H298" t="s">
        <v>12635</v>
      </c>
      <c r="I298" t="s">
        <v>32700</v>
      </c>
      <c r="J298" t="s">
        <v>33069</v>
      </c>
      <c r="K298" t="s">
        <v>42284</v>
      </c>
      <c r="M298" t="s">
        <v>42698</v>
      </c>
      <c r="N298" t="s">
        <v>46569</v>
      </c>
      <c r="O298" t="s">
        <v>46570</v>
      </c>
      <c r="P298">
        <v>0</v>
      </c>
      <c r="Q298">
        <v>0</v>
      </c>
      <c r="R298" t="s">
        <v>46571</v>
      </c>
      <c r="S298" t="s">
        <v>46687</v>
      </c>
      <c r="T298" t="s">
        <v>48283</v>
      </c>
      <c r="U298" t="s">
        <v>49050</v>
      </c>
      <c r="W298" t="s">
        <v>42698</v>
      </c>
      <c r="X298" t="s">
        <v>46572</v>
      </c>
    </row>
    <row r="299" spans="1:24">
      <c r="A299">
        <f>HYPERLINK("https://www.philgeps.gov.ph/GEPSNONPILOT/Tender/SplashBidNoticeAbstractUI.aspx?menuIndex=3&amp;refID=7064606&amp;Result=3","7064606")</f>
        <v>0</v>
      </c>
      <c r="B299" t="s">
        <v>133</v>
      </c>
      <c r="C299" t="s">
        <v>3820</v>
      </c>
      <c r="D299" t="s">
        <v>18832</v>
      </c>
      <c r="E299" t="s">
        <v>19170</v>
      </c>
      <c r="F299" t="s">
        <v>32664</v>
      </c>
      <c r="G299" t="s">
        <v>32671</v>
      </c>
      <c r="H299" t="s">
        <v>12635</v>
      </c>
      <c r="I299" t="s">
        <v>4439</v>
      </c>
      <c r="J299" t="s">
        <v>33070</v>
      </c>
      <c r="K299" t="s">
        <v>42281</v>
      </c>
      <c r="M299" t="s">
        <v>42697</v>
      </c>
      <c r="N299" t="s">
        <v>46569</v>
      </c>
      <c r="O299" t="s">
        <v>46570</v>
      </c>
      <c r="P299">
        <v>0</v>
      </c>
      <c r="Q299">
        <v>0</v>
      </c>
      <c r="R299" t="s">
        <v>46571</v>
      </c>
      <c r="S299" t="s">
        <v>46687</v>
      </c>
      <c r="T299" t="s">
        <v>48282</v>
      </c>
      <c r="U299" t="s">
        <v>49051</v>
      </c>
      <c r="W299" t="s">
        <v>42697</v>
      </c>
      <c r="X299" t="s">
        <v>46572</v>
      </c>
    </row>
    <row r="300" spans="1:24">
      <c r="A300">
        <f>HYPERLINK("https://www.philgeps.gov.ph/GEPSNONPILOT/Tender/SplashBidNoticeAbstractUI.aspx?menuIndex=3&amp;refID=7064638&amp;Result=3","7064638")</f>
        <v>0</v>
      </c>
      <c r="B300" t="s">
        <v>135</v>
      </c>
      <c r="C300" t="s">
        <v>3821</v>
      </c>
      <c r="D300" t="s">
        <v>18807</v>
      </c>
      <c r="E300" t="s">
        <v>19171</v>
      </c>
      <c r="F300" t="s">
        <v>32664</v>
      </c>
      <c r="G300" t="s">
        <v>32672</v>
      </c>
      <c r="H300" t="s">
        <v>12635</v>
      </c>
      <c r="I300" t="s">
        <v>4205</v>
      </c>
      <c r="J300" t="s">
        <v>33071</v>
      </c>
      <c r="K300" t="s">
        <v>42281</v>
      </c>
      <c r="M300" t="s">
        <v>42699</v>
      </c>
      <c r="N300" t="s">
        <v>46569</v>
      </c>
      <c r="O300" t="s">
        <v>46570</v>
      </c>
      <c r="P300">
        <v>0</v>
      </c>
      <c r="Q300">
        <v>0</v>
      </c>
      <c r="R300" t="s">
        <v>46571</v>
      </c>
      <c r="S300" t="s">
        <v>46687</v>
      </c>
      <c r="T300" t="s">
        <v>48226</v>
      </c>
      <c r="U300" t="s">
        <v>49052</v>
      </c>
      <c r="V300" t="s">
        <v>61650</v>
      </c>
      <c r="W300" t="s">
        <v>42699</v>
      </c>
      <c r="X300" t="s">
        <v>46572</v>
      </c>
    </row>
    <row r="301" spans="1:24">
      <c r="A301">
        <f>HYPERLINK("https://www.philgeps.gov.ph/GEPSNONPILOT/Tender/SplashBidNoticeAbstractUI.aspx?menuIndex=3&amp;refID=7064637&amp;Result=3","7064637")</f>
        <v>0</v>
      </c>
      <c r="B301" t="s">
        <v>136</v>
      </c>
      <c r="C301" t="s">
        <v>3822</v>
      </c>
      <c r="D301" t="s">
        <v>18833</v>
      </c>
      <c r="E301" t="s">
        <v>19172</v>
      </c>
      <c r="F301" t="s">
        <v>32664</v>
      </c>
      <c r="G301" t="s">
        <v>32672</v>
      </c>
      <c r="H301" t="s">
        <v>12635</v>
      </c>
      <c r="I301" t="s">
        <v>32688</v>
      </c>
      <c r="J301" t="s">
        <v>33072</v>
      </c>
      <c r="K301" t="s">
        <v>42289</v>
      </c>
      <c r="M301" t="s">
        <v>42700</v>
      </c>
      <c r="N301" t="s">
        <v>46569</v>
      </c>
      <c r="O301" t="s">
        <v>46570</v>
      </c>
      <c r="P301">
        <v>0</v>
      </c>
      <c r="Q301">
        <v>1</v>
      </c>
      <c r="R301" t="s">
        <v>46571</v>
      </c>
      <c r="S301" t="s">
        <v>46687</v>
      </c>
      <c r="T301" t="s">
        <v>48226</v>
      </c>
      <c r="U301" t="s">
        <v>49053</v>
      </c>
      <c r="W301" t="s">
        <v>42700</v>
      </c>
      <c r="X301" t="s">
        <v>46572</v>
      </c>
    </row>
    <row r="302" spans="1:24">
      <c r="A302">
        <f>HYPERLINK("https://www.philgeps.gov.ph/GEPSNONPILOT/Tender/SplashBidNoticeAbstractUI.aspx?menuIndex=3&amp;refID=7064608&amp;Result=3","7064608")</f>
        <v>0</v>
      </c>
      <c r="B302" t="s">
        <v>130</v>
      </c>
      <c r="C302" t="s">
        <v>3823</v>
      </c>
      <c r="D302" t="s">
        <v>18826</v>
      </c>
      <c r="E302" t="s">
        <v>19173</v>
      </c>
      <c r="F302" t="s">
        <v>32664</v>
      </c>
      <c r="G302" t="s">
        <v>32674</v>
      </c>
      <c r="H302" t="s">
        <v>12635</v>
      </c>
      <c r="I302" t="s">
        <v>6553</v>
      </c>
      <c r="J302" t="s">
        <v>32831</v>
      </c>
      <c r="K302" t="s">
        <v>42283</v>
      </c>
      <c r="M302" t="s">
        <v>42694</v>
      </c>
      <c r="N302" t="s">
        <v>46569</v>
      </c>
      <c r="O302" t="s">
        <v>46570</v>
      </c>
      <c r="P302">
        <v>0</v>
      </c>
      <c r="Q302">
        <v>0</v>
      </c>
      <c r="R302" t="s">
        <v>46571</v>
      </c>
      <c r="S302" t="s">
        <v>46687</v>
      </c>
      <c r="T302" t="s">
        <v>48280</v>
      </c>
      <c r="U302" t="s">
        <v>49049</v>
      </c>
      <c r="V302" t="s">
        <v>61646</v>
      </c>
      <c r="W302" t="s">
        <v>42694</v>
      </c>
      <c r="X302" t="s">
        <v>46572</v>
      </c>
    </row>
    <row r="303" spans="1:24">
      <c r="A303">
        <f>HYPERLINK("https://www.philgeps.gov.ph/GEPSNONPILOT/Tender/SplashBidNoticeAbstractUI.aspx?menuIndex=3&amp;refID=7064632&amp;Result=3","7064632")</f>
        <v>0</v>
      </c>
      <c r="B303" t="s">
        <v>137</v>
      </c>
      <c r="C303" t="s">
        <v>3824</v>
      </c>
      <c r="D303" t="s">
        <v>18826</v>
      </c>
      <c r="E303" t="s">
        <v>19174</v>
      </c>
      <c r="F303" t="s">
        <v>32664</v>
      </c>
      <c r="G303" t="s">
        <v>32672</v>
      </c>
      <c r="H303" t="s">
        <v>12635</v>
      </c>
      <c r="I303" t="s">
        <v>4997</v>
      </c>
      <c r="J303" t="s">
        <v>33073</v>
      </c>
      <c r="K303" t="s">
        <v>42305</v>
      </c>
      <c r="M303" t="s">
        <v>42701</v>
      </c>
      <c r="N303" t="s">
        <v>46569</v>
      </c>
      <c r="O303" t="s">
        <v>46570</v>
      </c>
      <c r="P303">
        <v>0</v>
      </c>
      <c r="Q303">
        <v>1</v>
      </c>
      <c r="R303" t="s">
        <v>46571</v>
      </c>
      <c r="S303" t="s">
        <v>46687</v>
      </c>
      <c r="T303" t="s">
        <v>48284</v>
      </c>
      <c r="U303" t="s">
        <v>49054</v>
      </c>
      <c r="W303" t="s">
        <v>42701</v>
      </c>
      <c r="X303" t="s">
        <v>46572</v>
      </c>
    </row>
    <row r="304" spans="1:24">
      <c r="A304">
        <f>HYPERLINK("https://www.philgeps.gov.ph/GEPSNONPILOT/Tender/SplashBidNoticeAbstractUI.aspx?menuIndex=3&amp;refID=7064631&amp;Result=3","7064631")</f>
        <v>0</v>
      </c>
      <c r="B304" t="s">
        <v>138</v>
      </c>
      <c r="C304" t="s">
        <v>3825</v>
      </c>
      <c r="D304" t="s">
        <v>18792</v>
      </c>
      <c r="E304" t="s">
        <v>19175</v>
      </c>
      <c r="F304" t="s">
        <v>32664</v>
      </c>
      <c r="G304" t="s">
        <v>32671</v>
      </c>
      <c r="H304" t="s">
        <v>12635</v>
      </c>
      <c r="I304" t="s">
        <v>9486</v>
      </c>
      <c r="J304" t="s">
        <v>33074</v>
      </c>
      <c r="K304" t="s">
        <v>42297</v>
      </c>
      <c r="M304" t="s">
        <v>42702</v>
      </c>
      <c r="N304" t="s">
        <v>46569</v>
      </c>
      <c r="O304" t="s">
        <v>46570</v>
      </c>
      <c r="P304">
        <v>0</v>
      </c>
      <c r="Q304">
        <v>1</v>
      </c>
      <c r="R304" t="s">
        <v>46571</v>
      </c>
      <c r="S304" t="s">
        <v>46687</v>
      </c>
      <c r="T304" t="s">
        <v>48219</v>
      </c>
      <c r="U304" t="s">
        <v>49055</v>
      </c>
      <c r="W304" t="s">
        <v>42702</v>
      </c>
      <c r="X304" t="s">
        <v>46572</v>
      </c>
    </row>
    <row r="305" spans="1:24">
      <c r="A305">
        <f>HYPERLINK("https://www.philgeps.gov.ph/GEPSNONPILOT/Tender/SplashBidNoticeAbstractUI.aspx?menuIndex=3&amp;refID=7064629&amp;Result=3","7064629")</f>
        <v>0</v>
      </c>
      <c r="B305" t="s">
        <v>139</v>
      </c>
      <c r="C305" t="s">
        <v>3826</v>
      </c>
      <c r="D305" t="s">
        <v>18809</v>
      </c>
      <c r="E305" t="s">
        <v>19176</v>
      </c>
      <c r="F305" t="s">
        <v>32664</v>
      </c>
      <c r="G305" t="s">
        <v>32674</v>
      </c>
      <c r="H305" t="s">
        <v>12635</v>
      </c>
      <c r="I305" t="s">
        <v>32706</v>
      </c>
      <c r="J305" t="s">
        <v>33075</v>
      </c>
      <c r="K305" t="s">
        <v>42289</v>
      </c>
      <c r="M305" t="s">
        <v>42703</v>
      </c>
      <c r="N305" t="s">
        <v>46569</v>
      </c>
      <c r="O305" t="s">
        <v>46570</v>
      </c>
      <c r="P305">
        <v>0</v>
      </c>
      <c r="Q305">
        <v>0</v>
      </c>
      <c r="R305" t="s">
        <v>46571</v>
      </c>
      <c r="S305" t="s">
        <v>46687</v>
      </c>
      <c r="T305" t="s">
        <v>48223</v>
      </c>
      <c r="U305" t="s">
        <v>49056</v>
      </c>
      <c r="W305" t="s">
        <v>42703</v>
      </c>
      <c r="X305" t="s">
        <v>46572</v>
      </c>
    </row>
    <row r="306" spans="1:24">
      <c r="A306">
        <f>HYPERLINK("https://www.philgeps.gov.ph/GEPSNONPILOT/Tender/SplashBidNoticeAbstractUI.aspx?menuIndex=3&amp;refID=7064604&amp;Result=3","7064604")</f>
        <v>0</v>
      </c>
      <c r="B306" t="s">
        <v>140</v>
      </c>
      <c r="C306" t="s">
        <v>3827</v>
      </c>
      <c r="E306" t="s">
        <v>3827</v>
      </c>
      <c r="F306" t="s">
        <v>32664</v>
      </c>
      <c r="G306" t="s">
        <v>32671</v>
      </c>
      <c r="H306" t="s">
        <v>32683</v>
      </c>
      <c r="I306" t="s">
        <v>10627</v>
      </c>
      <c r="J306" t="s">
        <v>33076</v>
      </c>
      <c r="K306" t="s">
        <v>42283</v>
      </c>
      <c r="M306" t="s">
        <v>42704</v>
      </c>
      <c r="N306" t="s">
        <v>46569</v>
      </c>
      <c r="O306" t="s">
        <v>46570</v>
      </c>
      <c r="P306">
        <v>0</v>
      </c>
      <c r="Q306">
        <v>0</v>
      </c>
      <c r="R306" t="s">
        <v>46571</v>
      </c>
      <c r="S306" t="s">
        <v>46687</v>
      </c>
      <c r="T306" t="s">
        <v>48285</v>
      </c>
      <c r="U306" t="s">
        <v>49057</v>
      </c>
      <c r="W306" t="s">
        <v>42704</v>
      </c>
      <c r="X306" t="s">
        <v>46572</v>
      </c>
    </row>
    <row r="307" spans="1:24">
      <c r="A307">
        <f>HYPERLINK("https://www.philgeps.gov.ph/GEPSNONPILOT/Tender/SplashBidNoticeAbstractUI.aspx?menuIndex=3&amp;refID=7064628&amp;Result=3","7064628")</f>
        <v>0</v>
      </c>
      <c r="B307" t="s">
        <v>141</v>
      </c>
      <c r="C307" t="s">
        <v>3828</v>
      </c>
      <c r="D307" t="s">
        <v>18796</v>
      </c>
      <c r="E307" t="s">
        <v>19177</v>
      </c>
      <c r="F307" t="s">
        <v>32664</v>
      </c>
      <c r="G307" t="s">
        <v>32671</v>
      </c>
      <c r="H307" t="s">
        <v>12635</v>
      </c>
      <c r="I307" t="s">
        <v>11464</v>
      </c>
      <c r="J307" t="s">
        <v>33077</v>
      </c>
      <c r="K307" t="s">
        <v>42297</v>
      </c>
      <c r="M307" t="s">
        <v>42705</v>
      </c>
      <c r="N307" t="s">
        <v>46569</v>
      </c>
      <c r="O307" t="s">
        <v>46570</v>
      </c>
      <c r="P307">
        <v>0</v>
      </c>
      <c r="Q307">
        <v>0</v>
      </c>
      <c r="R307" t="s">
        <v>46571</v>
      </c>
      <c r="S307" t="s">
        <v>46687</v>
      </c>
      <c r="T307" t="s">
        <v>48245</v>
      </c>
      <c r="U307" t="s">
        <v>49058</v>
      </c>
      <c r="W307" t="s">
        <v>42705</v>
      </c>
      <c r="X307" t="s">
        <v>46572</v>
      </c>
    </row>
    <row r="308" spans="1:24">
      <c r="A308">
        <f>HYPERLINK("https://www.philgeps.gov.ph/GEPSNONPILOT/Tender/SplashBidNoticeAbstractUI.aspx?menuIndex=3&amp;refID=7064633&amp;Result=3","7064633")</f>
        <v>0</v>
      </c>
      <c r="B308" t="s">
        <v>142</v>
      </c>
      <c r="C308" t="s">
        <v>3829</v>
      </c>
      <c r="D308" t="s">
        <v>18784</v>
      </c>
      <c r="E308" t="s">
        <v>19178</v>
      </c>
      <c r="F308" t="s">
        <v>32664</v>
      </c>
      <c r="G308" t="s">
        <v>32671</v>
      </c>
      <c r="H308" t="s">
        <v>12635</v>
      </c>
      <c r="I308" t="s">
        <v>8797</v>
      </c>
      <c r="J308" t="s">
        <v>33078</v>
      </c>
      <c r="K308" t="s">
        <v>42281</v>
      </c>
      <c r="M308" t="s">
        <v>42706</v>
      </c>
      <c r="N308" t="s">
        <v>46569</v>
      </c>
      <c r="O308" t="s">
        <v>46570</v>
      </c>
      <c r="P308">
        <v>0</v>
      </c>
      <c r="Q308">
        <v>3</v>
      </c>
      <c r="R308" t="s">
        <v>46571</v>
      </c>
      <c r="S308" t="s">
        <v>46687</v>
      </c>
      <c r="T308" t="s">
        <v>48256</v>
      </c>
      <c r="U308" t="s">
        <v>49059</v>
      </c>
      <c r="W308" t="s">
        <v>42706</v>
      </c>
      <c r="X308" t="s">
        <v>46572</v>
      </c>
    </row>
    <row r="309" spans="1:24">
      <c r="A309">
        <f>HYPERLINK("https://www.philgeps.gov.ph/GEPSNONPILOT/Tender/SplashBidNoticeAbstractUI.aspx?menuIndex=3&amp;refID=7064626&amp;Result=3","7064626")</f>
        <v>0</v>
      </c>
      <c r="B309" t="s">
        <v>143</v>
      </c>
      <c r="C309" t="s">
        <v>3830</v>
      </c>
      <c r="D309" t="s">
        <v>18803</v>
      </c>
      <c r="E309" t="s">
        <v>19179</v>
      </c>
      <c r="F309" t="s">
        <v>32664</v>
      </c>
      <c r="G309" t="s">
        <v>32671</v>
      </c>
      <c r="H309" t="s">
        <v>12635</v>
      </c>
      <c r="I309" t="s">
        <v>10627</v>
      </c>
      <c r="J309" t="s">
        <v>33079</v>
      </c>
      <c r="K309" t="s">
        <v>42297</v>
      </c>
      <c r="M309" t="s">
        <v>42707</v>
      </c>
      <c r="N309" t="s">
        <v>46569</v>
      </c>
      <c r="O309" t="s">
        <v>46570</v>
      </c>
      <c r="P309">
        <v>0</v>
      </c>
      <c r="Q309">
        <v>0</v>
      </c>
      <c r="R309" t="s">
        <v>46571</v>
      </c>
      <c r="S309" t="s">
        <v>46687</v>
      </c>
      <c r="T309" t="s">
        <v>48286</v>
      </c>
      <c r="U309" t="s">
        <v>49060</v>
      </c>
      <c r="W309" t="s">
        <v>42707</v>
      </c>
      <c r="X309" t="s">
        <v>46572</v>
      </c>
    </row>
    <row r="310" spans="1:24">
      <c r="A310">
        <f>HYPERLINK("https://www.philgeps.gov.ph/GEPSNONPILOT/Tender/SplashBidNoticeAbstractUI.aspx?menuIndex=3&amp;refID=7064630&amp;Result=3","7064630")</f>
        <v>0</v>
      </c>
      <c r="B310" t="s">
        <v>144</v>
      </c>
      <c r="C310" t="s">
        <v>3831</v>
      </c>
      <c r="D310" t="s">
        <v>18817</v>
      </c>
      <c r="E310" t="s">
        <v>19180</v>
      </c>
      <c r="F310" t="s">
        <v>32664</v>
      </c>
      <c r="G310" t="s">
        <v>32674</v>
      </c>
      <c r="H310" t="s">
        <v>12635</v>
      </c>
      <c r="I310" t="s">
        <v>10370</v>
      </c>
      <c r="J310" t="s">
        <v>33080</v>
      </c>
      <c r="K310" t="s">
        <v>42309</v>
      </c>
      <c r="M310" t="s">
        <v>42708</v>
      </c>
      <c r="N310" t="s">
        <v>46569</v>
      </c>
      <c r="O310" t="s">
        <v>46570</v>
      </c>
      <c r="P310">
        <v>0</v>
      </c>
      <c r="Q310">
        <v>0</v>
      </c>
      <c r="R310" t="s">
        <v>46571</v>
      </c>
      <c r="S310" t="s">
        <v>46687</v>
      </c>
      <c r="T310" t="s">
        <v>48221</v>
      </c>
      <c r="U310" t="s">
        <v>49061</v>
      </c>
      <c r="W310" t="s">
        <v>42708</v>
      </c>
      <c r="X310" t="s">
        <v>46572</v>
      </c>
    </row>
    <row r="311" spans="1:24">
      <c r="A311">
        <f>HYPERLINK("https://www.philgeps.gov.ph/GEPSNONPILOT/Tender/SplashBidNoticeAbstractUI.aspx?menuIndex=3&amp;refID=7064639&amp;Result=3","7064639")</f>
        <v>0</v>
      </c>
      <c r="B311" t="s">
        <v>145</v>
      </c>
      <c r="C311" t="s">
        <v>3832</v>
      </c>
      <c r="D311" t="s">
        <v>18784</v>
      </c>
      <c r="E311" t="s">
        <v>19181</v>
      </c>
      <c r="F311" t="s">
        <v>32664</v>
      </c>
      <c r="G311" t="s">
        <v>32671</v>
      </c>
      <c r="H311" t="s">
        <v>12635</v>
      </c>
      <c r="I311" t="s">
        <v>10590</v>
      </c>
      <c r="J311" t="s">
        <v>33015</v>
      </c>
      <c r="K311" t="s">
        <v>42297</v>
      </c>
      <c r="M311" t="s">
        <v>42709</v>
      </c>
      <c r="N311" t="s">
        <v>46569</v>
      </c>
      <c r="O311" t="s">
        <v>46570</v>
      </c>
      <c r="P311">
        <v>0</v>
      </c>
      <c r="Q311">
        <v>0</v>
      </c>
      <c r="R311" t="s">
        <v>46571</v>
      </c>
      <c r="S311" t="s">
        <v>46687</v>
      </c>
      <c r="T311" t="s">
        <v>48251</v>
      </c>
      <c r="U311" t="s">
        <v>49062</v>
      </c>
      <c r="V311" t="s">
        <v>61651</v>
      </c>
      <c r="W311" t="s">
        <v>42709</v>
      </c>
      <c r="X311" t="s">
        <v>46572</v>
      </c>
    </row>
    <row r="312" spans="1:24">
      <c r="A312">
        <f>HYPERLINK("https://www.philgeps.gov.ph/GEPSNONPILOT/Tender/SplashBidNoticeAbstractUI.aspx?menuIndex=3&amp;refID=7064621&amp;Result=3","7064621")</f>
        <v>0</v>
      </c>
      <c r="B312" t="s">
        <v>146</v>
      </c>
      <c r="C312" t="s">
        <v>3833</v>
      </c>
      <c r="D312" t="s">
        <v>18826</v>
      </c>
      <c r="E312" t="s">
        <v>19182</v>
      </c>
      <c r="F312" t="s">
        <v>32664</v>
      </c>
      <c r="G312" t="s">
        <v>32671</v>
      </c>
      <c r="H312" t="s">
        <v>12635</v>
      </c>
      <c r="I312" t="s">
        <v>32691</v>
      </c>
      <c r="J312" t="s">
        <v>33081</v>
      </c>
      <c r="K312" t="s">
        <v>42325</v>
      </c>
      <c r="M312" t="s">
        <v>42710</v>
      </c>
      <c r="N312" t="s">
        <v>46569</v>
      </c>
      <c r="O312" t="s">
        <v>46570</v>
      </c>
      <c r="P312">
        <v>0</v>
      </c>
      <c r="Q312">
        <v>0</v>
      </c>
      <c r="R312" t="s">
        <v>46571</v>
      </c>
      <c r="S312" t="s">
        <v>46687</v>
      </c>
      <c r="T312" t="s">
        <v>48244</v>
      </c>
      <c r="U312" t="s">
        <v>49063</v>
      </c>
      <c r="W312" t="s">
        <v>42710</v>
      </c>
      <c r="X312" t="s">
        <v>46572</v>
      </c>
    </row>
    <row r="313" spans="1:24">
      <c r="A313">
        <f>HYPERLINK("https://www.philgeps.gov.ph/GEPSNONPILOT/Tender/SplashBidNoticeAbstractUI.aspx?menuIndex=3&amp;refID=7064619&amp;Result=3","7064619")</f>
        <v>0</v>
      </c>
      <c r="B313" t="s">
        <v>147</v>
      </c>
      <c r="C313" t="s">
        <v>3834</v>
      </c>
      <c r="D313" t="s">
        <v>18788</v>
      </c>
      <c r="E313" t="s">
        <v>19183</v>
      </c>
      <c r="F313" t="s">
        <v>32664</v>
      </c>
      <c r="G313" t="s">
        <v>32674</v>
      </c>
      <c r="H313" t="s">
        <v>12635</v>
      </c>
      <c r="I313" t="s">
        <v>6118</v>
      </c>
      <c r="J313" t="s">
        <v>33082</v>
      </c>
      <c r="K313" t="s">
        <v>42295</v>
      </c>
      <c r="M313" t="s">
        <v>42711</v>
      </c>
      <c r="N313" t="s">
        <v>46569</v>
      </c>
      <c r="O313" t="s">
        <v>46570</v>
      </c>
      <c r="P313">
        <v>0</v>
      </c>
      <c r="Q313">
        <v>0</v>
      </c>
      <c r="R313" t="s">
        <v>46571</v>
      </c>
      <c r="S313" t="s">
        <v>46687</v>
      </c>
      <c r="T313" t="s">
        <v>48282</v>
      </c>
      <c r="U313" t="s">
        <v>49064</v>
      </c>
      <c r="V313" t="s">
        <v>61652</v>
      </c>
      <c r="W313" t="s">
        <v>42711</v>
      </c>
      <c r="X313" t="s">
        <v>46572</v>
      </c>
    </row>
    <row r="314" spans="1:24">
      <c r="A314">
        <f>HYPERLINK("https://www.philgeps.gov.ph/GEPSNONPILOT/Tender/SplashBidNoticeAbstractUI.aspx?menuIndex=3&amp;refID=7064625&amp;Result=3","7064625")</f>
        <v>0</v>
      </c>
      <c r="B314" t="s">
        <v>142</v>
      </c>
      <c r="C314" t="s">
        <v>3835</v>
      </c>
      <c r="D314" t="s">
        <v>18784</v>
      </c>
      <c r="E314" t="s">
        <v>19146</v>
      </c>
      <c r="F314" t="s">
        <v>32664</v>
      </c>
      <c r="G314" t="s">
        <v>32671</v>
      </c>
      <c r="H314" t="s">
        <v>12635</v>
      </c>
      <c r="I314" t="s">
        <v>8797</v>
      </c>
      <c r="J314" t="s">
        <v>33083</v>
      </c>
      <c r="K314" t="s">
        <v>42281</v>
      </c>
      <c r="M314" t="s">
        <v>42706</v>
      </c>
      <c r="N314" t="s">
        <v>46569</v>
      </c>
      <c r="O314" t="s">
        <v>46570</v>
      </c>
      <c r="P314">
        <v>0</v>
      </c>
      <c r="Q314">
        <v>3</v>
      </c>
      <c r="R314" t="s">
        <v>46571</v>
      </c>
      <c r="S314" t="s">
        <v>46687</v>
      </c>
      <c r="T314" t="s">
        <v>48256</v>
      </c>
      <c r="U314" t="s">
        <v>49065</v>
      </c>
      <c r="W314" t="s">
        <v>42706</v>
      </c>
      <c r="X314" t="s">
        <v>46572</v>
      </c>
    </row>
    <row r="315" spans="1:24">
      <c r="A315">
        <f>HYPERLINK("https://www.philgeps.gov.ph/GEPSNONPILOT/Tender/SplashBidNoticeAbstractUI.aspx?menuIndex=3&amp;refID=7062706&amp;Result=3","7062706")</f>
        <v>0</v>
      </c>
      <c r="B315" t="s">
        <v>57</v>
      </c>
      <c r="C315" t="s">
        <v>3836</v>
      </c>
      <c r="D315" t="s">
        <v>18806</v>
      </c>
      <c r="E315" t="s">
        <v>19184</v>
      </c>
      <c r="F315" t="s">
        <v>32664</v>
      </c>
      <c r="G315" t="s">
        <v>32672</v>
      </c>
      <c r="H315" t="s">
        <v>32683</v>
      </c>
      <c r="I315" t="s">
        <v>10627</v>
      </c>
      <c r="J315" t="s">
        <v>33084</v>
      </c>
      <c r="K315" t="s">
        <v>42311</v>
      </c>
      <c r="M315" t="s">
        <v>42619</v>
      </c>
      <c r="N315" t="s">
        <v>46569</v>
      </c>
      <c r="O315" t="s">
        <v>46570</v>
      </c>
      <c r="P315">
        <v>0</v>
      </c>
      <c r="Q315">
        <v>0</v>
      </c>
      <c r="R315" t="s">
        <v>46571</v>
      </c>
      <c r="S315" t="s">
        <v>46687</v>
      </c>
      <c r="T315" t="s">
        <v>48253</v>
      </c>
      <c r="U315" t="s">
        <v>49066</v>
      </c>
      <c r="W315" t="s">
        <v>42619</v>
      </c>
      <c r="X315" t="s">
        <v>46573</v>
      </c>
    </row>
    <row r="316" spans="1:24">
      <c r="A316">
        <f>HYPERLINK("https://www.philgeps.gov.ph/GEPSNONPILOT/Tender/SplashBidNoticeAbstractUI.aspx?menuIndex=3&amp;refID=7064618&amp;Result=3","7064618")</f>
        <v>0</v>
      </c>
      <c r="B316" t="s">
        <v>148</v>
      </c>
      <c r="C316" t="s">
        <v>3837</v>
      </c>
      <c r="D316" t="s">
        <v>18784</v>
      </c>
      <c r="E316" t="s">
        <v>19185</v>
      </c>
      <c r="F316" t="s">
        <v>32664</v>
      </c>
      <c r="G316" t="s">
        <v>32671</v>
      </c>
      <c r="H316" t="s">
        <v>12635</v>
      </c>
      <c r="I316" t="s">
        <v>32713</v>
      </c>
      <c r="J316" t="s">
        <v>33085</v>
      </c>
      <c r="K316" t="s">
        <v>42283</v>
      </c>
      <c r="M316" t="s">
        <v>42712</v>
      </c>
      <c r="N316" t="s">
        <v>46569</v>
      </c>
      <c r="O316" t="s">
        <v>46570</v>
      </c>
      <c r="P316">
        <v>0</v>
      </c>
      <c r="Q316">
        <v>0</v>
      </c>
      <c r="R316" t="s">
        <v>46571</v>
      </c>
      <c r="S316" t="s">
        <v>46687</v>
      </c>
      <c r="T316" t="s">
        <v>48246</v>
      </c>
      <c r="U316" t="s">
        <v>49067</v>
      </c>
      <c r="W316" t="s">
        <v>63465</v>
      </c>
      <c r="X316" t="s">
        <v>46572</v>
      </c>
    </row>
    <row r="317" spans="1:24">
      <c r="A317">
        <f>HYPERLINK("https://www.philgeps.gov.ph/GEPSNONPILOT/Tender/SplashBidNoticeAbstractUI.aspx?menuIndex=3&amp;refID=7064615&amp;Result=3","7064615")</f>
        <v>0</v>
      </c>
      <c r="B317" t="s">
        <v>130</v>
      </c>
      <c r="C317" t="s">
        <v>3838</v>
      </c>
      <c r="D317" t="s">
        <v>18826</v>
      </c>
      <c r="E317" t="s">
        <v>19186</v>
      </c>
      <c r="F317" t="s">
        <v>32664</v>
      </c>
      <c r="G317" t="s">
        <v>32671</v>
      </c>
      <c r="H317" t="s">
        <v>12635</v>
      </c>
      <c r="I317" t="s">
        <v>8797</v>
      </c>
      <c r="J317" t="s">
        <v>33086</v>
      </c>
      <c r="K317" t="s">
        <v>42283</v>
      </c>
      <c r="M317" t="s">
        <v>42694</v>
      </c>
      <c r="N317" t="s">
        <v>46569</v>
      </c>
      <c r="O317" t="s">
        <v>46570</v>
      </c>
      <c r="P317">
        <v>0</v>
      </c>
      <c r="Q317">
        <v>1</v>
      </c>
      <c r="R317" t="s">
        <v>46571</v>
      </c>
      <c r="S317" t="s">
        <v>46687</v>
      </c>
      <c r="T317" t="s">
        <v>48280</v>
      </c>
      <c r="U317" t="s">
        <v>49042</v>
      </c>
      <c r="V317" t="s">
        <v>61653</v>
      </c>
      <c r="W317" t="s">
        <v>42694</v>
      </c>
      <c r="X317" t="s">
        <v>46572</v>
      </c>
    </row>
    <row r="318" spans="1:24">
      <c r="A318">
        <f>HYPERLINK("https://www.philgeps.gov.ph/GEPSNONPILOT/Tender/SplashBidNoticeAbstractUI.aspx?menuIndex=3&amp;refID=7064617&amp;Result=3","7064617")</f>
        <v>0</v>
      </c>
      <c r="B318" t="s">
        <v>133</v>
      </c>
      <c r="C318" t="s">
        <v>3839</v>
      </c>
      <c r="D318" t="s">
        <v>18832</v>
      </c>
      <c r="E318" t="s">
        <v>19187</v>
      </c>
      <c r="F318" t="s">
        <v>32664</v>
      </c>
      <c r="G318" t="s">
        <v>32671</v>
      </c>
      <c r="H318" t="s">
        <v>12635</v>
      </c>
      <c r="I318" t="s">
        <v>4333</v>
      </c>
      <c r="J318" t="s">
        <v>33087</v>
      </c>
      <c r="K318" t="s">
        <v>42281</v>
      </c>
      <c r="M318" t="s">
        <v>42697</v>
      </c>
      <c r="N318" t="s">
        <v>46569</v>
      </c>
      <c r="O318" t="s">
        <v>46570</v>
      </c>
      <c r="P318">
        <v>0</v>
      </c>
      <c r="Q318">
        <v>0</v>
      </c>
      <c r="R318" t="s">
        <v>46571</v>
      </c>
      <c r="S318" t="s">
        <v>46687</v>
      </c>
      <c r="T318" t="s">
        <v>48282</v>
      </c>
      <c r="U318" t="s">
        <v>49068</v>
      </c>
      <c r="W318" t="s">
        <v>42697</v>
      </c>
      <c r="X318" t="s">
        <v>46572</v>
      </c>
    </row>
    <row r="319" spans="1:24">
      <c r="A319">
        <f>HYPERLINK("https://www.philgeps.gov.ph/GEPSNONPILOT/Tender/SplashBidNoticeAbstractUI.aspx?menuIndex=3&amp;refID=7064598&amp;Result=3","7064598")</f>
        <v>0</v>
      </c>
      <c r="B319" t="s">
        <v>149</v>
      </c>
      <c r="C319" t="s">
        <v>3840</v>
      </c>
      <c r="D319" t="s">
        <v>18832</v>
      </c>
      <c r="E319" t="s">
        <v>19188</v>
      </c>
      <c r="F319" t="s">
        <v>32665</v>
      </c>
      <c r="G319" t="s">
        <v>32672</v>
      </c>
      <c r="H319" t="s">
        <v>12635</v>
      </c>
      <c r="I319" t="s">
        <v>4439</v>
      </c>
      <c r="J319" t="s">
        <v>33088</v>
      </c>
      <c r="K319" t="s">
        <v>42284</v>
      </c>
      <c r="L319" t="s">
        <v>149</v>
      </c>
      <c r="M319" t="s">
        <v>42713</v>
      </c>
      <c r="N319" t="s">
        <v>46569</v>
      </c>
      <c r="O319" t="s">
        <v>46570</v>
      </c>
      <c r="P319">
        <v>0</v>
      </c>
      <c r="Q319">
        <v>0</v>
      </c>
      <c r="R319" t="s">
        <v>46571</v>
      </c>
      <c r="S319" t="s">
        <v>46687</v>
      </c>
      <c r="T319" t="s">
        <v>48218</v>
      </c>
      <c r="U319" t="s">
        <v>49069</v>
      </c>
      <c r="W319" t="s">
        <v>42713</v>
      </c>
      <c r="X319" t="s">
        <v>46572</v>
      </c>
    </row>
    <row r="320" spans="1:24">
      <c r="A320">
        <f>HYPERLINK("https://www.philgeps.gov.ph/GEPSNONPILOT/Tender/SplashBidNoticeAbstractUI.aspx?menuIndex=3&amp;refID=7064597&amp;Result=3","7064597")</f>
        <v>0</v>
      </c>
      <c r="B320" t="s">
        <v>133</v>
      </c>
      <c r="C320" t="s">
        <v>3841</v>
      </c>
      <c r="D320" t="s">
        <v>18832</v>
      </c>
      <c r="E320" t="s">
        <v>19189</v>
      </c>
      <c r="F320" t="s">
        <v>32664</v>
      </c>
      <c r="G320" t="s">
        <v>32671</v>
      </c>
      <c r="H320" t="s">
        <v>12635</v>
      </c>
      <c r="I320" t="s">
        <v>4997</v>
      </c>
      <c r="J320" t="s">
        <v>33089</v>
      </c>
      <c r="K320" t="s">
        <v>42281</v>
      </c>
      <c r="M320" t="s">
        <v>42697</v>
      </c>
      <c r="N320" t="s">
        <v>46569</v>
      </c>
      <c r="O320" t="s">
        <v>46570</v>
      </c>
      <c r="P320">
        <v>0</v>
      </c>
      <c r="Q320">
        <v>0</v>
      </c>
      <c r="R320" t="s">
        <v>46571</v>
      </c>
      <c r="S320" t="s">
        <v>46687</v>
      </c>
      <c r="T320" t="s">
        <v>48282</v>
      </c>
      <c r="U320" t="s">
        <v>49070</v>
      </c>
      <c r="W320" t="s">
        <v>42697</v>
      </c>
      <c r="X320" t="s">
        <v>46572</v>
      </c>
    </row>
    <row r="321" spans="1:24">
      <c r="A321">
        <f>HYPERLINK("https://www.philgeps.gov.ph/GEPSNONPILOT/Tender/SplashBidNoticeAbstractUI.aspx?menuIndex=3&amp;refID=7064622&amp;Result=3","7064622")</f>
        <v>0</v>
      </c>
      <c r="B321" t="s">
        <v>141</v>
      </c>
      <c r="C321" t="s">
        <v>3842</v>
      </c>
      <c r="D321" t="s">
        <v>18796</v>
      </c>
      <c r="E321" t="s">
        <v>19190</v>
      </c>
      <c r="F321" t="s">
        <v>32664</v>
      </c>
      <c r="G321" t="s">
        <v>32671</v>
      </c>
      <c r="H321" t="s">
        <v>12635</v>
      </c>
      <c r="I321" t="s">
        <v>5589</v>
      </c>
      <c r="J321" t="s">
        <v>33090</v>
      </c>
      <c r="K321" t="s">
        <v>42297</v>
      </c>
      <c r="M321" t="s">
        <v>42705</v>
      </c>
      <c r="N321" t="s">
        <v>46569</v>
      </c>
      <c r="O321" t="s">
        <v>46570</v>
      </c>
      <c r="P321">
        <v>0</v>
      </c>
      <c r="Q321">
        <v>4</v>
      </c>
      <c r="R321" t="s">
        <v>46571</v>
      </c>
      <c r="S321" t="s">
        <v>46687</v>
      </c>
      <c r="T321" t="s">
        <v>48226</v>
      </c>
      <c r="U321" t="s">
        <v>49071</v>
      </c>
      <c r="W321" t="s">
        <v>42705</v>
      </c>
      <c r="X321" t="s">
        <v>46572</v>
      </c>
    </row>
    <row r="322" spans="1:24">
      <c r="A322">
        <f>HYPERLINK("https://www.philgeps.gov.ph/GEPSNONPILOT/Tender/SplashBidNoticeAbstractUI.aspx?menuIndex=3&amp;refID=7064596&amp;Result=3","7064596")</f>
        <v>0</v>
      </c>
      <c r="B322" t="s">
        <v>130</v>
      </c>
      <c r="C322" t="s">
        <v>3843</v>
      </c>
      <c r="D322" t="s">
        <v>18826</v>
      </c>
      <c r="E322" t="s">
        <v>19191</v>
      </c>
      <c r="F322" t="s">
        <v>32664</v>
      </c>
      <c r="G322" t="s">
        <v>32674</v>
      </c>
      <c r="H322" t="s">
        <v>12635</v>
      </c>
      <c r="I322" t="s">
        <v>32704</v>
      </c>
      <c r="J322" t="s">
        <v>33091</v>
      </c>
      <c r="K322" t="s">
        <v>42283</v>
      </c>
      <c r="M322" t="s">
        <v>42694</v>
      </c>
      <c r="N322" t="s">
        <v>46569</v>
      </c>
      <c r="O322" t="s">
        <v>46570</v>
      </c>
      <c r="P322">
        <v>0</v>
      </c>
      <c r="Q322">
        <v>0</v>
      </c>
      <c r="R322" t="s">
        <v>46571</v>
      </c>
      <c r="S322" t="s">
        <v>46687</v>
      </c>
      <c r="T322" t="s">
        <v>48280</v>
      </c>
      <c r="U322" t="s">
        <v>49072</v>
      </c>
      <c r="V322" t="s">
        <v>61654</v>
      </c>
      <c r="W322" t="s">
        <v>42694</v>
      </c>
      <c r="X322" t="s">
        <v>46572</v>
      </c>
    </row>
    <row r="323" spans="1:24">
      <c r="A323">
        <f>HYPERLINK("https://www.philgeps.gov.ph/GEPSNONPILOT/Tender/SplashBidNoticeAbstractUI.aspx?menuIndex=3&amp;refID=7064595&amp;Result=3","7064595")</f>
        <v>0</v>
      </c>
      <c r="B323" t="s">
        <v>150</v>
      </c>
      <c r="C323" t="s">
        <v>3844</v>
      </c>
      <c r="D323" t="s">
        <v>18782</v>
      </c>
      <c r="E323" t="s">
        <v>19192</v>
      </c>
      <c r="F323" t="s">
        <v>32664</v>
      </c>
      <c r="G323" t="s">
        <v>32674</v>
      </c>
      <c r="H323" t="s">
        <v>12635</v>
      </c>
      <c r="I323" t="s">
        <v>6223</v>
      </c>
      <c r="J323" t="s">
        <v>33092</v>
      </c>
      <c r="K323" t="s">
        <v>42306</v>
      </c>
      <c r="M323" t="s">
        <v>42714</v>
      </c>
      <c r="N323" t="s">
        <v>46569</v>
      </c>
      <c r="O323" t="s">
        <v>46570</v>
      </c>
      <c r="P323">
        <v>0</v>
      </c>
      <c r="Q323">
        <v>0</v>
      </c>
      <c r="R323" t="s">
        <v>46571</v>
      </c>
      <c r="S323" t="s">
        <v>46687</v>
      </c>
      <c r="T323" t="s">
        <v>48287</v>
      </c>
      <c r="U323" t="s">
        <v>49073</v>
      </c>
      <c r="W323" t="s">
        <v>42714</v>
      </c>
      <c r="X323" t="s">
        <v>46572</v>
      </c>
    </row>
    <row r="324" spans="1:24">
      <c r="A324">
        <f>HYPERLINK("https://www.philgeps.gov.ph/GEPSNONPILOT/Tender/SplashBidNoticeAbstractUI.aspx?menuIndex=3&amp;refID=7064593&amp;Result=3","7064593")</f>
        <v>0</v>
      </c>
      <c r="B324" t="s">
        <v>151</v>
      </c>
      <c r="C324" t="s">
        <v>3845</v>
      </c>
      <c r="D324" t="s">
        <v>18781</v>
      </c>
      <c r="E324" t="s">
        <v>19193</v>
      </c>
      <c r="F324" t="s">
        <v>32664</v>
      </c>
      <c r="G324" t="s">
        <v>32677</v>
      </c>
      <c r="H324" t="s">
        <v>12635</v>
      </c>
      <c r="I324" t="s">
        <v>7759</v>
      </c>
      <c r="J324" t="s">
        <v>32837</v>
      </c>
      <c r="K324" t="s">
        <v>42284</v>
      </c>
      <c r="M324" t="s">
        <v>42715</v>
      </c>
      <c r="N324" t="s">
        <v>46569</v>
      </c>
      <c r="O324" t="s">
        <v>46570</v>
      </c>
      <c r="P324">
        <v>0</v>
      </c>
      <c r="Q324">
        <v>0</v>
      </c>
      <c r="R324" t="s">
        <v>46571</v>
      </c>
      <c r="S324" t="s">
        <v>46687</v>
      </c>
      <c r="T324" t="s">
        <v>48217</v>
      </c>
      <c r="U324" t="s">
        <v>49074</v>
      </c>
      <c r="W324" t="s">
        <v>42715</v>
      </c>
      <c r="X324" t="s">
        <v>46572</v>
      </c>
    </row>
    <row r="325" spans="1:24">
      <c r="A325">
        <f>HYPERLINK("https://www.philgeps.gov.ph/GEPSNONPILOT/Tender/SplashBidNoticeAbstractUI.aspx?menuIndex=3&amp;refID=7064616&amp;Result=3","7064616")</f>
        <v>0</v>
      </c>
      <c r="B325" t="s">
        <v>140</v>
      </c>
      <c r="C325" t="s">
        <v>3846</v>
      </c>
      <c r="E325" t="s">
        <v>3846</v>
      </c>
      <c r="F325" t="s">
        <v>32664</v>
      </c>
      <c r="G325" t="s">
        <v>32671</v>
      </c>
      <c r="H325" t="s">
        <v>32683</v>
      </c>
      <c r="I325" t="s">
        <v>10627</v>
      </c>
      <c r="J325" t="s">
        <v>33093</v>
      </c>
      <c r="K325" t="s">
        <v>42283</v>
      </c>
      <c r="M325" t="s">
        <v>42704</v>
      </c>
      <c r="N325" t="s">
        <v>46569</v>
      </c>
      <c r="O325" t="s">
        <v>46570</v>
      </c>
      <c r="P325">
        <v>0</v>
      </c>
      <c r="Q325">
        <v>0</v>
      </c>
      <c r="R325" t="s">
        <v>46571</v>
      </c>
      <c r="S325" t="s">
        <v>46687</v>
      </c>
      <c r="T325" t="s">
        <v>48285</v>
      </c>
      <c r="U325" t="s">
        <v>49075</v>
      </c>
      <c r="W325" t="s">
        <v>42704</v>
      </c>
      <c r="X325" t="s">
        <v>46572</v>
      </c>
    </row>
    <row r="326" spans="1:24">
      <c r="A326">
        <f>HYPERLINK("https://www.philgeps.gov.ph/GEPSNONPILOT/Tender/SplashBidNoticeAbstractUI.aspx?menuIndex=3&amp;refID=7064566&amp;Result=3","7064566")</f>
        <v>0</v>
      </c>
      <c r="B326" t="s">
        <v>126</v>
      </c>
      <c r="C326" t="s">
        <v>3847</v>
      </c>
      <c r="D326" t="s">
        <v>18829</v>
      </c>
      <c r="E326" t="s">
        <v>19194</v>
      </c>
      <c r="F326" t="s">
        <v>32664</v>
      </c>
      <c r="G326" t="s">
        <v>32672</v>
      </c>
      <c r="H326" t="s">
        <v>12635</v>
      </c>
      <c r="I326" t="s">
        <v>10627</v>
      </c>
      <c r="J326" t="s">
        <v>33094</v>
      </c>
      <c r="K326" t="s">
        <v>42305</v>
      </c>
      <c r="M326" t="s">
        <v>42690</v>
      </c>
      <c r="N326" t="s">
        <v>46569</v>
      </c>
      <c r="O326" t="s">
        <v>46570</v>
      </c>
      <c r="P326">
        <v>0</v>
      </c>
      <c r="Q326">
        <v>0</v>
      </c>
      <c r="R326" t="s">
        <v>46571</v>
      </c>
      <c r="S326" t="s">
        <v>46687</v>
      </c>
      <c r="T326" t="s">
        <v>48237</v>
      </c>
      <c r="U326" t="s">
        <v>49076</v>
      </c>
      <c r="W326" t="s">
        <v>42690</v>
      </c>
      <c r="X326" t="s">
        <v>46572</v>
      </c>
    </row>
    <row r="327" spans="1:24">
      <c r="A327">
        <f>HYPERLINK("https://www.philgeps.gov.ph/GEPSNONPILOT/Tender/SplashBidNoticeAbstractUI.aspx?menuIndex=3&amp;refID=7064599&amp;Result=3","7064599")</f>
        <v>0</v>
      </c>
      <c r="B327" t="s">
        <v>133</v>
      </c>
      <c r="C327" t="s">
        <v>3848</v>
      </c>
      <c r="D327" t="s">
        <v>18832</v>
      </c>
      <c r="E327" t="s">
        <v>19195</v>
      </c>
      <c r="F327" t="s">
        <v>32664</v>
      </c>
      <c r="G327" t="s">
        <v>32671</v>
      </c>
      <c r="H327" t="s">
        <v>12635</v>
      </c>
      <c r="I327" t="s">
        <v>32706</v>
      </c>
      <c r="J327" t="s">
        <v>32842</v>
      </c>
      <c r="K327" t="s">
        <v>42281</v>
      </c>
      <c r="M327" t="s">
        <v>42697</v>
      </c>
      <c r="N327" t="s">
        <v>46569</v>
      </c>
      <c r="O327" t="s">
        <v>46570</v>
      </c>
      <c r="P327">
        <v>0</v>
      </c>
      <c r="Q327">
        <v>0</v>
      </c>
      <c r="R327" t="s">
        <v>46571</v>
      </c>
      <c r="S327" t="s">
        <v>46687</v>
      </c>
      <c r="T327" t="s">
        <v>48282</v>
      </c>
      <c r="U327" t="s">
        <v>49077</v>
      </c>
      <c r="W327" t="s">
        <v>42697</v>
      </c>
      <c r="X327" t="s">
        <v>46572</v>
      </c>
    </row>
    <row r="328" spans="1:24">
      <c r="A328">
        <f>HYPERLINK("https://www.philgeps.gov.ph/GEPSNONPILOT/Tender/SplashBidNoticeAbstractUI.aspx?menuIndex=3&amp;refID=7064620&amp;Result=3","7064620")</f>
        <v>0</v>
      </c>
      <c r="B328" t="s">
        <v>145</v>
      </c>
      <c r="C328" t="s">
        <v>3849</v>
      </c>
      <c r="D328" t="s">
        <v>18784</v>
      </c>
      <c r="E328" t="s">
        <v>19196</v>
      </c>
      <c r="F328" t="s">
        <v>32664</v>
      </c>
      <c r="G328" t="s">
        <v>32671</v>
      </c>
      <c r="H328" t="s">
        <v>12635</v>
      </c>
      <c r="I328" t="s">
        <v>10590</v>
      </c>
      <c r="J328" t="s">
        <v>33095</v>
      </c>
      <c r="K328" t="s">
        <v>42284</v>
      </c>
      <c r="M328" t="s">
        <v>42709</v>
      </c>
      <c r="N328" t="s">
        <v>46569</v>
      </c>
      <c r="O328" t="s">
        <v>46570</v>
      </c>
      <c r="P328">
        <v>0</v>
      </c>
      <c r="Q328">
        <v>1</v>
      </c>
      <c r="R328" t="s">
        <v>46571</v>
      </c>
      <c r="S328" t="s">
        <v>46687</v>
      </c>
      <c r="T328" t="s">
        <v>48251</v>
      </c>
      <c r="U328" t="s">
        <v>49062</v>
      </c>
      <c r="V328" t="s">
        <v>61651</v>
      </c>
      <c r="W328" t="s">
        <v>42709</v>
      </c>
      <c r="X328" t="s">
        <v>46572</v>
      </c>
    </row>
    <row r="329" spans="1:24">
      <c r="A329">
        <f>HYPERLINK("https://www.philgeps.gov.ph/GEPSNONPILOT/Tender/SplashBidNoticeAbstractUI.aspx?menuIndex=3&amp;refID=7064662&amp;Result=3","7064662")</f>
        <v>0</v>
      </c>
      <c r="B329" t="s">
        <v>152</v>
      </c>
      <c r="C329" t="s">
        <v>3850</v>
      </c>
      <c r="D329" t="s">
        <v>18813</v>
      </c>
      <c r="E329" t="s">
        <v>19197</v>
      </c>
      <c r="F329" t="s">
        <v>32664</v>
      </c>
      <c r="G329" t="s">
        <v>32672</v>
      </c>
      <c r="H329" t="s">
        <v>12635</v>
      </c>
      <c r="I329" t="s">
        <v>6168</v>
      </c>
      <c r="J329" t="s">
        <v>33096</v>
      </c>
      <c r="K329" t="s">
        <v>42281</v>
      </c>
      <c r="M329" t="s">
        <v>42716</v>
      </c>
      <c r="N329" t="s">
        <v>46569</v>
      </c>
      <c r="O329" t="s">
        <v>46570</v>
      </c>
      <c r="P329">
        <v>0</v>
      </c>
      <c r="Q329">
        <v>0</v>
      </c>
      <c r="R329" t="s">
        <v>46571</v>
      </c>
      <c r="S329" t="s">
        <v>46687</v>
      </c>
      <c r="T329" t="s">
        <v>48225</v>
      </c>
      <c r="U329" t="s">
        <v>49078</v>
      </c>
      <c r="V329" t="s">
        <v>61655</v>
      </c>
      <c r="W329" t="s">
        <v>42716</v>
      </c>
      <c r="X329" t="s">
        <v>46572</v>
      </c>
    </row>
    <row r="330" spans="1:24">
      <c r="A330">
        <f>HYPERLINK("https://www.philgeps.gov.ph/GEPSNONPILOT/Tender/SplashBidNoticeAbstractUI.aspx?menuIndex=3&amp;refID=7064624&amp;Result=3","7064624")</f>
        <v>0</v>
      </c>
      <c r="B330" t="s">
        <v>153</v>
      </c>
      <c r="C330" t="s">
        <v>3851</v>
      </c>
      <c r="D330" t="s">
        <v>18809</v>
      </c>
      <c r="E330" t="s">
        <v>19198</v>
      </c>
      <c r="F330" t="s">
        <v>32664</v>
      </c>
      <c r="G330" t="s">
        <v>32672</v>
      </c>
      <c r="H330" t="s">
        <v>32683</v>
      </c>
      <c r="I330" t="s">
        <v>10627</v>
      </c>
      <c r="J330" t="s">
        <v>33097</v>
      </c>
      <c r="K330" t="s">
        <v>42326</v>
      </c>
      <c r="M330" t="s">
        <v>42717</v>
      </c>
      <c r="N330" t="s">
        <v>46569</v>
      </c>
      <c r="O330" t="s">
        <v>46570</v>
      </c>
      <c r="P330">
        <v>0</v>
      </c>
      <c r="Q330">
        <v>0</v>
      </c>
      <c r="R330" t="s">
        <v>46571</v>
      </c>
      <c r="S330" t="s">
        <v>46687</v>
      </c>
      <c r="T330" t="s">
        <v>48263</v>
      </c>
      <c r="U330" t="s">
        <v>49079</v>
      </c>
      <c r="W330" t="s">
        <v>42717</v>
      </c>
      <c r="X330" t="s">
        <v>46572</v>
      </c>
    </row>
    <row r="331" spans="1:24">
      <c r="A331">
        <f>HYPERLINK("https://www.philgeps.gov.ph/GEPSNONPILOT/Tender/SplashBidNoticeAbstractUI.aspx?menuIndex=3&amp;refID=7064657&amp;Result=3","7064657")</f>
        <v>0</v>
      </c>
      <c r="B331" t="s">
        <v>154</v>
      </c>
      <c r="C331" t="s">
        <v>3852</v>
      </c>
      <c r="E331" t="s">
        <v>19199</v>
      </c>
      <c r="F331" t="s">
        <v>32664</v>
      </c>
      <c r="G331" t="s">
        <v>32672</v>
      </c>
      <c r="H331" t="s">
        <v>32683</v>
      </c>
      <c r="I331" t="s">
        <v>10627</v>
      </c>
      <c r="J331" t="s">
        <v>33098</v>
      </c>
      <c r="K331" t="s">
        <v>42283</v>
      </c>
      <c r="M331" t="s">
        <v>42718</v>
      </c>
      <c r="N331" t="s">
        <v>46569</v>
      </c>
      <c r="O331" t="s">
        <v>46570</v>
      </c>
      <c r="P331">
        <v>0</v>
      </c>
      <c r="Q331">
        <v>1</v>
      </c>
      <c r="R331" t="s">
        <v>46571</v>
      </c>
      <c r="S331" t="s">
        <v>46687</v>
      </c>
      <c r="T331" t="s">
        <v>48288</v>
      </c>
      <c r="U331" t="s">
        <v>49080</v>
      </c>
      <c r="V331" t="s">
        <v>61656</v>
      </c>
      <c r="W331" t="s">
        <v>42718</v>
      </c>
      <c r="X331" t="s">
        <v>46572</v>
      </c>
    </row>
    <row r="332" spans="1:24">
      <c r="A332">
        <f>HYPERLINK("https://www.philgeps.gov.ph/GEPSNONPILOT/Tender/SplashBidNoticeAbstractUI.aspx?menuIndex=3&amp;refID=7063489&amp;Result=3","7063489")</f>
        <v>0</v>
      </c>
      <c r="B332" t="s">
        <v>155</v>
      </c>
      <c r="C332" t="s">
        <v>3853</v>
      </c>
      <c r="E332" t="s">
        <v>19200</v>
      </c>
      <c r="F332" t="s">
        <v>32664</v>
      </c>
      <c r="G332" t="s">
        <v>32671</v>
      </c>
      <c r="H332" t="s">
        <v>12635</v>
      </c>
      <c r="I332" t="s">
        <v>32685</v>
      </c>
      <c r="J332" t="s">
        <v>33099</v>
      </c>
      <c r="K332" t="s">
        <v>42284</v>
      </c>
      <c r="M332" t="s">
        <v>42719</v>
      </c>
      <c r="N332" t="s">
        <v>46569</v>
      </c>
      <c r="O332" t="s">
        <v>46570</v>
      </c>
      <c r="P332">
        <v>0</v>
      </c>
      <c r="Q332">
        <v>0</v>
      </c>
      <c r="R332" t="s">
        <v>46571</v>
      </c>
      <c r="S332" t="s">
        <v>46687</v>
      </c>
      <c r="T332" t="s">
        <v>48256</v>
      </c>
      <c r="U332" t="s">
        <v>49081</v>
      </c>
      <c r="W332" t="s">
        <v>42719</v>
      </c>
      <c r="X332" t="s">
        <v>46573</v>
      </c>
    </row>
    <row r="333" spans="1:24">
      <c r="A333">
        <f>HYPERLINK("https://www.philgeps.gov.ph/GEPSNONPILOT/Tender/SplashBidNoticeAbstractUI.aspx?menuIndex=3&amp;refID=7064654&amp;Result=3","7064654")</f>
        <v>0</v>
      </c>
      <c r="B333" t="s">
        <v>135</v>
      </c>
      <c r="C333" t="s">
        <v>3854</v>
      </c>
      <c r="D333" t="s">
        <v>18807</v>
      </c>
      <c r="E333" t="s">
        <v>19201</v>
      </c>
      <c r="F333" t="s">
        <v>32664</v>
      </c>
      <c r="G333" t="s">
        <v>32672</v>
      </c>
      <c r="H333" t="s">
        <v>12635</v>
      </c>
      <c r="I333" t="s">
        <v>4205</v>
      </c>
      <c r="J333" t="s">
        <v>33100</v>
      </c>
      <c r="K333" t="s">
        <v>42281</v>
      </c>
      <c r="M333" t="s">
        <v>42699</v>
      </c>
      <c r="N333" t="s">
        <v>46569</v>
      </c>
      <c r="O333" t="s">
        <v>46570</v>
      </c>
      <c r="P333">
        <v>0</v>
      </c>
      <c r="Q333">
        <v>0</v>
      </c>
      <c r="R333" t="s">
        <v>46571</v>
      </c>
      <c r="S333" t="s">
        <v>46687</v>
      </c>
      <c r="T333" t="s">
        <v>48226</v>
      </c>
      <c r="U333" t="s">
        <v>49052</v>
      </c>
      <c r="V333" t="s">
        <v>61650</v>
      </c>
      <c r="W333" t="s">
        <v>42699</v>
      </c>
      <c r="X333" t="s">
        <v>46572</v>
      </c>
    </row>
    <row r="334" spans="1:24">
      <c r="A334">
        <f>HYPERLINK("https://www.philgeps.gov.ph/GEPSNONPILOT/Tender/SplashBidNoticeAbstractUI.aspx?menuIndex=3&amp;refID=7064592&amp;Result=3","7064592")</f>
        <v>0</v>
      </c>
      <c r="B334" t="s">
        <v>156</v>
      </c>
      <c r="C334" t="s">
        <v>3855</v>
      </c>
      <c r="E334" t="s">
        <v>19202</v>
      </c>
      <c r="F334" t="s">
        <v>32664</v>
      </c>
      <c r="G334" t="s">
        <v>32674</v>
      </c>
      <c r="H334" t="s">
        <v>12635</v>
      </c>
      <c r="I334" t="s">
        <v>4333</v>
      </c>
      <c r="J334" t="s">
        <v>33101</v>
      </c>
      <c r="K334" t="s">
        <v>42283</v>
      </c>
      <c r="M334" t="s">
        <v>42720</v>
      </c>
      <c r="N334" t="s">
        <v>46569</v>
      </c>
      <c r="O334" t="s">
        <v>46570</v>
      </c>
      <c r="P334">
        <v>0</v>
      </c>
      <c r="Q334">
        <v>0</v>
      </c>
      <c r="R334" t="s">
        <v>46571</v>
      </c>
      <c r="S334" t="s">
        <v>46687</v>
      </c>
      <c r="T334" t="s">
        <v>48289</v>
      </c>
      <c r="U334" t="s">
        <v>49082</v>
      </c>
      <c r="W334" t="s">
        <v>42720</v>
      </c>
      <c r="X334" t="s">
        <v>46572</v>
      </c>
    </row>
    <row r="335" spans="1:24">
      <c r="A335">
        <f>HYPERLINK("https://www.philgeps.gov.ph/GEPSNONPILOT/Tender/SplashBidNoticeAbstractUI.aspx?menuIndex=3&amp;refID=7064652&amp;Result=3","7064652")</f>
        <v>0</v>
      </c>
      <c r="B335" t="s">
        <v>157</v>
      </c>
      <c r="C335" t="s">
        <v>3856</v>
      </c>
      <c r="D335" t="s">
        <v>18834</v>
      </c>
      <c r="E335" t="s">
        <v>19203</v>
      </c>
      <c r="F335" t="s">
        <v>32664</v>
      </c>
      <c r="G335" t="s">
        <v>32674</v>
      </c>
      <c r="H335" t="s">
        <v>12635</v>
      </c>
      <c r="I335" t="s">
        <v>32714</v>
      </c>
      <c r="J335" t="s">
        <v>33102</v>
      </c>
      <c r="K335" t="s">
        <v>42295</v>
      </c>
      <c r="M335" t="s">
        <v>42721</v>
      </c>
      <c r="N335" t="s">
        <v>46569</v>
      </c>
      <c r="O335" t="s">
        <v>46570</v>
      </c>
      <c r="P335">
        <v>0</v>
      </c>
      <c r="Q335">
        <v>0</v>
      </c>
      <c r="R335" t="s">
        <v>46571</v>
      </c>
      <c r="S335" t="s">
        <v>46687</v>
      </c>
      <c r="T335" t="s">
        <v>48244</v>
      </c>
      <c r="U335" t="s">
        <v>49083</v>
      </c>
      <c r="W335" t="s">
        <v>42721</v>
      </c>
      <c r="X335" t="s">
        <v>46572</v>
      </c>
    </row>
    <row r="336" spans="1:24">
      <c r="A336">
        <f>HYPERLINK("https://www.philgeps.gov.ph/GEPSNONPILOT/Tender/SplashBidNoticeAbstractUI.aspx?menuIndex=3&amp;refID=7064661&amp;Result=3","7064661")</f>
        <v>0</v>
      </c>
      <c r="B336" t="s">
        <v>158</v>
      </c>
      <c r="C336" t="s">
        <v>3857</v>
      </c>
      <c r="D336" t="s">
        <v>18784</v>
      </c>
      <c r="E336" t="s">
        <v>19204</v>
      </c>
      <c r="F336" t="s">
        <v>32664</v>
      </c>
      <c r="G336" t="s">
        <v>32671</v>
      </c>
      <c r="H336" t="s">
        <v>12635</v>
      </c>
      <c r="I336" t="s">
        <v>6553</v>
      </c>
      <c r="J336" t="s">
        <v>33103</v>
      </c>
      <c r="K336" t="s">
        <v>42298</v>
      </c>
      <c r="M336" t="s">
        <v>42722</v>
      </c>
      <c r="N336" t="s">
        <v>46569</v>
      </c>
      <c r="O336" t="s">
        <v>46570</v>
      </c>
      <c r="P336">
        <v>0</v>
      </c>
      <c r="Q336">
        <v>0</v>
      </c>
      <c r="R336" t="s">
        <v>46571</v>
      </c>
      <c r="S336" t="s">
        <v>46687</v>
      </c>
      <c r="T336" t="s">
        <v>48258</v>
      </c>
      <c r="U336" t="s">
        <v>49084</v>
      </c>
      <c r="W336" t="s">
        <v>42722</v>
      </c>
      <c r="X336" t="s">
        <v>46572</v>
      </c>
    </row>
    <row r="337" spans="1:24">
      <c r="A337">
        <f>HYPERLINK("https://www.philgeps.gov.ph/GEPSNONPILOT/Tender/SplashBidNoticeAbstractUI.aspx?menuIndex=3&amp;refID=7064651&amp;Result=3","7064651")</f>
        <v>0</v>
      </c>
      <c r="B337" t="s">
        <v>159</v>
      </c>
      <c r="C337" t="s">
        <v>3858</v>
      </c>
      <c r="D337" t="s">
        <v>18835</v>
      </c>
      <c r="E337" t="s">
        <v>19205</v>
      </c>
      <c r="F337" t="s">
        <v>32664</v>
      </c>
      <c r="G337" t="s">
        <v>32674</v>
      </c>
      <c r="H337" t="s">
        <v>12635</v>
      </c>
      <c r="I337" t="s">
        <v>6118</v>
      </c>
      <c r="J337" t="s">
        <v>33104</v>
      </c>
      <c r="K337" t="s">
        <v>42297</v>
      </c>
      <c r="M337" t="s">
        <v>42723</v>
      </c>
      <c r="N337" t="s">
        <v>46569</v>
      </c>
      <c r="O337" t="s">
        <v>46570</v>
      </c>
      <c r="P337">
        <v>0</v>
      </c>
      <c r="Q337">
        <v>0</v>
      </c>
      <c r="R337" t="s">
        <v>46571</v>
      </c>
      <c r="S337" t="s">
        <v>46687</v>
      </c>
      <c r="T337" t="s">
        <v>48290</v>
      </c>
      <c r="U337" t="s">
        <v>49085</v>
      </c>
      <c r="W337" t="s">
        <v>42723</v>
      </c>
      <c r="X337" t="s">
        <v>46572</v>
      </c>
    </row>
    <row r="338" spans="1:24">
      <c r="A338">
        <f>HYPERLINK("https://www.philgeps.gov.ph/GEPSNONPILOT/Tender/SplashBidNoticeAbstractUI.aspx?menuIndex=3&amp;refID=7064650&amp;Result=3","7064650")</f>
        <v>0</v>
      </c>
      <c r="B338" t="s">
        <v>160</v>
      </c>
      <c r="C338" t="s">
        <v>3859</v>
      </c>
      <c r="D338" t="s">
        <v>18806</v>
      </c>
      <c r="E338" t="s">
        <v>19206</v>
      </c>
      <c r="F338" t="s">
        <v>32664</v>
      </c>
      <c r="G338" t="s">
        <v>32671</v>
      </c>
      <c r="H338" t="s">
        <v>12635</v>
      </c>
      <c r="I338" t="s">
        <v>4439</v>
      </c>
      <c r="J338" t="s">
        <v>33105</v>
      </c>
      <c r="K338" t="s">
        <v>42289</v>
      </c>
      <c r="M338" t="s">
        <v>42724</v>
      </c>
      <c r="N338" t="s">
        <v>46569</v>
      </c>
      <c r="O338" t="s">
        <v>46570</v>
      </c>
      <c r="P338">
        <v>0</v>
      </c>
      <c r="Q338">
        <v>0</v>
      </c>
      <c r="R338" t="s">
        <v>46571</v>
      </c>
      <c r="S338" t="s">
        <v>46687</v>
      </c>
      <c r="T338" t="s">
        <v>48221</v>
      </c>
      <c r="U338" t="s">
        <v>49086</v>
      </c>
      <c r="W338" t="s">
        <v>42724</v>
      </c>
      <c r="X338" t="s">
        <v>46572</v>
      </c>
    </row>
    <row r="339" spans="1:24">
      <c r="A339">
        <f>HYPERLINK("https://www.philgeps.gov.ph/GEPSNONPILOT/Tender/SplashBidNoticeAbstractUI.aspx?menuIndex=3&amp;refID=7064658&amp;Result=3","7064658")</f>
        <v>0</v>
      </c>
      <c r="B339" t="s">
        <v>161</v>
      </c>
      <c r="C339" t="s">
        <v>3860</v>
      </c>
      <c r="D339" t="s">
        <v>18826</v>
      </c>
      <c r="E339" t="s">
        <v>19207</v>
      </c>
      <c r="F339" t="s">
        <v>32664</v>
      </c>
      <c r="G339" t="s">
        <v>32672</v>
      </c>
      <c r="H339" t="s">
        <v>12635</v>
      </c>
      <c r="I339" t="s">
        <v>4439</v>
      </c>
      <c r="J339" t="s">
        <v>33106</v>
      </c>
      <c r="K339" t="s">
        <v>42284</v>
      </c>
      <c r="M339" t="s">
        <v>42725</v>
      </c>
      <c r="N339" t="s">
        <v>46569</v>
      </c>
      <c r="O339" t="s">
        <v>46570</v>
      </c>
      <c r="P339">
        <v>0</v>
      </c>
      <c r="Q339">
        <v>0</v>
      </c>
      <c r="R339" t="s">
        <v>46571</v>
      </c>
      <c r="S339" t="s">
        <v>46687</v>
      </c>
      <c r="T339" t="s">
        <v>48291</v>
      </c>
      <c r="U339" t="s">
        <v>49087</v>
      </c>
      <c r="W339" t="s">
        <v>42725</v>
      </c>
      <c r="X339" t="s">
        <v>46572</v>
      </c>
    </row>
    <row r="340" spans="1:24">
      <c r="A340">
        <f>HYPERLINK("https://www.philgeps.gov.ph/GEPSNONPILOT/Tender/SplashBidNoticeAbstractUI.aspx?menuIndex=3&amp;refID=7064648&amp;Result=3","7064648")</f>
        <v>0</v>
      </c>
      <c r="B340" t="s">
        <v>135</v>
      </c>
      <c r="C340" t="s">
        <v>3861</v>
      </c>
      <c r="D340" t="s">
        <v>18807</v>
      </c>
      <c r="E340" t="s">
        <v>19208</v>
      </c>
      <c r="F340" t="s">
        <v>32664</v>
      </c>
      <c r="G340" t="s">
        <v>32672</v>
      </c>
      <c r="H340" t="s">
        <v>12635</v>
      </c>
      <c r="I340" t="s">
        <v>5589</v>
      </c>
      <c r="J340" t="s">
        <v>33107</v>
      </c>
      <c r="K340" t="s">
        <v>42281</v>
      </c>
      <c r="M340" t="s">
        <v>42699</v>
      </c>
      <c r="N340" t="s">
        <v>46569</v>
      </c>
      <c r="O340" t="s">
        <v>46570</v>
      </c>
      <c r="P340">
        <v>0</v>
      </c>
      <c r="Q340">
        <v>2</v>
      </c>
      <c r="R340" t="s">
        <v>46571</v>
      </c>
      <c r="S340" t="s">
        <v>46687</v>
      </c>
      <c r="T340" t="s">
        <v>48226</v>
      </c>
      <c r="U340" t="s">
        <v>49052</v>
      </c>
      <c r="V340" t="s">
        <v>61650</v>
      </c>
      <c r="W340" t="s">
        <v>42699</v>
      </c>
      <c r="X340" t="s">
        <v>46572</v>
      </c>
    </row>
    <row r="341" spans="1:24">
      <c r="A341">
        <f>HYPERLINK("https://www.philgeps.gov.ph/GEPSNONPILOT/Tender/SplashBidNoticeAbstractUI.aspx?menuIndex=3&amp;refID=7064678&amp;Result=3","7064678")</f>
        <v>0</v>
      </c>
      <c r="B341" t="s">
        <v>162</v>
      </c>
      <c r="C341" t="s">
        <v>3862</v>
      </c>
      <c r="D341" t="s">
        <v>18788</v>
      </c>
      <c r="E341" t="s">
        <v>19209</v>
      </c>
      <c r="F341" t="s">
        <v>32664</v>
      </c>
      <c r="G341" t="s">
        <v>32672</v>
      </c>
      <c r="H341" t="s">
        <v>12635</v>
      </c>
      <c r="I341" t="s">
        <v>4439</v>
      </c>
      <c r="J341" t="s">
        <v>33108</v>
      </c>
      <c r="K341" t="s">
        <v>42289</v>
      </c>
      <c r="M341" t="s">
        <v>42726</v>
      </c>
      <c r="N341" t="s">
        <v>46569</v>
      </c>
      <c r="O341" t="s">
        <v>46570</v>
      </c>
      <c r="P341">
        <v>0</v>
      </c>
      <c r="Q341">
        <v>0</v>
      </c>
      <c r="R341" t="s">
        <v>46571</v>
      </c>
      <c r="S341" t="s">
        <v>46687</v>
      </c>
      <c r="T341" t="s">
        <v>48236</v>
      </c>
      <c r="U341" t="s">
        <v>49088</v>
      </c>
      <c r="W341" t="s">
        <v>42726</v>
      </c>
      <c r="X341" t="s">
        <v>46572</v>
      </c>
    </row>
    <row r="342" spans="1:24">
      <c r="A342">
        <f>HYPERLINK("https://www.philgeps.gov.ph/GEPSNONPILOT/Tender/SplashBidNoticeAbstractUI.aspx?menuIndex=3&amp;refID=7064655&amp;Result=3","7064655")</f>
        <v>0</v>
      </c>
      <c r="B342" t="s">
        <v>136</v>
      </c>
      <c r="C342" t="s">
        <v>3863</v>
      </c>
      <c r="D342" t="s">
        <v>18833</v>
      </c>
      <c r="E342" t="s">
        <v>19210</v>
      </c>
      <c r="F342" t="s">
        <v>32664</v>
      </c>
      <c r="G342" t="s">
        <v>32672</v>
      </c>
      <c r="H342" t="s">
        <v>12635</v>
      </c>
      <c r="I342" t="s">
        <v>4439</v>
      </c>
      <c r="J342" t="s">
        <v>33109</v>
      </c>
      <c r="K342" t="s">
        <v>42289</v>
      </c>
      <c r="M342" t="s">
        <v>42700</v>
      </c>
      <c r="N342" t="s">
        <v>46569</v>
      </c>
      <c r="O342" t="s">
        <v>46570</v>
      </c>
      <c r="P342">
        <v>0</v>
      </c>
      <c r="Q342">
        <v>1</v>
      </c>
      <c r="R342" t="s">
        <v>46571</v>
      </c>
      <c r="S342" t="s">
        <v>46687</v>
      </c>
      <c r="T342" t="s">
        <v>48226</v>
      </c>
      <c r="U342" t="s">
        <v>49089</v>
      </c>
      <c r="W342" t="s">
        <v>42700</v>
      </c>
      <c r="X342" t="s">
        <v>46572</v>
      </c>
    </row>
    <row r="343" spans="1:24">
      <c r="A343">
        <f>HYPERLINK("https://www.philgeps.gov.ph/GEPSNONPILOT/Tender/SplashBidNoticeAbstractUI.aspx?menuIndex=3&amp;refID=7064567&amp;Result=3","7064567")</f>
        <v>0</v>
      </c>
      <c r="B343" t="s">
        <v>117</v>
      </c>
      <c r="C343" t="s">
        <v>3864</v>
      </c>
      <c r="D343" t="s">
        <v>18799</v>
      </c>
      <c r="E343" t="s">
        <v>19211</v>
      </c>
      <c r="F343" t="s">
        <v>32664</v>
      </c>
      <c r="G343" t="s">
        <v>32677</v>
      </c>
      <c r="H343" t="s">
        <v>12635</v>
      </c>
      <c r="I343" t="s">
        <v>10370</v>
      </c>
      <c r="J343" t="s">
        <v>33110</v>
      </c>
      <c r="K343" t="s">
        <v>42283</v>
      </c>
      <c r="M343" t="s">
        <v>42681</v>
      </c>
      <c r="N343" t="s">
        <v>46569</v>
      </c>
      <c r="O343" t="s">
        <v>46570</v>
      </c>
      <c r="P343">
        <v>0</v>
      </c>
      <c r="Q343">
        <v>3</v>
      </c>
      <c r="R343" t="s">
        <v>46571</v>
      </c>
      <c r="S343" t="s">
        <v>46687</v>
      </c>
      <c r="T343" t="s">
        <v>48249</v>
      </c>
      <c r="U343" t="s">
        <v>49090</v>
      </c>
      <c r="W343" t="s">
        <v>42681</v>
      </c>
      <c r="X343" t="s">
        <v>46572</v>
      </c>
    </row>
    <row r="344" spans="1:24">
      <c r="A344">
        <f>HYPERLINK("https://www.philgeps.gov.ph/GEPSNONPILOT/Tender/SplashBidNoticeAbstractUI.aspx?menuIndex=3&amp;refID=7064647&amp;Result=3","7064647")</f>
        <v>0</v>
      </c>
      <c r="B344" t="s">
        <v>163</v>
      </c>
      <c r="C344" t="s">
        <v>3865</v>
      </c>
      <c r="D344" t="s">
        <v>18799</v>
      </c>
      <c r="E344" t="s">
        <v>19212</v>
      </c>
      <c r="F344" t="s">
        <v>32664</v>
      </c>
      <c r="G344" t="s">
        <v>32671</v>
      </c>
      <c r="H344" t="s">
        <v>12635</v>
      </c>
      <c r="I344" t="s">
        <v>5589</v>
      </c>
      <c r="J344" t="s">
        <v>33069</v>
      </c>
      <c r="K344" t="s">
        <v>42297</v>
      </c>
      <c r="M344" t="s">
        <v>42727</v>
      </c>
      <c r="N344" t="s">
        <v>46569</v>
      </c>
      <c r="O344" t="s">
        <v>46570</v>
      </c>
      <c r="P344">
        <v>0</v>
      </c>
      <c r="Q344">
        <v>1</v>
      </c>
      <c r="R344" t="s">
        <v>46571</v>
      </c>
      <c r="S344" t="s">
        <v>46687</v>
      </c>
      <c r="T344" t="s">
        <v>48271</v>
      </c>
      <c r="U344" t="s">
        <v>49091</v>
      </c>
      <c r="V344" t="s">
        <v>61657</v>
      </c>
      <c r="W344" t="s">
        <v>42727</v>
      </c>
      <c r="X344" t="s">
        <v>46572</v>
      </c>
    </row>
    <row r="345" spans="1:24">
      <c r="A345">
        <f>HYPERLINK("https://www.philgeps.gov.ph/GEPSNONPILOT/Tender/SplashBidNoticeAbstractUI.aspx?menuIndex=3&amp;refID=7064684&amp;Result=3","7064684")</f>
        <v>0</v>
      </c>
      <c r="B345" t="s">
        <v>164</v>
      </c>
      <c r="C345" t="s">
        <v>3866</v>
      </c>
      <c r="D345" t="s">
        <v>18836</v>
      </c>
      <c r="E345" t="s">
        <v>19213</v>
      </c>
      <c r="F345" t="s">
        <v>32664</v>
      </c>
      <c r="G345" t="s">
        <v>32671</v>
      </c>
      <c r="H345" t="s">
        <v>12635</v>
      </c>
      <c r="I345" t="s">
        <v>6223</v>
      </c>
      <c r="J345" t="s">
        <v>33111</v>
      </c>
      <c r="K345" t="s">
        <v>42283</v>
      </c>
      <c r="M345" t="s">
        <v>42728</v>
      </c>
      <c r="N345" t="s">
        <v>46569</v>
      </c>
      <c r="O345" t="s">
        <v>46570</v>
      </c>
      <c r="Q345">
        <v>1</v>
      </c>
      <c r="R345" t="s">
        <v>46571</v>
      </c>
      <c r="S345" t="s">
        <v>46688</v>
      </c>
      <c r="T345" t="s">
        <v>48280</v>
      </c>
      <c r="U345" t="s">
        <v>49092</v>
      </c>
      <c r="V345" t="s">
        <v>61658</v>
      </c>
      <c r="W345" t="s">
        <v>42728</v>
      </c>
      <c r="X345" t="s">
        <v>46572</v>
      </c>
    </row>
    <row r="346" spans="1:24">
      <c r="A346">
        <f>HYPERLINK("https://www.philgeps.gov.ph/GEPSNONPILOT/Tender/SplashBidNoticeAbstractUI.aspx?menuIndex=3&amp;refID=7064682&amp;Result=3","7064682")</f>
        <v>0</v>
      </c>
      <c r="B346" t="s">
        <v>165</v>
      </c>
      <c r="C346" t="s">
        <v>3867</v>
      </c>
      <c r="D346" t="s">
        <v>18784</v>
      </c>
      <c r="E346" t="s">
        <v>19214</v>
      </c>
      <c r="F346" t="s">
        <v>32664</v>
      </c>
      <c r="G346" t="s">
        <v>32672</v>
      </c>
      <c r="H346" t="s">
        <v>32683</v>
      </c>
      <c r="I346" t="s">
        <v>10627</v>
      </c>
      <c r="J346" t="s">
        <v>33112</v>
      </c>
      <c r="K346" t="s">
        <v>42327</v>
      </c>
      <c r="M346" t="s">
        <v>42729</v>
      </c>
      <c r="N346" t="s">
        <v>46569</v>
      </c>
      <c r="O346" t="s">
        <v>46570</v>
      </c>
      <c r="P346">
        <v>0</v>
      </c>
      <c r="Q346">
        <v>1</v>
      </c>
      <c r="R346" t="s">
        <v>46571</v>
      </c>
      <c r="S346" t="s">
        <v>46687</v>
      </c>
      <c r="T346" t="s">
        <v>48292</v>
      </c>
      <c r="U346" t="s">
        <v>49093</v>
      </c>
      <c r="W346" t="s">
        <v>42729</v>
      </c>
      <c r="X346" t="s">
        <v>46572</v>
      </c>
    </row>
    <row r="347" spans="1:24">
      <c r="A347">
        <f>HYPERLINK("https://www.philgeps.gov.ph/GEPSNONPILOT/Tender/SplashBidNoticeAbstractUI.aspx?menuIndex=3&amp;refID=7064685&amp;Result=3","7064685")</f>
        <v>0</v>
      </c>
      <c r="B347" t="s">
        <v>166</v>
      </c>
      <c r="C347" t="s">
        <v>3868</v>
      </c>
      <c r="D347" t="s">
        <v>18792</v>
      </c>
      <c r="E347" t="s">
        <v>19215</v>
      </c>
      <c r="F347" t="s">
        <v>32664</v>
      </c>
      <c r="G347" t="s">
        <v>32672</v>
      </c>
      <c r="H347" t="s">
        <v>12635</v>
      </c>
      <c r="I347" t="s">
        <v>6628</v>
      </c>
      <c r="J347" t="s">
        <v>33051</v>
      </c>
      <c r="K347" t="s">
        <v>42283</v>
      </c>
      <c r="M347" t="s">
        <v>42730</v>
      </c>
      <c r="N347" t="s">
        <v>46569</v>
      </c>
      <c r="O347" t="s">
        <v>46570</v>
      </c>
      <c r="P347">
        <v>0</v>
      </c>
      <c r="Q347">
        <v>0</v>
      </c>
      <c r="R347" t="s">
        <v>46571</v>
      </c>
      <c r="S347" t="s">
        <v>46687</v>
      </c>
      <c r="T347" t="s">
        <v>48212</v>
      </c>
      <c r="U347" t="s">
        <v>49094</v>
      </c>
      <c r="W347" t="s">
        <v>42730</v>
      </c>
      <c r="X347" t="s">
        <v>46572</v>
      </c>
    </row>
    <row r="348" spans="1:24">
      <c r="A348">
        <f>HYPERLINK("https://www.philgeps.gov.ph/GEPSNONPILOT/Tender/SplashBidNoticeAbstractUI.aspx?menuIndex=3&amp;refID=7064683&amp;Result=3","7064683")</f>
        <v>0</v>
      </c>
      <c r="B348" t="s">
        <v>167</v>
      </c>
      <c r="C348" t="s">
        <v>3869</v>
      </c>
      <c r="D348" t="s">
        <v>18837</v>
      </c>
      <c r="E348" t="s">
        <v>19216</v>
      </c>
      <c r="F348" t="s">
        <v>32664</v>
      </c>
      <c r="G348" t="s">
        <v>32672</v>
      </c>
      <c r="H348" t="s">
        <v>32683</v>
      </c>
      <c r="I348" t="s">
        <v>4439</v>
      </c>
      <c r="J348" t="s">
        <v>33113</v>
      </c>
      <c r="K348" t="s">
        <v>42328</v>
      </c>
      <c r="M348" t="s">
        <v>42731</v>
      </c>
      <c r="N348" t="s">
        <v>46569</v>
      </c>
      <c r="O348" t="s">
        <v>46570</v>
      </c>
      <c r="P348">
        <v>0</v>
      </c>
      <c r="Q348">
        <v>0</v>
      </c>
      <c r="R348" t="s">
        <v>46571</v>
      </c>
      <c r="S348" t="s">
        <v>46687</v>
      </c>
      <c r="T348" t="s">
        <v>48261</v>
      </c>
      <c r="U348" t="s">
        <v>49095</v>
      </c>
      <c r="W348" t="s">
        <v>42731</v>
      </c>
      <c r="X348" t="s">
        <v>46572</v>
      </c>
    </row>
    <row r="349" spans="1:24">
      <c r="A349">
        <f>HYPERLINK("https://www.philgeps.gov.ph/GEPSNONPILOT/Tender/SplashBidNoticeAbstractUI.aspx?menuIndex=3&amp;refID=7064680&amp;Result=3","7064680")</f>
        <v>0</v>
      </c>
      <c r="B349" t="s">
        <v>168</v>
      </c>
      <c r="C349" t="s">
        <v>3870</v>
      </c>
      <c r="D349" t="s">
        <v>18790</v>
      </c>
      <c r="E349" t="s">
        <v>19217</v>
      </c>
      <c r="F349" t="s">
        <v>32664</v>
      </c>
      <c r="G349" t="s">
        <v>32671</v>
      </c>
      <c r="H349" t="s">
        <v>12635</v>
      </c>
      <c r="I349" t="s">
        <v>32706</v>
      </c>
      <c r="J349" t="s">
        <v>33095</v>
      </c>
      <c r="K349" t="s">
        <v>42284</v>
      </c>
      <c r="M349" t="s">
        <v>42732</v>
      </c>
      <c r="N349" t="s">
        <v>46569</v>
      </c>
      <c r="O349" t="s">
        <v>46570</v>
      </c>
      <c r="P349">
        <v>0</v>
      </c>
      <c r="Q349">
        <v>0</v>
      </c>
      <c r="R349" t="s">
        <v>46571</v>
      </c>
      <c r="S349" t="s">
        <v>46687</v>
      </c>
      <c r="T349" t="s">
        <v>48246</v>
      </c>
      <c r="U349" t="s">
        <v>49096</v>
      </c>
      <c r="V349" t="s">
        <v>61659</v>
      </c>
      <c r="W349" t="s">
        <v>42732</v>
      </c>
      <c r="X349" t="s">
        <v>46572</v>
      </c>
    </row>
    <row r="350" spans="1:24">
      <c r="A350">
        <f>HYPERLINK("https://www.philgeps.gov.ph/GEPSNONPILOT/Tender/SplashBidNoticeAbstractUI.aspx?menuIndex=3&amp;refID=7064646&amp;Result=3","7064646")</f>
        <v>0</v>
      </c>
      <c r="B350" t="s">
        <v>144</v>
      </c>
      <c r="C350" t="s">
        <v>3871</v>
      </c>
      <c r="D350" t="s">
        <v>18817</v>
      </c>
      <c r="E350" t="s">
        <v>19218</v>
      </c>
      <c r="F350" t="s">
        <v>32664</v>
      </c>
      <c r="G350" t="s">
        <v>32674</v>
      </c>
      <c r="H350" t="s">
        <v>12635</v>
      </c>
      <c r="I350" t="s">
        <v>5589</v>
      </c>
      <c r="J350" t="s">
        <v>33114</v>
      </c>
      <c r="K350" t="s">
        <v>42309</v>
      </c>
      <c r="M350" t="s">
        <v>42708</v>
      </c>
      <c r="N350" t="s">
        <v>46569</v>
      </c>
      <c r="O350" t="s">
        <v>46570</v>
      </c>
      <c r="P350">
        <v>0</v>
      </c>
      <c r="Q350">
        <v>0</v>
      </c>
      <c r="R350" t="s">
        <v>46571</v>
      </c>
      <c r="S350" t="s">
        <v>46687</v>
      </c>
      <c r="T350" t="s">
        <v>48219</v>
      </c>
      <c r="U350" t="s">
        <v>49097</v>
      </c>
      <c r="W350" t="s">
        <v>42708</v>
      </c>
      <c r="X350" t="s">
        <v>46572</v>
      </c>
    </row>
    <row r="351" spans="1:24">
      <c r="A351">
        <f>HYPERLINK("https://www.philgeps.gov.ph/GEPSNONPILOT/Tender/SplashBidNoticeAbstractUI.aspx?menuIndex=3&amp;refID=7064677&amp;Result=3","7064677")</f>
        <v>0</v>
      </c>
      <c r="B351" t="s">
        <v>169</v>
      </c>
      <c r="C351" t="s">
        <v>3872</v>
      </c>
      <c r="D351" t="s">
        <v>18793</v>
      </c>
      <c r="E351" t="s">
        <v>19219</v>
      </c>
      <c r="F351" t="s">
        <v>32664</v>
      </c>
      <c r="G351" t="s">
        <v>32672</v>
      </c>
      <c r="H351" t="s">
        <v>32683</v>
      </c>
      <c r="I351" t="s">
        <v>10627</v>
      </c>
      <c r="J351" t="s">
        <v>32859</v>
      </c>
      <c r="K351" t="s">
        <v>42329</v>
      </c>
      <c r="M351" t="s">
        <v>42733</v>
      </c>
      <c r="N351" t="s">
        <v>46569</v>
      </c>
      <c r="O351" t="s">
        <v>46570</v>
      </c>
      <c r="P351">
        <v>0</v>
      </c>
      <c r="Q351">
        <v>0</v>
      </c>
      <c r="R351" t="s">
        <v>46571</v>
      </c>
      <c r="S351" t="s">
        <v>46687</v>
      </c>
      <c r="T351" t="s">
        <v>48225</v>
      </c>
      <c r="U351" t="s">
        <v>49098</v>
      </c>
      <c r="W351" t="s">
        <v>42733</v>
      </c>
      <c r="X351" t="s">
        <v>46572</v>
      </c>
    </row>
    <row r="352" spans="1:24">
      <c r="A352">
        <f>HYPERLINK("https://www.philgeps.gov.ph/GEPSNONPILOT/Tender/SplashBidNoticeAbstractUI.aspx?menuIndex=3&amp;refID=7064672&amp;Result=3","7064672")</f>
        <v>0</v>
      </c>
      <c r="B352" t="s">
        <v>170</v>
      </c>
      <c r="C352" t="s">
        <v>3873</v>
      </c>
      <c r="D352" t="s">
        <v>18812</v>
      </c>
      <c r="E352" t="s">
        <v>19220</v>
      </c>
      <c r="F352" t="s">
        <v>32664</v>
      </c>
      <c r="G352" t="s">
        <v>32671</v>
      </c>
      <c r="H352" t="s">
        <v>12635</v>
      </c>
      <c r="I352" t="s">
        <v>32706</v>
      </c>
      <c r="J352" t="s">
        <v>33115</v>
      </c>
      <c r="K352" t="s">
        <v>42289</v>
      </c>
      <c r="M352" t="s">
        <v>42734</v>
      </c>
      <c r="N352" t="s">
        <v>46569</v>
      </c>
      <c r="O352" t="s">
        <v>46570</v>
      </c>
      <c r="P352">
        <v>0</v>
      </c>
      <c r="Q352">
        <v>0</v>
      </c>
      <c r="R352" t="s">
        <v>46571</v>
      </c>
      <c r="S352" t="s">
        <v>46687</v>
      </c>
      <c r="T352" t="s">
        <v>48245</v>
      </c>
      <c r="U352" t="s">
        <v>49099</v>
      </c>
      <c r="W352" t="s">
        <v>42734</v>
      </c>
      <c r="X352" t="s">
        <v>46572</v>
      </c>
    </row>
    <row r="353" spans="1:24">
      <c r="A353">
        <f>HYPERLINK("https://www.philgeps.gov.ph/GEPSNONPILOT/Tender/SplashBidNoticeAbstractUI.aspx?menuIndex=3&amp;refID=7064671&amp;Result=3","7064671")</f>
        <v>0</v>
      </c>
      <c r="B353" t="s">
        <v>171</v>
      </c>
      <c r="C353" t="s">
        <v>3874</v>
      </c>
      <c r="D353" t="s">
        <v>18838</v>
      </c>
      <c r="E353" t="s">
        <v>19221</v>
      </c>
      <c r="F353" t="s">
        <v>32664</v>
      </c>
      <c r="G353" t="s">
        <v>32671</v>
      </c>
      <c r="H353" t="s">
        <v>12635</v>
      </c>
      <c r="I353" t="s">
        <v>6168</v>
      </c>
      <c r="J353" t="s">
        <v>33116</v>
      </c>
      <c r="K353" t="s">
        <v>42303</v>
      </c>
      <c r="M353" t="s">
        <v>42735</v>
      </c>
      <c r="N353" t="s">
        <v>46569</v>
      </c>
      <c r="O353" t="s">
        <v>46570</v>
      </c>
      <c r="P353">
        <v>0</v>
      </c>
      <c r="Q353">
        <v>1</v>
      </c>
      <c r="R353" t="s">
        <v>46571</v>
      </c>
      <c r="S353" t="s">
        <v>46687</v>
      </c>
      <c r="T353" t="s">
        <v>48230</v>
      </c>
      <c r="U353" t="s">
        <v>49100</v>
      </c>
      <c r="V353" t="s">
        <v>61660</v>
      </c>
      <c r="W353" t="s">
        <v>42735</v>
      </c>
      <c r="X353" t="s">
        <v>46572</v>
      </c>
    </row>
    <row r="354" spans="1:24">
      <c r="A354">
        <f>HYPERLINK("https://www.philgeps.gov.ph/GEPSNONPILOT/Tender/SplashBidNoticeAbstractUI.aspx?menuIndex=3&amp;refID=7064674&amp;Result=3","7064674")</f>
        <v>0</v>
      </c>
      <c r="B354" t="s">
        <v>172</v>
      </c>
      <c r="C354" t="s">
        <v>3875</v>
      </c>
      <c r="D354" t="s">
        <v>18793</v>
      </c>
      <c r="E354" t="s">
        <v>19222</v>
      </c>
      <c r="F354" t="s">
        <v>32664</v>
      </c>
      <c r="G354" t="s">
        <v>32671</v>
      </c>
      <c r="H354" t="s">
        <v>12635</v>
      </c>
      <c r="I354" t="s">
        <v>32698</v>
      </c>
      <c r="J354" t="s">
        <v>33117</v>
      </c>
      <c r="K354" t="s">
        <v>42295</v>
      </c>
      <c r="M354" t="s">
        <v>42736</v>
      </c>
      <c r="N354" t="s">
        <v>46569</v>
      </c>
      <c r="O354" t="s">
        <v>46570</v>
      </c>
      <c r="P354">
        <v>0</v>
      </c>
      <c r="Q354">
        <v>0</v>
      </c>
      <c r="R354" t="s">
        <v>46571</v>
      </c>
      <c r="S354" t="s">
        <v>46687</v>
      </c>
      <c r="T354" t="s">
        <v>48256</v>
      </c>
      <c r="U354" t="s">
        <v>49101</v>
      </c>
      <c r="W354" t="s">
        <v>42736</v>
      </c>
      <c r="X354" t="s">
        <v>46572</v>
      </c>
    </row>
    <row r="355" spans="1:24">
      <c r="A355">
        <f>HYPERLINK("https://www.philgeps.gov.ph/GEPSNONPILOT/Tender/SplashBidNoticeAbstractUI.aspx?menuIndex=3&amp;refID=7064712&amp;Result=3","7064712")</f>
        <v>0</v>
      </c>
      <c r="B355" t="s">
        <v>173</v>
      </c>
      <c r="C355" t="s">
        <v>3876</v>
      </c>
      <c r="D355" t="s">
        <v>18837</v>
      </c>
      <c r="E355" t="s">
        <v>19223</v>
      </c>
      <c r="F355" t="s">
        <v>32664</v>
      </c>
      <c r="G355" t="s">
        <v>32671</v>
      </c>
      <c r="H355" t="s">
        <v>12635</v>
      </c>
      <c r="I355" t="s">
        <v>32689</v>
      </c>
      <c r="J355" t="s">
        <v>33118</v>
      </c>
      <c r="K355" t="s">
        <v>42303</v>
      </c>
      <c r="M355" t="s">
        <v>42737</v>
      </c>
      <c r="N355" t="s">
        <v>46569</v>
      </c>
      <c r="O355" t="s">
        <v>46570</v>
      </c>
      <c r="P355">
        <v>0</v>
      </c>
      <c r="Q355">
        <v>1</v>
      </c>
      <c r="R355" t="s">
        <v>46571</v>
      </c>
      <c r="S355" t="s">
        <v>46687</v>
      </c>
      <c r="T355" t="s">
        <v>48293</v>
      </c>
      <c r="U355" t="s">
        <v>49102</v>
      </c>
      <c r="W355" t="s">
        <v>42737</v>
      </c>
      <c r="X355" t="s">
        <v>46572</v>
      </c>
    </row>
    <row r="356" spans="1:24">
      <c r="A356">
        <f>HYPERLINK("https://www.philgeps.gov.ph/GEPSNONPILOT/Tender/SplashBidNoticeAbstractUI.aspx?menuIndex=3&amp;refID=7064675&amp;Result=3","7064675")</f>
        <v>0</v>
      </c>
      <c r="B356" t="s">
        <v>135</v>
      </c>
      <c r="C356" t="s">
        <v>3877</v>
      </c>
      <c r="D356" t="s">
        <v>18807</v>
      </c>
      <c r="E356" t="s">
        <v>19224</v>
      </c>
      <c r="F356" t="s">
        <v>32664</v>
      </c>
      <c r="G356" t="s">
        <v>32672</v>
      </c>
      <c r="H356" t="s">
        <v>12635</v>
      </c>
      <c r="I356" t="s">
        <v>4333</v>
      </c>
      <c r="J356" t="s">
        <v>33119</v>
      </c>
      <c r="K356" t="s">
        <v>42281</v>
      </c>
      <c r="M356" t="s">
        <v>42699</v>
      </c>
      <c r="N356" t="s">
        <v>46569</v>
      </c>
      <c r="O356" t="s">
        <v>46570</v>
      </c>
      <c r="P356">
        <v>0</v>
      </c>
      <c r="Q356">
        <v>0</v>
      </c>
      <c r="R356" t="s">
        <v>46571</v>
      </c>
      <c r="S356" t="s">
        <v>46687</v>
      </c>
      <c r="T356" t="s">
        <v>48226</v>
      </c>
      <c r="U356" t="s">
        <v>49052</v>
      </c>
      <c r="V356" t="s">
        <v>61650</v>
      </c>
      <c r="W356" t="s">
        <v>42699</v>
      </c>
      <c r="X356" t="s">
        <v>46572</v>
      </c>
    </row>
    <row r="357" spans="1:24">
      <c r="A357">
        <f>HYPERLINK("https://www.philgeps.gov.ph/GEPSNONPILOT/Tender/SplashBidNoticeAbstractUI.aspx?menuIndex=3&amp;refID=7064659&amp;Result=3","7064659")</f>
        <v>0</v>
      </c>
      <c r="B357" t="s">
        <v>146</v>
      </c>
      <c r="C357" t="s">
        <v>3878</v>
      </c>
      <c r="E357" t="s">
        <v>19225</v>
      </c>
      <c r="F357" t="s">
        <v>32664</v>
      </c>
      <c r="G357" t="s">
        <v>32671</v>
      </c>
      <c r="H357" t="s">
        <v>12635</v>
      </c>
      <c r="I357" t="s">
        <v>32699</v>
      </c>
      <c r="J357" t="s">
        <v>33120</v>
      </c>
      <c r="K357" t="s">
        <v>42284</v>
      </c>
      <c r="M357" t="s">
        <v>42710</v>
      </c>
      <c r="N357" t="s">
        <v>46569</v>
      </c>
      <c r="O357" t="s">
        <v>46570</v>
      </c>
      <c r="P357">
        <v>0</v>
      </c>
      <c r="Q357">
        <v>0</v>
      </c>
      <c r="R357" t="s">
        <v>46571</v>
      </c>
      <c r="S357" t="s">
        <v>46687</v>
      </c>
      <c r="T357" t="s">
        <v>48244</v>
      </c>
      <c r="U357" t="s">
        <v>49103</v>
      </c>
      <c r="W357" t="s">
        <v>42710</v>
      </c>
      <c r="X357" t="s">
        <v>46572</v>
      </c>
    </row>
    <row r="358" spans="1:24">
      <c r="A358">
        <f>HYPERLINK("https://www.philgeps.gov.ph/GEPSNONPILOT/Tender/SplashBidNoticeAbstractUI.aspx?menuIndex=3&amp;refID=7064711&amp;Result=3","7064711")</f>
        <v>0</v>
      </c>
      <c r="B358" t="s">
        <v>174</v>
      </c>
      <c r="C358" t="s">
        <v>3879</v>
      </c>
      <c r="D358" t="s">
        <v>18831</v>
      </c>
      <c r="E358" t="s">
        <v>19226</v>
      </c>
      <c r="F358" t="s">
        <v>32664</v>
      </c>
      <c r="G358" t="s">
        <v>32672</v>
      </c>
      <c r="H358" t="s">
        <v>12635</v>
      </c>
      <c r="I358" t="s">
        <v>14442</v>
      </c>
      <c r="J358" t="s">
        <v>33121</v>
      </c>
      <c r="K358" t="s">
        <v>42281</v>
      </c>
      <c r="M358" t="s">
        <v>42738</v>
      </c>
      <c r="N358" t="s">
        <v>46569</v>
      </c>
      <c r="O358" t="s">
        <v>46570</v>
      </c>
      <c r="P358">
        <v>0</v>
      </c>
      <c r="Q358">
        <v>0</v>
      </c>
      <c r="R358" t="s">
        <v>46571</v>
      </c>
      <c r="S358" t="s">
        <v>46687</v>
      </c>
      <c r="T358" t="s">
        <v>48230</v>
      </c>
      <c r="U358" t="s">
        <v>49104</v>
      </c>
      <c r="W358" t="s">
        <v>42738</v>
      </c>
      <c r="X358" t="s">
        <v>46572</v>
      </c>
    </row>
    <row r="359" spans="1:24">
      <c r="A359">
        <f>HYPERLINK("https://www.philgeps.gov.ph/GEPSNONPILOT/Tender/SplashBidNoticeAbstractUI.aspx?menuIndex=3&amp;refID=7064709&amp;Result=3","7064709")</f>
        <v>0</v>
      </c>
      <c r="B359" t="s">
        <v>135</v>
      </c>
      <c r="C359" t="s">
        <v>3880</v>
      </c>
      <c r="D359" t="s">
        <v>18807</v>
      </c>
      <c r="E359" t="s">
        <v>19227</v>
      </c>
      <c r="F359" t="s">
        <v>32664</v>
      </c>
      <c r="G359" t="s">
        <v>32672</v>
      </c>
      <c r="H359" t="s">
        <v>12635</v>
      </c>
      <c r="I359" t="s">
        <v>4439</v>
      </c>
      <c r="J359" t="s">
        <v>33122</v>
      </c>
      <c r="K359" t="s">
        <v>42281</v>
      </c>
      <c r="M359" t="s">
        <v>42699</v>
      </c>
      <c r="N359" t="s">
        <v>46569</v>
      </c>
      <c r="O359" t="s">
        <v>46570</v>
      </c>
      <c r="P359">
        <v>0</v>
      </c>
      <c r="Q359">
        <v>0</v>
      </c>
      <c r="R359" t="s">
        <v>46571</v>
      </c>
      <c r="S359" t="s">
        <v>46687</v>
      </c>
      <c r="T359" t="s">
        <v>48226</v>
      </c>
      <c r="U359" t="s">
        <v>49052</v>
      </c>
      <c r="V359" t="s">
        <v>61650</v>
      </c>
      <c r="W359" t="s">
        <v>42699</v>
      </c>
      <c r="X359" t="s">
        <v>46572</v>
      </c>
    </row>
    <row r="360" spans="1:24">
      <c r="A360">
        <f>HYPERLINK("https://www.philgeps.gov.ph/GEPSNONPILOT/Tender/SplashBidNoticeAbstractUI.aspx?menuIndex=3&amp;refID=7064705&amp;Result=3","7064705")</f>
        <v>0</v>
      </c>
      <c r="B360" t="s">
        <v>175</v>
      </c>
      <c r="C360" t="s">
        <v>3881</v>
      </c>
      <c r="D360" t="s">
        <v>18784</v>
      </c>
      <c r="E360" t="s">
        <v>19228</v>
      </c>
      <c r="F360" t="s">
        <v>32664</v>
      </c>
      <c r="G360" t="s">
        <v>32671</v>
      </c>
      <c r="H360" t="s">
        <v>12635</v>
      </c>
      <c r="I360" t="s">
        <v>32701</v>
      </c>
      <c r="J360" t="s">
        <v>32898</v>
      </c>
      <c r="K360" t="s">
        <v>42284</v>
      </c>
      <c r="M360" t="s">
        <v>42739</v>
      </c>
      <c r="N360" t="s">
        <v>46569</v>
      </c>
      <c r="O360" t="s">
        <v>46570</v>
      </c>
      <c r="P360">
        <v>0</v>
      </c>
      <c r="Q360">
        <v>0</v>
      </c>
      <c r="R360" t="s">
        <v>46571</v>
      </c>
      <c r="S360" t="s">
        <v>46687</v>
      </c>
      <c r="T360" t="s">
        <v>48246</v>
      </c>
      <c r="U360" t="s">
        <v>49105</v>
      </c>
      <c r="V360" t="s">
        <v>61661</v>
      </c>
      <c r="W360" t="s">
        <v>42739</v>
      </c>
      <c r="X360" t="s">
        <v>46572</v>
      </c>
    </row>
    <row r="361" spans="1:24">
      <c r="A361">
        <f>HYPERLINK("https://www.philgeps.gov.ph/GEPSNONPILOT/Tender/SplashBidNoticeAbstractUI.aspx?menuIndex=3&amp;refID=7064703&amp;Result=3","7064703")</f>
        <v>0</v>
      </c>
      <c r="B361" t="s">
        <v>176</v>
      </c>
      <c r="C361" t="s">
        <v>3882</v>
      </c>
      <c r="D361" t="s">
        <v>18827</v>
      </c>
      <c r="E361" t="s">
        <v>19229</v>
      </c>
      <c r="F361" t="s">
        <v>32664</v>
      </c>
      <c r="G361" t="s">
        <v>32674</v>
      </c>
      <c r="H361" t="s">
        <v>12635</v>
      </c>
      <c r="I361" t="s">
        <v>7759</v>
      </c>
      <c r="J361" t="s">
        <v>33123</v>
      </c>
      <c r="K361" t="s">
        <v>42295</v>
      </c>
      <c r="M361" t="s">
        <v>42740</v>
      </c>
      <c r="N361" t="s">
        <v>46569</v>
      </c>
      <c r="O361" t="s">
        <v>46570</v>
      </c>
      <c r="P361">
        <v>0</v>
      </c>
      <c r="Q361">
        <v>0</v>
      </c>
      <c r="R361" t="s">
        <v>46571</v>
      </c>
      <c r="S361" t="s">
        <v>46687</v>
      </c>
      <c r="T361" t="s">
        <v>48286</v>
      </c>
      <c r="U361" t="s">
        <v>49106</v>
      </c>
      <c r="W361" t="s">
        <v>42740</v>
      </c>
      <c r="X361" t="s">
        <v>46572</v>
      </c>
    </row>
    <row r="362" spans="1:24">
      <c r="A362">
        <f>HYPERLINK("https://www.philgeps.gov.ph/GEPSNONPILOT/Tender/SplashBidNoticeAbstractUI.aspx?menuIndex=3&amp;refID=7064701&amp;Result=3","7064701")</f>
        <v>0</v>
      </c>
      <c r="B362" t="s">
        <v>96</v>
      </c>
      <c r="C362" t="s">
        <v>3883</v>
      </c>
      <c r="D362" t="s">
        <v>18786</v>
      </c>
      <c r="E362" t="s">
        <v>19230</v>
      </c>
      <c r="F362" t="s">
        <v>32664</v>
      </c>
      <c r="G362" t="s">
        <v>32674</v>
      </c>
      <c r="H362" t="s">
        <v>12635</v>
      </c>
      <c r="I362" t="s">
        <v>14442</v>
      </c>
      <c r="J362" t="s">
        <v>33124</v>
      </c>
      <c r="K362" t="s">
        <v>42281</v>
      </c>
      <c r="M362" t="s">
        <v>42659</v>
      </c>
      <c r="N362" t="s">
        <v>46569</v>
      </c>
      <c r="O362" t="s">
        <v>46570</v>
      </c>
      <c r="P362">
        <v>0</v>
      </c>
      <c r="Q362">
        <v>4</v>
      </c>
      <c r="R362" t="s">
        <v>46571</v>
      </c>
      <c r="S362" t="s">
        <v>46687</v>
      </c>
      <c r="T362" t="s">
        <v>48268</v>
      </c>
      <c r="U362" t="s">
        <v>49107</v>
      </c>
      <c r="W362" t="s">
        <v>42659</v>
      </c>
      <c r="X362" t="s">
        <v>46572</v>
      </c>
    </row>
    <row r="363" spans="1:24">
      <c r="A363">
        <f>HYPERLINK("https://www.philgeps.gov.ph/GEPSNONPILOT/Tender/SplashBidNoticeAbstractUI.aspx?menuIndex=3&amp;refID=7064660&amp;Result=3","7064660")</f>
        <v>0</v>
      </c>
      <c r="B363" t="s">
        <v>177</v>
      </c>
      <c r="C363" t="s">
        <v>3884</v>
      </c>
      <c r="E363" t="s">
        <v>19231</v>
      </c>
      <c r="F363" t="s">
        <v>32664</v>
      </c>
      <c r="G363" t="s">
        <v>32672</v>
      </c>
      <c r="H363" t="s">
        <v>12635</v>
      </c>
      <c r="I363" t="s">
        <v>4439</v>
      </c>
      <c r="J363" t="s">
        <v>33125</v>
      </c>
      <c r="K363" t="s">
        <v>42297</v>
      </c>
      <c r="M363" t="s">
        <v>42741</v>
      </c>
      <c r="N363" t="s">
        <v>46569</v>
      </c>
      <c r="O363" t="s">
        <v>46570</v>
      </c>
      <c r="P363">
        <v>0</v>
      </c>
      <c r="Q363">
        <v>0</v>
      </c>
      <c r="R363" t="s">
        <v>46571</v>
      </c>
      <c r="S363" t="s">
        <v>46687</v>
      </c>
      <c r="T363" t="s">
        <v>48220</v>
      </c>
      <c r="U363" t="s">
        <v>49108</v>
      </c>
      <c r="V363" t="s">
        <v>61662</v>
      </c>
      <c r="W363" t="s">
        <v>42741</v>
      </c>
      <c r="X363" t="s">
        <v>46572</v>
      </c>
    </row>
    <row r="364" spans="1:24">
      <c r="A364">
        <f>HYPERLINK("https://www.philgeps.gov.ph/GEPSNONPILOT/Tender/SplashBidNoticeAbstractUI.aspx?menuIndex=3&amp;refID=7064706&amp;Result=3","7064706")</f>
        <v>0</v>
      </c>
      <c r="B364" t="s">
        <v>178</v>
      </c>
      <c r="C364" t="s">
        <v>3885</v>
      </c>
      <c r="D364" t="s">
        <v>18839</v>
      </c>
      <c r="E364" t="s">
        <v>19232</v>
      </c>
      <c r="F364" t="s">
        <v>32664</v>
      </c>
      <c r="G364" t="s">
        <v>32671</v>
      </c>
      <c r="H364" t="s">
        <v>12635</v>
      </c>
      <c r="I364" t="s">
        <v>5589</v>
      </c>
      <c r="J364" t="s">
        <v>33126</v>
      </c>
      <c r="K364" t="s">
        <v>42281</v>
      </c>
      <c r="M364" t="s">
        <v>42742</v>
      </c>
      <c r="N364" t="s">
        <v>46569</v>
      </c>
      <c r="O364" t="s">
        <v>46570</v>
      </c>
      <c r="P364">
        <v>0</v>
      </c>
      <c r="Q364">
        <v>2</v>
      </c>
      <c r="R364" t="s">
        <v>46571</v>
      </c>
      <c r="S364" t="s">
        <v>46687</v>
      </c>
      <c r="T364" t="s">
        <v>48246</v>
      </c>
      <c r="U364" t="s">
        <v>49109</v>
      </c>
      <c r="V364" t="s">
        <v>61663</v>
      </c>
      <c r="W364" t="s">
        <v>42742</v>
      </c>
      <c r="X364" t="s">
        <v>46572</v>
      </c>
    </row>
    <row r="365" spans="1:24">
      <c r="A365">
        <f>HYPERLINK("https://www.philgeps.gov.ph/GEPSNONPILOT/Tender/SplashBidNoticeAbstractUI.aspx?menuIndex=3&amp;refID=7064699&amp;Result=3","7064699")</f>
        <v>0</v>
      </c>
      <c r="B365" t="s">
        <v>154</v>
      </c>
      <c r="C365" t="s">
        <v>3886</v>
      </c>
      <c r="E365" t="s">
        <v>19233</v>
      </c>
      <c r="F365" t="s">
        <v>32664</v>
      </c>
      <c r="G365" t="s">
        <v>32672</v>
      </c>
      <c r="H365" t="s">
        <v>32683</v>
      </c>
      <c r="I365" t="s">
        <v>10627</v>
      </c>
      <c r="J365" t="s">
        <v>33127</v>
      </c>
      <c r="K365" t="s">
        <v>42283</v>
      </c>
      <c r="M365" t="s">
        <v>42718</v>
      </c>
      <c r="N365" t="s">
        <v>46569</v>
      </c>
      <c r="O365" t="s">
        <v>46570</v>
      </c>
      <c r="P365">
        <v>0</v>
      </c>
      <c r="Q365">
        <v>1</v>
      </c>
      <c r="R365" t="s">
        <v>46571</v>
      </c>
      <c r="S365" t="s">
        <v>46687</v>
      </c>
      <c r="T365" t="s">
        <v>48288</v>
      </c>
      <c r="U365" t="s">
        <v>49110</v>
      </c>
      <c r="V365" t="s">
        <v>61656</v>
      </c>
      <c r="W365" t="s">
        <v>42718</v>
      </c>
      <c r="X365" t="s">
        <v>46572</v>
      </c>
    </row>
    <row r="366" spans="1:24">
      <c r="A366">
        <f>HYPERLINK("https://www.philgeps.gov.ph/GEPSNONPILOT/Tender/SplashBidNoticeAbstractUI.aspx?menuIndex=3&amp;refID=7064737&amp;Result=3","7064737")</f>
        <v>0</v>
      </c>
      <c r="B366" t="s">
        <v>179</v>
      </c>
      <c r="C366" t="s">
        <v>3887</v>
      </c>
      <c r="D366" t="s">
        <v>18830</v>
      </c>
      <c r="E366" t="s">
        <v>19234</v>
      </c>
      <c r="F366" t="s">
        <v>32664</v>
      </c>
      <c r="G366" t="s">
        <v>32671</v>
      </c>
      <c r="H366" t="s">
        <v>12635</v>
      </c>
      <c r="I366" t="s">
        <v>32715</v>
      </c>
      <c r="J366" t="s">
        <v>33128</v>
      </c>
      <c r="K366" t="s">
        <v>42330</v>
      </c>
      <c r="M366" t="s">
        <v>42743</v>
      </c>
      <c r="N366" t="s">
        <v>46569</v>
      </c>
      <c r="O366" t="s">
        <v>46570</v>
      </c>
      <c r="P366">
        <v>0</v>
      </c>
      <c r="Q366">
        <v>0</v>
      </c>
      <c r="R366" t="s">
        <v>46571</v>
      </c>
      <c r="S366" t="s">
        <v>46687</v>
      </c>
      <c r="T366" t="s">
        <v>48294</v>
      </c>
      <c r="U366" t="s">
        <v>49111</v>
      </c>
      <c r="V366" t="s">
        <v>61664</v>
      </c>
      <c r="W366" t="s">
        <v>63466</v>
      </c>
      <c r="X366" t="s">
        <v>46572</v>
      </c>
    </row>
    <row r="367" spans="1:24">
      <c r="A367">
        <f>HYPERLINK("https://www.philgeps.gov.ph/GEPSNONPILOT/Tender/SplashBidNoticeAbstractUI.aspx?menuIndex=3&amp;refID=7064704&amp;Result=3","7064704")</f>
        <v>0</v>
      </c>
      <c r="B367" t="s">
        <v>180</v>
      </c>
      <c r="C367" t="s">
        <v>3888</v>
      </c>
      <c r="D367" t="s">
        <v>18794</v>
      </c>
      <c r="E367" t="s">
        <v>19235</v>
      </c>
      <c r="F367" t="s">
        <v>32664</v>
      </c>
      <c r="G367" t="s">
        <v>32671</v>
      </c>
      <c r="H367" t="s">
        <v>12635</v>
      </c>
      <c r="I367" t="s">
        <v>32706</v>
      </c>
      <c r="J367" t="s">
        <v>33129</v>
      </c>
      <c r="K367" t="s">
        <v>42283</v>
      </c>
      <c r="M367" t="s">
        <v>42744</v>
      </c>
      <c r="N367" t="s">
        <v>46569</v>
      </c>
      <c r="O367" t="s">
        <v>46570</v>
      </c>
      <c r="P367">
        <v>0</v>
      </c>
      <c r="Q367">
        <v>0</v>
      </c>
      <c r="R367" t="s">
        <v>46571</v>
      </c>
      <c r="S367" t="s">
        <v>46687</v>
      </c>
      <c r="T367" t="s">
        <v>48228</v>
      </c>
      <c r="U367" t="s">
        <v>49112</v>
      </c>
      <c r="W367" t="s">
        <v>63467</v>
      </c>
      <c r="X367" t="s">
        <v>46572</v>
      </c>
    </row>
    <row r="368" spans="1:24">
      <c r="A368">
        <f>HYPERLINK("https://www.philgeps.gov.ph/GEPSNONPILOT/Tender/SplashBidNoticeAbstractUI.aspx?menuIndex=3&amp;refID=7064736&amp;Result=3","7064736")</f>
        <v>0</v>
      </c>
      <c r="B368" t="s">
        <v>181</v>
      </c>
      <c r="C368" t="s">
        <v>3889</v>
      </c>
      <c r="D368" t="s">
        <v>18810</v>
      </c>
      <c r="E368" t="s">
        <v>19236</v>
      </c>
      <c r="F368" t="s">
        <v>32664</v>
      </c>
      <c r="G368" t="s">
        <v>32674</v>
      </c>
      <c r="H368" t="s">
        <v>12635</v>
      </c>
      <c r="I368" t="s">
        <v>4439</v>
      </c>
      <c r="J368" t="s">
        <v>33130</v>
      </c>
      <c r="K368" t="s">
        <v>42284</v>
      </c>
      <c r="M368" t="s">
        <v>42745</v>
      </c>
      <c r="N368" t="s">
        <v>46569</v>
      </c>
      <c r="O368" t="s">
        <v>46570</v>
      </c>
      <c r="P368">
        <v>0</v>
      </c>
      <c r="Q368">
        <v>0</v>
      </c>
      <c r="R368" t="s">
        <v>46571</v>
      </c>
      <c r="S368" t="s">
        <v>46687</v>
      </c>
      <c r="T368" t="s">
        <v>48287</v>
      </c>
      <c r="U368" t="s">
        <v>49113</v>
      </c>
      <c r="W368" t="s">
        <v>42745</v>
      </c>
      <c r="X368" t="s">
        <v>46572</v>
      </c>
    </row>
    <row r="369" spans="1:24">
      <c r="A369">
        <f>HYPERLINK("https://www.philgeps.gov.ph/GEPSNONPILOT/Tender/SplashBidNoticeAbstractUI.aspx?menuIndex=3&amp;refID=7064702&amp;Result=3","7064702")</f>
        <v>0</v>
      </c>
      <c r="B369" t="s">
        <v>182</v>
      </c>
      <c r="C369" t="s">
        <v>3890</v>
      </c>
      <c r="D369" t="s">
        <v>18818</v>
      </c>
      <c r="E369" t="s">
        <v>19237</v>
      </c>
      <c r="F369" t="s">
        <v>32664</v>
      </c>
      <c r="G369" t="s">
        <v>32672</v>
      </c>
      <c r="H369" t="s">
        <v>12635</v>
      </c>
      <c r="I369" t="s">
        <v>7759</v>
      </c>
      <c r="J369" t="s">
        <v>33021</v>
      </c>
      <c r="K369" t="s">
        <v>42281</v>
      </c>
      <c r="M369" t="s">
        <v>42746</v>
      </c>
      <c r="N369" t="s">
        <v>46569</v>
      </c>
      <c r="O369" t="s">
        <v>46570</v>
      </c>
      <c r="P369">
        <v>0</v>
      </c>
      <c r="Q369">
        <v>0</v>
      </c>
      <c r="R369" t="s">
        <v>46571</v>
      </c>
      <c r="S369" t="s">
        <v>46687</v>
      </c>
      <c r="T369" t="s">
        <v>48238</v>
      </c>
      <c r="U369" t="s">
        <v>49114</v>
      </c>
      <c r="W369" t="s">
        <v>42746</v>
      </c>
      <c r="X369" t="s">
        <v>46572</v>
      </c>
    </row>
    <row r="370" spans="1:24">
      <c r="A370">
        <f>HYPERLINK("https://www.philgeps.gov.ph/GEPSNONPILOT/Tender/SplashBidNoticeAbstractUI.aspx?menuIndex=3&amp;refID=7064676&amp;Result=3","7064676")</f>
        <v>0</v>
      </c>
      <c r="B370" t="s">
        <v>176</v>
      </c>
      <c r="C370" t="s">
        <v>3891</v>
      </c>
      <c r="D370" t="s">
        <v>18827</v>
      </c>
      <c r="E370" t="s">
        <v>19238</v>
      </c>
      <c r="F370" t="s">
        <v>32664</v>
      </c>
      <c r="G370" t="s">
        <v>32671</v>
      </c>
      <c r="H370" t="s">
        <v>12635</v>
      </c>
      <c r="I370" t="s">
        <v>6628</v>
      </c>
      <c r="J370" t="s">
        <v>33131</v>
      </c>
      <c r="K370" t="s">
        <v>42295</v>
      </c>
      <c r="M370" t="s">
        <v>42740</v>
      </c>
      <c r="N370" t="s">
        <v>46569</v>
      </c>
      <c r="O370" t="s">
        <v>46570</v>
      </c>
      <c r="P370">
        <v>0</v>
      </c>
      <c r="Q370">
        <v>1</v>
      </c>
      <c r="R370" t="s">
        <v>46571</v>
      </c>
      <c r="S370" t="s">
        <v>46687</v>
      </c>
      <c r="T370" t="s">
        <v>48286</v>
      </c>
      <c r="U370" t="s">
        <v>49115</v>
      </c>
      <c r="W370" t="s">
        <v>42740</v>
      </c>
      <c r="X370" t="s">
        <v>46572</v>
      </c>
    </row>
    <row r="371" spans="1:24">
      <c r="A371">
        <f>HYPERLINK("https://www.philgeps.gov.ph/GEPSNONPILOT/Tender/SplashBidNoticeAbstractUI.aspx?menuIndex=3&amp;refID=7064732&amp;Result=3","7064732")</f>
        <v>0</v>
      </c>
      <c r="B371" t="s">
        <v>74</v>
      </c>
      <c r="C371" t="s">
        <v>3892</v>
      </c>
      <c r="D371" t="s">
        <v>18816</v>
      </c>
      <c r="E371" t="s">
        <v>19239</v>
      </c>
      <c r="F371" t="s">
        <v>32664</v>
      </c>
      <c r="G371" t="s">
        <v>32671</v>
      </c>
      <c r="H371" t="s">
        <v>12635</v>
      </c>
      <c r="I371" t="s">
        <v>4439</v>
      </c>
      <c r="J371" t="s">
        <v>33132</v>
      </c>
      <c r="K371" t="s">
        <v>42303</v>
      </c>
      <c r="M371" t="s">
        <v>42637</v>
      </c>
      <c r="N371" t="s">
        <v>46569</v>
      </c>
      <c r="O371" t="s">
        <v>46570</v>
      </c>
      <c r="P371">
        <v>0</v>
      </c>
      <c r="Q371">
        <v>0</v>
      </c>
      <c r="R371" t="s">
        <v>46571</v>
      </c>
      <c r="S371" t="s">
        <v>46687</v>
      </c>
      <c r="T371" t="s">
        <v>48256</v>
      </c>
      <c r="U371" t="s">
        <v>49116</v>
      </c>
      <c r="W371" t="s">
        <v>42637</v>
      </c>
      <c r="X371" t="s">
        <v>46572</v>
      </c>
    </row>
    <row r="372" spans="1:24">
      <c r="A372">
        <f>HYPERLINK("https://www.philgeps.gov.ph/GEPSNONPILOT/Tender/SplashBidNoticeAbstractUI.aspx?menuIndex=3&amp;refID=7064738&amp;Result=3","7064738")</f>
        <v>0</v>
      </c>
      <c r="B372" t="s">
        <v>135</v>
      </c>
      <c r="C372" t="s">
        <v>3893</v>
      </c>
      <c r="D372" t="s">
        <v>18807</v>
      </c>
      <c r="E372" t="s">
        <v>19240</v>
      </c>
      <c r="F372" t="s">
        <v>32664</v>
      </c>
      <c r="G372" t="s">
        <v>32672</v>
      </c>
      <c r="H372" t="s">
        <v>12635</v>
      </c>
      <c r="I372" t="s">
        <v>32685</v>
      </c>
      <c r="J372" t="s">
        <v>33133</v>
      </c>
      <c r="K372" t="s">
        <v>42281</v>
      </c>
      <c r="M372" t="s">
        <v>42699</v>
      </c>
      <c r="N372" t="s">
        <v>46569</v>
      </c>
      <c r="O372" t="s">
        <v>46570</v>
      </c>
      <c r="P372">
        <v>0</v>
      </c>
      <c r="Q372">
        <v>0</v>
      </c>
      <c r="R372" t="s">
        <v>46571</v>
      </c>
      <c r="S372" t="s">
        <v>46687</v>
      </c>
      <c r="T372" t="s">
        <v>48226</v>
      </c>
      <c r="U372" t="s">
        <v>49052</v>
      </c>
      <c r="V372" t="s">
        <v>61650</v>
      </c>
      <c r="W372" t="s">
        <v>42699</v>
      </c>
      <c r="X372" t="s">
        <v>46572</v>
      </c>
    </row>
    <row r="373" spans="1:24">
      <c r="A373">
        <f>HYPERLINK("https://www.philgeps.gov.ph/GEPSNONPILOT/Tender/SplashBidNoticeAbstractUI.aspx?menuIndex=3&amp;refID=7064735&amp;Result=3","7064735")</f>
        <v>0</v>
      </c>
      <c r="B373" t="s">
        <v>183</v>
      </c>
      <c r="C373" t="s">
        <v>3894</v>
      </c>
      <c r="D373" t="s">
        <v>18805</v>
      </c>
      <c r="E373" t="s">
        <v>19241</v>
      </c>
      <c r="F373" t="s">
        <v>32664</v>
      </c>
      <c r="G373" t="s">
        <v>32671</v>
      </c>
      <c r="H373" t="s">
        <v>12635</v>
      </c>
      <c r="I373" t="s">
        <v>10361</v>
      </c>
      <c r="J373" t="s">
        <v>32842</v>
      </c>
      <c r="K373" t="s">
        <v>42283</v>
      </c>
      <c r="M373" t="s">
        <v>42747</v>
      </c>
      <c r="N373" t="s">
        <v>46569</v>
      </c>
      <c r="O373" t="s">
        <v>46570</v>
      </c>
      <c r="P373">
        <v>0</v>
      </c>
      <c r="Q373">
        <v>0</v>
      </c>
      <c r="R373" t="s">
        <v>46571</v>
      </c>
      <c r="S373" t="s">
        <v>46687</v>
      </c>
      <c r="T373" t="s">
        <v>48293</v>
      </c>
      <c r="U373" t="s">
        <v>49117</v>
      </c>
      <c r="W373" t="s">
        <v>42747</v>
      </c>
      <c r="X373" t="s">
        <v>46572</v>
      </c>
    </row>
    <row r="374" spans="1:24">
      <c r="A374">
        <f>HYPERLINK("https://www.philgeps.gov.ph/GEPSNONPILOT/Tender/SplashBidNoticeAbstractUI.aspx?menuIndex=3&amp;refID=7064710&amp;Result=3","7064710")</f>
        <v>0</v>
      </c>
      <c r="B374" t="s">
        <v>152</v>
      </c>
      <c r="C374" t="s">
        <v>3895</v>
      </c>
      <c r="D374" t="s">
        <v>18813</v>
      </c>
      <c r="E374" t="s">
        <v>19242</v>
      </c>
      <c r="F374" t="s">
        <v>32664</v>
      </c>
      <c r="G374" t="s">
        <v>32672</v>
      </c>
      <c r="H374" t="s">
        <v>12635</v>
      </c>
      <c r="I374" t="s">
        <v>4439</v>
      </c>
      <c r="J374" t="s">
        <v>33134</v>
      </c>
      <c r="K374" t="s">
        <v>42281</v>
      </c>
      <c r="M374" t="s">
        <v>42716</v>
      </c>
      <c r="N374" t="s">
        <v>46569</v>
      </c>
      <c r="O374" t="s">
        <v>46570</v>
      </c>
      <c r="P374">
        <v>0</v>
      </c>
      <c r="Q374">
        <v>0</v>
      </c>
      <c r="R374" t="s">
        <v>46571</v>
      </c>
      <c r="S374" t="s">
        <v>46687</v>
      </c>
      <c r="T374" t="s">
        <v>48237</v>
      </c>
      <c r="U374" t="s">
        <v>49118</v>
      </c>
      <c r="V374" t="s">
        <v>61655</v>
      </c>
      <c r="W374" t="s">
        <v>42716</v>
      </c>
      <c r="X374" t="s">
        <v>46572</v>
      </c>
    </row>
    <row r="375" spans="1:24">
      <c r="A375">
        <f>HYPERLINK("https://www.philgeps.gov.ph/GEPSNONPILOT/Tender/SplashBidNoticeAbstractUI.aspx?menuIndex=3&amp;refID=7064729&amp;Result=3","7064729")</f>
        <v>0</v>
      </c>
      <c r="B375" t="s">
        <v>184</v>
      </c>
      <c r="C375" t="s">
        <v>3896</v>
      </c>
      <c r="D375" t="s">
        <v>18799</v>
      </c>
      <c r="E375" t="s">
        <v>19243</v>
      </c>
      <c r="F375" t="s">
        <v>32664</v>
      </c>
      <c r="G375" t="s">
        <v>32671</v>
      </c>
      <c r="H375" t="s">
        <v>12635</v>
      </c>
      <c r="I375" t="s">
        <v>6118</v>
      </c>
      <c r="J375" t="s">
        <v>33135</v>
      </c>
      <c r="K375" t="s">
        <v>42284</v>
      </c>
      <c r="M375" t="s">
        <v>42748</v>
      </c>
      <c r="N375" t="s">
        <v>46569</v>
      </c>
      <c r="O375" t="s">
        <v>46570</v>
      </c>
      <c r="P375">
        <v>0</v>
      </c>
      <c r="Q375">
        <v>0</v>
      </c>
      <c r="R375" t="s">
        <v>46571</v>
      </c>
      <c r="S375" t="s">
        <v>46687</v>
      </c>
      <c r="T375" t="s">
        <v>48228</v>
      </c>
      <c r="U375" t="s">
        <v>49119</v>
      </c>
      <c r="W375" t="s">
        <v>42748</v>
      </c>
      <c r="X375" t="s">
        <v>46572</v>
      </c>
    </row>
    <row r="376" spans="1:24">
      <c r="A376">
        <f>HYPERLINK("https://www.philgeps.gov.ph/GEPSNONPILOT/Tender/SplashBidNoticeAbstractUI.aspx?menuIndex=3&amp;refID=7064726&amp;Result=3","7064726")</f>
        <v>0</v>
      </c>
      <c r="B376" t="s">
        <v>135</v>
      </c>
      <c r="C376" t="s">
        <v>3897</v>
      </c>
      <c r="D376" t="s">
        <v>18807</v>
      </c>
      <c r="E376" t="s">
        <v>19244</v>
      </c>
      <c r="F376" t="s">
        <v>32664</v>
      </c>
      <c r="G376" t="s">
        <v>32672</v>
      </c>
      <c r="H376" t="s">
        <v>12635</v>
      </c>
      <c r="I376" t="s">
        <v>32685</v>
      </c>
      <c r="J376" t="s">
        <v>33136</v>
      </c>
      <c r="K376" t="s">
        <v>42281</v>
      </c>
      <c r="M376" t="s">
        <v>42699</v>
      </c>
      <c r="N376" t="s">
        <v>46569</v>
      </c>
      <c r="O376" t="s">
        <v>46570</v>
      </c>
      <c r="P376">
        <v>0</v>
      </c>
      <c r="Q376">
        <v>0</v>
      </c>
      <c r="R376" t="s">
        <v>46571</v>
      </c>
      <c r="S376" t="s">
        <v>46687</v>
      </c>
      <c r="T376" t="s">
        <v>48226</v>
      </c>
      <c r="U376" t="s">
        <v>49052</v>
      </c>
      <c r="V376" t="s">
        <v>61650</v>
      </c>
      <c r="W376" t="s">
        <v>42699</v>
      </c>
      <c r="X376" t="s">
        <v>46572</v>
      </c>
    </row>
    <row r="377" spans="1:24">
      <c r="A377">
        <f>HYPERLINK("https://www.philgeps.gov.ph/GEPSNONPILOT/Tender/SplashBidNoticeAbstractUI.aspx?menuIndex=3&amp;refID=7064724&amp;Result=3","7064724")</f>
        <v>0</v>
      </c>
      <c r="B377" t="s">
        <v>167</v>
      </c>
      <c r="C377" t="s">
        <v>3898</v>
      </c>
      <c r="D377" t="s">
        <v>18837</v>
      </c>
      <c r="E377" t="s">
        <v>19245</v>
      </c>
      <c r="F377" t="s">
        <v>32664</v>
      </c>
      <c r="G377" t="s">
        <v>32672</v>
      </c>
      <c r="H377" t="s">
        <v>32683</v>
      </c>
      <c r="I377" t="s">
        <v>10627</v>
      </c>
      <c r="J377" t="s">
        <v>32930</v>
      </c>
      <c r="K377" t="s">
        <v>42328</v>
      </c>
      <c r="M377" t="s">
        <v>42731</v>
      </c>
      <c r="N377" t="s">
        <v>46569</v>
      </c>
      <c r="O377" t="s">
        <v>46570</v>
      </c>
      <c r="P377">
        <v>0</v>
      </c>
      <c r="Q377">
        <v>0</v>
      </c>
      <c r="R377" t="s">
        <v>46571</v>
      </c>
      <c r="S377" t="s">
        <v>46687</v>
      </c>
      <c r="T377" t="s">
        <v>48261</v>
      </c>
      <c r="U377" t="s">
        <v>49120</v>
      </c>
      <c r="W377" t="s">
        <v>42731</v>
      </c>
      <c r="X377" t="s">
        <v>46572</v>
      </c>
    </row>
    <row r="378" spans="1:24">
      <c r="A378">
        <f>HYPERLINK("https://www.philgeps.gov.ph/GEPSNONPILOT/Tender/SplashBidNoticeAbstractUI.aspx?menuIndex=3&amp;refID=7064686&amp;Result=3","7064686")</f>
        <v>0</v>
      </c>
      <c r="B378" t="s">
        <v>185</v>
      </c>
      <c r="C378" t="s">
        <v>3899</v>
      </c>
      <c r="D378" t="s">
        <v>18805</v>
      </c>
      <c r="E378" t="s">
        <v>19246</v>
      </c>
      <c r="F378" t="s">
        <v>32664</v>
      </c>
      <c r="G378" t="s">
        <v>32672</v>
      </c>
      <c r="H378" t="s">
        <v>12635</v>
      </c>
      <c r="I378" t="s">
        <v>11464</v>
      </c>
      <c r="J378" t="s">
        <v>33137</v>
      </c>
      <c r="K378" t="s">
        <v>42283</v>
      </c>
      <c r="M378" t="s">
        <v>42749</v>
      </c>
      <c r="N378" t="s">
        <v>46569</v>
      </c>
      <c r="O378" t="s">
        <v>46570</v>
      </c>
      <c r="P378">
        <v>0</v>
      </c>
      <c r="Q378">
        <v>2</v>
      </c>
      <c r="R378" t="s">
        <v>46571</v>
      </c>
      <c r="S378" t="s">
        <v>46687</v>
      </c>
      <c r="T378" t="s">
        <v>48222</v>
      </c>
      <c r="U378" t="s">
        <v>49121</v>
      </c>
      <c r="W378" t="s">
        <v>42749</v>
      </c>
      <c r="X378" t="s">
        <v>46572</v>
      </c>
    </row>
    <row r="379" spans="1:24">
      <c r="A379">
        <f>HYPERLINK("https://www.philgeps.gov.ph/GEPSNONPILOT/Tender/SplashBidNoticeAbstractUI.aspx?menuIndex=3&amp;refID=7064728&amp;Result=3","7064728")</f>
        <v>0</v>
      </c>
      <c r="B379" t="s">
        <v>186</v>
      </c>
      <c r="C379" t="s">
        <v>3900</v>
      </c>
      <c r="D379" t="s">
        <v>18789</v>
      </c>
      <c r="E379" t="s">
        <v>19247</v>
      </c>
      <c r="F379" t="s">
        <v>32664</v>
      </c>
      <c r="G379" t="s">
        <v>32672</v>
      </c>
      <c r="H379" t="s">
        <v>32683</v>
      </c>
      <c r="I379" t="s">
        <v>32716</v>
      </c>
      <c r="J379" t="s">
        <v>33138</v>
      </c>
      <c r="K379" t="s">
        <v>42298</v>
      </c>
      <c r="M379" t="s">
        <v>42750</v>
      </c>
      <c r="N379" t="s">
        <v>46569</v>
      </c>
      <c r="O379" t="s">
        <v>46570</v>
      </c>
      <c r="P379">
        <v>0</v>
      </c>
      <c r="Q379">
        <v>0</v>
      </c>
      <c r="R379" t="s">
        <v>46571</v>
      </c>
      <c r="S379" t="s">
        <v>46687</v>
      </c>
      <c r="T379" t="s">
        <v>48295</v>
      </c>
      <c r="U379" t="s">
        <v>49122</v>
      </c>
      <c r="W379" t="s">
        <v>42750</v>
      </c>
      <c r="X379" t="s">
        <v>46572</v>
      </c>
    </row>
    <row r="380" spans="1:24">
      <c r="A380">
        <f>HYPERLINK("https://www.philgeps.gov.ph/GEPSNONPILOT/Tender/SplashBidNoticeAbstractUI.aspx?menuIndex=3&amp;refID=7064734&amp;Result=3","7064734")</f>
        <v>0</v>
      </c>
      <c r="B380" t="s">
        <v>187</v>
      </c>
      <c r="C380" t="s">
        <v>3901</v>
      </c>
      <c r="D380" t="s">
        <v>18840</v>
      </c>
      <c r="E380" t="s">
        <v>19248</v>
      </c>
      <c r="F380" t="s">
        <v>32664</v>
      </c>
      <c r="G380" t="s">
        <v>32671</v>
      </c>
      <c r="H380" t="s">
        <v>12635</v>
      </c>
      <c r="I380" t="s">
        <v>4439</v>
      </c>
      <c r="J380" t="s">
        <v>33139</v>
      </c>
      <c r="K380" t="s">
        <v>42281</v>
      </c>
      <c r="M380" t="s">
        <v>42751</v>
      </c>
      <c r="N380" t="s">
        <v>46569</v>
      </c>
      <c r="O380" t="s">
        <v>46570</v>
      </c>
      <c r="P380">
        <v>0</v>
      </c>
      <c r="Q380">
        <v>0</v>
      </c>
      <c r="R380" t="s">
        <v>46571</v>
      </c>
      <c r="S380" t="s">
        <v>46687</v>
      </c>
      <c r="T380" t="s">
        <v>48221</v>
      </c>
      <c r="U380" t="s">
        <v>49123</v>
      </c>
      <c r="W380" t="s">
        <v>42751</v>
      </c>
      <c r="X380" t="s">
        <v>46572</v>
      </c>
    </row>
    <row r="381" spans="1:24">
      <c r="A381">
        <f>HYPERLINK("https://www.philgeps.gov.ph/GEPSNONPILOT/Tender/SplashBidNoticeAbstractUI.aspx?menuIndex=3&amp;refID=7064725&amp;Result=3","7064725")</f>
        <v>0</v>
      </c>
      <c r="B381" t="s">
        <v>188</v>
      </c>
      <c r="C381" t="s">
        <v>3872</v>
      </c>
      <c r="D381" t="s">
        <v>18793</v>
      </c>
      <c r="E381" t="s">
        <v>19249</v>
      </c>
      <c r="F381" t="s">
        <v>32664</v>
      </c>
      <c r="G381" t="s">
        <v>32672</v>
      </c>
      <c r="H381" t="s">
        <v>32683</v>
      </c>
      <c r="I381" t="s">
        <v>10627</v>
      </c>
      <c r="J381" t="s">
        <v>32853</v>
      </c>
      <c r="K381" t="s">
        <v>42320</v>
      </c>
      <c r="M381" t="s">
        <v>42752</v>
      </c>
      <c r="N381" t="s">
        <v>46569</v>
      </c>
      <c r="O381" t="s">
        <v>46570</v>
      </c>
      <c r="P381">
        <v>0</v>
      </c>
      <c r="Q381">
        <v>0</v>
      </c>
      <c r="R381" t="s">
        <v>46571</v>
      </c>
      <c r="S381" t="s">
        <v>46687</v>
      </c>
      <c r="T381" t="s">
        <v>48225</v>
      </c>
      <c r="U381" t="s">
        <v>49124</v>
      </c>
      <c r="W381" t="s">
        <v>42752</v>
      </c>
      <c r="X381" t="s">
        <v>46572</v>
      </c>
    </row>
    <row r="382" spans="1:24">
      <c r="A382">
        <f>HYPERLINK("https://www.philgeps.gov.ph/GEPSNONPILOT/Tender/SplashBidNoticeAbstractUI.aspx?menuIndex=3&amp;refID=7064723&amp;Result=3","7064723")</f>
        <v>0</v>
      </c>
      <c r="B382" t="s">
        <v>189</v>
      </c>
      <c r="C382" t="s">
        <v>3902</v>
      </c>
      <c r="E382" t="s">
        <v>19250</v>
      </c>
      <c r="F382" t="s">
        <v>32664</v>
      </c>
      <c r="G382" t="s">
        <v>32671</v>
      </c>
      <c r="H382" t="s">
        <v>12635</v>
      </c>
      <c r="I382" t="s">
        <v>6628</v>
      </c>
      <c r="J382" t="s">
        <v>33021</v>
      </c>
      <c r="K382" t="s">
        <v>42289</v>
      </c>
      <c r="M382" t="s">
        <v>42753</v>
      </c>
      <c r="N382" t="s">
        <v>46569</v>
      </c>
      <c r="O382" t="s">
        <v>46570</v>
      </c>
      <c r="P382">
        <v>0</v>
      </c>
      <c r="Q382">
        <v>0</v>
      </c>
      <c r="R382" t="s">
        <v>46571</v>
      </c>
      <c r="S382" t="s">
        <v>46687</v>
      </c>
      <c r="T382" t="s">
        <v>48296</v>
      </c>
      <c r="U382" t="s">
        <v>49125</v>
      </c>
      <c r="W382" t="s">
        <v>42753</v>
      </c>
      <c r="X382" t="s">
        <v>46572</v>
      </c>
    </row>
    <row r="383" spans="1:24">
      <c r="A383">
        <f>HYPERLINK("https://www.philgeps.gov.ph/GEPSNONPILOT/Tender/SplashBidNoticeAbstractUI.aspx?menuIndex=3&amp;refID=7064722&amp;Result=3","7064722")</f>
        <v>0</v>
      </c>
      <c r="B383" t="s">
        <v>190</v>
      </c>
      <c r="C383" t="s">
        <v>3903</v>
      </c>
      <c r="D383" t="s">
        <v>18807</v>
      </c>
      <c r="E383" t="s">
        <v>19251</v>
      </c>
      <c r="F383" t="s">
        <v>32664</v>
      </c>
      <c r="G383" t="s">
        <v>32671</v>
      </c>
      <c r="H383" t="s">
        <v>12635</v>
      </c>
      <c r="I383" t="s">
        <v>4439</v>
      </c>
      <c r="J383" t="s">
        <v>32853</v>
      </c>
      <c r="K383" t="s">
        <v>42281</v>
      </c>
      <c r="M383" t="s">
        <v>42754</v>
      </c>
      <c r="N383" t="s">
        <v>46569</v>
      </c>
      <c r="O383" t="s">
        <v>46570</v>
      </c>
      <c r="P383">
        <v>0</v>
      </c>
      <c r="Q383">
        <v>0</v>
      </c>
      <c r="R383" t="s">
        <v>46571</v>
      </c>
      <c r="S383" t="s">
        <v>46687</v>
      </c>
      <c r="T383" t="s">
        <v>48297</v>
      </c>
      <c r="U383" t="s">
        <v>49126</v>
      </c>
      <c r="W383" t="s">
        <v>42754</v>
      </c>
      <c r="X383" t="s">
        <v>46572</v>
      </c>
    </row>
    <row r="384" spans="1:24">
      <c r="A384">
        <f>HYPERLINK("https://www.philgeps.gov.ph/GEPSNONPILOT/Tender/SplashBidNoticeAbstractUI.aspx?menuIndex=3&amp;refID=7064721&amp;Result=3","7064721")</f>
        <v>0</v>
      </c>
      <c r="B384" t="s">
        <v>145</v>
      </c>
      <c r="C384" t="s">
        <v>3904</v>
      </c>
      <c r="D384" t="s">
        <v>18784</v>
      </c>
      <c r="E384" t="s">
        <v>19252</v>
      </c>
      <c r="F384" t="s">
        <v>32664</v>
      </c>
      <c r="G384" t="s">
        <v>32671</v>
      </c>
      <c r="H384" t="s">
        <v>12635</v>
      </c>
      <c r="I384" t="s">
        <v>10590</v>
      </c>
      <c r="J384" t="s">
        <v>33078</v>
      </c>
      <c r="K384" t="s">
        <v>42297</v>
      </c>
      <c r="M384" t="s">
        <v>42709</v>
      </c>
      <c r="N384" t="s">
        <v>46569</v>
      </c>
      <c r="O384" t="s">
        <v>46570</v>
      </c>
      <c r="P384">
        <v>0</v>
      </c>
      <c r="Q384">
        <v>1</v>
      </c>
      <c r="R384" t="s">
        <v>46571</v>
      </c>
      <c r="S384" t="s">
        <v>46687</v>
      </c>
      <c r="T384" t="s">
        <v>48251</v>
      </c>
      <c r="U384" t="s">
        <v>49062</v>
      </c>
      <c r="V384" t="s">
        <v>61651</v>
      </c>
      <c r="W384" t="s">
        <v>42709</v>
      </c>
      <c r="X384" t="s">
        <v>46572</v>
      </c>
    </row>
    <row r="385" spans="1:24">
      <c r="A385">
        <f>HYPERLINK("https://www.philgeps.gov.ph/GEPSNONPILOT/Tender/SplashBidNoticeAbstractUI.aspx?menuIndex=3&amp;refID=7064719&amp;Result=3","7064719")</f>
        <v>0</v>
      </c>
      <c r="B385" t="s">
        <v>176</v>
      </c>
      <c r="C385" t="s">
        <v>3905</v>
      </c>
      <c r="D385" t="s">
        <v>18827</v>
      </c>
      <c r="E385" t="s">
        <v>19253</v>
      </c>
      <c r="F385" t="s">
        <v>32664</v>
      </c>
      <c r="G385" t="s">
        <v>32671</v>
      </c>
      <c r="H385" t="s">
        <v>12635</v>
      </c>
      <c r="I385" t="s">
        <v>8797</v>
      </c>
      <c r="J385" t="s">
        <v>33140</v>
      </c>
      <c r="K385" t="s">
        <v>42295</v>
      </c>
      <c r="M385" t="s">
        <v>42740</v>
      </c>
      <c r="N385" t="s">
        <v>46569</v>
      </c>
      <c r="O385" t="s">
        <v>46570</v>
      </c>
      <c r="P385">
        <v>0</v>
      </c>
      <c r="Q385">
        <v>0</v>
      </c>
      <c r="R385" t="s">
        <v>46571</v>
      </c>
      <c r="S385" t="s">
        <v>46687</v>
      </c>
      <c r="T385" t="s">
        <v>48286</v>
      </c>
      <c r="U385" t="s">
        <v>49127</v>
      </c>
      <c r="W385" t="s">
        <v>42740</v>
      </c>
      <c r="X385" t="s">
        <v>46572</v>
      </c>
    </row>
    <row r="386" spans="1:24">
      <c r="A386">
        <f>HYPERLINK("https://www.philgeps.gov.ph/GEPSNONPILOT/Tender/SplashBidNoticeAbstractUI.aspx?menuIndex=3&amp;refID=7064761&amp;Result=3","7064761")</f>
        <v>0</v>
      </c>
      <c r="B386" t="s">
        <v>191</v>
      </c>
      <c r="C386" t="s">
        <v>3906</v>
      </c>
      <c r="D386" t="s">
        <v>18827</v>
      </c>
      <c r="E386" t="s">
        <v>19254</v>
      </c>
      <c r="F386" t="s">
        <v>32664</v>
      </c>
      <c r="G386" t="s">
        <v>32671</v>
      </c>
      <c r="H386" t="s">
        <v>12635</v>
      </c>
      <c r="I386" t="s">
        <v>5501</v>
      </c>
      <c r="J386" t="s">
        <v>33141</v>
      </c>
      <c r="K386" t="s">
        <v>42284</v>
      </c>
      <c r="M386" t="s">
        <v>42755</v>
      </c>
      <c r="N386" t="s">
        <v>46569</v>
      </c>
      <c r="O386" t="s">
        <v>46570</v>
      </c>
      <c r="P386">
        <v>0</v>
      </c>
      <c r="Q386">
        <v>2</v>
      </c>
      <c r="R386" t="s">
        <v>46571</v>
      </c>
      <c r="S386" t="s">
        <v>46687</v>
      </c>
      <c r="T386" t="s">
        <v>48256</v>
      </c>
      <c r="U386" t="s">
        <v>49128</v>
      </c>
      <c r="W386" t="s">
        <v>42755</v>
      </c>
      <c r="X386" t="s">
        <v>46572</v>
      </c>
    </row>
    <row r="387" spans="1:24">
      <c r="A387">
        <f>HYPERLINK("https://www.philgeps.gov.ph/GEPSNONPILOT/Tender/SplashBidNoticeAbstractUI.aspx?menuIndex=3&amp;refID=7064760&amp;Result=3","7064760")</f>
        <v>0</v>
      </c>
      <c r="B387" t="s">
        <v>192</v>
      </c>
      <c r="C387" t="s">
        <v>3907</v>
      </c>
      <c r="E387" t="s">
        <v>19255</v>
      </c>
      <c r="F387" t="s">
        <v>32664</v>
      </c>
      <c r="G387" t="s">
        <v>32672</v>
      </c>
      <c r="H387" t="s">
        <v>12635</v>
      </c>
      <c r="I387" t="s">
        <v>32717</v>
      </c>
      <c r="J387" t="s">
        <v>33142</v>
      </c>
      <c r="K387" t="s">
        <v>42283</v>
      </c>
      <c r="M387" t="s">
        <v>42756</v>
      </c>
      <c r="N387" t="s">
        <v>46569</v>
      </c>
      <c r="O387" t="s">
        <v>46570</v>
      </c>
      <c r="P387">
        <v>0</v>
      </c>
      <c r="Q387">
        <v>1</v>
      </c>
      <c r="R387" t="s">
        <v>46571</v>
      </c>
      <c r="S387" t="s">
        <v>46687</v>
      </c>
      <c r="T387" t="s">
        <v>48216</v>
      </c>
      <c r="U387" t="s">
        <v>49129</v>
      </c>
      <c r="V387" t="s">
        <v>61665</v>
      </c>
      <c r="W387" t="s">
        <v>42756</v>
      </c>
      <c r="X387" t="s">
        <v>46572</v>
      </c>
    </row>
    <row r="388" spans="1:24">
      <c r="A388">
        <f>HYPERLINK("https://www.philgeps.gov.ph/GEPSNONPILOT/Tender/SplashBidNoticeAbstractUI.aspx?menuIndex=3&amp;refID=7064758&amp;Result=3","7064758")</f>
        <v>0</v>
      </c>
      <c r="B388" t="s">
        <v>193</v>
      </c>
      <c r="C388" t="s">
        <v>3908</v>
      </c>
      <c r="D388" t="s">
        <v>18783</v>
      </c>
      <c r="E388" t="s">
        <v>19256</v>
      </c>
      <c r="F388" t="s">
        <v>32664</v>
      </c>
      <c r="G388" t="s">
        <v>32671</v>
      </c>
      <c r="H388" t="s">
        <v>12635</v>
      </c>
      <c r="I388" t="s">
        <v>10361</v>
      </c>
      <c r="J388" t="s">
        <v>33015</v>
      </c>
      <c r="K388" t="s">
        <v>42281</v>
      </c>
      <c r="M388" t="s">
        <v>42757</v>
      </c>
      <c r="N388" t="s">
        <v>46569</v>
      </c>
      <c r="O388" t="s">
        <v>46570</v>
      </c>
      <c r="P388">
        <v>0</v>
      </c>
      <c r="Q388">
        <v>0</v>
      </c>
      <c r="R388" t="s">
        <v>46571</v>
      </c>
      <c r="S388" t="s">
        <v>46687</v>
      </c>
      <c r="T388" t="s">
        <v>48244</v>
      </c>
      <c r="U388" t="s">
        <v>49130</v>
      </c>
      <c r="W388" t="s">
        <v>42757</v>
      </c>
      <c r="X388" t="s">
        <v>46572</v>
      </c>
    </row>
    <row r="389" spans="1:24">
      <c r="A389">
        <f>HYPERLINK("https://www.philgeps.gov.ph/GEPSNONPILOT/Tender/SplashBidNoticeAbstractUI.aspx?menuIndex=3&amp;refID=7064762&amp;Result=3","7064762")</f>
        <v>0</v>
      </c>
      <c r="B389" t="s">
        <v>30</v>
      </c>
      <c r="C389" t="s">
        <v>3909</v>
      </c>
      <c r="D389" t="s">
        <v>18786</v>
      </c>
      <c r="E389" t="s">
        <v>19257</v>
      </c>
      <c r="F389" t="s">
        <v>32664</v>
      </c>
      <c r="G389" t="s">
        <v>32674</v>
      </c>
      <c r="H389" t="s">
        <v>12635</v>
      </c>
      <c r="I389" t="s">
        <v>6628</v>
      </c>
      <c r="J389" t="s">
        <v>32853</v>
      </c>
      <c r="K389" t="s">
        <v>42283</v>
      </c>
      <c r="M389" t="s">
        <v>42592</v>
      </c>
      <c r="N389" t="s">
        <v>46569</v>
      </c>
      <c r="O389" t="s">
        <v>46570</v>
      </c>
      <c r="P389">
        <v>0</v>
      </c>
      <c r="Q389">
        <v>4</v>
      </c>
      <c r="R389" t="s">
        <v>46571</v>
      </c>
      <c r="S389" t="s">
        <v>46687</v>
      </c>
      <c r="T389" t="s">
        <v>48217</v>
      </c>
      <c r="U389" t="s">
        <v>49131</v>
      </c>
      <c r="W389" t="s">
        <v>42592</v>
      </c>
      <c r="X389" t="s">
        <v>46572</v>
      </c>
    </row>
    <row r="390" spans="1:24">
      <c r="A390">
        <f>HYPERLINK("https://www.philgeps.gov.ph/GEPSNONPILOT/Tender/SplashBidNoticeAbstractUI.aspx?menuIndex=3&amp;refID=7064763&amp;Result=3","7064763")</f>
        <v>0</v>
      </c>
      <c r="B390" t="s">
        <v>194</v>
      </c>
      <c r="C390" t="s">
        <v>3910</v>
      </c>
      <c r="D390" t="s">
        <v>18791</v>
      </c>
      <c r="E390" t="s">
        <v>19258</v>
      </c>
      <c r="F390" t="s">
        <v>32664</v>
      </c>
      <c r="G390" t="s">
        <v>32671</v>
      </c>
      <c r="H390" t="s">
        <v>12635</v>
      </c>
      <c r="I390" t="s">
        <v>6628</v>
      </c>
      <c r="J390" t="s">
        <v>32853</v>
      </c>
      <c r="K390" t="s">
        <v>42284</v>
      </c>
      <c r="M390" t="s">
        <v>42758</v>
      </c>
      <c r="N390" t="s">
        <v>46569</v>
      </c>
      <c r="O390" t="s">
        <v>46570</v>
      </c>
      <c r="P390">
        <v>0</v>
      </c>
      <c r="Q390">
        <v>0</v>
      </c>
      <c r="R390" t="s">
        <v>46571</v>
      </c>
      <c r="S390" t="s">
        <v>46687</v>
      </c>
      <c r="T390" t="s">
        <v>48296</v>
      </c>
      <c r="U390" t="s">
        <v>49132</v>
      </c>
      <c r="W390" t="s">
        <v>42758</v>
      </c>
      <c r="X390" t="s">
        <v>46572</v>
      </c>
    </row>
    <row r="391" spans="1:24">
      <c r="A391">
        <f>HYPERLINK("https://www.philgeps.gov.ph/GEPSNONPILOT/Tender/SplashBidNoticeAbstractUI.aspx?menuIndex=3&amp;refID=7064720&amp;Result=3","7064720")</f>
        <v>0</v>
      </c>
      <c r="B391" t="s">
        <v>185</v>
      </c>
      <c r="C391" t="s">
        <v>3911</v>
      </c>
      <c r="D391" t="s">
        <v>18805</v>
      </c>
      <c r="E391" t="s">
        <v>19259</v>
      </c>
      <c r="F391" t="s">
        <v>32664</v>
      </c>
      <c r="G391" t="s">
        <v>32672</v>
      </c>
      <c r="H391" t="s">
        <v>12635</v>
      </c>
      <c r="I391" t="s">
        <v>11464</v>
      </c>
      <c r="J391" t="s">
        <v>33143</v>
      </c>
      <c r="K391" t="s">
        <v>42283</v>
      </c>
      <c r="M391" t="s">
        <v>42749</v>
      </c>
      <c r="N391" t="s">
        <v>46569</v>
      </c>
      <c r="O391" t="s">
        <v>46570</v>
      </c>
      <c r="P391">
        <v>0</v>
      </c>
      <c r="Q391">
        <v>5</v>
      </c>
      <c r="R391" t="s">
        <v>46571</v>
      </c>
      <c r="S391" t="s">
        <v>46687</v>
      </c>
      <c r="T391" t="s">
        <v>48222</v>
      </c>
      <c r="U391" t="s">
        <v>49133</v>
      </c>
      <c r="V391" t="s">
        <v>61666</v>
      </c>
      <c r="W391" t="s">
        <v>42749</v>
      </c>
      <c r="X391" t="s">
        <v>46572</v>
      </c>
    </row>
    <row r="392" spans="1:24">
      <c r="A392">
        <f>HYPERLINK("https://www.philgeps.gov.ph/GEPSNONPILOT/Tender/SplashBidNoticeAbstractUI.aspx?menuIndex=3&amp;refID=7064730&amp;Result=3","7064730")</f>
        <v>0</v>
      </c>
      <c r="B392" t="s">
        <v>176</v>
      </c>
      <c r="C392" t="s">
        <v>3912</v>
      </c>
      <c r="D392" t="s">
        <v>18827</v>
      </c>
      <c r="E392" t="s">
        <v>19260</v>
      </c>
      <c r="F392" t="s">
        <v>32664</v>
      </c>
      <c r="G392" t="s">
        <v>32675</v>
      </c>
      <c r="H392" t="s">
        <v>12635</v>
      </c>
      <c r="I392" t="s">
        <v>8730</v>
      </c>
      <c r="J392" t="s">
        <v>33144</v>
      </c>
      <c r="K392" t="s">
        <v>42295</v>
      </c>
      <c r="M392" t="s">
        <v>42740</v>
      </c>
      <c r="N392" t="s">
        <v>46569</v>
      </c>
      <c r="O392" t="s">
        <v>46570</v>
      </c>
      <c r="P392">
        <v>0</v>
      </c>
      <c r="Q392">
        <v>0</v>
      </c>
      <c r="R392" t="s">
        <v>46571</v>
      </c>
      <c r="S392" t="s">
        <v>46687</v>
      </c>
      <c r="T392" t="s">
        <v>48286</v>
      </c>
      <c r="U392" t="s">
        <v>49134</v>
      </c>
      <c r="W392" t="s">
        <v>42740</v>
      </c>
      <c r="X392" t="s">
        <v>46572</v>
      </c>
    </row>
    <row r="393" spans="1:24">
      <c r="A393">
        <f>HYPERLINK("https://www.philgeps.gov.ph/GEPSNONPILOT/Tender/SplashBidNoticeAbstractUI.aspx?menuIndex=3&amp;refID=7064753&amp;Result=3","7064753")</f>
        <v>0</v>
      </c>
      <c r="B393" t="s">
        <v>195</v>
      </c>
      <c r="C393" t="s">
        <v>3913</v>
      </c>
      <c r="D393" t="s">
        <v>18824</v>
      </c>
      <c r="E393" t="s">
        <v>19261</v>
      </c>
      <c r="F393" t="s">
        <v>32664</v>
      </c>
      <c r="G393" t="s">
        <v>32675</v>
      </c>
      <c r="H393" t="s">
        <v>12635</v>
      </c>
      <c r="I393" t="s">
        <v>6168</v>
      </c>
      <c r="J393" t="s">
        <v>33145</v>
      </c>
      <c r="K393" t="s">
        <v>42281</v>
      </c>
      <c r="M393" t="s">
        <v>42759</v>
      </c>
      <c r="N393" t="s">
        <v>46569</v>
      </c>
      <c r="O393" t="s">
        <v>46570</v>
      </c>
      <c r="P393">
        <v>0</v>
      </c>
      <c r="Q393">
        <v>0</v>
      </c>
      <c r="R393" t="s">
        <v>46571</v>
      </c>
      <c r="S393" t="s">
        <v>46687</v>
      </c>
      <c r="T393" t="s">
        <v>48244</v>
      </c>
      <c r="U393" t="s">
        <v>49135</v>
      </c>
      <c r="W393" t="s">
        <v>42759</v>
      </c>
      <c r="X393" t="s">
        <v>46572</v>
      </c>
    </row>
    <row r="394" spans="1:24">
      <c r="A394">
        <f>HYPERLINK("https://www.philgeps.gov.ph/GEPSNONPILOT/Tender/SplashBidNoticeAbstractUI.aspx?menuIndex=3&amp;refID=7064757&amp;Result=3","7064757")</f>
        <v>0</v>
      </c>
      <c r="B394" t="s">
        <v>196</v>
      </c>
      <c r="C394" t="s">
        <v>3914</v>
      </c>
      <c r="D394" t="s">
        <v>18826</v>
      </c>
      <c r="E394" t="s">
        <v>3914</v>
      </c>
      <c r="F394" t="s">
        <v>32664</v>
      </c>
      <c r="G394" t="s">
        <v>32674</v>
      </c>
      <c r="H394" t="s">
        <v>12635</v>
      </c>
      <c r="I394" t="s">
        <v>6168</v>
      </c>
      <c r="J394" t="s">
        <v>33146</v>
      </c>
      <c r="K394" t="s">
        <v>42289</v>
      </c>
      <c r="M394" t="s">
        <v>42760</v>
      </c>
      <c r="N394" t="s">
        <v>46569</v>
      </c>
      <c r="O394" t="s">
        <v>46570</v>
      </c>
      <c r="P394">
        <v>0</v>
      </c>
      <c r="Q394">
        <v>1</v>
      </c>
      <c r="R394" t="s">
        <v>46571</v>
      </c>
      <c r="S394" t="s">
        <v>46687</v>
      </c>
      <c r="T394" t="s">
        <v>48217</v>
      </c>
      <c r="U394" t="s">
        <v>49136</v>
      </c>
      <c r="W394" t="s">
        <v>42760</v>
      </c>
      <c r="X394" t="s">
        <v>46572</v>
      </c>
    </row>
    <row r="395" spans="1:24">
      <c r="A395">
        <f>HYPERLINK("https://www.philgeps.gov.ph/GEPSNONPILOT/Tender/SplashBidNoticeAbstractUI.aspx?menuIndex=3&amp;refID=7064751&amp;Result=3","7064751")</f>
        <v>0</v>
      </c>
      <c r="B395" t="s">
        <v>197</v>
      </c>
      <c r="C395" t="s">
        <v>3915</v>
      </c>
      <c r="D395" t="s">
        <v>18799</v>
      </c>
      <c r="E395" t="s">
        <v>19262</v>
      </c>
      <c r="F395" t="s">
        <v>32664</v>
      </c>
      <c r="G395" t="s">
        <v>32671</v>
      </c>
      <c r="H395" t="s">
        <v>12635</v>
      </c>
      <c r="I395" t="s">
        <v>5589</v>
      </c>
      <c r="J395" t="s">
        <v>33147</v>
      </c>
      <c r="K395" t="s">
        <v>42281</v>
      </c>
      <c r="M395" t="s">
        <v>42761</v>
      </c>
      <c r="N395" t="s">
        <v>46569</v>
      </c>
      <c r="O395" t="s">
        <v>46570</v>
      </c>
      <c r="P395">
        <v>0</v>
      </c>
      <c r="Q395">
        <v>3</v>
      </c>
      <c r="R395" t="s">
        <v>46571</v>
      </c>
      <c r="S395" t="s">
        <v>46687</v>
      </c>
      <c r="T395" t="s">
        <v>48298</v>
      </c>
      <c r="U395" t="s">
        <v>49137</v>
      </c>
      <c r="W395" t="s">
        <v>42761</v>
      </c>
      <c r="X395" t="s">
        <v>46572</v>
      </c>
    </row>
    <row r="396" spans="1:24">
      <c r="A396">
        <f>HYPERLINK("https://www.philgeps.gov.ph/GEPSNONPILOT/Tender/SplashBidNoticeAbstractUI.aspx?menuIndex=3&amp;refID=7064747&amp;Result=3","7064747")</f>
        <v>0</v>
      </c>
      <c r="B396" t="s">
        <v>198</v>
      </c>
      <c r="C396" t="s">
        <v>3916</v>
      </c>
      <c r="D396" t="s">
        <v>18841</v>
      </c>
      <c r="E396" t="s">
        <v>19263</v>
      </c>
      <c r="F396" t="s">
        <v>32664</v>
      </c>
      <c r="G396" t="s">
        <v>32674</v>
      </c>
      <c r="H396" t="s">
        <v>12635</v>
      </c>
      <c r="I396" t="s">
        <v>8797</v>
      </c>
      <c r="J396" t="s">
        <v>33148</v>
      </c>
      <c r="K396" t="s">
        <v>42283</v>
      </c>
      <c r="L396" t="s">
        <v>198</v>
      </c>
      <c r="M396" t="s">
        <v>42762</v>
      </c>
      <c r="N396" t="s">
        <v>46569</v>
      </c>
      <c r="O396" t="s">
        <v>46570</v>
      </c>
      <c r="P396">
        <v>0</v>
      </c>
      <c r="Q396">
        <v>0</v>
      </c>
      <c r="R396" t="s">
        <v>46571</v>
      </c>
      <c r="S396" t="s">
        <v>46687</v>
      </c>
      <c r="T396" t="s">
        <v>48256</v>
      </c>
      <c r="U396" t="s">
        <v>49138</v>
      </c>
      <c r="W396" t="s">
        <v>42762</v>
      </c>
      <c r="X396" t="s">
        <v>46572</v>
      </c>
    </row>
    <row r="397" spans="1:24">
      <c r="A397">
        <f>HYPERLINK("https://www.philgeps.gov.ph/GEPSNONPILOT/Tender/SplashBidNoticeAbstractUI.aspx?menuIndex=3&amp;refID=7064746&amp;Result=3","7064746")</f>
        <v>0</v>
      </c>
      <c r="B397" t="s">
        <v>199</v>
      </c>
      <c r="C397" t="s">
        <v>3917</v>
      </c>
      <c r="D397" t="s">
        <v>18789</v>
      </c>
      <c r="E397" t="s">
        <v>19264</v>
      </c>
      <c r="F397" t="s">
        <v>32664</v>
      </c>
      <c r="G397" t="s">
        <v>32671</v>
      </c>
      <c r="H397" t="s">
        <v>12635</v>
      </c>
      <c r="I397" t="s">
        <v>4205</v>
      </c>
      <c r="J397" t="s">
        <v>33149</v>
      </c>
      <c r="K397" t="s">
        <v>42303</v>
      </c>
      <c r="M397" t="s">
        <v>42763</v>
      </c>
      <c r="N397" t="s">
        <v>46569</v>
      </c>
      <c r="O397" t="s">
        <v>46570</v>
      </c>
      <c r="P397">
        <v>0</v>
      </c>
      <c r="Q397">
        <v>0</v>
      </c>
      <c r="R397" t="s">
        <v>46571</v>
      </c>
      <c r="S397" t="s">
        <v>46687</v>
      </c>
      <c r="T397" t="s">
        <v>48244</v>
      </c>
      <c r="U397" t="s">
        <v>49139</v>
      </c>
      <c r="W397" t="s">
        <v>42763</v>
      </c>
      <c r="X397" t="s">
        <v>46572</v>
      </c>
    </row>
    <row r="398" spans="1:24">
      <c r="A398">
        <f>HYPERLINK("https://www.philgeps.gov.ph/GEPSNONPILOT/Tender/SplashBidNoticeAbstractUI.aspx?menuIndex=3&amp;refID=7064743&amp;Result=3","7064743")</f>
        <v>0</v>
      </c>
      <c r="B398" t="s">
        <v>200</v>
      </c>
      <c r="C398" t="s">
        <v>3918</v>
      </c>
      <c r="D398" t="s">
        <v>18799</v>
      </c>
      <c r="E398" t="s">
        <v>19265</v>
      </c>
      <c r="F398" t="s">
        <v>32664</v>
      </c>
      <c r="G398" t="s">
        <v>32672</v>
      </c>
      <c r="H398" t="s">
        <v>32683</v>
      </c>
      <c r="I398" t="s">
        <v>10627</v>
      </c>
      <c r="J398" t="s">
        <v>33150</v>
      </c>
      <c r="K398" t="s">
        <v>42308</v>
      </c>
      <c r="M398" t="s">
        <v>42764</v>
      </c>
      <c r="N398" t="s">
        <v>46569</v>
      </c>
      <c r="O398" t="s">
        <v>46570</v>
      </c>
      <c r="P398">
        <v>0</v>
      </c>
      <c r="Q398">
        <v>0</v>
      </c>
      <c r="R398" t="s">
        <v>46571</v>
      </c>
      <c r="S398" t="s">
        <v>46687</v>
      </c>
      <c r="T398" t="s">
        <v>48213</v>
      </c>
      <c r="U398" t="s">
        <v>49140</v>
      </c>
      <c r="V398" t="s">
        <v>61667</v>
      </c>
      <c r="W398" t="s">
        <v>42764</v>
      </c>
      <c r="X398" t="s">
        <v>46572</v>
      </c>
    </row>
    <row r="399" spans="1:24">
      <c r="A399">
        <f>HYPERLINK("https://www.philgeps.gov.ph/GEPSNONPILOT/Tender/SplashBidNoticeAbstractUI.aspx?menuIndex=3&amp;refID=7064742&amp;Result=3","7064742")</f>
        <v>0</v>
      </c>
      <c r="B399" t="s">
        <v>136</v>
      </c>
      <c r="C399" t="s">
        <v>3919</v>
      </c>
      <c r="D399" t="s">
        <v>18833</v>
      </c>
      <c r="E399" t="s">
        <v>19266</v>
      </c>
      <c r="F399" t="s">
        <v>32664</v>
      </c>
      <c r="G399" t="s">
        <v>32672</v>
      </c>
      <c r="H399" t="s">
        <v>32683</v>
      </c>
      <c r="I399" t="s">
        <v>10627</v>
      </c>
      <c r="J399" t="s">
        <v>33151</v>
      </c>
      <c r="K399" t="s">
        <v>42331</v>
      </c>
      <c r="M399" t="s">
        <v>42700</v>
      </c>
      <c r="N399" t="s">
        <v>46569</v>
      </c>
      <c r="O399" t="s">
        <v>46570</v>
      </c>
      <c r="P399">
        <v>0</v>
      </c>
      <c r="Q399">
        <v>0</v>
      </c>
      <c r="R399" t="s">
        <v>46571</v>
      </c>
      <c r="S399" t="s">
        <v>46687</v>
      </c>
      <c r="T399" t="s">
        <v>48226</v>
      </c>
      <c r="U399" t="s">
        <v>49141</v>
      </c>
      <c r="W399" t="s">
        <v>42700</v>
      </c>
      <c r="X399" t="s">
        <v>46572</v>
      </c>
    </row>
    <row r="400" spans="1:24">
      <c r="A400">
        <f>HYPERLINK("https://www.philgeps.gov.ph/GEPSNONPILOT/Tender/SplashBidNoticeAbstractUI.aspx?menuIndex=3&amp;refID=7064749&amp;Result=3","7064749")</f>
        <v>0</v>
      </c>
      <c r="B400" t="s">
        <v>135</v>
      </c>
      <c r="C400" t="s">
        <v>3920</v>
      </c>
      <c r="D400" t="s">
        <v>18807</v>
      </c>
      <c r="E400" t="s">
        <v>19267</v>
      </c>
      <c r="F400" t="s">
        <v>32664</v>
      </c>
      <c r="G400" t="s">
        <v>32672</v>
      </c>
      <c r="H400" t="s">
        <v>12635</v>
      </c>
      <c r="I400" t="s">
        <v>32685</v>
      </c>
      <c r="J400" t="s">
        <v>33152</v>
      </c>
      <c r="K400" t="s">
        <v>42281</v>
      </c>
      <c r="M400" t="s">
        <v>42699</v>
      </c>
      <c r="N400" t="s">
        <v>46569</v>
      </c>
      <c r="O400" t="s">
        <v>46570</v>
      </c>
      <c r="P400">
        <v>0</v>
      </c>
      <c r="Q400">
        <v>0</v>
      </c>
      <c r="R400" t="s">
        <v>46571</v>
      </c>
      <c r="S400" t="s">
        <v>46687</v>
      </c>
      <c r="T400" t="s">
        <v>48226</v>
      </c>
      <c r="U400" t="s">
        <v>49052</v>
      </c>
      <c r="V400" t="s">
        <v>61650</v>
      </c>
      <c r="W400" t="s">
        <v>42699</v>
      </c>
      <c r="X400" t="s">
        <v>46572</v>
      </c>
    </row>
    <row r="401" spans="1:24">
      <c r="A401">
        <f>HYPERLINK("https://www.philgeps.gov.ph/GEPSNONPILOT/Tender/SplashBidNoticeAbstractUI.aspx?menuIndex=3&amp;refID=7064752&amp;Result=3","7064752")</f>
        <v>0</v>
      </c>
      <c r="B401" t="s">
        <v>201</v>
      </c>
      <c r="C401" t="s">
        <v>3921</v>
      </c>
      <c r="D401" t="s">
        <v>18831</v>
      </c>
      <c r="E401" t="s">
        <v>19268</v>
      </c>
      <c r="F401" t="s">
        <v>32664</v>
      </c>
      <c r="G401" t="s">
        <v>32671</v>
      </c>
      <c r="H401" t="s">
        <v>12635</v>
      </c>
      <c r="I401" t="s">
        <v>10590</v>
      </c>
      <c r="J401" t="s">
        <v>33153</v>
      </c>
      <c r="K401" t="s">
        <v>42297</v>
      </c>
      <c r="M401" t="s">
        <v>42765</v>
      </c>
      <c r="N401" t="s">
        <v>46569</v>
      </c>
      <c r="O401" t="s">
        <v>46570</v>
      </c>
      <c r="P401">
        <v>0</v>
      </c>
      <c r="Q401">
        <v>0</v>
      </c>
      <c r="R401" t="s">
        <v>46571</v>
      </c>
      <c r="S401" t="s">
        <v>46687</v>
      </c>
      <c r="T401" t="s">
        <v>48211</v>
      </c>
      <c r="U401" t="s">
        <v>49142</v>
      </c>
      <c r="W401" t="s">
        <v>42765</v>
      </c>
      <c r="X401" t="s">
        <v>46572</v>
      </c>
    </row>
    <row r="402" spans="1:24">
      <c r="A402">
        <f>HYPERLINK("https://www.philgeps.gov.ph/GEPSNONPILOT/Tender/SplashBidNoticeAbstractUI.aspx?menuIndex=3&amp;refID=7064788&amp;Result=3","7064788")</f>
        <v>0</v>
      </c>
      <c r="B402" t="s">
        <v>202</v>
      </c>
      <c r="C402" t="s">
        <v>3922</v>
      </c>
      <c r="D402" t="s">
        <v>18805</v>
      </c>
      <c r="E402" t="s">
        <v>19269</v>
      </c>
      <c r="F402" t="s">
        <v>32664</v>
      </c>
      <c r="G402" t="s">
        <v>32675</v>
      </c>
      <c r="H402" t="s">
        <v>12635</v>
      </c>
      <c r="I402" t="s">
        <v>8730</v>
      </c>
      <c r="J402" t="s">
        <v>33154</v>
      </c>
      <c r="K402" t="s">
        <v>42332</v>
      </c>
      <c r="M402" t="s">
        <v>42766</v>
      </c>
      <c r="N402" t="s">
        <v>46569</v>
      </c>
      <c r="O402" t="s">
        <v>46570</v>
      </c>
      <c r="P402">
        <v>0</v>
      </c>
      <c r="Q402">
        <v>0</v>
      </c>
      <c r="R402" t="s">
        <v>46571</v>
      </c>
      <c r="S402" t="s">
        <v>46687</v>
      </c>
      <c r="T402" t="s">
        <v>48256</v>
      </c>
      <c r="U402" t="s">
        <v>49143</v>
      </c>
      <c r="W402" t="s">
        <v>42766</v>
      </c>
      <c r="X402" t="s">
        <v>46572</v>
      </c>
    </row>
    <row r="403" spans="1:24">
      <c r="A403">
        <f>HYPERLINK("https://www.philgeps.gov.ph/GEPSNONPILOT/Tender/SplashBidNoticeAbstractUI.aspx?menuIndex=3&amp;refID=7064750&amp;Result=3","7064750")</f>
        <v>0</v>
      </c>
      <c r="B403" t="s">
        <v>203</v>
      </c>
      <c r="C403" t="s">
        <v>3923</v>
      </c>
      <c r="D403" t="s">
        <v>18842</v>
      </c>
      <c r="E403" t="s">
        <v>19270</v>
      </c>
      <c r="F403" t="s">
        <v>32664</v>
      </c>
      <c r="G403" t="s">
        <v>32671</v>
      </c>
      <c r="H403" t="s">
        <v>32682</v>
      </c>
      <c r="I403" t="s">
        <v>6553</v>
      </c>
      <c r="J403" t="s">
        <v>33155</v>
      </c>
      <c r="K403" t="s">
        <v>42298</v>
      </c>
      <c r="M403" t="s">
        <v>42767</v>
      </c>
      <c r="N403" t="s">
        <v>46569</v>
      </c>
      <c r="O403" t="s">
        <v>46570</v>
      </c>
      <c r="P403">
        <v>0</v>
      </c>
      <c r="Q403">
        <v>0</v>
      </c>
      <c r="R403" t="s">
        <v>46571</v>
      </c>
      <c r="S403" t="s">
        <v>46687</v>
      </c>
      <c r="T403" t="s">
        <v>48285</v>
      </c>
      <c r="U403" t="s">
        <v>49144</v>
      </c>
      <c r="V403" t="s">
        <v>50334</v>
      </c>
      <c r="W403" t="s">
        <v>42767</v>
      </c>
      <c r="X403" t="s">
        <v>46572</v>
      </c>
    </row>
    <row r="404" spans="1:24">
      <c r="A404">
        <f>HYPERLINK("https://www.philgeps.gov.ph/GEPSNONPILOT/Tender/SplashBidNoticeAbstractUI.aspx?menuIndex=3&amp;refID=7064745&amp;Result=3","7064745")</f>
        <v>0</v>
      </c>
      <c r="B404" t="s">
        <v>204</v>
      </c>
      <c r="C404" t="s">
        <v>3924</v>
      </c>
      <c r="D404" t="s">
        <v>18816</v>
      </c>
      <c r="E404" t="s">
        <v>19271</v>
      </c>
      <c r="F404" t="s">
        <v>32664</v>
      </c>
      <c r="G404" t="s">
        <v>32674</v>
      </c>
      <c r="H404" t="s">
        <v>12635</v>
      </c>
      <c r="I404" t="s">
        <v>6223</v>
      </c>
      <c r="J404" t="s">
        <v>33156</v>
      </c>
      <c r="K404" t="s">
        <v>42284</v>
      </c>
      <c r="M404" t="s">
        <v>42768</v>
      </c>
      <c r="N404" t="s">
        <v>46569</v>
      </c>
      <c r="O404" t="s">
        <v>46570</v>
      </c>
      <c r="P404">
        <v>0</v>
      </c>
      <c r="Q404">
        <v>0</v>
      </c>
      <c r="R404" t="s">
        <v>46571</v>
      </c>
      <c r="S404" t="s">
        <v>46687</v>
      </c>
      <c r="T404" t="s">
        <v>48256</v>
      </c>
      <c r="U404" t="s">
        <v>49145</v>
      </c>
      <c r="W404" t="s">
        <v>42768</v>
      </c>
      <c r="X404" t="s">
        <v>46572</v>
      </c>
    </row>
    <row r="405" spans="1:24">
      <c r="A405">
        <f>HYPERLINK("https://www.philgeps.gov.ph/GEPSNONPILOT/Tender/SplashBidNoticeAbstractUI.aspx?menuIndex=3&amp;refID=7064781&amp;Result=3","7064781")</f>
        <v>0</v>
      </c>
      <c r="B405" t="s">
        <v>205</v>
      </c>
      <c r="C405" t="s">
        <v>3925</v>
      </c>
      <c r="D405" t="s">
        <v>18831</v>
      </c>
      <c r="E405" t="s">
        <v>19272</v>
      </c>
      <c r="F405" t="s">
        <v>32664</v>
      </c>
      <c r="G405" t="s">
        <v>32672</v>
      </c>
      <c r="H405" t="s">
        <v>32683</v>
      </c>
      <c r="I405" t="s">
        <v>10627</v>
      </c>
      <c r="J405" t="s">
        <v>33157</v>
      </c>
      <c r="K405" t="s">
        <v>42303</v>
      </c>
      <c r="M405" t="s">
        <v>42769</v>
      </c>
      <c r="N405" t="s">
        <v>46569</v>
      </c>
      <c r="O405" t="s">
        <v>46570</v>
      </c>
      <c r="P405">
        <v>0</v>
      </c>
      <c r="Q405">
        <v>0</v>
      </c>
      <c r="R405" t="s">
        <v>46571</v>
      </c>
      <c r="S405" t="s">
        <v>46687</v>
      </c>
      <c r="T405" t="s">
        <v>48297</v>
      </c>
      <c r="U405" t="s">
        <v>49146</v>
      </c>
      <c r="W405" t="s">
        <v>42769</v>
      </c>
      <c r="X405" t="s">
        <v>46572</v>
      </c>
    </row>
    <row r="406" spans="1:24">
      <c r="A406">
        <f>HYPERLINK("https://www.philgeps.gov.ph/GEPSNONPILOT/Tender/SplashBidNoticeAbstractUI.aspx?menuIndex=3&amp;refID=7064748&amp;Result=3","7064748")</f>
        <v>0</v>
      </c>
      <c r="B406" t="s">
        <v>176</v>
      </c>
      <c r="C406" t="s">
        <v>3905</v>
      </c>
      <c r="D406" t="s">
        <v>18827</v>
      </c>
      <c r="E406" t="s">
        <v>19273</v>
      </c>
      <c r="F406" t="s">
        <v>32664</v>
      </c>
      <c r="G406" t="s">
        <v>32671</v>
      </c>
      <c r="H406" t="s">
        <v>12635</v>
      </c>
      <c r="I406" t="s">
        <v>8797</v>
      </c>
      <c r="J406" t="s">
        <v>33158</v>
      </c>
      <c r="K406" t="s">
        <v>42295</v>
      </c>
      <c r="M406" t="s">
        <v>42740</v>
      </c>
      <c r="N406" t="s">
        <v>46569</v>
      </c>
      <c r="O406" t="s">
        <v>46570</v>
      </c>
      <c r="P406">
        <v>0</v>
      </c>
      <c r="Q406">
        <v>2</v>
      </c>
      <c r="R406" t="s">
        <v>46571</v>
      </c>
      <c r="S406" t="s">
        <v>46687</v>
      </c>
      <c r="T406" t="s">
        <v>48286</v>
      </c>
      <c r="U406" t="s">
        <v>49147</v>
      </c>
      <c r="W406" t="s">
        <v>42740</v>
      </c>
      <c r="X406" t="s">
        <v>46572</v>
      </c>
    </row>
    <row r="407" spans="1:24">
      <c r="A407">
        <f>HYPERLINK("https://www.philgeps.gov.ph/GEPSNONPILOT/Tender/SplashBidNoticeAbstractUI.aspx?menuIndex=3&amp;refID=7064779&amp;Result=3","7064779")</f>
        <v>0</v>
      </c>
      <c r="B407" t="s">
        <v>178</v>
      </c>
      <c r="C407" t="s">
        <v>3926</v>
      </c>
      <c r="D407" t="s">
        <v>18839</v>
      </c>
      <c r="E407" t="s">
        <v>19274</v>
      </c>
      <c r="F407" t="s">
        <v>32664</v>
      </c>
      <c r="G407" t="s">
        <v>32671</v>
      </c>
      <c r="H407" t="s">
        <v>12635</v>
      </c>
      <c r="I407" t="s">
        <v>4997</v>
      </c>
      <c r="J407" t="s">
        <v>33159</v>
      </c>
      <c r="K407" t="s">
        <v>42281</v>
      </c>
      <c r="M407" t="s">
        <v>42742</v>
      </c>
      <c r="N407" t="s">
        <v>46569</v>
      </c>
      <c r="O407" t="s">
        <v>46570</v>
      </c>
      <c r="P407">
        <v>0</v>
      </c>
      <c r="Q407">
        <v>3</v>
      </c>
      <c r="R407" t="s">
        <v>46571</v>
      </c>
      <c r="S407" t="s">
        <v>46687</v>
      </c>
      <c r="T407" t="s">
        <v>48246</v>
      </c>
      <c r="U407" t="s">
        <v>49148</v>
      </c>
      <c r="V407" t="s">
        <v>61663</v>
      </c>
      <c r="W407" t="s">
        <v>42742</v>
      </c>
      <c r="X407" t="s">
        <v>46572</v>
      </c>
    </row>
    <row r="408" spans="1:24">
      <c r="A408">
        <f>HYPERLINK("https://www.philgeps.gov.ph/GEPSNONPILOT/Tender/SplashBidNoticeAbstractUI.aspx?menuIndex=3&amp;refID=7064778&amp;Result=3","7064778")</f>
        <v>0</v>
      </c>
      <c r="B408" t="s">
        <v>162</v>
      </c>
      <c r="C408" t="s">
        <v>3927</v>
      </c>
      <c r="D408" t="s">
        <v>18788</v>
      </c>
      <c r="E408" t="s">
        <v>19275</v>
      </c>
      <c r="F408" t="s">
        <v>32664</v>
      </c>
      <c r="G408" t="s">
        <v>32672</v>
      </c>
      <c r="H408" t="s">
        <v>12635</v>
      </c>
      <c r="I408" t="s">
        <v>6223</v>
      </c>
      <c r="J408" t="s">
        <v>33160</v>
      </c>
      <c r="K408" t="s">
        <v>42289</v>
      </c>
      <c r="M408" t="s">
        <v>42726</v>
      </c>
      <c r="N408" t="s">
        <v>46569</v>
      </c>
      <c r="O408" t="s">
        <v>46570</v>
      </c>
      <c r="P408">
        <v>0</v>
      </c>
      <c r="Q408">
        <v>0</v>
      </c>
      <c r="R408" t="s">
        <v>46571</v>
      </c>
      <c r="S408" t="s">
        <v>46687</v>
      </c>
      <c r="T408" t="s">
        <v>48236</v>
      </c>
      <c r="U408" t="s">
        <v>49149</v>
      </c>
      <c r="W408" t="s">
        <v>42726</v>
      </c>
      <c r="X408" t="s">
        <v>46572</v>
      </c>
    </row>
    <row r="409" spans="1:24">
      <c r="A409">
        <f>HYPERLINK("https://www.philgeps.gov.ph/GEPSNONPILOT/Tender/SplashBidNoticeAbstractUI.aspx?menuIndex=3&amp;refID=7064776&amp;Result=3","7064776")</f>
        <v>0</v>
      </c>
      <c r="B409" t="s">
        <v>135</v>
      </c>
      <c r="C409" t="s">
        <v>3928</v>
      </c>
      <c r="D409" t="s">
        <v>18807</v>
      </c>
      <c r="E409" t="s">
        <v>19276</v>
      </c>
      <c r="F409" t="s">
        <v>32664</v>
      </c>
      <c r="G409" t="s">
        <v>32672</v>
      </c>
      <c r="H409" t="s">
        <v>12635</v>
      </c>
      <c r="I409" t="s">
        <v>32685</v>
      </c>
      <c r="J409" t="s">
        <v>33161</v>
      </c>
      <c r="K409" t="s">
        <v>42281</v>
      </c>
      <c r="M409" t="s">
        <v>42699</v>
      </c>
      <c r="N409" t="s">
        <v>46569</v>
      </c>
      <c r="O409" t="s">
        <v>46570</v>
      </c>
      <c r="P409">
        <v>0</v>
      </c>
      <c r="Q409">
        <v>0</v>
      </c>
      <c r="R409" t="s">
        <v>46571</v>
      </c>
      <c r="S409" t="s">
        <v>46687</v>
      </c>
      <c r="T409" t="s">
        <v>48226</v>
      </c>
      <c r="U409" t="s">
        <v>49052</v>
      </c>
      <c r="V409" t="s">
        <v>61650</v>
      </c>
      <c r="W409" t="s">
        <v>42699</v>
      </c>
      <c r="X409" t="s">
        <v>46572</v>
      </c>
    </row>
    <row r="410" spans="1:24">
      <c r="A410">
        <f>HYPERLINK("https://www.philgeps.gov.ph/GEPSNONPILOT/Tender/SplashBidNoticeAbstractUI.aspx?menuIndex=3&amp;refID=7064780&amp;Result=3","7064780")</f>
        <v>0</v>
      </c>
      <c r="B410" t="s">
        <v>206</v>
      </c>
      <c r="C410" t="s">
        <v>3929</v>
      </c>
      <c r="D410" t="s">
        <v>18789</v>
      </c>
      <c r="E410" t="s">
        <v>19277</v>
      </c>
      <c r="F410" t="s">
        <v>32664</v>
      </c>
      <c r="G410" t="s">
        <v>32674</v>
      </c>
      <c r="H410" t="s">
        <v>12635</v>
      </c>
      <c r="I410" t="s">
        <v>6223</v>
      </c>
      <c r="J410" t="s">
        <v>33162</v>
      </c>
      <c r="K410" t="s">
        <v>42284</v>
      </c>
      <c r="M410" t="s">
        <v>42770</v>
      </c>
      <c r="N410" t="s">
        <v>46569</v>
      </c>
      <c r="O410" t="s">
        <v>46570</v>
      </c>
      <c r="P410">
        <v>0</v>
      </c>
      <c r="Q410">
        <v>0</v>
      </c>
      <c r="R410" t="s">
        <v>46571</v>
      </c>
      <c r="S410" t="s">
        <v>46687</v>
      </c>
      <c r="T410" t="s">
        <v>48217</v>
      </c>
      <c r="U410" t="s">
        <v>49150</v>
      </c>
      <c r="W410" t="s">
        <v>42770</v>
      </c>
      <c r="X410" t="s">
        <v>46572</v>
      </c>
    </row>
    <row r="411" spans="1:24">
      <c r="A411">
        <f>HYPERLINK("https://www.philgeps.gov.ph/GEPSNONPILOT/Tender/SplashBidNoticeAbstractUI.aspx?menuIndex=3&amp;refID=7064774&amp;Result=3","7064774")</f>
        <v>0</v>
      </c>
      <c r="B411" t="s">
        <v>152</v>
      </c>
      <c r="C411" t="s">
        <v>3930</v>
      </c>
      <c r="D411" t="s">
        <v>18813</v>
      </c>
      <c r="E411" t="s">
        <v>19278</v>
      </c>
      <c r="F411" t="s">
        <v>32664</v>
      </c>
      <c r="G411" t="s">
        <v>32672</v>
      </c>
      <c r="H411" t="s">
        <v>12635</v>
      </c>
      <c r="I411" t="s">
        <v>4439</v>
      </c>
      <c r="J411" t="s">
        <v>33134</v>
      </c>
      <c r="K411" t="s">
        <v>42281</v>
      </c>
      <c r="M411" t="s">
        <v>42716</v>
      </c>
      <c r="N411" t="s">
        <v>46569</v>
      </c>
      <c r="O411" t="s">
        <v>46570</v>
      </c>
      <c r="P411">
        <v>0</v>
      </c>
      <c r="Q411">
        <v>0</v>
      </c>
      <c r="R411" t="s">
        <v>46571</v>
      </c>
      <c r="S411" t="s">
        <v>46687</v>
      </c>
      <c r="T411" t="s">
        <v>48299</v>
      </c>
      <c r="U411" t="s">
        <v>49118</v>
      </c>
      <c r="V411" t="s">
        <v>61655</v>
      </c>
      <c r="W411" t="s">
        <v>42716</v>
      </c>
      <c r="X411" t="s">
        <v>46572</v>
      </c>
    </row>
    <row r="412" spans="1:24">
      <c r="A412">
        <f>HYPERLINK("https://www.philgeps.gov.ph/GEPSNONPILOT/Tender/SplashBidNoticeAbstractUI.aspx?menuIndex=3&amp;refID=7064772&amp;Result=3","7064772")</f>
        <v>0</v>
      </c>
      <c r="B412" t="s">
        <v>207</v>
      </c>
      <c r="C412" t="s">
        <v>3931</v>
      </c>
      <c r="D412" t="s">
        <v>18839</v>
      </c>
      <c r="E412" t="s">
        <v>19279</v>
      </c>
      <c r="F412" t="s">
        <v>32664</v>
      </c>
      <c r="G412" t="s">
        <v>32675</v>
      </c>
      <c r="H412" t="s">
        <v>12635</v>
      </c>
      <c r="I412" t="s">
        <v>32697</v>
      </c>
      <c r="J412" t="s">
        <v>33015</v>
      </c>
      <c r="K412" t="s">
        <v>42284</v>
      </c>
      <c r="M412" t="s">
        <v>42771</v>
      </c>
      <c r="N412" t="s">
        <v>46569</v>
      </c>
      <c r="O412" t="s">
        <v>46570</v>
      </c>
      <c r="P412">
        <v>0</v>
      </c>
      <c r="Q412">
        <v>0</v>
      </c>
      <c r="R412" t="s">
        <v>46571</v>
      </c>
      <c r="S412" t="s">
        <v>46687</v>
      </c>
      <c r="T412" t="s">
        <v>48221</v>
      </c>
      <c r="U412" t="s">
        <v>49151</v>
      </c>
      <c r="W412" t="s">
        <v>42771</v>
      </c>
      <c r="X412" t="s">
        <v>46572</v>
      </c>
    </row>
    <row r="413" spans="1:24">
      <c r="A413">
        <f>HYPERLINK("https://www.philgeps.gov.ph/GEPSNONPILOT/Tender/SplashBidNoticeAbstractUI.aspx?menuIndex=3&amp;refID=7064777&amp;Result=3","7064777")</f>
        <v>0</v>
      </c>
      <c r="B413" t="s">
        <v>208</v>
      </c>
      <c r="C413" t="s">
        <v>3932</v>
      </c>
      <c r="D413" t="s">
        <v>18837</v>
      </c>
      <c r="E413" t="s">
        <v>19280</v>
      </c>
      <c r="F413" t="s">
        <v>32664</v>
      </c>
      <c r="G413" t="s">
        <v>32671</v>
      </c>
      <c r="H413" t="s">
        <v>12635</v>
      </c>
      <c r="I413" t="s">
        <v>9597</v>
      </c>
      <c r="J413" t="s">
        <v>33163</v>
      </c>
      <c r="K413" t="s">
        <v>42284</v>
      </c>
      <c r="M413" t="s">
        <v>42772</v>
      </c>
      <c r="N413" t="s">
        <v>46569</v>
      </c>
      <c r="O413" t="s">
        <v>46570</v>
      </c>
      <c r="P413">
        <v>0</v>
      </c>
      <c r="Q413">
        <v>1</v>
      </c>
      <c r="R413" t="s">
        <v>46571</v>
      </c>
      <c r="S413" t="s">
        <v>46687</v>
      </c>
      <c r="T413" t="s">
        <v>48245</v>
      </c>
      <c r="U413" t="s">
        <v>49152</v>
      </c>
      <c r="W413" t="s">
        <v>42772</v>
      </c>
      <c r="X413" t="s">
        <v>46572</v>
      </c>
    </row>
    <row r="414" spans="1:24">
      <c r="A414">
        <f>HYPERLINK("https://www.philgeps.gov.ph/GEPSNONPILOT/Tender/SplashBidNoticeAbstractUI.aspx?menuIndex=3&amp;refID=7064771&amp;Result=3","7064771")</f>
        <v>0</v>
      </c>
      <c r="B414" t="s">
        <v>209</v>
      </c>
      <c r="C414" t="s">
        <v>3933</v>
      </c>
      <c r="D414" t="s">
        <v>18789</v>
      </c>
      <c r="E414" t="s">
        <v>19281</v>
      </c>
      <c r="F414" t="s">
        <v>32664</v>
      </c>
      <c r="G414" t="s">
        <v>32671</v>
      </c>
      <c r="H414" t="s">
        <v>12635</v>
      </c>
      <c r="I414" t="s">
        <v>6223</v>
      </c>
      <c r="J414" t="s">
        <v>33095</v>
      </c>
      <c r="K414" t="s">
        <v>42330</v>
      </c>
      <c r="M414" t="s">
        <v>42773</v>
      </c>
      <c r="N414" t="s">
        <v>46569</v>
      </c>
      <c r="O414" t="s">
        <v>46570</v>
      </c>
      <c r="P414">
        <v>0</v>
      </c>
      <c r="Q414">
        <v>0</v>
      </c>
      <c r="R414" t="s">
        <v>46571</v>
      </c>
      <c r="S414" t="s">
        <v>46687</v>
      </c>
      <c r="T414" t="s">
        <v>48230</v>
      </c>
      <c r="U414" t="s">
        <v>49153</v>
      </c>
      <c r="W414" t="s">
        <v>42773</v>
      </c>
      <c r="X414" t="s">
        <v>46572</v>
      </c>
    </row>
    <row r="415" spans="1:24">
      <c r="A415">
        <f>HYPERLINK("https://www.philgeps.gov.ph/GEPSNONPILOT/Tender/SplashBidNoticeAbstractUI.aspx?menuIndex=3&amp;refID=7064769&amp;Result=3","7064769")</f>
        <v>0</v>
      </c>
      <c r="B415" t="s">
        <v>210</v>
      </c>
      <c r="C415" t="s">
        <v>3934</v>
      </c>
      <c r="D415" t="s">
        <v>18842</v>
      </c>
      <c r="E415" t="s">
        <v>19282</v>
      </c>
      <c r="F415" t="s">
        <v>32664</v>
      </c>
      <c r="G415" t="s">
        <v>32671</v>
      </c>
      <c r="H415" t="s">
        <v>12635</v>
      </c>
      <c r="I415" t="s">
        <v>4997</v>
      </c>
      <c r="J415" t="s">
        <v>33102</v>
      </c>
      <c r="K415" t="s">
        <v>42283</v>
      </c>
      <c r="M415" t="s">
        <v>42774</v>
      </c>
      <c r="N415" t="s">
        <v>46569</v>
      </c>
      <c r="O415" t="s">
        <v>46570</v>
      </c>
      <c r="P415">
        <v>0</v>
      </c>
      <c r="Q415">
        <v>3</v>
      </c>
      <c r="R415" t="s">
        <v>46571</v>
      </c>
      <c r="S415" t="s">
        <v>46687</v>
      </c>
      <c r="T415" t="s">
        <v>48300</v>
      </c>
      <c r="U415" t="s">
        <v>49154</v>
      </c>
      <c r="W415" t="s">
        <v>42774</v>
      </c>
      <c r="X415" t="s">
        <v>46572</v>
      </c>
    </row>
    <row r="416" spans="1:24">
      <c r="A416">
        <f>HYPERLINK("https://www.philgeps.gov.ph/GEPSNONPILOT/Tender/SplashBidNoticeAbstractUI.aspx?menuIndex=3&amp;refID=7064773&amp;Result=3","7064773")</f>
        <v>0</v>
      </c>
      <c r="B416" t="s">
        <v>211</v>
      </c>
      <c r="C416" t="s">
        <v>3935</v>
      </c>
      <c r="D416" t="s">
        <v>18843</v>
      </c>
      <c r="E416" t="s">
        <v>19283</v>
      </c>
      <c r="F416" t="s">
        <v>32664</v>
      </c>
      <c r="G416" t="s">
        <v>32675</v>
      </c>
      <c r="H416" t="s">
        <v>12635</v>
      </c>
      <c r="I416" t="s">
        <v>8730</v>
      </c>
      <c r="J416" t="s">
        <v>33164</v>
      </c>
      <c r="K416" t="s">
        <v>42281</v>
      </c>
      <c r="M416" t="s">
        <v>42775</v>
      </c>
      <c r="N416" t="s">
        <v>46569</v>
      </c>
      <c r="O416" t="s">
        <v>46570</v>
      </c>
      <c r="P416">
        <v>0</v>
      </c>
      <c r="Q416">
        <v>2</v>
      </c>
      <c r="R416" t="s">
        <v>46571</v>
      </c>
      <c r="S416" t="s">
        <v>46687</v>
      </c>
      <c r="T416" t="s">
        <v>48256</v>
      </c>
      <c r="U416" t="s">
        <v>49155</v>
      </c>
      <c r="W416" t="s">
        <v>42775</v>
      </c>
      <c r="X416" t="s">
        <v>46572</v>
      </c>
    </row>
    <row r="417" spans="1:24">
      <c r="A417">
        <f>HYPERLINK("https://www.philgeps.gov.ph/GEPSNONPILOT/Tender/SplashBidNoticeAbstractUI.aspx?menuIndex=3&amp;refID=7064766&amp;Result=3","7064766")</f>
        <v>0</v>
      </c>
      <c r="B417" t="s">
        <v>189</v>
      </c>
      <c r="C417" t="s">
        <v>3936</v>
      </c>
      <c r="E417" t="s">
        <v>19284</v>
      </c>
      <c r="F417" t="s">
        <v>32664</v>
      </c>
      <c r="G417" t="s">
        <v>32671</v>
      </c>
      <c r="H417" t="s">
        <v>12635</v>
      </c>
      <c r="I417" t="s">
        <v>32699</v>
      </c>
      <c r="J417" t="s">
        <v>33165</v>
      </c>
      <c r="K417" t="s">
        <v>42297</v>
      </c>
      <c r="M417" t="s">
        <v>42753</v>
      </c>
      <c r="N417" t="s">
        <v>46569</v>
      </c>
      <c r="O417" t="s">
        <v>46570</v>
      </c>
      <c r="P417">
        <v>0</v>
      </c>
      <c r="Q417">
        <v>0</v>
      </c>
      <c r="R417" t="s">
        <v>46571</v>
      </c>
      <c r="S417" t="s">
        <v>46687</v>
      </c>
      <c r="T417" t="s">
        <v>48296</v>
      </c>
      <c r="U417" t="s">
        <v>49156</v>
      </c>
      <c r="W417" t="s">
        <v>42753</v>
      </c>
      <c r="X417" t="s">
        <v>46572</v>
      </c>
    </row>
    <row r="418" spans="1:24">
      <c r="A418">
        <f>HYPERLINK("https://www.philgeps.gov.ph/GEPSNONPILOT/Tender/SplashBidNoticeAbstractUI.aspx?menuIndex=3&amp;refID=7064765&amp;Result=3","7064765")</f>
        <v>0</v>
      </c>
      <c r="B418" t="s">
        <v>212</v>
      </c>
      <c r="C418" t="s">
        <v>3937</v>
      </c>
      <c r="D418" t="s">
        <v>18844</v>
      </c>
      <c r="E418" t="s">
        <v>19285</v>
      </c>
      <c r="F418" t="s">
        <v>32664</v>
      </c>
      <c r="G418" t="s">
        <v>32671</v>
      </c>
      <c r="H418" t="s">
        <v>12635</v>
      </c>
      <c r="I418" t="s">
        <v>4439</v>
      </c>
      <c r="J418" t="s">
        <v>33051</v>
      </c>
      <c r="K418" t="s">
        <v>42289</v>
      </c>
      <c r="M418" t="s">
        <v>42776</v>
      </c>
      <c r="N418" t="s">
        <v>46569</v>
      </c>
      <c r="O418" t="s">
        <v>46570</v>
      </c>
      <c r="P418">
        <v>0</v>
      </c>
      <c r="Q418">
        <v>0</v>
      </c>
      <c r="R418" t="s">
        <v>46571</v>
      </c>
      <c r="S418" t="s">
        <v>46687</v>
      </c>
      <c r="T418" t="s">
        <v>48301</v>
      </c>
      <c r="U418" t="s">
        <v>49157</v>
      </c>
      <c r="V418" t="s">
        <v>61668</v>
      </c>
      <c r="W418" t="s">
        <v>42776</v>
      </c>
      <c r="X418" t="s">
        <v>46572</v>
      </c>
    </row>
    <row r="419" spans="1:24">
      <c r="A419">
        <f>HYPERLINK("https://www.philgeps.gov.ph/GEPSNONPILOT/Tender/SplashBidNoticeAbstractUI.aspx?menuIndex=3&amp;refID=7064775&amp;Result=3","7064775")</f>
        <v>0</v>
      </c>
      <c r="B419" t="s">
        <v>213</v>
      </c>
      <c r="C419" t="s">
        <v>3938</v>
      </c>
      <c r="D419" t="s">
        <v>18787</v>
      </c>
      <c r="E419" t="s">
        <v>19286</v>
      </c>
      <c r="F419" t="s">
        <v>32664</v>
      </c>
      <c r="G419" t="s">
        <v>32672</v>
      </c>
      <c r="H419" t="s">
        <v>32683</v>
      </c>
      <c r="I419" t="s">
        <v>10627</v>
      </c>
      <c r="J419" t="s">
        <v>32981</v>
      </c>
      <c r="K419" t="s">
        <v>42283</v>
      </c>
      <c r="M419" t="s">
        <v>42777</v>
      </c>
      <c r="N419" t="s">
        <v>46569</v>
      </c>
      <c r="O419" t="s">
        <v>46570</v>
      </c>
      <c r="P419">
        <v>0</v>
      </c>
      <c r="Q419">
        <v>0</v>
      </c>
      <c r="R419" t="s">
        <v>46571</v>
      </c>
      <c r="S419" t="s">
        <v>46687</v>
      </c>
      <c r="T419" t="s">
        <v>48302</v>
      </c>
      <c r="U419" t="s">
        <v>49158</v>
      </c>
      <c r="W419" t="s">
        <v>42777</v>
      </c>
      <c r="X419" t="s">
        <v>46572</v>
      </c>
    </row>
    <row r="420" spans="1:24">
      <c r="A420">
        <f>HYPERLINK("https://www.philgeps.gov.ph/GEPSNONPILOT/Tender/SplashBidNoticeAbstractUI.aspx?menuIndex=3&amp;refID=7064764&amp;Result=3","7064764")</f>
        <v>0</v>
      </c>
      <c r="B420" t="s">
        <v>135</v>
      </c>
      <c r="C420" t="s">
        <v>3939</v>
      </c>
      <c r="D420" t="s">
        <v>18807</v>
      </c>
      <c r="E420" t="s">
        <v>19287</v>
      </c>
      <c r="F420" t="s">
        <v>32664</v>
      </c>
      <c r="G420" t="s">
        <v>32672</v>
      </c>
      <c r="H420" t="s">
        <v>12635</v>
      </c>
      <c r="I420" t="s">
        <v>32685</v>
      </c>
      <c r="J420" t="s">
        <v>33166</v>
      </c>
      <c r="K420" t="s">
        <v>42281</v>
      </c>
      <c r="M420" t="s">
        <v>42699</v>
      </c>
      <c r="N420" t="s">
        <v>46569</v>
      </c>
      <c r="O420" t="s">
        <v>46570</v>
      </c>
      <c r="P420">
        <v>0</v>
      </c>
      <c r="Q420">
        <v>0</v>
      </c>
      <c r="R420" t="s">
        <v>46571</v>
      </c>
      <c r="S420" t="s">
        <v>46687</v>
      </c>
      <c r="T420" t="s">
        <v>48226</v>
      </c>
      <c r="U420" t="s">
        <v>49052</v>
      </c>
      <c r="V420" t="s">
        <v>61650</v>
      </c>
      <c r="W420" t="s">
        <v>42699</v>
      </c>
      <c r="X420" t="s">
        <v>46572</v>
      </c>
    </row>
    <row r="421" spans="1:24">
      <c r="A421">
        <f>HYPERLINK("https://www.philgeps.gov.ph/GEPSNONPILOT/Tender/SplashBidNoticeAbstractUI.aspx?menuIndex=3&amp;refID=7064810&amp;Result=3","7064810")</f>
        <v>0</v>
      </c>
      <c r="B421" t="s">
        <v>214</v>
      </c>
      <c r="C421" t="s">
        <v>3940</v>
      </c>
      <c r="D421" t="s">
        <v>18804</v>
      </c>
      <c r="E421" t="s">
        <v>19288</v>
      </c>
      <c r="F421" t="s">
        <v>32664</v>
      </c>
      <c r="G421" t="s">
        <v>32672</v>
      </c>
      <c r="H421" t="s">
        <v>12635</v>
      </c>
      <c r="I421" t="s">
        <v>32716</v>
      </c>
      <c r="J421" t="s">
        <v>33167</v>
      </c>
      <c r="K421" t="s">
        <v>42297</v>
      </c>
      <c r="M421" t="s">
        <v>42778</v>
      </c>
      <c r="N421" t="s">
        <v>46569</v>
      </c>
      <c r="O421" t="s">
        <v>46570</v>
      </c>
      <c r="P421">
        <v>0</v>
      </c>
      <c r="Q421">
        <v>0</v>
      </c>
      <c r="R421" t="s">
        <v>46571</v>
      </c>
      <c r="S421" t="s">
        <v>46687</v>
      </c>
      <c r="T421" t="s">
        <v>48303</v>
      </c>
      <c r="U421" t="s">
        <v>49159</v>
      </c>
      <c r="W421" t="s">
        <v>42778</v>
      </c>
      <c r="X421" t="s">
        <v>46572</v>
      </c>
    </row>
    <row r="422" spans="1:24">
      <c r="A422">
        <f>HYPERLINK("https://www.philgeps.gov.ph/GEPSNONPILOT/Tender/SplashBidNoticeAbstractUI.aspx?menuIndex=3&amp;refID=7064815&amp;Result=3","7064815")</f>
        <v>0</v>
      </c>
      <c r="B422" t="s">
        <v>215</v>
      </c>
      <c r="C422" t="s">
        <v>3941</v>
      </c>
      <c r="D422" t="s">
        <v>18837</v>
      </c>
      <c r="E422" t="s">
        <v>19289</v>
      </c>
      <c r="F422" t="s">
        <v>32664</v>
      </c>
      <c r="G422" t="s">
        <v>32671</v>
      </c>
      <c r="H422" t="s">
        <v>12635</v>
      </c>
      <c r="I422" t="s">
        <v>9597</v>
      </c>
      <c r="J422" t="s">
        <v>33168</v>
      </c>
      <c r="K422" t="s">
        <v>42289</v>
      </c>
      <c r="M422" t="s">
        <v>42779</v>
      </c>
      <c r="N422" t="s">
        <v>46569</v>
      </c>
      <c r="O422" t="s">
        <v>46570</v>
      </c>
      <c r="P422">
        <v>0</v>
      </c>
      <c r="Q422">
        <v>1</v>
      </c>
      <c r="R422" t="s">
        <v>46571</v>
      </c>
      <c r="S422" t="s">
        <v>46687</v>
      </c>
      <c r="T422" t="s">
        <v>48304</v>
      </c>
      <c r="U422" t="s">
        <v>49160</v>
      </c>
      <c r="W422" t="s">
        <v>42779</v>
      </c>
      <c r="X422" t="s">
        <v>46572</v>
      </c>
    </row>
    <row r="423" spans="1:24">
      <c r="A423">
        <f>HYPERLINK("https://www.philgeps.gov.ph/GEPSNONPILOT/Tender/SplashBidNoticeAbstractUI.aspx?menuIndex=3&amp;refID=7064754&amp;Result=3","7064754")</f>
        <v>0</v>
      </c>
      <c r="B423" t="s">
        <v>216</v>
      </c>
      <c r="C423" t="s">
        <v>3942</v>
      </c>
      <c r="D423" t="s">
        <v>18797</v>
      </c>
      <c r="E423" t="s">
        <v>19290</v>
      </c>
      <c r="F423" t="s">
        <v>32664</v>
      </c>
      <c r="G423" t="s">
        <v>32671</v>
      </c>
      <c r="H423" t="s">
        <v>32683</v>
      </c>
      <c r="I423" t="s">
        <v>10627</v>
      </c>
      <c r="J423" t="s">
        <v>33169</v>
      </c>
      <c r="K423" t="s">
        <v>42309</v>
      </c>
      <c r="M423" t="s">
        <v>42780</v>
      </c>
      <c r="N423" t="s">
        <v>46569</v>
      </c>
      <c r="O423" t="s">
        <v>46570</v>
      </c>
      <c r="P423">
        <v>0</v>
      </c>
      <c r="Q423">
        <v>0</v>
      </c>
      <c r="R423" t="s">
        <v>46571</v>
      </c>
      <c r="S423" t="s">
        <v>46687</v>
      </c>
      <c r="T423" t="s">
        <v>48305</v>
      </c>
      <c r="U423" t="s">
        <v>49161</v>
      </c>
      <c r="V423" t="s">
        <v>61669</v>
      </c>
      <c r="W423" t="s">
        <v>42780</v>
      </c>
      <c r="X423" t="s">
        <v>46572</v>
      </c>
    </row>
    <row r="424" spans="1:24">
      <c r="A424">
        <f>HYPERLINK("https://www.philgeps.gov.ph/GEPSNONPILOT/Tender/SplashBidNoticeAbstractUI.aspx?menuIndex=3&amp;refID=7064814&amp;Result=3","7064814")</f>
        <v>0</v>
      </c>
      <c r="B424" t="s">
        <v>162</v>
      </c>
      <c r="C424" t="s">
        <v>3943</v>
      </c>
      <c r="D424" t="s">
        <v>18788</v>
      </c>
      <c r="E424" t="s">
        <v>19291</v>
      </c>
      <c r="F424" t="s">
        <v>32664</v>
      </c>
      <c r="G424" t="s">
        <v>32672</v>
      </c>
      <c r="H424" t="s">
        <v>12635</v>
      </c>
      <c r="I424" t="s">
        <v>6223</v>
      </c>
      <c r="J424" t="s">
        <v>33170</v>
      </c>
      <c r="K424" t="s">
        <v>42289</v>
      </c>
      <c r="M424" t="s">
        <v>42726</v>
      </c>
      <c r="N424" t="s">
        <v>46569</v>
      </c>
      <c r="O424" t="s">
        <v>46570</v>
      </c>
      <c r="P424">
        <v>0</v>
      </c>
      <c r="Q424">
        <v>0</v>
      </c>
      <c r="R424" t="s">
        <v>46571</v>
      </c>
      <c r="S424" t="s">
        <v>46687</v>
      </c>
      <c r="T424" t="s">
        <v>48236</v>
      </c>
      <c r="U424" t="s">
        <v>49162</v>
      </c>
      <c r="W424" t="s">
        <v>42726</v>
      </c>
      <c r="X424" t="s">
        <v>46572</v>
      </c>
    </row>
    <row r="425" spans="1:24">
      <c r="A425">
        <f>HYPERLINK("https://www.philgeps.gov.ph/GEPSNONPILOT/Tender/SplashBidNoticeAbstractUI.aspx?menuIndex=3&amp;refID=7064813&amp;Result=3","7064813")</f>
        <v>0</v>
      </c>
      <c r="B425" t="s">
        <v>217</v>
      </c>
      <c r="C425" t="s">
        <v>3944</v>
      </c>
      <c r="D425" t="s">
        <v>18817</v>
      </c>
      <c r="E425" t="s">
        <v>19292</v>
      </c>
      <c r="F425" t="s">
        <v>32664</v>
      </c>
      <c r="G425" t="s">
        <v>32672</v>
      </c>
      <c r="H425" t="s">
        <v>12635</v>
      </c>
      <c r="I425" t="s">
        <v>9946</v>
      </c>
      <c r="J425" t="s">
        <v>33171</v>
      </c>
      <c r="K425" t="s">
        <v>42333</v>
      </c>
      <c r="M425" t="s">
        <v>42781</v>
      </c>
      <c r="N425" t="s">
        <v>46569</v>
      </c>
      <c r="O425" t="s">
        <v>46570</v>
      </c>
      <c r="P425">
        <v>0</v>
      </c>
      <c r="Q425">
        <v>0</v>
      </c>
      <c r="R425" t="s">
        <v>46571</v>
      </c>
      <c r="S425" t="s">
        <v>46687</v>
      </c>
      <c r="T425" t="s">
        <v>48270</v>
      </c>
      <c r="U425" t="s">
        <v>49163</v>
      </c>
      <c r="W425" t="s">
        <v>42781</v>
      </c>
      <c r="X425" t="s">
        <v>46572</v>
      </c>
    </row>
    <row r="426" spans="1:24">
      <c r="A426">
        <f>HYPERLINK("https://www.philgeps.gov.ph/GEPSNONPILOT/Tender/SplashBidNoticeAbstractUI.aspx?menuIndex=3&amp;refID=7064811&amp;Result=3","7064811")</f>
        <v>0</v>
      </c>
      <c r="B426" t="s">
        <v>135</v>
      </c>
      <c r="C426" t="s">
        <v>3945</v>
      </c>
      <c r="D426" t="s">
        <v>18807</v>
      </c>
      <c r="E426" t="s">
        <v>19293</v>
      </c>
      <c r="F426" t="s">
        <v>32664</v>
      </c>
      <c r="G426" t="s">
        <v>32672</v>
      </c>
      <c r="H426" t="s">
        <v>12635</v>
      </c>
      <c r="I426" t="s">
        <v>4205</v>
      </c>
      <c r="J426" t="s">
        <v>33172</v>
      </c>
      <c r="K426" t="s">
        <v>42281</v>
      </c>
      <c r="M426" t="s">
        <v>42699</v>
      </c>
      <c r="N426" t="s">
        <v>46569</v>
      </c>
      <c r="O426" t="s">
        <v>46570</v>
      </c>
      <c r="P426">
        <v>0</v>
      </c>
      <c r="Q426">
        <v>0</v>
      </c>
      <c r="R426" t="s">
        <v>46571</v>
      </c>
      <c r="S426" t="s">
        <v>46687</v>
      </c>
      <c r="T426" t="s">
        <v>48226</v>
      </c>
      <c r="U426" t="s">
        <v>49052</v>
      </c>
      <c r="V426" t="s">
        <v>61650</v>
      </c>
      <c r="W426" t="s">
        <v>42699</v>
      </c>
      <c r="X426" t="s">
        <v>46572</v>
      </c>
    </row>
    <row r="427" spans="1:24">
      <c r="A427">
        <f>HYPERLINK("https://www.philgeps.gov.ph/GEPSNONPILOT/Tender/SplashBidNoticeAbstractUI.aspx?menuIndex=3&amp;refID=7064808&amp;Result=3","7064808")</f>
        <v>0</v>
      </c>
      <c r="B427" t="s">
        <v>183</v>
      </c>
      <c r="C427" t="s">
        <v>3946</v>
      </c>
      <c r="D427" t="s">
        <v>18806</v>
      </c>
      <c r="E427" t="s">
        <v>19294</v>
      </c>
      <c r="F427" t="s">
        <v>32664</v>
      </c>
      <c r="G427" t="s">
        <v>32671</v>
      </c>
      <c r="H427" t="s">
        <v>12635</v>
      </c>
      <c r="I427" t="s">
        <v>32691</v>
      </c>
      <c r="J427" t="s">
        <v>33173</v>
      </c>
      <c r="K427" t="s">
        <v>42283</v>
      </c>
      <c r="M427" t="s">
        <v>42747</v>
      </c>
      <c r="N427" t="s">
        <v>46569</v>
      </c>
      <c r="O427" t="s">
        <v>46570</v>
      </c>
      <c r="P427">
        <v>0</v>
      </c>
      <c r="Q427">
        <v>0</v>
      </c>
      <c r="R427" t="s">
        <v>46571</v>
      </c>
      <c r="S427" t="s">
        <v>46687</v>
      </c>
      <c r="T427" t="s">
        <v>48293</v>
      </c>
      <c r="U427" t="s">
        <v>49164</v>
      </c>
      <c r="W427" t="s">
        <v>42747</v>
      </c>
      <c r="X427" t="s">
        <v>46572</v>
      </c>
    </row>
    <row r="428" spans="1:24">
      <c r="A428">
        <f>HYPERLINK("https://www.philgeps.gov.ph/GEPSNONPILOT/Tender/SplashBidNoticeAbstractUI.aspx?menuIndex=3&amp;refID=7064812&amp;Result=3","7064812")</f>
        <v>0</v>
      </c>
      <c r="B428" t="s">
        <v>218</v>
      </c>
      <c r="C428" t="s">
        <v>3947</v>
      </c>
      <c r="D428" t="s">
        <v>18792</v>
      </c>
      <c r="E428" t="s">
        <v>19295</v>
      </c>
      <c r="F428" t="s">
        <v>32664</v>
      </c>
      <c r="G428" t="s">
        <v>32671</v>
      </c>
      <c r="H428" t="s">
        <v>12635</v>
      </c>
      <c r="I428" t="s">
        <v>6223</v>
      </c>
      <c r="J428" t="s">
        <v>33174</v>
      </c>
      <c r="K428" t="s">
        <v>42281</v>
      </c>
      <c r="M428" t="s">
        <v>42782</v>
      </c>
      <c r="N428" t="s">
        <v>46569</v>
      </c>
      <c r="O428" t="s">
        <v>46570</v>
      </c>
      <c r="P428">
        <v>0</v>
      </c>
      <c r="Q428">
        <v>0</v>
      </c>
      <c r="R428" t="s">
        <v>46571</v>
      </c>
      <c r="S428" t="s">
        <v>46687</v>
      </c>
      <c r="T428" t="s">
        <v>48306</v>
      </c>
      <c r="U428" t="s">
        <v>49165</v>
      </c>
      <c r="W428" t="s">
        <v>42782</v>
      </c>
      <c r="X428" t="s">
        <v>46572</v>
      </c>
    </row>
    <row r="429" spans="1:24">
      <c r="A429">
        <f>HYPERLINK("https://www.philgeps.gov.ph/GEPSNONPILOT/Tender/SplashBidNoticeAbstractUI.aspx?menuIndex=3&amp;refID=7064804&amp;Result=3","7064804")</f>
        <v>0</v>
      </c>
      <c r="B429" t="s">
        <v>219</v>
      </c>
      <c r="C429" t="s">
        <v>3948</v>
      </c>
      <c r="D429" t="s">
        <v>18781</v>
      </c>
      <c r="E429" t="s">
        <v>19296</v>
      </c>
      <c r="F429" t="s">
        <v>32665</v>
      </c>
      <c r="G429" t="s">
        <v>32674</v>
      </c>
      <c r="H429" t="s">
        <v>12635</v>
      </c>
      <c r="I429" t="s">
        <v>8797</v>
      </c>
      <c r="J429" t="s">
        <v>33175</v>
      </c>
      <c r="K429" t="s">
        <v>42306</v>
      </c>
      <c r="M429" t="s">
        <v>42783</v>
      </c>
      <c r="N429" t="s">
        <v>46569</v>
      </c>
      <c r="O429" t="s">
        <v>46570</v>
      </c>
      <c r="P429">
        <v>0</v>
      </c>
      <c r="Q429">
        <v>0</v>
      </c>
      <c r="R429" t="s">
        <v>46571</v>
      </c>
      <c r="S429" t="s">
        <v>46687</v>
      </c>
      <c r="T429" t="s">
        <v>48307</v>
      </c>
      <c r="U429" t="s">
        <v>49166</v>
      </c>
      <c r="W429" t="s">
        <v>42783</v>
      </c>
      <c r="X429" t="s">
        <v>46572</v>
      </c>
    </row>
    <row r="430" spans="1:24">
      <c r="A430">
        <f>HYPERLINK("https://www.philgeps.gov.ph/GEPSNONPILOT/Tender/SplashBidNoticeAbstractUI.aspx?menuIndex=3&amp;refID=7064806&amp;Result=3","7064806")</f>
        <v>0</v>
      </c>
      <c r="B430" t="s">
        <v>220</v>
      </c>
      <c r="C430" t="s">
        <v>3949</v>
      </c>
      <c r="D430" t="s">
        <v>18788</v>
      </c>
      <c r="E430" t="s">
        <v>19297</v>
      </c>
      <c r="F430" t="s">
        <v>32664</v>
      </c>
      <c r="G430" t="s">
        <v>32672</v>
      </c>
      <c r="H430" t="s">
        <v>12635</v>
      </c>
      <c r="I430" t="s">
        <v>4439</v>
      </c>
      <c r="J430" t="s">
        <v>33176</v>
      </c>
      <c r="K430" t="s">
        <v>42297</v>
      </c>
      <c r="L430" t="s">
        <v>220</v>
      </c>
      <c r="M430" t="s">
        <v>42784</v>
      </c>
      <c r="N430" t="s">
        <v>46569</v>
      </c>
      <c r="O430" t="s">
        <v>46570</v>
      </c>
      <c r="P430">
        <v>0</v>
      </c>
      <c r="Q430">
        <v>0</v>
      </c>
      <c r="R430" t="s">
        <v>46571</v>
      </c>
      <c r="S430" t="s">
        <v>46687</v>
      </c>
      <c r="T430" t="s">
        <v>48308</v>
      </c>
      <c r="U430" t="s">
        <v>49167</v>
      </c>
      <c r="W430" t="s">
        <v>42784</v>
      </c>
      <c r="X430" t="s">
        <v>46572</v>
      </c>
    </row>
    <row r="431" spans="1:24">
      <c r="A431">
        <f>HYPERLINK("https://www.philgeps.gov.ph/GEPSNONPILOT/Tender/SplashBidNoticeAbstractUI.aspx?menuIndex=3&amp;refID=7064802&amp;Result=3","7064802")</f>
        <v>0</v>
      </c>
      <c r="B431" t="s">
        <v>194</v>
      </c>
      <c r="C431" t="s">
        <v>3950</v>
      </c>
      <c r="D431" t="s">
        <v>18791</v>
      </c>
      <c r="E431" t="s">
        <v>19298</v>
      </c>
      <c r="F431" t="s">
        <v>32664</v>
      </c>
      <c r="G431" t="s">
        <v>32671</v>
      </c>
      <c r="H431" t="s">
        <v>12635</v>
      </c>
      <c r="I431" t="s">
        <v>32718</v>
      </c>
      <c r="J431" t="s">
        <v>33177</v>
      </c>
      <c r="K431" t="s">
        <v>42284</v>
      </c>
      <c r="M431" t="s">
        <v>42758</v>
      </c>
      <c r="N431" t="s">
        <v>46569</v>
      </c>
      <c r="O431" t="s">
        <v>46570</v>
      </c>
      <c r="P431">
        <v>0</v>
      </c>
      <c r="Q431">
        <v>1</v>
      </c>
      <c r="R431" t="s">
        <v>46571</v>
      </c>
      <c r="S431" t="s">
        <v>46687</v>
      </c>
      <c r="T431" t="s">
        <v>48296</v>
      </c>
      <c r="U431" t="s">
        <v>49168</v>
      </c>
      <c r="W431" t="s">
        <v>42758</v>
      </c>
      <c r="X431" t="s">
        <v>46572</v>
      </c>
    </row>
    <row r="432" spans="1:24">
      <c r="A432">
        <f>HYPERLINK("https://www.philgeps.gov.ph/GEPSNONPILOT/Tender/SplashBidNoticeAbstractUI.aspx?menuIndex=3&amp;refID=7064767&amp;Result=3","7064767")</f>
        <v>0</v>
      </c>
      <c r="B432" t="s">
        <v>185</v>
      </c>
      <c r="C432" t="s">
        <v>3951</v>
      </c>
      <c r="D432" t="s">
        <v>18805</v>
      </c>
      <c r="E432" t="s">
        <v>19299</v>
      </c>
      <c r="F432" t="s">
        <v>32664</v>
      </c>
      <c r="G432" t="s">
        <v>32672</v>
      </c>
      <c r="H432" t="s">
        <v>12635</v>
      </c>
      <c r="I432" t="s">
        <v>11464</v>
      </c>
      <c r="J432" t="s">
        <v>32982</v>
      </c>
      <c r="K432" t="s">
        <v>42283</v>
      </c>
      <c r="M432" t="s">
        <v>42749</v>
      </c>
      <c r="N432" t="s">
        <v>46569</v>
      </c>
      <c r="O432" t="s">
        <v>46570</v>
      </c>
      <c r="P432">
        <v>0</v>
      </c>
      <c r="Q432">
        <v>3</v>
      </c>
      <c r="R432" t="s">
        <v>46571</v>
      </c>
      <c r="S432" t="s">
        <v>46687</v>
      </c>
      <c r="T432" t="s">
        <v>48222</v>
      </c>
      <c r="U432" t="s">
        <v>49169</v>
      </c>
      <c r="W432" t="s">
        <v>42749</v>
      </c>
      <c r="X432" t="s">
        <v>46572</v>
      </c>
    </row>
    <row r="433" spans="1:24">
      <c r="A433">
        <f>HYPERLINK("https://www.philgeps.gov.ph/GEPSNONPILOT/Tender/SplashBidNoticeAbstractUI.aspx?menuIndex=3&amp;refID=7064799&amp;Result=3","7064799")</f>
        <v>0</v>
      </c>
      <c r="B433" t="s">
        <v>135</v>
      </c>
      <c r="C433" t="s">
        <v>3952</v>
      </c>
      <c r="D433" t="s">
        <v>18807</v>
      </c>
      <c r="E433" t="s">
        <v>19300</v>
      </c>
      <c r="F433" t="s">
        <v>32664</v>
      </c>
      <c r="G433" t="s">
        <v>32672</v>
      </c>
      <c r="H433" t="s">
        <v>12635</v>
      </c>
      <c r="I433" t="s">
        <v>32685</v>
      </c>
      <c r="J433" t="s">
        <v>33178</v>
      </c>
      <c r="K433" t="s">
        <v>42281</v>
      </c>
      <c r="M433" t="s">
        <v>42699</v>
      </c>
      <c r="N433" t="s">
        <v>46569</v>
      </c>
      <c r="O433" t="s">
        <v>46570</v>
      </c>
      <c r="P433">
        <v>0</v>
      </c>
      <c r="Q433">
        <v>0</v>
      </c>
      <c r="R433" t="s">
        <v>46571</v>
      </c>
      <c r="S433" t="s">
        <v>46687</v>
      </c>
      <c r="T433" t="s">
        <v>48226</v>
      </c>
      <c r="U433" t="s">
        <v>49052</v>
      </c>
      <c r="V433" t="s">
        <v>61650</v>
      </c>
      <c r="W433" t="s">
        <v>42699</v>
      </c>
      <c r="X433" t="s">
        <v>46572</v>
      </c>
    </row>
    <row r="434" spans="1:24">
      <c r="A434">
        <f>HYPERLINK("https://www.philgeps.gov.ph/GEPSNONPILOT/Tender/SplashBidNoticeAbstractUI.aspx?menuIndex=3&amp;refID=7064797&amp;Result=3","7064797")</f>
        <v>0</v>
      </c>
      <c r="B434" t="s">
        <v>221</v>
      </c>
      <c r="C434" t="s">
        <v>3953</v>
      </c>
      <c r="D434" t="s">
        <v>18784</v>
      </c>
      <c r="E434" t="s">
        <v>19301</v>
      </c>
      <c r="F434" t="s">
        <v>32664</v>
      </c>
      <c r="G434" t="s">
        <v>32672</v>
      </c>
      <c r="H434" t="s">
        <v>32683</v>
      </c>
      <c r="I434" t="s">
        <v>10627</v>
      </c>
      <c r="J434" t="s">
        <v>33051</v>
      </c>
      <c r="K434" t="s">
        <v>42309</v>
      </c>
      <c r="L434" t="s">
        <v>221</v>
      </c>
      <c r="M434" t="s">
        <v>42785</v>
      </c>
      <c r="N434" t="s">
        <v>46569</v>
      </c>
      <c r="O434" t="s">
        <v>46570</v>
      </c>
      <c r="P434">
        <v>0</v>
      </c>
      <c r="Q434">
        <v>1</v>
      </c>
      <c r="R434" t="s">
        <v>46571</v>
      </c>
      <c r="S434" t="s">
        <v>46687</v>
      </c>
      <c r="T434" t="s">
        <v>48309</v>
      </c>
      <c r="U434" t="s">
        <v>49170</v>
      </c>
      <c r="V434" t="s">
        <v>61670</v>
      </c>
      <c r="W434" t="s">
        <v>42785</v>
      </c>
      <c r="X434" t="s">
        <v>46572</v>
      </c>
    </row>
    <row r="435" spans="1:24">
      <c r="A435">
        <f>HYPERLINK("https://www.philgeps.gov.ph/GEPSNONPILOT/Tender/SplashBidNoticeAbstractUI.aspx?menuIndex=3&amp;refID=7064768&amp;Result=3","7064768")</f>
        <v>0</v>
      </c>
      <c r="B435" t="s">
        <v>222</v>
      </c>
      <c r="C435" t="s">
        <v>3872</v>
      </c>
      <c r="D435" t="s">
        <v>18793</v>
      </c>
      <c r="E435" t="s">
        <v>19302</v>
      </c>
      <c r="F435" t="s">
        <v>32664</v>
      </c>
      <c r="G435" t="s">
        <v>32672</v>
      </c>
      <c r="H435" t="s">
        <v>32683</v>
      </c>
      <c r="I435" t="s">
        <v>10627</v>
      </c>
      <c r="J435" t="s">
        <v>32859</v>
      </c>
      <c r="K435" t="s">
        <v>42294</v>
      </c>
      <c r="M435" t="s">
        <v>42786</v>
      </c>
      <c r="N435" t="s">
        <v>46569</v>
      </c>
      <c r="O435" t="s">
        <v>46570</v>
      </c>
      <c r="P435">
        <v>0</v>
      </c>
      <c r="Q435">
        <v>0</v>
      </c>
      <c r="R435" t="s">
        <v>46571</v>
      </c>
      <c r="S435" t="s">
        <v>46687</v>
      </c>
      <c r="T435" t="s">
        <v>48225</v>
      </c>
      <c r="U435" t="s">
        <v>49171</v>
      </c>
      <c r="W435" t="s">
        <v>42786</v>
      </c>
      <c r="X435" t="s">
        <v>46572</v>
      </c>
    </row>
    <row r="436" spans="1:24">
      <c r="A436">
        <f>HYPERLINK("https://www.philgeps.gov.ph/GEPSNONPILOT/Tender/SplashBidNoticeAbstractUI.aspx?menuIndex=3&amp;refID=7064796&amp;Result=3","7064796")</f>
        <v>0</v>
      </c>
      <c r="B436" t="s">
        <v>172</v>
      </c>
      <c r="C436" t="s">
        <v>3954</v>
      </c>
      <c r="D436" t="s">
        <v>18817</v>
      </c>
      <c r="E436" t="s">
        <v>19303</v>
      </c>
      <c r="F436" t="s">
        <v>32664</v>
      </c>
      <c r="G436" t="s">
        <v>32671</v>
      </c>
      <c r="H436" t="s">
        <v>12635</v>
      </c>
      <c r="I436" t="s">
        <v>7709</v>
      </c>
      <c r="J436" t="s">
        <v>33179</v>
      </c>
      <c r="K436" t="s">
        <v>42295</v>
      </c>
      <c r="M436" t="s">
        <v>42736</v>
      </c>
      <c r="N436" t="s">
        <v>46569</v>
      </c>
      <c r="O436" t="s">
        <v>46570</v>
      </c>
      <c r="P436">
        <v>0</v>
      </c>
      <c r="Q436">
        <v>0</v>
      </c>
      <c r="R436" t="s">
        <v>46571</v>
      </c>
      <c r="S436" t="s">
        <v>46687</v>
      </c>
      <c r="T436" t="s">
        <v>48256</v>
      </c>
      <c r="U436" t="s">
        <v>49172</v>
      </c>
      <c r="W436" t="s">
        <v>42736</v>
      </c>
      <c r="X436" t="s">
        <v>46572</v>
      </c>
    </row>
    <row r="437" spans="1:24">
      <c r="A437">
        <f>HYPERLINK("https://www.philgeps.gov.ph/GEPSNONPILOT/Tender/SplashBidNoticeAbstractUI.aspx?menuIndex=3&amp;refID=7064784&amp;Result=3","7064784")</f>
        <v>0</v>
      </c>
      <c r="B437" t="s">
        <v>174</v>
      </c>
      <c r="C437" t="s">
        <v>3955</v>
      </c>
      <c r="D437" t="s">
        <v>18831</v>
      </c>
      <c r="E437" t="s">
        <v>19304</v>
      </c>
      <c r="F437" t="s">
        <v>32664</v>
      </c>
      <c r="G437" t="s">
        <v>32672</v>
      </c>
      <c r="H437" t="s">
        <v>12635</v>
      </c>
      <c r="I437" t="s">
        <v>4439</v>
      </c>
      <c r="J437" t="s">
        <v>33180</v>
      </c>
      <c r="K437" t="s">
        <v>42281</v>
      </c>
      <c r="M437" t="s">
        <v>42738</v>
      </c>
      <c r="N437" t="s">
        <v>46569</v>
      </c>
      <c r="O437" t="s">
        <v>46570</v>
      </c>
      <c r="P437">
        <v>0</v>
      </c>
      <c r="Q437">
        <v>0</v>
      </c>
      <c r="R437" t="s">
        <v>46571</v>
      </c>
      <c r="S437" t="s">
        <v>46687</v>
      </c>
      <c r="T437" t="s">
        <v>48310</v>
      </c>
      <c r="U437" t="s">
        <v>49173</v>
      </c>
      <c r="W437" t="s">
        <v>42738</v>
      </c>
      <c r="X437" t="s">
        <v>46572</v>
      </c>
    </row>
    <row r="438" spans="1:24">
      <c r="A438">
        <f>HYPERLINK("https://www.philgeps.gov.ph/GEPSNONPILOT/Tender/SplashBidNoticeAbstractUI.aspx?menuIndex=3&amp;refID=7064794&amp;Result=3","7064794")</f>
        <v>0</v>
      </c>
      <c r="B438" t="s">
        <v>203</v>
      </c>
      <c r="C438" t="s">
        <v>3956</v>
      </c>
      <c r="D438" t="s">
        <v>18842</v>
      </c>
      <c r="E438" t="s">
        <v>19305</v>
      </c>
      <c r="F438" t="s">
        <v>32664</v>
      </c>
      <c r="G438" t="s">
        <v>32671</v>
      </c>
      <c r="H438" t="s">
        <v>32683</v>
      </c>
      <c r="I438" t="s">
        <v>10627</v>
      </c>
      <c r="J438" t="s">
        <v>33181</v>
      </c>
      <c r="K438" t="s">
        <v>42281</v>
      </c>
      <c r="M438" t="s">
        <v>42767</v>
      </c>
      <c r="N438" t="s">
        <v>46569</v>
      </c>
      <c r="O438" t="s">
        <v>46570</v>
      </c>
      <c r="P438">
        <v>0</v>
      </c>
      <c r="Q438">
        <v>0</v>
      </c>
      <c r="R438" t="s">
        <v>46571</v>
      </c>
      <c r="S438" t="s">
        <v>46687</v>
      </c>
      <c r="T438" t="s">
        <v>48285</v>
      </c>
      <c r="U438" t="s">
        <v>49174</v>
      </c>
      <c r="V438" t="s">
        <v>50334</v>
      </c>
      <c r="W438" t="s">
        <v>42767</v>
      </c>
      <c r="X438" t="s">
        <v>46572</v>
      </c>
    </row>
    <row r="439" spans="1:24">
      <c r="A439">
        <f>HYPERLINK("https://www.philgeps.gov.ph/GEPSNONPILOT/Tender/SplashBidNoticeAbstractUI.aspx?menuIndex=3&amp;refID=7064800&amp;Result=3","7064800")</f>
        <v>0</v>
      </c>
      <c r="B439" t="s">
        <v>223</v>
      </c>
      <c r="C439" t="s">
        <v>3957</v>
      </c>
      <c r="D439" t="s">
        <v>18781</v>
      </c>
      <c r="E439" t="s">
        <v>19306</v>
      </c>
      <c r="F439" t="s">
        <v>32664</v>
      </c>
      <c r="G439" t="s">
        <v>32671</v>
      </c>
      <c r="H439" t="s">
        <v>32683</v>
      </c>
      <c r="I439" t="s">
        <v>4439</v>
      </c>
      <c r="J439" t="s">
        <v>33077</v>
      </c>
      <c r="K439" t="s">
        <v>42297</v>
      </c>
      <c r="M439" t="s">
        <v>42787</v>
      </c>
      <c r="N439" t="s">
        <v>46569</v>
      </c>
      <c r="O439" t="s">
        <v>46570</v>
      </c>
      <c r="P439">
        <v>0</v>
      </c>
      <c r="Q439">
        <v>1</v>
      </c>
      <c r="R439" t="s">
        <v>46571</v>
      </c>
      <c r="S439" t="s">
        <v>46687</v>
      </c>
      <c r="T439" t="s">
        <v>48221</v>
      </c>
      <c r="U439" t="s">
        <v>49175</v>
      </c>
      <c r="W439" t="s">
        <v>42787</v>
      </c>
      <c r="X439" t="s">
        <v>46572</v>
      </c>
    </row>
    <row r="440" spans="1:24">
      <c r="A440">
        <f>HYPERLINK("https://www.philgeps.gov.ph/GEPSNONPILOT/Tender/SplashBidNoticeAbstractUI.aspx?menuIndex=3&amp;refID=7064793&amp;Result=3","7064793")</f>
        <v>0</v>
      </c>
      <c r="B440" t="s">
        <v>224</v>
      </c>
      <c r="C440" t="s">
        <v>3958</v>
      </c>
      <c r="D440" t="s">
        <v>18842</v>
      </c>
      <c r="E440" t="s">
        <v>19307</v>
      </c>
      <c r="F440" t="s">
        <v>32664</v>
      </c>
      <c r="G440" t="s">
        <v>32671</v>
      </c>
      <c r="H440" t="s">
        <v>12635</v>
      </c>
      <c r="I440" t="s">
        <v>6628</v>
      </c>
      <c r="J440" t="s">
        <v>33089</v>
      </c>
      <c r="K440" t="s">
        <v>42284</v>
      </c>
      <c r="M440" t="s">
        <v>42788</v>
      </c>
      <c r="N440" t="s">
        <v>46569</v>
      </c>
      <c r="O440" t="s">
        <v>46570</v>
      </c>
      <c r="P440">
        <v>0</v>
      </c>
      <c r="Q440">
        <v>0</v>
      </c>
      <c r="R440" t="s">
        <v>46571</v>
      </c>
      <c r="S440" t="s">
        <v>46687</v>
      </c>
      <c r="T440" t="s">
        <v>48221</v>
      </c>
      <c r="U440" t="s">
        <v>49176</v>
      </c>
      <c r="W440" t="s">
        <v>42788</v>
      </c>
      <c r="X440" t="s">
        <v>46572</v>
      </c>
    </row>
    <row r="441" spans="1:24">
      <c r="A441">
        <f>HYPERLINK("https://www.philgeps.gov.ph/GEPSNONPILOT/Tender/SplashBidNoticeAbstractUI.aspx?menuIndex=3&amp;refID=7064798&amp;Result=3","7064798")</f>
        <v>0</v>
      </c>
      <c r="B441" t="s">
        <v>225</v>
      </c>
      <c r="C441" t="s">
        <v>3959</v>
      </c>
      <c r="D441" t="s">
        <v>18784</v>
      </c>
      <c r="E441" t="s">
        <v>19308</v>
      </c>
      <c r="F441" t="s">
        <v>32664</v>
      </c>
      <c r="G441" t="s">
        <v>32674</v>
      </c>
      <c r="H441" t="s">
        <v>12635</v>
      </c>
      <c r="I441" t="s">
        <v>32689</v>
      </c>
      <c r="J441" t="s">
        <v>33182</v>
      </c>
      <c r="K441" t="s">
        <v>42289</v>
      </c>
      <c r="M441" t="s">
        <v>42789</v>
      </c>
      <c r="N441" t="s">
        <v>46569</v>
      </c>
      <c r="O441" t="s">
        <v>46570</v>
      </c>
      <c r="P441">
        <v>0</v>
      </c>
      <c r="Q441">
        <v>2</v>
      </c>
      <c r="R441" t="s">
        <v>46571</v>
      </c>
      <c r="S441" t="s">
        <v>46687</v>
      </c>
      <c r="T441" t="s">
        <v>48225</v>
      </c>
      <c r="U441" t="s">
        <v>49177</v>
      </c>
      <c r="W441" t="s">
        <v>42789</v>
      </c>
      <c r="X441" t="s">
        <v>46572</v>
      </c>
    </row>
    <row r="442" spans="1:24">
      <c r="A442">
        <f>HYPERLINK("https://www.philgeps.gov.ph/GEPSNONPILOT/Tender/SplashBidNoticeAbstractUI.aspx?menuIndex=3&amp;refID=7064786&amp;Result=3","7064786")</f>
        <v>0</v>
      </c>
      <c r="B442" t="s">
        <v>194</v>
      </c>
      <c r="C442" t="s">
        <v>3960</v>
      </c>
      <c r="D442" t="s">
        <v>18791</v>
      </c>
      <c r="E442" t="s">
        <v>19309</v>
      </c>
      <c r="F442" t="s">
        <v>32664</v>
      </c>
      <c r="G442" t="s">
        <v>32671</v>
      </c>
      <c r="H442" t="s">
        <v>12635</v>
      </c>
      <c r="I442" t="s">
        <v>32699</v>
      </c>
      <c r="J442" t="s">
        <v>33183</v>
      </c>
      <c r="K442" t="s">
        <v>42284</v>
      </c>
      <c r="M442" t="s">
        <v>42758</v>
      </c>
      <c r="N442" t="s">
        <v>46569</v>
      </c>
      <c r="O442" t="s">
        <v>46570</v>
      </c>
      <c r="P442">
        <v>0</v>
      </c>
      <c r="Q442">
        <v>0</v>
      </c>
      <c r="R442" t="s">
        <v>46571</v>
      </c>
      <c r="S442" t="s">
        <v>46687</v>
      </c>
      <c r="T442" t="s">
        <v>48296</v>
      </c>
      <c r="U442" t="s">
        <v>49178</v>
      </c>
      <c r="W442" t="s">
        <v>42758</v>
      </c>
      <c r="X442" t="s">
        <v>46572</v>
      </c>
    </row>
    <row r="443" spans="1:24">
      <c r="A443">
        <f>HYPERLINK("https://www.philgeps.gov.ph/GEPSNONPILOT/Tender/SplashBidNoticeAbstractUI.aspx?menuIndex=3&amp;refID=7064740&amp;Result=3","7064740")</f>
        <v>0</v>
      </c>
      <c r="B443" t="s">
        <v>189</v>
      </c>
      <c r="C443" t="s">
        <v>3961</v>
      </c>
      <c r="E443" t="s">
        <v>19310</v>
      </c>
      <c r="F443" t="s">
        <v>32664</v>
      </c>
      <c r="G443" t="s">
        <v>32671</v>
      </c>
      <c r="H443" t="s">
        <v>12635</v>
      </c>
      <c r="I443" t="s">
        <v>32719</v>
      </c>
      <c r="J443" t="s">
        <v>33184</v>
      </c>
      <c r="K443" t="s">
        <v>42297</v>
      </c>
      <c r="M443" t="s">
        <v>42753</v>
      </c>
      <c r="N443" t="s">
        <v>46569</v>
      </c>
      <c r="O443" t="s">
        <v>46570</v>
      </c>
      <c r="P443">
        <v>0</v>
      </c>
      <c r="Q443">
        <v>0</v>
      </c>
      <c r="R443" t="s">
        <v>46571</v>
      </c>
      <c r="S443" t="s">
        <v>46687</v>
      </c>
      <c r="T443" t="s">
        <v>48296</v>
      </c>
      <c r="U443" t="s">
        <v>49179</v>
      </c>
      <c r="W443" t="s">
        <v>42753</v>
      </c>
      <c r="X443" t="s">
        <v>46572</v>
      </c>
    </row>
    <row r="444" spans="1:24">
      <c r="A444">
        <f>HYPERLINK("https://www.philgeps.gov.ph/GEPSNONPILOT/Tender/SplashBidNoticeAbstractUI.aspx?menuIndex=3&amp;refID=7064714&amp;Result=3","7064714")</f>
        <v>0</v>
      </c>
      <c r="B444" t="s">
        <v>226</v>
      </c>
      <c r="C444" t="s">
        <v>3962</v>
      </c>
      <c r="E444" t="s">
        <v>19311</v>
      </c>
      <c r="F444" t="s">
        <v>32664</v>
      </c>
      <c r="G444" t="s">
        <v>32671</v>
      </c>
      <c r="H444" t="s">
        <v>12635</v>
      </c>
      <c r="I444" t="s">
        <v>8730</v>
      </c>
      <c r="J444" t="s">
        <v>33185</v>
      </c>
      <c r="K444" t="s">
        <v>42283</v>
      </c>
      <c r="M444" t="s">
        <v>42790</v>
      </c>
      <c r="N444" t="s">
        <v>46569</v>
      </c>
      <c r="O444" t="s">
        <v>46570</v>
      </c>
      <c r="P444">
        <v>0</v>
      </c>
      <c r="Q444">
        <v>1</v>
      </c>
      <c r="R444" t="s">
        <v>46571</v>
      </c>
      <c r="S444" t="s">
        <v>46687</v>
      </c>
      <c r="T444" t="s">
        <v>48311</v>
      </c>
      <c r="U444" t="s">
        <v>49180</v>
      </c>
      <c r="V444" t="s">
        <v>61671</v>
      </c>
      <c r="W444" t="s">
        <v>42790</v>
      </c>
      <c r="X444" t="s">
        <v>46572</v>
      </c>
    </row>
    <row r="445" spans="1:24">
      <c r="A445">
        <f>HYPERLINK("https://www.philgeps.gov.ph/GEPSNONPILOT/Tender/SplashBidNoticeAbstractUI.aspx?menuIndex=3&amp;refID=7064733&amp;Result=3","7064733")</f>
        <v>0</v>
      </c>
      <c r="B445" t="s">
        <v>174</v>
      </c>
      <c r="C445" t="s">
        <v>3963</v>
      </c>
      <c r="D445" t="s">
        <v>18831</v>
      </c>
      <c r="E445" t="s">
        <v>19312</v>
      </c>
      <c r="F445" t="s">
        <v>32664</v>
      </c>
      <c r="G445" t="s">
        <v>32672</v>
      </c>
      <c r="H445" t="s">
        <v>12635</v>
      </c>
      <c r="I445" t="s">
        <v>14442</v>
      </c>
      <c r="J445" t="s">
        <v>33186</v>
      </c>
      <c r="K445" t="s">
        <v>42281</v>
      </c>
      <c r="M445" t="s">
        <v>42738</v>
      </c>
      <c r="N445" t="s">
        <v>46569</v>
      </c>
      <c r="O445" t="s">
        <v>46570</v>
      </c>
      <c r="P445">
        <v>0</v>
      </c>
      <c r="Q445">
        <v>0</v>
      </c>
      <c r="R445" t="s">
        <v>46571</v>
      </c>
      <c r="S445" t="s">
        <v>46687</v>
      </c>
      <c r="T445" t="s">
        <v>48299</v>
      </c>
      <c r="U445" t="s">
        <v>49181</v>
      </c>
      <c r="W445" t="s">
        <v>42738</v>
      </c>
      <c r="X445" t="s">
        <v>46572</v>
      </c>
    </row>
    <row r="446" spans="1:24">
      <c r="A446">
        <f>HYPERLINK("https://www.philgeps.gov.ph/GEPSNONPILOT/Tender/SplashBidNoticeAbstractUI.aspx?menuIndex=3&amp;refID=7064695&amp;Result=3","7064695")</f>
        <v>0</v>
      </c>
      <c r="B446" t="s">
        <v>138</v>
      </c>
      <c r="C446" t="s">
        <v>3964</v>
      </c>
      <c r="D446" t="s">
        <v>18792</v>
      </c>
      <c r="E446" t="s">
        <v>19313</v>
      </c>
      <c r="F446" t="s">
        <v>32664</v>
      </c>
      <c r="G446" t="s">
        <v>32671</v>
      </c>
      <c r="H446" t="s">
        <v>12635</v>
      </c>
      <c r="I446" t="s">
        <v>9486</v>
      </c>
      <c r="J446" t="s">
        <v>33187</v>
      </c>
      <c r="K446" t="s">
        <v>42297</v>
      </c>
      <c r="M446" t="s">
        <v>42702</v>
      </c>
      <c r="N446" t="s">
        <v>46569</v>
      </c>
      <c r="O446" t="s">
        <v>46570</v>
      </c>
      <c r="P446">
        <v>0</v>
      </c>
      <c r="Q446">
        <v>1</v>
      </c>
      <c r="R446" t="s">
        <v>46571</v>
      </c>
      <c r="S446" t="s">
        <v>46687</v>
      </c>
      <c r="T446" t="s">
        <v>48219</v>
      </c>
      <c r="U446" t="s">
        <v>49182</v>
      </c>
      <c r="W446" t="s">
        <v>42702</v>
      </c>
      <c r="X446" t="s">
        <v>46572</v>
      </c>
    </row>
    <row r="447" spans="1:24">
      <c r="A447">
        <f>HYPERLINK("https://www.philgeps.gov.ph/GEPSNONPILOT/Tender/SplashBidNoticeAbstractUI.aspx?menuIndex=3&amp;refID=7064694&amp;Result=3","7064694")</f>
        <v>0</v>
      </c>
      <c r="B447" t="s">
        <v>227</v>
      </c>
      <c r="C447" t="s">
        <v>3965</v>
      </c>
      <c r="D447" t="s">
        <v>18784</v>
      </c>
      <c r="E447" t="s">
        <v>19314</v>
      </c>
      <c r="F447" t="s">
        <v>32664</v>
      </c>
      <c r="G447" t="s">
        <v>32671</v>
      </c>
      <c r="H447" t="s">
        <v>12635</v>
      </c>
      <c r="I447" t="s">
        <v>10370</v>
      </c>
      <c r="J447" t="s">
        <v>33188</v>
      </c>
      <c r="K447" t="s">
        <v>42289</v>
      </c>
      <c r="M447" t="s">
        <v>42791</v>
      </c>
      <c r="N447" t="s">
        <v>46569</v>
      </c>
      <c r="O447" t="s">
        <v>46570</v>
      </c>
      <c r="P447">
        <v>0</v>
      </c>
      <c r="Q447">
        <v>6</v>
      </c>
      <c r="R447" t="s">
        <v>46571</v>
      </c>
      <c r="S447" t="s">
        <v>46687</v>
      </c>
      <c r="T447" t="s">
        <v>48256</v>
      </c>
      <c r="U447" t="s">
        <v>49183</v>
      </c>
      <c r="W447" t="s">
        <v>42791</v>
      </c>
      <c r="X447" t="s">
        <v>46572</v>
      </c>
    </row>
    <row r="448" spans="1:24">
      <c r="A448">
        <f>HYPERLINK("https://www.philgeps.gov.ph/GEPSNONPILOT/Tender/SplashBidNoticeAbstractUI.aspx?menuIndex=3&amp;refID=7064741&amp;Result=3","7064741")</f>
        <v>0</v>
      </c>
      <c r="B448" t="s">
        <v>226</v>
      </c>
      <c r="C448" t="s">
        <v>3966</v>
      </c>
      <c r="E448" t="s">
        <v>19315</v>
      </c>
      <c r="F448" t="s">
        <v>32664</v>
      </c>
      <c r="G448" t="s">
        <v>32674</v>
      </c>
      <c r="H448" t="s">
        <v>12635</v>
      </c>
      <c r="I448" t="s">
        <v>8730</v>
      </c>
      <c r="J448" t="s">
        <v>33189</v>
      </c>
      <c r="K448" t="s">
        <v>42283</v>
      </c>
      <c r="M448" t="s">
        <v>42790</v>
      </c>
      <c r="N448" t="s">
        <v>46569</v>
      </c>
      <c r="O448" t="s">
        <v>46570</v>
      </c>
      <c r="P448">
        <v>0</v>
      </c>
      <c r="Q448">
        <v>0</v>
      </c>
      <c r="R448" t="s">
        <v>46571</v>
      </c>
      <c r="S448" t="s">
        <v>46687</v>
      </c>
      <c r="T448" t="s">
        <v>48311</v>
      </c>
      <c r="U448" t="s">
        <v>49184</v>
      </c>
      <c r="V448" t="s">
        <v>61671</v>
      </c>
      <c r="W448" t="s">
        <v>42790</v>
      </c>
      <c r="X448" t="s">
        <v>46572</v>
      </c>
    </row>
    <row r="449" spans="1:24">
      <c r="A449">
        <f>HYPERLINK("https://www.philgeps.gov.ph/GEPSNONPILOT/Tender/SplashBidNoticeAbstractUI.aspx?menuIndex=3&amp;refID=7064693&amp;Result=3","7064693")</f>
        <v>0</v>
      </c>
      <c r="B449" t="s">
        <v>176</v>
      </c>
      <c r="C449" t="s">
        <v>3967</v>
      </c>
      <c r="D449" t="s">
        <v>18827</v>
      </c>
      <c r="E449" t="s">
        <v>19316</v>
      </c>
      <c r="F449" t="s">
        <v>32664</v>
      </c>
      <c r="G449" t="s">
        <v>32671</v>
      </c>
      <c r="H449" t="s">
        <v>12635</v>
      </c>
      <c r="I449" t="s">
        <v>4439</v>
      </c>
      <c r="J449" t="s">
        <v>33190</v>
      </c>
      <c r="K449" t="s">
        <v>42295</v>
      </c>
      <c r="M449" t="s">
        <v>42740</v>
      </c>
      <c r="N449" t="s">
        <v>46569</v>
      </c>
      <c r="O449" t="s">
        <v>46570</v>
      </c>
      <c r="P449">
        <v>0</v>
      </c>
      <c r="Q449">
        <v>0</v>
      </c>
      <c r="R449" t="s">
        <v>46571</v>
      </c>
      <c r="S449" t="s">
        <v>46687</v>
      </c>
      <c r="T449" t="s">
        <v>48286</v>
      </c>
      <c r="U449" t="s">
        <v>49185</v>
      </c>
      <c r="W449" t="s">
        <v>42740</v>
      </c>
      <c r="X449" t="s">
        <v>46572</v>
      </c>
    </row>
    <row r="450" spans="1:24">
      <c r="A450">
        <f>HYPERLINK("https://www.philgeps.gov.ph/GEPSNONPILOT/Tender/SplashBidNoticeAbstractUI.aspx?menuIndex=3&amp;refID=7064692&amp;Result=3","7064692")</f>
        <v>0</v>
      </c>
      <c r="B450" t="s">
        <v>228</v>
      </c>
      <c r="C450" t="s">
        <v>3968</v>
      </c>
      <c r="D450" t="s">
        <v>18805</v>
      </c>
      <c r="E450" t="s">
        <v>19317</v>
      </c>
      <c r="F450" t="s">
        <v>32664</v>
      </c>
      <c r="G450" t="s">
        <v>32671</v>
      </c>
      <c r="H450" t="s">
        <v>12635</v>
      </c>
      <c r="I450" t="s">
        <v>32689</v>
      </c>
      <c r="J450" t="s">
        <v>33191</v>
      </c>
      <c r="K450" t="s">
        <v>42284</v>
      </c>
      <c r="M450" t="s">
        <v>42792</v>
      </c>
      <c r="N450" t="s">
        <v>46569</v>
      </c>
      <c r="O450" t="s">
        <v>46570</v>
      </c>
      <c r="P450">
        <v>0</v>
      </c>
      <c r="Q450">
        <v>0</v>
      </c>
      <c r="R450" t="s">
        <v>46571</v>
      </c>
      <c r="S450" t="s">
        <v>46687</v>
      </c>
      <c r="T450" t="s">
        <v>48312</v>
      </c>
      <c r="U450" t="s">
        <v>49186</v>
      </c>
      <c r="V450" t="s">
        <v>61672</v>
      </c>
      <c r="W450" t="s">
        <v>42792</v>
      </c>
      <c r="X450" t="s">
        <v>46572</v>
      </c>
    </row>
    <row r="451" spans="1:24">
      <c r="A451">
        <f>HYPERLINK("https://www.philgeps.gov.ph/GEPSNONPILOT/Tender/SplashBidNoticeAbstractUI.aspx?menuIndex=3&amp;refID=7064689&amp;Result=3","7064689")</f>
        <v>0</v>
      </c>
      <c r="B451" t="s">
        <v>135</v>
      </c>
      <c r="C451" t="s">
        <v>3969</v>
      </c>
      <c r="D451" t="s">
        <v>18807</v>
      </c>
      <c r="E451" t="s">
        <v>19318</v>
      </c>
      <c r="F451" t="s">
        <v>32664</v>
      </c>
      <c r="G451" t="s">
        <v>32672</v>
      </c>
      <c r="H451" t="s">
        <v>12635</v>
      </c>
      <c r="I451" t="s">
        <v>4439</v>
      </c>
      <c r="J451" t="s">
        <v>33192</v>
      </c>
      <c r="K451" t="s">
        <v>42281</v>
      </c>
      <c r="M451" t="s">
        <v>42699</v>
      </c>
      <c r="N451" t="s">
        <v>46569</v>
      </c>
      <c r="O451" t="s">
        <v>46570</v>
      </c>
      <c r="P451">
        <v>0</v>
      </c>
      <c r="Q451">
        <v>0</v>
      </c>
      <c r="R451" t="s">
        <v>46571</v>
      </c>
      <c r="S451" t="s">
        <v>46687</v>
      </c>
      <c r="T451" t="s">
        <v>48226</v>
      </c>
      <c r="U451" t="s">
        <v>49052</v>
      </c>
      <c r="V451" t="s">
        <v>61650</v>
      </c>
      <c r="W451" t="s">
        <v>42699</v>
      </c>
      <c r="X451" t="s">
        <v>46572</v>
      </c>
    </row>
    <row r="452" spans="1:24">
      <c r="A452">
        <f>HYPERLINK("https://www.philgeps.gov.ph/GEPSNONPILOT/Tender/SplashBidNoticeAbstractUI.aspx?menuIndex=3&amp;refID=7064697&amp;Result=3","7064697")</f>
        <v>0</v>
      </c>
      <c r="B452" t="s">
        <v>135</v>
      </c>
      <c r="C452" t="s">
        <v>3970</v>
      </c>
      <c r="D452" t="s">
        <v>18807</v>
      </c>
      <c r="E452" t="s">
        <v>19319</v>
      </c>
      <c r="F452" t="s">
        <v>32664</v>
      </c>
      <c r="G452" t="s">
        <v>32672</v>
      </c>
      <c r="H452" t="s">
        <v>12635</v>
      </c>
      <c r="I452" t="s">
        <v>4439</v>
      </c>
      <c r="J452" t="s">
        <v>33193</v>
      </c>
      <c r="K452" t="s">
        <v>42281</v>
      </c>
      <c r="M452" t="s">
        <v>42699</v>
      </c>
      <c r="N452" t="s">
        <v>46569</v>
      </c>
      <c r="O452" t="s">
        <v>46570</v>
      </c>
      <c r="P452">
        <v>0</v>
      </c>
      <c r="Q452">
        <v>0</v>
      </c>
      <c r="R452" t="s">
        <v>46571</v>
      </c>
      <c r="S452" t="s">
        <v>46687</v>
      </c>
      <c r="T452" t="s">
        <v>48226</v>
      </c>
      <c r="U452" t="s">
        <v>49052</v>
      </c>
      <c r="V452" t="s">
        <v>61650</v>
      </c>
      <c r="W452" t="s">
        <v>42699</v>
      </c>
      <c r="X452" t="s">
        <v>46572</v>
      </c>
    </row>
    <row r="453" spans="1:24">
      <c r="A453">
        <f>HYPERLINK("https://www.philgeps.gov.ph/GEPSNONPILOT/Tender/SplashBidNoticeAbstractUI.aspx?menuIndex=3&amp;refID=7064713&amp;Result=3","7064713")</f>
        <v>0</v>
      </c>
      <c r="B453" t="s">
        <v>229</v>
      </c>
      <c r="C453" t="s">
        <v>3971</v>
      </c>
      <c r="D453" t="s">
        <v>18838</v>
      </c>
      <c r="E453" t="s">
        <v>19320</v>
      </c>
      <c r="F453" t="s">
        <v>32664</v>
      </c>
      <c r="G453" t="s">
        <v>32671</v>
      </c>
      <c r="H453" t="s">
        <v>12635</v>
      </c>
      <c r="I453" t="s">
        <v>32704</v>
      </c>
      <c r="J453" t="s">
        <v>33194</v>
      </c>
      <c r="K453" t="s">
        <v>42297</v>
      </c>
      <c r="M453" t="s">
        <v>42793</v>
      </c>
      <c r="N453" t="s">
        <v>46569</v>
      </c>
      <c r="O453" t="s">
        <v>46570</v>
      </c>
      <c r="P453">
        <v>0</v>
      </c>
      <c r="Q453">
        <v>0</v>
      </c>
      <c r="R453" t="s">
        <v>46571</v>
      </c>
      <c r="S453" t="s">
        <v>46687</v>
      </c>
      <c r="T453" t="s">
        <v>48221</v>
      </c>
      <c r="U453" t="s">
        <v>49187</v>
      </c>
      <c r="W453" t="s">
        <v>42793</v>
      </c>
      <c r="X453" t="s">
        <v>46572</v>
      </c>
    </row>
    <row r="454" spans="1:24">
      <c r="A454">
        <f>HYPERLINK("https://www.philgeps.gov.ph/GEPSNONPILOT/Tender/SplashBidNoticeAbstractUI.aspx?menuIndex=3&amp;refID=7064795&amp;Result=3","7064795")</f>
        <v>0</v>
      </c>
      <c r="B454" t="s">
        <v>189</v>
      </c>
      <c r="C454" t="s">
        <v>3972</v>
      </c>
      <c r="E454" t="s">
        <v>19321</v>
      </c>
      <c r="F454" t="s">
        <v>32664</v>
      </c>
      <c r="G454" t="s">
        <v>32671</v>
      </c>
      <c r="H454" t="s">
        <v>12635</v>
      </c>
      <c r="I454" t="s">
        <v>11464</v>
      </c>
      <c r="J454" t="s">
        <v>32865</v>
      </c>
      <c r="K454" t="s">
        <v>42289</v>
      </c>
      <c r="M454" t="s">
        <v>42753</v>
      </c>
      <c r="N454" t="s">
        <v>46569</v>
      </c>
      <c r="O454" t="s">
        <v>46570</v>
      </c>
      <c r="P454">
        <v>0</v>
      </c>
      <c r="Q454">
        <v>0</v>
      </c>
      <c r="R454" t="s">
        <v>46571</v>
      </c>
      <c r="S454" t="s">
        <v>46687</v>
      </c>
      <c r="T454" t="s">
        <v>48296</v>
      </c>
      <c r="U454" t="s">
        <v>49188</v>
      </c>
      <c r="W454" t="s">
        <v>42753</v>
      </c>
      <c r="X454" t="s">
        <v>46572</v>
      </c>
    </row>
    <row r="455" spans="1:24">
      <c r="A455">
        <f>HYPERLINK("https://www.philgeps.gov.ph/GEPSNONPILOT/Tender/SplashBidNoticeAbstractUI.aspx?menuIndex=3&amp;refID=7064790&amp;Result=3","7064790")</f>
        <v>0</v>
      </c>
      <c r="B455" t="s">
        <v>195</v>
      </c>
      <c r="C455" t="s">
        <v>3973</v>
      </c>
      <c r="D455" t="s">
        <v>18824</v>
      </c>
      <c r="E455" t="s">
        <v>19322</v>
      </c>
      <c r="F455" t="s">
        <v>32664</v>
      </c>
      <c r="G455" t="s">
        <v>32675</v>
      </c>
      <c r="H455" t="s">
        <v>12635</v>
      </c>
      <c r="I455" t="s">
        <v>6168</v>
      </c>
      <c r="J455" t="s">
        <v>33195</v>
      </c>
      <c r="K455" t="s">
        <v>42281</v>
      </c>
      <c r="M455" t="s">
        <v>42759</v>
      </c>
      <c r="N455" t="s">
        <v>46569</v>
      </c>
      <c r="O455" t="s">
        <v>46570</v>
      </c>
      <c r="P455">
        <v>0</v>
      </c>
      <c r="Q455">
        <v>0</v>
      </c>
      <c r="R455" t="s">
        <v>46571</v>
      </c>
      <c r="S455" t="s">
        <v>46687</v>
      </c>
      <c r="T455" t="s">
        <v>48244</v>
      </c>
      <c r="U455" t="s">
        <v>49135</v>
      </c>
      <c r="W455" t="s">
        <v>42759</v>
      </c>
      <c r="X455" t="s">
        <v>46572</v>
      </c>
    </row>
    <row r="456" spans="1:24">
      <c r="A456">
        <f>HYPERLINK("https://www.philgeps.gov.ph/GEPSNONPILOT/Tender/SplashBidNoticeAbstractUI.aspx?menuIndex=3&amp;refID=7064690&amp;Result=3","7064690")</f>
        <v>0</v>
      </c>
      <c r="B456" t="s">
        <v>230</v>
      </c>
      <c r="C456" t="s">
        <v>3974</v>
      </c>
      <c r="D456" t="s">
        <v>18827</v>
      </c>
      <c r="E456" t="s">
        <v>19323</v>
      </c>
      <c r="F456" t="s">
        <v>32664</v>
      </c>
      <c r="G456" t="s">
        <v>32674</v>
      </c>
      <c r="H456" t="s">
        <v>32683</v>
      </c>
      <c r="I456" t="s">
        <v>32712</v>
      </c>
      <c r="J456" t="s">
        <v>33072</v>
      </c>
      <c r="K456" t="s">
        <v>42283</v>
      </c>
      <c r="M456" t="s">
        <v>42794</v>
      </c>
      <c r="N456" t="s">
        <v>46569</v>
      </c>
      <c r="O456" t="s">
        <v>46570</v>
      </c>
      <c r="P456">
        <v>0</v>
      </c>
      <c r="Q456">
        <v>1</v>
      </c>
      <c r="R456" t="s">
        <v>46571</v>
      </c>
      <c r="S456" t="s">
        <v>46687</v>
      </c>
      <c r="T456" t="s">
        <v>48221</v>
      </c>
      <c r="U456" t="s">
        <v>49189</v>
      </c>
      <c r="W456" t="s">
        <v>42794</v>
      </c>
      <c r="X456" t="s">
        <v>46572</v>
      </c>
    </row>
    <row r="457" spans="1:24">
      <c r="A457">
        <f>HYPERLINK("https://www.philgeps.gov.ph/GEPSNONPILOT/Tender/SplashBidNoticeAbstractUI.aspx?menuIndex=3&amp;refID=7064839&amp;Result=3","7064839")</f>
        <v>0</v>
      </c>
      <c r="B457" t="s">
        <v>231</v>
      </c>
      <c r="C457" t="s">
        <v>3975</v>
      </c>
      <c r="D457" t="s">
        <v>18845</v>
      </c>
      <c r="E457" t="s">
        <v>19324</v>
      </c>
      <c r="F457" t="s">
        <v>32664</v>
      </c>
      <c r="G457" t="s">
        <v>32671</v>
      </c>
      <c r="H457" t="s">
        <v>12635</v>
      </c>
      <c r="I457" t="s">
        <v>13883</v>
      </c>
      <c r="J457" t="s">
        <v>33196</v>
      </c>
      <c r="K457" t="s">
        <v>42311</v>
      </c>
      <c r="M457" t="s">
        <v>42795</v>
      </c>
      <c r="N457" t="s">
        <v>46569</v>
      </c>
      <c r="O457" t="s">
        <v>46570</v>
      </c>
      <c r="P457">
        <v>0</v>
      </c>
      <c r="Q457">
        <v>2</v>
      </c>
      <c r="R457" t="s">
        <v>46571</v>
      </c>
      <c r="S457" t="s">
        <v>46687</v>
      </c>
      <c r="T457" t="s">
        <v>48313</v>
      </c>
      <c r="U457" t="s">
        <v>49190</v>
      </c>
      <c r="W457" t="s">
        <v>42795</v>
      </c>
      <c r="X457" t="s">
        <v>46572</v>
      </c>
    </row>
    <row r="458" spans="1:24">
      <c r="A458">
        <f>HYPERLINK("https://www.philgeps.gov.ph/GEPSNONPILOT/Tender/SplashBidNoticeAbstractUI.aspx?menuIndex=3&amp;refID=7064687&amp;Result=3","7064687")</f>
        <v>0</v>
      </c>
      <c r="B458" t="s">
        <v>96</v>
      </c>
      <c r="C458" t="s">
        <v>3976</v>
      </c>
      <c r="D458" t="s">
        <v>18786</v>
      </c>
      <c r="E458" t="s">
        <v>19325</v>
      </c>
      <c r="F458" t="s">
        <v>32664</v>
      </c>
      <c r="G458" t="s">
        <v>32674</v>
      </c>
      <c r="H458" t="s">
        <v>12635</v>
      </c>
      <c r="I458" t="s">
        <v>14442</v>
      </c>
      <c r="J458" t="s">
        <v>33069</v>
      </c>
      <c r="K458" t="s">
        <v>42281</v>
      </c>
      <c r="M458" t="s">
        <v>42659</v>
      </c>
      <c r="N458" t="s">
        <v>46569</v>
      </c>
      <c r="O458" t="s">
        <v>46570</v>
      </c>
      <c r="P458">
        <v>0</v>
      </c>
      <c r="Q458">
        <v>4</v>
      </c>
      <c r="R458" t="s">
        <v>46571</v>
      </c>
      <c r="S458" t="s">
        <v>46687</v>
      </c>
      <c r="T458" t="s">
        <v>48268</v>
      </c>
      <c r="U458" t="s">
        <v>49191</v>
      </c>
      <c r="W458" t="s">
        <v>42659</v>
      </c>
      <c r="X458" t="s">
        <v>46572</v>
      </c>
    </row>
    <row r="459" spans="1:24">
      <c r="A459">
        <f>HYPERLINK("https://www.philgeps.gov.ph/GEPSNONPILOT/Tender/SplashBidNoticeAbstractUI.aspx?menuIndex=3&amp;refID=7064668&amp;Result=3","7064668")</f>
        <v>0</v>
      </c>
      <c r="B459" t="s">
        <v>162</v>
      </c>
      <c r="C459" t="s">
        <v>3977</v>
      </c>
      <c r="D459" t="s">
        <v>18788</v>
      </c>
      <c r="E459" t="s">
        <v>19326</v>
      </c>
      <c r="F459" t="s">
        <v>32664</v>
      </c>
      <c r="G459" t="s">
        <v>32672</v>
      </c>
      <c r="H459" t="s">
        <v>12635</v>
      </c>
      <c r="I459" t="s">
        <v>6628</v>
      </c>
      <c r="J459" t="s">
        <v>32845</v>
      </c>
      <c r="K459" t="s">
        <v>42289</v>
      </c>
      <c r="M459" t="s">
        <v>42726</v>
      </c>
      <c r="N459" t="s">
        <v>46569</v>
      </c>
      <c r="O459" t="s">
        <v>46570</v>
      </c>
      <c r="P459">
        <v>0</v>
      </c>
      <c r="Q459">
        <v>0</v>
      </c>
      <c r="R459" t="s">
        <v>46571</v>
      </c>
      <c r="S459" t="s">
        <v>46687</v>
      </c>
      <c r="T459" t="s">
        <v>48236</v>
      </c>
      <c r="U459" t="s">
        <v>49192</v>
      </c>
      <c r="W459" t="s">
        <v>42726</v>
      </c>
      <c r="X459" t="s">
        <v>46572</v>
      </c>
    </row>
    <row r="460" spans="1:24">
      <c r="A460">
        <f>HYPERLINK("https://www.philgeps.gov.ph/GEPSNONPILOT/Tender/SplashBidNoticeAbstractUI.aspx?menuIndex=3&amp;refID=7064669&amp;Result=3","7064669")</f>
        <v>0</v>
      </c>
      <c r="B460" t="s">
        <v>161</v>
      </c>
      <c r="C460" t="s">
        <v>3978</v>
      </c>
      <c r="D460" t="s">
        <v>18826</v>
      </c>
      <c r="E460" t="s">
        <v>19327</v>
      </c>
      <c r="F460" t="s">
        <v>32664</v>
      </c>
      <c r="G460" t="s">
        <v>32672</v>
      </c>
      <c r="H460" t="s">
        <v>12635</v>
      </c>
      <c r="I460" t="s">
        <v>4439</v>
      </c>
      <c r="J460" t="s">
        <v>33197</v>
      </c>
      <c r="K460" t="s">
        <v>42284</v>
      </c>
      <c r="M460" t="s">
        <v>42725</v>
      </c>
      <c r="N460" t="s">
        <v>46569</v>
      </c>
      <c r="O460" t="s">
        <v>46570</v>
      </c>
      <c r="P460">
        <v>0</v>
      </c>
      <c r="Q460">
        <v>0</v>
      </c>
      <c r="R460" t="s">
        <v>46571</v>
      </c>
      <c r="S460" t="s">
        <v>46687</v>
      </c>
      <c r="T460" t="s">
        <v>48291</v>
      </c>
      <c r="U460" t="s">
        <v>49193</v>
      </c>
      <c r="W460" t="s">
        <v>42725</v>
      </c>
      <c r="X460" t="s">
        <v>46572</v>
      </c>
    </row>
    <row r="461" spans="1:24">
      <c r="A461">
        <f>HYPERLINK("https://www.philgeps.gov.ph/GEPSNONPILOT/Tender/SplashBidNoticeAbstractUI.aspx?menuIndex=3&amp;refID=7064835&amp;Result=3","7064835")</f>
        <v>0</v>
      </c>
      <c r="B461" t="s">
        <v>212</v>
      </c>
      <c r="C461" t="s">
        <v>3979</v>
      </c>
      <c r="D461" t="s">
        <v>18844</v>
      </c>
      <c r="E461" t="s">
        <v>19328</v>
      </c>
      <c r="F461" t="s">
        <v>32664</v>
      </c>
      <c r="G461" t="s">
        <v>32677</v>
      </c>
      <c r="H461" t="s">
        <v>12635</v>
      </c>
      <c r="I461" t="s">
        <v>32712</v>
      </c>
      <c r="J461" t="s">
        <v>33198</v>
      </c>
      <c r="K461" t="s">
        <v>42298</v>
      </c>
      <c r="M461" t="s">
        <v>42796</v>
      </c>
      <c r="N461" t="s">
        <v>46569</v>
      </c>
      <c r="O461" t="s">
        <v>46570</v>
      </c>
      <c r="P461">
        <v>0</v>
      </c>
      <c r="Q461">
        <v>4</v>
      </c>
      <c r="R461" t="s">
        <v>46571</v>
      </c>
      <c r="S461" t="s">
        <v>46687</v>
      </c>
      <c r="T461" t="s">
        <v>48311</v>
      </c>
      <c r="U461" t="s">
        <v>49194</v>
      </c>
      <c r="V461" t="s">
        <v>61673</v>
      </c>
      <c r="W461" t="s">
        <v>42796</v>
      </c>
      <c r="X461" t="s">
        <v>46572</v>
      </c>
    </row>
    <row r="462" spans="1:24">
      <c r="A462">
        <f>HYPERLINK("https://www.philgeps.gov.ph/GEPSNONPILOT/Tender/SplashBidNoticeAbstractUI.aspx?menuIndex=3&amp;refID=7064837&amp;Result=3","7064837")</f>
        <v>0</v>
      </c>
      <c r="B462" t="s">
        <v>194</v>
      </c>
      <c r="C462" t="s">
        <v>3980</v>
      </c>
      <c r="D462" t="s">
        <v>18791</v>
      </c>
      <c r="E462" t="s">
        <v>19329</v>
      </c>
      <c r="F462" t="s">
        <v>32664</v>
      </c>
      <c r="G462" t="s">
        <v>32671</v>
      </c>
      <c r="H462" t="s">
        <v>12635</v>
      </c>
      <c r="I462" t="s">
        <v>32699</v>
      </c>
      <c r="J462" t="s">
        <v>33199</v>
      </c>
      <c r="K462" t="s">
        <v>42284</v>
      </c>
      <c r="M462" t="s">
        <v>42758</v>
      </c>
      <c r="N462" t="s">
        <v>46569</v>
      </c>
      <c r="O462" t="s">
        <v>46570</v>
      </c>
      <c r="P462">
        <v>0</v>
      </c>
      <c r="Q462">
        <v>1</v>
      </c>
      <c r="R462" t="s">
        <v>46571</v>
      </c>
      <c r="S462" t="s">
        <v>46687</v>
      </c>
      <c r="T462" t="s">
        <v>48296</v>
      </c>
      <c r="U462" t="s">
        <v>49195</v>
      </c>
      <c r="W462" t="s">
        <v>42758</v>
      </c>
      <c r="X462" t="s">
        <v>46572</v>
      </c>
    </row>
    <row r="463" spans="1:24">
      <c r="A463">
        <f>HYPERLINK("https://www.philgeps.gov.ph/GEPSNONPILOT/Tender/SplashBidNoticeAbstractUI.aspx?menuIndex=3&amp;refID=7064834&amp;Result=3","7064834")</f>
        <v>0</v>
      </c>
      <c r="B463" t="s">
        <v>189</v>
      </c>
      <c r="C463" t="s">
        <v>3981</v>
      </c>
      <c r="E463" t="s">
        <v>19330</v>
      </c>
      <c r="F463" t="s">
        <v>32664</v>
      </c>
      <c r="G463" t="s">
        <v>32671</v>
      </c>
      <c r="H463" t="s">
        <v>12635</v>
      </c>
      <c r="I463" t="s">
        <v>6168</v>
      </c>
      <c r="J463" t="s">
        <v>33069</v>
      </c>
      <c r="K463" t="s">
        <v>42289</v>
      </c>
      <c r="M463" t="s">
        <v>42753</v>
      </c>
      <c r="N463" t="s">
        <v>46569</v>
      </c>
      <c r="O463" t="s">
        <v>46570</v>
      </c>
      <c r="P463">
        <v>0</v>
      </c>
      <c r="Q463">
        <v>0</v>
      </c>
      <c r="R463" t="s">
        <v>46571</v>
      </c>
      <c r="S463" t="s">
        <v>46687</v>
      </c>
      <c r="T463" t="s">
        <v>48296</v>
      </c>
      <c r="U463" t="s">
        <v>49196</v>
      </c>
      <c r="W463" t="s">
        <v>42753</v>
      </c>
      <c r="X463" t="s">
        <v>46572</v>
      </c>
    </row>
    <row r="464" spans="1:24">
      <c r="A464">
        <f>HYPERLINK("https://www.philgeps.gov.ph/GEPSNONPILOT/Tender/SplashBidNoticeAbstractUI.aspx?menuIndex=3&amp;refID=7064833&amp;Result=3","7064833")</f>
        <v>0</v>
      </c>
      <c r="B464" t="s">
        <v>152</v>
      </c>
      <c r="C464" t="s">
        <v>3982</v>
      </c>
      <c r="D464" t="s">
        <v>18813</v>
      </c>
      <c r="E464" t="s">
        <v>19331</v>
      </c>
      <c r="F464" t="s">
        <v>32664</v>
      </c>
      <c r="G464" t="s">
        <v>32671</v>
      </c>
      <c r="H464" t="s">
        <v>12635</v>
      </c>
      <c r="I464" t="s">
        <v>4205</v>
      </c>
      <c r="J464" t="s">
        <v>33015</v>
      </c>
      <c r="K464" t="s">
        <v>42297</v>
      </c>
      <c r="M464" t="s">
        <v>42716</v>
      </c>
      <c r="N464" t="s">
        <v>46569</v>
      </c>
      <c r="O464" t="s">
        <v>46570</v>
      </c>
      <c r="P464">
        <v>0</v>
      </c>
      <c r="Q464">
        <v>0</v>
      </c>
      <c r="R464" t="s">
        <v>46571</v>
      </c>
      <c r="S464" t="s">
        <v>46687</v>
      </c>
      <c r="T464" t="s">
        <v>48221</v>
      </c>
      <c r="U464" t="s">
        <v>49197</v>
      </c>
      <c r="W464" t="s">
        <v>42716</v>
      </c>
      <c r="X464" t="s">
        <v>46572</v>
      </c>
    </row>
    <row r="465" spans="1:24">
      <c r="A465">
        <f>HYPERLINK("https://www.philgeps.gov.ph/GEPSNONPILOT/Tender/SplashBidNoticeAbstractUI.aspx?menuIndex=3&amp;refID=7064831&amp;Result=3","7064831")</f>
        <v>0</v>
      </c>
      <c r="B465" t="s">
        <v>232</v>
      </c>
      <c r="C465" t="s">
        <v>3983</v>
      </c>
      <c r="D465" t="s">
        <v>18781</v>
      </c>
      <c r="E465" t="s">
        <v>19296</v>
      </c>
      <c r="F465" t="s">
        <v>32665</v>
      </c>
      <c r="G465" t="s">
        <v>32674</v>
      </c>
      <c r="H465" t="s">
        <v>12635</v>
      </c>
      <c r="I465" t="s">
        <v>8797</v>
      </c>
      <c r="J465" t="s">
        <v>33175</v>
      </c>
      <c r="K465" t="s">
        <v>42306</v>
      </c>
      <c r="M465" t="s">
        <v>42797</v>
      </c>
      <c r="N465" t="s">
        <v>46569</v>
      </c>
      <c r="O465" t="s">
        <v>46570</v>
      </c>
      <c r="P465">
        <v>0</v>
      </c>
      <c r="Q465">
        <v>0</v>
      </c>
      <c r="R465" t="s">
        <v>46571</v>
      </c>
      <c r="S465" t="s">
        <v>46687</v>
      </c>
      <c r="T465" t="s">
        <v>48307</v>
      </c>
      <c r="U465" t="s">
        <v>49166</v>
      </c>
      <c r="W465" t="s">
        <v>42797</v>
      </c>
      <c r="X465" t="s">
        <v>46572</v>
      </c>
    </row>
    <row r="466" spans="1:24">
      <c r="A466">
        <f>HYPERLINK("https://www.philgeps.gov.ph/GEPSNONPILOT/Tender/SplashBidNoticeAbstractUI.aspx?menuIndex=3&amp;refID=7064691&amp;Result=3","7064691")</f>
        <v>0</v>
      </c>
      <c r="B466" t="s">
        <v>233</v>
      </c>
      <c r="C466" t="s">
        <v>3984</v>
      </c>
      <c r="D466" t="s">
        <v>18786</v>
      </c>
      <c r="E466" t="s">
        <v>19332</v>
      </c>
      <c r="F466" t="s">
        <v>32664</v>
      </c>
      <c r="G466" t="s">
        <v>32671</v>
      </c>
      <c r="H466" t="s">
        <v>12635</v>
      </c>
      <c r="I466" t="s">
        <v>14442</v>
      </c>
      <c r="J466" t="s">
        <v>33200</v>
      </c>
      <c r="K466" t="s">
        <v>42289</v>
      </c>
      <c r="M466" t="s">
        <v>42798</v>
      </c>
      <c r="N466" t="s">
        <v>46569</v>
      </c>
      <c r="O466" t="s">
        <v>46570</v>
      </c>
      <c r="P466">
        <v>0</v>
      </c>
      <c r="Q466">
        <v>1</v>
      </c>
      <c r="R466" t="s">
        <v>46571</v>
      </c>
      <c r="S466" t="s">
        <v>46687</v>
      </c>
      <c r="T466" t="s">
        <v>48258</v>
      </c>
      <c r="U466" t="s">
        <v>49198</v>
      </c>
      <c r="W466" t="s">
        <v>42798</v>
      </c>
      <c r="X466" t="s">
        <v>46572</v>
      </c>
    </row>
    <row r="467" spans="1:24">
      <c r="A467">
        <f>HYPERLINK("https://www.philgeps.gov.ph/GEPSNONPILOT/Tender/SplashBidNoticeAbstractUI.aspx?menuIndex=3&amp;refID=7064840&amp;Result=3","7064840")</f>
        <v>0</v>
      </c>
      <c r="B467" t="s">
        <v>162</v>
      </c>
      <c r="C467" t="s">
        <v>3985</v>
      </c>
      <c r="D467" t="s">
        <v>18788</v>
      </c>
      <c r="E467" t="s">
        <v>19333</v>
      </c>
      <c r="F467" t="s">
        <v>32664</v>
      </c>
      <c r="G467" t="s">
        <v>32672</v>
      </c>
      <c r="H467" t="s">
        <v>12635</v>
      </c>
      <c r="I467" t="s">
        <v>8797</v>
      </c>
      <c r="J467" t="s">
        <v>33201</v>
      </c>
      <c r="K467" t="s">
        <v>42289</v>
      </c>
      <c r="M467" t="s">
        <v>42726</v>
      </c>
      <c r="N467" t="s">
        <v>46569</v>
      </c>
      <c r="O467" t="s">
        <v>46570</v>
      </c>
      <c r="P467">
        <v>0</v>
      </c>
      <c r="Q467">
        <v>0</v>
      </c>
      <c r="R467" t="s">
        <v>46571</v>
      </c>
      <c r="S467" t="s">
        <v>46687</v>
      </c>
      <c r="T467" t="s">
        <v>48236</v>
      </c>
      <c r="U467" t="s">
        <v>49199</v>
      </c>
      <c r="W467" t="s">
        <v>42726</v>
      </c>
      <c r="X467" t="s">
        <v>46572</v>
      </c>
    </row>
    <row r="468" spans="1:24">
      <c r="A468">
        <f>HYPERLINK("https://www.philgeps.gov.ph/GEPSNONPILOT/Tender/SplashBidNoticeAbstractUI.aspx?menuIndex=3&amp;refID=7064832&amp;Result=3","7064832")</f>
        <v>0</v>
      </c>
      <c r="B468" t="s">
        <v>234</v>
      </c>
      <c r="C468" t="s">
        <v>3986</v>
      </c>
      <c r="D468" t="s">
        <v>18831</v>
      </c>
      <c r="E468" t="s">
        <v>19334</v>
      </c>
      <c r="F468" t="s">
        <v>32665</v>
      </c>
      <c r="G468" t="s">
        <v>32672</v>
      </c>
      <c r="H468" t="s">
        <v>12635</v>
      </c>
      <c r="I468" t="s">
        <v>9486</v>
      </c>
      <c r="J468" t="s">
        <v>33202</v>
      </c>
      <c r="K468" t="s">
        <v>42281</v>
      </c>
      <c r="M468" t="s">
        <v>42799</v>
      </c>
      <c r="N468" t="s">
        <v>46569</v>
      </c>
      <c r="O468" t="s">
        <v>46570</v>
      </c>
      <c r="P468">
        <v>0</v>
      </c>
      <c r="Q468">
        <v>0</v>
      </c>
      <c r="R468" t="s">
        <v>46571</v>
      </c>
      <c r="S468" t="s">
        <v>46687</v>
      </c>
      <c r="T468" t="s">
        <v>48273</v>
      </c>
      <c r="U468" t="s">
        <v>49200</v>
      </c>
      <c r="V468" t="s">
        <v>61674</v>
      </c>
      <c r="W468" t="s">
        <v>42799</v>
      </c>
      <c r="X468" t="s">
        <v>46572</v>
      </c>
    </row>
    <row r="469" spans="1:24">
      <c r="A469">
        <f>HYPERLINK("https://www.philgeps.gov.ph/GEPSNONPILOT/Tender/SplashBidNoticeAbstractUI.aspx?menuIndex=3&amp;refID=7064865&amp;Result=3","7064865")</f>
        <v>0</v>
      </c>
      <c r="B469" t="s">
        <v>135</v>
      </c>
      <c r="C469" t="s">
        <v>3987</v>
      </c>
      <c r="D469" t="s">
        <v>18807</v>
      </c>
      <c r="E469" t="s">
        <v>19335</v>
      </c>
      <c r="F469" t="s">
        <v>32664</v>
      </c>
      <c r="G469" t="s">
        <v>32672</v>
      </c>
      <c r="H469" t="s">
        <v>12635</v>
      </c>
      <c r="I469" t="s">
        <v>4333</v>
      </c>
      <c r="J469" t="s">
        <v>33203</v>
      </c>
      <c r="K469" t="s">
        <v>42281</v>
      </c>
      <c r="M469" t="s">
        <v>42699</v>
      </c>
      <c r="N469" t="s">
        <v>46569</v>
      </c>
      <c r="O469" t="s">
        <v>46570</v>
      </c>
      <c r="P469">
        <v>0</v>
      </c>
      <c r="Q469">
        <v>0</v>
      </c>
      <c r="R469" t="s">
        <v>46571</v>
      </c>
      <c r="S469" t="s">
        <v>46687</v>
      </c>
      <c r="T469" t="s">
        <v>48216</v>
      </c>
      <c r="U469" t="s">
        <v>49052</v>
      </c>
      <c r="V469" t="s">
        <v>61650</v>
      </c>
      <c r="W469" t="s">
        <v>42699</v>
      </c>
      <c r="X469" t="s">
        <v>46572</v>
      </c>
    </row>
    <row r="470" spans="1:24">
      <c r="A470">
        <f>HYPERLINK("https://www.philgeps.gov.ph/GEPSNONPILOT/Tender/SplashBidNoticeAbstractUI.aspx?menuIndex=3&amp;refID=7064838&amp;Result=3","7064838")</f>
        <v>0</v>
      </c>
      <c r="B470" t="s">
        <v>211</v>
      </c>
      <c r="C470" t="s">
        <v>3988</v>
      </c>
      <c r="D470" t="s">
        <v>18843</v>
      </c>
      <c r="E470" t="s">
        <v>19336</v>
      </c>
      <c r="F470" t="s">
        <v>32664</v>
      </c>
      <c r="G470" t="s">
        <v>32675</v>
      </c>
      <c r="H470" t="s">
        <v>12635</v>
      </c>
      <c r="I470" t="s">
        <v>8730</v>
      </c>
      <c r="J470" t="s">
        <v>33204</v>
      </c>
      <c r="K470" t="s">
        <v>42281</v>
      </c>
      <c r="M470" t="s">
        <v>42775</v>
      </c>
      <c r="N470" t="s">
        <v>46569</v>
      </c>
      <c r="O470" t="s">
        <v>46570</v>
      </c>
      <c r="P470">
        <v>0</v>
      </c>
      <c r="Q470">
        <v>2</v>
      </c>
      <c r="R470" t="s">
        <v>46571</v>
      </c>
      <c r="S470" t="s">
        <v>46687</v>
      </c>
      <c r="T470" t="s">
        <v>48256</v>
      </c>
      <c r="U470" t="s">
        <v>49201</v>
      </c>
      <c r="W470" t="s">
        <v>42775</v>
      </c>
      <c r="X470" t="s">
        <v>46572</v>
      </c>
    </row>
    <row r="471" spans="1:24">
      <c r="A471">
        <f>HYPERLINK("https://www.philgeps.gov.ph/GEPSNONPILOT/Tender/SplashBidNoticeAbstractUI.aspx?menuIndex=3&amp;refID=7064670&amp;Result=3","7064670")</f>
        <v>0</v>
      </c>
      <c r="B471" t="s">
        <v>135</v>
      </c>
      <c r="C471" t="s">
        <v>3989</v>
      </c>
      <c r="D471" t="s">
        <v>18807</v>
      </c>
      <c r="E471" t="s">
        <v>19337</v>
      </c>
      <c r="F471" t="s">
        <v>32664</v>
      </c>
      <c r="G471" t="s">
        <v>32672</v>
      </c>
      <c r="H471" t="s">
        <v>12635</v>
      </c>
      <c r="I471" t="s">
        <v>4333</v>
      </c>
      <c r="J471" t="s">
        <v>33205</v>
      </c>
      <c r="K471" t="s">
        <v>42281</v>
      </c>
      <c r="M471" t="s">
        <v>42699</v>
      </c>
      <c r="N471" t="s">
        <v>46569</v>
      </c>
      <c r="O471" t="s">
        <v>46570</v>
      </c>
      <c r="P471">
        <v>0</v>
      </c>
      <c r="Q471">
        <v>0</v>
      </c>
      <c r="R471" t="s">
        <v>46571</v>
      </c>
      <c r="S471" t="s">
        <v>46687</v>
      </c>
      <c r="T471" t="s">
        <v>48226</v>
      </c>
      <c r="U471" t="s">
        <v>49052</v>
      </c>
      <c r="V471" t="s">
        <v>61650</v>
      </c>
      <c r="W471" t="s">
        <v>42699</v>
      </c>
      <c r="X471" t="s">
        <v>46572</v>
      </c>
    </row>
    <row r="472" spans="1:24">
      <c r="A472">
        <f>HYPERLINK("https://www.philgeps.gov.ph/GEPSNONPILOT/Tender/SplashBidNoticeAbstractUI.aspx?menuIndex=3&amp;refID=7064866&amp;Result=3","7064866")</f>
        <v>0</v>
      </c>
      <c r="B472" t="s">
        <v>235</v>
      </c>
      <c r="C472" t="s">
        <v>3990</v>
      </c>
      <c r="D472" t="s">
        <v>18846</v>
      </c>
      <c r="E472" t="s">
        <v>19338</v>
      </c>
      <c r="F472" t="s">
        <v>32664</v>
      </c>
      <c r="G472" t="s">
        <v>32671</v>
      </c>
      <c r="H472" t="s">
        <v>12635</v>
      </c>
      <c r="I472" t="s">
        <v>32706</v>
      </c>
      <c r="J472" t="s">
        <v>33206</v>
      </c>
      <c r="K472" t="s">
        <v>42303</v>
      </c>
      <c r="M472" t="s">
        <v>42800</v>
      </c>
      <c r="N472" t="s">
        <v>46569</v>
      </c>
      <c r="O472" t="s">
        <v>46570</v>
      </c>
      <c r="P472">
        <v>0</v>
      </c>
      <c r="Q472">
        <v>0</v>
      </c>
      <c r="R472" t="s">
        <v>46571</v>
      </c>
      <c r="S472" t="s">
        <v>46687</v>
      </c>
      <c r="T472" t="s">
        <v>48293</v>
      </c>
      <c r="U472" t="s">
        <v>49202</v>
      </c>
      <c r="W472" t="s">
        <v>42800</v>
      </c>
      <c r="X472" t="s">
        <v>46572</v>
      </c>
    </row>
    <row r="473" spans="1:24">
      <c r="A473">
        <f>HYPERLINK("https://www.philgeps.gov.ph/GEPSNONPILOT/Tender/SplashBidNoticeAbstractUI.aspx?menuIndex=3&amp;refID=7064858&amp;Result=3","7064858")</f>
        <v>0</v>
      </c>
      <c r="B473" t="s">
        <v>236</v>
      </c>
      <c r="C473" t="s">
        <v>3991</v>
      </c>
      <c r="D473" t="s">
        <v>18789</v>
      </c>
      <c r="E473" t="s">
        <v>19339</v>
      </c>
      <c r="F473" t="s">
        <v>32664</v>
      </c>
      <c r="G473" t="s">
        <v>32671</v>
      </c>
      <c r="H473" t="s">
        <v>12635</v>
      </c>
      <c r="I473" t="s">
        <v>10370</v>
      </c>
      <c r="J473" t="s">
        <v>33207</v>
      </c>
      <c r="K473" t="s">
        <v>42297</v>
      </c>
      <c r="M473" t="s">
        <v>42801</v>
      </c>
      <c r="N473" t="s">
        <v>46569</v>
      </c>
      <c r="O473" t="s">
        <v>46570</v>
      </c>
      <c r="P473">
        <v>0</v>
      </c>
      <c r="Q473">
        <v>1</v>
      </c>
      <c r="R473" t="s">
        <v>46571</v>
      </c>
      <c r="S473" t="s">
        <v>46687</v>
      </c>
      <c r="T473" t="s">
        <v>48225</v>
      </c>
      <c r="U473" t="s">
        <v>49203</v>
      </c>
      <c r="W473" t="s">
        <v>42801</v>
      </c>
      <c r="X473" t="s">
        <v>46572</v>
      </c>
    </row>
    <row r="474" spans="1:24">
      <c r="A474">
        <f>HYPERLINK("https://www.philgeps.gov.ph/GEPSNONPILOT/Tender/SplashBidNoticeAbstractUI.aspx?menuIndex=3&amp;refID=7064857&amp;Result=3","7064857")</f>
        <v>0</v>
      </c>
      <c r="B474" t="s">
        <v>237</v>
      </c>
      <c r="C474" t="s">
        <v>3992</v>
      </c>
      <c r="D474" t="s">
        <v>18794</v>
      </c>
      <c r="E474" t="s">
        <v>19340</v>
      </c>
      <c r="F474" t="s">
        <v>32664</v>
      </c>
      <c r="G474" t="s">
        <v>32672</v>
      </c>
      <c r="H474" t="s">
        <v>12635</v>
      </c>
      <c r="I474" t="s">
        <v>6168</v>
      </c>
      <c r="J474" t="s">
        <v>33208</v>
      </c>
      <c r="K474" t="s">
        <v>42284</v>
      </c>
      <c r="M474" t="s">
        <v>42802</v>
      </c>
      <c r="N474" t="s">
        <v>46569</v>
      </c>
      <c r="O474" t="s">
        <v>46570</v>
      </c>
      <c r="P474">
        <v>0</v>
      </c>
      <c r="Q474">
        <v>0</v>
      </c>
      <c r="R474" t="s">
        <v>46571</v>
      </c>
      <c r="S474" t="s">
        <v>46687</v>
      </c>
      <c r="T474" t="s">
        <v>48230</v>
      </c>
      <c r="U474" t="s">
        <v>49204</v>
      </c>
      <c r="W474" t="s">
        <v>42802</v>
      </c>
      <c r="X474" t="s">
        <v>46572</v>
      </c>
    </row>
    <row r="475" spans="1:24">
      <c r="A475">
        <f>HYPERLINK("https://www.philgeps.gov.ph/GEPSNONPILOT/Tender/SplashBidNoticeAbstractUI.aspx?menuIndex=3&amp;refID=7064856&amp;Result=3","7064856")</f>
        <v>0</v>
      </c>
      <c r="B475" t="s">
        <v>209</v>
      </c>
      <c r="C475" t="s">
        <v>3993</v>
      </c>
      <c r="D475" t="s">
        <v>18789</v>
      </c>
      <c r="E475" t="s">
        <v>19341</v>
      </c>
      <c r="F475" t="s">
        <v>32664</v>
      </c>
      <c r="G475" t="s">
        <v>32671</v>
      </c>
      <c r="H475" t="s">
        <v>12635</v>
      </c>
      <c r="I475" t="s">
        <v>10590</v>
      </c>
      <c r="J475" t="s">
        <v>33209</v>
      </c>
      <c r="K475" t="s">
        <v>42330</v>
      </c>
      <c r="M475" t="s">
        <v>42773</v>
      </c>
      <c r="N475" t="s">
        <v>46569</v>
      </c>
      <c r="O475" t="s">
        <v>46570</v>
      </c>
      <c r="P475">
        <v>0</v>
      </c>
      <c r="Q475">
        <v>0</v>
      </c>
      <c r="R475" t="s">
        <v>46571</v>
      </c>
      <c r="S475" t="s">
        <v>46687</v>
      </c>
      <c r="T475" t="s">
        <v>48230</v>
      </c>
      <c r="U475" t="s">
        <v>49205</v>
      </c>
      <c r="W475" t="s">
        <v>42773</v>
      </c>
      <c r="X475" t="s">
        <v>46572</v>
      </c>
    </row>
    <row r="476" spans="1:24">
      <c r="A476">
        <f>HYPERLINK("https://www.philgeps.gov.ph/GEPSNONPILOT/Tender/SplashBidNoticeAbstractUI.aspx?menuIndex=3&amp;refID=7064854&amp;Result=3","7064854")</f>
        <v>0</v>
      </c>
      <c r="B476" t="s">
        <v>238</v>
      </c>
      <c r="C476" t="s">
        <v>3994</v>
      </c>
      <c r="D476" t="s">
        <v>18798</v>
      </c>
      <c r="E476" t="s">
        <v>19342</v>
      </c>
      <c r="F476" t="s">
        <v>32664</v>
      </c>
      <c r="G476" t="s">
        <v>32671</v>
      </c>
      <c r="H476" t="s">
        <v>12635</v>
      </c>
      <c r="I476" t="s">
        <v>8797</v>
      </c>
      <c r="J476" t="s">
        <v>33210</v>
      </c>
      <c r="K476" t="s">
        <v>42295</v>
      </c>
      <c r="M476" t="s">
        <v>42803</v>
      </c>
      <c r="N476" t="s">
        <v>46569</v>
      </c>
      <c r="O476" t="s">
        <v>46570</v>
      </c>
      <c r="P476">
        <v>0</v>
      </c>
      <c r="Q476">
        <v>6</v>
      </c>
      <c r="R476" t="s">
        <v>46571</v>
      </c>
      <c r="S476" t="s">
        <v>46687</v>
      </c>
      <c r="T476" t="s">
        <v>48219</v>
      </c>
      <c r="U476" t="s">
        <v>49206</v>
      </c>
      <c r="V476" t="s">
        <v>51917</v>
      </c>
      <c r="W476" t="s">
        <v>42803</v>
      </c>
      <c r="X476" t="s">
        <v>46572</v>
      </c>
    </row>
    <row r="477" spans="1:24">
      <c r="A477">
        <f>HYPERLINK("https://www.philgeps.gov.ph/GEPSNONPILOT/Tender/SplashBidNoticeAbstractUI.aspx?menuIndex=3&amp;refID=7064791&amp;Result=3","7064791")</f>
        <v>0</v>
      </c>
      <c r="B477" t="s">
        <v>204</v>
      </c>
      <c r="C477" t="s">
        <v>3995</v>
      </c>
      <c r="D477" t="s">
        <v>18816</v>
      </c>
      <c r="E477" t="s">
        <v>19343</v>
      </c>
      <c r="F477" t="s">
        <v>32664</v>
      </c>
      <c r="G477" t="s">
        <v>32674</v>
      </c>
      <c r="H477" t="s">
        <v>12635</v>
      </c>
      <c r="I477" t="s">
        <v>32720</v>
      </c>
      <c r="J477" t="s">
        <v>33211</v>
      </c>
      <c r="K477" t="s">
        <v>42284</v>
      </c>
      <c r="M477" t="s">
        <v>42768</v>
      </c>
      <c r="N477" t="s">
        <v>46569</v>
      </c>
      <c r="O477" t="s">
        <v>46570</v>
      </c>
      <c r="P477">
        <v>0</v>
      </c>
      <c r="Q477">
        <v>0</v>
      </c>
      <c r="R477" t="s">
        <v>46571</v>
      </c>
      <c r="S477" t="s">
        <v>46687</v>
      </c>
      <c r="T477" t="s">
        <v>48256</v>
      </c>
      <c r="U477" t="s">
        <v>49145</v>
      </c>
      <c r="W477" t="s">
        <v>42768</v>
      </c>
      <c r="X477" t="s">
        <v>46572</v>
      </c>
    </row>
    <row r="478" spans="1:24">
      <c r="A478">
        <f>HYPERLINK("https://www.philgeps.gov.ph/GEPSNONPILOT/Tender/SplashBidNoticeAbstractUI.aspx?menuIndex=3&amp;refID=7064860&amp;Result=3","7064860")</f>
        <v>0</v>
      </c>
      <c r="B478" t="s">
        <v>202</v>
      </c>
      <c r="C478" t="s">
        <v>3996</v>
      </c>
      <c r="D478" t="s">
        <v>18805</v>
      </c>
      <c r="E478" t="s">
        <v>19344</v>
      </c>
      <c r="F478" t="s">
        <v>32664</v>
      </c>
      <c r="G478" t="s">
        <v>32671</v>
      </c>
      <c r="H478" t="s">
        <v>12635</v>
      </c>
      <c r="I478" t="s">
        <v>32721</v>
      </c>
      <c r="J478" t="s">
        <v>33212</v>
      </c>
      <c r="K478" t="s">
        <v>42332</v>
      </c>
      <c r="M478" t="s">
        <v>42766</v>
      </c>
      <c r="N478" t="s">
        <v>46569</v>
      </c>
      <c r="O478" t="s">
        <v>46570</v>
      </c>
      <c r="P478">
        <v>0</v>
      </c>
      <c r="Q478">
        <v>0</v>
      </c>
      <c r="R478" t="s">
        <v>46571</v>
      </c>
      <c r="S478" t="s">
        <v>46687</v>
      </c>
      <c r="T478" t="s">
        <v>48256</v>
      </c>
      <c r="U478" t="s">
        <v>49207</v>
      </c>
      <c r="W478" t="s">
        <v>42766</v>
      </c>
      <c r="X478" t="s">
        <v>46572</v>
      </c>
    </row>
    <row r="479" spans="1:24">
      <c r="A479">
        <f>HYPERLINK("https://www.philgeps.gov.ph/GEPSNONPILOT/Tender/SplashBidNoticeAbstractUI.aspx?menuIndex=3&amp;refID=7064849&amp;Result=3","7064849")</f>
        <v>0</v>
      </c>
      <c r="B479" t="s">
        <v>189</v>
      </c>
      <c r="C479" t="s">
        <v>3997</v>
      </c>
      <c r="E479" t="s">
        <v>19345</v>
      </c>
      <c r="F479" t="s">
        <v>32664</v>
      </c>
      <c r="G479" t="s">
        <v>32671</v>
      </c>
      <c r="H479" t="s">
        <v>12635</v>
      </c>
      <c r="I479" t="s">
        <v>32699</v>
      </c>
      <c r="J479" t="s">
        <v>32898</v>
      </c>
      <c r="K479" t="s">
        <v>42297</v>
      </c>
      <c r="M479" t="s">
        <v>42753</v>
      </c>
      <c r="N479" t="s">
        <v>46569</v>
      </c>
      <c r="O479" t="s">
        <v>46570</v>
      </c>
      <c r="P479">
        <v>0</v>
      </c>
      <c r="Q479">
        <v>0</v>
      </c>
      <c r="R479" t="s">
        <v>46571</v>
      </c>
      <c r="S479" t="s">
        <v>46687</v>
      </c>
      <c r="T479" t="s">
        <v>48296</v>
      </c>
      <c r="U479" t="s">
        <v>49208</v>
      </c>
      <c r="W479" t="s">
        <v>42753</v>
      </c>
      <c r="X479" t="s">
        <v>46572</v>
      </c>
    </row>
    <row r="480" spans="1:24">
      <c r="A480">
        <f>HYPERLINK("https://www.philgeps.gov.ph/GEPSNONPILOT/Tender/SplashBidNoticeAbstractUI.aspx?menuIndex=3&amp;refID=7064892&amp;Result=3","7064892")</f>
        <v>0</v>
      </c>
      <c r="B480" t="s">
        <v>162</v>
      </c>
      <c r="C480" t="s">
        <v>3998</v>
      </c>
      <c r="D480" t="s">
        <v>18788</v>
      </c>
      <c r="E480" t="s">
        <v>19346</v>
      </c>
      <c r="F480" t="s">
        <v>32664</v>
      </c>
      <c r="G480" t="s">
        <v>32672</v>
      </c>
      <c r="H480" t="s">
        <v>12635</v>
      </c>
      <c r="I480" t="s">
        <v>4439</v>
      </c>
      <c r="J480" t="s">
        <v>33213</v>
      </c>
      <c r="K480" t="s">
        <v>42289</v>
      </c>
      <c r="M480" t="s">
        <v>42726</v>
      </c>
      <c r="N480" t="s">
        <v>46569</v>
      </c>
      <c r="O480" t="s">
        <v>46570</v>
      </c>
      <c r="P480">
        <v>0</v>
      </c>
      <c r="Q480">
        <v>0</v>
      </c>
      <c r="R480" t="s">
        <v>46571</v>
      </c>
      <c r="S480" t="s">
        <v>46687</v>
      </c>
      <c r="T480" t="s">
        <v>48236</v>
      </c>
      <c r="U480" t="s">
        <v>49209</v>
      </c>
      <c r="W480" t="s">
        <v>42726</v>
      </c>
      <c r="X480" t="s">
        <v>46572</v>
      </c>
    </row>
    <row r="481" spans="1:24">
      <c r="A481">
        <f>HYPERLINK("https://www.philgeps.gov.ph/GEPSNONPILOT/Tender/SplashBidNoticeAbstractUI.aspx?menuIndex=3&amp;refID=7064836&amp;Result=3","7064836")</f>
        <v>0</v>
      </c>
      <c r="B481" t="s">
        <v>239</v>
      </c>
      <c r="C481" t="s">
        <v>3999</v>
      </c>
      <c r="D481" t="s">
        <v>18801</v>
      </c>
      <c r="E481" t="s">
        <v>19347</v>
      </c>
      <c r="F481" t="s">
        <v>32664</v>
      </c>
      <c r="G481" t="s">
        <v>32671</v>
      </c>
      <c r="H481" t="s">
        <v>12635</v>
      </c>
      <c r="I481" t="s">
        <v>32694</v>
      </c>
      <c r="J481" t="s">
        <v>33214</v>
      </c>
      <c r="K481" t="s">
        <v>42283</v>
      </c>
      <c r="M481" t="s">
        <v>42804</v>
      </c>
      <c r="N481" t="s">
        <v>46569</v>
      </c>
      <c r="O481" t="s">
        <v>46570</v>
      </c>
      <c r="P481">
        <v>0</v>
      </c>
      <c r="Q481">
        <v>2</v>
      </c>
      <c r="R481" t="s">
        <v>46571</v>
      </c>
      <c r="S481" t="s">
        <v>46687</v>
      </c>
      <c r="T481" t="s">
        <v>48298</v>
      </c>
      <c r="U481" t="s">
        <v>49210</v>
      </c>
      <c r="W481" t="s">
        <v>63468</v>
      </c>
      <c r="X481" t="s">
        <v>46572</v>
      </c>
    </row>
    <row r="482" spans="1:24">
      <c r="A482">
        <f>HYPERLINK("https://www.philgeps.gov.ph/GEPSNONPILOT/Tender/SplashBidNoticeAbstractUI.aspx?menuIndex=3&amp;refID=7064852&amp;Result=3","7064852")</f>
        <v>0</v>
      </c>
      <c r="B482" t="s">
        <v>240</v>
      </c>
      <c r="C482" t="s">
        <v>4000</v>
      </c>
      <c r="D482" t="s">
        <v>18781</v>
      </c>
      <c r="E482" t="s">
        <v>19296</v>
      </c>
      <c r="F482" t="s">
        <v>32665</v>
      </c>
      <c r="G482" t="s">
        <v>32674</v>
      </c>
      <c r="H482" t="s">
        <v>12635</v>
      </c>
      <c r="I482" t="s">
        <v>8797</v>
      </c>
      <c r="J482" t="s">
        <v>33215</v>
      </c>
      <c r="K482" t="s">
        <v>42306</v>
      </c>
      <c r="M482" t="s">
        <v>42805</v>
      </c>
      <c r="N482" t="s">
        <v>46569</v>
      </c>
      <c r="O482" t="s">
        <v>46570</v>
      </c>
      <c r="P482">
        <v>0</v>
      </c>
      <c r="Q482">
        <v>0</v>
      </c>
      <c r="R482" t="s">
        <v>46571</v>
      </c>
      <c r="S482" t="s">
        <v>46687</v>
      </c>
      <c r="T482" t="s">
        <v>48307</v>
      </c>
      <c r="U482" t="s">
        <v>49211</v>
      </c>
      <c r="W482" t="s">
        <v>42805</v>
      </c>
      <c r="X482" t="s">
        <v>46572</v>
      </c>
    </row>
    <row r="483" spans="1:24">
      <c r="A483">
        <f>HYPERLINK("https://www.philgeps.gov.ph/GEPSNONPILOT/Tender/SplashBidNoticeAbstractUI.aspx?menuIndex=3&amp;refID=7064889&amp;Result=3","7064889")</f>
        <v>0</v>
      </c>
      <c r="B483" t="s">
        <v>241</v>
      </c>
      <c r="C483" t="s">
        <v>4001</v>
      </c>
      <c r="D483" t="s">
        <v>18822</v>
      </c>
      <c r="E483" t="s">
        <v>19348</v>
      </c>
      <c r="F483" t="s">
        <v>32664</v>
      </c>
      <c r="G483" t="s">
        <v>32672</v>
      </c>
      <c r="H483" t="s">
        <v>12635</v>
      </c>
      <c r="I483" t="s">
        <v>32708</v>
      </c>
      <c r="J483" t="s">
        <v>33216</v>
      </c>
      <c r="K483" t="s">
        <v>42283</v>
      </c>
      <c r="M483" t="s">
        <v>42806</v>
      </c>
      <c r="N483" t="s">
        <v>46569</v>
      </c>
      <c r="O483" t="s">
        <v>46570</v>
      </c>
      <c r="P483">
        <v>0</v>
      </c>
      <c r="Q483">
        <v>10</v>
      </c>
      <c r="R483" t="s">
        <v>46571</v>
      </c>
      <c r="S483" t="s">
        <v>46687</v>
      </c>
      <c r="T483" t="s">
        <v>48270</v>
      </c>
      <c r="U483" t="s">
        <v>49212</v>
      </c>
      <c r="W483" t="s">
        <v>42806</v>
      </c>
      <c r="X483" t="s">
        <v>46572</v>
      </c>
    </row>
    <row r="484" spans="1:24">
      <c r="A484">
        <f>HYPERLINK("https://www.philgeps.gov.ph/GEPSNONPILOT/Tender/SplashBidNoticeAbstractUI.aspx?menuIndex=3&amp;refID=7064855&amp;Result=3","7064855")</f>
        <v>0</v>
      </c>
      <c r="B484" t="s">
        <v>204</v>
      </c>
      <c r="C484" t="s">
        <v>4002</v>
      </c>
      <c r="D484" t="s">
        <v>18816</v>
      </c>
      <c r="E484" t="s">
        <v>19349</v>
      </c>
      <c r="F484" t="s">
        <v>32664</v>
      </c>
      <c r="G484" t="s">
        <v>32674</v>
      </c>
      <c r="H484" t="s">
        <v>12635</v>
      </c>
      <c r="I484" t="s">
        <v>6168</v>
      </c>
      <c r="J484" t="s">
        <v>33217</v>
      </c>
      <c r="K484" t="s">
        <v>42284</v>
      </c>
      <c r="M484" t="s">
        <v>42768</v>
      </c>
      <c r="N484" t="s">
        <v>46569</v>
      </c>
      <c r="O484" t="s">
        <v>46570</v>
      </c>
      <c r="P484">
        <v>0</v>
      </c>
      <c r="Q484">
        <v>1</v>
      </c>
      <c r="R484" t="s">
        <v>46571</v>
      </c>
      <c r="S484" t="s">
        <v>46687</v>
      </c>
      <c r="T484" t="s">
        <v>48256</v>
      </c>
      <c r="U484" t="s">
        <v>49213</v>
      </c>
      <c r="W484" t="s">
        <v>42768</v>
      </c>
      <c r="X484" t="s">
        <v>46572</v>
      </c>
    </row>
    <row r="485" spans="1:24">
      <c r="A485">
        <f>HYPERLINK("https://www.philgeps.gov.ph/GEPSNONPILOT/Tender/SplashBidNoticeAbstractUI.aspx?menuIndex=3&amp;refID=7064887&amp;Result=3","7064887")</f>
        <v>0</v>
      </c>
      <c r="B485" t="s">
        <v>242</v>
      </c>
      <c r="C485" t="s">
        <v>4003</v>
      </c>
      <c r="D485" t="s">
        <v>18792</v>
      </c>
      <c r="E485" t="s">
        <v>19350</v>
      </c>
      <c r="F485" t="s">
        <v>32664</v>
      </c>
      <c r="G485" t="s">
        <v>32674</v>
      </c>
      <c r="H485" t="s">
        <v>12635</v>
      </c>
      <c r="I485" t="s">
        <v>8730</v>
      </c>
      <c r="J485" t="s">
        <v>33218</v>
      </c>
      <c r="K485" t="s">
        <v>42283</v>
      </c>
      <c r="M485" t="s">
        <v>42807</v>
      </c>
      <c r="N485" t="s">
        <v>46569</v>
      </c>
      <c r="O485" t="s">
        <v>46570</v>
      </c>
      <c r="P485">
        <v>0</v>
      </c>
      <c r="Q485">
        <v>1</v>
      </c>
      <c r="R485" t="s">
        <v>46571</v>
      </c>
      <c r="S485" t="s">
        <v>46687</v>
      </c>
      <c r="T485" t="s">
        <v>48225</v>
      </c>
      <c r="U485" t="s">
        <v>49214</v>
      </c>
      <c r="W485" t="s">
        <v>42807</v>
      </c>
      <c r="X485" t="s">
        <v>46572</v>
      </c>
    </row>
    <row r="486" spans="1:24">
      <c r="A486">
        <f>HYPERLINK("https://www.philgeps.gov.ph/GEPSNONPILOT/Tender/SplashBidNoticeAbstractUI.aspx?menuIndex=3&amp;refID=7064886&amp;Result=3","7064886")</f>
        <v>0</v>
      </c>
      <c r="B486" t="s">
        <v>189</v>
      </c>
      <c r="C486" t="s">
        <v>4004</v>
      </c>
      <c r="E486" t="s">
        <v>19351</v>
      </c>
      <c r="F486" t="s">
        <v>32664</v>
      </c>
      <c r="G486" t="s">
        <v>32671</v>
      </c>
      <c r="H486" t="s">
        <v>12635</v>
      </c>
      <c r="I486" t="s">
        <v>32699</v>
      </c>
      <c r="J486" t="s">
        <v>33219</v>
      </c>
      <c r="K486" t="s">
        <v>42297</v>
      </c>
      <c r="M486" t="s">
        <v>42753</v>
      </c>
      <c r="N486" t="s">
        <v>46569</v>
      </c>
      <c r="O486" t="s">
        <v>46570</v>
      </c>
      <c r="P486">
        <v>0</v>
      </c>
      <c r="Q486">
        <v>0</v>
      </c>
      <c r="R486" t="s">
        <v>46571</v>
      </c>
      <c r="S486" t="s">
        <v>46687</v>
      </c>
      <c r="T486" t="s">
        <v>48296</v>
      </c>
      <c r="U486" t="s">
        <v>49215</v>
      </c>
      <c r="W486" t="s">
        <v>42753</v>
      </c>
      <c r="X486" t="s">
        <v>46572</v>
      </c>
    </row>
    <row r="487" spans="1:24">
      <c r="A487">
        <f>HYPERLINK("https://www.philgeps.gov.ph/GEPSNONPILOT/Tender/SplashBidNoticeAbstractUI.aspx?menuIndex=3&amp;refID=7064890&amp;Result=3","7064890")</f>
        <v>0</v>
      </c>
      <c r="B487" t="s">
        <v>183</v>
      </c>
      <c r="C487" t="s">
        <v>4005</v>
      </c>
      <c r="D487" t="s">
        <v>18806</v>
      </c>
      <c r="E487" t="s">
        <v>19352</v>
      </c>
      <c r="F487" t="s">
        <v>32664</v>
      </c>
      <c r="G487" t="s">
        <v>32675</v>
      </c>
      <c r="H487" t="s">
        <v>12635</v>
      </c>
      <c r="I487" t="s">
        <v>8730</v>
      </c>
      <c r="J487" t="s">
        <v>33220</v>
      </c>
      <c r="K487" t="s">
        <v>42281</v>
      </c>
      <c r="M487" t="s">
        <v>42747</v>
      </c>
      <c r="N487" t="s">
        <v>46569</v>
      </c>
      <c r="O487" t="s">
        <v>46570</v>
      </c>
      <c r="P487">
        <v>0</v>
      </c>
      <c r="Q487">
        <v>2</v>
      </c>
      <c r="R487" t="s">
        <v>46571</v>
      </c>
      <c r="S487" t="s">
        <v>46687</v>
      </c>
      <c r="T487" t="s">
        <v>48293</v>
      </c>
      <c r="U487" t="s">
        <v>49216</v>
      </c>
      <c r="W487" t="s">
        <v>42747</v>
      </c>
      <c r="X487" t="s">
        <v>46572</v>
      </c>
    </row>
    <row r="488" spans="1:24">
      <c r="A488">
        <f>HYPERLINK("https://www.philgeps.gov.ph/GEPSNONPILOT/Tender/SplashBidNoticeAbstractUI.aspx?menuIndex=3&amp;refID=7064883&amp;Result=3","7064883")</f>
        <v>0</v>
      </c>
      <c r="B488" t="s">
        <v>243</v>
      </c>
      <c r="C488" t="s">
        <v>4006</v>
      </c>
      <c r="D488" t="s">
        <v>18841</v>
      </c>
      <c r="E488" t="s">
        <v>19353</v>
      </c>
      <c r="F488" t="s">
        <v>32664</v>
      </c>
      <c r="G488" t="s">
        <v>32674</v>
      </c>
      <c r="H488" t="s">
        <v>12635</v>
      </c>
      <c r="I488" t="s">
        <v>10361</v>
      </c>
      <c r="J488" t="s">
        <v>33221</v>
      </c>
      <c r="K488" t="s">
        <v>42284</v>
      </c>
      <c r="L488" t="s">
        <v>243</v>
      </c>
      <c r="M488" t="s">
        <v>42808</v>
      </c>
      <c r="N488" t="s">
        <v>46569</v>
      </c>
      <c r="O488" t="s">
        <v>46570</v>
      </c>
      <c r="P488">
        <v>0</v>
      </c>
      <c r="Q488">
        <v>0</v>
      </c>
      <c r="R488" t="s">
        <v>46571</v>
      </c>
      <c r="S488" t="s">
        <v>46687</v>
      </c>
      <c r="T488" t="s">
        <v>48314</v>
      </c>
      <c r="U488" t="s">
        <v>49217</v>
      </c>
      <c r="V488" t="s">
        <v>61675</v>
      </c>
      <c r="W488" t="s">
        <v>42808</v>
      </c>
      <c r="X488" t="s">
        <v>46572</v>
      </c>
    </row>
    <row r="489" spans="1:24">
      <c r="A489">
        <f>HYPERLINK("https://www.philgeps.gov.ph/GEPSNONPILOT/Tender/SplashBidNoticeAbstractUI.aspx?menuIndex=3&amp;refID=7064888&amp;Result=3","7064888")</f>
        <v>0</v>
      </c>
      <c r="B489" t="s">
        <v>244</v>
      </c>
      <c r="C489" t="s">
        <v>4007</v>
      </c>
      <c r="D489" t="s">
        <v>18804</v>
      </c>
      <c r="E489" t="s">
        <v>19354</v>
      </c>
      <c r="F489" t="s">
        <v>32664</v>
      </c>
      <c r="G489" t="s">
        <v>32671</v>
      </c>
      <c r="H489" t="s">
        <v>12635</v>
      </c>
      <c r="I489" t="s">
        <v>32689</v>
      </c>
      <c r="J489" t="s">
        <v>33141</v>
      </c>
      <c r="K489" t="s">
        <v>42284</v>
      </c>
      <c r="M489" t="s">
        <v>42809</v>
      </c>
      <c r="N489" t="s">
        <v>46569</v>
      </c>
      <c r="O489" t="s">
        <v>46570</v>
      </c>
      <c r="P489">
        <v>0</v>
      </c>
      <c r="Q489">
        <v>0</v>
      </c>
      <c r="R489" t="s">
        <v>46571</v>
      </c>
      <c r="S489" t="s">
        <v>46687</v>
      </c>
      <c r="T489" t="s">
        <v>48256</v>
      </c>
      <c r="U489" t="s">
        <v>49218</v>
      </c>
      <c r="W489" t="s">
        <v>42809</v>
      </c>
      <c r="X489" t="s">
        <v>46572</v>
      </c>
    </row>
    <row r="490" spans="1:24">
      <c r="A490">
        <f>HYPERLINK("https://www.philgeps.gov.ph/GEPSNONPILOT/Tender/SplashBidNoticeAbstractUI.aspx?menuIndex=3&amp;refID=7064864&amp;Result=3","7064864")</f>
        <v>0</v>
      </c>
      <c r="B490" t="s">
        <v>194</v>
      </c>
      <c r="C490" t="s">
        <v>4008</v>
      </c>
      <c r="D490" t="s">
        <v>18791</v>
      </c>
      <c r="E490" t="s">
        <v>19355</v>
      </c>
      <c r="F490" t="s">
        <v>32664</v>
      </c>
      <c r="G490" t="s">
        <v>32675</v>
      </c>
      <c r="H490" t="s">
        <v>12635</v>
      </c>
      <c r="I490" t="s">
        <v>6168</v>
      </c>
      <c r="J490" t="s">
        <v>33222</v>
      </c>
      <c r="K490" t="s">
        <v>42284</v>
      </c>
      <c r="M490" t="s">
        <v>42758</v>
      </c>
      <c r="N490" t="s">
        <v>46569</v>
      </c>
      <c r="O490" t="s">
        <v>46570</v>
      </c>
      <c r="P490">
        <v>0</v>
      </c>
      <c r="Q490">
        <v>0</v>
      </c>
      <c r="R490" t="s">
        <v>46571</v>
      </c>
      <c r="S490" t="s">
        <v>46687</v>
      </c>
      <c r="T490" t="s">
        <v>48296</v>
      </c>
      <c r="U490" t="s">
        <v>49219</v>
      </c>
      <c r="W490" t="s">
        <v>42758</v>
      </c>
      <c r="X490" t="s">
        <v>46572</v>
      </c>
    </row>
    <row r="491" spans="1:24">
      <c r="A491">
        <f>HYPERLINK("https://www.philgeps.gov.ph/GEPSNONPILOT/Tender/SplashBidNoticeAbstractUI.aspx?menuIndex=3&amp;refID=7064853&amp;Result=3","7064853")</f>
        <v>0</v>
      </c>
      <c r="B491" t="s">
        <v>245</v>
      </c>
      <c r="C491" t="s">
        <v>4009</v>
      </c>
      <c r="D491" t="s">
        <v>18791</v>
      </c>
      <c r="E491" t="s">
        <v>19356</v>
      </c>
      <c r="F491" t="s">
        <v>32664</v>
      </c>
      <c r="G491" t="s">
        <v>32672</v>
      </c>
      <c r="H491" t="s">
        <v>12635</v>
      </c>
      <c r="I491" t="s">
        <v>6223</v>
      </c>
      <c r="J491" t="s">
        <v>33011</v>
      </c>
      <c r="K491" t="s">
        <v>42303</v>
      </c>
      <c r="M491" t="s">
        <v>42810</v>
      </c>
      <c r="N491" t="s">
        <v>46569</v>
      </c>
      <c r="O491" t="s">
        <v>46570</v>
      </c>
      <c r="P491">
        <v>0</v>
      </c>
      <c r="Q491">
        <v>1</v>
      </c>
      <c r="R491" t="s">
        <v>46571</v>
      </c>
      <c r="S491" t="s">
        <v>46687</v>
      </c>
      <c r="T491" t="s">
        <v>48233</v>
      </c>
      <c r="U491" t="s">
        <v>49220</v>
      </c>
      <c r="V491" t="s">
        <v>61676</v>
      </c>
      <c r="W491" t="s">
        <v>42810</v>
      </c>
      <c r="X491" t="s">
        <v>46572</v>
      </c>
    </row>
    <row r="492" spans="1:24">
      <c r="A492">
        <f>HYPERLINK("https://www.philgeps.gov.ph/GEPSNONPILOT/Tender/SplashBidNoticeAbstractUI.aspx?menuIndex=3&amp;refID=7064885&amp;Result=3","7064885")</f>
        <v>0</v>
      </c>
      <c r="B492" t="s">
        <v>246</v>
      </c>
      <c r="C492" t="s">
        <v>4010</v>
      </c>
      <c r="D492" t="s">
        <v>18784</v>
      </c>
      <c r="E492" t="s">
        <v>19357</v>
      </c>
      <c r="F492" t="s">
        <v>32664</v>
      </c>
      <c r="G492" t="s">
        <v>32671</v>
      </c>
      <c r="H492" t="s">
        <v>12635</v>
      </c>
      <c r="I492" t="s">
        <v>4205</v>
      </c>
      <c r="J492" t="s">
        <v>32976</v>
      </c>
      <c r="K492" t="s">
        <v>42283</v>
      </c>
      <c r="M492" t="s">
        <v>42811</v>
      </c>
      <c r="N492" t="s">
        <v>46569</v>
      </c>
      <c r="O492" t="s">
        <v>46570</v>
      </c>
      <c r="P492">
        <v>0</v>
      </c>
      <c r="Q492">
        <v>0</v>
      </c>
      <c r="R492" t="s">
        <v>46571</v>
      </c>
      <c r="S492" t="s">
        <v>46687</v>
      </c>
      <c r="T492" t="s">
        <v>48286</v>
      </c>
      <c r="U492" t="s">
        <v>49221</v>
      </c>
      <c r="V492" t="s">
        <v>61677</v>
      </c>
      <c r="W492" t="s">
        <v>42811</v>
      </c>
      <c r="X492" t="s">
        <v>46572</v>
      </c>
    </row>
    <row r="493" spans="1:24">
      <c r="A493">
        <f>HYPERLINK("https://www.philgeps.gov.ph/GEPSNONPILOT/Tender/SplashBidNoticeAbstractUI.aspx?menuIndex=3&amp;refID=7064880&amp;Result=3","7064880")</f>
        <v>0</v>
      </c>
      <c r="B493" t="s">
        <v>212</v>
      </c>
      <c r="C493" t="s">
        <v>4011</v>
      </c>
      <c r="D493" t="s">
        <v>18844</v>
      </c>
      <c r="E493" t="s">
        <v>19358</v>
      </c>
      <c r="F493" t="s">
        <v>32664</v>
      </c>
      <c r="G493" t="s">
        <v>32677</v>
      </c>
      <c r="H493" t="s">
        <v>12635</v>
      </c>
      <c r="I493" t="s">
        <v>32712</v>
      </c>
      <c r="J493" t="s">
        <v>33051</v>
      </c>
      <c r="K493" t="s">
        <v>42298</v>
      </c>
      <c r="M493" t="s">
        <v>42796</v>
      </c>
      <c r="N493" t="s">
        <v>46569</v>
      </c>
      <c r="O493" t="s">
        <v>46570</v>
      </c>
      <c r="P493">
        <v>0</v>
      </c>
      <c r="Q493">
        <v>3</v>
      </c>
      <c r="R493" t="s">
        <v>46571</v>
      </c>
      <c r="S493" t="s">
        <v>46687</v>
      </c>
      <c r="T493" t="s">
        <v>48311</v>
      </c>
      <c r="U493" t="s">
        <v>49222</v>
      </c>
      <c r="V493" t="s">
        <v>61673</v>
      </c>
      <c r="W493" t="s">
        <v>42796</v>
      </c>
      <c r="X493" t="s">
        <v>46572</v>
      </c>
    </row>
    <row r="494" spans="1:24">
      <c r="A494">
        <f>HYPERLINK("https://www.philgeps.gov.ph/GEPSNONPILOT/Tender/SplashBidNoticeAbstractUI.aspx?menuIndex=3&amp;refID=7064879&amp;Result=3","7064879")</f>
        <v>0</v>
      </c>
      <c r="B494" t="s">
        <v>247</v>
      </c>
      <c r="C494" t="s">
        <v>4012</v>
      </c>
      <c r="D494" t="s">
        <v>18786</v>
      </c>
      <c r="E494" t="s">
        <v>19359</v>
      </c>
      <c r="F494" t="s">
        <v>32664</v>
      </c>
      <c r="G494" t="s">
        <v>32671</v>
      </c>
      <c r="H494" t="s">
        <v>12635</v>
      </c>
      <c r="I494" t="s">
        <v>32722</v>
      </c>
      <c r="J494" t="s">
        <v>33223</v>
      </c>
      <c r="K494" t="s">
        <v>42289</v>
      </c>
      <c r="M494" t="s">
        <v>42812</v>
      </c>
      <c r="N494" t="s">
        <v>46569</v>
      </c>
      <c r="O494" t="s">
        <v>46570</v>
      </c>
      <c r="P494">
        <v>0</v>
      </c>
      <c r="Q494">
        <v>0</v>
      </c>
      <c r="R494" t="s">
        <v>46571</v>
      </c>
      <c r="S494" t="s">
        <v>46687</v>
      </c>
      <c r="T494" t="s">
        <v>48297</v>
      </c>
      <c r="U494" t="s">
        <v>49223</v>
      </c>
      <c r="V494" t="s">
        <v>61678</v>
      </c>
      <c r="W494" t="s">
        <v>42812</v>
      </c>
      <c r="X494" t="s">
        <v>46572</v>
      </c>
    </row>
    <row r="495" spans="1:24">
      <c r="A495">
        <f>HYPERLINK("https://www.philgeps.gov.ph/GEPSNONPILOT/Tender/SplashBidNoticeAbstractUI.aspx?menuIndex=3&amp;refID=7064920&amp;Result=3","7064920")</f>
        <v>0</v>
      </c>
      <c r="B495" t="s">
        <v>248</v>
      </c>
      <c r="C495" t="s">
        <v>4013</v>
      </c>
      <c r="D495" t="s">
        <v>18801</v>
      </c>
      <c r="E495" t="s">
        <v>19360</v>
      </c>
      <c r="F495" t="s">
        <v>32664</v>
      </c>
      <c r="G495" t="s">
        <v>32672</v>
      </c>
      <c r="H495" t="s">
        <v>32683</v>
      </c>
      <c r="I495" t="s">
        <v>32723</v>
      </c>
      <c r="J495" t="s">
        <v>33224</v>
      </c>
      <c r="K495" t="s">
        <v>42298</v>
      </c>
      <c r="M495" t="s">
        <v>42813</v>
      </c>
      <c r="N495" t="s">
        <v>46569</v>
      </c>
      <c r="O495" t="s">
        <v>46570</v>
      </c>
      <c r="P495">
        <v>0</v>
      </c>
      <c r="Q495">
        <v>2</v>
      </c>
      <c r="R495" t="s">
        <v>46571</v>
      </c>
      <c r="S495" t="s">
        <v>46687</v>
      </c>
      <c r="T495" t="s">
        <v>48222</v>
      </c>
      <c r="U495" t="s">
        <v>49224</v>
      </c>
      <c r="V495" t="s">
        <v>61679</v>
      </c>
      <c r="W495" t="s">
        <v>42813</v>
      </c>
      <c r="X495" t="s">
        <v>46572</v>
      </c>
    </row>
    <row r="496" spans="1:24">
      <c r="A496">
        <f>HYPERLINK("https://www.philgeps.gov.ph/GEPSNONPILOT/Tender/SplashBidNoticeAbstractUI.aspx?menuIndex=3&amp;refID=7064919&amp;Result=3","7064919")</f>
        <v>0</v>
      </c>
      <c r="B496" t="s">
        <v>249</v>
      </c>
      <c r="C496" t="s">
        <v>4014</v>
      </c>
      <c r="D496" t="s">
        <v>18831</v>
      </c>
      <c r="E496" t="s">
        <v>19246</v>
      </c>
      <c r="F496" t="s">
        <v>32664</v>
      </c>
      <c r="G496" t="s">
        <v>32671</v>
      </c>
      <c r="H496" t="s">
        <v>12635</v>
      </c>
      <c r="I496" t="s">
        <v>32721</v>
      </c>
      <c r="J496" t="s">
        <v>32974</v>
      </c>
      <c r="K496" t="s">
        <v>42281</v>
      </c>
      <c r="M496" t="s">
        <v>42814</v>
      </c>
      <c r="N496" t="s">
        <v>46569</v>
      </c>
      <c r="O496" t="s">
        <v>46570</v>
      </c>
      <c r="P496">
        <v>0</v>
      </c>
      <c r="Q496">
        <v>1</v>
      </c>
      <c r="R496" t="s">
        <v>46571</v>
      </c>
      <c r="S496" t="s">
        <v>46687</v>
      </c>
      <c r="T496" t="s">
        <v>48223</v>
      </c>
      <c r="U496" t="s">
        <v>49225</v>
      </c>
      <c r="W496" t="s">
        <v>42814</v>
      </c>
      <c r="X496" t="s">
        <v>46572</v>
      </c>
    </row>
    <row r="497" spans="1:24">
      <c r="A497">
        <f>HYPERLINK("https://www.philgeps.gov.ph/GEPSNONPILOT/Tender/SplashBidNoticeAbstractUI.aspx?menuIndex=3&amp;refID=7064917&amp;Result=3","7064917")</f>
        <v>0</v>
      </c>
      <c r="B497" t="s">
        <v>250</v>
      </c>
      <c r="C497" t="s">
        <v>4015</v>
      </c>
      <c r="D497" t="s">
        <v>18787</v>
      </c>
      <c r="E497" t="s">
        <v>19361</v>
      </c>
      <c r="F497" t="s">
        <v>32664</v>
      </c>
      <c r="G497" t="s">
        <v>32671</v>
      </c>
      <c r="H497" t="s">
        <v>12635</v>
      </c>
      <c r="I497" t="s">
        <v>4439</v>
      </c>
      <c r="J497" t="s">
        <v>33225</v>
      </c>
      <c r="K497" t="s">
        <v>42309</v>
      </c>
      <c r="M497" t="s">
        <v>42815</v>
      </c>
      <c r="N497" t="s">
        <v>46569</v>
      </c>
      <c r="O497" t="s">
        <v>46570</v>
      </c>
      <c r="P497">
        <v>0</v>
      </c>
      <c r="Q497">
        <v>0</v>
      </c>
      <c r="R497" t="s">
        <v>46571</v>
      </c>
      <c r="S497" t="s">
        <v>46687</v>
      </c>
      <c r="T497" t="s">
        <v>48251</v>
      </c>
      <c r="U497" t="s">
        <v>49226</v>
      </c>
      <c r="W497" t="s">
        <v>42815</v>
      </c>
      <c r="X497" t="s">
        <v>46572</v>
      </c>
    </row>
    <row r="498" spans="1:24">
      <c r="A498">
        <f>HYPERLINK("https://www.philgeps.gov.ph/GEPSNONPILOT/Tender/SplashBidNoticeAbstractUI.aspx?menuIndex=3&amp;refID=7064891&amp;Result=3","7064891")</f>
        <v>0</v>
      </c>
      <c r="B498" t="s">
        <v>251</v>
      </c>
      <c r="C498" t="s">
        <v>4016</v>
      </c>
      <c r="D498" t="s">
        <v>18785</v>
      </c>
      <c r="E498" t="s">
        <v>19362</v>
      </c>
      <c r="F498" t="s">
        <v>32664</v>
      </c>
      <c r="G498" t="s">
        <v>32671</v>
      </c>
      <c r="H498" t="s">
        <v>12635</v>
      </c>
      <c r="I498" t="s">
        <v>32684</v>
      </c>
      <c r="J498" t="s">
        <v>33226</v>
      </c>
      <c r="K498" t="s">
        <v>42295</v>
      </c>
      <c r="M498" t="s">
        <v>42816</v>
      </c>
      <c r="N498" t="s">
        <v>46569</v>
      </c>
      <c r="O498" t="s">
        <v>46570</v>
      </c>
      <c r="P498">
        <v>0</v>
      </c>
      <c r="Q498">
        <v>3</v>
      </c>
      <c r="R498" t="s">
        <v>46571</v>
      </c>
      <c r="S498" t="s">
        <v>46687</v>
      </c>
      <c r="T498" t="s">
        <v>48221</v>
      </c>
      <c r="U498" t="s">
        <v>49227</v>
      </c>
      <c r="W498" t="s">
        <v>42816</v>
      </c>
      <c r="X498" t="s">
        <v>46572</v>
      </c>
    </row>
    <row r="499" spans="1:24">
      <c r="A499">
        <f>HYPERLINK("https://www.philgeps.gov.ph/GEPSNONPILOT/Tender/SplashBidNoticeAbstractUI.aspx?menuIndex=3&amp;refID=7064916&amp;Result=3","7064916")</f>
        <v>0</v>
      </c>
      <c r="B499" t="s">
        <v>252</v>
      </c>
      <c r="C499" t="s">
        <v>4017</v>
      </c>
      <c r="D499" t="s">
        <v>18802</v>
      </c>
      <c r="E499" t="s">
        <v>19363</v>
      </c>
      <c r="F499" t="s">
        <v>32664</v>
      </c>
      <c r="G499" t="s">
        <v>32672</v>
      </c>
      <c r="H499" t="s">
        <v>12635</v>
      </c>
      <c r="I499" t="s">
        <v>32699</v>
      </c>
      <c r="J499" t="s">
        <v>33227</v>
      </c>
      <c r="K499" t="s">
        <v>42281</v>
      </c>
      <c r="L499" t="s">
        <v>252</v>
      </c>
      <c r="M499" t="s">
        <v>42817</v>
      </c>
      <c r="N499" t="s">
        <v>46569</v>
      </c>
      <c r="O499" t="s">
        <v>46570</v>
      </c>
      <c r="P499">
        <v>0</v>
      </c>
      <c r="Q499">
        <v>0</v>
      </c>
      <c r="R499" t="s">
        <v>46571</v>
      </c>
      <c r="S499" t="s">
        <v>46687</v>
      </c>
      <c r="T499" t="s">
        <v>48216</v>
      </c>
      <c r="U499" t="s">
        <v>49228</v>
      </c>
      <c r="V499" t="s">
        <v>61680</v>
      </c>
      <c r="W499" t="s">
        <v>42817</v>
      </c>
      <c r="X499" t="s">
        <v>46572</v>
      </c>
    </row>
    <row r="500" spans="1:24">
      <c r="A500">
        <f>HYPERLINK("https://www.philgeps.gov.ph/GEPSNONPILOT/Tender/SplashBidNoticeAbstractUI.aspx?menuIndex=3&amp;refID=7064915&amp;Result=3","7064915")</f>
        <v>0</v>
      </c>
      <c r="B500" t="s">
        <v>175</v>
      </c>
      <c r="C500" t="s">
        <v>4018</v>
      </c>
      <c r="D500" t="s">
        <v>18784</v>
      </c>
      <c r="E500" t="s">
        <v>19364</v>
      </c>
      <c r="F500" t="s">
        <v>32664</v>
      </c>
      <c r="G500" t="s">
        <v>32671</v>
      </c>
      <c r="H500" t="s">
        <v>12635</v>
      </c>
      <c r="I500" t="s">
        <v>32704</v>
      </c>
      <c r="J500" t="s">
        <v>33089</v>
      </c>
      <c r="K500" t="s">
        <v>42284</v>
      </c>
      <c r="M500" t="s">
        <v>42739</v>
      </c>
      <c r="N500" t="s">
        <v>46569</v>
      </c>
      <c r="O500" t="s">
        <v>46570</v>
      </c>
      <c r="P500">
        <v>0</v>
      </c>
      <c r="Q500">
        <v>0</v>
      </c>
      <c r="R500" t="s">
        <v>46571</v>
      </c>
      <c r="S500" t="s">
        <v>46687</v>
      </c>
      <c r="T500" t="s">
        <v>48246</v>
      </c>
      <c r="U500" t="s">
        <v>49229</v>
      </c>
      <c r="V500" t="s">
        <v>61661</v>
      </c>
      <c r="W500" t="s">
        <v>42739</v>
      </c>
      <c r="X500" t="s">
        <v>46572</v>
      </c>
    </row>
    <row r="501" spans="1:24">
      <c r="A501">
        <f>HYPERLINK("https://www.philgeps.gov.ph/GEPSNONPILOT/Tender/SplashBidNoticeAbstractUI.aspx?menuIndex=3&amp;refID=7064861&amp;Result=3","7064861")</f>
        <v>0</v>
      </c>
      <c r="B501" t="s">
        <v>183</v>
      </c>
      <c r="C501" t="s">
        <v>4019</v>
      </c>
      <c r="D501" t="s">
        <v>18806</v>
      </c>
      <c r="E501" t="s">
        <v>19365</v>
      </c>
      <c r="F501" t="s">
        <v>32664</v>
      </c>
      <c r="G501" t="s">
        <v>32671</v>
      </c>
      <c r="H501" t="s">
        <v>12635</v>
      </c>
      <c r="I501" t="s">
        <v>32718</v>
      </c>
      <c r="J501" t="s">
        <v>33228</v>
      </c>
      <c r="K501" t="s">
        <v>42283</v>
      </c>
      <c r="M501" t="s">
        <v>42747</v>
      </c>
      <c r="N501" t="s">
        <v>46569</v>
      </c>
      <c r="O501" t="s">
        <v>46570</v>
      </c>
      <c r="P501">
        <v>0</v>
      </c>
      <c r="Q501">
        <v>1</v>
      </c>
      <c r="R501" t="s">
        <v>46571</v>
      </c>
      <c r="S501" t="s">
        <v>46687</v>
      </c>
      <c r="T501" t="s">
        <v>48293</v>
      </c>
      <c r="U501" t="s">
        <v>49230</v>
      </c>
      <c r="W501" t="s">
        <v>42747</v>
      </c>
      <c r="X501" t="s">
        <v>46572</v>
      </c>
    </row>
    <row r="502" spans="1:24">
      <c r="A502">
        <f>HYPERLINK("https://www.philgeps.gov.ph/GEPSNONPILOT/Tender/SplashBidNoticeAbstractUI.aspx?menuIndex=3&amp;refID=7064913&amp;Result=3","7064913")</f>
        <v>0</v>
      </c>
      <c r="B502" t="s">
        <v>253</v>
      </c>
      <c r="C502" t="s">
        <v>4020</v>
      </c>
      <c r="D502" t="s">
        <v>18790</v>
      </c>
      <c r="E502" t="s">
        <v>19366</v>
      </c>
      <c r="F502" t="s">
        <v>32664</v>
      </c>
      <c r="G502" t="s">
        <v>32671</v>
      </c>
      <c r="H502" t="s">
        <v>12635</v>
      </c>
      <c r="I502" t="s">
        <v>32706</v>
      </c>
      <c r="J502" t="s">
        <v>33229</v>
      </c>
      <c r="K502" t="s">
        <v>42283</v>
      </c>
      <c r="M502" t="s">
        <v>42818</v>
      </c>
      <c r="N502" t="s">
        <v>46569</v>
      </c>
      <c r="O502" t="s">
        <v>46570</v>
      </c>
      <c r="P502">
        <v>0</v>
      </c>
      <c r="Q502">
        <v>0</v>
      </c>
      <c r="R502" t="s">
        <v>46571</v>
      </c>
      <c r="S502" t="s">
        <v>46687</v>
      </c>
      <c r="T502" t="s">
        <v>48283</v>
      </c>
      <c r="U502" t="s">
        <v>49231</v>
      </c>
      <c r="W502" t="s">
        <v>42818</v>
      </c>
      <c r="X502" t="s">
        <v>46572</v>
      </c>
    </row>
    <row r="503" spans="1:24">
      <c r="A503">
        <f>HYPERLINK("https://www.philgeps.gov.ph/GEPSNONPILOT/Tender/SplashBidNoticeAbstractUI.aspx?menuIndex=3&amp;refID=7064910&amp;Result=3","7064910")</f>
        <v>0</v>
      </c>
      <c r="B503" t="s">
        <v>254</v>
      </c>
      <c r="C503" t="s">
        <v>4021</v>
      </c>
      <c r="D503" t="s">
        <v>18843</v>
      </c>
      <c r="E503" t="s">
        <v>19367</v>
      </c>
      <c r="F503" t="s">
        <v>32664</v>
      </c>
      <c r="G503" t="s">
        <v>32671</v>
      </c>
      <c r="H503" t="s">
        <v>12635</v>
      </c>
      <c r="I503" t="s">
        <v>32685</v>
      </c>
      <c r="J503" t="s">
        <v>33230</v>
      </c>
      <c r="K503" t="s">
        <v>42281</v>
      </c>
      <c r="M503" t="s">
        <v>42819</v>
      </c>
      <c r="N503" t="s">
        <v>46569</v>
      </c>
      <c r="O503" t="s">
        <v>46570</v>
      </c>
      <c r="P503">
        <v>0</v>
      </c>
      <c r="Q503">
        <v>0</v>
      </c>
      <c r="R503" t="s">
        <v>46571</v>
      </c>
      <c r="S503" t="s">
        <v>46687</v>
      </c>
      <c r="T503" t="s">
        <v>48315</v>
      </c>
      <c r="U503" t="s">
        <v>49232</v>
      </c>
      <c r="W503" t="s">
        <v>63469</v>
      </c>
      <c r="X503" t="s">
        <v>46572</v>
      </c>
    </row>
    <row r="504" spans="1:24">
      <c r="A504">
        <f>HYPERLINK("https://www.philgeps.gov.ph/GEPSNONPILOT/Tender/SplashBidNoticeAbstractUI.aspx?menuIndex=3&amp;refID=7064918&amp;Result=3","7064918")</f>
        <v>0</v>
      </c>
      <c r="B504" t="s">
        <v>255</v>
      </c>
      <c r="C504" t="s">
        <v>4022</v>
      </c>
      <c r="D504" t="s">
        <v>18837</v>
      </c>
      <c r="E504" t="s">
        <v>19368</v>
      </c>
      <c r="F504" t="s">
        <v>32664</v>
      </c>
      <c r="G504" t="s">
        <v>32674</v>
      </c>
      <c r="H504" t="s">
        <v>12635</v>
      </c>
      <c r="I504" t="s">
        <v>4439</v>
      </c>
      <c r="J504" t="s">
        <v>33231</v>
      </c>
      <c r="K504" t="s">
        <v>42283</v>
      </c>
      <c r="M504" t="s">
        <v>42820</v>
      </c>
      <c r="N504" t="s">
        <v>46569</v>
      </c>
      <c r="O504" t="s">
        <v>46570</v>
      </c>
      <c r="P504">
        <v>0</v>
      </c>
      <c r="Q504">
        <v>0</v>
      </c>
      <c r="R504" t="s">
        <v>46571</v>
      </c>
      <c r="S504" t="s">
        <v>46687</v>
      </c>
      <c r="T504" t="s">
        <v>48316</v>
      </c>
      <c r="U504" t="s">
        <v>49233</v>
      </c>
      <c r="W504" t="s">
        <v>42820</v>
      </c>
      <c r="X504" t="s">
        <v>46572</v>
      </c>
    </row>
    <row r="505" spans="1:24">
      <c r="A505">
        <f>HYPERLINK("https://www.philgeps.gov.ph/GEPSNONPILOT/Tender/SplashBidNoticeAbstractUI.aspx?menuIndex=3&amp;refID=7064908&amp;Result=3","7064908")</f>
        <v>0</v>
      </c>
      <c r="B505" t="s">
        <v>256</v>
      </c>
      <c r="C505" t="s">
        <v>4023</v>
      </c>
      <c r="D505" t="s">
        <v>18799</v>
      </c>
      <c r="E505" t="s">
        <v>19369</v>
      </c>
      <c r="F505" t="s">
        <v>32664</v>
      </c>
      <c r="G505" t="s">
        <v>32671</v>
      </c>
      <c r="H505" t="s">
        <v>12635</v>
      </c>
      <c r="I505" t="s">
        <v>32724</v>
      </c>
      <c r="J505" t="s">
        <v>33232</v>
      </c>
      <c r="K505" t="s">
        <v>42297</v>
      </c>
      <c r="M505" t="s">
        <v>42821</v>
      </c>
      <c r="N505" t="s">
        <v>46569</v>
      </c>
      <c r="O505" t="s">
        <v>46570</v>
      </c>
      <c r="P505">
        <v>0</v>
      </c>
      <c r="Q505">
        <v>0</v>
      </c>
      <c r="R505" t="s">
        <v>46571</v>
      </c>
      <c r="S505" t="s">
        <v>46687</v>
      </c>
      <c r="T505" t="s">
        <v>48221</v>
      </c>
      <c r="U505" t="s">
        <v>49234</v>
      </c>
      <c r="V505" t="s">
        <v>61681</v>
      </c>
      <c r="W505" t="s">
        <v>42821</v>
      </c>
      <c r="X505" t="s">
        <v>46572</v>
      </c>
    </row>
    <row r="506" spans="1:24">
      <c r="A506">
        <f>HYPERLINK("https://www.philgeps.gov.ph/GEPSNONPILOT/Tender/SplashBidNoticeAbstractUI.aspx?menuIndex=3&amp;refID=7064881&amp;Result=3","7064881")</f>
        <v>0</v>
      </c>
      <c r="B506" t="s">
        <v>256</v>
      </c>
      <c r="C506" t="s">
        <v>4024</v>
      </c>
      <c r="D506" t="s">
        <v>18799</v>
      </c>
      <c r="E506" t="s">
        <v>19370</v>
      </c>
      <c r="F506" t="s">
        <v>32664</v>
      </c>
      <c r="G506" t="s">
        <v>32671</v>
      </c>
      <c r="H506" t="s">
        <v>12635</v>
      </c>
      <c r="I506" t="s">
        <v>8797</v>
      </c>
      <c r="J506" t="s">
        <v>33233</v>
      </c>
      <c r="K506" t="s">
        <v>42297</v>
      </c>
      <c r="M506" t="s">
        <v>42821</v>
      </c>
      <c r="N506" t="s">
        <v>46569</v>
      </c>
      <c r="O506" t="s">
        <v>46570</v>
      </c>
      <c r="P506">
        <v>0</v>
      </c>
      <c r="Q506">
        <v>3</v>
      </c>
      <c r="R506" t="s">
        <v>46571</v>
      </c>
      <c r="S506" t="s">
        <v>46687</v>
      </c>
      <c r="T506" t="s">
        <v>48221</v>
      </c>
      <c r="U506" t="s">
        <v>49235</v>
      </c>
      <c r="V506" t="s">
        <v>61681</v>
      </c>
      <c r="W506" t="s">
        <v>42821</v>
      </c>
      <c r="X506" t="s">
        <v>46572</v>
      </c>
    </row>
    <row r="507" spans="1:24">
      <c r="A507">
        <f>HYPERLINK("https://www.philgeps.gov.ph/GEPSNONPILOT/Tender/SplashBidNoticeAbstractUI.aspx?menuIndex=3&amp;refID=7064905&amp;Result=3","7064905")</f>
        <v>0</v>
      </c>
      <c r="B507" t="s">
        <v>211</v>
      </c>
      <c r="C507" t="s">
        <v>4025</v>
      </c>
      <c r="D507" t="s">
        <v>18843</v>
      </c>
      <c r="E507" t="s">
        <v>19371</v>
      </c>
      <c r="F507" t="s">
        <v>32664</v>
      </c>
      <c r="G507" t="s">
        <v>32675</v>
      </c>
      <c r="H507" t="s">
        <v>12635</v>
      </c>
      <c r="I507" t="s">
        <v>32725</v>
      </c>
      <c r="J507" t="s">
        <v>33234</v>
      </c>
      <c r="K507" t="s">
        <v>42281</v>
      </c>
      <c r="M507" t="s">
        <v>42775</v>
      </c>
      <c r="N507" t="s">
        <v>46569</v>
      </c>
      <c r="O507" t="s">
        <v>46570</v>
      </c>
      <c r="P507">
        <v>0</v>
      </c>
      <c r="Q507">
        <v>1</v>
      </c>
      <c r="R507" t="s">
        <v>46571</v>
      </c>
      <c r="S507" t="s">
        <v>46687</v>
      </c>
      <c r="T507" t="s">
        <v>48256</v>
      </c>
      <c r="U507" t="s">
        <v>49236</v>
      </c>
      <c r="W507" t="s">
        <v>42775</v>
      </c>
      <c r="X507" t="s">
        <v>46572</v>
      </c>
    </row>
    <row r="508" spans="1:24">
      <c r="A508">
        <f>HYPERLINK("https://www.philgeps.gov.ph/GEPSNONPILOT/Tender/SplashBidNoticeAbstractUI.aspx?menuIndex=3&amp;refID=7064904&amp;Result=3","7064904")</f>
        <v>0</v>
      </c>
      <c r="B508" t="s">
        <v>257</v>
      </c>
      <c r="C508" t="s">
        <v>4026</v>
      </c>
      <c r="D508" t="s">
        <v>18803</v>
      </c>
      <c r="E508" t="s">
        <v>19372</v>
      </c>
      <c r="F508" t="s">
        <v>32664</v>
      </c>
      <c r="G508" t="s">
        <v>32672</v>
      </c>
      <c r="H508" t="s">
        <v>32683</v>
      </c>
      <c r="I508" t="s">
        <v>10627</v>
      </c>
      <c r="J508" t="s">
        <v>32962</v>
      </c>
      <c r="K508" t="s">
        <v>42316</v>
      </c>
      <c r="M508" t="s">
        <v>42822</v>
      </c>
      <c r="N508" t="s">
        <v>46569</v>
      </c>
      <c r="O508" t="s">
        <v>46570</v>
      </c>
      <c r="P508">
        <v>0</v>
      </c>
      <c r="Q508">
        <v>0</v>
      </c>
      <c r="R508" t="s">
        <v>46571</v>
      </c>
      <c r="S508" t="s">
        <v>46687</v>
      </c>
      <c r="T508" t="s">
        <v>48317</v>
      </c>
      <c r="U508" t="s">
        <v>49237</v>
      </c>
      <c r="W508" t="s">
        <v>42822</v>
      </c>
      <c r="X508" t="s">
        <v>46572</v>
      </c>
    </row>
    <row r="509" spans="1:24">
      <c r="A509">
        <f>HYPERLINK("https://www.philgeps.gov.ph/GEPSNONPILOT/Tender/SplashBidNoticeAbstractUI.aspx?menuIndex=3&amp;refID=7064903&amp;Result=3","7064903")</f>
        <v>0</v>
      </c>
      <c r="B509" t="s">
        <v>192</v>
      </c>
      <c r="C509" t="s">
        <v>4027</v>
      </c>
      <c r="E509" t="s">
        <v>19373</v>
      </c>
      <c r="F509" t="s">
        <v>32664</v>
      </c>
      <c r="G509" t="s">
        <v>32672</v>
      </c>
      <c r="H509" t="s">
        <v>12635</v>
      </c>
      <c r="I509" t="s">
        <v>32726</v>
      </c>
      <c r="J509" t="s">
        <v>33235</v>
      </c>
      <c r="K509" t="s">
        <v>42283</v>
      </c>
      <c r="M509" t="s">
        <v>42756</v>
      </c>
      <c r="N509" t="s">
        <v>46569</v>
      </c>
      <c r="O509" t="s">
        <v>46570</v>
      </c>
      <c r="P509">
        <v>0</v>
      </c>
      <c r="Q509">
        <v>0</v>
      </c>
      <c r="R509" t="s">
        <v>46571</v>
      </c>
      <c r="S509" t="s">
        <v>46687</v>
      </c>
      <c r="T509" t="s">
        <v>48265</v>
      </c>
      <c r="U509" t="s">
        <v>49238</v>
      </c>
      <c r="V509" t="s">
        <v>61682</v>
      </c>
      <c r="W509" t="s">
        <v>42756</v>
      </c>
      <c r="X509" t="s">
        <v>46572</v>
      </c>
    </row>
    <row r="510" spans="1:24">
      <c r="A510">
        <f>HYPERLINK("https://www.philgeps.gov.ph/GEPSNONPILOT/Tender/SplashBidNoticeAbstractUI.aspx?menuIndex=3&amp;refID=7064898&amp;Result=3","7064898")</f>
        <v>0</v>
      </c>
      <c r="B510" t="s">
        <v>255</v>
      </c>
      <c r="C510" t="s">
        <v>4028</v>
      </c>
      <c r="D510" t="s">
        <v>18837</v>
      </c>
      <c r="E510" t="s">
        <v>19374</v>
      </c>
      <c r="F510" t="s">
        <v>32664</v>
      </c>
      <c r="G510" t="s">
        <v>32674</v>
      </c>
      <c r="H510" t="s">
        <v>12635</v>
      </c>
      <c r="I510" t="s">
        <v>4439</v>
      </c>
      <c r="J510" t="s">
        <v>33236</v>
      </c>
      <c r="K510" t="s">
        <v>42283</v>
      </c>
      <c r="M510" t="s">
        <v>42820</v>
      </c>
      <c r="N510" t="s">
        <v>46569</v>
      </c>
      <c r="O510" t="s">
        <v>46570</v>
      </c>
      <c r="P510">
        <v>0</v>
      </c>
      <c r="Q510">
        <v>0</v>
      </c>
      <c r="R510" t="s">
        <v>46571</v>
      </c>
      <c r="S510" t="s">
        <v>46687</v>
      </c>
      <c r="T510" t="s">
        <v>48316</v>
      </c>
      <c r="U510" t="s">
        <v>49239</v>
      </c>
      <c r="W510" t="s">
        <v>42820</v>
      </c>
      <c r="X510" t="s">
        <v>46572</v>
      </c>
    </row>
    <row r="511" spans="1:24">
      <c r="A511">
        <f>HYPERLINK("https://www.philgeps.gov.ph/GEPSNONPILOT/Tender/SplashBidNoticeAbstractUI.aspx?menuIndex=3&amp;refID=7064909&amp;Result=3","7064909")</f>
        <v>0</v>
      </c>
      <c r="B511" t="s">
        <v>258</v>
      </c>
      <c r="C511" t="s">
        <v>4029</v>
      </c>
      <c r="D511" t="s">
        <v>18782</v>
      </c>
      <c r="E511" t="s">
        <v>19375</v>
      </c>
      <c r="F511" t="s">
        <v>32664</v>
      </c>
      <c r="G511" t="s">
        <v>32671</v>
      </c>
      <c r="H511" t="s">
        <v>12635</v>
      </c>
      <c r="I511" t="s">
        <v>5589</v>
      </c>
      <c r="J511" t="s">
        <v>33237</v>
      </c>
      <c r="K511" t="s">
        <v>42284</v>
      </c>
      <c r="M511" t="s">
        <v>42823</v>
      </c>
      <c r="N511" t="s">
        <v>46569</v>
      </c>
      <c r="O511" t="s">
        <v>46570</v>
      </c>
      <c r="P511">
        <v>0</v>
      </c>
      <c r="Q511">
        <v>0</v>
      </c>
      <c r="R511" t="s">
        <v>46571</v>
      </c>
      <c r="S511" t="s">
        <v>46687</v>
      </c>
      <c r="T511" t="s">
        <v>48249</v>
      </c>
      <c r="U511" t="s">
        <v>49240</v>
      </c>
      <c r="W511" t="s">
        <v>42823</v>
      </c>
      <c r="X511" t="s">
        <v>46572</v>
      </c>
    </row>
    <row r="512" spans="1:24">
      <c r="A512">
        <f>HYPERLINK("https://www.philgeps.gov.ph/GEPSNONPILOT/Tender/SplashBidNoticeAbstractUI.aspx?menuIndex=3&amp;refID=7064897&amp;Result=3","7064897")</f>
        <v>0</v>
      </c>
      <c r="B512" t="s">
        <v>194</v>
      </c>
      <c r="C512" t="s">
        <v>4030</v>
      </c>
      <c r="D512" t="s">
        <v>18791</v>
      </c>
      <c r="E512" t="s">
        <v>19376</v>
      </c>
      <c r="F512" t="s">
        <v>32664</v>
      </c>
      <c r="G512" t="s">
        <v>32675</v>
      </c>
      <c r="H512" t="s">
        <v>12635</v>
      </c>
      <c r="I512" t="s">
        <v>6168</v>
      </c>
      <c r="J512" t="s">
        <v>33238</v>
      </c>
      <c r="K512" t="s">
        <v>42284</v>
      </c>
      <c r="M512" t="s">
        <v>42758</v>
      </c>
      <c r="N512" t="s">
        <v>46569</v>
      </c>
      <c r="O512" t="s">
        <v>46570</v>
      </c>
      <c r="P512">
        <v>0</v>
      </c>
      <c r="Q512">
        <v>0</v>
      </c>
      <c r="R512" t="s">
        <v>46571</v>
      </c>
      <c r="S512" t="s">
        <v>46687</v>
      </c>
      <c r="T512" t="s">
        <v>48276</v>
      </c>
      <c r="U512" t="s">
        <v>49241</v>
      </c>
      <c r="W512" t="s">
        <v>42758</v>
      </c>
      <c r="X512" t="s">
        <v>46572</v>
      </c>
    </row>
    <row r="513" spans="1:24">
      <c r="A513">
        <f>HYPERLINK("https://www.philgeps.gov.ph/GEPSNONPILOT/Tender/SplashBidNoticeAbstractUI.aspx?menuIndex=3&amp;refID=7064877&amp;Result=3","7064877")</f>
        <v>0</v>
      </c>
      <c r="B513" t="s">
        <v>236</v>
      </c>
      <c r="C513" t="s">
        <v>4031</v>
      </c>
      <c r="D513" t="s">
        <v>18789</v>
      </c>
      <c r="E513" t="s">
        <v>19377</v>
      </c>
      <c r="F513" t="s">
        <v>32664</v>
      </c>
      <c r="G513" t="s">
        <v>32671</v>
      </c>
      <c r="H513" t="s">
        <v>12635</v>
      </c>
      <c r="I513" t="s">
        <v>8730</v>
      </c>
      <c r="J513" t="s">
        <v>33015</v>
      </c>
      <c r="K513" t="s">
        <v>42297</v>
      </c>
      <c r="M513" t="s">
        <v>42801</v>
      </c>
      <c r="N513" t="s">
        <v>46569</v>
      </c>
      <c r="O513" t="s">
        <v>46570</v>
      </c>
      <c r="P513">
        <v>0</v>
      </c>
      <c r="Q513">
        <v>0</v>
      </c>
      <c r="R513" t="s">
        <v>46571</v>
      </c>
      <c r="S513" t="s">
        <v>46687</v>
      </c>
      <c r="T513" t="s">
        <v>48225</v>
      </c>
      <c r="U513" t="s">
        <v>49203</v>
      </c>
      <c r="W513" t="s">
        <v>42801</v>
      </c>
      <c r="X513" t="s">
        <v>46572</v>
      </c>
    </row>
    <row r="514" spans="1:24">
      <c r="A514">
        <f>HYPERLINK("https://www.philgeps.gov.ph/GEPSNONPILOT/Tender/SplashBidNoticeAbstractUI.aspx?menuIndex=3&amp;refID=7064876&amp;Result=3","7064876")</f>
        <v>0</v>
      </c>
      <c r="B514" t="s">
        <v>259</v>
      </c>
      <c r="C514" t="s">
        <v>4032</v>
      </c>
      <c r="D514" t="s">
        <v>18819</v>
      </c>
      <c r="E514" t="s">
        <v>19378</v>
      </c>
      <c r="F514" t="s">
        <v>32664</v>
      </c>
      <c r="G514" t="s">
        <v>32671</v>
      </c>
      <c r="H514" t="s">
        <v>12635</v>
      </c>
      <c r="I514" t="s">
        <v>4439</v>
      </c>
      <c r="J514" t="s">
        <v>32898</v>
      </c>
      <c r="K514" t="s">
        <v>42284</v>
      </c>
      <c r="M514" t="s">
        <v>42824</v>
      </c>
      <c r="N514" t="s">
        <v>46569</v>
      </c>
      <c r="O514" t="s">
        <v>46570</v>
      </c>
      <c r="P514">
        <v>0</v>
      </c>
      <c r="Q514">
        <v>1</v>
      </c>
      <c r="R514" t="s">
        <v>46571</v>
      </c>
      <c r="S514" t="s">
        <v>46687</v>
      </c>
      <c r="T514" t="s">
        <v>48226</v>
      </c>
      <c r="U514" t="s">
        <v>49242</v>
      </c>
      <c r="W514" t="s">
        <v>63470</v>
      </c>
      <c r="X514" t="s">
        <v>46572</v>
      </c>
    </row>
    <row r="515" spans="1:24">
      <c r="A515">
        <f>HYPERLINK("https://www.philgeps.gov.ph/GEPSNONPILOT/Tender/SplashBidNoticeAbstractUI.aspx?menuIndex=3&amp;refID=7064914&amp;Result=3","7064914")</f>
        <v>0</v>
      </c>
      <c r="B515" t="s">
        <v>183</v>
      </c>
      <c r="C515" t="s">
        <v>4033</v>
      </c>
      <c r="D515" t="s">
        <v>18806</v>
      </c>
      <c r="E515" t="s">
        <v>19379</v>
      </c>
      <c r="F515" t="s">
        <v>32664</v>
      </c>
      <c r="G515" t="s">
        <v>32675</v>
      </c>
      <c r="H515" t="s">
        <v>12635</v>
      </c>
      <c r="I515" t="s">
        <v>8730</v>
      </c>
      <c r="J515" t="s">
        <v>33239</v>
      </c>
      <c r="K515" t="s">
        <v>42281</v>
      </c>
      <c r="M515" t="s">
        <v>42747</v>
      </c>
      <c r="N515" t="s">
        <v>46569</v>
      </c>
      <c r="O515" t="s">
        <v>46570</v>
      </c>
      <c r="P515">
        <v>0</v>
      </c>
      <c r="Q515">
        <v>1</v>
      </c>
      <c r="R515" t="s">
        <v>46571</v>
      </c>
      <c r="S515" t="s">
        <v>46687</v>
      </c>
      <c r="T515" t="s">
        <v>48293</v>
      </c>
      <c r="U515" t="s">
        <v>49243</v>
      </c>
      <c r="W515" t="s">
        <v>42747</v>
      </c>
      <c r="X515" t="s">
        <v>46572</v>
      </c>
    </row>
    <row r="516" spans="1:24">
      <c r="A516">
        <f>HYPERLINK("https://www.philgeps.gov.ph/GEPSNONPILOT/Tender/SplashBidNoticeAbstractUI.aspx?menuIndex=3&amp;refID=7064875&amp;Result=3","7064875")</f>
        <v>0</v>
      </c>
      <c r="B516" t="s">
        <v>112</v>
      </c>
      <c r="C516" t="s">
        <v>4034</v>
      </c>
      <c r="D516" t="s">
        <v>18813</v>
      </c>
      <c r="E516" t="s">
        <v>19380</v>
      </c>
      <c r="F516" t="s">
        <v>32664</v>
      </c>
      <c r="G516" t="s">
        <v>32671</v>
      </c>
      <c r="H516" t="s">
        <v>12635</v>
      </c>
      <c r="I516" t="s">
        <v>6168</v>
      </c>
      <c r="J516" t="s">
        <v>33240</v>
      </c>
      <c r="K516" t="s">
        <v>42281</v>
      </c>
      <c r="M516" t="s">
        <v>42676</v>
      </c>
      <c r="N516" t="s">
        <v>46569</v>
      </c>
      <c r="O516" t="s">
        <v>46570</v>
      </c>
      <c r="P516">
        <v>0</v>
      </c>
      <c r="Q516">
        <v>0</v>
      </c>
      <c r="R516" t="s">
        <v>46571</v>
      </c>
      <c r="S516" t="s">
        <v>46687</v>
      </c>
      <c r="T516" t="s">
        <v>48221</v>
      </c>
      <c r="U516" t="s">
        <v>49244</v>
      </c>
      <c r="W516" t="s">
        <v>42676</v>
      </c>
      <c r="X516" t="s">
        <v>46572</v>
      </c>
    </row>
    <row r="517" spans="1:24">
      <c r="A517">
        <f>HYPERLINK("https://www.philgeps.gov.ph/GEPSNONPILOT/Tender/SplashBidNoticeAbstractUI.aspx?menuIndex=3&amp;refID=7064873&amp;Result=3","7064873")</f>
        <v>0</v>
      </c>
      <c r="B517" t="s">
        <v>260</v>
      </c>
      <c r="C517" t="s">
        <v>4035</v>
      </c>
      <c r="D517" t="s">
        <v>18786</v>
      </c>
      <c r="E517" t="s">
        <v>19381</v>
      </c>
      <c r="F517" t="s">
        <v>32664</v>
      </c>
      <c r="G517" t="s">
        <v>32677</v>
      </c>
      <c r="H517" t="s">
        <v>32683</v>
      </c>
      <c r="I517" t="s">
        <v>4439</v>
      </c>
      <c r="J517" t="s">
        <v>33241</v>
      </c>
      <c r="K517" t="s">
        <v>42283</v>
      </c>
      <c r="M517" t="s">
        <v>42825</v>
      </c>
      <c r="N517" t="s">
        <v>46569</v>
      </c>
      <c r="O517" t="s">
        <v>46570</v>
      </c>
      <c r="P517">
        <v>0</v>
      </c>
      <c r="Q517">
        <v>0</v>
      </c>
      <c r="R517" t="s">
        <v>46571</v>
      </c>
      <c r="S517" t="s">
        <v>46687</v>
      </c>
      <c r="T517" t="s">
        <v>48244</v>
      </c>
      <c r="U517" t="s">
        <v>49245</v>
      </c>
      <c r="W517" t="s">
        <v>42825</v>
      </c>
      <c r="X517" t="s">
        <v>46572</v>
      </c>
    </row>
    <row r="518" spans="1:24">
      <c r="A518">
        <f>HYPERLINK("https://www.philgeps.gov.ph/GEPSNONPILOT/Tender/SplashBidNoticeAbstractUI.aspx?menuIndex=3&amp;refID=7064868&amp;Result=3","7064868")</f>
        <v>0</v>
      </c>
      <c r="B518" t="s">
        <v>162</v>
      </c>
      <c r="C518" t="s">
        <v>4036</v>
      </c>
      <c r="D518" t="s">
        <v>18788</v>
      </c>
      <c r="E518" t="s">
        <v>19382</v>
      </c>
      <c r="F518" t="s">
        <v>32664</v>
      </c>
      <c r="G518" t="s">
        <v>32672</v>
      </c>
      <c r="H518" t="s">
        <v>12635</v>
      </c>
      <c r="I518" t="s">
        <v>4439</v>
      </c>
      <c r="J518" t="s">
        <v>33242</v>
      </c>
      <c r="K518" t="s">
        <v>42289</v>
      </c>
      <c r="M518" t="s">
        <v>42726</v>
      </c>
      <c r="N518" t="s">
        <v>46569</v>
      </c>
      <c r="O518" t="s">
        <v>46570</v>
      </c>
      <c r="P518">
        <v>0</v>
      </c>
      <c r="Q518">
        <v>0</v>
      </c>
      <c r="R518" t="s">
        <v>46571</v>
      </c>
      <c r="S518" t="s">
        <v>46687</v>
      </c>
      <c r="T518" t="s">
        <v>48236</v>
      </c>
      <c r="U518" t="s">
        <v>49246</v>
      </c>
      <c r="W518" t="s">
        <v>42726</v>
      </c>
      <c r="X518" t="s">
        <v>46572</v>
      </c>
    </row>
    <row r="519" spans="1:24">
      <c r="A519">
        <f>HYPERLINK("https://www.philgeps.gov.ph/GEPSNONPILOT/Tender/SplashBidNoticeAbstractUI.aspx?menuIndex=3&amp;refID=7064896&amp;Result=3","7064896")</f>
        <v>0</v>
      </c>
      <c r="B519" t="s">
        <v>200</v>
      </c>
      <c r="C519" t="s">
        <v>4037</v>
      </c>
      <c r="D519" t="s">
        <v>18799</v>
      </c>
      <c r="E519" t="s">
        <v>19383</v>
      </c>
      <c r="F519" t="s">
        <v>32664</v>
      </c>
      <c r="G519" t="s">
        <v>32672</v>
      </c>
      <c r="H519" t="s">
        <v>12635</v>
      </c>
      <c r="I519" t="s">
        <v>4439</v>
      </c>
      <c r="J519" t="s">
        <v>33243</v>
      </c>
      <c r="K519" t="s">
        <v>42326</v>
      </c>
      <c r="M519" t="s">
        <v>42764</v>
      </c>
      <c r="N519" t="s">
        <v>46569</v>
      </c>
      <c r="O519" t="s">
        <v>46570</v>
      </c>
      <c r="P519">
        <v>0</v>
      </c>
      <c r="Q519">
        <v>0</v>
      </c>
      <c r="R519" t="s">
        <v>46571</v>
      </c>
      <c r="S519" t="s">
        <v>46687</v>
      </c>
      <c r="T519" t="s">
        <v>48213</v>
      </c>
      <c r="U519" t="s">
        <v>49247</v>
      </c>
      <c r="V519" t="s">
        <v>61667</v>
      </c>
      <c r="W519" t="s">
        <v>42764</v>
      </c>
      <c r="X519" t="s">
        <v>46572</v>
      </c>
    </row>
    <row r="520" spans="1:24">
      <c r="A520">
        <f>HYPERLINK("https://www.philgeps.gov.ph/GEPSNONPILOT/Tender/SplashBidNoticeAbstractUI.aspx?menuIndex=3&amp;refID=7064902&amp;Result=3","7064902")</f>
        <v>0</v>
      </c>
      <c r="B520" t="s">
        <v>261</v>
      </c>
      <c r="C520" t="s">
        <v>4038</v>
      </c>
      <c r="D520" t="s">
        <v>18809</v>
      </c>
      <c r="E520" t="s">
        <v>19384</v>
      </c>
      <c r="F520" t="s">
        <v>32664</v>
      </c>
      <c r="G520" t="s">
        <v>32671</v>
      </c>
      <c r="H520" t="s">
        <v>12635</v>
      </c>
      <c r="I520" t="s">
        <v>10370</v>
      </c>
      <c r="J520" t="s">
        <v>33244</v>
      </c>
      <c r="K520" t="s">
        <v>42289</v>
      </c>
      <c r="M520" t="s">
        <v>42826</v>
      </c>
      <c r="N520" t="s">
        <v>46569</v>
      </c>
      <c r="O520" t="s">
        <v>46570</v>
      </c>
      <c r="P520">
        <v>0</v>
      </c>
      <c r="Q520">
        <v>2</v>
      </c>
      <c r="R520" t="s">
        <v>46571</v>
      </c>
      <c r="S520" t="s">
        <v>46687</v>
      </c>
      <c r="T520" t="s">
        <v>48219</v>
      </c>
      <c r="U520" t="s">
        <v>49248</v>
      </c>
      <c r="W520" t="s">
        <v>42826</v>
      </c>
      <c r="X520" t="s">
        <v>46572</v>
      </c>
    </row>
    <row r="521" spans="1:24">
      <c r="A521">
        <f>HYPERLINK("https://www.philgeps.gov.ph/GEPSNONPILOT/Tender/SplashBidNoticeAbstractUI.aspx?menuIndex=3&amp;refID=7064872&amp;Result=3","7064872")</f>
        <v>0</v>
      </c>
      <c r="B521" t="s">
        <v>225</v>
      </c>
      <c r="C521" t="s">
        <v>4039</v>
      </c>
      <c r="D521" t="s">
        <v>18784</v>
      </c>
      <c r="E521" t="s">
        <v>19385</v>
      </c>
      <c r="F521" t="s">
        <v>32664</v>
      </c>
      <c r="G521" t="s">
        <v>32674</v>
      </c>
      <c r="H521" t="s">
        <v>12635</v>
      </c>
      <c r="I521" t="s">
        <v>4439</v>
      </c>
      <c r="J521" t="s">
        <v>33245</v>
      </c>
      <c r="K521" t="s">
        <v>42281</v>
      </c>
      <c r="M521" t="s">
        <v>42789</v>
      </c>
      <c r="N521" t="s">
        <v>46569</v>
      </c>
      <c r="O521" t="s">
        <v>46570</v>
      </c>
      <c r="P521">
        <v>0</v>
      </c>
      <c r="Q521">
        <v>0</v>
      </c>
      <c r="R521" t="s">
        <v>46571</v>
      </c>
      <c r="S521" t="s">
        <v>46687</v>
      </c>
      <c r="T521" t="s">
        <v>48225</v>
      </c>
      <c r="U521" t="s">
        <v>49249</v>
      </c>
      <c r="W521" t="s">
        <v>42789</v>
      </c>
      <c r="X521" t="s">
        <v>46572</v>
      </c>
    </row>
    <row r="522" spans="1:24">
      <c r="A522">
        <f>HYPERLINK("https://www.philgeps.gov.ph/GEPSNONPILOT/Tender/SplashBidNoticeAbstractUI.aspx?menuIndex=3&amp;refID=7064845&amp;Result=3","7064845")</f>
        <v>0</v>
      </c>
      <c r="B522" t="s">
        <v>135</v>
      </c>
      <c r="C522" t="s">
        <v>4040</v>
      </c>
      <c r="D522" t="s">
        <v>18807</v>
      </c>
      <c r="E522" t="s">
        <v>19386</v>
      </c>
      <c r="F522" t="s">
        <v>32664</v>
      </c>
      <c r="G522" t="s">
        <v>32672</v>
      </c>
      <c r="H522" t="s">
        <v>12635</v>
      </c>
      <c r="I522" t="s">
        <v>32706</v>
      </c>
      <c r="J522" t="s">
        <v>33246</v>
      </c>
      <c r="K522" t="s">
        <v>42281</v>
      </c>
      <c r="M522" t="s">
        <v>42699</v>
      </c>
      <c r="N522" t="s">
        <v>46569</v>
      </c>
      <c r="O522" t="s">
        <v>46570</v>
      </c>
      <c r="P522">
        <v>0</v>
      </c>
      <c r="Q522">
        <v>0</v>
      </c>
      <c r="R522" t="s">
        <v>46571</v>
      </c>
      <c r="S522" t="s">
        <v>46687</v>
      </c>
      <c r="T522" t="s">
        <v>48226</v>
      </c>
      <c r="U522" t="s">
        <v>49250</v>
      </c>
      <c r="V522" t="s">
        <v>61650</v>
      </c>
      <c r="W522" t="s">
        <v>42699</v>
      </c>
      <c r="X522" t="s">
        <v>46572</v>
      </c>
    </row>
    <row r="523" spans="1:24">
      <c r="A523">
        <f>HYPERLINK("https://www.philgeps.gov.ph/GEPSNONPILOT/Tender/SplashBidNoticeAbstractUI.aspx?menuIndex=3&amp;refID=7064848&amp;Result=3","7064848")</f>
        <v>0</v>
      </c>
      <c r="B523" t="s">
        <v>180</v>
      </c>
      <c r="C523" t="s">
        <v>4041</v>
      </c>
      <c r="D523" t="s">
        <v>18794</v>
      </c>
      <c r="E523" t="s">
        <v>19387</v>
      </c>
      <c r="F523" t="s">
        <v>32664</v>
      </c>
      <c r="G523" t="s">
        <v>32677</v>
      </c>
      <c r="H523" t="s">
        <v>12635</v>
      </c>
      <c r="I523" t="s">
        <v>4439</v>
      </c>
      <c r="J523" t="s">
        <v>33247</v>
      </c>
      <c r="K523" t="s">
        <v>42283</v>
      </c>
      <c r="M523" t="s">
        <v>42744</v>
      </c>
      <c r="N523" t="s">
        <v>46569</v>
      </c>
      <c r="O523" t="s">
        <v>46570</v>
      </c>
      <c r="P523">
        <v>0</v>
      </c>
      <c r="Q523">
        <v>0</v>
      </c>
      <c r="R523" t="s">
        <v>46571</v>
      </c>
      <c r="S523" t="s">
        <v>46687</v>
      </c>
      <c r="T523" t="s">
        <v>48228</v>
      </c>
      <c r="U523" t="s">
        <v>49251</v>
      </c>
      <c r="W523" t="s">
        <v>63467</v>
      </c>
      <c r="X523" t="s">
        <v>46572</v>
      </c>
    </row>
    <row r="524" spans="1:24">
      <c r="A524">
        <f>HYPERLINK("https://www.philgeps.gov.ph/GEPSNONPILOT/Tender/SplashBidNoticeAbstractUI.aspx?menuIndex=3&amp;refID=7064912&amp;Result=3","7064912")</f>
        <v>0</v>
      </c>
      <c r="B524" t="s">
        <v>251</v>
      </c>
      <c r="C524" t="s">
        <v>4042</v>
      </c>
      <c r="D524" t="s">
        <v>18785</v>
      </c>
      <c r="E524" t="s">
        <v>19388</v>
      </c>
      <c r="F524" t="s">
        <v>32664</v>
      </c>
      <c r="G524" t="s">
        <v>32671</v>
      </c>
      <c r="H524" t="s">
        <v>12635</v>
      </c>
      <c r="I524" t="s">
        <v>32685</v>
      </c>
      <c r="J524" t="s">
        <v>33248</v>
      </c>
      <c r="K524" t="s">
        <v>42295</v>
      </c>
      <c r="M524" t="s">
        <v>42816</v>
      </c>
      <c r="N524" t="s">
        <v>46569</v>
      </c>
      <c r="O524" t="s">
        <v>46570</v>
      </c>
      <c r="P524">
        <v>0</v>
      </c>
      <c r="Q524">
        <v>0</v>
      </c>
      <c r="R524" t="s">
        <v>46571</v>
      </c>
      <c r="S524" t="s">
        <v>46687</v>
      </c>
      <c r="T524" t="s">
        <v>48221</v>
      </c>
      <c r="U524" t="s">
        <v>49252</v>
      </c>
      <c r="W524" t="s">
        <v>42816</v>
      </c>
      <c r="X524" t="s">
        <v>46572</v>
      </c>
    </row>
    <row r="525" spans="1:24">
      <c r="A525">
        <f>HYPERLINK("https://www.philgeps.gov.ph/GEPSNONPILOT/Tender/SplashBidNoticeAbstractUI.aspx?menuIndex=3&amp;refID=7064911&amp;Result=3","7064911")</f>
        <v>0</v>
      </c>
      <c r="B525" t="s">
        <v>262</v>
      </c>
      <c r="C525" t="s">
        <v>4043</v>
      </c>
      <c r="E525" t="s">
        <v>19389</v>
      </c>
      <c r="F525" t="s">
        <v>32665</v>
      </c>
      <c r="G525" t="s">
        <v>32674</v>
      </c>
      <c r="H525" t="s">
        <v>12635</v>
      </c>
      <c r="I525" t="s">
        <v>6168</v>
      </c>
      <c r="J525" t="s">
        <v>33249</v>
      </c>
      <c r="K525" t="s">
        <v>42283</v>
      </c>
      <c r="M525" t="s">
        <v>42827</v>
      </c>
      <c r="N525" t="s">
        <v>46569</v>
      </c>
      <c r="O525" t="s">
        <v>46570</v>
      </c>
      <c r="P525">
        <v>0</v>
      </c>
      <c r="Q525">
        <v>0</v>
      </c>
      <c r="R525" t="s">
        <v>46571</v>
      </c>
      <c r="S525" t="s">
        <v>46687</v>
      </c>
      <c r="T525" t="s">
        <v>48307</v>
      </c>
      <c r="U525" t="s">
        <v>49253</v>
      </c>
      <c r="W525" t="s">
        <v>42827</v>
      </c>
      <c r="X525" t="s">
        <v>46572</v>
      </c>
    </row>
    <row r="526" spans="1:24">
      <c r="A526">
        <f>HYPERLINK("https://www.philgeps.gov.ph/GEPSNONPILOT/Tender/SplashBidNoticeAbstractUI.aspx?menuIndex=3&amp;refID=7064847&amp;Result=3","7064847")</f>
        <v>0</v>
      </c>
      <c r="B526" t="s">
        <v>263</v>
      </c>
      <c r="C526" t="s">
        <v>4044</v>
      </c>
      <c r="D526" t="s">
        <v>18786</v>
      </c>
      <c r="E526" t="s">
        <v>19390</v>
      </c>
      <c r="F526" t="s">
        <v>32664</v>
      </c>
      <c r="G526" t="s">
        <v>32677</v>
      </c>
      <c r="H526" t="s">
        <v>12635</v>
      </c>
      <c r="I526" t="s">
        <v>4439</v>
      </c>
      <c r="J526" t="s">
        <v>33250</v>
      </c>
      <c r="K526" t="s">
        <v>42283</v>
      </c>
      <c r="M526" t="s">
        <v>42828</v>
      </c>
      <c r="N526" t="s">
        <v>46569</v>
      </c>
      <c r="O526" t="s">
        <v>46570</v>
      </c>
      <c r="P526">
        <v>0</v>
      </c>
      <c r="Q526">
        <v>0</v>
      </c>
      <c r="R526" t="s">
        <v>46571</v>
      </c>
      <c r="S526" t="s">
        <v>46687</v>
      </c>
      <c r="T526" t="s">
        <v>48217</v>
      </c>
      <c r="U526" t="s">
        <v>49254</v>
      </c>
      <c r="W526" t="s">
        <v>42828</v>
      </c>
      <c r="X526" t="s">
        <v>46572</v>
      </c>
    </row>
    <row r="527" spans="1:24">
      <c r="A527">
        <f>HYPERLINK("https://www.philgeps.gov.ph/GEPSNONPILOT/Tender/SplashBidNoticeAbstractUI.aspx?menuIndex=3&amp;refID=7064949&amp;Result=3","7064949")</f>
        <v>0</v>
      </c>
      <c r="B527" t="s">
        <v>256</v>
      </c>
      <c r="C527" t="s">
        <v>4045</v>
      </c>
      <c r="D527" t="s">
        <v>18799</v>
      </c>
      <c r="E527" t="s">
        <v>19391</v>
      </c>
      <c r="F527" t="s">
        <v>32664</v>
      </c>
      <c r="G527" t="s">
        <v>32671</v>
      </c>
      <c r="H527" t="s">
        <v>12635</v>
      </c>
      <c r="I527" t="s">
        <v>32727</v>
      </c>
      <c r="J527" t="s">
        <v>33251</v>
      </c>
      <c r="K527" t="s">
        <v>42297</v>
      </c>
      <c r="M527" t="s">
        <v>42821</v>
      </c>
      <c r="N527" t="s">
        <v>46569</v>
      </c>
      <c r="O527" t="s">
        <v>46570</v>
      </c>
      <c r="P527">
        <v>0</v>
      </c>
      <c r="Q527">
        <v>2</v>
      </c>
      <c r="R527" t="s">
        <v>46571</v>
      </c>
      <c r="S527" t="s">
        <v>46687</v>
      </c>
      <c r="T527" t="s">
        <v>48221</v>
      </c>
      <c r="U527" t="s">
        <v>49255</v>
      </c>
      <c r="V527" t="s">
        <v>61683</v>
      </c>
      <c r="W527" t="s">
        <v>42821</v>
      </c>
      <c r="X527" t="s">
        <v>46572</v>
      </c>
    </row>
    <row r="528" spans="1:24">
      <c r="A528">
        <f>HYPERLINK("https://www.philgeps.gov.ph/GEPSNONPILOT/Tender/SplashBidNoticeAbstractUI.aspx?menuIndex=3&amp;refID=7064946&amp;Result=3","7064946")</f>
        <v>0</v>
      </c>
      <c r="B528" t="s">
        <v>264</v>
      </c>
      <c r="C528" t="s">
        <v>4046</v>
      </c>
      <c r="D528" t="s">
        <v>18841</v>
      </c>
      <c r="E528" t="s">
        <v>19392</v>
      </c>
      <c r="F528" t="s">
        <v>32664</v>
      </c>
      <c r="G528" t="s">
        <v>32672</v>
      </c>
      <c r="H528" t="s">
        <v>32682</v>
      </c>
      <c r="I528" t="s">
        <v>9597</v>
      </c>
      <c r="J528" t="s">
        <v>32859</v>
      </c>
      <c r="K528" t="s">
        <v>42289</v>
      </c>
      <c r="M528" t="s">
        <v>42829</v>
      </c>
      <c r="N528" t="s">
        <v>46569</v>
      </c>
      <c r="O528" t="s">
        <v>46570</v>
      </c>
      <c r="P528">
        <v>0</v>
      </c>
      <c r="Q528">
        <v>4</v>
      </c>
      <c r="R528" t="s">
        <v>46571</v>
      </c>
      <c r="S528" t="s">
        <v>46687</v>
      </c>
      <c r="T528" t="s">
        <v>48257</v>
      </c>
      <c r="U528" t="s">
        <v>49256</v>
      </c>
      <c r="V528" t="s">
        <v>61684</v>
      </c>
      <c r="W528" t="s">
        <v>42829</v>
      </c>
      <c r="X528" t="s">
        <v>46572</v>
      </c>
    </row>
    <row r="529" spans="1:24">
      <c r="A529">
        <f>HYPERLINK("https://www.philgeps.gov.ph/GEPSNONPILOT/Tender/SplashBidNoticeAbstractUI.aspx?menuIndex=3&amp;refID=7064926&amp;Result=3","7064926")</f>
        <v>0</v>
      </c>
      <c r="B529" t="s">
        <v>265</v>
      </c>
      <c r="C529" t="s">
        <v>4047</v>
      </c>
      <c r="D529" t="s">
        <v>18805</v>
      </c>
      <c r="E529" t="s">
        <v>19393</v>
      </c>
      <c r="F529" t="s">
        <v>32664</v>
      </c>
      <c r="G529" t="s">
        <v>32671</v>
      </c>
      <c r="H529" t="s">
        <v>12635</v>
      </c>
      <c r="I529" t="s">
        <v>32706</v>
      </c>
      <c r="J529" t="s">
        <v>32898</v>
      </c>
      <c r="K529" t="s">
        <v>42334</v>
      </c>
      <c r="M529" t="s">
        <v>42830</v>
      </c>
      <c r="N529" t="s">
        <v>46569</v>
      </c>
      <c r="O529" t="s">
        <v>46570</v>
      </c>
      <c r="P529">
        <v>0</v>
      </c>
      <c r="Q529">
        <v>0</v>
      </c>
      <c r="R529" t="s">
        <v>46571</v>
      </c>
      <c r="S529" t="s">
        <v>46687</v>
      </c>
      <c r="T529" t="s">
        <v>48228</v>
      </c>
      <c r="U529" t="s">
        <v>49257</v>
      </c>
      <c r="V529" t="s">
        <v>61685</v>
      </c>
      <c r="W529" t="s">
        <v>42830</v>
      </c>
      <c r="X529" t="s">
        <v>46572</v>
      </c>
    </row>
    <row r="530" spans="1:24">
      <c r="A530">
        <f>HYPERLINK("https://www.philgeps.gov.ph/GEPSNONPILOT/Tender/SplashBidNoticeAbstractUI.aspx?menuIndex=3&amp;refID=7064945&amp;Result=3","7064945")</f>
        <v>0</v>
      </c>
      <c r="B530" t="s">
        <v>257</v>
      </c>
      <c r="C530" t="s">
        <v>4048</v>
      </c>
      <c r="D530" t="s">
        <v>18803</v>
      </c>
      <c r="E530" t="s">
        <v>19394</v>
      </c>
      <c r="F530" t="s">
        <v>32664</v>
      </c>
      <c r="G530" t="s">
        <v>32672</v>
      </c>
      <c r="H530" t="s">
        <v>32683</v>
      </c>
      <c r="I530" t="s">
        <v>10627</v>
      </c>
      <c r="J530" t="s">
        <v>32962</v>
      </c>
      <c r="K530" t="s">
        <v>42314</v>
      </c>
      <c r="M530" t="s">
        <v>42822</v>
      </c>
      <c r="N530" t="s">
        <v>46569</v>
      </c>
      <c r="O530" t="s">
        <v>46570</v>
      </c>
      <c r="P530">
        <v>0</v>
      </c>
      <c r="Q530">
        <v>0</v>
      </c>
      <c r="R530" t="s">
        <v>46571</v>
      </c>
      <c r="S530" t="s">
        <v>46687</v>
      </c>
      <c r="T530" t="s">
        <v>48317</v>
      </c>
      <c r="U530" t="s">
        <v>49237</v>
      </c>
      <c r="W530" t="s">
        <v>42822</v>
      </c>
      <c r="X530" t="s">
        <v>46572</v>
      </c>
    </row>
    <row r="531" spans="1:24">
      <c r="A531">
        <f>HYPERLINK("https://www.philgeps.gov.ph/GEPSNONPILOT/Tender/SplashBidNoticeAbstractUI.aspx?menuIndex=3&amp;refID=7064954&amp;Result=3","7064954")</f>
        <v>0</v>
      </c>
      <c r="B531" t="s">
        <v>266</v>
      </c>
      <c r="C531" t="s">
        <v>4049</v>
      </c>
      <c r="D531" t="s">
        <v>18796</v>
      </c>
      <c r="E531" t="s">
        <v>19395</v>
      </c>
      <c r="F531" t="s">
        <v>32664</v>
      </c>
      <c r="G531" t="s">
        <v>32671</v>
      </c>
      <c r="H531" t="s">
        <v>12635</v>
      </c>
      <c r="I531" t="s">
        <v>4333</v>
      </c>
      <c r="J531" t="s">
        <v>33252</v>
      </c>
      <c r="K531" t="s">
        <v>42284</v>
      </c>
      <c r="M531" t="s">
        <v>42831</v>
      </c>
      <c r="N531" t="s">
        <v>46569</v>
      </c>
      <c r="O531" t="s">
        <v>46570</v>
      </c>
      <c r="P531">
        <v>0</v>
      </c>
      <c r="Q531">
        <v>3</v>
      </c>
      <c r="R531" t="s">
        <v>46571</v>
      </c>
      <c r="S531" t="s">
        <v>46687</v>
      </c>
      <c r="T531" t="s">
        <v>48256</v>
      </c>
      <c r="U531" t="s">
        <v>49258</v>
      </c>
      <c r="W531" t="s">
        <v>42831</v>
      </c>
      <c r="X531" t="s">
        <v>46572</v>
      </c>
    </row>
    <row r="532" spans="1:24">
      <c r="A532">
        <f>HYPERLINK("https://www.philgeps.gov.ph/GEPSNONPILOT/Tender/SplashBidNoticeAbstractUI.aspx?menuIndex=3&amp;refID=7064869&amp;Result=3","7064869")</f>
        <v>0</v>
      </c>
      <c r="B532" t="s">
        <v>267</v>
      </c>
      <c r="C532" t="s">
        <v>4050</v>
      </c>
      <c r="E532" t="s">
        <v>19396</v>
      </c>
      <c r="F532" t="s">
        <v>32664</v>
      </c>
      <c r="G532" t="s">
        <v>32671</v>
      </c>
      <c r="H532" t="s">
        <v>12635</v>
      </c>
      <c r="I532" t="s">
        <v>5501</v>
      </c>
      <c r="J532" t="s">
        <v>33253</v>
      </c>
      <c r="K532" t="s">
        <v>42283</v>
      </c>
      <c r="M532" t="s">
        <v>42832</v>
      </c>
      <c r="N532" t="s">
        <v>46569</v>
      </c>
      <c r="O532" t="s">
        <v>46570</v>
      </c>
      <c r="P532">
        <v>0</v>
      </c>
      <c r="Q532">
        <v>2</v>
      </c>
      <c r="R532" t="s">
        <v>46571</v>
      </c>
      <c r="S532" t="s">
        <v>46687</v>
      </c>
      <c r="T532" t="s">
        <v>48219</v>
      </c>
      <c r="U532" t="s">
        <v>49259</v>
      </c>
      <c r="W532" t="s">
        <v>42832</v>
      </c>
      <c r="X532" t="s">
        <v>46572</v>
      </c>
    </row>
    <row r="533" spans="1:24">
      <c r="A533">
        <f>HYPERLINK("https://www.philgeps.gov.ph/GEPSNONPILOT/Tender/SplashBidNoticeAbstractUI.aspx?menuIndex=3&amp;refID=7064937&amp;Result=3","7064937")</f>
        <v>0</v>
      </c>
      <c r="B533" t="s">
        <v>253</v>
      </c>
      <c r="C533" t="s">
        <v>4051</v>
      </c>
      <c r="D533" t="s">
        <v>18790</v>
      </c>
      <c r="E533" t="s">
        <v>19397</v>
      </c>
      <c r="F533" t="s">
        <v>32664</v>
      </c>
      <c r="G533" t="s">
        <v>32671</v>
      </c>
      <c r="H533" t="s">
        <v>12635</v>
      </c>
      <c r="I533" t="s">
        <v>32706</v>
      </c>
      <c r="J533" t="s">
        <v>33254</v>
      </c>
      <c r="K533" t="s">
        <v>42283</v>
      </c>
      <c r="M533" t="s">
        <v>42818</v>
      </c>
      <c r="N533" t="s">
        <v>46569</v>
      </c>
      <c r="O533" t="s">
        <v>46570</v>
      </c>
      <c r="P533">
        <v>0</v>
      </c>
      <c r="Q533">
        <v>0</v>
      </c>
      <c r="R533" t="s">
        <v>46571</v>
      </c>
      <c r="S533" t="s">
        <v>46687</v>
      </c>
      <c r="T533" t="s">
        <v>48283</v>
      </c>
      <c r="U533" t="s">
        <v>49260</v>
      </c>
      <c r="W533" t="s">
        <v>42818</v>
      </c>
      <c r="X533" t="s">
        <v>46572</v>
      </c>
    </row>
    <row r="534" spans="1:24">
      <c r="A534">
        <f>HYPERLINK("https://www.philgeps.gov.ph/GEPSNONPILOT/Tender/SplashBidNoticeAbstractUI.aspx?menuIndex=3&amp;refID=7064948&amp;Result=3","7064948")</f>
        <v>0</v>
      </c>
      <c r="B534" t="s">
        <v>268</v>
      </c>
      <c r="C534" t="s">
        <v>4052</v>
      </c>
      <c r="D534" t="s">
        <v>18839</v>
      </c>
      <c r="E534" t="s">
        <v>19398</v>
      </c>
      <c r="F534" t="s">
        <v>32664</v>
      </c>
      <c r="G534" t="s">
        <v>32672</v>
      </c>
      <c r="H534" t="s">
        <v>12635</v>
      </c>
      <c r="I534" t="s">
        <v>9486</v>
      </c>
      <c r="J534" t="s">
        <v>33255</v>
      </c>
      <c r="K534" t="s">
        <v>42330</v>
      </c>
      <c r="M534" t="s">
        <v>42833</v>
      </c>
      <c r="N534" t="s">
        <v>46569</v>
      </c>
      <c r="O534" t="s">
        <v>46570</v>
      </c>
      <c r="P534">
        <v>0</v>
      </c>
      <c r="Q534">
        <v>1</v>
      </c>
      <c r="R534" t="s">
        <v>46571</v>
      </c>
      <c r="S534" t="s">
        <v>46687</v>
      </c>
      <c r="T534" t="s">
        <v>48222</v>
      </c>
      <c r="U534" t="s">
        <v>49261</v>
      </c>
      <c r="W534" t="s">
        <v>42833</v>
      </c>
      <c r="X534" t="s">
        <v>46572</v>
      </c>
    </row>
    <row r="535" spans="1:24">
      <c r="A535">
        <f>HYPERLINK("https://www.philgeps.gov.ph/GEPSNONPILOT/Tender/SplashBidNoticeAbstractUI.aspx?menuIndex=3&amp;refID=7064936&amp;Result=3","7064936")</f>
        <v>0</v>
      </c>
      <c r="B535" t="s">
        <v>269</v>
      </c>
      <c r="C535" t="s">
        <v>4053</v>
      </c>
      <c r="D535" t="s">
        <v>18831</v>
      </c>
      <c r="E535" t="s">
        <v>19399</v>
      </c>
      <c r="F535" t="s">
        <v>32664</v>
      </c>
      <c r="G535" t="s">
        <v>32672</v>
      </c>
      <c r="H535" t="s">
        <v>12635</v>
      </c>
      <c r="I535" t="s">
        <v>11464</v>
      </c>
      <c r="J535" t="s">
        <v>32930</v>
      </c>
      <c r="K535" t="s">
        <v>42281</v>
      </c>
      <c r="M535" t="s">
        <v>42834</v>
      </c>
      <c r="N535" t="s">
        <v>46569</v>
      </c>
      <c r="O535" t="s">
        <v>46570</v>
      </c>
      <c r="P535">
        <v>0</v>
      </c>
      <c r="Q535">
        <v>2</v>
      </c>
      <c r="R535" t="s">
        <v>46571</v>
      </c>
      <c r="S535" t="s">
        <v>46687</v>
      </c>
      <c r="T535" t="s">
        <v>48318</v>
      </c>
      <c r="U535" t="s">
        <v>49262</v>
      </c>
      <c r="W535" t="s">
        <v>42834</v>
      </c>
      <c r="X535" t="s">
        <v>46572</v>
      </c>
    </row>
    <row r="536" spans="1:24">
      <c r="A536">
        <f>HYPERLINK("https://www.philgeps.gov.ph/GEPSNONPILOT/Tender/SplashBidNoticeAbstractUI.aspx?menuIndex=3&amp;refID=7064931&amp;Result=3","7064931")</f>
        <v>0</v>
      </c>
      <c r="B536" t="s">
        <v>270</v>
      </c>
      <c r="C536" t="s">
        <v>4054</v>
      </c>
      <c r="D536" t="s">
        <v>18786</v>
      </c>
      <c r="E536" t="s">
        <v>19400</v>
      </c>
      <c r="F536" t="s">
        <v>32664</v>
      </c>
      <c r="G536" t="s">
        <v>32677</v>
      </c>
      <c r="H536" t="s">
        <v>12635</v>
      </c>
      <c r="I536" t="s">
        <v>4439</v>
      </c>
      <c r="J536" t="s">
        <v>33256</v>
      </c>
      <c r="K536" t="s">
        <v>42283</v>
      </c>
      <c r="M536" t="s">
        <v>42835</v>
      </c>
      <c r="N536" t="s">
        <v>46569</v>
      </c>
      <c r="O536" t="s">
        <v>46570</v>
      </c>
      <c r="P536">
        <v>0</v>
      </c>
      <c r="Q536">
        <v>0</v>
      </c>
      <c r="R536" t="s">
        <v>46571</v>
      </c>
      <c r="S536" t="s">
        <v>46687</v>
      </c>
      <c r="T536" t="s">
        <v>48244</v>
      </c>
      <c r="U536" t="s">
        <v>49263</v>
      </c>
      <c r="W536" t="s">
        <v>42835</v>
      </c>
      <c r="X536" t="s">
        <v>46572</v>
      </c>
    </row>
    <row r="537" spans="1:24">
      <c r="A537">
        <f>HYPERLINK("https://www.philgeps.gov.ph/GEPSNONPILOT/Tender/SplashBidNoticeAbstractUI.aspx?menuIndex=3&amp;refID=7064941&amp;Result=3","7064941")</f>
        <v>0</v>
      </c>
      <c r="B537" t="s">
        <v>271</v>
      </c>
      <c r="C537" t="s">
        <v>4055</v>
      </c>
      <c r="D537" t="s">
        <v>18830</v>
      </c>
      <c r="E537" t="s">
        <v>19401</v>
      </c>
      <c r="F537" t="s">
        <v>32664</v>
      </c>
      <c r="G537" t="s">
        <v>32674</v>
      </c>
      <c r="H537" t="s">
        <v>12635</v>
      </c>
      <c r="I537" t="s">
        <v>6223</v>
      </c>
      <c r="J537" t="s">
        <v>33257</v>
      </c>
      <c r="K537" t="s">
        <v>42295</v>
      </c>
      <c r="M537" t="s">
        <v>42836</v>
      </c>
      <c r="N537" t="s">
        <v>46569</v>
      </c>
      <c r="O537" t="s">
        <v>46570</v>
      </c>
      <c r="P537">
        <v>0</v>
      </c>
      <c r="Q537">
        <v>0</v>
      </c>
      <c r="R537" t="s">
        <v>46571</v>
      </c>
      <c r="S537" t="s">
        <v>46687</v>
      </c>
      <c r="T537" t="s">
        <v>48254</v>
      </c>
      <c r="U537" t="s">
        <v>49264</v>
      </c>
      <c r="W537" t="s">
        <v>42836</v>
      </c>
      <c r="X537" t="s">
        <v>46572</v>
      </c>
    </row>
    <row r="538" spans="1:24">
      <c r="A538">
        <f>HYPERLINK("https://www.philgeps.gov.ph/GEPSNONPILOT/Tender/SplashBidNoticeAbstractUI.aspx?menuIndex=3&amp;refID=7064939&amp;Result=3","7064939")</f>
        <v>0</v>
      </c>
      <c r="B538" t="s">
        <v>272</v>
      </c>
      <c r="C538" t="s">
        <v>4056</v>
      </c>
      <c r="D538" t="s">
        <v>18810</v>
      </c>
      <c r="E538" t="s">
        <v>19402</v>
      </c>
      <c r="F538" t="s">
        <v>32664</v>
      </c>
      <c r="G538" t="s">
        <v>32671</v>
      </c>
      <c r="H538" t="s">
        <v>12635</v>
      </c>
      <c r="I538" t="s">
        <v>32686</v>
      </c>
      <c r="J538" t="s">
        <v>33258</v>
      </c>
      <c r="K538" t="s">
        <v>42281</v>
      </c>
      <c r="M538" t="s">
        <v>42837</v>
      </c>
      <c r="N538" t="s">
        <v>46569</v>
      </c>
      <c r="O538" t="s">
        <v>46570</v>
      </c>
      <c r="P538">
        <v>0</v>
      </c>
      <c r="Q538">
        <v>0</v>
      </c>
      <c r="R538" t="s">
        <v>46571</v>
      </c>
      <c r="S538" t="s">
        <v>46687</v>
      </c>
      <c r="T538" t="s">
        <v>48319</v>
      </c>
      <c r="U538" t="s">
        <v>49265</v>
      </c>
      <c r="W538" t="s">
        <v>42837</v>
      </c>
      <c r="X538" t="s">
        <v>46572</v>
      </c>
    </row>
    <row r="539" spans="1:24">
      <c r="A539">
        <f>HYPERLINK("https://www.philgeps.gov.ph/GEPSNONPILOT/Tender/SplashBidNoticeAbstractUI.aspx?menuIndex=3&amp;refID=7064977&amp;Result=3","7064977")</f>
        <v>0</v>
      </c>
      <c r="B539" t="s">
        <v>273</v>
      </c>
      <c r="C539" t="s">
        <v>4057</v>
      </c>
      <c r="D539" t="s">
        <v>18812</v>
      </c>
      <c r="E539" t="s">
        <v>19403</v>
      </c>
      <c r="F539" t="s">
        <v>32664</v>
      </c>
      <c r="G539" t="s">
        <v>32671</v>
      </c>
      <c r="H539" t="s">
        <v>12635</v>
      </c>
      <c r="I539" t="s">
        <v>32685</v>
      </c>
      <c r="J539" t="s">
        <v>33259</v>
      </c>
      <c r="K539" t="s">
        <v>42289</v>
      </c>
      <c r="M539" t="s">
        <v>42838</v>
      </c>
      <c r="N539" t="s">
        <v>46569</v>
      </c>
      <c r="O539" t="s">
        <v>46570</v>
      </c>
      <c r="P539">
        <v>0</v>
      </c>
      <c r="Q539">
        <v>0</v>
      </c>
      <c r="R539" t="s">
        <v>46571</v>
      </c>
      <c r="S539" t="s">
        <v>46687</v>
      </c>
      <c r="T539" t="s">
        <v>48283</v>
      </c>
      <c r="U539" t="s">
        <v>49266</v>
      </c>
      <c r="W539" t="s">
        <v>42838</v>
      </c>
      <c r="X539" t="s">
        <v>46572</v>
      </c>
    </row>
    <row r="540" spans="1:24">
      <c r="A540">
        <f>HYPERLINK("https://www.philgeps.gov.ph/GEPSNONPILOT/Tender/SplashBidNoticeAbstractUI.aspx?menuIndex=3&amp;refID=7064976&amp;Result=3","7064976")</f>
        <v>0</v>
      </c>
      <c r="B540" t="s">
        <v>274</v>
      </c>
      <c r="C540" t="s">
        <v>4058</v>
      </c>
      <c r="D540" t="s">
        <v>18786</v>
      </c>
      <c r="E540" t="s">
        <v>19404</v>
      </c>
      <c r="F540" t="s">
        <v>32664</v>
      </c>
      <c r="G540" t="s">
        <v>32674</v>
      </c>
      <c r="H540" t="s">
        <v>32683</v>
      </c>
      <c r="I540" t="s">
        <v>4439</v>
      </c>
      <c r="J540" t="s">
        <v>33126</v>
      </c>
      <c r="K540" t="s">
        <v>42283</v>
      </c>
      <c r="M540" t="s">
        <v>42839</v>
      </c>
      <c r="N540" t="s">
        <v>46569</v>
      </c>
      <c r="O540" t="s">
        <v>46570</v>
      </c>
      <c r="P540">
        <v>0</v>
      </c>
      <c r="Q540">
        <v>0</v>
      </c>
      <c r="R540" t="s">
        <v>46571</v>
      </c>
      <c r="S540" t="s">
        <v>46687</v>
      </c>
      <c r="T540" t="s">
        <v>48217</v>
      </c>
      <c r="U540" t="s">
        <v>49267</v>
      </c>
      <c r="W540" t="s">
        <v>42839</v>
      </c>
      <c r="X540" t="s">
        <v>46572</v>
      </c>
    </row>
    <row r="541" spans="1:24">
      <c r="A541">
        <f>HYPERLINK("https://www.philgeps.gov.ph/GEPSNONPILOT/Tender/SplashBidNoticeAbstractUI.aspx?menuIndex=3&amp;refID=7064950&amp;Result=3","7064950")</f>
        <v>0</v>
      </c>
      <c r="B541" t="s">
        <v>237</v>
      </c>
      <c r="C541" t="s">
        <v>4059</v>
      </c>
      <c r="E541" t="s">
        <v>19405</v>
      </c>
      <c r="F541" t="s">
        <v>32664</v>
      </c>
      <c r="G541" t="s">
        <v>32672</v>
      </c>
      <c r="H541" t="s">
        <v>12635</v>
      </c>
      <c r="I541" t="s">
        <v>4439</v>
      </c>
      <c r="J541" t="s">
        <v>33260</v>
      </c>
      <c r="K541" t="s">
        <v>42284</v>
      </c>
      <c r="M541" t="s">
        <v>42802</v>
      </c>
      <c r="N541" t="s">
        <v>46569</v>
      </c>
      <c r="O541" t="s">
        <v>46570</v>
      </c>
      <c r="P541">
        <v>0</v>
      </c>
      <c r="Q541">
        <v>0</v>
      </c>
      <c r="R541" t="s">
        <v>46571</v>
      </c>
      <c r="S541" t="s">
        <v>46687</v>
      </c>
      <c r="T541" t="s">
        <v>48230</v>
      </c>
      <c r="U541" t="s">
        <v>49268</v>
      </c>
      <c r="W541" t="s">
        <v>42802</v>
      </c>
      <c r="X541" t="s">
        <v>46572</v>
      </c>
    </row>
    <row r="542" spans="1:24">
      <c r="A542">
        <f>HYPERLINK("https://www.philgeps.gov.ph/GEPSNONPILOT/Tender/SplashBidNoticeAbstractUI.aspx?menuIndex=3&amp;refID=7064938&amp;Result=3","7064938")</f>
        <v>0</v>
      </c>
      <c r="B542" t="s">
        <v>252</v>
      </c>
      <c r="C542" t="s">
        <v>4060</v>
      </c>
      <c r="D542" t="s">
        <v>18802</v>
      </c>
      <c r="E542" t="s">
        <v>19406</v>
      </c>
      <c r="F542" t="s">
        <v>32664</v>
      </c>
      <c r="G542" t="s">
        <v>32672</v>
      </c>
      <c r="H542" t="s">
        <v>32682</v>
      </c>
      <c r="I542" t="s">
        <v>9946</v>
      </c>
      <c r="J542" t="s">
        <v>33261</v>
      </c>
      <c r="K542" t="s">
        <v>42334</v>
      </c>
      <c r="L542" t="s">
        <v>252</v>
      </c>
      <c r="M542" t="s">
        <v>42817</v>
      </c>
      <c r="N542" t="s">
        <v>46569</v>
      </c>
      <c r="O542" t="s">
        <v>46570</v>
      </c>
      <c r="P542">
        <v>0</v>
      </c>
      <c r="Q542">
        <v>0</v>
      </c>
      <c r="R542" t="s">
        <v>46571</v>
      </c>
      <c r="S542" t="s">
        <v>46687</v>
      </c>
      <c r="T542" t="s">
        <v>48216</v>
      </c>
      <c r="U542" t="s">
        <v>49269</v>
      </c>
      <c r="V542" t="s">
        <v>61680</v>
      </c>
      <c r="W542" t="s">
        <v>42817</v>
      </c>
      <c r="X542" t="s">
        <v>46572</v>
      </c>
    </row>
    <row r="543" spans="1:24">
      <c r="A543">
        <f>HYPERLINK("https://www.philgeps.gov.ph/GEPSNONPILOT/Tender/SplashBidNoticeAbstractUI.aspx?menuIndex=3&amp;refID=7064947&amp;Result=3","7064947")</f>
        <v>0</v>
      </c>
      <c r="B543" t="s">
        <v>248</v>
      </c>
      <c r="C543" t="s">
        <v>4061</v>
      </c>
      <c r="D543" t="s">
        <v>18801</v>
      </c>
      <c r="E543" t="s">
        <v>19407</v>
      </c>
      <c r="F543" t="s">
        <v>32664</v>
      </c>
      <c r="G543" t="s">
        <v>32672</v>
      </c>
      <c r="H543" t="s">
        <v>12635</v>
      </c>
      <c r="I543" t="s">
        <v>32728</v>
      </c>
      <c r="J543" t="s">
        <v>33262</v>
      </c>
      <c r="K543" t="s">
        <v>42305</v>
      </c>
      <c r="M543" t="s">
        <v>42813</v>
      </c>
      <c r="N543" t="s">
        <v>46569</v>
      </c>
      <c r="O543" t="s">
        <v>46570</v>
      </c>
      <c r="P543">
        <v>0</v>
      </c>
      <c r="Q543">
        <v>1</v>
      </c>
      <c r="R543" t="s">
        <v>46571</v>
      </c>
      <c r="S543" t="s">
        <v>46687</v>
      </c>
      <c r="T543" t="s">
        <v>48270</v>
      </c>
      <c r="U543" t="s">
        <v>49224</v>
      </c>
      <c r="V543" t="s">
        <v>61686</v>
      </c>
      <c r="W543" t="s">
        <v>42813</v>
      </c>
      <c r="X543" t="s">
        <v>46572</v>
      </c>
    </row>
    <row r="544" spans="1:24">
      <c r="A544">
        <f>HYPERLINK("https://www.philgeps.gov.ph/GEPSNONPILOT/Tender/SplashBidNoticeAbstractUI.aspx?menuIndex=3&amp;refID=7064973&amp;Result=3","7064973")</f>
        <v>0</v>
      </c>
      <c r="B544" t="s">
        <v>202</v>
      </c>
      <c r="C544" t="s">
        <v>4062</v>
      </c>
      <c r="D544" t="s">
        <v>18805</v>
      </c>
      <c r="E544" t="s">
        <v>19408</v>
      </c>
      <c r="F544" t="s">
        <v>32664</v>
      </c>
      <c r="G544" t="s">
        <v>32671</v>
      </c>
      <c r="H544" t="s">
        <v>12635</v>
      </c>
      <c r="I544" t="s">
        <v>4205</v>
      </c>
      <c r="J544" t="s">
        <v>33263</v>
      </c>
      <c r="K544" t="s">
        <v>42332</v>
      </c>
      <c r="M544" t="s">
        <v>42766</v>
      </c>
      <c r="N544" t="s">
        <v>46569</v>
      </c>
      <c r="O544" t="s">
        <v>46570</v>
      </c>
      <c r="P544">
        <v>0</v>
      </c>
      <c r="Q544">
        <v>0</v>
      </c>
      <c r="R544" t="s">
        <v>46571</v>
      </c>
      <c r="S544" t="s">
        <v>46687</v>
      </c>
      <c r="T544" t="s">
        <v>48256</v>
      </c>
      <c r="U544" t="s">
        <v>49270</v>
      </c>
      <c r="W544" t="s">
        <v>42766</v>
      </c>
      <c r="X544" t="s">
        <v>46572</v>
      </c>
    </row>
    <row r="545" spans="1:24">
      <c r="A545">
        <f>HYPERLINK("https://www.philgeps.gov.ph/GEPSNONPILOT/Tender/SplashBidNoticeAbstractUI.aspx?menuIndex=3&amp;refID=7064882&amp;Result=3","7064882")</f>
        <v>0</v>
      </c>
      <c r="B545" t="s">
        <v>275</v>
      </c>
      <c r="C545" t="s">
        <v>4063</v>
      </c>
      <c r="D545" t="s">
        <v>18797</v>
      </c>
      <c r="E545" t="s">
        <v>19409</v>
      </c>
      <c r="F545" t="s">
        <v>32664</v>
      </c>
      <c r="G545" t="s">
        <v>32672</v>
      </c>
      <c r="H545" t="s">
        <v>12635</v>
      </c>
      <c r="I545" t="s">
        <v>4439</v>
      </c>
      <c r="J545" t="s">
        <v>33264</v>
      </c>
      <c r="K545" t="s">
        <v>42284</v>
      </c>
      <c r="M545" t="s">
        <v>42840</v>
      </c>
      <c r="N545" t="s">
        <v>46569</v>
      </c>
      <c r="O545" t="s">
        <v>46570</v>
      </c>
      <c r="P545">
        <v>0</v>
      </c>
      <c r="Q545">
        <v>0</v>
      </c>
      <c r="R545" t="s">
        <v>46571</v>
      </c>
      <c r="S545" t="s">
        <v>46687</v>
      </c>
      <c r="T545" t="s">
        <v>48269</v>
      </c>
      <c r="U545" t="s">
        <v>49271</v>
      </c>
      <c r="W545" t="s">
        <v>42840</v>
      </c>
      <c r="X545" t="s">
        <v>46572</v>
      </c>
    </row>
    <row r="546" spans="1:24">
      <c r="A546">
        <f>HYPERLINK("https://www.philgeps.gov.ph/GEPSNONPILOT/Tender/SplashBidNoticeAbstractUI.aspx?menuIndex=3&amp;refID=7064959&amp;Result=3","7064959")</f>
        <v>0</v>
      </c>
      <c r="B546" t="s">
        <v>276</v>
      </c>
      <c r="C546" t="s">
        <v>4064</v>
      </c>
      <c r="D546" t="s">
        <v>18806</v>
      </c>
      <c r="E546" t="s">
        <v>19410</v>
      </c>
      <c r="F546" t="s">
        <v>32664</v>
      </c>
      <c r="G546" t="s">
        <v>32671</v>
      </c>
      <c r="H546" t="s">
        <v>12635</v>
      </c>
      <c r="I546" t="s">
        <v>32689</v>
      </c>
      <c r="J546" t="s">
        <v>33265</v>
      </c>
      <c r="K546" t="s">
        <v>42309</v>
      </c>
      <c r="M546" t="s">
        <v>42841</v>
      </c>
      <c r="N546" t="s">
        <v>46569</v>
      </c>
      <c r="O546" t="s">
        <v>46570</v>
      </c>
      <c r="P546">
        <v>0</v>
      </c>
      <c r="Q546">
        <v>0</v>
      </c>
      <c r="R546" t="s">
        <v>46571</v>
      </c>
      <c r="S546" t="s">
        <v>46687</v>
      </c>
      <c r="T546" t="s">
        <v>48280</v>
      </c>
      <c r="U546" t="s">
        <v>49272</v>
      </c>
      <c r="W546" t="s">
        <v>42841</v>
      </c>
      <c r="X546" t="s">
        <v>46572</v>
      </c>
    </row>
    <row r="547" spans="1:24">
      <c r="A547">
        <f>HYPERLINK("https://www.philgeps.gov.ph/GEPSNONPILOT/Tender/SplashBidNoticeAbstractUI.aspx?menuIndex=3&amp;refID=7064969&amp;Result=3","7064969")</f>
        <v>0</v>
      </c>
      <c r="B547" t="s">
        <v>277</v>
      </c>
      <c r="C547" t="s">
        <v>4065</v>
      </c>
      <c r="E547" t="s">
        <v>19411</v>
      </c>
      <c r="F547" t="s">
        <v>32664</v>
      </c>
      <c r="G547" t="s">
        <v>32671</v>
      </c>
      <c r="H547" t="s">
        <v>12635</v>
      </c>
      <c r="I547" t="s">
        <v>32701</v>
      </c>
      <c r="J547" t="s">
        <v>33266</v>
      </c>
      <c r="K547" t="s">
        <v>42283</v>
      </c>
      <c r="M547" t="s">
        <v>42842</v>
      </c>
      <c r="N547" t="s">
        <v>46569</v>
      </c>
      <c r="O547" t="s">
        <v>46570</v>
      </c>
      <c r="P547">
        <v>0</v>
      </c>
      <c r="Q547">
        <v>1</v>
      </c>
      <c r="R547" t="s">
        <v>46571</v>
      </c>
      <c r="S547" t="s">
        <v>46687</v>
      </c>
      <c r="T547" t="s">
        <v>48256</v>
      </c>
      <c r="U547" t="s">
        <v>49273</v>
      </c>
      <c r="W547" t="s">
        <v>42842</v>
      </c>
      <c r="X547" t="s">
        <v>46572</v>
      </c>
    </row>
    <row r="548" spans="1:24">
      <c r="A548">
        <f>HYPERLINK("https://www.philgeps.gov.ph/GEPSNONPILOT/Tender/SplashBidNoticeAbstractUI.aspx?menuIndex=3&amp;refID=7064965&amp;Result=3","7064965")</f>
        <v>0</v>
      </c>
      <c r="B548" t="s">
        <v>278</v>
      </c>
      <c r="C548" t="s">
        <v>4066</v>
      </c>
      <c r="D548" t="s">
        <v>18834</v>
      </c>
      <c r="E548" t="s">
        <v>19412</v>
      </c>
      <c r="F548" t="s">
        <v>32664</v>
      </c>
      <c r="G548" t="s">
        <v>32671</v>
      </c>
      <c r="H548" t="s">
        <v>32682</v>
      </c>
      <c r="I548" t="s">
        <v>32701</v>
      </c>
      <c r="J548" t="s">
        <v>33121</v>
      </c>
      <c r="K548" t="s">
        <v>42281</v>
      </c>
      <c r="M548" t="s">
        <v>42843</v>
      </c>
      <c r="N548" t="s">
        <v>46569</v>
      </c>
      <c r="O548" t="s">
        <v>46570</v>
      </c>
      <c r="P548">
        <v>0</v>
      </c>
      <c r="Q548">
        <v>0</v>
      </c>
      <c r="R548" t="s">
        <v>46571</v>
      </c>
      <c r="S548" t="s">
        <v>46687</v>
      </c>
      <c r="T548" t="s">
        <v>48256</v>
      </c>
      <c r="U548" t="s">
        <v>49274</v>
      </c>
      <c r="W548" t="s">
        <v>63471</v>
      </c>
      <c r="X548" t="s">
        <v>46572</v>
      </c>
    </row>
    <row r="549" spans="1:24">
      <c r="A549">
        <f>HYPERLINK("https://www.philgeps.gov.ph/GEPSNONPILOT/Tender/SplashBidNoticeAbstractUI.aspx?menuIndex=3&amp;refID=7064964&amp;Result=3","7064964")</f>
        <v>0</v>
      </c>
      <c r="B549" t="s">
        <v>257</v>
      </c>
      <c r="C549" t="s">
        <v>4067</v>
      </c>
      <c r="D549" t="s">
        <v>18803</v>
      </c>
      <c r="E549" t="s">
        <v>19413</v>
      </c>
      <c r="F549" t="s">
        <v>32664</v>
      </c>
      <c r="G549" t="s">
        <v>32672</v>
      </c>
      <c r="H549" t="s">
        <v>32683</v>
      </c>
      <c r="I549" t="s">
        <v>10627</v>
      </c>
      <c r="J549" t="s">
        <v>33267</v>
      </c>
      <c r="K549" t="s">
        <v>42281</v>
      </c>
      <c r="M549" t="s">
        <v>42822</v>
      </c>
      <c r="N549" t="s">
        <v>46569</v>
      </c>
      <c r="O549" t="s">
        <v>46570</v>
      </c>
      <c r="P549">
        <v>0</v>
      </c>
      <c r="Q549">
        <v>0</v>
      </c>
      <c r="R549" t="s">
        <v>46571</v>
      </c>
      <c r="S549" t="s">
        <v>46687</v>
      </c>
      <c r="T549" t="s">
        <v>48317</v>
      </c>
      <c r="U549" t="s">
        <v>49237</v>
      </c>
      <c r="W549" t="s">
        <v>42822</v>
      </c>
      <c r="X549" t="s">
        <v>46572</v>
      </c>
    </row>
    <row r="550" spans="1:24">
      <c r="A550">
        <f>HYPERLINK("https://www.philgeps.gov.ph/GEPSNONPILOT/Tender/SplashBidNoticeAbstractUI.aspx?menuIndex=3&amp;refID=7064963&amp;Result=3","7064963")</f>
        <v>0</v>
      </c>
      <c r="B550" t="s">
        <v>279</v>
      </c>
      <c r="C550" t="s">
        <v>4068</v>
      </c>
      <c r="D550" t="s">
        <v>18784</v>
      </c>
      <c r="E550" t="s">
        <v>19414</v>
      </c>
      <c r="F550" t="s">
        <v>32664</v>
      </c>
      <c r="G550" t="s">
        <v>32671</v>
      </c>
      <c r="H550" t="s">
        <v>12635</v>
      </c>
      <c r="I550" t="s">
        <v>5589</v>
      </c>
      <c r="J550" t="s">
        <v>33268</v>
      </c>
      <c r="K550" t="s">
        <v>42283</v>
      </c>
      <c r="M550" t="s">
        <v>42844</v>
      </c>
      <c r="N550" t="s">
        <v>46569</v>
      </c>
      <c r="O550" t="s">
        <v>46570</v>
      </c>
      <c r="P550">
        <v>0</v>
      </c>
      <c r="Q550">
        <v>4</v>
      </c>
      <c r="R550" t="s">
        <v>46571</v>
      </c>
      <c r="S550" t="s">
        <v>46687</v>
      </c>
      <c r="T550" t="s">
        <v>48246</v>
      </c>
      <c r="U550" t="s">
        <v>49275</v>
      </c>
      <c r="W550" t="s">
        <v>42844</v>
      </c>
      <c r="X550" t="s">
        <v>46572</v>
      </c>
    </row>
    <row r="551" spans="1:24">
      <c r="A551">
        <f>HYPERLINK("https://www.philgeps.gov.ph/GEPSNONPILOT/Tender/SplashBidNoticeAbstractUI.aspx?menuIndex=3&amp;refID=7064962&amp;Result=3","7064962")</f>
        <v>0</v>
      </c>
      <c r="B551" t="s">
        <v>280</v>
      </c>
      <c r="C551" t="s">
        <v>4069</v>
      </c>
      <c r="E551" t="s">
        <v>19415</v>
      </c>
      <c r="F551" t="s">
        <v>32664</v>
      </c>
      <c r="G551" t="s">
        <v>32671</v>
      </c>
      <c r="H551" t="s">
        <v>12635</v>
      </c>
      <c r="I551" t="s">
        <v>32694</v>
      </c>
      <c r="J551" t="s">
        <v>33269</v>
      </c>
      <c r="K551" t="s">
        <v>42283</v>
      </c>
      <c r="M551" t="s">
        <v>42845</v>
      </c>
      <c r="N551" t="s">
        <v>46569</v>
      </c>
      <c r="O551" t="s">
        <v>46570</v>
      </c>
      <c r="P551">
        <v>0</v>
      </c>
      <c r="Q551">
        <v>0</v>
      </c>
      <c r="R551" t="s">
        <v>46571</v>
      </c>
      <c r="S551" t="s">
        <v>46687</v>
      </c>
      <c r="T551" t="s">
        <v>48244</v>
      </c>
      <c r="U551" t="s">
        <v>49276</v>
      </c>
      <c r="W551" t="s">
        <v>42845</v>
      </c>
      <c r="X551" t="s">
        <v>46572</v>
      </c>
    </row>
    <row r="552" spans="1:24">
      <c r="A552">
        <f>HYPERLINK("https://www.philgeps.gov.ph/GEPSNONPILOT/Tender/SplashBidNoticeAbstractUI.aspx?menuIndex=3&amp;refID=7064974&amp;Result=3","7064974")</f>
        <v>0</v>
      </c>
      <c r="B552" t="s">
        <v>281</v>
      </c>
      <c r="C552" t="s">
        <v>4070</v>
      </c>
      <c r="D552" t="s">
        <v>18803</v>
      </c>
      <c r="E552" t="s">
        <v>19416</v>
      </c>
      <c r="F552" t="s">
        <v>32664</v>
      </c>
      <c r="G552" t="s">
        <v>32671</v>
      </c>
      <c r="H552" t="s">
        <v>12635</v>
      </c>
      <c r="I552" t="s">
        <v>32729</v>
      </c>
      <c r="J552" t="s">
        <v>33270</v>
      </c>
      <c r="K552" t="s">
        <v>42297</v>
      </c>
      <c r="M552" t="s">
        <v>42846</v>
      </c>
      <c r="N552" t="s">
        <v>46569</v>
      </c>
      <c r="O552" t="s">
        <v>46570</v>
      </c>
      <c r="P552">
        <v>0</v>
      </c>
      <c r="Q552">
        <v>1</v>
      </c>
      <c r="R552" t="s">
        <v>46571</v>
      </c>
      <c r="S552" t="s">
        <v>46687</v>
      </c>
      <c r="T552" t="s">
        <v>48221</v>
      </c>
      <c r="U552" t="s">
        <v>49277</v>
      </c>
      <c r="W552" t="s">
        <v>42846</v>
      </c>
      <c r="X552" t="s">
        <v>46572</v>
      </c>
    </row>
    <row r="553" spans="1:24">
      <c r="A553">
        <f>HYPERLINK("https://www.philgeps.gov.ph/GEPSNONPILOT/Tender/SplashBidNoticeAbstractUI.aspx?menuIndex=3&amp;refID=7064970&amp;Result=3","7064970")</f>
        <v>0</v>
      </c>
      <c r="B553" t="s">
        <v>282</v>
      </c>
      <c r="C553" t="s">
        <v>4071</v>
      </c>
      <c r="D553" t="s">
        <v>18836</v>
      </c>
      <c r="E553" t="s">
        <v>19417</v>
      </c>
      <c r="F553" t="s">
        <v>32664</v>
      </c>
      <c r="G553" t="s">
        <v>32674</v>
      </c>
      <c r="H553" t="s">
        <v>12635</v>
      </c>
      <c r="I553" t="s">
        <v>6628</v>
      </c>
      <c r="J553" t="s">
        <v>33271</v>
      </c>
      <c r="K553" t="s">
        <v>42289</v>
      </c>
      <c r="M553" t="s">
        <v>42847</v>
      </c>
      <c r="N553" t="s">
        <v>46569</v>
      </c>
      <c r="O553" t="s">
        <v>46570</v>
      </c>
      <c r="P553">
        <v>0</v>
      </c>
      <c r="Q553">
        <v>3</v>
      </c>
      <c r="R553" t="s">
        <v>46571</v>
      </c>
      <c r="S553" t="s">
        <v>46687</v>
      </c>
      <c r="T553" t="s">
        <v>48287</v>
      </c>
      <c r="U553" t="s">
        <v>49278</v>
      </c>
      <c r="W553" t="s">
        <v>42847</v>
      </c>
      <c r="X553" t="s">
        <v>46572</v>
      </c>
    </row>
    <row r="554" spans="1:24">
      <c r="A554">
        <f>HYPERLINK("https://www.philgeps.gov.ph/GEPSNONPILOT/Tender/SplashBidNoticeAbstractUI.aspx?menuIndex=3&amp;refID=7065003&amp;Result=3","7065003")</f>
        <v>0</v>
      </c>
      <c r="B554" t="s">
        <v>283</v>
      </c>
      <c r="C554" t="s">
        <v>4072</v>
      </c>
      <c r="D554" t="s">
        <v>18801</v>
      </c>
      <c r="E554" t="s">
        <v>19418</v>
      </c>
      <c r="F554" t="s">
        <v>32664</v>
      </c>
      <c r="G554" t="s">
        <v>32671</v>
      </c>
      <c r="H554" t="s">
        <v>12635</v>
      </c>
      <c r="I554" t="s">
        <v>8797</v>
      </c>
      <c r="J554" t="s">
        <v>33051</v>
      </c>
      <c r="K554" t="s">
        <v>42295</v>
      </c>
      <c r="M554" t="s">
        <v>42848</v>
      </c>
      <c r="N554" t="s">
        <v>46569</v>
      </c>
      <c r="O554" t="s">
        <v>46570</v>
      </c>
      <c r="P554">
        <v>0</v>
      </c>
      <c r="Q554">
        <v>1</v>
      </c>
      <c r="R554" t="s">
        <v>46571</v>
      </c>
      <c r="S554" t="s">
        <v>46687</v>
      </c>
      <c r="T554" t="s">
        <v>48219</v>
      </c>
      <c r="U554" t="s">
        <v>49279</v>
      </c>
      <c r="W554" t="s">
        <v>42848</v>
      </c>
      <c r="X554" t="s">
        <v>46572</v>
      </c>
    </row>
    <row r="555" spans="1:24">
      <c r="A555">
        <f>HYPERLINK("https://www.philgeps.gov.ph/GEPSNONPILOT/Tender/SplashBidNoticeAbstractUI.aspx?menuIndex=3&amp;refID=7065000&amp;Result=3","7065000")</f>
        <v>0</v>
      </c>
      <c r="B555" t="s">
        <v>284</v>
      </c>
      <c r="C555" t="s">
        <v>4073</v>
      </c>
      <c r="D555" t="s">
        <v>18842</v>
      </c>
      <c r="E555" t="s">
        <v>19419</v>
      </c>
      <c r="F555" t="s">
        <v>32664</v>
      </c>
      <c r="G555" t="s">
        <v>32671</v>
      </c>
      <c r="H555" t="s">
        <v>12635</v>
      </c>
      <c r="I555" t="s">
        <v>5589</v>
      </c>
      <c r="J555" t="s">
        <v>33272</v>
      </c>
      <c r="K555" t="s">
        <v>42289</v>
      </c>
      <c r="M555" t="s">
        <v>42849</v>
      </c>
      <c r="N555" t="s">
        <v>46569</v>
      </c>
      <c r="O555" t="s">
        <v>46570</v>
      </c>
      <c r="P555">
        <v>0</v>
      </c>
      <c r="Q555">
        <v>2</v>
      </c>
      <c r="R555" t="s">
        <v>46571</v>
      </c>
      <c r="S555" t="s">
        <v>46687</v>
      </c>
      <c r="T555" t="s">
        <v>48280</v>
      </c>
      <c r="U555" t="s">
        <v>49280</v>
      </c>
      <c r="W555" t="s">
        <v>42849</v>
      </c>
      <c r="X555" t="s">
        <v>46572</v>
      </c>
    </row>
    <row r="556" spans="1:24">
      <c r="A556">
        <f>HYPERLINK("https://www.philgeps.gov.ph/GEPSNONPILOT/Tender/SplashBidNoticeAbstractUI.aspx?menuIndex=3&amp;refID=7064968&amp;Result=3","7064968")</f>
        <v>0</v>
      </c>
      <c r="B556" t="s">
        <v>285</v>
      </c>
      <c r="C556" t="s">
        <v>4074</v>
      </c>
      <c r="D556" t="s">
        <v>18837</v>
      </c>
      <c r="E556" t="s">
        <v>19420</v>
      </c>
      <c r="F556" t="s">
        <v>32664</v>
      </c>
      <c r="G556" t="s">
        <v>32672</v>
      </c>
      <c r="H556" t="s">
        <v>32682</v>
      </c>
      <c r="I556" t="s">
        <v>11464</v>
      </c>
      <c r="J556" t="s">
        <v>33273</v>
      </c>
      <c r="K556" t="s">
        <v>42303</v>
      </c>
      <c r="M556" t="s">
        <v>42850</v>
      </c>
      <c r="N556" t="s">
        <v>46569</v>
      </c>
      <c r="O556" t="s">
        <v>46570</v>
      </c>
      <c r="P556">
        <v>0</v>
      </c>
      <c r="Q556">
        <v>4</v>
      </c>
      <c r="R556" t="s">
        <v>46571</v>
      </c>
      <c r="S556" t="s">
        <v>46687</v>
      </c>
      <c r="T556" t="s">
        <v>48229</v>
      </c>
      <c r="U556" t="s">
        <v>49281</v>
      </c>
      <c r="V556" t="s">
        <v>61687</v>
      </c>
      <c r="W556" t="s">
        <v>42850</v>
      </c>
      <c r="X556" t="s">
        <v>46572</v>
      </c>
    </row>
    <row r="557" spans="1:24">
      <c r="A557">
        <f>HYPERLINK("https://www.philgeps.gov.ph/GEPSNONPILOT/Tender/SplashBidNoticeAbstractUI.aspx?menuIndex=3&amp;refID=7064995&amp;Result=3","7064995")</f>
        <v>0</v>
      </c>
      <c r="B557" t="s">
        <v>211</v>
      </c>
      <c r="C557" t="s">
        <v>4075</v>
      </c>
      <c r="D557" t="s">
        <v>18843</v>
      </c>
      <c r="E557" t="s">
        <v>19421</v>
      </c>
      <c r="F557" t="s">
        <v>32664</v>
      </c>
      <c r="G557" t="s">
        <v>32671</v>
      </c>
      <c r="H557" t="s">
        <v>12635</v>
      </c>
      <c r="I557" t="s">
        <v>32730</v>
      </c>
      <c r="J557" t="s">
        <v>32917</v>
      </c>
      <c r="K557" t="s">
        <v>42281</v>
      </c>
      <c r="M557" t="s">
        <v>42775</v>
      </c>
      <c r="N557" t="s">
        <v>46569</v>
      </c>
      <c r="O557" t="s">
        <v>46570</v>
      </c>
      <c r="P557">
        <v>0</v>
      </c>
      <c r="Q557">
        <v>0</v>
      </c>
      <c r="R557" t="s">
        <v>46571</v>
      </c>
      <c r="S557" t="s">
        <v>46687</v>
      </c>
      <c r="T557" t="s">
        <v>48219</v>
      </c>
      <c r="U557" t="s">
        <v>49282</v>
      </c>
      <c r="W557" t="s">
        <v>42775</v>
      </c>
      <c r="X557" t="s">
        <v>46572</v>
      </c>
    </row>
    <row r="558" spans="1:24">
      <c r="A558">
        <f>HYPERLINK("https://www.philgeps.gov.ph/GEPSNONPILOT/Tender/SplashBidNoticeAbstractUI.aspx?menuIndex=3&amp;refID=7064971&amp;Result=3","7064971")</f>
        <v>0</v>
      </c>
      <c r="B558" t="s">
        <v>271</v>
      </c>
      <c r="C558" t="s">
        <v>4076</v>
      </c>
      <c r="D558" t="s">
        <v>18830</v>
      </c>
      <c r="E558" t="s">
        <v>19422</v>
      </c>
      <c r="F558" t="s">
        <v>32664</v>
      </c>
      <c r="G558" t="s">
        <v>32674</v>
      </c>
      <c r="H558" t="s">
        <v>12635</v>
      </c>
      <c r="I558" t="s">
        <v>6223</v>
      </c>
      <c r="J558" t="s">
        <v>33274</v>
      </c>
      <c r="K558" t="s">
        <v>42295</v>
      </c>
      <c r="M558" t="s">
        <v>42836</v>
      </c>
      <c r="N558" t="s">
        <v>46569</v>
      </c>
      <c r="O558" t="s">
        <v>46570</v>
      </c>
      <c r="P558">
        <v>0</v>
      </c>
      <c r="Q558">
        <v>1</v>
      </c>
      <c r="R558" t="s">
        <v>46571</v>
      </c>
      <c r="S558" t="s">
        <v>46687</v>
      </c>
      <c r="T558" t="s">
        <v>48254</v>
      </c>
      <c r="U558" t="s">
        <v>49283</v>
      </c>
      <c r="W558" t="s">
        <v>42836</v>
      </c>
      <c r="X558" t="s">
        <v>46572</v>
      </c>
    </row>
    <row r="559" spans="1:24">
      <c r="A559">
        <f>HYPERLINK("https://www.philgeps.gov.ph/GEPSNONPILOT/Tender/SplashBidNoticeAbstractUI.aspx?menuIndex=3&amp;refID=7064994&amp;Result=3","7064994")</f>
        <v>0</v>
      </c>
      <c r="B559" t="s">
        <v>79</v>
      </c>
      <c r="C559" t="s">
        <v>4077</v>
      </c>
      <c r="D559" t="s">
        <v>18817</v>
      </c>
      <c r="E559" t="s">
        <v>19423</v>
      </c>
      <c r="F559" t="s">
        <v>32664</v>
      </c>
      <c r="G559" t="s">
        <v>32675</v>
      </c>
      <c r="H559" t="s">
        <v>12635</v>
      </c>
      <c r="I559" t="s">
        <v>32685</v>
      </c>
      <c r="J559" t="s">
        <v>33275</v>
      </c>
      <c r="K559" t="s">
        <v>42284</v>
      </c>
      <c r="M559" t="s">
        <v>42642</v>
      </c>
      <c r="N559" t="s">
        <v>46569</v>
      </c>
      <c r="O559" t="s">
        <v>46570</v>
      </c>
      <c r="P559">
        <v>0</v>
      </c>
      <c r="Q559">
        <v>0</v>
      </c>
      <c r="R559" t="s">
        <v>46571</v>
      </c>
      <c r="S559" t="s">
        <v>46687</v>
      </c>
      <c r="T559" t="s">
        <v>48221</v>
      </c>
      <c r="U559" t="s">
        <v>49284</v>
      </c>
      <c r="W559" t="s">
        <v>42642</v>
      </c>
      <c r="X559" t="s">
        <v>46572</v>
      </c>
    </row>
    <row r="560" spans="1:24">
      <c r="A560">
        <f>HYPERLINK("https://www.philgeps.gov.ph/GEPSNONPILOT/Tender/SplashBidNoticeAbstractUI.aspx?menuIndex=3&amp;refID=7064993&amp;Result=3","7064993")</f>
        <v>0</v>
      </c>
      <c r="B560" t="s">
        <v>253</v>
      </c>
      <c r="C560" t="s">
        <v>4078</v>
      </c>
      <c r="D560" t="s">
        <v>18790</v>
      </c>
      <c r="E560" t="s">
        <v>19424</v>
      </c>
      <c r="F560" t="s">
        <v>32664</v>
      </c>
      <c r="G560" t="s">
        <v>32677</v>
      </c>
      <c r="H560" t="s">
        <v>32683</v>
      </c>
      <c r="I560" t="s">
        <v>10627</v>
      </c>
      <c r="J560" t="s">
        <v>33276</v>
      </c>
      <c r="K560" t="s">
        <v>42283</v>
      </c>
      <c r="M560" t="s">
        <v>42851</v>
      </c>
      <c r="N560" t="s">
        <v>46569</v>
      </c>
      <c r="O560" t="s">
        <v>46570</v>
      </c>
      <c r="P560">
        <v>0</v>
      </c>
      <c r="Q560">
        <v>0</v>
      </c>
      <c r="R560" t="s">
        <v>46571</v>
      </c>
      <c r="S560" t="s">
        <v>46687</v>
      </c>
      <c r="T560" t="s">
        <v>48212</v>
      </c>
      <c r="U560" t="s">
        <v>49285</v>
      </c>
      <c r="W560" t="s">
        <v>42851</v>
      </c>
      <c r="X560" t="s">
        <v>46572</v>
      </c>
    </row>
    <row r="561" spans="1:24">
      <c r="A561">
        <f>HYPERLINK("https://www.philgeps.gov.ph/GEPSNONPILOT/Tender/SplashBidNoticeAbstractUI.aspx?menuIndex=3&amp;refID=7064992&amp;Result=3","7064992")</f>
        <v>0</v>
      </c>
      <c r="B561" t="s">
        <v>135</v>
      </c>
      <c r="C561" t="s">
        <v>4079</v>
      </c>
      <c r="D561" t="s">
        <v>18807</v>
      </c>
      <c r="E561" t="s">
        <v>19425</v>
      </c>
      <c r="F561" t="s">
        <v>32664</v>
      </c>
      <c r="G561" t="s">
        <v>32672</v>
      </c>
      <c r="H561" t="s">
        <v>12635</v>
      </c>
      <c r="I561" t="s">
        <v>5589</v>
      </c>
      <c r="J561" t="s">
        <v>33085</v>
      </c>
      <c r="K561" t="s">
        <v>42281</v>
      </c>
      <c r="M561" t="s">
        <v>42852</v>
      </c>
      <c r="N561" t="s">
        <v>46569</v>
      </c>
      <c r="O561" t="s">
        <v>46570</v>
      </c>
      <c r="P561">
        <v>0</v>
      </c>
      <c r="Q561">
        <v>0</v>
      </c>
      <c r="R561" t="s">
        <v>46571</v>
      </c>
      <c r="S561" t="s">
        <v>46687</v>
      </c>
      <c r="T561" t="s">
        <v>48226</v>
      </c>
      <c r="U561" t="s">
        <v>49052</v>
      </c>
      <c r="V561" t="s">
        <v>61650</v>
      </c>
      <c r="W561" t="s">
        <v>42852</v>
      </c>
      <c r="X561" t="s">
        <v>46572</v>
      </c>
    </row>
    <row r="562" spans="1:24">
      <c r="A562">
        <f>HYPERLINK("https://www.philgeps.gov.ph/GEPSNONPILOT/Tender/SplashBidNoticeAbstractUI.aspx?menuIndex=3&amp;refID=7064991&amp;Result=3","7064991")</f>
        <v>0</v>
      </c>
      <c r="B562" t="s">
        <v>286</v>
      </c>
      <c r="C562" t="s">
        <v>4080</v>
      </c>
      <c r="D562" t="s">
        <v>18804</v>
      </c>
      <c r="E562" t="s">
        <v>19426</v>
      </c>
      <c r="F562" t="s">
        <v>32664</v>
      </c>
      <c r="G562" t="s">
        <v>32671</v>
      </c>
      <c r="H562" t="s">
        <v>12635</v>
      </c>
      <c r="I562" t="s">
        <v>10361</v>
      </c>
      <c r="J562" t="s">
        <v>33277</v>
      </c>
      <c r="K562" t="s">
        <v>42335</v>
      </c>
      <c r="M562" t="s">
        <v>42853</v>
      </c>
      <c r="N562" t="s">
        <v>46569</v>
      </c>
      <c r="O562" t="s">
        <v>46570</v>
      </c>
      <c r="P562">
        <v>0</v>
      </c>
      <c r="Q562">
        <v>1</v>
      </c>
      <c r="R562" t="s">
        <v>46571</v>
      </c>
      <c r="S562" t="s">
        <v>46687</v>
      </c>
      <c r="T562" t="s">
        <v>48221</v>
      </c>
      <c r="U562" t="s">
        <v>49286</v>
      </c>
      <c r="W562" t="s">
        <v>42853</v>
      </c>
      <c r="X562" t="s">
        <v>46572</v>
      </c>
    </row>
    <row r="563" spans="1:24">
      <c r="A563">
        <f>HYPERLINK("https://www.philgeps.gov.ph/GEPSNONPILOT/Tender/SplashBidNoticeAbstractUI.aspx?menuIndex=3&amp;refID=7064990&amp;Result=3","7064990")</f>
        <v>0</v>
      </c>
      <c r="B563" t="s">
        <v>287</v>
      </c>
      <c r="C563" t="s">
        <v>4081</v>
      </c>
      <c r="D563" t="s">
        <v>18847</v>
      </c>
      <c r="E563" t="s">
        <v>19427</v>
      </c>
      <c r="F563" t="s">
        <v>32664</v>
      </c>
      <c r="G563" t="s">
        <v>32674</v>
      </c>
      <c r="H563" t="s">
        <v>12635</v>
      </c>
      <c r="I563" t="s">
        <v>8730</v>
      </c>
      <c r="J563" t="s">
        <v>33278</v>
      </c>
      <c r="K563" t="s">
        <v>42289</v>
      </c>
      <c r="M563" t="s">
        <v>42854</v>
      </c>
      <c r="N563" t="s">
        <v>46569</v>
      </c>
      <c r="O563" t="s">
        <v>46570</v>
      </c>
      <c r="P563">
        <v>0</v>
      </c>
      <c r="Q563">
        <v>0</v>
      </c>
      <c r="R563" t="s">
        <v>46571</v>
      </c>
      <c r="S563" t="s">
        <v>46687</v>
      </c>
      <c r="T563" t="s">
        <v>48268</v>
      </c>
      <c r="U563" t="s">
        <v>49287</v>
      </c>
      <c r="V563" t="s">
        <v>61688</v>
      </c>
      <c r="W563" t="s">
        <v>42854</v>
      </c>
      <c r="X563" t="s">
        <v>46572</v>
      </c>
    </row>
    <row r="564" spans="1:24">
      <c r="A564">
        <f>HYPERLINK("https://www.philgeps.gov.ph/GEPSNONPILOT/Tender/SplashBidNoticeAbstractUI.aspx?menuIndex=3&amp;refID=7064967&amp;Result=3","7064967")</f>
        <v>0</v>
      </c>
      <c r="B564" t="s">
        <v>211</v>
      </c>
      <c r="C564" t="s">
        <v>4082</v>
      </c>
      <c r="D564" t="s">
        <v>18843</v>
      </c>
      <c r="E564" t="s">
        <v>19428</v>
      </c>
      <c r="F564" t="s">
        <v>32664</v>
      </c>
      <c r="G564" t="s">
        <v>32675</v>
      </c>
      <c r="H564" t="s">
        <v>12635</v>
      </c>
      <c r="I564" t="s">
        <v>9486</v>
      </c>
      <c r="J564" t="s">
        <v>33279</v>
      </c>
      <c r="K564" t="s">
        <v>42281</v>
      </c>
      <c r="M564" t="s">
        <v>42775</v>
      </c>
      <c r="N564" t="s">
        <v>46569</v>
      </c>
      <c r="O564" t="s">
        <v>46570</v>
      </c>
      <c r="P564">
        <v>0</v>
      </c>
      <c r="Q564">
        <v>1</v>
      </c>
      <c r="R564" t="s">
        <v>46571</v>
      </c>
      <c r="S564" t="s">
        <v>46687</v>
      </c>
      <c r="T564" t="s">
        <v>48256</v>
      </c>
      <c r="U564" t="s">
        <v>49288</v>
      </c>
      <c r="W564" t="s">
        <v>42775</v>
      </c>
      <c r="X564" t="s">
        <v>46572</v>
      </c>
    </row>
    <row r="565" spans="1:24">
      <c r="A565">
        <f>HYPERLINK("https://www.philgeps.gov.ph/GEPSNONPILOT/Tender/SplashBidNoticeAbstractUI.aspx?menuIndex=3&amp;refID=7064987&amp;Result=3","7064987")</f>
        <v>0</v>
      </c>
      <c r="B565" t="s">
        <v>257</v>
      </c>
      <c r="C565" t="s">
        <v>4083</v>
      </c>
      <c r="D565" t="s">
        <v>18803</v>
      </c>
      <c r="E565" t="s">
        <v>19429</v>
      </c>
      <c r="F565" t="s">
        <v>32664</v>
      </c>
      <c r="G565" t="s">
        <v>32672</v>
      </c>
      <c r="H565" t="s">
        <v>32683</v>
      </c>
      <c r="I565" t="s">
        <v>10627</v>
      </c>
      <c r="J565" t="s">
        <v>32837</v>
      </c>
      <c r="K565" t="s">
        <v>42296</v>
      </c>
      <c r="M565" t="s">
        <v>42822</v>
      </c>
      <c r="N565" t="s">
        <v>46569</v>
      </c>
      <c r="O565" t="s">
        <v>46570</v>
      </c>
      <c r="P565">
        <v>0</v>
      </c>
      <c r="Q565">
        <v>0</v>
      </c>
      <c r="R565" t="s">
        <v>46571</v>
      </c>
      <c r="S565" t="s">
        <v>46687</v>
      </c>
      <c r="T565" t="s">
        <v>48317</v>
      </c>
      <c r="U565" t="s">
        <v>49237</v>
      </c>
      <c r="W565" t="s">
        <v>42822</v>
      </c>
      <c r="X565" t="s">
        <v>46572</v>
      </c>
    </row>
    <row r="566" spans="1:24">
      <c r="A566">
        <f>HYPERLINK("https://www.philgeps.gov.ph/GEPSNONPILOT/Tender/SplashBidNoticeAbstractUI.aspx?menuIndex=3&amp;refID=7064984&amp;Result=3","7064984")</f>
        <v>0</v>
      </c>
      <c r="B566" t="s">
        <v>112</v>
      </c>
      <c r="C566" t="s">
        <v>4084</v>
      </c>
      <c r="D566" t="s">
        <v>18813</v>
      </c>
      <c r="E566" t="s">
        <v>19178</v>
      </c>
      <c r="F566" t="s">
        <v>32664</v>
      </c>
      <c r="G566" t="s">
        <v>32671</v>
      </c>
      <c r="H566" t="s">
        <v>12635</v>
      </c>
      <c r="I566" t="s">
        <v>32685</v>
      </c>
      <c r="J566" t="s">
        <v>33280</v>
      </c>
      <c r="K566" t="s">
        <v>42281</v>
      </c>
      <c r="M566" t="s">
        <v>42676</v>
      </c>
      <c r="N566" t="s">
        <v>46569</v>
      </c>
      <c r="O566" t="s">
        <v>46570</v>
      </c>
      <c r="P566">
        <v>0</v>
      </c>
      <c r="Q566">
        <v>0</v>
      </c>
      <c r="R566" t="s">
        <v>46571</v>
      </c>
      <c r="S566" t="s">
        <v>46687</v>
      </c>
      <c r="T566" t="s">
        <v>48221</v>
      </c>
      <c r="U566" t="s">
        <v>49289</v>
      </c>
      <c r="W566" t="s">
        <v>42676</v>
      </c>
      <c r="X566" t="s">
        <v>46572</v>
      </c>
    </row>
    <row r="567" spans="1:24">
      <c r="A567">
        <f>HYPERLINK("https://www.philgeps.gov.ph/GEPSNONPILOT/Tender/SplashBidNoticeAbstractUI.aspx?menuIndex=3&amp;refID=7064983&amp;Result=3","7064983")</f>
        <v>0</v>
      </c>
      <c r="B567" t="s">
        <v>288</v>
      </c>
      <c r="C567" t="s">
        <v>4085</v>
      </c>
      <c r="D567" t="s">
        <v>18803</v>
      </c>
      <c r="E567" t="s">
        <v>19430</v>
      </c>
      <c r="F567" t="s">
        <v>32664</v>
      </c>
      <c r="G567" t="s">
        <v>32674</v>
      </c>
      <c r="H567" t="s">
        <v>12635</v>
      </c>
      <c r="I567" t="s">
        <v>5589</v>
      </c>
      <c r="J567" t="s">
        <v>33281</v>
      </c>
      <c r="K567" t="s">
        <v>42298</v>
      </c>
      <c r="M567" t="s">
        <v>42855</v>
      </c>
      <c r="N567" t="s">
        <v>46569</v>
      </c>
      <c r="O567" t="s">
        <v>46570</v>
      </c>
      <c r="P567">
        <v>0</v>
      </c>
      <c r="Q567">
        <v>1</v>
      </c>
      <c r="R567" t="s">
        <v>46571</v>
      </c>
      <c r="S567" t="s">
        <v>46687</v>
      </c>
      <c r="T567" t="s">
        <v>48246</v>
      </c>
      <c r="U567" t="s">
        <v>49290</v>
      </c>
      <c r="W567" t="s">
        <v>42855</v>
      </c>
      <c r="X567" t="s">
        <v>46572</v>
      </c>
    </row>
    <row r="568" spans="1:24">
      <c r="A568">
        <f>HYPERLINK("https://www.philgeps.gov.ph/GEPSNONPILOT/Tender/SplashBidNoticeAbstractUI.aspx?menuIndex=3&amp;refID=7064981&amp;Result=3","7064981")</f>
        <v>0</v>
      </c>
      <c r="B568" t="s">
        <v>289</v>
      </c>
      <c r="C568" t="s">
        <v>4086</v>
      </c>
      <c r="D568" t="s">
        <v>18791</v>
      </c>
      <c r="E568" t="s">
        <v>19431</v>
      </c>
      <c r="F568" t="s">
        <v>32664</v>
      </c>
      <c r="G568" t="s">
        <v>32671</v>
      </c>
      <c r="H568" t="s">
        <v>12635</v>
      </c>
      <c r="I568" t="s">
        <v>32723</v>
      </c>
      <c r="J568" t="s">
        <v>33282</v>
      </c>
      <c r="K568" t="s">
        <v>42297</v>
      </c>
      <c r="M568" t="s">
        <v>42856</v>
      </c>
      <c r="N568" t="s">
        <v>46569</v>
      </c>
      <c r="O568" t="s">
        <v>46570</v>
      </c>
      <c r="P568">
        <v>0</v>
      </c>
      <c r="Q568">
        <v>0</v>
      </c>
      <c r="R568" t="s">
        <v>46571</v>
      </c>
      <c r="S568" t="s">
        <v>46687</v>
      </c>
      <c r="T568" t="s">
        <v>48310</v>
      </c>
      <c r="U568" t="s">
        <v>49291</v>
      </c>
      <c r="W568" t="s">
        <v>42856</v>
      </c>
      <c r="X568" t="s">
        <v>46572</v>
      </c>
    </row>
    <row r="569" spans="1:24">
      <c r="A569">
        <f>HYPERLINK("https://www.philgeps.gov.ph/GEPSNONPILOT/Tender/SplashBidNoticeAbstractUI.aspx?menuIndex=3&amp;refID=7064989&amp;Result=3","7064989")</f>
        <v>0</v>
      </c>
      <c r="B569" t="s">
        <v>290</v>
      </c>
      <c r="C569" t="s">
        <v>4087</v>
      </c>
      <c r="D569" t="s">
        <v>18840</v>
      </c>
      <c r="E569" t="s">
        <v>19432</v>
      </c>
      <c r="F569" t="s">
        <v>32664</v>
      </c>
      <c r="G569" t="s">
        <v>32671</v>
      </c>
      <c r="H569" t="s">
        <v>12635</v>
      </c>
      <c r="I569" t="s">
        <v>5589</v>
      </c>
      <c r="J569" t="s">
        <v>33175</v>
      </c>
      <c r="K569" t="s">
        <v>42297</v>
      </c>
      <c r="M569" t="s">
        <v>42857</v>
      </c>
      <c r="N569" t="s">
        <v>46569</v>
      </c>
      <c r="O569" t="s">
        <v>46570</v>
      </c>
      <c r="P569">
        <v>0</v>
      </c>
      <c r="Q569">
        <v>1</v>
      </c>
      <c r="R569" t="s">
        <v>46571</v>
      </c>
      <c r="S569" t="s">
        <v>46687</v>
      </c>
      <c r="T569" t="s">
        <v>48298</v>
      </c>
      <c r="U569" t="s">
        <v>49292</v>
      </c>
      <c r="V569" t="s">
        <v>61689</v>
      </c>
      <c r="W569" t="s">
        <v>42857</v>
      </c>
      <c r="X569" t="s">
        <v>46572</v>
      </c>
    </row>
    <row r="570" spans="1:24">
      <c r="A570">
        <f>HYPERLINK("https://www.philgeps.gov.ph/GEPSNONPILOT/Tender/SplashBidNoticeAbstractUI.aspx?menuIndex=3&amp;refID=7064980&amp;Result=3","7064980")</f>
        <v>0</v>
      </c>
      <c r="B570" t="s">
        <v>291</v>
      </c>
      <c r="C570" t="s">
        <v>4088</v>
      </c>
      <c r="D570" t="s">
        <v>18829</v>
      </c>
      <c r="E570" t="s">
        <v>19433</v>
      </c>
      <c r="F570" t="s">
        <v>32664</v>
      </c>
      <c r="G570" t="s">
        <v>32671</v>
      </c>
      <c r="H570" t="s">
        <v>12635</v>
      </c>
      <c r="I570" t="s">
        <v>8797</v>
      </c>
      <c r="J570" t="s">
        <v>33283</v>
      </c>
      <c r="K570" t="s">
        <v>42281</v>
      </c>
      <c r="M570" t="s">
        <v>42858</v>
      </c>
      <c r="N570" t="s">
        <v>46569</v>
      </c>
      <c r="O570" t="s">
        <v>46570</v>
      </c>
      <c r="P570">
        <v>0</v>
      </c>
      <c r="Q570">
        <v>0</v>
      </c>
      <c r="R570" t="s">
        <v>46571</v>
      </c>
      <c r="S570" t="s">
        <v>46687</v>
      </c>
      <c r="T570" t="s">
        <v>48211</v>
      </c>
      <c r="U570" t="s">
        <v>49293</v>
      </c>
      <c r="W570" t="s">
        <v>42858</v>
      </c>
      <c r="X570" t="s">
        <v>46572</v>
      </c>
    </row>
    <row r="571" spans="1:24">
      <c r="A571">
        <f>HYPERLINK("https://www.philgeps.gov.ph/GEPSNONPILOT/Tender/SplashBidNoticeAbstractUI.aspx?menuIndex=3&amp;refID=7064986&amp;Result=3","7064986")</f>
        <v>0</v>
      </c>
      <c r="B571" t="s">
        <v>168</v>
      </c>
      <c r="C571" t="s">
        <v>4089</v>
      </c>
      <c r="D571" t="s">
        <v>18790</v>
      </c>
      <c r="E571" t="s">
        <v>19434</v>
      </c>
      <c r="F571" t="s">
        <v>32664</v>
      </c>
      <c r="G571" t="s">
        <v>32671</v>
      </c>
      <c r="H571" t="s">
        <v>12635</v>
      </c>
      <c r="I571" t="s">
        <v>4439</v>
      </c>
      <c r="J571" t="s">
        <v>33284</v>
      </c>
      <c r="K571" t="s">
        <v>42284</v>
      </c>
      <c r="M571" t="s">
        <v>42732</v>
      </c>
      <c r="N571" t="s">
        <v>46569</v>
      </c>
      <c r="O571" t="s">
        <v>46570</v>
      </c>
      <c r="P571">
        <v>0</v>
      </c>
      <c r="Q571">
        <v>0</v>
      </c>
      <c r="R571" t="s">
        <v>46571</v>
      </c>
      <c r="S571" t="s">
        <v>46687</v>
      </c>
      <c r="T571" t="s">
        <v>48320</v>
      </c>
      <c r="U571" t="s">
        <v>49294</v>
      </c>
      <c r="W571" t="s">
        <v>42732</v>
      </c>
      <c r="X571" t="s">
        <v>46572</v>
      </c>
    </row>
    <row r="572" spans="1:24">
      <c r="A572">
        <f>HYPERLINK("https://www.philgeps.gov.ph/GEPSNONPILOT/Tender/SplashBidNoticeAbstractUI.aspx?menuIndex=3&amp;refID=7064985&amp;Result=3","7064985")</f>
        <v>0</v>
      </c>
      <c r="B572" t="s">
        <v>292</v>
      </c>
      <c r="C572" t="s">
        <v>4090</v>
      </c>
      <c r="D572" t="s">
        <v>18801</v>
      </c>
      <c r="E572" t="s">
        <v>19435</v>
      </c>
      <c r="F572" t="s">
        <v>32665</v>
      </c>
      <c r="G572" t="s">
        <v>32672</v>
      </c>
      <c r="H572" t="s">
        <v>32683</v>
      </c>
      <c r="I572" t="s">
        <v>10627</v>
      </c>
      <c r="J572" t="s">
        <v>32974</v>
      </c>
      <c r="K572" t="s">
        <v>42281</v>
      </c>
      <c r="L572" t="s">
        <v>292</v>
      </c>
      <c r="M572" t="s">
        <v>42859</v>
      </c>
      <c r="N572" t="s">
        <v>46569</v>
      </c>
      <c r="O572" t="s">
        <v>46570</v>
      </c>
      <c r="P572">
        <v>0</v>
      </c>
      <c r="Q572">
        <v>0</v>
      </c>
      <c r="R572" t="s">
        <v>46571</v>
      </c>
      <c r="S572" t="s">
        <v>46687</v>
      </c>
      <c r="T572" t="s">
        <v>48222</v>
      </c>
      <c r="U572" t="s">
        <v>49295</v>
      </c>
      <c r="V572" t="s">
        <v>49438</v>
      </c>
      <c r="W572" t="s">
        <v>42859</v>
      </c>
      <c r="X572" t="s">
        <v>46572</v>
      </c>
    </row>
    <row r="573" spans="1:24">
      <c r="A573">
        <f>HYPERLINK("https://www.philgeps.gov.ph/GEPSNONPILOT/Tender/SplashBidNoticeAbstractUI.aspx?menuIndex=3&amp;refID=7064982&amp;Result=3","7064982")</f>
        <v>0</v>
      </c>
      <c r="B573" t="s">
        <v>293</v>
      </c>
      <c r="C573" t="s">
        <v>4091</v>
      </c>
      <c r="E573" t="s">
        <v>19436</v>
      </c>
      <c r="F573" t="s">
        <v>32667</v>
      </c>
      <c r="G573" t="s">
        <v>32674</v>
      </c>
      <c r="H573" t="s">
        <v>12635</v>
      </c>
      <c r="I573" t="s">
        <v>10590</v>
      </c>
      <c r="J573" t="s">
        <v>33285</v>
      </c>
      <c r="K573" t="s">
        <v>42283</v>
      </c>
      <c r="M573" t="s">
        <v>42860</v>
      </c>
      <c r="N573" t="s">
        <v>46569</v>
      </c>
      <c r="O573" t="s">
        <v>46570</v>
      </c>
      <c r="P573">
        <v>0</v>
      </c>
      <c r="Q573">
        <v>0</v>
      </c>
      <c r="R573" t="s">
        <v>46571</v>
      </c>
      <c r="S573" t="s">
        <v>46687</v>
      </c>
      <c r="T573" t="s">
        <v>48258</v>
      </c>
      <c r="U573" t="s">
        <v>49296</v>
      </c>
      <c r="W573" t="s">
        <v>42860</v>
      </c>
      <c r="X573" t="s">
        <v>46572</v>
      </c>
    </row>
    <row r="574" spans="1:24">
      <c r="A574">
        <f>HYPERLINK("https://www.philgeps.gov.ph/GEPSNONPILOT/Tender/SplashBidNoticeAbstractUI.aspx?menuIndex=3&amp;refID=7065031&amp;Result=3","7065031")</f>
        <v>0</v>
      </c>
      <c r="B574" t="s">
        <v>294</v>
      </c>
      <c r="C574" t="s">
        <v>4092</v>
      </c>
      <c r="D574" t="s">
        <v>18842</v>
      </c>
      <c r="E574" t="s">
        <v>19437</v>
      </c>
      <c r="F574" t="s">
        <v>32664</v>
      </c>
      <c r="G574" t="s">
        <v>32675</v>
      </c>
      <c r="H574" t="s">
        <v>12635</v>
      </c>
      <c r="I574" t="s">
        <v>4439</v>
      </c>
      <c r="J574" t="s">
        <v>33286</v>
      </c>
      <c r="K574" t="s">
        <v>42283</v>
      </c>
      <c r="M574" t="s">
        <v>42861</v>
      </c>
      <c r="N574" t="s">
        <v>46569</v>
      </c>
      <c r="O574" t="s">
        <v>46570</v>
      </c>
      <c r="P574">
        <v>0</v>
      </c>
      <c r="Q574">
        <v>0</v>
      </c>
      <c r="R574" t="s">
        <v>46571</v>
      </c>
      <c r="S574" t="s">
        <v>46687</v>
      </c>
      <c r="T574" t="s">
        <v>48244</v>
      </c>
      <c r="U574" t="s">
        <v>49297</v>
      </c>
      <c r="W574" t="s">
        <v>42861</v>
      </c>
      <c r="X574" t="s">
        <v>46572</v>
      </c>
    </row>
    <row r="575" spans="1:24">
      <c r="A575">
        <f>HYPERLINK("https://www.philgeps.gov.ph/GEPSNONPILOT/Tender/SplashBidNoticeAbstractUI.aspx?menuIndex=3&amp;refID=7065001&amp;Result=3","7065001")</f>
        <v>0</v>
      </c>
      <c r="B575" t="s">
        <v>243</v>
      </c>
      <c r="C575" t="s">
        <v>4093</v>
      </c>
      <c r="D575" t="s">
        <v>18841</v>
      </c>
      <c r="E575" t="s">
        <v>19438</v>
      </c>
      <c r="F575" t="s">
        <v>32664</v>
      </c>
      <c r="G575" t="s">
        <v>32674</v>
      </c>
      <c r="H575" t="s">
        <v>12635</v>
      </c>
      <c r="I575" t="s">
        <v>10361</v>
      </c>
      <c r="J575" t="s">
        <v>33287</v>
      </c>
      <c r="K575" t="s">
        <v>42284</v>
      </c>
      <c r="L575" t="s">
        <v>243</v>
      </c>
      <c r="M575" t="s">
        <v>42808</v>
      </c>
      <c r="N575" t="s">
        <v>46569</v>
      </c>
      <c r="O575" t="s">
        <v>46570</v>
      </c>
      <c r="P575">
        <v>0</v>
      </c>
      <c r="Q575">
        <v>0</v>
      </c>
      <c r="R575" t="s">
        <v>46571</v>
      </c>
      <c r="S575" t="s">
        <v>46687</v>
      </c>
      <c r="T575" t="s">
        <v>48314</v>
      </c>
      <c r="U575" t="s">
        <v>49298</v>
      </c>
      <c r="V575" t="s">
        <v>61675</v>
      </c>
      <c r="W575" t="s">
        <v>42808</v>
      </c>
      <c r="X575" t="s">
        <v>46572</v>
      </c>
    </row>
    <row r="576" spans="1:24">
      <c r="A576">
        <f>HYPERLINK("https://www.philgeps.gov.ph/GEPSNONPILOT/Tender/SplashBidNoticeAbstractUI.aspx?menuIndex=3&amp;refID=7065025&amp;Result=3","7065025")</f>
        <v>0</v>
      </c>
      <c r="B576" t="s">
        <v>190</v>
      </c>
      <c r="C576" t="s">
        <v>4094</v>
      </c>
      <c r="D576" t="s">
        <v>18807</v>
      </c>
      <c r="E576" t="s">
        <v>19439</v>
      </c>
      <c r="F576" t="s">
        <v>32664</v>
      </c>
      <c r="G576" t="s">
        <v>32671</v>
      </c>
      <c r="H576" t="s">
        <v>12635</v>
      </c>
      <c r="I576" t="s">
        <v>5589</v>
      </c>
      <c r="J576" t="s">
        <v>33288</v>
      </c>
      <c r="K576" t="s">
        <v>42281</v>
      </c>
      <c r="M576" t="s">
        <v>42754</v>
      </c>
      <c r="N576" t="s">
        <v>46569</v>
      </c>
      <c r="O576" t="s">
        <v>46570</v>
      </c>
      <c r="P576">
        <v>0</v>
      </c>
      <c r="Q576">
        <v>0</v>
      </c>
      <c r="R576" t="s">
        <v>46571</v>
      </c>
      <c r="S576" t="s">
        <v>46687</v>
      </c>
      <c r="T576" t="s">
        <v>48321</v>
      </c>
      <c r="U576" t="s">
        <v>49299</v>
      </c>
      <c r="W576" t="s">
        <v>42754</v>
      </c>
      <c r="X576" t="s">
        <v>46572</v>
      </c>
    </row>
    <row r="577" spans="1:24">
      <c r="A577">
        <f>HYPERLINK("https://www.philgeps.gov.ph/GEPSNONPILOT/Tender/SplashBidNoticeAbstractUI.aspx?menuIndex=3&amp;refID=7065028&amp;Result=3","7065028")</f>
        <v>0</v>
      </c>
      <c r="B577" t="s">
        <v>295</v>
      </c>
      <c r="C577" t="s">
        <v>4095</v>
      </c>
      <c r="D577" t="s">
        <v>18848</v>
      </c>
      <c r="E577" t="s">
        <v>19440</v>
      </c>
      <c r="F577" t="s">
        <v>32664</v>
      </c>
      <c r="G577" t="s">
        <v>32672</v>
      </c>
      <c r="H577" t="s">
        <v>12635</v>
      </c>
      <c r="I577" t="s">
        <v>6168</v>
      </c>
      <c r="J577" t="s">
        <v>33289</v>
      </c>
      <c r="K577" t="s">
        <v>42297</v>
      </c>
      <c r="M577" t="s">
        <v>42862</v>
      </c>
      <c r="N577" t="s">
        <v>46569</v>
      </c>
      <c r="O577" t="s">
        <v>46570</v>
      </c>
      <c r="P577">
        <v>0</v>
      </c>
      <c r="Q577">
        <v>0</v>
      </c>
      <c r="R577" t="s">
        <v>46571</v>
      </c>
      <c r="S577" t="s">
        <v>46687</v>
      </c>
      <c r="T577" t="s">
        <v>48322</v>
      </c>
      <c r="U577" t="s">
        <v>49300</v>
      </c>
      <c r="W577" t="s">
        <v>42862</v>
      </c>
      <c r="X577" t="s">
        <v>46572</v>
      </c>
    </row>
    <row r="578" spans="1:24">
      <c r="A578">
        <f>HYPERLINK("https://www.philgeps.gov.ph/GEPSNONPILOT/Tender/SplashBidNoticeAbstractUI.aspx?menuIndex=3&amp;refID=7065026&amp;Result=3","7065026")</f>
        <v>0</v>
      </c>
      <c r="B578" t="s">
        <v>225</v>
      </c>
      <c r="C578" t="s">
        <v>4096</v>
      </c>
      <c r="D578" t="s">
        <v>18784</v>
      </c>
      <c r="E578" t="s">
        <v>19441</v>
      </c>
      <c r="F578" t="s">
        <v>32664</v>
      </c>
      <c r="G578" t="s">
        <v>32674</v>
      </c>
      <c r="H578" t="s">
        <v>12635</v>
      </c>
      <c r="I578" t="s">
        <v>4439</v>
      </c>
      <c r="J578" t="s">
        <v>33290</v>
      </c>
      <c r="K578" t="s">
        <v>42281</v>
      </c>
      <c r="M578" t="s">
        <v>42789</v>
      </c>
      <c r="N578" t="s">
        <v>46569</v>
      </c>
      <c r="O578" t="s">
        <v>46570</v>
      </c>
      <c r="P578">
        <v>0</v>
      </c>
      <c r="Q578">
        <v>0</v>
      </c>
      <c r="R578" t="s">
        <v>46571</v>
      </c>
      <c r="S578" t="s">
        <v>46687</v>
      </c>
      <c r="T578" t="s">
        <v>48225</v>
      </c>
      <c r="U578" t="s">
        <v>49301</v>
      </c>
      <c r="W578" t="s">
        <v>42789</v>
      </c>
      <c r="X578" t="s">
        <v>46572</v>
      </c>
    </row>
    <row r="579" spans="1:24">
      <c r="A579">
        <f>HYPERLINK("https://www.philgeps.gov.ph/GEPSNONPILOT/Tender/SplashBidNoticeAbstractUI.aspx?menuIndex=3&amp;refID=7064960&amp;Result=3","7064960")</f>
        <v>0</v>
      </c>
      <c r="B579" t="s">
        <v>136</v>
      </c>
      <c r="C579" t="s">
        <v>4097</v>
      </c>
      <c r="D579" t="s">
        <v>18833</v>
      </c>
      <c r="E579" t="s">
        <v>19442</v>
      </c>
      <c r="F579" t="s">
        <v>32664</v>
      </c>
      <c r="G579" t="s">
        <v>32671</v>
      </c>
      <c r="H579" t="s">
        <v>12635</v>
      </c>
      <c r="I579" t="s">
        <v>32685</v>
      </c>
      <c r="J579" t="s">
        <v>32845</v>
      </c>
      <c r="K579" t="s">
        <v>42289</v>
      </c>
      <c r="M579" t="s">
        <v>42700</v>
      </c>
      <c r="N579" t="s">
        <v>46569</v>
      </c>
      <c r="O579" t="s">
        <v>46570</v>
      </c>
      <c r="P579">
        <v>0</v>
      </c>
      <c r="Q579">
        <v>0</v>
      </c>
      <c r="R579" t="s">
        <v>46571</v>
      </c>
      <c r="S579" t="s">
        <v>46687</v>
      </c>
      <c r="T579" t="s">
        <v>48226</v>
      </c>
      <c r="U579" t="s">
        <v>49302</v>
      </c>
      <c r="W579" t="s">
        <v>42700</v>
      </c>
      <c r="X579" t="s">
        <v>46572</v>
      </c>
    </row>
    <row r="580" spans="1:24">
      <c r="A580">
        <f>HYPERLINK("https://www.philgeps.gov.ph/GEPSNONPILOT/Tender/SplashBidNoticeAbstractUI.aspx?menuIndex=3&amp;refID=7065019&amp;Result=3","7065019")</f>
        <v>0</v>
      </c>
      <c r="B580" t="s">
        <v>239</v>
      </c>
      <c r="C580" t="s">
        <v>4098</v>
      </c>
      <c r="D580" t="s">
        <v>18801</v>
      </c>
      <c r="E580" t="s">
        <v>19443</v>
      </c>
      <c r="F580" t="s">
        <v>32664</v>
      </c>
      <c r="G580" t="s">
        <v>32671</v>
      </c>
      <c r="H580" t="s">
        <v>12635</v>
      </c>
      <c r="I580" t="s">
        <v>32710</v>
      </c>
      <c r="J580" t="s">
        <v>33291</v>
      </c>
      <c r="K580" t="s">
        <v>42283</v>
      </c>
      <c r="M580" t="s">
        <v>42804</v>
      </c>
      <c r="N580" t="s">
        <v>46569</v>
      </c>
      <c r="O580" t="s">
        <v>46570</v>
      </c>
      <c r="P580">
        <v>0</v>
      </c>
      <c r="Q580">
        <v>1</v>
      </c>
      <c r="R580" t="s">
        <v>46571</v>
      </c>
      <c r="S580" t="s">
        <v>46687</v>
      </c>
      <c r="T580" t="s">
        <v>48246</v>
      </c>
      <c r="U580" t="s">
        <v>49303</v>
      </c>
      <c r="W580" t="s">
        <v>63468</v>
      </c>
      <c r="X580" t="s">
        <v>46572</v>
      </c>
    </row>
    <row r="581" spans="1:24">
      <c r="A581">
        <f>HYPERLINK("https://www.philgeps.gov.ph/GEPSNONPILOT/Tender/SplashBidNoticeAbstractUI.aspx?menuIndex=3&amp;refID=7065022&amp;Result=3","7065022")</f>
        <v>0</v>
      </c>
      <c r="B581" t="s">
        <v>245</v>
      </c>
      <c r="C581" t="s">
        <v>4099</v>
      </c>
      <c r="D581" t="s">
        <v>18791</v>
      </c>
      <c r="E581" t="s">
        <v>19444</v>
      </c>
      <c r="F581" t="s">
        <v>32664</v>
      </c>
      <c r="G581" t="s">
        <v>32672</v>
      </c>
      <c r="H581" t="s">
        <v>12635</v>
      </c>
      <c r="I581" t="s">
        <v>6168</v>
      </c>
      <c r="J581" t="s">
        <v>33292</v>
      </c>
      <c r="K581" t="s">
        <v>42303</v>
      </c>
      <c r="M581" t="s">
        <v>42810</v>
      </c>
      <c r="N581" t="s">
        <v>46569</v>
      </c>
      <c r="O581" t="s">
        <v>46570</v>
      </c>
      <c r="P581">
        <v>0</v>
      </c>
      <c r="Q581">
        <v>0</v>
      </c>
      <c r="R581" t="s">
        <v>46571</v>
      </c>
      <c r="S581" t="s">
        <v>46687</v>
      </c>
      <c r="T581" t="s">
        <v>48233</v>
      </c>
      <c r="U581" t="s">
        <v>49304</v>
      </c>
      <c r="V581" t="s">
        <v>61676</v>
      </c>
      <c r="W581" t="s">
        <v>42810</v>
      </c>
      <c r="X581" t="s">
        <v>46572</v>
      </c>
    </row>
    <row r="582" spans="1:24">
      <c r="A582">
        <f>HYPERLINK("https://www.philgeps.gov.ph/GEPSNONPILOT/Tender/SplashBidNoticeAbstractUI.aspx?menuIndex=3&amp;refID=7065018&amp;Result=3","7065018")</f>
        <v>0</v>
      </c>
      <c r="B582" t="s">
        <v>296</v>
      </c>
      <c r="C582" t="s">
        <v>4100</v>
      </c>
      <c r="D582" t="s">
        <v>18791</v>
      </c>
      <c r="E582" t="s">
        <v>19445</v>
      </c>
      <c r="F582" t="s">
        <v>32664</v>
      </c>
      <c r="G582" t="s">
        <v>32671</v>
      </c>
      <c r="H582" t="s">
        <v>12635</v>
      </c>
      <c r="I582" t="s">
        <v>32689</v>
      </c>
      <c r="J582" t="s">
        <v>33008</v>
      </c>
      <c r="K582" t="s">
        <v>42281</v>
      </c>
      <c r="M582" t="s">
        <v>42863</v>
      </c>
      <c r="N582" t="s">
        <v>46569</v>
      </c>
      <c r="O582" t="s">
        <v>46570</v>
      </c>
      <c r="P582">
        <v>0</v>
      </c>
      <c r="Q582">
        <v>2</v>
      </c>
      <c r="R582" t="s">
        <v>46571</v>
      </c>
      <c r="S582" t="s">
        <v>46687</v>
      </c>
      <c r="T582" t="s">
        <v>48323</v>
      </c>
      <c r="U582" t="s">
        <v>49305</v>
      </c>
      <c r="W582" t="s">
        <v>42863</v>
      </c>
      <c r="X582" t="s">
        <v>46572</v>
      </c>
    </row>
    <row r="583" spans="1:24">
      <c r="A583">
        <f>HYPERLINK("https://www.philgeps.gov.ph/GEPSNONPILOT/Tender/SplashBidNoticeAbstractUI.aspx?menuIndex=3&amp;refID=7065017&amp;Result=3","7065017")</f>
        <v>0</v>
      </c>
      <c r="B583" t="s">
        <v>135</v>
      </c>
      <c r="C583" t="s">
        <v>4101</v>
      </c>
      <c r="D583" t="s">
        <v>18807</v>
      </c>
      <c r="E583" t="s">
        <v>19446</v>
      </c>
      <c r="F583" t="s">
        <v>32664</v>
      </c>
      <c r="G583" t="s">
        <v>32672</v>
      </c>
      <c r="H583" t="s">
        <v>12635</v>
      </c>
      <c r="I583" t="s">
        <v>4333</v>
      </c>
      <c r="J583" t="s">
        <v>33119</v>
      </c>
      <c r="K583" t="s">
        <v>42281</v>
      </c>
      <c r="M583" t="s">
        <v>42852</v>
      </c>
      <c r="N583" t="s">
        <v>46569</v>
      </c>
      <c r="O583" t="s">
        <v>46570</v>
      </c>
      <c r="P583">
        <v>0</v>
      </c>
      <c r="Q583">
        <v>0</v>
      </c>
      <c r="R583" t="s">
        <v>46571</v>
      </c>
      <c r="S583" t="s">
        <v>46687</v>
      </c>
      <c r="T583" t="s">
        <v>48226</v>
      </c>
      <c r="U583" t="s">
        <v>49052</v>
      </c>
      <c r="V583" t="s">
        <v>61650</v>
      </c>
      <c r="W583" t="s">
        <v>42852</v>
      </c>
      <c r="X583" t="s">
        <v>46572</v>
      </c>
    </row>
    <row r="584" spans="1:24">
      <c r="A584">
        <f>HYPERLINK("https://www.philgeps.gov.ph/GEPSNONPILOT/Tender/SplashBidNoticeAbstractUI.aspx?menuIndex=3&amp;refID=7065015&amp;Result=3","7065015")</f>
        <v>0</v>
      </c>
      <c r="B584" t="s">
        <v>203</v>
      </c>
      <c r="C584" t="s">
        <v>4102</v>
      </c>
      <c r="D584" t="s">
        <v>18842</v>
      </c>
      <c r="E584" t="s">
        <v>19447</v>
      </c>
      <c r="F584" t="s">
        <v>32664</v>
      </c>
      <c r="G584" t="s">
        <v>32671</v>
      </c>
      <c r="H584" t="s">
        <v>32682</v>
      </c>
      <c r="I584" t="s">
        <v>5501</v>
      </c>
      <c r="J584" t="s">
        <v>33078</v>
      </c>
      <c r="K584" t="s">
        <v>42336</v>
      </c>
      <c r="M584" t="s">
        <v>42767</v>
      </c>
      <c r="N584" t="s">
        <v>46569</v>
      </c>
      <c r="O584" t="s">
        <v>46570</v>
      </c>
      <c r="P584">
        <v>0</v>
      </c>
      <c r="Q584">
        <v>10</v>
      </c>
      <c r="R584" t="s">
        <v>46571</v>
      </c>
      <c r="S584" t="s">
        <v>46687</v>
      </c>
      <c r="T584" t="s">
        <v>48324</v>
      </c>
      <c r="U584" t="s">
        <v>49306</v>
      </c>
      <c r="V584" t="s">
        <v>50334</v>
      </c>
      <c r="W584" t="s">
        <v>42767</v>
      </c>
      <c r="X584" t="s">
        <v>46572</v>
      </c>
    </row>
    <row r="585" spans="1:24">
      <c r="A585">
        <f>HYPERLINK("https://www.philgeps.gov.ph/GEPSNONPILOT/Tender/SplashBidNoticeAbstractUI.aspx?menuIndex=3&amp;refID=7065023&amp;Result=3","7065023")</f>
        <v>0</v>
      </c>
      <c r="B585" t="s">
        <v>297</v>
      </c>
      <c r="C585" t="s">
        <v>4103</v>
      </c>
      <c r="D585" t="s">
        <v>18786</v>
      </c>
      <c r="E585" t="s">
        <v>19448</v>
      </c>
      <c r="F585" t="s">
        <v>32664</v>
      </c>
      <c r="G585" t="s">
        <v>32677</v>
      </c>
      <c r="H585" t="s">
        <v>12635</v>
      </c>
      <c r="I585" t="s">
        <v>11464</v>
      </c>
      <c r="J585" t="s">
        <v>32865</v>
      </c>
      <c r="K585" t="s">
        <v>42283</v>
      </c>
      <c r="M585" t="s">
        <v>42864</v>
      </c>
      <c r="N585" t="s">
        <v>46569</v>
      </c>
      <c r="O585" t="s">
        <v>46570</v>
      </c>
      <c r="P585">
        <v>0</v>
      </c>
      <c r="Q585">
        <v>1</v>
      </c>
      <c r="R585" t="s">
        <v>46571</v>
      </c>
      <c r="S585" t="s">
        <v>46687</v>
      </c>
      <c r="T585" t="s">
        <v>48219</v>
      </c>
      <c r="U585" t="s">
        <v>49307</v>
      </c>
      <c r="W585" t="s">
        <v>42864</v>
      </c>
      <c r="X585" t="s">
        <v>46572</v>
      </c>
    </row>
    <row r="586" spans="1:24">
      <c r="A586">
        <f>HYPERLINK("https://www.philgeps.gov.ph/GEPSNONPILOT/Tender/SplashBidNoticeAbstractUI.aspx?menuIndex=3&amp;refID=7065057&amp;Result=3","7065057")</f>
        <v>0</v>
      </c>
      <c r="B586" t="s">
        <v>191</v>
      </c>
      <c r="C586" t="s">
        <v>4104</v>
      </c>
      <c r="D586" t="s">
        <v>18827</v>
      </c>
      <c r="E586" t="s">
        <v>19449</v>
      </c>
      <c r="F586" t="s">
        <v>32664</v>
      </c>
      <c r="G586" t="s">
        <v>32671</v>
      </c>
      <c r="H586" t="s">
        <v>32683</v>
      </c>
      <c r="I586" t="s">
        <v>10627</v>
      </c>
      <c r="J586" t="s">
        <v>32898</v>
      </c>
      <c r="K586" t="s">
        <v>42289</v>
      </c>
      <c r="M586" t="s">
        <v>42755</v>
      </c>
      <c r="N586" t="s">
        <v>46569</v>
      </c>
      <c r="O586" t="s">
        <v>46570</v>
      </c>
      <c r="P586">
        <v>0</v>
      </c>
      <c r="Q586">
        <v>0</v>
      </c>
      <c r="R586" t="s">
        <v>46571</v>
      </c>
      <c r="S586" t="s">
        <v>46687</v>
      </c>
      <c r="T586" t="s">
        <v>48256</v>
      </c>
      <c r="U586" t="s">
        <v>49308</v>
      </c>
      <c r="W586" t="s">
        <v>42755</v>
      </c>
      <c r="X586" t="s">
        <v>46572</v>
      </c>
    </row>
    <row r="587" spans="1:24">
      <c r="A587">
        <f>HYPERLINK("https://www.philgeps.gov.ph/GEPSNONPILOT/Tender/SplashBidNoticeAbstractUI.aspx?menuIndex=3&amp;refID=7065016&amp;Result=3","7065016")</f>
        <v>0</v>
      </c>
      <c r="B587" t="s">
        <v>180</v>
      </c>
      <c r="C587" t="s">
        <v>4105</v>
      </c>
      <c r="D587" t="s">
        <v>18794</v>
      </c>
      <c r="E587" t="s">
        <v>19450</v>
      </c>
      <c r="F587" t="s">
        <v>32664</v>
      </c>
      <c r="G587" t="s">
        <v>32672</v>
      </c>
      <c r="H587" t="s">
        <v>12635</v>
      </c>
      <c r="I587" t="s">
        <v>4439</v>
      </c>
      <c r="J587" t="s">
        <v>33293</v>
      </c>
      <c r="K587" t="s">
        <v>42283</v>
      </c>
      <c r="M587" t="s">
        <v>42744</v>
      </c>
      <c r="N587" t="s">
        <v>46569</v>
      </c>
      <c r="O587" t="s">
        <v>46570</v>
      </c>
      <c r="P587">
        <v>0</v>
      </c>
      <c r="Q587">
        <v>0</v>
      </c>
      <c r="R587" t="s">
        <v>46571</v>
      </c>
      <c r="S587" t="s">
        <v>46687</v>
      </c>
      <c r="T587" t="s">
        <v>48321</v>
      </c>
      <c r="U587" t="s">
        <v>49309</v>
      </c>
      <c r="W587" t="s">
        <v>63472</v>
      </c>
      <c r="X587" t="s">
        <v>46572</v>
      </c>
    </row>
    <row r="588" spans="1:24">
      <c r="A588">
        <f>HYPERLINK("https://www.philgeps.gov.ph/GEPSNONPILOT/Tender/SplashBidNoticeAbstractUI.aspx?menuIndex=3&amp;refID=7065014&amp;Result=3","7065014")</f>
        <v>0</v>
      </c>
      <c r="B588" t="s">
        <v>298</v>
      </c>
      <c r="C588" t="s">
        <v>4106</v>
      </c>
      <c r="D588" t="s">
        <v>18842</v>
      </c>
      <c r="E588" t="s">
        <v>19451</v>
      </c>
      <c r="F588" t="s">
        <v>32664</v>
      </c>
      <c r="G588" t="s">
        <v>32672</v>
      </c>
      <c r="H588" t="s">
        <v>32683</v>
      </c>
      <c r="I588" t="s">
        <v>10627</v>
      </c>
      <c r="J588" t="s">
        <v>32982</v>
      </c>
      <c r="K588" t="s">
        <v>42311</v>
      </c>
      <c r="M588" t="s">
        <v>42865</v>
      </c>
      <c r="N588" t="s">
        <v>46569</v>
      </c>
      <c r="O588" t="s">
        <v>46570</v>
      </c>
      <c r="P588">
        <v>0</v>
      </c>
      <c r="Q588">
        <v>0</v>
      </c>
      <c r="R588" t="s">
        <v>46571</v>
      </c>
      <c r="S588" t="s">
        <v>46687</v>
      </c>
      <c r="T588" t="s">
        <v>48253</v>
      </c>
      <c r="U588" t="s">
        <v>49310</v>
      </c>
      <c r="W588" t="s">
        <v>42865</v>
      </c>
      <c r="X588" t="s">
        <v>46572</v>
      </c>
    </row>
    <row r="589" spans="1:24">
      <c r="A589">
        <f>HYPERLINK("https://www.philgeps.gov.ph/GEPSNONPILOT/Tender/SplashBidNoticeAbstractUI.aspx?menuIndex=3&amp;refID=7065053&amp;Result=3","7065053")</f>
        <v>0</v>
      </c>
      <c r="B589" t="s">
        <v>211</v>
      </c>
      <c r="C589" t="s">
        <v>4107</v>
      </c>
      <c r="D589" t="s">
        <v>18843</v>
      </c>
      <c r="E589" t="s">
        <v>19452</v>
      </c>
      <c r="F589" t="s">
        <v>32664</v>
      </c>
      <c r="G589" t="s">
        <v>32675</v>
      </c>
      <c r="H589" t="s">
        <v>12635</v>
      </c>
      <c r="I589" t="s">
        <v>32731</v>
      </c>
      <c r="J589" t="s">
        <v>33126</v>
      </c>
      <c r="K589" t="s">
        <v>42281</v>
      </c>
      <c r="M589" t="s">
        <v>42775</v>
      </c>
      <c r="N589" t="s">
        <v>46569</v>
      </c>
      <c r="O589" t="s">
        <v>46570</v>
      </c>
      <c r="P589">
        <v>0</v>
      </c>
      <c r="Q589">
        <v>0</v>
      </c>
      <c r="R589" t="s">
        <v>46571</v>
      </c>
      <c r="S589" t="s">
        <v>46687</v>
      </c>
      <c r="T589" t="s">
        <v>48256</v>
      </c>
      <c r="U589" t="s">
        <v>49311</v>
      </c>
      <c r="W589" t="s">
        <v>42775</v>
      </c>
      <c r="X589" t="s">
        <v>46572</v>
      </c>
    </row>
    <row r="590" spans="1:24">
      <c r="A590">
        <f>HYPERLINK("https://www.philgeps.gov.ph/GEPSNONPILOT/Tender/SplashBidNoticeAbstractUI.aspx?menuIndex=3&amp;refID=7065052&amp;Result=3","7065052")</f>
        <v>0</v>
      </c>
      <c r="B590" t="s">
        <v>299</v>
      </c>
      <c r="C590" t="s">
        <v>4108</v>
      </c>
      <c r="E590" t="s">
        <v>19453</v>
      </c>
      <c r="F590" t="s">
        <v>32665</v>
      </c>
      <c r="G590" t="s">
        <v>32674</v>
      </c>
      <c r="H590" t="s">
        <v>12635</v>
      </c>
      <c r="I590" t="s">
        <v>6628</v>
      </c>
      <c r="J590" t="s">
        <v>33294</v>
      </c>
      <c r="K590" t="s">
        <v>42283</v>
      </c>
      <c r="M590" t="s">
        <v>42866</v>
      </c>
      <c r="N590" t="s">
        <v>46569</v>
      </c>
      <c r="O590" t="s">
        <v>46570</v>
      </c>
      <c r="P590">
        <v>0</v>
      </c>
      <c r="Q590">
        <v>0</v>
      </c>
      <c r="R590" t="s">
        <v>46571</v>
      </c>
      <c r="S590" t="s">
        <v>46687</v>
      </c>
      <c r="T590" t="s">
        <v>48237</v>
      </c>
      <c r="U590" t="s">
        <v>49312</v>
      </c>
      <c r="W590" t="s">
        <v>42866</v>
      </c>
      <c r="X590" t="s">
        <v>46572</v>
      </c>
    </row>
    <row r="591" spans="1:24">
      <c r="A591">
        <f>HYPERLINK("https://www.philgeps.gov.ph/GEPSNONPILOT/Tender/SplashBidNoticeAbstractUI.aspx?menuIndex=3&amp;refID=7065051&amp;Result=3","7065051")</f>
        <v>0</v>
      </c>
      <c r="B591" t="s">
        <v>135</v>
      </c>
      <c r="C591" t="s">
        <v>4109</v>
      </c>
      <c r="D591" t="s">
        <v>18807</v>
      </c>
      <c r="E591" t="s">
        <v>19454</v>
      </c>
      <c r="F591" t="s">
        <v>32664</v>
      </c>
      <c r="G591" t="s">
        <v>32672</v>
      </c>
      <c r="H591" t="s">
        <v>12635</v>
      </c>
      <c r="I591" t="s">
        <v>4333</v>
      </c>
      <c r="J591" t="s">
        <v>33295</v>
      </c>
      <c r="K591" t="s">
        <v>42281</v>
      </c>
      <c r="M591" t="s">
        <v>42852</v>
      </c>
      <c r="N591" t="s">
        <v>46569</v>
      </c>
      <c r="O591" t="s">
        <v>46570</v>
      </c>
      <c r="P591">
        <v>0</v>
      </c>
      <c r="Q591">
        <v>0</v>
      </c>
      <c r="R591" t="s">
        <v>46571</v>
      </c>
      <c r="S591" t="s">
        <v>46687</v>
      </c>
      <c r="T591" t="s">
        <v>48226</v>
      </c>
      <c r="U591" t="s">
        <v>49052</v>
      </c>
      <c r="V591" t="s">
        <v>61650</v>
      </c>
      <c r="W591" t="s">
        <v>42852</v>
      </c>
      <c r="X591" t="s">
        <v>46572</v>
      </c>
    </row>
    <row r="592" spans="1:24">
      <c r="A592">
        <f>HYPERLINK("https://www.philgeps.gov.ph/GEPSNONPILOT/Tender/SplashBidNoticeAbstractUI.aspx?menuIndex=3&amp;refID=7065050&amp;Result=3","7065050")</f>
        <v>0</v>
      </c>
      <c r="B592" t="s">
        <v>300</v>
      </c>
      <c r="C592" t="s">
        <v>4110</v>
      </c>
      <c r="D592" t="s">
        <v>18785</v>
      </c>
      <c r="E592" t="s">
        <v>19455</v>
      </c>
      <c r="F592" t="s">
        <v>32664</v>
      </c>
      <c r="G592" t="s">
        <v>32671</v>
      </c>
      <c r="H592" t="s">
        <v>12635</v>
      </c>
      <c r="I592" t="s">
        <v>32719</v>
      </c>
      <c r="J592" t="s">
        <v>33296</v>
      </c>
      <c r="K592" t="s">
        <v>42281</v>
      </c>
      <c r="M592" t="s">
        <v>42867</v>
      </c>
      <c r="N592" t="s">
        <v>46569</v>
      </c>
      <c r="O592" t="s">
        <v>46570</v>
      </c>
      <c r="P592">
        <v>0</v>
      </c>
      <c r="Q592">
        <v>3</v>
      </c>
      <c r="R592" t="s">
        <v>46571</v>
      </c>
      <c r="S592" t="s">
        <v>46687</v>
      </c>
      <c r="T592" t="s">
        <v>48314</v>
      </c>
      <c r="U592" t="s">
        <v>49313</v>
      </c>
      <c r="W592" t="s">
        <v>42867</v>
      </c>
      <c r="X592" t="s">
        <v>46572</v>
      </c>
    </row>
    <row r="593" spans="1:24">
      <c r="A593">
        <f>HYPERLINK("https://www.philgeps.gov.ph/GEPSNONPILOT/Tender/SplashBidNoticeAbstractUI.aspx?menuIndex=3&amp;refID=7065049&amp;Result=3","7065049")</f>
        <v>0</v>
      </c>
      <c r="B593" t="s">
        <v>301</v>
      </c>
      <c r="C593" t="s">
        <v>4111</v>
      </c>
      <c r="D593" t="s">
        <v>18830</v>
      </c>
      <c r="E593" t="s">
        <v>19456</v>
      </c>
      <c r="F593" t="s">
        <v>32664</v>
      </c>
      <c r="G593" t="s">
        <v>32671</v>
      </c>
      <c r="H593" t="s">
        <v>12635</v>
      </c>
      <c r="I593" t="s">
        <v>4439</v>
      </c>
      <c r="J593" t="s">
        <v>33297</v>
      </c>
      <c r="K593" t="s">
        <v>42284</v>
      </c>
      <c r="M593" t="s">
        <v>42868</v>
      </c>
      <c r="N593" t="s">
        <v>46569</v>
      </c>
      <c r="O593" t="s">
        <v>46570</v>
      </c>
      <c r="P593">
        <v>0</v>
      </c>
      <c r="Q593">
        <v>0</v>
      </c>
      <c r="R593" t="s">
        <v>46571</v>
      </c>
      <c r="S593" t="s">
        <v>46687</v>
      </c>
      <c r="T593" t="s">
        <v>48221</v>
      </c>
      <c r="U593" t="s">
        <v>49314</v>
      </c>
      <c r="W593" t="s">
        <v>42868</v>
      </c>
      <c r="X593" t="s">
        <v>46572</v>
      </c>
    </row>
    <row r="594" spans="1:24">
      <c r="A594">
        <f>HYPERLINK("https://www.philgeps.gov.ph/GEPSNONPILOT/Tender/SplashBidNoticeAbstractUI.aspx?menuIndex=3&amp;refID=7065048&amp;Result=3","7065048")</f>
        <v>0</v>
      </c>
      <c r="B594" t="s">
        <v>302</v>
      </c>
      <c r="C594" t="s">
        <v>4112</v>
      </c>
      <c r="D594" t="s">
        <v>18789</v>
      </c>
      <c r="E594" t="s">
        <v>19457</v>
      </c>
      <c r="F594" t="s">
        <v>32665</v>
      </c>
      <c r="G594" t="s">
        <v>32671</v>
      </c>
      <c r="H594" t="s">
        <v>12635</v>
      </c>
      <c r="I594" t="s">
        <v>10370</v>
      </c>
      <c r="J594" t="s">
        <v>33298</v>
      </c>
      <c r="K594" t="s">
        <v>42289</v>
      </c>
      <c r="L594" t="s">
        <v>302</v>
      </c>
      <c r="M594" t="s">
        <v>42869</v>
      </c>
      <c r="N594" t="s">
        <v>46569</v>
      </c>
      <c r="O594" t="s">
        <v>46570</v>
      </c>
      <c r="P594">
        <v>0</v>
      </c>
      <c r="Q594">
        <v>1</v>
      </c>
      <c r="R594" t="s">
        <v>46571</v>
      </c>
      <c r="S594" t="s">
        <v>46687</v>
      </c>
      <c r="T594" t="s">
        <v>48211</v>
      </c>
      <c r="U594" t="s">
        <v>49315</v>
      </c>
      <c r="V594" t="s">
        <v>61690</v>
      </c>
      <c r="W594" t="s">
        <v>42869</v>
      </c>
      <c r="X594" t="s">
        <v>46572</v>
      </c>
    </row>
    <row r="595" spans="1:24">
      <c r="A595">
        <f>HYPERLINK("https://www.philgeps.gov.ph/GEPSNONPILOT/Tender/SplashBidNoticeAbstractUI.aspx?menuIndex=3&amp;refID=7065046&amp;Result=3","7065046")</f>
        <v>0</v>
      </c>
      <c r="B595" t="s">
        <v>303</v>
      </c>
      <c r="C595" t="s">
        <v>4113</v>
      </c>
      <c r="D595" t="s">
        <v>18784</v>
      </c>
      <c r="E595" t="s">
        <v>19458</v>
      </c>
      <c r="F595" t="s">
        <v>32664</v>
      </c>
      <c r="G595" t="s">
        <v>32671</v>
      </c>
      <c r="H595" t="s">
        <v>12635</v>
      </c>
      <c r="I595" t="s">
        <v>6223</v>
      </c>
      <c r="J595" t="s">
        <v>33299</v>
      </c>
      <c r="K595" t="s">
        <v>42309</v>
      </c>
      <c r="M595" t="s">
        <v>42870</v>
      </c>
      <c r="N595" t="s">
        <v>46569</v>
      </c>
      <c r="O595" t="s">
        <v>46570</v>
      </c>
      <c r="P595">
        <v>0</v>
      </c>
      <c r="Q595">
        <v>4</v>
      </c>
      <c r="R595" t="s">
        <v>46571</v>
      </c>
      <c r="S595" t="s">
        <v>46687</v>
      </c>
      <c r="T595" t="s">
        <v>48325</v>
      </c>
      <c r="U595" t="s">
        <v>49316</v>
      </c>
      <c r="W595" t="s">
        <v>42870</v>
      </c>
      <c r="X595" t="s">
        <v>46572</v>
      </c>
    </row>
    <row r="596" spans="1:24">
      <c r="A596">
        <f>HYPERLINK("https://www.philgeps.gov.ph/GEPSNONPILOT/Tender/SplashBidNoticeAbstractUI.aspx?menuIndex=3&amp;refID=7065083&amp;Result=3","7065083")</f>
        <v>0</v>
      </c>
      <c r="B596" t="s">
        <v>195</v>
      </c>
      <c r="C596" t="s">
        <v>4114</v>
      </c>
      <c r="D596" t="s">
        <v>18824</v>
      </c>
      <c r="E596" t="s">
        <v>19459</v>
      </c>
      <c r="F596" t="s">
        <v>32664</v>
      </c>
      <c r="G596" t="s">
        <v>32671</v>
      </c>
      <c r="H596" t="s">
        <v>12635</v>
      </c>
      <c r="I596" t="s">
        <v>5589</v>
      </c>
      <c r="J596" t="s">
        <v>32898</v>
      </c>
      <c r="K596" t="s">
        <v>42281</v>
      </c>
      <c r="M596" t="s">
        <v>42759</v>
      </c>
      <c r="N596" t="s">
        <v>46569</v>
      </c>
      <c r="O596" t="s">
        <v>46570</v>
      </c>
      <c r="P596">
        <v>0</v>
      </c>
      <c r="Q596">
        <v>1</v>
      </c>
      <c r="R596" t="s">
        <v>46571</v>
      </c>
      <c r="S596" t="s">
        <v>46687</v>
      </c>
      <c r="T596" t="s">
        <v>48244</v>
      </c>
      <c r="U596" t="s">
        <v>49135</v>
      </c>
      <c r="W596" t="s">
        <v>42759</v>
      </c>
      <c r="X596" t="s">
        <v>46572</v>
      </c>
    </row>
    <row r="597" spans="1:24">
      <c r="A597">
        <f>HYPERLINK("https://www.philgeps.gov.ph/GEPSNONPILOT/Tender/SplashBidNoticeAbstractUI.aspx?menuIndex=3&amp;refID=7065055&amp;Result=3","7065055")</f>
        <v>0</v>
      </c>
      <c r="B597" t="s">
        <v>304</v>
      </c>
      <c r="C597" t="s">
        <v>4115</v>
      </c>
      <c r="D597" t="s">
        <v>18792</v>
      </c>
      <c r="E597" t="s">
        <v>19460</v>
      </c>
      <c r="F597" t="s">
        <v>32664</v>
      </c>
      <c r="G597" t="s">
        <v>32671</v>
      </c>
      <c r="H597" t="s">
        <v>12635</v>
      </c>
      <c r="I597" t="s">
        <v>32732</v>
      </c>
      <c r="J597" t="s">
        <v>33215</v>
      </c>
      <c r="K597" t="s">
        <v>42295</v>
      </c>
      <c r="M597" t="s">
        <v>42871</v>
      </c>
      <c r="N597" t="s">
        <v>46569</v>
      </c>
      <c r="O597" t="s">
        <v>46570</v>
      </c>
      <c r="P597">
        <v>0</v>
      </c>
      <c r="Q597">
        <v>0</v>
      </c>
      <c r="R597" t="s">
        <v>46571</v>
      </c>
      <c r="S597" t="s">
        <v>46687</v>
      </c>
      <c r="T597" t="s">
        <v>48221</v>
      </c>
      <c r="U597" t="s">
        <v>49317</v>
      </c>
      <c r="V597" t="s">
        <v>61691</v>
      </c>
      <c r="W597" t="s">
        <v>42871</v>
      </c>
      <c r="X597" t="s">
        <v>46572</v>
      </c>
    </row>
    <row r="598" spans="1:24">
      <c r="A598">
        <f>HYPERLINK("https://www.philgeps.gov.ph/GEPSNONPILOT/Tender/SplashBidNoticeAbstractUI.aspx?menuIndex=3&amp;refID=7065082&amp;Result=3","7065082")</f>
        <v>0</v>
      </c>
      <c r="B598" t="s">
        <v>305</v>
      </c>
      <c r="C598" t="s">
        <v>4116</v>
      </c>
      <c r="D598" t="s">
        <v>18787</v>
      </c>
      <c r="E598" t="s">
        <v>19461</v>
      </c>
      <c r="F598" t="s">
        <v>32664</v>
      </c>
      <c r="G598" t="s">
        <v>32671</v>
      </c>
      <c r="H598" t="s">
        <v>32683</v>
      </c>
      <c r="I598" t="s">
        <v>32733</v>
      </c>
      <c r="J598" t="s">
        <v>33126</v>
      </c>
      <c r="K598" t="s">
        <v>42294</v>
      </c>
      <c r="M598" t="s">
        <v>42872</v>
      </c>
      <c r="N598" t="s">
        <v>46569</v>
      </c>
      <c r="O598" t="s">
        <v>46570</v>
      </c>
      <c r="P598">
        <v>0</v>
      </c>
      <c r="Q598">
        <v>0</v>
      </c>
      <c r="R598" t="s">
        <v>46571</v>
      </c>
      <c r="S598" t="s">
        <v>46687</v>
      </c>
      <c r="T598" t="s">
        <v>48326</v>
      </c>
      <c r="U598" t="s">
        <v>49318</v>
      </c>
      <c r="W598" t="s">
        <v>42872</v>
      </c>
      <c r="X598" t="s">
        <v>46572</v>
      </c>
    </row>
    <row r="599" spans="1:24">
      <c r="A599">
        <f>HYPERLINK("https://www.philgeps.gov.ph/GEPSNONPILOT/Tender/SplashBidNoticeAbstractUI.aspx?menuIndex=3&amp;refID=7064978&amp;Result=3","7064978")</f>
        <v>0</v>
      </c>
      <c r="B599" t="s">
        <v>114</v>
      </c>
      <c r="C599" t="s">
        <v>4117</v>
      </c>
      <c r="E599" t="s">
        <v>19462</v>
      </c>
      <c r="F599" t="s">
        <v>32664</v>
      </c>
      <c r="G599" t="s">
        <v>32671</v>
      </c>
      <c r="H599" t="s">
        <v>12635</v>
      </c>
      <c r="I599" t="s">
        <v>32699</v>
      </c>
      <c r="J599" t="s">
        <v>33300</v>
      </c>
      <c r="K599" t="s">
        <v>42289</v>
      </c>
      <c r="M599" t="s">
        <v>42678</v>
      </c>
      <c r="N599" t="s">
        <v>46569</v>
      </c>
      <c r="O599" t="s">
        <v>46570</v>
      </c>
      <c r="P599">
        <v>0</v>
      </c>
      <c r="Q599">
        <v>0</v>
      </c>
      <c r="R599" t="s">
        <v>46571</v>
      </c>
      <c r="S599" t="s">
        <v>46687</v>
      </c>
      <c r="T599" t="s">
        <v>48244</v>
      </c>
      <c r="U599" t="s">
        <v>49319</v>
      </c>
      <c r="V599" t="s">
        <v>61643</v>
      </c>
      <c r="W599" t="s">
        <v>42678</v>
      </c>
      <c r="X599" t="s">
        <v>46572</v>
      </c>
    </row>
    <row r="600" spans="1:24">
      <c r="A600">
        <f>HYPERLINK("https://www.philgeps.gov.ph/GEPSNONPILOT/Tender/SplashBidNoticeAbstractUI.aspx?menuIndex=3&amp;refID=7065079&amp;Result=3","7065079")</f>
        <v>0</v>
      </c>
      <c r="B600" t="s">
        <v>306</v>
      </c>
      <c r="C600" t="s">
        <v>4118</v>
      </c>
      <c r="D600" t="s">
        <v>18829</v>
      </c>
      <c r="E600" t="s">
        <v>19463</v>
      </c>
      <c r="F600" t="s">
        <v>32664</v>
      </c>
      <c r="G600" t="s">
        <v>32672</v>
      </c>
      <c r="H600" t="s">
        <v>32683</v>
      </c>
      <c r="I600" t="s">
        <v>10627</v>
      </c>
      <c r="J600" t="s">
        <v>32974</v>
      </c>
      <c r="K600" t="s">
        <v>42337</v>
      </c>
      <c r="M600" t="s">
        <v>42873</v>
      </c>
      <c r="N600" t="s">
        <v>46569</v>
      </c>
      <c r="O600" t="s">
        <v>46570</v>
      </c>
      <c r="P600">
        <v>0</v>
      </c>
      <c r="Q600">
        <v>0</v>
      </c>
      <c r="R600" t="s">
        <v>46571</v>
      </c>
      <c r="S600" t="s">
        <v>46687</v>
      </c>
      <c r="T600" t="s">
        <v>48273</v>
      </c>
      <c r="U600" t="s">
        <v>49320</v>
      </c>
      <c r="V600" t="s">
        <v>61692</v>
      </c>
      <c r="W600" t="s">
        <v>42873</v>
      </c>
      <c r="X600" t="s">
        <v>46572</v>
      </c>
    </row>
    <row r="601" spans="1:24">
      <c r="A601">
        <f>HYPERLINK("https://www.philgeps.gov.ph/GEPSNONPILOT/Tender/SplashBidNoticeAbstractUI.aspx?menuIndex=3&amp;refID=7064998&amp;Result=3","7064998")</f>
        <v>0</v>
      </c>
      <c r="B601" t="s">
        <v>301</v>
      </c>
      <c r="C601" t="s">
        <v>4119</v>
      </c>
      <c r="D601" t="s">
        <v>18830</v>
      </c>
      <c r="E601" t="s">
        <v>19464</v>
      </c>
      <c r="F601" t="s">
        <v>32664</v>
      </c>
      <c r="G601" t="s">
        <v>32671</v>
      </c>
      <c r="H601" t="s">
        <v>12635</v>
      </c>
      <c r="I601" t="s">
        <v>32685</v>
      </c>
      <c r="J601" t="s">
        <v>33301</v>
      </c>
      <c r="K601" t="s">
        <v>42284</v>
      </c>
      <c r="M601" t="s">
        <v>42868</v>
      </c>
      <c r="N601" t="s">
        <v>46569</v>
      </c>
      <c r="O601" t="s">
        <v>46570</v>
      </c>
      <c r="P601">
        <v>0</v>
      </c>
      <c r="Q601">
        <v>0</v>
      </c>
      <c r="R601" t="s">
        <v>46571</v>
      </c>
      <c r="S601" t="s">
        <v>46687</v>
      </c>
      <c r="T601" t="s">
        <v>48221</v>
      </c>
      <c r="U601" t="s">
        <v>49321</v>
      </c>
      <c r="W601" t="s">
        <v>42868</v>
      </c>
      <c r="X601" t="s">
        <v>46572</v>
      </c>
    </row>
    <row r="602" spans="1:24">
      <c r="A602">
        <f>HYPERLINK("https://www.philgeps.gov.ph/GEPSNONPILOT/Tender/SplashBidNoticeAbstractUI.aspx?menuIndex=3&amp;refID=7065080&amp;Result=3","7065080")</f>
        <v>0</v>
      </c>
      <c r="B602" t="s">
        <v>307</v>
      </c>
      <c r="C602" t="s">
        <v>4120</v>
      </c>
      <c r="D602" t="s">
        <v>18789</v>
      </c>
      <c r="E602" t="s">
        <v>19465</v>
      </c>
      <c r="F602" t="s">
        <v>32664</v>
      </c>
      <c r="G602" t="s">
        <v>32672</v>
      </c>
      <c r="H602" t="s">
        <v>32683</v>
      </c>
      <c r="I602" t="s">
        <v>10627</v>
      </c>
      <c r="J602" t="s">
        <v>33302</v>
      </c>
      <c r="K602" t="s">
        <v>42311</v>
      </c>
      <c r="M602" t="s">
        <v>42874</v>
      </c>
      <c r="N602" t="s">
        <v>46569</v>
      </c>
      <c r="O602" t="s">
        <v>46570</v>
      </c>
      <c r="P602">
        <v>0</v>
      </c>
      <c r="Q602">
        <v>0</v>
      </c>
      <c r="R602" t="s">
        <v>46571</v>
      </c>
      <c r="S602" t="s">
        <v>46687</v>
      </c>
      <c r="T602" t="s">
        <v>48220</v>
      </c>
      <c r="U602" t="s">
        <v>49322</v>
      </c>
      <c r="V602" t="s">
        <v>61693</v>
      </c>
      <c r="W602" t="s">
        <v>42874</v>
      </c>
      <c r="X602" t="s">
        <v>46572</v>
      </c>
    </row>
    <row r="603" spans="1:24">
      <c r="A603">
        <f>HYPERLINK("https://www.philgeps.gov.ph/GEPSNONPILOT/Tender/SplashBidNoticeAbstractUI.aspx?menuIndex=3&amp;refID=7065075&amp;Result=3","7065075")</f>
        <v>0</v>
      </c>
      <c r="B603" t="s">
        <v>286</v>
      </c>
      <c r="C603" t="s">
        <v>4121</v>
      </c>
      <c r="D603" t="s">
        <v>18804</v>
      </c>
      <c r="E603" t="s">
        <v>19466</v>
      </c>
      <c r="F603" t="s">
        <v>32664</v>
      </c>
      <c r="G603" t="s">
        <v>32671</v>
      </c>
      <c r="H603" t="s">
        <v>32681</v>
      </c>
      <c r="I603" t="s">
        <v>32681</v>
      </c>
      <c r="J603" t="s">
        <v>33303</v>
      </c>
      <c r="K603" t="s">
        <v>42335</v>
      </c>
      <c r="M603" t="s">
        <v>42853</v>
      </c>
      <c r="N603" t="s">
        <v>46569</v>
      </c>
      <c r="O603" t="s">
        <v>46570</v>
      </c>
      <c r="P603">
        <v>0</v>
      </c>
      <c r="Q603">
        <v>1</v>
      </c>
      <c r="R603" t="s">
        <v>46571</v>
      </c>
      <c r="S603" t="s">
        <v>46687</v>
      </c>
      <c r="T603" t="s">
        <v>48221</v>
      </c>
      <c r="U603" t="s">
        <v>49323</v>
      </c>
      <c r="W603" t="s">
        <v>42853</v>
      </c>
      <c r="X603" t="s">
        <v>46572</v>
      </c>
    </row>
    <row r="604" spans="1:24">
      <c r="A604">
        <f>HYPERLINK("https://www.philgeps.gov.ph/GEPSNONPILOT/Tender/SplashBidNoticeAbstractUI.aspx?menuIndex=3&amp;refID=7065073&amp;Result=3","7065073")</f>
        <v>0</v>
      </c>
      <c r="B604" t="s">
        <v>289</v>
      </c>
      <c r="C604" t="s">
        <v>4122</v>
      </c>
      <c r="D604" t="s">
        <v>18791</v>
      </c>
      <c r="E604" t="s">
        <v>19467</v>
      </c>
      <c r="F604" t="s">
        <v>32664</v>
      </c>
      <c r="G604" t="s">
        <v>32671</v>
      </c>
      <c r="H604" t="s">
        <v>12635</v>
      </c>
      <c r="I604" t="s">
        <v>6168</v>
      </c>
      <c r="J604" t="s">
        <v>33304</v>
      </c>
      <c r="K604" t="s">
        <v>42297</v>
      </c>
      <c r="M604" t="s">
        <v>42856</v>
      </c>
      <c r="N604" t="s">
        <v>46569</v>
      </c>
      <c r="O604" t="s">
        <v>46570</v>
      </c>
      <c r="P604">
        <v>0</v>
      </c>
      <c r="Q604">
        <v>1</v>
      </c>
      <c r="R604" t="s">
        <v>46571</v>
      </c>
      <c r="S604" t="s">
        <v>46687</v>
      </c>
      <c r="T604" t="s">
        <v>48310</v>
      </c>
      <c r="U604" t="s">
        <v>49324</v>
      </c>
      <c r="W604" t="s">
        <v>42856</v>
      </c>
      <c r="X604" t="s">
        <v>46572</v>
      </c>
    </row>
    <row r="605" spans="1:24">
      <c r="A605">
        <f>HYPERLINK("https://www.philgeps.gov.ph/GEPSNONPILOT/Tender/SplashBidNoticeAbstractUI.aspx?menuIndex=3&amp;refID=7065072&amp;Result=3","7065072")</f>
        <v>0</v>
      </c>
      <c r="B605" t="s">
        <v>211</v>
      </c>
      <c r="C605" t="s">
        <v>4123</v>
      </c>
      <c r="D605" t="s">
        <v>18843</v>
      </c>
      <c r="E605" t="s">
        <v>19468</v>
      </c>
      <c r="F605" t="s">
        <v>32664</v>
      </c>
      <c r="G605" t="s">
        <v>32675</v>
      </c>
      <c r="H605" t="s">
        <v>12635</v>
      </c>
      <c r="I605" t="s">
        <v>8730</v>
      </c>
      <c r="J605" t="s">
        <v>33305</v>
      </c>
      <c r="K605" t="s">
        <v>42281</v>
      </c>
      <c r="M605" t="s">
        <v>42775</v>
      </c>
      <c r="N605" t="s">
        <v>46569</v>
      </c>
      <c r="O605" t="s">
        <v>46570</v>
      </c>
      <c r="P605">
        <v>0</v>
      </c>
      <c r="Q605">
        <v>1</v>
      </c>
      <c r="R605" t="s">
        <v>46571</v>
      </c>
      <c r="S605" t="s">
        <v>46687</v>
      </c>
      <c r="T605" t="s">
        <v>48256</v>
      </c>
      <c r="U605" t="s">
        <v>49325</v>
      </c>
      <c r="W605" t="s">
        <v>42775</v>
      </c>
      <c r="X605" t="s">
        <v>46572</v>
      </c>
    </row>
    <row r="606" spans="1:24">
      <c r="A606">
        <f>HYPERLINK("https://www.philgeps.gov.ph/GEPSNONPILOT/Tender/SplashBidNoticeAbstractUI.aspx?menuIndex=3&amp;refID=7065071&amp;Result=3","7065071")</f>
        <v>0</v>
      </c>
      <c r="B606" t="s">
        <v>279</v>
      </c>
      <c r="C606" t="s">
        <v>4124</v>
      </c>
      <c r="D606" t="s">
        <v>18784</v>
      </c>
      <c r="E606" t="s">
        <v>19469</v>
      </c>
      <c r="F606" t="s">
        <v>32664</v>
      </c>
      <c r="G606" t="s">
        <v>32671</v>
      </c>
      <c r="H606" t="s">
        <v>12635</v>
      </c>
      <c r="I606" t="s">
        <v>5589</v>
      </c>
      <c r="J606" t="s">
        <v>33306</v>
      </c>
      <c r="K606" t="s">
        <v>42283</v>
      </c>
      <c r="M606" t="s">
        <v>42844</v>
      </c>
      <c r="N606" t="s">
        <v>46569</v>
      </c>
      <c r="O606" t="s">
        <v>46570</v>
      </c>
      <c r="P606">
        <v>0</v>
      </c>
      <c r="Q606">
        <v>1</v>
      </c>
      <c r="R606" t="s">
        <v>46571</v>
      </c>
      <c r="S606" t="s">
        <v>46687</v>
      </c>
      <c r="T606" t="s">
        <v>48246</v>
      </c>
      <c r="U606" t="s">
        <v>49275</v>
      </c>
      <c r="W606" t="s">
        <v>42844</v>
      </c>
      <c r="X606" t="s">
        <v>46572</v>
      </c>
    </row>
    <row r="607" spans="1:24">
      <c r="A607">
        <f>HYPERLINK("https://www.philgeps.gov.ph/GEPSNONPILOT/Tender/SplashBidNoticeAbstractUI.aspx?menuIndex=3&amp;refID=7065068&amp;Result=3","7065068")</f>
        <v>0</v>
      </c>
      <c r="B607" t="s">
        <v>243</v>
      </c>
      <c r="C607" t="s">
        <v>4125</v>
      </c>
      <c r="D607" t="s">
        <v>18841</v>
      </c>
      <c r="E607" t="s">
        <v>19353</v>
      </c>
      <c r="F607" t="s">
        <v>32664</v>
      </c>
      <c r="G607" t="s">
        <v>32674</v>
      </c>
      <c r="H607" t="s">
        <v>12635</v>
      </c>
      <c r="I607" t="s">
        <v>6168</v>
      </c>
      <c r="J607" t="s">
        <v>33307</v>
      </c>
      <c r="K607" t="s">
        <v>42284</v>
      </c>
      <c r="L607" t="s">
        <v>243</v>
      </c>
      <c r="M607" t="s">
        <v>42808</v>
      </c>
      <c r="N607" t="s">
        <v>46569</v>
      </c>
      <c r="O607" t="s">
        <v>46570</v>
      </c>
      <c r="P607">
        <v>0</v>
      </c>
      <c r="Q607">
        <v>0</v>
      </c>
      <c r="R607" t="s">
        <v>46571</v>
      </c>
      <c r="S607" t="s">
        <v>46687</v>
      </c>
      <c r="T607" t="s">
        <v>48314</v>
      </c>
      <c r="U607" t="s">
        <v>49326</v>
      </c>
      <c r="V607" t="s">
        <v>61675</v>
      </c>
      <c r="W607" t="s">
        <v>42808</v>
      </c>
      <c r="X607" t="s">
        <v>46572</v>
      </c>
    </row>
    <row r="608" spans="1:24">
      <c r="A608">
        <f>HYPERLINK("https://www.philgeps.gov.ph/GEPSNONPILOT/Tender/SplashBidNoticeAbstractUI.aspx?menuIndex=3&amp;refID=7065067&amp;Result=3","7065067")</f>
        <v>0</v>
      </c>
      <c r="B608" t="s">
        <v>180</v>
      </c>
      <c r="C608" t="s">
        <v>4126</v>
      </c>
      <c r="D608" t="s">
        <v>18794</v>
      </c>
      <c r="E608" t="s">
        <v>19470</v>
      </c>
      <c r="F608" t="s">
        <v>32664</v>
      </c>
      <c r="G608" t="s">
        <v>32672</v>
      </c>
      <c r="H608" t="s">
        <v>12635</v>
      </c>
      <c r="I608" t="s">
        <v>4439</v>
      </c>
      <c r="J608" t="s">
        <v>33308</v>
      </c>
      <c r="K608" t="s">
        <v>42283</v>
      </c>
      <c r="M608" t="s">
        <v>42744</v>
      </c>
      <c r="N608" t="s">
        <v>46569</v>
      </c>
      <c r="O608" t="s">
        <v>46570</v>
      </c>
      <c r="P608">
        <v>0</v>
      </c>
      <c r="Q608">
        <v>0</v>
      </c>
      <c r="R608" t="s">
        <v>46571</v>
      </c>
      <c r="S608" t="s">
        <v>46687</v>
      </c>
      <c r="T608" t="s">
        <v>48297</v>
      </c>
      <c r="U608" t="s">
        <v>49327</v>
      </c>
      <c r="W608" t="s">
        <v>63472</v>
      </c>
      <c r="X608" t="s">
        <v>46572</v>
      </c>
    </row>
    <row r="609" spans="1:24">
      <c r="A609">
        <f>HYPERLINK("https://www.philgeps.gov.ph/GEPSNONPILOT/Tender/SplashBidNoticeAbstractUI.aspx?menuIndex=3&amp;refID=7065065&amp;Result=3","7065065")</f>
        <v>0</v>
      </c>
      <c r="B609" t="s">
        <v>242</v>
      </c>
      <c r="C609" t="s">
        <v>4127</v>
      </c>
      <c r="D609" t="s">
        <v>18792</v>
      </c>
      <c r="E609" t="s">
        <v>19471</v>
      </c>
      <c r="F609" t="s">
        <v>32664</v>
      </c>
      <c r="G609" t="s">
        <v>32674</v>
      </c>
      <c r="H609" t="s">
        <v>12635</v>
      </c>
      <c r="I609" t="s">
        <v>8730</v>
      </c>
      <c r="J609" t="s">
        <v>33309</v>
      </c>
      <c r="K609" t="s">
        <v>42283</v>
      </c>
      <c r="M609" t="s">
        <v>42807</v>
      </c>
      <c r="N609" t="s">
        <v>46569</v>
      </c>
      <c r="O609" t="s">
        <v>46570</v>
      </c>
      <c r="P609">
        <v>0</v>
      </c>
      <c r="Q609">
        <v>1</v>
      </c>
      <c r="R609" t="s">
        <v>46571</v>
      </c>
      <c r="S609" t="s">
        <v>46687</v>
      </c>
      <c r="T609" t="s">
        <v>48225</v>
      </c>
      <c r="U609" t="s">
        <v>49328</v>
      </c>
      <c r="W609" t="s">
        <v>42807</v>
      </c>
      <c r="X609" t="s">
        <v>46572</v>
      </c>
    </row>
    <row r="610" spans="1:24">
      <c r="A610">
        <f>HYPERLINK("https://www.philgeps.gov.ph/GEPSNONPILOT/Tender/SplashBidNoticeAbstractUI.aspx?menuIndex=3&amp;refID=7065063&amp;Result=3","7065063")</f>
        <v>0</v>
      </c>
      <c r="B610" t="s">
        <v>135</v>
      </c>
      <c r="C610" t="s">
        <v>4128</v>
      </c>
      <c r="D610" t="s">
        <v>18807</v>
      </c>
      <c r="E610" t="s">
        <v>19472</v>
      </c>
      <c r="F610" t="s">
        <v>32664</v>
      </c>
      <c r="G610" t="s">
        <v>32672</v>
      </c>
      <c r="H610" t="s">
        <v>12635</v>
      </c>
      <c r="I610" t="s">
        <v>4333</v>
      </c>
      <c r="J610" t="s">
        <v>33119</v>
      </c>
      <c r="K610" t="s">
        <v>42281</v>
      </c>
      <c r="M610" t="s">
        <v>42852</v>
      </c>
      <c r="N610" t="s">
        <v>46569</v>
      </c>
      <c r="O610" t="s">
        <v>46570</v>
      </c>
      <c r="P610">
        <v>0</v>
      </c>
      <c r="Q610">
        <v>0</v>
      </c>
      <c r="R610" t="s">
        <v>46571</v>
      </c>
      <c r="S610" t="s">
        <v>46687</v>
      </c>
      <c r="T610" t="s">
        <v>48226</v>
      </c>
      <c r="U610" t="s">
        <v>49052</v>
      </c>
      <c r="V610" t="s">
        <v>61650</v>
      </c>
      <c r="W610" t="s">
        <v>42852</v>
      </c>
      <c r="X610" t="s">
        <v>46572</v>
      </c>
    </row>
    <row r="611" spans="1:24">
      <c r="A611">
        <f>HYPERLINK("https://www.philgeps.gov.ph/GEPSNONPILOT/Tender/SplashBidNoticeAbstractUI.aspx?menuIndex=3&amp;refID=7065062&amp;Result=3","7065062")</f>
        <v>0</v>
      </c>
      <c r="B611" t="s">
        <v>308</v>
      </c>
      <c r="C611" t="s">
        <v>4129</v>
      </c>
      <c r="D611" t="s">
        <v>18835</v>
      </c>
      <c r="E611" t="s">
        <v>19473</v>
      </c>
      <c r="F611" t="s">
        <v>32664</v>
      </c>
      <c r="G611" t="s">
        <v>32671</v>
      </c>
      <c r="H611" t="s">
        <v>12635</v>
      </c>
      <c r="I611" t="s">
        <v>10370</v>
      </c>
      <c r="J611" t="s">
        <v>33310</v>
      </c>
      <c r="K611" t="s">
        <v>42281</v>
      </c>
      <c r="M611" t="s">
        <v>42875</v>
      </c>
      <c r="N611" t="s">
        <v>46569</v>
      </c>
      <c r="O611" t="s">
        <v>46570</v>
      </c>
      <c r="P611">
        <v>0</v>
      </c>
      <c r="Q611">
        <v>1</v>
      </c>
      <c r="R611" t="s">
        <v>46571</v>
      </c>
      <c r="S611" t="s">
        <v>46687</v>
      </c>
      <c r="T611" t="s">
        <v>48250</v>
      </c>
      <c r="U611" t="s">
        <v>49329</v>
      </c>
      <c r="V611" t="s">
        <v>52880</v>
      </c>
      <c r="W611" t="s">
        <v>42875</v>
      </c>
      <c r="X611" t="s">
        <v>46572</v>
      </c>
    </row>
    <row r="612" spans="1:24">
      <c r="A612">
        <f>HYPERLINK("https://www.philgeps.gov.ph/GEPSNONPILOT/Tender/SplashBidNoticeAbstractUI.aspx?menuIndex=3&amp;refID=7065061&amp;Result=3","7065061")</f>
        <v>0</v>
      </c>
      <c r="B612" t="s">
        <v>309</v>
      </c>
      <c r="C612" t="s">
        <v>4130</v>
      </c>
      <c r="D612" t="s">
        <v>18848</v>
      </c>
      <c r="E612" t="s">
        <v>19474</v>
      </c>
      <c r="F612" t="s">
        <v>32664</v>
      </c>
      <c r="G612" t="s">
        <v>32672</v>
      </c>
      <c r="H612" t="s">
        <v>12635</v>
      </c>
      <c r="I612" t="s">
        <v>32689</v>
      </c>
      <c r="J612" t="s">
        <v>33311</v>
      </c>
      <c r="K612" t="s">
        <v>42289</v>
      </c>
      <c r="M612" t="s">
        <v>42876</v>
      </c>
      <c r="N612" t="s">
        <v>46569</v>
      </c>
      <c r="O612" t="s">
        <v>46570</v>
      </c>
      <c r="P612">
        <v>0</v>
      </c>
      <c r="Q612">
        <v>0</v>
      </c>
      <c r="R612" t="s">
        <v>46571</v>
      </c>
      <c r="S612" t="s">
        <v>46687</v>
      </c>
      <c r="T612" t="s">
        <v>48226</v>
      </c>
      <c r="U612" t="s">
        <v>49330</v>
      </c>
      <c r="V612" t="s">
        <v>61694</v>
      </c>
      <c r="W612" t="s">
        <v>42876</v>
      </c>
      <c r="X612" t="s">
        <v>46572</v>
      </c>
    </row>
    <row r="613" spans="1:24">
      <c r="A613">
        <f>HYPERLINK("https://www.philgeps.gov.ph/GEPSNONPILOT/Tender/SplashBidNoticeAbstractUI.aspx?menuIndex=3&amp;refID=7065081&amp;Result=3","7065081")</f>
        <v>0</v>
      </c>
      <c r="B613" t="s">
        <v>301</v>
      </c>
      <c r="C613" t="s">
        <v>4111</v>
      </c>
      <c r="D613" t="s">
        <v>18830</v>
      </c>
      <c r="E613" t="s">
        <v>19475</v>
      </c>
      <c r="F613" t="s">
        <v>32664</v>
      </c>
      <c r="G613" t="s">
        <v>32671</v>
      </c>
      <c r="H613" t="s">
        <v>12635</v>
      </c>
      <c r="I613" t="s">
        <v>4439</v>
      </c>
      <c r="J613" t="s">
        <v>33312</v>
      </c>
      <c r="K613" t="s">
        <v>42284</v>
      </c>
      <c r="M613" t="s">
        <v>42868</v>
      </c>
      <c r="N613" t="s">
        <v>46569</v>
      </c>
      <c r="O613" t="s">
        <v>46570</v>
      </c>
      <c r="P613">
        <v>0</v>
      </c>
      <c r="Q613">
        <v>0</v>
      </c>
      <c r="R613" t="s">
        <v>46571</v>
      </c>
      <c r="S613" t="s">
        <v>46687</v>
      </c>
      <c r="T613" t="s">
        <v>48221</v>
      </c>
      <c r="U613" t="s">
        <v>49331</v>
      </c>
      <c r="W613" t="s">
        <v>42868</v>
      </c>
      <c r="X613" t="s">
        <v>46572</v>
      </c>
    </row>
    <row r="614" spans="1:24">
      <c r="A614">
        <f>HYPERLINK("https://www.philgeps.gov.ph/GEPSNONPILOT/Tender/SplashBidNoticeAbstractUI.aspx?menuIndex=3&amp;refID=7065058&amp;Result=3","7065058")</f>
        <v>0</v>
      </c>
      <c r="B614" t="s">
        <v>168</v>
      </c>
      <c r="C614" t="s">
        <v>4131</v>
      </c>
      <c r="D614" t="s">
        <v>18790</v>
      </c>
      <c r="E614" t="s">
        <v>19476</v>
      </c>
      <c r="F614" t="s">
        <v>32664</v>
      </c>
      <c r="G614" t="s">
        <v>32671</v>
      </c>
      <c r="H614" t="s">
        <v>12635</v>
      </c>
      <c r="I614" t="s">
        <v>10627</v>
      </c>
      <c r="J614" t="s">
        <v>33313</v>
      </c>
      <c r="K614" t="s">
        <v>42284</v>
      </c>
      <c r="M614" t="s">
        <v>42732</v>
      </c>
      <c r="N614" t="s">
        <v>46569</v>
      </c>
      <c r="O614" t="s">
        <v>46570</v>
      </c>
      <c r="P614">
        <v>0</v>
      </c>
      <c r="Q614">
        <v>0</v>
      </c>
      <c r="R614" t="s">
        <v>46571</v>
      </c>
      <c r="S614" t="s">
        <v>46687</v>
      </c>
      <c r="T614" t="s">
        <v>48314</v>
      </c>
      <c r="U614" t="s">
        <v>49332</v>
      </c>
      <c r="W614" t="s">
        <v>42732</v>
      </c>
      <c r="X614" t="s">
        <v>46572</v>
      </c>
    </row>
    <row r="615" spans="1:24">
      <c r="A615">
        <f>HYPERLINK("https://www.philgeps.gov.ph/GEPSNONPILOT/Tender/SplashBidNoticeAbstractUI.aspx?menuIndex=3&amp;refID=7065069&amp;Result=3","7065069")</f>
        <v>0</v>
      </c>
      <c r="B615" t="s">
        <v>310</v>
      </c>
      <c r="C615" t="s">
        <v>4132</v>
      </c>
      <c r="D615" t="s">
        <v>18789</v>
      </c>
      <c r="E615" t="s">
        <v>19477</v>
      </c>
      <c r="F615" t="s">
        <v>32664</v>
      </c>
      <c r="G615" t="s">
        <v>32671</v>
      </c>
      <c r="H615" t="s">
        <v>12635</v>
      </c>
      <c r="I615" t="s">
        <v>32685</v>
      </c>
      <c r="J615" t="s">
        <v>33314</v>
      </c>
      <c r="K615" t="s">
        <v>42289</v>
      </c>
      <c r="M615" t="s">
        <v>42877</v>
      </c>
      <c r="N615" t="s">
        <v>46569</v>
      </c>
      <c r="O615" t="s">
        <v>46570</v>
      </c>
      <c r="P615">
        <v>0</v>
      </c>
      <c r="Q615">
        <v>0</v>
      </c>
      <c r="R615" t="s">
        <v>46571</v>
      </c>
      <c r="S615" t="s">
        <v>46687</v>
      </c>
      <c r="T615" t="s">
        <v>48278</v>
      </c>
      <c r="U615" t="s">
        <v>49333</v>
      </c>
      <c r="V615" t="s">
        <v>61695</v>
      </c>
      <c r="W615" t="s">
        <v>42877</v>
      </c>
      <c r="X615" t="s">
        <v>46572</v>
      </c>
    </row>
    <row r="616" spans="1:24">
      <c r="A616">
        <f>HYPERLINK("https://www.philgeps.gov.ph/GEPSNONPILOT/Tender/SplashBidNoticeAbstractUI.aspx?menuIndex=3&amp;refID=7065078&amp;Result=3","7065078")</f>
        <v>0</v>
      </c>
      <c r="B616" t="s">
        <v>135</v>
      </c>
      <c r="C616" t="s">
        <v>4133</v>
      </c>
      <c r="D616" t="s">
        <v>18807</v>
      </c>
      <c r="E616" t="s">
        <v>19478</v>
      </c>
      <c r="F616" t="s">
        <v>32664</v>
      </c>
      <c r="G616" t="s">
        <v>32672</v>
      </c>
      <c r="H616" t="s">
        <v>12635</v>
      </c>
      <c r="I616" t="s">
        <v>4333</v>
      </c>
      <c r="J616" t="s">
        <v>33295</v>
      </c>
      <c r="K616" t="s">
        <v>42281</v>
      </c>
      <c r="M616" t="s">
        <v>42852</v>
      </c>
      <c r="N616" t="s">
        <v>46569</v>
      </c>
      <c r="O616" t="s">
        <v>46570</v>
      </c>
      <c r="P616">
        <v>0</v>
      </c>
      <c r="Q616">
        <v>0</v>
      </c>
      <c r="R616" t="s">
        <v>46571</v>
      </c>
      <c r="S616" t="s">
        <v>46687</v>
      </c>
      <c r="T616" t="s">
        <v>48226</v>
      </c>
      <c r="U616" t="s">
        <v>49052</v>
      </c>
      <c r="V616" t="s">
        <v>61650</v>
      </c>
      <c r="W616" t="s">
        <v>42852</v>
      </c>
      <c r="X616" t="s">
        <v>46572</v>
      </c>
    </row>
    <row r="617" spans="1:24">
      <c r="A617">
        <f>HYPERLINK("https://www.philgeps.gov.ph/GEPSNONPILOT/Tender/SplashBidNoticeAbstractUI.aspx?menuIndex=3&amp;refID=7065060&amp;Result=3","7065060")</f>
        <v>0</v>
      </c>
      <c r="B617" t="s">
        <v>200</v>
      </c>
      <c r="C617" t="s">
        <v>4134</v>
      </c>
      <c r="D617" t="s">
        <v>18799</v>
      </c>
      <c r="E617" t="s">
        <v>19479</v>
      </c>
      <c r="F617" t="s">
        <v>32664</v>
      </c>
      <c r="G617" t="s">
        <v>32672</v>
      </c>
      <c r="H617" t="s">
        <v>12635</v>
      </c>
      <c r="I617" t="s">
        <v>4439</v>
      </c>
      <c r="J617" t="s">
        <v>33315</v>
      </c>
      <c r="K617" t="s">
        <v>42305</v>
      </c>
      <c r="M617" t="s">
        <v>42764</v>
      </c>
      <c r="N617" t="s">
        <v>46569</v>
      </c>
      <c r="O617" t="s">
        <v>46570</v>
      </c>
      <c r="P617">
        <v>0</v>
      </c>
      <c r="Q617">
        <v>0</v>
      </c>
      <c r="R617" t="s">
        <v>46571</v>
      </c>
      <c r="S617" t="s">
        <v>46687</v>
      </c>
      <c r="T617" t="s">
        <v>48213</v>
      </c>
      <c r="U617" t="s">
        <v>49334</v>
      </c>
      <c r="V617" t="s">
        <v>61696</v>
      </c>
      <c r="W617" t="s">
        <v>42764</v>
      </c>
      <c r="X617" t="s">
        <v>46572</v>
      </c>
    </row>
    <row r="618" spans="1:24">
      <c r="A618">
        <f>HYPERLINK("https://www.philgeps.gov.ph/GEPSNONPILOT/Tender/SplashBidNoticeAbstractUI.aspx?menuIndex=3&amp;refID=7065106&amp;Result=3","7065106")</f>
        <v>0</v>
      </c>
      <c r="B618" t="s">
        <v>191</v>
      </c>
      <c r="C618" t="s">
        <v>4135</v>
      </c>
      <c r="D618" t="s">
        <v>18827</v>
      </c>
      <c r="E618" t="s">
        <v>19480</v>
      </c>
      <c r="F618" t="s">
        <v>32664</v>
      </c>
      <c r="G618" t="s">
        <v>32671</v>
      </c>
      <c r="H618" t="s">
        <v>32683</v>
      </c>
      <c r="I618" t="s">
        <v>10627</v>
      </c>
      <c r="J618" t="s">
        <v>32898</v>
      </c>
      <c r="K618" t="s">
        <v>42289</v>
      </c>
      <c r="M618" t="s">
        <v>42755</v>
      </c>
      <c r="N618" t="s">
        <v>46569</v>
      </c>
      <c r="O618" t="s">
        <v>46570</v>
      </c>
      <c r="P618">
        <v>0</v>
      </c>
      <c r="Q618">
        <v>0</v>
      </c>
      <c r="R618" t="s">
        <v>46571</v>
      </c>
      <c r="S618" t="s">
        <v>46687</v>
      </c>
      <c r="T618" t="s">
        <v>48256</v>
      </c>
      <c r="U618" t="s">
        <v>49335</v>
      </c>
      <c r="W618" t="s">
        <v>42755</v>
      </c>
      <c r="X618" t="s">
        <v>46572</v>
      </c>
    </row>
    <row r="619" spans="1:24">
      <c r="A619">
        <f>HYPERLINK("https://www.philgeps.gov.ph/GEPSNONPILOT/Tender/SplashBidNoticeAbstractUI.aspx?menuIndex=3&amp;refID=7065104&amp;Result=3","7065104")</f>
        <v>0</v>
      </c>
      <c r="B619" t="s">
        <v>311</v>
      </c>
      <c r="C619" t="s">
        <v>4136</v>
      </c>
      <c r="D619" t="s">
        <v>18812</v>
      </c>
      <c r="E619" t="s">
        <v>19481</v>
      </c>
      <c r="F619" t="s">
        <v>32664</v>
      </c>
      <c r="G619" t="s">
        <v>32671</v>
      </c>
      <c r="H619" t="s">
        <v>12635</v>
      </c>
      <c r="I619" t="s">
        <v>4439</v>
      </c>
      <c r="J619" t="s">
        <v>33316</v>
      </c>
      <c r="K619" t="s">
        <v>42281</v>
      </c>
      <c r="M619" t="s">
        <v>42878</v>
      </c>
      <c r="N619" t="s">
        <v>46569</v>
      </c>
      <c r="O619" t="s">
        <v>46570</v>
      </c>
      <c r="P619">
        <v>0</v>
      </c>
      <c r="Q619">
        <v>0</v>
      </c>
      <c r="R619" t="s">
        <v>46571</v>
      </c>
      <c r="S619" t="s">
        <v>46687</v>
      </c>
      <c r="T619" t="s">
        <v>48217</v>
      </c>
      <c r="U619" t="s">
        <v>49336</v>
      </c>
      <c r="W619" t="s">
        <v>42878</v>
      </c>
      <c r="X619" t="s">
        <v>46572</v>
      </c>
    </row>
    <row r="620" spans="1:24">
      <c r="A620">
        <f>HYPERLINK("https://www.philgeps.gov.ph/GEPSNONPILOT/Tender/SplashBidNoticeAbstractUI.aspx?menuIndex=3&amp;refID=7065102&amp;Result=3","7065102")</f>
        <v>0</v>
      </c>
      <c r="B620" t="s">
        <v>312</v>
      </c>
      <c r="C620" t="s">
        <v>4137</v>
      </c>
      <c r="D620" t="s">
        <v>18805</v>
      </c>
      <c r="E620" t="s">
        <v>19482</v>
      </c>
      <c r="F620" t="s">
        <v>32664</v>
      </c>
      <c r="G620" t="s">
        <v>32671</v>
      </c>
      <c r="H620" t="s">
        <v>12635</v>
      </c>
      <c r="I620" t="s">
        <v>6118</v>
      </c>
      <c r="J620" t="s">
        <v>33317</v>
      </c>
      <c r="K620" t="s">
        <v>42283</v>
      </c>
      <c r="M620" t="s">
        <v>42879</v>
      </c>
      <c r="N620" t="s">
        <v>46569</v>
      </c>
      <c r="O620" t="s">
        <v>46570</v>
      </c>
      <c r="P620">
        <v>0</v>
      </c>
      <c r="Q620">
        <v>0</v>
      </c>
      <c r="R620" t="s">
        <v>46571</v>
      </c>
      <c r="S620" t="s">
        <v>46687</v>
      </c>
      <c r="T620" t="s">
        <v>48327</v>
      </c>
      <c r="U620" t="s">
        <v>49337</v>
      </c>
      <c r="W620" t="s">
        <v>42879</v>
      </c>
      <c r="X620" t="s">
        <v>46572</v>
      </c>
    </row>
    <row r="621" spans="1:24">
      <c r="A621">
        <f>HYPERLINK("https://www.philgeps.gov.ph/GEPSNONPILOT/Tender/SplashBidNoticeAbstractUI.aspx?menuIndex=3&amp;refID=7065105&amp;Result=3","7065105")</f>
        <v>0</v>
      </c>
      <c r="B621" t="s">
        <v>313</v>
      </c>
      <c r="C621" t="s">
        <v>4138</v>
      </c>
      <c r="D621" t="s">
        <v>18784</v>
      </c>
      <c r="E621" t="s">
        <v>19259</v>
      </c>
      <c r="F621" t="s">
        <v>32664</v>
      </c>
      <c r="G621" t="s">
        <v>32671</v>
      </c>
      <c r="H621" t="s">
        <v>12635</v>
      </c>
      <c r="I621" t="s">
        <v>6168</v>
      </c>
      <c r="J621" t="s">
        <v>33318</v>
      </c>
      <c r="K621" t="s">
        <v>42309</v>
      </c>
      <c r="M621" t="s">
        <v>42880</v>
      </c>
      <c r="N621" t="s">
        <v>46569</v>
      </c>
      <c r="O621" t="s">
        <v>46570</v>
      </c>
      <c r="P621">
        <v>0</v>
      </c>
      <c r="Q621">
        <v>2</v>
      </c>
      <c r="R621" t="s">
        <v>46571</v>
      </c>
      <c r="S621" t="s">
        <v>46687</v>
      </c>
      <c r="T621" t="s">
        <v>48256</v>
      </c>
      <c r="U621" t="s">
        <v>49338</v>
      </c>
      <c r="W621" t="s">
        <v>42880</v>
      </c>
      <c r="X621" t="s">
        <v>46572</v>
      </c>
    </row>
    <row r="622" spans="1:24">
      <c r="A622">
        <f>HYPERLINK("https://www.philgeps.gov.ph/GEPSNONPILOT/Tender/SplashBidNoticeAbstractUI.aspx?menuIndex=3&amp;refID=7065103&amp;Result=3","7065103")</f>
        <v>0</v>
      </c>
      <c r="B622" t="s">
        <v>30</v>
      </c>
      <c r="C622" t="s">
        <v>4139</v>
      </c>
      <c r="D622" t="s">
        <v>18786</v>
      </c>
      <c r="E622" t="s">
        <v>19483</v>
      </c>
      <c r="F622" t="s">
        <v>32664</v>
      </c>
      <c r="G622" t="s">
        <v>32674</v>
      </c>
      <c r="H622" t="s">
        <v>12635</v>
      </c>
      <c r="I622" t="s">
        <v>32685</v>
      </c>
      <c r="J622" t="s">
        <v>33319</v>
      </c>
      <c r="K622" t="s">
        <v>42283</v>
      </c>
      <c r="M622" t="s">
        <v>42592</v>
      </c>
      <c r="N622" t="s">
        <v>46569</v>
      </c>
      <c r="O622" t="s">
        <v>46570</v>
      </c>
      <c r="P622">
        <v>0</v>
      </c>
      <c r="Q622">
        <v>0</v>
      </c>
      <c r="R622" t="s">
        <v>46571</v>
      </c>
      <c r="S622" t="s">
        <v>46687</v>
      </c>
      <c r="T622" t="s">
        <v>48217</v>
      </c>
      <c r="U622" t="s">
        <v>49339</v>
      </c>
      <c r="W622" t="s">
        <v>42592</v>
      </c>
      <c r="X622" t="s">
        <v>46572</v>
      </c>
    </row>
    <row r="623" spans="1:24">
      <c r="A623">
        <f>HYPERLINK("https://www.philgeps.gov.ph/GEPSNONPILOT/Tender/SplashBidNoticeAbstractUI.aspx?menuIndex=3&amp;refID=7065099&amp;Result=3","7065099")</f>
        <v>0</v>
      </c>
      <c r="B623" t="s">
        <v>314</v>
      </c>
      <c r="C623" t="s">
        <v>4140</v>
      </c>
      <c r="D623" t="s">
        <v>18817</v>
      </c>
      <c r="E623" t="s">
        <v>19484</v>
      </c>
      <c r="F623" t="s">
        <v>32664</v>
      </c>
      <c r="G623" t="s">
        <v>32671</v>
      </c>
      <c r="H623" t="s">
        <v>12635</v>
      </c>
      <c r="I623" t="s">
        <v>32696</v>
      </c>
      <c r="J623" t="s">
        <v>33320</v>
      </c>
      <c r="K623" t="s">
        <v>42281</v>
      </c>
      <c r="M623" t="s">
        <v>42881</v>
      </c>
      <c r="N623" t="s">
        <v>46569</v>
      </c>
      <c r="O623" t="s">
        <v>46570</v>
      </c>
      <c r="P623">
        <v>0</v>
      </c>
      <c r="Q623">
        <v>1</v>
      </c>
      <c r="R623" t="s">
        <v>46571</v>
      </c>
      <c r="S623" t="s">
        <v>46687</v>
      </c>
      <c r="T623" t="s">
        <v>48219</v>
      </c>
      <c r="U623" t="s">
        <v>49340</v>
      </c>
      <c r="W623" t="s">
        <v>42881</v>
      </c>
      <c r="X623" t="s">
        <v>46572</v>
      </c>
    </row>
    <row r="624" spans="1:24">
      <c r="A624">
        <f>HYPERLINK("https://www.philgeps.gov.ph/GEPSNONPILOT/Tender/SplashBidNoticeAbstractUI.aspx?menuIndex=3&amp;refID=7065101&amp;Result=3","7065101")</f>
        <v>0</v>
      </c>
      <c r="B624" t="s">
        <v>315</v>
      </c>
      <c r="C624" t="s">
        <v>4141</v>
      </c>
      <c r="D624" t="s">
        <v>18809</v>
      </c>
      <c r="E624" t="s">
        <v>19485</v>
      </c>
      <c r="F624" t="s">
        <v>32666</v>
      </c>
      <c r="G624" t="s">
        <v>32672</v>
      </c>
      <c r="H624" t="s">
        <v>12635</v>
      </c>
      <c r="I624" t="s">
        <v>4439</v>
      </c>
      <c r="J624" t="s">
        <v>33321</v>
      </c>
      <c r="K624" t="s">
        <v>42289</v>
      </c>
      <c r="M624" t="s">
        <v>42882</v>
      </c>
      <c r="N624" t="s">
        <v>46569</v>
      </c>
      <c r="O624" t="s">
        <v>46570</v>
      </c>
      <c r="P624">
        <v>0</v>
      </c>
      <c r="Q624">
        <v>0</v>
      </c>
      <c r="R624" t="s">
        <v>46571</v>
      </c>
      <c r="S624" t="s">
        <v>46687</v>
      </c>
      <c r="T624" t="s">
        <v>48328</v>
      </c>
      <c r="U624" t="s">
        <v>49341</v>
      </c>
      <c r="V624" t="s">
        <v>61697</v>
      </c>
      <c r="W624" t="s">
        <v>42882</v>
      </c>
      <c r="X624" t="s">
        <v>46572</v>
      </c>
    </row>
    <row r="625" spans="1:24">
      <c r="A625">
        <f>HYPERLINK("https://www.philgeps.gov.ph/GEPSNONPILOT/Tender/SplashBidNoticeAbstractUI.aspx?menuIndex=3&amp;refID=7065100&amp;Result=3","7065100")</f>
        <v>0</v>
      </c>
      <c r="B625" t="s">
        <v>316</v>
      </c>
      <c r="C625" t="s">
        <v>4142</v>
      </c>
      <c r="D625" t="s">
        <v>18799</v>
      </c>
      <c r="E625" t="s">
        <v>19486</v>
      </c>
      <c r="F625" t="s">
        <v>32664</v>
      </c>
      <c r="G625" t="s">
        <v>32672</v>
      </c>
      <c r="H625" t="s">
        <v>32682</v>
      </c>
      <c r="I625" t="s">
        <v>9597</v>
      </c>
      <c r="J625" t="s">
        <v>32917</v>
      </c>
      <c r="K625" t="s">
        <v>42305</v>
      </c>
      <c r="M625" t="s">
        <v>42883</v>
      </c>
      <c r="N625" t="s">
        <v>46569</v>
      </c>
      <c r="O625" t="s">
        <v>46570</v>
      </c>
      <c r="P625">
        <v>0</v>
      </c>
      <c r="Q625">
        <v>0</v>
      </c>
      <c r="R625" t="s">
        <v>46571</v>
      </c>
      <c r="S625" t="s">
        <v>46687</v>
      </c>
      <c r="T625" t="s">
        <v>48248</v>
      </c>
      <c r="U625" t="s">
        <v>49342</v>
      </c>
      <c r="V625" t="s">
        <v>61698</v>
      </c>
      <c r="W625" t="s">
        <v>42883</v>
      </c>
      <c r="X625" t="s">
        <v>46572</v>
      </c>
    </row>
    <row r="626" spans="1:24">
      <c r="A626">
        <f>HYPERLINK("https://www.philgeps.gov.ph/GEPSNONPILOT/Tender/SplashBidNoticeAbstractUI.aspx?menuIndex=3&amp;refID=7065095&amp;Result=3","7065095")</f>
        <v>0</v>
      </c>
      <c r="B626" t="s">
        <v>184</v>
      </c>
      <c r="C626" t="s">
        <v>4143</v>
      </c>
      <c r="D626" t="s">
        <v>18825</v>
      </c>
      <c r="E626" t="s">
        <v>19487</v>
      </c>
      <c r="F626" t="s">
        <v>32664</v>
      </c>
      <c r="G626" t="s">
        <v>32672</v>
      </c>
      <c r="H626" t="s">
        <v>12635</v>
      </c>
      <c r="I626" t="s">
        <v>4439</v>
      </c>
      <c r="J626" t="s">
        <v>33322</v>
      </c>
      <c r="K626" t="s">
        <v>42284</v>
      </c>
      <c r="M626" t="s">
        <v>42884</v>
      </c>
      <c r="N626" t="s">
        <v>46569</v>
      </c>
      <c r="O626" t="s">
        <v>46570</v>
      </c>
      <c r="P626">
        <v>0</v>
      </c>
      <c r="Q626">
        <v>0</v>
      </c>
      <c r="R626" t="s">
        <v>46571</v>
      </c>
      <c r="S626" t="s">
        <v>46687</v>
      </c>
      <c r="T626" t="s">
        <v>48216</v>
      </c>
      <c r="U626" t="s">
        <v>49343</v>
      </c>
      <c r="W626" t="s">
        <v>42884</v>
      </c>
      <c r="X626" t="s">
        <v>46572</v>
      </c>
    </row>
    <row r="627" spans="1:24">
      <c r="A627">
        <f>HYPERLINK("https://www.philgeps.gov.ph/GEPSNONPILOT/Tender/SplashBidNoticeAbstractUI.aspx?menuIndex=3&amp;refID=7065094&amp;Result=3","7065094")</f>
        <v>0</v>
      </c>
      <c r="B627" t="s">
        <v>132</v>
      </c>
      <c r="C627" t="s">
        <v>4144</v>
      </c>
      <c r="D627" t="s">
        <v>18831</v>
      </c>
      <c r="E627" t="s">
        <v>19488</v>
      </c>
      <c r="F627" t="s">
        <v>32664</v>
      </c>
      <c r="G627" t="s">
        <v>32672</v>
      </c>
      <c r="H627" t="s">
        <v>32683</v>
      </c>
      <c r="I627" t="s">
        <v>10627</v>
      </c>
      <c r="J627" t="s">
        <v>33323</v>
      </c>
      <c r="K627" t="s">
        <v>42317</v>
      </c>
      <c r="M627" t="s">
        <v>42696</v>
      </c>
      <c r="N627" t="s">
        <v>46569</v>
      </c>
      <c r="O627" t="s">
        <v>46570</v>
      </c>
      <c r="P627">
        <v>0</v>
      </c>
      <c r="Q627">
        <v>0</v>
      </c>
      <c r="R627" t="s">
        <v>46571</v>
      </c>
      <c r="S627" t="s">
        <v>46687</v>
      </c>
      <c r="T627" t="s">
        <v>48262</v>
      </c>
      <c r="U627" t="s">
        <v>49344</v>
      </c>
      <c r="V627" t="s">
        <v>61647</v>
      </c>
      <c r="W627" t="s">
        <v>42696</v>
      </c>
      <c r="X627" t="s">
        <v>46572</v>
      </c>
    </row>
    <row r="628" spans="1:24">
      <c r="A628">
        <f>HYPERLINK("https://www.philgeps.gov.ph/GEPSNONPILOT/Tender/SplashBidNoticeAbstractUI.aspx?menuIndex=3&amp;refID=7065092&amp;Result=3","7065092")</f>
        <v>0</v>
      </c>
      <c r="B628" t="s">
        <v>317</v>
      </c>
      <c r="C628" t="s">
        <v>4145</v>
      </c>
      <c r="D628" t="s">
        <v>18789</v>
      </c>
      <c r="E628" t="s">
        <v>19489</v>
      </c>
      <c r="F628" t="s">
        <v>32664</v>
      </c>
      <c r="G628" t="s">
        <v>32675</v>
      </c>
      <c r="H628" t="s">
        <v>12635</v>
      </c>
      <c r="I628" t="s">
        <v>32705</v>
      </c>
      <c r="J628" t="s">
        <v>33324</v>
      </c>
      <c r="K628" t="s">
        <v>42283</v>
      </c>
      <c r="M628" t="s">
        <v>42885</v>
      </c>
      <c r="N628" t="s">
        <v>46569</v>
      </c>
      <c r="O628" t="s">
        <v>46570</v>
      </c>
      <c r="P628">
        <v>0</v>
      </c>
      <c r="Q628">
        <v>0</v>
      </c>
      <c r="R628" t="s">
        <v>46571</v>
      </c>
      <c r="S628" t="s">
        <v>46687</v>
      </c>
      <c r="T628" t="s">
        <v>48280</v>
      </c>
      <c r="U628" t="s">
        <v>49345</v>
      </c>
      <c r="W628" t="s">
        <v>42885</v>
      </c>
      <c r="X628" t="s">
        <v>46572</v>
      </c>
    </row>
    <row r="629" spans="1:24">
      <c r="A629">
        <f>HYPERLINK("https://www.philgeps.gov.ph/GEPSNONPILOT/Tender/SplashBidNoticeAbstractUI.aspx?menuIndex=3&amp;refID=7065059&amp;Result=3","7065059")</f>
        <v>0</v>
      </c>
      <c r="B629" t="s">
        <v>253</v>
      </c>
      <c r="C629" t="s">
        <v>4146</v>
      </c>
      <c r="D629" t="s">
        <v>18790</v>
      </c>
      <c r="E629" t="s">
        <v>19490</v>
      </c>
      <c r="F629" t="s">
        <v>32664</v>
      </c>
      <c r="G629" t="s">
        <v>32671</v>
      </c>
      <c r="H629" t="s">
        <v>12635</v>
      </c>
      <c r="I629" t="s">
        <v>32706</v>
      </c>
      <c r="J629" t="s">
        <v>33325</v>
      </c>
      <c r="K629" t="s">
        <v>42283</v>
      </c>
      <c r="M629" t="s">
        <v>42818</v>
      </c>
      <c r="N629" t="s">
        <v>46569</v>
      </c>
      <c r="O629" t="s">
        <v>46570</v>
      </c>
      <c r="P629">
        <v>0</v>
      </c>
      <c r="Q629">
        <v>0</v>
      </c>
      <c r="R629" t="s">
        <v>46571</v>
      </c>
      <c r="S629" t="s">
        <v>46687</v>
      </c>
      <c r="T629" t="s">
        <v>48283</v>
      </c>
      <c r="U629" t="s">
        <v>49346</v>
      </c>
      <c r="W629" t="s">
        <v>42818</v>
      </c>
      <c r="X629" t="s">
        <v>46572</v>
      </c>
    </row>
    <row r="630" spans="1:24">
      <c r="A630">
        <f>HYPERLINK("https://www.philgeps.gov.ph/GEPSNONPILOT/Tender/SplashBidNoticeAbstractUI.aspx?menuIndex=3&amp;refID=7065098&amp;Result=3","7065098")</f>
        <v>0</v>
      </c>
      <c r="B630" t="s">
        <v>318</v>
      </c>
      <c r="C630" t="s">
        <v>4147</v>
      </c>
      <c r="D630" t="s">
        <v>18842</v>
      </c>
      <c r="E630" t="s">
        <v>19491</v>
      </c>
      <c r="F630" t="s">
        <v>32664</v>
      </c>
      <c r="G630" t="s">
        <v>32671</v>
      </c>
      <c r="H630" t="s">
        <v>12635</v>
      </c>
      <c r="I630" t="s">
        <v>6628</v>
      </c>
      <c r="J630" t="s">
        <v>33096</v>
      </c>
      <c r="K630" t="s">
        <v>42289</v>
      </c>
      <c r="M630" t="s">
        <v>42886</v>
      </c>
      <c r="N630" t="s">
        <v>46569</v>
      </c>
      <c r="O630" t="s">
        <v>46570</v>
      </c>
      <c r="P630">
        <v>0</v>
      </c>
      <c r="Q630">
        <v>2</v>
      </c>
      <c r="R630" t="s">
        <v>46571</v>
      </c>
      <c r="S630" t="s">
        <v>46687</v>
      </c>
      <c r="T630" t="s">
        <v>48271</v>
      </c>
      <c r="U630" t="s">
        <v>49347</v>
      </c>
      <c r="W630" t="s">
        <v>42886</v>
      </c>
      <c r="X630" t="s">
        <v>46572</v>
      </c>
    </row>
    <row r="631" spans="1:24">
      <c r="A631">
        <f>HYPERLINK("https://www.philgeps.gov.ph/GEPSNONPILOT/Tender/SplashBidNoticeAbstractUI.aspx?menuIndex=3&amp;refID=7065097&amp;Result=3","7065097")</f>
        <v>0</v>
      </c>
      <c r="B631" t="s">
        <v>133</v>
      </c>
      <c r="C631" t="s">
        <v>4148</v>
      </c>
      <c r="D631" t="s">
        <v>18832</v>
      </c>
      <c r="E631" t="s">
        <v>19492</v>
      </c>
      <c r="F631" t="s">
        <v>32664</v>
      </c>
      <c r="G631" t="s">
        <v>32672</v>
      </c>
      <c r="H631" t="s">
        <v>32683</v>
      </c>
      <c r="I631" t="s">
        <v>10627</v>
      </c>
      <c r="J631" t="s">
        <v>33326</v>
      </c>
      <c r="K631" t="s">
        <v>42281</v>
      </c>
      <c r="M631" t="s">
        <v>42697</v>
      </c>
      <c r="N631" t="s">
        <v>46569</v>
      </c>
      <c r="O631" t="s">
        <v>46570</v>
      </c>
      <c r="P631">
        <v>0</v>
      </c>
      <c r="Q631">
        <v>0</v>
      </c>
      <c r="R631" t="s">
        <v>46571</v>
      </c>
      <c r="S631" t="s">
        <v>46687</v>
      </c>
      <c r="T631" t="s">
        <v>48236</v>
      </c>
      <c r="U631" t="s">
        <v>49348</v>
      </c>
      <c r="W631" t="s">
        <v>42697</v>
      </c>
      <c r="X631" t="s">
        <v>46572</v>
      </c>
    </row>
    <row r="632" spans="1:24">
      <c r="A632">
        <f>HYPERLINK("https://www.philgeps.gov.ph/GEPSNONPILOT/Tender/SplashBidNoticeAbstractUI.aspx?menuIndex=3&amp;refID=7065090&amp;Result=3","7065090")</f>
        <v>0</v>
      </c>
      <c r="B632" t="s">
        <v>319</v>
      </c>
      <c r="C632" t="s">
        <v>4149</v>
      </c>
      <c r="D632" t="s">
        <v>18784</v>
      </c>
      <c r="E632" t="s">
        <v>19493</v>
      </c>
      <c r="F632" t="s">
        <v>32664</v>
      </c>
      <c r="G632" t="s">
        <v>32671</v>
      </c>
      <c r="H632" t="s">
        <v>12635</v>
      </c>
      <c r="I632" t="s">
        <v>7759</v>
      </c>
      <c r="J632" t="s">
        <v>33327</v>
      </c>
      <c r="K632" t="s">
        <v>42283</v>
      </c>
      <c r="M632" t="s">
        <v>42887</v>
      </c>
      <c r="N632" t="s">
        <v>46569</v>
      </c>
      <c r="O632" t="s">
        <v>46570</v>
      </c>
      <c r="P632">
        <v>0</v>
      </c>
      <c r="Q632">
        <v>2</v>
      </c>
      <c r="R632" t="s">
        <v>46571</v>
      </c>
      <c r="S632" t="s">
        <v>46687</v>
      </c>
      <c r="T632" t="s">
        <v>48256</v>
      </c>
      <c r="U632" t="s">
        <v>49349</v>
      </c>
      <c r="W632" t="s">
        <v>42887</v>
      </c>
      <c r="X632" t="s">
        <v>46572</v>
      </c>
    </row>
    <row r="633" spans="1:24">
      <c r="A633">
        <f>HYPERLINK("https://www.philgeps.gov.ph/GEPSNONPILOT/Tender/SplashBidNoticeAbstractUI.aspx?menuIndex=3&amp;refID=7065128&amp;Result=3","7065128")</f>
        <v>0</v>
      </c>
      <c r="B633" t="s">
        <v>320</v>
      </c>
      <c r="C633" t="s">
        <v>4150</v>
      </c>
      <c r="D633" t="s">
        <v>18802</v>
      </c>
      <c r="E633" t="s">
        <v>19494</v>
      </c>
      <c r="F633" t="s">
        <v>32664</v>
      </c>
      <c r="G633" t="s">
        <v>32671</v>
      </c>
      <c r="H633" t="s">
        <v>12635</v>
      </c>
      <c r="I633" t="s">
        <v>4439</v>
      </c>
      <c r="J633" t="s">
        <v>33328</v>
      </c>
      <c r="K633" t="s">
        <v>42289</v>
      </c>
      <c r="M633" t="s">
        <v>42888</v>
      </c>
      <c r="N633" t="s">
        <v>46569</v>
      </c>
      <c r="O633" t="s">
        <v>46570</v>
      </c>
      <c r="P633">
        <v>0</v>
      </c>
      <c r="Q633">
        <v>0</v>
      </c>
      <c r="R633" t="s">
        <v>46571</v>
      </c>
      <c r="S633" t="s">
        <v>46687</v>
      </c>
      <c r="T633" t="s">
        <v>48228</v>
      </c>
      <c r="U633" t="s">
        <v>49350</v>
      </c>
      <c r="W633" t="s">
        <v>42888</v>
      </c>
      <c r="X633" t="s">
        <v>46572</v>
      </c>
    </row>
    <row r="634" spans="1:24">
      <c r="A634">
        <f>HYPERLINK("https://www.philgeps.gov.ph/GEPSNONPILOT/Tender/SplashBidNoticeAbstractUI.aspx?menuIndex=3&amp;refID=7065054&amp;Result=3","7065054")</f>
        <v>0</v>
      </c>
      <c r="B634" t="s">
        <v>183</v>
      </c>
      <c r="C634" t="s">
        <v>4151</v>
      </c>
      <c r="D634" t="s">
        <v>18806</v>
      </c>
      <c r="E634" t="s">
        <v>19495</v>
      </c>
      <c r="F634" t="s">
        <v>32664</v>
      </c>
      <c r="G634" t="s">
        <v>32675</v>
      </c>
      <c r="H634" t="s">
        <v>12635</v>
      </c>
      <c r="I634" t="s">
        <v>6223</v>
      </c>
      <c r="J634" t="s">
        <v>33329</v>
      </c>
      <c r="K634" t="s">
        <v>42281</v>
      </c>
      <c r="M634" t="s">
        <v>42747</v>
      </c>
      <c r="N634" t="s">
        <v>46569</v>
      </c>
      <c r="O634" t="s">
        <v>46570</v>
      </c>
      <c r="P634">
        <v>0</v>
      </c>
      <c r="Q634">
        <v>3</v>
      </c>
      <c r="R634" t="s">
        <v>46571</v>
      </c>
      <c r="S634" t="s">
        <v>46687</v>
      </c>
      <c r="T634" t="s">
        <v>48293</v>
      </c>
      <c r="U634" t="s">
        <v>49351</v>
      </c>
      <c r="W634" t="s">
        <v>42747</v>
      </c>
      <c r="X634" t="s">
        <v>46572</v>
      </c>
    </row>
    <row r="635" spans="1:24">
      <c r="A635">
        <f>HYPERLINK("https://www.philgeps.gov.ph/GEPSNONPILOT/Tender/SplashBidNoticeAbstractUI.aspx?menuIndex=3&amp;refID=7065127&amp;Result=3","7065127")</f>
        <v>0</v>
      </c>
      <c r="B635" t="s">
        <v>321</v>
      </c>
      <c r="C635" t="s">
        <v>4152</v>
      </c>
      <c r="D635" t="s">
        <v>18800</v>
      </c>
      <c r="E635" t="s">
        <v>19496</v>
      </c>
      <c r="F635" t="s">
        <v>32664</v>
      </c>
      <c r="G635" t="s">
        <v>32672</v>
      </c>
      <c r="H635" t="s">
        <v>32683</v>
      </c>
      <c r="I635" t="s">
        <v>10627</v>
      </c>
      <c r="J635" t="s">
        <v>33330</v>
      </c>
      <c r="K635" t="s">
        <v>42281</v>
      </c>
      <c r="M635" t="s">
        <v>42889</v>
      </c>
      <c r="N635" t="s">
        <v>46569</v>
      </c>
      <c r="O635" t="s">
        <v>46570</v>
      </c>
      <c r="P635">
        <v>0</v>
      </c>
      <c r="Q635">
        <v>2</v>
      </c>
      <c r="R635" t="s">
        <v>46571</v>
      </c>
      <c r="S635" t="s">
        <v>46687</v>
      </c>
      <c r="T635" t="s">
        <v>48329</v>
      </c>
      <c r="U635" t="s">
        <v>49352</v>
      </c>
      <c r="W635" t="s">
        <v>42889</v>
      </c>
      <c r="X635" t="s">
        <v>46572</v>
      </c>
    </row>
    <row r="636" spans="1:24">
      <c r="A636">
        <f>HYPERLINK("https://www.philgeps.gov.ph/GEPSNONPILOT/Tender/SplashBidNoticeAbstractUI.aspx?menuIndex=3&amp;refID=7065126&amp;Result=3","7065126")</f>
        <v>0</v>
      </c>
      <c r="B636" t="s">
        <v>312</v>
      </c>
      <c r="C636" t="s">
        <v>4153</v>
      </c>
      <c r="D636" t="s">
        <v>18805</v>
      </c>
      <c r="E636" t="s">
        <v>19497</v>
      </c>
      <c r="F636" t="s">
        <v>32664</v>
      </c>
      <c r="G636" t="s">
        <v>32671</v>
      </c>
      <c r="H636" t="s">
        <v>12635</v>
      </c>
      <c r="I636" t="s">
        <v>6628</v>
      </c>
      <c r="J636" t="s">
        <v>32976</v>
      </c>
      <c r="K636" t="s">
        <v>42283</v>
      </c>
      <c r="M636" t="s">
        <v>42879</v>
      </c>
      <c r="N636" t="s">
        <v>46569</v>
      </c>
      <c r="O636" t="s">
        <v>46570</v>
      </c>
      <c r="P636">
        <v>0</v>
      </c>
      <c r="Q636">
        <v>0</v>
      </c>
      <c r="R636" t="s">
        <v>46571</v>
      </c>
      <c r="S636" t="s">
        <v>46687</v>
      </c>
      <c r="T636" t="s">
        <v>48238</v>
      </c>
      <c r="U636" t="s">
        <v>49353</v>
      </c>
      <c r="W636" t="s">
        <v>42879</v>
      </c>
      <c r="X636" t="s">
        <v>46572</v>
      </c>
    </row>
    <row r="637" spans="1:24">
      <c r="A637">
        <f>HYPERLINK("https://www.philgeps.gov.ph/GEPSNONPILOT/Tender/SplashBidNoticeAbstractUI.aspx?menuIndex=3&amp;refID=7065125&amp;Result=3","7065125")</f>
        <v>0</v>
      </c>
      <c r="B637" t="s">
        <v>253</v>
      </c>
      <c r="C637" t="s">
        <v>4154</v>
      </c>
      <c r="D637" t="s">
        <v>18790</v>
      </c>
      <c r="E637" t="s">
        <v>19498</v>
      </c>
      <c r="F637" t="s">
        <v>32664</v>
      </c>
      <c r="G637" t="s">
        <v>32671</v>
      </c>
      <c r="H637" t="s">
        <v>12635</v>
      </c>
      <c r="I637" t="s">
        <v>32706</v>
      </c>
      <c r="J637" t="s">
        <v>33331</v>
      </c>
      <c r="K637" t="s">
        <v>42283</v>
      </c>
      <c r="M637" t="s">
        <v>42818</v>
      </c>
      <c r="N637" t="s">
        <v>46569</v>
      </c>
      <c r="O637" t="s">
        <v>46570</v>
      </c>
      <c r="P637">
        <v>0</v>
      </c>
      <c r="Q637">
        <v>0</v>
      </c>
      <c r="R637" t="s">
        <v>46571</v>
      </c>
      <c r="S637" t="s">
        <v>46687</v>
      </c>
      <c r="T637" t="s">
        <v>48283</v>
      </c>
      <c r="U637" t="s">
        <v>49260</v>
      </c>
      <c r="W637" t="s">
        <v>42818</v>
      </c>
      <c r="X637" t="s">
        <v>46572</v>
      </c>
    </row>
    <row r="638" spans="1:24">
      <c r="A638">
        <f>HYPERLINK("https://www.philgeps.gov.ph/GEPSNONPILOT/Tender/SplashBidNoticeAbstractUI.aspx?menuIndex=3&amp;refID=7065093&amp;Result=3","7065093")</f>
        <v>0</v>
      </c>
      <c r="B638" t="s">
        <v>102</v>
      </c>
      <c r="C638" t="s">
        <v>4155</v>
      </c>
      <c r="D638" t="s">
        <v>18788</v>
      </c>
      <c r="E638" t="s">
        <v>19499</v>
      </c>
      <c r="F638" t="s">
        <v>32664</v>
      </c>
      <c r="G638" t="s">
        <v>32671</v>
      </c>
      <c r="H638" t="s">
        <v>12635</v>
      </c>
      <c r="I638" t="s">
        <v>7429</v>
      </c>
      <c r="J638" t="s">
        <v>33332</v>
      </c>
      <c r="K638" t="s">
        <v>42284</v>
      </c>
      <c r="M638" t="s">
        <v>42666</v>
      </c>
      <c r="N638" t="s">
        <v>46569</v>
      </c>
      <c r="O638" t="s">
        <v>46570</v>
      </c>
      <c r="P638">
        <v>0</v>
      </c>
      <c r="Q638">
        <v>0</v>
      </c>
      <c r="R638" t="s">
        <v>46571</v>
      </c>
      <c r="S638" t="s">
        <v>46687</v>
      </c>
      <c r="T638" t="s">
        <v>48221</v>
      </c>
      <c r="U638" t="s">
        <v>49354</v>
      </c>
      <c r="W638" t="s">
        <v>42666</v>
      </c>
      <c r="X638" t="s">
        <v>46572</v>
      </c>
    </row>
    <row r="639" spans="1:24">
      <c r="A639">
        <f>HYPERLINK("https://www.philgeps.gov.ph/GEPSNONPILOT/Tender/SplashBidNoticeAbstractUI.aspx?menuIndex=3&amp;refID=7065124&amp;Result=3","7065124")</f>
        <v>0</v>
      </c>
      <c r="B639" t="s">
        <v>279</v>
      </c>
      <c r="C639" t="s">
        <v>4156</v>
      </c>
      <c r="D639" t="s">
        <v>18784</v>
      </c>
      <c r="E639" t="s">
        <v>19500</v>
      </c>
      <c r="F639" t="s">
        <v>32664</v>
      </c>
      <c r="G639" t="s">
        <v>32671</v>
      </c>
      <c r="H639" t="s">
        <v>12635</v>
      </c>
      <c r="I639" t="s">
        <v>5589</v>
      </c>
      <c r="J639" t="s">
        <v>33333</v>
      </c>
      <c r="K639" t="s">
        <v>42283</v>
      </c>
      <c r="M639" t="s">
        <v>42844</v>
      </c>
      <c r="N639" t="s">
        <v>46569</v>
      </c>
      <c r="O639" t="s">
        <v>46570</v>
      </c>
      <c r="P639">
        <v>0</v>
      </c>
      <c r="Q639">
        <v>2</v>
      </c>
      <c r="R639" t="s">
        <v>46571</v>
      </c>
      <c r="S639" t="s">
        <v>46687</v>
      </c>
      <c r="T639" t="s">
        <v>48246</v>
      </c>
      <c r="U639" t="s">
        <v>49275</v>
      </c>
      <c r="W639" t="s">
        <v>42844</v>
      </c>
      <c r="X639" t="s">
        <v>46572</v>
      </c>
    </row>
    <row r="640" spans="1:24">
      <c r="A640">
        <f>HYPERLINK("https://www.philgeps.gov.ph/GEPSNONPILOT/Tender/SplashBidNoticeAbstractUI.aspx?menuIndex=3&amp;refID=7065123&amp;Result=3","7065123")</f>
        <v>0</v>
      </c>
      <c r="B640" t="s">
        <v>322</v>
      </c>
      <c r="C640" t="s">
        <v>4157</v>
      </c>
      <c r="E640" t="s">
        <v>19501</v>
      </c>
      <c r="F640" t="s">
        <v>32664</v>
      </c>
      <c r="G640" t="s">
        <v>32678</v>
      </c>
      <c r="H640" t="s">
        <v>32681</v>
      </c>
      <c r="I640" t="s">
        <v>32681</v>
      </c>
      <c r="J640" t="s">
        <v>33334</v>
      </c>
      <c r="K640" t="s">
        <v>42291</v>
      </c>
      <c r="M640" t="s">
        <v>42890</v>
      </c>
      <c r="N640" t="s">
        <v>46569</v>
      </c>
      <c r="O640" t="s">
        <v>46570</v>
      </c>
      <c r="P640">
        <v>0</v>
      </c>
      <c r="Q640">
        <v>0</v>
      </c>
      <c r="R640" t="s">
        <v>46571</v>
      </c>
      <c r="S640" t="s">
        <v>46687</v>
      </c>
      <c r="T640" t="s">
        <v>48245</v>
      </c>
      <c r="U640" t="s">
        <v>49355</v>
      </c>
      <c r="W640" t="s">
        <v>42890</v>
      </c>
      <c r="X640" t="s">
        <v>46572</v>
      </c>
    </row>
    <row r="641" spans="1:24">
      <c r="A641">
        <f>HYPERLINK("https://www.philgeps.gov.ph/GEPSNONPILOT/Tender/SplashBidNoticeAbstractUI.aspx?menuIndex=3&amp;refID=7065122&amp;Result=3","7065122")</f>
        <v>0</v>
      </c>
      <c r="B641" t="s">
        <v>323</v>
      </c>
      <c r="C641" t="s">
        <v>4158</v>
      </c>
      <c r="D641" t="s">
        <v>18816</v>
      </c>
      <c r="E641" t="s">
        <v>19502</v>
      </c>
      <c r="F641" t="s">
        <v>32664</v>
      </c>
      <c r="G641" t="s">
        <v>32672</v>
      </c>
      <c r="H641" t="s">
        <v>32683</v>
      </c>
      <c r="I641" t="s">
        <v>10627</v>
      </c>
      <c r="J641" t="s">
        <v>33335</v>
      </c>
      <c r="K641" t="s">
        <v>42303</v>
      </c>
      <c r="M641" t="s">
        <v>42891</v>
      </c>
      <c r="N641" t="s">
        <v>46569</v>
      </c>
      <c r="O641" t="s">
        <v>46570</v>
      </c>
      <c r="P641">
        <v>0</v>
      </c>
      <c r="Q641">
        <v>0</v>
      </c>
      <c r="R641" t="s">
        <v>46571</v>
      </c>
      <c r="S641" t="s">
        <v>46687</v>
      </c>
      <c r="T641" t="s">
        <v>48257</v>
      </c>
      <c r="U641" t="s">
        <v>49356</v>
      </c>
      <c r="W641" t="s">
        <v>42891</v>
      </c>
      <c r="X641" t="s">
        <v>46572</v>
      </c>
    </row>
    <row r="642" spans="1:24">
      <c r="A642">
        <f>HYPERLINK("https://www.philgeps.gov.ph/GEPSNONPILOT/Tender/SplashBidNoticeAbstractUI.aspx?menuIndex=3&amp;refID=7065120&amp;Result=3","7065120")</f>
        <v>0</v>
      </c>
      <c r="B642" t="s">
        <v>295</v>
      </c>
      <c r="C642" t="s">
        <v>4159</v>
      </c>
      <c r="D642" t="s">
        <v>18848</v>
      </c>
      <c r="E642" t="s">
        <v>19503</v>
      </c>
      <c r="F642" t="s">
        <v>32664</v>
      </c>
      <c r="G642" t="s">
        <v>32672</v>
      </c>
      <c r="H642" t="s">
        <v>12635</v>
      </c>
      <c r="I642" t="s">
        <v>6168</v>
      </c>
      <c r="J642" t="s">
        <v>33336</v>
      </c>
      <c r="K642" t="s">
        <v>42297</v>
      </c>
      <c r="M642" t="s">
        <v>42862</v>
      </c>
      <c r="N642" t="s">
        <v>46569</v>
      </c>
      <c r="O642" t="s">
        <v>46570</v>
      </c>
      <c r="P642">
        <v>0</v>
      </c>
      <c r="Q642">
        <v>0</v>
      </c>
      <c r="R642" t="s">
        <v>46571</v>
      </c>
      <c r="S642" t="s">
        <v>46687</v>
      </c>
      <c r="T642" t="s">
        <v>48322</v>
      </c>
      <c r="U642" t="s">
        <v>49357</v>
      </c>
      <c r="W642" t="s">
        <v>42862</v>
      </c>
      <c r="X642" t="s">
        <v>46572</v>
      </c>
    </row>
    <row r="643" spans="1:24">
      <c r="A643">
        <f>HYPERLINK("https://www.philgeps.gov.ph/GEPSNONPILOT/Tender/SplashBidNoticeAbstractUI.aspx?menuIndex=3&amp;refID=7065118&amp;Result=3","7065118")</f>
        <v>0</v>
      </c>
      <c r="B643" t="s">
        <v>191</v>
      </c>
      <c r="C643" t="s">
        <v>4160</v>
      </c>
      <c r="D643" t="s">
        <v>18827</v>
      </c>
      <c r="E643" t="s">
        <v>19504</v>
      </c>
      <c r="F643" t="s">
        <v>32664</v>
      </c>
      <c r="G643" t="s">
        <v>32671</v>
      </c>
      <c r="H643" t="s">
        <v>32683</v>
      </c>
      <c r="I643" t="s">
        <v>10627</v>
      </c>
      <c r="J643" t="s">
        <v>33337</v>
      </c>
      <c r="K643" t="s">
        <v>42289</v>
      </c>
      <c r="M643" t="s">
        <v>42755</v>
      </c>
      <c r="N643" t="s">
        <v>46569</v>
      </c>
      <c r="O643" t="s">
        <v>46570</v>
      </c>
      <c r="P643">
        <v>0</v>
      </c>
      <c r="Q643">
        <v>0</v>
      </c>
      <c r="R643" t="s">
        <v>46571</v>
      </c>
      <c r="S643" t="s">
        <v>46687</v>
      </c>
      <c r="T643" t="s">
        <v>48256</v>
      </c>
      <c r="U643" t="s">
        <v>49358</v>
      </c>
      <c r="W643" t="s">
        <v>42755</v>
      </c>
      <c r="X643" t="s">
        <v>46572</v>
      </c>
    </row>
    <row r="644" spans="1:24">
      <c r="A644">
        <f>HYPERLINK("https://www.philgeps.gov.ph/GEPSNONPILOT/Tender/SplashBidNoticeAbstractUI.aspx?menuIndex=3&amp;refID=7065130&amp;Result=3","7065130")</f>
        <v>0</v>
      </c>
      <c r="B644" t="s">
        <v>273</v>
      </c>
      <c r="C644" t="s">
        <v>4161</v>
      </c>
      <c r="D644" t="s">
        <v>18812</v>
      </c>
      <c r="E644" t="s">
        <v>19505</v>
      </c>
      <c r="F644" t="s">
        <v>32664</v>
      </c>
      <c r="G644" t="s">
        <v>32671</v>
      </c>
      <c r="H644" t="s">
        <v>12635</v>
      </c>
      <c r="I644" t="s">
        <v>7324</v>
      </c>
      <c r="J644" t="s">
        <v>32853</v>
      </c>
      <c r="K644" t="s">
        <v>42281</v>
      </c>
      <c r="M644" t="s">
        <v>42838</v>
      </c>
      <c r="N644" t="s">
        <v>46569</v>
      </c>
      <c r="O644" t="s">
        <v>46570</v>
      </c>
      <c r="P644">
        <v>0</v>
      </c>
      <c r="Q644">
        <v>1</v>
      </c>
      <c r="R644" t="s">
        <v>46571</v>
      </c>
      <c r="S644" t="s">
        <v>46687</v>
      </c>
      <c r="T644" t="s">
        <v>48283</v>
      </c>
      <c r="U644" t="s">
        <v>49359</v>
      </c>
      <c r="W644" t="s">
        <v>42838</v>
      </c>
      <c r="X644" t="s">
        <v>46572</v>
      </c>
    </row>
    <row r="645" spans="1:24">
      <c r="A645">
        <f>HYPERLINK("https://www.philgeps.gov.ph/GEPSNONPILOT/Tender/SplashBidNoticeAbstractUI.aspx?menuIndex=3&amp;refID=7065117&amp;Result=3","7065117")</f>
        <v>0</v>
      </c>
      <c r="B645" t="s">
        <v>324</v>
      </c>
      <c r="C645" t="s">
        <v>4162</v>
      </c>
      <c r="D645" t="s">
        <v>18784</v>
      </c>
      <c r="E645" t="s">
        <v>19506</v>
      </c>
      <c r="F645" t="s">
        <v>32664</v>
      </c>
      <c r="G645" t="s">
        <v>32671</v>
      </c>
      <c r="H645" t="s">
        <v>12635</v>
      </c>
      <c r="I645" t="s">
        <v>10370</v>
      </c>
      <c r="J645" t="s">
        <v>33338</v>
      </c>
      <c r="K645" t="s">
        <v>42283</v>
      </c>
      <c r="M645" t="s">
        <v>42892</v>
      </c>
      <c r="N645" t="s">
        <v>46569</v>
      </c>
      <c r="O645" t="s">
        <v>46570</v>
      </c>
      <c r="P645">
        <v>0</v>
      </c>
      <c r="Q645">
        <v>0</v>
      </c>
      <c r="R645" t="s">
        <v>46571</v>
      </c>
      <c r="S645" t="s">
        <v>46687</v>
      </c>
      <c r="T645" t="s">
        <v>48267</v>
      </c>
      <c r="U645" t="s">
        <v>49360</v>
      </c>
      <c r="W645" t="s">
        <v>42892</v>
      </c>
      <c r="X645" t="s">
        <v>46572</v>
      </c>
    </row>
    <row r="646" spans="1:24">
      <c r="A646">
        <f>HYPERLINK("https://www.philgeps.gov.ph/GEPSNONPILOT/Tender/SplashBidNoticeAbstractUI.aspx?menuIndex=3&amp;refID=7065121&amp;Result=3","7065121")</f>
        <v>0</v>
      </c>
      <c r="B646" t="s">
        <v>102</v>
      </c>
      <c r="C646" t="s">
        <v>4163</v>
      </c>
      <c r="D646" t="s">
        <v>18788</v>
      </c>
      <c r="E646" t="s">
        <v>19507</v>
      </c>
      <c r="F646" t="s">
        <v>32664</v>
      </c>
      <c r="G646" t="s">
        <v>32671</v>
      </c>
      <c r="H646" t="s">
        <v>12635</v>
      </c>
      <c r="I646" t="s">
        <v>6223</v>
      </c>
      <c r="J646" t="s">
        <v>33339</v>
      </c>
      <c r="K646" t="s">
        <v>42284</v>
      </c>
      <c r="M646" t="s">
        <v>42666</v>
      </c>
      <c r="N646" t="s">
        <v>46569</v>
      </c>
      <c r="O646" t="s">
        <v>46570</v>
      </c>
      <c r="P646">
        <v>0</v>
      </c>
      <c r="Q646">
        <v>0</v>
      </c>
      <c r="R646" t="s">
        <v>46571</v>
      </c>
      <c r="S646" t="s">
        <v>46687</v>
      </c>
      <c r="T646" t="s">
        <v>48221</v>
      </c>
      <c r="U646" t="s">
        <v>49361</v>
      </c>
      <c r="W646" t="s">
        <v>42666</v>
      </c>
      <c r="X646" t="s">
        <v>46572</v>
      </c>
    </row>
    <row r="647" spans="1:24">
      <c r="A647">
        <f>HYPERLINK("https://www.philgeps.gov.ph/GEPSNONPILOT/Tender/SplashBidNoticeAbstractUI.aspx?menuIndex=3&amp;refID=7065021&amp;Result=3","7065021")</f>
        <v>0</v>
      </c>
      <c r="B647" t="s">
        <v>242</v>
      </c>
      <c r="C647" t="s">
        <v>4164</v>
      </c>
      <c r="D647" t="s">
        <v>18792</v>
      </c>
      <c r="E647" t="s">
        <v>19508</v>
      </c>
      <c r="F647" t="s">
        <v>32664</v>
      </c>
      <c r="G647" t="s">
        <v>32674</v>
      </c>
      <c r="H647" t="s">
        <v>12635</v>
      </c>
      <c r="I647" t="s">
        <v>8730</v>
      </c>
      <c r="J647" t="s">
        <v>33340</v>
      </c>
      <c r="K647" t="s">
        <v>42283</v>
      </c>
      <c r="M647" t="s">
        <v>42807</v>
      </c>
      <c r="N647" t="s">
        <v>46569</v>
      </c>
      <c r="O647" t="s">
        <v>46570</v>
      </c>
      <c r="P647">
        <v>0</v>
      </c>
      <c r="Q647">
        <v>0</v>
      </c>
      <c r="R647" t="s">
        <v>46571</v>
      </c>
      <c r="S647" t="s">
        <v>46687</v>
      </c>
      <c r="T647" t="s">
        <v>48225</v>
      </c>
      <c r="U647" t="s">
        <v>49362</v>
      </c>
      <c r="W647" t="s">
        <v>42807</v>
      </c>
      <c r="X647" t="s">
        <v>46572</v>
      </c>
    </row>
    <row r="648" spans="1:24">
      <c r="A648">
        <f>HYPERLINK("https://www.philgeps.gov.ph/GEPSNONPILOT/Tender/SplashBidNoticeAbstractUI.aspx?menuIndex=3&amp;refID=7065116&amp;Result=3","7065116")</f>
        <v>0</v>
      </c>
      <c r="B648" t="s">
        <v>224</v>
      </c>
      <c r="C648" t="s">
        <v>4165</v>
      </c>
      <c r="D648" t="s">
        <v>18842</v>
      </c>
      <c r="E648" t="s">
        <v>19509</v>
      </c>
      <c r="F648" t="s">
        <v>32664</v>
      </c>
      <c r="G648" t="s">
        <v>32671</v>
      </c>
      <c r="H648" t="s">
        <v>12635</v>
      </c>
      <c r="I648" t="s">
        <v>6168</v>
      </c>
      <c r="J648" t="s">
        <v>33341</v>
      </c>
      <c r="K648" t="s">
        <v>42284</v>
      </c>
      <c r="M648" t="s">
        <v>42788</v>
      </c>
      <c r="N648" t="s">
        <v>46569</v>
      </c>
      <c r="O648" t="s">
        <v>46570</v>
      </c>
      <c r="P648">
        <v>0</v>
      </c>
      <c r="Q648">
        <v>1</v>
      </c>
      <c r="R648" t="s">
        <v>46571</v>
      </c>
      <c r="S648" t="s">
        <v>46687</v>
      </c>
      <c r="T648" t="s">
        <v>48221</v>
      </c>
      <c r="U648" t="s">
        <v>49363</v>
      </c>
      <c r="W648" t="s">
        <v>42788</v>
      </c>
      <c r="X648" t="s">
        <v>46572</v>
      </c>
    </row>
    <row r="649" spans="1:24">
      <c r="A649">
        <f>HYPERLINK("https://www.philgeps.gov.ph/GEPSNONPILOT/Tender/SplashBidNoticeAbstractUI.aspx?menuIndex=3&amp;refID=7065109&amp;Result=3","7065109")</f>
        <v>0</v>
      </c>
      <c r="B649" t="s">
        <v>225</v>
      </c>
      <c r="C649" t="s">
        <v>4166</v>
      </c>
      <c r="D649" t="s">
        <v>18784</v>
      </c>
      <c r="E649" t="s">
        <v>19510</v>
      </c>
      <c r="F649" t="s">
        <v>32664</v>
      </c>
      <c r="G649" t="s">
        <v>32674</v>
      </c>
      <c r="H649" t="s">
        <v>12635</v>
      </c>
      <c r="I649" t="s">
        <v>4439</v>
      </c>
      <c r="J649" t="s">
        <v>33342</v>
      </c>
      <c r="K649" t="s">
        <v>42281</v>
      </c>
      <c r="M649" t="s">
        <v>42789</v>
      </c>
      <c r="N649" t="s">
        <v>46569</v>
      </c>
      <c r="O649" t="s">
        <v>46570</v>
      </c>
      <c r="P649">
        <v>0</v>
      </c>
      <c r="Q649">
        <v>0</v>
      </c>
      <c r="R649" t="s">
        <v>46571</v>
      </c>
      <c r="S649" t="s">
        <v>46687</v>
      </c>
      <c r="T649" t="s">
        <v>48225</v>
      </c>
      <c r="U649" t="s">
        <v>49364</v>
      </c>
      <c r="W649" t="s">
        <v>42789</v>
      </c>
      <c r="X649" t="s">
        <v>46572</v>
      </c>
    </row>
    <row r="650" spans="1:24">
      <c r="A650">
        <f>HYPERLINK("https://www.philgeps.gov.ph/GEPSNONPILOT/Tender/SplashBidNoticeAbstractUI.aspx?menuIndex=3&amp;refID=7065108&amp;Result=3","7065108")</f>
        <v>0</v>
      </c>
      <c r="B650" t="s">
        <v>325</v>
      </c>
      <c r="C650" t="s">
        <v>4167</v>
      </c>
      <c r="D650" t="s">
        <v>18848</v>
      </c>
      <c r="E650" t="s">
        <v>19511</v>
      </c>
      <c r="F650" t="s">
        <v>32664</v>
      </c>
      <c r="G650" t="s">
        <v>32672</v>
      </c>
      <c r="H650" t="s">
        <v>12635</v>
      </c>
      <c r="I650" t="s">
        <v>6168</v>
      </c>
      <c r="J650" t="s">
        <v>33343</v>
      </c>
      <c r="K650" t="s">
        <v>42289</v>
      </c>
      <c r="M650" t="s">
        <v>42893</v>
      </c>
      <c r="N650" t="s">
        <v>46569</v>
      </c>
      <c r="O650" t="s">
        <v>46570</v>
      </c>
      <c r="P650">
        <v>0</v>
      </c>
      <c r="Q650">
        <v>1</v>
      </c>
      <c r="R650" t="s">
        <v>46571</v>
      </c>
      <c r="S650" t="s">
        <v>46687</v>
      </c>
      <c r="T650" t="s">
        <v>48211</v>
      </c>
      <c r="U650" t="s">
        <v>49365</v>
      </c>
      <c r="V650" t="s">
        <v>61699</v>
      </c>
      <c r="W650" t="s">
        <v>42893</v>
      </c>
      <c r="X650" t="s">
        <v>46572</v>
      </c>
    </row>
    <row r="651" spans="1:24">
      <c r="A651">
        <f>HYPERLINK("https://www.philgeps.gov.ph/GEPSNONPILOT/Tender/SplashBidNoticeAbstractUI.aspx?menuIndex=3&amp;refID=7065112&amp;Result=3","7065112")</f>
        <v>0</v>
      </c>
      <c r="B651" t="s">
        <v>135</v>
      </c>
      <c r="C651" t="s">
        <v>4168</v>
      </c>
      <c r="D651" t="s">
        <v>18807</v>
      </c>
      <c r="E651" t="s">
        <v>19512</v>
      </c>
      <c r="F651" t="s">
        <v>32664</v>
      </c>
      <c r="G651" t="s">
        <v>32672</v>
      </c>
      <c r="H651" t="s">
        <v>12635</v>
      </c>
      <c r="I651" t="s">
        <v>4333</v>
      </c>
      <c r="J651" t="s">
        <v>33119</v>
      </c>
      <c r="K651" t="s">
        <v>42281</v>
      </c>
      <c r="M651" t="s">
        <v>42852</v>
      </c>
      <c r="N651" t="s">
        <v>46569</v>
      </c>
      <c r="O651" t="s">
        <v>46570</v>
      </c>
      <c r="P651">
        <v>0</v>
      </c>
      <c r="Q651">
        <v>0</v>
      </c>
      <c r="R651" t="s">
        <v>46571</v>
      </c>
      <c r="S651" t="s">
        <v>46687</v>
      </c>
      <c r="T651" t="s">
        <v>48226</v>
      </c>
      <c r="U651" t="s">
        <v>49052</v>
      </c>
      <c r="V651" t="s">
        <v>61650</v>
      </c>
      <c r="W651" t="s">
        <v>42852</v>
      </c>
      <c r="X651" t="s">
        <v>46572</v>
      </c>
    </row>
    <row r="652" spans="1:24">
      <c r="A652">
        <f>HYPERLINK("https://www.philgeps.gov.ph/GEPSNONPILOT/Tender/SplashBidNoticeAbstractUI.aspx?menuIndex=3&amp;refID=7065087&amp;Result=3","7065087")</f>
        <v>0</v>
      </c>
      <c r="B652" t="s">
        <v>253</v>
      </c>
      <c r="C652" t="s">
        <v>4169</v>
      </c>
      <c r="D652" t="s">
        <v>18790</v>
      </c>
      <c r="E652" t="s">
        <v>19513</v>
      </c>
      <c r="F652" t="s">
        <v>32664</v>
      </c>
      <c r="G652" t="s">
        <v>32671</v>
      </c>
      <c r="H652" t="s">
        <v>12635</v>
      </c>
      <c r="I652" t="s">
        <v>32706</v>
      </c>
      <c r="J652" t="s">
        <v>33254</v>
      </c>
      <c r="K652" t="s">
        <v>42283</v>
      </c>
      <c r="M652" t="s">
        <v>42818</v>
      </c>
      <c r="N652" t="s">
        <v>46569</v>
      </c>
      <c r="O652" t="s">
        <v>46570</v>
      </c>
      <c r="P652">
        <v>0</v>
      </c>
      <c r="Q652">
        <v>0</v>
      </c>
      <c r="R652" t="s">
        <v>46571</v>
      </c>
      <c r="S652" t="s">
        <v>46687</v>
      </c>
      <c r="T652" t="s">
        <v>48283</v>
      </c>
      <c r="U652" t="s">
        <v>49366</v>
      </c>
      <c r="W652" t="s">
        <v>42818</v>
      </c>
      <c r="X652" t="s">
        <v>46572</v>
      </c>
    </row>
    <row r="653" spans="1:24">
      <c r="A653">
        <f>HYPERLINK("https://www.philgeps.gov.ph/GEPSNONPILOT/Tender/SplashBidNoticeAbstractUI.aspx?menuIndex=3&amp;refID=7065086&amp;Result=3","7065086")</f>
        <v>0</v>
      </c>
      <c r="B653" t="s">
        <v>253</v>
      </c>
      <c r="C653" t="s">
        <v>4170</v>
      </c>
      <c r="D653" t="s">
        <v>18790</v>
      </c>
      <c r="E653" t="s">
        <v>19514</v>
      </c>
      <c r="F653" t="s">
        <v>32664</v>
      </c>
      <c r="G653" t="s">
        <v>32672</v>
      </c>
      <c r="H653" t="s">
        <v>32683</v>
      </c>
      <c r="I653" t="s">
        <v>10627</v>
      </c>
      <c r="J653" t="s">
        <v>33344</v>
      </c>
      <c r="K653" t="s">
        <v>42283</v>
      </c>
      <c r="M653" t="s">
        <v>42851</v>
      </c>
      <c r="N653" t="s">
        <v>46569</v>
      </c>
      <c r="O653" t="s">
        <v>46570</v>
      </c>
      <c r="P653">
        <v>0</v>
      </c>
      <c r="Q653">
        <v>0</v>
      </c>
      <c r="R653" t="s">
        <v>46571</v>
      </c>
      <c r="S653" t="s">
        <v>46687</v>
      </c>
      <c r="T653" t="s">
        <v>48220</v>
      </c>
      <c r="U653" t="s">
        <v>49367</v>
      </c>
      <c r="W653" t="s">
        <v>42851</v>
      </c>
      <c r="X653" t="s">
        <v>46572</v>
      </c>
    </row>
    <row r="654" spans="1:24">
      <c r="A654">
        <f>HYPERLINK("https://www.philgeps.gov.ph/GEPSNONPILOT/Tender/SplashBidNoticeAbstractUI.aspx?menuIndex=3&amp;refID=7065085&amp;Result=3","7065085")</f>
        <v>0</v>
      </c>
      <c r="B654" t="s">
        <v>326</v>
      </c>
      <c r="C654" t="s">
        <v>4171</v>
      </c>
      <c r="D654" t="s">
        <v>18799</v>
      </c>
      <c r="E654" t="s">
        <v>19515</v>
      </c>
      <c r="F654" t="s">
        <v>32664</v>
      </c>
      <c r="G654" t="s">
        <v>32671</v>
      </c>
      <c r="H654" t="s">
        <v>12635</v>
      </c>
      <c r="I654" t="s">
        <v>8797</v>
      </c>
      <c r="J654" t="s">
        <v>33345</v>
      </c>
      <c r="K654" t="s">
        <v>42283</v>
      </c>
      <c r="M654" t="s">
        <v>42894</v>
      </c>
      <c r="N654" t="s">
        <v>46569</v>
      </c>
      <c r="O654" t="s">
        <v>46570</v>
      </c>
      <c r="P654">
        <v>0</v>
      </c>
      <c r="Q654">
        <v>1</v>
      </c>
      <c r="R654" t="s">
        <v>46571</v>
      </c>
      <c r="S654" t="s">
        <v>46687</v>
      </c>
      <c r="T654" t="s">
        <v>48256</v>
      </c>
      <c r="U654" t="s">
        <v>49368</v>
      </c>
      <c r="W654" t="s">
        <v>42894</v>
      </c>
      <c r="X654" t="s">
        <v>46572</v>
      </c>
    </row>
    <row r="655" spans="1:24">
      <c r="A655">
        <f>HYPERLINK("https://www.philgeps.gov.ph/GEPSNONPILOT/Tender/SplashBidNoticeAbstractUI.aspx?menuIndex=3&amp;refID=7065089&amp;Result=3","7065089")</f>
        <v>0</v>
      </c>
      <c r="B655" t="s">
        <v>135</v>
      </c>
      <c r="C655" t="s">
        <v>4172</v>
      </c>
      <c r="D655" t="s">
        <v>18807</v>
      </c>
      <c r="E655" t="s">
        <v>19516</v>
      </c>
      <c r="F655" t="s">
        <v>32664</v>
      </c>
      <c r="G655" t="s">
        <v>32672</v>
      </c>
      <c r="H655" t="s">
        <v>12635</v>
      </c>
      <c r="I655" t="s">
        <v>4333</v>
      </c>
      <c r="J655" t="s">
        <v>33117</v>
      </c>
      <c r="K655" t="s">
        <v>42281</v>
      </c>
      <c r="M655" t="s">
        <v>42852</v>
      </c>
      <c r="N655" t="s">
        <v>46569</v>
      </c>
      <c r="O655" t="s">
        <v>46570</v>
      </c>
      <c r="P655">
        <v>0</v>
      </c>
      <c r="Q655">
        <v>0</v>
      </c>
      <c r="R655" t="s">
        <v>46571</v>
      </c>
      <c r="S655" t="s">
        <v>46687</v>
      </c>
      <c r="T655" t="s">
        <v>48226</v>
      </c>
      <c r="U655" t="s">
        <v>49052</v>
      </c>
      <c r="V655" t="s">
        <v>61650</v>
      </c>
      <c r="W655" t="s">
        <v>42852</v>
      </c>
      <c r="X655" t="s">
        <v>46572</v>
      </c>
    </row>
    <row r="656" spans="1:24">
      <c r="A656">
        <f>HYPERLINK("https://www.philgeps.gov.ph/GEPSNONPILOT/Tender/SplashBidNoticeAbstractUI.aspx?menuIndex=3&amp;refID=7065107&amp;Result=3","7065107")</f>
        <v>0</v>
      </c>
      <c r="B656" t="s">
        <v>301</v>
      </c>
      <c r="C656" t="s">
        <v>4173</v>
      </c>
      <c r="D656" t="s">
        <v>18830</v>
      </c>
      <c r="E656" t="s">
        <v>19517</v>
      </c>
      <c r="F656" t="s">
        <v>32664</v>
      </c>
      <c r="G656" t="s">
        <v>32671</v>
      </c>
      <c r="H656" t="s">
        <v>12635</v>
      </c>
      <c r="I656" t="s">
        <v>6168</v>
      </c>
      <c r="J656" t="s">
        <v>33346</v>
      </c>
      <c r="K656" t="s">
        <v>42284</v>
      </c>
      <c r="M656" t="s">
        <v>42868</v>
      </c>
      <c r="N656" t="s">
        <v>46569</v>
      </c>
      <c r="O656" t="s">
        <v>46570</v>
      </c>
      <c r="P656">
        <v>0</v>
      </c>
      <c r="Q656">
        <v>0</v>
      </c>
      <c r="R656" t="s">
        <v>46571</v>
      </c>
      <c r="S656" t="s">
        <v>46687</v>
      </c>
      <c r="T656" t="s">
        <v>48221</v>
      </c>
      <c r="U656" t="s">
        <v>49369</v>
      </c>
      <c r="W656" t="s">
        <v>42868</v>
      </c>
      <c r="X656" t="s">
        <v>46572</v>
      </c>
    </row>
    <row r="657" spans="1:24">
      <c r="A657">
        <f>HYPERLINK("https://www.philgeps.gov.ph/GEPSNONPILOT/Tender/SplashBidNoticeAbstractUI.aspx?menuIndex=3&amp;refID=7065044&amp;Result=3","7065044")</f>
        <v>0</v>
      </c>
      <c r="B657" t="s">
        <v>253</v>
      </c>
      <c r="C657" t="s">
        <v>4174</v>
      </c>
      <c r="D657" t="s">
        <v>18790</v>
      </c>
      <c r="E657" t="s">
        <v>19518</v>
      </c>
      <c r="F657" t="s">
        <v>32664</v>
      </c>
      <c r="G657" t="s">
        <v>32671</v>
      </c>
      <c r="H657" t="s">
        <v>12635</v>
      </c>
      <c r="I657" t="s">
        <v>32706</v>
      </c>
      <c r="J657" t="s">
        <v>33347</v>
      </c>
      <c r="K657" t="s">
        <v>42283</v>
      </c>
      <c r="M657" t="s">
        <v>42818</v>
      </c>
      <c r="N657" t="s">
        <v>46569</v>
      </c>
      <c r="O657" t="s">
        <v>46570</v>
      </c>
      <c r="P657">
        <v>0</v>
      </c>
      <c r="Q657">
        <v>0</v>
      </c>
      <c r="R657" t="s">
        <v>46571</v>
      </c>
      <c r="S657" t="s">
        <v>46687</v>
      </c>
      <c r="T657" t="s">
        <v>48267</v>
      </c>
      <c r="U657" t="s">
        <v>49370</v>
      </c>
      <c r="W657" t="s">
        <v>42818</v>
      </c>
      <c r="X657" t="s">
        <v>46572</v>
      </c>
    </row>
    <row r="658" spans="1:24">
      <c r="A658">
        <f>HYPERLINK("https://www.philgeps.gov.ph/GEPSNONPILOT/Tender/SplashBidNoticeAbstractUI.aspx?menuIndex=3&amp;refID=7065043&amp;Result=3","7065043")</f>
        <v>0</v>
      </c>
      <c r="B658" t="s">
        <v>300</v>
      </c>
      <c r="C658" t="s">
        <v>4175</v>
      </c>
      <c r="D658" t="s">
        <v>18785</v>
      </c>
      <c r="E658" t="s">
        <v>19519</v>
      </c>
      <c r="F658" t="s">
        <v>32664</v>
      </c>
      <c r="G658" t="s">
        <v>32671</v>
      </c>
      <c r="H658" t="s">
        <v>12635</v>
      </c>
      <c r="I658" t="s">
        <v>32719</v>
      </c>
      <c r="J658" t="s">
        <v>33348</v>
      </c>
      <c r="K658" t="s">
        <v>42281</v>
      </c>
      <c r="M658" t="s">
        <v>42867</v>
      </c>
      <c r="N658" t="s">
        <v>46569</v>
      </c>
      <c r="O658" t="s">
        <v>46570</v>
      </c>
      <c r="P658">
        <v>0</v>
      </c>
      <c r="Q658">
        <v>3</v>
      </c>
      <c r="R658" t="s">
        <v>46571</v>
      </c>
      <c r="S658" t="s">
        <v>46687</v>
      </c>
      <c r="T658" t="s">
        <v>48314</v>
      </c>
      <c r="U658" t="s">
        <v>49313</v>
      </c>
      <c r="W658" t="s">
        <v>42867</v>
      </c>
      <c r="X658" t="s">
        <v>46572</v>
      </c>
    </row>
    <row r="659" spans="1:24">
      <c r="A659">
        <f>HYPERLINK("https://www.philgeps.gov.ph/GEPSNONPILOT/Tender/SplashBidNoticeAbstractUI.aspx?menuIndex=3&amp;refID=7065156&amp;Result=3","7065156")</f>
        <v>0</v>
      </c>
      <c r="B659" t="s">
        <v>244</v>
      </c>
      <c r="C659" t="s">
        <v>4176</v>
      </c>
      <c r="D659" t="s">
        <v>18804</v>
      </c>
      <c r="E659" t="s">
        <v>19520</v>
      </c>
      <c r="F659" t="s">
        <v>32664</v>
      </c>
      <c r="G659" t="s">
        <v>32671</v>
      </c>
      <c r="H659" t="s">
        <v>12635</v>
      </c>
      <c r="I659" t="s">
        <v>10361</v>
      </c>
      <c r="J659" t="s">
        <v>33349</v>
      </c>
      <c r="K659" t="s">
        <v>42284</v>
      </c>
      <c r="M659" t="s">
        <v>42809</v>
      </c>
      <c r="N659" t="s">
        <v>46569</v>
      </c>
      <c r="O659" t="s">
        <v>46570</v>
      </c>
      <c r="P659">
        <v>0</v>
      </c>
      <c r="Q659">
        <v>1</v>
      </c>
      <c r="R659" t="s">
        <v>46571</v>
      </c>
      <c r="S659" t="s">
        <v>46687</v>
      </c>
      <c r="T659" t="s">
        <v>48256</v>
      </c>
      <c r="U659" t="s">
        <v>49371</v>
      </c>
      <c r="W659" t="s">
        <v>42809</v>
      </c>
      <c r="X659" t="s">
        <v>46572</v>
      </c>
    </row>
    <row r="660" spans="1:24">
      <c r="A660">
        <f>HYPERLINK("https://www.philgeps.gov.ph/GEPSNONPILOT/Tender/SplashBidNoticeAbstractUI.aspx?menuIndex=3&amp;refID=7065088&amp;Result=3","7065088")</f>
        <v>0</v>
      </c>
      <c r="B660" t="s">
        <v>269</v>
      </c>
      <c r="C660" t="s">
        <v>4177</v>
      </c>
      <c r="D660" t="s">
        <v>18831</v>
      </c>
      <c r="E660" t="s">
        <v>19521</v>
      </c>
      <c r="F660" t="s">
        <v>32664</v>
      </c>
      <c r="G660" t="s">
        <v>32672</v>
      </c>
      <c r="H660" t="s">
        <v>32683</v>
      </c>
      <c r="I660" t="s">
        <v>10627</v>
      </c>
      <c r="J660" t="s">
        <v>33350</v>
      </c>
      <c r="K660" t="s">
        <v>42317</v>
      </c>
      <c r="M660" t="s">
        <v>42834</v>
      </c>
      <c r="N660" t="s">
        <v>46569</v>
      </c>
      <c r="O660" t="s">
        <v>46570</v>
      </c>
      <c r="P660">
        <v>0</v>
      </c>
      <c r="Q660">
        <v>0</v>
      </c>
      <c r="R660" t="s">
        <v>46571</v>
      </c>
      <c r="S660" t="s">
        <v>46687</v>
      </c>
      <c r="T660" t="s">
        <v>48318</v>
      </c>
      <c r="U660" t="s">
        <v>49372</v>
      </c>
      <c r="W660" t="s">
        <v>42834</v>
      </c>
      <c r="X660" t="s">
        <v>46572</v>
      </c>
    </row>
    <row r="661" spans="1:24">
      <c r="A661">
        <f>HYPERLINK("https://www.philgeps.gov.ph/GEPSNONPILOT/Tender/SplashBidNoticeAbstractUI.aspx?menuIndex=3&amp;refID=7065154&amp;Result=3","7065154")</f>
        <v>0</v>
      </c>
      <c r="B661" t="s">
        <v>327</v>
      </c>
      <c r="C661" t="s">
        <v>4178</v>
      </c>
      <c r="D661" t="s">
        <v>18826</v>
      </c>
      <c r="E661" t="s">
        <v>19522</v>
      </c>
      <c r="F661" t="s">
        <v>32664</v>
      </c>
      <c r="G661" t="s">
        <v>32671</v>
      </c>
      <c r="H661" t="s">
        <v>32683</v>
      </c>
      <c r="I661" t="s">
        <v>10627</v>
      </c>
      <c r="J661" t="s">
        <v>33351</v>
      </c>
      <c r="K661" t="s">
        <v>42298</v>
      </c>
      <c r="M661" t="s">
        <v>42895</v>
      </c>
      <c r="N661" t="s">
        <v>46569</v>
      </c>
      <c r="O661" t="s">
        <v>46570</v>
      </c>
      <c r="P661">
        <v>0</v>
      </c>
      <c r="Q661">
        <v>1</v>
      </c>
      <c r="R661" t="s">
        <v>46571</v>
      </c>
      <c r="S661" t="s">
        <v>46687</v>
      </c>
      <c r="T661" t="s">
        <v>48286</v>
      </c>
      <c r="U661" t="s">
        <v>49373</v>
      </c>
      <c r="W661" t="s">
        <v>42895</v>
      </c>
      <c r="X661" t="s">
        <v>46572</v>
      </c>
    </row>
    <row r="662" spans="1:24">
      <c r="A662">
        <f>HYPERLINK("https://www.philgeps.gov.ph/GEPSNONPILOT/Tender/SplashBidNoticeAbstractUI.aspx?menuIndex=3&amp;refID=7065152&amp;Result=3","7065152")</f>
        <v>0</v>
      </c>
      <c r="B662" t="s">
        <v>253</v>
      </c>
      <c r="C662" t="s">
        <v>4179</v>
      </c>
      <c r="D662" t="s">
        <v>18790</v>
      </c>
      <c r="E662" t="s">
        <v>19523</v>
      </c>
      <c r="F662" t="s">
        <v>32664</v>
      </c>
      <c r="G662" t="s">
        <v>32671</v>
      </c>
      <c r="H662" t="s">
        <v>12635</v>
      </c>
      <c r="I662" t="s">
        <v>4439</v>
      </c>
      <c r="J662" t="s">
        <v>33352</v>
      </c>
      <c r="K662" t="s">
        <v>42283</v>
      </c>
      <c r="M662" t="s">
        <v>42818</v>
      </c>
      <c r="N662" t="s">
        <v>46569</v>
      </c>
      <c r="O662" t="s">
        <v>46570</v>
      </c>
      <c r="P662">
        <v>0</v>
      </c>
      <c r="Q662">
        <v>0</v>
      </c>
      <c r="R662" t="s">
        <v>46571</v>
      </c>
      <c r="S662" t="s">
        <v>46687</v>
      </c>
      <c r="T662" t="s">
        <v>48283</v>
      </c>
      <c r="U662" t="s">
        <v>49374</v>
      </c>
      <c r="W662" t="s">
        <v>42818</v>
      </c>
      <c r="X662" t="s">
        <v>46572</v>
      </c>
    </row>
    <row r="663" spans="1:24">
      <c r="A663">
        <f>HYPERLINK("https://www.philgeps.gov.ph/GEPSNONPILOT/Tender/SplashBidNoticeAbstractUI.aspx?menuIndex=3&amp;refID=7065151&amp;Result=3","7065151")</f>
        <v>0</v>
      </c>
      <c r="B663" t="s">
        <v>328</v>
      </c>
      <c r="C663" t="s">
        <v>4180</v>
      </c>
      <c r="D663" t="s">
        <v>18813</v>
      </c>
      <c r="E663" t="s">
        <v>18889</v>
      </c>
      <c r="F663" t="s">
        <v>32664</v>
      </c>
      <c r="G663" t="s">
        <v>32674</v>
      </c>
      <c r="H663" t="s">
        <v>12635</v>
      </c>
      <c r="I663" t="s">
        <v>32734</v>
      </c>
      <c r="J663" t="s">
        <v>33353</v>
      </c>
      <c r="K663" t="s">
        <v>42295</v>
      </c>
      <c r="M663" t="s">
        <v>42896</v>
      </c>
      <c r="N663" t="s">
        <v>46569</v>
      </c>
      <c r="O663" t="s">
        <v>46570</v>
      </c>
      <c r="P663">
        <v>0</v>
      </c>
      <c r="Q663">
        <v>0</v>
      </c>
      <c r="R663" t="s">
        <v>46571</v>
      </c>
      <c r="S663" t="s">
        <v>46687</v>
      </c>
      <c r="T663" t="s">
        <v>48219</v>
      </c>
      <c r="U663" t="s">
        <v>49375</v>
      </c>
      <c r="W663" t="s">
        <v>42896</v>
      </c>
      <c r="X663" t="s">
        <v>46572</v>
      </c>
    </row>
    <row r="664" spans="1:24">
      <c r="A664">
        <f>HYPERLINK("https://www.philgeps.gov.ph/GEPSNONPILOT/Tender/SplashBidNoticeAbstractUI.aspx?menuIndex=3&amp;refID=7065158&amp;Result=3","7065158")</f>
        <v>0</v>
      </c>
      <c r="B664" t="s">
        <v>191</v>
      </c>
      <c r="C664" t="s">
        <v>4181</v>
      </c>
      <c r="D664" t="s">
        <v>18827</v>
      </c>
      <c r="E664" t="s">
        <v>19524</v>
      </c>
      <c r="F664" t="s">
        <v>32664</v>
      </c>
      <c r="G664" t="s">
        <v>32671</v>
      </c>
      <c r="H664" t="s">
        <v>12635</v>
      </c>
      <c r="I664" t="s">
        <v>6223</v>
      </c>
      <c r="J664" t="s">
        <v>32898</v>
      </c>
      <c r="K664" t="s">
        <v>42289</v>
      </c>
      <c r="M664" t="s">
        <v>42755</v>
      </c>
      <c r="N664" t="s">
        <v>46569</v>
      </c>
      <c r="O664" t="s">
        <v>46570</v>
      </c>
      <c r="P664">
        <v>0</v>
      </c>
      <c r="Q664">
        <v>0</v>
      </c>
      <c r="R664" t="s">
        <v>46571</v>
      </c>
      <c r="S664" t="s">
        <v>46687</v>
      </c>
      <c r="T664" t="s">
        <v>48256</v>
      </c>
      <c r="U664" t="s">
        <v>49376</v>
      </c>
      <c r="W664" t="s">
        <v>42755</v>
      </c>
      <c r="X664" t="s">
        <v>46572</v>
      </c>
    </row>
    <row r="665" spans="1:24">
      <c r="A665">
        <f>HYPERLINK("https://www.philgeps.gov.ph/GEPSNONPILOT/Tender/SplashBidNoticeAbstractUI.aspx?menuIndex=3&amp;refID=7065113&amp;Result=3","7065113")</f>
        <v>0</v>
      </c>
      <c r="B665" t="s">
        <v>329</v>
      </c>
      <c r="C665" t="s">
        <v>4182</v>
      </c>
      <c r="D665" t="s">
        <v>18806</v>
      </c>
      <c r="E665" t="s">
        <v>19525</v>
      </c>
      <c r="F665" t="s">
        <v>32664</v>
      </c>
      <c r="G665" t="s">
        <v>32672</v>
      </c>
      <c r="H665" t="s">
        <v>12635</v>
      </c>
      <c r="I665" t="s">
        <v>32725</v>
      </c>
      <c r="J665" t="s">
        <v>33354</v>
      </c>
      <c r="K665" t="s">
        <v>42297</v>
      </c>
      <c r="M665" t="s">
        <v>42897</v>
      </c>
      <c r="N665" t="s">
        <v>46569</v>
      </c>
      <c r="O665" t="s">
        <v>46570</v>
      </c>
      <c r="P665">
        <v>0</v>
      </c>
      <c r="Q665">
        <v>1</v>
      </c>
      <c r="R665" t="s">
        <v>46571</v>
      </c>
      <c r="S665" t="s">
        <v>46687</v>
      </c>
      <c r="T665" t="s">
        <v>48330</v>
      </c>
      <c r="U665" t="s">
        <v>49377</v>
      </c>
      <c r="W665" t="s">
        <v>42897</v>
      </c>
      <c r="X665" t="s">
        <v>46572</v>
      </c>
    </row>
    <row r="666" spans="1:24">
      <c r="A666">
        <f>HYPERLINK("https://www.philgeps.gov.ph/GEPSNONPILOT/Tender/SplashBidNoticeAbstractUI.aspx?menuIndex=3&amp;refID=7065146&amp;Result=3","7065146")</f>
        <v>0</v>
      </c>
      <c r="B666" t="s">
        <v>242</v>
      </c>
      <c r="C666" t="s">
        <v>4183</v>
      </c>
      <c r="D666" t="s">
        <v>18792</v>
      </c>
      <c r="E666" t="s">
        <v>19526</v>
      </c>
      <c r="F666" t="s">
        <v>32664</v>
      </c>
      <c r="G666" t="s">
        <v>32672</v>
      </c>
      <c r="H666" t="s">
        <v>12635</v>
      </c>
      <c r="I666" t="s">
        <v>8730</v>
      </c>
      <c r="J666" t="s">
        <v>33355</v>
      </c>
      <c r="K666" t="s">
        <v>42283</v>
      </c>
      <c r="M666" t="s">
        <v>42807</v>
      </c>
      <c r="N666" t="s">
        <v>46569</v>
      </c>
      <c r="O666" t="s">
        <v>46570</v>
      </c>
      <c r="P666">
        <v>0</v>
      </c>
      <c r="Q666">
        <v>1</v>
      </c>
      <c r="R666" t="s">
        <v>46571</v>
      </c>
      <c r="S666" t="s">
        <v>46687</v>
      </c>
      <c r="T666" t="s">
        <v>48225</v>
      </c>
      <c r="U666" t="s">
        <v>49378</v>
      </c>
      <c r="W666" t="s">
        <v>42807</v>
      </c>
      <c r="X666" t="s">
        <v>46572</v>
      </c>
    </row>
    <row r="667" spans="1:24">
      <c r="A667">
        <f>HYPERLINK("https://www.philgeps.gov.ph/GEPSNONPILOT/Tender/SplashBidNoticeAbstractUI.aspx?menuIndex=3&amp;refID=7065150&amp;Result=3","7065150")</f>
        <v>0</v>
      </c>
      <c r="B667" t="s">
        <v>225</v>
      </c>
      <c r="C667" t="s">
        <v>4184</v>
      </c>
      <c r="D667" t="s">
        <v>18784</v>
      </c>
      <c r="E667" t="s">
        <v>19527</v>
      </c>
      <c r="F667" t="s">
        <v>32664</v>
      </c>
      <c r="G667" t="s">
        <v>32674</v>
      </c>
      <c r="H667" t="s">
        <v>12635</v>
      </c>
      <c r="I667" t="s">
        <v>4439</v>
      </c>
      <c r="J667" t="s">
        <v>33356</v>
      </c>
      <c r="K667" t="s">
        <v>42281</v>
      </c>
      <c r="M667" t="s">
        <v>42789</v>
      </c>
      <c r="N667" t="s">
        <v>46569</v>
      </c>
      <c r="O667" t="s">
        <v>46570</v>
      </c>
      <c r="P667">
        <v>0</v>
      </c>
      <c r="Q667">
        <v>0</v>
      </c>
      <c r="R667" t="s">
        <v>46571</v>
      </c>
      <c r="S667" t="s">
        <v>46687</v>
      </c>
      <c r="T667" t="s">
        <v>48225</v>
      </c>
      <c r="U667" t="s">
        <v>49379</v>
      </c>
      <c r="W667" t="s">
        <v>42789</v>
      </c>
      <c r="X667" t="s">
        <v>46572</v>
      </c>
    </row>
    <row r="668" spans="1:24">
      <c r="A668">
        <f>HYPERLINK("https://www.philgeps.gov.ph/GEPSNONPILOT/Tender/SplashBidNoticeAbstractUI.aspx?menuIndex=3&amp;refID=7065143&amp;Result=3","7065143")</f>
        <v>0</v>
      </c>
      <c r="B668" t="s">
        <v>327</v>
      </c>
      <c r="C668" t="s">
        <v>4185</v>
      </c>
      <c r="D668" t="s">
        <v>18826</v>
      </c>
      <c r="E668" t="s">
        <v>19528</v>
      </c>
      <c r="F668" t="s">
        <v>32664</v>
      </c>
      <c r="G668" t="s">
        <v>32671</v>
      </c>
      <c r="H668" t="s">
        <v>32683</v>
      </c>
      <c r="I668" t="s">
        <v>10627</v>
      </c>
      <c r="J668" t="s">
        <v>33357</v>
      </c>
      <c r="K668" t="s">
        <v>42330</v>
      </c>
      <c r="M668" t="s">
        <v>42895</v>
      </c>
      <c r="N668" t="s">
        <v>46569</v>
      </c>
      <c r="O668" t="s">
        <v>46570</v>
      </c>
      <c r="P668">
        <v>0</v>
      </c>
      <c r="Q668">
        <v>1</v>
      </c>
      <c r="R668" t="s">
        <v>46571</v>
      </c>
      <c r="S668" t="s">
        <v>46687</v>
      </c>
      <c r="T668" t="s">
        <v>48286</v>
      </c>
      <c r="U668" t="s">
        <v>49373</v>
      </c>
      <c r="W668" t="s">
        <v>42895</v>
      </c>
      <c r="X668" t="s">
        <v>46572</v>
      </c>
    </row>
    <row r="669" spans="1:24">
      <c r="A669">
        <f>HYPERLINK("https://www.philgeps.gov.ph/GEPSNONPILOT/Tender/SplashBidNoticeAbstractUI.aspx?menuIndex=3&amp;refID=7065142&amp;Result=3","7065142")</f>
        <v>0</v>
      </c>
      <c r="B669" t="s">
        <v>102</v>
      </c>
      <c r="C669" t="s">
        <v>4186</v>
      </c>
      <c r="D669" t="s">
        <v>18788</v>
      </c>
      <c r="E669" t="s">
        <v>19529</v>
      </c>
      <c r="F669" t="s">
        <v>32664</v>
      </c>
      <c r="G669" t="s">
        <v>32671</v>
      </c>
      <c r="H669" t="s">
        <v>12635</v>
      </c>
      <c r="I669" t="s">
        <v>5501</v>
      </c>
      <c r="J669" t="s">
        <v>33358</v>
      </c>
      <c r="K669" t="s">
        <v>42284</v>
      </c>
      <c r="M669" t="s">
        <v>42666</v>
      </c>
      <c r="N669" t="s">
        <v>46569</v>
      </c>
      <c r="O669" t="s">
        <v>46570</v>
      </c>
      <c r="P669">
        <v>0</v>
      </c>
      <c r="Q669">
        <v>1</v>
      </c>
      <c r="R669" t="s">
        <v>46571</v>
      </c>
      <c r="S669" t="s">
        <v>46687</v>
      </c>
      <c r="T669" t="s">
        <v>48221</v>
      </c>
      <c r="U669" t="s">
        <v>49380</v>
      </c>
      <c r="W669" t="s">
        <v>42666</v>
      </c>
      <c r="X669" t="s">
        <v>46572</v>
      </c>
    </row>
    <row r="670" spans="1:24">
      <c r="A670">
        <f>HYPERLINK("https://www.philgeps.gov.ph/GEPSNONPILOT/Tender/SplashBidNoticeAbstractUI.aspx?menuIndex=3&amp;refID=7065111&amp;Result=3","7065111")</f>
        <v>0</v>
      </c>
      <c r="B670" t="s">
        <v>102</v>
      </c>
      <c r="C670" t="s">
        <v>4187</v>
      </c>
      <c r="D670" t="s">
        <v>18788</v>
      </c>
      <c r="E670" t="s">
        <v>19530</v>
      </c>
      <c r="F670" t="s">
        <v>32664</v>
      </c>
      <c r="G670" t="s">
        <v>32671</v>
      </c>
      <c r="H670" t="s">
        <v>12635</v>
      </c>
      <c r="I670" t="s">
        <v>6223</v>
      </c>
      <c r="J670" t="s">
        <v>33359</v>
      </c>
      <c r="K670" t="s">
        <v>42284</v>
      </c>
      <c r="M670" t="s">
        <v>42666</v>
      </c>
      <c r="N670" t="s">
        <v>46569</v>
      </c>
      <c r="O670" t="s">
        <v>46570</v>
      </c>
      <c r="P670">
        <v>0</v>
      </c>
      <c r="Q670">
        <v>0</v>
      </c>
      <c r="R670" t="s">
        <v>46571</v>
      </c>
      <c r="S670" t="s">
        <v>46687</v>
      </c>
      <c r="T670" t="s">
        <v>48221</v>
      </c>
      <c r="U670" t="s">
        <v>49381</v>
      </c>
      <c r="W670" t="s">
        <v>42666</v>
      </c>
      <c r="X670" t="s">
        <v>46572</v>
      </c>
    </row>
    <row r="671" spans="1:24">
      <c r="A671">
        <f>HYPERLINK("https://www.philgeps.gov.ph/GEPSNONPILOT/Tender/SplashBidNoticeAbstractUI.aspx?menuIndex=3&amp;refID=7065137&amp;Result=3","7065137")</f>
        <v>0</v>
      </c>
      <c r="B671" t="s">
        <v>183</v>
      </c>
      <c r="C671" t="s">
        <v>4188</v>
      </c>
      <c r="D671" t="s">
        <v>18806</v>
      </c>
      <c r="E671" t="s">
        <v>19531</v>
      </c>
      <c r="F671" t="s">
        <v>32664</v>
      </c>
      <c r="G671" t="s">
        <v>32671</v>
      </c>
      <c r="H671" t="s">
        <v>12635</v>
      </c>
      <c r="I671" t="s">
        <v>11464</v>
      </c>
      <c r="J671" t="s">
        <v>33360</v>
      </c>
      <c r="K671" t="s">
        <v>42283</v>
      </c>
      <c r="M671" t="s">
        <v>42747</v>
      </c>
      <c r="N671" t="s">
        <v>46569</v>
      </c>
      <c r="O671" t="s">
        <v>46570</v>
      </c>
      <c r="P671">
        <v>0</v>
      </c>
      <c r="Q671">
        <v>1</v>
      </c>
      <c r="R671" t="s">
        <v>46571</v>
      </c>
      <c r="S671" t="s">
        <v>46687</v>
      </c>
      <c r="T671" t="s">
        <v>48293</v>
      </c>
      <c r="U671" t="s">
        <v>49382</v>
      </c>
      <c r="W671" t="s">
        <v>42747</v>
      </c>
      <c r="X671" t="s">
        <v>46572</v>
      </c>
    </row>
    <row r="672" spans="1:24">
      <c r="A672">
        <f>HYPERLINK("https://www.philgeps.gov.ph/GEPSNONPILOT/Tender/SplashBidNoticeAbstractUI.aspx?menuIndex=3&amp;refID=7065153&amp;Result=3","7065153")</f>
        <v>0</v>
      </c>
      <c r="B672" t="s">
        <v>190</v>
      </c>
      <c r="C672" t="s">
        <v>4189</v>
      </c>
      <c r="D672" t="s">
        <v>18807</v>
      </c>
      <c r="E672" t="s">
        <v>19532</v>
      </c>
      <c r="F672" t="s">
        <v>32664</v>
      </c>
      <c r="G672" t="s">
        <v>32672</v>
      </c>
      <c r="H672" t="s">
        <v>12635</v>
      </c>
      <c r="I672" t="s">
        <v>32719</v>
      </c>
      <c r="J672" t="s">
        <v>33361</v>
      </c>
      <c r="K672" t="s">
        <v>42281</v>
      </c>
      <c r="M672" t="s">
        <v>42754</v>
      </c>
      <c r="N672" t="s">
        <v>46569</v>
      </c>
      <c r="O672" t="s">
        <v>46570</v>
      </c>
      <c r="P672">
        <v>0</v>
      </c>
      <c r="Q672">
        <v>0</v>
      </c>
      <c r="R672" t="s">
        <v>46571</v>
      </c>
      <c r="S672" t="s">
        <v>46687</v>
      </c>
      <c r="T672" t="s">
        <v>48321</v>
      </c>
      <c r="U672" t="s">
        <v>49383</v>
      </c>
      <c r="W672" t="s">
        <v>42754</v>
      </c>
      <c r="X672" t="s">
        <v>46572</v>
      </c>
    </row>
    <row r="673" spans="1:24">
      <c r="A673">
        <f>HYPERLINK("https://www.philgeps.gov.ph/GEPSNONPILOT/Tender/SplashBidNoticeAbstractUI.aspx?menuIndex=3&amp;refID=7065136&amp;Result=3","7065136")</f>
        <v>0</v>
      </c>
      <c r="B673" t="s">
        <v>330</v>
      </c>
      <c r="C673" t="s">
        <v>4190</v>
      </c>
      <c r="D673" t="s">
        <v>18838</v>
      </c>
      <c r="E673" t="s">
        <v>19533</v>
      </c>
      <c r="F673" t="s">
        <v>32664</v>
      </c>
      <c r="G673" t="s">
        <v>32671</v>
      </c>
      <c r="H673" t="s">
        <v>12635</v>
      </c>
      <c r="I673" t="s">
        <v>5501</v>
      </c>
      <c r="J673" t="s">
        <v>33362</v>
      </c>
      <c r="K673" t="s">
        <v>42283</v>
      </c>
      <c r="M673" t="s">
        <v>42898</v>
      </c>
      <c r="N673" t="s">
        <v>46569</v>
      </c>
      <c r="O673" t="s">
        <v>46570</v>
      </c>
      <c r="P673">
        <v>0</v>
      </c>
      <c r="Q673">
        <v>3</v>
      </c>
      <c r="R673" t="s">
        <v>46571</v>
      </c>
      <c r="S673" t="s">
        <v>46687</v>
      </c>
      <c r="T673" t="s">
        <v>48305</v>
      </c>
      <c r="U673" t="s">
        <v>49384</v>
      </c>
      <c r="V673" t="s">
        <v>61700</v>
      </c>
      <c r="W673" t="s">
        <v>42898</v>
      </c>
      <c r="X673" t="s">
        <v>46572</v>
      </c>
    </row>
    <row r="674" spans="1:24">
      <c r="A674">
        <f>HYPERLINK("https://www.philgeps.gov.ph/GEPSNONPILOT/Tender/SplashBidNoticeAbstractUI.aspx?menuIndex=3&amp;refID=7065149&amp;Result=3","7065149")</f>
        <v>0</v>
      </c>
      <c r="B674" t="s">
        <v>331</v>
      </c>
      <c r="C674" t="s">
        <v>4191</v>
      </c>
      <c r="D674" t="s">
        <v>18807</v>
      </c>
      <c r="E674" t="s">
        <v>19534</v>
      </c>
      <c r="F674" t="s">
        <v>32664</v>
      </c>
      <c r="G674" t="s">
        <v>32671</v>
      </c>
      <c r="H674" t="s">
        <v>12635</v>
      </c>
      <c r="I674" t="s">
        <v>9486</v>
      </c>
      <c r="J674" t="s">
        <v>33363</v>
      </c>
      <c r="K674" t="s">
        <v>42289</v>
      </c>
      <c r="L674" t="s">
        <v>331</v>
      </c>
      <c r="M674" t="s">
        <v>42899</v>
      </c>
      <c r="N674" t="s">
        <v>46569</v>
      </c>
      <c r="O674" t="s">
        <v>46570</v>
      </c>
      <c r="P674">
        <v>0</v>
      </c>
      <c r="Q674">
        <v>1</v>
      </c>
      <c r="R674" t="s">
        <v>46571</v>
      </c>
      <c r="S674" t="s">
        <v>46687</v>
      </c>
      <c r="T674" t="s">
        <v>48331</v>
      </c>
      <c r="U674" t="s">
        <v>49385</v>
      </c>
      <c r="V674" t="s">
        <v>61701</v>
      </c>
      <c r="W674" t="s">
        <v>42899</v>
      </c>
      <c r="X674" t="s">
        <v>46572</v>
      </c>
    </row>
    <row r="675" spans="1:24">
      <c r="A675">
        <f>HYPERLINK("https://www.philgeps.gov.ph/GEPSNONPILOT/Tender/SplashBidNoticeAbstractUI.aspx?menuIndex=3&amp;refID=7065138&amp;Result=3","7065138")</f>
        <v>0</v>
      </c>
      <c r="B675" t="s">
        <v>185</v>
      </c>
      <c r="C675" t="s">
        <v>4192</v>
      </c>
      <c r="D675" t="s">
        <v>18805</v>
      </c>
      <c r="E675" t="s">
        <v>19535</v>
      </c>
      <c r="F675" t="s">
        <v>32664</v>
      </c>
      <c r="G675" t="s">
        <v>32671</v>
      </c>
      <c r="H675" t="s">
        <v>12635</v>
      </c>
      <c r="I675" t="s">
        <v>6168</v>
      </c>
      <c r="J675" t="s">
        <v>33364</v>
      </c>
      <c r="K675" t="s">
        <v>42283</v>
      </c>
      <c r="M675" t="s">
        <v>42749</v>
      </c>
      <c r="N675" t="s">
        <v>46569</v>
      </c>
      <c r="O675" t="s">
        <v>46570</v>
      </c>
      <c r="P675">
        <v>0</v>
      </c>
      <c r="Q675">
        <v>0</v>
      </c>
      <c r="R675" t="s">
        <v>46571</v>
      </c>
      <c r="S675" t="s">
        <v>46687</v>
      </c>
      <c r="T675" t="s">
        <v>48219</v>
      </c>
      <c r="U675" t="s">
        <v>49386</v>
      </c>
      <c r="W675" t="s">
        <v>42749</v>
      </c>
      <c r="X675" t="s">
        <v>46572</v>
      </c>
    </row>
    <row r="676" spans="1:24">
      <c r="A676">
        <f>HYPERLINK("https://www.philgeps.gov.ph/GEPSNONPILOT/Tender/SplashBidNoticeAbstractUI.aspx?menuIndex=3&amp;refID=7065132&amp;Result=3","7065132")</f>
        <v>0</v>
      </c>
      <c r="B676" t="s">
        <v>30</v>
      </c>
      <c r="C676" t="s">
        <v>4193</v>
      </c>
      <c r="D676" t="s">
        <v>18786</v>
      </c>
      <c r="E676" t="s">
        <v>19536</v>
      </c>
      <c r="F676" t="s">
        <v>32664</v>
      </c>
      <c r="G676" t="s">
        <v>32674</v>
      </c>
      <c r="H676" t="s">
        <v>12635</v>
      </c>
      <c r="I676" t="s">
        <v>32685</v>
      </c>
      <c r="J676" t="s">
        <v>33365</v>
      </c>
      <c r="K676" t="s">
        <v>42283</v>
      </c>
      <c r="M676" t="s">
        <v>42592</v>
      </c>
      <c r="N676" t="s">
        <v>46569</v>
      </c>
      <c r="O676" t="s">
        <v>46570</v>
      </c>
      <c r="P676">
        <v>0</v>
      </c>
      <c r="Q676">
        <v>0</v>
      </c>
      <c r="R676" t="s">
        <v>46571</v>
      </c>
      <c r="S676" t="s">
        <v>46687</v>
      </c>
      <c r="T676" t="s">
        <v>48217</v>
      </c>
      <c r="U676" t="s">
        <v>49387</v>
      </c>
      <c r="W676" t="s">
        <v>42592</v>
      </c>
      <c r="X676" t="s">
        <v>46572</v>
      </c>
    </row>
    <row r="677" spans="1:24">
      <c r="A677">
        <f>HYPERLINK("https://www.philgeps.gov.ph/GEPSNONPILOT/Tender/SplashBidNoticeAbstractUI.aspx?menuIndex=3&amp;refID=7065115&amp;Result=3","7065115")</f>
        <v>0</v>
      </c>
      <c r="B677" t="s">
        <v>332</v>
      </c>
      <c r="C677" t="s">
        <v>4194</v>
      </c>
      <c r="D677" t="s">
        <v>18818</v>
      </c>
      <c r="E677" t="s">
        <v>19537</v>
      </c>
      <c r="F677" t="s">
        <v>32664</v>
      </c>
      <c r="G677" t="s">
        <v>32671</v>
      </c>
      <c r="H677" t="s">
        <v>12635</v>
      </c>
      <c r="I677" t="s">
        <v>6118</v>
      </c>
      <c r="J677" t="s">
        <v>33366</v>
      </c>
      <c r="K677" t="s">
        <v>42295</v>
      </c>
      <c r="M677" t="s">
        <v>42900</v>
      </c>
      <c r="N677" t="s">
        <v>46569</v>
      </c>
      <c r="O677" t="s">
        <v>46570</v>
      </c>
      <c r="P677">
        <v>0</v>
      </c>
      <c r="Q677">
        <v>0</v>
      </c>
      <c r="R677" t="s">
        <v>46571</v>
      </c>
      <c r="S677" t="s">
        <v>46687</v>
      </c>
      <c r="T677" t="s">
        <v>48244</v>
      </c>
      <c r="U677" t="s">
        <v>49388</v>
      </c>
      <c r="V677" t="s">
        <v>61702</v>
      </c>
      <c r="W677" t="s">
        <v>42900</v>
      </c>
      <c r="X677" t="s">
        <v>46572</v>
      </c>
    </row>
    <row r="678" spans="1:24">
      <c r="A678">
        <f>HYPERLINK("https://www.philgeps.gov.ph/GEPSNONPILOT/Tender/SplashBidNoticeAbstractUI.aspx?menuIndex=3&amp;refID=7065141&amp;Result=3","7065141")</f>
        <v>0</v>
      </c>
      <c r="B678" t="s">
        <v>306</v>
      </c>
      <c r="C678" t="s">
        <v>4195</v>
      </c>
      <c r="D678" t="s">
        <v>18829</v>
      </c>
      <c r="E678" t="s">
        <v>19538</v>
      </c>
      <c r="F678" t="s">
        <v>32664</v>
      </c>
      <c r="G678" t="s">
        <v>32672</v>
      </c>
      <c r="H678" t="s">
        <v>32683</v>
      </c>
      <c r="I678" t="s">
        <v>10627</v>
      </c>
      <c r="J678" t="s">
        <v>32974</v>
      </c>
      <c r="K678" t="s">
        <v>42338</v>
      </c>
      <c r="M678" t="s">
        <v>42873</v>
      </c>
      <c r="N678" t="s">
        <v>46569</v>
      </c>
      <c r="O678" t="s">
        <v>46570</v>
      </c>
      <c r="P678">
        <v>0</v>
      </c>
      <c r="Q678">
        <v>0</v>
      </c>
      <c r="R678" t="s">
        <v>46571</v>
      </c>
      <c r="S678" t="s">
        <v>46687</v>
      </c>
      <c r="T678" t="s">
        <v>48273</v>
      </c>
      <c r="U678" t="s">
        <v>49389</v>
      </c>
      <c r="V678" t="s">
        <v>61692</v>
      </c>
      <c r="W678" t="s">
        <v>42873</v>
      </c>
      <c r="X678" t="s">
        <v>46572</v>
      </c>
    </row>
    <row r="679" spans="1:24">
      <c r="A679">
        <f>HYPERLINK("https://www.philgeps.gov.ph/GEPSNONPILOT/Tender/SplashBidNoticeAbstractUI.aspx?menuIndex=3&amp;refID=7065139&amp;Result=3","7065139")</f>
        <v>0</v>
      </c>
      <c r="B679" t="s">
        <v>333</v>
      </c>
      <c r="C679" t="s">
        <v>4196</v>
      </c>
      <c r="D679" t="s">
        <v>18849</v>
      </c>
      <c r="E679" t="s">
        <v>19539</v>
      </c>
      <c r="F679" t="s">
        <v>32664</v>
      </c>
      <c r="G679" t="s">
        <v>32671</v>
      </c>
      <c r="H679" t="s">
        <v>12635</v>
      </c>
      <c r="I679" t="s">
        <v>32694</v>
      </c>
      <c r="J679" t="s">
        <v>33367</v>
      </c>
      <c r="K679" t="s">
        <v>42289</v>
      </c>
      <c r="M679" t="s">
        <v>42901</v>
      </c>
      <c r="N679" t="s">
        <v>46569</v>
      </c>
      <c r="O679" t="s">
        <v>46570</v>
      </c>
      <c r="P679">
        <v>0</v>
      </c>
      <c r="Q679">
        <v>0</v>
      </c>
      <c r="R679" t="s">
        <v>46571</v>
      </c>
      <c r="S679" t="s">
        <v>46687</v>
      </c>
      <c r="T679" t="s">
        <v>48245</v>
      </c>
      <c r="U679" t="s">
        <v>49390</v>
      </c>
      <c r="W679" t="s">
        <v>42901</v>
      </c>
      <c r="X679" t="s">
        <v>46572</v>
      </c>
    </row>
    <row r="680" spans="1:24">
      <c r="A680">
        <f>HYPERLINK("https://www.philgeps.gov.ph/GEPSNONPILOT/Tender/SplashBidNoticeAbstractUI.aspx?menuIndex=3&amp;refID=7065131&amp;Result=3","7065131")</f>
        <v>0</v>
      </c>
      <c r="B680" t="s">
        <v>334</v>
      </c>
      <c r="C680" t="s">
        <v>4197</v>
      </c>
      <c r="D680" t="s">
        <v>18844</v>
      </c>
      <c r="E680" t="s">
        <v>19540</v>
      </c>
      <c r="F680" t="s">
        <v>32664</v>
      </c>
      <c r="G680" t="s">
        <v>32675</v>
      </c>
      <c r="H680" t="s">
        <v>12635</v>
      </c>
      <c r="I680" t="s">
        <v>8730</v>
      </c>
      <c r="J680" t="s">
        <v>33368</v>
      </c>
      <c r="K680" t="s">
        <v>42283</v>
      </c>
      <c r="M680" t="s">
        <v>42902</v>
      </c>
      <c r="N680" t="s">
        <v>46569</v>
      </c>
      <c r="O680" t="s">
        <v>46570</v>
      </c>
      <c r="P680">
        <v>0</v>
      </c>
      <c r="Q680">
        <v>0</v>
      </c>
      <c r="R680" t="s">
        <v>46571</v>
      </c>
      <c r="S680" t="s">
        <v>46687</v>
      </c>
      <c r="T680" t="s">
        <v>48217</v>
      </c>
      <c r="U680" t="s">
        <v>49391</v>
      </c>
      <c r="W680" t="s">
        <v>42902</v>
      </c>
      <c r="X680" t="s">
        <v>46572</v>
      </c>
    </row>
    <row r="681" spans="1:24">
      <c r="A681">
        <f>HYPERLINK("https://www.philgeps.gov.ph/GEPSNONPILOT/Tender/SplashBidNoticeAbstractUI.aspx?menuIndex=3&amp;refID=7065186&amp;Result=3","7065186")</f>
        <v>0</v>
      </c>
      <c r="B681" t="s">
        <v>335</v>
      </c>
      <c r="C681" t="s">
        <v>4198</v>
      </c>
      <c r="D681" t="s">
        <v>18784</v>
      </c>
      <c r="E681" t="s">
        <v>19541</v>
      </c>
      <c r="F681" t="s">
        <v>32664</v>
      </c>
      <c r="G681" t="s">
        <v>32671</v>
      </c>
      <c r="H681" t="s">
        <v>12635</v>
      </c>
      <c r="I681" t="s">
        <v>32704</v>
      </c>
      <c r="J681" t="s">
        <v>33369</v>
      </c>
      <c r="K681" t="s">
        <v>42281</v>
      </c>
      <c r="M681" t="s">
        <v>42903</v>
      </c>
      <c r="N681" t="s">
        <v>46569</v>
      </c>
      <c r="O681" t="s">
        <v>46570</v>
      </c>
      <c r="P681">
        <v>0</v>
      </c>
      <c r="Q681">
        <v>10</v>
      </c>
      <c r="R681" t="s">
        <v>46571</v>
      </c>
      <c r="S681" t="s">
        <v>46687</v>
      </c>
      <c r="T681" t="s">
        <v>48249</v>
      </c>
      <c r="U681" t="s">
        <v>49392</v>
      </c>
      <c r="W681" t="s">
        <v>42903</v>
      </c>
      <c r="X681" t="s">
        <v>46572</v>
      </c>
    </row>
    <row r="682" spans="1:24">
      <c r="A682">
        <f>HYPERLINK("https://www.philgeps.gov.ph/GEPSNONPILOT/Tender/SplashBidNoticeAbstractUI.aspx?menuIndex=3&amp;refID=7065135&amp;Result=3","7065135")</f>
        <v>0</v>
      </c>
      <c r="B682" t="s">
        <v>191</v>
      </c>
      <c r="C682" t="s">
        <v>4199</v>
      </c>
      <c r="D682" t="s">
        <v>18827</v>
      </c>
      <c r="E682" t="s">
        <v>19542</v>
      </c>
      <c r="F682" t="s">
        <v>32664</v>
      </c>
      <c r="G682" t="s">
        <v>32671</v>
      </c>
      <c r="H682" t="s">
        <v>32683</v>
      </c>
      <c r="I682" t="s">
        <v>10627</v>
      </c>
      <c r="J682" t="s">
        <v>33223</v>
      </c>
      <c r="K682" t="s">
        <v>42289</v>
      </c>
      <c r="M682" t="s">
        <v>42755</v>
      </c>
      <c r="N682" t="s">
        <v>46569</v>
      </c>
      <c r="O682" t="s">
        <v>46570</v>
      </c>
      <c r="P682">
        <v>0</v>
      </c>
      <c r="Q682">
        <v>0</v>
      </c>
      <c r="R682" t="s">
        <v>46571</v>
      </c>
      <c r="S682" t="s">
        <v>46687</v>
      </c>
      <c r="T682" t="s">
        <v>48256</v>
      </c>
      <c r="U682" t="s">
        <v>49393</v>
      </c>
      <c r="W682" t="s">
        <v>42755</v>
      </c>
      <c r="X682" t="s">
        <v>46572</v>
      </c>
    </row>
    <row r="683" spans="1:24">
      <c r="A683">
        <f>HYPERLINK("https://www.philgeps.gov.ph/GEPSNONPILOT/Tender/SplashBidNoticeAbstractUI.aspx?menuIndex=3&amp;refID=7065180&amp;Result=3","7065180")</f>
        <v>0</v>
      </c>
      <c r="B683" t="s">
        <v>336</v>
      </c>
      <c r="C683" t="s">
        <v>4200</v>
      </c>
      <c r="D683" t="s">
        <v>18808</v>
      </c>
      <c r="E683" t="s">
        <v>19543</v>
      </c>
      <c r="F683" t="s">
        <v>32664</v>
      </c>
      <c r="G683" t="s">
        <v>32674</v>
      </c>
      <c r="H683" t="s">
        <v>12635</v>
      </c>
      <c r="I683" t="s">
        <v>6628</v>
      </c>
      <c r="J683" t="s">
        <v>33215</v>
      </c>
      <c r="K683" t="s">
        <v>42283</v>
      </c>
      <c r="M683" t="s">
        <v>42904</v>
      </c>
      <c r="N683" t="s">
        <v>46569</v>
      </c>
      <c r="O683" t="s">
        <v>46570</v>
      </c>
      <c r="P683">
        <v>0</v>
      </c>
      <c r="Q683">
        <v>2</v>
      </c>
      <c r="R683" t="s">
        <v>46571</v>
      </c>
      <c r="S683" t="s">
        <v>46687</v>
      </c>
      <c r="T683" t="s">
        <v>48218</v>
      </c>
      <c r="U683" t="s">
        <v>49394</v>
      </c>
      <c r="W683" t="s">
        <v>42904</v>
      </c>
      <c r="X683" t="s">
        <v>46572</v>
      </c>
    </row>
    <row r="684" spans="1:24">
      <c r="A684">
        <f>HYPERLINK("https://www.philgeps.gov.ph/GEPSNONPILOT/Tender/SplashBidNoticeAbstractUI.aspx?menuIndex=3&amp;refID=7065134&amp;Result=3","7065134")</f>
        <v>0</v>
      </c>
      <c r="B684" t="s">
        <v>337</v>
      </c>
      <c r="C684" t="s">
        <v>4201</v>
      </c>
      <c r="D684" t="s">
        <v>18842</v>
      </c>
      <c r="E684" t="s">
        <v>19544</v>
      </c>
      <c r="F684" t="s">
        <v>32664</v>
      </c>
      <c r="G684" t="s">
        <v>32671</v>
      </c>
      <c r="H684" t="s">
        <v>32683</v>
      </c>
      <c r="I684" t="s">
        <v>10627</v>
      </c>
      <c r="J684" t="s">
        <v>33038</v>
      </c>
      <c r="K684" t="s">
        <v>42311</v>
      </c>
      <c r="M684" t="s">
        <v>42905</v>
      </c>
      <c r="N684" t="s">
        <v>46569</v>
      </c>
      <c r="O684" t="s">
        <v>46570</v>
      </c>
      <c r="P684">
        <v>0</v>
      </c>
      <c r="Q684">
        <v>0</v>
      </c>
      <c r="R684" t="s">
        <v>46571</v>
      </c>
      <c r="S684" t="s">
        <v>46687</v>
      </c>
      <c r="T684" t="s">
        <v>48256</v>
      </c>
      <c r="U684" t="s">
        <v>49395</v>
      </c>
      <c r="W684" t="s">
        <v>42905</v>
      </c>
      <c r="X684" t="s">
        <v>46572</v>
      </c>
    </row>
    <row r="685" spans="1:24">
      <c r="A685">
        <f>HYPERLINK("https://www.philgeps.gov.ph/GEPSNONPILOT/Tender/SplashBidNoticeAbstractUI.aspx?menuIndex=3&amp;refID=7064975&amp;Result=3","7064975")</f>
        <v>0</v>
      </c>
      <c r="B685" t="s">
        <v>203</v>
      </c>
      <c r="C685" t="s">
        <v>4202</v>
      </c>
      <c r="D685" t="s">
        <v>18842</v>
      </c>
      <c r="E685" t="s">
        <v>19545</v>
      </c>
      <c r="F685" t="s">
        <v>32664</v>
      </c>
      <c r="G685" t="s">
        <v>32671</v>
      </c>
      <c r="H685" t="s">
        <v>32682</v>
      </c>
      <c r="I685" t="s">
        <v>32689</v>
      </c>
      <c r="J685" t="s">
        <v>33370</v>
      </c>
      <c r="K685" t="s">
        <v>42289</v>
      </c>
      <c r="M685" t="s">
        <v>42767</v>
      </c>
      <c r="N685" t="s">
        <v>46569</v>
      </c>
      <c r="O685" t="s">
        <v>46570</v>
      </c>
      <c r="P685">
        <v>0</v>
      </c>
      <c r="Q685">
        <v>0</v>
      </c>
      <c r="R685" t="s">
        <v>46571</v>
      </c>
      <c r="S685" t="s">
        <v>46687</v>
      </c>
      <c r="T685" t="s">
        <v>48332</v>
      </c>
      <c r="U685" t="s">
        <v>49396</v>
      </c>
      <c r="V685" t="s">
        <v>50334</v>
      </c>
      <c r="W685" t="s">
        <v>42767</v>
      </c>
      <c r="X685" t="s">
        <v>46572</v>
      </c>
    </row>
    <row r="686" spans="1:24">
      <c r="A686">
        <f>HYPERLINK("https://www.philgeps.gov.ph/GEPSNONPILOT/Tender/SplashBidNoticeAbstractUI.aspx?menuIndex=3&amp;refID=7065179&amp;Result=3","7065179")</f>
        <v>0</v>
      </c>
      <c r="B686" t="s">
        <v>338</v>
      </c>
      <c r="C686" t="s">
        <v>4203</v>
      </c>
      <c r="E686" t="s">
        <v>19546</v>
      </c>
      <c r="F686" t="s">
        <v>32664</v>
      </c>
      <c r="G686" t="s">
        <v>32671</v>
      </c>
      <c r="H686" t="s">
        <v>12635</v>
      </c>
      <c r="I686" t="s">
        <v>32735</v>
      </c>
      <c r="J686" t="s">
        <v>33371</v>
      </c>
      <c r="K686" t="s">
        <v>42281</v>
      </c>
      <c r="M686" t="s">
        <v>42906</v>
      </c>
      <c r="N686" t="s">
        <v>46569</v>
      </c>
      <c r="O686" t="s">
        <v>46570</v>
      </c>
      <c r="P686">
        <v>0</v>
      </c>
      <c r="Q686">
        <v>1</v>
      </c>
      <c r="R686" t="s">
        <v>46571</v>
      </c>
      <c r="S686" t="s">
        <v>46687</v>
      </c>
      <c r="T686" t="s">
        <v>48258</v>
      </c>
      <c r="U686" t="s">
        <v>49397</v>
      </c>
      <c r="W686" t="s">
        <v>42906</v>
      </c>
      <c r="X686" t="s">
        <v>46572</v>
      </c>
    </row>
    <row r="687" spans="1:24">
      <c r="A687">
        <f>HYPERLINK("https://www.philgeps.gov.ph/GEPSNONPILOT/Tender/SplashBidNoticeAbstractUI.aspx?menuIndex=3&amp;refID=7065177&amp;Result=3","7065177")</f>
        <v>0</v>
      </c>
      <c r="B687" t="s">
        <v>292</v>
      </c>
      <c r="C687" t="s">
        <v>4204</v>
      </c>
      <c r="D687" t="s">
        <v>18801</v>
      </c>
      <c r="E687" t="s">
        <v>19547</v>
      </c>
      <c r="F687" t="s">
        <v>32665</v>
      </c>
      <c r="G687" t="s">
        <v>32672</v>
      </c>
      <c r="H687" t="s">
        <v>12635</v>
      </c>
      <c r="I687" t="s">
        <v>10627</v>
      </c>
      <c r="J687" t="s">
        <v>33128</v>
      </c>
      <c r="K687" t="s">
        <v>42281</v>
      </c>
      <c r="L687" t="s">
        <v>292</v>
      </c>
      <c r="M687" t="s">
        <v>42859</v>
      </c>
      <c r="N687" t="s">
        <v>46569</v>
      </c>
      <c r="O687" t="s">
        <v>46570</v>
      </c>
      <c r="P687">
        <v>0</v>
      </c>
      <c r="Q687">
        <v>0</v>
      </c>
      <c r="R687" t="s">
        <v>46571</v>
      </c>
      <c r="S687" t="s">
        <v>46687</v>
      </c>
      <c r="T687" t="s">
        <v>48333</v>
      </c>
      <c r="U687" t="s">
        <v>49398</v>
      </c>
      <c r="W687" t="s">
        <v>42859</v>
      </c>
      <c r="X687" t="s">
        <v>46572</v>
      </c>
    </row>
    <row r="688" spans="1:24">
      <c r="A688">
        <f>HYPERLINK("https://www.philgeps.gov.ph/GEPSNONPILOT/Tender/SplashBidNoticeAbstractUI.aspx?menuIndex=3&amp;refID=7065176&amp;Result=3","7065176")</f>
        <v>0</v>
      </c>
      <c r="B688" t="s">
        <v>301</v>
      </c>
      <c r="C688" t="s">
        <v>4205</v>
      </c>
      <c r="D688" t="s">
        <v>18830</v>
      </c>
      <c r="E688" t="s">
        <v>19548</v>
      </c>
      <c r="F688" t="s">
        <v>32664</v>
      </c>
      <c r="G688" t="s">
        <v>32671</v>
      </c>
      <c r="H688" t="s">
        <v>12635</v>
      </c>
      <c r="I688" t="s">
        <v>4205</v>
      </c>
      <c r="J688" t="s">
        <v>33372</v>
      </c>
      <c r="K688" t="s">
        <v>42284</v>
      </c>
      <c r="M688" t="s">
        <v>42868</v>
      </c>
      <c r="N688" t="s">
        <v>46569</v>
      </c>
      <c r="O688" t="s">
        <v>46570</v>
      </c>
      <c r="P688">
        <v>0</v>
      </c>
      <c r="Q688">
        <v>0</v>
      </c>
      <c r="R688" t="s">
        <v>46571</v>
      </c>
      <c r="S688" t="s">
        <v>46687</v>
      </c>
      <c r="T688" t="s">
        <v>48221</v>
      </c>
      <c r="U688" t="s">
        <v>49399</v>
      </c>
      <c r="W688" t="s">
        <v>42868</v>
      </c>
      <c r="X688" t="s">
        <v>46572</v>
      </c>
    </row>
    <row r="689" spans="1:24">
      <c r="A689">
        <f>HYPERLINK("https://www.philgeps.gov.ph/GEPSNONPILOT/Tender/SplashBidNoticeAbstractUI.aspx?menuIndex=3&amp;refID=7065175&amp;Result=3","7065175")</f>
        <v>0</v>
      </c>
      <c r="B689" t="s">
        <v>339</v>
      </c>
      <c r="C689" t="s">
        <v>4206</v>
      </c>
      <c r="D689" t="s">
        <v>18794</v>
      </c>
      <c r="E689" t="s">
        <v>19549</v>
      </c>
      <c r="F689" t="s">
        <v>32664</v>
      </c>
      <c r="G689" t="s">
        <v>32677</v>
      </c>
      <c r="H689" t="s">
        <v>12635</v>
      </c>
      <c r="I689" t="s">
        <v>32736</v>
      </c>
      <c r="J689" t="s">
        <v>32974</v>
      </c>
      <c r="K689" t="s">
        <v>42339</v>
      </c>
      <c r="M689" t="s">
        <v>42907</v>
      </c>
      <c r="N689" t="s">
        <v>46569</v>
      </c>
      <c r="O689" t="s">
        <v>46570</v>
      </c>
      <c r="P689">
        <v>0</v>
      </c>
      <c r="Q689">
        <v>0</v>
      </c>
      <c r="R689" t="s">
        <v>46571</v>
      </c>
      <c r="S689" t="s">
        <v>46687</v>
      </c>
      <c r="T689" t="s">
        <v>48221</v>
      </c>
      <c r="U689" t="s">
        <v>49400</v>
      </c>
      <c r="V689" t="s">
        <v>61703</v>
      </c>
      <c r="W689" t="s">
        <v>42907</v>
      </c>
      <c r="X689" t="s">
        <v>46572</v>
      </c>
    </row>
    <row r="690" spans="1:24">
      <c r="A690">
        <f>HYPERLINK("https://www.philgeps.gov.ph/GEPSNONPILOT/Tender/SplashBidNoticeAbstractUI.aspx?menuIndex=3&amp;refID=7065160&amp;Result=3","7065160")</f>
        <v>0</v>
      </c>
      <c r="B690" t="s">
        <v>107</v>
      </c>
      <c r="C690" t="s">
        <v>4207</v>
      </c>
      <c r="D690" t="s">
        <v>18804</v>
      </c>
      <c r="E690" t="s">
        <v>19550</v>
      </c>
      <c r="F690" t="s">
        <v>32664</v>
      </c>
      <c r="G690" t="s">
        <v>32671</v>
      </c>
      <c r="H690" t="s">
        <v>12635</v>
      </c>
      <c r="I690" t="s">
        <v>4333</v>
      </c>
      <c r="J690" t="s">
        <v>33373</v>
      </c>
      <c r="K690" t="s">
        <v>42289</v>
      </c>
      <c r="M690" t="s">
        <v>42671</v>
      </c>
      <c r="N690" t="s">
        <v>46569</v>
      </c>
      <c r="O690" t="s">
        <v>46570</v>
      </c>
      <c r="P690">
        <v>0</v>
      </c>
      <c r="Q690">
        <v>0</v>
      </c>
      <c r="R690" t="s">
        <v>46571</v>
      </c>
      <c r="S690" t="s">
        <v>46687</v>
      </c>
      <c r="T690" t="s">
        <v>48213</v>
      </c>
      <c r="U690" t="s">
        <v>49401</v>
      </c>
      <c r="W690" t="s">
        <v>42671</v>
      </c>
      <c r="X690" t="s">
        <v>46572</v>
      </c>
    </row>
    <row r="691" spans="1:24">
      <c r="A691">
        <f>HYPERLINK("https://www.philgeps.gov.ph/GEPSNONPILOT/Tender/SplashBidNoticeAbstractUI.aspx?menuIndex=3&amp;refID=7065172&amp;Result=3","7065172")</f>
        <v>0</v>
      </c>
      <c r="B691" t="s">
        <v>195</v>
      </c>
      <c r="C691" t="s">
        <v>4208</v>
      </c>
      <c r="D691" t="s">
        <v>18824</v>
      </c>
      <c r="E691" t="s">
        <v>19551</v>
      </c>
      <c r="F691" t="s">
        <v>32664</v>
      </c>
      <c r="G691" t="s">
        <v>32671</v>
      </c>
      <c r="H691" t="s">
        <v>12635</v>
      </c>
      <c r="I691" t="s">
        <v>32685</v>
      </c>
      <c r="J691" t="s">
        <v>33374</v>
      </c>
      <c r="K691" t="s">
        <v>42281</v>
      </c>
      <c r="M691" t="s">
        <v>42759</v>
      </c>
      <c r="N691" t="s">
        <v>46569</v>
      </c>
      <c r="O691" t="s">
        <v>46570</v>
      </c>
      <c r="P691">
        <v>0</v>
      </c>
      <c r="Q691">
        <v>0</v>
      </c>
      <c r="R691" t="s">
        <v>46571</v>
      </c>
      <c r="S691" t="s">
        <v>46687</v>
      </c>
      <c r="T691" t="s">
        <v>48244</v>
      </c>
      <c r="U691" t="s">
        <v>49135</v>
      </c>
      <c r="W691" t="s">
        <v>42759</v>
      </c>
      <c r="X691" t="s">
        <v>46572</v>
      </c>
    </row>
    <row r="692" spans="1:24">
      <c r="A692">
        <f>HYPERLINK("https://www.philgeps.gov.ph/GEPSNONPILOT/Tender/SplashBidNoticeAbstractUI.aspx?menuIndex=3&amp;refID=7065171&amp;Result=3","7065171")</f>
        <v>0</v>
      </c>
      <c r="B692" t="s">
        <v>230</v>
      </c>
      <c r="C692" t="s">
        <v>4209</v>
      </c>
      <c r="D692" t="s">
        <v>18827</v>
      </c>
      <c r="E692" t="s">
        <v>19552</v>
      </c>
      <c r="F692" t="s">
        <v>32664</v>
      </c>
      <c r="G692" t="s">
        <v>32674</v>
      </c>
      <c r="H692" t="s">
        <v>12635</v>
      </c>
      <c r="I692" t="s">
        <v>32711</v>
      </c>
      <c r="J692" t="s">
        <v>33375</v>
      </c>
      <c r="K692" t="s">
        <v>42283</v>
      </c>
      <c r="M692" t="s">
        <v>42794</v>
      </c>
      <c r="N692" t="s">
        <v>46569</v>
      </c>
      <c r="O692" t="s">
        <v>46570</v>
      </c>
      <c r="P692">
        <v>0</v>
      </c>
      <c r="Q692">
        <v>0</v>
      </c>
      <c r="R692" t="s">
        <v>46571</v>
      </c>
      <c r="S692" t="s">
        <v>46687</v>
      </c>
      <c r="T692" t="s">
        <v>48221</v>
      </c>
      <c r="U692" t="s">
        <v>49402</v>
      </c>
      <c r="W692" t="s">
        <v>42794</v>
      </c>
      <c r="X692" t="s">
        <v>46572</v>
      </c>
    </row>
    <row r="693" spans="1:24">
      <c r="A693">
        <f>HYPERLINK("https://www.philgeps.gov.ph/GEPSNONPILOT/Tender/SplashBidNoticeAbstractUI.aspx?menuIndex=3&amp;refID=7065166&amp;Result=3","7065166")</f>
        <v>0</v>
      </c>
      <c r="B693" t="s">
        <v>279</v>
      </c>
      <c r="C693" t="s">
        <v>4210</v>
      </c>
      <c r="D693" t="s">
        <v>18784</v>
      </c>
      <c r="E693" t="s">
        <v>19553</v>
      </c>
      <c r="F693" t="s">
        <v>32664</v>
      </c>
      <c r="G693" t="s">
        <v>32671</v>
      </c>
      <c r="H693" t="s">
        <v>12635</v>
      </c>
      <c r="I693" t="s">
        <v>32684</v>
      </c>
      <c r="J693" t="s">
        <v>33376</v>
      </c>
      <c r="K693" t="s">
        <v>42283</v>
      </c>
      <c r="M693" t="s">
        <v>42844</v>
      </c>
      <c r="N693" t="s">
        <v>46569</v>
      </c>
      <c r="O693" t="s">
        <v>46570</v>
      </c>
      <c r="P693">
        <v>0</v>
      </c>
      <c r="Q693">
        <v>5</v>
      </c>
      <c r="R693" t="s">
        <v>46571</v>
      </c>
      <c r="S693" t="s">
        <v>46687</v>
      </c>
      <c r="T693" t="s">
        <v>48246</v>
      </c>
      <c r="U693" t="s">
        <v>49275</v>
      </c>
      <c r="W693" t="s">
        <v>42844</v>
      </c>
      <c r="X693" t="s">
        <v>46572</v>
      </c>
    </row>
    <row r="694" spans="1:24">
      <c r="A694">
        <f>HYPERLINK("https://www.philgeps.gov.ph/GEPSNONPILOT/Tender/SplashBidNoticeAbstractUI.aspx?menuIndex=3&amp;refID=7065164&amp;Result=3","7065164")</f>
        <v>0</v>
      </c>
      <c r="B694" t="s">
        <v>340</v>
      </c>
      <c r="C694" t="s">
        <v>4211</v>
      </c>
      <c r="D694" t="s">
        <v>18826</v>
      </c>
      <c r="E694" t="s">
        <v>19554</v>
      </c>
      <c r="F694" t="s">
        <v>32664</v>
      </c>
      <c r="G694" t="s">
        <v>32671</v>
      </c>
      <c r="H694" t="s">
        <v>12635</v>
      </c>
      <c r="I694" t="s">
        <v>9486</v>
      </c>
      <c r="J694" t="s">
        <v>33377</v>
      </c>
      <c r="K694" t="s">
        <v>42297</v>
      </c>
      <c r="M694" t="s">
        <v>42908</v>
      </c>
      <c r="N694" t="s">
        <v>46569</v>
      </c>
      <c r="O694" t="s">
        <v>46570</v>
      </c>
      <c r="P694">
        <v>0</v>
      </c>
      <c r="Q694">
        <v>0</v>
      </c>
      <c r="R694" t="s">
        <v>46571</v>
      </c>
      <c r="S694" t="s">
        <v>46687</v>
      </c>
      <c r="T694" t="s">
        <v>48334</v>
      </c>
      <c r="U694" t="s">
        <v>49403</v>
      </c>
      <c r="W694" t="s">
        <v>42908</v>
      </c>
      <c r="X694" t="s">
        <v>46572</v>
      </c>
    </row>
    <row r="695" spans="1:24">
      <c r="A695">
        <f>HYPERLINK("https://www.philgeps.gov.ph/GEPSNONPILOT/Tender/SplashBidNoticeAbstractUI.aspx?menuIndex=3&amp;refID=7065163&amp;Result=3","7065163")</f>
        <v>0</v>
      </c>
      <c r="B695" t="s">
        <v>238</v>
      </c>
      <c r="C695" t="s">
        <v>4212</v>
      </c>
      <c r="D695" t="s">
        <v>18798</v>
      </c>
      <c r="E695" t="s">
        <v>19555</v>
      </c>
      <c r="F695" t="s">
        <v>32664</v>
      </c>
      <c r="G695" t="s">
        <v>32675</v>
      </c>
      <c r="H695" t="s">
        <v>12635</v>
      </c>
      <c r="I695" t="s">
        <v>8730</v>
      </c>
      <c r="J695" t="s">
        <v>32984</v>
      </c>
      <c r="K695" t="s">
        <v>42295</v>
      </c>
      <c r="M695" t="s">
        <v>42909</v>
      </c>
      <c r="N695" t="s">
        <v>46569</v>
      </c>
      <c r="O695" t="s">
        <v>46570</v>
      </c>
      <c r="P695">
        <v>0</v>
      </c>
      <c r="Q695">
        <v>1</v>
      </c>
      <c r="R695" t="s">
        <v>46571</v>
      </c>
      <c r="S695" t="s">
        <v>46687</v>
      </c>
      <c r="T695" t="s">
        <v>48219</v>
      </c>
      <c r="U695" t="s">
        <v>49404</v>
      </c>
      <c r="V695" t="s">
        <v>61704</v>
      </c>
      <c r="W695" t="s">
        <v>42909</v>
      </c>
      <c r="X695" t="s">
        <v>46572</v>
      </c>
    </row>
    <row r="696" spans="1:24">
      <c r="A696">
        <f>HYPERLINK("https://www.philgeps.gov.ph/GEPSNONPILOT/Tender/SplashBidNoticeAbstractUI.aspx?menuIndex=3&amp;refID=7065189&amp;Result=3","7065189")</f>
        <v>0</v>
      </c>
      <c r="B696" t="s">
        <v>341</v>
      </c>
      <c r="C696" t="s">
        <v>4213</v>
      </c>
      <c r="D696" t="s">
        <v>18841</v>
      </c>
      <c r="E696" t="s">
        <v>19556</v>
      </c>
      <c r="F696" t="s">
        <v>32664</v>
      </c>
      <c r="G696" t="s">
        <v>32674</v>
      </c>
      <c r="H696" t="s">
        <v>12635</v>
      </c>
      <c r="I696" t="s">
        <v>32708</v>
      </c>
      <c r="J696" t="s">
        <v>32865</v>
      </c>
      <c r="K696" t="s">
        <v>42283</v>
      </c>
      <c r="M696" t="s">
        <v>42910</v>
      </c>
      <c r="N696" t="s">
        <v>46569</v>
      </c>
      <c r="O696" t="s">
        <v>46570</v>
      </c>
      <c r="P696">
        <v>0</v>
      </c>
      <c r="Q696">
        <v>0</v>
      </c>
      <c r="R696" t="s">
        <v>46571</v>
      </c>
      <c r="S696" t="s">
        <v>46687</v>
      </c>
      <c r="T696" t="s">
        <v>48293</v>
      </c>
      <c r="U696" t="s">
        <v>49405</v>
      </c>
      <c r="V696" t="s">
        <v>61705</v>
      </c>
      <c r="W696" t="s">
        <v>42910</v>
      </c>
      <c r="X696" t="s">
        <v>46572</v>
      </c>
    </row>
    <row r="697" spans="1:24">
      <c r="A697">
        <f>HYPERLINK("https://www.philgeps.gov.ph/GEPSNONPILOT/Tender/SplashBidNoticeAbstractUI.aspx?menuIndex=3&amp;refID=7065210&amp;Result=3","7065210")</f>
        <v>0</v>
      </c>
      <c r="B697" t="s">
        <v>194</v>
      </c>
      <c r="C697" t="s">
        <v>4214</v>
      </c>
      <c r="D697" t="s">
        <v>18791</v>
      </c>
      <c r="E697" t="s">
        <v>19557</v>
      </c>
      <c r="F697" t="s">
        <v>32664</v>
      </c>
      <c r="G697" t="s">
        <v>32671</v>
      </c>
      <c r="H697" t="s">
        <v>12635</v>
      </c>
      <c r="I697" t="s">
        <v>4333</v>
      </c>
      <c r="J697" t="s">
        <v>33378</v>
      </c>
      <c r="K697" t="s">
        <v>42284</v>
      </c>
      <c r="M697" t="s">
        <v>42758</v>
      </c>
      <c r="N697" t="s">
        <v>46569</v>
      </c>
      <c r="O697" t="s">
        <v>46570</v>
      </c>
      <c r="P697">
        <v>0</v>
      </c>
      <c r="Q697">
        <v>0</v>
      </c>
      <c r="R697" t="s">
        <v>46571</v>
      </c>
      <c r="S697" t="s">
        <v>46687</v>
      </c>
      <c r="T697" t="s">
        <v>48296</v>
      </c>
      <c r="U697" t="s">
        <v>49406</v>
      </c>
      <c r="W697" t="s">
        <v>42758</v>
      </c>
      <c r="X697" t="s">
        <v>46572</v>
      </c>
    </row>
    <row r="698" spans="1:24">
      <c r="A698">
        <f>HYPERLINK("https://www.philgeps.gov.ph/GEPSNONPILOT/Tender/SplashBidNoticeAbstractUI.aspx?menuIndex=3&amp;refID=7065185&amp;Result=3","7065185")</f>
        <v>0</v>
      </c>
      <c r="B698" t="s">
        <v>342</v>
      </c>
      <c r="C698" t="s">
        <v>4215</v>
      </c>
      <c r="D698" t="s">
        <v>18782</v>
      </c>
      <c r="E698" t="s">
        <v>19558</v>
      </c>
      <c r="F698" t="s">
        <v>32665</v>
      </c>
      <c r="G698" t="s">
        <v>32671</v>
      </c>
      <c r="H698" t="s">
        <v>12635</v>
      </c>
      <c r="I698" t="s">
        <v>6223</v>
      </c>
      <c r="J698" t="s">
        <v>33189</v>
      </c>
      <c r="K698" t="s">
        <v>42281</v>
      </c>
      <c r="M698" t="s">
        <v>42911</v>
      </c>
      <c r="N698" t="s">
        <v>46569</v>
      </c>
      <c r="O698" t="s">
        <v>46570</v>
      </c>
      <c r="P698">
        <v>0</v>
      </c>
      <c r="Q698">
        <v>0</v>
      </c>
      <c r="R698" t="s">
        <v>46571</v>
      </c>
      <c r="S698" t="s">
        <v>46687</v>
      </c>
      <c r="T698" t="s">
        <v>48245</v>
      </c>
      <c r="U698" t="s">
        <v>49407</v>
      </c>
      <c r="V698" t="s">
        <v>61706</v>
      </c>
      <c r="W698" t="s">
        <v>42911</v>
      </c>
      <c r="X698" t="s">
        <v>46572</v>
      </c>
    </row>
    <row r="699" spans="1:24">
      <c r="A699">
        <f>HYPERLINK("https://www.philgeps.gov.ph/GEPSNONPILOT/Tender/SplashBidNoticeAbstractUI.aspx?menuIndex=3&amp;refID=7065182&amp;Result=3","7065182")</f>
        <v>0</v>
      </c>
      <c r="B699" t="s">
        <v>327</v>
      </c>
      <c r="C699" t="s">
        <v>4216</v>
      </c>
      <c r="D699" t="s">
        <v>18826</v>
      </c>
      <c r="E699" t="s">
        <v>19559</v>
      </c>
      <c r="F699" t="s">
        <v>32664</v>
      </c>
      <c r="G699" t="s">
        <v>32671</v>
      </c>
      <c r="H699" t="s">
        <v>32683</v>
      </c>
      <c r="I699" t="s">
        <v>10627</v>
      </c>
      <c r="J699" t="s">
        <v>33379</v>
      </c>
      <c r="K699" t="s">
        <v>42281</v>
      </c>
      <c r="M699" t="s">
        <v>42895</v>
      </c>
      <c r="N699" t="s">
        <v>46569</v>
      </c>
      <c r="O699" t="s">
        <v>46570</v>
      </c>
      <c r="P699">
        <v>0</v>
      </c>
      <c r="Q699">
        <v>1</v>
      </c>
      <c r="R699" t="s">
        <v>46571</v>
      </c>
      <c r="S699" t="s">
        <v>46687</v>
      </c>
      <c r="T699" t="s">
        <v>48286</v>
      </c>
      <c r="U699" t="s">
        <v>49373</v>
      </c>
      <c r="W699" t="s">
        <v>42895</v>
      </c>
      <c r="X699" t="s">
        <v>46572</v>
      </c>
    </row>
    <row r="700" spans="1:24">
      <c r="A700">
        <f>HYPERLINK("https://www.philgeps.gov.ph/GEPSNONPILOT/Tender/SplashBidNoticeAbstractUI.aspx?menuIndex=3&amp;refID=7065206&amp;Result=3","7065206")</f>
        <v>0</v>
      </c>
      <c r="B700" t="s">
        <v>343</v>
      </c>
      <c r="C700" t="s">
        <v>4217</v>
      </c>
      <c r="D700" t="s">
        <v>18788</v>
      </c>
      <c r="E700" t="s">
        <v>19560</v>
      </c>
      <c r="F700" t="s">
        <v>32664</v>
      </c>
      <c r="G700" t="s">
        <v>32672</v>
      </c>
      <c r="H700" t="s">
        <v>12635</v>
      </c>
      <c r="I700" t="s">
        <v>9486</v>
      </c>
      <c r="J700" t="s">
        <v>32853</v>
      </c>
      <c r="K700" t="s">
        <v>42284</v>
      </c>
      <c r="M700" t="s">
        <v>42912</v>
      </c>
      <c r="N700" t="s">
        <v>46569</v>
      </c>
      <c r="O700" t="s">
        <v>46570</v>
      </c>
      <c r="P700">
        <v>0</v>
      </c>
      <c r="Q700">
        <v>1</v>
      </c>
      <c r="R700" t="s">
        <v>46571</v>
      </c>
      <c r="S700" t="s">
        <v>46687</v>
      </c>
      <c r="T700" t="s">
        <v>48297</v>
      </c>
      <c r="U700" t="s">
        <v>49408</v>
      </c>
      <c r="W700" t="s">
        <v>42912</v>
      </c>
      <c r="X700" t="s">
        <v>46572</v>
      </c>
    </row>
    <row r="701" spans="1:24">
      <c r="A701">
        <f>HYPERLINK("https://www.philgeps.gov.ph/GEPSNONPILOT/Tender/SplashBidNoticeAbstractUI.aspx?menuIndex=3&amp;refID=7065181&amp;Result=3","7065181")</f>
        <v>0</v>
      </c>
      <c r="B701" t="s">
        <v>344</v>
      </c>
      <c r="C701" t="s">
        <v>4218</v>
      </c>
      <c r="D701" t="s">
        <v>18787</v>
      </c>
      <c r="E701" t="s">
        <v>19461</v>
      </c>
      <c r="F701" t="s">
        <v>32664</v>
      </c>
      <c r="G701" t="s">
        <v>32671</v>
      </c>
      <c r="H701" t="s">
        <v>12635</v>
      </c>
      <c r="I701" t="s">
        <v>10590</v>
      </c>
      <c r="J701" t="s">
        <v>33380</v>
      </c>
      <c r="K701" t="s">
        <v>42295</v>
      </c>
      <c r="M701" t="s">
        <v>42913</v>
      </c>
      <c r="N701" t="s">
        <v>46569</v>
      </c>
      <c r="O701" t="s">
        <v>46570</v>
      </c>
      <c r="P701">
        <v>0</v>
      </c>
      <c r="Q701">
        <v>0</v>
      </c>
      <c r="R701" t="s">
        <v>46571</v>
      </c>
      <c r="S701" t="s">
        <v>46687</v>
      </c>
      <c r="T701" t="s">
        <v>48326</v>
      </c>
      <c r="U701" t="s">
        <v>49409</v>
      </c>
      <c r="W701" t="s">
        <v>42913</v>
      </c>
      <c r="X701" t="s">
        <v>46572</v>
      </c>
    </row>
    <row r="702" spans="1:24">
      <c r="A702">
        <f>HYPERLINK("https://www.philgeps.gov.ph/GEPSNONPILOT/Tender/SplashBidNoticeAbstractUI.aspx?menuIndex=3&amp;refID=7065209&amp;Result=3","7065209")</f>
        <v>0</v>
      </c>
      <c r="B702" t="s">
        <v>345</v>
      </c>
      <c r="C702" t="s">
        <v>4219</v>
      </c>
      <c r="D702" t="s">
        <v>18784</v>
      </c>
      <c r="E702" t="s">
        <v>4219</v>
      </c>
      <c r="F702" t="s">
        <v>32664</v>
      </c>
      <c r="G702" t="s">
        <v>32671</v>
      </c>
      <c r="H702" t="s">
        <v>12635</v>
      </c>
      <c r="I702" t="s">
        <v>5501</v>
      </c>
      <c r="J702" t="s">
        <v>33096</v>
      </c>
      <c r="K702" t="s">
        <v>42283</v>
      </c>
      <c r="M702" t="s">
        <v>42914</v>
      </c>
      <c r="N702" t="s">
        <v>46569</v>
      </c>
      <c r="O702" t="s">
        <v>46570</v>
      </c>
      <c r="P702">
        <v>0</v>
      </c>
      <c r="Q702">
        <v>7</v>
      </c>
      <c r="R702" t="s">
        <v>46571</v>
      </c>
      <c r="S702" t="s">
        <v>46687</v>
      </c>
      <c r="T702" t="s">
        <v>48310</v>
      </c>
      <c r="U702" t="s">
        <v>49410</v>
      </c>
      <c r="W702" t="s">
        <v>42914</v>
      </c>
      <c r="X702" t="s">
        <v>46572</v>
      </c>
    </row>
    <row r="703" spans="1:24">
      <c r="A703">
        <f>HYPERLINK("https://www.philgeps.gov.ph/GEPSNONPILOT/Tender/SplashBidNoticeAbstractUI.aspx?menuIndex=3&amp;refID=7065208&amp;Result=3","7065208")</f>
        <v>0</v>
      </c>
      <c r="B703" t="s">
        <v>279</v>
      </c>
      <c r="C703" t="s">
        <v>4220</v>
      </c>
      <c r="D703" t="s">
        <v>18784</v>
      </c>
      <c r="E703" t="s">
        <v>19561</v>
      </c>
      <c r="F703" t="s">
        <v>32664</v>
      </c>
      <c r="G703" t="s">
        <v>32671</v>
      </c>
      <c r="H703" t="s">
        <v>12635</v>
      </c>
      <c r="I703" t="s">
        <v>7324</v>
      </c>
      <c r="J703" t="s">
        <v>33381</v>
      </c>
      <c r="K703" t="s">
        <v>42283</v>
      </c>
      <c r="M703" t="s">
        <v>42844</v>
      </c>
      <c r="N703" t="s">
        <v>46569</v>
      </c>
      <c r="O703" t="s">
        <v>46570</v>
      </c>
      <c r="P703">
        <v>0</v>
      </c>
      <c r="Q703">
        <v>2</v>
      </c>
      <c r="R703" t="s">
        <v>46571</v>
      </c>
      <c r="S703" t="s">
        <v>46687</v>
      </c>
      <c r="T703" t="s">
        <v>48246</v>
      </c>
      <c r="U703" t="s">
        <v>49275</v>
      </c>
      <c r="W703" t="s">
        <v>42844</v>
      </c>
      <c r="X703" t="s">
        <v>46572</v>
      </c>
    </row>
    <row r="704" spans="1:24">
      <c r="A704">
        <f>HYPERLINK("https://www.philgeps.gov.ph/GEPSNONPILOT/Tender/SplashBidNoticeAbstractUI.aspx?menuIndex=3&amp;refID=7065204&amp;Result=3","7065204")</f>
        <v>0</v>
      </c>
      <c r="B704" t="s">
        <v>324</v>
      </c>
      <c r="C704" t="s">
        <v>4221</v>
      </c>
      <c r="D704" t="s">
        <v>18784</v>
      </c>
      <c r="E704" t="s">
        <v>19562</v>
      </c>
      <c r="F704" t="s">
        <v>32664</v>
      </c>
      <c r="G704" t="s">
        <v>32671</v>
      </c>
      <c r="H704" t="s">
        <v>12635</v>
      </c>
      <c r="I704" t="s">
        <v>5589</v>
      </c>
      <c r="J704" t="s">
        <v>32853</v>
      </c>
      <c r="K704" t="s">
        <v>42283</v>
      </c>
      <c r="M704" t="s">
        <v>42892</v>
      </c>
      <c r="N704" t="s">
        <v>46569</v>
      </c>
      <c r="O704" t="s">
        <v>46570</v>
      </c>
      <c r="P704">
        <v>0</v>
      </c>
      <c r="Q704">
        <v>3</v>
      </c>
      <c r="R704" t="s">
        <v>46571</v>
      </c>
      <c r="S704" t="s">
        <v>46687</v>
      </c>
      <c r="T704" t="s">
        <v>48267</v>
      </c>
      <c r="U704" t="s">
        <v>49360</v>
      </c>
      <c r="W704" t="s">
        <v>42892</v>
      </c>
      <c r="X704" t="s">
        <v>46572</v>
      </c>
    </row>
    <row r="705" spans="1:24">
      <c r="A705">
        <f>HYPERLINK("https://www.philgeps.gov.ph/GEPSNONPILOT/Tender/SplashBidNoticeAbstractUI.aspx?menuIndex=3&amp;refID=7065198&amp;Result=3","7065198")</f>
        <v>0</v>
      </c>
      <c r="B705" t="s">
        <v>346</v>
      </c>
      <c r="C705" t="s">
        <v>4222</v>
      </c>
      <c r="D705" t="s">
        <v>18817</v>
      </c>
      <c r="E705" t="s">
        <v>19563</v>
      </c>
      <c r="F705" t="s">
        <v>32664</v>
      </c>
      <c r="G705" t="s">
        <v>32677</v>
      </c>
      <c r="H705" t="s">
        <v>12635</v>
      </c>
      <c r="I705" t="s">
        <v>32696</v>
      </c>
      <c r="J705" t="s">
        <v>32962</v>
      </c>
      <c r="K705" t="s">
        <v>42303</v>
      </c>
      <c r="M705" t="s">
        <v>42915</v>
      </c>
      <c r="N705" t="s">
        <v>46569</v>
      </c>
      <c r="O705" t="s">
        <v>46570</v>
      </c>
      <c r="P705">
        <v>0</v>
      </c>
      <c r="Q705">
        <v>1</v>
      </c>
      <c r="R705" t="s">
        <v>46571</v>
      </c>
      <c r="S705" t="s">
        <v>46687</v>
      </c>
      <c r="T705" t="s">
        <v>48222</v>
      </c>
      <c r="U705" t="s">
        <v>49411</v>
      </c>
      <c r="W705" t="s">
        <v>42915</v>
      </c>
      <c r="X705" t="s">
        <v>46572</v>
      </c>
    </row>
    <row r="706" spans="1:24">
      <c r="A706">
        <f>HYPERLINK("https://www.philgeps.gov.ph/GEPSNONPILOT/Tender/SplashBidNoticeAbstractUI.aspx?menuIndex=3&amp;refID=7065201&amp;Result=3","7065201")</f>
        <v>0</v>
      </c>
      <c r="B706" t="s">
        <v>347</v>
      </c>
      <c r="C706" t="s">
        <v>4223</v>
      </c>
      <c r="D706" t="s">
        <v>18792</v>
      </c>
      <c r="E706" t="s">
        <v>19564</v>
      </c>
      <c r="F706" t="s">
        <v>32664</v>
      </c>
      <c r="G706" t="s">
        <v>32672</v>
      </c>
      <c r="H706" t="s">
        <v>32683</v>
      </c>
      <c r="I706" t="s">
        <v>10627</v>
      </c>
      <c r="J706" t="s">
        <v>33382</v>
      </c>
      <c r="K706" t="s">
        <v>42298</v>
      </c>
      <c r="M706" t="s">
        <v>42916</v>
      </c>
      <c r="N706" t="s">
        <v>46569</v>
      </c>
      <c r="O706" t="s">
        <v>46570</v>
      </c>
      <c r="P706">
        <v>0</v>
      </c>
      <c r="Q706">
        <v>0</v>
      </c>
      <c r="R706" t="s">
        <v>46571</v>
      </c>
      <c r="S706" t="s">
        <v>46687</v>
      </c>
      <c r="T706" t="s">
        <v>48220</v>
      </c>
      <c r="U706" t="s">
        <v>49412</v>
      </c>
      <c r="W706" t="s">
        <v>42916</v>
      </c>
      <c r="X706" t="s">
        <v>46572</v>
      </c>
    </row>
    <row r="707" spans="1:24">
      <c r="A707">
        <f>HYPERLINK("https://www.philgeps.gov.ph/GEPSNONPILOT/Tender/SplashBidNoticeAbstractUI.aspx?menuIndex=3&amp;refID=7065196&amp;Result=3","7065196")</f>
        <v>0</v>
      </c>
      <c r="B707" t="s">
        <v>324</v>
      </c>
      <c r="C707" t="s">
        <v>4224</v>
      </c>
      <c r="D707" t="s">
        <v>18784</v>
      </c>
      <c r="E707" t="s">
        <v>19565</v>
      </c>
      <c r="F707" t="s">
        <v>32664</v>
      </c>
      <c r="G707" t="s">
        <v>32671</v>
      </c>
      <c r="H707" t="s">
        <v>12635</v>
      </c>
      <c r="I707" t="s">
        <v>10370</v>
      </c>
      <c r="J707" t="s">
        <v>33265</v>
      </c>
      <c r="K707" t="s">
        <v>42283</v>
      </c>
      <c r="M707" t="s">
        <v>42892</v>
      </c>
      <c r="N707" t="s">
        <v>46569</v>
      </c>
      <c r="O707" t="s">
        <v>46570</v>
      </c>
      <c r="P707">
        <v>0</v>
      </c>
      <c r="Q707">
        <v>0</v>
      </c>
      <c r="R707" t="s">
        <v>46571</v>
      </c>
      <c r="S707" t="s">
        <v>46687</v>
      </c>
      <c r="T707" t="s">
        <v>48267</v>
      </c>
      <c r="U707" t="s">
        <v>49360</v>
      </c>
      <c r="W707" t="s">
        <v>42892</v>
      </c>
      <c r="X707" t="s">
        <v>46572</v>
      </c>
    </row>
    <row r="708" spans="1:24">
      <c r="A708">
        <f>HYPERLINK("https://www.philgeps.gov.ph/GEPSNONPILOT/Tender/SplashBidNoticeAbstractUI.aspx?menuIndex=3&amp;refID=7065170&amp;Result=3","7065170")</f>
        <v>0</v>
      </c>
      <c r="B708" t="s">
        <v>327</v>
      </c>
      <c r="C708" t="s">
        <v>4225</v>
      </c>
      <c r="D708" t="s">
        <v>18826</v>
      </c>
      <c r="E708" t="s">
        <v>19566</v>
      </c>
      <c r="F708" t="s">
        <v>32664</v>
      </c>
      <c r="G708" t="s">
        <v>32671</v>
      </c>
      <c r="H708" t="s">
        <v>32683</v>
      </c>
      <c r="I708" t="s">
        <v>10627</v>
      </c>
      <c r="J708" t="s">
        <v>33383</v>
      </c>
      <c r="K708" t="s">
        <v>42281</v>
      </c>
      <c r="M708" t="s">
        <v>42895</v>
      </c>
      <c r="N708" t="s">
        <v>46569</v>
      </c>
      <c r="O708" t="s">
        <v>46570</v>
      </c>
      <c r="P708">
        <v>0</v>
      </c>
      <c r="Q708">
        <v>1</v>
      </c>
      <c r="R708" t="s">
        <v>46571</v>
      </c>
      <c r="S708" t="s">
        <v>46687</v>
      </c>
      <c r="T708" t="s">
        <v>48286</v>
      </c>
      <c r="U708" t="s">
        <v>49373</v>
      </c>
      <c r="W708" t="s">
        <v>42895</v>
      </c>
      <c r="X708" t="s">
        <v>46572</v>
      </c>
    </row>
    <row r="709" spans="1:24">
      <c r="A709">
        <f>HYPERLINK("https://www.philgeps.gov.ph/GEPSNONPILOT/Tender/SplashBidNoticeAbstractUI.aspx?menuIndex=3&amp;refID=7065214&amp;Result=3","7065214")</f>
        <v>0</v>
      </c>
      <c r="B709" t="s">
        <v>348</v>
      </c>
      <c r="C709" t="s">
        <v>4226</v>
      </c>
      <c r="D709" t="s">
        <v>18788</v>
      </c>
      <c r="E709" t="s">
        <v>19567</v>
      </c>
      <c r="F709" t="s">
        <v>32664</v>
      </c>
      <c r="G709" t="s">
        <v>32674</v>
      </c>
      <c r="H709" t="s">
        <v>32683</v>
      </c>
      <c r="I709" t="s">
        <v>14442</v>
      </c>
      <c r="J709" t="s">
        <v>33384</v>
      </c>
      <c r="K709" t="s">
        <v>42284</v>
      </c>
      <c r="L709" t="s">
        <v>348</v>
      </c>
      <c r="M709" t="s">
        <v>42917</v>
      </c>
      <c r="N709" t="s">
        <v>46569</v>
      </c>
      <c r="O709" t="s">
        <v>46570</v>
      </c>
      <c r="P709">
        <v>0</v>
      </c>
      <c r="Q709">
        <v>0</v>
      </c>
      <c r="R709" t="s">
        <v>46571</v>
      </c>
      <c r="S709" t="s">
        <v>46687</v>
      </c>
      <c r="T709" t="s">
        <v>48297</v>
      </c>
      <c r="U709" t="s">
        <v>49413</v>
      </c>
      <c r="W709" t="s">
        <v>42917</v>
      </c>
      <c r="X709" t="s">
        <v>46572</v>
      </c>
    </row>
    <row r="710" spans="1:24">
      <c r="A710">
        <f>HYPERLINK("https://www.philgeps.gov.ph/GEPSNONPILOT/Tender/SplashBidNoticeAbstractUI.aspx?menuIndex=3&amp;refID=7065235&amp;Result=3","7065235")</f>
        <v>0</v>
      </c>
      <c r="B710" t="s">
        <v>349</v>
      </c>
      <c r="C710" t="s">
        <v>4227</v>
      </c>
      <c r="D710" t="s">
        <v>18834</v>
      </c>
      <c r="E710" t="s">
        <v>19568</v>
      </c>
      <c r="F710" t="s">
        <v>32664</v>
      </c>
      <c r="G710" t="s">
        <v>32671</v>
      </c>
      <c r="H710" t="s">
        <v>12635</v>
      </c>
      <c r="I710" t="s">
        <v>32735</v>
      </c>
      <c r="J710" t="s">
        <v>33385</v>
      </c>
      <c r="K710" t="s">
        <v>42281</v>
      </c>
      <c r="M710" t="s">
        <v>42918</v>
      </c>
      <c r="N710" t="s">
        <v>46569</v>
      </c>
      <c r="O710" t="s">
        <v>46570</v>
      </c>
      <c r="P710">
        <v>0</v>
      </c>
      <c r="Q710">
        <v>0</v>
      </c>
      <c r="R710" t="s">
        <v>46571</v>
      </c>
      <c r="S710" t="s">
        <v>46687</v>
      </c>
      <c r="T710" t="s">
        <v>48256</v>
      </c>
      <c r="U710" t="s">
        <v>49414</v>
      </c>
      <c r="W710" t="s">
        <v>63473</v>
      </c>
      <c r="X710" t="s">
        <v>46572</v>
      </c>
    </row>
    <row r="711" spans="1:24">
      <c r="A711">
        <f>HYPERLINK("https://www.philgeps.gov.ph/GEPSNONPILOT/Tender/SplashBidNoticeAbstractUI.aspx?menuIndex=3&amp;refID=7065197&amp;Result=3","7065197")</f>
        <v>0</v>
      </c>
      <c r="B711" t="s">
        <v>295</v>
      </c>
      <c r="C711" t="s">
        <v>4228</v>
      </c>
      <c r="D711" t="s">
        <v>18848</v>
      </c>
      <c r="E711" t="s">
        <v>19569</v>
      </c>
      <c r="F711" t="s">
        <v>32664</v>
      </c>
      <c r="G711" t="s">
        <v>32672</v>
      </c>
      <c r="H711" t="s">
        <v>12635</v>
      </c>
      <c r="I711" t="s">
        <v>6168</v>
      </c>
      <c r="J711" t="s">
        <v>33386</v>
      </c>
      <c r="K711" t="s">
        <v>42297</v>
      </c>
      <c r="M711" t="s">
        <v>42862</v>
      </c>
      <c r="N711" t="s">
        <v>46569</v>
      </c>
      <c r="O711" t="s">
        <v>46570</v>
      </c>
      <c r="P711">
        <v>0</v>
      </c>
      <c r="Q711">
        <v>0</v>
      </c>
      <c r="R711" t="s">
        <v>46571</v>
      </c>
      <c r="S711" t="s">
        <v>46687</v>
      </c>
      <c r="T711" t="s">
        <v>48322</v>
      </c>
      <c r="U711" t="s">
        <v>49415</v>
      </c>
      <c r="W711" t="s">
        <v>42862</v>
      </c>
      <c r="X711" t="s">
        <v>46572</v>
      </c>
    </row>
    <row r="712" spans="1:24">
      <c r="A712">
        <f>HYPERLINK("https://www.philgeps.gov.ph/GEPSNONPILOT/Tender/SplashBidNoticeAbstractUI.aspx?menuIndex=3&amp;refID=7065203&amp;Result=3","7065203")</f>
        <v>0</v>
      </c>
      <c r="B712" t="s">
        <v>350</v>
      </c>
      <c r="C712" t="s">
        <v>4229</v>
      </c>
      <c r="D712" t="s">
        <v>18804</v>
      </c>
      <c r="E712" t="s">
        <v>19570</v>
      </c>
      <c r="F712" t="s">
        <v>32664</v>
      </c>
      <c r="G712" t="s">
        <v>32671</v>
      </c>
      <c r="H712" t="s">
        <v>12635</v>
      </c>
      <c r="I712" t="s">
        <v>8958</v>
      </c>
      <c r="J712" t="s">
        <v>33387</v>
      </c>
      <c r="K712" t="s">
        <v>42309</v>
      </c>
      <c r="M712" t="s">
        <v>42919</v>
      </c>
      <c r="N712" t="s">
        <v>46569</v>
      </c>
      <c r="O712" t="s">
        <v>46570</v>
      </c>
      <c r="P712">
        <v>0</v>
      </c>
      <c r="Q712">
        <v>1</v>
      </c>
      <c r="R712" t="s">
        <v>46571</v>
      </c>
      <c r="S712" t="s">
        <v>46687</v>
      </c>
      <c r="T712" t="s">
        <v>48228</v>
      </c>
      <c r="U712" t="s">
        <v>49416</v>
      </c>
      <c r="W712" t="s">
        <v>42919</v>
      </c>
      <c r="X712" t="s">
        <v>46572</v>
      </c>
    </row>
    <row r="713" spans="1:24">
      <c r="A713">
        <f>HYPERLINK("https://www.philgeps.gov.ph/GEPSNONPILOT/Tender/SplashBidNoticeAbstractUI.aspx?menuIndex=3&amp;refID=7065230&amp;Result=3","7065230")</f>
        <v>0</v>
      </c>
      <c r="B713" t="s">
        <v>301</v>
      </c>
      <c r="C713" t="s">
        <v>4111</v>
      </c>
      <c r="D713" t="s">
        <v>18830</v>
      </c>
      <c r="E713" t="s">
        <v>19571</v>
      </c>
      <c r="F713" t="s">
        <v>32664</v>
      </c>
      <c r="G713" t="s">
        <v>32671</v>
      </c>
      <c r="H713" t="s">
        <v>12635</v>
      </c>
      <c r="I713" t="s">
        <v>4439</v>
      </c>
      <c r="J713" t="s">
        <v>33388</v>
      </c>
      <c r="K713" t="s">
        <v>42284</v>
      </c>
      <c r="M713" t="s">
        <v>42868</v>
      </c>
      <c r="N713" t="s">
        <v>46569</v>
      </c>
      <c r="O713" t="s">
        <v>46570</v>
      </c>
      <c r="P713">
        <v>0</v>
      </c>
      <c r="Q713">
        <v>0</v>
      </c>
      <c r="R713" t="s">
        <v>46571</v>
      </c>
      <c r="S713" t="s">
        <v>46687</v>
      </c>
      <c r="T713" t="s">
        <v>48221</v>
      </c>
      <c r="U713" t="s">
        <v>49417</v>
      </c>
      <c r="W713" t="s">
        <v>42868</v>
      </c>
      <c r="X713" t="s">
        <v>46572</v>
      </c>
    </row>
    <row r="714" spans="1:24">
      <c r="A714">
        <f>HYPERLINK("https://www.philgeps.gov.ph/GEPSNONPILOT/Tender/SplashBidNoticeAbstractUI.aspx?menuIndex=3&amp;refID=7065168&amp;Result=3","7065168")</f>
        <v>0</v>
      </c>
      <c r="B714" t="s">
        <v>351</v>
      </c>
      <c r="C714" t="s">
        <v>4230</v>
      </c>
      <c r="D714" t="s">
        <v>18831</v>
      </c>
      <c r="E714" t="s">
        <v>19572</v>
      </c>
      <c r="F714" t="s">
        <v>32664</v>
      </c>
      <c r="G714" t="s">
        <v>32671</v>
      </c>
      <c r="H714" t="s">
        <v>32681</v>
      </c>
      <c r="I714" t="s">
        <v>32681</v>
      </c>
      <c r="J714" t="s">
        <v>33389</v>
      </c>
      <c r="K714" t="s">
        <v>42340</v>
      </c>
      <c r="M714" t="s">
        <v>42920</v>
      </c>
      <c r="N714" t="s">
        <v>46569</v>
      </c>
      <c r="O714" t="s">
        <v>46570</v>
      </c>
      <c r="P714">
        <v>0</v>
      </c>
      <c r="Q714">
        <v>0</v>
      </c>
      <c r="R714" t="s">
        <v>46571</v>
      </c>
      <c r="S714" t="s">
        <v>46687</v>
      </c>
      <c r="T714" t="s">
        <v>48335</v>
      </c>
      <c r="U714" t="s">
        <v>49418</v>
      </c>
      <c r="W714" t="s">
        <v>42920</v>
      </c>
      <c r="X714" t="s">
        <v>46572</v>
      </c>
    </row>
    <row r="715" spans="1:24">
      <c r="A715">
        <f>HYPERLINK("https://www.philgeps.gov.ph/GEPSNONPILOT/Tender/SplashBidNoticeAbstractUI.aspx?menuIndex=3&amp;refID=7065228&amp;Result=3","7065228")</f>
        <v>0</v>
      </c>
      <c r="B715" t="s">
        <v>142</v>
      </c>
      <c r="C715" t="s">
        <v>4231</v>
      </c>
      <c r="D715" t="s">
        <v>18784</v>
      </c>
      <c r="E715" t="s">
        <v>19146</v>
      </c>
      <c r="F715" t="s">
        <v>32664</v>
      </c>
      <c r="G715" t="s">
        <v>32671</v>
      </c>
      <c r="H715" t="s">
        <v>12635</v>
      </c>
      <c r="I715" t="s">
        <v>8797</v>
      </c>
      <c r="J715" t="s">
        <v>33390</v>
      </c>
      <c r="K715" t="s">
        <v>42281</v>
      </c>
      <c r="M715" t="s">
        <v>42706</v>
      </c>
      <c r="N715" t="s">
        <v>46569</v>
      </c>
      <c r="O715" t="s">
        <v>46570</v>
      </c>
      <c r="P715">
        <v>0</v>
      </c>
      <c r="Q715">
        <v>1</v>
      </c>
      <c r="R715" t="s">
        <v>46571</v>
      </c>
      <c r="S715" t="s">
        <v>46687</v>
      </c>
      <c r="T715" t="s">
        <v>48256</v>
      </c>
      <c r="U715" t="s">
        <v>49419</v>
      </c>
      <c r="W715" t="s">
        <v>42706</v>
      </c>
      <c r="X715" t="s">
        <v>46572</v>
      </c>
    </row>
    <row r="716" spans="1:24">
      <c r="A716">
        <f>HYPERLINK("https://www.philgeps.gov.ph/GEPSNONPILOT/Tender/SplashBidNoticeAbstractUI.aspx?menuIndex=3&amp;refID=7065227&amp;Result=3","7065227")</f>
        <v>0</v>
      </c>
      <c r="B716" t="s">
        <v>352</v>
      </c>
      <c r="C716" t="s">
        <v>4232</v>
      </c>
      <c r="E716" t="s">
        <v>19573</v>
      </c>
      <c r="F716" t="s">
        <v>32664</v>
      </c>
      <c r="G716" t="s">
        <v>32671</v>
      </c>
      <c r="H716" t="s">
        <v>12635</v>
      </c>
      <c r="I716" t="s">
        <v>5589</v>
      </c>
      <c r="J716" t="s">
        <v>33391</v>
      </c>
      <c r="K716" t="s">
        <v>42289</v>
      </c>
      <c r="M716" t="s">
        <v>42921</v>
      </c>
      <c r="N716" t="s">
        <v>46569</v>
      </c>
      <c r="O716" t="s">
        <v>46570</v>
      </c>
      <c r="P716">
        <v>0</v>
      </c>
      <c r="Q716">
        <v>1</v>
      </c>
      <c r="R716" t="s">
        <v>46571</v>
      </c>
      <c r="S716" t="s">
        <v>46687</v>
      </c>
      <c r="T716" t="s">
        <v>48256</v>
      </c>
      <c r="U716" t="s">
        <v>49420</v>
      </c>
      <c r="V716" t="s">
        <v>61707</v>
      </c>
      <c r="W716" t="s">
        <v>42921</v>
      </c>
      <c r="X716" t="s">
        <v>46572</v>
      </c>
    </row>
    <row r="717" spans="1:24">
      <c r="A717">
        <f>HYPERLINK("https://www.philgeps.gov.ph/GEPSNONPILOT/Tender/SplashBidNoticeAbstractUI.aspx?menuIndex=3&amp;refID=7065225&amp;Result=3","7065225")</f>
        <v>0</v>
      </c>
      <c r="B717" t="s">
        <v>353</v>
      </c>
      <c r="C717" t="s">
        <v>4233</v>
      </c>
      <c r="D717" t="s">
        <v>18802</v>
      </c>
      <c r="E717" t="s">
        <v>19574</v>
      </c>
      <c r="F717" t="s">
        <v>32664</v>
      </c>
      <c r="G717" t="s">
        <v>32675</v>
      </c>
      <c r="H717" t="s">
        <v>12635</v>
      </c>
      <c r="I717" t="s">
        <v>8730</v>
      </c>
      <c r="J717" t="s">
        <v>33392</v>
      </c>
      <c r="K717" t="s">
        <v>42289</v>
      </c>
      <c r="M717" t="s">
        <v>42922</v>
      </c>
      <c r="N717" t="s">
        <v>46569</v>
      </c>
      <c r="O717" t="s">
        <v>46570</v>
      </c>
      <c r="P717">
        <v>0</v>
      </c>
      <c r="Q717">
        <v>2</v>
      </c>
      <c r="R717" t="s">
        <v>46571</v>
      </c>
      <c r="S717" t="s">
        <v>46687</v>
      </c>
      <c r="T717" t="s">
        <v>48336</v>
      </c>
      <c r="U717" t="s">
        <v>49421</v>
      </c>
      <c r="W717" t="s">
        <v>42922</v>
      </c>
      <c r="X717" t="s">
        <v>46572</v>
      </c>
    </row>
    <row r="718" spans="1:24">
      <c r="A718">
        <f>HYPERLINK("https://www.philgeps.gov.ph/GEPSNONPILOT/Tender/SplashBidNoticeAbstractUI.aspx?menuIndex=3&amp;refID=7065234&amp;Result=3","7065234")</f>
        <v>0</v>
      </c>
      <c r="B718" t="s">
        <v>354</v>
      </c>
      <c r="C718" t="s">
        <v>4234</v>
      </c>
      <c r="D718" t="s">
        <v>18850</v>
      </c>
      <c r="E718" t="s">
        <v>19575</v>
      </c>
      <c r="F718" t="s">
        <v>32664</v>
      </c>
      <c r="G718" t="s">
        <v>32677</v>
      </c>
      <c r="H718" t="s">
        <v>12635</v>
      </c>
      <c r="I718" t="s">
        <v>4439</v>
      </c>
      <c r="J718" t="s">
        <v>33393</v>
      </c>
      <c r="K718" t="s">
        <v>42298</v>
      </c>
      <c r="M718" t="s">
        <v>42923</v>
      </c>
      <c r="N718" t="s">
        <v>46569</v>
      </c>
      <c r="O718" t="s">
        <v>46570</v>
      </c>
      <c r="P718">
        <v>0</v>
      </c>
      <c r="Q718">
        <v>0</v>
      </c>
      <c r="R718" t="s">
        <v>46571</v>
      </c>
      <c r="S718" t="s">
        <v>46687</v>
      </c>
      <c r="T718" t="s">
        <v>48293</v>
      </c>
      <c r="U718" t="s">
        <v>49422</v>
      </c>
      <c r="W718" t="s">
        <v>42923</v>
      </c>
      <c r="X718" t="s">
        <v>46572</v>
      </c>
    </row>
    <row r="719" spans="1:24">
      <c r="A719">
        <f>HYPERLINK("https://www.philgeps.gov.ph/GEPSNONPILOT/Tender/SplashBidNoticeAbstractUI.aspx?menuIndex=3&amp;refID=7065229&amp;Result=3","7065229")</f>
        <v>0</v>
      </c>
      <c r="B719" t="s">
        <v>355</v>
      </c>
      <c r="C719" t="s">
        <v>4235</v>
      </c>
      <c r="D719" t="s">
        <v>18816</v>
      </c>
      <c r="E719" t="s">
        <v>19576</v>
      </c>
      <c r="F719" t="s">
        <v>32664</v>
      </c>
      <c r="G719" t="s">
        <v>32671</v>
      </c>
      <c r="H719" t="s">
        <v>12635</v>
      </c>
      <c r="I719" t="s">
        <v>8958</v>
      </c>
      <c r="J719" t="s">
        <v>33394</v>
      </c>
      <c r="K719" t="s">
        <v>42330</v>
      </c>
      <c r="M719" t="s">
        <v>42924</v>
      </c>
      <c r="N719" t="s">
        <v>46569</v>
      </c>
      <c r="O719" t="s">
        <v>46570</v>
      </c>
      <c r="P719">
        <v>0</v>
      </c>
      <c r="Q719">
        <v>2</v>
      </c>
      <c r="R719" t="s">
        <v>46571</v>
      </c>
      <c r="S719" t="s">
        <v>46687</v>
      </c>
      <c r="T719" t="s">
        <v>48244</v>
      </c>
      <c r="U719" t="s">
        <v>49423</v>
      </c>
      <c r="W719" t="s">
        <v>42924</v>
      </c>
      <c r="X719" t="s">
        <v>46572</v>
      </c>
    </row>
    <row r="720" spans="1:24">
      <c r="A720">
        <f>HYPERLINK("https://www.philgeps.gov.ph/GEPSNONPILOT/Tender/SplashBidNoticeAbstractUI.aspx?menuIndex=3&amp;refID=7065232&amp;Result=3","7065232")</f>
        <v>0</v>
      </c>
      <c r="B720" t="s">
        <v>356</v>
      </c>
      <c r="C720" t="s">
        <v>4236</v>
      </c>
      <c r="E720" t="s">
        <v>19577</v>
      </c>
      <c r="F720" t="s">
        <v>32664</v>
      </c>
      <c r="G720" t="s">
        <v>32672</v>
      </c>
      <c r="H720" t="s">
        <v>32683</v>
      </c>
      <c r="I720" t="s">
        <v>10627</v>
      </c>
      <c r="J720" t="s">
        <v>33210</v>
      </c>
      <c r="K720" t="s">
        <v>42283</v>
      </c>
      <c r="M720" t="s">
        <v>42925</v>
      </c>
      <c r="N720" t="s">
        <v>46569</v>
      </c>
      <c r="O720" t="s">
        <v>46570</v>
      </c>
      <c r="P720">
        <v>0</v>
      </c>
      <c r="Q720">
        <v>0</v>
      </c>
      <c r="R720" t="s">
        <v>46571</v>
      </c>
      <c r="S720" t="s">
        <v>46687</v>
      </c>
      <c r="T720" t="s">
        <v>48245</v>
      </c>
      <c r="U720" t="s">
        <v>49424</v>
      </c>
      <c r="W720" t="s">
        <v>42925</v>
      </c>
      <c r="X720" t="s">
        <v>46572</v>
      </c>
    </row>
    <row r="721" spans="1:24">
      <c r="A721">
        <f>HYPERLINK("https://www.philgeps.gov.ph/GEPSNONPILOT/Tender/SplashBidNoticeAbstractUI.aspx?menuIndex=3&amp;refID=7065223&amp;Result=3","7065223")</f>
        <v>0</v>
      </c>
      <c r="B721" t="s">
        <v>357</v>
      </c>
      <c r="C721" t="s">
        <v>4237</v>
      </c>
      <c r="D721" t="s">
        <v>18805</v>
      </c>
      <c r="E721" t="s">
        <v>19578</v>
      </c>
      <c r="F721" t="s">
        <v>32664</v>
      </c>
      <c r="G721" t="s">
        <v>32675</v>
      </c>
      <c r="H721" t="s">
        <v>12635</v>
      </c>
      <c r="I721" t="s">
        <v>6628</v>
      </c>
      <c r="J721" t="s">
        <v>32984</v>
      </c>
      <c r="K721" t="s">
        <v>42303</v>
      </c>
      <c r="M721" t="s">
        <v>42926</v>
      </c>
      <c r="N721" t="s">
        <v>46569</v>
      </c>
      <c r="O721" t="s">
        <v>46570</v>
      </c>
      <c r="P721">
        <v>0</v>
      </c>
      <c r="Q721">
        <v>0</v>
      </c>
      <c r="R721" t="s">
        <v>46571</v>
      </c>
      <c r="S721" t="s">
        <v>46687</v>
      </c>
      <c r="T721" t="s">
        <v>48221</v>
      </c>
      <c r="U721" t="s">
        <v>49425</v>
      </c>
      <c r="W721" t="s">
        <v>42926</v>
      </c>
      <c r="X721" t="s">
        <v>46572</v>
      </c>
    </row>
    <row r="722" spans="1:24">
      <c r="A722">
        <f>HYPERLINK("https://www.philgeps.gov.ph/GEPSNONPILOT/Tender/SplashBidNoticeAbstractUI.aspx?menuIndex=3&amp;refID=7065226&amp;Result=3","7065226")</f>
        <v>0</v>
      </c>
      <c r="B722" t="s">
        <v>324</v>
      </c>
      <c r="C722" t="s">
        <v>4238</v>
      </c>
      <c r="D722" t="s">
        <v>18784</v>
      </c>
      <c r="E722" t="s">
        <v>19579</v>
      </c>
      <c r="F722" t="s">
        <v>32664</v>
      </c>
      <c r="G722" t="s">
        <v>32671</v>
      </c>
      <c r="H722" t="s">
        <v>12635</v>
      </c>
      <c r="I722" t="s">
        <v>5589</v>
      </c>
      <c r="J722" t="s">
        <v>33395</v>
      </c>
      <c r="K722" t="s">
        <v>42283</v>
      </c>
      <c r="M722" t="s">
        <v>42892</v>
      </c>
      <c r="N722" t="s">
        <v>46569</v>
      </c>
      <c r="O722" t="s">
        <v>46570</v>
      </c>
      <c r="P722">
        <v>0</v>
      </c>
      <c r="Q722">
        <v>2</v>
      </c>
      <c r="R722" t="s">
        <v>46571</v>
      </c>
      <c r="S722" t="s">
        <v>46687</v>
      </c>
      <c r="T722" t="s">
        <v>48267</v>
      </c>
      <c r="U722" t="s">
        <v>49360</v>
      </c>
      <c r="W722" t="s">
        <v>42892</v>
      </c>
      <c r="X722" t="s">
        <v>46572</v>
      </c>
    </row>
    <row r="723" spans="1:24">
      <c r="A723">
        <f>HYPERLINK("https://www.philgeps.gov.ph/GEPSNONPILOT/Tender/SplashBidNoticeAbstractUI.aspx?menuIndex=3&amp;refID=7065218&amp;Result=3","7065218")</f>
        <v>0</v>
      </c>
      <c r="B723" t="s">
        <v>358</v>
      </c>
      <c r="C723" t="s">
        <v>4239</v>
      </c>
      <c r="D723" t="s">
        <v>18824</v>
      </c>
      <c r="E723" t="s">
        <v>19580</v>
      </c>
      <c r="F723" t="s">
        <v>32664</v>
      </c>
      <c r="G723" t="s">
        <v>32671</v>
      </c>
      <c r="H723" t="s">
        <v>12635</v>
      </c>
      <c r="I723" t="s">
        <v>32699</v>
      </c>
      <c r="J723" t="s">
        <v>32984</v>
      </c>
      <c r="K723" t="s">
        <v>42284</v>
      </c>
      <c r="M723" t="s">
        <v>42927</v>
      </c>
      <c r="N723" t="s">
        <v>46569</v>
      </c>
      <c r="O723" t="s">
        <v>46570</v>
      </c>
      <c r="P723">
        <v>0</v>
      </c>
      <c r="Q723">
        <v>0</v>
      </c>
      <c r="R723" t="s">
        <v>46571</v>
      </c>
      <c r="S723" t="s">
        <v>46687</v>
      </c>
      <c r="T723" t="s">
        <v>48293</v>
      </c>
      <c r="U723" t="s">
        <v>49426</v>
      </c>
      <c r="W723" t="s">
        <v>42927</v>
      </c>
      <c r="X723" t="s">
        <v>46572</v>
      </c>
    </row>
    <row r="724" spans="1:24">
      <c r="A724">
        <f>HYPERLINK("https://www.philgeps.gov.ph/GEPSNONPILOT/Tender/SplashBidNoticeAbstractUI.aspx?menuIndex=3&amp;refID=7065178&amp;Result=3","7065178")</f>
        <v>0</v>
      </c>
      <c r="B724" t="s">
        <v>359</v>
      </c>
      <c r="C724" t="s">
        <v>4240</v>
      </c>
      <c r="D724" t="s">
        <v>18824</v>
      </c>
      <c r="E724" t="s">
        <v>19581</v>
      </c>
      <c r="F724" t="s">
        <v>32664</v>
      </c>
      <c r="G724" t="s">
        <v>32671</v>
      </c>
      <c r="H724" t="s">
        <v>12635</v>
      </c>
      <c r="I724" t="s">
        <v>11464</v>
      </c>
      <c r="J724" t="s">
        <v>33396</v>
      </c>
      <c r="K724" t="s">
        <v>42283</v>
      </c>
      <c r="M724" t="s">
        <v>42928</v>
      </c>
      <c r="N724" t="s">
        <v>46569</v>
      </c>
      <c r="O724" t="s">
        <v>46570</v>
      </c>
      <c r="P724">
        <v>0</v>
      </c>
      <c r="Q724">
        <v>0</v>
      </c>
      <c r="R724" t="s">
        <v>46571</v>
      </c>
      <c r="S724" t="s">
        <v>46687</v>
      </c>
      <c r="T724" t="s">
        <v>48219</v>
      </c>
      <c r="U724" t="s">
        <v>49427</v>
      </c>
      <c r="W724" t="s">
        <v>42928</v>
      </c>
      <c r="X724" t="s">
        <v>46572</v>
      </c>
    </row>
    <row r="725" spans="1:24">
      <c r="A725">
        <f>HYPERLINK("https://www.philgeps.gov.ph/GEPSNONPILOT/Tender/SplashBidNoticeAbstractUI.aspx?menuIndex=3&amp;refID=7065202&amp;Result=3","7065202")</f>
        <v>0</v>
      </c>
      <c r="B725" t="s">
        <v>225</v>
      </c>
      <c r="C725" t="s">
        <v>4241</v>
      </c>
      <c r="D725" t="s">
        <v>18784</v>
      </c>
      <c r="E725" t="s">
        <v>19582</v>
      </c>
      <c r="F725" t="s">
        <v>32664</v>
      </c>
      <c r="G725" t="s">
        <v>32674</v>
      </c>
      <c r="H725" t="s">
        <v>12635</v>
      </c>
      <c r="I725" t="s">
        <v>4439</v>
      </c>
      <c r="J725" t="s">
        <v>33397</v>
      </c>
      <c r="K725" t="s">
        <v>42281</v>
      </c>
      <c r="M725" t="s">
        <v>42789</v>
      </c>
      <c r="N725" t="s">
        <v>46569</v>
      </c>
      <c r="O725" t="s">
        <v>46570</v>
      </c>
      <c r="P725">
        <v>0</v>
      </c>
      <c r="Q725">
        <v>0</v>
      </c>
      <c r="R725" t="s">
        <v>46571</v>
      </c>
      <c r="S725" t="s">
        <v>46687</v>
      </c>
      <c r="T725" t="s">
        <v>48225</v>
      </c>
      <c r="U725" t="s">
        <v>49428</v>
      </c>
      <c r="W725" t="s">
        <v>42789</v>
      </c>
      <c r="X725" t="s">
        <v>46572</v>
      </c>
    </row>
    <row r="726" spans="1:24">
      <c r="A726">
        <f>HYPERLINK("https://www.philgeps.gov.ph/GEPSNONPILOT/Tender/SplashBidNoticeAbstractUI.aspx?menuIndex=3&amp;refID=7065262&amp;Result=3","7065262")</f>
        <v>0</v>
      </c>
      <c r="B726" t="s">
        <v>360</v>
      </c>
      <c r="C726" t="s">
        <v>4242</v>
      </c>
      <c r="D726" t="s">
        <v>18835</v>
      </c>
      <c r="E726" t="s">
        <v>19583</v>
      </c>
      <c r="F726" t="s">
        <v>32664</v>
      </c>
      <c r="G726" t="s">
        <v>32674</v>
      </c>
      <c r="H726" t="s">
        <v>12635</v>
      </c>
      <c r="I726" t="s">
        <v>7324</v>
      </c>
      <c r="J726" t="s">
        <v>33398</v>
      </c>
      <c r="K726" t="s">
        <v>42283</v>
      </c>
      <c r="M726" t="s">
        <v>42929</v>
      </c>
      <c r="N726" t="s">
        <v>46569</v>
      </c>
      <c r="O726" t="s">
        <v>46570</v>
      </c>
      <c r="P726">
        <v>0</v>
      </c>
      <c r="Q726">
        <v>0</v>
      </c>
      <c r="R726" t="s">
        <v>46571</v>
      </c>
      <c r="S726" t="s">
        <v>46687</v>
      </c>
      <c r="T726" t="s">
        <v>48217</v>
      </c>
      <c r="U726" t="s">
        <v>49429</v>
      </c>
      <c r="W726" t="s">
        <v>42929</v>
      </c>
      <c r="X726" t="s">
        <v>46572</v>
      </c>
    </row>
    <row r="727" spans="1:24">
      <c r="A727">
        <f>HYPERLINK("https://www.philgeps.gov.ph/GEPSNONPILOT/Tender/SplashBidNoticeAbstractUI.aspx?menuIndex=3&amp;refID=7065260&amp;Result=3","7065260")</f>
        <v>0</v>
      </c>
      <c r="B727" t="s">
        <v>275</v>
      </c>
      <c r="C727" t="s">
        <v>4243</v>
      </c>
      <c r="D727" t="s">
        <v>18797</v>
      </c>
      <c r="E727" t="s">
        <v>19584</v>
      </c>
      <c r="F727" t="s">
        <v>32664</v>
      </c>
      <c r="G727" t="s">
        <v>32672</v>
      </c>
      <c r="H727" t="s">
        <v>12635</v>
      </c>
      <c r="I727" t="s">
        <v>14442</v>
      </c>
      <c r="J727" t="s">
        <v>33399</v>
      </c>
      <c r="K727" t="s">
        <v>42284</v>
      </c>
      <c r="M727" t="s">
        <v>42840</v>
      </c>
      <c r="N727" t="s">
        <v>46569</v>
      </c>
      <c r="O727" t="s">
        <v>46570</v>
      </c>
      <c r="P727">
        <v>0</v>
      </c>
      <c r="Q727">
        <v>1</v>
      </c>
      <c r="R727" t="s">
        <v>46571</v>
      </c>
      <c r="S727" t="s">
        <v>46687</v>
      </c>
      <c r="T727" t="s">
        <v>48337</v>
      </c>
      <c r="U727" t="s">
        <v>49430</v>
      </c>
      <c r="W727" t="s">
        <v>42840</v>
      </c>
      <c r="X727" t="s">
        <v>46572</v>
      </c>
    </row>
    <row r="728" spans="1:24">
      <c r="A728">
        <f>HYPERLINK("https://www.philgeps.gov.ph/GEPSNONPILOT/Tender/SplashBidNoticeAbstractUI.aspx?menuIndex=3&amp;refID=7065220&amp;Result=3","7065220")</f>
        <v>0</v>
      </c>
      <c r="B728" t="s">
        <v>190</v>
      </c>
      <c r="C728" t="s">
        <v>4244</v>
      </c>
      <c r="D728" t="s">
        <v>18807</v>
      </c>
      <c r="E728" t="s">
        <v>19585</v>
      </c>
      <c r="F728" t="s">
        <v>32664</v>
      </c>
      <c r="G728" t="s">
        <v>32671</v>
      </c>
      <c r="H728" t="s">
        <v>12635</v>
      </c>
      <c r="I728" t="s">
        <v>4439</v>
      </c>
      <c r="J728" t="s">
        <v>33400</v>
      </c>
      <c r="K728" t="s">
        <v>42289</v>
      </c>
      <c r="M728" t="s">
        <v>42754</v>
      </c>
      <c r="N728" t="s">
        <v>46569</v>
      </c>
      <c r="O728" t="s">
        <v>46570</v>
      </c>
      <c r="P728">
        <v>0</v>
      </c>
      <c r="Q728">
        <v>0</v>
      </c>
      <c r="R728" t="s">
        <v>46571</v>
      </c>
      <c r="S728" t="s">
        <v>46687</v>
      </c>
      <c r="T728" t="s">
        <v>48321</v>
      </c>
      <c r="U728" t="s">
        <v>49431</v>
      </c>
      <c r="W728" t="s">
        <v>42754</v>
      </c>
      <c r="X728" t="s">
        <v>46572</v>
      </c>
    </row>
    <row r="729" spans="1:24">
      <c r="A729">
        <f>HYPERLINK("https://www.philgeps.gov.ph/GEPSNONPILOT/Tender/SplashBidNoticeAbstractUI.aspx?menuIndex=3&amp;refID=7065195&amp;Result=3","7065195")</f>
        <v>0</v>
      </c>
      <c r="B729" t="s">
        <v>361</v>
      </c>
      <c r="C729" t="s">
        <v>4245</v>
      </c>
      <c r="D729" t="s">
        <v>18796</v>
      </c>
      <c r="E729" t="s">
        <v>19586</v>
      </c>
      <c r="F729" t="s">
        <v>32664</v>
      </c>
      <c r="G729" t="s">
        <v>32671</v>
      </c>
      <c r="H729" t="s">
        <v>12635</v>
      </c>
      <c r="I729" t="s">
        <v>32716</v>
      </c>
      <c r="J729" t="s">
        <v>33401</v>
      </c>
      <c r="K729" t="s">
        <v>42284</v>
      </c>
      <c r="M729" t="s">
        <v>42930</v>
      </c>
      <c r="N729" t="s">
        <v>46569</v>
      </c>
      <c r="O729" t="s">
        <v>46570</v>
      </c>
      <c r="P729">
        <v>0</v>
      </c>
      <c r="Q729">
        <v>1</v>
      </c>
      <c r="R729" t="s">
        <v>46571</v>
      </c>
      <c r="S729" t="s">
        <v>46687</v>
      </c>
      <c r="T729" t="s">
        <v>48338</v>
      </c>
      <c r="U729" t="s">
        <v>49432</v>
      </c>
      <c r="V729" t="s">
        <v>61708</v>
      </c>
      <c r="W729" t="s">
        <v>42930</v>
      </c>
      <c r="X729" t="s">
        <v>46572</v>
      </c>
    </row>
    <row r="730" spans="1:24">
      <c r="A730">
        <f>HYPERLINK("https://www.philgeps.gov.ph/GEPSNONPILOT/Tender/SplashBidNoticeAbstractUI.aspx?menuIndex=3&amp;refID=7065224&amp;Result=3","7065224")</f>
        <v>0</v>
      </c>
      <c r="B730" t="s">
        <v>132</v>
      </c>
      <c r="C730" t="s">
        <v>4246</v>
      </c>
      <c r="D730" t="s">
        <v>18831</v>
      </c>
      <c r="E730" t="s">
        <v>19587</v>
      </c>
      <c r="F730" t="s">
        <v>32664</v>
      </c>
      <c r="G730" t="s">
        <v>32672</v>
      </c>
      <c r="H730" t="s">
        <v>32683</v>
      </c>
      <c r="I730" t="s">
        <v>10627</v>
      </c>
      <c r="J730" t="s">
        <v>33402</v>
      </c>
      <c r="K730" t="s">
        <v>42289</v>
      </c>
      <c r="M730" t="s">
        <v>42696</v>
      </c>
      <c r="N730" t="s">
        <v>46569</v>
      </c>
      <c r="O730" t="s">
        <v>46570</v>
      </c>
      <c r="P730">
        <v>0</v>
      </c>
      <c r="Q730">
        <v>0</v>
      </c>
      <c r="R730" t="s">
        <v>46571</v>
      </c>
      <c r="S730" t="s">
        <v>46687</v>
      </c>
      <c r="T730" t="s">
        <v>48262</v>
      </c>
      <c r="U730" t="s">
        <v>49433</v>
      </c>
      <c r="V730" t="s">
        <v>61647</v>
      </c>
      <c r="W730" t="s">
        <v>42696</v>
      </c>
      <c r="X730" t="s">
        <v>46572</v>
      </c>
    </row>
    <row r="731" spans="1:24">
      <c r="A731">
        <f>HYPERLINK("https://www.philgeps.gov.ph/GEPSNONPILOT/Tender/SplashBidNoticeAbstractUI.aspx?menuIndex=3&amp;refID=7065221&amp;Result=3","7065221")</f>
        <v>0</v>
      </c>
      <c r="B731" t="s">
        <v>362</v>
      </c>
      <c r="C731" t="s">
        <v>4247</v>
      </c>
      <c r="D731" t="s">
        <v>18842</v>
      </c>
      <c r="E731" t="s">
        <v>19588</v>
      </c>
      <c r="F731" t="s">
        <v>32664</v>
      </c>
      <c r="G731" t="s">
        <v>32671</v>
      </c>
      <c r="H731" t="s">
        <v>12635</v>
      </c>
      <c r="I731" t="s">
        <v>32704</v>
      </c>
      <c r="J731" t="s">
        <v>33403</v>
      </c>
      <c r="K731" t="s">
        <v>42283</v>
      </c>
      <c r="M731" t="s">
        <v>42931</v>
      </c>
      <c r="N731" t="s">
        <v>46569</v>
      </c>
      <c r="O731" t="s">
        <v>46570</v>
      </c>
      <c r="P731">
        <v>0</v>
      </c>
      <c r="Q731">
        <v>6</v>
      </c>
      <c r="R731" t="s">
        <v>46571</v>
      </c>
      <c r="S731" t="s">
        <v>46687</v>
      </c>
      <c r="T731" t="s">
        <v>48283</v>
      </c>
      <c r="U731" t="s">
        <v>49434</v>
      </c>
      <c r="W731" t="s">
        <v>42931</v>
      </c>
      <c r="X731" t="s">
        <v>46572</v>
      </c>
    </row>
    <row r="732" spans="1:24">
      <c r="A732">
        <f>HYPERLINK("https://www.philgeps.gov.ph/GEPSNONPILOT/Tender/SplashBidNoticeAbstractUI.aspx?menuIndex=3&amp;refID=7065254&amp;Result=3","7065254")</f>
        <v>0</v>
      </c>
      <c r="B732" t="s">
        <v>363</v>
      </c>
      <c r="C732" t="s">
        <v>4248</v>
      </c>
      <c r="D732" t="s">
        <v>18792</v>
      </c>
      <c r="E732" t="s">
        <v>19589</v>
      </c>
      <c r="F732" t="s">
        <v>32664</v>
      </c>
      <c r="G732" t="s">
        <v>32671</v>
      </c>
      <c r="H732" t="s">
        <v>12635</v>
      </c>
      <c r="I732" t="s">
        <v>10361</v>
      </c>
      <c r="J732" t="s">
        <v>32959</v>
      </c>
      <c r="K732" t="s">
        <v>42306</v>
      </c>
      <c r="M732" t="s">
        <v>42932</v>
      </c>
      <c r="N732" t="s">
        <v>46569</v>
      </c>
      <c r="O732" t="s">
        <v>46570</v>
      </c>
      <c r="P732">
        <v>0</v>
      </c>
      <c r="Q732">
        <v>0</v>
      </c>
      <c r="R732" t="s">
        <v>46571</v>
      </c>
      <c r="S732" t="s">
        <v>46687</v>
      </c>
      <c r="T732" t="s">
        <v>48280</v>
      </c>
      <c r="U732" t="s">
        <v>49435</v>
      </c>
      <c r="W732" t="s">
        <v>42932</v>
      </c>
      <c r="X732" t="s">
        <v>46572</v>
      </c>
    </row>
    <row r="733" spans="1:24">
      <c r="A733">
        <f>HYPERLINK("https://www.philgeps.gov.ph/GEPSNONPILOT/Tender/SplashBidNoticeAbstractUI.aspx?menuIndex=3&amp;refID=7065249&amp;Result=3","7065249")</f>
        <v>0</v>
      </c>
      <c r="B733" t="s">
        <v>252</v>
      </c>
      <c r="C733" t="s">
        <v>4249</v>
      </c>
      <c r="D733" t="s">
        <v>18802</v>
      </c>
      <c r="E733" t="s">
        <v>19590</v>
      </c>
      <c r="F733" t="s">
        <v>32664</v>
      </c>
      <c r="G733" t="s">
        <v>32671</v>
      </c>
      <c r="H733" t="s">
        <v>12635</v>
      </c>
      <c r="I733" t="s">
        <v>7709</v>
      </c>
      <c r="J733" t="s">
        <v>33404</v>
      </c>
      <c r="K733" t="s">
        <v>42283</v>
      </c>
      <c r="L733" t="s">
        <v>252</v>
      </c>
      <c r="M733" t="s">
        <v>42817</v>
      </c>
      <c r="N733" t="s">
        <v>46569</v>
      </c>
      <c r="O733" t="s">
        <v>46570</v>
      </c>
      <c r="P733">
        <v>0</v>
      </c>
      <c r="Q733">
        <v>1</v>
      </c>
      <c r="R733" t="s">
        <v>46571</v>
      </c>
      <c r="S733" t="s">
        <v>46687</v>
      </c>
      <c r="T733" t="s">
        <v>48285</v>
      </c>
      <c r="U733" t="s">
        <v>49436</v>
      </c>
      <c r="W733" t="s">
        <v>42817</v>
      </c>
      <c r="X733" t="s">
        <v>46572</v>
      </c>
    </row>
    <row r="734" spans="1:24">
      <c r="A734">
        <f>HYPERLINK("https://www.philgeps.gov.ph/GEPSNONPILOT/Tender/SplashBidNoticeAbstractUI.aspx?menuIndex=3&amp;refID=7065258&amp;Result=3","7065258")</f>
        <v>0</v>
      </c>
      <c r="B734" t="s">
        <v>364</v>
      </c>
      <c r="C734" t="s">
        <v>4250</v>
      </c>
      <c r="E734" t="s">
        <v>19591</v>
      </c>
      <c r="F734" t="s">
        <v>32664</v>
      </c>
      <c r="G734" t="s">
        <v>32674</v>
      </c>
      <c r="H734" t="s">
        <v>12635</v>
      </c>
      <c r="I734" t="s">
        <v>4439</v>
      </c>
      <c r="J734" t="s">
        <v>33405</v>
      </c>
      <c r="K734" t="s">
        <v>42281</v>
      </c>
      <c r="M734" t="s">
        <v>42933</v>
      </c>
      <c r="N734" t="s">
        <v>46569</v>
      </c>
      <c r="O734" t="s">
        <v>46570</v>
      </c>
      <c r="P734">
        <v>0</v>
      </c>
      <c r="Q734">
        <v>1</v>
      </c>
      <c r="R734" t="s">
        <v>46571</v>
      </c>
      <c r="S734" t="s">
        <v>46687</v>
      </c>
      <c r="T734" t="s">
        <v>48256</v>
      </c>
      <c r="U734" t="s">
        <v>49437</v>
      </c>
      <c r="W734" t="s">
        <v>42933</v>
      </c>
      <c r="X734" t="s">
        <v>46572</v>
      </c>
    </row>
    <row r="735" spans="1:24">
      <c r="A735">
        <f>HYPERLINK("https://www.philgeps.gov.ph/GEPSNONPILOT/Tender/SplashBidNoticeAbstractUI.aspx?menuIndex=3&amp;refID=7065248&amp;Result=3","7065248")</f>
        <v>0</v>
      </c>
      <c r="B735" t="s">
        <v>292</v>
      </c>
      <c r="C735" t="s">
        <v>4251</v>
      </c>
      <c r="D735" t="s">
        <v>18801</v>
      </c>
      <c r="E735" t="s">
        <v>19592</v>
      </c>
      <c r="F735" t="s">
        <v>32665</v>
      </c>
      <c r="G735" t="s">
        <v>32672</v>
      </c>
      <c r="H735" t="s">
        <v>32683</v>
      </c>
      <c r="I735" t="s">
        <v>10627</v>
      </c>
      <c r="J735" t="s">
        <v>32859</v>
      </c>
      <c r="K735" t="s">
        <v>42281</v>
      </c>
      <c r="L735" t="s">
        <v>292</v>
      </c>
      <c r="M735" t="s">
        <v>42859</v>
      </c>
      <c r="N735" t="s">
        <v>46569</v>
      </c>
      <c r="O735" t="s">
        <v>46570</v>
      </c>
      <c r="P735">
        <v>0</v>
      </c>
      <c r="Q735">
        <v>0</v>
      </c>
      <c r="R735" t="s">
        <v>46571</v>
      </c>
      <c r="S735" t="s">
        <v>46687</v>
      </c>
      <c r="T735" t="s">
        <v>48222</v>
      </c>
      <c r="U735" t="s">
        <v>49438</v>
      </c>
      <c r="W735" t="s">
        <v>42859</v>
      </c>
      <c r="X735" t="s">
        <v>46572</v>
      </c>
    </row>
    <row r="736" spans="1:24">
      <c r="A736">
        <f>HYPERLINK("https://www.philgeps.gov.ph/GEPSNONPILOT/Tender/SplashBidNoticeAbstractUI.aspx?menuIndex=3&amp;refID=7065256&amp;Result=3","7065256")</f>
        <v>0</v>
      </c>
      <c r="B736" t="s">
        <v>355</v>
      </c>
      <c r="C736" t="s">
        <v>4252</v>
      </c>
      <c r="D736" t="s">
        <v>18816</v>
      </c>
      <c r="E736" t="s">
        <v>19593</v>
      </c>
      <c r="F736" t="s">
        <v>32664</v>
      </c>
      <c r="G736" t="s">
        <v>32671</v>
      </c>
      <c r="H736" t="s">
        <v>12635</v>
      </c>
      <c r="I736" t="s">
        <v>32685</v>
      </c>
      <c r="J736" t="s">
        <v>33406</v>
      </c>
      <c r="K736" t="s">
        <v>42330</v>
      </c>
      <c r="M736" t="s">
        <v>42924</v>
      </c>
      <c r="N736" t="s">
        <v>46569</v>
      </c>
      <c r="O736" t="s">
        <v>46570</v>
      </c>
      <c r="P736">
        <v>0</v>
      </c>
      <c r="Q736">
        <v>1</v>
      </c>
      <c r="R736" t="s">
        <v>46571</v>
      </c>
      <c r="S736" t="s">
        <v>46687</v>
      </c>
      <c r="T736" t="s">
        <v>48244</v>
      </c>
      <c r="U736" t="s">
        <v>49439</v>
      </c>
      <c r="W736" t="s">
        <v>42924</v>
      </c>
      <c r="X736" t="s">
        <v>46572</v>
      </c>
    </row>
    <row r="737" spans="1:24">
      <c r="A737">
        <f>HYPERLINK("https://www.philgeps.gov.ph/GEPSNONPILOT/Tender/SplashBidNoticeAbstractUI.aspx?menuIndex=3&amp;refID=7065261&amp;Result=3","7065261")</f>
        <v>0</v>
      </c>
      <c r="B737" t="s">
        <v>252</v>
      </c>
      <c r="C737" t="s">
        <v>4253</v>
      </c>
      <c r="D737" t="s">
        <v>18802</v>
      </c>
      <c r="E737" t="s">
        <v>19594</v>
      </c>
      <c r="F737" t="s">
        <v>32664</v>
      </c>
      <c r="G737" t="s">
        <v>32671</v>
      </c>
      <c r="H737" t="s">
        <v>12635</v>
      </c>
      <c r="I737" t="s">
        <v>8797</v>
      </c>
      <c r="J737" t="s">
        <v>33407</v>
      </c>
      <c r="K737" t="s">
        <v>42283</v>
      </c>
      <c r="L737" t="s">
        <v>252</v>
      </c>
      <c r="M737" t="s">
        <v>42817</v>
      </c>
      <c r="N737" t="s">
        <v>46569</v>
      </c>
      <c r="O737" t="s">
        <v>46570</v>
      </c>
      <c r="P737">
        <v>0</v>
      </c>
      <c r="Q737">
        <v>6</v>
      </c>
      <c r="R737" t="s">
        <v>46571</v>
      </c>
      <c r="S737" t="s">
        <v>46687</v>
      </c>
      <c r="T737" t="s">
        <v>48285</v>
      </c>
      <c r="U737" t="s">
        <v>49436</v>
      </c>
      <c r="W737" t="s">
        <v>42817</v>
      </c>
      <c r="X737" t="s">
        <v>46572</v>
      </c>
    </row>
    <row r="738" spans="1:24">
      <c r="A738">
        <f>HYPERLINK("https://www.philgeps.gov.ph/GEPSNONPILOT/Tender/SplashBidNoticeAbstractUI.aspx?menuIndex=3&amp;refID=7065247&amp;Result=3","7065247")</f>
        <v>0</v>
      </c>
      <c r="B738" t="s">
        <v>301</v>
      </c>
      <c r="C738" t="s">
        <v>4254</v>
      </c>
      <c r="D738" t="s">
        <v>18830</v>
      </c>
      <c r="E738" t="s">
        <v>19595</v>
      </c>
      <c r="F738" t="s">
        <v>32664</v>
      </c>
      <c r="G738" t="s">
        <v>32671</v>
      </c>
      <c r="H738" t="s">
        <v>12635</v>
      </c>
      <c r="I738" t="s">
        <v>6168</v>
      </c>
      <c r="J738" t="s">
        <v>33408</v>
      </c>
      <c r="K738" t="s">
        <v>42284</v>
      </c>
      <c r="M738" t="s">
        <v>42868</v>
      </c>
      <c r="N738" t="s">
        <v>46569</v>
      </c>
      <c r="O738" t="s">
        <v>46570</v>
      </c>
      <c r="P738">
        <v>0</v>
      </c>
      <c r="Q738">
        <v>0</v>
      </c>
      <c r="R738" t="s">
        <v>46571</v>
      </c>
      <c r="S738" t="s">
        <v>46687</v>
      </c>
      <c r="T738" t="s">
        <v>48221</v>
      </c>
      <c r="U738" t="s">
        <v>49440</v>
      </c>
      <c r="W738" t="s">
        <v>42868</v>
      </c>
      <c r="X738" t="s">
        <v>46572</v>
      </c>
    </row>
    <row r="739" spans="1:24">
      <c r="A739">
        <f>HYPERLINK("https://www.philgeps.gov.ph/GEPSNONPILOT/Tender/SplashBidNoticeAbstractUI.aspx?menuIndex=3&amp;refID=7065263&amp;Result=3","7065263")</f>
        <v>0</v>
      </c>
      <c r="B739" t="s">
        <v>337</v>
      </c>
      <c r="C739" t="s">
        <v>4255</v>
      </c>
      <c r="D739" t="s">
        <v>18842</v>
      </c>
      <c r="E739" t="s">
        <v>19596</v>
      </c>
      <c r="F739" t="s">
        <v>32664</v>
      </c>
      <c r="G739" t="s">
        <v>32671</v>
      </c>
      <c r="H739" t="s">
        <v>32683</v>
      </c>
      <c r="I739" t="s">
        <v>10627</v>
      </c>
      <c r="J739" t="s">
        <v>33038</v>
      </c>
      <c r="K739" t="s">
        <v>42311</v>
      </c>
      <c r="M739" t="s">
        <v>42905</v>
      </c>
      <c r="N739" t="s">
        <v>46569</v>
      </c>
      <c r="O739" t="s">
        <v>46570</v>
      </c>
      <c r="P739">
        <v>0</v>
      </c>
      <c r="Q739">
        <v>0</v>
      </c>
      <c r="R739" t="s">
        <v>46571</v>
      </c>
      <c r="S739" t="s">
        <v>46687</v>
      </c>
      <c r="T739" t="s">
        <v>48256</v>
      </c>
      <c r="U739" t="s">
        <v>49441</v>
      </c>
      <c r="W739" t="s">
        <v>42905</v>
      </c>
      <c r="X739" t="s">
        <v>46572</v>
      </c>
    </row>
    <row r="740" spans="1:24">
      <c r="A740">
        <f>HYPERLINK("https://www.philgeps.gov.ph/GEPSNONPILOT/Tender/SplashBidNoticeAbstractUI.aspx?menuIndex=3&amp;refID=7065259&amp;Result=3","7065259")</f>
        <v>0</v>
      </c>
      <c r="B740" t="s">
        <v>365</v>
      </c>
      <c r="C740" t="s">
        <v>4256</v>
      </c>
      <c r="D740" t="s">
        <v>18816</v>
      </c>
      <c r="E740" t="s">
        <v>19597</v>
      </c>
      <c r="F740" t="s">
        <v>32664</v>
      </c>
      <c r="G740" t="s">
        <v>32671</v>
      </c>
      <c r="H740" t="s">
        <v>12635</v>
      </c>
      <c r="I740" t="s">
        <v>32685</v>
      </c>
      <c r="J740" t="s">
        <v>33409</v>
      </c>
      <c r="K740" t="s">
        <v>42281</v>
      </c>
      <c r="M740" t="s">
        <v>42934</v>
      </c>
      <c r="N740" t="s">
        <v>46569</v>
      </c>
      <c r="O740" t="s">
        <v>46570</v>
      </c>
      <c r="P740">
        <v>0</v>
      </c>
      <c r="Q740">
        <v>1</v>
      </c>
      <c r="R740" t="s">
        <v>46571</v>
      </c>
      <c r="S740" t="s">
        <v>46687</v>
      </c>
      <c r="T740" t="s">
        <v>48244</v>
      </c>
      <c r="U740" t="s">
        <v>49442</v>
      </c>
      <c r="W740" t="s">
        <v>42934</v>
      </c>
      <c r="X740" t="s">
        <v>46572</v>
      </c>
    </row>
    <row r="741" spans="1:24">
      <c r="A741">
        <f>HYPERLINK("https://www.philgeps.gov.ph/GEPSNONPILOT/Tender/SplashBidNoticeAbstractUI.aspx?menuIndex=3&amp;refID=7065240&amp;Result=3","7065240")</f>
        <v>0</v>
      </c>
      <c r="B741" t="s">
        <v>324</v>
      </c>
      <c r="C741" t="s">
        <v>4257</v>
      </c>
      <c r="D741" t="s">
        <v>18784</v>
      </c>
      <c r="E741" t="s">
        <v>19598</v>
      </c>
      <c r="F741" t="s">
        <v>32664</v>
      </c>
      <c r="G741" t="s">
        <v>32671</v>
      </c>
      <c r="H741" t="s">
        <v>12635</v>
      </c>
      <c r="I741" t="s">
        <v>6628</v>
      </c>
      <c r="J741" t="s">
        <v>33410</v>
      </c>
      <c r="K741" t="s">
        <v>42283</v>
      </c>
      <c r="M741" t="s">
        <v>42892</v>
      </c>
      <c r="N741" t="s">
        <v>46569</v>
      </c>
      <c r="O741" t="s">
        <v>46570</v>
      </c>
      <c r="P741">
        <v>0</v>
      </c>
      <c r="Q741">
        <v>4</v>
      </c>
      <c r="R741" t="s">
        <v>46571</v>
      </c>
      <c r="S741" t="s">
        <v>46687</v>
      </c>
      <c r="T741" t="s">
        <v>48267</v>
      </c>
      <c r="U741" t="s">
        <v>49360</v>
      </c>
      <c r="W741" t="s">
        <v>42892</v>
      </c>
      <c r="X741" t="s">
        <v>46572</v>
      </c>
    </row>
    <row r="742" spans="1:24">
      <c r="A742">
        <f>HYPERLINK("https://www.philgeps.gov.ph/GEPSNONPILOT/Tender/SplashBidNoticeAbstractUI.aspx?menuIndex=3&amp;refID=7065238&amp;Result=3","7065238")</f>
        <v>0</v>
      </c>
      <c r="B742" t="s">
        <v>313</v>
      </c>
      <c r="C742" t="s">
        <v>4138</v>
      </c>
      <c r="D742" t="s">
        <v>18784</v>
      </c>
      <c r="E742" t="s">
        <v>19599</v>
      </c>
      <c r="F742" t="s">
        <v>32664</v>
      </c>
      <c r="G742" t="s">
        <v>32671</v>
      </c>
      <c r="H742" t="s">
        <v>12635</v>
      </c>
      <c r="I742" t="s">
        <v>6168</v>
      </c>
      <c r="J742" t="s">
        <v>33411</v>
      </c>
      <c r="K742" t="s">
        <v>42309</v>
      </c>
      <c r="M742" t="s">
        <v>42880</v>
      </c>
      <c r="N742" t="s">
        <v>46569</v>
      </c>
      <c r="O742" t="s">
        <v>46570</v>
      </c>
      <c r="P742">
        <v>0</v>
      </c>
      <c r="Q742">
        <v>3</v>
      </c>
      <c r="R742" t="s">
        <v>46571</v>
      </c>
      <c r="S742" t="s">
        <v>46687</v>
      </c>
      <c r="T742" t="s">
        <v>48256</v>
      </c>
      <c r="U742" t="s">
        <v>49443</v>
      </c>
      <c r="W742" t="s">
        <v>42880</v>
      </c>
      <c r="X742" t="s">
        <v>46572</v>
      </c>
    </row>
    <row r="743" spans="1:24">
      <c r="A743">
        <f>HYPERLINK("https://www.philgeps.gov.ph/GEPSNONPILOT/Tender/SplashBidNoticeAbstractUI.aspx?menuIndex=3&amp;refID=7065292&amp;Result=3","7065292")</f>
        <v>0</v>
      </c>
      <c r="B743" t="s">
        <v>366</v>
      </c>
      <c r="C743" t="s">
        <v>4258</v>
      </c>
      <c r="D743" t="s">
        <v>18785</v>
      </c>
      <c r="E743" t="s">
        <v>19600</v>
      </c>
      <c r="F743" t="s">
        <v>32664</v>
      </c>
      <c r="G743" t="s">
        <v>32671</v>
      </c>
      <c r="H743" t="s">
        <v>12635</v>
      </c>
      <c r="I743" t="s">
        <v>32727</v>
      </c>
      <c r="J743" t="s">
        <v>33412</v>
      </c>
      <c r="K743" t="s">
        <v>42283</v>
      </c>
      <c r="M743" t="s">
        <v>42935</v>
      </c>
      <c r="N743" t="s">
        <v>46569</v>
      </c>
      <c r="O743" t="s">
        <v>46570</v>
      </c>
      <c r="P743">
        <v>0</v>
      </c>
      <c r="Q743">
        <v>2</v>
      </c>
      <c r="R743" t="s">
        <v>46571</v>
      </c>
      <c r="S743" t="s">
        <v>46687</v>
      </c>
      <c r="T743" t="s">
        <v>48283</v>
      </c>
      <c r="U743" t="s">
        <v>49444</v>
      </c>
      <c r="W743" t="s">
        <v>42935</v>
      </c>
      <c r="X743" t="s">
        <v>46572</v>
      </c>
    </row>
    <row r="744" spans="1:24">
      <c r="A744">
        <f>HYPERLINK("https://www.philgeps.gov.ph/GEPSNONPILOT/Tender/SplashBidNoticeAbstractUI.aspx?menuIndex=3&amp;refID=7065251&amp;Result=3","7065251")</f>
        <v>0</v>
      </c>
      <c r="B744" t="s">
        <v>367</v>
      </c>
      <c r="C744" t="s">
        <v>4259</v>
      </c>
      <c r="D744" t="s">
        <v>18851</v>
      </c>
      <c r="E744" t="s">
        <v>19601</v>
      </c>
      <c r="F744" t="s">
        <v>32664</v>
      </c>
      <c r="G744" t="s">
        <v>32671</v>
      </c>
      <c r="H744" t="s">
        <v>12635</v>
      </c>
      <c r="I744" t="s">
        <v>32706</v>
      </c>
      <c r="J744" t="s">
        <v>32898</v>
      </c>
      <c r="K744" t="s">
        <v>42283</v>
      </c>
      <c r="M744" t="s">
        <v>42936</v>
      </c>
      <c r="N744" t="s">
        <v>46569</v>
      </c>
      <c r="O744" t="s">
        <v>46570</v>
      </c>
      <c r="P744">
        <v>0</v>
      </c>
      <c r="Q744">
        <v>0</v>
      </c>
      <c r="R744" t="s">
        <v>46571</v>
      </c>
      <c r="S744" t="s">
        <v>46687</v>
      </c>
      <c r="T744" t="s">
        <v>48256</v>
      </c>
      <c r="U744" t="s">
        <v>49445</v>
      </c>
      <c r="W744" t="s">
        <v>42936</v>
      </c>
      <c r="X744" t="s">
        <v>46572</v>
      </c>
    </row>
    <row r="745" spans="1:24">
      <c r="A745">
        <f>HYPERLINK("https://www.philgeps.gov.ph/GEPSNONPILOT/Tender/SplashBidNoticeAbstractUI.aspx?menuIndex=3&amp;refID=7065244&amp;Result=3","7065244")</f>
        <v>0</v>
      </c>
      <c r="B745" t="s">
        <v>368</v>
      </c>
      <c r="C745" t="s">
        <v>4260</v>
      </c>
      <c r="D745" t="s">
        <v>18849</v>
      </c>
      <c r="E745" t="s">
        <v>19602</v>
      </c>
      <c r="F745" t="s">
        <v>32664</v>
      </c>
      <c r="G745" t="s">
        <v>32671</v>
      </c>
      <c r="H745" t="s">
        <v>12635</v>
      </c>
      <c r="I745" t="s">
        <v>32684</v>
      </c>
      <c r="J745" t="s">
        <v>33413</v>
      </c>
      <c r="K745" t="s">
        <v>42289</v>
      </c>
      <c r="M745" t="s">
        <v>42937</v>
      </c>
      <c r="N745" t="s">
        <v>46569</v>
      </c>
      <c r="O745" t="s">
        <v>46570</v>
      </c>
      <c r="P745">
        <v>0</v>
      </c>
      <c r="Q745">
        <v>3</v>
      </c>
      <c r="R745" t="s">
        <v>46571</v>
      </c>
      <c r="S745" t="s">
        <v>46687</v>
      </c>
      <c r="T745" t="s">
        <v>48276</v>
      </c>
      <c r="U745" t="s">
        <v>49446</v>
      </c>
      <c r="V745" t="s">
        <v>61709</v>
      </c>
      <c r="W745" t="s">
        <v>42937</v>
      </c>
      <c r="X745" t="s">
        <v>46572</v>
      </c>
    </row>
    <row r="746" spans="1:24">
      <c r="A746">
        <f>HYPERLINK("https://www.philgeps.gov.ph/GEPSNONPILOT/Tender/SplashBidNoticeAbstractUI.aspx?menuIndex=3&amp;refID=7065287&amp;Result=3","7065287")</f>
        <v>0</v>
      </c>
      <c r="B746" t="s">
        <v>292</v>
      </c>
      <c r="C746" t="s">
        <v>4261</v>
      </c>
      <c r="D746" t="s">
        <v>18801</v>
      </c>
      <c r="E746" t="s">
        <v>19603</v>
      </c>
      <c r="F746" t="s">
        <v>32665</v>
      </c>
      <c r="G746" t="s">
        <v>32672</v>
      </c>
      <c r="H746" t="s">
        <v>32683</v>
      </c>
      <c r="I746" t="s">
        <v>10627</v>
      </c>
      <c r="J746" t="s">
        <v>33128</v>
      </c>
      <c r="K746" t="s">
        <v>42281</v>
      </c>
      <c r="L746" t="s">
        <v>292</v>
      </c>
      <c r="M746" t="s">
        <v>42859</v>
      </c>
      <c r="N746" t="s">
        <v>46569</v>
      </c>
      <c r="O746" t="s">
        <v>46570</v>
      </c>
      <c r="P746">
        <v>0</v>
      </c>
      <c r="Q746">
        <v>0</v>
      </c>
      <c r="R746" t="s">
        <v>46571</v>
      </c>
      <c r="S746" t="s">
        <v>46687</v>
      </c>
      <c r="T746" t="s">
        <v>48339</v>
      </c>
      <c r="U746" t="s">
        <v>49447</v>
      </c>
      <c r="W746" t="s">
        <v>42859</v>
      </c>
      <c r="X746" t="s">
        <v>46572</v>
      </c>
    </row>
    <row r="747" spans="1:24">
      <c r="A747">
        <f>HYPERLINK("https://www.philgeps.gov.ph/GEPSNONPILOT/Tender/SplashBidNoticeAbstractUI.aspx?menuIndex=3&amp;refID=7065242&amp;Result=3","7065242")</f>
        <v>0</v>
      </c>
      <c r="B747" t="s">
        <v>369</v>
      </c>
      <c r="C747" t="s">
        <v>4262</v>
      </c>
      <c r="D747" t="s">
        <v>18816</v>
      </c>
      <c r="E747" t="s">
        <v>19604</v>
      </c>
      <c r="F747" t="s">
        <v>32664</v>
      </c>
      <c r="G747" t="s">
        <v>32672</v>
      </c>
      <c r="H747" t="s">
        <v>32683</v>
      </c>
      <c r="I747" t="s">
        <v>4439</v>
      </c>
      <c r="J747" t="s">
        <v>33150</v>
      </c>
      <c r="K747" t="s">
        <v>42290</v>
      </c>
      <c r="M747" t="s">
        <v>42938</v>
      </c>
      <c r="N747" t="s">
        <v>46569</v>
      </c>
      <c r="O747" t="s">
        <v>46570</v>
      </c>
      <c r="P747">
        <v>0</v>
      </c>
      <c r="Q747">
        <v>0</v>
      </c>
      <c r="R747" t="s">
        <v>46571</v>
      </c>
      <c r="S747" t="s">
        <v>46687</v>
      </c>
      <c r="T747" t="s">
        <v>48257</v>
      </c>
      <c r="U747" t="s">
        <v>49448</v>
      </c>
      <c r="W747" t="s">
        <v>42938</v>
      </c>
      <c r="X747" t="s">
        <v>46572</v>
      </c>
    </row>
    <row r="748" spans="1:24">
      <c r="A748">
        <f>HYPERLINK("https://www.philgeps.gov.ph/GEPSNONPILOT/Tender/SplashBidNoticeAbstractUI.aspx?menuIndex=3&amp;refID=7065289&amp;Result=3","7065289")</f>
        <v>0</v>
      </c>
      <c r="B748" t="s">
        <v>370</v>
      </c>
      <c r="C748" t="s">
        <v>4263</v>
      </c>
      <c r="D748" t="s">
        <v>18792</v>
      </c>
      <c r="E748" t="s">
        <v>19356</v>
      </c>
      <c r="F748" t="s">
        <v>32664</v>
      </c>
      <c r="G748" t="s">
        <v>32672</v>
      </c>
      <c r="H748" t="s">
        <v>32683</v>
      </c>
      <c r="I748" t="s">
        <v>32723</v>
      </c>
      <c r="J748" t="s">
        <v>33414</v>
      </c>
      <c r="K748" t="s">
        <v>42281</v>
      </c>
      <c r="M748" t="s">
        <v>42939</v>
      </c>
      <c r="N748" t="s">
        <v>46569</v>
      </c>
      <c r="O748" t="s">
        <v>46570</v>
      </c>
      <c r="P748">
        <v>0</v>
      </c>
      <c r="Q748">
        <v>0</v>
      </c>
      <c r="R748" t="s">
        <v>46571</v>
      </c>
      <c r="S748" t="s">
        <v>46687</v>
      </c>
      <c r="T748" t="s">
        <v>48225</v>
      </c>
      <c r="U748" t="s">
        <v>49449</v>
      </c>
      <c r="W748" t="s">
        <v>42939</v>
      </c>
      <c r="X748" t="s">
        <v>46572</v>
      </c>
    </row>
    <row r="749" spans="1:24">
      <c r="A749">
        <f>HYPERLINK("https://www.philgeps.gov.ph/GEPSNONPILOT/Tender/SplashBidNoticeAbstractUI.aspx?menuIndex=3&amp;refID=7065246&amp;Result=3","7065246")</f>
        <v>0</v>
      </c>
      <c r="B749" t="s">
        <v>93</v>
      </c>
      <c r="C749" t="s">
        <v>4264</v>
      </c>
      <c r="D749" t="s">
        <v>18799</v>
      </c>
      <c r="E749" t="s">
        <v>19605</v>
      </c>
      <c r="F749" t="s">
        <v>32664</v>
      </c>
      <c r="G749" t="s">
        <v>32671</v>
      </c>
      <c r="H749" t="s">
        <v>12635</v>
      </c>
      <c r="I749" t="s">
        <v>32708</v>
      </c>
      <c r="J749" t="s">
        <v>33415</v>
      </c>
      <c r="K749" t="s">
        <v>42284</v>
      </c>
      <c r="M749" t="s">
        <v>42940</v>
      </c>
      <c r="N749" t="s">
        <v>46569</v>
      </c>
      <c r="O749" t="s">
        <v>46570</v>
      </c>
      <c r="P749">
        <v>0</v>
      </c>
      <c r="Q749">
        <v>1</v>
      </c>
      <c r="R749" t="s">
        <v>46571</v>
      </c>
      <c r="S749" t="s">
        <v>46687</v>
      </c>
      <c r="T749" t="s">
        <v>48221</v>
      </c>
      <c r="U749" t="s">
        <v>49450</v>
      </c>
      <c r="V749" t="s">
        <v>61710</v>
      </c>
      <c r="W749" t="s">
        <v>42940</v>
      </c>
      <c r="X749" t="s">
        <v>46572</v>
      </c>
    </row>
    <row r="750" spans="1:24">
      <c r="A750">
        <f>HYPERLINK("https://www.philgeps.gov.ph/GEPSNONPILOT/Tender/SplashBidNoticeAbstractUI.aspx?menuIndex=3&amp;refID=7065288&amp;Result=3","7065288")</f>
        <v>0</v>
      </c>
      <c r="B750" t="s">
        <v>295</v>
      </c>
      <c r="C750" t="s">
        <v>4265</v>
      </c>
      <c r="D750" t="s">
        <v>18848</v>
      </c>
      <c r="E750" t="s">
        <v>19606</v>
      </c>
      <c r="F750" t="s">
        <v>32664</v>
      </c>
      <c r="G750" t="s">
        <v>32672</v>
      </c>
      <c r="H750" t="s">
        <v>12635</v>
      </c>
      <c r="I750" t="s">
        <v>6168</v>
      </c>
      <c r="J750" t="s">
        <v>33416</v>
      </c>
      <c r="K750" t="s">
        <v>42297</v>
      </c>
      <c r="M750" t="s">
        <v>42862</v>
      </c>
      <c r="N750" t="s">
        <v>46569</v>
      </c>
      <c r="O750" t="s">
        <v>46570</v>
      </c>
      <c r="P750">
        <v>0</v>
      </c>
      <c r="Q750">
        <v>0</v>
      </c>
      <c r="R750" t="s">
        <v>46571</v>
      </c>
      <c r="S750" t="s">
        <v>46687</v>
      </c>
      <c r="T750" t="s">
        <v>48322</v>
      </c>
      <c r="U750" t="s">
        <v>49451</v>
      </c>
      <c r="W750" t="s">
        <v>42862</v>
      </c>
      <c r="X750" t="s">
        <v>46572</v>
      </c>
    </row>
    <row r="751" spans="1:24">
      <c r="A751">
        <f>HYPERLINK("https://www.philgeps.gov.ph/GEPSNONPILOT/Tender/SplashBidNoticeAbstractUI.aspx?menuIndex=3&amp;refID=7065282&amp;Result=3","7065282")</f>
        <v>0</v>
      </c>
      <c r="B751" t="s">
        <v>371</v>
      </c>
      <c r="C751" t="s">
        <v>4266</v>
      </c>
      <c r="D751" t="s">
        <v>18782</v>
      </c>
      <c r="E751" t="s">
        <v>19607</v>
      </c>
      <c r="F751" t="s">
        <v>32664</v>
      </c>
      <c r="G751" t="s">
        <v>32672</v>
      </c>
      <c r="H751" t="s">
        <v>32683</v>
      </c>
      <c r="I751" t="s">
        <v>10627</v>
      </c>
      <c r="J751" t="s">
        <v>33417</v>
      </c>
      <c r="K751" t="s">
        <v>42281</v>
      </c>
      <c r="M751" t="s">
        <v>42941</v>
      </c>
      <c r="N751" t="s">
        <v>46569</v>
      </c>
      <c r="O751" t="s">
        <v>46570</v>
      </c>
      <c r="P751">
        <v>0</v>
      </c>
      <c r="Q751">
        <v>0</v>
      </c>
      <c r="R751" t="s">
        <v>46571</v>
      </c>
      <c r="S751" t="s">
        <v>46687</v>
      </c>
      <c r="T751" t="s">
        <v>48237</v>
      </c>
      <c r="U751" t="s">
        <v>49452</v>
      </c>
      <c r="W751" t="s">
        <v>42941</v>
      </c>
      <c r="X751" t="s">
        <v>46572</v>
      </c>
    </row>
    <row r="752" spans="1:24">
      <c r="A752">
        <f>HYPERLINK("https://www.philgeps.gov.ph/GEPSNONPILOT/Tender/SplashBidNoticeAbstractUI.aspx?menuIndex=3&amp;refID=7065279&amp;Result=3","7065279")</f>
        <v>0</v>
      </c>
      <c r="B752" t="s">
        <v>372</v>
      </c>
      <c r="C752" t="s">
        <v>4267</v>
      </c>
      <c r="D752" t="s">
        <v>18827</v>
      </c>
      <c r="E752" t="s">
        <v>19608</v>
      </c>
      <c r="F752" t="s">
        <v>32664</v>
      </c>
      <c r="G752" t="s">
        <v>32671</v>
      </c>
      <c r="H752" t="s">
        <v>12635</v>
      </c>
      <c r="I752" t="s">
        <v>6223</v>
      </c>
      <c r="J752" t="s">
        <v>33418</v>
      </c>
      <c r="K752" t="s">
        <v>42332</v>
      </c>
      <c r="M752" t="s">
        <v>42942</v>
      </c>
      <c r="N752" t="s">
        <v>46569</v>
      </c>
      <c r="O752" t="s">
        <v>46570</v>
      </c>
      <c r="P752">
        <v>0</v>
      </c>
      <c r="Q752">
        <v>1</v>
      </c>
      <c r="R752" t="s">
        <v>46571</v>
      </c>
      <c r="S752" t="s">
        <v>46687</v>
      </c>
      <c r="T752" t="s">
        <v>48228</v>
      </c>
      <c r="U752" t="s">
        <v>49453</v>
      </c>
      <c r="W752" t="s">
        <v>42942</v>
      </c>
      <c r="X752" t="s">
        <v>46572</v>
      </c>
    </row>
    <row r="753" spans="1:24">
      <c r="A753">
        <f>HYPERLINK("https://www.philgeps.gov.ph/GEPSNONPILOT/Tender/SplashBidNoticeAbstractUI.aspx?menuIndex=3&amp;refID=7065255&amp;Result=3","7065255")</f>
        <v>0</v>
      </c>
      <c r="B753" t="s">
        <v>373</v>
      </c>
      <c r="C753" t="s">
        <v>4268</v>
      </c>
      <c r="D753" t="s">
        <v>18804</v>
      </c>
      <c r="E753" t="s">
        <v>19609</v>
      </c>
      <c r="F753" t="s">
        <v>32664</v>
      </c>
      <c r="G753" t="s">
        <v>32671</v>
      </c>
      <c r="H753" t="s">
        <v>12635</v>
      </c>
      <c r="I753" t="s">
        <v>6628</v>
      </c>
      <c r="J753" t="s">
        <v>32959</v>
      </c>
      <c r="K753" t="s">
        <v>42284</v>
      </c>
      <c r="M753" t="s">
        <v>42943</v>
      </c>
      <c r="N753" t="s">
        <v>46569</v>
      </c>
      <c r="O753" t="s">
        <v>46570</v>
      </c>
      <c r="P753">
        <v>0</v>
      </c>
      <c r="Q753">
        <v>5</v>
      </c>
      <c r="R753" t="s">
        <v>46571</v>
      </c>
      <c r="S753" t="s">
        <v>46687</v>
      </c>
      <c r="T753" t="s">
        <v>48256</v>
      </c>
      <c r="U753" t="s">
        <v>49454</v>
      </c>
      <c r="W753" t="s">
        <v>42943</v>
      </c>
      <c r="X753" t="s">
        <v>46572</v>
      </c>
    </row>
    <row r="754" spans="1:24">
      <c r="A754">
        <f>HYPERLINK("https://www.philgeps.gov.ph/GEPSNONPILOT/Tender/SplashBidNoticeAbstractUI.aspx?menuIndex=3&amp;refID=7065280&amp;Result=3","7065280")</f>
        <v>0</v>
      </c>
      <c r="B754" t="s">
        <v>374</v>
      </c>
      <c r="C754" t="s">
        <v>4269</v>
      </c>
      <c r="D754" t="s">
        <v>18784</v>
      </c>
      <c r="E754" t="s">
        <v>19610</v>
      </c>
      <c r="F754" t="s">
        <v>32664</v>
      </c>
      <c r="G754" t="s">
        <v>32674</v>
      </c>
      <c r="H754" t="s">
        <v>12635</v>
      </c>
      <c r="I754" t="s">
        <v>5589</v>
      </c>
      <c r="J754" t="s">
        <v>33419</v>
      </c>
      <c r="K754" t="s">
        <v>42283</v>
      </c>
      <c r="M754" t="s">
        <v>42944</v>
      </c>
      <c r="N754" t="s">
        <v>46569</v>
      </c>
      <c r="O754" t="s">
        <v>46570</v>
      </c>
      <c r="P754">
        <v>0</v>
      </c>
      <c r="Q754">
        <v>7</v>
      </c>
      <c r="R754" t="s">
        <v>46571</v>
      </c>
      <c r="S754" t="s">
        <v>46687</v>
      </c>
      <c r="T754" t="s">
        <v>48221</v>
      </c>
      <c r="U754" t="s">
        <v>49303</v>
      </c>
      <c r="W754" t="s">
        <v>42944</v>
      </c>
      <c r="X754" t="s">
        <v>46572</v>
      </c>
    </row>
    <row r="755" spans="1:24">
      <c r="A755">
        <f>HYPERLINK("https://www.philgeps.gov.ph/GEPSNONPILOT/Tender/SplashBidNoticeAbstractUI.aspx?menuIndex=3&amp;refID=7065278&amp;Result=3","7065278")</f>
        <v>0</v>
      </c>
      <c r="B755" t="s">
        <v>375</v>
      </c>
      <c r="C755" t="s">
        <v>4270</v>
      </c>
      <c r="D755" t="s">
        <v>18799</v>
      </c>
      <c r="E755" t="s">
        <v>19611</v>
      </c>
      <c r="F755" t="s">
        <v>32664</v>
      </c>
      <c r="G755" t="s">
        <v>32672</v>
      </c>
      <c r="H755" t="s">
        <v>12635</v>
      </c>
      <c r="I755" t="s">
        <v>32706</v>
      </c>
      <c r="J755" t="s">
        <v>33272</v>
      </c>
      <c r="K755" t="s">
        <v>42295</v>
      </c>
      <c r="M755" t="s">
        <v>42945</v>
      </c>
      <c r="N755" t="s">
        <v>46569</v>
      </c>
      <c r="O755" t="s">
        <v>46570</v>
      </c>
      <c r="P755">
        <v>0</v>
      </c>
      <c r="Q755">
        <v>0</v>
      </c>
      <c r="R755" t="s">
        <v>46571</v>
      </c>
      <c r="S755" t="s">
        <v>46687</v>
      </c>
      <c r="T755" t="s">
        <v>48274</v>
      </c>
      <c r="U755" t="s">
        <v>49455</v>
      </c>
      <c r="W755" t="s">
        <v>42945</v>
      </c>
      <c r="X755" t="s">
        <v>46572</v>
      </c>
    </row>
    <row r="756" spans="1:24">
      <c r="A756">
        <f>HYPERLINK("https://www.philgeps.gov.ph/GEPSNONPILOT/Tender/SplashBidNoticeAbstractUI.aspx?menuIndex=3&amp;refID=7065277&amp;Result=3","7065277")</f>
        <v>0</v>
      </c>
      <c r="B756" t="s">
        <v>376</v>
      </c>
      <c r="C756" t="s">
        <v>4271</v>
      </c>
      <c r="E756" t="s">
        <v>4271</v>
      </c>
      <c r="F756" t="s">
        <v>32664</v>
      </c>
      <c r="G756" t="s">
        <v>32672</v>
      </c>
      <c r="H756" t="s">
        <v>32683</v>
      </c>
      <c r="I756" t="s">
        <v>10627</v>
      </c>
      <c r="J756" t="s">
        <v>33420</v>
      </c>
      <c r="K756" t="s">
        <v>42283</v>
      </c>
      <c r="M756" t="s">
        <v>42946</v>
      </c>
      <c r="N756" t="s">
        <v>46569</v>
      </c>
      <c r="O756" t="s">
        <v>46570</v>
      </c>
      <c r="P756">
        <v>0</v>
      </c>
      <c r="Q756">
        <v>0</v>
      </c>
      <c r="R756" t="s">
        <v>46571</v>
      </c>
      <c r="S756" t="s">
        <v>46687</v>
      </c>
      <c r="T756" t="s">
        <v>48245</v>
      </c>
      <c r="U756" t="s">
        <v>49456</v>
      </c>
      <c r="W756" t="s">
        <v>42946</v>
      </c>
      <c r="X756" t="s">
        <v>46572</v>
      </c>
    </row>
    <row r="757" spans="1:24">
      <c r="A757">
        <f>HYPERLINK("https://www.philgeps.gov.ph/GEPSNONPILOT/Tender/SplashBidNoticeAbstractUI.aspx?menuIndex=3&amp;refID=7065319&amp;Result=3","7065319")</f>
        <v>0</v>
      </c>
      <c r="B757" t="s">
        <v>377</v>
      </c>
      <c r="C757" t="s">
        <v>4272</v>
      </c>
      <c r="D757" t="s">
        <v>18824</v>
      </c>
      <c r="E757" t="s">
        <v>19612</v>
      </c>
      <c r="F757" t="s">
        <v>32664</v>
      </c>
      <c r="G757" t="s">
        <v>32672</v>
      </c>
      <c r="H757" t="s">
        <v>12635</v>
      </c>
      <c r="I757" t="s">
        <v>32706</v>
      </c>
      <c r="J757" t="s">
        <v>33421</v>
      </c>
      <c r="K757" t="s">
        <v>42289</v>
      </c>
      <c r="M757" t="s">
        <v>42947</v>
      </c>
      <c r="N757" t="s">
        <v>46569</v>
      </c>
      <c r="O757" t="s">
        <v>46570</v>
      </c>
      <c r="P757">
        <v>0</v>
      </c>
      <c r="Q757">
        <v>0</v>
      </c>
      <c r="R757" t="s">
        <v>46571</v>
      </c>
      <c r="S757" t="s">
        <v>46687</v>
      </c>
      <c r="T757" t="s">
        <v>48226</v>
      </c>
      <c r="U757" t="s">
        <v>49457</v>
      </c>
      <c r="W757" t="s">
        <v>42947</v>
      </c>
      <c r="X757" t="s">
        <v>46572</v>
      </c>
    </row>
    <row r="758" spans="1:24">
      <c r="A758">
        <f>HYPERLINK("https://www.philgeps.gov.ph/GEPSNONPILOT/Tender/SplashBidNoticeAbstractUI.aspx?menuIndex=3&amp;refID=7065318&amp;Result=3","7065318")</f>
        <v>0</v>
      </c>
      <c r="B758" t="s">
        <v>245</v>
      </c>
      <c r="C758" t="s">
        <v>4273</v>
      </c>
      <c r="D758" t="s">
        <v>18791</v>
      </c>
      <c r="E758" t="s">
        <v>19613</v>
      </c>
      <c r="F758" t="s">
        <v>32664</v>
      </c>
      <c r="G758" t="s">
        <v>32672</v>
      </c>
      <c r="H758" t="s">
        <v>12635</v>
      </c>
      <c r="I758" t="s">
        <v>32685</v>
      </c>
      <c r="J758" t="s">
        <v>33147</v>
      </c>
      <c r="K758" t="s">
        <v>42303</v>
      </c>
      <c r="M758" t="s">
        <v>42810</v>
      </c>
      <c r="N758" t="s">
        <v>46569</v>
      </c>
      <c r="O758" t="s">
        <v>46570</v>
      </c>
      <c r="P758">
        <v>0</v>
      </c>
      <c r="Q758">
        <v>1</v>
      </c>
      <c r="R758" t="s">
        <v>46571</v>
      </c>
      <c r="S758" t="s">
        <v>46687</v>
      </c>
      <c r="T758" t="s">
        <v>48233</v>
      </c>
      <c r="U758" t="s">
        <v>49458</v>
      </c>
      <c r="V758" t="s">
        <v>61676</v>
      </c>
      <c r="W758" t="s">
        <v>42810</v>
      </c>
      <c r="X758" t="s">
        <v>46572</v>
      </c>
    </row>
    <row r="759" spans="1:24">
      <c r="A759">
        <f>HYPERLINK("https://www.philgeps.gov.ph/GEPSNONPILOT/Tender/SplashBidNoticeAbstractUI.aspx?menuIndex=3&amp;refID=7065316&amp;Result=3","7065316")</f>
        <v>0</v>
      </c>
      <c r="B759" t="s">
        <v>267</v>
      </c>
      <c r="C759" t="s">
        <v>4274</v>
      </c>
      <c r="E759" t="s">
        <v>19614</v>
      </c>
      <c r="F759" t="s">
        <v>32664</v>
      </c>
      <c r="G759" t="s">
        <v>32671</v>
      </c>
      <c r="H759" t="s">
        <v>12635</v>
      </c>
      <c r="I759" t="s">
        <v>32699</v>
      </c>
      <c r="J759" t="s">
        <v>33422</v>
      </c>
      <c r="K759" t="s">
        <v>42283</v>
      </c>
      <c r="M759" t="s">
        <v>42832</v>
      </c>
      <c r="N759" t="s">
        <v>46569</v>
      </c>
      <c r="O759" t="s">
        <v>46570</v>
      </c>
      <c r="P759">
        <v>0</v>
      </c>
      <c r="Q759">
        <v>0</v>
      </c>
      <c r="R759" t="s">
        <v>46571</v>
      </c>
      <c r="S759" t="s">
        <v>46687</v>
      </c>
      <c r="T759" t="s">
        <v>48219</v>
      </c>
      <c r="U759" t="s">
        <v>49459</v>
      </c>
      <c r="W759" t="s">
        <v>42832</v>
      </c>
      <c r="X759" t="s">
        <v>46572</v>
      </c>
    </row>
    <row r="760" spans="1:24">
      <c r="A760">
        <f>HYPERLINK("https://www.philgeps.gov.ph/GEPSNONPILOT/Tender/SplashBidNoticeAbstractUI.aspx?menuIndex=3&amp;refID=7065315&amp;Result=3","7065315")</f>
        <v>0</v>
      </c>
      <c r="B760" t="s">
        <v>378</v>
      </c>
      <c r="C760" t="s">
        <v>4275</v>
      </c>
      <c r="D760" t="s">
        <v>18799</v>
      </c>
      <c r="E760" t="s">
        <v>19615</v>
      </c>
      <c r="F760" t="s">
        <v>32664</v>
      </c>
      <c r="G760" t="s">
        <v>32674</v>
      </c>
      <c r="H760" t="s">
        <v>32682</v>
      </c>
      <c r="I760" t="s">
        <v>32692</v>
      </c>
      <c r="J760" t="s">
        <v>33423</v>
      </c>
      <c r="K760" t="s">
        <v>42309</v>
      </c>
      <c r="M760" t="s">
        <v>42948</v>
      </c>
      <c r="N760" t="s">
        <v>46569</v>
      </c>
      <c r="O760" t="s">
        <v>46570</v>
      </c>
      <c r="P760">
        <v>0</v>
      </c>
      <c r="Q760">
        <v>1</v>
      </c>
      <c r="R760" t="s">
        <v>46571</v>
      </c>
      <c r="S760" t="s">
        <v>46687</v>
      </c>
      <c r="T760" t="s">
        <v>48218</v>
      </c>
      <c r="U760" t="s">
        <v>49460</v>
      </c>
      <c r="W760" t="s">
        <v>42948</v>
      </c>
      <c r="X760" t="s">
        <v>46572</v>
      </c>
    </row>
    <row r="761" spans="1:24">
      <c r="A761">
        <f>HYPERLINK("https://www.philgeps.gov.ph/GEPSNONPILOT/Tender/SplashBidNoticeAbstractUI.aspx?menuIndex=3&amp;refID=7065275&amp;Result=3","7065275")</f>
        <v>0</v>
      </c>
      <c r="B761" t="s">
        <v>379</v>
      </c>
      <c r="C761" t="s">
        <v>4276</v>
      </c>
      <c r="D761" t="s">
        <v>18837</v>
      </c>
      <c r="E761" t="s">
        <v>19616</v>
      </c>
      <c r="F761" t="s">
        <v>32664</v>
      </c>
      <c r="G761" t="s">
        <v>32671</v>
      </c>
      <c r="H761" t="s">
        <v>12635</v>
      </c>
      <c r="I761" t="s">
        <v>32685</v>
      </c>
      <c r="J761" t="s">
        <v>33424</v>
      </c>
      <c r="K761" t="s">
        <v>42284</v>
      </c>
      <c r="M761" t="s">
        <v>42949</v>
      </c>
      <c r="N761" t="s">
        <v>46569</v>
      </c>
      <c r="O761" t="s">
        <v>46570</v>
      </c>
      <c r="P761">
        <v>0</v>
      </c>
      <c r="Q761">
        <v>2</v>
      </c>
      <c r="R761" t="s">
        <v>46571</v>
      </c>
      <c r="S761" t="s">
        <v>46687</v>
      </c>
      <c r="T761" t="s">
        <v>48217</v>
      </c>
      <c r="U761" t="s">
        <v>49461</v>
      </c>
      <c r="W761" t="s">
        <v>42949</v>
      </c>
      <c r="X761" t="s">
        <v>46572</v>
      </c>
    </row>
    <row r="762" spans="1:24">
      <c r="A762">
        <f>HYPERLINK("https://www.philgeps.gov.ph/GEPSNONPILOT/Tender/SplashBidNoticeAbstractUI.aspx?menuIndex=3&amp;refID=7065313&amp;Result=3","7065313")</f>
        <v>0</v>
      </c>
      <c r="B762" t="s">
        <v>366</v>
      </c>
      <c r="C762" t="s">
        <v>4277</v>
      </c>
      <c r="D762" t="s">
        <v>18785</v>
      </c>
      <c r="E762" t="s">
        <v>19617</v>
      </c>
      <c r="F762" t="s">
        <v>32664</v>
      </c>
      <c r="G762" t="s">
        <v>32675</v>
      </c>
      <c r="H762" t="s">
        <v>12635</v>
      </c>
      <c r="I762" t="s">
        <v>5589</v>
      </c>
      <c r="J762" t="s">
        <v>33425</v>
      </c>
      <c r="K762" t="s">
        <v>42283</v>
      </c>
      <c r="M762" t="s">
        <v>42935</v>
      </c>
      <c r="N762" t="s">
        <v>46569</v>
      </c>
      <c r="O762" t="s">
        <v>46570</v>
      </c>
      <c r="P762">
        <v>0</v>
      </c>
      <c r="Q762">
        <v>5</v>
      </c>
      <c r="R762" t="s">
        <v>46571</v>
      </c>
      <c r="S762" t="s">
        <v>46687</v>
      </c>
      <c r="T762" t="s">
        <v>48221</v>
      </c>
      <c r="U762" t="s">
        <v>49444</v>
      </c>
      <c r="W762" t="s">
        <v>42935</v>
      </c>
      <c r="X762" t="s">
        <v>46572</v>
      </c>
    </row>
    <row r="763" spans="1:24">
      <c r="A763">
        <f>HYPERLINK("https://www.philgeps.gov.ph/GEPSNONPILOT/Tender/SplashBidNoticeAbstractUI.aspx?menuIndex=3&amp;refID=7065312&amp;Result=3","7065312")</f>
        <v>0</v>
      </c>
      <c r="B763" t="s">
        <v>372</v>
      </c>
      <c r="C763" t="s">
        <v>4278</v>
      </c>
      <c r="D763" t="s">
        <v>18827</v>
      </c>
      <c r="E763" t="s">
        <v>19618</v>
      </c>
      <c r="F763" t="s">
        <v>32664</v>
      </c>
      <c r="G763" t="s">
        <v>32671</v>
      </c>
      <c r="H763" t="s">
        <v>12635</v>
      </c>
      <c r="I763" t="s">
        <v>9486</v>
      </c>
      <c r="J763" t="s">
        <v>33426</v>
      </c>
      <c r="K763" t="s">
        <v>42332</v>
      </c>
      <c r="M763" t="s">
        <v>42942</v>
      </c>
      <c r="N763" t="s">
        <v>46569</v>
      </c>
      <c r="O763" t="s">
        <v>46570</v>
      </c>
      <c r="P763">
        <v>0</v>
      </c>
      <c r="Q763">
        <v>1</v>
      </c>
      <c r="R763" t="s">
        <v>46571</v>
      </c>
      <c r="S763" t="s">
        <v>46687</v>
      </c>
      <c r="T763" t="s">
        <v>48228</v>
      </c>
      <c r="U763" t="s">
        <v>49462</v>
      </c>
      <c r="W763" t="s">
        <v>42942</v>
      </c>
      <c r="X763" t="s">
        <v>46572</v>
      </c>
    </row>
    <row r="764" spans="1:24">
      <c r="A764">
        <f>HYPERLINK("https://www.philgeps.gov.ph/GEPSNONPILOT/Tender/SplashBidNoticeAbstractUI.aspx?menuIndex=3&amp;refID=7065311&amp;Result=3","7065311")</f>
        <v>0</v>
      </c>
      <c r="B764" t="s">
        <v>380</v>
      </c>
      <c r="C764" t="s">
        <v>4279</v>
      </c>
      <c r="D764" t="s">
        <v>18841</v>
      </c>
      <c r="E764" t="s">
        <v>19619</v>
      </c>
      <c r="F764" t="s">
        <v>32664</v>
      </c>
      <c r="G764" t="s">
        <v>32671</v>
      </c>
      <c r="H764" t="s">
        <v>12635</v>
      </c>
      <c r="I764" t="s">
        <v>4439</v>
      </c>
      <c r="J764" t="s">
        <v>33427</v>
      </c>
      <c r="K764" t="s">
        <v>42283</v>
      </c>
      <c r="M764" t="s">
        <v>42950</v>
      </c>
      <c r="N764" t="s">
        <v>46569</v>
      </c>
      <c r="O764" t="s">
        <v>46570</v>
      </c>
      <c r="P764">
        <v>0</v>
      </c>
      <c r="Q764">
        <v>0</v>
      </c>
      <c r="R764" t="s">
        <v>46571</v>
      </c>
      <c r="S764" t="s">
        <v>46687</v>
      </c>
      <c r="T764" t="s">
        <v>48301</v>
      </c>
      <c r="U764" t="s">
        <v>49463</v>
      </c>
      <c r="W764" t="s">
        <v>42950</v>
      </c>
      <c r="X764" t="s">
        <v>46572</v>
      </c>
    </row>
    <row r="765" spans="1:24">
      <c r="A765">
        <f>HYPERLINK("https://www.philgeps.gov.ph/GEPSNONPILOT/Tender/SplashBidNoticeAbstractUI.aspx?menuIndex=3&amp;refID=7065306&amp;Result=3","7065306")</f>
        <v>0</v>
      </c>
      <c r="B765" t="s">
        <v>244</v>
      </c>
      <c r="C765" t="s">
        <v>4280</v>
      </c>
      <c r="D765" t="s">
        <v>18804</v>
      </c>
      <c r="E765" t="s">
        <v>19620</v>
      </c>
      <c r="F765" t="s">
        <v>32664</v>
      </c>
      <c r="G765" t="s">
        <v>32671</v>
      </c>
      <c r="H765" t="s">
        <v>12635</v>
      </c>
      <c r="I765" t="s">
        <v>8730</v>
      </c>
      <c r="J765" t="s">
        <v>33428</v>
      </c>
      <c r="K765" t="s">
        <v>42284</v>
      </c>
      <c r="M765" t="s">
        <v>42809</v>
      </c>
      <c r="N765" t="s">
        <v>46569</v>
      </c>
      <c r="O765" t="s">
        <v>46570</v>
      </c>
      <c r="P765">
        <v>0</v>
      </c>
      <c r="Q765">
        <v>0</v>
      </c>
      <c r="R765" t="s">
        <v>46571</v>
      </c>
      <c r="S765" t="s">
        <v>46687</v>
      </c>
      <c r="T765" t="s">
        <v>48256</v>
      </c>
      <c r="U765" t="s">
        <v>49218</v>
      </c>
      <c r="W765" t="s">
        <v>42809</v>
      </c>
      <c r="X765" t="s">
        <v>46572</v>
      </c>
    </row>
    <row r="766" spans="1:24">
      <c r="A766">
        <f>HYPERLINK("https://www.philgeps.gov.ph/GEPSNONPILOT/Tender/SplashBidNoticeAbstractUI.aspx?menuIndex=3&amp;refID=7065305&amp;Result=3","7065305")</f>
        <v>0</v>
      </c>
      <c r="B766" t="s">
        <v>381</v>
      </c>
      <c r="C766" t="s">
        <v>4281</v>
      </c>
      <c r="D766" t="s">
        <v>18837</v>
      </c>
      <c r="E766" t="s">
        <v>19621</v>
      </c>
      <c r="F766" t="s">
        <v>32664</v>
      </c>
      <c r="G766" t="s">
        <v>32672</v>
      </c>
      <c r="H766" t="s">
        <v>12635</v>
      </c>
      <c r="I766" t="s">
        <v>4439</v>
      </c>
      <c r="J766" t="s">
        <v>33138</v>
      </c>
      <c r="K766" t="s">
        <v>42284</v>
      </c>
      <c r="L766" t="s">
        <v>381</v>
      </c>
      <c r="M766" t="s">
        <v>42951</v>
      </c>
      <c r="N766" t="s">
        <v>46569</v>
      </c>
      <c r="O766" t="s">
        <v>46570</v>
      </c>
      <c r="P766">
        <v>0</v>
      </c>
      <c r="Q766">
        <v>0</v>
      </c>
      <c r="R766" t="s">
        <v>46571</v>
      </c>
      <c r="S766" t="s">
        <v>46687</v>
      </c>
      <c r="T766" t="s">
        <v>48284</v>
      </c>
      <c r="U766" t="s">
        <v>49464</v>
      </c>
      <c r="V766" t="s">
        <v>61711</v>
      </c>
      <c r="W766" t="s">
        <v>42951</v>
      </c>
      <c r="X766" t="s">
        <v>46572</v>
      </c>
    </row>
    <row r="767" spans="1:24">
      <c r="A767">
        <f>HYPERLINK("https://www.philgeps.gov.ph/GEPSNONPILOT/Tender/SplashBidNoticeAbstractUI.aspx?menuIndex=3&amp;refID=7065302&amp;Result=3","7065302")</f>
        <v>0</v>
      </c>
      <c r="B767" t="s">
        <v>142</v>
      </c>
      <c r="C767" t="s">
        <v>4282</v>
      </c>
      <c r="D767" t="s">
        <v>18784</v>
      </c>
      <c r="E767" t="s">
        <v>19178</v>
      </c>
      <c r="F767" t="s">
        <v>32664</v>
      </c>
      <c r="G767" t="s">
        <v>32671</v>
      </c>
      <c r="H767" t="s">
        <v>12635</v>
      </c>
      <c r="I767" t="s">
        <v>8797</v>
      </c>
      <c r="J767" t="s">
        <v>33429</v>
      </c>
      <c r="K767" t="s">
        <v>42281</v>
      </c>
      <c r="M767" t="s">
        <v>42706</v>
      </c>
      <c r="N767" t="s">
        <v>46569</v>
      </c>
      <c r="O767" t="s">
        <v>46570</v>
      </c>
      <c r="P767">
        <v>0</v>
      </c>
      <c r="Q767">
        <v>1</v>
      </c>
      <c r="R767" t="s">
        <v>46571</v>
      </c>
      <c r="S767" t="s">
        <v>46687</v>
      </c>
      <c r="T767" t="s">
        <v>48256</v>
      </c>
      <c r="U767" t="s">
        <v>49465</v>
      </c>
      <c r="W767" t="s">
        <v>42706</v>
      </c>
      <c r="X767" t="s">
        <v>46572</v>
      </c>
    </row>
    <row r="768" spans="1:24">
      <c r="A768">
        <f>HYPERLINK("https://www.philgeps.gov.ph/GEPSNONPILOT/Tender/SplashBidNoticeAbstractUI.aspx?menuIndex=3&amp;refID=7065300&amp;Result=3","7065300")</f>
        <v>0</v>
      </c>
      <c r="B768" t="s">
        <v>354</v>
      </c>
      <c r="C768" t="s">
        <v>4283</v>
      </c>
      <c r="D768" t="s">
        <v>18850</v>
      </c>
      <c r="E768" t="s">
        <v>19622</v>
      </c>
      <c r="F768" t="s">
        <v>32664</v>
      </c>
      <c r="G768" t="s">
        <v>32677</v>
      </c>
      <c r="H768" t="s">
        <v>12635</v>
      </c>
      <c r="I768" t="s">
        <v>4439</v>
      </c>
      <c r="J768" t="s">
        <v>33430</v>
      </c>
      <c r="K768" t="s">
        <v>42305</v>
      </c>
      <c r="M768" t="s">
        <v>42923</v>
      </c>
      <c r="N768" t="s">
        <v>46569</v>
      </c>
      <c r="O768" t="s">
        <v>46570</v>
      </c>
      <c r="P768">
        <v>0</v>
      </c>
      <c r="Q768">
        <v>0</v>
      </c>
      <c r="R768" t="s">
        <v>46571</v>
      </c>
      <c r="S768" t="s">
        <v>46687</v>
      </c>
      <c r="T768" t="s">
        <v>48293</v>
      </c>
      <c r="U768" t="s">
        <v>49466</v>
      </c>
      <c r="W768" t="s">
        <v>42923</v>
      </c>
      <c r="X768" t="s">
        <v>46572</v>
      </c>
    </row>
    <row r="769" spans="1:24">
      <c r="A769">
        <f>HYPERLINK("https://www.philgeps.gov.ph/GEPSNONPILOT/Tender/SplashBidNoticeAbstractUI.aspx?menuIndex=3&amp;refID=7065298&amp;Result=3","7065298")</f>
        <v>0</v>
      </c>
      <c r="B769" t="s">
        <v>172</v>
      </c>
      <c r="C769" t="s">
        <v>3954</v>
      </c>
      <c r="D769" t="s">
        <v>18804</v>
      </c>
      <c r="E769" t="s">
        <v>19303</v>
      </c>
      <c r="F769" t="s">
        <v>32664</v>
      </c>
      <c r="G769" t="s">
        <v>32671</v>
      </c>
      <c r="H769" t="s">
        <v>12635</v>
      </c>
      <c r="I769" t="s">
        <v>7709</v>
      </c>
      <c r="J769" t="s">
        <v>33431</v>
      </c>
      <c r="K769" t="s">
        <v>42295</v>
      </c>
      <c r="M769" t="s">
        <v>42736</v>
      </c>
      <c r="N769" t="s">
        <v>46569</v>
      </c>
      <c r="O769" t="s">
        <v>46570</v>
      </c>
      <c r="P769">
        <v>0</v>
      </c>
      <c r="Q769">
        <v>0</v>
      </c>
      <c r="R769" t="s">
        <v>46571</v>
      </c>
      <c r="S769" t="s">
        <v>46687</v>
      </c>
      <c r="T769" t="s">
        <v>48256</v>
      </c>
      <c r="U769" t="s">
        <v>49467</v>
      </c>
      <c r="W769" t="s">
        <v>42736</v>
      </c>
      <c r="X769" t="s">
        <v>46572</v>
      </c>
    </row>
    <row r="770" spans="1:24">
      <c r="A770">
        <f>HYPERLINK("https://www.philgeps.gov.ph/GEPSNONPILOT/Tender/SplashBidNoticeAbstractUI.aspx?menuIndex=3&amp;refID=7065297&amp;Result=3","7065297")</f>
        <v>0</v>
      </c>
      <c r="B770" t="s">
        <v>382</v>
      </c>
      <c r="C770" t="s">
        <v>4284</v>
      </c>
      <c r="D770" t="s">
        <v>18852</v>
      </c>
      <c r="E770" t="s">
        <v>19623</v>
      </c>
      <c r="F770" t="s">
        <v>32664</v>
      </c>
      <c r="G770" t="s">
        <v>32672</v>
      </c>
      <c r="H770" t="s">
        <v>32683</v>
      </c>
      <c r="I770" t="s">
        <v>10627</v>
      </c>
      <c r="J770" t="s">
        <v>33432</v>
      </c>
      <c r="K770" t="s">
        <v>42281</v>
      </c>
      <c r="M770" t="s">
        <v>42952</v>
      </c>
      <c r="N770" t="s">
        <v>46569</v>
      </c>
      <c r="O770" t="s">
        <v>46570</v>
      </c>
      <c r="P770">
        <v>0</v>
      </c>
      <c r="Q770">
        <v>0</v>
      </c>
      <c r="R770" t="s">
        <v>46571</v>
      </c>
      <c r="S770" t="s">
        <v>46687</v>
      </c>
      <c r="T770" t="s">
        <v>48308</v>
      </c>
      <c r="U770" t="s">
        <v>49468</v>
      </c>
      <c r="W770" t="s">
        <v>42952</v>
      </c>
      <c r="X770" t="s">
        <v>46572</v>
      </c>
    </row>
    <row r="771" spans="1:24">
      <c r="A771">
        <f>HYPERLINK("https://www.philgeps.gov.ph/GEPSNONPILOT/Tender/SplashBidNoticeAbstractUI.aspx?menuIndex=3&amp;refID=7065296&amp;Result=3","7065296")</f>
        <v>0</v>
      </c>
      <c r="B771" t="s">
        <v>383</v>
      </c>
      <c r="C771" t="s">
        <v>4285</v>
      </c>
      <c r="D771" t="s">
        <v>18784</v>
      </c>
      <c r="E771" t="s">
        <v>19624</v>
      </c>
      <c r="F771" t="s">
        <v>32666</v>
      </c>
      <c r="G771" t="s">
        <v>32675</v>
      </c>
      <c r="H771" t="s">
        <v>12635</v>
      </c>
      <c r="I771" t="s">
        <v>6168</v>
      </c>
      <c r="J771" t="s">
        <v>33433</v>
      </c>
      <c r="K771" t="s">
        <v>42330</v>
      </c>
      <c r="M771" t="s">
        <v>42953</v>
      </c>
      <c r="N771" t="s">
        <v>46569</v>
      </c>
      <c r="O771" t="s">
        <v>46570</v>
      </c>
      <c r="P771">
        <v>0</v>
      </c>
      <c r="Q771">
        <v>0</v>
      </c>
      <c r="R771" t="s">
        <v>46571</v>
      </c>
      <c r="S771" t="s">
        <v>46687</v>
      </c>
      <c r="T771" t="s">
        <v>48297</v>
      </c>
      <c r="U771" t="s">
        <v>49469</v>
      </c>
      <c r="W771" t="s">
        <v>42953</v>
      </c>
      <c r="X771" t="s">
        <v>46572</v>
      </c>
    </row>
    <row r="772" spans="1:24">
      <c r="A772">
        <f>HYPERLINK("https://www.philgeps.gov.ph/GEPSNONPILOT/Tender/SplashBidNoticeAbstractUI.aspx?menuIndex=3&amp;refID=7065295&amp;Result=3","7065295")</f>
        <v>0</v>
      </c>
      <c r="B772" t="s">
        <v>332</v>
      </c>
      <c r="C772" t="s">
        <v>4286</v>
      </c>
      <c r="D772" t="s">
        <v>18818</v>
      </c>
      <c r="E772" t="s">
        <v>19625</v>
      </c>
      <c r="F772" t="s">
        <v>32664</v>
      </c>
      <c r="G772" t="s">
        <v>32671</v>
      </c>
      <c r="H772" t="s">
        <v>12635</v>
      </c>
      <c r="I772" t="s">
        <v>6118</v>
      </c>
      <c r="J772" t="s">
        <v>33434</v>
      </c>
      <c r="K772" t="s">
        <v>42295</v>
      </c>
      <c r="M772" t="s">
        <v>42900</v>
      </c>
      <c r="N772" t="s">
        <v>46569</v>
      </c>
      <c r="O772" t="s">
        <v>46570</v>
      </c>
      <c r="P772">
        <v>0</v>
      </c>
      <c r="Q772">
        <v>0</v>
      </c>
      <c r="R772" t="s">
        <v>46571</v>
      </c>
      <c r="S772" t="s">
        <v>46687</v>
      </c>
      <c r="T772" t="s">
        <v>48244</v>
      </c>
      <c r="U772" t="s">
        <v>49470</v>
      </c>
      <c r="V772" t="s">
        <v>61702</v>
      </c>
      <c r="W772" t="s">
        <v>42900</v>
      </c>
      <c r="X772" t="s">
        <v>46572</v>
      </c>
    </row>
    <row r="773" spans="1:24">
      <c r="A773">
        <f>HYPERLINK("https://www.philgeps.gov.ph/GEPSNONPILOT/Tender/SplashBidNoticeAbstractUI.aspx?menuIndex=3&amp;refID=7065310&amp;Result=3","7065310")</f>
        <v>0</v>
      </c>
      <c r="B773" t="s">
        <v>337</v>
      </c>
      <c r="C773" t="s">
        <v>4287</v>
      </c>
      <c r="D773" t="s">
        <v>18842</v>
      </c>
      <c r="E773" t="s">
        <v>19626</v>
      </c>
      <c r="F773" t="s">
        <v>32664</v>
      </c>
      <c r="G773" t="s">
        <v>32671</v>
      </c>
      <c r="H773" t="s">
        <v>32682</v>
      </c>
      <c r="I773" t="s">
        <v>4439</v>
      </c>
      <c r="J773" t="s">
        <v>33435</v>
      </c>
      <c r="K773" t="s">
        <v>42289</v>
      </c>
      <c r="M773" t="s">
        <v>42905</v>
      </c>
      <c r="N773" t="s">
        <v>46569</v>
      </c>
      <c r="O773" t="s">
        <v>46570</v>
      </c>
      <c r="P773">
        <v>0</v>
      </c>
      <c r="Q773">
        <v>0</v>
      </c>
      <c r="R773" t="s">
        <v>46571</v>
      </c>
      <c r="S773" t="s">
        <v>46687</v>
      </c>
      <c r="T773" t="s">
        <v>48256</v>
      </c>
      <c r="U773" t="s">
        <v>49471</v>
      </c>
      <c r="W773" t="s">
        <v>42905</v>
      </c>
      <c r="X773" t="s">
        <v>46572</v>
      </c>
    </row>
    <row r="774" spans="1:24">
      <c r="A774">
        <f>HYPERLINK("https://www.philgeps.gov.ph/GEPSNONPILOT/Tender/SplashBidNoticeAbstractUI.aspx?menuIndex=3&amp;refID=7065343&amp;Result=3","7065343")</f>
        <v>0</v>
      </c>
      <c r="B774" t="s">
        <v>384</v>
      </c>
      <c r="C774" t="s">
        <v>4288</v>
      </c>
      <c r="D774" t="s">
        <v>18781</v>
      </c>
      <c r="E774" t="s">
        <v>19627</v>
      </c>
      <c r="F774" t="s">
        <v>32664</v>
      </c>
      <c r="G774" t="s">
        <v>32671</v>
      </c>
      <c r="H774" t="s">
        <v>12635</v>
      </c>
      <c r="I774" t="s">
        <v>4439</v>
      </c>
      <c r="J774" t="s">
        <v>33436</v>
      </c>
      <c r="K774" t="s">
        <v>42295</v>
      </c>
      <c r="M774" t="s">
        <v>42954</v>
      </c>
      <c r="N774" t="s">
        <v>46569</v>
      </c>
      <c r="O774" t="s">
        <v>46570</v>
      </c>
      <c r="P774">
        <v>0</v>
      </c>
      <c r="Q774">
        <v>0</v>
      </c>
      <c r="R774" t="s">
        <v>46571</v>
      </c>
      <c r="S774" t="s">
        <v>46687</v>
      </c>
      <c r="T774" t="s">
        <v>48221</v>
      </c>
      <c r="U774" t="s">
        <v>49472</v>
      </c>
      <c r="W774" t="s">
        <v>42954</v>
      </c>
      <c r="X774" t="s">
        <v>46572</v>
      </c>
    </row>
    <row r="775" spans="1:24">
      <c r="A775">
        <f>HYPERLINK("https://www.philgeps.gov.ph/GEPSNONPILOT/Tender/SplashBidNoticeAbstractUI.aspx?menuIndex=3&amp;refID=7065341&amp;Result=3","7065341")</f>
        <v>0</v>
      </c>
      <c r="B775" t="s">
        <v>385</v>
      </c>
      <c r="C775" t="s">
        <v>4289</v>
      </c>
      <c r="D775" t="s">
        <v>18801</v>
      </c>
      <c r="E775" t="s">
        <v>19628</v>
      </c>
      <c r="F775" t="s">
        <v>32664</v>
      </c>
      <c r="G775" t="s">
        <v>32671</v>
      </c>
      <c r="H775" t="s">
        <v>32683</v>
      </c>
      <c r="I775" t="s">
        <v>32737</v>
      </c>
      <c r="J775" t="s">
        <v>33437</v>
      </c>
      <c r="K775" t="s">
        <v>42281</v>
      </c>
      <c r="M775" t="s">
        <v>42955</v>
      </c>
      <c r="N775" t="s">
        <v>46569</v>
      </c>
      <c r="O775" t="s">
        <v>46570</v>
      </c>
      <c r="P775">
        <v>0</v>
      </c>
      <c r="Q775">
        <v>1</v>
      </c>
      <c r="R775" t="s">
        <v>46571</v>
      </c>
      <c r="S775" t="s">
        <v>46687</v>
      </c>
      <c r="T775" t="s">
        <v>48219</v>
      </c>
      <c r="U775" t="s">
        <v>49473</v>
      </c>
      <c r="W775" t="s">
        <v>42955</v>
      </c>
      <c r="X775" t="s">
        <v>46572</v>
      </c>
    </row>
    <row r="776" spans="1:24">
      <c r="A776">
        <f>HYPERLINK("https://www.philgeps.gov.ph/GEPSNONPILOT/Tender/SplashBidNoticeAbstractUI.aspx?menuIndex=3&amp;refID=7065340&amp;Result=3","7065340")</f>
        <v>0</v>
      </c>
      <c r="B776" t="s">
        <v>377</v>
      </c>
      <c r="C776" t="s">
        <v>4290</v>
      </c>
      <c r="D776" t="s">
        <v>18824</v>
      </c>
      <c r="E776" t="s">
        <v>19629</v>
      </c>
      <c r="F776" t="s">
        <v>32664</v>
      </c>
      <c r="G776" t="s">
        <v>32672</v>
      </c>
      <c r="H776" t="s">
        <v>32683</v>
      </c>
      <c r="I776" t="s">
        <v>10627</v>
      </c>
      <c r="J776" t="s">
        <v>33438</v>
      </c>
      <c r="K776" t="s">
        <v>42311</v>
      </c>
      <c r="M776" t="s">
        <v>42947</v>
      </c>
      <c r="N776" t="s">
        <v>46569</v>
      </c>
      <c r="O776" t="s">
        <v>46570</v>
      </c>
      <c r="P776">
        <v>0</v>
      </c>
      <c r="Q776">
        <v>0</v>
      </c>
      <c r="R776" t="s">
        <v>46571</v>
      </c>
      <c r="S776" t="s">
        <v>46687</v>
      </c>
      <c r="T776" t="s">
        <v>48220</v>
      </c>
      <c r="U776" t="s">
        <v>49474</v>
      </c>
      <c r="W776" t="s">
        <v>42947</v>
      </c>
      <c r="X776" t="s">
        <v>46572</v>
      </c>
    </row>
    <row r="777" spans="1:24">
      <c r="A777">
        <f>HYPERLINK("https://www.philgeps.gov.ph/GEPSNONPILOT/Tender/SplashBidNoticeAbstractUI.aspx?menuIndex=3&amp;refID=7065314&amp;Result=3","7065314")</f>
        <v>0</v>
      </c>
      <c r="B777" t="s">
        <v>386</v>
      </c>
      <c r="C777" t="s">
        <v>4291</v>
      </c>
      <c r="D777" t="s">
        <v>18816</v>
      </c>
      <c r="E777" t="s">
        <v>18889</v>
      </c>
      <c r="F777" t="s">
        <v>32664</v>
      </c>
      <c r="G777" t="s">
        <v>32672</v>
      </c>
      <c r="H777" t="s">
        <v>32683</v>
      </c>
      <c r="I777" t="s">
        <v>32723</v>
      </c>
      <c r="J777" t="s">
        <v>33439</v>
      </c>
      <c r="K777" t="s">
        <v>42308</v>
      </c>
      <c r="M777" t="s">
        <v>42956</v>
      </c>
      <c r="N777" t="s">
        <v>46569</v>
      </c>
      <c r="O777" t="s">
        <v>46570</v>
      </c>
      <c r="P777">
        <v>0</v>
      </c>
      <c r="Q777">
        <v>0</v>
      </c>
      <c r="R777" t="s">
        <v>46571</v>
      </c>
      <c r="S777" t="s">
        <v>46687</v>
      </c>
      <c r="T777" t="s">
        <v>48273</v>
      </c>
      <c r="U777" t="s">
        <v>49475</v>
      </c>
      <c r="W777" t="s">
        <v>42956</v>
      </c>
      <c r="X777" t="s">
        <v>46572</v>
      </c>
    </row>
    <row r="778" spans="1:24">
      <c r="A778">
        <f>HYPERLINK("https://www.philgeps.gov.ph/GEPSNONPILOT/Tender/SplashBidNoticeAbstractUI.aspx?menuIndex=3&amp;refID=7065309&amp;Result=3","7065309")</f>
        <v>0</v>
      </c>
      <c r="B778" t="s">
        <v>387</v>
      </c>
      <c r="C778" t="s">
        <v>4292</v>
      </c>
      <c r="D778" t="s">
        <v>18798</v>
      </c>
      <c r="E778" t="s">
        <v>19630</v>
      </c>
      <c r="F778" t="s">
        <v>32664</v>
      </c>
      <c r="G778" t="s">
        <v>32671</v>
      </c>
      <c r="H778" t="s">
        <v>12635</v>
      </c>
      <c r="I778" t="s">
        <v>8730</v>
      </c>
      <c r="J778" t="s">
        <v>33440</v>
      </c>
      <c r="K778" t="s">
        <v>42283</v>
      </c>
      <c r="M778" t="s">
        <v>42957</v>
      </c>
      <c r="N778" t="s">
        <v>46569</v>
      </c>
      <c r="O778" t="s">
        <v>46570</v>
      </c>
      <c r="P778">
        <v>0</v>
      </c>
      <c r="Q778">
        <v>0</v>
      </c>
      <c r="R778" t="s">
        <v>46571</v>
      </c>
      <c r="S778" t="s">
        <v>46687</v>
      </c>
      <c r="T778" t="s">
        <v>48312</v>
      </c>
      <c r="U778" t="s">
        <v>49476</v>
      </c>
      <c r="V778" t="s">
        <v>61712</v>
      </c>
      <c r="W778" t="s">
        <v>42957</v>
      </c>
      <c r="X778" t="s">
        <v>46572</v>
      </c>
    </row>
    <row r="779" spans="1:24">
      <c r="A779">
        <f>HYPERLINK("https://www.philgeps.gov.ph/GEPSNONPILOT/Tender/SplashBidNoticeAbstractUI.aspx?menuIndex=3&amp;refID=7065333&amp;Result=3","7065333")</f>
        <v>0</v>
      </c>
      <c r="B779" t="s">
        <v>388</v>
      </c>
      <c r="C779" t="s">
        <v>4293</v>
      </c>
      <c r="D779" t="s">
        <v>18799</v>
      </c>
      <c r="E779" t="s">
        <v>4293</v>
      </c>
      <c r="F779" t="s">
        <v>32664</v>
      </c>
      <c r="G779" t="s">
        <v>32671</v>
      </c>
      <c r="H779" t="s">
        <v>12635</v>
      </c>
      <c r="I779" t="s">
        <v>32685</v>
      </c>
      <c r="J779" t="s">
        <v>32898</v>
      </c>
      <c r="K779" t="s">
        <v>42289</v>
      </c>
      <c r="M779" t="s">
        <v>42958</v>
      </c>
      <c r="N779" t="s">
        <v>46569</v>
      </c>
      <c r="O779" t="s">
        <v>46570</v>
      </c>
      <c r="P779">
        <v>0</v>
      </c>
      <c r="Q779">
        <v>0</v>
      </c>
      <c r="R779" t="s">
        <v>46571</v>
      </c>
      <c r="S779" t="s">
        <v>46687</v>
      </c>
      <c r="T779" t="s">
        <v>48244</v>
      </c>
      <c r="U779" t="s">
        <v>49477</v>
      </c>
      <c r="W779" t="s">
        <v>42958</v>
      </c>
      <c r="X779" t="s">
        <v>46572</v>
      </c>
    </row>
    <row r="780" spans="1:24">
      <c r="A780">
        <f>HYPERLINK("https://www.philgeps.gov.ph/GEPSNONPILOT/Tender/SplashBidNoticeAbstractUI.aspx?menuIndex=3&amp;refID=7065283&amp;Result=3","7065283")</f>
        <v>0</v>
      </c>
      <c r="B780" t="s">
        <v>389</v>
      </c>
      <c r="C780" t="s">
        <v>4294</v>
      </c>
      <c r="D780" t="s">
        <v>18792</v>
      </c>
      <c r="E780" t="s">
        <v>19631</v>
      </c>
      <c r="F780" t="s">
        <v>32664</v>
      </c>
      <c r="G780" t="s">
        <v>32671</v>
      </c>
      <c r="H780" t="s">
        <v>32682</v>
      </c>
      <c r="I780" t="s">
        <v>4439</v>
      </c>
      <c r="J780" t="s">
        <v>33078</v>
      </c>
      <c r="K780" t="s">
        <v>42289</v>
      </c>
      <c r="M780" t="s">
        <v>42959</v>
      </c>
      <c r="N780" t="s">
        <v>46569</v>
      </c>
      <c r="O780" t="s">
        <v>46570</v>
      </c>
      <c r="P780">
        <v>0</v>
      </c>
      <c r="Q780">
        <v>0</v>
      </c>
      <c r="R780" t="s">
        <v>46571</v>
      </c>
      <c r="S780" t="s">
        <v>46687</v>
      </c>
      <c r="T780" t="s">
        <v>48282</v>
      </c>
      <c r="U780" t="s">
        <v>49478</v>
      </c>
      <c r="W780" t="s">
        <v>42959</v>
      </c>
      <c r="X780" t="s">
        <v>46572</v>
      </c>
    </row>
    <row r="781" spans="1:24">
      <c r="A781">
        <f>HYPERLINK("https://www.philgeps.gov.ph/GEPSNONPILOT/Tender/SplashBidNoticeAbstractUI.aspx?menuIndex=3&amp;refID=7065331&amp;Result=3","7065331")</f>
        <v>0</v>
      </c>
      <c r="B781" t="s">
        <v>142</v>
      </c>
      <c r="C781" t="s">
        <v>4295</v>
      </c>
      <c r="D781" t="s">
        <v>18784</v>
      </c>
      <c r="E781" t="s">
        <v>19632</v>
      </c>
      <c r="F781" t="s">
        <v>32664</v>
      </c>
      <c r="G781" t="s">
        <v>32671</v>
      </c>
      <c r="H781" t="s">
        <v>12635</v>
      </c>
      <c r="I781" t="s">
        <v>8797</v>
      </c>
      <c r="J781" t="s">
        <v>32961</v>
      </c>
      <c r="K781" t="s">
        <v>42281</v>
      </c>
      <c r="M781" t="s">
        <v>42706</v>
      </c>
      <c r="N781" t="s">
        <v>46569</v>
      </c>
      <c r="O781" t="s">
        <v>46570</v>
      </c>
      <c r="P781">
        <v>0</v>
      </c>
      <c r="Q781">
        <v>4</v>
      </c>
      <c r="R781" t="s">
        <v>46571</v>
      </c>
      <c r="S781" t="s">
        <v>46687</v>
      </c>
      <c r="T781" t="s">
        <v>48256</v>
      </c>
      <c r="U781" t="s">
        <v>49479</v>
      </c>
      <c r="W781" t="s">
        <v>42706</v>
      </c>
      <c r="X781" t="s">
        <v>46572</v>
      </c>
    </row>
    <row r="782" spans="1:24">
      <c r="A782">
        <f>HYPERLINK("https://www.philgeps.gov.ph/GEPSNONPILOT/Tender/SplashBidNoticeAbstractUI.aspx?menuIndex=3&amp;refID=7065332&amp;Result=3","7065332")</f>
        <v>0</v>
      </c>
      <c r="B782" t="s">
        <v>390</v>
      </c>
      <c r="C782" t="s">
        <v>4296</v>
      </c>
      <c r="D782" t="s">
        <v>18806</v>
      </c>
      <c r="E782" t="s">
        <v>19633</v>
      </c>
      <c r="F782" t="s">
        <v>32664</v>
      </c>
      <c r="G782" t="s">
        <v>32671</v>
      </c>
      <c r="H782" t="s">
        <v>12635</v>
      </c>
      <c r="I782" t="s">
        <v>32738</v>
      </c>
      <c r="J782" t="s">
        <v>33441</v>
      </c>
      <c r="K782" t="s">
        <v>42281</v>
      </c>
      <c r="M782" t="s">
        <v>42960</v>
      </c>
      <c r="N782" t="s">
        <v>46569</v>
      </c>
      <c r="O782" t="s">
        <v>46570</v>
      </c>
      <c r="P782">
        <v>0</v>
      </c>
      <c r="Q782">
        <v>0</v>
      </c>
      <c r="R782" t="s">
        <v>46571</v>
      </c>
      <c r="S782" t="s">
        <v>46687</v>
      </c>
      <c r="T782" t="s">
        <v>48226</v>
      </c>
      <c r="U782" t="s">
        <v>49480</v>
      </c>
      <c r="W782" t="s">
        <v>42960</v>
      </c>
      <c r="X782" t="s">
        <v>46572</v>
      </c>
    </row>
    <row r="783" spans="1:24">
      <c r="A783">
        <f>HYPERLINK("https://www.philgeps.gov.ph/GEPSNONPILOT/Tender/SplashBidNoticeAbstractUI.aspx?menuIndex=3&amp;refID=7065276&amp;Result=3","7065276")</f>
        <v>0</v>
      </c>
      <c r="B783" t="s">
        <v>391</v>
      </c>
      <c r="C783" t="s">
        <v>4297</v>
      </c>
      <c r="D783" t="s">
        <v>18831</v>
      </c>
      <c r="E783" t="s">
        <v>18926</v>
      </c>
      <c r="F783" t="s">
        <v>32664</v>
      </c>
      <c r="G783" t="s">
        <v>32672</v>
      </c>
      <c r="H783" t="s">
        <v>32682</v>
      </c>
      <c r="I783" t="s">
        <v>10627</v>
      </c>
      <c r="J783" t="s">
        <v>33442</v>
      </c>
      <c r="K783" t="s">
        <v>42321</v>
      </c>
      <c r="L783" t="s">
        <v>391</v>
      </c>
      <c r="M783" t="s">
        <v>42961</v>
      </c>
      <c r="N783" t="s">
        <v>46569</v>
      </c>
      <c r="O783" t="s">
        <v>46570</v>
      </c>
      <c r="P783">
        <v>0</v>
      </c>
      <c r="Q783">
        <v>0</v>
      </c>
      <c r="R783" t="s">
        <v>46571</v>
      </c>
      <c r="S783" t="s">
        <v>46687</v>
      </c>
      <c r="T783" t="s">
        <v>48237</v>
      </c>
      <c r="U783" t="s">
        <v>49481</v>
      </c>
      <c r="W783" t="s">
        <v>42961</v>
      </c>
      <c r="X783" t="s">
        <v>46572</v>
      </c>
    </row>
    <row r="784" spans="1:24">
      <c r="A784">
        <f>HYPERLINK("https://www.philgeps.gov.ph/GEPSNONPILOT/Tender/SplashBidNoticeAbstractUI.aspx?menuIndex=3&amp;refID=7065337&amp;Result=3","7065337")</f>
        <v>0</v>
      </c>
      <c r="B784" t="s">
        <v>359</v>
      </c>
      <c r="C784" t="s">
        <v>4298</v>
      </c>
      <c r="D784" t="s">
        <v>18824</v>
      </c>
      <c r="E784" t="s">
        <v>19634</v>
      </c>
      <c r="F784" t="s">
        <v>32664</v>
      </c>
      <c r="G784" t="s">
        <v>32671</v>
      </c>
      <c r="H784" t="s">
        <v>12635</v>
      </c>
      <c r="I784" t="s">
        <v>32739</v>
      </c>
      <c r="J784" t="s">
        <v>32853</v>
      </c>
      <c r="K784" t="s">
        <v>42283</v>
      </c>
      <c r="M784" t="s">
        <v>42928</v>
      </c>
      <c r="N784" t="s">
        <v>46569</v>
      </c>
      <c r="O784" t="s">
        <v>46570</v>
      </c>
      <c r="P784">
        <v>0</v>
      </c>
      <c r="Q784">
        <v>1</v>
      </c>
      <c r="R784" t="s">
        <v>46571</v>
      </c>
      <c r="S784" t="s">
        <v>46687</v>
      </c>
      <c r="T784" t="s">
        <v>48219</v>
      </c>
      <c r="U784" t="s">
        <v>49482</v>
      </c>
      <c r="V784" t="s">
        <v>61713</v>
      </c>
      <c r="W784" t="s">
        <v>42928</v>
      </c>
      <c r="X784" t="s">
        <v>46572</v>
      </c>
    </row>
    <row r="785" spans="1:24">
      <c r="A785">
        <f>HYPERLINK("https://www.philgeps.gov.ph/GEPSNONPILOT/Tender/SplashBidNoticeAbstractUI.aspx?menuIndex=3&amp;refID=7065328&amp;Result=3","7065328")</f>
        <v>0</v>
      </c>
      <c r="B785" t="s">
        <v>392</v>
      </c>
      <c r="C785" t="s">
        <v>4299</v>
      </c>
      <c r="D785" t="s">
        <v>18801</v>
      </c>
      <c r="E785" t="s">
        <v>19357</v>
      </c>
      <c r="F785" t="s">
        <v>32664</v>
      </c>
      <c r="G785" t="s">
        <v>32671</v>
      </c>
      <c r="H785" t="s">
        <v>12635</v>
      </c>
      <c r="I785" t="s">
        <v>4439</v>
      </c>
      <c r="J785" t="s">
        <v>33443</v>
      </c>
      <c r="K785" t="s">
        <v>42284</v>
      </c>
      <c r="M785" t="s">
        <v>42962</v>
      </c>
      <c r="N785" t="s">
        <v>46569</v>
      </c>
      <c r="O785" t="s">
        <v>46570</v>
      </c>
      <c r="P785">
        <v>0</v>
      </c>
      <c r="Q785">
        <v>0</v>
      </c>
      <c r="R785" t="s">
        <v>46571</v>
      </c>
      <c r="S785" t="s">
        <v>46687</v>
      </c>
      <c r="T785" t="s">
        <v>48217</v>
      </c>
      <c r="U785" t="s">
        <v>49483</v>
      </c>
      <c r="V785" t="s">
        <v>61714</v>
      </c>
      <c r="W785" t="s">
        <v>42962</v>
      </c>
      <c r="X785" t="s">
        <v>46572</v>
      </c>
    </row>
    <row r="786" spans="1:24">
      <c r="A786">
        <f>HYPERLINK("https://www.philgeps.gov.ph/GEPSNONPILOT/Tender/SplashBidNoticeAbstractUI.aspx?menuIndex=3&amp;refID=7065326&amp;Result=3","7065326")</f>
        <v>0</v>
      </c>
      <c r="B786" t="s">
        <v>393</v>
      </c>
      <c r="C786" t="s">
        <v>4300</v>
      </c>
      <c r="D786" t="s">
        <v>18853</v>
      </c>
      <c r="E786" t="s">
        <v>19635</v>
      </c>
      <c r="F786" t="s">
        <v>32664</v>
      </c>
      <c r="G786" t="s">
        <v>32672</v>
      </c>
      <c r="H786" t="s">
        <v>32683</v>
      </c>
      <c r="I786" t="s">
        <v>10627</v>
      </c>
      <c r="J786" t="s">
        <v>33444</v>
      </c>
      <c r="K786" t="s">
        <v>42341</v>
      </c>
      <c r="L786" t="s">
        <v>393</v>
      </c>
      <c r="M786" t="s">
        <v>42963</v>
      </c>
      <c r="N786" t="s">
        <v>46569</v>
      </c>
      <c r="O786" t="s">
        <v>46570</v>
      </c>
      <c r="P786">
        <v>0</v>
      </c>
      <c r="Q786">
        <v>0</v>
      </c>
      <c r="R786" t="s">
        <v>46571</v>
      </c>
      <c r="S786" t="s">
        <v>46687</v>
      </c>
      <c r="T786" t="s">
        <v>48220</v>
      </c>
      <c r="U786" t="s">
        <v>49484</v>
      </c>
      <c r="V786" t="s">
        <v>61715</v>
      </c>
      <c r="W786" t="s">
        <v>42963</v>
      </c>
      <c r="X786" t="s">
        <v>46572</v>
      </c>
    </row>
    <row r="787" spans="1:24">
      <c r="A787">
        <f>HYPERLINK("https://www.philgeps.gov.ph/GEPSNONPILOT/Tender/SplashBidNoticeAbstractUI.aspx?menuIndex=3&amp;refID=7065334&amp;Result=3","7065334")</f>
        <v>0</v>
      </c>
      <c r="B787" t="s">
        <v>394</v>
      </c>
      <c r="C787" t="s">
        <v>3756</v>
      </c>
      <c r="D787" t="s">
        <v>18826</v>
      </c>
      <c r="E787" t="s">
        <v>19636</v>
      </c>
      <c r="F787" t="s">
        <v>32664</v>
      </c>
      <c r="G787" t="s">
        <v>32671</v>
      </c>
      <c r="H787" t="s">
        <v>12635</v>
      </c>
      <c r="I787" t="s">
        <v>6223</v>
      </c>
      <c r="J787" t="s">
        <v>33445</v>
      </c>
      <c r="K787" t="s">
        <v>42289</v>
      </c>
      <c r="M787" t="s">
        <v>42964</v>
      </c>
      <c r="N787" t="s">
        <v>46569</v>
      </c>
      <c r="O787" t="s">
        <v>46570</v>
      </c>
      <c r="P787">
        <v>0</v>
      </c>
      <c r="Q787">
        <v>1</v>
      </c>
      <c r="R787" t="s">
        <v>46571</v>
      </c>
      <c r="S787" t="s">
        <v>46687</v>
      </c>
      <c r="T787" t="s">
        <v>48217</v>
      </c>
      <c r="U787" t="s">
        <v>49485</v>
      </c>
      <c r="W787" t="s">
        <v>42964</v>
      </c>
      <c r="X787" t="s">
        <v>46572</v>
      </c>
    </row>
    <row r="788" spans="1:24">
      <c r="A788">
        <f>HYPERLINK("https://www.philgeps.gov.ph/GEPSNONPILOT/Tender/SplashBidNoticeAbstractUI.aspx?menuIndex=3&amp;refID=7065329&amp;Result=3","7065329")</f>
        <v>0</v>
      </c>
      <c r="B788" t="s">
        <v>395</v>
      </c>
      <c r="C788" t="s">
        <v>4301</v>
      </c>
      <c r="D788" t="s">
        <v>18834</v>
      </c>
      <c r="E788" t="s">
        <v>19637</v>
      </c>
      <c r="F788" t="s">
        <v>32664</v>
      </c>
      <c r="G788" t="s">
        <v>32672</v>
      </c>
      <c r="H788" t="s">
        <v>12635</v>
      </c>
      <c r="I788" t="s">
        <v>32704</v>
      </c>
      <c r="J788" t="s">
        <v>33446</v>
      </c>
      <c r="K788" t="s">
        <v>42311</v>
      </c>
      <c r="M788" t="s">
        <v>42965</v>
      </c>
      <c r="N788" t="s">
        <v>46569</v>
      </c>
      <c r="O788" t="s">
        <v>46570</v>
      </c>
      <c r="P788">
        <v>0</v>
      </c>
      <c r="Q788">
        <v>6</v>
      </c>
      <c r="R788" t="s">
        <v>46571</v>
      </c>
      <c r="S788" t="s">
        <v>46687</v>
      </c>
      <c r="T788" t="s">
        <v>48260</v>
      </c>
      <c r="U788" t="s">
        <v>49486</v>
      </c>
      <c r="W788" t="s">
        <v>43994</v>
      </c>
      <c r="X788" t="s">
        <v>46572</v>
      </c>
    </row>
    <row r="789" spans="1:24">
      <c r="A789">
        <f>HYPERLINK("https://www.philgeps.gov.ph/GEPSNONPILOT/Tender/SplashBidNoticeAbstractUI.aspx?menuIndex=3&amp;refID=7065330&amp;Result=3","7065330")</f>
        <v>0</v>
      </c>
      <c r="B789" t="s">
        <v>396</v>
      </c>
      <c r="C789" t="s">
        <v>4302</v>
      </c>
      <c r="D789" t="s">
        <v>18790</v>
      </c>
      <c r="E789" t="s">
        <v>19638</v>
      </c>
      <c r="F789" t="s">
        <v>32664</v>
      </c>
      <c r="G789" t="s">
        <v>32671</v>
      </c>
      <c r="H789" t="s">
        <v>12635</v>
      </c>
      <c r="I789" t="s">
        <v>4439</v>
      </c>
      <c r="J789" t="s">
        <v>33447</v>
      </c>
      <c r="K789" t="s">
        <v>42284</v>
      </c>
      <c r="M789" t="s">
        <v>42966</v>
      </c>
      <c r="N789" t="s">
        <v>46569</v>
      </c>
      <c r="O789" t="s">
        <v>46570</v>
      </c>
      <c r="P789">
        <v>0</v>
      </c>
      <c r="Q789">
        <v>0</v>
      </c>
      <c r="R789" t="s">
        <v>46571</v>
      </c>
      <c r="S789" t="s">
        <v>46687</v>
      </c>
      <c r="T789" t="s">
        <v>48283</v>
      </c>
      <c r="U789" t="s">
        <v>49487</v>
      </c>
      <c r="W789" t="s">
        <v>42966</v>
      </c>
      <c r="X789" t="s">
        <v>46572</v>
      </c>
    </row>
    <row r="790" spans="1:24">
      <c r="A790">
        <f>HYPERLINK("https://www.philgeps.gov.ph/GEPSNONPILOT/Tender/SplashBidNoticeAbstractUI.aspx?menuIndex=3&amp;refID=7065339&amp;Result=3","7065339")</f>
        <v>0</v>
      </c>
      <c r="B790" t="s">
        <v>397</v>
      </c>
      <c r="C790" t="s">
        <v>4303</v>
      </c>
      <c r="D790" t="s">
        <v>18788</v>
      </c>
      <c r="E790" t="s">
        <v>19639</v>
      </c>
      <c r="F790" t="s">
        <v>32664</v>
      </c>
      <c r="G790" t="s">
        <v>32672</v>
      </c>
      <c r="H790" t="s">
        <v>32683</v>
      </c>
      <c r="I790" t="s">
        <v>10627</v>
      </c>
      <c r="J790" t="s">
        <v>33448</v>
      </c>
      <c r="K790" t="s">
        <v>42298</v>
      </c>
      <c r="M790" t="s">
        <v>42967</v>
      </c>
      <c r="N790" t="s">
        <v>46569</v>
      </c>
      <c r="O790" t="s">
        <v>46570</v>
      </c>
      <c r="P790">
        <v>0</v>
      </c>
      <c r="Q790">
        <v>0</v>
      </c>
      <c r="R790" t="s">
        <v>46571</v>
      </c>
      <c r="S790" t="s">
        <v>46687</v>
      </c>
      <c r="T790" t="s">
        <v>48270</v>
      </c>
      <c r="U790" t="s">
        <v>49488</v>
      </c>
      <c r="W790" t="s">
        <v>42967</v>
      </c>
      <c r="X790" t="s">
        <v>46572</v>
      </c>
    </row>
    <row r="791" spans="1:24">
      <c r="A791">
        <f>HYPERLINK("https://www.philgeps.gov.ph/GEPSNONPILOT/Tender/SplashBidNoticeAbstractUI.aspx?menuIndex=3&amp;refID=7065369&amp;Result=3","7065369")</f>
        <v>0</v>
      </c>
      <c r="B791" t="s">
        <v>372</v>
      </c>
      <c r="C791" t="s">
        <v>4304</v>
      </c>
      <c r="D791" t="s">
        <v>18827</v>
      </c>
      <c r="E791" t="s">
        <v>19640</v>
      </c>
      <c r="F791" t="s">
        <v>32664</v>
      </c>
      <c r="G791" t="s">
        <v>32674</v>
      </c>
      <c r="H791" t="s">
        <v>12635</v>
      </c>
      <c r="I791" t="s">
        <v>6168</v>
      </c>
      <c r="J791" t="s">
        <v>33449</v>
      </c>
      <c r="K791" t="s">
        <v>42332</v>
      </c>
      <c r="M791" t="s">
        <v>42942</v>
      </c>
      <c r="N791" t="s">
        <v>46569</v>
      </c>
      <c r="O791" t="s">
        <v>46570</v>
      </c>
      <c r="P791">
        <v>0</v>
      </c>
      <c r="Q791">
        <v>1</v>
      </c>
      <c r="R791" t="s">
        <v>46571</v>
      </c>
      <c r="S791" t="s">
        <v>46687</v>
      </c>
      <c r="T791" t="s">
        <v>48228</v>
      </c>
      <c r="U791" t="s">
        <v>49489</v>
      </c>
      <c r="W791" t="s">
        <v>42942</v>
      </c>
      <c r="X791" t="s">
        <v>46572</v>
      </c>
    </row>
    <row r="792" spans="1:24">
      <c r="A792">
        <f>HYPERLINK("https://www.philgeps.gov.ph/GEPSNONPILOT/Tender/SplashBidNoticeAbstractUI.aspx?menuIndex=3&amp;refID=7065364&amp;Result=3","7065364")</f>
        <v>0</v>
      </c>
      <c r="B792" t="s">
        <v>377</v>
      </c>
      <c r="C792" t="s">
        <v>4305</v>
      </c>
      <c r="D792" t="s">
        <v>18824</v>
      </c>
      <c r="E792" t="s">
        <v>19641</v>
      </c>
      <c r="F792" t="s">
        <v>32664</v>
      </c>
      <c r="G792" t="s">
        <v>32672</v>
      </c>
      <c r="H792" t="s">
        <v>32683</v>
      </c>
      <c r="I792" t="s">
        <v>10627</v>
      </c>
      <c r="J792" t="s">
        <v>33450</v>
      </c>
      <c r="K792" t="s">
        <v>42305</v>
      </c>
      <c r="M792" t="s">
        <v>42947</v>
      </c>
      <c r="N792" t="s">
        <v>46569</v>
      </c>
      <c r="O792" t="s">
        <v>46570</v>
      </c>
      <c r="P792">
        <v>0</v>
      </c>
      <c r="Q792">
        <v>0</v>
      </c>
      <c r="R792" t="s">
        <v>46571</v>
      </c>
      <c r="S792" t="s">
        <v>46687</v>
      </c>
      <c r="T792" t="s">
        <v>48225</v>
      </c>
      <c r="U792" t="s">
        <v>49490</v>
      </c>
      <c r="W792" t="s">
        <v>42947</v>
      </c>
      <c r="X792" t="s">
        <v>46572</v>
      </c>
    </row>
    <row r="793" spans="1:24">
      <c r="A793">
        <f>HYPERLINK("https://www.philgeps.gov.ph/GEPSNONPILOT/Tender/SplashBidNoticeAbstractUI.aspx?menuIndex=3&amp;refID=7065363&amp;Result=3","7065363")</f>
        <v>0</v>
      </c>
      <c r="B793" t="s">
        <v>257</v>
      </c>
      <c r="C793" t="s">
        <v>4306</v>
      </c>
      <c r="D793" t="s">
        <v>18803</v>
      </c>
      <c r="E793" t="s">
        <v>19642</v>
      </c>
      <c r="F793" t="s">
        <v>32664</v>
      </c>
      <c r="G793" t="s">
        <v>32672</v>
      </c>
      <c r="H793" t="s">
        <v>12635</v>
      </c>
      <c r="I793" t="s">
        <v>32700</v>
      </c>
      <c r="J793" t="s">
        <v>32865</v>
      </c>
      <c r="K793" t="s">
        <v>42289</v>
      </c>
      <c r="M793" t="s">
        <v>42822</v>
      </c>
      <c r="N793" t="s">
        <v>46569</v>
      </c>
      <c r="O793" t="s">
        <v>46570</v>
      </c>
      <c r="P793">
        <v>0</v>
      </c>
      <c r="Q793">
        <v>2</v>
      </c>
      <c r="R793" t="s">
        <v>46571</v>
      </c>
      <c r="S793" t="s">
        <v>46687</v>
      </c>
      <c r="T793" t="s">
        <v>48317</v>
      </c>
      <c r="U793" t="s">
        <v>49237</v>
      </c>
      <c r="W793" t="s">
        <v>42822</v>
      </c>
      <c r="X793" t="s">
        <v>46572</v>
      </c>
    </row>
    <row r="794" spans="1:24">
      <c r="A794">
        <f>HYPERLINK("https://www.philgeps.gov.ph/GEPSNONPILOT/Tender/SplashBidNoticeAbstractUI.aspx?menuIndex=3&amp;refID=7065291&amp;Result=3","7065291")</f>
        <v>0</v>
      </c>
      <c r="B794" t="s">
        <v>398</v>
      </c>
      <c r="C794" t="s">
        <v>4307</v>
      </c>
      <c r="D794" t="s">
        <v>18784</v>
      </c>
      <c r="E794" t="s">
        <v>19643</v>
      </c>
      <c r="F794" t="s">
        <v>32664</v>
      </c>
      <c r="G794" t="s">
        <v>32671</v>
      </c>
      <c r="H794" t="s">
        <v>12635</v>
      </c>
      <c r="I794" t="s">
        <v>10590</v>
      </c>
      <c r="J794" t="s">
        <v>33451</v>
      </c>
      <c r="K794" t="s">
        <v>42309</v>
      </c>
      <c r="M794" t="s">
        <v>42968</v>
      </c>
      <c r="N794" t="s">
        <v>46569</v>
      </c>
      <c r="O794" t="s">
        <v>46570</v>
      </c>
      <c r="P794">
        <v>0</v>
      </c>
      <c r="Q794">
        <v>2</v>
      </c>
      <c r="R794" t="s">
        <v>46571</v>
      </c>
      <c r="S794" t="s">
        <v>46687</v>
      </c>
      <c r="T794" t="s">
        <v>48228</v>
      </c>
      <c r="U794" t="s">
        <v>49491</v>
      </c>
      <c r="W794" t="s">
        <v>63474</v>
      </c>
      <c r="X794" t="s">
        <v>46572</v>
      </c>
    </row>
    <row r="795" spans="1:24">
      <c r="A795">
        <f>HYPERLINK("https://www.philgeps.gov.ph/GEPSNONPILOT/Tender/SplashBidNoticeAbstractUI.aspx?menuIndex=3&amp;refID=7065361&amp;Result=3","7065361")</f>
        <v>0</v>
      </c>
      <c r="B795" t="s">
        <v>399</v>
      </c>
      <c r="C795" t="s">
        <v>4308</v>
      </c>
      <c r="D795" t="s">
        <v>18786</v>
      </c>
      <c r="E795" t="s">
        <v>19644</v>
      </c>
      <c r="F795" t="s">
        <v>32664</v>
      </c>
      <c r="G795" t="s">
        <v>32674</v>
      </c>
      <c r="H795" t="s">
        <v>32682</v>
      </c>
      <c r="I795" t="s">
        <v>10361</v>
      </c>
      <c r="J795" t="s">
        <v>33299</v>
      </c>
      <c r="K795" t="s">
        <v>42339</v>
      </c>
      <c r="M795" t="s">
        <v>42969</v>
      </c>
      <c r="N795" t="s">
        <v>46569</v>
      </c>
      <c r="O795" t="s">
        <v>46570</v>
      </c>
      <c r="P795">
        <v>0</v>
      </c>
      <c r="Q795">
        <v>0</v>
      </c>
      <c r="R795" t="s">
        <v>46571</v>
      </c>
      <c r="S795" t="s">
        <v>46687</v>
      </c>
      <c r="T795" t="s">
        <v>48246</v>
      </c>
      <c r="U795" t="s">
        <v>49492</v>
      </c>
      <c r="W795" t="s">
        <v>42969</v>
      </c>
      <c r="X795" t="s">
        <v>46572</v>
      </c>
    </row>
    <row r="796" spans="1:24">
      <c r="A796">
        <f>HYPERLINK("https://www.philgeps.gov.ph/GEPSNONPILOT/Tender/SplashBidNoticeAbstractUI.aspx?menuIndex=3&amp;refID=7065360&amp;Result=3","7065360")</f>
        <v>0</v>
      </c>
      <c r="B796" t="s">
        <v>400</v>
      </c>
      <c r="C796" t="s">
        <v>4309</v>
      </c>
      <c r="D796" t="s">
        <v>18827</v>
      </c>
      <c r="E796" t="s">
        <v>19645</v>
      </c>
      <c r="F796" t="s">
        <v>32664</v>
      </c>
      <c r="G796" t="s">
        <v>32671</v>
      </c>
      <c r="H796" t="s">
        <v>12635</v>
      </c>
      <c r="I796" t="s">
        <v>6628</v>
      </c>
      <c r="J796" t="s">
        <v>33309</v>
      </c>
      <c r="K796" t="s">
        <v>42283</v>
      </c>
      <c r="M796" t="s">
        <v>42970</v>
      </c>
      <c r="N796" t="s">
        <v>46569</v>
      </c>
      <c r="O796" t="s">
        <v>46570</v>
      </c>
      <c r="P796">
        <v>0</v>
      </c>
      <c r="Q796">
        <v>3</v>
      </c>
      <c r="R796" t="s">
        <v>46571</v>
      </c>
      <c r="S796" t="s">
        <v>46687</v>
      </c>
      <c r="T796" t="s">
        <v>48340</v>
      </c>
      <c r="U796" t="s">
        <v>49493</v>
      </c>
      <c r="W796" t="s">
        <v>42970</v>
      </c>
      <c r="X796" t="s">
        <v>46572</v>
      </c>
    </row>
    <row r="797" spans="1:24">
      <c r="A797">
        <f>HYPERLINK("https://www.philgeps.gov.ph/GEPSNONPILOT/Tender/SplashBidNoticeAbstractUI.aspx?menuIndex=3&amp;refID=7065241&amp;Result=3","7065241")</f>
        <v>0</v>
      </c>
      <c r="B797" t="s">
        <v>225</v>
      </c>
      <c r="C797" t="s">
        <v>4310</v>
      </c>
      <c r="D797" t="s">
        <v>18784</v>
      </c>
      <c r="E797" t="s">
        <v>19646</v>
      </c>
      <c r="F797" t="s">
        <v>32664</v>
      </c>
      <c r="G797" t="s">
        <v>32674</v>
      </c>
      <c r="H797" t="s">
        <v>12635</v>
      </c>
      <c r="I797" t="s">
        <v>4439</v>
      </c>
      <c r="J797" t="s">
        <v>33078</v>
      </c>
      <c r="K797" t="s">
        <v>42289</v>
      </c>
      <c r="M797" t="s">
        <v>42789</v>
      </c>
      <c r="N797" t="s">
        <v>46569</v>
      </c>
      <c r="O797" t="s">
        <v>46570</v>
      </c>
      <c r="P797">
        <v>0</v>
      </c>
      <c r="Q797">
        <v>0</v>
      </c>
      <c r="R797" t="s">
        <v>46571</v>
      </c>
      <c r="S797" t="s">
        <v>46687</v>
      </c>
      <c r="T797" t="s">
        <v>48225</v>
      </c>
      <c r="U797" t="s">
        <v>49494</v>
      </c>
      <c r="W797" t="s">
        <v>42789</v>
      </c>
      <c r="X797" t="s">
        <v>46572</v>
      </c>
    </row>
    <row r="798" spans="1:24">
      <c r="A798">
        <f>HYPERLINK("https://www.philgeps.gov.ph/GEPSNONPILOT/Tender/SplashBidNoticeAbstractUI.aspx?menuIndex=3&amp;refID=7065362&amp;Result=3","7065362")</f>
        <v>0</v>
      </c>
      <c r="B798" t="s">
        <v>401</v>
      </c>
      <c r="C798" t="s">
        <v>4311</v>
      </c>
      <c r="D798" t="s">
        <v>18842</v>
      </c>
      <c r="E798" t="s">
        <v>19647</v>
      </c>
      <c r="F798" t="s">
        <v>32664</v>
      </c>
      <c r="G798" t="s">
        <v>32674</v>
      </c>
      <c r="H798" t="s">
        <v>12635</v>
      </c>
      <c r="I798" t="s">
        <v>6168</v>
      </c>
      <c r="J798" t="s">
        <v>33452</v>
      </c>
      <c r="K798" t="s">
        <v>42281</v>
      </c>
      <c r="M798" t="s">
        <v>42971</v>
      </c>
      <c r="N798" t="s">
        <v>46569</v>
      </c>
      <c r="O798" t="s">
        <v>46570</v>
      </c>
      <c r="P798">
        <v>0</v>
      </c>
      <c r="Q798">
        <v>0</v>
      </c>
      <c r="R798" t="s">
        <v>46571</v>
      </c>
      <c r="S798" t="s">
        <v>46687</v>
      </c>
      <c r="T798" t="s">
        <v>48283</v>
      </c>
      <c r="U798" t="s">
        <v>49495</v>
      </c>
      <c r="W798" t="s">
        <v>42971</v>
      </c>
      <c r="X798" t="s">
        <v>46572</v>
      </c>
    </row>
    <row r="799" spans="1:24">
      <c r="A799">
        <f>HYPERLINK("https://www.philgeps.gov.ph/GEPSNONPILOT/Tender/SplashBidNoticeAbstractUI.aspx?menuIndex=3&amp;refID=7065356&amp;Result=3","7065356")</f>
        <v>0</v>
      </c>
      <c r="B799" t="s">
        <v>402</v>
      </c>
      <c r="C799" t="s">
        <v>4312</v>
      </c>
      <c r="D799" t="s">
        <v>18781</v>
      </c>
      <c r="E799" t="s">
        <v>19648</v>
      </c>
      <c r="F799" t="s">
        <v>32664</v>
      </c>
      <c r="G799" t="s">
        <v>32671</v>
      </c>
      <c r="H799" t="s">
        <v>12635</v>
      </c>
      <c r="I799" t="s">
        <v>10361</v>
      </c>
      <c r="J799" t="s">
        <v>33453</v>
      </c>
      <c r="K799" t="s">
        <v>42283</v>
      </c>
      <c r="M799" t="s">
        <v>42972</v>
      </c>
      <c r="N799" t="s">
        <v>46569</v>
      </c>
      <c r="O799" t="s">
        <v>46570</v>
      </c>
      <c r="P799">
        <v>0</v>
      </c>
      <c r="Q799">
        <v>0</v>
      </c>
      <c r="R799" t="s">
        <v>46571</v>
      </c>
      <c r="S799" t="s">
        <v>46687</v>
      </c>
      <c r="T799" t="s">
        <v>48217</v>
      </c>
      <c r="U799" t="s">
        <v>49496</v>
      </c>
      <c r="W799" t="s">
        <v>42972</v>
      </c>
      <c r="X799" t="s">
        <v>46572</v>
      </c>
    </row>
    <row r="800" spans="1:24">
      <c r="A800">
        <f>HYPERLINK("https://www.philgeps.gov.ph/GEPSNONPILOT/Tender/SplashBidNoticeAbstractUI.aspx?menuIndex=3&amp;refID=7065359&amp;Result=3","7065359")</f>
        <v>0</v>
      </c>
      <c r="B800" t="s">
        <v>403</v>
      </c>
      <c r="C800" t="s">
        <v>4313</v>
      </c>
      <c r="D800" t="s">
        <v>18789</v>
      </c>
      <c r="E800" t="s">
        <v>19178</v>
      </c>
      <c r="F800" t="s">
        <v>32664</v>
      </c>
      <c r="G800" t="s">
        <v>32674</v>
      </c>
      <c r="H800" t="s">
        <v>12635</v>
      </c>
      <c r="I800" t="s">
        <v>8730</v>
      </c>
      <c r="J800" t="s">
        <v>33454</v>
      </c>
      <c r="K800" t="s">
        <v>42306</v>
      </c>
      <c r="M800" t="s">
        <v>42973</v>
      </c>
      <c r="N800" t="s">
        <v>46569</v>
      </c>
      <c r="O800" t="s">
        <v>46570</v>
      </c>
      <c r="P800">
        <v>0</v>
      </c>
      <c r="Q800">
        <v>0</v>
      </c>
      <c r="R800" t="s">
        <v>46571</v>
      </c>
      <c r="S800" t="s">
        <v>46687</v>
      </c>
      <c r="T800" t="s">
        <v>48341</v>
      </c>
      <c r="U800" t="s">
        <v>49497</v>
      </c>
      <c r="W800" t="s">
        <v>42973</v>
      </c>
      <c r="X800" t="s">
        <v>46572</v>
      </c>
    </row>
    <row r="801" spans="1:24">
      <c r="A801">
        <f>HYPERLINK("https://www.philgeps.gov.ph/GEPSNONPILOT/Tender/SplashBidNoticeAbstractUI.aspx?menuIndex=3&amp;refID=7065394&amp;Result=3","7065394")</f>
        <v>0</v>
      </c>
      <c r="B801" t="s">
        <v>404</v>
      </c>
      <c r="C801" t="s">
        <v>4314</v>
      </c>
      <c r="D801" t="s">
        <v>18784</v>
      </c>
      <c r="E801" t="s">
        <v>19649</v>
      </c>
      <c r="F801" t="s">
        <v>32664</v>
      </c>
      <c r="G801" t="s">
        <v>32671</v>
      </c>
      <c r="H801" t="s">
        <v>12635</v>
      </c>
      <c r="I801" t="s">
        <v>6223</v>
      </c>
      <c r="J801" t="s">
        <v>33455</v>
      </c>
      <c r="K801" t="s">
        <v>42284</v>
      </c>
      <c r="M801" t="s">
        <v>42974</v>
      </c>
      <c r="N801" t="s">
        <v>46569</v>
      </c>
      <c r="O801" t="s">
        <v>46570</v>
      </c>
      <c r="P801">
        <v>0</v>
      </c>
      <c r="Q801">
        <v>0</v>
      </c>
      <c r="R801" t="s">
        <v>46571</v>
      </c>
      <c r="S801" t="s">
        <v>46687</v>
      </c>
      <c r="T801" t="s">
        <v>48298</v>
      </c>
      <c r="U801" t="s">
        <v>49498</v>
      </c>
      <c r="V801" t="s">
        <v>61716</v>
      </c>
      <c r="W801" t="s">
        <v>42974</v>
      </c>
      <c r="X801" t="s">
        <v>46572</v>
      </c>
    </row>
    <row r="802" spans="1:24">
      <c r="A802">
        <f>HYPERLINK("https://www.philgeps.gov.ph/GEPSNONPILOT/Tender/SplashBidNoticeAbstractUI.aspx?menuIndex=3&amp;refID=7065393&amp;Result=3","7065393")</f>
        <v>0</v>
      </c>
      <c r="B802" t="s">
        <v>405</v>
      </c>
      <c r="C802" t="s">
        <v>4315</v>
      </c>
      <c r="D802" t="s">
        <v>18785</v>
      </c>
      <c r="E802" t="s">
        <v>19650</v>
      </c>
      <c r="F802" t="s">
        <v>32664</v>
      </c>
      <c r="G802" t="s">
        <v>32672</v>
      </c>
      <c r="H802" t="s">
        <v>12635</v>
      </c>
      <c r="I802" t="s">
        <v>4439</v>
      </c>
      <c r="J802" t="s">
        <v>33078</v>
      </c>
      <c r="K802" t="s">
        <v>42295</v>
      </c>
      <c r="M802" t="s">
        <v>42975</v>
      </c>
      <c r="N802" t="s">
        <v>46569</v>
      </c>
      <c r="O802" t="s">
        <v>46570</v>
      </c>
      <c r="P802">
        <v>0</v>
      </c>
      <c r="Q802">
        <v>0</v>
      </c>
      <c r="R802" t="s">
        <v>46571</v>
      </c>
      <c r="S802" t="s">
        <v>46687</v>
      </c>
      <c r="T802" t="s">
        <v>48226</v>
      </c>
      <c r="U802" t="s">
        <v>49499</v>
      </c>
      <c r="W802" t="s">
        <v>42975</v>
      </c>
      <c r="X802" t="s">
        <v>46572</v>
      </c>
    </row>
    <row r="803" spans="1:24">
      <c r="A803">
        <f>HYPERLINK("https://www.philgeps.gov.ph/GEPSNONPILOT/Tender/SplashBidNoticeAbstractUI.aspx?menuIndex=3&amp;refID=7065357&amp;Result=3","7065357")</f>
        <v>0</v>
      </c>
      <c r="B803" t="s">
        <v>384</v>
      </c>
      <c r="C803" t="s">
        <v>4316</v>
      </c>
      <c r="D803" t="s">
        <v>18781</v>
      </c>
      <c r="E803" t="s">
        <v>19651</v>
      </c>
      <c r="F803" t="s">
        <v>32664</v>
      </c>
      <c r="G803" t="s">
        <v>32675</v>
      </c>
      <c r="H803" t="s">
        <v>12635</v>
      </c>
      <c r="I803" t="s">
        <v>8730</v>
      </c>
      <c r="J803" t="s">
        <v>33456</v>
      </c>
      <c r="K803" t="s">
        <v>42295</v>
      </c>
      <c r="M803" t="s">
        <v>42954</v>
      </c>
      <c r="N803" t="s">
        <v>46569</v>
      </c>
      <c r="O803" t="s">
        <v>46570</v>
      </c>
      <c r="P803">
        <v>0</v>
      </c>
      <c r="Q803">
        <v>0</v>
      </c>
      <c r="R803" t="s">
        <v>46571</v>
      </c>
      <c r="S803" t="s">
        <v>46687</v>
      </c>
      <c r="T803" t="s">
        <v>48221</v>
      </c>
      <c r="U803" t="s">
        <v>49500</v>
      </c>
      <c r="W803" t="s">
        <v>42954</v>
      </c>
      <c r="X803" t="s">
        <v>46572</v>
      </c>
    </row>
    <row r="804" spans="1:24">
      <c r="A804">
        <f>HYPERLINK("https://www.philgeps.gov.ph/GEPSNONPILOT/Tender/SplashBidNoticeAbstractUI.aspx?menuIndex=3&amp;refID=7065391&amp;Result=3","7065391")</f>
        <v>0</v>
      </c>
      <c r="B804" t="s">
        <v>384</v>
      </c>
      <c r="C804" t="s">
        <v>4317</v>
      </c>
      <c r="D804" t="s">
        <v>18781</v>
      </c>
      <c r="E804" t="s">
        <v>19652</v>
      </c>
      <c r="F804" t="s">
        <v>32664</v>
      </c>
      <c r="G804" t="s">
        <v>32671</v>
      </c>
      <c r="H804" t="s">
        <v>12635</v>
      </c>
      <c r="I804" t="s">
        <v>4205</v>
      </c>
      <c r="J804" t="s">
        <v>33298</v>
      </c>
      <c r="K804" t="s">
        <v>42295</v>
      </c>
      <c r="M804" t="s">
        <v>42954</v>
      </c>
      <c r="N804" t="s">
        <v>46569</v>
      </c>
      <c r="O804" t="s">
        <v>46570</v>
      </c>
      <c r="P804">
        <v>0</v>
      </c>
      <c r="Q804">
        <v>1</v>
      </c>
      <c r="R804" t="s">
        <v>46571</v>
      </c>
      <c r="S804" t="s">
        <v>46687</v>
      </c>
      <c r="T804" t="s">
        <v>48221</v>
      </c>
      <c r="U804" t="s">
        <v>49501</v>
      </c>
      <c r="W804" t="s">
        <v>42954</v>
      </c>
      <c r="X804" t="s">
        <v>46572</v>
      </c>
    </row>
    <row r="805" spans="1:24">
      <c r="A805">
        <f>HYPERLINK("https://www.philgeps.gov.ph/GEPSNONPILOT/Tender/SplashBidNoticeAbstractUI.aspx?menuIndex=3&amp;refID=7065392&amp;Result=3","7065392")</f>
        <v>0</v>
      </c>
      <c r="B805" t="s">
        <v>406</v>
      </c>
      <c r="C805" t="s">
        <v>4318</v>
      </c>
      <c r="D805" t="s">
        <v>18854</v>
      </c>
      <c r="E805" t="s">
        <v>19653</v>
      </c>
      <c r="F805" t="s">
        <v>32664</v>
      </c>
      <c r="G805" t="s">
        <v>32671</v>
      </c>
      <c r="H805" t="s">
        <v>12635</v>
      </c>
      <c r="I805" t="s">
        <v>32692</v>
      </c>
      <c r="J805" t="s">
        <v>33457</v>
      </c>
      <c r="K805" t="s">
        <v>42303</v>
      </c>
      <c r="L805" t="s">
        <v>406</v>
      </c>
      <c r="M805" t="s">
        <v>42976</v>
      </c>
      <c r="N805" t="s">
        <v>46569</v>
      </c>
      <c r="O805" t="s">
        <v>46570</v>
      </c>
      <c r="P805">
        <v>0</v>
      </c>
      <c r="Q805">
        <v>0</v>
      </c>
      <c r="R805" t="s">
        <v>46571</v>
      </c>
      <c r="S805" t="s">
        <v>46687</v>
      </c>
      <c r="T805" t="s">
        <v>48291</v>
      </c>
      <c r="U805" t="s">
        <v>49502</v>
      </c>
      <c r="W805" t="s">
        <v>42976</v>
      </c>
      <c r="X805" t="s">
        <v>46572</v>
      </c>
    </row>
    <row r="806" spans="1:24">
      <c r="A806">
        <f>HYPERLINK("https://www.philgeps.gov.ph/GEPSNONPILOT/Tender/SplashBidNoticeAbstractUI.aspx?menuIndex=3&amp;refID=7065389&amp;Result=3","7065389")</f>
        <v>0</v>
      </c>
      <c r="B806" t="s">
        <v>245</v>
      </c>
      <c r="C806" t="s">
        <v>4319</v>
      </c>
      <c r="D806" t="s">
        <v>18791</v>
      </c>
      <c r="E806" t="s">
        <v>19654</v>
      </c>
      <c r="F806" t="s">
        <v>32664</v>
      </c>
      <c r="G806" t="s">
        <v>32672</v>
      </c>
      <c r="H806" t="s">
        <v>12635</v>
      </c>
      <c r="I806" t="s">
        <v>4439</v>
      </c>
      <c r="J806" t="s">
        <v>33458</v>
      </c>
      <c r="K806" t="s">
        <v>42303</v>
      </c>
      <c r="M806" t="s">
        <v>42810</v>
      </c>
      <c r="N806" t="s">
        <v>46569</v>
      </c>
      <c r="O806" t="s">
        <v>46570</v>
      </c>
      <c r="P806">
        <v>0</v>
      </c>
      <c r="Q806">
        <v>0</v>
      </c>
      <c r="R806" t="s">
        <v>46571</v>
      </c>
      <c r="S806" t="s">
        <v>46687</v>
      </c>
      <c r="T806" t="s">
        <v>48233</v>
      </c>
      <c r="U806" t="s">
        <v>49503</v>
      </c>
      <c r="V806" t="s">
        <v>61676</v>
      </c>
      <c r="W806" t="s">
        <v>42810</v>
      </c>
      <c r="X806" t="s">
        <v>46572</v>
      </c>
    </row>
    <row r="807" spans="1:24">
      <c r="A807">
        <f>HYPERLINK("https://www.philgeps.gov.ph/GEPSNONPILOT/Tender/SplashBidNoticeAbstractUI.aspx?menuIndex=3&amp;refID=7065366&amp;Result=3","7065366")</f>
        <v>0</v>
      </c>
      <c r="B807" t="s">
        <v>328</v>
      </c>
      <c r="C807" t="s">
        <v>4320</v>
      </c>
      <c r="D807" t="s">
        <v>18813</v>
      </c>
      <c r="E807" t="s">
        <v>18889</v>
      </c>
      <c r="F807" t="s">
        <v>32664</v>
      </c>
      <c r="G807" t="s">
        <v>32674</v>
      </c>
      <c r="H807" t="s">
        <v>12635</v>
      </c>
      <c r="I807" t="s">
        <v>32734</v>
      </c>
      <c r="J807" t="s">
        <v>33459</v>
      </c>
      <c r="K807" t="s">
        <v>42295</v>
      </c>
      <c r="M807" t="s">
        <v>42896</v>
      </c>
      <c r="N807" t="s">
        <v>46569</v>
      </c>
      <c r="O807" t="s">
        <v>46570</v>
      </c>
      <c r="P807">
        <v>0</v>
      </c>
      <c r="Q807">
        <v>0</v>
      </c>
      <c r="R807" t="s">
        <v>46571</v>
      </c>
      <c r="S807" t="s">
        <v>46687</v>
      </c>
      <c r="T807" t="s">
        <v>48219</v>
      </c>
      <c r="U807" t="s">
        <v>49375</v>
      </c>
      <c r="W807" t="s">
        <v>42896</v>
      </c>
      <c r="X807" t="s">
        <v>46572</v>
      </c>
    </row>
    <row r="808" spans="1:24">
      <c r="A808">
        <f>HYPERLINK("https://www.philgeps.gov.ph/GEPSNONPILOT/Tender/SplashBidNoticeAbstractUI.aspx?menuIndex=3&amp;refID=7065390&amp;Result=3","7065390")</f>
        <v>0</v>
      </c>
      <c r="B808" t="s">
        <v>394</v>
      </c>
      <c r="C808" t="s">
        <v>3756</v>
      </c>
      <c r="D808" t="s">
        <v>18826</v>
      </c>
      <c r="E808" t="s">
        <v>19655</v>
      </c>
      <c r="F808" t="s">
        <v>32668</v>
      </c>
      <c r="G808" t="s">
        <v>32671</v>
      </c>
      <c r="H808" t="s">
        <v>12635</v>
      </c>
      <c r="I808" t="s">
        <v>6223</v>
      </c>
      <c r="J808" t="s">
        <v>33460</v>
      </c>
      <c r="K808" t="s">
        <v>42289</v>
      </c>
      <c r="M808" t="s">
        <v>42964</v>
      </c>
      <c r="N808" t="s">
        <v>46569</v>
      </c>
      <c r="O808" t="s">
        <v>46570</v>
      </c>
      <c r="P808">
        <v>0</v>
      </c>
      <c r="Q808">
        <v>2</v>
      </c>
      <c r="R808" t="s">
        <v>46571</v>
      </c>
      <c r="S808" t="s">
        <v>46687</v>
      </c>
      <c r="T808" t="s">
        <v>48291</v>
      </c>
      <c r="U808" t="s">
        <v>49485</v>
      </c>
      <c r="W808" t="s">
        <v>42964</v>
      </c>
      <c r="X808" t="s">
        <v>46572</v>
      </c>
    </row>
    <row r="809" spans="1:24">
      <c r="A809">
        <f>HYPERLINK("https://www.philgeps.gov.ph/GEPSNONPILOT/Tender/SplashBidNoticeAbstractUI.aspx?menuIndex=3&amp;refID=7065385&amp;Result=3","7065385")</f>
        <v>0</v>
      </c>
      <c r="B809" t="s">
        <v>407</v>
      </c>
      <c r="C809" t="s">
        <v>4321</v>
      </c>
      <c r="D809" t="s">
        <v>18830</v>
      </c>
      <c r="E809" t="s">
        <v>19656</v>
      </c>
      <c r="F809" t="s">
        <v>32664</v>
      </c>
      <c r="G809" t="s">
        <v>32672</v>
      </c>
      <c r="H809" t="s">
        <v>12635</v>
      </c>
      <c r="I809" t="s">
        <v>32685</v>
      </c>
      <c r="J809" t="s">
        <v>33461</v>
      </c>
      <c r="K809" t="s">
        <v>42281</v>
      </c>
      <c r="M809" t="s">
        <v>42977</v>
      </c>
      <c r="N809" t="s">
        <v>46569</v>
      </c>
      <c r="O809" t="s">
        <v>46570</v>
      </c>
      <c r="P809">
        <v>0</v>
      </c>
      <c r="Q809">
        <v>0</v>
      </c>
      <c r="R809" t="s">
        <v>46571</v>
      </c>
      <c r="S809" t="s">
        <v>46687</v>
      </c>
      <c r="T809" t="s">
        <v>48212</v>
      </c>
      <c r="U809" t="s">
        <v>49504</v>
      </c>
      <c r="V809" t="s">
        <v>61717</v>
      </c>
      <c r="W809" t="s">
        <v>42977</v>
      </c>
      <c r="X809" t="s">
        <v>46572</v>
      </c>
    </row>
    <row r="810" spans="1:24">
      <c r="A810">
        <f>HYPERLINK("https://www.philgeps.gov.ph/GEPSNONPILOT/Tender/SplashBidNoticeAbstractUI.aspx?menuIndex=3&amp;refID=7065388&amp;Result=3","7065388")</f>
        <v>0</v>
      </c>
      <c r="B810" t="s">
        <v>408</v>
      </c>
      <c r="C810" t="s">
        <v>4322</v>
      </c>
      <c r="D810" t="s">
        <v>18794</v>
      </c>
      <c r="E810" t="s">
        <v>19657</v>
      </c>
      <c r="F810" t="s">
        <v>32664</v>
      </c>
      <c r="G810" t="s">
        <v>32671</v>
      </c>
      <c r="H810" t="s">
        <v>12635</v>
      </c>
      <c r="I810" t="s">
        <v>32740</v>
      </c>
      <c r="J810" t="s">
        <v>32842</v>
      </c>
      <c r="K810" t="s">
        <v>42283</v>
      </c>
      <c r="M810" t="s">
        <v>42978</v>
      </c>
      <c r="N810" t="s">
        <v>46569</v>
      </c>
      <c r="O810" t="s">
        <v>46570</v>
      </c>
      <c r="P810">
        <v>0</v>
      </c>
      <c r="Q810">
        <v>1</v>
      </c>
      <c r="R810" t="s">
        <v>46571</v>
      </c>
      <c r="S810" t="s">
        <v>46687</v>
      </c>
      <c r="T810" t="s">
        <v>48305</v>
      </c>
      <c r="U810" t="s">
        <v>49505</v>
      </c>
      <c r="W810" t="s">
        <v>42978</v>
      </c>
      <c r="X810" t="s">
        <v>46572</v>
      </c>
    </row>
    <row r="811" spans="1:24">
      <c r="A811">
        <f>HYPERLINK("https://www.philgeps.gov.ph/GEPSNONPILOT/Tender/SplashBidNoticeAbstractUI.aspx?menuIndex=3&amp;refID=7065387&amp;Result=3","7065387")</f>
        <v>0</v>
      </c>
      <c r="B811" t="s">
        <v>179</v>
      </c>
      <c r="C811" t="s">
        <v>4323</v>
      </c>
      <c r="D811" t="s">
        <v>18830</v>
      </c>
      <c r="E811" t="s">
        <v>19658</v>
      </c>
      <c r="F811" t="s">
        <v>32664</v>
      </c>
      <c r="G811" t="s">
        <v>32671</v>
      </c>
      <c r="H811" t="s">
        <v>12635</v>
      </c>
      <c r="I811" t="s">
        <v>32741</v>
      </c>
      <c r="J811" t="s">
        <v>33051</v>
      </c>
      <c r="K811" t="s">
        <v>42281</v>
      </c>
      <c r="M811" t="s">
        <v>42743</v>
      </c>
      <c r="N811" t="s">
        <v>46569</v>
      </c>
      <c r="O811" t="s">
        <v>46570</v>
      </c>
      <c r="P811">
        <v>0</v>
      </c>
      <c r="Q811">
        <v>1</v>
      </c>
      <c r="R811" t="s">
        <v>46571</v>
      </c>
      <c r="S811" t="s">
        <v>46687</v>
      </c>
      <c r="T811" t="s">
        <v>48294</v>
      </c>
      <c r="U811" t="s">
        <v>49506</v>
      </c>
      <c r="V811" t="s">
        <v>61664</v>
      </c>
      <c r="W811" t="s">
        <v>63466</v>
      </c>
      <c r="X811" t="s">
        <v>46572</v>
      </c>
    </row>
    <row r="812" spans="1:24">
      <c r="A812">
        <f>HYPERLINK("https://www.philgeps.gov.ph/GEPSNONPILOT/Tender/SplashBidNoticeAbstractUI.aspx?menuIndex=3&amp;refID=7065383&amp;Result=3","7065383")</f>
        <v>0</v>
      </c>
      <c r="B812" t="s">
        <v>289</v>
      </c>
      <c r="C812" t="s">
        <v>4324</v>
      </c>
      <c r="D812" t="s">
        <v>18791</v>
      </c>
      <c r="E812" t="s">
        <v>19659</v>
      </c>
      <c r="F812" t="s">
        <v>32664</v>
      </c>
      <c r="G812" t="s">
        <v>32671</v>
      </c>
      <c r="H812" t="s">
        <v>12635</v>
      </c>
      <c r="I812" t="s">
        <v>32723</v>
      </c>
      <c r="J812" t="s">
        <v>33267</v>
      </c>
      <c r="K812" t="s">
        <v>42281</v>
      </c>
      <c r="M812" t="s">
        <v>42856</v>
      </c>
      <c r="N812" t="s">
        <v>46569</v>
      </c>
      <c r="O812" t="s">
        <v>46570</v>
      </c>
      <c r="P812">
        <v>0</v>
      </c>
      <c r="Q812">
        <v>0</v>
      </c>
      <c r="R812" t="s">
        <v>46571</v>
      </c>
      <c r="S812" t="s">
        <v>46687</v>
      </c>
      <c r="T812" t="s">
        <v>48310</v>
      </c>
      <c r="U812" t="s">
        <v>49507</v>
      </c>
      <c r="W812" t="s">
        <v>42856</v>
      </c>
      <c r="X812" t="s">
        <v>46572</v>
      </c>
    </row>
    <row r="813" spans="1:24">
      <c r="A813">
        <f>HYPERLINK("https://www.philgeps.gov.ph/GEPSNONPILOT/Tender/SplashBidNoticeAbstractUI.aspx?menuIndex=3&amp;refID=7065378&amp;Result=3","7065378")</f>
        <v>0</v>
      </c>
      <c r="B813" t="s">
        <v>337</v>
      </c>
      <c r="C813" t="s">
        <v>4325</v>
      </c>
      <c r="D813" t="s">
        <v>18842</v>
      </c>
      <c r="E813" t="s">
        <v>19626</v>
      </c>
      <c r="F813" t="s">
        <v>32664</v>
      </c>
      <c r="G813" t="s">
        <v>32671</v>
      </c>
      <c r="H813" t="s">
        <v>32682</v>
      </c>
      <c r="I813" t="s">
        <v>4439</v>
      </c>
      <c r="J813" t="s">
        <v>33435</v>
      </c>
      <c r="K813" t="s">
        <v>42289</v>
      </c>
      <c r="M813" t="s">
        <v>42905</v>
      </c>
      <c r="N813" t="s">
        <v>46569</v>
      </c>
      <c r="O813" t="s">
        <v>46570</v>
      </c>
      <c r="P813">
        <v>0</v>
      </c>
      <c r="Q813">
        <v>0</v>
      </c>
      <c r="R813" t="s">
        <v>46571</v>
      </c>
      <c r="S813" t="s">
        <v>46687</v>
      </c>
      <c r="T813" t="s">
        <v>48256</v>
      </c>
      <c r="U813" t="s">
        <v>49508</v>
      </c>
      <c r="W813" t="s">
        <v>42905</v>
      </c>
      <c r="X813" t="s">
        <v>46572</v>
      </c>
    </row>
    <row r="814" spans="1:24">
      <c r="A814">
        <f>HYPERLINK("https://www.philgeps.gov.ph/GEPSNONPILOT/Tender/SplashBidNoticeAbstractUI.aspx?menuIndex=3&amp;refID=7065367&amp;Result=3","7065367")</f>
        <v>0</v>
      </c>
      <c r="B814" t="s">
        <v>134</v>
      </c>
      <c r="C814" t="s">
        <v>4326</v>
      </c>
      <c r="D814" t="s">
        <v>18784</v>
      </c>
      <c r="E814" t="s">
        <v>19660</v>
      </c>
      <c r="F814" t="s">
        <v>32664</v>
      </c>
      <c r="G814" t="s">
        <v>32675</v>
      </c>
      <c r="H814" t="s">
        <v>12635</v>
      </c>
      <c r="I814" t="s">
        <v>8730</v>
      </c>
      <c r="J814" t="s">
        <v>33462</v>
      </c>
      <c r="K814" t="s">
        <v>42284</v>
      </c>
      <c r="M814" t="s">
        <v>42979</v>
      </c>
      <c r="N814" t="s">
        <v>46569</v>
      </c>
      <c r="O814" t="s">
        <v>46570</v>
      </c>
      <c r="P814">
        <v>0</v>
      </c>
      <c r="Q814">
        <v>1</v>
      </c>
      <c r="R814" t="s">
        <v>46571</v>
      </c>
      <c r="S814" t="s">
        <v>46687</v>
      </c>
      <c r="T814" t="s">
        <v>48256</v>
      </c>
      <c r="U814" t="s">
        <v>49509</v>
      </c>
      <c r="W814" t="s">
        <v>42979</v>
      </c>
      <c r="X814" t="s">
        <v>46572</v>
      </c>
    </row>
    <row r="815" spans="1:24">
      <c r="A815">
        <f>HYPERLINK("https://www.philgeps.gov.ph/GEPSNONPILOT/Tender/SplashBidNoticeAbstractUI.aspx?menuIndex=3&amp;refID=7065354&amp;Result=3","7065354")</f>
        <v>0</v>
      </c>
      <c r="B815" t="s">
        <v>132</v>
      </c>
      <c r="C815" t="s">
        <v>4327</v>
      </c>
      <c r="D815" t="s">
        <v>18831</v>
      </c>
      <c r="E815" t="s">
        <v>19661</v>
      </c>
      <c r="F815" t="s">
        <v>32664</v>
      </c>
      <c r="G815" t="s">
        <v>32672</v>
      </c>
      <c r="H815" t="s">
        <v>32683</v>
      </c>
      <c r="I815" t="s">
        <v>10627</v>
      </c>
      <c r="J815" t="s">
        <v>33463</v>
      </c>
      <c r="K815" t="s">
        <v>42342</v>
      </c>
      <c r="M815" t="s">
        <v>42696</v>
      </c>
      <c r="N815" t="s">
        <v>46569</v>
      </c>
      <c r="O815" t="s">
        <v>46570</v>
      </c>
      <c r="P815">
        <v>0</v>
      </c>
      <c r="Q815">
        <v>0</v>
      </c>
      <c r="R815" t="s">
        <v>46571</v>
      </c>
      <c r="S815" t="s">
        <v>46687</v>
      </c>
      <c r="T815" t="s">
        <v>48262</v>
      </c>
      <c r="U815" t="s">
        <v>49510</v>
      </c>
      <c r="V815" t="s">
        <v>61647</v>
      </c>
      <c r="W815" t="s">
        <v>42696</v>
      </c>
      <c r="X815" t="s">
        <v>46572</v>
      </c>
    </row>
    <row r="816" spans="1:24">
      <c r="A816">
        <f>HYPERLINK("https://www.philgeps.gov.ph/GEPSNONPILOT/Tender/SplashBidNoticeAbstractUI.aspx?menuIndex=3&amp;refID=7065375&amp;Result=3","7065375")</f>
        <v>0</v>
      </c>
      <c r="B816" t="s">
        <v>409</v>
      </c>
      <c r="C816" t="s">
        <v>4328</v>
      </c>
      <c r="D816" t="s">
        <v>18784</v>
      </c>
      <c r="E816" t="s">
        <v>19662</v>
      </c>
      <c r="F816" t="s">
        <v>32664</v>
      </c>
      <c r="G816" t="s">
        <v>32671</v>
      </c>
      <c r="H816" t="s">
        <v>12635</v>
      </c>
      <c r="I816" t="s">
        <v>32694</v>
      </c>
      <c r="J816" t="s">
        <v>33464</v>
      </c>
      <c r="K816" t="s">
        <v>42281</v>
      </c>
      <c r="M816" t="s">
        <v>42980</v>
      </c>
      <c r="N816" t="s">
        <v>46569</v>
      </c>
      <c r="O816" t="s">
        <v>46570</v>
      </c>
      <c r="P816">
        <v>0</v>
      </c>
      <c r="Q816">
        <v>2</v>
      </c>
      <c r="R816" t="s">
        <v>46571</v>
      </c>
      <c r="S816" t="s">
        <v>46687</v>
      </c>
      <c r="T816" t="s">
        <v>48256</v>
      </c>
      <c r="U816" t="s">
        <v>49511</v>
      </c>
      <c r="W816" t="s">
        <v>42980</v>
      </c>
      <c r="X816" t="s">
        <v>46572</v>
      </c>
    </row>
    <row r="817" spans="1:24">
      <c r="A817">
        <f>HYPERLINK("https://www.philgeps.gov.ph/GEPSNONPILOT/Tender/SplashBidNoticeAbstractUI.aspx?menuIndex=3&amp;refID=7065373&amp;Result=3","7065373")</f>
        <v>0</v>
      </c>
      <c r="B817" t="s">
        <v>300</v>
      </c>
      <c r="C817" t="s">
        <v>4329</v>
      </c>
      <c r="D817" t="s">
        <v>18785</v>
      </c>
      <c r="E817" t="s">
        <v>19663</v>
      </c>
      <c r="F817" t="s">
        <v>32664</v>
      </c>
      <c r="G817" t="s">
        <v>32674</v>
      </c>
      <c r="H817" t="s">
        <v>12635</v>
      </c>
      <c r="I817" t="s">
        <v>6168</v>
      </c>
      <c r="J817" t="s">
        <v>33465</v>
      </c>
      <c r="K817" t="s">
        <v>42305</v>
      </c>
      <c r="M817" t="s">
        <v>42867</v>
      </c>
      <c r="N817" t="s">
        <v>46569</v>
      </c>
      <c r="O817" t="s">
        <v>46570</v>
      </c>
      <c r="P817">
        <v>0</v>
      </c>
      <c r="Q817">
        <v>0</v>
      </c>
      <c r="R817" t="s">
        <v>46571</v>
      </c>
      <c r="S817" t="s">
        <v>46687</v>
      </c>
      <c r="T817" t="s">
        <v>48342</v>
      </c>
      <c r="U817" t="s">
        <v>49313</v>
      </c>
      <c r="W817" t="s">
        <v>42867</v>
      </c>
      <c r="X817" t="s">
        <v>46572</v>
      </c>
    </row>
    <row r="818" spans="1:24">
      <c r="A818">
        <f>HYPERLINK("https://www.philgeps.gov.ph/GEPSNONPILOT/Tender/SplashBidNoticeAbstractUI.aspx?menuIndex=3&amp;refID=7065372&amp;Result=3","7065372")</f>
        <v>0</v>
      </c>
      <c r="B818" t="s">
        <v>410</v>
      </c>
      <c r="C818" t="s">
        <v>4330</v>
      </c>
      <c r="D818" t="s">
        <v>18784</v>
      </c>
      <c r="E818" t="s">
        <v>19664</v>
      </c>
      <c r="F818" t="s">
        <v>32664</v>
      </c>
      <c r="G818" t="s">
        <v>32671</v>
      </c>
      <c r="H818" t="s">
        <v>12635</v>
      </c>
      <c r="I818" t="s">
        <v>6628</v>
      </c>
      <c r="J818" t="s">
        <v>33466</v>
      </c>
      <c r="K818" t="s">
        <v>42303</v>
      </c>
      <c r="M818" t="s">
        <v>42981</v>
      </c>
      <c r="N818" t="s">
        <v>46569</v>
      </c>
      <c r="O818" t="s">
        <v>46570</v>
      </c>
      <c r="P818">
        <v>0</v>
      </c>
      <c r="Q818">
        <v>4</v>
      </c>
      <c r="R818" t="s">
        <v>46571</v>
      </c>
      <c r="S818" t="s">
        <v>46687</v>
      </c>
      <c r="T818" t="s">
        <v>48280</v>
      </c>
      <c r="U818" t="s">
        <v>49512</v>
      </c>
      <c r="W818" t="s">
        <v>42981</v>
      </c>
      <c r="X818" t="s">
        <v>46572</v>
      </c>
    </row>
    <row r="819" spans="1:24">
      <c r="A819">
        <f>HYPERLINK("https://www.philgeps.gov.ph/GEPSNONPILOT/Tender/SplashBidNoticeAbstractUI.aspx?menuIndex=3&amp;refID=7065371&amp;Result=3","7065371")</f>
        <v>0</v>
      </c>
      <c r="B819" t="s">
        <v>332</v>
      </c>
      <c r="C819" t="s">
        <v>4331</v>
      </c>
      <c r="D819" t="s">
        <v>18818</v>
      </c>
      <c r="E819" t="s">
        <v>19665</v>
      </c>
      <c r="F819" t="s">
        <v>32664</v>
      </c>
      <c r="G819" t="s">
        <v>32671</v>
      </c>
      <c r="H819" t="s">
        <v>12635</v>
      </c>
      <c r="I819" t="s">
        <v>6118</v>
      </c>
      <c r="J819" t="s">
        <v>33467</v>
      </c>
      <c r="K819" t="s">
        <v>42295</v>
      </c>
      <c r="M819" t="s">
        <v>42900</v>
      </c>
      <c r="N819" t="s">
        <v>46569</v>
      </c>
      <c r="O819" t="s">
        <v>46570</v>
      </c>
      <c r="P819">
        <v>0</v>
      </c>
      <c r="Q819">
        <v>0</v>
      </c>
      <c r="R819" t="s">
        <v>46571</v>
      </c>
      <c r="S819" t="s">
        <v>46687</v>
      </c>
      <c r="T819" t="s">
        <v>48244</v>
      </c>
      <c r="U819" t="s">
        <v>49513</v>
      </c>
      <c r="V819" t="s">
        <v>61702</v>
      </c>
      <c r="W819" t="s">
        <v>42900</v>
      </c>
      <c r="X819" t="s">
        <v>46572</v>
      </c>
    </row>
    <row r="820" spans="1:24">
      <c r="A820">
        <f>HYPERLINK("https://www.philgeps.gov.ph/GEPSNONPILOT/Tender/SplashBidNoticeAbstractUI.aspx?menuIndex=3&amp;refID=7065381&amp;Result=3","7065381")</f>
        <v>0</v>
      </c>
      <c r="B820" t="s">
        <v>172</v>
      </c>
      <c r="C820" t="s">
        <v>3954</v>
      </c>
      <c r="D820" t="s">
        <v>18804</v>
      </c>
      <c r="E820" t="s">
        <v>19303</v>
      </c>
      <c r="F820" t="s">
        <v>32664</v>
      </c>
      <c r="G820" t="s">
        <v>32671</v>
      </c>
      <c r="H820" t="s">
        <v>12635</v>
      </c>
      <c r="I820" t="s">
        <v>7709</v>
      </c>
      <c r="J820" t="s">
        <v>33468</v>
      </c>
      <c r="K820" t="s">
        <v>42295</v>
      </c>
      <c r="M820" t="s">
        <v>42736</v>
      </c>
      <c r="N820" t="s">
        <v>46569</v>
      </c>
      <c r="O820" t="s">
        <v>46570</v>
      </c>
      <c r="P820">
        <v>0</v>
      </c>
      <c r="Q820">
        <v>0</v>
      </c>
      <c r="R820" t="s">
        <v>46571</v>
      </c>
      <c r="S820" t="s">
        <v>46687</v>
      </c>
      <c r="T820" t="s">
        <v>48256</v>
      </c>
      <c r="U820" t="s">
        <v>49514</v>
      </c>
      <c r="W820" t="s">
        <v>42736</v>
      </c>
      <c r="X820" t="s">
        <v>46572</v>
      </c>
    </row>
    <row r="821" spans="1:24">
      <c r="A821">
        <f>HYPERLINK("https://www.philgeps.gov.ph/GEPSNONPILOT/Tender/SplashBidNoticeAbstractUI.aspx?menuIndex=3&amp;refID=7065398&amp;Result=3","7065398")</f>
        <v>0</v>
      </c>
      <c r="B821" t="s">
        <v>178</v>
      </c>
      <c r="C821" t="s">
        <v>4332</v>
      </c>
      <c r="D821" t="s">
        <v>18839</v>
      </c>
      <c r="E821" t="s">
        <v>19666</v>
      </c>
      <c r="F821" t="s">
        <v>32664</v>
      </c>
      <c r="G821" t="s">
        <v>32671</v>
      </c>
      <c r="H821" t="s">
        <v>12635</v>
      </c>
      <c r="I821" t="s">
        <v>32694</v>
      </c>
      <c r="J821" t="s">
        <v>33469</v>
      </c>
      <c r="K821" t="s">
        <v>42281</v>
      </c>
      <c r="M821" t="s">
        <v>42742</v>
      </c>
      <c r="N821" t="s">
        <v>46569</v>
      </c>
      <c r="O821" t="s">
        <v>46570</v>
      </c>
      <c r="P821">
        <v>0</v>
      </c>
      <c r="Q821">
        <v>2</v>
      </c>
      <c r="R821" t="s">
        <v>46571</v>
      </c>
      <c r="S821" t="s">
        <v>46687</v>
      </c>
      <c r="T821" t="s">
        <v>48246</v>
      </c>
      <c r="U821" t="s">
        <v>49515</v>
      </c>
      <c r="V821" t="s">
        <v>61663</v>
      </c>
      <c r="W821" t="s">
        <v>42742</v>
      </c>
      <c r="X821" t="s">
        <v>46572</v>
      </c>
    </row>
    <row r="822" spans="1:24">
      <c r="A822">
        <f>HYPERLINK("https://www.philgeps.gov.ph/GEPSNONPILOT/Tender/SplashBidNoticeAbstractUI.aspx?menuIndex=3&amp;refID=7065380&amp;Result=3","7065380")</f>
        <v>0</v>
      </c>
      <c r="B822" t="s">
        <v>411</v>
      </c>
      <c r="C822" t="s">
        <v>4333</v>
      </c>
      <c r="D822" t="s">
        <v>18838</v>
      </c>
      <c r="E822" t="s">
        <v>19667</v>
      </c>
      <c r="F822" t="s">
        <v>32664</v>
      </c>
      <c r="G822" t="s">
        <v>32675</v>
      </c>
      <c r="H822" t="s">
        <v>12635</v>
      </c>
      <c r="I822" t="s">
        <v>4333</v>
      </c>
      <c r="J822" t="s">
        <v>33470</v>
      </c>
      <c r="K822" t="s">
        <v>42306</v>
      </c>
      <c r="M822" t="s">
        <v>42982</v>
      </c>
      <c r="N822" t="s">
        <v>46569</v>
      </c>
      <c r="O822" t="s">
        <v>46570</v>
      </c>
      <c r="P822">
        <v>0</v>
      </c>
      <c r="Q822">
        <v>0</v>
      </c>
      <c r="R822" t="s">
        <v>46571</v>
      </c>
      <c r="S822" t="s">
        <v>46687</v>
      </c>
      <c r="T822" t="s">
        <v>48256</v>
      </c>
      <c r="U822" t="s">
        <v>49516</v>
      </c>
      <c r="W822" t="s">
        <v>42982</v>
      </c>
      <c r="X822" t="s">
        <v>46572</v>
      </c>
    </row>
    <row r="823" spans="1:24">
      <c r="A823">
        <f>HYPERLINK("https://www.philgeps.gov.ph/GEPSNONPILOT/Tender/SplashBidNoticeAbstractUI.aspx?menuIndex=3&amp;refID=7065418&amp;Result=3","7065418")</f>
        <v>0</v>
      </c>
      <c r="B823" t="s">
        <v>412</v>
      </c>
      <c r="C823" t="s">
        <v>4334</v>
      </c>
      <c r="D823" t="s">
        <v>18812</v>
      </c>
      <c r="E823" t="s">
        <v>19668</v>
      </c>
      <c r="F823" t="s">
        <v>32664</v>
      </c>
      <c r="G823" t="s">
        <v>32672</v>
      </c>
      <c r="H823" t="s">
        <v>32683</v>
      </c>
      <c r="I823" t="s">
        <v>10627</v>
      </c>
      <c r="J823" t="s">
        <v>33471</v>
      </c>
      <c r="K823" t="s">
        <v>42311</v>
      </c>
      <c r="M823" t="s">
        <v>42983</v>
      </c>
      <c r="N823" t="s">
        <v>46569</v>
      </c>
      <c r="O823" t="s">
        <v>46570</v>
      </c>
      <c r="P823">
        <v>0</v>
      </c>
      <c r="Q823">
        <v>0</v>
      </c>
      <c r="R823" t="s">
        <v>46571</v>
      </c>
      <c r="S823" t="s">
        <v>46687</v>
      </c>
      <c r="T823" t="s">
        <v>48269</v>
      </c>
      <c r="U823" t="s">
        <v>49517</v>
      </c>
      <c r="W823" t="s">
        <v>42983</v>
      </c>
      <c r="X823" t="s">
        <v>46572</v>
      </c>
    </row>
    <row r="824" spans="1:24">
      <c r="A824">
        <f>HYPERLINK("https://www.philgeps.gov.ph/GEPSNONPILOT/Tender/SplashBidNoticeAbstractUI.aspx?menuIndex=3&amp;refID=7065420&amp;Result=3","7065420")</f>
        <v>0</v>
      </c>
      <c r="B824" t="s">
        <v>413</v>
      </c>
      <c r="C824" t="s">
        <v>4335</v>
      </c>
      <c r="D824" t="s">
        <v>18799</v>
      </c>
      <c r="E824" t="s">
        <v>19669</v>
      </c>
      <c r="F824" t="s">
        <v>32664</v>
      </c>
      <c r="G824" t="s">
        <v>32671</v>
      </c>
      <c r="H824" t="s">
        <v>12635</v>
      </c>
      <c r="I824" t="s">
        <v>4439</v>
      </c>
      <c r="J824" t="s">
        <v>33472</v>
      </c>
      <c r="K824" t="s">
        <v>42289</v>
      </c>
      <c r="M824" t="s">
        <v>42984</v>
      </c>
      <c r="N824" t="s">
        <v>46569</v>
      </c>
      <c r="O824" t="s">
        <v>46570</v>
      </c>
      <c r="P824">
        <v>0</v>
      </c>
      <c r="Q824">
        <v>0</v>
      </c>
      <c r="R824" t="s">
        <v>46571</v>
      </c>
      <c r="S824" t="s">
        <v>46687</v>
      </c>
      <c r="T824" t="s">
        <v>48343</v>
      </c>
      <c r="U824" t="s">
        <v>49518</v>
      </c>
      <c r="W824" t="s">
        <v>42984</v>
      </c>
      <c r="X824" t="s">
        <v>46572</v>
      </c>
    </row>
    <row r="825" spans="1:24">
      <c r="A825">
        <f>HYPERLINK("https://www.philgeps.gov.ph/GEPSNONPILOT/Tender/SplashBidNoticeAbstractUI.aspx?menuIndex=3&amp;refID=7065374&amp;Result=3","7065374")</f>
        <v>0</v>
      </c>
      <c r="B825" t="s">
        <v>414</v>
      </c>
      <c r="C825" t="s">
        <v>4336</v>
      </c>
      <c r="D825" t="s">
        <v>18799</v>
      </c>
      <c r="E825" t="s">
        <v>19670</v>
      </c>
      <c r="F825" t="s">
        <v>32664</v>
      </c>
      <c r="G825" t="s">
        <v>32671</v>
      </c>
      <c r="H825" t="s">
        <v>12635</v>
      </c>
      <c r="I825" t="s">
        <v>32716</v>
      </c>
      <c r="J825" t="s">
        <v>32984</v>
      </c>
      <c r="K825" t="s">
        <v>42281</v>
      </c>
      <c r="M825" t="s">
        <v>42985</v>
      </c>
      <c r="N825" t="s">
        <v>46569</v>
      </c>
      <c r="O825" t="s">
        <v>46570</v>
      </c>
      <c r="P825">
        <v>0</v>
      </c>
      <c r="Q825">
        <v>0</v>
      </c>
      <c r="R825" t="s">
        <v>46571</v>
      </c>
      <c r="S825" t="s">
        <v>46687</v>
      </c>
      <c r="T825" t="s">
        <v>48256</v>
      </c>
      <c r="U825" t="s">
        <v>49519</v>
      </c>
      <c r="W825" t="s">
        <v>63475</v>
      </c>
      <c r="X825" t="s">
        <v>46572</v>
      </c>
    </row>
    <row r="826" spans="1:24">
      <c r="A826">
        <f>HYPERLINK("https://www.philgeps.gov.ph/GEPSNONPILOT/Tender/SplashBidNoticeAbstractUI.aspx?menuIndex=3&amp;refID=7065370&amp;Result=3","7065370")</f>
        <v>0</v>
      </c>
      <c r="B826" t="s">
        <v>408</v>
      </c>
      <c r="C826" t="s">
        <v>4337</v>
      </c>
      <c r="D826" t="s">
        <v>18794</v>
      </c>
      <c r="E826" t="s">
        <v>19671</v>
      </c>
      <c r="F826" t="s">
        <v>32664</v>
      </c>
      <c r="G826" t="s">
        <v>32671</v>
      </c>
      <c r="H826" t="s">
        <v>12635</v>
      </c>
      <c r="I826" t="s">
        <v>9946</v>
      </c>
      <c r="J826" t="s">
        <v>32976</v>
      </c>
      <c r="K826" t="s">
        <v>42283</v>
      </c>
      <c r="M826" t="s">
        <v>42978</v>
      </c>
      <c r="N826" t="s">
        <v>46569</v>
      </c>
      <c r="O826" t="s">
        <v>46570</v>
      </c>
      <c r="P826">
        <v>0</v>
      </c>
      <c r="Q826">
        <v>0</v>
      </c>
      <c r="R826" t="s">
        <v>46571</v>
      </c>
      <c r="S826" t="s">
        <v>46687</v>
      </c>
      <c r="T826" t="s">
        <v>48305</v>
      </c>
      <c r="U826" t="s">
        <v>49520</v>
      </c>
      <c r="W826" t="s">
        <v>42978</v>
      </c>
      <c r="X826" t="s">
        <v>46572</v>
      </c>
    </row>
    <row r="827" spans="1:24">
      <c r="A827">
        <f>HYPERLINK("https://www.philgeps.gov.ph/GEPSNONPILOT/Tender/SplashBidNoticeAbstractUI.aspx?menuIndex=3&amp;refID=7065368&amp;Result=3","7065368")</f>
        <v>0</v>
      </c>
      <c r="B827" t="s">
        <v>415</v>
      </c>
      <c r="C827" t="s">
        <v>4338</v>
      </c>
      <c r="D827" t="s">
        <v>18796</v>
      </c>
      <c r="E827" t="s">
        <v>19672</v>
      </c>
      <c r="F827" t="s">
        <v>32664</v>
      </c>
      <c r="G827" t="s">
        <v>32671</v>
      </c>
      <c r="H827" t="s">
        <v>12635</v>
      </c>
      <c r="I827" t="s">
        <v>6553</v>
      </c>
      <c r="J827" t="s">
        <v>33473</v>
      </c>
      <c r="K827" t="s">
        <v>42283</v>
      </c>
      <c r="M827" t="s">
        <v>42986</v>
      </c>
      <c r="N827" t="s">
        <v>46569</v>
      </c>
      <c r="O827" t="s">
        <v>46570</v>
      </c>
      <c r="P827">
        <v>0</v>
      </c>
      <c r="Q827">
        <v>0</v>
      </c>
      <c r="R827" t="s">
        <v>46571</v>
      </c>
      <c r="S827" t="s">
        <v>46687</v>
      </c>
      <c r="T827" t="s">
        <v>48221</v>
      </c>
      <c r="U827" t="s">
        <v>49521</v>
      </c>
      <c r="W827" t="s">
        <v>42986</v>
      </c>
      <c r="X827" t="s">
        <v>46572</v>
      </c>
    </row>
    <row r="828" spans="1:24">
      <c r="A828">
        <f>HYPERLINK("https://www.philgeps.gov.ph/GEPSNONPILOT/Tender/SplashBidNoticeAbstractUI.aspx?menuIndex=3&amp;refID=7065413&amp;Result=3","7065413")</f>
        <v>0</v>
      </c>
      <c r="B828" t="s">
        <v>172</v>
      </c>
      <c r="C828" t="s">
        <v>4339</v>
      </c>
      <c r="E828" t="s">
        <v>19303</v>
      </c>
      <c r="F828" t="s">
        <v>32664</v>
      </c>
      <c r="G828" t="s">
        <v>32671</v>
      </c>
      <c r="H828" t="s">
        <v>12635</v>
      </c>
      <c r="I828" t="s">
        <v>32736</v>
      </c>
      <c r="J828" t="s">
        <v>33474</v>
      </c>
      <c r="K828" t="s">
        <v>42295</v>
      </c>
      <c r="M828" t="s">
        <v>42736</v>
      </c>
      <c r="N828" t="s">
        <v>46569</v>
      </c>
      <c r="O828" t="s">
        <v>46570</v>
      </c>
      <c r="P828">
        <v>0</v>
      </c>
      <c r="Q828">
        <v>0</v>
      </c>
      <c r="R828" t="s">
        <v>46571</v>
      </c>
      <c r="S828" t="s">
        <v>46687</v>
      </c>
      <c r="T828" t="s">
        <v>48344</v>
      </c>
      <c r="U828" t="s">
        <v>49522</v>
      </c>
      <c r="W828" t="s">
        <v>42736</v>
      </c>
      <c r="X828" t="s">
        <v>46572</v>
      </c>
    </row>
    <row r="829" spans="1:24">
      <c r="A829">
        <f>HYPERLINK("https://www.philgeps.gov.ph/GEPSNONPILOT/Tender/SplashBidNoticeAbstractUI.aspx?menuIndex=3&amp;refID=7065376&amp;Result=3","7065376")</f>
        <v>0</v>
      </c>
      <c r="B829" t="s">
        <v>416</v>
      </c>
      <c r="C829" t="s">
        <v>4340</v>
      </c>
      <c r="D829" t="s">
        <v>18809</v>
      </c>
      <c r="E829" t="s">
        <v>19673</v>
      </c>
      <c r="F829" t="s">
        <v>32664</v>
      </c>
      <c r="G829" t="s">
        <v>32671</v>
      </c>
      <c r="H829" t="s">
        <v>32683</v>
      </c>
      <c r="I829" t="s">
        <v>6553</v>
      </c>
      <c r="J829" t="s">
        <v>33475</v>
      </c>
      <c r="K829" t="s">
        <v>42283</v>
      </c>
      <c r="M829" t="s">
        <v>42987</v>
      </c>
      <c r="N829" t="s">
        <v>46569</v>
      </c>
      <c r="O829" t="s">
        <v>46570</v>
      </c>
      <c r="P829">
        <v>0</v>
      </c>
      <c r="Q829">
        <v>0</v>
      </c>
      <c r="R829" t="s">
        <v>46571</v>
      </c>
      <c r="S829" t="s">
        <v>46687</v>
      </c>
      <c r="T829" t="s">
        <v>48256</v>
      </c>
      <c r="U829" t="s">
        <v>49523</v>
      </c>
      <c r="W829" t="s">
        <v>42987</v>
      </c>
      <c r="X829" t="s">
        <v>46572</v>
      </c>
    </row>
    <row r="830" spans="1:24">
      <c r="A830">
        <f>HYPERLINK("https://www.philgeps.gov.ph/GEPSNONPILOT/Tender/SplashBidNoticeAbstractUI.aspx?menuIndex=3&amp;refID=7065412&amp;Result=3","7065412")</f>
        <v>0</v>
      </c>
      <c r="B830" t="s">
        <v>352</v>
      </c>
      <c r="C830" t="s">
        <v>4341</v>
      </c>
      <c r="E830" t="s">
        <v>19674</v>
      </c>
      <c r="F830" t="s">
        <v>32664</v>
      </c>
      <c r="G830" t="s">
        <v>32671</v>
      </c>
      <c r="H830" t="s">
        <v>12635</v>
      </c>
      <c r="I830" t="s">
        <v>6168</v>
      </c>
      <c r="J830" t="s">
        <v>33476</v>
      </c>
      <c r="K830" t="s">
        <v>42289</v>
      </c>
      <c r="M830" t="s">
        <v>42921</v>
      </c>
      <c r="N830" t="s">
        <v>46569</v>
      </c>
      <c r="O830" t="s">
        <v>46570</v>
      </c>
      <c r="P830">
        <v>0</v>
      </c>
      <c r="Q830">
        <v>1</v>
      </c>
      <c r="R830" t="s">
        <v>46571</v>
      </c>
      <c r="S830" t="s">
        <v>46687</v>
      </c>
      <c r="T830" t="s">
        <v>48256</v>
      </c>
      <c r="U830" t="s">
        <v>49524</v>
      </c>
      <c r="V830" t="s">
        <v>61707</v>
      </c>
      <c r="W830" t="s">
        <v>42921</v>
      </c>
      <c r="X830" t="s">
        <v>46572</v>
      </c>
    </row>
    <row r="831" spans="1:24">
      <c r="A831">
        <f>HYPERLINK("https://www.philgeps.gov.ph/GEPSNONPILOT/Tender/SplashBidNoticeAbstractUI.aspx?menuIndex=3&amp;refID=7065409&amp;Result=3","7065409")</f>
        <v>0</v>
      </c>
      <c r="B831" t="s">
        <v>384</v>
      </c>
      <c r="C831" t="s">
        <v>4342</v>
      </c>
      <c r="D831" t="s">
        <v>18781</v>
      </c>
      <c r="E831" t="s">
        <v>19675</v>
      </c>
      <c r="F831" t="s">
        <v>32664</v>
      </c>
      <c r="G831" t="s">
        <v>32675</v>
      </c>
      <c r="H831" t="s">
        <v>12635</v>
      </c>
      <c r="I831" t="s">
        <v>32689</v>
      </c>
      <c r="J831" t="s">
        <v>33477</v>
      </c>
      <c r="K831" t="s">
        <v>42295</v>
      </c>
      <c r="M831" t="s">
        <v>42954</v>
      </c>
      <c r="N831" t="s">
        <v>46569</v>
      </c>
      <c r="O831" t="s">
        <v>46570</v>
      </c>
      <c r="P831">
        <v>0</v>
      </c>
      <c r="Q831">
        <v>0</v>
      </c>
      <c r="R831" t="s">
        <v>46571</v>
      </c>
      <c r="S831" t="s">
        <v>46687</v>
      </c>
      <c r="T831" t="s">
        <v>48221</v>
      </c>
      <c r="U831" t="s">
        <v>49525</v>
      </c>
      <c r="W831" t="s">
        <v>42954</v>
      </c>
      <c r="X831" t="s">
        <v>46572</v>
      </c>
    </row>
    <row r="832" spans="1:24">
      <c r="A832">
        <f>HYPERLINK("https://www.philgeps.gov.ph/GEPSNONPILOT/Tender/SplashBidNoticeAbstractUI.aspx?menuIndex=3&amp;refID=7065410&amp;Result=3","7065410")</f>
        <v>0</v>
      </c>
      <c r="B832" t="s">
        <v>339</v>
      </c>
      <c r="C832" t="s">
        <v>4343</v>
      </c>
      <c r="D832" t="s">
        <v>18794</v>
      </c>
      <c r="E832" t="s">
        <v>19676</v>
      </c>
      <c r="F832" t="s">
        <v>32664</v>
      </c>
      <c r="G832" t="s">
        <v>32674</v>
      </c>
      <c r="H832" t="s">
        <v>12635</v>
      </c>
      <c r="I832" t="s">
        <v>32698</v>
      </c>
      <c r="J832" t="s">
        <v>33478</v>
      </c>
      <c r="K832" t="s">
        <v>42306</v>
      </c>
      <c r="M832" t="s">
        <v>42907</v>
      </c>
      <c r="N832" t="s">
        <v>46569</v>
      </c>
      <c r="O832" t="s">
        <v>46570</v>
      </c>
      <c r="P832">
        <v>0</v>
      </c>
      <c r="Q832">
        <v>0</v>
      </c>
      <c r="R832" t="s">
        <v>46571</v>
      </c>
      <c r="S832" t="s">
        <v>46687</v>
      </c>
      <c r="T832" t="s">
        <v>48219</v>
      </c>
      <c r="U832" t="s">
        <v>49526</v>
      </c>
      <c r="V832" t="s">
        <v>61718</v>
      </c>
      <c r="W832" t="s">
        <v>42907</v>
      </c>
      <c r="X832" t="s">
        <v>46572</v>
      </c>
    </row>
    <row r="833" spans="1:24">
      <c r="A833">
        <f>HYPERLINK("https://www.philgeps.gov.ph/GEPSNONPILOT/Tender/SplashBidNoticeAbstractUI.aspx?menuIndex=3&amp;refID=7065419&amp;Result=3","7065419")</f>
        <v>0</v>
      </c>
      <c r="B833" t="s">
        <v>417</v>
      </c>
      <c r="C833" t="s">
        <v>4344</v>
      </c>
      <c r="D833" t="s">
        <v>18789</v>
      </c>
      <c r="E833" t="s">
        <v>19677</v>
      </c>
      <c r="F833" t="s">
        <v>32664</v>
      </c>
      <c r="G833" t="s">
        <v>32672</v>
      </c>
      <c r="H833" t="s">
        <v>12635</v>
      </c>
      <c r="I833" t="s">
        <v>5589</v>
      </c>
      <c r="J833" t="s">
        <v>33479</v>
      </c>
      <c r="K833" t="s">
        <v>42297</v>
      </c>
      <c r="M833" t="s">
        <v>42988</v>
      </c>
      <c r="N833" t="s">
        <v>46569</v>
      </c>
      <c r="O833" t="s">
        <v>46570</v>
      </c>
      <c r="P833">
        <v>0</v>
      </c>
      <c r="Q833">
        <v>4</v>
      </c>
      <c r="R833" t="s">
        <v>46571</v>
      </c>
      <c r="S833" t="s">
        <v>46687</v>
      </c>
      <c r="T833" t="s">
        <v>48345</v>
      </c>
      <c r="U833" t="s">
        <v>49527</v>
      </c>
      <c r="W833" t="s">
        <v>42988</v>
      </c>
      <c r="X833" t="s">
        <v>46572</v>
      </c>
    </row>
    <row r="834" spans="1:24">
      <c r="A834">
        <f>HYPERLINK("https://www.philgeps.gov.ph/GEPSNONPILOT/Tender/SplashBidNoticeAbstractUI.aspx?menuIndex=3&amp;refID=7065415&amp;Result=3","7065415")</f>
        <v>0</v>
      </c>
      <c r="B834" t="s">
        <v>418</v>
      </c>
      <c r="C834" t="s">
        <v>4345</v>
      </c>
      <c r="D834" t="s">
        <v>18784</v>
      </c>
      <c r="E834" t="s">
        <v>19678</v>
      </c>
      <c r="F834" t="s">
        <v>32664</v>
      </c>
      <c r="G834" t="s">
        <v>32672</v>
      </c>
      <c r="H834" t="s">
        <v>12635</v>
      </c>
      <c r="I834" t="s">
        <v>6168</v>
      </c>
      <c r="J834" t="s">
        <v>33480</v>
      </c>
      <c r="K834" t="s">
        <v>42289</v>
      </c>
      <c r="M834" t="s">
        <v>42989</v>
      </c>
      <c r="N834" t="s">
        <v>46569</v>
      </c>
      <c r="O834" t="s">
        <v>46570</v>
      </c>
      <c r="P834">
        <v>0</v>
      </c>
      <c r="Q834">
        <v>0</v>
      </c>
      <c r="R834" t="s">
        <v>46571</v>
      </c>
      <c r="S834" t="s">
        <v>46687</v>
      </c>
      <c r="T834" t="s">
        <v>48226</v>
      </c>
      <c r="U834" t="s">
        <v>49404</v>
      </c>
      <c r="W834" t="s">
        <v>42989</v>
      </c>
      <c r="X834" t="s">
        <v>46572</v>
      </c>
    </row>
    <row r="835" spans="1:24">
      <c r="A835">
        <f>HYPERLINK("https://www.philgeps.gov.ph/GEPSNONPILOT/Tender/SplashBidNoticeAbstractUI.aspx?menuIndex=3&amp;refID=7065405&amp;Result=3","7065405")</f>
        <v>0</v>
      </c>
      <c r="B835" t="s">
        <v>419</v>
      </c>
      <c r="C835" t="s">
        <v>4346</v>
      </c>
      <c r="D835" t="s">
        <v>18784</v>
      </c>
      <c r="E835" t="s">
        <v>19679</v>
      </c>
      <c r="F835" t="s">
        <v>32664</v>
      </c>
      <c r="G835" t="s">
        <v>32671</v>
      </c>
      <c r="H835" t="s">
        <v>12635</v>
      </c>
      <c r="I835" t="s">
        <v>5460</v>
      </c>
      <c r="J835" t="s">
        <v>32898</v>
      </c>
      <c r="K835" t="s">
        <v>42283</v>
      </c>
      <c r="M835" t="s">
        <v>42990</v>
      </c>
      <c r="N835" t="s">
        <v>46569</v>
      </c>
      <c r="O835" t="s">
        <v>46570</v>
      </c>
      <c r="P835">
        <v>0</v>
      </c>
      <c r="Q835">
        <v>1</v>
      </c>
      <c r="R835" t="s">
        <v>46571</v>
      </c>
      <c r="S835" t="s">
        <v>46687</v>
      </c>
      <c r="T835" t="s">
        <v>48319</v>
      </c>
      <c r="U835" t="s">
        <v>49528</v>
      </c>
      <c r="W835" t="s">
        <v>42990</v>
      </c>
      <c r="X835" t="s">
        <v>46572</v>
      </c>
    </row>
    <row r="836" spans="1:24">
      <c r="A836">
        <f>HYPERLINK("https://www.philgeps.gov.ph/GEPSNONPILOT/Tender/SplashBidNoticeAbstractUI.aspx?menuIndex=3&amp;refID=7065327&amp;Result=3","7065327")</f>
        <v>0</v>
      </c>
      <c r="B836" t="s">
        <v>420</v>
      </c>
      <c r="C836" t="s">
        <v>4347</v>
      </c>
      <c r="D836" t="s">
        <v>18841</v>
      </c>
      <c r="E836" t="s">
        <v>19178</v>
      </c>
      <c r="F836" t="s">
        <v>32665</v>
      </c>
      <c r="G836" t="s">
        <v>32672</v>
      </c>
      <c r="H836" t="s">
        <v>12635</v>
      </c>
      <c r="I836" t="s">
        <v>4439</v>
      </c>
      <c r="J836" t="s">
        <v>33481</v>
      </c>
      <c r="K836" t="s">
        <v>42290</v>
      </c>
      <c r="M836" t="s">
        <v>42991</v>
      </c>
      <c r="N836" t="s">
        <v>46569</v>
      </c>
      <c r="O836" t="s">
        <v>46570</v>
      </c>
      <c r="P836">
        <v>0</v>
      </c>
      <c r="Q836">
        <v>0</v>
      </c>
      <c r="R836" t="s">
        <v>46571</v>
      </c>
      <c r="S836" t="s">
        <v>46687</v>
      </c>
      <c r="T836" t="s">
        <v>48346</v>
      </c>
      <c r="U836" t="s">
        <v>49529</v>
      </c>
      <c r="W836" t="s">
        <v>42991</v>
      </c>
      <c r="X836" t="s">
        <v>46572</v>
      </c>
    </row>
    <row r="837" spans="1:24">
      <c r="A837">
        <f>HYPERLINK("https://www.philgeps.gov.ph/GEPSNONPILOT/Tender/SplashBidNoticeAbstractUI.aspx?menuIndex=3&amp;refID=7065403&amp;Result=3","7065403")</f>
        <v>0</v>
      </c>
      <c r="B837" t="s">
        <v>421</v>
      </c>
      <c r="C837" t="s">
        <v>4348</v>
      </c>
      <c r="D837" t="s">
        <v>18806</v>
      </c>
      <c r="E837" t="s">
        <v>19680</v>
      </c>
      <c r="F837" t="s">
        <v>32664</v>
      </c>
      <c r="G837" t="s">
        <v>32672</v>
      </c>
      <c r="H837" t="s">
        <v>12635</v>
      </c>
      <c r="I837" t="s">
        <v>5589</v>
      </c>
      <c r="J837" t="s">
        <v>33482</v>
      </c>
      <c r="K837" t="s">
        <v>42281</v>
      </c>
      <c r="M837" t="s">
        <v>42992</v>
      </c>
      <c r="N837" t="s">
        <v>46569</v>
      </c>
      <c r="O837" t="s">
        <v>46570</v>
      </c>
      <c r="P837">
        <v>0</v>
      </c>
      <c r="Q837">
        <v>1</v>
      </c>
      <c r="R837" t="s">
        <v>46571</v>
      </c>
      <c r="S837" t="s">
        <v>46687</v>
      </c>
      <c r="T837" t="s">
        <v>48347</v>
      </c>
      <c r="U837" t="s">
        <v>49530</v>
      </c>
      <c r="W837" t="s">
        <v>42992</v>
      </c>
      <c r="X837" t="s">
        <v>46572</v>
      </c>
    </row>
    <row r="838" spans="1:24">
      <c r="A838">
        <f>HYPERLINK("https://www.philgeps.gov.ph/GEPSNONPILOT/Tender/SplashBidNoticeAbstractUI.aspx?menuIndex=3&amp;refID=7065402&amp;Result=3","7065402")</f>
        <v>0</v>
      </c>
      <c r="B838" t="s">
        <v>391</v>
      </c>
      <c r="C838" t="s">
        <v>4349</v>
      </c>
      <c r="D838" t="s">
        <v>18831</v>
      </c>
      <c r="E838" t="s">
        <v>19681</v>
      </c>
      <c r="F838" t="s">
        <v>32664</v>
      </c>
      <c r="G838" t="s">
        <v>32672</v>
      </c>
      <c r="H838" t="s">
        <v>32682</v>
      </c>
      <c r="I838" t="s">
        <v>10627</v>
      </c>
      <c r="J838" t="s">
        <v>33483</v>
      </c>
      <c r="K838" t="s">
        <v>42303</v>
      </c>
      <c r="L838" t="s">
        <v>391</v>
      </c>
      <c r="M838" t="s">
        <v>42961</v>
      </c>
      <c r="N838" t="s">
        <v>46569</v>
      </c>
      <c r="O838" t="s">
        <v>46570</v>
      </c>
      <c r="P838">
        <v>0</v>
      </c>
      <c r="Q838">
        <v>0</v>
      </c>
      <c r="R838" t="s">
        <v>46571</v>
      </c>
      <c r="S838" t="s">
        <v>46687</v>
      </c>
      <c r="T838" t="s">
        <v>48299</v>
      </c>
      <c r="U838" t="s">
        <v>49531</v>
      </c>
      <c r="W838" t="s">
        <v>42961</v>
      </c>
      <c r="X838" t="s">
        <v>46572</v>
      </c>
    </row>
    <row r="839" spans="1:24">
      <c r="A839">
        <f>HYPERLINK("https://www.philgeps.gov.ph/GEPSNONPILOT/Tender/SplashBidNoticeAbstractUI.aspx?menuIndex=3&amp;refID=7065396&amp;Result=3","7065396")</f>
        <v>0</v>
      </c>
      <c r="B839" t="s">
        <v>422</v>
      </c>
      <c r="C839" t="s">
        <v>4350</v>
      </c>
      <c r="E839" t="s">
        <v>19682</v>
      </c>
      <c r="F839" t="s">
        <v>32664</v>
      </c>
      <c r="G839" t="s">
        <v>32671</v>
      </c>
      <c r="H839" t="s">
        <v>12635</v>
      </c>
      <c r="I839" t="s">
        <v>6168</v>
      </c>
      <c r="J839" t="s">
        <v>33484</v>
      </c>
      <c r="K839" t="s">
        <v>42297</v>
      </c>
      <c r="M839" t="s">
        <v>42993</v>
      </c>
      <c r="N839" t="s">
        <v>46569</v>
      </c>
      <c r="O839" t="s">
        <v>46570</v>
      </c>
      <c r="P839">
        <v>0</v>
      </c>
      <c r="Q839">
        <v>4</v>
      </c>
      <c r="R839" t="s">
        <v>46571</v>
      </c>
      <c r="S839" t="s">
        <v>46687</v>
      </c>
      <c r="T839" t="s">
        <v>48249</v>
      </c>
      <c r="U839" t="s">
        <v>49532</v>
      </c>
      <c r="W839" t="s">
        <v>42993</v>
      </c>
      <c r="X839" t="s">
        <v>46572</v>
      </c>
    </row>
    <row r="840" spans="1:24">
      <c r="A840">
        <f>HYPERLINK("https://www.philgeps.gov.ph/GEPSNONPILOT/Tender/SplashBidNoticeAbstractUI.aspx?menuIndex=3&amp;refID=7065395&amp;Result=3","7065395")</f>
        <v>0</v>
      </c>
      <c r="B840" t="s">
        <v>423</v>
      </c>
      <c r="C840" t="s">
        <v>4351</v>
      </c>
      <c r="D840" t="s">
        <v>18852</v>
      </c>
      <c r="E840" t="s">
        <v>19683</v>
      </c>
      <c r="F840" t="s">
        <v>32664</v>
      </c>
      <c r="G840" t="s">
        <v>32674</v>
      </c>
      <c r="H840" t="s">
        <v>12635</v>
      </c>
      <c r="I840" t="s">
        <v>32684</v>
      </c>
      <c r="J840" t="s">
        <v>33485</v>
      </c>
      <c r="K840" t="s">
        <v>42289</v>
      </c>
      <c r="L840" t="s">
        <v>423</v>
      </c>
      <c r="M840" t="s">
        <v>42994</v>
      </c>
      <c r="N840" t="s">
        <v>46569</v>
      </c>
      <c r="O840" t="s">
        <v>46570</v>
      </c>
      <c r="P840">
        <v>0</v>
      </c>
      <c r="Q840">
        <v>1</v>
      </c>
      <c r="R840" t="s">
        <v>46571</v>
      </c>
      <c r="S840" t="s">
        <v>46687</v>
      </c>
      <c r="T840" t="s">
        <v>48221</v>
      </c>
      <c r="U840" t="s">
        <v>49533</v>
      </c>
      <c r="W840" t="s">
        <v>42994</v>
      </c>
      <c r="X840" t="s">
        <v>46572</v>
      </c>
    </row>
    <row r="841" spans="1:24">
      <c r="A841">
        <f>HYPERLINK("https://www.philgeps.gov.ph/GEPSNONPILOT/Tender/SplashBidNoticeAbstractUI.aspx?menuIndex=3&amp;refID=7065424&amp;Result=3","7065424")</f>
        <v>0</v>
      </c>
      <c r="B841" t="s">
        <v>418</v>
      </c>
      <c r="C841" t="s">
        <v>4352</v>
      </c>
      <c r="D841" t="s">
        <v>18784</v>
      </c>
      <c r="E841" t="s">
        <v>19684</v>
      </c>
      <c r="F841" t="s">
        <v>32664</v>
      </c>
      <c r="G841" t="s">
        <v>32672</v>
      </c>
      <c r="H841" t="s">
        <v>12635</v>
      </c>
      <c r="I841" t="s">
        <v>6168</v>
      </c>
      <c r="J841" t="s">
        <v>33486</v>
      </c>
      <c r="K841" t="s">
        <v>42289</v>
      </c>
      <c r="M841" t="s">
        <v>42989</v>
      </c>
      <c r="N841" t="s">
        <v>46569</v>
      </c>
      <c r="O841" t="s">
        <v>46570</v>
      </c>
      <c r="P841">
        <v>0</v>
      </c>
      <c r="Q841">
        <v>0</v>
      </c>
      <c r="R841" t="s">
        <v>46571</v>
      </c>
      <c r="S841" t="s">
        <v>46687</v>
      </c>
      <c r="T841" t="s">
        <v>48226</v>
      </c>
      <c r="U841" t="s">
        <v>49404</v>
      </c>
      <c r="W841" t="s">
        <v>42989</v>
      </c>
      <c r="X841" t="s">
        <v>46572</v>
      </c>
    </row>
    <row r="842" spans="1:24">
      <c r="A842">
        <f>HYPERLINK("https://www.philgeps.gov.ph/GEPSNONPILOT/Tender/SplashBidNoticeAbstractUI.aspx?menuIndex=3&amp;refID=7065407&amp;Result=3","7065407")</f>
        <v>0</v>
      </c>
      <c r="B842" t="s">
        <v>331</v>
      </c>
      <c r="C842" t="s">
        <v>4353</v>
      </c>
      <c r="D842" t="s">
        <v>18807</v>
      </c>
      <c r="E842" t="s">
        <v>19685</v>
      </c>
      <c r="F842" t="s">
        <v>32664</v>
      </c>
      <c r="G842" t="s">
        <v>32671</v>
      </c>
      <c r="H842" t="s">
        <v>12635</v>
      </c>
      <c r="I842" t="s">
        <v>10370</v>
      </c>
      <c r="J842" t="s">
        <v>33269</v>
      </c>
      <c r="K842" t="s">
        <v>42281</v>
      </c>
      <c r="L842" t="s">
        <v>331</v>
      </c>
      <c r="M842" t="s">
        <v>42899</v>
      </c>
      <c r="N842" t="s">
        <v>46569</v>
      </c>
      <c r="O842" t="s">
        <v>46570</v>
      </c>
      <c r="P842">
        <v>0</v>
      </c>
      <c r="Q842">
        <v>0</v>
      </c>
      <c r="R842" t="s">
        <v>46571</v>
      </c>
      <c r="S842" t="s">
        <v>46687</v>
      </c>
      <c r="T842" t="s">
        <v>48331</v>
      </c>
      <c r="U842" t="s">
        <v>49534</v>
      </c>
      <c r="V842" t="s">
        <v>61719</v>
      </c>
      <c r="W842" t="s">
        <v>42899</v>
      </c>
      <c r="X842" t="s">
        <v>46572</v>
      </c>
    </row>
    <row r="843" spans="1:24">
      <c r="A843">
        <f>HYPERLINK("https://www.philgeps.gov.ph/GEPSNONPILOT/Tender/SplashBidNoticeAbstractUI.aspx?menuIndex=3&amp;refID=7065404&amp;Result=3","7065404")</f>
        <v>0</v>
      </c>
      <c r="B843" t="s">
        <v>424</v>
      </c>
      <c r="C843" t="s">
        <v>4354</v>
      </c>
      <c r="D843" t="s">
        <v>18799</v>
      </c>
      <c r="E843" t="s">
        <v>19650</v>
      </c>
      <c r="F843" t="s">
        <v>32664</v>
      </c>
      <c r="G843" t="s">
        <v>32671</v>
      </c>
      <c r="H843" t="s">
        <v>12635</v>
      </c>
      <c r="I843" t="s">
        <v>6168</v>
      </c>
      <c r="J843" t="s">
        <v>33487</v>
      </c>
      <c r="K843" t="s">
        <v>42283</v>
      </c>
      <c r="M843" t="s">
        <v>42995</v>
      </c>
      <c r="N843" t="s">
        <v>46569</v>
      </c>
      <c r="O843" t="s">
        <v>46570</v>
      </c>
      <c r="P843">
        <v>0</v>
      </c>
      <c r="Q843">
        <v>4</v>
      </c>
      <c r="R843" t="s">
        <v>46571</v>
      </c>
      <c r="S843" t="s">
        <v>46687</v>
      </c>
      <c r="T843" t="s">
        <v>48280</v>
      </c>
      <c r="U843" t="s">
        <v>49535</v>
      </c>
      <c r="W843" t="s">
        <v>42995</v>
      </c>
      <c r="X843" t="s">
        <v>46572</v>
      </c>
    </row>
    <row r="844" spans="1:24">
      <c r="A844">
        <f>HYPERLINK("https://www.philgeps.gov.ph/GEPSNONPILOT/Tender/SplashBidNoticeAbstractUI.aspx?menuIndex=3&amp;refID=7065444&amp;Result=3","7065444")</f>
        <v>0</v>
      </c>
      <c r="B844" t="s">
        <v>425</v>
      </c>
      <c r="C844" t="s">
        <v>4355</v>
      </c>
      <c r="D844" t="s">
        <v>18784</v>
      </c>
      <c r="E844" t="s">
        <v>19686</v>
      </c>
      <c r="F844" t="s">
        <v>32664</v>
      </c>
      <c r="G844" t="s">
        <v>32672</v>
      </c>
      <c r="H844" t="s">
        <v>12635</v>
      </c>
      <c r="I844" t="s">
        <v>9597</v>
      </c>
      <c r="J844" t="s">
        <v>32859</v>
      </c>
      <c r="K844" t="s">
        <v>42284</v>
      </c>
      <c r="M844" t="s">
        <v>42996</v>
      </c>
      <c r="N844" t="s">
        <v>46569</v>
      </c>
      <c r="O844" t="s">
        <v>46570</v>
      </c>
      <c r="P844">
        <v>0</v>
      </c>
      <c r="Q844">
        <v>1</v>
      </c>
      <c r="R844" t="s">
        <v>46571</v>
      </c>
      <c r="S844" t="s">
        <v>46687</v>
      </c>
      <c r="T844" t="s">
        <v>48348</v>
      </c>
      <c r="U844" t="s">
        <v>49536</v>
      </c>
      <c r="W844" t="s">
        <v>42996</v>
      </c>
      <c r="X844" t="s">
        <v>46572</v>
      </c>
    </row>
    <row r="845" spans="1:24">
      <c r="A845">
        <f>HYPERLINK("https://www.philgeps.gov.ph/GEPSNONPILOT/Tender/SplashBidNoticeAbstractUI.aspx?menuIndex=3&amp;refID=7065443&amp;Result=3","7065443")</f>
        <v>0</v>
      </c>
      <c r="B845" t="s">
        <v>426</v>
      </c>
      <c r="C845" t="s">
        <v>4356</v>
      </c>
      <c r="D845" t="s">
        <v>18841</v>
      </c>
      <c r="E845" t="s">
        <v>19687</v>
      </c>
      <c r="F845" t="s">
        <v>32664</v>
      </c>
      <c r="G845" t="s">
        <v>32672</v>
      </c>
      <c r="H845" t="s">
        <v>12635</v>
      </c>
      <c r="I845" t="s">
        <v>4333</v>
      </c>
      <c r="J845" t="s">
        <v>33488</v>
      </c>
      <c r="K845" t="s">
        <v>42289</v>
      </c>
      <c r="M845" t="s">
        <v>42997</v>
      </c>
      <c r="N845" t="s">
        <v>46569</v>
      </c>
      <c r="O845" t="s">
        <v>46570</v>
      </c>
      <c r="P845">
        <v>0</v>
      </c>
      <c r="Q845">
        <v>0</v>
      </c>
      <c r="R845" t="s">
        <v>46571</v>
      </c>
      <c r="S845" t="s">
        <v>46687</v>
      </c>
      <c r="T845" t="s">
        <v>48230</v>
      </c>
      <c r="U845" t="s">
        <v>49537</v>
      </c>
      <c r="W845" t="s">
        <v>42997</v>
      </c>
      <c r="X845" t="s">
        <v>46572</v>
      </c>
    </row>
    <row r="846" spans="1:24">
      <c r="A846">
        <f>HYPERLINK("https://www.philgeps.gov.ph/GEPSNONPILOT/Tender/SplashBidNoticeAbstractUI.aspx?menuIndex=3&amp;refID=7065411&amp;Result=3","7065411")</f>
        <v>0</v>
      </c>
      <c r="B846" t="s">
        <v>427</v>
      </c>
      <c r="C846" t="s">
        <v>4357</v>
      </c>
      <c r="D846" t="s">
        <v>18824</v>
      </c>
      <c r="E846" t="s">
        <v>19688</v>
      </c>
      <c r="F846" t="s">
        <v>32664</v>
      </c>
      <c r="G846" t="s">
        <v>32672</v>
      </c>
      <c r="H846" t="s">
        <v>32683</v>
      </c>
      <c r="I846" t="s">
        <v>10627</v>
      </c>
      <c r="J846" t="s">
        <v>32943</v>
      </c>
      <c r="K846" t="s">
        <v>42310</v>
      </c>
      <c r="M846" t="s">
        <v>42998</v>
      </c>
      <c r="N846" t="s">
        <v>46569</v>
      </c>
      <c r="O846" t="s">
        <v>46570</v>
      </c>
      <c r="P846">
        <v>0</v>
      </c>
      <c r="Q846">
        <v>0</v>
      </c>
      <c r="R846" t="s">
        <v>46571</v>
      </c>
      <c r="S846" t="s">
        <v>46687</v>
      </c>
      <c r="T846" t="s">
        <v>48308</v>
      </c>
      <c r="U846" t="s">
        <v>49538</v>
      </c>
      <c r="V846" t="s">
        <v>61720</v>
      </c>
      <c r="W846" t="s">
        <v>42998</v>
      </c>
      <c r="X846" t="s">
        <v>46572</v>
      </c>
    </row>
    <row r="847" spans="1:24">
      <c r="A847">
        <f>HYPERLINK("https://www.philgeps.gov.ph/GEPSNONPILOT/Tender/SplashBidNoticeAbstractUI.aspx?menuIndex=3&amp;refID=7065441&amp;Result=3","7065441")</f>
        <v>0</v>
      </c>
      <c r="B847" t="s">
        <v>396</v>
      </c>
      <c r="C847" t="s">
        <v>4358</v>
      </c>
      <c r="D847" t="s">
        <v>18790</v>
      </c>
      <c r="E847" t="s">
        <v>19689</v>
      </c>
      <c r="F847" t="s">
        <v>32664</v>
      </c>
      <c r="G847" t="s">
        <v>32671</v>
      </c>
      <c r="H847" t="s">
        <v>12635</v>
      </c>
      <c r="I847" t="s">
        <v>32706</v>
      </c>
      <c r="J847" t="s">
        <v>33370</v>
      </c>
      <c r="K847" t="s">
        <v>42284</v>
      </c>
      <c r="M847" t="s">
        <v>42966</v>
      </c>
      <c r="N847" t="s">
        <v>46569</v>
      </c>
      <c r="O847" t="s">
        <v>46570</v>
      </c>
      <c r="P847">
        <v>0</v>
      </c>
      <c r="Q847">
        <v>0</v>
      </c>
      <c r="R847" t="s">
        <v>46571</v>
      </c>
      <c r="S847" t="s">
        <v>46687</v>
      </c>
      <c r="T847" t="s">
        <v>48283</v>
      </c>
      <c r="U847" t="s">
        <v>49539</v>
      </c>
      <c r="W847" t="s">
        <v>42966</v>
      </c>
      <c r="X847" t="s">
        <v>46572</v>
      </c>
    </row>
    <row r="848" spans="1:24">
      <c r="A848">
        <f>HYPERLINK("https://www.philgeps.gov.ph/GEPSNONPILOT/Tender/SplashBidNoticeAbstractUI.aspx?menuIndex=3&amp;refID=7065437&amp;Result=3","7065437")</f>
        <v>0</v>
      </c>
      <c r="B848" t="s">
        <v>428</v>
      </c>
      <c r="C848" t="s">
        <v>4359</v>
      </c>
      <c r="D848" t="s">
        <v>18842</v>
      </c>
      <c r="E848" t="s">
        <v>19690</v>
      </c>
      <c r="F848" t="s">
        <v>32664</v>
      </c>
      <c r="G848" t="s">
        <v>32671</v>
      </c>
      <c r="H848" t="s">
        <v>12635</v>
      </c>
      <c r="I848" t="s">
        <v>32742</v>
      </c>
      <c r="J848" t="s">
        <v>33489</v>
      </c>
      <c r="K848" t="s">
        <v>42281</v>
      </c>
      <c r="M848" t="s">
        <v>42999</v>
      </c>
      <c r="N848" t="s">
        <v>46569</v>
      </c>
      <c r="O848" t="s">
        <v>46570</v>
      </c>
      <c r="P848">
        <v>0</v>
      </c>
      <c r="Q848">
        <v>0</v>
      </c>
      <c r="R848" t="s">
        <v>46571</v>
      </c>
      <c r="S848" t="s">
        <v>46687</v>
      </c>
      <c r="T848" t="s">
        <v>48315</v>
      </c>
      <c r="U848" t="s">
        <v>49540</v>
      </c>
      <c r="W848" t="s">
        <v>42999</v>
      </c>
      <c r="X848" t="s">
        <v>46572</v>
      </c>
    </row>
    <row r="849" spans="1:24">
      <c r="A849">
        <f>HYPERLINK("https://www.philgeps.gov.ph/GEPSNONPILOT/Tender/SplashBidNoticeAbstractUI.aspx?menuIndex=3&amp;refID=7065442&amp;Result=3","7065442")</f>
        <v>0</v>
      </c>
      <c r="B849" t="s">
        <v>332</v>
      </c>
      <c r="C849" t="s">
        <v>4360</v>
      </c>
      <c r="D849" t="s">
        <v>18818</v>
      </c>
      <c r="E849" t="s">
        <v>19691</v>
      </c>
      <c r="F849" t="s">
        <v>32664</v>
      </c>
      <c r="G849" t="s">
        <v>32671</v>
      </c>
      <c r="H849" t="s">
        <v>12635</v>
      </c>
      <c r="I849" t="s">
        <v>32703</v>
      </c>
      <c r="J849" t="s">
        <v>33490</v>
      </c>
      <c r="K849" t="s">
        <v>42295</v>
      </c>
      <c r="M849" t="s">
        <v>42900</v>
      </c>
      <c r="N849" t="s">
        <v>46569</v>
      </c>
      <c r="O849" t="s">
        <v>46570</v>
      </c>
      <c r="P849">
        <v>0</v>
      </c>
      <c r="Q849">
        <v>0</v>
      </c>
      <c r="R849" t="s">
        <v>46571</v>
      </c>
      <c r="S849" t="s">
        <v>46687</v>
      </c>
      <c r="T849" t="s">
        <v>48244</v>
      </c>
      <c r="U849" t="s">
        <v>49541</v>
      </c>
      <c r="V849" t="s">
        <v>61702</v>
      </c>
      <c r="W849" t="s">
        <v>42900</v>
      </c>
      <c r="X849" t="s">
        <v>46572</v>
      </c>
    </row>
    <row r="850" spans="1:24">
      <c r="A850">
        <f>HYPERLINK("https://www.philgeps.gov.ph/GEPSNONPILOT/Tender/SplashBidNoticeAbstractUI.aspx?menuIndex=3&amp;refID=7065434&amp;Result=3","7065434")</f>
        <v>0</v>
      </c>
      <c r="B850" t="s">
        <v>429</v>
      </c>
      <c r="C850" t="s">
        <v>4361</v>
      </c>
      <c r="D850" t="s">
        <v>18833</v>
      </c>
      <c r="E850" t="s">
        <v>19692</v>
      </c>
      <c r="F850" t="s">
        <v>32664</v>
      </c>
      <c r="G850" t="s">
        <v>32672</v>
      </c>
      <c r="H850" t="s">
        <v>12635</v>
      </c>
      <c r="I850" t="s">
        <v>4439</v>
      </c>
      <c r="J850" t="s">
        <v>33491</v>
      </c>
      <c r="K850" t="s">
        <v>42281</v>
      </c>
      <c r="M850" t="s">
        <v>43000</v>
      </c>
      <c r="N850" t="s">
        <v>46569</v>
      </c>
      <c r="O850" t="s">
        <v>46570</v>
      </c>
      <c r="P850">
        <v>0</v>
      </c>
      <c r="Q850">
        <v>0</v>
      </c>
      <c r="R850" t="s">
        <v>46571</v>
      </c>
      <c r="S850" t="s">
        <v>46687</v>
      </c>
      <c r="T850" t="s">
        <v>48349</v>
      </c>
      <c r="U850" t="s">
        <v>49542</v>
      </c>
      <c r="V850" t="s">
        <v>61721</v>
      </c>
      <c r="W850" t="s">
        <v>43000</v>
      </c>
      <c r="X850" t="s">
        <v>46572</v>
      </c>
    </row>
    <row r="851" spans="1:24">
      <c r="A851">
        <f>HYPERLINK("https://www.philgeps.gov.ph/GEPSNONPILOT/Tender/SplashBidNoticeAbstractUI.aspx?menuIndex=3&amp;refID=7065408&amp;Result=3","7065408")</f>
        <v>0</v>
      </c>
      <c r="B851" t="s">
        <v>430</v>
      </c>
      <c r="C851" t="s">
        <v>4362</v>
      </c>
      <c r="D851" t="s">
        <v>18831</v>
      </c>
      <c r="E851" t="s">
        <v>19693</v>
      </c>
      <c r="F851" t="s">
        <v>32664</v>
      </c>
      <c r="G851" t="s">
        <v>32672</v>
      </c>
      <c r="H851" t="s">
        <v>12635</v>
      </c>
      <c r="I851" t="s">
        <v>10370</v>
      </c>
      <c r="J851" t="s">
        <v>33492</v>
      </c>
      <c r="K851" t="s">
        <v>42281</v>
      </c>
      <c r="M851" t="s">
        <v>43001</v>
      </c>
      <c r="N851" t="s">
        <v>46569</v>
      </c>
      <c r="O851" t="s">
        <v>46570</v>
      </c>
      <c r="P851">
        <v>0</v>
      </c>
      <c r="Q851">
        <v>2</v>
      </c>
      <c r="R851" t="s">
        <v>46571</v>
      </c>
      <c r="S851" t="s">
        <v>46687</v>
      </c>
      <c r="T851" t="s">
        <v>48222</v>
      </c>
      <c r="U851" t="s">
        <v>49543</v>
      </c>
      <c r="W851" t="s">
        <v>43001</v>
      </c>
      <c r="X851" t="s">
        <v>46572</v>
      </c>
    </row>
    <row r="852" spans="1:24">
      <c r="A852">
        <f>HYPERLINK("https://www.philgeps.gov.ph/GEPSNONPILOT/Tender/SplashBidNoticeAbstractUI.aspx?menuIndex=3&amp;refID=7065432&amp;Result=3","7065432")</f>
        <v>0</v>
      </c>
      <c r="B852" t="s">
        <v>431</v>
      </c>
      <c r="C852" t="s">
        <v>4363</v>
      </c>
      <c r="D852" t="s">
        <v>18786</v>
      </c>
      <c r="E852" t="s">
        <v>19694</v>
      </c>
      <c r="F852" t="s">
        <v>32664</v>
      </c>
      <c r="G852" t="s">
        <v>32671</v>
      </c>
      <c r="H852" t="s">
        <v>12635</v>
      </c>
      <c r="I852" t="s">
        <v>32685</v>
      </c>
      <c r="J852" t="s">
        <v>33493</v>
      </c>
      <c r="K852" t="s">
        <v>42284</v>
      </c>
      <c r="M852" t="s">
        <v>43002</v>
      </c>
      <c r="N852" t="s">
        <v>46569</v>
      </c>
      <c r="O852" t="s">
        <v>46570</v>
      </c>
      <c r="P852">
        <v>0</v>
      </c>
      <c r="Q852">
        <v>1</v>
      </c>
      <c r="R852" t="s">
        <v>46571</v>
      </c>
      <c r="S852" t="s">
        <v>46687</v>
      </c>
      <c r="T852" t="s">
        <v>48244</v>
      </c>
      <c r="U852" t="s">
        <v>49544</v>
      </c>
      <c r="W852" t="s">
        <v>63476</v>
      </c>
      <c r="X852" t="s">
        <v>46572</v>
      </c>
    </row>
    <row r="853" spans="1:24">
      <c r="A853">
        <f>HYPERLINK("https://www.philgeps.gov.ph/GEPSNONPILOT/Tender/SplashBidNoticeAbstractUI.aspx?menuIndex=3&amp;refID=7065430&amp;Result=3","7065430")</f>
        <v>0</v>
      </c>
      <c r="B853" t="s">
        <v>178</v>
      </c>
      <c r="C853" t="s">
        <v>4364</v>
      </c>
      <c r="D853" t="s">
        <v>18839</v>
      </c>
      <c r="E853" t="s">
        <v>19695</v>
      </c>
      <c r="F853" t="s">
        <v>32664</v>
      </c>
      <c r="G853" t="s">
        <v>32671</v>
      </c>
      <c r="H853" t="s">
        <v>12635</v>
      </c>
      <c r="I853" t="s">
        <v>32694</v>
      </c>
      <c r="J853" t="s">
        <v>33494</v>
      </c>
      <c r="K853" t="s">
        <v>42281</v>
      </c>
      <c r="M853" t="s">
        <v>42742</v>
      </c>
      <c r="N853" t="s">
        <v>46569</v>
      </c>
      <c r="O853" t="s">
        <v>46570</v>
      </c>
      <c r="P853">
        <v>0</v>
      </c>
      <c r="Q853">
        <v>2</v>
      </c>
      <c r="R853" t="s">
        <v>46571</v>
      </c>
      <c r="S853" t="s">
        <v>46687</v>
      </c>
      <c r="T853" t="s">
        <v>48246</v>
      </c>
      <c r="U853" t="s">
        <v>49515</v>
      </c>
      <c r="V853" t="s">
        <v>61663</v>
      </c>
      <c r="W853" t="s">
        <v>42742</v>
      </c>
      <c r="X853" t="s">
        <v>46572</v>
      </c>
    </row>
    <row r="854" spans="1:24">
      <c r="A854">
        <f>HYPERLINK("https://www.philgeps.gov.ph/GEPSNONPILOT/Tender/SplashBidNoticeAbstractUI.aspx?menuIndex=3&amp;refID=7065414&amp;Result=3","7065414")</f>
        <v>0</v>
      </c>
      <c r="B854" t="s">
        <v>397</v>
      </c>
      <c r="C854" t="s">
        <v>4365</v>
      </c>
      <c r="D854" t="s">
        <v>18788</v>
      </c>
      <c r="E854" t="s">
        <v>19696</v>
      </c>
      <c r="F854" t="s">
        <v>32664</v>
      </c>
      <c r="G854" t="s">
        <v>32672</v>
      </c>
      <c r="H854" t="s">
        <v>32683</v>
      </c>
      <c r="I854" t="s">
        <v>10627</v>
      </c>
      <c r="J854" t="s">
        <v>33495</v>
      </c>
      <c r="K854" t="s">
        <v>42311</v>
      </c>
      <c r="M854" t="s">
        <v>43003</v>
      </c>
      <c r="N854" t="s">
        <v>46569</v>
      </c>
      <c r="O854" t="s">
        <v>46570</v>
      </c>
      <c r="P854">
        <v>0</v>
      </c>
      <c r="Q854">
        <v>0</v>
      </c>
      <c r="R854" t="s">
        <v>46571</v>
      </c>
      <c r="S854" t="s">
        <v>46687</v>
      </c>
      <c r="T854" t="s">
        <v>48270</v>
      </c>
      <c r="U854" t="s">
        <v>49545</v>
      </c>
      <c r="W854" t="s">
        <v>42967</v>
      </c>
      <c r="X854" t="s">
        <v>46572</v>
      </c>
    </row>
    <row r="855" spans="1:24">
      <c r="A855">
        <f>HYPERLINK("https://www.philgeps.gov.ph/GEPSNONPILOT/Tender/SplashBidNoticeAbstractUI.aspx?menuIndex=3&amp;refID=7065433&amp;Result=3","7065433")</f>
        <v>0</v>
      </c>
      <c r="B855" t="s">
        <v>355</v>
      </c>
      <c r="C855" t="s">
        <v>4366</v>
      </c>
      <c r="D855" t="s">
        <v>18816</v>
      </c>
      <c r="E855" t="s">
        <v>19697</v>
      </c>
      <c r="F855" t="s">
        <v>32664</v>
      </c>
      <c r="G855" t="s">
        <v>32671</v>
      </c>
      <c r="H855" t="s">
        <v>12635</v>
      </c>
      <c r="I855" t="s">
        <v>6223</v>
      </c>
      <c r="J855" t="s">
        <v>33496</v>
      </c>
      <c r="K855" t="s">
        <v>42330</v>
      </c>
      <c r="M855" t="s">
        <v>42924</v>
      </c>
      <c r="N855" t="s">
        <v>46569</v>
      </c>
      <c r="O855" t="s">
        <v>46570</v>
      </c>
      <c r="P855">
        <v>0</v>
      </c>
      <c r="Q855">
        <v>0</v>
      </c>
      <c r="R855" t="s">
        <v>46571</v>
      </c>
      <c r="S855" t="s">
        <v>46687</v>
      </c>
      <c r="T855" t="s">
        <v>48244</v>
      </c>
      <c r="U855" t="s">
        <v>49546</v>
      </c>
      <c r="W855" t="s">
        <v>42924</v>
      </c>
      <c r="X855" t="s">
        <v>46572</v>
      </c>
    </row>
    <row r="856" spans="1:24">
      <c r="A856">
        <f>HYPERLINK("https://www.philgeps.gov.ph/GEPSNONPILOT/Tender/SplashBidNoticeAbstractUI.aspx?menuIndex=3&amp;refID=7065431&amp;Result=3","7065431")</f>
        <v>0</v>
      </c>
      <c r="B856" t="s">
        <v>432</v>
      </c>
      <c r="C856" t="s">
        <v>4367</v>
      </c>
      <c r="D856" t="s">
        <v>18805</v>
      </c>
      <c r="E856" t="s">
        <v>19698</v>
      </c>
      <c r="F856" t="s">
        <v>32664</v>
      </c>
      <c r="G856" t="s">
        <v>32671</v>
      </c>
      <c r="H856" t="s">
        <v>12635</v>
      </c>
      <c r="I856" t="s">
        <v>4439</v>
      </c>
      <c r="J856" t="s">
        <v>33497</v>
      </c>
      <c r="K856" t="s">
        <v>42305</v>
      </c>
      <c r="M856" t="s">
        <v>43004</v>
      </c>
      <c r="N856" t="s">
        <v>46569</v>
      </c>
      <c r="O856" t="s">
        <v>46570</v>
      </c>
      <c r="P856">
        <v>0</v>
      </c>
      <c r="Q856">
        <v>0</v>
      </c>
      <c r="R856" t="s">
        <v>46571</v>
      </c>
      <c r="S856" t="s">
        <v>46687</v>
      </c>
      <c r="T856" t="s">
        <v>48219</v>
      </c>
      <c r="U856" t="s">
        <v>49547</v>
      </c>
      <c r="W856" t="s">
        <v>43004</v>
      </c>
      <c r="X856" t="s">
        <v>46572</v>
      </c>
    </row>
    <row r="857" spans="1:24">
      <c r="A857">
        <f>HYPERLINK("https://www.philgeps.gov.ph/GEPSNONPILOT/Tender/SplashBidNoticeAbstractUI.aspx?menuIndex=3&amp;refID=7065399&amp;Result=3","7065399")</f>
        <v>0</v>
      </c>
      <c r="B857" t="s">
        <v>433</v>
      </c>
      <c r="C857" t="s">
        <v>4368</v>
      </c>
      <c r="D857" t="s">
        <v>18831</v>
      </c>
      <c r="E857" t="s">
        <v>19699</v>
      </c>
      <c r="F857" t="s">
        <v>32664</v>
      </c>
      <c r="G857" t="s">
        <v>32671</v>
      </c>
      <c r="H857" t="s">
        <v>12635</v>
      </c>
      <c r="I857" t="s">
        <v>6553</v>
      </c>
      <c r="J857" t="s">
        <v>33498</v>
      </c>
      <c r="K857" t="s">
        <v>42289</v>
      </c>
      <c r="M857" t="s">
        <v>43005</v>
      </c>
      <c r="N857" t="s">
        <v>46569</v>
      </c>
      <c r="O857" t="s">
        <v>46570</v>
      </c>
      <c r="P857">
        <v>0</v>
      </c>
      <c r="Q857">
        <v>1</v>
      </c>
      <c r="R857" t="s">
        <v>46571</v>
      </c>
      <c r="S857" t="s">
        <v>46687</v>
      </c>
      <c r="T857" t="s">
        <v>48282</v>
      </c>
      <c r="U857" t="s">
        <v>49548</v>
      </c>
      <c r="W857" t="s">
        <v>43005</v>
      </c>
      <c r="X857" t="s">
        <v>46572</v>
      </c>
    </row>
    <row r="858" spans="1:24">
      <c r="A858">
        <f>HYPERLINK("https://www.philgeps.gov.ph/GEPSNONPILOT/Tender/SplashBidNoticeAbstractUI.aspx?menuIndex=3&amp;refID=7065429&amp;Result=3","7065429")</f>
        <v>0</v>
      </c>
      <c r="B858" t="s">
        <v>434</v>
      </c>
      <c r="C858" t="s">
        <v>4369</v>
      </c>
      <c r="D858" t="s">
        <v>18838</v>
      </c>
      <c r="E858" t="s">
        <v>19700</v>
      </c>
      <c r="F858" t="s">
        <v>32664</v>
      </c>
      <c r="G858" t="s">
        <v>32672</v>
      </c>
      <c r="H858" t="s">
        <v>12635</v>
      </c>
      <c r="I858" t="s">
        <v>4439</v>
      </c>
      <c r="J858" t="s">
        <v>33499</v>
      </c>
      <c r="K858" t="s">
        <v>42330</v>
      </c>
      <c r="M858" t="s">
        <v>43006</v>
      </c>
      <c r="N858" t="s">
        <v>46569</v>
      </c>
      <c r="O858" t="s">
        <v>46570</v>
      </c>
      <c r="P858">
        <v>0</v>
      </c>
      <c r="Q858">
        <v>0</v>
      </c>
      <c r="R858" t="s">
        <v>46571</v>
      </c>
      <c r="S858" t="s">
        <v>46687</v>
      </c>
      <c r="T858" t="s">
        <v>48245</v>
      </c>
      <c r="U858" t="s">
        <v>49549</v>
      </c>
      <c r="W858" t="s">
        <v>43006</v>
      </c>
      <c r="X858" t="s">
        <v>46572</v>
      </c>
    </row>
    <row r="859" spans="1:24">
      <c r="A859">
        <f>HYPERLINK("https://www.philgeps.gov.ph/GEPSNONPILOT/Tender/SplashBidNoticeAbstractUI.aspx?menuIndex=3&amp;refID=7065422&amp;Result=3","7065422")</f>
        <v>0</v>
      </c>
      <c r="B859" t="s">
        <v>435</v>
      </c>
      <c r="C859" t="s">
        <v>4370</v>
      </c>
      <c r="D859" t="s">
        <v>18829</v>
      </c>
      <c r="E859" t="s">
        <v>19701</v>
      </c>
      <c r="F859" t="s">
        <v>32664</v>
      </c>
      <c r="G859" t="s">
        <v>32674</v>
      </c>
      <c r="H859" t="s">
        <v>12635</v>
      </c>
      <c r="I859" t="s">
        <v>32743</v>
      </c>
      <c r="J859" t="s">
        <v>33500</v>
      </c>
      <c r="K859" t="s">
        <v>42281</v>
      </c>
      <c r="M859" t="s">
        <v>43007</v>
      </c>
      <c r="N859" t="s">
        <v>46569</v>
      </c>
      <c r="O859" t="s">
        <v>46570</v>
      </c>
      <c r="P859">
        <v>0</v>
      </c>
      <c r="Q859">
        <v>2</v>
      </c>
      <c r="R859" t="s">
        <v>46571</v>
      </c>
      <c r="S859" t="s">
        <v>46687</v>
      </c>
      <c r="T859" t="s">
        <v>48304</v>
      </c>
      <c r="U859" t="s">
        <v>49550</v>
      </c>
      <c r="W859" t="s">
        <v>43007</v>
      </c>
      <c r="X859" t="s">
        <v>46572</v>
      </c>
    </row>
    <row r="860" spans="1:24">
      <c r="A860">
        <f>HYPERLINK("https://www.philgeps.gov.ph/GEPSNONPILOT/Tender/SplashBidNoticeAbstractUI.aspx?menuIndex=3&amp;refID=7065435&amp;Result=3","7065435")</f>
        <v>0</v>
      </c>
      <c r="B860" t="s">
        <v>436</v>
      </c>
      <c r="C860" t="s">
        <v>4371</v>
      </c>
      <c r="D860" t="s">
        <v>18831</v>
      </c>
      <c r="E860" t="s">
        <v>19629</v>
      </c>
      <c r="F860" t="s">
        <v>32666</v>
      </c>
      <c r="G860" t="s">
        <v>32672</v>
      </c>
      <c r="H860" t="s">
        <v>32683</v>
      </c>
      <c r="I860" t="s">
        <v>10627</v>
      </c>
      <c r="J860" t="s">
        <v>33051</v>
      </c>
      <c r="K860" t="s">
        <v>42343</v>
      </c>
      <c r="M860" t="s">
        <v>43008</v>
      </c>
      <c r="N860" t="s">
        <v>46569</v>
      </c>
      <c r="O860" t="s">
        <v>46570</v>
      </c>
      <c r="P860">
        <v>0</v>
      </c>
      <c r="Q860">
        <v>0</v>
      </c>
      <c r="R860" t="s">
        <v>46571</v>
      </c>
      <c r="S860" t="s">
        <v>46687</v>
      </c>
      <c r="T860" t="s">
        <v>48213</v>
      </c>
      <c r="U860" t="s">
        <v>49551</v>
      </c>
      <c r="W860" t="s">
        <v>43008</v>
      </c>
      <c r="X860" t="s">
        <v>46572</v>
      </c>
    </row>
    <row r="861" spans="1:24">
      <c r="A861">
        <f>HYPERLINK("https://www.philgeps.gov.ph/GEPSNONPILOT/Tender/SplashBidNoticeAbstractUI.aspx?menuIndex=3&amp;refID=7065427&amp;Result=3","7065427")</f>
        <v>0</v>
      </c>
      <c r="B861" t="s">
        <v>427</v>
      </c>
      <c r="C861" t="s">
        <v>4372</v>
      </c>
      <c r="D861" t="s">
        <v>18824</v>
      </c>
      <c r="E861" t="s">
        <v>19701</v>
      </c>
      <c r="F861" t="s">
        <v>32664</v>
      </c>
      <c r="G861" t="s">
        <v>32672</v>
      </c>
      <c r="H861" t="s">
        <v>32683</v>
      </c>
      <c r="I861" t="s">
        <v>10627</v>
      </c>
      <c r="J861" t="s">
        <v>32943</v>
      </c>
      <c r="K861" t="s">
        <v>42310</v>
      </c>
      <c r="M861" t="s">
        <v>42998</v>
      </c>
      <c r="N861" t="s">
        <v>46569</v>
      </c>
      <c r="O861" t="s">
        <v>46570</v>
      </c>
      <c r="P861">
        <v>0</v>
      </c>
      <c r="Q861">
        <v>0</v>
      </c>
      <c r="R861" t="s">
        <v>46571</v>
      </c>
      <c r="S861" t="s">
        <v>46687</v>
      </c>
      <c r="T861" t="s">
        <v>48308</v>
      </c>
      <c r="U861" t="s">
        <v>49552</v>
      </c>
      <c r="V861" t="s">
        <v>61720</v>
      </c>
      <c r="W861" t="s">
        <v>42998</v>
      </c>
      <c r="X861" t="s">
        <v>46572</v>
      </c>
    </row>
    <row r="862" spans="1:24">
      <c r="A862">
        <f>HYPERLINK("https://www.philgeps.gov.ph/GEPSNONPILOT/Tender/SplashBidNoticeAbstractUI.aspx?menuIndex=3&amp;refID=7065470&amp;Result=3","7065470")</f>
        <v>0</v>
      </c>
      <c r="B862" t="s">
        <v>418</v>
      </c>
      <c r="C862" t="s">
        <v>4373</v>
      </c>
      <c r="D862" t="s">
        <v>18784</v>
      </c>
      <c r="E862" t="s">
        <v>19702</v>
      </c>
      <c r="F862" t="s">
        <v>32664</v>
      </c>
      <c r="G862" t="s">
        <v>32672</v>
      </c>
      <c r="H862" t="s">
        <v>12635</v>
      </c>
      <c r="I862" t="s">
        <v>6168</v>
      </c>
      <c r="J862" t="s">
        <v>33501</v>
      </c>
      <c r="K862" t="s">
        <v>42289</v>
      </c>
      <c r="M862" t="s">
        <v>42989</v>
      </c>
      <c r="N862" t="s">
        <v>46569</v>
      </c>
      <c r="O862" t="s">
        <v>46570</v>
      </c>
      <c r="P862">
        <v>0</v>
      </c>
      <c r="Q862">
        <v>0</v>
      </c>
      <c r="R862" t="s">
        <v>46571</v>
      </c>
      <c r="S862" t="s">
        <v>46687</v>
      </c>
      <c r="T862" t="s">
        <v>48226</v>
      </c>
      <c r="U862" t="s">
        <v>49404</v>
      </c>
      <c r="W862" t="s">
        <v>42989</v>
      </c>
      <c r="X862" t="s">
        <v>46572</v>
      </c>
    </row>
    <row r="863" spans="1:24">
      <c r="A863">
        <f>HYPERLINK("https://www.philgeps.gov.ph/GEPSNONPILOT/Tender/SplashBidNoticeAbstractUI.aspx?menuIndex=3&amp;refID=7065469&amp;Result=3","7065469")</f>
        <v>0</v>
      </c>
      <c r="B863" t="s">
        <v>437</v>
      </c>
      <c r="C863" t="s">
        <v>4374</v>
      </c>
      <c r="D863" t="s">
        <v>18836</v>
      </c>
      <c r="E863" t="s">
        <v>19703</v>
      </c>
      <c r="F863" t="s">
        <v>32664</v>
      </c>
      <c r="G863" t="s">
        <v>32672</v>
      </c>
      <c r="H863" t="s">
        <v>12635</v>
      </c>
      <c r="I863" t="s">
        <v>8730</v>
      </c>
      <c r="J863" t="s">
        <v>33502</v>
      </c>
      <c r="K863" t="s">
        <v>42289</v>
      </c>
      <c r="M863" t="s">
        <v>43009</v>
      </c>
      <c r="N863" t="s">
        <v>46569</v>
      </c>
      <c r="O863" t="s">
        <v>46570</v>
      </c>
      <c r="P863">
        <v>0</v>
      </c>
      <c r="Q863">
        <v>2</v>
      </c>
      <c r="R863" t="s">
        <v>46571</v>
      </c>
      <c r="S863" t="s">
        <v>46687</v>
      </c>
      <c r="T863" t="s">
        <v>48237</v>
      </c>
      <c r="U863" t="s">
        <v>49553</v>
      </c>
      <c r="W863" t="s">
        <v>43009</v>
      </c>
      <c r="X863" t="s">
        <v>46572</v>
      </c>
    </row>
    <row r="864" spans="1:24">
      <c r="A864">
        <f>HYPERLINK("https://www.philgeps.gov.ph/GEPSNONPILOT/Tender/SplashBidNoticeAbstractUI.aspx?menuIndex=3&amp;refID=7065467&amp;Result=3","7065467")</f>
        <v>0</v>
      </c>
      <c r="B864" t="s">
        <v>178</v>
      </c>
      <c r="C864" t="s">
        <v>4375</v>
      </c>
      <c r="D864" t="s">
        <v>18839</v>
      </c>
      <c r="E864" t="s">
        <v>19704</v>
      </c>
      <c r="F864" t="s">
        <v>32664</v>
      </c>
      <c r="G864" t="s">
        <v>32671</v>
      </c>
      <c r="H864" t="s">
        <v>12635</v>
      </c>
      <c r="I864" t="s">
        <v>32694</v>
      </c>
      <c r="J864" t="s">
        <v>32984</v>
      </c>
      <c r="K864" t="s">
        <v>42281</v>
      </c>
      <c r="M864" t="s">
        <v>42742</v>
      </c>
      <c r="N864" t="s">
        <v>46569</v>
      </c>
      <c r="O864" t="s">
        <v>46570</v>
      </c>
      <c r="P864">
        <v>0</v>
      </c>
      <c r="Q864">
        <v>3</v>
      </c>
      <c r="R864" t="s">
        <v>46571</v>
      </c>
      <c r="S864" t="s">
        <v>46687</v>
      </c>
      <c r="T864" t="s">
        <v>48246</v>
      </c>
      <c r="U864" t="s">
        <v>49515</v>
      </c>
      <c r="V864" t="s">
        <v>61663</v>
      </c>
      <c r="W864" t="s">
        <v>42742</v>
      </c>
      <c r="X864" t="s">
        <v>46572</v>
      </c>
    </row>
    <row r="865" spans="1:24">
      <c r="A865">
        <f>HYPERLINK("https://www.philgeps.gov.ph/GEPSNONPILOT/Tender/SplashBidNoticeAbstractUI.aspx?menuIndex=3&amp;refID=7065466&amp;Result=3","7065466")</f>
        <v>0</v>
      </c>
      <c r="B865" t="s">
        <v>438</v>
      </c>
      <c r="C865" t="s">
        <v>4376</v>
      </c>
      <c r="D865" t="s">
        <v>18855</v>
      </c>
      <c r="E865" t="s">
        <v>19705</v>
      </c>
      <c r="F865" t="s">
        <v>32664</v>
      </c>
      <c r="G865" t="s">
        <v>32672</v>
      </c>
      <c r="H865" t="s">
        <v>32683</v>
      </c>
      <c r="I865" t="s">
        <v>10627</v>
      </c>
      <c r="J865" t="s">
        <v>33503</v>
      </c>
      <c r="K865" t="s">
        <v>42298</v>
      </c>
      <c r="M865" t="s">
        <v>43010</v>
      </c>
      <c r="N865" t="s">
        <v>46569</v>
      </c>
      <c r="O865" t="s">
        <v>46570</v>
      </c>
      <c r="P865">
        <v>0</v>
      </c>
      <c r="Q865">
        <v>0</v>
      </c>
      <c r="R865" t="s">
        <v>46571</v>
      </c>
      <c r="S865" t="s">
        <v>46687</v>
      </c>
      <c r="T865" t="s">
        <v>48220</v>
      </c>
      <c r="U865" t="s">
        <v>49554</v>
      </c>
      <c r="V865" t="s">
        <v>61722</v>
      </c>
      <c r="W865" t="s">
        <v>43010</v>
      </c>
      <c r="X865" t="s">
        <v>46572</v>
      </c>
    </row>
    <row r="866" spans="1:24">
      <c r="A866">
        <f>HYPERLINK("https://www.philgeps.gov.ph/GEPSNONPILOT/Tender/SplashBidNoticeAbstractUI.aspx?menuIndex=3&amp;refID=7065465&amp;Result=3","7065465")</f>
        <v>0</v>
      </c>
      <c r="B866" t="s">
        <v>331</v>
      </c>
      <c r="C866" t="s">
        <v>4377</v>
      </c>
      <c r="D866" t="s">
        <v>18807</v>
      </c>
      <c r="E866" t="s">
        <v>19706</v>
      </c>
      <c r="F866" t="s">
        <v>32664</v>
      </c>
      <c r="G866" t="s">
        <v>32671</v>
      </c>
      <c r="H866" t="s">
        <v>12635</v>
      </c>
      <c r="I866" t="s">
        <v>6628</v>
      </c>
      <c r="J866" t="s">
        <v>33504</v>
      </c>
      <c r="K866" t="s">
        <v>42281</v>
      </c>
      <c r="L866" t="s">
        <v>331</v>
      </c>
      <c r="M866" t="s">
        <v>42899</v>
      </c>
      <c r="N866" t="s">
        <v>46569</v>
      </c>
      <c r="O866" t="s">
        <v>46570</v>
      </c>
      <c r="P866">
        <v>0</v>
      </c>
      <c r="Q866">
        <v>1</v>
      </c>
      <c r="R866" t="s">
        <v>46571</v>
      </c>
      <c r="S866" t="s">
        <v>46687</v>
      </c>
      <c r="T866" t="s">
        <v>48331</v>
      </c>
      <c r="U866" t="s">
        <v>49555</v>
      </c>
      <c r="V866" t="s">
        <v>61723</v>
      </c>
      <c r="W866" t="s">
        <v>42899</v>
      </c>
      <c r="X866" t="s">
        <v>46572</v>
      </c>
    </row>
    <row r="867" spans="1:24">
      <c r="A867">
        <f>HYPERLINK("https://www.philgeps.gov.ph/GEPSNONPILOT/Tender/SplashBidNoticeAbstractUI.aspx?menuIndex=3&amp;refID=7065464&amp;Result=3","7065464")</f>
        <v>0</v>
      </c>
      <c r="B867" t="s">
        <v>355</v>
      </c>
      <c r="C867" t="s">
        <v>4378</v>
      </c>
      <c r="D867" t="s">
        <v>18816</v>
      </c>
      <c r="E867" t="s">
        <v>19707</v>
      </c>
      <c r="F867" t="s">
        <v>32664</v>
      </c>
      <c r="G867" t="s">
        <v>32671</v>
      </c>
      <c r="H867" t="s">
        <v>12635</v>
      </c>
      <c r="I867" t="s">
        <v>32699</v>
      </c>
      <c r="J867" t="s">
        <v>33505</v>
      </c>
      <c r="K867" t="s">
        <v>42330</v>
      </c>
      <c r="M867" t="s">
        <v>42924</v>
      </c>
      <c r="N867" t="s">
        <v>46569</v>
      </c>
      <c r="O867" t="s">
        <v>46570</v>
      </c>
      <c r="P867">
        <v>0</v>
      </c>
      <c r="Q867">
        <v>0</v>
      </c>
      <c r="R867" t="s">
        <v>46571</v>
      </c>
      <c r="S867" t="s">
        <v>46687</v>
      </c>
      <c r="T867" t="s">
        <v>48244</v>
      </c>
      <c r="U867" t="s">
        <v>49556</v>
      </c>
      <c r="W867" t="s">
        <v>42924</v>
      </c>
      <c r="X867" t="s">
        <v>46572</v>
      </c>
    </row>
    <row r="868" spans="1:24">
      <c r="A868">
        <f>HYPERLINK("https://www.philgeps.gov.ph/GEPSNONPILOT/Tender/SplashBidNoticeAbstractUI.aspx?menuIndex=3&amp;refID=7065425&amp;Result=3","7065425")</f>
        <v>0</v>
      </c>
      <c r="B868" t="s">
        <v>439</v>
      </c>
      <c r="C868" t="s">
        <v>4379</v>
      </c>
      <c r="D868" t="s">
        <v>18792</v>
      </c>
      <c r="E868" t="s">
        <v>19708</v>
      </c>
      <c r="F868" t="s">
        <v>32664</v>
      </c>
      <c r="G868" t="s">
        <v>32674</v>
      </c>
      <c r="H868" t="s">
        <v>12635</v>
      </c>
      <c r="I868" t="s">
        <v>8797</v>
      </c>
      <c r="J868" t="s">
        <v>32898</v>
      </c>
      <c r="K868" t="s">
        <v>42295</v>
      </c>
      <c r="M868" t="s">
        <v>43011</v>
      </c>
      <c r="N868" t="s">
        <v>46569</v>
      </c>
      <c r="O868" t="s">
        <v>46570</v>
      </c>
      <c r="P868">
        <v>0</v>
      </c>
      <c r="Q868">
        <v>2</v>
      </c>
      <c r="R868" t="s">
        <v>46571</v>
      </c>
      <c r="S868" t="s">
        <v>46687</v>
      </c>
      <c r="T868" t="s">
        <v>48307</v>
      </c>
      <c r="U868" t="s">
        <v>49557</v>
      </c>
      <c r="W868" t="s">
        <v>43011</v>
      </c>
      <c r="X868" t="s">
        <v>46572</v>
      </c>
    </row>
    <row r="869" spans="1:24">
      <c r="A869">
        <f>HYPERLINK("https://www.philgeps.gov.ph/GEPSNONPILOT/Tender/SplashBidNoticeAbstractUI.aspx?menuIndex=3&amp;refID=7065461&amp;Result=3","7065461")</f>
        <v>0</v>
      </c>
      <c r="B869" t="s">
        <v>440</v>
      </c>
      <c r="C869" t="s">
        <v>4380</v>
      </c>
      <c r="D869" t="s">
        <v>18798</v>
      </c>
      <c r="E869" t="s">
        <v>18889</v>
      </c>
      <c r="F869" t="s">
        <v>32664</v>
      </c>
      <c r="G869" t="s">
        <v>32672</v>
      </c>
      <c r="H869" t="s">
        <v>32683</v>
      </c>
      <c r="I869" t="s">
        <v>32716</v>
      </c>
      <c r="J869" t="s">
        <v>33506</v>
      </c>
      <c r="K869" t="s">
        <v>42289</v>
      </c>
      <c r="M869" t="s">
        <v>43012</v>
      </c>
      <c r="N869" t="s">
        <v>46569</v>
      </c>
      <c r="O869" t="s">
        <v>46570</v>
      </c>
      <c r="P869">
        <v>0</v>
      </c>
      <c r="Q869">
        <v>0</v>
      </c>
      <c r="R869" t="s">
        <v>46571</v>
      </c>
      <c r="S869" t="s">
        <v>46687</v>
      </c>
      <c r="T869" t="s">
        <v>48350</v>
      </c>
      <c r="U869" t="s">
        <v>49558</v>
      </c>
      <c r="W869" t="s">
        <v>43012</v>
      </c>
      <c r="X869" t="s">
        <v>46572</v>
      </c>
    </row>
    <row r="870" spans="1:24">
      <c r="A870">
        <f>HYPERLINK("https://www.philgeps.gov.ph/GEPSNONPILOT/Tender/SplashBidNoticeAbstractUI.aspx?menuIndex=3&amp;refID=7065428&amp;Result=3","7065428")</f>
        <v>0</v>
      </c>
      <c r="B870" t="s">
        <v>179</v>
      </c>
      <c r="C870" t="s">
        <v>4381</v>
      </c>
      <c r="D870" t="s">
        <v>18830</v>
      </c>
      <c r="E870" t="s">
        <v>19709</v>
      </c>
      <c r="F870" t="s">
        <v>32664</v>
      </c>
      <c r="G870" t="s">
        <v>32671</v>
      </c>
      <c r="H870" t="s">
        <v>12635</v>
      </c>
      <c r="I870" t="s">
        <v>32697</v>
      </c>
      <c r="J870" t="s">
        <v>32918</v>
      </c>
      <c r="K870" t="s">
        <v>42281</v>
      </c>
      <c r="M870" t="s">
        <v>42743</v>
      </c>
      <c r="N870" t="s">
        <v>46569</v>
      </c>
      <c r="O870" t="s">
        <v>46570</v>
      </c>
      <c r="P870">
        <v>0</v>
      </c>
      <c r="Q870">
        <v>1</v>
      </c>
      <c r="R870" t="s">
        <v>46571</v>
      </c>
      <c r="S870" t="s">
        <v>46687</v>
      </c>
      <c r="T870" t="s">
        <v>48294</v>
      </c>
      <c r="U870" t="s">
        <v>49559</v>
      </c>
      <c r="V870" t="s">
        <v>61664</v>
      </c>
      <c r="W870" t="s">
        <v>63466</v>
      </c>
      <c r="X870" t="s">
        <v>46572</v>
      </c>
    </row>
    <row r="871" spans="1:24">
      <c r="A871">
        <f>HYPERLINK("https://www.philgeps.gov.ph/GEPSNONPILOT/Tender/SplashBidNoticeAbstractUI.aspx?menuIndex=3&amp;refID=7065457&amp;Result=3","7065457")</f>
        <v>0</v>
      </c>
      <c r="B871" t="s">
        <v>396</v>
      </c>
      <c r="C871" t="s">
        <v>4358</v>
      </c>
      <c r="D871" t="s">
        <v>18790</v>
      </c>
      <c r="E871" t="s">
        <v>19710</v>
      </c>
      <c r="F871" t="s">
        <v>32664</v>
      </c>
      <c r="G871" t="s">
        <v>32671</v>
      </c>
      <c r="H871" t="s">
        <v>12635</v>
      </c>
      <c r="I871" t="s">
        <v>32706</v>
      </c>
      <c r="J871" t="s">
        <v>33370</v>
      </c>
      <c r="K871" t="s">
        <v>42284</v>
      </c>
      <c r="M871" t="s">
        <v>42966</v>
      </c>
      <c r="N871" t="s">
        <v>46569</v>
      </c>
      <c r="O871" t="s">
        <v>46570</v>
      </c>
      <c r="P871">
        <v>0</v>
      </c>
      <c r="Q871">
        <v>0</v>
      </c>
      <c r="R871" t="s">
        <v>46571</v>
      </c>
      <c r="S871" t="s">
        <v>46687</v>
      </c>
      <c r="T871" t="s">
        <v>48283</v>
      </c>
      <c r="U871" t="s">
        <v>49539</v>
      </c>
      <c r="W871" t="s">
        <v>42966</v>
      </c>
      <c r="X871" t="s">
        <v>46572</v>
      </c>
    </row>
    <row r="872" spans="1:24">
      <c r="A872">
        <f>HYPERLINK("https://www.philgeps.gov.ph/GEPSNONPILOT/Tender/SplashBidNoticeAbstractUI.aspx?menuIndex=3&amp;refID=7065463&amp;Result=3","7065463")</f>
        <v>0</v>
      </c>
      <c r="B872" t="s">
        <v>441</v>
      </c>
      <c r="C872" t="s">
        <v>4382</v>
      </c>
      <c r="D872" t="s">
        <v>18805</v>
      </c>
      <c r="E872" t="s">
        <v>19711</v>
      </c>
      <c r="F872" t="s">
        <v>32664</v>
      </c>
      <c r="G872" t="s">
        <v>32672</v>
      </c>
      <c r="H872" t="s">
        <v>12635</v>
      </c>
      <c r="I872" t="s">
        <v>10370</v>
      </c>
      <c r="J872" t="s">
        <v>33507</v>
      </c>
      <c r="K872" t="s">
        <v>42281</v>
      </c>
      <c r="M872" t="s">
        <v>43013</v>
      </c>
      <c r="N872" t="s">
        <v>46569</v>
      </c>
      <c r="O872" t="s">
        <v>46570</v>
      </c>
      <c r="P872">
        <v>0</v>
      </c>
      <c r="Q872">
        <v>4</v>
      </c>
      <c r="R872" t="s">
        <v>46571</v>
      </c>
      <c r="S872" t="s">
        <v>46687</v>
      </c>
      <c r="T872" t="s">
        <v>48351</v>
      </c>
      <c r="U872" t="s">
        <v>49560</v>
      </c>
      <c r="W872" t="s">
        <v>44010</v>
      </c>
      <c r="X872" t="s">
        <v>46572</v>
      </c>
    </row>
    <row r="873" spans="1:24">
      <c r="A873">
        <f>HYPERLINK("https://www.philgeps.gov.ph/GEPSNONPILOT/Tender/SplashBidNoticeAbstractUI.aspx?menuIndex=3&amp;refID=7065456&amp;Result=3","7065456")</f>
        <v>0</v>
      </c>
      <c r="B873" t="s">
        <v>438</v>
      </c>
      <c r="C873" t="s">
        <v>4383</v>
      </c>
      <c r="D873" t="s">
        <v>18855</v>
      </c>
      <c r="E873" t="s">
        <v>19712</v>
      </c>
      <c r="F873" t="s">
        <v>32664</v>
      </c>
      <c r="G873" t="s">
        <v>32672</v>
      </c>
      <c r="H873" t="s">
        <v>32683</v>
      </c>
      <c r="I873" t="s">
        <v>10627</v>
      </c>
      <c r="J873" t="s">
        <v>33508</v>
      </c>
      <c r="K873" t="s">
        <v>42290</v>
      </c>
      <c r="M873" t="s">
        <v>43010</v>
      </c>
      <c r="N873" t="s">
        <v>46569</v>
      </c>
      <c r="O873" t="s">
        <v>46570</v>
      </c>
      <c r="P873">
        <v>0</v>
      </c>
      <c r="Q873">
        <v>0</v>
      </c>
      <c r="R873" t="s">
        <v>46571</v>
      </c>
      <c r="S873" t="s">
        <v>46687</v>
      </c>
      <c r="T873" t="s">
        <v>48220</v>
      </c>
      <c r="U873" t="s">
        <v>49561</v>
      </c>
      <c r="V873" t="s">
        <v>61724</v>
      </c>
      <c r="W873" t="s">
        <v>43010</v>
      </c>
      <c r="X873" t="s">
        <v>46572</v>
      </c>
    </row>
    <row r="874" spans="1:24">
      <c r="A874">
        <f>HYPERLINK("https://www.philgeps.gov.ph/GEPSNONPILOT/Tender/SplashBidNoticeAbstractUI.aspx?menuIndex=3&amp;refID=7065454&amp;Result=3","7065454")</f>
        <v>0</v>
      </c>
      <c r="B874" t="s">
        <v>442</v>
      </c>
      <c r="C874" t="s">
        <v>4384</v>
      </c>
      <c r="D874" t="s">
        <v>18852</v>
      </c>
      <c r="E874" t="s">
        <v>19713</v>
      </c>
      <c r="F874" t="s">
        <v>32664</v>
      </c>
      <c r="G874" t="s">
        <v>32674</v>
      </c>
      <c r="H874" t="s">
        <v>12635</v>
      </c>
      <c r="I874" t="s">
        <v>32699</v>
      </c>
      <c r="J874" t="s">
        <v>33141</v>
      </c>
      <c r="K874" t="s">
        <v>42281</v>
      </c>
      <c r="M874" t="s">
        <v>43014</v>
      </c>
      <c r="N874" t="s">
        <v>46569</v>
      </c>
      <c r="O874" t="s">
        <v>46570</v>
      </c>
      <c r="P874">
        <v>0</v>
      </c>
      <c r="Q874">
        <v>0</v>
      </c>
      <c r="R874" t="s">
        <v>46571</v>
      </c>
      <c r="S874" t="s">
        <v>46687</v>
      </c>
      <c r="T874" t="s">
        <v>48293</v>
      </c>
      <c r="U874" t="s">
        <v>49562</v>
      </c>
      <c r="W874" t="s">
        <v>43014</v>
      </c>
      <c r="X874" t="s">
        <v>46572</v>
      </c>
    </row>
    <row r="875" spans="1:24">
      <c r="A875">
        <f>HYPERLINK("https://www.philgeps.gov.ph/GEPSNONPILOT/Tender/SplashBidNoticeAbstractUI.aspx?menuIndex=3&amp;refID=7065458&amp;Result=3","7065458")</f>
        <v>0</v>
      </c>
      <c r="B875" t="s">
        <v>443</v>
      </c>
      <c r="C875" t="s">
        <v>4385</v>
      </c>
      <c r="D875" t="s">
        <v>18856</v>
      </c>
      <c r="E875" t="s">
        <v>19714</v>
      </c>
      <c r="F875" t="s">
        <v>32664</v>
      </c>
      <c r="G875" t="s">
        <v>32671</v>
      </c>
      <c r="H875" t="s">
        <v>12635</v>
      </c>
      <c r="I875" t="s">
        <v>32707</v>
      </c>
      <c r="J875" t="s">
        <v>33509</v>
      </c>
      <c r="K875" t="s">
        <v>42281</v>
      </c>
      <c r="M875" t="s">
        <v>43015</v>
      </c>
      <c r="N875" t="s">
        <v>46569</v>
      </c>
      <c r="O875" t="s">
        <v>46570</v>
      </c>
      <c r="P875">
        <v>0</v>
      </c>
      <c r="Q875">
        <v>1</v>
      </c>
      <c r="R875" t="s">
        <v>46571</v>
      </c>
      <c r="S875" t="s">
        <v>46687</v>
      </c>
      <c r="T875" t="s">
        <v>48211</v>
      </c>
      <c r="U875" t="s">
        <v>49563</v>
      </c>
      <c r="W875" t="s">
        <v>43015</v>
      </c>
      <c r="X875" t="s">
        <v>46572</v>
      </c>
    </row>
    <row r="876" spans="1:24">
      <c r="A876">
        <f>HYPERLINK("https://www.philgeps.gov.ph/GEPSNONPILOT/Tender/SplashBidNoticeAbstractUI.aspx?menuIndex=3&amp;refID=7065455&amp;Result=3","7065455")</f>
        <v>0</v>
      </c>
      <c r="B876" t="s">
        <v>194</v>
      </c>
      <c r="C876" t="s">
        <v>4386</v>
      </c>
      <c r="E876" t="s">
        <v>19715</v>
      </c>
      <c r="F876" t="s">
        <v>32664</v>
      </c>
      <c r="G876" t="s">
        <v>32672</v>
      </c>
      <c r="H876" t="s">
        <v>12635</v>
      </c>
      <c r="I876" t="s">
        <v>11464</v>
      </c>
      <c r="J876" t="s">
        <v>33261</v>
      </c>
      <c r="K876" t="s">
        <v>42281</v>
      </c>
      <c r="M876" t="s">
        <v>43016</v>
      </c>
      <c r="N876" t="s">
        <v>46569</v>
      </c>
      <c r="O876" t="s">
        <v>46570</v>
      </c>
      <c r="P876">
        <v>0</v>
      </c>
      <c r="Q876">
        <v>4</v>
      </c>
      <c r="R876" t="s">
        <v>46571</v>
      </c>
      <c r="S876" t="s">
        <v>46687</v>
      </c>
      <c r="T876" t="s">
        <v>48266</v>
      </c>
      <c r="U876" t="s">
        <v>49564</v>
      </c>
      <c r="W876" t="s">
        <v>43016</v>
      </c>
      <c r="X876" t="s">
        <v>46572</v>
      </c>
    </row>
    <row r="877" spans="1:24">
      <c r="A877">
        <f>HYPERLINK("https://www.philgeps.gov.ph/GEPSNONPILOT/Tender/SplashBidNoticeAbstractUI.aspx?menuIndex=3&amp;refID=7065453&amp;Result=3","7065453")</f>
        <v>0</v>
      </c>
      <c r="B877" t="s">
        <v>444</v>
      </c>
      <c r="C877" t="s">
        <v>4387</v>
      </c>
      <c r="D877" t="s">
        <v>18843</v>
      </c>
      <c r="E877" t="s">
        <v>19716</v>
      </c>
      <c r="F877" t="s">
        <v>32664</v>
      </c>
      <c r="G877" t="s">
        <v>32671</v>
      </c>
      <c r="H877" t="s">
        <v>12635</v>
      </c>
      <c r="I877" t="s">
        <v>32691</v>
      </c>
      <c r="J877" t="s">
        <v>33510</v>
      </c>
      <c r="K877" t="s">
        <v>42283</v>
      </c>
      <c r="M877" t="s">
        <v>43017</v>
      </c>
      <c r="N877" t="s">
        <v>46569</v>
      </c>
      <c r="O877" t="s">
        <v>46570</v>
      </c>
      <c r="P877">
        <v>0</v>
      </c>
      <c r="Q877">
        <v>1</v>
      </c>
      <c r="R877" t="s">
        <v>46571</v>
      </c>
      <c r="S877" t="s">
        <v>46687</v>
      </c>
      <c r="T877" t="s">
        <v>48297</v>
      </c>
      <c r="U877" t="s">
        <v>49565</v>
      </c>
      <c r="W877" t="s">
        <v>43017</v>
      </c>
      <c r="X877" t="s">
        <v>46572</v>
      </c>
    </row>
    <row r="878" spans="1:24">
      <c r="A878">
        <f>HYPERLINK("https://www.philgeps.gov.ph/GEPSNONPILOT/Tender/SplashBidNoticeAbstractUI.aspx?menuIndex=3&amp;refID=7065449&amp;Result=3","7065449")</f>
        <v>0</v>
      </c>
      <c r="B878" t="s">
        <v>396</v>
      </c>
      <c r="C878" t="s">
        <v>4358</v>
      </c>
      <c r="D878" t="s">
        <v>18790</v>
      </c>
      <c r="E878" t="s">
        <v>19717</v>
      </c>
      <c r="F878" t="s">
        <v>32664</v>
      </c>
      <c r="G878" t="s">
        <v>32671</v>
      </c>
      <c r="H878" t="s">
        <v>12635</v>
      </c>
      <c r="I878" t="s">
        <v>32706</v>
      </c>
      <c r="J878" t="s">
        <v>33370</v>
      </c>
      <c r="K878" t="s">
        <v>42284</v>
      </c>
      <c r="M878" t="s">
        <v>42966</v>
      </c>
      <c r="N878" t="s">
        <v>46569</v>
      </c>
      <c r="O878" t="s">
        <v>46570</v>
      </c>
      <c r="P878">
        <v>0</v>
      </c>
      <c r="Q878">
        <v>0</v>
      </c>
      <c r="R878" t="s">
        <v>46571</v>
      </c>
      <c r="S878" t="s">
        <v>46687</v>
      </c>
      <c r="T878" t="s">
        <v>48283</v>
      </c>
      <c r="U878" t="s">
        <v>49539</v>
      </c>
      <c r="W878" t="s">
        <v>42966</v>
      </c>
      <c r="X878" t="s">
        <v>46572</v>
      </c>
    </row>
    <row r="879" spans="1:24">
      <c r="A879">
        <f>HYPERLINK("https://www.philgeps.gov.ph/GEPSNONPILOT/Tender/SplashBidNoticeAbstractUI.aspx?menuIndex=3&amp;refID=7065462&amp;Result=3","7065462")</f>
        <v>0</v>
      </c>
      <c r="B879" t="s">
        <v>445</v>
      </c>
      <c r="C879" t="s">
        <v>4388</v>
      </c>
      <c r="D879" t="s">
        <v>18785</v>
      </c>
      <c r="E879" t="s">
        <v>19718</v>
      </c>
      <c r="F879" t="s">
        <v>32664</v>
      </c>
      <c r="G879" t="s">
        <v>32674</v>
      </c>
      <c r="H879" t="s">
        <v>12635</v>
      </c>
      <c r="I879" t="s">
        <v>6118</v>
      </c>
      <c r="J879" t="s">
        <v>33215</v>
      </c>
      <c r="K879" t="s">
        <v>42306</v>
      </c>
      <c r="M879" t="s">
        <v>43018</v>
      </c>
      <c r="N879" t="s">
        <v>46569</v>
      </c>
      <c r="O879" t="s">
        <v>46570</v>
      </c>
      <c r="P879">
        <v>0</v>
      </c>
      <c r="Q879">
        <v>0</v>
      </c>
      <c r="R879" t="s">
        <v>46571</v>
      </c>
      <c r="S879" t="s">
        <v>46687</v>
      </c>
      <c r="T879" t="s">
        <v>48254</v>
      </c>
      <c r="U879" t="s">
        <v>49566</v>
      </c>
      <c r="W879" t="s">
        <v>43018</v>
      </c>
      <c r="X879" t="s">
        <v>46572</v>
      </c>
    </row>
    <row r="880" spans="1:24">
      <c r="A880">
        <f>HYPERLINK("https://www.philgeps.gov.ph/GEPSNONPILOT/Tender/SplashBidNoticeAbstractUI.aspx?menuIndex=3&amp;refID=7065476&amp;Result=3","7065476")</f>
        <v>0</v>
      </c>
      <c r="B880" t="s">
        <v>446</v>
      </c>
      <c r="C880" t="s">
        <v>4389</v>
      </c>
      <c r="D880" t="s">
        <v>18805</v>
      </c>
      <c r="E880" t="s">
        <v>19719</v>
      </c>
      <c r="F880" t="s">
        <v>32664</v>
      </c>
      <c r="G880" t="s">
        <v>32672</v>
      </c>
      <c r="H880" t="s">
        <v>12635</v>
      </c>
      <c r="I880" t="s">
        <v>6628</v>
      </c>
      <c r="J880" t="s">
        <v>33511</v>
      </c>
      <c r="K880" t="s">
        <v>42306</v>
      </c>
      <c r="M880" t="s">
        <v>43019</v>
      </c>
      <c r="N880" t="s">
        <v>46569</v>
      </c>
      <c r="O880" t="s">
        <v>46570</v>
      </c>
      <c r="P880">
        <v>0</v>
      </c>
      <c r="Q880">
        <v>0</v>
      </c>
      <c r="R880" t="s">
        <v>46571</v>
      </c>
      <c r="S880" t="s">
        <v>46687</v>
      </c>
      <c r="T880" t="s">
        <v>48352</v>
      </c>
      <c r="U880" t="s">
        <v>49567</v>
      </c>
      <c r="W880" t="s">
        <v>43019</v>
      </c>
      <c r="X880" t="s">
        <v>46572</v>
      </c>
    </row>
    <row r="881" spans="1:24">
      <c r="A881">
        <f>HYPERLINK("https://www.philgeps.gov.ph/GEPSNONPILOT/Tender/SplashBidNoticeAbstractUI.aspx?menuIndex=3&amp;refID=7065495&amp;Result=3","7065495")</f>
        <v>0</v>
      </c>
      <c r="B881" t="s">
        <v>447</v>
      </c>
      <c r="C881" t="s">
        <v>4390</v>
      </c>
      <c r="E881" t="s">
        <v>19380</v>
      </c>
      <c r="F881" t="s">
        <v>32664</v>
      </c>
      <c r="G881" t="s">
        <v>32672</v>
      </c>
      <c r="H881" t="s">
        <v>12635</v>
      </c>
      <c r="I881" t="s">
        <v>4439</v>
      </c>
      <c r="J881" t="s">
        <v>33512</v>
      </c>
      <c r="K881" t="s">
        <v>42283</v>
      </c>
      <c r="M881" t="s">
        <v>43020</v>
      </c>
      <c r="N881" t="s">
        <v>46569</v>
      </c>
      <c r="O881" t="s">
        <v>46570</v>
      </c>
      <c r="P881">
        <v>0</v>
      </c>
      <c r="Q881">
        <v>0</v>
      </c>
      <c r="R881" t="s">
        <v>46571</v>
      </c>
      <c r="S881" t="s">
        <v>46687</v>
      </c>
      <c r="T881" t="s">
        <v>48353</v>
      </c>
      <c r="U881" t="s">
        <v>49568</v>
      </c>
      <c r="W881" t="s">
        <v>43020</v>
      </c>
      <c r="X881" t="s">
        <v>46572</v>
      </c>
    </row>
    <row r="882" spans="1:24">
      <c r="A882">
        <f>HYPERLINK("https://www.philgeps.gov.ph/GEPSNONPILOT/Tender/SplashBidNoticeAbstractUI.aspx?menuIndex=3&amp;refID=7065450&amp;Result=3","7065450")</f>
        <v>0</v>
      </c>
      <c r="B882" t="s">
        <v>355</v>
      </c>
      <c r="C882" t="s">
        <v>4391</v>
      </c>
      <c r="D882" t="s">
        <v>18816</v>
      </c>
      <c r="E882" t="s">
        <v>19720</v>
      </c>
      <c r="F882" t="s">
        <v>32664</v>
      </c>
      <c r="G882" t="s">
        <v>32671</v>
      </c>
      <c r="H882" t="s">
        <v>12635</v>
      </c>
      <c r="I882" t="s">
        <v>6628</v>
      </c>
      <c r="J882" t="s">
        <v>33513</v>
      </c>
      <c r="K882" t="s">
        <v>42330</v>
      </c>
      <c r="M882" t="s">
        <v>42924</v>
      </c>
      <c r="N882" t="s">
        <v>46569</v>
      </c>
      <c r="O882" t="s">
        <v>46570</v>
      </c>
      <c r="P882">
        <v>0</v>
      </c>
      <c r="Q882">
        <v>2</v>
      </c>
      <c r="R882" t="s">
        <v>46571</v>
      </c>
      <c r="S882" t="s">
        <v>46687</v>
      </c>
      <c r="T882" t="s">
        <v>48244</v>
      </c>
      <c r="U882" t="s">
        <v>49569</v>
      </c>
      <c r="W882" t="s">
        <v>42924</v>
      </c>
      <c r="X882" t="s">
        <v>46572</v>
      </c>
    </row>
    <row r="883" spans="1:24">
      <c r="A883">
        <f>HYPERLINK("https://www.philgeps.gov.ph/GEPSNONPILOT/Tender/SplashBidNoticeAbstractUI.aspx?menuIndex=3&amp;refID=7065494&amp;Result=3","7065494")</f>
        <v>0</v>
      </c>
      <c r="B883" t="s">
        <v>444</v>
      </c>
      <c r="C883" t="s">
        <v>4392</v>
      </c>
      <c r="D883" t="s">
        <v>18843</v>
      </c>
      <c r="E883" t="s">
        <v>19721</v>
      </c>
      <c r="F883" t="s">
        <v>32664</v>
      </c>
      <c r="G883" t="s">
        <v>32671</v>
      </c>
      <c r="H883" t="s">
        <v>12635</v>
      </c>
      <c r="I883" t="s">
        <v>10361</v>
      </c>
      <c r="J883" t="s">
        <v>33514</v>
      </c>
      <c r="K883" t="s">
        <v>42283</v>
      </c>
      <c r="M883" t="s">
        <v>43017</v>
      </c>
      <c r="N883" t="s">
        <v>46569</v>
      </c>
      <c r="O883" t="s">
        <v>46570</v>
      </c>
      <c r="P883">
        <v>0</v>
      </c>
      <c r="Q883">
        <v>0</v>
      </c>
      <c r="R883" t="s">
        <v>46571</v>
      </c>
      <c r="S883" t="s">
        <v>46687</v>
      </c>
      <c r="T883" t="s">
        <v>48297</v>
      </c>
      <c r="U883" t="s">
        <v>49565</v>
      </c>
      <c r="W883" t="s">
        <v>43017</v>
      </c>
      <c r="X883" t="s">
        <v>46572</v>
      </c>
    </row>
    <row r="884" spans="1:24">
      <c r="A884">
        <f>HYPERLINK("https://www.philgeps.gov.ph/GEPSNONPILOT/Tender/SplashBidNoticeAbstractUI.aspx?menuIndex=3&amp;refID=7065491&amp;Result=3","7065491")</f>
        <v>0</v>
      </c>
      <c r="B884" t="s">
        <v>53</v>
      </c>
      <c r="C884" t="s">
        <v>4393</v>
      </c>
      <c r="E884" t="s">
        <v>19722</v>
      </c>
      <c r="F884" t="s">
        <v>32664</v>
      </c>
      <c r="G884" t="s">
        <v>32672</v>
      </c>
      <c r="H884" t="s">
        <v>32683</v>
      </c>
      <c r="I884" t="s">
        <v>10627</v>
      </c>
      <c r="J884" t="s">
        <v>32930</v>
      </c>
      <c r="K884" t="s">
        <v>42344</v>
      </c>
      <c r="M884" t="s">
        <v>42624</v>
      </c>
      <c r="N884" t="s">
        <v>46569</v>
      </c>
      <c r="O884" t="s">
        <v>46570</v>
      </c>
      <c r="P884">
        <v>0</v>
      </c>
      <c r="Q884">
        <v>1</v>
      </c>
      <c r="R884" t="s">
        <v>46571</v>
      </c>
      <c r="S884" t="s">
        <v>46687</v>
      </c>
      <c r="T884" t="s">
        <v>48240</v>
      </c>
      <c r="U884" t="s">
        <v>49570</v>
      </c>
      <c r="W884" t="s">
        <v>42624</v>
      </c>
      <c r="X884" t="s">
        <v>46572</v>
      </c>
    </row>
    <row r="885" spans="1:24">
      <c r="A885">
        <f>HYPERLINK("https://www.philgeps.gov.ph/GEPSNONPILOT/Tender/SplashBidNoticeAbstractUI.aspx?menuIndex=3&amp;refID=7065489&amp;Result=3","7065489")</f>
        <v>0</v>
      </c>
      <c r="B885" t="s">
        <v>355</v>
      </c>
      <c r="C885" t="s">
        <v>4394</v>
      </c>
      <c r="D885" t="s">
        <v>18816</v>
      </c>
      <c r="E885" t="s">
        <v>19723</v>
      </c>
      <c r="F885" t="s">
        <v>32664</v>
      </c>
      <c r="G885" t="s">
        <v>32671</v>
      </c>
      <c r="H885" t="s">
        <v>12635</v>
      </c>
      <c r="I885" t="s">
        <v>6223</v>
      </c>
      <c r="J885" t="s">
        <v>33515</v>
      </c>
      <c r="K885" t="s">
        <v>42330</v>
      </c>
      <c r="M885" t="s">
        <v>42924</v>
      </c>
      <c r="N885" t="s">
        <v>46569</v>
      </c>
      <c r="O885" t="s">
        <v>46570</v>
      </c>
      <c r="P885">
        <v>0</v>
      </c>
      <c r="Q885">
        <v>0</v>
      </c>
      <c r="R885" t="s">
        <v>46571</v>
      </c>
      <c r="S885" t="s">
        <v>46687</v>
      </c>
      <c r="T885" t="s">
        <v>48244</v>
      </c>
      <c r="U885" t="s">
        <v>49571</v>
      </c>
      <c r="W885" t="s">
        <v>42924</v>
      </c>
      <c r="X885" t="s">
        <v>46572</v>
      </c>
    </row>
    <row r="886" spans="1:24">
      <c r="A886">
        <f>HYPERLINK("https://www.philgeps.gov.ph/GEPSNONPILOT/Tender/SplashBidNoticeAbstractUI.aspx?menuIndex=3&amp;refID=7065452&amp;Result=3","7065452")</f>
        <v>0</v>
      </c>
      <c r="B886" t="s">
        <v>429</v>
      </c>
      <c r="C886" t="s">
        <v>4395</v>
      </c>
      <c r="D886" t="s">
        <v>18833</v>
      </c>
      <c r="E886" t="s">
        <v>19724</v>
      </c>
      <c r="F886" t="s">
        <v>32664</v>
      </c>
      <c r="G886" t="s">
        <v>32672</v>
      </c>
      <c r="H886" t="s">
        <v>12635</v>
      </c>
      <c r="I886" t="s">
        <v>4439</v>
      </c>
      <c r="J886" t="s">
        <v>33051</v>
      </c>
      <c r="K886" t="s">
        <v>42281</v>
      </c>
      <c r="M886" t="s">
        <v>43000</v>
      </c>
      <c r="N886" t="s">
        <v>46569</v>
      </c>
      <c r="O886" t="s">
        <v>46570</v>
      </c>
      <c r="P886">
        <v>0</v>
      </c>
      <c r="Q886">
        <v>0</v>
      </c>
      <c r="R886" t="s">
        <v>46571</v>
      </c>
      <c r="S886" t="s">
        <v>46687</v>
      </c>
      <c r="T886" t="s">
        <v>48349</v>
      </c>
      <c r="U886" t="s">
        <v>49572</v>
      </c>
      <c r="V886" t="s">
        <v>61725</v>
      </c>
      <c r="W886" t="s">
        <v>43000</v>
      </c>
      <c r="X886" t="s">
        <v>46572</v>
      </c>
    </row>
    <row r="887" spans="1:24">
      <c r="A887">
        <f>HYPERLINK("https://www.philgeps.gov.ph/GEPSNONPILOT/Tender/SplashBidNoticeAbstractUI.aspx?menuIndex=3&amp;refID=7065484&amp;Result=3","7065484")</f>
        <v>0</v>
      </c>
      <c r="B887" t="s">
        <v>425</v>
      </c>
      <c r="C887" t="s">
        <v>4396</v>
      </c>
      <c r="D887" t="s">
        <v>18784</v>
      </c>
      <c r="E887" t="s">
        <v>19725</v>
      </c>
      <c r="F887" t="s">
        <v>32664</v>
      </c>
      <c r="G887" t="s">
        <v>32672</v>
      </c>
      <c r="H887" t="s">
        <v>12635</v>
      </c>
      <c r="I887" t="s">
        <v>4205</v>
      </c>
      <c r="J887" t="s">
        <v>32853</v>
      </c>
      <c r="K887" t="s">
        <v>42284</v>
      </c>
      <c r="M887" t="s">
        <v>42996</v>
      </c>
      <c r="N887" t="s">
        <v>46569</v>
      </c>
      <c r="O887" t="s">
        <v>46570</v>
      </c>
      <c r="P887">
        <v>0</v>
      </c>
      <c r="Q887">
        <v>1</v>
      </c>
      <c r="R887" t="s">
        <v>46571</v>
      </c>
      <c r="S887" t="s">
        <v>46687</v>
      </c>
      <c r="T887" t="s">
        <v>48354</v>
      </c>
      <c r="U887" t="s">
        <v>49573</v>
      </c>
      <c r="W887" t="s">
        <v>42996</v>
      </c>
      <c r="X887" t="s">
        <v>46572</v>
      </c>
    </row>
    <row r="888" spans="1:24">
      <c r="A888">
        <f>HYPERLINK("https://www.philgeps.gov.ph/GEPSNONPILOT/Tender/SplashBidNoticeAbstractUI.aspx?menuIndex=3&amp;refID=7065482&amp;Result=3","7065482")</f>
        <v>0</v>
      </c>
      <c r="B888" t="s">
        <v>448</v>
      </c>
      <c r="C888" t="s">
        <v>4397</v>
      </c>
      <c r="D888" t="s">
        <v>18788</v>
      </c>
      <c r="E888" t="s">
        <v>19726</v>
      </c>
      <c r="F888" t="s">
        <v>32664</v>
      </c>
      <c r="G888" t="s">
        <v>32672</v>
      </c>
      <c r="H888" t="s">
        <v>12635</v>
      </c>
      <c r="I888" t="s">
        <v>11464</v>
      </c>
      <c r="J888" t="s">
        <v>32981</v>
      </c>
      <c r="K888" t="s">
        <v>42297</v>
      </c>
      <c r="M888" t="s">
        <v>43021</v>
      </c>
      <c r="N888" t="s">
        <v>46569</v>
      </c>
      <c r="O888" t="s">
        <v>46570</v>
      </c>
      <c r="P888">
        <v>0</v>
      </c>
      <c r="Q888">
        <v>5</v>
      </c>
      <c r="R888" t="s">
        <v>46571</v>
      </c>
      <c r="S888" t="s">
        <v>46687</v>
      </c>
      <c r="T888" t="s">
        <v>48216</v>
      </c>
      <c r="U888" t="s">
        <v>49574</v>
      </c>
      <c r="W888" t="s">
        <v>43021</v>
      </c>
      <c r="X888" t="s">
        <v>46572</v>
      </c>
    </row>
    <row r="889" spans="1:24">
      <c r="A889">
        <f>HYPERLINK("https://www.philgeps.gov.ph/GEPSNONPILOT/Tender/SplashBidNoticeAbstractUI.aspx?menuIndex=3&amp;refID=7065481&amp;Result=3","7065481")</f>
        <v>0</v>
      </c>
      <c r="B889" t="s">
        <v>355</v>
      </c>
      <c r="C889" t="s">
        <v>4398</v>
      </c>
      <c r="D889" t="s">
        <v>18816</v>
      </c>
      <c r="E889" t="s">
        <v>19727</v>
      </c>
      <c r="F889" t="s">
        <v>32664</v>
      </c>
      <c r="G889" t="s">
        <v>32671</v>
      </c>
      <c r="H889" t="s">
        <v>12635</v>
      </c>
      <c r="I889" t="s">
        <v>6223</v>
      </c>
      <c r="J889" t="s">
        <v>33516</v>
      </c>
      <c r="K889" t="s">
        <v>42330</v>
      </c>
      <c r="M889" t="s">
        <v>42924</v>
      </c>
      <c r="N889" t="s">
        <v>46569</v>
      </c>
      <c r="O889" t="s">
        <v>46570</v>
      </c>
      <c r="P889">
        <v>0</v>
      </c>
      <c r="Q889">
        <v>0</v>
      </c>
      <c r="R889" t="s">
        <v>46571</v>
      </c>
      <c r="S889" t="s">
        <v>46687</v>
      </c>
      <c r="T889" t="s">
        <v>48244</v>
      </c>
      <c r="U889" t="s">
        <v>49575</v>
      </c>
      <c r="W889" t="s">
        <v>42924</v>
      </c>
      <c r="X889" t="s">
        <v>46572</v>
      </c>
    </row>
    <row r="890" spans="1:24">
      <c r="A890">
        <f>HYPERLINK("https://www.philgeps.gov.ph/GEPSNONPILOT/Tender/SplashBidNoticeAbstractUI.aspx?menuIndex=3&amp;refID=7065487&amp;Result=3","7065487")</f>
        <v>0</v>
      </c>
      <c r="B890" t="s">
        <v>449</v>
      </c>
      <c r="C890" t="s">
        <v>4399</v>
      </c>
      <c r="D890" t="s">
        <v>18836</v>
      </c>
      <c r="E890" t="s">
        <v>19728</v>
      </c>
      <c r="F890" t="s">
        <v>32664</v>
      </c>
      <c r="G890" t="s">
        <v>32674</v>
      </c>
      <c r="H890" t="s">
        <v>12635</v>
      </c>
      <c r="I890" t="s">
        <v>32694</v>
      </c>
      <c r="J890" t="s">
        <v>33517</v>
      </c>
      <c r="K890" t="s">
        <v>42283</v>
      </c>
      <c r="M890" t="s">
        <v>43022</v>
      </c>
      <c r="N890" t="s">
        <v>46569</v>
      </c>
      <c r="O890" t="s">
        <v>46570</v>
      </c>
      <c r="P890">
        <v>0</v>
      </c>
      <c r="Q890">
        <v>0</v>
      </c>
      <c r="R890" t="s">
        <v>46571</v>
      </c>
      <c r="S890" t="s">
        <v>46687</v>
      </c>
      <c r="T890" t="s">
        <v>48225</v>
      </c>
      <c r="U890" t="s">
        <v>49576</v>
      </c>
      <c r="V890" t="s">
        <v>61726</v>
      </c>
      <c r="W890" t="s">
        <v>63477</v>
      </c>
      <c r="X890" t="s">
        <v>46572</v>
      </c>
    </row>
    <row r="891" spans="1:24">
      <c r="A891">
        <f>HYPERLINK("https://www.philgeps.gov.ph/GEPSNONPILOT/Tender/SplashBidNoticeAbstractUI.aspx?menuIndex=3&amp;refID=7065480&amp;Result=3","7065480")</f>
        <v>0</v>
      </c>
      <c r="B891" t="s">
        <v>432</v>
      </c>
      <c r="C891" t="s">
        <v>4400</v>
      </c>
      <c r="D891" t="s">
        <v>18805</v>
      </c>
      <c r="E891" t="s">
        <v>19729</v>
      </c>
      <c r="F891" t="s">
        <v>32664</v>
      </c>
      <c r="G891" t="s">
        <v>32675</v>
      </c>
      <c r="H891" t="s">
        <v>12635</v>
      </c>
      <c r="I891" t="s">
        <v>8730</v>
      </c>
      <c r="J891" t="s">
        <v>33518</v>
      </c>
      <c r="K891" t="s">
        <v>42298</v>
      </c>
      <c r="M891" t="s">
        <v>43004</v>
      </c>
      <c r="N891" t="s">
        <v>46569</v>
      </c>
      <c r="O891" t="s">
        <v>46570</v>
      </c>
      <c r="P891">
        <v>0</v>
      </c>
      <c r="Q891">
        <v>0</v>
      </c>
      <c r="R891" t="s">
        <v>46571</v>
      </c>
      <c r="S891" t="s">
        <v>46687</v>
      </c>
      <c r="T891" t="s">
        <v>48219</v>
      </c>
      <c r="U891" t="s">
        <v>49577</v>
      </c>
      <c r="W891" t="s">
        <v>43004</v>
      </c>
      <c r="X891" t="s">
        <v>46572</v>
      </c>
    </row>
    <row r="892" spans="1:24">
      <c r="A892">
        <f>HYPERLINK("https://www.philgeps.gov.ph/GEPSNONPILOT/Tender/SplashBidNoticeAbstractUI.aspx?menuIndex=3&amp;refID=7065486&amp;Result=3","7065486")</f>
        <v>0</v>
      </c>
      <c r="B892" t="s">
        <v>178</v>
      </c>
      <c r="C892" t="s">
        <v>4401</v>
      </c>
      <c r="D892" t="s">
        <v>18839</v>
      </c>
      <c r="E892" t="s">
        <v>19730</v>
      </c>
      <c r="F892" t="s">
        <v>32664</v>
      </c>
      <c r="G892" t="s">
        <v>32671</v>
      </c>
      <c r="H892" t="s">
        <v>12635</v>
      </c>
      <c r="I892" t="s">
        <v>5589</v>
      </c>
      <c r="J892" t="s">
        <v>33466</v>
      </c>
      <c r="K892" t="s">
        <v>42281</v>
      </c>
      <c r="M892" t="s">
        <v>42742</v>
      </c>
      <c r="N892" t="s">
        <v>46569</v>
      </c>
      <c r="O892" t="s">
        <v>46570</v>
      </c>
      <c r="P892">
        <v>0</v>
      </c>
      <c r="Q892">
        <v>1</v>
      </c>
      <c r="R892" t="s">
        <v>46571</v>
      </c>
      <c r="S892" t="s">
        <v>46687</v>
      </c>
      <c r="T892" t="s">
        <v>48246</v>
      </c>
      <c r="U892" t="s">
        <v>49578</v>
      </c>
      <c r="V892" t="s">
        <v>61663</v>
      </c>
      <c r="W892" t="s">
        <v>42742</v>
      </c>
      <c r="X892" t="s">
        <v>46572</v>
      </c>
    </row>
    <row r="893" spans="1:24">
      <c r="A893">
        <f>HYPERLINK("https://www.philgeps.gov.ph/GEPSNONPILOT/Tender/SplashBidNoticeAbstractUI.aspx?menuIndex=3&amp;refID=7065519&amp;Result=3","7065519")</f>
        <v>0</v>
      </c>
      <c r="B893" t="s">
        <v>355</v>
      </c>
      <c r="C893" t="s">
        <v>4402</v>
      </c>
      <c r="D893" t="s">
        <v>18816</v>
      </c>
      <c r="E893" t="s">
        <v>19731</v>
      </c>
      <c r="F893" t="s">
        <v>32664</v>
      </c>
      <c r="G893" t="s">
        <v>32671</v>
      </c>
      <c r="H893" t="s">
        <v>12635</v>
      </c>
      <c r="I893" t="s">
        <v>6628</v>
      </c>
      <c r="J893" t="s">
        <v>33519</v>
      </c>
      <c r="K893" t="s">
        <v>42330</v>
      </c>
      <c r="M893" t="s">
        <v>42924</v>
      </c>
      <c r="N893" t="s">
        <v>46569</v>
      </c>
      <c r="O893" t="s">
        <v>46570</v>
      </c>
      <c r="P893">
        <v>0</v>
      </c>
      <c r="Q893">
        <v>1</v>
      </c>
      <c r="R893" t="s">
        <v>46571</v>
      </c>
      <c r="S893" t="s">
        <v>46687</v>
      </c>
      <c r="T893" t="s">
        <v>48244</v>
      </c>
      <c r="U893" t="s">
        <v>49579</v>
      </c>
      <c r="W893" t="s">
        <v>42924</v>
      </c>
      <c r="X893" t="s">
        <v>46572</v>
      </c>
    </row>
    <row r="894" spans="1:24">
      <c r="A894">
        <f>HYPERLINK("https://www.philgeps.gov.ph/GEPSNONPILOT/Tender/SplashBidNoticeAbstractUI.aspx?menuIndex=3&amp;refID=7065493&amp;Result=3","7065493")</f>
        <v>0</v>
      </c>
      <c r="B894" t="s">
        <v>450</v>
      </c>
      <c r="C894" t="s">
        <v>4403</v>
      </c>
      <c r="D894" t="s">
        <v>18801</v>
      </c>
      <c r="E894" t="s">
        <v>19732</v>
      </c>
      <c r="F894" t="s">
        <v>32664</v>
      </c>
      <c r="G894" t="s">
        <v>32674</v>
      </c>
      <c r="H894" t="s">
        <v>12635</v>
      </c>
      <c r="I894" t="s">
        <v>8730</v>
      </c>
      <c r="J894" t="s">
        <v>33409</v>
      </c>
      <c r="K894" t="s">
        <v>42281</v>
      </c>
      <c r="M894" t="s">
        <v>43023</v>
      </c>
      <c r="N894" t="s">
        <v>46569</v>
      </c>
      <c r="O894" t="s">
        <v>46570</v>
      </c>
      <c r="P894">
        <v>0</v>
      </c>
      <c r="Q894">
        <v>0</v>
      </c>
      <c r="R894" t="s">
        <v>46571</v>
      </c>
      <c r="S894" t="s">
        <v>46687</v>
      </c>
      <c r="T894" t="s">
        <v>48219</v>
      </c>
      <c r="U894" t="s">
        <v>49580</v>
      </c>
      <c r="W894" t="s">
        <v>43023</v>
      </c>
      <c r="X894" t="s">
        <v>46572</v>
      </c>
    </row>
    <row r="895" spans="1:24">
      <c r="A895">
        <f>HYPERLINK("https://www.philgeps.gov.ph/GEPSNONPILOT/Tender/SplashBidNoticeAbstractUI.aspx?menuIndex=3&amp;refID=7065518&amp;Result=3","7065518")</f>
        <v>0</v>
      </c>
      <c r="B895" t="s">
        <v>144</v>
      </c>
      <c r="C895" t="s">
        <v>4404</v>
      </c>
      <c r="D895" t="s">
        <v>18817</v>
      </c>
      <c r="E895" t="s">
        <v>19218</v>
      </c>
      <c r="F895" t="s">
        <v>32664</v>
      </c>
      <c r="G895" t="s">
        <v>32674</v>
      </c>
      <c r="H895" t="s">
        <v>12635</v>
      </c>
      <c r="I895" t="s">
        <v>6168</v>
      </c>
      <c r="J895" t="s">
        <v>33520</v>
      </c>
      <c r="K895" t="s">
        <v>42309</v>
      </c>
      <c r="M895" t="s">
        <v>42708</v>
      </c>
      <c r="N895" t="s">
        <v>46569</v>
      </c>
      <c r="O895" t="s">
        <v>46570</v>
      </c>
      <c r="P895">
        <v>0</v>
      </c>
      <c r="Q895">
        <v>0</v>
      </c>
      <c r="R895" t="s">
        <v>46571</v>
      </c>
      <c r="S895" t="s">
        <v>46687</v>
      </c>
      <c r="T895" t="s">
        <v>48221</v>
      </c>
      <c r="U895" t="s">
        <v>49581</v>
      </c>
      <c r="W895" t="s">
        <v>42708</v>
      </c>
      <c r="X895" t="s">
        <v>46572</v>
      </c>
    </row>
    <row r="896" spans="1:24">
      <c r="A896">
        <f>HYPERLINK("https://www.philgeps.gov.ph/GEPSNONPILOT/Tender/SplashBidNoticeAbstractUI.aspx?menuIndex=3&amp;refID=7065488&amp;Result=3","7065488")</f>
        <v>0</v>
      </c>
      <c r="B896" t="s">
        <v>451</v>
      </c>
      <c r="C896" t="s">
        <v>4405</v>
      </c>
      <c r="D896" t="s">
        <v>18818</v>
      </c>
      <c r="E896" t="s">
        <v>19733</v>
      </c>
      <c r="F896" t="s">
        <v>32664</v>
      </c>
      <c r="G896" t="s">
        <v>32675</v>
      </c>
      <c r="H896" t="s">
        <v>12635</v>
      </c>
      <c r="I896" t="s">
        <v>4205</v>
      </c>
      <c r="J896" t="s">
        <v>33521</v>
      </c>
      <c r="K896" t="s">
        <v>42297</v>
      </c>
      <c r="M896" t="s">
        <v>43024</v>
      </c>
      <c r="N896" t="s">
        <v>46569</v>
      </c>
      <c r="O896" t="s">
        <v>46570</v>
      </c>
      <c r="P896">
        <v>0</v>
      </c>
      <c r="Q896">
        <v>1</v>
      </c>
      <c r="R896" t="s">
        <v>46571</v>
      </c>
      <c r="S896" t="s">
        <v>46687</v>
      </c>
      <c r="T896" t="s">
        <v>48230</v>
      </c>
      <c r="U896" t="s">
        <v>49582</v>
      </c>
      <c r="W896" t="s">
        <v>43024</v>
      </c>
      <c r="X896" t="s">
        <v>46572</v>
      </c>
    </row>
    <row r="897" spans="1:24">
      <c r="A897">
        <f>HYPERLINK("https://www.philgeps.gov.ph/GEPSNONPILOT/Tender/SplashBidNoticeAbstractUI.aspx?menuIndex=3&amp;refID=7065515&amp;Result=3","7065515")</f>
        <v>0</v>
      </c>
      <c r="B897" t="s">
        <v>452</v>
      </c>
      <c r="C897" t="s">
        <v>4406</v>
      </c>
      <c r="D897" t="s">
        <v>18852</v>
      </c>
      <c r="E897" t="s">
        <v>19734</v>
      </c>
      <c r="F897" t="s">
        <v>32664</v>
      </c>
      <c r="G897" t="s">
        <v>32671</v>
      </c>
      <c r="H897" t="s">
        <v>12635</v>
      </c>
      <c r="I897" t="s">
        <v>32703</v>
      </c>
      <c r="J897" t="s">
        <v>33522</v>
      </c>
      <c r="K897" t="s">
        <v>42289</v>
      </c>
      <c r="M897" t="s">
        <v>43025</v>
      </c>
      <c r="N897" t="s">
        <v>46569</v>
      </c>
      <c r="O897" t="s">
        <v>46570</v>
      </c>
      <c r="P897">
        <v>0</v>
      </c>
      <c r="Q897">
        <v>1</v>
      </c>
      <c r="R897" t="s">
        <v>46571</v>
      </c>
      <c r="S897" t="s">
        <v>46687</v>
      </c>
      <c r="T897" t="s">
        <v>48221</v>
      </c>
      <c r="U897" t="s">
        <v>49583</v>
      </c>
      <c r="W897" t="s">
        <v>43025</v>
      </c>
      <c r="X897" t="s">
        <v>46572</v>
      </c>
    </row>
    <row r="898" spans="1:24">
      <c r="A898">
        <f>HYPERLINK("https://www.philgeps.gov.ph/GEPSNONPILOT/Tender/SplashBidNoticeAbstractUI.aspx?menuIndex=3&amp;refID=7065514&amp;Result=3","7065514")</f>
        <v>0</v>
      </c>
      <c r="B898" t="s">
        <v>453</v>
      </c>
      <c r="C898" t="s">
        <v>4407</v>
      </c>
      <c r="D898" t="s">
        <v>18802</v>
      </c>
      <c r="E898" t="s">
        <v>19634</v>
      </c>
      <c r="F898" t="s">
        <v>32664</v>
      </c>
      <c r="G898" t="s">
        <v>32671</v>
      </c>
      <c r="H898" t="s">
        <v>12635</v>
      </c>
      <c r="I898" t="s">
        <v>6223</v>
      </c>
      <c r="J898" t="s">
        <v>33523</v>
      </c>
      <c r="K898" t="s">
        <v>42330</v>
      </c>
      <c r="M898" t="s">
        <v>43026</v>
      </c>
      <c r="N898" t="s">
        <v>46569</v>
      </c>
      <c r="O898" t="s">
        <v>46570</v>
      </c>
      <c r="P898">
        <v>0</v>
      </c>
      <c r="Q898">
        <v>1</v>
      </c>
      <c r="R898" t="s">
        <v>46571</v>
      </c>
      <c r="S898" t="s">
        <v>46687</v>
      </c>
      <c r="T898" t="s">
        <v>48228</v>
      </c>
      <c r="U898" t="s">
        <v>49584</v>
      </c>
      <c r="W898" t="s">
        <v>43026</v>
      </c>
      <c r="X898" t="s">
        <v>46572</v>
      </c>
    </row>
    <row r="899" spans="1:24">
      <c r="A899">
        <f>HYPERLINK("https://www.philgeps.gov.ph/GEPSNONPILOT/Tender/SplashBidNoticeAbstractUI.aspx?menuIndex=3&amp;refID=7065468&amp;Result=3","7065468")</f>
        <v>0</v>
      </c>
      <c r="B899" t="s">
        <v>454</v>
      </c>
      <c r="C899" t="s">
        <v>4408</v>
      </c>
      <c r="D899" t="s">
        <v>18783</v>
      </c>
      <c r="E899" t="s">
        <v>19735</v>
      </c>
      <c r="F899" t="s">
        <v>32664</v>
      </c>
      <c r="G899" t="s">
        <v>32677</v>
      </c>
      <c r="H899" t="s">
        <v>12635</v>
      </c>
      <c r="I899" t="s">
        <v>9486</v>
      </c>
      <c r="J899" t="s">
        <v>33524</v>
      </c>
      <c r="K899" t="s">
        <v>42289</v>
      </c>
      <c r="M899" t="s">
        <v>43027</v>
      </c>
      <c r="N899" t="s">
        <v>46569</v>
      </c>
      <c r="O899" t="s">
        <v>46570</v>
      </c>
      <c r="P899">
        <v>0</v>
      </c>
      <c r="Q899">
        <v>0</v>
      </c>
      <c r="R899" t="s">
        <v>46571</v>
      </c>
      <c r="S899" t="s">
        <v>46687</v>
      </c>
      <c r="T899" t="s">
        <v>48306</v>
      </c>
      <c r="U899" t="s">
        <v>49585</v>
      </c>
      <c r="V899" t="s">
        <v>48990</v>
      </c>
      <c r="W899" t="s">
        <v>43027</v>
      </c>
      <c r="X899" t="s">
        <v>46572</v>
      </c>
    </row>
    <row r="900" spans="1:24">
      <c r="A900">
        <f>HYPERLINK("https://www.philgeps.gov.ph/GEPSNONPILOT/Tender/SplashBidNoticeAbstractUI.aspx?menuIndex=3&amp;refID=7065512&amp;Result=3","7065512")</f>
        <v>0</v>
      </c>
      <c r="B900" t="s">
        <v>158</v>
      </c>
      <c r="C900" t="s">
        <v>4409</v>
      </c>
      <c r="D900" t="s">
        <v>18784</v>
      </c>
      <c r="E900" t="s">
        <v>4409</v>
      </c>
      <c r="F900" t="s">
        <v>32664</v>
      </c>
      <c r="G900" t="s">
        <v>32671</v>
      </c>
      <c r="H900" t="s">
        <v>12635</v>
      </c>
      <c r="I900" t="s">
        <v>32719</v>
      </c>
      <c r="J900" t="s">
        <v>33525</v>
      </c>
      <c r="K900" t="s">
        <v>42298</v>
      </c>
      <c r="M900" t="s">
        <v>42722</v>
      </c>
      <c r="N900" t="s">
        <v>46569</v>
      </c>
      <c r="O900" t="s">
        <v>46570</v>
      </c>
      <c r="P900">
        <v>0</v>
      </c>
      <c r="Q900">
        <v>7</v>
      </c>
      <c r="R900" t="s">
        <v>46571</v>
      </c>
      <c r="S900" t="s">
        <v>46687</v>
      </c>
      <c r="T900" t="s">
        <v>48258</v>
      </c>
      <c r="U900" t="s">
        <v>49586</v>
      </c>
      <c r="W900" t="s">
        <v>42722</v>
      </c>
      <c r="X900" t="s">
        <v>46572</v>
      </c>
    </row>
    <row r="901" spans="1:24">
      <c r="A901">
        <f>HYPERLINK("https://www.philgeps.gov.ph/GEPSNONPILOT/Tender/SplashBidNoticeAbstractUI.aspx?menuIndex=3&amp;refID=7065508&amp;Result=3","7065508")</f>
        <v>0</v>
      </c>
      <c r="B901" t="s">
        <v>355</v>
      </c>
      <c r="C901" t="s">
        <v>4410</v>
      </c>
      <c r="D901" t="s">
        <v>18816</v>
      </c>
      <c r="E901" t="s">
        <v>19736</v>
      </c>
      <c r="F901" t="s">
        <v>32664</v>
      </c>
      <c r="G901" t="s">
        <v>32671</v>
      </c>
      <c r="H901" t="s">
        <v>12635</v>
      </c>
      <c r="I901" t="s">
        <v>4439</v>
      </c>
      <c r="J901" t="s">
        <v>33526</v>
      </c>
      <c r="K901" t="s">
        <v>42330</v>
      </c>
      <c r="M901" t="s">
        <v>42924</v>
      </c>
      <c r="N901" t="s">
        <v>46569</v>
      </c>
      <c r="O901" t="s">
        <v>46570</v>
      </c>
      <c r="P901">
        <v>0</v>
      </c>
      <c r="Q901">
        <v>0</v>
      </c>
      <c r="R901" t="s">
        <v>46571</v>
      </c>
      <c r="S901" t="s">
        <v>46687</v>
      </c>
      <c r="T901" t="s">
        <v>48244</v>
      </c>
      <c r="U901" t="s">
        <v>49587</v>
      </c>
      <c r="W901" t="s">
        <v>42924</v>
      </c>
      <c r="X901" t="s">
        <v>46572</v>
      </c>
    </row>
    <row r="902" spans="1:24">
      <c r="A902">
        <f>HYPERLINK("https://www.philgeps.gov.ph/GEPSNONPILOT/Tender/SplashBidNoticeAbstractUI.aspx?menuIndex=3&amp;refID=7065511&amp;Result=3","7065511")</f>
        <v>0</v>
      </c>
      <c r="B902" t="s">
        <v>455</v>
      </c>
      <c r="C902" t="s">
        <v>4411</v>
      </c>
      <c r="D902" t="s">
        <v>18834</v>
      </c>
      <c r="E902" t="s">
        <v>19737</v>
      </c>
      <c r="F902" t="s">
        <v>32664</v>
      </c>
      <c r="G902" t="s">
        <v>32672</v>
      </c>
      <c r="H902" t="s">
        <v>12635</v>
      </c>
      <c r="I902" t="s">
        <v>5589</v>
      </c>
      <c r="J902" t="s">
        <v>32981</v>
      </c>
      <c r="K902" t="s">
        <v>42281</v>
      </c>
      <c r="M902" t="s">
        <v>43028</v>
      </c>
      <c r="N902" t="s">
        <v>46569</v>
      </c>
      <c r="O902" t="s">
        <v>46570</v>
      </c>
      <c r="P902">
        <v>0</v>
      </c>
      <c r="Q902">
        <v>5</v>
      </c>
      <c r="R902" t="s">
        <v>46571</v>
      </c>
      <c r="S902" t="s">
        <v>46687</v>
      </c>
      <c r="T902" t="s">
        <v>48339</v>
      </c>
      <c r="U902" t="s">
        <v>49588</v>
      </c>
      <c r="W902" t="s">
        <v>43028</v>
      </c>
      <c r="X902" t="s">
        <v>46572</v>
      </c>
    </row>
    <row r="903" spans="1:24">
      <c r="A903">
        <f>HYPERLINK("https://www.philgeps.gov.ph/GEPSNONPILOT/Tender/SplashBidNoticeAbstractUI.aspx?menuIndex=3&amp;refID=7065507&amp;Result=3","7065507")</f>
        <v>0</v>
      </c>
      <c r="B903" t="s">
        <v>456</v>
      </c>
      <c r="C903" t="s">
        <v>4412</v>
      </c>
      <c r="D903" t="s">
        <v>18788</v>
      </c>
      <c r="E903" t="s">
        <v>19738</v>
      </c>
      <c r="F903" t="s">
        <v>32664</v>
      </c>
      <c r="G903" t="s">
        <v>32675</v>
      </c>
      <c r="H903" t="s">
        <v>12635</v>
      </c>
      <c r="I903" t="s">
        <v>6628</v>
      </c>
      <c r="J903" t="s">
        <v>32959</v>
      </c>
      <c r="K903" t="s">
        <v>42289</v>
      </c>
      <c r="M903" t="s">
        <v>43029</v>
      </c>
      <c r="N903" t="s">
        <v>46569</v>
      </c>
      <c r="O903" t="s">
        <v>46570</v>
      </c>
      <c r="P903">
        <v>0</v>
      </c>
      <c r="Q903">
        <v>0</v>
      </c>
      <c r="R903" t="s">
        <v>46571</v>
      </c>
      <c r="S903" t="s">
        <v>46687</v>
      </c>
      <c r="T903" t="s">
        <v>48256</v>
      </c>
      <c r="U903" t="s">
        <v>49589</v>
      </c>
      <c r="W903" t="s">
        <v>43029</v>
      </c>
      <c r="X903" t="s">
        <v>46572</v>
      </c>
    </row>
    <row r="904" spans="1:24">
      <c r="A904">
        <f>HYPERLINK("https://www.philgeps.gov.ph/GEPSNONPILOT/Tender/SplashBidNoticeAbstractUI.aspx?menuIndex=3&amp;refID=7065505&amp;Result=3","7065505")</f>
        <v>0</v>
      </c>
      <c r="B904" t="s">
        <v>194</v>
      </c>
      <c r="C904" t="s">
        <v>4413</v>
      </c>
      <c r="E904" t="s">
        <v>19739</v>
      </c>
      <c r="F904" t="s">
        <v>32664</v>
      </c>
      <c r="G904" t="s">
        <v>32672</v>
      </c>
      <c r="H904" t="s">
        <v>12635</v>
      </c>
      <c r="I904" t="s">
        <v>11464</v>
      </c>
      <c r="J904" t="s">
        <v>33527</v>
      </c>
      <c r="K904" t="s">
        <v>42281</v>
      </c>
      <c r="M904" t="s">
        <v>43016</v>
      </c>
      <c r="N904" t="s">
        <v>46569</v>
      </c>
      <c r="O904" t="s">
        <v>46570</v>
      </c>
      <c r="P904">
        <v>0</v>
      </c>
      <c r="Q904">
        <v>1</v>
      </c>
      <c r="R904" t="s">
        <v>46571</v>
      </c>
      <c r="S904" t="s">
        <v>46687</v>
      </c>
      <c r="T904" t="s">
        <v>48306</v>
      </c>
      <c r="U904" t="s">
        <v>49590</v>
      </c>
      <c r="W904" t="s">
        <v>43016</v>
      </c>
      <c r="X904" t="s">
        <v>46572</v>
      </c>
    </row>
    <row r="905" spans="1:24">
      <c r="A905">
        <f>HYPERLINK("https://www.philgeps.gov.ph/GEPSNONPILOT/Tender/SplashBidNoticeAbstractUI.aspx?menuIndex=3&amp;refID=7065438&amp;Result=3","7065438")</f>
        <v>0</v>
      </c>
      <c r="B905" t="s">
        <v>201</v>
      </c>
      <c r="C905" t="s">
        <v>4414</v>
      </c>
      <c r="D905" t="s">
        <v>18831</v>
      </c>
      <c r="E905" t="s">
        <v>19740</v>
      </c>
      <c r="F905" t="s">
        <v>32664</v>
      </c>
      <c r="G905" t="s">
        <v>32671</v>
      </c>
      <c r="H905" t="s">
        <v>12635</v>
      </c>
      <c r="I905" t="s">
        <v>32706</v>
      </c>
      <c r="J905" t="s">
        <v>32853</v>
      </c>
      <c r="K905" t="s">
        <v>42297</v>
      </c>
      <c r="M905" t="s">
        <v>42765</v>
      </c>
      <c r="N905" t="s">
        <v>46569</v>
      </c>
      <c r="O905" t="s">
        <v>46570</v>
      </c>
      <c r="P905">
        <v>0</v>
      </c>
      <c r="Q905">
        <v>0</v>
      </c>
      <c r="R905" t="s">
        <v>46571</v>
      </c>
      <c r="S905" t="s">
        <v>46687</v>
      </c>
      <c r="T905" t="s">
        <v>48211</v>
      </c>
      <c r="U905" t="s">
        <v>49591</v>
      </c>
      <c r="W905" t="s">
        <v>42765</v>
      </c>
      <c r="X905" t="s">
        <v>46572</v>
      </c>
    </row>
    <row r="906" spans="1:24">
      <c r="A906">
        <f>HYPERLINK("https://www.philgeps.gov.ph/GEPSNONPILOT/Tender/SplashBidNoticeAbstractUI.aspx?menuIndex=3&amp;refID=7065502&amp;Result=3","7065502")</f>
        <v>0</v>
      </c>
      <c r="B906" t="s">
        <v>355</v>
      </c>
      <c r="C906" t="s">
        <v>4415</v>
      </c>
      <c r="D906" t="s">
        <v>18816</v>
      </c>
      <c r="E906" t="s">
        <v>19741</v>
      </c>
      <c r="F906" t="s">
        <v>32664</v>
      </c>
      <c r="G906" t="s">
        <v>32671</v>
      </c>
      <c r="H906" t="s">
        <v>12635</v>
      </c>
      <c r="I906" t="s">
        <v>6223</v>
      </c>
      <c r="J906" t="s">
        <v>33528</v>
      </c>
      <c r="K906" t="s">
        <v>42330</v>
      </c>
      <c r="M906" t="s">
        <v>42924</v>
      </c>
      <c r="N906" t="s">
        <v>46569</v>
      </c>
      <c r="O906" t="s">
        <v>46570</v>
      </c>
      <c r="P906">
        <v>0</v>
      </c>
      <c r="Q906">
        <v>0</v>
      </c>
      <c r="R906" t="s">
        <v>46571</v>
      </c>
      <c r="S906" t="s">
        <v>46687</v>
      </c>
      <c r="T906" t="s">
        <v>48244</v>
      </c>
      <c r="U906" t="s">
        <v>49592</v>
      </c>
      <c r="W906" t="s">
        <v>42924</v>
      </c>
      <c r="X906" t="s">
        <v>46572</v>
      </c>
    </row>
    <row r="907" spans="1:24">
      <c r="A907">
        <f>HYPERLINK("https://www.philgeps.gov.ph/GEPSNONPILOT/Tender/SplashBidNoticeAbstractUI.aspx?menuIndex=3&amp;refID=7065517&amp;Result=3","7065517")</f>
        <v>0</v>
      </c>
      <c r="B907" t="s">
        <v>355</v>
      </c>
      <c r="C907" t="s">
        <v>4416</v>
      </c>
      <c r="D907" t="s">
        <v>18816</v>
      </c>
      <c r="E907" t="s">
        <v>19742</v>
      </c>
      <c r="F907" t="s">
        <v>32664</v>
      </c>
      <c r="G907" t="s">
        <v>32671</v>
      </c>
      <c r="H907" t="s">
        <v>12635</v>
      </c>
      <c r="I907" t="s">
        <v>6628</v>
      </c>
      <c r="J907" t="s">
        <v>33529</v>
      </c>
      <c r="K907" t="s">
        <v>42330</v>
      </c>
      <c r="M907" t="s">
        <v>42924</v>
      </c>
      <c r="N907" t="s">
        <v>46569</v>
      </c>
      <c r="O907" t="s">
        <v>46570</v>
      </c>
      <c r="P907">
        <v>0</v>
      </c>
      <c r="Q907">
        <v>0</v>
      </c>
      <c r="R907" t="s">
        <v>46571</v>
      </c>
      <c r="S907" t="s">
        <v>46687</v>
      </c>
      <c r="T907" t="s">
        <v>48244</v>
      </c>
      <c r="U907" t="s">
        <v>49593</v>
      </c>
      <c r="W907" t="s">
        <v>42924</v>
      </c>
      <c r="X907" t="s">
        <v>46572</v>
      </c>
    </row>
    <row r="908" spans="1:24">
      <c r="A908">
        <f>HYPERLINK("https://www.philgeps.gov.ph/GEPSNONPILOT/Tender/SplashBidNoticeAbstractUI.aspx?menuIndex=3&amp;refID=7065500&amp;Result=3","7065500")</f>
        <v>0</v>
      </c>
      <c r="B908" t="s">
        <v>457</v>
      </c>
      <c r="C908" t="s">
        <v>4417</v>
      </c>
      <c r="D908" t="s">
        <v>18835</v>
      </c>
      <c r="E908" t="s">
        <v>19688</v>
      </c>
      <c r="F908" t="s">
        <v>32664</v>
      </c>
      <c r="G908" t="s">
        <v>32672</v>
      </c>
      <c r="H908" t="s">
        <v>12635</v>
      </c>
      <c r="I908" t="s">
        <v>10361</v>
      </c>
      <c r="J908" t="s">
        <v>33530</v>
      </c>
      <c r="K908" t="s">
        <v>42309</v>
      </c>
      <c r="M908" t="s">
        <v>43030</v>
      </c>
      <c r="N908" t="s">
        <v>46569</v>
      </c>
      <c r="O908" t="s">
        <v>46570</v>
      </c>
      <c r="P908">
        <v>0</v>
      </c>
      <c r="Q908">
        <v>0</v>
      </c>
      <c r="R908" t="s">
        <v>46571</v>
      </c>
      <c r="S908" t="s">
        <v>46687</v>
      </c>
      <c r="T908" t="s">
        <v>48230</v>
      </c>
      <c r="U908" t="s">
        <v>49594</v>
      </c>
      <c r="V908" t="s">
        <v>61727</v>
      </c>
      <c r="W908" t="s">
        <v>43030</v>
      </c>
      <c r="X908" t="s">
        <v>46572</v>
      </c>
    </row>
    <row r="909" spans="1:24">
      <c r="A909">
        <f>HYPERLINK("https://www.philgeps.gov.ph/GEPSNONPILOT/Tender/SplashBidNoticeAbstractUI.aspx?menuIndex=3&amp;refID=7065498&amp;Result=3","7065498")</f>
        <v>0</v>
      </c>
      <c r="B909" t="s">
        <v>183</v>
      </c>
      <c r="C909" t="s">
        <v>4418</v>
      </c>
      <c r="D909" t="s">
        <v>18806</v>
      </c>
      <c r="E909" t="s">
        <v>19743</v>
      </c>
      <c r="F909" t="s">
        <v>32664</v>
      </c>
      <c r="G909" t="s">
        <v>32671</v>
      </c>
      <c r="H909" t="s">
        <v>12635</v>
      </c>
      <c r="I909" t="s">
        <v>6223</v>
      </c>
      <c r="J909" t="s">
        <v>32898</v>
      </c>
      <c r="K909" t="s">
        <v>42281</v>
      </c>
      <c r="M909" t="s">
        <v>42747</v>
      </c>
      <c r="N909" t="s">
        <v>46569</v>
      </c>
      <c r="O909" t="s">
        <v>46570</v>
      </c>
      <c r="P909">
        <v>0</v>
      </c>
      <c r="Q909">
        <v>1</v>
      </c>
      <c r="R909" t="s">
        <v>46571</v>
      </c>
      <c r="S909" t="s">
        <v>46687</v>
      </c>
      <c r="T909" t="s">
        <v>48293</v>
      </c>
      <c r="U909" t="s">
        <v>49595</v>
      </c>
      <c r="W909" t="s">
        <v>42747</v>
      </c>
      <c r="X909" t="s">
        <v>46572</v>
      </c>
    </row>
    <row r="910" spans="1:24">
      <c r="A910">
        <f>HYPERLINK("https://www.philgeps.gov.ph/GEPSNONPILOT/Tender/SplashBidNoticeAbstractUI.aspx?menuIndex=3&amp;refID=7065497&amp;Result=3","7065497")</f>
        <v>0</v>
      </c>
      <c r="B910" t="s">
        <v>458</v>
      </c>
      <c r="C910" t="s">
        <v>4419</v>
      </c>
      <c r="D910" t="s">
        <v>18833</v>
      </c>
      <c r="E910" t="s">
        <v>19744</v>
      </c>
      <c r="F910" t="s">
        <v>32664</v>
      </c>
      <c r="G910" t="s">
        <v>32672</v>
      </c>
      <c r="H910" t="s">
        <v>12635</v>
      </c>
      <c r="I910" t="s">
        <v>32708</v>
      </c>
      <c r="J910" t="s">
        <v>33531</v>
      </c>
      <c r="K910" t="s">
        <v>42289</v>
      </c>
      <c r="M910" t="s">
        <v>43031</v>
      </c>
      <c r="N910" t="s">
        <v>46569</v>
      </c>
      <c r="O910" t="s">
        <v>46570</v>
      </c>
      <c r="P910">
        <v>0</v>
      </c>
      <c r="Q910">
        <v>1</v>
      </c>
      <c r="R910" t="s">
        <v>46571</v>
      </c>
      <c r="S910" t="s">
        <v>46687</v>
      </c>
      <c r="T910" t="s">
        <v>48270</v>
      </c>
      <c r="U910" t="s">
        <v>49596</v>
      </c>
      <c r="W910" t="s">
        <v>43031</v>
      </c>
      <c r="X910" t="s">
        <v>46572</v>
      </c>
    </row>
    <row r="911" spans="1:24">
      <c r="A911">
        <f>HYPERLINK("https://www.philgeps.gov.ph/GEPSNONPILOT/Tender/SplashBidNoticeAbstractUI.aspx?menuIndex=3&amp;refID=7065503&amp;Result=3","7065503")</f>
        <v>0</v>
      </c>
      <c r="B911" t="s">
        <v>418</v>
      </c>
      <c r="C911" t="s">
        <v>4420</v>
      </c>
      <c r="D911" t="s">
        <v>18784</v>
      </c>
      <c r="E911" t="s">
        <v>19745</v>
      </c>
      <c r="F911" t="s">
        <v>32664</v>
      </c>
      <c r="G911" t="s">
        <v>32672</v>
      </c>
      <c r="H911" t="s">
        <v>12635</v>
      </c>
      <c r="I911" t="s">
        <v>6168</v>
      </c>
      <c r="J911" t="s">
        <v>32859</v>
      </c>
      <c r="K911" t="s">
        <v>42289</v>
      </c>
      <c r="M911" t="s">
        <v>42989</v>
      </c>
      <c r="N911" t="s">
        <v>46569</v>
      </c>
      <c r="O911" t="s">
        <v>46570</v>
      </c>
      <c r="P911">
        <v>0</v>
      </c>
      <c r="Q911">
        <v>0</v>
      </c>
      <c r="R911" t="s">
        <v>46571</v>
      </c>
      <c r="S911" t="s">
        <v>46687</v>
      </c>
      <c r="T911" t="s">
        <v>48226</v>
      </c>
      <c r="U911" t="s">
        <v>49404</v>
      </c>
      <c r="W911" t="s">
        <v>42989</v>
      </c>
      <c r="X911" t="s">
        <v>46572</v>
      </c>
    </row>
    <row r="912" spans="1:24">
      <c r="A912">
        <f>HYPERLINK("https://www.philgeps.gov.ph/GEPSNONPILOT/Tender/SplashBidNoticeAbstractUI.aspx?menuIndex=3&amp;refID=7065540&amp;Result=3","7065540")</f>
        <v>0</v>
      </c>
      <c r="B912" t="s">
        <v>418</v>
      </c>
      <c r="C912" t="s">
        <v>4421</v>
      </c>
      <c r="D912" t="s">
        <v>18784</v>
      </c>
      <c r="E912" t="s">
        <v>19746</v>
      </c>
      <c r="F912" t="s">
        <v>32664</v>
      </c>
      <c r="G912" t="s">
        <v>32672</v>
      </c>
      <c r="H912" t="s">
        <v>12635</v>
      </c>
      <c r="I912" t="s">
        <v>6168</v>
      </c>
      <c r="J912" t="s">
        <v>33532</v>
      </c>
      <c r="K912" t="s">
        <v>42289</v>
      </c>
      <c r="M912" t="s">
        <v>42989</v>
      </c>
      <c r="N912" t="s">
        <v>46569</v>
      </c>
      <c r="O912" t="s">
        <v>46570</v>
      </c>
      <c r="P912">
        <v>0</v>
      </c>
      <c r="Q912">
        <v>0</v>
      </c>
      <c r="R912" t="s">
        <v>46571</v>
      </c>
      <c r="S912" t="s">
        <v>46687</v>
      </c>
      <c r="T912" t="s">
        <v>48226</v>
      </c>
      <c r="U912" t="s">
        <v>49404</v>
      </c>
      <c r="W912" t="s">
        <v>42989</v>
      </c>
      <c r="X912" t="s">
        <v>46572</v>
      </c>
    </row>
    <row r="913" spans="1:24">
      <c r="A913">
        <f>HYPERLINK("https://www.philgeps.gov.ph/GEPSNONPILOT/Tender/SplashBidNoticeAbstractUI.aspx?menuIndex=3&amp;refID=7065538&amp;Result=3","7065538")</f>
        <v>0</v>
      </c>
      <c r="B913" t="s">
        <v>190</v>
      </c>
      <c r="C913" t="s">
        <v>4422</v>
      </c>
      <c r="D913" t="s">
        <v>18807</v>
      </c>
      <c r="E913" t="s">
        <v>19747</v>
      </c>
      <c r="F913" t="s">
        <v>32664</v>
      </c>
      <c r="G913" t="s">
        <v>32671</v>
      </c>
      <c r="H913" t="s">
        <v>12635</v>
      </c>
      <c r="I913" t="s">
        <v>4439</v>
      </c>
      <c r="J913" t="s">
        <v>33533</v>
      </c>
      <c r="K913" t="s">
        <v>42281</v>
      </c>
      <c r="M913" t="s">
        <v>42754</v>
      </c>
      <c r="N913" t="s">
        <v>46569</v>
      </c>
      <c r="O913" t="s">
        <v>46570</v>
      </c>
      <c r="P913">
        <v>0</v>
      </c>
      <c r="Q913">
        <v>0</v>
      </c>
      <c r="R913" t="s">
        <v>46571</v>
      </c>
      <c r="S913" t="s">
        <v>46687</v>
      </c>
      <c r="T913" t="s">
        <v>48297</v>
      </c>
      <c r="U913" t="s">
        <v>49597</v>
      </c>
      <c r="W913" t="s">
        <v>42754</v>
      </c>
      <c r="X913" t="s">
        <v>46572</v>
      </c>
    </row>
    <row r="914" spans="1:24">
      <c r="A914">
        <f>HYPERLINK("https://www.philgeps.gov.ph/GEPSNONPILOT/Tender/SplashBidNoticeAbstractUI.aspx?menuIndex=3&amp;refID=7065501&amp;Result=3","7065501")</f>
        <v>0</v>
      </c>
      <c r="B914" t="s">
        <v>459</v>
      </c>
      <c r="C914" t="s">
        <v>4423</v>
      </c>
      <c r="D914" t="s">
        <v>18857</v>
      </c>
      <c r="E914" t="s">
        <v>19748</v>
      </c>
      <c r="F914" t="s">
        <v>32664</v>
      </c>
      <c r="G914" t="s">
        <v>32672</v>
      </c>
      <c r="H914" t="s">
        <v>12635</v>
      </c>
      <c r="I914" t="s">
        <v>8797</v>
      </c>
      <c r="J914" t="s">
        <v>33534</v>
      </c>
      <c r="K914" t="s">
        <v>42289</v>
      </c>
      <c r="M914" t="s">
        <v>43032</v>
      </c>
      <c r="N914" t="s">
        <v>46569</v>
      </c>
      <c r="O914" t="s">
        <v>46570</v>
      </c>
      <c r="P914">
        <v>0</v>
      </c>
      <c r="Q914">
        <v>0</v>
      </c>
      <c r="R914" t="s">
        <v>46571</v>
      </c>
      <c r="S914" t="s">
        <v>46687</v>
      </c>
      <c r="T914" t="s">
        <v>48238</v>
      </c>
      <c r="U914" t="s">
        <v>49598</v>
      </c>
      <c r="W914" t="s">
        <v>43032</v>
      </c>
      <c r="X914" t="s">
        <v>46572</v>
      </c>
    </row>
    <row r="915" spans="1:24">
      <c r="A915">
        <f>HYPERLINK("https://www.philgeps.gov.ph/GEPSNONPILOT/Tender/SplashBidNoticeAbstractUI.aspx?menuIndex=3&amp;refID=7065446&amp;Result=3","7065446")</f>
        <v>0</v>
      </c>
      <c r="B915" t="s">
        <v>394</v>
      </c>
      <c r="C915" t="s">
        <v>4424</v>
      </c>
      <c r="D915" t="s">
        <v>18826</v>
      </c>
      <c r="E915" t="s">
        <v>19749</v>
      </c>
      <c r="F915" t="s">
        <v>32664</v>
      </c>
      <c r="G915" t="s">
        <v>32671</v>
      </c>
      <c r="H915" t="s">
        <v>12635</v>
      </c>
      <c r="I915" t="s">
        <v>32701</v>
      </c>
      <c r="J915" t="s">
        <v>32859</v>
      </c>
      <c r="K915" t="s">
        <v>42289</v>
      </c>
      <c r="M915" t="s">
        <v>42964</v>
      </c>
      <c r="N915" t="s">
        <v>46569</v>
      </c>
      <c r="O915" t="s">
        <v>46570</v>
      </c>
      <c r="P915">
        <v>0</v>
      </c>
      <c r="Q915">
        <v>1</v>
      </c>
      <c r="R915" t="s">
        <v>46571</v>
      </c>
      <c r="S915" t="s">
        <v>46687</v>
      </c>
      <c r="T915" t="s">
        <v>48291</v>
      </c>
      <c r="U915" t="s">
        <v>49599</v>
      </c>
      <c r="W915" t="s">
        <v>42964</v>
      </c>
      <c r="X915" t="s">
        <v>46572</v>
      </c>
    </row>
    <row r="916" spans="1:24">
      <c r="A916">
        <f>HYPERLINK("https://www.philgeps.gov.ph/GEPSNONPILOT/Tender/SplashBidNoticeAbstractUI.aspx?menuIndex=3&amp;refID=7065516&amp;Result=3","7065516")</f>
        <v>0</v>
      </c>
      <c r="B916" t="s">
        <v>460</v>
      </c>
      <c r="C916" t="s">
        <v>4425</v>
      </c>
      <c r="D916" t="s">
        <v>18806</v>
      </c>
      <c r="E916" t="s">
        <v>19750</v>
      </c>
      <c r="F916" t="s">
        <v>32664</v>
      </c>
      <c r="G916" t="s">
        <v>32671</v>
      </c>
      <c r="H916" t="s">
        <v>12635</v>
      </c>
      <c r="I916" t="s">
        <v>32694</v>
      </c>
      <c r="J916" t="s">
        <v>33535</v>
      </c>
      <c r="K916" t="s">
        <v>42330</v>
      </c>
      <c r="M916" t="s">
        <v>43033</v>
      </c>
      <c r="N916" t="s">
        <v>46569</v>
      </c>
      <c r="O916" t="s">
        <v>46570</v>
      </c>
      <c r="P916">
        <v>0</v>
      </c>
      <c r="Q916">
        <v>0</v>
      </c>
      <c r="R916" t="s">
        <v>46571</v>
      </c>
      <c r="S916" t="s">
        <v>46687</v>
      </c>
      <c r="T916" t="s">
        <v>48228</v>
      </c>
      <c r="U916" t="s">
        <v>49600</v>
      </c>
      <c r="V916" t="s">
        <v>61728</v>
      </c>
      <c r="W916" t="s">
        <v>43033</v>
      </c>
      <c r="X916" t="s">
        <v>46572</v>
      </c>
    </row>
    <row r="917" spans="1:24">
      <c r="A917">
        <f>HYPERLINK("https://www.philgeps.gov.ph/GEPSNONPILOT/Tender/SplashBidNoticeAbstractUI.aspx?menuIndex=3&amp;refID=7065504&amp;Result=3","7065504")</f>
        <v>0</v>
      </c>
      <c r="B917" t="s">
        <v>407</v>
      </c>
      <c r="C917" t="s">
        <v>4426</v>
      </c>
      <c r="D917" t="s">
        <v>18830</v>
      </c>
      <c r="E917" t="s">
        <v>19751</v>
      </c>
      <c r="F917" t="s">
        <v>32664</v>
      </c>
      <c r="G917" t="s">
        <v>32672</v>
      </c>
      <c r="H917" t="s">
        <v>32683</v>
      </c>
      <c r="I917" t="s">
        <v>10627</v>
      </c>
      <c r="J917" t="s">
        <v>33536</v>
      </c>
      <c r="K917" t="s">
        <v>42333</v>
      </c>
      <c r="M917" t="s">
        <v>42977</v>
      </c>
      <c r="N917" t="s">
        <v>46569</v>
      </c>
      <c r="O917" t="s">
        <v>46570</v>
      </c>
      <c r="P917">
        <v>0</v>
      </c>
      <c r="Q917">
        <v>1</v>
      </c>
      <c r="R917" t="s">
        <v>46571</v>
      </c>
      <c r="S917" t="s">
        <v>46687</v>
      </c>
      <c r="T917" t="s">
        <v>48220</v>
      </c>
      <c r="U917" t="s">
        <v>49601</v>
      </c>
      <c r="V917" t="s">
        <v>61729</v>
      </c>
      <c r="W917" t="s">
        <v>42977</v>
      </c>
      <c r="X917" t="s">
        <v>46572</v>
      </c>
    </row>
    <row r="918" spans="1:24">
      <c r="A918">
        <f>HYPERLINK("https://www.philgeps.gov.ph/GEPSNONPILOT/Tender/SplashBidNoticeAbstractUI.aspx?menuIndex=3&amp;refID=7065513&amp;Result=3","7065513")</f>
        <v>0</v>
      </c>
      <c r="B918" t="s">
        <v>444</v>
      </c>
      <c r="C918" t="s">
        <v>4427</v>
      </c>
      <c r="D918" t="s">
        <v>18843</v>
      </c>
      <c r="E918" t="s">
        <v>19752</v>
      </c>
      <c r="F918" t="s">
        <v>32664</v>
      </c>
      <c r="G918" t="s">
        <v>32671</v>
      </c>
      <c r="H918" t="s">
        <v>12635</v>
      </c>
      <c r="I918" t="s">
        <v>10361</v>
      </c>
      <c r="J918" t="s">
        <v>33537</v>
      </c>
      <c r="K918" t="s">
        <v>42283</v>
      </c>
      <c r="M918" t="s">
        <v>43017</v>
      </c>
      <c r="N918" t="s">
        <v>46569</v>
      </c>
      <c r="O918" t="s">
        <v>46570</v>
      </c>
      <c r="P918">
        <v>0</v>
      </c>
      <c r="Q918">
        <v>0</v>
      </c>
      <c r="R918" t="s">
        <v>46571</v>
      </c>
      <c r="S918" t="s">
        <v>46687</v>
      </c>
      <c r="T918" t="s">
        <v>48297</v>
      </c>
      <c r="U918" t="s">
        <v>49565</v>
      </c>
      <c r="W918" t="s">
        <v>43017</v>
      </c>
      <c r="X918" t="s">
        <v>46572</v>
      </c>
    </row>
    <row r="919" spans="1:24">
      <c r="A919">
        <f>HYPERLINK("https://www.philgeps.gov.ph/GEPSNONPILOT/Tender/SplashBidNoticeAbstractUI.aspx?menuIndex=3&amp;refID=7065533&amp;Result=3","7065533")</f>
        <v>0</v>
      </c>
      <c r="B919" t="s">
        <v>418</v>
      </c>
      <c r="C919" t="s">
        <v>4428</v>
      </c>
      <c r="D919" t="s">
        <v>18784</v>
      </c>
      <c r="E919" t="s">
        <v>19753</v>
      </c>
      <c r="F919" t="s">
        <v>32664</v>
      </c>
      <c r="G919" t="s">
        <v>32672</v>
      </c>
      <c r="H919" t="s">
        <v>12635</v>
      </c>
      <c r="I919" t="s">
        <v>6168</v>
      </c>
      <c r="J919" t="s">
        <v>33538</v>
      </c>
      <c r="K919" t="s">
        <v>42289</v>
      </c>
      <c r="M919" t="s">
        <v>42989</v>
      </c>
      <c r="N919" t="s">
        <v>46569</v>
      </c>
      <c r="O919" t="s">
        <v>46570</v>
      </c>
      <c r="P919">
        <v>0</v>
      </c>
      <c r="Q919">
        <v>0</v>
      </c>
      <c r="R919" t="s">
        <v>46571</v>
      </c>
      <c r="S919" t="s">
        <v>46687</v>
      </c>
      <c r="T919" t="s">
        <v>48226</v>
      </c>
      <c r="U919" t="s">
        <v>49404</v>
      </c>
      <c r="W919" t="s">
        <v>42989</v>
      </c>
      <c r="X919" t="s">
        <v>46572</v>
      </c>
    </row>
    <row r="920" spans="1:24">
      <c r="A920">
        <f>HYPERLINK("https://www.philgeps.gov.ph/GEPSNONPILOT/Tender/SplashBidNoticeAbstractUI.aspx?menuIndex=3&amp;refID=7065532&amp;Result=3","7065532")</f>
        <v>0</v>
      </c>
      <c r="B920" t="s">
        <v>461</v>
      </c>
      <c r="C920" t="s">
        <v>4429</v>
      </c>
      <c r="D920" t="s">
        <v>18846</v>
      </c>
      <c r="E920" t="s">
        <v>19754</v>
      </c>
      <c r="F920" t="s">
        <v>32664</v>
      </c>
      <c r="G920" t="s">
        <v>32671</v>
      </c>
      <c r="H920" t="s">
        <v>12635</v>
      </c>
      <c r="I920" t="s">
        <v>32744</v>
      </c>
      <c r="J920" t="s">
        <v>32865</v>
      </c>
      <c r="K920" t="s">
        <v>42297</v>
      </c>
      <c r="M920" t="s">
        <v>43034</v>
      </c>
      <c r="N920" t="s">
        <v>46569</v>
      </c>
      <c r="O920" t="s">
        <v>46570</v>
      </c>
      <c r="P920">
        <v>0</v>
      </c>
      <c r="Q920">
        <v>3</v>
      </c>
      <c r="R920" t="s">
        <v>46571</v>
      </c>
      <c r="S920" t="s">
        <v>46687</v>
      </c>
      <c r="T920" t="s">
        <v>48314</v>
      </c>
      <c r="U920" t="s">
        <v>49602</v>
      </c>
      <c r="W920" t="s">
        <v>43034</v>
      </c>
      <c r="X920" t="s">
        <v>46572</v>
      </c>
    </row>
    <row r="921" spans="1:24">
      <c r="A921">
        <f>HYPERLINK("https://www.philgeps.gov.ph/GEPSNONPILOT/Tender/SplashBidNoticeAbstractUI.aspx?menuIndex=3&amp;refID=7065537&amp;Result=3","7065537")</f>
        <v>0</v>
      </c>
      <c r="B921" t="s">
        <v>418</v>
      </c>
      <c r="C921" t="s">
        <v>4430</v>
      </c>
      <c r="D921" t="s">
        <v>18784</v>
      </c>
      <c r="E921" t="s">
        <v>19755</v>
      </c>
      <c r="F921" t="s">
        <v>32664</v>
      </c>
      <c r="G921" t="s">
        <v>32672</v>
      </c>
      <c r="H921" t="s">
        <v>12635</v>
      </c>
      <c r="I921" t="s">
        <v>6168</v>
      </c>
      <c r="J921" t="s">
        <v>33539</v>
      </c>
      <c r="K921" t="s">
        <v>42289</v>
      </c>
      <c r="M921" t="s">
        <v>42989</v>
      </c>
      <c r="N921" t="s">
        <v>46569</v>
      </c>
      <c r="O921" t="s">
        <v>46570</v>
      </c>
      <c r="P921">
        <v>0</v>
      </c>
      <c r="Q921">
        <v>0</v>
      </c>
      <c r="R921" t="s">
        <v>46571</v>
      </c>
      <c r="S921" t="s">
        <v>46687</v>
      </c>
      <c r="T921" t="s">
        <v>48226</v>
      </c>
      <c r="U921" t="s">
        <v>49404</v>
      </c>
      <c r="W921" t="s">
        <v>42989</v>
      </c>
      <c r="X921" t="s">
        <v>46572</v>
      </c>
    </row>
    <row r="922" spans="1:24">
      <c r="A922">
        <f>HYPERLINK("https://www.philgeps.gov.ph/GEPSNONPILOT/Tender/SplashBidNoticeAbstractUI.aspx?menuIndex=3&amp;refID=7065528&amp;Result=3","7065528")</f>
        <v>0</v>
      </c>
      <c r="B922" t="s">
        <v>355</v>
      </c>
      <c r="C922" t="s">
        <v>4431</v>
      </c>
      <c r="D922" t="s">
        <v>18816</v>
      </c>
      <c r="E922" t="s">
        <v>19756</v>
      </c>
      <c r="F922" t="s">
        <v>32664</v>
      </c>
      <c r="G922" t="s">
        <v>32671</v>
      </c>
      <c r="H922" t="s">
        <v>12635</v>
      </c>
      <c r="I922" t="s">
        <v>6628</v>
      </c>
      <c r="J922" t="s">
        <v>33540</v>
      </c>
      <c r="K922" t="s">
        <v>42330</v>
      </c>
      <c r="M922" t="s">
        <v>42924</v>
      </c>
      <c r="N922" t="s">
        <v>46569</v>
      </c>
      <c r="O922" t="s">
        <v>46570</v>
      </c>
      <c r="P922">
        <v>0</v>
      </c>
      <c r="Q922">
        <v>0</v>
      </c>
      <c r="R922" t="s">
        <v>46571</v>
      </c>
      <c r="S922" t="s">
        <v>46687</v>
      </c>
      <c r="T922" t="s">
        <v>48244</v>
      </c>
      <c r="U922" t="s">
        <v>49603</v>
      </c>
      <c r="W922" t="s">
        <v>42924</v>
      </c>
      <c r="X922" t="s">
        <v>46572</v>
      </c>
    </row>
    <row r="923" spans="1:24">
      <c r="A923">
        <f>HYPERLINK("https://www.philgeps.gov.ph/GEPSNONPILOT/Tender/SplashBidNoticeAbstractUI.aspx?menuIndex=3&amp;refID=7065529&amp;Result=3","7065529")</f>
        <v>0</v>
      </c>
      <c r="B923" t="s">
        <v>460</v>
      </c>
      <c r="C923" t="s">
        <v>4432</v>
      </c>
      <c r="D923" t="s">
        <v>18806</v>
      </c>
      <c r="E923" t="s">
        <v>19757</v>
      </c>
      <c r="F923" t="s">
        <v>32664</v>
      </c>
      <c r="G923" t="s">
        <v>32671</v>
      </c>
      <c r="H923" t="s">
        <v>12635</v>
      </c>
      <c r="I923" t="s">
        <v>4333</v>
      </c>
      <c r="J923" t="s">
        <v>33541</v>
      </c>
      <c r="K923" t="s">
        <v>42330</v>
      </c>
      <c r="M923" t="s">
        <v>43035</v>
      </c>
      <c r="N923" t="s">
        <v>46569</v>
      </c>
      <c r="O923" t="s">
        <v>46570</v>
      </c>
      <c r="P923">
        <v>0</v>
      </c>
      <c r="Q923">
        <v>0</v>
      </c>
      <c r="R923" t="s">
        <v>46571</v>
      </c>
      <c r="S923" t="s">
        <v>46687</v>
      </c>
      <c r="T923" t="s">
        <v>48228</v>
      </c>
      <c r="U923" t="s">
        <v>49604</v>
      </c>
      <c r="V923" t="s">
        <v>61728</v>
      </c>
      <c r="W923" t="s">
        <v>43035</v>
      </c>
      <c r="X923" t="s">
        <v>46572</v>
      </c>
    </row>
    <row r="924" spans="1:24">
      <c r="A924">
        <f>HYPERLINK("https://www.philgeps.gov.ph/GEPSNONPILOT/Tender/SplashBidNoticeAbstractUI.aspx?menuIndex=3&amp;refID=7065527&amp;Result=3","7065527")</f>
        <v>0</v>
      </c>
      <c r="B924" t="s">
        <v>144</v>
      </c>
      <c r="C924" t="s">
        <v>4433</v>
      </c>
      <c r="D924" t="s">
        <v>18817</v>
      </c>
      <c r="E924" t="s">
        <v>19758</v>
      </c>
      <c r="F924" t="s">
        <v>32664</v>
      </c>
      <c r="G924" t="s">
        <v>32674</v>
      </c>
      <c r="H924" t="s">
        <v>12635</v>
      </c>
      <c r="I924" t="s">
        <v>5589</v>
      </c>
      <c r="J924" t="s">
        <v>33542</v>
      </c>
      <c r="K924" t="s">
        <v>42309</v>
      </c>
      <c r="M924" t="s">
        <v>42708</v>
      </c>
      <c r="N924" t="s">
        <v>46569</v>
      </c>
      <c r="O924" t="s">
        <v>46570</v>
      </c>
      <c r="P924">
        <v>0</v>
      </c>
      <c r="Q924">
        <v>0</v>
      </c>
      <c r="R924" t="s">
        <v>46571</v>
      </c>
      <c r="S924" t="s">
        <v>46687</v>
      </c>
      <c r="T924" t="s">
        <v>48305</v>
      </c>
      <c r="U924" t="s">
        <v>49605</v>
      </c>
      <c r="W924" t="s">
        <v>42708</v>
      </c>
      <c r="X924" t="s">
        <v>46572</v>
      </c>
    </row>
    <row r="925" spans="1:24">
      <c r="A925">
        <f>HYPERLINK("https://www.philgeps.gov.ph/GEPSNONPILOT/Tender/SplashBidNoticeAbstractUI.aspx?menuIndex=3&amp;refID=7065526&amp;Result=3","7065526")</f>
        <v>0</v>
      </c>
      <c r="B925" t="s">
        <v>355</v>
      </c>
      <c r="C925" t="s">
        <v>4434</v>
      </c>
      <c r="D925" t="s">
        <v>18816</v>
      </c>
      <c r="E925" t="s">
        <v>19759</v>
      </c>
      <c r="F925" t="s">
        <v>32664</v>
      </c>
      <c r="G925" t="s">
        <v>32671</v>
      </c>
      <c r="H925" t="s">
        <v>12635</v>
      </c>
      <c r="I925" t="s">
        <v>4439</v>
      </c>
      <c r="J925" t="s">
        <v>33543</v>
      </c>
      <c r="K925" t="s">
        <v>42330</v>
      </c>
      <c r="M925" t="s">
        <v>42924</v>
      </c>
      <c r="N925" t="s">
        <v>46569</v>
      </c>
      <c r="O925" t="s">
        <v>46570</v>
      </c>
      <c r="P925">
        <v>0</v>
      </c>
      <c r="Q925">
        <v>0</v>
      </c>
      <c r="R925" t="s">
        <v>46571</v>
      </c>
      <c r="S925" t="s">
        <v>46687</v>
      </c>
      <c r="T925" t="s">
        <v>48244</v>
      </c>
      <c r="U925" t="s">
        <v>49606</v>
      </c>
      <c r="W925" t="s">
        <v>42924</v>
      </c>
      <c r="X925" t="s">
        <v>46572</v>
      </c>
    </row>
    <row r="926" spans="1:24">
      <c r="A926">
        <f>HYPERLINK("https://www.philgeps.gov.ph/GEPSNONPILOT/Tender/SplashBidNoticeAbstractUI.aspx?menuIndex=3&amp;refID=7065524&amp;Result=3","7065524")</f>
        <v>0</v>
      </c>
      <c r="B926" t="s">
        <v>158</v>
      </c>
      <c r="C926" t="s">
        <v>4435</v>
      </c>
      <c r="D926" t="s">
        <v>18784</v>
      </c>
      <c r="E926" t="s">
        <v>4435</v>
      </c>
      <c r="F926" t="s">
        <v>32664</v>
      </c>
      <c r="G926" t="s">
        <v>32671</v>
      </c>
      <c r="H926" t="s">
        <v>12635</v>
      </c>
      <c r="I926" t="s">
        <v>6168</v>
      </c>
      <c r="J926" t="s">
        <v>33544</v>
      </c>
      <c r="K926" t="s">
        <v>42298</v>
      </c>
      <c r="M926" t="s">
        <v>43036</v>
      </c>
      <c r="N926" t="s">
        <v>46569</v>
      </c>
      <c r="O926" t="s">
        <v>46570</v>
      </c>
      <c r="P926">
        <v>0</v>
      </c>
      <c r="Q926">
        <v>1</v>
      </c>
      <c r="R926" t="s">
        <v>46571</v>
      </c>
      <c r="S926" t="s">
        <v>46687</v>
      </c>
      <c r="T926" t="s">
        <v>48258</v>
      </c>
      <c r="U926" t="s">
        <v>49607</v>
      </c>
      <c r="W926" t="s">
        <v>42722</v>
      </c>
      <c r="X926" t="s">
        <v>46572</v>
      </c>
    </row>
    <row r="927" spans="1:24">
      <c r="A927">
        <f>HYPERLINK("https://www.philgeps.gov.ph/GEPSNONPILOT/Tender/SplashBidNoticeAbstractUI.aspx?menuIndex=3&amp;refID=7065534&amp;Result=3","7065534")</f>
        <v>0</v>
      </c>
      <c r="B927" t="s">
        <v>355</v>
      </c>
      <c r="C927" t="s">
        <v>4436</v>
      </c>
      <c r="D927" t="s">
        <v>18816</v>
      </c>
      <c r="E927" t="s">
        <v>19760</v>
      </c>
      <c r="F927" t="s">
        <v>32664</v>
      </c>
      <c r="G927" t="s">
        <v>32671</v>
      </c>
      <c r="H927" t="s">
        <v>12635</v>
      </c>
      <c r="I927" t="s">
        <v>32685</v>
      </c>
      <c r="J927" t="s">
        <v>33545</v>
      </c>
      <c r="K927" t="s">
        <v>42330</v>
      </c>
      <c r="M927" t="s">
        <v>42924</v>
      </c>
      <c r="N927" t="s">
        <v>46569</v>
      </c>
      <c r="O927" t="s">
        <v>46570</v>
      </c>
      <c r="P927">
        <v>0</v>
      </c>
      <c r="Q927">
        <v>0</v>
      </c>
      <c r="R927" t="s">
        <v>46571</v>
      </c>
      <c r="S927" t="s">
        <v>46687</v>
      </c>
      <c r="T927" t="s">
        <v>48244</v>
      </c>
      <c r="U927" t="s">
        <v>49608</v>
      </c>
      <c r="W927" t="s">
        <v>42924</v>
      </c>
      <c r="X927" t="s">
        <v>46572</v>
      </c>
    </row>
    <row r="928" spans="1:24">
      <c r="A928">
        <f>HYPERLINK("https://www.philgeps.gov.ph/GEPSNONPILOT/Tender/SplashBidNoticeAbstractUI.aspx?menuIndex=3&amp;refID=7065522&amp;Result=3","7065522")</f>
        <v>0</v>
      </c>
      <c r="B928" t="s">
        <v>462</v>
      </c>
      <c r="C928" t="s">
        <v>4437</v>
      </c>
      <c r="D928" t="s">
        <v>18834</v>
      </c>
      <c r="E928" t="s">
        <v>19761</v>
      </c>
      <c r="F928" t="s">
        <v>32664</v>
      </c>
      <c r="G928" t="s">
        <v>32676</v>
      </c>
      <c r="H928" t="s">
        <v>32682</v>
      </c>
      <c r="I928" t="s">
        <v>32718</v>
      </c>
      <c r="J928" t="s">
        <v>32853</v>
      </c>
      <c r="K928" t="s">
        <v>42284</v>
      </c>
      <c r="M928" t="s">
        <v>43037</v>
      </c>
      <c r="N928" t="s">
        <v>46569</v>
      </c>
      <c r="O928" t="s">
        <v>46570</v>
      </c>
      <c r="P928">
        <v>0</v>
      </c>
      <c r="Q928">
        <v>1</v>
      </c>
      <c r="R928" t="s">
        <v>46571</v>
      </c>
      <c r="S928" t="s">
        <v>46687</v>
      </c>
      <c r="T928" t="s">
        <v>48312</v>
      </c>
      <c r="U928" t="s">
        <v>49609</v>
      </c>
      <c r="W928" t="s">
        <v>43037</v>
      </c>
      <c r="X928" t="s">
        <v>46572</v>
      </c>
    </row>
    <row r="929" spans="1:24">
      <c r="A929">
        <f>HYPERLINK("https://www.philgeps.gov.ph/GEPSNONPILOT/Tender/SplashBidNoticeAbstractUI.aspx?menuIndex=3&amp;refID=7065535&amp;Result=3","7065535")</f>
        <v>0</v>
      </c>
      <c r="B929" t="s">
        <v>463</v>
      </c>
      <c r="C929" t="s">
        <v>4438</v>
      </c>
      <c r="D929" t="s">
        <v>18805</v>
      </c>
      <c r="E929" t="s">
        <v>19762</v>
      </c>
      <c r="F929" t="s">
        <v>32664</v>
      </c>
      <c r="G929" t="s">
        <v>32671</v>
      </c>
      <c r="H929" t="s">
        <v>12635</v>
      </c>
      <c r="I929" t="s">
        <v>6168</v>
      </c>
      <c r="J929" t="s">
        <v>33546</v>
      </c>
      <c r="K929" t="s">
        <v>42306</v>
      </c>
      <c r="M929" t="s">
        <v>43038</v>
      </c>
      <c r="N929" t="s">
        <v>46569</v>
      </c>
      <c r="O929" t="s">
        <v>46570</v>
      </c>
      <c r="P929">
        <v>0</v>
      </c>
      <c r="Q929">
        <v>1</v>
      </c>
      <c r="R929" t="s">
        <v>46571</v>
      </c>
      <c r="S929" t="s">
        <v>46687</v>
      </c>
      <c r="T929" t="s">
        <v>48219</v>
      </c>
      <c r="U929" t="s">
        <v>49610</v>
      </c>
      <c r="W929" t="s">
        <v>43038</v>
      </c>
      <c r="X929" t="s">
        <v>46572</v>
      </c>
    </row>
    <row r="930" spans="1:24">
      <c r="A930">
        <f>HYPERLINK("https://www.philgeps.gov.ph/GEPSNONPILOT/Tender/SplashBidNoticeAbstractUI.aspx?menuIndex=3&amp;refID=7065561&amp;Result=3","7065561")</f>
        <v>0</v>
      </c>
      <c r="B930" t="s">
        <v>464</v>
      </c>
      <c r="C930" t="s">
        <v>4439</v>
      </c>
      <c r="D930" t="s">
        <v>18782</v>
      </c>
      <c r="E930" t="s">
        <v>19681</v>
      </c>
      <c r="F930" t="s">
        <v>32664</v>
      </c>
      <c r="G930" t="s">
        <v>32674</v>
      </c>
      <c r="H930" t="s">
        <v>12635</v>
      </c>
      <c r="I930" t="s">
        <v>4439</v>
      </c>
      <c r="J930" t="s">
        <v>33547</v>
      </c>
      <c r="K930" t="s">
        <v>42295</v>
      </c>
      <c r="M930" t="s">
        <v>43039</v>
      </c>
      <c r="N930" t="s">
        <v>46569</v>
      </c>
      <c r="O930" t="s">
        <v>46570</v>
      </c>
      <c r="P930">
        <v>0</v>
      </c>
      <c r="Q930">
        <v>0</v>
      </c>
      <c r="R930" t="s">
        <v>46571</v>
      </c>
      <c r="S930" t="s">
        <v>46687</v>
      </c>
      <c r="T930" t="s">
        <v>48219</v>
      </c>
      <c r="U930" t="s">
        <v>49611</v>
      </c>
      <c r="W930" t="s">
        <v>43039</v>
      </c>
      <c r="X930" t="s">
        <v>46572</v>
      </c>
    </row>
    <row r="931" spans="1:24">
      <c r="A931">
        <f>HYPERLINK("https://www.philgeps.gov.ph/GEPSNONPILOT/Tender/SplashBidNoticeAbstractUI.aspx?menuIndex=3&amp;refID=7065525&amp;Result=3","7065525")</f>
        <v>0</v>
      </c>
      <c r="B931" t="s">
        <v>465</v>
      </c>
      <c r="C931" t="s">
        <v>4440</v>
      </c>
      <c r="D931" t="s">
        <v>18829</v>
      </c>
      <c r="E931" t="s">
        <v>19763</v>
      </c>
      <c r="F931" t="s">
        <v>32664</v>
      </c>
      <c r="G931" t="s">
        <v>32674</v>
      </c>
      <c r="H931" t="s">
        <v>12635</v>
      </c>
      <c r="I931" t="s">
        <v>32694</v>
      </c>
      <c r="J931" t="s">
        <v>33548</v>
      </c>
      <c r="K931" t="s">
        <v>42283</v>
      </c>
      <c r="M931" t="s">
        <v>43040</v>
      </c>
      <c r="N931" t="s">
        <v>46569</v>
      </c>
      <c r="O931" t="s">
        <v>46570</v>
      </c>
      <c r="P931">
        <v>0</v>
      </c>
      <c r="Q931">
        <v>0</v>
      </c>
      <c r="R931" t="s">
        <v>46571</v>
      </c>
      <c r="S931" t="s">
        <v>46687</v>
      </c>
      <c r="T931" t="s">
        <v>48287</v>
      </c>
      <c r="U931" t="s">
        <v>49612</v>
      </c>
      <c r="W931" t="s">
        <v>63478</v>
      </c>
      <c r="X931" t="s">
        <v>46572</v>
      </c>
    </row>
    <row r="932" spans="1:24">
      <c r="A932">
        <f>HYPERLINK("https://www.philgeps.gov.ph/GEPSNONPILOT/Tender/SplashBidNoticeAbstractUI.aspx?menuIndex=3&amp;refID=7065558&amp;Result=3","7065558")</f>
        <v>0</v>
      </c>
      <c r="B932" t="s">
        <v>418</v>
      </c>
      <c r="C932" t="s">
        <v>4441</v>
      </c>
      <c r="D932" t="s">
        <v>18784</v>
      </c>
      <c r="E932" t="s">
        <v>19764</v>
      </c>
      <c r="F932" t="s">
        <v>32664</v>
      </c>
      <c r="G932" t="s">
        <v>32672</v>
      </c>
      <c r="H932" t="s">
        <v>12635</v>
      </c>
      <c r="I932" t="s">
        <v>6168</v>
      </c>
      <c r="J932" t="s">
        <v>33549</v>
      </c>
      <c r="K932" t="s">
        <v>42289</v>
      </c>
      <c r="M932" t="s">
        <v>42989</v>
      </c>
      <c r="N932" t="s">
        <v>46569</v>
      </c>
      <c r="O932" t="s">
        <v>46570</v>
      </c>
      <c r="P932">
        <v>0</v>
      </c>
      <c r="Q932">
        <v>0</v>
      </c>
      <c r="R932" t="s">
        <v>46571</v>
      </c>
      <c r="S932" t="s">
        <v>46687</v>
      </c>
      <c r="T932" t="s">
        <v>48226</v>
      </c>
      <c r="U932" t="s">
        <v>49404</v>
      </c>
      <c r="W932" t="s">
        <v>42989</v>
      </c>
      <c r="X932" t="s">
        <v>46572</v>
      </c>
    </row>
    <row r="933" spans="1:24">
      <c r="A933">
        <f>HYPERLINK("https://www.philgeps.gov.ph/GEPSNONPILOT/Tender/SplashBidNoticeAbstractUI.aspx?menuIndex=3&amp;refID=7065557&amp;Result=3","7065557")</f>
        <v>0</v>
      </c>
      <c r="B933" t="s">
        <v>419</v>
      </c>
      <c r="C933" t="s">
        <v>4442</v>
      </c>
      <c r="D933" t="s">
        <v>18784</v>
      </c>
      <c r="E933" t="s">
        <v>19765</v>
      </c>
      <c r="F933" t="s">
        <v>32664</v>
      </c>
      <c r="G933" t="s">
        <v>32674</v>
      </c>
      <c r="H933" t="s">
        <v>12635</v>
      </c>
      <c r="I933" t="s">
        <v>32685</v>
      </c>
      <c r="J933" t="s">
        <v>33210</v>
      </c>
      <c r="K933" t="s">
        <v>42283</v>
      </c>
      <c r="M933" t="s">
        <v>42990</v>
      </c>
      <c r="N933" t="s">
        <v>46569</v>
      </c>
      <c r="O933" t="s">
        <v>46570</v>
      </c>
      <c r="P933">
        <v>0</v>
      </c>
      <c r="Q933">
        <v>2</v>
      </c>
      <c r="R933" t="s">
        <v>46571</v>
      </c>
      <c r="S933" t="s">
        <v>46687</v>
      </c>
      <c r="T933" t="s">
        <v>48319</v>
      </c>
      <c r="U933" t="s">
        <v>49613</v>
      </c>
      <c r="W933" t="s">
        <v>42990</v>
      </c>
      <c r="X933" t="s">
        <v>46572</v>
      </c>
    </row>
    <row r="934" spans="1:24">
      <c r="A934">
        <f>HYPERLINK("https://www.philgeps.gov.ph/GEPSNONPILOT/Tender/SplashBidNoticeAbstractUI.aspx?menuIndex=3&amp;refID=7065559&amp;Result=3","7065559")</f>
        <v>0</v>
      </c>
      <c r="B934" t="s">
        <v>235</v>
      </c>
      <c r="C934" t="s">
        <v>4443</v>
      </c>
      <c r="D934" t="s">
        <v>18846</v>
      </c>
      <c r="E934" t="s">
        <v>19601</v>
      </c>
      <c r="F934" t="s">
        <v>32664</v>
      </c>
      <c r="G934" t="s">
        <v>32671</v>
      </c>
      <c r="H934" t="s">
        <v>12635</v>
      </c>
      <c r="I934" t="s">
        <v>10590</v>
      </c>
      <c r="J934" t="s">
        <v>33106</v>
      </c>
      <c r="K934" t="s">
        <v>42303</v>
      </c>
      <c r="M934" t="s">
        <v>42800</v>
      </c>
      <c r="N934" t="s">
        <v>46569</v>
      </c>
      <c r="O934" t="s">
        <v>46570</v>
      </c>
      <c r="P934">
        <v>0</v>
      </c>
      <c r="Q934">
        <v>0</v>
      </c>
      <c r="R934" t="s">
        <v>46571</v>
      </c>
      <c r="S934" t="s">
        <v>46687</v>
      </c>
      <c r="T934" t="s">
        <v>48293</v>
      </c>
      <c r="U934" t="s">
        <v>49614</v>
      </c>
      <c r="W934" t="s">
        <v>42800</v>
      </c>
      <c r="X934" t="s">
        <v>46572</v>
      </c>
    </row>
    <row r="935" spans="1:24">
      <c r="A935">
        <f>HYPERLINK("https://www.philgeps.gov.ph/GEPSNONPILOT/Tender/SplashBidNoticeAbstractUI.aspx?menuIndex=3&amp;refID=7065555&amp;Result=3","7065555")</f>
        <v>0</v>
      </c>
      <c r="B935" t="s">
        <v>466</v>
      </c>
      <c r="C935" t="s">
        <v>4444</v>
      </c>
      <c r="D935" t="s">
        <v>18784</v>
      </c>
      <c r="E935" t="s">
        <v>19766</v>
      </c>
      <c r="F935" t="s">
        <v>32664</v>
      </c>
      <c r="G935" t="s">
        <v>32671</v>
      </c>
      <c r="H935" t="s">
        <v>12635</v>
      </c>
      <c r="I935" t="s">
        <v>6553</v>
      </c>
      <c r="J935" t="s">
        <v>33550</v>
      </c>
      <c r="K935" t="s">
        <v>42295</v>
      </c>
      <c r="M935" t="s">
        <v>43041</v>
      </c>
      <c r="N935" t="s">
        <v>46569</v>
      </c>
      <c r="O935" t="s">
        <v>46570</v>
      </c>
      <c r="P935">
        <v>0</v>
      </c>
      <c r="Q935">
        <v>3</v>
      </c>
      <c r="R935" t="s">
        <v>46571</v>
      </c>
      <c r="S935" t="s">
        <v>46687</v>
      </c>
      <c r="T935" t="s">
        <v>48219</v>
      </c>
      <c r="U935" t="s">
        <v>49615</v>
      </c>
      <c r="W935" t="s">
        <v>43041</v>
      </c>
      <c r="X935" t="s">
        <v>46572</v>
      </c>
    </row>
    <row r="936" spans="1:24">
      <c r="A936">
        <f>HYPERLINK("https://www.philgeps.gov.ph/GEPSNONPILOT/Tender/SplashBidNoticeAbstractUI.aspx?menuIndex=3&amp;refID=7065554&amp;Result=3","7065554")</f>
        <v>0</v>
      </c>
      <c r="B936" t="s">
        <v>107</v>
      </c>
      <c r="C936" t="s">
        <v>4445</v>
      </c>
      <c r="D936" t="s">
        <v>18804</v>
      </c>
      <c r="E936" t="s">
        <v>19767</v>
      </c>
      <c r="F936" t="s">
        <v>32664</v>
      </c>
      <c r="G936" t="s">
        <v>32671</v>
      </c>
      <c r="H936" t="s">
        <v>12635</v>
      </c>
      <c r="I936" t="s">
        <v>32706</v>
      </c>
      <c r="J936" t="s">
        <v>33551</v>
      </c>
      <c r="K936" t="s">
        <v>42289</v>
      </c>
      <c r="M936" t="s">
        <v>42671</v>
      </c>
      <c r="N936" t="s">
        <v>46569</v>
      </c>
      <c r="O936" t="s">
        <v>46570</v>
      </c>
      <c r="P936">
        <v>0</v>
      </c>
      <c r="Q936">
        <v>0</v>
      </c>
      <c r="R936" t="s">
        <v>46571</v>
      </c>
      <c r="S936" t="s">
        <v>46687</v>
      </c>
      <c r="T936" t="s">
        <v>48213</v>
      </c>
      <c r="U936" t="s">
        <v>49401</v>
      </c>
      <c r="W936" t="s">
        <v>42671</v>
      </c>
      <c r="X936" t="s">
        <v>46572</v>
      </c>
    </row>
    <row r="937" spans="1:24">
      <c r="A937">
        <f>HYPERLINK("https://www.philgeps.gov.ph/GEPSNONPILOT/Tender/SplashBidNoticeAbstractUI.aspx?menuIndex=3&amp;refID=7065539&amp;Result=3","7065539")</f>
        <v>0</v>
      </c>
      <c r="B937" t="s">
        <v>467</v>
      </c>
      <c r="C937" t="s">
        <v>4446</v>
      </c>
      <c r="D937" t="s">
        <v>18834</v>
      </c>
      <c r="E937" t="s">
        <v>19768</v>
      </c>
      <c r="F937" t="s">
        <v>32664</v>
      </c>
      <c r="G937" t="s">
        <v>32671</v>
      </c>
      <c r="H937" t="s">
        <v>12635</v>
      </c>
      <c r="I937" t="s">
        <v>6168</v>
      </c>
      <c r="J937" t="s">
        <v>33552</v>
      </c>
      <c r="K937" t="s">
        <v>42284</v>
      </c>
      <c r="M937" t="s">
        <v>43042</v>
      </c>
      <c r="N937" t="s">
        <v>46569</v>
      </c>
      <c r="O937" t="s">
        <v>46570</v>
      </c>
      <c r="P937">
        <v>0</v>
      </c>
      <c r="Q937">
        <v>2</v>
      </c>
      <c r="R937" t="s">
        <v>46571</v>
      </c>
      <c r="S937" t="s">
        <v>46687</v>
      </c>
      <c r="T937" t="s">
        <v>48293</v>
      </c>
      <c r="U937" t="s">
        <v>49616</v>
      </c>
      <c r="W937" t="s">
        <v>43042</v>
      </c>
      <c r="X937" t="s">
        <v>46572</v>
      </c>
    </row>
    <row r="938" spans="1:24">
      <c r="A938">
        <f>HYPERLINK("https://www.philgeps.gov.ph/GEPSNONPILOT/Tender/SplashBidNoticeAbstractUI.aspx?menuIndex=3&amp;refID=7065553&amp;Result=3","7065553")</f>
        <v>0</v>
      </c>
      <c r="B938" t="s">
        <v>468</v>
      </c>
      <c r="C938" t="s">
        <v>4447</v>
      </c>
      <c r="D938" t="s">
        <v>18827</v>
      </c>
      <c r="E938" t="s">
        <v>19769</v>
      </c>
      <c r="F938" t="s">
        <v>32664</v>
      </c>
      <c r="G938" t="s">
        <v>32671</v>
      </c>
      <c r="H938" t="s">
        <v>12635</v>
      </c>
      <c r="I938" t="s">
        <v>8730</v>
      </c>
      <c r="J938" t="s">
        <v>33553</v>
      </c>
      <c r="K938" t="s">
        <v>42289</v>
      </c>
      <c r="M938" t="s">
        <v>43043</v>
      </c>
      <c r="N938" t="s">
        <v>46569</v>
      </c>
      <c r="O938" t="s">
        <v>46570</v>
      </c>
      <c r="P938">
        <v>0</v>
      </c>
      <c r="Q938">
        <v>0</v>
      </c>
      <c r="R938" t="s">
        <v>46571</v>
      </c>
      <c r="S938" t="s">
        <v>46687</v>
      </c>
      <c r="T938" t="s">
        <v>48211</v>
      </c>
      <c r="U938" t="s">
        <v>49617</v>
      </c>
      <c r="V938" t="s">
        <v>61730</v>
      </c>
      <c r="W938" t="s">
        <v>43043</v>
      </c>
      <c r="X938" t="s">
        <v>46572</v>
      </c>
    </row>
    <row r="939" spans="1:24">
      <c r="A939">
        <f>HYPERLINK("https://www.philgeps.gov.ph/GEPSNONPILOT/Tender/SplashBidNoticeAbstractUI.aspx?menuIndex=3&amp;refID=7065560&amp;Result=3","7065560")</f>
        <v>0</v>
      </c>
      <c r="B939" t="s">
        <v>418</v>
      </c>
      <c r="C939" t="s">
        <v>4448</v>
      </c>
      <c r="D939" t="s">
        <v>18784</v>
      </c>
      <c r="E939" t="s">
        <v>19770</v>
      </c>
      <c r="F939" t="s">
        <v>32664</v>
      </c>
      <c r="G939" t="s">
        <v>32672</v>
      </c>
      <c r="H939" t="s">
        <v>12635</v>
      </c>
      <c r="I939" t="s">
        <v>6168</v>
      </c>
      <c r="J939" t="s">
        <v>33554</v>
      </c>
      <c r="K939" t="s">
        <v>42289</v>
      </c>
      <c r="M939" t="s">
        <v>42989</v>
      </c>
      <c r="N939" t="s">
        <v>46569</v>
      </c>
      <c r="O939" t="s">
        <v>46570</v>
      </c>
      <c r="P939">
        <v>0</v>
      </c>
      <c r="Q939">
        <v>0</v>
      </c>
      <c r="R939" t="s">
        <v>46571</v>
      </c>
      <c r="S939" t="s">
        <v>46687</v>
      </c>
      <c r="T939" t="s">
        <v>48226</v>
      </c>
      <c r="U939" t="s">
        <v>49404</v>
      </c>
      <c r="W939" t="s">
        <v>42989</v>
      </c>
      <c r="X939" t="s">
        <v>46572</v>
      </c>
    </row>
    <row r="940" spans="1:24">
      <c r="A940">
        <f>HYPERLINK("https://www.philgeps.gov.ph/GEPSNONPILOT/Tender/SplashBidNoticeAbstractUI.aspx?menuIndex=3&amp;refID=7065523&amp;Result=3","7065523")</f>
        <v>0</v>
      </c>
      <c r="B940" t="s">
        <v>453</v>
      </c>
      <c r="C940" t="s">
        <v>4449</v>
      </c>
      <c r="E940" t="s">
        <v>19771</v>
      </c>
      <c r="F940" t="s">
        <v>32664</v>
      </c>
      <c r="G940" t="s">
        <v>32675</v>
      </c>
      <c r="H940" t="s">
        <v>12635</v>
      </c>
      <c r="I940" t="s">
        <v>4205</v>
      </c>
      <c r="J940" t="s">
        <v>33126</v>
      </c>
      <c r="K940" t="s">
        <v>42330</v>
      </c>
      <c r="M940" t="s">
        <v>43026</v>
      </c>
      <c r="N940" t="s">
        <v>46569</v>
      </c>
      <c r="O940" t="s">
        <v>46570</v>
      </c>
      <c r="P940">
        <v>0</v>
      </c>
      <c r="Q940">
        <v>0</v>
      </c>
      <c r="R940" t="s">
        <v>46571</v>
      </c>
      <c r="S940" t="s">
        <v>46687</v>
      </c>
      <c r="T940" t="s">
        <v>48228</v>
      </c>
      <c r="U940" t="s">
        <v>49618</v>
      </c>
      <c r="W940" t="s">
        <v>43026</v>
      </c>
      <c r="X940" t="s">
        <v>46572</v>
      </c>
    </row>
    <row r="941" spans="1:24">
      <c r="A941">
        <f>HYPERLINK("https://www.philgeps.gov.ph/GEPSNONPILOT/Tender/SplashBidNoticeAbstractUI.aspx?menuIndex=3&amp;refID=7065549&amp;Result=3","7065549")</f>
        <v>0</v>
      </c>
      <c r="B941" t="s">
        <v>469</v>
      </c>
      <c r="C941" t="s">
        <v>4450</v>
      </c>
      <c r="D941" t="s">
        <v>18784</v>
      </c>
      <c r="E941" t="s">
        <v>19772</v>
      </c>
      <c r="F941" t="s">
        <v>32664</v>
      </c>
      <c r="G941" t="s">
        <v>32671</v>
      </c>
      <c r="H941" t="s">
        <v>12635</v>
      </c>
      <c r="I941" t="s">
        <v>32745</v>
      </c>
      <c r="J941" t="s">
        <v>33218</v>
      </c>
      <c r="K941" t="s">
        <v>42283</v>
      </c>
      <c r="M941" t="s">
        <v>43044</v>
      </c>
      <c r="N941" t="s">
        <v>46569</v>
      </c>
      <c r="O941" t="s">
        <v>46570</v>
      </c>
      <c r="P941">
        <v>0</v>
      </c>
      <c r="Q941">
        <v>1</v>
      </c>
      <c r="R941" t="s">
        <v>46571</v>
      </c>
      <c r="S941" t="s">
        <v>46687</v>
      </c>
      <c r="T941" t="s">
        <v>48258</v>
      </c>
      <c r="U941" t="s">
        <v>49619</v>
      </c>
      <c r="W941" t="s">
        <v>43044</v>
      </c>
      <c r="X941" t="s">
        <v>46572</v>
      </c>
    </row>
    <row r="942" spans="1:24">
      <c r="A942">
        <f>HYPERLINK("https://www.philgeps.gov.ph/GEPSNONPILOT/Tender/SplashBidNoticeAbstractUI.aspx?menuIndex=3&amp;refID=7065552&amp;Result=3","7065552")</f>
        <v>0</v>
      </c>
      <c r="B942" t="s">
        <v>366</v>
      </c>
      <c r="C942" t="s">
        <v>4451</v>
      </c>
      <c r="D942" t="s">
        <v>18785</v>
      </c>
      <c r="E942" t="s">
        <v>19773</v>
      </c>
      <c r="F942" t="s">
        <v>32664</v>
      </c>
      <c r="G942" t="s">
        <v>32671</v>
      </c>
      <c r="H942" t="s">
        <v>12635</v>
      </c>
      <c r="I942" t="s">
        <v>32733</v>
      </c>
      <c r="J942" t="s">
        <v>33555</v>
      </c>
      <c r="K942" t="s">
        <v>42283</v>
      </c>
      <c r="M942" t="s">
        <v>42935</v>
      </c>
      <c r="N942" t="s">
        <v>46569</v>
      </c>
      <c r="O942" t="s">
        <v>46570</v>
      </c>
      <c r="P942">
        <v>0</v>
      </c>
      <c r="Q942">
        <v>1</v>
      </c>
      <c r="R942" t="s">
        <v>46571</v>
      </c>
      <c r="S942" t="s">
        <v>46687</v>
      </c>
      <c r="T942" t="s">
        <v>48284</v>
      </c>
      <c r="U942" t="s">
        <v>49444</v>
      </c>
      <c r="W942" t="s">
        <v>42935</v>
      </c>
      <c r="X942" t="s">
        <v>46572</v>
      </c>
    </row>
    <row r="943" spans="1:24">
      <c r="A943">
        <f>HYPERLINK("https://www.philgeps.gov.ph/GEPSNONPILOT/Tender/SplashBidNoticeAbstractUI.aspx?menuIndex=3&amp;refID=7065530&amp;Result=3","7065530")</f>
        <v>0</v>
      </c>
      <c r="B943" t="s">
        <v>470</v>
      </c>
      <c r="C943" t="s">
        <v>4452</v>
      </c>
      <c r="D943" t="s">
        <v>18816</v>
      </c>
      <c r="E943" t="s">
        <v>4452</v>
      </c>
      <c r="F943" t="s">
        <v>32664</v>
      </c>
      <c r="G943" t="s">
        <v>32672</v>
      </c>
      <c r="H943" t="s">
        <v>12635</v>
      </c>
      <c r="I943" t="s">
        <v>4439</v>
      </c>
      <c r="J943" t="s">
        <v>33556</v>
      </c>
      <c r="K943" t="s">
        <v>42298</v>
      </c>
      <c r="M943" t="s">
        <v>43045</v>
      </c>
      <c r="N943" t="s">
        <v>46569</v>
      </c>
      <c r="O943" t="s">
        <v>46570</v>
      </c>
      <c r="P943">
        <v>0</v>
      </c>
      <c r="Q943">
        <v>0</v>
      </c>
      <c r="R943" t="s">
        <v>46571</v>
      </c>
      <c r="S943" t="s">
        <v>46687</v>
      </c>
      <c r="T943" t="s">
        <v>48233</v>
      </c>
      <c r="U943" t="s">
        <v>49620</v>
      </c>
      <c r="W943" t="s">
        <v>43045</v>
      </c>
      <c r="X943" t="s">
        <v>46572</v>
      </c>
    </row>
    <row r="944" spans="1:24">
      <c r="A944">
        <f>HYPERLINK("https://www.philgeps.gov.ph/GEPSNONPILOT/Tender/SplashBidNoticeAbstractUI.aspx?menuIndex=3&amp;refID=7065548&amp;Result=3","7065548")</f>
        <v>0</v>
      </c>
      <c r="B944" t="s">
        <v>444</v>
      </c>
      <c r="C944" t="s">
        <v>4453</v>
      </c>
      <c r="D944" t="s">
        <v>18843</v>
      </c>
      <c r="E944" t="s">
        <v>19774</v>
      </c>
      <c r="F944" t="s">
        <v>32664</v>
      </c>
      <c r="G944" t="s">
        <v>32671</v>
      </c>
      <c r="H944" t="s">
        <v>12635</v>
      </c>
      <c r="I944" t="s">
        <v>10361</v>
      </c>
      <c r="J944" t="s">
        <v>33557</v>
      </c>
      <c r="K944" t="s">
        <v>42283</v>
      </c>
      <c r="M944" t="s">
        <v>43017</v>
      </c>
      <c r="N944" t="s">
        <v>46569</v>
      </c>
      <c r="O944" t="s">
        <v>46570</v>
      </c>
      <c r="P944">
        <v>0</v>
      </c>
      <c r="Q944">
        <v>0</v>
      </c>
      <c r="R944" t="s">
        <v>46571</v>
      </c>
      <c r="S944" t="s">
        <v>46687</v>
      </c>
      <c r="T944" t="s">
        <v>48297</v>
      </c>
      <c r="U944" t="s">
        <v>49565</v>
      </c>
      <c r="W944" t="s">
        <v>43017</v>
      </c>
      <c r="X944" t="s">
        <v>46572</v>
      </c>
    </row>
    <row r="945" spans="1:24">
      <c r="A945">
        <f>HYPERLINK("https://www.philgeps.gov.ph/GEPSNONPILOT/Tender/SplashBidNoticeAbstractUI.aspx?menuIndex=3&amp;refID=7065551&amp;Result=3","7065551")</f>
        <v>0</v>
      </c>
      <c r="B945" t="s">
        <v>471</v>
      </c>
      <c r="C945" t="s">
        <v>4454</v>
      </c>
      <c r="D945" t="s">
        <v>18785</v>
      </c>
      <c r="E945" t="s">
        <v>19775</v>
      </c>
      <c r="F945" t="s">
        <v>32664</v>
      </c>
      <c r="G945" t="s">
        <v>32672</v>
      </c>
      <c r="H945" t="s">
        <v>32681</v>
      </c>
      <c r="I945" t="s">
        <v>32681</v>
      </c>
      <c r="J945" t="s">
        <v>32943</v>
      </c>
      <c r="K945" t="s">
        <v>42283</v>
      </c>
      <c r="M945" t="s">
        <v>43046</v>
      </c>
      <c r="N945" t="s">
        <v>46569</v>
      </c>
      <c r="O945" t="s">
        <v>46570</v>
      </c>
      <c r="P945">
        <v>0</v>
      </c>
      <c r="Q945">
        <v>0</v>
      </c>
      <c r="R945" t="s">
        <v>46571</v>
      </c>
      <c r="S945" t="s">
        <v>46687</v>
      </c>
      <c r="T945" t="s">
        <v>48225</v>
      </c>
      <c r="U945" t="s">
        <v>49621</v>
      </c>
      <c r="W945" t="s">
        <v>43046</v>
      </c>
      <c r="X945" t="s">
        <v>46572</v>
      </c>
    </row>
    <row r="946" spans="1:24">
      <c r="A946">
        <f>HYPERLINK("https://www.philgeps.gov.ph/GEPSNONPILOT/Tender/SplashBidNoticeAbstractUI.aspx?menuIndex=3&amp;refID=7065587&amp;Result=3","7065587")</f>
        <v>0</v>
      </c>
      <c r="B946" t="s">
        <v>472</v>
      </c>
      <c r="C946" t="s">
        <v>4455</v>
      </c>
      <c r="D946" t="s">
        <v>18804</v>
      </c>
      <c r="E946" t="s">
        <v>19776</v>
      </c>
      <c r="F946" t="s">
        <v>32664</v>
      </c>
      <c r="G946" t="s">
        <v>32672</v>
      </c>
      <c r="H946" t="s">
        <v>32683</v>
      </c>
      <c r="I946" t="s">
        <v>10627</v>
      </c>
      <c r="J946" t="s">
        <v>33558</v>
      </c>
      <c r="K946" t="s">
        <v>42345</v>
      </c>
      <c r="M946" t="s">
        <v>43047</v>
      </c>
      <c r="N946" t="s">
        <v>46569</v>
      </c>
      <c r="O946" t="s">
        <v>46570</v>
      </c>
      <c r="P946">
        <v>0</v>
      </c>
      <c r="Q946">
        <v>0</v>
      </c>
      <c r="R946" t="s">
        <v>46571</v>
      </c>
      <c r="S946" t="s">
        <v>46687</v>
      </c>
      <c r="T946" t="s">
        <v>48216</v>
      </c>
      <c r="U946" t="s">
        <v>49622</v>
      </c>
      <c r="V946" t="s">
        <v>61731</v>
      </c>
      <c r="W946" t="s">
        <v>43047</v>
      </c>
      <c r="X946" t="s">
        <v>46572</v>
      </c>
    </row>
    <row r="947" spans="1:24">
      <c r="A947">
        <f>HYPERLINK("https://www.philgeps.gov.ph/GEPSNONPILOT/Tender/SplashBidNoticeAbstractUI.aspx?menuIndex=3&amp;refID=7065584&amp;Result=3","7065584")</f>
        <v>0</v>
      </c>
      <c r="B947" t="s">
        <v>473</v>
      </c>
      <c r="C947" t="s">
        <v>4456</v>
      </c>
      <c r="D947" t="s">
        <v>18791</v>
      </c>
      <c r="E947" t="s">
        <v>19777</v>
      </c>
      <c r="F947" t="s">
        <v>32664</v>
      </c>
      <c r="G947" t="s">
        <v>32671</v>
      </c>
      <c r="H947" t="s">
        <v>12635</v>
      </c>
      <c r="I947" t="s">
        <v>4439</v>
      </c>
      <c r="J947" t="s">
        <v>32898</v>
      </c>
      <c r="K947" t="s">
        <v>42289</v>
      </c>
      <c r="M947" t="s">
        <v>43048</v>
      </c>
      <c r="N947" t="s">
        <v>46569</v>
      </c>
      <c r="O947" t="s">
        <v>46570</v>
      </c>
      <c r="P947">
        <v>0</v>
      </c>
      <c r="Q947">
        <v>1</v>
      </c>
      <c r="R947" t="s">
        <v>46571</v>
      </c>
      <c r="S947" t="s">
        <v>46687</v>
      </c>
      <c r="T947" t="s">
        <v>48217</v>
      </c>
      <c r="U947" t="s">
        <v>49623</v>
      </c>
      <c r="W947" t="s">
        <v>43048</v>
      </c>
      <c r="X947" t="s">
        <v>46572</v>
      </c>
    </row>
    <row r="948" spans="1:24">
      <c r="A948">
        <f>HYPERLINK("https://www.philgeps.gov.ph/GEPSNONPILOT/Tender/SplashBidNoticeAbstractUI.aspx?menuIndex=3&amp;refID=7065531&amp;Result=3","7065531")</f>
        <v>0</v>
      </c>
      <c r="B948" t="s">
        <v>474</v>
      </c>
      <c r="C948" t="s">
        <v>4457</v>
      </c>
      <c r="D948" t="s">
        <v>18796</v>
      </c>
      <c r="E948" t="s">
        <v>19778</v>
      </c>
      <c r="F948" t="s">
        <v>32664</v>
      </c>
      <c r="G948" t="s">
        <v>32671</v>
      </c>
      <c r="H948" t="s">
        <v>12635</v>
      </c>
      <c r="I948" t="s">
        <v>4439</v>
      </c>
      <c r="J948" t="s">
        <v>33559</v>
      </c>
      <c r="K948" t="s">
        <v>42284</v>
      </c>
      <c r="M948" t="s">
        <v>43049</v>
      </c>
      <c r="N948" t="s">
        <v>46569</v>
      </c>
      <c r="O948" t="s">
        <v>46570</v>
      </c>
      <c r="P948">
        <v>0</v>
      </c>
      <c r="Q948">
        <v>1</v>
      </c>
      <c r="R948" t="s">
        <v>46571</v>
      </c>
      <c r="S948" t="s">
        <v>46687</v>
      </c>
      <c r="T948" t="s">
        <v>48256</v>
      </c>
      <c r="U948" t="s">
        <v>49624</v>
      </c>
      <c r="V948" t="s">
        <v>61732</v>
      </c>
      <c r="W948" t="s">
        <v>43049</v>
      </c>
      <c r="X948" t="s">
        <v>46572</v>
      </c>
    </row>
    <row r="949" spans="1:24">
      <c r="A949">
        <f>HYPERLINK("https://www.philgeps.gov.ph/GEPSNONPILOT/Tender/SplashBidNoticeAbstractUI.aspx?menuIndex=3&amp;refID=7065583&amp;Result=3","7065583")</f>
        <v>0</v>
      </c>
      <c r="B949" t="s">
        <v>475</v>
      </c>
      <c r="C949" t="s">
        <v>4458</v>
      </c>
      <c r="D949" t="s">
        <v>18796</v>
      </c>
      <c r="E949" t="s">
        <v>19779</v>
      </c>
      <c r="F949" t="s">
        <v>32664</v>
      </c>
      <c r="G949" t="s">
        <v>32672</v>
      </c>
      <c r="H949" t="s">
        <v>12635</v>
      </c>
      <c r="I949" t="s">
        <v>14442</v>
      </c>
      <c r="J949" t="s">
        <v>33560</v>
      </c>
      <c r="K949" t="s">
        <v>42281</v>
      </c>
      <c r="M949" t="s">
        <v>43050</v>
      </c>
      <c r="N949" t="s">
        <v>46569</v>
      </c>
      <c r="O949" t="s">
        <v>46570</v>
      </c>
      <c r="P949">
        <v>0</v>
      </c>
      <c r="Q949">
        <v>5</v>
      </c>
      <c r="R949" t="s">
        <v>46571</v>
      </c>
      <c r="S949" t="s">
        <v>46687</v>
      </c>
      <c r="T949" t="s">
        <v>48355</v>
      </c>
      <c r="U949" t="s">
        <v>49625</v>
      </c>
      <c r="W949" t="s">
        <v>43050</v>
      </c>
      <c r="X949" t="s">
        <v>46572</v>
      </c>
    </row>
    <row r="950" spans="1:24">
      <c r="A950">
        <f>HYPERLINK("https://www.philgeps.gov.ph/GEPSNONPILOT/Tender/SplashBidNoticeAbstractUI.aspx?menuIndex=3&amp;refID=7065581&amp;Result=3","7065581")</f>
        <v>0</v>
      </c>
      <c r="B950" t="s">
        <v>476</v>
      </c>
      <c r="C950" t="s">
        <v>4459</v>
      </c>
      <c r="E950" t="s">
        <v>19780</v>
      </c>
      <c r="F950" t="s">
        <v>32664</v>
      </c>
      <c r="G950" t="s">
        <v>32672</v>
      </c>
      <c r="H950" t="s">
        <v>32683</v>
      </c>
      <c r="I950" t="s">
        <v>10627</v>
      </c>
      <c r="J950" t="s">
        <v>32865</v>
      </c>
      <c r="K950" t="s">
        <v>42298</v>
      </c>
      <c r="M950" t="s">
        <v>43051</v>
      </c>
      <c r="N950" t="s">
        <v>46569</v>
      </c>
      <c r="O950" t="s">
        <v>46570</v>
      </c>
      <c r="P950">
        <v>0</v>
      </c>
      <c r="Q950">
        <v>0</v>
      </c>
      <c r="R950" t="s">
        <v>46571</v>
      </c>
      <c r="S950" t="s">
        <v>46687</v>
      </c>
      <c r="T950" t="s">
        <v>48308</v>
      </c>
      <c r="U950" t="s">
        <v>49626</v>
      </c>
      <c r="W950" t="s">
        <v>43051</v>
      </c>
      <c r="X950" t="s">
        <v>46572</v>
      </c>
    </row>
    <row r="951" spans="1:24">
      <c r="A951">
        <f>HYPERLINK("https://www.philgeps.gov.ph/GEPSNONPILOT/Tender/SplashBidNoticeAbstractUI.aspx?menuIndex=3&amp;refID=7065579&amp;Result=3","7065579")</f>
        <v>0</v>
      </c>
      <c r="B951" t="s">
        <v>477</v>
      </c>
      <c r="C951" t="s">
        <v>4460</v>
      </c>
      <c r="D951" t="s">
        <v>18784</v>
      </c>
      <c r="E951" t="s">
        <v>19781</v>
      </c>
      <c r="F951" t="s">
        <v>32664</v>
      </c>
      <c r="G951" t="s">
        <v>32674</v>
      </c>
      <c r="H951" t="s">
        <v>12635</v>
      </c>
      <c r="I951" t="s">
        <v>9486</v>
      </c>
      <c r="J951" t="s">
        <v>33126</v>
      </c>
      <c r="K951" t="s">
        <v>42309</v>
      </c>
      <c r="M951" t="s">
        <v>43052</v>
      </c>
      <c r="N951" t="s">
        <v>46569</v>
      </c>
      <c r="O951" t="s">
        <v>46570</v>
      </c>
      <c r="P951">
        <v>0</v>
      </c>
      <c r="Q951">
        <v>1</v>
      </c>
      <c r="R951" t="s">
        <v>46571</v>
      </c>
      <c r="S951" t="s">
        <v>46687</v>
      </c>
      <c r="T951" t="s">
        <v>48304</v>
      </c>
      <c r="U951" t="s">
        <v>49627</v>
      </c>
      <c r="W951" t="s">
        <v>43052</v>
      </c>
      <c r="X951" t="s">
        <v>46572</v>
      </c>
    </row>
    <row r="952" spans="1:24">
      <c r="A952">
        <f>HYPERLINK("https://www.philgeps.gov.ph/GEPSNONPILOT/Tender/SplashBidNoticeAbstractUI.aspx?menuIndex=3&amp;refID=7065578&amp;Result=3","7065578")</f>
        <v>0</v>
      </c>
      <c r="B952" t="s">
        <v>476</v>
      </c>
      <c r="C952" t="s">
        <v>4461</v>
      </c>
      <c r="D952" t="s">
        <v>18788</v>
      </c>
      <c r="E952" t="s">
        <v>19782</v>
      </c>
      <c r="F952" t="s">
        <v>32664</v>
      </c>
      <c r="G952" t="s">
        <v>32672</v>
      </c>
      <c r="H952" t="s">
        <v>32683</v>
      </c>
      <c r="I952" t="s">
        <v>10627</v>
      </c>
      <c r="J952" t="s">
        <v>33001</v>
      </c>
      <c r="K952" t="s">
        <v>42298</v>
      </c>
      <c r="M952" t="s">
        <v>43051</v>
      </c>
      <c r="N952" t="s">
        <v>46569</v>
      </c>
      <c r="O952" t="s">
        <v>46570</v>
      </c>
      <c r="P952">
        <v>0</v>
      </c>
      <c r="Q952">
        <v>0</v>
      </c>
      <c r="R952" t="s">
        <v>46571</v>
      </c>
      <c r="S952" t="s">
        <v>46687</v>
      </c>
      <c r="T952" t="s">
        <v>48308</v>
      </c>
      <c r="U952" t="s">
        <v>49628</v>
      </c>
      <c r="W952" t="s">
        <v>43051</v>
      </c>
      <c r="X952" t="s">
        <v>46572</v>
      </c>
    </row>
    <row r="953" spans="1:24">
      <c r="A953">
        <f>HYPERLINK("https://www.philgeps.gov.ph/GEPSNONPILOT/Tender/SplashBidNoticeAbstractUI.aspx?menuIndex=3&amp;refID=7065577&amp;Result=3","7065577")</f>
        <v>0</v>
      </c>
      <c r="B953" t="s">
        <v>478</v>
      </c>
      <c r="C953" t="s">
        <v>4462</v>
      </c>
      <c r="D953" t="s">
        <v>18849</v>
      </c>
      <c r="E953" t="s">
        <v>19783</v>
      </c>
      <c r="F953" t="s">
        <v>32664</v>
      </c>
      <c r="G953" t="s">
        <v>32675</v>
      </c>
      <c r="H953" t="s">
        <v>12635</v>
      </c>
      <c r="I953" t="s">
        <v>6168</v>
      </c>
      <c r="J953" t="s">
        <v>32984</v>
      </c>
      <c r="K953" t="s">
        <v>42306</v>
      </c>
      <c r="M953" t="s">
        <v>43053</v>
      </c>
      <c r="N953" t="s">
        <v>46569</v>
      </c>
      <c r="O953" t="s">
        <v>46570</v>
      </c>
      <c r="P953">
        <v>0</v>
      </c>
      <c r="Q953">
        <v>0</v>
      </c>
      <c r="R953" t="s">
        <v>46571</v>
      </c>
      <c r="S953" t="s">
        <v>46687</v>
      </c>
      <c r="T953" t="s">
        <v>48221</v>
      </c>
      <c r="U953" t="s">
        <v>49629</v>
      </c>
      <c r="W953" t="s">
        <v>43053</v>
      </c>
      <c r="X953" t="s">
        <v>46572</v>
      </c>
    </row>
    <row r="954" spans="1:24">
      <c r="A954">
        <f>HYPERLINK("https://www.philgeps.gov.ph/GEPSNONPILOT/Tender/SplashBidNoticeAbstractUI.aspx?menuIndex=3&amp;refID=7065585&amp;Result=3","7065585")</f>
        <v>0</v>
      </c>
      <c r="B954" t="s">
        <v>234</v>
      </c>
      <c r="C954" t="s">
        <v>4463</v>
      </c>
      <c r="D954" t="s">
        <v>18831</v>
      </c>
      <c r="E954" t="s">
        <v>19784</v>
      </c>
      <c r="F954" t="s">
        <v>32665</v>
      </c>
      <c r="G954" t="s">
        <v>32672</v>
      </c>
      <c r="H954" t="s">
        <v>12635</v>
      </c>
      <c r="I954" t="s">
        <v>6118</v>
      </c>
      <c r="J954" t="s">
        <v>33561</v>
      </c>
      <c r="K954" t="s">
        <v>42281</v>
      </c>
      <c r="M954" t="s">
        <v>42799</v>
      </c>
      <c r="N954" t="s">
        <v>46569</v>
      </c>
      <c r="O954" t="s">
        <v>46570</v>
      </c>
      <c r="P954">
        <v>0</v>
      </c>
      <c r="Q954">
        <v>0</v>
      </c>
      <c r="R954" t="s">
        <v>46571</v>
      </c>
      <c r="S954" t="s">
        <v>46687</v>
      </c>
      <c r="T954" t="s">
        <v>48273</v>
      </c>
      <c r="U954" t="s">
        <v>49630</v>
      </c>
      <c r="V954" t="s">
        <v>61733</v>
      </c>
      <c r="W954" t="s">
        <v>42799</v>
      </c>
      <c r="X954" t="s">
        <v>46572</v>
      </c>
    </row>
    <row r="955" spans="1:24">
      <c r="A955">
        <f>HYPERLINK("https://www.philgeps.gov.ph/GEPSNONPILOT/Tender/SplashBidNoticeAbstractUI.aspx?menuIndex=3&amp;refID=7065575&amp;Result=3","7065575")</f>
        <v>0</v>
      </c>
      <c r="B955" t="s">
        <v>476</v>
      </c>
      <c r="C955" t="s">
        <v>4464</v>
      </c>
      <c r="D955" t="s">
        <v>18788</v>
      </c>
      <c r="E955" t="s">
        <v>19785</v>
      </c>
      <c r="F955" t="s">
        <v>32664</v>
      </c>
      <c r="G955" t="s">
        <v>32672</v>
      </c>
      <c r="H955" t="s">
        <v>32683</v>
      </c>
      <c r="I955" t="s">
        <v>10627</v>
      </c>
      <c r="J955" t="s">
        <v>33001</v>
      </c>
      <c r="K955" t="s">
        <v>42298</v>
      </c>
      <c r="M955" t="s">
        <v>43051</v>
      </c>
      <c r="N955" t="s">
        <v>46569</v>
      </c>
      <c r="O955" t="s">
        <v>46570</v>
      </c>
      <c r="P955">
        <v>0</v>
      </c>
      <c r="Q955">
        <v>0</v>
      </c>
      <c r="R955" t="s">
        <v>46571</v>
      </c>
      <c r="S955" t="s">
        <v>46687</v>
      </c>
      <c r="T955" t="s">
        <v>48308</v>
      </c>
      <c r="U955" t="s">
        <v>49628</v>
      </c>
      <c r="W955" t="s">
        <v>43051</v>
      </c>
      <c r="X955" t="s">
        <v>46572</v>
      </c>
    </row>
    <row r="956" spans="1:24">
      <c r="A956">
        <f>HYPERLINK("https://www.philgeps.gov.ph/GEPSNONPILOT/Tender/SplashBidNoticeAbstractUI.aspx?menuIndex=3&amp;refID=7065545&amp;Result=3","7065545")</f>
        <v>0</v>
      </c>
      <c r="B956" t="s">
        <v>418</v>
      </c>
      <c r="C956" t="s">
        <v>4465</v>
      </c>
      <c r="D956" t="s">
        <v>18784</v>
      </c>
      <c r="E956" t="s">
        <v>19786</v>
      </c>
      <c r="F956" t="s">
        <v>32664</v>
      </c>
      <c r="G956" t="s">
        <v>32672</v>
      </c>
      <c r="H956" t="s">
        <v>12635</v>
      </c>
      <c r="I956" t="s">
        <v>6168</v>
      </c>
      <c r="J956" t="s">
        <v>33562</v>
      </c>
      <c r="K956" t="s">
        <v>42289</v>
      </c>
      <c r="M956" t="s">
        <v>42989</v>
      </c>
      <c r="N956" t="s">
        <v>46569</v>
      </c>
      <c r="O956" t="s">
        <v>46570</v>
      </c>
      <c r="P956">
        <v>0</v>
      </c>
      <c r="Q956">
        <v>0</v>
      </c>
      <c r="R956" t="s">
        <v>46571</v>
      </c>
      <c r="S956" t="s">
        <v>46687</v>
      </c>
      <c r="T956" t="s">
        <v>48226</v>
      </c>
      <c r="U956" t="s">
        <v>49404</v>
      </c>
      <c r="W956" t="s">
        <v>42989</v>
      </c>
      <c r="X956" t="s">
        <v>46572</v>
      </c>
    </row>
    <row r="957" spans="1:24">
      <c r="A957">
        <f>HYPERLINK("https://www.philgeps.gov.ph/GEPSNONPILOT/Tender/SplashBidNoticeAbstractUI.aspx?menuIndex=3&amp;refID=7065556&amp;Result=3","7065556")</f>
        <v>0</v>
      </c>
      <c r="B957" t="s">
        <v>477</v>
      </c>
      <c r="C957" t="s">
        <v>4466</v>
      </c>
      <c r="E957" t="s">
        <v>19787</v>
      </c>
      <c r="F957" t="s">
        <v>32664</v>
      </c>
      <c r="G957" t="s">
        <v>32672</v>
      </c>
      <c r="H957" t="s">
        <v>12635</v>
      </c>
      <c r="I957" t="s">
        <v>4439</v>
      </c>
      <c r="J957" t="s">
        <v>32853</v>
      </c>
      <c r="K957" t="s">
        <v>42309</v>
      </c>
      <c r="M957" t="s">
        <v>43052</v>
      </c>
      <c r="N957" t="s">
        <v>46569</v>
      </c>
      <c r="O957" t="s">
        <v>46570</v>
      </c>
      <c r="P957">
        <v>0</v>
      </c>
      <c r="Q957">
        <v>0</v>
      </c>
      <c r="R957" t="s">
        <v>46571</v>
      </c>
      <c r="S957" t="s">
        <v>46687</v>
      </c>
      <c r="T957" t="s">
        <v>48230</v>
      </c>
      <c r="U957" t="s">
        <v>49627</v>
      </c>
      <c r="W957" t="s">
        <v>43052</v>
      </c>
      <c r="X957" t="s">
        <v>46572</v>
      </c>
    </row>
    <row r="958" spans="1:24">
      <c r="A958">
        <f>HYPERLINK("https://www.philgeps.gov.ph/GEPSNONPILOT/Tender/SplashBidNoticeAbstractUI.aspx?menuIndex=3&amp;refID=7065573&amp;Result=3","7065573")</f>
        <v>0</v>
      </c>
      <c r="B958" t="s">
        <v>479</v>
      </c>
      <c r="C958" t="s">
        <v>4467</v>
      </c>
      <c r="D958" t="s">
        <v>18806</v>
      </c>
      <c r="E958" t="s">
        <v>19010</v>
      </c>
      <c r="F958" t="s">
        <v>32664</v>
      </c>
      <c r="G958" t="s">
        <v>32672</v>
      </c>
      <c r="H958" t="s">
        <v>12635</v>
      </c>
      <c r="I958" t="s">
        <v>9486</v>
      </c>
      <c r="J958" t="s">
        <v>33563</v>
      </c>
      <c r="K958" t="s">
        <v>42298</v>
      </c>
      <c r="M958" t="s">
        <v>43054</v>
      </c>
      <c r="N958" t="s">
        <v>46569</v>
      </c>
      <c r="O958" t="s">
        <v>46570</v>
      </c>
      <c r="P958">
        <v>0</v>
      </c>
      <c r="Q958">
        <v>0</v>
      </c>
      <c r="R958" t="s">
        <v>46571</v>
      </c>
      <c r="S958" t="s">
        <v>46687</v>
      </c>
      <c r="T958" t="s">
        <v>48237</v>
      </c>
      <c r="U958" t="s">
        <v>49631</v>
      </c>
      <c r="W958" t="s">
        <v>43054</v>
      </c>
      <c r="X958" t="s">
        <v>46572</v>
      </c>
    </row>
    <row r="959" spans="1:24">
      <c r="A959">
        <f>HYPERLINK("https://www.philgeps.gov.ph/GEPSNONPILOT/Tender/SplashBidNoticeAbstractUI.aspx?menuIndex=3&amp;refID=7065568&amp;Result=3","7065568")</f>
        <v>0</v>
      </c>
      <c r="B959" t="s">
        <v>477</v>
      </c>
      <c r="C959" t="s">
        <v>4468</v>
      </c>
      <c r="D959" t="s">
        <v>18784</v>
      </c>
      <c r="E959" t="s">
        <v>19788</v>
      </c>
      <c r="F959" t="s">
        <v>32664</v>
      </c>
      <c r="G959" t="s">
        <v>32672</v>
      </c>
      <c r="H959" t="s">
        <v>12635</v>
      </c>
      <c r="I959" t="s">
        <v>10590</v>
      </c>
      <c r="J959" t="s">
        <v>33159</v>
      </c>
      <c r="K959" t="s">
        <v>42309</v>
      </c>
      <c r="M959" t="s">
        <v>43052</v>
      </c>
      <c r="N959" t="s">
        <v>46569</v>
      </c>
      <c r="O959" t="s">
        <v>46570</v>
      </c>
      <c r="P959">
        <v>0</v>
      </c>
      <c r="Q959">
        <v>0</v>
      </c>
      <c r="R959" t="s">
        <v>46571</v>
      </c>
      <c r="S959" t="s">
        <v>46687</v>
      </c>
      <c r="T959" t="s">
        <v>48230</v>
      </c>
      <c r="U959" t="s">
        <v>49627</v>
      </c>
      <c r="W959" t="s">
        <v>43052</v>
      </c>
      <c r="X959" t="s">
        <v>46572</v>
      </c>
    </row>
    <row r="960" spans="1:24">
      <c r="A960">
        <f>HYPERLINK("https://www.philgeps.gov.ph/GEPSNONPILOT/Tender/SplashBidNoticeAbstractUI.aspx?menuIndex=3&amp;refID=7065576&amp;Result=3","7065576")</f>
        <v>0</v>
      </c>
      <c r="B960" t="s">
        <v>477</v>
      </c>
      <c r="C960" t="s">
        <v>4469</v>
      </c>
      <c r="D960" t="s">
        <v>18784</v>
      </c>
      <c r="E960" t="s">
        <v>19789</v>
      </c>
      <c r="F960" t="s">
        <v>32664</v>
      </c>
      <c r="G960" t="s">
        <v>32674</v>
      </c>
      <c r="H960" t="s">
        <v>12635</v>
      </c>
      <c r="I960" t="s">
        <v>8730</v>
      </c>
      <c r="J960" t="s">
        <v>33126</v>
      </c>
      <c r="K960" t="s">
        <v>42283</v>
      </c>
      <c r="M960" t="s">
        <v>43052</v>
      </c>
      <c r="N960" t="s">
        <v>46569</v>
      </c>
      <c r="O960" t="s">
        <v>46570</v>
      </c>
      <c r="P960">
        <v>0</v>
      </c>
      <c r="Q960">
        <v>1</v>
      </c>
      <c r="R960" t="s">
        <v>46571</v>
      </c>
      <c r="S960" t="s">
        <v>46687</v>
      </c>
      <c r="T960" t="s">
        <v>48304</v>
      </c>
      <c r="U960" t="s">
        <v>49627</v>
      </c>
      <c r="W960" t="s">
        <v>43052</v>
      </c>
      <c r="X960" t="s">
        <v>46572</v>
      </c>
    </row>
    <row r="961" spans="1:24">
      <c r="A961">
        <f>HYPERLINK("https://www.philgeps.gov.ph/GEPSNONPILOT/Tender/SplashBidNoticeAbstractUI.aspx?menuIndex=3&amp;refID=7065574&amp;Result=3","7065574")</f>
        <v>0</v>
      </c>
      <c r="B961" t="s">
        <v>235</v>
      </c>
      <c r="C961" t="s">
        <v>4470</v>
      </c>
      <c r="D961" t="s">
        <v>18846</v>
      </c>
      <c r="E961" t="s">
        <v>19790</v>
      </c>
      <c r="F961" t="s">
        <v>32664</v>
      </c>
      <c r="G961" t="s">
        <v>32671</v>
      </c>
      <c r="H961" t="s">
        <v>32683</v>
      </c>
      <c r="I961" t="s">
        <v>4439</v>
      </c>
      <c r="J961" t="s">
        <v>33564</v>
      </c>
      <c r="K961" t="s">
        <v>42303</v>
      </c>
      <c r="M961" t="s">
        <v>42800</v>
      </c>
      <c r="N961" t="s">
        <v>46569</v>
      </c>
      <c r="O961" t="s">
        <v>46570</v>
      </c>
      <c r="P961">
        <v>0</v>
      </c>
      <c r="Q961">
        <v>0</v>
      </c>
      <c r="R961" t="s">
        <v>46571</v>
      </c>
      <c r="S961" t="s">
        <v>46687</v>
      </c>
      <c r="T961" t="s">
        <v>48293</v>
      </c>
      <c r="U961" t="s">
        <v>49632</v>
      </c>
      <c r="W961" t="s">
        <v>42800</v>
      </c>
      <c r="X961" t="s">
        <v>46572</v>
      </c>
    </row>
    <row r="962" spans="1:24">
      <c r="A962">
        <f>HYPERLINK("https://www.philgeps.gov.ph/GEPSNONPILOT/Tender/SplashBidNoticeAbstractUI.aspx?menuIndex=3&amp;refID=7065547&amp;Result=3","7065547")</f>
        <v>0</v>
      </c>
      <c r="B962" t="s">
        <v>418</v>
      </c>
      <c r="C962" t="s">
        <v>4471</v>
      </c>
      <c r="D962" t="s">
        <v>18784</v>
      </c>
      <c r="E962" t="s">
        <v>19791</v>
      </c>
      <c r="F962" t="s">
        <v>32664</v>
      </c>
      <c r="G962" t="s">
        <v>32672</v>
      </c>
      <c r="H962" t="s">
        <v>12635</v>
      </c>
      <c r="I962" t="s">
        <v>6168</v>
      </c>
      <c r="J962" t="s">
        <v>32898</v>
      </c>
      <c r="K962" t="s">
        <v>42289</v>
      </c>
      <c r="M962" t="s">
        <v>42989</v>
      </c>
      <c r="N962" t="s">
        <v>46569</v>
      </c>
      <c r="O962" t="s">
        <v>46570</v>
      </c>
      <c r="P962">
        <v>0</v>
      </c>
      <c r="Q962">
        <v>0</v>
      </c>
      <c r="R962" t="s">
        <v>46571</v>
      </c>
      <c r="S962" t="s">
        <v>46687</v>
      </c>
      <c r="T962" t="s">
        <v>48226</v>
      </c>
      <c r="U962" t="s">
        <v>49404</v>
      </c>
      <c r="W962" t="s">
        <v>42989</v>
      </c>
      <c r="X962" t="s">
        <v>46572</v>
      </c>
    </row>
    <row r="963" spans="1:24">
      <c r="A963">
        <f>HYPERLINK("https://www.philgeps.gov.ph/GEPSNONPILOT/Tender/SplashBidNoticeAbstractUI.aspx?menuIndex=3&amp;refID=7065565&amp;Result=3","7065565")</f>
        <v>0</v>
      </c>
      <c r="B963" t="s">
        <v>477</v>
      </c>
      <c r="C963" t="s">
        <v>4472</v>
      </c>
      <c r="D963" t="s">
        <v>18784</v>
      </c>
      <c r="E963" t="s">
        <v>19792</v>
      </c>
      <c r="F963" t="s">
        <v>32664</v>
      </c>
      <c r="G963" t="s">
        <v>32672</v>
      </c>
      <c r="H963" t="s">
        <v>12635</v>
      </c>
      <c r="I963" t="s">
        <v>32719</v>
      </c>
      <c r="J963" t="s">
        <v>32853</v>
      </c>
      <c r="K963" t="s">
        <v>42309</v>
      </c>
      <c r="M963" t="s">
        <v>43052</v>
      </c>
      <c r="N963" t="s">
        <v>46569</v>
      </c>
      <c r="O963" t="s">
        <v>46570</v>
      </c>
      <c r="P963">
        <v>0</v>
      </c>
      <c r="Q963">
        <v>0</v>
      </c>
      <c r="R963" t="s">
        <v>46571</v>
      </c>
      <c r="S963" t="s">
        <v>46687</v>
      </c>
      <c r="T963" t="s">
        <v>48230</v>
      </c>
      <c r="U963" t="s">
        <v>49627</v>
      </c>
      <c r="W963" t="s">
        <v>43052</v>
      </c>
      <c r="X963" t="s">
        <v>46572</v>
      </c>
    </row>
    <row r="964" spans="1:24">
      <c r="A964">
        <f>HYPERLINK("https://www.philgeps.gov.ph/GEPSNONPILOT/Tender/SplashBidNoticeAbstractUI.aspx?menuIndex=3&amp;refID=7065562&amp;Result=3","7065562")</f>
        <v>0</v>
      </c>
      <c r="B964" t="s">
        <v>480</v>
      </c>
      <c r="C964" t="s">
        <v>4473</v>
      </c>
      <c r="D964" t="s">
        <v>18794</v>
      </c>
      <c r="E964" t="s">
        <v>19793</v>
      </c>
      <c r="F964" t="s">
        <v>32664</v>
      </c>
      <c r="G964" t="s">
        <v>32671</v>
      </c>
      <c r="H964" t="s">
        <v>12635</v>
      </c>
      <c r="I964" t="s">
        <v>6628</v>
      </c>
      <c r="J964" t="s">
        <v>33565</v>
      </c>
      <c r="K964" t="s">
        <v>42281</v>
      </c>
      <c r="M964" t="s">
        <v>43055</v>
      </c>
      <c r="N964" t="s">
        <v>46569</v>
      </c>
      <c r="O964" t="s">
        <v>46570</v>
      </c>
      <c r="P964">
        <v>0</v>
      </c>
      <c r="Q964">
        <v>1</v>
      </c>
      <c r="R964" t="s">
        <v>46571</v>
      </c>
      <c r="S964" t="s">
        <v>46687</v>
      </c>
      <c r="T964" t="s">
        <v>48303</v>
      </c>
      <c r="U964" t="s">
        <v>49633</v>
      </c>
      <c r="W964" t="s">
        <v>43055</v>
      </c>
      <c r="X964" t="s">
        <v>46572</v>
      </c>
    </row>
    <row r="965" spans="1:24">
      <c r="A965">
        <f>HYPERLINK("https://www.philgeps.gov.ph/GEPSNONPILOT/Tender/SplashBidNoticeAbstractUI.aspx?menuIndex=3&amp;refID=7065567&amp;Result=3","7065567")</f>
        <v>0</v>
      </c>
      <c r="B965" t="s">
        <v>418</v>
      </c>
      <c r="C965" t="s">
        <v>4474</v>
      </c>
      <c r="D965" t="s">
        <v>18784</v>
      </c>
      <c r="E965" t="s">
        <v>19794</v>
      </c>
      <c r="F965" t="s">
        <v>32664</v>
      </c>
      <c r="G965" t="s">
        <v>32672</v>
      </c>
      <c r="H965" t="s">
        <v>12635</v>
      </c>
      <c r="I965" t="s">
        <v>6118</v>
      </c>
      <c r="J965" t="s">
        <v>33566</v>
      </c>
      <c r="K965" t="s">
        <v>42289</v>
      </c>
      <c r="M965" t="s">
        <v>42989</v>
      </c>
      <c r="N965" t="s">
        <v>46569</v>
      </c>
      <c r="O965" t="s">
        <v>46570</v>
      </c>
      <c r="P965">
        <v>0</v>
      </c>
      <c r="Q965">
        <v>0</v>
      </c>
      <c r="R965" t="s">
        <v>46571</v>
      </c>
      <c r="S965" t="s">
        <v>46687</v>
      </c>
      <c r="T965" t="s">
        <v>48226</v>
      </c>
      <c r="U965" t="s">
        <v>49634</v>
      </c>
      <c r="W965" t="s">
        <v>42989</v>
      </c>
      <c r="X965" t="s">
        <v>46572</v>
      </c>
    </row>
    <row r="966" spans="1:24">
      <c r="A966">
        <f>HYPERLINK("https://www.philgeps.gov.ph/GEPSNONPILOT/Tender/SplashBidNoticeAbstractUI.aspx?menuIndex=3&amp;refID=7065570&amp;Result=3","7065570")</f>
        <v>0</v>
      </c>
      <c r="B966" t="s">
        <v>481</v>
      </c>
      <c r="C966" t="s">
        <v>4475</v>
      </c>
      <c r="D966" t="s">
        <v>18801</v>
      </c>
      <c r="E966" t="s">
        <v>19795</v>
      </c>
      <c r="F966" t="s">
        <v>32666</v>
      </c>
      <c r="G966" t="s">
        <v>32674</v>
      </c>
      <c r="H966" t="s">
        <v>12635</v>
      </c>
      <c r="I966" t="s">
        <v>5501</v>
      </c>
      <c r="J966" t="s">
        <v>33567</v>
      </c>
      <c r="K966" t="s">
        <v>42295</v>
      </c>
      <c r="M966" t="s">
        <v>43056</v>
      </c>
      <c r="N966" t="s">
        <v>46569</v>
      </c>
      <c r="O966" t="s">
        <v>46570</v>
      </c>
      <c r="P966">
        <v>0</v>
      </c>
      <c r="Q966">
        <v>3</v>
      </c>
      <c r="R966" t="s">
        <v>46571</v>
      </c>
      <c r="S966" t="s">
        <v>46687</v>
      </c>
      <c r="T966" t="s">
        <v>48356</v>
      </c>
      <c r="U966" t="s">
        <v>49635</v>
      </c>
      <c r="W966" t="s">
        <v>43056</v>
      </c>
      <c r="X966" t="s">
        <v>46572</v>
      </c>
    </row>
    <row r="967" spans="1:24">
      <c r="A967">
        <f>HYPERLINK("https://www.philgeps.gov.ph/GEPSNONPILOT/Tender/SplashBidNoticeAbstractUI.aspx?menuIndex=3&amp;refID=7065544&amp;Result=3","7065544")</f>
        <v>0</v>
      </c>
      <c r="B967" t="s">
        <v>413</v>
      </c>
      <c r="C967" t="s">
        <v>4476</v>
      </c>
      <c r="D967" t="s">
        <v>18799</v>
      </c>
      <c r="E967" t="s">
        <v>19796</v>
      </c>
      <c r="F967" t="s">
        <v>32664</v>
      </c>
      <c r="G967" t="s">
        <v>32671</v>
      </c>
      <c r="H967" t="s">
        <v>12635</v>
      </c>
      <c r="I967" t="s">
        <v>4439</v>
      </c>
      <c r="J967" t="s">
        <v>33568</v>
      </c>
      <c r="K967" t="s">
        <v>42289</v>
      </c>
      <c r="M967" t="s">
        <v>42984</v>
      </c>
      <c r="N967" t="s">
        <v>46569</v>
      </c>
      <c r="O967" t="s">
        <v>46570</v>
      </c>
      <c r="P967">
        <v>0</v>
      </c>
      <c r="Q967">
        <v>0</v>
      </c>
      <c r="R967" t="s">
        <v>46571</v>
      </c>
      <c r="S967" t="s">
        <v>46687</v>
      </c>
      <c r="T967" t="s">
        <v>48343</v>
      </c>
      <c r="U967" t="s">
        <v>49636</v>
      </c>
      <c r="W967" t="s">
        <v>42984</v>
      </c>
      <c r="X967" t="s">
        <v>46572</v>
      </c>
    </row>
    <row r="968" spans="1:24">
      <c r="A968">
        <f>HYPERLINK("https://www.philgeps.gov.ph/GEPSNONPILOT/Tender/SplashBidNoticeAbstractUI.aspx?menuIndex=3&amp;refID=7065543&amp;Result=3","7065543")</f>
        <v>0</v>
      </c>
      <c r="B968" t="s">
        <v>482</v>
      </c>
      <c r="C968" t="s">
        <v>4477</v>
      </c>
      <c r="D968" t="s">
        <v>18838</v>
      </c>
      <c r="E968" t="s">
        <v>19797</v>
      </c>
      <c r="F968" t="s">
        <v>32664</v>
      </c>
      <c r="G968" t="s">
        <v>32675</v>
      </c>
      <c r="H968" t="s">
        <v>12635</v>
      </c>
      <c r="I968" t="s">
        <v>32746</v>
      </c>
      <c r="J968" t="s">
        <v>32842</v>
      </c>
      <c r="K968" t="s">
        <v>42284</v>
      </c>
      <c r="M968" t="s">
        <v>43057</v>
      </c>
      <c r="N968" t="s">
        <v>46569</v>
      </c>
      <c r="O968" t="s">
        <v>46570</v>
      </c>
      <c r="P968">
        <v>0</v>
      </c>
      <c r="Q968">
        <v>0</v>
      </c>
      <c r="R968" t="s">
        <v>46571</v>
      </c>
      <c r="S968" t="s">
        <v>46687</v>
      </c>
      <c r="T968" t="s">
        <v>48217</v>
      </c>
      <c r="U968" t="s">
        <v>49637</v>
      </c>
      <c r="W968" t="s">
        <v>63479</v>
      </c>
      <c r="X968" t="s">
        <v>46572</v>
      </c>
    </row>
    <row r="969" spans="1:24">
      <c r="A969">
        <f>HYPERLINK("https://www.philgeps.gov.ph/GEPSNONPILOT/Tender/SplashBidNoticeAbstractUI.aspx?menuIndex=3&amp;refID=7065520&amp;Result=3","7065520")</f>
        <v>0</v>
      </c>
      <c r="B969" t="s">
        <v>456</v>
      </c>
      <c r="C969" t="s">
        <v>4478</v>
      </c>
      <c r="D969" t="s">
        <v>18788</v>
      </c>
      <c r="E969" t="s">
        <v>19798</v>
      </c>
      <c r="F969" t="s">
        <v>32664</v>
      </c>
      <c r="G969" t="s">
        <v>32674</v>
      </c>
      <c r="H969" t="s">
        <v>12635</v>
      </c>
      <c r="I969" t="s">
        <v>8797</v>
      </c>
      <c r="J969" t="s">
        <v>33569</v>
      </c>
      <c r="K969" t="s">
        <v>42289</v>
      </c>
      <c r="M969" t="s">
        <v>43029</v>
      </c>
      <c r="N969" t="s">
        <v>46569</v>
      </c>
      <c r="O969" t="s">
        <v>46570</v>
      </c>
      <c r="P969">
        <v>0</v>
      </c>
      <c r="Q969">
        <v>1</v>
      </c>
      <c r="R969" t="s">
        <v>46571</v>
      </c>
      <c r="S969" t="s">
        <v>46687</v>
      </c>
      <c r="T969" t="s">
        <v>48256</v>
      </c>
      <c r="U969" t="s">
        <v>49638</v>
      </c>
      <c r="W969" t="s">
        <v>43029</v>
      </c>
      <c r="X969" t="s">
        <v>46572</v>
      </c>
    </row>
    <row r="970" spans="1:24">
      <c r="A970">
        <f>HYPERLINK("https://www.philgeps.gov.ph/GEPSNONPILOT/Tender/SplashBidNoticeAbstractUI.aspx?menuIndex=3&amp;refID=7065541&amp;Result=3","7065541")</f>
        <v>0</v>
      </c>
      <c r="B970" t="s">
        <v>107</v>
      </c>
      <c r="C970" t="s">
        <v>4479</v>
      </c>
      <c r="D970" t="s">
        <v>18804</v>
      </c>
      <c r="E970" t="s">
        <v>19799</v>
      </c>
      <c r="F970" t="s">
        <v>32664</v>
      </c>
      <c r="G970" t="s">
        <v>32671</v>
      </c>
      <c r="H970" t="s">
        <v>12635</v>
      </c>
      <c r="I970" t="s">
        <v>8958</v>
      </c>
      <c r="J970" t="s">
        <v>33570</v>
      </c>
      <c r="K970" t="s">
        <v>42289</v>
      </c>
      <c r="M970" t="s">
        <v>42671</v>
      </c>
      <c r="N970" t="s">
        <v>46569</v>
      </c>
      <c r="O970" t="s">
        <v>46570</v>
      </c>
      <c r="P970">
        <v>0</v>
      </c>
      <c r="Q970">
        <v>1</v>
      </c>
      <c r="R970" t="s">
        <v>46571</v>
      </c>
      <c r="S970" t="s">
        <v>46687</v>
      </c>
      <c r="T970" t="s">
        <v>48213</v>
      </c>
      <c r="U970" t="s">
        <v>49401</v>
      </c>
      <c r="W970" t="s">
        <v>42671</v>
      </c>
      <c r="X970" t="s">
        <v>46572</v>
      </c>
    </row>
    <row r="971" spans="1:24">
      <c r="A971">
        <f>HYPERLINK("https://www.philgeps.gov.ph/GEPSNONPILOT/Tender/SplashBidNoticeAbstractUI.aspx?menuIndex=3&amp;refID=7065496&amp;Result=3","7065496")</f>
        <v>0</v>
      </c>
      <c r="B971" t="s">
        <v>446</v>
      </c>
      <c r="C971" t="s">
        <v>4480</v>
      </c>
      <c r="D971" t="s">
        <v>18805</v>
      </c>
      <c r="E971" t="s">
        <v>19800</v>
      </c>
      <c r="F971" t="s">
        <v>32664</v>
      </c>
      <c r="G971" t="s">
        <v>32672</v>
      </c>
      <c r="H971" t="s">
        <v>12635</v>
      </c>
      <c r="I971" t="s">
        <v>10361</v>
      </c>
      <c r="J971" t="s">
        <v>33571</v>
      </c>
      <c r="K971" t="s">
        <v>42297</v>
      </c>
      <c r="M971" t="s">
        <v>43019</v>
      </c>
      <c r="N971" t="s">
        <v>46569</v>
      </c>
      <c r="O971" t="s">
        <v>46570</v>
      </c>
      <c r="P971">
        <v>0</v>
      </c>
      <c r="Q971">
        <v>0</v>
      </c>
      <c r="R971" t="s">
        <v>46571</v>
      </c>
      <c r="S971" t="s">
        <v>46687</v>
      </c>
      <c r="T971" t="s">
        <v>48357</v>
      </c>
      <c r="U971" t="s">
        <v>49639</v>
      </c>
      <c r="W971" t="s">
        <v>43019</v>
      </c>
      <c r="X971" t="s">
        <v>46572</v>
      </c>
    </row>
    <row r="972" spans="1:24">
      <c r="A972">
        <f>HYPERLINK("https://www.philgeps.gov.ph/GEPSNONPILOT/Tender/SplashBidNoticeAbstractUI.aspx?menuIndex=3&amp;refID=7065478&amp;Result=3","7065478")</f>
        <v>0</v>
      </c>
      <c r="B972" t="s">
        <v>483</v>
      </c>
      <c r="C972" t="s">
        <v>4481</v>
      </c>
      <c r="D972" t="s">
        <v>18805</v>
      </c>
      <c r="E972" t="s">
        <v>19801</v>
      </c>
      <c r="F972" t="s">
        <v>32664</v>
      </c>
      <c r="G972" t="s">
        <v>32671</v>
      </c>
      <c r="H972" t="s">
        <v>12635</v>
      </c>
      <c r="I972" t="s">
        <v>5589</v>
      </c>
      <c r="J972" t="s">
        <v>33051</v>
      </c>
      <c r="K972" t="s">
        <v>42284</v>
      </c>
      <c r="M972" t="s">
        <v>43058</v>
      </c>
      <c r="N972" t="s">
        <v>46569</v>
      </c>
      <c r="O972" t="s">
        <v>46570</v>
      </c>
      <c r="P972">
        <v>0</v>
      </c>
      <c r="Q972">
        <v>2</v>
      </c>
      <c r="R972" t="s">
        <v>46571</v>
      </c>
      <c r="S972" t="s">
        <v>46687</v>
      </c>
      <c r="T972" t="s">
        <v>48245</v>
      </c>
      <c r="U972" t="s">
        <v>49640</v>
      </c>
      <c r="W972" t="s">
        <v>43058</v>
      </c>
      <c r="X972" t="s">
        <v>46572</v>
      </c>
    </row>
    <row r="973" spans="1:24">
      <c r="A973">
        <f>HYPERLINK("https://www.philgeps.gov.ph/GEPSNONPILOT/Tender/SplashBidNoticeAbstractUI.aspx?menuIndex=3&amp;refID=7065572&amp;Result=3","7065572")</f>
        <v>0</v>
      </c>
      <c r="B973" t="s">
        <v>484</v>
      </c>
      <c r="C973" t="s">
        <v>4482</v>
      </c>
      <c r="D973" t="s">
        <v>18792</v>
      </c>
      <c r="E973" t="s">
        <v>19802</v>
      </c>
      <c r="F973" t="s">
        <v>32664</v>
      </c>
      <c r="G973" t="s">
        <v>32672</v>
      </c>
      <c r="H973" t="s">
        <v>12635</v>
      </c>
      <c r="I973" t="s">
        <v>8730</v>
      </c>
      <c r="J973" t="s">
        <v>33572</v>
      </c>
      <c r="K973" t="s">
        <v>42289</v>
      </c>
      <c r="M973" t="s">
        <v>43059</v>
      </c>
      <c r="N973" t="s">
        <v>46569</v>
      </c>
      <c r="O973" t="s">
        <v>46570</v>
      </c>
      <c r="P973">
        <v>0</v>
      </c>
      <c r="Q973">
        <v>0</v>
      </c>
      <c r="R973" t="s">
        <v>46571</v>
      </c>
      <c r="S973" t="s">
        <v>46687</v>
      </c>
      <c r="T973" t="s">
        <v>48222</v>
      </c>
      <c r="U973" t="s">
        <v>49641</v>
      </c>
      <c r="V973" t="s">
        <v>61734</v>
      </c>
      <c r="W973" t="s">
        <v>63480</v>
      </c>
      <c r="X973" t="s">
        <v>46572</v>
      </c>
    </row>
    <row r="974" spans="1:24">
      <c r="A974">
        <f>HYPERLINK("https://www.philgeps.gov.ph/GEPSNONPILOT/Tender/SplashBidNoticeAbstractUI.aspx?menuIndex=3&amp;refID=7065521&amp;Result=3","7065521")</f>
        <v>0</v>
      </c>
      <c r="B974" t="s">
        <v>430</v>
      </c>
      <c r="C974" t="s">
        <v>4483</v>
      </c>
      <c r="D974" t="s">
        <v>18831</v>
      </c>
      <c r="E974" t="s">
        <v>19803</v>
      </c>
      <c r="F974" t="s">
        <v>32664</v>
      </c>
      <c r="G974" t="s">
        <v>32672</v>
      </c>
      <c r="H974" t="s">
        <v>12635</v>
      </c>
      <c r="I974" t="s">
        <v>32747</v>
      </c>
      <c r="J974" t="s">
        <v>33573</v>
      </c>
      <c r="K974" t="s">
        <v>42281</v>
      </c>
      <c r="M974" t="s">
        <v>43001</v>
      </c>
      <c r="N974" t="s">
        <v>46569</v>
      </c>
      <c r="O974" t="s">
        <v>46570</v>
      </c>
      <c r="P974">
        <v>0</v>
      </c>
      <c r="Q974">
        <v>0</v>
      </c>
      <c r="R974" t="s">
        <v>46571</v>
      </c>
      <c r="S974" t="s">
        <v>46687</v>
      </c>
      <c r="T974" t="s">
        <v>48358</v>
      </c>
      <c r="U974" t="s">
        <v>49642</v>
      </c>
      <c r="W974" t="s">
        <v>43001</v>
      </c>
      <c r="X974" t="s">
        <v>46572</v>
      </c>
    </row>
    <row r="975" spans="1:24">
      <c r="A975">
        <f>HYPERLINK("https://www.philgeps.gov.ph/GEPSNONPILOT/Tender/SplashBidNoticeAbstractUI.aspx?menuIndex=3&amp;refID=7065550&amp;Result=3","7065550")</f>
        <v>0</v>
      </c>
      <c r="B975" t="s">
        <v>467</v>
      </c>
      <c r="C975" t="s">
        <v>4484</v>
      </c>
      <c r="D975" t="s">
        <v>18834</v>
      </c>
      <c r="E975" t="s">
        <v>19804</v>
      </c>
      <c r="F975" t="s">
        <v>32664</v>
      </c>
      <c r="G975" t="s">
        <v>32671</v>
      </c>
      <c r="H975" t="s">
        <v>12635</v>
      </c>
      <c r="I975" t="s">
        <v>6628</v>
      </c>
      <c r="J975" t="s">
        <v>33574</v>
      </c>
      <c r="K975" t="s">
        <v>42284</v>
      </c>
      <c r="M975" t="s">
        <v>43042</v>
      </c>
      <c r="N975" t="s">
        <v>46569</v>
      </c>
      <c r="O975" t="s">
        <v>46570</v>
      </c>
      <c r="P975">
        <v>0</v>
      </c>
      <c r="Q975">
        <v>0</v>
      </c>
      <c r="R975" t="s">
        <v>46571</v>
      </c>
      <c r="S975" t="s">
        <v>46687</v>
      </c>
      <c r="T975" t="s">
        <v>48293</v>
      </c>
      <c r="U975" t="s">
        <v>49616</v>
      </c>
      <c r="W975" t="s">
        <v>43042</v>
      </c>
      <c r="X975" t="s">
        <v>46572</v>
      </c>
    </row>
    <row r="976" spans="1:24">
      <c r="A976">
        <f>HYPERLINK("https://www.philgeps.gov.ph/GEPSNONPILOT/Tender/SplashBidNoticeAbstractUI.aspx?menuIndex=3&amp;refID=7065479&amp;Result=3","7065479")</f>
        <v>0</v>
      </c>
      <c r="B976" t="s">
        <v>417</v>
      </c>
      <c r="C976" t="s">
        <v>4485</v>
      </c>
      <c r="D976" t="s">
        <v>18789</v>
      </c>
      <c r="E976" t="s">
        <v>19761</v>
      </c>
      <c r="F976" t="s">
        <v>32664</v>
      </c>
      <c r="G976" t="s">
        <v>32672</v>
      </c>
      <c r="H976" t="s">
        <v>12635</v>
      </c>
      <c r="I976" t="s">
        <v>4439</v>
      </c>
      <c r="J976" t="s">
        <v>33575</v>
      </c>
      <c r="K976" t="s">
        <v>42297</v>
      </c>
      <c r="M976" t="s">
        <v>42988</v>
      </c>
      <c r="N976" t="s">
        <v>46569</v>
      </c>
      <c r="O976" t="s">
        <v>46570</v>
      </c>
      <c r="P976">
        <v>0</v>
      </c>
      <c r="Q976">
        <v>1</v>
      </c>
      <c r="R976" t="s">
        <v>46571</v>
      </c>
      <c r="S976" t="s">
        <v>46687</v>
      </c>
      <c r="T976" t="s">
        <v>48345</v>
      </c>
      <c r="U976" t="s">
        <v>49643</v>
      </c>
      <c r="W976" t="s">
        <v>42988</v>
      </c>
      <c r="X976" t="s">
        <v>46572</v>
      </c>
    </row>
    <row r="977" spans="1:24">
      <c r="A977">
        <f>HYPERLINK("https://www.philgeps.gov.ph/GEPSNONPILOT/Tender/SplashBidNoticeAbstractUI.aspx?menuIndex=3&amp;refID=7065474&amp;Result=3","7065474")</f>
        <v>0</v>
      </c>
      <c r="B977" t="s">
        <v>418</v>
      </c>
      <c r="C977" t="s">
        <v>4486</v>
      </c>
      <c r="D977" t="s">
        <v>18784</v>
      </c>
      <c r="E977" t="s">
        <v>19805</v>
      </c>
      <c r="F977" t="s">
        <v>32664</v>
      </c>
      <c r="G977" t="s">
        <v>32672</v>
      </c>
      <c r="H977" t="s">
        <v>12635</v>
      </c>
      <c r="I977" t="s">
        <v>6168</v>
      </c>
      <c r="J977" t="s">
        <v>33576</v>
      </c>
      <c r="K977" t="s">
        <v>42289</v>
      </c>
      <c r="M977" t="s">
        <v>42989</v>
      </c>
      <c r="N977" t="s">
        <v>46569</v>
      </c>
      <c r="O977" t="s">
        <v>46570</v>
      </c>
      <c r="P977">
        <v>0</v>
      </c>
      <c r="Q977">
        <v>0</v>
      </c>
      <c r="R977" t="s">
        <v>46571</v>
      </c>
      <c r="S977" t="s">
        <v>46687</v>
      </c>
      <c r="T977" t="s">
        <v>48226</v>
      </c>
      <c r="U977" t="s">
        <v>49404</v>
      </c>
      <c r="W977" t="s">
        <v>42989</v>
      </c>
      <c r="X977" t="s">
        <v>46572</v>
      </c>
    </row>
    <row r="978" spans="1:24">
      <c r="A978">
        <f>HYPERLINK("https://www.philgeps.gov.ph/GEPSNONPILOT/Tender/SplashBidNoticeAbstractUI.aspx?menuIndex=3&amp;refID=7065471&amp;Result=3","7065471")</f>
        <v>0</v>
      </c>
      <c r="B978" t="s">
        <v>355</v>
      </c>
      <c r="C978" t="s">
        <v>4487</v>
      </c>
      <c r="D978" t="s">
        <v>18816</v>
      </c>
      <c r="E978" t="s">
        <v>19806</v>
      </c>
      <c r="F978" t="s">
        <v>32664</v>
      </c>
      <c r="G978" t="s">
        <v>32671</v>
      </c>
      <c r="H978" t="s">
        <v>12635</v>
      </c>
      <c r="I978" t="s">
        <v>32699</v>
      </c>
      <c r="J978" t="s">
        <v>33218</v>
      </c>
      <c r="K978" t="s">
        <v>42330</v>
      </c>
      <c r="M978" t="s">
        <v>42924</v>
      </c>
      <c r="N978" t="s">
        <v>46569</v>
      </c>
      <c r="O978" t="s">
        <v>46570</v>
      </c>
      <c r="P978">
        <v>0</v>
      </c>
      <c r="Q978">
        <v>0</v>
      </c>
      <c r="R978" t="s">
        <v>46571</v>
      </c>
      <c r="S978" t="s">
        <v>46687</v>
      </c>
      <c r="T978" t="s">
        <v>48244</v>
      </c>
      <c r="U978" t="s">
        <v>49644</v>
      </c>
      <c r="W978" t="s">
        <v>42924</v>
      </c>
      <c r="X978" t="s">
        <v>46572</v>
      </c>
    </row>
    <row r="979" spans="1:24">
      <c r="A979">
        <f>HYPERLINK("https://www.philgeps.gov.ph/GEPSNONPILOT/Tender/SplashBidNoticeAbstractUI.aspx?menuIndex=3&amp;refID=7065475&amp;Result=3","7065475")</f>
        <v>0</v>
      </c>
      <c r="B979" t="s">
        <v>485</v>
      </c>
      <c r="C979" t="s">
        <v>4488</v>
      </c>
      <c r="D979" t="s">
        <v>18785</v>
      </c>
      <c r="E979" t="s">
        <v>19486</v>
      </c>
      <c r="F979" t="s">
        <v>32664</v>
      </c>
      <c r="G979" t="s">
        <v>32672</v>
      </c>
      <c r="H979" t="s">
        <v>12635</v>
      </c>
      <c r="I979" t="s">
        <v>32744</v>
      </c>
      <c r="J979" t="s">
        <v>33396</v>
      </c>
      <c r="K979" t="s">
        <v>42281</v>
      </c>
      <c r="M979" t="s">
        <v>43060</v>
      </c>
      <c r="N979" t="s">
        <v>46569</v>
      </c>
      <c r="O979" t="s">
        <v>46570</v>
      </c>
      <c r="P979">
        <v>0</v>
      </c>
      <c r="Q979">
        <v>1</v>
      </c>
      <c r="R979" t="s">
        <v>46571</v>
      </c>
      <c r="S979" t="s">
        <v>46687</v>
      </c>
      <c r="T979" t="s">
        <v>48211</v>
      </c>
      <c r="U979" t="s">
        <v>49645</v>
      </c>
      <c r="W979" t="s">
        <v>43060</v>
      </c>
      <c r="X979" t="s">
        <v>46572</v>
      </c>
    </row>
    <row r="980" spans="1:24">
      <c r="A980">
        <f>HYPERLINK("https://www.philgeps.gov.ph/GEPSNONPILOT/Tender/SplashBidNoticeAbstractUI.aspx?menuIndex=3&amp;refID=7065610&amp;Result=3","7065610")</f>
        <v>0</v>
      </c>
      <c r="B980" t="s">
        <v>191</v>
      </c>
      <c r="C980" t="s">
        <v>4489</v>
      </c>
      <c r="D980" t="s">
        <v>18827</v>
      </c>
      <c r="E980" t="s">
        <v>19807</v>
      </c>
      <c r="F980" t="s">
        <v>32664</v>
      </c>
      <c r="G980" t="s">
        <v>32671</v>
      </c>
      <c r="H980" t="s">
        <v>12635</v>
      </c>
      <c r="I980" t="s">
        <v>6223</v>
      </c>
      <c r="J980" t="s">
        <v>33577</v>
      </c>
      <c r="K980" t="s">
        <v>42289</v>
      </c>
      <c r="M980" t="s">
        <v>42755</v>
      </c>
      <c r="N980" t="s">
        <v>46569</v>
      </c>
      <c r="O980" t="s">
        <v>46570</v>
      </c>
      <c r="P980">
        <v>0</v>
      </c>
      <c r="Q980">
        <v>0</v>
      </c>
      <c r="R980" t="s">
        <v>46571</v>
      </c>
      <c r="S980" t="s">
        <v>46687</v>
      </c>
      <c r="T980" t="s">
        <v>48256</v>
      </c>
      <c r="U980" t="s">
        <v>49646</v>
      </c>
      <c r="W980" t="s">
        <v>42755</v>
      </c>
      <c r="X980" t="s">
        <v>46572</v>
      </c>
    </row>
    <row r="981" spans="1:24">
      <c r="A981">
        <f>HYPERLINK("https://www.philgeps.gov.ph/GEPSNONPILOT/Tender/SplashBidNoticeAbstractUI.aspx?menuIndex=3&amp;refID=7065608&amp;Result=3","7065608")</f>
        <v>0</v>
      </c>
      <c r="B981" t="s">
        <v>486</v>
      </c>
      <c r="C981" t="s">
        <v>4490</v>
      </c>
      <c r="D981" t="s">
        <v>18782</v>
      </c>
      <c r="E981" t="s">
        <v>19808</v>
      </c>
      <c r="F981" t="s">
        <v>32664</v>
      </c>
      <c r="G981" t="s">
        <v>32672</v>
      </c>
      <c r="H981" t="s">
        <v>32683</v>
      </c>
      <c r="I981" t="s">
        <v>32716</v>
      </c>
      <c r="J981" t="s">
        <v>32943</v>
      </c>
      <c r="K981" t="s">
        <v>42346</v>
      </c>
      <c r="M981" t="s">
        <v>43061</v>
      </c>
      <c r="N981" t="s">
        <v>46569</v>
      </c>
      <c r="O981" t="s">
        <v>46570</v>
      </c>
      <c r="P981">
        <v>0</v>
      </c>
      <c r="Q981">
        <v>0</v>
      </c>
      <c r="R981" t="s">
        <v>46571</v>
      </c>
      <c r="S981" t="s">
        <v>46687</v>
      </c>
      <c r="T981" t="s">
        <v>48238</v>
      </c>
      <c r="U981" t="s">
        <v>49647</v>
      </c>
      <c r="W981" t="s">
        <v>43061</v>
      </c>
      <c r="X981" t="s">
        <v>46572</v>
      </c>
    </row>
    <row r="982" spans="1:24">
      <c r="A982">
        <f>HYPERLINK("https://www.philgeps.gov.ph/GEPSNONPILOT/Tender/SplashBidNoticeAbstractUI.aspx?menuIndex=3&amp;refID=7065607&amp;Result=3","7065607")</f>
        <v>0</v>
      </c>
      <c r="B982" t="s">
        <v>478</v>
      </c>
      <c r="C982" t="s">
        <v>4491</v>
      </c>
      <c r="D982" t="s">
        <v>18849</v>
      </c>
      <c r="E982" t="s">
        <v>19809</v>
      </c>
      <c r="F982" t="s">
        <v>32664</v>
      </c>
      <c r="G982" t="s">
        <v>32675</v>
      </c>
      <c r="H982" t="s">
        <v>12635</v>
      </c>
      <c r="I982" t="s">
        <v>6168</v>
      </c>
      <c r="J982" t="s">
        <v>32959</v>
      </c>
      <c r="K982" t="s">
        <v>42306</v>
      </c>
      <c r="M982" t="s">
        <v>43053</v>
      </c>
      <c r="N982" t="s">
        <v>46569</v>
      </c>
      <c r="O982" t="s">
        <v>46570</v>
      </c>
      <c r="P982">
        <v>0</v>
      </c>
      <c r="Q982">
        <v>0</v>
      </c>
      <c r="R982" t="s">
        <v>46571</v>
      </c>
      <c r="S982" t="s">
        <v>46687</v>
      </c>
      <c r="T982" t="s">
        <v>48221</v>
      </c>
      <c r="U982" t="s">
        <v>49648</v>
      </c>
      <c r="W982" t="s">
        <v>43053</v>
      </c>
      <c r="X982" t="s">
        <v>46572</v>
      </c>
    </row>
    <row r="983" spans="1:24">
      <c r="A983">
        <f>HYPERLINK("https://www.philgeps.gov.ph/GEPSNONPILOT/Tender/SplashBidNoticeAbstractUI.aspx?menuIndex=3&amp;refID=7065603&amp;Result=3","7065603")</f>
        <v>0</v>
      </c>
      <c r="B983" t="s">
        <v>487</v>
      </c>
      <c r="C983" t="s">
        <v>4492</v>
      </c>
      <c r="D983" t="s">
        <v>18814</v>
      </c>
      <c r="E983" t="s">
        <v>19533</v>
      </c>
      <c r="F983" t="s">
        <v>32664</v>
      </c>
      <c r="G983" t="s">
        <v>32672</v>
      </c>
      <c r="H983" t="s">
        <v>32683</v>
      </c>
      <c r="I983" t="s">
        <v>10627</v>
      </c>
      <c r="J983" t="s">
        <v>32853</v>
      </c>
      <c r="K983" t="s">
        <v>42295</v>
      </c>
      <c r="M983" t="s">
        <v>43062</v>
      </c>
      <c r="N983" t="s">
        <v>46569</v>
      </c>
      <c r="O983" t="s">
        <v>46570</v>
      </c>
      <c r="P983">
        <v>0</v>
      </c>
      <c r="Q983">
        <v>0</v>
      </c>
      <c r="R983" t="s">
        <v>46571</v>
      </c>
      <c r="S983" t="s">
        <v>46687</v>
      </c>
      <c r="T983" t="s">
        <v>48245</v>
      </c>
      <c r="U983" t="s">
        <v>49649</v>
      </c>
      <c r="W983" t="s">
        <v>43062</v>
      </c>
      <c r="X983" t="s">
        <v>46572</v>
      </c>
    </row>
    <row r="984" spans="1:24">
      <c r="A984">
        <f>HYPERLINK("https://www.philgeps.gov.ph/GEPSNONPILOT/Tender/SplashBidNoticeAbstractUI.aspx?menuIndex=3&amp;refID=7065601&amp;Result=3","7065601")</f>
        <v>0</v>
      </c>
      <c r="B984" t="s">
        <v>195</v>
      </c>
      <c r="C984" t="s">
        <v>4493</v>
      </c>
      <c r="D984" t="s">
        <v>18824</v>
      </c>
      <c r="E984" t="s">
        <v>19810</v>
      </c>
      <c r="F984" t="s">
        <v>32664</v>
      </c>
      <c r="G984" t="s">
        <v>32671</v>
      </c>
      <c r="H984" t="s">
        <v>12635</v>
      </c>
      <c r="I984" t="s">
        <v>11464</v>
      </c>
      <c r="J984" t="s">
        <v>33578</v>
      </c>
      <c r="K984" t="s">
        <v>42281</v>
      </c>
      <c r="M984" t="s">
        <v>42759</v>
      </c>
      <c r="N984" t="s">
        <v>46569</v>
      </c>
      <c r="O984" t="s">
        <v>46570</v>
      </c>
      <c r="P984">
        <v>0</v>
      </c>
      <c r="Q984">
        <v>0</v>
      </c>
      <c r="R984" t="s">
        <v>46571</v>
      </c>
      <c r="S984" t="s">
        <v>46687</v>
      </c>
      <c r="T984" t="s">
        <v>48244</v>
      </c>
      <c r="U984" t="s">
        <v>49135</v>
      </c>
      <c r="W984" t="s">
        <v>42759</v>
      </c>
      <c r="X984" t="s">
        <v>46572</v>
      </c>
    </row>
    <row r="985" spans="1:24">
      <c r="A985">
        <f>HYPERLINK("https://www.philgeps.gov.ph/GEPSNONPILOT/Tender/SplashBidNoticeAbstractUI.aspx?menuIndex=3&amp;refID=7065600&amp;Result=3","7065600")</f>
        <v>0</v>
      </c>
      <c r="B985" t="s">
        <v>238</v>
      </c>
      <c r="C985" t="s">
        <v>4494</v>
      </c>
      <c r="D985" t="s">
        <v>18798</v>
      </c>
      <c r="E985" t="s">
        <v>19811</v>
      </c>
      <c r="F985" t="s">
        <v>32664</v>
      </c>
      <c r="G985" t="s">
        <v>32675</v>
      </c>
      <c r="H985" t="s">
        <v>12635</v>
      </c>
      <c r="I985" t="s">
        <v>8730</v>
      </c>
      <c r="J985" t="s">
        <v>33579</v>
      </c>
      <c r="K985" t="s">
        <v>42306</v>
      </c>
      <c r="M985" t="s">
        <v>43063</v>
      </c>
      <c r="N985" t="s">
        <v>46569</v>
      </c>
      <c r="O985" t="s">
        <v>46570</v>
      </c>
      <c r="P985">
        <v>0</v>
      </c>
      <c r="Q985">
        <v>0</v>
      </c>
      <c r="R985" t="s">
        <v>46571</v>
      </c>
      <c r="S985" t="s">
        <v>46687</v>
      </c>
      <c r="T985" t="s">
        <v>48219</v>
      </c>
      <c r="U985" t="s">
        <v>49650</v>
      </c>
      <c r="W985" t="s">
        <v>43063</v>
      </c>
      <c r="X985" t="s">
        <v>46572</v>
      </c>
    </row>
    <row r="986" spans="1:24">
      <c r="A986">
        <f>HYPERLINK("https://www.philgeps.gov.ph/GEPSNONPILOT/Tender/SplashBidNoticeAbstractUI.aspx?menuIndex=3&amp;refID=7065609&amp;Result=3","7065609")</f>
        <v>0</v>
      </c>
      <c r="B986" t="s">
        <v>488</v>
      </c>
      <c r="C986" t="s">
        <v>4495</v>
      </c>
      <c r="D986" t="s">
        <v>18857</v>
      </c>
      <c r="E986" t="s">
        <v>19812</v>
      </c>
      <c r="F986" t="s">
        <v>32664</v>
      </c>
      <c r="G986" t="s">
        <v>32677</v>
      </c>
      <c r="H986" t="s">
        <v>32683</v>
      </c>
      <c r="I986" t="s">
        <v>14442</v>
      </c>
      <c r="J986" t="s">
        <v>33580</v>
      </c>
      <c r="K986" t="s">
        <v>42308</v>
      </c>
      <c r="M986" t="s">
        <v>43064</v>
      </c>
      <c r="N986" t="s">
        <v>46569</v>
      </c>
      <c r="O986" t="s">
        <v>46570</v>
      </c>
      <c r="P986">
        <v>0</v>
      </c>
      <c r="Q986">
        <v>0</v>
      </c>
      <c r="R986" t="s">
        <v>46571</v>
      </c>
      <c r="S986" t="s">
        <v>46687</v>
      </c>
      <c r="T986" t="s">
        <v>48223</v>
      </c>
      <c r="U986" t="s">
        <v>49651</v>
      </c>
      <c r="W986" t="s">
        <v>43064</v>
      </c>
      <c r="X986" t="s">
        <v>46572</v>
      </c>
    </row>
    <row r="987" spans="1:24">
      <c r="A987">
        <f>HYPERLINK("https://www.philgeps.gov.ph/GEPSNONPILOT/Tender/SplashBidNoticeAbstractUI.aspx?menuIndex=3&amp;refID=7065599&amp;Result=3","7065599")</f>
        <v>0</v>
      </c>
      <c r="B987" t="s">
        <v>473</v>
      </c>
      <c r="C987" t="s">
        <v>4496</v>
      </c>
      <c r="D987" t="s">
        <v>18791</v>
      </c>
      <c r="E987" t="s">
        <v>19813</v>
      </c>
      <c r="F987" t="s">
        <v>32664</v>
      </c>
      <c r="G987" t="s">
        <v>32671</v>
      </c>
      <c r="H987" t="s">
        <v>12635</v>
      </c>
      <c r="I987" t="s">
        <v>10370</v>
      </c>
      <c r="J987" t="s">
        <v>33581</v>
      </c>
      <c r="K987" t="s">
        <v>42289</v>
      </c>
      <c r="M987" t="s">
        <v>43048</v>
      </c>
      <c r="N987" t="s">
        <v>46569</v>
      </c>
      <c r="O987" t="s">
        <v>46570</v>
      </c>
      <c r="P987">
        <v>0</v>
      </c>
      <c r="Q987">
        <v>0</v>
      </c>
      <c r="R987" t="s">
        <v>46571</v>
      </c>
      <c r="S987" t="s">
        <v>46687</v>
      </c>
      <c r="T987" t="s">
        <v>48359</v>
      </c>
      <c r="U987" t="s">
        <v>49623</v>
      </c>
      <c r="W987" t="s">
        <v>43048</v>
      </c>
      <c r="X987" t="s">
        <v>46572</v>
      </c>
    </row>
    <row r="988" spans="1:24">
      <c r="A988">
        <f>HYPERLINK("https://www.philgeps.gov.ph/GEPSNONPILOT/Tender/SplashBidNoticeAbstractUI.aspx?menuIndex=3&amp;refID=7065477&amp;Result=3","7065477")</f>
        <v>0</v>
      </c>
      <c r="B988" t="s">
        <v>438</v>
      </c>
      <c r="C988" t="s">
        <v>4497</v>
      </c>
      <c r="D988" t="s">
        <v>18855</v>
      </c>
      <c r="E988" t="s">
        <v>19814</v>
      </c>
      <c r="F988" t="s">
        <v>32664</v>
      </c>
      <c r="G988" t="s">
        <v>32672</v>
      </c>
      <c r="H988" t="s">
        <v>32683</v>
      </c>
      <c r="I988" t="s">
        <v>10627</v>
      </c>
      <c r="J988" t="s">
        <v>33582</v>
      </c>
      <c r="K988" t="s">
        <v>42326</v>
      </c>
      <c r="M988" t="s">
        <v>43010</v>
      </c>
      <c r="N988" t="s">
        <v>46569</v>
      </c>
      <c r="O988" t="s">
        <v>46570</v>
      </c>
      <c r="P988">
        <v>0</v>
      </c>
      <c r="Q988">
        <v>0</v>
      </c>
      <c r="R988" t="s">
        <v>46571</v>
      </c>
      <c r="S988" t="s">
        <v>46687</v>
      </c>
      <c r="T988" t="s">
        <v>48220</v>
      </c>
      <c r="U988" t="s">
        <v>49652</v>
      </c>
      <c r="V988" t="s">
        <v>61735</v>
      </c>
      <c r="W988" t="s">
        <v>43010</v>
      </c>
      <c r="X988" t="s">
        <v>46572</v>
      </c>
    </row>
    <row r="989" spans="1:24">
      <c r="A989">
        <f>HYPERLINK("https://www.philgeps.gov.ph/GEPSNONPILOT/Tender/SplashBidNoticeAbstractUI.aspx?menuIndex=3&amp;refID=7065605&amp;Result=3","7065605")</f>
        <v>0</v>
      </c>
      <c r="B989" t="s">
        <v>489</v>
      </c>
      <c r="C989" t="s">
        <v>4498</v>
      </c>
      <c r="D989" t="s">
        <v>18782</v>
      </c>
      <c r="E989" t="s">
        <v>19815</v>
      </c>
      <c r="F989" t="s">
        <v>32665</v>
      </c>
      <c r="G989" t="s">
        <v>32674</v>
      </c>
      <c r="H989" t="s">
        <v>12635</v>
      </c>
      <c r="I989" t="s">
        <v>4439</v>
      </c>
      <c r="J989" t="s">
        <v>33330</v>
      </c>
      <c r="K989" t="s">
        <v>42309</v>
      </c>
      <c r="M989" t="s">
        <v>43065</v>
      </c>
      <c r="N989" t="s">
        <v>46569</v>
      </c>
      <c r="O989" t="s">
        <v>46570</v>
      </c>
      <c r="P989">
        <v>0</v>
      </c>
      <c r="Q989">
        <v>0</v>
      </c>
      <c r="R989" t="s">
        <v>46571</v>
      </c>
      <c r="S989" t="s">
        <v>46687</v>
      </c>
      <c r="T989" t="s">
        <v>48228</v>
      </c>
      <c r="U989" t="s">
        <v>49653</v>
      </c>
      <c r="V989" t="s">
        <v>61736</v>
      </c>
      <c r="W989" t="s">
        <v>43065</v>
      </c>
      <c r="X989" t="s">
        <v>46572</v>
      </c>
    </row>
    <row r="990" spans="1:24">
      <c r="A990">
        <f>HYPERLINK("https://www.philgeps.gov.ph/GEPSNONPILOT/Tender/SplashBidNoticeAbstractUI.aspx?menuIndex=3&amp;refID=7065596&amp;Result=3","7065596")</f>
        <v>0</v>
      </c>
      <c r="B990" t="s">
        <v>490</v>
      </c>
      <c r="C990" t="s">
        <v>4499</v>
      </c>
      <c r="D990" t="s">
        <v>18805</v>
      </c>
      <c r="E990" t="s">
        <v>19816</v>
      </c>
      <c r="F990" t="s">
        <v>32664</v>
      </c>
      <c r="G990" t="s">
        <v>32671</v>
      </c>
      <c r="H990" t="s">
        <v>12635</v>
      </c>
      <c r="I990" t="s">
        <v>32701</v>
      </c>
      <c r="J990" t="s">
        <v>33583</v>
      </c>
      <c r="K990" t="s">
        <v>42283</v>
      </c>
      <c r="M990" t="s">
        <v>43066</v>
      </c>
      <c r="N990" t="s">
        <v>46569</v>
      </c>
      <c r="O990" t="s">
        <v>46570</v>
      </c>
      <c r="P990">
        <v>0</v>
      </c>
      <c r="Q990">
        <v>0</v>
      </c>
      <c r="R990" t="s">
        <v>46571</v>
      </c>
      <c r="S990" t="s">
        <v>46687</v>
      </c>
      <c r="T990" t="s">
        <v>48279</v>
      </c>
      <c r="U990" t="s">
        <v>49654</v>
      </c>
      <c r="V990" t="s">
        <v>61737</v>
      </c>
      <c r="W990" t="s">
        <v>43066</v>
      </c>
      <c r="X990" t="s">
        <v>46572</v>
      </c>
    </row>
    <row r="991" spans="1:24">
      <c r="A991">
        <f>HYPERLINK("https://www.philgeps.gov.ph/GEPSNONPILOT/Tender/SplashBidNoticeAbstractUI.aspx?menuIndex=3&amp;refID=7065635&amp;Result=3","7065635")</f>
        <v>0</v>
      </c>
      <c r="B991" t="s">
        <v>491</v>
      </c>
      <c r="C991" t="s">
        <v>4500</v>
      </c>
      <c r="E991" t="s">
        <v>19817</v>
      </c>
      <c r="F991" t="s">
        <v>32664</v>
      </c>
      <c r="G991" t="s">
        <v>32671</v>
      </c>
      <c r="H991" t="s">
        <v>12635</v>
      </c>
      <c r="I991" t="s">
        <v>32718</v>
      </c>
      <c r="J991" t="s">
        <v>33051</v>
      </c>
      <c r="K991" t="s">
        <v>42283</v>
      </c>
      <c r="M991" t="s">
        <v>43067</v>
      </c>
      <c r="N991" t="s">
        <v>46569</v>
      </c>
      <c r="O991" t="s">
        <v>46570</v>
      </c>
      <c r="P991">
        <v>0</v>
      </c>
      <c r="Q991">
        <v>1</v>
      </c>
      <c r="R991" t="s">
        <v>46571</v>
      </c>
      <c r="S991" t="s">
        <v>46687</v>
      </c>
      <c r="T991" t="s">
        <v>48249</v>
      </c>
      <c r="U991" t="s">
        <v>49655</v>
      </c>
      <c r="W991" t="s">
        <v>43067</v>
      </c>
      <c r="X991" t="s">
        <v>46572</v>
      </c>
    </row>
    <row r="992" spans="1:24">
      <c r="A992">
        <f>HYPERLINK("https://www.philgeps.gov.ph/GEPSNONPILOT/Tender/SplashBidNoticeAbstractUI.aspx?menuIndex=3&amp;refID=7065563&amp;Result=3","7065563")</f>
        <v>0</v>
      </c>
      <c r="B992" t="s">
        <v>477</v>
      </c>
      <c r="C992" t="s">
        <v>4501</v>
      </c>
      <c r="D992" t="s">
        <v>18784</v>
      </c>
      <c r="E992" t="s">
        <v>19818</v>
      </c>
      <c r="F992" t="s">
        <v>32664</v>
      </c>
      <c r="G992" t="s">
        <v>32672</v>
      </c>
      <c r="H992" t="s">
        <v>12635</v>
      </c>
      <c r="I992" t="s">
        <v>9486</v>
      </c>
      <c r="J992" t="s">
        <v>32859</v>
      </c>
      <c r="K992" t="s">
        <v>42309</v>
      </c>
      <c r="M992" t="s">
        <v>43052</v>
      </c>
      <c r="N992" t="s">
        <v>46569</v>
      </c>
      <c r="O992" t="s">
        <v>46570</v>
      </c>
      <c r="P992">
        <v>0</v>
      </c>
      <c r="Q992">
        <v>2</v>
      </c>
      <c r="R992" t="s">
        <v>46571</v>
      </c>
      <c r="S992" t="s">
        <v>46687</v>
      </c>
      <c r="T992" t="s">
        <v>48230</v>
      </c>
      <c r="U992" t="s">
        <v>49627</v>
      </c>
      <c r="W992" t="s">
        <v>43052</v>
      </c>
      <c r="X992" t="s">
        <v>46572</v>
      </c>
    </row>
    <row r="993" spans="1:24">
      <c r="A993">
        <f>HYPERLINK("https://www.philgeps.gov.ph/GEPSNONPILOT/Tender/SplashBidNoticeAbstractUI.aspx?menuIndex=3&amp;refID=7065542&amp;Result=3","7065542")</f>
        <v>0</v>
      </c>
      <c r="B993" t="s">
        <v>321</v>
      </c>
      <c r="C993" t="s">
        <v>4502</v>
      </c>
      <c r="D993" t="s">
        <v>18800</v>
      </c>
      <c r="E993" t="s">
        <v>4502</v>
      </c>
      <c r="F993" t="s">
        <v>32664</v>
      </c>
      <c r="G993" t="s">
        <v>32672</v>
      </c>
      <c r="H993" t="s">
        <v>32683</v>
      </c>
      <c r="I993" t="s">
        <v>10627</v>
      </c>
      <c r="J993" t="s">
        <v>32853</v>
      </c>
      <c r="K993" t="s">
        <v>42281</v>
      </c>
      <c r="M993" t="s">
        <v>42889</v>
      </c>
      <c r="N993" t="s">
        <v>46569</v>
      </c>
      <c r="O993" t="s">
        <v>46570</v>
      </c>
      <c r="P993">
        <v>0</v>
      </c>
      <c r="Q993">
        <v>1</v>
      </c>
      <c r="R993" t="s">
        <v>46571</v>
      </c>
      <c r="S993" t="s">
        <v>46687</v>
      </c>
      <c r="T993" t="s">
        <v>48329</v>
      </c>
      <c r="U993" t="s">
        <v>49656</v>
      </c>
      <c r="W993" t="s">
        <v>42889</v>
      </c>
      <c r="X993" t="s">
        <v>46572</v>
      </c>
    </row>
    <row r="994" spans="1:24">
      <c r="A994">
        <f>HYPERLINK("https://www.philgeps.gov.ph/GEPSNONPILOT/Tender/SplashBidNoticeAbstractUI.aspx?menuIndex=3&amp;refID=7065632&amp;Result=3","7065632")</f>
        <v>0</v>
      </c>
      <c r="B994" t="s">
        <v>492</v>
      </c>
      <c r="C994" t="s">
        <v>4503</v>
      </c>
      <c r="D994" t="s">
        <v>18809</v>
      </c>
      <c r="E994" t="s">
        <v>19819</v>
      </c>
      <c r="F994" t="s">
        <v>32664</v>
      </c>
      <c r="G994" t="s">
        <v>32671</v>
      </c>
      <c r="H994" t="s">
        <v>12635</v>
      </c>
      <c r="I994" t="s">
        <v>4439</v>
      </c>
      <c r="J994" t="s">
        <v>33584</v>
      </c>
      <c r="K994" t="s">
        <v>42281</v>
      </c>
      <c r="M994" t="s">
        <v>43068</v>
      </c>
      <c r="N994" t="s">
        <v>46569</v>
      </c>
      <c r="O994" t="s">
        <v>46570</v>
      </c>
      <c r="P994">
        <v>0</v>
      </c>
      <c r="Q994">
        <v>0</v>
      </c>
      <c r="R994" t="s">
        <v>46571</v>
      </c>
      <c r="S994" t="s">
        <v>46687</v>
      </c>
      <c r="T994" t="s">
        <v>48293</v>
      </c>
      <c r="U994" t="s">
        <v>49657</v>
      </c>
      <c r="W994" t="s">
        <v>43068</v>
      </c>
      <c r="X994" t="s">
        <v>46572</v>
      </c>
    </row>
    <row r="995" spans="1:24">
      <c r="A995">
        <f>HYPERLINK("https://www.philgeps.gov.ph/GEPSNONPILOT/Tender/SplashBidNoticeAbstractUI.aspx?menuIndex=3&amp;refID=7065473&amp;Result=3","7065473")</f>
        <v>0</v>
      </c>
      <c r="B995" t="s">
        <v>493</v>
      </c>
      <c r="C995" t="s">
        <v>4504</v>
      </c>
      <c r="D995" t="s">
        <v>18827</v>
      </c>
      <c r="E995" t="s">
        <v>19820</v>
      </c>
      <c r="F995" t="s">
        <v>32664</v>
      </c>
      <c r="G995" t="s">
        <v>32671</v>
      </c>
      <c r="H995" t="s">
        <v>12635</v>
      </c>
      <c r="I995" t="s">
        <v>32701</v>
      </c>
      <c r="J995" t="s">
        <v>33585</v>
      </c>
      <c r="K995" t="s">
        <v>42321</v>
      </c>
      <c r="M995" t="s">
        <v>43069</v>
      </c>
      <c r="N995" t="s">
        <v>46569</v>
      </c>
      <c r="O995" t="s">
        <v>46570</v>
      </c>
      <c r="P995">
        <v>0</v>
      </c>
      <c r="Q995">
        <v>2</v>
      </c>
      <c r="R995" t="s">
        <v>46571</v>
      </c>
      <c r="S995" t="s">
        <v>46687</v>
      </c>
      <c r="T995" t="s">
        <v>48230</v>
      </c>
      <c r="U995" t="s">
        <v>49658</v>
      </c>
      <c r="W995" t="s">
        <v>43069</v>
      </c>
      <c r="X995" t="s">
        <v>46572</v>
      </c>
    </row>
    <row r="996" spans="1:24">
      <c r="A996">
        <f>HYPERLINK("https://www.philgeps.gov.ph/GEPSNONPILOT/Tender/SplashBidNoticeAbstractUI.aspx?menuIndex=3&amp;refID=7065629&amp;Result=3","7065629")</f>
        <v>0</v>
      </c>
      <c r="B996" t="s">
        <v>494</v>
      </c>
      <c r="C996" t="s">
        <v>4505</v>
      </c>
      <c r="D996" t="s">
        <v>18834</v>
      </c>
      <c r="E996" t="s">
        <v>19821</v>
      </c>
      <c r="F996" t="s">
        <v>32664</v>
      </c>
      <c r="G996" t="s">
        <v>32671</v>
      </c>
      <c r="H996" t="s">
        <v>12635</v>
      </c>
      <c r="I996" t="s">
        <v>4333</v>
      </c>
      <c r="J996" t="s">
        <v>33015</v>
      </c>
      <c r="K996" t="s">
        <v>42284</v>
      </c>
      <c r="M996" t="s">
        <v>43070</v>
      </c>
      <c r="N996" t="s">
        <v>46569</v>
      </c>
      <c r="O996" t="s">
        <v>46570</v>
      </c>
      <c r="P996">
        <v>0</v>
      </c>
      <c r="Q996">
        <v>0</v>
      </c>
      <c r="R996" t="s">
        <v>46571</v>
      </c>
      <c r="S996" t="s">
        <v>46687</v>
      </c>
      <c r="T996" t="s">
        <v>48283</v>
      </c>
      <c r="U996" t="s">
        <v>49659</v>
      </c>
      <c r="W996" t="s">
        <v>43070</v>
      </c>
      <c r="X996" t="s">
        <v>46572</v>
      </c>
    </row>
    <row r="997" spans="1:24">
      <c r="A997">
        <f>HYPERLINK("https://www.philgeps.gov.ph/GEPSNONPILOT/Tender/SplashBidNoticeAbstractUI.aspx?menuIndex=3&amp;refID=7065631&amp;Result=3","7065631")</f>
        <v>0</v>
      </c>
      <c r="B997" t="s">
        <v>495</v>
      </c>
      <c r="C997" t="s">
        <v>4506</v>
      </c>
      <c r="D997" t="s">
        <v>18791</v>
      </c>
      <c r="E997" t="s">
        <v>19822</v>
      </c>
      <c r="F997" t="s">
        <v>32664</v>
      </c>
      <c r="G997" t="s">
        <v>32672</v>
      </c>
      <c r="H997" t="s">
        <v>12635</v>
      </c>
      <c r="I997" t="s">
        <v>32706</v>
      </c>
      <c r="J997" t="s">
        <v>33586</v>
      </c>
      <c r="K997" t="s">
        <v>42289</v>
      </c>
      <c r="M997" t="s">
        <v>43071</v>
      </c>
      <c r="N997" t="s">
        <v>46569</v>
      </c>
      <c r="O997" t="s">
        <v>46570</v>
      </c>
      <c r="P997">
        <v>0</v>
      </c>
      <c r="Q997">
        <v>0</v>
      </c>
      <c r="R997" t="s">
        <v>46571</v>
      </c>
      <c r="S997" t="s">
        <v>46687</v>
      </c>
      <c r="T997" t="s">
        <v>48339</v>
      </c>
      <c r="U997" t="s">
        <v>49660</v>
      </c>
      <c r="W997" t="s">
        <v>43071</v>
      </c>
      <c r="X997" t="s">
        <v>46572</v>
      </c>
    </row>
    <row r="998" spans="1:24">
      <c r="A998">
        <f>HYPERLINK("https://www.philgeps.gov.ph/GEPSNONPILOT/Tender/SplashBidNoticeAbstractUI.aspx?menuIndex=3&amp;refID=7065634&amp;Result=3","7065634")</f>
        <v>0</v>
      </c>
      <c r="B998" t="s">
        <v>496</v>
      </c>
      <c r="C998" t="s">
        <v>4507</v>
      </c>
      <c r="D998" t="s">
        <v>18791</v>
      </c>
      <c r="E998" t="s">
        <v>19823</v>
      </c>
      <c r="F998" t="s">
        <v>32664</v>
      </c>
      <c r="G998" t="s">
        <v>32671</v>
      </c>
      <c r="H998" t="s">
        <v>12635</v>
      </c>
      <c r="I998" t="s">
        <v>32748</v>
      </c>
      <c r="J998" t="s">
        <v>33051</v>
      </c>
      <c r="K998" t="s">
        <v>42289</v>
      </c>
      <c r="M998" t="s">
        <v>43072</v>
      </c>
      <c r="N998" t="s">
        <v>46569</v>
      </c>
      <c r="O998" t="s">
        <v>46570</v>
      </c>
      <c r="P998">
        <v>0</v>
      </c>
      <c r="Q998">
        <v>2</v>
      </c>
      <c r="R998" t="s">
        <v>46571</v>
      </c>
      <c r="S998" t="s">
        <v>46687</v>
      </c>
      <c r="T998" t="s">
        <v>48256</v>
      </c>
      <c r="U998" t="s">
        <v>49661</v>
      </c>
      <c r="W998" t="s">
        <v>43072</v>
      </c>
      <c r="X998" t="s">
        <v>46572</v>
      </c>
    </row>
    <row r="999" spans="1:24">
      <c r="A999">
        <f>HYPERLINK("https://www.philgeps.gov.ph/GEPSNONPILOT/Tender/SplashBidNoticeAbstractUI.aspx?menuIndex=3&amp;refID=7065627&amp;Result=3","7065627")</f>
        <v>0</v>
      </c>
      <c r="B999" t="s">
        <v>396</v>
      </c>
      <c r="C999" t="s">
        <v>4508</v>
      </c>
      <c r="D999" t="s">
        <v>18790</v>
      </c>
      <c r="E999" t="s">
        <v>19824</v>
      </c>
      <c r="F999" t="s">
        <v>32664</v>
      </c>
      <c r="G999" t="s">
        <v>32671</v>
      </c>
      <c r="H999" t="s">
        <v>12635</v>
      </c>
      <c r="I999" t="s">
        <v>4439</v>
      </c>
      <c r="J999" t="s">
        <v>33587</v>
      </c>
      <c r="K999" t="s">
        <v>42297</v>
      </c>
      <c r="M999" t="s">
        <v>42966</v>
      </c>
      <c r="N999" t="s">
        <v>46569</v>
      </c>
      <c r="O999" t="s">
        <v>46570</v>
      </c>
      <c r="P999">
        <v>0</v>
      </c>
      <c r="Q999">
        <v>0</v>
      </c>
      <c r="R999" t="s">
        <v>46571</v>
      </c>
      <c r="S999" t="s">
        <v>46687</v>
      </c>
      <c r="T999" t="s">
        <v>48225</v>
      </c>
      <c r="U999" t="s">
        <v>49662</v>
      </c>
      <c r="W999" t="s">
        <v>42966</v>
      </c>
      <c r="X999" t="s">
        <v>46572</v>
      </c>
    </row>
    <row r="1000" spans="1:24">
      <c r="A1000">
        <f>HYPERLINK("https://www.philgeps.gov.ph/GEPSNONPILOT/Tender/SplashBidNoticeAbstractUI.aspx?menuIndex=3&amp;refID=7065622&amp;Result=3","7065622")</f>
        <v>0</v>
      </c>
      <c r="B1000" t="s">
        <v>497</v>
      </c>
      <c r="C1000" t="s">
        <v>4509</v>
      </c>
      <c r="D1000" t="s">
        <v>18791</v>
      </c>
      <c r="E1000" t="s">
        <v>19825</v>
      </c>
      <c r="F1000" t="s">
        <v>32664</v>
      </c>
      <c r="G1000" t="s">
        <v>32672</v>
      </c>
      <c r="H1000" t="s">
        <v>12635</v>
      </c>
      <c r="I1000" t="s">
        <v>32749</v>
      </c>
      <c r="J1000" t="s">
        <v>33267</v>
      </c>
      <c r="K1000" t="s">
        <v>42289</v>
      </c>
      <c r="M1000" t="s">
        <v>43073</v>
      </c>
      <c r="N1000" t="s">
        <v>46569</v>
      </c>
      <c r="O1000" t="s">
        <v>46570</v>
      </c>
      <c r="P1000">
        <v>0</v>
      </c>
      <c r="Q1000">
        <v>1</v>
      </c>
      <c r="R1000" t="s">
        <v>46571</v>
      </c>
      <c r="S1000" t="s">
        <v>46687</v>
      </c>
      <c r="T1000" t="s">
        <v>48225</v>
      </c>
      <c r="U1000" t="s">
        <v>49663</v>
      </c>
      <c r="W1000" t="s">
        <v>43073</v>
      </c>
      <c r="X1000" t="s">
        <v>46572</v>
      </c>
    </row>
    <row r="1001" spans="1:24">
      <c r="A1001">
        <f>HYPERLINK("https://www.philgeps.gov.ph/GEPSNONPILOT/Tender/SplashBidNoticeAbstractUI.aspx?menuIndex=3&amp;refID=7065621&amp;Result=3","7065621")</f>
        <v>0</v>
      </c>
      <c r="B1001" t="s">
        <v>484</v>
      </c>
      <c r="C1001" t="s">
        <v>4510</v>
      </c>
      <c r="D1001" t="s">
        <v>18792</v>
      </c>
      <c r="E1001" t="s">
        <v>19826</v>
      </c>
      <c r="F1001" t="s">
        <v>32664</v>
      </c>
      <c r="G1001" t="s">
        <v>32672</v>
      </c>
      <c r="H1001" t="s">
        <v>12635</v>
      </c>
      <c r="I1001" t="s">
        <v>4439</v>
      </c>
      <c r="J1001" t="s">
        <v>33588</v>
      </c>
      <c r="K1001" t="s">
        <v>42305</v>
      </c>
      <c r="M1001" t="s">
        <v>43059</v>
      </c>
      <c r="N1001" t="s">
        <v>46569</v>
      </c>
      <c r="O1001" t="s">
        <v>46570</v>
      </c>
      <c r="P1001">
        <v>0</v>
      </c>
      <c r="Q1001">
        <v>0</v>
      </c>
      <c r="R1001" t="s">
        <v>46571</v>
      </c>
      <c r="S1001" t="s">
        <v>46687</v>
      </c>
      <c r="T1001" t="s">
        <v>48222</v>
      </c>
      <c r="U1001" t="s">
        <v>49664</v>
      </c>
      <c r="V1001" t="s">
        <v>61668</v>
      </c>
      <c r="W1001" t="s">
        <v>63480</v>
      </c>
      <c r="X1001" t="s">
        <v>46572</v>
      </c>
    </row>
    <row r="1002" spans="1:24">
      <c r="A1002">
        <f>HYPERLINK("https://www.philgeps.gov.ph/GEPSNONPILOT/Tender/SplashBidNoticeAbstractUI.aspx?menuIndex=3&amp;refID=7065625&amp;Result=3","7065625")</f>
        <v>0</v>
      </c>
      <c r="B1002" t="s">
        <v>498</v>
      </c>
      <c r="C1002" t="s">
        <v>4511</v>
      </c>
      <c r="D1002" t="s">
        <v>18802</v>
      </c>
      <c r="E1002" t="s">
        <v>19827</v>
      </c>
      <c r="F1002" t="s">
        <v>32664</v>
      </c>
      <c r="G1002" t="s">
        <v>32672</v>
      </c>
      <c r="H1002" t="s">
        <v>32683</v>
      </c>
      <c r="I1002" t="s">
        <v>10627</v>
      </c>
      <c r="J1002" t="s">
        <v>33589</v>
      </c>
      <c r="K1002" t="s">
        <v>42289</v>
      </c>
      <c r="M1002" t="s">
        <v>43074</v>
      </c>
      <c r="N1002" t="s">
        <v>46569</v>
      </c>
      <c r="O1002" t="s">
        <v>46570</v>
      </c>
      <c r="P1002">
        <v>0</v>
      </c>
      <c r="Q1002">
        <v>0</v>
      </c>
      <c r="R1002" t="s">
        <v>46571</v>
      </c>
      <c r="S1002" t="s">
        <v>46687</v>
      </c>
      <c r="T1002" t="s">
        <v>48327</v>
      </c>
      <c r="U1002" t="s">
        <v>49665</v>
      </c>
      <c r="W1002" t="s">
        <v>43074</v>
      </c>
      <c r="X1002" t="s">
        <v>46572</v>
      </c>
    </row>
    <row r="1003" spans="1:24">
      <c r="A1003">
        <f>HYPERLINK("https://www.philgeps.gov.ph/GEPSNONPILOT/Tender/SplashBidNoticeAbstractUI.aspx?menuIndex=3&amp;refID=7065619&amp;Result=3","7065619")</f>
        <v>0</v>
      </c>
      <c r="B1003" t="s">
        <v>492</v>
      </c>
      <c r="C1003" t="s">
        <v>4512</v>
      </c>
      <c r="D1003" t="s">
        <v>18809</v>
      </c>
      <c r="E1003" t="s">
        <v>19828</v>
      </c>
      <c r="F1003" t="s">
        <v>32664</v>
      </c>
      <c r="G1003" t="s">
        <v>32671</v>
      </c>
      <c r="H1003" t="s">
        <v>12635</v>
      </c>
      <c r="I1003" t="s">
        <v>10590</v>
      </c>
      <c r="J1003" t="s">
        <v>33590</v>
      </c>
      <c r="K1003" t="s">
        <v>42314</v>
      </c>
      <c r="M1003" t="s">
        <v>43068</v>
      </c>
      <c r="N1003" t="s">
        <v>46569</v>
      </c>
      <c r="O1003" t="s">
        <v>46570</v>
      </c>
      <c r="P1003">
        <v>0</v>
      </c>
      <c r="Q1003">
        <v>0</v>
      </c>
      <c r="R1003" t="s">
        <v>46571</v>
      </c>
      <c r="S1003" t="s">
        <v>46687</v>
      </c>
      <c r="T1003" t="s">
        <v>48293</v>
      </c>
      <c r="U1003" t="s">
        <v>49657</v>
      </c>
      <c r="W1003" t="s">
        <v>43068</v>
      </c>
      <c r="X1003" t="s">
        <v>46572</v>
      </c>
    </row>
    <row r="1004" spans="1:24">
      <c r="A1004">
        <f>HYPERLINK("https://www.philgeps.gov.ph/GEPSNONPILOT/Tender/SplashBidNoticeAbstractUI.aspx?menuIndex=3&amp;refID=7065566&amp;Result=3","7065566")</f>
        <v>0</v>
      </c>
      <c r="B1004" t="s">
        <v>130</v>
      </c>
      <c r="C1004" t="s">
        <v>4513</v>
      </c>
      <c r="D1004" t="s">
        <v>18826</v>
      </c>
      <c r="E1004" t="s">
        <v>19829</v>
      </c>
      <c r="F1004" t="s">
        <v>32664</v>
      </c>
      <c r="G1004" t="s">
        <v>32672</v>
      </c>
      <c r="H1004" t="s">
        <v>12635</v>
      </c>
      <c r="I1004" t="s">
        <v>32708</v>
      </c>
      <c r="J1004" t="s">
        <v>33591</v>
      </c>
      <c r="K1004" t="s">
        <v>42283</v>
      </c>
      <c r="M1004" t="s">
        <v>42694</v>
      </c>
      <c r="N1004" t="s">
        <v>46569</v>
      </c>
      <c r="O1004" t="s">
        <v>46570</v>
      </c>
      <c r="P1004">
        <v>0</v>
      </c>
      <c r="Q1004">
        <v>4</v>
      </c>
      <c r="R1004" t="s">
        <v>46571</v>
      </c>
      <c r="S1004" t="s">
        <v>46687</v>
      </c>
      <c r="T1004" t="s">
        <v>48360</v>
      </c>
      <c r="U1004" t="s">
        <v>49666</v>
      </c>
      <c r="V1004" t="s">
        <v>61738</v>
      </c>
      <c r="W1004" t="s">
        <v>42694</v>
      </c>
      <c r="X1004" t="s">
        <v>46572</v>
      </c>
    </row>
    <row r="1005" spans="1:24">
      <c r="A1005">
        <f>HYPERLINK("https://www.philgeps.gov.ph/GEPSNONPILOT/Tender/SplashBidNoticeAbstractUI.aspx?menuIndex=3&amp;refID=7065626&amp;Result=3","7065626")</f>
        <v>0</v>
      </c>
      <c r="B1005" t="s">
        <v>499</v>
      </c>
      <c r="C1005" t="s">
        <v>4514</v>
      </c>
      <c r="D1005" t="s">
        <v>18801</v>
      </c>
      <c r="E1005" t="s">
        <v>19830</v>
      </c>
      <c r="F1005" t="s">
        <v>32664</v>
      </c>
      <c r="G1005" t="s">
        <v>32677</v>
      </c>
      <c r="H1005" t="s">
        <v>12635</v>
      </c>
      <c r="I1005" t="s">
        <v>4439</v>
      </c>
      <c r="J1005" t="s">
        <v>33592</v>
      </c>
      <c r="K1005" t="s">
        <v>42297</v>
      </c>
      <c r="M1005" t="s">
        <v>43075</v>
      </c>
      <c r="N1005" t="s">
        <v>46569</v>
      </c>
      <c r="O1005" t="s">
        <v>46570</v>
      </c>
      <c r="P1005">
        <v>0</v>
      </c>
      <c r="Q1005">
        <v>0</v>
      </c>
      <c r="R1005" t="s">
        <v>46571</v>
      </c>
      <c r="S1005" t="s">
        <v>46687</v>
      </c>
      <c r="T1005" t="s">
        <v>48225</v>
      </c>
      <c r="U1005" t="s">
        <v>49667</v>
      </c>
      <c r="V1005" t="s">
        <v>61739</v>
      </c>
      <c r="W1005" t="s">
        <v>43075</v>
      </c>
      <c r="X1005" t="s">
        <v>46572</v>
      </c>
    </row>
    <row r="1006" spans="1:24">
      <c r="A1006">
        <f>HYPERLINK("https://www.philgeps.gov.ph/GEPSNONPILOT/Tender/SplashBidNoticeAbstractUI.aspx?menuIndex=3&amp;refID=7065659&amp;Result=3","7065659")</f>
        <v>0</v>
      </c>
      <c r="B1006" t="s">
        <v>491</v>
      </c>
      <c r="C1006" t="s">
        <v>4515</v>
      </c>
      <c r="E1006" t="s">
        <v>19831</v>
      </c>
      <c r="F1006" t="s">
        <v>32664</v>
      </c>
      <c r="G1006" t="s">
        <v>32671</v>
      </c>
      <c r="H1006" t="s">
        <v>12635</v>
      </c>
      <c r="I1006" t="s">
        <v>32724</v>
      </c>
      <c r="J1006" t="s">
        <v>33593</v>
      </c>
      <c r="K1006" t="s">
        <v>42283</v>
      </c>
      <c r="M1006" t="s">
        <v>43067</v>
      </c>
      <c r="N1006" t="s">
        <v>46569</v>
      </c>
      <c r="O1006" t="s">
        <v>46570</v>
      </c>
      <c r="P1006">
        <v>0</v>
      </c>
      <c r="Q1006">
        <v>0</v>
      </c>
      <c r="R1006" t="s">
        <v>46571</v>
      </c>
      <c r="S1006" t="s">
        <v>46687</v>
      </c>
      <c r="T1006" t="s">
        <v>48249</v>
      </c>
      <c r="U1006" t="s">
        <v>49668</v>
      </c>
      <c r="W1006" t="s">
        <v>43067</v>
      </c>
      <c r="X1006" t="s">
        <v>46572</v>
      </c>
    </row>
    <row r="1007" spans="1:24">
      <c r="A1007">
        <f>HYPERLINK("https://www.philgeps.gov.ph/GEPSNONPILOT/Tender/SplashBidNoticeAbstractUI.aspx?menuIndex=3&amp;refID=7065656&amp;Result=3","7065656")</f>
        <v>0</v>
      </c>
      <c r="B1007" t="s">
        <v>492</v>
      </c>
      <c r="C1007" t="s">
        <v>4516</v>
      </c>
      <c r="D1007" t="s">
        <v>18809</v>
      </c>
      <c r="E1007" t="s">
        <v>19832</v>
      </c>
      <c r="F1007" t="s">
        <v>32664</v>
      </c>
      <c r="G1007" t="s">
        <v>32671</v>
      </c>
      <c r="H1007" t="s">
        <v>12635</v>
      </c>
      <c r="I1007" t="s">
        <v>32706</v>
      </c>
      <c r="J1007" t="s">
        <v>33594</v>
      </c>
      <c r="K1007" t="s">
        <v>42298</v>
      </c>
      <c r="M1007" t="s">
        <v>43068</v>
      </c>
      <c r="N1007" t="s">
        <v>46569</v>
      </c>
      <c r="O1007" t="s">
        <v>46570</v>
      </c>
      <c r="P1007">
        <v>0</v>
      </c>
      <c r="Q1007">
        <v>0</v>
      </c>
      <c r="R1007" t="s">
        <v>46571</v>
      </c>
      <c r="S1007" t="s">
        <v>46687</v>
      </c>
      <c r="T1007" t="s">
        <v>48293</v>
      </c>
      <c r="U1007" t="s">
        <v>49657</v>
      </c>
      <c r="W1007" t="s">
        <v>43068</v>
      </c>
      <c r="X1007" t="s">
        <v>46572</v>
      </c>
    </row>
    <row r="1008" spans="1:24">
      <c r="A1008">
        <f>HYPERLINK("https://www.philgeps.gov.ph/GEPSNONPILOT/Tender/SplashBidNoticeAbstractUI.aspx?menuIndex=3&amp;refID=7065655&amp;Result=3","7065655")</f>
        <v>0</v>
      </c>
      <c r="B1008" t="s">
        <v>500</v>
      </c>
      <c r="C1008" t="s">
        <v>4517</v>
      </c>
      <c r="D1008" t="s">
        <v>18805</v>
      </c>
      <c r="E1008" t="s">
        <v>19833</v>
      </c>
      <c r="F1008" t="s">
        <v>32664</v>
      </c>
      <c r="G1008" t="s">
        <v>32672</v>
      </c>
      <c r="H1008" t="s">
        <v>32683</v>
      </c>
      <c r="I1008" t="s">
        <v>10627</v>
      </c>
      <c r="J1008" t="s">
        <v>33595</v>
      </c>
      <c r="K1008" t="s">
        <v>42283</v>
      </c>
      <c r="M1008" t="s">
        <v>43076</v>
      </c>
      <c r="N1008" t="s">
        <v>46569</v>
      </c>
      <c r="O1008" t="s">
        <v>46570</v>
      </c>
      <c r="P1008">
        <v>0</v>
      </c>
      <c r="Q1008">
        <v>0</v>
      </c>
      <c r="R1008" t="s">
        <v>46571</v>
      </c>
      <c r="S1008" t="s">
        <v>46687</v>
      </c>
      <c r="T1008" t="s">
        <v>48361</v>
      </c>
      <c r="U1008" t="s">
        <v>49669</v>
      </c>
      <c r="W1008" t="s">
        <v>43076</v>
      </c>
      <c r="X1008" t="s">
        <v>46572</v>
      </c>
    </row>
    <row r="1009" spans="1:24">
      <c r="A1009">
        <f>HYPERLINK("https://www.philgeps.gov.ph/GEPSNONPILOT/Tender/SplashBidNoticeAbstractUI.aspx?menuIndex=3&amp;refID=7065653&amp;Result=3","7065653")</f>
        <v>0</v>
      </c>
      <c r="B1009" t="s">
        <v>501</v>
      </c>
      <c r="C1009" t="s">
        <v>4518</v>
      </c>
      <c r="D1009" t="s">
        <v>18803</v>
      </c>
      <c r="E1009" t="s">
        <v>19834</v>
      </c>
      <c r="F1009" t="s">
        <v>32664</v>
      </c>
      <c r="G1009" t="s">
        <v>32674</v>
      </c>
      <c r="H1009" t="s">
        <v>12635</v>
      </c>
      <c r="I1009" t="s">
        <v>4439</v>
      </c>
      <c r="J1009" t="s">
        <v>33596</v>
      </c>
      <c r="K1009" t="s">
        <v>42284</v>
      </c>
      <c r="M1009" t="s">
        <v>43077</v>
      </c>
      <c r="N1009" t="s">
        <v>46569</v>
      </c>
      <c r="O1009" t="s">
        <v>46570</v>
      </c>
      <c r="P1009">
        <v>0</v>
      </c>
      <c r="Q1009">
        <v>0</v>
      </c>
      <c r="R1009" t="s">
        <v>46571</v>
      </c>
      <c r="S1009" t="s">
        <v>46687</v>
      </c>
      <c r="T1009" t="s">
        <v>48296</v>
      </c>
      <c r="U1009" t="s">
        <v>49670</v>
      </c>
      <c r="W1009" t="s">
        <v>43077</v>
      </c>
      <c r="X1009" t="s">
        <v>46572</v>
      </c>
    </row>
    <row r="1010" spans="1:24">
      <c r="A1010">
        <f>HYPERLINK("https://www.philgeps.gov.ph/GEPSNONPILOT/Tender/SplashBidNoticeAbstractUI.aspx?menuIndex=3&amp;refID=7065651&amp;Result=3","7065651")</f>
        <v>0</v>
      </c>
      <c r="B1010" t="s">
        <v>243</v>
      </c>
      <c r="C1010" t="s">
        <v>4519</v>
      </c>
      <c r="D1010" t="s">
        <v>18841</v>
      </c>
      <c r="E1010" t="s">
        <v>19835</v>
      </c>
      <c r="F1010" t="s">
        <v>32664</v>
      </c>
      <c r="G1010" t="s">
        <v>32671</v>
      </c>
      <c r="H1010" t="s">
        <v>12635</v>
      </c>
      <c r="I1010" t="s">
        <v>4997</v>
      </c>
      <c r="J1010" t="s">
        <v>33597</v>
      </c>
      <c r="K1010" t="s">
        <v>42284</v>
      </c>
      <c r="L1010" t="s">
        <v>243</v>
      </c>
      <c r="M1010" t="s">
        <v>42808</v>
      </c>
      <c r="N1010" t="s">
        <v>46569</v>
      </c>
      <c r="O1010" t="s">
        <v>46570</v>
      </c>
      <c r="P1010">
        <v>0</v>
      </c>
      <c r="Q1010">
        <v>0</v>
      </c>
      <c r="R1010" t="s">
        <v>46571</v>
      </c>
      <c r="S1010" t="s">
        <v>46687</v>
      </c>
      <c r="T1010" t="s">
        <v>48314</v>
      </c>
      <c r="U1010" t="s">
        <v>49671</v>
      </c>
      <c r="V1010" t="s">
        <v>61675</v>
      </c>
      <c r="W1010" t="s">
        <v>42808</v>
      </c>
      <c r="X1010" t="s">
        <v>46572</v>
      </c>
    </row>
    <row r="1011" spans="1:24">
      <c r="A1011">
        <f>HYPERLINK("https://www.philgeps.gov.ph/GEPSNONPILOT/Tender/SplashBidNoticeAbstractUI.aspx?menuIndex=3&amp;refID=7065628&amp;Result=3","7065628")</f>
        <v>0</v>
      </c>
      <c r="B1011" t="s">
        <v>502</v>
      </c>
      <c r="C1011" t="s">
        <v>4520</v>
      </c>
      <c r="D1011" t="s">
        <v>18782</v>
      </c>
      <c r="E1011" t="s">
        <v>19836</v>
      </c>
      <c r="F1011" t="s">
        <v>32664</v>
      </c>
      <c r="G1011" t="s">
        <v>32671</v>
      </c>
      <c r="H1011" t="s">
        <v>12635</v>
      </c>
      <c r="I1011" t="s">
        <v>32708</v>
      </c>
      <c r="J1011" t="s">
        <v>33598</v>
      </c>
      <c r="K1011" t="s">
        <v>42289</v>
      </c>
      <c r="M1011" t="s">
        <v>43078</v>
      </c>
      <c r="N1011" t="s">
        <v>46569</v>
      </c>
      <c r="O1011" t="s">
        <v>46570</v>
      </c>
      <c r="P1011">
        <v>0</v>
      </c>
      <c r="Q1011">
        <v>0</v>
      </c>
      <c r="R1011" t="s">
        <v>46571</v>
      </c>
      <c r="S1011" t="s">
        <v>46687</v>
      </c>
      <c r="T1011" t="s">
        <v>48283</v>
      </c>
      <c r="U1011" t="s">
        <v>49672</v>
      </c>
      <c r="W1011" t="s">
        <v>43078</v>
      </c>
      <c r="X1011" t="s">
        <v>46572</v>
      </c>
    </row>
    <row r="1012" spans="1:24">
      <c r="A1012">
        <f>HYPERLINK("https://www.philgeps.gov.ph/GEPSNONPILOT/Tender/SplashBidNoticeAbstractUI.aspx?menuIndex=3&amp;refID=7065654&amp;Result=3","7065654")</f>
        <v>0</v>
      </c>
      <c r="B1012" t="s">
        <v>503</v>
      </c>
      <c r="C1012" t="s">
        <v>4521</v>
      </c>
      <c r="D1012" t="s">
        <v>18819</v>
      </c>
      <c r="E1012" t="s">
        <v>19837</v>
      </c>
      <c r="F1012" t="s">
        <v>32664</v>
      </c>
      <c r="G1012" t="s">
        <v>32671</v>
      </c>
      <c r="H1012" t="s">
        <v>12635</v>
      </c>
      <c r="I1012" t="s">
        <v>4439</v>
      </c>
      <c r="J1012" t="s">
        <v>33599</v>
      </c>
      <c r="K1012" t="s">
        <v>42281</v>
      </c>
      <c r="M1012" t="s">
        <v>43079</v>
      </c>
      <c r="N1012" t="s">
        <v>46569</v>
      </c>
      <c r="O1012" t="s">
        <v>46570</v>
      </c>
      <c r="P1012">
        <v>0</v>
      </c>
      <c r="Q1012">
        <v>0</v>
      </c>
      <c r="R1012" t="s">
        <v>46571</v>
      </c>
      <c r="S1012" t="s">
        <v>46687</v>
      </c>
      <c r="T1012" t="s">
        <v>48217</v>
      </c>
      <c r="U1012" t="s">
        <v>49673</v>
      </c>
      <c r="W1012" t="s">
        <v>43079</v>
      </c>
      <c r="X1012" t="s">
        <v>46572</v>
      </c>
    </row>
    <row r="1013" spans="1:24">
      <c r="A1013">
        <f>HYPERLINK("https://www.philgeps.gov.ph/GEPSNONPILOT/Tender/SplashBidNoticeAbstractUI.aspx?menuIndex=3&amp;refID=7065650&amp;Result=3","7065650")</f>
        <v>0</v>
      </c>
      <c r="B1013" t="s">
        <v>504</v>
      </c>
      <c r="C1013" t="s">
        <v>4522</v>
      </c>
      <c r="D1013" t="s">
        <v>18838</v>
      </c>
      <c r="E1013" t="s">
        <v>19838</v>
      </c>
      <c r="F1013" t="s">
        <v>32664</v>
      </c>
      <c r="G1013" t="s">
        <v>32671</v>
      </c>
      <c r="H1013" t="s">
        <v>12635</v>
      </c>
      <c r="I1013" t="s">
        <v>7429</v>
      </c>
      <c r="J1013" t="s">
        <v>32917</v>
      </c>
      <c r="K1013" t="s">
        <v>42297</v>
      </c>
      <c r="M1013" t="s">
        <v>43080</v>
      </c>
      <c r="N1013" t="s">
        <v>46569</v>
      </c>
      <c r="O1013" t="s">
        <v>46570</v>
      </c>
      <c r="P1013">
        <v>0</v>
      </c>
      <c r="Q1013">
        <v>0</v>
      </c>
      <c r="R1013" t="s">
        <v>46571</v>
      </c>
      <c r="S1013" t="s">
        <v>46687</v>
      </c>
      <c r="T1013" t="s">
        <v>48219</v>
      </c>
      <c r="U1013" t="s">
        <v>49674</v>
      </c>
      <c r="W1013" t="s">
        <v>43080</v>
      </c>
      <c r="X1013" t="s">
        <v>46572</v>
      </c>
    </row>
    <row r="1014" spans="1:24">
      <c r="A1014">
        <f>HYPERLINK("https://www.philgeps.gov.ph/GEPSNONPILOT/Tender/SplashBidNoticeAbstractUI.aspx?menuIndex=3&amp;refID=7065658&amp;Result=3","7065658")</f>
        <v>0</v>
      </c>
      <c r="B1014" t="s">
        <v>184</v>
      </c>
      <c r="C1014" t="s">
        <v>4523</v>
      </c>
      <c r="D1014" t="s">
        <v>18825</v>
      </c>
      <c r="E1014" t="s">
        <v>19839</v>
      </c>
      <c r="F1014" t="s">
        <v>32664</v>
      </c>
      <c r="G1014" t="s">
        <v>32672</v>
      </c>
      <c r="H1014" t="s">
        <v>12635</v>
      </c>
      <c r="I1014" t="s">
        <v>32717</v>
      </c>
      <c r="J1014" t="s">
        <v>33600</v>
      </c>
      <c r="K1014" t="s">
        <v>42284</v>
      </c>
      <c r="M1014" t="s">
        <v>42884</v>
      </c>
      <c r="N1014" t="s">
        <v>46569</v>
      </c>
      <c r="O1014" t="s">
        <v>46570</v>
      </c>
      <c r="P1014">
        <v>0</v>
      </c>
      <c r="Q1014">
        <v>2</v>
      </c>
      <c r="R1014" t="s">
        <v>46571</v>
      </c>
      <c r="S1014" t="s">
        <v>46687</v>
      </c>
      <c r="T1014" t="s">
        <v>48216</v>
      </c>
      <c r="U1014" t="s">
        <v>49343</v>
      </c>
      <c r="W1014" t="s">
        <v>42884</v>
      </c>
      <c r="X1014" t="s">
        <v>46572</v>
      </c>
    </row>
    <row r="1015" spans="1:24">
      <c r="A1015">
        <f>HYPERLINK("https://www.philgeps.gov.ph/GEPSNONPILOT/Tender/SplashBidNoticeAbstractUI.aspx?menuIndex=3&amp;refID=7065647&amp;Result=3","7065647")</f>
        <v>0</v>
      </c>
      <c r="B1015" t="s">
        <v>505</v>
      </c>
      <c r="C1015" t="s">
        <v>4524</v>
      </c>
      <c r="E1015" t="s">
        <v>19840</v>
      </c>
      <c r="F1015" t="s">
        <v>32664</v>
      </c>
      <c r="G1015" t="s">
        <v>32672</v>
      </c>
      <c r="H1015" t="s">
        <v>12635</v>
      </c>
      <c r="I1015" t="s">
        <v>4439</v>
      </c>
      <c r="J1015" t="s">
        <v>33601</v>
      </c>
      <c r="K1015" t="s">
        <v>42283</v>
      </c>
      <c r="M1015" t="s">
        <v>43081</v>
      </c>
      <c r="N1015" t="s">
        <v>46569</v>
      </c>
      <c r="O1015" t="s">
        <v>46570</v>
      </c>
      <c r="P1015">
        <v>0</v>
      </c>
      <c r="Q1015">
        <v>0</v>
      </c>
      <c r="R1015" t="s">
        <v>46571</v>
      </c>
      <c r="S1015" t="s">
        <v>46687</v>
      </c>
      <c r="T1015" t="s">
        <v>48225</v>
      </c>
      <c r="U1015" t="s">
        <v>49675</v>
      </c>
      <c r="W1015" t="s">
        <v>43081</v>
      </c>
      <c r="X1015" t="s">
        <v>46572</v>
      </c>
    </row>
    <row r="1016" spans="1:24">
      <c r="A1016">
        <f>HYPERLINK("https://www.philgeps.gov.ph/GEPSNONPILOT/Tender/SplashBidNoticeAbstractUI.aspx?menuIndex=3&amp;refID=7065646&amp;Result=3","7065646")</f>
        <v>0</v>
      </c>
      <c r="B1016" t="s">
        <v>203</v>
      </c>
      <c r="C1016" t="s">
        <v>4525</v>
      </c>
      <c r="D1016" t="s">
        <v>18842</v>
      </c>
      <c r="E1016" t="s">
        <v>19841</v>
      </c>
      <c r="F1016" t="s">
        <v>32664</v>
      </c>
      <c r="G1016" t="s">
        <v>32671</v>
      </c>
      <c r="H1016" t="s">
        <v>12635</v>
      </c>
      <c r="I1016" t="s">
        <v>32704</v>
      </c>
      <c r="J1016" t="s">
        <v>33602</v>
      </c>
      <c r="K1016" t="s">
        <v>42298</v>
      </c>
      <c r="M1016" t="s">
        <v>42767</v>
      </c>
      <c r="N1016" t="s">
        <v>46569</v>
      </c>
      <c r="O1016" t="s">
        <v>46570</v>
      </c>
      <c r="P1016">
        <v>0</v>
      </c>
      <c r="Q1016">
        <v>8</v>
      </c>
      <c r="R1016" t="s">
        <v>46571</v>
      </c>
      <c r="S1016" t="s">
        <v>46687</v>
      </c>
      <c r="T1016" t="s">
        <v>48296</v>
      </c>
      <c r="U1016" t="s">
        <v>49676</v>
      </c>
      <c r="V1016" t="s">
        <v>50334</v>
      </c>
      <c r="W1016" t="s">
        <v>42767</v>
      </c>
      <c r="X1016" t="s">
        <v>46572</v>
      </c>
    </row>
    <row r="1017" spans="1:24">
      <c r="A1017">
        <f>HYPERLINK("https://www.philgeps.gov.ph/GEPSNONPILOT/Tender/SplashBidNoticeAbstractUI.aspx?menuIndex=3&amp;refID=7065642&amp;Result=3","7065642")</f>
        <v>0</v>
      </c>
      <c r="B1017" t="s">
        <v>494</v>
      </c>
      <c r="C1017" t="s">
        <v>4526</v>
      </c>
      <c r="D1017" t="s">
        <v>18834</v>
      </c>
      <c r="E1017" t="s">
        <v>19842</v>
      </c>
      <c r="F1017" t="s">
        <v>32664</v>
      </c>
      <c r="G1017" t="s">
        <v>32671</v>
      </c>
      <c r="H1017" t="s">
        <v>12635</v>
      </c>
      <c r="I1017" t="s">
        <v>4333</v>
      </c>
      <c r="J1017" t="s">
        <v>33015</v>
      </c>
      <c r="K1017" t="s">
        <v>42284</v>
      </c>
      <c r="M1017" t="s">
        <v>43070</v>
      </c>
      <c r="N1017" t="s">
        <v>46569</v>
      </c>
      <c r="O1017" t="s">
        <v>46570</v>
      </c>
      <c r="P1017">
        <v>0</v>
      </c>
      <c r="Q1017">
        <v>0</v>
      </c>
      <c r="R1017" t="s">
        <v>46571</v>
      </c>
      <c r="S1017" t="s">
        <v>46687</v>
      </c>
      <c r="T1017" t="s">
        <v>48283</v>
      </c>
      <c r="U1017" t="s">
        <v>49677</v>
      </c>
      <c r="W1017" t="s">
        <v>43070</v>
      </c>
      <c r="X1017" t="s">
        <v>46572</v>
      </c>
    </row>
    <row r="1018" spans="1:24">
      <c r="A1018">
        <f>HYPERLINK("https://www.philgeps.gov.ph/GEPSNONPILOT/Tender/SplashBidNoticeAbstractUI.aspx?menuIndex=3&amp;refID=7065652&amp;Result=3","7065652")</f>
        <v>0</v>
      </c>
      <c r="B1018" t="s">
        <v>506</v>
      </c>
      <c r="C1018" t="s">
        <v>4527</v>
      </c>
      <c r="D1018" t="s">
        <v>18789</v>
      </c>
      <c r="E1018" t="s">
        <v>19843</v>
      </c>
      <c r="F1018" t="s">
        <v>32664</v>
      </c>
      <c r="G1018" t="s">
        <v>32671</v>
      </c>
      <c r="H1018" t="s">
        <v>12635</v>
      </c>
      <c r="I1018" t="s">
        <v>32707</v>
      </c>
      <c r="J1018" t="s">
        <v>33603</v>
      </c>
      <c r="K1018" t="s">
        <v>42289</v>
      </c>
      <c r="M1018" t="s">
        <v>43082</v>
      </c>
      <c r="N1018" t="s">
        <v>46569</v>
      </c>
      <c r="O1018" t="s">
        <v>46570</v>
      </c>
      <c r="P1018">
        <v>0</v>
      </c>
      <c r="Q1018">
        <v>1</v>
      </c>
      <c r="R1018" t="s">
        <v>46571</v>
      </c>
      <c r="S1018" t="s">
        <v>46687</v>
      </c>
      <c r="T1018" t="s">
        <v>48221</v>
      </c>
      <c r="U1018" t="s">
        <v>49678</v>
      </c>
      <c r="W1018" t="s">
        <v>43082</v>
      </c>
      <c r="X1018" t="s">
        <v>46572</v>
      </c>
    </row>
    <row r="1019" spans="1:24">
      <c r="A1019">
        <f>HYPERLINK("https://www.philgeps.gov.ph/GEPSNONPILOT/Tender/SplashBidNoticeAbstractUI.aspx?menuIndex=3&amp;refID=7065641&amp;Result=3","7065641")</f>
        <v>0</v>
      </c>
      <c r="B1019" t="s">
        <v>426</v>
      </c>
      <c r="C1019" t="s">
        <v>4528</v>
      </c>
      <c r="D1019" t="s">
        <v>18841</v>
      </c>
      <c r="E1019" t="s">
        <v>19844</v>
      </c>
      <c r="F1019" t="s">
        <v>32664</v>
      </c>
      <c r="G1019" t="s">
        <v>32672</v>
      </c>
      <c r="H1019" t="s">
        <v>32683</v>
      </c>
      <c r="I1019" t="s">
        <v>10627</v>
      </c>
      <c r="J1019" t="s">
        <v>33604</v>
      </c>
      <c r="K1019" t="s">
        <v>42310</v>
      </c>
      <c r="M1019" t="s">
        <v>42997</v>
      </c>
      <c r="N1019" t="s">
        <v>46569</v>
      </c>
      <c r="O1019" t="s">
        <v>46570</v>
      </c>
      <c r="P1019">
        <v>0</v>
      </c>
      <c r="Q1019">
        <v>0</v>
      </c>
      <c r="R1019" t="s">
        <v>46571</v>
      </c>
      <c r="S1019" t="s">
        <v>46687</v>
      </c>
      <c r="T1019" t="s">
        <v>48240</v>
      </c>
      <c r="U1019" t="s">
        <v>49679</v>
      </c>
      <c r="W1019" t="s">
        <v>42997</v>
      </c>
      <c r="X1019" t="s">
        <v>46572</v>
      </c>
    </row>
    <row r="1020" spans="1:24">
      <c r="A1020">
        <f>HYPERLINK("https://www.philgeps.gov.ph/GEPSNONPILOT/Tender/SplashBidNoticeAbstractUI.aspx?menuIndex=3&amp;refID=7065649&amp;Result=3","7065649")</f>
        <v>0</v>
      </c>
      <c r="B1020" t="s">
        <v>507</v>
      </c>
      <c r="C1020" t="s">
        <v>4529</v>
      </c>
      <c r="D1020" t="s">
        <v>18799</v>
      </c>
      <c r="E1020" t="s">
        <v>19231</v>
      </c>
      <c r="F1020" t="s">
        <v>32664</v>
      </c>
      <c r="G1020" t="s">
        <v>32674</v>
      </c>
      <c r="H1020" t="s">
        <v>12635</v>
      </c>
      <c r="I1020" t="s">
        <v>32692</v>
      </c>
      <c r="J1020" t="s">
        <v>33605</v>
      </c>
      <c r="K1020" t="s">
        <v>42284</v>
      </c>
      <c r="M1020" t="s">
        <v>43083</v>
      </c>
      <c r="N1020" t="s">
        <v>46569</v>
      </c>
      <c r="O1020" t="s">
        <v>46570</v>
      </c>
      <c r="P1020">
        <v>0</v>
      </c>
      <c r="Q1020">
        <v>0</v>
      </c>
      <c r="R1020" t="s">
        <v>46571</v>
      </c>
      <c r="S1020" t="s">
        <v>46687</v>
      </c>
      <c r="T1020" t="s">
        <v>48245</v>
      </c>
      <c r="U1020" t="s">
        <v>49680</v>
      </c>
      <c r="W1020" t="s">
        <v>43083</v>
      </c>
      <c r="X1020" t="s">
        <v>46572</v>
      </c>
    </row>
    <row r="1021" spans="1:24">
      <c r="A1021">
        <f>HYPERLINK("https://www.philgeps.gov.ph/GEPSNONPILOT/Tender/SplashBidNoticeAbstractUI.aspx?menuIndex=3&amp;refID=7065643&amp;Result=3","7065643")</f>
        <v>0</v>
      </c>
      <c r="B1021" t="s">
        <v>508</v>
      </c>
      <c r="C1021" t="s">
        <v>4530</v>
      </c>
      <c r="D1021" t="s">
        <v>18785</v>
      </c>
      <c r="E1021" t="s">
        <v>19845</v>
      </c>
      <c r="F1021" t="s">
        <v>32664</v>
      </c>
      <c r="G1021" t="s">
        <v>32671</v>
      </c>
      <c r="H1021" t="s">
        <v>12635</v>
      </c>
      <c r="I1021" t="s">
        <v>5589</v>
      </c>
      <c r="J1021" t="s">
        <v>33606</v>
      </c>
      <c r="K1021" t="s">
        <v>42289</v>
      </c>
      <c r="M1021" t="s">
        <v>43084</v>
      </c>
      <c r="N1021" t="s">
        <v>46569</v>
      </c>
      <c r="O1021" t="s">
        <v>46570</v>
      </c>
      <c r="P1021">
        <v>0</v>
      </c>
      <c r="Q1021">
        <v>3</v>
      </c>
      <c r="R1021" t="s">
        <v>46571</v>
      </c>
      <c r="S1021" t="s">
        <v>46687</v>
      </c>
      <c r="T1021" t="s">
        <v>48305</v>
      </c>
      <c r="U1021" t="s">
        <v>49681</v>
      </c>
      <c r="W1021" t="s">
        <v>43084</v>
      </c>
      <c r="X1021" t="s">
        <v>46572</v>
      </c>
    </row>
    <row r="1022" spans="1:24">
      <c r="A1022">
        <f>HYPERLINK("https://www.philgeps.gov.ph/GEPSNONPILOT/Tender/SplashBidNoticeAbstractUI.aspx?menuIndex=3&amp;refID=7065681&amp;Result=3","7065681")</f>
        <v>0</v>
      </c>
      <c r="B1022" t="s">
        <v>509</v>
      </c>
      <c r="C1022" t="s">
        <v>4531</v>
      </c>
      <c r="D1022" t="s">
        <v>18803</v>
      </c>
      <c r="E1022" t="s">
        <v>19846</v>
      </c>
      <c r="F1022" t="s">
        <v>32664</v>
      </c>
      <c r="G1022" t="s">
        <v>32671</v>
      </c>
      <c r="H1022" t="s">
        <v>32683</v>
      </c>
      <c r="I1022" t="s">
        <v>6553</v>
      </c>
      <c r="J1022" t="s">
        <v>33607</v>
      </c>
      <c r="K1022" t="s">
        <v>42281</v>
      </c>
      <c r="M1022" t="s">
        <v>43085</v>
      </c>
      <c r="N1022" t="s">
        <v>46569</v>
      </c>
      <c r="O1022" t="s">
        <v>46570</v>
      </c>
      <c r="P1022">
        <v>0</v>
      </c>
      <c r="Q1022">
        <v>1</v>
      </c>
      <c r="R1022" t="s">
        <v>46571</v>
      </c>
      <c r="S1022" t="s">
        <v>46687</v>
      </c>
      <c r="T1022" t="s">
        <v>48225</v>
      </c>
      <c r="U1022" t="s">
        <v>49682</v>
      </c>
      <c r="W1022" t="s">
        <v>43085</v>
      </c>
      <c r="X1022" t="s">
        <v>46572</v>
      </c>
    </row>
    <row r="1023" spans="1:24">
      <c r="A1023">
        <f>HYPERLINK("https://www.philgeps.gov.ph/GEPSNONPILOT/Tender/SplashBidNoticeAbstractUI.aspx?menuIndex=3&amp;refID=7065679&amp;Result=3","7065679")</f>
        <v>0</v>
      </c>
      <c r="B1023" t="s">
        <v>510</v>
      </c>
      <c r="C1023" t="s">
        <v>4532</v>
      </c>
      <c r="D1023" t="s">
        <v>18792</v>
      </c>
      <c r="E1023" t="s">
        <v>19847</v>
      </c>
      <c r="F1023" t="s">
        <v>32664</v>
      </c>
      <c r="G1023" t="s">
        <v>32671</v>
      </c>
      <c r="H1023" t="s">
        <v>12635</v>
      </c>
      <c r="I1023" t="s">
        <v>11464</v>
      </c>
      <c r="J1023" t="s">
        <v>33608</v>
      </c>
      <c r="K1023" t="s">
        <v>42281</v>
      </c>
      <c r="M1023" t="s">
        <v>43086</v>
      </c>
      <c r="N1023" t="s">
        <v>46569</v>
      </c>
      <c r="O1023" t="s">
        <v>46570</v>
      </c>
      <c r="P1023">
        <v>0</v>
      </c>
      <c r="Q1023">
        <v>0</v>
      </c>
      <c r="R1023" t="s">
        <v>46571</v>
      </c>
      <c r="S1023" t="s">
        <v>46687</v>
      </c>
      <c r="T1023" t="s">
        <v>48251</v>
      </c>
      <c r="U1023" t="s">
        <v>49683</v>
      </c>
      <c r="W1023" t="s">
        <v>43086</v>
      </c>
      <c r="X1023" t="s">
        <v>46572</v>
      </c>
    </row>
    <row r="1024" spans="1:24">
      <c r="A1024">
        <f>HYPERLINK("https://www.philgeps.gov.ph/GEPSNONPILOT/Tender/SplashBidNoticeAbstractUI.aspx?menuIndex=3&amp;refID=7065683&amp;Result=3","7065683")</f>
        <v>0</v>
      </c>
      <c r="B1024" t="s">
        <v>501</v>
      </c>
      <c r="C1024" t="s">
        <v>4533</v>
      </c>
      <c r="D1024" t="s">
        <v>18803</v>
      </c>
      <c r="E1024" t="s">
        <v>19848</v>
      </c>
      <c r="F1024" t="s">
        <v>32664</v>
      </c>
      <c r="G1024" t="s">
        <v>32674</v>
      </c>
      <c r="H1024" t="s">
        <v>12635</v>
      </c>
      <c r="I1024" t="s">
        <v>4439</v>
      </c>
      <c r="J1024" t="s">
        <v>33609</v>
      </c>
      <c r="K1024" t="s">
        <v>42284</v>
      </c>
      <c r="M1024" t="s">
        <v>43077</v>
      </c>
      <c r="N1024" t="s">
        <v>46569</v>
      </c>
      <c r="O1024" t="s">
        <v>46570</v>
      </c>
      <c r="P1024">
        <v>0</v>
      </c>
      <c r="Q1024">
        <v>0</v>
      </c>
      <c r="R1024" t="s">
        <v>46571</v>
      </c>
      <c r="S1024" t="s">
        <v>46687</v>
      </c>
      <c r="T1024" t="s">
        <v>48296</v>
      </c>
      <c r="U1024" t="s">
        <v>49684</v>
      </c>
      <c r="W1024" t="s">
        <v>43077</v>
      </c>
      <c r="X1024" t="s">
        <v>46572</v>
      </c>
    </row>
    <row r="1025" spans="1:24">
      <c r="A1025">
        <f>HYPERLINK("https://www.philgeps.gov.ph/GEPSNONPILOT/Tender/SplashBidNoticeAbstractUI.aspx?menuIndex=3&amp;refID=7065680&amp;Result=3","7065680")</f>
        <v>0</v>
      </c>
      <c r="B1025" t="s">
        <v>95</v>
      </c>
      <c r="C1025" t="s">
        <v>4534</v>
      </c>
      <c r="D1025" t="s">
        <v>18807</v>
      </c>
      <c r="E1025" t="s">
        <v>19849</v>
      </c>
      <c r="F1025" t="s">
        <v>32664</v>
      </c>
      <c r="G1025" t="s">
        <v>32672</v>
      </c>
      <c r="H1025" t="s">
        <v>12635</v>
      </c>
      <c r="I1025" t="s">
        <v>10370</v>
      </c>
      <c r="J1025" t="s">
        <v>33610</v>
      </c>
      <c r="K1025" t="s">
        <v>42289</v>
      </c>
      <c r="M1025" t="s">
        <v>42658</v>
      </c>
      <c r="N1025" t="s">
        <v>46569</v>
      </c>
      <c r="O1025" t="s">
        <v>46570</v>
      </c>
      <c r="P1025">
        <v>0</v>
      </c>
      <c r="Q1025">
        <v>0</v>
      </c>
      <c r="R1025" t="s">
        <v>46571</v>
      </c>
      <c r="S1025" t="s">
        <v>46687</v>
      </c>
      <c r="T1025" t="s">
        <v>48230</v>
      </c>
      <c r="U1025" t="s">
        <v>49685</v>
      </c>
      <c r="W1025" t="s">
        <v>42658</v>
      </c>
      <c r="X1025" t="s">
        <v>46572</v>
      </c>
    </row>
    <row r="1026" spans="1:24">
      <c r="A1026">
        <f>HYPERLINK("https://www.philgeps.gov.ph/GEPSNONPILOT/Tender/SplashBidNoticeAbstractUI.aspx?menuIndex=3&amp;refID=7065644&amp;Result=3","7065644")</f>
        <v>0</v>
      </c>
      <c r="B1026" t="s">
        <v>413</v>
      </c>
      <c r="C1026" t="s">
        <v>4535</v>
      </c>
      <c r="D1026" t="s">
        <v>18799</v>
      </c>
      <c r="E1026" t="s">
        <v>19850</v>
      </c>
      <c r="F1026" t="s">
        <v>32664</v>
      </c>
      <c r="G1026" t="s">
        <v>32674</v>
      </c>
      <c r="H1026" t="s">
        <v>12635</v>
      </c>
      <c r="I1026" t="s">
        <v>4439</v>
      </c>
      <c r="J1026" t="s">
        <v>33611</v>
      </c>
      <c r="K1026" t="s">
        <v>42289</v>
      </c>
      <c r="M1026" t="s">
        <v>42984</v>
      </c>
      <c r="N1026" t="s">
        <v>46569</v>
      </c>
      <c r="O1026" t="s">
        <v>46570</v>
      </c>
      <c r="P1026">
        <v>0</v>
      </c>
      <c r="Q1026">
        <v>0</v>
      </c>
      <c r="R1026" t="s">
        <v>46571</v>
      </c>
      <c r="S1026" t="s">
        <v>46687</v>
      </c>
      <c r="T1026" t="s">
        <v>48343</v>
      </c>
      <c r="U1026" t="s">
        <v>49686</v>
      </c>
      <c r="W1026" t="s">
        <v>42984</v>
      </c>
      <c r="X1026" t="s">
        <v>46572</v>
      </c>
    </row>
    <row r="1027" spans="1:24">
      <c r="A1027">
        <f>HYPERLINK("https://www.philgeps.gov.ph/GEPSNONPILOT/Tender/SplashBidNoticeAbstractUI.aspx?menuIndex=3&amp;refID=7065675&amp;Result=3","7065675")</f>
        <v>0</v>
      </c>
      <c r="B1027" t="s">
        <v>511</v>
      </c>
      <c r="C1027" t="s">
        <v>4536</v>
      </c>
      <c r="D1027" t="s">
        <v>18801</v>
      </c>
      <c r="E1027" t="s">
        <v>19851</v>
      </c>
      <c r="F1027" t="s">
        <v>32664</v>
      </c>
      <c r="G1027" t="s">
        <v>32674</v>
      </c>
      <c r="H1027" t="s">
        <v>12635</v>
      </c>
      <c r="I1027" t="s">
        <v>6628</v>
      </c>
      <c r="J1027" t="s">
        <v>32898</v>
      </c>
      <c r="K1027" t="s">
        <v>42284</v>
      </c>
      <c r="M1027" t="s">
        <v>43087</v>
      </c>
      <c r="N1027" t="s">
        <v>46569</v>
      </c>
      <c r="O1027" t="s">
        <v>46570</v>
      </c>
      <c r="P1027">
        <v>0</v>
      </c>
      <c r="Q1027">
        <v>1</v>
      </c>
      <c r="R1027" t="s">
        <v>46571</v>
      </c>
      <c r="S1027" t="s">
        <v>46687</v>
      </c>
      <c r="T1027" t="s">
        <v>48256</v>
      </c>
      <c r="U1027" t="s">
        <v>49687</v>
      </c>
      <c r="V1027" t="s">
        <v>61740</v>
      </c>
      <c r="W1027" t="s">
        <v>43087</v>
      </c>
      <c r="X1027" t="s">
        <v>46572</v>
      </c>
    </row>
    <row r="1028" spans="1:24">
      <c r="A1028">
        <f>HYPERLINK("https://www.philgeps.gov.ph/GEPSNONPILOT/Tender/SplashBidNoticeAbstractUI.aspx?menuIndex=3&amp;refID=7065678&amp;Result=3","7065678")</f>
        <v>0</v>
      </c>
      <c r="B1028" t="s">
        <v>512</v>
      </c>
      <c r="C1028" t="s">
        <v>4537</v>
      </c>
      <c r="D1028" t="s">
        <v>18831</v>
      </c>
      <c r="E1028" t="s">
        <v>19852</v>
      </c>
      <c r="F1028" t="s">
        <v>32664</v>
      </c>
      <c r="G1028" t="s">
        <v>32671</v>
      </c>
      <c r="H1028" t="s">
        <v>12635</v>
      </c>
      <c r="I1028" t="s">
        <v>10590</v>
      </c>
      <c r="J1028" t="s">
        <v>33612</v>
      </c>
      <c r="K1028" t="s">
        <v>42297</v>
      </c>
      <c r="M1028" t="s">
        <v>43088</v>
      </c>
      <c r="N1028" t="s">
        <v>46569</v>
      </c>
      <c r="O1028" t="s">
        <v>46570</v>
      </c>
      <c r="P1028">
        <v>0</v>
      </c>
      <c r="Q1028">
        <v>0</v>
      </c>
      <c r="R1028" t="s">
        <v>46571</v>
      </c>
      <c r="S1028" t="s">
        <v>46687</v>
      </c>
      <c r="T1028" t="s">
        <v>48221</v>
      </c>
      <c r="U1028" t="s">
        <v>49688</v>
      </c>
      <c r="W1028" t="s">
        <v>43088</v>
      </c>
      <c r="X1028" t="s">
        <v>46572</v>
      </c>
    </row>
    <row r="1029" spans="1:24">
      <c r="A1029">
        <f>HYPERLINK("https://www.philgeps.gov.ph/GEPSNONPILOT/Tender/SplashBidNoticeAbstractUI.aspx?menuIndex=3&amp;refID=7065674&amp;Result=3","7065674")</f>
        <v>0</v>
      </c>
      <c r="B1029" t="s">
        <v>513</v>
      </c>
      <c r="C1029" t="s">
        <v>4538</v>
      </c>
      <c r="D1029" t="s">
        <v>18858</v>
      </c>
      <c r="E1029" t="s">
        <v>19853</v>
      </c>
      <c r="F1029" t="s">
        <v>32664</v>
      </c>
      <c r="G1029" t="s">
        <v>32674</v>
      </c>
      <c r="H1029" t="s">
        <v>12635</v>
      </c>
      <c r="I1029" t="s">
        <v>6628</v>
      </c>
      <c r="J1029" t="s">
        <v>33294</v>
      </c>
      <c r="K1029" t="s">
        <v>42309</v>
      </c>
      <c r="M1029" t="s">
        <v>43089</v>
      </c>
      <c r="N1029" t="s">
        <v>46569</v>
      </c>
      <c r="O1029" t="s">
        <v>46570</v>
      </c>
      <c r="P1029">
        <v>0</v>
      </c>
      <c r="Q1029">
        <v>1</v>
      </c>
      <c r="R1029" t="s">
        <v>46571</v>
      </c>
      <c r="S1029" t="s">
        <v>46687</v>
      </c>
      <c r="T1029" t="s">
        <v>48293</v>
      </c>
      <c r="U1029" t="s">
        <v>49689</v>
      </c>
      <c r="W1029" t="s">
        <v>43089</v>
      </c>
      <c r="X1029" t="s">
        <v>46572</v>
      </c>
    </row>
    <row r="1030" spans="1:24">
      <c r="A1030">
        <f>HYPERLINK("https://www.philgeps.gov.ph/GEPSNONPILOT/Tender/SplashBidNoticeAbstractUI.aspx?menuIndex=3&amp;refID=7065677&amp;Result=3","7065677")</f>
        <v>0</v>
      </c>
      <c r="B1030" t="s">
        <v>514</v>
      </c>
      <c r="C1030" t="s">
        <v>4539</v>
      </c>
      <c r="D1030" t="s">
        <v>18826</v>
      </c>
      <c r="E1030" t="s">
        <v>19304</v>
      </c>
      <c r="F1030" t="s">
        <v>32664</v>
      </c>
      <c r="G1030" t="s">
        <v>32671</v>
      </c>
      <c r="H1030" t="s">
        <v>32682</v>
      </c>
      <c r="I1030" t="s">
        <v>32745</v>
      </c>
      <c r="J1030" t="s">
        <v>33613</v>
      </c>
      <c r="K1030" t="s">
        <v>42281</v>
      </c>
      <c r="M1030" t="s">
        <v>43090</v>
      </c>
      <c r="N1030" t="s">
        <v>46569</v>
      </c>
      <c r="O1030" t="s">
        <v>46570</v>
      </c>
      <c r="P1030">
        <v>0</v>
      </c>
      <c r="Q1030">
        <v>0</v>
      </c>
      <c r="R1030" t="s">
        <v>46571</v>
      </c>
      <c r="S1030" t="s">
        <v>46687</v>
      </c>
      <c r="T1030" t="s">
        <v>48350</v>
      </c>
      <c r="U1030" t="s">
        <v>49690</v>
      </c>
      <c r="V1030" t="s">
        <v>61741</v>
      </c>
      <c r="W1030" t="s">
        <v>43090</v>
      </c>
      <c r="X1030" t="s">
        <v>46572</v>
      </c>
    </row>
    <row r="1031" spans="1:24">
      <c r="A1031">
        <f>HYPERLINK("https://www.philgeps.gov.ph/GEPSNONPILOT/Tender/SplashBidNoticeAbstractUI.aspx?menuIndex=3&amp;refID=7065669&amp;Result=3","7065669")</f>
        <v>0</v>
      </c>
      <c r="B1031" t="s">
        <v>418</v>
      </c>
      <c r="C1031" t="s">
        <v>4540</v>
      </c>
      <c r="D1031" t="s">
        <v>18784</v>
      </c>
      <c r="E1031" t="s">
        <v>19854</v>
      </c>
      <c r="F1031" t="s">
        <v>32664</v>
      </c>
      <c r="G1031" t="s">
        <v>32672</v>
      </c>
      <c r="H1031" t="s">
        <v>12635</v>
      </c>
      <c r="I1031" t="s">
        <v>6118</v>
      </c>
      <c r="J1031" t="s">
        <v>33614</v>
      </c>
      <c r="K1031" t="s">
        <v>42289</v>
      </c>
      <c r="M1031" t="s">
        <v>42989</v>
      </c>
      <c r="N1031" t="s">
        <v>46569</v>
      </c>
      <c r="O1031" t="s">
        <v>46570</v>
      </c>
      <c r="P1031">
        <v>0</v>
      </c>
      <c r="Q1031">
        <v>0</v>
      </c>
      <c r="R1031" t="s">
        <v>46571</v>
      </c>
      <c r="S1031" t="s">
        <v>46687</v>
      </c>
      <c r="T1031" t="s">
        <v>48226</v>
      </c>
      <c r="U1031" t="s">
        <v>49634</v>
      </c>
      <c r="W1031" t="s">
        <v>42989</v>
      </c>
      <c r="X1031" t="s">
        <v>46572</v>
      </c>
    </row>
    <row r="1032" spans="1:24">
      <c r="A1032">
        <f>HYPERLINK("https://www.philgeps.gov.ph/GEPSNONPILOT/Tender/SplashBidNoticeAbstractUI.aspx?menuIndex=3&amp;refID=7065668&amp;Result=3","7065668")</f>
        <v>0</v>
      </c>
      <c r="B1032" t="s">
        <v>515</v>
      </c>
      <c r="C1032" t="s">
        <v>4541</v>
      </c>
      <c r="D1032" t="s">
        <v>18792</v>
      </c>
      <c r="E1032" t="s">
        <v>19855</v>
      </c>
      <c r="F1032" t="s">
        <v>32664</v>
      </c>
      <c r="G1032" t="s">
        <v>32672</v>
      </c>
      <c r="H1032" t="s">
        <v>12635</v>
      </c>
      <c r="I1032" t="s">
        <v>10361</v>
      </c>
      <c r="J1032" t="s">
        <v>33615</v>
      </c>
      <c r="K1032" t="s">
        <v>42333</v>
      </c>
      <c r="M1032" t="s">
        <v>43091</v>
      </c>
      <c r="N1032" t="s">
        <v>46569</v>
      </c>
      <c r="O1032" t="s">
        <v>46570</v>
      </c>
      <c r="P1032">
        <v>0</v>
      </c>
      <c r="Q1032">
        <v>0</v>
      </c>
      <c r="R1032" t="s">
        <v>46571</v>
      </c>
      <c r="S1032" t="s">
        <v>46687</v>
      </c>
      <c r="T1032" t="s">
        <v>48347</v>
      </c>
      <c r="U1032" t="s">
        <v>49691</v>
      </c>
      <c r="W1032" t="s">
        <v>43091</v>
      </c>
      <c r="X1032" t="s">
        <v>46572</v>
      </c>
    </row>
    <row r="1033" spans="1:24">
      <c r="A1033">
        <f>HYPERLINK("https://www.philgeps.gov.ph/GEPSNONPILOT/Tender/SplashBidNoticeAbstractUI.aspx?menuIndex=3&amp;refID=7065665&amp;Result=3","7065665")</f>
        <v>0</v>
      </c>
      <c r="B1033" t="s">
        <v>509</v>
      </c>
      <c r="C1033" t="s">
        <v>4542</v>
      </c>
      <c r="D1033" t="s">
        <v>18803</v>
      </c>
      <c r="E1033" t="s">
        <v>19856</v>
      </c>
      <c r="F1033" t="s">
        <v>32664</v>
      </c>
      <c r="G1033" t="s">
        <v>32671</v>
      </c>
      <c r="H1033" t="s">
        <v>32683</v>
      </c>
      <c r="I1033" t="s">
        <v>6553</v>
      </c>
      <c r="J1033" t="s">
        <v>33616</v>
      </c>
      <c r="K1033" t="s">
        <v>42298</v>
      </c>
      <c r="M1033" t="s">
        <v>43085</v>
      </c>
      <c r="N1033" t="s">
        <v>46569</v>
      </c>
      <c r="O1033" t="s">
        <v>46570</v>
      </c>
      <c r="P1033">
        <v>0</v>
      </c>
      <c r="Q1033">
        <v>2</v>
      </c>
      <c r="R1033" t="s">
        <v>46571</v>
      </c>
      <c r="S1033" t="s">
        <v>46687</v>
      </c>
      <c r="T1033" t="s">
        <v>48225</v>
      </c>
      <c r="U1033" t="s">
        <v>49692</v>
      </c>
      <c r="W1033" t="s">
        <v>43085</v>
      </c>
      <c r="X1033" t="s">
        <v>46572</v>
      </c>
    </row>
    <row r="1034" spans="1:24">
      <c r="A1034">
        <f>HYPERLINK("https://www.philgeps.gov.ph/GEPSNONPILOT/Tender/SplashBidNoticeAbstractUI.aspx?menuIndex=3&amp;refID=7065671&amp;Result=3","7065671")</f>
        <v>0</v>
      </c>
      <c r="B1034" t="s">
        <v>516</v>
      </c>
      <c r="C1034" t="s">
        <v>4543</v>
      </c>
      <c r="D1034" t="s">
        <v>18804</v>
      </c>
      <c r="E1034" t="s">
        <v>19857</v>
      </c>
      <c r="F1034" t="s">
        <v>32664</v>
      </c>
      <c r="G1034" t="s">
        <v>32672</v>
      </c>
      <c r="H1034" t="s">
        <v>32683</v>
      </c>
      <c r="I1034" t="s">
        <v>10627</v>
      </c>
      <c r="J1034" t="s">
        <v>33617</v>
      </c>
      <c r="K1034" t="s">
        <v>42311</v>
      </c>
      <c r="M1034" t="s">
        <v>43092</v>
      </c>
      <c r="N1034" t="s">
        <v>46569</v>
      </c>
      <c r="O1034" t="s">
        <v>46570</v>
      </c>
      <c r="P1034">
        <v>0</v>
      </c>
      <c r="Q1034">
        <v>0</v>
      </c>
      <c r="R1034" t="s">
        <v>46571</v>
      </c>
      <c r="S1034" t="s">
        <v>46687</v>
      </c>
      <c r="T1034" t="s">
        <v>48220</v>
      </c>
      <c r="U1034" t="s">
        <v>49693</v>
      </c>
      <c r="W1034" t="s">
        <v>43092</v>
      </c>
      <c r="X1034" t="s">
        <v>46572</v>
      </c>
    </row>
    <row r="1035" spans="1:24">
      <c r="A1035">
        <f>HYPERLINK("https://www.philgeps.gov.ph/GEPSNONPILOT/Tender/SplashBidNoticeAbstractUI.aspx?menuIndex=3&amp;refID=7065663&amp;Result=3","7065663")</f>
        <v>0</v>
      </c>
      <c r="B1035" t="s">
        <v>331</v>
      </c>
      <c r="C1035" t="s">
        <v>4544</v>
      </c>
      <c r="D1035" t="s">
        <v>18807</v>
      </c>
      <c r="E1035" t="s">
        <v>19858</v>
      </c>
      <c r="F1035" t="s">
        <v>32664</v>
      </c>
      <c r="G1035" t="s">
        <v>32671</v>
      </c>
      <c r="H1035" t="s">
        <v>12635</v>
      </c>
      <c r="I1035" t="s">
        <v>8797</v>
      </c>
      <c r="J1035" t="s">
        <v>33618</v>
      </c>
      <c r="K1035" t="s">
        <v>42289</v>
      </c>
      <c r="L1035" t="s">
        <v>331</v>
      </c>
      <c r="M1035" t="s">
        <v>42899</v>
      </c>
      <c r="N1035" t="s">
        <v>46569</v>
      </c>
      <c r="O1035" t="s">
        <v>46570</v>
      </c>
      <c r="P1035">
        <v>0</v>
      </c>
      <c r="Q1035">
        <v>0</v>
      </c>
      <c r="R1035" t="s">
        <v>46571</v>
      </c>
      <c r="S1035" t="s">
        <v>46687</v>
      </c>
      <c r="T1035" t="s">
        <v>48331</v>
      </c>
      <c r="U1035" t="s">
        <v>49694</v>
      </c>
      <c r="V1035" t="s">
        <v>61701</v>
      </c>
      <c r="W1035" t="s">
        <v>42899</v>
      </c>
      <c r="X1035" t="s">
        <v>46572</v>
      </c>
    </row>
    <row r="1036" spans="1:24">
      <c r="A1036">
        <f>HYPERLINK("https://www.philgeps.gov.ph/GEPSNONPILOT/Tender/SplashBidNoticeAbstractUI.aspx?menuIndex=3&amp;refID=7065676&amp;Result=3","7065676")</f>
        <v>0</v>
      </c>
      <c r="B1036" t="s">
        <v>492</v>
      </c>
      <c r="C1036" t="s">
        <v>4545</v>
      </c>
      <c r="D1036" t="s">
        <v>18809</v>
      </c>
      <c r="E1036" t="s">
        <v>19859</v>
      </c>
      <c r="F1036" t="s">
        <v>32664</v>
      </c>
      <c r="G1036" t="s">
        <v>32671</v>
      </c>
      <c r="H1036" t="s">
        <v>12635</v>
      </c>
      <c r="I1036" t="s">
        <v>32685</v>
      </c>
      <c r="J1036" t="s">
        <v>33619</v>
      </c>
      <c r="K1036" t="s">
        <v>42314</v>
      </c>
      <c r="M1036" t="s">
        <v>43068</v>
      </c>
      <c r="N1036" t="s">
        <v>46569</v>
      </c>
      <c r="O1036" t="s">
        <v>46570</v>
      </c>
      <c r="P1036">
        <v>0</v>
      </c>
      <c r="Q1036">
        <v>0</v>
      </c>
      <c r="R1036" t="s">
        <v>46571</v>
      </c>
      <c r="S1036" t="s">
        <v>46687</v>
      </c>
      <c r="T1036" t="s">
        <v>48293</v>
      </c>
      <c r="U1036" t="s">
        <v>49657</v>
      </c>
      <c r="W1036" t="s">
        <v>43068</v>
      </c>
      <c r="X1036" t="s">
        <v>46572</v>
      </c>
    </row>
    <row r="1037" spans="1:24">
      <c r="A1037">
        <f>HYPERLINK("https://www.philgeps.gov.ph/GEPSNONPILOT/Tender/SplashBidNoticeAbstractUI.aspx?menuIndex=3&amp;refID=7065706&amp;Result=3","7065706")</f>
        <v>0</v>
      </c>
      <c r="B1037" t="s">
        <v>413</v>
      </c>
      <c r="C1037" t="s">
        <v>4546</v>
      </c>
      <c r="D1037" t="s">
        <v>18799</v>
      </c>
      <c r="E1037" t="s">
        <v>19860</v>
      </c>
      <c r="F1037" t="s">
        <v>32664</v>
      </c>
      <c r="G1037" t="s">
        <v>32674</v>
      </c>
      <c r="H1037" t="s">
        <v>12635</v>
      </c>
      <c r="I1037" t="s">
        <v>4439</v>
      </c>
      <c r="J1037" t="s">
        <v>33620</v>
      </c>
      <c r="K1037" t="s">
        <v>42289</v>
      </c>
      <c r="M1037" t="s">
        <v>42984</v>
      </c>
      <c r="N1037" t="s">
        <v>46569</v>
      </c>
      <c r="O1037" t="s">
        <v>46570</v>
      </c>
      <c r="P1037">
        <v>0</v>
      </c>
      <c r="Q1037">
        <v>0</v>
      </c>
      <c r="R1037" t="s">
        <v>46571</v>
      </c>
      <c r="S1037" t="s">
        <v>46687</v>
      </c>
      <c r="T1037" t="s">
        <v>48343</v>
      </c>
      <c r="U1037" t="s">
        <v>49695</v>
      </c>
      <c r="W1037" t="s">
        <v>42984</v>
      </c>
      <c r="X1037" t="s">
        <v>46572</v>
      </c>
    </row>
    <row r="1038" spans="1:24">
      <c r="A1038">
        <f>HYPERLINK("https://www.philgeps.gov.ph/GEPSNONPILOT/Tender/SplashBidNoticeAbstractUI.aspx?menuIndex=3&amp;refID=7065664&amp;Result=3","7065664")</f>
        <v>0</v>
      </c>
      <c r="B1038" t="s">
        <v>81</v>
      </c>
      <c r="C1038" t="s">
        <v>4547</v>
      </c>
      <c r="D1038" t="s">
        <v>18818</v>
      </c>
      <c r="E1038" t="s">
        <v>19861</v>
      </c>
      <c r="F1038" t="s">
        <v>32664</v>
      </c>
      <c r="G1038" t="s">
        <v>32672</v>
      </c>
      <c r="H1038" t="s">
        <v>12635</v>
      </c>
      <c r="I1038" t="s">
        <v>32750</v>
      </c>
      <c r="J1038" t="s">
        <v>32976</v>
      </c>
      <c r="K1038" t="s">
        <v>42283</v>
      </c>
      <c r="M1038" t="s">
        <v>43093</v>
      </c>
      <c r="N1038" t="s">
        <v>46569</v>
      </c>
      <c r="O1038" t="s">
        <v>46570</v>
      </c>
      <c r="P1038">
        <v>0</v>
      </c>
      <c r="Q1038">
        <v>0</v>
      </c>
      <c r="R1038" t="s">
        <v>46571</v>
      </c>
      <c r="S1038" t="s">
        <v>46687</v>
      </c>
      <c r="T1038" t="s">
        <v>48260</v>
      </c>
      <c r="U1038" t="s">
        <v>49696</v>
      </c>
      <c r="V1038" t="s">
        <v>61742</v>
      </c>
      <c r="W1038" t="s">
        <v>43093</v>
      </c>
      <c r="X1038" t="s">
        <v>46572</v>
      </c>
    </row>
    <row r="1039" spans="1:24">
      <c r="A1039">
        <f>HYPERLINK("https://www.philgeps.gov.ph/GEPSNONPILOT/Tender/SplashBidNoticeAbstractUI.aspx?menuIndex=3&amp;refID=7065666&amp;Result=3","7065666")</f>
        <v>0</v>
      </c>
      <c r="B1039" t="s">
        <v>517</v>
      </c>
      <c r="C1039" t="s">
        <v>4548</v>
      </c>
      <c r="D1039" t="s">
        <v>18788</v>
      </c>
      <c r="E1039" t="s">
        <v>19862</v>
      </c>
      <c r="F1039" t="s">
        <v>32664</v>
      </c>
      <c r="G1039" t="s">
        <v>32672</v>
      </c>
      <c r="H1039" t="s">
        <v>32683</v>
      </c>
      <c r="I1039" t="s">
        <v>10627</v>
      </c>
      <c r="J1039" t="s">
        <v>32837</v>
      </c>
      <c r="K1039" t="s">
        <v>42298</v>
      </c>
      <c r="M1039" t="s">
        <v>43094</v>
      </c>
      <c r="N1039" t="s">
        <v>46569</v>
      </c>
      <c r="O1039" t="s">
        <v>46570</v>
      </c>
      <c r="P1039">
        <v>0</v>
      </c>
      <c r="Q1039">
        <v>0</v>
      </c>
      <c r="R1039" t="s">
        <v>46571</v>
      </c>
      <c r="S1039" t="s">
        <v>46687</v>
      </c>
      <c r="T1039" t="s">
        <v>48222</v>
      </c>
      <c r="U1039" t="s">
        <v>49697</v>
      </c>
      <c r="W1039" t="s">
        <v>43094</v>
      </c>
      <c r="X1039" t="s">
        <v>46572</v>
      </c>
    </row>
    <row r="1040" spans="1:24">
      <c r="A1040">
        <f>HYPERLINK("https://www.philgeps.gov.ph/GEPSNONPILOT/Tender/SplashBidNoticeAbstractUI.aspx?menuIndex=3&amp;refID=7065670&amp;Result=3","7065670")</f>
        <v>0</v>
      </c>
      <c r="B1040" t="s">
        <v>396</v>
      </c>
      <c r="C1040" t="s">
        <v>4549</v>
      </c>
      <c r="D1040" t="s">
        <v>18790</v>
      </c>
      <c r="E1040" t="s">
        <v>19863</v>
      </c>
      <c r="F1040" t="s">
        <v>32664</v>
      </c>
      <c r="G1040" t="s">
        <v>32672</v>
      </c>
      <c r="H1040" t="s">
        <v>12635</v>
      </c>
      <c r="I1040" t="s">
        <v>4439</v>
      </c>
      <c r="J1040" t="s">
        <v>33621</v>
      </c>
      <c r="K1040" t="s">
        <v>42297</v>
      </c>
      <c r="M1040" t="s">
        <v>42966</v>
      </c>
      <c r="N1040" t="s">
        <v>46569</v>
      </c>
      <c r="O1040" t="s">
        <v>46570</v>
      </c>
      <c r="P1040">
        <v>0</v>
      </c>
      <c r="Q1040">
        <v>0</v>
      </c>
      <c r="R1040" t="s">
        <v>46571</v>
      </c>
      <c r="S1040" t="s">
        <v>46687</v>
      </c>
      <c r="T1040" t="s">
        <v>48225</v>
      </c>
      <c r="U1040" t="s">
        <v>49698</v>
      </c>
      <c r="W1040" t="s">
        <v>42966</v>
      </c>
      <c r="X1040" t="s">
        <v>46572</v>
      </c>
    </row>
    <row r="1041" spans="1:24">
      <c r="A1041">
        <f>HYPERLINK("https://www.philgeps.gov.ph/GEPSNONPILOT/Tender/SplashBidNoticeAbstractUI.aspx?menuIndex=3&amp;refID=7065705&amp;Result=3","7065705")</f>
        <v>0</v>
      </c>
      <c r="B1041" t="s">
        <v>179</v>
      </c>
      <c r="C1041" t="s">
        <v>4550</v>
      </c>
      <c r="D1041" t="s">
        <v>18830</v>
      </c>
      <c r="E1041" t="s">
        <v>19864</v>
      </c>
      <c r="F1041" t="s">
        <v>32664</v>
      </c>
      <c r="G1041" t="s">
        <v>32671</v>
      </c>
      <c r="H1041" t="s">
        <v>12635</v>
      </c>
      <c r="I1041" t="s">
        <v>32736</v>
      </c>
      <c r="J1041" t="s">
        <v>33622</v>
      </c>
      <c r="K1041" t="s">
        <v>42330</v>
      </c>
      <c r="M1041" t="s">
        <v>42743</v>
      </c>
      <c r="N1041" t="s">
        <v>46569</v>
      </c>
      <c r="O1041" t="s">
        <v>46570</v>
      </c>
      <c r="P1041">
        <v>0</v>
      </c>
      <c r="Q1041">
        <v>0</v>
      </c>
      <c r="R1041" t="s">
        <v>46571</v>
      </c>
      <c r="S1041" t="s">
        <v>46687</v>
      </c>
      <c r="T1041" t="s">
        <v>48294</v>
      </c>
      <c r="U1041" t="s">
        <v>49699</v>
      </c>
      <c r="V1041" t="s">
        <v>61664</v>
      </c>
      <c r="W1041" t="s">
        <v>63466</v>
      </c>
      <c r="X1041" t="s">
        <v>46572</v>
      </c>
    </row>
    <row r="1042" spans="1:24">
      <c r="A1042">
        <f>HYPERLINK("https://www.philgeps.gov.ph/GEPSNONPILOT/Tender/SplashBidNoticeAbstractUI.aspx?menuIndex=3&amp;refID=7065702&amp;Result=3","7065702")</f>
        <v>0</v>
      </c>
      <c r="B1042" t="s">
        <v>518</v>
      </c>
      <c r="C1042" t="s">
        <v>4551</v>
      </c>
      <c r="D1042" t="s">
        <v>18814</v>
      </c>
      <c r="E1042" t="s">
        <v>19865</v>
      </c>
      <c r="F1042" t="s">
        <v>32664</v>
      </c>
      <c r="G1042" t="s">
        <v>32671</v>
      </c>
      <c r="H1042" t="s">
        <v>12635</v>
      </c>
      <c r="I1042" t="s">
        <v>7759</v>
      </c>
      <c r="J1042" t="s">
        <v>33015</v>
      </c>
      <c r="K1042" t="s">
        <v>42289</v>
      </c>
      <c r="M1042" t="s">
        <v>43095</v>
      </c>
      <c r="N1042" t="s">
        <v>46569</v>
      </c>
      <c r="O1042" t="s">
        <v>46570</v>
      </c>
      <c r="P1042">
        <v>0</v>
      </c>
      <c r="Q1042">
        <v>0</v>
      </c>
      <c r="R1042" t="s">
        <v>46571</v>
      </c>
      <c r="S1042" t="s">
        <v>46687</v>
      </c>
      <c r="T1042" t="s">
        <v>48244</v>
      </c>
      <c r="U1042" t="s">
        <v>49700</v>
      </c>
      <c r="V1042" t="s">
        <v>61743</v>
      </c>
      <c r="W1042" t="s">
        <v>43095</v>
      </c>
      <c r="X1042" t="s">
        <v>46572</v>
      </c>
    </row>
    <row r="1043" spans="1:24">
      <c r="A1043">
        <f>HYPERLINK("https://www.philgeps.gov.ph/GEPSNONPILOT/Tender/SplashBidNoticeAbstractUI.aspx?menuIndex=3&amp;refID=7065701&amp;Result=3","7065701")</f>
        <v>0</v>
      </c>
      <c r="B1043" t="s">
        <v>513</v>
      </c>
      <c r="C1043" t="s">
        <v>4552</v>
      </c>
      <c r="D1043" t="s">
        <v>18858</v>
      </c>
      <c r="E1043" t="s">
        <v>19866</v>
      </c>
      <c r="F1043" t="s">
        <v>32664</v>
      </c>
      <c r="G1043" t="s">
        <v>32674</v>
      </c>
      <c r="H1043" t="s">
        <v>12635</v>
      </c>
      <c r="I1043" t="s">
        <v>6628</v>
      </c>
      <c r="J1043" t="s">
        <v>33311</v>
      </c>
      <c r="K1043" t="s">
        <v>42309</v>
      </c>
      <c r="M1043" t="s">
        <v>43089</v>
      </c>
      <c r="N1043" t="s">
        <v>46569</v>
      </c>
      <c r="O1043" t="s">
        <v>46570</v>
      </c>
      <c r="P1043">
        <v>0</v>
      </c>
      <c r="Q1043">
        <v>0</v>
      </c>
      <c r="R1043" t="s">
        <v>46571</v>
      </c>
      <c r="S1043" t="s">
        <v>46687</v>
      </c>
      <c r="T1043" t="s">
        <v>48293</v>
      </c>
      <c r="U1043" t="s">
        <v>49701</v>
      </c>
      <c r="W1043" t="s">
        <v>43089</v>
      </c>
      <c r="X1043" t="s">
        <v>46572</v>
      </c>
    </row>
    <row r="1044" spans="1:24">
      <c r="A1044">
        <f>HYPERLINK("https://www.philgeps.gov.ph/GEPSNONPILOT/Tender/SplashBidNoticeAbstractUI.aspx?menuIndex=3&amp;refID=7065698&amp;Result=3","7065698")</f>
        <v>0</v>
      </c>
      <c r="B1044" t="s">
        <v>472</v>
      </c>
      <c r="C1044" t="s">
        <v>4553</v>
      </c>
      <c r="D1044" t="s">
        <v>18804</v>
      </c>
      <c r="E1044" t="s">
        <v>19867</v>
      </c>
      <c r="F1044" t="s">
        <v>32664</v>
      </c>
      <c r="G1044" t="s">
        <v>32672</v>
      </c>
      <c r="H1044" t="s">
        <v>32683</v>
      </c>
      <c r="I1044" t="s">
        <v>10627</v>
      </c>
      <c r="J1044" t="s">
        <v>33623</v>
      </c>
      <c r="K1044" t="s">
        <v>42285</v>
      </c>
      <c r="M1044" t="s">
        <v>43047</v>
      </c>
      <c r="N1044" t="s">
        <v>46569</v>
      </c>
      <c r="O1044" t="s">
        <v>46570</v>
      </c>
      <c r="P1044">
        <v>0</v>
      </c>
      <c r="Q1044">
        <v>0</v>
      </c>
      <c r="R1044" t="s">
        <v>46571</v>
      </c>
      <c r="S1044" t="s">
        <v>46687</v>
      </c>
      <c r="T1044" t="s">
        <v>48216</v>
      </c>
      <c r="U1044" t="s">
        <v>49702</v>
      </c>
      <c r="V1044" t="s">
        <v>61731</v>
      </c>
      <c r="W1044" t="s">
        <v>43047</v>
      </c>
      <c r="X1044" t="s">
        <v>46572</v>
      </c>
    </row>
    <row r="1045" spans="1:24">
      <c r="A1045">
        <f>HYPERLINK("https://www.philgeps.gov.ph/GEPSNONPILOT/Tender/SplashBidNoticeAbstractUI.aspx?menuIndex=3&amp;refID=7065697&amp;Result=3","7065697")</f>
        <v>0</v>
      </c>
      <c r="B1045" t="s">
        <v>407</v>
      </c>
      <c r="C1045" t="s">
        <v>4554</v>
      </c>
      <c r="D1045" t="s">
        <v>18830</v>
      </c>
      <c r="E1045" t="s">
        <v>19868</v>
      </c>
      <c r="F1045" t="s">
        <v>32664</v>
      </c>
      <c r="G1045" t="s">
        <v>32674</v>
      </c>
      <c r="H1045" t="s">
        <v>12635</v>
      </c>
      <c r="I1045" t="s">
        <v>8797</v>
      </c>
      <c r="J1045" t="s">
        <v>33624</v>
      </c>
      <c r="K1045" t="s">
        <v>42289</v>
      </c>
      <c r="M1045" t="s">
        <v>42977</v>
      </c>
      <c r="N1045" t="s">
        <v>46569</v>
      </c>
      <c r="O1045" t="s">
        <v>46570</v>
      </c>
      <c r="P1045">
        <v>0</v>
      </c>
      <c r="Q1045">
        <v>4</v>
      </c>
      <c r="R1045" t="s">
        <v>46571</v>
      </c>
      <c r="S1045" t="s">
        <v>46687</v>
      </c>
      <c r="T1045" t="s">
        <v>48225</v>
      </c>
      <c r="U1045" t="s">
        <v>49703</v>
      </c>
      <c r="V1045" t="s">
        <v>61744</v>
      </c>
      <c r="W1045" t="s">
        <v>42977</v>
      </c>
      <c r="X1045" t="s">
        <v>46572</v>
      </c>
    </row>
    <row r="1046" spans="1:24">
      <c r="A1046">
        <f>HYPERLINK("https://www.philgeps.gov.ph/GEPSNONPILOT/Tender/SplashBidNoticeAbstractUI.aspx?menuIndex=3&amp;refID=7065703&amp;Result=3","7065703")</f>
        <v>0</v>
      </c>
      <c r="B1046" t="s">
        <v>491</v>
      </c>
      <c r="C1046" t="s">
        <v>4555</v>
      </c>
      <c r="E1046" t="s">
        <v>19869</v>
      </c>
      <c r="F1046" t="s">
        <v>32664</v>
      </c>
      <c r="G1046" t="s">
        <v>32671</v>
      </c>
      <c r="H1046" t="s">
        <v>12635</v>
      </c>
      <c r="I1046" t="s">
        <v>10361</v>
      </c>
      <c r="J1046" t="s">
        <v>33625</v>
      </c>
      <c r="K1046" t="s">
        <v>42283</v>
      </c>
      <c r="M1046" t="s">
        <v>43067</v>
      </c>
      <c r="N1046" t="s">
        <v>46569</v>
      </c>
      <c r="O1046" t="s">
        <v>46570</v>
      </c>
      <c r="P1046">
        <v>0</v>
      </c>
      <c r="Q1046">
        <v>0</v>
      </c>
      <c r="R1046" t="s">
        <v>46571</v>
      </c>
      <c r="S1046" t="s">
        <v>46687</v>
      </c>
      <c r="T1046" t="s">
        <v>48249</v>
      </c>
      <c r="U1046" t="s">
        <v>49704</v>
      </c>
      <c r="W1046" t="s">
        <v>43067</v>
      </c>
      <c r="X1046" t="s">
        <v>46572</v>
      </c>
    </row>
    <row r="1047" spans="1:24">
      <c r="A1047">
        <f>HYPERLINK("https://www.philgeps.gov.ph/GEPSNONPILOT/Tender/SplashBidNoticeAbstractUI.aspx?menuIndex=3&amp;refID=7065704&amp;Result=3","7065704")</f>
        <v>0</v>
      </c>
      <c r="B1047" t="s">
        <v>511</v>
      </c>
      <c r="C1047" t="s">
        <v>4556</v>
      </c>
      <c r="D1047" t="s">
        <v>18801</v>
      </c>
      <c r="E1047" t="s">
        <v>19870</v>
      </c>
      <c r="F1047" t="s">
        <v>32664</v>
      </c>
      <c r="G1047" t="s">
        <v>32674</v>
      </c>
      <c r="H1047" t="s">
        <v>12635</v>
      </c>
      <c r="I1047" t="s">
        <v>32694</v>
      </c>
      <c r="J1047" t="s">
        <v>33626</v>
      </c>
      <c r="K1047" t="s">
        <v>42284</v>
      </c>
      <c r="M1047" t="s">
        <v>43087</v>
      </c>
      <c r="N1047" t="s">
        <v>46569</v>
      </c>
      <c r="O1047" t="s">
        <v>46570</v>
      </c>
      <c r="P1047">
        <v>0</v>
      </c>
      <c r="Q1047">
        <v>1</v>
      </c>
      <c r="R1047" t="s">
        <v>46571</v>
      </c>
      <c r="S1047" t="s">
        <v>46687</v>
      </c>
      <c r="T1047" t="s">
        <v>48256</v>
      </c>
      <c r="U1047" t="s">
        <v>49705</v>
      </c>
      <c r="V1047" t="s">
        <v>61740</v>
      </c>
      <c r="W1047" t="s">
        <v>43087</v>
      </c>
      <c r="X1047" t="s">
        <v>46572</v>
      </c>
    </row>
    <row r="1048" spans="1:24">
      <c r="A1048">
        <f>HYPERLINK("https://www.philgeps.gov.ph/GEPSNONPILOT/Tender/SplashBidNoticeAbstractUI.aspx?menuIndex=3&amp;refID=7065695&amp;Result=3","7065695")</f>
        <v>0</v>
      </c>
      <c r="B1048" t="s">
        <v>396</v>
      </c>
      <c r="C1048" t="s">
        <v>4557</v>
      </c>
      <c r="D1048" t="s">
        <v>18790</v>
      </c>
      <c r="E1048" t="s">
        <v>19871</v>
      </c>
      <c r="F1048" t="s">
        <v>32664</v>
      </c>
      <c r="G1048" t="s">
        <v>32671</v>
      </c>
      <c r="H1048" t="s">
        <v>12635</v>
      </c>
      <c r="I1048" t="s">
        <v>5501</v>
      </c>
      <c r="J1048" t="s">
        <v>33627</v>
      </c>
      <c r="K1048" t="s">
        <v>42284</v>
      </c>
      <c r="M1048" t="s">
        <v>42966</v>
      </c>
      <c r="N1048" t="s">
        <v>46569</v>
      </c>
      <c r="O1048" t="s">
        <v>46570</v>
      </c>
      <c r="P1048">
        <v>0</v>
      </c>
      <c r="Q1048">
        <v>1</v>
      </c>
      <c r="R1048" t="s">
        <v>46571</v>
      </c>
      <c r="S1048" t="s">
        <v>46687</v>
      </c>
      <c r="T1048" t="s">
        <v>48283</v>
      </c>
      <c r="U1048" t="s">
        <v>49706</v>
      </c>
      <c r="W1048" t="s">
        <v>42966</v>
      </c>
      <c r="X1048" t="s">
        <v>46572</v>
      </c>
    </row>
    <row r="1049" spans="1:24">
      <c r="A1049">
        <f>HYPERLINK("https://www.philgeps.gov.ph/GEPSNONPILOT/Tender/SplashBidNoticeAbstractUI.aspx?menuIndex=3&amp;refID=7065694&amp;Result=3","7065694")</f>
        <v>0</v>
      </c>
      <c r="B1049" t="s">
        <v>519</v>
      </c>
      <c r="C1049" t="s">
        <v>4558</v>
      </c>
      <c r="D1049" t="s">
        <v>18838</v>
      </c>
      <c r="E1049" t="s">
        <v>19872</v>
      </c>
      <c r="F1049" t="s">
        <v>32664</v>
      </c>
      <c r="G1049" t="s">
        <v>32671</v>
      </c>
      <c r="H1049" t="s">
        <v>12635</v>
      </c>
      <c r="I1049" t="s">
        <v>32687</v>
      </c>
      <c r="J1049" t="s">
        <v>32959</v>
      </c>
      <c r="K1049" t="s">
        <v>42283</v>
      </c>
      <c r="M1049" t="s">
        <v>43096</v>
      </c>
      <c r="N1049" t="s">
        <v>46569</v>
      </c>
      <c r="O1049" t="s">
        <v>46570</v>
      </c>
      <c r="P1049">
        <v>0</v>
      </c>
      <c r="Q1049">
        <v>0</v>
      </c>
      <c r="R1049" t="s">
        <v>46571</v>
      </c>
      <c r="S1049" t="s">
        <v>46687</v>
      </c>
      <c r="T1049" t="s">
        <v>48268</v>
      </c>
      <c r="U1049" t="s">
        <v>49707</v>
      </c>
      <c r="W1049" t="s">
        <v>43096</v>
      </c>
      <c r="X1049" t="s">
        <v>46572</v>
      </c>
    </row>
    <row r="1050" spans="1:24">
      <c r="A1050">
        <f>HYPERLINK("https://www.philgeps.gov.ph/GEPSNONPILOT/Tender/SplashBidNoticeAbstractUI.aspx?menuIndex=3&amp;refID=7065691&amp;Result=3","7065691")</f>
        <v>0</v>
      </c>
      <c r="B1050" t="s">
        <v>520</v>
      </c>
      <c r="C1050" t="s">
        <v>4559</v>
      </c>
      <c r="D1050" t="s">
        <v>18791</v>
      </c>
      <c r="E1050" t="s">
        <v>19873</v>
      </c>
      <c r="F1050" t="s">
        <v>32664</v>
      </c>
      <c r="G1050" t="s">
        <v>32672</v>
      </c>
      <c r="H1050" t="s">
        <v>12635</v>
      </c>
      <c r="I1050" t="s">
        <v>32691</v>
      </c>
      <c r="J1050" t="s">
        <v>32943</v>
      </c>
      <c r="K1050" t="s">
        <v>42347</v>
      </c>
      <c r="M1050" t="s">
        <v>43097</v>
      </c>
      <c r="N1050" t="s">
        <v>46569</v>
      </c>
      <c r="O1050" t="s">
        <v>46570</v>
      </c>
      <c r="P1050">
        <v>0</v>
      </c>
      <c r="Q1050">
        <v>0</v>
      </c>
      <c r="R1050" t="s">
        <v>46571</v>
      </c>
      <c r="S1050" t="s">
        <v>46687</v>
      </c>
      <c r="T1050" t="s">
        <v>48362</v>
      </c>
      <c r="U1050" t="s">
        <v>49708</v>
      </c>
      <c r="V1050" t="s">
        <v>61745</v>
      </c>
      <c r="W1050" t="s">
        <v>43097</v>
      </c>
      <c r="X1050" t="s">
        <v>46572</v>
      </c>
    </row>
    <row r="1051" spans="1:24">
      <c r="A1051">
        <f>HYPERLINK("https://www.philgeps.gov.ph/GEPSNONPILOT/Tender/SplashBidNoticeAbstractUI.aspx?menuIndex=3&amp;refID=7065690&amp;Result=3","7065690")</f>
        <v>0</v>
      </c>
      <c r="B1051" t="s">
        <v>521</v>
      </c>
      <c r="C1051" t="s">
        <v>4560</v>
      </c>
      <c r="D1051" t="s">
        <v>18782</v>
      </c>
      <c r="E1051" t="s">
        <v>19874</v>
      </c>
      <c r="F1051" t="s">
        <v>32664</v>
      </c>
      <c r="G1051" t="s">
        <v>32675</v>
      </c>
      <c r="H1051" t="s">
        <v>12635</v>
      </c>
      <c r="I1051" t="s">
        <v>6628</v>
      </c>
      <c r="J1051" t="s">
        <v>33628</v>
      </c>
      <c r="K1051" t="s">
        <v>42281</v>
      </c>
      <c r="M1051" t="s">
        <v>43098</v>
      </c>
      <c r="N1051" t="s">
        <v>46569</v>
      </c>
      <c r="O1051" t="s">
        <v>46570</v>
      </c>
      <c r="P1051">
        <v>0</v>
      </c>
      <c r="Q1051">
        <v>0</v>
      </c>
      <c r="R1051" t="s">
        <v>46571</v>
      </c>
      <c r="S1051" t="s">
        <v>46687</v>
      </c>
      <c r="T1051" t="s">
        <v>48244</v>
      </c>
      <c r="U1051" t="s">
        <v>49709</v>
      </c>
      <c r="W1051" t="s">
        <v>43098</v>
      </c>
      <c r="X1051" t="s">
        <v>46572</v>
      </c>
    </row>
    <row r="1052" spans="1:24">
      <c r="A1052">
        <f>HYPERLINK("https://www.philgeps.gov.ph/GEPSNONPILOT/Tender/SplashBidNoticeAbstractUI.aspx?menuIndex=3&amp;refID=7065689&amp;Result=3","7065689")</f>
        <v>0</v>
      </c>
      <c r="B1052" t="s">
        <v>522</v>
      </c>
      <c r="C1052" t="s">
        <v>4561</v>
      </c>
      <c r="D1052" t="s">
        <v>18801</v>
      </c>
      <c r="E1052" t="s">
        <v>19380</v>
      </c>
      <c r="F1052" t="s">
        <v>32664</v>
      </c>
      <c r="G1052" t="s">
        <v>32672</v>
      </c>
      <c r="H1052" t="s">
        <v>12635</v>
      </c>
      <c r="I1052" t="s">
        <v>4439</v>
      </c>
      <c r="J1052" t="s">
        <v>33629</v>
      </c>
      <c r="K1052" t="s">
        <v>42297</v>
      </c>
      <c r="M1052" t="s">
        <v>43099</v>
      </c>
      <c r="N1052" t="s">
        <v>46569</v>
      </c>
      <c r="O1052" t="s">
        <v>46570</v>
      </c>
      <c r="P1052">
        <v>0</v>
      </c>
      <c r="Q1052">
        <v>0</v>
      </c>
      <c r="R1052" t="s">
        <v>46571</v>
      </c>
      <c r="S1052" t="s">
        <v>46687</v>
      </c>
      <c r="T1052" t="s">
        <v>48225</v>
      </c>
      <c r="U1052" t="s">
        <v>49667</v>
      </c>
      <c r="V1052" t="s">
        <v>61739</v>
      </c>
      <c r="W1052" t="s">
        <v>43099</v>
      </c>
      <c r="X1052" t="s">
        <v>46572</v>
      </c>
    </row>
    <row r="1053" spans="1:24">
      <c r="A1053">
        <f>HYPERLINK("https://www.philgeps.gov.ph/GEPSNONPILOT/Tender/SplashBidNoticeAbstractUI.aspx?menuIndex=3&amp;refID=7065630&amp;Result=3","7065630")</f>
        <v>0</v>
      </c>
      <c r="B1053" t="s">
        <v>509</v>
      </c>
      <c r="C1053" t="s">
        <v>4562</v>
      </c>
      <c r="D1053" t="s">
        <v>18803</v>
      </c>
      <c r="E1053" t="s">
        <v>19875</v>
      </c>
      <c r="F1053" t="s">
        <v>32664</v>
      </c>
      <c r="G1053" t="s">
        <v>32671</v>
      </c>
      <c r="H1053" t="s">
        <v>12635</v>
      </c>
      <c r="I1053" t="s">
        <v>32704</v>
      </c>
      <c r="J1053" t="s">
        <v>33630</v>
      </c>
      <c r="K1053" t="s">
        <v>42284</v>
      </c>
      <c r="M1053" t="s">
        <v>43085</v>
      </c>
      <c r="N1053" t="s">
        <v>46569</v>
      </c>
      <c r="O1053" t="s">
        <v>46570</v>
      </c>
      <c r="P1053">
        <v>0</v>
      </c>
      <c r="Q1053">
        <v>3</v>
      </c>
      <c r="R1053" t="s">
        <v>46571</v>
      </c>
      <c r="S1053" t="s">
        <v>46687</v>
      </c>
      <c r="T1053" t="s">
        <v>48283</v>
      </c>
      <c r="U1053" t="s">
        <v>49710</v>
      </c>
      <c r="W1053" t="s">
        <v>43085</v>
      </c>
      <c r="X1053" t="s">
        <v>46572</v>
      </c>
    </row>
    <row r="1054" spans="1:24">
      <c r="A1054">
        <f>HYPERLINK("https://www.philgeps.gov.ph/GEPSNONPILOT/Tender/SplashBidNoticeAbstractUI.aspx?menuIndex=3&amp;refID=7065688&amp;Result=3","7065688")</f>
        <v>0</v>
      </c>
      <c r="B1054" t="s">
        <v>523</v>
      </c>
      <c r="C1054" t="s">
        <v>4563</v>
      </c>
      <c r="D1054" t="s">
        <v>18793</v>
      </c>
      <c r="E1054" t="s">
        <v>19876</v>
      </c>
      <c r="F1054" t="s">
        <v>32664</v>
      </c>
      <c r="G1054" t="s">
        <v>32672</v>
      </c>
      <c r="H1054" t="s">
        <v>12635</v>
      </c>
      <c r="I1054" t="s">
        <v>32706</v>
      </c>
      <c r="J1054" t="s">
        <v>33631</v>
      </c>
      <c r="K1054" t="s">
        <v>42281</v>
      </c>
      <c r="M1054" t="s">
        <v>43100</v>
      </c>
      <c r="N1054" t="s">
        <v>46569</v>
      </c>
      <c r="O1054" t="s">
        <v>46570</v>
      </c>
      <c r="P1054">
        <v>0</v>
      </c>
      <c r="Q1054">
        <v>0</v>
      </c>
      <c r="R1054" t="s">
        <v>46571</v>
      </c>
      <c r="S1054" t="s">
        <v>46687</v>
      </c>
      <c r="T1054" t="s">
        <v>48363</v>
      </c>
      <c r="U1054" t="s">
        <v>49711</v>
      </c>
      <c r="V1054" t="s">
        <v>61616</v>
      </c>
      <c r="W1054" t="s">
        <v>43100</v>
      </c>
      <c r="X1054" t="s">
        <v>46572</v>
      </c>
    </row>
    <row r="1055" spans="1:24">
      <c r="A1055">
        <f>HYPERLINK("https://www.philgeps.gov.ph/GEPSNONPILOT/Tender/SplashBidNoticeAbstractUI.aspx?menuIndex=3&amp;refID=7065684&amp;Result=3","7065684")</f>
        <v>0</v>
      </c>
      <c r="B1055" t="s">
        <v>491</v>
      </c>
      <c r="C1055" t="s">
        <v>4555</v>
      </c>
      <c r="E1055" t="s">
        <v>19877</v>
      </c>
      <c r="F1055" t="s">
        <v>32664</v>
      </c>
      <c r="G1055" t="s">
        <v>32671</v>
      </c>
      <c r="H1055" t="s">
        <v>12635</v>
      </c>
      <c r="I1055" t="s">
        <v>10361</v>
      </c>
      <c r="J1055" t="s">
        <v>33625</v>
      </c>
      <c r="K1055" t="s">
        <v>42283</v>
      </c>
      <c r="M1055" t="s">
        <v>43067</v>
      </c>
      <c r="N1055" t="s">
        <v>46569</v>
      </c>
      <c r="O1055" t="s">
        <v>46570</v>
      </c>
      <c r="P1055">
        <v>0</v>
      </c>
      <c r="Q1055">
        <v>1</v>
      </c>
      <c r="R1055" t="s">
        <v>46571</v>
      </c>
      <c r="S1055" t="s">
        <v>46687</v>
      </c>
      <c r="T1055" t="s">
        <v>48249</v>
      </c>
      <c r="U1055" t="s">
        <v>49712</v>
      </c>
      <c r="W1055" t="s">
        <v>43067</v>
      </c>
      <c r="X1055" t="s">
        <v>46572</v>
      </c>
    </row>
    <row r="1056" spans="1:24">
      <c r="A1056">
        <f>HYPERLINK("https://www.philgeps.gov.ph/GEPSNONPILOT/Tender/SplashBidNoticeAbstractUI.aspx?menuIndex=3&amp;refID=7065662&amp;Result=3","7065662")</f>
        <v>0</v>
      </c>
      <c r="B1056" t="s">
        <v>520</v>
      </c>
      <c r="C1056" t="s">
        <v>4564</v>
      </c>
      <c r="D1056" t="s">
        <v>18791</v>
      </c>
      <c r="E1056" t="s">
        <v>19878</v>
      </c>
      <c r="F1056" t="s">
        <v>32664</v>
      </c>
      <c r="G1056" t="s">
        <v>32672</v>
      </c>
      <c r="H1056" t="s">
        <v>12635</v>
      </c>
      <c r="I1056" t="s">
        <v>32691</v>
      </c>
      <c r="J1056" t="s">
        <v>32865</v>
      </c>
      <c r="K1056" t="s">
        <v>42348</v>
      </c>
      <c r="M1056" t="s">
        <v>43097</v>
      </c>
      <c r="N1056" t="s">
        <v>46569</v>
      </c>
      <c r="O1056" t="s">
        <v>46570</v>
      </c>
      <c r="P1056">
        <v>0</v>
      </c>
      <c r="Q1056">
        <v>0</v>
      </c>
      <c r="R1056" t="s">
        <v>46571</v>
      </c>
      <c r="S1056" t="s">
        <v>46687</v>
      </c>
      <c r="T1056" t="s">
        <v>48362</v>
      </c>
      <c r="U1056" t="s">
        <v>49713</v>
      </c>
      <c r="V1056" t="s">
        <v>61745</v>
      </c>
      <c r="W1056" t="s">
        <v>43097</v>
      </c>
      <c r="X1056" t="s">
        <v>46572</v>
      </c>
    </row>
    <row r="1057" spans="1:24">
      <c r="A1057">
        <f>HYPERLINK("https://www.philgeps.gov.ph/GEPSNONPILOT/Tender/SplashBidNoticeAbstractUI.aspx?menuIndex=3&amp;refID=7065687&amp;Result=3","7065687")</f>
        <v>0</v>
      </c>
      <c r="B1057" t="s">
        <v>524</v>
      </c>
      <c r="C1057" t="s">
        <v>4565</v>
      </c>
      <c r="D1057" t="s">
        <v>18806</v>
      </c>
      <c r="E1057" t="s">
        <v>19879</v>
      </c>
      <c r="F1057" t="s">
        <v>32665</v>
      </c>
      <c r="G1057" t="s">
        <v>32674</v>
      </c>
      <c r="H1057" t="s">
        <v>12635</v>
      </c>
      <c r="I1057" t="s">
        <v>32689</v>
      </c>
      <c r="J1057" t="s">
        <v>33632</v>
      </c>
      <c r="K1057" t="s">
        <v>42289</v>
      </c>
      <c r="M1057" t="s">
        <v>43101</v>
      </c>
      <c r="N1057" t="s">
        <v>46569</v>
      </c>
      <c r="O1057" t="s">
        <v>46570</v>
      </c>
      <c r="P1057">
        <v>0</v>
      </c>
      <c r="Q1057">
        <v>1</v>
      </c>
      <c r="R1057" t="s">
        <v>46571</v>
      </c>
      <c r="S1057" t="s">
        <v>46687</v>
      </c>
      <c r="T1057" t="s">
        <v>48297</v>
      </c>
      <c r="U1057" t="s">
        <v>49714</v>
      </c>
      <c r="W1057" t="s">
        <v>43101</v>
      </c>
      <c r="X1057" t="s">
        <v>46572</v>
      </c>
    </row>
    <row r="1058" spans="1:24">
      <c r="A1058">
        <f>HYPERLINK("https://www.philgeps.gov.ph/GEPSNONPILOT/Tender/SplashBidNoticeAbstractUI.aspx?menuIndex=3&amp;refID=7065598&amp;Result=3","7065598")</f>
        <v>0</v>
      </c>
      <c r="B1058" t="s">
        <v>413</v>
      </c>
      <c r="C1058" t="s">
        <v>4566</v>
      </c>
      <c r="D1058" t="s">
        <v>18799</v>
      </c>
      <c r="E1058" t="s">
        <v>19880</v>
      </c>
      <c r="F1058" t="s">
        <v>32664</v>
      </c>
      <c r="G1058" t="s">
        <v>32671</v>
      </c>
      <c r="H1058" t="s">
        <v>12635</v>
      </c>
      <c r="I1058" t="s">
        <v>4439</v>
      </c>
      <c r="J1058" t="s">
        <v>33633</v>
      </c>
      <c r="K1058" t="s">
        <v>42289</v>
      </c>
      <c r="M1058" t="s">
        <v>42984</v>
      </c>
      <c r="N1058" t="s">
        <v>46569</v>
      </c>
      <c r="O1058" t="s">
        <v>46570</v>
      </c>
      <c r="P1058">
        <v>0</v>
      </c>
      <c r="Q1058">
        <v>0</v>
      </c>
      <c r="R1058" t="s">
        <v>46571</v>
      </c>
      <c r="S1058" t="s">
        <v>46687</v>
      </c>
      <c r="T1058" t="s">
        <v>48343</v>
      </c>
      <c r="U1058" t="s">
        <v>49715</v>
      </c>
      <c r="W1058" t="s">
        <v>42984</v>
      </c>
      <c r="X1058" t="s">
        <v>46572</v>
      </c>
    </row>
    <row r="1059" spans="1:24">
      <c r="A1059">
        <f>HYPERLINK("https://www.philgeps.gov.ph/GEPSNONPILOT/Tender/SplashBidNoticeAbstractUI.aspx?menuIndex=3&amp;refID=7065660&amp;Result=3","7065660")</f>
        <v>0</v>
      </c>
      <c r="B1059" t="s">
        <v>344</v>
      </c>
      <c r="C1059" t="s">
        <v>4567</v>
      </c>
      <c r="D1059" t="s">
        <v>18787</v>
      </c>
      <c r="E1059" t="s">
        <v>19461</v>
      </c>
      <c r="F1059" t="s">
        <v>32664</v>
      </c>
      <c r="G1059" t="s">
        <v>32672</v>
      </c>
      <c r="H1059" t="s">
        <v>32683</v>
      </c>
      <c r="I1059" t="s">
        <v>32733</v>
      </c>
      <c r="J1059" t="s">
        <v>33051</v>
      </c>
      <c r="K1059" t="s">
        <v>42289</v>
      </c>
      <c r="M1059" t="s">
        <v>42913</v>
      </c>
      <c r="N1059" t="s">
        <v>46569</v>
      </c>
      <c r="O1059" t="s">
        <v>46570</v>
      </c>
      <c r="P1059">
        <v>0</v>
      </c>
      <c r="Q1059">
        <v>0</v>
      </c>
      <c r="R1059" t="s">
        <v>46571</v>
      </c>
      <c r="S1059" t="s">
        <v>46687</v>
      </c>
      <c r="T1059" t="s">
        <v>48326</v>
      </c>
      <c r="U1059" t="s">
        <v>49716</v>
      </c>
      <c r="W1059" t="s">
        <v>42913</v>
      </c>
      <c r="X1059" t="s">
        <v>46572</v>
      </c>
    </row>
    <row r="1060" spans="1:24">
      <c r="A1060">
        <f>HYPERLINK("https://www.philgeps.gov.ph/GEPSNONPILOT/Tender/SplashBidNoticeAbstractUI.aspx?menuIndex=3&amp;refID=7065700&amp;Result=3","7065700")</f>
        <v>0</v>
      </c>
      <c r="B1060" t="s">
        <v>525</v>
      </c>
      <c r="C1060" t="s">
        <v>4568</v>
      </c>
      <c r="E1060" t="s">
        <v>19881</v>
      </c>
      <c r="F1060" t="s">
        <v>32664</v>
      </c>
      <c r="G1060" t="s">
        <v>32671</v>
      </c>
      <c r="H1060" t="s">
        <v>12635</v>
      </c>
      <c r="I1060" t="s">
        <v>32702</v>
      </c>
      <c r="J1060" t="s">
        <v>33634</v>
      </c>
      <c r="K1060" t="s">
        <v>42283</v>
      </c>
      <c r="M1060" t="s">
        <v>43102</v>
      </c>
      <c r="N1060" t="s">
        <v>46569</v>
      </c>
      <c r="O1060" t="s">
        <v>46570</v>
      </c>
      <c r="P1060">
        <v>0</v>
      </c>
      <c r="Q1060">
        <v>0</v>
      </c>
      <c r="R1060" t="s">
        <v>46571</v>
      </c>
      <c r="S1060" t="s">
        <v>46687</v>
      </c>
      <c r="T1060" t="s">
        <v>48244</v>
      </c>
      <c r="U1060" t="s">
        <v>49717</v>
      </c>
      <c r="W1060" t="s">
        <v>43102</v>
      </c>
      <c r="X1060" t="s">
        <v>46572</v>
      </c>
    </row>
    <row r="1061" spans="1:24">
      <c r="A1061">
        <f>HYPERLINK("https://www.philgeps.gov.ph/GEPSNONPILOT/Tender/SplashBidNoticeAbstractUI.aspx?menuIndex=3&amp;refID=7065597&amp;Result=3","7065597")</f>
        <v>0</v>
      </c>
      <c r="B1061" t="s">
        <v>517</v>
      </c>
      <c r="C1061" t="s">
        <v>4569</v>
      </c>
      <c r="D1061" t="s">
        <v>18788</v>
      </c>
      <c r="E1061" t="s">
        <v>19882</v>
      </c>
      <c r="F1061" t="s">
        <v>32664</v>
      </c>
      <c r="G1061" t="s">
        <v>32672</v>
      </c>
      <c r="H1061" t="s">
        <v>32683</v>
      </c>
      <c r="I1061" t="s">
        <v>10627</v>
      </c>
      <c r="J1061" t="s">
        <v>33635</v>
      </c>
      <c r="K1061" t="s">
        <v>42298</v>
      </c>
      <c r="M1061" t="s">
        <v>43094</v>
      </c>
      <c r="N1061" t="s">
        <v>46569</v>
      </c>
      <c r="O1061" t="s">
        <v>46570</v>
      </c>
      <c r="P1061">
        <v>0</v>
      </c>
      <c r="Q1061">
        <v>0</v>
      </c>
      <c r="R1061" t="s">
        <v>46571</v>
      </c>
      <c r="S1061" t="s">
        <v>46687</v>
      </c>
      <c r="T1061" t="s">
        <v>48222</v>
      </c>
      <c r="U1061" t="s">
        <v>49718</v>
      </c>
      <c r="W1061" t="s">
        <v>43094</v>
      </c>
      <c r="X1061" t="s">
        <v>46572</v>
      </c>
    </row>
    <row r="1062" spans="1:24">
      <c r="A1062">
        <f>HYPERLINK("https://www.philgeps.gov.ph/GEPSNONPILOT/Tender/SplashBidNoticeAbstractUI.aspx?menuIndex=3&amp;refID=7065696&amp;Result=3","7065696")</f>
        <v>0</v>
      </c>
      <c r="B1062" t="s">
        <v>195</v>
      </c>
      <c r="C1062" t="s">
        <v>4570</v>
      </c>
      <c r="D1062" t="s">
        <v>18824</v>
      </c>
      <c r="E1062" t="s">
        <v>19883</v>
      </c>
      <c r="F1062" t="s">
        <v>32664</v>
      </c>
      <c r="G1062" t="s">
        <v>32675</v>
      </c>
      <c r="H1062" t="s">
        <v>12635</v>
      </c>
      <c r="I1062" t="s">
        <v>6168</v>
      </c>
      <c r="J1062" t="s">
        <v>33636</v>
      </c>
      <c r="K1062" t="s">
        <v>42281</v>
      </c>
      <c r="M1062" t="s">
        <v>42759</v>
      </c>
      <c r="N1062" t="s">
        <v>46569</v>
      </c>
      <c r="O1062" t="s">
        <v>46570</v>
      </c>
      <c r="P1062">
        <v>0</v>
      </c>
      <c r="Q1062">
        <v>0</v>
      </c>
      <c r="R1062" t="s">
        <v>46571</v>
      </c>
      <c r="S1062" t="s">
        <v>46687</v>
      </c>
      <c r="T1062" t="s">
        <v>48244</v>
      </c>
      <c r="U1062" t="s">
        <v>49135</v>
      </c>
      <c r="W1062" t="s">
        <v>42759</v>
      </c>
      <c r="X1062" t="s">
        <v>46572</v>
      </c>
    </row>
    <row r="1063" spans="1:24">
      <c r="A1063">
        <f>HYPERLINK("https://www.philgeps.gov.ph/GEPSNONPILOT/Tender/SplashBidNoticeAbstractUI.aspx?menuIndex=3&amp;refID=7065638&amp;Result=3","7065638")</f>
        <v>0</v>
      </c>
      <c r="B1063" t="s">
        <v>526</v>
      </c>
      <c r="C1063" t="s">
        <v>4571</v>
      </c>
      <c r="D1063" t="s">
        <v>18804</v>
      </c>
      <c r="E1063" t="s">
        <v>19884</v>
      </c>
      <c r="F1063" t="s">
        <v>32664</v>
      </c>
      <c r="G1063" t="s">
        <v>32676</v>
      </c>
      <c r="H1063" t="s">
        <v>12635</v>
      </c>
      <c r="I1063" t="s">
        <v>32751</v>
      </c>
      <c r="J1063" t="s">
        <v>33117</v>
      </c>
      <c r="K1063" t="s">
        <v>42297</v>
      </c>
      <c r="M1063" t="s">
        <v>43103</v>
      </c>
      <c r="N1063" t="s">
        <v>46569</v>
      </c>
      <c r="O1063" t="s">
        <v>46570</v>
      </c>
      <c r="P1063">
        <v>0</v>
      </c>
      <c r="Q1063">
        <v>0</v>
      </c>
      <c r="R1063" t="s">
        <v>46571</v>
      </c>
      <c r="S1063" t="s">
        <v>46687</v>
      </c>
      <c r="T1063" t="s">
        <v>48296</v>
      </c>
      <c r="U1063" t="s">
        <v>49719</v>
      </c>
      <c r="W1063" t="s">
        <v>43103</v>
      </c>
      <c r="X1063" t="s">
        <v>46572</v>
      </c>
    </row>
    <row r="1064" spans="1:24">
      <c r="A1064">
        <f>HYPERLINK("https://www.philgeps.gov.ph/GEPSNONPILOT/Tender/SplashBidNoticeAbstractUI.aspx?menuIndex=3&amp;refID=7065639&amp;Result=3","7065639")</f>
        <v>0</v>
      </c>
      <c r="B1064" t="s">
        <v>527</v>
      </c>
      <c r="C1064" t="s">
        <v>4572</v>
      </c>
      <c r="D1064" t="s">
        <v>18784</v>
      </c>
      <c r="E1064" t="s">
        <v>19885</v>
      </c>
      <c r="F1064" t="s">
        <v>32664</v>
      </c>
      <c r="G1064" t="s">
        <v>32671</v>
      </c>
      <c r="H1064" t="s">
        <v>12635</v>
      </c>
      <c r="I1064" t="s">
        <v>6223</v>
      </c>
      <c r="J1064" t="s">
        <v>33637</v>
      </c>
      <c r="K1064" t="s">
        <v>42284</v>
      </c>
      <c r="M1064" t="s">
        <v>43104</v>
      </c>
      <c r="N1064" t="s">
        <v>46569</v>
      </c>
      <c r="O1064" t="s">
        <v>46570</v>
      </c>
      <c r="P1064">
        <v>0</v>
      </c>
      <c r="Q1064">
        <v>0</v>
      </c>
      <c r="R1064" t="s">
        <v>46571</v>
      </c>
      <c r="S1064" t="s">
        <v>46687</v>
      </c>
      <c r="T1064" t="s">
        <v>48283</v>
      </c>
      <c r="U1064" t="s">
        <v>49720</v>
      </c>
      <c r="W1064" t="s">
        <v>43104</v>
      </c>
      <c r="X1064" t="s">
        <v>46572</v>
      </c>
    </row>
    <row r="1065" spans="1:24">
      <c r="A1065">
        <f>HYPERLINK("https://www.philgeps.gov.ph/GEPSNONPILOT/Tender/SplashBidNoticeAbstractUI.aspx?menuIndex=3&amp;refID=7065739&amp;Result=3","7065739")</f>
        <v>0</v>
      </c>
      <c r="B1065" t="s">
        <v>418</v>
      </c>
      <c r="C1065" t="s">
        <v>4573</v>
      </c>
      <c r="D1065" t="s">
        <v>18784</v>
      </c>
      <c r="E1065" t="s">
        <v>19886</v>
      </c>
      <c r="F1065" t="s">
        <v>32664</v>
      </c>
      <c r="G1065" t="s">
        <v>32672</v>
      </c>
      <c r="H1065" t="s">
        <v>12635</v>
      </c>
      <c r="I1065" t="s">
        <v>6118</v>
      </c>
      <c r="J1065" t="s">
        <v>33021</v>
      </c>
      <c r="K1065" t="s">
        <v>42289</v>
      </c>
      <c r="M1065" t="s">
        <v>43105</v>
      </c>
      <c r="N1065" t="s">
        <v>46569</v>
      </c>
      <c r="O1065" t="s">
        <v>46570</v>
      </c>
      <c r="P1065">
        <v>0</v>
      </c>
      <c r="Q1065">
        <v>0</v>
      </c>
      <c r="R1065" t="s">
        <v>46571</v>
      </c>
      <c r="S1065" t="s">
        <v>46687</v>
      </c>
      <c r="T1065" t="s">
        <v>48226</v>
      </c>
      <c r="U1065" t="s">
        <v>49634</v>
      </c>
      <c r="W1065" t="s">
        <v>43105</v>
      </c>
      <c r="X1065" t="s">
        <v>46572</v>
      </c>
    </row>
    <row r="1066" spans="1:24">
      <c r="A1066">
        <f>HYPERLINK("https://www.philgeps.gov.ph/GEPSNONPILOT/Tender/SplashBidNoticeAbstractUI.aspx?menuIndex=3&amp;refID=7065737&amp;Result=3","7065737")</f>
        <v>0</v>
      </c>
      <c r="B1066" t="s">
        <v>172</v>
      </c>
      <c r="C1066" t="s">
        <v>4574</v>
      </c>
      <c r="D1066" t="s">
        <v>18817</v>
      </c>
      <c r="E1066" t="s">
        <v>19303</v>
      </c>
      <c r="F1066" t="s">
        <v>32664</v>
      </c>
      <c r="G1066" t="s">
        <v>32671</v>
      </c>
      <c r="H1066" t="s">
        <v>12635</v>
      </c>
      <c r="I1066" t="s">
        <v>32736</v>
      </c>
      <c r="J1066" t="s">
        <v>33167</v>
      </c>
      <c r="K1066" t="s">
        <v>42295</v>
      </c>
      <c r="M1066" t="s">
        <v>42736</v>
      </c>
      <c r="N1066" t="s">
        <v>46569</v>
      </c>
      <c r="O1066" t="s">
        <v>46570</v>
      </c>
      <c r="P1066">
        <v>0</v>
      </c>
      <c r="Q1066">
        <v>0</v>
      </c>
      <c r="R1066" t="s">
        <v>46571</v>
      </c>
      <c r="S1066" t="s">
        <v>46687</v>
      </c>
      <c r="T1066" t="s">
        <v>48256</v>
      </c>
      <c r="U1066" t="s">
        <v>49721</v>
      </c>
      <c r="V1066" t="s">
        <v>49518</v>
      </c>
      <c r="W1066" t="s">
        <v>42736</v>
      </c>
      <c r="X1066" t="s">
        <v>46572</v>
      </c>
    </row>
    <row r="1067" spans="1:24">
      <c r="A1067">
        <f>HYPERLINK("https://www.philgeps.gov.ph/GEPSNONPILOT/Tender/SplashBidNoticeAbstractUI.aspx?menuIndex=3&amp;refID=7065723&amp;Result=3","7065723")</f>
        <v>0</v>
      </c>
      <c r="B1067" t="s">
        <v>528</v>
      </c>
      <c r="C1067" t="s">
        <v>4575</v>
      </c>
      <c r="D1067" t="s">
        <v>18823</v>
      </c>
      <c r="E1067" t="s">
        <v>19887</v>
      </c>
      <c r="F1067" t="s">
        <v>32664</v>
      </c>
      <c r="G1067" t="s">
        <v>32671</v>
      </c>
      <c r="H1067" t="s">
        <v>12635</v>
      </c>
      <c r="I1067" t="s">
        <v>32730</v>
      </c>
      <c r="J1067" t="s">
        <v>33249</v>
      </c>
      <c r="K1067" t="s">
        <v>42349</v>
      </c>
      <c r="M1067" t="s">
        <v>43106</v>
      </c>
      <c r="N1067" t="s">
        <v>46569</v>
      </c>
      <c r="O1067" t="s">
        <v>46570</v>
      </c>
      <c r="P1067">
        <v>0</v>
      </c>
      <c r="Q1067">
        <v>0</v>
      </c>
      <c r="R1067" t="s">
        <v>46571</v>
      </c>
      <c r="S1067" t="s">
        <v>46687</v>
      </c>
      <c r="T1067" t="s">
        <v>48299</v>
      </c>
      <c r="U1067" t="s">
        <v>49722</v>
      </c>
      <c r="W1067" t="s">
        <v>43106</v>
      </c>
      <c r="X1067" t="s">
        <v>46572</v>
      </c>
    </row>
    <row r="1068" spans="1:24">
      <c r="A1068">
        <f>HYPERLINK("https://www.philgeps.gov.ph/GEPSNONPILOT/Tender/SplashBidNoticeAbstractUI.aspx?menuIndex=3&amp;refID=7065710&amp;Result=3","7065710")</f>
        <v>0</v>
      </c>
      <c r="B1068" t="s">
        <v>81</v>
      </c>
      <c r="C1068" t="s">
        <v>4547</v>
      </c>
      <c r="D1068" t="s">
        <v>18818</v>
      </c>
      <c r="E1068" t="s">
        <v>19888</v>
      </c>
      <c r="F1068" t="s">
        <v>32664</v>
      </c>
      <c r="G1068" t="s">
        <v>32672</v>
      </c>
      <c r="H1068" t="s">
        <v>12635</v>
      </c>
      <c r="I1068" t="s">
        <v>32712</v>
      </c>
      <c r="J1068" t="s">
        <v>33638</v>
      </c>
      <c r="K1068" t="s">
        <v>42283</v>
      </c>
      <c r="M1068" t="s">
        <v>43093</v>
      </c>
      <c r="N1068" t="s">
        <v>46569</v>
      </c>
      <c r="O1068" t="s">
        <v>46570</v>
      </c>
      <c r="P1068">
        <v>0</v>
      </c>
      <c r="Q1068">
        <v>1</v>
      </c>
      <c r="R1068" t="s">
        <v>46571</v>
      </c>
      <c r="S1068" t="s">
        <v>46687</v>
      </c>
      <c r="T1068" t="s">
        <v>48260</v>
      </c>
      <c r="U1068" t="s">
        <v>49696</v>
      </c>
      <c r="V1068" t="s">
        <v>61746</v>
      </c>
      <c r="W1068" t="s">
        <v>43093</v>
      </c>
      <c r="X1068" t="s">
        <v>46572</v>
      </c>
    </row>
    <row r="1069" spans="1:24">
      <c r="A1069">
        <f>HYPERLINK("https://www.philgeps.gov.ph/GEPSNONPILOT/Tender/SplashBidNoticeAbstractUI.aspx?menuIndex=3&amp;refID=7065685&amp;Result=3","7065685")</f>
        <v>0</v>
      </c>
      <c r="B1069" t="s">
        <v>172</v>
      </c>
      <c r="C1069" t="s">
        <v>4576</v>
      </c>
      <c r="D1069" t="s">
        <v>18804</v>
      </c>
      <c r="E1069" t="s">
        <v>19303</v>
      </c>
      <c r="F1069" t="s">
        <v>32664</v>
      </c>
      <c r="G1069" t="s">
        <v>32671</v>
      </c>
      <c r="H1069" t="s">
        <v>12635</v>
      </c>
      <c r="I1069" t="s">
        <v>32736</v>
      </c>
      <c r="J1069" t="s">
        <v>33167</v>
      </c>
      <c r="K1069" t="s">
        <v>42295</v>
      </c>
      <c r="M1069" t="s">
        <v>42736</v>
      </c>
      <c r="N1069" t="s">
        <v>46569</v>
      </c>
      <c r="O1069" t="s">
        <v>46570</v>
      </c>
      <c r="P1069">
        <v>0</v>
      </c>
      <c r="Q1069">
        <v>0</v>
      </c>
      <c r="R1069" t="s">
        <v>46571</v>
      </c>
      <c r="S1069" t="s">
        <v>46687</v>
      </c>
      <c r="T1069" t="s">
        <v>48256</v>
      </c>
      <c r="U1069" t="s">
        <v>49723</v>
      </c>
      <c r="V1069" t="s">
        <v>49518</v>
      </c>
      <c r="W1069" t="s">
        <v>42736</v>
      </c>
      <c r="X1069" t="s">
        <v>46572</v>
      </c>
    </row>
    <row r="1070" spans="1:24">
      <c r="A1070">
        <f>HYPERLINK("https://www.philgeps.gov.ph/GEPSNONPILOT/Tender/SplashBidNoticeAbstractUI.aspx?menuIndex=3&amp;refID=7065734&amp;Result=3","7065734")</f>
        <v>0</v>
      </c>
      <c r="B1070" t="s">
        <v>42</v>
      </c>
      <c r="C1070" t="s">
        <v>4577</v>
      </c>
      <c r="D1070" t="s">
        <v>18794</v>
      </c>
      <c r="E1070" t="s">
        <v>19889</v>
      </c>
      <c r="F1070" t="s">
        <v>32664</v>
      </c>
      <c r="G1070" t="s">
        <v>32671</v>
      </c>
      <c r="H1070" t="s">
        <v>12635</v>
      </c>
      <c r="I1070" t="s">
        <v>4439</v>
      </c>
      <c r="J1070" t="s">
        <v>33639</v>
      </c>
      <c r="K1070" t="s">
        <v>42283</v>
      </c>
      <c r="M1070" t="s">
        <v>42604</v>
      </c>
      <c r="N1070" t="s">
        <v>46569</v>
      </c>
      <c r="O1070" t="s">
        <v>46570</v>
      </c>
      <c r="P1070">
        <v>0</v>
      </c>
      <c r="Q1070">
        <v>0</v>
      </c>
      <c r="R1070" t="s">
        <v>46571</v>
      </c>
      <c r="S1070" t="s">
        <v>46687</v>
      </c>
      <c r="T1070" t="s">
        <v>48244</v>
      </c>
      <c r="U1070" t="s">
        <v>49724</v>
      </c>
      <c r="V1070" t="s">
        <v>61616</v>
      </c>
      <c r="W1070" t="s">
        <v>42604</v>
      </c>
      <c r="X1070" t="s">
        <v>46572</v>
      </c>
    </row>
    <row r="1071" spans="1:24">
      <c r="A1071">
        <f>HYPERLINK("https://www.philgeps.gov.ph/GEPSNONPILOT/Tender/SplashBidNoticeAbstractUI.aspx?menuIndex=3&amp;refID=7065733&amp;Result=3","7065733")</f>
        <v>0</v>
      </c>
      <c r="B1071" t="s">
        <v>529</v>
      </c>
      <c r="C1071" t="s">
        <v>4578</v>
      </c>
      <c r="D1071" t="s">
        <v>18808</v>
      </c>
      <c r="E1071" t="s">
        <v>19890</v>
      </c>
      <c r="F1071" t="s">
        <v>32664</v>
      </c>
      <c r="G1071" t="s">
        <v>32671</v>
      </c>
      <c r="H1071" t="s">
        <v>12635</v>
      </c>
      <c r="I1071" t="s">
        <v>32704</v>
      </c>
      <c r="J1071" t="s">
        <v>33640</v>
      </c>
      <c r="K1071" t="s">
        <v>42283</v>
      </c>
      <c r="M1071" t="s">
        <v>43107</v>
      </c>
      <c r="N1071" t="s">
        <v>46569</v>
      </c>
      <c r="O1071" t="s">
        <v>46570</v>
      </c>
      <c r="P1071">
        <v>0</v>
      </c>
      <c r="Q1071">
        <v>1</v>
      </c>
      <c r="R1071" t="s">
        <v>46571</v>
      </c>
      <c r="S1071" t="s">
        <v>46687</v>
      </c>
      <c r="T1071" t="s">
        <v>48319</v>
      </c>
      <c r="U1071" t="s">
        <v>49725</v>
      </c>
      <c r="V1071" t="s">
        <v>61747</v>
      </c>
      <c r="W1071" t="s">
        <v>43107</v>
      </c>
      <c r="X1071" t="s">
        <v>46572</v>
      </c>
    </row>
    <row r="1072" spans="1:24">
      <c r="A1072">
        <f>HYPERLINK("https://www.philgeps.gov.ph/GEPSNONPILOT/Tender/SplashBidNoticeAbstractUI.aspx?menuIndex=3&amp;refID=7065736&amp;Result=3","7065736")</f>
        <v>0</v>
      </c>
      <c r="B1072" t="s">
        <v>530</v>
      </c>
      <c r="C1072" t="s">
        <v>4579</v>
      </c>
      <c r="D1072" t="s">
        <v>18802</v>
      </c>
      <c r="E1072" t="s">
        <v>19891</v>
      </c>
      <c r="F1072" t="s">
        <v>32664</v>
      </c>
      <c r="G1072" t="s">
        <v>32672</v>
      </c>
      <c r="H1072" t="s">
        <v>32683</v>
      </c>
      <c r="I1072" t="s">
        <v>10627</v>
      </c>
      <c r="J1072" t="s">
        <v>32898</v>
      </c>
      <c r="K1072" t="s">
        <v>42281</v>
      </c>
      <c r="M1072" t="s">
        <v>43108</v>
      </c>
      <c r="N1072" t="s">
        <v>46569</v>
      </c>
      <c r="O1072" t="s">
        <v>46570</v>
      </c>
      <c r="P1072">
        <v>0</v>
      </c>
      <c r="Q1072">
        <v>0</v>
      </c>
      <c r="R1072" t="s">
        <v>46571</v>
      </c>
      <c r="S1072" t="s">
        <v>46687</v>
      </c>
      <c r="T1072" t="s">
        <v>48302</v>
      </c>
      <c r="U1072" t="s">
        <v>49726</v>
      </c>
      <c r="W1072" t="s">
        <v>43108</v>
      </c>
      <c r="X1072" t="s">
        <v>46572</v>
      </c>
    </row>
    <row r="1073" spans="1:24">
      <c r="A1073">
        <f>HYPERLINK("https://www.philgeps.gov.ph/GEPSNONPILOT/Tender/SplashBidNoticeAbstractUI.aspx?menuIndex=3&amp;refID=7065725&amp;Result=3","7065725")</f>
        <v>0</v>
      </c>
      <c r="B1073" t="s">
        <v>267</v>
      </c>
      <c r="C1073" t="s">
        <v>4580</v>
      </c>
      <c r="E1073" t="s">
        <v>19892</v>
      </c>
      <c r="F1073" t="s">
        <v>32664</v>
      </c>
      <c r="G1073" t="s">
        <v>32671</v>
      </c>
      <c r="H1073" t="s">
        <v>12635</v>
      </c>
      <c r="I1073" t="s">
        <v>32752</v>
      </c>
      <c r="J1073" t="s">
        <v>33031</v>
      </c>
      <c r="K1073" t="s">
        <v>42283</v>
      </c>
      <c r="M1073" t="s">
        <v>42832</v>
      </c>
      <c r="N1073" t="s">
        <v>46569</v>
      </c>
      <c r="O1073" t="s">
        <v>46570</v>
      </c>
      <c r="P1073">
        <v>0</v>
      </c>
      <c r="Q1073">
        <v>0</v>
      </c>
      <c r="R1073" t="s">
        <v>46571</v>
      </c>
      <c r="S1073" t="s">
        <v>46687</v>
      </c>
      <c r="T1073" t="s">
        <v>48219</v>
      </c>
      <c r="U1073" t="s">
        <v>49727</v>
      </c>
      <c r="W1073" t="s">
        <v>42832</v>
      </c>
      <c r="X1073" t="s">
        <v>46572</v>
      </c>
    </row>
    <row r="1074" spans="1:24">
      <c r="A1074">
        <f>HYPERLINK("https://www.philgeps.gov.ph/GEPSNONPILOT/Tender/SplashBidNoticeAbstractUI.aspx?menuIndex=3&amp;refID=7065729&amp;Result=3","7065729")</f>
        <v>0</v>
      </c>
      <c r="B1074" t="s">
        <v>513</v>
      </c>
      <c r="C1074" t="s">
        <v>4581</v>
      </c>
      <c r="D1074" t="s">
        <v>18858</v>
      </c>
      <c r="E1074" t="s">
        <v>19893</v>
      </c>
      <c r="F1074" t="s">
        <v>32664</v>
      </c>
      <c r="G1074" t="s">
        <v>32674</v>
      </c>
      <c r="H1074" t="s">
        <v>12635</v>
      </c>
      <c r="I1074" t="s">
        <v>6628</v>
      </c>
      <c r="J1074" t="s">
        <v>33119</v>
      </c>
      <c r="K1074" t="s">
        <v>42309</v>
      </c>
      <c r="M1074" t="s">
        <v>43089</v>
      </c>
      <c r="N1074" t="s">
        <v>46569</v>
      </c>
      <c r="O1074" t="s">
        <v>46570</v>
      </c>
      <c r="P1074">
        <v>0</v>
      </c>
      <c r="Q1074">
        <v>0</v>
      </c>
      <c r="R1074" t="s">
        <v>46571</v>
      </c>
      <c r="S1074" t="s">
        <v>46687</v>
      </c>
      <c r="T1074" t="s">
        <v>48293</v>
      </c>
      <c r="U1074" t="s">
        <v>49728</v>
      </c>
      <c r="W1074" t="s">
        <v>43089</v>
      </c>
      <c r="X1074" t="s">
        <v>46572</v>
      </c>
    </row>
    <row r="1075" spans="1:24">
      <c r="A1075">
        <f>HYPERLINK("https://www.philgeps.gov.ph/GEPSNONPILOT/Tender/SplashBidNoticeAbstractUI.aspx?menuIndex=3&amp;refID=7065692&amp;Result=3","7065692")</f>
        <v>0</v>
      </c>
      <c r="B1075" t="s">
        <v>531</v>
      </c>
      <c r="C1075" t="s">
        <v>4582</v>
      </c>
      <c r="D1075" t="s">
        <v>18793</v>
      </c>
      <c r="E1075" t="s">
        <v>19894</v>
      </c>
      <c r="F1075" t="s">
        <v>32664</v>
      </c>
      <c r="G1075" t="s">
        <v>32671</v>
      </c>
      <c r="H1075" t="s">
        <v>12635</v>
      </c>
      <c r="I1075" t="s">
        <v>32702</v>
      </c>
      <c r="J1075" t="s">
        <v>32898</v>
      </c>
      <c r="K1075" t="s">
        <v>42284</v>
      </c>
      <c r="M1075" t="s">
        <v>43109</v>
      </c>
      <c r="N1075" t="s">
        <v>46569</v>
      </c>
      <c r="O1075" t="s">
        <v>46570</v>
      </c>
      <c r="P1075">
        <v>0</v>
      </c>
      <c r="Q1075">
        <v>0</v>
      </c>
      <c r="R1075" t="s">
        <v>46571</v>
      </c>
      <c r="S1075" t="s">
        <v>46687</v>
      </c>
      <c r="T1075" t="s">
        <v>48304</v>
      </c>
      <c r="U1075" t="s">
        <v>49729</v>
      </c>
      <c r="W1075" t="s">
        <v>43109</v>
      </c>
      <c r="X1075" t="s">
        <v>46572</v>
      </c>
    </row>
    <row r="1076" spans="1:24">
      <c r="A1076">
        <f>HYPERLINK("https://www.philgeps.gov.ph/GEPSNONPILOT/Tender/SplashBidNoticeAbstractUI.aspx?menuIndex=3&amp;refID=7065721&amp;Result=3","7065721")</f>
        <v>0</v>
      </c>
      <c r="B1076" t="s">
        <v>491</v>
      </c>
      <c r="C1076" t="s">
        <v>4555</v>
      </c>
      <c r="E1076" t="s">
        <v>19895</v>
      </c>
      <c r="F1076" t="s">
        <v>32664</v>
      </c>
      <c r="G1076" t="s">
        <v>32671</v>
      </c>
      <c r="H1076" t="s">
        <v>12635</v>
      </c>
      <c r="I1076" t="s">
        <v>10361</v>
      </c>
      <c r="J1076" t="s">
        <v>33625</v>
      </c>
      <c r="K1076" t="s">
        <v>42283</v>
      </c>
      <c r="M1076" t="s">
        <v>43067</v>
      </c>
      <c r="N1076" t="s">
        <v>46569</v>
      </c>
      <c r="O1076" t="s">
        <v>46570</v>
      </c>
      <c r="P1076">
        <v>0</v>
      </c>
      <c r="Q1076">
        <v>1</v>
      </c>
      <c r="R1076" t="s">
        <v>46571</v>
      </c>
      <c r="S1076" t="s">
        <v>46687</v>
      </c>
      <c r="T1076" t="s">
        <v>48249</v>
      </c>
      <c r="U1076" t="s">
        <v>49730</v>
      </c>
      <c r="W1076" t="s">
        <v>43067</v>
      </c>
      <c r="X1076" t="s">
        <v>46572</v>
      </c>
    </row>
    <row r="1077" spans="1:24">
      <c r="A1077">
        <f>HYPERLINK("https://www.philgeps.gov.ph/GEPSNONPILOT/Tender/SplashBidNoticeAbstractUI.aspx?menuIndex=3&amp;refID=7065718&amp;Result=3","7065718")</f>
        <v>0</v>
      </c>
      <c r="B1077" t="s">
        <v>532</v>
      </c>
      <c r="C1077" t="s">
        <v>4583</v>
      </c>
      <c r="D1077" t="s">
        <v>18789</v>
      </c>
      <c r="E1077" t="s">
        <v>19896</v>
      </c>
      <c r="F1077" t="s">
        <v>32664</v>
      </c>
      <c r="G1077" t="s">
        <v>32671</v>
      </c>
      <c r="H1077" t="s">
        <v>32682</v>
      </c>
      <c r="I1077" t="s">
        <v>6223</v>
      </c>
      <c r="J1077" t="s">
        <v>33641</v>
      </c>
      <c r="K1077" t="s">
        <v>42289</v>
      </c>
      <c r="M1077" t="s">
        <v>43110</v>
      </c>
      <c r="N1077" t="s">
        <v>46569</v>
      </c>
      <c r="O1077" t="s">
        <v>46570</v>
      </c>
      <c r="P1077">
        <v>0</v>
      </c>
      <c r="Q1077">
        <v>0</v>
      </c>
      <c r="R1077" t="s">
        <v>46571</v>
      </c>
      <c r="S1077" t="s">
        <v>46687</v>
      </c>
      <c r="T1077" t="s">
        <v>48333</v>
      </c>
      <c r="U1077" t="s">
        <v>49731</v>
      </c>
      <c r="W1077" t="s">
        <v>43110</v>
      </c>
      <c r="X1077" t="s">
        <v>46572</v>
      </c>
    </row>
    <row r="1078" spans="1:24">
      <c r="A1078">
        <f>HYPERLINK("https://www.philgeps.gov.ph/GEPSNONPILOT/Tender/SplashBidNoticeAbstractUI.aspx?menuIndex=3&amp;refID=7065730&amp;Result=3","7065730")</f>
        <v>0</v>
      </c>
      <c r="B1078" t="s">
        <v>533</v>
      </c>
      <c r="C1078" t="s">
        <v>4584</v>
      </c>
      <c r="D1078" t="s">
        <v>18786</v>
      </c>
      <c r="E1078" t="s">
        <v>19897</v>
      </c>
      <c r="F1078" t="s">
        <v>32664</v>
      </c>
      <c r="G1078" t="s">
        <v>32671</v>
      </c>
      <c r="H1078" t="s">
        <v>12635</v>
      </c>
      <c r="I1078" t="s">
        <v>4439</v>
      </c>
      <c r="J1078" t="s">
        <v>32898</v>
      </c>
      <c r="K1078" t="s">
        <v>42283</v>
      </c>
      <c r="M1078" t="s">
        <v>43111</v>
      </c>
      <c r="N1078" t="s">
        <v>46569</v>
      </c>
      <c r="O1078" t="s">
        <v>46570</v>
      </c>
      <c r="P1078">
        <v>0</v>
      </c>
      <c r="Q1078">
        <v>0</v>
      </c>
      <c r="R1078" t="s">
        <v>46571</v>
      </c>
      <c r="S1078" t="s">
        <v>46687</v>
      </c>
      <c r="T1078" t="s">
        <v>48244</v>
      </c>
      <c r="U1078" t="s">
        <v>49732</v>
      </c>
      <c r="W1078" t="s">
        <v>43111</v>
      </c>
      <c r="X1078" t="s">
        <v>46572</v>
      </c>
    </row>
    <row r="1079" spans="1:24">
      <c r="A1079">
        <f>HYPERLINK("https://www.philgeps.gov.ph/GEPSNONPILOT/Tender/SplashBidNoticeAbstractUI.aspx?menuIndex=3&amp;refID=7065717&amp;Result=3","7065717")</f>
        <v>0</v>
      </c>
      <c r="B1079" t="s">
        <v>95</v>
      </c>
      <c r="C1079" t="s">
        <v>4585</v>
      </c>
      <c r="D1079" t="s">
        <v>18807</v>
      </c>
      <c r="E1079" t="s">
        <v>19898</v>
      </c>
      <c r="F1079" t="s">
        <v>32664</v>
      </c>
      <c r="G1079" t="s">
        <v>32672</v>
      </c>
      <c r="H1079" t="s">
        <v>12635</v>
      </c>
      <c r="I1079" t="s">
        <v>5589</v>
      </c>
      <c r="J1079" t="s">
        <v>33009</v>
      </c>
      <c r="K1079" t="s">
        <v>42298</v>
      </c>
      <c r="M1079" t="s">
        <v>42658</v>
      </c>
      <c r="N1079" t="s">
        <v>46569</v>
      </c>
      <c r="O1079" t="s">
        <v>46570</v>
      </c>
      <c r="P1079">
        <v>0</v>
      </c>
      <c r="Q1079">
        <v>2</v>
      </c>
      <c r="R1079" t="s">
        <v>46571</v>
      </c>
      <c r="S1079" t="s">
        <v>46687</v>
      </c>
      <c r="T1079" t="s">
        <v>48274</v>
      </c>
      <c r="U1079" t="s">
        <v>49733</v>
      </c>
      <c r="W1079" t="s">
        <v>42658</v>
      </c>
      <c r="X1079" t="s">
        <v>46572</v>
      </c>
    </row>
    <row r="1080" spans="1:24">
      <c r="A1080">
        <f>HYPERLINK("https://www.philgeps.gov.ph/GEPSNONPILOT/Tender/SplashBidNoticeAbstractUI.aspx?menuIndex=3&amp;refID=7065713&amp;Result=3","7065713")</f>
        <v>0</v>
      </c>
      <c r="B1080" t="s">
        <v>517</v>
      </c>
      <c r="C1080" t="s">
        <v>4586</v>
      </c>
      <c r="D1080" t="s">
        <v>18788</v>
      </c>
      <c r="E1080" t="s">
        <v>19899</v>
      </c>
      <c r="F1080" t="s">
        <v>32664</v>
      </c>
      <c r="G1080" t="s">
        <v>32672</v>
      </c>
      <c r="H1080" t="s">
        <v>32683</v>
      </c>
      <c r="I1080" t="s">
        <v>10627</v>
      </c>
      <c r="J1080" t="s">
        <v>32962</v>
      </c>
      <c r="K1080" t="s">
        <v>42298</v>
      </c>
      <c r="M1080" t="s">
        <v>43094</v>
      </c>
      <c r="N1080" t="s">
        <v>46569</v>
      </c>
      <c r="O1080" t="s">
        <v>46570</v>
      </c>
      <c r="P1080">
        <v>0</v>
      </c>
      <c r="Q1080">
        <v>0</v>
      </c>
      <c r="R1080" t="s">
        <v>46571</v>
      </c>
      <c r="S1080" t="s">
        <v>46687</v>
      </c>
      <c r="T1080" t="s">
        <v>48222</v>
      </c>
      <c r="U1080" t="s">
        <v>49734</v>
      </c>
      <c r="W1080" t="s">
        <v>43094</v>
      </c>
      <c r="X1080" t="s">
        <v>46572</v>
      </c>
    </row>
    <row r="1081" spans="1:24">
      <c r="A1081">
        <f>HYPERLINK("https://www.philgeps.gov.ph/GEPSNONPILOT/Tender/SplashBidNoticeAbstractUI.aspx?menuIndex=3&amp;refID=7065712&amp;Result=3","7065712")</f>
        <v>0</v>
      </c>
      <c r="B1081" t="s">
        <v>534</v>
      </c>
      <c r="C1081" t="s">
        <v>4587</v>
      </c>
      <c r="D1081" t="s">
        <v>18816</v>
      </c>
      <c r="E1081" t="s">
        <v>19900</v>
      </c>
      <c r="F1081" t="s">
        <v>32664</v>
      </c>
      <c r="G1081" t="s">
        <v>32671</v>
      </c>
      <c r="H1081" t="s">
        <v>12635</v>
      </c>
      <c r="I1081" t="s">
        <v>4439</v>
      </c>
      <c r="J1081" t="s">
        <v>33642</v>
      </c>
      <c r="K1081" t="s">
        <v>42309</v>
      </c>
      <c r="M1081" t="s">
        <v>43112</v>
      </c>
      <c r="N1081" t="s">
        <v>46569</v>
      </c>
      <c r="O1081" t="s">
        <v>46570</v>
      </c>
      <c r="P1081">
        <v>0</v>
      </c>
      <c r="Q1081">
        <v>0</v>
      </c>
      <c r="R1081" t="s">
        <v>46571</v>
      </c>
      <c r="S1081" t="s">
        <v>46687</v>
      </c>
      <c r="T1081" t="s">
        <v>48283</v>
      </c>
      <c r="U1081" t="s">
        <v>49735</v>
      </c>
      <c r="W1081" t="s">
        <v>43112</v>
      </c>
      <c r="X1081" t="s">
        <v>46572</v>
      </c>
    </row>
    <row r="1082" spans="1:24">
      <c r="A1082">
        <f>HYPERLINK("https://www.philgeps.gov.ph/GEPSNONPILOT/Tender/SplashBidNoticeAbstractUI.aspx?menuIndex=3&amp;refID=7065714&amp;Result=3","7065714")</f>
        <v>0</v>
      </c>
      <c r="B1082" t="s">
        <v>535</v>
      </c>
      <c r="C1082" t="s">
        <v>4588</v>
      </c>
      <c r="D1082" t="s">
        <v>18834</v>
      </c>
      <c r="E1082" t="s">
        <v>19901</v>
      </c>
      <c r="F1082" t="s">
        <v>32664</v>
      </c>
      <c r="G1082" t="s">
        <v>32671</v>
      </c>
      <c r="H1082" t="s">
        <v>12635</v>
      </c>
      <c r="I1082" t="s">
        <v>10590</v>
      </c>
      <c r="J1082" t="s">
        <v>33643</v>
      </c>
      <c r="K1082" t="s">
        <v>42289</v>
      </c>
      <c r="M1082" t="s">
        <v>43113</v>
      </c>
      <c r="N1082" t="s">
        <v>46569</v>
      </c>
      <c r="O1082" t="s">
        <v>46570</v>
      </c>
      <c r="P1082">
        <v>0</v>
      </c>
      <c r="Q1082">
        <v>0</v>
      </c>
      <c r="R1082" t="s">
        <v>46571</v>
      </c>
      <c r="S1082" t="s">
        <v>46687</v>
      </c>
      <c r="T1082" t="s">
        <v>48219</v>
      </c>
      <c r="U1082" t="s">
        <v>49736</v>
      </c>
      <c r="W1082" t="s">
        <v>63481</v>
      </c>
      <c r="X1082" t="s">
        <v>46572</v>
      </c>
    </row>
    <row r="1083" spans="1:24">
      <c r="A1083">
        <f>HYPERLINK("https://www.philgeps.gov.ph/GEPSNONPILOT/Tender/SplashBidNoticeAbstractUI.aspx?menuIndex=3&amp;refID=7065726&amp;Result=3","7065726")</f>
        <v>0</v>
      </c>
      <c r="B1083" t="s">
        <v>536</v>
      </c>
      <c r="C1083" t="s">
        <v>4589</v>
      </c>
      <c r="D1083" t="s">
        <v>18786</v>
      </c>
      <c r="E1083" t="s">
        <v>19902</v>
      </c>
      <c r="F1083" t="s">
        <v>32664</v>
      </c>
      <c r="G1083" t="s">
        <v>32671</v>
      </c>
      <c r="H1083" t="s">
        <v>12635</v>
      </c>
      <c r="I1083" t="s">
        <v>32694</v>
      </c>
      <c r="J1083" t="s">
        <v>33644</v>
      </c>
      <c r="K1083" t="s">
        <v>42297</v>
      </c>
      <c r="M1083" t="s">
        <v>43114</v>
      </c>
      <c r="N1083" t="s">
        <v>46569</v>
      </c>
      <c r="O1083" t="s">
        <v>46570</v>
      </c>
      <c r="P1083">
        <v>0</v>
      </c>
      <c r="Q1083">
        <v>0</v>
      </c>
      <c r="R1083" t="s">
        <v>46571</v>
      </c>
      <c r="S1083" t="s">
        <v>46687</v>
      </c>
      <c r="T1083" t="s">
        <v>48268</v>
      </c>
      <c r="U1083" t="s">
        <v>49737</v>
      </c>
      <c r="W1083" t="s">
        <v>43114</v>
      </c>
      <c r="X1083" t="s">
        <v>46572</v>
      </c>
    </row>
    <row r="1084" spans="1:24">
      <c r="A1084">
        <f>HYPERLINK("https://www.philgeps.gov.ph/GEPSNONPILOT/Tender/SplashBidNoticeAbstractUI.aspx?menuIndex=3&amp;refID=7065636&amp;Result=3","7065636")</f>
        <v>0</v>
      </c>
      <c r="B1084" t="s">
        <v>473</v>
      </c>
      <c r="C1084" t="s">
        <v>4590</v>
      </c>
      <c r="D1084" t="s">
        <v>18791</v>
      </c>
      <c r="E1084" t="s">
        <v>19903</v>
      </c>
      <c r="F1084" t="s">
        <v>32664</v>
      </c>
      <c r="G1084" t="s">
        <v>32671</v>
      </c>
      <c r="H1084" t="s">
        <v>12635</v>
      </c>
      <c r="I1084" t="s">
        <v>6168</v>
      </c>
      <c r="J1084" t="s">
        <v>33645</v>
      </c>
      <c r="K1084" t="s">
        <v>42289</v>
      </c>
      <c r="M1084" t="s">
        <v>43048</v>
      </c>
      <c r="N1084" t="s">
        <v>46569</v>
      </c>
      <c r="O1084" t="s">
        <v>46570</v>
      </c>
      <c r="P1084">
        <v>0</v>
      </c>
      <c r="Q1084">
        <v>0</v>
      </c>
      <c r="R1084" t="s">
        <v>46571</v>
      </c>
      <c r="S1084" t="s">
        <v>46687</v>
      </c>
      <c r="T1084" t="s">
        <v>48221</v>
      </c>
      <c r="U1084" t="s">
        <v>49623</v>
      </c>
      <c r="W1084" t="s">
        <v>43048</v>
      </c>
      <c r="X1084" t="s">
        <v>46572</v>
      </c>
    </row>
    <row r="1085" spans="1:24">
      <c r="A1085">
        <f>HYPERLINK("https://www.philgeps.gov.ph/GEPSNONPILOT/Tender/SplashBidNoticeAbstractUI.aspx?menuIndex=3&amp;refID=7065618&amp;Result=3","7065618")</f>
        <v>0</v>
      </c>
      <c r="B1085" t="s">
        <v>537</v>
      </c>
      <c r="C1085" t="s">
        <v>4591</v>
      </c>
      <c r="D1085" t="s">
        <v>18791</v>
      </c>
      <c r="E1085" t="s">
        <v>19904</v>
      </c>
      <c r="F1085" t="s">
        <v>32664</v>
      </c>
      <c r="G1085" t="s">
        <v>32671</v>
      </c>
      <c r="H1085" t="s">
        <v>12635</v>
      </c>
      <c r="I1085" t="s">
        <v>32701</v>
      </c>
      <c r="J1085" t="s">
        <v>33078</v>
      </c>
      <c r="K1085" t="s">
        <v>42295</v>
      </c>
      <c r="M1085" t="s">
        <v>43115</v>
      </c>
      <c r="N1085" t="s">
        <v>46569</v>
      </c>
      <c r="O1085" t="s">
        <v>46570</v>
      </c>
      <c r="P1085">
        <v>0</v>
      </c>
      <c r="Q1085">
        <v>0</v>
      </c>
      <c r="R1085" t="s">
        <v>46571</v>
      </c>
      <c r="S1085" t="s">
        <v>46687</v>
      </c>
      <c r="T1085" t="s">
        <v>48280</v>
      </c>
      <c r="U1085" t="s">
        <v>49738</v>
      </c>
      <c r="W1085" t="s">
        <v>43115</v>
      </c>
      <c r="X1085" t="s">
        <v>46572</v>
      </c>
    </row>
    <row r="1086" spans="1:24">
      <c r="A1086">
        <f>HYPERLINK("https://www.philgeps.gov.ph/GEPSNONPILOT/Tender/SplashBidNoticeAbstractUI.aspx?menuIndex=3&amp;refID=7065637&amp;Result=3","7065637")</f>
        <v>0</v>
      </c>
      <c r="B1086" t="s">
        <v>529</v>
      </c>
      <c r="C1086" t="s">
        <v>4592</v>
      </c>
      <c r="D1086" t="s">
        <v>18784</v>
      </c>
      <c r="E1086" t="s">
        <v>19905</v>
      </c>
      <c r="F1086" t="s">
        <v>32664</v>
      </c>
      <c r="G1086" t="s">
        <v>32671</v>
      </c>
      <c r="H1086" t="s">
        <v>12635</v>
      </c>
      <c r="I1086" t="s">
        <v>10370</v>
      </c>
      <c r="J1086" t="s">
        <v>33646</v>
      </c>
      <c r="K1086" t="s">
        <v>42283</v>
      </c>
      <c r="M1086" t="s">
        <v>43116</v>
      </c>
      <c r="N1086" t="s">
        <v>46569</v>
      </c>
      <c r="O1086" t="s">
        <v>46570</v>
      </c>
      <c r="P1086">
        <v>0</v>
      </c>
      <c r="Q1086">
        <v>4</v>
      </c>
      <c r="R1086" t="s">
        <v>46571</v>
      </c>
      <c r="S1086" t="s">
        <v>46687</v>
      </c>
      <c r="T1086" t="s">
        <v>48331</v>
      </c>
      <c r="U1086" t="s">
        <v>49739</v>
      </c>
      <c r="V1086" t="s">
        <v>61748</v>
      </c>
      <c r="W1086" t="s">
        <v>43116</v>
      </c>
      <c r="X1086" t="s">
        <v>46572</v>
      </c>
    </row>
    <row r="1087" spans="1:24">
      <c r="A1087">
        <f>HYPERLINK("https://www.philgeps.gov.ph/GEPSNONPILOT/Tender/SplashBidNoticeAbstractUI.aspx?menuIndex=3&amp;refID=7065719&amp;Result=3","7065719")</f>
        <v>0</v>
      </c>
      <c r="B1087" t="s">
        <v>432</v>
      </c>
      <c r="C1087" t="s">
        <v>4593</v>
      </c>
      <c r="D1087" t="s">
        <v>18805</v>
      </c>
      <c r="E1087" t="s">
        <v>19906</v>
      </c>
      <c r="F1087" t="s">
        <v>32664</v>
      </c>
      <c r="G1087" t="s">
        <v>32671</v>
      </c>
      <c r="H1087" t="s">
        <v>12635</v>
      </c>
      <c r="I1087" t="s">
        <v>32701</v>
      </c>
      <c r="J1087" t="s">
        <v>33647</v>
      </c>
      <c r="K1087" t="s">
        <v>42289</v>
      </c>
      <c r="M1087" t="s">
        <v>43004</v>
      </c>
      <c r="N1087" t="s">
        <v>46569</v>
      </c>
      <c r="O1087" t="s">
        <v>46570</v>
      </c>
      <c r="P1087">
        <v>0</v>
      </c>
      <c r="Q1087">
        <v>2</v>
      </c>
      <c r="R1087" t="s">
        <v>46571</v>
      </c>
      <c r="S1087" t="s">
        <v>46687</v>
      </c>
      <c r="T1087" t="s">
        <v>48219</v>
      </c>
      <c r="U1087" t="s">
        <v>49740</v>
      </c>
      <c r="W1087" t="s">
        <v>43004</v>
      </c>
      <c r="X1087" t="s">
        <v>46572</v>
      </c>
    </row>
    <row r="1088" spans="1:24">
      <c r="A1088">
        <f>HYPERLINK("https://www.philgeps.gov.ph/GEPSNONPILOT/Tender/SplashBidNoticeAbstractUI.aspx?menuIndex=3&amp;refID=7065614&amp;Result=3","7065614")</f>
        <v>0</v>
      </c>
      <c r="B1088" t="s">
        <v>527</v>
      </c>
      <c r="C1088" t="s">
        <v>4594</v>
      </c>
      <c r="D1088" t="s">
        <v>18784</v>
      </c>
      <c r="E1088" t="s">
        <v>19907</v>
      </c>
      <c r="F1088" t="s">
        <v>32664</v>
      </c>
      <c r="G1088" t="s">
        <v>32671</v>
      </c>
      <c r="H1088" t="s">
        <v>12635</v>
      </c>
      <c r="I1088" t="s">
        <v>10627</v>
      </c>
      <c r="J1088" t="s">
        <v>33648</v>
      </c>
      <c r="K1088" t="s">
        <v>42281</v>
      </c>
      <c r="M1088" t="s">
        <v>43104</v>
      </c>
      <c r="N1088" t="s">
        <v>46569</v>
      </c>
      <c r="O1088" t="s">
        <v>46570</v>
      </c>
      <c r="P1088">
        <v>0</v>
      </c>
      <c r="Q1088">
        <v>0</v>
      </c>
      <c r="R1088" t="s">
        <v>46571</v>
      </c>
      <c r="S1088" t="s">
        <v>46687</v>
      </c>
      <c r="T1088" t="s">
        <v>48283</v>
      </c>
      <c r="U1088" t="s">
        <v>49741</v>
      </c>
      <c r="W1088" t="s">
        <v>43104</v>
      </c>
      <c r="X1088" t="s">
        <v>46572</v>
      </c>
    </row>
    <row r="1089" spans="1:24">
      <c r="A1089">
        <f>HYPERLINK("https://www.philgeps.gov.ph/GEPSNONPILOT/Tender/SplashBidNoticeAbstractUI.aspx?menuIndex=3&amp;refID=7065612&amp;Result=3","7065612")</f>
        <v>0</v>
      </c>
      <c r="B1089" t="s">
        <v>538</v>
      </c>
      <c r="C1089" t="s">
        <v>4595</v>
      </c>
      <c r="D1089" t="s">
        <v>18846</v>
      </c>
      <c r="E1089" t="s">
        <v>19908</v>
      </c>
      <c r="F1089" t="s">
        <v>32664</v>
      </c>
      <c r="G1089" t="s">
        <v>32671</v>
      </c>
      <c r="H1089" t="s">
        <v>12635</v>
      </c>
      <c r="I1089" t="s">
        <v>6223</v>
      </c>
      <c r="J1089" t="s">
        <v>32898</v>
      </c>
      <c r="K1089" t="s">
        <v>42305</v>
      </c>
      <c r="M1089" t="s">
        <v>43117</v>
      </c>
      <c r="N1089" t="s">
        <v>46569</v>
      </c>
      <c r="O1089" t="s">
        <v>46570</v>
      </c>
      <c r="P1089">
        <v>0</v>
      </c>
      <c r="Q1089">
        <v>0</v>
      </c>
      <c r="R1089" t="s">
        <v>46571</v>
      </c>
      <c r="S1089" t="s">
        <v>46687</v>
      </c>
      <c r="T1089" t="s">
        <v>48221</v>
      </c>
      <c r="U1089" t="s">
        <v>49742</v>
      </c>
      <c r="W1089" t="s">
        <v>43117</v>
      </c>
      <c r="X1089" t="s">
        <v>46572</v>
      </c>
    </row>
    <row r="1090" spans="1:24">
      <c r="A1090">
        <f>HYPERLINK("https://www.philgeps.gov.ph/GEPSNONPILOT/Tender/SplashBidNoticeAbstractUI.aspx?menuIndex=3&amp;refID=7065611&amp;Result=3","7065611")</f>
        <v>0</v>
      </c>
      <c r="B1090" t="s">
        <v>539</v>
      </c>
      <c r="C1090" t="s">
        <v>4571</v>
      </c>
      <c r="D1090" t="s">
        <v>18804</v>
      </c>
      <c r="E1090" t="s">
        <v>19909</v>
      </c>
      <c r="F1090" t="s">
        <v>32664</v>
      </c>
      <c r="G1090" t="s">
        <v>32676</v>
      </c>
      <c r="H1090" t="s">
        <v>12635</v>
      </c>
      <c r="I1090" t="s">
        <v>32751</v>
      </c>
      <c r="J1090" t="s">
        <v>32842</v>
      </c>
      <c r="K1090" t="s">
        <v>42297</v>
      </c>
      <c r="M1090" t="s">
        <v>43118</v>
      </c>
      <c r="N1090" t="s">
        <v>46569</v>
      </c>
      <c r="O1090" t="s">
        <v>46570</v>
      </c>
      <c r="P1090">
        <v>0</v>
      </c>
      <c r="Q1090">
        <v>0</v>
      </c>
      <c r="R1090" t="s">
        <v>46571</v>
      </c>
      <c r="S1090" t="s">
        <v>46687</v>
      </c>
      <c r="T1090" t="s">
        <v>48296</v>
      </c>
      <c r="U1090" t="s">
        <v>49743</v>
      </c>
      <c r="W1090" t="s">
        <v>43118</v>
      </c>
      <c r="X1090" t="s">
        <v>46572</v>
      </c>
    </row>
    <row r="1091" spans="1:24">
      <c r="A1091">
        <f>HYPERLINK("https://www.philgeps.gov.ph/GEPSNONPILOT/Tender/SplashBidNoticeAbstractUI.aspx?menuIndex=3&amp;refID=7065595&amp;Result=3","7065595")</f>
        <v>0</v>
      </c>
      <c r="B1091" t="s">
        <v>478</v>
      </c>
      <c r="C1091" t="s">
        <v>4596</v>
      </c>
      <c r="D1091" t="s">
        <v>18849</v>
      </c>
      <c r="E1091" t="s">
        <v>19910</v>
      </c>
      <c r="F1091" t="s">
        <v>32664</v>
      </c>
      <c r="G1091" t="s">
        <v>32675</v>
      </c>
      <c r="H1091" t="s">
        <v>12635</v>
      </c>
      <c r="I1091" t="s">
        <v>6168</v>
      </c>
      <c r="J1091" t="s">
        <v>32959</v>
      </c>
      <c r="K1091" t="s">
        <v>42306</v>
      </c>
      <c r="M1091" t="s">
        <v>43053</v>
      </c>
      <c r="N1091" t="s">
        <v>46569</v>
      </c>
      <c r="O1091" t="s">
        <v>46570</v>
      </c>
      <c r="P1091">
        <v>0</v>
      </c>
      <c r="Q1091">
        <v>0</v>
      </c>
      <c r="R1091" t="s">
        <v>46571</v>
      </c>
      <c r="S1091" t="s">
        <v>46687</v>
      </c>
      <c r="T1091" t="s">
        <v>48221</v>
      </c>
      <c r="U1091" t="s">
        <v>49744</v>
      </c>
      <c r="W1091" t="s">
        <v>43053</v>
      </c>
      <c r="X1091" t="s">
        <v>46572</v>
      </c>
    </row>
    <row r="1092" spans="1:24">
      <c r="A1092">
        <f>HYPERLINK("https://www.philgeps.gov.ph/GEPSNONPILOT/Tender/SplashBidNoticeAbstractUI.aspx?menuIndex=3&amp;refID=7065661&amp;Result=3","7065661")</f>
        <v>0</v>
      </c>
      <c r="B1092" t="s">
        <v>204</v>
      </c>
      <c r="C1092" t="s">
        <v>4597</v>
      </c>
      <c r="D1092" t="s">
        <v>18816</v>
      </c>
      <c r="E1092" t="s">
        <v>19911</v>
      </c>
      <c r="F1092" t="s">
        <v>32664</v>
      </c>
      <c r="G1092" t="s">
        <v>32674</v>
      </c>
      <c r="H1092" t="s">
        <v>12635</v>
      </c>
      <c r="I1092" t="s">
        <v>5589</v>
      </c>
      <c r="J1092" t="s">
        <v>33649</v>
      </c>
      <c r="K1092" t="s">
        <v>42284</v>
      </c>
      <c r="M1092" t="s">
        <v>42768</v>
      </c>
      <c r="N1092" t="s">
        <v>46569</v>
      </c>
      <c r="O1092" t="s">
        <v>46570</v>
      </c>
      <c r="P1092">
        <v>0</v>
      </c>
      <c r="Q1092">
        <v>1</v>
      </c>
      <c r="R1092" t="s">
        <v>46571</v>
      </c>
      <c r="S1092" t="s">
        <v>46687</v>
      </c>
      <c r="T1092" t="s">
        <v>48256</v>
      </c>
      <c r="U1092" t="s">
        <v>49745</v>
      </c>
      <c r="W1092" t="s">
        <v>42768</v>
      </c>
      <c r="X1092" t="s">
        <v>46572</v>
      </c>
    </row>
    <row r="1093" spans="1:24">
      <c r="A1093">
        <f>HYPERLINK("https://www.philgeps.gov.ph/GEPSNONPILOT/Tender/SplashBidNoticeAbstractUI.aspx?menuIndex=3&amp;refID=7065594&amp;Result=3","7065594")</f>
        <v>0</v>
      </c>
      <c r="B1093" t="s">
        <v>473</v>
      </c>
      <c r="C1093" t="s">
        <v>4598</v>
      </c>
      <c r="D1093" t="s">
        <v>18791</v>
      </c>
      <c r="E1093" t="s">
        <v>19912</v>
      </c>
      <c r="F1093" t="s">
        <v>32664</v>
      </c>
      <c r="G1093" t="s">
        <v>32671</v>
      </c>
      <c r="H1093" t="s">
        <v>12635</v>
      </c>
      <c r="I1093" t="s">
        <v>32753</v>
      </c>
      <c r="J1093" t="s">
        <v>33650</v>
      </c>
      <c r="K1093" t="s">
        <v>42289</v>
      </c>
      <c r="M1093" t="s">
        <v>43048</v>
      </c>
      <c r="N1093" t="s">
        <v>46569</v>
      </c>
      <c r="O1093" t="s">
        <v>46570</v>
      </c>
      <c r="P1093">
        <v>0</v>
      </c>
      <c r="Q1093">
        <v>0</v>
      </c>
      <c r="R1093" t="s">
        <v>46571</v>
      </c>
      <c r="S1093" t="s">
        <v>46687</v>
      </c>
      <c r="T1093" t="s">
        <v>48364</v>
      </c>
      <c r="U1093" t="s">
        <v>49623</v>
      </c>
      <c r="W1093" t="s">
        <v>43048</v>
      </c>
      <c r="X1093" t="s">
        <v>46572</v>
      </c>
    </row>
    <row r="1094" spans="1:24">
      <c r="A1094">
        <f>HYPERLINK("https://www.philgeps.gov.ph/GEPSNONPILOT/Tender/SplashBidNoticeAbstractUI.aspx?menuIndex=3&amp;refID=7065617&amp;Result=3","7065617")</f>
        <v>0</v>
      </c>
      <c r="B1094" t="s">
        <v>238</v>
      </c>
      <c r="C1094" t="s">
        <v>4599</v>
      </c>
      <c r="D1094" t="s">
        <v>18798</v>
      </c>
      <c r="E1094" t="s">
        <v>19913</v>
      </c>
      <c r="F1094" t="s">
        <v>32664</v>
      </c>
      <c r="G1094" t="s">
        <v>32675</v>
      </c>
      <c r="H1094" t="s">
        <v>12635</v>
      </c>
      <c r="I1094" t="s">
        <v>10370</v>
      </c>
      <c r="J1094" t="s">
        <v>33651</v>
      </c>
      <c r="K1094" t="s">
        <v>42306</v>
      </c>
      <c r="M1094" t="s">
        <v>43063</v>
      </c>
      <c r="N1094" t="s">
        <v>46569</v>
      </c>
      <c r="O1094" t="s">
        <v>46570</v>
      </c>
      <c r="P1094">
        <v>0</v>
      </c>
      <c r="Q1094">
        <v>0</v>
      </c>
      <c r="R1094" t="s">
        <v>46571</v>
      </c>
      <c r="S1094" t="s">
        <v>46687</v>
      </c>
      <c r="T1094" t="s">
        <v>48365</v>
      </c>
      <c r="U1094" t="s">
        <v>49746</v>
      </c>
      <c r="W1094" t="s">
        <v>43063</v>
      </c>
      <c r="X1094" t="s">
        <v>46572</v>
      </c>
    </row>
    <row r="1095" spans="1:24">
      <c r="A1095">
        <f>HYPERLINK("https://www.philgeps.gov.ph/GEPSNONPILOT/Tender/SplashBidNoticeAbstractUI.aspx?menuIndex=3&amp;refID=7065615&amp;Result=3","7065615")</f>
        <v>0</v>
      </c>
      <c r="B1095" t="s">
        <v>540</v>
      </c>
      <c r="C1095" t="s">
        <v>4600</v>
      </c>
      <c r="E1095" t="s">
        <v>19914</v>
      </c>
      <c r="F1095" t="s">
        <v>32664</v>
      </c>
      <c r="G1095" t="s">
        <v>32674</v>
      </c>
      <c r="H1095" t="s">
        <v>12635</v>
      </c>
      <c r="I1095" t="s">
        <v>32719</v>
      </c>
      <c r="J1095" t="s">
        <v>33652</v>
      </c>
      <c r="K1095" t="s">
        <v>42321</v>
      </c>
      <c r="M1095" t="s">
        <v>43119</v>
      </c>
      <c r="N1095" t="s">
        <v>46569</v>
      </c>
      <c r="O1095" t="s">
        <v>46570</v>
      </c>
      <c r="P1095">
        <v>0</v>
      </c>
      <c r="Q1095">
        <v>0</v>
      </c>
      <c r="R1095" t="s">
        <v>46571</v>
      </c>
      <c r="S1095" t="s">
        <v>46687</v>
      </c>
      <c r="T1095" t="s">
        <v>48256</v>
      </c>
      <c r="U1095" t="s">
        <v>49747</v>
      </c>
      <c r="W1095" t="s">
        <v>43119</v>
      </c>
      <c r="X1095" t="s">
        <v>46572</v>
      </c>
    </row>
    <row r="1096" spans="1:24">
      <c r="A1096">
        <f>HYPERLINK("https://www.philgeps.gov.ph/GEPSNONPILOT/Tender/SplashBidNoticeAbstractUI.aspx?menuIndex=3&amp;refID=7065590&amp;Result=3","7065590")</f>
        <v>0</v>
      </c>
      <c r="B1096" t="s">
        <v>484</v>
      </c>
      <c r="C1096" t="s">
        <v>4601</v>
      </c>
      <c r="D1096" t="s">
        <v>18792</v>
      </c>
      <c r="E1096" t="s">
        <v>19915</v>
      </c>
      <c r="F1096" t="s">
        <v>32664</v>
      </c>
      <c r="G1096" t="s">
        <v>32672</v>
      </c>
      <c r="H1096" t="s">
        <v>12635</v>
      </c>
      <c r="I1096" t="s">
        <v>5589</v>
      </c>
      <c r="J1096" t="s">
        <v>33653</v>
      </c>
      <c r="K1096" t="s">
        <v>42321</v>
      </c>
      <c r="M1096" t="s">
        <v>43059</v>
      </c>
      <c r="N1096" t="s">
        <v>46569</v>
      </c>
      <c r="O1096" t="s">
        <v>46570</v>
      </c>
      <c r="P1096">
        <v>0</v>
      </c>
      <c r="Q1096">
        <v>1</v>
      </c>
      <c r="R1096" t="s">
        <v>46571</v>
      </c>
      <c r="S1096" t="s">
        <v>46687</v>
      </c>
      <c r="T1096" t="s">
        <v>48222</v>
      </c>
      <c r="U1096" t="s">
        <v>49748</v>
      </c>
      <c r="V1096" t="s">
        <v>61749</v>
      </c>
      <c r="W1096" t="s">
        <v>63480</v>
      </c>
      <c r="X1096" t="s">
        <v>46572</v>
      </c>
    </row>
    <row r="1097" spans="1:24">
      <c r="A1097">
        <f>HYPERLINK("https://www.philgeps.gov.ph/GEPSNONPILOT/Tender/SplashBidNoticeAbstractUI.aspx?menuIndex=3&amp;refID=7065589&amp;Result=3","7065589")</f>
        <v>0</v>
      </c>
      <c r="B1097" t="s">
        <v>490</v>
      </c>
      <c r="C1097" t="s">
        <v>4602</v>
      </c>
      <c r="D1097" t="s">
        <v>18805</v>
      </c>
      <c r="E1097" t="s">
        <v>19916</v>
      </c>
      <c r="F1097" t="s">
        <v>32664</v>
      </c>
      <c r="G1097" t="s">
        <v>32671</v>
      </c>
      <c r="H1097" t="s">
        <v>12635</v>
      </c>
      <c r="I1097" t="s">
        <v>4439</v>
      </c>
      <c r="J1097" t="s">
        <v>33654</v>
      </c>
      <c r="K1097" t="s">
        <v>42283</v>
      </c>
      <c r="M1097" t="s">
        <v>43066</v>
      </c>
      <c r="N1097" t="s">
        <v>46569</v>
      </c>
      <c r="O1097" t="s">
        <v>46570</v>
      </c>
      <c r="P1097">
        <v>0</v>
      </c>
      <c r="Q1097">
        <v>0</v>
      </c>
      <c r="R1097" t="s">
        <v>46571</v>
      </c>
      <c r="S1097" t="s">
        <v>46687</v>
      </c>
      <c r="T1097" t="s">
        <v>48279</v>
      </c>
      <c r="U1097" t="s">
        <v>49749</v>
      </c>
      <c r="V1097" t="s">
        <v>61737</v>
      </c>
      <c r="W1097" t="s">
        <v>43066</v>
      </c>
      <c r="X1097" t="s">
        <v>46572</v>
      </c>
    </row>
    <row r="1098" spans="1:24">
      <c r="A1098">
        <f>HYPERLINK("https://www.philgeps.gov.ph/GEPSNONPILOT/Tender/SplashBidNoticeAbstractUI.aspx?menuIndex=3&amp;refID=7065593&amp;Result=3","7065593")</f>
        <v>0</v>
      </c>
      <c r="B1098" t="s">
        <v>541</v>
      </c>
      <c r="C1098" t="s">
        <v>4603</v>
      </c>
      <c r="D1098" t="s">
        <v>18805</v>
      </c>
      <c r="E1098" t="s">
        <v>19917</v>
      </c>
      <c r="F1098" t="s">
        <v>32664</v>
      </c>
      <c r="G1098" t="s">
        <v>32672</v>
      </c>
      <c r="H1098" t="s">
        <v>12635</v>
      </c>
      <c r="I1098" t="s">
        <v>32698</v>
      </c>
      <c r="J1098" t="s">
        <v>33655</v>
      </c>
      <c r="K1098" t="s">
        <v>42281</v>
      </c>
      <c r="M1098" t="s">
        <v>43120</v>
      </c>
      <c r="N1098" t="s">
        <v>46569</v>
      </c>
      <c r="O1098" t="s">
        <v>46570</v>
      </c>
      <c r="P1098">
        <v>0</v>
      </c>
      <c r="Q1098">
        <v>0</v>
      </c>
      <c r="R1098" t="s">
        <v>46571</v>
      </c>
      <c r="S1098" t="s">
        <v>46687</v>
      </c>
      <c r="T1098" t="s">
        <v>48333</v>
      </c>
      <c r="U1098" t="s">
        <v>49750</v>
      </c>
      <c r="W1098" t="s">
        <v>43120</v>
      </c>
      <c r="X1098" t="s">
        <v>46572</v>
      </c>
    </row>
    <row r="1099" spans="1:24">
      <c r="A1099">
        <f>HYPERLINK("https://www.philgeps.gov.ph/GEPSNONPILOT/Tender/SplashBidNoticeAbstractUI.aspx?menuIndex=3&amp;refID=7065591&amp;Result=3","7065591")</f>
        <v>0</v>
      </c>
      <c r="B1099" t="s">
        <v>40</v>
      </c>
      <c r="C1099" t="s">
        <v>4604</v>
      </c>
      <c r="D1099" t="s">
        <v>18786</v>
      </c>
      <c r="E1099" t="s">
        <v>19918</v>
      </c>
      <c r="F1099" t="s">
        <v>32664</v>
      </c>
      <c r="G1099" t="s">
        <v>32671</v>
      </c>
      <c r="H1099" t="s">
        <v>12635</v>
      </c>
      <c r="I1099" t="s">
        <v>8797</v>
      </c>
      <c r="J1099" t="s">
        <v>33656</v>
      </c>
      <c r="K1099" t="s">
        <v>42281</v>
      </c>
      <c r="M1099" t="s">
        <v>42602</v>
      </c>
      <c r="N1099" t="s">
        <v>46569</v>
      </c>
      <c r="O1099" t="s">
        <v>46570</v>
      </c>
      <c r="P1099">
        <v>0</v>
      </c>
      <c r="Q1099">
        <v>1</v>
      </c>
      <c r="R1099" t="s">
        <v>46571</v>
      </c>
      <c r="S1099" t="s">
        <v>46687</v>
      </c>
      <c r="T1099" t="s">
        <v>48221</v>
      </c>
      <c r="U1099" t="s">
        <v>49751</v>
      </c>
      <c r="W1099" t="s">
        <v>42602</v>
      </c>
      <c r="X1099" t="s">
        <v>46572</v>
      </c>
    </row>
    <row r="1100" spans="1:24">
      <c r="A1100">
        <f>HYPERLINK("https://www.philgeps.gov.ph/GEPSNONPILOT/Tender/SplashBidNoticeAbstractUI.aspx?menuIndex=3&amp;refID=7065421&amp;Result=3","7065421")</f>
        <v>0</v>
      </c>
      <c r="B1100" t="s">
        <v>542</v>
      </c>
      <c r="C1100" t="s">
        <v>4605</v>
      </c>
      <c r="D1100" t="s">
        <v>18781</v>
      </c>
      <c r="E1100" t="s">
        <v>19919</v>
      </c>
      <c r="F1100" t="s">
        <v>32664</v>
      </c>
      <c r="G1100" t="s">
        <v>32672</v>
      </c>
      <c r="H1100" t="s">
        <v>32683</v>
      </c>
      <c r="I1100" t="s">
        <v>10627</v>
      </c>
      <c r="J1100" t="s">
        <v>32898</v>
      </c>
      <c r="K1100" t="s">
        <v>42297</v>
      </c>
      <c r="M1100" t="s">
        <v>43121</v>
      </c>
      <c r="N1100" t="s">
        <v>46569</v>
      </c>
      <c r="O1100" t="s">
        <v>46570</v>
      </c>
      <c r="P1100">
        <v>0</v>
      </c>
      <c r="Q1100">
        <v>0</v>
      </c>
      <c r="R1100" t="s">
        <v>46571</v>
      </c>
      <c r="S1100" t="s">
        <v>46687</v>
      </c>
      <c r="T1100" t="s">
        <v>48366</v>
      </c>
      <c r="U1100" t="s">
        <v>49752</v>
      </c>
      <c r="V1100" t="s">
        <v>61750</v>
      </c>
      <c r="W1100" t="s">
        <v>43121</v>
      </c>
      <c r="X1100" t="s">
        <v>46572</v>
      </c>
    </row>
    <row r="1101" spans="1:24">
      <c r="A1101">
        <f>HYPERLINK("https://www.philgeps.gov.ph/GEPSNONPILOT/Tender/SplashBidNoticeAbstractUI.aspx?menuIndex=3&amp;refID=7065353&amp;Result=3","7065353")</f>
        <v>0</v>
      </c>
      <c r="B1101" t="s">
        <v>280</v>
      </c>
      <c r="C1101" t="s">
        <v>4606</v>
      </c>
      <c r="E1101" t="s">
        <v>19920</v>
      </c>
      <c r="F1101" t="s">
        <v>32664</v>
      </c>
      <c r="G1101" t="s">
        <v>32672</v>
      </c>
      <c r="H1101" t="s">
        <v>12635</v>
      </c>
      <c r="I1101" t="s">
        <v>32729</v>
      </c>
      <c r="J1101" t="s">
        <v>33657</v>
      </c>
      <c r="K1101" t="s">
        <v>42283</v>
      </c>
      <c r="M1101" t="s">
        <v>42845</v>
      </c>
      <c r="N1101" t="s">
        <v>46569</v>
      </c>
      <c r="O1101" t="s">
        <v>46570</v>
      </c>
      <c r="P1101">
        <v>0</v>
      </c>
      <c r="Q1101">
        <v>2</v>
      </c>
      <c r="R1101" t="s">
        <v>46571</v>
      </c>
      <c r="S1101" t="s">
        <v>46687</v>
      </c>
      <c r="T1101" t="s">
        <v>48226</v>
      </c>
      <c r="U1101" t="s">
        <v>49753</v>
      </c>
      <c r="W1101" t="s">
        <v>42845</v>
      </c>
      <c r="X1101" t="s">
        <v>46572</v>
      </c>
    </row>
    <row r="1102" spans="1:24">
      <c r="A1102">
        <f>HYPERLINK("https://www.philgeps.gov.ph/GEPSNONPILOT/Tender/SplashBidNoticeAbstractUI.aspx?menuIndex=3&amp;refID=7065588&amp;Result=3","7065588")</f>
        <v>0</v>
      </c>
      <c r="B1102" t="s">
        <v>473</v>
      </c>
      <c r="C1102" t="s">
        <v>4607</v>
      </c>
      <c r="D1102" t="s">
        <v>18791</v>
      </c>
      <c r="E1102" t="s">
        <v>19921</v>
      </c>
      <c r="F1102" t="s">
        <v>32664</v>
      </c>
      <c r="G1102" t="s">
        <v>32671</v>
      </c>
      <c r="H1102" t="s">
        <v>12635</v>
      </c>
      <c r="I1102" t="s">
        <v>32685</v>
      </c>
      <c r="J1102" t="s">
        <v>33658</v>
      </c>
      <c r="K1102" t="s">
        <v>42289</v>
      </c>
      <c r="M1102" t="s">
        <v>43048</v>
      </c>
      <c r="N1102" t="s">
        <v>46569</v>
      </c>
      <c r="O1102" t="s">
        <v>46570</v>
      </c>
      <c r="P1102">
        <v>0</v>
      </c>
      <c r="Q1102">
        <v>0</v>
      </c>
      <c r="R1102" t="s">
        <v>46571</v>
      </c>
      <c r="S1102" t="s">
        <v>46687</v>
      </c>
      <c r="T1102" t="s">
        <v>48367</v>
      </c>
      <c r="U1102" t="s">
        <v>49623</v>
      </c>
      <c r="W1102" t="s">
        <v>43048</v>
      </c>
      <c r="X1102" t="s">
        <v>46572</v>
      </c>
    </row>
    <row r="1103" spans="1:24">
      <c r="A1103">
        <f>HYPERLINK("https://www.philgeps.gov.ph/GEPSNONPILOT/Tender/SplashBidNoticeAbstractUI.aspx?menuIndex=3&amp;refID=7065592&amp;Result=3","7065592")</f>
        <v>0</v>
      </c>
      <c r="B1103" t="s">
        <v>184</v>
      </c>
      <c r="C1103" t="s">
        <v>4608</v>
      </c>
      <c r="D1103" t="s">
        <v>18825</v>
      </c>
      <c r="E1103" t="s">
        <v>19922</v>
      </c>
      <c r="F1103" t="s">
        <v>32664</v>
      </c>
      <c r="G1103" t="s">
        <v>32672</v>
      </c>
      <c r="H1103" t="s">
        <v>12635</v>
      </c>
      <c r="I1103" t="s">
        <v>6118</v>
      </c>
      <c r="J1103" t="s">
        <v>33084</v>
      </c>
      <c r="K1103" t="s">
        <v>42284</v>
      </c>
      <c r="M1103" t="s">
        <v>42884</v>
      </c>
      <c r="N1103" t="s">
        <v>46569</v>
      </c>
      <c r="O1103" t="s">
        <v>46570</v>
      </c>
      <c r="P1103">
        <v>0</v>
      </c>
      <c r="Q1103">
        <v>3</v>
      </c>
      <c r="R1103" t="s">
        <v>46571</v>
      </c>
      <c r="S1103" t="s">
        <v>46687</v>
      </c>
      <c r="T1103" t="s">
        <v>48216</v>
      </c>
      <c r="U1103" t="s">
        <v>49343</v>
      </c>
      <c r="W1103" t="s">
        <v>42884</v>
      </c>
      <c r="X1103" t="s">
        <v>46572</v>
      </c>
    </row>
    <row r="1104" spans="1:24">
      <c r="A1104">
        <f>HYPERLINK("https://www.philgeps.gov.ph/GEPSNONPILOT/Tender/SplashBidNoticeAbstractUI.aspx?menuIndex=3&amp;refID=7065351&amp;Result=3","7065351")</f>
        <v>0</v>
      </c>
      <c r="B1104" t="s">
        <v>543</v>
      </c>
      <c r="C1104" t="s">
        <v>4333</v>
      </c>
      <c r="D1104" t="s">
        <v>18790</v>
      </c>
      <c r="E1104" t="s">
        <v>19923</v>
      </c>
      <c r="F1104" t="s">
        <v>32664</v>
      </c>
      <c r="G1104" t="s">
        <v>32671</v>
      </c>
      <c r="H1104" t="s">
        <v>12635</v>
      </c>
      <c r="I1104" t="s">
        <v>4333</v>
      </c>
      <c r="J1104" t="s">
        <v>33023</v>
      </c>
      <c r="K1104" t="s">
        <v>42295</v>
      </c>
      <c r="M1104" t="s">
        <v>43122</v>
      </c>
      <c r="N1104" t="s">
        <v>46569</v>
      </c>
      <c r="O1104" t="s">
        <v>46570</v>
      </c>
      <c r="P1104">
        <v>0</v>
      </c>
      <c r="Q1104">
        <v>2</v>
      </c>
      <c r="R1104" t="s">
        <v>46571</v>
      </c>
      <c r="S1104" t="s">
        <v>46687</v>
      </c>
      <c r="T1104" t="s">
        <v>48305</v>
      </c>
      <c r="U1104" t="s">
        <v>49754</v>
      </c>
      <c r="W1104" t="s">
        <v>43122</v>
      </c>
      <c r="X1104" t="s">
        <v>46572</v>
      </c>
    </row>
    <row r="1105" spans="1:24">
      <c r="A1105">
        <f>HYPERLINK("https://www.philgeps.gov.ph/GEPSNONPILOT/Tender/SplashBidNoticeAbstractUI.aspx?menuIndex=3&amp;refID=7065348&amp;Result=3","7065348")</f>
        <v>0</v>
      </c>
      <c r="B1105" t="s">
        <v>179</v>
      </c>
      <c r="C1105" t="s">
        <v>4609</v>
      </c>
      <c r="D1105" t="s">
        <v>18830</v>
      </c>
      <c r="E1105" t="s">
        <v>19924</v>
      </c>
      <c r="F1105" t="s">
        <v>32664</v>
      </c>
      <c r="G1105" t="s">
        <v>32671</v>
      </c>
      <c r="H1105" t="s">
        <v>12635</v>
      </c>
      <c r="I1105" t="s">
        <v>7709</v>
      </c>
      <c r="J1105" t="s">
        <v>33659</v>
      </c>
      <c r="K1105" t="s">
        <v>42283</v>
      </c>
      <c r="M1105" t="s">
        <v>42743</v>
      </c>
      <c r="N1105" t="s">
        <v>46569</v>
      </c>
      <c r="O1105" t="s">
        <v>46570</v>
      </c>
      <c r="P1105">
        <v>0</v>
      </c>
      <c r="Q1105">
        <v>0</v>
      </c>
      <c r="R1105" t="s">
        <v>46571</v>
      </c>
      <c r="S1105" t="s">
        <v>46687</v>
      </c>
      <c r="T1105" t="s">
        <v>48294</v>
      </c>
      <c r="U1105" t="s">
        <v>49755</v>
      </c>
      <c r="V1105" t="s">
        <v>61664</v>
      </c>
      <c r="W1105" t="s">
        <v>63466</v>
      </c>
      <c r="X1105" t="s">
        <v>46572</v>
      </c>
    </row>
    <row r="1106" spans="1:24">
      <c r="A1106">
        <f>HYPERLINK("https://www.philgeps.gov.ph/GEPSNONPILOT/Tender/SplashBidNoticeAbstractUI.aspx?menuIndex=3&amp;refID=7065346&amp;Result=3","7065346")</f>
        <v>0</v>
      </c>
      <c r="B1106" t="s">
        <v>117</v>
      </c>
      <c r="C1106" t="s">
        <v>4610</v>
      </c>
      <c r="D1106" t="s">
        <v>18799</v>
      </c>
      <c r="E1106" t="s">
        <v>19925</v>
      </c>
      <c r="F1106" t="s">
        <v>32664</v>
      </c>
      <c r="G1106" t="s">
        <v>32677</v>
      </c>
      <c r="H1106" t="s">
        <v>12635</v>
      </c>
      <c r="I1106" t="s">
        <v>32721</v>
      </c>
      <c r="J1106" t="s">
        <v>33660</v>
      </c>
      <c r="K1106" t="s">
        <v>42283</v>
      </c>
      <c r="M1106" t="s">
        <v>42681</v>
      </c>
      <c r="N1106" t="s">
        <v>46569</v>
      </c>
      <c r="O1106" t="s">
        <v>46570</v>
      </c>
      <c r="P1106">
        <v>0</v>
      </c>
      <c r="Q1106">
        <v>0</v>
      </c>
      <c r="R1106" t="s">
        <v>46571</v>
      </c>
      <c r="S1106" t="s">
        <v>46687</v>
      </c>
      <c r="T1106" t="s">
        <v>48249</v>
      </c>
      <c r="U1106" t="s">
        <v>49756</v>
      </c>
      <c r="W1106" t="s">
        <v>42681</v>
      </c>
      <c r="X1106" t="s">
        <v>46572</v>
      </c>
    </row>
    <row r="1107" spans="1:24">
      <c r="A1107">
        <f>HYPERLINK("https://www.philgeps.gov.ph/GEPSNONPILOT/Tender/SplashBidNoticeAbstractUI.aspx?menuIndex=3&amp;refID=7065344&amp;Result=3","7065344")</f>
        <v>0</v>
      </c>
      <c r="B1107" t="s">
        <v>544</v>
      </c>
      <c r="C1107" t="s">
        <v>4611</v>
      </c>
      <c r="D1107" t="s">
        <v>18827</v>
      </c>
      <c r="E1107" t="s">
        <v>19926</v>
      </c>
      <c r="F1107" t="s">
        <v>32664</v>
      </c>
      <c r="G1107" t="s">
        <v>32671</v>
      </c>
      <c r="H1107" t="s">
        <v>32682</v>
      </c>
      <c r="I1107" t="s">
        <v>32691</v>
      </c>
      <c r="J1107" t="s">
        <v>33078</v>
      </c>
      <c r="K1107" t="s">
        <v>42281</v>
      </c>
      <c r="M1107" t="s">
        <v>43123</v>
      </c>
      <c r="N1107" t="s">
        <v>46569</v>
      </c>
      <c r="O1107" t="s">
        <v>46570</v>
      </c>
      <c r="P1107">
        <v>0</v>
      </c>
      <c r="Q1107">
        <v>0</v>
      </c>
      <c r="R1107" t="s">
        <v>46571</v>
      </c>
      <c r="S1107" t="s">
        <v>46687</v>
      </c>
      <c r="T1107" t="s">
        <v>48221</v>
      </c>
      <c r="U1107" t="s">
        <v>49757</v>
      </c>
      <c r="W1107" t="s">
        <v>43123</v>
      </c>
      <c r="X1107" t="s">
        <v>46572</v>
      </c>
    </row>
    <row r="1108" spans="1:24">
      <c r="A1108">
        <f>HYPERLINK("https://www.philgeps.gov.ph/GEPSNONPILOT/Tender/SplashBidNoticeAbstractUI.aspx?menuIndex=3&amp;refID=7065325&amp;Result=3","7065325")</f>
        <v>0</v>
      </c>
      <c r="B1108" t="s">
        <v>468</v>
      </c>
      <c r="C1108" t="s">
        <v>4612</v>
      </c>
      <c r="D1108" t="s">
        <v>18827</v>
      </c>
      <c r="E1108" t="s">
        <v>19927</v>
      </c>
      <c r="F1108" t="s">
        <v>32664</v>
      </c>
      <c r="G1108" t="s">
        <v>32671</v>
      </c>
      <c r="H1108" t="s">
        <v>12635</v>
      </c>
      <c r="I1108" t="s">
        <v>32724</v>
      </c>
      <c r="J1108" t="s">
        <v>33031</v>
      </c>
      <c r="K1108" t="s">
        <v>42289</v>
      </c>
      <c r="M1108" t="s">
        <v>43043</v>
      </c>
      <c r="N1108" t="s">
        <v>46569</v>
      </c>
      <c r="O1108" t="s">
        <v>46570</v>
      </c>
      <c r="P1108">
        <v>0</v>
      </c>
      <c r="Q1108">
        <v>0</v>
      </c>
      <c r="R1108" t="s">
        <v>46571</v>
      </c>
      <c r="S1108" t="s">
        <v>46687</v>
      </c>
      <c r="T1108" t="s">
        <v>48211</v>
      </c>
      <c r="U1108" t="s">
        <v>49617</v>
      </c>
      <c r="V1108" t="s">
        <v>61751</v>
      </c>
      <c r="W1108" t="s">
        <v>43043</v>
      </c>
      <c r="X1108" t="s">
        <v>46572</v>
      </c>
    </row>
    <row r="1109" spans="1:24">
      <c r="A1109">
        <f>HYPERLINK("https://www.philgeps.gov.ph/GEPSNONPILOT/Tender/SplashBidNoticeAbstractUI.aspx?menuIndex=3&amp;refID=7065350&amp;Result=3","7065350")</f>
        <v>0</v>
      </c>
      <c r="B1109" t="s">
        <v>545</v>
      </c>
      <c r="C1109" t="s">
        <v>4613</v>
      </c>
      <c r="D1109" t="s">
        <v>18782</v>
      </c>
      <c r="E1109" t="s">
        <v>19928</v>
      </c>
      <c r="F1109" t="s">
        <v>32664</v>
      </c>
      <c r="G1109" t="s">
        <v>32675</v>
      </c>
      <c r="H1109" t="s">
        <v>12635</v>
      </c>
      <c r="I1109" t="s">
        <v>4439</v>
      </c>
      <c r="J1109" t="s">
        <v>33661</v>
      </c>
      <c r="K1109" t="s">
        <v>42306</v>
      </c>
      <c r="M1109" t="s">
        <v>43124</v>
      </c>
      <c r="N1109" t="s">
        <v>46569</v>
      </c>
      <c r="O1109" t="s">
        <v>46570</v>
      </c>
      <c r="P1109">
        <v>0</v>
      </c>
      <c r="Q1109">
        <v>0</v>
      </c>
      <c r="R1109" t="s">
        <v>46571</v>
      </c>
      <c r="S1109" t="s">
        <v>46687</v>
      </c>
      <c r="T1109" t="s">
        <v>48368</v>
      </c>
      <c r="U1109" t="s">
        <v>49758</v>
      </c>
      <c r="W1109" t="s">
        <v>43124</v>
      </c>
      <c r="X1109" t="s">
        <v>46572</v>
      </c>
    </row>
    <row r="1110" spans="1:24">
      <c r="A1110">
        <f>HYPERLINK("https://www.philgeps.gov.ph/GEPSNONPILOT/Tender/SplashBidNoticeAbstractUI.aspx?menuIndex=3&amp;refID=7065323&amp;Result=3","7065323")</f>
        <v>0</v>
      </c>
      <c r="B1110" t="s">
        <v>93</v>
      </c>
      <c r="C1110" t="s">
        <v>4614</v>
      </c>
      <c r="D1110" t="s">
        <v>18799</v>
      </c>
      <c r="E1110" t="s">
        <v>19929</v>
      </c>
      <c r="F1110" t="s">
        <v>32664</v>
      </c>
      <c r="G1110" t="s">
        <v>32671</v>
      </c>
      <c r="H1110" t="s">
        <v>12635</v>
      </c>
      <c r="I1110" t="s">
        <v>6168</v>
      </c>
      <c r="J1110" t="s">
        <v>33662</v>
      </c>
      <c r="K1110" t="s">
        <v>42289</v>
      </c>
      <c r="M1110" t="s">
        <v>43125</v>
      </c>
      <c r="N1110" t="s">
        <v>46569</v>
      </c>
      <c r="O1110" t="s">
        <v>46570</v>
      </c>
      <c r="P1110">
        <v>0</v>
      </c>
      <c r="Q1110">
        <v>4</v>
      </c>
      <c r="R1110" t="s">
        <v>46571</v>
      </c>
      <c r="S1110" t="s">
        <v>46687</v>
      </c>
      <c r="T1110" t="s">
        <v>48221</v>
      </c>
      <c r="U1110" t="s">
        <v>49759</v>
      </c>
      <c r="V1110" t="s">
        <v>61710</v>
      </c>
      <c r="W1110" t="s">
        <v>43125</v>
      </c>
      <c r="X1110" t="s">
        <v>46572</v>
      </c>
    </row>
    <row r="1111" spans="1:24">
      <c r="A1111">
        <f>HYPERLINK("https://www.philgeps.gov.ph/GEPSNONPILOT/Tender/SplashBidNoticeAbstractUI.aspx?menuIndex=3&amp;refID=7065322&amp;Result=3","7065322")</f>
        <v>0</v>
      </c>
      <c r="B1111" t="s">
        <v>375</v>
      </c>
      <c r="C1111" t="s">
        <v>4270</v>
      </c>
      <c r="D1111" t="s">
        <v>18799</v>
      </c>
      <c r="E1111" t="s">
        <v>19930</v>
      </c>
      <c r="F1111" t="s">
        <v>32664</v>
      </c>
      <c r="G1111" t="s">
        <v>32672</v>
      </c>
      <c r="H1111" t="s">
        <v>12635</v>
      </c>
      <c r="I1111" t="s">
        <v>4439</v>
      </c>
      <c r="J1111" t="s">
        <v>33663</v>
      </c>
      <c r="K1111" t="s">
        <v>42295</v>
      </c>
      <c r="M1111" t="s">
        <v>42945</v>
      </c>
      <c r="N1111" t="s">
        <v>46569</v>
      </c>
      <c r="O1111" t="s">
        <v>46570</v>
      </c>
      <c r="P1111">
        <v>0</v>
      </c>
      <c r="Q1111">
        <v>0</v>
      </c>
      <c r="R1111" t="s">
        <v>46571</v>
      </c>
      <c r="S1111" t="s">
        <v>46687</v>
      </c>
      <c r="T1111" t="s">
        <v>48274</v>
      </c>
      <c r="U1111" t="s">
        <v>49760</v>
      </c>
      <c r="W1111" t="s">
        <v>42945</v>
      </c>
      <c r="X1111" t="s">
        <v>46572</v>
      </c>
    </row>
    <row r="1112" spans="1:24">
      <c r="A1112">
        <f>HYPERLINK("https://www.philgeps.gov.ph/GEPSNONPILOT/Tender/SplashBidNoticeAbstractUI.aspx?menuIndex=3&amp;refID=7065722&amp;Result=3","7065722")</f>
        <v>0</v>
      </c>
      <c r="B1112" t="s">
        <v>418</v>
      </c>
      <c r="C1112" t="s">
        <v>4615</v>
      </c>
      <c r="D1112" t="s">
        <v>18784</v>
      </c>
      <c r="E1112" t="s">
        <v>19931</v>
      </c>
      <c r="F1112" t="s">
        <v>32664</v>
      </c>
      <c r="G1112" t="s">
        <v>32672</v>
      </c>
      <c r="H1112" t="s">
        <v>12635</v>
      </c>
      <c r="I1112" t="s">
        <v>6118</v>
      </c>
      <c r="J1112" t="s">
        <v>33664</v>
      </c>
      <c r="K1112" t="s">
        <v>42289</v>
      </c>
      <c r="M1112" t="s">
        <v>43105</v>
      </c>
      <c r="N1112" t="s">
        <v>46569</v>
      </c>
      <c r="O1112" t="s">
        <v>46570</v>
      </c>
      <c r="P1112">
        <v>0</v>
      </c>
      <c r="Q1112">
        <v>0</v>
      </c>
      <c r="R1112" t="s">
        <v>46571</v>
      </c>
      <c r="S1112" t="s">
        <v>46687</v>
      </c>
      <c r="T1112" t="s">
        <v>48226</v>
      </c>
      <c r="U1112" t="s">
        <v>49634</v>
      </c>
      <c r="W1112" t="s">
        <v>43105</v>
      </c>
      <c r="X1112" t="s">
        <v>46572</v>
      </c>
    </row>
    <row r="1113" spans="1:24">
      <c r="A1113">
        <f>HYPERLINK("https://www.philgeps.gov.ph/GEPSNONPILOT/Tender/SplashBidNoticeAbstractUI.aspx?menuIndex=3&amp;refID=7065321&amp;Result=3","7065321")</f>
        <v>0</v>
      </c>
      <c r="B1113" t="s">
        <v>269</v>
      </c>
      <c r="C1113" t="s">
        <v>4616</v>
      </c>
      <c r="D1113" t="s">
        <v>18831</v>
      </c>
      <c r="E1113" t="s">
        <v>19932</v>
      </c>
      <c r="F1113" t="s">
        <v>32664</v>
      </c>
      <c r="G1113" t="s">
        <v>32672</v>
      </c>
      <c r="H1113" t="s">
        <v>12635</v>
      </c>
      <c r="I1113" t="s">
        <v>7324</v>
      </c>
      <c r="J1113" t="s">
        <v>33009</v>
      </c>
      <c r="K1113" t="s">
        <v>42311</v>
      </c>
      <c r="M1113" t="s">
        <v>42834</v>
      </c>
      <c r="N1113" t="s">
        <v>46569</v>
      </c>
      <c r="O1113" t="s">
        <v>46570</v>
      </c>
      <c r="P1113">
        <v>0</v>
      </c>
      <c r="Q1113">
        <v>0</v>
      </c>
      <c r="R1113" t="s">
        <v>46571</v>
      </c>
      <c r="S1113" t="s">
        <v>46687</v>
      </c>
      <c r="T1113" t="s">
        <v>48318</v>
      </c>
      <c r="U1113" t="s">
        <v>49761</v>
      </c>
      <c r="W1113" t="s">
        <v>42834</v>
      </c>
      <c r="X1113" t="s">
        <v>46572</v>
      </c>
    </row>
    <row r="1114" spans="1:24">
      <c r="A1114">
        <f>HYPERLINK("https://www.philgeps.gov.ph/GEPSNONPILOT/Tender/SplashBidNoticeAbstractUI.aspx?menuIndex=3&amp;refID=7065320&amp;Result=3","7065320")</f>
        <v>0</v>
      </c>
      <c r="B1114" t="s">
        <v>384</v>
      </c>
      <c r="C1114" t="s">
        <v>4617</v>
      </c>
      <c r="D1114" t="s">
        <v>18781</v>
      </c>
      <c r="E1114" t="s">
        <v>19933</v>
      </c>
      <c r="F1114" t="s">
        <v>32664</v>
      </c>
      <c r="G1114" t="s">
        <v>32671</v>
      </c>
      <c r="H1114" t="s">
        <v>32681</v>
      </c>
      <c r="I1114" t="s">
        <v>32686</v>
      </c>
      <c r="J1114" t="s">
        <v>33665</v>
      </c>
      <c r="K1114" t="s">
        <v>42295</v>
      </c>
      <c r="M1114" t="s">
        <v>42954</v>
      </c>
      <c r="N1114" t="s">
        <v>46569</v>
      </c>
      <c r="O1114" t="s">
        <v>46570</v>
      </c>
      <c r="P1114">
        <v>0</v>
      </c>
      <c r="Q1114">
        <v>1</v>
      </c>
      <c r="R1114" t="s">
        <v>46571</v>
      </c>
      <c r="S1114" t="s">
        <v>46687</v>
      </c>
      <c r="T1114" t="s">
        <v>48221</v>
      </c>
      <c r="U1114" t="s">
        <v>49762</v>
      </c>
      <c r="W1114" t="s">
        <v>42954</v>
      </c>
      <c r="X1114" t="s">
        <v>46572</v>
      </c>
    </row>
    <row r="1115" spans="1:24">
      <c r="A1115">
        <f>HYPERLINK("https://www.philgeps.gov.ph/GEPSNONPILOT/Tender/SplashBidNoticeAbstractUI.aspx?menuIndex=3&amp;refID=7065293&amp;Result=3","7065293")</f>
        <v>0</v>
      </c>
      <c r="B1115" t="s">
        <v>546</v>
      </c>
      <c r="C1115" t="s">
        <v>4618</v>
      </c>
      <c r="E1115" t="s">
        <v>19934</v>
      </c>
      <c r="F1115" t="s">
        <v>32664</v>
      </c>
      <c r="G1115" t="s">
        <v>32672</v>
      </c>
      <c r="H1115" t="s">
        <v>32683</v>
      </c>
      <c r="I1115" t="s">
        <v>10627</v>
      </c>
      <c r="J1115" t="s">
        <v>33666</v>
      </c>
      <c r="K1115" t="s">
        <v>42283</v>
      </c>
      <c r="M1115" t="s">
        <v>43126</v>
      </c>
      <c r="N1115" t="s">
        <v>46569</v>
      </c>
      <c r="O1115" t="s">
        <v>46570</v>
      </c>
      <c r="P1115">
        <v>0</v>
      </c>
      <c r="Q1115">
        <v>0</v>
      </c>
      <c r="R1115" t="s">
        <v>46571</v>
      </c>
      <c r="S1115" t="s">
        <v>46687</v>
      </c>
      <c r="T1115" t="s">
        <v>48297</v>
      </c>
      <c r="U1115" t="s">
        <v>49424</v>
      </c>
      <c r="W1115" t="s">
        <v>43126</v>
      </c>
      <c r="X1115" t="s">
        <v>46572</v>
      </c>
    </row>
    <row r="1116" spans="1:24">
      <c r="A1116">
        <f>HYPERLINK("https://www.philgeps.gov.ph/GEPSNONPILOT/Tender/SplashBidNoticeAbstractUI.aspx?menuIndex=3&amp;refID=7065613&amp;Result=3","7065613")</f>
        <v>0</v>
      </c>
      <c r="B1116" t="s">
        <v>547</v>
      </c>
      <c r="C1116" t="s">
        <v>4619</v>
      </c>
      <c r="D1116" t="s">
        <v>18823</v>
      </c>
      <c r="E1116" t="s">
        <v>19935</v>
      </c>
      <c r="F1116" t="s">
        <v>32664</v>
      </c>
      <c r="G1116" t="s">
        <v>32674</v>
      </c>
      <c r="H1116" t="s">
        <v>12635</v>
      </c>
      <c r="I1116" t="s">
        <v>8730</v>
      </c>
      <c r="J1116" t="s">
        <v>33667</v>
      </c>
      <c r="K1116" t="s">
        <v>42297</v>
      </c>
      <c r="M1116" t="s">
        <v>43127</v>
      </c>
      <c r="N1116" t="s">
        <v>46569</v>
      </c>
      <c r="O1116" t="s">
        <v>46570</v>
      </c>
      <c r="P1116">
        <v>0</v>
      </c>
      <c r="Q1116">
        <v>0</v>
      </c>
      <c r="R1116" t="s">
        <v>46571</v>
      </c>
      <c r="S1116" t="s">
        <v>46687</v>
      </c>
      <c r="T1116" t="s">
        <v>48244</v>
      </c>
      <c r="U1116" t="s">
        <v>49763</v>
      </c>
      <c r="W1116" t="s">
        <v>43127</v>
      </c>
      <c r="X1116" t="s">
        <v>46572</v>
      </c>
    </row>
    <row r="1117" spans="1:24">
      <c r="A1117">
        <f>HYPERLINK("https://www.philgeps.gov.ph/GEPSNONPILOT/Tender/SplashBidNoticeAbstractUI.aspx?menuIndex=3&amp;refID=7065273&amp;Result=3","7065273")</f>
        <v>0</v>
      </c>
      <c r="B1117" t="s">
        <v>548</v>
      </c>
      <c r="C1117" t="s">
        <v>4620</v>
      </c>
      <c r="D1117" t="s">
        <v>18787</v>
      </c>
      <c r="E1117" t="s">
        <v>19936</v>
      </c>
      <c r="F1117" t="s">
        <v>32664</v>
      </c>
      <c r="G1117" t="s">
        <v>32671</v>
      </c>
      <c r="H1117" t="s">
        <v>12635</v>
      </c>
      <c r="I1117" t="s">
        <v>32750</v>
      </c>
      <c r="J1117" t="s">
        <v>33425</v>
      </c>
      <c r="K1117" t="s">
        <v>42281</v>
      </c>
      <c r="M1117" t="s">
        <v>43128</v>
      </c>
      <c r="N1117" t="s">
        <v>46569</v>
      </c>
      <c r="O1117" t="s">
        <v>46570</v>
      </c>
      <c r="P1117">
        <v>0</v>
      </c>
      <c r="Q1117">
        <v>0</v>
      </c>
      <c r="R1117" t="s">
        <v>46571</v>
      </c>
      <c r="S1117" t="s">
        <v>46687</v>
      </c>
      <c r="T1117" t="s">
        <v>48356</v>
      </c>
      <c r="U1117" t="s">
        <v>49764</v>
      </c>
      <c r="W1117" t="s">
        <v>43128</v>
      </c>
      <c r="X1117" t="s">
        <v>46572</v>
      </c>
    </row>
    <row r="1118" spans="1:24">
      <c r="A1118">
        <f>HYPERLINK("https://www.philgeps.gov.ph/GEPSNONPILOT/Tender/SplashBidNoticeAbstractUI.aspx?menuIndex=3&amp;refID=7065294&amp;Result=3","7065294")</f>
        <v>0</v>
      </c>
      <c r="B1118" t="s">
        <v>179</v>
      </c>
      <c r="C1118" t="s">
        <v>4621</v>
      </c>
      <c r="D1118" t="s">
        <v>18830</v>
      </c>
      <c r="E1118" t="s">
        <v>19937</v>
      </c>
      <c r="F1118" t="s">
        <v>32664</v>
      </c>
      <c r="G1118" t="s">
        <v>32671</v>
      </c>
      <c r="H1118" t="s">
        <v>12635</v>
      </c>
      <c r="I1118" t="s">
        <v>32699</v>
      </c>
      <c r="J1118" t="s">
        <v>33668</v>
      </c>
      <c r="K1118" t="s">
        <v>42330</v>
      </c>
      <c r="M1118" t="s">
        <v>42743</v>
      </c>
      <c r="N1118" t="s">
        <v>46569</v>
      </c>
      <c r="O1118" t="s">
        <v>46570</v>
      </c>
      <c r="P1118">
        <v>0</v>
      </c>
      <c r="Q1118">
        <v>0</v>
      </c>
      <c r="R1118" t="s">
        <v>46571</v>
      </c>
      <c r="S1118" t="s">
        <v>46687</v>
      </c>
      <c r="T1118" t="s">
        <v>48301</v>
      </c>
      <c r="U1118" t="s">
        <v>49765</v>
      </c>
      <c r="V1118" t="s">
        <v>61664</v>
      </c>
      <c r="W1118" t="s">
        <v>63466</v>
      </c>
      <c r="X1118" t="s">
        <v>46572</v>
      </c>
    </row>
    <row r="1119" spans="1:24">
      <c r="A1119">
        <f>HYPERLINK("https://www.philgeps.gov.ph/GEPSNONPILOT/Tender/SplashBidNoticeAbstractUI.aspx?menuIndex=3&amp;refID=7065270&amp;Result=3","7065270")</f>
        <v>0</v>
      </c>
      <c r="B1119" t="s">
        <v>339</v>
      </c>
      <c r="C1119" t="s">
        <v>4622</v>
      </c>
      <c r="E1119" t="s">
        <v>19938</v>
      </c>
      <c r="F1119" t="s">
        <v>32664</v>
      </c>
      <c r="G1119" t="s">
        <v>32674</v>
      </c>
      <c r="H1119" t="s">
        <v>12635</v>
      </c>
      <c r="I1119" t="s">
        <v>11464</v>
      </c>
      <c r="J1119" t="s">
        <v>33069</v>
      </c>
      <c r="K1119" t="s">
        <v>42297</v>
      </c>
      <c r="M1119" t="s">
        <v>42907</v>
      </c>
      <c r="N1119" t="s">
        <v>46569</v>
      </c>
      <c r="O1119" t="s">
        <v>46570</v>
      </c>
      <c r="P1119">
        <v>0</v>
      </c>
      <c r="Q1119">
        <v>0</v>
      </c>
      <c r="R1119" t="s">
        <v>46571</v>
      </c>
      <c r="S1119" t="s">
        <v>46687</v>
      </c>
      <c r="T1119" t="s">
        <v>48221</v>
      </c>
      <c r="U1119" t="s">
        <v>49766</v>
      </c>
      <c r="V1119" t="s">
        <v>61752</v>
      </c>
      <c r="W1119" t="s">
        <v>42907</v>
      </c>
      <c r="X1119" t="s">
        <v>46572</v>
      </c>
    </row>
    <row r="1120" spans="1:24">
      <c r="A1120">
        <f>HYPERLINK("https://www.philgeps.gov.ph/GEPSNONPILOT/Tender/SplashBidNoticeAbstractUI.aspx?menuIndex=3&amp;refID=7065349&amp;Result=3","7065349")</f>
        <v>0</v>
      </c>
      <c r="B1120" t="s">
        <v>549</v>
      </c>
      <c r="C1120" t="s">
        <v>4623</v>
      </c>
      <c r="D1120" t="s">
        <v>18781</v>
      </c>
      <c r="E1120" t="s">
        <v>19939</v>
      </c>
      <c r="F1120" t="s">
        <v>32664</v>
      </c>
      <c r="G1120" t="s">
        <v>32671</v>
      </c>
      <c r="H1120" t="s">
        <v>12635</v>
      </c>
      <c r="I1120" t="s">
        <v>9486</v>
      </c>
      <c r="J1120" t="s">
        <v>33669</v>
      </c>
      <c r="K1120" t="s">
        <v>42283</v>
      </c>
      <c r="M1120" t="s">
        <v>43129</v>
      </c>
      <c r="N1120" t="s">
        <v>46569</v>
      </c>
      <c r="O1120" t="s">
        <v>46570</v>
      </c>
      <c r="P1120">
        <v>0</v>
      </c>
      <c r="Q1120">
        <v>2</v>
      </c>
      <c r="R1120" t="s">
        <v>46571</v>
      </c>
      <c r="S1120" t="s">
        <v>46687</v>
      </c>
      <c r="T1120" t="s">
        <v>48356</v>
      </c>
      <c r="U1120" t="s">
        <v>49767</v>
      </c>
      <c r="W1120" t="s">
        <v>43129</v>
      </c>
      <c r="X1120" t="s">
        <v>46572</v>
      </c>
    </row>
    <row r="1121" spans="1:24">
      <c r="A1121">
        <f>HYPERLINK("https://www.philgeps.gov.ph/GEPSNONPILOT/Tender/SplashBidNoticeAbstractUI.aspx?menuIndex=3&amp;refID=7065269&amp;Result=3","7065269")</f>
        <v>0</v>
      </c>
      <c r="B1121" t="s">
        <v>306</v>
      </c>
      <c r="C1121" t="s">
        <v>4624</v>
      </c>
      <c r="D1121" t="s">
        <v>18829</v>
      </c>
      <c r="E1121" t="s">
        <v>19940</v>
      </c>
      <c r="F1121" t="s">
        <v>32664</v>
      </c>
      <c r="G1121" t="s">
        <v>32672</v>
      </c>
      <c r="H1121" t="s">
        <v>32683</v>
      </c>
      <c r="I1121" t="s">
        <v>10627</v>
      </c>
      <c r="J1121" t="s">
        <v>32865</v>
      </c>
      <c r="K1121" t="s">
        <v>42310</v>
      </c>
      <c r="M1121" t="s">
        <v>42873</v>
      </c>
      <c r="N1121" t="s">
        <v>46569</v>
      </c>
      <c r="O1121" t="s">
        <v>46570</v>
      </c>
      <c r="P1121">
        <v>0</v>
      </c>
      <c r="Q1121">
        <v>0</v>
      </c>
      <c r="R1121" t="s">
        <v>46571</v>
      </c>
      <c r="S1121" t="s">
        <v>46687</v>
      </c>
      <c r="T1121" t="s">
        <v>48273</v>
      </c>
      <c r="U1121" t="s">
        <v>49768</v>
      </c>
      <c r="V1121" t="s">
        <v>61692</v>
      </c>
      <c r="W1121" t="s">
        <v>42873</v>
      </c>
      <c r="X1121" t="s">
        <v>46572</v>
      </c>
    </row>
    <row r="1122" spans="1:24">
      <c r="A1122">
        <f>HYPERLINK("https://www.philgeps.gov.ph/GEPSNONPILOT/Tender/SplashBidNoticeAbstractUI.aspx?menuIndex=3&amp;refID=7065265&amp;Result=3","7065265")</f>
        <v>0</v>
      </c>
      <c r="B1122" t="s">
        <v>550</v>
      </c>
      <c r="C1122" t="s">
        <v>4625</v>
      </c>
      <c r="D1122" t="s">
        <v>18792</v>
      </c>
      <c r="E1122" t="s">
        <v>19941</v>
      </c>
      <c r="F1122" t="s">
        <v>32664</v>
      </c>
      <c r="G1122" t="s">
        <v>32671</v>
      </c>
      <c r="H1122" t="s">
        <v>12635</v>
      </c>
      <c r="I1122" t="s">
        <v>32754</v>
      </c>
      <c r="J1122" t="s">
        <v>32984</v>
      </c>
      <c r="K1122" t="s">
        <v>42281</v>
      </c>
      <c r="M1122" t="s">
        <v>43130</v>
      </c>
      <c r="N1122" t="s">
        <v>46569</v>
      </c>
      <c r="O1122" t="s">
        <v>46570</v>
      </c>
      <c r="P1122">
        <v>0</v>
      </c>
      <c r="Q1122">
        <v>0</v>
      </c>
      <c r="R1122" t="s">
        <v>46571</v>
      </c>
      <c r="S1122" t="s">
        <v>46687</v>
      </c>
      <c r="T1122" t="s">
        <v>48229</v>
      </c>
      <c r="U1122" t="s">
        <v>49769</v>
      </c>
      <c r="W1122" t="s">
        <v>43130</v>
      </c>
      <c r="X1122" t="s">
        <v>46572</v>
      </c>
    </row>
    <row r="1123" spans="1:24">
      <c r="A1123">
        <f>HYPERLINK("https://www.philgeps.gov.ph/GEPSNONPILOT/Tender/SplashBidNoticeAbstractUI.aspx?menuIndex=3&amp;refID=7065324&amp;Result=3","7065324")</f>
        <v>0</v>
      </c>
      <c r="B1123" t="s">
        <v>254</v>
      </c>
      <c r="C1123" t="s">
        <v>4626</v>
      </c>
      <c r="D1123" t="s">
        <v>18843</v>
      </c>
      <c r="E1123" t="s">
        <v>19942</v>
      </c>
      <c r="F1123" t="s">
        <v>32664</v>
      </c>
      <c r="G1123" t="s">
        <v>32671</v>
      </c>
      <c r="H1123" t="s">
        <v>12635</v>
      </c>
      <c r="I1123" t="s">
        <v>10590</v>
      </c>
      <c r="J1123" t="s">
        <v>33015</v>
      </c>
      <c r="K1123" t="s">
        <v>42281</v>
      </c>
      <c r="M1123" t="s">
        <v>42819</v>
      </c>
      <c r="N1123" t="s">
        <v>46569</v>
      </c>
      <c r="O1123" t="s">
        <v>46570</v>
      </c>
      <c r="P1123">
        <v>0</v>
      </c>
      <c r="Q1123">
        <v>0</v>
      </c>
      <c r="R1123" t="s">
        <v>46571</v>
      </c>
      <c r="S1123" t="s">
        <v>46687</v>
      </c>
      <c r="T1123" t="s">
        <v>48315</v>
      </c>
      <c r="U1123" t="s">
        <v>49770</v>
      </c>
      <c r="W1123" t="s">
        <v>63469</v>
      </c>
      <c r="X1123" t="s">
        <v>46572</v>
      </c>
    </row>
    <row r="1124" spans="1:24">
      <c r="A1124">
        <f>HYPERLINK("https://www.philgeps.gov.ph/GEPSNONPILOT/Tender/SplashBidNoticeAbstractUI.aspx?menuIndex=3&amp;refID=7065217&amp;Result=3","7065217")</f>
        <v>0</v>
      </c>
      <c r="B1124" t="s">
        <v>369</v>
      </c>
      <c r="C1124" t="s">
        <v>4627</v>
      </c>
      <c r="D1124" t="s">
        <v>18816</v>
      </c>
      <c r="E1124" t="s">
        <v>19943</v>
      </c>
      <c r="F1124" t="s">
        <v>32664</v>
      </c>
      <c r="G1124" t="s">
        <v>32672</v>
      </c>
      <c r="H1124" t="s">
        <v>32683</v>
      </c>
      <c r="I1124" t="s">
        <v>4439</v>
      </c>
      <c r="J1124" t="s">
        <v>33670</v>
      </c>
      <c r="K1124" t="s">
        <v>42290</v>
      </c>
      <c r="M1124" t="s">
        <v>42938</v>
      </c>
      <c r="N1124" t="s">
        <v>46569</v>
      </c>
      <c r="O1124" t="s">
        <v>46570</v>
      </c>
      <c r="P1124">
        <v>0</v>
      </c>
      <c r="Q1124">
        <v>0</v>
      </c>
      <c r="R1124" t="s">
        <v>46571</v>
      </c>
      <c r="S1124" t="s">
        <v>46687</v>
      </c>
      <c r="T1124" t="s">
        <v>48257</v>
      </c>
      <c r="U1124" t="s">
        <v>49771</v>
      </c>
      <c r="W1124" t="s">
        <v>42938</v>
      </c>
      <c r="X1124" t="s">
        <v>46572</v>
      </c>
    </row>
    <row r="1125" spans="1:24">
      <c r="A1125">
        <f>HYPERLINK("https://www.philgeps.gov.ph/GEPSNONPILOT/Tender/SplashBidNoticeAbstractUI.aspx?menuIndex=3&amp;refID=7065448&amp;Result=3","7065448")</f>
        <v>0</v>
      </c>
      <c r="B1125" t="s">
        <v>183</v>
      </c>
      <c r="C1125" t="s">
        <v>4628</v>
      </c>
      <c r="D1125" t="s">
        <v>18806</v>
      </c>
      <c r="E1125" t="s">
        <v>19944</v>
      </c>
      <c r="F1125" t="s">
        <v>32664</v>
      </c>
      <c r="G1125" t="s">
        <v>32671</v>
      </c>
      <c r="H1125" t="s">
        <v>12635</v>
      </c>
      <c r="I1125" t="s">
        <v>32691</v>
      </c>
      <c r="J1125" t="s">
        <v>32974</v>
      </c>
      <c r="K1125" t="s">
        <v>42283</v>
      </c>
      <c r="M1125" t="s">
        <v>42747</v>
      </c>
      <c r="N1125" t="s">
        <v>46569</v>
      </c>
      <c r="O1125" t="s">
        <v>46570</v>
      </c>
      <c r="P1125">
        <v>0</v>
      </c>
      <c r="Q1125">
        <v>0</v>
      </c>
      <c r="R1125" t="s">
        <v>46571</v>
      </c>
      <c r="S1125" t="s">
        <v>46687</v>
      </c>
      <c r="T1125" t="s">
        <v>48293</v>
      </c>
      <c r="U1125" t="s">
        <v>49772</v>
      </c>
      <c r="W1125" t="s">
        <v>42747</v>
      </c>
      <c r="X1125" t="s">
        <v>46572</v>
      </c>
    </row>
    <row r="1126" spans="1:24">
      <c r="A1126">
        <f>HYPERLINK("https://www.philgeps.gov.ph/GEPSNONPILOT/Tender/SplashBidNoticeAbstractUI.aspx?menuIndex=3&amp;refID=7065216&amp;Result=3","7065216")</f>
        <v>0</v>
      </c>
      <c r="B1126" t="s">
        <v>551</v>
      </c>
      <c r="C1126" t="s">
        <v>4629</v>
      </c>
      <c r="D1126" t="s">
        <v>18795</v>
      </c>
      <c r="E1126" t="s">
        <v>19945</v>
      </c>
      <c r="F1126" t="s">
        <v>32664</v>
      </c>
      <c r="G1126" t="s">
        <v>32674</v>
      </c>
      <c r="H1126" t="s">
        <v>12635</v>
      </c>
      <c r="I1126" t="s">
        <v>14442</v>
      </c>
      <c r="J1126" t="s">
        <v>32976</v>
      </c>
      <c r="K1126" t="s">
        <v>42284</v>
      </c>
      <c r="M1126" t="s">
        <v>43131</v>
      </c>
      <c r="N1126" t="s">
        <v>46569</v>
      </c>
      <c r="O1126" t="s">
        <v>46570</v>
      </c>
      <c r="P1126">
        <v>0</v>
      </c>
      <c r="Q1126">
        <v>2</v>
      </c>
      <c r="R1126" t="s">
        <v>46571</v>
      </c>
      <c r="S1126" t="s">
        <v>46687</v>
      </c>
      <c r="T1126" t="s">
        <v>48303</v>
      </c>
      <c r="U1126" t="s">
        <v>49773</v>
      </c>
      <c r="W1126" t="s">
        <v>43131</v>
      </c>
      <c r="X1126" t="s">
        <v>46572</v>
      </c>
    </row>
    <row r="1127" spans="1:24">
      <c r="A1127">
        <f>HYPERLINK("https://www.philgeps.gov.ph/GEPSNONPILOT/Tender/SplashBidNoticeAbstractUI.aspx?menuIndex=3&amp;refID=7065213&amp;Result=3","7065213")</f>
        <v>0</v>
      </c>
      <c r="B1127" t="s">
        <v>301</v>
      </c>
      <c r="C1127" t="s">
        <v>4630</v>
      </c>
      <c r="D1127" t="s">
        <v>18830</v>
      </c>
      <c r="E1127" t="s">
        <v>19946</v>
      </c>
      <c r="F1127" t="s">
        <v>32664</v>
      </c>
      <c r="G1127" t="s">
        <v>32671</v>
      </c>
      <c r="H1127" t="s">
        <v>12635</v>
      </c>
      <c r="I1127" t="s">
        <v>32755</v>
      </c>
      <c r="J1127" t="s">
        <v>32984</v>
      </c>
      <c r="K1127" t="s">
        <v>42284</v>
      </c>
      <c r="M1127" t="s">
        <v>42868</v>
      </c>
      <c r="N1127" t="s">
        <v>46569</v>
      </c>
      <c r="O1127" t="s">
        <v>46570</v>
      </c>
      <c r="P1127">
        <v>0</v>
      </c>
      <c r="Q1127">
        <v>0</v>
      </c>
      <c r="R1127" t="s">
        <v>46571</v>
      </c>
      <c r="S1127" t="s">
        <v>46687</v>
      </c>
      <c r="T1127" t="s">
        <v>48221</v>
      </c>
      <c r="U1127" t="s">
        <v>49774</v>
      </c>
      <c r="W1127" t="s">
        <v>42868</v>
      </c>
      <c r="X1127" t="s">
        <v>46572</v>
      </c>
    </row>
    <row r="1128" spans="1:24">
      <c r="A1128">
        <f>HYPERLINK("https://www.philgeps.gov.ph/GEPSNONPILOT/Tender/SplashBidNoticeAbstractUI.aspx?menuIndex=3&amp;refID=7065268&amp;Result=3","7065268")</f>
        <v>0</v>
      </c>
      <c r="B1128" t="s">
        <v>393</v>
      </c>
      <c r="C1128" t="s">
        <v>4631</v>
      </c>
      <c r="D1128" t="s">
        <v>18853</v>
      </c>
      <c r="E1128" t="s">
        <v>19947</v>
      </c>
      <c r="F1128" t="s">
        <v>32664</v>
      </c>
      <c r="G1128" t="s">
        <v>32672</v>
      </c>
      <c r="H1128" t="s">
        <v>32683</v>
      </c>
      <c r="I1128" t="s">
        <v>10627</v>
      </c>
      <c r="J1128" t="s">
        <v>33671</v>
      </c>
      <c r="K1128" t="s">
        <v>42350</v>
      </c>
      <c r="L1128" t="s">
        <v>393</v>
      </c>
      <c r="M1128" t="s">
        <v>42963</v>
      </c>
      <c r="N1128" t="s">
        <v>46569</v>
      </c>
      <c r="O1128" t="s">
        <v>46570</v>
      </c>
      <c r="P1128">
        <v>0</v>
      </c>
      <c r="Q1128">
        <v>0</v>
      </c>
      <c r="R1128" t="s">
        <v>46571</v>
      </c>
      <c r="S1128" t="s">
        <v>46687</v>
      </c>
      <c r="T1128" t="s">
        <v>48220</v>
      </c>
      <c r="U1128" t="s">
        <v>49775</v>
      </c>
      <c r="V1128" t="s">
        <v>61753</v>
      </c>
      <c r="W1128" t="s">
        <v>42963</v>
      </c>
      <c r="X1128" t="s">
        <v>46572</v>
      </c>
    </row>
    <row r="1129" spans="1:24">
      <c r="A1129">
        <f>HYPERLINK("https://www.philgeps.gov.ph/GEPSNONPILOT/Tender/SplashBidNoticeAbstractUI.aspx?menuIndex=3&amp;refID=7065264&amp;Result=3","7065264")</f>
        <v>0</v>
      </c>
      <c r="B1129" t="s">
        <v>552</v>
      </c>
      <c r="C1129" t="s">
        <v>4632</v>
      </c>
      <c r="D1129" t="s">
        <v>18793</v>
      </c>
      <c r="E1129" t="s">
        <v>19948</v>
      </c>
      <c r="F1129" t="s">
        <v>32664</v>
      </c>
      <c r="G1129" t="s">
        <v>32672</v>
      </c>
      <c r="H1129" t="s">
        <v>32683</v>
      </c>
      <c r="I1129" t="s">
        <v>10627</v>
      </c>
      <c r="J1129" t="s">
        <v>32898</v>
      </c>
      <c r="K1129" t="s">
        <v>42289</v>
      </c>
      <c r="M1129" t="s">
        <v>43132</v>
      </c>
      <c r="N1129" t="s">
        <v>46569</v>
      </c>
      <c r="O1129" t="s">
        <v>46570</v>
      </c>
      <c r="P1129">
        <v>0</v>
      </c>
      <c r="Q1129">
        <v>0</v>
      </c>
      <c r="R1129" t="s">
        <v>46571</v>
      </c>
      <c r="S1129" t="s">
        <v>46687</v>
      </c>
      <c r="T1129" t="s">
        <v>48274</v>
      </c>
      <c r="U1129" t="s">
        <v>49776</v>
      </c>
      <c r="W1129" t="s">
        <v>43132</v>
      </c>
      <c r="X1129" t="s">
        <v>46572</v>
      </c>
    </row>
    <row r="1130" spans="1:24">
      <c r="A1130">
        <f>HYPERLINK("https://www.philgeps.gov.ph/GEPSNONPILOT/Tender/SplashBidNoticeAbstractUI.aspx?menuIndex=3&amp;refID=7065211&amp;Result=3","7065211")</f>
        <v>0</v>
      </c>
      <c r="B1130" t="s">
        <v>334</v>
      </c>
      <c r="C1130" t="s">
        <v>4197</v>
      </c>
      <c r="D1130" t="s">
        <v>18844</v>
      </c>
      <c r="E1130" t="s">
        <v>19949</v>
      </c>
      <c r="F1130" t="s">
        <v>32664</v>
      </c>
      <c r="G1130" t="s">
        <v>32671</v>
      </c>
      <c r="H1130" t="s">
        <v>12635</v>
      </c>
      <c r="I1130" t="s">
        <v>32704</v>
      </c>
      <c r="J1130" t="s">
        <v>33672</v>
      </c>
      <c r="K1130" t="s">
        <v>42283</v>
      </c>
      <c r="M1130" t="s">
        <v>42902</v>
      </c>
      <c r="N1130" t="s">
        <v>46569</v>
      </c>
      <c r="O1130" t="s">
        <v>46570</v>
      </c>
      <c r="P1130">
        <v>0</v>
      </c>
      <c r="Q1130">
        <v>11</v>
      </c>
      <c r="R1130" t="s">
        <v>46571</v>
      </c>
      <c r="S1130" t="s">
        <v>46687</v>
      </c>
      <c r="T1130" t="s">
        <v>48217</v>
      </c>
      <c r="U1130" t="s">
        <v>49391</v>
      </c>
      <c r="W1130" t="s">
        <v>42902</v>
      </c>
      <c r="X1130" t="s">
        <v>46572</v>
      </c>
    </row>
    <row r="1131" spans="1:24">
      <c r="A1131">
        <f>HYPERLINK("https://www.philgeps.gov.ph/GEPSNONPILOT/Tender/SplashBidNoticeAbstractUI.aspx?menuIndex=3&amp;refID=7065237&amp;Result=3","7065237")</f>
        <v>0</v>
      </c>
      <c r="B1131" t="s">
        <v>553</v>
      </c>
      <c r="C1131" t="s">
        <v>4633</v>
      </c>
      <c r="D1131" t="s">
        <v>18828</v>
      </c>
      <c r="E1131" t="s">
        <v>19950</v>
      </c>
      <c r="F1131" t="s">
        <v>32664</v>
      </c>
      <c r="G1131" t="s">
        <v>32672</v>
      </c>
      <c r="H1131" t="s">
        <v>32683</v>
      </c>
      <c r="I1131" t="s">
        <v>10627</v>
      </c>
      <c r="J1131" t="s">
        <v>33673</v>
      </c>
      <c r="K1131" t="s">
        <v>42283</v>
      </c>
      <c r="M1131" t="s">
        <v>43133</v>
      </c>
      <c r="N1131" t="s">
        <v>46569</v>
      </c>
      <c r="O1131" t="s">
        <v>46570</v>
      </c>
      <c r="P1131">
        <v>0</v>
      </c>
      <c r="Q1131">
        <v>0</v>
      </c>
      <c r="R1131" t="s">
        <v>46571</v>
      </c>
      <c r="S1131" t="s">
        <v>46687</v>
      </c>
      <c r="T1131" t="s">
        <v>48257</v>
      </c>
      <c r="U1131" t="s">
        <v>49777</v>
      </c>
      <c r="W1131" t="s">
        <v>63482</v>
      </c>
      <c r="X1131" t="s">
        <v>46572</v>
      </c>
    </row>
    <row r="1132" spans="1:24">
      <c r="A1132">
        <f>HYPERLINK("https://www.philgeps.gov.ph/GEPSNONPILOT/Tender/SplashBidNoticeAbstractUI.aspx?menuIndex=3&amp;refID=7065193&amp;Result=3","7065193")</f>
        <v>0</v>
      </c>
      <c r="B1132" t="s">
        <v>301</v>
      </c>
      <c r="C1132" t="s">
        <v>4111</v>
      </c>
      <c r="D1132" t="s">
        <v>18830</v>
      </c>
      <c r="E1132" t="s">
        <v>19951</v>
      </c>
      <c r="F1132" t="s">
        <v>32664</v>
      </c>
      <c r="G1132" t="s">
        <v>32671</v>
      </c>
      <c r="H1132" t="s">
        <v>12635</v>
      </c>
      <c r="I1132" t="s">
        <v>4439</v>
      </c>
      <c r="J1132" t="s">
        <v>33674</v>
      </c>
      <c r="K1132" t="s">
        <v>42284</v>
      </c>
      <c r="M1132" t="s">
        <v>42868</v>
      </c>
      <c r="N1132" t="s">
        <v>46569</v>
      </c>
      <c r="O1132" t="s">
        <v>46570</v>
      </c>
      <c r="P1132">
        <v>0</v>
      </c>
      <c r="Q1132">
        <v>0</v>
      </c>
      <c r="R1132" t="s">
        <v>46571</v>
      </c>
      <c r="S1132" t="s">
        <v>46687</v>
      </c>
      <c r="T1132" t="s">
        <v>48221</v>
      </c>
      <c r="U1132" t="s">
        <v>49778</v>
      </c>
      <c r="W1132" t="s">
        <v>42868</v>
      </c>
      <c r="X1132" t="s">
        <v>46572</v>
      </c>
    </row>
    <row r="1133" spans="1:24">
      <c r="A1133">
        <f>HYPERLINK("https://www.philgeps.gov.ph/GEPSNONPILOT/Tender/SplashBidNoticeAbstractUI.aspx?menuIndex=3&amp;refID=7065724&amp;Result=3","7065724")</f>
        <v>0</v>
      </c>
      <c r="B1133" t="s">
        <v>554</v>
      </c>
      <c r="C1133" t="s">
        <v>4634</v>
      </c>
      <c r="D1133" t="s">
        <v>18789</v>
      </c>
      <c r="E1133" t="s">
        <v>19952</v>
      </c>
      <c r="F1133" t="s">
        <v>32664</v>
      </c>
      <c r="G1133" t="s">
        <v>32671</v>
      </c>
      <c r="H1133" t="s">
        <v>12635</v>
      </c>
      <c r="I1133" t="s">
        <v>10361</v>
      </c>
      <c r="J1133" t="s">
        <v>33415</v>
      </c>
      <c r="K1133" t="s">
        <v>42309</v>
      </c>
      <c r="M1133" t="s">
        <v>43134</v>
      </c>
      <c r="N1133" t="s">
        <v>46569</v>
      </c>
      <c r="O1133" t="s">
        <v>46570</v>
      </c>
      <c r="P1133">
        <v>0</v>
      </c>
      <c r="Q1133">
        <v>0</v>
      </c>
      <c r="R1133" t="s">
        <v>46571</v>
      </c>
      <c r="S1133" t="s">
        <v>46687</v>
      </c>
      <c r="T1133" t="s">
        <v>48246</v>
      </c>
      <c r="U1133" t="s">
        <v>49779</v>
      </c>
      <c r="W1133" t="s">
        <v>43134</v>
      </c>
      <c r="X1133" t="s">
        <v>46572</v>
      </c>
    </row>
    <row r="1134" spans="1:24">
      <c r="A1134">
        <f>HYPERLINK("https://www.philgeps.gov.ph/GEPSNONPILOT/Tender/SplashBidNoticeAbstractUI.aspx?menuIndex=3&amp;refID=7065194&amp;Result=3","7065194")</f>
        <v>0</v>
      </c>
      <c r="B1134" t="s">
        <v>419</v>
      </c>
      <c r="C1134" t="s">
        <v>4635</v>
      </c>
      <c r="D1134" t="s">
        <v>18784</v>
      </c>
      <c r="E1134" t="s">
        <v>19953</v>
      </c>
      <c r="F1134" t="s">
        <v>32664</v>
      </c>
      <c r="G1134" t="s">
        <v>32674</v>
      </c>
      <c r="H1134" t="s">
        <v>12635</v>
      </c>
      <c r="I1134" t="s">
        <v>6168</v>
      </c>
      <c r="J1134" t="s">
        <v>33675</v>
      </c>
      <c r="K1134" t="s">
        <v>42283</v>
      </c>
      <c r="M1134" t="s">
        <v>42990</v>
      </c>
      <c r="N1134" t="s">
        <v>46569</v>
      </c>
      <c r="O1134" t="s">
        <v>46570</v>
      </c>
      <c r="P1134">
        <v>0</v>
      </c>
      <c r="Q1134">
        <v>2</v>
      </c>
      <c r="R1134" t="s">
        <v>46571</v>
      </c>
      <c r="S1134" t="s">
        <v>46687</v>
      </c>
      <c r="T1134" t="s">
        <v>48251</v>
      </c>
      <c r="U1134" t="s">
        <v>49780</v>
      </c>
      <c r="W1134" t="s">
        <v>42990</v>
      </c>
      <c r="X1134" t="s">
        <v>46572</v>
      </c>
    </row>
    <row r="1135" spans="1:24">
      <c r="A1135">
        <f>HYPERLINK("https://www.philgeps.gov.ph/GEPSNONPILOT/Tender/SplashBidNoticeAbstractUI.aspx?menuIndex=3&amp;refID=7065192&amp;Result=3","7065192")</f>
        <v>0</v>
      </c>
      <c r="B1135" t="s">
        <v>555</v>
      </c>
      <c r="C1135" t="s">
        <v>4636</v>
      </c>
      <c r="D1135" t="s">
        <v>18841</v>
      </c>
      <c r="E1135" t="s">
        <v>19954</v>
      </c>
      <c r="F1135" t="s">
        <v>32664</v>
      </c>
      <c r="G1135" t="s">
        <v>32671</v>
      </c>
      <c r="H1135" t="s">
        <v>12635</v>
      </c>
      <c r="I1135" t="s">
        <v>9486</v>
      </c>
      <c r="J1135" t="s">
        <v>33676</v>
      </c>
      <c r="K1135" t="s">
        <v>42289</v>
      </c>
      <c r="M1135" t="s">
        <v>43135</v>
      </c>
      <c r="N1135" t="s">
        <v>46569</v>
      </c>
      <c r="O1135" t="s">
        <v>46570</v>
      </c>
      <c r="P1135">
        <v>0</v>
      </c>
      <c r="Q1135">
        <v>0</v>
      </c>
      <c r="R1135" t="s">
        <v>46571</v>
      </c>
      <c r="S1135" t="s">
        <v>46687</v>
      </c>
      <c r="T1135" t="s">
        <v>48282</v>
      </c>
      <c r="U1135" t="s">
        <v>49781</v>
      </c>
      <c r="W1135" t="s">
        <v>43135</v>
      </c>
      <c r="X1135" t="s">
        <v>46572</v>
      </c>
    </row>
    <row r="1136" spans="1:24">
      <c r="A1136">
        <f>HYPERLINK("https://www.philgeps.gov.ph/GEPSNONPILOT/Tender/SplashBidNoticeAbstractUI.aspx?menuIndex=3&amp;refID=7065187&amp;Result=3","7065187")</f>
        <v>0</v>
      </c>
      <c r="B1136" t="s">
        <v>365</v>
      </c>
      <c r="C1136" t="s">
        <v>4637</v>
      </c>
      <c r="D1136" t="s">
        <v>18816</v>
      </c>
      <c r="E1136" t="s">
        <v>19955</v>
      </c>
      <c r="F1136" t="s">
        <v>32664</v>
      </c>
      <c r="G1136" t="s">
        <v>32672</v>
      </c>
      <c r="H1136" t="s">
        <v>32683</v>
      </c>
      <c r="I1136" t="s">
        <v>10627</v>
      </c>
      <c r="J1136" t="s">
        <v>33677</v>
      </c>
      <c r="K1136" t="s">
        <v>42311</v>
      </c>
      <c r="M1136" t="s">
        <v>42934</v>
      </c>
      <c r="N1136" t="s">
        <v>46569</v>
      </c>
      <c r="O1136" t="s">
        <v>46570</v>
      </c>
      <c r="P1136">
        <v>0</v>
      </c>
      <c r="Q1136">
        <v>0</v>
      </c>
      <c r="R1136" t="s">
        <v>46571</v>
      </c>
      <c r="S1136" t="s">
        <v>46687</v>
      </c>
      <c r="T1136" t="s">
        <v>48369</v>
      </c>
      <c r="U1136" t="s">
        <v>49782</v>
      </c>
      <c r="V1136" t="s">
        <v>61754</v>
      </c>
      <c r="W1136" t="s">
        <v>42934</v>
      </c>
      <c r="X1136" t="s">
        <v>46572</v>
      </c>
    </row>
    <row r="1137" spans="1:24">
      <c r="A1137">
        <f>HYPERLINK("https://www.philgeps.gov.ph/GEPSNONPILOT/Tender/SplashBidNoticeAbstractUI.aspx?menuIndex=3&amp;refID=7065159&amp;Result=3","7065159")</f>
        <v>0</v>
      </c>
      <c r="B1137" t="s">
        <v>289</v>
      </c>
      <c r="C1137" t="s">
        <v>4638</v>
      </c>
      <c r="D1137" t="s">
        <v>18791</v>
      </c>
      <c r="E1137" t="s">
        <v>19956</v>
      </c>
      <c r="F1137" t="s">
        <v>32664</v>
      </c>
      <c r="G1137" t="s">
        <v>32671</v>
      </c>
      <c r="H1137" t="s">
        <v>12635</v>
      </c>
      <c r="I1137" t="s">
        <v>14442</v>
      </c>
      <c r="J1137" t="s">
        <v>33678</v>
      </c>
      <c r="K1137" t="s">
        <v>42281</v>
      </c>
      <c r="M1137" t="s">
        <v>42856</v>
      </c>
      <c r="N1137" t="s">
        <v>46569</v>
      </c>
      <c r="O1137" t="s">
        <v>46570</v>
      </c>
      <c r="P1137">
        <v>0</v>
      </c>
      <c r="Q1137">
        <v>2</v>
      </c>
      <c r="R1137" t="s">
        <v>46571</v>
      </c>
      <c r="S1137" t="s">
        <v>46687</v>
      </c>
      <c r="T1137" t="s">
        <v>48310</v>
      </c>
      <c r="U1137" t="s">
        <v>49783</v>
      </c>
      <c r="W1137" t="s">
        <v>42856</v>
      </c>
      <c r="X1137" t="s">
        <v>46572</v>
      </c>
    </row>
    <row r="1138" spans="1:24">
      <c r="A1138">
        <f>HYPERLINK("https://www.philgeps.gov.ph/GEPSNONPILOT/Tender/SplashBidNoticeAbstractUI.aspx?menuIndex=3&amp;refID=7065212&amp;Result=3","7065212")</f>
        <v>0</v>
      </c>
      <c r="B1138" t="s">
        <v>133</v>
      </c>
      <c r="C1138" t="s">
        <v>4639</v>
      </c>
      <c r="D1138" t="s">
        <v>18832</v>
      </c>
      <c r="E1138" t="s">
        <v>19957</v>
      </c>
      <c r="F1138" t="s">
        <v>32664</v>
      </c>
      <c r="G1138" t="s">
        <v>32672</v>
      </c>
      <c r="H1138" t="s">
        <v>32683</v>
      </c>
      <c r="I1138" t="s">
        <v>10627</v>
      </c>
      <c r="J1138" t="s">
        <v>33679</v>
      </c>
      <c r="K1138" t="s">
        <v>42311</v>
      </c>
      <c r="M1138" t="s">
        <v>42697</v>
      </c>
      <c r="N1138" t="s">
        <v>46569</v>
      </c>
      <c r="O1138" t="s">
        <v>46570</v>
      </c>
      <c r="P1138">
        <v>0</v>
      </c>
      <c r="Q1138">
        <v>0</v>
      </c>
      <c r="R1138" t="s">
        <v>46571</v>
      </c>
      <c r="S1138" t="s">
        <v>46687</v>
      </c>
      <c r="T1138" t="s">
        <v>48361</v>
      </c>
      <c r="U1138" t="s">
        <v>49784</v>
      </c>
      <c r="W1138" t="s">
        <v>42697</v>
      </c>
      <c r="X1138" t="s">
        <v>46572</v>
      </c>
    </row>
    <row r="1139" spans="1:24">
      <c r="A1139">
        <f>HYPERLINK("https://www.philgeps.gov.ph/GEPSNONPILOT/Tender/SplashBidNoticeAbstractUI.aspx?menuIndex=3&amp;refID=7065042&amp;Result=3","7065042")</f>
        <v>0</v>
      </c>
      <c r="B1139" t="s">
        <v>117</v>
      </c>
      <c r="C1139" t="s">
        <v>4640</v>
      </c>
      <c r="D1139" t="s">
        <v>18799</v>
      </c>
      <c r="E1139" t="s">
        <v>19958</v>
      </c>
      <c r="F1139" t="s">
        <v>32664</v>
      </c>
      <c r="G1139" t="s">
        <v>32677</v>
      </c>
      <c r="H1139" t="s">
        <v>12635</v>
      </c>
      <c r="I1139" t="s">
        <v>32684</v>
      </c>
      <c r="J1139" t="s">
        <v>33680</v>
      </c>
      <c r="K1139" t="s">
        <v>42283</v>
      </c>
      <c r="M1139" t="s">
        <v>42681</v>
      </c>
      <c r="N1139" t="s">
        <v>46569</v>
      </c>
      <c r="O1139" t="s">
        <v>46570</v>
      </c>
      <c r="P1139">
        <v>0</v>
      </c>
      <c r="Q1139">
        <v>4</v>
      </c>
      <c r="R1139" t="s">
        <v>46571</v>
      </c>
      <c r="S1139" t="s">
        <v>46687</v>
      </c>
      <c r="T1139" t="s">
        <v>48249</v>
      </c>
      <c r="U1139" t="s">
        <v>49785</v>
      </c>
      <c r="W1139" t="s">
        <v>42681</v>
      </c>
      <c r="X1139" t="s">
        <v>46572</v>
      </c>
    </row>
    <row r="1140" spans="1:24">
      <c r="A1140">
        <f>HYPERLINK("https://www.philgeps.gov.ph/GEPSNONPILOT/Tender/SplashBidNoticeAbstractUI.aspx?menuIndex=3&amp;refID=7065188&amp;Result=3","7065188")</f>
        <v>0</v>
      </c>
      <c r="B1140" t="s">
        <v>556</v>
      </c>
      <c r="C1140" t="s">
        <v>4641</v>
      </c>
      <c r="D1140" t="s">
        <v>18843</v>
      </c>
      <c r="E1140" t="s">
        <v>19959</v>
      </c>
      <c r="F1140" t="s">
        <v>32664</v>
      </c>
      <c r="G1140" t="s">
        <v>32671</v>
      </c>
      <c r="H1140" t="s">
        <v>12635</v>
      </c>
      <c r="I1140" t="s">
        <v>8797</v>
      </c>
      <c r="J1140" t="s">
        <v>33051</v>
      </c>
      <c r="K1140" t="s">
        <v>42284</v>
      </c>
      <c r="M1140" t="s">
        <v>43136</v>
      </c>
      <c r="N1140" t="s">
        <v>46569</v>
      </c>
      <c r="O1140" t="s">
        <v>46570</v>
      </c>
      <c r="P1140">
        <v>0</v>
      </c>
      <c r="Q1140">
        <v>2</v>
      </c>
      <c r="R1140" t="s">
        <v>46571</v>
      </c>
      <c r="S1140" t="s">
        <v>46687</v>
      </c>
      <c r="T1140" t="s">
        <v>48244</v>
      </c>
      <c r="U1140" t="s">
        <v>49786</v>
      </c>
      <c r="W1140" t="s">
        <v>43136</v>
      </c>
      <c r="X1140" t="s">
        <v>46572</v>
      </c>
    </row>
    <row r="1141" spans="1:24">
      <c r="A1141">
        <f>HYPERLINK("https://www.philgeps.gov.ph/GEPSNONPILOT/Tender/SplashBidNoticeAbstractUI.aspx?menuIndex=3&amp;refID=7065040&amp;Result=3","7065040")</f>
        <v>0</v>
      </c>
      <c r="B1141" t="s">
        <v>265</v>
      </c>
      <c r="C1141" t="s">
        <v>4642</v>
      </c>
      <c r="D1141" t="s">
        <v>18805</v>
      </c>
      <c r="E1141" t="s">
        <v>19960</v>
      </c>
      <c r="F1141" t="s">
        <v>32664</v>
      </c>
      <c r="G1141" t="s">
        <v>32671</v>
      </c>
      <c r="H1141" t="s">
        <v>12635</v>
      </c>
      <c r="I1141" t="s">
        <v>32706</v>
      </c>
      <c r="J1141" t="s">
        <v>33681</v>
      </c>
      <c r="K1141" t="s">
        <v>42334</v>
      </c>
      <c r="M1141" t="s">
        <v>42830</v>
      </c>
      <c r="N1141" t="s">
        <v>46569</v>
      </c>
      <c r="O1141" t="s">
        <v>46570</v>
      </c>
      <c r="P1141">
        <v>0</v>
      </c>
      <c r="Q1141">
        <v>0</v>
      </c>
      <c r="R1141" t="s">
        <v>46571</v>
      </c>
      <c r="S1141" t="s">
        <v>46687</v>
      </c>
      <c r="T1141" t="s">
        <v>48228</v>
      </c>
      <c r="U1141" t="s">
        <v>49787</v>
      </c>
      <c r="V1141" t="s">
        <v>61755</v>
      </c>
      <c r="W1141" t="s">
        <v>42830</v>
      </c>
      <c r="X1141" t="s">
        <v>46572</v>
      </c>
    </row>
    <row r="1142" spans="1:24">
      <c r="A1142">
        <f>HYPERLINK("https://www.philgeps.gov.ph/GEPSNONPILOT/Tender/SplashBidNoticeAbstractUI.aspx?menuIndex=3&amp;refID=7065162&amp;Result=3","7065162")</f>
        <v>0</v>
      </c>
      <c r="B1142" t="s">
        <v>402</v>
      </c>
      <c r="C1142" t="s">
        <v>4312</v>
      </c>
      <c r="D1142" t="s">
        <v>18781</v>
      </c>
      <c r="E1142" t="s">
        <v>19961</v>
      </c>
      <c r="F1142" t="s">
        <v>32664</v>
      </c>
      <c r="G1142" t="s">
        <v>32671</v>
      </c>
      <c r="H1142" t="s">
        <v>12635</v>
      </c>
      <c r="I1142" t="s">
        <v>10361</v>
      </c>
      <c r="J1142" t="s">
        <v>33682</v>
      </c>
      <c r="K1142" t="s">
        <v>42283</v>
      </c>
      <c r="M1142" t="s">
        <v>42972</v>
      </c>
      <c r="N1142" t="s">
        <v>46569</v>
      </c>
      <c r="O1142" t="s">
        <v>46570</v>
      </c>
      <c r="P1142">
        <v>0</v>
      </c>
      <c r="Q1142">
        <v>0</v>
      </c>
      <c r="R1142" t="s">
        <v>46571</v>
      </c>
      <c r="S1142" t="s">
        <v>46687</v>
      </c>
      <c r="T1142" t="s">
        <v>48217</v>
      </c>
      <c r="U1142" t="s">
        <v>49788</v>
      </c>
      <c r="W1142" t="s">
        <v>42972</v>
      </c>
      <c r="X1142" t="s">
        <v>46572</v>
      </c>
    </row>
    <row r="1143" spans="1:24">
      <c r="A1143">
        <f>HYPERLINK("https://www.philgeps.gov.ph/GEPSNONPILOT/Tender/SplashBidNoticeAbstractUI.aspx?menuIndex=3&amp;refID=7065041&amp;Result=3","7065041")</f>
        <v>0</v>
      </c>
      <c r="B1143" t="s">
        <v>168</v>
      </c>
      <c r="C1143" t="s">
        <v>4643</v>
      </c>
      <c r="D1143" t="s">
        <v>18790</v>
      </c>
      <c r="E1143" t="s">
        <v>4643</v>
      </c>
      <c r="F1143" t="s">
        <v>32664</v>
      </c>
      <c r="G1143" t="s">
        <v>32671</v>
      </c>
      <c r="H1143" t="s">
        <v>12635</v>
      </c>
      <c r="I1143" t="s">
        <v>32756</v>
      </c>
      <c r="J1143" t="s">
        <v>33683</v>
      </c>
      <c r="K1143" t="s">
        <v>42284</v>
      </c>
      <c r="M1143" t="s">
        <v>42732</v>
      </c>
      <c r="N1143" t="s">
        <v>46569</v>
      </c>
      <c r="O1143" t="s">
        <v>46570</v>
      </c>
      <c r="P1143">
        <v>0</v>
      </c>
      <c r="Q1143">
        <v>1</v>
      </c>
      <c r="R1143" t="s">
        <v>46571</v>
      </c>
      <c r="S1143" t="s">
        <v>46687</v>
      </c>
      <c r="T1143" t="s">
        <v>48314</v>
      </c>
      <c r="U1143" t="s">
        <v>49789</v>
      </c>
      <c r="V1143" t="s">
        <v>61756</v>
      </c>
      <c r="W1143" t="s">
        <v>42732</v>
      </c>
      <c r="X1143" t="s">
        <v>46572</v>
      </c>
    </row>
    <row r="1144" spans="1:24">
      <c r="A1144">
        <f>HYPERLINK("https://www.philgeps.gov.ph/GEPSNONPILOT/Tender/SplashBidNoticeAbstractUI.aspx?menuIndex=3&amp;refID=7065037&amp;Result=3","7065037")</f>
        <v>0</v>
      </c>
      <c r="B1144" t="s">
        <v>298</v>
      </c>
      <c r="C1144" t="s">
        <v>4644</v>
      </c>
      <c r="D1144" t="s">
        <v>18842</v>
      </c>
      <c r="E1144" t="s">
        <v>19962</v>
      </c>
      <c r="F1144" t="s">
        <v>32664</v>
      </c>
      <c r="G1144" t="s">
        <v>32672</v>
      </c>
      <c r="H1144" t="s">
        <v>12635</v>
      </c>
      <c r="I1144" t="s">
        <v>11464</v>
      </c>
      <c r="J1144" t="s">
        <v>32859</v>
      </c>
      <c r="K1144" t="s">
        <v>42281</v>
      </c>
      <c r="M1144" t="s">
        <v>42865</v>
      </c>
      <c r="N1144" t="s">
        <v>46569</v>
      </c>
      <c r="O1144" t="s">
        <v>46570</v>
      </c>
      <c r="P1144">
        <v>0</v>
      </c>
      <c r="Q1144">
        <v>2</v>
      </c>
      <c r="R1144" t="s">
        <v>46571</v>
      </c>
      <c r="S1144" t="s">
        <v>46687</v>
      </c>
      <c r="T1144" t="s">
        <v>48253</v>
      </c>
      <c r="U1144" t="s">
        <v>49790</v>
      </c>
      <c r="W1144" t="s">
        <v>42865</v>
      </c>
      <c r="X1144" t="s">
        <v>46572</v>
      </c>
    </row>
    <row r="1145" spans="1:24">
      <c r="A1145">
        <f>HYPERLINK("https://www.philgeps.gov.ph/GEPSNONPILOT/Tender/SplashBidNoticeAbstractUI.aspx?menuIndex=3&amp;refID=7065036&amp;Result=3","7065036")</f>
        <v>0</v>
      </c>
      <c r="B1145" t="s">
        <v>180</v>
      </c>
      <c r="C1145" t="s">
        <v>4645</v>
      </c>
      <c r="D1145" t="s">
        <v>18794</v>
      </c>
      <c r="E1145" t="s">
        <v>19963</v>
      </c>
      <c r="F1145" t="s">
        <v>32664</v>
      </c>
      <c r="G1145" t="s">
        <v>32672</v>
      </c>
      <c r="H1145" t="s">
        <v>12635</v>
      </c>
      <c r="I1145" t="s">
        <v>4439</v>
      </c>
      <c r="J1145" t="s">
        <v>33684</v>
      </c>
      <c r="K1145" t="s">
        <v>42283</v>
      </c>
      <c r="M1145" t="s">
        <v>42744</v>
      </c>
      <c r="N1145" t="s">
        <v>46569</v>
      </c>
      <c r="O1145" t="s">
        <v>46570</v>
      </c>
      <c r="P1145">
        <v>0</v>
      </c>
      <c r="Q1145">
        <v>0</v>
      </c>
      <c r="R1145" t="s">
        <v>46571</v>
      </c>
      <c r="S1145" t="s">
        <v>46687</v>
      </c>
      <c r="T1145" t="s">
        <v>48321</v>
      </c>
      <c r="U1145" t="s">
        <v>49791</v>
      </c>
      <c r="W1145" t="s">
        <v>63472</v>
      </c>
      <c r="X1145" t="s">
        <v>46572</v>
      </c>
    </row>
    <row r="1146" spans="1:24">
      <c r="A1146">
        <f>HYPERLINK("https://www.philgeps.gov.ph/GEPSNONPILOT/Tender/SplashBidNoticeAbstractUI.aspx?menuIndex=3&amp;refID=7065191&amp;Result=3","7065191")</f>
        <v>0</v>
      </c>
      <c r="B1146" t="s">
        <v>366</v>
      </c>
      <c r="C1146" t="s">
        <v>4646</v>
      </c>
      <c r="D1146" t="s">
        <v>18785</v>
      </c>
      <c r="E1146" t="s">
        <v>19964</v>
      </c>
      <c r="F1146" t="s">
        <v>32664</v>
      </c>
      <c r="G1146" t="s">
        <v>32671</v>
      </c>
      <c r="H1146" t="s">
        <v>12635</v>
      </c>
      <c r="I1146" t="s">
        <v>32727</v>
      </c>
      <c r="J1146" t="s">
        <v>33685</v>
      </c>
      <c r="K1146" t="s">
        <v>42283</v>
      </c>
      <c r="M1146" t="s">
        <v>42935</v>
      </c>
      <c r="N1146" t="s">
        <v>46569</v>
      </c>
      <c r="O1146" t="s">
        <v>46570</v>
      </c>
      <c r="P1146">
        <v>0</v>
      </c>
      <c r="Q1146">
        <v>2</v>
      </c>
      <c r="R1146" t="s">
        <v>46571</v>
      </c>
      <c r="S1146" t="s">
        <v>46687</v>
      </c>
      <c r="T1146" t="s">
        <v>48221</v>
      </c>
      <c r="U1146" t="s">
        <v>49444</v>
      </c>
      <c r="W1146" t="s">
        <v>42935</v>
      </c>
      <c r="X1146" t="s">
        <v>46572</v>
      </c>
    </row>
    <row r="1147" spans="1:24">
      <c r="A1147">
        <f>HYPERLINK("https://www.philgeps.gov.ph/GEPSNONPILOT/Tender/SplashBidNoticeAbstractUI.aspx?menuIndex=3&amp;refID=7065013&amp;Result=3","7065013")</f>
        <v>0</v>
      </c>
      <c r="B1147" t="s">
        <v>107</v>
      </c>
      <c r="C1147" t="s">
        <v>4647</v>
      </c>
      <c r="D1147" t="s">
        <v>18804</v>
      </c>
      <c r="E1147" t="s">
        <v>19965</v>
      </c>
      <c r="F1147" t="s">
        <v>32664</v>
      </c>
      <c r="G1147" t="s">
        <v>32671</v>
      </c>
      <c r="H1147" t="s">
        <v>12635</v>
      </c>
      <c r="I1147" t="s">
        <v>32685</v>
      </c>
      <c r="J1147" t="s">
        <v>33686</v>
      </c>
      <c r="K1147" t="s">
        <v>42289</v>
      </c>
      <c r="M1147" t="s">
        <v>42671</v>
      </c>
      <c r="N1147" t="s">
        <v>46569</v>
      </c>
      <c r="O1147" t="s">
        <v>46570</v>
      </c>
      <c r="P1147">
        <v>0</v>
      </c>
      <c r="Q1147">
        <v>1</v>
      </c>
      <c r="R1147" t="s">
        <v>46571</v>
      </c>
      <c r="S1147" t="s">
        <v>46687</v>
      </c>
      <c r="T1147" t="s">
        <v>48213</v>
      </c>
      <c r="U1147" t="s">
        <v>49401</v>
      </c>
      <c r="W1147" t="s">
        <v>42671</v>
      </c>
      <c r="X1147" t="s">
        <v>46572</v>
      </c>
    </row>
    <row r="1148" spans="1:24">
      <c r="A1148">
        <f>HYPERLINK("https://www.philgeps.gov.ph/GEPSNONPILOT/Tender/SplashBidNoticeAbstractUI.aspx?menuIndex=3&amp;refID=7065038&amp;Result=3","7065038")</f>
        <v>0</v>
      </c>
      <c r="B1148" t="s">
        <v>289</v>
      </c>
      <c r="C1148" t="s">
        <v>4648</v>
      </c>
      <c r="D1148" t="s">
        <v>18791</v>
      </c>
      <c r="E1148" t="s">
        <v>19966</v>
      </c>
      <c r="F1148" t="s">
        <v>32664</v>
      </c>
      <c r="G1148" t="s">
        <v>32671</v>
      </c>
      <c r="H1148" t="s">
        <v>12635</v>
      </c>
      <c r="I1148" t="s">
        <v>32723</v>
      </c>
      <c r="J1148" t="s">
        <v>33687</v>
      </c>
      <c r="K1148" t="s">
        <v>42297</v>
      </c>
      <c r="M1148" t="s">
        <v>42856</v>
      </c>
      <c r="N1148" t="s">
        <v>46569</v>
      </c>
      <c r="O1148" t="s">
        <v>46570</v>
      </c>
      <c r="P1148">
        <v>0</v>
      </c>
      <c r="Q1148">
        <v>0</v>
      </c>
      <c r="R1148" t="s">
        <v>46571</v>
      </c>
      <c r="S1148" t="s">
        <v>46687</v>
      </c>
      <c r="T1148" t="s">
        <v>48310</v>
      </c>
      <c r="U1148" t="s">
        <v>49792</v>
      </c>
      <c r="W1148" t="s">
        <v>42856</v>
      </c>
      <c r="X1148" t="s">
        <v>46572</v>
      </c>
    </row>
    <row r="1149" spans="1:24">
      <c r="A1149">
        <f>HYPERLINK("https://www.philgeps.gov.ph/GEPSNONPILOT/Tender/SplashBidNoticeAbstractUI.aspx?menuIndex=3&amp;refID=7065011&amp;Result=3","7065011")</f>
        <v>0</v>
      </c>
      <c r="B1149" t="s">
        <v>557</v>
      </c>
      <c r="C1149" t="s">
        <v>4649</v>
      </c>
      <c r="D1149" t="s">
        <v>18834</v>
      </c>
      <c r="E1149" t="s">
        <v>19967</v>
      </c>
      <c r="F1149" t="s">
        <v>32664</v>
      </c>
      <c r="G1149" t="s">
        <v>32671</v>
      </c>
      <c r="H1149" t="s">
        <v>12635</v>
      </c>
      <c r="I1149" t="s">
        <v>9486</v>
      </c>
      <c r="J1149" t="s">
        <v>33688</v>
      </c>
      <c r="K1149" t="s">
        <v>42289</v>
      </c>
      <c r="M1149" t="s">
        <v>43137</v>
      </c>
      <c r="N1149" t="s">
        <v>46569</v>
      </c>
      <c r="O1149" t="s">
        <v>46570</v>
      </c>
      <c r="P1149">
        <v>0</v>
      </c>
      <c r="Q1149">
        <v>0</v>
      </c>
      <c r="R1149" t="s">
        <v>46571</v>
      </c>
      <c r="S1149" t="s">
        <v>46687</v>
      </c>
      <c r="T1149" t="s">
        <v>48219</v>
      </c>
      <c r="U1149" t="s">
        <v>49793</v>
      </c>
      <c r="W1149" t="s">
        <v>43137</v>
      </c>
      <c r="X1149" t="s">
        <v>46572</v>
      </c>
    </row>
    <row r="1150" spans="1:24">
      <c r="A1150">
        <f>HYPERLINK("https://www.philgeps.gov.ph/GEPSNONPILOT/Tender/SplashBidNoticeAbstractUI.aspx?menuIndex=3&amp;refID=7065039&amp;Result=3","7065039")</f>
        <v>0</v>
      </c>
      <c r="B1150" t="s">
        <v>287</v>
      </c>
      <c r="C1150" t="s">
        <v>4650</v>
      </c>
      <c r="D1150" t="s">
        <v>18847</v>
      </c>
      <c r="E1150" t="s">
        <v>19968</v>
      </c>
      <c r="F1150" t="s">
        <v>32664</v>
      </c>
      <c r="G1150" t="s">
        <v>32674</v>
      </c>
      <c r="H1150" t="s">
        <v>12635</v>
      </c>
      <c r="I1150" t="s">
        <v>32689</v>
      </c>
      <c r="J1150" t="s">
        <v>33182</v>
      </c>
      <c r="K1150" t="s">
        <v>42289</v>
      </c>
      <c r="M1150" t="s">
        <v>42854</v>
      </c>
      <c r="N1150" t="s">
        <v>46569</v>
      </c>
      <c r="O1150" t="s">
        <v>46570</v>
      </c>
      <c r="P1150">
        <v>0</v>
      </c>
      <c r="Q1150">
        <v>0</v>
      </c>
      <c r="R1150" t="s">
        <v>46571</v>
      </c>
      <c r="S1150" t="s">
        <v>46687</v>
      </c>
      <c r="T1150" t="s">
        <v>48268</v>
      </c>
      <c r="U1150" t="s">
        <v>49794</v>
      </c>
      <c r="V1150" t="s">
        <v>61688</v>
      </c>
      <c r="W1150" t="s">
        <v>42854</v>
      </c>
      <c r="X1150" t="s">
        <v>46572</v>
      </c>
    </row>
    <row r="1151" spans="1:24">
      <c r="A1151">
        <f>HYPERLINK("https://www.philgeps.gov.ph/GEPSNONPILOT/Tender/SplashBidNoticeAbstractUI.aspx?menuIndex=3&amp;refID=7065033&amp;Result=3","7065033")</f>
        <v>0</v>
      </c>
      <c r="B1151" t="s">
        <v>253</v>
      </c>
      <c r="C1151" t="s">
        <v>4651</v>
      </c>
      <c r="D1151" t="s">
        <v>18790</v>
      </c>
      <c r="E1151" t="s">
        <v>19969</v>
      </c>
      <c r="F1151" t="s">
        <v>32664</v>
      </c>
      <c r="G1151" t="s">
        <v>32671</v>
      </c>
      <c r="H1151" t="s">
        <v>12635</v>
      </c>
      <c r="I1151" t="s">
        <v>32706</v>
      </c>
      <c r="J1151" t="s">
        <v>33689</v>
      </c>
      <c r="K1151" t="s">
        <v>42283</v>
      </c>
      <c r="M1151" t="s">
        <v>42818</v>
      </c>
      <c r="N1151" t="s">
        <v>46569</v>
      </c>
      <c r="O1151" t="s">
        <v>46570</v>
      </c>
      <c r="P1151">
        <v>0</v>
      </c>
      <c r="Q1151">
        <v>0</v>
      </c>
      <c r="R1151" t="s">
        <v>46571</v>
      </c>
      <c r="S1151" t="s">
        <v>46687</v>
      </c>
      <c r="T1151" t="s">
        <v>48283</v>
      </c>
      <c r="U1151" t="s">
        <v>49795</v>
      </c>
      <c r="W1151" t="s">
        <v>42818</v>
      </c>
      <c r="X1151" t="s">
        <v>46572</v>
      </c>
    </row>
    <row r="1152" spans="1:24">
      <c r="A1152">
        <f>HYPERLINK("https://www.philgeps.gov.ph/GEPSNONPILOT/Tender/SplashBidNoticeAbstractUI.aspx?menuIndex=3&amp;refID=7065190&amp;Result=3","7065190")</f>
        <v>0</v>
      </c>
      <c r="B1152" t="s">
        <v>558</v>
      </c>
      <c r="C1152" t="s">
        <v>4652</v>
      </c>
      <c r="D1152" t="s">
        <v>18788</v>
      </c>
      <c r="E1152" t="s">
        <v>19970</v>
      </c>
      <c r="F1152" t="s">
        <v>32664</v>
      </c>
      <c r="G1152" t="s">
        <v>32672</v>
      </c>
      <c r="H1152" t="s">
        <v>12635</v>
      </c>
      <c r="I1152" t="s">
        <v>4333</v>
      </c>
      <c r="J1152" t="s">
        <v>33690</v>
      </c>
      <c r="K1152" t="s">
        <v>42283</v>
      </c>
      <c r="M1152" t="s">
        <v>43138</v>
      </c>
      <c r="N1152" t="s">
        <v>46569</v>
      </c>
      <c r="O1152" t="s">
        <v>46570</v>
      </c>
      <c r="P1152">
        <v>0</v>
      </c>
      <c r="Q1152">
        <v>1</v>
      </c>
      <c r="R1152" t="s">
        <v>46571</v>
      </c>
      <c r="S1152" t="s">
        <v>46687</v>
      </c>
      <c r="T1152" t="s">
        <v>48225</v>
      </c>
      <c r="U1152" t="s">
        <v>49796</v>
      </c>
      <c r="W1152" t="s">
        <v>43138</v>
      </c>
      <c r="X1152" t="s">
        <v>46572</v>
      </c>
    </row>
    <row r="1153" spans="1:24">
      <c r="A1153">
        <f>HYPERLINK("https://www.philgeps.gov.ph/GEPSNONPILOT/Tender/SplashBidNoticeAbstractUI.aspx?menuIndex=3&amp;refID=7065006&amp;Result=3","7065006")</f>
        <v>0</v>
      </c>
      <c r="B1153" t="s">
        <v>135</v>
      </c>
      <c r="C1153" t="s">
        <v>4653</v>
      </c>
      <c r="D1153" t="s">
        <v>18807</v>
      </c>
      <c r="E1153" t="s">
        <v>19971</v>
      </c>
      <c r="F1153" t="s">
        <v>32664</v>
      </c>
      <c r="G1153" t="s">
        <v>32672</v>
      </c>
      <c r="H1153" t="s">
        <v>12635</v>
      </c>
      <c r="I1153" t="s">
        <v>4333</v>
      </c>
      <c r="J1153" t="s">
        <v>33119</v>
      </c>
      <c r="K1153" t="s">
        <v>42281</v>
      </c>
      <c r="M1153" t="s">
        <v>42852</v>
      </c>
      <c r="N1153" t="s">
        <v>46569</v>
      </c>
      <c r="O1153" t="s">
        <v>46570</v>
      </c>
      <c r="P1153">
        <v>0</v>
      </c>
      <c r="Q1153">
        <v>0</v>
      </c>
      <c r="R1153" t="s">
        <v>46571</v>
      </c>
      <c r="S1153" t="s">
        <v>46687</v>
      </c>
      <c r="T1153" t="s">
        <v>48226</v>
      </c>
      <c r="U1153" t="s">
        <v>49052</v>
      </c>
      <c r="V1153" t="s">
        <v>61650</v>
      </c>
      <c r="W1153" t="s">
        <v>42852</v>
      </c>
      <c r="X1153" t="s">
        <v>46572</v>
      </c>
    </row>
    <row r="1154" spans="1:24">
      <c r="A1154">
        <f>HYPERLINK("https://www.philgeps.gov.ph/GEPSNONPILOT/Tender/SplashBidNoticeAbstractUI.aspx?menuIndex=3&amp;refID=7065004&amp;Result=3","7065004")</f>
        <v>0</v>
      </c>
      <c r="B1154" t="s">
        <v>253</v>
      </c>
      <c r="C1154" t="s">
        <v>4654</v>
      </c>
      <c r="D1154" t="s">
        <v>18790</v>
      </c>
      <c r="E1154" t="s">
        <v>19972</v>
      </c>
      <c r="F1154" t="s">
        <v>32664</v>
      </c>
      <c r="G1154" t="s">
        <v>32671</v>
      </c>
      <c r="H1154" t="s">
        <v>12635</v>
      </c>
      <c r="I1154" t="s">
        <v>32706</v>
      </c>
      <c r="J1154" t="s">
        <v>33691</v>
      </c>
      <c r="K1154" t="s">
        <v>42283</v>
      </c>
      <c r="M1154" t="s">
        <v>42818</v>
      </c>
      <c r="N1154" t="s">
        <v>46569</v>
      </c>
      <c r="O1154" t="s">
        <v>46570</v>
      </c>
      <c r="P1154">
        <v>0</v>
      </c>
      <c r="Q1154">
        <v>0</v>
      </c>
      <c r="R1154" t="s">
        <v>46571</v>
      </c>
      <c r="S1154" t="s">
        <v>46687</v>
      </c>
      <c r="T1154" t="s">
        <v>48283</v>
      </c>
      <c r="U1154" t="s">
        <v>49797</v>
      </c>
      <c r="W1154" t="s">
        <v>42818</v>
      </c>
      <c r="X1154" t="s">
        <v>46572</v>
      </c>
    </row>
    <row r="1155" spans="1:24">
      <c r="A1155">
        <f>HYPERLINK("https://www.philgeps.gov.ph/GEPSNONPILOT/Tender/SplashBidNoticeAbstractUI.aspx?menuIndex=3&amp;refID=7064958&amp;Result=3","7064958")</f>
        <v>0</v>
      </c>
      <c r="B1155" t="s">
        <v>220</v>
      </c>
      <c r="C1155" t="s">
        <v>4655</v>
      </c>
      <c r="D1155" t="s">
        <v>18788</v>
      </c>
      <c r="E1155" t="s">
        <v>19973</v>
      </c>
      <c r="F1155" t="s">
        <v>32664</v>
      </c>
      <c r="G1155" t="s">
        <v>32672</v>
      </c>
      <c r="H1155" t="s">
        <v>12635</v>
      </c>
      <c r="I1155" t="s">
        <v>4439</v>
      </c>
      <c r="J1155" t="s">
        <v>33692</v>
      </c>
      <c r="K1155" t="s">
        <v>42297</v>
      </c>
      <c r="L1155" t="s">
        <v>220</v>
      </c>
      <c r="M1155" t="s">
        <v>42784</v>
      </c>
      <c r="N1155" t="s">
        <v>46569</v>
      </c>
      <c r="O1155" t="s">
        <v>46570</v>
      </c>
      <c r="P1155">
        <v>0</v>
      </c>
      <c r="Q1155">
        <v>0</v>
      </c>
      <c r="R1155" t="s">
        <v>46571</v>
      </c>
      <c r="S1155" t="s">
        <v>46687</v>
      </c>
      <c r="T1155" t="s">
        <v>48308</v>
      </c>
      <c r="U1155" t="s">
        <v>49167</v>
      </c>
      <c r="W1155" t="s">
        <v>42784</v>
      </c>
      <c r="X1155" t="s">
        <v>46572</v>
      </c>
    </row>
    <row r="1156" spans="1:24">
      <c r="A1156">
        <f>HYPERLINK("https://www.philgeps.gov.ph/GEPSNONPILOT/Tender/SplashBidNoticeAbstractUI.aspx?menuIndex=3&amp;refID=7064957&amp;Result=3","7064957")</f>
        <v>0</v>
      </c>
      <c r="B1156" t="s">
        <v>559</v>
      </c>
      <c r="C1156" t="s">
        <v>4656</v>
      </c>
      <c r="E1156" t="s">
        <v>19974</v>
      </c>
      <c r="F1156" t="s">
        <v>32664</v>
      </c>
      <c r="G1156" t="s">
        <v>32671</v>
      </c>
      <c r="H1156" t="s">
        <v>32683</v>
      </c>
      <c r="I1156" t="s">
        <v>10627</v>
      </c>
      <c r="J1156" t="s">
        <v>33693</v>
      </c>
      <c r="K1156" t="s">
        <v>42283</v>
      </c>
      <c r="M1156" t="s">
        <v>43139</v>
      </c>
      <c r="N1156" t="s">
        <v>46569</v>
      </c>
      <c r="O1156" t="s">
        <v>46570</v>
      </c>
      <c r="P1156">
        <v>0</v>
      </c>
      <c r="Q1156">
        <v>0</v>
      </c>
      <c r="R1156" t="s">
        <v>46571</v>
      </c>
      <c r="S1156" t="s">
        <v>46687</v>
      </c>
      <c r="T1156" t="s">
        <v>48221</v>
      </c>
      <c r="U1156" t="s">
        <v>49798</v>
      </c>
      <c r="V1156" t="s">
        <v>61757</v>
      </c>
      <c r="W1156" t="s">
        <v>43139</v>
      </c>
      <c r="X1156" t="s">
        <v>46572</v>
      </c>
    </row>
    <row r="1157" spans="1:24">
      <c r="A1157">
        <f>HYPERLINK("https://www.philgeps.gov.ph/GEPSNONPILOT/Tender/SplashBidNoticeAbstractUI.aspx?menuIndex=3&amp;refID=7065009&amp;Result=3","7065009")</f>
        <v>0</v>
      </c>
      <c r="B1157" t="s">
        <v>395</v>
      </c>
      <c r="C1157" t="s">
        <v>4657</v>
      </c>
      <c r="D1157" t="s">
        <v>18834</v>
      </c>
      <c r="E1157" t="s">
        <v>19975</v>
      </c>
      <c r="F1157" t="s">
        <v>32664</v>
      </c>
      <c r="G1157" t="s">
        <v>32672</v>
      </c>
      <c r="H1157" t="s">
        <v>12635</v>
      </c>
      <c r="I1157" t="s">
        <v>32704</v>
      </c>
      <c r="J1157" t="s">
        <v>33694</v>
      </c>
      <c r="K1157" t="s">
        <v>42311</v>
      </c>
      <c r="M1157" t="s">
        <v>42965</v>
      </c>
      <c r="N1157" t="s">
        <v>46569</v>
      </c>
      <c r="O1157" t="s">
        <v>46570</v>
      </c>
      <c r="P1157">
        <v>0</v>
      </c>
      <c r="Q1157">
        <v>6</v>
      </c>
      <c r="R1157" t="s">
        <v>46571</v>
      </c>
      <c r="S1157" t="s">
        <v>46687</v>
      </c>
      <c r="T1157" t="s">
        <v>48260</v>
      </c>
      <c r="U1157" t="s">
        <v>49799</v>
      </c>
      <c r="W1157" t="s">
        <v>43994</v>
      </c>
      <c r="X1157" t="s">
        <v>46572</v>
      </c>
    </row>
    <row r="1158" spans="1:24">
      <c r="A1158">
        <f>HYPERLINK("https://www.philgeps.gov.ph/GEPSNONPILOT/Tender/SplashBidNoticeAbstractUI.aspx?menuIndex=3&amp;refID=7065012&amp;Result=3","7065012")</f>
        <v>0</v>
      </c>
      <c r="B1158" t="s">
        <v>271</v>
      </c>
      <c r="C1158" t="s">
        <v>4076</v>
      </c>
      <c r="D1158" t="s">
        <v>18830</v>
      </c>
      <c r="E1158" t="s">
        <v>19976</v>
      </c>
      <c r="F1158" t="s">
        <v>32664</v>
      </c>
      <c r="G1158" t="s">
        <v>32674</v>
      </c>
      <c r="H1158" t="s">
        <v>12635</v>
      </c>
      <c r="I1158" t="s">
        <v>8797</v>
      </c>
      <c r="J1158" t="s">
        <v>33695</v>
      </c>
      <c r="K1158" t="s">
        <v>42297</v>
      </c>
      <c r="M1158" t="s">
        <v>42836</v>
      </c>
      <c r="N1158" t="s">
        <v>46569</v>
      </c>
      <c r="O1158" t="s">
        <v>46570</v>
      </c>
      <c r="P1158">
        <v>0</v>
      </c>
      <c r="Q1158">
        <v>3</v>
      </c>
      <c r="R1158" t="s">
        <v>46571</v>
      </c>
      <c r="S1158" t="s">
        <v>46687</v>
      </c>
      <c r="T1158" t="s">
        <v>48297</v>
      </c>
      <c r="U1158" t="s">
        <v>49283</v>
      </c>
      <c r="W1158" t="s">
        <v>42836</v>
      </c>
      <c r="X1158" t="s">
        <v>46572</v>
      </c>
    </row>
    <row r="1159" spans="1:24">
      <c r="A1159">
        <f>HYPERLINK("https://www.philgeps.gov.ph/GEPSNONPILOT/Tender/SplashBidNoticeAbstractUI.aspx?menuIndex=3&amp;refID=7064929&amp;Result=3","7064929")</f>
        <v>0</v>
      </c>
      <c r="B1159" t="s">
        <v>560</v>
      </c>
      <c r="C1159" t="s">
        <v>4658</v>
      </c>
      <c r="D1159" t="s">
        <v>18806</v>
      </c>
      <c r="E1159" t="s">
        <v>19911</v>
      </c>
      <c r="F1159" t="s">
        <v>32664</v>
      </c>
      <c r="G1159" t="s">
        <v>32671</v>
      </c>
      <c r="H1159" t="s">
        <v>12635</v>
      </c>
      <c r="I1159" t="s">
        <v>32736</v>
      </c>
      <c r="J1159" t="s">
        <v>33696</v>
      </c>
      <c r="K1159" t="s">
        <v>42284</v>
      </c>
      <c r="M1159" t="s">
        <v>43140</v>
      </c>
      <c r="N1159" t="s">
        <v>46569</v>
      </c>
      <c r="O1159" t="s">
        <v>46570</v>
      </c>
      <c r="P1159">
        <v>0</v>
      </c>
      <c r="Q1159">
        <v>0</v>
      </c>
      <c r="R1159" t="s">
        <v>46571</v>
      </c>
      <c r="S1159" t="s">
        <v>46687</v>
      </c>
      <c r="T1159" t="s">
        <v>48219</v>
      </c>
      <c r="U1159" t="s">
        <v>49800</v>
      </c>
      <c r="W1159" t="s">
        <v>43140</v>
      </c>
      <c r="X1159" t="s">
        <v>46572</v>
      </c>
    </row>
    <row r="1160" spans="1:24">
      <c r="A1160">
        <f>HYPERLINK("https://www.philgeps.gov.ph/GEPSNONPILOT/Tender/SplashBidNoticeAbstractUI.aspx?menuIndex=3&amp;refID=7065010&amp;Result=3","7065010")</f>
        <v>0</v>
      </c>
      <c r="B1160" t="s">
        <v>561</v>
      </c>
      <c r="C1160" t="s">
        <v>4659</v>
      </c>
      <c r="D1160" t="s">
        <v>18784</v>
      </c>
      <c r="E1160" t="s">
        <v>19380</v>
      </c>
      <c r="F1160" t="s">
        <v>32664</v>
      </c>
      <c r="G1160" t="s">
        <v>32671</v>
      </c>
      <c r="H1160" t="s">
        <v>12635</v>
      </c>
      <c r="I1160" t="s">
        <v>10627</v>
      </c>
      <c r="J1160" t="s">
        <v>33697</v>
      </c>
      <c r="K1160" t="s">
        <v>42284</v>
      </c>
      <c r="M1160" t="s">
        <v>43141</v>
      </c>
      <c r="N1160" t="s">
        <v>46569</v>
      </c>
      <c r="O1160" t="s">
        <v>46570</v>
      </c>
      <c r="P1160">
        <v>0</v>
      </c>
      <c r="Q1160">
        <v>0</v>
      </c>
      <c r="R1160" t="s">
        <v>46571</v>
      </c>
      <c r="S1160" t="s">
        <v>46687</v>
      </c>
      <c r="T1160" t="s">
        <v>48370</v>
      </c>
      <c r="U1160" t="s">
        <v>49801</v>
      </c>
      <c r="V1160" t="s">
        <v>61758</v>
      </c>
      <c r="W1160" t="s">
        <v>43141</v>
      </c>
      <c r="X1160" t="s">
        <v>46572</v>
      </c>
    </row>
    <row r="1161" spans="1:24">
      <c r="A1161">
        <f>HYPERLINK("https://www.philgeps.gov.ph/GEPSNONPILOT/Tender/SplashBidNoticeAbstractUI.aspx?menuIndex=3&amp;refID=7064956&amp;Result=3","7064956")</f>
        <v>0</v>
      </c>
      <c r="B1161" t="s">
        <v>275</v>
      </c>
      <c r="C1161" t="s">
        <v>4660</v>
      </c>
      <c r="D1161" t="s">
        <v>18797</v>
      </c>
      <c r="E1161" t="s">
        <v>19977</v>
      </c>
      <c r="F1161" t="s">
        <v>32664</v>
      </c>
      <c r="G1161" t="s">
        <v>32672</v>
      </c>
      <c r="H1161" t="s">
        <v>12635</v>
      </c>
      <c r="I1161" t="s">
        <v>32716</v>
      </c>
      <c r="J1161" t="s">
        <v>33698</v>
      </c>
      <c r="K1161" t="s">
        <v>42284</v>
      </c>
      <c r="M1161" t="s">
        <v>42840</v>
      </c>
      <c r="N1161" t="s">
        <v>46569</v>
      </c>
      <c r="O1161" t="s">
        <v>46570</v>
      </c>
      <c r="P1161">
        <v>0</v>
      </c>
      <c r="Q1161">
        <v>3</v>
      </c>
      <c r="R1161" t="s">
        <v>46571</v>
      </c>
      <c r="S1161" t="s">
        <v>46687</v>
      </c>
      <c r="T1161" t="s">
        <v>48257</v>
      </c>
      <c r="U1161" t="s">
        <v>49802</v>
      </c>
      <c r="W1161" t="s">
        <v>42840</v>
      </c>
      <c r="X1161" t="s">
        <v>46572</v>
      </c>
    </row>
    <row r="1162" spans="1:24">
      <c r="A1162">
        <f>HYPERLINK("https://www.philgeps.gov.ph/GEPSNONPILOT/Tender/SplashBidNoticeAbstractUI.aspx?menuIndex=3&amp;refID=7064927&amp;Result=3","7064927")</f>
        <v>0</v>
      </c>
      <c r="B1162" t="s">
        <v>54</v>
      </c>
      <c r="C1162" t="s">
        <v>4661</v>
      </c>
      <c r="D1162" t="s">
        <v>18803</v>
      </c>
      <c r="E1162" t="s">
        <v>19978</v>
      </c>
      <c r="F1162" t="s">
        <v>32664</v>
      </c>
      <c r="G1162" t="s">
        <v>32674</v>
      </c>
      <c r="H1162" t="s">
        <v>12635</v>
      </c>
      <c r="I1162" t="s">
        <v>4439</v>
      </c>
      <c r="J1162" t="s">
        <v>33699</v>
      </c>
      <c r="K1162" t="s">
        <v>42297</v>
      </c>
      <c r="M1162" t="s">
        <v>42616</v>
      </c>
      <c r="N1162" t="s">
        <v>46569</v>
      </c>
      <c r="O1162" t="s">
        <v>46570</v>
      </c>
      <c r="P1162">
        <v>0</v>
      </c>
      <c r="Q1162">
        <v>0</v>
      </c>
      <c r="R1162" t="s">
        <v>46571</v>
      </c>
      <c r="S1162" t="s">
        <v>46687</v>
      </c>
      <c r="T1162" t="s">
        <v>48221</v>
      </c>
      <c r="U1162" t="s">
        <v>49803</v>
      </c>
      <c r="W1162" t="s">
        <v>42616</v>
      </c>
      <c r="X1162" t="s">
        <v>46572</v>
      </c>
    </row>
    <row r="1163" spans="1:24">
      <c r="A1163">
        <f>HYPERLINK("https://www.philgeps.gov.ph/GEPSNONPILOT/Tender/SplashBidNoticeAbstractUI.aspx?menuIndex=3&amp;refID=7064930&amp;Result=3","7064930")</f>
        <v>0</v>
      </c>
      <c r="B1163" t="s">
        <v>251</v>
      </c>
      <c r="C1163" t="s">
        <v>4662</v>
      </c>
      <c r="D1163" t="s">
        <v>18785</v>
      </c>
      <c r="E1163" t="s">
        <v>19979</v>
      </c>
      <c r="F1163" t="s">
        <v>32664</v>
      </c>
      <c r="G1163" t="s">
        <v>32671</v>
      </c>
      <c r="H1163" t="s">
        <v>12635</v>
      </c>
      <c r="I1163" t="s">
        <v>32685</v>
      </c>
      <c r="J1163" t="s">
        <v>33700</v>
      </c>
      <c r="K1163" t="s">
        <v>42295</v>
      </c>
      <c r="M1163" t="s">
        <v>42816</v>
      </c>
      <c r="N1163" t="s">
        <v>46569</v>
      </c>
      <c r="O1163" t="s">
        <v>46570</v>
      </c>
      <c r="P1163">
        <v>0</v>
      </c>
      <c r="Q1163">
        <v>0</v>
      </c>
      <c r="R1163" t="s">
        <v>46571</v>
      </c>
      <c r="S1163" t="s">
        <v>46687</v>
      </c>
      <c r="T1163" t="s">
        <v>48221</v>
      </c>
      <c r="U1163" t="s">
        <v>49804</v>
      </c>
      <c r="W1163" t="s">
        <v>42816</v>
      </c>
      <c r="X1163" t="s">
        <v>46572</v>
      </c>
    </row>
    <row r="1164" spans="1:24">
      <c r="A1164">
        <f>HYPERLINK("https://www.philgeps.gov.ph/GEPSNONPILOT/Tender/SplashBidNoticeAbstractUI.aspx?menuIndex=3&amp;refID=7064924&amp;Result=3","7064924")</f>
        <v>0</v>
      </c>
      <c r="B1164" t="s">
        <v>257</v>
      </c>
      <c r="C1164" t="s">
        <v>4663</v>
      </c>
      <c r="D1164" t="s">
        <v>18803</v>
      </c>
      <c r="E1164" t="s">
        <v>19980</v>
      </c>
      <c r="F1164" t="s">
        <v>32664</v>
      </c>
      <c r="G1164" t="s">
        <v>32672</v>
      </c>
      <c r="H1164" t="s">
        <v>32683</v>
      </c>
      <c r="I1164" t="s">
        <v>10627</v>
      </c>
      <c r="J1164" t="s">
        <v>32962</v>
      </c>
      <c r="K1164" t="s">
        <v>42314</v>
      </c>
      <c r="M1164" t="s">
        <v>42822</v>
      </c>
      <c r="N1164" t="s">
        <v>46569</v>
      </c>
      <c r="O1164" t="s">
        <v>46570</v>
      </c>
      <c r="P1164">
        <v>0</v>
      </c>
      <c r="Q1164">
        <v>0</v>
      </c>
      <c r="R1164" t="s">
        <v>46571</v>
      </c>
      <c r="S1164" t="s">
        <v>46687</v>
      </c>
      <c r="T1164" t="s">
        <v>48317</v>
      </c>
      <c r="U1164" t="s">
        <v>49237</v>
      </c>
      <c r="W1164" t="s">
        <v>42822</v>
      </c>
      <c r="X1164" t="s">
        <v>46572</v>
      </c>
    </row>
    <row r="1165" spans="1:24">
      <c r="A1165">
        <f>HYPERLINK("https://www.philgeps.gov.ph/GEPSNONPILOT/Tender/SplashBidNoticeAbstractUI.aspx?menuIndex=3&amp;refID=7064843&amp;Result=3","7064843")</f>
        <v>0</v>
      </c>
      <c r="B1165" t="s">
        <v>179</v>
      </c>
      <c r="C1165" t="s">
        <v>4664</v>
      </c>
      <c r="D1165" t="s">
        <v>18830</v>
      </c>
      <c r="E1165" t="s">
        <v>19981</v>
      </c>
      <c r="F1165" t="s">
        <v>32664</v>
      </c>
      <c r="G1165" t="s">
        <v>32671</v>
      </c>
      <c r="H1165" t="s">
        <v>12635</v>
      </c>
      <c r="I1165" t="s">
        <v>32685</v>
      </c>
      <c r="J1165" t="s">
        <v>33701</v>
      </c>
      <c r="K1165" t="s">
        <v>42330</v>
      </c>
      <c r="M1165" t="s">
        <v>42743</v>
      </c>
      <c r="N1165" t="s">
        <v>46569</v>
      </c>
      <c r="O1165" t="s">
        <v>46570</v>
      </c>
      <c r="P1165">
        <v>0</v>
      </c>
      <c r="Q1165">
        <v>0</v>
      </c>
      <c r="R1165" t="s">
        <v>46571</v>
      </c>
      <c r="S1165" t="s">
        <v>46687</v>
      </c>
      <c r="T1165" t="s">
        <v>48294</v>
      </c>
      <c r="U1165" t="s">
        <v>49805</v>
      </c>
      <c r="V1165" t="s">
        <v>61664</v>
      </c>
      <c r="W1165" t="s">
        <v>63466</v>
      </c>
      <c r="X1165" t="s">
        <v>46572</v>
      </c>
    </row>
    <row r="1166" spans="1:24">
      <c r="A1166">
        <f>HYPERLINK("https://www.philgeps.gov.ph/GEPSNONPILOT/Tender/SplashBidNoticeAbstractUI.aspx?menuIndex=3&amp;refID=7064921&amp;Result=3","7064921")</f>
        <v>0</v>
      </c>
      <c r="B1166" t="s">
        <v>562</v>
      </c>
      <c r="C1166" t="s">
        <v>4665</v>
      </c>
      <c r="D1166" t="s">
        <v>18781</v>
      </c>
      <c r="E1166" t="s">
        <v>19982</v>
      </c>
      <c r="F1166" t="s">
        <v>32664</v>
      </c>
      <c r="G1166" t="s">
        <v>32674</v>
      </c>
      <c r="H1166" t="s">
        <v>12635</v>
      </c>
      <c r="I1166" t="s">
        <v>32757</v>
      </c>
      <c r="J1166" t="s">
        <v>33702</v>
      </c>
      <c r="K1166" t="s">
        <v>42283</v>
      </c>
      <c r="M1166" t="s">
        <v>43142</v>
      </c>
      <c r="N1166" t="s">
        <v>46569</v>
      </c>
      <c r="O1166" t="s">
        <v>46570</v>
      </c>
      <c r="P1166">
        <v>0</v>
      </c>
      <c r="Q1166">
        <v>0</v>
      </c>
      <c r="R1166" t="s">
        <v>46571</v>
      </c>
      <c r="S1166" t="s">
        <v>46687</v>
      </c>
      <c r="T1166" t="s">
        <v>48217</v>
      </c>
      <c r="U1166" t="s">
        <v>49806</v>
      </c>
      <c r="W1166" t="s">
        <v>43142</v>
      </c>
      <c r="X1166" t="s">
        <v>46572</v>
      </c>
    </row>
    <row r="1167" spans="1:24">
      <c r="A1167">
        <f>HYPERLINK("https://www.philgeps.gov.ph/GEPSNONPILOT/Tender/SplashBidNoticeAbstractUI.aspx?menuIndex=3&amp;refID=7064841&amp;Result=3","7064841")</f>
        <v>0</v>
      </c>
      <c r="B1167" t="s">
        <v>203</v>
      </c>
      <c r="C1167" t="s">
        <v>4666</v>
      </c>
      <c r="D1167" t="s">
        <v>18842</v>
      </c>
      <c r="E1167" t="s">
        <v>19983</v>
      </c>
      <c r="F1167" t="s">
        <v>32664</v>
      </c>
      <c r="G1167" t="s">
        <v>32671</v>
      </c>
      <c r="H1167" t="s">
        <v>32682</v>
      </c>
      <c r="I1167" t="s">
        <v>5501</v>
      </c>
      <c r="J1167" t="s">
        <v>32853</v>
      </c>
      <c r="K1167" t="s">
        <v>42298</v>
      </c>
      <c r="M1167" t="s">
        <v>42767</v>
      </c>
      <c r="N1167" t="s">
        <v>46569</v>
      </c>
      <c r="O1167" t="s">
        <v>46570</v>
      </c>
      <c r="P1167">
        <v>0</v>
      </c>
      <c r="Q1167">
        <v>12</v>
      </c>
      <c r="R1167" t="s">
        <v>46571</v>
      </c>
      <c r="S1167" t="s">
        <v>46687</v>
      </c>
      <c r="T1167" t="s">
        <v>48285</v>
      </c>
      <c r="U1167" t="s">
        <v>49807</v>
      </c>
      <c r="V1167" t="s">
        <v>50334</v>
      </c>
      <c r="W1167" t="s">
        <v>42767</v>
      </c>
      <c r="X1167" t="s">
        <v>46572</v>
      </c>
    </row>
    <row r="1168" spans="1:24">
      <c r="A1168">
        <f>HYPERLINK("https://www.philgeps.gov.ph/GEPSNONPILOT/Tender/SplashBidNoticeAbstractUI.aspx?menuIndex=3&amp;refID=7064829&amp;Result=3","7064829")</f>
        <v>0</v>
      </c>
      <c r="B1168" t="s">
        <v>253</v>
      </c>
      <c r="C1168" t="s">
        <v>4667</v>
      </c>
      <c r="D1168" t="s">
        <v>18790</v>
      </c>
      <c r="E1168" t="s">
        <v>19984</v>
      </c>
      <c r="F1168" t="s">
        <v>32664</v>
      </c>
      <c r="G1168" t="s">
        <v>32671</v>
      </c>
      <c r="H1168" t="s">
        <v>12635</v>
      </c>
      <c r="I1168" t="s">
        <v>32706</v>
      </c>
      <c r="J1168" t="s">
        <v>33703</v>
      </c>
      <c r="K1168" t="s">
        <v>42283</v>
      </c>
      <c r="M1168" t="s">
        <v>42818</v>
      </c>
      <c r="N1168" t="s">
        <v>46569</v>
      </c>
      <c r="O1168" t="s">
        <v>46570</v>
      </c>
      <c r="P1168">
        <v>0</v>
      </c>
      <c r="Q1168">
        <v>0</v>
      </c>
      <c r="R1168" t="s">
        <v>46571</v>
      </c>
      <c r="S1168" t="s">
        <v>46687</v>
      </c>
      <c r="T1168" t="s">
        <v>48283</v>
      </c>
      <c r="U1168" t="s">
        <v>49260</v>
      </c>
      <c r="W1168" t="s">
        <v>42818</v>
      </c>
      <c r="X1168" t="s">
        <v>46572</v>
      </c>
    </row>
    <row r="1169" spans="1:24">
      <c r="A1169">
        <f>HYPERLINK("https://www.philgeps.gov.ph/GEPSNONPILOT/Tender/SplashBidNoticeAbstractUI.aspx?menuIndex=3&amp;refID=7064828&amp;Result=3","7064828")</f>
        <v>0</v>
      </c>
      <c r="B1169" t="s">
        <v>563</v>
      </c>
      <c r="C1169" t="s">
        <v>4668</v>
      </c>
      <c r="D1169" t="s">
        <v>18835</v>
      </c>
      <c r="E1169" t="s">
        <v>19985</v>
      </c>
      <c r="F1169" t="s">
        <v>32664</v>
      </c>
      <c r="G1169" t="s">
        <v>32671</v>
      </c>
      <c r="H1169" t="s">
        <v>12635</v>
      </c>
      <c r="I1169" t="s">
        <v>14442</v>
      </c>
      <c r="J1169" t="s">
        <v>33625</v>
      </c>
      <c r="K1169" t="s">
        <v>42303</v>
      </c>
      <c r="M1169" t="s">
        <v>43143</v>
      </c>
      <c r="N1169" t="s">
        <v>46569</v>
      </c>
      <c r="O1169" t="s">
        <v>46570</v>
      </c>
      <c r="P1169">
        <v>0</v>
      </c>
      <c r="Q1169">
        <v>1</v>
      </c>
      <c r="R1169" t="s">
        <v>46571</v>
      </c>
      <c r="S1169" t="s">
        <v>46687</v>
      </c>
      <c r="T1169" t="s">
        <v>48219</v>
      </c>
      <c r="U1169" t="s">
        <v>49808</v>
      </c>
      <c r="V1169" t="s">
        <v>61759</v>
      </c>
      <c r="W1169" t="s">
        <v>43143</v>
      </c>
      <c r="X1169" t="s">
        <v>46572</v>
      </c>
    </row>
    <row r="1170" spans="1:24">
      <c r="A1170">
        <f>HYPERLINK("https://www.philgeps.gov.ph/GEPSNONPILOT/Tender/SplashBidNoticeAbstractUI.aspx?menuIndex=3&amp;refID=7064925&amp;Result=3","7064925")</f>
        <v>0</v>
      </c>
      <c r="B1170" t="s">
        <v>389</v>
      </c>
      <c r="C1170" t="s">
        <v>4669</v>
      </c>
      <c r="D1170" t="s">
        <v>18792</v>
      </c>
      <c r="E1170" t="s">
        <v>19986</v>
      </c>
      <c r="F1170" t="s">
        <v>32664</v>
      </c>
      <c r="G1170" t="s">
        <v>32671</v>
      </c>
      <c r="H1170" t="s">
        <v>12635</v>
      </c>
      <c r="I1170" t="s">
        <v>4439</v>
      </c>
      <c r="J1170" t="s">
        <v>33704</v>
      </c>
      <c r="K1170" t="s">
        <v>42281</v>
      </c>
      <c r="M1170" t="s">
        <v>42959</v>
      </c>
      <c r="N1170" t="s">
        <v>46569</v>
      </c>
      <c r="O1170" t="s">
        <v>46570</v>
      </c>
      <c r="P1170">
        <v>0</v>
      </c>
      <c r="Q1170">
        <v>0</v>
      </c>
      <c r="R1170" t="s">
        <v>46571</v>
      </c>
      <c r="S1170" t="s">
        <v>46687</v>
      </c>
      <c r="T1170" t="s">
        <v>48282</v>
      </c>
      <c r="U1170" t="s">
        <v>49809</v>
      </c>
      <c r="W1170" t="s">
        <v>42959</v>
      </c>
      <c r="X1170" t="s">
        <v>46572</v>
      </c>
    </row>
    <row r="1171" spans="1:24">
      <c r="A1171">
        <f>HYPERLINK("https://www.philgeps.gov.ph/GEPSNONPILOT/Tender/SplashBidNoticeAbstractUI.aspx?menuIndex=3&amp;refID=7064825&amp;Result=3","7064825")</f>
        <v>0</v>
      </c>
      <c r="B1171" t="s">
        <v>204</v>
      </c>
      <c r="C1171" t="s">
        <v>4670</v>
      </c>
      <c r="D1171" t="s">
        <v>18816</v>
      </c>
      <c r="E1171" t="s">
        <v>19987</v>
      </c>
      <c r="F1171" t="s">
        <v>32664</v>
      </c>
      <c r="G1171" t="s">
        <v>32674</v>
      </c>
      <c r="H1171" t="s">
        <v>12635</v>
      </c>
      <c r="I1171" t="s">
        <v>6168</v>
      </c>
      <c r="J1171" t="s">
        <v>33705</v>
      </c>
      <c r="K1171" t="s">
        <v>42284</v>
      </c>
      <c r="M1171" t="s">
        <v>42768</v>
      </c>
      <c r="N1171" t="s">
        <v>46569</v>
      </c>
      <c r="O1171" t="s">
        <v>46570</v>
      </c>
      <c r="P1171">
        <v>0</v>
      </c>
      <c r="Q1171">
        <v>0</v>
      </c>
      <c r="R1171" t="s">
        <v>46571</v>
      </c>
      <c r="S1171" t="s">
        <v>46687</v>
      </c>
      <c r="T1171" t="s">
        <v>48256</v>
      </c>
      <c r="U1171" t="s">
        <v>49145</v>
      </c>
      <c r="W1171" t="s">
        <v>42768</v>
      </c>
      <c r="X1171" t="s">
        <v>46572</v>
      </c>
    </row>
    <row r="1172" spans="1:24">
      <c r="A1172">
        <f>HYPERLINK("https://www.philgeps.gov.ph/GEPSNONPILOT/Tender/SplashBidNoticeAbstractUI.aspx?menuIndex=3&amp;refID=7065274&amp;Result=3","7065274")</f>
        <v>0</v>
      </c>
      <c r="B1172" t="s">
        <v>352</v>
      </c>
      <c r="C1172" t="s">
        <v>4671</v>
      </c>
      <c r="E1172" t="s">
        <v>19988</v>
      </c>
      <c r="F1172" t="s">
        <v>32664</v>
      </c>
      <c r="G1172" t="s">
        <v>32671</v>
      </c>
      <c r="H1172" t="s">
        <v>12635</v>
      </c>
      <c r="I1172" t="s">
        <v>5589</v>
      </c>
      <c r="J1172" t="s">
        <v>33706</v>
      </c>
      <c r="K1172" t="s">
        <v>42289</v>
      </c>
      <c r="M1172" t="s">
        <v>42921</v>
      </c>
      <c r="N1172" t="s">
        <v>46569</v>
      </c>
      <c r="O1172" t="s">
        <v>46570</v>
      </c>
      <c r="P1172">
        <v>0</v>
      </c>
      <c r="Q1172">
        <v>1</v>
      </c>
      <c r="R1172" t="s">
        <v>46571</v>
      </c>
      <c r="S1172" t="s">
        <v>46687</v>
      </c>
      <c r="T1172" t="s">
        <v>48256</v>
      </c>
      <c r="U1172" t="s">
        <v>49810</v>
      </c>
      <c r="V1172" t="s">
        <v>61707</v>
      </c>
      <c r="W1172" t="s">
        <v>42921</v>
      </c>
      <c r="X1172" t="s">
        <v>46572</v>
      </c>
    </row>
    <row r="1173" spans="1:24">
      <c r="A1173">
        <f>HYPERLINK("https://www.philgeps.gov.ph/GEPSNONPILOT/Tender/SplashBidNoticeAbstractUI.aspx?menuIndex=3&amp;refID=7064822&amp;Result=3","7064822")</f>
        <v>0</v>
      </c>
      <c r="B1173" t="s">
        <v>564</v>
      </c>
      <c r="C1173" t="s">
        <v>4672</v>
      </c>
      <c r="D1173" t="s">
        <v>18784</v>
      </c>
      <c r="E1173" t="s">
        <v>19989</v>
      </c>
      <c r="F1173" t="s">
        <v>32664</v>
      </c>
      <c r="G1173" t="s">
        <v>32671</v>
      </c>
      <c r="H1173" t="s">
        <v>12635</v>
      </c>
      <c r="I1173" t="s">
        <v>8797</v>
      </c>
      <c r="J1173" t="s">
        <v>33707</v>
      </c>
      <c r="K1173" t="s">
        <v>42303</v>
      </c>
      <c r="M1173" t="s">
        <v>43144</v>
      </c>
      <c r="N1173" t="s">
        <v>46569</v>
      </c>
      <c r="O1173" t="s">
        <v>46570</v>
      </c>
      <c r="P1173">
        <v>0</v>
      </c>
      <c r="Q1173">
        <v>2</v>
      </c>
      <c r="R1173" t="s">
        <v>46571</v>
      </c>
      <c r="S1173" t="s">
        <v>46687</v>
      </c>
      <c r="T1173" t="s">
        <v>48331</v>
      </c>
      <c r="U1173" t="s">
        <v>49811</v>
      </c>
      <c r="W1173" t="s">
        <v>63483</v>
      </c>
      <c r="X1173" t="s">
        <v>46572</v>
      </c>
    </row>
    <row r="1174" spans="1:24">
      <c r="A1174">
        <f>HYPERLINK("https://www.philgeps.gov.ph/GEPSNONPILOT/Tender/SplashBidNoticeAbstractUI.aspx?menuIndex=3&amp;refID=7064820&amp;Result=3","7064820")</f>
        <v>0</v>
      </c>
      <c r="B1174" t="s">
        <v>565</v>
      </c>
      <c r="C1174" t="s">
        <v>4673</v>
      </c>
      <c r="E1174" t="s">
        <v>19990</v>
      </c>
      <c r="F1174" t="s">
        <v>32664</v>
      </c>
      <c r="G1174" t="s">
        <v>32671</v>
      </c>
      <c r="H1174" t="s">
        <v>12635</v>
      </c>
      <c r="I1174" t="s">
        <v>8730</v>
      </c>
      <c r="J1174" t="s">
        <v>33708</v>
      </c>
      <c r="K1174" t="s">
        <v>42283</v>
      </c>
      <c r="M1174" t="s">
        <v>43145</v>
      </c>
      <c r="N1174" t="s">
        <v>46569</v>
      </c>
      <c r="O1174" t="s">
        <v>46570</v>
      </c>
      <c r="P1174">
        <v>0</v>
      </c>
      <c r="Q1174">
        <v>5</v>
      </c>
      <c r="R1174" t="s">
        <v>46571</v>
      </c>
      <c r="S1174" t="s">
        <v>46687</v>
      </c>
      <c r="T1174" t="s">
        <v>48211</v>
      </c>
      <c r="U1174" t="s">
        <v>49812</v>
      </c>
      <c r="W1174" t="s">
        <v>43145</v>
      </c>
      <c r="X1174" t="s">
        <v>46572</v>
      </c>
    </row>
    <row r="1175" spans="1:24">
      <c r="A1175">
        <f>HYPERLINK("https://www.philgeps.gov.ph/GEPSNONPILOT/Tender/SplashBidNoticeAbstractUI.aspx?menuIndex=3&amp;refID=7064844&amp;Result=3","7064844")</f>
        <v>0</v>
      </c>
      <c r="B1175" t="s">
        <v>272</v>
      </c>
      <c r="C1175" t="s">
        <v>4674</v>
      </c>
      <c r="D1175" t="s">
        <v>18810</v>
      </c>
      <c r="E1175" t="s">
        <v>19991</v>
      </c>
      <c r="F1175" t="s">
        <v>32664</v>
      </c>
      <c r="G1175" t="s">
        <v>32672</v>
      </c>
      <c r="H1175" t="s">
        <v>12635</v>
      </c>
      <c r="I1175" t="s">
        <v>11464</v>
      </c>
      <c r="J1175" t="s">
        <v>32837</v>
      </c>
      <c r="K1175" t="s">
        <v>42281</v>
      </c>
      <c r="M1175" t="s">
        <v>42837</v>
      </c>
      <c r="N1175" t="s">
        <v>46569</v>
      </c>
      <c r="O1175" t="s">
        <v>46570</v>
      </c>
      <c r="P1175">
        <v>0</v>
      </c>
      <c r="Q1175">
        <v>3</v>
      </c>
      <c r="R1175" t="s">
        <v>46571</v>
      </c>
      <c r="S1175" t="s">
        <v>46687</v>
      </c>
      <c r="T1175" t="s">
        <v>48275</v>
      </c>
      <c r="U1175" t="s">
        <v>49813</v>
      </c>
      <c r="W1175" t="s">
        <v>42837</v>
      </c>
      <c r="X1175" t="s">
        <v>46572</v>
      </c>
    </row>
    <row r="1176" spans="1:24">
      <c r="A1176">
        <f>HYPERLINK("https://www.philgeps.gov.ph/GEPSNONPILOT/Tender/SplashBidNoticeAbstractUI.aspx?menuIndex=3&amp;refID=7065761&amp;Result=3","7065761")</f>
        <v>0</v>
      </c>
      <c r="B1176" t="s">
        <v>525</v>
      </c>
      <c r="C1176" t="s">
        <v>4675</v>
      </c>
      <c r="E1176" t="s">
        <v>19992</v>
      </c>
      <c r="F1176" t="s">
        <v>32664</v>
      </c>
      <c r="G1176" t="s">
        <v>32671</v>
      </c>
      <c r="H1176" t="s">
        <v>12635</v>
      </c>
      <c r="I1176" t="s">
        <v>4997</v>
      </c>
      <c r="J1176" t="s">
        <v>33709</v>
      </c>
      <c r="K1176" t="s">
        <v>42283</v>
      </c>
      <c r="M1176" t="s">
        <v>43102</v>
      </c>
      <c r="N1176" t="s">
        <v>46569</v>
      </c>
      <c r="O1176" t="s">
        <v>46570</v>
      </c>
      <c r="P1176">
        <v>0</v>
      </c>
      <c r="Q1176">
        <v>0</v>
      </c>
      <c r="R1176" t="s">
        <v>46571</v>
      </c>
      <c r="S1176" t="s">
        <v>46687</v>
      </c>
      <c r="T1176" t="s">
        <v>48244</v>
      </c>
      <c r="U1176" t="s">
        <v>49814</v>
      </c>
      <c r="W1176" t="s">
        <v>43102</v>
      </c>
      <c r="X1176" t="s">
        <v>46572</v>
      </c>
    </row>
    <row r="1177" spans="1:24">
      <c r="A1177">
        <f>HYPERLINK("https://www.philgeps.gov.ph/GEPSNONPILOT/Tender/SplashBidNoticeAbstractUI.aspx?menuIndex=3&amp;refID=7064830&amp;Result=3","7064830")</f>
        <v>0</v>
      </c>
      <c r="B1177" t="s">
        <v>135</v>
      </c>
      <c r="C1177" t="s">
        <v>4676</v>
      </c>
      <c r="D1177" t="s">
        <v>18807</v>
      </c>
      <c r="E1177" t="s">
        <v>19993</v>
      </c>
      <c r="F1177" t="s">
        <v>32664</v>
      </c>
      <c r="G1177" t="s">
        <v>32672</v>
      </c>
      <c r="H1177" t="s">
        <v>12635</v>
      </c>
      <c r="I1177" t="s">
        <v>32706</v>
      </c>
      <c r="J1177" t="s">
        <v>33710</v>
      </c>
      <c r="K1177" t="s">
        <v>42281</v>
      </c>
      <c r="M1177" t="s">
        <v>42699</v>
      </c>
      <c r="N1177" t="s">
        <v>46569</v>
      </c>
      <c r="O1177" t="s">
        <v>46570</v>
      </c>
      <c r="P1177">
        <v>0</v>
      </c>
      <c r="Q1177">
        <v>0</v>
      </c>
      <c r="R1177" t="s">
        <v>46571</v>
      </c>
      <c r="S1177" t="s">
        <v>46687</v>
      </c>
      <c r="T1177" t="s">
        <v>48226</v>
      </c>
      <c r="U1177" t="s">
        <v>49250</v>
      </c>
      <c r="V1177" t="s">
        <v>61650</v>
      </c>
      <c r="W1177" t="s">
        <v>42699</v>
      </c>
      <c r="X1177" t="s">
        <v>46572</v>
      </c>
    </row>
    <row r="1178" spans="1:24">
      <c r="A1178">
        <f>HYPERLINK("https://www.philgeps.gov.ph/GEPSNONPILOT/Tender/SplashBidNoticeAbstractUI.aspx?menuIndex=3&amp;refID=7064955&amp;Result=3","7064955")</f>
        <v>0</v>
      </c>
      <c r="B1178" t="s">
        <v>418</v>
      </c>
      <c r="C1178" t="s">
        <v>4677</v>
      </c>
      <c r="D1178" t="s">
        <v>18784</v>
      </c>
      <c r="E1178" t="s">
        <v>19994</v>
      </c>
      <c r="F1178" t="s">
        <v>32664</v>
      </c>
      <c r="G1178" t="s">
        <v>32672</v>
      </c>
      <c r="H1178" t="s">
        <v>12635</v>
      </c>
      <c r="I1178" t="s">
        <v>6168</v>
      </c>
      <c r="J1178" t="s">
        <v>33711</v>
      </c>
      <c r="K1178" t="s">
        <v>42289</v>
      </c>
      <c r="M1178" t="s">
        <v>42989</v>
      </c>
      <c r="N1178" t="s">
        <v>46569</v>
      </c>
      <c r="O1178" t="s">
        <v>46570</v>
      </c>
      <c r="P1178">
        <v>0</v>
      </c>
      <c r="Q1178">
        <v>0</v>
      </c>
      <c r="R1178" t="s">
        <v>46571</v>
      </c>
      <c r="S1178" t="s">
        <v>46687</v>
      </c>
      <c r="T1178" t="s">
        <v>48226</v>
      </c>
      <c r="U1178" t="s">
        <v>49815</v>
      </c>
      <c r="W1178" t="s">
        <v>42989</v>
      </c>
      <c r="X1178" t="s">
        <v>46572</v>
      </c>
    </row>
    <row r="1179" spans="1:24">
      <c r="A1179">
        <f>HYPERLINK("https://www.philgeps.gov.ph/GEPSNONPILOT/Tender/SplashBidNoticeAbstractUI.aspx?menuIndex=3&amp;refID=7065767&amp;Result=3","7065767")</f>
        <v>0</v>
      </c>
      <c r="B1179" t="s">
        <v>566</v>
      </c>
      <c r="C1179" t="s">
        <v>4678</v>
      </c>
      <c r="D1179" t="s">
        <v>18801</v>
      </c>
      <c r="E1179" t="s">
        <v>18926</v>
      </c>
      <c r="F1179" t="s">
        <v>32664</v>
      </c>
      <c r="G1179" t="s">
        <v>32672</v>
      </c>
      <c r="H1179" t="s">
        <v>12635</v>
      </c>
      <c r="I1179" t="s">
        <v>32692</v>
      </c>
      <c r="J1179" t="s">
        <v>33330</v>
      </c>
      <c r="K1179" t="s">
        <v>42309</v>
      </c>
      <c r="M1179" t="s">
        <v>43146</v>
      </c>
      <c r="N1179" t="s">
        <v>46569</v>
      </c>
      <c r="O1179" t="s">
        <v>46570</v>
      </c>
      <c r="P1179">
        <v>0</v>
      </c>
      <c r="Q1179">
        <v>0</v>
      </c>
      <c r="R1179" t="s">
        <v>46571</v>
      </c>
      <c r="S1179" t="s">
        <v>46687</v>
      </c>
      <c r="T1179" t="s">
        <v>48211</v>
      </c>
      <c r="U1179" t="s">
        <v>49816</v>
      </c>
      <c r="V1179" t="s">
        <v>61760</v>
      </c>
      <c r="W1179" t="s">
        <v>43146</v>
      </c>
      <c r="X1179" t="s">
        <v>46572</v>
      </c>
    </row>
    <row r="1180" spans="1:24">
      <c r="A1180">
        <f>HYPERLINK("https://www.philgeps.gov.ph/GEPSNONPILOT/Tender/SplashBidNoticeAbstractUI.aspx?menuIndex=3&amp;refID=7065766&amp;Result=3","7065766")</f>
        <v>0</v>
      </c>
      <c r="B1180" t="s">
        <v>529</v>
      </c>
      <c r="C1180" t="s">
        <v>4679</v>
      </c>
      <c r="D1180" t="s">
        <v>18784</v>
      </c>
      <c r="E1180" t="s">
        <v>19995</v>
      </c>
      <c r="F1180" t="s">
        <v>32664</v>
      </c>
      <c r="G1180" t="s">
        <v>32671</v>
      </c>
      <c r="H1180" t="s">
        <v>12635</v>
      </c>
      <c r="I1180" t="s">
        <v>32704</v>
      </c>
      <c r="J1180" t="s">
        <v>33712</v>
      </c>
      <c r="K1180" t="s">
        <v>42283</v>
      </c>
      <c r="M1180" t="s">
        <v>43107</v>
      </c>
      <c r="N1180" t="s">
        <v>46569</v>
      </c>
      <c r="O1180" t="s">
        <v>46570</v>
      </c>
      <c r="P1180">
        <v>0</v>
      </c>
      <c r="Q1180">
        <v>2</v>
      </c>
      <c r="R1180" t="s">
        <v>46571</v>
      </c>
      <c r="S1180" t="s">
        <v>46687</v>
      </c>
      <c r="T1180" t="s">
        <v>48319</v>
      </c>
      <c r="U1180" t="s">
        <v>49817</v>
      </c>
      <c r="V1180" t="s">
        <v>61747</v>
      </c>
      <c r="W1180" t="s">
        <v>43107</v>
      </c>
      <c r="X1180" t="s">
        <v>46572</v>
      </c>
    </row>
    <row r="1181" spans="1:24">
      <c r="A1181">
        <f>HYPERLINK("https://www.philgeps.gov.ph/GEPSNONPILOT/Tender/SplashBidNoticeAbstractUI.aspx?menuIndex=3&amp;refID=7065759&amp;Result=3","7065759")</f>
        <v>0</v>
      </c>
      <c r="B1181" t="s">
        <v>567</v>
      </c>
      <c r="C1181" t="s">
        <v>4680</v>
      </c>
      <c r="D1181" t="s">
        <v>18784</v>
      </c>
      <c r="E1181" t="s">
        <v>19996</v>
      </c>
      <c r="F1181" t="s">
        <v>32664</v>
      </c>
      <c r="G1181" t="s">
        <v>32671</v>
      </c>
      <c r="H1181" t="s">
        <v>32682</v>
      </c>
      <c r="I1181" t="s">
        <v>6553</v>
      </c>
      <c r="J1181" t="s">
        <v>33713</v>
      </c>
      <c r="K1181" t="s">
        <v>42291</v>
      </c>
      <c r="M1181" t="s">
        <v>43147</v>
      </c>
      <c r="N1181" t="s">
        <v>46569</v>
      </c>
      <c r="O1181" t="s">
        <v>46570</v>
      </c>
      <c r="P1181">
        <v>0</v>
      </c>
      <c r="Q1181">
        <v>0</v>
      </c>
      <c r="R1181" t="s">
        <v>46571</v>
      </c>
      <c r="S1181" t="s">
        <v>46687</v>
      </c>
      <c r="T1181" t="s">
        <v>48371</v>
      </c>
      <c r="U1181" t="s">
        <v>49818</v>
      </c>
      <c r="W1181" t="s">
        <v>43147</v>
      </c>
      <c r="X1181" t="s">
        <v>46572</v>
      </c>
    </row>
    <row r="1182" spans="1:24">
      <c r="A1182">
        <f>HYPERLINK("https://www.philgeps.gov.ph/GEPSNONPILOT/Tender/SplashBidNoticeAbstractUI.aspx?menuIndex=3&amp;refID=7064821&amp;Result=3","7064821")</f>
        <v>0</v>
      </c>
      <c r="B1182" t="s">
        <v>236</v>
      </c>
      <c r="C1182" t="s">
        <v>4681</v>
      </c>
      <c r="D1182" t="s">
        <v>18789</v>
      </c>
      <c r="E1182" t="s">
        <v>19997</v>
      </c>
      <c r="F1182" t="s">
        <v>32664</v>
      </c>
      <c r="G1182" t="s">
        <v>32671</v>
      </c>
      <c r="H1182" t="s">
        <v>12635</v>
      </c>
      <c r="I1182" t="s">
        <v>10370</v>
      </c>
      <c r="J1182" t="s">
        <v>32974</v>
      </c>
      <c r="K1182" t="s">
        <v>42297</v>
      </c>
      <c r="M1182" t="s">
        <v>42801</v>
      </c>
      <c r="N1182" t="s">
        <v>46569</v>
      </c>
      <c r="O1182" t="s">
        <v>46570</v>
      </c>
      <c r="P1182">
        <v>0</v>
      </c>
      <c r="Q1182">
        <v>2</v>
      </c>
      <c r="R1182" t="s">
        <v>46571</v>
      </c>
      <c r="S1182" t="s">
        <v>46687</v>
      </c>
      <c r="T1182" t="s">
        <v>48225</v>
      </c>
      <c r="U1182" t="s">
        <v>49203</v>
      </c>
      <c r="W1182" t="s">
        <v>42801</v>
      </c>
      <c r="X1182" t="s">
        <v>46572</v>
      </c>
    </row>
    <row r="1183" spans="1:24">
      <c r="A1183">
        <f>HYPERLINK("https://www.philgeps.gov.ph/GEPSNONPILOT/Tender/SplashBidNoticeAbstractUI.aspx?menuIndex=3&amp;refID=7065760&amp;Result=3","7065760")</f>
        <v>0</v>
      </c>
      <c r="B1183" t="s">
        <v>568</v>
      </c>
      <c r="C1183" t="s">
        <v>4682</v>
      </c>
      <c r="D1183" t="s">
        <v>18822</v>
      </c>
      <c r="E1183" t="s">
        <v>19998</v>
      </c>
      <c r="F1183" t="s">
        <v>32664</v>
      </c>
      <c r="G1183" t="s">
        <v>32672</v>
      </c>
      <c r="H1183" t="s">
        <v>12635</v>
      </c>
      <c r="I1183" t="s">
        <v>32685</v>
      </c>
      <c r="J1183" t="s">
        <v>33714</v>
      </c>
      <c r="K1183" t="s">
        <v>42297</v>
      </c>
      <c r="M1183" t="s">
        <v>43148</v>
      </c>
      <c r="N1183" t="s">
        <v>46569</v>
      </c>
      <c r="O1183" t="s">
        <v>46570</v>
      </c>
      <c r="P1183">
        <v>0</v>
      </c>
      <c r="Q1183">
        <v>1</v>
      </c>
      <c r="R1183" t="s">
        <v>46571</v>
      </c>
      <c r="S1183" t="s">
        <v>46687</v>
      </c>
      <c r="T1183" t="s">
        <v>48275</v>
      </c>
      <c r="U1183" t="s">
        <v>49819</v>
      </c>
      <c r="V1183" t="s">
        <v>61761</v>
      </c>
      <c r="W1183" t="s">
        <v>63484</v>
      </c>
      <c r="X1183" t="s">
        <v>46572</v>
      </c>
    </row>
    <row r="1184" spans="1:24">
      <c r="A1184">
        <f>HYPERLINK("https://www.philgeps.gov.ph/GEPSNONPILOT/Tender/SplashBidNoticeAbstractUI.aspx?menuIndex=3&amp;refID=7065753&amp;Result=3","7065753")</f>
        <v>0</v>
      </c>
      <c r="B1184" t="s">
        <v>517</v>
      </c>
      <c r="C1184" t="s">
        <v>4683</v>
      </c>
      <c r="D1184" t="s">
        <v>18788</v>
      </c>
      <c r="E1184" t="s">
        <v>19999</v>
      </c>
      <c r="F1184" t="s">
        <v>32664</v>
      </c>
      <c r="G1184" t="s">
        <v>32672</v>
      </c>
      <c r="H1184" t="s">
        <v>32683</v>
      </c>
      <c r="I1184" t="s">
        <v>10627</v>
      </c>
      <c r="J1184" t="s">
        <v>32865</v>
      </c>
      <c r="K1184" t="s">
        <v>42281</v>
      </c>
      <c r="M1184" t="s">
        <v>43094</v>
      </c>
      <c r="N1184" t="s">
        <v>46569</v>
      </c>
      <c r="O1184" t="s">
        <v>46570</v>
      </c>
      <c r="P1184">
        <v>0</v>
      </c>
      <c r="Q1184">
        <v>0</v>
      </c>
      <c r="R1184" t="s">
        <v>46571</v>
      </c>
      <c r="S1184" t="s">
        <v>46687</v>
      </c>
      <c r="T1184" t="s">
        <v>48222</v>
      </c>
      <c r="U1184" t="s">
        <v>49820</v>
      </c>
      <c r="W1184" t="s">
        <v>43094</v>
      </c>
      <c r="X1184" t="s">
        <v>46572</v>
      </c>
    </row>
    <row r="1185" spans="1:24">
      <c r="A1185">
        <f>HYPERLINK("https://www.philgeps.gov.ph/GEPSNONPILOT/Tender/SplashBidNoticeAbstractUI.aspx?menuIndex=3&amp;refID=7064827&amp;Result=3","7064827")</f>
        <v>0</v>
      </c>
      <c r="B1185" t="s">
        <v>569</v>
      </c>
      <c r="C1185" t="s">
        <v>4684</v>
      </c>
      <c r="D1185" t="s">
        <v>18784</v>
      </c>
      <c r="E1185" t="s">
        <v>20000</v>
      </c>
      <c r="F1185" t="s">
        <v>32664</v>
      </c>
      <c r="G1185" t="s">
        <v>32674</v>
      </c>
      <c r="H1185" t="s">
        <v>12635</v>
      </c>
      <c r="I1185" t="s">
        <v>32725</v>
      </c>
      <c r="J1185" t="s">
        <v>33015</v>
      </c>
      <c r="K1185" t="s">
        <v>42283</v>
      </c>
      <c r="M1185" t="s">
        <v>43149</v>
      </c>
      <c r="N1185" t="s">
        <v>46569</v>
      </c>
      <c r="O1185" t="s">
        <v>46570</v>
      </c>
      <c r="P1185">
        <v>0</v>
      </c>
      <c r="Q1185">
        <v>0</v>
      </c>
      <c r="R1185" t="s">
        <v>46571</v>
      </c>
      <c r="S1185" t="s">
        <v>46687</v>
      </c>
      <c r="T1185" t="s">
        <v>48280</v>
      </c>
      <c r="U1185" t="s">
        <v>49821</v>
      </c>
      <c r="V1185" t="s">
        <v>61762</v>
      </c>
      <c r="W1185" t="s">
        <v>43149</v>
      </c>
      <c r="X1185" t="s">
        <v>46572</v>
      </c>
    </row>
    <row r="1186" spans="1:24">
      <c r="A1186">
        <f>HYPERLINK("https://www.philgeps.gov.ph/GEPSNONPILOT/Tender/SplashBidNoticeAbstractUI.aspx?menuIndex=3&amp;refID=7065762&amp;Result=3","7065762")</f>
        <v>0</v>
      </c>
      <c r="B1186" t="s">
        <v>243</v>
      </c>
      <c r="C1186" t="s">
        <v>4685</v>
      </c>
      <c r="D1186" t="s">
        <v>18841</v>
      </c>
      <c r="E1186" t="s">
        <v>20001</v>
      </c>
      <c r="F1186" t="s">
        <v>32664</v>
      </c>
      <c r="G1186" t="s">
        <v>32672</v>
      </c>
      <c r="H1186" t="s">
        <v>12635</v>
      </c>
      <c r="I1186" t="s">
        <v>11464</v>
      </c>
      <c r="J1186" t="s">
        <v>32943</v>
      </c>
      <c r="K1186" t="s">
        <v>42298</v>
      </c>
      <c r="L1186" t="s">
        <v>243</v>
      </c>
      <c r="M1186" t="s">
        <v>42808</v>
      </c>
      <c r="N1186" t="s">
        <v>46569</v>
      </c>
      <c r="O1186" t="s">
        <v>46570</v>
      </c>
      <c r="P1186">
        <v>0</v>
      </c>
      <c r="Q1186">
        <v>2</v>
      </c>
      <c r="R1186" t="s">
        <v>46571</v>
      </c>
      <c r="S1186" t="s">
        <v>46687</v>
      </c>
      <c r="T1186" t="s">
        <v>48263</v>
      </c>
      <c r="U1186" t="s">
        <v>49822</v>
      </c>
      <c r="V1186" t="s">
        <v>61763</v>
      </c>
      <c r="W1186" t="s">
        <v>42808</v>
      </c>
      <c r="X1186" t="s">
        <v>46572</v>
      </c>
    </row>
    <row r="1187" spans="1:24">
      <c r="A1187">
        <f>HYPERLINK("https://www.philgeps.gov.ph/GEPSNONPILOT/Tender/SplashBidNoticeAbstractUI.aspx?menuIndex=3&amp;refID=7065752&amp;Result=3","7065752")</f>
        <v>0</v>
      </c>
      <c r="B1187" t="s">
        <v>570</v>
      </c>
      <c r="C1187" t="s">
        <v>4686</v>
      </c>
      <c r="E1187" t="s">
        <v>20002</v>
      </c>
      <c r="F1187" t="s">
        <v>32664</v>
      </c>
      <c r="G1187" t="s">
        <v>32671</v>
      </c>
      <c r="H1187" t="s">
        <v>12635</v>
      </c>
      <c r="I1187" t="s">
        <v>32706</v>
      </c>
      <c r="J1187" t="s">
        <v>33715</v>
      </c>
      <c r="K1187" t="s">
        <v>42283</v>
      </c>
      <c r="M1187" t="s">
        <v>43150</v>
      </c>
      <c r="N1187" t="s">
        <v>46569</v>
      </c>
      <c r="O1187" t="s">
        <v>46570</v>
      </c>
      <c r="P1187">
        <v>0</v>
      </c>
      <c r="Q1187">
        <v>0</v>
      </c>
      <c r="R1187" t="s">
        <v>46571</v>
      </c>
      <c r="S1187" t="s">
        <v>46687</v>
      </c>
      <c r="T1187" t="s">
        <v>48282</v>
      </c>
      <c r="U1187" t="s">
        <v>49823</v>
      </c>
      <c r="W1187" t="s">
        <v>43150</v>
      </c>
      <c r="X1187" t="s">
        <v>46572</v>
      </c>
    </row>
    <row r="1188" spans="1:24">
      <c r="A1188">
        <f>HYPERLINK("https://www.philgeps.gov.ph/GEPSNONPILOT/Tender/SplashBidNoticeAbstractUI.aspx?menuIndex=3&amp;refID=7065751&amp;Result=3","7065751")</f>
        <v>0</v>
      </c>
      <c r="B1188" t="s">
        <v>501</v>
      </c>
      <c r="C1188" t="s">
        <v>4687</v>
      </c>
      <c r="D1188" t="s">
        <v>18803</v>
      </c>
      <c r="E1188" t="s">
        <v>20003</v>
      </c>
      <c r="F1188" t="s">
        <v>32664</v>
      </c>
      <c r="G1188" t="s">
        <v>32674</v>
      </c>
      <c r="H1188" t="s">
        <v>12635</v>
      </c>
      <c r="I1188" t="s">
        <v>4439</v>
      </c>
      <c r="J1188" t="s">
        <v>33716</v>
      </c>
      <c r="K1188" t="s">
        <v>42284</v>
      </c>
      <c r="M1188" t="s">
        <v>43077</v>
      </c>
      <c r="N1188" t="s">
        <v>46569</v>
      </c>
      <c r="O1188" t="s">
        <v>46570</v>
      </c>
      <c r="P1188">
        <v>0</v>
      </c>
      <c r="Q1188">
        <v>0</v>
      </c>
      <c r="R1188" t="s">
        <v>46571</v>
      </c>
      <c r="S1188" t="s">
        <v>46687</v>
      </c>
      <c r="T1188" t="s">
        <v>48296</v>
      </c>
      <c r="U1188" t="s">
        <v>49824</v>
      </c>
      <c r="W1188" t="s">
        <v>43077</v>
      </c>
      <c r="X1188" t="s">
        <v>46572</v>
      </c>
    </row>
    <row r="1189" spans="1:24">
      <c r="A1189">
        <f>HYPERLINK("https://www.philgeps.gov.ph/GEPSNONPILOT/Tender/SplashBidNoticeAbstractUI.aspx?menuIndex=3&amp;refID=7065750&amp;Result=3","7065750")</f>
        <v>0</v>
      </c>
      <c r="B1189" t="s">
        <v>530</v>
      </c>
      <c r="C1189" t="s">
        <v>4688</v>
      </c>
      <c r="D1189" t="s">
        <v>18802</v>
      </c>
      <c r="E1189" t="s">
        <v>20004</v>
      </c>
      <c r="F1189" t="s">
        <v>32664</v>
      </c>
      <c r="G1189" t="s">
        <v>32672</v>
      </c>
      <c r="H1189" t="s">
        <v>32683</v>
      </c>
      <c r="I1189" t="s">
        <v>10627</v>
      </c>
      <c r="J1189" t="s">
        <v>33717</v>
      </c>
      <c r="K1189" t="s">
        <v>42281</v>
      </c>
      <c r="M1189" t="s">
        <v>43108</v>
      </c>
      <c r="N1189" t="s">
        <v>46569</v>
      </c>
      <c r="O1189" t="s">
        <v>46570</v>
      </c>
      <c r="P1189">
        <v>0</v>
      </c>
      <c r="Q1189">
        <v>0</v>
      </c>
      <c r="R1189" t="s">
        <v>46571</v>
      </c>
      <c r="S1189" t="s">
        <v>46687</v>
      </c>
      <c r="T1189" t="s">
        <v>48302</v>
      </c>
      <c r="U1189" t="s">
        <v>49726</v>
      </c>
      <c r="W1189" t="s">
        <v>43108</v>
      </c>
      <c r="X1189" t="s">
        <v>46572</v>
      </c>
    </row>
    <row r="1190" spans="1:24">
      <c r="A1190">
        <f>HYPERLINK("https://www.philgeps.gov.ph/GEPSNONPILOT/Tender/SplashBidNoticeAbstractUI.aspx?menuIndex=3&amp;refID=7065747&amp;Result=3","7065747")</f>
        <v>0</v>
      </c>
      <c r="B1190" t="s">
        <v>571</v>
      </c>
      <c r="C1190" t="s">
        <v>4689</v>
      </c>
      <c r="D1190" t="s">
        <v>18787</v>
      </c>
      <c r="E1190" t="s">
        <v>20005</v>
      </c>
      <c r="F1190" t="s">
        <v>32664</v>
      </c>
      <c r="G1190" t="s">
        <v>32671</v>
      </c>
      <c r="H1190" t="s">
        <v>12635</v>
      </c>
      <c r="I1190" t="s">
        <v>32758</v>
      </c>
      <c r="J1190" t="s">
        <v>33089</v>
      </c>
      <c r="K1190" t="s">
        <v>42281</v>
      </c>
      <c r="M1190" t="s">
        <v>43151</v>
      </c>
      <c r="N1190" t="s">
        <v>46569</v>
      </c>
      <c r="O1190" t="s">
        <v>46570</v>
      </c>
      <c r="P1190">
        <v>0</v>
      </c>
      <c r="Q1190">
        <v>0</v>
      </c>
      <c r="R1190" t="s">
        <v>46571</v>
      </c>
      <c r="S1190" t="s">
        <v>46687</v>
      </c>
      <c r="T1190" t="s">
        <v>48305</v>
      </c>
      <c r="U1190" t="s">
        <v>49825</v>
      </c>
      <c r="W1190" t="s">
        <v>43151</v>
      </c>
      <c r="X1190" t="s">
        <v>46572</v>
      </c>
    </row>
    <row r="1191" spans="1:24">
      <c r="A1191">
        <f>HYPERLINK("https://www.philgeps.gov.ph/GEPSNONPILOT/Tender/SplashBidNoticeAbstractUI.aspx?menuIndex=3&amp;refID=7065746&amp;Result=3","7065746")</f>
        <v>0</v>
      </c>
      <c r="B1191" t="s">
        <v>396</v>
      </c>
      <c r="C1191" t="s">
        <v>4690</v>
      </c>
      <c r="D1191" t="s">
        <v>18790</v>
      </c>
      <c r="E1191" t="s">
        <v>20006</v>
      </c>
      <c r="F1191" t="s">
        <v>32664</v>
      </c>
      <c r="G1191" t="s">
        <v>32671</v>
      </c>
      <c r="H1191" t="s">
        <v>12635</v>
      </c>
      <c r="I1191" t="s">
        <v>32706</v>
      </c>
      <c r="J1191" t="s">
        <v>33718</v>
      </c>
      <c r="K1191" t="s">
        <v>42284</v>
      </c>
      <c r="M1191" t="s">
        <v>42966</v>
      </c>
      <c r="N1191" t="s">
        <v>46569</v>
      </c>
      <c r="O1191" t="s">
        <v>46570</v>
      </c>
      <c r="P1191">
        <v>0</v>
      </c>
      <c r="Q1191">
        <v>0</v>
      </c>
      <c r="R1191" t="s">
        <v>46571</v>
      </c>
      <c r="S1191" t="s">
        <v>46687</v>
      </c>
      <c r="T1191" t="s">
        <v>48283</v>
      </c>
      <c r="U1191" t="s">
        <v>49826</v>
      </c>
      <c r="W1191" t="s">
        <v>42966</v>
      </c>
      <c r="X1191" t="s">
        <v>46572</v>
      </c>
    </row>
    <row r="1192" spans="1:24">
      <c r="A1192">
        <f>HYPERLINK("https://www.philgeps.gov.ph/GEPSNONPILOT/Tender/SplashBidNoticeAbstractUI.aspx?menuIndex=3&amp;refID=7065744&amp;Result=3","7065744")</f>
        <v>0</v>
      </c>
      <c r="B1192" t="s">
        <v>555</v>
      </c>
      <c r="C1192" t="s">
        <v>4691</v>
      </c>
      <c r="D1192" t="s">
        <v>18841</v>
      </c>
      <c r="E1192" t="s">
        <v>20007</v>
      </c>
      <c r="F1192" t="s">
        <v>32664</v>
      </c>
      <c r="G1192" t="s">
        <v>32671</v>
      </c>
      <c r="H1192" t="s">
        <v>12635</v>
      </c>
      <c r="I1192" t="s">
        <v>32694</v>
      </c>
      <c r="J1192" t="s">
        <v>33719</v>
      </c>
      <c r="K1192" t="s">
        <v>42289</v>
      </c>
      <c r="M1192" t="s">
        <v>43135</v>
      </c>
      <c r="N1192" t="s">
        <v>46569</v>
      </c>
      <c r="O1192" t="s">
        <v>46570</v>
      </c>
      <c r="P1192">
        <v>0</v>
      </c>
      <c r="Q1192">
        <v>0</v>
      </c>
      <c r="R1192" t="s">
        <v>46571</v>
      </c>
      <c r="S1192" t="s">
        <v>46687</v>
      </c>
      <c r="T1192" t="s">
        <v>48304</v>
      </c>
      <c r="U1192" t="s">
        <v>49827</v>
      </c>
      <c r="W1192" t="s">
        <v>43135</v>
      </c>
      <c r="X1192" t="s">
        <v>46572</v>
      </c>
    </row>
    <row r="1193" spans="1:24">
      <c r="A1193">
        <f>HYPERLINK("https://www.philgeps.gov.ph/GEPSNONPILOT/Tender/SplashBidNoticeAbstractUI.aspx?menuIndex=3&amp;refID=7065743&amp;Result=3","7065743")</f>
        <v>0</v>
      </c>
      <c r="B1193" t="s">
        <v>572</v>
      </c>
      <c r="C1193" t="s">
        <v>4692</v>
      </c>
      <c r="D1193" t="s">
        <v>18806</v>
      </c>
      <c r="E1193" t="s">
        <v>19280</v>
      </c>
      <c r="F1193" t="s">
        <v>32664</v>
      </c>
      <c r="G1193" t="s">
        <v>32671</v>
      </c>
      <c r="H1193" t="s">
        <v>32682</v>
      </c>
      <c r="I1193" t="s">
        <v>32738</v>
      </c>
      <c r="J1193" t="s">
        <v>32842</v>
      </c>
      <c r="K1193" t="s">
        <v>42297</v>
      </c>
      <c r="M1193" t="s">
        <v>43152</v>
      </c>
      <c r="N1193" t="s">
        <v>46569</v>
      </c>
      <c r="O1193" t="s">
        <v>46570</v>
      </c>
      <c r="P1193">
        <v>0</v>
      </c>
      <c r="Q1193">
        <v>0</v>
      </c>
      <c r="R1193" t="s">
        <v>46571</v>
      </c>
      <c r="S1193" t="s">
        <v>46687</v>
      </c>
      <c r="T1193" t="s">
        <v>48331</v>
      </c>
      <c r="U1193" t="s">
        <v>49828</v>
      </c>
      <c r="W1193" t="s">
        <v>43152</v>
      </c>
      <c r="X1193" t="s">
        <v>46572</v>
      </c>
    </row>
    <row r="1194" spans="1:24">
      <c r="A1194">
        <f>HYPERLINK("https://www.philgeps.gov.ph/GEPSNONPILOT/Tender/SplashBidNoticeAbstractUI.aspx?menuIndex=3&amp;refID=7064842&amp;Result=3","7064842")</f>
        <v>0</v>
      </c>
      <c r="B1194" t="s">
        <v>337</v>
      </c>
      <c r="C1194" t="s">
        <v>4693</v>
      </c>
      <c r="D1194" t="s">
        <v>18842</v>
      </c>
      <c r="E1194" t="s">
        <v>19533</v>
      </c>
      <c r="F1194" t="s">
        <v>32664</v>
      </c>
      <c r="G1194" t="s">
        <v>32671</v>
      </c>
      <c r="H1194" t="s">
        <v>32681</v>
      </c>
      <c r="I1194" t="s">
        <v>32681</v>
      </c>
      <c r="J1194" t="s">
        <v>32859</v>
      </c>
      <c r="K1194" t="s">
        <v>42290</v>
      </c>
      <c r="M1194" t="s">
        <v>42905</v>
      </c>
      <c r="N1194" t="s">
        <v>46569</v>
      </c>
      <c r="O1194" t="s">
        <v>46570</v>
      </c>
      <c r="P1194">
        <v>0</v>
      </c>
      <c r="Q1194">
        <v>1</v>
      </c>
      <c r="R1194" t="s">
        <v>46571</v>
      </c>
      <c r="S1194" t="s">
        <v>46687</v>
      </c>
      <c r="T1194" t="s">
        <v>48256</v>
      </c>
      <c r="U1194" t="s">
        <v>49829</v>
      </c>
      <c r="W1194" t="s">
        <v>42905</v>
      </c>
      <c r="X1194" t="s">
        <v>46572</v>
      </c>
    </row>
    <row r="1195" spans="1:24">
      <c r="A1195">
        <f>HYPERLINK("https://www.philgeps.gov.ph/GEPSNONPILOT/Tender/SplashBidNoticeAbstractUI.aspx?menuIndex=3&amp;refID=7065741&amp;Result=3","7065741")</f>
        <v>0</v>
      </c>
      <c r="B1195" t="s">
        <v>573</v>
      </c>
      <c r="C1195" t="s">
        <v>4694</v>
      </c>
      <c r="D1195" t="s">
        <v>18806</v>
      </c>
      <c r="E1195" t="s">
        <v>19137</v>
      </c>
      <c r="F1195" t="s">
        <v>32664</v>
      </c>
      <c r="G1195" t="s">
        <v>32672</v>
      </c>
      <c r="H1195" t="s">
        <v>12635</v>
      </c>
      <c r="I1195" t="s">
        <v>32736</v>
      </c>
      <c r="J1195" t="s">
        <v>33720</v>
      </c>
      <c r="K1195" t="s">
        <v>42303</v>
      </c>
      <c r="M1195" t="s">
        <v>43153</v>
      </c>
      <c r="N1195" t="s">
        <v>46569</v>
      </c>
      <c r="O1195" t="s">
        <v>46570</v>
      </c>
      <c r="P1195">
        <v>0</v>
      </c>
      <c r="Q1195">
        <v>0</v>
      </c>
      <c r="R1195" t="s">
        <v>46571</v>
      </c>
      <c r="S1195" t="s">
        <v>46687</v>
      </c>
      <c r="T1195" t="s">
        <v>48292</v>
      </c>
      <c r="U1195" t="s">
        <v>49830</v>
      </c>
      <c r="W1195" t="s">
        <v>43153</v>
      </c>
      <c r="X1195" t="s">
        <v>46572</v>
      </c>
    </row>
    <row r="1196" spans="1:24">
      <c r="A1196">
        <f>HYPERLINK("https://www.philgeps.gov.ph/GEPSNONPILOT/Tender/SplashBidNoticeAbstractUI.aspx?menuIndex=3&amp;refID=7064818&amp;Result=3","7064818")</f>
        <v>0</v>
      </c>
      <c r="B1196" t="s">
        <v>194</v>
      </c>
      <c r="C1196" t="s">
        <v>4695</v>
      </c>
      <c r="D1196" t="s">
        <v>18791</v>
      </c>
      <c r="E1196" t="s">
        <v>20008</v>
      </c>
      <c r="F1196" t="s">
        <v>32664</v>
      </c>
      <c r="G1196" t="s">
        <v>32671</v>
      </c>
      <c r="H1196" t="s">
        <v>12635</v>
      </c>
      <c r="I1196" t="s">
        <v>32718</v>
      </c>
      <c r="J1196" t="s">
        <v>32830</v>
      </c>
      <c r="K1196" t="s">
        <v>42284</v>
      </c>
      <c r="M1196" t="s">
        <v>42758</v>
      </c>
      <c r="N1196" t="s">
        <v>46569</v>
      </c>
      <c r="O1196" t="s">
        <v>46570</v>
      </c>
      <c r="P1196">
        <v>0</v>
      </c>
      <c r="Q1196">
        <v>0</v>
      </c>
      <c r="R1196" t="s">
        <v>46571</v>
      </c>
      <c r="S1196" t="s">
        <v>46687</v>
      </c>
      <c r="T1196" t="s">
        <v>48296</v>
      </c>
      <c r="U1196" t="s">
        <v>49831</v>
      </c>
      <c r="W1196" t="s">
        <v>42758</v>
      </c>
      <c r="X1196" t="s">
        <v>46572</v>
      </c>
    </row>
    <row r="1197" spans="1:24">
      <c r="A1197">
        <f>HYPERLINK("https://www.philgeps.gov.ph/GEPSNONPILOT/Tender/SplashBidNoticeAbstractUI.aspx?menuIndex=3&amp;refID=7065754&amp;Result=3","7065754")</f>
        <v>0</v>
      </c>
      <c r="B1197" t="s">
        <v>574</v>
      </c>
      <c r="C1197" t="s">
        <v>4696</v>
      </c>
      <c r="D1197" t="s">
        <v>18788</v>
      </c>
      <c r="E1197" t="s">
        <v>20009</v>
      </c>
      <c r="F1197" t="s">
        <v>32664</v>
      </c>
      <c r="G1197" t="s">
        <v>32672</v>
      </c>
      <c r="H1197" t="s">
        <v>32682</v>
      </c>
      <c r="I1197" t="s">
        <v>9946</v>
      </c>
      <c r="J1197" t="s">
        <v>33721</v>
      </c>
      <c r="K1197" t="s">
        <v>42351</v>
      </c>
      <c r="M1197" t="s">
        <v>43154</v>
      </c>
      <c r="N1197" t="s">
        <v>46569</v>
      </c>
      <c r="O1197" t="s">
        <v>46570</v>
      </c>
      <c r="P1197">
        <v>0</v>
      </c>
      <c r="Q1197">
        <v>0</v>
      </c>
      <c r="R1197" t="s">
        <v>46571</v>
      </c>
      <c r="S1197" t="s">
        <v>46687</v>
      </c>
      <c r="T1197" t="s">
        <v>48372</v>
      </c>
      <c r="U1197" t="s">
        <v>49832</v>
      </c>
      <c r="W1197" t="s">
        <v>43154</v>
      </c>
      <c r="X1197" t="s">
        <v>46572</v>
      </c>
    </row>
    <row r="1198" spans="1:24">
      <c r="A1198">
        <f>HYPERLINK("https://www.philgeps.gov.ph/GEPSNONPILOT/Tender/SplashBidNoticeAbstractUI.aspx?menuIndex=3&amp;refID=7065765&amp;Result=3","7065765")</f>
        <v>0</v>
      </c>
      <c r="B1198" t="s">
        <v>575</v>
      </c>
      <c r="C1198" t="s">
        <v>4697</v>
      </c>
      <c r="D1198" t="s">
        <v>18789</v>
      </c>
      <c r="E1198" t="s">
        <v>20010</v>
      </c>
      <c r="F1198" t="s">
        <v>32664</v>
      </c>
      <c r="G1198" t="s">
        <v>32671</v>
      </c>
      <c r="H1198" t="s">
        <v>12635</v>
      </c>
      <c r="I1198" t="s">
        <v>32685</v>
      </c>
      <c r="J1198" t="s">
        <v>33722</v>
      </c>
      <c r="K1198" t="s">
        <v>42281</v>
      </c>
      <c r="M1198" t="s">
        <v>43155</v>
      </c>
      <c r="N1198" t="s">
        <v>46569</v>
      </c>
      <c r="O1198" t="s">
        <v>46570</v>
      </c>
      <c r="P1198">
        <v>0</v>
      </c>
      <c r="Q1198">
        <v>0</v>
      </c>
      <c r="R1198" t="s">
        <v>46571</v>
      </c>
      <c r="S1198" t="s">
        <v>46687</v>
      </c>
      <c r="T1198" t="s">
        <v>48221</v>
      </c>
      <c r="U1198" t="s">
        <v>49833</v>
      </c>
      <c r="W1198" t="s">
        <v>43155</v>
      </c>
      <c r="X1198" t="s">
        <v>46572</v>
      </c>
    </row>
    <row r="1199" spans="1:24">
      <c r="A1199">
        <f>HYPERLINK("https://www.philgeps.gov.ph/GEPSNONPILOT/Tender/SplashBidNoticeAbstractUI.aspx?menuIndex=3&amp;refID=7065742&amp;Result=3","7065742")</f>
        <v>0</v>
      </c>
      <c r="B1199" t="s">
        <v>576</v>
      </c>
      <c r="C1199" t="s">
        <v>4698</v>
      </c>
      <c r="D1199" t="s">
        <v>18804</v>
      </c>
      <c r="E1199" t="s">
        <v>20011</v>
      </c>
      <c r="F1199" t="s">
        <v>32664</v>
      </c>
      <c r="G1199" t="s">
        <v>32672</v>
      </c>
      <c r="H1199" t="s">
        <v>32683</v>
      </c>
      <c r="I1199" t="s">
        <v>10627</v>
      </c>
      <c r="J1199" t="s">
        <v>33021</v>
      </c>
      <c r="K1199" t="s">
        <v>42298</v>
      </c>
      <c r="M1199" t="s">
        <v>43156</v>
      </c>
      <c r="N1199" t="s">
        <v>46569</v>
      </c>
      <c r="O1199" t="s">
        <v>46570</v>
      </c>
      <c r="P1199">
        <v>0</v>
      </c>
      <c r="Q1199">
        <v>0</v>
      </c>
      <c r="R1199" t="s">
        <v>46571</v>
      </c>
      <c r="S1199" t="s">
        <v>46687</v>
      </c>
      <c r="T1199" t="s">
        <v>48257</v>
      </c>
      <c r="U1199" t="s">
        <v>49834</v>
      </c>
      <c r="W1199" t="s">
        <v>43156</v>
      </c>
      <c r="X1199" t="s">
        <v>46572</v>
      </c>
    </row>
    <row r="1200" spans="1:24">
      <c r="A1200">
        <f>HYPERLINK("https://www.philgeps.gov.ph/GEPSNONPILOT/Tender/SplashBidNoticeAbstractUI.aspx?menuIndex=3&amp;refID=7064664&amp;Result=3","7064664")</f>
        <v>0</v>
      </c>
      <c r="B1200" t="s">
        <v>133</v>
      </c>
      <c r="C1200" t="s">
        <v>4699</v>
      </c>
      <c r="D1200" t="s">
        <v>18832</v>
      </c>
      <c r="E1200" t="s">
        <v>20012</v>
      </c>
      <c r="F1200" t="s">
        <v>32664</v>
      </c>
      <c r="G1200" t="s">
        <v>32671</v>
      </c>
      <c r="H1200" t="s">
        <v>12635</v>
      </c>
      <c r="I1200" t="s">
        <v>4333</v>
      </c>
      <c r="J1200" t="s">
        <v>33723</v>
      </c>
      <c r="K1200" t="s">
        <v>42281</v>
      </c>
      <c r="M1200" t="s">
        <v>42697</v>
      </c>
      <c r="N1200" t="s">
        <v>46569</v>
      </c>
      <c r="O1200" t="s">
        <v>46570</v>
      </c>
      <c r="P1200">
        <v>0</v>
      </c>
      <c r="Q1200">
        <v>0</v>
      </c>
      <c r="R1200" t="s">
        <v>46571</v>
      </c>
      <c r="S1200" t="s">
        <v>46687</v>
      </c>
      <c r="T1200" t="s">
        <v>48282</v>
      </c>
      <c r="U1200" t="s">
        <v>49835</v>
      </c>
      <c r="W1200" t="s">
        <v>42697</v>
      </c>
      <c r="X1200" t="s">
        <v>46572</v>
      </c>
    </row>
    <row r="1201" spans="1:24">
      <c r="A1201">
        <f>HYPERLINK("https://www.philgeps.gov.ph/GEPSNONPILOT/Tender/SplashBidNoticeAbstractUI.aspx?menuIndex=3&amp;refID=7064663&amp;Result=3","7064663")</f>
        <v>0</v>
      </c>
      <c r="B1201" t="s">
        <v>577</v>
      </c>
      <c r="C1201" t="s">
        <v>4700</v>
      </c>
      <c r="D1201" t="s">
        <v>18859</v>
      </c>
      <c r="E1201" t="s">
        <v>20013</v>
      </c>
      <c r="F1201" t="s">
        <v>32664</v>
      </c>
      <c r="G1201" t="s">
        <v>32671</v>
      </c>
      <c r="H1201" t="s">
        <v>12635</v>
      </c>
      <c r="I1201" t="s">
        <v>32706</v>
      </c>
      <c r="J1201" t="s">
        <v>33724</v>
      </c>
      <c r="K1201" t="s">
        <v>42281</v>
      </c>
      <c r="M1201" t="s">
        <v>43157</v>
      </c>
      <c r="N1201" t="s">
        <v>46569</v>
      </c>
      <c r="O1201" t="s">
        <v>46570</v>
      </c>
      <c r="P1201">
        <v>0</v>
      </c>
      <c r="Q1201">
        <v>0</v>
      </c>
      <c r="R1201" t="s">
        <v>46571</v>
      </c>
      <c r="S1201" t="s">
        <v>46687</v>
      </c>
      <c r="T1201" t="s">
        <v>48221</v>
      </c>
      <c r="U1201" t="s">
        <v>49836</v>
      </c>
      <c r="W1201" t="s">
        <v>43157</v>
      </c>
      <c r="X1201" t="s">
        <v>46572</v>
      </c>
    </row>
    <row r="1202" spans="1:24">
      <c r="A1202">
        <f>HYPERLINK("https://www.philgeps.gov.ph/GEPSNONPILOT/Tender/SplashBidNoticeAbstractUI.aspx?menuIndex=3&amp;refID=7065748&amp;Result=3","7065748")</f>
        <v>0</v>
      </c>
      <c r="B1202" t="s">
        <v>528</v>
      </c>
      <c r="C1202" t="s">
        <v>4701</v>
      </c>
      <c r="D1202" t="s">
        <v>18823</v>
      </c>
      <c r="E1202" t="s">
        <v>20014</v>
      </c>
      <c r="F1202" t="s">
        <v>32664</v>
      </c>
      <c r="G1202" t="s">
        <v>32671</v>
      </c>
      <c r="H1202" t="s">
        <v>12635</v>
      </c>
      <c r="I1202" t="s">
        <v>32690</v>
      </c>
      <c r="J1202" t="s">
        <v>32865</v>
      </c>
      <c r="K1202" t="s">
        <v>42283</v>
      </c>
      <c r="M1202" t="s">
        <v>43106</v>
      </c>
      <c r="N1202" t="s">
        <v>46569</v>
      </c>
      <c r="O1202" t="s">
        <v>46570</v>
      </c>
      <c r="P1202">
        <v>0</v>
      </c>
      <c r="Q1202">
        <v>3</v>
      </c>
      <c r="R1202" t="s">
        <v>46571</v>
      </c>
      <c r="S1202" t="s">
        <v>46687</v>
      </c>
      <c r="T1202" t="s">
        <v>48299</v>
      </c>
      <c r="U1202" t="s">
        <v>49837</v>
      </c>
      <c r="W1202" t="s">
        <v>43106</v>
      </c>
      <c r="X1202" t="s">
        <v>46572</v>
      </c>
    </row>
    <row r="1203" spans="1:24">
      <c r="A1203">
        <f>HYPERLINK("https://www.philgeps.gov.ph/GEPSNONPILOT/Tender/SplashBidNoticeAbstractUI.aspx?menuIndex=3&amp;refID=7064645&amp;Result=3","7064645")</f>
        <v>0</v>
      </c>
      <c r="B1203" t="s">
        <v>578</v>
      </c>
      <c r="C1203" t="s">
        <v>4702</v>
      </c>
      <c r="D1203" t="s">
        <v>18844</v>
      </c>
      <c r="E1203" t="s">
        <v>20015</v>
      </c>
      <c r="F1203" t="s">
        <v>32664</v>
      </c>
      <c r="G1203" t="s">
        <v>32671</v>
      </c>
      <c r="H1203" t="s">
        <v>12635</v>
      </c>
      <c r="I1203" t="s">
        <v>10361</v>
      </c>
      <c r="J1203" t="s">
        <v>33725</v>
      </c>
      <c r="K1203" t="s">
        <v>42295</v>
      </c>
      <c r="M1203" t="s">
        <v>43158</v>
      </c>
      <c r="N1203" t="s">
        <v>46569</v>
      </c>
      <c r="O1203" t="s">
        <v>46570</v>
      </c>
      <c r="P1203">
        <v>0</v>
      </c>
      <c r="Q1203">
        <v>1</v>
      </c>
      <c r="R1203" t="s">
        <v>46571</v>
      </c>
      <c r="S1203" t="s">
        <v>46687</v>
      </c>
      <c r="T1203" t="s">
        <v>48221</v>
      </c>
      <c r="U1203" t="s">
        <v>49838</v>
      </c>
      <c r="W1203" t="s">
        <v>43158</v>
      </c>
      <c r="X1203" t="s">
        <v>46572</v>
      </c>
    </row>
    <row r="1204" spans="1:24">
      <c r="A1204">
        <f>HYPERLINK("https://www.philgeps.gov.ph/GEPSNONPILOT/Tender/SplashBidNoticeAbstractUI.aspx?menuIndex=3&amp;refID=7064644&amp;Result=3","7064644")</f>
        <v>0</v>
      </c>
      <c r="B1204" t="s">
        <v>135</v>
      </c>
      <c r="C1204" t="s">
        <v>4703</v>
      </c>
      <c r="D1204" t="s">
        <v>18807</v>
      </c>
      <c r="E1204" t="s">
        <v>20016</v>
      </c>
      <c r="F1204" t="s">
        <v>32664</v>
      </c>
      <c r="G1204" t="s">
        <v>32672</v>
      </c>
      <c r="H1204" t="s">
        <v>12635</v>
      </c>
      <c r="I1204" t="s">
        <v>6168</v>
      </c>
      <c r="J1204" t="s">
        <v>33726</v>
      </c>
      <c r="K1204" t="s">
        <v>42281</v>
      </c>
      <c r="M1204" t="s">
        <v>42699</v>
      </c>
      <c r="N1204" t="s">
        <v>46569</v>
      </c>
      <c r="O1204" t="s">
        <v>46570</v>
      </c>
      <c r="P1204">
        <v>0</v>
      </c>
      <c r="Q1204">
        <v>0</v>
      </c>
      <c r="R1204" t="s">
        <v>46571</v>
      </c>
      <c r="S1204" t="s">
        <v>46687</v>
      </c>
      <c r="T1204" t="s">
        <v>48226</v>
      </c>
      <c r="U1204" t="s">
        <v>49052</v>
      </c>
      <c r="V1204" t="s">
        <v>61650</v>
      </c>
      <c r="W1204" t="s">
        <v>42699</v>
      </c>
      <c r="X1204" t="s">
        <v>46572</v>
      </c>
    </row>
    <row r="1205" spans="1:24">
      <c r="A1205">
        <f>HYPERLINK("https://www.philgeps.gov.ph/GEPSNONPILOT/Tender/SplashBidNoticeAbstractUI.aspx?menuIndex=3&amp;refID=7064643&amp;Result=3","7064643")</f>
        <v>0</v>
      </c>
      <c r="B1205" t="s">
        <v>254</v>
      </c>
      <c r="C1205" t="s">
        <v>4704</v>
      </c>
      <c r="D1205" t="s">
        <v>18843</v>
      </c>
      <c r="E1205" t="s">
        <v>20017</v>
      </c>
      <c r="F1205" t="s">
        <v>32664</v>
      </c>
      <c r="G1205" t="s">
        <v>32671</v>
      </c>
      <c r="H1205" t="s">
        <v>12635</v>
      </c>
      <c r="I1205" t="s">
        <v>32706</v>
      </c>
      <c r="J1205" t="s">
        <v>33727</v>
      </c>
      <c r="K1205" t="s">
        <v>42281</v>
      </c>
      <c r="M1205" t="s">
        <v>42819</v>
      </c>
      <c r="N1205" t="s">
        <v>46569</v>
      </c>
      <c r="O1205" t="s">
        <v>46570</v>
      </c>
      <c r="P1205">
        <v>0</v>
      </c>
      <c r="Q1205">
        <v>0</v>
      </c>
      <c r="R1205" t="s">
        <v>46571</v>
      </c>
      <c r="S1205" t="s">
        <v>46687</v>
      </c>
      <c r="T1205" t="s">
        <v>48315</v>
      </c>
      <c r="U1205" t="s">
        <v>49839</v>
      </c>
      <c r="W1205" t="s">
        <v>63469</v>
      </c>
      <c r="X1205" t="s">
        <v>46572</v>
      </c>
    </row>
    <row r="1206" spans="1:24">
      <c r="A1206">
        <f>HYPERLINK("https://www.philgeps.gov.ph/GEPSNONPILOT/Tender/SplashBidNoticeAbstractUI.aspx?menuIndex=3&amp;refID=7064641&amp;Result=3","7064641")</f>
        <v>0</v>
      </c>
      <c r="B1206" t="s">
        <v>579</v>
      </c>
      <c r="C1206" t="s">
        <v>4705</v>
      </c>
      <c r="E1206" t="s">
        <v>20018</v>
      </c>
      <c r="F1206" t="s">
        <v>32664</v>
      </c>
      <c r="G1206" t="s">
        <v>32671</v>
      </c>
      <c r="H1206" t="s">
        <v>12635</v>
      </c>
      <c r="I1206" t="s">
        <v>6168</v>
      </c>
      <c r="J1206" t="s">
        <v>33706</v>
      </c>
      <c r="K1206" t="s">
        <v>42283</v>
      </c>
      <c r="M1206" t="s">
        <v>43159</v>
      </c>
      <c r="N1206" t="s">
        <v>46569</v>
      </c>
      <c r="O1206" t="s">
        <v>46570</v>
      </c>
      <c r="P1206">
        <v>0</v>
      </c>
      <c r="Q1206">
        <v>0</v>
      </c>
      <c r="R1206" t="s">
        <v>46571</v>
      </c>
      <c r="S1206" t="s">
        <v>46687</v>
      </c>
      <c r="T1206" t="s">
        <v>48331</v>
      </c>
      <c r="U1206" t="s">
        <v>49840</v>
      </c>
      <c r="W1206" t="s">
        <v>43159</v>
      </c>
      <c r="X1206" t="s">
        <v>46572</v>
      </c>
    </row>
    <row r="1207" spans="1:24">
      <c r="A1207">
        <f>HYPERLINK("https://www.philgeps.gov.ph/GEPSNONPILOT/Tender/SplashBidNoticeAbstractUI.aspx?menuIndex=3&amp;refID=7064665&amp;Result=3","7064665")</f>
        <v>0</v>
      </c>
      <c r="B1207" t="s">
        <v>135</v>
      </c>
      <c r="C1207" t="s">
        <v>4706</v>
      </c>
      <c r="D1207" t="s">
        <v>18807</v>
      </c>
      <c r="E1207" t="s">
        <v>20019</v>
      </c>
      <c r="F1207" t="s">
        <v>32664</v>
      </c>
      <c r="G1207" t="s">
        <v>32672</v>
      </c>
      <c r="H1207" t="s">
        <v>12635</v>
      </c>
      <c r="I1207" t="s">
        <v>32684</v>
      </c>
      <c r="J1207" t="s">
        <v>33728</v>
      </c>
      <c r="K1207" t="s">
        <v>42281</v>
      </c>
      <c r="M1207" t="s">
        <v>42699</v>
      </c>
      <c r="N1207" t="s">
        <v>46569</v>
      </c>
      <c r="O1207" t="s">
        <v>46570</v>
      </c>
      <c r="P1207">
        <v>0</v>
      </c>
      <c r="Q1207">
        <v>1</v>
      </c>
      <c r="R1207" t="s">
        <v>46571</v>
      </c>
      <c r="S1207" t="s">
        <v>46687</v>
      </c>
      <c r="T1207" t="s">
        <v>48226</v>
      </c>
      <c r="U1207" t="s">
        <v>49052</v>
      </c>
      <c r="V1207" t="s">
        <v>61650</v>
      </c>
      <c r="W1207" t="s">
        <v>42699</v>
      </c>
      <c r="X1207" t="s">
        <v>46572</v>
      </c>
    </row>
    <row r="1208" spans="1:24">
      <c r="A1208">
        <f>HYPERLINK("https://www.philgeps.gov.ph/GEPSNONPILOT/Tender/SplashBidNoticeAbstractUI.aspx?menuIndex=3&amp;refID=7064565&amp;Result=3","7064565")</f>
        <v>0</v>
      </c>
      <c r="B1208" t="s">
        <v>117</v>
      </c>
      <c r="C1208" t="s">
        <v>4707</v>
      </c>
      <c r="D1208" t="s">
        <v>18799</v>
      </c>
      <c r="E1208" t="s">
        <v>20020</v>
      </c>
      <c r="F1208" t="s">
        <v>32664</v>
      </c>
      <c r="G1208" t="s">
        <v>32677</v>
      </c>
      <c r="H1208" t="s">
        <v>12635</v>
      </c>
      <c r="I1208" t="s">
        <v>10370</v>
      </c>
      <c r="J1208" t="s">
        <v>32917</v>
      </c>
      <c r="K1208" t="s">
        <v>42283</v>
      </c>
      <c r="M1208" t="s">
        <v>42681</v>
      </c>
      <c r="N1208" t="s">
        <v>46569</v>
      </c>
      <c r="O1208" t="s">
        <v>46570</v>
      </c>
      <c r="P1208">
        <v>0</v>
      </c>
      <c r="Q1208">
        <v>4</v>
      </c>
      <c r="R1208" t="s">
        <v>46571</v>
      </c>
      <c r="S1208" t="s">
        <v>46687</v>
      </c>
      <c r="T1208" t="s">
        <v>48249</v>
      </c>
      <c r="U1208" t="s">
        <v>49841</v>
      </c>
      <c r="W1208" t="s">
        <v>42681</v>
      </c>
      <c r="X1208" t="s">
        <v>46572</v>
      </c>
    </row>
    <row r="1209" spans="1:24">
      <c r="A1209">
        <f>HYPERLINK("https://www.philgeps.gov.ph/GEPSNONPILOT/Tender/SplashBidNoticeAbstractUI.aspx?menuIndex=3&amp;refID=7064819&amp;Result=3","7064819")</f>
        <v>0</v>
      </c>
      <c r="B1209" t="s">
        <v>580</v>
      </c>
      <c r="C1209" t="s">
        <v>4708</v>
      </c>
      <c r="D1209" t="s">
        <v>18786</v>
      </c>
      <c r="E1209" t="s">
        <v>20021</v>
      </c>
      <c r="F1209" t="s">
        <v>32664</v>
      </c>
      <c r="G1209" t="s">
        <v>32677</v>
      </c>
      <c r="H1209" t="s">
        <v>12635</v>
      </c>
      <c r="I1209" t="s">
        <v>14442</v>
      </c>
      <c r="J1209" t="s">
        <v>33729</v>
      </c>
      <c r="K1209" t="s">
        <v>42283</v>
      </c>
      <c r="M1209" t="s">
        <v>43160</v>
      </c>
      <c r="N1209" t="s">
        <v>46569</v>
      </c>
      <c r="O1209" t="s">
        <v>46570</v>
      </c>
      <c r="P1209">
        <v>0</v>
      </c>
      <c r="Q1209">
        <v>0</v>
      </c>
      <c r="R1209" t="s">
        <v>46571</v>
      </c>
      <c r="S1209" t="s">
        <v>46687</v>
      </c>
      <c r="T1209" t="s">
        <v>48217</v>
      </c>
      <c r="U1209" t="s">
        <v>49842</v>
      </c>
      <c r="W1209" t="s">
        <v>43160</v>
      </c>
      <c r="X1209" t="s">
        <v>46572</v>
      </c>
    </row>
    <row r="1210" spans="1:24">
      <c r="A1210">
        <f>HYPERLINK("https://www.philgeps.gov.ph/GEPSNONPILOT/Tender/SplashBidNoticeAbstractUI.aspx?menuIndex=3&amp;refID=7064667&amp;Result=3","7064667")</f>
        <v>0</v>
      </c>
      <c r="B1210" t="s">
        <v>581</v>
      </c>
      <c r="C1210" t="s">
        <v>4709</v>
      </c>
      <c r="D1210" t="s">
        <v>18801</v>
      </c>
      <c r="E1210" t="s">
        <v>19830</v>
      </c>
      <c r="F1210" t="s">
        <v>32664</v>
      </c>
      <c r="G1210" t="s">
        <v>32672</v>
      </c>
      <c r="H1210" t="s">
        <v>12635</v>
      </c>
      <c r="I1210" t="s">
        <v>32716</v>
      </c>
      <c r="J1210" t="s">
        <v>33730</v>
      </c>
      <c r="K1210" t="s">
        <v>42289</v>
      </c>
      <c r="M1210" t="s">
        <v>43161</v>
      </c>
      <c r="N1210" t="s">
        <v>46569</v>
      </c>
      <c r="O1210" t="s">
        <v>46570</v>
      </c>
      <c r="P1210">
        <v>0</v>
      </c>
      <c r="Q1210">
        <v>0</v>
      </c>
      <c r="R1210" t="s">
        <v>46571</v>
      </c>
      <c r="S1210" t="s">
        <v>46687</v>
      </c>
      <c r="T1210" t="s">
        <v>48225</v>
      </c>
      <c r="U1210" t="s">
        <v>49667</v>
      </c>
      <c r="V1210" t="s">
        <v>61739</v>
      </c>
      <c r="W1210" t="s">
        <v>43161</v>
      </c>
      <c r="X1210" t="s">
        <v>46572</v>
      </c>
    </row>
    <row r="1211" spans="1:24">
      <c r="A1211">
        <f>HYPERLINK("https://www.philgeps.gov.ph/GEPSNONPILOT/Tender/SplashBidNoticeAbstractUI.aspx?menuIndex=3&amp;refID=7064518&amp;Result=3","7064518")</f>
        <v>0</v>
      </c>
      <c r="B1211" t="s">
        <v>121</v>
      </c>
      <c r="C1211" t="s">
        <v>4710</v>
      </c>
      <c r="D1211" t="s">
        <v>18828</v>
      </c>
      <c r="E1211" t="s">
        <v>20022</v>
      </c>
      <c r="F1211" t="s">
        <v>32664</v>
      </c>
      <c r="G1211" t="s">
        <v>32672</v>
      </c>
      <c r="H1211" t="s">
        <v>32683</v>
      </c>
      <c r="I1211" t="s">
        <v>10627</v>
      </c>
      <c r="J1211" t="s">
        <v>33731</v>
      </c>
      <c r="K1211" t="s">
        <v>42352</v>
      </c>
      <c r="M1211" t="s">
        <v>42685</v>
      </c>
      <c r="N1211" t="s">
        <v>46569</v>
      </c>
      <c r="O1211" t="s">
        <v>46570</v>
      </c>
      <c r="P1211">
        <v>0</v>
      </c>
      <c r="Q1211">
        <v>0</v>
      </c>
      <c r="R1211" t="s">
        <v>46571</v>
      </c>
      <c r="S1211" t="s">
        <v>46687</v>
      </c>
      <c r="T1211" t="s">
        <v>48277</v>
      </c>
      <c r="U1211" t="s">
        <v>49843</v>
      </c>
      <c r="W1211" t="s">
        <v>42685</v>
      </c>
      <c r="X1211" t="s">
        <v>46573</v>
      </c>
    </row>
    <row r="1212" spans="1:24">
      <c r="A1212">
        <f>HYPERLINK("https://www.philgeps.gov.ph/GEPSNONPILOT/Tender/SplashBidNoticeAbstractUI.aspx?menuIndex=3&amp;refID=7064486&amp;Result=3","7064486")</f>
        <v>0</v>
      </c>
      <c r="B1212" t="s">
        <v>582</v>
      </c>
      <c r="C1212" t="s">
        <v>4711</v>
      </c>
      <c r="D1212" t="s">
        <v>18806</v>
      </c>
      <c r="E1212" t="s">
        <v>20023</v>
      </c>
      <c r="F1212" t="s">
        <v>32664</v>
      </c>
      <c r="G1212" t="s">
        <v>32672</v>
      </c>
      <c r="H1212" t="s">
        <v>12635</v>
      </c>
      <c r="I1212" t="s">
        <v>4439</v>
      </c>
      <c r="J1212" t="s">
        <v>33732</v>
      </c>
      <c r="K1212" t="s">
        <v>42303</v>
      </c>
      <c r="M1212" t="s">
        <v>43162</v>
      </c>
      <c r="N1212" t="s">
        <v>46569</v>
      </c>
      <c r="O1212" t="s">
        <v>46570</v>
      </c>
      <c r="P1212">
        <v>0</v>
      </c>
      <c r="Q1212">
        <v>0</v>
      </c>
      <c r="R1212" t="s">
        <v>46571</v>
      </c>
      <c r="S1212" t="s">
        <v>46687</v>
      </c>
      <c r="T1212" t="s">
        <v>48308</v>
      </c>
      <c r="U1212" t="s">
        <v>49844</v>
      </c>
      <c r="V1212" t="s">
        <v>61764</v>
      </c>
      <c r="W1212" t="s">
        <v>43162</v>
      </c>
      <c r="X1212" t="s">
        <v>46573</v>
      </c>
    </row>
    <row r="1213" spans="1:24">
      <c r="A1213">
        <f>HYPERLINK("https://www.philgeps.gov.ph/GEPSNONPILOT/Tender/SplashBidNoticeAbstractUI.aspx?menuIndex=3&amp;refID=7065758&amp;Result=3","7065758")</f>
        <v>0</v>
      </c>
      <c r="B1213" t="s">
        <v>24</v>
      </c>
      <c r="C1213" t="s">
        <v>4712</v>
      </c>
      <c r="D1213" t="s">
        <v>18781</v>
      </c>
      <c r="E1213" t="s">
        <v>20024</v>
      </c>
      <c r="F1213" t="s">
        <v>32664</v>
      </c>
      <c r="G1213" t="s">
        <v>32671</v>
      </c>
      <c r="H1213" t="s">
        <v>12635</v>
      </c>
      <c r="I1213" t="s">
        <v>6223</v>
      </c>
      <c r="J1213" t="s">
        <v>33733</v>
      </c>
      <c r="K1213" t="s">
        <v>42281</v>
      </c>
      <c r="M1213" t="s">
        <v>42586</v>
      </c>
      <c r="N1213" t="s">
        <v>46569</v>
      </c>
      <c r="O1213" t="s">
        <v>46570</v>
      </c>
      <c r="P1213">
        <v>0</v>
      </c>
      <c r="Q1213">
        <v>1</v>
      </c>
      <c r="R1213" t="s">
        <v>46571</v>
      </c>
      <c r="S1213" t="s">
        <v>46687</v>
      </c>
      <c r="T1213" t="s">
        <v>48256</v>
      </c>
      <c r="U1213" t="s">
        <v>49845</v>
      </c>
      <c r="W1213" t="s">
        <v>42586</v>
      </c>
      <c r="X1213" t="s">
        <v>46572</v>
      </c>
    </row>
    <row r="1214" spans="1:24">
      <c r="A1214">
        <f>HYPERLINK("https://www.philgeps.gov.ph/GEPSNONPILOT/Tender/SplashBidNoticeAbstractUI.aspx?menuIndex=3&amp;refID=7064444&amp;Result=3","7064444")</f>
        <v>0</v>
      </c>
      <c r="B1214" t="s">
        <v>114</v>
      </c>
      <c r="C1214" t="s">
        <v>4713</v>
      </c>
      <c r="E1214" t="s">
        <v>20025</v>
      </c>
      <c r="F1214" t="s">
        <v>32664</v>
      </c>
      <c r="G1214" t="s">
        <v>32671</v>
      </c>
      <c r="H1214" t="s">
        <v>12635</v>
      </c>
      <c r="I1214" t="s">
        <v>32699</v>
      </c>
      <c r="J1214" t="s">
        <v>33734</v>
      </c>
      <c r="K1214" t="s">
        <v>42289</v>
      </c>
      <c r="M1214" t="s">
        <v>42678</v>
      </c>
      <c r="N1214" t="s">
        <v>46569</v>
      </c>
      <c r="O1214" t="s">
        <v>46570</v>
      </c>
      <c r="P1214">
        <v>0</v>
      </c>
      <c r="Q1214">
        <v>0</v>
      </c>
      <c r="R1214" t="s">
        <v>46571</v>
      </c>
      <c r="S1214" t="s">
        <v>46687</v>
      </c>
      <c r="T1214" t="s">
        <v>48244</v>
      </c>
      <c r="U1214" t="s">
        <v>49846</v>
      </c>
      <c r="V1214" t="s">
        <v>61643</v>
      </c>
      <c r="W1214" t="s">
        <v>42678</v>
      </c>
      <c r="X1214" t="s">
        <v>46573</v>
      </c>
    </row>
    <row r="1215" spans="1:24">
      <c r="A1215">
        <f>HYPERLINK("https://www.philgeps.gov.ph/GEPSNONPILOT/Tender/SplashBidNoticeAbstractUI.aspx?menuIndex=3&amp;refID=7064442&amp;Result=3","7064442")</f>
        <v>0</v>
      </c>
      <c r="B1215" t="s">
        <v>114</v>
      </c>
      <c r="C1215" t="s">
        <v>4714</v>
      </c>
      <c r="E1215" t="s">
        <v>20026</v>
      </c>
      <c r="F1215" t="s">
        <v>32664</v>
      </c>
      <c r="G1215" t="s">
        <v>32671</v>
      </c>
      <c r="H1215" t="s">
        <v>12635</v>
      </c>
      <c r="I1215" t="s">
        <v>32699</v>
      </c>
      <c r="J1215" t="s">
        <v>33735</v>
      </c>
      <c r="K1215" t="s">
        <v>42289</v>
      </c>
      <c r="M1215" t="s">
        <v>42678</v>
      </c>
      <c r="N1215" t="s">
        <v>46569</v>
      </c>
      <c r="O1215" t="s">
        <v>46570</v>
      </c>
      <c r="P1215">
        <v>0</v>
      </c>
      <c r="Q1215">
        <v>1</v>
      </c>
      <c r="R1215" t="s">
        <v>46571</v>
      </c>
      <c r="S1215" t="s">
        <v>46687</v>
      </c>
      <c r="T1215" t="s">
        <v>48244</v>
      </c>
      <c r="U1215" t="s">
        <v>49847</v>
      </c>
      <c r="V1215" t="s">
        <v>61643</v>
      </c>
      <c r="W1215" t="s">
        <v>42678</v>
      </c>
      <c r="X1215" t="s">
        <v>46573</v>
      </c>
    </row>
    <row r="1216" spans="1:24">
      <c r="A1216">
        <f>HYPERLINK("https://www.philgeps.gov.ph/GEPSNONPILOT/Tender/SplashBidNoticeAbstractUI.aspx?menuIndex=3&amp;refID=7064457&amp;Result=3","7064457")</f>
        <v>0</v>
      </c>
      <c r="B1216" t="s">
        <v>582</v>
      </c>
      <c r="C1216" t="s">
        <v>4715</v>
      </c>
      <c r="D1216" t="s">
        <v>18806</v>
      </c>
      <c r="E1216" t="s">
        <v>20027</v>
      </c>
      <c r="F1216" t="s">
        <v>32664</v>
      </c>
      <c r="G1216" t="s">
        <v>32672</v>
      </c>
      <c r="H1216" t="s">
        <v>12635</v>
      </c>
      <c r="I1216" t="s">
        <v>4439</v>
      </c>
      <c r="J1216" t="s">
        <v>33736</v>
      </c>
      <c r="K1216" t="s">
        <v>42303</v>
      </c>
      <c r="M1216" t="s">
        <v>43162</v>
      </c>
      <c r="N1216" t="s">
        <v>46569</v>
      </c>
      <c r="O1216" t="s">
        <v>46570</v>
      </c>
      <c r="P1216">
        <v>0</v>
      </c>
      <c r="Q1216">
        <v>0</v>
      </c>
      <c r="R1216" t="s">
        <v>46571</v>
      </c>
      <c r="S1216" t="s">
        <v>46687</v>
      </c>
      <c r="T1216" t="s">
        <v>48308</v>
      </c>
      <c r="U1216" t="s">
        <v>49848</v>
      </c>
      <c r="V1216" t="s">
        <v>61764</v>
      </c>
      <c r="W1216" t="s">
        <v>43162</v>
      </c>
      <c r="X1216" t="s">
        <v>46573</v>
      </c>
    </row>
    <row r="1217" spans="1:24">
      <c r="A1217">
        <f>HYPERLINK("https://www.philgeps.gov.ph/GEPSNONPILOT/Tender/SplashBidNoticeAbstractUI.aspx?menuIndex=3&amp;refID=7064563&amp;Result=3","7064563")</f>
        <v>0</v>
      </c>
      <c r="B1217" t="s">
        <v>117</v>
      </c>
      <c r="C1217" t="s">
        <v>4716</v>
      </c>
      <c r="D1217" t="s">
        <v>18799</v>
      </c>
      <c r="E1217" t="s">
        <v>20028</v>
      </c>
      <c r="F1217" t="s">
        <v>32664</v>
      </c>
      <c r="G1217" t="s">
        <v>32677</v>
      </c>
      <c r="H1217" t="s">
        <v>12635</v>
      </c>
      <c r="I1217" t="s">
        <v>10370</v>
      </c>
      <c r="J1217" t="s">
        <v>33737</v>
      </c>
      <c r="K1217" t="s">
        <v>42283</v>
      </c>
      <c r="M1217" t="s">
        <v>42681</v>
      </c>
      <c r="N1217" t="s">
        <v>46569</v>
      </c>
      <c r="O1217" t="s">
        <v>46570</v>
      </c>
      <c r="P1217">
        <v>0</v>
      </c>
      <c r="Q1217">
        <v>4</v>
      </c>
      <c r="R1217" t="s">
        <v>46571</v>
      </c>
      <c r="S1217" t="s">
        <v>46687</v>
      </c>
      <c r="T1217" t="s">
        <v>48249</v>
      </c>
      <c r="U1217" t="s">
        <v>49849</v>
      </c>
      <c r="W1217" t="s">
        <v>42681</v>
      </c>
      <c r="X1217" t="s">
        <v>46572</v>
      </c>
    </row>
    <row r="1218" spans="1:24">
      <c r="A1218">
        <f>HYPERLINK("https://www.philgeps.gov.ph/GEPSNONPILOT/Tender/SplashBidNoticeAbstractUI.aspx?menuIndex=3&amp;refID=7064642&amp;Result=3","7064642")</f>
        <v>0</v>
      </c>
      <c r="B1218" t="s">
        <v>128</v>
      </c>
      <c r="C1218" t="s">
        <v>4717</v>
      </c>
      <c r="D1218" t="s">
        <v>18827</v>
      </c>
      <c r="E1218" t="s">
        <v>20029</v>
      </c>
      <c r="F1218" t="s">
        <v>32664</v>
      </c>
      <c r="G1218" t="s">
        <v>32671</v>
      </c>
      <c r="H1218" t="s">
        <v>12635</v>
      </c>
      <c r="I1218" t="s">
        <v>32706</v>
      </c>
      <c r="J1218" t="s">
        <v>33738</v>
      </c>
      <c r="K1218" t="s">
        <v>42297</v>
      </c>
      <c r="M1218" t="s">
        <v>42692</v>
      </c>
      <c r="N1218" t="s">
        <v>46569</v>
      </c>
      <c r="O1218" t="s">
        <v>46570</v>
      </c>
      <c r="P1218">
        <v>0</v>
      </c>
      <c r="Q1218">
        <v>0</v>
      </c>
      <c r="R1218" t="s">
        <v>46571</v>
      </c>
      <c r="S1218" t="s">
        <v>46687</v>
      </c>
      <c r="T1218" t="s">
        <v>48221</v>
      </c>
      <c r="U1218" t="s">
        <v>49850</v>
      </c>
      <c r="W1218" t="s">
        <v>42692</v>
      </c>
      <c r="X1218" t="s">
        <v>46572</v>
      </c>
    </row>
    <row r="1219" spans="1:24">
      <c r="A1219">
        <f>HYPERLINK("https://www.philgeps.gov.ph/GEPSNONPILOT/Tender/SplashBidNoticeAbstractUI.aspx?menuIndex=3&amp;refID=7064441&amp;Result=3","7064441")</f>
        <v>0</v>
      </c>
      <c r="B1219" t="s">
        <v>114</v>
      </c>
      <c r="C1219" t="s">
        <v>4718</v>
      </c>
      <c r="E1219" t="s">
        <v>20030</v>
      </c>
      <c r="F1219" t="s">
        <v>32664</v>
      </c>
      <c r="G1219" t="s">
        <v>32671</v>
      </c>
      <c r="H1219" t="s">
        <v>12635</v>
      </c>
      <c r="I1219" t="s">
        <v>32699</v>
      </c>
      <c r="J1219" t="s">
        <v>33739</v>
      </c>
      <c r="K1219" t="s">
        <v>42289</v>
      </c>
      <c r="M1219" t="s">
        <v>42678</v>
      </c>
      <c r="N1219" t="s">
        <v>46569</v>
      </c>
      <c r="O1219" t="s">
        <v>46570</v>
      </c>
      <c r="P1219">
        <v>0</v>
      </c>
      <c r="Q1219">
        <v>0</v>
      </c>
      <c r="R1219" t="s">
        <v>46571</v>
      </c>
      <c r="S1219" t="s">
        <v>46687</v>
      </c>
      <c r="T1219" t="s">
        <v>48244</v>
      </c>
      <c r="U1219" t="s">
        <v>49851</v>
      </c>
      <c r="V1219" t="s">
        <v>61765</v>
      </c>
      <c r="W1219" t="s">
        <v>42678</v>
      </c>
      <c r="X1219" t="s">
        <v>46573</v>
      </c>
    </row>
    <row r="1220" spans="1:24">
      <c r="A1220">
        <f>HYPERLINK("https://www.philgeps.gov.ph/GEPSNONPILOT/Tender/SplashBidNoticeAbstractUI.aspx?menuIndex=3&amp;refID=7064037&amp;Result=3","7064037")</f>
        <v>0</v>
      </c>
      <c r="B1220" t="s">
        <v>295</v>
      </c>
      <c r="C1220" t="s">
        <v>4719</v>
      </c>
      <c r="D1220" t="s">
        <v>18848</v>
      </c>
      <c r="E1220" t="s">
        <v>20031</v>
      </c>
      <c r="F1220" t="s">
        <v>32664</v>
      </c>
      <c r="G1220" t="s">
        <v>32672</v>
      </c>
      <c r="H1220" t="s">
        <v>12635</v>
      </c>
      <c r="I1220" t="s">
        <v>6168</v>
      </c>
      <c r="J1220" t="s">
        <v>33740</v>
      </c>
      <c r="K1220" t="s">
        <v>42297</v>
      </c>
      <c r="M1220" t="s">
        <v>42862</v>
      </c>
      <c r="N1220" t="s">
        <v>46569</v>
      </c>
      <c r="O1220" t="s">
        <v>46570</v>
      </c>
      <c r="P1220">
        <v>0</v>
      </c>
      <c r="Q1220">
        <v>0</v>
      </c>
      <c r="R1220" t="s">
        <v>46571</v>
      </c>
      <c r="S1220" t="s">
        <v>46687</v>
      </c>
      <c r="T1220" t="s">
        <v>48322</v>
      </c>
      <c r="U1220" t="s">
        <v>49852</v>
      </c>
      <c r="W1220" t="s">
        <v>42862</v>
      </c>
      <c r="X1220" t="s">
        <v>46573</v>
      </c>
    </row>
    <row r="1221" spans="1:24">
      <c r="A1221">
        <f>HYPERLINK("https://www.philgeps.gov.ph/GEPSNONPILOT/Tender/SplashBidNoticeAbstractUI.aspx?menuIndex=3&amp;refID=7063971&amp;Result=3","7063971")</f>
        <v>0</v>
      </c>
      <c r="B1221" t="s">
        <v>426</v>
      </c>
      <c r="C1221" t="s">
        <v>4720</v>
      </c>
      <c r="D1221" t="s">
        <v>18841</v>
      </c>
      <c r="E1221" t="s">
        <v>20032</v>
      </c>
      <c r="F1221" t="s">
        <v>32664</v>
      </c>
      <c r="G1221" t="s">
        <v>32672</v>
      </c>
      <c r="H1221" t="s">
        <v>32683</v>
      </c>
      <c r="I1221" t="s">
        <v>10627</v>
      </c>
      <c r="J1221" t="s">
        <v>33741</v>
      </c>
      <c r="K1221" t="s">
        <v>42298</v>
      </c>
      <c r="M1221" t="s">
        <v>42997</v>
      </c>
      <c r="N1221" t="s">
        <v>46569</v>
      </c>
      <c r="O1221" t="s">
        <v>46570</v>
      </c>
      <c r="P1221">
        <v>0</v>
      </c>
      <c r="Q1221">
        <v>0</v>
      </c>
      <c r="R1221" t="s">
        <v>46571</v>
      </c>
      <c r="S1221" t="s">
        <v>46687</v>
      </c>
      <c r="T1221" t="s">
        <v>48230</v>
      </c>
      <c r="U1221" t="s">
        <v>49853</v>
      </c>
      <c r="W1221" t="s">
        <v>42997</v>
      </c>
      <c r="X1221" t="s">
        <v>46573</v>
      </c>
    </row>
    <row r="1222" spans="1:24">
      <c r="A1222">
        <f>HYPERLINK("https://www.philgeps.gov.ph/GEPSNONPILOT/Tender/SplashBidNoticeAbstractUI.aspx?menuIndex=3&amp;refID=7063970&amp;Result=3","7063970")</f>
        <v>0</v>
      </c>
      <c r="B1222" t="s">
        <v>108</v>
      </c>
      <c r="C1222" t="s">
        <v>4721</v>
      </c>
      <c r="D1222" t="s">
        <v>18824</v>
      </c>
      <c r="E1222" t="s">
        <v>20033</v>
      </c>
      <c r="F1222" t="s">
        <v>32664</v>
      </c>
      <c r="G1222" t="s">
        <v>32672</v>
      </c>
      <c r="H1222" t="s">
        <v>32683</v>
      </c>
      <c r="I1222" t="s">
        <v>10627</v>
      </c>
      <c r="J1222" t="s">
        <v>33742</v>
      </c>
      <c r="K1222" t="s">
        <v>42283</v>
      </c>
      <c r="M1222" t="s">
        <v>42672</v>
      </c>
      <c r="N1222" t="s">
        <v>46569</v>
      </c>
      <c r="O1222" t="s">
        <v>46570</v>
      </c>
      <c r="P1222">
        <v>0</v>
      </c>
      <c r="Q1222">
        <v>0</v>
      </c>
      <c r="R1222" t="s">
        <v>46571</v>
      </c>
      <c r="S1222" t="s">
        <v>46687</v>
      </c>
      <c r="T1222" t="s">
        <v>48274</v>
      </c>
      <c r="U1222" t="s">
        <v>48996</v>
      </c>
      <c r="W1222" t="s">
        <v>42672</v>
      </c>
      <c r="X1222" t="s">
        <v>46573</v>
      </c>
    </row>
    <row r="1223" spans="1:24">
      <c r="A1223">
        <f>HYPERLINK("https://www.philgeps.gov.ph/GEPSNONPILOT/Tender/SplashBidNoticeAbstractUI.aspx?menuIndex=3&amp;refID=7064043&amp;Result=3","7064043")</f>
        <v>0</v>
      </c>
      <c r="B1223" t="s">
        <v>273</v>
      </c>
      <c r="C1223" t="s">
        <v>4722</v>
      </c>
      <c r="D1223" t="s">
        <v>18812</v>
      </c>
      <c r="E1223" t="s">
        <v>20034</v>
      </c>
      <c r="F1223" t="s">
        <v>32664</v>
      </c>
      <c r="G1223" t="s">
        <v>32672</v>
      </c>
      <c r="H1223" t="s">
        <v>12635</v>
      </c>
      <c r="I1223" t="s">
        <v>11464</v>
      </c>
      <c r="J1223" t="s">
        <v>33743</v>
      </c>
      <c r="K1223" t="s">
        <v>42298</v>
      </c>
      <c r="M1223" t="s">
        <v>42838</v>
      </c>
      <c r="N1223" t="s">
        <v>46569</v>
      </c>
      <c r="O1223" t="s">
        <v>46570</v>
      </c>
      <c r="P1223">
        <v>0</v>
      </c>
      <c r="Q1223">
        <v>5</v>
      </c>
      <c r="R1223" t="s">
        <v>46571</v>
      </c>
      <c r="S1223" t="s">
        <v>46687</v>
      </c>
      <c r="T1223" t="s">
        <v>48233</v>
      </c>
      <c r="U1223" t="s">
        <v>49854</v>
      </c>
      <c r="V1223" t="s">
        <v>61766</v>
      </c>
      <c r="W1223" t="s">
        <v>42838</v>
      </c>
      <c r="X1223" t="s">
        <v>46573</v>
      </c>
    </row>
    <row r="1224" spans="1:24">
      <c r="A1224">
        <f>HYPERLINK("https://www.philgeps.gov.ph/GEPSNONPILOT/Tender/SplashBidNoticeAbstractUI.aspx?menuIndex=3&amp;refID=7063988&amp;Result=3","7063988")</f>
        <v>0</v>
      </c>
      <c r="B1224" t="s">
        <v>583</v>
      </c>
      <c r="C1224" t="s">
        <v>4723</v>
      </c>
      <c r="D1224" t="s">
        <v>18821</v>
      </c>
      <c r="E1224" t="s">
        <v>20035</v>
      </c>
      <c r="F1224" t="s">
        <v>32664</v>
      </c>
      <c r="G1224" t="s">
        <v>32672</v>
      </c>
      <c r="H1224" t="s">
        <v>12635</v>
      </c>
      <c r="I1224" t="s">
        <v>4439</v>
      </c>
      <c r="J1224" t="s">
        <v>33744</v>
      </c>
      <c r="K1224" t="s">
        <v>42289</v>
      </c>
      <c r="M1224" t="s">
        <v>43163</v>
      </c>
      <c r="N1224" t="s">
        <v>46569</v>
      </c>
      <c r="O1224" t="s">
        <v>46570</v>
      </c>
      <c r="P1224">
        <v>0</v>
      </c>
      <c r="Q1224">
        <v>0</v>
      </c>
      <c r="R1224" t="s">
        <v>46571</v>
      </c>
      <c r="S1224" t="s">
        <v>46687</v>
      </c>
      <c r="T1224" t="s">
        <v>48220</v>
      </c>
      <c r="U1224" t="s">
        <v>49855</v>
      </c>
      <c r="W1224" t="s">
        <v>63485</v>
      </c>
      <c r="X1224" t="s">
        <v>46573</v>
      </c>
    </row>
    <row r="1225" spans="1:24">
      <c r="A1225">
        <f>HYPERLINK("https://www.philgeps.gov.ph/GEPSNONPILOT/Tender/SplashBidNoticeAbstractUI.aspx?menuIndex=3&amp;refID=7063982&amp;Result=3","7063982")</f>
        <v>0</v>
      </c>
      <c r="B1225" t="s">
        <v>108</v>
      </c>
      <c r="C1225" t="s">
        <v>4724</v>
      </c>
      <c r="D1225" t="s">
        <v>18824</v>
      </c>
      <c r="E1225" t="s">
        <v>20036</v>
      </c>
      <c r="F1225" t="s">
        <v>32664</v>
      </c>
      <c r="G1225" t="s">
        <v>32672</v>
      </c>
      <c r="H1225" t="s">
        <v>32683</v>
      </c>
      <c r="I1225" t="s">
        <v>10627</v>
      </c>
      <c r="J1225" t="s">
        <v>33745</v>
      </c>
      <c r="K1225" t="s">
        <v>42283</v>
      </c>
      <c r="M1225" t="s">
        <v>42672</v>
      </c>
      <c r="N1225" t="s">
        <v>46569</v>
      </c>
      <c r="O1225" t="s">
        <v>46570</v>
      </c>
      <c r="P1225">
        <v>0</v>
      </c>
      <c r="Q1225">
        <v>0</v>
      </c>
      <c r="R1225" t="s">
        <v>46571</v>
      </c>
      <c r="S1225" t="s">
        <v>46687</v>
      </c>
      <c r="T1225" t="s">
        <v>48274</v>
      </c>
      <c r="U1225" t="s">
        <v>48996</v>
      </c>
      <c r="W1225" t="s">
        <v>42672</v>
      </c>
      <c r="X1225" t="s">
        <v>46573</v>
      </c>
    </row>
    <row r="1226" spans="1:24">
      <c r="A1226">
        <f>HYPERLINK("https://www.philgeps.gov.ph/GEPSNONPILOT/Tender/SplashBidNoticeAbstractUI.aspx?menuIndex=3&amp;refID=7062701&amp;Result=3","7062701")</f>
        <v>0</v>
      </c>
      <c r="B1226" t="s">
        <v>77</v>
      </c>
      <c r="C1226" t="s">
        <v>4725</v>
      </c>
      <c r="D1226" t="s">
        <v>18784</v>
      </c>
      <c r="E1226" t="s">
        <v>20037</v>
      </c>
      <c r="F1226" t="s">
        <v>32664</v>
      </c>
      <c r="G1226" t="s">
        <v>32671</v>
      </c>
      <c r="H1226" t="s">
        <v>12635</v>
      </c>
      <c r="I1226" t="s">
        <v>6223</v>
      </c>
      <c r="J1226" t="s">
        <v>33746</v>
      </c>
      <c r="K1226" t="s">
        <v>42284</v>
      </c>
      <c r="M1226" t="s">
        <v>42640</v>
      </c>
      <c r="N1226" t="s">
        <v>46569</v>
      </c>
      <c r="O1226" t="s">
        <v>46570</v>
      </c>
      <c r="P1226">
        <v>0</v>
      </c>
      <c r="Q1226">
        <v>0</v>
      </c>
      <c r="R1226" t="s">
        <v>46571</v>
      </c>
      <c r="S1226" t="s">
        <v>46687</v>
      </c>
      <c r="T1226" t="s">
        <v>48267</v>
      </c>
      <c r="U1226" t="s">
        <v>49856</v>
      </c>
      <c r="V1226" t="s">
        <v>61629</v>
      </c>
      <c r="W1226" t="s">
        <v>42640</v>
      </c>
      <c r="X1226" t="s">
        <v>46573</v>
      </c>
    </row>
    <row r="1227" spans="1:24">
      <c r="A1227">
        <f>HYPERLINK("https://www.philgeps.gov.ph/GEPSNONPILOT/Tender/SplashBidNoticeAbstractUI.aspx?menuIndex=3&amp;refID=7064640&amp;Result=3","7064640")</f>
        <v>0</v>
      </c>
      <c r="B1227" t="s">
        <v>142</v>
      </c>
      <c r="C1227" t="s">
        <v>4726</v>
      </c>
      <c r="D1227" t="s">
        <v>18784</v>
      </c>
      <c r="E1227" t="s">
        <v>19632</v>
      </c>
      <c r="F1227" t="s">
        <v>32664</v>
      </c>
      <c r="G1227" t="s">
        <v>32671</v>
      </c>
      <c r="H1227" t="s">
        <v>12635</v>
      </c>
      <c r="I1227" t="s">
        <v>8797</v>
      </c>
      <c r="J1227" t="s">
        <v>33128</v>
      </c>
      <c r="K1227" t="s">
        <v>42281</v>
      </c>
      <c r="M1227" t="s">
        <v>42706</v>
      </c>
      <c r="N1227" t="s">
        <v>46569</v>
      </c>
      <c r="O1227" t="s">
        <v>46570</v>
      </c>
      <c r="P1227">
        <v>0</v>
      </c>
      <c r="Q1227">
        <v>4</v>
      </c>
      <c r="R1227" t="s">
        <v>46571</v>
      </c>
      <c r="S1227" t="s">
        <v>46687</v>
      </c>
      <c r="T1227" t="s">
        <v>48256</v>
      </c>
      <c r="U1227" t="s">
        <v>49857</v>
      </c>
      <c r="W1227" t="s">
        <v>42706</v>
      </c>
      <c r="X1227" t="s">
        <v>46572</v>
      </c>
    </row>
    <row r="1228" spans="1:24">
      <c r="A1228">
        <f>HYPERLINK("https://www.philgeps.gov.ph/GEPSNONPILOT/Tender/SplashBidNoticeAbstractUI.aspx?menuIndex=3&amp;refID=7064224&amp;Result=3","7064224")</f>
        <v>0</v>
      </c>
      <c r="B1228" t="s">
        <v>584</v>
      </c>
      <c r="C1228" t="s">
        <v>4727</v>
      </c>
      <c r="D1228" t="s">
        <v>18820</v>
      </c>
      <c r="E1228" t="s">
        <v>19137</v>
      </c>
      <c r="F1228" t="s">
        <v>32664</v>
      </c>
      <c r="G1228" t="s">
        <v>32672</v>
      </c>
      <c r="H1228" t="s">
        <v>32683</v>
      </c>
      <c r="I1228" t="s">
        <v>10627</v>
      </c>
      <c r="J1228" t="s">
        <v>33747</v>
      </c>
      <c r="K1228" t="s">
        <v>42325</v>
      </c>
      <c r="M1228" t="s">
        <v>43164</v>
      </c>
      <c r="N1228" t="s">
        <v>46569</v>
      </c>
      <c r="O1228" t="s">
        <v>46570</v>
      </c>
      <c r="P1228">
        <v>0</v>
      </c>
      <c r="Q1228">
        <v>0</v>
      </c>
      <c r="R1228" t="s">
        <v>46571</v>
      </c>
      <c r="S1228" t="s">
        <v>46687</v>
      </c>
      <c r="T1228" t="s">
        <v>48257</v>
      </c>
      <c r="U1228" t="s">
        <v>49858</v>
      </c>
      <c r="V1228" t="s">
        <v>61767</v>
      </c>
      <c r="W1228" t="s">
        <v>43164</v>
      </c>
      <c r="X1228" t="s">
        <v>46573</v>
      </c>
    </row>
    <row r="1229" spans="1:24">
      <c r="A1229">
        <f>HYPERLINK("https://www.philgeps.gov.ph/GEPSNONPILOT/Tender/SplashBidNoticeAbstractUI.aspx?menuIndex=3&amp;refID=7064564&amp;Result=3","7064564")</f>
        <v>0</v>
      </c>
      <c r="B1229" t="s">
        <v>117</v>
      </c>
      <c r="C1229" t="s">
        <v>4728</v>
      </c>
      <c r="D1229" t="s">
        <v>18799</v>
      </c>
      <c r="E1229" t="s">
        <v>20038</v>
      </c>
      <c r="F1229" t="s">
        <v>32664</v>
      </c>
      <c r="G1229" t="s">
        <v>32677</v>
      </c>
      <c r="H1229" t="s">
        <v>12635</v>
      </c>
      <c r="I1229" t="s">
        <v>10370</v>
      </c>
      <c r="J1229" t="s">
        <v>33748</v>
      </c>
      <c r="K1229" t="s">
        <v>42283</v>
      </c>
      <c r="M1229" t="s">
        <v>42681</v>
      </c>
      <c r="N1229" t="s">
        <v>46569</v>
      </c>
      <c r="O1229" t="s">
        <v>46570</v>
      </c>
      <c r="P1229">
        <v>0</v>
      </c>
      <c r="Q1229">
        <v>4</v>
      </c>
      <c r="R1229" t="s">
        <v>46571</v>
      </c>
      <c r="S1229" t="s">
        <v>46687</v>
      </c>
      <c r="T1229" t="s">
        <v>48249</v>
      </c>
      <c r="U1229" t="s">
        <v>49859</v>
      </c>
      <c r="W1229" t="s">
        <v>42681</v>
      </c>
      <c r="X1229" t="s">
        <v>46572</v>
      </c>
    </row>
    <row r="1230" spans="1:24">
      <c r="A1230">
        <f>HYPERLINK("https://www.philgeps.gov.ph/GEPSNONPILOT/Tender/SplashBidNoticeAbstractUI.aspx?menuIndex=3&amp;refID=7051712&amp;Result=3","7051712")</f>
        <v>0</v>
      </c>
      <c r="B1230" t="s">
        <v>25</v>
      </c>
      <c r="C1230" t="s">
        <v>4729</v>
      </c>
      <c r="D1230" t="s">
        <v>18782</v>
      </c>
      <c r="E1230" t="s">
        <v>20039</v>
      </c>
      <c r="F1230" t="s">
        <v>32664</v>
      </c>
      <c r="G1230" t="s">
        <v>32672</v>
      </c>
      <c r="H1230" t="s">
        <v>12635</v>
      </c>
      <c r="I1230" t="s">
        <v>6168</v>
      </c>
      <c r="J1230" t="s">
        <v>33749</v>
      </c>
      <c r="K1230" t="s">
        <v>42281</v>
      </c>
      <c r="M1230" t="s">
        <v>42587</v>
      </c>
      <c r="N1230" t="s">
        <v>46569</v>
      </c>
      <c r="O1230" t="s">
        <v>46570</v>
      </c>
      <c r="P1230">
        <v>0</v>
      </c>
      <c r="Q1230">
        <v>0</v>
      </c>
      <c r="R1230" t="s">
        <v>46571</v>
      </c>
      <c r="S1230" t="s">
        <v>46687</v>
      </c>
      <c r="T1230" t="s">
        <v>48212</v>
      </c>
      <c r="U1230" t="s">
        <v>49860</v>
      </c>
      <c r="V1230" t="s">
        <v>61768</v>
      </c>
      <c r="W1230" t="s">
        <v>42587</v>
      </c>
      <c r="X1230" t="s">
        <v>46579</v>
      </c>
    </row>
    <row r="1231" spans="1:24">
      <c r="A1231">
        <f>HYPERLINK("https://www.philgeps.gov.ph/GEPSNONPILOT/Tender/SplashBidNoticeAbstractUI.aspx?menuIndex=3&amp;refID=7063401&amp;Result=3","7063401")</f>
        <v>0</v>
      </c>
      <c r="B1231" t="s">
        <v>97</v>
      </c>
      <c r="C1231" t="s">
        <v>4730</v>
      </c>
      <c r="D1231" t="s">
        <v>18798</v>
      </c>
      <c r="E1231" t="s">
        <v>20040</v>
      </c>
      <c r="F1231" t="s">
        <v>32664</v>
      </c>
      <c r="G1231" t="s">
        <v>32672</v>
      </c>
      <c r="H1231" t="s">
        <v>32683</v>
      </c>
      <c r="I1231" t="s">
        <v>10627</v>
      </c>
      <c r="J1231" t="s">
        <v>33750</v>
      </c>
      <c r="K1231" t="s">
        <v>42353</v>
      </c>
      <c r="M1231" t="s">
        <v>42660</v>
      </c>
      <c r="N1231" t="s">
        <v>46569</v>
      </c>
      <c r="O1231" t="s">
        <v>46570</v>
      </c>
      <c r="P1231">
        <v>0</v>
      </c>
      <c r="Q1231">
        <v>0</v>
      </c>
      <c r="R1231" t="s">
        <v>46571</v>
      </c>
      <c r="S1231" t="s">
        <v>46687</v>
      </c>
      <c r="T1231" t="s">
        <v>48270</v>
      </c>
      <c r="U1231" t="s">
        <v>49861</v>
      </c>
      <c r="W1231" t="s">
        <v>42660</v>
      </c>
      <c r="X1231" t="s">
        <v>46573</v>
      </c>
    </row>
    <row r="1232" spans="1:24">
      <c r="A1232">
        <f>HYPERLINK("https://www.philgeps.gov.ph/GEPSNONPILOT/Tender/SplashBidNoticeAbstractUI.aspx?menuIndex=3&amp;refID=7052225&amp;Result=3","7052225")</f>
        <v>0</v>
      </c>
      <c r="B1232" t="s">
        <v>104</v>
      </c>
      <c r="C1232" t="s">
        <v>4731</v>
      </c>
      <c r="E1232" t="s">
        <v>20041</v>
      </c>
      <c r="F1232" t="s">
        <v>32664</v>
      </c>
      <c r="G1232" t="s">
        <v>32672</v>
      </c>
      <c r="H1232" t="s">
        <v>12635</v>
      </c>
      <c r="I1232" t="s">
        <v>32710</v>
      </c>
      <c r="J1232" t="s">
        <v>33751</v>
      </c>
      <c r="K1232" t="s">
        <v>42283</v>
      </c>
      <c r="M1232" t="s">
        <v>42668</v>
      </c>
      <c r="N1232" t="s">
        <v>46569</v>
      </c>
      <c r="O1232" t="s">
        <v>46570</v>
      </c>
      <c r="P1232">
        <v>0</v>
      </c>
      <c r="Q1232">
        <v>8</v>
      </c>
      <c r="R1232" t="s">
        <v>46571</v>
      </c>
      <c r="S1232" t="s">
        <v>46687</v>
      </c>
      <c r="T1232" t="s">
        <v>48272</v>
      </c>
      <c r="U1232" t="s">
        <v>48990</v>
      </c>
      <c r="W1232" t="s">
        <v>42668</v>
      </c>
      <c r="X1232" t="s">
        <v>46579</v>
      </c>
    </row>
    <row r="1233" spans="1:24">
      <c r="A1233">
        <f>HYPERLINK("https://www.philgeps.gov.ph/GEPSNONPILOT/Tender/SplashBidNoticeAbstractUI.aspx?menuIndex=3&amp;refID=7045490&amp;Result=3","7045490")</f>
        <v>0</v>
      </c>
      <c r="B1233" t="s">
        <v>30</v>
      </c>
      <c r="C1233" t="s">
        <v>4732</v>
      </c>
      <c r="D1233" t="s">
        <v>18786</v>
      </c>
      <c r="E1233" t="s">
        <v>20042</v>
      </c>
      <c r="F1233" t="s">
        <v>32664</v>
      </c>
      <c r="G1233" t="s">
        <v>32674</v>
      </c>
      <c r="H1233" t="s">
        <v>12635</v>
      </c>
      <c r="I1233" t="s">
        <v>6223</v>
      </c>
      <c r="J1233" t="s">
        <v>33299</v>
      </c>
      <c r="K1233" t="s">
        <v>42283</v>
      </c>
      <c r="M1233" t="s">
        <v>42592</v>
      </c>
      <c r="N1233" t="s">
        <v>46569</v>
      </c>
      <c r="O1233" t="s">
        <v>46570</v>
      </c>
      <c r="P1233">
        <v>0</v>
      </c>
      <c r="Q1233">
        <v>0</v>
      </c>
      <c r="R1233" t="s">
        <v>46571</v>
      </c>
      <c r="S1233" t="s">
        <v>46687</v>
      </c>
      <c r="T1233" t="s">
        <v>48217</v>
      </c>
      <c r="U1233" t="s">
        <v>49862</v>
      </c>
      <c r="W1233" t="s">
        <v>42592</v>
      </c>
      <c r="X1233" t="s">
        <v>46581</v>
      </c>
    </row>
    <row r="1234" spans="1:24">
      <c r="A1234">
        <f>HYPERLINK("https://www.philgeps.gov.ph/GEPSNONPILOT/Tender/SplashBidNoticeAbstractUI.aspx?menuIndex=3&amp;refID=7063417&amp;Result=3","7063417")</f>
        <v>0</v>
      </c>
      <c r="B1234" t="s">
        <v>94</v>
      </c>
      <c r="C1234" t="s">
        <v>3731</v>
      </c>
      <c r="D1234" t="s">
        <v>18804</v>
      </c>
      <c r="E1234" t="s">
        <v>20043</v>
      </c>
      <c r="F1234" t="s">
        <v>32664</v>
      </c>
      <c r="G1234" t="s">
        <v>32671</v>
      </c>
      <c r="H1234" t="s">
        <v>12635</v>
      </c>
      <c r="I1234" t="s">
        <v>8730</v>
      </c>
      <c r="J1234" t="s">
        <v>33752</v>
      </c>
      <c r="K1234" t="s">
        <v>42281</v>
      </c>
      <c r="M1234" t="s">
        <v>42657</v>
      </c>
      <c r="N1234" t="s">
        <v>46569</v>
      </c>
      <c r="O1234" t="s">
        <v>46570</v>
      </c>
      <c r="P1234">
        <v>0</v>
      </c>
      <c r="Q1234">
        <v>2</v>
      </c>
      <c r="R1234" t="s">
        <v>46571</v>
      </c>
      <c r="S1234" t="s">
        <v>46687</v>
      </c>
      <c r="T1234" t="s">
        <v>48268</v>
      </c>
      <c r="U1234" t="s">
        <v>49863</v>
      </c>
      <c r="W1234" t="s">
        <v>42657</v>
      </c>
      <c r="X1234" t="s">
        <v>46573</v>
      </c>
    </row>
    <row r="1235" spans="1:24">
      <c r="A1235">
        <f>HYPERLINK("https://www.philgeps.gov.ph/GEPSNONPILOT/Tender/SplashBidNoticeAbstractUI.aspx?menuIndex=3&amp;refID=7051829&amp;Result=3","7051829")</f>
        <v>0</v>
      </c>
      <c r="B1235" t="s">
        <v>25</v>
      </c>
      <c r="C1235" t="s">
        <v>4733</v>
      </c>
      <c r="D1235" t="s">
        <v>18782</v>
      </c>
      <c r="E1235" t="s">
        <v>20044</v>
      </c>
      <c r="F1235" t="s">
        <v>32664</v>
      </c>
      <c r="G1235" t="s">
        <v>32672</v>
      </c>
      <c r="H1235" t="s">
        <v>12635</v>
      </c>
      <c r="I1235" t="s">
        <v>6168</v>
      </c>
      <c r="J1235" t="s">
        <v>33753</v>
      </c>
      <c r="K1235" t="s">
        <v>42281</v>
      </c>
      <c r="M1235" t="s">
        <v>42587</v>
      </c>
      <c r="N1235" t="s">
        <v>46569</v>
      </c>
      <c r="O1235" t="s">
        <v>46570</v>
      </c>
      <c r="P1235">
        <v>0</v>
      </c>
      <c r="Q1235">
        <v>0</v>
      </c>
      <c r="R1235" t="s">
        <v>46571</v>
      </c>
      <c r="S1235" t="s">
        <v>46687</v>
      </c>
      <c r="T1235" t="s">
        <v>48220</v>
      </c>
      <c r="U1235" t="s">
        <v>49864</v>
      </c>
      <c r="V1235" t="s">
        <v>61599</v>
      </c>
      <c r="W1235" t="s">
        <v>42587</v>
      </c>
      <c r="X1235" t="s">
        <v>46579</v>
      </c>
    </row>
    <row r="1236" spans="1:24">
      <c r="A1236">
        <f>HYPERLINK("https://www.philgeps.gov.ph/GEPSNONPILOT/Tender/SplashBidNoticeAbstractUI.aspx?menuIndex=3&amp;refID=7045240&amp;Result=3","7045240")</f>
        <v>0</v>
      </c>
      <c r="B1236" t="s">
        <v>30</v>
      </c>
      <c r="C1236" t="s">
        <v>4193</v>
      </c>
      <c r="D1236" t="s">
        <v>18786</v>
      </c>
      <c r="E1236" t="s">
        <v>20045</v>
      </c>
      <c r="F1236" t="s">
        <v>32664</v>
      </c>
      <c r="G1236" t="s">
        <v>32674</v>
      </c>
      <c r="H1236" t="s">
        <v>12635</v>
      </c>
      <c r="I1236" t="s">
        <v>32685</v>
      </c>
      <c r="J1236" t="s">
        <v>33754</v>
      </c>
      <c r="K1236" t="s">
        <v>42283</v>
      </c>
      <c r="M1236" t="s">
        <v>42592</v>
      </c>
      <c r="N1236" t="s">
        <v>46569</v>
      </c>
      <c r="O1236" t="s">
        <v>46570</v>
      </c>
      <c r="P1236">
        <v>0</v>
      </c>
      <c r="Q1236">
        <v>0</v>
      </c>
      <c r="R1236" t="s">
        <v>46571</v>
      </c>
      <c r="S1236" t="s">
        <v>46687</v>
      </c>
      <c r="T1236" t="s">
        <v>48217</v>
      </c>
      <c r="U1236" t="s">
        <v>49387</v>
      </c>
      <c r="W1236" t="s">
        <v>42592</v>
      </c>
      <c r="X1236" t="s">
        <v>46581</v>
      </c>
    </row>
    <row r="1237" spans="1:24">
      <c r="A1237">
        <f>HYPERLINK("https://www.philgeps.gov.ph/GEPSNONPILOT/Tender/SplashBidNoticeAbstractUI.aspx?menuIndex=3&amp;refID=7051781&amp;Result=3","7051781")</f>
        <v>0</v>
      </c>
      <c r="B1237" t="s">
        <v>25</v>
      </c>
      <c r="C1237" t="s">
        <v>4734</v>
      </c>
      <c r="D1237" t="s">
        <v>18782</v>
      </c>
      <c r="E1237" t="s">
        <v>20046</v>
      </c>
      <c r="F1237" t="s">
        <v>32664</v>
      </c>
      <c r="G1237" t="s">
        <v>32672</v>
      </c>
      <c r="H1237" t="s">
        <v>12635</v>
      </c>
      <c r="I1237" t="s">
        <v>32689</v>
      </c>
      <c r="J1237" t="s">
        <v>33755</v>
      </c>
      <c r="K1237" t="s">
        <v>42281</v>
      </c>
      <c r="M1237" t="s">
        <v>42587</v>
      </c>
      <c r="N1237" t="s">
        <v>46569</v>
      </c>
      <c r="O1237" t="s">
        <v>46570</v>
      </c>
      <c r="P1237">
        <v>0</v>
      </c>
      <c r="Q1237">
        <v>0</v>
      </c>
      <c r="R1237" t="s">
        <v>46571</v>
      </c>
      <c r="S1237" t="s">
        <v>46687</v>
      </c>
      <c r="T1237" t="s">
        <v>48212</v>
      </c>
      <c r="U1237" t="s">
        <v>49865</v>
      </c>
      <c r="V1237" t="s">
        <v>61599</v>
      </c>
      <c r="W1237" t="s">
        <v>42587</v>
      </c>
      <c r="X1237" t="s">
        <v>46579</v>
      </c>
    </row>
    <row r="1238" spans="1:24">
      <c r="A1238">
        <f>HYPERLINK("https://www.philgeps.gov.ph/GEPSNONPILOT/Tender/SplashBidNoticeAbstractUI.aspx?menuIndex=3&amp;refID=7065769&amp;Result=3","7065769")</f>
        <v>0</v>
      </c>
      <c r="B1238" t="s">
        <v>585</v>
      </c>
      <c r="C1238" t="s">
        <v>4735</v>
      </c>
      <c r="D1238" t="s">
        <v>18834</v>
      </c>
      <c r="E1238" t="s">
        <v>20047</v>
      </c>
      <c r="F1238" t="s">
        <v>32664</v>
      </c>
      <c r="G1238" t="s">
        <v>32671</v>
      </c>
      <c r="H1238" t="s">
        <v>12635</v>
      </c>
      <c r="I1238" t="s">
        <v>10590</v>
      </c>
      <c r="J1238" t="s">
        <v>33756</v>
      </c>
      <c r="K1238" t="s">
        <v>42284</v>
      </c>
      <c r="M1238" t="s">
        <v>43165</v>
      </c>
      <c r="N1238" t="s">
        <v>46569</v>
      </c>
      <c r="O1238" t="s">
        <v>46570</v>
      </c>
      <c r="P1238">
        <v>0</v>
      </c>
      <c r="Q1238">
        <v>0</v>
      </c>
      <c r="R1238" t="s">
        <v>46571</v>
      </c>
      <c r="S1238" t="s">
        <v>46687</v>
      </c>
      <c r="T1238" t="s">
        <v>48373</v>
      </c>
      <c r="U1238" t="s">
        <v>49866</v>
      </c>
      <c r="W1238" t="s">
        <v>43165</v>
      </c>
      <c r="X1238" t="s">
        <v>46572</v>
      </c>
    </row>
    <row r="1239" spans="1:24">
      <c r="A1239">
        <f>HYPERLINK("https://www.philgeps.gov.ph/GEPSNONPILOT/Tender/SplashBidNoticeAbstractUI.aspx?menuIndex=3&amp;refID=7065768&amp;Result=3","7065768")</f>
        <v>0</v>
      </c>
      <c r="B1239" t="s">
        <v>418</v>
      </c>
      <c r="C1239" t="s">
        <v>4736</v>
      </c>
      <c r="D1239" t="s">
        <v>18784</v>
      </c>
      <c r="E1239" t="s">
        <v>20048</v>
      </c>
      <c r="F1239" t="s">
        <v>32664</v>
      </c>
      <c r="G1239" t="s">
        <v>32672</v>
      </c>
      <c r="H1239" t="s">
        <v>12635</v>
      </c>
      <c r="I1239" t="s">
        <v>6118</v>
      </c>
      <c r="J1239" t="s">
        <v>33757</v>
      </c>
      <c r="K1239" t="s">
        <v>42289</v>
      </c>
      <c r="M1239" t="s">
        <v>43105</v>
      </c>
      <c r="N1239" t="s">
        <v>46569</v>
      </c>
      <c r="O1239" t="s">
        <v>46570</v>
      </c>
      <c r="P1239">
        <v>0</v>
      </c>
      <c r="Q1239">
        <v>0</v>
      </c>
      <c r="R1239" t="s">
        <v>46571</v>
      </c>
      <c r="S1239" t="s">
        <v>46687</v>
      </c>
      <c r="T1239" t="s">
        <v>48226</v>
      </c>
      <c r="U1239" t="s">
        <v>49634</v>
      </c>
      <c r="W1239" t="s">
        <v>43105</v>
      </c>
      <c r="X1239" t="s">
        <v>46572</v>
      </c>
    </row>
    <row r="1240" spans="1:24">
      <c r="A1240">
        <f>HYPERLINK("https://www.philgeps.gov.ph/GEPSNONPILOT/Tender/SplashBidNoticeAbstractUI.aspx?menuIndex=3&amp;refID=7065788&amp;Result=3","7065788")</f>
        <v>0</v>
      </c>
      <c r="B1240" t="s">
        <v>586</v>
      </c>
      <c r="C1240" t="s">
        <v>4737</v>
      </c>
      <c r="D1240" t="s">
        <v>18794</v>
      </c>
      <c r="E1240" t="s">
        <v>4737</v>
      </c>
      <c r="F1240" t="s">
        <v>32664</v>
      </c>
      <c r="G1240" t="s">
        <v>32672</v>
      </c>
      <c r="H1240" t="s">
        <v>12635</v>
      </c>
      <c r="I1240" t="s">
        <v>32685</v>
      </c>
      <c r="J1240" t="s">
        <v>32859</v>
      </c>
      <c r="K1240" t="s">
        <v>42281</v>
      </c>
      <c r="M1240" t="s">
        <v>43166</v>
      </c>
      <c r="N1240" t="s">
        <v>46569</v>
      </c>
      <c r="O1240" t="s">
        <v>46570</v>
      </c>
      <c r="P1240">
        <v>0</v>
      </c>
      <c r="Q1240">
        <v>0</v>
      </c>
      <c r="R1240" t="s">
        <v>46571</v>
      </c>
      <c r="S1240" t="s">
        <v>46687</v>
      </c>
      <c r="T1240" t="s">
        <v>48374</v>
      </c>
      <c r="U1240" t="s">
        <v>49867</v>
      </c>
      <c r="W1240" t="s">
        <v>43166</v>
      </c>
      <c r="X1240" t="s">
        <v>46572</v>
      </c>
    </row>
    <row r="1241" spans="1:24">
      <c r="A1241">
        <f>HYPERLINK("https://www.philgeps.gov.ph/GEPSNONPILOT/Tender/SplashBidNoticeAbstractUI.aspx?menuIndex=3&amp;refID=7065786&amp;Result=3","7065786")</f>
        <v>0</v>
      </c>
      <c r="B1241" t="s">
        <v>535</v>
      </c>
      <c r="C1241" t="s">
        <v>4738</v>
      </c>
      <c r="D1241" t="s">
        <v>18834</v>
      </c>
      <c r="E1241" t="s">
        <v>20049</v>
      </c>
      <c r="F1241" t="s">
        <v>32664</v>
      </c>
      <c r="G1241" t="s">
        <v>32671</v>
      </c>
      <c r="H1241" t="s">
        <v>12635</v>
      </c>
      <c r="I1241" t="s">
        <v>4439</v>
      </c>
      <c r="J1241" t="s">
        <v>33758</v>
      </c>
      <c r="K1241" t="s">
        <v>42289</v>
      </c>
      <c r="M1241" t="s">
        <v>43113</v>
      </c>
      <c r="N1241" t="s">
        <v>46569</v>
      </c>
      <c r="O1241" t="s">
        <v>46570</v>
      </c>
      <c r="P1241">
        <v>0</v>
      </c>
      <c r="Q1241">
        <v>0</v>
      </c>
      <c r="R1241" t="s">
        <v>46571</v>
      </c>
      <c r="S1241" t="s">
        <v>46687</v>
      </c>
      <c r="T1241" t="s">
        <v>48219</v>
      </c>
      <c r="U1241" t="s">
        <v>49736</v>
      </c>
      <c r="W1241" t="s">
        <v>63481</v>
      </c>
      <c r="X1241" t="s">
        <v>46572</v>
      </c>
    </row>
    <row r="1242" spans="1:24">
      <c r="A1242">
        <f>HYPERLINK("https://www.philgeps.gov.ph/GEPSNONPILOT/Tender/SplashBidNoticeAbstractUI.aspx?menuIndex=3&amp;refID=7065793&amp;Result=3","7065793")</f>
        <v>0</v>
      </c>
      <c r="B1242" t="s">
        <v>586</v>
      </c>
      <c r="C1242" t="s">
        <v>4739</v>
      </c>
      <c r="D1242" t="s">
        <v>18794</v>
      </c>
      <c r="E1242" t="s">
        <v>4739</v>
      </c>
      <c r="F1242" t="s">
        <v>32664</v>
      </c>
      <c r="G1242" t="s">
        <v>32672</v>
      </c>
      <c r="H1242" t="s">
        <v>12635</v>
      </c>
      <c r="I1242" t="s">
        <v>6118</v>
      </c>
      <c r="J1242" t="s">
        <v>33759</v>
      </c>
      <c r="K1242" t="s">
        <v>42283</v>
      </c>
      <c r="M1242" t="s">
        <v>43166</v>
      </c>
      <c r="N1242" t="s">
        <v>46569</v>
      </c>
      <c r="O1242" t="s">
        <v>46570</v>
      </c>
      <c r="P1242">
        <v>0</v>
      </c>
      <c r="Q1242">
        <v>0</v>
      </c>
      <c r="R1242" t="s">
        <v>46571</v>
      </c>
      <c r="S1242" t="s">
        <v>46687</v>
      </c>
      <c r="T1242" t="s">
        <v>48374</v>
      </c>
      <c r="U1242" t="s">
        <v>49868</v>
      </c>
      <c r="W1242" t="s">
        <v>43166</v>
      </c>
      <c r="X1242" t="s">
        <v>46572</v>
      </c>
    </row>
    <row r="1243" spans="1:24">
      <c r="A1243">
        <f>HYPERLINK("https://www.philgeps.gov.ph/GEPSNONPILOT/Tender/SplashBidNoticeAbstractUI.aspx?menuIndex=3&amp;refID=7065791&amp;Result=3","7065791")</f>
        <v>0</v>
      </c>
      <c r="B1243" t="s">
        <v>587</v>
      </c>
      <c r="C1243" t="s">
        <v>4740</v>
      </c>
      <c r="D1243" t="s">
        <v>18805</v>
      </c>
      <c r="E1243" t="s">
        <v>20050</v>
      </c>
      <c r="F1243" t="s">
        <v>32664</v>
      </c>
      <c r="G1243" t="s">
        <v>32672</v>
      </c>
      <c r="H1243" t="s">
        <v>12635</v>
      </c>
      <c r="I1243" t="s">
        <v>32759</v>
      </c>
      <c r="J1243" t="s">
        <v>33760</v>
      </c>
      <c r="K1243" t="s">
        <v>42306</v>
      </c>
      <c r="M1243" t="s">
        <v>43167</v>
      </c>
      <c r="N1243" t="s">
        <v>46569</v>
      </c>
      <c r="O1243" t="s">
        <v>46570</v>
      </c>
      <c r="P1243">
        <v>0</v>
      </c>
      <c r="Q1243">
        <v>0</v>
      </c>
      <c r="R1243" t="s">
        <v>46571</v>
      </c>
      <c r="S1243" t="s">
        <v>46687</v>
      </c>
      <c r="T1243" t="s">
        <v>48347</v>
      </c>
      <c r="U1243" t="s">
        <v>49869</v>
      </c>
      <c r="W1243" t="s">
        <v>43167</v>
      </c>
      <c r="X1243" t="s">
        <v>46572</v>
      </c>
    </row>
    <row r="1244" spans="1:24">
      <c r="A1244">
        <f>HYPERLINK("https://www.philgeps.gov.ph/GEPSNONPILOT/Tender/SplashBidNoticeAbstractUI.aspx?menuIndex=3&amp;refID=7065771&amp;Result=3","7065771")</f>
        <v>0</v>
      </c>
      <c r="B1244" t="s">
        <v>241</v>
      </c>
      <c r="C1244" t="s">
        <v>4741</v>
      </c>
      <c r="D1244" t="s">
        <v>18822</v>
      </c>
      <c r="E1244" t="s">
        <v>20051</v>
      </c>
      <c r="F1244" t="s">
        <v>32664</v>
      </c>
      <c r="G1244" t="s">
        <v>32672</v>
      </c>
      <c r="H1244" t="s">
        <v>12635</v>
      </c>
      <c r="I1244" t="s">
        <v>32708</v>
      </c>
      <c r="J1244" t="s">
        <v>33761</v>
      </c>
      <c r="K1244" t="s">
        <v>42283</v>
      </c>
      <c r="M1244" t="s">
        <v>42806</v>
      </c>
      <c r="N1244" t="s">
        <v>46569</v>
      </c>
      <c r="O1244" t="s">
        <v>46570</v>
      </c>
      <c r="P1244">
        <v>0</v>
      </c>
      <c r="Q1244">
        <v>2</v>
      </c>
      <c r="R1244" t="s">
        <v>46571</v>
      </c>
      <c r="S1244" t="s">
        <v>46687</v>
      </c>
      <c r="T1244" t="s">
        <v>48233</v>
      </c>
      <c r="U1244" t="s">
        <v>49870</v>
      </c>
      <c r="W1244" t="s">
        <v>42806</v>
      </c>
      <c r="X1244" t="s">
        <v>46572</v>
      </c>
    </row>
    <row r="1245" spans="1:24">
      <c r="A1245">
        <f>HYPERLINK("https://www.philgeps.gov.ph/GEPSNONPILOT/Tender/SplashBidNoticeAbstractUI.aspx?menuIndex=3&amp;refID=7065789&amp;Result=3","7065789")</f>
        <v>0</v>
      </c>
      <c r="B1245" t="s">
        <v>588</v>
      </c>
      <c r="C1245" t="s">
        <v>4742</v>
      </c>
      <c r="D1245" t="s">
        <v>18826</v>
      </c>
      <c r="E1245" t="s">
        <v>19137</v>
      </c>
      <c r="F1245" t="s">
        <v>32664</v>
      </c>
      <c r="G1245" t="s">
        <v>32676</v>
      </c>
      <c r="H1245" t="s">
        <v>12635</v>
      </c>
      <c r="I1245" t="s">
        <v>32747</v>
      </c>
      <c r="J1245" t="s">
        <v>33762</v>
      </c>
      <c r="K1245" t="s">
        <v>42284</v>
      </c>
      <c r="M1245" t="s">
        <v>43168</v>
      </c>
      <c r="N1245" t="s">
        <v>46569</v>
      </c>
      <c r="O1245" t="s">
        <v>46570</v>
      </c>
      <c r="P1245">
        <v>0</v>
      </c>
      <c r="Q1245">
        <v>0</v>
      </c>
      <c r="R1245" t="s">
        <v>46571</v>
      </c>
      <c r="S1245" t="s">
        <v>46687</v>
      </c>
      <c r="T1245" t="s">
        <v>48225</v>
      </c>
      <c r="U1245" t="s">
        <v>49871</v>
      </c>
      <c r="W1245" t="s">
        <v>43168</v>
      </c>
      <c r="X1245" t="s">
        <v>46572</v>
      </c>
    </row>
    <row r="1246" spans="1:24">
      <c r="A1246">
        <f>HYPERLINK("https://www.philgeps.gov.ph/GEPSNONPILOT/Tender/SplashBidNoticeAbstractUI.aspx?menuIndex=3&amp;refID=7065785&amp;Result=3","7065785")</f>
        <v>0</v>
      </c>
      <c r="B1246" t="s">
        <v>418</v>
      </c>
      <c r="C1246" t="s">
        <v>4743</v>
      </c>
      <c r="D1246" t="s">
        <v>18784</v>
      </c>
      <c r="E1246" t="s">
        <v>20052</v>
      </c>
      <c r="F1246" t="s">
        <v>32664</v>
      </c>
      <c r="G1246" t="s">
        <v>32672</v>
      </c>
      <c r="H1246" t="s">
        <v>12635</v>
      </c>
      <c r="I1246" t="s">
        <v>6223</v>
      </c>
      <c r="J1246" t="s">
        <v>33763</v>
      </c>
      <c r="K1246" t="s">
        <v>42289</v>
      </c>
      <c r="M1246" t="s">
        <v>43105</v>
      </c>
      <c r="N1246" t="s">
        <v>46569</v>
      </c>
      <c r="O1246" t="s">
        <v>46570</v>
      </c>
      <c r="P1246">
        <v>0</v>
      </c>
      <c r="Q1246">
        <v>0</v>
      </c>
      <c r="R1246" t="s">
        <v>46571</v>
      </c>
      <c r="S1246" t="s">
        <v>46687</v>
      </c>
      <c r="T1246" t="s">
        <v>48226</v>
      </c>
      <c r="U1246" t="s">
        <v>49872</v>
      </c>
      <c r="W1246" t="s">
        <v>43105</v>
      </c>
      <c r="X1246" t="s">
        <v>46572</v>
      </c>
    </row>
    <row r="1247" spans="1:24">
      <c r="A1247">
        <f>HYPERLINK("https://www.philgeps.gov.ph/GEPSNONPILOT/Tender/SplashBidNoticeAbstractUI.aspx?menuIndex=3&amp;refID=7051649&amp;Result=3","7051649")</f>
        <v>0</v>
      </c>
      <c r="B1247" t="s">
        <v>25</v>
      </c>
      <c r="C1247" t="s">
        <v>4744</v>
      </c>
      <c r="D1247" t="s">
        <v>18782</v>
      </c>
      <c r="E1247" t="s">
        <v>20053</v>
      </c>
      <c r="F1247" t="s">
        <v>32664</v>
      </c>
      <c r="G1247" t="s">
        <v>32672</v>
      </c>
      <c r="H1247" t="s">
        <v>12635</v>
      </c>
      <c r="I1247" t="s">
        <v>32684</v>
      </c>
      <c r="J1247" t="s">
        <v>33764</v>
      </c>
      <c r="K1247" t="s">
        <v>42281</v>
      </c>
      <c r="M1247" t="s">
        <v>42587</v>
      </c>
      <c r="N1247" t="s">
        <v>46569</v>
      </c>
      <c r="O1247" t="s">
        <v>46570</v>
      </c>
      <c r="P1247">
        <v>0</v>
      </c>
      <c r="Q1247">
        <v>2</v>
      </c>
      <c r="R1247" t="s">
        <v>46571</v>
      </c>
      <c r="S1247" t="s">
        <v>46687</v>
      </c>
      <c r="T1247" t="s">
        <v>48212</v>
      </c>
      <c r="U1247" t="s">
        <v>49873</v>
      </c>
      <c r="V1247" t="s">
        <v>61768</v>
      </c>
      <c r="W1247" t="s">
        <v>42587</v>
      </c>
      <c r="X1247" t="s">
        <v>46579</v>
      </c>
    </row>
    <row r="1248" spans="1:24">
      <c r="A1248">
        <f>HYPERLINK("https://www.philgeps.gov.ph/GEPSNONPILOT/Tender/SplashBidNoticeAbstractUI.aspx?menuIndex=3&amp;refID=7065784&amp;Result=3","7065784")</f>
        <v>0</v>
      </c>
      <c r="B1248" t="s">
        <v>81</v>
      </c>
      <c r="C1248" t="s">
        <v>4547</v>
      </c>
      <c r="D1248" t="s">
        <v>18818</v>
      </c>
      <c r="E1248" t="s">
        <v>20054</v>
      </c>
      <c r="F1248" t="s">
        <v>32664</v>
      </c>
      <c r="G1248" t="s">
        <v>32672</v>
      </c>
      <c r="H1248" t="s">
        <v>12635</v>
      </c>
      <c r="I1248" t="s">
        <v>32712</v>
      </c>
      <c r="J1248" t="s">
        <v>33765</v>
      </c>
      <c r="K1248" t="s">
        <v>42283</v>
      </c>
      <c r="M1248" t="s">
        <v>43093</v>
      </c>
      <c r="N1248" t="s">
        <v>46569</v>
      </c>
      <c r="O1248" t="s">
        <v>46570</v>
      </c>
      <c r="P1248">
        <v>0</v>
      </c>
      <c r="Q1248">
        <v>0</v>
      </c>
      <c r="R1248" t="s">
        <v>46571</v>
      </c>
      <c r="S1248" t="s">
        <v>46687</v>
      </c>
      <c r="T1248" t="s">
        <v>48260</v>
      </c>
      <c r="U1248" t="s">
        <v>49696</v>
      </c>
      <c r="V1248" t="s">
        <v>61746</v>
      </c>
      <c r="W1248" t="s">
        <v>43093</v>
      </c>
      <c r="X1248" t="s">
        <v>46572</v>
      </c>
    </row>
    <row r="1249" spans="1:24">
      <c r="A1249">
        <f>HYPERLINK("https://www.philgeps.gov.ph/GEPSNONPILOT/Tender/SplashBidNoticeAbstractUI.aspx?menuIndex=3&amp;refID=7065783&amp;Result=3","7065783")</f>
        <v>0</v>
      </c>
      <c r="B1249" t="s">
        <v>574</v>
      </c>
      <c r="C1249" t="s">
        <v>4745</v>
      </c>
      <c r="D1249" t="s">
        <v>18788</v>
      </c>
      <c r="E1249" t="s">
        <v>20055</v>
      </c>
      <c r="F1249" t="s">
        <v>32664</v>
      </c>
      <c r="G1249" t="s">
        <v>32672</v>
      </c>
      <c r="H1249" t="s">
        <v>32683</v>
      </c>
      <c r="I1249" t="s">
        <v>10627</v>
      </c>
      <c r="J1249" t="s">
        <v>33766</v>
      </c>
      <c r="K1249" t="s">
        <v>42281</v>
      </c>
      <c r="M1249" t="s">
        <v>43154</v>
      </c>
      <c r="N1249" t="s">
        <v>46569</v>
      </c>
      <c r="O1249" t="s">
        <v>46570</v>
      </c>
      <c r="P1249">
        <v>0</v>
      </c>
      <c r="Q1249">
        <v>0</v>
      </c>
      <c r="R1249" t="s">
        <v>46571</v>
      </c>
      <c r="S1249" t="s">
        <v>46687</v>
      </c>
      <c r="T1249" t="s">
        <v>48375</v>
      </c>
      <c r="U1249" t="s">
        <v>49832</v>
      </c>
      <c r="W1249" t="s">
        <v>43154</v>
      </c>
      <c r="X1249" t="s">
        <v>46572</v>
      </c>
    </row>
    <row r="1250" spans="1:24">
      <c r="A1250">
        <f>HYPERLINK("https://www.philgeps.gov.ph/GEPSNONPILOT/Tender/SplashBidNoticeAbstractUI.aspx?menuIndex=3&amp;refID=7065779&amp;Result=3","7065779")</f>
        <v>0</v>
      </c>
      <c r="B1250" t="s">
        <v>426</v>
      </c>
      <c r="C1250" t="s">
        <v>4746</v>
      </c>
      <c r="D1250" t="s">
        <v>18841</v>
      </c>
      <c r="E1250" t="s">
        <v>20056</v>
      </c>
      <c r="F1250" t="s">
        <v>32664</v>
      </c>
      <c r="G1250" t="s">
        <v>32672</v>
      </c>
      <c r="H1250" t="s">
        <v>32683</v>
      </c>
      <c r="I1250" t="s">
        <v>10627</v>
      </c>
      <c r="J1250" t="s">
        <v>33767</v>
      </c>
      <c r="K1250" t="s">
        <v>42298</v>
      </c>
      <c r="M1250" t="s">
        <v>42997</v>
      </c>
      <c r="N1250" t="s">
        <v>46569</v>
      </c>
      <c r="O1250" t="s">
        <v>46570</v>
      </c>
      <c r="P1250">
        <v>0</v>
      </c>
      <c r="Q1250">
        <v>0</v>
      </c>
      <c r="R1250" t="s">
        <v>46571</v>
      </c>
      <c r="S1250" t="s">
        <v>46687</v>
      </c>
      <c r="T1250" t="s">
        <v>48230</v>
      </c>
      <c r="U1250" t="s">
        <v>49874</v>
      </c>
      <c r="W1250" t="s">
        <v>42997</v>
      </c>
      <c r="X1250" t="s">
        <v>46572</v>
      </c>
    </row>
    <row r="1251" spans="1:24">
      <c r="A1251">
        <f>HYPERLINK("https://www.philgeps.gov.ph/GEPSNONPILOT/Tender/SplashBidNoticeAbstractUI.aspx?menuIndex=3&amp;refID=7065780&amp;Result=3","7065780")</f>
        <v>0</v>
      </c>
      <c r="B1251" t="s">
        <v>528</v>
      </c>
      <c r="C1251" t="s">
        <v>4747</v>
      </c>
      <c r="D1251" t="s">
        <v>18803</v>
      </c>
      <c r="E1251" t="s">
        <v>20057</v>
      </c>
      <c r="F1251" t="s">
        <v>32664</v>
      </c>
      <c r="G1251" t="s">
        <v>32675</v>
      </c>
      <c r="H1251" t="s">
        <v>12635</v>
      </c>
      <c r="I1251" t="s">
        <v>32710</v>
      </c>
      <c r="J1251" t="s">
        <v>32898</v>
      </c>
      <c r="K1251" t="s">
        <v>42281</v>
      </c>
      <c r="M1251" t="s">
        <v>43106</v>
      </c>
      <c r="N1251" t="s">
        <v>46569</v>
      </c>
      <c r="O1251" t="s">
        <v>46570</v>
      </c>
      <c r="P1251">
        <v>0</v>
      </c>
      <c r="Q1251">
        <v>7</v>
      </c>
      <c r="R1251" t="s">
        <v>46571</v>
      </c>
      <c r="S1251" t="s">
        <v>46687</v>
      </c>
      <c r="T1251" t="s">
        <v>48299</v>
      </c>
      <c r="U1251" t="s">
        <v>49875</v>
      </c>
      <c r="W1251" t="s">
        <v>43106</v>
      </c>
      <c r="X1251" t="s">
        <v>46572</v>
      </c>
    </row>
    <row r="1252" spans="1:24">
      <c r="A1252">
        <f>HYPERLINK("https://www.philgeps.gov.ph/GEPSNONPILOT/Tender/SplashBidNoticeAbstractUI.aspx?menuIndex=3&amp;refID=7046402&amp;Result=3","7046402")</f>
        <v>0</v>
      </c>
      <c r="B1252" t="s">
        <v>589</v>
      </c>
      <c r="C1252" t="s">
        <v>4748</v>
      </c>
      <c r="D1252" t="s">
        <v>18818</v>
      </c>
      <c r="E1252" t="s">
        <v>20058</v>
      </c>
      <c r="F1252" t="s">
        <v>32664</v>
      </c>
      <c r="G1252" t="s">
        <v>32671</v>
      </c>
      <c r="H1252" t="s">
        <v>12635</v>
      </c>
      <c r="I1252" t="s">
        <v>32707</v>
      </c>
      <c r="J1252" t="s">
        <v>33173</v>
      </c>
      <c r="K1252" t="s">
        <v>42281</v>
      </c>
      <c r="M1252" t="s">
        <v>43169</v>
      </c>
      <c r="N1252" t="s">
        <v>46569</v>
      </c>
      <c r="O1252" t="s">
        <v>46570</v>
      </c>
      <c r="P1252">
        <v>0</v>
      </c>
      <c r="Q1252">
        <v>1</v>
      </c>
      <c r="R1252" t="s">
        <v>46571</v>
      </c>
      <c r="S1252" t="s">
        <v>46687</v>
      </c>
      <c r="T1252" t="s">
        <v>48312</v>
      </c>
      <c r="U1252" t="s">
        <v>49876</v>
      </c>
      <c r="W1252" t="s">
        <v>43169</v>
      </c>
      <c r="X1252" t="s">
        <v>46581</v>
      </c>
    </row>
    <row r="1253" spans="1:24">
      <c r="A1253">
        <f>HYPERLINK("https://www.philgeps.gov.ph/GEPSNONPILOT/Tender/SplashBidNoticeAbstractUI.aspx?menuIndex=3&amp;refID=7065775&amp;Result=3","7065775")</f>
        <v>0</v>
      </c>
      <c r="B1253" t="s">
        <v>52</v>
      </c>
      <c r="C1253" t="s">
        <v>4749</v>
      </c>
      <c r="D1253" t="s">
        <v>18802</v>
      </c>
      <c r="E1253" t="s">
        <v>20059</v>
      </c>
      <c r="F1253" t="s">
        <v>32664</v>
      </c>
      <c r="G1253" t="s">
        <v>32671</v>
      </c>
      <c r="H1253" t="s">
        <v>32683</v>
      </c>
      <c r="I1253" t="s">
        <v>10627</v>
      </c>
      <c r="J1253" t="s">
        <v>33768</v>
      </c>
      <c r="K1253" t="s">
        <v>42354</v>
      </c>
      <c r="M1253" t="s">
        <v>42614</v>
      </c>
      <c r="N1253" t="s">
        <v>46569</v>
      </c>
      <c r="O1253" t="s">
        <v>46570</v>
      </c>
      <c r="P1253">
        <v>0</v>
      </c>
      <c r="Q1253">
        <v>0</v>
      </c>
      <c r="R1253" t="s">
        <v>46571</v>
      </c>
      <c r="S1253" t="s">
        <v>46687</v>
      </c>
      <c r="T1253" t="s">
        <v>48217</v>
      </c>
      <c r="U1253" t="s">
        <v>49877</v>
      </c>
      <c r="W1253" t="s">
        <v>42614</v>
      </c>
      <c r="X1253" t="s">
        <v>46572</v>
      </c>
    </row>
    <row r="1254" spans="1:24">
      <c r="A1254">
        <f>HYPERLINK("https://www.philgeps.gov.ph/GEPSNONPILOT/Tender/SplashBidNoticeAbstractUI.aspx?menuIndex=3&amp;refID=7045513&amp;Result=3","7045513")</f>
        <v>0</v>
      </c>
      <c r="B1254" t="s">
        <v>30</v>
      </c>
      <c r="C1254" t="s">
        <v>4750</v>
      </c>
      <c r="D1254" t="s">
        <v>18786</v>
      </c>
      <c r="E1254" t="s">
        <v>20060</v>
      </c>
      <c r="F1254" t="s">
        <v>32664</v>
      </c>
      <c r="G1254" t="s">
        <v>32674</v>
      </c>
      <c r="H1254" t="s">
        <v>12635</v>
      </c>
      <c r="I1254" t="s">
        <v>6223</v>
      </c>
      <c r="J1254" t="s">
        <v>33461</v>
      </c>
      <c r="K1254" t="s">
        <v>42283</v>
      </c>
      <c r="M1254" t="s">
        <v>42592</v>
      </c>
      <c r="N1254" t="s">
        <v>46569</v>
      </c>
      <c r="O1254" t="s">
        <v>46570</v>
      </c>
      <c r="P1254">
        <v>0</v>
      </c>
      <c r="Q1254">
        <v>0</v>
      </c>
      <c r="R1254" t="s">
        <v>46571</v>
      </c>
      <c r="S1254" t="s">
        <v>46687</v>
      </c>
      <c r="T1254" t="s">
        <v>48217</v>
      </c>
      <c r="U1254" t="s">
        <v>49878</v>
      </c>
      <c r="W1254" t="s">
        <v>42592</v>
      </c>
      <c r="X1254" t="s">
        <v>46581</v>
      </c>
    </row>
    <row r="1255" spans="1:24">
      <c r="A1255">
        <f>HYPERLINK("https://www.philgeps.gov.ph/GEPSNONPILOT/Tender/SplashBidNoticeAbstractUI.aspx?menuIndex=3&amp;refID=7065774&amp;Result=3","7065774")</f>
        <v>0</v>
      </c>
      <c r="B1255" t="s">
        <v>586</v>
      </c>
      <c r="C1255" t="s">
        <v>4751</v>
      </c>
      <c r="D1255" t="s">
        <v>18794</v>
      </c>
      <c r="E1255" t="s">
        <v>4751</v>
      </c>
      <c r="F1255" t="s">
        <v>32664</v>
      </c>
      <c r="G1255" t="s">
        <v>32672</v>
      </c>
      <c r="H1255" t="s">
        <v>12635</v>
      </c>
      <c r="I1255" t="s">
        <v>32706</v>
      </c>
      <c r="J1255" t="s">
        <v>33294</v>
      </c>
      <c r="K1255" t="s">
        <v>42281</v>
      </c>
      <c r="M1255" t="s">
        <v>43166</v>
      </c>
      <c r="N1255" t="s">
        <v>46569</v>
      </c>
      <c r="O1255" t="s">
        <v>46570</v>
      </c>
      <c r="P1255">
        <v>0</v>
      </c>
      <c r="Q1255">
        <v>0</v>
      </c>
      <c r="R1255" t="s">
        <v>46571</v>
      </c>
      <c r="S1255" t="s">
        <v>46687</v>
      </c>
      <c r="T1255" t="s">
        <v>48374</v>
      </c>
      <c r="U1255" t="s">
        <v>49879</v>
      </c>
      <c r="W1255" t="s">
        <v>43166</v>
      </c>
      <c r="X1255" t="s">
        <v>46572</v>
      </c>
    </row>
    <row r="1256" spans="1:24">
      <c r="A1256">
        <f>HYPERLINK("https://www.philgeps.gov.ph/GEPSNONPILOT/Tender/SplashBidNoticeAbstractUI.aspx?menuIndex=3&amp;refID=7065796&amp;Result=3","7065796")</f>
        <v>0</v>
      </c>
      <c r="B1256" t="s">
        <v>142</v>
      </c>
      <c r="C1256" t="s">
        <v>4752</v>
      </c>
      <c r="D1256" t="s">
        <v>18784</v>
      </c>
      <c r="E1256" t="s">
        <v>20061</v>
      </c>
      <c r="F1256" t="s">
        <v>32664</v>
      </c>
      <c r="G1256" t="s">
        <v>32671</v>
      </c>
      <c r="H1256" t="s">
        <v>12635</v>
      </c>
      <c r="I1256" t="s">
        <v>32694</v>
      </c>
      <c r="J1256" t="s">
        <v>33769</v>
      </c>
      <c r="K1256" t="s">
        <v>42281</v>
      </c>
      <c r="M1256" t="s">
        <v>42706</v>
      </c>
      <c r="N1256" t="s">
        <v>46569</v>
      </c>
      <c r="O1256" t="s">
        <v>46570</v>
      </c>
      <c r="P1256">
        <v>0</v>
      </c>
      <c r="Q1256">
        <v>0</v>
      </c>
      <c r="R1256" t="s">
        <v>46571</v>
      </c>
      <c r="S1256" t="s">
        <v>46687</v>
      </c>
      <c r="T1256" t="s">
        <v>48256</v>
      </c>
      <c r="U1256" t="s">
        <v>49880</v>
      </c>
      <c r="W1256" t="s">
        <v>42706</v>
      </c>
      <c r="X1256" t="s">
        <v>46572</v>
      </c>
    </row>
    <row r="1257" spans="1:24">
      <c r="A1257">
        <f>HYPERLINK("https://www.philgeps.gov.ph/GEPSNONPILOT/Tender/SplashBidNoticeAbstractUI.aspx?menuIndex=3&amp;refID=7065794&amp;Result=3","7065794")</f>
        <v>0</v>
      </c>
      <c r="B1257" t="s">
        <v>413</v>
      </c>
      <c r="C1257" t="s">
        <v>4753</v>
      </c>
      <c r="D1257" t="s">
        <v>18799</v>
      </c>
      <c r="E1257" t="s">
        <v>20062</v>
      </c>
      <c r="F1257" t="s">
        <v>32664</v>
      </c>
      <c r="G1257" t="s">
        <v>32671</v>
      </c>
      <c r="H1257" t="s">
        <v>12635</v>
      </c>
      <c r="I1257" t="s">
        <v>4439</v>
      </c>
      <c r="J1257" t="s">
        <v>33770</v>
      </c>
      <c r="K1257" t="s">
        <v>42289</v>
      </c>
      <c r="M1257" t="s">
        <v>42984</v>
      </c>
      <c r="N1257" t="s">
        <v>46569</v>
      </c>
      <c r="O1257" t="s">
        <v>46570</v>
      </c>
      <c r="P1257">
        <v>0</v>
      </c>
      <c r="Q1257">
        <v>0</v>
      </c>
      <c r="R1257" t="s">
        <v>46571</v>
      </c>
      <c r="S1257" t="s">
        <v>46687</v>
      </c>
      <c r="T1257" t="s">
        <v>48343</v>
      </c>
      <c r="U1257" t="s">
        <v>49881</v>
      </c>
      <c r="W1257" t="s">
        <v>42984</v>
      </c>
      <c r="X1257" t="s">
        <v>46572</v>
      </c>
    </row>
    <row r="1258" spans="1:24">
      <c r="A1258">
        <f>HYPERLINK("https://www.philgeps.gov.ph/GEPSNONPILOT/Tender/SplashBidNoticeAbstractUI.aspx?menuIndex=3&amp;refID=7051605&amp;Result=3","7051605")</f>
        <v>0</v>
      </c>
      <c r="B1258" t="s">
        <v>25</v>
      </c>
      <c r="C1258" t="s">
        <v>4754</v>
      </c>
      <c r="D1258" t="s">
        <v>18782</v>
      </c>
      <c r="E1258" t="s">
        <v>20063</v>
      </c>
      <c r="F1258" t="s">
        <v>32664</v>
      </c>
      <c r="G1258" t="s">
        <v>32672</v>
      </c>
      <c r="H1258" t="s">
        <v>12635</v>
      </c>
      <c r="I1258" t="s">
        <v>10370</v>
      </c>
      <c r="J1258" t="s">
        <v>33771</v>
      </c>
      <c r="K1258" t="s">
        <v>42303</v>
      </c>
      <c r="M1258" t="s">
        <v>42587</v>
      </c>
      <c r="N1258" t="s">
        <v>46569</v>
      </c>
      <c r="O1258" t="s">
        <v>46570</v>
      </c>
      <c r="P1258">
        <v>0</v>
      </c>
      <c r="Q1258">
        <v>2</v>
      </c>
      <c r="R1258" t="s">
        <v>46571</v>
      </c>
      <c r="S1258" t="s">
        <v>46687</v>
      </c>
      <c r="T1258" t="s">
        <v>48212</v>
      </c>
      <c r="U1258" t="s">
        <v>49882</v>
      </c>
      <c r="V1258" t="s">
        <v>61599</v>
      </c>
      <c r="W1258" t="s">
        <v>42587</v>
      </c>
      <c r="X1258" t="s">
        <v>46579</v>
      </c>
    </row>
    <row r="1259" spans="1:24">
      <c r="A1259">
        <f>HYPERLINK("https://www.philgeps.gov.ph/GEPSNONPILOT/Tender/SplashBidNoticeAbstractUI.aspx?menuIndex=3&amp;refID=7065776&amp;Result=3","7065776")</f>
        <v>0</v>
      </c>
      <c r="B1259" t="s">
        <v>418</v>
      </c>
      <c r="C1259" t="s">
        <v>4755</v>
      </c>
      <c r="D1259" t="s">
        <v>18784</v>
      </c>
      <c r="E1259" t="s">
        <v>20064</v>
      </c>
      <c r="F1259" t="s">
        <v>32664</v>
      </c>
      <c r="G1259" t="s">
        <v>32672</v>
      </c>
      <c r="H1259" t="s">
        <v>12635</v>
      </c>
      <c r="I1259" t="s">
        <v>6118</v>
      </c>
      <c r="J1259" t="s">
        <v>33772</v>
      </c>
      <c r="K1259" t="s">
        <v>42289</v>
      </c>
      <c r="M1259" t="s">
        <v>43105</v>
      </c>
      <c r="N1259" t="s">
        <v>46569</v>
      </c>
      <c r="O1259" t="s">
        <v>46570</v>
      </c>
      <c r="P1259">
        <v>0</v>
      </c>
      <c r="Q1259">
        <v>0</v>
      </c>
      <c r="R1259" t="s">
        <v>46571</v>
      </c>
      <c r="S1259" t="s">
        <v>46687</v>
      </c>
      <c r="T1259" t="s">
        <v>48226</v>
      </c>
      <c r="U1259" t="s">
        <v>49634</v>
      </c>
      <c r="W1259" t="s">
        <v>43105</v>
      </c>
      <c r="X1259" t="s">
        <v>46572</v>
      </c>
    </row>
    <row r="1260" spans="1:24">
      <c r="A1260">
        <f>HYPERLINK("https://www.philgeps.gov.ph/GEPSNONPILOT/Tender/SplashBidNoticeAbstractUI.aspx?menuIndex=3&amp;refID=7065819&amp;Result=3","7065819")</f>
        <v>0</v>
      </c>
      <c r="B1260" t="s">
        <v>590</v>
      </c>
      <c r="C1260" t="s">
        <v>4756</v>
      </c>
      <c r="D1260" t="s">
        <v>18809</v>
      </c>
      <c r="E1260" t="s">
        <v>20018</v>
      </c>
      <c r="F1260" t="s">
        <v>32664</v>
      </c>
      <c r="G1260" t="s">
        <v>32674</v>
      </c>
      <c r="H1260" t="s">
        <v>12635</v>
      </c>
      <c r="I1260" t="s">
        <v>10361</v>
      </c>
      <c r="J1260" t="s">
        <v>33095</v>
      </c>
      <c r="K1260" t="s">
        <v>42297</v>
      </c>
      <c r="M1260" t="s">
        <v>43170</v>
      </c>
      <c r="N1260" t="s">
        <v>46569</v>
      </c>
      <c r="O1260" t="s">
        <v>46570</v>
      </c>
      <c r="P1260">
        <v>0</v>
      </c>
      <c r="Q1260">
        <v>0</v>
      </c>
      <c r="R1260" t="s">
        <v>46571</v>
      </c>
      <c r="S1260" t="s">
        <v>46687</v>
      </c>
      <c r="T1260" t="s">
        <v>48221</v>
      </c>
      <c r="U1260" t="s">
        <v>49883</v>
      </c>
      <c r="V1260" t="s">
        <v>61769</v>
      </c>
      <c r="W1260" t="s">
        <v>43170</v>
      </c>
      <c r="X1260" t="s">
        <v>46572</v>
      </c>
    </row>
    <row r="1261" spans="1:24">
      <c r="A1261">
        <f>HYPERLINK("https://www.philgeps.gov.ph/GEPSNONPILOT/Tender/SplashBidNoticeAbstractUI.aspx?menuIndex=3&amp;refID=7065782&amp;Result=3","7065782")</f>
        <v>0</v>
      </c>
      <c r="B1261" t="s">
        <v>456</v>
      </c>
      <c r="C1261" t="s">
        <v>4757</v>
      </c>
      <c r="D1261" t="s">
        <v>18788</v>
      </c>
      <c r="E1261" t="s">
        <v>20065</v>
      </c>
      <c r="F1261" t="s">
        <v>32664</v>
      </c>
      <c r="G1261" t="s">
        <v>32674</v>
      </c>
      <c r="H1261" t="s">
        <v>12635</v>
      </c>
      <c r="I1261" t="s">
        <v>6628</v>
      </c>
      <c r="J1261" t="s">
        <v>33051</v>
      </c>
      <c r="K1261" t="s">
        <v>42289</v>
      </c>
      <c r="M1261" t="s">
        <v>43029</v>
      </c>
      <c r="N1261" t="s">
        <v>46569</v>
      </c>
      <c r="O1261" t="s">
        <v>46570</v>
      </c>
      <c r="P1261">
        <v>0</v>
      </c>
      <c r="Q1261">
        <v>0</v>
      </c>
      <c r="R1261" t="s">
        <v>46571</v>
      </c>
      <c r="S1261" t="s">
        <v>46687</v>
      </c>
      <c r="T1261" t="s">
        <v>48256</v>
      </c>
      <c r="U1261" t="s">
        <v>49884</v>
      </c>
      <c r="W1261" t="s">
        <v>43029</v>
      </c>
      <c r="X1261" t="s">
        <v>46572</v>
      </c>
    </row>
    <row r="1262" spans="1:24">
      <c r="A1262">
        <f>HYPERLINK("https://www.philgeps.gov.ph/GEPSNONPILOT/Tender/SplashBidNoticeAbstractUI.aspx?menuIndex=3&amp;refID=7065797&amp;Result=3","7065797")</f>
        <v>0</v>
      </c>
      <c r="B1262" t="s">
        <v>591</v>
      </c>
      <c r="C1262" t="s">
        <v>4758</v>
      </c>
      <c r="D1262" t="s">
        <v>18784</v>
      </c>
      <c r="E1262" t="s">
        <v>20066</v>
      </c>
      <c r="F1262" t="s">
        <v>32664</v>
      </c>
      <c r="G1262" t="s">
        <v>32675</v>
      </c>
      <c r="H1262" t="s">
        <v>12635</v>
      </c>
      <c r="I1262" t="s">
        <v>8730</v>
      </c>
      <c r="J1262" t="s">
        <v>33773</v>
      </c>
      <c r="K1262" t="s">
        <v>42303</v>
      </c>
      <c r="M1262" t="s">
        <v>43171</v>
      </c>
      <c r="N1262" t="s">
        <v>46569</v>
      </c>
      <c r="O1262" t="s">
        <v>46570</v>
      </c>
      <c r="P1262">
        <v>0</v>
      </c>
      <c r="Q1262">
        <v>10</v>
      </c>
      <c r="R1262" t="s">
        <v>46571</v>
      </c>
      <c r="S1262" t="s">
        <v>46687</v>
      </c>
      <c r="T1262" t="s">
        <v>48283</v>
      </c>
      <c r="U1262" t="s">
        <v>49885</v>
      </c>
      <c r="V1262" t="s">
        <v>61770</v>
      </c>
      <c r="W1262" t="s">
        <v>43171</v>
      </c>
      <c r="X1262" t="s">
        <v>46572</v>
      </c>
    </row>
    <row r="1263" spans="1:24">
      <c r="A1263">
        <f>HYPERLINK("https://www.philgeps.gov.ph/GEPSNONPILOT/Tender/SplashBidNoticeAbstractUI.aspx?menuIndex=3&amp;refID=7065823&amp;Result=3","7065823")</f>
        <v>0</v>
      </c>
      <c r="B1263" t="s">
        <v>592</v>
      </c>
      <c r="C1263" t="s">
        <v>4759</v>
      </c>
      <c r="D1263" t="s">
        <v>18784</v>
      </c>
      <c r="E1263" t="s">
        <v>20067</v>
      </c>
      <c r="F1263" t="s">
        <v>32664</v>
      </c>
      <c r="G1263" t="s">
        <v>32675</v>
      </c>
      <c r="H1263" t="s">
        <v>12635</v>
      </c>
      <c r="I1263" t="s">
        <v>32741</v>
      </c>
      <c r="J1263" t="s">
        <v>33774</v>
      </c>
      <c r="K1263" t="s">
        <v>42298</v>
      </c>
      <c r="M1263" t="s">
        <v>43172</v>
      </c>
      <c r="N1263" t="s">
        <v>46569</v>
      </c>
      <c r="O1263" t="s">
        <v>46570</v>
      </c>
      <c r="P1263">
        <v>0</v>
      </c>
      <c r="Q1263">
        <v>0</v>
      </c>
      <c r="R1263" t="s">
        <v>46571</v>
      </c>
      <c r="S1263" t="s">
        <v>46687</v>
      </c>
      <c r="T1263" t="s">
        <v>48230</v>
      </c>
      <c r="U1263" t="s">
        <v>49886</v>
      </c>
      <c r="V1263" t="s">
        <v>61771</v>
      </c>
      <c r="W1263" t="s">
        <v>43172</v>
      </c>
      <c r="X1263" t="s">
        <v>46572</v>
      </c>
    </row>
    <row r="1264" spans="1:24">
      <c r="A1264">
        <f>HYPERLINK("https://www.philgeps.gov.ph/GEPSNONPILOT/Tender/SplashBidNoticeAbstractUI.aspx?menuIndex=3&amp;refID=7065814&amp;Result=3","7065814")</f>
        <v>0</v>
      </c>
      <c r="B1264" t="s">
        <v>418</v>
      </c>
      <c r="C1264" t="s">
        <v>4760</v>
      </c>
      <c r="D1264" t="s">
        <v>18784</v>
      </c>
      <c r="E1264" t="s">
        <v>20068</v>
      </c>
      <c r="F1264" t="s">
        <v>32664</v>
      </c>
      <c r="G1264" t="s">
        <v>32672</v>
      </c>
      <c r="H1264" t="s">
        <v>12635</v>
      </c>
      <c r="I1264" t="s">
        <v>6223</v>
      </c>
      <c r="J1264" t="s">
        <v>33051</v>
      </c>
      <c r="K1264" t="s">
        <v>42289</v>
      </c>
      <c r="M1264" t="s">
        <v>43105</v>
      </c>
      <c r="N1264" t="s">
        <v>46569</v>
      </c>
      <c r="O1264" t="s">
        <v>46570</v>
      </c>
      <c r="P1264">
        <v>0</v>
      </c>
      <c r="Q1264">
        <v>1</v>
      </c>
      <c r="R1264" t="s">
        <v>46571</v>
      </c>
      <c r="S1264" t="s">
        <v>46687</v>
      </c>
      <c r="T1264" t="s">
        <v>48226</v>
      </c>
      <c r="U1264" t="s">
        <v>49872</v>
      </c>
      <c r="W1264" t="s">
        <v>43105</v>
      </c>
      <c r="X1264" t="s">
        <v>46572</v>
      </c>
    </row>
    <row r="1265" spans="1:24">
      <c r="A1265">
        <f>HYPERLINK("https://www.philgeps.gov.ph/GEPSNONPILOT/Tender/SplashBidNoticeAbstractUI.aspx?menuIndex=3&amp;refID=7065777&amp;Result=3","7065777")</f>
        <v>0</v>
      </c>
      <c r="B1265" t="s">
        <v>593</v>
      </c>
      <c r="C1265" t="s">
        <v>4333</v>
      </c>
      <c r="D1265" t="s">
        <v>18824</v>
      </c>
      <c r="E1265" t="s">
        <v>18889</v>
      </c>
      <c r="F1265" t="s">
        <v>32666</v>
      </c>
      <c r="G1265" t="s">
        <v>32672</v>
      </c>
      <c r="H1265" t="s">
        <v>12635</v>
      </c>
      <c r="I1265" t="s">
        <v>4333</v>
      </c>
      <c r="J1265" t="s">
        <v>32898</v>
      </c>
      <c r="K1265" t="s">
        <v>42284</v>
      </c>
      <c r="M1265" t="s">
        <v>43173</v>
      </c>
      <c r="N1265" t="s">
        <v>46569</v>
      </c>
      <c r="O1265" t="s">
        <v>46570</v>
      </c>
      <c r="P1265">
        <v>0</v>
      </c>
      <c r="Q1265">
        <v>0</v>
      </c>
      <c r="R1265" t="s">
        <v>46571</v>
      </c>
      <c r="S1265" t="s">
        <v>46687</v>
      </c>
      <c r="T1265" t="s">
        <v>48218</v>
      </c>
      <c r="U1265" t="s">
        <v>49887</v>
      </c>
      <c r="W1265" t="s">
        <v>43173</v>
      </c>
      <c r="X1265" t="s">
        <v>46572</v>
      </c>
    </row>
    <row r="1266" spans="1:24">
      <c r="A1266">
        <f>HYPERLINK("https://www.philgeps.gov.ph/GEPSNONPILOT/Tender/SplashBidNoticeAbstractUI.aspx?menuIndex=3&amp;refID=7065813&amp;Result=3","7065813")</f>
        <v>0</v>
      </c>
      <c r="B1266" t="s">
        <v>594</v>
      </c>
      <c r="C1266" t="s">
        <v>4761</v>
      </c>
      <c r="D1266" t="s">
        <v>18784</v>
      </c>
      <c r="E1266" t="s">
        <v>20069</v>
      </c>
      <c r="F1266" t="s">
        <v>32664</v>
      </c>
      <c r="G1266" t="s">
        <v>32674</v>
      </c>
      <c r="H1266" t="s">
        <v>12635</v>
      </c>
      <c r="I1266" t="s">
        <v>8797</v>
      </c>
      <c r="J1266" t="s">
        <v>33320</v>
      </c>
      <c r="K1266" t="s">
        <v>42297</v>
      </c>
      <c r="M1266" t="s">
        <v>43174</v>
      </c>
      <c r="N1266" t="s">
        <v>46569</v>
      </c>
      <c r="O1266" t="s">
        <v>46570</v>
      </c>
      <c r="P1266">
        <v>0</v>
      </c>
      <c r="Q1266">
        <v>2</v>
      </c>
      <c r="R1266" t="s">
        <v>46571</v>
      </c>
      <c r="S1266" t="s">
        <v>46687</v>
      </c>
      <c r="T1266" t="s">
        <v>48256</v>
      </c>
      <c r="U1266" t="s">
        <v>49888</v>
      </c>
      <c r="W1266" t="s">
        <v>43174</v>
      </c>
      <c r="X1266" t="s">
        <v>46572</v>
      </c>
    </row>
    <row r="1267" spans="1:24">
      <c r="A1267">
        <f>HYPERLINK("https://www.philgeps.gov.ph/GEPSNONPILOT/Tender/SplashBidNoticeAbstractUI.aspx?menuIndex=3&amp;refID=7065772&amp;Result=3","7065772")</f>
        <v>0</v>
      </c>
      <c r="B1267" t="s">
        <v>536</v>
      </c>
      <c r="C1267" t="s">
        <v>4762</v>
      </c>
      <c r="D1267" t="s">
        <v>18786</v>
      </c>
      <c r="E1267" t="s">
        <v>20070</v>
      </c>
      <c r="F1267" t="s">
        <v>32664</v>
      </c>
      <c r="G1267" t="s">
        <v>32671</v>
      </c>
      <c r="H1267" t="s">
        <v>12635</v>
      </c>
      <c r="I1267" t="s">
        <v>14442</v>
      </c>
      <c r="J1267" t="s">
        <v>33021</v>
      </c>
      <c r="K1267" t="s">
        <v>42281</v>
      </c>
      <c r="M1267" t="s">
        <v>43114</v>
      </c>
      <c r="N1267" t="s">
        <v>46569</v>
      </c>
      <c r="O1267" t="s">
        <v>46570</v>
      </c>
      <c r="P1267">
        <v>0</v>
      </c>
      <c r="Q1267">
        <v>0</v>
      </c>
      <c r="R1267" t="s">
        <v>46571</v>
      </c>
      <c r="S1267" t="s">
        <v>46687</v>
      </c>
      <c r="T1267" t="s">
        <v>48268</v>
      </c>
      <c r="U1267" t="s">
        <v>49889</v>
      </c>
      <c r="W1267" t="s">
        <v>43114</v>
      </c>
      <c r="X1267" t="s">
        <v>46572</v>
      </c>
    </row>
    <row r="1268" spans="1:24">
      <c r="A1268">
        <f>HYPERLINK("https://www.philgeps.gov.ph/GEPSNONPILOT/Tender/SplashBidNoticeAbstractUI.aspx?menuIndex=3&amp;refID=7065810&amp;Result=3","7065810")</f>
        <v>0</v>
      </c>
      <c r="B1268" t="s">
        <v>595</v>
      </c>
      <c r="C1268" t="s">
        <v>4763</v>
      </c>
      <c r="D1268" t="s">
        <v>18838</v>
      </c>
      <c r="E1268" t="s">
        <v>20071</v>
      </c>
      <c r="F1268" t="s">
        <v>32664</v>
      </c>
      <c r="G1268" t="s">
        <v>32674</v>
      </c>
      <c r="H1268" t="s">
        <v>12635</v>
      </c>
      <c r="I1268" t="s">
        <v>6223</v>
      </c>
      <c r="J1268" t="s">
        <v>33775</v>
      </c>
      <c r="K1268" t="s">
        <v>42283</v>
      </c>
      <c r="M1268" t="s">
        <v>43175</v>
      </c>
      <c r="N1268" t="s">
        <v>46569</v>
      </c>
      <c r="O1268" t="s">
        <v>46570</v>
      </c>
      <c r="P1268">
        <v>0</v>
      </c>
      <c r="Q1268">
        <v>0</v>
      </c>
      <c r="R1268" t="s">
        <v>46571</v>
      </c>
      <c r="S1268" t="s">
        <v>46687</v>
      </c>
      <c r="T1268" t="s">
        <v>48376</v>
      </c>
      <c r="U1268" t="s">
        <v>49890</v>
      </c>
      <c r="W1268" t="s">
        <v>43175</v>
      </c>
      <c r="X1268" t="s">
        <v>46572</v>
      </c>
    </row>
    <row r="1269" spans="1:24">
      <c r="A1269">
        <f>HYPERLINK("https://www.philgeps.gov.ph/GEPSNONPILOT/Tender/SplashBidNoticeAbstractUI.aspx?menuIndex=3&amp;refID=7065817&amp;Result=3","7065817")</f>
        <v>0</v>
      </c>
      <c r="B1269" t="s">
        <v>596</v>
      </c>
      <c r="C1269" t="s">
        <v>4764</v>
      </c>
      <c r="D1269" t="s">
        <v>18837</v>
      </c>
      <c r="E1269" t="s">
        <v>20072</v>
      </c>
      <c r="F1269" t="s">
        <v>32664</v>
      </c>
      <c r="G1269" t="s">
        <v>32671</v>
      </c>
      <c r="H1269" t="s">
        <v>12635</v>
      </c>
      <c r="I1269" t="s">
        <v>7709</v>
      </c>
      <c r="J1269" t="s">
        <v>33776</v>
      </c>
      <c r="K1269" t="s">
        <v>42289</v>
      </c>
      <c r="M1269" t="s">
        <v>43176</v>
      </c>
      <c r="N1269" t="s">
        <v>46569</v>
      </c>
      <c r="O1269" t="s">
        <v>46570</v>
      </c>
      <c r="P1269">
        <v>0</v>
      </c>
      <c r="Q1269">
        <v>0</v>
      </c>
      <c r="R1269" t="s">
        <v>46571</v>
      </c>
      <c r="S1269" t="s">
        <v>46687</v>
      </c>
      <c r="T1269" t="s">
        <v>48250</v>
      </c>
      <c r="U1269" t="s">
        <v>49891</v>
      </c>
      <c r="V1269" t="s">
        <v>61772</v>
      </c>
      <c r="W1269" t="s">
        <v>43176</v>
      </c>
      <c r="X1269" t="s">
        <v>46572</v>
      </c>
    </row>
    <row r="1270" spans="1:24">
      <c r="A1270">
        <f>HYPERLINK("https://www.philgeps.gov.ph/GEPSNONPILOT/Tender/SplashBidNoticeAbstractUI.aspx?menuIndex=3&amp;refID=7065818&amp;Result=3","7065818")</f>
        <v>0</v>
      </c>
      <c r="B1270" t="s">
        <v>568</v>
      </c>
      <c r="C1270" t="s">
        <v>4765</v>
      </c>
      <c r="D1270" t="s">
        <v>18822</v>
      </c>
      <c r="E1270" t="s">
        <v>20073</v>
      </c>
      <c r="F1270" t="s">
        <v>32664</v>
      </c>
      <c r="G1270" t="s">
        <v>32672</v>
      </c>
      <c r="H1270" t="s">
        <v>12635</v>
      </c>
      <c r="I1270" t="s">
        <v>32699</v>
      </c>
      <c r="J1270" t="s">
        <v>33531</v>
      </c>
      <c r="K1270" t="s">
        <v>42297</v>
      </c>
      <c r="M1270" t="s">
        <v>43148</v>
      </c>
      <c r="N1270" t="s">
        <v>46569</v>
      </c>
      <c r="O1270" t="s">
        <v>46570</v>
      </c>
      <c r="P1270">
        <v>0</v>
      </c>
      <c r="Q1270">
        <v>0</v>
      </c>
      <c r="R1270" t="s">
        <v>46571</v>
      </c>
      <c r="S1270" t="s">
        <v>46687</v>
      </c>
      <c r="T1270" t="s">
        <v>48275</v>
      </c>
      <c r="U1270" t="s">
        <v>49819</v>
      </c>
      <c r="V1270" t="s">
        <v>61761</v>
      </c>
      <c r="W1270" t="s">
        <v>63484</v>
      </c>
      <c r="X1270" t="s">
        <v>46572</v>
      </c>
    </row>
    <row r="1271" spans="1:24">
      <c r="A1271">
        <f>HYPERLINK("https://www.philgeps.gov.ph/GEPSNONPILOT/Tender/SplashBidNoticeAbstractUI.aspx?menuIndex=3&amp;refID=7065808&amp;Result=3","7065808")</f>
        <v>0</v>
      </c>
      <c r="B1271" t="s">
        <v>52</v>
      </c>
      <c r="C1271" t="s">
        <v>4766</v>
      </c>
      <c r="D1271" t="s">
        <v>18802</v>
      </c>
      <c r="E1271" t="s">
        <v>20074</v>
      </c>
      <c r="F1271" t="s">
        <v>32664</v>
      </c>
      <c r="G1271" t="s">
        <v>32671</v>
      </c>
      <c r="H1271" t="s">
        <v>32683</v>
      </c>
      <c r="I1271" t="s">
        <v>10627</v>
      </c>
      <c r="J1271" t="s">
        <v>33777</v>
      </c>
      <c r="K1271" t="s">
        <v>42320</v>
      </c>
      <c r="M1271" t="s">
        <v>42614</v>
      </c>
      <c r="N1271" t="s">
        <v>46569</v>
      </c>
      <c r="O1271" t="s">
        <v>46570</v>
      </c>
      <c r="P1271">
        <v>0</v>
      </c>
      <c r="Q1271">
        <v>0</v>
      </c>
      <c r="R1271" t="s">
        <v>46571</v>
      </c>
      <c r="S1271" t="s">
        <v>46687</v>
      </c>
      <c r="T1271" t="s">
        <v>48219</v>
      </c>
      <c r="U1271" t="s">
        <v>49892</v>
      </c>
      <c r="W1271" t="s">
        <v>42614</v>
      </c>
      <c r="X1271" t="s">
        <v>46572</v>
      </c>
    </row>
    <row r="1272" spans="1:24">
      <c r="A1272">
        <f>HYPERLINK("https://www.philgeps.gov.ph/GEPSNONPILOT/Tender/SplashBidNoticeAbstractUI.aspx?menuIndex=3&amp;refID=7065805&amp;Result=3","7065805")</f>
        <v>0</v>
      </c>
      <c r="B1272" t="s">
        <v>586</v>
      </c>
      <c r="C1272" t="s">
        <v>4767</v>
      </c>
      <c r="D1272" t="s">
        <v>18794</v>
      </c>
      <c r="E1272" t="s">
        <v>4767</v>
      </c>
      <c r="F1272" t="s">
        <v>32664</v>
      </c>
      <c r="G1272" t="s">
        <v>32672</v>
      </c>
      <c r="H1272" t="s">
        <v>12635</v>
      </c>
      <c r="I1272" t="s">
        <v>6628</v>
      </c>
      <c r="J1272" t="s">
        <v>33304</v>
      </c>
      <c r="K1272" t="s">
        <v>42281</v>
      </c>
      <c r="M1272" t="s">
        <v>43166</v>
      </c>
      <c r="N1272" t="s">
        <v>46569</v>
      </c>
      <c r="O1272" t="s">
        <v>46570</v>
      </c>
      <c r="P1272">
        <v>0</v>
      </c>
      <c r="Q1272">
        <v>0</v>
      </c>
      <c r="R1272" t="s">
        <v>46571</v>
      </c>
      <c r="S1272" t="s">
        <v>46687</v>
      </c>
      <c r="T1272" t="s">
        <v>48374</v>
      </c>
      <c r="U1272" t="s">
        <v>49893</v>
      </c>
      <c r="W1272" t="s">
        <v>43166</v>
      </c>
      <c r="X1272" t="s">
        <v>46572</v>
      </c>
    </row>
    <row r="1273" spans="1:24">
      <c r="A1273">
        <f>HYPERLINK("https://www.philgeps.gov.ph/GEPSNONPILOT/Tender/SplashBidNoticeAbstractUI.aspx?menuIndex=3&amp;refID=7065787&amp;Result=3","7065787")</f>
        <v>0</v>
      </c>
      <c r="B1273" t="s">
        <v>203</v>
      </c>
      <c r="C1273" t="s">
        <v>4768</v>
      </c>
      <c r="D1273" t="s">
        <v>18842</v>
      </c>
      <c r="E1273" t="s">
        <v>20075</v>
      </c>
      <c r="F1273" t="s">
        <v>32664</v>
      </c>
      <c r="G1273" t="s">
        <v>32675</v>
      </c>
      <c r="H1273" t="s">
        <v>12635</v>
      </c>
      <c r="I1273" t="s">
        <v>8730</v>
      </c>
      <c r="J1273" t="s">
        <v>33778</v>
      </c>
      <c r="K1273" t="s">
        <v>42289</v>
      </c>
      <c r="M1273" t="s">
        <v>42767</v>
      </c>
      <c r="N1273" t="s">
        <v>46569</v>
      </c>
      <c r="O1273" t="s">
        <v>46570</v>
      </c>
      <c r="P1273">
        <v>0</v>
      </c>
      <c r="Q1273">
        <v>1</v>
      </c>
      <c r="R1273" t="s">
        <v>46571</v>
      </c>
      <c r="S1273" t="s">
        <v>46687</v>
      </c>
      <c r="T1273" t="s">
        <v>48296</v>
      </c>
      <c r="U1273" t="s">
        <v>49894</v>
      </c>
      <c r="V1273" t="s">
        <v>50334</v>
      </c>
      <c r="W1273" t="s">
        <v>42767</v>
      </c>
      <c r="X1273" t="s">
        <v>46572</v>
      </c>
    </row>
    <row r="1274" spans="1:24">
      <c r="A1274">
        <f>HYPERLINK("https://www.philgeps.gov.ph/GEPSNONPILOT/Tender/SplashBidNoticeAbstractUI.aspx?menuIndex=3&amp;refID=7065803&amp;Result=3","7065803")</f>
        <v>0</v>
      </c>
      <c r="B1274" t="s">
        <v>597</v>
      </c>
      <c r="C1274" t="s">
        <v>4769</v>
      </c>
      <c r="D1274" t="s">
        <v>18827</v>
      </c>
      <c r="E1274" t="s">
        <v>20076</v>
      </c>
      <c r="F1274" t="s">
        <v>32664</v>
      </c>
      <c r="G1274" t="s">
        <v>32671</v>
      </c>
      <c r="H1274" t="s">
        <v>32682</v>
      </c>
      <c r="I1274" t="s">
        <v>32701</v>
      </c>
      <c r="J1274" t="s">
        <v>33779</v>
      </c>
      <c r="K1274" t="s">
        <v>42298</v>
      </c>
      <c r="M1274" t="s">
        <v>43177</v>
      </c>
      <c r="N1274" t="s">
        <v>46569</v>
      </c>
      <c r="O1274" t="s">
        <v>46570</v>
      </c>
      <c r="P1274">
        <v>0</v>
      </c>
      <c r="Q1274">
        <v>0</v>
      </c>
      <c r="R1274" t="s">
        <v>46571</v>
      </c>
      <c r="S1274" t="s">
        <v>46687</v>
      </c>
      <c r="T1274" t="s">
        <v>48331</v>
      </c>
      <c r="U1274" t="s">
        <v>49895</v>
      </c>
      <c r="V1274" t="s">
        <v>61773</v>
      </c>
      <c r="W1274" t="s">
        <v>43177</v>
      </c>
      <c r="X1274" t="s">
        <v>46572</v>
      </c>
    </row>
    <row r="1275" spans="1:24">
      <c r="A1275">
        <f>HYPERLINK("https://www.philgeps.gov.ph/GEPSNONPILOT/Tender/SplashBidNoticeAbstractUI.aspx?menuIndex=3&amp;refID=7065820&amp;Result=3","7065820")</f>
        <v>0</v>
      </c>
      <c r="B1275" t="s">
        <v>586</v>
      </c>
      <c r="C1275" t="s">
        <v>4770</v>
      </c>
      <c r="D1275" t="s">
        <v>18794</v>
      </c>
      <c r="E1275" t="s">
        <v>4770</v>
      </c>
      <c r="F1275" t="s">
        <v>32664</v>
      </c>
      <c r="G1275" t="s">
        <v>32672</v>
      </c>
      <c r="H1275" t="s">
        <v>12635</v>
      </c>
      <c r="I1275" t="s">
        <v>5589</v>
      </c>
      <c r="J1275" t="s">
        <v>33780</v>
      </c>
      <c r="K1275" t="s">
        <v>42281</v>
      </c>
      <c r="M1275" t="s">
        <v>43166</v>
      </c>
      <c r="N1275" t="s">
        <v>46569</v>
      </c>
      <c r="O1275" t="s">
        <v>46570</v>
      </c>
      <c r="P1275">
        <v>0</v>
      </c>
      <c r="Q1275">
        <v>2</v>
      </c>
      <c r="R1275" t="s">
        <v>46571</v>
      </c>
      <c r="S1275" t="s">
        <v>46687</v>
      </c>
      <c r="T1275" t="s">
        <v>48374</v>
      </c>
      <c r="U1275" t="s">
        <v>49896</v>
      </c>
      <c r="W1275" t="s">
        <v>43166</v>
      </c>
      <c r="X1275" t="s">
        <v>46572</v>
      </c>
    </row>
    <row r="1276" spans="1:24">
      <c r="A1276">
        <f>HYPERLINK("https://www.philgeps.gov.ph/GEPSNONPILOT/Tender/SplashBidNoticeAbstractUI.aspx?menuIndex=3&amp;refID=7065802&amp;Result=3","7065802")</f>
        <v>0</v>
      </c>
      <c r="B1276" t="s">
        <v>598</v>
      </c>
      <c r="C1276" t="s">
        <v>4771</v>
      </c>
      <c r="E1276" t="s">
        <v>20077</v>
      </c>
      <c r="F1276" t="s">
        <v>32664</v>
      </c>
      <c r="G1276" t="s">
        <v>32672</v>
      </c>
      <c r="H1276" t="s">
        <v>12635</v>
      </c>
      <c r="I1276" t="s">
        <v>10590</v>
      </c>
      <c r="J1276" t="s">
        <v>33361</v>
      </c>
      <c r="K1276" t="s">
        <v>42283</v>
      </c>
      <c r="M1276" t="s">
        <v>43178</v>
      </c>
      <c r="N1276" t="s">
        <v>46569</v>
      </c>
      <c r="O1276" t="s">
        <v>46570</v>
      </c>
      <c r="P1276">
        <v>0</v>
      </c>
      <c r="Q1276">
        <v>0</v>
      </c>
      <c r="R1276" t="s">
        <v>46571</v>
      </c>
      <c r="S1276" t="s">
        <v>46687</v>
      </c>
      <c r="T1276" t="s">
        <v>48321</v>
      </c>
      <c r="U1276" t="s">
        <v>49897</v>
      </c>
      <c r="W1276" t="s">
        <v>43178</v>
      </c>
      <c r="X1276" t="s">
        <v>46572</v>
      </c>
    </row>
    <row r="1277" spans="1:24">
      <c r="A1277">
        <f>HYPERLINK("https://www.philgeps.gov.ph/GEPSNONPILOT/Tender/SplashBidNoticeAbstractUI.aspx?menuIndex=3&amp;refID=7065811&amp;Result=3","7065811")</f>
        <v>0</v>
      </c>
      <c r="B1277" t="s">
        <v>528</v>
      </c>
      <c r="C1277" t="s">
        <v>4772</v>
      </c>
      <c r="D1277" t="s">
        <v>18803</v>
      </c>
      <c r="E1277" t="s">
        <v>20078</v>
      </c>
      <c r="F1277" t="s">
        <v>32664</v>
      </c>
      <c r="G1277" t="s">
        <v>32675</v>
      </c>
      <c r="H1277" t="s">
        <v>12635</v>
      </c>
      <c r="I1277" t="s">
        <v>6223</v>
      </c>
      <c r="J1277" t="s">
        <v>33781</v>
      </c>
      <c r="K1277" t="s">
        <v>42281</v>
      </c>
      <c r="M1277" t="s">
        <v>43106</v>
      </c>
      <c r="N1277" t="s">
        <v>46569</v>
      </c>
      <c r="O1277" t="s">
        <v>46570</v>
      </c>
      <c r="P1277">
        <v>0</v>
      </c>
      <c r="Q1277">
        <v>3</v>
      </c>
      <c r="R1277" t="s">
        <v>46571</v>
      </c>
      <c r="S1277" t="s">
        <v>46687</v>
      </c>
      <c r="T1277" t="s">
        <v>48299</v>
      </c>
      <c r="U1277" t="s">
        <v>49875</v>
      </c>
      <c r="W1277" t="s">
        <v>43106</v>
      </c>
      <c r="X1277" t="s">
        <v>46572</v>
      </c>
    </row>
    <row r="1278" spans="1:24">
      <c r="A1278">
        <f>HYPERLINK("https://www.philgeps.gov.ph/GEPSNONPILOT/Tender/SplashBidNoticeAbstractUI.aspx?menuIndex=3&amp;refID=7065825&amp;Result=3","7065825")</f>
        <v>0</v>
      </c>
      <c r="B1278" t="s">
        <v>418</v>
      </c>
      <c r="C1278" t="s">
        <v>4773</v>
      </c>
      <c r="D1278" t="s">
        <v>18784</v>
      </c>
      <c r="E1278" t="s">
        <v>20079</v>
      </c>
      <c r="F1278" t="s">
        <v>32664</v>
      </c>
      <c r="G1278" t="s">
        <v>32672</v>
      </c>
      <c r="H1278" t="s">
        <v>12635</v>
      </c>
      <c r="I1278" t="s">
        <v>6223</v>
      </c>
      <c r="J1278" t="s">
        <v>33782</v>
      </c>
      <c r="K1278" t="s">
        <v>42289</v>
      </c>
      <c r="M1278" t="s">
        <v>43105</v>
      </c>
      <c r="N1278" t="s">
        <v>46569</v>
      </c>
      <c r="O1278" t="s">
        <v>46570</v>
      </c>
      <c r="P1278">
        <v>0</v>
      </c>
      <c r="Q1278">
        <v>0</v>
      </c>
      <c r="R1278" t="s">
        <v>46571</v>
      </c>
      <c r="S1278" t="s">
        <v>46687</v>
      </c>
      <c r="T1278" t="s">
        <v>48226</v>
      </c>
      <c r="U1278" t="s">
        <v>49872</v>
      </c>
      <c r="W1278" t="s">
        <v>43105</v>
      </c>
      <c r="X1278" t="s">
        <v>46572</v>
      </c>
    </row>
    <row r="1279" spans="1:24">
      <c r="A1279">
        <f>HYPERLINK("https://www.philgeps.gov.ph/GEPSNONPILOT/Tender/SplashBidNoticeAbstractUI.aspx?menuIndex=3&amp;refID=7065838&amp;Result=3","7065838")</f>
        <v>0</v>
      </c>
      <c r="B1279" t="s">
        <v>599</v>
      </c>
      <c r="C1279" t="s">
        <v>4774</v>
      </c>
      <c r="D1279" t="s">
        <v>18804</v>
      </c>
      <c r="E1279" t="s">
        <v>20080</v>
      </c>
      <c r="F1279" t="s">
        <v>32664</v>
      </c>
      <c r="G1279" t="s">
        <v>32671</v>
      </c>
      <c r="H1279" t="s">
        <v>12635</v>
      </c>
      <c r="I1279" t="s">
        <v>32684</v>
      </c>
      <c r="J1279" t="s">
        <v>33627</v>
      </c>
      <c r="K1279" t="s">
        <v>42283</v>
      </c>
      <c r="M1279" t="s">
        <v>43179</v>
      </c>
      <c r="N1279" t="s">
        <v>46569</v>
      </c>
      <c r="O1279" t="s">
        <v>46570</v>
      </c>
      <c r="P1279">
        <v>0</v>
      </c>
      <c r="Q1279">
        <v>2</v>
      </c>
      <c r="R1279" t="s">
        <v>46571</v>
      </c>
      <c r="S1279" t="s">
        <v>46687</v>
      </c>
      <c r="T1279" t="s">
        <v>48219</v>
      </c>
      <c r="U1279" t="s">
        <v>49898</v>
      </c>
      <c r="W1279" t="s">
        <v>43179</v>
      </c>
      <c r="X1279" t="s">
        <v>46572</v>
      </c>
    </row>
    <row r="1280" spans="1:24">
      <c r="A1280">
        <f>HYPERLINK("https://www.philgeps.gov.ph/GEPSNONPILOT/Tender/SplashBidNoticeAbstractUI.aspx?menuIndex=3&amp;refID=7065804&amp;Result=3","7065804")</f>
        <v>0</v>
      </c>
      <c r="B1280" t="s">
        <v>426</v>
      </c>
      <c r="C1280" t="s">
        <v>4775</v>
      </c>
      <c r="D1280" t="s">
        <v>18841</v>
      </c>
      <c r="E1280" t="s">
        <v>20081</v>
      </c>
      <c r="F1280" t="s">
        <v>32664</v>
      </c>
      <c r="G1280" t="s">
        <v>32672</v>
      </c>
      <c r="H1280" t="s">
        <v>32683</v>
      </c>
      <c r="I1280" t="s">
        <v>10627</v>
      </c>
      <c r="J1280" t="s">
        <v>33783</v>
      </c>
      <c r="K1280" t="s">
        <v>42298</v>
      </c>
      <c r="M1280" t="s">
        <v>42997</v>
      </c>
      <c r="N1280" t="s">
        <v>46569</v>
      </c>
      <c r="O1280" t="s">
        <v>46570</v>
      </c>
      <c r="P1280">
        <v>0</v>
      </c>
      <c r="Q1280">
        <v>0</v>
      </c>
      <c r="R1280" t="s">
        <v>46571</v>
      </c>
      <c r="S1280" t="s">
        <v>46687</v>
      </c>
      <c r="T1280" t="s">
        <v>48230</v>
      </c>
      <c r="U1280" t="s">
        <v>49899</v>
      </c>
      <c r="W1280" t="s">
        <v>42997</v>
      </c>
      <c r="X1280" t="s">
        <v>46572</v>
      </c>
    </row>
    <row r="1281" spans="1:24">
      <c r="A1281">
        <f>HYPERLINK("https://www.philgeps.gov.ph/GEPSNONPILOT/Tender/SplashBidNoticeAbstractUI.aspx?menuIndex=3&amp;refID=7065836&amp;Result=3","7065836")</f>
        <v>0</v>
      </c>
      <c r="B1281" t="s">
        <v>586</v>
      </c>
      <c r="C1281" t="s">
        <v>4776</v>
      </c>
      <c r="D1281" t="s">
        <v>18794</v>
      </c>
      <c r="E1281" t="s">
        <v>4776</v>
      </c>
      <c r="F1281" t="s">
        <v>32664</v>
      </c>
      <c r="G1281" t="s">
        <v>32672</v>
      </c>
      <c r="H1281" t="s">
        <v>12635</v>
      </c>
      <c r="I1281" t="s">
        <v>6223</v>
      </c>
      <c r="J1281" t="s">
        <v>33784</v>
      </c>
      <c r="K1281" t="s">
        <v>42281</v>
      </c>
      <c r="M1281" t="s">
        <v>43166</v>
      </c>
      <c r="N1281" t="s">
        <v>46569</v>
      </c>
      <c r="O1281" t="s">
        <v>46570</v>
      </c>
      <c r="P1281">
        <v>0</v>
      </c>
      <c r="Q1281">
        <v>1</v>
      </c>
      <c r="R1281" t="s">
        <v>46571</v>
      </c>
      <c r="S1281" t="s">
        <v>46687</v>
      </c>
      <c r="T1281" t="s">
        <v>48377</v>
      </c>
      <c r="U1281" t="s">
        <v>49900</v>
      </c>
      <c r="W1281" t="s">
        <v>43166</v>
      </c>
      <c r="X1281" t="s">
        <v>46572</v>
      </c>
    </row>
    <row r="1282" spans="1:24">
      <c r="A1282">
        <f>HYPERLINK("https://www.philgeps.gov.ph/GEPSNONPILOT/Tender/SplashBidNoticeAbstractUI.aspx?menuIndex=3&amp;refID=7065835&amp;Result=3","7065835")</f>
        <v>0</v>
      </c>
      <c r="B1282" t="s">
        <v>600</v>
      </c>
      <c r="C1282" t="s">
        <v>4777</v>
      </c>
      <c r="D1282" t="s">
        <v>18802</v>
      </c>
      <c r="E1282" t="s">
        <v>20082</v>
      </c>
      <c r="F1282" t="s">
        <v>32664</v>
      </c>
      <c r="G1282" t="s">
        <v>32671</v>
      </c>
      <c r="H1282" t="s">
        <v>12635</v>
      </c>
      <c r="I1282" t="s">
        <v>4439</v>
      </c>
      <c r="J1282" t="s">
        <v>33785</v>
      </c>
      <c r="K1282" t="s">
        <v>42284</v>
      </c>
      <c r="M1282" t="s">
        <v>43180</v>
      </c>
      <c r="N1282" t="s">
        <v>46569</v>
      </c>
      <c r="O1282" t="s">
        <v>46570</v>
      </c>
      <c r="P1282">
        <v>0</v>
      </c>
      <c r="Q1282">
        <v>0</v>
      </c>
      <c r="R1282" t="s">
        <v>46571</v>
      </c>
      <c r="S1282" t="s">
        <v>46687</v>
      </c>
      <c r="T1282" t="s">
        <v>48221</v>
      </c>
      <c r="U1282" t="s">
        <v>49901</v>
      </c>
      <c r="W1282" t="s">
        <v>43180</v>
      </c>
      <c r="X1282" t="s">
        <v>46572</v>
      </c>
    </row>
    <row r="1283" spans="1:24">
      <c r="A1283">
        <f>HYPERLINK("https://www.philgeps.gov.ph/GEPSNONPILOT/Tender/SplashBidNoticeAbstractUI.aspx?menuIndex=3&amp;refID=7065833&amp;Result=3","7065833")</f>
        <v>0</v>
      </c>
      <c r="B1283" t="s">
        <v>418</v>
      </c>
      <c r="C1283" t="s">
        <v>4778</v>
      </c>
      <c r="D1283" t="s">
        <v>18784</v>
      </c>
      <c r="E1283" t="s">
        <v>20083</v>
      </c>
      <c r="F1283" t="s">
        <v>32664</v>
      </c>
      <c r="G1283" t="s">
        <v>32672</v>
      </c>
      <c r="H1283" t="s">
        <v>12635</v>
      </c>
      <c r="I1283" t="s">
        <v>6223</v>
      </c>
      <c r="J1283" t="s">
        <v>33786</v>
      </c>
      <c r="K1283" t="s">
        <v>42289</v>
      </c>
      <c r="M1283" t="s">
        <v>43105</v>
      </c>
      <c r="N1283" t="s">
        <v>46569</v>
      </c>
      <c r="O1283" t="s">
        <v>46570</v>
      </c>
      <c r="P1283">
        <v>0</v>
      </c>
      <c r="Q1283">
        <v>0</v>
      </c>
      <c r="R1283" t="s">
        <v>46571</v>
      </c>
      <c r="S1283" t="s">
        <v>46687</v>
      </c>
      <c r="T1283" t="s">
        <v>48226</v>
      </c>
      <c r="U1283" t="s">
        <v>49872</v>
      </c>
      <c r="W1283" t="s">
        <v>43105</v>
      </c>
      <c r="X1283" t="s">
        <v>46572</v>
      </c>
    </row>
    <row r="1284" spans="1:24">
      <c r="A1284">
        <f>HYPERLINK("https://www.philgeps.gov.ph/GEPSNONPILOT/Tender/SplashBidNoticeAbstractUI.aspx?menuIndex=3&amp;refID=7065850&amp;Result=3","7065850")</f>
        <v>0</v>
      </c>
      <c r="B1284" t="s">
        <v>586</v>
      </c>
      <c r="C1284" t="s">
        <v>4779</v>
      </c>
      <c r="D1284" t="s">
        <v>18794</v>
      </c>
      <c r="E1284" t="s">
        <v>4779</v>
      </c>
      <c r="F1284" t="s">
        <v>32664</v>
      </c>
      <c r="G1284" t="s">
        <v>32672</v>
      </c>
      <c r="H1284" t="s">
        <v>12635</v>
      </c>
      <c r="I1284" t="s">
        <v>32684</v>
      </c>
      <c r="J1284" t="s">
        <v>33787</v>
      </c>
      <c r="K1284" t="s">
        <v>42281</v>
      </c>
      <c r="M1284" t="s">
        <v>43166</v>
      </c>
      <c r="N1284" t="s">
        <v>46569</v>
      </c>
      <c r="O1284" t="s">
        <v>46570</v>
      </c>
      <c r="P1284">
        <v>0</v>
      </c>
      <c r="Q1284">
        <v>3</v>
      </c>
      <c r="R1284" t="s">
        <v>46571</v>
      </c>
      <c r="S1284" t="s">
        <v>46687</v>
      </c>
      <c r="T1284" t="s">
        <v>48377</v>
      </c>
      <c r="U1284" t="s">
        <v>49902</v>
      </c>
      <c r="W1284" t="s">
        <v>43166</v>
      </c>
      <c r="X1284" t="s">
        <v>46572</v>
      </c>
    </row>
    <row r="1285" spans="1:24">
      <c r="A1285">
        <f>HYPERLINK("https://www.philgeps.gov.ph/GEPSNONPILOT/Tender/SplashBidNoticeAbstractUI.aspx?menuIndex=3&amp;refID=7065840&amp;Result=3","7065840")</f>
        <v>0</v>
      </c>
      <c r="B1285" t="s">
        <v>587</v>
      </c>
      <c r="C1285" t="s">
        <v>4780</v>
      </c>
      <c r="D1285" t="s">
        <v>18805</v>
      </c>
      <c r="E1285" t="s">
        <v>20084</v>
      </c>
      <c r="F1285" t="s">
        <v>32664</v>
      </c>
      <c r="G1285" t="s">
        <v>32672</v>
      </c>
      <c r="H1285" t="s">
        <v>12635</v>
      </c>
      <c r="I1285" t="s">
        <v>8730</v>
      </c>
      <c r="J1285" t="s">
        <v>33114</v>
      </c>
      <c r="K1285" t="s">
        <v>42306</v>
      </c>
      <c r="M1285" t="s">
        <v>43167</v>
      </c>
      <c r="N1285" t="s">
        <v>46569</v>
      </c>
      <c r="O1285" t="s">
        <v>46570</v>
      </c>
      <c r="P1285">
        <v>0</v>
      </c>
      <c r="Q1285">
        <v>0</v>
      </c>
      <c r="R1285" t="s">
        <v>46571</v>
      </c>
      <c r="S1285" t="s">
        <v>46687</v>
      </c>
      <c r="T1285" t="s">
        <v>48347</v>
      </c>
      <c r="U1285" t="s">
        <v>49903</v>
      </c>
      <c r="W1285" t="s">
        <v>43167</v>
      </c>
      <c r="X1285" t="s">
        <v>46572</v>
      </c>
    </row>
    <row r="1286" spans="1:24">
      <c r="A1286">
        <f>HYPERLINK("https://www.philgeps.gov.ph/GEPSNONPILOT/Tender/SplashBidNoticeAbstractUI.aspx?menuIndex=3&amp;refID=7065845&amp;Result=3","7065845")</f>
        <v>0</v>
      </c>
      <c r="B1286" t="s">
        <v>418</v>
      </c>
      <c r="C1286" t="s">
        <v>4781</v>
      </c>
      <c r="D1286" t="s">
        <v>18784</v>
      </c>
      <c r="E1286" t="s">
        <v>20085</v>
      </c>
      <c r="F1286" t="s">
        <v>32664</v>
      </c>
      <c r="G1286" t="s">
        <v>32672</v>
      </c>
      <c r="H1286" t="s">
        <v>12635</v>
      </c>
      <c r="I1286" t="s">
        <v>6223</v>
      </c>
      <c r="J1286" t="s">
        <v>33788</v>
      </c>
      <c r="K1286" t="s">
        <v>42289</v>
      </c>
      <c r="M1286" t="s">
        <v>43105</v>
      </c>
      <c r="N1286" t="s">
        <v>46569</v>
      </c>
      <c r="O1286" t="s">
        <v>46570</v>
      </c>
      <c r="P1286">
        <v>0</v>
      </c>
      <c r="Q1286">
        <v>0</v>
      </c>
      <c r="R1286" t="s">
        <v>46571</v>
      </c>
      <c r="S1286" t="s">
        <v>46687</v>
      </c>
      <c r="T1286" t="s">
        <v>48226</v>
      </c>
      <c r="U1286" t="s">
        <v>49872</v>
      </c>
      <c r="W1286" t="s">
        <v>43105</v>
      </c>
      <c r="X1286" t="s">
        <v>46572</v>
      </c>
    </row>
    <row r="1287" spans="1:24">
      <c r="A1287">
        <f>HYPERLINK("https://www.philgeps.gov.ph/GEPSNONPILOT/Tender/SplashBidNoticeAbstractUI.aspx?menuIndex=3&amp;refID=7065837&amp;Result=3","7065837")</f>
        <v>0</v>
      </c>
      <c r="B1287" t="s">
        <v>194</v>
      </c>
      <c r="C1287" t="s">
        <v>4782</v>
      </c>
      <c r="E1287" t="s">
        <v>20086</v>
      </c>
      <c r="F1287" t="s">
        <v>32664</v>
      </c>
      <c r="G1287" t="s">
        <v>32672</v>
      </c>
      <c r="H1287" t="s">
        <v>12635</v>
      </c>
      <c r="I1287" t="s">
        <v>6118</v>
      </c>
      <c r="J1287" t="s">
        <v>33789</v>
      </c>
      <c r="K1287" t="s">
        <v>42303</v>
      </c>
      <c r="M1287" t="s">
        <v>43016</v>
      </c>
      <c r="N1287" t="s">
        <v>46569</v>
      </c>
      <c r="O1287" t="s">
        <v>46570</v>
      </c>
      <c r="P1287">
        <v>0</v>
      </c>
      <c r="Q1287">
        <v>0</v>
      </c>
      <c r="R1287" t="s">
        <v>46571</v>
      </c>
      <c r="S1287" t="s">
        <v>46687</v>
      </c>
      <c r="T1287" t="s">
        <v>48306</v>
      </c>
      <c r="U1287" t="s">
        <v>49590</v>
      </c>
      <c r="W1287" t="s">
        <v>43016</v>
      </c>
      <c r="X1287" t="s">
        <v>46572</v>
      </c>
    </row>
    <row r="1288" spans="1:24">
      <c r="A1288">
        <f>HYPERLINK("https://www.philgeps.gov.ph/GEPSNONPILOT/Tender/SplashBidNoticeAbstractUI.aspx?menuIndex=3&amp;refID=7065849&amp;Result=3","7065849")</f>
        <v>0</v>
      </c>
      <c r="B1288" t="s">
        <v>601</v>
      </c>
      <c r="C1288" t="s">
        <v>4783</v>
      </c>
      <c r="D1288" t="s">
        <v>18848</v>
      </c>
      <c r="E1288" t="s">
        <v>20087</v>
      </c>
      <c r="F1288" t="s">
        <v>32664</v>
      </c>
      <c r="G1288" t="s">
        <v>32671</v>
      </c>
      <c r="H1288" t="s">
        <v>12635</v>
      </c>
      <c r="I1288" t="s">
        <v>32685</v>
      </c>
      <c r="J1288" t="s">
        <v>33790</v>
      </c>
      <c r="K1288" t="s">
        <v>42283</v>
      </c>
      <c r="M1288" t="s">
        <v>43181</v>
      </c>
      <c r="N1288" t="s">
        <v>46569</v>
      </c>
      <c r="O1288" t="s">
        <v>46570</v>
      </c>
      <c r="P1288">
        <v>0</v>
      </c>
      <c r="Q1288">
        <v>0</v>
      </c>
      <c r="R1288" t="s">
        <v>46571</v>
      </c>
      <c r="S1288" t="s">
        <v>46687</v>
      </c>
      <c r="T1288" t="s">
        <v>48258</v>
      </c>
      <c r="U1288" t="s">
        <v>49904</v>
      </c>
      <c r="W1288" t="s">
        <v>43181</v>
      </c>
      <c r="X1288" t="s">
        <v>46572</v>
      </c>
    </row>
    <row r="1289" spans="1:24">
      <c r="A1289">
        <f>HYPERLINK("https://www.philgeps.gov.ph/GEPSNONPILOT/Tender/SplashBidNoticeAbstractUI.aspx?menuIndex=3&amp;refID=7065844&amp;Result=3","7065844")</f>
        <v>0</v>
      </c>
      <c r="B1289" t="s">
        <v>535</v>
      </c>
      <c r="C1289" t="s">
        <v>4784</v>
      </c>
      <c r="D1289" t="s">
        <v>18834</v>
      </c>
      <c r="E1289" t="s">
        <v>20088</v>
      </c>
      <c r="F1289" t="s">
        <v>32664</v>
      </c>
      <c r="G1289" t="s">
        <v>32671</v>
      </c>
      <c r="H1289" t="s">
        <v>12635</v>
      </c>
      <c r="I1289" t="s">
        <v>4333</v>
      </c>
      <c r="J1289" t="s">
        <v>33791</v>
      </c>
      <c r="K1289" t="s">
        <v>42289</v>
      </c>
      <c r="M1289" t="s">
        <v>43113</v>
      </c>
      <c r="N1289" t="s">
        <v>46569</v>
      </c>
      <c r="O1289" t="s">
        <v>46570</v>
      </c>
      <c r="P1289">
        <v>0</v>
      </c>
      <c r="Q1289">
        <v>1</v>
      </c>
      <c r="R1289" t="s">
        <v>46571</v>
      </c>
      <c r="S1289" t="s">
        <v>46687</v>
      </c>
      <c r="T1289" t="s">
        <v>48219</v>
      </c>
      <c r="U1289" t="s">
        <v>49736</v>
      </c>
      <c r="W1289" t="s">
        <v>63481</v>
      </c>
      <c r="X1289" t="s">
        <v>46572</v>
      </c>
    </row>
    <row r="1290" spans="1:24">
      <c r="A1290">
        <f>HYPERLINK("https://www.philgeps.gov.ph/GEPSNONPILOT/Tender/SplashBidNoticeAbstractUI.aspx?menuIndex=3&amp;refID=7065842&amp;Result=3","7065842")</f>
        <v>0</v>
      </c>
      <c r="B1290" t="s">
        <v>602</v>
      </c>
      <c r="C1290" t="s">
        <v>4785</v>
      </c>
      <c r="D1290" t="s">
        <v>18837</v>
      </c>
      <c r="E1290" t="s">
        <v>20089</v>
      </c>
      <c r="F1290" t="s">
        <v>32664</v>
      </c>
      <c r="G1290" t="s">
        <v>32672</v>
      </c>
      <c r="H1290" t="s">
        <v>12635</v>
      </c>
      <c r="I1290" t="s">
        <v>32698</v>
      </c>
      <c r="J1290" t="s">
        <v>32865</v>
      </c>
      <c r="K1290" t="s">
        <v>42284</v>
      </c>
      <c r="M1290" t="s">
        <v>43182</v>
      </c>
      <c r="N1290" t="s">
        <v>46569</v>
      </c>
      <c r="O1290" t="s">
        <v>46570</v>
      </c>
      <c r="P1290">
        <v>0</v>
      </c>
      <c r="Q1290">
        <v>1</v>
      </c>
      <c r="R1290" t="s">
        <v>46571</v>
      </c>
      <c r="S1290" t="s">
        <v>46687</v>
      </c>
      <c r="T1290" t="s">
        <v>48211</v>
      </c>
      <c r="U1290" t="s">
        <v>49905</v>
      </c>
      <c r="W1290" t="s">
        <v>43182</v>
      </c>
      <c r="X1290" t="s">
        <v>46572</v>
      </c>
    </row>
    <row r="1291" spans="1:24">
      <c r="A1291">
        <f>HYPERLINK("https://www.philgeps.gov.ph/GEPSNONPILOT/Tender/SplashBidNoticeAbstractUI.aspx?menuIndex=3&amp;refID=7065799&amp;Result=3","7065799")</f>
        <v>0</v>
      </c>
      <c r="B1291" t="s">
        <v>517</v>
      </c>
      <c r="C1291" t="s">
        <v>4786</v>
      </c>
      <c r="D1291" t="s">
        <v>18788</v>
      </c>
      <c r="E1291" t="s">
        <v>20090</v>
      </c>
      <c r="F1291" t="s">
        <v>32664</v>
      </c>
      <c r="G1291" t="s">
        <v>32672</v>
      </c>
      <c r="H1291" t="s">
        <v>32683</v>
      </c>
      <c r="I1291" t="s">
        <v>10627</v>
      </c>
      <c r="J1291" t="s">
        <v>32865</v>
      </c>
      <c r="K1291" t="s">
        <v>42281</v>
      </c>
      <c r="M1291" t="s">
        <v>43094</v>
      </c>
      <c r="N1291" t="s">
        <v>46569</v>
      </c>
      <c r="O1291" t="s">
        <v>46570</v>
      </c>
      <c r="P1291">
        <v>0</v>
      </c>
      <c r="Q1291">
        <v>0</v>
      </c>
      <c r="R1291" t="s">
        <v>46571</v>
      </c>
      <c r="S1291" t="s">
        <v>46687</v>
      </c>
      <c r="T1291" t="s">
        <v>48222</v>
      </c>
      <c r="U1291" t="s">
        <v>49906</v>
      </c>
      <c r="W1291" t="s">
        <v>43094</v>
      </c>
      <c r="X1291" t="s">
        <v>46572</v>
      </c>
    </row>
    <row r="1292" spans="1:24">
      <c r="A1292">
        <f>HYPERLINK("https://www.philgeps.gov.ph/GEPSNONPILOT/Tender/SplashBidNoticeAbstractUI.aspx?menuIndex=3&amp;refID=7065839&amp;Result=3","7065839")</f>
        <v>0</v>
      </c>
      <c r="B1292" t="s">
        <v>568</v>
      </c>
      <c r="C1292" t="s">
        <v>4787</v>
      </c>
      <c r="D1292" t="s">
        <v>18822</v>
      </c>
      <c r="E1292" t="s">
        <v>20073</v>
      </c>
      <c r="F1292" t="s">
        <v>32664</v>
      </c>
      <c r="G1292" t="s">
        <v>32672</v>
      </c>
      <c r="H1292" t="s">
        <v>12635</v>
      </c>
      <c r="I1292" t="s">
        <v>8797</v>
      </c>
      <c r="J1292" t="s">
        <v>33792</v>
      </c>
      <c r="K1292" t="s">
        <v>42297</v>
      </c>
      <c r="M1292" t="s">
        <v>43148</v>
      </c>
      <c r="N1292" t="s">
        <v>46569</v>
      </c>
      <c r="O1292" t="s">
        <v>46570</v>
      </c>
      <c r="P1292">
        <v>0</v>
      </c>
      <c r="Q1292">
        <v>2</v>
      </c>
      <c r="R1292" t="s">
        <v>46571</v>
      </c>
      <c r="S1292" t="s">
        <v>46687</v>
      </c>
      <c r="T1292" t="s">
        <v>48275</v>
      </c>
      <c r="U1292" t="s">
        <v>49819</v>
      </c>
      <c r="V1292" t="s">
        <v>61761</v>
      </c>
      <c r="W1292" t="s">
        <v>63484</v>
      </c>
      <c r="X1292" t="s">
        <v>46572</v>
      </c>
    </row>
    <row r="1293" spans="1:24">
      <c r="A1293">
        <f>HYPERLINK("https://www.philgeps.gov.ph/GEPSNONPILOT/Tender/SplashBidNoticeAbstractUI.aspx?menuIndex=3&amp;refID=7065848&amp;Result=3","7065848")</f>
        <v>0</v>
      </c>
      <c r="B1293" t="s">
        <v>42</v>
      </c>
      <c r="C1293" t="s">
        <v>4788</v>
      </c>
      <c r="D1293" t="s">
        <v>18794</v>
      </c>
      <c r="E1293" t="s">
        <v>20091</v>
      </c>
      <c r="F1293" t="s">
        <v>32664</v>
      </c>
      <c r="G1293" t="s">
        <v>32671</v>
      </c>
      <c r="H1293" t="s">
        <v>12635</v>
      </c>
      <c r="I1293" t="s">
        <v>4439</v>
      </c>
      <c r="J1293" t="s">
        <v>33654</v>
      </c>
      <c r="K1293" t="s">
        <v>42283</v>
      </c>
      <c r="M1293" t="s">
        <v>42604</v>
      </c>
      <c r="N1293" t="s">
        <v>46569</v>
      </c>
      <c r="O1293" t="s">
        <v>46570</v>
      </c>
      <c r="P1293">
        <v>0</v>
      </c>
      <c r="Q1293">
        <v>0</v>
      </c>
      <c r="R1293" t="s">
        <v>46571</v>
      </c>
      <c r="S1293" t="s">
        <v>46687</v>
      </c>
      <c r="T1293" t="s">
        <v>48244</v>
      </c>
      <c r="U1293" t="s">
        <v>49907</v>
      </c>
      <c r="V1293" t="s">
        <v>61616</v>
      </c>
      <c r="W1293" t="s">
        <v>42604</v>
      </c>
      <c r="X1293" t="s">
        <v>46572</v>
      </c>
    </row>
    <row r="1294" spans="1:24">
      <c r="A1294">
        <f>HYPERLINK("https://www.philgeps.gov.ph/GEPSNONPILOT/Tender/SplashBidNoticeAbstractUI.aspx?menuIndex=3&amp;refID=7065828&amp;Result=3","7065828")</f>
        <v>0</v>
      </c>
      <c r="B1294" t="s">
        <v>603</v>
      </c>
      <c r="C1294" t="s">
        <v>4789</v>
      </c>
      <c r="D1294" t="s">
        <v>18826</v>
      </c>
      <c r="E1294" t="s">
        <v>20092</v>
      </c>
      <c r="F1294" t="s">
        <v>32665</v>
      </c>
      <c r="G1294" t="s">
        <v>32674</v>
      </c>
      <c r="H1294" t="s">
        <v>12635</v>
      </c>
      <c r="I1294" t="s">
        <v>32685</v>
      </c>
      <c r="J1294" t="s">
        <v>33793</v>
      </c>
      <c r="K1294" t="s">
        <v>42295</v>
      </c>
      <c r="M1294" t="s">
        <v>43183</v>
      </c>
      <c r="N1294" t="s">
        <v>46569</v>
      </c>
      <c r="O1294" t="s">
        <v>46570</v>
      </c>
      <c r="P1294">
        <v>0</v>
      </c>
      <c r="Q1294">
        <v>0</v>
      </c>
      <c r="R1294" t="s">
        <v>46571</v>
      </c>
      <c r="S1294" t="s">
        <v>46687</v>
      </c>
      <c r="T1294" t="s">
        <v>48219</v>
      </c>
      <c r="U1294" t="s">
        <v>49908</v>
      </c>
      <c r="W1294" t="s">
        <v>43183</v>
      </c>
      <c r="X1294" t="s">
        <v>46572</v>
      </c>
    </row>
    <row r="1295" spans="1:24">
      <c r="A1295">
        <f>HYPERLINK("https://www.philgeps.gov.ph/GEPSNONPILOT/Tender/SplashBidNoticeAbstractUI.aspx?menuIndex=3&amp;refID=7065827&amp;Result=3","7065827")</f>
        <v>0</v>
      </c>
      <c r="B1295" t="s">
        <v>555</v>
      </c>
      <c r="C1295" t="s">
        <v>4790</v>
      </c>
      <c r="D1295" t="s">
        <v>18841</v>
      </c>
      <c r="E1295" t="s">
        <v>20093</v>
      </c>
      <c r="F1295" t="s">
        <v>32664</v>
      </c>
      <c r="G1295" t="s">
        <v>32671</v>
      </c>
      <c r="H1295" t="s">
        <v>12635</v>
      </c>
      <c r="I1295" t="s">
        <v>8797</v>
      </c>
      <c r="J1295" t="s">
        <v>33794</v>
      </c>
      <c r="K1295" t="s">
        <v>42289</v>
      </c>
      <c r="M1295" t="s">
        <v>43135</v>
      </c>
      <c r="N1295" t="s">
        <v>46569</v>
      </c>
      <c r="O1295" t="s">
        <v>46570</v>
      </c>
      <c r="P1295">
        <v>0</v>
      </c>
      <c r="Q1295">
        <v>0</v>
      </c>
      <c r="R1295" t="s">
        <v>46571</v>
      </c>
      <c r="S1295" t="s">
        <v>46687</v>
      </c>
      <c r="T1295" t="s">
        <v>48304</v>
      </c>
      <c r="U1295" t="s">
        <v>49909</v>
      </c>
      <c r="W1295" t="s">
        <v>43135</v>
      </c>
      <c r="X1295" t="s">
        <v>46572</v>
      </c>
    </row>
    <row r="1296" spans="1:24">
      <c r="A1296">
        <f>HYPERLINK("https://www.philgeps.gov.ph/GEPSNONPILOT/Tender/SplashBidNoticeAbstractUI.aspx?menuIndex=3&amp;refID=7065877&amp;Result=3","7065877")</f>
        <v>0</v>
      </c>
      <c r="B1296" t="s">
        <v>418</v>
      </c>
      <c r="C1296" t="s">
        <v>4791</v>
      </c>
      <c r="D1296" t="s">
        <v>18784</v>
      </c>
      <c r="E1296" t="s">
        <v>20094</v>
      </c>
      <c r="F1296" t="s">
        <v>32664</v>
      </c>
      <c r="G1296" t="s">
        <v>32672</v>
      </c>
      <c r="H1296" t="s">
        <v>12635</v>
      </c>
      <c r="I1296" t="s">
        <v>6223</v>
      </c>
      <c r="J1296" t="s">
        <v>33795</v>
      </c>
      <c r="K1296" t="s">
        <v>42289</v>
      </c>
      <c r="M1296" t="s">
        <v>43105</v>
      </c>
      <c r="N1296" t="s">
        <v>46569</v>
      </c>
      <c r="O1296" t="s">
        <v>46570</v>
      </c>
      <c r="P1296">
        <v>0</v>
      </c>
      <c r="Q1296">
        <v>0</v>
      </c>
      <c r="R1296" t="s">
        <v>46571</v>
      </c>
      <c r="S1296" t="s">
        <v>46687</v>
      </c>
      <c r="T1296" t="s">
        <v>48226</v>
      </c>
      <c r="U1296" t="s">
        <v>49872</v>
      </c>
      <c r="W1296" t="s">
        <v>43105</v>
      </c>
      <c r="X1296" t="s">
        <v>46572</v>
      </c>
    </row>
    <row r="1297" spans="1:24">
      <c r="A1297">
        <f>HYPERLINK("https://www.philgeps.gov.ph/GEPSNONPILOT/Tender/SplashBidNoticeAbstractUI.aspx?menuIndex=3&amp;refID=7065829&amp;Result=3","7065829")</f>
        <v>0</v>
      </c>
      <c r="B1297" t="s">
        <v>604</v>
      </c>
      <c r="C1297" t="s">
        <v>4792</v>
      </c>
      <c r="D1297" t="s">
        <v>18785</v>
      </c>
      <c r="E1297" t="s">
        <v>20095</v>
      </c>
      <c r="F1297" t="s">
        <v>32664</v>
      </c>
      <c r="G1297" t="s">
        <v>32674</v>
      </c>
      <c r="H1297" t="s">
        <v>12635</v>
      </c>
      <c r="I1297" t="s">
        <v>10370</v>
      </c>
      <c r="J1297" t="s">
        <v>33796</v>
      </c>
      <c r="K1297" t="s">
        <v>42283</v>
      </c>
      <c r="M1297" t="s">
        <v>43184</v>
      </c>
      <c r="N1297" t="s">
        <v>46569</v>
      </c>
      <c r="O1297" t="s">
        <v>46570</v>
      </c>
      <c r="P1297">
        <v>0</v>
      </c>
      <c r="Q1297">
        <v>3</v>
      </c>
      <c r="R1297" t="s">
        <v>46571</v>
      </c>
      <c r="S1297" t="s">
        <v>46687</v>
      </c>
      <c r="T1297" t="s">
        <v>48378</v>
      </c>
      <c r="U1297" t="s">
        <v>49910</v>
      </c>
      <c r="W1297" t="s">
        <v>43184</v>
      </c>
      <c r="X1297" t="s">
        <v>46572</v>
      </c>
    </row>
    <row r="1298" spans="1:24">
      <c r="A1298">
        <f>HYPERLINK("https://www.philgeps.gov.ph/GEPSNONPILOT/Tender/SplashBidNoticeAbstractUI.aspx?menuIndex=3&amp;refID=7065831&amp;Result=3","7065831")</f>
        <v>0</v>
      </c>
      <c r="B1298" t="s">
        <v>605</v>
      </c>
      <c r="C1298" t="s">
        <v>4793</v>
      </c>
      <c r="D1298" t="s">
        <v>18858</v>
      </c>
      <c r="E1298" t="s">
        <v>20096</v>
      </c>
      <c r="F1298" t="s">
        <v>32664</v>
      </c>
      <c r="G1298" t="s">
        <v>32674</v>
      </c>
      <c r="H1298" t="s">
        <v>12635</v>
      </c>
      <c r="I1298" t="s">
        <v>32694</v>
      </c>
      <c r="J1298" t="s">
        <v>33797</v>
      </c>
      <c r="K1298" t="s">
        <v>42289</v>
      </c>
      <c r="M1298" t="s">
        <v>43185</v>
      </c>
      <c r="N1298" t="s">
        <v>46569</v>
      </c>
      <c r="O1298" t="s">
        <v>46570</v>
      </c>
      <c r="P1298">
        <v>0</v>
      </c>
      <c r="Q1298">
        <v>0</v>
      </c>
      <c r="R1298" t="s">
        <v>46571</v>
      </c>
      <c r="S1298" t="s">
        <v>46687</v>
      </c>
      <c r="T1298" t="s">
        <v>48271</v>
      </c>
      <c r="U1298" t="s">
        <v>49911</v>
      </c>
      <c r="W1298" t="s">
        <v>43185</v>
      </c>
      <c r="X1298" t="s">
        <v>46572</v>
      </c>
    </row>
    <row r="1299" spans="1:24">
      <c r="A1299">
        <f>HYPERLINK("https://www.philgeps.gov.ph/GEPSNONPILOT/Tender/SplashBidNoticeAbstractUI.aspx?menuIndex=3&amp;refID=7065830&amp;Result=3","7065830")</f>
        <v>0</v>
      </c>
      <c r="B1299" t="s">
        <v>528</v>
      </c>
      <c r="C1299" t="s">
        <v>4794</v>
      </c>
      <c r="D1299" t="s">
        <v>18860</v>
      </c>
      <c r="E1299" t="s">
        <v>20097</v>
      </c>
      <c r="F1299" t="s">
        <v>32664</v>
      </c>
      <c r="G1299" t="s">
        <v>32671</v>
      </c>
      <c r="H1299" t="s">
        <v>12635</v>
      </c>
      <c r="I1299" t="s">
        <v>32690</v>
      </c>
      <c r="J1299" t="s">
        <v>33461</v>
      </c>
      <c r="K1299" t="s">
        <v>42298</v>
      </c>
      <c r="M1299" t="s">
        <v>43106</v>
      </c>
      <c r="N1299" t="s">
        <v>46569</v>
      </c>
      <c r="O1299" t="s">
        <v>46570</v>
      </c>
      <c r="P1299">
        <v>0</v>
      </c>
      <c r="Q1299">
        <v>0</v>
      </c>
      <c r="R1299" t="s">
        <v>46571</v>
      </c>
      <c r="S1299" t="s">
        <v>46687</v>
      </c>
      <c r="T1299" t="s">
        <v>48299</v>
      </c>
      <c r="U1299" t="s">
        <v>49837</v>
      </c>
      <c r="W1299" t="s">
        <v>43106</v>
      </c>
      <c r="X1299" t="s">
        <v>46572</v>
      </c>
    </row>
    <row r="1300" spans="1:24">
      <c r="A1300">
        <f>HYPERLINK("https://www.philgeps.gov.ph/GEPSNONPILOT/Tender/SplashBidNoticeAbstractUI.aspx?menuIndex=3&amp;refID=7065874&amp;Result=3","7065874")</f>
        <v>0</v>
      </c>
      <c r="B1300" t="s">
        <v>606</v>
      </c>
      <c r="C1300" t="s">
        <v>4795</v>
      </c>
      <c r="E1300" t="s">
        <v>20098</v>
      </c>
      <c r="F1300" t="s">
        <v>32664</v>
      </c>
      <c r="G1300" t="s">
        <v>32672</v>
      </c>
      <c r="H1300" t="s">
        <v>12635</v>
      </c>
      <c r="I1300" t="s">
        <v>9597</v>
      </c>
      <c r="J1300" t="s">
        <v>32898</v>
      </c>
      <c r="K1300" t="s">
        <v>42284</v>
      </c>
      <c r="M1300" t="s">
        <v>43186</v>
      </c>
      <c r="N1300" t="s">
        <v>46569</v>
      </c>
      <c r="O1300" t="s">
        <v>46570</v>
      </c>
      <c r="P1300">
        <v>0</v>
      </c>
      <c r="Q1300">
        <v>0</v>
      </c>
      <c r="R1300" t="s">
        <v>46571</v>
      </c>
      <c r="S1300" t="s">
        <v>46687</v>
      </c>
      <c r="T1300" t="s">
        <v>48213</v>
      </c>
      <c r="U1300" t="s">
        <v>49912</v>
      </c>
      <c r="W1300" t="s">
        <v>43186</v>
      </c>
      <c r="X1300" t="s">
        <v>46572</v>
      </c>
    </row>
    <row r="1301" spans="1:24">
      <c r="A1301">
        <f>HYPERLINK("https://www.philgeps.gov.ph/GEPSNONPILOT/Tender/SplashBidNoticeAbstractUI.aspx?menuIndex=3&amp;refID=7065807&amp;Result=3","7065807")</f>
        <v>0</v>
      </c>
      <c r="B1301" t="s">
        <v>607</v>
      </c>
      <c r="C1301" t="s">
        <v>4796</v>
      </c>
      <c r="D1301" t="s">
        <v>18821</v>
      </c>
      <c r="E1301" t="s">
        <v>20099</v>
      </c>
      <c r="F1301" t="s">
        <v>32664</v>
      </c>
      <c r="G1301" t="s">
        <v>32671</v>
      </c>
      <c r="H1301" t="s">
        <v>12635</v>
      </c>
      <c r="I1301" t="s">
        <v>4439</v>
      </c>
      <c r="J1301" t="s">
        <v>33798</v>
      </c>
      <c r="K1301" t="s">
        <v>42297</v>
      </c>
      <c r="M1301" t="s">
        <v>43187</v>
      </c>
      <c r="N1301" t="s">
        <v>46569</v>
      </c>
      <c r="O1301" t="s">
        <v>46570</v>
      </c>
      <c r="P1301">
        <v>0</v>
      </c>
      <c r="Q1301">
        <v>0</v>
      </c>
      <c r="R1301" t="s">
        <v>46571</v>
      </c>
      <c r="S1301" t="s">
        <v>46687</v>
      </c>
      <c r="T1301" t="s">
        <v>48224</v>
      </c>
      <c r="U1301" t="s">
        <v>49913</v>
      </c>
      <c r="W1301" t="s">
        <v>43187</v>
      </c>
      <c r="X1301" t="s">
        <v>46572</v>
      </c>
    </row>
    <row r="1302" spans="1:24">
      <c r="A1302">
        <f>HYPERLINK("https://www.philgeps.gov.ph/GEPSNONPILOT/Tender/SplashBidNoticeAbstractUI.aspx?menuIndex=3&amp;refID=7065869&amp;Result=3","7065869")</f>
        <v>0</v>
      </c>
      <c r="B1302" t="s">
        <v>528</v>
      </c>
      <c r="C1302" t="s">
        <v>4797</v>
      </c>
      <c r="D1302" t="s">
        <v>18823</v>
      </c>
      <c r="E1302" t="s">
        <v>20100</v>
      </c>
      <c r="F1302" t="s">
        <v>32664</v>
      </c>
      <c r="G1302" t="s">
        <v>32671</v>
      </c>
      <c r="H1302" t="s">
        <v>12635</v>
      </c>
      <c r="I1302" t="s">
        <v>6553</v>
      </c>
      <c r="J1302" t="s">
        <v>32984</v>
      </c>
      <c r="K1302" t="s">
        <v>42289</v>
      </c>
      <c r="M1302" t="s">
        <v>43106</v>
      </c>
      <c r="N1302" t="s">
        <v>46569</v>
      </c>
      <c r="O1302" t="s">
        <v>46570</v>
      </c>
      <c r="P1302">
        <v>0</v>
      </c>
      <c r="Q1302">
        <v>0</v>
      </c>
      <c r="R1302" t="s">
        <v>46571</v>
      </c>
      <c r="S1302" t="s">
        <v>46687</v>
      </c>
      <c r="T1302" t="s">
        <v>48299</v>
      </c>
      <c r="U1302" t="s">
        <v>49875</v>
      </c>
      <c r="W1302" t="s">
        <v>43106</v>
      </c>
      <c r="X1302" t="s">
        <v>46572</v>
      </c>
    </row>
    <row r="1303" spans="1:24">
      <c r="A1303">
        <f>HYPERLINK("https://www.philgeps.gov.ph/GEPSNONPILOT/Tender/SplashBidNoticeAbstractUI.aspx?menuIndex=3&amp;refID=7065875&amp;Result=3","7065875")</f>
        <v>0</v>
      </c>
      <c r="B1303" t="s">
        <v>608</v>
      </c>
      <c r="C1303" t="s">
        <v>4798</v>
      </c>
      <c r="D1303" t="s">
        <v>18796</v>
      </c>
      <c r="E1303" t="s">
        <v>20101</v>
      </c>
      <c r="F1303" t="s">
        <v>32664</v>
      </c>
      <c r="G1303" t="s">
        <v>32671</v>
      </c>
      <c r="H1303" t="s">
        <v>12635</v>
      </c>
      <c r="I1303" t="s">
        <v>32692</v>
      </c>
      <c r="J1303" t="s">
        <v>32859</v>
      </c>
      <c r="K1303" t="s">
        <v>42284</v>
      </c>
      <c r="M1303" t="s">
        <v>43188</v>
      </c>
      <c r="N1303" t="s">
        <v>46569</v>
      </c>
      <c r="O1303" t="s">
        <v>46570</v>
      </c>
      <c r="P1303">
        <v>0</v>
      </c>
      <c r="Q1303">
        <v>0</v>
      </c>
      <c r="R1303" t="s">
        <v>46571</v>
      </c>
      <c r="S1303" t="s">
        <v>46687</v>
      </c>
      <c r="T1303" t="s">
        <v>48211</v>
      </c>
      <c r="U1303" t="s">
        <v>49914</v>
      </c>
      <c r="V1303" t="s">
        <v>61774</v>
      </c>
      <c r="W1303" t="s">
        <v>43188</v>
      </c>
      <c r="X1303" t="s">
        <v>46572</v>
      </c>
    </row>
    <row r="1304" spans="1:24">
      <c r="A1304">
        <f>HYPERLINK("https://www.philgeps.gov.ph/GEPSNONPILOT/Tender/SplashBidNoticeAbstractUI.aspx?menuIndex=3&amp;refID=7065868&amp;Result=3","7065868")</f>
        <v>0</v>
      </c>
      <c r="B1304" t="s">
        <v>609</v>
      </c>
      <c r="C1304" t="s">
        <v>4799</v>
      </c>
      <c r="D1304" t="s">
        <v>18792</v>
      </c>
      <c r="E1304" t="s">
        <v>20102</v>
      </c>
      <c r="F1304" t="s">
        <v>32664</v>
      </c>
      <c r="G1304" t="s">
        <v>32671</v>
      </c>
      <c r="H1304" t="s">
        <v>12635</v>
      </c>
      <c r="I1304" t="s">
        <v>32706</v>
      </c>
      <c r="J1304" t="s">
        <v>33799</v>
      </c>
      <c r="K1304" t="s">
        <v>42309</v>
      </c>
      <c r="M1304" t="s">
        <v>43189</v>
      </c>
      <c r="N1304" t="s">
        <v>46569</v>
      </c>
      <c r="O1304" t="s">
        <v>46570</v>
      </c>
      <c r="P1304">
        <v>0</v>
      </c>
      <c r="Q1304">
        <v>0</v>
      </c>
      <c r="R1304" t="s">
        <v>46571</v>
      </c>
      <c r="S1304" t="s">
        <v>46687</v>
      </c>
      <c r="T1304" t="s">
        <v>48221</v>
      </c>
      <c r="U1304" t="s">
        <v>49915</v>
      </c>
      <c r="W1304" t="s">
        <v>43189</v>
      </c>
      <c r="X1304" t="s">
        <v>46572</v>
      </c>
    </row>
    <row r="1305" spans="1:24">
      <c r="A1305">
        <f>HYPERLINK("https://www.philgeps.gov.ph/GEPSNONPILOT/Tender/SplashBidNoticeAbstractUI.aspx?menuIndex=3&amp;refID=7065866&amp;Result=3","7065866")</f>
        <v>0</v>
      </c>
      <c r="B1305" t="s">
        <v>418</v>
      </c>
      <c r="C1305" t="s">
        <v>4800</v>
      </c>
      <c r="D1305" t="s">
        <v>18784</v>
      </c>
      <c r="E1305" t="s">
        <v>20103</v>
      </c>
      <c r="F1305" t="s">
        <v>32664</v>
      </c>
      <c r="G1305" t="s">
        <v>32672</v>
      </c>
      <c r="H1305" t="s">
        <v>12635</v>
      </c>
      <c r="I1305" t="s">
        <v>6223</v>
      </c>
      <c r="J1305" t="s">
        <v>33800</v>
      </c>
      <c r="K1305" t="s">
        <v>42289</v>
      </c>
      <c r="M1305" t="s">
        <v>43105</v>
      </c>
      <c r="N1305" t="s">
        <v>46569</v>
      </c>
      <c r="O1305" t="s">
        <v>46570</v>
      </c>
      <c r="P1305">
        <v>0</v>
      </c>
      <c r="Q1305">
        <v>0</v>
      </c>
      <c r="R1305" t="s">
        <v>46571</v>
      </c>
      <c r="S1305" t="s">
        <v>46687</v>
      </c>
      <c r="T1305" t="s">
        <v>48226</v>
      </c>
      <c r="U1305" t="s">
        <v>49872</v>
      </c>
      <c r="W1305" t="s">
        <v>43105</v>
      </c>
      <c r="X1305" t="s">
        <v>46572</v>
      </c>
    </row>
    <row r="1306" spans="1:24">
      <c r="A1306">
        <f>HYPERLINK("https://www.philgeps.gov.ph/GEPSNONPILOT/Tender/SplashBidNoticeAbstractUI.aspx?menuIndex=3&amp;refID=7065873&amp;Result=3","7065873")</f>
        <v>0</v>
      </c>
      <c r="B1306" t="s">
        <v>586</v>
      </c>
      <c r="C1306" t="s">
        <v>4801</v>
      </c>
      <c r="D1306" t="s">
        <v>18794</v>
      </c>
      <c r="E1306" t="s">
        <v>4801</v>
      </c>
      <c r="F1306" t="s">
        <v>32664</v>
      </c>
      <c r="G1306" t="s">
        <v>32672</v>
      </c>
      <c r="H1306" t="s">
        <v>12635</v>
      </c>
      <c r="I1306" t="s">
        <v>32755</v>
      </c>
      <c r="J1306" t="s">
        <v>33801</v>
      </c>
      <c r="K1306" t="s">
        <v>42281</v>
      </c>
      <c r="M1306" t="s">
        <v>43166</v>
      </c>
      <c r="N1306" t="s">
        <v>46569</v>
      </c>
      <c r="O1306" t="s">
        <v>46570</v>
      </c>
      <c r="P1306">
        <v>0</v>
      </c>
      <c r="Q1306">
        <v>0</v>
      </c>
      <c r="R1306" t="s">
        <v>46571</v>
      </c>
      <c r="S1306" t="s">
        <v>46687</v>
      </c>
      <c r="T1306" t="s">
        <v>48377</v>
      </c>
      <c r="U1306" t="s">
        <v>49916</v>
      </c>
      <c r="W1306" t="s">
        <v>43166</v>
      </c>
      <c r="X1306" t="s">
        <v>46572</v>
      </c>
    </row>
    <row r="1307" spans="1:24">
      <c r="A1307">
        <f>HYPERLINK("https://www.philgeps.gov.ph/GEPSNONPILOT/Tender/SplashBidNoticeAbstractUI.aspx?menuIndex=3&amp;refID=7065870&amp;Result=3","7065870")</f>
        <v>0</v>
      </c>
      <c r="B1307" t="s">
        <v>568</v>
      </c>
      <c r="C1307" t="s">
        <v>4802</v>
      </c>
      <c r="D1307" t="s">
        <v>18822</v>
      </c>
      <c r="E1307" t="s">
        <v>20104</v>
      </c>
      <c r="F1307" t="s">
        <v>32664</v>
      </c>
      <c r="G1307" t="s">
        <v>32672</v>
      </c>
      <c r="H1307" t="s">
        <v>12635</v>
      </c>
      <c r="I1307" t="s">
        <v>32685</v>
      </c>
      <c r="J1307" t="s">
        <v>33802</v>
      </c>
      <c r="K1307" t="s">
        <v>42297</v>
      </c>
      <c r="M1307" t="s">
        <v>43148</v>
      </c>
      <c r="N1307" t="s">
        <v>46569</v>
      </c>
      <c r="O1307" t="s">
        <v>46570</v>
      </c>
      <c r="P1307">
        <v>0</v>
      </c>
      <c r="Q1307">
        <v>2</v>
      </c>
      <c r="R1307" t="s">
        <v>46571</v>
      </c>
      <c r="S1307" t="s">
        <v>46687</v>
      </c>
      <c r="T1307" t="s">
        <v>48275</v>
      </c>
      <c r="U1307" t="s">
        <v>49819</v>
      </c>
      <c r="V1307" t="s">
        <v>61761</v>
      </c>
      <c r="W1307" t="s">
        <v>63484</v>
      </c>
      <c r="X1307" t="s">
        <v>46572</v>
      </c>
    </row>
    <row r="1308" spans="1:24">
      <c r="A1308">
        <f>HYPERLINK("https://www.philgeps.gov.ph/GEPSNONPILOT/Tender/SplashBidNoticeAbstractUI.aspx?menuIndex=3&amp;refID=7065864&amp;Result=3","7065864")</f>
        <v>0</v>
      </c>
      <c r="B1308" t="s">
        <v>93</v>
      </c>
      <c r="C1308" t="s">
        <v>4803</v>
      </c>
      <c r="D1308" t="s">
        <v>18799</v>
      </c>
      <c r="E1308" t="s">
        <v>20105</v>
      </c>
      <c r="F1308" t="s">
        <v>32664</v>
      </c>
      <c r="G1308" t="s">
        <v>32675</v>
      </c>
      <c r="H1308" t="s">
        <v>12635</v>
      </c>
      <c r="I1308" t="s">
        <v>8730</v>
      </c>
      <c r="J1308" t="s">
        <v>33803</v>
      </c>
      <c r="K1308" t="s">
        <v>42289</v>
      </c>
      <c r="M1308" t="s">
        <v>42656</v>
      </c>
      <c r="N1308" t="s">
        <v>46569</v>
      </c>
      <c r="O1308" t="s">
        <v>46570</v>
      </c>
      <c r="P1308">
        <v>0</v>
      </c>
      <c r="Q1308">
        <v>0</v>
      </c>
      <c r="R1308" t="s">
        <v>46571</v>
      </c>
      <c r="S1308" t="s">
        <v>46687</v>
      </c>
      <c r="T1308" t="s">
        <v>48221</v>
      </c>
      <c r="U1308" t="s">
        <v>48964</v>
      </c>
      <c r="W1308" t="s">
        <v>43125</v>
      </c>
      <c r="X1308" t="s">
        <v>46572</v>
      </c>
    </row>
    <row r="1309" spans="1:24">
      <c r="A1309">
        <f>HYPERLINK("https://www.philgeps.gov.ph/GEPSNONPILOT/Tender/SplashBidNoticeAbstractUI.aspx?menuIndex=3&amp;refID=7065843&amp;Result=3","7065843")</f>
        <v>0</v>
      </c>
      <c r="B1309" t="s">
        <v>573</v>
      </c>
      <c r="C1309" t="s">
        <v>4804</v>
      </c>
      <c r="D1309" t="s">
        <v>18806</v>
      </c>
      <c r="E1309" t="s">
        <v>19815</v>
      </c>
      <c r="F1309" t="s">
        <v>32664</v>
      </c>
      <c r="G1309" t="s">
        <v>32672</v>
      </c>
      <c r="H1309" t="s">
        <v>12635</v>
      </c>
      <c r="I1309" t="s">
        <v>32686</v>
      </c>
      <c r="J1309" t="s">
        <v>33804</v>
      </c>
      <c r="K1309" t="s">
        <v>42321</v>
      </c>
      <c r="M1309" t="s">
        <v>43153</v>
      </c>
      <c r="N1309" t="s">
        <v>46569</v>
      </c>
      <c r="O1309" t="s">
        <v>46570</v>
      </c>
      <c r="P1309">
        <v>0</v>
      </c>
      <c r="Q1309">
        <v>0</v>
      </c>
      <c r="R1309" t="s">
        <v>46571</v>
      </c>
      <c r="S1309" t="s">
        <v>46687</v>
      </c>
      <c r="T1309" t="s">
        <v>48379</v>
      </c>
      <c r="U1309" t="s">
        <v>49917</v>
      </c>
      <c r="W1309" t="s">
        <v>43153</v>
      </c>
      <c r="X1309" t="s">
        <v>46572</v>
      </c>
    </row>
    <row r="1310" spans="1:24">
      <c r="A1310">
        <f>HYPERLINK("https://www.philgeps.gov.ph/GEPSNONPILOT/Tender/SplashBidNoticeAbstractUI.aspx?menuIndex=3&amp;refID=7065895&amp;Result=3","7065895")</f>
        <v>0</v>
      </c>
      <c r="B1310" t="s">
        <v>610</v>
      </c>
      <c r="C1310" t="s">
        <v>4805</v>
      </c>
      <c r="D1310" t="s">
        <v>18805</v>
      </c>
      <c r="E1310" t="s">
        <v>20106</v>
      </c>
      <c r="F1310" t="s">
        <v>32664</v>
      </c>
      <c r="G1310" t="s">
        <v>32672</v>
      </c>
      <c r="H1310" t="s">
        <v>12635</v>
      </c>
      <c r="I1310" t="s">
        <v>11464</v>
      </c>
      <c r="J1310" t="s">
        <v>33273</v>
      </c>
      <c r="K1310" t="s">
        <v>42283</v>
      </c>
      <c r="M1310" t="s">
        <v>43190</v>
      </c>
      <c r="N1310" t="s">
        <v>46569</v>
      </c>
      <c r="O1310" t="s">
        <v>46570</v>
      </c>
      <c r="P1310">
        <v>0</v>
      </c>
      <c r="Q1310">
        <v>4</v>
      </c>
      <c r="R1310" t="s">
        <v>46571</v>
      </c>
      <c r="S1310" t="s">
        <v>46687</v>
      </c>
      <c r="T1310" t="s">
        <v>48220</v>
      </c>
      <c r="U1310" t="s">
        <v>49918</v>
      </c>
      <c r="W1310" t="s">
        <v>43190</v>
      </c>
      <c r="X1310" t="s">
        <v>46572</v>
      </c>
    </row>
    <row r="1311" spans="1:24">
      <c r="A1311">
        <f>HYPERLINK("https://www.philgeps.gov.ph/GEPSNONPILOT/Tender/SplashBidNoticeAbstractUI.aspx?menuIndex=3&amp;refID=7065806&amp;Result=3","7065806")</f>
        <v>0</v>
      </c>
      <c r="B1311" t="s">
        <v>81</v>
      </c>
      <c r="C1311" t="s">
        <v>4547</v>
      </c>
      <c r="D1311" t="s">
        <v>18818</v>
      </c>
      <c r="E1311" t="s">
        <v>20107</v>
      </c>
      <c r="F1311" t="s">
        <v>32664</v>
      </c>
      <c r="G1311" t="s">
        <v>32672</v>
      </c>
      <c r="H1311" t="s">
        <v>12635</v>
      </c>
      <c r="I1311" t="s">
        <v>32712</v>
      </c>
      <c r="J1311" t="s">
        <v>33606</v>
      </c>
      <c r="K1311" t="s">
        <v>42283</v>
      </c>
      <c r="M1311" t="s">
        <v>43093</v>
      </c>
      <c r="N1311" t="s">
        <v>46569</v>
      </c>
      <c r="O1311" t="s">
        <v>46570</v>
      </c>
      <c r="P1311">
        <v>0</v>
      </c>
      <c r="Q1311">
        <v>0</v>
      </c>
      <c r="R1311" t="s">
        <v>46571</v>
      </c>
      <c r="S1311" t="s">
        <v>46687</v>
      </c>
      <c r="T1311" t="s">
        <v>48260</v>
      </c>
      <c r="U1311" t="s">
        <v>49696</v>
      </c>
      <c r="V1311" t="s">
        <v>61746</v>
      </c>
      <c r="W1311" t="s">
        <v>43093</v>
      </c>
      <c r="X1311" t="s">
        <v>46572</v>
      </c>
    </row>
    <row r="1312" spans="1:24">
      <c r="A1312">
        <f>HYPERLINK("https://www.philgeps.gov.ph/GEPSNONPILOT/Tender/SplashBidNoticeAbstractUI.aspx?menuIndex=3&amp;refID=7065901&amp;Result=3","7065901")</f>
        <v>0</v>
      </c>
      <c r="B1312" t="s">
        <v>516</v>
      </c>
      <c r="C1312" t="s">
        <v>4806</v>
      </c>
      <c r="D1312" t="s">
        <v>18804</v>
      </c>
      <c r="E1312" t="s">
        <v>20108</v>
      </c>
      <c r="F1312" t="s">
        <v>32664</v>
      </c>
      <c r="G1312" t="s">
        <v>32672</v>
      </c>
      <c r="H1312" t="s">
        <v>32683</v>
      </c>
      <c r="I1312" t="s">
        <v>32754</v>
      </c>
      <c r="J1312" t="s">
        <v>33805</v>
      </c>
      <c r="K1312" t="s">
        <v>42289</v>
      </c>
      <c r="M1312" t="s">
        <v>43092</v>
      </c>
      <c r="N1312" t="s">
        <v>46569</v>
      </c>
      <c r="O1312" t="s">
        <v>46570</v>
      </c>
      <c r="P1312">
        <v>0</v>
      </c>
      <c r="Q1312">
        <v>0</v>
      </c>
      <c r="R1312" t="s">
        <v>46571</v>
      </c>
      <c r="S1312" t="s">
        <v>46687</v>
      </c>
      <c r="T1312" t="s">
        <v>48220</v>
      </c>
      <c r="U1312" t="s">
        <v>49919</v>
      </c>
      <c r="W1312" t="s">
        <v>43092</v>
      </c>
      <c r="X1312" t="s">
        <v>46572</v>
      </c>
    </row>
    <row r="1313" spans="1:24">
      <c r="A1313">
        <f>HYPERLINK("https://www.philgeps.gov.ph/GEPSNONPILOT/Tender/SplashBidNoticeAbstractUI.aspx?menuIndex=3&amp;refID=7065902&amp;Result=3","7065902")</f>
        <v>0</v>
      </c>
      <c r="B1313" t="s">
        <v>611</v>
      </c>
      <c r="C1313" t="s">
        <v>4807</v>
      </c>
      <c r="D1313" t="s">
        <v>18784</v>
      </c>
      <c r="E1313" t="s">
        <v>20109</v>
      </c>
      <c r="F1313" t="s">
        <v>32664</v>
      </c>
      <c r="G1313" t="s">
        <v>32671</v>
      </c>
      <c r="H1313" t="s">
        <v>12635</v>
      </c>
      <c r="I1313" t="s">
        <v>32704</v>
      </c>
      <c r="J1313" t="s">
        <v>33657</v>
      </c>
      <c r="K1313" t="s">
        <v>42283</v>
      </c>
      <c r="M1313" t="s">
        <v>43191</v>
      </c>
      <c r="N1313" t="s">
        <v>46569</v>
      </c>
      <c r="O1313" t="s">
        <v>46570</v>
      </c>
      <c r="P1313">
        <v>0</v>
      </c>
      <c r="Q1313">
        <v>1</v>
      </c>
      <c r="R1313" t="s">
        <v>46571</v>
      </c>
      <c r="S1313" t="s">
        <v>46687</v>
      </c>
      <c r="T1313" t="s">
        <v>48250</v>
      </c>
      <c r="U1313" t="s">
        <v>49920</v>
      </c>
      <c r="W1313" t="s">
        <v>43191</v>
      </c>
      <c r="X1313" t="s">
        <v>46572</v>
      </c>
    </row>
    <row r="1314" spans="1:24">
      <c r="A1314">
        <f>HYPERLINK("https://www.philgeps.gov.ph/GEPSNONPILOT/Tender/SplashBidNoticeAbstractUI.aspx?menuIndex=3&amp;refID=7065867&amp;Result=3","7065867")</f>
        <v>0</v>
      </c>
      <c r="B1314" t="s">
        <v>426</v>
      </c>
      <c r="C1314" t="s">
        <v>4808</v>
      </c>
      <c r="D1314" t="s">
        <v>18841</v>
      </c>
      <c r="E1314" t="s">
        <v>20110</v>
      </c>
      <c r="F1314" t="s">
        <v>32664</v>
      </c>
      <c r="G1314" t="s">
        <v>32672</v>
      </c>
      <c r="H1314" t="s">
        <v>32683</v>
      </c>
      <c r="I1314" t="s">
        <v>10627</v>
      </c>
      <c r="J1314" t="s">
        <v>33806</v>
      </c>
      <c r="K1314" t="s">
        <v>42311</v>
      </c>
      <c r="M1314" t="s">
        <v>42997</v>
      </c>
      <c r="N1314" t="s">
        <v>46569</v>
      </c>
      <c r="O1314" t="s">
        <v>46570</v>
      </c>
      <c r="P1314">
        <v>0</v>
      </c>
      <c r="Q1314">
        <v>0</v>
      </c>
      <c r="R1314" t="s">
        <v>46571</v>
      </c>
      <c r="S1314" t="s">
        <v>46687</v>
      </c>
      <c r="T1314" t="s">
        <v>48240</v>
      </c>
      <c r="U1314" t="s">
        <v>49921</v>
      </c>
      <c r="W1314" t="s">
        <v>42997</v>
      </c>
      <c r="X1314" t="s">
        <v>46572</v>
      </c>
    </row>
    <row r="1315" spans="1:24">
      <c r="A1315">
        <f>HYPERLINK("https://www.philgeps.gov.ph/GEPSNONPILOT/Tender/SplashBidNoticeAbstractUI.aspx?menuIndex=3&amp;refID=7065900&amp;Result=3","7065900")</f>
        <v>0</v>
      </c>
      <c r="B1315" t="s">
        <v>612</v>
      </c>
      <c r="C1315" t="s">
        <v>4809</v>
      </c>
      <c r="D1315" t="s">
        <v>18834</v>
      </c>
      <c r="E1315" t="s">
        <v>19207</v>
      </c>
      <c r="F1315" t="s">
        <v>32665</v>
      </c>
      <c r="G1315" t="s">
        <v>32674</v>
      </c>
      <c r="H1315" t="s">
        <v>12635</v>
      </c>
      <c r="I1315" t="s">
        <v>5501</v>
      </c>
      <c r="J1315" t="s">
        <v>33752</v>
      </c>
      <c r="K1315" t="s">
        <v>42306</v>
      </c>
      <c r="M1315" t="s">
        <v>43192</v>
      </c>
      <c r="N1315" t="s">
        <v>46569</v>
      </c>
      <c r="O1315" t="s">
        <v>46570</v>
      </c>
      <c r="P1315">
        <v>0</v>
      </c>
      <c r="Q1315">
        <v>1</v>
      </c>
      <c r="R1315" t="s">
        <v>46571</v>
      </c>
      <c r="S1315" t="s">
        <v>46687</v>
      </c>
      <c r="T1315" t="s">
        <v>48305</v>
      </c>
      <c r="U1315" t="s">
        <v>49922</v>
      </c>
      <c r="W1315" t="s">
        <v>43192</v>
      </c>
      <c r="X1315" t="s">
        <v>46572</v>
      </c>
    </row>
    <row r="1316" spans="1:24">
      <c r="A1316">
        <f>HYPERLINK("https://www.philgeps.gov.ph/GEPSNONPILOT/Tender/SplashBidNoticeAbstractUI.aspx?menuIndex=3&amp;refID=7065876&amp;Result=3","7065876")</f>
        <v>0</v>
      </c>
      <c r="B1316" t="s">
        <v>76</v>
      </c>
      <c r="C1316" t="s">
        <v>4810</v>
      </c>
      <c r="D1316" t="s">
        <v>18781</v>
      </c>
      <c r="E1316" t="s">
        <v>20111</v>
      </c>
      <c r="F1316" t="s">
        <v>32664</v>
      </c>
      <c r="G1316" t="s">
        <v>32672</v>
      </c>
      <c r="H1316" t="s">
        <v>32683</v>
      </c>
      <c r="I1316" t="s">
        <v>10627</v>
      </c>
      <c r="J1316" t="s">
        <v>33807</v>
      </c>
      <c r="K1316" t="s">
        <v>42311</v>
      </c>
      <c r="M1316" t="s">
        <v>42639</v>
      </c>
      <c r="N1316" t="s">
        <v>46569</v>
      </c>
      <c r="O1316" t="s">
        <v>46570</v>
      </c>
      <c r="P1316">
        <v>0</v>
      </c>
      <c r="Q1316">
        <v>0</v>
      </c>
      <c r="R1316" t="s">
        <v>46571</v>
      </c>
      <c r="S1316" t="s">
        <v>46687</v>
      </c>
      <c r="T1316" t="s">
        <v>48269</v>
      </c>
      <c r="U1316" t="s">
        <v>49923</v>
      </c>
      <c r="W1316" t="s">
        <v>42639</v>
      </c>
      <c r="X1316" t="s">
        <v>46572</v>
      </c>
    </row>
    <row r="1317" spans="1:24">
      <c r="A1317">
        <f>HYPERLINK("https://www.philgeps.gov.ph/GEPSNONPILOT/Tender/SplashBidNoticeAbstractUI.aspx?menuIndex=3&amp;refID=7065897&amp;Result=3","7065897")</f>
        <v>0</v>
      </c>
      <c r="B1317" t="s">
        <v>613</v>
      </c>
      <c r="C1317" t="s">
        <v>4811</v>
      </c>
      <c r="E1317" t="s">
        <v>20112</v>
      </c>
      <c r="F1317" t="s">
        <v>32664</v>
      </c>
      <c r="G1317" t="s">
        <v>32671</v>
      </c>
      <c r="H1317" t="s">
        <v>12635</v>
      </c>
      <c r="I1317" t="s">
        <v>6223</v>
      </c>
      <c r="J1317" t="s">
        <v>33808</v>
      </c>
      <c r="K1317" t="s">
        <v>42283</v>
      </c>
      <c r="M1317" t="s">
        <v>43193</v>
      </c>
      <c r="N1317" t="s">
        <v>46569</v>
      </c>
      <c r="O1317" t="s">
        <v>46570</v>
      </c>
      <c r="P1317">
        <v>0</v>
      </c>
      <c r="Q1317">
        <v>1</v>
      </c>
      <c r="R1317" t="s">
        <v>46571</v>
      </c>
      <c r="S1317" t="s">
        <v>46687</v>
      </c>
      <c r="T1317" t="s">
        <v>48228</v>
      </c>
      <c r="U1317" t="s">
        <v>49924</v>
      </c>
      <c r="W1317" t="s">
        <v>43193</v>
      </c>
      <c r="X1317" t="s">
        <v>46572</v>
      </c>
    </row>
    <row r="1318" spans="1:24">
      <c r="A1318">
        <f>HYPERLINK("https://www.philgeps.gov.ph/GEPSNONPILOT/Tender/SplashBidNoticeAbstractUI.aspx?menuIndex=3&amp;refID=7065894&amp;Result=3","7065894")</f>
        <v>0</v>
      </c>
      <c r="B1318" t="s">
        <v>570</v>
      </c>
      <c r="C1318" t="s">
        <v>4812</v>
      </c>
      <c r="E1318" t="s">
        <v>20113</v>
      </c>
      <c r="F1318" t="s">
        <v>32664</v>
      </c>
      <c r="G1318" t="s">
        <v>32671</v>
      </c>
      <c r="H1318" t="s">
        <v>12635</v>
      </c>
      <c r="I1318" t="s">
        <v>8849</v>
      </c>
      <c r="J1318" t="s">
        <v>33165</v>
      </c>
      <c r="K1318" t="s">
        <v>42283</v>
      </c>
      <c r="M1318" t="s">
        <v>43150</v>
      </c>
      <c r="N1318" t="s">
        <v>46569</v>
      </c>
      <c r="O1318" t="s">
        <v>46570</v>
      </c>
      <c r="P1318">
        <v>0</v>
      </c>
      <c r="Q1318">
        <v>0</v>
      </c>
      <c r="R1318" t="s">
        <v>46571</v>
      </c>
      <c r="S1318" t="s">
        <v>46687</v>
      </c>
      <c r="T1318" t="s">
        <v>48282</v>
      </c>
      <c r="U1318" t="s">
        <v>49925</v>
      </c>
      <c r="W1318" t="s">
        <v>43150</v>
      </c>
      <c r="X1318" t="s">
        <v>46572</v>
      </c>
    </row>
    <row r="1319" spans="1:24">
      <c r="A1319">
        <f>HYPERLINK("https://www.philgeps.gov.ph/GEPSNONPILOT/Tender/SplashBidNoticeAbstractUI.aspx?menuIndex=3&amp;refID=7065890&amp;Result=3","7065890")</f>
        <v>0</v>
      </c>
      <c r="B1319" t="s">
        <v>614</v>
      </c>
      <c r="C1319" t="s">
        <v>4813</v>
      </c>
      <c r="E1319" t="s">
        <v>18889</v>
      </c>
      <c r="F1319" t="s">
        <v>32664</v>
      </c>
      <c r="G1319" t="s">
        <v>32672</v>
      </c>
      <c r="H1319" t="s">
        <v>12635</v>
      </c>
      <c r="I1319" t="s">
        <v>4439</v>
      </c>
      <c r="J1319" t="s">
        <v>33809</v>
      </c>
      <c r="K1319" t="s">
        <v>42289</v>
      </c>
      <c r="M1319" t="s">
        <v>43194</v>
      </c>
      <c r="N1319" t="s">
        <v>46569</v>
      </c>
      <c r="O1319" t="s">
        <v>46570</v>
      </c>
      <c r="P1319">
        <v>0</v>
      </c>
      <c r="Q1319">
        <v>0</v>
      </c>
      <c r="R1319" t="s">
        <v>46571</v>
      </c>
      <c r="S1319" t="s">
        <v>46687</v>
      </c>
      <c r="T1319" t="s">
        <v>48380</v>
      </c>
      <c r="U1319" t="s">
        <v>49926</v>
      </c>
      <c r="W1319" t="s">
        <v>63486</v>
      </c>
      <c r="X1319" t="s">
        <v>46572</v>
      </c>
    </row>
    <row r="1320" spans="1:24">
      <c r="A1320">
        <f>HYPERLINK("https://www.philgeps.gov.ph/GEPSNONPILOT/Tender/SplashBidNoticeAbstractUI.aspx?menuIndex=3&amp;refID=7065889&amp;Result=3","7065889")</f>
        <v>0</v>
      </c>
      <c r="B1320" t="s">
        <v>615</v>
      </c>
      <c r="C1320" t="s">
        <v>4814</v>
      </c>
      <c r="D1320" t="s">
        <v>18802</v>
      </c>
      <c r="E1320" t="s">
        <v>20114</v>
      </c>
      <c r="F1320" t="s">
        <v>32664</v>
      </c>
      <c r="G1320" t="s">
        <v>32671</v>
      </c>
      <c r="H1320" t="s">
        <v>12635</v>
      </c>
      <c r="I1320" t="s">
        <v>32701</v>
      </c>
      <c r="J1320" t="s">
        <v>33810</v>
      </c>
      <c r="K1320" t="s">
        <v>42283</v>
      </c>
      <c r="M1320" t="s">
        <v>43195</v>
      </c>
      <c r="N1320" t="s">
        <v>46569</v>
      </c>
      <c r="O1320" t="s">
        <v>46570</v>
      </c>
      <c r="P1320">
        <v>0</v>
      </c>
      <c r="Q1320">
        <v>0</v>
      </c>
      <c r="R1320" t="s">
        <v>46571</v>
      </c>
      <c r="S1320" t="s">
        <v>46687</v>
      </c>
      <c r="T1320" t="s">
        <v>48221</v>
      </c>
      <c r="U1320" t="s">
        <v>49258</v>
      </c>
      <c r="V1320" t="s">
        <v>61775</v>
      </c>
      <c r="W1320" t="s">
        <v>43195</v>
      </c>
      <c r="X1320" t="s">
        <v>46572</v>
      </c>
    </row>
    <row r="1321" spans="1:24">
      <c r="A1321">
        <f>HYPERLINK("https://www.philgeps.gov.ph/GEPSNONPILOT/Tender/SplashBidNoticeAbstractUI.aspx?menuIndex=3&amp;refID=7065896&amp;Result=3","7065896")</f>
        <v>0</v>
      </c>
      <c r="B1321" t="s">
        <v>418</v>
      </c>
      <c r="C1321" t="s">
        <v>4815</v>
      </c>
      <c r="D1321" t="s">
        <v>18784</v>
      </c>
      <c r="E1321" t="s">
        <v>20115</v>
      </c>
      <c r="F1321" t="s">
        <v>32664</v>
      </c>
      <c r="G1321" t="s">
        <v>32672</v>
      </c>
      <c r="H1321" t="s">
        <v>12635</v>
      </c>
      <c r="I1321" t="s">
        <v>6223</v>
      </c>
      <c r="J1321" t="s">
        <v>33811</v>
      </c>
      <c r="K1321" t="s">
        <v>42289</v>
      </c>
      <c r="M1321" t="s">
        <v>43105</v>
      </c>
      <c r="N1321" t="s">
        <v>46569</v>
      </c>
      <c r="O1321" t="s">
        <v>46570</v>
      </c>
      <c r="P1321">
        <v>0</v>
      </c>
      <c r="Q1321">
        <v>0</v>
      </c>
      <c r="R1321" t="s">
        <v>46571</v>
      </c>
      <c r="S1321" t="s">
        <v>46687</v>
      </c>
      <c r="T1321" t="s">
        <v>48226</v>
      </c>
      <c r="U1321" t="s">
        <v>49872</v>
      </c>
      <c r="W1321" t="s">
        <v>43105</v>
      </c>
      <c r="X1321" t="s">
        <v>46572</v>
      </c>
    </row>
    <row r="1322" spans="1:24">
      <c r="A1322">
        <f>HYPERLINK("https://www.philgeps.gov.ph/GEPSNONPILOT/Tender/SplashBidNoticeAbstractUI.aspx?menuIndex=3&amp;refID=7065891&amp;Result=3","7065891")</f>
        <v>0</v>
      </c>
      <c r="B1322" t="s">
        <v>603</v>
      </c>
      <c r="C1322" t="s">
        <v>4816</v>
      </c>
      <c r="D1322" t="s">
        <v>18826</v>
      </c>
      <c r="E1322" t="s">
        <v>20116</v>
      </c>
      <c r="F1322" t="s">
        <v>32665</v>
      </c>
      <c r="G1322" t="s">
        <v>32674</v>
      </c>
      <c r="H1322" t="s">
        <v>12635</v>
      </c>
      <c r="I1322" t="s">
        <v>10590</v>
      </c>
      <c r="J1322" t="s">
        <v>33380</v>
      </c>
      <c r="K1322" t="s">
        <v>42295</v>
      </c>
      <c r="M1322" t="s">
        <v>43183</v>
      </c>
      <c r="N1322" t="s">
        <v>46569</v>
      </c>
      <c r="O1322" t="s">
        <v>46570</v>
      </c>
      <c r="P1322">
        <v>0</v>
      </c>
      <c r="Q1322">
        <v>0</v>
      </c>
      <c r="R1322" t="s">
        <v>46571</v>
      </c>
      <c r="S1322" t="s">
        <v>46687</v>
      </c>
      <c r="T1322" t="s">
        <v>48219</v>
      </c>
      <c r="U1322" t="s">
        <v>49927</v>
      </c>
      <c r="W1322" t="s">
        <v>43183</v>
      </c>
      <c r="X1322" t="s">
        <v>46572</v>
      </c>
    </row>
    <row r="1323" spans="1:24">
      <c r="A1323">
        <f>HYPERLINK("https://www.philgeps.gov.ph/GEPSNONPILOT/Tender/SplashBidNoticeAbstractUI.aspx?menuIndex=3&amp;refID=7065905&amp;Result=3","7065905")</f>
        <v>0</v>
      </c>
      <c r="B1323" t="s">
        <v>616</v>
      </c>
      <c r="C1323" t="s">
        <v>4817</v>
      </c>
      <c r="D1323" t="s">
        <v>18841</v>
      </c>
      <c r="E1323" t="s">
        <v>20117</v>
      </c>
      <c r="F1323" t="s">
        <v>32664</v>
      </c>
      <c r="G1323" t="s">
        <v>32672</v>
      </c>
      <c r="H1323" t="s">
        <v>12635</v>
      </c>
      <c r="I1323" t="s">
        <v>10374</v>
      </c>
      <c r="J1323" t="s">
        <v>33812</v>
      </c>
      <c r="K1323" t="s">
        <v>42330</v>
      </c>
      <c r="M1323" t="s">
        <v>43196</v>
      </c>
      <c r="N1323" t="s">
        <v>46569</v>
      </c>
      <c r="O1323" t="s">
        <v>46570</v>
      </c>
      <c r="P1323">
        <v>0</v>
      </c>
      <c r="Q1323">
        <v>2</v>
      </c>
      <c r="R1323" t="s">
        <v>46571</v>
      </c>
      <c r="S1323" t="s">
        <v>46687</v>
      </c>
      <c r="T1323" t="s">
        <v>48381</v>
      </c>
      <c r="U1323" t="s">
        <v>49928</v>
      </c>
      <c r="W1323" t="s">
        <v>43196</v>
      </c>
      <c r="X1323" t="s">
        <v>46572</v>
      </c>
    </row>
    <row r="1324" spans="1:24">
      <c r="A1324">
        <f>HYPERLINK("https://www.philgeps.gov.ph/GEPSNONPILOT/Tender/SplashBidNoticeAbstractUI.aspx?menuIndex=3&amp;refID=7065887&amp;Result=3","7065887")</f>
        <v>0</v>
      </c>
      <c r="B1324" t="s">
        <v>587</v>
      </c>
      <c r="C1324" t="s">
        <v>4818</v>
      </c>
      <c r="D1324" t="s">
        <v>18805</v>
      </c>
      <c r="E1324" t="s">
        <v>20118</v>
      </c>
      <c r="F1324" t="s">
        <v>32664</v>
      </c>
      <c r="G1324" t="s">
        <v>32672</v>
      </c>
      <c r="H1324" t="s">
        <v>12635</v>
      </c>
      <c r="I1324" t="s">
        <v>8730</v>
      </c>
      <c r="J1324" t="s">
        <v>33813</v>
      </c>
      <c r="K1324" t="s">
        <v>42306</v>
      </c>
      <c r="M1324" t="s">
        <v>43167</v>
      </c>
      <c r="N1324" t="s">
        <v>46569</v>
      </c>
      <c r="O1324" t="s">
        <v>46570</v>
      </c>
      <c r="P1324">
        <v>0</v>
      </c>
      <c r="Q1324">
        <v>1</v>
      </c>
      <c r="R1324" t="s">
        <v>46571</v>
      </c>
      <c r="S1324" t="s">
        <v>46687</v>
      </c>
      <c r="T1324" t="s">
        <v>48347</v>
      </c>
      <c r="U1324" t="s">
        <v>49929</v>
      </c>
      <c r="W1324" t="s">
        <v>43167</v>
      </c>
      <c r="X1324" t="s">
        <v>46572</v>
      </c>
    </row>
    <row r="1325" spans="1:24">
      <c r="A1325">
        <f>HYPERLINK("https://www.philgeps.gov.ph/GEPSNONPILOT/Tender/SplashBidNoticeAbstractUI.aspx?menuIndex=3&amp;refID=7065886&amp;Result=3","7065886")</f>
        <v>0</v>
      </c>
      <c r="B1325" t="s">
        <v>535</v>
      </c>
      <c r="C1325" t="s">
        <v>4819</v>
      </c>
      <c r="D1325" t="s">
        <v>18834</v>
      </c>
      <c r="E1325" t="s">
        <v>20119</v>
      </c>
      <c r="F1325" t="s">
        <v>32664</v>
      </c>
      <c r="G1325" t="s">
        <v>32671</v>
      </c>
      <c r="H1325" t="s">
        <v>12635</v>
      </c>
      <c r="I1325" t="s">
        <v>5501</v>
      </c>
      <c r="J1325" t="s">
        <v>33814</v>
      </c>
      <c r="K1325" t="s">
        <v>42289</v>
      </c>
      <c r="M1325" t="s">
        <v>43113</v>
      </c>
      <c r="N1325" t="s">
        <v>46569</v>
      </c>
      <c r="O1325" t="s">
        <v>46570</v>
      </c>
      <c r="P1325">
        <v>0</v>
      </c>
      <c r="Q1325">
        <v>2</v>
      </c>
      <c r="R1325" t="s">
        <v>46571</v>
      </c>
      <c r="S1325" t="s">
        <v>46687</v>
      </c>
      <c r="T1325" t="s">
        <v>48219</v>
      </c>
      <c r="U1325" t="s">
        <v>49736</v>
      </c>
      <c r="W1325" t="s">
        <v>63481</v>
      </c>
      <c r="X1325" t="s">
        <v>46572</v>
      </c>
    </row>
    <row r="1326" spans="1:24">
      <c r="A1326">
        <f>HYPERLINK("https://www.philgeps.gov.ph/GEPSNONPILOT/Tender/SplashBidNoticeAbstractUI.aspx?menuIndex=3&amp;refID=7065929&amp;Result=3","7065929")</f>
        <v>0</v>
      </c>
      <c r="B1326" t="s">
        <v>536</v>
      </c>
      <c r="C1326" t="s">
        <v>4820</v>
      </c>
      <c r="D1326" t="s">
        <v>18786</v>
      </c>
      <c r="E1326" t="s">
        <v>20120</v>
      </c>
      <c r="F1326" t="s">
        <v>32664</v>
      </c>
      <c r="G1326" t="s">
        <v>32671</v>
      </c>
      <c r="H1326" t="s">
        <v>12635</v>
      </c>
      <c r="I1326" t="s">
        <v>6628</v>
      </c>
      <c r="J1326" t="s">
        <v>32853</v>
      </c>
      <c r="K1326" t="s">
        <v>42297</v>
      </c>
      <c r="M1326" t="s">
        <v>43114</v>
      </c>
      <c r="N1326" t="s">
        <v>46569</v>
      </c>
      <c r="O1326" t="s">
        <v>46570</v>
      </c>
      <c r="P1326">
        <v>0</v>
      </c>
      <c r="Q1326">
        <v>0</v>
      </c>
      <c r="R1326" t="s">
        <v>46571</v>
      </c>
      <c r="S1326" t="s">
        <v>46687</v>
      </c>
      <c r="T1326" t="s">
        <v>48268</v>
      </c>
      <c r="U1326" t="s">
        <v>49930</v>
      </c>
      <c r="W1326" t="s">
        <v>43114</v>
      </c>
      <c r="X1326" t="s">
        <v>46572</v>
      </c>
    </row>
    <row r="1327" spans="1:24">
      <c r="A1327">
        <f>HYPERLINK("https://www.philgeps.gov.ph/GEPSNONPILOT/Tender/SplashBidNoticeAbstractUI.aspx?menuIndex=3&amp;refID=7065893&amp;Result=3","7065893")</f>
        <v>0</v>
      </c>
      <c r="B1327" t="s">
        <v>229</v>
      </c>
      <c r="C1327" t="s">
        <v>4821</v>
      </c>
      <c r="D1327" t="s">
        <v>18838</v>
      </c>
      <c r="E1327" t="s">
        <v>20121</v>
      </c>
      <c r="F1327" t="s">
        <v>32664</v>
      </c>
      <c r="G1327" t="s">
        <v>32671</v>
      </c>
      <c r="H1327" t="s">
        <v>12635</v>
      </c>
      <c r="I1327" t="s">
        <v>6223</v>
      </c>
      <c r="J1327" t="s">
        <v>33815</v>
      </c>
      <c r="K1327" t="s">
        <v>42297</v>
      </c>
      <c r="M1327" t="s">
        <v>42793</v>
      </c>
      <c r="N1327" t="s">
        <v>46569</v>
      </c>
      <c r="O1327" t="s">
        <v>46570</v>
      </c>
      <c r="P1327">
        <v>0</v>
      </c>
      <c r="Q1327">
        <v>0</v>
      </c>
      <c r="R1327" t="s">
        <v>46571</v>
      </c>
      <c r="S1327" t="s">
        <v>46687</v>
      </c>
      <c r="T1327" t="s">
        <v>48221</v>
      </c>
      <c r="U1327" t="s">
        <v>49931</v>
      </c>
      <c r="W1327" t="s">
        <v>42793</v>
      </c>
      <c r="X1327" t="s">
        <v>46572</v>
      </c>
    </row>
    <row r="1328" spans="1:24">
      <c r="A1328">
        <f>HYPERLINK("https://www.philgeps.gov.ph/GEPSNONPILOT/Tender/SplashBidNoticeAbstractUI.aspx?menuIndex=3&amp;refID=7065926&amp;Result=3","7065926")</f>
        <v>0</v>
      </c>
      <c r="B1328" t="s">
        <v>557</v>
      </c>
      <c r="C1328" t="s">
        <v>4822</v>
      </c>
      <c r="D1328" t="s">
        <v>18834</v>
      </c>
      <c r="E1328" t="s">
        <v>20122</v>
      </c>
      <c r="F1328" t="s">
        <v>32664</v>
      </c>
      <c r="G1328" t="s">
        <v>32671</v>
      </c>
      <c r="H1328" t="s">
        <v>12635</v>
      </c>
      <c r="I1328" t="s">
        <v>4439</v>
      </c>
      <c r="J1328" t="s">
        <v>33051</v>
      </c>
      <c r="K1328" t="s">
        <v>42289</v>
      </c>
      <c r="M1328" t="s">
        <v>43137</v>
      </c>
      <c r="N1328" t="s">
        <v>46569</v>
      </c>
      <c r="O1328" t="s">
        <v>46570</v>
      </c>
      <c r="P1328">
        <v>0</v>
      </c>
      <c r="Q1328">
        <v>0</v>
      </c>
      <c r="R1328" t="s">
        <v>46571</v>
      </c>
      <c r="S1328" t="s">
        <v>46687</v>
      </c>
      <c r="T1328" t="s">
        <v>48219</v>
      </c>
      <c r="U1328" t="s">
        <v>49932</v>
      </c>
      <c r="W1328" t="s">
        <v>43137</v>
      </c>
      <c r="X1328" t="s">
        <v>46572</v>
      </c>
    </row>
    <row r="1329" spans="1:24">
      <c r="A1329">
        <f>HYPERLINK("https://www.philgeps.gov.ph/GEPSNONPILOT/Tender/SplashBidNoticeAbstractUI.aspx?menuIndex=3&amp;refID=7065925&amp;Result=3","7065925")</f>
        <v>0</v>
      </c>
      <c r="B1329" t="s">
        <v>144</v>
      </c>
      <c r="C1329" t="s">
        <v>4823</v>
      </c>
      <c r="D1329" t="s">
        <v>18817</v>
      </c>
      <c r="E1329" t="s">
        <v>20123</v>
      </c>
      <c r="F1329" t="s">
        <v>32664</v>
      </c>
      <c r="G1329" t="s">
        <v>32674</v>
      </c>
      <c r="H1329" t="s">
        <v>12635</v>
      </c>
      <c r="I1329" t="s">
        <v>6168</v>
      </c>
      <c r="J1329" t="s">
        <v>33311</v>
      </c>
      <c r="K1329" t="s">
        <v>42309</v>
      </c>
      <c r="M1329" t="s">
        <v>42708</v>
      </c>
      <c r="N1329" t="s">
        <v>46569</v>
      </c>
      <c r="O1329" t="s">
        <v>46570</v>
      </c>
      <c r="P1329">
        <v>0</v>
      </c>
      <c r="Q1329">
        <v>0</v>
      </c>
      <c r="R1329" t="s">
        <v>46571</v>
      </c>
      <c r="S1329" t="s">
        <v>46687</v>
      </c>
      <c r="T1329" t="s">
        <v>48283</v>
      </c>
      <c r="U1329" t="s">
        <v>49933</v>
      </c>
      <c r="W1329" t="s">
        <v>42708</v>
      </c>
      <c r="X1329" t="s">
        <v>46572</v>
      </c>
    </row>
    <row r="1330" spans="1:24">
      <c r="A1330">
        <f>HYPERLINK("https://www.philgeps.gov.ph/GEPSNONPILOT/Tender/SplashBidNoticeAbstractUI.aspx?menuIndex=3&amp;refID=7065928&amp;Result=3","7065928")</f>
        <v>0</v>
      </c>
      <c r="B1330" t="s">
        <v>602</v>
      </c>
      <c r="C1330" t="s">
        <v>4824</v>
      </c>
      <c r="D1330" t="s">
        <v>18837</v>
      </c>
      <c r="E1330" t="s">
        <v>20124</v>
      </c>
      <c r="F1330" t="s">
        <v>32664</v>
      </c>
      <c r="G1330" t="s">
        <v>32672</v>
      </c>
      <c r="H1330" t="s">
        <v>12635</v>
      </c>
      <c r="I1330" t="s">
        <v>10374</v>
      </c>
      <c r="J1330" t="s">
        <v>33167</v>
      </c>
      <c r="K1330" t="s">
        <v>42330</v>
      </c>
      <c r="M1330" t="s">
        <v>43182</v>
      </c>
      <c r="N1330" t="s">
        <v>46569</v>
      </c>
      <c r="O1330" t="s">
        <v>46570</v>
      </c>
      <c r="P1330">
        <v>0</v>
      </c>
      <c r="Q1330">
        <v>1</v>
      </c>
      <c r="R1330" t="s">
        <v>46571</v>
      </c>
      <c r="S1330" t="s">
        <v>46687</v>
      </c>
      <c r="T1330" t="s">
        <v>48211</v>
      </c>
      <c r="U1330" t="s">
        <v>49934</v>
      </c>
      <c r="W1330" t="s">
        <v>43182</v>
      </c>
      <c r="X1330" t="s">
        <v>46572</v>
      </c>
    </row>
    <row r="1331" spans="1:24">
      <c r="A1331">
        <f>HYPERLINK("https://www.philgeps.gov.ph/GEPSNONPILOT/Tender/SplashBidNoticeAbstractUI.aspx?menuIndex=3&amp;refID=7065923&amp;Result=3","7065923")</f>
        <v>0</v>
      </c>
      <c r="B1331" t="s">
        <v>617</v>
      </c>
      <c r="C1331" t="s">
        <v>4825</v>
      </c>
      <c r="D1331" t="s">
        <v>18784</v>
      </c>
      <c r="E1331" t="s">
        <v>20125</v>
      </c>
      <c r="F1331" t="s">
        <v>32664</v>
      </c>
      <c r="G1331" t="s">
        <v>32674</v>
      </c>
      <c r="H1331" t="s">
        <v>12635</v>
      </c>
      <c r="I1331" t="s">
        <v>32757</v>
      </c>
      <c r="J1331" t="s">
        <v>33126</v>
      </c>
      <c r="K1331" t="s">
        <v>42289</v>
      </c>
      <c r="M1331" t="s">
        <v>43197</v>
      </c>
      <c r="N1331" t="s">
        <v>46569</v>
      </c>
      <c r="O1331" t="s">
        <v>46570</v>
      </c>
      <c r="P1331">
        <v>0</v>
      </c>
      <c r="Q1331">
        <v>1</v>
      </c>
      <c r="R1331" t="s">
        <v>46571</v>
      </c>
      <c r="S1331" t="s">
        <v>46687</v>
      </c>
      <c r="T1331" t="s">
        <v>48293</v>
      </c>
      <c r="U1331" t="s">
        <v>49935</v>
      </c>
      <c r="W1331" t="s">
        <v>43197</v>
      </c>
      <c r="X1331" t="s">
        <v>46572</v>
      </c>
    </row>
    <row r="1332" spans="1:24">
      <c r="A1332">
        <f>HYPERLINK("https://www.philgeps.gov.ph/GEPSNONPILOT/Tender/SplashBidNoticeAbstractUI.aspx?menuIndex=3&amp;refID=7065927&amp;Result=3","7065927")</f>
        <v>0</v>
      </c>
      <c r="B1332" t="s">
        <v>587</v>
      </c>
      <c r="C1332" t="s">
        <v>4826</v>
      </c>
      <c r="D1332" t="s">
        <v>18805</v>
      </c>
      <c r="E1332" t="s">
        <v>20126</v>
      </c>
      <c r="F1332" t="s">
        <v>32664</v>
      </c>
      <c r="G1332" t="s">
        <v>32672</v>
      </c>
      <c r="H1332" t="s">
        <v>12635</v>
      </c>
      <c r="I1332" t="s">
        <v>6168</v>
      </c>
      <c r="J1332" t="s">
        <v>33816</v>
      </c>
      <c r="K1332" t="s">
        <v>42306</v>
      </c>
      <c r="M1332" t="s">
        <v>43167</v>
      </c>
      <c r="N1332" t="s">
        <v>46569</v>
      </c>
      <c r="O1332" t="s">
        <v>46570</v>
      </c>
      <c r="P1332">
        <v>0</v>
      </c>
      <c r="Q1332">
        <v>0</v>
      </c>
      <c r="R1332" t="s">
        <v>46571</v>
      </c>
      <c r="S1332" t="s">
        <v>46687</v>
      </c>
      <c r="T1332" t="s">
        <v>48347</v>
      </c>
      <c r="U1332" t="s">
        <v>49936</v>
      </c>
      <c r="W1332" t="s">
        <v>43167</v>
      </c>
      <c r="X1332" t="s">
        <v>46572</v>
      </c>
    </row>
    <row r="1333" spans="1:24">
      <c r="A1333">
        <f>HYPERLINK("https://www.philgeps.gov.ph/GEPSNONPILOT/Tender/SplashBidNoticeAbstractUI.aspx?menuIndex=3&amp;refID=7065920&amp;Result=3","7065920")</f>
        <v>0</v>
      </c>
      <c r="B1333" t="s">
        <v>229</v>
      </c>
      <c r="C1333" t="s">
        <v>4827</v>
      </c>
      <c r="D1333" t="s">
        <v>18838</v>
      </c>
      <c r="E1333" t="s">
        <v>20127</v>
      </c>
      <c r="F1333" t="s">
        <v>32664</v>
      </c>
      <c r="G1333" t="s">
        <v>32671</v>
      </c>
      <c r="H1333" t="s">
        <v>12635</v>
      </c>
      <c r="I1333" t="s">
        <v>6223</v>
      </c>
      <c r="J1333" t="s">
        <v>33817</v>
      </c>
      <c r="K1333" t="s">
        <v>42297</v>
      </c>
      <c r="M1333" t="s">
        <v>42793</v>
      </c>
      <c r="N1333" t="s">
        <v>46569</v>
      </c>
      <c r="O1333" t="s">
        <v>46570</v>
      </c>
      <c r="P1333">
        <v>0</v>
      </c>
      <c r="Q1333">
        <v>0</v>
      </c>
      <c r="R1333" t="s">
        <v>46571</v>
      </c>
      <c r="S1333" t="s">
        <v>46687</v>
      </c>
      <c r="T1333" t="s">
        <v>48221</v>
      </c>
      <c r="U1333" t="s">
        <v>49937</v>
      </c>
      <c r="W1333" t="s">
        <v>42793</v>
      </c>
      <c r="X1333" t="s">
        <v>46572</v>
      </c>
    </row>
    <row r="1334" spans="1:24">
      <c r="A1334">
        <f>HYPERLINK("https://www.philgeps.gov.ph/GEPSNONPILOT/Tender/SplashBidNoticeAbstractUI.aspx?menuIndex=3&amp;refID=7065919&amp;Result=3","7065919")</f>
        <v>0</v>
      </c>
      <c r="B1334" t="s">
        <v>568</v>
      </c>
      <c r="C1334" t="s">
        <v>4828</v>
      </c>
      <c r="D1334" t="s">
        <v>18822</v>
      </c>
      <c r="E1334" t="s">
        <v>20128</v>
      </c>
      <c r="F1334" t="s">
        <v>32664</v>
      </c>
      <c r="G1334" t="s">
        <v>32672</v>
      </c>
      <c r="H1334" t="s">
        <v>12635</v>
      </c>
      <c r="I1334" t="s">
        <v>32685</v>
      </c>
      <c r="J1334" t="s">
        <v>33032</v>
      </c>
      <c r="K1334" t="s">
        <v>42297</v>
      </c>
      <c r="M1334" t="s">
        <v>43148</v>
      </c>
      <c r="N1334" t="s">
        <v>46569</v>
      </c>
      <c r="O1334" t="s">
        <v>46570</v>
      </c>
      <c r="P1334">
        <v>0</v>
      </c>
      <c r="Q1334">
        <v>2</v>
      </c>
      <c r="R1334" t="s">
        <v>46571</v>
      </c>
      <c r="S1334" t="s">
        <v>46687</v>
      </c>
      <c r="T1334" t="s">
        <v>48275</v>
      </c>
      <c r="U1334" t="s">
        <v>49819</v>
      </c>
      <c r="V1334" t="s">
        <v>61761</v>
      </c>
      <c r="W1334" t="s">
        <v>63484</v>
      </c>
      <c r="X1334" t="s">
        <v>46572</v>
      </c>
    </row>
    <row r="1335" spans="1:24">
      <c r="A1335">
        <f>HYPERLINK("https://www.philgeps.gov.ph/GEPSNONPILOT/Tender/SplashBidNoticeAbstractUI.aspx?menuIndex=3&amp;refID=7065924&amp;Result=3","7065924")</f>
        <v>0</v>
      </c>
      <c r="B1335" t="s">
        <v>451</v>
      </c>
      <c r="C1335" t="s">
        <v>4829</v>
      </c>
      <c r="D1335" t="s">
        <v>18818</v>
      </c>
      <c r="E1335" t="s">
        <v>20129</v>
      </c>
      <c r="F1335" t="s">
        <v>32664</v>
      </c>
      <c r="G1335" t="s">
        <v>32671</v>
      </c>
      <c r="H1335" t="s">
        <v>12635</v>
      </c>
      <c r="I1335" t="s">
        <v>32706</v>
      </c>
      <c r="J1335" t="s">
        <v>33818</v>
      </c>
      <c r="K1335" t="s">
        <v>42297</v>
      </c>
      <c r="M1335" t="s">
        <v>43024</v>
      </c>
      <c r="N1335" t="s">
        <v>46569</v>
      </c>
      <c r="O1335" t="s">
        <v>46570</v>
      </c>
      <c r="P1335">
        <v>0</v>
      </c>
      <c r="Q1335">
        <v>0</v>
      </c>
      <c r="R1335" t="s">
        <v>46571</v>
      </c>
      <c r="S1335" t="s">
        <v>46687</v>
      </c>
      <c r="T1335" t="s">
        <v>48230</v>
      </c>
      <c r="U1335" t="s">
        <v>49582</v>
      </c>
      <c r="W1335" t="s">
        <v>43024</v>
      </c>
      <c r="X1335" t="s">
        <v>46572</v>
      </c>
    </row>
    <row r="1336" spans="1:24">
      <c r="A1336">
        <f>HYPERLINK("https://www.philgeps.gov.ph/GEPSNONPILOT/Tender/SplashBidNoticeAbstractUI.aspx?menuIndex=3&amp;refID=7065917&amp;Result=3","7065917")</f>
        <v>0</v>
      </c>
      <c r="B1336" t="s">
        <v>614</v>
      </c>
      <c r="C1336" t="s">
        <v>4830</v>
      </c>
      <c r="E1336" t="s">
        <v>19583</v>
      </c>
      <c r="F1336" t="s">
        <v>32664</v>
      </c>
      <c r="G1336" t="s">
        <v>32672</v>
      </c>
      <c r="H1336" t="s">
        <v>12635</v>
      </c>
      <c r="I1336" t="s">
        <v>4439</v>
      </c>
      <c r="J1336" t="s">
        <v>33819</v>
      </c>
      <c r="K1336" t="s">
        <v>42289</v>
      </c>
      <c r="M1336" t="s">
        <v>43194</v>
      </c>
      <c r="N1336" t="s">
        <v>46569</v>
      </c>
      <c r="O1336" t="s">
        <v>46570</v>
      </c>
      <c r="P1336">
        <v>0</v>
      </c>
      <c r="Q1336">
        <v>0</v>
      </c>
      <c r="R1336" t="s">
        <v>46571</v>
      </c>
      <c r="S1336" t="s">
        <v>46687</v>
      </c>
      <c r="T1336" t="s">
        <v>48380</v>
      </c>
      <c r="U1336" t="s">
        <v>49926</v>
      </c>
      <c r="W1336" t="s">
        <v>63486</v>
      </c>
      <c r="X1336" t="s">
        <v>46572</v>
      </c>
    </row>
    <row r="1337" spans="1:24">
      <c r="A1337">
        <f>HYPERLINK("https://www.philgeps.gov.ph/GEPSNONPILOT/Tender/SplashBidNoticeAbstractUI.aspx?menuIndex=3&amp;refID=7065916&amp;Result=3","7065916")</f>
        <v>0</v>
      </c>
      <c r="B1337" t="s">
        <v>586</v>
      </c>
      <c r="C1337" t="s">
        <v>4831</v>
      </c>
      <c r="D1337" t="s">
        <v>18794</v>
      </c>
      <c r="E1337" t="s">
        <v>4831</v>
      </c>
      <c r="F1337" t="s">
        <v>32664</v>
      </c>
      <c r="G1337" t="s">
        <v>32672</v>
      </c>
      <c r="H1337" t="s">
        <v>12635</v>
      </c>
      <c r="I1337" t="s">
        <v>9486</v>
      </c>
      <c r="J1337" t="s">
        <v>33147</v>
      </c>
      <c r="K1337" t="s">
        <v>42283</v>
      </c>
      <c r="M1337" t="s">
        <v>43166</v>
      </c>
      <c r="N1337" t="s">
        <v>46569</v>
      </c>
      <c r="O1337" t="s">
        <v>46570</v>
      </c>
      <c r="P1337">
        <v>0</v>
      </c>
      <c r="Q1337">
        <v>0</v>
      </c>
      <c r="R1337" t="s">
        <v>46571</v>
      </c>
      <c r="S1337" t="s">
        <v>46687</v>
      </c>
      <c r="T1337" t="s">
        <v>48374</v>
      </c>
      <c r="U1337" t="s">
        <v>49938</v>
      </c>
      <c r="W1337" t="s">
        <v>43166</v>
      </c>
      <c r="X1337" t="s">
        <v>46572</v>
      </c>
    </row>
    <row r="1338" spans="1:24">
      <c r="A1338">
        <f>HYPERLINK("https://www.philgeps.gov.ph/GEPSNONPILOT/Tender/SplashBidNoticeAbstractUI.aspx?menuIndex=3&amp;refID=7065914&amp;Result=3","7065914")</f>
        <v>0</v>
      </c>
      <c r="B1338" t="s">
        <v>618</v>
      </c>
      <c r="C1338" t="s">
        <v>4832</v>
      </c>
      <c r="D1338" t="s">
        <v>18861</v>
      </c>
      <c r="E1338" t="s">
        <v>20130</v>
      </c>
      <c r="F1338" t="s">
        <v>32664</v>
      </c>
      <c r="G1338" t="s">
        <v>32675</v>
      </c>
      <c r="H1338" t="s">
        <v>12635</v>
      </c>
      <c r="I1338" t="s">
        <v>14442</v>
      </c>
      <c r="J1338" t="s">
        <v>32976</v>
      </c>
      <c r="K1338" t="s">
        <v>42281</v>
      </c>
      <c r="M1338" t="s">
        <v>43198</v>
      </c>
      <c r="N1338" t="s">
        <v>46569</v>
      </c>
      <c r="O1338" t="s">
        <v>46570</v>
      </c>
      <c r="P1338">
        <v>0</v>
      </c>
      <c r="Q1338">
        <v>4</v>
      </c>
      <c r="R1338" t="s">
        <v>46571</v>
      </c>
      <c r="S1338" t="s">
        <v>46687</v>
      </c>
      <c r="T1338" t="s">
        <v>48230</v>
      </c>
      <c r="U1338" t="s">
        <v>49939</v>
      </c>
      <c r="W1338" t="s">
        <v>43198</v>
      </c>
      <c r="X1338" t="s">
        <v>46572</v>
      </c>
    </row>
    <row r="1339" spans="1:24">
      <c r="A1339">
        <f>HYPERLINK("https://www.philgeps.gov.ph/GEPSNONPILOT/Tender/SplashBidNoticeAbstractUI.aspx?menuIndex=3&amp;refID=7065921&amp;Result=3","7065921")</f>
        <v>0</v>
      </c>
      <c r="B1339" t="s">
        <v>528</v>
      </c>
      <c r="C1339" t="s">
        <v>4833</v>
      </c>
      <c r="D1339" t="s">
        <v>18855</v>
      </c>
      <c r="E1339" t="s">
        <v>20131</v>
      </c>
      <c r="F1339" t="s">
        <v>32664</v>
      </c>
      <c r="G1339" t="s">
        <v>32671</v>
      </c>
      <c r="H1339" t="s">
        <v>12635</v>
      </c>
      <c r="I1339" t="s">
        <v>32717</v>
      </c>
      <c r="J1339" t="s">
        <v>33820</v>
      </c>
      <c r="K1339" t="s">
        <v>42281</v>
      </c>
      <c r="M1339" t="s">
        <v>43106</v>
      </c>
      <c r="N1339" t="s">
        <v>46569</v>
      </c>
      <c r="O1339" t="s">
        <v>46570</v>
      </c>
      <c r="P1339">
        <v>0</v>
      </c>
      <c r="Q1339">
        <v>2</v>
      </c>
      <c r="R1339" t="s">
        <v>46571</v>
      </c>
      <c r="S1339" t="s">
        <v>46687</v>
      </c>
      <c r="T1339" t="s">
        <v>48299</v>
      </c>
      <c r="U1339" t="s">
        <v>49875</v>
      </c>
      <c r="W1339" t="s">
        <v>43106</v>
      </c>
      <c r="X1339" t="s">
        <v>46572</v>
      </c>
    </row>
    <row r="1340" spans="1:24">
      <c r="A1340">
        <f>HYPERLINK("https://www.philgeps.gov.ph/GEPSNONPILOT/Tender/SplashBidNoticeAbstractUI.aspx?menuIndex=3&amp;refID=7065909&amp;Result=3","7065909")</f>
        <v>0</v>
      </c>
      <c r="B1340" t="s">
        <v>601</v>
      </c>
      <c r="C1340" t="s">
        <v>4834</v>
      </c>
      <c r="D1340" t="s">
        <v>18848</v>
      </c>
      <c r="E1340" t="s">
        <v>20132</v>
      </c>
      <c r="F1340" t="s">
        <v>32664</v>
      </c>
      <c r="G1340" t="s">
        <v>32675</v>
      </c>
      <c r="H1340" t="s">
        <v>12635</v>
      </c>
      <c r="I1340" t="s">
        <v>6168</v>
      </c>
      <c r="J1340" t="s">
        <v>33821</v>
      </c>
      <c r="K1340" t="s">
        <v>42283</v>
      </c>
      <c r="M1340" t="s">
        <v>43181</v>
      </c>
      <c r="N1340" t="s">
        <v>46569</v>
      </c>
      <c r="O1340" t="s">
        <v>46570</v>
      </c>
      <c r="P1340">
        <v>0</v>
      </c>
      <c r="Q1340">
        <v>2</v>
      </c>
      <c r="R1340" t="s">
        <v>46571</v>
      </c>
      <c r="S1340" t="s">
        <v>46687</v>
      </c>
      <c r="T1340" t="s">
        <v>48278</v>
      </c>
      <c r="U1340" t="s">
        <v>49940</v>
      </c>
      <c r="W1340" t="s">
        <v>43181</v>
      </c>
      <c r="X1340" t="s">
        <v>46572</v>
      </c>
    </row>
    <row r="1341" spans="1:24">
      <c r="A1341">
        <f>HYPERLINK("https://www.philgeps.gov.ph/GEPSNONPILOT/Tender/SplashBidNoticeAbstractUI.aspx?menuIndex=3&amp;refID=7065908&amp;Result=3","7065908")</f>
        <v>0</v>
      </c>
      <c r="B1341" t="s">
        <v>592</v>
      </c>
      <c r="C1341" t="s">
        <v>4835</v>
      </c>
      <c r="D1341" t="s">
        <v>18784</v>
      </c>
      <c r="E1341" t="s">
        <v>20133</v>
      </c>
      <c r="F1341" t="s">
        <v>32664</v>
      </c>
      <c r="G1341" t="s">
        <v>32675</v>
      </c>
      <c r="H1341" t="s">
        <v>12635</v>
      </c>
      <c r="I1341" t="s">
        <v>6223</v>
      </c>
      <c r="J1341" t="s">
        <v>33265</v>
      </c>
      <c r="K1341" t="s">
        <v>42289</v>
      </c>
      <c r="M1341" t="s">
        <v>43172</v>
      </c>
      <c r="N1341" t="s">
        <v>46569</v>
      </c>
      <c r="O1341" t="s">
        <v>46570</v>
      </c>
      <c r="P1341">
        <v>0</v>
      </c>
      <c r="Q1341">
        <v>1</v>
      </c>
      <c r="R1341" t="s">
        <v>46571</v>
      </c>
      <c r="S1341" t="s">
        <v>46687</v>
      </c>
      <c r="T1341" t="s">
        <v>48223</v>
      </c>
      <c r="U1341" t="s">
        <v>49886</v>
      </c>
      <c r="V1341" t="s">
        <v>61776</v>
      </c>
      <c r="W1341" t="s">
        <v>43172</v>
      </c>
      <c r="X1341" t="s">
        <v>46572</v>
      </c>
    </row>
    <row r="1342" spans="1:24">
      <c r="A1342">
        <f>HYPERLINK("https://www.philgeps.gov.ph/GEPSNONPILOT/Tender/SplashBidNoticeAbstractUI.aspx?menuIndex=3&amp;refID=7065915&amp;Result=3","7065915")</f>
        <v>0</v>
      </c>
      <c r="B1342" t="s">
        <v>418</v>
      </c>
      <c r="C1342" t="s">
        <v>4836</v>
      </c>
      <c r="D1342" t="s">
        <v>18784</v>
      </c>
      <c r="E1342" t="s">
        <v>20134</v>
      </c>
      <c r="F1342" t="s">
        <v>32664</v>
      </c>
      <c r="G1342" t="s">
        <v>32672</v>
      </c>
      <c r="H1342" t="s">
        <v>12635</v>
      </c>
      <c r="I1342" t="s">
        <v>6223</v>
      </c>
      <c r="J1342" t="s">
        <v>33822</v>
      </c>
      <c r="K1342" t="s">
        <v>42289</v>
      </c>
      <c r="M1342" t="s">
        <v>43105</v>
      </c>
      <c r="N1342" t="s">
        <v>46569</v>
      </c>
      <c r="O1342" t="s">
        <v>46570</v>
      </c>
      <c r="P1342">
        <v>0</v>
      </c>
      <c r="Q1342">
        <v>0</v>
      </c>
      <c r="R1342" t="s">
        <v>46571</v>
      </c>
      <c r="S1342" t="s">
        <v>46687</v>
      </c>
      <c r="T1342" t="s">
        <v>48226</v>
      </c>
      <c r="U1342" t="s">
        <v>49872</v>
      </c>
      <c r="W1342" t="s">
        <v>43105</v>
      </c>
      <c r="X1342" t="s">
        <v>46572</v>
      </c>
    </row>
    <row r="1343" spans="1:24">
      <c r="A1343">
        <f>HYPERLINK("https://www.philgeps.gov.ph/GEPSNONPILOT/Tender/SplashBidNoticeAbstractUI.aspx?menuIndex=3&amp;refID=7065907&amp;Result=3","7065907")</f>
        <v>0</v>
      </c>
      <c r="B1343" t="s">
        <v>619</v>
      </c>
      <c r="C1343" t="s">
        <v>4590</v>
      </c>
      <c r="D1343" t="s">
        <v>18784</v>
      </c>
      <c r="E1343" t="s">
        <v>19193</v>
      </c>
      <c r="F1343" t="s">
        <v>32664</v>
      </c>
      <c r="G1343" t="s">
        <v>32672</v>
      </c>
      <c r="H1343" t="s">
        <v>12635</v>
      </c>
      <c r="I1343" t="s">
        <v>6168</v>
      </c>
      <c r="J1343" t="s">
        <v>32853</v>
      </c>
      <c r="K1343" t="s">
        <v>42295</v>
      </c>
      <c r="M1343" t="s">
        <v>43199</v>
      </c>
      <c r="N1343" t="s">
        <v>46569</v>
      </c>
      <c r="O1343" t="s">
        <v>46570</v>
      </c>
      <c r="P1343">
        <v>0</v>
      </c>
      <c r="Q1343">
        <v>1</v>
      </c>
      <c r="R1343" t="s">
        <v>46571</v>
      </c>
      <c r="S1343" t="s">
        <v>46687</v>
      </c>
      <c r="T1343" t="s">
        <v>48306</v>
      </c>
      <c r="U1343" t="s">
        <v>49404</v>
      </c>
      <c r="W1343" t="s">
        <v>43199</v>
      </c>
      <c r="X1343" t="s">
        <v>46572</v>
      </c>
    </row>
    <row r="1344" spans="1:24">
      <c r="A1344">
        <f>HYPERLINK("https://www.philgeps.gov.ph/GEPSNONPILOT/Tender/SplashBidNoticeAbstractUI.aspx?menuIndex=3&amp;refID=7065903&amp;Result=3","7065903")</f>
        <v>0</v>
      </c>
      <c r="B1344" t="s">
        <v>620</v>
      </c>
      <c r="C1344" t="s">
        <v>4837</v>
      </c>
      <c r="D1344" t="s">
        <v>18784</v>
      </c>
      <c r="E1344" t="s">
        <v>20135</v>
      </c>
      <c r="F1344" t="s">
        <v>32664</v>
      </c>
      <c r="G1344" t="s">
        <v>32671</v>
      </c>
      <c r="H1344" t="s">
        <v>12635</v>
      </c>
      <c r="I1344" t="s">
        <v>32719</v>
      </c>
      <c r="J1344" t="s">
        <v>33410</v>
      </c>
      <c r="K1344" t="s">
        <v>42281</v>
      </c>
      <c r="M1344" t="s">
        <v>43200</v>
      </c>
      <c r="N1344" t="s">
        <v>46569</v>
      </c>
      <c r="O1344" t="s">
        <v>46570</v>
      </c>
      <c r="P1344">
        <v>0</v>
      </c>
      <c r="Q1344">
        <v>1</v>
      </c>
      <c r="R1344" t="s">
        <v>46571</v>
      </c>
      <c r="S1344" t="s">
        <v>46687</v>
      </c>
      <c r="T1344" t="s">
        <v>48256</v>
      </c>
      <c r="U1344" t="s">
        <v>49941</v>
      </c>
      <c r="V1344" t="s">
        <v>61777</v>
      </c>
      <c r="W1344" t="s">
        <v>43200</v>
      </c>
      <c r="X1344" t="s">
        <v>46572</v>
      </c>
    </row>
    <row r="1345" spans="1:24">
      <c r="A1345">
        <f>HYPERLINK("https://www.philgeps.gov.ph/GEPSNONPILOT/Tender/SplashBidNoticeAbstractUI.aspx?menuIndex=3&amp;refID=7065913&amp;Result=3","7065913")</f>
        <v>0</v>
      </c>
      <c r="B1345" t="s">
        <v>502</v>
      </c>
      <c r="C1345" t="s">
        <v>4838</v>
      </c>
      <c r="D1345" t="s">
        <v>18782</v>
      </c>
      <c r="E1345" t="s">
        <v>20136</v>
      </c>
      <c r="F1345" t="s">
        <v>32664</v>
      </c>
      <c r="G1345" t="s">
        <v>32671</v>
      </c>
      <c r="H1345" t="s">
        <v>12635</v>
      </c>
      <c r="I1345" t="s">
        <v>4439</v>
      </c>
      <c r="J1345" t="s">
        <v>33823</v>
      </c>
      <c r="K1345" t="s">
        <v>42289</v>
      </c>
      <c r="M1345" t="s">
        <v>43078</v>
      </c>
      <c r="N1345" t="s">
        <v>46569</v>
      </c>
      <c r="O1345" t="s">
        <v>46570</v>
      </c>
      <c r="P1345">
        <v>0</v>
      </c>
      <c r="Q1345">
        <v>0</v>
      </c>
      <c r="R1345" t="s">
        <v>46571</v>
      </c>
      <c r="S1345" t="s">
        <v>46687</v>
      </c>
      <c r="T1345" t="s">
        <v>48283</v>
      </c>
      <c r="U1345" t="s">
        <v>49672</v>
      </c>
      <c r="W1345" t="s">
        <v>43078</v>
      </c>
      <c r="X1345" t="s">
        <v>46572</v>
      </c>
    </row>
    <row r="1346" spans="1:24">
      <c r="A1346">
        <f>HYPERLINK("https://www.philgeps.gov.ph/GEPSNONPILOT/Tender/SplashBidNoticeAbstractUI.aspx?menuIndex=3&amp;refID=7065882&amp;Result=3","7065882")</f>
        <v>0</v>
      </c>
      <c r="B1346" t="s">
        <v>555</v>
      </c>
      <c r="C1346" t="s">
        <v>4839</v>
      </c>
      <c r="D1346" t="s">
        <v>18841</v>
      </c>
      <c r="E1346" t="s">
        <v>20137</v>
      </c>
      <c r="F1346" t="s">
        <v>32664</v>
      </c>
      <c r="G1346" t="s">
        <v>32671</v>
      </c>
      <c r="H1346" t="s">
        <v>12635</v>
      </c>
      <c r="I1346" t="s">
        <v>9486</v>
      </c>
      <c r="J1346" t="s">
        <v>33295</v>
      </c>
      <c r="K1346" t="s">
        <v>42289</v>
      </c>
      <c r="M1346" t="s">
        <v>43135</v>
      </c>
      <c r="N1346" t="s">
        <v>46569</v>
      </c>
      <c r="O1346" t="s">
        <v>46570</v>
      </c>
      <c r="P1346">
        <v>0</v>
      </c>
      <c r="Q1346">
        <v>0</v>
      </c>
      <c r="R1346" t="s">
        <v>46571</v>
      </c>
      <c r="S1346" t="s">
        <v>46687</v>
      </c>
      <c r="T1346" t="s">
        <v>48382</v>
      </c>
      <c r="U1346" t="s">
        <v>49942</v>
      </c>
      <c r="W1346" t="s">
        <v>43135</v>
      </c>
      <c r="X1346" t="s">
        <v>46572</v>
      </c>
    </row>
    <row r="1347" spans="1:24">
      <c r="A1347">
        <f>HYPERLINK("https://www.philgeps.gov.ph/GEPSNONPILOT/Tender/SplashBidNoticeAbstractUI.aspx?menuIndex=3&amp;refID=7065880&amp;Result=3","7065880")</f>
        <v>0</v>
      </c>
      <c r="B1347" t="s">
        <v>621</v>
      </c>
      <c r="C1347" t="s">
        <v>4840</v>
      </c>
      <c r="D1347" t="s">
        <v>18810</v>
      </c>
      <c r="E1347" t="s">
        <v>20138</v>
      </c>
      <c r="F1347" t="s">
        <v>32664</v>
      </c>
      <c r="G1347" t="s">
        <v>32674</v>
      </c>
      <c r="H1347" t="s">
        <v>12635</v>
      </c>
      <c r="I1347" t="s">
        <v>10361</v>
      </c>
      <c r="J1347" t="s">
        <v>33824</v>
      </c>
      <c r="K1347" t="s">
        <v>42284</v>
      </c>
      <c r="M1347" t="s">
        <v>43201</v>
      </c>
      <c r="N1347" t="s">
        <v>46569</v>
      </c>
      <c r="O1347" t="s">
        <v>46570</v>
      </c>
      <c r="P1347">
        <v>0</v>
      </c>
      <c r="Q1347">
        <v>0</v>
      </c>
      <c r="R1347" t="s">
        <v>46571</v>
      </c>
      <c r="S1347" t="s">
        <v>46687</v>
      </c>
      <c r="T1347" t="s">
        <v>48287</v>
      </c>
      <c r="U1347" t="s">
        <v>49943</v>
      </c>
      <c r="W1347" t="s">
        <v>43201</v>
      </c>
      <c r="X1347" t="s">
        <v>46572</v>
      </c>
    </row>
    <row r="1348" spans="1:24">
      <c r="A1348">
        <f>HYPERLINK("https://www.philgeps.gov.ph/GEPSNONPILOT/Tender/SplashBidNoticeAbstractUI.aspx?menuIndex=3&amp;refID=7065878&amp;Result=3","7065878")</f>
        <v>0</v>
      </c>
      <c r="B1348" t="s">
        <v>601</v>
      </c>
      <c r="C1348" t="s">
        <v>4841</v>
      </c>
      <c r="D1348" t="s">
        <v>18848</v>
      </c>
      <c r="E1348" t="s">
        <v>20139</v>
      </c>
      <c r="F1348" t="s">
        <v>32664</v>
      </c>
      <c r="G1348" t="s">
        <v>32671</v>
      </c>
      <c r="H1348" t="s">
        <v>12635</v>
      </c>
      <c r="I1348" t="s">
        <v>6628</v>
      </c>
      <c r="J1348" t="s">
        <v>33825</v>
      </c>
      <c r="K1348" t="s">
        <v>42283</v>
      </c>
      <c r="M1348" t="s">
        <v>43181</v>
      </c>
      <c r="N1348" t="s">
        <v>46569</v>
      </c>
      <c r="O1348" t="s">
        <v>46570</v>
      </c>
      <c r="P1348">
        <v>0</v>
      </c>
      <c r="Q1348">
        <v>0</v>
      </c>
      <c r="R1348" t="s">
        <v>46571</v>
      </c>
      <c r="S1348" t="s">
        <v>46687</v>
      </c>
      <c r="T1348" t="s">
        <v>48258</v>
      </c>
      <c r="U1348" t="s">
        <v>49944</v>
      </c>
      <c r="W1348" t="s">
        <v>43181</v>
      </c>
      <c r="X1348" t="s">
        <v>46572</v>
      </c>
    </row>
    <row r="1349" spans="1:24">
      <c r="A1349">
        <f>HYPERLINK("https://www.philgeps.gov.ph/GEPSNONPILOT/Tender/SplashBidNoticeAbstractUI.aspx?menuIndex=3&amp;refID=7065884&amp;Result=3","7065884")</f>
        <v>0</v>
      </c>
      <c r="B1349" t="s">
        <v>622</v>
      </c>
      <c r="C1349" t="s">
        <v>4842</v>
      </c>
      <c r="D1349" t="s">
        <v>18804</v>
      </c>
      <c r="E1349" t="s">
        <v>20140</v>
      </c>
      <c r="F1349" t="s">
        <v>32667</v>
      </c>
      <c r="G1349" t="s">
        <v>32674</v>
      </c>
      <c r="H1349" t="s">
        <v>12635</v>
      </c>
      <c r="I1349" t="s">
        <v>10590</v>
      </c>
      <c r="J1349" t="s">
        <v>33826</v>
      </c>
      <c r="K1349" t="s">
        <v>42297</v>
      </c>
      <c r="M1349" t="s">
        <v>43202</v>
      </c>
      <c r="N1349" t="s">
        <v>46569</v>
      </c>
      <c r="O1349" t="s">
        <v>46570</v>
      </c>
      <c r="P1349">
        <v>0</v>
      </c>
      <c r="Q1349">
        <v>0</v>
      </c>
      <c r="R1349" t="s">
        <v>46571</v>
      </c>
      <c r="S1349" t="s">
        <v>46687</v>
      </c>
      <c r="T1349" t="s">
        <v>48226</v>
      </c>
      <c r="U1349" t="s">
        <v>49945</v>
      </c>
      <c r="W1349" t="s">
        <v>43202</v>
      </c>
      <c r="X1349" t="s">
        <v>46572</v>
      </c>
    </row>
    <row r="1350" spans="1:24">
      <c r="A1350">
        <f>HYPERLINK("https://www.philgeps.gov.ph/GEPSNONPILOT/Tender/SplashBidNoticeAbstractUI.aspx?menuIndex=3&amp;refID=7065881&amp;Result=3","7065881")</f>
        <v>0</v>
      </c>
      <c r="B1350" t="s">
        <v>413</v>
      </c>
      <c r="C1350" t="s">
        <v>4843</v>
      </c>
      <c r="D1350" t="s">
        <v>18799</v>
      </c>
      <c r="E1350" t="s">
        <v>20141</v>
      </c>
      <c r="F1350" t="s">
        <v>32664</v>
      </c>
      <c r="G1350" t="s">
        <v>32671</v>
      </c>
      <c r="H1350" t="s">
        <v>12635</v>
      </c>
      <c r="I1350" t="s">
        <v>4439</v>
      </c>
      <c r="J1350" t="s">
        <v>33827</v>
      </c>
      <c r="K1350" t="s">
        <v>42289</v>
      </c>
      <c r="M1350" t="s">
        <v>42984</v>
      </c>
      <c r="N1350" t="s">
        <v>46569</v>
      </c>
      <c r="O1350" t="s">
        <v>46570</v>
      </c>
      <c r="P1350">
        <v>0</v>
      </c>
      <c r="Q1350">
        <v>0</v>
      </c>
      <c r="R1350" t="s">
        <v>46571</v>
      </c>
      <c r="S1350" t="s">
        <v>46687</v>
      </c>
      <c r="T1350" t="s">
        <v>48343</v>
      </c>
      <c r="U1350" t="s">
        <v>49715</v>
      </c>
      <c r="W1350" t="s">
        <v>42984</v>
      </c>
      <c r="X1350" t="s">
        <v>46572</v>
      </c>
    </row>
    <row r="1351" spans="1:24">
      <c r="A1351">
        <f>HYPERLINK("https://www.philgeps.gov.ph/GEPSNONPILOT/Tender/SplashBidNoticeAbstractUI.aspx?menuIndex=3&amp;refID=7065879&amp;Result=3","7065879")</f>
        <v>0</v>
      </c>
      <c r="B1351" t="s">
        <v>623</v>
      </c>
      <c r="C1351" t="s">
        <v>4844</v>
      </c>
      <c r="D1351" t="s">
        <v>18798</v>
      </c>
      <c r="E1351" t="s">
        <v>20142</v>
      </c>
      <c r="F1351" t="s">
        <v>32664</v>
      </c>
      <c r="G1351" t="s">
        <v>32671</v>
      </c>
      <c r="H1351" t="s">
        <v>32683</v>
      </c>
      <c r="I1351" t="s">
        <v>6553</v>
      </c>
      <c r="J1351" t="s">
        <v>32898</v>
      </c>
      <c r="K1351" t="s">
        <v>42289</v>
      </c>
      <c r="M1351" t="s">
        <v>43203</v>
      </c>
      <c r="N1351" t="s">
        <v>46569</v>
      </c>
      <c r="O1351" t="s">
        <v>46570</v>
      </c>
      <c r="P1351">
        <v>0</v>
      </c>
      <c r="Q1351">
        <v>1</v>
      </c>
      <c r="R1351" t="s">
        <v>46571</v>
      </c>
      <c r="S1351" t="s">
        <v>46687</v>
      </c>
      <c r="T1351" t="s">
        <v>48383</v>
      </c>
      <c r="U1351" t="s">
        <v>49946</v>
      </c>
      <c r="W1351" t="s">
        <v>43203</v>
      </c>
      <c r="X1351" t="s">
        <v>46572</v>
      </c>
    </row>
    <row r="1352" spans="1:24">
      <c r="A1352">
        <f>HYPERLINK("https://www.philgeps.gov.ph/GEPSNONPILOT/Tender/SplashBidNoticeAbstractUI.aspx?menuIndex=3&amp;refID=7065856&amp;Result=3","7065856")</f>
        <v>0</v>
      </c>
      <c r="B1352" t="s">
        <v>624</v>
      </c>
      <c r="C1352" t="s">
        <v>4845</v>
      </c>
      <c r="D1352" t="s">
        <v>18831</v>
      </c>
      <c r="E1352" t="s">
        <v>18926</v>
      </c>
      <c r="F1352" t="s">
        <v>32664</v>
      </c>
      <c r="G1352" t="s">
        <v>32672</v>
      </c>
      <c r="H1352" t="s">
        <v>32682</v>
      </c>
      <c r="I1352" t="s">
        <v>10627</v>
      </c>
      <c r="J1352" t="s">
        <v>33828</v>
      </c>
      <c r="K1352" t="s">
        <v>42313</v>
      </c>
      <c r="L1352" t="s">
        <v>624</v>
      </c>
      <c r="M1352" t="s">
        <v>43204</v>
      </c>
      <c r="N1352" t="s">
        <v>46569</v>
      </c>
      <c r="O1352" t="s">
        <v>46570</v>
      </c>
      <c r="P1352">
        <v>0</v>
      </c>
      <c r="Q1352">
        <v>0</v>
      </c>
      <c r="R1352" t="s">
        <v>46571</v>
      </c>
      <c r="S1352" t="s">
        <v>46687</v>
      </c>
      <c r="T1352" t="s">
        <v>48237</v>
      </c>
      <c r="U1352" t="s">
        <v>49947</v>
      </c>
      <c r="W1352" t="s">
        <v>43204</v>
      </c>
      <c r="X1352" t="s">
        <v>46572</v>
      </c>
    </row>
    <row r="1353" spans="1:24">
      <c r="A1353">
        <f>HYPERLINK("https://www.philgeps.gov.ph/GEPSNONPILOT/Tender/SplashBidNoticeAbstractUI.aspx?menuIndex=3&amp;refID=7065853&amp;Result=3","7065853")</f>
        <v>0</v>
      </c>
      <c r="B1353" t="s">
        <v>594</v>
      </c>
      <c r="C1353" t="s">
        <v>4846</v>
      </c>
      <c r="D1353" t="s">
        <v>18784</v>
      </c>
      <c r="E1353" t="s">
        <v>20143</v>
      </c>
      <c r="F1353" t="s">
        <v>32664</v>
      </c>
      <c r="G1353" t="s">
        <v>32674</v>
      </c>
      <c r="H1353" t="s">
        <v>12635</v>
      </c>
      <c r="I1353" t="s">
        <v>8797</v>
      </c>
      <c r="J1353" t="s">
        <v>33829</v>
      </c>
      <c r="K1353" t="s">
        <v>42297</v>
      </c>
      <c r="M1353" t="s">
        <v>43174</v>
      </c>
      <c r="N1353" t="s">
        <v>46569</v>
      </c>
      <c r="O1353" t="s">
        <v>46570</v>
      </c>
      <c r="P1353">
        <v>0</v>
      </c>
      <c r="Q1353">
        <v>1</v>
      </c>
      <c r="R1353" t="s">
        <v>46571</v>
      </c>
      <c r="S1353" t="s">
        <v>46687</v>
      </c>
      <c r="T1353" t="s">
        <v>48256</v>
      </c>
      <c r="U1353" t="s">
        <v>49948</v>
      </c>
      <c r="W1353" t="s">
        <v>43174</v>
      </c>
      <c r="X1353" t="s">
        <v>46572</v>
      </c>
    </row>
    <row r="1354" spans="1:24">
      <c r="A1354">
        <f>HYPERLINK("https://www.philgeps.gov.ph/GEPSNONPILOT/Tender/SplashBidNoticeAbstractUI.aspx?menuIndex=3&amp;refID=7065852&amp;Result=3","7065852")</f>
        <v>0</v>
      </c>
      <c r="B1354" t="s">
        <v>625</v>
      </c>
      <c r="C1354" t="s">
        <v>4847</v>
      </c>
      <c r="D1354" t="s">
        <v>18826</v>
      </c>
      <c r="E1354" t="s">
        <v>20144</v>
      </c>
      <c r="F1354" t="s">
        <v>32664</v>
      </c>
      <c r="G1354" t="s">
        <v>32674</v>
      </c>
      <c r="H1354" t="s">
        <v>12635</v>
      </c>
      <c r="I1354" t="s">
        <v>8797</v>
      </c>
      <c r="J1354" t="s">
        <v>33830</v>
      </c>
      <c r="K1354" t="s">
        <v>42309</v>
      </c>
      <c r="M1354" t="s">
        <v>43205</v>
      </c>
      <c r="N1354" t="s">
        <v>46569</v>
      </c>
      <c r="O1354" t="s">
        <v>46570</v>
      </c>
      <c r="P1354">
        <v>0</v>
      </c>
      <c r="Q1354">
        <v>3</v>
      </c>
      <c r="R1354" t="s">
        <v>46571</v>
      </c>
      <c r="S1354" t="s">
        <v>46687</v>
      </c>
      <c r="T1354" t="s">
        <v>48312</v>
      </c>
      <c r="U1354" t="s">
        <v>49949</v>
      </c>
      <c r="W1354" t="s">
        <v>43205</v>
      </c>
      <c r="X1354" t="s">
        <v>46572</v>
      </c>
    </row>
    <row r="1355" spans="1:24">
      <c r="A1355">
        <f>HYPERLINK("https://www.philgeps.gov.ph/GEPSNONPILOT/Tender/SplashBidNoticeAbstractUI.aspx?menuIndex=3&amp;refID=7065851&amp;Result=3","7065851")</f>
        <v>0</v>
      </c>
      <c r="B1355" t="s">
        <v>626</v>
      </c>
      <c r="C1355" t="s">
        <v>4848</v>
      </c>
      <c r="D1355" t="s">
        <v>18831</v>
      </c>
      <c r="E1355" t="s">
        <v>20145</v>
      </c>
      <c r="F1355" t="s">
        <v>32664</v>
      </c>
      <c r="G1355" t="s">
        <v>32671</v>
      </c>
      <c r="H1355" t="s">
        <v>12635</v>
      </c>
      <c r="I1355" t="s">
        <v>32731</v>
      </c>
      <c r="J1355" t="s">
        <v>32859</v>
      </c>
      <c r="K1355" t="s">
        <v>42355</v>
      </c>
      <c r="M1355" t="s">
        <v>43206</v>
      </c>
      <c r="N1355" t="s">
        <v>46569</v>
      </c>
      <c r="O1355" t="s">
        <v>46570</v>
      </c>
      <c r="P1355">
        <v>0</v>
      </c>
      <c r="Q1355">
        <v>0</v>
      </c>
      <c r="R1355" t="s">
        <v>46571</v>
      </c>
      <c r="S1355" t="s">
        <v>46687</v>
      </c>
      <c r="T1355" t="s">
        <v>48256</v>
      </c>
      <c r="U1355" t="s">
        <v>49273</v>
      </c>
      <c r="W1355" t="s">
        <v>43206</v>
      </c>
      <c r="X1355" t="s">
        <v>46572</v>
      </c>
    </row>
    <row r="1356" spans="1:24">
      <c r="A1356">
        <f>HYPERLINK("https://www.philgeps.gov.ph/GEPSNONPILOT/Tender/SplashBidNoticeAbstractUI.aspx?menuIndex=3&amp;refID=7065863&amp;Result=3","7065863")</f>
        <v>0</v>
      </c>
      <c r="B1356" t="s">
        <v>394</v>
      </c>
      <c r="C1356" t="s">
        <v>4849</v>
      </c>
      <c r="D1356" t="s">
        <v>18826</v>
      </c>
      <c r="E1356" t="s">
        <v>20146</v>
      </c>
      <c r="F1356" t="s">
        <v>32664</v>
      </c>
      <c r="G1356" t="s">
        <v>32671</v>
      </c>
      <c r="H1356" t="s">
        <v>12635</v>
      </c>
      <c r="I1356" t="s">
        <v>32684</v>
      </c>
      <c r="J1356" t="s">
        <v>33831</v>
      </c>
      <c r="K1356" t="s">
        <v>42289</v>
      </c>
      <c r="M1356" t="s">
        <v>42964</v>
      </c>
      <c r="N1356" t="s">
        <v>46569</v>
      </c>
      <c r="O1356" t="s">
        <v>46570</v>
      </c>
      <c r="P1356">
        <v>0</v>
      </c>
      <c r="Q1356">
        <v>1</v>
      </c>
      <c r="R1356" t="s">
        <v>46571</v>
      </c>
      <c r="S1356" t="s">
        <v>46687</v>
      </c>
      <c r="T1356" t="s">
        <v>48291</v>
      </c>
      <c r="U1356" t="s">
        <v>49950</v>
      </c>
      <c r="W1356" t="s">
        <v>42964</v>
      </c>
      <c r="X1356" t="s">
        <v>46572</v>
      </c>
    </row>
    <row r="1357" spans="1:24">
      <c r="A1357">
        <f>HYPERLINK("https://www.philgeps.gov.ph/GEPSNONPILOT/Tender/SplashBidNoticeAbstractUI.aspx?menuIndex=3&amp;refID=7065934&amp;Result=3","7065934")</f>
        <v>0</v>
      </c>
      <c r="B1357" t="s">
        <v>586</v>
      </c>
      <c r="C1357" t="s">
        <v>4850</v>
      </c>
      <c r="D1357" t="s">
        <v>18794</v>
      </c>
      <c r="E1357" t="s">
        <v>20147</v>
      </c>
      <c r="F1357" t="s">
        <v>32664</v>
      </c>
      <c r="G1357" t="s">
        <v>32672</v>
      </c>
      <c r="H1357" t="s">
        <v>12635</v>
      </c>
      <c r="I1357" t="s">
        <v>9486</v>
      </c>
      <c r="J1357" t="s">
        <v>33832</v>
      </c>
      <c r="K1357" t="s">
        <v>42281</v>
      </c>
      <c r="M1357" t="s">
        <v>43166</v>
      </c>
      <c r="N1357" t="s">
        <v>46569</v>
      </c>
      <c r="O1357" t="s">
        <v>46570</v>
      </c>
      <c r="P1357">
        <v>0</v>
      </c>
      <c r="Q1357">
        <v>1</v>
      </c>
      <c r="R1357" t="s">
        <v>46571</v>
      </c>
      <c r="S1357" t="s">
        <v>46687</v>
      </c>
      <c r="T1357" t="s">
        <v>48377</v>
      </c>
      <c r="U1357" t="s">
        <v>49951</v>
      </c>
      <c r="W1357" t="s">
        <v>43166</v>
      </c>
      <c r="X1357" t="s">
        <v>46572</v>
      </c>
    </row>
    <row r="1358" spans="1:24">
      <c r="A1358">
        <f>HYPERLINK("https://www.philgeps.gov.ph/GEPSNONPILOT/Tender/SplashBidNoticeAbstractUI.aspx?menuIndex=3&amp;refID=7065931&amp;Result=3","7065931")</f>
        <v>0</v>
      </c>
      <c r="B1358" t="s">
        <v>627</v>
      </c>
      <c r="C1358" t="s">
        <v>4851</v>
      </c>
      <c r="D1358" t="s">
        <v>18814</v>
      </c>
      <c r="E1358" t="s">
        <v>20148</v>
      </c>
      <c r="F1358" t="s">
        <v>32664</v>
      </c>
      <c r="G1358" t="s">
        <v>32672</v>
      </c>
      <c r="H1358" t="s">
        <v>32683</v>
      </c>
      <c r="I1358" t="s">
        <v>10627</v>
      </c>
      <c r="J1358" t="s">
        <v>32962</v>
      </c>
      <c r="K1358" t="s">
        <v>42303</v>
      </c>
      <c r="M1358" t="s">
        <v>43207</v>
      </c>
      <c r="N1358" t="s">
        <v>46569</v>
      </c>
      <c r="O1358" t="s">
        <v>46570</v>
      </c>
      <c r="P1358">
        <v>0</v>
      </c>
      <c r="Q1358">
        <v>0</v>
      </c>
      <c r="R1358" t="s">
        <v>46571</v>
      </c>
      <c r="S1358" t="s">
        <v>46687</v>
      </c>
      <c r="T1358" t="s">
        <v>48248</v>
      </c>
      <c r="U1358" t="s">
        <v>49952</v>
      </c>
      <c r="V1358" t="s">
        <v>61778</v>
      </c>
      <c r="W1358" t="s">
        <v>43207</v>
      </c>
      <c r="X1358" t="s">
        <v>46572</v>
      </c>
    </row>
    <row r="1359" spans="1:24">
      <c r="A1359">
        <f>HYPERLINK("https://www.philgeps.gov.ph/GEPSNONPILOT/Tender/SplashBidNoticeAbstractUI.aspx?menuIndex=3&amp;refID=7065858&amp;Result=3","7065858")</f>
        <v>0</v>
      </c>
      <c r="B1359" t="s">
        <v>165</v>
      </c>
      <c r="C1359" t="s">
        <v>4852</v>
      </c>
      <c r="D1359" t="s">
        <v>18784</v>
      </c>
      <c r="E1359" t="s">
        <v>20149</v>
      </c>
      <c r="F1359" t="s">
        <v>32664</v>
      </c>
      <c r="G1359" t="s">
        <v>32671</v>
      </c>
      <c r="H1359" t="s">
        <v>12635</v>
      </c>
      <c r="I1359" t="s">
        <v>6223</v>
      </c>
      <c r="J1359" t="s">
        <v>33833</v>
      </c>
      <c r="K1359" t="s">
        <v>42283</v>
      </c>
      <c r="M1359" t="s">
        <v>43208</v>
      </c>
      <c r="N1359" t="s">
        <v>46569</v>
      </c>
      <c r="O1359" t="s">
        <v>46570</v>
      </c>
      <c r="P1359">
        <v>0</v>
      </c>
      <c r="Q1359">
        <v>0</v>
      </c>
      <c r="R1359" t="s">
        <v>46571</v>
      </c>
      <c r="S1359" t="s">
        <v>46687</v>
      </c>
      <c r="T1359" t="s">
        <v>48245</v>
      </c>
      <c r="U1359" t="s">
        <v>49953</v>
      </c>
      <c r="W1359" t="s">
        <v>43208</v>
      </c>
      <c r="X1359" t="s">
        <v>46572</v>
      </c>
    </row>
    <row r="1360" spans="1:24">
      <c r="A1360">
        <f>HYPERLINK("https://www.philgeps.gov.ph/GEPSNONPILOT/Tender/SplashBidNoticeAbstractUI.aspx?menuIndex=3&amp;refID=7065953&amp;Result=3","7065953")</f>
        <v>0</v>
      </c>
      <c r="B1360" t="s">
        <v>614</v>
      </c>
      <c r="C1360" t="s">
        <v>4853</v>
      </c>
      <c r="E1360" t="s">
        <v>20150</v>
      </c>
      <c r="F1360" t="s">
        <v>32664</v>
      </c>
      <c r="G1360" t="s">
        <v>32672</v>
      </c>
      <c r="H1360" t="s">
        <v>12635</v>
      </c>
      <c r="I1360" t="s">
        <v>4439</v>
      </c>
      <c r="J1360" t="s">
        <v>33834</v>
      </c>
      <c r="K1360" t="s">
        <v>42289</v>
      </c>
      <c r="M1360" t="s">
        <v>43194</v>
      </c>
      <c r="N1360" t="s">
        <v>46569</v>
      </c>
      <c r="O1360" t="s">
        <v>46570</v>
      </c>
      <c r="P1360">
        <v>0</v>
      </c>
      <c r="Q1360">
        <v>0</v>
      </c>
      <c r="R1360" t="s">
        <v>46571</v>
      </c>
      <c r="S1360" t="s">
        <v>46687</v>
      </c>
      <c r="T1360" t="s">
        <v>48380</v>
      </c>
      <c r="U1360" t="s">
        <v>49926</v>
      </c>
      <c r="W1360" t="s">
        <v>63486</v>
      </c>
      <c r="X1360" t="s">
        <v>46572</v>
      </c>
    </row>
    <row r="1361" spans="1:24">
      <c r="A1361">
        <f>HYPERLINK("https://www.philgeps.gov.ph/GEPSNONPILOT/Tender/SplashBidNoticeAbstractUI.aspx?menuIndex=3&amp;refID=7065952&amp;Result=3","7065952")</f>
        <v>0</v>
      </c>
      <c r="B1361" t="s">
        <v>628</v>
      </c>
      <c r="C1361" t="s">
        <v>4854</v>
      </c>
      <c r="D1361" t="s">
        <v>18782</v>
      </c>
      <c r="E1361" t="s">
        <v>20151</v>
      </c>
      <c r="F1361" t="s">
        <v>32664</v>
      </c>
      <c r="G1361" t="s">
        <v>32671</v>
      </c>
      <c r="H1361" t="s">
        <v>12635</v>
      </c>
      <c r="I1361" t="s">
        <v>32706</v>
      </c>
      <c r="J1361" t="s">
        <v>33218</v>
      </c>
      <c r="K1361" t="s">
        <v>42284</v>
      </c>
      <c r="M1361" t="s">
        <v>43209</v>
      </c>
      <c r="N1361" t="s">
        <v>46569</v>
      </c>
      <c r="O1361" t="s">
        <v>46570</v>
      </c>
      <c r="P1361">
        <v>0</v>
      </c>
      <c r="Q1361">
        <v>0</v>
      </c>
      <c r="R1361" t="s">
        <v>46571</v>
      </c>
      <c r="S1361" t="s">
        <v>46687</v>
      </c>
      <c r="T1361" t="s">
        <v>48256</v>
      </c>
      <c r="U1361" t="s">
        <v>49954</v>
      </c>
      <c r="W1361" t="s">
        <v>43209</v>
      </c>
      <c r="X1361" t="s">
        <v>46572</v>
      </c>
    </row>
    <row r="1362" spans="1:24">
      <c r="A1362">
        <f>HYPERLINK("https://www.philgeps.gov.ph/GEPSNONPILOT/Tender/SplashBidNoticeAbstractUI.aspx?menuIndex=3&amp;refID=7065933&amp;Result=3","7065933")</f>
        <v>0</v>
      </c>
      <c r="B1362" t="s">
        <v>418</v>
      </c>
      <c r="C1362" t="s">
        <v>4855</v>
      </c>
      <c r="D1362" t="s">
        <v>18784</v>
      </c>
      <c r="E1362" t="s">
        <v>20152</v>
      </c>
      <c r="F1362" t="s">
        <v>32664</v>
      </c>
      <c r="G1362" t="s">
        <v>32672</v>
      </c>
      <c r="H1362" t="s">
        <v>12635</v>
      </c>
      <c r="I1362" t="s">
        <v>6223</v>
      </c>
      <c r="J1362" t="s">
        <v>33835</v>
      </c>
      <c r="K1362" t="s">
        <v>42289</v>
      </c>
      <c r="M1362" t="s">
        <v>43105</v>
      </c>
      <c r="N1362" t="s">
        <v>46569</v>
      </c>
      <c r="O1362" t="s">
        <v>46570</v>
      </c>
      <c r="P1362">
        <v>0</v>
      </c>
      <c r="Q1362">
        <v>0</v>
      </c>
      <c r="R1362" t="s">
        <v>46571</v>
      </c>
      <c r="S1362" t="s">
        <v>46687</v>
      </c>
      <c r="T1362" t="s">
        <v>48226</v>
      </c>
      <c r="U1362" t="s">
        <v>49872</v>
      </c>
      <c r="W1362" t="s">
        <v>43105</v>
      </c>
      <c r="X1362" t="s">
        <v>46572</v>
      </c>
    </row>
    <row r="1363" spans="1:24">
      <c r="A1363">
        <f>HYPERLINK("https://www.philgeps.gov.ph/GEPSNONPILOT/Tender/SplashBidNoticeAbstractUI.aspx?menuIndex=3&amp;refID=7065948&amp;Result=3","7065948")</f>
        <v>0</v>
      </c>
      <c r="B1363" t="s">
        <v>76</v>
      </c>
      <c r="C1363" t="s">
        <v>4856</v>
      </c>
      <c r="D1363" t="s">
        <v>18781</v>
      </c>
      <c r="E1363" t="s">
        <v>20153</v>
      </c>
      <c r="F1363" t="s">
        <v>32664</v>
      </c>
      <c r="G1363" t="s">
        <v>32672</v>
      </c>
      <c r="H1363" t="s">
        <v>32683</v>
      </c>
      <c r="I1363" t="s">
        <v>10627</v>
      </c>
      <c r="J1363" t="s">
        <v>33836</v>
      </c>
      <c r="K1363" t="s">
        <v>42311</v>
      </c>
      <c r="M1363" t="s">
        <v>42639</v>
      </c>
      <c r="N1363" t="s">
        <v>46569</v>
      </c>
      <c r="O1363" t="s">
        <v>46570</v>
      </c>
      <c r="P1363">
        <v>0</v>
      </c>
      <c r="Q1363">
        <v>0</v>
      </c>
      <c r="R1363" t="s">
        <v>46571</v>
      </c>
      <c r="S1363" t="s">
        <v>46687</v>
      </c>
      <c r="T1363" t="s">
        <v>48269</v>
      </c>
      <c r="U1363" t="s">
        <v>49955</v>
      </c>
      <c r="W1363" t="s">
        <v>42639</v>
      </c>
      <c r="X1363" t="s">
        <v>46572</v>
      </c>
    </row>
    <row r="1364" spans="1:24">
      <c r="A1364">
        <f>HYPERLINK("https://www.philgeps.gov.ph/GEPSNONPILOT/Tender/SplashBidNoticeAbstractUI.aspx?menuIndex=3&amp;refID=7065946&amp;Result=3","7065946")</f>
        <v>0</v>
      </c>
      <c r="B1364" t="s">
        <v>418</v>
      </c>
      <c r="C1364" t="s">
        <v>4857</v>
      </c>
      <c r="D1364" t="s">
        <v>18784</v>
      </c>
      <c r="E1364" t="s">
        <v>20154</v>
      </c>
      <c r="F1364" t="s">
        <v>32664</v>
      </c>
      <c r="G1364" t="s">
        <v>32672</v>
      </c>
      <c r="H1364" t="s">
        <v>12635</v>
      </c>
      <c r="I1364" t="s">
        <v>6223</v>
      </c>
      <c r="J1364" t="s">
        <v>33837</v>
      </c>
      <c r="K1364" t="s">
        <v>42289</v>
      </c>
      <c r="M1364" t="s">
        <v>43105</v>
      </c>
      <c r="N1364" t="s">
        <v>46569</v>
      </c>
      <c r="O1364" t="s">
        <v>46570</v>
      </c>
      <c r="P1364">
        <v>0</v>
      </c>
      <c r="Q1364">
        <v>0</v>
      </c>
      <c r="R1364" t="s">
        <v>46571</v>
      </c>
      <c r="S1364" t="s">
        <v>46687</v>
      </c>
      <c r="T1364" t="s">
        <v>48226</v>
      </c>
      <c r="U1364" t="s">
        <v>49872</v>
      </c>
      <c r="W1364" t="s">
        <v>43105</v>
      </c>
      <c r="X1364" t="s">
        <v>46572</v>
      </c>
    </row>
    <row r="1365" spans="1:24">
      <c r="A1365">
        <f>HYPERLINK("https://www.philgeps.gov.ph/GEPSNONPILOT/Tender/SplashBidNoticeAbstractUI.aspx?menuIndex=3&amp;refID=7065944&amp;Result=3","7065944")</f>
        <v>0</v>
      </c>
      <c r="B1365" t="s">
        <v>455</v>
      </c>
      <c r="C1365" t="s">
        <v>4858</v>
      </c>
      <c r="D1365" t="s">
        <v>18834</v>
      </c>
      <c r="E1365" t="s">
        <v>20155</v>
      </c>
      <c r="F1365" t="s">
        <v>32664</v>
      </c>
      <c r="G1365" t="s">
        <v>32672</v>
      </c>
      <c r="H1365" t="s">
        <v>12635</v>
      </c>
      <c r="I1365" t="s">
        <v>9486</v>
      </c>
      <c r="J1365" t="s">
        <v>33838</v>
      </c>
      <c r="K1365" t="s">
        <v>42311</v>
      </c>
      <c r="M1365" t="s">
        <v>43210</v>
      </c>
      <c r="N1365" t="s">
        <v>46569</v>
      </c>
      <c r="O1365" t="s">
        <v>46570</v>
      </c>
      <c r="P1365">
        <v>0</v>
      </c>
      <c r="Q1365">
        <v>2</v>
      </c>
      <c r="R1365" t="s">
        <v>46571</v>
      </c>
      <c r="S1365" t="s">
        <v>46687</v>
      </c>
      <c r="T1365" t="s">
        <v>48270</v>
      </c>
      <c r="U1365" t="s">
        <v>49956</v>
      </c>
      <c r="W1365" t="s">
        <v>43210</v>
      </c>
      <c r="X1365" t="s">
        <v>46572</v>
      </c>
    </row>
    <row r="1366" spans="1:24">
      <c r="A1366">
        <f>HYPERLINK("https://www.philgeps.gov.ph/GEPSNONPILOT/Tender/SplashBidNoticeAbstractUI.aspx?menuIndex=3&amp;refID=7065943&amp;Result=3","7065943")</f>
        <v>0</v>
      </c>
      <c r="B1366" t="s">
        <v>629</v>
      </c>
      <c r="C1366" t="s">
        <v>4859</v>
      </c>
      <c r="D1366" t="s">
        <v>18782</v>
      </c>
      <c r="E1366" t="s">
        <v>20156</v>
      </c>
      <c r="F1366" t="s">
        <v>32664</v>
      </c>
      <c r="G1366" t="s">
        <v>32674</v>
      </c>
      <c r="H1366" t="s">
        <v>12635</v>
      </c>
      <c r="I1366" t="s">
        <v>32746</v>
      </c>
      <c r="J1366" t="s">
        <v>33839</v>
      </c>
      <c r="K1366" t="s">
        <v>42283</v>
      </c>
      <c r="M1366" t="s">
        <v>43211</v>
      </c>
      <c r="N1366" t="s">
        <v>46569</v>
      </c>
      <c r="O1366" t="s">
        <v>46570</v>
      </c>
      <c r="P1366">
        <v>0</v>
      </c>
      <c r="Q1366">
        <v>0</v>
      </c>
      <c r="R1366" t="s">
        <v>46571</v>
      </c>
      <c r="S1366" t="s">
        <v>46687</v>
      </c>
      <c r="T1366" t="s">
        <v>48246</v>
      </c>
      <c r="U1366" t="s">
        <v>49957</v>
      </c>
      <c r="W1366" t="s">
        <v>43211</v>
      </c>
      <c r="X1366" t="s">
        <v>46572</v>
      </c>
    </row>
    <row r="1367" spans="1:24">
      <c r="A1367">
        <f>HYPERLINK("https://www.philgeps.gov.ph/GEPSNONPILOT/Tender/SplashBidNoticeAbstractUI.aspx?menuIndex=3&amp;refID=7065942&amp;Result=3","7065942")</f>
        <v>0</v>
      </c>
      <c r="B1367" t="s">
        <v>267</v>
      </c>
      <c r="C1367" t="s">
        <v>4860</v>
      </c>
      <c r="E1367" t="s">
        <v>20157</v>
      </c>
      <c r="F1367" t="s">
        <v>32664</v>
      </c>
      <c r="G1367" t="s">
        <v>32671</v>
      </c>
      <c r="H1367" t="s">
        <v>12635</v>
      </c>
      <c r="I1367" t="s">
        <v>7429</v>
      </c>
      <c r="J1367" t="s">
        <v>33840</v>
      </c>
      <c r="K1367" t="s">
        <v>42283</v>
      </c>
      <c r="M1367" t="s">
        <v>42832</v>
      </c>
      <c r="N1367" t="s">
        <v>46569</v>
      </c>
      <c r="O1367" t="s">
        <v>46570</v>
      </c>
      <c r="P1367">
        <v>0</v>
      </c>
      <c r="Q1367">
        <v>0</v>
      </c>
      <c r="R1367" t="s">
        <v>46571</v>
      </c>
      <c r="S1367" t="s">
        <v>46687</v>
      </c>
      <c r="T1367" t="s">
        <v>48219</v>
      </c>
      <c r="U1367" t="s">
        <v>49958</v>
      </c>
      <c r="W1367" t="s">
        <v>42832</v>
      </c>
      <c r="X1367" t="s">
        <v>46572</v>
      </c>
    </row>
    <row r="1368" spans="1:24">
      <c r="A1368">
        <f>HYPERLINK("https://www.philgeps.gov.ph/GEPSNONPILOT/Tender/SplashBidNoticeAbstractUI.aspx?menuIndex=3&amp;refID=7065941&amp;Result=3","7065941")</f>
        <v>0</v>
      </c>
      <c r="B1368" t="s">
        <v>620</v>
      </c>
      <c r="C1368" t="s">
        <v>4861</v>
      </c>
      <c r="D1368" t="s">
        <v>18784</v>
      </c>
      <c r="E1368" t="s">
        <v>20158</v>
      </c>
      <c r="F1368" t="s">
        <v>32664</v>
      </c>
      <c r="G1368" t="s">
        <v>32671</v>
      </c>
      <c r="H1368" t="s">
        <v>12635</v>
      </c>
      <c r="I1368" t="s">
        <v>32719</v>
      </c>
      <c r="J1368" t="s">
        <v>33107</v>
      </c>
      <c r="K1368" t="s">
        <v>42281</v>
      </c>
      <c r="M1368" t="s">
        <v>43200</v>
      </c>
      <c r="N1368" t="s">
        <v>46569</v>
      </c>
      <c r="O1368" t="s">
        <v>46570</v>
      </c>
      <c r="P1368">
        <v>0</v>
      </c>
      <c r="Q1368">
        <v>1</v>
      </c>
      <c r="R1368" t="s">
        <v>46571</v>
      </c>
      <c r="S1368" t="s">
        <v>46687</v>
      </c>
      <c r="T1368" t="s">
        <v>48256</v>
      </c>
      <c r="U1368" t="s">
        <v>49959</v>
      </c>
      <c r="V1368" t="s">
        <v>61779</v>
      </c>
      <c r="W1368" t="s">
        <v>43200</v>
      </c>
      <c r="X1368" t="s">
        <v>46572</v>
      </c>
    </row>
    <row r="1369" spans="1:24">
      <c r="A1369">
        <f>HYPERLINK("https://www.philgeps.gov.ph/GEPSNONPILOT/Tender/SplashBidNoticeAbstractUI.aspx?menuIndex=3&amp;refID=7065940&amp;Result=3","7065940")</f>
        <v>0</v>
      </c>
      <c r="B1369" t="s">
        <v>568</v>
      </c>
      <c r="C1369" t="s">
        <v>4862</v>
      </c>
      <c r="D1369" t="s">
        <v>18822</v>
      </c>
      <c r="E1369" t="s">
        <v>20159</v>
      </c>
      <c r="F1369" t="s">
        <v>32664</v>
      </c>
      <c r="G1369" t="s">
        <v>32672</v>
      </c>
      <c r="H1369" t="s">
        <v>12635</v>
      </c>
      <c r="I1369" t="s">
        <v>32685</v>
      </c>
      <c r="J1369" t="s">
        <v>33802</v>
      </c>
      <c r="K1369" t="s">
        <v>42297</v>
      </c>
      <c r="M1369" t="s">
        <v>43148</v>
      </c>
      <c r="N1369" t="s">
        <v>46569</v>
      </c>
      <c r="O1369" t="s">
        <v>46570</v>
      </c>
      <c r="P1369">
        <v>0</v>
      </c>
      <c r="Q1369">
        <v>1</v>
      </c>
      <c r="R1369" t="s">
        <v>46571</v>
      </c>
      <c r="S1369" t="s">
        <v>46687</v>
      </c>
      <c r="T1369" t="s">
        <v>48275</v>
      </c>
      <c r="U1369" t="s">
        <v>49819</v>
      </c>
      <c r="V1369" t="s">
        <v>61761</v>
      </c>
      <c r="W1369" t="s">
        <v>63484</v>
      </c>
      <c r="X1369" t="s">
        <v>46572</v>
      </c>
    </row>
    <row r="1370" spans="1:24">
      <c r="A1370">
        <f>HYPERLINK("https://www.philgeps.gov.ph/GEPSNONPILOT/Tender/SplashBidNoticeAbstractUI.aspx?menuIndex=3&amp;refID=7065945&amp;Result=3","7065945")</f>
        <v>0</v>
      </c>
      <c r="B1370" t="s">
        <v>570</v>
      </c>
      <c r="C1370" t="s">
        <v>4863</v>
      </c>
      <c r="E1370" t="s">
        <v>20160</v>
      </c>
      <c r="F1370" t="s">
        <v>32664</v>
      </c>
      <c r="G1370" t="s">
        <v>32671</v>
      </c>
      <c r="H1370" t="s">
        <v>12635</v>
      </c>
      <c r="I1370" t="s">
        <v>32717</v>
      </c>
      <c r="J1370" t="s">
        <v>33841</v>
      </c>
      <c r="K1370" t="s">
        <v>42283</v>
      </c>
      <c r="M1370" t="s">
        <v>43150</v>
      </c>
      <c r="N1370" t="s">
        <v>46569</v>
      </c>
      <c r="O1370" t="s">
        <v>46570</v>
      </c>
      <c r="P1370">
        <v>0</v>
      </c>
      <c r="Q1370">
        <v>1</v>
      </c>
      <c r="R1370" t="s">
        <v>46571</v>
      </c>
      <c r="S1370" t="s">
        <v>46687</v>
      </c>
      <c r="T1370" t="s">
        <v>48282</v>
      </c>
      <c r="U1370" t="s">
        <v>49960</v>
      </c>
      <c r="W1370" t="s">
        <v>43150</v>
      </c>
      <c r="X1370" t="s">
        <v>46572</v>
      </c>
    </row>
    <row r="1371" spans="1:24">
      <c r="A1371">
        <f>HYPERLINK("https://www.philgeps.gov.ph/GEPSNONPILOT/Tender/SplashBidNoticeAbstractUI.aspx?menuIndex=3&amp;refID=7065951&amp;Result=3","7065951")</f>
        <v>0</v>
      </c>
      <c r="B1371" t="s">
        <v>630</v>
      </c>
      <c r="C1371" t="s">
        <v>4864</v>
      </c>
      <c r="D1371" t="s">
        <v>18799</v>
      </c>
      <c r="E1371" t="s">
        <v>20161</v>
      </c>
      <c r="F1371" t="s">
        <v>32664</v>
      </c>
      <c r="G1371" t="s">
        <v>32671</v>
      </c>
      <c r="H1371" t="s">
        <v>12635</v>
      </c>
      <c r="I1371" t="s">
        <v>9946</v>
      </c>
      <c r="J1371" t="s">
        <v>33842</v>
      </c>
      <c r="K1371" t="s">
        <v>42334</v>
      </c>
      <c r="M1371" t="s">
        <v>43212</v>
      </c>
      <c r="N1371" t="s">
        <v>46569</v>
      </c>
      <c r="O1371" t="s">
        <v>46570</v>
      </c>
      <c r="P1371">
        <v>0</v>
      </c>
      <c r="Q1371">
        <v>0</v>
      </c>
      <c r="R1371" t="s">
        <v>46571</v>
      </c>
      <c r="S1371" t="s">
        <v>46687</v>
      </c>
      <c r="T1371" t="s">
        <v>48256</v>
      </c>
      <c r="U1371" t="s">
        <v>49961</v>
      </c>
      <c r="W1371" t="s">
        <v>43212</v>
      </c>
      <c r="X1371" t="s">
        <v>46572</v>
      </c>
    </row>
    <row r="1372" spans="1:24">
      <c r="A1372">
        <f>HYPERLINK("https://www.philgeps.gov.ph/GEPSNONPILOT/Tender/SplashBidNoticeAbstractUI.aspx?menuIndex=3&amp;refID=7065979&amp;Result=3","7065979")</f>
        <v>0</v>
      </c>
      <c r="B1372" t="s">
        <v>571</v>
      </c>
      <c r="C1372" t="s">
        <v>4865</v>
      </c>
      <c r="D1372" t="s">
        <v>18787</v>
      </c>
      <c r="E1372" t="s">
        <v>20162</v>
      </c>
      <c r="F1372" t="s">
        <v>32664</v>
      </c>
      <c r="G1372" t="s">
        <v>32671</v>
      </c>
      <c r="H1372" t="s">
        <v>12635</v>
      </c>
      <c r="I1372" t="s">
        <v>32758</v>
      </c>
      <c r="J1372" t="s">
        <v>33051</v>
      </c>
      <c r="K1372" t="s">
        <v>42281</v>
      </c>
      <c r="M1372" t="s">
        <v>43151</v>
      </c>
      <c r="N1372" t="s">
        <v>46569</v>
      </c>
      <c r="O1372" t="s">
        <v>46570</v>
      </c>
      <c r="P1372">
        <v>0</v>
      </c>
      <c r="Q1372">
        <v>0</v>
      </c>
      <c r="R1372" t="s">
        <v>46571</v>
      </c>
      <c r="S1372" t="s">
        <v>46687</v>
      </c>
      <c r="T1372" t="s">
        <v>48305</v>
      </c>
      <c r="U1372" t="s">
        <v>49962</v>
      </c>
      <c r="W1372" t="s">
        <v>43151</v>
      </c>
      <c r="X1372" t="s">
        <v>46572</v>
      </c>
    </row>
    <row r="1373" spans="1:24">
      <c r="A1373">
        <f>HYPERLINK("https://www.philgeps.gov.ph/GEPSNONPILOT/Tender/SplashBidNoticeAbstractUI.aspx?menuIndex=3&amp;refID=7065930&amp;Result=3","7065930")</f>
        <v>0</v>
      </c>
      <c r="B1373" t="s">
        <v>631</v>
      </c>
      <c r="C1373" t="s">
        <v>4866</v>
      </c>
      <c r="D1373" t="s">
        <v>18812</v>
      </c>
      <c r="E1373" t="s">
        <v>20163</v>
      </c>
      <c r="F1373" t="s">
        <v>32664</v>
      </c>
      <c r="G1373" t="s">
        <v>32674</v>
      </c>
      <c r="H1373" t="s">
        <v>12635</v>
      </c>
      <c r="I1373" t="s">
        <v>32724</v>
      </c>
      <c r="J1373" t="s">
        <v>33141</v>
      </c>
      <c r="K1373" t="s">
        <v>42281</v>
      </c>
      <c r="L1373" t="s">
        <v>631</v>
      </c>
      <c r="M1373" t="s">
        <v>43213</v>
      </c>
      <c r="N1373" t="s">
        <v>46569</v>
      </c>
      <c r="O1373" t="s">
        <v>46570</v>
      </c>
      <c r="P1373">
        <v>0</v>
      </c>
      <c r="Q1373">
        <v>0</v>
      </c>
      <c r="R1373" t="s">
        <v>46571</v>
      </c>
      <c r="S1373" t="s">
        <v>46687</v>
      </c>
      <c r="T1373" t="s">
        <v>48286</v>
      </c>
      <c r="U1373" t="s">
        <v>49963</v>
      </c>
      <c r="V1373" t="s">
        <v>61780</v>
      </c>
      <c r="W1373" t="s">
        <v>43213</v>
      </c>
      <c r="X1373" t="s">
        <v>46572</v>
      </c>
    </row>
    <row r="1374" spans="1:24">
      <c r="A1374">
        <f>HYPERLINK("https://www.philgeps.gov.ph/GEPSNONPILOT/Tender/SplashBidNoticeAbstractUI.aspx?menuIndex=3&amp;refID=7065977&amp;Result=3","7065977")</f>
        <v>0</v>
      </c>
      <c r="B1374" t="s">
        <v>394</v>
      </c>
      <c r="C1374" t="s">
        <v>4867</v>
      </c>
      <c r="D1374" t="s">
        <v>18826</v>
      </c>
      <c r="E1374" t="s">
        <v>20164</v>
      </c>
      <c r="F1374" t="s">
        <v>32664</v>
      </c>
      <c r="G1374" t="s">
        <v>32674</v>
      </c>
      <c r="H1374" t="s">
        <v>12635</v>
      </c>
      <c r="I1374" t="s">
        <v>32704</v>
      </c>
      <c r="J1374" t="s">
        <v>33790</v>
      </c>
      <c r="K1374" t="s">
        <v>42289</v>
      </c>
      <c r="M1374" t="s">
        <v>42964</v>
      </c>
      <c r="N1374" t="s">
        <v>46569</v>
      </c>
      <c r="O1374" t="s">
        <v>46570</v>
      </c>
      <c r="P1374">
        <v>0</v>
      </c>
      <c r="Q1374">
        <v>3</v>
      </c>
      <c r="R1374" t="s">
        <v>46571</v>
      </c>
      <c r="S1374" t="s">
        <v>46687</v>
      </c>
      <c r="T1374" t="s">
        <v>48291</v>
      </c>
      <c r="U1374" t="s">
        <v>49964</v>
      </c>
      <c r="W1374" t="s">
        <v>42964</v>
      </c>
      <c r="X1374" t="s">
        <v>46572</v>
      </c>
    </row>
    <row r="1375" spans="1:24">
      <c r="A1375">
        <f>HYPERLINK("https://www.philgeps.gov.ph/GEPSNONPILOT/Tender/SplashBidNoticeAbstractUI.aspx?menuIndex=3&amp;refID=7065976&amp;Result=3","7065976")</f>
        <v>0</v>
      </c>
      <c r="B1375" t="s">
        <v>632</v>
      </c>
      <c r="C1375" t="s">
        <v>4868</v>
      </c>
      <c r="D1375" t="s">
        <v>18821</v>
      </c>
      <c r="E1375" t="s">
        <v>20165</v>
      </c>
      <c r="F1375" t="s">
        <v>32664</v>
      </c>
      <c r="G1375" t="s">
        <v>32674</v>
      </c>
      <c r="H1375" t="s">
        <v>12635</v>
      </c>
      <c r="I1375" t="s">
        <v>32706</v>
      </c>
      <c r="J1375" t="s">
        <v>33843</v>
      </c>
      <c r="K1375" t="s">
        <v>42297</v>
      </c>
      <c r="M1375" t="s">
        <v>43214</v>
      </c>
      <c r="N1375" t="s">
        <v>46569</v>
      </c>
      <c r="O1375" t="s">
        <v>46570</v>
      </c>
      <c r="P1375">
        <v>0</v>
      </c>
      <c r="Q1375">
        <v>0</v>
      </c>
      <c r="R1375" t="s">
        <v>46571</v>
      </c>
      <c r="S1375" t="s">
        <v>46687</v>
      </c>
      <c r="T1375" t="s">
        <v>48343</v>
      </c>
      <c r="U1375" t="s">
        <v>49965</v>
      </c>
      <c r="W1375" t="s">
        <v>43214</v>
      </c>
      <c r="X1375" t="s">
        <v>46572</v>
      </c>
    </row>
    <row r="1376" spans="1:24">
      <c r="A1376">
        <f>HYPERLINK("https://www.philgeps.gov.ph/GEPSNONPILOT/Tender/SplashBidNoticeAbstractUI.aspx?menuIndex=3&amp;refID=7065861&amp;Result=3","7065861")</f>
        <v>0</v>
      </c>
      <c r="B1376" t="s">
        <v>313</v>
      </c>
      <c r="C1376" t="s">
        <v>4869</v>
      </c>
      <c r="D1376" t="s">
        <v>18784</v>
      </c>
      <c r="E1376" t="s">
        <v>20166</v>
      </c>
      <c r="F1376" t="s">
        <v>32664</v>
      </c>
      <c r="G1376" t="s">
        <v>32671</v>
      </c>
      <c r="H1376" t="s">
        <v>12635</v>
      </c>
      <c r="I1376" t="s">
        <v>5589</v>
      </c>
      <c r="J1376" t="s">
        <v>33844</v>
      </c>
      <c r="K1376" t="s">
        <v>42309</v>
      </c>
      <c r="M1376" t="s">
        <v>42880</v>
      </c>
      <c r="N1376" t="s">
        <v>46569</v>
      </c>
      <c r="O1376" t="s">
        <v>46570</v>
      </c>
      <c r="P1376">
        <v>0</v>
      </c>
      <c r="Q1376">
        <v>4</v>
      </c>
      <c r="R1376" t="s">
        <v>46571</v>
      </c>
      <c r="S1376" t="s">
        <v>46687</v>
      </c>
      <c r="T1376" t="s">
        <v>48211</v>
      </c>
      <c r="U1376" t="s">
        <v>49443</v>
      </c>
      <c r="W1376" t="s">
        <v>42880</v>
      </c>
      <c r="X1376" t="s">
        <v>46572</v>
      </c>
    </row>
    <row r="1377" spans="1:24">
      <c r="A1377">
        <f>HYPERLINK("https://www.philgeps.gov.ph/GEPSNONPILOT/Tender/SplashBidNoticeAbstractUI.aspx?menuIndex=3&amp;refID=7065980&amp;Result=3","7065980")</f>
        <v>0</v>
      </c>
      <c r="B1377" t="s">
        <v>352</v>
      </c>
      <c r="C1377" t="s">
        <v>4870</v>
      </c>
      <c r="E1377" t="s">
        <v>20167</v>
      </c>
      <c r="F1377" t="s">
        <v>32664</v>
      </c>
      <c r="G1377" t="s">
        <v>32671</v>
      </c>
      <c r="H1377" t="s">
        <v>12635</v>
      </c>
      <c r="I1377" t="s">
        <v>32699</v>
      </c>
      <c r="J1377" t="s">
        <v>33845</v>
      </c>
      <c r="K1377" t="s">
        <v>42283</v>
      </c>
      <c r="M1377" t="s">
        <v>43215</v>
      </c>
      <c r="N1377" t="s">
        <v>46569</v>
      </c>
      <c r="O1377" t="s">
        <v>46570</v>
      </c>
      <c r="P1377">
        <v>0</v>
      </c>
      <c r="Q1377">
        <v>2</v>
      </c>
      <c r="R1377" t="s">
        <v>46571</v>
      </c>
      <c r="S1377" t="s">
        <v>46687</v>
      </c>
      <c r="T1377" t="s">
        <v>48280</v>
      </c>
      <c r="U1377" t="s">
        <v>49966</v>
      </c>
      <c r="V1377" t="s">
        <v>61781</v>
      </c>
      <c r="W1377" t="s">
        <v>43215</v>
      </c>
      <c r="X1377" t="s">
        <v>46572</v>
      </c>
    </row>
    <row r="1378" spans="1:24">
      <c r="A1378">
        <f>HYPERLINK("https://www.philgeps.gov.ph/GEPSNONPILOT/Tender/SplashBidNoticeAbstractUI.aspx?menuIndex=3&amp;refID=7065978&amp;Result=3","7065978")</f>
        <v>0</v>
      </c>
      <c r="B1378" t="s">
        <v>633</v>
      </c>
      <c r="C1378" t="s">
        <v>4871</v>
      </c>
      <c r="D1378" t="s">
        <v>18814</v>
      </c>
      <c r="E1378" t="s">
        <v>20168</v>
      </c>
      <c r="F1378" t="s">
        <v>32664</v>
      </c>
      <c r="G1378" t="s">
        <v>32674</v>
      </c>
      <c r="H1378" t="s">
        <v>12635</v>
      </c>
      <c r="I1378" t="s">
        <v>13883</v>
      </c>
      <c r="J1378" t="s">
        <v>33846</v>
      </c>
      <c r="K1378" t="s">
        <v>42306</v>
      </c>
      <c r="M1378" t="s">
        <v>43216</v>
      </c>
      <c r="N1378" t="s">
        <v>46569</v>
      </c>
      <c r="O1378" t="s">
        <v>46570</v>
      </c>
      <c r="P1378">
        <v>0</v>
      </c>
      <c r="Q1378">
        <v>0</v>
      </c>
      <c r="R1378" t="s">
        <v>46571</v>
      </c>
      <c r="S1378" t="s">
        <v>46687</v>
      </c>
      <c r="T1378" t="s">
        <v>48221</v>
      </c>
      <c r="U1378" t="s">
        <v>49967</v>
      </c>
      <c r="W1378" t="s">
        <v>43216</v>
      </c>
      <c r="X1378" t="s">
        <v>46572</v>
      </c>
    </row>
    <row r="1379" spans="1:24">
      <c r="A1379">
        <f>HYPERLINK("https://www.philgeps.gov.ph/GEPSNONPILOT/Tender/SplashBidNoticeAbstractUI.aspx?menuIndex=3&amp;refID=7065971&amp;Result=3","7065971")</f>
        <v>0</v>
      </c>
      <c r="B1379" t="s">
        <v>634</v>
      </c>
      <c r="C1379" t="s">
        <v>4872</v>
      </c>
      <c r="E1379" t="s">
        <v>20169</v>
      </c>
      <c r="F1379" t="s">
        <v>32664</v>
      </c>
      <c r="G1379" t="s">
        <v>32672</v>
      </c>
      <c r="H1379" t="s">
        <v>32683</v>
      </c>
      <c r="I1379" t="s">
        <v>10627</v>
      </c>
      <c r="J1379" t="s">
        <v>32943</v>
      </c>
      <c r="K1379" t="s">
        <v>42283</v>
      </c>
      <c r="M1379" t="s">
        <v>43217</v>
      </c>
      <c r="N1379" t="s">
        <v>46569</v>
      </c>
      <c r="O1379" t="s">
        <v>46570</v>
      </c>
      <c r="P1379">
        <v>0</v>
      </c>
      <c r="Q1379">
        <v>0</v>
      </c>
      <c r="R1379" t="s">
        <v>46571</v>
      </c>
      <c r="S1379" t="s">
        <v>46687</v>
      </c>
      <c r="T1379" t="s">
        <v>48220</v>
      </c>
      <c r="U1379" t="s">
        <v>49968</v>
      </c>
      <c r="W1379" t="s">
        <v>43217</v>
      </c>
      <c r="X1379" t="s">
        <v>46572</v>
      </c>
    </row>
    <row r="1380" spans="1:24">
      <c r="A1380">
        <f>HYPERLINK("https://www.philgeps.gov.ph/GEPSNONPILOT/Tender/SplashBidNoticeAbstractUI.aspx?menuIndex=3&amp;refID=7065969&amp;Result=3","7065969")</f>
        <v>0</v>
      </c>
      <c r="B1380" t="s">
        <v>635</v>
      </c>
      <c r="C1380" t="s">
        <v>4873</v>
      </c>
      <c r="D1380" t="s">
        <v>18841</v>
      </c>
      <c r="E1380" t="s">
        <v>20170</v>
      </c>
      <c r="F1380" t="s">
        <v>32664</v>
      </c>
      <c r="G1380" t="s">
        <v>32672</v>
      </c>
      <c r="H1380" t="s">
        <v>32683</v>
      </c>
      <c r="I1380" t="s">
        <v>10627</v>
      </c>
      <c r="J1380" t="s">
        <v>33847</v>
      </c>
      <c r="K1380" t="s">
        <v>42311</v>
      </c>
      <c r="M1380" t="s">
        <v>43218</v>
      </c>
      <c r="N1380" t="s">
        <v>46569</v>
      </c>
      <c r="O1380" t="s">
        <v>46570</v>
      </c>
      <c r="P1380">
        <v>0</v>
      </c>
      <c r="Q1380">
        <v>0</v>
      </c>
      <c r="R1380" t="s">
        <v>46571</v>
      </c>
      <c r="S1380" t="s">
        <v>46687</v>
      </c>
      <c r="T1380" t="s">
        <v>48266</v>
      </c>
      <c r="U1380" t="s">
        <v>49969</v>
      </c>
      <c r="V1380" t="s">
        <v>61782</v>
      </c>
      <c r="W1380" t="s">
        <v>43218</v>
      </c>
      <c r="X1380" t="s">
        <v>46572</v>
      </c>
    </row>
    <row r="1381" spans="1:24">
      <c r="A1381">
        <f>HYPERLINK("https://www.philgeps.gov.ph/GEPSNONPILOT/Tender/SplashBidNoticeAbstractUI.aspx?menuIndex=3&amp;refID=7065968&amp;Result=3","7065968")</f>
        <v>0</v>
      </c>
      <c r="B1381" t="s">
        <v>636</v>
      </c>
      <c r="C1381" t="s">
        <v>4874</v>
      </c>
      <c r="D1381" t="s">
        <v>18851</v>
      </c>
      <c r="E1381" t="s">
        <v>19673</v>
      </c>
      <c r="F1381" t="s">
        <v>32664</v>
      </c>
      <c r="G1381" t="s">
        <v>32675</v>
      </c>
      <c r="H1381" t="s">
        <v>12635</v>
      </c>
      <c r="I1381" t="s">
        <v>8730</v>
      </c>
      <c r="J1381" t="s">
        <v>33848</v>
      </c>
      <c r="K1381" t="s">
        <v>42283</v>
      </c>
      <c r="M1381" t="s">
        <v>43219</v>
      </c>
      <c r="N1381" t="s">
        <v>46569</v>
      </c>
      <c r="O1381" t="s">
        <v>46570</v>
      </c>
      <c r="P1381">
        <v>0</v>
      </c>
      <c r="Q1381">
        <v>0</v>
      </c>
      <c r="R1381" t="s">
        <v>46571</v>
      </c>
      <c r="S1381" t="s">
        <v>46687</v>
      </c>
      <c r="T1381" t="s">
        <v>48256</v>
      </c>
      <c r="U1381" t="s">
        <v>49970</v>
      </c>
      <c r="W1381" t="s">
        <v>43219</v>
      </c>
      <c r="X1381" t="s">
        <v>46572</v>
      </c>
    </row>
    <row r="1382" spans="1:24">
      <c r="A1382">
        <f>HYPERLINK("https://www.philgeps.gov.ph/GEPSNONPILOT/Tender/SplashBidNoticeAbstractUI.aspx?menuIndex=3&amp;refID=7066006&amp;Result=3","7066006")</f>
        <v>0</v>
      </c>
      <c r="B1382" t="s">
        <v>620</v>
      </c>
      <c r="C1382" t="s">
        <v>4875</v>
      </c>
      <c r="D1382" t="s">
        <v>18784</v>
      </c>
      <c r="E1382" t="s">
        <v>20171</v>
      </c>
      <c r="F1382" t="s">
        <v>32664</v>
      </c>
      <c r="G1382" t="s">
        <v>32671</v>
      </c>
      <c r="H1382" t="s">
        <v>12635</v>
      </c>
      <c r="I1382" t="s">
        <v>6628</v>
      </c>
      <c r="J1382" t="s">
        <v>33849</v>
      </c>
      <c r="K1382" t="s">
        <v>42281</v>
      </c>
      <c r="M1382" t="s">
        <v>43200</v>
      </c>
      <c r="N1382" t="s">
        <v>46569</v>
      </c>
      <c r="O1382" t="s">
        <v>46570</v>
      </c>
      <c r="P1382">
        <v>0</v>
      </c>
      <c r="Q1382">
        <v>0</v>
      </c>
      <c r="R1382" t="s">
        <v>46571</v>
      </c>
      <c r="S1382" t="s">
        <v>46687</v>
      </c>
      <c r="T1382" t="s">
        <v>48219</v>
      </c>
      <c r="U1382" t="s">
        <v>49971</v>
      </c>
      <c r="V1382" t="s">
        <v>61779</v>
      </c>
      <c r="W1382" t="s">
        <v>43200</v>
      </c>
      <c r="X1382" t="s">
        <v>46572</v>
      </c>
    </row>
    <row r="1383" spans="1:24">
      <c r="A1383">
        <f>HYPERLINK("https://www.philgeps.gov.ph/GEPSNONPILOT/Tender/SplashBidNoticeAbstractUI.aspx?menuIndex=3&amp;refID=7066003&amp;Result=3","7066003")</f>
        <v>0</v>
      </c>
      <c r="B1383" t="s">
        <v>328</v>
      </c>
      <c r="C1383" t="s">
        <v>4876</v>
      </c>
      <c r="D1383" t="s">
        <v>18813</v>
      </c>
      <c r="E1383" t="s">
        <v>18889</v>
      </c>
      <c r="F1383" t="s">
        <v>32664</v>
      </c>
      <c r="G1383" t="s">
        <v>32674</v>
      </c>
      <c r="H1383" t="s">
        <v>12635</v>
      </c>
      <c r="I1383" t="s">
        <v>32734</v>
      </c>
      <c r="J1383" t="s">
        <v>33850</v>
      </c>
      <c r="K1383" t="s">
        <v>42295</v>
      </c>
      <c r="M1383" t="s">
        <v>42896</v>
      </c>
      <c r="N1383" t="s">
        <v>46569</v>
      </c>
      <c r="O1383" t="s">
        <v>46570</v>
      </c>
      <c r="P1383">
        <v>0</v>
      </c>
      <c r="Q1383">
        <v>0</v>
      </c>
      <c r="R1383" t="s">
        <v>46571</v>
      </c>
      <c r="S1383" t="s">
        <v>46687</v>
      </c>
      <c r="T1383" t="s">
        <v>48219</v>
      </c>
      <c r="U1383" t="s">
        <v>49375</v>
      </c>
      <c r="W1383" t="s">
        <v>42896</v>
      </c>
      <c r="X1383" t="s">
        <v>46572</v>
      </c>
    </row>
    <row r="1384" spans="1:24">
      <c r="A1384">
        <f>HYPERLINK("https://www.philgeps.gov.ph/GEPSNONPILOT/Tender/SplashBidNoticeAbstractUI.aspx?menuIndex=3&amp;refID=7066005&amp;Result=3","7066005")</f>
        <v>0</v>
      </c>
      <c r="B1384" t="s">
        <v>490</v>
      </c>
      <c r="C1384" t="s">
        <v>4877</v>
      </c>
      <c r="D1384" t="s">
        <v>18805</v>
      </c>
      <c r="E1384" t="s">
        <v>20172</v>
      </c>
      <c r="F1384" t="s">
        <v>32664</v>
      </c>
      <c r="G1384" t="s">
        <v>32671</v>
      </c>
      <c r="H1384" t="s">
        <v>12635</v>
      </c>
      <c r="I1384" t="s">
        <v>32685</v>
      </c>
      <c r="J1384" t="s">
        <v>33851</v>
      </c>
      <c r="K1384" t="s">
        <v>42283</v>
      </c>
      <c r="M1384" t="s">
        <v>43066</v>
      </c>
      <c r="N1384" t="s">
        <v>46569</v>
      </c>
      <c r="O1384" t="s">
        <v>46570</v>
      </c>
      <c r="P1384">
        <v>0</v>
      </c>
      <c r="Q1384">
        <v>0</v>
      </c>
      <c r="R1384" t="s">
        <v>46571</v>
      </c>
      <c r="S1384" t="s">
        <v>46687</v>
      </c>
      <c r="T1384" t="s">
        <v>48279</v>
      </c>
      <c r="U1384" t="s">
        <v>49972</v>
      </c>
      <c r="V1384" t="s">
        <v>61737</v>
      </c>
      <c r="W1384" t="s">
        <v>43066</v>
      </c>
      <c r="X1384" t="s">
        <v>46572</v>
      </c>
    </row>
    <row r="1385" spans="1:24">
      <c r="A1385">
        <f>HYPERLINK("https://www.philgeps.gov.ph/GEPSNONPILOT/Tender/SplashBidNoticeAbstractUI.aspx?menuIndex=3&amp;refID=7066002&amp;Result=3","7066002")</f>
        <v>0</v>
      </c>
      <c r="B1385" t="s">
        <v>611</v>
      </c>
      <c r="C1385" t="s">
        <v>4878</v>
      </c>
      <c r="D1385" t="s">
        <v>18784</v>
      </c>
      <c r="E1385" t="s">
        <v>20173</v>
      </c>
      <c r="F1385" t="s">
        <v>32664</v>
      </c>
      <c r="G1385" t="s">
        <v>32671</v>
      </c>
      <c r="H1385" t="s">
        <v>12635</v>
      </c>
      <c r="I1385" t="s">
        <v>32704</v>
      </c>
      <c r="J1385" t="s">
        <v>33852</v>
      </c>
      <c r="K1385" t="s">
        <v>42283</v>
      </c>
      <c r="M1385" t="s">
        <v>43191</v>
      </c>
      <c r="N1385" t="s">
        <v>46569</v>
      </c>
      <c r="O1385" t="s">
        <v>46570</v>
      </c>
      <c r="P1385">
        <v>0</v>
      </c>
      <c r="Q1385">
        <v>3</v>
      </c>
      <c r="R1385" t="s">
        <v>46571</v>
      </c>
      <c r="S1385" t="s">
        <v>46687</v>
      </c>
      <c r="T1385" t="s">
        <v>48250</v>
      </c>
      <c r="U1385" t="s">
        <v>49973</v>
      </c>
      <c r="W1385" t="s">
        <v>43191</v>
      </c>
      <c r="X1385" t="s">
        <v>46572</v>
      </c>
    </row>
    <row r="1386" spans="1:24">
      <c r="A1386">
        <f>HYPERLINK("https://www.philgeps.gov.ph/GEPSNONPILOT/Tender/SplashBidNoticeAbstractUI.aspx?menuIndex=3&amp;refID=7065898&amp;Result=3","7065898")</f>
        <v>0</v>
      </c>
      <c r="B1386" t="s">
        <v>586</v>
      </c>
      <c r="C1386" t="s">
        <v>4879</v>
      </c>
      <c r="D1386" t="s">
        <v>18794</v>
      </c>
      <c r="E1386" t="s">
        <v>4879</v>
      </c>
      <c r="F1386" t="s">
        <v>32664</v>
      </c>
      <c r="G1386" t="s">
        <v>32672</v>
      </c>
      <c r="H1386" t="s">
        <v>12635</v>
      </c>
      <c r="I1386" t="s">
        <v>6118</v>
      </c>
      <c r="J1386" t="s">
        <v>33853</v>
      </c>
      <c r="K1386" t="s">
        <v>42281</v>
      </c>
      <c r="M1386" t="s">
        <v>43166</v>
      </c>
      <c r="N1386" t="s">
        <v>46569</v>
      </c>
      <c r="O1386" t="s">
        <v>46570</v>
      </c>
      <c r="P1386">
        <v>0</v>
      </c>
      <c r="Q1386">
        <v>0</v>
      </c>
      <c r="R1386" t="s">
        <v>46571</v>
      </c>
      <c r="S1386" t="s">
        <v>46687</v>
      </c>
      <c r="T1386" t="s">
        <v>48377</v>
      </c>
      <c r="U1386" t="s">
        <v>49974</v>
      </c>
      <c r="W1386" t="s">
        <v>43166</v>
      </c>
      <c r="X1386" t="s">
        <v>46572</v>
      </c>
    </row>
    <row r="1387" spans="1:24">
      <c r="A1387">
        <f>HYPERLINK("https://www.philgeps.gov.ph/GEPSNONPILOT/Tender/SplashBidNoticeAbstractUI.aspx?menuIndex=3&amp;refID=7066000&amp;Result=3","7066000")</f>
        <v>0</v>
      </c>
      <c r="B1387" t="s">
        <v>220</v>
      </c>
      <c r="C1387" t="s">
        <v>4880</v>
      </c>
      <c r="D1387" t="s">
        <v>18788</v>
      </c>
      <c r="E1387" t="s">
        <v>19612</v>
      </c>
      <c r="F1387" t="s">
        <v>32664</v>
      </c>
      <c r="G1387" t="s">
        <v>32672</v>
      </c>
      <c r="H1387" t="s">
        <v>12635</v>
      </c>
      <c r="I1387" t="s">
        <v>4439</v>
      </c>
      <c r="J1387" t="s">
        <v>33854</v>
      </c>
      <c r="K1387" t="s">
        <v>42297</v>
      </c>
      <c r="L1387" t="s">
        <v>220</v>
      </c>
      <c r="M1387" t="s">
        <v>42784</v>
      </c>
      <c r="N1387" t="s">
        <v>46569</v>
      </c>
      <c r="O1387" t="s">
        <v>46570</v>
      </c>
      <c r="P1387">
        <v>0</v>
      </c>
      <c r="Q1387">
        <v>0</v>
      </c>
      <c r="R1387" t="s">
        <v>46571</v>
      </c>
      <c r="S1387" t="s">
        <v>46687</v>
      </c>
      <c r="T1387" t="s">
        <v>48308</v>
      </c>
      <c r="U1387" t="s">
        <v>49167</v>
      </c>
      <c r="W1387" t="s">
        <v>42784</v>
      </c>
      <c r="X1387" t="s">
        <v>46572</v>
      </c>
    </row>
    <row r="1388" spans="1:24">
      <c r="A1388">
        <f>HYPERLINK("https://www.philgeps.gov.ph/GEPSNONPILOT/Tender/SplashBidNoticeAbstractUI.aspx?menuIndex=3&amp;refID=7065998&amp;Result=3","7065998")</f>
        <v>0</v>
      </c>
      <c r="B1388" t="s">
        <v>637</v>
      </c>
      <c r="C1388" t="s">
        <v>4881</v>
      </c>
      <c r="D1388" t="s">
        <v>18827</v>
      </c>
      <c r="E1388" t="s">
        <v>20174</v>
      </c>
      <c r="F1388" t="s">
        <v>32664</v>
      </c>
      <c r="G1388" t="s">
        <v>32674</v>
      </c>
      <c r="H1388" t="s">
        <v>12635</v>
      </c>
      <c r="I1388" t="s">
        <v>9597</v>
      </c>
      <c r="J1388" t="s">
        <v>33349</v>
      </c>
      <c r="K1388" t="s">
        <v>42295</v>
      </c>
      <c r="M1388" t="s">
        <v>43220</v>
      </c>
      <c r="N1388" t="s">
        <v>46569</v>
      </c>
      <c r="O1388" t="s">
        <v>46570</v>
      </c>
      <c r="P1388">
        <v>0</v>
      </c>
      <c r="Q1388">
        <v>0</v>
      </c>
      <c r="R1388" t="s">
        <v>46571</v>
      </c>
      <c r="S1388" t="s">
        <v>46687</v>
      </c>
      <c r="T1388" t="s">
        <v>48305</v>
      </c>
      <c r="U1388" t="s">
        <v>49975</v>
      </c>
      <c r="W1388" t="s">
        <v>43220</v>
      </c>
      <c r="X1388" t="s">
        <v>46572</v>
      </c>
    </row>
    <row r="1389" spans="1:24">
      <c r="A1389">
        <f>HYPERLINK("https://www.philgeps.gov.ph/GEPSNONPILOT/Tender/SplashBidNoticeAbstractUI.aspx?menuIndex=3&amp;refID=7065865&amp;Result=3","7065865")</f>
        <v>0</v>
      </c>
      <c r="B1389" t="s">
        <v>295</v>
      </c>
      <c r="C1389" t="s">
        <v>4882</v>
      </c>
      <c r="D1389" t="s">
        <v>18848</v>
      </c>
      <c r="E1389" t="s">
        <v>20175</v>
      </c>
      <c r="F1389" t="s">
        <v>32664</v>
      </c>
      <c r="G1389" t="s">
        <v>32672</v>
      </c>
      <c r="H1389" t="s">
        <v>12635</v>
      </c>
      <c r="I1389" t="s">
        <v>6168</v>
      </c>
      <c r="J1389" t="s">
        <v>33855</v>
      </c>
      <c r="K1389" t="s">
        <v>42297</v>
      </c>
      <c r="M1389" t="s">
        <v>42862</v>
      </c>
      <c r="N1389" t="s">
        <v>46569</v>
      </c>
      <c r="O1389" t="s">
        <v>46570</v>
      </c>
      <c r="P1389">
        <v>0</v>
      </c>
      <c r="Q1389">
        <v>0</v>
      </c>
      <c r="R1389" t="s">
        <v>46571</v>
      </c>
      <c r="S1389" t="s">
        <v>46687</v>
      </c>
      <c r="T1389" t="s">
        <v>48322</v>
      </c>
      <c r="U1389" t="s">
        <v>49976</v>
      </c>
      <c r="W1389" t="s">
        <v>42862</v>
      </c>
      <c r="X1389" t="s">
        <v>46572</v>
      </c>
    </row>
    <row r="1390" spans="1:24">
      <c r="A1390">
        <f>HYPERLINK("https://www.philgeps.gov.ph/GEPSNONPILOT/Tender/SplashBidNoticeAbstractUI.aspx?menuIndex=3&amp;refID=7065995&amp;Result=3","7065995")</f>
        <v>0</v>
      </c>
      <c r="B1390" t="s">
        <v>528</v>
      </c>
      <c r="C1390" t="s">
        <v>4883</v>
      </c>
      <c r="D1390" t="s">
        <v>18803</v>
      </c>
      <c r="E1390" t="s">
        <v>20176</v>
      </c>
      <c r="F1390" t="s">
        <v>32664</v>
      </c>
      <c r="G1390" t="s">
        <v>32675</v>
      </c>
      <c r="H1390" t="s">
        <v>12635</v>
      </c>
      <c r="I1390" t="s">
        <v>6223</v>
      </c>
      <c r="J1390" t="s">
        <v>33856</v>
      </c>
      <c r="K1390" t="s">
        <v>42281</v>
      </c>
      <c r="M1390" t="s">
        <v>43106</v>
      </c>
      <c r="N1390" t="s">
        <v>46569</v>
      </c>
      <c r="O1390" t="s">
        <v>46570</v>
      </c>
      <c r="P1390">
        <v>0</v>
      </c>
      <c r="Q1390">
        <v>2</v>
      </c>
      <c r="R1390" t="s">
        <v>46571</v>
      </c>
      <c r="S1390" t="s">
        <v>46687</v>
      </c>
      <c r="T1390" t="s">
        <v>48299</v>
      </c>
      <c r="U1390" t="s">
        <v>49875</v>
      </c>
      <c r="W1390" t="s">
        <v>43106</v>
      </c>
      <c r="X1390" t="s">
        <v>46572</v>
      </c>
    </row>
    <row r="1391" spans="1:24">
      <c r="A1391">
        <f>HYPERLINK("https://www.philgeps.gov.ph/GEPSNONPILOT/Tender/SplashBidNoticeAbstractUI.aspx?menuIndex=3&amp;refID=7066001&amp;Result=3","7066001")</f>
        <v>0</v>
      </c>
      <c r="B1391" t="s">
        <v>76</v>
      </c>
      <c r="C1391" t="s">
        <v>4884</v>
      </c>
      <c r="D1391" t="s">
        <v>18781</v>
      </c>
      <c r="E1391" t="s">
        <v>20177</v>
      </c>
      <c r="F1391" t="s">
        <v>32664</v>
      </c>
      <c r="G1391" t="s">
        <v>32672</v>
      </c>
      <c r="H1391" t="s">
        <v>32683</v>
      </c>
      <c r="I1391" t="s">
        <v>10627</v>
      </c>
      <c r="J1391" t="s">
        <v>33857</v>
      </c>
      <c r="K1391" t="s">
        <v>42298</v>
      </c>
      <c r="M1391" t="s">
        <v>42639</v>
      </c>
      <c r="N1391" t="s">
        <v>46569</v>
      </c>
      <c r="O1391" t="s">
        <v>46570</v>
      </c>
      <c r="P1391">
        <v>0</v>
      </c>
      <c r="Q1391">
        <v>0</v>
      </c>
      <c r="R1391" t="s">
        <v>46571</v>
      </c>
      <c r="S1391" t="s">
        <v>46687</v>
      </c>
      <c r="T1391" t="s">
        <v>48269</v>
      </c>
      <c r="U1391" t="s">
        <v>49977</v>
      </c>
      <c r="W1391" t="s">
        <v>42639</v>
      </c>
      <c r="X1391" t="s">
        <v>46572</v>
      </c>
    </row>
    <row r="1392" spans="1:24">
      <c r="A1392">
        <f>HYPERLINK("https://www.philgeps.gov.ph/GEPSNONPILOT/Tender/SplashBidNoticeAbstractUI.aspx?menuIndex=3&amp;refID=7065994&amp;Result=3","7065994")</f>
        <v>0</v>
      </c>
      <c r="B1392" t="s">
        <v>638</v>
      </c>
      <c r="C1392" t="s">
        <v>4885</v>
      </c>
      <c r="E1392" t="s">
        <v>20178</v>
      </c>
      <c r="F1392" t="s">
        <v>32664</v>
      </c>
      <c r="G1392" t="s">
        <v>32671</v>
      </c>
      <c r="H1392" t="s">
        <v>12635</v>
      </c>
      <c r="I1392" t="s">
        <v>11464</v>
      </c>
      <c r="J1392" t="s">
        <v>32917</v>
      </c>
      <c r="K1392" t="s">
        <v>42289</v>
      </c>
      <c r="M1392" t="s">
        <v>43221</v>
      </c>
      <c r="N1392" t="s">
        <v>46569</v>
      </c>
      <c r="O1392" t="s">
        <v>46570</v>
      </c>
      <c r="P1392">
        <v>0</v>
      </c>
      <c r="Q1392">
        <v>0</v>
      </c>
      <c r="R1392" t="s">
        <v>46571</v>
      </c>
      <c r="S1392" t="s">
        <v>46687</v>
      </c>
      <c r="T1392" t="s">
        <v>48293</v>
      </c>
      <c r="U1392" t="s">
        <v>49978</v>
      </c>
      <c r="W1392" t="s">
        <v>43221</v>
      </c>
      <c r="X1392" t="s">
        <v>46572</v>
      </c>
    </row>
    <row r="1393" spans="1:24">
      <c r="A1393">
        <f>HYPERLINK("https://www.philgeps.gov.ph/GEPSNONPILOT/Tender/SplashBidNoticeAbstractUI.aspx?menuIndex=3&amp;refID=7065999&amp;Result=3","7065999")</f>
        <v>0</v>
      </c>
      <c r="B1393" t="s">
        <v>627</v>
      </c>
      <c r="C1393" t="s">
        <v>4886</v>
      </c>
      <c r="D1393" t="s">
        <v>18814</v>
      </c>
      <c r="E1393" t="s">
        <v>20179</v>
      </c>
      <c r="F1393" t="s">
        <v>32664</v>
      </c>
      <c r="G1393" t="s">
        <v>32672</v>
      </c>
      <c r="H1393" t="s">
        <v>12635</v>
      </c>
      <c r="I1393" t="s">
        <v>10627</v>
      </c>
      <c r="J1393" t="s">
        <v>32859</v>
      </c>
      <c r="K1393" t="s">
        <v>42314</v>
      </c>
      <c r="M1393" t="s">
        <v>43207</v>
      </c>
      <c r="N1393" t="s">
        <v>46569</v>
      </c>
      <c r="O1393" t="s">
        <v>46570</v>
      </c>
      <c r="P1393">
        <v>0</v>
      </c>
      <c r="Q1393">
        <v>0</v>
      </c>
      <c r="R1393" t="s">
        <v>46571</v>
      </c>
      <c r="S1393" t="s">
        <v>46687</v>
      </c>
      <c r="T1393" t="s">
        <v>48248</v>
      </c>
      <c r="U1393" t="s">
        <v>49952</v>
      </c>
      <c r="V1393" t="s">
        <v>61783</v>
      </c>
      <c r="W1393" t="s">
        <v>43207</v>
      </c>
      <c r="X1393" t="s">
        <v>46572</v>
      </c>
    </row>
    <row r="1394" spans="1:24">
      <c r="A1394">
        <f>HYPERLINK("https://www.philgeps.gov.ph/GEPSNONPILOT/Tender/SplashBidNoticeAbstractUI.aspx?menuIndex=3&amp;refID=7066029&amp;Result=3","7066029")</f>
        <v>0</v>
      </c>
      <c r="B1394" t="s">
        <v>536</v>
      </c>
      <c r="C1394" t="s">
        <v>4887</v>
      </c>
      <c r="D1394" t="s">
        <v>18786</v>
      </c>
      <c r="E1394" t="s">
        <v>20180</v>
      </c>
      <c r="F1394" t="s">
        <v>32664</v>
      </c>
      <c r="G1394" t="s">
        <v>32679</v>
      </c>
      <c r="H1394" t="s">
        <v>12635</v>
      </c>
      <c r="I1394" t="s">
        <v>32717</v>
      </c>
      <c r="J1394" t="s">
        <v>33858</v>
      </c>
      <c r="K1394" t="s">
        <v>42281</v>
      </c>
      <c r="M1394" t="s">
        <v>43114</v>
      </c>
      <c r="N1394" t="s">
        <v>46569</v>
      </c>
      <c r="O1394" t="s">
        <v>46570</v>
      </c>
      <c r="P1394">
        <v>0</v>
      </c>
      <c r="Q1394">
        <v>0</v>
      </c>
      <c r="R1394" t="s">
        <v>46571</v>
      </c>
      <c r="S1394" t="s">
        <v>46687</v>
      </c>
      <c r="T1394" t="s">
        <v>48268</v>
      </c>
      <c r="U1394" t="s">
        <v>49979</v>
      </c>
      <c r="W1394" t="s">
        <v>43114</v>
      </c>
      <c r="X1394" t="s">
        <v>46572</v>
      </c>
    </row>
    <row r="1395" spans="1:24">
      <c r="A1395">
        <f>HYPERLINK("https://www.philgeps.gov.ph/GEPSNONPILOT/Tender/SplashBidNoticeAbstractUI.aspx?menuIndex=3&amp;refID=7065972&amp;Result=3","7065972")</f>
        <v>0</v>
      </c>
      <c r="B1395" t="s">
        <v>229</v>
      </c>
      <c r="C1395" t="s">
        <v>4888</v>
      </c>
      <c r="D1395" t="s">
        <v>18838</v>
      </c>
      <c r="E1395" t="s">
        <v>20181</v>
      </c>
      <c r="F1395" t="s">
        <v>32664</v>
      </c>
      <c r="G1395" t="s">
        <v>32671</v>
      </c>
      <c r="H1395" t="s">
        <v>12635</v>
      </c>
      <c r="I1395" t="s">
        <v>6223</v>
      </c>
      <c r="J1395" t="s">
        <v>33859</v>
      </c>
      <c r="K1395" t="s">
        <v>42297</v>
      </c>
      <c r="M1395" t="s">
        <v>42793</v>
      </c>
      <c r="N1395" t="s">
        <v>46569</v>
      </c>
      <c r="O1395" t="s">
        <v>46570</v>
      </c>
      <c r="P1395">
        <v>0</v>
      </c>
      <c r="Q1395">
        <v>0</v>
      </c>
      <c r="R1395" t="s">
        <v>46571</v>
      </c>
      <c r="S1395" t="s">
        <v>46687</v>
      </c>
      <c r="T1395" t="s">
        <v>48221</v>
      </c>
      <c r="U1395" t="s">
        <v>49980</v>
      </c>
      <c r="W1395" t="s">
        <v>42793</v>
      </c>
      <c r="X1395" t="s">
        <v>46572</v>
      </c>
    </row>
    <row r="1396" spans="1:24">
      <c r="A1396">
        <f>HYPERLINK("https://www.philgeps.gov.ph/GEPSNONPILOT/Tender/SplashBidNoticeAbstractUI.aspx?menuIndex=3&amp;refID=7065872&amp;Result=3","7065872")</f>
        <v>0</v>
      </c>
      <c r="B1396" t="s">
        <v>639</v>
      </c>
      <c r="C1396" t="s">
        <v>4889</v>
      </c>
      <c r="D1396" t="s">
        <v>18812</v>
      </c>
      <c r="E1396" t="s">
        <v>19681</v>
      </c>
      <c r="F1396" t="s">
        <v>32664</v>
      </c>
      <c r="G1396" t="s">
        <v>32672</v>
      </c>
      <c r="H1396" t="s">
        <v>12635</v>
      </c>
      <c r="I1396" t="s">
        <v>14442</v>
      </c>
      <c r="J1396" t="s">
        <v>33860</v>
      </c>
      <c r="K1396" t="s">
        <v>42306</v>
      </c>
      <c r="M1396" t="s">
        <v>43222</v>
      </c>
      <c r="N1396" t="s">
        <v>46569</v>
      </c>
      <c r="O1396" t="s">
        <v>46570</v>
      </c>
      <c r="P1396">
        <v>0</v>
      </c>
      <c r="Q1396">
        <v>0</v>
      </c>
      <c r="R1396" t="s">
        <v>46571</v>
      </c>
      <c r="S1396" t="s">
        <v>46687</v>
      </c>
      <c r="T1396" t="s">
        <v>48226</v>
      </c>
      <c r="U1396" t="s">
        <v>49981</v>
      </c>
      <c r="W1396" t="s">
        <v>43222</v>
      </c>
      <c r="X1396" t="s">
        <v>46572</v>
      </c>
    </row>
    <row r="1397" spans="1:24">
      <c r="A1397">
        <f>HYPERLINK("https://www.philgeps.gov.ph/GEPSNONPILOT/Tender/SplashBidNoticeAbstractUI.aspx?menuIndex=3&amp;refID=7066028&amp;Result=3","7066028")</f>
        <v>0</v>
      </c>
      <c r="B1397" t="s">
        <v>557</v>
      </c>
      <c r="C1397" t="s">
        <v>4890</v>
      </c>
      <c r="D1397" t="s">
        <v>18834</v>
      </c>
      <c r="E1397" t="s">
        <v>20182</v>
      </c>
      <c r="F1397" t="s">
        <v>32664</v>
      </c>
      <c r="G1397" t="s">
        <v>32671</v>
      </c>
      <c r="H1397" t="s">
        <v>12635</v>
      </c>
      <c r="I1397" t="s">
        <v>4439</v>
      </c>
      <c r="J1397" t="s">
        <v>33051</v>
      </c>
      <c r="K1397" t="s">
        <v>42289</v>
      </c>
      <c r="M1397" t="s">
        <v>43137</v>
      </c>
      <c r="N1397" t="s">
        <v>46569</v>
      </c>
      <c r="O1397" t="s">
        <v>46570</v>
      </c>
      <c r="P1397">
        <v>0</v>
      </c>
      <c r="Q1397">
        <v>0</v>
      </c>
      <c r="R1397" t="s">
        <v>46571</v>
      </c>
      <c r="S1397" t="s">
        <v>46687</v>
      </c>
      <c r="T1397" t="s">
        <v>48219</v>
      </c>
      <c r="U1397" t="s">
        <v>49932</v>
      </c>
      <c r="W1397" t="s">
        <v>43137</v>
      </c>
      <c r="X1397" t="s">
        <v>46572</v>
      </c>
    </row>
    <row r="1398" spans="1:24">
      <c r="A1398">
        <f>HYPERLINK("https://www.philgeps.gov.ph/GEPSNONPILOT/Tender/SplashBidNoticeAbstractUI.aspx?menuIndex=3&amp;refID=7065996&amp;Result=3","7065996")</f>
        <v>0</v>
      </c>
      <c r="B1398" t="s">
        <v>602</v>
      </c>
      <c r="C1398" t="s">
        <v>4891</v>
      </c>
      <c r="D1398" t="s">
        <v>18837</v>
      </c>
      <c r="E1398" t="s">
        <v>20183</v>
      </c>
      <c r="F1398" t="s">
        <v>32664</v>
      </c>
      <c r="G1398" t="s">
        <v>32672</v>
      </c>
      <c r="H1398" t="s">
        <v>12635</v>
      </c>
      <c r="I1398" t="s">
        <v>32729</v>
      </c>
      <c r="J1398" t="s">
        <v>33696</v>
      </c>
      <c r="K1398" t="s">
        <v>42284</v>
      </c>
      <c r="M1398" t="s">
        <v>43182</v>
      </c>
      <c r="N1398" t="s">
        <v>46569</v>
      </c>
      <c r="O1398" t="s">
        <v>46570</v>
      </c>
      <c r="P1398">
        <v>0</v>
      </c>
      <c r="Q1398">
        <v>1</v>
      </c>
      <c r="R1398" t="s">
        <v>46571</v>
      </c>
      <c r="S1398" t="s">
        <v>46687</v>
      </c>
      <c r="T1398" t="s">
        <v>48211</v>
      </c>
      <c r="U1398" t="s">
        <v>49982</v>
      </c>
      <c r="W1398" t="s">
        <v>43182</v>
      </c>
      <c r="X1398" t="s">
        <v>46572</v>
      </c>
    </row>
    <row r="1399" spans="1:24">
      <c r="A1399">
        <f>HYPERLINK("https://www.philgeps.gov.ph/GEPSNONPILOT/Tender/SplashBidNoticeAbstractUI.aspx?menuIndex=3&amp;refID=7066026&amp;Result=3","7066026")</f>
        <v>0</v>
      </c>
      <c r="B1399" t="s">
        <v>628</v>
      </c>
      <c r="C1399" t="s">
        <v>4892</v>
      </c>
      <c r="D1399" t="s">
        <v>18782</v>
      </c>
      <c r="E1399" t="s">
        <v>20184</v>
      </c>
      <c r="F1399" t="s">
        <v>32664</v>
      </c>
      <c r="G1399" t="s">
        <v>32675</v>
      </c>
      <c r="H1399" t="s">
        <v>12635</v>
      </c>
      <c r="I1399" t="s">
        <v>6628</v>
      </c>
      <c r="J1399" t="s">
        <v>33861</v>
      </c>
      <c r="K1399" t="s">
        <v>42284</v>
      </c>
      <c r="M1399" t="s">
        <v>43209</v>
      </c>
      <c r="N1399" t="s">
        <v>46569</v>
      </c>
      <c r="O1399" t="s">
        <v>46570</v>
      </c>
      <c r="P1399">
        <v>0</v>
      </c>
      <c r="Q1399">
        <v>2</v>
      </c>
      <c r="R1399" t="s">
        <v>46571</v>
      </c>
      <c r="S1399" t="s">
        <v>46687</v>
      </c>
      <c r="T1399" t="s">
        <v>48256</v>
      </c>
      <c r="U1399" t="s">
        <v>49983</v>
      </c>
      <c r="W1399" t="s">
        <v>43209</v>
      </c>
      <c r="X1399" t="s">
        <v>46572</v>
      </c>
    </row>
    <row r="1400" spans="1:24">
      <c r="A1400">
        <f>HYPERLINK("https://www.philgeps.gov.ph/GEPSNONPILOT/Tender/SplashBidNoticeAbstractUI.aspx?menuIndex=3&amp;refID=7066024&amp;Result=3","7066024")</f>
        <v>0</v>
      </c>
      <c r="B1400" t="s">
        <v>586</v>
      </c>
      <c r="C1400" t="s">
        <v>4893</v>
      </c>
      <c r="D1400" t="s">
        <v>18794</v>
      </c>
      <c r="E1400" t="s">
        <v>20185</v>
      </c>
      <c r="F1400" t="s">
        <v>32664</v>
      </c>
      <c r="G1400" t="s">
        <v>32672</v>
      </c>
      <c r="H1400" t="s">
        <v>12635</v>
      </c>
      <c r="I1400" t="s">
        <v>32708</v>
      </c>
      <c r="J1400" t="s">
        <v>33862</v>
      </c>
      <c r="K1400" t="s">
        <v>42281</v>
      </c>
      <c r="M1400" t="s">
        <v>43166</v>
      </c>
      <c r="N1400" t="s">
        <v>46569</v>
      </c>
      <c r="O1400" t="s">
        <v>46570</v>
      </c>
      <c r="P1400">
        <v>0</v>
      </c>
      <c r="Q1400">
        <v>1</v>
      </c>
      <c r="R1400" t="s">
        <v>46571</v>
      </c>
      <c r="S1400" t="s">
        <v>46687</v>
      </c>
      <c r="T1400" t="s">
        <v>48377</v>
      </c>
      <c r="U1400" t="s">
        <v>49984</v>
      </c>
      <c r="W1400" t="s">
        <v>43166</v>
      </c>
      <c r="X1400" t="s">
        <v>46572</v>
      </c>
    </row>
    <row r="1401" spans="1:24">
      <c r="A1401">
        <f>HYPERLINK("https://www.philgeps.gov.ph/GEPSNONPILOT/Tender/SplashBidNoticeAbstractUI.aspx?menuIndex=3&amp;refID=7065975&amp;Result=3","7065975")</f>
        <v>0</v>
      </c>
      <c r="B1401" t="s">
        <v>557</v>
      </c>
      <c r="C1401" t="s">
        <v>4894</v>
      </c>
      <c r="D1401" t="s">
        <v>18834</v>
      </c>
      <c r="E1401" t="s">
        <v>20186</v>
      </c>
      <c r="F1401" t="s">
        <v>32664</v>
      </c>
      <c r="G1401" t="s">
        <v>32671</v>
      </c>
      <c r="H1401" t="s">
        <v>12635</v>
      </c>
      <c r="I1401" t="s">
        <v>4439</v>
      </c>
      <c r="J1401" t="s">
        <v>33051</v>
      </c>
      <c r="K1401" t="s">
        <v>42289</v>
      </c>
      <c r="M1401" t="s">
        <v>43137</v>
      </c>
      <c r="N1401" t="s">
        <v>46569</v>
      </c>
      <c r="O1401" t="s">
        <v>46570</v>
      </c>
      <c r="P1401">
        <v>0</v>
      </c>
      <c r="Q1401">
        <v>0</v>
      </c>
      <c r="R1401" t="s">
        <v>46571</v>
      </c>
      <c r="S1401" t="s">
        <v>46687</v>
      </c>
      <c r="T1401" t="s">
        <v>48219</v>
      </c>
      <c r="U1401" t="s">
        <v>49932</v>
      </c>
      <c r="W1401" t="s">
        <v>43137</v>
      </c>
      <c r="X1401" t="s">
        <v>46572</v>
      </c>
    </row>
    <row r="1402" spans="1:24">
      <c r="A1402">
        <f>HYPERLINK("https://www.philgeps.gov.ph/GEPSNONPILOT/Tender/SplashBidNoticeAbstractUI.aspx?menuIndex=3&amp;refID=7066020&amp;Result=3","7066020")</f>
        <v>0</v>
      </c>
      <c r="B1402" t="s">
        <v>640</v>
      </c>
      <c r="C1402" t="s">
        <v>4895</v>
      </c>
      <c r="D1402" t="s">
        <v>18785</v>
      </c>
      <c r="E1402" t="s">
        <v>20187</v>
      </c>
      <c r="F1402" t="s">
        <v>32664</v>
      </c>
      <c r="G1402" t="s">
        <v>32671</v>
      </c>
      <c r="H1402" t="s">
        <v>32683</v>
      </c>
      <c r="I1402" t="s">
        <v>6553</v>
      </c>
      <c r="J1402" t="s">
        <v>33863</v>
      </c>
      <c r="K1402" t="s">
        <v>42283</v>
      </c>
      <c r="M1402" t="s">
        <v>43223</v>
      </c>
      <c r="N1402" t="s">
        <v>46569</v>
      </c>
      <c r="O1402" t="s">
        <v>46570</v>
      </c>
      <c r="P1402">
        <v>0</v>
      </c>
      <c r="Q1402">
        <v>2</v>
      </c>
      <c r="R1402" t="s">
        <v>46571</v>
      </c>
      <c r="S1402" t="s">
        <v>46687</v>
      </c>
      <c r="T1402" t="s">
        <v>48286</v>
      </c>
      <c r="U1402" t="s">
        <v>49985</v>
      </c>
      <c r="W1402" t="s">
        <v>43223</v>
      </c>
      <c r="X1402" t="s">
        <v>46572</v>
      </c>
    </row>
    <row r="1403" spans="1:24">
      <c r="A1403">
        <f>HYPERLINK("https://www.philgeps.gov.ph/GEPSNONPILOT/Tender/SplashBidNoticeAbstractUI.aspx?menuIndex=3&amp;refID=7066004&amp;Result=3","7066004")</f>
        <v>0</v>
      </c>
      <c r="B1403" t="s">
        <v>629</v>
      </c>
      <c r="C1403" t="s">
        <v>4896</v>
      </c>
      <c r="D1403" t="s">
        <v>18807</v>
      </c>
      <c r="E1403" t="s">
        <v>20188</v>
      </c>
      <c r="F1403" t="s">
        <v>32664</v>
      </c>
      <c r="G1403" t="s">
        <v>32674</v>
      </c>
      <c r="H1403" t="s">
        <v>32683</v>
      </c>
      <c r="I1403" t="s">
        <v>4439</v>
      </c>
      <c r="J1403" t="s">
        <v>33864</v>
      </c>
      <c r="K1403" t="s">
        <v>42283</v>
      </c>
      <c r="M1403" t="s">
        <v>43224</v>
      </c>
      <c r="N1403" t="s">
        <v>46569</v>
      </c>
      <c r="O1403" t="s">
        <v>46570</v>
      </c>
      <c r="P1403">
        <v>0</v>
      </c>
      <c r="Q1403">
        <v>0</v>
      </c>
      <c r="R1403" t="s">
        <v>46571</v>
      </c>
      <c r="S1403" t="s">
        <v>46687</v>
      </c>
      <c r="T1403" t="s">
        <v>48280</v>
      </c>
      <c r="U1403" t="s">
        <v>49986</v>
      </c>
      <c r="W1403" t="s">
        <v>43224</v>
      </c>
      <c r="X1403" t="s">
        <v>46572</v>
      </c>
    </row>
    <row r="1404" spans="1:24">
      <c r="A1404">
        <f>HYPERLINK("https://www.philgeps.gov.ph/GEPSNONPILOT/Tender/SplashBidNoticeAbstractUI.aspx?menuIndex=3&amp;refID=7066027&amp;Result=3","7066027")</f>
        <v>0</v>
      </c>
      <c r="B1404" t="s">
        <v>231</v>
      </c>
      <c r="C1404" t="s">
        <v>4897</v>
      </c>
      <c r="D1404" t="s">
        <v>18862</v>
      </c>
      <c r="E1404" t="s">
        <v>20189</v>
      </c>
      <c r="F1404" t="s">
        <v>32664</v>
      </c>
      <c r="G1404" t="s">
        <v>32672</v>
      </c>
      <c r="H1404" t="s">
        <v>32683</v>
      </c>
      <c r="I1404" t="s">
        <v>10627</v>
      </c>
      <c r="J1404" t="s">
        <v>33865</v>
      </c>
      <c r="K1404" t="s">
        <v>42298</v>
      </c>
      <c r="M1404" t="s">
        <v>43225</v>
      </c>
      <c r="N1404" t="s">
        <v>46569</v>
      </c>
      <c r="O1404" t="s">
        <v>46570</v>
      </c>
      <c r="P1404">
        <v>0</v>
      </c>
      <c r="Q1404">
        <v>0</v>
      </c>
      <c r="R1404" t="s">
        <v>46571</v>
      </c>
      <c r="S1404" t="s">
        <v>46687</v>
      </c>
      <c r="T1404" t="s">
        <v>48360</v>
      </c>
      <c r="U1404" t="s">
        <v>49987</v>
      </c>
      <c r="W1404" t="s">
        <v>43225</v>
      </c>
      <c r="X1404" t="s">
        <v>46572</v>
      </c>
    </row>
    <row r="1405" spans="1:24">
      <c r="A1405">
        <f>HYPERLINK("https://www.philgeps.gov.ph/GEPSNONPILOT/Tender/SplashBidNoticeAbstractUI.aspx?menuIndex=3&amp;refID=7066023&amp;Result=3","7066023")</f>
        <v>0</v>
      </c>
      <c r="B1405" t="s">
        <v>527</v>
      </c>
      <c r="C1405" t="s">
        <v>4898</v>
      </c>
      <c r="D1405" t="s">
        <v>18784</v>
      </c>
      <c r="E1405" t="s">
        <v>20190</v>
      </c>
      <c r="F1405" t="s">
        <v>32664</v>
      </c>
      <c r="G1405" t="s">
        <v>32671</v>
      </c>
      <c r="H1405" t="s">
        <v>12635</v>
      </c>
      <c r="I1405" t="s">
        <v>10374</v>
      </c>
      <c r="J1405" t="s">
        <v>33866</v>
      </c>
      <c r="K1405" t="s">
        <v>42284</v>
      </c>
      <c r="M1405" t="s">
        <v>43104</v>
      </c>
      <c r="N1405" t="s">
        <v>46569</v>
      </c>
      <c r="O1405" t="s">
        <v>46570</v>
      </c>
      <c r="P1405">
        <v>0</v>
      </c>
      <c r="Q1405">
        <v>0</v>
      </c>
      <c r="R1405" t="s">
        <v>46571</v>
      </c>
      <c r="S1405" t="s">
        <v>46687</v>
      </c>
      <c r="T1405" t="s">
        <v>48283</v>
      </c>
      <c r="U1405" t="s">
        <v>49988</v>
      </c>
      <c r="W1405" t="s">
        <v>43104</v>
      </c>
      <c r="X1405" t="s">
        <v>46572</v>
      </c>
    </row>
    <row r="1406" spans="1:24">
      <c r="A1406">
        <f>HYPERLINK("https://www.philgeps.gov.ph/GEPSNONPILOT/Tender/SplashBidNoticeAbstractUI.aspx?menuIndex=3&amp;refID=7066025&amp;Result=3","7066025")</f>
        <v>0</v>
      </c>
      <c r="B1406" t="s">
        <v>641</v>
      </c>
      <c r="C1406" t="s">
        <v>4899</v>
      </c>
      <c r="D1406" t="s">
        <v>18802</v>
      </c>
      <c r="E1406" t="s">
        <v>20191</v>
      </c>
      <c r="F1406" t="s">
        <v>32664</v>
      </c>
      <c r="G1406" t="s">
        <v>32671</v>
      </c>
      <c r="H1406" t="s">
        <v>12635</v>
      </c>
      <c r="I1406" t="s">
        <v>32704</v>
      </c>
      <c r="J1406" t="s">
        <v>33269</v>
      </c>
      <c r="K1406" t="s">
        <v>42284</v>
      </c>
      <c r="M1406" t="s">
        <v>43226</v>
      </c>
      <c r="N1406" t="s">
        <v>46569</v>
      </c>
      <c r="O1406" t="s">
        <v>46570</v>
      </c>
      <c r="P1406">
        <v>0</v>
      </c>
      <c r="Q1406">
        <v>4</v>
      </c>
      <c r="R1406" t="s">
        <v>46571</v>
      </c>
      <c r="S1406" t="s">
        <v>46687</v>
      </c>
      <c r="T1406" t="s">
        <v>48258</v>
      </c>
      <c r="U1406" t="s">
        <v>49989</v>
      </c>
      <c r="W1406" t="s">
        <v>43226</v>
      </c>
      <c r="X1406" t="s">
        <v>46572</v>
      </c>
    </row>
    <row r="1407" spans="1:24">
      <c r="A1407">
        <f>HYPERLINK("https://www.philgeps.gov.ph/GEPSNONPILOT/Tender/SplashBidNoticeAbstractUI.aspx?menuIndex=3&amp;refID=7066015&amp;Result=3","7066015")</f>
        <v>0</v>
      </c>
      <c r="B1407" t="s">
        <v>568</v>
      </c>
      <c r="C1407" t="s">
        <v>4900</v>
      </c>
      <c r="D1407" t="s">
        <v>18822</v>
      </c>
      <c r="E1407" t="s">
        <v>20192</v>
      </c>
      <c r="F1407" t="s">
        <v>32664</v>
      </c>
      <c r="G1407" t="s">
        <v>32672</v>
      </c>
      <c r="H1407" t="s">
        <v>12635</v>
      </c>
      <c r="I1407" t="s">
        <v>32760</v>
      </c>
      <c r="J1407" t="s">
        <v>33867</v>
      </c>
      <c r="K1407" t="s">
        <v>42297</v>
      </c>
      <c r="M1407" t="s">
        <v>43148</v>
      </c>
      <c r="N1407" t="s">
        <v>46569</v>
      </c>
      <c r="O1407" t="s">
        <v>46570</v>
      </c>
      <c r="P1407">
        <v>0</v>
      </c>
      <c r="Q1407">
        <v>0</v>
      </c>
      <c r="R1407" t="s">
        <v>46571</v>
      </c>
      <c r="S1407" t="s">
        <v>46687</v>
      </c>
      <c r="T1407" t="s">
        <v>48275</v>
      </c>
      <c r="U1407" t="s">
        <v>49819</v>
      </c>
      <c r="V1407" t="s">
        <v>61761</v>
      </c>
      <c r="W1407" t="s">
        <v>63484</v>
      </c>
      <c r="X1407" t="s">
        <v>46572</v>
      </c>
    </row>
    <row r="1408" spans="1:24">
      <c r="A1408">
        <f>HYPERLINK("https://www.philgeps.gov.ph/GEPSNONPILOT/Tender/SplashBidNoticeAbstractUI.aspx?menuIndex=3&amp;refID=7066019&amp;Result=3","7066019")</f>
        <v>0</v>
      </c>
      <c r="B1408" t="s">
        <v>252</v>
      </c>
      <c r="C1408" t="s">
        <v>4901</v>
      </c>
      <c r="D1408" t="s">
        <v>18802</v>
      </c>
      <c r="E1408" t="s">
        <v>20193</v>
      </c>
      <c r="F1408" t="s">
        <v>32664</v>
      </c>
      <c r="G1408" t="s">
        <v>32674</v>
      </c>
      <c r="H1408" t="s">
        <v>12635</v>
      </c>
      <c r="I1408" t="s">
        <v>8730</v>
      </c>
      <c r="J1408" t="s">
        <v>33868</v>
      </c>
      <c r="K1408" t="s">
        <v>42283</v>
      </c>
      <c r="L1408" t="s">
        <v>252</v>
      </c>
      <c r="M1408" t="s">
        <v>42817</v>
      </c>
      <c r="N1408" t="s">
        <v>46569</v>
      </c>
      <c r="O1408" t="s">
        <v>46570</v>
      </c>
      <c r="P1408">
        <v>0</v>
      </c>
      <c r="Q1408">
        <v>3</v>
      </c>
      <c r="R1408" t="s">
        <v>46571</v>
      </c>
      <c r="S1408" t="s">
        <v>46687</v>
      </c>
      <c r="T1408" t="s">
        <v>48285</v>
      </c>
      <c r="U1408" t="s">
        <v>49436</v>
      </c>
      <c r="W1408" t="s">
        <v>42817</v>
      </c>
      <c r="X1408" t="s">
        <v>46572</v>
      </c>
    </row>
    <row r="1409" spans="1:24">
      <c r="A1409">
        <f>HYPERLINK("https://www.philgeps.gov.ph/GEPSNONPILOT/Tender/SplashBidNoticeAbstractUI.aspx?menuIndex=3&amp;refID=7066017&amp;Result=3","7066017")</f>
        <v>0</v>
      </c>
      <c r="B1409" t="s">
        <v>535</v>
      </c>
      <c r="C1409" t="s">
        <v>4902</v>
      </c>
      <c r="D1409" t="s">
        <v>18834</v>
      </c>
      <c r="E1409" t="s">
        <v>20194</v>
      </c>
      <c r="F1409" t="s">
        <v>32664</v>
      </c>
      <c r="G1409" t="s">
        <v>32671</v>
      </c>
      <c r="H1409" t="s">
        <v>12635</v>
      </c>
      <c r="I1409" t="s">
        <v>5589</v>
      </c>
      <c r="J1409" t="s">
        <v>33869</v>
      </c>
      <c r="K1409" t="s">
        <v>42289</v>
      </c>
      <c r="M1409" t="s">
        <v>43113</v>
      </c>
      <c r="N1409" t="s">
        <v>46569</v>
      </c>
      <c r="O1409" t="s">
        <v>46570</v>
      </c>
      <c r="P1409">
        <v>0</v>
      </c>
      <c r="Q1409">
        <v>0</v>
      </c>
      <c r="R1409" t="s">
        <v>46571</v>
      </c>
      <c r="S1409" t="s">
        <v>46687</v>
      </c>
      <c r="T1409" t="s">
        <v>48219</v>
      </c>
      <c r="U1409" t="s">
        <v>49736</v>
      </c>
      <c r="W1409" t="s">
        <v>63481</v>
      </c>
      <c r="X1409" t="s">
        <v>46572</v>
      </c>
    </row>
    <row r="1410" spans="1:24">
      <c r="A1410">
        <f>HYPERLINK("https://www.philgeps.gov.ph/GEPSNONPILOT/Tender/SplashBidNoticeAbstractUI.aspx?menuIndex=3&amp;refID=7066058&amp;Result=3","7066058")</f>
        <v>0</v>
      </c>
      <c r="B1410" t="s">
        <v>586</v>
      </c>
      <c r="C1410" t="s">
        <v>4903</v>
      </c>
      <c r="D1410" t="s">
        <v>18794</v>
      </c>
      <c r="E1410" t="s">
        <v>4903</v>
      </c>
      <c r="F1410" t="s">
        <v>32664</v>
      </c>
      <c r="G1410" t="s">
        <v>32672</v>
      </c>
      <c r="H1410" t="s">
        <v>12635</v>
      </c>
      <c r="I1410" t="s">
        <v>32729</v>
      </c>
      <c r="J1410" t="s">
        <v>33870</v>
      </c>
      <c r="K1410" t="s">
        <v>42281</v>
      </c>
      <c r="M1410" t="s">
        <v>43166</v>
      </c>
      <c r="N1410" t="s">
        <v>46569</v>
      </c>
      <c r="O1410" t="s">
        <v>46570</v>
      </c>
      <c r="P1410">
        <v>0</v>
      </c>
      <c r="Q1410">
        <v>2</v>
      </c>
      <c r="R1410" t="s">
        <v>46571</v>
      </c>
      <c r="S1410" t="s">
        <v>46687</v>
      </c>
      <c r="T1410" t="s">
        <v>48275</v>
      </c>
      <c r="U1410" t="s">
        <v>49990</v>
      </c>
      <c r="W1410" t="s">
        <v>43166</v>
      </c>
      <c r="X1410" t="s">
        <v>46572</v>
      </c>
    </row>
    <row r="1411" spans="1:24">
      <c r="A1411">
        <f>HYPERLINK("https://www.philgeps.gov.ph/GEPSNONPILOT/Tender/SplashBidNoticeAbstractUI.aspx?menuIndex=3&amp;refID=7066056&amp;Result=3","7066056")</f>
        <v>0</v>
      </c>
      <c r="B1411" t="s">
        <v>615</v>
      </c>
      <c r="C1411" t="s">
        <v>4904</v>
      </c>
      <c r="D1411" t="s">
        <v>18802</v>
      </c>
      <c r="E1411" t="s">
        <v>20195</v>
      </c>
      <c r="F1411" t="s">
        <v>32664</v>
      </c>
      <c r="G1411" t="s">
        <v>32671</v>
      </c>
      <c r="H1411" t="s">
        <v>12635</v>
      </c>
      <c r="I1411" t="s">
        <v>32701</v>
      </c>
      <c r="J1411" t="s">
        <v>33810</v>
      </c>
      <c r="K1411" t="s">
        <v>42283</v>
      </c>
      <c r="M1411" t="s">
        <v>43195</v>
      </c>
      <c r="N1411" t="s">
        <v>46569</v>
      </c>
      <c r="O1411" t="s">
        <v>46570</v>
      </c>
      <c r="P1411">
        <v>0</v>
      </c>
      <c r="Q1411">
        <v>0</v>
      </c>
      <c r="R1411" t="s">
        <v>46571</v>
      </c>
      <c r="S1411" t="s">
        <v>46687</v>
      </c>
      <c r="T1411" t="s">
        <v>48221</v>
      </c>
      <c r="U1411" t="s">
        <v>49258</v>
      </c>
      <c r="V1411" t="s">
        <v>61775</v>
      </c>
      <c r="W1411" t="s">
        <v>43195</v>
      </c>
      <c r="X1411" t="s">
        <v>46572</v>
      </c>
    </row>
    <row r="1412" spans="1:24">
      <c r="A1412">
        <f>HYPERLINK("https://www.philgeps.gov.ph/GEPSNONPILOT/Tender/SplashBidNoticeAbstractUI.aspx?menuIndex=3&amp;refID=7066055&amp;Result=3","7066055")</f>
        <v>0</v>
      </c>
      <c r="B1412" t="s">
        <v>642</v>
      </c>
      <c r="C1412" t="s">
        <v>3806</v>
      </c>
      <c r="D1412" t="s">
        <v>18812</v>
      </c>
      <c r="E1412" t="s">
        <v>20196</v>
      </c>
      <c r="F1412" t="s">
        <v>32664</v>
      </c>
      <c r="G1412" t="s">
        <v>32671</v>
      </c>
      <c r="H1412" t="s">
        <v>12635</v>
      </c>
      <c r="I1412" t="s">
        <v>6118</v>
      </c>
      <c r="J1412" t="s">
        <v>32984</v>
      </c>
      <c r="K1412" t="s">
        <v>42289</v>
      </c>
      <c r="M1412" t="s">
        <v>43227</v>
      </c>
      <c r="N1412" t="s">
        <v>46569</v>
      </c>
      <c r="O1412" t="s">
        <v>46570</v>
      </c>
      <c r="P1412">
        <v>0</v>
      </c>
      <c r="Q1412">
        <v>0</v>
      </c>
      <c r="R1412" t="s">
        <v>46571</v>
      </c>
      <c r="S1412" t="s">
        <v>46687</v>
      </c>
      <c r="T1412" t="s">
        <v>48221</v>
      </c>
      <c r="U1412" t="s">
        <v>49991</v>
      </c>
      <c r="V1412" t="s">
        <v>61784</v>
      </c>
      <c r="W1412" t="s">
        <v>43227</v>
      </c>
      <c r="X1412" t="s">
        <v>46572</v>
      </c>
    </row>
    <row r="1413" spans="1:24">
      <c r="A1413">
        <f>HYPERLINK("https://www.philgeps.gov.ph/GEPSNONPILOT/Tender/SplashBidNoticeAbstractUI.aspx?menuIndex=3&amp;refID=7066013&amp;Result=3","7066013")</f>
        <v>0</v>
      </c>
      <c r="B1413" t="s">
        <v>643</v>
      </c>
      <c r="C1413" t="s">
        <v>4905</v>
      </c>
      <c r="D1413" t="s">
        <v>18784</v>
      </c>
      <c r="E1413" t="s">
        <v>20197</v>
      </c>
      <c r="F1413" t="s">
        <v>32664</v>
      </c>
      <c r="G1413" t="s">
        <v>32671</v>
      </c>
      <c r="H1413" t="s">
        <v>12635</v>
      </c>
      <c r="I1413" t="s">
        <v>6628</v>
      </c>
      <c r="J1413" t="s">
        <v>33871</v>
      </c>
      <c r="K1413" t="s">
        <v>42303</v>
      </c>
      <c r="M1413" t="s">
        <v>43228</v>
      </c>
      <c r="N1413" t="s">
        <v>46569</v>
      </c>
      <c r="O1413" t="s">
        <v>46570</v>
      </c>
      <c r="P1413">
        <v>0</v>
      </c>
      <c r="Q1413">
        <v>1</v>
      </c>
      <c r="R1413" t="s">
        <v>46571</v>
      </c>
      <c r="S1413" t="s">
        <v>46687</v>
      </c>
      <c r="T1413" t="s">
        <v>48256</v>
      </c>
      <c r="U1413" t="s">
        <v>49992</v>
      </c>
      <c r="W1413" t="s">
        <v>43228</v>
      </c>
      <c r="X1413" t="s">
        <v>46572</v>
      </c>
    </row>
    <row r="1414" spans="1:24">
      <c r="A1414">
        <f>HYPERLINK("https://www.philgeps.gov.ph/GEPSNONPILOT/Tender/SplashBidNoticeAbstractUI.aspx?menuIndex=3&amp;refID=7066018&amp;Result=3","7066018")</f>
        <v>0</v>
      </c>
      <c r="B1414" t="s">
        <v>528</v>
      </c>
      <c r="C1414" t="s">
        <v>4906</v>
      </c>
      <c r="D1414" t="s">
        <v>18803</v>
      </c>
      <c r="E1414" t="s">
        <v>20198</v>
      </c>
      <c r="F1414" t="s">
        <v>32664</v>
      </c>
      <c r="G1414" t="s">
        <v>32671</v>
      </c>
      <c r="H1414" t="s">
        <v>12635</v>
      </c>
      <c r="I1414" t="s">
        <v>32717</v>
      </c>
      <c r="J1414" t="s">
        <v>33872</v>
      </c>
      <c r="K1414" t="s">
        <v>42281</v>
      </c>
      <c r="M1414" t="s">
        <v>43106</v>
      </c>
      <c r="N1414" t="s">
        <v>46569</v>
      </c>
      <c r="O1414" t="s">
        <v>46570</v>
      </c>
      <c r="P1414">
        <v>0</v>
      </c>
      <c r="Q1414">
        <v>3</v>
      </c>
      <c r="R1414" t="s">
        <v>46571</v>
      </c>
      <c r="S1414" t="s">
        <v>46687</v>
      </c>
      <c r="T1414" t="s">
        <v>48299</v>
      </c>
      <c r="U1414" t="s">
        <v>49875</v>
      </c>
      <c r="W1414" t="s">
        <v>43106</v>
      </c>
      <c r="X1414" t="s">
        <v>46572</v>
      </c>
    </row>
    <row r="1415" spans="1:24">
      <c r="A1415">
        <f>HYPERLINK("https://www.philgeps.gov.ph/GEPSNONPILOT/Tender/SplashBidNoticeAbstractUI.aspx?menuIndex=3&amp;refID=7066051&amp;Result=3","7066051")</f>
        <v>0</v>
      </c>
      <c r="B1415" t="s">
        <v>644</v>
      </c>
      <c r="C1415" t="s">
        <v>4907</v>
      </c>
      <c r="D1415" t="s">
        <v>18843</v>
      </c>
      <c r="E1415" t="s">
        <v>18926</v>
      </c>
      <c r="F1415" t="s">
        <v>32664</v>
      </c>
      <c r="G1415" t="s">
        <v>32671</v>
      </c>
      <c r="H1415" t="s">
        <v>12635</v>
      </c>
      <c r="I1415" t="s">
        <v>32719</v>
      </c>
      <c r="J1415" t="s">
        <v>33309</v>
      </c>
      <c r="K1415" t="s">
        <v>42289</v>
      </c>
      <c r="M1415" t="s">
        <v>43229</v>
      </c>
      <c r="N1415" t="s">
        <v>46569</v>
      </c>
      <c r="O1415" t="s">
        <v>46570</v>
      </c>
      <c r="P1415">
        <v>0</v>
      </c>
      <c r="Q1415">
        <v>3</v>
      </c>
      <c r="R1415" t="s">
        <v>46571</v>
      </c>
      <c r="S1415" t="s">
        <v>46687</v>
      </c>
      <c r="T1415" t="s">
        <v>48219</v>
      </c>
      <c r="U1415" t="s">
        <v>49993</v>
      </c>
      <c r="W1415" t="s">
        <v>43229</v>
      </c>
      <c r="X1415" t="s">
        <v>46572</v>
      </c>
    </row>
    <row r="1416" spans="1:24">
      <c r="A1416">
        <f>HYPERLINK("https://www.philgeps.gov.ph/GEPSNONPILOT/Tender/SplashBidNoticeAbstractUI.aspx?menuIndex=3&amp;refID=7066050&amp;Result=3","7066050")</f>
        <v>0</v>
      </c>
      <c r="B1416" t="s">
        <v>629</v>
      </c>
      <c r="C1416" t="s">
        <v>4908</v>
      </c>
      <c r="D1416" t="s">
        <v>18807</v>
      </c>
      <c r="E1416" t="s">
        <v>20199</v>
      </c>
      <c r="F1416" t="s">
        <v>32664</v>
      </c>
      <c r="G1416" t="s">
        <v>32671</v>
      </c>
      <c r="H1416" t="s">
        <v>12635</v>
      </c>
      <c r="I1416" t="s">
        <v>32731</v>
      </c>
      <c r="J1416" t="s">
        <v>33126</v>
      </c>
      <c r="K1416" t="s">
        <v>42283</v>
      </c>
      <c r="M1416" t="s">
        <v>43211</v>
      </c>
      <c r="N1416" t="s">
        <v>46569</v>
      </c>
      <c r="O1416" t="s">
        <v>46570</v>
      </c>
      <c r="P1416">
        <v>0</v>
      </c>
      <c r="Q1416">
        <v>0</v>
      </c>
      <c r="R1416" t="s">
        <v>46571</v>
      </c>
      <c r="S1416" t="s">
        <v>46687</v>
      </c>
      <c r="T1416" t="s">
        <v>48244</v>
      </c>
      <c r="U1416" t="s">
        <v>49994</v>
      </c>
      <c r="W1416" t="s">
        <v>43211</v>
      </c>
      <c r="X1416" t="s">
        <v>46572</v>
      </c>
    </row>
    <row r="1417" spans="1:24">
      <c r="A1417">
        <f>HYPERLINK("https://www.philgeps.gov.ph/GEPSNONPILOT/Tender/SplashBidNoticeAbstractUI.aspx?menuIndex=3&amp;refID=7066048&amp;Result=3","7066048")</f>
        <v>0</v>
      </c>
      <c r="B1417" t="s">
        <v>557</v>
      </c>
      <c r="C1417" t="s">
        <v>4909</v>
      </c>
      <c r="D1417" t="s">
        <v>18834</v>
      </c>
      <c r="E1417" t="s">
        <v>20200</v>
      </c>
      <c r="F1417" t="s">
        <v>32664</v>
      </c>
      <c r="G1417" t="s">
        <v>32671</v>
      </c>
      <c r="H1417" t="s">
        <v>12635</v>
      </c>
      <c r="I1417" t="s">
        <v>4439</v>
      </c>
      <c r="J1417" t="s">
        <v>33051</v>
      </c>
      <c r="K1417" t="s">
        <v>42289</v>
      </c>
      <c r="M1417" t="s">
        <v>43137</v>
      </c>
      <c r="N1417" t="s">
        <v>46569</v>
      </c>
      <c r="O1417" t="s">
        <v>46570</v>
      </c>
      <c r="P1417">
        <v>0</v>
      </c>
      <c r="Q1417">
        <v>0</v>
      </c>
      <c r="R1417" t="s">
        <v>46571</v>
      </c>
      <c r="S1417" t="s">
        <v>46687</v>
      </c>
      <c r="T1417" t="s">
        <v>48219</v>
      </c>
      <c r="U1417" t="s">
        <v>49932</v>
      </c>
      <c r="W1417" t="s">
        <v>43137</v>
      </c>
      <c r="X1417" t="s">
        <v>46572</v>
      </c>
    </row>
    <row r="1418" spans="1:24">
      <c r="A1418">
        <f>HYPERLINK("https://www.philgeps.gov.ph/GEPSNONPILOT/Tender/SplashBidNoticeAbstractUI.aspx?menuIndex=3&amp;refID=7066045&amp;Result=3","7066045")</f>
        <v>0</v>
      </c>
      <c r="B1418" t="s">
        <v>586</v>
      </c>
      <c r="C1418" t="s">
        <v>4910</v>
      </c>
      <c r="D1418" t="s">
        <v>18794</v>
      </c>
      <c r="E1418" t="s">
        <v>20201</v>
      </c>
      <c r="F1418" t="s">
        <v>32664</v>
      </c>
      <c r="G1418" t="s">
        <v>32672</v>
      </c>
      <c r="H1418" t="s">
        <v>12635</v>
      </c>
      <c r="I1418" t="s">
        <v>9486</v>
      </c>
      <c r="J1418" t="s">
        <v>33873</v>
      </c>
      <c r="K1418" t="s">
        <v>42281</v>
      </c>
      <c r="M1418" t="s">
        <v>43166</v>
      </c>
      <c r="N1418" t="s">
        <v>46569</v>
      </c>
      <c r="O1418" t="s">
        <v>46570</v>
      </c>
      <c r="P1418">
        <v>0</v>
      </c>
      <c r="Q1418">
        <v>1</v>
      </c>
      <c r="R1418" t="s">
        <v>46571</v>
      </c>
      <c r="S1418" t="s">
        <v>46687</v>
      </c>
      <c r="T1418" t="s">
        <v>48377</v>
      </c>
      <c r="U1418" t="s">
        <v>49995</v>
      </c>
      <c r="W1418" t="s">
        <v>43166</v>
      </c>
      <c r="X1418" t="s">
        <v>46572</v>
      </c>
    </row>
    <row r="1419" spans="1:24">
      <c r="A1419">
        <f>HYPERLINK("https://www.philgeps.gov.ph/GEPSNONPILOT/Tender/SplashBidNoticeAbstractUI.aspx?menuIndex=3&amp;refID=7066041&amp;Result=3","7066041")</f>
        <v>0</v>
      </c>
      <c r="B1419" t="s">
        <v>252</v>
      </c>
      <c r="C1419" t="s">
        <v>4911</v>
      </c>
      <c r="D1419" t="s">
        <v>18802</v>
      </c>
      <c r="E1419" t="s">
        <v>20202</v>
      </c>
      <c r="F1419" t="s">
        <v>32664</v>
      </c>
      <c r="G1419" t="s">
        <v>32671</v>
      </c>
      <c r="H1419" t="s">
        <v>12635</v>
      </c>
      <c r="I1419" t="s">
        <v>6628</v>
      </c>
      <c r="J1419" t="s">
        <v>33874</v>
      </c>
      <c r="K1419" t="s">
        <v>42283</v>
      </c>
      <c r="L1419" t="s">
        <v>252</v>
      </c>
      <c r="M1419" t="s">
        <v>42817</v>
      </c>
      <c r="N1419" t="s">
        <v>46569</v>
      </c>
      <c r="O1419" t="s">
        <v>46570</v>
      </c>
      <c r="P1419">
        <v>0</v>
      </c>
      <c r="Q1419">
        <v>1</v>
      </c>
      <c r="R1419" t="s">
        <v>46571</v>
      </c>
      <c r="S1419" t="s">
        <v>46687</v>
      </c>
      <c r="T1419" t="s">
        <v>48285</v>
      </c>
      <c r="U1419" t="s">
        <v>49436</v>
      </c>
      <c r="W1419" t="s">
        <v>42817</v>
      </c>
      <c r="X1419" t="s">
        <v>46572</v>
      </c>
    </row>
    <row r="1420" spans="1:24">
      <c r="A1420">
        <f>HYPERLINK("https://www.philgeps.gov.ph/GEPSNONPILOT/Tender/SplashBidNoticeAbstractUI.aspx?menuIndex=3&amp;refID=7066054&amp;Result=3","7066054")</f>
        <v>0</v>
      </c>
      <c r="B1420" t="s">
        <v>194</v>
      </c>
      <c r="C1420" t="s">
        <v>4912</v>
      </c>
      <c r="D1420" t="s">
        <v>18791</v>
      </c>
      <c r="E1420" t="s">
        <v>20203</v>
      </c>
      <c r="F1420" t="s">
        <v>32664</v>
      </c>
      <c r="G1420" t="s">
        <v>32672</v>
      </c>
      <c r="H1420" t="s">
        <v>32683</v>
      </c>
      <c r="I1420" t="s">
        <v>10627</v>
      </c>
      <c r="J1420" t="s">
        <v>33875</v>
      </c>
      <c r="K1420" t="s">
        <v>42356</v>
      </c>
      <c r="M1420" t="s">
        <v>43230</v>
      </c>
      <c r="N1420" t="s">
        <v>46569</v>
      </c>
      <c r="O1420" t="s">
        <v>46570</v>
      </c>
      <c r="P1420">
        <v>0</v>
      </c>
      <c r="Q1420">
        <v>0</v>
      </c>
      <c r="R1420" t="s">
        <v>46571</v>
      </c>
      <c r="S1420" t="s">
        <v>46687</v>
      </c>
      <c r="T1420" t="s">
        <v>48272</v>
      </c>
      <c r="U1420" t="s">
        <v>49996</v>
      </c>
      <c r="W1420" t="s">
        <v>43230</v>
      </c>
      <c r="X1420" t="s">
        <v>46572</v>
      </c>
    </row>
    <row r="1421" spans="1:24">
      <c r="A1421">
        <f>HYPERLINK("https://www.philgeps.gov.ph/GEPSNONPILOT/Tender/SplashBidNoticeAbstractUI.aspx?menuIndex=3&amp;refID=7066040&amp;Result=3","7066040")</f>
        <v>0</v>
      </c>
      <c r="B1421" t="s">
        <v>645</v>
      </c>
      <c r="C1421" t="s">
        <v>4913</v>
      </c>
      <c r="D1421" t="s">
        <v>18782</v>
      </c>
      <c r="E1421" t="s">
        <v>20204</v>
      </c>
      <c r="F1421" t="s">
        <v>32664</v>
      </c>
      <c r="G1421" t="s">
        <v>32672</v>
      </c>
      <c r="H1421" t="s">
        <v>32683</v>
      </c>
      <c r="I1421" t="s">
        <v>10627</v>
      </c>
      <c r="J1421" t="s">
        <v>33876</v>
      </c>
      <c r="K1421" t="s">
        <v>42298</v>
      </c>
      <c r="M1421" t="s">
        <v>43231</v>
      </c>
      <c r="N1421" t="s">
        <v>46569</v>
      </c>
      <c r="O1421" t="s">
        <v>46570</v>
      </c>
      <c r="P1421">
        <v>0</v>
      </c>
      <c r="Q1421">
        <v>0</v>
      </c>
      <c r="R1421" t="s">
        <v>46571</v>
      </c>
      <c r="S1421" t="s">
        <v>46687</v>
      </c>
      <c r="T1421" t="s">
        <v>48211</v>
      </c>
      <c r="U1421" t="s">
        <v>49997</v>
      </c>
      <c r="W1421" t="s">
        <v>43231</v>
      </c>
      <c r="X1421" t="s">
        <v>46572</v>
      </c>
    </row>
    <row r="1422" spans="1:24">
      <c r="A1422">
        <f>HYPERLINK("https://www.philgeps.gov.ph/GEPSNONPILOT/Tender/SplashBidNoticeAbstractUI.aspx?menuIndex=3&amp;refID=7066038&amp;Result=3","7066038")</f>
        <v>0</v>
      </c>
      <c r="B1422" t="s">
        <v>627</v>
      </c>
      <c r="C1422" t="s">
        <v>4914</v>
      </c>
      <c r="D1422" t="s">
        <v>18814</v>
      </c>
      <c r="E1422" t="s">
        <v>20205</v>
      </c>
      <c r="F1422" t="s">
        <v>32664</v>
      </c>
      <c r="G1422" t="s">
        <v>32672</v>
      </c>
      <c r="H1422" t="s">
        <v>12635</v>
      </c>
      <c r="I1422" t="s">
        <v>8730</v>
      </c>
      <c r="J1422" t="s">
        <v>33877</v>
      </c>
      <c r="K1422" t="s">
        <v>42281</v>
      </c>
      <c r="M1422" t="s">
        <v>43207</v>
      </c>
      <c r="N1422" t="s">
        <v>46569</v>
      </c>
      <c r="O1422" t="s">
        <v>46570</v>
      </c>
      <c r="P1422">
        <v>0</v>
      </c>
      <c r="Q1422">
        <v>0</v>
      </c>
      <c r="R1422" t="s">
        <v>46571</v>
      </c>
      <c r="S1422" t="s">
        <v>46687</v>
      </c>
      <c r="T1422" t="s">
        <v>48321</v>
      </c>
      <c r="U1422" t="s">
        <v>49952</v>
      </c>
      <c r="V1422" t="s">
        <v>61785</v>
      </c>
      <c r="W1422" t="s">
        <v>43207</v>
      </c>
      <c r="X1422" t="s">
        <v>46572</v>
      </c>
    </row>
    <row r="1423" spans="1:24">
      <c r="A1423">
        <f>HYPERLINK("https://www.philgeps.gov.ph/GEPSNONPILOT/Tender/SplashBidNoticeAbstractUI.aspx?menuIndex=3&amp;refID=7066044&amp;Result=3","7066044")</f>
        <v>0</v>
      </c>
      <c r="B1423" t="s">
        <v>301</v>
      </c>
      <c r="C1423" t="s">
        <v>4111</v>
      </c>
      <c r="D1423" t="s">
        <v>18830</v>
      </c>
      <c r="E1423" t="s">
        <v>20206</v>
      </c>
      <c r="F1423" t="s">
        <v>32664</v>
      </c>
      <c r="G1423" t="s">
        <v>32671</v>
      </c>
      <c r="H1423" t="s">
        <v>12635</v>
      </c>
      <c r="I1423" t="s">
        <v>4439</v>
      </c>
      <c r="J1423" t="s">
        <v>33878</v>
      </c>
      <c r="K1423" t="s">
        <v>42284</v>
      </c>
      <c r="M1423" t="s">
        <v>42868</v>
      </c>
      <c r="N1423" t="s">
        <v>46569</v>
      </c>
      <c r="O1423" t="s">
        <v>46570</v>
      </c>
      <c r="P1423">
        <v>0</v>
      </c>
      <c r="Q1423">
        <v>0</v>
      </c>
      <c r="R1423" t="s">
        <v>46571</v>
      </c>
      <c r="S1423" t="s">
        <v>46687</v>
      </c>
      <c r="T1423" t="s">
        <v>48221</v>
      </c>
      <c r="U1423" t="s">
        <v>49998</v>
      </c>
      <c r="W1423" t="s">
        <v>42868</v>
      </c>
      <c r="X1423" t="s">
        <v>46572</v>
      </c>
    </row>
    <row r="1424" spans="1:24">
      <c r="A1424">
        <f>HYPERLINK("https://www.philgeps.gov.ph/GEPSNONPILOT/Tender/SplashBidNoticeAbstractUI.aspx?menuIndex=3&amp;refID=7066036&amp;Result=3","7066036")</f>
        <v>0</v>
      </c>
      <c r="B1424" t="s">
        <v>646</v>
      </c>
      <c r="C1424" t="s">
        <v>4915</v>
      </c>
      <c r="E1424" t="s">
        <v>20207</v>
      </c>
      <c r="F1424" t="s">
        <v>32664</v>
      </c>
      <c r="G1424" t="s">
        <v>32672</v>
      </c>
      <c r="H1424" t="s">
        <v>32683</v>
      </c>
      <c r="I1424" t="s">
        <v>10627</v>
      </c>
      <c r="J1424" t="s">
        <v>32974</v>
      </c>
      <c r="K1424" t="s">
        <v>42298</v>
      </c>
      <c r="M1424" t="s">
        <v>43232</v>
      </c>
      <c r="N1424" t="s">
        <v>46569</v>
      </c>
      <c r="O1424" t="s">
        <v>46570</v>
      </c>
      <c r="P1424">
        <v>0</v>
      </c>
      <c r="Q1424">
        <v>0</v>
      </c>
      <c r="R1424" t="s">
        <v>46571</v>
      </c>
      <c r="S1424" t="s">
        <v>46687</v>
      </c>
      <c r="T1424" t="s">
        <v>48222</v>
      </c>
      <c r="U1424" t="s">
        <v>49999</v>
      </c>
      <c r="W1424" t="s">
        <v>43232</v>
      </c>
      <c r="X1424" t="s">
        <v>46572</v>
      </c>
    </row>
    <row r="1425" spans="1:24">
      <c r="A1425">
        <f>HYPERLINK("https://www.philgeps.gov.ph/GEPSNONPILOT/Tender/SplashBidNoticeAbstractUI.aspx?menuIndex=3&amp;refID=7066042&amp;Result=3","7066042")</f>
        <v>0</v>
      </c>
      <c r="B1425" t="s">
        <v>647</v>
      </c>
      <c r="C1425" t="s">
        <v>4916</v>
      </c>
      <c r="D1425" t="s">
        <v>18781</v>
      </c>
      <c r="E1425" t="s">
        <v>20208</v>
      </c>
      <c r="F1425" t="s">
        <v>32664</v>
      </c>
      <c r="G1425" t="s">
        <v>32671</v>
      </c>
      <c r="H1425" t="s">
        <v>12635</v>
      </c>
      <c r="I1425" t="s">
        <v>8730</v>
      </c>
      <c r="J1425" t="s">
        <v>33831</v>
      </c>
      <c r="K1425" t="s">
        <v>42283</v>
      </c>
      <c r="M1425" t="s">
        <v>43233</v>
      </c>
      <c r="N1425" t="s">
        <v>46569</v>
      </c>
      <c r="O1425" t="s">
        <v>46570</v>
      </c>
      <c r="P1425">
        <v>0</v>
      </c>
      <c r="Q1425">
        <v>2</v>
      </c>
      <c r="R1425" t="s">
        <v>46571</v>
      </c>
      <c r="S1425" t="s">
        <v>46687</v>
      </c>
      <c r="T1425" t="s">
        <v>48219</v>
      </c>
      <c r="U1425" t="s">
        <v>50000</v>
      </c>
      <c r="W1425" t="s">
        <v>43233</v>
      </c>
      <c r="X1425" t="s">
        <v>46572</v>
      </c>
    </row>
    <row r="1426" spans="1:24">
      <c r="A1426">
        <f>HYPERLINK("https://www.philgeps.gov.ph/GEPSNONPILOT/Tender/SplashBidNoticeAbstractUI.aspx?menuIndex=3&amp;refID=7066034&amp;Result=3","7066034")</f>
        <v>0</v>
      </c>
      <c r="B1426" t="s">
        <v>586</v>
      </c>
      <c r="C1426" t="s">
        <v>4917</v>
      </c>
      <c r="D1426" t="s">
        <v>18794</v>
      </c>
      <c r="E1426" t="s">
        <v>20209</v>
      </c>
      <c r="F1426" t="s">
        <v>32664</v>
      </c>
      <c r="G1426" t="s">
        <v>32672</v>
      </c>
      <c r="H1426" t="s">
        <v>12635</v>
      </c>
      <c r="I1426" t="s">
        <v>32708</v>
      </c>
      <c r="J1426" t="s">
        <v>33879</v>
      </c>
      <c r="K1426" t="s">
        <v>42281</v>
      </c>
      <c r="M1426" t="s">
        <v>43166</v>
      </c>
      <c r="N1426" t="s">
        <v>46569</v>
      </c>
      <c r="O1426" t="s">
        <v>46570</v>
      </c>
      <c r="P1426">
        <v>0</v>
      </c>
      <c r="Q1426">
        <v>1</v>
      </c>
      <c r="R1426" t="s">
        <v>46571</v>
      </c>
      <c r="S1426" t="s">
        <v>46687</v>
      </c>
      <c r="T1426" t="s">
        <v>48377</v>
      </c>
      <c r="U1426" t="s">
        <v>50001</v>
      </c>
      <c r="W1426" t="s">
        <v>43166</v>
      </c>
      <c r="X1426" t="s">
        <v>46572</v>
      </c>
    </row>
    <row r="1427" spans="1:24">
      <c r="A1427">
        <f>HYPERLINK("https://www.philgeps.gov.ph/GEPSNONPILOT/Tender/SplashBidNoticeAbstractUI.aspx?menuIndex=3&amp;refID=7066016&amp;Result=3","7066016")</f>
        <v>0</v>
      </c>
      <c r="B1427" t="s">
        <v>648</v>
      </c>
      <c r="C1427" t="s">
        <v>4918</v>
      </c>
      <c r="D1427" t="s">
        <v>18806</v>
      </c>
      <c r="E1427" t="s">
        <v>19137</v>
      </c>
      <c r="F1427" t="s">
        <v>32664</v>
      </c>
      <c r="G1427" t="s">
        <v>32672</v>
      </c>
      <c r="H1427" t="s">
        <v>32683</v>
      </c>
      <c r="I1427" t="s">
        <v>10627</v>
      </c>
      <c r="J1427" t="s">
        <v>33880</v>
      </c>
      <c r="K1427" t="s">
        <v>42305</v>
      </c>
      <c r="M1427" t="s">
        <v>43234</v>
      </c>
      <c r="N1427" t="s">
        <v>46569</v>
      </c>
      <c r="O1427" t="s">
        <v>46570</v>
      </c>
      <c r="P1427">
        <v>0</v>
      </c>
      <c r="Q1427">
        <v>0</v>
      </c>
      <c r="R1427" t="s">
        <v>46571</v>
      </c>
      <c r="S1427" t="s">
        <v>46687</v>
      </c>
      <c r="T1427" t="s">
        <v>48384</v>
      </c>
      <c r="U1427" t="s">
        <v>50002</v>
      </c>
      <c r="W1427" t="s">
        <v>43234</v>
      </c>
      <c r="X1427" t="s">
        <v>46572</v>
      </c>
    </row>
    <row r="1428" spans="1:24">
      <c r="A1428">
        <f>HYPERLINK("https://www.philgeps.gov.ph/GEPSNONPILOT/Tender/SplashBidNoticeAbstractUI.aspx?menuIndex=3&amp;refID=7066053&amp;Result=3","7066053")</f>
        <v>0</v>
      </c>
      <c r="B1428" t="s">
        <v>133</v>
      </c>
      <c r="C1428" t="s">
        <v>4919</v>
      </c>
      <c r="D1428" t="s">
        <v>18832</v>
      </c>
      <c r="E1428" t="s">
        <v>20210</v>
      </c>
      <c r="F1428" t="s">
        <v>32664</v>
      </c>
      <c r="G1428" t="s">
        <v>32671</v>
      </c>
      <c r="H1428" t="s">
        <v>12635</v>
      </c>
      <c r="I1428" t="s">
        <v>8797</v>
      </c>
      <c r="J1428" t="s">
        <v>33881</v>
      </c>
      <c r="K1428" t="s">
        <v>42281</v>
      </c>
      <c r="M1428" t="s">
        <v>42697</v>
      </c>
      <c r="N1428" t="s">
        <v>46569</v>
      </c>
      <c r="O1428" t="s">
        <v>46570</v>
      </c>
      <c r="P1428">
        <v>0</v>
      </c>
      <c r="Q1428">
        <v>0</v>
      </c>
      <c r="R1428" t="s">
        <v>46571</v>
      </c>
      <c r="S1428" t="s">
        <v>46687</v>
      </c>
      <c r="T1428" t="s">
        <v>48282</v>
      </c>
      <c r="U1428" t="s">
        <v>50003</v>
      </c>
      <c r="W1428" t="s">
        <v>42697</v>
      </c>
      <c r="X1428" t="s">
        <v>46572</v>
      </c>
    </row>
    <row r="1429" spans="1:24">
      <c r="A1429">
        <f>HYPERLINK("https://www.philgeps.gov.ph/GEPSNONPILOT/Tender/SplashBidNoticeAbstractUI.aspx?menuIndex=3&amp;refID=7066035&amp;Result=3","7066035")</f>
        <v>0</v>
      </c>
      <c r="B1429" t="s">
        <v>621</v>
      </c>
      <c r="C1429" t="s">
        <v>4840</v>
      </c>
      <c r="D1429" t="s">
        <v>18810</v>
      </c>
      <c r="E1429" t="s">
        <v>20211</v>
      </c>
      <c r="F1429" t="s">
        <v>32664</v>
      </c>
      <c r="G1429" t="s">
        <v>32674</v>
      </c>
      <c r="H1429" t="s">
        <v>12635</v>
      </c>
      <c r="I1429" t="s">
        <v>10361</v>
      </c>
      <c r="J1429" t="s">
        <v>33882</v>
      </c>
      <c r="K1429" t="s">
        <v>42284</v>
      </c>
      <c r="M1429" t="s">
        <v>43201</v>
      </c>
      <c r="N1429" t="s">
        <v>46569</v>
      </c>
      <c r="O1429" t="s">
        <v>46570</v>
      </c>
      <c r="P1429">
        <v>0</v>
      </c>
      <c r="Q1429">
        <v>0</v>
      </c>
      <c r="R1429" t="s">
        <v>46571</v>
      </c>
      <c r="S1429" t="s">
        <v>46687</v>
      </c>
      <c r="T1429" t="s">
        <v>48287</v>
      </c>
      <c r="U1429" t="s">
        <v>50004</v>
      </c>
      <c r="W1429" t="s">
        <v>43201</v>
      </c>
      <c r="X1429" t="s">
        <v>46572</v>
      </c>
    </row>
    <row r="1430" spans="1:24">
      <c r="A1430">
        <f>HYPERLINK("https://www.philgeps.gov.ph/GEPSNONPILOT/Tender/SplashBidNoticeAbstractUI.aspx?menuIndex=3&amp;refID=7066031&amp;Result=3","7066031")</f>
        <v>0</v>
      </c>
      <c r="B1430" t="s">
        <v>649</v>
      </c>
      <c r="C1430" t="s">
        <v>4920</v>
      </c>
      <c r="D1430" t="s">
        <v>18784</v>
      </c>
      <c r="E1430" t="s">
        <v>20212</v>
      </c>
      <c r="F1430" t="s">
        <v>32664</v>
      </c>
      <c r="G1430" t="s">
        <v>32671</v>
      </c>
      <c r="H1430" t="s">
        <v>12635</v>
      </c>
      <c r="I1430" t="s">
        <v>6168</v>
      </c>
      <c r="J1430" t="s">
        <v>33477</v>
      </c>
      <c r="K1430" t="s">
        <v>42289</v>
      </c>
      <c r="M1430" t="s">
        <v>43235</v>
      </c>
      <c r="N1430" t="s">
        <v>46569</v>
      </c>
      <c r="O1430" t="s">
        <v>46570</v>
      </c>
      <c r="P1430">
        <v>0</v>
      </c>
      <c r="Q1430">
        <v>4</v>
      </c>
      <c r="R1430" t="s">
        <v>46571</v>
      </c>
      <c r="S1430" t="s">
        <v>46687</v>
      </c>
      <c r="T1430" t="s">
        <v>48256</v>
      </c>
      <c r="U1430" t="s">
        <v>50005</v>
      </c>
      <c r="V1430" t="s">
        <v>61786</v>
      </c>
      <c r="W1430" t="s">
        <v>43235</v>
      </c>
      <c r="X1430" t="s">
        <v>46572</v>
      </c>
    </row>
    <row r="1431" spans="1:24">
      <c r="A1431">
        <f>HYPERLINK("https://www.philgeps.gov.ph/GEPSNONPILOT/Tender/SplashBidNoticeAbstractUI.aspx?menuIndex=3&amp;refID=7066021&amp;Result=3","7066021")</f>
        <v>0</v>
      </c>
      <c r="B1431" t="s">
        <v>241</v>
      </c>
      <c r="C1431" t="s">
        <v>4921</v>
      </c>
      <c r="D1431" t="s">
        <v>18822</v>
      </c>
      <c r="E1431" t="s">
        <v>20213</v>
      </c>
      <c r="F1431" t="s">
        <v>32664</v>
      </c>
      <c r="G1431" t="s">
        <v>32672</v>
      </c>
      <c r="H1431" t="s">
        <v>12635</v>
      </c>
      <c r="I1431" t="s">
        <v>32708</v>
      </c>
      <c r="J1431" t="s">
        <v>33883</v>
      </c>
      <c r="K1431" t="s">
        <v>42283</v>
      </c>
      <c r="M1431" t="s">
        <v>42806</v>
      </c>
      <c r="N1431" t="s">
        <v>46569</v>
      </c>
      <c r="O1431" t="s">
        <v>46570</v>
      </c>
      <c r="P1431">
        <v>0</v>
      </c>
      <c r="Q1431">
        <v>3</v>
      </c>
      <c r="R1431" t="s">
        <v>46571</v>
      </c>
      <c r="S1431" t="s">
        <v>46687</v>
      </c>
      <c r="T1431" t="s">
        <v>48253</v>
      </c>
      <c r="U1431" t="s">
        <v>50006</v>
      </c>
      <c r="W1431" t="s">
        <v>42806</v>
      </c>
      <c r="X1431" t="s">
        <v>46572</v>
      </c>
    </row>
    <row r="1432" spans="1:24">
      <c r="A1432">
        <f>HYPERLINK("https://www.philgeps.gov.ph/GEPSNONPILOT/Tender/SplashBidNoticeAbstractUI.aspx?menuIndex=3&amp;refID=7066079&amp;Result=3","7066079")</f>
        <v>0</v>
      </c>
      <c r="B1432" t="s">
        <v>650</v>
      </c>
      <c r="C1432" t="s">
        <v>4922</v>
      </c>
      <c r="D1432" t="s">
        <v>18824</v>
      </c>
      <c r="E1432" t="s">
        <v>20214</v>
      </c>
      <c r="F1432" t="s">
        <v>32664</v>
      </c>
      <c r="G1432" t="s">
        <v>32674</v>
      </c>
      <c r="H1432" t="s">
        <v>12635</v>
      </c>
      <c r="I1432" t="s">
        <v>4439</v>
      </c>
      <c r="J1432" t="s">
        <v>33884</v>
      </c>
      <c r="K1432" t="s">
        <v>42309</v>
      </c>
      <c r="M1432" t="s">
        <v>43236</v>
      </c>
      <c r="N1432" t="s">
        <v>46569</v>
      </c>
      <c r="O1432" t="s">
        <v>46570</v>
      </c>
      <c r="P1432">
        <v>0</v>
      </c>
      <c r="Q1432">
        <v>0</v>
      </c>
      <c r="R1432" t="s">
        <v>46571</v>
      </c>
      <c r="S1432" t="s">
        <v>46687</v>
      </c>
      <c r="T1432" t="s">
        <v>48211</v>
      </c>
      <c r="U1432" t="s">
        <v>50007</v>
      </c>
      <c r="W1432" t="s">
        <v>43236</v>
      </c>
      <c r="X1432" t="s">
        <v>46572</v>
      </c>
    </row>
    <row r="1433" spans="1:24">
      <c r="A1433">
        <f>HYPERLINK("https://www.philgeps.gov.ph/GEPSNONPILOT/Tender/SplashBidNoticeAbstractUI.aspx?menuIndex=3&amp;refID=7066078&amp;Result=3","7066078")</f>
        <v>0</v>
      </c>
      <c r="B1433" t="s">
        <v>648</v>
      </c>
      <c r="C1433" t="s">
        <v>4923</v>
      </c>
      <c r="D1433" t="s">
        <v>18806</v>
      </c>
      <c r="E1433" t="s">
        <v>19815</v>
      </c>
      <c r="F1433" t="s">
        <v>32664</v>
      </c>
      <c r="G1433" t="s">
        <v>32672</v>
      </c>
      <c r="H1433" t="s">
        <v>32683</v>
      </c>
      <c r="I1433" t="s">
        <v>10627</v>
      </c>
      <c r="J1433" t="s">
        <v>33885</v>
      </c>
      <c r="K1433" t="s">
        <v>42305</v>
      </c>
      <c r="M1433" t="s">
        <v>43234</v>
      </c>
      <c r="N1433" t="s">
        <v>46569</v>
      </c>
      <c r="O1433" t="s">
        <v>46570</v>
      </c>
      <c r="P1433">
        <v>0</v>
      </c>
      <c r="Q1433">
        <v>0</v>
      </c>
      <c r="R1433" t="s">
        <v>46571</v>
      </c>
      <c r="S1433" t="s">
        <v>46687</v>
      </c>
      <c r="T1433" t="s">
        <v>48328</v>
      </c>
      <c r="U1433" t="s">
        <v>50008</v>
      </c>
      <c r="W1433" t="s">
        <v>43234</v>
      </c>
      <c r="X1433" t="s">
        <v>46572</v>
      </c>
    </row>
    <row r="1434" spans="1:24">
      <c r="A1434">
        <f>HYPERLINK("https://www.philgeps.gov.ph/GEPSNONPILOT/Tender/SplashBidNoticeAbstractUI.aspx?menuIndex=3&amp;refID=7066039&amp;Result=3","7066039")</f>
        <v>0</v>
      </c>
      <c r="B1434" t="s">
        <v>651</v>
      </c>
      <c r="C1434" t="s">
        <v>4924</v>
      </c>
      <c r="D1434" t="s">
        <v>18826</v>
      </c>
      <c r="E1434" t="s">
        <v>20215</v>
      </c>
      <c r="F1434" t="s">
        <v>32664</v>
      </c>
      <c r="G1434" t="s">
        <v>32672</v>
      </c>
      <c r="H1434" t="s">
        <v>32683</v>
      </c>
      <c r="I1434" t="s">
        <v>10627</v>
      </c>
      <c r="J1434" t="s">
        <v>33886</v>
      </c>
      <c r="K1434" t="s">
        <v>42357</v>
      </c>
      <c r="M1434" t="s">
        <v>43237</v>
      </c>
      <c r="N1434" t="s">
        <v>46569</v>
      </c>
      <c r="O1434" t="s">
        <v>46570</v>
      </c>
      <c r="P1434">
        <v>0</v>
      </c>
      <c r="Q1434">
        <v>4</v>
      </c>
      <c r="R1434" t="s">
        <v>46571</v>
      </c>
      <c r="S1434" t="s">
        <v>46687</v>
      </c>
      <c r="T1434" t="s">
        <v>48385</v>
      </c>
      <c r="U1434" t="s">
        <v>50009</v>
      </c>
      <c r="W1434" t="s">
        <v>43237</v>
      </c>
      <c r="X1434" t="s">
        <v>46572</v>
      </c>
    </row>
    <row r="1435" spans="1:24">
      <c r="A1435">
        <f>HYPERLINK("https://www.philgeps.gov.ph/GEPSNONPILOT/Tender/SplashBidNoticeAbstractUI.aspx?menuIndex=3&amp;refID=7066082&amp;Result=3","7066082")</f>
        <v>0</v>
      </c>
      <c r="B1435" t="s">
        <v>229</v>
      </c>
      <c r="C1435" t="s">
        <v>4925</v>
      </c>
      <c r="D1435" t="s">
        <v>18838</v>
      </c>
      <c r="E1435" t="s">
        <v>20216</v>
      </c>
      <c r="F1435" t="s">
        <v>32664</v>
      </c>
      <c r="G1435" t="s">
        <v>32671</v>
      </c>
      <c r="H1435" t="s">
        <v>12635</v>
      </c>
      <c r="I1435" t="s">
        <v>32685</v>
      </c>
      <c r="J1435" t="s">
        <v>33887</v>
      </c>
      <c r="K1435" t="s">
        <v>42297</v>
      </c>
      <c r="M1435" t="s">
        <v>42793</v>
      </c>
      <c r="N1435" t="s">
        <v>46569</v>
      </c>
      <c r="O1435" t="s">
        <v>46570</v>
      </c>
      <c r="P1435">
        <v>0</v>
      </c>
      <c r="Q1435">
        <v>0</v>
      </c>
      <c r="R1435" t="s">
        <v>46571</v>
      </c>
      <c r="S1435" t="s">
        <v>46687</v>
      </c>
      <c r="T1435" t="s">
        <v>48221</v>
      </c>
      <c r="U1435" t="s">
        <v>50010</v>
      </c>
      <c r="W1435" t="s">
        <v>42793</v>
      </c>
      <c r="X1435" t="s">
        <v>46572</v>
      </c>
    </row>
    <row r="1436" spans="1:24">
      <c r="A1436">
        <f>HYPERLINK("https://www.philgeps.gov.ph/GEPSNONPILOT/Tender/SplashBidNoticeAbstractUI.aspx?menuIndex=3&amp;refID=7066075&amp;Result=3","7066075")</f>
        <v>0</v>
      </c>
      <c r="B1436" t="s">
        <v>652</v>
      </c>
      <c r="C1436" t="s">
        <v>4926</v>
      </c>
      <c r="D1436" t="s">
        <v>18786</v>
      </c>
      <c r="E1436" t="s">
        <v>20217</v>
      </c>
      <c r="F1436" t="s">
        <v>32664</v>
      </c>
      <c r="G1436" t="s">
        <v>32671</v>
      </c>
      <c r="H1436" t="s">
        <v>12635</v>
      </c>
      <c r="I1436" t="s">
        <v>32696</v>
      </c>
      <c r="J1436" t="s">
        <v>33888</v>
      </c>
      <c r="K1436" t="s">
        <v>42281</v>
      </c>
      <c r="M1436" t="s">
        <v>43238</v>
      </c>
      <c r="N1436" t="s">
        <v>46569</v>
      </c>
      <c r="O1436" t="s">
        <v>46570</v>
      </c>
      <c r="P1436">
        <v>0</v>
      </c>
      <c r="Q1436">
        <v>1</v>
      </c>
      <c r="R1436" t="s">
        <v>46571</v>
      </c>
      <c r="S1436" t="s">
        <v>46687</v>
      </c>
      <c r="T1436" t="s">
        <v>48285</v>
      </c>
      <c r="U1436" t="s">
        <v>50011</v>
      </c>
      <c r="W1436" t="s">
        <v>43238</v>
      </c>
      <c r="X1436" t="s">
        <v>46572</v>
      </c>
    </row>
    <row r="1437" spans="1:24">
      <c r="A1437">
        <f>HYPERLINK("https://www.philgeps.gov.ph/GEPSNONPILOT/Tender/SplashBidNoticeAbstractUI.aspx?menuIndex=3&amp;refID=7066077&amp;Result=3","7066077")</f>
        <v>0</v>
      </c>
      <c r="B1437" t="s">
        <v>413</v>
      </c>
      <c r="C1437" t="s">
        <v>4927</v>
      </c>
      <c r="D1437" t="s">
        <v>18799</v>
      </c>
      <c r="E1437" t="s">
        <v>20218</v>
      </c>
      <c r="F1437" t="s">
        <v>32664</v>
      </c>
      <c r="G1437" t="s">
        <v>32674</v>
      </c>
      <c r="H1437" t="s">
        <v>12635</v>
      </c>
      <c r="I1437" t="s">
        <v>4439</v>
      </c>
      <c r="J1437" t="s">
        <v>33889</v>
      </c>
      <c r="K1437" t="s">
        <v>42289</v>
      </c>
      <c r="M1437" t="s">
        <v>42984</v>
      </c>
      <c r="N1437" t="s">
        <v>46569</v>
      </c>
      <c r="O1437" t="s">
        <v>46570</v>
      </c>
      <c r="P1437">
        <v>0</v>
      </c>
      <c r="Q1437">
        <v>0</v>
      </c>
      <c r="R1437" t="s">
        <v>46571</v>
      </c>
      <c r="S1437" t="s">
        <v>46687</v>
      </c>
      <c r="T1437" t="s">
        <v>48343</v>
      </c>
      <c r="U1437" t="s">
        <v>49686</v>
      </c>
      <c r="W1437" t="s">
        <v>42984</v>
      </c>
      <c r="X1437" t="s">
        <v>46572</v>
      </c>
    </row>
    <row r="1438" spans="1:24">
      <c r="A1438">
        <f>HYPERLINK("https://www.philgeps.gov.ph/GEPSNONPILOT/Tender/SplashBidNoticeAbstractUI.aspx?menuIndex=3&amp;refID=7066071&amp;Result=3","7066071")</f>
        <v>0</v>
      </c>
      <c r="B1438" t="s">
        <v>653</v>
      </c>
      <c r="C1438" t="s">
        <v>4928</v>
      </c>
      <c r="D1438" t="s">
        <v>18840</v>
      </c>
      <c r="E1438" t="s">
        <v>20219</v>
      </c>
      <c r="F1438" t="s">
        <v>32664</v>
      </c>
      <c r="G1438" t="s">
        <v>32675</v>
      </c>
      <c r="H1438" t="s">
        <v>12635</v>
      </c>
      <c r="I1438" t="s">
        <v>6628</v>
      </c>
      <c r="J1438" t="s">
        <v>33890</v>
      </c>
      <c r="K1438" t="s">
        <v>42289</v>
      </c>
      <c r="M1438" t="s">
        <v>43239</v>
      </c>
      <c r="N1438" t="s">
        <v>46569</v>
      </c>
      <c r="O1438" t="s">
        <v>46570</v>
      </c>
      <c r="P1438">
        <v>0</v>
      </c>
      <c r="Q1438">
        <v>0</v>
      </c>
      <c r="R1438" t="s">
        <v>46571</v>
      </c>
      <c r="S1438" t="s">
        <v>46687</v>
      </c>
      <c r="T1438" t="s">
        <v>48251</v>
      </c>
      <c r="U1438" t="s">
        <v>50012</v>
      </c>
      <c r="W1438" t="s">
        <v>43239</v>
      </c>
      <c r="X1438" t="s">
        <v>46572</v>
      </c>
    </row>
    <row r="1439" spans="1:24">
      <c r="A1439">
        <f>HYPERLINK("https://www.philgeps.gov.ph/GEPSNONPILOT/Tender/SplashBidNoticeAbstractUI.aspx?menuIndex=3&amp;refID=7066069&amp;Result=3","7066069")</f>
        <v>0</v>
      </c>
      <c r="B1439" t="s">
        <v>277</v>
      </c>
      <c r="C1439" t="s">
        <v>4929</v>
      </c>
      <c r="E1439" t="s">
        <v>20220</v>
      </c>
      <c r="F1439" t="s">
        <v>32664</v>
      </c>
      <c r="G1439" t="s">
        <v>32671</v>
      </c>
      <c r="H1439" t="s">
        <v>12635</v>
      </c>
      <c r="I1439" t="s">
        <v>32739</v>
      </c>
      <c r="J1439" t="s">
        <v>33128</v>
      </c>
      <c r="K1439" t="s">
        <v>42283</v>
      </c>
      <c r="M1439" t="s">
        <v>42842</v>
      </c>
      <c r="N1439" t="s">
        <v>46569</v>
      </c>
      <c r="O1439" t="s">
        <v>46570</v>
      </c>
      <c r="P1439">
        <v>0</v>
      </c>
      <c r="Q1439">
        <v>2</v>
      </c>
      <c r="R1439" t="s">
        <v>46571</v>
      </c>
      <c r="S1439" t="s">
        <v>46687</v>
      </c>
      <c r="T1439" t="s">
        <v>48256</v>
      </c>
      <c r="U1439" t="s">
        <v>49273</v>
      </c>
      <c r="W1439" t="s">
        <v>42842</v>
      </c>
      <c r="X1439" t="s">
        <v>46572</v>
      </c>
    </row>
    <row r="1440" spans="1:24">
      <c r="A1440">
        <f>HYPERLINK("https://www.philgeps.gov.ph/GEPSNONPILOT/Tender/SplashBidNoticeAbstractUI.aspx?menuIndex=3&amp;refID=7066070&amp;Result=3","7066070")</f>
        <v>0</v>
      </c>
      <c r="B1440" t="s">
        <v>654</v>
      </c>
      <c r="C1440" t="s">
        <v>4930</v>
      </c>
      <c r="D1440" t="s">
        <v>18827</v>
      </c>
      <c r="E1440" t="s">
        <v>20221</v>
      </c>
      <c r="F1440" t="s">
        <v>32664</v>
      </c>
      <c r="G1440" t="s">
        <v>32672</v>
      </c>
      <c r="H1440" t="s">
        <v>32683</v>
      </c>
      <c r="I1440" t="s">
        <v>10627</v>
      </c>
      <c r="J1440" t="s">
        <v>33886</v>
      </c>
      <c r="K1440" t="s">
        <v>42358</v>
      </c>
      <c r="M1440" t="s">
        <v>43240</v>
      </c>
      <c r="N1440" t="s">
        <v>46569</v>
      </c>
      <c r="O1440" t="s">
        <v>46570</v>
      </c>
      <c r="P1440">
        <v>0</v>
      </c>
      <c r="Q1440">
        <v>1</v>
      </c>
      <c r="R1440" t="s">
        <v>46571</v>
      </c>
      <c r="S1440" t="s">
        <v>46687</v>
      </c>
      <c r="T1440" t="s">
        <v>48220</v>
      </c>
      <c r="U1440" t="s">
        <v>50013</v>
      </c>
      <c r="W1440" t="s">
        <v>43240</v>
      </c>
      <c r="X1440" t="s">
        <v>46572</v>
      </c>
    </row>
    <row r="1441" spans="1:24">
      <c r="A1441">
        <f>HYPERLINK("https://www.philgeps.gov.ph/GEPSNONPILOT/Tender/SplashBidNoticeAbstractUI.aspx?menuIndex=3&amp;refID=7066081&amp;Result=3","7066081")</f>
        <v>0</v>
      </c>
      <c r="B1441" t="s">
        <v>428</v>
      </c>
      <c r="C1441" t="s">
        <v>4931</v>
      </c>
      <c r="D1441" t="s">
        <v>18842</v>
      </c>
      <c r="E1441" t="s">
        <v>20222</v>
      </c>
      <c r="F1441" t="s">
        <v>32664</v>
      </c>
      <c r="G1441" t="s">
        <v>32671</v>
      </c>
      <c r="H1441" t="s">
        <v>12635</v>
      </c>
      <c r="I1441" t="s">
        <v>14442</v>
      </c>
      <c r="J1441" t="s">
        <v>33891</v>
      </c>
      <c r="K1441" t="s">
        <v>42281</v>
      </c>
      <c r="M1441" t="s">
        <v>43241</v>
      </c>
      <c r="N1441" t="s">
        <v>46569</v>
      </c>
      <c r="O1441" t="s">
        <v>46570</v>
      </c>
      <c r="P1441">
        <v>0</v>
      </c>
      <c r="Q1441">
        <v>2</v>
      </c>
      <c r="R1441" t="s">
        <v>46571</v>
      </c>
      <c r="S1441" t="s">
        <v>46687</v>
      </c>
      <c r="T1441" t="s">
        <v>48315</v>
      </c>
      <c r="U1441" t="s">
        <v>50014</v>
      </c>
      <c r="W1441" t="s">
        <v>43241</v>
      </c>
      <c r="X1441" t="s">
        <v>46572</v>
      </c>
    </row>
    <row r="1442" spans="1:24">
      <c r="A1442">
        <f>HYPERLINK("https://www.philgeps.gov.ph/GEPSNONPILOT/Tender/SplashBidNoticeAbstractUI.aspx?menuIndex=3&amp;refID=7066065&amp;Result=3","7066065")</f>
        <v>0</v>
      </c>
      <c r="B1442" t="s">
        <v>528</v>
      </c>
      <c r="C1442" t="s">
        <v>4932</v>
      </c>
      <c r="D1442" t="s">
        <v>18803</v>
      </c>
      <c r="E1442" t="s">
        <v>20223</v>
      </c>
      <c r="F1442" t="s">
        <v>32664</v>
      </c>
      <c r="G1442" t="s">
        <v>32671</v>
      </c>
      <c r="H1442" t="s">
        <v>12635</v>
      </c>
      <c r="I1442" t="s">
        <v>32717</v>
      </c>
      <c r="J1442" t="s">
        <v>33892</v>
      </c>
      <c r="K1442" t="s">
        <v>42298</v>
      </c>
      <c r="M1442" t="s">
        <v>43106</v>
      </c>
      <c r="N1442" t="s">
        <v>46569</v>
      </c>
      <c r="O1442" t="s">
        <v>46570</v>
      </c>
      <c r="P1442">
        <v>0</v>
      </c>
      <c r="Q1442">
        <v>3</v>
      </c>
      <c r="R1442" t="s">
        <v>46571</v>
      </c>
      <c r="S1442" t="s">
        <v>46687</v>
      </c>
      <c r="T1442" t="s">
        <v>48386</v>
      </c>
      <c r="U1442" t="s">
        <v>49875</v>
      </c>
      <c r="W1442" t="s">
        <v>43106</v>
      </c>
      <c r="X1442" t="s">
        <v>46572</v>
      </c>
    </row>
    <row r="1443" spans="1:24">
      <c r="A1443">
        <f>HYPERLINK("https://www.philgeps.gov.ph/GEPSNONPILOT/Tender/SplashBidNoticeAbstractUI.aspx?menuIndex=3&amp;refID=7066012&amp;Result=3","7066012")</f>
        <v>0</v>
      </c>
      <c r="B1443" t="s">
        <v>625</v>
      </c>
      <c r="C1443" t="s">
        <v>4933</v>
      </c>
      <c r="D1443" t="s">
        <v>18826</v>
      </c>
      <c r="E1443" t="s">
        <v>20224</v>
      </c>
      <c r="F1443" t="s">
        <v>32664</v>
      </c>
      <c r="G1443" t="s">
        <v>32674</v>
      </c>
      <c r="H1443" t="s">
        <v>12635</v>
      </c>
      <c r="I1443" t="s">
        <v>8797</v>
      </c>
      <c r="J1443" t="s">
        <v>33893</v>
      </c>
      <c r="K1443" t="s">
        <v>42309</v>
      </c>
      <c r="M1443" t="s">
        <v>43205</v>
      </c>
      <c r="N1443" t="s">
        <v>46569</v>
      </c>
      <c r="O1443" t="s">
        <v>46570</v>
      </c>
      <c r="P1443">
        <v>0</v>
      </c>
      <c r="Q1443">
        <v>1</v>
      </c>
      <c r="R1443" t="s">
        <v>46571</v>
      </c>
      <c r="S1443" t="s">
        <v>46687</v>
      </c>
      <c r="T1443" t="s">
        <v>48312</v>
      </c>
      <c r="U1443" t="s">
        <v>50015</v>
      </c>
      <c r="W1443" t="s">
        <v>43205</v>
      </c>
      <c r="X1443" t="s">
        <v>46572</v>
      </c>
    </row>
    <row r="1444" spans="1:24">
      <c r="A1444">
        <f>HYPERLINK("https://www.philgeps.gov.ph/GEPSNONPILOT/Tender/SplashBidNoticeAbstractUI.aspx?menuIndex=3&amp;refID=7066064&amp;Result=3","7066064")</f>
        <v>0</v>
      </c>
      <c r="B1444" t="s">
        <v>68</v>
      </c>
      <c r="C1444" t="s">
        <v>4934</v>
      </c>
      <c r="D1444" t="s">
        <v>18815</v>
      </c>
      <c r="E1444" t="s">
        <v>19000</v>
      </c>
      <c r="F1444" t="s">
        <v>32664</v>
      </c>
      <c r="G1444" t="s">
        <v>32672</v>
      </c>
      <c r="H1444" t="s">
        <v>12635</v>
      </c>
      <c r="I1444" t="s">
        <v>6628</v>
      </c>
      <c r="J1444" t="s">
        <v>33894</v>
      </c>
      <c r="K1444" t="s">
        <v>42283</v>
      </c>
      <c r="M1444" t="s">
        <v>42631</v>
      </c>
      <c r="N1444" t="s">
        <v>46569</v>
      </c>
      <c r="O1444" t="s">
        <v>46570</v>
      </c>
      <c r="P1444">
        <v>0</v>
      </c>
      <c r="Q1444">
        <v>0</v>
      </c>
      <c r="R1444" t="s">
        <v>46571</v>
      </c>
      <c r="S1444" t="s">
        <v>46687</v>
      </c>
      <c r="T1444" t="s">
        <v>48220</v>
      </c>
      <c r="U1444" t="s">
        <v>50016</v>
      </c>
      <c r="V1444" t="s">
        <v>61787</v>
      </c>
      <c r="W1444" t="s">
        <v>42631</v>
      </c>
      <c r="X1444" t="s">
        <v>46572</v>
      </c>
    </row>
    <row r="1445" spans="1:24">
      <c r="A1445">
        <f>HYPERLINK("https://www.philgeps.gov.ph/GEPSNONPILOT/Tender/SplashBidNoticeAbstractUI.aspx?menuIndex=3&amp;refID=7066063&amp;Result=3","7066063")</f>
        <v>0</v>
      </c>
      <c r="B1445" t="s">
        <v>301</v>
      </c>
      <c r="C1445" t="s">
        <v>4205</v>
      </c>
      <c r="D1445" t="s">
        <v>18830</v>
      </c>
      <c r="E1445" t="s">
        <v>20225</v>
      </c>
      <c r="F1445" t="s">
        <v>32664</v>
      </c>
      <c r="G1445" t="s">
        <v>32671</v>
      </c>
      <c r="H1445" t="s">
        <v>12635</v>
      </c>
      <c r="I1445" t="s">
        <v>4205</v>
      </c>
      <c r="J1445" t="s">
        <v>33895</v>
      </c>
      <c r="K1445" t="s">
        <v>42284</v>
      </c>
      <c r="M1445" t="s">
        <v>42868</v>
      </c>
      <c r="N1445" t="s">
        <v>46569</v>
      </c>
      <c r="O1445" t="s">
        <v>46570</v>
      </c>
      <c r="P1445">
        <v>0</v>
      </c>
      <c r="Q1445">
        <v>1</v>
      </c>
      <c r="R1445" t="s">
        <v>46571</v>
      </c>
      <c r="S1445" t="s">
        <v>46687</v>
      </c>
      <c r="T1445" t="s">
        <v>48221</v>
      </c>
      <c r="U1445" t="s">
        <v>50017</v>
      </c>
      <c r="W1445" t="s">
        <v>42868</v>
      </c>
      <c r="X1445" t="s">
        <v>46572</v>
      </c>
    </row>
    <row r="1446" spans="1:24">
      <c r="A1446">
        <f>HYPERLINK("https://www.philgeps.gov.ph/GEPSNONPILOT/Tender/SplashBidNoticeAbstractUI.aspx?menuIndex=3&amp;refID=7066059&amp;Result=3","7066059")</f>
        <v>0</v>
      </c>
      <c r="B1446" t="s">
        <v>419</v>
      </c>
      <c r="C1446" t="s">
        <v>4935</v>
      </c>
      <c r="D1446" t="s">
        <v>18784</v>
      </c>
      <c r="E1446" t="s">
        <v>20226</v>
      </c>
      <c r="F1446" t="s">
        <v>32664</v>
      </c>
      <c r="G1446" t="s">
        <v>32671</v>
      </c>
      <c r="H1446" t="s">
        <v>12635</v>
      </c>
      <c r="I1446" t="s">
        <v>32701</v>
      </c>
      <c r="J1446" t="s">
        <v>33896</v>
      </c>
      <c r="K1446" t="s">
        <v>42283</v>
      </c>
      <c r="M1446" t="s">
        <v>42990</v>
      </c>
      <c r="N1446" t="s">
        <v>46569</v>
      </c>
      <c r="O1446" t="s">
        <v>46570</v>
      </c>
      <c r="P1446">
        <v>0</v>
      </c>
      <c r="Q1446">
        <v>0</v>
      </c>
      <c r="R1446" t="s">
        <v>46571</v>
      </c>
      <c r="S1446" t="s">
        <v>46687</v>
      </c>
      <c r="T1446" t="s">
        <v>48276</v>
      </c>
      <c r="U1446" t="s">
        <v>50018</v>
      </c>
      <c r="W1446" t="s">
        <v>42990</v>
      </c>
      <c r="X1446" t="s">
        <v>46572</v>
      </c>
    </row>
    <row r="1447" spans="1:24">
      <c r="A1447">
        <f>HYPERLINK("https://www.philgeps.gov.ph/GEPSNONPILOT/Tender/SplashBidNoticeAbstractUI.aspx?menuIndex=3&amp;refID=7066073&amp;Result=3","7066073")</f>
        <v>0</v>
      </c>
      <c r="B1447" t="s">
        <v>655</v>
      </c>
      <c r="C1447" t="s">
        <v>4936</v>
      </c>
      <c r="D1447" t="s">
        <v>18841</v>
      </c>
      <c r="E1447" t="s">
        <v>20227</v>
      </c>
      <c r="F1447" t="s">
        <v>32664</v>
      </c>
      <c r="G1447" t="s">
        <v>32671</v>
      </c>
      <c r="H1447" t="s">
        <v>12635</v>
      </c>
      <c r="I1447" t="s">
        <v>32701</v>
      </c>
      <c r="J1447" t="s">
        <v>32962</v>
      </c>
      <c r="K1447" t="s">
        <v>42359</v>
      </c>
      <c r="M1447" t="s">
        <v>43242</v>
      </c>
      <c r="N1447" t="s">
        <v>46569</v>
      </c>
      <c r="O1447" t="s">
        <v>46570</v>
      </c>
      <c r="P1447">
        <v>0</v>
      </c>
      <c r="Q1447">
        <v>0</v>
      </c>
      <c r="R1447" t="s">
        <v>46571</v>
      </c>
      <c r="S1447" t="s">
        <v>46687</v>
      </c>
      <c r="T1447" t="s">
        <v>48305</v>
      </c>
      <c r="U1447" t="s">
        <v>50019</v>
      </c>
      <c r="W1447" t="s">
        <v>43242</v>
      </c>
      <c r="X1447" t="s">
        <v>46572</v>
      </c>
    </row>
    <row r="1448" spans="1:24">
      <c r="A1448">
        <f>HYPERLINK("https://www.philgeps.gov.ph/GEPSNONPILOT/Tender/SplashBidNoticeAbstractUI.aspx?menuIndex=3&amp;refID=7066080&amp;Result=3","7066080")</f>
        <v>0</v>
      </c>
      <c r="B1448" t="s">
        <v>656</v>
      </c>
      <c r="C1448" t="s">
        <v>4937</v>
      </c>
      <c r="D1448" t="s">
        <v>18801</v>
      </c>
      <c r="E1448" t="s">
        <v>20228</v>
      </c>
      <c r="F1448" t="s">
        <v>32664</v>
      </c>
      <c r="G1448" t="s">
        <v>32672</v>
      </c>
      <c r="H1448" t="s">
        <v>12635</v>
      </c>
      <c r="I1448" t="s">
        <v>9486</v>
      </c>
      <c r="J1448" t="s">
        <v>33897</v>
      </c>
      <c r="K1448" t="s">
        <v>42283</v>
      </c>
      <c r="M1448" t="s">
        <v>43243</v>
      </c>
      <c r="N1448" t="s">
        <v>46569</v>
      </c>
      <c r="O1448" t="s">
        <v>46570</v>
      </c>
      <c r="P1448">
        <v>0</v>
      </c>
      <c r="Q1448">
        <v>3</v>
      </c>
      <c r="R1448" t="s">
        <v>46571</v>
      </c>
      <c r="S1448" t="s">
        <v>46687</v>
      </c>
      <c r="T1448" t="s">
        <v>48234</v>
      </c>
      <c r="U1448" t="s">
        <v>50020</v>
      </c>
      <c r="W1448" t="s">
        <v>63487</v>
      </c>
      <c r="X1448" t="s">
        <v>46572</v>
      </c>
    </row>
    <row r="1449" spans="1:24">
      <c r="A1449">
        <f>HYPERLINK("https://www.philgeps.gov.ph/GEPSNONPILOT/Tender/SplashBidNoticeAbstractUI.aspx?menuIndex=3&amp;refID=7066030&amp;Result=3","7066030")</f>
        <v>0</v>
      </c>
      <c r="B1449" t="s">
        <v>657</v>
      </c>
      <c r="C1449" t="s">
        <v>4938</v>
      </c>
      <c r="D1449" t="s">
        <v>18839</v>
      </c>
      <c r="E1449" t="s">
        <v>20229</v>
      </c>
      <c r="F1449" t="s">
        <v>32664</v>
      </c>
      <c r="G1449" t="s">
        <v>32671</v>
      </c>
      <c r="H1449" t="s">
        <v>12635</v>
      </c>
      <c r="I1449" t="s">
        <v>32755</v>
      </c>
      <c r="J1449" t="s">
        <v>33898</v>
      </c>
      <c r="K1449" t="s">
        <v>42289</v>
      </c>
      <c r="M1449" t="s">
        <v>43244</v>
      </c>
      <c r="N1449" t="s">
        <v>46569</v>
      </c>
      <c r="O1449" t="s">
        <v>46570</v>
      </c>
      <c r="P1449">
        <v>0</v>
      </c>
      <c r="Q1449">
        <v>0</v>
      </c>
      <c r="R1449" t="s">
        <v>46571</v>
      </c>
      <c r="S1449" t="s">
        <v>46687</v>
      </c>
      <c r="T1449" t="s">
        <v>48244</v>
      </c>
      <c r="U1449" t="s">
        <v>50021</v>
      </c>
      <c r="W1449" t="s">
        <v>43244</v>
      </c>
      <c r="X1449" t="s">
        <v>46572</v>
      </c>
    </row>
    <row r="1450" spans="1:24">
      <c r="A1450">
        <f>HYPERLINK("https://www.philgeps.gov.ph/GEPSNONPILOT/Tender/SplashBidNoticeAbstractUI.aspx?menuIndex=3&amp;refID=7066011&amp;Result=3","7066011")</f>
        <v>0</v>
      </c>
      <c r="B1450" t="s">
        <v>658</v>
      </c>
      <c r="C1450" t="s">
        <v>4939</v>
      </c>
      <c r="D1450" t="s">
        <v>18826</v>
      </c>
      <c r="E1450" t="s">
        <v>19380</v>
      </c>
      <c r="F1450" t="s">
        <v>32664</v>
      </c>
      <c r="G1450" t="s">
        <v>32674</v>
      </c>
      <c r="H1450" t="s">
        <v>12635</v>
      </c>
      <c r="I1450" t="s">
        <v>8797</v>
      </c>
      <c r="J1450" t="s">
        <v>33899</v>
      </c>
      <c r="K1450" t="s">
        <v>42281</v>
      </c>
      <c r="M1450" t="s">
        <v>43245</v>
      </c>
      <c r="N1450" t="s">
        <v>46569</v>
      </c>
      <c r="O1450" t="s">
        <v>46570</v>
      </c>
      <c r="P1450">
        <v>0</v>
      </c>
      <c r="Q1450">
        <v>1</v>
      </c>
      <c r="R1450" t="s">
        <v>46571</v>
      </c>
      <c r="S1450" t="s">
        <v>46687</v>
      </c>
      <c r="T1450" t="s">
        <v>48281</v>
      </c>
      <c r="U1450" t="s">
        <v>50022</v>
      </c>
      <c r="V1450" t="s">
        <v>61788</v>
      </c>
      <c r="W1450" t="s">
        <v>43245</v>
      </c>
      <c r="X1450" t="s">
        <v>46572</v>
      </c>
    </row>
    <row r="1451" spans="1:24">
      <c r="A1451">
        <f>HYPERLINK("https://www.philgeps.gov.ph/GEPSNONPILOT/Tender/SplashBidNoticeAbstractUI.aspx?menuIndex=3&amp;refID=7066010&amp;Result=3","7066010")</f>
        <v>0</v>
      </c>
      <c r="B1451" t="s">
        <v>369</v>
      </c>
      <c r="C1451" t="s">
        <v>4940</v>
      </c>
      <c r="D1451" t="s">
        <v>18816</v>
      </c>
      <c r="E1451" t="s">
        <v>20230</v>
      </c>
      <c r="F1451" t="s">
        <v>32664</v>
      </c>
      <c r="G1451" t="s">
        <v>32671</v>
      </c>
      <c r="H1451" t="s">
        <v>12635</v>
      </c>
      <c r="I1451" t="s">
        <v>4205</v>
      </c>
      <c r="J1451" t="s">
        <v>33900</v>
      </c>
      <c r="K1451" t="s">
        <v>42289</v>
      </c>
      <c r="M1451" t="s">
        <v>42938</v>
      </c>
      <c r="N1451" t="s">
        <v>46569</v>
      </c>
      <c r="O1451" t="s">
        <v>46570</v>
      </c>
      <c r="P1451">
        <v>0</v>
      </c>
      <c r="Q1451">
        <v>0</v>
      </c>
      <c r="R1451" t="s">
        <v>46571</v>
      </c>
      <c r="S1451" t="s">
        <v>46687</v>
      </c>
      <c r="T1451" t="s">
        <v>48223</v>
      </c>
      <c r="U1451" t="s">
        <v>50023</v>
      </c>
      <c r="W1451" t="s">
        <v>42938</v>
      </c>
      <c r="X1451" t="s">
        <v>46572</v>
      </c>
    </row>
    <row r="1452" spans="1:24">
      <c r="A1452">
        <f>HYPERLINK("https://www.philgeps.gov.ph/GEPSNONPILOT/Tender/SplashBidNoticeAbstractUI.aspx?menuIndex=3&amp;refID=7066009&amp;Result=3","7066009")</f>
        <v>0</v>
      </c>
      <c r="B1452" t="s">
        <v>659</v>
      </c>
      <c r="C1452" t="s">
        <v>4941</v>
      </c>
      <c r="D1452" t="s">
        <v>18792</v>
      </c>
      <c r="E1452" t="s">
        <v>19380</v>
      </c>
      <c r="F1452" t="s">
        <v>32664</v>
      </c>
      <c r="G1452" t="s">
        <v>32672</v>
      </c>
      <c r="H1452" t="s">
        <v>12635</v>
      </c>
      <c r="I1452" t="s">
        <v>4439</v>
      </c>
      <c r="J1452" t="s">
        <v>33901</v>
      </c>
      <c r="K1452" t="s">
        <v>42281</v>
      </c>
      <c r="M1452" t="s">
        <v>43246</v>
      </c>
      <c r="N1452" t="s">
        <v>46569</v>
      </c>
      <c r="O1452" t="s">
        <v>46570</v>
      </c>
      <c r="P1452">
        <v>0</v>
      </c>
      <c r="Q1452">
        <v>0</v>
      </c>
      <c r="R1452" t="s">
        <v>46571</v>
      </c>
      <c r="S1452" t="s">
        <v>46687</v>
      </c>
      <c r="T1452" t="s">
        <v>48387</v>
      </c>
      <c r="U1452" t="s">
        <v>50024</v>
      </c>
      <c r="W1452" t="s">
        <v>43246</v>
      </c>
      <c r="X1452" t="s">
        <v>46572</v>
      </c>
    </row>
    <row r="1453" spans="1:24">
      <c r="A1453">
        <f>HYPERLINK("https://www.philgeps.gov.ph/GEPSNONPILOT/Tender/SplashBidNoticeAbstractUI.aspx?menuIndex=3&amp;refID=7066087&amp;Result=3","7066087")</f>
        <v>0</v>
      </c>
      <c r="B1453" t="s">
        <v>654</v>
      </c>
      <c r="C1453" t="s">
        <v>4942</v>
      </c>
      <c r="D1453" t="s">
        <v>18827</v>
      </c>
      <c r="E1453" t="s">
        <v>20231</v>
      </c>
      <c r="F1453" t="s">
        <v>32664</v>
      </c>
      <c r="G1453" t="s">
        <v>32672</v>
      </c>
      <c r="H1453" t="s">
        <v>32683</v>
      </c>
      <c r="I1453" t="s">
        <v>10627</v>
      </c>
      <c r="J1453" t="s">
        <v>33886</v>
      </c>
      <c r="K1453" t="s">
        <v>42360</v>
      </c>
      <c r="M1453" t="s">
        <v>43240</v>
      </c>
      <c r="N1453" t="s">
        <v>46569</v>
      </c>
      <c r="O1453" t="s">
        <v>46570</v>
      </c>
      <c r="P1453">
        <v>0</v>
      </c>
      <c r="Q1453">
        <v>1</v>
      </c>
      <c r="R1453" t="s">
        <v>46571</v>
      </c>
      <c r="S1453" t="s">
        <v>46687</v>
      </c>
      <c r="T1453" t="s">
        <v>48220</v>
      </c>
      <c r="U1453" t="s">
        <v>50013</v>
      </c>
      <c r="W1453" t="s">
        <v>43240</v>
      </c>
      <c r="X1453" t="s">
        <v>46572</v>
      </c>
    </row>
    <row r="1454" spans="1:24">
      <c r="A1454">
        <f>HYPERLINK("https://www.philgeps.gov.ph/GEPSNONPILOT/Tender/SplashBidNoticeAbstractUI.aspx?menuIndex=3&amp;refID=7066108&amp;Result=3","7066108")</f>
        <v>0</v>
      </c>
      <c r="B1454" t="s">
        <v>660</v>
      </c>
      <c r="C1454" t="s">
        <v>4943</v>
      </c>
      <c r="D1454" t="s">
        <v>18855</v>
      </c>
      <c r="E1454" t="s">
        <v>20232</v>
      </c>
      <c r="F1454" t="s">
        <v>32664</v>
      </c>
      <c r="G1454" t="s">
        <v>32674</v>
      </c>
      <c r="H1454" t="s">
        <v>12635</v>
      </c>
      <c r="I1454" t="s">
        <v>9486</v>
      </c>
      <c r="J1454" t="s">
        <v>33531</v>
      </c>
      <c r="K1454" t="s">
        <v>42283</v>
      </c>
      <c r="M1454" t="s">
        <v>43247</v>
      </c>
      <c r="N1454" t="s">
        <v>46569</v>
      </c>
      <c r="O1454" t="s">
        <v>46570</v>
      </c>
      <c r="P1454">
        <v>0</v>
      </c>
      <c r="Q1454">
        <v>1</v>
      </c>
      <c r="R1454" t="s">
        <v>46571</v>
      </c>
      <c r="S1454" t="s">
        <v>46687</v>
      </c>
      <c r="T1454" t="s">
        <v>48388</v>
      </c>
      <c r="U1454" t="s">
        <v>50025</v>
      </c>
      <c r="W1454" t="s">
        <v>43247</v>
      </c>
      <c r="X1454" t="s">
        <v>46572</v>
      </c>
    </row>
    <row r="1455" spans="1:24">
      <c r="A1455">
        <f>HYPERLINK("https://www.philgeps.gov.ph/GEPSNONPILOT/Tender/SplashBidNoticeAbstractUI.aspx?menuIndex=3&amp;refID=7066062&amp;Result=3","7066062")</f>
        <v>0</v>
      </c>
      <c r="B1455" t="s">
        <v>229</v>
      </c>
      <c r="C1455" t="s">
        <v>4944</v>
      </c>
      <c r="D1455" t="s">
        <v>18838</v>
      </c>
      <c r="E1455" t="s">
        <v>20233</v>
      </c>
      <c r="F1455" t="s">
        <v>32664</v>
      </c>
      <c r="G1455" t="s">
        <v>32671</v>
      </c>
      <c r="H1455" t="s">
        <v>12635</v>
      </c>
      <c r="I1455" t="s">
        <v>32701</v>
      </c>
      <c r="J1455" t="s">
        <v>33119</v>
      </c>
      <c r="K1455" t="s">
        <v>42359</v>
      </c>
      <c r="M1455" t="s">
        <v>42793</v>
      </c>
      <c r="N1455" t="s">
        <v>46569</v>
      </c>
      <c r="O1455" t="s">
        <v>46570</v>
      </c>
      <c r="P1455">
        <v>0</v>
      </c>
      <c r="Q1455">
        <v>0</v>
      </c>
      <c r="R1455" t="s">
        <v>46571</v>
      </c>
      <c r="S1455" t="s">
        <v>46687</v>
      </c>
      <c r="T1455" t="s">
        <v>48221</v>
      </c>
      <c r="U1455" t="s">
        <v>50026</v>
      </c>
      <c r="W1455" t="s">
        <v>42793</v>
      </c>
      <c r="X1455" t="s">
        <v>46572</v>
      </c>
    </row>
    <row r="1456" spans="1:24">
      <c r="A1456">
        <f>HYPERLINK("https://www.philgeps.gov.ph/GEPSNONPILOT/Tender/SplashBidNoticeAbstractUI.aspx?menuIndex=3&amp;refID=7066106&amp;Result=3","7066106")</f>
        <v>0</v>
      </c>
      <c r="B1456" t="s">
        <v>229</v>
      </c>
      <c r="C1456" t="s">
        <v>4945</v>
      </c>
      <c r="D1456" t="s">
        <v>18838</v>
      </c>
      <c r="E1456" t="s">
        <v>20234</v>
      </c>
      <c r="F1456" t="s">
        <v>32664</v>
      </c>
      <c r="G1456" t="s">
        <v>32671</v>
      </c>
      <c r="H1456" t="s">
        <v>12635</v>
      </c>
      <c r="I1456" t="s">
        <v>6628</v>
      </c>
      <c r="J1456" t="s">
        <v>33215</v>
      </c>
      <c r="K1456" t="s">
        <v>42297</v>
      </c>
      <c r="M1456" t="s">
        <v>42793</v>
      </c>
      <c r="N1456" t="s">
        <v>46569</v>
      </c>
      <c r="O1456" t="s">
        <v>46570</v>
      </c>
      <c r="P1456">
        <v>0</v>
      </c>
      <c r="Q1456">
        <v>0</v>
      </c>
      <c r="R1456" t="s">
        <v>46571</v>
      </c>
      <c r="S1456" t="s">
        <v>46687</v>
      </c>
      <c r="T1456" t="s">
        <v>48221</v>
      </c>
      <c r="U1456" t="s">
        <v>50027</v>
      </c>
      <c r="W1456" t="s">
        <v>42793</v>
      </c>
      <c r="X1456" t="s">
        <v>46572</v>
      </c>
    </row>
    <row r="1457" spans="1:24">
      <c r="A1457">
        <f>HYPERLINK("https://www.philgeps.gov.ph/GEPSNONPILOT/Tender/SplashBidNoticeAbstractUI.aspx?menuIndex=3&amp;refID=7066066&amp;Result=3","7066066")</f>
        <v>0</v>
      </c>
      <c r="B1457" t="s">
        <v>633</v>
      </c>
      <c r="C1457" t="s">
        <v>4946</v>
      </c>
      <c r="D1457" t="s">
        <v>18814</v>
      </c>
      <c r="E1457" t="s">
        <v>20235</v>
      </c>
      <c r="F1457" t="s">
        <v>32664</v>
      </c>
      <c r="G1457" t="s">
        <v>32674</v>
      </c>
      <c r="H1457" t="s">
        <v>12635</v>
      </c>
      <c r="I1457" t="s">
        <v>32745</v>
      </c>
      <c r="J1457" t="s">
        <v>33902</v>
      </c>
      <c r="K1457" t="s">
        <v>42306</v>
      </c>
      <c r="M1457" t="s">
        <v>43216</v>
      </c>
      <c r="N1457" t="s">
        <v>46569</v>
      </c>
      <c r="O1457" t="s">
        <v>46570</v>
      </c>
      <c r="P1457">
        <v>0</v>
      </c>
      <c r="Q1457">
        <v>0</v>
      </c>
      <c r="R1457" t="s">
        <v>46571</v>
      </c>
      <c r="S1457" t="s">
        <v>46687</v>
      </c>
      <c r="T1457" t="s">
        <v>48221</v>
      </c>
      <c r="U1457" t="s">
        <v>50028</v>
      </c>
      <c r="W1457" t="s">
        <v>43216</v>
      </c>
      <c r="X1457" t="s">
        <v>46572</v>
      </c>
    </row>
    <row r="1458" spans="1:24">
      <c r="A1458">
        <f>HYPERLINK("https://www.philgeps.gov.ph/GEPSNONPILOT/Tender/SplashBidNoticeAbstractUI.aspx?menuIndex=3&amp;refID=7066105&amp;Result=3","7066105")</f>
        <v>0</v>
      </c>
      <c r="B1458" t="s">
        <v>611</v>
      </c>
      <c r="C1458" t="s">
        <v>4947</v>
      </c>
      <c r="D1458" t="s">
        <v>18784</v>
      </c>
      <c r="E1458" t="s">
        <v>20236</v>
      </c>
      <c r="F1458" t="s">
        <v>32664</v>
      </c>
      <c r="G1458" t="s">
        <v>32671</v>
      </c>
      <c r="H1458" t="s">
        <v>12635</v>
      </c>
      <c r="I1458" t="s">
        <v>32727</v>
      </c>
      <c r="J1458" t="s">
        <v>32918</v>
      </c>
      <c r="K1458" t="s">
        <v>42283</v>
      </c>
      <c r="M1458" t="s">
        <v>43191</v>
      </c>
      <c r="N1458" t="s">
        <v>46569</v>
      </c>
      <c r="O1458" t="s">
        <v>46570</v>
      </c>
      <c r="P1458">
        <v>0</v>
      </c>
      <c r="Q1458">
        <v>0</v>
      </c>
      <c r="R1458" t="s">
        <v>46571</v>
      </c>
      <c r="S1458" t="s">
        <v>46687</v>
      </c>
      <c r="T1458" t="s">
        <v>48250</v>
      </c>
      <c r="U1458" t="s">
        <v>50029</v>
      </c>
      <c r="W1458" t="s">
        <v>43191</v>
      </c>
      <c r="X1458" t="s">
        <v>46572</v>
      </c>
    </row>
    <row r="1459" spans="1:24">
      <c r="A1459">
        <f>HYPERLINK("https://www.philgeps.gov.ph/GEPSNONPILOT/Tender/SplashBidNoticeAbstractUI.aspx?menuIndex=3&amp;refID=7066109&amp;Result=3","7066109")</f>
        <v>0</v>
      </c>
      <c r="B1459" t="s">
        <v>557</v>
      </c>
      <c r="C1459" t="s">
        <v>4948</v>
      </c>
      <c r="D1459" t="s">
        <v>18834</v>
      </c>
      <c r="E1459" t="s">
        <v>20237</v>
      </c>
      <c r="F1459" t="s">
        <v>32664</v>
      </c>
      <c r="G1459" t="s">
        <v>32671</v>
      </c>
      <c r="H1459" t="s">
        <v>12635</v>
      </c>
      <c r="I1459" t="s">
        <v>4439</v>
      </c>
      <c r="J1459" t="s">
        <v>32859</v>
      </c>
      <c r="K1459" t="s">
        <v>42289</v>
      </c>
      <c r="M1459" t="s">
        <v>43137</v>
      </c>
      <c r="N1459" t="s">
        <v>46569</v>
      </c>
      <c r="O1459" t="s">
        <v>46570</v>
      </c>
      <c r="P1459">
        <v>0</v>
      </c>
      <c r="Q1459">
        <v>0</v>
      </c>
      <c r="R1459" t="s">
        <v>46571</v>
      </c>
      <c r="S1459" t="s">
        <v>46687</v>
      </c>
      <c r="T1459" t="s">
        <v>48219</v>
      </c>
      <c r="U1459" t="s">
        <v>49932</v>
      </c>
      <c r="W1459" t="s">
        <v>43137</v>
      </c>
      <c r="X1459" t="s">
        <v>46572</v>
      </c>
    </row>
    <row r="1460" spans="1:24">
      <c r="A1460">
        <f>HYPERLINK("https://www.philgeps.gov.ph/GEPSNONPILOT/Tender/SplashBidNoticeAbstractUI.aspx?menuIndex=3&amp;refID=7066076&amp;Result=3","7066076")</f>
        <v>0</v>
      </c>
      <c r="B1460" t="s">
        <v>661</v>
      </c>
      <c r="C1460" t="s">
        <v>4949</v>
      </c>
      <c r="D1460" t="s">
        <v>18831</v>
      </c>
      <c r="E1460" t="s">
        <v>18926</v>
      </c>
      <c r="F1460" t="s">
        <v>32664</v>
      </c>
      <c r="G1460" t="s">
        <v>32672</v>
      </c>
      <c r="H1460" t="s">
        <v>32682</v>
      </c>
      <c r="I1460" t="s">
        <v>10627</v>
      </c>
      <c r="J1460" t="s">
        <v>33903</v>
      </c>
      <c r="K1460" t="s">
        <v>42321</v>
      </c>
      <c r="L1460" t="s">
        <v>661</v>
      </c>
      <c r="M1460" t="s">
        <v>43248</v>
      </c>
      <c r="N1460" t="s">
        <v>46569</v>
      </c>
      <c r="O1460" t="s">
        <v>46570</v>
      </c>
      <c r="P1460">
        <v>0</v>
      </c>
      <c r="Q1460">
        <v>0</v>
      </c>
      <c r="R1460" t="s">
        <v>46571</v>
      </c>
      <c r="S1460" t="s">
        <v>46687</v>
      </c>
      <c r="T1460" t="s">
        <v>48237</v>
      </c>
      <c r="U1460" t="s">
        <v>50030</v>
      </c>
      <c r="W1460" t="s">
        <v>43248</v>
      </c>
      <c r="X1460" t="s">
        <v>46572</v>
      </c>
    </row>
    <row r="1461" spans="1:24">
      <c r="A1461">
        <f>HYPERLINK("https://www.philgeps.gov.ph/GEPSNONPILOT/Tender/SplashBidNoticeAbstractUI.aspx?menuIndex=3&amp;refID=7066102&amp;Result=3","7066102")</f>
        <v>0</v>
      </c>
      <c r="B1461" t="s">
        <v>654</v>
      </c>
      <c r="C1461" t="s">
        <v>4950</v>
      </c>
      <c r="D1461" t="s">
        <v>18827</v>
      </c>
      <c r="E1461" t="s">
        <v>20238</v>
      </c>
      <c r="F1461" t="s">
        <v>32664</v>
      </c>
      <c r="G1461" t="s">
        <v>32672</v>
      </c>
      <c r="H1461" t="s">
        <v>32683</v>
      </c>
      <c r="I1461" t="s">
        <v>10627</v>
      </c>
      <c r="J1461" t="s">
        <v>33886</v>
      </c>
      <c r="K1461" t="s">
        <v>42357</v>
      </c>
      <c r="M1461" t="s">
        <v>43240</v>
      </c>
      <c r="N1461" t="s">
        <v>46569</v>
      </c>
      <c r="O1461" t="s">
        <v>46570</v>
      </c>
      <c r="P1461">
        <v>0</v>
      </c>
      <c r="Q1461">
        <v>1</v>
      </c>
      <c r="R1461" t="s">
        <v>46571</v>
      </c>
      <c r="S1461" t="s">
        <v>46687</v>
      </c>
      <c r="T1461" t="s">
        <v>48220</v>
      </c>
      <c r="U1461" t="s">
        <v>50013</v>
      </c>
      <c r="W1461" t="s">
        <v>43240</v>
      </c>
      <c r="X1461" t="s">
        <v>46572</v>
      </c>
    </row>
    <row r="1462" spans="1:24">
      <c r="A1462">
        <f>HYPERLINK("https://www.philgeps.gov.ph/GEPSNONPILOT/Tender/SplashBidNoticeAbstractUI.aspx?menuIndex=3&amp;refID=7066107&amp;Result=3","7066107")</f>
        <v>0</v>
      </c>
      <c r="B1462" t="s">
        <v>662</v>
      </c>
      <c r="C1462" t="s">
        <v>4951</v>
      </c>
      <c r="D1462" t="s">
        <v>18792</v>
      </c>
      <c r="E1462" t="s">
        <v>20239</v>
      </c>
      <c r="F1462" t="s">
        <v>32664</v>
      </c>
      <c r="G1462" t="s">
        <v>32672</v>
      </c>
      <c r="H1462" t="s">
        <v>12635</v>
      </c>
      <c r="I1462" t="s">
        <v>10361</v>
      </c>
      <c r="J1462" t="s">
        <v>33904</v>
      </c>
      <c r="K1462" t="s">
        <v>42281</v>
      </c>
      <c r="M1462" t="s">
        <v>43249</v>
      </c>
      <c r="N1462" t="s">
        <v>46569</v>
      </c>
      <c r="O1462" t="s">
        <v>46570</v>
      </c>
      <c r="P1462">
        <v>0</v>
      </c>
      <c r="Q1462">
        <v>0</v>
      </c>
      <c r="R1462" t="s">
        <v>46571</v>
      </c>
      <c r="S1462" t="s">
        <v>46687</v>
      </c>
      <c r="T1462" t="s">
        <v>48226</v>
      </c>
      <c r="U1462" t="s">
        <v>50031</v>
      </c>
      <c r="W1462" t="s">
        <v>43249</v>
      </c>
      <c r="X1462" t="s">
        <v>46572</v>
      </c>
    </row>
    <row r="1463" spans="1:24">
      <c r="A1463">
        <f>HYPERLINK("https://www.philgeps.gov.ph/GEPSNONPILOT/Tender/SplashBidNoticeAbstractUI.aspx?menuIndex=3&amp;refID=7066067&amp;Result=3","7066067")</f>
        <v>0</v>
      </c>
      <c r="B1463" t="s">
        <v>366</v>
      </c>
      <c r="C1463" t="s">
        <v>4952</v>
      </c>
      <c r="D1463" t="s">
        <v>18785</v>
      </c>
      <c r="E1463" t="s">
        <v>20240</v>
      </c>
      <c r="F1463" t="s">
        <v>32664</v>
      </c>
      <c r="G1463" t="s">
        <v>32671</v>
      </c>
      <c r="H1463" t="s">
        <v>12635</v>
      </c>
      <c r="I1463" t="s">
        <v>10590</v>
      </c>
      <c r="J1463" t="s">
        <v>33478</v>
      </c>
      <c r="K1463" t="s">
        <v>42283</v>
      </c>
      <c r="M1463" t="s">
        <v>42935</v>
      </c>
      <c r="N1463" t="s">
        <v>46569</v>
      </c>
      <c r="O1463" t="s">
        <v>46570</v>
      </c>
      <c r="P1463">
        <v>0</v>
      </c>
      <c r="Q1463">
        <v>2</v>
      </c>
      <c r="R1463" t="s">
        <v>46571</v>
      </c>
      <c r="S1463" t="s">
        <v>46687</v>
      </c>
      <c r="T1463" t="s">
        <v>48244</v>
      </c>
      <c r="U1463" t="s">
        <v>49444</v>
      </c>
      <c r="W1463" t="s">
        <v>42935</v>
      </c>
      <c r="X1463" t="s">
        <v>46572</v>
      </c>
    </row>
    <row r="1464" spans="1:24">
      <c r="A1464">
        <f>HYPERLINK("https://www.philgeps.gov.ph/GEPSNONPILOT/Tender/SplashBidNoticeAbstractUI.aspx?menuIndex=3&amp;refID=7066099&amp;Result=3","7066099")</f>
        <v>0</v>
      </c>
      <c r="B1464" t="s">
        <v>396</v>
      </c>
      <c r="C1464" t="s">
        <v>4953</v>
      </c>
      <c r="D1464" t="s">
        <v>18790</v>
      </c>
      <c r="E1464" t="s">
        <v>20241</v>
      </c>
      <c r="F1464" t="s">
        <v>32664</v>
      </c>
      <c r="G1464" t="s">
        <v>32671</v>
      </c>
      <c r="H1464" t="s">
        <v>12635</v>
      </c>
      <c r="I1464" t="s">
        <v>32706</v>
      </c>
      <c r="J1464" t="s">
        <v>33905</v>
      </c>
      <c r="K1464" t="s">
        <v>42284</v>
      </c>
      <c r="M1464" t="s">
        <v>42966</v>
      </c>
      <c r="N1464" t="s">
        <v>46569</v>
      </c>
      <c r="O1464" t="s">
        <v>46570</v>
      </c>
      <c r="P1464">
        <v>0</v>
      </c>
      <c r="Q1464">
        <v>0</v>
      </c>
      <c r="R1464" t="s">
        <v>46571</v>
      </c>
      <c r="S1464" t="s">
        <v>46687</v>
      </c>
      <c r="T1464" t="s">
        <v>48283</v>
      </c>
      <c r="U1464" t="s">
        <v>50032</v>
      </c>
      <c r="W1464" t="s">
        <v>42966</v>
      </c>
      <c r="X1464" t="s">
        <v>46572</v>
      </c>
    </row>
    <row r="1465" spans="1:24">
      <c r="A1465">
        <f>HYPERLINK("https://www.philgeps.gov.ph/GEPSNONPILOT/Tender/SplashBidNoticeAbstractUI.aspx?menuIndex=3&amp;refID=7066100&amp;Result=3","7066100")</f>
        <v>0</v>
      </c>
      <c r="B1465" t="s">
        <v>663</v>
      </c>
      <c r="C1465" t="s">
        <v>4954</v>
      </c>
      <c r="D1465" t="s">
        <v>18824</v>
      </c>
      <c r="E1465" t="s">
        <v>20242</v>
      </c>
      <c r="F1465" t="s">
        <v>32665</v>
      </c>
      <c r="G1465" t="s">
        <v>32672</v>
      </c>
      <c r="H1465" t="s">
        <v>12635</v>
      </c>
      <c r="I1465" t="s">
        <v>4439</v>
      </c>
      <c r="J1465" t="s">
        <v>33906</v>
      </c>
      <c r="K1465" t="s">
        <v>42284</v>
      </c>
      <c r="M1465" t="s">
        <v>43250</v>
      </c>
      <c r="N1465" t="s">
        <v>46569</v>
      </c>
      <c r="O1465" t="s">
        <v>46570</v>
      </c>
      <c r="P1465">
        <v>0</v>
      </c>
      <c r="Q1465">
        <v>0</v>
      </c>
      <c r="R1465" t="s">
        <v>46571</v>
      </c>
      <c r="S1465" t="s">
        <v>46687</v>
      </c>
      <c r="T1465" t="s">
        <v>48234</v>
      </c>
      <c r="U1465" t="s">
        <v>50033</v>
      </c>
      <c r="V1465" t="s">
        <v>61789</v>
      </c>
      <c r="W1465" t="s">
        <v>43250</v>
      </c>
      <c r="X1465" t="s">
        <v>46572</v>
      </c>
    </row>
    <row r="1466" spans="1:24">
      <c r="A1466">
        <f>HYPERLINK("https://www.philgeps.gov.ph/GEPSNONPILOT/Tender/SplashBidNoticeAbstractUI.aspx?menuIndex=3&amp;refID=7066098&amp;Result=3","7066098")</f>
        <v>0</v>
      </c>
      <c r="B1466" t="s">
        <v>455</v>
      </c>
      <c r="C1466" t="s">
        <v>3916</v>
      </c>
      <c r="D1466" t="s">
        <v>18834</v>
      </c>
      <c r="E1466" t="s">
        <v>20243</v>
      </c>
      <c r="F1466" t="s">
        <v>32664</v>
      </c>
      <c r="G1466" t="s">
        <v>32672</v>
      </c>
      <c r="H1466" t="s">
        <v>12635</v>
      </c>
      <c r="I1466" t="s">
        <v>8797</v>
      </c>
      <c r="J1466" t="s">
        <v>33907</v>
      </c>
      <c r="K1466" t="s">
        <v>42311</v>
      </c>
      <c r="M1466" t="s">
        <v>43210</v>
      </c>
      <c r="N1466" t="s">
        <v>46569</v>
      </c>
      <c r="O1466" t="s">
        <v>46570</v>
      </c>
      <c r="P1466">
        <v>0</v>
      </c>
      <c r="Q1466">
        <v>4</v>
      </c>
      <c r="R1466" t="s">
        <v>46571</v>
      </c>
      <c r="S1466" t="s">
        <v>46687</v>
      </c>
      <c r="T1466" t="s">
        <v>48222</v>
      </c>
      <c r="U1466" t="s">
        <v>50034</v>
      </c>
      <c r="W1466" t="s">
        <v>43210</v>
      </c>
      <c r="X1466" t="s">
        <v>46572</v>
      </c>
    </row>
    <row r="1467" spans="1:24">
      <c r="A1467">
        <f>HYPERLINK("https://www.philgeps.gov.ph/GEPSNONPILOT/Tender/SplashBidNoticeAbstractUI.aspx?menuIndex=3&amp;refID=7066101&amp;Result=3","7066101")</f>
        <v>0</v>
      </c>
      <c r="B1467" t="s">
        <v>537</v>
      </c>
      <c r="C1467" t="s">
        <v>4955</v>
      </c>
      <c r="D1467" t="s">
        <v>18791</v>
      </c>
      <c r="E1467" t="s">
        <v>20244</v>
      </c>
      <c r="F1467" t="s">
        <v>32664</v>
      </c>
      <c r="G1467" t="s">
        <v>32671</v>
      </c>
      <c r="H1467" t="s">
        <v>12635</v>
      </c>
      <c r="I1467" t="s">
        <v>32716</v>
      </c>
      <c r="J1467" t="s">
        <v>32898</v>
      </c>
      <c r="K1467" t="s">
        <v>42295</v>
      </c>
      <c r="M1467" t="s">
        <v>43115</v>
      </c>
      <c r="N1467" t="s">
        <v>46569</v>
      </c>
      <c r="O1467" t="s">
        <v>46570</v>
      </c>
      <c r="P1467">
        <v>0</v>
      </c>
      <c r="Q1467">
        <v>0</v>
      </c>
      <c r="R1467" t="s">
        <v>46571</v>
      </c>
      <c r="S1467" t="s">
        <v>46687</v>
      </c>
      <c r="T1467" t="s">
        <v>48280</v>
      </c>
      <c r="U1467" t="s">
        <v>50035</v>
      </c>
      <c r="W1467" t="s">
        <v>43115</v>
      </c>
      <c r="X1467" t="s">
        <v>46572</v>
      </c>
    </row>
    <row r="1468" spans="1:24">
      <c r="A1468">
        <f>HYPERLINK("https://www.philgeps.gov.ph/GEPSNONPILOT/Tender/SplashBidNoticeAbstractUI.aspx?menuIndex=3&amp;refID=7066104&amp;Result=3","7066104")</f>
        <v>0</v>
      </c>
      <c r="B1468" t="s">
        <v>664</v>
      </c>
      <c r="C1468" t="s">
        <v>4956</v>
      </c>
      <c r="D1468" t="s">
        <v>18842</v>
      </c>
      <c r="E1468" t="s">
        <v>20245</v>
      </c>
      <c r="F1468" t="s">
        <v>32664</v>
      </c>
      <c r="G1468" t="s">
        <v>32671</v>
      </c>
      <c r="H1468" t="s">
        <v>12635</v>
      </c>
      <c r="I1468" t="s">
        <v>32711</v>
      </c>
      <c r="J1468" t="s">
        <v>33908</v>
      </c>
      <c r="K1468" t="s">
        <v>42283</v>
      </c>
      <c r="M1468" t="s">
        <v>43251</v>
      </c>
      <c r="N1468" t="s">
        <v>46569</v>
      </c>
      <c r="O1468" t="s">
        <v>46570</v>
      </c>
      <c r="P1468">
        <v>0</v>
      </c>
      <c r="Q1468">
        <v>0</v>
      </c>
      <c r="R1468" t="s">
        <v>46571</v>
      </c>
      <c r="S1468" t="s">
        <v>46687</v>
      </c>
      <c r="T1468" t="s">
        <v>48244</v>
      </c>
      <c r="U1468" t="s">
        <v>50036</v>
      </c>
      <c r="W1468" t="s">
        <v>43251</v>
      </c>
      <c r="X1468" t="s">
        <v>46572</v>
      </c>
    </row>
    <row r="1469" spans="1:24">
      <c r="A1469">
        <f>HYPERLINK("https://www.philgeps.gov.ph/GEPSNONPILOT/Tender/SplashBidNoticeAbstractUI.aspx?menuIndex=3&amp;refID=7066097&amp;Result=3","7066097")</f>
        <v>0</v>
      </c>
      <c r="B1469" t="s">
        <v>229</v>
      </c>
      <c r="C1469" t="s">
        <v>4957</v>
      </c>
      <c r="D1469" t="s">
        <v>18838</v>
      </c>
      <c r="E1469" t="s">
        <v>20246</v>
      </c>
      <c r="F1469" t="s">
        <v>32664</v>
      </c>
      <c r="G1469" t="s">
        <v>32671</v>
      </c>
      <c r="H1469" t="s">
        <v>12635</v>
      </c>
      <c r="I1469" t="s">
        <v>32689</v>
      </c>
      <c r="J1469" t="s">
        <v>33909</v>
      </c>
      <c r="K1469" t="s">
        <v>42297</v>
      </c>
      <c r="M1469" t="s">
        <v>42793</v>
      </c>
      <c r="N1469" t="s">
        <v>46569</v>
      </c>
      <c r="O1469" t="s">
        <v>46570</v>
      </c>
      <c r="P1469">
        <v>0</v>
      </c>
      <c r="Q1469">
        <v>0</v>
      </c>
      <c r="R1469" t="s">
        <v>46571</v>
      </c>
      <c r="S1469" t="s">
        <v>46687</v>
      </c>
      <c r="T1469" t="s">
        <v>48221</v>
      </c>
      <c r="U1469" t="s">
        <v>50037</v>
      </c>
      <c r="W1469" t="s">
        <v>42793</v>
      </c>
      <c r="X1469" t="s">
        <v>46572</v>
      </c>
    </row>
    <row r="1470" spans="1:24">
      <c r="A1470">
        <f>HYPERLINK("https://www.philgeps.gov.ph/GEPSNONPILOT/Tender/SplashBidNoticeAbstractUI.aspx?menuIndex=3&amp;refID=7066089&amp;Result=3","7066089")</f>
        <v>0</v>
      </c>
      <c r="B1470" t="s">
        <v>301</v>
      </c>
      <c r="C1470" t="s">
        <v>4205</v>
      </c>
      <c r="D1470" t="s">
        <v>18830</v>
      </c>
      <c r="E1470" t="s">
        <v>20247</v>
      </c>
      <c r="F1470" t="s">
        <v>32664</v>
      </c>
      <c r="G1470" t="s">
        <v>32671</v>
      </c>
      <c r="H1470" t="s">
        <v>12635</v>
      </c>
      <c r="I1470" t="s">
        <v>4205</v>
      </c>
      <c r="J1470" t="s">
        <v>33910</v>
      </c>
      <c r="K1470" t="s">
        <v>42284</v>
      </c>
      <c r="M1470" t="s">
        <v>42868</v>
      </c>
      <c r="N1470" t="s">
        <v>46569</v>
      </c>
      <c r="O1470" t="s">
        <v>46570</v>
      </c>
      <c r="P1470">
        <v>0</v>
      </c>
      <c r="Q1470">
        <v>0</v>
      </c>
      <c r="R1470" t="s">
        <v>46571</v>
      </c>
      <c r="S1470" t="s">
        <v>46687</v>
      </c>
      <c r="T1470" t="s">
        <v>48221</v>
      </c>
      <c r="U1470" t="s">
        <v>50038</v>
      </c>
      <c r="W1470" t="s">
        <v>42868</v>
      </c>
      <c r="X1470" t="s">
        <v>46572</v>
      </c>
    </row>
    <row r="1471" spans="1:24">
      <c r="A1471">
        <f>HYPERLINK("https://www.philgeps.gov.ph/GEPSNONPILOT/Tender/SplashBidNoticeAbstractUI.aspx?menuIndex=3&amp;refID=7066068&amp;Result=3","7066068")</f>
        <v>0</v>
      </c>
      <c r="B1471" t="s">
        <v>665</v>
      </c>
      <c r="C1471" t="s">
        <v>4958</v>
      </c>
      <c r="D1471" t="s">
        <v>18851</v>
      </c>
      <c r="E1471" t="s">
        <v>20248</v>
      </c>
      <c r="F1471" t="s">
        <v>32664</v>
      </c>
      <c r="G1471" t="s">
        <v>32671</v>
      </c>
      <c r="H1471" t="s">
        <v>12635</v>
      </c>
      <c r="I1471" t="s">
        <v>4439</v>
      </c>
      <c r="J1471" t="s">
        <v>33911</v>
      </c>
      <c r="K1471" t="s">
        <v>42283</v>
      </c>
      <c r="M1471" t="s">
        <v>43252</v>
      </c>
      <c r="N1471" t="s">
        <v>46569</v>
      </c>
      <c r="O1471" t="s">
        <v>46570</v>
      </c>
      <c r="P1471">
        <v>0</v>
      </c>
      <c r="Q1471">
        <v>0</v>
      </c>
      <c r="R1471" t="s">
        <v>46571</v>
      </c>
      <c r="S1471" t="s">
        <v>46687</v>
      </c>
      <c r="T1471" t="s">
        <v>48256</v>
      </c>
      <c r="U1471" t="s">
        <v>49970</v>
      </c>
      <c r="W1471" t="s">
        <v>43252</v>
      </c>
      <c r="X1471" t="s">
        <v>46572</v>
      </c>
    </row>
    <row r="1472" spans="1:24">
      <c r="A1472">
        <f>HYPERLINK("https://www.philgeps.gov.ph/GEPSNONPILOT/Tender/SplashBidNoticeAbstractUI.aspx?menuIndex=3&amp;refID=7066093&amp;Result=3","7066093")</f>
        <v>0</v>
      </c>
      <c r="B1472" t="s">
        <v>528</v>
      </c>
      <c r="C1472" t="s">
        <v>4959</v>
      </c>
      <c r="D1472" t="s">
        <v>18803</v>
      </c>
      <c r="E1472" t="s">
        <v>20249</v>
      </c>
      <c r="F1472" t="s">
        <v>32664</v>
      </c>
      <c r="G1472" t="s">
        <v>32675</v>
      </c>
      <c r="H1472" t="s">
        <v>12635</v>
      </c>
      <c r="I1472" t="s">
        <v>32716</v>
      </c>
      <c r="J1472" t="s">
        <v>33912</v>
      </c>
      <c r="K1472" t="s">
        <v>42305</v>
      </c>
      <c r="M1472" t="s">
        <v>43106</v>
      </c>
      <c r="N1472" t="s">
        <v>46569</v>
      </c>
      <c r="O1472" t="s">
        <v>46570</v>
      </c>
      <c r="P1472">
        <v>0</v>
      </c>
      <c r="Q1472">
        <v>1</v>
      </c>
      <c r="R1472" t="s">
        <v>46571</v>
      </c>
      <c r="S1472" t="s">
        <v>46687</v>
      </c>
      <c r="T1472" t="s">
        <v>48299</v>
      </c>
      <c r="U1472" t="s">
        <v>49875</v>
      </c>
      <c r="W1472" t="s">
        <v>43106</v>
      </c>
      <c r="X1472" t="s">
        <v>46572</v>
      </c>
    </row>
    <row r="1473" spans="1:24">
      <c r="A1473">
        <f>HYPERLINK("https://www.philgeps.gov.ph/GEPSNONPILOT/Tender/SplashBidNoticeAbstractUI.aspx?menuIndex=3&amp;refID=7066103&amp;Result=3","7066103")</f>
        <v>0</v>
      </c>
      <c r="B1473" t="s">
        <v>666</v>
      </c>
      <c r="C1473" t="s">
        <v>4960</v>
      </c>
      <c r="D1473" t="s">
        <v>18798</v>
      </c>
      <c r="E1473" t="s">
        <v>20250</v>
      </c>
      <c r="F1473" t="s">
        <v>32664</v>
      </c>
      <c r="G1473" t="s">
        <v>32672</v>
      </c>
      <c r="H1473" t="s">
        <v>12635</v>
      </c>
      <c r="I1473" t="s">
        <v>11464</v>
      </c>
      <c r="J1473" t="s">
        <v>33322</v>
      </c>
      <c r="K1473" t="s">
        <v>42283</v>
      </c>
      <c r="M1473" t="s">
        <v>43253</v>
      </c>
      <c r="N1473" t="s">
        <v>46569</v>
      </c>
      <c r="O1473" t="s">
        <v>46570</v>
      </c>
      <c r="P1473">
        <v>0</v>
      </c>
      <c r="Q1473">
        <v>5</v>
      </c>
      <c r="R1473" t="s">
        <v>46571</v>
      </c>
      <c r="S1473" t="s">
        <v>46687</v>
      </c>
      <c r="T1473" t="s">
        <v>48240</v>
      </c>
      <c r="U1473" t="s">
        <v>50039</v>
      </c>
      <c r="W1473" t="s">
        <v>43253</v>
      </c>
      <c r="X1473" t="s">
        <v>46572</v>
      </c>
    </row>
    <row r="1474" spans="1:24">
      <c r="A1474">
        <f>HYPERLINK("https://www.philgeps.gov.ph/GEPSNONPILOT/Tender/SplashBidNoticeAbstractUI.aspx?menuIndex=3&amp;refID=7065990&amp;Result=3","7065990")</f>
        <v>0</v>
      </c>
      <c r="B1474" t="s">
        <v>667</v>
      </c>
      <c r="C1474" t="s">
        <v>4961</v>
      </c>
      <c r="D1474" t="s">
        <v>18843</v>
      </c>
      <c r="E1474" t="s">
        <v>20251</v>
      </c>
      <c r="F1474" t="s">
        <v>32664</v>
      </c>
      <c r="G1474" t="s">
        <v>32672</v>
      </c>
      <c r="H1474" t="s">
        <v>32683</v>
      </c>
      <c r="I1474" t="s">
        <v>10627</v>
      </c>
      <c r="J1474" t="s">
        <v>33913</v>
      </c>
      <c r="K1474" t="s">
        <v>42361</v>
      </c>
      <c r="M1474" t="s">
        <v>43254</v>
      </c>
      <c r="N1474" t="s">
        <v>46569</v>
      </c>
      <c r="O1474" t="s">
        <v>46570</v>
      </c>
      <c r="P1474">
        <v>0</v>
      </c>
      <c r="Q1474">
        <v>0</v>
      </c>
      <c r="R1474" t="s">
        <v>46571</v>
      </c>
      <c r="S1474" t="s">
        <v>46687</v>
      </c>
      <c r="T1474" t="s">
        <v>48220</v>
      </c>
      <c r="U1474" t="s">
        <v>50040</v>
      </c>
      <c r="W1474" t="s">
        <v>43254</v>
      </c>
      <c r="X1474" t="s">
        <v>46572</v>
      </c>
    </row>
    <row r="1475" spans="1:24">
      <c r="A1475">
        <f>HYPERLINK("https://www.philgeps.gov.ph/GEPSNONPILOT/Tender/SplashBidNoticeAbstractUI.aspx?menuIndex=3&amp;refID=7065987&amp;Result=3","7065987")</f>
        <v>0</v>
      </c>
      <c r="B1475" t="s">
        <v>668</v>
      </c>
      <c r="C1475" t="s">
        <v>4962</v>
      </c>
      <c r="D1475" t="s">
        <v>18789</v>
      </c>
      <c r="E1475" t="s">
        <v>4962</v>
      </c>
      <c r="F1475" t="s">
        <v>32666</v>
      </c>
      <c r="G1475" t="s">
        <v>32671</v>
      </c>
      <c r="H1475" t="s">
        <v>12635</v>
      </c>
      <c r="I1475" t="s">
        <v>32692</v>
      </c>
      <c r="J1475" t="s">
        <v>33914</v>
      </c>
      <c r="K1475" t="s">
        <v>42295</v>
      </c>
      <c r="M1475" t="s">
        <v>43255</v>
      </c>
      <c r="N1475" t="s">
        <v>46569</v>
      </c>
      <c r="O1475" t="s">
        <v>46570</v>
      </c>
      <c r="P1475">
        <v>0</v>
      </c>
      <c r="Q1475">
        <v>0</v>
      </c>
      <c r="R1475" t="s">
        <v>46571</v>
      </c>
      <c r="S1475" t="s">
        <v>46687</v>
      </c>
      <c r="T1475" t="s">
        <v>48389</v>
      </c>
      <c r="U1475" t="s">
        <v>50041</v>
      </c>
      <c r="W1475" t="s">
        <v>43255</v>
      </c>
      <c r="X1475" t="s">
        <v>46572</v>
      </c>
    </row>
    <row r="1476" spans="1:24">
      <c r="A1476">
        <f>HYPERLINK("https://www.philgeps.gov.ph/GEPSNONPILOT/Tender/SplashBidNoticeAbstractUI.aspx?menuIndex=3&amp;refID=7066085&amp;Result=3","7066085")</f>
        <v>0</v>
      </c>
      <c r="B1476" t="s">
        <v>669</v>
      </c>
      <c r="C1476" t="s">
        <v>4963</v>
      </c>
      <c r="D1476" t="s">
        <v>18808</v>
      </c>
      <c r="E1476" t="s">
        <v>20252</v>
      </c>
      <c r="F1476" t="s">
        <v>32664</v>
      </c>
      <c r="G1476" t="s">
        <v>32671</v>
      </c>
      <c r="H1476" t="s">
        <v>32682</v>
      </c>
      <c r="I1476" t="s">
        <v>9946</v>
      </c>
      <c r="J1476" t="s">
        <v>33118</v>
      </c>
      <c r="K1476" t="s">
        <v>42334</v>
      </c>
      <c r="M1476" t="s">
        <v>43256</v>
      </c>
      <c r="N1476" t="s">
        <v>46569</v>
      </c>
      <c r="O1476" t="s">
        <v>46570</v>
      </c>
      <c r="P1476">
        <v>0</v>
      </c>
      <c r="Q1476">
        <v>0</v>
      </c>
      <c r="R1476" t="s">
        <v>46571</v>
      </c>
      <c r="S1476" t="s">
        <v>46687</v>
      </c>
      <c r="T1476" t="s">
        <v>48306</v>
      </c>
      <c r="U1476" t="s">
        <v>50042</v>
      </c>
      <c r="W1476" t="s">
        <v>43256</v>
      </c>
      <c r="X1476" t="s">
        <v>46572</v>
      </c>
    </row>
    <row r="1477" spans="1:24">
      <c r="A1477">
        <f>HYPERLINK("https://www.philgeps.gov.ph/GEPSNONPILOT/Tender/SplashBidNoticeAbstractUI.aspx?menuIndex=3&amp;refID=7065991&amp;Result=3","7065991")</f>
        <v>0</v>
      </c>
      <c r="B1477" t="s">
        <v>142</v>
      </c>
      <c r="C1477" t="s">
        <v>4964</v>
      </c>
      <c r="D1477" t="s">
        <v>18784</v>
      </c>
      <c r="E1477" t="s">
        <v>20253</v>
      </c>
      <c r="F1477" t="s">
        <v>32664</v>
      </c>
      <c r="G1477" t="s">
        <v>32671</v>
      </c>
      <c r="H1477" t="s">
        <v>12635</v>
      </c>
      <c r="I1477" t="s">
        <v>32694</v>
      </c>
      <c r="J1477" t="s">
        <v>33915</v>
      </c>
      <c r="K1477" t="s">
        <v>42281</v>
      </c>
      <c r="M1477" t="s">
        <v>42706</v>
      </c>
      <c r="N1477" t="s">
        <v>46569</v>
      </c>
      <c r="O1477" t="s">
        <v>46570</v>
      </c>
      <c r="P1477">
        <v>0</v>
      </c>
      <c r="Q1477">
        <v>0</v>
      </c>
      <c r="R1477" t="s">
        <v>46571</v>
      </c>
      <c r="S1477" t="s">
        <v>46687</v>
      </c>
      <c r="T1477" t="s">
        <v>48256</v>
      </c>
      <c r="U1477" t="s">
        <v>50043</v>
      </c>
      <c r="W1477" t="s">
        <v>42706</v>
      </c>
      <c r="X1477" t="s">
        <v>46572</v>
      </c>
    </row>
    <row r="1478" spans="1:24">
      <c r="A1478">
        <f>HYPERLINK("https://www.philgeps.gov.ph/GEPSNONPILOT/Tender/SplashBidNoticeAbstractUI.aspx?menuIndex=3&amp;refID=7066083&amp;Result=3","7066083")</f>
        <v>0</v>
      </c>
      <c r="B1478" t="s">
        <v>653</v>
      </c>
      <c r="C1478" t="s">
        <v>4965</v>
      </c>
      <c r="D1478" t="s">
        <v>18840</v>
      </c>
      <c r="E1478" t="s">
        <v>20254</v>
      </c>
      <c r="F1478" t="s">
        <v>32664</v>
      </c>
      <c r="G1478" t="s">
        <v>32675</v>
      </c>
      <c r="H1478" t="s">
        <v>12635</v>
      </c>
      <c r="I1478" t="s">
        <v>6168</v>
      </c>
      <c r="J1478" t="s">
        <v>33916</v>
      </c>
      <c r="K1478" t="s">
        <v>42289</v>
      </c>
      <c r="M1478" t="s">
        <v>43239</v>
      </c>
      <c r="N1478" t="s">
        <v>46569</v>
      </c>
      <c r="O1478" t="s">
        <v>46570</v>
      </c>
      <c r="P1478">
        <v>0</v>
      </c>
      <c r="Q1478">
        <v>0</v>
      </c>
      <c r="R1478" t="s">
        <v>46571</v>
      </c>
      <c r="S1478" t="s">
        <v>46687</v>
      </c>
      <c r="T1478" t="s">
        <v>48251</v>
      </c>
      <c r="U1478" t="s">
        <v>50044</v>
      </c>
      <c r="W1478" t="s">
        <v>43239</v>
      </c>
      <c r="X1478" t="s">
        <v>46572</v>
      </c>
    </row>
    <row r="1479" spans="1:24">
      <c r="A1479">
        <f>HYPERLINK("https://www.philgeps.gov.ph/GEPSNONPILOT/Tender/SplashBidNoticeAbstractUI.aspx?menuIndex=3&amp;refID=7065985&amp;Result=3","7065985")</f>
        <v>0</v>
      </c>
      <c r="B1479" t="s">
        <v>535</v>
      </c>
      <c r="C1479" t="s">
        <v>4966</v>
      </c>
      <c r="D1479" t="s">
        <v>18834</v>
      </c>
      <c r="E1479" t="s">
        <v>20255</v>
      </c>
      <c r="F1479" t="s">
        <v>32664</v>
      </c>
      <c r="G1479" t="s">
        <v>32671</v>
      </c>
      <c r="H1479" t="s">
        <v>12635</v>
      </c>
      <c r="I1479" t="s">
        <v>32738</v>
      </c>
      <c r="J1479" t="s">
        <v>33917</v>
      </c>
      <c r="K1479" t="s">
        <v>42289</v>
      </c>
      <c r="M1479" t="s">
        <v>43113</v>
      </c>
      <c r="N1479" t="s">
        <v>46569</v>
      </c>
      <c r="O1479" t="s">
        <v>46570</v>
      </c>
      <c r="P1479">
        <v>0</v>
      </c>
      <c r="Q1479">
        <v>0</v>
      </c>
      <c r="R1479" t="s">
        <v>46571</v>
      </c>
      <c r="S1479" t="s">
        <v>46687</v>
      </c>
      <c r="T1479" t="s">
        <v>48219</v>
      </c>
      <c r="U1479" t="s">
        <v>49736</v>
      </c>
      <c r="W1479" t="s">
        <v>63481</v>
      </c>
      <c r="X1479" t="s">
        <v>46572</v>
      </c>
    </row>
    <row r="1480" spans="1:24">
      <c r="A1480">
        <f>HYPERLINK("https://www.philgeps.gov.ph/GEPSNONPILOT/Tender/SplashBidNoticeAbstractUI.aspx?menuIndex=3&amp;refID=7065984&amp;Result=3","7065984")</f>
        <v>0</v>
      </c>
      <c r="B1480" t="s">
        <v>670</v>
      </c>
      <c r="C1480" t="s">
        <v>4967</v>
      </c>
      <c r="D1480" t="s">
        <v>18838</v>
      </c>
      <c r="E1480" t="s">
        <v>19708</v>
      </c>
      <c r="F1480" t="s">
        <v>32664</v>
      </c>
      <c r="G1480" t="s">
        <v>32672</v>
      </c>
      <c r="H1480" t="s">
        <v>12635</v>
      </c>
      <c r="I1480" t="s">
        <v>4439</v>
      </c>
      <c r="J1480" t="s">
        <v>33918</v>
      </c>
      <c r="K1480" t="s">
        <v>42297</v>
      </c>
      <c r="M1480" t="s">
        <v>43257</v>
      </c>
      <c r="N1480" t="s">
        <v>46569</v>
      </c>
      <c r="O1480" t="s">
        <v>46570</v>
      </c>
      <c r="P1480">
        <v>0</v>
      </c>
      <c r="Q1480">
        <v>0</v>
      </c>
      <c r="R1480" t="s">
        <v>46571</v>
      </c>
      <c r="S1480" t="s">
        <v>46687</v>
      </c>
      <c r="T1480" t="s">
        <v>48237</v>
      </c>
      <c r="U1480" t="s">
        <v>50045</v>
      </c>
      <c r="W1480" t="s">
        <v>43257</v>
      </c>
      <c r="X1480" t="s">
        <v>46572</v>
      </c>
    </row>
    <row r="1481" spans="1:24">
      <c r="A1481">
        <f>HYPERLINK("https://www.philgeps.gov.ph/GEPSNONPILOT/Tender/SplashBidNoticeAbstractUI.aspx?menuIndex=3&amp;refID=7065966&amp;Result=3","7065966")</f>
        <v>0</v>
      </c>
      <c r="B1481" t="s">
        <v>527</v>
      </c>
      <c r="C1481" t="s">
        <v>4968</v>
      </c>
      <c r="D1481" t="s">
        <v>18784</v>
      </c>
      <c r="E1481" t="s">
        <v>20256</v>
      </c>
      <c r="F1481" t="s">
        <v>32664</v>
      </c>
      <c r="G1481" t="s">
        <v>32671</v>
      </c>
      <c r="H1481" t="s">
        <v>12635</v>
      </c>
      <c r="I1481" t="s">
        <v>10370</v>
      </c>
      <c r="J1481" t="s">
        <v>33919</v>
      </c>
      <c r="K1481" t="s">
        <v>42284</v>
      </c>
      <c r="M1481" t="s">
        <v>43104</v>
      </c>
      <c r="N1481" t="s">
        <v>46569</v>
      </c>
      <c r="O1481" t="s">
        <v>46570</v>
      </c>
      <c r="P1481">
        <v>0</v>
      </c>
      <c r="Q1481">
        <v>0</v>
      </c>
      <c r="R1481" t="s">
        <v>46571</v>
      </c>
      <c r="S1481" t="s">
        <v>46687</v>
      </c>
      <c r="T1481" t="s">
        <v>48283</v>
      </c>
      <c r="U1481" t="s">
        <v>50046</v>
      </c>
      <c r="W1481" t="s">
        <v>43104</v>
      </c>
      <c r="X1481" t="s">
        <v>46572</v>
      </c>
    </row>
    <row r="1482" spans="1:24">
      <c r="A1482">
        <f>HYPERLINK("https://www.philgeps.gov.ph/GEPSNONPILOT/Tender/SplashBidNoticeAbstractUI.aspx?menuIndex=3&amp;refID=7065964&amp;Result=3","7065964")</f>
        <v>0</v>
      </c>
      <c r="B1482" t="s">
        <v>671</v>
      </c>
      <c r="C1482" t="s">
        <v>4969</v>
      </c>
      <c r="D1482" t="s">
        <v>18836</v>
      </c>
      <c r="E1482" t="s">
        <v>20257</v>
      </c>
      <c r="F1482" t="s">
        <v>32664</v>
      </c>
      <c r="G1482" t="s">
        <v>32671</v>
      </c>
      <c r="H1482" t="s">
        <v>12635</v>
      </c>
      <c r="I1482" t="s">
        <v>32701</v>
      </c>
      <c r="J1482" t="s">
        <v>32961</v>
      </c>
      <c r="K1482" t="s">
        <v>42283</v>
      </c>
      <c r="M1482" t="s">
        <v>43258</v>
      </c>
      <c r="N1482" t="s">
        <v>46569</v>
      </c>
      <c r="O1482" t="s">
        <v>46570</v>
      </c>
      <c r="P1482">
        <v>0</v>
      </c>
      <c r="Q1482">
        <v>1</v>
      </c>
      <c r="R1482" t="s">
        <v>46571</v>
      </c>
      <c r="S1482" t="s">
        <v>46687</v>
      </c>
      <c r="T1482" t="s">
        <v>48278</v>
      </c>
      <c r="U1482" t="s">
        <v>50047</v>
      </c>
      <c r="V1482" t="s">
        <v>61790</v>
      </c>
      <c r="W1482" t="s">
        <v>43258</v>
      </c>
      <c r="X1482" t="s">
        <v>46572</v>
      </c>
    </row>
    <row r="1483" spans="1:24">
      <c r="A1483">
        <f>HYPERLINK("https://www.philgeps.gov.ph/GEPSNONPILOT/Tender/SplashBidNoticeAbstractUI.aspx?menuIndex=3&amp;refID=7066131&amp;Result=3","7066131")</f>
        <v>0</v>
      </c>
      <c r="B1483" t="s">
        <v>672</v>
      </c>
      <c r="C1483" t="s">
        <v>4970</v>
      </c>
      <c r="D1483" t="s">
        <v>18794</v>
      </c>
      <c r="E1483" t="s">
        <v>20258</v>
      </c>
      <c r="F1483" t="s">
        <v>32664</v>
      </c>
      <c r="G1483" t="s">
        <v>32671</v>
      </c>
      <c r="H1483" t="s">
        <v>12635</v>
      </c>
      <c r="I1483" t="s">
        <v>8797</v>
      </c>
      <c r="J1483" t="s">
        <v>33920</v>
      </c>
      <c r="K1483" t="s">
        <v>42303</v>
      </c>
      <c r="M1483" t="s">
        <v>43259</v>
      </c>
      <c r="N1483" t="s">
        <v>46569</v>
      </c>
      <c r="O1483" t="s">
        <v>46570</v>
      </c>
      <c r="P1483">
        <v>0</v>
      </c>
      <c r="Q1483">
        <v>0</v>
      </c>
      <c r="R1483" t="s">
        <v>46571</v>
      </c>
      <c r="S1483" t="s">
        <v>46687</v>
      </c>
      <c r="T1483" t="s">
        <v>48225</v>
      </c>
      <c r="U1483" t="s">
        <v>50048</v>
      </c>
      <c r="W1483" t="s">
        <v>43259</v>
      </c>
      <c r="X1483" t="s">
        <v>46572</v>
      </c>
    </row>
    <row r="1484" spans="1:24">
      <c r="A1484">
        <f>HYPERLINK("https://www.philgeps.gov.ph/GEPSNONPILOT/Tender/SplashBidNoticeAbstractUI.aspx?menuIndex=3&amp;refID=7066130&amp;Result=3","7066130")</f>
        <v>0</v>
      </c>
      <c r="B1484" t="s">
        <v>632</v>
      </c>
      <c r="C1484" t="s">
        <v>4971</v>
      </c>
      <c r="D1484" t="s">
        <v>18821</v>
      </c>
      <c r="E1484" t="s">
        <v>20259</v>
      </c>
      <c r="F1484" t="s">
        <v>32664</v>
      </c>
      <c r="G1484" t="s">
        <v>32674</v>
      </c>
      <c r="H1484" t="s">
        <v>12635</v>
      </c>
      <c r="I1484" t="s">
        <v>32706</v>
      </c>
      <c r="J1484" t="s">
        <v>33921</v>
      </c>
      <c r="K1484" t="s">
        <v>42297</v>
      </c>
      <c r="M1484" t="s">
        <v>43214</v>
      </c>
      <c r="N1484" t="s">
        <v>46569</v>
      </c>
      <c r="O1484" t="s">
        <v>46570</v>
      </c>
      <c r="P1484">
        <v>0</v>
      </c>
      <c r="Q1484">
        <v>0</v>
      </c>
      <c r="R1484" t="s">
        <v>46571</v>
      </c>
      <c r="S1484" t="s">
        <v>46687</v>
      </c>
      <c r="T1484" t="s">
        <v>48343</v>
      </c>
      <c r="U1484" t="s">
        <v>50049</v>
      </c>
      <c r="W1484" t="s">
        <v>43214</v>
      </c>
      <c r="X1484" t="s">
        <v>46572</v>
      </c>
    </row>
    <row r="1485" spans="1:24">
      <c r="A1485">
        <f>HYPERLINK("https://www.philgeps.gov.ph/GEPSNONPILOT/Tender/SplashBidNoticeAbstractUI.aspx?menuIndex=3&amp;refID=7066136&amp;Result=3","7066136")</f>
        <v>0</v>
      </c>
      <c r="B1485" t="s">
        <v>413</v>
      </c>
      <c r="C1485" t="s">
        <v>4972</v>
      </c>
      <c r="D1485" t="s">
        <v>18799</v>
      </c>
      <c r="E1485" t="s">
        <v>20260</v>
      </c>
      <c r="F1485" t="s">
        <v>32664</v>
      </c>
      <c r="G1485" t="s">
        <v>32671</v>
      </c>
      <c r="H1485" t="s">
        <v>12635</v>
      </c>
      <c r="I1485" t="s">
        <v>4439</v>
      </c>
      <c r="J1485" t="s">
        <v>33922</v>
      </c>
      <c r="K1485" t="s">
        <v>42289</v>
      </c>
      <c r="M1485" t="s">
        <v>42984</v>
      </c>
      <c r="N1485" t="s">
        <v>46569</v>
      </c>
      <c r="O1485" t="s">
        <v>46570</v>
      </c>
      <c r="P1485">
        <v>0</v>
      </c>
      <c r="Q1485">
        <v>0</v>
      </c>
      <c r="R1485" t="s">
        <v>46571</v>
      </c>
      <c r="S1485" t="s">
        <v>46687</v>
      </c>
      <c r="T1485" t="s">
        <v>48343</v>
      </c>
      <c r="U1485" t="s">
        <v>49636</v>
      </c>
      <c r="W1485" t="s">
        <v>42984</v>
      </c>
      <c r="X1485" t="s">
        <v>46572</v>
      </c>
    </row>
    <row r="1486" spans="1:24">
      <c r="A1486">
        <f>HYPERLINK("https://www.philgeps.gov.ph/GEPSNONPILOT/Tender/SplashBidNoticeAbstractUI.aspx?menuIndex=3&amp;refID=7065983&amp;Result=3","7065983")</f>
        <v>0</v>
      </c>
      <c r="B1486" t="s">
        <v>673</v>
      </c>
      <c r="C1486" t="s">
        <v>4973</v>
      </c>
      <c r="D1486" t="s">
        <v>18799</v>
      </c>
      <c r="E1486" t="s">
        <v>20261</v>
      </c>
      <c r="F1486" t="s">
        <v>32664</v>
      </c>
      <c r="G1486" t="s">
        <v>32671</v>
      </c>
      <c r="H1486" t="s">
        <v>12635</v>
      </c>
      <c r="I1486" t="s">
        <v>32694</v>
      </c>
      <c r="J1486" t="s">
        <v>33167</v>
      </c>
      <c r="K1486" t="s">
        <v>42283</v>
      </c>
      <c r="M1486" t="s">
        <v>43260</v>
      </c>
      <c r="N1486" t="s">
        <v>46569</v>
      </c>
      <c r="O1486" t="s">
        <v>46570</v>
      </c>
      <c r="P1486">
        <v>0</v>
      </c>
      <c r="Q1486">
        <v>0</v>
      </c>
      <c r="R1486" t="s">
        <v>46571</v>
      </c>
      <c r="S1486" t="s">
        <v>46687</v>
      </c>
      <c r="T1486" t="s">
        <v>48330</v>
      </c>
      <c r="U1486" t="s">
        <v>50050</v>
      </c>
      <c r="W1486" t="s">
        <v>43260</v>
      </c>
      <c r="X1486" t="s">
        <v>46572</v>
      </c>
    </row>
    <row r="1487" spans="1:24">
      <c r="A1487">
        <f>HYPERLINK("https://www.philgeps.gov.ph/GEPSNONPILOT/Tender/SplashBidNoticeAbstractUI.aspx?menuIndex=3&amp;refID=7065982&amp;Result=3","7065982")</f>
        <v>0</v>
      </c>
      <c r="B1487" t="s">
        <v>612</v>
      </c>
      <c r="C1487" t="s">
        <v>4974</v>
      </c>
      <c r="D1487" t="s">
        <v>18834</v>
      </c>
      <c r="E1487" t="s">
        <v>20262</v>
      </c>
      <c r="F1487" t="s">
        <v>32665</v>
      </c>
      <c r="G1487" t="s">
        <v>32674</v>
      </c>
      <c r="H1487" t="s">
        <v>32682</v>
      </c>
      <c r="I1487" t="s">
        <v>6168</v>
      </c>
      <c r="J1487" t="s">
        <v>32984</v>
      </c>
      <c r="K1487" t="s">
        <v>42306</v>
      </c>
      <c r="M1487" t="s">
        <v>43192</v>
      </c>
      <c r="N1487" t="s">
        <v>46569</v>
      </c>
      <c r="O1487" t="s">
        <v>46570</v>
      </c>
      <c r="P1487">
        <v>0</v>
      </c>
      <c r="Q1487">
        <v>0</v>
      </c>
      <c r="R1487" t="s">
        <v>46571</v>
      </c>
      <c r="S1487" t="s">
        <v>46687</v>
      </c>
      <c r="T1487" t="s">
        <v>48258</v>
      </c>
      <c r="U1487" t="s">
        <v>50051</v>
      </c>
      <c r="W1487" t="s">
        <v>43192</v>
      </c>
      <c r="X1487" t="s">
        <v>46572</v>
      </c>
    </row>
    <row r="1488" spans="1:24">
      <c r="A1488">
        <f>HYPERLINK("https://www.philgeps.gov.ph/GEPSNONPILOT/Tender/SplashBidNoticeAbstractUI.aspx?menuIndex=3&amp;refID=7066133&amp;Result=3","7066133")</f>
        <v>0</v>
      </c>
      <c r="B1488" t="s">
        <v>656</v>
      </c>
      <c r="C1488" t="s">
        <v>4975</v>
      </c>
      <c r="D1488" t="s">
        <v>18801</v>
      </c>
      <c r="E1488" t="s">
        <v>20263</v>
      </c>
      <c r="F1488" t="s">
        <v>32664</v>
      </c>
      <c r="G1488" t="s">
        <v>32672</v>
      </c>
      <c r="H1488" t="s">
        <v>12635</v>
      </c>
      <c r="I1488" t="s">
        <v>32761</v>
      </c>
      <c r="J1488" t="s">
        <v>33923</v>
      </c>
      <c r="K1488" t="s">
        <v>42283</v>
      </c>
      <c r="M1488" t="s">
        <v>43243</v>
      </c>
      <c r="N1488" t="s">
        <v>46569</v>
      </c>
      <c r="O1488" t="s">
        <v>46570</v>
      </c>
      <c r="P1488">
        <v>0</v>
      </c>
      <c r="Q1488">
        <v>1</v>
      </c>
      <c r="R1488" t="s">
        <v>46571</v>
      </c>
      <c r="S1488" t="s">
        <v>46687</v>
      </c>
      <c r="T1488" t="s">
        <v>48234</v>
      </c>
      <c r="U1488" t="s">
        <v>50020</v>
      </c>
      <c r="W1488" t="s">
        <v>63487</v>
      </c>
      <c r="X1488" t="s">
        <v>46572</v>
      </c>
    </row>
    <row r="1489" spans="1:24">
      <c r="A1489">
        <f>HYPERLINK("https://www.philgeps.gov.ph/GEPSNONPILOT/Tender/SplashBidNoticeAbstractUI.aspx?menuIndex=3&amp;refID=7066132&amp;Result=3","7066132")</f>
        <v>0</v>
      </c>
      <c r="B1489" t="s">
        <v>253</v>
      </c>
      <c r="C1489" t="s">
        <v>4976</v>
      </c>
      <c r="D1489" t="s">
        <v>18790</v>
      </c>
      <c r="E1489" t="s">
        <v>20264</v>
      </c>
      <c r="F1489" t="s">
        <v>32664</v>
      </c>
      <c r="G1489" t="s">
        <v>32674</v>
      </c>
      <c r="H1489" t="s">
        <v>12635</v>
      </c>
      <c r="I1489" t="s">
        <v>4205</v>
      </c>
      <c r="J1489" t="s">
        <v>33924</v>
      </c>
      <c r="K1489" t="s">
        <v>42283</v>
      </c>
      <c r="M1489" t="s">
        <v>42851</v>
      </c>
      <c r="N1489" t="s">
        <v>46569</v>
      </c>
      <c r="O1489" t="s">
        <v>46570</v>
      </c>
      <c r="P1489">
        <v>0</v>
      </c>
      <c r="Q1489">
        <v>0</v>
      </c>
      <c r="R1489" t="s">
        <v>46571</v>
      </c>
      <c r="S1489" t="s">
        <v>46687</v>
      </c>
      <c r="T1489" t="s">
        <v>48283</v>
      </c>
      <c r="U1489" t="s">
        <v>50052</v>
      </c>
      <c r="W1489" t="s">
        <v>42851</v>
      </c>
      <c r="X1489" t="s">
        <v>46572</v>
      </c>
    </row>
    <row r="1490" spans="1:24">
      <c r="A1490">
        <f>HYPERLINK("https://www.philgeps.gov.ph/GEPSNONPILOT/Tender/SplashBidNoticeAbstractUI.aspx?menuIndex=3&amp;refID=7066129&amp;Result=3","7066129")</f>
        <v>0</v>
      </c>
      <c r="B1490" t="s">
        <v>615</v>
      </c>
      <c r="C1490" t="s">
        <v>4977</v>
      </c>
      <c r="D1490" t="s">
        <v>18802</v>
      </c>
      <c r="E1490" t="s">
        <v>20265</v>
      </c>
      <c r="F1490" t="s">
        <v>32664</v>
      </c>
      <c r="G1490" t="s">
        <v>32671</v>
      </c>
      <c r="H1490" t="s">
        <v>12635</v>
      </c>
      <c r="I1490" t="s">
        <v>32701</v>
      </c>
      <c r="J1490" t="s">
        <v>33925</v>
      </c>
      <c r="K1490" t="s">
        <v>42283</v>
      </c>
      <c r="M1490" t="s">
        <v>43195</v>
      </c>
      <c r="N1490" t="s">
        <v>46569</v>
      </c>
      <c r="O1490" t="s">
        <v>46570</v>
      </c>
      <c r="P1490">
        <v>0</v>
      </c>
      <c r="Q1490">
        <v>0</v>
      </c>
      <c r="R1490" t="s">
        <v>46571</v>
      </c>
      <c r="S1490" t="s">
        <v>46687</v>
      </c>
      <c r="T1490" t="s">
        <v>48221</v>
      </c>
      <c r="U1490" t="s">
        <v>49258</v>
      </c>
      <c r="V1490" t="s">
        <v>61775</v>
      </c>
      <c r="W1490" t="s">
        <v>43195</v>
      </c>
      <c r="X1490" t="s">
        <v>46572</v>
      </c>
    </row>
    <row r="1491" spans="1:24">
      <c r="A1491">
        <f>HYPERLINK("https://www.philgeps.gov.ph/GEPSNONPILOT/Tender/SplashBidNoticeAbstractUI.aspx?menuIndex=3&amp;refID=7066127&amp;Result=3","7066127")</f>
        <v>0</v>
      </c>
      <c r="B1491" t="s">
        <v>674</v>
      </c>
      <c r="C1491" t="s">
        <v>4978</v>
      </c>
      <c r="D1491" t="s">
        <v>18821</v>
      </c>
      <c r="E1491" t="s">
        <v>20266</v>
      </c>
      <c r="F1491" t="s">
        <v>32664</v>
      </c>
      <c r="G1491" t="s">
        <v>32671</v>
      </c>
      <c r="H1491" t="s">
        <v>12635</v>
      </c>
      <c r="I1491" t="s">
        <v>4439</v>
      </c>
      <c r="J1491" t="s">
        <v>33926</v>
      </c>
      <c r="K1491" t="s">
        <v>42303</v>
      </c>
      <c r="M1491" t="s">
        <v>43261</v>
      </c>
      <c r="N1491" t="s">
        <v>46569</v>
      </c>
      <c r="O1491" t="s">
        <v>46570</v>
      </c>
      <c r="P1491">
        <v>0</v>
      </c>
      <c r="Q1491">
        <v>0</v>
      </c>
      <c r="R1491" t="s">
        <v>46571</v>
      </c>
      <c r="S1491" t="s">
        <v>46687</v>
      </c>
      <c r="T1491" t="s">
        <v>48293</v>
      </c>
      <c r="U1491" t="s">
        <v>50053</v>
      </c>
      <c r="W1491" t="s">
        <v>43261</v>
      </c>
      <c r="X1491" t="s">
        <v>46572</v>
      </c>
    </row>
    <row r="1492" spans="1:24">
      <c r="A1492">
        <f>HYPERLINK("https://www.philgeps.gov.ph/GEPSNONPILOT/Tender/SplashBidNoticeAbstractUI.aspx?menuIndex=3&amp;refID=7066126&amp;Result=3","7066126")</f>
        <v>0</v>
      </c>
      <c r="B1492" t="s">
        <v>617</v>
      </c>
      <c r="C1492" t="s">
        <v>4979</v>
      </c>
      <c r="D1492" t="s">
        <v>18784</v>
      </c>
      <c r="E1492" t="s">
        <v>20267</v>
      </c>
      <c r="F1492" t="s">
        <v>32664</v>
      </c>
      <c r="G1492" t="s">
        <v>32671</v>
      </c>
      <c r="H1492" t="s">
        <v>12635</v>
      </c>
      <c r="I1492" t="s">
        <v>32701</v>
      </c>
      <c r="J1492" t="s">
        <v>33051</v>
      </c>
      <c r="K1492" t="s">
        <v>42289</v>
      </c>
      <c r="M1492" t="s">
        <v>43197</v>
      </c>
      <c r="N1492" t="s">
        <v>46569</v>
      </c>
      <c r="O1492" t="s">
        <v>46570</v>
      </c>
      <c r="P1492">
        <v>0</v>
      </c>
      <c r="Q1492">
        <v>0</v>
      </c>
      <c r="R1492" t="s">
        <v>46571</v>
      </c>
      <c r="S1492" t="s">
        <v>46687</v>
      </c>
      <c r="T1492" t="s">
        <v>48293</v>
      </c>
      <c r="U1492" t="s">
        <v>50054</v>
      </c>
      <c r="W1492" t="s">
        <v>43197</v>
      </c>
      <c r="X1492" t="s">
        <v>46572</v>
      </c>
    </row>
    <row r="1493" spans="1:24">
      <c r="A1493">
        <f>HYPERLINK("https://www.philgeps.gov.ph/GEPSNONPILOT/Tender/SplashBidNoticeAbstractUI.aspx?menuIndex=3&amp;refID=7066123&amp;Result=3","7066123")</f>
        <v>0</v>
      </c>
      <c r="B1493" t="s">
        <v>642</v>
      </c>
      <c r="C1493" t="s">
        <v>3806</v>
      </c>
      <c r="D1493" t="s">
        <v>18782</v>
      </c>
      <c r="E1493" t="s">
        <v>20268</v>
      </c>
      <c r="F1493" t="s">
        <v>32664</v>
      </c>
      <c r="G1493" t="s">
        <v>32671</v>
      </c>
      <c r="H1493" t="s">
        <v>12635</v>
      </c>
      <c r="I1493" t="s">
        <v>6223</v>
      </c>
      <c r="J1493" t="s">
        <v>33927</v>
      </c>
      <c r="K1493" t="s">
        <v>42289</v>
      </c>
      <c r="M1493" t="s">
        <v>43227</v>
      </c>
      <c r="N1493" t="s">
        <v>46569</v>
      </c>
      <c r="O1493" t="s">
        <v>46570</v>
      </c>
      <c r="P1493">
        <v>0</v>
      </c>
      <c r="Q1493">
        <v>0</v>
      </c>
      <c r="R1493" t="s">
        <v>46571</v>
      </c>
      <c r="S1493" t="s">
        <v>46687</v>
      </c>
      <c r="T1493" t="s">
        <v>48221</v>
      </c>
      <c r="U1493" t="s">
        <v>50055</v>
      </c>
      <c r="V1493" t="s">
        <v>61791</v>
      </c>
      <c r="W1493" t="s">
        <v>43227</v>
      </c>
      <c r="X1493" t="s">
        <v>46572</v>
      </c>
    </row>
    <row r="1494" spans="1:24">
      <c r="A1494">
        <f>HYPERLINK("https://www.philgeps.gov.ph/GEPSNONPILOT/Tender/SplashBidNoticeAbstractUI.aspx?menuIndex=3&amp;refID=7066121&amp;Result=3","7066121")</f>
        <v>0</v>
      </c>
      <c r="B1494" t="s">
        <v>229</v>
      </c>
      <c r="C1494" t="s">
        <v>4957</v>
      </c>
      <c r="D1494" t="s">
        <v>18838</v>
      </c>
      <c r="E1494" t="s">
        <v>20269</v>
      </c>
      <c r="F1494" t="s">
        <v>32664</v>
      </c>
      <c r="G1494" t="s">
        <v>32671</v>
      </c>
      <c r="H1494" t="s">
        <v>12635</v>
      </c>
      <c r="I1494" t="s">
        <v>32689</v>
      </c>
      <c r="J1494" t="s">
        <v>33928</v>
      </c>
      <c r="K1494" t="s">
        <v>42297</v>
      </c>
      <c r="M1494" t="s">
        <v>42793</v>
      </c>
      <c r="N1494" t="s">
        <v>46569</v>
      </c>
      <c r="O1494" t="s">
        <v>46570</v>
      </c>
      <c r="P1494">
        <v>0</v>
      </c>
      <c r="Q1494">
        <v>0</v>
      </c>
      <c r="R1494" t="s">
        <v>46571</v>
      </c>
      <c r="S1494" t="s">
        <v>46687</v>
      </c>
      <c r="T1494" t="s">
        <v>48221</v>
      </c>
      <c r="U1494" t="s">
        <v>50056</v>
      </c>
      <c r="W1494" t="s">
        <v>42793</v>
      </c>
      <c r="X1494" t="s">
        <v>46572</v>
      </c>
    </row>
    <row r="1495" spans="1:24">
      <c r="A1495">
        <f>HYPERLINK("https://www.philgeps.gov.ph/GEPSNONPILOT/Tender/SplashBidNoticeAbstractUI.aspx?menuIndex=3&amp;refID=7066134&amp;Result=3","7066134")</f>
        <v>0</v>
      </c>
      <c r="B1495" t="s">
        <v>675</v>
      </c>
      <c r="C1495" t="s">
        <v>4980</v>
      </c>
      <c r="D1495" t="s">
        <v>18785</v>
      </c>
      <c r="E1495" t="s">
        <v>19718</v>
      </c>
      <c r="F1495" t="s">
        <v>32664</v>
      </c>
      <c r="G1495" t="s">
        <v>32674</v>
      </c>
      <c r="H1495" t="s">
        <v>12635</v>
      </c>
      <c r="I1495" t="s">
        <v>32688</v>
      </c>
      <c r="J1495" t="s">
        <v>33520</v>
      </c>
      <c r="K1495" t="s">
        <v>42306</v>
      </c>
      <c r="M1495" t="s">
        <v>43262</v>
      </c>
      <c r="N1495" t="s">
        <v>46569</v>
      </c>
      <c r="O1495" t="s">
        <v>46570</v>
      </c>
      <c r="P1495">
        <v>0</v>
      </c>
      <c r="Q1495">
        <v>0</v>
      </c>
      <c r="R1495" t="s">
        <v>46571</v>
      </c>
      <c r="S1495" t="s">
        <v>46687</v>
      </c>
      <c r="T1495" t="s">
        <v>48254</v>
      </c>
      <c r="U1495" t="s">
        <v>50057</v>
      </c>
      <c r="W1495" t="s">
        <v>43262</v>
      </c>
      <c r="X1495" t="s">
        <v>46572</v>
      </c>
    </row>
    <row r="1496" spans="1:24">
      <c r="A1496">
        <f>HYPERLINK("https://www.philgeps.gov.ph/GEPSNONPILOT/Tender/SplashBidNoticeAbstractUI.aspx?menuIndex=3&amp;refID=7066120&amp;Result=3","7066120")</f>
        <v>0</v>
      </c>
      <c r="B1496" t="s">
        <v>535</v>
      </c>
      <c r="C1496" t="s">
        <v>4981</v>
      </c>
      <c r="D1496" t="s">
        <v>18834</v>
      </c>
      <c r="E1496" t="s">
        <v>20270</v>
      </c>
      <c r="F1496" t="s">
        <v>32664</v>
      </c>
      <c r="G1496" t="s">
        <v>32671</v>
      </c>
      <c r="H1496" t="s">
        <v>12635</v>
      </c>
      <c r="I1496" t="s">
        <v>8797</v>
      </c>
      <c r="J1496" t="s">
        <v>33929</v>
      </c>
      <c r="K1496" t="s">
        <v>42289</v>
      </c>
      <c r="M1496" t="s">
        <v>43113</v>
      </c>
      <c r="N1496" t="s">
        <v>46569</v>
      </c>
      <c r="O1496" t="s">
        <v>46570</v>
      </c>
      <c r="P1496">
        <v>0</v>
      </c>
      <c r="Q1496">
        <v>2</v>
      </c>
      <c r="R1496" t="s">
        <v>46571</v>
      </c>
      <c r="S1496" t="s">
        <v>46687</v>
      </c>
      <c r="T1496" t="s">
        <v>48219</v>
      </c>
      <c r="U1496" t="s">
        <v>49736</v>
      </c>
      <c r="W1496" t="s">
        <v>63481</v>
      </c>
      <c r="X1496" t="s">
        <v>46572</v>
      </c>
    </row>
    <row r="1497" spans="1:24">
      <c r="A1497">
        <f>HYPERLINK("https://www.philgeps.gov.ph/GEPSNONPILOT/Tender/SplashBidNoticeAbstractUI.aspx?menuIndex=3&amp;refID=7066125&amp;Result=3","7066125")</f>
        <v>0</v>
      </c>
      <c r="B1497" t="s">
        <v>676</v>
      </c>
      <c r="C1497" t="s">
        <v>4982</v>
      </c>
      <c r="D1497" t="s">
        <v>18806</v>
      </c>
      <c r="E1497" t="s">
        <v>20271</v>
      </c>
      <c r="F1497" t="s">
        <v>32664</v>
      </c>
      <c r="G1497" t="s">
        <v>32671</v>
      </c>
      <c r="H1497" t="s">
        <v>12635</v>
      </c>
      <c r="I1497" t="s">
        <v>10361</v>
      </c>
      <c r="J1497" t="s">
        <v>33930</v>
      </c>
      <c r="K1497" t="s">
        <v>42289</v>
      </c>
      <c r="M1497" t="s">
        <v>43263</v>
      </c>
      <c r="N1497" t="s">
        <v>46569</v>
      </c>
      <c r="O1497" t="s">
        <v>46570</v>
      </c>
      <c r="P1497">
        <v>0</v>
      </c>
      <c r="Q1497">
        <v>0</v>
      </c>
      <c r="R1497" t="s">
        <v>46571</v>
      </c>
      <c r="S1497" t="s">
        <v>46687</v>
      </c>
      <c r="T1497" t="s">
        <v>48256</v>
      </c>
      <c r="U1497" t="s">
        <v>50058</v>
      </c>
      <c r="W1497" t="s">
        <v>43263</v>
      </c>
      <c r="X1497" t="s">
        <v>46572</v>
      </c>
    </row>
    <row r="1498" spans="1:24">
      <c r="A1498">
        <f>HYPERLINK("https://www.philgeps.gov.ph/GEPSNONPILOT/Tender/SplashBidNoticeAbstractUI.aspx?menuIndex=3&amp;refID=7066167&amp;Result=3","7066167")</f>
        <v>0</v>
      </c>
      <c r="B1498" t="s">
        <v>677</v>
      </c>
      <c r="C1498" t="s">
        <v>4983</v>
      </c>
      <c r="E1498" t="s">
        <v>20272</v>
      </c>
      <c r="F1498" t="s">
        <v>32666</v>
      </c>
      <c r="G1498" t="s">
        <v>32672</v>
      </c>
      <c r="H1498" t="s">
        <v>12635</v>
      </c>
      <c r="I1498" t="s">
        <v>4439</v>
      </c>
      <c r="J1498" t="s">
        <v>33931</v>
      </c>
      <c r="K1498" t="s">
        <v>42283</v>
      </c>
      <c r="M1498" t="s">
        <v>43264</v>
      </c>
      <c r="N1498" t="s">
        <v>46569</v>
      </c>
      <c r="O1498" t="s">
        <v>46570</v>
      </c>
      <c r="P1498">
        <v>0</v>
      </c>
      <c r="Q1498">
        <v>0</v>
      </c>
      <c r="R1498" t="s">
        <v>46571</v>
      </c>
      <c r="S1498" t="s">
        <v>46687</v>
      </c>
      <c r="T1498" t="s">
        <v>48390</v>
      </c>
      <c r="U1498" t="s">
        <v>50059</v>
      </c>
      <c r="W1498" t="s">
        <v>43264</v>
      </c>
      <c r="X1498" t="s">
        <v>46572</v>
      </c>
    </row>
    <row r="1499" spans="1:24">
      <c r="A1499">
        <f>HYPERLINK("https://www.philgeps.gov.ph/GEPSNONPILOT/Tender/SplashBidNoticeAbstractUI.aspx?menuIndex=3&amp;refID=7065988&amp;Result=3","7065988")</f>
        <v>0</v>
      </c>
      <c r="B1499" t="s">
        <v>194</v>
      </c>
      <c r="C1499" t="s">
        <v>4984</v>
      </c>
      <c r="D1499" t="s">
        <v>18791</v>
      </c>
      <c r="E1499" t="s">
        <v>20273</v>
      </c>
      <c r="F1499" t="s">
        <v>32664</v>
      </c>
      <c r="G1499" t="s">
        <v>32672</v>
      </c>
      <c r="H1499" t="s">
        <v>32683</v>
      </c>
      <c r="I1499" t="s">
        <v>10627</v>
      </c>
      <c r="J1499" t="s">
        <v>33932</v>
      </c>
      <c r="K1499" t="s">
        <v>42362</v>
      </c>
      <c r="M1499" t="s">
        <v>43230</v>
      </c>
      <c r="N1499" t="s">
        <v>46569</v>
      </c>
      <c r="O1499" t="s">
        <v>46570</v>
      </c>
      <c r="P1499">
        <v>0</v>
      </c>
      <c r="Q1499">
        <v>1</v>
      </c>
      <c r="R1499" t="s">
        <v>46571</v>
      </c>
      <c r="S1499" t="s">
        <v>46687</v>
      </c>
      <c r="T1499" t="s">
        <v>48272</v>
      </c>
      <c r="U1499" t="s">
        <v>50060</v>
      </c>
      <c r="W1499" t="s">
        <v>43230</v>
      </c>
      <c r="X1499" t="s">
        <v>46572</v>
      </c>
    </row>
    <row r="1500" spans="1:24">
      <c r="A1500">
        <f>HYPERLINK("https://www.philgeps.gov.ph/GEPSNONPILOT/Tender/SplashBidNoticeAbstractUI.aspx?menuIndex=3&amp;refID=7066171&amp;Result=3","7066171")</f>
        <v>0</v>
      </c>
      <c r="B1500" t="s">
        <v>678</v>
      </c>
      <c r="C1500" t="s">
        <v>4043</v>
      </c>
      <c r="E1500" t="s">
        <v>20274</v>
      </c>
      <c r="F1500" t="s">
        <v>32664</v>
      </c>
      <c r="G1500" t="s">
        <v>32671</v>
      </c>
      <c r="H1500" t="s">
        <v>12635</v>
      </c>
      <c r="I1500" t="s">
        <v>6168</v>
      </c>
      <c r="J1500" t="s">
        <v>33933</v>
      </c>
      <c r="K1500" t="s">
        <v>42283</v>
      </c>
      <c r="M1500" t="s">
        <v>43265</v>
      </c>
      <c r="N1500" t="s">
        <v>46569</v>
      </c>
      <c r="O1500" t="s">
        <v>46570</v>
      </c>
      <c r="P1500">
        <v>0</v>
      </c>
      <c r="Q1500">
        <v>0</v>
      </c>
      <c r="R1500" t="s">
        <v>46571</v>
      </c>
      <c r="S1500" t="s">
        <v>46687</v>
      </c>
      <c r="T1500" t="s">
        <v>48312</v>
      </c>
      <c r="U1500" t="s">
        <v>50061</v>
      </c>
      <c r="W1500" t="s">
        <v>43265</v>
      </c>
      <c r="X1500" t="s">
        <v>46572</v>
      </c>
    </row>
    <row r="1501" spans="1:24">
      <c r="A1501">
        <f>HYPERLINK("https://www.philgeps.gov.ph/GEPSNONPILOT/Tender/SplashBidNoticeAbstractUI.aspx?menuIndex=3&amp;refID=7066170&amp;Result=3","7066170")</f>
        <v>0</v>
      </c>
      <c r="B1501" t="s">
        <v>253</v>
      </c>
      <c r="C1501" t="s">
        <v>4985</v>
      </c>
      <c r="D1501" t="s">
        <v>18790</v>
      </c>
      <c r="E1501" t="s">
        <v>20275</v>
      </c>
      <c r="F1501" t="s">
        <v>32664</v>
      </c>
      <c r="G1501" t="s">
        <v>32674</v>
      </c>
      <c r="H1501" t="s">
        <v>12635</v>
      </c>
      <c r="I1501" t="s">
        <v>6168</v>
      </c>
      <c r="J1501" t="s">
        <v>33934</v>
      </c>
      <c r="K1501" t="s">
        <v>42283</v>
      </c>
      <c r="M1501" t="s">
        <v>42851</v>
      </c>
      <c r="N1501" t="s">
        <v>46569</v>
      </c>
      <c r="O1501" t="s">
        <v>46570</v>
      </c>
      <c r="P1501">
        <v>0</v>
      </c>
      <c r="Q1501">
        <v>0</v>
      </c>
      <c r="R1501" t="s">
        <v>46571</v>
      </c>
      <c r="S1501" t="s">
        <v>46687</v>
      </c>
      <c r="T1501" t="s">
        <v>48283</v>
      </c>
      <c r="U1501" t="s">
        <v>50062</v>
      </c>
      <c r="W1501" t="s">
        <v>42851</v>
      </c>
      <c r="X1501" t="s">
        <v>46572</v>
      </c>
    </row>
    <row r="1502" spans="1:24">
      <c r="A1502">
        <f>HYPERLINK("https://www.philgeps.gov.ph/GEPSNONPILOT/Tender/SplashBidNoticeAbstractUI.aspx?menuIndex=3&amp;refID=7066169&amp;Result=3","7066169")</f>
        <v>0</v>
      </c>
      <c r="B1502" t="s">
        <v>679</v>
      </c>
      <c r="C1502" t="s">
        <v>4986</v>
      </c>
      <c r="D1502" t="s">
        <v>18831</v>
      </c>
      <c r="E1502" t="s">
        <v>20276</v>
      </c>
      <c r="F1502" t="s">
        <v>32664</v>
      </c>
      <c r="G1502" t="s">
        <v>32672</v>
      </c>
      <c r="H1502" t="s">
        <v>32683</v>
      </c>
      <c r="I1502" t="s">
        <v>10627</v>
      </c>
      <c r="J1502" t="s">
        <v>33935</v>
      </c>
      <c r="K1502" t="s">
        <v>42290</v>
      </c>
      <c r="M1502" t="s">
        <v>43266</v>
      </c>
      <c r="N1502" t="s">
        <v>46569</v>
      </c>
      <c r="O1502" t="s">
        <v>46570</v>
      </c>
      <c r="P1502">
        <v>0</v>
      </c>
      <c r="Q1502">
        <v>1</v>
      </c>
      <c r="R1502" t="s">
        <v>46571</v>
      </c>
      <c r="S1502" t="s">
        <v>46687</v>
      </c>
      <c r="T1502" t="s">
        <v>48270</v>
      </c>
      <c r="U1502" t="s">
        <v>50063</v>
      </c>
      <c r="W1502" t="s">
        <v>43266</v>
      </c>
      <c r="X1502" t="s">
        <v>46572</v>
      </c>
    </row>
    <row r="1503" spans="1:24">
      <c r="A1503">
        <f>HYPERLINK("https://www.philgeps.gov.ph/GEPSNONPILOT/Tender/SplashBidNoticeAbstractUI.aspx?menuIndex=3&amp;refID=7066163&amp;Result=3","7066163")</f>
        <v>0</v>
      </c>
      <c r="B1503" t="s">
        <v>664</v>
      </c>
      <c r="C1503" t="s">
        <v>4987</v>
      </c>
      <c r="D1503" t="s">
        <v>18842</v>
      </c>
      <c r="E1503" t="s">
        <v>20277</v>
      </c>
      <c r="F1503" t="s">
        <v>32664</v>
      </c>
      <c r="G1503" t="s">
        <v>32671</v>
      </c>
      <c r="H1503" t="s">
        <v>12635</v>
      </c>
      <c r="I1503" t="s">
        <v>32685</v>
      </c>
      <c r="J1503" t="s">
        <v>32831</v>
      </c>
      <c r="K1503" t="s">
        <v>42283</v>
      </c>
      <c r="M1503" t="s">
        <v>43251</v>
      </c>
      <c r="N1503" t="s">
        <v>46569</v>
      </c>
      <c r="O1503" t="s">
        <v>46570</v>
      </c>
      <c r="P1503">
        <v>0</v>
      </c>
      <c r="Q1503">
        <v>0</v>
      </c>
      <c r="R1503" t="s">
        <v>46571</v>
      </c>
      <c r="S1503" t="s">
        <v>46687</v>
      </c>
      <c r="T1503" t="s">
        <v>48244</v>
      </c>
      <c r="U1503" t="s">
        <v>50064</v>
      </c>
      <c r="W1503" t="s">
        <v>43251</v>
      </c>
      <c r="X1503" t="s">
        <v>46572</v>
      </c>
    </row>
    <row r="1504" spans="1:24">
      <c r="A1504">
        <f>HYPERLINK("https://www.philgeps.gov.ph/GEPSNONPILOT/Tender/SplashBidNoticeAbstractUI.aspx?menuIndex=3&amp;refID=7066161&amp;Result=3","7066161")</f>
        <v>0</v>
      </c>
      <c r="B1504" t="s">
        <v>680</v>
      </c>
      <c r="C1504" t="s">
        <v>4988</v>
      </c>
      <c r="D1504" t="s">
        <v>18792</v>
      </c>
      <c r="E1504" t="s">
        <v>20278</v>
      </c>
      <c r="F1504" t="s">
        <v>32664</v>
      </c>
      <c r="G1504" t="s">
        <v>32671</v>
      </c>
      <c r="H1504" t="s">
        <v>12635</v>
      </c>
      <c r="I1504" t="s">
        <v>32689</v>
      </c>
      <c r="J1504" t="s">
        <v>33578</v>
      </c>
      <c r="K1504" t="s">
        <v>42289</v>
      </c>
      <c r="M1504" t="s">
        <v>43267</v>
      </c>
      <c r="N1504" t="s">
        <v>46569</v>
      </c>
      <c r="O1504" t="s">
        <v>46570</v>
      </c>
      <c r="P1504">
        <v>0</v>
      </c>
      <c r="Q1504">
        <v>1</v>
      </c>
      <c r="R1504" t="s">
        <v>46571</v>
      </c>
      <c r="S1504" t="s">
        <v>46687</v>
      </c>
      <c r="T1504" t="s">
        <v>48283</v>
      </c>
      <c r="U1504" t="s">
        <v>50065</v>
      </c>
      <c r="W1504" t="s">
        <v>43267</v>
      </c>
      <c r="X1504" t="s">
        <v>46572</v>
      </c>
    </row>
    <row r="1505" spans="1:24">
      <c r="A1505">
        <f>HYPERLINK("https://www.philgeps.gov.ph/GEPSNONPILOT/Tender/SplashBidNoticeAbstractUI.aspx?menuIndex=3&amp;refID=7066141&amp;Result=3","7066141")</f>
        <v>0</v>
      </c>
      <c r="B1505" t="s">
        <v>651</v>
      </c>
      <c r="C1505" t="s">
        <v>4989</v>
      </c>
      <c r="D1505" t="s">
        <v>18826</v>
      </c>
      <c r="E1505" t="s">
        <v>20279</v>
      </c>
      <c r="F1505" t="s">
        <v>32664</v>
      </c>
      <c r="G1505" t="s">
        <v>32672</v>
      </c>
      <c r="H1505" t="s">
        <v>32683</v>
      </c>
      <c r="I1505" t="s">
        <v>10627</v>
      </c>
      <c r="J1505" t="s">
        <v>33886</v>
      </c>
      <c r="K1505" t="s">
        <v>42363</v>
      </c>
      <c r="M1505" t="s">
        <v>43237</v>
      </c>
      <c r="N1505" t="s">
        <v>46569</v>
      </c>
      <c r="O1505" t="s">
        <v>46570</v>
      </c>
      <c r="P1505">
        <v>0</v>
      </c>
      <c r="Q1505">
        <v>4</v>
      </c>
      <c r="R1505" t="s">
        <v>46571</v>
      </c>
      <c r="S1505" t="s">
        <v>46687</v>
      </c>
      <c r="T1505" t="s">
        <v>48385</v>
      </c>
      <c r="U1505" t="s">
        <v>50009</v>
      </c>
      <c r="W1505" t="s">
        <v>43237</v>
      </c>
      <c r="X1505" t="s">
        <v>46572</v>
      </c>
    </row>
    <row r="1506" spans="1:24">
      <c r="A1506">
        <f>HYPERLINK("https://www.philgeps.gov.ph/GEPSNONPILOT/Tender/SplashBidNoticeAbstractUI.aspx?menuIndex=3&amp;refID=7066158&amp;Result=3","7066158")</f>
        <v>0</v>
      </c>
      <c r="B1506" t="s">
        <v>253</v>
      </c>
      <c r="C1506" t="s">
        <v>4990</v>
      </c>
      <c r="D1506" t="s">
        <v>18790</v>
      </c>
      <c r="E1506" t="s">
        <v>20280</v>
      </c>
      <c r="F1506" t="s">
        <v>32664</v>
      </c>
      <c r="G1506" t="s">
        <v>32671</v>
      </c>
      <c r="H1506" t="s">
        <v>12635</v>
      </c>
      <c r="I1506" t="s">
        <v>32706</v>
      </c>
      <c r="J1506" t="s">
        <v>33936</v>
      </c>
      <c r="K1506" t="s">
        <v>42283</v>
      </c>
      <c r="M1506" t="s">
        <v>42851</v>
      </c>
      <c r="N1506" t="s">
        <v>46569</v>
      </c>
      <c r="O1506" t="s">
        <v>46570</v>
      </c>
      <c r="P1506">
        <v>0</v>
      </c>
      <c r="Q1506">
        <v>0</v>
      </c>
      <c r="R1506" t="s">
        <v>46571</v>
      </c>
      <c r="S1506" t="s">
        <v>46687</v>
      </c>
      <c r="T1506" t="s">
        <v>48283</v>
      </c>
      <c r="U1506" t="s">
        <v>50066</v>
      </c>
      <c r="W1506" t="s">
        <v>42851</v>
      </c>
      <c r="X1506" t="s">
        <v>46572</v>
      </c>
    </row>
    <row r="1507" spans="1:24">
      <c r="A1507">
        <f>HYPERLINK("https://www.philgeps.gov.ph/GEPSNONPILOT/Tender/SplashBidNoticeAbstractUI.aspx?menuIndex=3&amp;refID=7066155&amp;Result=3","7066155")</f>
        <v>0</v>
      </c>
      <c r="B1507" t="s">
        <v>677</v>
      </c>
      <c r="C1507" t="s">
        <v>4991</v>
      </c>
      <c r="E1507" t="s">
        <v>20272</v>
      </c>
      <c r="F1507" t="s">
        <v>32666</v>
      </c>
      <c r="G1507" t="s">
        <v>32672</v>
      </c>
      <c r="H1507" t="s">
        <v>12635</v>
      </c>
      <c r="I1507" t="s">
        <v>4439</v>
      </c>
      <c r="J1507" t="s">
        <v>33937</v>
      </c>
      <c r="K1507" t="s">
        <v>42283</v>
      </c>
      <c r="M1507" t="s">
        <v>43264</v>
      </c>
      <c r="N1507" t="s">
        <v>46569</v>
      </c>
      <c r="O1507" t="s">
        <v>46570</v>
      </c>
      <c r="P1507">
        <v>0</v>
      </c>
      <c r="Q1507">
        <v>0</v>
      </c>
      <c r="R1507" t="s">
        <v>46571</v>
      </c>
      <c r="S1507" t="s">
        <v>46687</v>
      </c>
      <c r="T1507" t="s">
        <v>48390</v>
      </c>
      <c r="U1507" t="s">
        <v>50059</v>
      </c>
      <c r="W1507" t="s">
        <v>43264</v>
      </c>
      <c r="X1507" t="s">
        <v>46572</v>
      </c>
    </row>
    <row r="1508" spans="1:24">
      <c r="A1508">
        <f>HYPERLINK("https://www.philgeps.gov.ph/GEPSNONPILOT/Tender/SplashBidNoticeAbstractUI.aspx?menuIndex=3&amp;refID=7066152&amp;Result=3","7066152")</f>
        <v>0</v>
      </c>
      <c r="B1508" t="s">
        <v>681</v>
      </c>
      <c r="C1508" t="s">
        <v>4992</v>
      </c>
      <c r="D1508" t="s">
        <v>18823</v>
      </c>
      <c r="E1508" t="s">
        <v>20281</v>
      </c>
      <c r="F1508" t="s">
        <v>32664</v>
      </c>
      <c r="G1508" t="s">
        <v>32671</v>
      </c>
      <c r="H1508" t="s">
        <v>32682</v>
      </c>
      <c r="I1508" t="s">
        <v>32706</v>
      </c>
      <c r="J1508" t="s">
        <v>33938</v>
      </c>
      <c r="K1508" t="s">
        <v>42334</v>
      </c>
      <c r="M1508" t="s">
        <v>43268</v>
      </c>
      <c r="N1508" t="s">
        <v>46569</v>
      </c>
      <c r="O1508" t="s">
        <v>46570</v>
      </c>
      <c r="P1508">
        <v>0</v>
      </c>
      <c r="Q1508">
        <v>0</v>
      </c>
      <c r="R1508" t="s">
        <v>46571</v>
      </c>
      <c r="S1508" t="s">
        <v>46687</v>
      </c>
      <c r="T1508" t="s">
        <v>48224</v>
      </c>
      <c r="U1508" t="s">
        <v>50067</v>
      </c>
      <c r="W1508" t="s">
        <v>43268</v>
      </c>
      <c r="X1508" t="s">
        <v>46572</v>
      </c>
    </row>
    <row r="1509" spans="1:24">
      <c r="A1509">
        <f>HYPERLINK("https://www.philgeps.gov.ph/GEPSNONPILOT/Tender/SplashBidNoticeAbstractUI.aspx?menuIndex=3&amp;refID=7066162&amp;Result=3","7066162")</f>
        <v>0</v>
      </c>
      <c r="B1509" t="s">
        <v>666</v>
      </c>
      <c r="C1509" t="s">
        <v>4993</v>
      </c>
      <c r="D1509" t="s">
        <v>18798</v>
      </c>
      <c r="E1509" t="s">
        <v>20282</v>
      </c>
      <c r="F1509" t="s">
        <v>32664</v>
      </c>
      <c r="G1509" t="s">
        <v>32672</v>
      </c>
      <c r="H1509" t="s">
        <v>12635</v>
      </c>
      <c r="I1509" t="s">
        <v>11464</v>
      </c>
      <c r="J1509" t="s">
        <v>33939</v>
      </c>
      <c r="K1509" t="s">
        <v>42283</v>
      </c>
      <c r="M1509" t="s">
        <v>43253</v>
      </c>
      <c r="N1509" t="s">
        <v>46569</v>
      </c>
      <c r="O1509" t="s">
        <v>46570</v>
      </c>
      <c r="P1509">
        <v>0</v>
      </c>
      <c r="Q1509">
        <v>3</v>
      </c>
      <c r="R1509" t="s">
        <v>46571</v>
      </c>
      <c r="S1509" t="s">
        <v>46687</v>
      </c>
      <c r="T1509" t="s">
        <v>48240</v>
      </c>
      <c r="U1509" t="s">
        <v>50068</v>
      </c>
      <c r="W1509" t="s">
        <v>43253</v>
      </c>
      <c r="X1509" t="s">
        <v>46572</v>
      </c>
    </row>
    <row r="1510" spans="1:24">
      <c r="A1510">
        <f>HYPERLINK("https://www.philgeps.gov.ph/GEPSNONPILOT/Tender/SplashBidNoticeAbstractUI.aspx?menuIndex=3&amp;refID=7066148&amp;Result=3","7066148")</f>
        <v>0</v>
      </c>
      <c r="B1510" t="s">
        <v>682</v>
      </c>
      <c r="C1510" t="s">
        <v>4994</v>
      </c>
      <c r="D1510" t="s">
        <v>18785</v>
      </c>
      <c r="E1510" t="s">
        <v>20283</v>
      </c>
      <c r="F1510" t="s">
        <v>32664</v>
      </c>
      <c r="G1510" t="s">
        <v>32671</v>
      </c>
      <c r="H1510" t="s">
        <v>12635</v>
      </c>
      <c r="I1510" t="s">
        <v>32727</v>
      </c>
      <c r="J1510" t="s">
        <v>33940</v>
      </c>
      <c r="K1510" t="s">
        <v>42298</v>
      </c>
      <c r="M1510" t="s">
        <v>43269</v>
      </c>
      <c r="N1510" t="s">
        <v>46569</v>
      </c>
      <c r="O1510" t="s">
        <v>46570</v>
      </c>
      <c r="P1510">
        <v>0</v>
      </c>
      <c r="Q1510">
        <v>0</v>
      </c>
      <c r="R1510" t="s">
        <v>46571</v>
      </c>
      <c r="S1510" t="s">
        <v>46687</v>
      </c>
      <c r="T1510" t="s">
        <v>48391</v>
      </c>
      <c r="U1510" t="s">
        <v>50069</v>
      </c>
      <c r="W1510" t="s">
        <v>43269</v>
      </c>
      <c r="X1510" t="s">
        <v>46572</v>
      </c>
    </row>
    <row r="1511" spans="1:24">
      <c r="A1511">
        <f>HYPERLINK("https://www.philgeps.gov.ph/GEPSNONPILOT/Tender/SplashBidNoticeAbstractUI.aspx?menuIndex=3&amp;refID=7066145&amp;Result=3","7066145")</f>
        <v>0</v>
      </c>
      <c r="B1511" t="s">
        <v>673</v>
      </c>
      <c r="C1511" t="s">
        <v>4995</v>
      </c>
      <c r="D1511" t="s">
        <v>18799</v>
      </c>
      <c r="E1511" t="s">
        <v>20284</v>
      </c>
      <c r="F1511" t="s">
        <v>32664</v>
      </c>
      <c r="G1511" t="s">
        <v>32671</v>
      </c>
      <c r="H1511" t="s">
        <v>12635</v>
      </c>
      <c r="I1511" t="s">
        <v>4997</v>
      </c>
      <c r="J1511" t="s">
        <v>33015</v>
      </c>
      <c r="K1511" t="s">
        <v>42283</v>
      </c>
      <c r="M1511" t="s">
        <v>43260</v>
      </c>
      <c r="N1511" t="s">
        <v>46569</v>
      </c>
      <c r="O1511" t="s">
        <v>46570</v>
      </c>
      <c r="P1511">
        <v>0</v>
      </c>
      <c r="Q1511">
        <v>1</v>
      </c>
      <c r="R1511" t="s">
        <v>46571</v>
      </c>
      <c r="S1511" t="s">
        <v>46687</v>
      </c>
      <c r="T1511" t="s">
        <v>48245</v>
      </c>
      <c r="U1511" t="s">
        <v>50050</v>
      </c>
      <c r="W1511" t="s">
        <v>43260</v>
      </c>
      <c r="X1511" t="s">
        <v>46572</v>
      </c>
    </row>
    <row r="1512" spans="1:24">
      <c r="A1512">
        <f>HYPERLINK("https://www.philgeps.gov.ph/GEPSNONPILOT/Tender/SplashBidNoticeAbstractUI.aspx?menuIndex=3&amp;refID=7066153&amp;Result=3","7066153")</f>
        <v>0</v>
      </c>
      <c r="B1512" t="s">
        <v>683</v>
      </c>
      <c r="C1512" t="s">
        <v>4996</v>
      </c>
      <c r="D1512" t="s">
        <v>18842</v>
      </c>
      <c r="E1512" t="s">
        <v>20285</v>
      </c>
      <c r="F1512" t="s">
        <v>32664</v>
      </c>
      <c r="G1512" t="s">
        <v>32674</v>
      </c>
      <c r="H1512" t="s">
        <v>12635</v>
      </c>
      <c r="I1512" t="s">
        <v>10361</v>
      </c>
      <c r="J1512" t="s">
        <v>33391</v>
      </c>
      <c r="K1512" t="s">
        <v>42283</v>
      </c>
      <c r="M1512" t="s">
        <v>43270</v>
      </c>
      <c r="N1512" t="s">
        <v>46569</v>
      </c>
      <c r="O1512" t="s">
        <v>46570</v>
      </c>
      <c r="P1512">
        <v>0</v>
      </c>
      <c r="Q1512">
        <v>0</v>
      </c>
      <c r="R1512" t="s">
        <v>46571</v>
      </c>
      <c r="S1512" t="s">
        <v>46687</v>
      </c>
      <c r="T1512" t="s">
        <v>48256</v>
      </c>
      <c r="U1512" t="s">
        <v>50070</v>
      </c>
      <c r="W1512" t="s">
        <v>43270</v>
      </c>
      <c r="X1512" t="s">
        <v>46572</v>
      </c>
    </row>
    <row r="1513" spans="1:24">
      <c r="A1513">
        <f>HYPERLINK("https://www.philgeps.gov.ph/GEPSNONPILOT/Tender/SplashBidNoticeAbstractUI.aspx?menuIndex=3&amp;refID=7066143&amp;Result=3","7066143")</f>
        <v>0</v>
      </c>
      <c r="B1513" t="s">
        <v>684</v>
      </c>
      <c r="C1513" t="s">
        <v>4997</v>
      </c>
      <c r="D1513" t="s">
        <v>18809</v>
      </c>
      <c r="E1513" t="s">
        <v>20286</v>
      </c>
      <c r="F1513" t="s">
        <v>32664</v>
      </c>
      <c r="G1513" t="s">
        <v>32674</v>
      </c>
      <c r="H1513" t="s">
        <v>12635</v>
      </c>
      <c r="I1513" t="s">
        <v>4997</v>
      </c>
      <c r="J1513" t="s">
        <v>32976</v>
      </c>
      <c r="K1513" t="s">
        <v>42281</v>
      </c>
      <c r="M1513" t="s">
        <v>43271</v>
      </c>
      <c r="N1513" t="s">
        <v>46569</v>
      </c>
      <c r="O1513" t="s">
        <v>46570</v>
      </c>
      <c r="P1513">
        <v>0</v>
      </c>
      <c r="Q1513">
        <v>2</v>
      </c>
      <c r="R1513" t="s">
        <v>46571</v>
      </c>
      <c r="S1513" t="s">
        <v>46687</v>
      </c>
      <c r="T1513" t="s">
        <v>48286</v>
      </c>
      <c r="U1513" t="s">
        <v>50071</v>
      </c>
      <c r="W1513" t="s">
        <v>43271</v>
      </c>
      <c r="X1513" t="s">
        <v>46572</v>
      </c>
    </row>
    <row r="1514" spans="1:24">
      <c r="A1514">
        <f>HYPERLINK("https://www.philgeps.gov.ph/GEPSNONPILOT/Tender/SplashBidNoticeAbstractUI.aspx?menuIndex=3&amp;refID=7066150&amp;Result=3","7066150")</f>
        <v>0</v>
      </c>
      <c r="B1514" t="s">
        <v>59</v>
      </c>
      <c r="C1514" t="s">
        <v>4998</v>
      </c>
      <c r="D1514" t="s">
        <v>18807</v>
      </c>
      <c r="E1514" t="s">
        <v>20287</v>
      </c>
      <c r="F1514" t="s">
        <v>32664</v>
      </c>
      <c r="G1514" t="s">
        <v>32671</v>
      </c>
      <c r="H1514" t="s">
        <v>12635</v>
      </c>
      <c r="I1514" t="s">
        <v>4439</v>
      </c>
      <c r="J1514" t="s">
        <v>33941</v>
      </c>
      <c r="K1514" t="s">
        <v>42284</v>
      </c>
      <c r="M1514" t="s">
        <v>42621</v>
      </c>
      <c r="N1514" t="s">
        <v>46569</v>
      </c>
      <c r="O1514" t="s">
        <v>46570</v>
      </c>
      <c r="P1514">
        <v>0</v>
      </c>
      <c r="Q1514">
        <v>0</v>
      </c>
      <c r="R1514" t="s">
        <v>46571</v>
      </c>
      <c r="S1514" t="s">
        <v>46687</v>
      </c>
      <c r="T1514" t="s">
        <v>48211</v>
      </c>
      <c r="U1514" t="s">
        <v>50072</v>
      </c>
      <c r="W1514" t="s">
        <v>42621</v>
      </c>
      <c r="X1514" t="s">
        <v>46572</v>
      </c>
    </row>
    <row r="1515" spans="1:24">
      <c r="A1515">
        <f>HYPERLINK("https://www.philgeps.gov.ph/GEPSNONPILOT/Tender/SplashBidNoticeAbstractUI.aspx?menuIndex=3&amp;refID=7066140&amp;Result=3","7066140")</f>
        <v>0</v>
      </c>
      <c r="B1515" t="s">
        <v>685</v>
      </c>
      <c r="C1515" t="s">
        <v>4999</v>
      </c>
      <c r="D1515" t="s">
        <v>18807</v>
      </c>
      <c r="E1515" t="s">
        <v>20288</v>
      </c>
      <c r="F1515" t="s">
        <v>32664</v>
      </c>
      <c r="G1515" t="s">
        <v>32675</v>
      </c>
      <c r="H1515" t="s">
        <v>12635</v>
      </c>
      <c r="I1515" t="s">
        <v>6168</v>
      </c>
      <c r="J1515" t="s">
        <v>33942</v>
      </c>
      <c r="K1515" t="s">
        <v>42281</v>
      </c>
      <c r="M1515" t="s">
        <v>43272</v>
      </c>
      <c r="N1515" t="s">
        <v>46569</v>
      </c>
      <c r="O1515" t="s">
        <v>46570</v>
      </c>
      <c r="P1515">
        <v>0</v>
      </c>
      <c r="Q1515">
        <v>0</v>
      </c>
      <c r="R1515" t="s">
        <v>46571</v>
      </c>
      <c r="S1515" t="s">
        <v>46687</v>
      </c>
      <c r="T1515" t="s">
        <v>48282</v>
      </c>
      <c r="U1515" t="s">
        <v>50073</v>
      </c>
      <c r="V1515" t="s">
        <v>61792</v>
      </c>
      <c r="W1515" t="s">
        <v>43272</v>
      </c>
      <c r="X1515" t="s">
        <v>46572</v>
      </c>
    </row>
    <row r="1516" spans="1:24">
      <c r="A1516">
        <f>HYPERLINK("https://www.philgeps.gov.ph/GEPSNONPILOT/Tender/SplashBidNoticeAbstractUI.aspx?menuIndex=3&amp;refID=7066122&amp;Result=3","7066122")</f>
        <v>0</v>
      </c>
      <c r="B1516" t="s">
        <v>686</v>
      </c>
      <c r="C1516" t="s">
        <v>5000</v>
      </c>
      <c r="D1516" t="s">
        <v>18791</v>
      </c>
      <c r="E1516" t="s">
        <v>20289</v>
      </c>
      <c r="F1516" t="s">
        <v>32664</v>
      </c>
      <c r="G1516" t="s">
        <v>32671</v>
      </c>
      <c r="H1516" t="s">
        <v>12635</v>
      </c>
      <c r="I1516" t="s">
        <v>5501</v>
      </c>
      <c r="J1516" t="s">
        <v>33159</v>
      </c>
      <c r="K1516" t="s">
        <v>42297</v>
      </c>
      <c r="M1516" t="s">
        <v>43273</v>
      </c>
      <c r="N1516" t="s">
        <v>46569</v>
      </c>
      <c r="O1516" t="s">
        <v>46570</v>
      </c>
      <c r="P1516">
        <v>0</v>
      </c>
      <c r="Q1516">
        <v>8</v>
      </c>
      <c r="R1516" t="s">
        <v>46571</v>
      </c>
      <c r="S1516" t="s">
        <v>46687</v>
      </c>
      <c r="T1516" t="s">
        <v>48340</v>
      </c>
      <c r="U1516" t="s">
        <v>50074</v>
      </c>
      <c r="V1516" t="s">
        <v>61793</v>
      </c>
      <c r="W1516" t="s">
        <v>43273</v>
      </c>
      <c r="X1516" t="s">
        <v>46572</v>
      </c>
    </row>
    <row r="1517" spans="1:24">
      <c r="A1517">
        <f>HYPERLINK("https://www.philgeps.gov.ph/GEPSNONPILOT/Tender/SplashBidNoticeAbstractUI.aspx?menuIndex=3&amp;refID=7066198&amp;Result=3","7066198")</f>
        <v>0</v>
      </c>
      <c r="B1517" t="s">
        <v>229</v>
      </c>
      <c r="C1517" t="s">
        <v>4957</v>
      </c>
      <c r="D1517" t="s">
        <v>18838</v>
      </c>
      <c r="E1517" t="s">
        <v>20290</v>
      </c>
      <c r="F1517" t="s">
        <v>32664</v>
      </c>
      <c r="G1517" t="s">
        <v>32671</v>
      </c>
      <c r="H1517" t="s">
        <v>12635</v>
      </c>
      <c r="I1517" t="s">
        <v>32689</v>
      </c>
      <c r="J1517" t="s">
        <v>33943</v>
      </c>
      <c r="K1517" t="s">
        <v>42297</v>
      </c>
      <c r="M1517" t="s">
        <v>42793</v>
      </c>
      <c r="N1517" t="s">
        <v>46569</v>
      </c>
      <c r="O1517" t="s">
        <v>46570</v>
      </c>
      <c r="P1517">
        <v>0</v>
      </c>
      <c r="Q1517">
        <v>0</v>
      </c>
      <c r="R1517" t="s">
        <v>46571</v>
      </c>
      <c r="S1517" t="s">
        <v>46687</v>
      </c>
      <c r="T1517" t="s">
        <v>48221</v>
      </c>
      <c r="U1517" t="s">
        <v>50075</v>
      </c>
      <c r="W1517" t="s">
        <v>42793</v>
      </c>
      <c r="X1517" t="s">
        <v>46572</v>
      </c>
    </row>
    <row r="1518" spans="1:24">
      <c r="A1518">
        <f>HYPERLINK("https://www.philgeps.gov.ph/GEPSNONPILOT/Tender/SplashBidNoticeAbstractUI.aspx?menuIndex=3&amp;refID=7066197&amp;Result=3","7066197")</f>
        <v>0</v>
      </c>
      <c r="B1518" t="s">
        <v>687</v>
      </c>
      <c r="C1518" t="s">
        <v>5001</v>
      </c>
      <c r="D1518" t="s">
        <v>18805</v>
      </c>
      <c r="E1518" t="s">
        <v>20291</v>
      </c>
      <c r="F1518" t="s">
        <v>32664</v>
      </c>
      <c r="G1518" t="s">
        <v>32677</v>
      </c>
      <c r="H1518" t="s">
        <v>12635</v>
      </c>
      <c r="I1518" t="s">
        <v>4333</v>
      </c>
      <c r="J1518" t="s">
        <v>33944</v>
      </c>
      <c r="K1518" t="s">
        <v>42283</v>
      </c>
      <c r="M1518" t="s">
        <v>43274</v>
      </c>
      <c r="N1518" t="s">
        <v>46569</v>
      </c>
      <c r="O1518" t="s">
        <v>46570</v>
      </c>
      <c r="P1518">
        <v>0</v>
      </c>
      <c r="Q1518">
        <v>1</v>
      </c>
      <c r="R1518" t="s">
        <v>46571</v>
      </c>
      <c r="S1518" t="s">
        <v>46687</v>
      </c>
      <c r="T1518" t="s">
        <v>48244</v>
      </c>
      <c r="U1518" t="s">
        <v>50076</v>
      </c>
      <c r="W1518" t="s">
        <v>43274</v>
      </c>
      <c r="X1518" t="s">
        <v>46572</v>
      </c>
    </row>
    <row r="1519" spans="1:24">
      <c r="A1519">
        <f>HYPERLINK("https://www.philgeps.gov.ph/GEPSNONPILOT/Tender/SplashBidNoticeAbstractUI.aspx?menuIndex=3&amp;refID=7066095&amp;Result=3","7066095")</f>
        <v>0</v>
      </c>
      <c r="B1519" t="s">
        <v>688</v>
      </c>
      <c r="C1519" t="s">
        <v>5002</v>
      </c>
      <c r="D1519" t="s">
        <v>18823</v>
      </c>
      <c r="E1519" t="s">
        <v>19299</v>
      </c>
      <c r="F1519" t="s">
        <v>32664</v>
      </c>
      <c r="G1519" t="s">
        <v>32671</v>
      </c>
      <c r="H1519" t="s">
        <v>32682</v>
      </c>
      <c r="I1519" t="s">
        <v>32725</v>
      </c>
      <c r="J1519" t="s">
        <v>33338</v>
      </c>
      <c r="K1519" t="s">
        <v>42281</v>
      </c>
      <c r="M1519" t="s">
        <v>43275</v>
      </c>
      <c r="N1519" t="s">
        <v>46569</v>
      </c>
      <c r="O1519" t="s">
        <v>46570</v>
      </c>
      <c r="P1519">
        <v>0</v>
      </c>
      <c r="Q1519">
        <v>2</v>
      </c>
      <c r="R1519" t="s">
        <v>46571</v>
      </c>
      <c r="S1519" t="s">
        <v>46687</v>
      </c>
      <c r="T1519" t="s">
        <v>48256</v>
      </c>
      <c r="U1519" t="s">
        <v>50077</v>
      </c>
      <c r="V1519" t="s">
        <v>61794</v>
      </c>
      <c r="W1519" t="s">
        <v>43275</v>
      </c>
      <c r="X1519" t="s">
        <v>46572</v>
      </c>
    </row>
    <row r="1520" spans="1:24">
      <c r="A1520">
        <f>HYPERLINK("https://www.philgeps.gov.ph/GEPSNONPILOT/Tender/SplashBidNoticeAbstractUI.aspx?menuIndex=3&amp;refID=7066193&amp;Result=3","7066193")</f>
        <v>0</v>
      </c>
      <c r="B1520" t="s">
        <v>689</v>
      </c>
      <c r="C1520" t="s">
        <v>5003</v>
      </c>
      <c r="D1520" t="s">
        <v>18800</v>
      </c>
      <c r="E1520" t="s">
        <v>20292</v>
      </c>
      <c r="F1520" t="s">
        <v>32664</v>
      </c>
      <c r="G1520" t="s">
        <v>32671</v>
      </c>
      <c r="H1520" t="s">
        <v>12635</v>
      </c>
      <c r="I1520" t="s">
        <v>4205</v>
      </c>
      <c r="J1520" t="s">
        <v>33945</v>
      </c>
      <c r="K1520" t="s">
        <v>42281</v>
      </c>
      <c r="M1520" t="s">
        <v>43276</v>
      </c>
      <c r="N1520" t="s">
        <v>46569</v>
      </c>
      <c r="O1520" t="s">
        <v>46570</v>
      </c>
      <c r="P1520">
        <v>0</v>
      </c>
      <c r="Q1520">
        <v>0</v>
      </c>
      <c r="R1520" t="s">
        <v>46571</v>
      </c>
      <c r="S1520" t="s">
        <v>46687</v>
      </c>
      <c r="T1520" t="s">
        <v>48293</v>
      </c>
      <c r="U1520" t="s">
        <v>50078</v>
      </c>
      <c r="V1520" t="s">
        <v>61795</v>
      </c>
      <c r="W1520" t="s">
        <v>43276</v>
      </c>
      <c r="X1520" t="s">
        <v>46572</v>
      </c>
    </row>
    <row r="1521" spans="1:24">
      <c r="A1521">
        <f>HYPERLINK("https://www.philgeps.gov.ph/GEPSNONPILOT/Tender/SplashBidNoticeAbstractUI.aspx?menuIndex=3&amp;refID=7066196&amp;Result=3","7066196")</f>
        <v>0</v>
      </c>
      <c r="B1521" t="s">
        <v>690</v>
      </c>
      <c r="C1521" t="s">
        <v>5004</v>
      </c>
      <c r="D1521" t="s">
        <v>18781</v>
      </c>
      <c r="E1521" t="s">
        <v>20293</v>
      </c>
      <c r="F1521" t="s">
        <v>32664</v>
      </c>
      <c r="G1521" t="s">
        <v>32672</v>
      </c>
      <c r="H1521" t="s">
        <v>32683</v>
      </c>
      <c r="I1521" t="s">
        <v>10627</v>
      </c>
      <c r="J1521" t="s">
        <v>33946</v>
      </c>
      <c r="K1521" t="s">
        <v>42308</v>
      </c>
      <c r="L1521" t="s">
        <v>690</v>
      </c>
      <c r="M1521" t="s">
        <v>43277</v>
      </c>
      <c r="N1521" t="s">
        <v>46569</v>
      </c>
      <c r="O1521" t="s">
        <v>46570</v>
      </c>
      <c r="P1521">
        <v>0</v>
      </c>
      <c r="Q1521">
        <v>0</v>
      </c>
      <c r="R1521" t="s">
        <v>46571</v>
      </c>
      <c r="S1521" t="s">
        <v>46687</v>
      </c>
      <c r="T1521" t="s">
        <v>48360</v>
      </c>
      <c r="U1521" t="s">
        <v>50079</v>
      </c>
      <c r="W1521" t="s">
        <v>43277</v>
      </c>
      <c r="X1521" t="s">
        <v>46572</v>
      </c>
    </row>
    <row r="1522" spans="1:24">
      <c r="A1522">
        <f>HYPERLINK("https://www.philgeps.gov.ph/GEPSNONPILOT/Tender/SplashBidNoticeAbstractUI.aspx?menuIndex=3&amp;refID=7066192&amp;Result=3","7066192")</f>
        <v>0</v>
      </c>
      <c r="B1522" t="s">
        <v>502</v>
      </c>
      <c r="C1522" t="s">
        <v>5005</v>
      </c>
      <c r="D1522" t="s">
        <v>18782</v>
      </c>
      <c r="E1522" t="s">
        <v>20294</v>
      </c>
      <c r="F1522" t="s">
        <v>32664</v>
      </c>
      <c r="G1522" t="s">
        <v>32671</v>
      </c>
      <c r="H1522" t="s">
        <v>12635</v>
      </c>
      <c r="I1522" t="s">
        <v>4333</v>
      </c>
      <c r="J1522" t="s">
        <v>33947</v>
      </c>
      <c r="K1522" t="s">
        <v>42289</v>
      </c>
      <c r="M1522" t="s">
        <v>43078</v>
      </c>
      <c r="N1522" t="s">
        <v>46569</v>
      </c>
      <c r="O1522" t="s">
        <v>46570</v>
      </c>
      <c r="P1522">
        <v>0</v>
      </c>
      <c r="Q1522">
        <v>0</v>
      </c>
      <c r="R1522" t="s">
        <v>46571</v>
      </c>
      <c r="S1522" t="s">
        <v>46687</v>
      </c>
      <c r="T1522" t="s">
        <v>48283</v>
      </c>
      <c r="U1522" t="s">
        <v>49672</v>
      </c>
      <c r="W1522" t="s">
        <v>43078</v>
      </c>
      <c r="X1522" t="s">
        <v>46572</v>
      </c>
    </row>
    <row r="1523" spans="1:24">
      <c r="A1523">
        <f>HYPERLINK("https://www.philgeps.gov.ph/GEPSNONPILOT/Tender/SplashBidNoticeAbstractUI.aspx?menuIndex=3&amp;refID=7066144&amp;Result=3","7066144")</f>
        <v>0</v>
      </c>
      <c r="B1523" t="s">
        <v>691</v>
      </c>
      <c r="C1523" t="s">
        <v>5006</v>
      </c>
      <c r="D1523" t="s">
        <v>18824</v>
      </c>
      <c r="E1523" t="s">
        <v>20295</v>
      </c>
      <c r="F1523" t="s">
        <v>32664</v>
      </c>
      <c r="G1523" t="s">
        <v>32671</v>
      </c>
      <c r="H1523" t="s">
        <v>12635</v>
      </c>
      <c r="I1523" t="s">
        <v>4205</v>
      </c>
      <c r="J1523" t="s">
        <v>33948</v>
      </c>
      <c r="K1523" t="s">
        <v>42303</v>
      </c>
      <c r="M1523" t="s">
        <v>43278</v>
      </c>
      <c r="N1523" t="s">
        <v>46569</v>
      </c>
      <c r="O1523" t="s">
        <v>46570</v>
      </c>
      <c r="P1523">
        <v>0</v>
      </c>
      <c r="Q1523">
        <v>0</v>
      </c>
      <c r="R1523" t="s">
        <v>46571</v>
      </c>
      <c r="S1523" t="s">
        <v>46687</v>
      </c>
      <c r="T1523" t="s">
        <v>48211</v>
      </c>
      <c r="U1523" t="s">
        <v>50080</v>
      </c>
      <c r="W1523" t="s">
        <v>43278</v>
      </c>
      <c r="X1523" t="s">
        <v>46572</v>
      </c>
    </row>
    <row r="1524" spans="1:24">
      <c r="A1524">
        <f>HYPERLINK("https://www.philgeps.gov.ph/GEPSNONPILOT/Tender/SplashBidNoticeAbstractUI.aspx?menuIndex=3&amp;refID=7066190&amp;Result=3","7066190")</f>
        <v>0</v>
      </c>
      <c r="B1524" t="s">
        <v>683</v>
      </c>
      <c r="C1524" t="s">
        <v>5007</v>
      </c>
      <c r="D1524" t="s">
        <v>18842</v>
      </c>
      <c r="E1524" t="s">
        <v>20296</v>
      </c>
      <c r="F1524" t="s">
        <v>32664</v>
      </c>
      <c r="G1524" t="s">
        <v>32671</v>
      </c>
      <c r="H1524" t="s">
        <v>12635</v>
      </c>
      <c r="I1524" t="s">
        <v>8797</v>
      </c>
      <c r="J1524" t="s">
        <v>33578</v>
      </c>
      <c r="K1524" t="s">
        <v>42284</v>
      </c>
      <c r="M1524" t="s">
        <v>43270</v>
      </c>
      <c r="N1524" t="s">
        <v>46569</v>
      </c>
      <c r="O1524" t="s">
        <v>46570</v>
      </c>
      <c r="P1524">
        <v>0</v>
      </c>
      <c r="Q1524">
        <v>3</v>
      </c>
      <c r="R1524" t="s">
        <v>46571</v>
      </c>
      <c r="S1524" t="s">
        <v>46687</v>
      </c>
      <c r="T1524" t="s">
        <v>48256</v>
      </c>
      <c r="U1524" t="s">
        <v>50070</v>
      </c>
      <c r="W1524" t="s">
        <v>43270</v>
      </c>
      <c r="X1524" t="s">
        <v>46572</v>
      </c>
    </row>
    <row r="1525" spans="1:24">
      <c r="A1525">
        <f>HYPERLINK("https://www.philgeps.gov.ph/GEPSNONPILOT/Tender/SplashBidNoticeAbstractUI.aspx?menuIndex=3&amp;refID=7066188&amp;Result=3","7066188")</f>
        <v>0</v>
      </c>
      <c r="B1525" t="s">
        <v>413</v>
      </c>
      <c r="C1525" t="s">
        <v>5008</v>
      </c>
      <c r="D1525" t="s">
        <v>18799</v>
      </c>
      <c r="E1525" t="s">
        <v>20297</v>
      </c>
      <c r="F1525" t="s">
        <v>32664</v>
      </c>
      <c r="G1525" t="s">
        <v>32671</v>
      </c>
      <c r="H1525" t="s">
        <v>12635</v>
      </c>
      <c r="I1525" t="s">
        <v>4439</v>
      </c>
      <c r="J1525" t="s">
        <v>33949</v>
      </c>
      <c r="K1525" t="s">
        <v>42289</v>
      </c>
      <c r="M1525" t="s">
        <v>42984</v>
      </c>
      <c r="N1525" t="s">
        <v>46569</v>
      </c>
      <c r="O1525" t="s">
        <v>46570</v>
      </c>
      <c r="P1525">
        <v>0</v>
      </c>
      <c r="Q1525">
        <v>0</v>
      </c>
      <c r="R1525" t="s">
        <v>46571</v>
      </c>
      <c r="S1525" t="s">
        <v>46687</v>
      </c>
      <c r="T1525" t="s">
        <v>48343</v>
      </c>
      <c r="U1525" t="s">
        <v>49686</v>
      </c>
      <c r="W1525" t="s">
        <v>42984</v>
      </c>
      <c r="X1525" t="s">
        <v>46572</v>
      </c>
    </row>
    <row r="1526" spans="1:24">
      <c r="A1526">
        <f>HYPERLINK("https://www.philgeps.gov.ph/GEPSNONPILOT/Tender/SplashBidNoticeAbstractUI.aspx?menuIndex=3&amp;refID=7066191&amp;Result=3","7066191")</f>
        <v>0</v>
      </c>
      <c r="B1526" t="s">
        <v>692</v>
      </c>
      <c r="C1526" t="s">
        <v>5009</v>
      </c>
      <c r="E1526" t="s">
        <v>20272</v>
      </c>
      <c r="F1526" t="s">
        <v>32666</v>
      </c>
      <c r="G1526" t="s">
        <v>32672</v>
      </c>
      <c r="H1526" t="s">
        <v>12635</v>
      </c>
      <c r="I1526" t="s">
        <v>4439</v>
      </c>
      <c r="J1526" t="s">
        <v>33950</v>
      </c>
      <c r="K1526" t="s">
        <v>42283</v>
      </c>
      <c r="M1526" t="s">
        <v>43279</v>
      </c>
      <c r="N1526" t="s">
        <v>46569</v>
      </c>
      <c r="O1526" t="s">
        <v>46570</v>
      </c>
      <c r="P1526">
        <v>0</v>
      </c>
      <c r="Q1526">
        <v>0</v>
      </c>
      <c r="R1526" t="s">
        <v>46571</v>
      </c>
      <c r="S1526" t="s">
        <v>46687</v>
      </c>
      <c r="T1526" t="s">
        <v>48390</v>
      </c>
      <c r="U1526" t="s">
        <v>50059</v>
      </c>
      <c r="W1526" t="s">
        <v>43279</v>
      </c>
      <c r="X1526" t="s">
        <v>46572</v>
      </c>
    </row>
    <row r="1527" spans="1:24">
      <c r="A1527">
        <f>HYPERLINK("https://www.philgeps.gov.ph/GEPSNONPILOT/Tender/SplashBidNoticeAbstractUI.aspx?menuIndex=3&amp;refID=7066199&amp;Result=3","7066199")</f>
        <v>0</v>
      </c>
      <c r="B1527" t="s">
        <v>693</v>
      </c>
      <c r="C1527" t="s">
        <v>5010</v>
      </c>
      <c r="D1527" t="s">
        <v>18781</v>
      </c>
      <c r="E1527" t="s">
        <v>20298</v>
      </c>
      <c r="F1527" t="s">
        <v>32664</v>
      </c>
      <c r="G1527" t="s">
        <v>32672</v>
      </c>
      <c r="H1527" t="s">
        <v>12635</v>
      </c>
      <c r="I1527" t="s">
        <v>32691</v>
      </c>
      <c r="J1527" t="s">
        <v>33951</v>
      </c>
      <c r="K1527" t="s">
        <v>42355</v>
      </c>
      <c r="M1527" t="s">
        <v>43280</v>
      </c>
      <c r="N1527" t="s">
        <v>46569</v>
      </c>
      <c r="O1527" t="s">
        <v>46570</v>
      </c>
      <c r="P1527">
        <v>0</v>
      </c>
      <c r="Q1527">
        <v>0</v>
      </c>
      <c r="R1527" t="s">
        <v>46571</v>
      </c>
      <c r="S1527" t="s">
        <v>46687</v>
      </c>
      <c r="T1527" t="s">
        <v>48211</v>
      </c>
      <c r="U1527" t="s">
        <v>50081</v>
      </c>
      <c r="W1527" t="s">
        <v>43280</v>
      </c>
      <c r="X1527" t="s">
        <v>46572</v>
      </c>
    </row>
    <row r="1528" spans="1:24">
      <c r="A1528">
        <f>HYPERLINK("https://www.philgeps.gov.ph/GEPSNONPILOT/Tender/SplashBidNoticeAbstractUI.aspx?menuIndex=3&amp;refID=7066151&amp;Result=3","7066151")</f>
        <v>0</v>
      </c>
      <c r="B1528" t="s">
        <v>694</v>
      </c>
      <c r="C1528" t="s">
        <v>5011</v>
      </c>
      <c r="D1528" t="s">
        <v>18784</v>
      </c>
      <c r="E1528" t="s">
        <v>20299</v>
      </c>
      <c r="F1528" t="s">
        <v>32664</v>
      </c>
      <c r="G1528" t="s">
        <v>32671</v>
      </c>
      <c r="H1528" t="s">
        <v>12635</v>
      </c>
      <c r="I1528" t="s">
        <v>32704</v>
      </c>
      <c r="J1528" t="s">
        <v>33952</v>
      </c>
      <c r="K1528" t="s">
        <v>42281</v>
      </c>
      <c r="M1528" t="s">
        <v>43281</v>
      </c>
      <c r="N1528" t="s">
        <v>46569</v>
      </c>
      <c r="O1528" t="s">
        <v>46570</v>
      </c>
      <c r="P1528">
        <v>0</v>
      </c>
      <c r="Q1528">
        <v>2</v>
      </c>
      <c r="R1528" t="s">
        <v>46571</v>
      </c>
      <c r="S1528" t="s">
        <v>46687</v>
      </c>
      <c r="T1528" t="s">
        <v>48219</v>
      </c>
      <c r="U1528" t="s">
        <v>50082</v>
      </c>
      <c r="W1528" t="s">
        <v>43281</v>
      </c>
      <c r="X1528" t="s">
        <v>46572</v>
      </c>
    </row>
    <row r="1529" spans="1:24">
      <c r="A1529">
        <f>HYPERLINK("https://www.philgeps.gov.ph/GEPSNONPILOT/Tender/SplashBidNoticeAbstractUI.aspx?menuIndex=3&amp;refID=7066187&amp;Result=3","7066187")</f>
        <v>0</v>
      </c>
      <c r="B1529" t="s">
        <v>695</v>
      </c>
      <c r="C1529" t="s">
        <v>5012</v>
      </c>
      <c r="D1529" t="s">
        <v>18816</v>
      </c>
      <c r="E1529" t="s">
        <v>20300</v>
      </c>
      <c r="F1529" t="s">
        <v>32664</v>
      </c>
      <c r="G1529" t="s">
        <v>32674</v>
      </c>
      <c r="H1529" t="s">
        <v>12635</v>
      </c>
      <c r="I1529" t="s">
        <v>14442</v>
      </c>
      <c r="J1529" t="s">
        <v>33953</v>
      </c>
      <c r="K1529" t="s">
        <v>42325</v>
      </c>
      <c r="M1529" t="s">
        <v>43282</v>
      </c>
      <c r="N1529" t="s">
        <v>46569</v>
      </c>
      <c r="O1529" t="s">
        <v>46570</v>
      </c>
      <c r="P1529">
        <v>0</v>
      </c>
      <c r="Q1529">
        <v>6</v>
      </c>
      <c r="R1529" t="s">
        <v>46571</v>
      </c>
      <c r="S1529" t="s">
        <v>46687</v>
      </c>
      <c r="T1529" t="s">
        <v>48304</v>
      </c>
      <c r="U1529" t="s">
        <v>50083</v>
      </c>
      <c r="W1529" t="s">
        <v>43282</v>
      </c>
      <c r="X1529" t="s">
        <v>46572</v>
      </c>
    </row>
    <row r="1530" spans="1:24">
      <c r="A1530">
        <f>HYPERLINK("https://www.philgeps.gov.ph/GEPSNONPILOT/Tender/SplashBidNoticeAbstractUI.aspx?menuIndex=3&amp;refID=7066195&amp;Result=3","7066195")</f>
        <v>0</v>
      </c>
      <c r="B1530" t="s">
        <v>632</v>
      </c>
      <c r="C1530" t="s">
        <v>5013</v>
      </c>
      <c r="D1530" t="s">
        <v>18821</v>
      </c>
      <c r="E1530" t="s">
        <v>20301</v>
      </c>
      <c r="F1530" t="s">
        <v>32664</v>
      </c>
      <c r="G1530" t="s">
        <v>32674</v>
      </c>
      <c r="H1530" t="s">
        <v>12635</v>
      </c>
      <c r="I1530" t="s">
        <v>6628</v>
      </c>
      <c r="J1530" t="s">
        <v>32845</v>
      </c>
      <c r="K1530" t="s">
        <v>42289</v>
      </c>
      <c r="M1530" t="s">
        <v>43214</v>
      </c>
      <c r="N1530" t="s">
        <v>46569</v>
      </c>
      <c r="O1530" t="s">
        <v>46570</v>
      </c>
      <c r="P1530">
        <v>0</v>
      </c>
      <c r="Q1530">
        <v>0</v>
      </c>
      <c r="R1530" t="s">
        <v>46571</v>
      </c>
      <c r="S1530" t="s">
        <v>46687</v>
      </c>
      <c r="T1530" t="s">
        <v>48343</v>
      </c>
      <c r="U1530" t="s">
        <v>50084</v>
      </c>
      <c r="W1530" t="s">
        <v>43214</v>
      </c>
      <c r="X1530" t="s">
        <v>46572</v>
      </c>
    </row>
    <row r="1531" spans="1:24">
      <c r="A1531">
        <f>HYPERLINK("https://www.philgeps.gov.ph/GEPSNONPILOT/Tender/SplashBidNoticeAbstractUI.aspx?menuIndex=3&amp;refID=7066222&amp;Result=3","7066222")</f>
        <v>0</v>
      </c>
      <c r="B1531" t="s">
        <v>696</v>
      </c>
      <c r="C1531" t="s">
        <v>5014</v>
      </c>
      <c r="D1531" t="s">
        <v>18839</v>
      </c>
      <c r="E1531" t="s">
        <v>20302</v>
      </c>
      <c r="F1531" t="s">
        <v>32664</v>
      </c>
      <c r="G1531" t="s">
        <v>32672</v>
      </c>
      <c r="H1531" t="s">
        <v>12635</v>
      </c>
      <c r="I1531" t="s">
        <v>32689</v>
      </c>
      <c r="J1531" t="s">
        <v>33954</v>
      </c>
      <c r="K1531" t="s">
        <v>42289</v>
      </c>
      <c r="M1531" t="s">
        <v>43283</v>
      </c>
      <c r="N1531" t="s">
        <v>46569</v>
      </c>
      <c r="O1531" t="s">
        <v>46570</v>
      </c>
      <c r="P1531">
        <v>0</v>
      </c>
      <c r="Q1531">
        <v>0</v>
      </c>
      <c r="R1531" t="s">
        <v>46571</v>
      </c>
      <c r="S1531" t="s">
        <v>46687</v>
      </c>
      <c r="T1531" t="s">
        <v>48392</v>
      </c>
      <c r="U1531" t="s">
        <v>50085</v>
      </c>
      <c r="V1531" t="s">
        <v>61796</v>
      </c>
      <c r="W1531" t="s">
        <v>43283</v>
      </c>
      <c r="X1531" t="s">
        <v>46572</v>
      </c>
    </row>
    <row r="1532" spans="1:24">
      <c r="A1532">
        <f>HYPERLINK("https://www.philgeps.gov.ph/GEPSNONPILOT/Tender/SplashBidNoticeAbstractUI.aspx?menuIndex=3&amp;refID=7066221&amp;Result=3","7066221")</f>
        <v>0</v>
      </c>
      <c r="B1532" t="s">
        <v>697</v>
      </c>
      <c r="C1532" t="s">
        <v>5015</v>
      </c>
      <c r="D1532" t="s">
        <v>18784</v>
      </c>
      <c r="E1532" t="s">
        <v>20303</v>
      </c>
      <c r="F1532" t="s">
        <v>32664</v>
      </c>
      <c r="G1532" t="s">
        <v>32671</v>
      </c>
      <c r="H1532" t="s">
        <v>12635</v>
      </c>
      <c r="I1532" t="s">
        <v>6223</v>
      </c>
      <c r="J1532" t="s">
        <v>33069</v>
      </c>
      <c r="K1532" t="s">
        <v>42284</v>
      </c>
      <c r="M1532" t="s">
        <v>43284</v>
      </c>
      <c r="N1532" t="s">
        <v>46569</v>
      </c>
      <c r="O1532" t="s">
        <v>46570</v>
      </c>
      <c r="P1532">
        <v>0</v>
      </c>
      <c r="Q1532">
        <v>3</v>
      </c>
      <c r="R1532" t="s">
        <v>46571</v>
      </c>
      <c r="S1532" t="s">
        <v>46687</v>
      </c>
      <c r="T1532" t="s">
        <v>48256</v>
      </c>
      <c r="U1532" t="s">
        <v>50086</v>
      </c>
      <c r="W1532" t="s">
        <v>43284</v>
      </c>
      <c r="X1532" t="s">
        <v>46572</v>
      </c>
    </row>
    <row r="1533" spans="1:24">
      <c r="A1533">
        <f>HYPERLINK("https://www.philgeps.gov.ph/GEPSNONPILOT/Tender/SplashBidNoticeAbstractUI.aspx?menuIndex=3&amp;refID=7066186&amp;Result=3","7066186")</f>
        <v>0</v>
      </c>
      <c r="B1533" t="s">
        <v>673</v>
      </c>
      <c r="C1533" t="s">
        <v>5016</v>
      </c>
      <c r="D1533" t="s">
        <v>18799</v>
      </c>
      <c r="E1533" t="s">
        <v>20304</v>
      </c>
      <c r="F1533" t="s">
        <v>32664</v>
      </c>
      <c r="G1533" t="s">
        <v>32671</v>
      </c>
      <c r="H1533" t="s">
        <v>12635</v>
      </c>
      <c r="I1533" t="s">
        <v>10361</v>
      </c>
      <c r="J1533" t="s">
        <v>32859</v>
      </c>
      <c r="K1533" t="s">
        <v>42283</v>
      </c>
      <c r="M1533" t="s">
        <v>43260</v>
      </c>
      <c r="N1533" t="s">
        <v>46569</v>
      </c>
      <c r="O1533" t="s">
        <v>46570</v>
      </c>
      <c r="P1533">
        <v>0</v>
      </c>
      <c r="Q1533">
        <v>0</v>
      </c>
      <c r="R1533" t="s">
        <v>46571</v>
      </c>
      <c r="S1533" t="s">
        <v>46687</v>
      </c>
      <c r="T1533" t="s">
        <v>48330</v>
      </c>
      <c r="U1533" t="s">
        <v>50050</v>
      </c>
      <c r="W1533" t="s">
        <v>43260</v>
      </c>
      <c r="X1533" t="s">
        <v>46572</v>
      </c>
    </row>
    <row r="1534" spans="1:24">
      <c r="A1534">
        <f>HYPERLINK("https://www.philgeps.gov.ph/GEPSNONPILOT/Tender/SplashBidNoticeAbstractUI.aspx?menuIndex=3&amp;refID=7066218&amp;Result=3","7066218")</f>
        <v>0</v>
      </c>
      <c r="B1534" t="s">
        <v>691</v>
      </c>
      <c r="C1534" t="s">
        <v>5017</v>
      </c>
      <c r="D1534" t="s">
        <v>18824</v>
      </c>
      <c r="E1534" t="s">
        <v>20305</v>
      </c>
      <c r="F1534" t="s">
        <v>32664</v>
      </c>
      <c r="G1534" t="s">
        <v>32671</v>
      </c>
      <c r="H1534" t="s">
        <v>12635</v>
      </c>
      <c r="I1534" t="s">
        <v>6223</v>
      </c>
      <c r="J1534" t="s">
        <v>33955</v>
      </c>
      <c r="K1534" t="s">
        <v>42303</v>
      </c>
      <c r="M1534" t="s">
        <v>43278</v>
      </c>
      <c r="N1534" t="s">
        <v>46569</v>
      </c>
      <c r="O1534" t="s">
        <v>46570</v>
      </c>
      <c r="P1534">
        <v>0</v>
      </c>
      <c r="Q1534">
        <v>0</v>
      </c>
      <c r="R1534" t="s">
        <v>46571</v>
      </c>
      <c r="S1534" t="s">
        <v>46687</v>
      </c>
      <c r="T1534" t="s">
        <v>48211</v>
      </c>
      <c r="U1534" t="s">
        <v>50087</v>
      </c>
      <c r="W1534" t="s">
        <v>43278</v>
      </c>
      <c r="X1534" t="s">
        <v>46572</v>
      </c>
    </row>
    <row r="1535" spans="1:24">
      <c r="A1535">
        <f>HYPERLINK("https://www.philgeps.gov.ph/GEPSNONPILOT/Tender/SplashBidNoticeAbstractUI.aspx?menuIndex=3&amp;refID=7066138&amp;Result=3","7066138")</f>
        <v>0</v>
      </c>
      <c r="B1535" t="s">
        <v>633</v>
      </c>
      <c r="C1535" t="s">
        <v>5018</v>
      </c>
      <c r="D1535" t="s">
        <v>18814</v>
      </c>
      <c r="E1535" t="s">
        <v>20306</v>
      </c>
      <c r="F1535" t="s">
        <v>32664</v>
      </c>
      <c r="G1535" t="s">
        <v>32674</v>
      </c>
      <c r="H1535" t="s">
        <v>12635</v>
      </c>
      <c r="I1535" t="s">
        <v>32694</v>
      </c>
      <c r="J1535" t="s">
        <v>33956</v>
      </c>
      <c r="K1535" t="s">
        <v>42306</v>
      </c>
      <c r="M1535" t="s">
        <v>43216</v>
      </c>
      <c r="N1535" t="s">
        <v>46569</v>
      </c>
      <c r="O1535" t="s">
        <v>46570</v>
      </c>
      <c r="P1535">
        <v>0</v>
      </c>
      <c r="Q1535">
        <v>0</v>
      </c>
      <c r="R1535" t="s">
        <v>46571</v>
      </c>
      <c r="S1535" t="s">
        <v>46687</v>
      </c>
      <c r="T1535" t="s">
        <v>48221</v>
      </c>
      <c r="U1535" t="s">
        <v>50088</v>
      </c>
      <c r="W1535" t="s">
        <v>43216</v>
      </c>
      <c r="X1535" t="s">
        <v>46572</v>
      </c>
    </row>
    <row r="1536" spans="1:24">
      <c r="A1536">
        <f>HYPERLINK("https://www.philgeps.gov.ph/GEPSNONPILOT/Tender/SplashBidNoticeAbstractUI.aspx?menuIndex=3&amp;refID=7066217&amp;Result=3","7066217")</f>
        <v>0</v>
      </c>
      <c r="B1536" t="s">
        <v>253</v>
      </c>
      <c r="C1536" t="s">
        <v>5019</v>
      </c>
      <c r="D1536" t="s">
        <v>18790</v>
      </c>
      <c r="E1536" t="s">
        <v>20307</v>
      </c>
      <c r="F1536" t="s">
        <v>32664</v>
      </c>
      <c r="G1536" t="s">
        <v>32674</v>
      </c>
      <c r="H1536" t="s">
        <v>12635</v>
      </c>
      <c r="I1536" t="s">
        <v>4205</v>
      </c>
      <c r="J1536" t="s">
        <v>33957</v>
      </c>
      <c r="K1536" t="s">
        <v>42283</v>
      </c>
      <c r="M1536" t="s">
        <v>42851</v>
      </c>
      <c r="N1536" t="s">
        <v>46569</v>
      </c>
      <c r="O1536" t="s">
        <v>46570</v>
      </c>
      <c r="P1536">
        <v>0</v>
      </c>
      <c r="Q1536">
        <v>0</v>
      </c>
      <c r="R1536" t="s">
        <v>46571</v>
      </c>
      <c r="S1536" t="s">
        <v>46687</v>
      </c>
      <c r="T1536" t="s">
        <v>48283</v>
      </c>
      <c r="U1536" t="s">
        <v>50089</v>
      </c>
      <c r="W1536" t="s">
        <v>42851</v>
      </c>
      <c r="X1536" t="s">
        <v>46572</v>
      </c>
    </row>
    <row r="1537" spans="1:24">
      <c r="A1537">
        <f>HYPERLINK("https://www.philgeps.gov.ph/GEPSNONPILOT/Tender/SplashBidNoticeAbstractUI.aspx?menuIndex=3&amp;refID=7066214&amp;Result=3","7066214")</f>
        <v>0</v>
      </c>
      <c r="B1537" t="s">
        <v>679</v>
      </c>
      <c r="C1537" t="s">
        <v>5020</v>
      </c>
      <c r="D1537" t="s">
        <v>18831</v>
      </c>
      <c r="E1537" t="s">
        <v>20308</v>
      </c>
      <c r="F1537" t="s">
        <v>32664</v>
      </c>
      <c r="G1537" t="s">
        <v>32672</v>
      </c>
      <c r="H1537" t="s">
        <v>32683</v>
      </c>
      <c r="I1537" t="s">
        <v>10627</v>
      </c>
      <c r="J1537" t="s">
        <v>33958</v>
      </c>
      <c r="K1537" t="s">
        <v>42290</v>
      </c>
      <c r="M1537" t="s">
        <v>43266</v>
      </c>
      <c r="N1537" t="s">
        <v>46569</v>
      </c>
      <c r="O1537" t="s">
        <v>46570</v>
      </c>
      <c r="P1537">
        <v>0</v>
      </c>
      <c r="Q1537">
        <v>1</v>
      </c>
      <c r="R1537" t="s">
        <v>46571</v>
      </c>
      <c r="S1537" t="s">
        <v>46687</v>
      </c>
      <c r="T1537" t="s">
        <v>48270</v>
      </c>
      <c r="U1537" t="s">
        <v>50063</v>
      </c>
      <c r="W1537" t="s">
        <v>43266</v>
      </c>
      <c r="X1537" t="s">
        <v>46572</v>
      </c>
    </row>
    <row r="1538" spans="1:24">
      <c r="A1538">
        <f>HYPERLINK("https://www.philgeps.gov.ph/GEPSNONPILOT/Tender/SplashBidNoticeAbstractUI.aspx?menuIndex=3&amp;refID=7066220&amp;Result=3","7066220")</f>
        <v>0</v>
      </c>
      <c r="B1538" t="s">
        <v>698</v>
      </c>
      <c r="C1538" t="s">
        <v>5021</v>
      </c>
      <c r="D1538" t="s">
        <v>18784</v>
      </c>
      <c r="E1538" t="s">
        <v>20309</v>
      </c>
      <c r="F1538" t="s">
        <v>32664</v>
      </c>
      <c r="G1538" t="s">
        <v>32671</v>
      </c>
      <c r="H1538" t="s">
        <v>12635</v>
      </c>
      <c r="I1538" t="s">
        <v>6628</v>
      </c>
      <c r="J1538" t="s">
        <v>33959</v>
      </c>
      <c r="K1538" t="s">
        <v>42281</v>
      </c>
      <c r="M1538" t="s">
        <v>43285</v>
      </c>
      <c r="N1538" t="s">
        <v>46569</v>
      </c>
      <c r="O1538" t="s">
        <v>46570</v>
      </c>
      <c r="P1538">
        <v>0</v>
      </c>
      <c r="Q1538">
        <v>4</v>
      </c>
      <c r="R1538" t="s">
        <v>46571</v>
      </c>
      <c r="S1538" t="s">
        <v>46687</v>
      </c>
      <c r="T1538" t="s">
        <v>48393</v>
      </c>
      <c r="U1538" t="s">
        <v>50090</v>
      </c>
      <c r="W1538" t="s">
        <v>43285</v>
      </c>
      <c r="X1538" t="s">
        <v>46572</v>
      </c>
    </row>
    <row r="1539" spans="1:24">
      <c r="A1539">
        <f>HYPERLINK("https://www.philgeps.gov.ph/GEPSNONPILOT/Tender/SplashBidNoticeAbstractUI.aspx?menuIndex=3&amp;refID=7066216&amp;Result=3","7066216")</f>
        <v>0</v>
      </c>
      <c r="B1539" t="s">
        <v>699</v>
      </c>
      <c r="C1539" t="s">
        <v>5022</v>
      </c>
      <c r="D1539" t="s">
        <v>18837</v>
      </c>
      <c r="E1539" t="s">
        <v>20310</v>
      </c>
      <c r="F1539" t="s">
        <v>32664</v>
      </c>
      <c r="G1539" t="s">
        <v>32672</v>
      </c>
      <c r="H1539" t="s">
        <v>12635</v>
      </c>
      <c r="I1539" t="s">
        <v>32694</v>
      </c>
      <c r="J1539" t="s">
        <v>33960</v>
      </c>
      <c r="K1539" t="s">
        <v>42284</v>
      </c>
      <c r="M1539" t="s">
        <v>43286</v>
      </c>
      <c r="N1539" t="s">
        <v>46569</v>
      </c>
      <c r="O1539" t="s">
        <v>46570</v>
      </c>
      <c r="P1539">
        <v>0</v>
      </c>
      <c r="Q1539">
        <v>0</v>
      </c>
      <c r="R1539" t="s">
        <v>46571</v>
      </c>
      <c r="S1539" t="s">
        <v>46687</v>
      </c>
      <c r="T1539" t="s">
        <v>48225</v>
      </c>
      <c r="U1539" t="s">
        <v>50091</v>
      </c>
      <c r="V1539" t="s">
        <v>61797</v>
      </c>
      <c r="W1539" t="s">
        <v>43286</v>
      </c>
      <c r="X1539" t="s">
        <v>46572</v>
      </c>
    </row>
    <row r="1540" spans="1:24">
      <c r="A1540">
        <f>HYPERLINK("https://www.philgeps.gov.ph/GEPSNONPILOT/Tender/SplashBidNoticeAbstractUI.aspx?menuIndex=3&amp;refID=7066212&amp;Result=3","7066212")</f>
        <v>0</v>
      </c>
      <c r="B1540" t="s">
        <v>700</v>
      </c>
      <c r="C1540" t="s">
        <v>5023</v>
      </c>
      <c r="D1540" t="s">
        <v>18831</v>
      </c>
      <c r="E1540" t="s">
        <v>20311</v>
      </c>
      <c r="F1540" t="s">
        <v>32664</v>
      </c>
      <c r="G1540" t="s">
        <v>32671</v>
      </c>
      <c r="H1540" t="s">
        <v>12635</v>
      </c>
      <c r="I1540" t="s">
        <v>6223</v>
      </c>
      <c r="J1540" t="s">
        <v>33961</v>
      </c>
      <c r="K1540" t="s">
        <v>42309</v>
      </c>
      <c r="M1540" t="s">
        <v>43287</v>
      </c>
      <c r="N1540" t="s">
        <v>46569</v>
      </c>
      <c r="O1540" t="s">
        <v>46570</v>
      </c>
      <c r="P1540">
        <v>0</v>
      </c>
      <c r="Q1540">
        <v>0</v>
      </c>
      <c r="R1540" t="s">
        <v>46571</v>
      </c>
      <c r="S1540" t="s">
        <v>46687</v>
      </c>
      <c r="T1540" t="s">
        <v>48219</v>
      </c>
      <c r="U1540" t="s">
        <v>50092</v>
      </c>
      <c r="W1540" t="s">
        <v>43287</v>
      </c>
      <c r="X1540" t="s">
        <v>46572</v>
      </c>
    </row>
    <row r="1541" spans="1:24">
      <c r="A1541">
        <f>HYPERLINK("https://www.philgeps.gov.ph/GEPSNONPILOT/Tender/SplashBidNoticeAbstractUI.aspx?menuIndex=3&amp;refID=7066215&amp;Result=3","7066215")</f>
        <v>0</v>
      </c>
      <c r="B1541" t="s">
        <v>687</v>
      </c>
      <c r="C1541" t="s">
        <v>5024</v>
      </c>
      <c r="D1541" t="s">
        <v>18805</v>
      </c>
      <c r="E1541" t="s">
        <v>20312</v>
      </c>
      <c r="F1541" t="s">
        <v>32664</v>
      </c>
      <c r="G1541" t="s">
        <v>32677</v>
      </c>
      <c r="H1541" t="s">
        <v>12635</v>
      </c>
      <c r="I1541" t="s">
        <v>4439</v>
      </c>
      <c r="J1541" t="s">
        <v>33962</v>
      </c>
      <c r="K1541" t="s">
        <v>42283</v>
      </c>
      <c r="M1541" t="s">
        <v>43274</v>
      </c>
      <c r="N1541" t="s">
        <v>46569</v>
      </c>
      <c r="O1541" t="s">
        <v>46570</v>
      </c>
      <c r="P1541">
        <v>0</v>
      </c>
      <c r="Q1541">
        <v>0</v>
      </c>
      <c r="R1541" t="s">
        <v>46571</v>
      </c>
      <c r="S1541" t="s">
        <v>46687</v>
      </c>
      <c r="T1541" t="s">
        <v>48244</v>
      </c>
      <c r="U1541" t="s">
        <v>50093</v>
      </c>
      <c r="W1541" t="s">
        <v>43274</v>
      </c>
      <c r="X1541" t="s">
        <v>46572</v>
      </c>
    </row>
    <row r="1542" spans="1:24">
      <c r="A1542">
        <f>HYPERLINK("https://www.philgeps.gov.ph/GEPSNONPILOT/Tender/SplashBidNoticeAbstractUI.aspx?menuIndex=3&amp;refID=7066008&amp;Result=3","7066008")</f>
        <v>0</v>
      </c>
      <c r="B1542" t="s">
        <v>229</v>
      </c>
      <c r="C1542" t="s">
        <v>5025</v>
      </c>
      <c r="D1542" t="s">
        <v>18838</v>
      </c>
      <c r="E1542" t="s">
        <v>20313</v>
      </c>
      <c r="F1542" t="s">
        <v>32664</v>
      </c>
      <c r="G1542" t="s">
        <v>32671</v>
      </c>
      <c r="H1542" t="s">
        <v>12635</v>
      </c>
      <c r="I1542" t="s">
        <v>4333</v>
      </c>
      <c r="J1542" t="s">
        <v>33337</v>
      </c>
      <c r="K1542" t="s">
        <v>42297</v>
      </c>
      <c r="M1542" t="s">
        <v>42793</v>
      </c>
      <c r="N1542" t="s">
        <v>46569</v>
      </c>
      <c r="O1542" t="s">
        <v>46570</v>
      </c>
      <c r="P1542">
        <v>0</v>
      </c>
      <c r="Q1542">
        <v>1</v>
      </c>
      <c r="R1542" t="s">
        <v>46571</v>
      </c>
      <c r="S1542" t="s">
        <v>46687</v>
      </c>
      <c r="T1542" t="s">
        <v>48221</v>
      </c>
      <c r="U1542" t="s">
        <v>50094</v>
      </c>
      <c r="W1542" t="s">
        <v>42793</v>
      </c>
      <c r="X1542" t="s">
        <v>46572</v>
      </c>
    </row>
    <row r="1543" spans="1:24">
      <c r="A1543">
        <f>HYPERLINK("https://www.philgeps.gov.ph/GEPSNONPILOT/Tender/SplashBidNoticeAbstractUI.aspx?menuIndex=3&amp;refID=7066206&amp;Result=3","7066206")</f>
        <v>0</v>
      </c>
      <c r="B1543" t="s">
        <v>701</v>
      </c>
      <c r="C1543" t="s">
        <v>5026</v>
      </c>
      <c r="D1543" t="s">
        <v>18785</v>
      </c>
      <c r="E1543" t="s">
        <v>20314</v>
      </c>
      <c r="F1543" t="s">
        <v>32664</v>
      </c>
      <c r="G1543" t="s">
        <v>32675</v>
      </c>
      <c r="H1543" t="s">
        <v>12635</v>
      </c>
      <c r="I1543" t="s">
        <v>8730</v>
      </c>
      <c r="J1543" t="s">
        <v>33051</v>
      </c>
      <c r="K1543" t="s">
        <v>42309</v>
      </c>
      <c r="M1543" t="s">
        <v>43288</v>
      </c>
      <c r="N1543" t="s">
        <v>46569</v>
      </c>
      <c r="O1543" t="s">
        <v>46570</v>
      </c>
      <c r="P1543">
        <v>0</v>
      </c>
      <c r="Q1543">
        <v>1</v>
      </c>
      <c r="R1543" t="s">
        <v>46571</v>
      </c>
      <c r="S1543" t="s">
        <v>46687</v>
      </c>
      <c r="T1543" t="s">
        <v>48297</v>
      </c>
      <c r="U1543" t="s">
        <v>50095</v>
      </c>
      <c r="W1543" t="s">
        <v>43288</v>
      </c>
      <c r="X1543" t="s">
        <v>46572</v>
      </c>
    </row>
    <row r="1544" spans="1:24">
      <c r="A1544">
        <f>HYPERLINK("https://www.philgeps.gov.ph/GEPSNONPILOT/Tender/SplashBidNoticeAbstractUI.aspx?menuIndex=3&amp;refID=7066184&amp;Result=3","7066184")</f>
        <v>0</v>
      </c>
      <c r="B1544" t="s">
        <v>396</v>
      </c>
      <c r="C1544" t="s">
        <v>5027</v>
      </c>
      <c r="D1544" t="s">
        <v>18790</v>
      </c>
      <c r="E1544" t="s">
        <v>20315</v>
      </c>
      <c r="F1544" t="s">
        <v>32664</v>
      </c>
      <c r="G1544" t="s">
        <v>32672</v>
      </c>
      <c r="H1544" t="s">
        <v>12635</v>
      </c>
      <c r="I1544" t="s">
        <v>9486</v>
      </c>
      <c r="J1544" t="s">
        <v>33963</v>
      </c>
      <c r="K1544" t="s">
        <v>42297</v>
      </c>
      <c r="M1544" t="s">
        <v>42966</v>
      </c>
      <c r="N1544" t="s">
        <v>46569</v>
      </c>
      <c r="O1544" t="s">
        <v>46570</v>
      </c>
      <c r="P1544">
        <v>0</v>
      </c>
      <c r="Q1544">
        <v>0</v>
      </c>
      <c r="R1544" t="s">
        <v>46571</v>
      </c>
      <c r="S1544" t="s">
        <v>46687</v>
      </c>
      <c r="T1544" t="s">
        <v>48225</v>
      </c>
      <c r="U1544" t="s">
        <v>50096</v>
      </c>
      <c r="W1544" t="s">
        <v>42966</v>
      </c>
      <c r="X1544" t="s">
        <v>46572</v>
      </c>
    </row>
    <row r="1545" spans="1:24">
      <c r="A1545">
        <f>HYPERLINK("https://www.philgeps.gov.ph/GEPSNONPILOT/Tender/SplashBidNoticeAbstractUI.aspx?menuIndex=3&amp;refID=7066205&amp;Result=3","7066205")</f>
        <v>0</v>
      </c>
      <c r="B1545" t="s">
        <v>119</v>
      </c>
      <c r="C1545" t="s">
        <v>5028</v>
      </c>
      <c r="D1545" t="s">
        <v>18782</v>
      </c>
      <c r="E1545" t="s">
        <v>20316</v>
      </c>
      <c r="F1545" t="s">
        <v>32664</v>
      </c>
      <c r="G1545" t="s">
        <v>32674</v>
      </c>
      <c r="H1545" t="s">
        <v>12635</v>
      </c>
      <c r="I1545" t="s">
        <v>32692</v>
      </c>
      <c r="J1545" t="s">
        <v>33863</v>
      </c>
      <c r="K1545" t="s">
        <v>42309</v>
      </c>
      <c r="M1545" t="s">
        <v>42683</v>
      </c>
      <c r="N1545" t="s">
        <v>46569</v>
      </c>
      <c r="O1545" t="s">
        <v>46570</v>
      </c>
      <c r="P1545">
        <v>0</v>
      </c>
      <c r="Q1545">
        <v>0</v>
      </c>
      <c r="R1545" t="s">
        <v>46571</v>
      </c>
      <c r="S1545" t="s">
        <v>46687</v>
      </c>
      <c r="T1545" t="s">
        <v>48219</v>
      </c>
      <c r="U1545" t="s">
        <v>50097</v>
      </c>
      <c r="V1545" t="s">
        <v>61798</v>
      </c>
      <c r="W1545" t="s">
        <v>42683</v>
      </c>
      <c r="X1545" t="s">
        <v>46572</v>
      </c>
    </row>
    <row r="1546" spans="1:24">
      <c r="A1546">
        <f>HYPERLINK("https://www.philgeps.gov.ph/GEPSNONPILOT/Tender/SplashBidNoticeAbstractUI.aspx?menuIndex=3&amp;refID=7066203&amp;Result=3","7066203")</f>
        <v>0</v>
      </c>
      <c r="B1546" t="s">
        <v>657</v>
      </c>
      <c r="C1546" t="s">
        <v>5029</v>
      </c>
      <c r="D1546" t="s">
        <v>18839</v>
      </c>
      <c r="E1546" t="s">
        <v>20317</v>
      </c>
      <c r="F1546" t="s">
        <v>32664</v>
      </c>
      <c r="G1546" t="s">
        <v>32671</v>
      </c>
      <c r="H1546" t="s">
        <v>12635</v>
      </c>
      <c r="I1546" t="s">
        <v>9486</v>
      </c>
      <c r="J1546" t="s">
        <v>33964</v>
      </c>
      <c r="K1546" t="s">
        <v>42289</v>
      </c>
      <c r="M1546" t="s">
        <v>43244</v>
      </c>
      <c r="N1546" t="s">
        <v>46569</v>
      </c>
      <c r="O1546" t="s">
        <v>46570</v>
      </c>
      <c r="P1546">
        <v>0</v>
      </c>
      <c r="Q1546">
        <v>0</v>
      </c>
      <c r="R1546" t="s">
        <v>46571</v>
      </c>
      <c r="S1546" t="s">
        <v>46687</v>
      </c>
      <c r="T1546" t="s">
        <v>48244</v>
      </c>
      <c r="U1546" t="s">
        <v>50098</v>
      </c>
      <c r="W1546" t="s">
        <v>43244</v>
      </c>
      <c r="X1546" t="s">
        <v>46572</v>
      </c>
    </row>
    <row r="1547" spans="1:24">
      <c r="A1547">
        <f>HYPERLINK("https://www.philgeps.gov.ph/GEPSNONPILOT/Tender/SplashBidNoticeAbstractUI.aspx?menuIndex=3&amp;refID=7066219&amp;Result=3","7066219")</f>
        <v>0</v>
      </c>
      <c r="B1547" t="s">
        <v>556</v>
      </c>
      <c r="C1547" t="s">
        <v>5030</v>
      </c>
      <c r="D1547" t="s">
        <v>18843</v>
      </c>
      <c r="E1547" t="s">
        <v>20318</v>
      </c>
      <c r="F1547" t="s">
        <v>32664</v>
      </c>
      <c r="G1547" t="s">
        <v>32677</v>
      </c>
      <c r="H1547" t="s">
        <v>12635</v>
      </c>
      <c r="I1547" t="s">
        <v>11464</v>
      </c>
      <c r="J1547" t="s">
        <v>33965</v>
      </c>
      <c r="K1547" t="s">
        <v>42281</v>
      </c>
      <c r="M1547" t="s">
        <v>43136</v>
      </c>
      <c r="N1547" t="s">
        <v>46569</v>
      </c>
      <c r="O1547" t="s">
        <v>46570</v>
      </c>
      <c r="P1547">
        <v>0</v>
      </c>
      <c r="Q1547">
        <v>1</v>
      </c>
      <c r="R1547" t="s">
        <v>46571</v>
      </c>
      <c r="S1547" t="s">
        <v>46687</v>
      </c>
      <c r="T1547" t="s">
        <v>48244</v>
      </c>
      <c r="U1547" t="s">
        <v>50099</v>
      </c>
      <c r="W1547" t="s">
        <v>43136</v>
      </c>
      <c r="X1547" t="s">
        <v>46572</v>
      </c>
    </row>
    <row r="1548" spans="1:24">
      <c r="A1548">
        <f>HYPERLINK("https://www.philgeps.gov.ph/GEPSNONPILOT/Tender/SplashBidNoticeAbstractUI.aspx?menuIndex=3&amp;refID=7066210&amp;Result=3","7066210")</f>
        <v>0</v>
      </c>
      <c r="B1548" t="s">
        <v>702</v>
      </c>
      <c r="C1548" t="s">
        <v>5031</v>
      </c>
      <c r="D1548" t="s">
        <v>18781</v>
      </c>
      <c r="E1548" t="s">
        <v>20319</v>
      </c>
      <c r="F1548" t="s">
        <v>32664</v>
      </c>
      <c r="G1548" t="s">
        <v>32674</v>
      </c>
      <c r="H1548" t="s">
        <v>32682</v>
      </c>
      <c r="I1548" t="s">
        <v>32695</v>
      </c>
      <c r="J1548" t="s">
        <v>33311</v>
      </c>
      <c r="K1548" t="s">
        <v>42309</v>
      </c>
      <c r="M1548" t="s">
        <v>43289</v>
      </c>
      <c r="N1548" t="s">
        <v>46569</v>
      </c>
      <c r="O1548" t="s">
        <v>46570</v>
      </c>
      <c r="P1548">
        <v>0</v>
      </c>
      <c r="Q1548">
        <v>1</v>
      </c>
      <c r="R1548" t="s">
        <v>46571</v>
      </c>
      <c r="S1548" t="s">
        <v>46687</v>
      </c>
      <c r="T1548" t="s">
        <v>48271</v>
      </c>
      <c r="U1548" t="s">
        <v>50100</v>
      </c>
      <c r="W1548" t="s">
        <v>43289</v>
      </c>
      <c r="X1548" t="s">
        <v>46572</v>
      </c>
    </row>
    <row r="1549" spans="1:24">
      <c r="A1549">
        <f>HYPERLINK("https://www.philgeps.gov.ph/GEPSNONPILOT/Tender/SplashBidNoticeAbstractUI.aspx?menuIndex=3&amp;refID=7066090&amp;Result=3","7066090")</f>
        <v>0</v>
      </c>
      <c r="B1549" t="s">
        <v>703</v>
      </c>
      <c r="C1549" t="s">
        <v>5032</v>
      </c>
      <c r="D1549" t="s">
        <v>18828</v>
      </c>
      <c r="E1549" t="s">
        <v>20320</v>
      </c>
      <c r="F1549" t="s">
        <v>32664</v>
      </c>
      <c r="G1549" t="s">
        <v>32672</v>
      </c>
      <c r="H1549" t="s">
        <v>12635</v>
      </c>
      <c r="I1549" t="s">
        <v>6628</v>
      </c>
      <c r="J1549" t="s">
        <v>33966</v>
      </c>
      <c r="K1549" t="s">
        <v>42284</v>
      </c>
      <c r="M1549" t="s">
        <v>43290</v>
      </c>
      <c r="N1549" t="s">
        <v>46569</v>
      </c>
      <c r="O1549" t="s">
        <v>46570</v>
      </c>
      <c r="P1549">
        <v>0</v>
      </c>
      <c r="Q1549">
        <v>0</v>
      </c>
      <c r="R1549" t="s">
        <v>46571</v>
      </c>
      <c r="S1549" t="s">
        <v>46687</v>
      </c>
      <c r="T1549" t="s">
        <v>48225</v>
      </c>
      <c r="U1549" t="s">
        <v>50101</v>
      </c>
      <c r="W1549" t="s">
        <v>43290</v>
      </c>
      <c r="X1549" t="s">
        <v>46572</v>
      </c>
    </row>
    <row r="1550" spans="1:24">
      <c r="A1550">
        <f>HYPERLINK("https://www.philgeps.gov.ph/GEPSNONPILOT/Tender/SplashBidNoticeAbstractUI.aspx?menuIndex=3&amp;refID=7066244&amp;Result=3","7066244")</f>
        <v>0</v>
      </c>
      <c r="B1550" t="s">
        <v>172</v>
      </c>
      <c r="C1550" t="s">
        <v>5033</v>
      </c>
      <c r="E1550" t="s">
        <v>20321</v>
      </c>
      <c r="F1550" t="s">
        <v>32664</v>
      </c>
      <c r="G1550" t="s">
        <v>32671</v>
      </c>
      <c r="H1550" t="s">
        <v>12635</v>
      </c>
      <c r="I1550" t="s">
        <v>10361</v>
      </c>
      <c r="J1550" t="s">
        <v>33126</v>
      </c>
      <c r="K1550" t="s">
        <v>42295</v>
      </c>
      <c r="M1550" t="s">
        <v>42736</v>
      </c>
      <c r="N1550" t="s">
        <v>46569</v>
      </c>
      <c r="O1550" t="s">
        <v>46570</v>
      </c>
      <c r="P1550">
        <v>0</v>
      </c>
      <c r="Q1550">
        <v>0</v>
      </c>
      <c r="R1550" t="s">
        <v>46571</v>
      </c>
      <c r="S1550" t="s">
        <v>46687</v>
      </c>
      <c r="T1550" t="s">
        <v>48344</v>
      </c>
      <c r="U1550" t="s">
        <v>50102</v>
      </c>
      <c r="W1550" t="s">
        <v>42736</v>
      </c>
      <c r="X1550" t="s">
        <v>46572</v>
      </c>
    </row>
    <row r="1551" spans="1:24">
      <c r="A1551">
        <f>HYPERLINK("https://www.philgeps.gov.ph/GEPSNONPILOT/Tender/SplashBidNoticeAbstractUI.aspx?menuIndex=3&amp;refID=7066241&amp;Result=3","7066241")</f>
        <v>0</v>
      </c>
      <c r="B1551" t="s">
        <v>667</v>
      </c>
      <c r="C1551" t="s">
        <v>5034</v>
      </c>
      <c r="D1551" t="s">
        <v>18843</v>
      </c>
      <c r="E1551" t="s">
        <v>20322</v>
      </c>
      <c r="F1551" t="s">
        <v>32664</v>
      </c>
      <c r="G1551" t="s">
        <v>32672</v>
      </c>
      <c r="H1551" t="s">
        <v>32683</v>
      </c>
      <c r="I1551" t="s">
        <v>10627</v>
      </c>
      <c r="J1551" t="s">
        <v>33967</v>
      </c>
      <c r="K1551" t="s">
        <v>42315</v>
      </c>
      <c r="M1551" t="s">
        <v>43254</v>
      </c>
      <c r="N1551" t="s">
        <v>46569</v>
      </c>
      <c r="O1551" t="s">
        <v>46570</v>
      </c>
      <c r="P1551">
        <v>0</v>
      </c>
      <c r="Q1551">
        <v>0</v>
      </c>
      <c r="R1551" t="s">
        <v>46571</v>
      </c>
      <c r="S1551" t="s">
        <v>46687</v>
      </c>
      <c r="T1551" t="s">
        <v>48220</v>
      </c>
      <c r="U1551" t="s">
        <v>50040</v>
      </c>
      <c r="W1551" t="s">
        <v>43254</v>
      </c>
      <c r="X1551" t="s">
        <v>46572</v>
      </c>
    </row>
    <row r="1552" spans="1:24">
      <c r="A1552">
        <f>HYPERLINK("https://www.philgeps.gov.ph/GEPSNONPILOT/Tender/SplashBidNoticeAbstractUI.aspx?menuIndex=3&amp;refID=7066204&amp;Result=3","7066204")</f>
        <v>0</v>
      </c>
      <c r="B1552" t="s">
        <v>528</v>
      </c>
      <c r="C1552" t="s">
        <v>5035</v>
      </c>
      <c r="D1552" t="s">
        <v>18823</v>
      </c>
      <c r="E1552" t="s">
        <v>20323</v>
      </c>
      <c r="F1552" t="s">
        <v>32664</v>
      </c>
      <c r="G1552" t="s">
        <v>32671</v>
      </c>
      <c r="H1552" t="s">
        <v>12635</v>
      </c>
      <c r="I1552" t="s">
        <v>32707</v>
      </c>
      <c r="J1552" t="s">
        <v>33968</v>
      </c>
      <c r="K1552" t="s">
        <v>42295</v>
      </c>
      <c r="M1552" t="s">
        <v>43106</v>
      </c>
      <c r="N1552" t="s">
        <v>46569</v>
      </c>
      <c r="O1552" t="s">
        <v>46570</v>
      </c>
      <c r="P1552">
        <v>0</v>
      </c>
      <c r="Q1552">
        <v>0</v>
      </c>
      <c r="R1552" t="s">
        <v>46571</v>
      </c>
      <c r="S1552" t="s">
        <v>46687</v>
      </c>
      <c r="T1552" t="s">
        <v>48299</v>
      </c>
      <c r="U1552" t="s">
        <v>49875</v>
      </c>
      <c r="W1552" t="s">
        <v>43106</v>
      </c>
      <c r="X1552" t="s">
        <v>46572</v>
      </c>
    </row>
    <row r="1553" spans="1:24">
      <c r="A1553">
        <f>HYPERLINK("https://www.philgeps.gov.ph/GEPSNONPILOT/Tender/SplashBidNoticeAbstractUI.aspx?menuIndex=3&amp;refID=7066226&amp;Result=3","7066226")</f>
        <v>0</v>
      </c>
      <c r="B1553" t="s">
        <v>704</v>
      </c>
      <c r="C1553" t="s">
        <v>5036</v>
      </c>
      <c r="D1553" t="s">
        <v>18816</v>
      </c>
      <c r="E1553" t="s">
        <v>19180</v>
      </c>
      <c r="F1553" t="s">
        <v>32664</v>
      </c>
      <c r="G1553" t="s">
        <v>32672</v>
      </c>
      <c r="H1553" t="s">
        <v>32683</v>
      </c>
      <c r="I1553" t="s">
        <v>10627</v>
      </c>
      <c r="J1553" t="s">
        <v>33969</v>
      </c>
      <c r="K1553" t="s">
        <v>42283</v>
      </c>
      <c r="M1553" t="s">
        <v>43291</v>
      </c>
      <c r="N1553" t="s">
        <v>46569</v>
      </c>
      <c r="O1553" t="s">
        <v>46570</v>
      </c>
      <c r="P1553">
        <v>0</v>
      </c>
      <c r="Q1553">
        <v>0</v>
      </c>
      <c r="R1553" t="s">
        <v>46571</v>
      </c>
      <c r="S1553" t="s">
        <v>46687</v>
      </c>
      <c r="T1553" t="s">
        <v>48273</v>
      </c>
      <c r="U1553" t="s">
        <v>50103</v>
      </c>
      <c r="W1553" t="s">
        <v>43291</v>
      </c>
      <c r="X1553" t="s">
        <v>46572</v>
      </c>
    </row>
    <row r="1554" spans="1:24">
      <c r="A1554">
        <f>HYPERLINK("https://www.philgeps.gov.ph/GEPSNONPILOT/Tender/SplashBidNoticeAbstractUI.aspx?menuIndex=3&amp;refID=7066239&amp;Result=3","7066239")</f>
        <v>0</v>
      </c>
      <c r="B1554" t="s">
        <v>705</v>
      </c>
      <c r="C1554" t="s">
        <v>5037</v>
      </c>
      <c r="D1554" t="s">
        <v>18789</v>
      </c>
      <c r="E1554" t="s">
        <v>20324</v>
      </c>
      <c r="F1554" t="s">
        <v>32664</v>
      </c>
      <c r="G1554" t="s">
        <v>32671</v>
      </c>
      <c r="H1554" t="s">
        <v>12635</v>
      </c>
      <c r="I1554" t="s">
        <v>32696</v>
      </c>
      <c r="J1554" t="s">
        <v>33021</v>
      </c>
      <c r="K1554" t="s">
        <v>42283</v>
      </c>
      <c r="M1554" t="s">
        <v>43292</v>
      </c>
      <c r="N1554" t="s">
        <v>46569</v>
      </c>
      <c r="O1554" t="s">
        <v>46570</v>
      </c>
      <c r="P1554">
        <v>0</v>
      </c>
      <c r="Q1554">
        <v>1</v>
      </c>
      <c r="R1554" t="s">
        <v>46571</v>
      </c>
      <c r="S1554" t="s">
        <v>46687</v>
      </c>
      <c r="T1554" t="s">
        <v>48245</v>
      </c>
      <c r="U1554" t="s">
        <v>50104</v>
      </c>
      <c r="W1554" t="s">
        <v>43292</v>
      </c>
      <c r="X1554" t="s">
        <v>46572</v>
      </c>
    </row>
    <row r="1555" spans="1:24">
      <c r="A1555">
        <f>HYPERLINK("https://www.philgeps.gov.ph/GEPSNONPILOT/Tender/SplashBidNoticeAbstractUI.aspx?menuIndex=3&amp;refID=7066207&amp;Result=3","7066207")</f>
        <v>0</v>
      </c>
      <c r="B1555" t="s">
        <v>706</v>
      </c>
      <c r="C1555" t="s">
        <v>5038</v>
      </c>
      <c r="D1555" t="s">
        <v>18809</v>
      </c>
      <c r="E1555" t="s">
        <v>20325</v>
      </c>
      <c r="F1555" t="s">
        <v>32665</v>
      </c>
      <c r="G1555" t="s">
        <v>32672</v>
      </c>
      <c r="H1555" t="s">
        <v>12635</v>
      </c>
      <c r="I1555" t="s">
        <v>4439</v>
      </c>
      <c r="J1555" t="s">
        <v>33970</v>
      </c>
      <c r="K1555" t="s">
        <v>42284</v>
      </c>
      <c r="M1555" t="s">
        <v>43293</v>
      </c>
      <c r="N1555" t="s">
        <v>46569</v>
      </c>
      <c r="O1555" t="s">
        <v>46570</v>
      </c>
      <c r="P1555">
        <v>0</v>
      </c>
      <c r="Q1555">
        <v>0</v>
      </c>
      <c r="R1555" t="s">
        <v>46571</v>
      </c>
      <c r="S1555" t="s">
        <v>46687</v>
      </c>
      <c r="T1555" t="s">
        <v>48394</v>
      </c>
      <c r="U1555" t="s">
        <v>50105</v>
      </c>
      <c r="W1555" t="s">
        <v>43293</v>
      </c>
      <c r="X1555" t="s">
        <v>46572</v>
      </c>
    </row>
    <row r="1556" spans="1:24">
      <c r="A1556">
        <f>HYPERLINK("https://www.philgeps.gov.ph/GEPSNONPILOT/Tender/SplashBidNoticeAbstractUI.aspx?menuIndex=3&amp;refID=7066238&amp;Result=3","7066238")</f>
        <v>0</v>
      </c>
      <c r="B1556" t="s">
        <v>707</v>
      </c>
      <c r="C1556" t="s">
        <v>5039</v>
      </c>
      <c r="E1556" t="s">
        <v>20326</v>
      </c>
      <c r="F1556" t="s">
        <v>32664</v>
      </c>
      <c r="G1556" t="s">
        <v>32674</v>
      </c>
      <c r="H1556" t="s">
        <v>12635</v>
      </c>
      <c r="I1556" t="s">
        <v>6168</v>
      </c>
      <c r="J1556" t="s">
        <v>33971</v>
      </c>
      <c r="K1556" t="s">
        <v>42283</v>
      </c>
      <c r="M1556" t="s">
        <v>43294</v>
      </c>
      <c r="N1556" t="s">
        <v>46569</v>
      </c>
      <c r="O1556" t="s">
        <v>46570</v>
      </c>
      <c r="P1556">
        <v>0</v>
      </c>
      <c r="Q1556">
        <v>2</v>
      </c>
      <c r="R1556" t="s">
        <v>46571</v>
      </c>
      <c r="S1556" t="s">
        <v>46687</v>
      </c>
      <c r="T1556" t="s">
        <v>48219</v>
      </c>
      <c r="U1556" t="s">
        <v>50106</v>
      </c>
      <c r="W1556" t="s">
        <v>43294</v>
      </c>
      <c r="X1556" t="s">
        <v>46572</v>
      </c>
    </row>
    <row r="1557" spans="1:24">
      <c r="A1557">
        <f>HYPERLINK("https://www.philgeps.gov.ph/GEPSNONPILOT/Tender/SplashBidNoticeAbstractUI.aspx?menuIndex=3&amp;refID=7066237&amp;Result=3","7066237")</f>
        <v>0</v>
      </c>
      <c r="B1557" t="s">
        <v>708</v>
      </c>
      <c r="C1557" t="s">
        <v>5040</v>
      </c>
      <c r="D1557" t="s">
        <v>18792</v>
      </c>
      <c r="E1557" t="s">
        <v>20327</v>
      </c>
      <c r="F1557" t="s">
        <v>32664</v>
      </c>
      <c r="G1557" t="s">
        <v>32671</v>
      </c>
      <c r="H1557" t="s">
        <v>12635</v>
      </c>
      <c r="I1557" t="s">
        <v>32685</v>
      </c>
      <c r="J1557" t="s">
        <v>33972</v>
      </c>
      <c r="K1557" t="s">
        <v>42283</v>
      </c>
      <c r="M1557" t="s">
        <v>43295</v>
      </c>
      <c r="N1557" t="s">
        <v>46569</v>
      </c>
      <c r="O1557" t="s">
        <v>46570</v>
      </c>
      <c r="P1557">
        <v>0</v>
      </c>
      <c r="Q1557">
        <v>0</v>
      </c>
      <c r="R1557" t="s">
        <v>46571</v>
      </c>
      <c r="S1557" t="s">
        <v>46687</v>
      </c>
      <c r="T1557" t="s">
        <v>48228</v>
      </c>
      <c r="U1557" t="s">
        <v>50107</v>
      </c>
      <c r="W1557" t="s">
        <v>43295</v>
      </c>
      <c r="X1557" t="s">
        <v>46572</v>
      </c>
    </row>
    <row r="1558" spans="1:24">
      <c r="A1558">
        <f>HYPERLINK("https://www.philgeps.gov.ph/GEPSNONPILOT/Tender/SplashBidNoticeAbstractUI.aspx?menuIndex=3&amp;refID=7066236&amp;Result=3","7066236")</f>
        <v>0</v>
      </c>
      <c r="B1558" t="s">
        <v>709</v>
      </c>
      <c r="C1558" t="s">
        <v>5041</v>
      </c>
      <c r="D1558" t="s">
        <v>18784</v>
      </c>
      <c r="E1558" t="s">
        <v>20328</v>
      </c>
      <c r="F1558" t="s">
        <v>32664</v>
      </c>
      <c r="G1558" t="s">
        <v>32672</v>
      </c>
      <c r="H1558" t="s">
        <v>12635</v>
      </c>
      <c r="I1558" t="s">
        <v>8730</v>
      </c>
      <c r="J1558" t="s">
        <v>33973</v>
      </c>
      <c r="K1558" t="s">
        <v>42284</v>
      </c>
      <c r="M1558" t="s">
        <v>43296</v>
      </c>
      <c r="N1558" t="s">
        <v>46569</v>
      </c>
      <c r="O1558" t="s">
        <v>46570</v>
      </c>
      <c r="P1558">
        <v>0</v>
      </c>
      <c r="Q1558">
        <v>1</v>
      </c>
      <c r="R1558" t="s">
        <v>46571</v>
      </c>
      <c r="S1558" t="s">
        <v>46687</v>
      </c>
      <c r="T1558" t="s">
        <v>48226</v>
      </c>
      <c r="U1558" t="s">
        <v>50108</v>
      </c>
      <c r="W1558" t="s">
        <v>43296</v>
      </c>
      <c r="X1558" t="s">
        <v>46572</v>
      </c>
    </row>
    <row r="1559" spans="1:24">
      <c r="A1559">
        <f>HYPERLINK("https://www.philgeps.gov.ph/GEPSNONPILOT/Tender/SplashBidNoticeAbstractUI.aspx?menuIndex=3&amp;refID=7066233&amp;Result=3","7066233")</f>
        <v>0</v>
      </c>
      <c r="B1559" t="s">
        <v>683</v>
      </c>
      <c r="C1559" t="s">
        <v>5042</v>
      </c>
      <c r="D1559" t="s">
        <v>18842</v>
      </c>
      <c r="E1559" t="s">
        <v>20329</v>
      </c>
      <c r="F1559" t="s">
        <v>32664</v>
      </c>
      <c r="G1559" t="s">
        <v>32671</v>
      </c>
      <c r="H1559" t="s">
        <v>12635</v>
      </c>
      <c r="I1559" t="s">
        <v>8797</v>
      </c>
      <c r="J1559" t="s">
        <v>33974</v>
      </c>
      <c r="K1559" t="s">
        <v>42284</v>
      </c>
      <c r="M1559" t="s">
        <v>43270</v>
      </c>
      <c r="N1559" t="s">
        <v>46569</v>
      </c>
      <c r="O1559" t="s">
        <v>46570</v>
      </c>
      <c r="P1559">
        <v>0</v>
      </c>
      <c r="Q1559">
        <v>3</v>
      </c>
      <c r="R1559" t="s">
        <v>46571</v>
      </c>
      <c r="S1559" t="s">
        <v>46687</v>
      </c>
      <c r="T1559" t="s">
        <v>48256</v>
      </c>
      <c r="U1559" t="s">
        <v>50070</v>
      </c>
      <c r="W1559" t="s">
        <v>43270</v>
      </c>
      <c r="X1559" t="s">
        <v>46572</v>
      </c>
    </row>
    <row r="1560" spans="1:24">
      <c r="A1560">
        <f>HYPERLINK("https://www.philgeps.gov.ph/GEPSNONPILOT/Tender/SplashBidNoticeAbstractUI.aspx?menuIndex=3&amp;refID=7066240&amp;Result=3","7066240")</f>
        <v>0</v>
      </c>
      <c r="B1560" t="s">
        <v>710</v>
      </c>
      <c r="C1560" t="s">
        <v>5043</v>
      </c>
      <c r="D1560" t="s">
        <v>18831</v>
      </c>
      <c r="E1560" t="s">
        <v>20330</v>
      </c>
      <c r="F1560" t="s">
        <v>32664</v>
      </c>
      <c r="G1560" t="s">
        <v>32671</v>
      </c>
      <c r="H1560" t="s">
        <v>12635</v>
      </c>
      <c r="I1560" t="s">
        <v>4439</v>
      </c>
      <c r="J1560" t="s">
        <v>33975</v>
      </c>
      <c r="K1560" t="s">
        <v>42309</v>
      </c>
      <c r="M1560" t="s">
        <v>43297</v>
      </c>
      <c r="N1560" t="s">
        <v>46569</v>
      </c>
      <c r="O1560" t="s">
        <v>46570</v>
      </c>
      <c r="P1560">
        <v>0</v>
      </c>
      <c r="Q1560">
        <v>0</v>
      </c>
      <c r="R1560" t="s">
        <v>46571</v>
      </c>
      <c r="S1560" t="s">
        <v>46687</v>
      </c>
      <c r="T1560" t="s">
        <v>48282</v>
      </c>
      <c r="U1560" t="s">
        <v>50109</v>
      </c>
      <c r="W1560" t="s">
        <v>43297</v>
      </c>
      <c r="X1560" t="s">
        <v>46572</v>
      </c>
    </row>
    <row r="1561" spans="1:24">
      <c r="A1561">
        <f>HYPERLINK("https://www.philgeps.gov.ph/GEPSNONPILOT/Tender/SplashBidNoticeAbstractUI.aspx?menuIndex=3&amp;refID=7066231&amp;Result=3","7066231")</f>
        <v>0</v>
      </c>
      <c r="B1561" t="s">
        <v>711</v>
      </c>
      <c r="C1561" t="s">
        <v>5044</v>
      </c>
      <c r="D1561" t="s">
        <v>18832</v>
      </c>
      <c r="E1561" t="s">
        <v>20331</v>
      </c>
      <c r="F1561" t="s">
        <v>32664</v>
      </c>
      <c r="G1561" t="s">
        <v>32673</v>
      </c>
      <c r="H1561" t="s">
        <v>32681</v>
      </c>
      <c r="I1561" t="s">
        <v>32748</v>
      </c>
      <c r="J1561" t="s">
        <v>33976</v>
      </c>
      <c r="K1561" t="s">
        <v>42311</v>
      </c>
      <c r="M1561" t="s">
        <v>43298</v>
      </c>
      <c r="N1561" t="s">
        <v>46569</v>
      </c>
      <c r="O1561" t="s">
        <v>46570</v>
      </c>
      <c r="P1561">
        <v>0</v>
      </c>
      <c r="Q1561">
        <v>1</v>
      </c>
      <c r="R1561" t="s">
        <v>46571</v>
      </c>
      <c r="S1561" t="s">
        <v>46687</v>
      </c>
      <c r="T1561" t="s">
        <v>48395</v>
      </c>
      <c r="U1561" t="s">
        <v>50110</v>
      </c>
      <c r="W1561" t="s">
        <v>43298</v>
      </c>
      <c r="X1561" t="s">
        <v>46572</v>
      </c>
    </row>
    <row r="1562" spans="1:24">
      <c r="A1562">
        <f>HYPERLINK("https://www.philgeps.gov.ph/GEPSNONPILOT/Tender/SplashBidNoticeAbstractUI.aspx?menuIndex=3&amp;refID=7066209&amp;Result=3","7066209")</f>
        <v>0</v>
      </c>
      <c r="B1562" t="s">
        <v>712</v>
      </c>
      <c r="C1562" t="s">
        <v>5045</v>
      </c>
      <c r="D1562" t="s">
        <v>18845</v>
      </c>
      <c r="E1562" t="s">
        <v>20332</v>
      </c>
      <c r="F1562" t="s">
        <v>32664</v>
      </c>
      <c r="G1562" t="s">
        <v>32671</v>
      </c>
      <c r="H1562" t="s">
        <v>12635</v>
      </c>
      <c r="I1562" t="s">
        <v>4439</v>
      </c>
      <c r="J1562" t="s">
        <v>33977</v>
      </c>
      <c r="K1562" t="s">
        <v>42283</v>
      </c>
      <c r="M1562" t="s">
        <v>43299</v>
      </c>
      <c r="N1562" t="s">
        <v>46569</v>
      </c>
      <c r="O1562" t="s">
        <v>46570</v>
      </c>
      <c r="P1562">
        <v>0</v>
      </c>
      <c r="Q1562">
        <v>0</v>
      </c>
      <c r="R1562" t="s">
        <v>46571</v>
      </c>
      <c r="S1562" t="s">
        <v>46687</v>
      </c>
      <c r="T1562" t="s">
        <v>48244</v>
      </c>
      <c r="U1562" t="s">
        <v>50111</v>
      </c>
      <c r="W1562" t="s">
        <v>43299</v>
      </c>
      <c r="X1562" t="s">
        <v>46572</v>
      </c>
    </row>
    <row r="1563" spans="1:24">
      <c r="A1563">
        <f>HYPERLINK("https://www.philgeps.gov.ph/GEPSNONPILOT/Tender/SplashBidNoticeAbstractUI.aspx?menuIndex=3&amp;refID=7066227&amp;Result=3","7066227")</f>
        <v>0</v>
      </c>
      <c r="B1563" t="s">
        <v>528</v>
      </c>
      <c r="C1563" t="s">
        <v>5046</v>
      </c>
      <c r="D1563" t="s">
        <v>18803</v>
      </c>
      <c r="E1563" t="s">
        <v>20333</v>
      </c>
      <c r="F1563" t="s">
        <v>32664</v>
      </c>
      <c r="G1563" t="s">
        <v>32671</v>
      </c>
      <c r="H1563" t="s">
        <v>12635</v>
      </c>
      <c r="I1563" t="s">
        <v>32690</v>
      </c>
      <c r="J1563" t="s">
        <v>33069</v>
      </c>
      <c r="K1563" t="s">
        <v>42281</v>
      </c>
      <c r="M1563" t="s">
        <v>43106</v>
      </c>
      <c r="N1563" t="s">
        <v>46569</v>
      </c>
      <c r="O1563" t="s">
        <v>46570</v>
      </c>
      <c r="P1563">
        <v>0</v>
      </c>
      <c r="Q1563">
        <v>0</v>
      </c>
      <c r="R1563" t="s">
        <v>46571</v>
      </c>
      <c r="S1563" t="s">
        <v>46687</v>
      </c>
      <c r="T1563" t="s">
        <v>48299</v>
      </c>
      <c r="U1563" t="s">
        <v>49875</v>
      </c>
      <c r="W1563" t="s">
        <v>43106</v>
      </c>
      <c r="X1563" t="s">
        <v>46572</v>
      </c>
    </row>
    <row r="1564" spans="1:24">
      <c r="A1564">
        <f>HYPERLINK("https://www.philgeps.gov.ph/GEPSNONPILOT/Tender/SplashBidNoticeAbstractUI.aspx?menuIndex=3&amp;refID=7066234&amp;Result=3","7066234")</f>
        <v>0</v>
      </c>
      <c r="B1564" t="s">
        <v>455</v>
      </c>
      <c r="C1564" t="s">
        <v>5047</v>
      </c>
      <c r="D1564" t="s">
        <v>18834</v>
      </c>
      <c r="E1564" t="s">
        <v>20334</v>
      </c>
      <c r="F1564" t="s">
        <v>32664</v>
      </c>
      <c r="G1564" t="s">
        <v>32672</v>
      </c>
      <c r="H1564" t="s">
        <v>12635</v>
      </c>
      <c r="I1564" t="s">
        <v>9486</v>
      </c>
      <c r="J1564" t="s">
        <v>33978</v>
      </c>
      <c r="K1564" t="s">
        <v>42311</v>
      </c>
      <c r="M1564" t="s">
        <v>43210</v>
      </c>
      <c r="N1564" t="s">
        <v>46569</v>
      </c>
      <c r="O1564" t="s">
        <v>46570</v>
      </c>
      <c r="P1564">
        <v>0</v>
      </c>
      <c r="Q1564">
        <v>4</v>
      </c>
      <c r="R1564" t="s">
        <v>46571</v>
      </c>
      <c r="S1564" t="s">
        <v>46687</v>
      </c>
      <c r="T1564" t="s">
        <v>48337</v>
      </c>
      <c r="U1564" t="s">
        <v>50112</v>
      </c>
      <c r="W1564" t="s">
        <v>43210</v>
      </c>
      <c r="X1564" t="s">
        <v>46572</v>
      </c>
    </row>
    <row r="1565" spans="1:24">
      <c r="A1565">
        <f>HYPERLINK("https://www.philgeps.gov.ph/GEPSNONPILOT/Tender/SplashBidNoticeAbstractUI.aspx?menuIndex=3&amp;refID=7066235&amp;Result=3","7066235")</f>
        <v>0</v>
      </c>
      <c r="B1565" t="s">
        <v>680</v>
      </c>
      <c r="C1565" t="s">
        <v>5048</v>
      </c>
      <c r="D1565" t="s">
        <v>18792</v>
      </c>
      <c r="E1565" t="s">
        <v>20335</v>
      </c>
      <c r="F1565" t="s">
        <v>32664</v>
      </c>
      <c r="G1565" t="s">
        <v>32671</v>
      </c>
      <c r="H1565" t="s">
        <v>12635</v>
      </c>
      <c r="I1565" t="s">
        <v>10370</v>
      </c>
      <c r="J1565" t="s">
        <v>33299</v>
      </c>
      <c r="K1565" t="s">
        <v>42281</v>
      </c>
      <c r="M1565" t="s">
        <v>43267</v>
      </c>
      <c r="N1565" t="s">
        <v>46569</v>
      </c>
      <c r="O1565" t="s">
        <v>46570</v>
      </c>
      <c r="P1565">
        <v>0</v>
      </c>
      <c r="Q1565">
        <v>1</v>
      </c>
      <c r="R1565" t="s">
        <v>46571</v>
      </c>
      <c r="S1565" t="s">
        <v>46687</v>
      </c>
      <c r="T1565" t="s">
        <v>48283</v>
      </c>
      <c r="U1565" t="s">
        <v>50113</v>
      </c>
      <c r="W1565" t="s">
        <v>43267</v>
      </c>
      <c r="X1565" t="s">
        <v>46572</v>
      </c>
    </row>
    <row r="1566" spans="1:24">
      <c r="A1566">
        <f>HYPERLINK("https://www.philgeps.gov.ph/GEPSNONPILOT/Tender/SplashBidNoticeAbstractUI.aspx?menuIndex=3&amp;refID=7066223&amp;Result=3","7066223")</f>
        <v>0</v>
      </c>
      <c r="B1566" t="s">
        <v>713</v>
      </c>
      <c r="C1566" t="s">
        <v>5049</v>
      </c>
      <c r="D1566" t="s">
        <v>18827</v>
      </c>
      <c r="E1566" t="s">
        <v>20336</v>
      </c>
      <c r="F1566" t="s">
        <v>32664</v>
      </c>
      <c r="G1566" t="s">
        <v>32671</v>
      </c>
      <c r="H1566" t="s">
        <v>12635</v>
      </c>
      <c r="I1566" t="s">
        <v>9486</v>
      </c>
      <c r="J1566" t="s">
        <v>33979</v>
      </c>
      <c r="K1566" t="s">
        <v>42281</v>
      </c>
      <c r="M1566" t="s">
        <v>43300</v>
      </c>
      <c r="N1566" t="s">
        <v>46569</v>
      </c>
      <c r="O1566" t="s">
        <v>46570</v>
      </c>
      <c r="P1566">
        <v>0</v>
      </c>
      <c r="Q1566">
        <v>0</v>
      </c>
      <c r="R1566" t="s">
        <v>46571</v>
      </c>
      <c r="S1566" t="s">
        <v>46687</v>
      </c>
      <c r="T1566" t="s">
        <v>48256</v>
      </c>
      <c r="U1566" t="s">
        <v>50114</v>
      </c>
      <c r="W1566" t="s">
        <v>43300</v>
      </c>
      <c r="X1566" t="s">
        <v>46572</v>
      </c>
    </row>
    <row r="1567" spans="1:24">
      <c r="A1567">
        <f>HYPERLINK("https://www.philgeps.gov.ph/GEPSNONPILOT/Tender/SplashBidNoticeAbstractUI.aspx?menuIndex=3&amp;refID=7066229&amp;Result=3","7066229")</f>
        <v>0</v>
      </c>
      <c r="B1567" t="s">
        <v>371</v>
      </c>
      <c r="C1567" t="s">
        <v>5050</v>
      </c>
      <c r="D1567" t="s">
        <v>18782</v>
      </c>
      <c r="E1567" t="s">
        <v>19607</v>
      </c>
      <c r="F1567" t="s">
        <v>32664</v>
      </c>
      <c r="G1567" t="s">
        <v>32672</v>
      </c>
      <c r="H1567" t="s">
        <v>32683</v>
      </c>
      <c r="I1567" t="s">
        <v>10627</v>
      </c>
      <c r="J1567" t="s">
        <v>32853</v>
      </c>
      <c r="K1567" t="s">
        <v>42305</v>
      </c>
      <c r="M1567" t="s">
        <v>42941</v>
      </c>
      <c r="N1567" t="s">
        <v>46569</v>
      </c>
      <c r="O1567" t="s">
        <v>46570</v>
      </c>
      <c r="P1567">
        <v>0</v>
      </c>
      <c r="Q1567">
        <v>0</v>
      </c>
      <c r="R1567" t="s">
        <v>46571</v>
      </c>
      <c r="S1567" t="s">
        <v>46687</v>
      </c>
      <c r="T1567" t="s">
        <v>48237</v>
      </c>
      <c r="U1567" t="s">
        <v>49452</v>
      </c>
      <c r="W1567" t="s">
        <v>42941</v>
      </c>
      <c r="X1567" t="s">
        <v>46572</v>
      </c>
    </row>
    <row r="1568" spans="1:24">
      <c r="A1568">
        <f>HYPERLINK("https://www.philgeps.gov.ph/GEPSNONPILOT/Tender/SplashBidNoticeAbstractUI.aspx?menuIndex=3&amp;refID=7066201&amp;Result=3","7066201")</f>
        <v>0</v>
      </c>
      <c r="B1568" t="s">
        <v>714</v>
      </c>
      <c r="C1568" t="s">
        <v>5051</v>
      </c>
      <c r="D1568" t="s">
        <v>18846</v>
      </c>
      <c r="E1568" t="s">
        <v>20337</v>
      </c>
      <c r="F1568" t="s">
        <v>32664</v>
      </c>
      <c r="G1568" t="s">
        <v>32671</v>
      </c>
      <c r="H1568" t="s">
        <v>12635</v>
      </c>
      <c r="I1568" t="s">
        <v>6628</v>
      </c>
      <c r="J1568" t="s">
        <v>33608</v>
      </c>
      <c r="K1568" t="s">
        <v>42321</v>
      </c>
      <c r="M1568" t="s">
        <v>43301</v>
      </c>
      <c r="N1568" t="s">
        <v>46569</v>
      </c>
      <c r="O1568" t="s">
        <v>46570</v>
      </c>
      <c r="P1568">
        <v>0</v>
      </c>
      <c r="Q1568">
        <v>0</v>
      </c>
      <c r="R1568" t="s">
        <v>46571</v>
      </c>
      <c r="S1568" t="s">
        <v>46687</v>
      </c>
      <c r="T1568" t="s">
        <v>48283</v>
      </c>
      <c r="U1568" t="s">
        <v>50115</v>
      </c>
      <c r="W1568" t="s">
        <v>43301</v>
      </c>
      <c r="X1568" t="s">
        <v>46572</v>
      </c>
    </row>
    <row r="1569" spans="1:24">
      <c r="A1569">
        <f>HYPERLINK("https://www.philgeps.gov.ph/GEPSNONPILOT/Tender/SplashBidNoticeAbstractUI.aspx?menuIndex=3&amp;refID=7066242&amp;Result=3","7066242")</f>
        <v>0</v>
      </c>
      <c r="B1569" t="s">
        <v>715</v>
      </c>
      <c r="C1569" t="s">
        <v>5052</v>
      </c>
      <c r="D1569" t="s">
        <v>18807</v>
      </c>
      <c r="E1569" t="s">
        <v>19202</v>
      </c>
      <c r="F1569" t="s">
        <v>32664</v>
      </c>
      <c r="G1569" t="s">
        <v>32672</v>
      </c>
      <c r="H1569" t="s">
        <v>12635</v>
      </c>
      <c r="I1569" t="s">
        <v>11464</v>
      </c>
      <c r="J1569" t="s">
        <v>32998</v>
      </c>
      <c r="K1569" t="s">
        <v>42297</v>
      </c>
      <c r="M1569" t="s">
        <v>43302</v>
      </c>
      <c r="N1569" t="s">
        <v>46569</v>
      </c>
      <c r="O1569" t="s">
        <v>46570</v>
      </c>
      <c r="P1569">
        <v>0</v>
      </c>
      <c r="Q1569">
        <v>2</v>
      </c>
      <c r="R1569" t="s">
        <v>46571</v>
      </c>
      <c r="S1569" t="s">
        <v>46687</v>
      </c>
      <c r="T1569" t="s">
        <v>48362</v>
      </c>
      <c r="U1569" t="s">
        <v>50116</v>
      </c>
      <c r="W1569" t="s">
        <v>43302</v>
      </c>
      <c r="X1569" t="s">
        <v>46572</v>
      </c>
    </row>
    <row r="1570" spans="1:24">
      <c r="A1570">
        <f>HYPERLINK("https://www.philgeps.gov.ph/GEPSNONPILOT/Tender/SplashBidNoticeAbstractUI.aspx?menuIndex=3&amp;refID=7066232&amp;Result=3","7066232")</f>
        <v>0</v>
      </c>
      <c r="B1570" t="s">
        <v>458</v>
      </c>
      <c r="C1570" t="s">
        <v>5053</v>
      </c>
      <c r="D1570" t="s">
        <v>18833</v>
      </c>
      <c r="E1570" t="s">
        <v>19820</v>
      </c>
      <c r="F1570" t="s">
        <v>32664</v>
      </c>
      <c r="G1570" t="s">
        <v>32672</v>
      </c>
      <c r="H1570" t="s">
        <v>12635</v>
      </c>
      <c r="I1570" t="s">
        <v>8797</v>
      </c>
      <c r="J1570" t="s">
        <v>33980</v>
      </c>
      <c r="K1570" t="s">
        <v>42289</v>
      </c>
      <c r="M1570" t="s">
        <v>43031</v>
      </c>
      <c r="N1570" t="s">
        <v>46569</v>
      </c>
      <c r="O1570" t="s">
        <v>46570</v>
      </c>
      <c r="P1570">
        <v>0</v>
      </c>
      <c r="Q1570">
        <v>0</v>
      </c>
      <c r="R1570" t="s">
        <v>46571</v>
      </c>
      <c r="S1570" t="s">
        <v>46687</v>
      </c>
      <c r="T1570" t="s">
        <v>48396</v>
      </c>
      <c r="U1570" t="s">
        <v>50117</v>
      </c>
      <c r="W1570" t="s">
        <v>43031</v>
      </c>
      <c r="X1570" t="s">
        <v>46572</v>
      </c>
    </row>
    <row r="1571" spans="1:24">
      <c r="A1571">
        <f>HYPERLINK("https://www.philgeps.gov.ph/GEPSNONPILOT/Tender/SplashBidNoticeAbstractUI.aspx?menuIndex=3&amp;refID=7066230&amp;Result=3","7066230")</f>
        <v>0</v>
      </c>
      <c r="B1571" t="s">
        <v>716</v>
      </c>
      <c r="C1571" t="s">
        <v>5054</v>
      </c>
      <c r="D1571" t="s">
        <v>18842</v>
      </c>
      <c r="E1571" t="s">
        <v>20338</v>
      </c>
      <c r="F1571" t="s">
        <v>32664</v>
      </c>
      <c r="G1571" t="s">
        <v>32675</v>
      </c>
      <c r="H1571" t="s">
        <v>12635</v>
      </c>
      <c r="I1571" t="s">
        <v>8730</v>
      </c>
      <c r="J1571" t="s">
        <v>32917</v>
      </c>
      <c r="K1571" t="s">
        <v>42281</v>
      </c>
      <c r="M1571" t="s">
        <v>43303</v>
      </c>
      <c r="N1571" t="s">
        <v>46569</v>
      </c>
      <c r="O1571" t="s">
        <v>46570</v>
      </c>
      <c r="P1571">
        <v>0</v>
      </c>
      <c r="Q1571">
        <v>1</v>
      </c>
      <c r="R1571" t="s">
        <v>46571</v>
      </c>
      <c r="S1571" t="s">
        <v>46687</v>
      </c>
      <c r="T1571" t="s">
        <v>48221</v>
      </c>
      <c r="U1571" t="s">
        <v>50118</v>
      </c>
      <c r="W1571" t="s">
        <v>43303</v>
      </c>
      <c r="X1571" t="s">
        <v>46572</v>
      </c>
    </row>
    <row r="1572" spans="1:24">
      <c r="A1572">
        <f>HYPERLINK("https://www.philgeps.gov.ph/GEPSNONPILOT/Tender/SplashBidNoticeAbstractUI.aspx?menuIndex=3&amp;refID=7066267&amp;Result=3","7066267")</f>
        <v>0</v>
      </c>
      <c r="B1572" t="s">
        <v>24</v>
      </c>
      <c r="C1572" t="s">
        <v>5055</v>
      </c>
      <c r="D1572" t="s">
        <v>18781</v>
      </c>
      <c r="E1572" t="s">
        <v>20339</v>
      </c>
      <c r="F1572" t="s">
        <v>32664</v>
      </c>
      <c r="G1572" t="s">
        <v>32671</v>
      </c>
      <c r="H1572" t="s">
        <v>12635</v>
      </c>
      <c r="I1572" t="s">
        <v>5589</v>
      </c>
      <c r="J1572" t="s">
        <v>33981</v>
      </c>
      <c r="K1572" t="s">
        <v>42281</v>
      </c>
      <c r="M1572" t="s">
        <v>42586</v>
      </c>
      <c r="N1572" t="s">
        <v>46569</v>
      </c>
      <c r="O1572" t="s">
        <v>46570</v>
      </c>
      <c r="P1572">
        <v>0</v>
      </c>
      <c r="Q1572">
        <v>3</v>
      </c>
      <c r="R1572" t="s">
        <v>46571</v>
      </c>
      <c r="S1572" t="s">
        <v>46687</v>
      </c>
      <c r="T1572" t="s">
        <v>48211</v>
      </c>
      <c r="U1572" t="s">
        <v>50119</v>
      </c>
      <c r="W1572" t="s">
        <v>42586</v>
      </c>
      <c r="X1572" t="s">
        <v>46572</v>
      </c>
    </row>
    <row r="1573" spans="1:24">
      <c r="A1573">
        <f>HYPERLINK("https://www.philgeps.gov.ph/GEPSNONPILOT/Tender/SplashBidNoticeAbstractUI.aspx?menuIndex=3&amp;refID=7066265&amp;Result=3","7066265")</f>
        <v>0</v>
      </c>
      <c r="B1573" t="s">
        <v>664</v>
      </c>
      <c r="C1573" t="s">
        <v>5056</v>
      </c>
      <c r="D1573" t="s">
        <v>18842</v>
      </c>
      <c r="E1573" t="s">
        <v>20340</v>
      </c>
      <c r="F1573" t="s">
        <v>32664</v>
      </c>
      <c r="G1573" t="s">
        <v>32671</v>
      </c>
      <c r="H1573" t="s">
        <v>12635</v>
      </c>
      <c r="I1573" t="s">
        <v>8730</v>
      </c>
      <c r="J1573" t="s">
        <v>33128</v>
      </c>
      <c r="K1573" t="s">
        <v>42283</v>
      </c>
      <c r="M1573" t="s">
        <v>43251</v>
      </c>
      <c r="N1573" t="s">
        <v>46569</v>
      </c>
      <c r="O1573" t="s">
        <v>46570</v>
      </c>
      <c r="P1573">
        <v>0</v>
      </c>
      <c r="Q1573">
        <v>1</v>
      </c>
      <c r="R1573" t="s">
        <v>46571</v>
      </c>
      <c r="S1573" t="s">
        <v>46687</v>
      </c>
      <c r="T1573" t="s">
        <v>48244</v>
      </c>
      <c r="U1573" t="s">
        <v>50120</v>
      </c>
      <c r="W1573" t="s">
        <v>43251</v>
      </c>
      <c r="X1573" t="s">
        <v>46572</v>
      </c>
    </row>
    <row r="1574" spans="1:24">
      <c r="A1574">
        <f>HYPERLINK("https://www.philgeps.gov.ph/GEPSNONPILOT/Tender/SplashBidNoticeAbstractUI.aspx?menuIndex=3&amp;refID=7066264&amp;Result=3","7066264")</f>
        <v>0</v>
      </c>
      <c r="B1574" t="s">
        <v>709</v>
      </c>
      <c r="C1574" t="s">
        <v>5057</v>
      </c>
      <c r="D1574" t="s">
        <v>18784</v>
      </c>
      <c r="E1574" t="s">
        <v>19732</v>
      </c>
      <c r="F1574" t="s">
        <v>32664</v>
      </c>
      <c r="G1574" t="s">
        <v>32672</v>
      </c>
      <c r="H1574" t="s">
        <v>12635</v>
      </c>
      <c r="I1574" t="s">
        <v>32685</v>
      </c>
      <c r="J1574" t="s">
        <v>33982</v>
      </c>
      <c r="K1574" t="s">
        <v>42284</v>
      </c>
      <c r="M1574" t="s">
        <v>43296</v>
      </c>
      <c r="N1574" t="s">
        <v>46569</v>
      </c>
      <c r="O1574" t="s">
        <v>46570</v>
      </c>
      <c r="P1574">
        <v>0</v>
      </c>
      <c r="Q1574">
        <v>0</v>
      </c>
      <c r="R1574" t="s">
        <v>46571</v>
      </c>
      <c r="S1574" t="s">
        <v>46687</v>
      </c>
      <c r="T1574" t="s">
        <v>48226</v>
      </c>
      <c r="U1574" t="s">
        <v>50121</v>
      </c>
      <c r="W1574" t="s">
        <v>43296</v>
      </c>
      <c r="X1574" t="s">
        <v>46572</v>
      </c>
    </row>
    <row r="1575" spans="1:24">
      <c r="A1575">
        <f>HYPERLINK("https://www.philgeps.gov.ph/GEPSNONPILOT/Tender/SplashBidNoticeAbstractUI.aspx?menuIndex=3&amp;refID=7066224&amp;Result=3","7066224")</f>
        <v>0</v>
      </c>
      <c r="B1575" t="s">
        <v>717</v>
      </c>
      <c r="C1575" t="s">
        <v>5058</v>
      </c>
      <c r="D1575" t="s">
        <v>18826</v>
      </c>
      <c r="E1575" t="s">
        <v>19202</v>
      </c>
      <c r="F1575" t="s">
        <v>32664</v>
      </c>
      <c r="G1575" t="s">
        <v>32672</v>
      </c>
      <c r="H1575" t="s">
        <v>32683</v>
      </c>
      <c r="I1575" t="s">
        <v>10627</v>
      </c>
      <c r="J1575" t="s">
        <v>33983</v>
      </c>
      <c r="K1575" t="s">
        <v>42281</v>
      </c>
      <c r="M1575" t="s">
        <v>43304</v>
      </c>
      <c r="N1575" t="s">
        <v>46569</v>
      </c>
      <c r="O1575" t="s">
        <v>46570</v>
      </c>
      <c r="P1575">
        <v>0</v>
      </c>
      <c r="Q1575">
        <v>0</v>
      </c>
      <c r="R1575" t="s">
        <v>46571</v>
      </c>
      <c r="S1575" t="s">
        <v>46687</v>
      </c>
      <c r="T1575" t="s">
        <v>48292</v>
      </c>
      <c r="U1575" t="s">
        <v>50122</v>
      </c>
      <c r="W1575" t="s">
        <v>43304</v>
      </c>
      <c r="X1575" t="s">
        <v>46572</v>
      </c>
    </row>
    <row r="1576" spans="1:24">
      <c r="A1576">
        <f>HYPERLINK("https://www.philgeps.gov.ph/GEPSNONPILOT/Tender/SplashBidNoticeAbstractUI.aspx?menuIndex=3&amp;refID=7066268&amp;Result=3","7066268")</f>
        <v>0</v>
      </c>
      <c r="B1576" t="s">
        <v>718</v>
      </c>
      <c r="C1576" t="s">
        <v>5059</v>
      </c>
      <c r="D1576" t="s">
        <v>18837</v>
      </c>
      <c r="E1576" t="s">
        <v>20341</v>
      </c>
      <c r="F1576" t="s">
        <v>32664</v>
      </c>
      <c r="G1576" t="s">
        <v>32672</v>
      </c>
      <c r="H1576" t="s">
        <v>32681</v>
      </c>
      <c r="I1576" t="s">
        <v>32681</v>
      </c>
      <c r="J1576" t="s">
        <v>33984</v>
      </c>
      <c r="K1576" t="s">
        <v>42333</v>
      </c>
      <c r="M1576" t="s">
        <v>43305</v>
      </c>
      <c r="N1576" t="s">
        <v>46569</v>
      </c>
      <c r="O1576" t="s">
        <v>46570</v>
      </c>
      <c r="P1576">
        <v>0</v>
      </c>
      <c r="Q1576">
        <v>4</v>
      </c>
      <c r="R1576" t="s">
        <v>46571</v>
      </c>
      <c r="S1576" t="s">
        <v>46687</v>
      </c>
      <c r="T1576" t="s">
        <v>48230</v>
      </c>
      <c r="U1576" t="s">
        <v>50123</v>
      </c>
      <c r="W1576" t="s">
        <v>43305</v>
      </c>
      <c r="X1576" t="s">
        <v>46572</v>
      </c>
    </row>
    <row r="1577" spans="1:24">
      <c r="A1577">
        <f>HYPERLINK("https://www.philgeps.gov.ph/GEPSNONPILOT/Tender/SplashBidNoticeAbstractUI.aspx?menuIndex=3&amp;refID=7066261&amp;Result=3","7066261")</f>
        <v>0</v>
      </c>
      <c r="B1577" t="s">
        <v>216</v>
      </c>
      <c r="C1577" t="s">
        <v>5060</v>
      </c>
      <c r="D1577" t="s">
        <v>18797</v>
      </c>
      <c r="E1577" t="s">
        <v>20342</v>
      </c>
      <c r="F1577" t="s">
        <v>32664</v>
      </c>
      <c r="G1577" t="s">
        <v>32672</v>
      </c>
      <c r="H1577" t="s">
        <v>32683</v>
      </c>
      <c r="I1577" t="s">
        <v>10627</v>
      </c>
      <c r="J1577" t="s">
        <v>32984</v>
      </c>
      <c r="K1577" t="s">
        <v>42309</v>
      </c>
      <c r="M1577" t="s">
        <v>42780</v>
      </c>
      <c r="N1577" t="s">
        <v>46569</v>
      </c>
      <c r="O1577" t="s">
        <v>46570</v>
      </c>
      <c r="P1577">
        <v>0</v>
      </c>
      <c r="Q1577">
        <v>0</v>
      </c>
      <c r="R1577" t="s">
        <v>46571</v>
      </c>
      <c r="S1577" t="s">
        <v>46687</v>
      </c>
      <c r="T1577" t="s">
        <v>48225</v>
      </c>
      <c r="U1577" t="s">
        <v>50124</v>
      </c>
      <c r="V1577" t="s">
        <v>61799</v>
      </c>
      <c r="W1577" t="s">
        <v>42780</v>
      </c>
      <c r="X1577" t="s">
        <v>46572</v>
      </c>
    </row>
    <row r="1578" spans="1:24">
      <c r="A1578">
        <f>HYPERLINK("https://www.philgeps.gov.ph/GEPSNONPILOT/Tender/SplashBidNoticeAbstractUI.aspx?menuIndex=3&amp;refID=7066294&amp;Result=3","7066294")</f>
        <v>0</v>
      </c>
      <c r="B1578" t="s">
        <v>689</v>
      </c>
      <c r="C1578" t="s">
        <v>5061</v>
      </c>
      <c r="D1578" t="s">
        <v>18800</v>
      </c>
      <c r="E1578" t="s">
        <v>20343</v>
      </c>
      <c r="F1578" t="s">
        <v>32664</v>
      </c>
      <c r="G1578" t="s">
        <v>32671</v>
      </c>
      <c r="H1578" t="s">
        <v>12635</v>
      </c>
      <c r="I1578" t="s">
        <v>8797</v>
      </c>
      <c r="J1578" t="s">
        <v>33985</v>
      </c>
      <c r="K1578" t="s">
        <v>42281</v>
      </c>
      <c r="M1578" t="s">
        <v>43276</v>
      </c>
      <c r="N1578" t="s">
        <v>46569</v>
      </c>
      <c r="O1578" t="s">
        <v>46570</v>
      </c>
      <c r="P1578">
        <v>0</v>
      </c>
      <c r="Q1578">
        <v>2</v>
      </c>
      <c r="R1578" t="s">
        <v>46571</v>
      </c>
      <c r="S1578" t="s">
        <v>46687</v>
      </c>
      <c r="T1578" t="s">
        <v>48293</v>
      </c>
      <c r="U1578" t="s">
        <v>50125</v>
      </c>
      <c r="V1578" t="s">
        <v>61795</v>
      </c>
      <c r="W1578" t="s">
        <v>43276</v>
      </c>
      <c r="X1578" t="s">
        <v>46572</v>
      </c>
    </row>
    <row r="1579" spans="1:24">
      <c r="A1579">
        <f>HYPERLINK("https://www.philgeps.gov.ph/GEPSNONPILOT/Tender/SplashBidNoticeAbstractUI.aspx?menuIndex=3&amp;refID=7066263&amp;Result=3","7066263")</f>
        <v>0</v>
      </c>
      <c r="B1579" t="s">
        <v>719</v>
      </c>
      <c r="C1579" t="s">
        <v>5062</v>
      </c>
      <c r="D1579" t="s">
        <v>18812</v>
      </c>
      <c r="E1579" t="s">
        <v>20344</v>
      </c>
      <c r="F1579" t="s">
        <v>32664</v>
      </c>
      <c r="G1579" t="s">
        <v>32671</v>
      </c>
      <c r="H1579" t="s">
        <v>12635</v>
      </c>
      <c r="I1579" t="s">
        <v>9486</v>
      </c>
      <c r="J1579" t="s">
        <v>33986</v>
      </c>
      <c r="K1579" t="s">
        <v>42284</v>
      </c>
      <c r="M1579" t="s">
        <v>43306</v>
      </c>
      <c r="N1579" t="s">
        <v>46569</v>
      </c>
      <c r="O1579" t="s">
        <v>46570</v>
      </c>
      <c r="P1579">
        <v>0</v>
      </c>
      <c r="Q1579">
        <v>0</v>
      </c>
      <c r="R1579" t="s">
        <v>46571</v>
      </c>
      <c r="S1579" t="s">
        <v>46687</v>
      </c>
      <c r="T1579" t="s">
        <v>48230</v>
      </c>
      <c r="U1579" t="s">
        <v>50126</v>
      </c>
      <c r="W1579" t="s">
        <v>43306</v>
      </c>
      <c r="X1579" t="s">
        <v>46572</v>
      </c>
    </row>
    <row r="1580" spans="1:24">
      <c r="A1580">
        <f>HYPERLINK("https://www.philgeps.gov.ph/GEPSNONPILOT/Tender/SplashBidNoticeAbstractUI.aspx?menuIndex=3&amp;refID=7066262&amp;Result=3","7066262")</f>
        <v>0</v>
      </c>
      <c r="B1580" t="s">
        <v>689</v>
      </c>
      <c r="C1580" t="s">
        <v>5063</v>
      </c>
      <c r="D1580" t="s">
        <v>18800</v>
      </c>
      <c r="E1580" t="s">
        <v>20345</v>
      </c>
      <c r="F1580" t="s">
        <v>32664</v>
      </c>
      <c r="G1580" t="s">
        <v>32671</v>
      </c>
      <c r="H1580" t="s">
        <v>12635</v>
      </c>
      <c r="I1580" t="s">
        <v>10370</v>
      </c>
      <c r="J1580" t="s">
        <v>33987</v>
      </c>
      <c r="K1580" t="s">
        <v>42281</v>
      </c>
      <c r="M1580" t="s">
        <v>43276</v>
      </c>
      <c r="N1580" t="s">
        <v>46569</v>
      </c>
      <c r="O1580" t="s">
        <v>46570</v>
      </c>
      <c r="P1580">
        <v>0</v>
      </c>
      <c r="Q1580">
        <v>1</v>
      </c>
      <c r="R1580" t="s">
        <v>46571</v>
      </c>
      <c r="S1580" t="s">
        <v>46687</v>
      </c>
      <c r="T1580" t="s">
        <v>48293</v>
      </c>
      <c r="U1580" t="s">
        <v>50127</v>
      </c>
      <c r="V1580" t="s">
        <v>61795</v>
      </c>
      <c r="W1580" t="s">
        <v>43276</v>
      </c>
      <c r="X1580" t="s">
        <v>46572</v>
      </c>
    </row>
    <row r="1581" spans="1:24">
      <c r="A1581">
        <f>HYPERLINK("https://www.philgeps.gov.ph/GEPSNONPILOT/Tender/SplashBidNoticeAbstractUI.aspx?menuIndex=3&amp;refID=7066292&amp;Result=3","7066292")</f>
        <v>0</v>
      </c>
      <c r="B1581" t="s">
        <v>473</v>
      </c>
      <c r="C1581" t="s">
        <v>5064</v>
      </c>
      <c r="D1581" t="s">
        <v>18791</v>
      </c>
      <c r="E1581" t="s">
        <v>20346</v>
      </c>
      <c r="F1581" t="s">
        <v>32664</v>
      </c>
      <c r="G1581" t="s">
        <v>32671</v>
      </c>
      <c r="H1581" t="s">
        <v>12635</v>
      </c>
      <c r="I1581" t="s">
        <v>6223</v>
      </c>
      <c r="J1581" t="s">
        <v>33988</v>
      </c>
      <c r="K1581" t="s">
        <v>42289</v>
      </c>
      <c r="M1581" t="s">
        <v>43048</v>
      </c>
      <c r="N1581" t="s">
        <v>46569</v>
      </c>
      <c r="O1581" t="s">
        <v>46570</v>
      </c>
      <c r="P1581">
        <v>0</v>
      </c>
      <c r="Q1581">
        <v>1</v>
      </c>
      <c r="R1581" t="s">
        <v>46571</v>
      </c>
      <c r="S1581" t="s">
        <v>46687</v>
      </c>
      <c r="T1581" t="s">
        <v>48301</v>
      </c>
      <c r="U1581" t="s">
        <v>49623</v>
      </c>
      <c r="W1581" t="s">
        <v>43048</v>
      </c>
      <c r="X1581" t="s">
        <v>46572</v>
      </c>
    </row>
    <row r="1582" spans="1:24">
      <c r="A1582">
        <f>HYPERLINK("https://www.philgeps.gov.ph/GEPSNONPILOT/Tender/SplashBidNoticeAbstractUI.aspx?menuIndex=3&amp;refID=7066260&amp;Result=3","7066260")</f>
        <v>0</v>
      </c>
      <c r="B1582" t="s">
        <v>531</v>
      </c>
      <c r="C1582" t="s">
        <v>5065</v>
      </c>
      <c r="D1582" t="s">
        <v>18793</v>
      </c>
      <c r="E1582" t="s">
        <v>20347</v>
      </c>
      <c r="F1582" t="s">
        <v>32664</v>
      </c>
      <c r="G1582" t="s">
        <v>32672</v>
      </c>
      <c r="H1582" t="s">
        <v>12635</v>
      </c>
      <c r="I1582" t="s">
        <v>6223</v>
      </c>
      <c r="J1582" t="s">
        <v>32962</v>
      </c>
      <c r="K1582" t="s">
        <v>42281</v>
      </c>
      <c r="M1582" t="s">
        <v>43109</v>
      </c>
      <c r="N1582" t="s">
        <v>46569</v>
      </c>
      <c r="O1582" t="s">
        <v>46570</v>
      </c>
      <c r="P1582">
        <v>0</v>
      </c>
      <c r="Q1582">
        <v>0</v>
      </c>
      <c r="R1582" t="s">
        <v>46571</v>
      </c>
      <c r="S1582" t="s">
        <v>46687</v>
      </c>
      <c r="T1582" t="s">
        <v>48240</v>
      </c>
      <c r="U1582" t="s">
        <v>50128</v>
      </c>
      <c r="W1582" t="s">
        <v>43109</v>
      </c>
      <c r="X1582" t="s">
        <v>46572</v>
      </c>
    </row>
    <row r="1583" spans="1:24">
      <c r="A1583">
        <f>HYPERLINK("https://www.philgeps.gov.ph/GEPSNONPILOT/Tender/SplashBidNoticeAbstractUI.aspx?menuIndex=3&amp;refID=7066290&amp;Result=3","7066290")</f>
        <v>0</v>
      </c>
      <c r="B1583" t="s">
        <v>220</v>
      </c>
      <c r="C1583" t="s">
        <v>5066</v>
      </c>
      <c r="D1583" t="s">
        <v>18788</v>
      </c>
      <c r="E1583" t="s">
        <v>19641</v>
      </c>
      <c r="F1583" t="s">
        <v>32664</v>
      </c>
      <c r="G1583" t="s">
        <v>32672</v>
      </c>
      <c r="H1583" t="s">
        <v>12635</v>
      </c>
      <c r="I1583" t="s">
        <v>4439</v>
      </c>
      <c r="J1583" t="s">
        <v>33989</v>
      </c>
      <c r="K1583" t="s">
        <v>42297</v>
      </c>
      <c r="L1583" t="s">
        <v>220</v>
      </c>
      <c r="M1583" t="s">
        <v>42784</v>
      </c>
      <c r="N1583" t="s">
        <v>46569</v>
      </c>
      <c r="O1583" t="s">
        <v>46570</v>
      </c>
      <c r="P1583">
        <v>0</v>
      </c>
      <c r="Q1583">
        <v>0</v>
      </c>
      <c r="R1583" t="s">
        <v>46571</v>
      </c>
      <c r="S1583" t="s">
        <v>46687</v>
      </c>
      <c r="T1583" t="s">
        <v>48308</v>
      </c>
      <c r="U1583" t="s">
        <v>49167</v>
      </c>
      <c r="W1583" t="s">
        <v>42784</v>
      </c>
      <c r="X1583" t="s">
        <v>46572</v>
      </c>
    </row>
    <row r="1584" spans="1:24">
      <c r="A1584">
        <f>HYPERLINK("https://www.philgeps.gov.ph/GEPSNONPILOT/Tender/SplashBidNoticeAbstractUI.aspx?menuIndex=3&amp;refID=7066293&amp;Result=3","7066293")</f>
        <v>0</v>
      </c>
      <c r="B1584" t="s">
        <v>529</v>
      </c>
      <c r="C1584" t="s">
        <v>5067</v>
      </c>
      <c r="E1584" t="s">
        <v>20348</v>
      </c>
      <c r="F1584" t="s">
        <v>32664</v>
      </c>
      <c r="G1584" t="s">
        <v>32671</v>
      </c>
      <c r="H1584" t="s">
        <v>12635</v>
      </c>
      <c r="I1584" t="s">
        <v>32762</v>
      </c>
      <c r="J1584" t="s">
        <v>32929</v>
      </c>
      <c r="K1584" t="s">
        <v>42283</v>
      </c>
      <c r="M1584" t="s">
        <v>43116</v>
      </c>
      <c r="N1584" t="s">
        <v>46569</v>
      </c>
      <c r="O1584" t="s">
        <v>46570</v>
      </c>
      <c r="P1584">
        <v>0</v>
      </c>
      <c r="Q1584">
        <v>0</v>
      </c>
      <c r="R1584" t="s">
        <v>46571</v>
      </c>
      <c r="S1584" t="s">
        <v>46687</v>
      </c>
      <c r="T1584" t="s">
        <v>48331</v>
      </c>
      <c r="U1584" t="s">
        <v>50129</v>
      </c>
      <c r="V1584" t="s">
        <v>61748</v>
      </c>
      <c r="W1584" t="s">
        <v>43116</v>
      </c>
      <c r="X1584" t="s">
        <v>46572</v>
      </c>
    </row>
    <row r="1585" spans="1:24">
      <c r="A1585">
        <f>HYPERLINK("https://www.philgeps.gov.ph/GEPSNONPILOT/Tender/SplashBidNoticeAbstractUI.aspx?menuIndex=3&amp;refID=7066287&amp;Result=3","7066287")</f>
        <v>0</v>
      </c>
      <c r="B1585" t="s">
        <v>253</v>
      </c>
      <c r="C1585" t="s">
        <v>5068</v>
      </c>
      <c r="D1585" t="s">
        <v>18790</v>
      </c>
      <c r="E1585" t="s">
        <v>20349</v>
      </c>
      <c r="F1585" t="s">
        <v>32664</v>
      </c>
      <c r="G1585" t="s">
        <v>32671</v>
      </c>
      <c r="H1585" t="s">
        <v>12635</v>
      </c>
      <c r="I1585" t="s">
        <v>32712</v>
      </c>
      <c r="J1585" t="s">
        <v>33250</v>
      </c>
      <c r="K1585" t="s">
        <v>42283</v>
      </c>
      <c r="M1585" t="s">
        <v>42851</v>
      </c>
      <c r="N1585" t="s">
        <v>46569</v>
      </c>
      <c r="O1585" t="s">
        <v>46570</v>
      </c>
      <c r="P1585">
        <v>0</v>
      </c>
      <c r="Q1585">
        <v>0</v>
      </c>
      <c r="R1585" t="s">
        <v>46571</v>
      </c>
      <c r="S1585" t="s">
        <v>46687</v>
      </c>
      <c r="T1585" t="s">
        <v>48283</v>
      </c>
      <c r="U1585" t="s">
        <v>50130</v>
      </c>
      <c r="W1585" t="s">
        <v>42851</v>
      </c>
      <c r="X1585" t="s">
        <v>46572</v>
      </c>
    </row>
    <row r="1586" spans="1:24">
      <c r="A1586">
        <f>HYPERLINK("https://www.philgeps.gov.ph/GEPSNONPILOT/Tender/SplashBidNoticeAbstractUI.aspx?menuIndex=3&amp;refID=7066291&amp;Result=3","7066291")</f>
        <v>0</v>
      </c>
      <c r="B1586" t="s">
        <v>678</v>
      </c>
      <c r="C1586" t="s">
        <v>5069</v>
      </c>
      <c r="E1586" t="s">
        <v>20350</v>
      </c>
      <c r="F1586" t="s">
        <v>32664</v>
      </c>
      <c r="G1586" t="s">
        <v>32671</v>
      </c>
      <c r="H1586" t="s">
        <v>12635</v>
      </c>
      <c r="I1586" t="s">
        <v>32685</v>
      </c>
      <c r="J1586" t="s">
        <v>33990</v>
      </c>
      <c r="K1586" t="s">
        <v>42283</v>
      </c>
      <c r="M1586" t="s">
        <v>43265</v>
      </c>
      <c r="N1586" t="s">
        <v>46569</v>
      </c>
      <c r="O1586" t="s">
        <v>46570</v>
      </c>
      <c r="P1586">
        <v>0</v>
      </c>
      <c r="Q1586">
        <v>0</v>
      </c>
      <c r="R1586" t="s">
        <v>46571</v>
      </c>
      <c r="S1586" t="s">
        <v>46687</v>
      </c>
      <c r="T1586" t="s">
        <v>48312</v>
      </c>
      <c r="U1586" t="s">
        <v>50131</v>
      </c>
      <c r="W1586" t="s">
        <v>43265</v>
      </c>
      <c r="X1586" t="s">
        <v>46572</v>
      </c>
    </row>
    <row r="1587" spans="1:24">
      <c r="A1587">
        <f>HYPERLINK("https://www.philgeps.gov.ph/GEPSNONPILOT/Tender/SplashBidNoticeAbstractUI.aspx?menuIndex=3&amp;refID=7066285&amp;Result=3","7066285")</f>
        <v>0</v>
      </c>
      <c r="B1587" t="s">
        <v>720</v>
      </c>
      <c r="C1587" t="s">
        <v>5070</v>
      </c>
      <c r="D1587" t="s">
        <v>18784</v>
      </c>
      <c r="E1587" t="s">
        <v>20351</v>
      </c>
      <c r="F1587" t="s">
        <v>32664</v>
      </c>
      <c r="G1587" t="s">
        <v>32671</v>
      </c>
      <c r="H1587" t="s">
        <v>12635</v>
      </c>
      <c r="I1587" t="s">
        <v>32704</v>
      </c>
      <c r="J1587" t="s">
        <v>33267</v>
      </c>
      <c r="K1587" t="s">
        <v>42284</v>
      </c>
      <c r="M1587" t="s">
        <v>43307</v>
      </c>
      <c r="N1587" t="s">
        <v>46569</v>
      </c>
      <c r="O1587" t="s">
        <v>46570</v>
      </c>
      <c r="P1587">
        <v>0</v>
      </c>
      <c r="Q1587">
        <v>7</v>
      </c>
      <c r="R1587" t="s">
        <v>46571</v>
      </c>
      <c r="S1587" t="s">
        <v>46687</v>
      </c>
      <c r="T1587" t="s">
        <v>48312</v>
      </c>
      <c r="U1587" t="s">
        <v>50132</v>
      </c>
      <c r="W1587" t="s">
        <v>43307</v>
      </c>
      <c r="X1587" t="s">
        <v>46572</v>
      </c>
    </row>
    <row r="1588" spans="1:24">
      <c r="A1588">
        <f>HYPERLINK("https://www.philgeps.gov.ph/GEPSNONPILOT/Tender/SplashBidNoticeAbstractUI.aspx?menuIndex=3&amp;refID=7066269&amp;Result=3","7066269")</f>
        <v>0</v>
      </c>
      <c r="B1588" t="s">
        <v>721</v>
      </c>
      <c r="C1588" t="s">
        <v>5071</v>
      </c>
      <c r="D1588" t="s">
        <v>18860</v>
      </c>
      <c r="E1588" t="s">
        <v>20352</v>
      </c>
      <c r="F1588" t="s">
        <v>32664</v>
      </c>
      <c r="G1588" t="s">
        <v>32674</v>
      </c>
      <c r="H1588" t="s">
        <v>12635</v>
      </c>
      <c r="I1588" t="s">
        <v>4439</v>
      </c>
      <c r="J1588" t="s">
        <v>33991</v>
      </c>
      <c r="K1588" t="s">
        <v>42281</v>
      </c>
      <c r="M1588" t="s">
        <v>43308</v>
      </c>
      <c r="N1588" t="s">
        <v>46569</v>
      </c>
      <c r="O1588" t="s">
        <v>46570</v>
      </c>
      <c r="P1588">
        <v>0</v>
      </c>
      <c r="Q1588">
        <v>0</v>
      </c>
      <c r="R1588" t="s">
        <v>46571</v>
      </c>
      <c r="S1588" t="s">
        <v>46687</v>
      </c>
      <c r="T1588" t="s">
        <v>48221</v>
      </c>
      <c r="U1588" t="s">
        <v>50133</v>
      </c>
      <c r="W1588" t="s">
        <v>43308</v>
      </c>
      <c r="X1588" t="s">
        <v>46572</v>
      </c>
    </row>
    <row r="1589" spans="1:24">
      <c r="A1589">
        <f>HYPERLINK("https://www.philgeps.gov.ph/GEPSNONPILOT/Tender/SplashBidNoticeAbstractUI.aspx?menuIndex=3&amp;refID=7066270&amp;Result=3","7066270")</f>
        <v>0</v>
      </c>
      <c r="B1589" t="s">
        <v>722</v>
      </c>
      <c r="C1589" t="s">
        <v>5072</v>
      </c>
      <c r="D1589" t="s">
        <v>18816</v>
      </c>
      <c r="E1589" t="s">
        <v>20353</v>
      </c>
      <c r="F1589" t="s">
        <v>32664</v>
      </c>
      <c r="G1589" t="s">
        <v>32674</v>
      </c>
      <c r="H1589" t="s">
        <v>12635</v>
      </c>
      <c r="I1589" t="s">
        <v>32706</v>
      </c>
      <c r="J1589" t="s">
        <v>33992</v>
      </c>
      <c r="K1589" t="s">
        <v>42289</v>
      </c>
      <c r="M1589" t="s">
        <v>43309</v>
      </c>
      <c r="N1589" t="s">
        <v>46569</v>
      </c>
      <c r="O1589" t="s">
        <v>46570</v>
      </c>
      <c r="P1589">
        <v>0</v>
      </c>
      <c r="Q1589">
        <v>0</v>
      </c>
      <c r="R1589" t="s">
        <v>46571</v>
      </c>
      <c r="S1589" t="s">
        <v>46687</v>
      </c>
      <c r="T1589" t="s">
        <v>48221</v>
      </c>
      <c r="U1589" t="s">
        <v>50134</v>
      </c>
      <c r="W1589" t="s">
        <v>43309</v>
      </c>
      <c r="X1589" t="s">
        <v>46572</v>
      </c>
    </row>
    <row r="1590" spans="1:24">
      <c r="A1590">
        <f>HYPERLINK("https://www.philgeps.gov.ph/GEPSNONPILOT/Tender/SplashBidNoticeAbstractUI.aspx?menuIndex=3&amp;refID=7066281&amp;Result=3","7066281")</f>
        <v>0</v>
      </c>
      <c r="B1590" t="s">
        <v>689</v>
      </c>
      <c r="C1590" t="s">
        <v>5073</v>
      </c>
      <c r="D1590" t="s">
        <v>18800</v>
      </c>
      <c r="E1590" t="s">
        <v>20354</v>
      </c>
      <c r="F1590" t="s">
        <v>32664</v>
      </c>
      <c r="G1590" t="s">
        <v>32671</v>
      </c>
      <c r="H1590" t="s">
        <v>12635</v>
      </c>
      <c r="I1590" t="s">
        <v>32711</v>
      </c>
      <c r="J1590" t="s">
        <v>33993</v>
      </c>
      <c r="K1590" t="s">
        <v>42281</v>
      </c>
      <c r="M1590" t="s">
        <v>43276</v>
      </c>
      <c r="N1590" t="s">
        <v>46569</v>
      </c>
      <c r="O1590" t="s">
        <v>46570</v>
      </c>
      <c r="P1590">
        <v>0</v>
      </c>
      <c r="Q1590">
        <v>0</v>
      </c>
      <c r="R1590" t="s">
        <v>46571</v>
      </c>
      <c r="S1590" t="s">
        <v>46687</v>
      </c>
      <c r="T1590" t="s">
        <v>48293</v>
      </c>
      <c r="U1590" t="s">
        <v>50135</v>
      </c>
      <c r="V1590" t="s">
        <v>61795</v>
      </c>
      <c r="W1590" t="s">
        <v>43276</v>
      </c>
      <c r="X1590" t="s">
        <v>46572</v>
      </c>
    </row>
    <row r="1591" spans="1:24">
      <c r="A1591">
        <f>HYPERLINK("https://www.philgeps.gov.ph/GEPSNONPILOT/Tender/SplashBidNoticeAbstractUI.aspx?menuIndex=3&amp;refID=7066280&amp;Result=3","7066280")</f>
        <v>0</v>
      </c>
      <c r="B1591" t="s">
        <v>253</v>
      </c>
      <c r="C1591" t="s">
        <v>5074</v>
      </c>
      <c r="D1591" t="s">
        <v>18790</v>
      </c>
      <c r="E1591" t="s">
        <v>20355</v>
      </c>
      <c r="F1591" t="s">
        <v>32664</v>
      </c>
      <c r="G1591" t="s">
        <v>32671</v>
      </c>
      <c r="H1591" t="s">
        <v>12635</v>
      </c>
      <c r="I1591" t="s">
        <v>32750</v>
      </c>
      <c r="J1591" t="s">
        <v>33021</v>
      </c>
      <c r="K1591" t="s">
        <v>42283</v>
      </c>
      <c r="M1591" t="s">
        <v>42851</v>
      </c>
      <c r="N1591" t="s">
        <v>46569</v>
      </c>
      <c r="O1591" t="s">
        <v>46570</v>
      </c>
      <c r="P1591">
        <v>0</v>
      </c>
      <c r="Q1591">
        <v>0</v>
      </c>
      <c r="R1591" t="s">
        <v>46571</v>
      </c>
      <c r="S1591" t="s">
        <v>46687</v>
      </c>
      <c r="T1591" t="s">
        <v>48283</v>
      </c>
      <c r="U1591" t="s">
        <v>50136</v>
      </c>
      <c r="W1591" t="s">
        <v>42851</v>
      </c>
      <c r="X1591" t="s">
        <v>46572</v>
      </c>
    </row>
    <row r="1592" spans="1:24">
      <c r="A1592">
        <f>HYPERLINK("https://www.philgeps.gov.ph/GEPSNONPILOT/Tender/SplashBidNoticeAbstractUI.aspx?menuIndex=3&amp;refID=7066278&amp;Result=3","7066278")</f>
        <v>0</v>
      </c>
      <c r="B1592" t="s">
        <v>709</v>
      </c>
      <c r="C1592" t="s">
        <v>5075</v>
      </c>
      <c r="D1592" t="s">
        <v>18784</v>
      </c>
      <c r="E1592" t="s">
        <v>20356</v>
      </c>
      <c r="F1592" t="s">
        <v>32664</v>
      </c>
      <c r="G1592" t="s">
        <v>32672</v>
      </c>
      <c r="H1592" t="s">
        <v>12635</v>
      </c>
      <c r="I1592" t="s">
        <v>6628</v>
      </c>
      <c r="J1592" t="s">
        <v>32929</v>
      </c>
      <c r="K1592" t="s">
        <v>42284</v>
      </c>
      <c r="M1592" t="s">
        <v>43296</v>
      </c>
      <c r="N1592" t="s">
        <v>46569</v>
      </c>
      <c r="O1592" t="s">
        <v>46570</v>
      </c>
      <c r="P1592">
        <v>0</v>
      </c>
      <c r="Q1592">
        <v>1</v>
      </c>
      <c r="R1592" t="s">
        <v>46571</v>
      </c>
      <c r="S1592" t="s">
        <v>46687</v>
      </c>
      <c r="T1592" t="s">
        <v>48226</v>
      </c>
      <c r="U1592" t="s">
        <v>50137</v>
      </c>
      <c r="W1592" t="s">
        <v>43296</v>
      </c>
      <c r="X1592" t="s">
        <v>46572</v>
      </c>
    </row>
    <row r="1593" spans="1:24">
      <c r="A1593">
        <f>HYPERLINK("https://www.philgeps.gov.ph/GEPSNONPILOT/Tender/SplashBidNoticeAbstractUI.aspx?menuIndex=3&amp;refID=7066288&amp;Result=3","7066288")</f>
        <v>0</v>
      </c>
      <c r="B1593" t="s">
        <v>723</v>
      </c>
      <c r="C1593" t="s">
        <v>5076</v>
      </c>
      <c r="D1593" t="s">
        <v>18784</v>
      </c>
      <c r="E1593" t="s">
        <v>20357</v>
      </c>
      <c r="F1593" t="s">
        <v>32664</v>
      </c>
      <c r="G1593" t="s">
        <v>32672</v>
      </c>
      <c r="H1593" t="s">
        <v>12635</v>
      </c>
      <c r="I1593" t="s">
        <v>6223</v>
      </c>
      <c r="J1593" t="s">
        <v>33267</v>
      </c>
      <c r="K1593" t="s">
        <v>42281</v>
      </c>
      <c r="M1593" t="s">
        <v>43310</v>
      </c>
      <c r="N1593" t="s">
        <v>46569</v>
      </c>
      <c r="O1593" t="s">
        <v>46570</v>
      </c>
      <c r="P1593">
        <v>0</v>
      </c>
      <c r="Q1593">
        <v>0</v>
      </c>
      <c r="R1593" t="s">
        <v>46571</v>
      </c>
      <c r="S1593" t="s">
        <v>46687</v>
      </c>
      <c r="T1593" t="s">
        <v>48248</v>
      </c>
      <c r="U1593" t="s">
        <v>50138</v>
      </c>
      <c r="W1593" t="s">
        <v>43310</v>
      </c>
      <c r="X1593" t="s">
        <v>46572</v>
      </c>
    </row>
    <row r="1594" spans="1:24">
      <c r="A1594">
        <f>HYPERLINK("https://www.philgeps.gov.ph/GEPSNONPILOT/Tender/SplashBidNoticeAbstractUI.aspx?menuIndex=3&amp;refID=7066283&amp;Result=3","7066283")</f>
        <v>0</v>
      </c>
      <c r="B1594" t="s">
        <v>724</v>
      </c>
      <c r="C1594" t="s">
        <v>5077</v>
      </c>
      <c r="D1594" t="s">
        <v>18781</v>
      </c>
      <c r="E1594" t="s">
        <v>20358</v>
      </c>
      <c r="F1594" t="s">
        <v>32664</v>
      </c>
      <c r="G1594" t="s">
        <v>32672</v>
      </c>
      <c r="H1594" t="s">
        <v>32683</v>
      </c>
      <c r="I1594" t="s">
        <v>10627</v>
      </c>
      <c r="J1594" t="s">
        <v>33165</v>
      </c>
      <c r="K1594" t="s">
        <v>42303</v>
      </c>
      <c r="M1594" t="s">
        <v>43311</v>
      </c>
      <c r="N1594" t="s">
        <v>46569</v>
      </c>
      <c r="O1594" t="s">
        <v>46570</v>
      </c>
      <c r="P1594">
        <v>0</v>
      </c>
      <c r="Q1594">
        <v>0</v>
      </c>
      <c r="R1594" t="s">
        <v>46571</v>
      </c>
      <c r="S1594" t="s">
        <v>46687</v>
      </c>
      <c r="T1594" t="s">
        <v>48236</v>
      </c>
      <c r="U1594" t="s">
        <v>50139</v>
      </c>
      <c r="W1594" t="s">
        <v>43311</v>
      </c>
      <c r="X1594" t="s">
        <v>46572</v>
      </c>
    </row>
    <row r="1595" spans="1:24">
      <c r="A1595">
        <f>HYPERLINK("https://www.philgeps.gov.ph/GEPSNONPILOT/Tender/SplashBidNoticeAbstractUI.aspx?menuIndex=3&amp;refID=7066282&amp;Result=3","7066282")</f>
        <v>0</v>
      </c>
      <c r="B1595" t="s">
        <v>473</v>
      </c>
      <c r="C1595" t="s">
        <v>5064</v>
      </c>
      <c r="D1595" t="s">
        <v>18791</v>
      </c>
      <c r="E1595" t="s">
        <v>20359</v>
      </c>
      <c r="F1595" t="s">
        <v>32664</v>
      </c>
      <c r="G1595" t="s">
        <v>32671</v>
      </c>
      <c r="H1595" t="s">
        <v>12635</v>
      </c>
      <c r="I1595" t="s">
        <v>6223</v>
      </c>
      <c r="J1595" t="s">
        <v>33994</v>
      </c>
      <c r="K1595" t="s">
        <v>42289</v>
      </c>
      <c r="M1595" t="s">
        <v>43048</v>
      </c>
      <c r="N1595" t="s">
        <v>46569</v>
      </c>
      <c r="O1595" t="s">
        <v>46570</v>
      </c>
      <c r="P1595">
        <v>0</v>
      </c>
      <c r="Q1595">
        <v>1</v>
      </c>
      <c r="R1595" t="s">
        <v>46571</v>
      </c>
      <c r="S1595" t="s">
        <v>46687</v>
      </c>
      <c r="T1595" t="s">
        <v>48397</v>
      </c>
      <c r="U1595" t="s">
        <v>49623</v>
      </c>
      <c r="W1595" t="s">
        <v>43048</v>
      </c>
      <c r="X1595" t="s">
        <v>46572</v>
      </c>
    </row>
    <row r="1596" spans="1:24">
      <c r="A1596">
        <f>HYPERLINK("https://www.philgeps.gov.ph/GEPSNONPILOT/Tender/SplashBidNoticeAbstractUI.aspx?menuIndex=3&amp;refID=7066274&amp;Result=3","7066274")</f>
        <v>0</v>
      </c>
      <c r="B1596" t="s">
        <v>725</v>
      </c>
      <c r="C1596" t="s">
        <v>5078</v>
      </c>
      <c r="D1596" t="s">
        <v>18842</v>
      </c>
      <c r="E1596" t="s">
        <v>20360</v>
      </c>
      <c r="F1596" t="s">
        <v>32664</v>
      </c>
      <c r="G1596" t="s">
        <v>32671</v>
      </c>
      <c r="H1596" t="s">
        <v>12635</v>
      </c>
      <c r="I1596" t="s">
        <v>5589</v>
      </c>
      <c r="J1596" t="s">
        <v>33995</v>
      </c>
      <c r="K1596" t="s">
        <v>42297</v>
      </c>
      <c r="M1596" t="s">
        <v>43312</v>
      </c>
      <c r="N1596" t="s">
        <v>46569</v>
      </c>
      <c r="O1596" t="s">
        <v>46570</v>
      </c>
      <c r="P1596">
        <v>0</v>
      </c>
      <c r="Q1596">
        <v>3</v>
      </c>
      <c r="R1596" t="s">
        <v>46571</v>
      </c>
      <c r="S1596" t="s">
        <v>46687</v>
      </c>
      <c r="T1596" t="s">
        <v>48280</v>
      </c>
      <c r="U1596" t="s">
        <v>50140</v>
      </c>
      <c r="W1596" t="s">
        <v>43312</v>
      </c>
      <c r="X1596" t="s">
        <v>46572</v>
      </c>
    </row>
    <row r="1597" spans="1:24">
      <c r="A1597">
        <f>HYPERLINK("https://www.philgeps.gov.ph/GEPSNONPILOT/Tender/SplashBidNoticeAbstractUI.aspx?menuIndex=3&amp;refID=7066273&amp;Result=3","7066273")</f>
        <v>0</v>
      </c>
      <c r="B1597" t="s">
        <v>678</v>
      </c>
      <c r="C1597" t="s">
        <v>5079</v>
      </c>
      <c r="E1597" t="s">
        <v>20361</v>
      </c>
      <c r="F1597" t="s">
        <v>32664</v>
      </c>
      <c r="G1597" t="s">
        <v>32671</v>
      </c>
      <c r="H1597" t="s">
        <v>12635</v>
      </c>
      <c r="I1597" t="s">
        <v>6223</v>
      </c>
      <c r="J1597" t="s">
        <v>33996</v>
      </c>
      <c r="K1597" t="s">
        <v>42283</v>
      </c>
      <c r="M1597" t="s">
        <v>43265</v>
      </c>
      <c r="N1597" t="s">
        <v>46569</v>
      </c>
      <c r="O1597" t="s">
        <v>46570</v>
      </c>
      <c r="P1597">
        <v>0</v>
      </c>
      <c r="Q1597">
        <v>0</v>
      </c>
      <c r="R1597" t="s">
        <v>46571</v>
      </c>
      <c r="S1597" t="s">
        <v>46687</v>
      </c>
      <c r="T1597" t="s">
        <v>48312</v>
      </c>
      <c r="U1597" t="s">
        <v>50141</v>
      </c>
      <c r="W1597" t="s">
        <v>43265</v>
      </c>
      <c r="X1597" t="s">
        <v>46572</v>
      </c>
    </row>
    <row r="1598" spans="1:24">
      <c r="A1598">
        <f>HYPERLINK("https://www.philgeps.gov.ph/GEPSNONPILOT/Tender/SplashBidNoticeAbstractUI.aspx?menuIndex=3&amp;refID=7066272&amp;Result=3","7066272")</f>
        <v>0</v>
      </c>
      <c r="B1598" t="s">
        <v>633</v>
      </c>
      <c r="C1598" t="s">
        <v>5080</v>
      </c>
      <c r="D1598" t="s">
        <v>18814</v>
      </c>
      <c r="E1598" t="s">
        <v>20362</v>
      </c>
      <c r="F1598" t="s">
        <v>32664</v>
      </c>
      <c r="G1598" t="s">
        <v>32674</v>
      </c>
      <c r="H1598" t="s">
        <v>12635</v>
      </c>
      <c r="I1598" t="s">
        <v>32694</v>
      </c>
      <c r="J1598" t="s">
        <v>33997</v>
      </c>
      <c r="K1598" t="s">
        <v>42306</v>
      </c>
      <c r="M1598" t="s">
        <v>43216</v>
      </c>
      <c r="N1598" t="s">
        <v>46569</v>
      </c>
      <c r="O1598" t="s">
        <v>46570</v>
      </c>
      <c r="P1598">
        <v>0</v>
      </c>
      <c r="Q1598">
        <v>0</v>
      </c>
      <c r="R1598" t="s">
        <v>46571</v>
      </c>
      <c r="S1598" t="s">
        <v>46687</v>
      </c>
      <c r="T1598" t="s">
        <v>48221</v>
      </c>
      <c r="U1598" t="s">
        <v>50142</v>
      </c>
      <c r="W1598" t="s">
        <v>43216</v>
      </c>
      <c r="X1598" t="s">
        <v>46572</v>
      </c>
    </row>
    <row r="1599" spans="1:24">
      <c r="A1599">
        <f>HYPERLINK("https://www.philgeps.gov.ph/GEPSNONPILOT/Tender/SplashBidNoticeAbstractUI.aspx?menuIndex=3&amp;refID=7066295&amp;Result=3","7066295")</f>
        <v>0</v>
      </c>
      <c r="B1599" t="s">
        <v>709</v>
      </c>
      <c r="C1599" t="s">
        <v>5081</v>
      </c>
      <c r="D1599" t="s">
        <v>18784</v>
      </c>
      <c r="E1599" t="s">
        <v>20363</v>
      </c>
      <c r="F1599" t="s">
        <v>32664</v>
      </c>
      <c r="G1599" t="s">
        <v>32672</v>
      </c>
      <c r="H1599" t="s">
        <v>12635</v>
      </c>
      <c r="I1599" t="s">
        <v>32684</v>
      </c>
      <c r="J1599" t="s">
        <v>33167</v>
      </c>
      <c r="K1599" t="s">
        <v>42284</v>
      </c>
      <c r="M1599" t="s">
        <v>43296</v>
      </c>
      <c r="N1599" t="s">
        <v>46569</v>
      </c>
      <c r="O1599" t="s">
        <v>46570</v>
      </c>
      <c r="P1599">
        <v>0</v>
      </c>
      <c r="Q1599">
        <v>6</v>
      </c>
      <c r="R1599" t="s">
        <v>46571</v>
      </c>
      <c r="S1599" t="s">
        <v>46687</v>
      </c>
      <c r="T1599" t="s">
        <v>48226</v>
      </c>
      <c r="U1599" t="s">
        <v>50143</v>
      </c>
      <c r="W1599" t="s">
        <v>43296</v>
      </c>
      <c r="X1599" t="s">
        <v>46572</v>
      </c>
    </row>
    <row r="1600" spans="1:24">
      <c r="A1600">
        <f>HYPERLINK("https://www.philgeps.gov.ph/GEPSNONPILOT/Tender/SplashBidNoticeAbstractUI.aspx?menuIndex=3&amp;refID=7066317&amp;Result=3","7066317")</f>
        <v>0</v>
      </c>
      <c r="B1600" t="s">
        <v>629</v>
      </c>
      <c r="C1600" t="s">
        <v>5082</v>
      </c>
      <c r="D1600" t="s">
        <v>18782</v>
      </c>
      <c r="E1600" t="s">
        <v>20364</v>
      </c>
      <c r="F1600" t="s">
        <v>32664</v>
      </c>
      <c r="G1600" t="s">
        <v>32671</v>
      </c>
      <c r="H1600" t="s">
        <v>12635</v>
      </c>
      <c r="I1600" t="s">
        <v>6168</v>
      </c>
      <c r="J1600" t="s">
        <v>33998</v>
      </c>
      <c r="K1600" t="s">
        <v>42284</v>
      </c>
      <c r="M1600" t="s">
        <v>43313</v>
      </c>
      <c r="N1600" t="s">
        <v>46569</v>
      </c>
      <c r="O1600" t="s">
        <v>46570</v>
      </c>
      <c r="P1600">
        <v>0</v>
      </c>
      <c r="Q1600">
        <v>0</v>
      </c>
      <c r="R1600" t="s">
        <v>46571</v>
      </c>
      <c r="S1600" t="s">
        <v>46687</v>
      </c>
      <c r="T1600" t="s">
        <v>48280</v>
      </c>
      <c r="U1600" t="s">
        <v>50144</v>
      </c>
      <c r="W1600" t="s">
        <v>43313</v>
      </c>
      <c r="X1600" t="s">
        <v>46572</v>
      </c>
    </row>
    <row r="1601" spans="1:24">
      <c r="A1601">
        <f>HYPERLINK("https://www.philgeps.gov.ph/GEPSNONPILOT/Tender/SplashBidNoticeAbstractUI.aspx?menuIndex=3&amp;refID=7066316&amp;Result=3","7066316")</f>
        <v>0</v>
      </c>
      <c r="B1601" t="s">
        <v>726</v>
      </c>
      <c r="C1601" t="s">
        <v>5083</v>
      </c>
      <c r="D1601" t="s">
        <v>18784</v>
      </c>
      <c r="E1601" t="s">
        <v>20365</v>
      </c>
      <c r="F1601" t="s">
        <v>32664</v>
      </c>
      <c r="G1601" t="s">
        <v>32672</v>
      </c>
      <c r="H1601" t="s">
        <v>12635</v>
      </c>
      <c r="I1601" t="s">
        <v>6223</v>
      </c>
      <c r="J1601" t="s">
        <v>33863</v>
      </c>
      <c r="K1601" t="s">
        <v>42284</v>
      </c>
      <c r="M1601" t="s">
        <v>43314</v>
      </c>
      <c r="N1601" t="s">
        <v>46569</v>
      </c>
      <c r="O1601" t="s">
        <v>46570</v>
      </c>
      <c r="P1601">
        <v>0</v>
      </c>
      <c r="Q1601">
        <v>0</v>
      </c>
      <c r="R1601" t="s">
        <v>46571</v>
      </c>
      <c r="S1601" t="s">
        <v>46687</v>
      </c>
      <c r="T1601" t="s">
        <v>48230</v>
      </c>
      <c r="U1601" t="s">
        <v>50145</v>
      </c>
      <c r="W1601" t="s">
        <v>43314</v>
      </c>
      <c r="X1601" t="s">
        <v>46572</v>
      </c>
    </row>
    <row r="1602" spans="1:24">
      <c r="A1602">
        <f>HYPERLINK("https://www.philgeps.gov.ph/GEPSNONPILOT/Tender/SplashBidNoticeAbstractUI.aspx?menuIndex=3&amp;refID=7066225&amp;Result=3","7066225")</f>
        <v>0</v>
      </c>
      <c r="B1602" t="s">
        <v>194</v>
      </c>
      <c r="C1602" t="s">
        <v>5084</v>
      </c>
      <c r="D1602" t="s">
        <v>18791</v>
      </c>
      <c r="E1602" t="s">
        <v>20366</v>
      </c>
      <c r="F1602" t="s">
        <v>32664</v>
      </c>
      <c r="G1602" t="s">
        <v>32672</v>
      </c>
      <c r="H1602" t="s">
        <v>32683</v>
      </c>
      <c r="I1602" t="s">
        <v>10627</v>
      </c>
      <c r="J1602" t="s">
        <v>33999</v>
      </c>
      <c r="K1602" t="s">
        <v>42364</v>
      </c>
      <c r="M1602" t="s">
        <v>43230</v>
      </c>
      <c r="N1602" t="s">
        <v>46569</v>
      </c>
      <c r="O1602" t="s">
        <v>46570</v>
      </c>
      <c r="P1602">
        <v>0</v>
      </c>
      <c r="Q1602">
        <v>0</v>
      </c>
      <c r="R1602" t="s">
        <v>46571</v>
      </c>
      <c r="S1602" t="s">
        <v>46687</v>
      </c>
      <c r="T1602" t="s">
        <v>48272</v>
      </c>
      <c r="U1602" t="s">
        <v>49996</v>
      </c>
      <c r="W1602" t="s">
        <v>43230</v>
      </c>
      <c r="X1602" t="s">
        <v>46572</v>
      </c>
    </row>
    <row r="1603" spans="1:24">
      <c r="A1603">
        <f>HYPERLINK("https://www.philgeps.gov.ph/GEPSNONPILOT/Tender/SplashBidNoticeAbstractUI.aspx?menuIndex=3&amp;refID=7066312&amp;Result=3","7066312")</f>
        <v>0</v>
      </c>
      <c r="B1603" t="s">
        <v>727</v>
      </c>
      <c r="C1603" t="s">
        <v>5085</v>
      </c>
      <c r="D1603" t="s">
        <v>18834</v>
      </c>
      <c r="E1603" t="s">
        <v>19533</v>
      </c>
      <c r="F1603" t="s">
        <v>32664</v>
      </c>
      <c r="G1603" t="s">
        <v>32672</v>
      </c>
      <c r="H1603" t="s">
        <v>32683</v>
      </c>
      <c r="I1603" t="s">
        <v>10627</v>
      </c>
      <c r="J1603" t="s">
        <v>34000</v>
      </c>
      <c r="K1603" t="s">
        <v>42349</v>
      </c>
      <c r="M1603" t="s">
        <v>43315</v>
      </c>
      <c r="N1603" t="s">
        <v>46569</v>
      </c>
      <c r="O1603" t="s">
        <v>46570</v>
      </c>
      <c r="P1603">
        <v>0</v>
      </c>
      <c r="Q1603">
        <v>0</v>
      </c>
      <c r="R1603" t="s">
        <v>46571</v>
      </c>
      <c r="S1603" t="s">
        <v>46687</v>
      </c>
      <c r="T1603" t="s">
        <v>48398</v>
      </c>
      <c r="U1603" t="s">
        <v>50146</v>
      </c>
      <c r="W1603" t="s">
        <v>43315</v>
      </c>
      <c r="X1603" t="s">
        <v>46572</v>
      </c>
    </row>
    <row r="1604" spans="1:24">
      <c r="A1604">
        <f>HYPERLINK("https://www.philgeps.gov.ph/GEPSNONPILOT/Tender/SplashBidNoticeAbstractUI.aspx?menuIndex=3&amp;refID=7066289&amp;Result=3","7066289")</f>
        <v>0</v>
      </c>
      <c r="B1604" t="s">
        <v>708</v>
      </c>
      <c r="C1604" t="s">
        <v>5086</v>
      </c>
      <c r="D1604" t="s">
        <v>18792</v>
      </c>
      <c r="E1604" t="s">
        <v>20367</v>
      </c>
      <c r="F1604" t="s">
        <v>32664</v>
      </c>
      <c r="G1604" t="s">
        <v>32671</v>
      </c>
      <c r="H1604" t="s">
        <v>12635</v>
      </c>
      <c r="I1604" t="s">
        <v>32685</v>
      </c>
      <c r="J1604" t="s">
        <v>34001</v>
      </c>
      <c r="K1604" t="s">
        <v>42289</v>
      </c>
      <c r="M1604" t="s">
        <v>43295</v>
      </c>
      <c r="N1604" t="s">
        <v>46569</v>
      </c>
      <c r="O1604" t="s">
        <v>46570</v>
      </c>
      <c r="P1604">
        <v>0</v>
      </c>
      <c r="Q1604">
        <v>0</v>
      </c>
      <c r="R1604" t="s">
        <v>46571</v>
      </c>
      <c r="S1604" t="s">
        <v>46687</v>
      </c>
      <c r="T1604" t="s">
        <v>48228</v>
      </c>
      <c r="U1604" t="s">
        <v>50147</v>
      </c>
      <c r="W1604" t="s">
        <v>43295</v>
      </c>
      <c r="X1604" t="s">
        <v>46572</v>
      </c>
    </row>
    <row r="1605" spans="1:24">
      <c r="A1605">
        <f>HYPERLINK("https://www.philgeps.gov.ph/GEPSNONPILOT/Tender/SplashBidNoticeAbstractUI.aspx?menuIndex=3&amp;refID=7066311&amp;Result=3","7066311")</f>
        <v>0</v>
      </c>
      <c r="B1605" t="s">
        <v>673</v>
      </c>
      <c r="C1605" t="s">
        <v>5087</v>
      </c>
      <c r="D1605" t="s">
        <v>18799</v>
      </c>
      <c r="E1605" t="s">
        <v>20368</v>
      </c>
      <c r="F1605" t="s">
        <v>32664</v>
      </c>
      <c r="G1605" t="s">
        <v>32671</v>
      </c>
      <c r="H1605" t="s">
        <v>12635</v>
      </c>
      <c r="I1605" t="s">
        <v>10361</v>
      </c>
      <c r="J1605" t="s">
        <v>34002</v>
      </c>
      <c r="K1605" t="s">
        <v>42283</v>
      </c>
      <c r="M1605" t="s">
        <v>43260</v>
      </c>
      <c r="N1605" t="s">
        <v>46569</v>
      </c>
      <c r="O1605" t="s">
        <v>46570</v>
      </c>
      <c r="P1605">
        <v>0</v>
      </c>
      <c r="Q1605">
        <v>0</v>
      </c>
      <c r="R1605" t="s">
        <v>46571</v>
      </c>
      <c r="S1605" t="s">
        <v>46687</v>
      </c>
      <c r="T1605" t="s">
        <v>48245</v>
      </c>
      <c r="U1605" t="s">
        <v>50050</v>
      </c>
      <c r="W1605" t="s">
        <v>43260</v>
      </c>
      <c r="X1605" t="s">
        <v>46572</v>
      </c>
    </row>
    <row r="1606" spans="1:24">
      <c r="A1606">
        <f>HYPERLINK("https://www.philgeps.gov.ph/GEPSNONPILOT/Tender/SplashBidNoticeAbstractUI.aspx?menuIndex=3&amp;refID=7066309&amp;Result=3","7066309")</f>
        <v>0</v>
      </c>
      <c r="B1606" t="s">
        <v>27</v>
      </c>
      <c r="C1606" t="s">
        <v>5088</v>
      </c>
      <c r="E1606" t="s">
        <v>20369</v>
      </c>
      <c r="F1606" t="s">
        <v>32664</v>
      </c>
      <c r="G1606" t="s">
        <v>32671</v>
      </c>
      <c r="H1606" t="s">
        <v>12635</v>
      </c>
      <c r="I1606" t="s">
        <v>7759</v>
      </c>
      <c r="J1606" t="s">
        <v>34003</v>
      </c>
      <c r="K1606" t="s">
        <v>42283</v>
      </c>
      <c r="M1606" t="s">
        <v>43316</v>
      </c>
      <c r="N1606" t="s">
        <v>46569</v>
      </c>
      <c r="O1606" t="s">
        <v>46570</v>
      </c>
      <c r="P1606">
        <v>0</v>
      </c>
      <c r="Q1606">
        <v>3</v>
      </c>
      <c r="R1606" t="s">
        <v>46571</v>
      </c>
      <c r="S1606" t="s">
        <v>46687</v>
      </c>
      <c r="T1606" t="s">
        <v>48217</v>
      </c>
      <c r="U1606" t="s">
        <v>50148</v>
      </c>
      <c r="W1606" t="s">
        <v>43316</v>
      </c>
      <c r="X1606" t="s">
        <v>46572</v>
      </c>
    </row>
    <row r="1607" spans="1:24">
      <c r="A1607">
        <f>HYPERLINK("https://www.philgeps.gov.ph/GEPSNONPILOT/Tender/SplashBidNoticeAbstractUI.aspx?menuIndex=3&amp;refID=7066284&amp;Result=3","7066284")</f>
        <v>0</v>
      </c>
      <c r="B1607" t="s">
        <v>709</v>
      </c>
      <c r="C1607" t="s">
        <v>5089</v>
      </c>
      <c r="D1607" t="s">
        <v>18784</v>
      </c>
      <c r="E1607" t="s">
        <v>20370</v>
      </c>
      <c r="F1607" t="s">
        <v>32664</v>
      </c>
      <c r="G1607" t="s">
        <v>32672</v>
      </c>
      <c r="H1607" t="s">
        <v>12635</v>
      </c>
      <c r="I1607" t="s">
        <v>11464</v>
      </c>
      <c r="J1607" t="s">
        <v>32859</v>
      </c>
      <c r="K1607" t="s">
        <v>42284</v>
      </c>
      <c r="M1607" t="s">
        <v>43296</v>
      </c>
      <c r="N1607" t="s">
        <v>46569</v>
      </c>
      <c r="O1607" t="s">
        <v>46570</v>
      </c>
      <c r="P1607">
        <v>0</v>
      </c>
      <c r="Q1607">
        <v>0</v>
      </c>
      <c r="R1607" t="s">
        <v>46571</v>
      </c>
      <c r="S1607" t="s">
        <v>46687</v>
      </c>
      <c r="T1607" t="s">
        <v>48226</v>
      </c>
      <c r="U1607" t="s">
        <v>50149</v>
      </c>
      <c r="W1607" t="s">
        <v>43296</v>
      </c>
      <c r="X1607" t="s">
        <v>46572</v>
      </c>
    </row>
    <row r="1608" spans="1:24">
      <c r="A1608">
        <f>HYPERLINK("https://www.philgeps.gov.ph/GEPSNONPILOT/Tender/SplashBidNoticeAbstractUI.aspx?menuIndex=3&amp;refID=7066313&amp;Result=3","7066313")</f>
        <v>0</v>
      </c>
      <c r="B1608" t="s">
        <v>693</v>
      </c>
      <c r="C1608" t="s">
        <v>5090</v>
      </c>
      <c r="D1608" t="s">
        <v>18819</v>
      </c>
      <c r="E1608" t="s">
        <v>20371</v>
      </c>
      <c r="F1608" t="s">
        <v>32664</v>
      </c>
      <c r="G1608" t="s">
        <v>32672</v>
      </c>
      <c r="H1608" t="s">
        <v>12635</v>
      </c>
      <c r="I1608" t="s">
        <v>32691</v>
      </c>
      <c r="J1608" t="s">
        <v>34004</v>
      </c>
      <c r="K1608" t="s">
        <v>42355</v>
      </c>
      <c r="M1608" t="s">
        <v>43280</v>
      </c>
      <c r="N1608" t="s">
        <v>46569</v>
      </c>
      <c r="O1608" t="s">
        <v>46570</v>
      </c>
      <c r="P1608">
        <v>0</v>
      </c>
      <c r="Q1608">
        <v>0</v>
      </c>
      <c r="R1608" t="s">
        <v>46571</v>
      </c>
      <c r="S1608" t="s">
        <v>46687</v>
      </c>
      <c r="T1608" t="s">
        <v>48211</v>
      </c>
      <c r="U1608" t="s">
        <v>50150</v>
      </c>
      <c r="W1608" t="s">
        <v>43280</v>
      </c>
      <c r="X1608" t="s">
        <v>46572</v>
      </c>
    </row>
    <row r="1609" spans="1:24">
      <c r="A1609">
        <f>HYPERLINK("https://www.philgeps.gov.ph/GEPSNONPILOT/Tender/SplashBidNoticeAbstractUI.aspx?menuIndex=3&amp;refID=7066308&amp;Result=3","7066308")</f>
        <v>0</v>
      </c>
      <c r="B1609" t="s">
        <v>253</v>
      </c>
      <c r="C1609" t="s">
        <v>5091</v>
      </c>
      <c r="D1609" t="s">
        <v>18790</v>
      </c>
      <c r="E1609" t="s">
        <v>20372</v>
      </c>
      <c r="F1609" t="s">
        <v>32664</v>
      </c>
      <c r="G1609" t="s">
        <v>32674</v>
      </c>
      <c r="H1609" t="s">
        <v>12635</v>
      </c>
      <c r="I1609" t="s">
        <v>6168</v>
      </c>
      <c r="J1609" t="s">
        <v>34005</v>
      </c>
      <c r="K1609" t="s">
        <v>42283</v>
      </c>
      <c r="M1609" t="s">
        <v>42851</v>
      </c>
      <c r="N1609" t="s">
        <v>46569</v>
      </c>
      <c r="O1609" t="s">
        <v>46570</v>
      </c>
      <c r="P1609">
        <v>0</v>
      </c>
      <c r="Q1609">
        <v>0</v>
      </c>
      <c r="R1609" t="s">
        <v>46571</v>
      </c>
      <c r="S1609" t="s">
        <v>46687</v>
      </c>
      <c r="T1609" t="s">
        <v>48283</v>
      </c>
      <c r="U1609" t="s">
        <v>50151</v>
      </c>
      <c r="W1609" t="s">
        <v>42851</v>
      </c>
      <c r="X1609" t="s">
        <v>46572</v>
      </c>
    </row>
    <row r="1610" spans="1:24">
      <c r="A1610">
        <f>HYPERLINK("https://www.philgeps.gov.ph/GEPSNONPILOT/Tender/SplashBidNoticeAbstractUI.aspx?menuIndex=3&amp;refID=7066304&amp;Result=3","7066304")</f>
        <v>0</v>
      </c>
      <c r="B1610" t="s">
        <v>705</v>
      </c>
      <c r="C1610" t="s">
        <v>5092</v>
      </c>
      <c r="D1610" t="s">
        <v>18789</v>
      </c>
      <c r="E1610" t="s">
        <v>20373</v>
      </c>
      <c r="F1610" t="s">
        <v>32664</v>
      </c>
      <c r="G1610" t="s">
        <v>32671</v>
      </c>
      <c r="H1610" t="s">
        <v>12635</v>
      </c>
      <c r="I1610" t="s">
        <v>32696</v>
      </c>
      <c r="J1610" t="s">
        <v>34006</v>
      </c>
      <c r="K1610" t="s">
        <v>42283</v>
      </c>
      <c r="M1610" t="s">
        <v>43292</v>
      </c>
      <c r="N1610" t="s">
        <v>46569</v>
      </c>
      <c r="O1610" t="s">
        <v>46570</v>
      </c>
      <c r="P1610">
        <v>0</v>
      </c>
      <c r="Q1610">
        <v>1</v>
      </c>
      <c r="R1610" t="s">
        <v>46571</v>
      </c>
      <c r="S1610" t="s">
        <v>46687</v>
      </c>
      <c r="T1610" t="s">
        <v>48245</v>
      </c>
      <c r="U1610" t="s">
        <v>50104</v>
      </c>
      <c r="W1610" t="s">
        <v>43292</v>
      </c>
      <c r="X1610" t="s">
        <v>46572</v>
      </c>
    </row>
    <row r="1611" spans="1:24">
      <c r="A1611">
        <f>HYPERLINK("https://www.philgeps.gov.ph/GEPSNONPILOT/Tender/SplashBidNoticeAbstractUI.aspx?menuIndex=3&amp;refID=7066279&amp;Result=3","7066279")</f>
        <v>0</v>
      </c>
      <c r="B1611" t="s">
        <v>728</v>
      </c>
      <c r="C1611" t="s">
        <v>5093</v>
      </c>
      <c r="D1611" t="s">
        <v>18831</v>
      </c>
      <c r="E1611" t="s">
        <v>20374</v>
      </c>
      <c r="F1611" t="s">
        <v>32664</v>
      </c>
      <c r="G1611" t="s">
        <v>32672</v>
      </c>
      <c r="H1611" t="s">
        <v>12635</v>
      </c>
      <c r="I1611" t="s">
        <v>14442</v>
      </c>
      <c r="J1611" t="s">
        <v>34007</v>
      </c>
      <c r="K1611" t="s">
        <v>42284</v>
      </c>
      <c r="M1611" t="s">
        <v>43317</v>
      </c>
      <c r="N1611" t="s">
        <v>46569</v>
      </c>
      <c r="O1611" t="s">
        <v>46570</v>
      </c>
      <c r="P1611">
        <v>0</v>
      </c>
      <c r="Q1611">
        <v>1</v>
      </c>
      <c r="R1611" t="s">
        <v>46571</v>
      </c>
      <c r="S1611" t="s">
        <v>46687</v>
      </c>
      <c r="T1611" t="s">
        <v>48399</v>
      </c>
      <c r="U1611" t="s">
        <v>50152</v>
      </c>
      <c r="W1611" t="s">
        <v>43317</v>
      </c>
      <c r="X1611" t="s">
        <v>46572</v>
      </c>
    </row>
    <row r="1612" spans="1:24">
      <c r="A1612">
        <f>HYPERLINK("https://www.philgeps.gov.ph/GEPSNONPILOT/Tender/SplashBidNoticeAbstractUI.aspx?menuIndex=3&amp;refID=7066310&amp;Result=3","7066310")</f>
        <v>0</v>
      </c>
      <c r="B1612" t="s">
        <v>729</v>
      </c>
      <c r="C1612" t="s">
        <v>5094</v>
      </c>
      <c r="D1612" t="s">
        <v>18818</v>
      </c>
      <c r="E1612" t="s">
        <v>19533</v>
      </c>
      <c r="F1612" t="s">
        <v>32664</v>
      </c>
      <c r="G1612" t="s">
        <v>32671</v>
      </c>
      <c r="H1612" t="s">
        <v>12635</v>
      </c>
      <c r="I1612" t="s">
        <v>8730</v>
      </c>
      <c r="J1612" t="s">
        <v>32959</v>
      </c>
      <c r="K1612" t="s">
        <v>42289</v>
      </c>
      <c r="M1612" t="s">
        <v>43318</v>
      </c>
      <c r="N1612" t="s">
        <v>46569</v>
      </c>
      <c r="O1612" t="s">
        <v>46570</v>
      </c>
      <c r="P1612">
        <v>0</v>
      </c>
      <c r="Q1612">
        <v>2</v>
      </c>
      <c r="R1612" t="s">
        <v>46571</v>
      </c>
      <c r="S1612" t="s">
        <v>46687</v>
      </c>
      <c r="T1612" t="s">
        <v>48244</v>
      </c>
      <c r="U1612" t="s">
        <v>50153</v>
      </c>
      <c r="W1612" t="s">
        <v>43318</v>
      </c>
      <c r="X1612" t="s">
        <v>46572</v>
      </c>
    </row>
    <row r="1613" spans="1:24">
      <c r="A1613">
        <f>HYPERLINK("https://www.philgeps.gov.ph/GEPSNONPILOT/Tender/SplashBidNoticeAbstractUI.aspx?menuIndex=3&amp;refID=7066277&amp;Result=3","7066277")</f>
        <v>0</v>
      </c>
      <c r="B1613" t="s">
        <v>730</v>
      </c>
      <c r="C1613" t="s">
        <v>5095</v>
      </c>
      <c r="D1613" t="s">
        <v>18822</v>
      </c>
      <c r="E1613" t="s">
        <v>20375</v>
      </c>
      <c r="F1613" t="s">
        <v>32664</v>
      </c>
      <c r="G1613" t="s">
        <v>32671</v>
      </c>
      <c r="H1613" t="s">
        <v>12635</v>
      </c>
      <c r="I1613" t="s">
        <v>10590</v>
      </c>
      <c r="J1613" t="s">
        <v>34008</v>
      </c>
      <c r="K1613" t="s">
        <v>42295</v>
      </c>
      <c r="M1613" t="s">
        <v>43319</v>
      </c>
      <c r="N1613" t="s">
        <v>46569</v>
      </c>
      <c r="O1613" t="s">
        <v>46570</v>
      </c>
      <c r="P1613">
        <v>0</v>
      </c>
      <c r="Q1613">
        <v>0</v>
      </c>
      <c r="R1613" t="s">
        <v>46571</v>
      </c>
      <c r="S1613" t="s">
        <v>46687</v>
      </c>
      <c r="T1613" t="s">
        <v>48221</v>
      </c>
      <c r="U1613" t="s">
        <v>50154</v>
      </c>
      <c r="W1613" t="s">
        <v>43319</v>
      </c>
      <c r="X1613" t="s">
        <v>46572</v>
      </c>
    </row>
    <row r="1614" spans="1:24">
      <c r="A1614">
        <f>HYPERLINK("https://www.philgeps.gov.ph/GEPSNONPILOT/Tender/SplashBidNoticeAbstractUI.aspx?menuIndex=3&amp;refID=7066301&amp;Result=3","7066301")</f>
        <v>0</v>
      </c>
      <c r="B1614" t="s">
        <v>731</v>
      </c>
      <c r="C1614" t="s">
        <v>5096</v>
      </c>
      <c r="D1614" t="s">
        <v>18851</v>
      </c>
      <c r="E1614" t="s">
        <v>20376</v>
      </c>
      <c r="F1614" t="s">
        <v>32664</v>
      </c>
      <c r="G1614" t="s">
        <v>32671</v>
      </c>
      <c r="H1614" t="s">
        <v>12635</v>
      </c>
      <c r="I1614" t="s">
        <v>4439</v>
      </c>
      <c r="J1614" t="s">
        <v>34009</v>
      </c>
      <c r="K1614" t="s">
        <v>42289</v>
      </c>
      <c r="M1614" t="s">
        <v>43320</v>
      </c>
      <c r="N1614" t="s">
        <v>46569</v>
      </c>
      <c r="O1614" t="s">
        <v>46570</v>
      </c>
      <c r="P1614">
        <v>0</v>
      </c>
      <c r="Q1614">
        <v>0</v>
      </c>
      <c r="R1614" t="s">
        <v>46571</v>
      </c>
      <c r="S1614" t="s">
        <v>46687</v>
      </c>
      <c r="T1614" t="s">
        <v>48221</v>
      </c>
      <c r="U1614" t="s">
        <v>50155</v>
      </c>
      <c r="W1614" t="s">
        <v>43320</v>
      </c>
      <c r="X1614" t="s">
        <v>46572</v>
      </c>
    </row>
    <row r="1615" spans="1:24">
      <c r="A1615">
        <f>HYPERLINK("https://www.philgeps.gov.ph/GEPSNONPILOT/Tender/SplashBidNoticeAbstractUI.aspx?menuIndex=3&amp;refID=7066299&amp;Result=3","7066299")</f>
        <v>0</v>
      </c>
      <c r="B1615" t="s">
        <v>690</v>
      </c>
      <c r="C1615" t="s">
        <v>5097</v>
      </c>
      <c r="D1615" t="s">
        <v>18781</v>
      </c>
      <c r="E1615" t="s">
        <v>20377</v>
      </c>
      <c r="F1615" t="s">
        <v>32664</v>
      </c>
      <c r="G1615" t="s">
        <v>32672</v>
      </c>
      <c r="H1615" t="s">
        <v>12635</v>
      </c>
      <c r="I1615" t="s">
        <v>10627</v>
      </c>
      <c r="J1615" t="s">
        <v>33946</v>
      </c>
      <c r="K1615" t="s">
        <v>42345</v>
      </c>
      <c r="L1615" t="s">
        <v>690</v>
      </c>
      <c r="M1615" t="s">
        <v>43277</v>
      </c>
      <c r="N1615" t="s">
        <v>46569</v>
      </c>
      <c r="O1615" t="s">
        <v>46570</v>
      </c>
      <c r="P1615">
        <v>0</v>
      </c>
      <c r="Q1615">
        <v>0</v>
      </c>
      <c r="R1615" t="s">
        <v>46571</v>
      </c>
      <c r="S1615" t="s">
        <v>46687</v>
      </c>
      <c r="T1615" t="s">
        <v>48360</v>
      </c>
      <c r="U1615" t="s">
        <v>50079</v>
      </c>
      <c r="W1615" t="s">
        <v>43277</v>
      </c>
      <c r="X1615" t="s">
        <v>46572</v>
      </c>
    </row>
    <row r="1616" spans="1:24">
      <c r="A1616">
        <f>HYPERLINK("https://www.philgeps.gov.ph/GEPSNONPILOT/Tender/SplashBidNoticeAbstractUI.aspx?menuIndex=3&amp;refID=7066298&amp;Result=3","7066298")</f>
        <v>0</v>
      </c>
      <c r="B1616" t="s">
        <v>732</v>
      </c>
      <c r="C1616" t="s">
        <v>5098</v>
      </c>
      <c r="D1616" t="s">
        <v>18841</v>
      </c>
      <c r="E1616" t="s">
        <v>20378</v>
      </c>
      <c r="F1616" t="s">
        <v>32664</v>
      </c>
      <c r="G1616" t="s">
        <v>32672</v>
      </c>
      <c r="H1616" t="s">
        <v>32683</v>
      </c>
      <c r="I1616" t="s">
        <v>10627</v>
      </c>
      <c r="J1616" t="s">
        <v>33615</v>
      </c>
      <c r="K1616" t="s">
        <v>42311</v>
      </c>
      <c r="M1616" t="s">
        <v>43321</v>
      </c>
      <c r="N1616" t="s">
        <v>46569</v>
      </c>
      <c r="O1616" t="s">
        <v>46570</v>
      </c>
      <c r="P1616">
        <v>0</v>
      </c>
      <c r="Q1616">
        <v>0</v>
      </c>
      <c r="R1616" t="s">
        <v>46571</v>
      </c>
      <c r="S1616" t="s">
        <v>46687</v>
      </c>
      <c r="T1616" t="s">
        <v>48400</v>
      </c>
      <c r="U1616" t="s">
        <v>50156</v>
      </c>
      <c r="W1616" t="s">
        <v>43321</v>
      </c>
      <c r="X1616" t="s">
        <v>46572</v>
      </c>
    </row>
    <row r="1617" spans="1:24">
      <c r="A1617">
        <f>HYPERLINK("https://www.philgeps.gov.ph/GEPSNONPILOT/Tender/SplashBidNoticeAbstractUI.aspx?menuIndex=3&amp;refID=7066303&amp;Result=3","7066303")</f>
        <v>0</v>
      </c>
      <c r="B1617" t="s">
        <v>679</v>
      </c>
      <c r="C1617" t="s">
        <v>5099</v>
      </c>
      <c r="D1617" t="s">
        <v>18831</v>
      </c>
      <c r="E1617" t="s">
        <v>20379</v>
      </c>
      <c r="F1617" t="s">
        <v>32664</v>
      </c>
      <c r="G1617" t="s">
        <v>32672</v>
      </c>
      <c r="H1617" t="s">
        <v>32683</v>
      </c>
      <c r="I1617" t="s">
        <v>10627</v>
      </c>
      <c r="J1617" t="s">
        <v>34010</v>
      </c>
      <c r="K1617" t="s">
        <v>42281</v>
      </c>
      <c r="M1617" t="s">
        <v>43266</v>
      </c>
      <c r="N1617" t="s">
        <v>46569</v>
      </c>
      <c r="O1617" t="s">
        <v>46570</v>
      </c>
      <c r="P1617">
        <v>0</v>
      </c>
      <c r="Q1617">
        <v>0</v>
      </c>
      <c r="R1617" t="s">
        <v>46571</v>
      </c>
      <c r="S1617" t="s">
        <v>46687</v>
      </c>
      <c r="T1617" t="s">
        <v>48270</v>
      </c>
      <c r="U1617" t="s">
        <v>50063</v>
      </c>
      <c r="W1617" t="s">
        <v>43266</v>
      </c>
      <c r="X1617" t="s">
        <v>46572</v>
      </c>
    </row>
    <row r="1618" spans="1:24">
      <c r="A1618">
        <f>HYPERLINK("https://www.philgeps.gov.ph/GEPSNONPILOT/Tender/SplashBidNoticeAbstractUI.aspx?menuIndex=3&amp;refID=7066259&amp;Result=3","7066259")</f>
        <v>0</v>
      </c>
      <c r="B1618" t="s">
        <v>733</v>
      </c>
      <c r="C1618" t="s">
        <v>5100</v>
      </c>
      <c r="E1618" t="s">
        <v>20272</v>
      </c>
      <c r="F1618" t="s">
        <v>32666</v>
      </c>
      <c r="G1618" t="s">
        <v>32672</v>
      </c>
      <c r="H1618" t="s">
        <v>12635</v>
      </c>
      <c r="I1618" t="s">
        <v>4439</v>
      </c>
      <c r="J1618" t="s">
        <v>34011</v>
      </c>
      <c r="K1618" t="s">
        <v>42283</v>
      </c>
      <c r="M1618" t="s">
        <v>43322</v>
      </c>
      <c r="N1618" t="s">
        <v>46569</v>
      </c>
      <c r="O1618" t="s">
        <v>46570</v>
      </c>
      <c r="P1618">
        <v>0</v>
      </c>
      <c r="Q1618">
        <v>1</v>
      </c>
      <c r="R1618" t="s">
        <v>46571</v>
      </c>
      <c r="S1618" t="s">
        <v>46687</v>
      </c>
      <c r="T1618" t="s">
        <v>48390</v>
      </c>
      <c r="U1618" t="s">
        <v>50059</v>
      </c>
      <c r="W1618" t="s">
        <v>43322</v>
      </c>
      <c r="X1618" t="s">
        <v>46572</v>
      </c>
    </row>
    <row r="1619" spans="1:24">
      <c r="A1619">
        <f>HYPERLINK("https://www.philgeps.gov.ph/GEPSNONPILOT/Tender/SplashBidNoticeAbstractUI.aspx?menuIndex=3&amp;refID=7066314&amp;Result=3","7066314")</f>
        <v>0</v>
      </c>
      <c r="B1619" t="s">
        <v>473</v>
      </c>
      <c r="C1619" t="s">
        <v>5064</v>
      </c>
      <c r="D1619" t="s">
        <v>18791</v>
      </c>
      <c r="E1619" t="s">
        <v>20380</v>
      </c>
      <c r="F1619" t="s">
        <v>32664</v>
      </c>
      <c r="G1619" t="s">
        <v>32671</v>
      </c>
      <c r="H1619" t="s">
        <v>12635</v>
      </c>
      <c r="I1619" t="s">
        <v>6223</v>
      </c>
      <c r="J1619" t="s">
        <v>33566</v>
      </c>
      <c r="K1619" t="s">
        <v>42289</v>
      </c>
      <c r="M1619" t="s">
        <v>43048</v>
      </c>
      <c r="N1619" t="s">
        <v>46569</v>
      </c>
      <c r="O1619" t="s">
        <v>46570</v>
      </c>
      <c r="P1619">
        <v>0</v>
      </c>
      <c r="Q1619">
        <v>1</v>
      </c>
      <c r="R1619" t="s">
        <v>46571</v>
      </c>
      <c r="S1619" t="s">
        <v>46687</v>
      </c>
      <c r="T1619" t="s">
        <v>48401</v>
      </c>
      <c r="U1619" t="s">
        <v>49623</v>
      </c>
      <c r="W1619" t="s">
        <v>43048</v>
      </c>
      <c r="X1619" t="s">
        <v>46572</v>
      </c>
    </row>
    <row r="1620" spans="1:24">
      <c r="A1620">
        <f>HYPERLINK("https://www.philgeps.gov.ph/GEPSNONPILOT/Tender/SplashBidNoticeAbstractUI.aspx?menuIndex=3&amp;refID=7066300&amp;Result=3","7066300")</f>
        <v>0</v>
      </c>
      <c r="B1620" t="s">
        <v>683</v>
      </c>
      <c r="C1620" t="s">
        <v>5101</v>
      </c>
      <c r="D1620" t="s">
        <v>18842</v>
      </c>
      <c r="E1620" t="s">
        <v>20381</v>
      </c>
      <c r="F1620" t="s">
        <v>32664</v>
      </c>
      <c r="G1620" t="s">
        <v>32671</v>
      </c>
      <c r="H1620" t="s">
        <v>12635</v>
      </c>
      <c r="I1620" t="s">
        <v>8797</v>
      </c>
      <c r="J1620" t="s">
        <v>33295</v>
      </c>
      <c r="K1620" t="s">
        <v>42284</v>
      </c>
      <c r="M1620" t="s">
        <v>43270</v>
      </c>
      <c r="N1620" t="s">
        <v>46569</v>
      </c>
      <c r="O1620" t="s">
        <v>46570</v>
      </c>
      <c r="P1620">
        <v>0</v>
      </c>
      <c r="Q1620">
        <v>3</v>
      </c>
      <c r="R1620" t="s">
        <v>46571</v>
      </c>
      <c r="S1620" t="s">
        <v>46687</v>
      </c>
      <c r="T1620" t="s">
        <v>48256</v>
      </c>
      <c r="U1620" t="s">
        <v>50070</v>
      </c>
      <c r="W1620" t="s">
        <v>43270</v>
      </c>
      <c r="X1620" t="s">
        <v>46572</v>
      </c>
    </row>
    <row r="1621" spans="1:24">
      <c r="A1621">
        <f>HYPERLINK("https://www.philgeps.gov.ph/GEPSNONPILOT/Tender/SplashBidNoticeAbstractUI.aspx?menuIndex=3&amp;refID=7066255&amp;Result=3","7066255")</f>
        <v>0</v>
      </c>
      <c r="B1621" t="s">
        <v>693</v>
      </c>
      <c r="C1621" t="s">
        <v>5102</v>
      </c>
      <c r="D1621" t="s">
        <v>18785</v>
      </c>
      <c r="E1621" t="s">
        <v>20382</v>
      </c>
      <c r="F1621" t="s">
        <v>32664</v>
      </c>
      <c r="G1621" t="s">
        <v>32672</v>
      </c>
      <c r="H1621" t="s">
        <v>12635</v>
      </c>
      <c r="I1621" t="s">
        <v>32691</v>
      </c>
      <c r="J1621" t="s">
        <v>34012</v>
      </c>
      <c r="K1621" t="s">
        <v>42355</v>
      </c>
      <c r="M1621" t="s">
        <v>43280</v>
      </c>
      <c r="N1621" t="s">
        <v>46569</v>
      </c>
      <c r="O1621" t="s">
        <v>46570</v>
      </c>
      <c r="P1621">
        <v>0</v>
      </c>
      <c r="Q1621">
        <v>0</v>
      </c>
      <c r="R1621" t="s">
        <v>46571</v>
      </c>
      <c r="S1621" t="s">
        <v>46687</v>
      </c>
      <c r="T1621" t="s">
        <v>48211</v>
      </c>
      <c r="U1621" t="s">
        <v>50157</v>
      </c>
      <c r="W1621" t="s">
        <v>43280</v>
      </c>
      <c r="X1621" t="s">
        <v>46572</v>
      </c>
    </row>
    <row r="1622" spans="1:24">
      <c r="A1622">
        <f>HYPERLINK("https://www.philgeps.gov.ph/GEPSNONPILOT/Tender/SplashBidNoticeAbstractUI.aspx?menuIndex=3&amp;refID=7066254&amp;Result=3","7066254")</f>
        <v>0</v>
      </c>
      <c r="B1622" t="s">
        <v>734</v>
      </c>
      <c r="C1622" t="s">
        <v>5103</v>
      </c>
      <c r="D1622" t="s">
        <v>18797</v>
      </c>
      <c r="E1622" t="s">
        <v>20325</v>
      </c>
      <c r="F1622" t="s">
        <v>32664</v>
      </c>
      <c r="G1622" t="s">
        <v>32671</v>
      </c>
      <c r="H1622" t="s">
        <v>12635</v>
      </c>
      <c r="I1622" t="s">
        <v>5589</v>
      </c>
      <c r="J1622" t="s">
        <v>34013</v>
      </c>
      <c r="K1622" t="s">
        <v>42289</v>
      </c>
      <c r="M1622" t="s">
        <v>43323</v>
      </c>
      <c r="N1622" t="s">
        <v>46569</v>
      </c>
      <c r="O1622" t="s">
        <v>46570</v>
      </c>
      <c r="P1622">
        <v>0</v>
      </c>
      <c r="Q1622">
        <v>0</v>
      </c>
      <c r="R1622" t="s">
        <v>46571</v>
      </c>
      <c r="S1622" t="s">
        <v>46687</v>
      </c>
      <c r="T1622" t="s">
        <v>48245</v>
      </c>
      <c r="U1622" t="s">
        <v>50158</v>
      </c>
      <c r="W1622" t="s">
        <v>43323</v>
      </c>
      <c r="X1622" t="s">
        <v>46572</v>
      </c>
    </row>
    <row r="1623" spans="1:24">
      <c r="A1623">
        <f>HYPERLINK("https://www.philgeps.gov.ph/GEPSNONPILOT/Tender/SplashBidNoticeAbstractUI.aspx?menuIndex=3&amp;refID=7066302&amp;Result=3","7066302")</f>
        <v>0</v>
      </c>
      <c r="B1623" t="s">
        <v>493</v>
      </c>
      <c r="C1623" t="s">
        <v>5104</v>
      </c>
      <c r="D1623" t="s">
        <v>18827</v>
      </c>
      <c r="E1623" t="s">
        <v>20383</v>
      </c>
      <c r="F1623" t="s">
        <v>32664</v>
      </c>
      <c r="G1623" t="s">
        <v>32671</v>
      </c>
      <c r="H1623" t="s">
        <v>12635</v>
      </c>
      <c r="I1623" t="s">
        <v>32689</v>
      </c>
      <c r="J1623" t="s">
        <v>33688</v>
      </c>
      <c r="K1623" t="s">
        <v>42281</v>
      </c>
      <c r="M1623" t="s">
        <v>43069</v>
      </c>
      <c r="N1623" t="s">
        <v>46569</v>
      </c>
      <c r="O1623" t="s">
        <v>46570</v>
      </c>
      <c r="P1623">
        <v>0</v>
      </c>
      <c r="Q1623">
        <v>0</v>
      </c>
      <c r="R1623" t="s">
        <v>46571</v>
      </c>
      <c r="S1623" t="s">
        <v>46687</v>
      </c>
      <c r="T1623" t="s">
        <v>48230</v>
      </c>
      <c r="U1623" t="s">
        <v>49658</v>
      </c>
      <c r="W1623" t="s">
        <v>43069</v>
      </c>
      <c r="X1623" t="s">
        <v>46572</v>
      </c>
    </row>
    <row r="1624" spans="1:24">
      <c r="A1624">
        <f>HYPERLINK("https://www.philgeps.gov.ph/GEPSNONPILOT/Tender/SplashBidNoticeAbstractUI.aspx?menuIndex=3&amp;refID=7066248&amp;Result=3","7066248")</f>
        <v>0</v>
      </c>
      <c r="B1624" t="s">
        <v>709</v>
      </c>
      <c r="C1624" t="s">
        <v>5105</v>
      </c>
      <c r="D1624" t="s">
        <v>18784</v>
      </c>
      <c r="E1624" t="s">
        <v>20384</v>
      </c>
      <c r="F1624" t="s">
        <v>32664</v>
      </c>
      <c r="G1624" t="s">
        <v>32672</v>
      </c>
      <c r="H1624" t="s">
        <v>12635</v>
      </c>
      <c r="I1624" t="s">
        <v>32700</v>
      </c>
      <c r="J1624" t="s">
        <v>32865</v>
      </c>
      <c r="K1624" t="s">
        <v>42284</v>
      </c>
      <c r="M1624" t="s">
        <v>43296</v>
      </c>
      <c r="N1624" t="s">
        <v>46569</v>
      </c>
      <c r="O1624" t="s">
        <v>46570</v>
      </c>
      <c r="P1624">
        <v>0</v>
      </c>
      <c r="Q1624">
        <v>0</v>
      </c>
      <c r="R1624" t="s">
        <v>46571</v>
      </c>
      <c r="S1624" t="s">
        <v>46687</v>
      </c>
      <c r="T1624" t="s">
        <v>48226</v>
      </c>
      <c r="U1624" t="s">
        <v>50159</v>
      </c>
      <c r="W1624" t="s">
        <v>43296</v>
      </c>
      <c r="X1624" t="s">
        <v>46572</v>
      </c>
    </row>
    <row r="1625" spans="1:24">
      <c r="A1625">
        <f>HYPERLINK("https://www.philgeps.gov.ph/GEPSNONPILOT/Tender/SplashBidNoticeAbstractUI.aspx?menuIndex=3&amp;refID=7066257&amp;Result=3","7066257")</f>
        <v>0</v>
      </c>
      <c r="B1625" t="s">
        <v>253</v>
      </c>
      <c r="C1625" t="s">
        <v>5106</v>
      </c>
      <c r="D1625" t="s">
        <v>18790</v>
      </c>
      <c r="E1625" t="s">
        <v>20385</v>
      </c>
      <c r="F1625" t="s">
        <v>32664</v>
      </c>
      <c r="G1625" t="s">
        <v>32671</v>
      </c>
      <c r="H1625" t="s">
        <v>12635</v>
      </c>
      <c r="I1625" t="s">
        <v>32712</v>
      </c>
      <c r="J1625" t="s">
        <v>33050</v>
      </c>
      <c r="K1625" t="s">
        <v>42283</v>
      </c>
      <c r="M1625" t="s">
        <v>42851</v>
      </c>
      <c r="N1625" t="s">
        <v>46569</v>
      </c>
      <c r="O1625" t="s">
        <v>46570</v>
      </c>
      <c r="P1625">
        <v>0</v>
      </c>
      <c r="Q1625">
        <v>1</v>
      </c>
      <c r="R1625" t="s">
        <v>46571</v>
      </c>
      <c r="S1625" t="s">
        <v>46687</v>
      </c>
      <c r="T1625" t="s">
        <v>48283</v>
      </c>
      <c r="U1625" t="s">
        <v>50160</v>
      </c>
      <c r="W1625" t="s">
        <v>42851</v>
      </c>
      <c r="X1625" t="s">
        <v>46572</v>
      </c>
    </row>
    <row r="1626" spans="1:24">
      <c r="A1626">
        <f>HYPERLINK("https://www.philgeps.gov.ph/GEPSNONPILOT/Tender/SplashBidNoticeAbstractUI.aspx?menuIndex=3&amp;refID=7066296&amp;Result=3","7066296")</f>
        <v>0</v>
      </c>
      <c r="B1626" t="s">
        <v>735</v>
      </c>
      <c r="C1626" t="s">
        <v>5107</v>
      </c>
      <c r="D1626" t="s">
        <v>18818</v>
      </c>
      <c r="E1626" t="s">
        <v>19681</v>
      </c>
      <c r="F1626" t="s">
        <v>32664</v>
      </c>
      <c r="G1626" t="s">
        <v>32672</v>
      </c>
      <c r="H1626" t="s">
        <v>12635</v>
      </c>
      <c r="I1626" t="s">
        <v>4439</v>
      </c>
      <c r="J1626" t="s">
        <v>34014</v>
      </c>
      <c r="K1626" t="s">
        <v>42289</v>
      </c>
      <c r="M1626" t="s">
        <v>43324</v>
      </c>
      <c r="N1626" t="s">
        <v>46569</v>
      </c>
      <c r="O1626" t="s">
        <v>46570</v>
      </c>
      <c r="P1626">
        <v>0</v>
      </c>
      <c r="Q1626">
        <v>0</v>
      </c>
      <c r="R1626" t="s">
        <v>46571</v>
      </c>
      <c r="S1626" t="s">
        <v>46687</v>
      </c>
      <c r="T1626" t="s">
        <v>48402</v>
      </c>
      <c r="U1626" t="s">
        <v>50161</v>
      </c>
      <c r="W1626" t="s">
        <v>43324</v>
      </c>
      <c r="X1626" t="s">
        <v>46572</v>
      </c>
    </row>
    <row r="1627" spans="1:24">
      <c r="A1627">
        <f>HYPERLINK("https://www.philgeps.gov.ph/GEPSNONPILOT/Tender/SplashBidNoticeAbstractUI.aspx?menuIndex=3&amp;refID=7066256&amp;Result=3","7066256")</f>
        <v>0</v>
      </c>
      <c r="B1627" t="s">
        <v>736</v>
      </c>
      <c r="C1627" t="s">
        <v>5108</v>
      </c>
      <c r="D1627" t="s">
        <v>18851</v>
      </c>
      <c r="E1627" t="s">
        <v>19380</v>
      </c>
      <c r="F1627" t="s">
        <v>32664</v>
      </c>
      <c r="G1627" t="s">
        <v>32671</v>
      </c>
      <c r="H1627" t="s">
        <v>12635</v>
      </c>
      <c r="I1627" t="s">
        <v>5589</v>
      </c>
      <c r="J1627" t="s">
        <v>33311</v>
      </c>
      <c r="K1627" t="s">
        <v>42283</v>
      </c>
      <c r="M1627" t="s">
        <v>43325</v>
      </c>
      <c r="N1627" t="s">
        <v>46569</v>
      </c>
      <c r="O1627" t="s">
        <v>46570</v>
      </c>
      <c r="P1627">
        <v>0</v>
      </c>
      <c r="Q1627">
        <v>0</v>
      </c>
      <c r="R1627" t="s">
        <v>46571</v>
      </c>
      <c r="S1627" t="s">
        <v>46687</v>
      </c>
      <c r="T1627" t="s">
        <v>48256</v>
      </c>
      <c r="U1627" t="s">
        <v>49970</v>
      </c>
      <c r="W1627" t="s">
        <v>43325</v>
      </c>
      <c r="X1627" t="s">
        <v>46572</v>
      </c>
    </row>
    <row r="1628" spans="1:24">
      <c r="A1628">
        <f>HYPERLINK("https://www.philgeps.gov.ph/GEPSNONPILOT/Tender/SplashBidNoticeAbstractUI.aspx?menuIndex=3&amp;refID=7066247&amp;Result=3","7066247")</f>
        <v>0</v>
      </c>
      <c r="B1628" t="s">
        <v>737</v>
      </c>
      <c r="C1628" t="s">
        <v>5109</v>
      </c>
      <c r="D1628" t="s">
        <v>18781</v>
      </c>
      <c r="E1628" t="s">
        <v>20386</v>
      </c>
      <c r="F1628" t="s">
        <v>32664</v>
      </c>
      <c r="G1628" t="s">
        <v>32671</v>
      </c>
      <c r="H1628" t="s">
        <v>32682</v>
      </c>
      <c r="I1628" t="s">
        <v>10627</v>
      </c>
      <c r="J1628" t="s">
        <v>34013</v>
      </c>
      <c r="K1628" t="s">
        <v>42284</v>
      </c>
      <c r="M1628" t="s">
        <v>43326</v>
      </c>
      <c r="N1628" t="s">
        <v>46569</v>
      </c>
      <c r="O1628" t="s">
        <v>46570</v>
      </c>
      <c r="P1628">
        <v>0</v>
      </c>
      <c r="Q1628">
        <v>0</v>
      </c>
      <c r="R1628" t="s">
        <v>46571</v>
      </c>
      <c r="S1628" t="s">
        <v>46687</v>
      </c>
      <c r="T1628" t="s">
        <v>48256</v>
      </c>
      <c r="U1628" t="s">
        <v>50162</v>
      </c>
      <c r="W1628" t="s">
        <v>43326</v>
      </c>
      <c r="X1628" t="s">
        <v>46572</v>
      </c>
    </row>
    <row r="1629" spans="1:24">
      <c r="A1629">
        <f>HYPERLINK("https://www.philgeps.gov.ph/GEPSNONPILOT/Tender/SplashBidNoticeAbstractUI.aspx?menuIndex=3&amp;refID=7066320&amp;Result=3","7066320")</f>
        <v>0</v>
      </c>
      <c r="B1629" t="s">
        <v>738</v>
      </c>
      <c r="C1629" t="s">
        <v>5110</v>
      </c>
      <c r="D1629" t="s">
        <v>18842</v>
      </c>
      <c r="E1629" t="s">
        <v>20387</v>
      </c>
      <c r="F1629" t="s">
        <v>32664</v>
      </c>
      <c r="G1629" t="s">
        <v>32675</v>
      </c>
      <c r="H1629" t="s">
        <v>12635</v>
      </c>
      <c r="I1629" t="s">
        <v>6168</v>
      </c>
      <c r="J1629" t="s">
        <v>34015</v>
      </c>
      <c r="K1629" t="s">
        <v>42283</v>
      </c>
      <c r="M1629" t="s">
        <v>43327</v>
      </c>
      <c r="N1629" t="s">
        <v>46569</v>
      </c>
      <c r="O1629" t="s">
        <v>46570</v>
      </c>
      <c r="P1629">
        <v>0</v>
      </c>
      <c r="Q1629">
        <v>1</v>
      </c>
      <c r="R1629" t="s">
        <v>46571</v>
      </c>
      <c r="S1629" t="s">
        <v>46687</v>
      </c>
      <c r="T1629" t="s">
        <v>48268</v>
      </c>
      <c r="U1629" t="s">
        <v>50163</v>
      </c>
      <c r="W1629" t="s">
        <v>43327</v>
      </c>
      <c r="X1629" t="s">
        <v>46572</v>
      </c>
    </row>
    <row r="1630" spans="1:24">
      <c r="A1630">
        <f>HYPERLINK("https://www.philgeps.gov.ph/GEPSNONPILOT/Tender/SplashBidNoticeAbstractUI.aspx?menuIndex=3&amp;refID=7066319&amp;Result=3","7066319")</f>
        <v>0</v>
      </c>
      <c r="B1630" t="s">
        <v>352</v>
      </c>
      <c r="C1630" t="s">
        <v>5111</v>
      </c>
      <c r="E1630" t="s">
        <v>20388</v>
      </c>
      <c r="F1630" t="s">
        <v>32664</v>
      </c>
      <c r="G1630" t="s">
        <v>32671</v>
      </c>
      <c r="H1630" t="s">
        <v>12635</v>
      </c>
      <c r="I1630" t="s">
        <v>32704</v>
      </c>
      <c r="J1630" t="s">
        <v>34016</v>
      </c>
      <c r="K1630" t="s">
        <v>42283</v>
      </c>
      <c r="M1630" t="s">
        <v>43328</v>
      </c>
      <c r="N1630" t="s">
        <v>46569</v>
      </c>
      <c r="O1630" t="s">
        <v>46570</v>
      </c>
      <c r="P1630">
        <v>0</v>
      </c>
      <c r="Q1630">
        <v>4</v>
      </c>
      <c r="R1630" t="s">
        <v>46571</v>
      </c>
      <c r="S1630" t="s">
        <v>46687</v>
      </c>
      <c r="T1630" t="s">
        <v>48280</v>
      </c>
      <c r="U1630" t="s">
        <v>50164</v>
      </c>
      <c r="V1630" t="s">
        <v>61800</v>
      </c>
      <c r="W1630" t="s">
        <v>43328</v>
      </c>
      <c r="X1630" t="s">
        <v>46572</v>
      </c>
    </row>
    <row r="1631" spans="1:24">
      <c r="A1631">
        <f>HYPERLINK("https://www.philgeps.gov.ph/GEPSNONPILOT/Tender/SplashBidNoticeAbstractUI.aspx?menuIndex=3&amp;refID=7066343&amp;Result=3","7066343")</f>
        <v>0</v>
      </c>
      <c r="B1631" t="s">
        <v>739</v>
      </c>
      <c r="C1631" t="s">
        <v>5112</v>
      </c>
      <c r="D1631" t="s">
        <v>18805</v>
      </c>
      <c r="E1631" t="s">
        <v>20389</v>
      </c>
      <c r="F1631" t="s">
        <v>32664</v>
      </c>
      <c r="G1631" t="s">
        <v>32674</v>
      </c>
      <c r="H1631" t="s">
        <v>12635</v>
      </c>
      <c r="I1631" t="s">
        <v>32726</v>
      </c>
      <c r="J1631" t="s">
        <v>34017</v>
      </c>
      <c r="K1631" t="s">
        <v>42332</v>
      </c>
      <c r="M1631" t="s">
        <v>43329</v>
      </c>
      <c r="N1631" t="s">
        <v>46569</v>
      </c>
      <c r="O1631" t="s">
        <v>46570</v>
      </c>
      <c r="P1631">
        <v>0</v>
      </c>
      <c r="Q1631">
        <v>3</v>
      </c>
      <c r="R1631" t="s">
        <v>46571</v>
      </c>
      <c r="S1631" t="s">
        <v>46687</v>
      </c>
      <c r="T1631" t="s">
        <v>48271</v>
      </c>
      <c r="U1631" t="s">
        <v>50165</v>
      </c>
      <c r="W1631" t="s">
        <v>43329</v>
      </c>
      <c r="X1631" t="s">
        <v>46572</v>
      </c>
    </row>
    <row r="1632" spans="1:24">
      <c r="A1632">
        <f>HYPERLINK("https://www.philgeps.gov.ph/GEPSNONPILOT/Tender/SplashBidNoticeAbstractUI.aspx?menuIndex=3&amp;refID=7066340&amp;Result=3","7066340")</f>
        <v>0</v>
      </c>
      <c r="B1632" t="s">
        <v>563</v>
      </c>
      <c r="C1632" t="s">
        <v>5113</v>
      </c>
      <c r="D1632" t="s">
        <v>18835</v>
      </c>
      <c r="E1632" t="s">
        <v>20303</v>
      </c>
      <c r="F1632" t="s">
        <v>32664</v>
      </c>
      <c r="G1632" t="s">
        <v>32671</v>
      </c>
      <c r="H1632" t="s">
        <v>12635</v>
      </c>
      <c r="I1632" t="s">
        <v>32706</v>
      </c>
      <c r="J1632" t="s">
        <v>33627</v>
      </c>
      <c r="K1632" t="s">
        <v>42303</v>
      </c>
      <c r="M1632" t="s">
        <v>43143</v>
      </c>
      <c r="N1632" t="s">
        <v>46569</v>
      </c>
      <c r="O1632" t="s">
        <v>46570</v>
      </c>
      <c r="P1632">
        <v>0</v>
      </c>
      <c r="Q1632">
        <v>0</v>
      </c>
      <c r="R1632" t="s">
        <v>46571</v>
      </c>
      <c r="S1632" t="s">
        <v>46687</v>
      </c>
      <c r="T1632" t="s">
        <v>48219</v>
      </c>
      <c r="U1632" t="s">
        <v>50166</v>
      </c>
      <c r="W1632" t="s">
        <v>43143</v>
      </c>
      <c r="X1632" t="s">
        <v>46572</v>
      </c>
    </row>
    <row r="1633" spans="1:24">
      <c r="A1633">
        <f>HYPERLINK("https://www.philgeps.gov.ph/GEPSNONPILOT/Tender/SplashBidNoticeAbstractUI.aspx?menuIndex=3&amp;refID=7066250&amp;Result=3","7066250")</f>
        <v>0</v>
      </c>
      <c r="B1633" t="s">
        <v>690</v>
      </c>
      <c r="C1633" t="s">
        <v>5114</v>
      </c>
      <c r="D1633" t="s">
        <v>18781</v>
      </c>
      <c r="E1633" t="s">
        <v>20390</v>
      </c>
      <c r="F1633" t="s">
        <v>32664</v>
      </c>
      <c r="G1633" t="s">
        <v>32672</v>
      </c>
      <c r="H1633" t="s">
        <v>32683</v>
      </c>
      <c r="I1633" t="s">
        <v>10627</v>
      </c>
      <c r="J1633" t="s">
        <v>33946</v>
      </c>
      <c r="K1633" t="s">
        <v>42327</v>
      </c>
      <c r="L1633" t="s">
        <v>690</v>
      </c>
      <c r="M1633" t="s">
        <v>43277</v>
      </c>
      <c r="N1633" t="s">
        <v>46569</v>
      </c>
      <c r="O1633" t="s">
        <v>46570</v>
      </c>
      <c r="P1633">
        <v>0</v>
      </c>
      <c r="Q1633">
        <v>0</v>
      </c>
      <c r="R1633" t="s">
        <v>46571</v>
      </c>
      <c r="S1633" t="s">
        <v>46687</v>
      </c>
      <c r="T1633" t="s">
        <v>48360</v>
      </c>
      <c r="U1633" t="s">
        <v>50079</v>
      </c>
      <c r="W1633" t="s">
        <v>43277</v>
      </c>
      <c r="X1633" t="s">
        <v>46572</v>
      </c>
    </row>
    <row r="1634" spans="1:24">
      <c r="A1634">
        <f>HYPERLINK("https://www.philgeps.gov.ph/GEPSNONPILOT/Tender/SplashBidNoticeAbstractUI.aspx?menuIndex=3&amp;refID=7066245&amp;Result=3","7066245")</f>
        <v>0</v>
      </c>
      <c r="B1634" t="s">
        <v>740</v>
      </c>
      <c r="C1634" t="s">
        <v>5115</v>
      </c>
      <c r="D1634" t="s">
        <v>18804</v>
      </c>
      <c r="E1634" t="s">
        <v>20391</v>
      </c>
      <c r="F1634" t="s">
        <v>32664</v>
      </c>
      <c r="G1634" t="s">
        <v>32671</v>
      </c>
      <c r="H1634" t="s">
        <v>12635</v>
      </c>
      <c r="I1634" t="s">
        <v>32685</v>
      </c>
      <c r="J1634" t="s">
        <v>34018</v>
      </c>
      <c r="K1634" t="s">
        <v>42303</v>
      </c>
      <c r="M1634" t="s">
        <v>43330</v>
      </c>
      <c r="N1634" t="s">
        <v>46569</v>
      </c>
      <c r="O1634" t="s">
        <v>46570</v>
      </c>
      <c r="P1634">
        <v>0</v>
      </c>
      <c r="Q1634">
        <v>1</v>
      </c>
      <c r="R1634" t="s">
        <v>46571</v>
      </c>
      <c r="S1634" t="s">
        <v>46687</v>
      </c>
      <c r="T1634" t="s">
        <v>48256</v>
      </c>
      <c r="U1634" t="s">
        <v>50167</v>
      </c>
      <c r="W1634" t="s">
        <v>43330</v>
      </c>
      <c r="X1634" t="s">
        <v>46572</v>
      </c>
    </row>
    <row r="1635" spans="1:24">
      <c r="A1635">
        <f>HYPERLINK("https://www.philgeps.gov.ph/GEPSNONPILOT/Tender/SplashBidNoticeAbstractUI.aspx?menuIndex=3&amp;refID=7066252&amp;Result=3","7066252")</f>
        <v>0</v>
      </c>
      <c r="B1635" t="s">
        <v>741</v>
      </c>
      <c r="C1635" t="s">
        <v>5116</v>
      </c>
      <c r="D1635" t="s">
        <v>18836</v>
      </c>
      <c r="E1635" t="s">
        <v>19950</v>
      </c>
      <c r="F1635" t="s">
        <v>32664</v>
      </c>
      <c r="G1635" t="s">
        <v>32671</v>
      </c>
      <c r="H1635" t="s">
        <v>12635</v>
      </c>
      <c r="I1635" t="s">
        <v>9486</v>
      </c>
      <c r="J1635" t="s">
        <v>34019</v>
      </c>
      <c r="K1635" t="s">
        <v>42289</v>
      </c>
      <c r="M1635" t="s">
        <v>43331</v>
      </c>
      <c r="N1635" t="s">
        <v>46569</v>
      </c>
      <c r="O1635" t="s">
        <v>46570</v>
      </c>
      <c r="P1635">
        <v>0</v>
      </c>
      <c r="Q1635">
        <v>0</v>
      </c>
      <c r="R1635" t="s">
        <v>46571</v>
      </c>
      <c r="S1635" t="s">
        <v>46687</v>
      </c>
      <c r="T1635" t="s">
        <v>48230</v>
      </c>
      <c r="U1635" t="s">
        <v>50168</v>
      </c>
      <c r="W1635" t="s">
        <v>43331</v>
      </c>
      <c r="X1635" t="s">
        <v>46572</v>
      </c>
    </row>
    <row r="1636" spans="1:24">
      <c r="A1636">
        <f>HYPERLINK("https://www.philgeps.gov.ph/GEPSNONPILOT/Tender/SplashBidNoticeAbstractUI.aspx?menuIndex=3&amp;refID=7066337&amp;Result=3","7066337")</f>
        <v>0</v>
      </c>
      <c r="B1636" t="s">
        <v>742</v>
      </c>
      <c r="C1636" t="s">
        <v>5117</v>
      </c>
      <c r="D1636" t="s">
        <v>18806</v>
      </c>
      <c r="E1636" t="s">
        <v>20392</v>
      </c>
      <c r="F1636" t="s">
        <v>32664</v>
      </c>
      <c r="G1636" t="s">
        <v>32671</v>
      </c>
      <c r="H1636" t="s">
        <v>32682</v>
      </c>
      <c r="I1636" t="s">
        <v>32752</v>
      </c>
      <c r="J1636" t="s">
        <v>33267</v>
      </c>
      <c r="K1636" t="s">
        <v>42333</v>
      </c>
      <c r="M1636" t="s">
        <v>43332</v>
      </c>
      <c r="N1636" t="s">
        <v>46569</v>
      </c>
      <c r="O1636" t="s">
        <v>46570</v>
      </c>
      <c r="P1636">
        <v>0</v>
      </c>
      <c r="Q1636">
        <v>0</v>
      </c>
      <c r="R1636" t="s">
        <v>46571</v>
      </c>
      <c r="S1636" t="s">
        <v>46687</v>
      </c>
      <c r="T1636" t="s">
        <v>48219</v>
      </c>
      <c r="U1636" t="s">
        <v>50169</v>
      </c>
      <c r="W1636" t="s">
        <v>43332</v>
      </c>
      <c r="X1636" t="s">
        <v>46572</v>
      </c>
    </row>
    <row r="1637" spans="1:24">
      <c r="A1637">
        <f>HYPERLINK("https://www.philgeps.gov.ph/GEPSNONPILOT/Tender/SplashBidNoticeAbstractUI.aspx?menuIndex=3&amp;refID=7066335&amp;Result=3","7066335")</f>
        <v>0</v>
      </c>
      <c r="B1637" t="s">
        <v>743</v>
      </c>
      <c r="C1637" t="s">
        <v>5118</v>
      </c>
      <c r="D1637" t="s">
        <v>18790</v>
      </c>
      <c r="E1637" t="s">
        <v>20393</v>
      </c>
      <c r="F1637" t="s">
        <v>32664</v>
      </c>
      <c r="G1637" t="s">
        <v>32671</v>
      </c>
      <c r="H1637" t="s">
        <v>12635</v>
      </c>
      <c r="I1637" t="s">
        <v>32708</v>
      </c>
      <c r="J1637" t="s">
        <v>32898</v>
      </c>
      <c r="K1637" t="s">
        <v>42289</v>
      </c>
      <c r="M1637" t="s">
        <v>43333</v>
      </c>
      <c r="N1637" t="s">
        <v>46569</v>
      </c>
      <c r="O1637" t="s">
        <v>46570</v>
      </c>
      <c r="P1637">
        <v>0</v>
      </c>
      <c r="Q1637">
        <v>0</v>
      </c>
      <c r="R1637" t="s">
        <v>46571</v>
      </c>
      <c r="S1637" t="s">
        <v>46687</v>
      </c>
      <c r="T1637" t="s">
        <v>48329</v>
      </c>
      <c r="U1637" t="s">
        <v>50170</v>
      </c>
      <c r="W1637" t="s">
        <v>43333</v>
      </c>
      <c r="X1637" t="s">
        <v>46572</v>
      </c>
    </row>
    <row r="1638" spans="1:24">
      <c r="A1638">
        <f>HYPERLINK("https://www.philgeps.gov.ph/GEPSNONPILOT/Tender/SplashBidNoticeAbstractUI.aspx?menuIndex=3&amp;refID=7066341&amp;Result=3","7066341")</f>
        <v>0</v>
      </c>
      <c r="B1638" t="s">
        <v>568</v>
      </c>
      <c r="C1638" t="s">
        <v>5119</v>
      </c>
      <c r="D1638" t="s">
        <v>18822</v>
      </c>
      <c r="E1638" t="s">
        <v>20394</v>
      </c>
      <c r="F1638" t="s">
        <v>32664</v>
      </c>
      <c r="G1638" t="s">
        <v>32672</v>
      </c>
      <c r="H1638" t="s">
        <v>32683</v>
      </c>
      <c r="I1638" t="s">
        <v>10627</v>
      </c>
      <c r="J1638" t="s">
        <v>34020</v>
      </c>
      <c r="K1638" t="s">
        <v>42312</v>
      </c>
      <c r="M1638" t="s">
        <v>43148</v>
      </c>
      <c r="N1638" t="s">
        <v>46569</v>
      </c>
      <c r="O1638" t="s">
        <v>46570</v>
      </c>
      <c r="P1638">
        <v>0</v>
      </c>
      <c r="Q1638">
        <v>0</v>
      </c>
      <c r="R1638" t="s">
        <v>46571</v>
      </c>
      <c r="S1638" t="s">
        <v>46687</v>
      </c>
      <c r="T1638" t="s">
        <v>48366</v>
      </c>
      <c r="U1638" t="s">
        <v>50171</v>
      </c>
      <c r="V1638" t="s">
        <v>61801</v>
      </c>
      <c r="W1638" t="s">
        <v>63484</v>
      </c>
      <c r="X1638" t="s">
        <v>46572</v>
      </c>
    </row>
    <row r="1639" spans="1:24">
      <c r="A1639">
        <f>HYPERLINK("https://www.philgeps.gov.ph/GEPSNONPILOT/Tender/SplashBidNoticeAbstractUI.aspx?menuIndex=3&amp;refID=7066305&amp;Result=3","7066305")</f>
        <v>0</v>
      </c>
      <c r="B1639" t="s">
        <v>724</v>
      </c>
      <c r="C1639" t="s">
        <v>5120</v>
      </c>
      <c r="D1639" t="s">
        <v>18781</v>
      </c>
      <c r="E1639" t="s">
        <v>20358</v>
      </c>
      <c r="F1639" t="s">
        <v>32664</v>
      </c>
      <c r="G1639" t="s">
        <v>32672</v>
      </c>
      <c r="H1639" t="s">
        <v>32683</v>
      </c>
      <c r="I1639" t="s">
        <v>32681</v>
      </c>
      <c r="J1639" t="s">
        <v>34021</v>
      </c>
      <c r="K1639" t="s">
        <v>42303</v>
      </c>
      <c r="M1639" t="s">
        <v>43311</v>
      </c>
      <c r="N1639" t="s">
        <v>46569</v>
      </c>
      <c r="O1639" t="s">
        <v>46570</v>
      </c>
      <c r="P1639">
        <v>0</v>
      </c>
      <c r="Q1639">
        <v>0</v>
      </c>
      <c r="R1639" t="s">
        <v>46571</v>
      </c>
      <c r="S1639" t="s">
        <v>46687</v>
      </c>
      <c r="T1639" t="s">
        <v>48236</v>
      </c>
      <c r="U1639" t="s">
        <v>50172</v>
      </c>
      <c r="W1639" t="s">
        <v>43311</v>
      </c>
      <c r="X1639" t="s">
        <v>46572</v>
      </c>
    </row>
    <row r="1640" spans="1:24">
      <c r="A1640">
        <f>HYPERLINK("https://www.philgeps.gov.ph/GEPSNONPILOT/Tender/SplashBidNoticeAbstractUI.aspx?menuIndex=3&amp;refID=7066336&amp;Result=3","7066336")</f>
        <v>0</v>
      </c>
      <c r="B1640" t="s">
        <v>744</v>
      </c>
      <c r="C1640" t="s">
        <v>5121</v>
      </c>
      <c r="D1640" t="s">
        <v>18816</v>
      </c>
      <c r="E1640" t="s">
        <v>20395</v>
      </c>
      <c r="F1640" t="s">
        <v>32664</v>
      </c>
      <c r="G1640" t="s">
        <v>32672</v>
      </c>
      <c r="H1640" t="s">
        <v>32683</v>
      </c>
      <c r="I1640" t="s">
        <v>10627</v>
      </c>
      <c r="J1640" t="s">
        <v>34022</v>
      </c>
      <c r="K1640" t="s">
        <v>42333</v>
      </c>
      <c r="M1640" t="s">
        <v>43334</v>
      </c>
      <c r="N1640" t="s">
        <v>46569</v>
      </c>
      <c r="O1640" t="s">
        <v>46570</v>
      </c>
      <c r="P1640">
        <v>0</v>
      </c>
      <c r="Q1640">
        <v>0</v>
      </c>
      <c r="R1640" t="s">
        <v>46571</v>
      </c>
      <c r="S1640" t="s">
        <v>46687</v>
      </c>
      <c r="T1640" t="s">
        <v>48270</v>
      </c>
      <c r="U1640" t="s">
        <v>50173</v>
      </c>
      <c r="W1640" t="s">
        <v>43334</v>
      </c>
      <c r="X1640" t="s">
        <v>46572</v>
      </c>
    </row>
    <row r="1641" spans="1:24">
      <c r="A1641">
        <f>HYPERLINK("https://www.philgeps.gov.ph/GEPSNONPILOT/Tender/SplashBidNoticeAbstractUI.aspx?menuIndex=3&amp;refID=7066338&amp;Result=3","7066338")</f>
        <v>0</v>
      </c>
      <c r="B1641" t="s">
        <v>678</v>
      </c>
      <c r="C1641" t="s">
        <v>5122</v>
      </c>
      <c r="E1641" t="s">
        <v>20396</v>
      </c>
      <c r="F1641" t="s">
        <v>32664</v>
      </c>
      <c r="G1641" t="s">
        <v>32671</v>
      </c>
      <c r="H1641" t="s">
        <v>12635</v>
      </c>
      <c r="I1641" t="s">
        <v>32706</v>
      </c>
      <c r="J1641" t="s">
        <v>33410</v>
      </c>
      <c r="K1641" t="s">
        <v>42283</v>
      </c>
      <c r="M1641" t="s">
        <v>43265</v>
      </c>
      <c r="N1641" t="s">
        <v>46569</v>
      </c>
      <c r="O1641" t="s">
        <v>46570</v>
      </c>
      <c r="P1641">
        <v>0</v>
      </c>
      <c r="Q1641">
        <v>0</v>
      </c>
      <c r="R1641" t="s">
        <v>46571</v>
      </c>
      <c r="S1641" t="s">
        <v>46687</v>
      </c>
      <c r="T1641" t="s">
        <v>48312</v>
      </c>
      <c r="U1641" t="s">
        <v>50174</v>
      </c>
      <c r="W1641" t="s">
        <v>43265</v>
      </c>
      <c r="X1641" t="s">
        <v>46572</v>
      </c>
    </row>
    <row r="1642" spans="1:24">
      <c r="A1642">
        <f>HYPERLINK("https://www.philgeps.gov.ph/GEPSNONPILOT/Tender/SplashBidNoticeAbstractUI.aspx?menuIndex=3&amp;refID=7066330&amp;Result=3","7066330")</f>
        <v>0</v>
      </c>
      <c r="B1642" t="s">
        <v>473</v>
      </c>
      <c r="C1642" t="s">
        <v>5064</v>
      </c>
      <c r="D1642" t="s">
        <v>18791</v>
      </c>
      <c r="E1642" t="s">
        <v>20397</v>
      </c>
      <c r="F1642" t="s">
        <v>32664</v>
      </c>
      <c r="G1642" t="s">
        <v>32671</v>
      </c>
      <c r="H1642" t="s">
        <v>12635</v>
      </c>
      <c r="I1642" t="s">
        <v>6223</v>
      </c>
      <c r="J1642" t="s">
        <v>34023</v>
      </c>
      <c r="K1642" t="s">
        <v>42289</v>
      </c>
      <c r="M1642" t="s">
        <v>43048</v>
      </c>
      <c r="N1642" t="s">
        <v>46569</v>
      </c>
      <c r="O1642" t="s">
        <v>46570</v>
      </c>
      <c r="P1642">
        <v>0</v>
      </c>
      <c r="Q1642">
        <v>1</v>
      </c>
      <c r="R1642" t="s">
        <v>46571</v>
      </c>
      <c r="S1642" t="s">
        <v>46687</v>
      </c>
      <c r="T1642" t="s">
        <v>48403</v>
      </c>
      <c r="U1642" t="s">
        <v>49623</v>
      </c>
      <c r="W1642" t="s">
        <v>43048</v>
      </c>
      <c r="X1642" t="s">
        <v>46572</v>
      </c>
    </row>
    <row r="1643" spans="1:24">
      <c r="A1643">
        <f>HYPERLINK("https://www.philgeps.gov.ph/GEPSNONPILOT/Tender/SplashBidNoticeAbstractUI.aspx?menuIndex=3&amp;refID=7066327&amp;Result=3","7066327")</f>
        <v>0</v>
      </c>
      <c r="B1643" t="s">
        <v>253</v>
      </c>
      <c r="C1643" t="s">
        <v>5123</v>
      </c>
      <c r="D1643" t="s">
        <v>18790</v>
      </c>
      <c r="E1643" t="s">
        <v>20398</v>
      </c>
      <c r="F1643" t="s">
        <v>32664</v>
      </c>
      <c r="G1643" t="s">
        <v>32671</v>
      </c>
      <c r="H1643" t="s">
        <v>12635</v>
      </c>
      <c r="I1643" t="s">
        <v>4205</v>
      </c>
      <c r="J1643" t="s">
        <v>34024</v>
      </c>
      <c r="K1643" t="s">
        <v>42283</v>
      </c>
      <c r="M1643" t="s">
        <v>42851</v>
      </c>
      <c r="N1643" t="s">
        <v>46569</v>
      </c>
      <c r="O1643" t="s">
        <v>46570</v>
      </c>
      <c r="P1643">
        <v>0</v>
      </c>
      <c r="Q1643">
        <v>0</v>
      </c>
      <c r="R1643" t="s">
        <v>46571</v>
      </c>
      <c r="S1643" t="s">
        <v>46687</v>
      </c>
      <c r="T1643" t="s">
        <v>48283</v>
      </c>
      <c r="U1643" t="s">
        <v>50175</v>
      </c>
      <c r="W1643" t="s">
        <v>42851</v>
      </c>
      <c r="X1643" t="s">
        <v>46572</v>
      </c>
    </row>
    <row r="1644" spans="1:24">
      <c r="A1644">
        <f>HYPERLINK("https://www.philgeps.gov.ph/GEPSNONPILOT/Tender/SplashBidNoticeAbstractUI.aspx?menuIndex=3&amp;refID=7066306&amp;Result=3","7066306")</f>
        <v>0</v>
      </c>
      <c r="B1644" t="s">
        <v>745</v>
      </c>
      <c r="C1644" t="s">
        <v>5124</v>
      </c>
      <c r="D1644" t="s">
        <v>18806</v>
      </c>
      <c r="E1644" t="s">
        <v>20399</v>
      </c>
      <c r="F1644" t="s">
        <v>32664</v>
      </c>
      <c r="G1644" t="s">
        <v>32671</v>
      </c>
      <c r="H1644" t="s">
        <v>12635</v>
      </c>
      <c r="I1644" t="s">
        <v>6628</v>
      </c>
      <c r="J1644" t="s">
        <v>32917</v>
      </c>
      <c r="K1644" t="s">
        <v>42297</v>
      </c>
      <c r="M1644" t="s">
        <v>43335</v>
      </c>
      <c r="N1644" t="s">
        <v>46569</v>
      </c>
      <c r="O1644" t="s">
        <v>46570</v>
      </c>
      <c r="P1644">
        <v>0</v>
      </c>
      <c r="Q1644">
        <v>1</v>
      </c>
      <c r="R1644" t="s">
        <v>46571</v>
      </c>
      <c r="S1644" t="s">
        <v>46687</v>
      </c>
      <c r="T1644" t="s">
        <v>48221</v>
      </c>
      <c r="U1644" t="s">
        <v>50176</v>
      </c>
      <c r="V1644" t="s">
        <v>61802</v>
      </c>
      <c r="W1644" t="s">
        <v>43335</v>
      </c>
      <c r="X1644" t="s">
        <v>46572</v>
      </c>
    </row>
    <row r="1645" spans="1:24">
      <c r="A1645">
        <f>HYPERLINK("https://www.philgeps.gov.ph/GEPSNONPILOT/Tender/SplashBidNoticeAbstractUI.aspx?menuIndex=3&amp;refID=7066333&amp;Result=3","7066333")</f>
        <v>0</v>
      </c>
      <c r="B1645" t="s">
        <v>746</v>
      </c>
      <c r="C1645" t="s">
        <v>5125</v>
      </c>
      <c r="D1645" t="s">
        <v>18785</v>
      </c>
      <c r="E1645" t="s">
        <v>19718</v>
      </c>
      <c r="F1645" t="s">
        <v>32664</v>
      </c>
      <c r="G1645" t="s">
        <v>32674</v>
      </c>
      <c r="H1645" t="s">
        <v>12635</v>
      </c>
      <c r="I1645" t="s">
        <v>32692</v>
      </c>
      <c r="J1645" t="s">
        <v>34025</v>
      </c>
      <c r="K1645" t="s">
        <v>42306</v>
      </c>
      <c r="M1645" t="s">
        <v>43336</v>
      </c>
      <c r="N1645" t="s">
        <v>46569</v>
      </c>
      <c r="O1645" t="s">
        <v>46570</v>
      </c>
      <c r="P1645">
        <v>0</v>
      </c>
      <c r="Q1645">
        <v>0</v>
      </c>
      <c r="R1645" t="s">
        <v>46571</v>
      </c>
      <c r="S1645" t="s">
        <v>46687</v>
      </c>
      <c r="T1645" t="s">
        <v>48254</v>
      </c>
      <c r="U1645" t="s">
        <v>50177</v>
      </c>
      <c r="W1645" t="s">
        <v>43336</v>
      </c>
      <c r="X1645" t="s">
        <v>46572</v>
      </c>
    </row>
    <row r="1646" spans="1:24">
      <c r="A1646">
        <f>HYPERLINK("https://www.philgeps.gov.ph/GEPSNONPILOT/Tender/SplashBidNoticeAbstractUI.aspx?menuIndex=3&amp;refID=7066339&amp;Result=3","7066339")</f>
        <v>0</v>
      </c>
      <c r="B1646" t="s">
        <v>719</v>
      </c>
      <c r="C1646" t="s">
        <v>5126</v>
      </c>
      <c r="D1646" t="s">
        <v>18812</v>
      </c>
      <c r="E1646" t="s">
        <v>20400</v>
      </c>
      <c r="F1646" t="s">
        <v>32664</v>
      </c>
      <c r="G1646" t="s">
        <v>32671</v>
      </c>
      <c r="H1646" t="s">
        <v>12635</v>
      </c>
      <c r="I1646" t="s">
        <v>8797</v>
      </c>
      <c r="J1646" t="s">
        <v>33820</v>
      </c>
      <c r="K1646" t="s">
        <v>42284</v>
      </c>
      <c r="M1646" t="s">
        <v>43306</v>
      </c>
      <c r="N1646" t="s">
        <v>46569</v>
      </c>
      <c r="O1646" t="s">
        <v>46570</v>
      </c>
      <c r="P1646">
        <v>0</v>
      </c>
      <c r="Q1646">
        <v>1</v>
      </c>
      <c r="R1646" t="s">
        <v>46571</v>
      </c>
      <c r="S1646" t="s">
        <v>46687</v>
      </c>
      <c r="T1646" t="s">
        <v>48230</v>
      </c>
      <c r="U1646" t="s">
        <v>50178</v>
      </c>
      <c r="W1646" t="s">
        <v>43306</v>
      </c>
      <c r="X1646" t="s">
        <v>46572</v>
      </c>
    </row>
    <row r="1647" spans="1:24">
      <c r="A1647">
        <f>HYPERLINK("https://www.philgeps.gov.ph/GEPSNONPILOT/Tender/SplashBidNoticeAbstractUI.aspx?menuIndex=3&amp;refID=7066318&amp;Result=3","7066318")</f>
        <v>0</v>
      </c>
      <c r="B1647" t="s">
        <v>747</v>
      </c>
      <c r="C1647" t="s">
        <v>5127</v>
      </c>
      <c r="D1647" t="s">
        <v>18806</v>
      </c>
      <c r="E1647" t="s">
        <v>20401</v>
      </c>
      <c r="F1647" t="s">
        <v>32664</v>
      </c>
      <c r="G1647" t="s">
        <v>32672</v>
      </c>
      <c r="H1647" t="s">
        <v>12635</v>
      </c>
      <c r="I1647" t="s">
        <v>9486</v>
      </c>
      <c r="J1647" t="s">
        <v>34026</v>
      </c>
      <c r="K1647" t="s">
        <v>42305</v>
      </c>
      <c r="M1647" t="s">
        <v>43337</v>
      </c>
      <c r="N1647" t="s">
        <v>46569</v>
      </c>
      <c r="O1647" t="s">
        <v>46570</v>
      </c>
      <c r="P1647">
        <v>0</v>
      </c>
      <c r="Q1647">
        <v>1</v>
      </c>
      <c r="R1647" t="s">
        <v>46571</v>
      </c>
      <c r="S1647" t="s">
        <v>46687</v>
      </c>
      <c r="T1647" t="s">
        <v>48404</v>
      </c>
      <c r="U1647" t="s">
        <v>50179</v>
      </c>
      <c r="V1647" t="s">
        <v>61803</v>
      </c>
      <c r="W1647" t="s">
        <v>43337</v>
      </c>
      <c r="X1647" t="s">
        <v>46572</v>
      </c>
    </row>
    <row r="1648" spans="1:24">
      <c r="A1648">
        <f>HYPERLINK("https://www.philgeps.gov.ph/GEPSNONPILOT/Tender/SplashBidNoticeAbstractUI.aspx?menuIndex=3&amp;refID=7066323&amp;Result=3","7066323")</f>
        <v>0</v>
      </c>
      <c r="B1648" t="s">
        <v>748</v>
      </c>
      <c r="C1648" t="s">
        <v>5128</v>
      </c>
      <c r="D1648" t="s">
        <v>18805</v>
      </c>
      <c r="E1648" t="s">
        <v>20402</v>
      </c>
      <c r="F1648" t="s">
        <v>32664</v>
      </c>
      <c r="G1648" t="s">
        <v>32674</v>
      </c>
      <c r="H1648" t="s">
        <v>12635</v>
      </c>
      <c r="I1648" t="s">
        <v>7324</v>
      </c>
      <c r="J1648" t="s">
        <v>34027</v>
      </c>
      <c r="K1648" t="s">
        <v>42284</v>
      </c>
      <c r="M1648" t="s">
        <v>43338</v>
      </c>
      <c r="N1648" t="s">
        <v>46569</v>
      </c>
      <c r="O1648" t="s">
        <v>46570</v>
      </c>
      <c r="P1648">
        <v>0</v>
      </c>
      <c r="Q1648">
        <v>0</v>
      </c>
      <c r="R1648" t="s">
        <v>46571</v>
      </c>
      <c r="S1648" t="s">
        <v>46687</v>
      </c>
      <c r="T1648" t="s">
        <v>48221</v>
      </c>
      <c r="U1648" t="s">
        <v>50180</v>
      </c>
      <c r="W1648" t="s">
        <v>43338</v>
      </c>
      <c r="X1648" t="s">
        <v>46572</v>
      </c>
    </row>
    <row r="1649" spans="1:24">
      <c r="A1649">
        <f>HYPERLINK("https://www.philgeps.gov.ph/GEPSNONPILOT/Tender/SplashBidNoticeAbstractUI.aspx?menuIndex=3&amp;refID=7066367&amp;Result=3","7066367")</f>
        <v>0</v>
      </c>
      <c r="B1649" t="s">
        <v>749</v>
      </c>
      <c r="C1649" t="s">
        <v>5129</v>
      </c>
      <c r="D1649" t="s">
        <v>18788</v>
      </c>
      <c r="E1649" t="s">
        <v>20403</v>
      </c>
      <c r="F1649" t="s">
        <v>32664</v>
      </c>
      <c r="G1649" t="s">
        <v>32671</v>
      </c>
      <c r="H1649" t="s">
        <v>12635</v>
      </c>
      <c r="I1649" t="s">
        <v>6168</v>
      </c>
      <c r="J1649" t="s">
        <v>33893</v>
      </c>
      <c r="K1649" t="s">
        <v>42283</v>
      </c>
      <c r="M1649" t="s">
        <v>43339</v>
      </c>
      <c r="N1649" t="s">
        <v>46569</v>
      </c>
      <c r="O1649" t="s">
        <v>46570</v>
      </c>
      <c r="P1649">
        <v>0</v>
      </c>
      <c r="Q1649">
        <v>1</v>
      </c>
      <c r="R1649" t="s">
        <v>46571</v>
      </c>
      <c r="S1649" t="s">
        <v>46687</v>
      </c>
      <c r="T1649" t="s">
        <v>48228</v>
      </c>
      <c r="U1649" t="s">
        <v>50181</v>
      </c>
      <c r="W1649" t="s">
        <v>43339</v>
      </c>
      <c r="X1649" t="s">
        <v>46572</v>
      </c>
    </row>
    <row r="1650" spans="1:24">
      <c r="A1650">
        <f>HYPERLINK("https://www.philgeps.gov.ph/GEPSNONPILOT/Tender/SplashBidNoticeAbstractUI.aspx?menuIndex=3&amp;refID=7066331&amp;Result=3","7066331")</f>
        <v>0</v>
      </c>
      <c r="B1650" t="s">
        <v>431</v>
      </c>
      <c r="C1650" t="s">
        <v>5130</v>
      </c>
      <c r="D1650" t="s">
        <v>18786</v>
      </c>
      <c r="E1650" t="s">
        <v>20404</v>
      </c>
      <c r="F1650" t="s">
        <v>32664</v>
      </c>
      <c r="G1650" t="s">
        <v>32672</v>
      </c>
      <c r="H1650" t="s">
        <v>12635</v>
      </c>
      <c r="I1650" t="s">
        <v>32736</v>
      </c>
      <c r="J1650" t="s">
        <v>34028</v>
      </c>
      <c r="K1650" t="s">
        <v>42289</v>
      </c>
      <c r="M1650" t="s">
        <v>43002</v>
      </c>
      <c r="N1650" t="s">
        <v>46569</v>
      </c>
      <c r="O1650" t="s">
        <v>46570</v>
      </c>
      <c r="P1650">
        <v>0</v>
      </c>
      <c r="Q1650">
        <v>0</v>
      </c>
      <c r="R1650" t="s">
        <v>46571</v>
      </c>
      <c r="S1650" t="s">
        <v>46687</v>
      </c>
      <c r="T1650" t="s">
        <v>48405</v>
      </c>
      <c r="U1650" t="s">
        <v>50182</v>
      </c>
      <c r="W1650" t="s">
        <v>63476</v>
      </c>
      <c r="X1650" t="s">
        <v>46572</v>
      </c>
    </row>
    <row r="1651" spans="1:24">
      <c r="A1651">
        <f>HYPERLINK("https://www.philgeps.gov.ph/GEPSNONPILOT/Tender/SplashBidNoticeAbstractUI.aspx?menuIndex=3&amp;refID=7066366&amp;Result=3","7066366")</f>
        <v>0</v>
      </c>
      <c r="B1651" t="s">
        <v>300</v>
      </c>
      <c r="C1651" t="s">
        <v>5131</v>
      </c>
      <c r="D1651" t="s">
        <v>18788</v>
      </c>
      <c r="E1651" t="s">
        <v>20405</v>
      </c>
      <c r="F1651" t="s">
        <v>32664</v>
      </c>
      <c r="G1651" t="s">
        <v>32671</v>
      </c>
      <c r="H1651" t="s">
        <v>12635</v>
      </c>
      <c r="I1651" t="s">
        <v>32699</v>
      </c>
      <c r="J1651" t="s">
        <v>33078</v>
      </c>
      <c r="K1651" t="s">
        <v>42298</v>
      </c>
      <c r="M1651" t="s">
        <v>42867</v>
      </c>
      <c r="N1651" t="s">
        <v>46569</v>
      </c>
      <c r="O1651" t="s">
        <v>46570</v>
      </c>
      <c r="P1651">
        <v>0</v>
      </c>
      <c r="Q1651">
        <v>0</v>
      </c>
      <c r="R1651" t="s">
        <v>46571</v>
      </c>
      <c r="S1651" t="s">
        <v>46687</v>
      </c>
      <c r="T1651" t="s">
        <v>48314</v>
      </c>
      <c r="U1651" t="s">
        <v>49313</v>
      </c>
      <c r="W1651" t="s">
        <v>42867</v>
      </c>
      <c r="X1651" t="s">
        <v>46572</v>
      </c>
    </row>
    <row r="1652" spans="1:24">
      <c r="A1652">
        <f>HYPERLINK("https://www.philgeps.gov.ph/GEPSNONPILOT/Tender/SplashBidNoticeAbstractUI.aspx?menuIndex=3&amp;refID=7066325&amp;Result=3","7066325")</f>
        <v>0</v>
      </c>
      <c r="B1652" t="s">
        <v>732</v>
      </c>
      <c r="C1652" t="s">
        <v>5132</v>
      </c>
      <c r="D1652" t="s">
        <v>18841</v>
      </c>
      <c r="E1652" t="s">
        <v>20406</v>
      </c>
      <c r="F1652" t="s">
        <v>32664</v>
      </c>
      <c r="G1652" t="s">
        <v>32672</v>
      </c>
      <c r="H1652" t="s">
        <v>32683</v>
      </c>
      <c r="I1652" t="s">
        <v>10627</v>
      </c>
      <c r="J1652" t="s">
        <v>34029</v>
      </c>
      <c r="K1652" t="s">
        <v>42311</v>
      </c>
      <c r="M1652" t="s">
        <v>43321</v>
      </c>
      <c r="N1652" t="s">
        <v>46569</v>
      </c>
      <c r="O1652" t="s">
        <v>46570</v>
      </c>
      <c r="P1652">
        <v>0</v>
      </c>
      <c r="Q1652">
        <v>0</v>
      </c>
      <c r="R1652" t="s">
        <v>46571</v>
      </c>
      <c r="S1652" t="s">
        <v>46687</v>
      </c>
      <c r="T1652" t="s">
        <v>48400</v>
      </c>
      <c r="U1652" t="s">
        <v>50183</v>
      </c>
      <c r="W1652" t="s">
        <v>43321</v>
      </c>
      <c r="X1652" t="s">
        <v>46572</v>
      </c>
    </row>
    <row r="1653" spans="1:24">
      <c r="A1653">
        <f>HYPERLINK("https://www.philgeps.gov.ph/GEPSNONPILOT/Tender/SplashBidNoticeAbstractUI.aspx?menuIndex=3&amp;refID=7066368&amp;Result=3","7066368")</f>
        <v>0</v>
      </c>
      <c r="B1653" t="s">
        <v>612</v>
      </c>
      <c r="C1653" t="s">
        <v>4138</v>
      </c>
      <c r="D1653" t="s">
        <v>18834</v>
      </c>
      <c r="E1653" t="s">
        <v>19653</v>
      </c>
      <c r="F1653" t="s">
        <v>32665</v>
      </c>
      <c r="G1653" t="s">
        <v>32674</v>
      </c>
      <c r="H1653" t="s">
        <v>12635</v>
      </c>
      <c r="I1653" t="s">
        <v>6168</v>
      </c>
      <c r="J1653" t="s">
        <v>34030</v>
      </c>
      <c r="K1653" t="s">
        <v>42306</v>
      </c>
      <c r="M1653" t="s">
        <v>43192</v>
      </c>
      <c r="N1653" t="s">
        <v>46569</v>
      </c>
      <c r="O1653" t="s">
        <v>46570</v>
      </c>
      <c r="P1653">
        <v>0</v>
      </c>
      <c r="Q1653">
        <v>0</v>
      </c>
      <c r="R1653" t="s">
        <v>46571</v>
      </c>
      <c r="S1653" t="s">
        <v>46687</v>
      </c>
      <c r="T1653" t="s">
        <v>48258</v>
      </c>
      <c r="U1653" t="s">
        <v>49134</v>
      </c>
      <c r="W1653" t="s">
        <v>43192</v>
      </c>
      <c r="X1653" t="s">
        <v>46572</v>
      </c>
    </row>
    <row r="1654" spans="1:24">
      <c r="A1654">
        <f>HYPERLINK("https://www.philgeps.gov.ph/GEPSNONPILOT/Tender/SplashBidNoticeAbstractUI.aspx?menuIndex=3&amp;refID=7066364&amp;Result=3","7066364")</f>
        <v>0</v>
      </c>
      <c r="B1654" t="s">
        <v>690</v>
      </c>
      <c r="C1654" t="s">
        <v>5133</v>
      </c>
      <c r="D1654" t="s">
        <v>18781</v>
      </c>
      <c r="E1654" t="s">
        <v>20407</v>
      </c>
      <c r="F1654" t="s">
        <v>32664</v>
      </c>
      <c r="G1654" t="s">
        <v>32672</v>
      </c>
      <c r="H1654" t="s">
        <v>32683</v>
      </c>
      <c r="I1654" t="s">
        <v>10627</v>
      </c>
      <c r="J1654" t="s">
        <v>33508</v>
      </c>
      <c r="K1654" t="s">
        <v>42345</v>
      </c>
      <c r="L1654" t="s">
        <v>690</v>
      </c>
      <c r="M1654" t="s">
        <v>43277</v>
      </c>
      <c r="N1654" t="s">
        <v>46569</v>
      </c>
      <c r="O1654" t="s">
        <v>46570</v>
      </c>
      <c r="P1654">
        <v>0</v>
      </c>
      <c r="Q1654">
        <v>0</v>
      </c>
      <c r="R1654" t="s">
        <v>46571</v>
      </c>
      <c r="S1654" t="s">
        <v>46687</v>
      </c>
      <c r="T1654" t="s">
        <v>48360</v>
      </c>
      <c r="U1654" t="s">
        <v>50079</v>
      </c>
      <c r="W1654" t="s">
        <v>43277</v>
      </c>
      <c r="X1654" t="s">
        <v>46572</v>
      </c>
    </row>
    <row r="1655" spans="1:24">
      <c r="A1655">
        <f>HYPERLINK("https://www.philgeps.gov.ph/GEPSNONPILOT/Tender/SplashBidNoticeAbstractUI.aspx?menuIndex=3&amp;refID=7066361&amp;Result=3","7066361")</f>
        <v>0</v>
      </c>
      <c r="B1655" t="s">
        <v>712</v>
      </c>
      <c r="C1655" t="s">
        <v>5134</v>
      </c>
      <c r="D1655" t="s">
        <v>18845</v>
      </c>
      <c r="E1655" t="s">
        <v>20408</v>
      </c>
      <c r="F1655" t="s">
        <v>32664</v>
      </c>
      <c r="G1655" t="s">
        <v>32671</v>
      </c>
      <c r="H1655" t="s">
        <v>12635</v>
      </c>
      <c r="I1655" t="s">
        <v>32737</v>
      </c>
      <c r="J1655" t="s">
        <v>34031</v>
      </c>
      <c r="K1655" t="s">
        <v>42283</v>
      </c>
      <c r="M1655" t="s">
        <v>43299</v>
      </c>
      <c r="N1655" t="s">
        <v>46569</v>
      </c>
      <c r="O1655" t="s">
        <v>46570</v>
      </c>
      <c r="P1655">
        <v>0</v>
      </c>
      <c r="Q1655">
        <v>0</v>
      </c>
      <c r="R1655" t="s">
        <v>46571</v>
      </c>
      <c r="S1655" t="s">
        <v>46687</v>
      </c>
      <c r="T1655" t="s">
        <v>48244</v>
      </c>
      <c r="U1655" t="s">
        <v>50111</v>
      </c>
      <c r="W1655" t="s">
        <v>43299</v>
      </c>
      <c r="X1655" t="s">
        <v>46572</v>
      </c>
    </row>
    <row r="1656" spans="1:24">
      <c r="A1656">
        <f>HYPERLINK("https://www.philgeps.gov.ph/GEPSNONPILOT/Tender/SplashBidNoticeAbstractUI.aspx?menuIndex=3&amp;refID=7066359&amp;Result=3","7066359")</f>
        <v>0</v>
      </c>
      <c r="B1656" t="s">
        <v>689</v>
      </c>
      <c r="C1656" t="s">
        <v>5135</v>
      </c>
      <c r="D1656" t="s">
        <v>18800</v>
      </c>
      <c r="E1656" t="s">
        <v>20409</v>
      </c>
      <c r="F1656" t="s">
        <v>32664</v>
      </c>
      <c r="G1656" t="s">
        <v>32671</v>
      </c>
      <c r="H1656" t="s">
        <v>12635</v>
      </c>
      <c r="I1656" t="s">
        <v>4439</v>
      </c>
      <c r="J1656" t="s">
        <v>34032</v>
      </c>
      <c r="K1656" t="s">
        <v>42281</v>
      </c>
      <c r="M1656" t="s">
        <v>43276</v>
      </c>
      <c r="N1656" t="s">
        <v>46569</v>
      </c>
      <c r="O1656" t="s">
        <v>46570</v>
      </c>
      <c r="P1656">
        <v>0</v>
      </c>
      <c r="Q1656">
        <v>0</v>
      </c>
      <c r="R1656" t="s">
        <v>46571</v>
      </c>
      <c r="S1656" t="s">
        <v>46687</v>
      </c>
      <c r="T1656" t="s">
        <v>48293</v>
      </c>
      <c r="U1656" t="s">
        <v>50093</v>
      </c>
      <c r="V1656" t="s">
        <v>61795</v>
      </c>
      <c r="W1656" t="s">
        <v>43276</v>
      </c>
      <c r="X1656" t="s">
        <v>46572</v>
      </c>
    </row>
    <row r="1657" spans="1:24">
      <c r="A1657">
        <f>HYPERLINK("https://www.philgeps.gov.ph/GEPSNONPILOT/Tender/SplashBidNoticeAbstractUI.aspx?menuIndex=3&amp;refID=7066324&amp;Result=3","7066324")</f>
        <v>0</v>
      </c>
      <c r="B1657" t="s">
        <v>690</v>
      </c>
      <c r="C1657" t="s">
        <v>5136</v>
      </c>
      <c r="D1657" t="s">
        <v>18781</v>
      </c>
      <c r="E1657" t="s">
        <v>20410</v>
      </c>
      <c r="F1657" t="s">
        <v>32664</v>
      </c>
      <c r="G1657" t="s">
        <v>32672</v>
      </c>
      <c r="H1657" t="s">
        <v>32683</v>
      </c>
      <c r="I1657" t="s">
        <v>10627</v>
      </c>
      <c r="J1657" t="s">
        <v>34033</v>
      </c>
      <c r="K1657" t="s">
        <v>42365</v>
      </c>
      <c r="L1657" t="s">
        <v>690</v>
      </c>
      <c r="M1657" t="s">
        <v>43277</v>
      </c>
      <c r="N1657" t="s">
        <v>46569</v>
      </c>
      <c r="O1657" t="s">
        <v>46570</v>
      </c>
      <c r="P1657">
        <v>0</v>
      </c>
      <c r="Q1657">
        <v>0</v>
      </c>
      <c r="R1657" t="s">
        <v>46571</v>
      </c>
      <c r="S1657" t="s">
        <v>46687</v>
      </c>
      <c r="T1657" t="s">
        <v>48406</v>
      </c>
      <c r="U1657" t="s">
        <v>50079</v>
      </c>
      <c r="W1657" t="s">
        <v>43277</v>
      </c>
      <c r="X1657" t="s">
        <v>46572</v>
      </c>
    </row>
    <row r="1658" spans="1:24">
      <c r="A1658">
        <f>HYPERLINK("https://www.philgeps.gov.ph/GEPSNONPILOT/Tender/SplashBidNoticeAbstractUI.aspx?menuIndex=3&amp;refID=7066357&amp;Result=3","7066357")</f>
        <v>0</v>
      </c>
      <c r="B1658" t="s">
        <v>679</v>
      </c>
      <c r="C1658" t="s">
        <v>5137</v>
      </c>
      <c r="D1658" t="s">
        <v>18831</v>
      </c>
      <c r="E1658" t="s">
        <v>20411</v>
      </c>
      <c r="F1658" t="s">
        <v>32664</v>
      </c>
      <c r="G1658" t="s">
        <v>32672</v>
      </c>
      <c r="H1658" t="s">
        <v>12635</v>
      </c>
      <c r="I1658" t="s">
        <v>6628</v>
      </c>
      <c r="J1658" t="s">
        <v>34034</v>
      </c>
      <c r="K1658" t="s">
        <v>42281</v>
      </c>
      <c r="M1658" t="s">
        <v>43266</v>
      </c>
      <c r="N1658" t="s">
        <v>46569</v>
      </c>
      <c r="O1658" t="s">
        <v>46570</v>
      </c>
      <c r="P1658">
        <v>0</v>
      </c>
      <c r="Q1658">
        <v>1</v>
      </c>
      <c r="R1658" t="s">
        <v>46571</v>
      </c>
      <c r="S1658" t="s">
        <v>46687</v>
      </c>
      <c r="T1658" t="s">
        <v>48270</v>
      </c>
      <c r="U1658" t="s">
        <v>50063</v>
      </c>
      <c r="W1658" t="s">
        <v>43266</v>
      </c>
      <c r="X1658" t="s">
        <v>46572</v>
      </c>
    </row>
    <row r="1659" spans="1:24">
      <c r="A1659">
        <f>HYPERLINK("https://www.philgeps.gov.ph/GEPSNONPILOT/Tender/SplashBidNoticeAbstractUI.aspx?menuIndex=3&amp;refID=7066332&amp;Result=3","7066332")</f>
        <v>0</v>
      </c>
      <c r="B1659" t="s">
        <v>708</v>
      </c>
      <c r="C1659" t="s">
        <v>5138</v>
      </c>
      <c r="D1659" t="s">
        <v>18792</v>
      </c>
      <c r="E1659" t="s">
        <v>20412</v>
      </c>
      <c r="F1659" t="s">
        <v>32664</v>
      </c>
      <c r="G1659" t="s">
        <v>32671</v>
      </c>
      <c r="H1659" t="s">
        <v>12635</v>
      </c>
      <c r="I1659" t="s">
        <v>32685</v>
      </c>
      <c r="J1659" t="s">
        <v>34035</v>
      </c>
      <c r="K1659" t="s">
        <v>42283</v>
      </c>
      <c r="M1659" t="s">
        <v>43295</v>
      </c>
      <c r="N1659" t="s">
        <v>46569</v>
      </c>
      <c r="O1659" t="s">
        <v>46570</v>
      </c>
      <c r="P1659">
        <v>0</v>
      </c>
      <c r="Q1659">
        <v>0</v>
      </c>
      <c r="R1659" t="s">
        <v>46571</v>
      </c>
      <c r="S1659" t="s">
        <v>46687</v>
      </c>
      <c r="T1659" t="s">
        <v>48228</v>
      </c>
      <c r="U1659" t="s">
        <v>50184</v>
      </c>
      <c r="W1659" t="s">
        <v>43295</v>
      </c>
      <c r="X1659" t="s">
        <v>46572</v>
      </c>
    </row>
    <row r="1660" spans="1:24">
      <c r="A1660">
        <f>HYPERLINK("https://www.philgeps.gov.ph/GEPSNONPILOT/Tender/SplashBidNoticeAbstractUI.aspx?menuIndex=3&amp;refID=7066355&amp;Result=3","7066355")</f>
        <v>0</v>
      </c>
      <c r="B1660" t="s">
        <v>444</v>
      </c>
      <c r="C1660" t="s">
        <v>5139</v>
      </c>
      <c r="D1660" t="s">
        <v>18843</v>
      </c>
      <c r="E1660" t="s">
        <v>20413</v>
      </c>
      <c r="F1660" t="s">
        <v>32664</v>
      </c>
      <c r="G1660" t="s">
        <v>32671</v>
      </c>
      <c r="H1660" t="s">
        <v>12635</v>
      </c>
      <c r="I1660" t="s">
        <v>10361</v>
      </c>
      <c r="J1660" t="s">
        <v>34036</v>
      </c>
      <c r="K1660" t="s">
        <v>42283</v>
      </c>
      <c r="M1660" t="s">
        <v>43017</v>
      </c>
      <c r="N1660" t="s">
        <v>46569</v>
      </c>
      <c r="O1660" t="s">
        <v>46570</v>
      </c>
      <c r="P1660">
        <v>0</v>
      </c>
      <c r="Q1660">
        <v>0</v>
      </c>
      <c r="R1660" t="s">
        <v>46571</v>
      </c>
      <c r="S1660" t="s">
        <v>46687</v>
      </c>
      <c r="T1660" t="s">
        <v>48297</v>
      </c>
      <c r="U1660" t="s">
        <v>49565</v>
      </c>
      <c r="W1660" t="s">
        <v>43017</v>
      </c>
      <c r="X1660" t="s">
        <v>46572</v>
      </c>
    </row>
    <row r="1661" spans="1:24">
      <c r="A1661">
        <f>HYPERLINK("https://www.philgeps.gov.ph/GEPSNONPILOT/Tender/SplashBidNoticeAbstractUI.aspx?menuIndex=3&amp;refID=7066321&amp;Result=3","7066321")</f>
        <v>0</v>
      </c>
      <c r="B1661" t="s">
        <v>750</v>
      </c>
      <c r="C1661" t="s">
        <v>5140</v>
      </c>
      <c r="E1661" t="s">
        <v>20414</v>
      </c>
      <c r="F1661" t="s">
        <v>32664</v>
      </c>
      <c r="G1661" t="s">
        <v>32672</v>
      </c>
      <c r="H1661" t="s">
        <v>32681</v>
      </c>
      <c r="I1661" t="s">
        <v>32681</v>
      </c>
      <c r="J1661" t="s">
        <v>34037</v>
      </c>
      <c r="K1661" t="s">
        <v>42283</v>
      </c>
      <c r="M1661" t="s">
        <v>43340</v>
      </c>
      <c r="N1661" t="s">
        <v>46569</v>
      </c>
      <c r="O1661" t="s">
        <v>46570</v>
      </c>
      <c r="P1661">
        <v>0</v>
      </c>
      <c r="Q1661">
        <v>6</v>
      </c>
      <c r="R1661" t="s">
        <v>46571</v>
      </c>
      <c r="S1661" t="s">
        <v>46687</v>
      </c>
      <c r="T1661" t="s">
        <v>48248</v>
      </c>
      <c r="U1661" t="s">
        <v>50185</v>
      </c>
      <c r="W1661" t="s">
        <v>63488</v>
      </c>
      <c r="X1661" t="s">
        <v>46572</v>
      </c>
    </row>
    <row r="1662" spans="1:24">
      <c r="A1662">
        <f>HYPERLINK("https://www.philgeps.gov.ph/GEPSNONPILOT/Tender/SplashBidNoticeAbstractUI.aspx?menuIndex=3&amp;refID=7066354&amp;Result=3","7066354")</f>
        <v>0</v>
      </c>
      <c r="B1662" t="s">
        <v>690</v>
      </c>
      <c r="C1662" t="s">
        <v>5141</v>
      </c>
      <c r="D1662" t="s">
        <v>18781</v>
      </c>
      <c r="E1662" t="s">
        <v>20415</v>
      </c>
      <c r="F1662" t="s">
        <v>32664</v>
      </c>
      <c r="G1662" t="s">
        <v>32672</v>
      </c>
      <c r="H1662" t="s">
        <v>32683</v>
      </c>
      <c r="I1662" t="s">
        <v>10627</v>
      </c>
      <c r="J1662" t="s">
        <v>33508</v>
      </c>
      <c r="K1662" t="s">
        <v>42366</v>
      </c>
      <c r="L1662" t="s">
        <v>690</v>
      </c>
      <c r="M1662" t="s">
        <v>43277</v>
      </c>
      <c r="N1662" t="s">
        <v>46569</v>
      </c>
      <c r="O1662" t="s">
        <v>46570</v>
      </c>
      <c r="P1662">
        <v>0</v>
      </c>
      <c r="Q1662">
        <v>0</v>
      </c>
      <c r="R1662" t="s">
        <v>46571</v>
      </c>
      <c r="S1662" t="s">
        <v>46687</v>
      </c>
      <c r="T1662" t="s">
        <v>48360</v>
      </c>
      <c r="U1662" t="s">
        <v>50079</v>
      </c>
      <c r="W1662" t="s">
        <v>43277</v>
      </c>
      <c r="X1662" t="s">
        <v>46572</v>
      </c>
    </row>
    <row r="1663" spans="1:24">
      <c r="A1663">
        <f>HYPERLINK("https://www.philgeps.gov.ph/GEPSNONPILOT/Tender/SplashBidNoticeAbstractUI.aspx?menuIndex=3&amp;refID=7066352&amp;Result=3","7066352")</f>
        <v>0</v>
      </c>
      <c r="B1663" t="s">
        <v>253</v>
      </c>
      <c r="C1663" t="s">
        <v>5142</v>
      </c>
      <c r="D1663" t="s">
        <v>18790</v>
      </c>
      <c r="E1663" t="s">
        <v>20416</v>
      </c>
      <c r="F1663" t="s">
        <v>32664</v>
      </c>
      <c r="G1663" t="s">
        <v>32671</v>
      </c>
      <c r="H1663" t="s">
        <v>12635</v>
      </c>
      <c r="I1663" t="s">
        <v>32699</v>
      </c>
      <c r="J1663" t="s">
        <v>33345</v>
      </c>
      <c r="K1663" t="s">
        <v>42283</v>
      </c>
      <c r="M1663" t="s">
        <v>42851</v>
      </c>
      <c r="N1663" t="s">
        <v>46569</v>
      </c>
      <c r="O1663" t="s">
        <v>46570</v>
      </c>
      <c r="P1663">
        <v>0</v>
      </c>
      <c r="Q1663">
        <v>0</v>
      </c>
      <c r="R1663" t="s">
        <v>46571</v>
      </c>
      <c r="S1663" t="s">
        <v>46687</v>
      </c>
      <c r="T1663" t="s">
        <v>48283</v>
      </c>
      <c r="U1663" t="s">
        <v>50186</v>
      </c>
      <c r="W1663" t="s">
        <v>42851</v>
      </c>
      <c r="X1663" t="s">
        <v>46572</v>
      </c>
    </row>
    <row r="1664" spans="1:24">
      <c r="A1664">
        <f>HYPERLINK("https://www.philgeps.gov.ph/GEPSNONPILOT/Tender/SplashBidNoticeAbstractUI.aspx?menuIndex=3&amp;refID=7066351&amp;Result=3","7066351")</f>
        <v>0</v>
      </c>
      <c r="B1664" t="s">
        <v>705</v>
      </c>
      <c r="C1664" t="s">
        <v>5143</v>
      </c>
      <c r="D1664" t="s">
        <v>18789</v>
      </c>
      <c r="E1664" t="s">
        <v>20417</v>
      </c>
      <c r="F1664" t="s">
        <v>32664</v>
      </c>
      <c r="G1664" t="s">
        <v>32671</v>
      </c>
      <c r="H1664" t="s">
        <v>12635</v>
      </c>
      <c r="I1664" t="s">
        <v>32696</v>
      </c>
      <c r="J1664" t="s">
        <v>34038</v>
      </c>
      <c r="K1664" t="s">
        <v>42283</v>
      </c>
      <c r="M1664" t="s">
        <v>43292</v>
      </c>
      <c r="N1664" t="s">
        <v>46569</v>
      </c>
      <c r="O1664" t="s">
        <v>46570</v>
      </c>
      <c r="P1664">
        <v>0</v>
      </c>
      <c r="Q1664">
        <v>1</v>
      </c>
      <c r="R1664" t="s">
        <v>46571</v>
      </c>
      <c r="S1664" t="s">
        <v>46687</v>
      </c>
      <c r="T1664" t="s">
        <v>48245</v>
      </c>
      <c r="U1664" t="s">
        <v>50104</v>
      </c>
      <c r="W1664" t="s">
        <v>43292</v>
      </c>
      <c r="X1664" t="s">
        <v>46572</v>
      </c>
    </row>
    <row r="1665" spans="1:24">
      <c r="A1665">
        <f>HYPERLINK("https://www.philgeps.gov.ph/GEPSNONPILOT/Tender/SplashBidNoticeAbstractUI.aspx?menuIndex=3&amp;refID=7066360&amp;Result=3","7066360")</f>
        <v>0</v>
      </c>
      <c r="B1665" t="s">
        <v>751</v>
      </c>
      <c r="C1665" t="s">
        <v>5144</v>
      </c>
      <c r="D1665" t="s">
        <v>18784</v>
      </c>
      <c r="E1665" t="s">
        <v>20418</v>
      </c>
      <c r="F1665" t="s">
        <v>32664</v>
      </c>
      <c r="G1665" t="s">
        <v>32671</v>
      </c>
      <c r="H1665" t="s">
        <v>12635</v>
      </c>
      <c r="I1665" t="s">
        <v>32763</v>
      </c>
      <c r="J1665" t="s">
        <v>34039</v>
      </c>
      <c r="K1665" t="s">
        <v>42284</v>
      </c>
      <c r="M1665" t="s">
        <v>43341</v>
      </c>
      <c r="N1665" t="s">
        <v>46569</v>
      </c>
      <c r="O1665" t="s">
        <v>46570</v>
      </c>
      <c r="P1665">
        <v>0</v>
      </c>
      <c r="Q1665">
        <v>1</v>
      </c>
      <c r="R1665" t="s">
        <v>46571</v>
      </c>
      <c r="S1665" t="s">
        <v>46687</v>
      </c>
      <c r="T1665" t="s">
        <v>48296</v>
      </c>
      <c r="U1665" t="s">
        <v>50187</v>
      </c>
      <c r="V1665" t="s">
        <v>61804</v>
      </c>
      <c r="W1665" t="s">
        <v>43341</v>
      </c>
      <c r="X1665" t="s">
        <v>46572</v>
      </c>
    </row>
    <row r="1666" spans="1:24">
      <c r="A1666">
        <f>HYPERLINK("https://www.philgeps.gov.ph/GEPSNONPILOT/Tender/SplashBidNoticeAbstractUI.aspx?menuIndex=3&amp;refID=7066349&amp;Result=3","7066349")</f>
        <v>0</v>
      </c>
      <c r="B1666" t="s">
        <v>752</v>
      </c>
      <c r="C1666" t="s">
        <v>5145</v>
      </c>
      <c r="D1666" t="s">
        <v>18842</v>
      </c>
      <c r="E1666" t="s">
        <v>20419</v>
      </c>
      <c r="F1666" t="s">
        <v>32664</v>
      </c>
      <c r="G1666" t="s">
        <v>32671</v>
      </c>
      <c r="H1666" t="s">
        <v>12635</v>
      </c>
      <c r="I1666" t="s">
        <v>5589</v>
      </c>
      <c r="J1666" t="s">
        <v>34040</v>
      </c>
      <c r="K1666" t="s">
        <v>42297</v>
      </c>
      <c r="M1666" t="s">
        <v>43342</v>
      </c>
      <c r="N1666" t="s">
        <v>46569</v>
      </c>
      <c r="O1666" t="s">
        <v>46570</v>
      </c>
      <c r="P1666">
        <v>0</v>
      </c>
      <c r="Q1666">
        <v>4</v>
      </c>
      <c r="R1666" t="s">
        <v>46571</v>
      </c>
      <c r="S1666" t="s">
        <v>46687</v>
      </c>
      <c r="T1666" t="s">
        <v>48280</v>
      </c>
      <c r="U1666" t="s">
        <v>50188</v>
      </c>
      <c r="W1666" t="s">
        <v>43342</v>
      </c>
      <c r="X1666" t="s">
        <v>46572</v>
      </c>
    </row>
    <row r="1667" spans="1:24">
      <c r="A1667">
        <f>HYPERLINK("https://www.philgeps.gov.ph/GEPSNONPILOT/Tender/SplashBidNoticeAbstractUI.aspx?menuIndex=3&amp;refID=7066347&amp;Result=3","7066347")</f>
        <v>0</v>
      </c>
      <c r="B1667" t="s">
        <v>732</v>
      </c>
      <c r="C1667" t="s">
        <v>5146</v>
      </c>
      <c r="D1667" t="s">
        <v>18841</v>
      </c>
      <c r="E1667" t="s">
        <v>20420</v>
      </c>
      <c r="F1667" t="s">
        <v>32664</v>
      </c>
      <c r="G1667" t="s">
        <v>32672</v>
      </c>
      <c r="H1667" t="s">
        <v>32683</v>
      </c>
      <c r="I1667" t="s">
        <v>10627</v>
      </c>
      <c r="J1667" t="s">
        <v>32945</v>
      </c>
      <c r="K1667" t="s">
        <v>42308</v>
      </c>
      <c r="M1667" t="s">
        <v>43321</v>
      </c>
      <c r="N1667" t="s">
        <v>46569</v>
      </c>
      <c r="O1667" t="s">
        <v>46570</v>
      </c>
      <c r="P1667">
        <v>0</v>
      </c>
      <c r="Q1667">
        <v>0</v>
      </c>
      <c r="R1667" t="s">
        <v>46571</v>
      </c>
      <c r="S1667" t="s">
        <v>46687</v>
      </c>
      <c r="T1667" t="s">
        <v>48400</v>
      </c>
      <c r="U1667" t="s">
        <v>50189</v>
      </c>
      <c r="W1667" t="s">
        <v>43321</v>
      </c>
      <c r="X1667" t="s">
        <v>46572</v>
      </c>
    </row>
    <row r="1668" spans="1:24">
      <c r="A1668">
        <f>HYPERLINK("https://www.philgeps.gov.ph/GEPSNONPILOT/Tender/SplashBidNoticeAbstractUI.aspx?menuIndex=3&amp;refID=7066356&amp;Result=3","7066356")</f>
        <v>0</v>
      </c>
      <c r="B1668" t="s">
        <v>753</v>
      </c>
      <c r="C1668" t="s">
        <v>5147</v>
      </c>
      <c r="D1668" t="s">
        <v>18809</v>
      </c>
      <c r="E1668" t="s">
        <v>20421</v>
      </c>
      <c r="F1668" t="s">
        <v>32664</v>
      </c>
      <c r="G1668" t="s">
        <v>32671</v>
      </c>
      <c r="H1668" t="s">
        <v>32681</v>
      </c>
      <c r="I1668" t="s">
        <v>32681</v>
      </c>
      <c r="J1668" t="s">
        <v>34041</v>
      </c>
      <c r="K1668" t="s">
        <v>42311</v>
      </c>
      <c r="M1668" t="s">
        <v>43343</v>
      </c>
      <c r="N1668" t="s">
        <v>46569</v>
      </c>
      <c r="O1668" t="s">
        <v>46570</v>
      </c>
      <c r="P1668">
        <v>0</v>
      </c>
      <c r="Q1668">
        <v>1</v>
      </c>
      <c r="R1668" t="s">
        <v>46571</v>
      </c>
      <c r="S1668" t="s">
        <v>46687</v>
      </c>
      <c r="T1668" t="s">
        <v>48286</v>
      </c>
      <c r="U1668" t="s">
        <v>50190</v>
      </c>
      <c r="V1668" t="s">
        <v>61805</v>
      </c>
      <c r="W1668" t="s">
        <v>43343</v>
      </c>
      <c r="X1668" t="s">
        <v>46572</v>
      </c>
    </row>
    <row r="1669" spans="1:24">
      <c r="A1669">
        <f>HYPERLINK("https://www.philgeps.gov.ph/GEPSNONPILOT/Tender/SplashBidNoticeAbstractUI.aspx?menuIndex=3&amp;refID=7066183&amp;Result=3","7066183")</f>
        <v>0</v>
      </c>
      <c r="B1669" t="s">
        <v>36</v>
      </c>
      <c r="C1669" t="s">
        <v>5148</v>
      </c>
      <c r="D1669" t="s">
        <v>18792</v>
      </c>
      <c r="E1669" t="s">
        <v>20422</v>
      </c>
      <c r="F1669" t="s">
        <v>32664</v>
      </c>
      <c r="G1669" t="s">
        <v>32671</v>
      </c>
      <c r="H1669" t="s">
        <v>12635</v>
      </c>
      <c r="I1669" t="s">
        <v>6628</v>
      </c>
      <c r="J1669" t="s">
        <v>33566</v>
      </c>
      <c r="K1669" t="s">
        <v>42281</v>
      </c>
      <c r="M1669" t="s">
        <v>42598</v>
      </c>
      <c r="N1669" t="s">
        <v>46569</v>
      </c>
      <c r="O1669" t="s">
        <v>46570</v>
      </c>
      <c r="P1669">
        <v>0</v>
      </c>
      <c r="Q1669">
        <v>0</v>
      </c>
      <c r="R1669" t="s">
        <v>46571</v>
      </c>
      <c r="S1669" t="s">
        <v>46687</v>
      </c>
      <c r="T1669" t="s">
        <v>48245</v>
      </c>
      <c r="U1669" t="s">
        <v>50191</v>
      </c>
      <c r="V1669" t="s">
        <v>61610</v>
      </c>
      <c r="W1669" t="s">
        <v>42598</v>
      </c>
      <c r="X1669" t="s">
        <v>46572</v>
      </c>
    </row>
    <row r="1670" spans="1:24">
      <c r="A1670">
        <f>HYPERLINK("https://www.philgeps.gov.ph/GEPSNONPILOT/Tender/SplashBidNoticeAbstractUI.aspx?menuIndex=3&amp;refID=7066350&amp;Result=3","7066350")</f>
        <v>0</v>
      </c>
      <c r="B1670" t="s">
        <v>657</v>
      </c>
      <c r="C1670" t="s">
        <v>5149</v>
      </c>
      <c r="D1670" t="s">
        <v>18839</v>
      </c>
      <c r="E1670" t="s">
        <v>20423</v>
      </c>
      <c r="F1670" t="s">
        <v>32664</v>
      </c>
      <c r="G1670" t="s">
        <v>32671</v>
      </c>
      <c r="H1670" t="s">
        <v>12635</v>
      </c>
      <c r="I1670" t="s">
        <v>32706</v>
      </c>
      <c r="J1670" t="s">
        <v>33051</v>
      </c>
      <c r="K1670" t="s">
        <v>42281</v>
      </c>
      <c r="M1670" t="s">
        <v>43244</v>
      </c>
      <c r="N1670" t="s">
        <v>46569</v>
      </c>
      <c r="O1670" t="s">
        <v>46570</v>
      </c>
      <c r="P1670">
        <v>0</v>
      </c>
      <c r="Q1670">
        <v>0</v>
      </c>
      <c r="R1670" t="s">
        <v>46571</v>
      </c>
      <c r="S1670" t="s">
        <v>46687</v>
      </c>
      <c r="T1670" t="s">
        <v>48244</v>
      </c>
      <c r="U1670" t="s">
        <v>50192</v>
      </c>
      <c r="W1670" t="s">
        <v>43244</v>
      </c>
      <c r="X1670" t="s">
        <v>46572</v>
      </c>
    </row>
    <row r="1671" spans="1:24">
      <c r="A1671">
        <f>HYPERLINK("https://www.philgeps.gov.ph/GEPSNONPILOT/Tender/SplashBidNoticeAbstractUI.aspx?menuIndex=3&amp;refID=7066346&amp;Result=3","7066346")</f>
        <v>0</v>
      </c>
      <c r="B1671" t="s">
        <v>473</v>
      </c>
      <c r="C1671" t="s">
        <v>5064</v>
      </c>
      <c r="D1671" t="s">
        <v>18791</v>
      </c>
      <c r="E1671" t="s">
        <v>20424</v>
      </c>
      <c r="F1671" t="s">
        <v>32664</v>
      </c>
      <c r="G1671" t="s">
        <v>32671</v>
      </c>
      <c r="H1671" t="s">
        <v>12635</v>
      </c>
      <c r="I1671" t="s">
        <v>6223</v>
      </c>
      <c r="J1671" t="s">
        <v>34042</v>
      </c>
      <c r="K1671" t="s">
        <v>42289</v>
      </c>
      <c r="M1671" t="s">
        <v>43048</v>
      </c>
      <c r="N1671" t="s">
        <v>46569</v>
      </c>
      <c r="O1671" t="s">
        <v>46570</v>
      </c>
      <c r="P1671">
        <v>0</v>
      </c>
      <c r="Q1671">
        <v>1</v>
      </c>
      <c r="R1671" t="s">
        <v>46571</v>
      </c>
      <c r="S1671" t="s">
        <v>46687</v>
      </c>
      <c r="T1671" t="s">
        <v>48407</v>
      </c>
      <c r="U1671" t="s">
        <v>49623</v>
      </c>
      <c r="W1671" t="s">
        <v>43048</v>
      </c>
      <c r="X1671" t="s">
        <v>46572</v>
      </c>
    </row>
    <row r="1672" spans="1:24">
      <c r="A1672">
        <f>HYPERLINK("https://www.philgeps.gov.ph/GEPSNONPILOT/Tender/SplashBidNoticeAbstractUI.aspx?menuIndex=3&amp;refID=7066180&amp;Result=3","7066180")</f>
        <v>0</v>
      </c>
      <c r="B1672" t="s">
        <v>455</v>
      </c>
      <c r="C1672" t="s">
        <v>5150</v>
      </c>
      <c r="D1672" t="s">
        <v>18834</v>
      </c>
      <c r="E1672" t="s">
        <v>20425</v>
      </c>
      <c r="F1672" t="s">
        <v>32664</v>
      </c>
      <c r="G1672" t="s">
        <v>32672</v>
      </c>
      <c r="H1672" t="s">
        <v>12635</v>
      </c>
      <c r="I1672" t="s">
        <v>9486</v>
      </c>
      <c r="J1672" t="s">
        <v>34043</v>
      </c>
      <c r="K1672" t="s">
        <v>42281</v>
      </c>
      <c r="M1672" t="s">
        <v>43210</v>
      </c>
      <c r="N1672" t="s">
        <v>46569</v>
      </c>
      <c r="O1672" t="s">
        <v>46570</v>
      </c>
      <c r="P1672">
        <v>0</v>
      </c>
      <c r="Q1672">
        <v>3</v>
      </c>
      <c r="R1672" t="s">
        <v>46571</v>
      </c>
      <c r="S1672" t="s">
        <v>46687</v>
      </c>
      <c r="T1672" t="s">
        <v>48257</v>
      </c>
      <c r="U1672" t="s">
        <v>50193</v>
      </c>
      <c r="W1672" t="s">
        <v>43210</v>
      </c>
      <c r="X1672" t="s">
        <v>46572</v>
      </c>
    </row>
    <row r="1673" spans="1:24">
      <c r="A1673">
        <f>HYPERLINK("https://www.philgeps.gov.ph/GEPSNONPILOT/Tender/SplashBidNoticeAbstractUI.aspx?menuIndex=3&amp;refID=7066200&amp;Result=3","7066200")</f>
        <v>0</v>
      </c>
      <c r="B1673" t="s">
        <v>754</v>
      </c>
      <c r="C1673" t="s">
        <v>5151</v>
      </c>
      <c r="D1673" t="s">
        <v>18814</v>
      </c>
      <c r="E1673" t="s">
        <v>20426</v>
      </c>
      <c r="F1673" t="s">
        <v>32664</v>
      </c>
      <c r="G1673" t="s">
        <v>32672</v>
      </c>
      <c r="H1673" t="s">
        <v>12635</v>
      </c>
      <c r="I1673" t="s">
        <v>6223</v>
      </c>
      <c r="J1673" t="s">
        <v>34044</v>
      </c>
      <c r="K1673" t="s">
        <v>42281</v>
      </c>
      <c r="M1673" t="s">
        <v>43344</v>
      </c>
      <c r="N1673" t="s">
        <v>46569</v>
      </c>
      <c r="O1673" t="s">
        <v>46570</v>
      </c>
      <c r="P1673">
        <v>0</v>
      </c>
      <c r="Q1673">
        <v>0</v>
      </c>
      <c r="R1673" t="s">
        <v>46571</v>
      </c>
      <c r="S1673" t="s">
        <v>46687</v>
      </c>
      <c r="T1673" t="s">
        <v>48333</v>
      </c>
      <c r="U1673" t="s">
        <v>50194</v>
      </c>
      <c r="W1673" t="s">
        <v>43344</v>
      </c>
      <c r="X1673" t="s">
        <v>46572</v>
      </c>
    </row>
    <row r="1674" spans="1:24">
      <c r="A1674">
        <f>HYPERLINK("https://www.philgeps.gov.ph/GEPSNONPILOT/Tender/SplashBidNoticeAbstractUI.aspx?menuIndex=3&amp;refID=7066179&amp;Result=3","7066179")</f>
        <v>0</v>
      </c>
      <c r="B1674" t="s">
        <v>229</v>
      </c>
      <c r="C1674" t="s">
        <v>5152</v>
      </c>
      <c r="D1674" t="s">
        <v>18838</v>
      </c>
      <c r="E1674" t="s">
        <v>20427</v>
      </c>
      <c r="F1674" t="s">
        <v>32664</v>
      </c>
      <c r="G1674" t="s">
        <v>32671</v>
      </c>
      <c r="H1674" t="s">
        <v>12635</v>
      </c>
      <c r="I1674" t="s">
        <v>6628</v>
      </c>
      <c r="J1674" t="s">
        <v>33085</v>
      </c>
      <c r="K1674" t="s">
        <v>42297</v>
      </c>
      <c r="M1674" t="s">
        <v>42793</v>
      </c>
      <c r="N1674" t="s">
        <v>46569</v>
      </c>
      <c r="O1674" t="s">
        <v>46570</v>
      </c>
      <c r="P1674">
        <v>0</v>
      </c>
      <c r="Q1674">
        <v>0</v>
      </c>
      <c r="R1674" t="s">
        <v>46571</v>
      </c>
      <c r="S1674" t="s">
        <v>46687</v>
      </c>
      <c r="T1674" t="s">
        <v>48221</v>
      </c>
      <c r="U1674" t="s">
        <v>50195</v>
      </c>
      <c r="W1674" t="s">
        <v>42793</v>
      </c>
      <c r="X1674" t="s">
        <v>46572</v>
      </c>
    </row>
    <row r="1675" spans="1:24">
      <c r="A1675">
        <f>HYPERLINK("https://www.philgeps.gov.ph/GEPSNONPILOT/Tender/SplashBidNoticeAbstractUI.aspx?menuIndex=3&amp;refID=7066172&amp;Result=3","7066172")</f>
        <v>0</v>
      </c>
      <c r="B1675" t="s">
        <v>755</v>
      </c>
      <c r="C1675" t="s">
        <v>5153</v>
      </c>
      <c r="D1675" t="s">
        <v>18818</v>
      </c>
      <c r="E1675" t="s">
        <v>20428</v>
      </c>
      <c r="F1675" t="s">
        <v>32664</v>
      </c>
      <c r="G1675" t="s">
        <v>32671</v>
      </c>
      <c r="H1675" t="s">
        <v>12635</v>
      </c>
      <c r="I1675" t="s">
        <v>6223</v>
      </c>
      <c r="J1675" t="s">
        <v>34045</v>
      </c>
      <c r="K1675" t="s">
        <v>42289</v>
      </c>
      <c r="M1675" t="s">
        <v>43345</v>
      </c>
      <c r="N1675" t="s">
        <v>46569</v>
      </c>
      <c r="O1675" t="s">
        <v>46570</v>
      </c>
      <c r="P1675">
        <v>0</v>
      </c>
      <c r="Q1675">
        <v>0</v>
      </c>
      <c r="R1675" t="s">
        <v>46571</v>
      </c>
      <c r="S1675" t="s">
        <v>46687</v>
      </c>
      <c r="T1675" t="s">
        <v>48221</v>
      </c>
      <c r="U1675" t="s">
        <v>50196</v>
      </c>
      <c r="W1675" t="s">
        <v>43345</v>
      </c>
      <c r="X1675" t="s">
        <v>46572</v>
      </c>
    </row>
    <row r="1676" spans="1:24">
      <c r="A1676">
        <f>HYPERLINK("https://www.philgeps.gov.ph/GEPSNONPILOT/Tender/SplashBidNoticeAbstractUI.aspx?menuIndex=3&amp;refID=7066182&amp;Result=3","7066182")</f>
        <v>0</v>
      </c>
      <c r="B1676" t="s">
        <v>414</v>
      </c>
      <c r="C1676" t="s">
        <v>5154</v>
      </c>
      <c r="D1676" t="s">
        <v>18799</v>
      </c>
      <c r="E1676" t="s">
        <v>20429</v>
      </c>
      <c r="F1676" t="s">
        <v>32664</v>
      </c>
      <c r="G1676" t="s">
        <v>32672</v>
      </c>
      <c r="H1676" t="s">
        <v>12635</v>
      </c>
      <c r="I1676" t="s">
        <v>32704</v>
      </c>
      <c r="J1676" t="s">
        <v>32945</v>
      </c>
      <c r="K1676" t="s">
        <v>42311</v>
      </c>
      <c r="M1676" t="s">
        <v>42985</v>
      </c>
      <c r="N1676" t="s">
        <v>46569</v>
      </c>
      <c r="O1676" t="s">
        <v>46570</v>
      </c>
      <c r="P1676">
        <v>0</v>
      </c>
      <c r="Q1676">
        <v>10</v>
      </c>
      <c r="R1676" t="s">
        <v>46571</v>
      </c>
      <c r="S1676" t="s">
        <v>46687</v>
      </c>
      <c r="T1676" t="s">
        <v>48270</v>
      </c>
      <c r="U1676" t="s">
        <v>50197</v>
      </c>
      <c r="W1676" t="s">
        <v>63475</v>
      </c>
      <c r="X1676" t="s">
        <v>46572</v>
      </c>
    </row>
    <row r="1677" spans="1:24">
      <c r="A1677">
        <f>HYPERLINK("https://www.philgeps.gov.ph/GEPSNONPILOT/Tender/SplashBidNoticeAbstractUI.aspx?menuIndex=3&amp;refID=7066181&amp;Result=3","7066181")</f>
        <v>0</v>
      </c>
      <c r="B1677" t="s">
        <v>756</v>
      </c>
      <c r="C1677" t="s">
        <v>5155</v>
      </c>
      <c r="D1677" t="s">
        <v>18844</v>
      </c>
      <c r="E1677" t="s">
        <v>20430</v>
      </c>
      <c r="F1677" t="s">
        <v>32667</v>
      </c>
      <c r="G1677" t="s">
        <v>32671</v>
      </c>
      <c r="H1677" t="s">
        <v>12635</v>
      </c>
      <c r="I1677" t="s">
        <v>6168</v>
      </c>
      <c r="J1677" t="s">
        <v>32822</v>
      </c>
      <c r="K1677" t="s">
        <v>42284</v>
      </c>
      <c r="M1677" t="s">
        <v>43346</v>
      </c>
      <c r="N1677" t="s">
        <v>46569</v>
      </c>
      <c r="O1677" t="s">
        <v>46570</v>
      </c>
      <c r="P1677">
        <v>0</v>
      </c>
      <c r="Q1677">
        <v>1</v>
      </c>
      <c r="R1677" t="s">
        <v>46571</v>
      </c>
      <c r="S1677" t="s">
        <v>46687</v>
      </c>
      <c r="T1677" t="s">
        <v>48230</v>
      </c>
      <c r="U1677" t="s">
        <v>50198</v>
      </c>
      <c r="W1677" t="s">
        <v>43346</v>
      </c>
      <c r="X1677" t="s">
        <v>46572</v>
      </c>
    </row>
    <row r="1678" spans="1:24">
      <c r="A1678">
        <f>HYPERLINK("https://www.philgeps.gov.ph/GEPSNONPILOT/Tender/SplashBidNoticeAbstractUI.aspx?menuIndex=3&amp;refID=7066394&amp;Result=3","7066394")</f>
        <v>0</v>
      </c>
      <c r="B1678" t="s">
        <v>690</v>
      </c>
      <c r="C1678" t="s">
        <v>5156</v>
      </c>
      <c r="D1678" t="s">
        <v>18781</v>
      </c>
      <c r="E1678" t="s">
        <v>20431</v>
      </c>
      <c r="F1678" t="s">
        <v>32664</v>
      </c>
      <c r="G1678" t="s">
        <v>32672</v>
      </c>
      <c r="H1678" t="s">
        <v>32683</v>
      </c>
      <c r="I1678" t="s">
        <v>10627</v>
      </c>
      <c r="J1678" t="s">
        <v>34046</v>
      </c>
      <c r="K1678" t="s">
        <v>42345</v>
      </c>
      <c r="L1678" t="s">
        <v>690</v>
      </c>
      <c r="M1678" t="s">
        <v>43277</v>
      </c>
      <c r="N1678" t="s">
        <v>46569</v>
      </c>
      <c r="O1678" t="s">
        <v>46570</v>
      </c>
      <c r="P1678">
        <v>0</v>
      </c>
      <c r="Q1678">
        <v>0</v>
      </c>
      <c r="R1678" t="s">
        <v>46571</v>
      </c>
      <c r="S1678" t="s">
        <v>46687</v>
      </c>
      <c r="T1678" t="s">
        <v>48360</v>
      </c>
      <c r="U1678" t="s">
        <v>50079</v>
      </c>
      <c r="W1678" t="s">
        <v>43277</v>
      </c>
      <c r="X1678" t="s">
        <v>46572</v>
      </c>
    </row>
    <row r="1679" spans="1:24">
      <c r="A1679">
        <f>HYPERLINK("https://www.philgeps.gov.ph/GEPSNONPILOT/Tender/SplashBidNoticeAbstractUI.aspx?menuIndex=3&amp;refID=7066344&amp;Result=3","7066344")</f>
        <v>0</v>
      </c>
      <c r="B1679" t="s">
        <v>757</v>
      </c>
      <c r="C1679" t="s">
        <v>5157</v>
      </c>
      <c r="D1679" t="s">
        <v>18817</v>
      </c>
      <c r="E1679" t="s">
        <v>20432</v>
      </c>
      <c r="F1679" t="s">
        <v>32664</v>
      </c>
      <c r="G1679" t="s">
        <v>32671</v>
      </c>
      <c r="H1679" t="s">
        <v>12635</v>
      </c>
      <c r="I1679" t="s">
        <v>4439</v>
      </c>
      <c r="J1679" t="s">
        <v>34047</v>
      </c>
      <c r="K1679" t="s">
        <v>42309</v>
      </c>
      <c r="M1679" t="s">
        <v>43347</v>
      </c>
      <c r="N1679" t="s">
        <v>46569</v>
      </c>
      <c r="O1679" t="s">
        <v>46570</v>
      </c>
      <c r="P1679">
        <v>0</v>
      </c>
      <c r="Q1679">
        <v>0</v>
      </c>
      <c r="R1679" t="s">
        <v>46571</v>
      </c>
      <c r="S1679" t="s">
        <v>46687</v>
      </c>
      <c r="T1679" t="s">
        <v>48217</v>
      </c>
      <c r="U1679" t="s">
        <v>50199</v>
      </c>
      <c r="W1679" t="s">
        <v>43347</v>
      </c>
      <c r="X1679" t="s">
        <v>46572</v>
      </c>
    </row>
    <row r="1680" spans="1:24">
      <c r="A1680">
        <f>HYPERLINK("https://www.philgeps.gov.ph/GEPSNONPILOT/Tender/SplashBidNoticeAbstractUI.aspx?menuIndex=3&amp;refID=7066391&amp;Result=3","7066391")</f>
        <v>0</v>
      </c>
      <c r="B1680" t="s">
        <v>758</v>
      </c>
      <c r="C1680" t="s">
        <v>5158</v>
      </c>
      <c r="D1680" t="s">
        <v>18838</v>
      </c>
      <c r="E1680" t="s">
        <v>20433</v>
      </c>
      <c r="F1680" t="s">
        <v>32664</v>
      </c>
      <c r="G1680" t="s">
        <v>32672</v>
      </c>
      <c r="H1680" t="s">
        <v>32683</v>
      </c>
      <c r="I1680" t="s">
        <v>10627</v>
      </c>
      <c r="J1680" t="s">
        <v>33886</v>
      </c>
      <c r="K1680" t="s">
        <v>42367</v>
      </c>
      <c r="M1680" t="s">
        <v>43348</v>
      </c>
      <c r="N1680" t="s">
        <v>46569</v>
      </c>
      <c r="O1680" t="s">
        <v>46570</v>
      </c>
      <c r="P1680">
        <v>0</v>
      </c>
      <c r="Q1680">
        <v>8</v>
      </c>
      <c r="R1680" t="s">
        <v>46571</v>
      </c>
      <c r="S1680" t="s">
        <v>46687</v>
      </c>
      <c r="T1680" t="s">
        <v>48220</v>
      </c>
      <c r="U1680" t="s">
        <v>50200</v>
      </c>
      <c r="V1680" t="s">
        <v>61806</v>
      </c>
      <c r="W1680" t="s">
        <v>43348</v>
      </c>
      <c r="X1680" t="s">
        <v>46572</v>
      </c>
    </row>
    <row r="1681" spans="1:24">
      <c r="A1681">
        <f>HYPERLINK("https://www.philgeps.gov.ph/GEPSNONPILOT/Tender/SplashBidNoticeAbstractUI.aspx?menuIndex=3&amp;refID=7066389&amp;Result=3","7066389")</f>
        <v>0</v>
      </c>
      <c r="B1681" t="s">
        <v>444</v>
      </c>
      <c r="C1681" t="s">
        <v>5159</v>
      </c>
      <c r="D1681" t="s">
        <v>18843</v>
      </c>
      <c r="E1681" t="s">
        <v>20434</v>
      </c>
      <c r="F1681" t="s">
        <v>32664</v>
      </c>
      <c r="G1681" t="s">
        <v>32671</v>
      </c>
      <c r="H1681" t="s">
        <v>12635</v>
      </c>
      <c r="I1681" t="s">
        <v>10361</v>
      </c>
      <c r="J1681" t="s">
        <v>34048</v>
      </c>
      <c r="K1681" t="s">
        <v>42283</v>
      </c>
      <c r="M1681" t="s">
        <v>43017</v>
      </c>
      <c r="N1681" t="s">
        <v>46569</v>
      </c>
      <c r="O1681" t="s">
        <v>46570</v>
      </c>
      <c r="P1681">
        <v>0</v>
      </c>
      <c r="Q1681">
        <v>0</v>
      </c>
      <c r="R1681" t="s">
        <v>46571</v>
      </c>
      <c r="S1681" t="s">
        <v>46687</v>
      </c>
      <c r="T1681" t="s">
        <v>48297</v>
      </c>
      <c r="U1681" t="s">
        <v>49565</v>
      </c>
      <c r="W1681" t="s">
        <v>43017</v>
      </c>
      <c r="X1681" t="s">
        <v>46572</v>
      </c>
    </row>
    <row r="1682" spans="1:24">
      <c r="A1682">
        <f>HYPERLINK("https://www.philgeps.gov.ph/GEPSNONPILOT/Tender/SplashBidNoticeAbstractUI.aspx?menuIndex=3&amp;refID=7066177&amp;Result=3","7066177")</f>
        <v>0</v>
      </c>
      <c r="B1682" t="s">
        <v>104</v>
      </c>
      <c r="C1682" t="s">
        <v>5160</v>
      </c>
      <c r="E1682" t="s">
        <v>20435</v>
      </c>
      <c r="F1682" t="s">
        <v>32664</v>
      </c>
      <c r="G1682" t="s">
        <v>32671</v>
      </c>
      <c r="H1682" t="s">
        <v>12635</v>
      </c>
      <c r="I1682" t="s">
        <v>32710</v>
      </c>
      <c r="J1682" t="s">
        <v>33128</v>
      </c>
      <c r="K1682" t="s">
        <v>42283</v>
      </c>
      <c r="M1682" t="s">
        <v>43349</v>
      </c>
      <c r="N1682" t="s">
        <v>46569</v>
      </c>
      <c r="O1682" t="s">
        <v>46570</v>
      </c>
      <c r="P1682">
        <v>0</v>
      </c>
      <c r="Q1682">
        <v>5</v>
      </c>
      <c r="R1682" t="s">
        <v>46571</v>
      </c>
      <c r="S1682" t="s">
        <v>46687</v>
      </c>
      <c r="T1682" t="s">
        <v>48356</v>
      </c>
      <c r="U1682" t="s">
        <v>50201</v>
      </c>
      <c r="W1682" t="s">
        <v>43349</v>
      </c>
      <c r="X1682" t="s">
        <v>46572</v>
      </c>
    </row>
    <row r="1683" spans="1:24">
      <c r="A1683">
        <f>HYPERLINK("https://www.philgeps.gov.ph/GEPSNONPILOT/Tender/SplashBidNoticeAbstractUI.aspx?menuIndex=3&amp;refID=7066365&amp;Result=3","7066365")</f>
        <v>0</v>
      </c>
      <c r="B1683" t="s">
        <v>678</v>
      </c>
      <c r="C1683" t="s">
        <v>5161</v>
      </c>
      <c r="E1683" t="s">
        <v>20436</v>
      </c>
      <c r="F1683" t="s">
        <v>32664</v>
      </c>
      <c r="G1683" t="s">
        <v>32671</v>
      </c>
      <c r="H1683" t="s">
        <v>12635</v>
      </c>
      <c r="I1683" t="s">
        <v>7759</v>
      </c>
      <c r="J1683" t="s">
        <v>34049</v>
      </c>
      <c r="K1683" t="s">
        <v>42283</v>
      </c>
      <c r="M1683" t="s">
        <v>43265</v>
      </c>
      <c r="N1683" t="s">
        <v>46569</v>
      </c>
      <c r="O1683" t="s">
        <v>46570</v>
      </c>
      <c r="P1683">
        <v>0</v>
      </c>
      <c r="Q1683">
        <v>0</v>
      </c>
      <c r="R1683" t="s">
        <v>46571</v>
      </c>
      <c r="S1683" t="s">
        <v>46687</v>
      </c>
      <c r="T1683" t="s">
        <v>48312</v>
      </c>
      <c r="U1683" t="s">
        <v>50202</v>
      </c>
      <c r="W1683" t="s">
        <v>43265</v>
      </c>
      <c r="X1683" t="s">
        <v>46572</v>
      </c>
    </row>
    <row r="1684" spans="1:24">
      <c r="A1684">
        <f>HYPERLINK("https://www.philgeps.gov.ph/GEPSNONPILOT/Tender/SplashBidNoticeAbstractUI.aspx?menuIndex=3&amp;refID=7066387&amp;Result=3","7066387")</f>
        <v>0</v>
      </c>
      <c r="B1684" t="s">
        <v>749</v>
      </c>
      <c r="C1684" t="s">
        <v>5162</v>
      </c>
      <c r="D1684" t="s">
        <v>18788</v>
      </c>
      <c r="E1684" t="s">
        <v>20437</v>
      </c>
      <c r="F1684" t="s">
        <v>32664</v>
      </c>
      <c r="G1684" t="s">
        <v>32671</v>
      </c>
      <c r="H1684" t="s">
        <v>12635</v>
      </c>
      <c r="I1684" t="s">
        <v>6168</v>
      </c>
      <c r="J1684" t="s">
        <v>34050</v>
      </c>
      <c r="K1684" t="s">
        <v>42283</v>
      </c>
      <c r="M1684" t="s">
        <v>43339</v>
      </c>
      <c r="N1684" t="s">
        <v>46569</v>
      </c>
      <c r="O1684" t="s">
        <v>46570</v>
      </c>
      <c r="P1684">
        <v>0</v>
      </c>
      <c r="Q1684">
        <v>0</v>
      </c>
      <c r="R1684" t="s">
        <v>46571</v>
      </c>
      <c r="S1684" t="s">
        <v>46687</v>
      </c>
      <c r="T1684" t="s">
        <v>48228</v>
      </c>
      <c r="U1684" t="s">
        <v>50203</v>
      </c>
      <c r="W1684" t="s">
        <v>43339</v>
      </c>
      <c r="X1684" t="s">
        <v>46572</v>
      </c>
    </row>
    <row r="1685" spans="1:24">
      <c r="A1685">
        <f>HYPERLINK("https://www.philgeps.gov.ph/GEPSNONPILOT/Tender/SplashBidNoticeAbstractUI.aspx?menuIndex=3&amp;refID=7066393&amp;Result=3","7066393")</f>
        <v>0</v>
      </c>
      <c r="B1685" t="s">
        <v>759</v>
      </c>
      <c r="C1685" t="s">
        <v>5163</v>
      </c>
      <c r="E1685" t="s">
        <v>20142</v>
      </c>
      <c r="F1685" t="s">
        <v>32664</v>
      </c>
      <c r="G1685" t="s">
        <v>32672</v>
      </c>
      <c r="H1685" t="s">
        <v>12635</v>
      </c>
      <c r="I1685" t="s">
        <v>32700</v>
      </c>
      <c r="J1685" t="s">
        <v>34051</v>
      </c>
      <c r="K1685" t="s">
        <v>42283</v>
      </c>
      <c r="M1685" t="s">
        <v>43350</v>
      </c>
      <c r="N1685" t="s">
        <v>46569</v>
      </c>
      <c r="O1685" t="s">
        <v>46570</v>
      </c>
      <c r="P1685">
        <v>0</v>
      </c>
      <c r="Q1685">
        <v>0</v>
      </c>
      <c r="R1685" t="s">
        <v>46571</v>
      </c>
      <c r="S1685" t="s">
        <v>46687</v>
      </c>
      <c r="T1685" t="s">
        <v>48408</v>
      </c>
      <c r="U1685" t="s">
        <v>50204</v>
      </c>
      <c r="W1685" t="s">
        <v>43350</v>
      </c>
      <c r="X1685" t="s">
        <v>46572</v>
      </c>
    </row>
    <row r="1686" spans="1:24">
      <c r="A1686">
        <f>HYPERLINK("https://www.philgeps.gov.ph/GEPSNONPILOT/Tender/SplashBidNoticeAbstractUI.aspx?menuIndex=3&amp;refID=7066390&amp;Result=3","7066390")</f>
        <v>0</v>
      </c>
      <c r="B1686" t="s">
        <v>253</v>
      </c>
      <c r="C1686" t="s">
        <v>5164</v>
      </c>
      <c r="D1686" t="s">
        <v>18790</v>
      </c>
      <c r="E1686" t="s">
        <v>20438</v>
      </c>
      <c r="F1686" t="s">
        <v>32664</v>
      </c>
      <c r="G1686" t="s">
        <v>32671</v>
      </c>
      <c r="H1686" t="s">
        <v>12635</v>
      </c>
      <c r="I1686" t="s">
        <v>32701</v>
      </c>
      <c r="J1686" t="s">
        <v>33015</v>
      </c>
      <c r="K1686" t="s">
        <v>42283</v>
      </c>
      <c r="M1686" t="s">
        <v>42851</v>
      </c>
      <c r="N1686" t="s">
        <v>46569</v>
      </c>
      <c r="O1686" t="s">
        <v>46570</v>
      </c>
      <c r="P1686">
        <v>0</v>
      </c>
      <c r="Q1686">
        <v>0</v>
      </c>
      <c r="R1686" t="s">
        <v>46571</v>
      </c>
      <c r="S1686" t="s">
        <v>46687</v>
      </c>
      <c r="T1686" t="s">
        <v>48283</v>
      </c>
      <c r="U1686" t="s">
        <v>50205</v>
      </c>
      <c r="W1686" t="s">
        <v>42851</v>
      </c>
      <c r="X1686" t="s">
        <v>46572</v>
      </c>
    </row>
    <row r="1687" spans="1:24">
      <c r="A1687">
        <f>HYPERLINK("https://www.philgeps.gov.ph/GEPSNONPILOT/Tender/SplashBidNoticeAbstractUI.aspx?menuIndex=3&amp;refID=7066379&amp;Result=3","7066379")</f>
        <v>0</v>
      </c>
      <c r="B1687" t="s">
        <v>629</v>
      </c>
      <c r="C1687" t="s">
        <v>5165</v>
      </c>
      <c r="D1687" t="s">
        <v>18782</v>
      </c>
      <c r="E1687" t="s">
        <v>20439</v>
      </c>
      <c r="F1687" t="s">
        <v>32664</v>
      </c>
      <c r="G1687" t="s">
        <v>32671</v>
      </c>
      <c r="H1687" t="s">
        <v>12635</v>
      </c>
      <c r="I1687" t="s">
        <v>10361</v>
      </c>
      <c r="J1687" t="s">
        <v>34052</v>
      </c>
      <c r="K1687" t="s">
        <v>42283</v>
      </c>
      <c r="M1687" t="s">
        <v>43211</v>
      </c>
      <c r="N1687" t="s">
        <v>46569</v>
      </c>
      <c r="O1687" t="s">
        <v>46570</v>
      </c>
      <c r="P1687">
        <v>0</v>
      </c>
      <c r="Q1687">
        <v>0</v>
      </c>
      <c r="R1687" t="s">
        <v>46571</v>
      </c>
      <c r="S1687" t="s">
        <v>46687</v>
      </c>
      <c r="T1687" t="s">
        <v>48244</v>
      </c>
      <c r="U1687" t="s">
        <v>50206</v>
      </c>
      <c r="W1687" t="s">
        <v>43211</v>
      </c>
      <c r="X1687" t="s">
        <v>46572</v>
      </c>
    </row>
    <row r="1688" spans="1:24">
      <c r="A1688">
        <f>HYPERLINK("https://www.philgeps.gov.ph/GEPSNONPILOT/Tender/SplashBidNoticeAbstractUI.aspx?menuIndex=3&amp;refID=7066384&amp;Result=3","7066384")</f>
        <v>0</v>
      </c>
      <c r="B1688" t="s">
        <v>760</v>
      </c>
      <c r="C1688" t="s">
        <v>5166</v>
      </c>
      <c r="E1688" t="s">
        <v>20440</v>
      </c>
      <c r="F1688" t="s">
        <v>32664</v>
      </c>
      <c r="G1688" t="s">
        <v>32671</v>
      </c>
      <c r="H1688" t="s">
        <v>12635</v>
      </c>
      <c r="I1688" t="s">
        <v>6553</v>
      </c>
      <c r="J1688" t="s">
        <v>33069</v>
      </c>
      <c r="K1688" t="s">
        <v>42283</v>
      </c>
      <c r="M1688" t="s">
        <v>43351</v>
      </c>
      <c r="N1688" t="s">
        <v>46569</v>
      </c>
      <c r="O1688" t="s">
        <v>46570</v>
      </c>
      <c r="P1688">
        <v>0</v>
      </c>
      <c r="Q1688">
        <v>0</v>
      </c>
      <c r="R1688" t="s">
        <v>46571</v>
      </c>
      <c r="S1688" t="s">
        <v>46687</v>
      </c>
      <c r="T1688" t="s">
        <v>48244</v>
      </c>
      <c r="U1688" t="s">
        <v>50207</v>
      </c>
      <c r="W1688" t="s">
        <v>43351</v>
      </c>
      <c r="X1688" t="s">
        <v>46572</v>
      </c>
    </row>
    <row r="1689" spans="1:24">
      <c r="A1689">
        <f>HYPERLINK("https://www.philgeps.gov.ph/GEPSNONPILOT/Tender/SplashBidNoticeAbstractUI.aspx?menuIndex=3&amp;refID=7066362&amp;Result=3","7066362")</f>
        <v>0</v>
      </c>
      <c r="B1689" t="s">
        <v>761</v>
      </c>
      <c r="C1689" t="s">
        <v>5167</v>
      </c>
      <c r="D1689" t="s">
        <v>18816</v>
      </c>
      <c r="E1689" t="s">
        <v>19416</v>
      </c>
      <c r="F1689" t="s">
        <v>32664</v>
      </c>
      <c r="G1689" t="s">
        <v>32672</v>
      </c>
      <c r="H1689" t="s">
        <v>12635</v>
      </c>
      <c r="I1689" t="s">
        <v>4439</v>
      </c>
      <c r="J1689" t="s">
        <v>34053</v>
      </c>
      <c r="K1689" t="s">
        <v>42325</v>
      </c>
      <c r="M1689" t="s">
        <v>43352</v>
      </c>
      <c r="N1689" t="s">
        <v>46569</v>
      </c>
      <c r="O1689" t="s">
        <v>46570</v>
      </c>
      <c r="P1689">
        <v>0</v>
      </c>
      <c r="Q1689">
        <v>0</v>
      </c>
      <c r="R1689" t="s">
        <v>46571</v>
      </c>
      <c r="S1689" t="s">
        <v>46687</v>
      </c>
      <c r="T1689" t="s">
        <v>48368</v>
      </c>
      <c r="U1689" t="s">
        <v>50208</v>
      </c>
      <c r="W1689" t="s">
        <v>43352</v>
      </c>
      <c r="X1689" t="s">
        <v>46572</v>
      </c>
    </row>
    <row r="1690" spans="1:24">
      <c r="A1690">
        <f>HYPERLINK("https://www.philgeps.gov.ph/GEPSNONPILOT/Tender/SplashBidNoticeAbstractUI.aspx?menuIndex=3&amp;refID=7066381&amp;Result=3","7066381")</f>
        <v>0</v>
      </c>
      <c r="B1690" t="s">
        <v>690</v>
      </c>
      <c r="C1690" t="s">
        <v>5168</v>
      </c>
      <c r="D1690" t="s">
        <v>18781</v>
      </c>
      <c r="E1690" t="s">
        <v>20441</v>
      </c>
      <c r="F1690" t="s">
        <v>32664</v>
      </c>
      <c r="G1690" t="s">
        <v>32672</v>
      </c>
      <c r="H1690" t="s">
        <v>32683</v>
      </c>
      <c r="I1690" t="s">
        <v>10627</v>
      </c>
      <c r="J1690" t="s">
        <v>34046</v>
      </c>
      <c r="K1690" t="s">
        <v>42345</v>
      </c>
      <c r="L1690" t="s">
        <v>690</v>
      </c>
      <c r="M1690" t="s">
        <v>43277</v>
      </c>
      <c r="N1690" t="s">
        <v>46569</v>
      </c>
      <c r="O1690" t="s">
        <v>46570</v>
      </c>
      <c r="P1690">
        <v>0</v>
      </c>
      <c r="Q1690">
        <v>0</v>
      </c>
      <c r="R1690" t="s">
        <v>46571</v>
      </c>
      <c r="S1690" t="s">
        <v>46687</v>
      </c>
      <c r="T1690" t="s">
        <v>48360</v>
      </c>
      <c r="U1690" t="s">
        <v>50079</v>
      </c>
      <c r="W1690" t="s">
        <v>43277</v>
      </c>
      <c r="X1690" t="s">
        <v>46572</v>
      </c>
    </row>
    <row r="1691" spans="1:24">
      <c r="A1691">
        <f>HYPERLINK("https://www.philgeps.gov.ph/GEPSNONPILOT/Tender/SplashBidNoticeAbstractUI.aspx?menuIndex=3&amp;refID=7066375&amp;Result=3","7066375")</f>
        <v>0</v>
      </c>
      <c r="B1691" t="s">
        <v>720</v>
      </c>
      <c r="C1691" t="s">
        <v>5169</v>
      </c>
      <c r="D1691" t="s">
        <v>18784</v>
      </c>
      <c r="E1691" t="s">
        <v>20442</v>
      </c>
      <c r="F1691" t="s">
        <v>32664</v>
      </c>
      <c r="G1691" t="s">
        <v>32671</v>
      </c>
      <c r="H1691" t="s">
        <v>12635</v>
      </c>
      <c r="I1691" t="s">
        <v>32704</v>
      </c>
      <c r="J1691" t="s">
        <v>32934</v>
      </c>
      <c r="K1691" t="s">
        <v>42284</v>
      </c>
      <c r="M1691" t="s">
        <v>43307</v>
      </c>
      <c r="N1691" t="s">
        <v>46569</v>
      </c>
      <c r="O1691" t="s">
        <v>46570</v>
      </c>
      <c r="P1691">
        <v>0</v>
      </c>
      <c r="Q1691">
        <v>4</v>
      </c>
      <c r="R1691" t="s">
        <v>46571</v>
      </c>
      <c r="S1691" t="s">
        <v>46687</v>
      </c>
      <c r="T1691" t="s">
        <v>48312</v>
      </c>
      <c r="U1691" t="s">
        <v>50132</v>
      </c>
      <c r="W1691" t="s">
        <v>43307</v>
      </c>
      <c r="X1691" t="s">
        <v>46572</v>
      </c>
    </row>
    <row r="1692" spans="1:24">
      <c r="A1692">
        <f>HYPERLINK("https://www.philgeps.gov.ph/GEPSNONPILOT/Tender/SplashBidNoticeAbstractUI.aspx?menuIndex=3&amp;refID=7066378&amp;Result=3","7066378")</f>
        <v>0</v>
      </c>
      <c r="B1692" t="s">
        <v>762</v>
      </c>
      <c r="C1692" t="s">
        <v>5170</v>
      </c>
      <c r="D1692" t="s">
        <v>18809</v>
      </c>
      <c r="E1692" t="s">
        <v>20443</v>
      </c>
      <c r="F1692" t="s">
        <v>32664</v>
      </c>
      <c r="G1692" t="s">
        <v>32671</v>
      </c>
      <c r="H1692" t="s">
        <v>12635</v>
      </c>
      <c r="I1692" t="s">
        <v>32752</v>
      </c>
      <c r="J1692" t="s">
        <v>33299</v>
      </c>
      <c r="K1692" t="s">
        <v>42332</v>
      </c>
      <c r="M1692" t="s">
        <v>43353</v>
      </c>
      <c r="N1692" t="s">
        <v>46569</v>
      </c>
      <c r="O1692" t="s">
        <v>46570</v>
      </c>
      <c r="P1692">
        <v>0</v>
      </c>
      <c r="Q1692">
        <v>1</v>
      </c>
      <c r="R1692" t="s">
        <v>46571</v>
      </c>
      <c r="S1692" t="s">
        <v>46687</v>
      </c>
      <c r="T1692" t="s">
        <v>48293</v>
      </c>
      <c r="U1692" t="s">
        <v>50209</v>
      </c>
      <c r="W1692" t="s">
        <v>43353</v>
      </c>
      <c r="X1692" t="s">
        <v>46572</v>
      </c>
    </row>
    <row r="1693" spans="1:24">
      <c r="A1693">
        <f>HYPERLINK("https://www.philgeps.gov.ph/GEPSNONPILOT/Tender/SplashBidNoticeAbstractUI.aspx?menuIndex=3&amp;refID=7066377&amp;Result=3","7066377")</f>
        <v>0</v>
      </c>
      <c r="B1693" t="s">
        <v>738</v>
      </c>
      <c r="C1693" t="s">
        <v>5171</v>
      </c>
      <c r="D1693" t="s">
        <v>18842</v>
      </c>
      <c r="E1693" t="s">
        <v>20444</v>
      </c>
      <c r="F1693" t="s">
        <v>32664</v>
      </c>
      <c r="G1693" t="s">
        <v>32672</v>
      </c>
      <c r="H1693" t="s">
        <v>12635</v>
      </c>
      <c r="I1693" t="s">
        <v>7429</v>
      </c>
      <c r="J1693" t="s">
        <v>34054</v>
      </c>
      <c r="K1693" t="s">
        <v>42283</v>
      </c>
      <c r="M1693" t="s">
        <v>43327</v>
      </c>
      <c r="N1693" t="s">
        <v>46569</v>
      </c>
      <c r="O1693" t="s">
        <v>46570</v>
      </c>
      <c r="P1693">
        <v>0</v>
      </c>
      <c r="Q1693">
        <v>1</v>
      </c>
      <c r="R1693" t="s">
        <v>46571</v>
      </c>
      <c r="S1693" t="s">
        <v>46687</v>
      </c>
      <c r="T1693" t="s">
        <v>48216</v>
      </c>
      <c r="U1693" t="s">
        <v>50210</v>
      </c>
      <c r="W1693" t="s">
        <v>43327</v>
      </c>
      <c r="X1693" t="s">
        <v>46572</v>
      </c>
    </row>
    <row r="1694" spans="1:24">
      <c r="A1694">
        <f>HYPERLINK("https://www.philgeps.gov.ph/GEPSNONPILOT/Tender/SplashBidNoticeAbstractUI.aspx?menuIndex=3&amp;refID=7066372&amp;Result=3","7066372")</f>
        <v>0</v>
      </c>
      <c r="B1694" t="s">
        <v>693</v>
      </c>
      <c r="C1694" t="s">
        <v>5172</v>
      </c>
      <c r="D1694" t="s">
        <v>18798</v>
      </c>
      <c r="E1694" t="s">
        <v>20445</v>
      </c>
      <c r="F1694" t="s">
        <v>32664</v>
      </c>
      <c r="G1694" t="s">
        <v>32672</v>
      </c>
      <c r="H1694" t="s">
        <v>12635</v>
      </c>
      <c r="I1694" t="s">
        <v>32691</v>
      </c>
      <c r="J1694" t="s">
        <v>34055</v>
      </c>
      <c r="K1694" t="s">
        <v>42355</v>
      </c>
      <c r="M1694" t="s">
        <v>43280</v>
      </c>
      <c r="N1694" t="s">
        <v>46569</v>
      </c>
      <c r="O1694" t="s">
        <v>46570</v>
      </c>
      <c r="P1694">
        <v>0</v>
      </c>
      <c r="Q1694">
        <v>0</v>
      </c>
      <c r="R1694" t="s">
        <v>46571</v>
      </c>
      <c r="S1694" t="s">
        <v>46687</v>
      </c>
      <c r="T1694" t="s">
        <v>48211</v>
      </c>
      <c r="U1694" t="s">
        <v>50211</v>
      </c>
      <c r="W1694" t="s">
        <v>43280</v>
      </c>
      <c r="X1694" t="s">
        <v>46572</v>
      </c>
    </row>
    <row r="1695" spans="1:24">
      <c r="A1695">
        <f>HYPERLINK("https://www.philgeps.gov.ph/GEPSNONPILOT/Tender/SplashBidNoticeAbstractUI.aspx?menuIndex=3&amp;refID=7066178&amp;Result=3","7066178")</f>
        <v>0</v>
      </c>
      <c r="B1695" t="s">
        <v>687</v>
      </c>
      <c r="C1695" t="s">
        <v>5173</v>
      </c>
      <c r="D1695" t="s">
        <v>18805</v>
      </c>
      <c r="E1695" t="s">
        <v>20446</v>
      </c>
      <c r="F1695" t="s">
        <v>32664</v>
      </c>
      <c r="G1695" t="s">
        <v>32677</v>
      </c>
      <c r="H1695" t="s">
        <v>12635</v>
      </c>
      <c r="I1695" t="s">
        <v>4333</v>
      </c>
      <c r="J1695" t="s">
        <v>34056</v>
      </c>
      <c r="K1695" t="s">
        <v>42283</v>
      </c>
      <c r="M1695" t="s">
        <v>43274</v>
      </c>
      <c r="N1695" t="s">
        <v>46569</v>
      </c>
      <c r="O1695" t="s">
        <v>46570</v>
      </c>
      <c r="P1695">
        <v>0</v>
      </c>
      <c r="Q1695">
        <v>0</v>
      </c>
      <c r="R1695" t="s">
        <v>46571</v>
      </c>
      <c r="S1695" t="s">
        <v>46687</v>
      </c>
      <c r="T1695" t="s">
        <v>48244</v>
      </c>
      <c r="U1695" t="s">
        <v>50212</v>
      </c>
      <c r="W1695" t="s">
        <v>43274</v>
      </c>
      <c r="X1695" t="s">
        <v>46572</v>
      </c>
    </row>
    <row r="1696" spans="1:24">
      <c r="A1696">
        <f>HYPERLINK("https://www.philgeps.gov.ph/GEPSNONPILOT/Tender/SplashBidNoticeAbstractUI.aspx?menuIndex=3&amp;refID=7066376&amp;Result=3","7066376")</f>
        <v>0</v>
      </c>
      <c r="B1696" t="s">
        <v>635</v>
      </c>
      <c r="C1696" t="s">
        <v>5174</v>
      </c>
      <c r="D1696" t="s">
        <v>18841</v>
      </c>
      <c r="E1696" t="s">
        <v>20447</v>
      </c>
      <c r="F1696" t="s">
        <v>32664</v>
      </c>
      <c r="G1696" t="s">
        <v>32671</v>
      </c>
      <c r="H1696" t="s">
        <v>12635</v>
      </c>
      <c r="I1696" t="s">
        <v>32694</v>
      </c>
      <c r="J1696" t="s">
        <v>34057</v>
      </c>
      <c r="K1696" t="s">
        <v>42284</v>
      </c>
      <c r="M1696" t="s">
        <v>43218</v>
      </c>
      <c r="N1696" t="s">
        <v>46569</v>
      </c>
      <c r="O1696" t="s">
        <v>46570</v>
      </c>
      <c r="P1696">
        <v>0</v>
      </c>
      <c r="Q1696">
        <v>0</v>
      </c>
      <c r="R1696" t="s">
        <v>46571</v>
      </c>
      <c r="S1696" t="s">
        <v>46687</v>
      </c>
      <c r="T1696" t="s">
        <v>48304</v>
      </c>
      <c r="U1696" t="s">
        <v>50213</v>
      </c>
      <c r="W1696" t="s">
        <v>43218</v>
      </c>
      <c r="X1696" t="s">
        <v>46572</v>
      </c>
    </row>
    <row r="1697" spans="1:24">
      <c r="A1697">
        <f>HYPERLINK("https://www.philgeps.gov.ph/GEPSNONPILOT/Tender/SplashBidNoticeAbstractUI.aspx?menuIndex=3&amp;refID=7066370&amp;Result=3","7066370")</f>
        <v>0</v>
      </c>
      <c r="B1697" t="s">
        <v>473</v>
      </c>
      <c r="C1697" t="s">
        <v>5064</v>
      </c>
      <c r="D1697" t="s">
        <v>18791</v>
      </c>
      <c r="E1697" t="s">
        <v>20448</v>
      </c>
      <c r="F1697" t="s">
        <v>32664</v>
      </c>
      <c r="G1697" t="s">
        <v>32671</v>
      </c>
      <c r="H1697" t="s">
        <v>12635</v>
      </c>
      <c r="I1697" t="s">
        <v>6223</v>
      </c>
      <c r="J1697" t="s">
        <v>34058</v>
      </c>
      <c r="K1697" t="s">
        <v>42289</v>
      </c>
      <c r="M1697" t="s">
        <v>43048</v>
      </c>
      <c r="N1697" t="s">
        <v>46569</v>
      </c>
      <c r="O1697" t="s">
        <v>46570</v>
      </c>
      <c r="P1697">
        <v>0</v>
      </c>
      <c r="Q1697">
        <v>1</v>
      </c>
      <c r="R1697" t="s">
        <v>46571</v>
      </c>
      <c r="S1697" t="s">
        <v>46687</v>
      </c>
      <c r="T1697" t="s">
        <v>48409</v>
      </c>
      <c r="U1697" t="s">
        <v>49623</v>
      </c>
      <c r="W1697" t="s">
        <v>43048</v>
      </c>
      <c r="X1697" t="s">
        <v>46572</v>
      </c>
    </row>
    <row r="1698" spans="1:24">
      <c r="A1698">
        <f>HYPERLINK("https://www.philgeps.gov.ph/GEPSNONPILOT/Tender/SplashBidNoticeAbstractUI.aspx?menuIndex=3&amp;refID=7066369&amp;Result=3","7066369")</f>
        <v>0</v>
      </c>
      <c r="B1698" t="s">
        <v>763</v>
      </c>
      <c r="C1698" t="s">
        <v>5175</v>
      </c>
      <c r="E1698" t="s">
        <v>20449</v>
      </c>
      <c r="F1698" t="s">
        <v>32664</v>
      </c>
      <c r="G1698" t="s">
        <v>32671</v>
      </c>
      <c r="H1698" t="s">
        <v>12635</v>
      </c>
      <c r="I1698" t="s">
        <v>32711</v>
      </c>
      <c r="J1698" t="s">
        <v>34059</v>
      </c>
      <c r="K1698" t="s">
        <v>42314</v>
      </c>
      <c r="M1698" t="s">
        <v>43354</v>
      </c>
      <c r="N1698" t="s">
        <v>46569</v>
      </c>
      <c r="O1698" t="s">
        <v>46570</v>
      </c>
      <c r="P1698">
        <v>0</v>
      </c>
      <c r="Q1698">
        <v>1</v>
      </c>
      <c r="R1698" t="s">
        <v>46571</v>
      </c>
      <c r="S1698" t="s">
        <v>46687</v>
      </c>
      <c r="T1698" t="s">
        <v>48214</v>
      </c>
      <c r="U1698" t="s">
        <v>50214</v>
      </c>
      <c r="V1698" t="s">
        <v>61807</v>
      </c>
      <c r="W1698" t="s">
        <v>43945</v>
      </c>
      <c r="X1698" t="s">
        <v>46572</v>
      </c>
    </row>
    <row r="1699" spans="1:24">
      <c r="A1699">
        <f>HYPERLINK("https://www.philgeps.gov.ph/GEPSNONPILOT/Tender/SplashBidNoticeAbstractUI.aspx?menuIndex=3&amp;refID=7066373&amp;Result=3","7066373")</f>
        <v>0</v>
      </c>
      <c r="B1699" t="s">
        <v>710</v>
      </c>
      <c r="C1699" t="s">
        <v>5176</v>
      </c>
      <c r="D1699" t="s">
        <v>18831</v>
      </c>
      <c r="E1699" t="s">
        <v>20142</v>
      </c>
      <c r="F1699" t="s">
        <v>32664</v>
      </c>
      <c r="G1699" t="s">
        <v>32671</v>
      </c>
      <c r="H1699" t="s">
        <v>12635</v>
      </c>
      <c r="I1699" t="s">
        <v>4439</v>
      </c>
      <c r="J1699" t="s">
        <v>34060</v>
      </c>
      <c r="K1699" t="s">
        <v>42332</v>
      </c>
      <c r="M1699" t="s">
        <v>43297</v>
      </c>
      <c r="N1699" t="s">
        <v>46569</v>
      </c>
      <c r="O1699" t="s">
        <v>46570</v>
      </c>
      <c r="P1699">
        <v>0</v>
      </c>
      <c r="Q1699">
        <v>0</v>
      </c>
      <c r="R1699" t="s">
        <v>46571</v>
      </c>
      <c r="S1699" t="s">
        <v>46687</v>
      </c>
      <c r="T1699" t="s">
        <v>48282</v>
      </c>
      <c r="U1699" t="s">
        <v>50215</v>
      </c>
      <c r="W1699" t="s">
        <v>43297</v>
      </c>
      <c r="X1699" t="s">
        <v>46572</v>
      </c>
    </row>
    <row r="1700" spans="1:24">
      <c r="A1700">
        <f>HYPERLINK("https://www.philgeps.gov.ph/GEPSNONPILOT/Tender/SplashBidNoticeAbstractUI.aspx?menuIndex=3&amp;refID=7066116&amp;Result=3","7066116")</f>
        <v>0</v>
      </c>
      <c r="B1700" t="s">
        <v>220</v>
      </c>
      <c r="C1700" t="s">
        <v>5177</v>
      </c>
      <c r="D1700" t="s">
        <v>18788</v>
      </c>
      <c r="E1700" t="s">
        <v>19629</v>
      </c>
      <c r="F1700" t="s">
        <v>32664</v>
      </c>
      <c r="G1700" t="s">
        <v>32672</v>
      </c>
      <c r="H1700" t="s">
        <v>12635</v>
      </c>
      <c r="I1700" t="s">
        <v>4439</v>
      </c>
      <c r="J1700" t="s">
        <v>34061</v>
      </c>
      <c r="K1700" t="s">
        <v>42297</v>
      </c>
      <c r="L1700" t="s">
        <v>220</v>
      </c>
      <c r="M1700" t="s">
        <v>42784</v>
      </c>
      <c r="N1700" t="s">
        <v>46569</v>
      </c>
      <c r="O1700" t="s">
        <v>46570</v>
      </c>
      <c r="P1700">
        <v>0</v>
      </c>
      <c r="Q1700">
        <v>0</v>
      </c>
      <c r="R1700" t="s">
        <v>46571</v>
      </c>
      <c r="S1700" t="s">
        <v>46687</v>
      </c>
      <c r="T1700" t="s">
        <v>48308</v>
      </c>
      <c r="U1700" t="s">
        <v>50216</v>
      </c>
      <c r="W1700" t="s">
        <v>42784</v>
      </c>
      <c r="X1700" t="s">
        <v>46572</v>
      </c>
    </row>
    <row r="1701" spans="1:24">
      <c r="A1701">
        <f>HYPERLINK("https://www.philgeps.gov.ph/GEPSNONPILOT/Tender/SplashBidNoticeAbstractUI.aspx?menuIndex=3&amp;refID=7066114&amp;Result=3","7066114")</f>
        <v>0</v>
      </c>
      <c r="B1701" t="s">
        <v>396</v>
      </c>
      <c r="C1701" t="s">
        <v>5178</v>
      </c>
      <c r="D1701" t="s">
        <v>18790</v>
      </c>
      <c r="E1701" t="s">
        <v>20450</v>
      </c>
      <c r="F1701" t="s">
        <v>32664</v>
      </c>
      <c r="G1701" t="s">
        <v>32671</v>
      </c>
      <c r="H1701" t="s">
        <v>12635</v>
      </c>
      <c r="I1701" t="s">
        <v>32706</v>
      </c>
      <c r="J1701" t="s">
        <v>34062</v>
      </c>
      <c r="K1701" t="s">
        <v>42284</v>
      </c>
      <c r="M1701" t="s">
        <v>42966</v>
      </c>
      <c r="N1701" t="s">
        <v>46569</v>
      </c>
      <c r="O1701" t="s">
        <v>46570</v>
      </c>
      <c r="P1701">
        <v>0</v>
      </c>
      <c r="Q1701">
        <v>0</v>
      </c>
      <c r="R1701" t="s">
        <v>46571</v>
      </c>
      <c r="S1701" t="s">
        <v>46687</v>
      </c>
      <c r="T1701" t="s">
        <v>48283</v>
      </c>
      <c r="U1701" t="s">
        <v>50217</v>
      </c>
      <c r="W1701" t="s">
        <v>42966</v>
      </c>
      <c r="X1701" t="s">
        <v>46572</v>
      </c>
    </row>
    <row r="1702" spans="1:24">
      <c r="A1702">
        <f>HYPERLINK("https://www.philgeps.gov.ph/GEPSNONPILOT/Tender/SplashBidNoticeAbstractUI.aspx?menuIndex=3&amp;refID=7066371&amp;Result=3","7066371")</f>
        <v>0</v>
      </c>
      <c r="B1702" t="s">
        <v>729</v>
      </c>
      <c r="C1702" t="s">
        <v>5179</v>
      </c>
      <c r="D1702" t="s">
        <v>18818</v>
      </c>
      <c r="E1702" t="s">
        <v>20451</v>
      </c>
      <c r="F1702" t="s">
        <v>32664</v>
      </c>
      <c r="G1702" t="s">
        <v>32671</v>
      </c>
      <c r="H1702" t="s">
        <v>12635</v>
      </c>
      <c r="I1702" t="s">
        <v>8730</v>
      </c>
      <c r="J1702" t="s">
        <v>34063</v>
      </c>
      <c r="K1702" t="s">
        <v>42289</v>
      </c>
      <c r="M1702" t="s">
        <v>43318</v>
      </c>
      <c r="N1702" t="s">
        <v>46569</v>
      </c>
      <c r="O1702" t="s">
        <v>46570</v>
      </c>
      <c r="P1702">
        <v>0</v>
      </c>
      <c r="Q1702">
        <v>1</v>
      </c>
      <c r="R1702" t="s">
        <v>46571</v>
      </c>
      <c r="S1702" t="s">
        <v>46687</v>
      </c>
      <c r="T1702" t="s">
        <v>48244</v>
      </c>
      <c r="U1702" t="s">
        <v>50218</v>
      </c>
      <c r="W1702" t="s">
        <v>43318</v>
      </c>
      <c r="X1702" t="s">
        <v>46572</v>
      </c>
    </row>
    <row r="1703" spans="1:24">
      <c r="A1703">
        <f>HYPERLINK("https://www.philgeps.gov.ph/GEPSNONPILOT/Tender/SplashBidNoticeAbstractUI.aspx?menuIndex=3&amp;refID=7066110&amp;Result=3","7066110")</f>
        <v>0</v>
      </c>
      <c r="B1703" t="s">
        <v>250</v>
      </c>
      <c r="C1703" t="s">
        <v>5180</v>
      </c>
      <c r="D1703" t="s">
        <v>18787</v>
      </c>
      <c r="E1703" t="s">
        <v>20452</v>
      </c>
      <c r="F1703" t="s">
        <v>32664</v>
      </c>
      <c r="G1703" t="s">
        <v>32671</v>
      </c>
      <c r="H1703" t="s">
        <v>12635</v>
      </c>
      <c r="I1703" t="s">
        <v>32717</v>
      </c>
      <c r="J1703" t="s">
        <v>32898</v>
      </c>
      <c r="K1703" t="s">
        <v>42306</v>
      </c>
      <c r="M1703" t="s">
        <v>42815</v>
      </c>
      <c r="N1703" t="s">
        <v>46569</v>
      </c>
      <c r="O1703" t="s">
        <v>46570</v>
      </c>
      <c r="P1703">
        <v>0</v>
      </c>
      <c r="Q1703">
        <v>1</v>
      </c>
      <c r="R1703" t="s">
        <v>46571</v>
      </c>
      <c r="S1703" t="s">
        <v>46687</v>
      </c>
      <c r="T1703" t="s">
        <v>48251</v>
      </c>
      <c r="U1703" t="s">
        <v>50219</v>
      </c>
      <c r="W1703" t="s">
        <v>42815</v>
      </c>
      <c r="X1703" t="s">
        <v>46572</v>
      </c>
    </row>
    <row r="1704" spans="1:24">
      <c r="A1704">
        <f>HYPERLINK("https://www.philgeps.gov.ph/GEPSNONPILOT/Tender/SplashBidNoticeAbstractUI.aspx?menuIndex=3&amp;refID=7066386&amp;Result=3","7066386")</f>
        <v>0</v>
      </c>
      <c r="B1704" t="s">
        <v>633</v>
      </c>
      <c r="C1704" t="s">
        <v>5181</v>
      </c>
      <c r="D1704" t="s">
        <v>18814</v>
      </c>
      <c r="E1704" t="s">
        <v>20453</v>
      </c>
      <c r="F1704" t="s">
        <v>32664</v>
      </c>
      <c r="G1704" t="s">
        <v>32674</v>
      </c>
      <c r="H1704" t="s">
        <v>12635</v>
      </c>
      <c r="I1704" t="s">
        <v>6628</v>
      </c>
      <c r="J1704" t="s">
        <v>32984</v>
      </c>
      <c r="K1704" t="s">
        <v>42306</v>
      </c>
      <c r="M1704" t="s">
        <v>43216</v>
      </c>
      <c r="N1704" t="s">
        <v>46569</v>
      </c>
      <c r="O1704" t="s">
        <v>46570</v>
      </c>
      <c r="P1704">
        <v>0</v>
      </c>
      <c r="Q1704">
        <v>0</v>
      </c>
      <c r="R1704" t="s">
        <v>46571</v>
      </c>
      <c r="S1704" t="s">
        <v>46687</v>
      </c>
      <c r="T1704" t="s">
        <v>48221</v>
      </c>
      <c r="U1704" t="s">
        <v>50220</v>
      </c>
      <c r="W1704" t="s">
        <v>43216</v>
      </c>
      <c r="X1704" t="s">
        <v>46572</v>
      </c>
    </row>
    <row r="1705" spans="1:24">
      <c r="A1705">
        <f>HYPERLINK("https://www.philgeps.gov.ph/GEPSNONPILOT/Tender/SplashBidNoticeAbstractUI.aspx?menuIndex=3&amp;refID=7066119&amp;Result=3","7066119")</f>
        <v>0</v>
      </c>
      <c r="B1705" t="s">
        <v>764</v>
      </c>
      <c r="C1705" t="s">
        <v>5182</v>
      </c>
      <c r="D1705" t="s">
        <v>18791</v>
      </c>
      <c r="E1705" t="s">
        <v>20454</v>
      </c>
      <c r="F1705" t="s">
        <v>32664</v>
      </c>
      <c r="G1705" t="s">
        <v>32672</v>
      </c>
      <c r="H1705" t="s">
        <v>32683</v>
      </c>
      <c r="I1705" t="s">
        <v>10627</v>
      </c>
      <c r="J1705" t="s">
        <v>34064</v>
      </c>
      <c r="K1705" t="s">
        <v>42305</v>
      </c>
      <c r="M1705" t="s">
        <v>43355</v>
      </c>
      <c r="N1705" t="s">
        <v>46569</v>
      </c>
      <c r="O1705" t="s">
        <v>46570</v>
      </c>
      <c r="P1705">
        <v>0</v>
      </c>
      <c r="Q1705">
        <v>0</v>
      </c>
      <c r="R1705" t="s">
        <v>46571</v>
      </c>
      <c r="S1705" t="s">
        <v>46687</v>
      </c>
      <c r="T1705" t="s">
        <v>48274</v>
      </c>
      <c r="U1705" t="s">
        <v>50221</v>
      </c>
      <c r="W1705" t="s">
        <v>43355</v>
      </c>
      <c r="X1705" t="s">
        <v>46572</v>
      </c>
    </row>
    <row r="1706" spans="1:24">
      <c r="A1706">
        <f>HYPERLINK("https://www.philgeps.gov.ph/GEPSNONPILOT/Tender/SplashBidNoticeAbstractUI.aspx?menuIndex=3&amp;refID=7065961&amp;Result=3","7065961")</f>
        <v>0</v>
      </c>
      <c r="B1706" t="s">
        <v>568</v>
      </c>
      <c r="C1706" t="s">
        <v>5183</v>
      </c>
      <c r="D1706" t="s">
        <v>18822</v>
      </c>
      <c r="E1706" t="s">
        <v>20455</v>
      </c>
      <c r="F1706" t="s">
        <v>32664</v>
      </c>
      <c r="G1706" t="s">
        <v>32672</v>
      </c>
      <c r="H1706" t="s">
        <v>12635</v>
      </c>
      <c r="I1706" t="s">
        <v>32684</v>
      </c>
      <c r="J1706" t="s">
        <v>34065</v>
      </c>
      <c r="K1706" t="s">
        <v>42297</v>
      </c>
      <c r="M1706" t="s">
        <v>43148</v>
      </c>
      <c r="N1706" t="s">
        <v>46569</v>
      </c>
      <c r="O1706" t="s">
        <v>46570</v>
      </c>
      <c r="P1706">
        <v>0</v>
      </c>
      <c r="Q1706">
        <v>2</v>
      </c>
      <c r="R1706" t="s">
        <v>46571</v>
      </c>
      <c r="S1706" t="s">
        <v>46687</v>
      </c>
      <c r="T1706" t="s">
        <v>48275</v>
      </c>
      <c r="U1706" t="s">
        <v>49819</v>
      </c>
      <c r="V1706" t="s">
        <v>61761</v>
      </c>
      <c r="W1706" t="s">
        <v>63484</v>
      </c>
      <c r="X1706" t="s">
        <v>46572</v>
      </c>
    </row>
    <row r="1707" spans="1:24">
      <c r="A1707">
        <f>HYPERLINK("https://www.philgeps.gov.ph/GEPSNONPILOT/Tender/SplashBidNoticeAbstractUI.aspx?menuIndex=3&amp;refID=7066112&amp;Result=3","7066112")</f>
        <v>0</v>
      </c>
      <c r="B1707" t="s">
        <v>528</v>
      </c>
      <c r="C1707" t="s">
        <v>5184</v>
      </c>
      <c r="D1707" t="s">
        <v>18803</v>
      </c>
      <c r="E1707" t="s">
        <v>20456</v>
      </c>
      <c r="F1707" t="s">
        <v>32664</v>
      </c>
      <c r="G1707" t="s">
        <v>32675</v>
      </c>
      <c r="H1707" t="s">
        <v>12635</v>
      </c>
      <c r="I1707" t="s">
        <v>32745</v>
      </c>
      <c r="J1707" t="s">
        <v>32842</v>
      </c>
      <c r="K1707" t="s">
        <v>42281</v>
      </c>
      <c r="M1707" t="s">
        <v>43106</v>
      </c>
      <c r="N1707" t="s">
        <v>46569</v>
      </c>
      <c r="O1707" t="s">
        <v>46570</v>
      </c>
      <c r="P1707">
        <v>0</v>
      </c>
      <c r="Q1707">
        <v>1</v>
      </c>
      <c r="R1707" t="s">
        <v>46571</v>
      </c>
      <c r="S1707" t="s">
        <v>46687</v>
      </c>
      <c r="T1707" t="s">
        <v>48299</v>
      </c>
      <c r="U1707" t="s">
        <v>49875</v>
      </c>
      <c r="W1707" t="s">
        <v>43106</v>
      </c>
      <c r="X1707" t="s">
        <v>46572</v>
      </c>
    </row>
    <row r="1708" spans="1:24">
      <c r="A1708">
        <f>HYPERLINK("https://www.philgeps.gov.ph/GEPSNONPILOT/Tender/SplashBidNoticeAbstractUI.aspx?menuIndex=3&amp;refID=7065959&amp;Result=3","7065959")</f>
        <v>0</v>
      </c>
      <c r="B1708" t="s">
        <v>626</v>
      </c>
      <c r="C1708" t="s">
        <v>5185</v>
      </c>
      <c r="D1708" t="s">
        <v>18831</v>
      </c>
      <c r="E1708" t="s">
        <v>20457</v>
      </c>
      <c r="F1708" t="s">
        <v>32664</v>
      </c>
      <c r="G1708" t="s">
        <v>32674</v>
      </c>
      <c r="H1708" t="s">
        <v>12635</v>
      </c>
      <c r="I1708" t="s">
        <v>32706</v>
      </c>
      <c r="J1708" t="s">
        <v>33683</v>
      </c>
      <c r="K1708" t="s">
        <v>42281</v>
      </c>
      <c r="M1708" t="s">
        <v>43206</v>
      </c>
      <c r="N1708" t="s">
        <v>46569</v>
      </c>
      <c r="O1708" t="s">
        <v>46570</v>
      </c>
      <c r="P1708">
        <v>0</v>
      </c>
      <c r="Q1708">
        <v>0</v>
      </c>
      <c r="R1708" t="s">
        <v>46571</v>
      </c>
      <c r="S1708" t="s">
        <v>46687</v>
      </c>
      <c r="T1708" t="s">
        <v>48256</v>
      </c>
      <c r="U1708" t="s">
        <v>49273</v>
      </c>
      <c r="W1708" t="s">
        <v>43206</v>
      </c>
      <c r="X1708" t="s">
        <v>46572</v>
      </c>
    </row>
    <row r="1709" spans="1:24">
      <c r="A1709">
        <f>HYPERLINK("https://www.philgeps.gov.ph/GEPSNONPILOT/Tender/SplashBidNoticeAbstractUI.aspx?menuIndex=3&amp;refID=7065963&amp;Result=3","7065963")</f>
        <v>0</v>
      </c>
      <c r="B1709" t="s">
        <v>765</v>
      </c>
      <c r="C1709" t="s">
        <v>5186</v>
      </c>
      <c r="D1709" t="s">
        <v>18831</v>
      </c>
      <c r="E1709" t="s">
        <v>20458</v>
      </c>
      <c r="F1709" t="s">
        <v>32664</v>
      </c>
      <c r="G1709" t="s">
        <v>32671</v>
      </c>
      <c r="H1709" t="s">
        <v>12635</v>
      </c>
      <c r="I1709" t="s">
        <v>8797</v>
      </c>
      <c r="J1709" t="s">
        <v>34066</v>
      </c>
      <c r="K1709" t="s">
        <v>42297</v>
      </c>
      <c r="M1709" t="s">
        <v>43356</v>
      </c>
      <c r="N1709" t="s">
        <v>46569</v>
      </c>
      <c r="O1709" t="s">
        <v>46570</v>
      </c>
      <c r="P1709">
        <v>0</v>
      </c>
      <c r="Q1709">
        <v>0</v>
      </c>
      <c r="R1709" t="s">
        <v>46571</v>
      </c>
      <c r="S1709" t="s">
        <v>46687</v>
      </c>
      <c r="T1709" t="s">
        <v>48221</v>
      </c>
      <c r="U1709" t="s">
        <v>50222</v>
      </c>
      <c r="W1709" t="s">
        <v>43356</v>
      </c>
      <c r="X1709" t="s">
        <v>46572</v>
      </c>
    </row>
    <row r="1710" spans="1:24">
      <c r="A1710">
        <f>HYPERLINK("https://www.philgeps.gov.ph/GEPSNONPILOT/Tender/SplashBidNoticeAbstractUI.aspx?menuIndex=3&amp;refID=7065962&amp;Result=3","7065962")</f>
        <v>0</v>
      </c>
      <c r="B1710" t="s">
        <v>766</v>
      </c>
      <c r="C1710" t="s">
        <v>5187</v>
      </c>
      <c r="D1710" t="s">
        <v>18831</v>
      </c>
      <c r="E1710" t="s">
        <v>18926</v>
      </c>
      <c r="F1710" t="s">
        <v>32664</v>
      </c>
      <c r="G1710" t="s">
        <v>32672</v>
      </c>
      <c r="H1710" t="s">
        <v>32682</v>
      </c>
      <c r="I1710" t="s">
        <v>10627</v>
      </c>
      <c r="J1710" t="s">
        <v>32836</v>
      </c>
      <c r="K1710" t="s">
        <v>42281</v>
      </c>
      <c r="L1710" t="s">
        <v>766</v>
      </c>
      <c r="M1710" t="s">
        <v>43357</v>
      </c>
      <c r="N1710" t="s">
        <v>46569</v>
      </c>
      <c r="O1710" t="s">
        <v>46570</v>
      </c>
      <c r="P1710">
        <v>0</v>
      </c>
      <c r="Q1710">
        <v>0</v>
      </c>
      <c r="R1710" t="s">
        <v>46571</v>
      </c>
      <c r="S1710" t="s">
        <v>46687</v>
      </c>
      <c r="T1710" t="s">
        <v>48237</v>
      </c>
      <c r="U1710" t="s">
        <v>50223</v>
      </c>
      <c r="W1710" t="s">
        <v>43357</v>
      </c>
      <c r="X1710" t="s">
        <v>46572</v>
      </c>
    </row>
    <row r="1711" spans="1:24">
      <c r="A1711">
        <f>HYPERLINK("https://www.philgeps.gov.ph/GEPSNONPILOT/Tender/SplashBidNoticeAbstractUI.aspx?menuIndex=3&amp;refID=7065939&amp;Result=3","7065939")</f>
        <v>0</v>
      </c>
      <c r="B1711" t="s">
        <v>229</v>
      </c>
      <c r="C1711" t="s">
        <v>5188</v>
      </c>
      <c r="D1711" t="s">
        <v>18838</v>
      </c>
      <c r="E1711" t="s">
        <v>20459</v>
      </c>
      <c r="F1711" t="s">
        <v>32664</v>
      </c>
      <c r="G1711" t="s">
        <v>32671</v>
      </c>
      <c r="H1711" t="s">
        <v>12635</v>
      </c>
      <c r="I1711" t="s">
        <v>6223</v>
      </c>
      <c r="J1711" t="s">
        <v>34067</v>
      </c>
      <c r="K1711" t="s">
        <v>42297</v>
      </c>
      <c r="M1711" t="s">
        <v>42793</v>
      </c>
      <c r="N1711" t="s">
        <v>46569</v>
      </c>
      <c r="O1711" t="s">
        <v>46570</v>
      </c>
      <c r="P1711">
        <v>0</v>
      </c>
      <c r="Q1711">
        <v>0</v>
      </c>
      <c r="R1711" t="s">
        <v>46571</v>
      </c>
      <c r="S1711" t="s">
        <v>46687</v>
      </c>
      <c r="T1711" t="s">
        <v>48221</v>
      </c>
      <c r="U1711" t="s">
        <v>50224</v>
      </c>
      <c r="W1711" t="s">
        <v>42793</v>
      </c>
      <c r="X1711" t="s">
        <v>46572</v>
      </c>
    </row>
    <row r="1712" spans="1:24">
      <c r="A1712">
        <f>HYPERLINK("https://www.philgeps.gov.ph/GEPSNONPILOT/Tender/SplashBidNoticeAbstractUI.aspx?menuIndex=3&amp;refID=7065938&amp;Result=3","7065938")</f>
        <v>0</v>
      </c>
      <c r="B1712" t="s">
        <v>767</v>
      </c>
      <c r="C1712" t="s">
        <v>5189</v>
      </c>
      <c r="D1712" t="s">
        <v>18826</v>
      </c>
      <c r="E1712" t="s">
        <v>20460</v>
      </c>
      <c r="F1712" t="s">
        <v>32664</v>
      </c>
      <c r="G1712" t="s">
        <v>32672</v>
      </c>
      <c r="H1712" t="s">
        <v>12635</v>
      </c>
      <c r="I1712" t="s">
        <v>32688</v>
      </c>
      <c r="J1712" t="s">
        <v>34068</v>
      </c>
      <c r="K1712" t="s">
        <v>42284</v>
      </c>
      <c r="M1712" t="s">
        <v>43358</v>
      </c>
      <c r="N1712" t="s">
        <v>46569</v>
      </c>
      <c r="O1712" t="s">
        <v>46570</v>
      </c>
      <c r="P1712">
        <v>0</v>
      </c>
      <c r="Q1712">
        <v>0</v>
      </c>
      <c r="R1712" t="s">
        <v>46571</v>
      </c>
      <c r="S1712" t="s">
        <v>46687</v>
      </c>
      <c r="T1712" t="s">
        <v>48245</v>
      </c>
      <c r="U1712" t="s">
        <v>50225</v>
      </c>
      <c r="W1712" t="s">
        <v>43358</v>
      </c>
      <c r="X1712" t="s">
        <v>46572</v>
      </c>
    </row>
    <row r="1713" spans="1:24">
      <c r="A1713">
        <f>HYPERLINK("https://www.philgeps.gov.ph/GEPSNONPILOT/Tender/SplashBidNoticeAbstractUI.aspx?menuIndex=3&amp;refID=7065956&amp;Result=3","7065956")</f>
        <v>0</v>
      </c>
      <c r="B1713" t="s">
        <v>768</v>
      </c>
      <c r="C1713" t="s">
        <v>5190</v>
      </c>
      <c r="D1713" t="s">
        <v>18804</v>
      </c>
      <c r="E1713" t="s">
        <v>20461</v>
      </c>
      <c r="F1713" t="s">
        <v>32664</v>
      </c>
      <c r="G1713" t="s">
        <v>32671</v>
      </c>
      <c r="H1713" t="s">
        <v>12635</v>
      </c>
      <c r="I1713" t="s">
        <v>32704</v>
      </c>
      <c r="J1713" t="s">
        <v>32859</v>
      </c>
      <c r="K1713" t="s">
        <v>42281</v>
      </c>
      <c r="M1713" t="s">
        <v>43359</v>
      </c>
      <c r="N1713" t="s">
        <v>46569</v>
      </c>
      <c r="O1713" t="s">
        <v>46570</v>
      </c>
      <c r="P1713">
        <v>0</v>
      </c>
      <c r="Q1713">
        <v>4</v>
      </c>
      <c r="R1713" t="s">
        <v>46571</v>
      </c>
      <c r="S1713" t="s">
        <v>46687</v>
      </c>
      <c r="T1713" t="s">
        <v>48293</v>
      </c>
      <c r="U1713" t="s">
        <v>50226</v>
      </c>
      <c r="W1713" t="s">
        <v>43359</v>
      </c>
      <c r="X1713" t="s">
        <v>46572</v>
      </c>
    </row>
    <row r="1714" spans="1:24">
      <c r="A1714">
        <f>HYPERLINK("https://www.philgeps.gov.ph/GEPSNONPILOT/Tender/SplashBidNoticeAbstractUI.aspx?menuIndex=3&amp;refID=7065937&amp;Result=3","7065937")</f>
        <v>0</v>
      </c>
      <c r="B1714" t="s">
        <v>769</v>
      </c>
      <c r="C1714" t="s">
        <v>5191</v>
      </c>
      <c r="D1714" t="s">
        <v>18801</v>
      </c>
      <c r="E1714" t="s">
        <v>20462</v>
      </c>
      <c r="F1714" t="s">
        <v>32664</v>
      </c>
      <c r="G1714" t="s">
        <v>32671</v>
      </c>
      <c r="H1714" t="s">
        <v>12635</v>
      </c>
      <c r="I1714" t="s">
        <v>6168</v>
      </c>
      <c r="J1714" t="s">
        <v>32976</v>
      </c>
      <c r="K1714" t="s">
        <v>42283</v>
      </c>
      <c r="M1714" t="s">
        <v>43360</v>
      </c>
      <c r="N1714" t="s">
        <v>46569</v>
      </c>
      <c r="O1714" t="s">
        <v>46570</v>
      </c>
      <c r="P1714">
        <v>0</v>
      </c>
      <c r="Q1714">
        <v>0</v>
      </c>
      <c r="R1714" t="s">
        <v>46571</v>
      </c>
      <c r="S1714" t="s">
        <v>46687</v>
      </c>
      <c r="T1714" t="s">
        <v>48219</v>
      </c>
      <c r="U1714" t="s">
        <v>50227</v>
      </c>
      <c r="W1714" t="s">
        <v>43360</v>
      </c>
      <c r="X1714" t="s">
        <v>46572</v>
      </c>
    </row>
    <row r="1715" spans="1:24">
      <c r="A1715">
        <f>HYPERLINK("https://www.philgeps.gov.ph/GEPSNONPILOT/Tender/SplashBidNoticeAbstractUI.aspx?menuIndex=3&amp;refID=7066374&amp;Result=3","7066374")</f>
        <v>0</v>
      </c>
      <c r="B1715" t="s">
        <v>253</v>
      </c>
      <c r="C1715" t="s">
        <v>5192</v>
      </c>
      <c r="D1715" t="s">
        <v>18790</v>
      </c>
      <c r="E1715" t="s">
        <v>20463</v>
      </c>
      <c r="F1715" t="s">
        <v>32664</v>
      </c>
      <c r="G1715" t="s">
        <v>32674</v>
      </c>
      <c r="H1715" t="s">
        <v>12635</v>
      </c>
      <c r="I1715" t="s">
        <v>6168</v>
      </c>
      <c r="J1715" t="s">
        <v>32917</v>
      </c>
      <c r="K1715" t="s">
        <v>42283</v>
      </c>
      <c r="M1715" t="s">
        <v>42851</v>
      </c>
      <c r="N1715" t="s">
        <v>46569</v>
      </c>
      <c r="O1715" t="s">
        <v>46570</v>
      </c>
      <c r="P1715">
        <v>0</v>
      </c>
      <c r="Q1715">
        <v>1</v>
      </c>
      <c r="R1715" t="s">
        <v>46571</v>
      </c>
      <c r="S1715" t="s">
        <v>46687</v>
      </c>
      <c r="T1715" t="s">
        <v>48283</v>
      </c>
      <c r="U1715" t="s">
        <v>50228</v>
      </c>
      <c r="W1715" t="s">
        <v>42851</v>
      </c>
      <c r="X1715" t="s">
        <v>46572</v>
      </c>
    </row>
    <row r="1716" spans="1:24">
      <c r="A1716">
        <f>HYPERLINK("https://www.philgeps.gov.ph/GEPSNONPILOT/Tender/SplashBidNoticeAbstractUI.aspx?menuIndex=3&amp;refID=7065936&amp;Result=3","7065936")</f>
        <v>0</v>
      </c>
      <c r="B1716" t="s">
        <v>621</v>
      </c>
      <c r="C1716" t="s">
        <v>4840</v>
      </c>
      <c r="D1716" t="s">
        <v>18810</v>
      </c>
      <c r="E1716" t="s">
        <v>20464</v>
      </c>
      <c r="F1716" t="s">
        <v>32664</v>
      </c>
      <c r="G1716" t="s">
        <v>32674</v>
      </c>
      <c r="H1716" t="s">
        <v>12635</v>
      </c>
      <c r="I1716" t="s">
        <v>10361</v>
      </c>
      <c r="J1716" t="s">
        <v>34069</v>
      </c>
      <c r="K1716" t="s">
        <v>42284</v>
      </c>
      <c r="M1716" t="s">
        <v>43201</v>
      </c>
      <c r="N1716" t="s">
        <v>46569</v>
      </c>
      <c r="O1716" t="s">
        <v>46570</v>
      </c>
      <c r="P1716">
        <v>0</v>
      </c>
      <c r="Q1716">
        <v>0</v>
      </c>
      <c r="R1716" t="s">
        <v>46571</v>
      </c>
      <c r="S1716" t="s">
        <v>46687</v>
      </c>
      <c r="T1716" t="s">
        <v>48287</v>
      </c>
      <c r="U1716" t="s">
        <v>50229</v>
      </c>
      <c r="W1716" t="s">
        <v>43201</v>
      </c>
      <c r="X1716" t="s">
        <v>46572</v>
      </c>
    </row>
    <row r="1717" spans="1:24">
      <c r="A1717">
        <f>HYPERLINK("https://www.philgeps.gov.ph/GEPSNONPILOT/Tender/SplashBidNoticeAbstractUI.aspx?menuIndex=3&amp;refID=7065935&amp;Result=3","7065935")</f>
        <v>0</v>
      </c>
      <c r="B1717" t="s">
        <v>770</v>
      </c>
      <c r="C1717" t="s">
        <v>5193</v>
      </c>
      <c r="E1717" t="s">
        <v>20465</v>
      </c>
      <c r="F1717" t="s">
        <v>32664</v>
      </c>
      <c r="G1717" t="s">
        <v>32672</v>
      </c>
      <c r="H1717" t="s">
        <v>12635</v>
      </c>
      <c r="I1717" t="s">
        <v>8730</v>
      </c>
      <c r="J1717" t="s">
        <v>34070</v>
      </c>
      <c r="K1717" t="s">
        <v>42284</v>
      </c>
      <c r="M1717" t="s">
        <v>43361</v>
      </c>
      <c r="N1717" t="s">
        <v>46569</v>
      </c>
      <c r="O1717" t="s">
        <v>46570</v>
      </c>
      <c r="P1717">
        <v>0</v>
      </c>
      <c r="Q1717">
        <v>1</v>
      </c>
      <c r="R1717" t="s">
        <v>46571</v>
      </c>
      <c r="S1717" t="s">
        <v>46687</v>
      </c>
      <c r="T1717" t="s">
        <v>48225</v>
      </c>
      <c r="U1717" t="s">
        <v>50230</v>
      </c>
      <c r="W1717" t="s">
        <v>43361</v>
      </c>
      <c r="X1717" t="s">
        <v>46572</v>
      </c>
    </row>
    <row r="1718" spans="1:24">
      <c r="A1718">
        <f>HYPERLINK("https://www.philgeps.gov.ph/GEPSNONPILOT/Tender/SplashBidNoticeAbstractUI.aspx?menuIndex=3&amp;refID=7066111&amp;Result=3","7066111")</f>
        <v>0</v>
      </c>
      <c r="B1718" t="s">
        <v>654</v>
      </c>
      <c r="C1718" t="s">
        <v>5194</v>
      </c>
      <c r="D1718" t="s">
        <v>18827</v>
      </c>
      <c r="E1718" t="s">
        <v>20466</v>
      </c>
      <c r="F1718" t="s">
        <v>32664</v>
      </c>
      <c r="G1718" t="s">
        <v>32672</v>
      </c>
      <c r="H1718" t="s">
        <v>32683</v>
      </c>
      <c r="I1718" t="s">
        <v>10627</v>
      </c>
      <c r="J1718" t="s">
        <v>33886</v>
      </c>
      <c r="K1718" t="s">
        <v>42368</v>
      </c>
      <c r="M1718" t="s">
        <v>43240</v>
      </c>
      <c r="N1718" t="s">
        <v>46569</v>
      </c>
      <c r="O1718" t="s">
        <v>46570</v>
      </c>
      <c r="P1718">
        <v>0</v>
      </c>
      <c r="Q1718">
        <v>1</v>
      </c>
      <c r="R1718" t="s">
        <v>46571</v>
      </c>
      <c r="S1718" t="s">
        <v>46687</v>
      </c>
      <c r="T1718" t="s">
        <v>48220</v>
      </c>
      <c r="U1718" t="s">
        <v>50013</v>
      </c>
      <c r="W1718" t="s">
        <v>43240</v>
      </c>
      <c r="X1718" t="s">
        <v>46572</v>
      </c>
    </row>
    <row r="1719" spans="1:24">
      <c r="A1719">
        <f>HYPERLINK("https://www.philgeps.gov.ph/GEPSNONPILOT/Tender/SplashBidNoticeAbstractUI.aspx?menuIndex=3&amp;refID=7066398&amp;Result=3","7066398")</f>
        <v>0</v>
      </c>
      <c r="B1719" t="s">
        <v>326</v>
      </c>
      <c r="C1719" t="s">
        <v>5195</v>
      </c>
      <c r="D1719" t="s">
        <v>18799</v>
      </c>
      <c r="E1719" t="s">
        <v>20467</v>
      </c>
      <c r="F1719" t="s">
        <v>32664</v>
      </c>
      <c r="G1719" t="s">
        <v>32671</v>
      </c>
      <c r="H1719" t="s">
        <v>12635</v>
      </c>
      <c r="I1719" t="s">
        <v>6223</v>
      </c>
      <c r="J1719" t="s">
        <v>34071</v>
      </c>
      <c r="K1719" t="s">
        <v>42283</v>
      </c>
      <c r="M1719" t="s">
        <v>42894</v>
      </c>
      <c r="N1719" t="s">
        <v>46569</v>
      </c>
      <c r="O1719" t="s">
        <v>46570</v>
      </c>
      <c r="P1719">
        <v>0</v>
      </c>
      <c r="Q1719">
        <v>0</v>
      </c>
      <c r="R1719" t="s">
        <v>46571</v>
      </c>
      <c r="S1719" t="s">
        <v>46687</v>
      </c>
      <c r="T1719" t="s">
        <v>48256</v>
      </c>
      <c r="U1719" t="s">
        <v>50231</v>
      </c>
      <c r="W1719" t="s">
        <v>42894</v>
      </c>
      <c r="X1719" t="s">
        <v>46572</v>
      </c>
    </row>
    <row r="1720" spans="1:24">
      <c r="A1720">
        <f>HYPERLINK("https://www.philgeps.gov.ph/GEPSNONPILOT/Tender/SplashBidNoticeAbstractUI.aspx?menuIndex=3&amp;refID=7066397&amp;Result=3","7066397")</f>
        <v>0</v>
      </c>
      <c r="B1720" t="s">
        <v>679</v>
      </c>
      <c r="C1720" t="s">
        <v>5196</v>
      </c>
      <c r="D1720" t="s">
        <v>18831</v>
      </c>
      <c r="E1720" t="s">
        <v>20468</v>
      </c>
      <c r="F1720" t="s">
        <v>32664</v>
      </c>
      <c r="G1720" t="s">
        <v>32672</v>
      </c>
      <c r="H1720" t="s">
        <v>32683</v>
      </c>
      <c r="I1720" t="s">
        <v>10627</v>
      </c>
      <c r="J1720" t="s">
        <v>34072</v>
      </c>
      <c r="K1720" t="s">
        <v>42298</v>
      </c>
      <c r="M1720" t="s">
        <v>43266</v>
      </c>
      <c r="N1720" t="s">
        <v>46569</v>
      </c>
      <c r="O1720" t="s">
        <v>46570</v>
      </c>
      <c r="P1720">
        <v>0</v>
      </c>
      <c r="Q1720">
        <v>1</v>
      </c>
      <c r="R1720" t="s">
        <v>46571</v>
      </c>
      <c r="S1720" t="s">
        <v>46687</v>
      </c>
      <c r="T1720" t="s">
        <v>48270</v>
      </c>
      <c r="U1720" t="s">
        <v>50063</v>
      </c>
      <c r="W1720" t="s">
        <v>43266</v>
      </c>
      <c r="X1720" t="s">
        <v>46572</v>
      </c>
    </row>
    <row r="1721" spans="1:24">
      <c r="A1721">
        <f>HYPERLINK("https://www.philgeps.gov.ph/GEPSNONPILOT/Tender/SplashBidNoticeAbstractUI.aspx?menuIndex=3&amp;refID=7066395&amp;Result=3","7066395")</f>
        <v>0</v>
      </c>
      <c r="B1721" t="s">
        <v>428</v>
      </c>
      <c r="C1721" t="s">
        <v>5197</v>
      </c>
      <c r="D1721" t="s">
        <v>18842</v>
      </c>
      <c r="E1721" t="s">
        <v>20469</v>
      </c>
      <c r="F1721" t="s">
        <v>32664</v>
      </c>
      <c r="G1721" t="s">
        <v>32671</v>
      </c>
      <c r="H1721" t="s">
        <v>12635</v>
      </c>
      <c r="I1721" t="s">
        <v>14442</v>
      </c>
      <c r="J1721" t="s">
        <v>33051</v>
      </c>
      <c r="K1721" t="s">
        <v>42281</v>
      </c>
      <c r="M1721" t="s">
        <v>43241</v>
      </c>
      <c r="N1721" t="s">
        <v>46569</v>
      </c>
      <c r="O1721" t="s">
        <v>46570</v>
      </c>
      <c r="P1721">
        <v>0</v>
      </c>
      <c r="Q1721">
        <v>1</v>
      </c>
      <c r="R1721" t="s">
        <v>46571</v>
      </c>
      <c r="S1721" t="s">
        <v>46687</v>
      </c>
      <c r="T1721" t="s">
        <v>48315</v>
      </c>
      <c r="U1721" t="s">
        <v>50232</v>
      </c>
      <c r="W1721" t="s">
        <v>43241</v>
      </c>
      <c r="X1721" t="s">
        <v>46572</v>
      </c>
    </row>
    <row r="1722" spans="1:24">
      <c r="A1722">
        <f>HYPERLINK("https://www.philgeps.gov.ph/GEPSNONPILOT/Tender/SplashBidNoticeAbstractUI.aspx?menuIndex=3&amp;refID=7065957&amp;Result=3","7065957")</f>
        <v>0</v>
      </c>
      <c r="B1722" t="s">
        <v>771</v>
      </c>
      <c r="C1722" t="s">
        <v>5198</v>
      </c>
      <c r="D1722" t="s">
        <v>18831</v>
      </c>
      <c r="E1722" t="s">
        <v>20470</v>
      </c>
      <c r="F1722" t="s">
        <v>32664</v>
      </c>
      <c r="G1722" t="s">
        <v>32671</v>
      </c>
      <c r="H1722" t="s">
        <v>12635</v>
      </c>
      <c r="I1722" t="s">
        <v>32681</v>
      </c>
      <c r="J1722" t="s">
        <v>34073</v>
      </c>
      <c r="K1722" t="s">
        <v>42305</v>
      </c>
      <c r="M1722" t="s">
        <v>43362</v>
      </c>
      <c r="N1722" t="s">
        <v>46569</v>
      </c>
      <c r="O1722" t="s">
        <v>46570</v>
      </c>
      <c r="P1722">
        <v>0</v>
      </c>
      <c r="Q1722">
        <v>0</v>
      </c>
      <c r="R1722" t="s">
        <v>46571</v>
      </c>
      <c r="S1722" t="s">
        <v>46687</v>
      </c>
      <c r="T1722" t="s">
        <v>48211</v>
      </c>
      <c r="U1722" t="s">
        <v>50233</v>
      </c>
      <c r="W1722" t="s">
        <v>43362</v>
      </c>
      <c r="X1722" t="s">
        <v>46572</v>
      </c>
    </row>
    <row r="1723" spans="1:24">
      <c r="A1723">
        <f>HYPERLINK("https://www.philgeps.gov.ph/GEPSNONPILOT/Tender/SplashBidNoticeAbstractUI.aspx?menuIndex=3&amp;refID=7066411&amp;Result=3","7066411")</f>
        <v>0</v>
      </c>
      <c r="B1723" t="s">
        <v>738</v>
      </c>
      <c r="C1723" t="s">
        <v>5199</v>
      </c>
      <c r="D1723" t="s">
        <v>18842</v>
      </c>
      <c r="E1723" t="s">
        <v>20471</v>
      </c>
      <c r="F1723" t="s">
        <v>32664</v>
      </c>
      <c r="G1723" t="s">
        <v>32672</v>
      </c>
      <c r="H1723" t="s">
        <v>12635</v>
      </c>
      <c r="I1723" t="s">
        <v>10627</v>
      </c>
      <c r="J1723" t="s">
        <v>34074</v>
      </c>
      <c r="K1723" t="s">
        <v>42283</v>
      </c>
      <c r="M1723" t="s">
        <v>43327</v>
      </c>
      <c r="N1723" t="s">
        <v>46569</v>
      </c>
      <c r="O1723" t="s">
        <v>46570</v>
      </c>
      <c r="P1723">
        <v>0</v>
      </c>
      <c r="Q1723">
        <v>0</v>
      </c>
      <c r="R1723" t="s">
        <v>46571</v>
      </c>
      <c r="S1723" t="s">
        <v>46687</v>
      </c>
      <c r="T1723" t="s">
        <v>48295</v>
      </c>
      <c r="U1723" t="s">
        <v>50234</v>
      </c>
      <c r="W1723" t="s">
        <v>43327</v>
      </c>
      <c r="X1723" t="s">
        <v>46572</v>
      </c>
    </row>
    <row r="1724" spans="1:24">
      <c r="A1724">
        <f>HYPERLINK("https://www.philgeps.gov.ph/GEPSNONPILOT/Tender/SplashBidNoticeAbstractUI.aspx?menuIndex=3&amp;refID=7066415&amp;Result=3","7066415")</f>
        <v>0</v>
      </c>
      <c r="B1724" t="s">
        <v>690</v>
      </c>
      <c r="C1724" t="s">
        <v>5200</v>
      </c>
      <c r="D1724" t="s">
        <v>18781</v>
      </c>
      <c r="E1724" t="s">
        <v>20472</v>
      </c>
      <c r="F1724" t="s">
        <v>32664</v>
      </c>
      <c r="G1724" t="s">
        <v>32672</v>
      </c>
      <c r="H1724" t="s">
        <v>32683</v>
      </c>
      <c r="I1724" t="s">
        <v>10627</v>
      </c>
      <c r="J1724" t="s">
        <v>34075</v>
      </c>
      <c r="K1724" t="s">
        <v>42323</v>
      </c>
      <c r="L1724" t="s">
        <v>690</v>
      </c>
      <c r="M1724" t="s">
        <v>43277</v>
      </c>
      <c r="N1724" t="s">
        <v>46569</v>
      </c>
      <c r="O1724" t="s">
        <v>46570</v>
      </c>
      <c r="P1724">
        <v>0</v>
      </c>
      <c r="Q1724">
        <v>0</v>
      </c>
      <c r="R1724" t="s">
        <v>46571</v>
      </c>
      <c r="S1724" t="s">
        <v>46687</v>
      </c>
      <c r="T1724" t="s">
        <v>48360</v>
      </c>
      <c r="U1724" t="s">
        <v>50079</v>
      </c>
      <c r="W1724" t="s">
        <v>43277</v>
      </c>
      <c r="X1724" t="s">
        <v>46572</v>
      </c>
    </row>
    <row r="1725" spans="1:24">
      <c r="A1725">
        <f>HYPERLINK("https://www.philgeps.gov.ph/GEPSNONPILOT/Tender/SplashBidNoticeAbstractUI.aspx?menuIndex=3&amp;refID=7066396&amp;Result=3","7066396")</f>
        <v>0</v>
      </c>
      <c r="B1725" t="s">
        <v>772</v>
      </c>
      <c r="C1725" t="s">
        <v>5201</v>
      </c>
      <c r="D1725" t="s">
        <v>18804</v>
      </c>
      <c r="E1725" t="s">
        <v>20473</v>
      </c>
      <c r="F1725" t="s">
        <v>32664</v>
      </c>
      <c r="G1725" t="s">
        <v>32671</v>
      </c>
      <c r="H1725" t="s">
        <v>12635</v>
      </c>
      <c r="I1725" t="s">
        <v>6118</v>
      </c>
      <c r="J1725" t="s">
        <v>33051</v>
      </c>
      <c r="K1725" t="s">
        <v>42309</v>
      </c>
      <c r="M1725" t="s">
        <v>43363</v>
      </c>
      <c r="N1725" t="s">
        <v>46569</v>
      </c>
      <c r="O1725" t="s">
        <v>46570</v>
      </c>
      <c r="P1725">
        <v>0</v>
      </c>
      <c r="Q1725">
        <v>0</v>
      </c>
      <c r="R1725" t="s">
        <v>46571</v>
      </c>
      <c r="S1725" t="s">
        <v>46687</v>
      </c>
      <c r="T1725" t="s">
        <v>48410</v>
      </c>
      <c r="U1725" t="s">
        <v>50235</v>
      </c>
      <c r="W1725" t="s">
        <v>43363</v>
      </c>
      <c r="X1725" t="s">
        <v>46572</v>
      </c>
    </row>
    <row r="1726" spans="1:24">
      <c r="A1726">
        <f>HYPERLINK("https://www.philgeps.gov.ph/GEPSNONPILOT/Tender/SplashBidNoticeAbstractUI.aspx?menuIndex=3&amp;refID=7065955&amp;Result=3","7065955")</f>
        <v>0</v>
      </c>
      <c r="B1726" t="s">
        <v>773</v>
      </c>
      <c r="C1726" t="s">
        <v>5202</v>
      </c>
      <c r="D1726" t="s">
        <v>18821</v>
      </c>
      <c r="E1726" t="s">
        <v>20474</v>
      </c>
      <c r="F1726" t="s">
        <v>32664</v>
      </c>
      <c r="G1726" t="s">
        <v>32671</v>
      </c>
      <c r="H1726" t="s">
        <v>12635</v>
      </c>
      <c r="I1726" t="s">
        <v>8958</v>
      </c>
      <c r="J1726" t="s">
        <v>33294</v>
      </c>
      <c r="K1726" t="s">
        <v>42284</v>
      </c>
      <c r="M1726" t="s">
        <v>43364</v>
      </c>
      <c r="N1726" t="s">
        <v>46569</v>
      </c>
      <c r="O1726" t="s">
        <v>46570</v>
      </c>
      <c r="P1726">
        <v>0</v>
      </c>
      <c r="Q1726">
        <v>0</v>
      </c>
      <c r="R1726" t="s">
        <v>46571</v>
      </c>
      <c r="S1726" t="s">
        <v>46687</v>
      </c>
      <c r="T1726" t="s">
        <v>48314</v>
      </c>
      <c r="U1726" t="s">
        <v>50236</v>
      </c>
      <c r="W1726" t="s">
        <v>43364</v>
      </c>
      <c r="X1726" t="s">
        <v>46572</v>
      </c>
    </row>
    <row r="1727" spans="1:24">
      <c r="A1727">
        <f>HYPERLINK("https://www.philgeps.gov.ph/GEPSNONPILOT/Tender/SplashBidNoticeAbstractUI.aspx?menuIndex=3&amp;refID=7066408&amp;Result=3","7066408")</f>
        <v>0</v>
      </c>
      <c r="B1727" t="s">
        <v>635</v>
      </c>
      <c r="C1727" t="s">
        <v>5203</v>
      </c>
      <c r="D1727" t="s">
        <v>18841</v>
      </c>
      <c r="E1727" t="s">
        <v>20475</v>
      </c>
      <c r="F1727" t="s">
        <v>32664</v>
      </c>
      <c r="G1727" t="s">
        <v>32671</v>
      </c>
      <c r="H1727" t="s">
        <v>32681</v>
      </c>
      <c r="I1727" t="s">
        <v>32748</v>
      </c>
      <c r="J1727" t="s">
        <v>34076</v>
      </c>
      <c r="K1727" t="s">
        <v>42284</v>
      </c>
      <c r="M1727" t="s">
        <v>43218</v>
      </c>
      <c r="N1727" t="s">
        <v>46569</v>
      </c>
      <c r="O1727" t="s">
        <v>46570</v>
      </c>
      <c r="P1727">
        <v>0</v>
      </c>
      <c r="Q1727">
        <v>1</v>
      </c>
      <c r="R1727" t="s">
        <v>46571</v>
      </c>
      <c r="S1727" t="s">
        <v>46687</v>
      </c>
      <c r="T1727" t="s">
        <v>48304</v>
      </c>
      <c r="U1727" t="s">
        <v>50213</v>
      </c>
      <c r="W1727" t="s">
        <v>43218</v>
      </c>
      <c r="X1727" t="s">
        <v>46572</v>
      </c>
    </row>
    <row r="1728" spans="1:24">
      <c r="A1728">
        <f>HYPERLINK("https://www.philgeps.gov.ph/GEPSNONPILOT/Tender/SplashBidNoticeAbstractUI.aspx?menuIndex=3&amp;refID=7066407&amp;Result=3","7066407")</f>
        <v>0</v>
      </c>
      <c r="B1728" t="s">
        <v>774</v>
      </c>
      <c r="C1728" t="s">
        <v>5204</v>
      </c>
      <c r="D1728" t="s">
        <v>18842</v>
      </c>
      <c r="E1728" t="s">
        <v>20476</v>
      </c>
      <c r="F1728" t="s">
        <v>32664</v>
      </c>
      <c r="G1728" t="s">
        <v>32671</v>
      </c>
      <c r="H1728" t="s">
        <v>12635</v>
      </c>
      <c r="I1728" t="s">
        <v>32686</v>
      </c>
      <c r="J1728" t="s">
        <v>34077</v>
      </c>
      <c r="K1728" t="s">
        <v>42283</v>
      </c>
      <c r="M1728" t="s">
        <v>43365</v>
      </c>
      <c r="N1728" t="s">
        <v>46569</v>
      </c>
      <c r="O1728" t="s">
        <v>46570</v>
      </c>
      <c r="P1728">
        <v>0</v>
      </c>
      <c r="Q1728">
        <v>0</v>
      </c>
      <c r="R1728" t="s">
        <v>46571</v>
      </c>
      <c r="S1728" t="s">
        <v>46687</v>
      </c>
      <c r="T1728" t="s">
        <v>48228</v>
      </c>
      <c r="U1728" t="s">
        <v>50237</v>
      </c>
      <c r="W1728" t="s">
        <v>43365</v>
      </c>
      <c r="X1728" t="s">
        <v>46572</v>
      </c>
    </row>
    <row r="1729" spans="1:24">
      <c r="A1729">
        <f>HYPERLINK("https://www.philgeps.gov.ph/GEPSNONPILOT/Tender/SplashBidNoticeAbstractUI.aspx?menuIndex=3&amp;refID=7066406&amp;Result=3","7066406")</f>
        <v>0</v>
      </c>
      <c r="B1729" t="s">
        <v>529</v>
      </c>
      <c r="C1729" t="s">
        <v>5205</v>
      </c>
      <c r="D1729" t="s">
        <v>18784</v>
      </c>
      <c r="E1729" t="s">
        <v>20477</v>
      </c>
      <c r="F1729" t="s">
        <v>32664</v>
      </c>
      <c r="G1729" t="s">
        <v>32671</v>
      </c>
      <c r="H1729" t="s">
        <v>12635</v>
      </c>
      <c r="I1729" t="s">
        <v>32704</v>
      </c>
      <c r="J1729" t="s">
        <v>33320</v>
      </c>
      <c r="K1729" t="s">
        <v>42283</v>
      </c>
      <c r="M1729" t="s">
        <v>43116</v>
      </c>
      <c r="N1729" t="s">
        <v>46569</v>
      </c>
      <c r="O1729" t="s">
        <v>46570</v>
      </c>
      <c r="P1729">
        <v>0</v>
      </c>
      <c r="Q1729">
        <v>6</v>
      </c>
      <c r="R1729" t="s">
        <v>46571</v>
      </c>
      <c r="S1729" t="s">
        <v>46687</v>
      </c>
      <c r="T1729" t="s">
        <v>48331</v>
      </c>
      <c r="U1729" t="s">
        <v>50238</v>
      </c>
      <c r="V1729" t="s">
        <v>61748</v>
      </c>
      <c r="W1729" t="s">
        <v>43116</v>
      </c>
      <c r="X1729" t="s">
        <v>46572</v>
      </c>
    </row>
    <row r="1730" spans="1:24">
      <c r="A1730">
        <f>HYPERLINK("https://www.philgeps.gov.ph/GEPSNONPILOT/Tender/SplashBidNoticeAbstractUI.aspx?menuIndex=3&amp;refID=7066403&amp;Result=3","7066403")</f>
        <v>0</v>
      </c>
      <c r="B1730" t="s">
        <v>775</v>
      </c>
      <c r="C1730" t="s">
        <v>5206</v>
      </c>
      <c r="E1730" t="s">
        <v>20478</v>
      </c>
      <c r="F1730" t="s">
        <v>32664</v>
      </c>
      <c r="G1730" t="s">
        <v>32671</v>
      </c>
      <c r="H1730" t="s">
        <v>12635</v>
      </c>
      <c r="I1730" t="s">
        <v>10370</v>
      </c>
      <c r="J1730" t="s">
        <v>32859</v>
      </c>
      <c r="K1730" t="s">
        <v>42283</v>
      </c>
      <c r="M1730" t="s">
        <v>43366</v>
      </c>
      <c r="N1730" t="s">
        <v>46569</v>
      </c>
      <c r="O1730" t="s">
        <v>46570</v>
      </c>
      <c r="P1730">
        <v>0</v>
      </c>
      <c r="Q1730">
        <v>5</v>
      </c>
      <c r="R1730" t="s">
        <v>46571</v>
      </c>
      <c r="S1730" t="s">
        <v>46687</v>
      </c>
      <c r="T1730" t="s">
        <v>48411</v>
      </c>
      <c r="U1730" t="s">
        <v>50239</v>
      </c>
      <c r="W1730" t="s">
        <v>63489</v>
      </c>
      <c r="X1730" t="s">
        <v>46572</v>
      </c>
    </row>
    <row r="1731" spans="1:24">
      <c r="A1731">
        <f>HYPERLINK("https://www.philgeps.gov.ph/GEPSNONPILOT/Tender/SplashBidNoticeAbstractUI.aspx?menuIndex=3&amp;refID=7066414&amp;Result=3","7066414")</f>
        <v>0</v>
      </c>
      <c r="B1731" t="s">
        <v>64</v>
      </c>
      <c r="C1731" t="s">
        <v>5207</v>
      </c>
      <c r="D1731" t="s">
        <v>18812</v>
      </c>
      <c r="E1731" t="s">
        <v>20479</v>
      </c>
      <c r="F1731" t="s">
        <v>32664</v>
      </c>
      <c r="G1731" t="s">
        <v>32671</v>
      </c>
      <c r="H1731" t="s">
        <v>12635</v>
      </c>
      <c r="I1731" t="s">
        <v>4439</v>
      </c>
      <c r="J1731" t="s">
        <v>34078</v>
      </c>
      <c r="K1731" t="s">
        <v>42306</v>
      </c>
      <c r="M1731" t="s">
        <v>42627</v>
      </c>
      <c r="N1731" t="s">
        <v>46569</v>
      </c>
      <c r="O1731" t="s">
        <v>46570</v>
      </c>
      <c r="P1731">
        <v>0</v>
      </c>
      <c r="Q1731">
        <v>0</v>
      </c>
      <c r="R1731" t="s">
        <v>46571</v>
      </c>
      <c r="S1731" t="s">
        <v>46687</v>
      </c>
      <c r="T1731" t="s">
        <v>48223</v>
      </c>
      <c r="U1731" t="s">
        <v>50240</v>
      </c>
      <c r="W1731" t="s">
        <v>42627</v>
      </c>
      <c r="X1731" t="s">
        <v>46572</v>
      </c>
    </row>
    <row r="1732" spans="1:24">
      <c r="A1732">
        <f>HYPERLINK("https://www.philgeps.gov.ph/GEPSNONPILOT/Tender/SplashBidNoticeAbstractUI.aspx?menuIndex=3&amp;refID=7065960&amp;Result=3","7065960")</f>
        <v>0</v>
      </c>
      <c r="B1732" t="s">
        <v>641</v>
      </c>
      <c r="C1732" t="s">
        <v>5208</v>
      </c>
      <c r="D1732" t="s">
        <v>18802</v>
      </c>
      <c r="E1732" t="s">
        <v>20480</v>
      </c>
      <c r="F1732" t="s">
        <v>32664</v>
      </c>
      <c r="G1732" t="s">
        <v>32671</v>
      </c>
      <c r="H1732" t="s">
        <v>12635</v>
      </c>
      <c r="I1732" t="s">
        <v>32704</v>
      </c>
      <c r="J1732" t="s">
        <v>34079</v>
      </c>
      <c r="K1732" t="s">
        <v>42284</v>
      </c>
      <c r="M1732" t="s">
        <v>43226</v>
      </c>
      <c r="N1732" t="s">
        <v>46569</v>
      </c>
      <c r="O1732" t="s">
        <v>46570</v>
      </c>
      <c r="P1732">
        <v>0</v>
      </c>
      <c r="Q1732">
        <v>5</v>
      </c>
      <c r="R1732" t="s">
        <v>46571</v>
      </c>
      <c r="S1732" t="s">
        <v>46687</v>
      </c>
      <c r="T1732" t="s">
        <v>48258</v>
      </c>
      <c r="U1732" t="s">
        <v>50241</v>
      </c>
      <c r="W1732" t="s">
        <v>43226</v>
      </c>
      <c r="X1732" t="s">
        <v>46572</v>
      </c>
    </row>
    <row r="1733" spans="1:24">
      <c r="A1733">
        <f>HYPERLINK("https://www.philgeps.gov.ph/GEPSNONPILOT/Tender/SplashBidNoticeAbstractUI.aspx?menuIndex=3&amp;refID=7066401&amp;Result=3","7066401")</f>
        <v>0</v>
      </c>
      <c r="B1733" t="s">
        <v>253</v>
      </c>
      <c r="C1733" t="s">
        <v>5209</v>
      </c>
      <c r="D1733" t="s">
        <v>18790</v>
      </c>
      <c r="E1733" t="s">
        <v>20481</v>
      </c>
      <c r="F1733" t="s">
        <v>32664</v>
      </c>
      <c r="G1733" t="s">
        <v>32674</v>
      </c>
      <c r="H1733" t="s">
        <v>12635</v>
      </c>
      <c r="I1733" t="s">
        <v>6168</v>
      </c>
      <c r="J1733" t="s">
        <v>34080</v>
      </c>
      <c r="K1733" t="s">
        <v>42283</v>
      </c>
      <c r="M1733" t="s">
        <v>42851</v>
      </c>
      <c r="N1733" t="s">
        <v>46569</v>
      </c>
      <c r="O1733" t="s">
        <v>46570</v>
      </c>
      <c r="P1733">
        <v>0</v>
      </c>
      <c r="Q1733">
        <v>0</v>
      </c>
      <c r="R1733" t="s">
        <v>46571</v>
      </c>
      <c r="S1733" t="s">
        <v>46687</v>
      </c>
      <c r="T1733" t="s">
        <v>48283</v>
      </c>
      <c r="U1733" t="s">
        <v>50242</v>
      </c>
      <c r="W1733" t="s">
        <v>42851</v>
      </c>
      <c r="X1733" t="s">
        <v>46572</v>
      </c>
    </row>
    <row r="1734" spans="1:24">
      <c r="A1734">
        <f>HYPERLINK("https://www.philgeps.gov.ph/GEPSNONPILOT/Tender/SplashBidNoticeAbstractUI.aspx?menuIndex=3&amp;refID=7066400&amp;Result=3","7066400")</f>
        <v>0</v>
      </c>
      <c r="B1734" t="s">
        <v>49</v>
      </c>
      <c r="C1734" t="s">
        <v>5210</v>
      </c>
      <c r="D1734" t="s">
        <v>18799</v>
      </c>
      <c r="E1734" t="s">
        <v>20482</v>
      </c>
      <c r="F1734" t="s">
        <v>32664</v>
      </c>
      <c r="G1734" t="s">
        <v>32671</v>
      </c>
      <c r="H1734" t="s">
        <v>12635</v>
      </c>
      <c r="I1734" t="s">
        <v>32701</v>
      </c>
      <c r="J1734" t="s">
        <v>33051</v>
      </c>
      <c r="K1734" t="s">
        <v>42283</v>
      </c>
      <c r="M1734" t="s">
        <v>43367</v>
      </c>
      <c r="N1734" t="s">
        <v>46569</v>
      </c>
      <c r="O1734" t="s">
        <v>46570</v>
      </c>
      <c r="P1734">
        <v>0</v>
      </c>
      <c r="Q1734">
        <v>0</v>
      </c>
      <c r="R1734" t="s">
        <v>46571</v>
      </c>
      <c r="S1734" t="s">
        <v>46687</v>
      </c>
      <c r="T1734" t="s">
        <v>48296</v>
      </c>
      <c r="U1734" t="s">
        <v>50243</v>
      </c>
      <c r="W1734" t="s">
        <v>43367</v>
      </c>
      <c r="X1734" t="s">
        <v>46572</v>
      </c>
    </row>
    <row r="1735" spans="1:24">
      <c r="A1735">
        <f>HYPERLINK("https://www.philgeps.gov.ph/GEPSNONPILOT/Tender/SplashBidNoticeAbstractUI.aspx?menuIndex=3&amp;refID=7066404&amp;Result=3","7066404")</f>
        <v>0</v>
      </c>
      <c r="B1735" t="s">
        <v>708</v>
      </c>
      <c r="C1735" t="s">
        <v>5211</v>
      </c>
      <c r="D1735" t="s">
        <v>18792</v>
      </c>
      <c r="E1735" t="s">
        <v>20483</v>
      </c>
      <c r="F1735" t="s">
        <v>32664</v>
      </c>
      <c r="G1735" t="s">
        <v>32671</v>
      </c>
      <c r="H1735" t="s">
        <v>12635</v>
      </c>
      <c r="I1735" t="s">
        <v>32685</v>
      </c>
      <c r="J1735" t="s">
        <v>34081</v>
      </c>
      <c r="K1735" t="s">
        <v>42289</v>
      </c>
      <c r="M1735" t="s">
        <v>43295</v>
      </c>
      <c r="N1735" t="s">
        <v>46569</v>
      </c>
      <c r="O1735" t="s">
        <v>46570</v>
      </c>
      <c r="P1735">
        <v>0</v>
      </c>
      <c r="Q1735">
        <v>0</v>
      </c>
      <c r="R1735" t="s">
        <v>46571</v>
      </c>
      <c r="S1735" t="s">
        <v>46687</v>
      </c>
      <c r="T1735" t="s">
        <v>48228</v>
      </c>
      <c r="U1735" t="s">
        <v>50244</v>
      </c>
      <c r="W1735" t="s">
        <v>43295</v>
      </c>
      <c r="X1735" t="s">
        <v>46572</v>
      </c>
    </row>
    <row r="1736" spans="1:24">
      <c r="A1736">
        <f>HYPERLINK("https://www.philgeps.gov.ph/GEPSNONPILOT/Tender/SplashBidNoticeAbstractUI.aspx?menuIndex=3&amp;refID=7066412&amp;Result=3","7066412")</f>
        <v>0</v>
      </c>
      <c r="B1736" t="s">
        <v>776</v>
      </c>
      <c r="C1736" t="s">
        <v>5212</v>
      </c>
      <c r="D1736" t="s">
        <v>18788</v>
      </c>
      <c r="E1736" t="s">
        <v>20484</v>
      </c>
      <c r="F1736" t="s">
        <v>32664</v>
      </c>
      <c r="G1736" t="s">
        <v>32672</v>
      </c>
      <c r="H1736" t="s">
        <v>32683</v>
      </c>
      <c r="I1736" t="s">
        <v>10627</v>
      </c>
      <c r="J1736" t="s">
        <v>34082</v>
      </c>
      <c r="K1736" t="s">
        <v>42369</v>
      </c>
      <c r="M1736" t="s">
        <v>43368</v>
      </c>
      <c r="N1736" t="s">
        <v>46569</v>
      </c>
      <c r="O1736" t="s">
        <v>46570</v>
      </c>
      <c r="P1736">
        <v>0</v>
      </c>
      <c r="Q1736">
        <v>0</v>
      </c>
      <c r="R1736" t="s">
        <v>46571</v>
      </c>
      <c r="S1736" t="s">
        <v>46687</v>
      </c>
      <c r="T1736" t="s">
        <v>48233</v>
      </c>
      <c r="U1736" t="s">
        <v>50245</v>
      </c>
      <c r="W1736" t="s">
        <v>43368</v>
      </c>
      <c r="X1736" t="s">
        <v>46572</v>
      </c>
    </row>
    <row r="1737" spans="1:24">
      <c r="A1737">
        <f>HYPERLINK("https://www.philgeps.gov.ph/GEPSNONPILOT/Tender/SplashBidNoticeAbstractUI.aspx?menuIndex=3&amp;refID=7066402&amp;Result=3","7066402")</f>
        <v>0</v>
      </c>
      <c r="B1737" t="s">
        <v>705</v>
      </c>
      <c r="C1737" t="s">
        <v>5213</v>
      </c>
      <c r="D1737" t="s">
        <v>18789</v>
      </c>
      <c r="E1737" t="s">
        <v>20485</v>
      </c>
      <c r="F1737" t="s">
        <v>32664</v>
      </c>
      <c r="G1737" t="s">
        <v>32671</v>
      </c>
      <c r="H1737" t="s">
        <v>12635</v>
      </c>
      <c r="I1737" t="s">
        <v>32696</v>
      </c>
      <c r="J1737" t="s">
        <v>32853</v>
      </c>
      <c r="K1737" t="s">
        <v>42283</v>
      </c>
      <c r="M1737" t="s">
        <v>43292</v>
      </c>
      <c r="N1737" t="s">
        <v>46569</v>
      </c>
      <c r="O1737" t="s">
        <v>46570</v>
      </c>
      <c r="P1737">
        <v>0</v>
      </c>
      <c r="Q1737">
        <v>0</v>
      </c>
      <c r="R1737" t="s">
        <v>46571</v>
      </c>
      <c r="S1737" t="s">
        <v>46687</v>
      </c>
      <c r="T1737" t="s">
        <v>48245</v>
      </c>
      <c r="U1737" t="s">
        <v>50104</v>
      </c>
      <c r="W1737" t="s">
        <v>43292</v>
      </c>
      <c r="X1737" t="s">
        <v>46572</v>
      </c>
    </row>
    <row r="1738" spans="1:24">
      <c r="A1738">
        <f>HYPERLINK("https://www.philgeps.gov.ph/GEPSNONPILOT/Tender/SplashBidNoticeAbstractUI.aspx?menuIndex=3&amp;refID=7066416&amp;Result=3","7066416")</f>
        <v>0</v>
      </c>
      <c r="B1738" t="s">
        <v>777</v>
      </c>
      <c r="C1738" t="s">
        <v>5214</v>
      </c>
      <c r="D1738" t="s">
        <v>18787</v>
      </c>
      <c r="E1738" t="s">
        <v>20486</v>
      </c>
      <c r="F1738" t="s">
        <v>32664</v>
      </c>
      <c r="G1738" t="s">
        <v>32671</v>
      </c>
      <c r="H1738" t="s">
        <v>12635</v>
      </c>
      <c r="I1738" t="s">
        <v>8730</v>
      </c>
      <c r="J1738" t="s">
        <v>34083</v>
      </c>
      <c r="K1738" t="s">
        <v>42289</v>
      </c>
      <c r="M1738" t="s">
        <v>43369</v>
      </c>
      <c r="N1738" t="s">
        <v>46569</v>
      </c>
      <c r="O1738" t="s">
        <v>46570</v>
      </c>
      <c r="P1738">
        <v>0</v>
      </c>
      <c r="Q1738">
        <v>0</v>
      </c>
      <c r="R1738" t="s">
        <v>46571</v>
      </c>
      <c r="S1738" t="s">
        <v>46687</v>
      </c>
      <c r="T1738" t="s">
        <v>48291</v>
      </c>
      <c r="U1738" t="s">
        <v>50246</v>
      </c>
      <c r="W1738" t="s">
        <v>43369</v>
      </c>
      <c r="X1738" t="s">
        <v>46572</v>
      </c>
    </row>
    <row r="1739" spans="1:24">
      <c r="A1739">
        <f>HYPERLINK("https://www.philgeps.gov.ph/GEPSNONPILOT/Tender/SplashBidNoticeAbstractUI.aspx?menuIndex=3&amp;refID=7066436&amp;Result=3","7066436")</f>
        <v>0</v>
      </c>
      <c r="B1739" t="s">
        <v>612</v>
      </c>
      <c r="C1739" t="s">
        <v>5215</v>
      </c>
      <c r="D1739" t="s">
        <v>18834</v>
      </c>
      <c r="E1739" t="s">
        <v>20487</v>
      </c>
      <c r="F1739" t="s">
        <v>32665</v>
      </c>
      <c r="G1739" t="s">
        <v>32674</v>
      </c>
      <c r="H1739" t="s">
        <v>12635</v>
      </c>
      <c r="I1739" t="s">
        <v>8797</v>
      </c>
      <c r="J1739" t="s">
        <v>33338</v>
      </c>
      <c r="K1739" t="s">
        <v>42332</v>
      </c>
      <c r="M1739" t="s">
        <v>43192</v>
      </c>
      <c r="N1739" t="s">
        <v>46569</v>
      </c>
      <c r="O1739" t="s">
        <v>46570</v>
      </c>
      <c r="P1739">
        <v>0</v>
      </c>
      <c r="Q1739">
        <v>0</v>
      </c>
      <c r="R1739" t="s">
        <v>46571</v>
      </c>
      <c r="S1739" t="s">
        <v>46687</v>
      </c>
      <c r="T1739" t="s">
        <v>48305</v>
      </c>
      <c r="U1739" t="s">
        <v>49127</v>
      </c>
      <c r="W1739" t="s">
        <v>43192</v>
      </c>
      <c r="X1739" t="s">
        <v>46572</v>
      </c>
    </row>
    <row r="1740" spans="1:24">
      <c r="A1740">
        <f>HYPERLINK("https://www.philgeps.gov.ph/GEPSNONPILOT/Tender/SplashBidNoticeAbstractUI.aspx?menuIndex=3&amp;refID=7066440&amp;Result=3","7066440")</f>
        <v>0</v>
      </c>
      <c r="B1740" t="s">
        <v>444</v>
      </c>
      <c r="C1740" t="s">
        <v>5216</v>
      </c>
      <c r="D1740" t="s">
        <v>18843</v>
      </c>
      <c r="E1740" t="s">
        <v>20488</v>
      </c>
      <c r="F1740" t="s">
        <v>32664</v>
      </c>
      <c r="G1740" t="s">
        <v>32671</v>
      </c>
      <c r="H1740" t="s">
        <v>12635</v>
      </c>
      <c r="I1740" t="s">
        <v>10361</v>
      </c>
      <c r="J1740" t="s">
        <v>33514</v>
      </c>
      <c r="K1740" t="s">
        <v>42283</v>
      </c>
      <c r="M1740" t="s">
        <v>43017</v>
      </c>
      <c r="N1740" t="s">
        <v>46569</v>
      </c>
      <c r="O1740" t="s">
        <v>46570</v>
      </c>
      <c r="P1740">
        <v>0</v>
      </c>
      <c r="Q1740">
        <v>0</v>
      </c>
      <c r="R1740" t="s">
        <v>46571</v>
      </c>
      <c r="S1740" t="s">
        <v>46687</v>
      </c>
      <c r="T1740" t="s">
        <v>48297</v>
      </c>
      <c r="U1740" t="s">
        <v>49565</v>
      </c>
      <c r="W1740" t="s">
        <v>43017</v>
      </c>
      <c r="X1740" t="s">
        <v>46572</v>
      </c>
    </row>
    <row r="1741" spans="1:24">
      <c r="A1741">
        <f>HYPERLINK("https://www.philgeps.gov.ph/GEPSNONPILOT/Tender/SplashBidNoticeAbstractUI.aspx?menuIndex=3&amp;refID=7066405&amp;Result=3","7066405")</f>
        <v>0</v>
      </c>
      <c r="B1741" t="s">
        <v>154</v>
      </c>
      <c r="C1741" t="s">
        <v>5217</v>
      </c>
      <c r="E1741" t="s">
        <v>20489</v>
      </c>
      <c r="F1741" t="s">
        <v>32664</v>
      </c>
      <c r="G1741" t="s">
        <v>32674</v>
      </c>
      <c r="H1741" t="s">
        <v>12635</v>
      </c>
      <c r="I1741" t="s">
        <v>8730</v>
      </c>
      <c r="J1741" t="s">
        <v>34084</v>
      </c>
      <c r="K1741" t="s">
        <v>42283</v>
      </c>
      <c r="M1741" t="s">
        <v>42718</v>
      </c>
      <c r="N1741" t="s">
        <v>46569</v>
      </c>
      <c r="O1741" t="s">
        <v>46570</v>
      </c>
      <c r="P1741">
        <v>0</v>
      </c>
      <c r="Q1741">
        <v>1</v>
      </c>
      <c r="R1741" t="s">
        <v>46571</v>
      </c>
      <c r="S1741" t="s">
        <v>46687</v>
      </c>
      <c r="T1741" t="s">
        <v>48373</v>
      </c>
      <c r="U1741" t="s">
        <v>50247</v>
      </c>
      <c r="V1741" t="s">
        <v>61808</v>
      </c>
      <c r="W1741" t="s">
        <v>42718</v>
      </c>
      <c r="X1741" t="s">
        <v>46572</v>
      </c>
    </row>
    <row r="1742" spans="1:24">
      <c r="A1742">
        <f>HYPERLINK("https://www.philgeps.gov.ph/GEPSNONPILOT/Tender/SplashBidNoticeAbstractUI.aspx?menuIndex=3&amp;refID=7066418&amp;Result=3","7066418")</f>
        <v>0</v>
      </c>
      <c r="B1742" t="s">
        <v>444</v>
      </c>
      <c r="C1742" t="s">
        <v>5218</v>
      </c>
      <c r="D1742" t="s">
        <v>18843</v>
      </c>
      <c r="E1742" t="s">
        <v>20490</v>
      </c>
      <c r="F1742" t="s">
        <v>32664</v>
      </c>
      <c r="G1742" t="s">
        <v>32671</v>
      </c>
      <c r="H1742" t="s">
        <v>12635</v>
      </c>
      <c r="I1742" t="s">
        <v>10361</v>
      </c>
      <c r="J1742" t="s">
        <v>34085</v>
      </c>
      <c r="K1742" t="s">
        <v>42283</v>
      </c>
      <c r="M1742" t="s">
        <v>43017</v>
      </c>
      <c r="N1742" t="s">
        <v>46569</v>
      </c>
      <c r="O1742" t="s">
        <v>46570</v>
      </c>
      <c r="P1742">
        <v>0</v>
      </c>
      <c r="Q1742">
        <v>0</v>
      </c>
      <c r="R1742" t="s">
        <v>46571</v>
      </c>
      <c r="S1742" t="s">
        <v>46687</v>
      </c>
      <c r="T1742" t="s">
        <v>48297</v>
      </c>
      <c r="U1742" t="s">
        <v>49565</v>
      </c>
      <c r="W1742" t="s">
        <v>43017</v>
      </c>
      <c r="X1742" t="s">
        <v>46572</v>
      </c>
    </row>
    <row r="1743" spans="1:24">
      <c r="A1743">
        <f>HYPERLINK("https://www.philgeps.gov.ph/GEPSNONPILOT/Tender/SplashBidNoticeAbstractUI.aspx?menuIndex=3&amp;refID=7066409&amp;Result=3","7066409")</f>
        <v>0</v>
      </c>
      <c r="B1743" t="s">
        <v>24</v>
      </c>
      <c r="C1743" t="s">
        <v>5219</v>
      </c>
      <c r="D1743" t="s">
        <v>18781</v>
      </c>
      <c r="E1743" t="s">
        <v>20491</v>
      </c>
      <c r="F1743" t="s">
        <v>32664</v>
      </c>
      <c r="G1743" t="s">
        <v>32671</v>
      </c>
      <c r="H1743" t="s">
        <v>12635</v>
      </c>
      <c r="I1743" t="s">
        <v>7324</v>
      </c>
      <c r="J1743" t="s">
        <v>34086</v>
      </c>
      <c r="K1743" t="s">
        <v>42281</v>
      </c>
      <c r="M1743" t="s">
        <v>42586</v>
      </c>
      <c r="N1743" t="s">
        <v>46569</v>
      </c>
      <c r="O1743" t="s">
        <v>46570</v>
      </c>
      <c r="P1743">
        <v>0</v>
      </c>
      <c r="Q1743">
        <v>0</v>
      </c>
      <c r="R1743" t="s">
        <v>46571</v>
      </c>
      <c r="S1743" t="s">
        <v>46687</v>
      </c>
      <c r="T1743" t="s">
        <v>48211</v>
      </c>
      <c r="U1743" t="s">
        <v>50248</v>
      </c>
      <c r="W1743" t="s">
        <v>42586</v>
      </c>
      <c r="X1743" t="s">
        <v>46572</v>
      </c>
    </row>
    <row r="1744" spans="1:24">
      <c r="A1744">
        <f>HYPERLINK("https://www.philgeps.gov.ph/GEPSNONPILOT/Tender/SplashBidNoticeAbstractUI.aspx?menuIndex=3&amp;refID=7066439&amp;Result=3","7066439")</f>
        <v>0</v>
      </c>
      <c r="B1744" t="s">
        <v>778</v>
      </c>
      <c r="C1744" t="s">
        <v>5220</v>
      </c>
      <c r="E1744" t="s">
        <v>20492</v>
      </c>
      <c r="F1744" t="s">
        <v>32664</v>
      </c>
      <c r="G1744" t="s">
        <v>32671</v>
      </c>
      <c r="H1744" t="s">
        <v>12635</v>
      </c>
      <c r="I1744" t="s">
        <v>5501</v>
      </c>
      <c r="J1744" t="s">
        <v>33049</v>
      </c>
      <c r="K1744" t="s">
        <v>42283</v>
      </c>
      <c r="M1744" t="s">
        <v>43370</v>
      </c>
      <c r="N1744" t="s">
        <v>46569</v>
      </c>
      <c r="O1744" t="s">
        <v>46570</v>
      </c>
      <c r="P1744">
        <v>0</v>
      </c>
      <c r="Q1744">
        <v>2</v>
      </c>
      <c r="R1744" t="s">
        <v>46571</v>
      </c>
      <c r="S1744" t="s">
        <v>46687</v>
      </c>
      <c r="T1744" t="s">
        <v>48256</v>
      </c>
      <c r="U1744" t="s">
        <v>50249</v>
      </c>
      <c r="W1744" t="s">
        <v>43370</v>
      </c>
      <c r="X1744" t="s">
        <v>46572</v>
      </c>
    </row>
    <row r="1745" spans="1:24">
      <c r="A1745">
        <f>HYPERLINK("https://www.philgeps.gov.ph/GEPSNONPILOT/Tender/SplashBidNoticeAbstractUI.aspx?menuIndex=3&amp;refID=7066437&amp;Result=3","7066437")</f>
        <v>0</v>
      </c>
      <c r="B1745" t="s">
        <v>690</v>
      </c>
      <c r="C1745" t="s">
        <v>5221</v>
      </c>
      <c r="D1745" t="s">
        <v>18781</v>
      </c>
      <c r="E1745" t="s">
        <v>20493</v>
      </c>
      <c r="F1745" t="s">
        <v>32664</v>
      </c>
      <c r="G1745" t="s">
        <v>32672</v>
      </c>
      <c r="H1745" t="s">
        <v>32683</v>
      </c>
      <c r="I1745" t="s">
        <v>10627</v>
      </c>
      <c r="J1745" t="s">
        <v>34087</v>
      </c>
      <c r="K1745" t="s">
        <v>42370</v>
      </c>
      <c r="L1745" t="s">
        <v>690</v>
      </c>
      <c r="M1745" t="s">
        <v>43277</v>
      </c>
      <c r="N1745" t="s">
        <v>46569</v>
      </c>
      <c r="O1745" t="s">
        <v>46570</v>
      </c>
      <c r="P1745">
        <v>0</v>
      </c>
      <c r="Q1745">
        <v>0</v>
      </c>
      <c r="R1745" t="s">
        <v>46571</v>
      </c>
      <c r="S1745" t="s">
        <v>46687</v>
      </c>
      <c r="T1745" t="s">
        <v>48360</v>
      </c>
      <c r="U1745" t="s">
        <v>50079</v>
      </c>
      <c r="W1745" t="s">
        <v>43277</v>
      </c>
      <c r="X1745" t="s">
        <v>46572</v>
      </c>
    </row>
    <row r="1746" spans="1:24">
      <c r="A1746">
        <f>HYPERLINK("https://www.philgeps.gov.ph/GEPSNONPILOT/Tender/SplashBidNoticeAbstractUI.aspx?menuIndex=3&amp;refID=7066433&amp;Result=3","7066433")</f>
        <v>0</v>
      </c>
      <c r="B1746" t="s">
        <v>529</v>
      </c>
      <c r="C1746" t="s">
        <v>5222</v>
      </c>
      <c r="D1746" t="s">
        <v>18784</v>
      </c>
      <c r="E1746" t="s">
        <v>20494</v>
      </c>
      <c r="F1746" t="s">
        <v>32664</v>
      </c>
      <c r="G1746" t="s">
        <v>32671</v>
      </c>
      <c r="H1746" t="s">
        <v>12635</v>
      </c>
      <c r="I1746" t="s">
        <v>6553</v>
      </c>
      <c r="J1746" t="s">
        <v>33644</v>
      </c>
      <c r="K1746" t="s">
        <v>42283</v>
      </c>
      <c r="M1746" t="s">
        <v>43107</v>
      </c>
      <c r="N1746" t="s">
        <v>46569</v>
      </c>
      <c r="O1746" t="s">
        <v>46570</v>
      </c>
      <c r="P1746">
        <v>0</v>
      </c>
      <c r="Q1746">
        <v>2</v>
      </c>
      <c r="R1746" t="s">
        <v>46571</v>
      </c>
      <c r="S1746" t="s">
        <v>46687</v>
      </c>
      <c r="T1746" t="s">
        <v>48319</v>
      </c>
      <c r="U1746" t="s">
        <v>50250</v>
      </c>
      <c r="V1746" t="s">
        <v>61747</v>
      </c>
      <c r="W1746" t="s">
        <v>43107</v>
      </c>
      <c r="X1746" t="s">
        <v>46572</v>
      </c>
    </row>
    <row r="1747" spans="1:24">
      <c r="A1747">
        <f>HYPERLINK("https://www.philgeps.gov.ph/GEPSNONPILOT/Tender/SplashBidNoticeAbstractUI.aspx?menuIndex=3&amp;refID=7066432&amp;Result=3","7066432")</f>
        <v>0</v>
      </c>
      <c r="B1747" t="s">
        <v>678</v>
      </c>
      <c r="C1747" t="s">
        <v>5223</v>
      </c>
      <c r="E1747" t="s">
        <v>20495</v>
      </c>
      <c r="F1747" t="s">
        <v>32664</v>
      </c>
      <c r="G1747" t="s">
        <v>32671</v>
      </c>
      <c r="H1747" t="s">
        <v>12635</v>
      </c>
      <c r="I1747" t="s">
        <v>6223</v>
      </c>
      <c r="J1747" t="s">
        <v>33051</v>
      </c>
      <c r="K1747" t="s">
        <v>42283</v>
      </c>
      <c r="M1747" t="s">
        <v>43265</v>
      </c>
      <c r="N1747" t="s">
        <v>46569</v>
      </c>
      <c r="O1747" t="s">
        <v>46570</v>
      </c>
      <c r="P1747">
        <v>0</v>
      </c>
      <c r="Q1747">
        <v>0</v>
      </c>
      <c r="R1747" t="s">
        <v>46571</v>
      </c>
      <c r="S1747" t="s">
        <v>46687</v>
      </c>
      <c r="T1747" t="s">
        <v>48312</v>
      </c>
      <c r="U1747" t="s">
        <v>50251</v>
      </c>
      <c r="W1747" t="s">
        <v>43265</v>
      </c>
      <c r="X1747" t="s">
        <v>46572</v>
      </c>
    </row>
    <row r="1748" spans="1:24">
      <c r="A1748">
        <f>HYPERLINK("https://www.philgeps.gov.ph/GEPSNONPILOT/Tender/SplashBidNoticeAbstractUI.aspx?menuIndex=3&amp;refID=7066399&amp;Result=3","7066399")</f>
        <v>0</v>
      </c>
      <c r="B1748" t="s">
        <v>527</v>
      </c>
      <c r="C1748" t="s">
        <v>5224</v>
      </c>
      <c r="D1748" t="s">
        <v>18784</v>
      </c>
      <c r="E1748" t="s">
        <v>20496</v>
      </c>
      <c r="F1748" t="s">
        <v>32664</v>
      </c>
      <c r="G1748" t="s">
        <v>32671</v>
      </c>
      <c r="H1748" t="s">
        <v>12635</v>
      </c>
      <c r="I1748" t="s">
        <v>5589</v>
      </c>
      <c r="J1748" t="s">
        <v>32831</v>
      </c>
      <c r="K1748" t="s">
        <v>42284</v>
      </c>
      <c r="M1748" t="s">
        <v>43104</v>
      </c>
      <c r="N1748" t="s">
        <v>46569</v>
      </c>
      <c r="O1748" t="s">
        <v>46570</v>
      </c>
      <c r="P1748">
        <v>0</v>
      </c>
      <c r="Q1748">
        <v>0</v>
      </c>
      <c r="R1748" t="s">
        <v>46571</v>
      </c>
      <c r="S1748" t="s">
        <v>46687</v>
      </c>
      <c r="T1748" t="s">
        <v>48283</v>
      </c>
      <c r="U1748" t="s">
        <v>50252</v>
      </c>
      <c r="W1748" t="s">
        <v>43104</v>
      </c>
      <c r="X1748" t="s">
        <v>46572</v>
      </c>
    </row>
    <row r="1749" spans="1:24">
      <c r="A1749">
        <f>HYPERLINK("https://www.philgeps.gov.ph/GEPSNONPILOT/Tender/SplashBidNoticeAbstractUI.aspx?menuIndex=3&amp;refID=7066413&amp;Result=3","7066413")</f>
        <v>0</v>
      </c>
      <c r="B1749" t="s">
        <v>779</v>
      </c>
      <c r="C1749" t="s">
        <v>5225</v>
      </c>
      <c r="D1749" t="s">
        <v>18801</v>
      </c>
      <c r="E1749" t="s">
        <v>20497</v>
      </c>
      <c r="F1749" t="s">
        <v>32665</v>
      </c>
      <c r="G1749" t="s">
        <v>32674</v>
      </c>
      <c r="H1749" t="s">
        <v>12635</v>
      </c>
      <c r="I1749" t="s">
        <v>5589</v>
      </c>
      <c r="J1749" t="s">
        <v>33015</v>
      </c>
      <c r="K1749" t="s">
        <v>42289</v>
      </c>
      <c r="M1749" t="s">
        <v>43371</v>
      </c>
      <c r="N1749" t="s">
        <v>46569</v>
      </c>
      <c r="O1749" t="s">
        <v>46570</v>
      </c>
      <c r="P1749">
        <v>0</v>
      </c>
      <c r="Q1749">
        <v>0</v>
      </c>
      <c r="R1749" t="s">
        <v>46571</v>
      </c>
      <c r="S1749" t="s">
        <v>46687</v>
      </c>
      <c r="T1749" t="s">
        <v>48312</v>
      </c>
      <c r="U1749" t="s">
        <v>50253</v>
      </c>
      <c r="W1749" t="s">
        <v>43371</v>
      </c>
      <c r="X1749" t="s">
        <v>46572</v>
      </c>
    </row>
    <row r="1750" spans="1:24">
      <c r="A1750">
        <f>HYPERLINK("https://www.philgeps.gov.ph/GEPSNONPILOT/Tender/SplashBidNoticeAbstractUI.aspx?menuIndex=3&amp;refID=7066426&amp;Result=3","7066426")</f>
        <v>0</v>
      </c>
      <c r="B1750" t="s">
        <v>556</v>
      </c>
      <c r="C1750" t="s">
        <v>5226</v>
      </c>
      <c r="D1750" t="s">
        <v>18843</v>
      </c>
      <c r="E1750" t="s">
        <v>20498</v>
      </c>
      <c r="F1750" t="s">
        <v>32664</v>
      </c>
      <c r="G1750" t="s">
        <v>32677</v>
      </c>
      <c r="H1750" t="s">
        <v>12635</v>
      </c>
      <c r="I1750" t="s">
        <v>11464</v>
      </c>
      <c r="J1750" t="s">
        <v>34088</v>
      </c>
      <c r="K1750" t="s">
        <v>42281</v>
      </c>
      <c r="M1750" t="s">
        <v>43136</v>
      </c>
      <c r="N1750" t="s">
        <v>46569</v>
      </c>
      <c r="O1750" t="s">
        <v>46570</v>
      </c>
      <c r="P1750">
        <v>0</v>
      </c>
      <c r="Q1750">
        <v>1</v>
      </c>
      <c r="R1750" t="s">
        <v>46571</v>
      </c>
      <c r="S1750" t="s">
        <v>46687</v>
      </c>
      <c r="T1750" t="s">
        <v>48244</v>
      </c>
      <c r="U1750" t="s">
        <v>50254</v>
      </c>
      <c r="W1750" t="s">
        <v>43136</v>
      </c>
      <c r="X1750" t="s">
        <v>46572</v>
      </c>
    </row>
    <row r="1751" spans="1:24">
      <c r="A1751">
        <f>HYPERLINK("https://www.philgeps.gov.ph/GEPSNONPILOT/Tender/SplashBidNoticeAbstractUI.aspx?menuIndex=3&amp;refID=7066425&amp;Result=3","7066425")</f>
        <v>0</v>
      </c>
      <c r="B1751" t="s">
        <v>712</v>
      </c>
      <c r="C1751" t="s">
        <v>5227</v>
      </c>
      <c r="D1751" t="s">
        <v>18845</v>
      </c>
      <c r="E1751" t="s">
        <v>20499</v>
      </c>
      <c r="F1751" t="s">
        <v>32664</v>
      </c>
      <c r="G1751" t="s">
        <v>32671</v>
      </c>
      <c r="H1751" t="s">
        <v>12635</v>
      </c>
      <c r="I1751" t="s">
        <v>4439</v>
      </c>
      <c r="J1751" t="s">
        <v>34089</v>
      </c>
      <c r="K1751" t="s">
        <v>42283</v>
      </c>
      <c r="M1751" t="s">
        <v>43299</v>
      </c>
      <c r="N1751" t="s">
        <v>46569</v>
      </c>
      <c r="O1751" t="s">
        <v>46570</v>
      </c>
      <c r="P1751">
        <v>0</v>
      </c>
      <c r="Q1751">
        <v>0</v>
      </c>
      <c r="R1751" t="s">
        <v>46571</v>
      </c>
      <c r="S1751" t="s">
        <v>46687</v>
      </c>
      <c r="T1751" t="s">
        <v>48244</v>
      </c>
      <c r="U1751" t="s">
        <v>50111</v>
      </c>
      <c r="W1751" t="s">
        <v>43299</v>
      </c>
      <c r="X1751" t="s">
        <v>46572</v>
      </c>
    </row>
    <row r="1752" spans="1:24">
      <c r="A1752">
        <f>HYPERLINK("https://www.philgeps.gov.ph/GEPSNONPILOT/Tender/SplashBidNoticeAbstractUI.aspx?menuIndex=3&amp;refID=7066423&amp;Result=3","7066423")</f>
        <v>0</v>
      </c>
      <c r="B1752" t="s">
        <v>689</v>
      </c>
      <c r="C1752" t="s">
        <v>5228</v>
      </c>
      <c r="D1752" t="s">
        <v>18800</v>
      </c>
      <c r="E1752" t="s">
        <v>20500</v>
      </c>
      <c r="F1752" t="s">
        <v>32664</v>
      </c>
      <c r="G1752" t="s">
        <v>32671</v>
      </c>
      <c r="H1752" t="s">
        <v>12635</v>
      </c>
      <c r="I1752" t="s">
        <v>4333</v>
      </c>
      <c r="J1752" t="s">
        <v>34090</v>
      </c>
      <c r="K1752" t="s">
        <v>42281</v>
      </c>
      <c r="M1752" t="s">
        <v>43276</v>
      </c>
      <c r="N1752" t="s">
        <v>46569</v>
      </c>
      <c r="O1752" t="s">
        <v>46570</v>
      </c>
      <c r="P1752">
        <v>0</v>
      </c>
      <c r="Q1752">
        <v>1</v>
      </c>
      <c r="R1752" t="s">
        <v>46571</v>
      </c>
      <c r="S1752" t="s">
        <v>46687</v>
      </c>
      <c r="T1752" t="s">
        <v>48293</v>
      </c>
      <c r="U1752" t="s">
        <v>49516</v>
      </c>
      <c r="V1752" t="s">
        <v>61795</v>
      </c>
      <c r="W1752" t="s">
        <v>43276</v>
      </c>
      <c r="X1752" t="s">
        <v>46572</v>
      </c>
    </row>
    <row r="1753" spans="1:24">
      <c r="A1753">
        <f>HYPERLINK("https://www.philgeps.gov.ph/GEPSNONPILOT/Tender/SplashBidNoticeAbstractUI.aspx?menuIndex=3&amp;refID=7066422&amp;Result=3","7066422")</f>
        <v>0</v>
      </c>
      <c r="B1753" t="s">
        <v>780</v>
      </c>
      <c r="C1753" t="s">
        <v>5229</v>
      </c>
      <c r="D1753" t="s">
        <v>18820</v>
      </c>
      <c r="E1753" t="s">
        <v>20501</v>
      </c>
      <c r="F1753" t="s">
        <v>32664</v>
      </c>
      <c r="G1753" t="s">
        <v>32671</v>
      </c>
      <c r="H1753" t="s">
        <v>32682</v>
      </c>
      <c r="I1753" t="s">
        <v>32717</v>
      </c>
      <c r="J1753" t="s">
        <v>34091</v>
      </c>
      <c r="K1753" t="s">
        <v>42305</v>
      </c>
      <c r="M1753" t="s">
        <v>43372</v>
      </c>
      <c r="N1753" t="s">
        <v>46569</v>
      </c>
      <c r="O1753" t="s">
        <v>46570</v>
      </c>
      <c r="P1753">
        <v>0</v>
      </c>
      <c r="Q1753">
        <v>2</v>
      </c>
      <c r="R1753" t="s">
        <v>46571</v>
      </c>
      <c r="S1753" t="s">
        <v>46687</v>
      </c>
      <c r="T1753" t="s">
        <v>48228</v>
      </c>
      <c r="U1753" t="s">
        <v>50255</v>
      </c>
      <c r="W1753" t="s">
        <v>43372</v>
      </c>
      <c r="X1753" t="s">
        <v>46572</v>
      </c>
    </row>
    <row r="1754" spans="1:24">
      <c r="A1754">
        <f>HYPERLINK("https://www.philgeps.gov.ph/GEPSNONPILOT/Tender/SplashBidNoticeAbstractUI.aspx?menuIndex=3&amp;refID=7066428&amp;Result=3","7066428")</f>
        <v>0</v>
      </c>
      <c r="B1754" t="s">
        <v>657</v>
      </c>
      <c r="C1754" t="s">
        <v>5230</v>
      </c>
      <c r="D1754" t="s">
        <v>18839</v>
      </c>
      <c r="E1754" t="s">
        <v>20502</v>
      </c>
      <c r="F1754" t="s">
        <v>32664</v>
      </c>
      <c r="G1754" t="s">
        <v>32671</v>
      </c>
      <c r="H1754" t="s">
        <v>12635</v>
      </c>
      <c r="I1754" t="s">
        <v>4439</v>
      </c>
      <c r="J1754" t="s">
        <v>34092</v>
      </c>
      <c r="K1754" t="s">
        <v>42289</v>
      </c>
      <c r="M1754" t="s">
        <v>43244</v>
      </c>
      <c r="N1754" t="s">
        <v>46569</v>
      </c>
      <c r="O1754" t="s">
        <v>46570</v>
      </c>
      <c r="P1754">
        <v>0</v>
      </c>
      <c r="Q1754">
        <v>0</v>
      </c>
      <c r="R1754" t="s">
        <v>46571</v>
      </c>
      <c r="S1754" t="s">
        <v>46687</v>
      </c>
      <c r="T1754" t="s">
        <v>48244</v>
      </c>
      <c r="U1754" t="s">
        <v>50256</v>
      </c>
      <c r="W1754" t="s">
        <v>43244</v>
      </c>
      <c r="X1754" t="s">
        <v>46572</v>
      </c>
    </row>
    <row r="1755" spans="1:24">
      <c r="A1755">
        <f>HYPERLINK("https://www.philgeps.gov.ph/GEPSNONPILOT/Tender/SplashBidNoticeAbstractUI.aspx?menuIndex=3&amp;refID=7066427&amp;Result=3","7066427")</f>
        <v>0</v>
      </c>
      <c r="B1755" t="s">
        <v>781</v>
      </c>
      <c r="C1755" t="s">
        <v>5231</v>
      </c>
      <c r="D1755" t="s">
        <v>18785</v>
      </c>
      <c r="E1755" t="s">
        <v>20503</v>
      </c>
      <c r="F1755" t="s">
        <v>32664</v>
      </c>
      <c r="G1755" t="s">
        <v>32671</v>
      </c>
      <c r="H1755" t="s">
        <v>12635</v>
      </c>
      <c r="I1755" t="s">
        <v>8730</v>
      </c>
      <c r="J1755" t="s">
        <v>34093</v>
      </c>
      <c r="K1755" t="s">
        <v>42284</v>
      </c>
      <c r="M1755" t="s">
        <v>43373</v>
      </c>
      <c r="N1755" t="s">
        <v>46569</v>
      </c>
      <c r="O1755" t="s">
        <v>46570</v>
      </c>
      <c r="P1755">
        <v>0</v>
      </c>
      <c r="Q1755">
        <v>2</v>
      </c>
      <c r="R1755" t="s">
        <v>46571</v>
      </c>
      <c r="S1755" t="s">
        <v>46687</v>
      </c>
      <c r="T1755" t="s">
        <v>48258</v>
      </c>
      <c r="U1755" t="s">
        <v>50257</v>
      </c>
      <c r="W1755" t="s">
        <v>43373</v>
      </c>
      <c r="X1755" t="s">
        <v>46572</v>
      </c>
    </row>
    <row r="1756" spans="1:24">
      <c r="A1756">
        <f>HYPERLINK("https://www.philgeps.gov.ph/GEPSNONPILOT/Tender/SplashBidNoticeAbstractUI.aspx?menuIndex=3&amp;refID=7066464&amp;Result=3","7066464")</f>
        <v>0</v>
      </c>
      <c r="B1756" t="s">
        <v>730</v>
      </c>
      <c r="C1756" t="s">
        <v>5232</v>
      </c>
      <c r="D1756" t="s">
        <v>18822</v>
      </c>
      <c r="E1756" t="s">
        <v>20504</v>
      </c>
      <c r="F1756" t="s">
        <v>32664</v>
      </c>
      <c r="G1756" t="s">
        <v>32671</v>
      </c>
      <c r="H1756" t="s">
        <v>12635</v>
      </c>
      <c r="I1756" t="s">
        <v>8730</v>
      </c>
      <c r="J1756" t="s">
        <v>34094</v>
      </c>
      <c r="K1756" t="s">
        <v>42295</v>
      </c>
      <c r="M1756" t="s">
        <v>43319</v>
      </c>
      <c r="N1756" t="s">
        <v>46569</v>
      </c>
      <c r="O1756" t="s">
        <v>46570</v>
      </c>
      <c r="P1756">
        <v>0</v>
      </c>
      <c r="Q1756">
        <v>0</v>
      </c>
      <c r="R1756" t="s">
        <v>46571</v>
      </c>
      <c r="S1756" t="s">
        <v>46687</v>
      </c>
      <c r="T1756" t="s">
        <v>48221</v>
      </c>
      <c r="U1756" t="s">
        <v>50258</v>
      </c>
      <c r="W1756" t="s">
        <v>43319</v>
      </c>
      <c r="X1756" t="s">
        <v>46572</v>
      </c>
    </row>
    <row r="1757" spans="1:24">
      <c r="A1757">
        <f>HYPERLINK("https://www.philgeps.gov.ph/GEPSNONPILOT/Tender/SplashBidNoticeAbstractUI.aspx?menuIndex=3&amp;refID=7066462&amp;Result=3","7066462")</f>
        <v>0</v>
      </c>
      <c r="B1757" t="s">
        <v>782</v>
      </c>
      <c r="C1757" t="s">
        <v>5233</v>
      </c>
      <c r="D1757" t="s">
        <v>18790</v>
      </c>
      <c r="E1757" t="s">
        <v>20505</v>
      </c>
      <c r="F1757" t="s">
        <v>32664</v>
      </c>
      <c r="G1757" t="s">
        <v>32672</v>
      </c>
      <c r="H1757" t="s">
        <v>12635</v>
      </c>
      <c r="I1757" t="s">
        <v>32696</v>
      </c>
      <c r="J1757" t="s">
        <v>33657</v>
      </c>
      <c r="K1757" t="s">
        <v>42283</v>
      </c>
      <c r="M1757" t="s">
        <v>43374</v>
      </c>
      <c r="N1757" t="s">
        <v>46569</v>
      </c>
      <c r="O1757" t="s">
        <v>46570</v>
      </c>
      <c r="P1757">
        <v>0</v>
      </c>
      <c r="Q1757">
        <v>1</v>
      </c>
      <c r="R1757" t="s">
        <v>46571</v>
      </c>
      <c r="S1757" t="s">
        <v>46687</v>
      </c>
      <c r="T1757" t="s">
        <v>48412</v>
      </c>
      <c r="U1757" t="s">
        <v>50259</v>
      </c>
      <c r="W1757" t="s">
        <v>43374</v>
      </c>
      <c r="X1757" t="s">
        <v>46572</v>
      </c>
    </row>
    <row r="1758" spans="1:24">
      <c r="A1758">
        <f>HYPERLINK("https://www.philgeps.gov.ph/GEPSNONPILOT/Tender/SplashBidNoticeAbstractUI.aspx?menuIndex=3&amp;refID=7066458&amp;Result=3","7066458")</f>
        <v>0</v>
      </c>
      <c r="B1758" t="s">
        <v>629</v>
      </c>
      <c r="C1758" t="s">
        <v>5234</v>
      </c>
      <c r="D1758" t="s">
        <v>18782</v>
      </c>
      <c r="E1758" t="s">
        <v>20506</v>
      </c>
      <c r="F1758" t="s">
        <v>32664</v>
      </c>
      <c r="G1758" t="s">
        <v>32671</v>
      </c>
      <c r="H1758" t="s">
        <v>12635</v>
      </c>
      <c r="I1758" t="s">
        <v>10361</v>
      </c>
      <c r="J1758" t="s">
        <v>34095</v>
      </c>
      <c r="K1758" t="s">
        <v>42283</v>
      </c>
      <c r="M1758" t="s">
        <v>43211</v>
      </c>
      <c r="N1758" t="s">
        <v>46569</v>
      </c>
      <c r="O1758" t="s">
        <v>46570</v>
      </c>
      <c r="P1758">
        <v>0</v>
      </c>
      <c r="Q1758">
        <v>0</v>
      </c>
      <c r="R1758" t="s">
        <v>46571</v>
      </c>
      <c r="S1758" t="s">
        <v>46687</v>
      </c>
      <c r="T1758" t="s">
        <v>48244</v>
      </c>
      <c r="U1758" t="s">
        <v>50260</v>
      </c>
      <c r="W1758" t="s">
        <v>43211</v>
      </c>
      <c r="X1758" t="s">
        <v>46572</v>
      </c>
    </row>
    <row r="1759" spans="1:24">
      <c r="A1759">
        <f>HYPERLINK("https://www.philgeps.gov.ph/GEPSNONPILOT/Tender/SplashBidNoticeAbstractUI.aspx?menuIndex=3&amp;refID=7066417&amp;Result=3","7066417")</f>
        <v>0</v>
      </c>
      <c r="B1759" t="s">
        <v>133</v>
      </c>
      <c r="C1759" t="s">
        <v>5235</v>
      </c>
      <c r="D1759" t="s">
        <v>18832</v>
      </c>
      <c r="E1759" t="s">
        <v>20507</v>
      </c>
      <c r="F1759" t="s">
        <v>32664</v>
      </c>
      <c r="G1759" t="s">
        <v>32671</v>
      </c>
      <c r="H1759" t="s">
        <v>12635</v>
      </c>
      <c r="I1759" t="s">
        <v>8797</v>
      </c>
      <c r="J1759" t="s">
        <v>34096</v>
      </c>
      <c r="K1759" t="s">
        <v>42281</v>
      </c>
      <c r="M1759" t="s">
        <v>42697</v>
      </c>
      <c r="N1759" t="s">
        <v>46569</v>
      </c>
      <c r="O1759" t="s">
        <v>46570</v>
      </c>
      <c r="P1759">
        <v>0</v>
      </c>
      <c r="Q1759">
        <v>0</v>
      </c>
      <c r="R1759" t="s">
        <v>46571</v>
      </c>
      <c r="S1759" t="s">
        <v>46687</v>
      </c>
      <c r="T1759" t="s">
        <v>48282</v>
      </c>
      <c r="U1759" t="s">
        <v>50261</v>
      </c>
      <c r="W1759" t="s">
        <v>42697</v>
      </c>
      <c r="X1759" t="s">
        <v>46572</v>
      </c>
    </row>
    <row r="1760" spans="1:24">
      <c r="A1760">
        <f>HYPERLINK("https://www.philgeps.gov.ph/GEPSNONPILOT/Tender/SplashBidNoticeAbstractUI.aspx?menuIndex=3&amp;refID=7066435&amp;Result=3","7066435")</f>
        <v>0</v>
      </c>
      <c r="B1760" t="s">
        <v>783</v>
      </c>
      <c r="C1760" t="s">
        <v>5236</v>
      </c>
      <c r="D1760" t="s">
        <v>18826</v>
      </c>
      <c r="E1760" t="s">
        <v>20508</v>
      </c>
      <c r="F1760" t="s">
        <v>32664</v>
      </c>
      <c r="G1760" t="s">
        <v>32672</v>
      </c>
      <c r="H1760" t="s">
        <v>12635</v>
      </c>
      <c r="I1760" t="s">
        <v>6168</v>
      </c>
      <c r="J1760" t="s">
        <v>34097</v>
      </c>
      <c r="K1760" t="s">
        <v>42283</v>
      </c>
      <c r="M1760" t="s">
        <v>43375</v>
      </c>
      <c r="N1760" t="s">
        <v>46569</v>
      </c>
      <c r="O1760" t="s">
        <v>46570</v>
      </c>
      <c r="P1760">
        <v>0</v>
      </c>
      <c r="Q1760">
        <v>0</v>
      </c>
      <c r="R1760" t="s">
        <v>46571</v>
      </c>
      <c r="S1760" t="s">
        <v>46687</v>
      </c>
      <c r="T1760" t="s">
        <v>48223</v>
      </c>
      <c r="U1760" t="s">
        <v>50262</v>
      </c>
      <c r="W1760" t="s">
        <v>43375</v>
      </c>
      <c r="X1760" t="s">
        <v>46572</v>
      </c>
    </row>
    <row r="1761" spans="1:24">
      <c r="A1761">
        <f>HYPERLINK("https://www.philgeps.gov.ph/GEPSNONPILOT/Tender/SplashBidNoticeAbstractUI.aspx?menuIndex=3&amp;refID=7066431&amp;Result=3","7066431")</f>
        <v>0</v>
      </c>
      <c r="B1761" t="s">
        <v>784</v>
      </c>
      <c r="C1761" t="s">
        <v>5237</v>
      </c>
      <c r="D1761" t="s">
        <v>18785</v>
      </c>
      <c r="E1761" t="s">
        <v>20509</v>
      </c>
      <c r="F1761" t="s">
        <v>32664</v>
      </c>
      <c r="G1761" t="s">
        <v>32671</v>
      </c>
      <c r="H1761" t="s">
        <v>12635</v>
      </c>
      <c r="I1761" t="s">
        <v>10361</v>
      </c>
      <c r="J1761" t="s">
        <v>33179</v>
      </c>
      <c r="K1761" t="s">
        <v>42283</v>
      </c>
      <c r="M1761" t="s">
        <v>43376</v>
      </c>
      <c r="N1761" t="s">
        <v>46569</v>
      </c>
      <c r="O1761" t="s">
        <v>46570</v>
      </c>
      <c r="P1761">
        <v>0</v>
      </c>
      <c r="Q1761">
        <v>0</v>
      </c>
      <c r="R1761" t="s">
        <v>46571</v>
      </c>
      <c r="S1761" t="s">
        <v>46687</v>
      </c>
      <c r="T1761" t="s">
        <v>48221</v>
      </c>
      <c r="U1761" t="s">
        <v>50263</v>
      </c>
      <c r="W1761" t="s">
        <v>46387</v>
      </c>
      <c r="X1761" t="s">
        <v>46572</v>
      </c>
    </row>
    <row r="1762" spans="1:24">
      <c r="A1762">
        <f>HYPERLINK("https://www.philgeps.gov.ph/GEPSNONPILOT/Tender/SplashBidNoticeAbstractUI.aspx?menuIndex=3&amp;refID=7066456&amp;Result=3","7066456")</f>
        <v>0</v>
      </c>
      <c r="B1762" t="s">
        <v>678</v>
      </c>
      <c r="C1762" t="s">
        <v>5238</v>
      </c>
      <c r="E1762" t="s">
        <v>20510</v>
      </c>
      <c r="F1762" t="s">
        <v>32664</v>
      </c>
      <c r="G1762" t="s">
        <v>32671</v>
      </c>
      <c r="H1762" t="s">
        <v>12635</v>
      </c>
      <c r="I1762" t="s">
        <v>32706</v>
      </c>
      <c r="J1762" t="s">
        <v>34098</v>
      </c>
      <c r="K1762" t="s">
        <v>42283</v>
      </c>
      <c r="M1762" t="s">
        <v>43265</v>
      </c>
      <c r="N1762" t="s">
        <v>46569</v>
      </c>
      <c r="O1762" t="s">
        <v>46570</v>
      </c>
      <c r="P1762">
        <v>0</v>
      </c>
      <c r="Q1762">
        <v>0</v>
      </c>
      <c r="R1762" t="s">
        <v>46571</v>
      </c>
      <c r="S1762" t="s">
        <v>46687</v>
      </c>
      <c r="T1762" t="s">
        <v>48312</v>
      </c>
      <c r="U1762" t="s">
        <v>50264</v>
      </c>
      <c r="W1762" t="s">
        <v>43265</v>
      </c>
      <c r="X1762" t="s">
        <v>46572</v>
      </c>
    </row>
    <row r="1763" spans="1:24">
      <c r="A1763">
        <f>HYPERLINK("https://www.philgeps.gov.ph/GEPSNONPILOT/Tender/SplashBidNoticeAbstractUI.aspx?menuIndex=3&amp;refID=7066454&amp;Result=3","7066454")</f>
        <v>0</v>
      </c>
      <c r="B1763" t="s">
        <v>748</v>
      </c>
      <c r="C1763" t="s">
        <v>5239</v>
      </c>
      <c r="D1763" t="s">
        <v>18805</v>
      </c>
      <c r="E1763" t="s">
        <v>20511</v>
      </c>
      <c r="F1763" t="s">
        <v>32664</v>
      </c>
      <c r="G1763" t="s">
        <v>32674</v>
      </c>
      <c r="H1763" t="s">
        <v>12635</v>
      </c>
      <c r="I1763" t="s">
        <v>10590</v>
      </c>
      <c r="J1763" t="s">
        <v>34099</v>
      </c>
      <c r="K1763" t="s">
        <v>42284</v>
      </c>
      <c r="M1763" t="s">
        <v>43338</v>
      </c>
      <c r="N1763" t="s">
        <v>46569</v>
      </c>
      <c r="O1763" t="s">
        <v>46570</v>
      </c>
      <c r="P1763">
        <v>0</v>
      </c>
      <c r="Q1763">
        <v>0</v>
      </c>
      <c r="R1763" t="s">
        <v>46571</v>
      </c>
      <c r="S1763" t="s">
        <v>46687</v>
      </c>
      <c r="T1763" t="s">
        <v>48221</v>
      </c>
      <c r="U1763" t="s">
        <v>50265</v>
      </c>
      <c r="W1763" t="s">
        <v>43338</v>
      </c>
      <c r="X1763" t="s">
        <v>46572</v>
      </c>
    </row>
    <row r="1764" spans="1:24">
      <c r="A1764">
        <f>HYPERLINK("https://www.philgeps.gov.ph/GEPSNONPILOT/Tender/SplashBidNoticeAbstractUI.aspx?menuIndex=3&amp;refID=7066461&amp;Result=3","7066461")</f>
        <v>0</v>
      </c>
      <c r="B1764" t="s">
        <v>633</v>
      </c>
      <c r="C1764" t="s">
        <v>5240</v>
      </c>
      <c r="D1764" t="s">
        <v>18814</v>
      </c>
      <c r="E1764" t="s">
        <v>20512</v>
      </c>
      <c r="F1764" t="s">
        <v>32664</v>
      </c>
      <c r="G1764" t="s">
        <v>32674</v>
      </c>
      <c r="H1764" t="s">
        <v>12635</v>
      </c>
      <c r="I1764" t="s">
        <v>6628</v>
      </c>
      <c r="J1764" t="s">
        <v>32984</v>
      </c>
      <c r="K1764" t="s">
        <v>42306</v>
      </c>
      <c r="M1764" t="s">
        <v>43216</v>
      </c>
      <c r="N1764" t="s">
        <v>46569</v>
      </c>
      <c r="O1764" t="s">
        <v>46570</v>
      </c>
      <c r="P1764">
        <v>0</v>
      </c>
      <c r="Q1764">
        <v>0</v>
      </c>
      <c r="R1764" t="s">
        <v>46571</v>
      </c>
      <c r="S1764" t="s">
        <v>46687</v>
      </c>
      <c r="T1764" t="s">
        <v>48221</v>
      </c>
      <c r="U1764" t="s">
        <v>50266</v>
      </c>
      <c r="W1764" t="s">
        <v>43216</v>
      </c>
      <c r="X1764" t="s">
        <v>46572</v>
      </c>
    </row>
    <row r="1765" spans="1:24">
      <c r="A1765">
        <f>HYPERLINK("https://www.philgeps.gov.ph/GEPSNONPILOT/Tender/SplashBidNoticeAbstractUI.aspx?menuIndex=3&amp;refID=7066463&amp;Result=3","7066463")</f>
        <v>0</v>
      </c>
      <c r="B1765" t="s">
        <v>568</v>
      </c>
      <c r="C1765" t="s">
        <v>5241</v>
      </c>
      <c r="D1765" t="s">
        <v>18822</v>
      </c>
      <c r="E1765" t="s">
        <v>20513</v>
      </c>
      <c r="F1765" t="s">
        <v>32664</v>
      </c>
      <c r="G1765" t="s">
        <v>32672</v>
      </c>
      <c r="H1765" t="s">
        <v>32683</v>
      </c>
      <c r="I1765" t="s">
        <v>10627</v>
      </c>
      <c r="J1765" t="s">
        <v>34100</v>
      </c>
      <c r="K1765" t="s">
        <v>42308</v>
      </c>
      <c r="M1765" t="s">
        <v>43148</v>
      </c>
      <c r="N1765" t="s">
        <v>46569</v>
      </c>
      <c r="O1765" t="s">
        <v>46570</v>
      </c>
      <c r="P1765">
        <v>0</v>
      </c>
      <c r="Q1765">
        <v>0</v>
      </c>
      <c r="R1765" t="s">
        <v>46571</v>
      </c>
      <c r="S1765" t="s">
        <v>46687</v>
      </c>
      <c r="T1765" t="s">
        <v>48366</v>
      </c>
      <c r="U1765" t="s">
        <v>50171</v>
      </c>
      <c r="V1765" t="s">
        <v>61801</v>
      </c>
      <c r="W1765" t="s">
        <v>63484</v>
      </c>
      <c r="X1765" t="s">
        <v>46572</v>
      </c>
    </row>
    <row r="1766" spans="1:24">
      <c r="A1766">
        <f>HYPERLINK("https://www.philgeps.gov.ph/GEPSNONPILOT/Tender/SplashBidNoticeAbstractUI.aspx?menuIndex=3&amp;refID=7066449&amp;Result=3","7066449")</f>
        <v>0</v>
      </c>
      <c r="B1766" t="s">
        <v>785</v>
      </c>
      <c r="C1766" t="s">
        <v>5242</v>
      </c>
      <c r="D1766" t="s">
        <v>18794</v>
      </c>
      <c r="E1766" t="s">
        <v>20514</v>
      </c>
      <c r="F1766" t="s">
        <v>32664</v>
      </c>
      <c r="G1766" t="s">
        <v>32672</v>
      </c>
      <c r="H1766" t="s">
        <v>12635</v>
      </c>
      <c r="I1766" t="s">
        <v>32717</v>
      </c>
      <c r="J1766" t="s">
        <v>33196</v>
      </c>
      <c r="K1766" t="s">
        <v>42298</v>
      </c>
      <c r="M1766" t="s">
        <v>43377</v>
      </c>
      <c r="N1766" t="s">
        <v>46569</v>
      </c>
      <c r="O1766" t="s">
        <v>46570</v>
      </c>
      <c r="P1766">
        <v>0</v>
      </c>
      <c r="Q1766">
        <v>2</v>
      </c>
      <c r="R1766" t="s">
        <v>46571</v>
      </c>
      <c r="S1766" t="s">
        <v>46687</v>
      </c>
      <c r="T1766" t="s">
        <v>48262</v>
      </c>
      <c r="U1766" t="s">
        <v>50267</v>
      </c>
      <c r="W1766" t="s">
        <v>43377</v>
      </c>
      <c r="X1766" t="s">
        <v>46572</v>
      </c>
    </row>
    <row r="1767" spans="1:24">
      <c r="A1767">
        <f>HYPERLINK("https://www.philgeps.gov.ph/GEPSNONPILOT/Tender/SplashBidNoticeAbstractUI.aspx?menuIndex=3&amp;refID=7066438&amp;Result=3","7066438")</f>
        <v>0</v>
      </c>
      <c r="B1767" t="s">
        <v>693</v>
      </c>
      <c r="C1767" t="s">
        <v>5243</v>
      </c>
      <c r="D1767" t="s">
        <v>18788</v>
      </c>
      <c r="E1767" t="s">
        <v>20515</v>
      </c>
      <c r="F1767" t="s">
        <v>32664</v>
      </c>
      <c r="G1767" t="s">
        <v>32672</v>
      </c>
      <c r="H1767" t="s">
        <v>12635</v>
      </c>
      <c r="I1767" t="s">
        <v>32691</v>
      </c>
      <c r="J1767" t="s">
        <v>34101</v>
      </c>
      <c r="K1767" t="s">
        <v>42355</v>
      </c>
      <c r="M1767" t="s">
        <v>43280</v>
      </c>
      <c r="N1767" t="s">
        <v>46569</v>
      </c>
      <c r="O1767" t="s">
        <v>46570</v>
      </c>
      <c r="P1767">
        <v>0</v>
      </c>
      <c r="Q1767">
        <v>0</v>
      </c>
      <c r="R1767" t="s">
        <v>46571</v>
      </c>
      <c r="S1767" t="s">
        <v>46687</v>
      </c>
      <c r="T1767" t="s">
        <v>48211</v>
      </c>
      <c r="U1767" t="s">
        <v>50268</v>
      </c>
      <c r="W1767" t="s">
        <v>43280</v>
      </c>
      <c r="X1767" t="s">
        <v>46572</v>
      </c>
    </row>
    <row r="1768" spans="1:24">
      <c r="A1768">
        <f>HYPERLINK("https://www.philgeps.gov.ph/GEPSNONPILOT/Tender/SplashBidNoticeAbstractUI.aspx?menuIndex=3&amp;refID=7066492&amp;Result=3","7066492")</f>
        <v>0</v>
      </c>
      <c r="B1768" t="s">
        <v>705</v>
      </c>
      <c r="C1768" t="s">
        <v>5244</v>
      </c>
      <c r="D1768" t="s">
        <v>18789</v>
      </c>
      <c r="E1768" t="s">
        <v>20516</v>
      </c>
      <c r="F1768" t="s">
        <v>32664</v>
      </c>
      <c r="G1768" t="s">
        <v>32671</v>
      </c>
      <c r="H1768" t="s">
        <v>12635</v>
      </c>
      <c r="I1768" t="s">
        <v>32696</v>
      </c>
      <c r="J1768" t="s">
        <v>33159</v>
      </c>
      <c r="K1768" t="s">
        <v>42283</v>
      </c>
      <c r="M1768" t="s">
        <v>43292</v>
      </c>
      <c r="N1768" t="s">
        <v>46569</v>
      </c>
      <c r="O1768" t="s">
        <v>46570</v>
      </c>
      <c r="P1768">
        <v>0</v>
      </c>
      <c r="Q1768">
        <v>0</v>
      </c>
      <c r="R1768" t="s">
        <v>46571</v>
      </c>
      <c r="S1768" t="s">
        <v>46687</v>
      </c>
      <c r="T1768" t="s">
        <v>48245</v>
      </c>
      <c r="U1768" t="s">
        <v>50104</v>
      </c>
      <c r="W1768" t="s">
        <v>43292</v>
      </c>
      <c r="X1768" t="s">
        <v>46572</v>
      </c>
    </row>
    <row r="1769" spans="1:24">
      <c r="A1769">
        <f>HYPERLINK("https://www.philgeps.gov.ph/GEPSNONPILOT/Tender/SplashBidNoticeAbstractUI.aspx?menuIndex=3&amp;refID=7066457&amp;Result=3","7066457")</f>
        <v>0</v>
      </c>
      <c r="B1769" t="s">
        <v>352</v>
      </c>
      <c r="C1769" t="s">
        <v>5245</v>
      </c>
      <c r="E1769" t="s">
        <v>20517</v>
      </c>
      <c r="F1769" t="s">
        <v>32664</v>
      </c>
      <c r="G1769" t="s">
        <v>32671</v>
      </c>
      <c r="H1769" t="s">
        <v>12635</v>
      </c>
      <c r="I1769" t="s">
        <v>8730</v>
      </c>
      <c r="J1769" t="s">
        <v>34102</v>
      </c>
      <c r="K1769" t="s">
        <v>42283</v>
      </c>
      <c r="M1769" t="s">
        <v>43328</v>
      </c>
      <c r="N1769" t="s">
        <v>46569</v>
      </c>
      <c r="O1769" t="s">
        <v>46570</v>
      </c>
      <c r="P1769">
        <v>0</v>
      </c>
      <c r="Q1769">
        <v>2</v>
      </c>
      <c r="R1769" t="s">
        <v>46571</v>
      </c>
      <c r="S1769" t="s">
        <v>46687</v>
      </c>
      <c r="T1769" t="s">
        <v>48280</v>
      </c>
      <c r="U1769" t="s">
        <v>50269</v>
      </c>
      <c r="V1769" t="s">
        <v>61800</v>
      </c>
      <c r="W1769" t="s">
        <v>43328</v>
      </c>
      <c r="X1769" t="s">
        <v>46572</v>
      </c>
    </row>
    <row r="1770" spans="1:24">
      <c r="A1770">
        <f>HYPERLINK("https://www.philgeps.gov.ph/GEPSNONPILOT/Tender/SplashBidNoticeAbstractUI.aspx?menuIndex=3&amp;refID=7066489&amp;Result=3","7066489")</f>
        <v>0</v>
      </c>
      <c r="B1770" t="s">
        <v>678</v>
      </c>
      <c r="C1770" t="s">
        <v>5122</v>
      </c>
      <c r="E1770" t="s">
        <v>20518</v>
      </c>
      <c r="F1770" t="s">
        <v>32664</v>
      </c>
      <c r="G1770" t="s">
        <v>32671</v>
      </c>
      <c r="H1770" t="s">
        <v>12635</v>
      </c>
      <c r="I1770" t="s">
        <v>32706</v>
      </c>
      <c r="J1770" t="s">
        <v>33888</v>
      </c>
      <c r="K1770" t="s">
        <v>42283</v>
      </c>
      <c r="M1770" t="s">
        <v>43265</v>
      </c>
      <c r="N1770" t="s">
        <v>46569</v>
      </c>
      <c r="O1770" t="s">
        <v>46570</v>
      </c>
      <c r="P1770">
        <v>0</v>
      </c>
      <c r="Q1770">
        <v>0</v>
      </c>
      <c r="R1770" t="s">
        <v>46571</v>
      </c>
      <c r="S1770" t="s">
        <v>46687</v>
      </c>
      <c r="T1770" t="s">
        <v>48312</v>
      </c>
      <c r="U1770" t="s">
        <v>50270</v>
      </c>
      <c r="W1770" t="s">
        <v>43265</v>
      </c>
      <c r="X1770" t="s">
        <v>46572</v>
      </c>
    </row>
    <row r="1771" spans="1:24">
      <c r="A1771">
        <f>HYPERLINK("https://www.philgeps.gov.ph/GEPSNONPILOT/Tender/SplashBidNoticeAbstractUI.aspx?menuIndex=3&amp;refID=7066450&amp;Result=3","7066450")</f>
        <v>0</v>
      </c>
      <c r="B1771" t="s">
        <v>689</v>
      </c>
      <c r="C1771" t="s">
        <v>5246</v>
      </c>
      <c r="D1771" t="s">
        <v>18800</v>
      </c>
      <c r="E1771" t="s">
        <v>20519</v>
      </c>
      <c r="F1771" t="s">
        <v>32664</v>
      </c>
      <c r="G1771" t="s">
        <v>32671</v>
      </c>
      <c r="H1771" t="s">
        <v>12635</v>
      </c>
      <c r="I1771" t="s">
        <v>32706</v>
      </c>
      <c r="J1771" t="s">
        <v>34103</v>
      </c>
      <c r="K1771" t="s">
        <v>42281</v>
      </c>
      <c r="M1771" t="s">
        <v>43276</v>
      </c>
      <c r="N1771" t="s">
        <v>46569</v>
      </c>
      <c r="O1771" t="s">
        <v>46570</v>
      </c>
      <c r="P1771">
        <v>0</v>
      </c>
      <c r="Q1771">
        <v>0</v>
      </c>
      <c r="R1771" t="s">
        <v>46571</v>
      </c>
      <c r="S1771" t="s">
        <v>46687</v>
      </c>
      <c r="T1771" t="s">
        <v>48293</v>
      </c>
      <c r="U1771" t="s">
        <v>50271</v>
      </c>
      <c r="V1771" t="s">
        <v>61795</v>
      </c>
      <c r="W1771" t="s">
        <v>43276</v>
      </c>
      <c r="X1771" t="s">
        <v>46572</v>
      </c>
    </row>
    <row r="1772" spans="1:24">
      <c r="A1772">
        <f>HYPERLINK("https://www.philgeps.gov.ph/GEPSNONPILOT/Tender/SplashBidNoticeAbstractUI.aspx?menuIndex=3&amp;refID=7066484&amp;Result=3","7066484")</f>
        <v>0</v>
      </c>
      <c r="B1772" t="s">
        <v>712</v>
      </c>
      <c r="C1772" t="s">
        <v>5247</v>
      </c>
      <c r="D1772" t="s">
        <v>18845</v>
      </c>
      <c r="E1772" t="s">
        <v>20520</v>
      </c>
      <c r="F1772" t="s">
        <v>32664</v>
      </c>
      <c r="G1772" t="s">
        <v>32671</v>
      </c>
      <c r="H1772" t="s">
        <v>12635</v>
      </c>
      <c r="I1772" t="s">
        <v>32737</v>
      </c>
      <c r="J1772" t="s">
        <v>34104</v>
      </c>
      <c r="K1772" t="s">
        <v>42283</v>
      </c>
      <c r="M1772" t="s">
        <v>43299</v>
      </c>
      <c r="N1772" t="s">
        <v>46569</v>
      </c>
      <c r="O1772" t="s">
        <v>46570</v>
      </c>
      <c r="P1772">
        <v>0</v>
      </c>
      <c r="Q1772">
        <v>0</v>
      </c>
      <c r="R1772" t="s">
        <v>46571</v>
      </c>
      <c r="S1772" t="s">
        <v>46687</v>
      </c>
      <c r="T1772" t="s">
        <v>48244</v>
      </c>
      <c r="U1772" t="s">
        <v>50111</v>
      </c>
      <c r="W1772" t="s">
        <v>43299</v>
      </c>
      <c r="X1772" t="s">
        <v>46572</v>
      </c>
    </row>
    <row r="1773" spans="1:24">
      <c r="A1773">
        <f>HYPERLINK("https://www.philgeps.gov.ph/GEPSNONPILOT/Tender/SplashBidNoticeAbstractUI.aspx?menuIndex=3&amp;refID=7066460&amp;Result=3","7066460")</f>
        <v>0</v>
      </c>
      <c r="B1773" t="s">
        <v>747</v>
      </c>
      <c r="C1773" t="s">
        <v>5248</v>
      </c>
      <c r="D1773" t="s">
        <v>18806</v>
      </c>
      <c r="E1773" t="s">
        <v>20521</v>
      </c>
      <c r="F1773" t="s">
        <v>32664</v>
      </c>
      <c r="G1773" t="s">
        <v>32672</v>
      </c>
      <c r="H1773" t="s">
        <v>12635</v>
      </c>
      <c r="I1773" t="s">
        <v>32704</v>
      </c>
      <c r="J1773" t="s">
        <v>34105</v>
      </c>
      <c r="K1773" t="s">
        <v>42281</v>
      </c>
      <c r="M1773" t="s">
        <v>43337</v>
      </c>
      <c r="N1773" t="s">
        <v>46569</v>
      </c>
      <c r="O1773" t="s">
        <v>46570</v>
      </c>
      <c r="P1773">
        <v>0</v>
      </c>
      <c r="Q1773">
        <v>4</v>
      </c>
      <c r="R1773" t="s">
        <v>46571</v>
      </c>
      <c r="S1773" t="s">
        <v>46687</v>
      </c>
      <c r="T1773" t="s">
        <v>48404</v>
      </c>
      <c r="U1773" t="s">
        <v>50272</v>
      </c>
      <c r="V1773" t="s">
        <v>61809</v>
      </c>
      <c r="W1773" t="s">
        <v>43337</v>
      </c>
      <c r="X1773" t="s">
        <v>46572</v>
      </c>
    </row>
    <row r="1774" spans="1:24">
      <c r="A1774">
        <f>HYPERLINK("https://www.philgeps.gov.ph/GEPSNONPILOT/Tender/SplashBidNoticeAbstractUI.aspx?menuIndex=3&amp;refID=7066483&amp;Result=3","7066483")</f>
        <v>0</v>
      </c>
      <c r="B1774" t="s">
        <v>494</v>
      </c>
      <c r="C1774" t="s">
        <v>5249</v>
      </c>
      <c r="D1774" t="s">
        <v>18834</v>
      </c>
      <c r="E1774" t="s">
        <v>20522</v>
      </c>
      <c r="F1774" t="s">
        <v>32664</v>
      </c>
      <c r="G1774" t="s">
        <v>32671</v>
      </c>
      <c r="H1774" t="s">
        <v>12635</v>
      </c>
      <c r="I1774" t="s">
        <v>32684</v>
      </c>
      <c r="J1774" t="s">
        <v>33147</v>
      </c>
      <c r="K1774" t="s">
        <v>42284</v>
      </c>
      <c r="M1774" t="s">
        <v>43070</v>
      </c>
      <c r="N1774" t="s">
        <v>46569</v>
      </c>
      <c r="O1774" t="s">
        <v>46570</v>
      </c>
      <c r="P1774">
        <v>0</v>
      </c>
      <c r="Q1774">
        <v>5</v>
      </c>
      <c r="R1774" t="s">
        <v>46571</v>
      </c>
      <c r="S1774" t="s">
        <v>46687</v>
      </c>
      <c r="T1774" t="s">
        <v>48283</v>
      </c>
      <c r="U1774" t="s">
        <v>50273</v>
      </c>
      <c r="W1774" t="s">
        <v>43070</v>
      </c>
      <c r="X1774" t="s">
        <v>46572</v>
      </c>
    </row>
    <row r="1775" spans="1:24">
      <c r="A1775">
        <f>HYPERLINK("https://www.philgeps.gov.ph/GEPSNONPILOT/Tender/SplashBidNoticeAbstractUI.aspx?menuIndex=3&amp;refID=7066491&amp;Result=3","7066491")</f>
        <v>0</v>
      </c>
      <c r="B1775" t="s">
        <v>212</v>
      </c>
      <c r="C1775" t="s">
        <v>5250</v>
      </c>
      <c r="D1775" t="s">
        <v>18844</v>
      </c>
      <c r="E1775" t="s">
        <v>20523</v>
      </c>
      <c r="F1775" t="s">
        <v>32664</v>
      </c>
      <c r="G1775" t="s">
        <v>32677</v>
      </c>
      <c r="H1775" t="s">
        <v>12635</v>
      </c>
      <c r="I1775" t="s">
        <v>10361</v>
      </c>
      <c r="J1775" t="s">
        <v>34106</v>
      </c>
      <c r="K1775" t="s">
        <v>42283</v>
      </c>
      <c r="M1775" t="s">
        <v>42776</v>
      </c>
      <c r="N1775" t="s">
        <v>46569</v>
      </c>
      <c r="O1775" t="s">
        <v>46570</v>
      </c>
      <c r="P1775">
        <v>0</v>
      </c>
      <c r="Q1775">
        <v>0</v>
      </c>
      <c r="R1775" t="s">
        <v>46571</v>
      </c>
      <c r="S1775" t="s">
        <v>46687</v>
      </c>
      <c r="T1775" t="s">
        <v>48413</v>
      </c>
      <c r="U1775" t="s">
        <v>50274</v>
      </c>
      <c r="V1775" t="s">
        <v>61668</v>
      </c>
      <c r="W1775" t="s">
        <v>42776</v>
      </c>
      <c r="X1775" t="s">
        <v>46572</v>
      </c>
    </row>
    <row r="1776" spans="1:24">
      <c r="A1776">
        <f>HYPERLINK("https://www.philgeps.gov.ph/GEPSNONPILOT/Tender/SplashBidNoticeAbstractUI.aspx?menuIndex=3&amp;refID=7066481&amp;Result=3","7066481")</f>
        <v>0</v>
      </c>
      <c r="B1776" t="s">
        <v>719</v>
      </c>
      <c r="C1776" t="s">
        <v>5251</v>
      </c>
      <c r="D1776" t="s">
        <v>18812</v>
      </c>
      <c r="E1776" t="s">
        <v>20524</v>
      </c>
      <c r="F1776" t="s">
        <v>32664</v>
      </c>
      <c r="G1776" t="s">
        <v>32671</v>
      </c>
      <c r="H1776" t="s">
        <v>12635</v>
      </c>
      <c r="I1776" t="s">
        <v>4439</v>
      </c>
      <c r="J1776" t="s">
        <v>34107</v>
      </c>
      <c r="K1776" t="s">
        <v>42284</v>
      </c>
      <c r="M1776" t="s">
        <v>43306</v>
      </c>
      <c r="N1776" t="s">
        <v>46569</v>
      </c>
      <c r="O1776" t="s">
        <v>46570</v>
      </c>
      <c r="P1776">
        <v>0</v>
      </c>
      <c r="Q1776">
        <v>0</v>
      </c>
      <c r="R1776" t="s">
        <v>46571</v>
      </c>
      <c r="S1776" t="s">
        <v>46687</v>
      </c>
      <c r="T1776" t="s">
        <v>48230</v>
      </c>
      <c r="U1776" t="s">
        <v>50275</v>
      </c>
      <c r="W1776" t="s">
        <v>43306</v>
      </c>
      <c r="X1776" t="s">
        <v>46572</v>
      </c>
    </row>
    <row r="1777" spans="1:24">
      <c r="A1777">
        <f>HYPERLINK("https://www.philgeps.gov.ph/GEPSNONPILOT/Tender/SplashBidNoticeAbstractUI.aspx?menuIndex=3&amp;refID=7066480&amp;Result=3","7066480")</f>
        <v>0</v>
      </c>
      <c r="B1777" t="s">
        <v>708</v>
      </c>
      <c r="C1777" t="s">
        <v>5252</v>
      </c>
      <c r="D1777" t="s">
        <v>18792</v>
      </c>
      <c r="E1777" t="s">
        <v>20525</v>
      </c>
      <c r="F1777" t="s">
        <v>32664</v>
      </c>
      <c r="G1777" t="s">
        <v>32677</v>
      </c>
      <c r="H1777" t="s">
        <v>12635</v>
      </c>
      <c r="I1777" t="s">
        <v>5589</v>
      </c>
      <c r="J1777" t="s">
        <v>32865</v>
      </c>
      <c r="K1777" t="s">
        <v>42297</v>
      </c>
      <c r="M1777" t="s">
        <v>43295</v>
      </c>
      <c r="N1777" t="s">
        <v>46569</v>
      </c>
      <c r="O1777" t="s">
        <v>46570</v>
      </c>
      <c r="P1777">
        <v>0</v>
      </c>
      <c r="Q1777">
        <v>2</v>
      </c>
      <c r="R1777" t="s">
        <v>46571</v>
      </c>
      <c r="S1777" t="s">
        <v>46687</v>
      </c>
      <c r="T1777" t="s">
        <v>48283</v>
      </c>
      <c r="U1777" t="s">
        <v>50276</v>
      </c>
      <c r="W1777" t="s">
        <v>43295</v>
      </c>
      <c r="X1777" t="s">
        <v>46572</v>
      </c>
    </row>
    <row r="1778" spans="1:24">
      <c r="A1778">
        <f>HYPERLINK("https://www.philgeps.gov.ph/GEPSNONPILOT/Tender/SplashBidNoticeAbstractUI.aspx?menuIndex=3&amp;refID=7066478&amp;Result=3","7066478")</f>
        <v>0</v>
      </c>
      <c r="B1778" t="s">
        <v>444</v>
      </c>
      <c r="C1778" t="s">
        <v>5253</v>
      </c>
      <c r="D1778" t="s">
        <v>18843</v>
      </c>
      <c r="E1778" t="s">
        <v>19012</v>
      </c>
      <c r="F1778" t="s">
        <v>32664</v>
      </c>
      <c r="G1778" t="s">
        <v>32671</v>
      </c>
      <c r="H1778" t="s">
        <v>12635</v>
      </c>
      <c r="I1778" t="s">
        <v>10361</v>
      </c>
      <c r="J1778" t="s">
        <v>34108</v>
      </c>
      <c r="K1778" t="s">
        <v>42283</v>
      </c>
      <c r="M1778" t="s">
        <v>43017</v>
      </c>
      <c r="N1778" t="s">
        <v>46569</v>
      </c>
      <c r="O1778" t="s">
        <v>46570</v>
      </c>
      <c r="P1778">
        <v>0</v>
      </c>
      <c r="Q1778">
        <v>0</v>
      </c>
      <c r="R1778" t="s">
        <v>46571</v>
      </c>
      <c r="S1778" t="s">
        <v>46687</v>
      </c>
      <c r="T1778" t="s">
        <v>48297</v>
      </c>
      <c r="U1778" t="s">
        <v>49565</v>
      </c>
      <c r="W1778" t="s">
        <v>43017</v>
      </c>
      <c r="X1778" t="s">
        <v>46572</v>
      </c>
    </row>
    <row r="1779" spans="1:24">
      <c r="A1779">
        <f>HYPERLINK("https://www.philgeps.gov.ph/GEPSNONPILOT/Tender/SplashBidNoticeAbstractUI.aspx?menuIndex=3&amp;refID=7066487&amp;Result=3","7066487")</f>
        <v>0</v>
      </c>
      <c r="B1779" t="s">
        <v>203</v>
      </c>
      <c r="C1779" t="s">
        <v>5254</v>
      </c>
      <c r="D1779" t="s">
        <v>18842</v>
      </c>
      <c r="E1779" t="s">
        <v>20526</v>
      </c>
      <c r="F1779" t="s">
        <v>32664</v>
      </c>
      <c r="G1779" t="s">
        <v>32675</v>
      </c>
      <c r="H1779" t="s">
        <v>12635</v>
      </c>
      <c r="I1779" t="s">
        <v>8730</v>
      </c>
      <c r="J1779" t="s">
        <v>34109</v>
      </c>
      <c r="K1779" t="s">
        <v>42289</v>
      </c>
      <c r="M1779" t="s">
        <v>42767</v>
      </c>
      <c r="N1779" t="s">
        <v>46569</v>
      </c>
      <c r="O1779" t="s">
        <v>46570</v>
      </c>
      <c r="P1779">
        <v>0</v>
      </c>
      <c r="Q1779">
        <v>3</v>
      </c>
      <c r="R1779" t="s">
        <v>46571</v>
      </c>
      <c r="S1779" t="s">
        <v>46687</v>
      </c>
      <c r="T1779" t="s">
        <v>48383</v>
      </c>
      <c r="U1779" t="s">
        <v>50277</v>
      </c>
      <c r="V1779" t="s">
        <v>50334</v>
      </c>
      <c r="W1779" t="s">
        <v>42767</v>
      </c>
      <c r="X1779" t="s">
        <v>46572</v>
      </c>
    </row>
    <row r="1780" spans="1:24">
      <c r="A1780">
        <f>HYPERLINK("https://www.philgeps.gov.ph/GEPSNONPILOT/Tender/SplashBidNoticeAbstractUI.aspx?menuIndex=3&amp;refID=7066451&amp;Result=3","7066451")</f>
        <v>0</v>
      </c>
      <c r="B1780" t="s">
        <v>708</v>
      </c>
      <c r="C1780" t="s">
        <v>5255</v>
      </c>
      <c r="D1780" t="s">
        <v>18792</v>
      </c>
      <c r="E1780" t="s">
        <v>20527</v>
      </c>
      <c r="F1780" t="s">
        <v>32664</v>
      </c>
      <c r="G1780" t="s">
        <v>32677</v>
      </c>
      <c r="H1780" t="s">
        <v>12635</v>
      </c>
      <c r="I1780" t="s">
        <v>32706</v>
      </c>
      <c r="J1780" t="s">
        <v>34110</v>
      </c>
      <c r="K1780" t="s">
        <v>42283</v>
      </c>
      <c r="M1780" t="s">
        <v>43295</v>
      </c>
      <c r="N1780" t="s">
        <v>46569</v>
      </c>
      <c r="O1780" t="s">
        <v>46570</v>
      </c>
      <c r="P1780">
        <v>0</v>
      </c>
      <c r="Q1780">
        <v>0</v>
      </c>
      <c r="R1780" t="s">
        <v>46571</v>
      </c>
      <c r="S1780" t="s">
        <v>46687</v>
      </c>
      <c r="T1780" t="s">
        <v>48228</v>
      </c>
      <c r="U1780" t="s">
        <v>50278</v>
      </c>
      <c r="W1780" t="s">
        <v>43295</v>
      </c>
      <c r="X1780" t="s">
        <v>46572</v>
      </c>
    </row>
    <row r="1781" spans="1:24">
      <c r="A1781">
        <f>HYPERLINK("https://www.philgeps.gov.ph/GEPSNONPILOT/Tender/SplashBidNoticeAbstractUI.aspx?menuIndex=3&amp;refID=7066517&amp;Result=3","7066517")</f>
        <v>0</v>
      </c>
      <c r="B1781" t="s">
        <v>786</v>
      </c>
      <c r="C1781" t="s">
        <v>5256</v>
      </c>
      <c r="D1781" t="s">
        <v>18784</v>
      </c>
      <c r="E1781" t="s">
        <v>20528</v>
      </c>
      <c r="F1781" t="s">
        <v>32664</v>
      </c>
      <c r="G1781" t="s">
        <v>32671</v>
      </c>
      <c r="H1781" t="s">
        <v>12635</v>
      </c>
      <c r="I1781" t="s">
        <v>6168</v>
      </c>
      <c r="J1781" t="s">
        <v>34111</v>
      </c>
      <c r="K1781" t="s">
        <v>42295</v>
      </c>
      <c r="M1781" t="s">
        <v>43378</v>
      </c>
      <c r="N1781" t="s">
        <v>46569</v>
      </c>
      <c r="O1781" t="s">
        <v>46570</v>
      </c>
      <c r="P1781">
        <v>0</v>
      </c>
      <c r="Q1781">
        <v>0</v>
      </c>
      <c r="R1781" t="s">
        <v>46571</v>
      </c>
      <c r="S1781" t="s">
        <v>46687</v>
      </c>
      <c r="T1781" t="s">
        <v>48219</v>
      </c>
      <c r="U1781" t="s">
        <v>50279</v>
      </c>
      <c r="W1781" t="s">
        <v>43378</v>
      </c>
      <c r="X1781" t="s">
        <v>46572</v>
      </c>
    </row>
    <row r="1782" spans="1:24">
      <c r="A1782">
        <f>HYPERLINK("https://www.philgeps.gov.ph/GEPSNONPILOT/Tender/SplashBidNoticeAbstractUI.aspx?menuIndex=3&amp;refID=7066515&amp;Result=3","7066515")</f>
        <v>0</v>
      </c>
      <c r="B1782" t="s">
        <v>710</v>
      </c>
      <c r="C1782" t="s">
        <v>5257</v>
      </c>
      <c r="D1782" t="s">
        <v>18831</v>
      </c>
      <c r="E1782" t="s">
        <v>20529</v>
      </c>
      <c r="F1782" t="s">
        <v>32664</v>
      </c>
      <c r="G1782" t="s">
        <v>32672</v>
      </c>
      <c r="H1782" t="s">
        <v>32683</v>
      </c>
      <c r="I1782" t="s">
        <v>4439</v>
      </c>
      <c r="J1782" t="s">
        <v>34112</v>
      </c>
      <c r="K1782" t="s">
        <v>42290</v>
      </c>
      <c r="M1782" t="s">
        <v>43297</v>
      </c>
      <c r="N1782" t="s">
        <v>46569</v>
      </c>
      <c r="O1782" t="s">
        <v>46570</v>
      </c>
      <c r="P1782">
        <v>0</v>
      </c>
      <c r="Q1782">
        <v>1</v>
      </c>
      <c r="R1782" t="s">
        <v>46571</v>
      </c>
      <c r="S1782" t="s">
        <v>46687</v>
      </c>
      <c r="T1782" t="s">
        <v>48414</v>
      </c>
      <c r="U1782" t="s">
        <v>50280</v>
      </c>
      <c r="W1782" t="s">
        <v>43297</v>
      </c>
      <c r="X1782" t="s">
        <v>46572</v>
      </c>
    </row>
    <row r="1783" spans="1:24">
      <c r="A1783">
        <f>HYPERLINK("https://www.philgeps.gov.ph/GEPSNONPILOT/Tender/SplashBidNoticeAbstractUI.aspx?menuIndex=3&amp;refID=7066482&amp;Result=3","7066482")</f>
        <v>0</v>
      </c>
      <c r="B1783" t="s">
        <v>446</v>
      </c>
      <c r="C1783" t="s">
        <v>5258</v>
      </c>
      <c r="D1783" t="s">
        <v>18805</v>
      </c>
      <c r="E1783" t="s">
        <v>20530</v>
      </c>
      <c r="F1783" t="s">
        <v>32664</v>
      </c>
      <c r="G1783" t="s">
        <v>32672</v>
      </c>
      <c r="H1783" t="s">
        <v>12635</v>
      </c>
      <c r="I1783" t="s">
        <v>6628</v>
      </c>
      <c r="J1783" t="s">
        <v>34113</v>
      </c>
      <c r="K1783" t="s">
        <v>42306</v>
      </c>
      <c r="M1783" t="s">
        <v>43019</v>
      </c>
      <c r="N1783" t="s">
        <v>46569</v>
      </c>
      <c r="O1783" t="s">
        <v>46570</v>
      </c>
      <c r="P1783">
        <v>0</v>
      </c>
      <c r="Q1783">
        <v>0</v>
      </c>
      <c r="R1783" t="s">
        <v>46571</v>
      </c>
      <c r="S1783" t="s">
        <v>46687</v>
      </c>
      <c r="T1783" t="s">
        <v>48357</v>
      </c>
      <c r="U1783" t="s">
        <v>50281</v>
      </c>
      <c r="W1783" t="s">
        <v>43019</v>
      </c>
      <c r="X1783" t="s">
        <v>46572</v>
      </c>
    </row>
    <row r="1784" spans="1:24">
      <c r="A1784">
        <f>HYPERLINK("https://www.philgeps.gov.ph/GEPSNONPILOT/Tender/SplashBidNoticeAbstractUI.aspx?menuIndex=3&amp;refID=7066514&amp;Result=3","7066514")</f>
        <v>0</v>
      </c>
      <c r="B1784" t="s">
        <v>787</v>
      </c>
      <c r="C1784" t="s">
        <v>5259</v>
      </c>
      <c r="D1784" t="s">
        <v>18784</v>
      </c>
      <c r="E1784" t="s">
        <v>20531</v>
      </c>
      <c r="F1784" t="s">
        <v>32664</v>
      </c>
      <c r="G1784" t="s">
        <v>32671</v>
      </c>
      <c r="H1784" t="s">
        <v>32681</v>
      </c>
      <c r="I1784" t="s">
        <v>32681</v>
      </c>
      <c r="J1784" t="s">
        <v>33632</v>
      </c>
      <c r="K1784" t="s">
        <v>42371</v>
      </c>
      <c r="M1784" t="s">
        <v>43379</v>
      </c>
      <c r="N1784" t="s">
        <v>46569</v>
      </c>
      <c r="O1784" t="s">
        <v>46570</v>
      </c>
      <c r="P1784">
        <v>0</v>
      </c>
      <c r="Q1784">
        <v>0</v>
      </c>
      <c r="R1784" t="s">
        <v>46571</v>
      </c>
      <c r="S1784" t="s">
        <v>46687</v>
      </c>
      <c r="T1784" t="s">
        <v>48276</v>
      </c>
      <c r="U1784" t="s">
        <v>50282</v>
      </c>
      <c r="V1784" t="s">
        <v>61810</v>
      </c>
      <c r="W1784" t="s">
        <v>43379</v>
      </c>
      <c r="X1784" t="s">
        <v>46572</v>
      </c>
    </row>
    <row r="1785" spans="1:24">
      <c r="A1785">
        <f>HYPERLINK("https://www.philgeps.gov.ph/GEPSNONPILOT/Tender/SplashBidNoticeAbstractUI.aspx?menuIndex=3&amp;refID=7066453&amp;Result=3","7066453")</f>
        <v>0</v>
      </c>
      <c r="B1785" t="s">
        <v>444</v>
      </c>
      <c r="C1785" t="s">
        <v>5260</v>
      </c>
      <c r="D1785" t="s">
        <v>18843</v>
      </c>
      <c r="E1785" t="s">
        <v>20532</v>
      </c>
      <c r="F1785" t="s">
        <v>32664</v>
      </c>
      <c r="G1785" t="s">
        <v>32671</v>
      </c>
      <c r="H1785" t="s">
        <v>12635</v>
      </c>
      <c r="I1785" t="s">
        <v>10361</v>
      </c>
      <c r="J1785" t="s">
        <v>34114</v>
      </c>
      <c r="K1785" t="s">
        <v>42283</v>
      </c>
      <c r="M1785" t="s">
        <v>43017</v>
      </c>
      <c r="N1785" t="s">
        <v>46569</v>
      </c>
      <c r="O1785" t="s">
        <v>46570</v>
      </c>
      <c r="P1785">
        <v>0</v>
      </c>
      <c r="Q1785">
        <v>0</v>
      </c>
      <c r="R1785" t="s">
        <v>46571</v>
      </c>
      <c r="S1785" t="s">
        <v>46687</v>
      </c>
      <c r="T1785" t="s">
        <v>48297</v>
      </c>
      <c r="U1785" t="s">
        <v>49565</v>
      </c>
      <c r="W1785" t="s">
        <v>43017</v>
      </c>
      <c r="X1785" t="s">
        <v>46572</v>
      </c>
    </row>
    <row r="1786" spans="1:24">
      <c r="A1786">
        <f>HYPERLINK("https://www.philgeps.gov.ph/GEPSNONPILOT/Tender/SplashBidNoticeAbstractUI.aspx?menuIndex=3&amp;refID=7066511&amp;Result=3","7066511")</f>
        <v>0</v>
      </c>
      <c r="B1786" t="s">
        <v>788</v>
      </c>
      <c r="C1786" t="s">
        <v>5261</v>
      </c>
      <c r="D1786" t="s">
        <v>18798</v>
      </c>
      <c r="E1786" t="s">
        <v>20533</v>
      </c>
      <c r="F1786" t="s">
        <v>32664</v>
      </c>
      <c r="G1786" t="s">
        <v>32672</v>
      </c>
      <c r="H1786" t="s">
        <v>32681</v>
      </c>
      <c r="I1786" t="s">
        <v>32681</v>
      </c>
      <c r="J1786" t="s">
        <v>32853</v>
      </c>
      <c r="K1786" t="s">
        <v>42334</v>
      </c>
      <c r="M1786" t="s">
        <v>43380</v>
      </c>
      <c r="N1786" t="s">
        <v>46569</v>
      </c>
      <c r="O1786" t="s">
        <v>46570</v>
      </c>
      <c r="P1786">
        <v>0</v>
      </c>
      <c r="Q1786">
        <v>0</v>
      </c>
      <c r="R1786" t="s">
        <v>46571</v>
      </c>
      <c r="S1786" t="s">
        <v>46687</v>
      </c>
      <c r="T1786" t="s">
        <v>48223</v>
      </c>
      <c r="U1786" t="s">
        <v>50283</v>
      </c>
      <c r="W1786" t="s">
        <v>43380</v>
      </c>
      <c r="X1786" t="s">
        <v>46572</v>
      </c>
    </row>
    <row r="1787" spans="1:24">
      <c r="A1787">
        <f>HYPERLINK("https://www.philgeps.gov.ph/GEPSNONPILOT/Tender/SplashBidNoticeAbstractUI.aspx?menuIndex=3&amp;refID=7066512&amp;Result=3","7066512")</f>
        <v>0</v>
      </c>
      <c r="B1787" t="s">
        <v>789</v>
      </c>
      <c r="C1787" t="s">
        <v>5262</v>
      </c>
      <c r="D1787" t="s">
        <v>18805</v>
      </c>
      <c r="E1787" t="s">
        <v>20534</v>
      </c>
      <c r="F1787" t="s">
        <v>32664</v>
      </c>
      <c r="G1787" t="s">
        <v>32672</v>
      </c>
      <c r="H1787" t="s">
        <v>12635</v>
      </c>
      <c r="I1787" t="s">
        <v>32696</v>
      </c>
      <c r="J1787" t="s">
        <v>34115</v>
      </c>
      <c r="K1787" t="s">
        <v>42298</v>
      </c>
      <c r="M1787" t="s">
        <v>43381</v>
      </c>
      <c r="N1787" t="s">
        <v>46569</v>
      </c>
      <c r="O1787" t="s">
        <v>46570</v>
      </c>
      <c r="P1787">
        <v>0</v>
      </c>
      <c r="Q1787">
        <v>0</v>
      </c>
      <c r="R1787" t="s">
        <v>46571</v>
      </c>
      <c r="S1787" t="s">
        <v>46687</v>
      </c>
      <c r="T1787" t="s">
        <v>48415</v>
      </c>
      <c r="U1787" t="s">
        <v>50284</v>
      </c>
      <c r="V1787" t="s">
        <v>61811</v>
      </c>
      <c r="W1787" t="s">
        <v>43381</v>
      </c>
      <c r="X1787" t="s">
        <v>46572</v>
      </c>
    </row>
    <row r="1788" spans="1:24">
      <c r="A1788">
        <f>HYPERLINK("https://www.philgeps.gov.ph/GEPSNONPILOT/Tender/SplashBidNoticeAbstractUI.aspx?menuIndex=3&amp;refID=7066510&amp;Result=3","7066510")</f>
        <v>0</v>
      </c>
      <c r="B1788" t="s">
        <v>708</v>
      </c>
      <c r="C1788" t="s">
        <v>5263</v>
      </c>
      <c r="D1788" t="s">
        <v>18792</v>
      </c>
      <c r="E1788" t="s">
        <v>20535</v>
      </c>
      <c r="F1788" t="s">
        <v>32664</v>
      </c>
      <c r="G1788" t="s">
        <v>32677</v>
      </c>
      <c r="H1788" t="s">
        <v>12635</v>
      </c>
      <c r="I1788" t="s">
        <v>4439</v>
      </c>
      <c r="J1788" t="s">
        <v>34116</v>
      </c>
      <c r="K1788" t="s">
        <v>42327</v>
      </c>
      <c r="M1788" t="s">
        <v>43295</v>
      </c>
      <c r="N1788" t="s">
        <v>46569</v>
      </c>
      <c r="O1788" t="s">
        <v>46570</v>
      </c>
      <c r="P1788">
        <v>0</v>
      </c>
      <c r="Q1788">
        <v>0</v>
      </c>
      <c r="R1788" t="s">
        <v>46571</v>
      </c>
      <c r="S1788" t="s">
        <v>46687</v>
      </c>
      <c r="T1788" t="s">
        <v>48228</v>
      </c>
      <c r="U1788" t="s">
        <v>50285</v>
      </c>
      <c r="W1788" t="s">
        <v>43295</v>
      </c>
      <c r="X1788" t="s">
        <v>46572</v>
      </c>
    </row>
    <row r="1789" spans="1:24">
      <c r="A1789">
        <f>HYPERLINK("https://www.philgeps.gov.ph/GEPSNONPILOT/Tender/SplashBidNoticeAbstractUI.aspx?menuIndex=3&amp;refID=7066479&amp;Result=3","7066479")</f>
        <v>0</v>
      </c>
      <c r="B1789" t="s">
        <v>774</v>
      </c>
      <c r="C1789" t="s">
        <v>5264</v>
      </c>
      <c r="D1789" t="s">
        <v>18842</v>
      </c>
      <c r="E1789" t="s">
        <v>20536</v>
      </c>
      <c r="F1789" t="s">
        <v>32664</v>
      </c>
      <c r="G1789" t="s">
        <v>32671</v>
      </c>
      <c r="H1789" t="s">
        <v>12635</v>
      </c>
      <c r="I1789" t="s">
        <v>32685</v>
      </c>
      <c r="J1789" t="s">
        <v>33046</v>
      </c>
      <c r="K1789" t="s">
        <v>42283</v>
      </c>
      <c r="M1789" t="s">
        <v>43365</v>
      </c>
      <c r="N1789" t="s">
        <v>46569</v>
      </c>
      <c r="O1789" t="s">
        <v>46570</v>
      </c>
      <c r="P1789">
        <v>0</v>
      </c>
      <c r="Q1789">
        <v>0</v>
      </c>
      <c r="R1789" t="s">
        <v>46571</v>
      </c>
      <c r="S1789" t="s">
        <v>46687</v>
      </c>
      <c r="T1789" t="s">
        <v>48228</v>
      </c>
      <c r="U1789" t="s">
        <v>50286</v>
      </c>
      <c r="W1789" t="s">
        <v>43365</v>
      </c>
      <c r="X1789" t="s">
        <v>46572</v>
      </c>
    </row>
    <row r="1790" spans="1:24">
      <c r="A1790">
        <f>HYPERLINK("https://www.philgeps.gov.ph/GEPSNONPILOT/Tender/SplashBidNoticeAbstractUI.aspx?menuIndex=3&amp;refID=7066508&amp;Result=3","7066508")</f>
        <v>0</v>
      </c>
      <c r="B1790" t="s">
        <v>790</v>
      </c>
      <c r="C1790" t="s">
        <v>5265</v>
      </c>
      <c r="D1790" t="s">
        <v>18809</v>
      </c>
      <c r="E1790" t="s">
        <v>20537</v>
      </c>
      <c r="F1790" t="s">
        <v>32664</v>
      </c>
      <c r="G1790" t="s">
        <v>32672</v>
      </c>
      <c r="H1790" t="s">
        <v>12635</v>
      </c>
      <c r="I1790" t="s">
        <v>10361</v>
      </c>
      <c r="J1790" t="s">
        <v>34117</v>
      </c>
      <c r="K1790" t="s">
        <v>42289</v>
      </c>
      <c r="M1790" t="s">
        <v>43382</v>
      </c>
      <c r="N1790" t="s">
        <v>46569</v>
      </c>
      <c r="O1790" t="s">
        <v>46570</v>
      </c>
      <c r="P1790">
        <v>0</v>
      </c>
      <c r="Q1790">
        <v>0</v>
      </c>
      <c r="R1790" t="s">
        <v>46571</v>
      </c>
      <c r="S1790" t="s">
        <v>46687</v>
      </c>
      <c r="T1790" t="s">
        <v>48236</v>
      </c>
      <c r="U1790" t="s">
        <v>50287</v>
      </c>
      <c r="W1790" t="s">
        <v>43382</v>
      </c>
      <c r="X1790" t="s">
        <v>46572</v>
      </c>
    </row>
    <row r="1791" spans="1:24">
      <c r="A1791">
        <f>HYPERLINK("https://www.philgeps.gov.ph/GEPSNONPILOT/Tender/SplashBidNoticeAbstractUI.aspx?menuIndex=3&amp;refID=7066507&amp;Result=3","7066507")</f>
        <v>0</v>
      </c>
      <c r="B1791" t="s">
        <v>568</v>
      </c>
      <c r="C1791" t="s">
        <v>5266</v>
      </c>
      <c r="D1791" t="s">
        <v>18822</v>
      </c>
      <c r="E1791" t="s">
        <v>20538</v>
      </c>
      <c r="F1791" t="s">
        <v>32664</v>
      </c>
      <c r="G1791" t="s">
        <v>32672</v>
      </c>
      <c r="H1791" t="s">
        <v>32683</v>
      </c>
      <c r="I1791" t="s">
        <v>10627</v>
      </c>
      <c r="J1791" t="s">
        <v>34118</v>
      </c>
      <c r="K1791" t="s">
        <v>42372</v>
      </c>
      <c r="M1791" t="s">
        <v>43148</v>
      </c>
      <c r="N1791" t="s">
        <v>46569</v>
      </c>
      <c r="O1791" t="s">
        <v>46570</v>
      </c>
      <c r="P1791">
        <v>0</v>
      </c>
      <c r="Q1791">
        <v>0</v>
      </c>
      <c r="R1791" t="s">
        <v>46571</v>
      </c>
      <c r="S1791" t="s">
        <v>46687</v>
      </c>
      <c r="T1791" t="s">
        <v>48366</v>
      </c>
      <c r="U1791" t="s">
        <v>50171</v>
      </c>
      <c r="V1791" t="s">
        <v>61801</v>
      </c>
      <c r="W1791" t="s">
        <v>63484</v>
      </c>
      <c r="X1791" t="s">
        <v>46572</v>
      </c>
    </row>
    <row r="1792" spans="1:24">
      <c r="A1792">
        <f>HYPERLINK("https://www.philgeps.gov.ph/GEPSNONPILOT/Tender/SplashBidNoticeAbstractUI.aspx?menuIndex=3&amp;refID=7066505&amp;Result=3","7066505")</f>
        <v>0</v>
      </c>
      <c r="B1792" t="s">
        <v>791</v>
      </c>
      <c r="C1792" t="s">
        <v>5267</v>
      </c>
      <c r="D1792" t="s">
        <v>18785</v>
      </c>
      <c r="E1792" t="s">
        <v>20539</v>
      </c>
      <c r="F1792" t="s">
        <v>32664</v>
      </c>
      <c r="G1792" t="s">
        <v>32674</v>
      </c>
      <c r="H1792" t="s">
        <v>12635</v>
      </c>
      <c r="I1792" t="s">
        <v>10627</v>
      </c>
      <c r="J1792" t="s">
        <v>34119</v>
      </c>
      <c r="K1792" t="s">
        <v>42297</v>
      </c>
      <c r="M1792" t="s">
        <v>43383</v>
      </c>
      <c r="N1792" t="s">
        <v>46569</v>
      </c>
      <c r="O1792" t="s">
        <v>46570</v>
      </c>
      <c r="P1792">
        <v>0</v>
      </c>
      <c r="Q1792">
        <v>0</v>
      </c>
      <c r="R1792" t="s">
        <v>46571</v>
      </c>
      <c r="S1792" t="s">
        <v>46687</v>
      </c>
      <c r="T1792" t="s">
        <v>48394</v>
      </c>
      <c r="U1792" t="s">
        <v>50288</v>
      </c>
      <c r="W1792" t="s">
        <v>43383</v>
      </c>
      <c r="X1792" t="s">
        <v>46572</v>
      </c>
    </row>
    <row r="1793" spans="1:24">
      <c r="A1793">
        <f>HYPERLINK("https://www.philgeps.gov.ph/GEPSNONPILOT/Tender/SplashBidNoticeAbstractUI.aspx?menuIndex=3&amp;refID=7066513&amp;Result=3","7066513")</f>
        <v>0</v>
      </c>
      <c r="B1793" t="s">
        <v>523</v>
      </c>
      <c r="C1793" t="s">
        <v>5268</v>
      </c>
      <c r="D1793" t="s">
        <v>18793</v>
      </c>
      <c r="E1793" t="s">
        <v>20540</v>
      </c>
      <c r="F1793" t="s">
        <v>32664</v>
      </c>
      <c r="G1793" t="s">
        <v>32671</v>
      </c>
      <c r="H1793" t="s">
        <v>12635</v>
      </c>
      <c r="I1793" t="s">
        <v>4439</v>
      </c>
      <c r="J1793" t="s">
        <v>34120</v>
      </c>
      <c r="K1793" t="s">
        <v>42297</v>
      </c>
      <c r="M1793" t="s">
        <v>43100</v>
      </c>
      <c r="N1793" t="s">
        <v>46569</v>
      </c>
      <c r="O1793" t="s">
        <v>46570</v>
      </c>
      <c r="P1793">
        <v>0</v>
      </c>
      <c r="Q1793">
        <v>0</v>
      </c>
      <c r="R1793" t="s">
        <v>46571</v>
      </c>
      <c r="S1793" t="s">
        <v>46687</v>
      </c>
      <c r="T1793" t="s">
        <v>48245</v>
      </c>
      <c r="U1793" t="s">
        <v>50289</v>
      </c>
      <c r="V1793" t="s">
        <v>61616</v>
      </c>
      <c r="W1793" t="s">
        <v>43100</v>
      </c>
      <c r="X1793" t="s">
        <v>46572</v>
      </c>
    </row>
    <row r="1794" spans="1:24">
      <c r="A1794">
        <f>HYPERLINK("https://www.philgeps.gov.ph/GEPSNONPILOT/Tender/SplashBidNoticeAbstractUI.aspx?menuIndex=3&amp;refID=7066503&amp;Result=3","7066503")</f>
        <v>0</v>
      </c>
      <c r="B1794" t="s">
        <v>792</v>
      </c>
      <c r="C1794" t="s">
        <v>5269</v>
      </c>
      <c r="D1794" t="s">
        <v>18858</v>
      </c>
      <c r="E1794" t="s">
        <v>19193</v>
      </c>
      <c r="F1794" t="s">
        <v>32664</v>
      </c>
      <c r="G1794" t="s">
        <v>32671</v>
      </c>
      <c r="H1794" t="s">
        <v>12635</v>
      </c>
      <c r="I1794" t="s">
        <v>10374</v>
      </c>
      <c r="J1794" t="s">
        <v>32898</v>
      </c>
      <c r="K1794" t="s">
        <v>42297</v>
      </c>
      <c r="M1794" t="s">
        <v>43384</v>
      </c>
      <c r="N1794" t="s">
        <v>46569</v>
      </c>
      <c r="O1794" t="s">
        <v>46570</v>
      </c>
      <c r="P1794">
        <v>0</v>
      </c>
      <c r="Q1794">
        <v>2</v>
      </c>
      <c r="R1794" t="s">
        <v>46571</v>
      </c>
      <c r="S1794" t="s">
        <v>46687</v>
      </c>
      <c r="T1794" t="s">
        <v>48219</v>
      </c>
      <c r="U1794" t="s">
        <v>50290</v>
      </c>
      <c r="W1794" t="s">
        <v>43384</v>
      </c>
      <c r="X1794" t="s">
        <v>46572</v>
      </c>
    </row>
    <row r="1795" spans="1:24">
      <c r="A1795">
        <f>HYPERLINK("https://www.philgeps.gov.ph/GEPSNONPILOT/Tender/SplashBidNoticeAbstractUI.aspx?menuIndex=3&amp;refID=7066499&amp;Result=3","7066499")</f>
        <v>0</v>
      </c>
      <c r="B1795" t="s">
        <v>774</v>
      </c>
      <c r="C1795" t="s">
        <v>5270</v>
      </c>
      <c r="D1795" t="s">
        <v>18842</v>
      </c>
      <c r="E1795" t="s">
        <v>20541</v>
      </c>
      <c r="F1795" t="s">
        <v>32664</v>
      </c>
      <c r="G1795" t="s">
        <v>32671</v>
      </c>
      <c r="H1795" t="s">
        <v>12635</v>
      </c>
      <c r="I1795" t="s">
        <v>10590</v>
      </c>
      <c r="J1795" t="s">
        <v>33387</v>
      </c>
      <c r="K1795" t="s">
        <v>42283</v>
      </c>
      <c r="M1795" t="s">
        <v>43365</v>
      </c>
      <c r="N1795" t="s">
        <v>46569</v>
      </c>
      <c r="O1795" t="s">
        <v>46570</v>
      </c>
      <c r="P1795">
        <v>0</v>
      </c>
      <c r="Q1795">
        <v>0</v>
      </c>
      <c r="R1795" t="s">
        <v>46571</v>
      </c>
      <c r="S1795" t="s">
        <v>46687</v>
      </c>
      <c r="T1795" t="s">
        <v>48228</v>
      </c>
      <c r="U1795" t="s">
        <v>50291</v>
      </c>
      <c r="W1795" t="s">
        <v>43365</v>
      </c>
      <c r="X1795" t="s">
        <v>46572</v>
      </c>
    </row>
    <row r="1796" spans="1:24">
      <c r="A1796">
        <f>HYPERLINK("https://www.philgeps.gov.ph/GEPSNONPILOT/Tender/SplashBidNoticeAbstractUI.aspx?menuIndex=3&amp;refID=7066498&amp;Result=3","7066498")</f>
        <v>0</v>
      </c>
      <c r="B1796" t="s">
        <v>793</v>
      </c>
      <c r="C1796" t="s">
        <v>5271</v>
      </c>
      <c r="D1796" t="s">
        <v>18790</v>
      </c>
      <c r="E1796" t="s">
        <v>20542</v>
      </c>
      <c r="F1796" t="s">
        <v>32664</v>
      </c>
      <c r="G1796" t="s">
        <v>32672</v>
      </c>
      <c r="H1796" t="s">
        <v>32683</v>
      </c>
      <c r="I1796" t="s">
        <v>10627</v>
      </c>
      <c r="J1796" t="s">
        <v>34121</v>
      </c>
      <c r="K1796" t="s">
        <v>42284</v>
      </c>
      <c r="M1796" t="s">
        <v>43385</v>
      </c>
      <c r="N1796" t="s">
        <v>46569</v>
      </c>
      <c r="O1796" t="s">
        <v>46570</v>
      </c>
      <c r="P1796">
        <v>0</v>
      </c>
      <c r="Q1796">
        <v>0</v>
      </c>
      <c r="R1796" t="s">
        <v>46571</v>
      </c>
      <c r="S1796" t="s">
        <v>46687</v>
      </c>
      <c r="T1796" t="s">
        <v>48416</v>
      </c>
      <c r="U1796" t="s">
        <v>50292</v>
      </c>
      <c r="W1796" t="s">
        <v>43385</v>
      </c>
      <c r="X1796" t="s">
        <v>46572</v>
      </c>
    </row>
    <row r="1797" spans="1:24">
      <c r="A1797">
        <f>HYPERLINK("https://www.philgeps.gov.ph/GEPSNONPILOT/Tender/SplashBidNoticeAbstractUI.aspx?menuIndex=3&amp;refID=7066497&amp;Result=3","7066497")</f>
        <v>0</v>
      </c>
      <c r="B1797" t="s">
        <v>788</v>
      </c>
      <c r="C1797" t="s">
        <v>5272</v>
      </c>
      <c r="D1797" t="s">
        <v>18798</v>
      </c>
      <c r="E1797" t="s">
        <v>20543</v>
      </c>
      <c r="F1797" t="s">
        <v>32664</v>
      </c>
      <c r="G1797" t="s">
        <v>32672</v>
      </c>
      <c r="H1797" t="s">
        <v>32681</v>
      </c>
      <c r="I1797" t="s">
        <v>32681</v>
      </c>
      <c r="J1797" t="s">
        <v>32853</v>
      </c>
      <c r="K1797" t="s">
        <v>42334</v>
      </c>
      <c r="M1797" t="s">
        <v>43380</v>
      </c>
      <c r="N1797" t="s">
        <v>46569</v>
      </c>
      <c r="O1797" t="s">
        <v>46570</v>
      </c>
      <c r="P1797">
        <v>0</v>
      </c>
      <c r="Q1797">
        <v>2</v>
      </c>
      <c r="R1797" t="s">
        <v>46571</v>
      </c>
      <c r="S1797" t="s">
        <v>46687</v>
      </c>
      <c r="T1797" t="s">
        <v>48223</v>
      </c>
      <c r="U1797" t="s">
        <v>50283</v>
      </c>
      <c r="W1797" t="s">
        <v>43380</v>
      </c>
      <c r="X1797" t="s">
        <v>46572</v>
      </c>
    </row>
    <row r="1798" spans="1:24">
      <c r="A1798">
        <f>HYPERLINK("https://www.philgeps.gov.ph/GEPSNONPILOT/Tender/SplashBidNoticeAbstractUI.aspx?menuIndex=3&amp;refID=7066496&amp;Result=3","7066496")</f>
        <v>0</v>
      </c>
      <c r="B1798" t="s">
        <v>689</v>
      </c>
      <c r="C1798" t="s">
        <v>5273</v>
      </c>
      <c r="D1798" t="s">
        <v>18800</v>
      </c>
      <c r="E1798" t="s">
        <v>20544</v>
      </c>
      <c r="F1798" t="s">
        <v>32664</v>
      </c>
      <c r="G1798" t="s">
        <v>32671</v>
      </c>
      <c r="H1798" t="s">
        <v>12635</v>
      </c>
      <c r="I1798" t="s">
        <v>32699</v>
      </c>
      <c r="J1798" t="s">
        <v>32898</v>
      </c>
      <c r="K1798" t="s">
        <v>42281</v>
      </c>
      <c r="M1798" t="s">
        <v>43276</v>
      </c>
      <c r="N1798" t="s">
        <v>46569</v>
      </c>
      <c r="O1798" t="s">
        <v>46570</v>
      </c>
      <c r="P1798">
        <v>0</v>
      </c>
      <c r="Q1798">
        <v>0</v>
      </c>
      <c r="R1798" t="s">
        <v>46571</v>
      </c>
      <c r="S1798" t="s">
        <v>46687</v>
      </c>
      <c r="T1798" t="s">
        <v>48293</v>
      </c>
      <c r="U1798" t="s">
        <v>50293</v>
      </c>
      <c r="V1798" t="s">
        <v>61795</v>
      </c>
      <c r="W1798" t="s">
        <v>43276</v>
      </c>
      <c r="X1798" t="s">
        <v>46572</v>
      </c>
    </row>
    <row r="1799" spans="1:24">
      <c r="A1799">
        <f>HYPERLINK("https://www.philgeps.gov.ph/GEPSNONPILOT/Tender/SplashBidNoticeAbstractUI.aspx?menuIndex=3&amp;refID=7066476&amp;Result=3","7066476")</f>
        <v>0</v>
      </c>
      <c r="B1799" t="s">
        <v>794</v>
      </c>
      <c r="C1799" t="s">
        <v>5274</v>
      </c>
      <c r="D1799" t="s">
        <v>18806</v>
      </c>
      <c r="E1799" t="s">
        <v>20545</v>
      </c>
      <c r="F1799" t="s">
        <v>32664</v>
      </c>
      <c r="G1799" t="s">
        <v>32677</v>
      </c>
      <c r="H1799" t="s">
        <v>12635</v>
      </c>
      <c r="I1799" t="s">
        <v>32710</v>
      </c>
      <c r="J1799" t="s">
        <v>34122</v>
      </c>
      <c r="K1799" t="s">
        <v>42289</v>
      </c>
      <c r="M1799" t="s">
        <v>43386</v>
      </c>
      <c r="N1799" t="s">
        <v>46569</v>
      </c>
      <c r="O1799" t="s">
        <v>46570</v>
      </c>
      <c r="P1799">
        <v>0</v>
      </c>
      <c r="Q1799">
        <v>0</v>
      </c>
      <c r="R1799" t="s">
        <v>46571</v>
      </c>
      <c r="S1799" t="s">
        <v>46687</v>
      </c>
      <c r="T1799" t="s">
        <v>48219</v>
      </c>
      <c r="U1799" t="s">
        <v>50294</v>
      </c>
      <c r="W1799" t="s">
        <v>43386</v>
      </c>
      <c r="X1799" t="s">
        <v>46572</v>
      </c>
    </row>
    <row r="1800" spans="1:24">
      <c r="A1800">
        <f>HYPERLINK("https://www.philgeps.gov.ph/GEPSNONPILOT/Tender/SplashBidNoticeAbstractUI.aspx?menuIndex=3&amp;refID=7066477&amp;Result=3","7066477")</f>
        <v>0</v>
      </c>
      <c r="B1800" t="s">
        <v>414</v>
      </c>
      <c r="C1800" t="s">
        <v>5275</v>
      </c>
      <c r="D1800" t="s">
        <v>18799</v>
      </c>
      <c r="E1800" t="s">
        <v>20546</v>
      </c>
      <c r="F1800" t="s">
        <v>32664</v>
      </c>
      <c r="G1800" t="s">
        <v>32675</v>
      </c>
      <c r="H1800" t="s">
        <v>12635</v>
      </c>
      <c r="I1800" t="s">
        <v>8730</v>
      </c>
      <c r="J1800" t="s">
        <v>32842</v>
      </c>
      <c r="K1800" t="s">
        <v>42281</v>
      </c>
      <c r="M1800" t="s">
        <v>42985</v>
      </c>
      <c r="N1800" t="s">
        <v>46569</v>
      </c>
      <c r="O1800" t="s">
        <v>46570</v>
      </c>
      <c r="P1800">
        <v>0</v>
      </c>
      <c r="Q1800">
        <v>1</v>
      </c>
      <c r="R1800" t="s">
        <v>46571</v>
      </c>
      <c r="S1800" t="s">
        <v>46687</v>
      </c>
      <c r="T1800" t="s">
        <v>48256</v>
      </c>
      <c r="U1800" t="s">
        <v>50295</v>
      </c>
      <c r="W1800" t="s">
        <v>63475</v>
      </c>
      <c r="X1800" t="s">
        <v>46572</v>
      </c>
    </row>
    <row r="1801" spans="1:24">
      <c r="A1801">
        <f>HYPERLINK("https://www.philgeps.gov.ph/GEPSNONPILOT/Tender/SplashBidNoticeAbstractUI.aspx?menuIndex=3&amp;refID=7066472&amp;Result=3","7066472")</f>
        <v>0</v>
      </c>
      <c r="B1801" t="s">
        <v>24</v>
      </c>
      <c r="C1801" t="s">
        <v>5276</v>
      </c>
      <c r="D1801" t="s">
        <v>18781</v>
      </c>
      <c r="E1801" t="s">
        <v>20547</v>
      </c>
      <c r="F1801" t="s">
        <v>32664</v>
      </c>
      <c r="G1801" t="s">
        <v>32671</v>
      </c>
      <c r="H1801" t="s">
        <v>12635</v>
      </c>
      <c r="I1801" t="s">
        <v>32684</v>
      </c>
      <c r="J1801" t="s">
        <v>32961</v>
      </c>
      <c r="K1801" t="s">
        <v>42281</v>
      </c>
      <c r="M1801" t="s">
        <v>42586</v>
      </c>
      <c r="N1801" t="s">
        <v>46569</v>
      </c>
      <c r="O1801" t="s">
        <v>46570</v>
      </c>
      <c r="P1801">
        <v>0</v>
      </c>
      <c r="Q1801">
        <v>6</v>
      </c>
      <c r="R1801" t="s">
        <v>46571</v>
      </c>
      <c r="S1801" t="s">
        <v>46687</v>
      </c>
      <c r="T1801" t="s">
        <v>48211</v>
      </c>
      <c r="U1801" t="s">
        <v>50296</v>
      </c>
      <c r="W1801" t="s">
        <v>42586</v>
      </c>
      <c r="X1801" t="s">
        <v>46572</v>
      </c>
    </row>
    <row r="1802" spans="1:24">
      <c r="A1802">
        <f>HYPERLINK("https://www.philgeps.gov.ph/GEPSNONPILOT/Tender/SplashBidNoticeAbstractUI.aspx?menuIndex=3&amp;refID=7066501&amp;Result=3","7066501")</f>
        <v>0</v>
      </c>
      <c r="B1802" t="s">
        <v>736</v>
      </c>
      <c r="C1802" t="s">
        <v>5277</v>
      </c>
      <c r="D1802" t="s">
        <v>18851</v>
      </c>
      <c r="E1802" t="s">
        <v>19010</v>
      </c>
      <c r="F1802" t="s">
        <v>32664</v>
      </c>
      <c r="G1802" t="s">
        <v>32671</v>
      </c>
      <c r="H1802" t="s">
        <v>12635</v>
      </c>
      <c r="I1802" t="s">
        <v>32710</v>
      </c>
      <c r="J1802" t="s">
        <v>33311</v>
      </c>
      <c r="K1802" t="s">
        <v>42283</v>
      </c>
      <c r="M1802" t="s">
        <v>43325</v>
      </c>
      <c r="N1802" t="s">
        <v>46569</v>
      </c>
      <c r="O1802" t="s">
        <v>46570</v>
      </c>
      <c r="P1802">
        <v>0</v>
      </c>
      <c r="Q1802">
        <v>1</v>
      </c>
      <c r="R1802" t="s">
        <v>46571</v>
      </c>
      <c r="S1802" t="s">
        <v>46687</v>
      </c>
      <c r="T1802" t="s">
        <v>48256</v>
      </c>
      <c r="U1802" t="s">
        <v>49970</v>
      </c>
      <c r="W1802" t="s">
        <v>43325</v>
      </c>
      <c r="X1802" t="s">
        <v>46572</v>
      </c>
    </row>
    <row r="1803" spans="1:24">
      <c r="A1803">
        <f>HYPERLINK("https://www.philgeps.gov.ph/GEPSNONPILOT/Tender/SplashBidNoticeAbstractUI.aspx?menuIndex=3&amp;refID=7066500&amp;Result=3","7066500")</f>
        <v>0</v>
      </c>
      <c r="B1803" t="s">
        <v>231</v>
      </c>
      <c r="C1803" t="s">
        <v>5278</v>
      </c>
      <c r="D1803" t="s">
        <v>18845</v>
      </c>
      <c r="E1803" t="s">
        <v>20548</v>
      </c>
      <c r="F1803" t="s">
        <v>32664</v>
      </c>
      <c r="G1803" t="s">
        <v>32672</v>
      </c>
      <c r="H1803" t="s">
        <v>32683</v>
      </c>
      <c r="I1803" t="s">
        <v>10627</v>
      </c>
      <c r="J1803" t="s">
        <v>34123</v>
      </c>
      <c r="K1803" t="s">
        <v>42298</v>
      </c>
      <c r="M1803" t="s">
        <v>43225</v>
      </c>
      <c r="N1803" t="s">
        <v>46569</v>
      </c>
      <c r="O1803" t="s">
        <v>46570</v>
      </c>
      <c r="P1803">
        <v>0</v>
      </c>
      <c r="Q1803">
        <v>3</v>
      </c>
      <c r="R1803" t="s">
        <v>46571</v>
      </c>
      <c r="S1803" t="s">
        <v>46687</v>
      </c>
      <c r="T1803" t="s">
        <v>48360</v>
      </c>
      <c r="U1803" t="s">
        <v>50297</v>
      </c>
      <c r="W1803" t="s">
        <v>43225</v>
      </c>
      <c r="X1803" t="s">
        <v>46572</v>
      </c>
    </row>
    <row r="1804" spans="1:24">
      <c r="A1804">
        <f>HYPERLINK("https://www.philgeps.gov.ph/GEPSNONPILOT/Tender/SplashBidNoticeAbstractUI.aspx?menuIndex=3&amp;refID=7066471&amp;Result=3","7066471")</f>
        <v>0</v>
      </c>
      <c r="B1804" t="s">
        <v>772</v>
      </c>
      <c r="C1804" t="s">
        <v>5279</v>
      </c>
      <c r="D1804" t="s">
        <v>18804</v>
      </c>
      <c r="E1804" t="s">
        <v>20473</v>
      </c>
      <c r="F1804" t="s">
        <v>32664</v>
      </c>
      <c r="G1804" t="s">
        <v>32671</v>
      </c>
      <c r="H1804" t="s">
        <v>12635</v>
      </c>
      <c r="I1804" t="s">
        <v>6118</v>
      </c>
      <c r="J1804" t="s">
        <v>34124</v>
      </c>
      <c r="K1804" t="s">
        <v>42295</v>
      </c>
      <c r="M1804" t="s">
        <v>43363</v>
      </c>
      <c r="N1804" t="s">
        <v>46569</v>
      </c>
      <c r="O1804" t="s">
        <v>46570</v>
      </c>
      <c r="P1804">
        <v>0</v>
      </c>
      <c r="Q1804">
        <v>0</v>
      </c>
      <c r="R1804" t="s">
        <v>46571</v>
      </c>
      <c r="S1804" t="s">
        <v>46687</v>
      </c>
      <c r="T1804" t="s">
        <v>48410</v>
      </c>
      <c r="U1804" t="s">
        <v>50298</v>
      </c>
      <c r="W1804" t="s">
        <v>43363</v>
      </c>
      <c r="X1804" t="s">
        <v>46572</v>
      </c>
    </row>
    <row r="1805" spans="1:24">
      <c r="A1805">
        <f>HYPERLINK("https://www.philgeps.gov.ph/GEPSNONPILOT/Tender/SplashBidNoticeAbstractUI.aspx?menuIndex=3&amp;refID=7066539&amp;Result=3","7066539")</f>
        <v>0</v>
      </c>
      <c r="B1805" t="s">
        <v>719</v>
      </c>
      <c r="C1805" t="s">
        <v>5280</v>
      </c>
      <c r="D1805" t="s">
        <v>18812</v>
      </c>
      <c r="E1805" t="s">
        <v>20549</v>
      </c>
      <c r="F1805" t="s">
        <v>32664</v>
      </c>
      <c r="G1805" t="s">
        <v>32671</v>
      </c>
      <c r="H1805" t="s">
        <v>12635</v>
      </c>
      <c r="I1805" t="s">
        <v>4439</v>
      </c>
      <c r="J1805" t="s">
        <v>34125</v>
      </c>
      <c r="K1805" t="s">
        <v>42284</v>
      </c>
      <c r="M1805" t="s">
        <v>43306</v>
      </c>
      <c r="N1805" t="s">
        <v>46569</v>
      </c>
      <c r="O1805" t="s">
        <v>46570</v>
      </c>
      <c r="P1805">
        <v>0</v>
      </c>
      <c r="Q1805">
        <v>0</v>
      </c>
      <c r="R1805" t="s">
        <v>46571</v>
      </c>
      <c r="S1805" t="s">
        <v>46687</v>
      </c>
      <c r="T1805" t="s">
        <v>48230</v>
      </c>
      <c r="U1805" t="s">
        <v>50299</v>
      </c>
      <c r="W1805" t="s">
        <v>43306</v>
      </c>
      <c r="X1805" t="s">
        <v>46572</v>
      </c>
    </row>
    <row r="1806" spans="1:24">
      <c r="A1806">
        <f>HYPERLINK("https://www.philgeps.gov.ph/GEPSNONPILOT/Tender/SplashBidNoticeAbstractUI.aspx?menuIndex=3&amp;refID=7066488&amp;Result=3","7066488")</f>
        <v>0</v>
      </c>
      <c r="B1806" t="s">
        <v>690</v>
      </c>
      <c r="C1806" t="s">
        <v>5281</v>
      </c>
      <c r="D1806" t="s">
        <v>18781</v>
      </c>
      <c r="E1806" t="s">
        <v>20550</v>
      </c>
      <c r="F1806" t="s">
        <v>32664</v>
      </c>
      <c r="G1806" t="s">
        <v>32672</v>
      </c>
      <c r="H1806" t="s">
        <v>32683</v>
      </c>
      <c r="I1806" t="s">
        <v>10627</v>
      </c>
      <c r="J1806" t="s">
        <v>34087</v>
      </c>
      <c r="K1806" t="s">
        <v>42369</v>
      </c>
      <c r="L1806" t="s">
        <v>690</v>
      </c>
      <c r="M1806" t="s">
        <v>43277</v>
      </c>
      <c r="N1806" t="s">
        <v>46569</v>
      </c>
      <c r="O1806" t="s">
        <v>46570</v>
      </c>
      <c r="P1806">
        <v>0</v>
      </c>
      <c r="Q1806">
        <v>0</v>
      </c>
      <c r="R1806" t="s">
        <v>46571</v>
      </c>
      <c r="S1806" t="s">
        <v>46687</v>
      </c>
      <c r="T1806" t="s">
        <v>48360</v>
      </c>
      <c r="U1806" t="s">
        <v>50079</v>
      </c>
      <c r="W1806" t="s">
        <v>43277</v>
      </c>
      <c r="X1806" t="s">
        <v>46572</v>
      </c>
    </row>
    <row r="1807" spans="1:24">
      <c r="A1807">
        <f>HYPERLINK("https://www.philgeps.gov.ph/GEPSNONPILOT/Tender/SplashBidNoticeAbstractUI.aspx?menuIndex=3&amp;refID=7066470&amp;Result=3","7066470")</f>
        <v>0</v>
      </c>
      <c r="B1807" t="s">
        <v>689</v>
      </c>
      <c r="C1807" t="s">
        <v>4874</v>
      </c>
      <c r="D1807" t="s">
        <v>18800</v>
      </c>
      <c r="E1807" t="s">
        <v>20551</v>
      </c>
      <c r="F1807" t="s">
        <v>32664</v>
      </c>
      <c r="G1807" t="s">
        <v>32671</v>
      </c>
      <c r="H1807" t="s">
        <v>12635</v>
      </c>
      <c r="I1807" t="s">
        <v>6168</v>
      </c>
      <c r="J1807" t="s">
        <v>34126</v>
      </c>
      <c r="K1807" t="s">
        <v>42281</v>
      </c>
      <c r="M1807" t="s">
        <v>43276</v>
      </c>
      <c r="N1807" t="s">
        <v>46569</v>
      </c>
      <c r="O1807" t="s">
        <v>46570</v>
      </c>
      <c r="P1807">
        <v>0</v>
      </c>
      <c r="Q1807">
        <v>0</v>
      </c>
      <c r="R1807" t="s">
        <v>46571</v>
      </c>
      <c r="S1807" t="s">
        <v>46687</v>
      </c>
      <c r="T1807" t="s">
        <v>48293</v>
      </c>
      <c r="U1807" t="s">
        <v>49404</v>
      </c>
      <c r="V1807" t="s">
        <v>61795</v>
      </c>
      <c r="W1807" t="s">
        <v>43276</v>
      </c>
      <c r="X1807" t="s">
        <v>46572</v>
      </c>
    </row>
    <row r="1808" spans="1:24">
      <c r="A1808">
        <f>HYPERLINK("https://www.philgeps.gov.ph/GEPSNONPILOT/Tender/SplashBidNoticeAbstractUI.aspx?menuIndex=3&amp;refID=7066495&amp;Result=3","7066495")</f>
        <v>0</v>
      </c>
      <c r="B1808" t="s">
        <v>444</v>
      </c>
      <c r="C1808" t="s">
        <v>5282</v>
      </c>
      <c r="D1808" t="s">
        <v>18843</v>
      </c>
      <c r="E1808" t="s">
        <v>20552</v>
      </c>
      <c r="F1808" t="s">
        <v>32664</v>
      </c>
      <c r="G1808" t="s">
        <v>32671</v>
      </c>
      <c r="H1808" t="s">
        <v>12635</v>
      </c>
      <c r="I1808" t="s">
        <v>10361</v>
      </c>
      <c r="J1808" t="s">
        <v>34127</v>
      </c>
      <c r="K1808" t="s">
        <v>42283</v>
      </c>
      <c r="M1808" t="s">
        <v>43017</v>
      </c>
      <c r="N1808" t="s">
        <v>46569</v>
      </c>
      <c r="O1808" t="s">
        <v>46570</v>
      </c>
      <c r="P1808">
        <v>0</v>
      </c>
      <c r="Q1808">
        <v>0</v>
      </c>
      <c r="R1808" t="s">
        <v>46571</v>
      </c>
      <c r="S1808" t="s">
        <v>46687</v>
      </c>
      <c r="T1808" t="s">
        <v>48297</v>
      </c>
      <c r="U1808" t="s">
        <v>49565</v>
      </c>
      <c r="W1808" t="s">
        <v>43017</v>
      </c>
      <c r="X1808" t="s">
        <v>46572</v>
      </c>
    </row>
    <row r="1809" spans="1:24">
      <c r="A1809">
        <f>HYPERLINK("https://www.philgeps.gov.ph/GEPSNONPILOT/Tender/SplashBidNoticeAbstractUI.aspx?menuIndex=3&amp;refID=7066536&amp;Result=3","7066536")</f>
        <v>0</v>
      </c>
      <c r="B1809" t="s">
        <v>795</v>
      </c>
      <c r="C1809" t="s">
        <v>5283</v>
      </c>
      <c r="D1809" t="s">
        <v>18781</v>
      </c>
      <c r="E1809" t="s">
        <v>20553</v>
      </c>
      <c r="F1809" t="s">
        <v>32664</v>
      </c>
      <c r="G1809" t="s">
        <v>32674</v>
      </c>
      <c r="H1809" t="s">
        <v>12635</v>
      </c>
      <c r="I1809" t="s">
        <v>9486</v>
      </c>
      <c r="J1809" t="s">
        <v>33338</v>
      </c>
      <c r="K1809" t="s">
        <v>42289</v>
      </c>
      <c r="M1809" t="s">
        <v>43387</v>
      </c>
      <c r="N1809" t="s">
        <v>46569</v>
      </c>
      <c r="O1809" t="s">
        <v>46570</v>
      </c>
      <c r="P1809">
        <v>0</v>
      </c>
      <c r="Q1809">
        <v>0</v>
      </c>
      <c r="R1809" t="s">
        <v>46571</v>
      </c>
      <c r="S1809" t="s">
        <v>46687</v>
      </c>
      <c r="T1809" t="s">
        <v>48226</v>
      </c>
      <c r="U1809" t="s">
        <v>50300</v>
      </c>
      <c r="W1809" t="s">
        <v>43387</v>
      </c>
      <c r="X1809" t="s">
        <v>46572</v>
      </c>
    </row>
    <row r="1810" spans="1:24">
      <c r="A1810">
        <f>HYPERLINK("https://www.philgeps.gov.ph/GEPSNONPILOT/Tender/SplashBidNoticeAbstractUI.aspx?menuIndex=3&amp;refID=7066535&amp;Result=3","7066535")</f>
        <v>0</v>
      </c>
      <c r="B1810" t="s">
        <v>796</v>
      </c>
      <c r="C1810" t="s">
        <v>5284</v>
      </c>
      <c r="D1810" t="s">
        <v>18801</v>
      </c>
      <c r="E1810" t="s">
        <v>20554</v>
      </c>
      <c r="F1810" t="s">
        <v>32664</v>
      </c>
      <c r="G1810" t="s">
        <v>32672</v>
      </c>
      <c r="H1810" t="s">
        <v>32683</v>
      </c>
      <c r="I1810" t="s">
        <v>10627</v>
      </c>
      <c r="J1810" t="s">
        <v>32962</v>
      </c>
      <c r="K1810" t="s">
        <v>42305</v>
      </c>
      <c r="M1810" t="s">
        <v>43388</v>
      </c>
      <c r="N1810" t="s">
        <v>46569</v>
      </c>
      <c r="O1810" t="s">
        <v>46570</v>
      </c>
      <c r="P1810">
        <v>0</v>
      </c>
      <c r="Q1810">
        <v>1</v>
      </c>
      <c r="R1810" t="s">
        <v>46571</v>
      </c>
      <c r="S1810" t="s">
        <v>46687</v>
      </c>
      <c r="T1810" t="s">
        <v>48275</v>
      </c>
      <c r="U1810" t="s">
        <v>50301</v>
      </c>
      <c r="W1810" t="s">
        <v>63490</v>
      </c>
      <c r="X1810" t="s">
        <v>46572</v>
      </c>
    </row>
    <row r="1811" spans="1:24">
      <c r="A1811">
        <f>HYPERLINK("https://www.philgeps.gov.ph/GEPSNONPILOT/Tender/SplashBidNoticeAbstractUI.aspx?menuIndex=3&amp;refID=7066538&amp;Result=3","7066538")</f>
        <v>0</v>
      </c>
      <c r="B1811" t="s">
        <v>134</v>
      </c>
      <c r="C1811" t="s">
        <v>5285</v>
      </c>
      <c r="D1811" t="s">
        <v>18784</v>
      </c>
      <c r="E1811" t="s">
        <v>20555</v>
      </c>
      <c r="F1811" t="s">
        <v>32664</v>
      </c>
      <c r="G1811" t="s">
        <v>32675</v>
      </c>
      <c r="H1811" t="s">
        <v>12635</v>
      </c>
      <c r="I1811" t="s">
        <v>8730</v>
      </c>
      <c r="J1811" t="s">
        <v>34128</v>
      </c>
      <c r="K1811" t="s">
        <v>42284</v>
      </c>
      <c r="M1811" t="s">
        <v>42979</v>
      </c>
      <c r="N1811" t="s">
        <v>46569</v>
      </c>
      <c r="O1811" t="s">
        <v>46570</v>
      </c>
      <c r="P1811">
        <v>0</v>
      </c>
      <c r="Q1811">
        <v>0</v>
      </c>
      <c r="R1811" t="s">
        <v>46571</v>
      </c>
      <c r="S1811" t="s">
        <v>46687</v>
      </c>
      <c r="T1811" t="s">
        <v>48256</v>
      </c>
      <c r="U1811" t="s">
        <v>50302</v>
      </c>
      <c r="W1811" t="s">
        <v>42979</v>
      </c>
      <c r="X1811" t="s">
        <v>46572</v>
      </c>
    </row>
    <row r="1812" spans="1:24">
      <c r="A1812">
        <f>HYPERLINK("https://www.philgeps.gov.ph/GEPSNONPILOT/Tender/SplashBidNoticeAbstractUI.aspx?menuIndex=3&amp;refID=7066530&amp;Result=3","7066530")</f>
        <v>0</v>
      </c>
      <c r="B1812" t="s">
        <v>797</v>
      </c>
      <c r="C1812" t="s">
        <v>5286</v>
      </c>
      <c r="D1812" t="s">
        <v>18792</v>
      </c>
      <c r="E1812" t="s">
        <v>20556</v>
      </c>
      <c r="F1812" t="s">
        <v>32664</v>
      </c>
      <c r="G1812" t="s">
        <v>32672</v>
      </c>
      <c r="H1812" t="s">
        <v>12635</v>
      </c>
      <c r="I1812" t="s">
        <v>32704</v>
      </c>
      <c r="J1812" t="s">
        <v>34129</v>
      </c>
      <c r="K1812" t="s">
        <v>42314</v>
      </c>
      <c r="M1812" t="s">
        <v>43389</v>
      </c>
      <c r="N1812" t="s">
        <v>46569</v>
      </c>
      <c r="O1812" t="s">
        <v>46570</v>
      </c>
      <c r="P1812">
        <v>0</v>
      </c>
      <c r="Q1812">
        <v>2</v>
      </c>
      <c r="R1812" t="s">
        <v>46571</v>
      </c>
      <c r="S1812" t="s">
        <v>46687</v>
      </c>
      <c r="T1812" t="s">
        <v>48417</v>
      </c>
      <c r="U1812" t="s">
        <v>50303</v>
      </c>
      <c r="V1812" t="s">
        <v>61812</v>
      </c>
      <c r="W1812" t="s">
        <v>43389</v>
      </c>
      <c r="X1812" t="s">
        <v>46572</v>
      </c>
    </row>
    <row r="1813" spans="1:24">
      <c r="A1813">
        <f>HYPERLINK("https://www.philgeps.gov.ph/GEPSNONPILOT/Tender/SplashBidNoticeAbstractUI.aspx?menuIndex=3&amp;refID=7066529&amp;Result=3","7066529")</f>
        <v>0</v>
      </c>
      <c r="B1813" t="s">
        <v>798</v>
      </c>
      <c r="C1813" t="s">
        <v>5287</v>
      </c>
      <c r="D1813" t="s">
        <v>18830</v>
      </c>
      <c r="E1813" t="s">
        <v>20557</v>
      </c>
      <c r="F1813" t="s">
        <v>32664</v>
      </c>
      <c r="G1813" t="s">
        <v>32672</v>
      </c>
      <c r="H1813" t="s">
        <v>12635</v>
      </c>
      <c r="I1813" t="s">
        <v>10370</v>
      </c>
      <c r="J1813" t="s">
        <v>34130</v>
      </c>
      <c r="K1813" t="s">
        <v>42289</v>
      </c>
      <c r="M1813" t="s">
        <v>43390</v>
      </c>
      <c r="N1813" t="s">
        <v>46569</v>
      </c>
      <c r="O1813" t="s">
        <v>46570</v>
      </c>
      <c r="P1813">
        <v>0</v>
      </c>
      <c r="Q1813">
        <v>1</v>
      </c>
      <c r="R1813" t="s">
        <v>46571</v>
      </c>
      <c r="S1813" t="s">
        <v>46687</v>
      </c>
      <c r="T1813" t="s">
        <v>48333</v>
      </c>
      <c r="U1813" t="s">
        <v>50304</v>
      </c>
      <c r="V1813" t="s">
        <v>61813</v>
      </c>
      <c r="W1813" t="s">
        <v>43390</v>
      </c>
      <c r="X1813" t="s">
        <v>46572</v>
      </c>
    </row>
    <row r="1814" spans="1:24">
      <c r="A1814">
        <f>HYPERLINK("https://www.philgeps.gov.ph/GEPSNONPILOT/Tender/SplashBidNoticeAbstractUI.aspx?menuIndex=3&amp;refID=7066531&amp;Result=3","7066531")</f>
        <v>0</v>
      </c>
      <c r="B1814" t="s">
        <v>690</v>
      </c>
      <c r="C1814" t="s">
        <v>5288</v>
      </c>
      <c r="D1814" t="s">
        <v>18781</v>
      </c>
      <c r="E1814" t="s">
        <v>20558</v>
      </c>
      <c r="F1814" t="s">
        <v>32664</v>
      </c>
      <c r="G1814" t="s">
        <v>32672</v>
      </c>
      <c r="H1814" t="s">
        <v>32683</v>
      </c>
      <c r="I1814" t="s">
        <v>10627</v>
      </c>
      <c r="J1814" t="s">
        <v>34131</v>
      </c>
      <c r="K1814" t="s">
        <v>42311</v>
      </c>
      <c r="L1814" t="s">
        <v>690</v>
      </c>
      <c r="M1814" t="s">
        <v>43277</v>
      </c>
      <c r="N1814" t="s">
        <v>46569</v>
      </c>
      <c r="O1814" t="s">
        <v>46570</v>
      </c>
      <c r="P1814">
        <v>0</v>
      </c>
      <c r="Q1814">
        <v>0</v>
      </c>
      <c r="R1814" t="s">
        <v>46571</v>
      </c>
      <c r="S1814" t="s">
        <v>46687</v>
      </c>
      <c r="T1814" t="s">
        <v>48360</v>
      </c>
      <c r="U1814" t="s">
        <v>50079</v>
      </c>
      <c r="W1814" t="s">
        <v>43277</v>
      </c>
      <c r="X1814" t="s">
        <v>46572</v>
      </c>
    </row>
    <row r="1815" spans="1:24">
      <c r="A1815">
        <f>HYPERLINK("https://www.philgeps.gov.ph/GEPSNONPILOT/Tender/SplashBidNoticeAbstractUI.aspx?menuIndex=3&amp;refID=7066528&amp;Result=3","7066528")</f>
        <v>0</v>
      </c>
      <c r="B1815" t="s">
        <v>712</v>
      </c>
      <c r="C1815" t="s">
        <v>5289</v>
      </c>
      <c r="D1815" t="s">
        <v>18845</v>
      </c>
      <c r="E1815" t="s">
        <v>20559</v>
      </c>
      <c r="F1815" t="s">
        <v>32664</v>
      </c>
      <c r="G1815" t="s">
        <v>32671</v>
      </c>
      <c r="H1815" t="s">
        <v>12635</v>
      </c>
      <c r="I1815" t="s">
        <v>4439</v>
      </c>
      <c r="J1815" t="s">
        <v>34132</v>
      </c>
      <c r="K1815" t="s">
        <v>42283</v>
      </c>
      <c r="M1815" t="s">
        <v>43299</v>
      </c>
      <c r="N1815" t="s">
        <v>46569</v>
      </c>
      <c r="O1815" t="s">
        <v>46570</v>
      </c>
      <c r="P1815">
        <v>0</v>
      </c>
      <c r="Q1815">
        <v>0</v>
      </c>
      <c r="R1815" t="s">
        <v>46571</v>
      </c>
      <c r="S1815" t="s">
        <v>46687</v>
      </c>
      <c r="T1815" t="s">
        <v>48244</v>
      </c>
      <c r="U1815" t="s">
        <v>50111</v>
      </c>
      <c r="W1815" t="s">
        <v>43299</v>
      </c>
      <c r="X1815" t="s">
        <v>46572</v>
      </c>
    </row>
    <row r="1816" spans="1:24">
      <c r="A1816">
        <f>HYPERLINK("https://www.philgeps.gov.ph/GEPSNONPILOT/Tender/SplashBidNoticeAbstractUI.aspx?menuIndex=3&amp;refID=7066527&amp;Result=3","7066527")</f>
        <v>0</v>
      </c>
      <c r="B1816" t="s">
        <v>689</v>
      </c>
      <c r="C1816" t="s">
        <v>4874</v>
      </c>
      <c r="D1816" t="s">
        <v>18800</v>
      </c>
      <c r="E1816" t="s">
        <v>20560</v>
      </c>
      <c r="F1816" t="s">
        <v>32664</v>
      </c>
      <c r="G1816" t="s">
        <v>32671</v>
      </c>
      <c r="H1816" t="s">
        <v>12635</v>
      </c>
      <c r="I1816" t="s">
        <v>6168</v>
      </c>
      <c r="J1816" t="s">
        <v>34133</v>
      </c>
      <c r="K1816" t="s">
        <v>42281</v>
      </c>
      <c r="M1816" t="s">
        <v>43276</v>
      </c>
      <c r="N1816" t="s">
        <v>46569</v>
      </c>
      <c r="O1816" t="s">
        <v>46570</v>
      </c>
      <c r="P1816">
        <v>0</v>
      </c>
      <c r="Q1816">
        <v>0</v>
      </c>
      <c r="R1816" t="s">
        <v>46571</v>
      </c>
      <c r="S1816" t="s">
        <v>46687</v>
      </c>
      <c r="T1816" t="s">
        <v>48293</v>
      </c>
      <c r="U1816" t="s">
        <v>49404</v>
      </c>
      <c r="V1816" t="s">
        <v>61795</v>
      </c>
      <c r="W1816" t="s">
        <v>43276</v>
      </c>
      <c r="X1816" t="s">
        <v>46572</v>
      </c>
    </row>
    <row r="1817" spans="1:24">
      <c r="A1817">
        <f>HYPERLINK("https://www.philgeps.gov.ph/GEPSNONPILOT/Tender/SplashBidNoticeAbstractUI.aspx?menuIndex=3&amp;refID=7066525&amp;Result=3","7066525")</f>
        <v>0</v>
      </c>
      <c r="B1817" t="s">
        <v>714</v>
      </c>
      <c r="C1817" t="s">
        <v>5290</v>
      </c>
      <c r="D1817" t="s">
        <v>18846</v>
      </c>
      <c r="E1817" t="s">
        <v>20561</v>
      </c>
      <c r="F1817" t="s">
        <v>32664</v>
      </c>
      <c r="G1817" t="s">
        <v>32671</v>
      </c>
      <c r="H1817" t="s">
        <v>12635</v>
      </c>
      <c r="I1817" t="s">
        <v>4439</v>
      </c>
      <c r="J1817" t="s">
        <v>34134</v>
      </c>
      <c r="K1817" t="s">
        <v>42281</v>
      </c>
      <c r="M1817" t="s">
        <v>43301</v>
      </c>
      <c r="N1817" t="s">
        <v>46569</v>
      </c>
      <c r="O1817" t="s">
        <v>46570</v>
      </c>
      <c r="P1817">
        <v>0</v>
      </c>
      <c r="Q1817">
        <v>0</v>
      </c>
      <c r="R1817" t="s">
        <v>46571</v>
      </c>
      <c r="S1817" t="s">
        <v>46687</v>
      </c>
      <c r="T1817" t="s">
        <v>48283</v>
      </c>
      <c r="U1817" t="s">
        <v>50115</v>
      </c>
      <c r="W1817" t="s">
        <v>43301</v>
      </c>
      <c r="X1817" t="s">
        <v>46572</v>
      </c>
    </row>
    <row r="1818" spans="1:24">
      <c r="A1818">
        <f>HYPERLINK("https://www.philgeps.gov.ph/GEPSNONPILOT/Tender/SplashBidNoticeAbstractUI.aspx?menuIndex=3&amp;refID=7066537&amp;Result=3","7066537")</f>
        <v>0</v>
      </c>
      <c r="B1818" t="s">
        <v>788</v>
      </c>
      <c r="C1818" t="s">
        <v>5291</v>
      </c>
      <c r="D1818" t="s">
        <v>18798</v>
      </c>
      <c r="E1818" t="s">
        <v>20562</v>
      </c>
      <c r="F1818" t="s">
        <v>32664</v>
      </c>
      <c r="G1818" t="s">
        <v>32672</v>
      </c>
      <c r="H1818" t="s">
        <v>32681</v>
      </c>
      <c r="I1818" t="s">
        <v>32681</v>
      </c>
      <c r="J1818" t="s">
        <v>33831</v>
      </c>
      <c r="K1818" t="s">
        <v>42334</v>
      </c>
      <c r="M1818" t="s">
        <v>43380</v>
      </c>
      <c r="N1818" t="s">
        <v>46569</v>
      </c>
      <c r="O1818" t="s">
        <v>46570</v>
      </c>
      <c r="P1818">
        <v>0</v>
      </c>
      <c r="Q1818">
        <v>1</v>
      </c>
      <c r="R1818" t="s">
        <v>46571</v>
      </c>
      <c r="S1818" t="s">
        <v>46687</v>
      </c>
      <c r="T1818" t="s">
        <v>48223</v>
      </c>
      <c r="U1818" t="s">
        <v>50305</v>
      </c>
      <c r="W1818" t="s">
        <v>43380</v>
      </c>
      <c r="X1818" t="s">
        <v>46572</v>
      </c>
    </row>
    <row r="1819" spans="1:24">
      <c r="A1819">
        <f>HYPERLINK("https://www.philgeps.gov.ph/GEPSNONPILOT/Tender/SplashBidNoticeAbstractUI.aspx?menuIndex=3&amp;refID=7066524&amp;Result=3","7066524")</f>
        <v>0</v>
      </c>
      <c r="B1819" t="s">
        <v>799</v>
      </c>
      <c r="C1819" t="s">
        <v>5292</v>
      </c>
      <c r="D1819" t="s">
        <v>18822</v>
      </c>
      <c r="E1819" t="s">
        <v>20563</v>
      </c>
      <c r="F1819" t="s">
        <v>32664</v>
      </c>
      <c r="G1819" t="s">
        <v>32674</v>
      </c>
      <c r="H1819" t="s">
        <v>12635</v>
      </c>
      <c r="I1819" t="s">
        <v>32706</v>
      </c>
      <c r="J1819" t="s">
        <v>34135</v>
      </c>
      <c r="K1819" t="s">
        <v>42281</v>
      </c>
      <c r="M1819" t="s">
        <v>43391</v>
      </c>
      <c r="N1819" t="s">
        <v>46569</v>
      </c>
      <c r="O1819" t="s">
        <v>46570</v>
      </c>
      <c r="P1819">
        <v>0</v>
      </c>
      <c r="Q1819">
        <v>0</v>
      </c>
      <c r="R1819" t="s">
        <v>46571</v>
      </c>
      <c r="S1819" t="s">
        <v>46687</v>
      </c>
      <c r="T1819" t="s">
        <v>48211</v>
      </c>
      <c r="U1819" t="s">
        <v>50306</v>
      </c>
      <c r="W1819" t="s">
        <v>43391</v>
      </c>
      <c r="X1819" t="s">
        <v>46572</v>
      </c>
    </row>
    <row r="1820" spans="1:24">
      <c r="A1820">
        <f>HYPERLINK("https://www.philgeps.gov.ph/GEPSNONPILOT/Tender/SplashBidNoticeAbstractUI.aspx?menuIndex=3&amp;refID=7066560&amp;Result=3","7066560")</f>
        <v>0</v>
      </c>
      <c r="B1820" t="s">
        <v>800</v>
      </c>
      <c r="C1820" t="s">
        <v>5293</v>
      </c>
      <c r="D1820" t="s">
        <v>18827</v>
      </c>
      <c r="E1820" t="s">
        <v>20564</v>
      </c>
      <c r="F1820" t="s">
        <v>32664</v>
      </c>
      <c r="G1820" t="s">
        <v>32674</v>
      </c>
      <c r="H1820" t="s">
        <v>12635</v>
      </c>
      <c r="I1820" t="s">
        <v>6168</v>
      </c>
      <c r="J1820" t="s">
        <v>34136</v>
      </c>
      <c r="K1820" t="s">
        <v>42284</v>
      </c>
      <c r="M1820" t="s">
        <v>43392</v>
      </c>
      <c r="N1820" t="s">
        <v>46569</v>
      </c>
      <c r="O1820" t="s">
        <v>46570</v>
      </c>
      <c r="P1820">
        <v>0</v>
      </c>
      <c r="Q1820">
        <v>0</v>
      </c>
      <c r="R1820" t="s">
        <v>46571</v>
      </c>
      <c r="S1820" t="s">
        <v>46687</v>
      </c>
      <c r="T1820" t="s">
        <v>48256</v>
      </c>
      <c r="U1820" t="s">
        <v>50307</v>
      </c>
      <c r="W1820" t="s">
        <v>43392</v>
      </c>
      <c r="X1820" t="s">
        <v>46572</v>
      </c>
    </row>
    <row r="1821" spans="1:24">
      <c r="A1821">
        <f>HYPERLINK("https://www.philgeps.gov.ph/GEPSNONPILOT/Tender/SplashBidNoticeAbstractUI.aspx?menuIndex=3&amp;refID=7066559&amp;Result=3","7066559")</f>
        <v>0</v>
      </c>
      <c r="B1821" t="s">
        <v>719</v>
      </c>
      <c r="C1821" t="s">
        <v>5294</v>
      </c>
      <c r="D1821" t="s">
        <v>18812</v>
      </c>
      <c r="E1821" t="s">
        <v>20565</v>
      </c>
      <c r="F1821" t="s">
        <v>32664</v>
      </c>
      <c r="G1821" t="s">
        <v>32671</v>
      </c>
      <c r="H1821" t="s">
        <v>12635</v>
      </c>
      <c r="I1821" t="s">
        <v>4439</v>
      </c>
      <c r="J1821" t="s">
        <v>34137</v>
      </c>
      <c r="K1821" t="s">
        <v>42284</v>
      </c>
      <c r="M1821" t="s">
        <v>43306</v>
      </c>
      <c r="N1821" t="s">
        <v>46569</v>
      </c>
      <c r="O1821" t="s">
        <v>46570</v>
      </c>
      <c r="P1821">
        <v>0</v>
      </c>
      <c r="Q1821">
        <v>0</v>
      </c>
      <c r="R1821" t="s">
        <v>46571</v>
      </c>
      <c r="S1821" t="s">
        <v>46687</v>
      </c>
      <c r="T1821" t="s">
        <v>48230</v>
      </c>
      <c r="U1821" t="s">
        <v>50308</v>
      </c>
      <c r="W1821" t="s">
        <v>43306</v>
      </c>
      <c r="X1821" t="s">
        <v>46572</v>
      </c>
    </row>
    <row r="1822" spans="1:24">
      <c r="A1822">
        <f>HYPERLINK("https://www.philgeps.gov.ph/GEPSNONPILOT/Tender/SplashBidNoticeAbstractUI.aspx?menuIndex=3&amp;refID=7066558&amp;Result=3","7066558")</f>
        <v>0</v>
      </c>
      <c r="B1822" t="s">
        <v>801</v>
      </c>
      <c r="C1822" t="s">
        <v>5295</v>
      </c>
      <c r="D1822" t="s">
        <v>18802</v>
      </c>
      <c r="E1822" t="s">
        <v>20566</v>
      </c>
      <c r="F1822" t="s">
        <v>32664</v>
      </c>
      <c r="G1822" t="s">
        <v>32672</v>
      </c>
      <c r="H1822" t="s">
        <v>32683</v>
      </c>
      <c r="I1822" t="s">
        <v>10627</v>
      </c>
      <c r="J1822" t="s">
        <v>34138</v>
      </c>
      <c r="K1822" t="s">
        <v>42373</v>
      </c>
      <c r="M1822" t="s">
        <v>43393</v>
      </c>
      <c r="N1822" t="s">
        <v>46569</v>
      </c>
      <c r="O1822" t="s">
        <v>46570</v>
      </c>
      <c r="P1822">
        <v>0</v>
      </c>
      <c r="Q1822">
        <v>0</v>
      </c>
      <c r="R1822" t="s">
        <v>46571</v>
      </c>
      <c r="S1822" t="s">
        <v>46687</v>
      </c>
      <c r="T1822" t="s">
        <v>48360</v>
      </c>
      <c r="U1822" t="s">
        <v>50309</v>
      </c>
      <c r="W1822" t="s">
        <v>43393</v>
      </c>
      <c r="X1822" t="s">
        <v>46572</v>
      </c>
    </row>
    <row r="1823" spans="1:24">
      <c r="A1823">
        <f>HYPERLINK("https://www.philgeps.gov.ph/GEPSNONPILOT/Tender/SplashBidNoticeAbstractUI.aspx?menuIndex=3&amp;refID=7066557&amp;Result=3","7066557")</f>
        <v>0</v>
      </c>
      <c r="B1823" t="s">
        <v>162</v>
      </c>
      <c r="C1823" t="s">
        <v>5296</v>
      </c>
      <c r="D1823" t="s">
        <v>18788</v>
      </c>
      <c r="E1823" t="s">
        <v>20567</v>
      </c>
      <c r="F1823" t="s">
        <v>32664</v>
      </c>
      <c r="G1823" t="s">
        <v>32672</v>
      </c>
      <c r="H1823" t="s">
        <v>12635</v>
      </c>
      <c r="I1823" t="s">
        <v>6628</v>
      </c>
      <c r="J1823" t="s">
        <v>32976</v>
      </c>
      <c r="K1823" t="s">
        <v>42289</v>
      </c>
      <c r="M1823" t="s">
        <v>42726</v>
      </c>
      <c r="N1823" t="s">
        <v>46569</v>
      </c>
      <c r="O1823" t="s">
        <v>46570</v>
      </c>
      <c r="P1823">
        <v>0</v>
      </c>
      <c r="Q1823">
        <v>0</v>
      </c>
      <c r="R1823" t="s">
        <v>46571</v>
      </c>
      <c r="S1823" t="s">
        <v>46687</v>
      </c>
      <c r="T1823" t="s">
        <v>48236</v>
      </c>
      <c r="U1823" t="s">
        <v>50310</v>
      </c>
      <c r="W1823" t="s">
        <v>42726</v>
      </c>
      <c r="X1823" t="s">
        <v>46572</v>
      </c>
    </row>
    <row r="1824" spans="1:24">
      <c r="A1824">
        <f>HYPERLINK("https://www.philgeps.gov.ph/GEPSNONPILOT/Tender/SplashBidNoticeAbstractUI.aspx?menuIndex=3&amp;refID=7066556&amp;Result=3","7066556")</f>
        <v>0</v>
      </c>
      <c r="B1824" t="s">
        <v>802</v>
      </c>
      <c r="C1824" t="s">
        <v>5297</v>
      </c>
      <c r="D1824" t="s">
        <v>18798</v>
      </c>
      <c r="E1824" t="s">
        <v>20568</v>
      </c>
      <c r="F1824" t="s">
        <v>32664</v>
      </c>
      <c r="G1824" t="s">
        <v>32672</v>
      </c>
      <c r="H1824" t="s">
        <v>12635</v>
      </c>
      <c r="I1824" t="s">
        <v>6223</v>
      </c>
      <c r="J1824" t="s">
        <v>33167</v>
      </c>
      <c r="K1824" t="s">
        <v>42281</v>
      </c>
      <c r="M1824" t="s">
        <v>43394</v>
      </c>
      <c r="N1824" t="s">
        <v>46569</v>
      </c>
      <c r="O1824" t="s">
        <v>46570</v>
      </c>
      <c r="P1824">
        <v>0</v>
      </c>
      <c r="Q1824">
        <v>0</v>
      </c>
      <c r="R1824" t="s">
        <v>46571</v>
      </c>
      <c r="S1824" t="s">
        <v>46687</v>
      </c>
      <c r="T1824" t="s">
        <v>48418</v>
      </c>
      <c r="U1824" t="s">
        <v>50311</v>
      </c>
      <c r="W1824" t="s">
        <v>43394</v>
      </c>
      <c r="X1824" t="s">
        <v>46572</v>
      </c>
    </row>
    <row r="1825" spans="1:24">
      <c r="A1825">
        <f>HYPERLINK("https://www.philgeps.gov.ph/GEPSNONPILOT/Tender/SplashBidNoticeAbstractUI.aspx?menuIndex=3&amp;refID=7066555&amp;Result=3","7066555")</f>
        <v>0</v>
      </c>
      <c r="B1825" t="s">
        <v>742</v>
      </c>
      <c r="C1825" t="s">
        <v>5298</v>
      </c>
      <c r="D1825" t="s">
        <v>18806</v>
      </c>
      <c r="E1825" t="s">
        <v>20569</v>
      </c>
      <c r="F1825" t="s">
        <v>32664</v>
      </c>
      <c r="G1825" t="s">
        <v>32671</v>
      </c>
      <c r="H1825" t="s">
        <v>12635</v>
      </c>
      <c r="I1825" t="s">
        <v>32684</v>
      </c>
      <c r="J1825" t="s">
        <v>34122</v>
      </c>
      <c r="K1825" t="s">
        <v>42303</v>
      </c>
      <c r="M1825" t="s">
        <v>43332</v>
      </c>
      <c r="N1825" t="s">
        <v>46569</v>
      </c>
      <c r="O1825" t="s">
        <v>46570</v>
      </c>
      <c r="P1825">
        <v>0</v>
      </c>
      <c r="Q1825">
        <v>2</v>
      </c>
      <c r="R1825" t="s">
        <v>46571</v>
      </c>
      <c r="S1825" t="s">
        <v>46687</v>
      </c>
      <c r="T1825" t="s">
        <v>48219</v>
      </c>
      <c r="U1825" t="s">
        <v>50312</v>
      </c>
      <c r="W1825" t="s">
        <v>43332</v>
      </c>
      <c r="X1825" t="s">
        <v>46572</v>
      </c>
    </row>
    <row r="1826" spans="1:24">
      <c r="A1826">
        <f>HYPERLINK("https://www.philgeps.gov.ph/GEPSNONPILOT/Tender/SplashBidNoticeAbstractUI.aspx?menuIndex=3&amp;refID=7066532&amp;Result=3","7066532")</f>
        <v>0</v>
      </c>
      <c r="B1826" t="s">
        <v>314</v>
      </c>
      <c r="C1826" t="s">
        <v>5299</v>
      </c>
      <c r="D1826" t="s">
        <v>18817</v>
      </c>
      <c r="E1826" t="s">
        <v>20076</v>
      </c>
      <c r="F1826" t="s">
        <v>32664</v>
      </c>
      <c r="G1826" t="s">
        <v>32672</v>
      </c>
      <c r="H1826" t="s">
        <v>12635</v>
      </c>
      <c r="I1826" t="s">
        <v>32699</v>
      </c>
      <c r="J1826" t="s">
        <v>34139</v>
      </c>
      <c r="K1826" t="s">
        <v>42281</v>
      </c>
      <c r="M1826" t="s">
        <v>42881</v>
      </c>
      <c r="N1826" t="s">
        <v>46569</v>
      </c>
      <c r="O1826" t="s">
        <v>46570</v>
      </c>
      <c r="P1826">
        <v>0</v>
      </c>
      <c r="Q1826">
        <v>0</v>
      </c>
      <c r="R1826" t="s">
        <v>46571</v>
      </c>
      <c r="S1826" t="s">
        <v>46687</v>
      </c>
      <c r="T1826" t="s">
        <v>48333</v>
      </c>
      <c r="U1826" t="s">
        <v>50313</v>
      </c>
      <c r="W1826" t="s">
        <v>42881</v>
      </c>
      <c r="X1826" t="s">
        <v>46572</v>
      </c>
    </row>
    <row r="1827" spans="1:24">
      <c r="A1827">
        <f>HYPERLINK("https://www.philgeps.gov.ph/GEPSNONPILOT/Tender/SplashBidNoticeAbstractUI.aspx?menuIndex=3&amp;refID=7066552&amp;Result=3","7066552")</f>
        <v>0</v>
      </c>
      <c r="B1827" t="s">
        <v>788</v>
      </c>
      <c r="C1827" t="s">
        <v>5300</v>
      </c>
      <c r="D1827" t="s">
        <v>18798</v>
      </c>
      <c r="E1827" t="s">
        <v>20570</v>
      </c>
      <c r="F1827" t="s">
        <v>32664</v>
      </c>
      <c r="G1827" t="s">
        <v>32672</v>
      </c>
      <c r="H1827" t="s">
        <v>32681</v>
      </c>
      <c r="I1827" t="s">
        <v>32681</v>
      </c>
      <c r="J1827" t="s">
        <v>32853</v>
      </c>
      <c r="K1827" t="s">
        <v>42334</v>
      </c>
      <c r="M1827" t="s">
        <v>43380</v>
      </c>
      <c r="N1827" t="s">
        <v>46569</v>
      </c>
      <c r="O1827" t="s">
        <v>46570</v>
      </c>
      <c r="P1827">
        <v>0</v>
      </c>
      <c r="Q1827">
        <v>0</v>
      </c>
      <c r="R1827" t="s">
        <v>46571</v>
      </c>
      <c r="S1827" t="s">
        <v>46687</v>
      </c>
      <c r="T1827" t="s">
        <v>48223</v>
      </c>
      <c r="U1827" t="s">
        <v>50283</v>
      </c>
      <c r="W1827" t="s">
        <v>43380</v>
      </c>
      <c r="X1827" t="s">
        <v>46572</v>
      </c>
    </row>
    <row r="1828" spans="1:24">
      <c r="A1828">
        <f>HYPERLINK("https://www.philgeps.gov.ph/GEPSNONPILOT/Tender/SplashBidNoticeAbstractUI.aspx?menuIndex=3&amp;refID=7066554&amp;Result=3","7066554")</f>
        <v>0</v>
      </c>
      <c r="B1828" t="s">
        <v>710</v>
      </c>
      <c r="C1828" t="s">
        <v>5301</v>
      </c>
      <c r="D1828" t="s">
        <v>18831</v>
      </c>
      <c r="E1828" t="s">
        <v>20571</v>
      </c>
      <c r="F1828" t="s">
        <v>32664</v>
      </c>
      <c r="G1828" t="s">
        <v>32672</v>
      </c>
      <c r="H1828" t="s">
        <v>32683</v>
      </c>
      <c r="I1828" t="s">
        <v>4439</v>
      </c>
      <c r="J1828" t="s">
        <v>34140</v>
      </c>
      <c r="K1828" t="s">
        <v>42290</v>
      </c>
      <c r="M1828" t="s">
        <v>43297</v>
      </c>
      <c r="N1828" t="s">
        <v>46569</v>
      </c>
      <c r="O1828" t="s">
        <v>46570</v>
      </c>
      <c r="P1828">
        <v>0</v>
      </c>
      <c r="Q1828">
        <v>1</v>
      </c>
      <c r="R1828" t="s">
        <v>46571</v>
      </c>
      <c r="S1828" t="s">
        <v>46687</v>
      </c>
      <c r="T1828" t="s">
        <v>48414</v>
      </c>
      <c r="U1828" t="s">
        <v>50314</v>
      </c>
      <c r="W1828" t="s">
        <v>43297</v>
      </c>
      <c r="X1828" t="s">
        <v>46572</v>
      </c>
    </row>
    <row r="1829" spans="1:24">
      <c r="A1829">
        <f>HYPERLINK("https://www.philgeps.gov.ph/GEPSNONPILOT/Tender/SplashBidNoticeAbstractUI.aspx?menuIndex=3&amp;refID=7066534&amp;Result=3","7066534")</f>
        <v>0</v>
      </c>
      <c r="B1829" t="s">
        <v>803</v>
      </c>
      <c r="C1829" t="s">
        <v>5302</v>
      </c>
      <c r="D1829" t="s">
        <v>18841</v>
      </c>
      <c r="E1829" t="s">
        <v>20572</v>
      </c>
      <c r="F1829" t="s">
        <v>32664</v>
      </c>
      <c r="G1829" t="s">
        <v>32672</v>
      </c>
      <c r="H1829" t="s">
        <v>32683</v>
      </c>
      <c r="I1829" t="s">
        <v>10627</v>
      </c>
      <c r="J1829" t="s">
        <v>34141</v>
      </c>
      <c r="K1829" t="s">
        <v>42311</v>
      </c>
      <c r="M1829" t="s">
        <v>43395</v>
      </c>
      <c r="N1829" t="s">
        <v>46569</v>
      </c>
      <c r="O1829" t="s">
        <v>46570</v>
      </c>
      <c r="P1829">
        <v>0</v>
      </c>
      <c r="Q1829">
        <v>0</v>
      </c>
      <c r="R1829" t="s">
        <v>46571</v>
      </c>
      <c r="S1829" t="s">
        <v>46687</v>
      </c>
      <c r="T1829" t="s">
        <v>48220</v>
      </c>
      <c r="U1829" t="s">
        <v>50315</v>
      </c>
      <c r="V1829" t="s">
        <v>61814</v>
      </c>
      <c r="W1829" t="s">
        <v>43395</v>
      </c>
      <c r="X1829" t="s">
        <v>46572</v>
      </c>
    </row>
    <row r="1830" spans="1:24">
      <c r="A1830">
        <f>HYPERLINK("https://www.philgeps.gov.ph/GEPSNONPILOT/Tender/SplashBidNoticeAbstractUI.aspx?menuIndex=3&amp;refID=7066550&amp;Result=3","7066550")</f>
        <v>0</v>
      </c>
      <c r="B1830" t="s">
        <v>690</v>
      </c>
      <c r="C1830" t="s">
        <v>5303</v>
      </c>
      <c r="D1830" t="s">
        <v>18781</v>
      </c>
      <c r="E1830" t="s">
        <v>20573</v>
      </c>
      <c r="F1830" t="s">
        <v>32664</v>
      </c>
      <c r="G1830" t="s">
        <v>32672</v>
      </c>
      <c r="H1830" t="s">
        <v>32683</v>
      </c>
      <c r="I1830" t="s">
        <v>10627</v>
      </c>
      <c r="J1830" t="s">
        <v>34131</v>
      </c>
      <c r="K1830" t="s">
        <v>42311</v>
      </c>
      <c r="L1830" t="s">
        <v>690</v>
      </c>
      <c r="M1830" t="s">
        <v>43277</v>
      </c>
      <c r="N1830" t="s">
        <v>46569</v>
      </c>
      <c r="O1830" t="s">
        <v>46570</v>
      </c>
      <c r="P1830">
        <v>0</v>
      </c>
      <c r="Q1830">
        <v>0</v>
      </c>
      <c r="R1830" t="s">
        <v>46571</v>
      </c>
      <c r="S1830" t="s">
        <v>46687</v>
      </c>
      <c r="T1830" t="s">
        <v>48360</v>
      </c>
      <c r="U1830" t="s">
        <v>50079</v>
      </c>
      <c r="W1830" t="s">
        <v>43277</v>
      </c>
      <c r="X1830" t="s">
        <v>46572</v>
      </c>
    </row>
    <row r="1831" spans="1:24">
      <c r="A1831">
        <f>HYPERLINK("https://www.philgeps.gov.ph/GEPSNONPILOT/Tender/SplashBidNoticeAbstractUI.aspx?menuIndex=3&amp;refID=7066549&amp;Result=3","7066549")</f>
        <v>0</v>
      </c>
      <c r="B1831" t="s">
        <v>804</v>
      </c>
      <c r="C1831" t="s">
        <v>5304</v>
      </c>
      <c r="D1831" t="s">
        <v>18790</v>
      </c>
      <c r="E1831" t="s">
        <v>20574</v>
      </c>
      <c r="F1831" t="s">
        <v>32664</v>
      </c>
      <c r="G1831" t="s">
        <v>32675</v>
      </c>
      <c r="H1831" t="s">
        <v>12635</v>
      </c>
      <c r="I1831" t="s">
        <v>32707</v>
      </c>
      <c r="J1831" t="s">
        <v>34142</v>
      </c>
      <c r="K1831" t="s">
        <v>42284</v>
      </c>
      <c r="M1831" t="s">
        <v>43396</v>
      </c>
      <c r="N1831" t="s">
        <v>46569</v>
      </c>
      <c r="O1831" t="s">
        <v>46570</v>
      </c>
      <c r="P1831">
        <v>0</v>
      </c>
      <c r="Q1831">
        <v>0</v>
      </c>
      <c r="R1831" t="s">
        <v>46571</v>
      </c>
      <c r="S1831" t="s">
        <v>46687</v>
      </c>
      <c r="T1831" t="s">
        <v>48282</v>
      </c>
      <c r="U1831" t="s">
        <v>50316</v>
      </c>
      <c r="W1831" t="s">
        <v>43396</v>
      </c>
      <c r="X1831" t="s">
        <v>46572</v>
      </c>
    </row>
    <row r="1832" spans="1:24">
      <c r="A1832">
        <f>HYPERLINK("https://www.philgeps.gov.ph/GEPSNONPILOT/Tender/SplashBidNoticeAbstractUI.aspx?menuIndex=3&amp;refID=7066475&amp;Result=3","7066475")</f>
        <v>0</v>
      </c>
      <c r="B1832" t="s">
        <v>496</v>
      </c>
      <c r="C1832" t="s">
        <v>5305</v>
      </c>
      <c r="D1832" t="s">
        <v>18791</v>
      </c>
      <c r="E1832" t="s">
        <v>20575</v>
      </c>
      <c r="F1832" t="s">
        <v>32664</v>
      </c>
      <c r="G1832" t="s">
        <v>32674</v>
      </c>
      <c r="H1832" t="s">
        <v>12635</v>
      </c>
      <c r="I1832" t="s">
        <v>5589</v>
      </c>
      <c r="J1832" t="s">
        <v>34143</v>
      </c>
      <c r="K1832" t="s">
        <v>42298</v>
      </c>
      <c r="M1832" t="s">
        <v>43072</v>
      </c>
      <c r="N1832" t="s">
        <v>46569</v>
      </c>
      <c r="O1832" t="s">
        <v>46570</v>
      </c>
      <c r="P1832">
        <v>0</v>
      </c>
      <c r="Q1832">
        <v>2</v>
      </c>
      <c r="R1832" t="s">
        <v>46571</v>
      </c>
      <c r="S1832" t="s">
        <v>46687</v>
      </c>
      <c r="T1832" t="s">
        <v>48211</v>
      </c>
      <c r="U1832" t="s">
        <v>49661</v>
      </c>
      <c r="W1832" t="s">
        <v>43072</v>
      </c>
      <c r="X1832" t="s">
        <v>46572</v>
      </c>
    </row>
    <row r="1833" spans="1:24">
      <c r="A1833">
        <f>HYPERLINK("https://www.philgeps.gov.ph/GEPSNONPILOT/Tender/SplashBidNoticeAbstractUI.aspx?menuIndex=3&amp;refID=7066502&amp;Result=3","7066502")</f>
        <v>0</v>
      </c>
      <c r="B1833" t="s">
        <v>690</v>
      </c>
      <c r="C1833" t="s">
        <v>5306</v>
      </c>
      <c r="D1833" t="s">
        <v>18781</v>
      </c>
      <c r="E1833" t="s">
        <v>20576</v>
      </c>
      <c r="F1833" t="s">
        <v>32664</v>
      </c>
      <c r="G1833" t="s">
        <v>32672</v>
      </c>
      <c r="H1833" t="s">
        <v>32683</v>
      </c>
      <c r="I1833" t="s">
        <v>10627</v>
      </c>
      <c r="J1833" t="s">
        <v>34087</v>
      </c>
      <c r="K1833" t="s">
        <v>42308</v>
      </c>
      <c r="L1833" t="s">
        <v>690</v>
      </c>
      <c r="M1833" t="s">
        <v>43277</v>
      </c>
      <c r="N1833" t="s">
        <v>46569</v>
      </c>
      <c r="O1833" t="s">
        <v>46570</v>
      </c>
      <c r="P1833">
        <v>0</v>
      </c>
      <c r="Q1833">
        <v>0</v>
      </c>
      <c r="R1833" t="s">
        <v>46571</v>
      </c>
      <c r="S1833" t="s">
        <v>46687</v>
      </c>
      <c r="T1833" t="s">
        <v>48360</v>
      </c>
      <c r="U1833" t="s">
        <v>50079</v>
      </c>
      <c r="W1833" t="s">
        <v>43277</v>
      </c>
      <c r="X1833" t="s">
        <v>46572</v>
      </c>
    </row>
    <row r="1834" spans="1:24">
      <c r="A1834">
        <f>HYPERLINK("https://www.philgeps.gov.ph/GEPSNONPILOT/Tender/SplashBidNoticeAbstractUI.aspx?menuIndex=3&amp;refID=7066586&amp;Result=3","7066586")</f>
        <v>0</v>
      </c>
      <c r="B1834" t="s">
        <v>774</v>
      </c>
      <c r="C1834" t="s">
        <v>5307</v>
      </c>
      <c r="D1834" t="s">
        <v>18842</v>
      </c>
      <c r="E1834" t="s">
        <v>20577</v>
      </c>
      <c r="F1834" t="s">
        <v>32664</v>
      </c>
      <c r="G1834" t="s">
        <v>32677</v>
      </c>
      <c r="H1834" t="s">
        <v>12635</v>
      </c>
      <c r="I1834" t="s">
        <v>6628</v>
      </c>
      <c r="J1834" t="s">
        <v>34144</v>
      </c>
      <c r="K1834" t="s">
        <v>42283</v>
      </c>
      <c r="M1834" t="s">
        <v>43365</v>
      </c>
      <c r="N1834" t="s">
        <v>46569</v>
      </c>
      <c r="O1834" t="s">
        <v>46570</v>
      </c>
      <c r="P1834">
        <v>0</v>
      </c>
      <c r="Q1834">
        <v>1</v>
      </c>
      <c r="R1834" t="s">
        <v>46571</v>
      </c>
      <c r="S1834" t="s">
        <v>46687</v>
      </c>
      <c r="T1834" t="s">
        <v>48226</v>
      </c>
      <c r="U1834" t="s">
        <v>50317</v>
      </c>
      <c r="W1834" t="s">
        <v>43365</v>
      </c>
      <c r="X1834" t="s">
        <v>46572</v>
      </c>
    </row>
    <row r="1835" spans="1:24">
      <c r="A1835">
        <f>HYPERLINK("https://www.philgeps.gov.ph/GEPSNONPILOT/Tender/SplashBidNoticeAbstractUI.aspx?menuIndex=3&amp;refID=7066585&amp;Result=3","7066585")</f>
        <v>0</v>
      </c>
      <c r="B1835" t="s">
        <v>690</v>
      </c>
      <c r="C1835" t="s">
        <v>5308</v>
      </c>
      <c r="D1835" t="s">
        <v>18781</v>
      </c>
      <c r="E1835" t="s">
        <v>20578</v>
      </c>
      <c r="F1835" t="s">
        <v>32664</v>
      </c>
      <c r="G1835" t="s">
        <v>32672</v>
      </c>
      <c r="H1835" t="s">
        <v>32683</v>
      </c>
      <c r="I1835" t="s">
        <v>10627</v>
      </c>
      <c r="J1835" t="s">
        <v>34145</v>
      </c>
      <c r="K1835" t="s">
        <v>42325</v>
      </c>
      <c r="L1835" t="s">
        <v>690</v>
      </c>
      <c r="M1835" t="s">
        <v>43277</v>
      </c>
      <c r="N1835" t="s">
        <v>46569</v>
      </c>
      <c r="O1835" t="s">
        <v>46570</v>
      </c>
      <c r="P1835">
        <v>0</v>
      </c>
      <c r="Q1835">
        <v>0</v>
      </c>
      <c r="R1835" t="s">
        <v>46571</v>
      </c>
      <c r="S1835" t="s">
        <v>46687</v>
      </c>
      <c r="T1835" t="s">
        <v>48360</v>
      </c>
      <c r="U1835" t="s">
        <v>50079</v>
      </c>
      <c r="W1835" t="s">
        <v>43277</v>
      </c>
      <c r="X1835" t="s">
        <v>46572</v>
      </c>
    </row>
    <row r="1836" spans="1:24">
      <c r="A1836">
        <f>HYPERLINK("https://www.philgeps.gov.ph/GEPSNONPILOT/Tender/SplashBidNoticeAbstractUI.aspx?menuIndex=3&amp;refID=7066584&amp;Result=3","7066584")</f>
        <v>0</v>
      </c>
      <c r="B1836" t="s">
        <v>719</v>
      </c>
      <c r="C1836" t="s">
        <v>5309</v>
      </c>
      <c r="D1836" t="s">
        <v>18812</v>
      </c>
      <c r="E1836" t="s">
        <v>20579</v>
      </c>
      <c r="F1836" t="s">
        <v>32664</v>
      </c>
      <c r="G1836" t="s">
        <v>32671</v>
      </c>
      <c r="H1836" t="s">
        <v>12635</v>
      </c>
      <c r="I1836" t="s">
        <v>4439</v>
      </c>
      <c r="J1836" t="s">
        <v>34146</v>
      </c>
      <c r="K1836" t="s">
        <v>42284</v>
      </c>
      <c r="M1836" t="s">
        <v>43306</v>
      </c>
      <c r="N1836" t="s">
        <v>46569</v>
      </c>
      <c r="O1836" t="s">
        <v>46570</v>
      </c>
      <c r="P1836">
        <v>0</v>
      </c>
      <c r="Q1836">
        <v>0</v>
      </c>
      <c r="R1836" t="s">
        <v>46571</v>
      </c>
      <c r="S1836" t="s">
        <v>46687</v>
      </c>
      <c r="T1836" t="s">
        <v>48230</v>
      </c>
      <c r="U1836" t="s">
        <v>50318</v>
      </c>
      <c r="W1836" t="s">
        <v>43306</v>
      </c>
      <c r="X1836" t="s">
        <v>46572</v>
      </c>
    </row>
    <row r="1837" spans="1:24">
      <c r="A1837">
        <f>HYPERLINK("https://www.philgeps.gov.ph/GEPSNONPILOT/Tender/SplashBidNoticeAbstractUI.aspx?menuIndex=3&amp;refID=7066582&amp;Result=3","7066582")</f>
        <v>0</v>
      </c>
      <c r="B1837" t="s">
        <v>796</v>
      </c>
      <c r="C1837" t="s">
        <v>5310</v>
      </c>
      <c r="D1837" t="s">
        <v>18801</v>
      </c>
      <c r="E1837" t="s">
        <v>20580</v>
      </c>
      <c r="F1837" t="s">
        <v>32664</v>
      </c>
      <c r="G1837" t="s">
        <v>32672</v>
      </c>
      <c r="H1837" t="s">
        <v>32683</v>
      </c>
      <c r="I1837" t="s">
        <v>10627</v>
      </c>
      <c r="J1837" t="s">
        <v>34147</v>
      </c>
      <c r="K1837" t="s">
        <v>42311</v>
      </c>
      <c r="M1837" t="s">
        <v>43388</v>
      </c>
      <c r="N1837" t="s">
        <v>46569</v>
      </c>
      <c r="O1837" t="s">
        <v>46570</v>
      </c>
      <c r="P1837">
        <v>0</v>
      </c>
      <c r="Q1837">
        <v>1</v>
      </c>
      <c r="R1837" t="s">
        <v>46571</v>
      </c>
      <c r="S1837" t="s">
        <v>46687</v>
      </c>
      <c r="T1837" t="s">
        <v>48275</v>
      </c>
      <c r="U1837" t="s">
        <v>50301</v>
      </c>
      <c r="W1837" t="s">
        <v>63490</v>
      </c>
      <c r="X1837" t="s">
        <v>46572</v>
      </c>
    </row>
    <row r="1838" spans="1:24">
      <c r="A1838">
        <f>HYPERLINK("https://www.philgeps.gov.ph/GEPSNONPILOT/Tender/SplashBidNoticeAbstractUI.aspx?menuIndex=3&amp;refID=7066581&amp;Result=3","7066581")</f>
        <v>0</v>
      </c>
      <c r="B1838" t="s">
        <v>791</v>
      </c>
      <c r="C1838" t="s">
        <v>5311</v>
      </c>
      <c r="D1838" t="s">
        <v>18785</v>
      </c>
      <c r="E1838" t="s">
        <v>20581</v>
      </c>
      <c r="F1838" t="s">
        <v>32664</v>
      </c>
      <c r="G1838" t="s">
        <v>32672</v>
      </c>
      <c r="H1838" t="s">
        <v>32683</v>
      </c>
      <c r="I1838" t="s">
        <v>10627</v>
      </c>
      <c r="J1838" t="s">
        <v>34148</v>
      </c>
      <c r="K1838" t="s">
        <v>42312</v>
      </c>
      <c r="M1838" t="s">
        <v>43383</v>
      </c>
      <c r="N1838" t="s">
        <v>46569</v>
      </c>
      <c r="O1838" t="s">
        <v>46570</v>
      </c>
      <c r="P1838">
        <v>0</v>
      </c>
      <c r="Q1838">
        <v>0</v>
      </c>
      <c r="R1838" t="s">
        <v>46571</v>
      </c>
      <c r="S1838" t="s">
        <v>46687</v>
      </c>
      <c r="T1838" t="s">
        <v>48419</v>
      </c>
      <c r="U1838" t="s">
        <v>50319</v>
      </c>
      <c r="W1838" t="s">
        <v>43383</v>
      </c>
      <c r="X1838" t="s">
        <v>46572</v>
      </c>
    </row>
    <row r="1839" spans="1:24">
      <c r="A1839">
        <f>HYPERLINK("https://www.philgeps.gov.ph/GEPSNONPILOT/Tender/SplashBidNoticeAbstractUI.aspx?menuIndex=3&amp;refID=7066583&amp;Result=3","7066583")</f>
        <v>0</v>
      </c>
      <c r="B1839" t="s">
        <v>805</v>
      </c>
      <c r="C1839" t="s">
        <v>5312</v>
      </c>
      <c r="D1839" t="s">
        <v>18838</v>
      </c>
      <c r="E1839" t="s">
        <v>20582</v>
      </c>
      <c r="F1839" t="s">
        <v>32664</v>
      </c>
      <c r="G1839" t="s">
        <v>32672</v>
      </c>
      <c r="H1839" t="s">
        <v>12635</v>
      </c>
      <c r="I1839" t="s">
        <v>9486</v>
      </c>
      <c r="J1839" t="s">
        <v>34149</v>
      </c>
      <c r="K1839" t="s">
        <v>42305</v>
      </c>
      <c r="M1839" t="s">
        <v>43397</v>
      </c>
      <c r="N1839" t="s">
        <v>46569</v>
      </c>
      <c r="O1839" t="s">
        <v>46570</v>
      </c>
      <c r="P1839">
        <v>0</v>
      </c>
      <c r="Q1839">
        <v>3</v>
      </c>
      <c r="R1839" t="s">
        <v>46571</v>
      </c>
      <c r="S1839" t="s">
        <v>46687</v>
      </c>
      <c r="T1839" t="s">
        <v>48273</v>
      </c>
      <c r="U1839" t="s">
        <v>50320</v>
      </c>
      <c r="W1839" t="s">
        <v>43397</v>
      </c>
      <c r="X1839" t="s">
        <v>46572</v>
      </c>
    </row>
    <row r="1840" spans="1:24">
      <c r="A1840">
        <f>HYPERLINK("https://www.philgeps.gov.ph/GEPSNONPILOT/Tender/SplashBidNoticeAbstractUI.aspx?menuIndex=3&amp;refID=7066526&amp;Result=3","7066526")</f>
        <v>0</v>
      </c>
      <c r="B1840" t="s">
        <v>678</v>
      </c>
      <c r="C1840" t="s">
        <v>5069</v>
      </c>
      <c r="E1840" t="s">
        <v>20583</v>
      </c>
      <c r="F1840" t="s">
        <v>32664</v>
      </c>
      <c r="G1840" t="s">
        <v>32671</v>
      </c>
      <c r="H1840" t="s">
        <v>12635</v>
      </c>
      <c r="I1840" t="s">
        <v>32685</v>
      </c>
      <c r="J1840" t="s">
        <v>34150</v>
      </c>
      <c r="K1840" t="s">
        <v>42283</v>
      </c>
      <c r="M1840" t="s">
        <v>43265</v>
      </c>
      <c r="N1840" t="s">
        <v>46569</v>
      </c>
      <c r="O1840" t="s">
        <v>46570</v>
      </c>
      <c r="P1840">
        <v>0</v>
      </c>
      <c r="Q1840">
        <v>0</v>
      </c>
      <c r="R1840" t="s">
        <v>46571</v>
      </c>
      <c r="S1840" t="s">
        <v>46687</v>
      </c>
      <c r="T1840" t="s">
        <v>48312</v>
      </c>
      <c r="U1840" t="s">
        <v>50321</v>
      </c>
      <c r="W1840" t="s">
        <v>43265</v>
      </c>
      <c r="X1840" t="s">
        <v>46572</v>
      </c>
    </row>
    <row r="1841" spans="1:24">
      <c r="A1841">
        <f>HYPERLINK("https://www.philgeps.gov.ph/GEPSNONPILOT/Tender/SplashBidNoticeAbstractUI.aspx?menuIndex=3&amp;refID=7066577&amp;Result=3","7066577")</f>
        <v>0</v>
      </c>
      <c r="B1841" t="s">
        <v>309</v>
      </c>
      <c r="C1841" t="s">
        <v>5313</v>
      </c>
      <c r="D1841" t="s">
        <v>18848</v>
      </c>
      <c r="E1841" t="s">
        <v>20584</v>
      </c>
      <c r="F1841" t="s">
        <v>32664</v>
      </c>
      <c r="G1841" t="s">
        <v>32671</v>
      </c>
      <c r="H1841" t="s">
        <v>12635</v>
      </c>
      <c r="I1841" t="s">
        <v>4439</v>
      </c>
      <c r="J1841" t="s">
        <v>34151</v>
      </c>
      <c r="K1841" t="s">
        <v>42297</v>
      </c>
      <c r="M1841" t="s">
        <v>42876</v>
      </c>
      <c r="N1841" t="s">
        <v>46569</v>
      </c>
      <c r="O1841" t="s">
        <v>46570</v>
      </c>
      <c r="P1841">
        <v>0</v>
      </c>
      <c r="Q1841">
        <v>0</v>
      </c>
      <c r="R1841" t="s">
        <v>46571</v>
      </c>
      <c r="S1841" t="s">
        <v>46687</v>
      </c>
      <c r="T1841" t="s">
        <v>48244</v>
      </c>
      <c r="U1841" t="s">
        <v>50322</v>
      </c>
      <c r="V1841" t="s">
        <v>61694</v>
      </c>
      <c r="W1841" t="s">
        <v>42876</v>
      </c>
      <c r="X1841" t="s">
        <v>46572</v>
      </c>
    </row>
    <row r="1842" spans="1:24">
      <c r="A1842">
        <f>HYPERLINK("https://www.philgeps.gov.ph/GEPSNONPILOT/Tender/SplashBidNoticeAbstractUI.aspx?menuIndex=3&amp;refID=7066551&amp;Result=3","7066551")</f>
        <v>0</v>
      </c>
      <c r="B1842" t="s">
        <v>806</v>
      </c>
      <c r="C1842" t="s">
        <v>5314</v>
      </c>
      <c r="D1842" t="s">
        <v>18858</v>
      </c>
      <c r="E1842" t="s">
        <v>20585</v>
      </c>
      <c r="F1842" t="s">
        <v>32664</v>
      </c>
      <c r="G1842" t="s">
        <v>32671</v>
      </c>
      <c r="H1842" t="s">
        <v>12635</v>
      </c>
      <c r="I1842" t="s">
        <v>32764</v>
      </c>
      <c r="J1842" t="s">
        <v>33148</v>
      </c>
      <c r="K1842" t="s">
        <v>42295</v>
      </c>
      <c r="M1842" t="s">
        <v>43398</v>
      </c>
      <c r="N1842" t="s">
        <v>46569</v>
      </c>
      <c r="O1842" t="s">
        <v>46570</v>
      </c>
      <c r="P1842">
        <v>0</v>
      </c>
      <c r="Q1842">
        <v>0</v>
      </c>
      <c r="R1842" t="s">
        <v>46571</v>
      </c>
      <c r="S1842" t="s">
        <v>46687</v>
      </c>
      <c r="T1842" t="s">
        <v>48256</v>
      </c>
      <c r="U1842" t="s">
        <v>50323</v>
      </c>
      <c r="W1842" t="s">
        <v>43398</v>
      </c>
      <c r="X1842" t="s">
        <v>46572</v>
      </c>
    </row>
    <row r="1843" spans="1:24">
      <c r="A1843">
        <f>HYPERLINK("https://www.philgeps.gov.ph/GEPSNONPILOT/Tender/SplashBidNoticeAbstractUI.aspx?menuIndex=3&amp;refID=7066516&amp;Result=3","7066516")</f>
        <v>0</v>
      </c>
      <c r="B1843" t="s">
        <v>690</v>
      </c>
      <c r="C1843" t="s">
        <v>5315</v>
      </c>
      <c r="D1843" t="s">
        <v>18781</v>
      </c>
      <c r="E1843" t="s">
        <v>20586</v>
      </c>
      <c r="F1843" t="s">
        <v>32664</v>
      </c>
      <c r="G1843" t="s">
        <v>32672</v>
      </c>
      <c r="H1843" t="s">
        <v>32683</v>
      </c>
      <c r="I1843" t="s">
        <v>10627</v>
      </c>
      <c r="J1843" t="s">
        <v>34087</v>
      </c>
      <c r="K1843" t="s">
        <v>42374</v>
      </c>
      <c r="L1843" t="s">
        <v>690</v>
      </c>
      <c r="M1843" t="s">
        <v>43277</v>
      </c>
      <c r="N1843" t="s">
        <v>46569</v>
      </c>
      <c r="O1843" t="s">
        <v>46570</v>
      </c>
      <c r="P1843">
        <v>0</v>
      </c>
      <c r="Q1843">
        <v>0</v>
      </c>
      <c r="R1843" t="s">
        <v>46571</v>
      </c>
      <c r="S1843" t="s">
        <v>46687</v>
      </c>
      <c r="T1843" t="s">
        <v>48360</v>
      </c>
      <c r="U1843" t="s">
        <v>50079</v>
      </c>
      <c r="W1843" t="s">
        <v>43277</v>
      </c>
      <c r="X1843" t="s">
        <v>46572</v>
      </c>
    </row>
    <row r="1844" spans="1:24">
      <c r="A1844">
        <f>HYPERLINK("https://www.philgeps.gov.ph/GEPSNONPILOT/Tender/SplashBidNoticeAbstractUI.aspx?menuIndex=3&amp;refID=7066579&amp;Result=3","7066579")</f>
        <v>0</v>
      </c>
      <c r="B1844" t="s">
        <v>807</v>
      </c>
      <c r="C1844" t="s">
        <v>5316</v>
      </c>
      <c r="D1844" t="s">
        <v>18784</v>
      </c>
      <c r="E1844" t="s">
        <v>20587</v>
      </c>
      <c r="F1844" t="s">
        <v>32664</v>
      </c>
      <c r="G1844" t="s">
        <v>32671</v>
      </c>
      <c r="H1844" t="s">
        <v>12635</v>
      </c>
      <c r="I1844" t="s">
        <v>5501</v>
      </c>
      <c r="J1844" t="s">
        <v>34152</v>
      </c>
      <c r="K1844" t="s">
        <v>42283</v>
      </c>
      <c r="M1844" t="s">
        <v>43399</v>
      </c>
      <c r="N1844" t="s">
        <v>46569</v>
      </c>
      <c r="O1844" t="s">
        <v>46570</v>
      </c>
      <c r="P1844">
        <v>0</v>
      </c>
      <c r="Q1844">
        <v>15</v>
      </c>
      <c r="R1844" t="s">
        <v>46571</v>
      </c>
      <c r="S1844" t="s">
        <v>46687</v>
      </c>
      <c r="T1844" t="s">
        <v>48221</v>
      </c>
      <c r="U1844" t="s">
        <v>50324</v>
      </c>
      <c r="W1844" t="s">
        <v>43399</v>
      </c>
      <c r="X1844" t="s">
        <v>46572</v>
      </c>
    </row>
    <row r="1845" spans="1:24">
      <c r="A1845">
        <f>HYPERLINK("https://www.philgeps.gov.ph/GEPSNONPILOT/Tender/SplashBidNoticeAbstractUI.aspx?menuIndex=3&amp;refID=7066613&amp;Result=3","7066613")</f>
        <v>0</v>
      </c>
      <c r="B1845" t="s">
        <v>808</v>
      </c>
      <c r="C1845" t="s">
        <v>5317</v>
      </c>
      <c r="D1845" t="s">
        <v>18846</v>
      </c>
      <c r="E1845" t="s">
        <v>20588</v>
      </c>
      <c r="F1845" t="s">
        <v>32664</v>
      </c>
      <c r="G1845" t="s">
        <v>32671</v>
      </c>
      <c r="H1845" t="s">
        <v>12635</v>
      </c>
      <c r="I1845" t="s">
        <v>5501</v>
      </c>
      <c r="J1845" t="s">
        <v>33349</v>
      </c>
      <c r="K1845" t="s">
        <v>42309</v>
      </c>
      <c r="M1845" t="s">
        <v>43400</v>
      </c>
      <c r="N1845" t="s">
        <v>46569</v>
      </c>
      <c r="O1845" t="s">
        <v>46570</v>
      </c>
      <c r="P1845">
        <v>0</v>
      </c>
      <c r="Q1845">
        <v>1</v>
      </c>
      <c r="R1845" t="s">
        <v>46571</v>
      </c>
      <c r="S1845" t="s">
        <v>46687</v>
      </c>
      <c r="T1845" t="s">
        <v>48293</v>
      </c>
      <c r="U1845" t="s">
        <v>50325</v>
      </c>
      <c r="W1845" t="s">
        <v>43400</v>
      </c>
      <c r="X1845" t="s">
        <v>46572</v>
      </c>
    </row>
    <row r="1846" spans="1:24">
      <c r="A1846">
        <f>HYPERLINK("https://www.philgeps.gov.ph/GEPSNONPILOT/Tender/SplashBidNoticeAbstractUI.aspx?menuIndex=3&amp;refID=7066578&amp;Result=3","7066578")</f>
        <v>0</v>
      </c>
      <c r="B1846" t="s">
        <v>318</v>
      </c>
      <c r="C1846" t="s">
        <v>5318</v>
      </c>
      <c r="D1846" t="s">
        <v>18816</v>
      </c>
      <c r="E1846" t="s">
        <v>20589</v>
      </c>
      <c r="F1846" t="s">
        <v>32664</v>
      </c>
      <c r="G1846" t="s">
        <v>32671</v>
      </c>
      <c r="H1846" t="s">
        <v>12635</v>
      </c>
      <c r="I1846" t="s">
        <v>5589</v>
      </c>
      <c r="J1846" t="s">
        <v>33095</v>
      </c>
      <c r="K1846" t="s">
        <v>42297</v>
      </c>
      <c r="M1846" t="s">
        <v>42886</v>
      </c>
      <c r="N1846" t="s">
        <v>46569</v>
      </c>
      <c r="O1846" t="s">
        <v>46570</v>
      </c>
      <c r="P1846">
        <v>0</v>
      </c>
      <c r="Q1846">
        <v>1</v>
      </c>
      <c r="R1846" t="s">
        <v>46571</v>
      </c>
      <c r="S1846" t="s">
        <v>46687</v>
      </c>
      <c r="T1846" t="s">
        <v>48271</v>
      </c>
      <c r="U1846" t="s">
        <v>50326</v>
      </c>
      <c r="W1846" t="s">
        <v>42886</v>
      </c>
      <c r="X1846" t="s">
        <v>46572</v>
      </c>
    </row>
    <row r="1847" spans="1:24">
      <c r="A1847">
        <f>HYPERLINK("https://www.philgeps.gov.ph/GEPSNONPILOT/Tender/SplashBidNoticeAbstractUI.aspx?menuIndex=3&amp;refID=7066608&amp;Result=3","7066608")</f>
        <v>0</v>
      </c>
      <c r="B1847" t="s">
        <v>678</v>
      </c>
      <c r="C1847" t="s">
        <v>4043</v>
      </c>
      <c r="E1847" t="s">
        <v>20590</v>
      </c>
      <c r="F1847" t="s">
        <v>32664</v>
      </c>
      <c r="G1847" t="s">
        <v>32671</v>
      </c>
      <c r="H1847" t="s">
        <v>12635</v>
      </c>
      <c r="I1847" t="s">
        <v>6168</v>
      </c>
      <c r="J1847" t="s">
        <v>33469</v>
      </c>
      <c r="K1847" t="s">
        <v>42283</v>
      </c>
      <c r="M1847" t="s">
        <v>43265</v>
      </c>
      <c r="N1847" t="s">
        <v>46569</v>
      </c>
      <c r="O1847" t="s">
        <v>46570</v>
      </c>
      <c r="P1847">
        <v>0</v>
      </c>
      <c r="Q1847">
        <v>0</v>
      </c>
      <c r="R1847" t="s">
        <v>46571</v>
      </c>
      <c r="S1847" t="s">
        <v>46687</v>
      </c>
      <c r="T1847" t="s">
        <v>48312</v>
      </c>
      <c r="U1847" t="s">
        <v>50327</v>
      </c>
      <c r="W1847" t="s">
        <v>43265</v>
      </c>
      <c r="X1847" t="s">
        <v>46572</v>
      </c>
    </row>
    <row r="1848" spans="1:24">
      <c r="A1848">
        <f>HYPERLINK("https://www.philgeps.gov.ph/GEPSNONPILOT/Tender/SplashBidNoticeAbstractUI.aspx?menuIndex=3&amp;refID=7066606&amp;Result=3","7066606")</f>
        <v>0</v>
      </c>
      <c r="B1848" t="s">
        <v>736</v>
      </c>
      <c r="C1848" t="s">
        <v>5319</v>
      </c>
      <c r="D1848" t="s">
        <v>18851</v>
      </c>
      <c r="E1848" t="s">
        <v>19673</v>
      </c>
      <c r="F1848" t="s">
        <v>32664</v>
      </c>
      <c r="G1848" t="s">
        <v>32671</v>
      </c>
      <c r="H1848" t="s">
        <v>12635</v>
      </c>
      <c r="I1848" t="s">
        <v>7429</v>
      </c>
      <c r="J1848" t="s">
        <v>34153</v>
      </c>
      <c r="K1848" t="s">
        <v>42283</v>
      </c>
      <c r="M1848" t="s">
        <v>43325</v>
      </c>
      <c r="N1848" t="s">
        <v>46569</v>
      </c>
      <c r="O1848" t="s">
        <v>46570</v>
      </c>
      <c r="P1848">
        <v>0</v>
      </c>
      <c r="Q1848">
        <v>0</v>
      </c>
      <c r="R1848" t="s">
        <v>46571</v>
      </c>
      <c r="S1848" t="s">
        <v>46687</v>
      </c>
      <c r="T1848" t="s">
        <v>48256</v>
      </c>
      <c r="U1848" t="s">
        <v>49970</v>
      </c>
      <c r="W1848" t="s">
        <v>43325</v>
      </c>
      <c r="X1848" t="s">
        <v>46572</v>
      </c>
    </row>
    <row r="1849" spans="1:24">
      <c r="A1849">
        <f>HYPERLINK("https://www.philgeps.gov.ph/GEPSNONPILOT/Tender/SplashBidNoticeAbstractUI.aspx?menuIndex=3&amp;refID=7066576&amp;Result=3","7066576")</f>
        <v>0</v>
      </c>
      <c r="B1849" t="s">
        <v>678</v>
      </c>
      <c r="C1849" t="s">
        <v>5320</v>
      </c>
      <c r="E1849" t="s">
        <v>20591</v>
      </c>
      <c r="F1849" t="s">
        <v>32664</v>
      </c>
      <c r="G1849" t="s">
        <v>32671</v>
      </c>
      <c r="H1849" t="s">
        <v>12635</v>
      </c>
      <c r="I1849" t="s">
        <v>6168</v>
      </c>
      <c r="J1849" t="s">
        <v>34154</v>
      </c>
      <c r="K1849" t="s">
        <v>42283</v>
      </c>
      <c r="M1849" t="s">
        <v>43265</v>
      </c>
      <c r="N1849" t="s">
        <v>46569</v>
      </c>
      <c r="O1849" t="s">
        <v>46570</v>
      </c>
      <c r="P1849">
        <v>0</v>
      </c>
      <c r="Q1849">
        <v>0</v>
      </c>
      <c r="R1849" t="s">
        <v>46571</v>
      </c>
      <c r="S1849" t="s">
        <v>46687</v>
      </c>
      <c r="T1849" t="s">
        <v>48312</v>
      </c>
      <c r="U1849" t="s">
        <v>50328</v>
      </c>
      <c r="W1849" t="s">
        <v>43265</v>
      </c>
      <c r="X1849" t="s">
        <v>46572</v>
      </c>
    </row>
    <row r="1850" spans="1:24">
      <c r="A1850">
        <f>HYPERLINK("https://www.philgeps.gov.ph/GEPSNONPILOT/Tender/SplashBidNoticeAbstractUI.aspx?menuIndex=3&amp;refID=7066604&amp;Result=3","7066604")</f>
        <v>0</v>
      </c>
      <c r="B1850" t="s">
        <v>27</v>
      </c>
      <c r="C1850" t="s">
        <v>5321</v>
      </c>
      <c r="E1850" t="s">
        <v>20592</v>
      </c>
      <c r="F1850" t="s">
        <v>32664</v>
      </c>
      <c r="G1850" t="s">
        <v>32671</v>
      </c>
      <c r="H1850" t="s">
        <v>12635</v>
      </c>
      <c r="I1850" t="s">
        <v>7759</v>
      </c>
      <c r="J1850" t="s">
        <v>34155</v>
      </c>
      <c r="K1850" t="s">
        <v>42283</v>
      </c>
      <c r="M1850" t="s">
        <v>43316</v>
      </c>
      <c r="N1850" t="s">
        <v>46569</v>
      </c>
      <c r="O1850" t="s">
        <v>46570</v>
      </c>
      <c r="P1850">
        <v>0</v>
      </c>
      <c r="Q1850">
        <v>1</v>
      </c>
      <c r="R1850" t="s">
        <v>46571</v>
      </c>
      <c r="S1850" t="s">
        <v>46687</v>
      </c>
      <c r="T1850" t="s">
        <v>48217</v>
      </c>
      <c r="U1850" t="s">
        <v>50148</v>
      </c>
      <c r="W1850" t="s">
        <v>43316</v>
      </c>
      <c r="X1850" t="s">
        <v>46572</v>
      </c>
    </row>
    <row r="1851" spans="1:24">
      <c r="A1851">
        <f>HYPERLINK("https://www.philgeps.gov.ph/GEPSNONPILOT/Tender/SplashBidNoticeAbstractUI.aspx?menuIndex=3&amp;refID=7066610&amp;Result=3","7066610")</f>
        <v>0</v>
      </c>
      <c r="B1851" t="s">
        <v>708</v>
      </c>
      <c r="C1851" t="s">
        <v>5322</v>
      </c>
      <c r="D1851" t="s">
        <v>18792</v>
      </c>
      <c r="E1851" t="s">
        <v>20593</v>
      </c>
      <c r="F1851" t="s">
        <v>32664</v>
      </c>
      <c r="G1851" t="s">
        <v>32677</v>
      </c>
      <c r="H1851" t="s">
        <v>12635</v>
      </c>
      <c r="I1851" t="s">
        <v>32699</v>
      </c>
      <c r="J1851" t="s">
        <v>32837</v>
      </c>
      <c r="K1851" t="s">
        <v>42311</v>
      </c>
      <c r="M1851" t="s">
        <v>43295</v>
      </c>
      <c r="N1851" t="s">
        <v>46569</v>
      </c>
      <c r="O1851" t="s">
        <v>46570</v>
      </c>
      <c r="P1851">
        <v>0</v>
      </c>
      <c r="Q1851">
        <v>0</v>
      </c>
      <c r="R1851" t="s">
        <v>46571</v>
      </c>
      <c r="S1851" t="s">
        <v>46687</v>
      </c>
      <c r="T1851" t="s">
        <v>48228</v>
      </c>
      <c r="U1851" t="s">
        <v>50329</v>
      </c>
      <c r="W1851" t="s">
        <v>43295</v>
      </c>
      <c r="X1851" t="s">
        <v>46572</v>
      </c>
    </row>
    <row r="1852" spans="1:24">
      <c r="A1852">
        <f>HYPERLINK("https://www.philgeps.gov.ph/GEPSNONPILOT/Tender/SplashBidNoticeAbstractUI.aspx?menuIndex=3&amp;refID=7066600&amp;Result=3","7066600")</f>
        <v>0</v>
      </c>
      <c r="B1852" t="s">
        <v>789</v>
      </c>
      <c r="C1852" t="s">
        <v>5323</v>
      </c>
      <c r="D1852" t="s">
        <v>18805</v>
      </c>
      <c r="E1852" t="s">
        <v>20594</v>
      </c>
      <c r="F1852" t="s">
        <v>32664</v>
      </c>
      <c r="G1852" t="s">
        <v>32671</v>
      </c>
      <c r="H1852" t="s">
        <v>12635</v>
      </c>
      <c r="I1852" t="s">
        <v>8849</v>
      </c>
      <c r="J1852" t="s">
        <v>34156</v>
      </c>
      <c r="K1852" t="s">
        <v>42297</v>
      </c>
      <c r="M1852" t="s">
        <v>43401</v>
      </c>
      <c r="N1852" t="s">
        <v>46569</v>
      </c>
      <c r="O1852" t="s">
        <v>46570</v>
      </c>
      <c r="P1852">
        <v>0</v>
      </c>
      <c r="Q1852">
        <v>1</v>
      </c>
      <c r="R1852" t="s">
        <v>46571</v>
      </c>
      <c r="S1852" t="s">
        <v>46687</v>
      </c>
      <c r="T1852" t="s">
        <v>48305</v>
      </c>
      <c r="U1852" t="s">
        <v>50330</v>
      </c>
      <c r="W1852" t="s">
        <v>43401</v>
      </c>
      <c r="X1852" t="s">
        <v>46572</v>
      </c>
    </row>
    <row r="1853" spans="1:24">
      <c r="A1853">
        <f>HYPERLINK("https://www.philgeps.gov.ph/GEPSNONPILOT/Tender/SplashBidNoticeAbstractUI.aspx?menuIndex=3&amp;refID=7066609&amp;Result=3","7066609")</f>
        <v>0</v>
      </c>
      <c r="B1853" t="s">
        <v>809</v>
      </c>
      <c r="C1853" t="s">
        <v>5324</v>
      </c>
      <c r="D1853" t="s">
        <v>18834</v>
      </c>
      <c r="E1853" t="s">
        <v>20595</v>
      </c>
      <c r="F1853" t="s">
        <v>32664</v>
      </c>
      <c r="G1853" t="s">
        <v>32674</v>
      </c>
      <c r="H1853" t="s">
        <v>12635</v>
      </c>
      <c r="I1853" t="s">
        <v>32754</v>
      </c>
      <c r="J1853" t="s">
        <v>34157</v>
      </c>
      <c r="K1853" t="s">
        <v>42297</v>
      </c>
      <c r="M1853" t="s">
        <v>43402</v>
      </c>
      <c r="N1853" t="s">
        <v>46569</v>
      </c>
      <c r="O1853" t="s">
        <v>46570</v>
      </c>
      <c r="P1853">
        <v>0</v>
      </c>
      <c r="Q1853">
        <v>0</v>
      </c>
      <c r="R1853" t="s">
        <v>46571</v>
      </c>
      <c r="S1853" t="s">
        <v>46687</v>
      </c>
      <c r="T1853" t="s">
        <v>48219</v>
      </c>
      <c r="U1853" t="s">
        <v>50331</v>
      </c>
      <c r="W1853" t="s">
        <v>43402</v>
      </c>
      <c r="X1853" t="s">
        <v>46572</v>
      </c>
    </row>
    <row r="1854" spans="1:24">
      <c r="A1854">
        <f>HYPERLINK("https://www.philgeps.gov.ph/GEPSNONPILOT/Tender/SplashBidNoticeAbstractUI.aspx?menuIndex=3&amp;refID=7066597&amp;Result=3","7066597")</f>
        <v>0</v>
      </c>
      <c r="B1854" t="s">
        <v>710</v>
      </c>
      <c r="C1854" t="s">
        <v>5325</v>
      </c>
      <c r="D1854" t="s">
        <v>18831</v>
      </c>
      <c r="E1854" t="s">
        <v>20596</v>
      </c>
      <c r="F1854" t="s">
        <v>32664</v>
      </c>
      <c r="G1854" t="s">
        <v>32672</v>
      </c>
      <c r="H1854" t="s">
        <v>32683</v>
      </c>
      <c r="I1854" t="s">
        <v>4439</v>
      </c>
      <c r="J1854" t="s">
        <v>34158</v>
      </c>
      <c r="K1854" t="s">
        <v>42303</v>
      </c>
      <c r="M1854" t="s">
        <v>43297</v>
      </c>
      <c r="N1854" t="s">
        <v>46569</v>
      </c>
      <c r="O1854" t="s">
        <v>46570</v>
      </c>
      <c r="P1854">
        <v>0</v>
      </c>
      <c r="Q1854">
        <v>1</v>
      </c>
      <c r="R1854" t="s">
        <v>46571</v>
      </c>
      <c r="S1854" t="s">
        <v>46687</v>
      </c>
      <c r="T1854" t="s">
        <v>48414</v>
      </c>
      <c r="U1854" t="s">
        <v>50332</v>
      </c>
      <c r="W1854" t="s">
        <v>43297</v>
      </c>
      <c r="X1854" t="s">
        <v>46572</v>
      </c>
    </row>
    <row r="1855" spans="1:24">
      <c r="A1855">
        <f>HYPERLINK("https://www.philgeps.gov.ph/GEPSNONPILOT/Tender/SplashBidNoticeAbstractUI.aspx?menuIndex=3&amp;refID=7066599&amp;Result=3","7066599")</f>
        <v>0</v>
      </c>
      <c r="B1855" t="s">
        <v>796</v>
      </c>
      <c r="C1855" t="s">
        <v>5326</v>
      </c>
      <c r="D1855" t="s">
        <v>18801</v>
      </c>
      <c r="E1855" t="s">
        <v>20597</v>
      </c>
      <c r="F1855" t="s">
        <v>32664</v>
      </c>
      <c r="G1855" t="s">
        <v>32672</v>
      </c>
      <c r="H1855" t="s">
        <v>32683</v>
      </c>
      <c r="I1855" t="s">
        <v>10627</v>
      </c>
      <c r="J1855" t="s">
        <v>34147</v>
      </c>
      <c r="K1855" t="s">
        <v>42298</v>
      </c>
      <c r="M1855" t="s">
        <v>43388</v>
      </c>
      <c r="N1855" t="s">
        <v>46569</v>
      </c>
      <c r="O1855" t="s">
        <v>46570</v>
      </c>
      <c r="P1855">
        <v>0</v>
      </c>
      <c r="Q1855">
        <v>1</v>
      </c>
      <c r="R1855" t="s">
        <v>46571</v>
      </c>
      <c r="S1855" t="s">
        <v>46687</v>
      </c>
      <c r="T1855" t="s">
        <v>48275</v>
      </c>
      <c r="U1855" t="s">
        <v>50301</v>
      </c>
      <c r="W1855" t="s">
        <v>63490</v>
      </c>
      <c r="X1855" t="s">
        <v>46572</v>
      </c>
    </row>
    <row r="1856" spans="1:24">
      <c r="A1856">
        <f>HYPERLINK("https://www.philgeps.gov.ph/GEPSNONPILOT/Tender/SplashBidNoticeAbstractUI.aspx?menuIndex=3&amp;refID=7066641&amp;Result=3","7066641")</f>
        <v>0</v>
      </c>
      <c r="B1856" t="s">
        <v>708</v>
      </c>
      <c r="C1856" t="s">
        <v>5327</v>
      </c>
      <c r="D1856" t="s">
        <v>18792</v>
      </c>
      <c r="E1856" t="s">
        <v>20598</v>
      </c>
      <c r="F1856" t="s">
        <v>32664</v>
      </c>
      <c r="G1856" t="s">
        <v>32677</v>
      </c>
      <c r="H1856" t="s">
        <v>12635</v>
      </c>
      <c r="I1856" t="s">
        <v>32696</v>
      </c>
      <c r="J1856" t="s">
        <v>34159</v>
      </c>
      <c r="K1856" t="s">
        <v>42312</v>
      </c>
      <c r="M1856" t="s">
        <v>43295</v>
      </c>
      <c r="N1856" t="s">
        <v>46569</v>
      </c>
      <c r="O1856" t="s">
        <v>46570</v>
      </c>
      <c r="P1856">
        <v>0</v>
      </c>
      <c r="Q1856">
        <v>1</v>
      </c>
      <c r="R1856" t="s">
        <v>46571</v>
      </c>
      <c r="S1856" t="s">
        <v>46687</v>
      </c>
      <c r="T1856" t="s">
        <v>48228</v>
      </c>
      <c r="U1856" t="s">
        <v>50333</v>
      </c>
      <c r="W1856" t="s">
        <v>43295</v>
      </c>
      <c r="X1856" t="s">
        <v>46572</v>
      </c>
    </row>
    <row r="1857" spans="1:24">
      <c r="A1857">
        <f>HYPERLINK("https://www.philgeps.gov.ph/GEPSNONPILOT/Tender/SplashBidNoticeAbstractUI.aspx?menuIndex=3&amp;refID=7066611&amp;Result=3","7066611")</f>
        <v>0</v>
      </c>
      <c r="B1857" t="s">
        <v>810</v>
      </c>
      <c r="C1857" t="s">
        <v>5328</v>
      </c>
      <c r="D1857" t="s">
        <v>18809</v>
      </c>
      <c r="E1857" t="s">
        <v>20599</v>
      </c>
      <c r="F1857" t="s">
        <v>32664</v>
      </c>
      <c r="G1857" t="s">
        <v>32671</v>
      </c>
      <c r="H1857" t="s">
        <v>12635</v>
      </c>
      <c r="I1857" t="s">
        <v>10361</v>
      </c>
      <c r="J1857" t="s">
        <v>33095</v>
      </c>
      <c r="K1857" t="s">
        <v>42334</v>
      </c>
      <c r="M1857" t="s">
        <v>43403</v>
      </c>
      <c r="N1857" t="s">
        <v>46569</v>
      </c>
      <c r="O1857" t="s">
        <v>46570</v>
      </c>
      <c r="P1857">
        <v>0</v>
      </c>
      <c r="Q1857">
        <v>2</v>
      </c>
      <c r="R1857" t="s">
        <v>46571</v>
      </c>
      <c r="S1857" t="s">
        <v>46687</v>
      </c>
      <c r="T1857" t="s">
        <v>48217</v>
      </c>
      <c r="U1857" t="s">
        <v>50334</v>
      </c>
      <c r="W1857" t="s">
        <v>43403</v>
      </c>
      <c r="X1857" t="s">
        <v>46572</v>
      </c>
    </row>
    <row r="1858" spans="1:24">
      <c r="A1858">
        <f>HYPERLINK("https://www.philgeps.gov.ph/GEPSNONPILOT/Tender/SplashBidNoticeAbstractUI.aspx?menuIndex=3&amp;refID=7066638&amp;Result=3","7066638")</f>
        <v>0</v>
      </c>
      <c r="B1858" t="s">
        <v>134</v>
      </c>
      <c r="C1858" t="s">
        <v>5329</v>
      </c>
      <c r="D1858" t="s">
        <v>18784</v>
      </c>
      <c r="E1858" t="s">
        <v>20600</v>
      </c>
      <c r="F1858" t="s">
        <v>32664</v>
      </c>
      <c r="G1858" t="s">
        <v>32675</v>
      </c>
      <c r="H1858" t="s">
        <v>12635</v>
      </c>
      <c r="I1858" t="s">
        <v>6628</v>
      </c>
      <c r="J1858" t="s">
        <v>34160</v>
      </c>
      <c r="K1858" t="s">
        <v>42284</v>
      </c>
      <c r="M1858" t="s">
        <v>42979</v>
      </c>
      <c r="N1858" t="s">
        <v>46569</v>
      </c>
      <c r="O1858" t="s">
        <v>46570</v>
      </c>
      <c r="P1858">
        <v>0</v>
      </c>
      <c r="Q1858">
        <v>4</v>
      </c>
      <c r="R1858" t="s">
        <v>46571</v>
      </c>
      <c r="S1858" t="s">
        <v>46687</v>
      </c>
      <c r="T1858" t="s">
        <v>48256</v>
      </c>
      <c r="U1858" t="s">
        <v>50335</v>
      </c>
      <c r="W1858" t="s">
        <v>42979</v>
      </c>
      <c r="X1858" t="s">
        <v>46572</v>
      </c>
    </row>
    <row r="1859" spans="1:24">
      <c r="A1859">
        <f>HYPERLINK("https://www.philgeps.gov.ph/GEPSNONPILOT/Tender/SplashBidNoticeAbstractUI.aspx?menuIndex=3&amp;refID=7066637&amp;Result=3","7066637")</f>
        <v>0</v>
      </c>
      <c r="B1859" t="s">
        <v>352</v>
      </c>
      <c r="C1859" t="s">
        <v>5330</v>
      </c>
      <c r="D1859" t="s">
        <v>18801</v>
      </c>
      <c r="E1859" t="s">
        <v>20601</v>
      </c>
      <c r="F1859" t="s">
        <v>32664</v>
      </c>
      <c r="G1859" t="s">
        <v>32671</v>
      </c>
      <c r="H1859" t="s">
        <v>12635</v>
      </c>
      <c r="I1859" t="s">
        <v>6168</v>
      </c>
      <c r="J1859" t="s">
        <v>34161</v>
      </c>
      <c r="K1859" t="s">
        <v>42289</v>
      </c>
      <c r="M1859" t="s">
        <v>43404</v>
      </c>
      <c r="N1859" t="s">
        <v>46569</v>
      </c>
      <c r="O1859" t="s">
        <v>46570</v>
      </c>
      <c r="P1859">
        <v>0</v>
      </c>
      <c r="Q1859">
        <v>1</v>
      </c>
      <c r="R1859" t="s">
        <v>46571</v>
      </c>
      <c r="S1859" t="s">
        <v>46687</v>
      </c>
      <c r="T1859" t="s">
        <v>48280</v>
      </c>
      <c r="U1859" t="s">
        <v>50336</v>
      </c>
      <c r="V1859" t="s">
        <v>61781</v>
      </c>
      <c r="W1859" t="s">
        <v>43404</v>
      </c>
      <c r="X1859" t="s">
        <v>46572</v>
      </c>
    </row>
    <row r="1860" spans="1:24">
      <c r="A1860">
        <f>HYPERLINK("https://www.philgeps.gov.ph/GEPSNONPILOT/Tender/SplashBidNoticeAbstractUI.aspx?menuIndex=3&amp;refID=7066635&amp;Result=3","7066635")</f>
        <v>0</v>
      </c>
      <c r="B1860" t="s">
        <v>811</v>
      </c>
      <c r="C1860" t="s">
        <v>5331</v>
      </c>
      <c r="D1860" t="s">
        <v>18802</v>
      </c>
      <c r="E1860" t="s">
        <v>20602</v>
      </c>
      <c r="F1860" t="s">
        <v>32664</v>
      </c>
      <c r="G1860" t="s">
        <v>32672</v>
      </c>
      <c r="H1860" t="s">
        <v>32683</v>
      </c>
      <c r="I1860" t="s">
        <v>10627</v>
      </c>
      <c r="J1860" t="s">
        <v>34162</v>
      </c>
      <c r="K1860" t="s">
        <v>42354</v>
      </c>
      <c r="M1860" t="s">
        <v>43405</v>
      </c>
      <c r="N1860" t="s">
        <v>46569</v>
      </c>
      <c r="O1860" t="s">
        <v>46570</v>
      </c>
      <c r="P1860">
        <v>0</v>
      </c>
      <c r="Q1860">
        <v>0</v>
      </c>
      <c r="R1860" t="s">
        <v>46571</v>
      </c>
      <c r="S1860" t="s">
        <v>46687</v>
      </c>
      <c r="T1860" t="s">
        <v>48216</v>
      </c>
      <c r="U1860" t="s">
        <v>50337</v>
      </c>
      <c r="W1860" t="s">
        <v>43405</v>
      </c>
      <c r="X1860" t="s">
        <v>46572</v>
      </c>
    </row>
    <row r="1861" spans="1:24">
      <c r="A1861">
        <f>HYPERLINK("https://www.philgeps.gov.ph/GEPSNONPILOT/Tender/SplashBidNoticeAbstractUI.aspx?menuIndex=3&amp;refID=7066639&amp;Result=3","7066639")</f>
        <v>0</v>
      </c>
      <c r="B1861" t="s">
        <v>787</v>
      </c>
      <c r="C1861" t="s">
        <v>5332</v>
      </c>
      <c r="D1861" t="s">
        <v>18784</v>
      </c>
      <c r="E1861" t="s">
        <v>20603</v>
      </c>
      <c r="F1861" t="s">
        <v>32664</v>
      </c>
      <c r="G1861" t="s">
        <v>32674</v>
      </c>
      <c r="H1861" t="s">
        <v>12635</v>
      </c>
      <c r="I1861" t="s">
        <v>32731</v>
      </c>
      <c r="J1861" t="s">
        <v>34023</v>
      </c>
      <c r="K1861" t="s">
        <v>42306</v>
      </c>
      <c r="M1861" t="s">
        <v>43379</v>
      </c>
      <c r="N1861" t="s">
        <v>46569</v>
      </c>
      <c r="O1861" t="s">
        <v>46570</v>
      </c>
      <c r="P1861">
        <v>0</v>
      </c>
      <c r="Q1861">
        <v>2</v>
      </c>
      <c r="R1861" t="s">
        <v>46571</v>
      </c>
      <c r="S1861" t="s">
        <v>46687</v>
      </c>
      <c r="T1861" t="s">
        <v>48420</v>
      </c>
      <c r="U1861" t="s">
        <v>50282</v>
      </c>
      <c r="V1861" t="s">
        <v>61815</v>
      </c>
      <c r="W1861" t="s">
        <v>43379</v>
      </c>
      <c r="X1861" t="s">
        <v>46572</v>
      </c>
    </row>
    <row r="1862" spans="1:24">
      <c r="A1862">
        <f>HYPERLINK("https://www.philgeps.gov.ph/GEPSNONPILOT/Tender/SplashBidNoticeAbstractUI.aspx?menuIndex=3&amp;refID=7066633&amp;Result=3","7066633")</f>
        <v>0</v>
      </c>
      <c r="B1862" t="s">
        <v>678</v>
      </c>
      <c r="C1862" t="s">
        <v>5333</v>
      </c>
      <c r="E1862" t="s">
        <v>20604</v>
      </c>
      <c r="F1862" t="s">
        <v>32664</v>
      </c>
      <c r="G1862" t="s">
        <v>32671</v>
      </c>
      <c r="H1862" t="s">
        <v>12635</v>
      </c>
      <c r="I1862" t="s">
        <v>6628</v>
      </c>
      <c r="J1862" t="s">
        <v>33069</v>
      </c>
      <c r="K1862" t="s">
        <v>42283</v>
      </c>
      <c r="M1862" t="s">
        <v>43265</v>
      </c>
      <c r="N1862" t="s">
        <v>46569</v>
      </c>
      <c r="O1862" t="s">
        <v>46570</v>
      </c>
      <c r="P1862">
        <v>0</v>
      </c>
      <c r="Q1862">
        <v>0</v>
      </c>
      <c r="R1862" t="s">
        <v>46571</v>
      </c>
      <c r="S1862" t="s">
        <v>46687</v>
      </c>
      <c r="T1862" t="s">
        <v>48312</v>
      </c>
      <c r="U1862" t="s">
        <v>50338</v>
      </c>
      <c r="W1862" t="s">
        <v>43265</v>
      </c>
      <c r="X1862" t="s">
        <v>46572</v>
      </c>
    </row>
    <row r="1863" spans="1:24">
      <c r="A1863">
        <f>HYPERLINK("https://www.philgeps.gov.ph/GEPSNONPILOT/Tender/SplashBidNoticeAbstractUI.aspx?menuIndex=3&amp;refID=7066605&amp;Result=3","7066605")</f>
        <v>0</v>
      </c>
      <c r="B1863" t="s">
        <v>812</v>
      </c>
      <c r="C1863" t="s">
        <v>5334</v>
      </c>
      <c r="D1863" t="s">
        <v>18782</v>
      </c>
      <c r="E1863" t="s">
        <v>20605</v>
      </c>
      <c r="F1863" t="s">
        <v>32664</v>
      </c>
      <c r="G1863" t="s">
        <v>32671</v>
      </c>
      <c r="H1863" t="s">
        <v>12635</v>
      </c>
      <c r="I1863" t="s">
        <v>6628</v>
      </c>
      <c r="J1863" t="s">
        <v>32959</v>
      </c>
      <c r="K1863" t="s">
        <v>42295</v>
      </c>
      <c r="M1863" t="s">
        <v>43406</v>
      </c>
      <c r="N1863" t="s">
        <v>46569</v>
      </c>
      <c r="O1863" t="s">
        <v>46570</v>
      </c>
      <c r="P1863">
        <v>0</v>
      </c>
      <c r="Q1863">
        <v>2</v>
      </c>
      <c r="R1863" t="s">
        <v>46571</v>
      </c>
      <c r="S1863" t="s">
        <v>46687</v>
      </c>
      <c r="T1863" t="s">
        <v>48221</v>
      </c>
      <c r="U1863" t="s">
        <v>50339</v>
      </c>
      <c r="W1863" t="s">
        <v>43406</v>
      </c>
      <c r="X1863" t="s">
        <v>46572</v>
      </c>
    </row>
    <row r="1864" spans="1:24">
      <c r="A1864">
        <f>HYPERLINK("https://www.philgeps.gov.ph/GEPSNONPILOT/Tender/SplashBidNoticeAbstractUI.aspx?menuIndex=3&amp;refID=7066632&amp;Result=3","7066632")</f>
        <v>0</v>
      </c>
      <c r="B1864" t="s">
        <v>813</v>
      </c>
      <c r="C1864" t="s">
        <v>5335</v>
      </c>
      <c r="D1864" t="s">
        <v>18781</v>
      </c>
      <c r="E1864" t="s">
        <v>20606</v>
      </c>
      <c r="F1864" t="s">
        <v>32664</v>
      </c>
      <c r="G1864" t="s">
        <v>32672</v>
      </c>
      <c r="H1864" t="s">
        <v>12635</v>
      </c>
      <c r="I1864" t="s">
        <v>10370</v>
      </c>
      <c r="J1864" t="s">
        <v>32842</v>
      </c>
      <c r="K1864" t="s">
        <v>42281</v>
      </c>
      <c r="M1864" t="s">
        <v>43407</v>
      </c>
      <c r="N1864" t="s">
        <v>46569</v>
      </c>
      <c r="O1864" t="s">
        <v>46570</v>
      </c>
      <c r="P1864">
        <v>0</v>
      </c>
      <c r="Q1864">
        <v>0</v>
      </c>
      <c r="R1864" t="s">
        <v>46571</v>
      </c>
      <c r="S1864" t="s">
        <v>46687</v>
      </c>
      <c r="T1864" t="s">
        <v>48226</v>
      </c>
      <c r="U1864" t="s">
        <v>50340</v>
      </c>
      <c r="W1864" t="s">
        <v>43407</v>
      </c>
      <c r="X1864" t="s">
        <v>46572</v>
      </c>
    </row>
    <row r="1865" spans="1:24">
      <c r="A1865">
        <f>HYPERLINK("https://www.philgeps.gov.ph/GEPSNONPILOT/Tender/SplashBidNoticeAbstractUI.aspx?menuIndex=3&amp;refID=7066601&amp;Result=3","7066601")</f>
        <v>0</v>
      </c>
      <c r="B1865" t="s">
        <v>719</v>
      </c>
      <c r="C1865" t="s">
        <v>5336</v>
      </c>
      <c r="D1865" t="s">
        <v>18812</v>
      </c>
      <c r="E1865" t="s">
        <v>20607</v>
      </c>
      <c r="F1865" t="s">
        <v>32664</v>
      </c>
      <c r="G1865" t="s">
        <v>32671</v>
      </c>
      <c r="H1865" t="s">
        <v>12635</v>
      </c>
      <c r="I1865" t="s">
        <v>5589</v>
      </c>
      <c r="J1865" t="s">
        <v>33409</v>
      </c>
      <c r="K1865" t="s">
        <v>42284</v>
      </c>
      <c r="M1865" t="s">
        <v>43306</v>
      </c>
      <c r="N1865" t="s">
        <v>46569</v>
      </c>
      <c r="O1865" t="s">
        <v>46570</v>
      </c>
      <c r="P1865">
        <v>0</v>
      </c>
      <c r="Q1865">
        <v>1</v>
      </c>
      <c r="R1865" t="s">
        <v>46571</v>
      </c>
      <c r="S1865" t="s">
        <v>46687</v>
      </c>
      <c r="T1865" t="s">
        <v>48230</v>
      </c>
      <c r="U1865" t="s">
        <v>50341</v>
      </c>
      <c r="W1865" t="s">
        <v>43306</v>
      </c>
      <c r="X1865" t="s">
        <v>46572</v>
      </c>
    </row>
    <row r="1866" spans="1:24">
      <c r="A1866">
        <f>HYPERLINK("https://www.philgeps.gov.ph/GEPSNONPILOT/Tender/SplashBidNoticeAbstractUI.aspx?menuIndex=3&amp;refID=7066625&amp;Result=3","7066625")</f>
        <v>0</v>
      </c>
      <c r="B1866" t="s">
        <v>248</v>
      </c>
      <c r="C1866" t="s">
        <v>5337</v>
      </c>
      <c r="D1866" t="s">
        <v>18801</v>
      </c>
      <c r="E1866" t="s">
        <v>20608</v>
      </c>
      <c r="F1866" t="s">
        <v>32664</v>
      </c>
      <c r="G1866" t="s">
        <v>32674</v>
      </c>
      <c r="H1866" t="s">
        <v>12635</v>
      </c>
      <c r="I1866" t="s">
        <v>32707</v>
      </c>
      <c r="J1866" t="s">
        <v>34163</v>
      </c>
      <c r="K1866" t="s">
        <v>42289</v>
      </c>
      <c r="M1866" t="s">
        <v>42813</v>
      </c>
      <c r="N1866" t="s">
        <v>46569</v>
      </c>
      <c r="O1866" t="s">
        <v>46570</v>
      </c>
      <c r="P1866">
        <v>0</v>
      </c>
      <c r="Q1866">
        <v>0</v>
      </c>
      <c r="R1866" t="s">
        <v>46571</v>
      </c>
      <c r="S1866" t="s">
        <v>46687</v>
      </c>
      <c r="T1866" t="s">
        <v>48246</v>
      </c>
      <c r="U1866" t="s">
        <v>50342</v>
      </c>
      <c r="W1866" t="s">
        <v>42813</v>
      </c>
      <c r="X1866" t="s">
        <v>46572</v>
      </c>
    </row>
    <row r="1867" spans="1:24">
      <c r="A1867">
        <f>HYPERLINK("https://www.philgeps.gov.ph/GEPSNONPILOT/Tender/SplashBidNoticeAbstractUI.aspx?menuIndex=3&amp;refID=7066630&amp;Result=3","7066630")</f>
        <v>0</v>
      </c>
      <c r="B1867" t="s">
        <v>814</v>
      </c>
      <c r="C1867" t="s">
        <v>5338</v>
      </c>
      <c r="D1867" t="s">
        <v>18784</v>
      </c>
      <c r="E1867" t="s">
        <v>20609</v>
      </c>
      <c r="F1867" t="s">
        <v>32664</v>
      </c>
      <c r="G1867" t="s">
        <v>32671</v>
      </c>
      <c r="H1867" t="s">
        <v>12635</v>
      </c>
      <c r="I1867" t="s">
        <v>32701</v>
      </c>
      <c r="J1867" t="s">
        <v>34164</v>
      </c>
      <c r="K1867" t="s">
        <v>42291</v>
      </c>
      <c r="M1867" t="s">
        <v>43408</v>
      </c>
      <c r="N1867" t="s">
        <v>46569</v>
      </c>
      <c r="O1867" t="s">
        <v>46570</v>
      </c>
      <c r="P1867">
        <v>0</v>
      </c>
      <c r="Q1867">
        <v>0</v>
      </c>
      <c r="R1867" t="s">
        <v>46571</v>
      </c>
      <c r="S1867" t="s">
        <v>46687</v>
      </c>
      <c r="T1867" t="s">
        <v>48283</v>
      </c>
      <c r="U1867" t="s">
        <v>50343</v>
      </c>
      <c r="W1867" t="s">
        <v>43408</v>
      </c>
      <c r="X1867" t="s">
        <v>46572</v>
      </c>
    </row>
    <row r="1868" spans="1:24">
      <c r="A1868">
        <f>HYPERLINK("https://www.philgeps.gov.ph/GEPSNONPILOT/Tender/SplashBidNoticeAbstractUI.aspx?menuIndex=3&amp;refID=7066623&amp;Result=3","7066623")</f>
        <v>0</v>
      </c>
      <c r="B1868" t="s">
        <v>815</v>
      </c>
      <c r="C1868" t="s">
        <v>5339</v>
      </c>
      <c r="D1868" t="s">
        <v>18794</v>
      </c>
      <c r="E1868" t="s">
        <v>20610</v>
      </c>
      <c r="F1868" t="s">
        <v>32664</v>
      </c>
      <c r="G1868" t="s">
        <v>32671</v>
      </c>
      <c r="H1868" t="s">
        <v>12635</v>
      </c>
      <c r="I1868" t="s">
        <v>32699</v>
      </c>
      <c r="J1868" t="s">
        <v>33755</v>
      </c>
      <c r="K1868" t="s">
        <v>42332</v>
      </c>
      <c r="M1868" t="s">
        <v>43409</v>
      </c>
      <c r="N1868" t="s">
        <v>46569</v>
      </c>
      <c r="O1868" t="s">
        <v>46570</v>
      </c>
      <c r="P1868">
        <v>0</v>
      </c>
      <c r="Q1868">
        <v>0</v>
      </c>
      <c r="R1868" t="s">
        <v>46571</v>
      </c>
      <c r="S1868" t="s">
        <v>46687</v>
      </c>
      <c r="T1868" t="s">
        <v>48249</v>
      </c>
      <c r="U1868" t="s">
        <v>50344</v>
      </c>
      <c r="V1868" t="s">
        <v>61748</v>
      </c>
      <c r="W1868" t="s">
        <v>43409</v>
      </c>
      <c r="X1868" t="s">
        <v>46572</v>
      </c>
    </row>
    <row r="1869" spans="1:24">
      <c r="A1869">
        <f>HYPERLINK("https://www.philgeps.gov.ph/GEPSNONPILOT/Tender/SplashBidNoticeAbstractUI.aspx?menuIndex=3&amp;refID=7066634&amp;Result=3","7066634")</f>
        <v>0</v>
      </c>
      <c r="B1869" t="s">
        <v>747</v>
      </c>
      <c r="C1869" t="s">
        <v>5340</v>
      </c>
      <c r="D1869" t="s">
        <v>18806</v>
      </c>
      <c r="E1869" t="s">
        <v>20611</v>
      </c>
      <c r="F1869" t="s">
        <v>32664</v>
      </c>
      <c r="G1869" t="s">
        <v>32672</v>
      </c>
      <c r="H1869" t="s">
        <v>12635</v>
      </c>
      <c r="I1869" t="s">
        <v>9486</v>
      </c>
      <c r="J1869" t="s">
        <v>34165</v>
      </c>
      <c r="K1869" t="s">
        <v>42298</v>
      </c>
      <c r="M1869" t="s">
        <v>43337</v>
      </c>
      <c r="N1869" t="s">
        <v>46569</v>
      </c>
      <c r="O1869" t="s">
        <v>46570</v>
      </c>
      <c r="P1869">
        <v>0</v>
      </c>
      <c r="Q1869">
        <v>2</v>
      </c>
      <c r="R1869" t="s">
        <v>46571</v>
      </c>
      <c r="S1869" t="s">
        <v>46687</v>
      </c>
      <c r="T1869" t="s">
        <v>48404</v>
      </c>
      <c r="U1869" t="s">
        <v>50345</v>
      </c>
      <c r="V1869" t="s">
        <v>61816</v>
      </c>
      <c r="W1869" t="s">
        <v>43337</v>
      </c>
      <c r="X1869" t="s">
        <v>46572</v>
      </c>
    </row>
    <row r="1870" spans="1:24">
      <c r="A1870">
        <f>HYPERLINK("https://www.philgeps.gov.ph/GEPSNONPILOT/Tender/SplashBidNoticeAbstractUI.aspx?menuIndex=3&amp;refID=7066621&amp;Result=3","7066621")</f>
        <v>0</v>
      </c>
      <c r="B1870" t="s">
        <v>803</v>
      </c>
      <c r="C1870" t="s">
        <v>5341</v>
      </c>
      <c r="D1870" t="s">
        <v>18841</v>
      </c>
      <c r="E1870" t="s">
        <v>20612</v>
      </c>
      <c r="F1870" t="s">
        <v>32664</v>
      </c>
      <c r="G1870" t="s">
        <v>32672</v>
      </c>
      <c r="H1870" t="s">
        <v>32683</v>
      </c>
      <c r="I1870" t="s">
        <v>10627</v>
      </c>
      <c r="J1870" t="s">
        <v>34166</v>
      </c>
      <c r="K1870" t="s">
        <v>42375</v>
      </c>
      <c r="M1870" t="s">
        <v>43395</v>
      </c>
      <c r="N1870" t="s">
        <v>46569</v>
      </c>
      <c r="O1870" t="s">
        <v>46570</v>
      </c>
      <c r="P1870">
        <v>0</v>
      </c>
      <c r="Q1870">
        <v>0</v>
      </c>
      <c r="R1870" t="s">
        <v>46571</v>
      </c>
      <c r="S1870" t="s">
        <v>46687</v>
      </c>
      <c r="T1870" t="s">
        <v>48220</v>
      </c>
      <c r="U1870" t="s">
        <v>50315</v>
      </c>
      <c r="V1870" t="s">
        <v>61817</v>
      </c>
      <c r="W1870" t="s">
        <v>43395</v>
      </c>
      <c r="X1870" t="s">
        <v>46572</v>
      </c>
    </row>
    <row r="1871" spans="1:24">
      <c r="A1871">
        <f>HYPERLINK("https://www.philgeps.gov.ph/GEPSNONPILOT/Tender/SplashBidNoticeAbstractUI.aspx?menuIndex=3&amp;refID=7066629&amp;Result=3","7066629")</f>
        <v>0</v>
      </c>
      <c r="B1871" t="s">
        <v>816</v>
      </c>
      <c r="C1871" t="s">
        <v>5342</v>
      </c>
      <c r="D1871" t="s">
        <v>18805</v>
      </c>
      <c r="E1871" t="s">
        <v>19380</v>
      </c>
      <c r="F1871" t="s">
        <v>32664</v>
      </c>
      <c r="G1871" t="s">
        <v>32671</v>
      </c>
      <c r="H1871" t="s">
        <v>32682</v>
      </c>
      <c r="I1871" t="s">
        <v>8730</v>
      </c>
      <c r="J1871" t="s">
        <v>34167</v>
      </c>
      <c r="K1871" t="s">
        <v>42295</v>
      </c>
      <c r="M1871" t="s">
        <v>43410</v>
      </c>
      <c r="N1871" t="s">
        <v>46569</v>
      </c>
      <c r="O1871" t="s">
        <v>46570</v>
      </c>
      <c r="P1871">
        <v>0</v>
      </c>
      <c r="Q1871">
        <v>1</v>
      </c>
      <c r="R1871" t="s">
        <v>46571</v>
      </c>
      <c r="S1871" t="s">
        <v>46687</v>
      </c>
      <c r="T1871" t="s">
        <v>48305</v>
      </c>
      <c r="U1871" t="s">
        <v>50346</v>
      </c>
      <c r="W1871" t="s">
        <v>43410</v>
      </c>
      <c r="X1871" t="s">
        <v>46572</v>
      </c>
    </row>
    <row r="1872" spans="1:24">
      <c r="A1872">
        <f>HYPERLINK("https://www.philgeps.gov.ph/GEPSNONPILOT/Tender/SplashBidNoticeAbstractUI.aspx?menuIndex=3&amp;refID=7066626&amp;Result=3","7066626")</f>
        <v>0</v>
      </c>
      <c r="B1872" t="s">
        <v>794</v>
      </c>
      <c r="C1872" t="s">
        <v>5343</v>
      </c>
      <c r="D1872" t="s">
        <v>18806</v>
      </c>
      <c r="E1872" t="s">
        <v>20613</v>
      </c>
      <c r="F1872" t="s">
        <v>32664</v>
      </c>
      <c r="G1872" t="s">
        <v>32671</v>
      </c>
      <c r="H1872" t="s">
        <v>12635</v>
      </c>
      <c r="I1872" t="s">
        <v>8730</v>
      </c>
      <c r="J1872" t="s">
        <v>34168</v>
      </c>
      <c r="K1872" t="s">
        <v>42297</v>
      </c>
      <c r="M1872" t="s">
        <v>43386</v>
      </c>
      <c r="N1872" t="s">
        <v>46569</v>
      </c>
      <c r="O1872" t="s">
        <v>46570</v>
      </c>
      <c r="P1872">
        <v>0</v>
      </c>
      <c r="Q1872">
        <v>0</v>
      </c>
      <c r="R1872" t="s">
        <v>46571</v>
      </c>
      <c r="S1872" t="s">
        <v>46687</v>
      </c>
      <c r="T1872" t="s">
        <v>48256</v>
      </c>
      <c r="U1872" t="s">
        <v>50347</v>
      </c>
      <c r="W1872" t="s">
        <v>43386</v>
      </c>
      <c r="X1872" t="s">
        <v>46572</v>
      </c>
    </row>
    <row r="1873" spans="1:24">
      <c r="A1873">
        <f>HYPERLINK("https://www.philgeps.gov.ph/GEPSNONPILOT/Tender/SplashBidNoticeAbstractUI.aspx?menuIndex=3&amp;refID=7066587&amp;Result=3","7066587")</f>
        <v>0</v>
      </c>
      <c r="B1873" t="s">
        <v>592</v>
      </c>
      <c r="C1873" t="s">
        <v>5344</v>
      </c>
      <c r="D1873" t="s">
        <v>18854</v>
      </c>
      <c r="E1873" t="s">
        <v>20614</v>
      </c>
      <c r="F1873" t="s">
        <v>32664</v>
      </c>
      <c r="G1873" t="s">
        <v>32672</v>
      </c>
      <c r="H1873" t="s">
        <v>12635</v>
      </c>
      <c r="I1873" t="s">
        <v>32738</v>
      </c>
      <c r="J1873" t="s">
        <v>34169</v>
      </c>
      <c r="K1873" t="s">
        <v>42311</v>
      </c>
      <c r="M1873" t="s">
        <v>43411</v>
      </c>
      <c r="N1873" t="s">
        <v>46569</v>
      </c>
      <c r="O1873" t="s">
        <v>46570</v>
      </c>
      <c r="P1873">
        <v>0</v>
      </c>
      <c r="Q1873">
        <v>4</v>
      </c>
      <c r="R1873" t="s">
        <v>46571</v>
      </c>
      <c r="S1873" t="s">
        <v>46687</v>
      </c>
      <c r="T1873" t="s">
        <v>48362</v>
      </c>
      <c r="U1873" t="s">
        <v>50348</v>
      </c>
      <c r="V1873" t="s">
        <v>61818</v>
      </c>
      <c r="W1873" t="s">
        <v>43411</v>
      </c>
      <c r="X1873" t="s">
        <v>46572</v>
      </c>
    </row>
    <row r="1874" spans="1:24">
      <c r="A1874">
        <f>HYPERLINK("https://www.philgeps.gov.ph/GEPSNONPILOT/Tender/SplashBidNoticeAbstractUI.aspx?menuIndex=3&amp;refID=7066598&amp;Result=3","7066598")</f>
        <v>0</v>
      </c>
      <c r="B1874" t="s">
        <v>817</v>
      </c>
      <c r="C1874" t="s">
        <v>5345</v>
      </c>
      <c r="E1874" t="s">
        <v>20615</v>
      </c>
      <c r="F1874" t="s">
        <v>32664</v>
      </c>
      <c r="G1874" t="s">
        <v>32671</v>
      </c>
      <c r="H1874" t="s">
        <v>12635</v>
      </c>
      <c r="I1874" t="s">
        <v>32710</v>
      </c>
      <c r="J1874" t="s">
        <v>34170</v>
      </c>
      <c r="K1874" t="s">
        <v>42283</v>
      </c>
      <c r="M1874" t="s">
        <v>43412</v>
      </c>
      <c r="N1874" t="s">
        <v>46569</v>
      </c>
      <c r="O1874" t="s">
        <v>46570</v>
      </c>
      <c r="P1874">
        <v>0</v>
      </c>
      <c r="Q1874">
        <v>0</v>
      </c>
      <c r="R1874" t="s">
        <v>46571</v>
      </c>
      <c r="S1874" t="s">
        <v>46687</v>
      </c>
      <c r="T1874" t="s">
        <v>48244</v>
      </c>
      <c r="U1874" t="s">
        <v>50349</v>
      </c>
      <c r="W1874" t="s">
        <v>43412</v>
      </c>
      <c r="X1874" t="s">
        <v>46572</v>
      </c>
    </row>
    <row r="1875" spans="1:24">
      <c r="A1875">
        <f>HYPERLINK("https://www.philgeps.gov.ph/GEPSNONPILOT/Tender/SplashBidNoticeAbstractUI.aspx?menuIndex=3&amp;refID=7066614&amp;Result=3","7066614")</f>
        <v>0</v>
      </c>
      <c r="B1875" t="s">
        <v>796</v>
      </c>
      <c r="C1875" t="s">
        <v>5346</v>
      </c>
      <c r="D1875" t="s">
        <v>18801</v>
      </c>
      <c r="E1875" t="s">
        <v>20616</v>
      </c>
      <c r="F1875" t="s">
        <v>32664</v>
      </c>
      <c r="G1875" t="s">
        <v>32672</v>
      </c>
      <c r="H1875" t="s">
        <v>32683</v>
      </c>
      <c r="I1875" t="s">
        <v>10627</v>
      </c>
      <c r="J1875" t="s">
        <v>34147</v>
      </c>
      <c r="K1875" t="s">
        <v>42305</v>
      </c>
      <c r="M1875" t="s">
        <v>43388</v>
      </c>
      <c r="N1875" t="s">
        <v>46569</v>
      </c>
      <c r="O1875" t="s">
        <v>46570</v>
      </c>
      <c r="P1875">
        <v>0</v>
      </c>
      <c r="Q1875">
        <v>1</v>
      </c>
      <c r="R1875" t="s">
        <v>46571</v>
      </c>
      <c r="S1875" t="s">
        <v>46687</v>
      </c>
      <c r="T1875" t="s">
        <v>48275</v>
      </c>
      <c r="U1875" t="s">
        <v>50301</v>
      </c>
      <c r="W1875" t="s">
        <v>63490</v>
      </c>
      <c r="X1875" t="s">
        <v>46572</v>
      </c>
    </row>
    <row r="1876" spans="1:24">
      <c r="A1876">
        <f>HYPERLINK("https://www.philgeps.gov.ph/GEPSNONPILOT/Tender/SplashBidNoticeAbstractUI.aspx?menuIndex=3&amp;refID=7066615&amp;Result=3","7066615")</f>
        <v>0</v>
      </c>
      <c r="B1876" t="s">
        <v>818</v>
      </c>
      <c r="C1876" t="s">
        <v>5347</v>
      </c>
      <c r="D1876" t="s">
        <v>18816</v>
      </c>
      <c r="E1876" t="s">
        <v>20617</v>
      </c>
      <c r="F1876" t="s">
        <v>32664</v>
      </c>
      <c r="G1876" t="s">
        <v>32672</v>
      </c>
      <c r="H1876" t="s">
        <v>32683</v>
      </c>
      <c r="I1876" t="s">
        <v>10627</v>
      </c>
      <c r="J1876" t="s">
        <v>33886</v>
      </c>
      <c r="K1876" t="s">
        <v>42319</v>
      </c>
      <c r="M1876" t="s">
        <v>43413</v>
      </c>
      <c r="N1876" t="s">
        <v>46569</v>
      </c>
      <c r="O1876" t="s">
        <v>46570</v>
      </c>
      <c r="P1876">
        <v>0</v>
      </c>
      <c r="Q1876">
        <v>0</v>
      </c>
      <c r="R1876" t="s">
        <v>46571</v>
      </c>
      <c r="S1876" t="s">
        <v>46687</v>
      </c>
      <c r="T1876" t="s">
        <v>48222</v>
      </c>
      <c r="U1876" t="s">
        <v>50350</v>
      </c>
      <c r="W1876" t="s">
        <v>43413</v>
      </c>
      <c r="X1876" t="s">
        <v>46572</v>
      </c>
    </row>
    <row r="1877" spans="1:24">
      <c r="A1877">
        <f>HYPERLINK("https://www.philgeps.gov.ph/GEPSNONPILOT/Tender/SplashBidNoticeAbstractUI.aspx?menuIndex=3&amp;refID=7066553&amp;Result=3","7066553")</f>
        <v>0</v>
      </c>
      <c r="B1877" t="s">
        <v>502</v>
      </c>
      <c r="C1877" t="s">
        <v>5348</v>
      </c>
      <c r="D1877" t="s">
        <v>18782</v>
      </c>
      <c r="E1877" t="s">
        <v>20618</v>
      </c>
      <c r="F1877" t="s">
        <v>32664</v>
      </c>
      <c r="G1877" t="s">
        <v>32671</v>
      </c>
      <c r="H1877" t="s">
        <v>12635</v>
      </c>
      <c r="I1877" t="s">
        <v>4439</v>
      </c>
      <c r="J1877" t="s">
        <v>34171</v>
      </c>
      <c r="K1877" t="s">
        <v>42289</v>
      </c>
      <c r="M1877" t="s">
        <v>43078</v>
      </c>
      <c r="N1877" t="s">
        <v>46569</v>
      </c>
      <c r="O1877" t="s">
        <v>46570</v>
      </c>
      <c r="P1877">
        <v>0</v>
      </c>
      <c r="Q1877">
        <v>0</v>
      </c>
      <c r="R1877" t="s">
        <v>46571</v>
      </c>
      <c r="S1877" t="s">
        <v>46687</v>
      </c>
      <c r="T1877" t="s">
        <v>48283</v>
      </c>
      <c r="U1877" t="s">
        <v>49672</v>
      </c>
      <c r="W1877" t="s">
        <v>43078</v>
      </c>
      <c r="X1877" t="s">
        <v>46572</v>
      </c>
    </row>
    <row r="1878" spans="1:24">
      <c r="A1878">
        <f>HYPERLINK("https://www.philgeps.gov.ph/GEPSNONPILOT/Tender/SplashBidNoticeAbstractUI.aspx?menuIndex=3&amp;refID=7066624&amp;Result=3","7066624")</f>
        <v>0</v>
      </c>
      <c r="B1878" t="s">
        <v>819</v>
      </c>
      <c r="C1878" t="s">
        <v>5349</v>
      </c>
      <c r="D1878" t="s">
        <v>18786</v>
      </c>
      <c r="E1878" t="s">
        <v>20619</v>
      </c>
      <c r="F1878" t="s">
        <v>32664</v>
      </c>
      <c r="G1878" t="s">
        <v>32671</v>
      </c>
      <c r="H1878" t="s">
        <v>12635</v>
      </c>
      <c r="I1878" t="s">
        <v>5589</v>
      </c>
      <c r="J1878" t="s">
        <v>34172</v>
      </c>
      <c r="K1878" t="s">
        <v>42295</v>
      </c>
      <c r="M1878" t="s">
        <v>43414</v>
      </c>
      <c r="N1878" t="s">
        <v>46569</v>
      </c>
      <c r="O1878" t="s">
        <v>46570</v>
      </c>
      <c r="P1878">
        <v>0</v>
      </c>
      <c r="Q1878">
        <v>0</v>
      </c>
      <c r="R1878" t="s">
        <v>46571</v>
      </c>
      <c r="S1878" t="s">
        <v>46687</v>
      </c>
      <c r="T1878" t="s">
        <v>48282</v>
      </c>
      <c r="U1878" t="s">
        <v>50351</v>
      </c>
      <c r="W1878" t="s">
        <v>43414</v>
      </c>
      <c r="X1878" t="s">
        <v>46572</v>
      </c>
    </row>
    <row r="1879" spans="1:24">
      <c r="A1879">
        <f>HYPERLINK("https://www.philgeps.gov.ph/GEPSNONPILOT/Tender/SplashBidNoticeAbstractUI.aspx?menuIndex=3&amp;refID=7066668&amp;Result=3","7066668")</f>
        <v>0</v>
      </c>
      <c r="B1879" t="s">
        <v>380</v>
      </c>
      <c r="C1879" t="s">
        <v>5350</v>
      </c>
      <c r="D1879" t="s">
        <v>18809</v>
      </c>
      <c r="E1879" t="s">
        <v>20620</v>
      </c>
      <c r="F1879" t="s">
        <v>32664</v>
      </c>
      <c r="G1879" t="s">
        <v>32671</v>
      </c>
      <c r="H1879" t="s">
        <v>12635</v>
      </c>
      <c r="I1879" t="s">
        <v>32699</v>
      </c>
      <c r="J1879" t="s">
        <v>34173</v>
      </c>
      <c r="K1879" t="s">
        <v>42283</v>
      </c>
      <c r="M1879" t="s">
        <v>42950</v>
      </c>
      <c r="N1879" t="s">
        <v>46569</v>
      </c>
      <c r="O1879" t="s">
        <v>46570</v>
      </c>
      <c r="P1879">
        <v>0</v>
      </c>
      <c r="Q1879">
        <v>0</v>
      </c>
      <c r="R1879" t="s">
        <v>46571</v>
      </c>
      <c r="S1879" t="s">
        <v>46687</v>
      </c>
      <c r="T1879" t="s">
        <v>48301</v>
      </c>
      <c r="U1879" t="s">
        <v>50352</v>
      </c>
      <c r="W1879" t="s">
        <v>42950</v>
      </c>
      <c r="X1879" t="s">
        <v>46572</v>
      </c>
    </row>
    <row r="1880" spans="1:24">
      <c r="A1880">
        <f>HYPERLINK("https://www.philgeps.gov.ph/GEPSNONPILOT/Tender/SplashBidNoticeAbstractUI.aspx?menuIndex=3&amp;refID=7066667&amp;Result=3","7066667")</f>
        <v>0</v>
      </c>
      <c r="B1880" t="s">
        <v>248</v>
      </c>
      <c r="C1880" t="s">
        <v>5351</v>
      </c>
      <c r="D1880" t="s">
        <v>18801</v>
      </c>
      <c r="E1880" t="s">
        <v>20621</v>
      </c>
      <c r="F1880" t="s">
        <v>32664</v>
      </c>
      <c r="G1880" t="s">
        <v>32674</v>
      </c>
      <c r="H1880" t="s">
        <v>12635</v>
      </c>
      <c r="I1880" t="s">
        <v>4333</v>
      </c>
      <c r="J1880" t="s">
        <v>32959</v>
      </c>
      <c r="K1880" t="s">
        <v>42302</v>
      </c>
      <c r="M1880" t="s">
        <v>42813</v>
      </c>
      <c r="N1880" t="s">
        <v>46569</v>
      </c>
      <c r="O1880" t="s">
        <v>46570</v>
      </c>
      <c r="P1880">
        <v>0</v>
      </c>
      <c r="Q1880">
        <v>3</v>
      </c>
      <c r="R1880" t="s">
        <v>46571</v>
      </c>
      <c r="S1880" t="s">
        <v>46687</v>
      </c>
      <c r="T1880" t="s">
        <v>48246</v>
      </c>
      <c r="U1880" t="s">
        <v>50353</v>
      </c>
      <c r="W1880" t="s">
        <v>42813</v>
      </c>
      <c r="X1880" t="s">
        <v>46572</v>
      </c>
    </row>
    <row r="1881" spans="1:24">
      <c r="A1881">
        <f>HYPERLINK("https://www.philgeps.gov.ph/GEPSNONPILOT/Tender/SplashBidNoticeAbstractUI.aspx?menuIndex=3&amp;refID=7066618&amp;Result=3","7066618")</f>
        <v>0</v>
      </c>
      <c r="B1881" t="s">
        <v>820</v>
      </c>
      <c r="C1881" t="s">
        <v>5352</v>
      </c>
      <c r="D1881" t="s">
        <v>18789</v>
      </c>
      <c r="E1881" t="s">
        <v>20622</v>
      </c>
      <c r="F1881" t="s">
        <v>32664</v>
      </c>
      <c r="G1881" t="s">
        <v>32671</v>
      </c>
      <c r="H1881" t="s">
        <v>12635</v>
      </c>
      <c r="I1881" t="s">
        <v>4439</v>
      </c>
      <c r="J1881" t="s">
        <v>34174</v>
      </c>
      <c r="K1881" t="s">
        <v>42295</v>
      </c>
      <c r="M1881" t="s">
        <v>43415</v>
      </c>
      <c r="N1881" t="s">
        <v>46569</v>
      </c>
      <c r="O1881" t="s">
        <v>46570</v>
      </c>
      <c r="P1881">
        <v>0</v>
      </c>
      <c r="Q1881">
        <v>0</v>
      </c>
      <c r="R1881" t="s">
        <v>46571</v>
      </c>
      <c r="S1881" t="s">
        <v>46687</v>
      </c>
      <c r="T1881" t="s">
        <v>48305</v>
      </c>
      <c r="U1881" t="s">
        <v>50354</v>
      </c>
      <c r="W1881" t="s">
        <v>43415</v>
      </c>
      <c r="X1881" t="s">
        <v>46572</v>
      </c>
    </row>
    <row r="1882" spans="1:24">
      <c r="A1882">
        <f>HYPERLINK("https://www.philgeps.gov.ph/GEPSNONPILOT/Tender/SplashBidNoticeAbstractUI.aspx?menuIndex=3&amp;refID=7066662&amp;Result=3","7066662")</f>
        <v>0</v>
      </c>
      <c r="B1882" t="s">
        <v>678</v>
      </c>
      <c r="C1882" t="s">
        <v>5353</v>
      </c>
      <c r="E1882" t="s">
        <v>20623</v>
      </c>
      <c r="F1882" t="s">
        <v>32664</v>
      </c>
      <c r="G1882" t="s">
        <v>32671</v>
      </c>
      <c r="H1882" t="s">
        <v>12635</v>
      </c>
      <c r="I1882" t="s">
        <v>32694</v>
      </c>
      <c r="J1882" t="s">
        <v>34175</v>
      </c>
      <c r="K1882" t="s">
        <v>42283</v>
      </c>
      <c r="M1882" t="s">
        <v>43265</v>
      </c>
      <c r="N1882" t="s">
        <v>46569</v>
      </c>
      <c r="O1882" t="s">
        <v>46570</v>
      </c>
      <c r="P1882">
        <v>0</v>
      </c>
      <c r="Q1882">
        <v>0</v>
      </c>
      <c r="R1882" t="s">
        <v>46571</v>
      </c>
      <c r="S1882" t="s">
        <v>46687</v>
      </c>
      <c r="T1882" t="s">
        <v>48312</v>
      </c>
      <c r="U1882" t="s">
        <v>50355</v>
      </c>
      <c r="W1882" t="s">
        <v>43265</v>
      </c>
      <c r="X1882" t="s">
        <v>46572</v>
      </c>
    </row>
    <row r="1883" spans="1:24">
      <c r="A1883">
        <f>HYPERLINK("https://www.philgeps.gov.ph/GEPSNONPILOT/Tender/SplashBidNoticeAbstractUI.aspx?menuIndex=3&amp;refID=7066660&amp;Result=3","7066660")</f>
        <v>0</v>
      </c>
      <c r="B1883" t="s">
        <v>821</v>
      </c>
      <c r="C1883" t="s">
        <v>5354</v>
      </c>
      <c r="D1883" t="s">
        <v>18834</v>
      </c>
      <c r="E1883" t="s">
        <v>20624</v>
      </c>
      <c r="F1883" t="s">
        <v>32664</v>
      </c>
      <c r="G1883" t="s">
        <v>32672</v>
      </c>
      <c r="H1883" t="s">
        <v>12635</v>
      </c>
      <c r="I1883" t="s">
        <v>4439</v>
      </c>
      <c r="J1883" t="s">
        <v>34176</v>
      </c>
      <c r="K1883" t="s">
        <v>42284</v>
      </c>
      <c r="M1883" t="s">
        <v>43416</v>
      </c>
      <c r="N1883" t="s">
        <v>46569</v>
      </c>
      <c r="O1883" t="s">
        <v>46570</v>
      </c>
      <c r="P1883">
        <v>0</v>
      </c>
      <c r="Q1883">
        <v>0</v>
      </c>
      <c r="R1883" t="s">
        <v>46571</v>
      </c>
      <c r="S1883" t="s">
        <v>46687</v>
      </c>
      <c r="T1883" t="s">
        <v>48270</v>
      </c>
      <c r="U1883" t="s">
        <v>50356</v>
      </c>
      <c r="W1883" t="s">
        <v>43416</v>
      </c>
      <c r="X1883" t="s">
        <v>46572</v>
      </c>
    </row>
    <row r="1884" spans="1:24">
      <c r="A1884">
        <f>HYPERLINK("https://www.philgeps.gov.ph/GEPSNONPILOT/Tender/SplashBidNoticeAbstractUI.aspx?menuIndex=3&amp;refID=7066655&amp;Result=3","7066655")</f>
        <v>0</v>
      </c>
      <c r="B1884" t="s">
        <v>707</v>
      </c>
      <c r="C1884" t="s">
        <v>5355</v>
      </c>
      <c r="D1884" t="s">
        <v>18831</v>
      </c>
      <c r="E1884" t="s">
        <v>20625</v>
      </c>
      <c r="F1884" t="s">
        <v>32664</v>
      </c>
      <c r="G1884" t="s">
        <v>32674</v>
      </c>
      <c r="H1884" t="s">
        <v>12635</v>
      </c>
      <c r="I1884" t="s">
        <v>8730</v>
      </c>
      <c r="J1884" t="s">
        <v>34177</v>
      </c>
      <c r="K1884" t="s">
        <v>42281</v>
      </c>
      <c r="M1884" t="s">
        <v>43294</v>
      </c>
      <c r="N1884" t="s">
        <v>46569</v>
      </c>
      <c r="O1884" t="s">
        <v>46570</v>
      </c>
      <c r="P1884">
        <v>0</v>
      </c>
      <c r="Q1884">
        <v>0</v>
      </c>
      <c r="R1884" t="s">
        <v>46571</v>
      </c>
      <c r="S1884" t="s">
        <v>46687</v>
      </c>
      <c r="T1884" t="s">
        <v>48421</v>
      </c>
      <c r="U1884" t="s">
        <v>50357</v>
      </c>
      <c r="W1884" t="s">
        <v>43294</v>
      </c>
      <c r="X1884" t="s">
        <v>46572</v>
      </c>
    </row>
    <row r="1885" spans="1:24">
      <c r="A1885">
        <f>HYPERLINK("https://www.philgeps.gov.ph/GEPSNONPILOT/Tender/SplashBidNoticeAbstractUI.aspx?menuIndex=3&amp;refID=7066666&amp;Result=3","7066666")</f>
        <v>0</v>
      </c>
      <c r="B1885" t="s">
        <v>803</v>
      </c>
      <c r="C1885" t="s">
        <v>5356</v>
      </c>
      <c r="D1885" t="s">
        <v>18841</v>
      </c>
      <c r="E1885" t="s">
        <v>20626</v>
      </c>
      <c r="F1885" t="s">
        <v>32664</v>
      </c>
      <c r="G1885" t="s">
        <v>32672</v>
      </c>
      <c r="H1885" t="s">
        <v>32683</v>
      </c>
      <c r="I1885" t="s">
        <v>10627</v>
      </c>
      <c r="J1885" t="s">
        <v>34178</v>
      </c>
      <c r="K1885" t="s">
        <v>42323</v>
      </c>
      <c r="M1885" t="s">
        <v>43395</v>
      </c>
      <c r="N1885" t="s">
        <v>46569</v>
      </c>
      <c r="O1885" t="s">
        <v>46570</v>
      </c>
      <c r="P1885">
        <v>0</v>
      </c>
      <c r="Q1885">
        <v>0</v>
      </c>
      <c r="R1885" t="s">
        <v>46571</v>
      </c>
      <c r="S1885" t="s">
        <v>46687</v>
      </c>
      <c r="T1885" t="s">
        <v>48220</v>
      </c>
      <c r="U1885" t="s">
        <v>50315</v>
      </c>
      <c r="V1885" t="s">
        <v>61819</v>
      </c>
      <c r="W1885" t="s">
        <v>43395</v>
      </c>
      <c r="X1885" t="s">
        <v>46572</v>
      </c>
    </row>
    <row r="1886" spans="1:24">
      <c r="A1886">
        <f>HYPERLINK("https://www.philgeps.gov.ph/GEPSNONPILOT/Tender/SplashBidNoticeAbstractUI.aspx?menuIndex=3&amp;refID=7066616&amp;Result=3","7066616")</f>
        <v>0</v>
      </c>
      <c r="B1886" t="s">
        <v>822</v>
      </c>
      <c r="C1886" t="s">
        <v>5357</v>
      </c>
      <c r="E1886" t="s">
        <v>20627</v>
      </c>
      <c r="F1886" t="s">
        <v>32664</v>
      </c>
      <c r="G1886" t="s">
        <v>32671</v>
      </c>
      <c r="H1886" t="s">
        <v>12635</v>
      </c>
      <c r="I1886" t="s">
        <v>6168</v>
      </c>
      <c r="J1886" t="s">
        <v>34179</v>
      </c>
      <c r="K1886" t="s">
        <v>42283</v>
      </c>
      <c r="M1886" t="s">
        <v>43417</v>
      </c>
      <c r="N1886" t="s">
        <v>46569</v>
      </c>
      <c r="O1886" t="s">
        <v>46570</v>
      </c>
      <c r="P1886">
        <v>0</v>
      </c>
      <c r="Q1886">
        <v>0</v>
      </c>
      <c r="R1886" t="s">
        <v>46571</v>
      </c>
      <c r="S1886" t="s">
        <v>46687</v>
      </c>
      <c r="T1886" t="s">
        <v>48343</v>
      </c>
      <c r="U1886" t="s">
        <v>50358</v>
      </c>
      <c r="W1886" t="s">
        <v>43417</v>
      </c>
      <c r="X1886" t="s">
        <v>46572</v>
      </c>
    </row>
    <row r="1887" spans="1:24">
      <c r="A1887">
        <f>HYPERLINK("https://www.philgeps.gov.ph/GEPSNONPILOT/Tender/SplashBidNoticeAbstractUI.aspx?menuIndex=3&amp;refID=7066652&amp;Result=3","7066652")</f>
        <v>0</v>
      </c>
      <c r="B1887" t="s">
        <v>823</v>
      </c>
      <c r="C1887" t="s">
        <v>5358</v>
      </c>
      <c r="D1887" t="s">
        <v>18784</v>
      </c>
      <c r="E1887" t="s">
        <v>20628</v>
      </c>
      <c r="F1887" t="s">
        <v>32664</v>
      </c>
      <c r="G1887" t="s">
        <v>32674</v>
      </c>
      <c r="H1887" t="s">
        <v>12635</v>
      </c>
      <c r="I1887" t="s">
        <v>32712</v>
      </c>
      <c r="J1887" t="s">
        <v>33320</v>
      </c>
      <c r="K1887" t="s">
        <v>42284</v>
      </c>
      <c r="M1887" t="s">
        <v>43418</v>
      </c>
      <c r="N1887" t="s">
        <v>46569</v>
      </c>
      <c r="O1887" t="s">
        <v>46570</v>
      </c>
      <c r="P1887">
        <v>0</v>
      </c>
      <c r="Q1887">
        <v>2</v>
      </c>
      <c r="R1887" t="s">
        <v>46571</v>
      </c>
      <c r="S1887" t="s">
        <v>46687</v>
      </c>
      <c r="T1887" t="s">
        <v>48256</v>
      </c>
      <c r="U1887" t="s">
        <v>50359</v>
      </c>
      <c r="V1887" t="s">
        <v>61820</v>
      </c>
      <c r="W1887" t="s">
        <v>43418</v>
      </c>
      <c r="X1887" t="s">
        <v>46572</v>
      </c>
    </row>
    <row r="1888" spans="1:24">
      <c r="A1888">
        <f>HYPERLINK("https://www.philgeps.gov.ph/GEPSNONPILOT/Tender/SplashBidNoticeAbstractUI.aspx?menuIndex=3&amp;refID=7066659&amp;Result=3","7066659")</f>
        <v>0</v>
      </c>
      <c r="B1888" t="s">
        <v>824</v>
      </c>
      <c r="C1888" t="s">
        <v>5359</v>
      </c>
      <c r="D1888" t="s">
        <v>18790</v>
      </c>
      <c r="E1888" t="s">
        <v>19380</v>
      </c>
      <c r="F1888" t="s">
        <v>32664</v>
      </c>
      <c r="G1888" t="s">
        <v>32674</v>
      </c>
      <c r="H1888" t="s">
        <v>12635</v>
      </c>
      <c r="I1888" t="s">
        <v>10361</v>
      </c>
      <c r="J1888" t="s">
        <v>33720</v>
      </c>
      <c r="K1888" t="s">
        <v>42295</v>
      </c>
      <c r="M1888" t="s">
        <v>43419</v>
      </c>
      <c r="N1888" t="s">
        <v>46569</v>
      </c>
      <c r="O1888" t="s">
        <v>46570</v>
      </c>
      <c r="P1888">
        <v>0</v>
      </c>
      <c r="Q1888">
        <v>0</v>
      </c>
      <c r="R1888" t="s">
        <v>46571</v>
      </c>
      <c r="S1888" t="s">
        <v>46687</v>
      </c>
      <c r="T1888" t="s">
        <v>48283</v>
      </c>
      <c r="U1888" t="s">
        <v>50360</v>
      </c>
      <c r="W1888" t="s">
        <v>43419</v>
      </c>
      <c r="X1888" t="s">
        <v>46572</v>
      </c>
    </row>
    <row r="1889" spans="1:24">
      <c r="A1889">
        <f>HYPERLINK("https://www.philgeps.gov.ph/GEPSNONPILOT/Tender/SplashBidNoticeAbstractUI.aspx?menuIndex=3&amp;refID=7066651&amp;Result=3","7066651")</f>
        <v>0</v>
      </c>
      <c r="B1889" t="s">
        <v>815</v>
      </c>
      <c r="C1889" t="s">
        <v>5360</v>
      </c>
      <c r="D1889" t="s">
        <v>18794</v>
      </c>
      <c r="E1889" t="s">
        <v>20629</v>
      </c>
      <c r="F1889" t="s">
        <v>32664</v>
      </c>
      <c r="G1889" t="s">
        <v>32671</v>
      </c>
      <c r="H1889" t="s">
        <v>12635</v>
      </c>
      <c r="I1889" t="s">
        <v>32699</v>
      </c>
      <c r="J1889" t="s">
        <v>34180</v>
      </c>
      <c r="K1889" t="s">
        <v>42284</v>
      </c>
      <c r="M1889" t="s">
        <v>43409</v>
      </c>
      <c r="N1889" t="s">
        <v>46569</v>
      </c>
      <c r="O1889" t="s">
        <v>46570</v>
      </c>
      <c r="P1889">
        <v>0</v>
      </c>
      <c r="Q1889">
        <v>0</v>
      </c>
      <c r="R1889" t="s">
        <v>46571</v>
      </c>
      <c r="S1889" t="s">
        <v>46687</v>
      </c>
      <c r="T1889" t="s">
        <v>48249</v>
      </c>
      <c r="U1889" t="s">
        <v>50361</v>
      </c>
      <c r="V1889" t="s">
        <v>61748</v>
      </c>
      <c r="W1889" t="s">
        <v>43409</v>
      </c>
      <c r="X1889" t="s">
        <v>46572</v>
      </c>
    </row>
    <row r="1890" spans="1:24">
      <c r="A1890">
        <f>HYPERLINK("https://www.philgeps.gov.ph/GEPSNONPILOT/Tender/SplashBidNoticeAbstractUI.aspx?menuIndex=3&amp;refID=7066648&amp;Result=3","7066648")</f>
        <v>0</v>
      </c>
      <c r="B1890" t="s">
        <v>808</v>
      </c>
      <c r="C1890" t="s">
        <v>5361</v>
      </c>
      <c r="D1890" t="s">
        <v>18846</v>
      </c>
      <c r="E1890" t="s">
        <v>20630</v>
      </c>
      <c r="F1890" t="s">
        <v>32664</v>
      </c>
      <c r="G1890" t="s">
        <v>32671</v>
      </c>
      <c r="H1890" t="s">
        <v>12635</v>
      </c>
      <c r="I1890" t="s">
        <v>5501</v>
      </c>
      <c r="J1890" t="s">
        <v>33349</v>
      </c>
      <c r="K1890" t="s">
        <v>42309</v>
      </c>
      <c r="M1890" t="s">
        <v>43400</v>
      </c>
      <c r="N1890" t="s">
        <v>46569</v>
      </c>
      <c r="O1890" t="s">
        <v>46570</v>
      </c>
      <c r="P1890">
        <v>0</v>
      </c>
      <c r="Q1890">
        <v>1</v>
      </c>
      <c r="R1890" t="s">
        <v>46571</v>
      </c>
      <c r="S1890" t="s">
        <v>46687</v>
      </c>
      <c r="T1890" t="s">
        <v>48293</v>
      </c>
      <c r="U1890" t="s">
        <v>50362</v>
      </c>
      <c r="W1890" t="s">
        <v>43400</v>
      </c>
      <c r="X1890" t="s">
        <v>46572</v>
      </c>
    </row>
    <row r="1891" spans="1:24">
      <c r="A1891">
        <f>HYPERLINK("https://www.philgeps.gov.ph/GEPSNONPILOT/Tender/SplashBidNoticeAbstractUI.aspx?menuIndex=3&amp;refID=7066664&amp;Result=3","7066664")</f>
        <v>0</v>
      </c>
      <c r="B1891" t="s">
        <v>667</v>
      </c>
      <c r="C1891" t="s">
        <v>5362</v>
      </c>
      <c r="D1891" t="s">
        <v>18843</v>
      </c>
      <c r="E1891" t="s">
        <v>20631</v>
      </c>
      <c r="F1891" t="s">
        <v>32664</v>
      </c>
      <c r="G1891" t="s">
        <v>32672</v>
      </c>
      <c r="H1891" t="s">
        <v>32683</v>
      </c>
      <c r="I1891" t="s">
        <v>10627</v>
      </c>
      <c r="J1891" t="s">
        <v>34181</v>
      </c>
      <c r="K1891" t="s">
        <v>42315</v>
      </c>
      <c r="M1891" t="s">
        <v>43254</v>
      </c>
      <c r="N1891" t="s">
        <v>46569</v>
      </c>
      <c r="O1891" t="s">
        <v>46570</v>
      </c>
      <c r="P1891">
        <v>0</v>
      </c>
      <c r="Q1891">
        <v>0</v>
      </c>
      <c r="R1891" t="s">
        <v>46571</v>
      </c>
      <c r="S1891" t="s">
        <v>46687</v>
      </c>
      <c r="T1891" t="s">
        <v>48220</v>
      </c>
      <c r="U1891" t="s">
        <v>50040</v>
      </c>
      <c r="W1891" t="s">
        <v>43254</v>
      </c>
      <c r="X1891" t="s">
        <v>46572</v>
      </c>
    </row>
    <row r="1892" spans="1:24">
      <c r="A1892">
        <f>HYPERLINK("https://www.philgeps.gov.ph/GEPSNONPILOT/Tender/SplashBidNoticeAbstractUI.aspx?menuIndex=3&amp;refID=7066647&amp;Result=3","7066647")</f>
        <v>0</v>
      </c>
      <c r="B1892" t="s">
        <v>825</v>
      </c>
      <c r="C1892" t="s">
        <v>5363</v>
      </c>
      <c r="D1892" t="s">
        <v>18838</v>
      </c>
      <c r="E1892" t="s">
        <v>20632</v>
      </c>
      <c r="F1892" t="s">
        <v>32664</v>
      </c>
      <c r="G1892" t="s">
        <v>32671</v>
      </c>
      <c r="H1892" t="s">
        <v>12635</v>
      </c>
      <c r="I1892" t="s">
        <v>32689</v>
      </c>
      <c r="J1892" t="s">
        <v>33051</v>
      </c>
      <c r="K1892" t="s">
        <v>42289</v>
      </c>
      <c r="M1892" t="s">
        <v>43420</v>
      </c>
      <c r="N1892" t="s">
        <v>46569</v>
      </c>
      <c r="O1892" t="s">
        <v>46570</v>
      </c>
      <c r="P1892">
        <v>0</v>
      </c>
      <c r="Q1892">
        <v>0</v>
      </c>
      <c r="R1892" t="s">
        <v>46571</v>
      </c>
      <c r="S1892" t="s">
        <v>46687</v>
      </c>
      <c r="T1892" t="s">
        <v>48221</v>
      </c>
      <c r="U1892" t="s">
        <v>50363</v>
      </c>
      <c r="W1892" t="s">
        <v>43420</v>
      </c>
      <c r="X1892" t="s">
        <v>46572</v>
      </c>
    </row>
    <row r="1893" spans="1:24">
      <c r="A1893">
        <f>HYPERLINK("https://www.philgeps.gov.ph/GEPSNONPILOT/Tender/SplashBidNoticeAbstractUI.aspx?menuIndex=3&amp;refID=7066646&amp;Result=3","7066646")</f>
        <v>0</v>
      </c>
      <c r="B1893" t="s">
        <v>467</v>
      </c>
      <c r="C1893" t="s">
        <v>5364</v>
      </c>
      <c r="D1893" t="s">
        <v>18834</v>
      </c>
      <c r="E1893" t="s">
        <v>20633</v>
      </c>
      <c r="F1893" t="s">
        <v>32664</v>
      </c>
      <c r="G1893" t="s">
        <v>32672</v>
      </c>
      <c r="H1893" t="s">
        <v>12635</v>
      </c>
      <c r="I1893" t="s">
        <v>32689</v>
      </c>
      <c r="J1893" t="s">
        <v>34182</v>
      </c>
      <c r="K1893" t="s">
        <v>42298</v>
      </c>
      <c r="M1893" t="s">
        <v>43042</v>
      </c>
      <c r="N1893" t="s">
        <v>46569</v>
      </c>
      <c r="O1893" t="s">
        <v>46570</v>
      </c>
      <c r="P1893">
        <v>0</v>
      </c>
      <c r="Q1893">
        <v>1</v>
      </c>
      <c r="R1893" t="s">
        <v>46571</v>
      </c>
      <c r="S1893" t="s">
        <v>46687</v>
      </c>
      <c r="T1893" t="s">
        <v>48422</v>
      </c>
      <c r="U1893" t="s">
        <v>50364</v>
      </c>
      <c r="W1893" t="s">
        <v>43042</v>
      </c>
      <c r="X1893" t="s">
        <v>46572</v>
      </c>
    </row>
    <row r="1894" spans="1:24">
      <c r="A1894">
        <f>HYPERLINK("https://www.philgeps.gov.ph/GEPSNONPILOT/Tender/SplashBidNoticeAbstractUI.aspx?menuIndex=3&amp;refID=7066650&amp;Result=3","7066650")</f>
        <v>0</v>
      </c>
      <c r="B1894" t="s">
        <v>241</v>
      </c>
      <c r="C1894" t="s">
        <v>5365</v>
      </c>
      <c r="D1894" t="s">
        <v>18822</v>
      </c>
      <c r="E1894" t="s">
        <v>20634</v>
      </c>
      <c r="F1894" t="s">
        <v>32664</v>
      </c>
      <c r="G1894" t="s">
        <v>32672</v>
      </c>
      <c r="H1894" t="s">
        <v>12635</v>
      </c>
      <c r="I1894" t="s">
        <v>32708</v>
      </c>
      <c r="J1894" t="s">
        <v>33761</v>
      </c>
      <c r="K1894" t="s">
        <v>42283</v>
      </c>
      <c r="M1894" t="s">
        <v>42806</v>
      </c>
      <c r="N1894" t="s">
        <v>46569</v>
      </c>
      <c r="O1894" t="s">
        <v>46570</v>
      </c>
      <c r="P1894">
        <v>0</v>
      </c>
      <c r="Q1894">
        <v>5</v>
      </c>
      <c r="R1894" t="s">
        <v>46571</v>
      </c>
      <c r="S1894" t="s">
        <v>46687</v>
      </c>
      <c r="T1894" t="s">
        <v>48423</v>
      </c>
      <c r="U1894" t="s">
        <v>50365</v>
      </c>
      <c r="W1894" t="s">
        <v>42806</v>
      </c>
      <c r="X1894" t="s">
        <v>46572</v>
      </c>
    </row>
    <row r="1895" spans="1:24">
      <c r="A1895">
        <f>HYPERLINK("https://www.philgeps.gov.ph/GEPSNONPILOT/Tender/SplashBidNoticeAbstractUI.aspx?menuIndex=3&amp;refID=7066643&amp;Result=3","7066643")</f>
        <v>0</v>
      </c>
      <c r="B1895" t="s">
        <v>656</v>
      </c>
      <c r="C1895" t="s">
        <v>5366</v>
      </c>
      <c r="D1895" t="s">
        <v>18801</v>
      </c>
      <c r="E1895" t="s">
        <v>20635</v>
      </c>
      <c r="F1895" t="s">
        <v>32664</v>
      </c>
      <c r="G1895" t="s">
        <v>32672</v>
      </c>
      <c r="H1895" t="s">
        <v>12635</v>
      </c>
      <c r="I1895" t="s">
        <v>32684</v>
      </c>
      <c r="J1895" t="s">
        <v>34183</v>
      </c>
      <c r="K1895" t="s">
        <v>42283</v>
      </c>
      <c r="M1895" t="s">
        <v>43243</v>
      </c>
      <c r="N1895" t="s">
        <v>46569</v>
      </c>
      <c r="O1895" t="s">
        <v>46570</v>
      </c>
      <c r="P1895">
        <v>0</v>
      </c>
      <c r="Q1895">
        <v>7</v>
      </c>
      <c r="R1895" t="s">
        <v>46571</v>
      </c>
      <c r="S1895" t="s">
        <v>46687</v>
      </c>
      <c r="T1895" t="s">
        <v>48234</v>
      </c>
      <c r="U1895" t="s">
        <v>50366</v>
      </c>
      <c r="W1895" t="s">
        <v>63487</v>
      </c>
      <c r="X1895" t="s">
        <v>46572</v>
      </c>
    </row>
    <row r="1896" spans="1:24">
      <c r="A1896">
        <f>HYPERLINK("https://www.philgeps.gov.ph/GEPSNONPILOT/Tender/SplashBidNoticeAbstractUI.aspx?menuIndex=3&amp;refID=7066642&amp;Result=3","7066642")</f>
        <v>0</v>
      </c>
      <c r="B1896" t="s">
        <v>826</v>
      </c>
      <c r="C1896" t="s">
        <v>5367</v>
      </c>
      <c r="D1896" t="s">
        <v>18799</v>
      </c>
      <c r="E1896" t="s">
        <v>20636</v>
      </c>
      <c r="F1896" t="s">
        <v>32664</v>
      </c>
      <c r="G1896" t="s">
        <v>32677</v>
      </c>
      <c r="H1896" t="s">
        <v>12635</v>
      </c>
      <c r="I1896" t="s">
        <v>32696</v>
      </c>
      <c r="J1896" t="s">
        <v>34184</v>
      </c>
      <c r="K1896" t="s">
        <v>42303</v>
      </c>
      <c r="M1896" t="s">
        <v>43421</v>
      </c>
      <c r="N1896" t="s">
        <v>46569</v>
      </c>
      <c r="O1896" t="s">
        <v>46570</v>
      </c>
      <c r="P1896">
        <v>0</v>
      </c>
      <c r="Q1896">
        <v>2</v>
      </c>
      <c r="R1896" t="s">
        <v>46571</v>
      </c>
      <c r="S1896" t="s">
        <v>46687</v>
      </c>
      <c r="T1896" t="s">
        <v>48258</v>
      </c>
      <c r="U1896" t="s">
        <v>50367</v>
      </c>
      <c r="W1896" t="s">
        <v>43421</v>
      </c>
      <c r="X1896" t="s">
        <v>46572</v>
      </c>
    </row>
    <row r="1897" spans="1:24">
      <c r="A1897">
        <f>HYPERLINK("https://www.philgeps.gov.ph/GEPSNONPILOT/Tender/SplashBidNoticeAbstractUI.aspx?menuIndex=3&amp;refID=7066595&amp;Result=3","7066595")</f>
        <v>0</v>
      </c>
      <c r="B1897" t="s">
        <v>827</v>
      </c>
      <c r="C1897" t="s">
        <v>5368</v>
      </c>
      <c r="E1897" t="s">
        <v>20637</v>
      </c>
      <c r="F1897" t="s">
        <v>32664</v>
      </c>
      <c r="G1897" t="s">
        <v>32671</v>
      </c>
      <c r="H1897" t="s">
        <v>12635</v>
      </c>
      <c r="I1897" t="s">
        <v>11464</v>
      </c>
      <c r="J1897" t="s">
        <v>32898</v>
      </c>
      <c r="K1897" t="s">
        <v>42283</v>
      </c>
      <c r="M1897" t="s">
        <v>43422</v>
      </c>
      <c r="N1897" t="s">
        <v>46569</v>
      </c>
      <c r="O1897" t="s">
        <v>46570</v>
      </c>
      <c r="P1897">
        <v>0</v>
      </c>
      <c r="Q1897">
        <v>0</v>
      </c>
      <c r="R1897" t="s">
        <v>46571</v>
      </c>
      <c r="S1897" t="s">
        <v>46687</v>
      </c>
      <c r="T1897" t="s">
        <v>48245</v>
      </c>
      <c r="U1897" t="s">
        <v>50368</v>
      </c>
      <c r="V1897" t="s">
        <v>61821</v>
      </c>
      <c r="W1897" t="s">
        <v>43422</v>
      </c>
      <c r="X1897" t="s">
        <v>46572</v>
      </c>
    </row>
    <row r="1898" spans="1:24">
      <c r="A1898">
        <f>HYPERLINK("https://www.philgeps.gov.ph/GEPSNONPILOT/Tender/SplashBidNoticeAbstractUI.aspx?menuIndex=3&amp;refID=7066620&amp;Result=3","7066620")</f>
        <v>0</v>
      </c>
      <c r="B1898" t="s">
        <v>656</v>
      </c>
      <c r="C1898" t="s">
        <v>5369</v>
      </c>
      <c r="D1898" t="s">
        <v>18801</v>
      </c>
      <c r="E1898" t="s">
        <v>20635</v>
      </c>
      <c r="F1898" t="s">
        <v>32664</v>
      </c>
      <c r="G1898" t="s">
        <v>32672</v>
      </c>
      <c r="H1898" t="s">
        <v>12635</v>
      </c>
      <c r="I1898" t="s">
        <v>6223</v>
      </c>
      <c r="J1898" t="s">
        <v>34185</v>
      </c>
      <c r="K1898" t="s">
        <v>42283</v>
      </c>
      <c r="M1898" t="s">
        <v>43243</v>
      </c>
      <c r="N1898" t="s">
        <v>46569</v>
      </c>
      <c r="O1898" t="s">
        <v>46570</v>
      </c>
      <c r="P1898">
        <v>0</v>
      </c>
      <c r="Q1898">
        <v>3</v>
      </c>
      <c r="R1898" t="s">
        <v>46571</v>
      </c>
      <c r="S1898" t="s">
        <v>46687</v>
      </c>
      <c r="T1898" t="s">
        <v>48270</v>
      </c>
      <c r="U1898" t="s">
        <v>50366</v>
      </c>
      <c r="W1898" t="s">
        <v>63487</v>
      </c>
      <c r="X1898" t="s">
        <v>46572</v>
      </c>
    </row>
    <row r="1899" spans="1:24">
      <c r="A1899">
        <f>HYPERLINK("https://www.philgeps.gov.ph/GEPSNONPILOT/Tender/SplashBidNoticeAbstractUI.aspx?menuIndex=3&amp;refID=7066596&amp;Result=3","7066596")</f>
        <v>0</v>
      </c>
      <c r="B1899" t="s">
        <v>142</v>
      </c>
      <c r="C1899" t="s">
        <v>5370</v>
      </c>
      <c r="D1899" t="s">
        <v>18784</v>
      </c>
      <c r="E1899" t="s">
        <v>20638</v>
      </c>
      <c r="F1899" t="s">
        <v>32664</v>
      </c>
      <c r="G1899" t="s">
        <v>32671</v>
      </c>
      <c r="H1899" t="s">
        <v>12635</v>
      </c>
      <c r="I1899" t="s">
        <v>8797</v>
      </c>
      <c r="J1899" t="s">
        <v>33093</v>
      </c>
      <c r="K1899" t="s">
        <v>42281</v>
      </c>
      <c r="M1899" t="s">
        <v>42706</v>
      </c>
      <c r="N1899" t="s">
        <v>46569</v>
      </c>
      <c r="O1899" t="s">
        <v>46570</v>
      </c>
      <c r="P1899">
        <v>0</v>
      </c>
      <c r="Q1899">
        <v>3</v>
      </c>
      <c r="R1899" t="s">
        <v>46571</v>
      </c>
      <c r="S1899" t="s">
        <v>46687</v>
      </c>
      <c r="T1899" t="s">
        <v>48256</v>
      </c>
      <c r="U1899" t="s">
        <v>50369</v>
      </c>
      <c r="W1899" t="s">
        <v>42706</v>
      </c>
      <c r="X1899" t="s">
        <v>46572</v>
      </c>
    </row>
    <row r="1900" spans="1:24">
      <c r="A1900">
        <f>HYPERLINK("https://www.philgeps.gov.ph/GEPSNONPILOT/Tender/SplashBidNoticeAbstractUI.aspx?menuIndex=3&amp;refID=7066593&amp;Result=3","7066593")</f>
        <v>0</v>
      </c>
      <c r="B1900" t="s">
        <v>828</v>
      </c>
      <c r="C1900" t="s">
        <v>5371</v>
      </c>
      <c r="D1900" t="s">
        <v>18806</v>
      </c>
      <c r="E1900" t="s">
        <v>20639</v>
      </c>
      <c r="F1900" t="s">
        <v>32664</v>
      </c>
      <c r="G1900" t="s">
        <v>32674</v>
      </c>
      <c r="H1900" t="s">
        <v>12635</v>
      </c>
      <c r="I1900" t="s">
        <v>4439</v>
      </c>
      <c r="J1900" t="s">
        <v>34186</v>
      </c>
      <c r="K1900" t="s">
        <v>42309</v>
      </c>
      <c r="M1900" t="s">
        <v>43423</v>
      </c>
      <c r="N1900" t="s">
        <v>46569</v>
      </c>
      <c r="O1900" t="s">
        <v>46570</v>
      </c>
      <c r="P1900">
        <v>0</v>
      </c>
      <c r="Q1900">
        <v>0</v>
      </c>
      <c r="R1900" t="s">
        <v>46571</v>
      </c>
      <c r="S1900" t="s">
        <v>46687</v>
      </c>
      <c r="T1900" t="s">
        <v>48312</v>
      </c>
      <c r="U1900" t="s">
        <v>50370</v>
      </c>
      <c r="W1900" t="s">
        <v>43423</v>
      </c>
      <c r="X1900" t="s">
        <v>46572</v>
      </c>
    </row>
    <row r="1901" spans="1:24">
      <c r="A1901">
        <f>HYPERLINK("https://www.philgeps.gov.ph/GEPSNONPILOT/Tender/SplashBidNoticeAbstractUI.aspx?menuIndex=3&amp;refID=7066644&amp;Result=3","7066644")</f>
        <v>0</v>
      </c>
      <c r="B1901" t="s">
        <v>829</v>
      </c>
      <c r="C1901" t="s">
        <v>5372</v>
      </c>
      <c r="D1901" t="s">
        <v>18809</v>
      </c>
      <c r="E1901" t="s">
        <v>20248</v>
      </c>
      <c r="F1901" t="s">
        <v>32664</v>
      </c>
      <c r="G1901" t="s">
        <v>32674</v>
      </c>
      <c r="H1901" t="s">
        <v>12635</v>
      </c>
      <c r="I1901" t="s">
        <v>4439</v>
      </c>
      <c r="J1901" t="s">
        <v>34187</v>
      </c>
      <c r="K1901" t="s">
        <v>42283</v>
      </c>
      <c r="M1901" t="s">
        <v>43424</v>
      </c>
      <c r="N1901" t="s">
        <v>46569</v>
      </c>
      <c r="O1901" t="s">
        <v>46570</v>
      </c>
      <c r="P1901">
        <v>0</v>
      </c>
      <c r="Q1901">
        <v>0</v>
      </c>
      <c r="R1901" t="s">
        <v>46571</v>
      </c>
      <c r="S1901" t="s">
        <v>46687</v>
      </c>
      <c r="T1901" t="s">
        <v>48217</v>
      </c>
      <c r="U1901" t="s">
        <v>50371</v>
      </c>
      <c r="V1901" t="s">
        <v>61822</v>
      </c>
      <c r="W1901" t="s">
        <v>43424</v>
      </c>
      <c r="X1901" t="s">
        <v>46572</v>
      </c>
    </row>
    <row r="1902" spans="1:24">
      <c r="A1902">
        <f>HYPERLINK("https://www.philgeps.gov.ph/GEPSNONPILOT/Tender/SplashBidNoticeAbstractUI.aspx?menuIndex=3&amp;refID=7066594&amp;Result=3","7066594")</f>
        <v>0</v>
      </c>
      <c r="B1902" t="s">
        <v>822</v>
      </c>
      <c r="C1902" t="s">
        <v>5373</v>
      </c>
      <c r="E1902" t="s">
        <v>20640</v>
      </c>
      <c r="F1902" t="s">
        <v>32664</v>
      </c>
      <c r="G1902" t="s">
        <v>32671</v>
      </c>
      <c r="H1902" t="s">
        <v>12635</v>
      </c>
      <c r="I1902" t="s">
        <v>6168</v>
      </c>
      <c r="J1902" t="s">
        <v>34188</v>
      </c>
      <c r="K1902" t="s">
        <v>42283</v>
      </c>
      <c r="M1902" t="s">
        <v>43417</v>
      </c>
      <c r="N1902" t="s">
        <v>46569</v>
      </c>
      <c r="O1902" t="s">
        <v>46570</v>
      </c>
      <c r="P1902">
        <v>0</v>
      </c>
      <c r="Q1902">
        <v>0</v>
      </c>
      <c r="R1902" t="s">
        <v>46571</v>
      </c>
      <c r="S1902" t="s">
        <v>46687</v>
      </c>
      <c r="T1902" t="s">
        <v>48343</v>
      </c>
      <c r="U1902" t="s">
        <v>50358</v>
      </c>
      <c r="W1902" t="s">
        <v>43417</v>
      </c>
      <c r="X1902" t="s">
        <v>46572</v>
      </c>
    </row>
    <row r="1903" spans="1:24">
      <c r="A1903">
        <f>HYPERLINK("https://www.philgeps.gov.ph/GEPSNONPILOT/Tender/SplashBidNoticeAbstractUI.aspx?menuIndex=3&amp;refID=7066588&amp;Result=3","7066588")</f>
        <v>0</v>
      </c>
      <c r="B1903" t="s">
        <v>819</v>
      </c>
      <c r="C1903" t="s">
        <v>5374</v>
      </c>
      <c r="D1903" t="s">
        <v>18786</v>
      </c>
      <c r="E1903" t="s">
        <v>20641</v>
      </c>
      <c r="F1903" t="s">
        <v>32664</v>
      </c>
      <c r="G1903" t="s">
        <v>32671</v>
      </c>
      <c r="H1903" t="s">
        <v>12635</v>
      </c>
      <c r="I1903" t="s">
        <v>10374</v>
      </c>
      <c r="J1903" t="s">
        <v>34189</v>
      </c>
      <c r="K1903" t="s">
        <v>42284</v>
      </c>
      <c r="M1903" t="s">
        <v>43414</v>
      </c>
      <c r="N1903" t="s">
        <v>46569</v>
      </c>
      <c r="O1903" t="s">
        <v>46570</v>
      </c>
      <c r="P1903">
        <v>0</v>
      </c>
      <c r="Q1903">
        <v>2</v>
      </c>
      <c r="R1903" t="s">
        <v>46571</v>
      </c>
      <c r="S1903" t="s">
        <v>46687</v>
      </c>
      <c r="T1903" t="s">
        <v>48282</v>
      </c>
      <c r="U1903" t="s">
        <v>50372</v>
      </c>
      <c r="W1903" t="s">
        <v>43414</v>
      </c>
      <c r="X1903" t="s">
        <v>46572</v>
      </c>
    </row>
    <row r="1904" spans="1:24">
      <c r="A1904">
        <f>HYPERLINK("https://www.philgeps.gov.ph/GEPSNONPILOT/Tender/SplashBidNoticeAbstractUI.aspx?menuIndex=3&amp;refID=7066592&amp;Result=3","7066592")</f>
        <v>0</v>
      </c>
      <c r="B1904" t="s">
        <v>496</v>
      </c>
      <c r="C1904" t="s">
        <v>5375</v>
      </c>
      <c r="D1904" t="s">
        <v>18791</v>
      </c>
      <c r="E1904" t="s">
        <v>20642</v>
      </c>
      <c r="F1904" t="s">
        <v>32664</v>
      </c>
      <c r="G1904" t="s">
        <v>32674</v>
      </c>
      <c r="H1904" t="s">
        <v>12635</v>
      </c>
      <c r="I1904" t="s">
        <v>32685</v>
      </c>
      <c r="J1904" t="s">
        <v>34190</v>
      </c>
      <c r="K1904" t="s">
        <v>42298</v>
      </c>
      <c r="M1904" t="s">
        <v>43072</v>
      </c>
      <c r="N1904" t="s">
        <v>46569</v>
      </c>
      <c r="O1904" t="s">
        <v>46570</v>
      </c>
      <c r="P1904">
        <v>0</v>
      </c>
      <c r="Q1904">
        <v>0</v>
      </c>
      <c r="R1904" t="s">
        <v>46571</v>
      </c>
      <c r="S1904" t="s">
        <v>46687</v>
      </c>
      <c r="T1904" t="s">
        <v>48312</v>
      </c>
      <c r="U1904" t="s">
        <v>49661</v>
      </c>
      <c r="W1904" t="s">
        <v>43072</v>
      </c>
      <c r="X1904" t="s">
        <v>46572</v>
      </c>
    </row>
    <row r="1905" spans="1:24">
      <c r="A1905">
        <f>HYPERLINK("https://www.philgeps.gov.ph/GEPSNONPILOT/Tender/SplashBidNoticeAbstractUI.aspx?menuIndex=3&amp;refID=7066649&amp;Result=3","7066649")</f>
        <v>0</v>
      </c>
      <c r="B1905" t="s">
        <v>830</v>
      </c>
      <c r="C1905" t="s">
        <v>5376</v>
      </c>
      <c r="D1905" t="s">
        <v>18834</v>
      </c>
      <c r="E1905" t="s">
        <v>20643</v>
      </c>
      <c r="F1905" t="s">
        <v>32664</v>
      </c>
      <c r="G1905" t="s">
        <v>32674</v>
      </c>
      <c r="H1905" t="s">
        <v>12635</v>
      </c>
      <c r="I1905" t="s">
        <v>5501</v>
      </c>
      <c r="J1905" t="s">
        <v>34191</v>
      </c>
      <c r="K1905" t="s">
        <v>42295</v>
      </c>
      <c r="M1905" t="s">
        <v>43425</v>
      </c>
      <c r="N1905" t="s">
        <v>46569</v>
      </c>
      <c r="O1905" t="s">
        <v>46570</v>
      </c>
      <c r="P1905">
        <v>0</v>
      </c>
      <c r="Q1905">
        <v>2</v>
      </c>
      <c r="R1905" t="s">
        <v>46571</v>
      </c>
      <c r="S1905" t="s">
        <v>46687</v>
      </c>
      <c r="T1905" t="s">
        <v>48316</v>
      </c>
      <c r="U1905" t="s">
        <v>50373</v>
      </c>
      <c r="W1905" t="s">
        <v>43425</v>
      </c>
      <c r="X1905" t="s">
        <v>46572</v>
      </c>
    </row>
    <row r="1906" spans="1:24">
      <c r="A1906">
        <f>HYPERLINK("https://www.philgeps.gov.ph/GEPSNONPILOT/Tender/SplashBidNoticeAbstractUI.aspx?menuIndex=3&amp;refID=7066654&amp;Result=3","7066654")</f>
        <v>0</v>
      </c>
      <c r="B1906" t="s">
        <v>831</v>
      </c>
      <c r="C1906" t="s">
        <v>5377</v>
      </c>
      <c r="D1906" t="s">
        <v>18781</v>
      </c>
      <c r="E1906" t="s">
        <v>19323</v>
      </c>
      <c r="F1906" t="s">
        <v>32664</v>
      </c>
      <c r="G1906" t="s">
        <v>32671</v>
      </c>
      <c r="H1906" t="s">
        <v>12635</v>
      </c>
      <c r="I1906" t="s">
        <v>32701</v>
      </c>
      <c r="J1906" t="s">
        <v>34192</v>
      </c>
      <c r="K1906" t="s">
        <v>42309</v>
      </c>
      <c r="M1906" t="s">
        <v>43426</v>
      </c>
      <c r="N1906" t="s">
        <v>46569</v>
      </c>
      <c r="O1906" t="s">
        <v>46570</v>
      </c>
      <c r="P1906">
        <v>0</v>
      </c>
      <c r="Q1906">
        <v>0</v>
      </c>
      <c r="R1906" t="s">
        <v>46571</v>
      </c>
      <c r="S1906" t="s">
        <v>46687</v>
      </c>
      <c r="T1906" t="s">
        <v>48391</v>
      </c>
      <c r="U1906" t="s">
        <v>50374</v>
      </c>
      <c r="V1906" t="s">
        <v>61823</v>
      </c>
      <c r="W1906" t="s">
        <v>43426</v>
      </c>
      <c r="X1906" t="s">
        <v>46572</v>
      </c>
    </row>
    <row r="1907" spans="1:24">
      <c r="A1907">
        <f>HYPERLINK("https://www.philgeps.gov.ph/GEPSNONPILOT/Tender/SplashBidNoticeAbstractUI.aspx?menuIndex=3&amp;refID=7066571&amp;Result=3","7066571")</f>
        <v>0</v>
      </c>
      <c r="B1907" t="s">
        <v>708</v>
      </c>
      <c r="C1907" t="s">
        <v>5378</v>
      </c>
      <c r="D1907" t="s">
        <v>18792</v>
      </c>
      <c r="E1907" t="s">
        <v>20644</v>
      </c>
      <c r="F1907" t="s">
        <v>32664</v>
      </c>
      <c r="G1907" t="s">
        <v>32671</v>
      </c>
      <c r="H1907" t="s">
        <v>12635</v>
      </c>
      <c r="I1907" t="s">
        <v>6628</v>
      </c>
      <c r="J1907" t="s">
        <v>34142</v>
      </c>
      <c r="K1907" t="s">
        <v>42309</v>
      </c>
      <c r="M1907" t="s">
        <v>43295</v>
      </c>
      <c r="N1907" t="s">
        <v>46569</v>
      </c>
      <c r="O1907" t="s">
        <v>46570</v>
      </c>
      <c r="P1907">
        <v>0</v>
      </c>
      <c r="Q1907">
        <v>1</v>
      </c>
      <c r="R1907" t="s">
        <v>46571</v>
      </c>
      <c r="S1907" t="s">
        <v>46687</v>
      </c>
      <c r="T1907" t="s">
        <v>48228</v>
      </c>
      <c r="U1907" t="s">
        <v>50375</v>
      </c>
      <c r="W1907" t="s">
        <v>43295</v>
      </c>
      <c r="X1907" t="s">
        <v>46572</v>
      </c>
    </row>
    <row r="1908" spans="1:24">
      <c r="A1908">
        <f>HYPERLINK("https://www.philgeps.gov.ph/GEPSNONPILOT/Tender/SplashBidNoticeAbstractUI.aspx?menuIndex=3&amp;refID=7066575&amp;Result=3","7066575")</f>
        <v>0</v>
      </c>
      <c r="B1908" t="s">
        <v>832</v>
      </c>
      <c r="C1908" t="s">
        <v>5379</v>
      </c>
      <c r="D1908" t="s">
        <v>18784</v>
      </c>
      <c r="E1908" t="s">
        <v>20645</v>
      </c>
      <c r="F1908" t="s">
        <v>32664</v>
      </c>
      <c r="G1908" t="s">
        <v>32674</v>
      </c>
      <c r="H1908" t="s">
        <v>12635</v>
      </c>
      <c r="I1908" t="s">
        <v>4333</v>
      </c>
      <c r="J1908" t="s">
        <v>33621</v>
      </c>
      <c r="K1908" t="s">
        <v>42284</v>
      </c>
      <c r="M1908" t="s">
        <v>43427</v>
      </c>
      <c r="N1908" t="s">
        <v>46569</v>
      </c>
      <c r="O1908" t="s">
        <v>46570</v>
      </c>
      <c r="P1908">
        <v>0</v>
      </c>
      <c r="Q1908">
        <v>2</v>
      </c>
      <c r="R1908" t="s">
        <v>46571</v>
      </c>
      <c r="S1908" t="s">
        <v>46687</v>
      </c>
      <c r="T1908" t="s">
        <v>48221</v>
      </c>
      <c r="U1908" t="s">
        <v>50376</v>
      </c>
      <c r="W1908" t="s">
        <v>43427</v>
      </c>
      <c r="X1908" t="s">
        <v>46572</v>
      </c>
    </row>
    <row r="1909" spans="1:24">
      <c r="A1909">
        <f>HYPERLINK("https://www.philgeps.gov.ph/GEPSNONPILOT/Tender/SplashBidNoticeAbstractUI.aspx?menuIndex=3&amp;refID=7066569&amp;Result=3","7066569")</f>
        <v>0</v>
      </c>
      <c r="B1909" t="s">
        <v>788</v>
      </c>
      <c r="C1909" t="s">
        <v>5380</v>
      </c>
      <c r="D1909" t="s">
        <v>18798</v>
      </c>
      <c r="E1909" t="s">
        <v>20646</v>
      </c>
      <c r="F1909" t="s">
        <v>32664</v>
      </c>
      <c r="G1909" t="s">
        <v>32672</v>
      </c>
      <c r="H1909" t="s">
        <v>32681</v>
      </c>
      <c r="I1909" t="s">
        <v>32681</v>
      </c>
      <c r="J1909" t="s">
        <v>34193</v>
      </c>
      <c r="K1909" t="s">
        <v>42334</v>
      </c>
      <c r="M1909" t="s">
        <v>43380</v>
      </c>
      <c r="N1909" t="s">
        <v>46569</v>
      </c>
      <c r="O1909" t="s">
        <v>46570</v>
      </c>
      <c r="P1909">
        <v>0</v>
      </c>
      <c r="Q1909">
        <v>1</v>
      </c>
      <c r="R1909" t="s">
        <v>46571</v>
      </c>
      <c r="S1909" t="s">
        <v>46687</v>
      </c>
      <c r="T1909" t="s">
        <v>48223</v>
      </c>
      <c r="U1909" t="s">
        <v>50283</v>
      </c>
      <c r="W1909" t="s">
        <v>43380</v>
      </c>
      <c r="X1909" t="s">
        <v>46572</v>
      </c>
    </row>
    <row r="1910" spans="1:24">
      <c r="A1910">
        <f>HYPERLINK("https://www.philgeps.gov.ph/GEPSNONPILOT/Tender/SplashBidNoticeAbstractUI.aspx?menuIndex=3&amp;refID=7066591&amp;Result=3","7066591")</f>
        <v>0</v>
      </c>
      <c r="B1910" t="s">
        <v>833</v>
      </c>
      <c r="C1910" t="s">
        <v>5381</v>
      </c>
      <c r="D1910" t="s">
        <v>18789</v>
      </c>
      <c r="E1910" t="s">
        <v>20647</v>
      </c>
      <c r="F1910" t="s">
        <v>32664</v>
      </c>
      <c r="G1910" t="s">
        <v>32671</v>
      </c>
      <c r="H1910" t="s">
        <v>12635</v>
      </c>
      <c r="I1910" t="s">
        <v>32685</v>
      </c>
      <c r="J1910" t="s">
        <v>34194</v>
      </c>
      <c r="K1910" t="s">
        <v>42297</v>
      </c>
      <c r="M1910" t="s">
        <v>43428</v>
      </c>
      <c r="N1910" t="s">
        <v>46569</v>
      </c>
      <c r="O1910" t="s">
        <v>46570</v>
      </c>
      <c r="P1910">
        <v>0</v>
      </c>
      <c r="Q1910">
        <v>1</v>
      </c>
      <c r="R1910" t="s">
        <v>46571</v>
      </c>
      <c r="S1910" t="s">
        <v>46687</v>
      </c>
      <c r="T1910" t="s">
        <v>48211</v>
      </c>
      <c r="U1910" t="s">
        <v>50377</v>
      </c>
      <c r="W1910" t="s">
        <v>43428</v>
      </c>
      <c r="X1910" t="s">
        <v>46572</v>
      </c>
    </row>
    <row r="1911" spans="1:24">
      <c r="A1911">
        <f>HYPERLINK("https://www.philgeps.gov.ph/GEPSNONPILOT/Tender/SplashBidNoticeAbstractUI.aspx?menuIndex=3&amp;refID=7066572&amp;Result=3","7066572")</f>
        <v>0</v>
      </c>
      <c r="B1911" t="s">
        <v>748</v>
      </c>
      <c r="C1911" t="s">
        <v>5382</v>
      </c>
      <c r="D1911" t="s">
        <v>18805</v>
      </c>
      <c r="E1911" t="s">
        <v>20648</v>
      </c>
      <c r="F1911" t="s">
        <v>32664</v>
      </c>
      <c r="G1911" t="s">
        <v>32674</v>
      </c>
      <c r="H1911" t="s">
        <v>32683</v>
      </c>
      <c r="I1911" t="s">
        <v>10627</v>
      </c>
      <c r="J1911" t="s">
        <v>33309</v>
      </c>
      <c r="K1911" t="s">
        <v>42284</v>
      </c>
      <c r="M1911" t="s">
        <v>43338</v>
      </c>
      <c r="N1911" t="s">
        <v>46569</v>
      </c>
      <c r="O1911" t="s">
        <v>46570</v>
      </c>
      <c r="P1911">
        <v>0</v>
      </c>
      <c r="Q1911">
        <v>0</v>
      </c>
      <c r="R1911" t="s">
        <v>46571</v>
      </c>
      <c r="S1911" t="s">
        <v>46687</v>
      </c>
      <c r="T1911" t="s">
        <v>48221</v>
      </c>
      <c r="U1911" t="s">
        <v>50378</v>
      </c>
      <c r="W1911" t="s">
        <v>43338</v>
      </c>
      <c r="X1911" t="s">
        <v>46572</v>
      </c>
    </row>
    <row r="1912" spans="1:24">
      <c r="A1912">
        <f>HYPERLINK("https://www.philgeps.gov.ph/GEPSNONPILOT/Tender/SplashBidNoticeAbstractUI.aspx?menuIndex=3&amp;refID=7066561&amp;Result=3","7066561")</f>
        <v>0</v>
      </c>
      <c r="B1912" t="s">
        <v>834</v>
      </c>
      <c r="C1912" t="s">
        <v>5383</v>
      </c>
      <c r="D1912" t="s">
        <v>18831</v>
      </c>
      <c r="E1912" t="s">
        <v>20649</v>
      </c>
      <c r="F1912" t="s">
        <v>32664</v>
      </c>
      <c r="G1912" t="s">
        <v>32674</v>
      </c>
      <c r="H1912" t="s">
        <v>12635</v>
      </c>
      <c r="I1912" t="s">
        <v>4439</v>
      </c>
      <c r="J1912" t="s">
        <v>34195</v>
      </c>
      <c r="K1912" t="s">
        <v>42283</v>
      </c>
      <c r="M1912" t="s">
        <v>43429</v>
      </c>
      <c r="N1912" t="s">
        <v>46569</v>
      </c>
      <c r="O1912" t="s">
        <v>46570</v>
      </c>
      <c r="P1912">
        <v>0</v>
      </c>
      <c r="Q1912">
        <v>0</v>
      </c>
      <c r="R1912" t="s">
        <v>46571</v>
      </c>
      <c r="S1912" t="s">
        <v>46687</v>
      </c>
      <c r="T1912" t="s">
        <v>48286</v>
      </c>
      <c r="U1912" t="s">
        <v>50379</v>
      </c>
      <c r="V1912" t="s">
        <v>61824</v>
      </c>
      <c r="W1912" t="s">
        <v>43429</v>
      </c>
      <c r="X1912" t="s">
        <v>46572</v>
      </c>
    </row>
    <row r="1913" spans="1:24">
      <c r="A1913">
        <f>HYPERLINK("https://www.philgeps.gov.ph/GEPSNONPILOT/Tender/SplashBidNoticeAbstractUI.aspx?menuIndex=3&amp;refID=7066548&amp;Result=3","7066548")</f>
        <v>0</v>
      </c>
      <c r="B1913" t="s">
        <v>611</v>
      </c>
      <c r="C1913" t="s">
        <v>5384</v>
      </c>
      <c r="D1913" t="s">
        <v>18784</v>
      </c>
      <c r="E1913" t="s">
        <v>20650</v>
      </c>
      <c r="F1913" t="s">
        <v>32664</v>
      </c>
      <c r="G1913" t="s">
        <v>32671</v>
      </c>
      <c r="H1913" t="s">
        <v>12635</v>
      </c>
      <c r="I1913" t="s">
        <v>32704</v>
      </c>
      <c r="J1913" t="s">
        <v>33299</v>
      </c>
      <c r="K1913" t="s">
        <v>42283</v>
      </c>
      <c r="M1913" t="s">
        <v>43191</v>
      </c>
      <c r="N1913" t="s">
        <v>46569</v>
      </c>
      <c r="O1913" t="s">
        <v>46570</v>
      </c>
      <c r="P1913">
        <v>0</v>
      </c>
      <c r="Q1913">
        <v>2</v>
      </c>
      <c r="R1913" t="s">
        <v>46571</v>
      </c>
      <c r="S1913" t="s">
        <v>46687</v>
      </c>
      <c r="T1913" t="s">
        <v>48250</v>
      </c>
      <c r="U1913" t="s">
        <v>50380</v>
      </c>
      <c r="W1913" t="s">
        <v>43191</v>
      </c>
      <c r="X1913" t="s">
        <v>46572</v>
      </c>
    </row>
    <row r="1914" spans="1:24">
      <c r="A1914">
        <f>HYPERLINK("https://www.philgeps.gov.ph/GEPSNONPILOT/Tender/SplashBidNoticeAbstractUI.aspx?menuIndex=3&amp;refID=7066567&amp;Result=3","7066567")</f>
        <v>0</v>
      </c>
      <c r="B1914" t="s">
        <v>690</v>
      </c>
      <c r="C1914" t="s">
        <v>5385</v>
      </c>
      <c r="D1914" t="s">
        <v>18781</v>
      </c>
      <c r="E1914" t="s">
        <v>20651</v>
      </c>
      <c r="F1914" t="s">
        <v>32664</v>
      </c>
      <c r="G1914" t="s">
        <v>32672</v>
      </c>
      <c r="H1914" t="s">
        <v>32683</v>
      </c>
      <c r="I1914" t="s">
        <v>10627</v>
      </c>
      <c r="J1914" t="s">
        <v>34196</v>
      </c>
      <c r="K1914" t="s">
        <v>42303</v>
      </c>
      <c r="L1914" t="s">
        <v>690</v>
      </c>
      <c r="M1914" t="s">
        <v>43277</v>
      </c>
      <c r="N1914" t="s">
        <v>46569</v>
      </c>
      <c r="O1914" t="s">
        <v>46570</v>
      </c>
      <c r="P1914">
        <v>0</v>
      </c>
      <c r="Q1914">
        <v>0</v>
      </c>
      <c r="R1914" t="s">
        <v>46571</v>
      </c>
      <c r="S1914" t="s">
        <v>46687</v>
      </c>
      <c r="T1914" t="s">
        <v>48360</v>
      </c>
      <c r="U1914" t="s">
        <v>50079</v>
      </c>
      <c r="W1914" t="s">
        <v>43277</v>
      </c>
      <c r="X1914" t="s">
        <v>46572</v>
      </c>
    </row>
    <row r="1915" spans="1:24">
      <c r="A1915">
        <f>HYPERLINK("https://www.philgeps.gov.ph/GEPSNONPILOT/Tender/SplashBidNoticeAbstractUI.aspx?menuIndex=3&amp;refID=7066570&amp;Result=3","7066570")</f>
        <v>0</v>
      </c>
      <c r="B1915" t="s">
        <v>803</v>
      </c>
      <c r="C1915" t="s">
        <v>5386</v>
      </c>
      <c r="D1915" t="s">
        <v>18841</v>
      </c>
      <c r="E1915" t="s">
        <v>20652</v>
      </c>
      <c r="F1915" t="s">
        <v>32664</v>
      </c>
      <c r="G1915" t="s">
        <v>32672</v>
      </c>
      <c r="H1915" t="s">
        <v>32683</v>
      </c>
      <c r="I1915" t="s">
        <v>10627</v>
      </c>
      <c r="J1915" t="s">
        <v>34197</v>
      </c>
      <c r="K1915" t="s">
        <v>42376</v>
      </c>
      <c r="M1915" t="s">
        <v>43395</v>
      </c>
      <c r="N1915" t="s">
        <v>46569</v>
      </c>
      <c r="O1915" t="s">
        <v>46570</v>
      </c>
      <c r="P1915">
        <v>0</v>
      </c>
      <c r="Q1915">
        <v>0</v>
      </c>
      <c r="R1915" t="s">
        <v>46571</v>
      </c>
      <c r="S1915" t="s">
        <v>46687</v>
      </c>
      <c r="T1915" t="s">
        <v>48220</v>
      </c>
      <c r="U1915" t="s">
        <v>50315</v>
      </c>
      <c r="V1915" t="s">
        <v>61825</v>
      </c>
      <c r="W1915" t="s">
        <v>43395</v>
      </c>
      <c r="X1915" t="s">
        <v>46572</v>
      </c>
    </row>
    <row r="1916" spans="1:24">
      <c r="A1916">
        <f>HYPERLINK("https://www.philgeps.gov.ph/GEPSNONPILOT/Tender/SplashBidNoticeAbstractUI.aspx?menuIndex=3&amp;refID=7066568&amp;Result=3","7066568")</f>
        <v>0</v>
      </c>
      <c r="B1916" t="s">
        <v>239</v>
      </c>
      <c r="C1916" t="s">
        <v>5387</v>
      </c>
      <c r="D1916" t="s">
        <v>18801</v>
      </c>
      <c r="E1916" t="s">
        <v>20653</v>
      </c>
      <c r="F1916" t="s">
        <v>32664</v>
      </c>
      <c r="G1916" t="s">
        <v>32671</v>
      </c>
      <c r="H1916" t="s">
        <v>12635</v>
      </c>
      <c r="I1916" t="s">
        <v>32694</v>
      </c>
      <c r="J1916" t="s">
        <v>34198</v>
      </c>
      <c r="K1916" t="s">
        <v>42283</v>
      </c>
      <c r="M1916" t="s">
        <v>42804</v>
      </c>
      <c r="N1916" t="s">
        <v>46569</v>
      </c>
      <c r="O1916" t="s">
        <v>46570</v>
      </c>
      <c r="P1916">
        <v>0</v>
      </c>
      <c r="Q1916">
        <v>2</v>
      </c>
      <c r="R1916" t="s">
        <v>46571</v>
      </c>
      <c r="S1916" t="s">
        <v>46687</v>
      </c>
      <c r="T1916" t="s">
        <v>48298</v>
      </c>
      <c r="U1916" t="s">
        <v>50381</v>
      </c>
      <c r="W1916" t="s">
        <v>63468</v>
      </c>
      <c r="X1916" t="s">
        <v>46572</v>
      </c>
    </row>
    <row r="1917" spans="1:24">
      <c r="A1917">
        <f>HYPERLINK("https://www.philgeps.gov.ph/GEPSNONPILOT/Tender/SplashBidNoticeAbstractUI.aspx?menuIndex=3&amp;refID=7066543&amp;Result=3","7066543")</f>
        <v>0</v>
      </c>
      <c r="B1917" t="s">
        <v>678</v>
      </c>
      <c r="C1917" t="s">
        <v>5122</v>
      </c>
      <c r="E1917" t="s">
        <v>20654</v>
      </c>
      <c r="F1917" t="s">
        <v>32664</v>
      </c>
      <c r="G1917" t="s">
        <v>32671</v>
      </c>
      <c r="H1917" t="s">
        <v>12635</v>
      </c>
      <c r="I1917" t="s">
        <v>32706</v>
      </c>
      <c r="J1917" t="s">
        <v>32976</v>
      </c>
      <c r="K1917" t="s">
        <v>42283</v>
      </c>
      <c r="M1917" t="s">
        <v>43265</v>
      </c>
      <c r="N1917" t="s">
        <v>46569</v>
      </c>
      <c r="O1917" t="s">
        <v>46570</v>
      </c>
      <c r="P1917">
        <v>0</v>
      </c>
      <c r="Q1917">
        <v>0</v>
      </c>
      <c r="R1917" t="s">
        <v>46571</v>
      </c>
      <c r="S1917" t="s">
        <v>46687</v>
      </c>
      <c r="T1917" t="s">
        <v>48312</v>
      </c>
      <c r="U1917" t="s">
        <v>50382</v>
      </c>
      <c r="W1917" t="s">
        <v>43265</v>
      </c>
      <c r="X1917" t="s">
        <v>46572</v>
      </c>
    </row>
    <row r="1918" spans="1:24">
      <c r="A1918">
        <f>HYPERLINK("https://www.philgeps.gov.ph/GEPSNONPILOT/Tender/SplashBidNoticeAbstractUI.aspx?menuIndex=3&amp;refID=7066542&amp;Result=3","7066542")</f>
        <v>0</v>
      </c>
      <c r="B1918" t="s">
        <v>747</v>
      </c>
      <c r="C1918" t="s">
        <v>5388</v>
      </c>
      <c r="D1918" t="s">
        <v>18806</v>
      </c>
      <c r="E1918" t="s">
        <v>20655</v>
      </c>
      <c r="F1918" t="s">
        <v>32664</v>
      </c>
      <c r="G1918" t="s">
        <v>32672</v>
      </c>
      <c r="H1918" t="s">
        <v>12635</v>
      </c>
      <c r="I1918" t="s">
        <v>9486</v>
      </c>
      <c r="J1918" t="s">
        <v>34199</v>
      </c>
      <c r="K1918" t="s">
        <v>42305</v>
      </c>
      <c r="M1918" t="s">
        <v>43337</v>
      </c>
      <c r="N1918" t="s">
        <v>46569</v>
      </c>
      <c r="O1918" t="s">
        <v>46570</v>
      </c>
      <c r="P1918">
        <v>0</v>
      </c>
      <c r="Q1918">
        <v>2</v>
      </c>
      <c r="R1918" t="s">
        <v>46571</v>
      </c>
      <c r="S1918" t="s">
        <v>46687</v>
      </c>
      <c r="T1918" t="s">
        <v>48404</v>
      </c>
      <c r="U1918" t="s">
        <v>50383</v>
      </c>
      <c r="V1918" t="s">
        <v>61816</v>
      </c>
      <c r="W1918" t="s">
        <v>43337</v>
      </c>
      <c r="X1918" t="s">
        <v>46572</v>
      </c>
    </row>
    <row r="1919" spans="1:24">
      <c r="A1919">
        <f>HYPERLINK("https://www.philgeps.gov.ph/GEPSNONPILOT/Tender/SplashBidNoticeAbstractUI.aspx?menuIndex=3&amp;refID=7066540&amp;Result=3","7066540")</f>
        <v>0</v>
      </c>
      <c r="B1919" t="s">
        <v>708</v>
      </c>
      <c r="C1919" t="s">
        <v>5389</v>
      </c>
      <c r="D1919" t="s">
        <v>18792</v>
      </c>
      <c r="E1919" t="s">
        <v>20656</v>
      </c>
      <c r="F1919" t="s">
        <v>32664</v>
      </c>
      <c r="G1919" t="s">
        <v>32677</v>
      </c>
      <c r="H1919" t="s">
        <v>12635</v>
      </c>
      <c r="I1919" t="s">
        <v>32686</v>
      </c>
      <c r="J1919" t="s">
        <v>33888</v>
      </c>
      <c r="K1919" t="s">
        <v>42281</v>
      </c>
      <c r="M1919" t="s">
        <v>43295</v>
      </c>
      <c r="N1919" t="s">
        <v>46569</v>
      </c>
      <c r="O1919" t="s">
        <v>46570</v>
      </c>
      <c r="P1919">
        <v>0</v>
      </c>
      <c r="Q1919">
        <v>1</v>
      </c>
      <c r="R1919" t="s">
        <v>46571</v>
      </c>
      <c r="S1919" t="s">
        <v>46687</v>
      </c>
      <c r="T1919" t="s">
        <v>48228</v>
      </c>
      <c r="U1919" t="s">
        <v>50384</v>
      </c>
      <c r="W1919" t="s">
        <v>43295</v>
      </c>
      <c r="X1919" t="s">
        <v>46572</v>
      </c>
    </row>
    <row r="1920" spans="1:24">
      <c r="A1920">
        <f>HYPERLINK("https://www.philgeps.gov.ph/GEPSNONPILOT/Tender/SplashBidNoticeAbstractUI.aspx?menuIndex=3&amp;refID=7066545&amp;Result=3","7066545")</f>
        <v>0</v>
      </c>
      <c r="B1920" t="s">
        <v>568</v>
      </c>
      <c r="C1920" t="s">
        <v>5390</v>
      </c>
      <c r="D1920" t="s">
        <v>18822</v>
      </c>
      <c r="E1920" t="s">
        <v>20657</v>
      </c>
      <c r="F1920" t="s">
        <v>32664</v>
      </c>
      <c r="G1920" t="s">
        <v>32672</v>
      </c>
      <c r="H1920" t="s">
        <v>32683</v>
      </c>
      <c r="I1920" t="s">
        <v>10627</v>
      </c>
      <c r="J1920" t="s">
        <v>34200</v>
      </c>
      <c r="K1920" t="s">
        <v>42305</v>
      </c>
      <c r="M1920" t="s">
        <v>43148</v>
      </c>
      <c r="N1920" t="s">
        <v>46569</v>
      </c>
      <c r="O1920" t="s">
        <v>46570</v>
      </c>
      <c r="P1920">
        <v>0</v>
      </c>
      <c r="Q1920">
        <v>0</v>
      </c>
      <c r="R1920" t="s">
        <v>46571</v>
      </c>
      <c r="S1920" t="s">
        <v>46687</v>
      </c>
      <c r="T1920" t="s">
        <v>48366</v>
      </c>
      <c r="U1920" t="s">
        <v>50171</v>
      </c>
      <c r="V1920" t="s">
        <v>61801</v>
      </c>
      <c r="W1920" t="s">
        <v>63484</v>
      </c>
      <c r="X1920" t="s">
        <v>46572</v>
      </c>
    </row>
    <row r="1921" spans="1:24">
      <c r="A1921">
        <f>HYPERLINK("https://www.philgeps.gov.ph/GEPSNONPILOT/Tender/SplashBidNoticeAbstractUI.aspx?menuIndex=3&amp;refID=7066523&amp;Result=3","7066523")</f>
        <v>0</v>
      </c>
      <c r="B1921" t="s">
        <v>782</v>
      </c>
      <c r="C1921" t="s">
        <v>5391</v>
      </c>
      <c r="D1921" t="s">
        <v>18790</v>
      </c>
      <c r="E1921" t="s">
        <v>20658</v>
      </c>
      <c r="F1921" t="s">
        <v>32664</v>
      </c>
      <c r="G1921" t="s">
        <v>32672</v>
      </c>
      <c r="H1921" t="s">
        <v>12635</v>
      </c>
      <c r="I1921" t="s">
        <v>32696</v>
      </c>
      <c r="J1921" t="s">
        <v>34201</v>
      </c>
      <c r="K1921" t="s">
        <v>42283</v>
      </c>
      <c r="M1921" t="s">
        <v>43374</v>
      </c>
      <c r="N1921" t="s">
        <v>46569</v>
      </c>
      <c r="O1921" t="s">
        <v>46570</v>
      </c>
      <c r="P1921">
        <v>0</v>
      </c>
      <c r="Q1921">
        <v>0</v>
      </c>
      <c r="R1921" t="s">
        <v>46571</v>
      </c>
      <c r="S1921" t="s">
        <v>46687</v>
      </c>
      <c r="T1921" t="s">
        <v>48349</v>
      </c>
      <c r="U1921" t="s">
        <v>50385</v>
      </c>
      <c r="W1921" t="s">
        <v>43374</v>
      </c>
      <c r="X1921" t="s">
        <v>46572</v>
      </c>
    </row>
    <row r="1922" spans="1:24">
      <c r="A1922">
        <f>HYPERLINK("https://www.philgeps.gov.ph/GEPSNONPILOT/Tender/SplashBidNoticeAbstractUI.aspx?menuIndex=3&amp;refID=7066522&amp;Result=3","7066522")</f>
        <v>0</v>
      </c>
      <c r="B1922" t="s">
        <v>784</v>
      </c>
      <c r="C1922" t="s">
        <v>5392</v>
      </c>
      <c r="D1922" t="s">
        <v>18785</v>
      </c>
      <c r="E1922" t="s">
        <v>20659</v>
      </c>
      <c r="F1922" t="s">
        <v>32664</v>
      </c>
      <c r="G1922" t="s">
        <v>32674</v>
      </c>
      <c r="H1922" t="s">
        <v>12635</v>
      </c>
      <c r="I1922" t="s">
        <v>6168</v>
      </c>
      <c r="J1922" t="s">
        <v>34202</v>
      </c>
      <c r="K1922" t="s">
        <v>42289</v>
      </c>
      <c r="M1922" t="s">
        <v>43376</v>
      </c>
      <c r="N1922" t="s">
        <v>46569</v>
      </c>
      <c r="O1922" t="s">
        <v>46570</v>
      </c>
      <c r="P1922">
        <v>0</v>
      </c>
      <c r="Q1922">
        <v>0</v>
      </c>
      <c r="R1922" t="s">
        <v>46571</v>
      </c>
      <c r="S1922" t="s">
        <v>46687</v>
      </c>
      <c r="T1922" t="s">
        <v>48221</v>
      </c>
      <c r="U1922" t="s">
        <v>50386</v>
      </c>
      <c r="W1922" t="s">
        <v>46387</v>
      </c>
      <c r="X1922" t="s">
        <v>46572</v>
      </c>
    </row>
    <row r="1923" spans="1:24">
      <c r="A1923">
        <f>HYPERLINK("https://www.philgeps.gov.ph/GEPSNONPILOT/Tender/SplashBidNoticeAbstractUI.aspx?menuIndex=3&amp;refID=7066521&amp;Result=3","7066521")</f>
        <v>0</v>
      </c>
      <c r="B1923" t="s">
        <v>835</v>
      </c>
      <c r="C1923" t="s">
        <v>5393</v>
      </c>
      <c r="D1923" t="s">
        <v>18799</v>
      </c>
      <c r="E1923" t="s">
        <v>20660</v>
      </c>
      <c r="F1923" t="s">
        <v>32664</v>
      </c>
      <c r="G1923" t="s">
        <v>32672</v>
      </c>
      <c r="H1923" t="s">
        <v>32681</v>
      </c>
      <c r="I1923" t="s">
        <v>32748</v>
      </c>
      <c r="J1923" t="s">
        <v>34203</v>
      </c>
      <c r="K1923" t="s">
        <v>42283</v>
      </c>
      <c r="M1923" t="s">
        <v>43430</v>
      </c>
      <c r="N1923" t="s">
        <v>46569</v>
      </c>
      <c r="O1923" t="s">
        <v>46570</v>
      </c>
      <c r="P1923">
        <v>0</v>
      </c>
      <c r="Q1923">
        <v>2</v>
      </c>
      <c r="R1923" t="s">
        <v>46571</v>
      </c>
      <c r="S1923" t="s">
        <v>46687</v>
      </c>
      <c r="T1923" t="s">
        <v>48262</v>
      </c>
      <c r="U1923" t="s">
        <v>50387</v>
      </c>
      <c r="W1923" t="s">
        <v>43430</v>
      </c>
      <c r="X1923" t="s">
        <v>46572</v>
      </c>
    </row>
    <row r="1924" spans="1:24">
      <c r="A1924">
        <f>HYPERLINK("https://www.philgeps.gov.ph/GEPSNONPILOT/Tender/SplashBidNoticeAbstractUI.aspx?menuIndex=3&amp;refID=7066541&amp;Result=3","7066541")</f>
        <v>0</v>
      </c>
      <c r="B1924" t="s">
        <v>818</v>
      </c>
      <c r="C1924" t="s">
        <v>5394</v>
      </c>
      <c r="D1924" t="s">
        <v>18816</v>
      </c>
      <c r="E1924" t="s">
        <v>20661</v>
      </c>
      <c r="F1924" t="s">
        <v>32664</v>
      </c>
      <c r="G1924" t="s">
        <v>32672</v>
      </c>
      <c r="H1924" t="s">
        <v>32683</v>
      </c>
      <c r="I1924" t="s">
        <v>10627</v>
      </c>
      <c r="J1924" t="s">
        <v>33886</v>
      </c>
      <c r="K1924" t="s">
        <v>42319</v>
      </c>
      <c r="M1924" t="s">
        <v>43413</v>
      </c>
      <c r="N1924" t="s">
        <v>46569</v>
      </c>
      <c r="O1924" t="s">
        <v>46570</v>
      </c>
      <c r="P1924">
        <v>0</v>
      </c>
      <c r="Q1924">
        <v>0</v>
      </c>
      <c r="R1924" t="s">
        <v>46571</v>
      </c>
      <c r="S1924" t="s">
        <v>46687</v>
      </c>
      <c r="T1924" t="s">
        <v>48222</v>
      </c>
      <c r="U1924" t="s">
        <v>50388</v>
      </c>
      <c r="W1924" t="s">
        <v>43413</v>
      </c>
      <c r="X1924" t="s">
        <v>46572</v>
      </c>
    </row>
    <row r="1925" spans="1:24">
      <c r="A1925">
        <f>HYPERLINK("https://www.philgeps.gov.ph/GEPSNONPILOT/Tender/SplashBidNoticeAbstractUI.aspx?menuIndex=3&amp;refID=7066547&amp;Result=3","7066547")</f>
        <v>0</v>
      </c>
      <c r="B1925" t="s">
        <v>689</v>
      </c>
      <c r="C1925" t="s">
        <v>5395</v>
      </c>
      <c r="D1925" t="s">
        <v>18822</v>
      </c>
      <c r="E1925" t="s">
        <v>20662</v>
      </c>
      <c r="F1925" t="s">
        <v>32664</v>
      </c>
      <c r="G1925" t="s">
        <v>32671</v>
      </c>
      <c r="H1925" t="s">
        <v>12635</v>
      </c>
      <c r="I1925" t="s">
        <v>10361</v>
      </c>
      <c r="J1925" t="s">
        <v>33391</v>
      </c>
      <c r="K1925" t="s">
        <v>42281</v>
      </c>
      <c r="M1925" t="s">
        <v>43276</v>
      </c>
      <c r="N1925" t="s">
        <v>46569</v>
      </c>
      <c r="O1925" t="s">
        <v>46570</v>
      </c>
      <c r="P1925">
        <v>0</v>
      </c>
      <c r="Q1925">
        <v>0</v>
      </c>
      <c r="R1925" t="s">
        <v>46571</v>
      </c>
      <c r="S1925" t="s">
        <v>46687</v>
      </c>
      <c r="T1925" t="s">
        <v>48293</v>
      </c>
      <c r="U1925" t="s">
        <v>50389</v>
      </c>
      <c r="V1925" t="s">
        <v>61795</v>
      </c>
      <c r="W1925" t="s">
        <v>43276</v>
      </c>
      <c r="X1925" t="s">
        <v>46572</v>
      </c>
    </row>
    <row r="1926" spans="1:24">
      <c r="A1926">
        <f>HYPERLINK("https://www.philgeps.gov.ph/GEPSNONPILOT/Tender/SplashBidNoticeAbstractUI.aspx?menuIndex=3&amp;refID=7066519&amp;Result=3","7066519")</f>
        <v>0</v>
      </c>
      <c r="B1926" t="s">
        <v>446</v>
      </c>
      <c r="C1926" t="s">
        <v>5396</v>
      </c>
      <c r="D1926" t="s">
        <v>18805</v>
      </c>
      <c r="E1926" t="s">
        <v>20663</v>
      </c>
      <c r="F1926" t="s">
        <v>32664</v>
      </c>
      <c r="G1926" t="s">
        <v>32672</v>
      </c>
      <c r="H1926" t="s">
        <v>12635</v>
      </c>
      <c r="I1926" t="s">
        <v>8730</v>
      </c>
      <c r="J1926" t="s">
        <v>34204</v>
      </c>
      <c r="K1926" t="s">
        <v>42306</v>
      </c>
      <c r="M1926" t="s">
        <v>43019</v>
      </c>
      <c r="N1926" t="s">
        <v>46569</v>
      </c>
      <c r="O1926" t="s">
        <v>46570</v>
      </c>
      <c r="P1926">
        <v>0</v>
      </c>
      <c r="Q1926">
        <v>1</v>
      </c>
      <c r="R1926" t="s">
        <v>46571</v>
      </c>
      <c r="S1926" t="s">
        <v>46687</v>
      </c>
      <c r="T1926" t="s">
        <v>48352</v>
      </c>
      <c r="U1926" t="s">
        <v>50281</v>
      </c>
      <c r="W1926" t="s">
        <v>43019</v>
      </c>
      <c r="X1926" t="s">
        <v>46572</v>
      </c>
    </row>
    <row r="1927" spans="1:24">
      <c r="A1927">
        <f>HYPERLINK("https://www.philgeps.gov.ph/GEPSNONPILOT/Tender/SplashBidNoticeAbstractUI.aspx?menuIndex=3&amp;refID=7066468&amp;Result=3","7066468")</f>
        <v>0</v>
      </c>
      <c r="B1927" t="s">
        <v>55</v>
      </c>
      <c r="C1927" t="s">
        <v>5397</v>
      </c>
      <c r="D1927" t="s">
        <v>18804</v>
      </c>
      <c r="E1927" t="s">
        <v>20664</v>
      </c>
      <c r="F1927" t="s">
        <v>32664</v>
      </c>
      <c r="G1927" t="s">
        <v>32672</v>
      </c>
      <c r="H1927" t="s">
        <v>12635</v>
      </c>
      <c r="I1927" t="s">
        <v>8797</v>
      </c>
      <c r="J1927" t="s">
        <v>34205</v>
      </c>
      <c r="K1927" t="s">
        <v>42281</v>
      </c>
      <c r="M1927" t="s">
        <v>42617</v>
      </c>
      <c r="N1927" t="s">
        <v>46569</v>
      </c>
      <c r="O1927" t="s">
        <v>46570</v>
      </c>
      <c r="P1927">
        <v>0</v>
      </c>
      <c r="Q1927">
        <v>0</v>
      </c>
      <c r="R1927" t="s">
        <v>46571</v>
      </c>
      <c r="S1927" t="s">
        <v>46687</v>
      </c>
      <c r="T1927" t="s">
        <v>48240</v>
      </c>
      <c r="U1927" t="s">
        <v>50390</v>
      </c>
      <c r="W1927" t="s">
        <v>42617</v>
      </c>
      <c r="X1927" t="s">
        <v>46572</v>
      </c>
    </row>
    <row r="1928" spans="1:24">
      <c r="A1928">
        <f>HYPERLINK("https://www.philgeps.gov.ph/GEPSNONPILOT/Tender/SplashBidNoticeAbstractUI.aspx?menuIndex=3&amp;refID=7066465&amp;Result=3","7066465")</f>
        <v>0</v>
      </c>
      <c r="B1928" t="s">
        <v>690</v>
      </c>
      <c r="C1928" t="s">
        <v>5398</v>
      </c>
      <c r="D1928" t="s">
        <v>18781</v>
      </c>
      <c r="E1928" t="s">
        <v>20665</v>
      </c>
      <c r="F1928" t="s">
        <v>32664</v>
      </c>
      <c r="G1928" t="s">
        <v>32672</v>
      </c>
      <c r="H1928" t="s">
        <v>32683</v>
      </c>
      <c r="I1928" t="s">
        <v>10627</v>
      </c>
      <c r="J1928" t="s">
        <v>34087</v>
      </c>
      <c r="K1928" t="s">
        <v>42377</v>
      </c>
      <c r="L1928" t="s">
        <v>690</v>
      </c>
      <c r="M1928" t="s">
        <v>43277</v>
      </c>
      <c r="N1928" t="s">
        <v>46569</v>
      </c>
      <c r="O1928" t="s">
        <v>46570</v>
      </c>
      <c r="P1928">
        <v>0</v>
      </c>
      <c r="Q1928">
        <v>0</v>
      </c>
      <c r="R1928" t="s">
        <v>46571</v>
      </c>
      <c r="S1928" t="s">
        <v>46687</v>
      </c>
      <c r="T1928" t="s">
        <v>48360</v>
      </c>
      <c r="U1928" t="s">
        <v>50079</v>
      </c>
      <c r="W1928" t="s">
        <v>43277</v>
      </c>
      <c r="X1928" t="s">
        <v>46572</v>
      </c>
    </row>
    <row r="1929" spans="1:24">
      <c r="A1929">
        <f>HYPERLINK("https://www.philgeps.gov.ph/GEPSNONPILOT/Tender/SplashBidNoticeAbstractUI.aspx?menuIndex=3&amp;refID=7066447&amp;Result=3","7066447")</f>
        <v>0</v>
      </c>
      <c r="B1929" t="s">
        <v>774</v>
      </c>
      <c r="C1929" t="s">
        <v>5399</v>
      </c>
      <c r="D1929" t="s">
        <v>18842</v>
      </c>
      <c r="E1929" t="s">
        <v>20666</v>
      </c>
      <c r="F1929" t="s">
        <v>32664</v>
      </c>
      <c r="G1929" t="s">
        <v>32671</v>
      </c>
      <c r="H1929" t="s">
        <v>12635</v>
      </c>
      <c r="I1929" t="s">
        <v>32685</v>
      </c>
      <c r="J1929" t="s">
        <v>34206</v>
      </c>
      <c r="K1929" t="s">
        <v>42283</v>
      </c>
      <c r="M1929" t="s">
        <v>43365</v>
      </c>
      <c r="N1929" t="s">
        <v>46569</v>
      </c>
      <c r="O1929" t="s">
        <v>46570</v>
      </c>
      <c r="P1929">
        <v>0</v>
      </c>
      <c r="Q1929">
        <v>0</v>
      </c>
      <c r="R1929" t="s">
        <v>46571</v>
      </c>
      <c r="S1929" t="s">
        <v>46687</v>
      </c>
      <c r="T1929" t="s">
        <v>48228</v>
      </c>
      <c r="U1929" t="s">
        <v>50391</v>
      </c>
      <c r="W1929" t="s">
        <v>43365</v>
      </c>
      <c r="X1929" t="s">
        <v>46572</v>
      </c>
    </row>
    <row r="1930" spans="1:24">
      <c r="A1930">
        <f>HYPERLINK("https://www.philgeps.gov.ph/GEPSNONPILOT/Tender/SplashBidNoticeAbstractUI.aspx?menuIndex=3&amp;refID=7066446&amp;Result=3","7066446")</f>
        <v>0</v>
      </c>
      <c r="B1930" t="s">
        <v>818</v>
      </c>
      <c r="C1930" t="s">
        <v>5400</v>
      </c>
      <c r="D1930" t="s">
        <v>18816</v>
      </c>
      <c r="E1930" t="s">
        <v>20667</v>
      </c>
      <c r="F1930" t="s">
        <v>32664</v>
      </c>
      <c r="G1930" t="s">
        <v>32672</v>
      </c>
      <c r="H1930" t="s">
        <v>32683</v>
      </c>
      <c r="I1930" t="s">
        <v>10627</v>
      </c>
      <c r="J1930" t="s">
        <v>33886</v>
      </c>
      <c r="K1930" t="s">
        <v>42319</v>
      </c>
      <c r="M1930" t="s">
        <v>43413</v>
      </c>
      <c r="N1930" t="s">
        <v>46569</v>
      </c>
      <c r="O1930" t="s">
        <v>46570</v>
      </c>
      <c r="P1930">
        <v>0</v>
      </c>
      <c r="Q1930">
        <v>0</v>
      </c>
      <c r="R1930" t="s">
        <v>46571</v>
      </c>
      <c r="S1930" t="s">
        <v>46687</v>
      </c>
      <c r="T1930" t="s">
        <v>48222</v>
      </c>
      <c r="U1930" t="s">
        <v>50392</v>
      </c>
      <c r="W1930" t="s">
        <v>43413</v>
      </c>
      <c r="X1930" t="s">
        <v>46572</v>
      </c>
    </row>
    <row r="1931" spans="1:24">
      <c r="A1931">
        <f>HYPERLINK("https://www.philgeps.gov.ph/GEPSNONPILOT/Tender/SplashBidNoticeAbstractUI.aspx?menuIndex=3&amp;refID=7066573&amp;Result=3","7066573")</f>
        <v>0</v>
      </c>
      <c r="B1931" t="s">
        <v>446</v>
      </c>
      <c r="C1931" t="s">
        <v>5401</v>
      </c>
      <c r="D1931" t="s">
        <v>18805</v>
      </c>
      <c r="E1931" t="s">
        <v>20668</v>
      </c>
      <c r="F1931" t="s">
        <v>32664</v>
      </c>
      <c r="G1931" t="s">
        <v>32672</v>
      </c>
      <c r="H1931" t="s">
        <v>12635</v>
      </c>
      <c r="I1931" t="s">
        <v>10374</v>
      </c>
      <c r="J1931" t="s">
        <v>34207</v>
      </c>
      <c r="K1931" t="s">
        <v>42306</v>
      </c>
      <c r="M1931" t="s">
        <v>43019</v>
      </c>
      <c r="N1931" t="s">
        <v>46569</v>
      </c>
      <c r="O1931" t="s">
        <v>46570</v>
      </c>
      <c r="P1931">
        <v>0</v>
      </c>
      <c r="Q1931">
        <v>0</v>
      </c>
      <c r="R1931" t="s">
        <v>46571</v>
      </c>
      <c r="S1931" t="s">
        <v>46687</v>
      </c>
      <c r="T1931" t="s">
        <v>48352</v>
      </c>
      <c r="U1931" t="s">
        <v>50281</v>
      </c>
      <c r="W1931" t="s">
        <v>43019</v>
      </c>
      <c r="X1931" t="s">
        <v>46572</v>
      </c>
    </row>
    <row r="1932" spans="1:24">
      <c r="A1932">
        <f>HYPERLINK("https://www.philgeps.gov.ph/GEPSNONPILOT/Tender/SplashBidNoticeAbstractUI.aspx?menuIndex=3&amp;refID=7066442&amp;Result=3","7066442")</f>
        <v>0</v>
      </c>
      <c r="B1932" t="s">
        <v>215</v>
      </c>
      <c r="C1932" t="s">
        <v>5402</v>
      </c>
      <c r="D1932" t="s">
        <v>18837</v>
      </c>
      <c r="E1932" t="s">
        <v>20669</v>
      </c>
      <c r="F1932" t="s">
        <v>32664</v>
      </c>
      <c r="G1932" t="s">
        <v>32674</v>
      </c>
      <c r="H1932" t="s">
        <v>12635</v>
      </c>
      <c r="I1932" t="s">
        <v>6223</v>
      </c>
      <c r="J1932" t="s">
        <v>34208</v>
      </c>
      <c r="K1932" t="s">
        <v>42289</v>
      </c>
      <c r="M1932" t="s">
        <v>42779</v>
      </c>
      <c r="N1932" t="s">
        <v>46569</v>
      </c>
      <c r="O1932" t="s">
        <v>46570</v>
      </c>
      <c r="P1932">
        <v>0</v>
      </c>
      <c r="Q1932">
        <v>0</v>
      </c>
      <c r="R1932" t="s">
        <v>46571</v>
      </c>
      <c r="S1932" t="s">
        <v>46687</v>
      </c>
      <c r="T1932" t="s">
        <v>48304</v>
      </c>
      <c r="U1932" t="s">
        <v>50393</v>
      </c>
      <c r="W1932" t="s">
        <v>42779</v>
      </c>
      <c r="X1932" t="s">
        <v>46572</v>
      </c>
    </row>
    <row r="1933" spans="1:24">
      <c r="A1933">
        <f>HYPERLINK("https://www.philgeps.gov.ph/GEPSNONPILOT/Tender/SplashBidNoticeAbstractUI.aspx?menuIndex=3&amp;refID=7066448&amp;Result=3","7066448")</f>
        <v>0</v>
      </c>
      <c r="B1933" t="s">
        <v>836</v>
      </c>
      <c r="C1933" t="s">
        <v>5403</v>
      </c>
      <c r="D1933" t="s">
        <v>18823</v>
      </c>
      <c r="E1933" t="s">
        <v>20670</v>
      </c>
      <c r="F1933" t="s">
        <v>32664</v>
      </c>
      <c r="G1933" t="s">
        <v>32672</v>
      </c>
      <c r="H1933" t="s">
        <v>12635</v>
      </c>
      <c r="I1933" t="s">
        <v>11464</v>
      </c>
      <c r="J1933" t="s">
        <v>32930</v>
      </c>
      <c r="K1933" t="s">
        <v>42289</v>
      </c>
      <c r="L1933" t="s">
        <v>836</v>
      </c>
      <c r="M1933" t="s">
        <v>43431</v>
      </c>
      <c r="N1933" t="s">
        <v>46569</v>
      </c>
      <c r="O1933" t="s">
        <v>46570</v>
      </c>
      <c r="P1933">
        <v>0</v>
      </c>
      <c r="Q1933">
        <v>4</v>
      </c>
      <c r="R1933" t="s">
        <v>46571</v>
      </c>
      <c r="S1933" t="s">
        <v>46687</v>
      </c>
      <c r="T1933" t="s">
        <v>48257</v>
      </c>
      <c r="U1933" t="s">
        <v>50394</v>
      </c>
      <c r="V1933" t="s">
        <v>61826</v>
      </c>
      <c r="W1933" t="s">
        <v>43431</v>
      </c>
      <c r="X1933" t="s">
        <v>46572</v>
      </c>
    </row>
    <row r="1934" spans="1:24">
      <c r="A1934">
        <f>HYPERLINK("https://www.philgeps.gov.ph/GEPSNONPILOT/Tender/SplashBidNoticeAbstractUI.aspx?menuIndex=3&amp;refID=7066441&amp;Result=3","7066441")</f>
        <v>0</v>
      </c>
      <c r="B1934" t="s">
        <v>705</v>
      </c>
      <c r="C1934" t="s">
        <v>5404</v>
      </c>
      <c r="D1934" t="s">
        <v>18789</v>
      </c>
      <c r="E1934" t="s">
        <v>20671</v>
      </c>
      <c r="F1934" t="s">
        <v>32664</v>
      </c>
      <c r="G1934" t="s">
        <v>32671</v>
      </c>
      <c r="H1934" t="s">
        <v>12635</v>
      </c>
      <c r="I1934" t="s">
        <v>32696</v>
      </c>
      <c r="J1934" t="s">
        <v>33021</v>
      </c>
      <c r="K1934" t="s">
        <v>42283</v>
      </c>
      <c r="M1934" t="s">
        <v>43292</v>
      </c>
      <c r="N1934" t="s">
        <v>46569</v>
      </c>
      <c r="O1934" t="s">
        <v>46570</v>
      </c>
      <c r="P1934">
        <v>0</v>
      </c>
      <c r="Q1934">
        <v>1</v>
      </c>
      <c r="R1934" t="s">
        <v>46571</v>
      </c>
      <c r="S1934" t="s">
        <v>46687</v>
      </c>
      <c r="T1934" t="s">
        <v>48245</v>
      </c>
      <c r="U1934" t="s">
        <v>50104</v>
      </c>
      <c r="W1934" t="s">
        <v>43292</v>
      </c>
      <c r="X1934" t="s">
        <v>46572</v>
      </c>
    </row>
    <row r="1935" spans="1:24">
      <c r="A1935">
        <f>HYPERLINK("https://www.philgeps.gov.ph/GEPSNONPILOT/Tender/SplashBidNoticeAbstractUI.aspx?menuIndex=3&amp;refID=7066443&amp;Result=3","7066443")</f>
        <v>0</v>
      </c>
      <c r="B1935" t="s">
        <v>837</v>
      </c>
      <c r="C1935" t="s">
        <v>5405</v>
      </c>
      <c r="D1935" t="s">
        <v>18831</v>
      </c>
      <c r="E1935" t="s">
        <v>20672</v>
      </c>
      <c r="F1935" t="s">
        <v>32664</v>
      </c>
      <c r="G1935" t="s">
        <v>32674</v>
      </c>
      <c r="H1935" t="s">
        <v>12635</v>
      </c>
      <c r="I1935" t="s">
        <v>6628</v>
      </c>
      <c r="J1935" t="s">
        <v>33115</v>
      </c>
      <c r="K1935" t="s">
        <v>42303</v>
      </c>
      <c r="M1935" t="s">
        <v>43432</v>
      </c>
      <c r="N1935" t="s">
        <v>46569</v>
      </c>
      <c r="O1935" t="s">
        <v>46570</v>
      </c>
      <c r="P1935">
        <v>0</v>
      </c>
      <c r="Q1935">
        <v>1</v>
      </c>
      <c r="R1935" t="s">
        <v>46571</v>
      </c>
      <c r="S1935" t="s">
        <v>46687</v>
      </c>
      <c r="T1935" t="s">
        <v>48283</v>
      </c>
      <c r="U1935" t="s">
        <v>50395</v>
      </c>
      <c r="W1935" t="s">
        <v>43432</v>
      </c>
      <c r="X1935" t="s">
        <v>46572</v>
      </c>
    </row>
    <row r="1936" spans="1:24">
      <c r="A1936">
        <f>HYPERLINK("https://www.philgeps.gov.ph/GEPSNONPILOT/Tender/SplashBidNoticeAbstractUI.aspx?menuIndex=3&amp;refID=7066419&amp;Result=3","7066419")</f>
        <v>0</v>
      </c>
      <c r="B1936" t="s">
        <v>672</v>
      </c>
      <c r="C1936" t="s">
        <v>5406</v>
      </c>
      <c r="D1936" t="s">
        <v>18794</v>
      </c>
      <c r="E1936" t="s">
        <v>20673</v>
      </c>
      <c r="F1936" t="s">
        <v>32664</v>
      </c>
      <c r="G1936" t="s">
        <v>32677</v>
      </c>
      <c r="H1936" t="s">
        <v>12635</v>
      </c>
      <c r="I1936" t="s">
        <v>6628</v>
      </c>
      <c r="J1936" t="s">
        <v>34209</v>
      </c>
      <c r="K1936" t="s">
        <v>42303</v>
      </c>
      <c r="M1936" t="s">
        <v>43259</v>
      </c>
      <c r="N1936" t="s">
        <v>46569</v>
      </c>
      <c r="O1936" t="s">
        <v>46570</v>
      </c>
      <c r="P1936">
        <v>0</v>
      </c>
      <c r="Q1936">
        <v>6</v>
      </c>
      <c r="R1936" t="s">
        <v>46571</v>
      </c>
      <c r="S1936" t="s">
        <v>46687</v>
      </c>
      <c r="T1936" t="s">
        <v>48248</v>
      </c>
      <c r="U1936" t="s">
        <v>50396</v>
      </c>
      <c r="W1936" t="s">
        <v>43259</v>
      </c>
      <c r="X1936" t="s">
        <v>46572</v>
      </c>
    </row>
    <row r="1937" spans="1:24">
      <c r="A1937">
        <f>HYPERLINK("https://www.philgeps.gov.ph/GEPSNONPILOT/Tender/SplashBidNoticeAbstractUI.aspx?menuIndex=3&amp;refID=7066669&amp;Result=3","7066669")</f>
        <v>0</v>
      </c>
      <c r="B1937" t="s">
        <v>838</v>
      </c>
      <c r="C1937" t="s">
        <v>5407</v>
      </c>
      <c r="D1937" t="s">
        <v>18806</v>
      </c>
      <c r="E1937" t="s">
        <v>19202</v>
      </c>
      <c r="F1937" t="s">
        <v>32664</v>
      </c>
      <c r="G1937" t="s">
        <v>32671</v>
      </c>
      <c r="H1937" t="s">
        <v>32682</v>
      </c>
      <c r="I1937" t="s">
        <v>9946</v>
      </c>
      <c r="J1937" t="s">
        <v>34210</v>
      </c>
      <c r="K1937" t="s">
        <v>42291</v>
      </c>
      <c r="M1937" t="s">
        <v>43433</v>
      </c>
      <c r="N1937" t="s">
        <v>46569</v>
      </c>
      <c r="O1937" t="s">
        <v>46570</v>
      </c>
      <c r="P1937">
        <v>0</v>
      </c>
      <c r="Q1937">
        <v>1</v>
      </c>
      <c r="R1937" t="s">
        <v>46571</v>
      </c>
      <c r="S1937" t="s">
        <v>46687</v>
      </c>
      <c r="T1937" t="s">
        <v>48306</v>
      </c>
      <c r="U1937" t="s">
        <v>50397</v>
      </c>
      <c r="W1937" t="s">
        <v>43433</v>
      </c>
      <c r="X1937" t="s">
        <v>46572</v>
      </c>
    </row>
    <row r="1938" spans="1:24">
      <c r="A1938">
        <f>HYPERLINK("https://www.philgeps.gov.ph/GEPSNONPILOT/Tender/SplashBidNoticeAbstractUI.aspx?menuIndex=3&amp;refID=7066684&amp;Result=3","7066684")</f>
        <v>0</v>
      </c>
      <c r="B1938" t="s">
        <v>799</v>
      </c>
      <c r="C1938" t="s">
        <v>5408</v>
      </c>
      <c r="D1938" t="s">
        <v>18822</v>
      </c>
      <c r="E1938" t="s">
        <v>20674</v>
      </c>
      <c r="F1938" t="s">
        <v>32664</v>
      </c>
      <c r="G1938" t="s">
        <v>32674</v>
      </c>
      <c r="H1938" t="s">
        <v>12635</v>
      </c>
      <c r="I1938" t="s">
        <v>32738</v>
      </c>
      <c r="J1938" t="s">
        <v>33632</v>
      </c>
      <c r="K1938" t="s">
        <v>42281</v>
      </c>
      <c r="M1938" t="s">
        <v>43391</v>
      </c>
      <c r="N1938" t="s">
        <v>46569</v>
      </c>
      <c r="O1938" t="s">
        <v>46570</v>
      </c>
      <c r="P1938">
        <v>0</v>
      </c>
      <c r="Q1938">
        <v>2</v>
      </c>
      <c r="R1938" t="s">
        <v>46571</v>
      </c>
      <c r="S1938" t="s">
        <v>46687</v>
      </c>
      <c r="T1938" t="s">
        <v>48211</v>
      </c>
      <c r="U1938" t="s">
        <v>50398</v>
      </c>
      <c r="W1938" t="s">
        <v>43391</v>
      </c>
      <c r="X1938" t="s">
        <v>46572</v>
      </c>
    </row>
    <row r="1939" spans="1:24">
      <c r="A1939">
        <f>HYPERLINK("https://www.philgeps.gov.ph/GEPSNONPILOT/Tender/SplashBidNoticeAbstractUI.aspx?menuIndex=3&amp;refID=7066670&amp;Result=3","7066670")</f>
        <v>0</v>
      </c>
      <c r="B1939" t="s">
        <v>689</v>
      </c>
      <c r="C1939" t="s">
        <v>4874</v>
      </c>
      <c r="D1939" t="s">
        <v>18800</v>
      </c>
      <c r="E1939" t="s">
        <v>20675</v>
      </c>
      <c r="F1939" t="s">
        <v>32664</v>
      </c>
      <c r="G1939" t="s">
        <v>32671</v>
      </c>
      <c r="H1939" t="s">
        <v>12635</v>
      </c>
      <c r="I1939" t="s">
        <v>6168</v>
      </c>
      <c r="J1939" t="s">
        <v>33724</v>
      </c>
      <c r="K1939" t="s">
        <v>42281</v>
      </c>
      <c r="M1939" t="s">
        <v>43276</v>
      </c>
      <c r="N1939" t="s">
        <v>46569</v>
      </c>
      <c r="O1939" t="s">
        <v>46570</v>
      </c>
      <c r="P1939">
        <v>0</v>
      </c>
      <c r="Q1939">
        <v>0</v>
      </c>
      <c r="R1939" t="s">
        <v>46571</v>
      </c>
      <c r="S1939" t="s">
        <v>46687</v>
      </c>
      <c r="T1939" t="s">
        <v>48293</v>
      </c>
      <c r="U1939" t="s">
        <v>49404</v>
      </c>
      <c r="V1939" t="s">
        <v>61795</v>
      </c>
      <c r="W1939" t="s">
        <v>43276</v>
      </c>
      <c r="X1939" t="s">
        <v>46572</v>
      </c>
    </row>
    <row r="1940" spans="1:24">
      <c r="A1940">
        <f>HYPERLINK("https://www.philgeps.gov.ph/GEPSNONPILOT/Tender/SplashBidNoticeAbstractUI.aspx?menuIndex=3&amp;refID=7066421&amp;Result=3","7066421")</f>
        <v>0</v>
      </c>
      <c r="B1940" t="s">
        <v>220</v>
      </c>
      <c r="C1940" t="s">
        <v>5409</v>
      </c>
      <c r="D1940" t="s">
        <v>18788</v>
      </c>
      <c r="E1940" t="s">
        <v>20676</v>
      </c>
      <c r="F1940" t="s">
        <v>32664</v>
      </c>
      <c r="G1940" t="s">
        <v>32672</v>
      </c>
      <c r="H1940" t="s">
        <v>12635</v>
      </c>
      <c r="I1940" t="s">
        <v>4439</v>
      </c>
      <c r="J1940" t="s">
        <v>34211</v>
      </c>
      <c r="K1940" t="s">
        <v>42297</v>
      </c>
      <c r="L1940" t="s">
        <v>220</v>
      </c>
      <c r="M1940" t="s">
        <v>42784</v>
      </c>
      <c r="N1940" t="s">
        <v>46569</v>
      </c>
      <c r="O1940" t="s">
        <v>46570</v>
      </c>
      <c r="P1940">
        <v>0</v>
      </c>
      <c r="Q1940">
        <v>0</v>
      </c>
      <c r="R1940" t="s">
        <v>46571</v>
      </c>
      <c r="S1940" t="s">
        <v>46687</v>
      </c>
      <c r="T1940" t="s">
        <v>48308</v>
      </c>
      <c r="U1940" t="s">
        <v>49167</v>
      </c>
      <c r="W1940" t="s">
        <v>42784</v>
      </c>
      <c r="X1940" t="s">
        <v>46572</v>
      </c>
    </row>
    <row r="1941" spans="1:24">
      <c r="A1941">
        <f>HYPERLINK("https://www.philgeps.gov.ph/GEPSNONPILOT/Tender/SplashBidNoticeAbstractUI.aspx?menuIndex=3&amp;refID=7066683&amp;Result=3","7066683")</f>
        <v>0</v>
      </c>
      <c r="B1941" t="s">
        <v>243</v>
      </c>
      <c r="C1941" t="s">
        <v>5410</v>
      </c>
      <c r="D1941" t="s">
        <v>18841</v>
      </c>
      <c r="E1941" t="s">
        <v>20677</v>
      </c>
      <c r="F1941" t="s">
        <v>32664</v>
      </c>
      <c r="G1941" t="s">
        <v>32674</v>
      </c>
      <c r="H1941" t="s">
        <v>12635</v>
      </c>
      <c r="I1941" t="s">
        <v>4997</v>
      </c>
      <c r="J1941" t="s">
        <v>33117</v>
      </c>
      <c r="K1941" t="s">
        <v>42284</v>
      </c>
      <c r="L1941" t="s">
        <v>243</v>
      </c>
      <c r="M1941" t="s">
        <v>42808</v>
      </c>
      <c r="N1941" t="s">
        <v>46569</v>
      </c>
      <c r="O1941" t="s">
        <v>46570</v>
      </c>
      <c r="P1941">
        <v>0</v>
      </c>
      <c r="Q1941">
        <v>1</v>
      </c>
      <c r="R1941" t="s">
        <v>46571</v>
      </c>
      <c r="S1941" t="s">
        <v>46687</v>
      </c>
      <c r="T1941" t="s">
        <v>48314</v>
      </c>
      <c r="U1941" t="s">
        <v>50399</v>
      </c>
      <c r="V1941" t="s">
        <v>61675</v>
      </c>
      <c r="W1941" t="s">
        <v>42808</v>
      </c>
      <c r="X1941" t="s">
        <v>46572</v>
      </c>
    </row>
    <row r="1942" spans="1:24">
      <c r="A1942">
        <f>HYPERLINK("https://www.philgeps.gov.ph/GEPSNONPILOT/Tender/SplashBidNoticeAbstractUI.aspx?menuIndex=3&amp;refID=7066681&amp;Result=3","7066681")</f>
        <v>0</v>
      </c>
      <c r="B1942" t="s">
        <v>714</v>
      </c>
      <c r="C1942" t="s">
        <v>5411</v>
      </c>
      <c r="D1942" t="s">
        <v>18846</v>
      </c>
      <c r="E1942" t="s">
        <v>20678</v>
      </c>
      <c r="F1942" t="s">
        <v>32664</v>
      </c>
      <c r="G1942" t="s">
        <v>32674</v>
      </c>
      <c r="H1942" t="s">
        <v>12635</v>
      </c>
      <c r="I1942" t="s">
        <v>4439</v>
      </c>
      <c r="J1942" t="s">
        <v>34212</v>
      </c>
      <c r="K1942" t="s">
        <v>42289</v>
      </c>
      <c r="M1942" t="s">
        <v>43301</v>
      </c>
      <c r="N1942" t="s">
        <v>46569</v>
      </c>
      <c r="O1942" t="s">
        <v>46570</v>
      </c>
      <c r="P1942">
        <v>0</v>
      </c>
      <c r="Q1942">
        <v>0</v>
      </c>
      <c r="R1942" t="s">
        <v>46571</v>
      </c>
      <c r="S1942" t="s">
        <v>46687</v>
      </c>
      <c r="T1942" t="s">
        <v>48283</v>
      </c>
      <c r="U1942" t="s">
        <v>50115</v>
      </c>
      <c r="W1942" t="s">
        <v>43301</v>
      </c>
      <c r="X1942" t="s">
        <v>46572</v>
      </c>
    </row>
    <row r="1943" spans="1:24">
      <c r="A1943">
        <f>HYPERLINK("https://www.philgeps.gov.ph/GEPSNONPILOT/Tender/SplashBidNoticeAbstractUI.aspx?menuIndex=3&amp;refID=7066546&amp;Result=3","7066546")</f>
        <v>0</v>
      </c>
      <c r="B1943" t="s">
        <v>796</v>
      </c>
      <c r="C1943" t="s">
        <v>5412</v>
      </c>
      <c r="D1943" t="s">
        <v>18801</v>
      </c>
      <c r="E1943" t="s">
        <v>20679</v>
      </c>
      <c r="F1943" t="s">
        <v>32664</v>
      </c>
      <c r="G1943" t="s">
        <v>32672</v>
      </c>
      <c r="H1943" t="s">
        <v>32683</v>
      </c>
      <c r="I1943" t="s">
        <v>10627</v>
      </c>
      <c r="J1943" t="s">
        <v>34213</v>
      </c>
      <c r="K1943" t="s">
        <v>42298</v>
      </c>
      <c r="M1943" t="s">
        <v>43388</v>
      </c>
      <c r="N1943" t="s">
        <v>46569</v>
      </c>
      <c r="O1943" t="s">
        <v>46570</v>
      </c>
      <c r="P1943">
        <v>0</v>
      </c>
      <c r="Q1943">
        <v>1</v>
      </c>
      <c r="R1943" t="s">
        <v>46571</v>
      </c>
      <c r="S1943" t="s">
        <v>46687</v>
      </c>
      <c r="T1943" t="s">
        <v>48275</v>
      </c>
      <c r="U1943" t="s">
        <v>50301</v>
      </c>
      <c r="W1943" t="s">
        <v>63490</v>
      </c>
      <c r="X1943" t="s">
        <v>46572</v>
      </c>
    </row>
    <row r="1944" spans="1:24">
      <c r="A1944">
        <f>HYPERLINK("https://www.philgeps.gov.ph/GEPSNONPILOT/Tender/SplashBidNoticeAbstractUI.aspx?menuIndex=3&amp;refID=7066679&amp;Result=3","7066679")</f>
        <v>0</v>
      </c>
      <c r="B1944" t="s">
        <v>730</v>
      </c>
      <c r="C1944" t="s">
        <v>5413</v>
      </c>
      <c r="D1944" t="s">
        <v>18822</v>
      </c>
      <c r="E1944" t="s">
        <v>20680</v>
      </c>
      <c r="F1944" t="s">
        <v>32664</v>
      </c>
      <c r="G1944" t="s">
        <v>32671</v>
      </c>
      <c r="H1944" t="s">
        <v>12635</v>
      </c>
      <c r="I1944" t="s">
        <v>7759</v>
      </c>
      <c r="J1944" t="s">
        <v>34214</v>
      </c>
      <c r="K1944" t="s">
        <v>42295</v>
      </c>
      <c r="M1944" t="s">
        <v>43319</v>
      </c>
      <c r="N1944" t="s">
        <v>46569</v>
      </c>
      <c r="O1944" t="s">
        <v>46570</v>
      </c>
      <c r="P1944">
        <v>0</v>
      </c>
      <c r="Q1944">
        <v>0</v>
      </c>
      <c r="R1944" t="s">
        <v>46571</v>
      </c>
      <c r="S1944" t="s">
        <v>46687</v>
      </c>
      <c r="T1944" t="s">
        <v>48221</v>
      </c>
      <c r="U1944" t="s">
        <v>50400</v>
      </c>
      <c r="W1944" t="s">
        <v>43319</v>
      </c>
      <c r="X1944" t="s">
        <v>46572</v>
      </c>
    </row>
    <row r="1945" spans="1:24">
      <c r="A1945">
        <f>HYPERLINK("https://www.philgeps.gov.ph/GEPSNONPILOT/Tender/SplashBidNoticeAbstractUI.aspx?menuIndex=3&amp;refID=7066677&amp;Result=3","7066677")</f>
        <v>0</v>
      </c>
      <c r="B1945" t="s">
        <v>736</v>
      </c>
      <c r="C1945" t="s">
        <v>5414</v>
      </c>
      <c r="D1945" t="s">
        <v>18851</v>
      </c>
      <c r="E1945" t="s">
        <v>20248</v>
      </c>
      <c r="F1945" t="s">
        <v>32664</v>
      </c>
      <c r="G1945" t="s">
        <v>32671</v>
      </c>
      <c r="H1945" t="s">
        <v>12635</v>
      </c>
      <c r="I1945" t="s">
        <v>32710</v>
      </c>
      <c r="J1945" t="s">
        <v>33163</v>
      </c>
      <c r="K1945" t="s">
        <v>42283</v>
      </c>
      <c r="M1945" t="s">
        <v>43325</v>
      </c>
      <c r="N1945" t="s">
        <v>46569</v>
      </c>
      <c r="O1945" t="s">
        <v>46570</v>
      </c>
      <c r="P1945">
        <v>0</v>
      </c>
      <c r="Q1945">
        <v>0</v>
      </c>
      <c r="R1945" t="s">
        <v>46571</v>
      </c>
      <c r="S1945" t="s">
        <v>46687</v>
      </c>
      <c r="T1945" t="s">
        <v>48256</v>
      </c>
      <c r="U1945" t="s">
        <v>49970</v>
      </c>
      <c r="W1945" t="s">
        <v>43325</v>
      </c>
      <c r="X1945" t="s">
        <v>46572</v>
      </c>
    </row>
    <row r="1946" spans="1:24">
      <c r="A1946">
        <f>HYPERLINK("https://www.philgeps.gov.ph/GEPSNONPILOT/Tender/SplashBidNoticeAbstractUI.aspx?menuIndex=3&amp;refID=7066686&amp;Result=3","7066686")</f>
        <v>0</v>
      </c>
      <c r="B1946" t="s">
        <v>233</v>
      </c>
      <c r="C1946" t="s">
        <v>5415</v>
      </c>
      <c r="D1946" t="s">
        <v>18786</v>
      </c>
      <c r="E1946" t="s">
        <v>20681</v>
      </c>
      <c r="F1946" t="s">
        <v>32664</v>
      </c>
      <c r="G1946" t="s">
        <v>32671</v>
      </c>
      <c r="H1946" t="s">
        <v>12635</v>
      </c>
      <c r="I1946" t="s">
        <v>4439</v>
      </c>
      <c r="J1946" t="s">
        <v>34215</v>
      </c>
      <c r="K1946" t="s">
        <v>42295</v>
      </c>
      <c r="M1946" t="s">
        <v>42798</v>
      </c>
      <c r="N1946" t="s">
        <v>46569</v>
      </c>
      <c r="O1946" t="s">
        <v>46570</v>
      </c>
      <c r="P1946">
        <v>0</v>
      </c>
      <c r="Q1946">
        <v>0</v>
      </c>
      <c r="R1946" t="s">
        <v>46571</v>
      </c>
      <c r="S1946" t="s">
        <v>46687</v>
      </c>
      <c r="T1946" t="s">
        <v>48246</v>
      </c>
      <c r="U1946" t="s">
        <v>50401</v>
      </c>
      <c r="W1946" t="s">
        <v>42798</v>
      </c>
      <c r="X1946" t="s">
        <v>46572</v>
      </c>
    </row>
    <row r="1947" spans="1:24">
      <c r="A1947">
        <f>HYPERLINK("https://www.philgeps.gov.ph/GEPSNONPILOT/Tender/SplashBidNoticeAbstractUI.aspx?menuIndex=3&amp;refID=7066682&amp;Result=3","7066682")</f>
        <v>0</v>
      </c>
      <c r="B1947" t="s">
        <v>791</v>
      </c>
      <c r="C1947" t="s">
        <v>5416</v>
      </c>
      <c r="D1947" t="s">
        <v>18785</v>
      </c>
      <c r="E1947" t="s">
        <v>20682</v>
      </c>
      <c r="F1947" t="s">
        <v>32664</v>
      </c>
      <c r="G1947" t="s">
        <v>32672</v>
      </c>
      <c r="H1947" t="s">
        <v>32683</v>
      </c>
      <c r="I1947" t="s">
        <v>10627</v>
      </c>
      <c r="J1947" t="s">
        <v>33009</v>
      </c>
      <c r="K1947" t="s">
        <v>42312</v>
      </c>
      <c r="M1947" t="s">
        <v>43383</v>
      </c>
      <c r="N1947" t="s">
        <v>46569</v>
      </c>
      <c r="O1947" t="s">
        <v>46570</v>
      </c>
      <c r="P1947">
        <v>0</v>
      </c>
      <c r="Q1947">
        <v>0</v>
      </c>
      <c r="R1947" t="s">
        <v>46571</v>
      </c>
      <c r="S1947" t="s">
        <v>46687</v>
      </c>
      <c r="T1947" t="s">
        <v>48404</v>
      </c>
      <c r="U1947" t="s">
        <v>50319</v>
      </c>
      <c r="W1947" t="s">
        <v>43383</v>
      </c>
      <c r="X1947" t="s">
        <v>46572</v>
      </c>
    </row>
    <row r="1948" spans="1:24">
      <c r="A1948">
        <f>HYPERLINK("https://www.philgeps.gov.ph/GEPSNONPILOT/Tender/SplashBidNoticeAbstractUI.aspx?menuIndex=3&amp;refID=7066680&amp;Result=3","7066680")</f>
        <v>0</v>
      </c>
      <c r="B1948" t="s">
        <v>839</v>
      </c>
      <c r="C1948" t="s">
        <v>5417</v>
      </c>
      <c r="D1948" t="s">
        <v>18792</v>
      </c>
      <c r="E1948" t="s">
        <v>20683</v>
      </c>
      <c r="F1948" t="s">
        <v>32664</v>
      </c>
      <c r="G1948" t="s">
        <v>32671</v>
      </c>
      <c r="H1948" t="s">
        <v>12635</v>
      </c>
      <c r="I1948" t="s">
        <v>10590</v>
      </c>
      <c r="J1948" t="s">
        <v>34216</v>
      </c>
      <c r="K1948" t="s">
        <v>42281</v>
      </c>
      <c r="M1948" t="s">
        <v>43434</v>
      </c>
      <c r="N1948" t="s">
        <v>46569</v>
      </c>
      <c r="O1948" t="s">
        <v>46570</v>
      </c>
      <c r="P1948">
        <v>0</v>
      </c>
      <c r="Q1948">
        <v>0</v>
      </c>
      <c r="R1948" t="s">
        <v>46571</v>
      </c>
      <c r="S1948" t="s">
        <v>46687</v>
      </c>
      <c r="T1948" t="s">
        <v>48297</v>
      </c>
      <c r="U1948" t="s">
        <v>50402</v>
      </c>
      <c r="W1948" t="s">
        <v>43434</v>
      </c>
      <c r="X1948" t="s">
        <v>46572</v>
      </c>
    </row>
    <row r="1949" spans="1:24">
      <c r="A1949">
        <f>HYPERLINK("https://www.philgeps.gov.ph/GEPSNONPILOT/Tender/SplashBidNoticeAbstractUI.aspx?menuIndex=3&amp;refID=7066675&amp;Result=3","7066675")</f>
        <v>0</v>
      </c>
      <c r="B1949" t="s">
        <v>808</v>
      </c>
      <c r="C1949" t="s">
        <v>5418</v>
      </c>
      <c r="D1949" t="s">
        <v>18846</v>
      </c>
      <c r="E1949" t="s">
        <v>20684</v>
      </c>
      <c r="F1949" t="s">
        <v>32664</v>
      </c>
      <c r="G1949" t="s">
        <v>32671</v>
      </c>
      <c r="H1949" t="s">
        <v>12635</v>
      </c>
      <c r="I1949" t="s">
        <v>6628</v>
      </c>
      <c r="J1949" t="s">
        <v>33077</v>
      </c>
      <c r="K1949" t="s">
        <v>42309</v>
      </c>
      <c r="M1949" t="s">
        <v>43400</v>
      </c>
      <c r="N1949" t="s">
        <v>46569</v>
      </c>
      <c r="O1949" t="s">
        <v>46570</v>
      </c>
      <c r="P1949">
        <v>0</v>
      </c>
      <c r="Q1949">
        <v>3</v>
      </c>
      <c r="R1949" t="s">
        <v>46571</v>
      </c>
      <c r="S1949" t="s">
        <v>46687</v>
      </c>
      <c r="T1949" t="s">
        <v>48293</v>
      </c>
      <c r="U1949" t="s">
        <v>50403</v>
      </c>
      <c r="W1949" t="s">
        <v>43400</v>
      </c>
      <c r="X1949" t="s">
        <v>46572</v>
      </c>
    </row>
    <row r="1950" spans="1:24">
      <c r="A1950">
        <f>HYPERLINK("https://www.philgeps.gov.ph/GEPSNONPILOT/Tender/SplashBidNoticeAbstractUI.aspx?menuIndex=3&amp;refID=7066688&amp;Result=3","7066688")</f>
        <v>0</v>
      </c>
      <c r="B1950" t="s">
        <v>840</v>
      </c>
      <c r="C1950" t="s">
        <v>5419</v>
      </c>
      <c r="D1950" t="s">
        <v>18831</v>
      </c>
      <c r="E1950" t="s">
        <v>20685</v>
      </c>
      <c r="F1950" t="s">
        <v>32664</v>
      </c>
      <c r="G1950" t="s">
        <v>32672</v>
      </c>
      <c r="H1950" t="s">
        <v>12635</v>
      </c>
      <c r="I1950" t="s">
        <v>6628</v>
      </c>
      <c r="J1950" t="s">
        <v>34073</v>
      </c>
      <c r="K1950" t="s">
        <v>42283</v>
      </c>
      <c r="M1950" t="s">
        <v>43435</v>
      </c>
      <c r="N1950" t="s">
        <v>46569</v>
      </c>
      <c r="O1950" t="s">
        <v>46570</v>
      </c>
      <c r="P1950">
        <v>0</v>
      </c>
      <c r="Q1950">
        <v>1</v>
      </c>
      <c r="R1950" t="s">
        <v>46571</v>
      </c>
      <c r="S1950" t="s">
        <v>46687</v>
      </c>
      <c r="T1950" t="s">
        <v>48424</v>
      </c>
      <c r="U1950" t="s">
        <v>50404</v>
      </c>
      <c r="W1950" t="s">
        <v>43435</v>
      </c>
      <c r="X1950" t="s">
        <v>46572</v>
      </c>
    </row>
    <row r="1951" spans="1:24">
      <c r="A1951">
        <f>HYPERLINK("https://www.philgeps.gov.ph/GEPSNONPILOT/Tender/SplashBidNoticeAbstractUI.aspx?menuIndex=3&amp;refID=7066674&amp;Result=3","7066674")</f>
        <v>0</v>
      </c>
      <c r="B1951" t="s">
        <v>790</v>
      </c>
      <c r="C1951" t="s">
        <v>5420</v>
      </c>
      <c r="D1951" t="s">
        <v>18809</v>
      </c>
      <c r="E1951" t="s">
        <v>20686</v>
      </c>
      <c r="F1951" t="s">
        <v>32664</v>
      </c>
      <c r="G1951" t="s">
        <v>32672</v>
      </c>
      <c r="H1951" t="s">
        <v>12635</v>
      </c>
      <c r="I1951" t="s">
        <v>32706</v>
      </c>
      <c r="J1951" t="s">
        <v>34217</v>
      </c>
      <c r="K1951" t="s">
        <v>42289</v>
      </c>
      <c r="M1951" t="s">
        <v>43382</v>
      </c>
      <c r="N1951" t="s">
        <v>46569</v>
      </c>
      <c r="O1951" t="s">
        <v>46570</v>
      </c>
      <c r="P1951">
        <v>0</v>
      </c>
      <c r="Q1951">
        <v>0</v>
      </c>
      <c r="R1951" t="s">
        <v>46571</v>
      </c>
      <c r="S1951" t="s">
        <v>46687</v>
      </c>
      <c r="T1951" t="s">
        <v>48236</v>
      </c>
      <c r="U1951" t="s">
        <v>50405</v>
      </c>
      <c r="W1951" t="s">
        <v>43382</v>
      </c>
      <c r="X1951" t="s">
        <v>46572</v>
      </c>
    </row>
    <row r="1952" spans="1:24">
      <c r="A1952">
        <f>HYPERLINK("https://www.philgeps.gov.ph/GEPSNONPILOT/Tender/SplashBidNoticeAbstractUI.aspx?menuIndex=3&amp;refID=7066691&amp;Result=3","7066691")</f>
        <v>0</v>
      </c>
      <c r="B1952" t="s">
        <v>678</v>
      </c>
      <c r="C1952" t="s">
        <v>5353</v>
      </c>
      <c r="E1952" t="s">
        <v>20687</v>
      </c>
      <c r="F1952" t="s">
        <v>32664</v>
      </c>
      <c r="G1952" t="s">
        <v>32671</v>
      </c>
      <c r="H1952" t="s">
        <v>12635</v>
      </c>
      <c r="I1952" t="s">
        <v>32694</v>
      </c>
      <c r="J1952" t="s">
        <v>34218</v>
      </c>
      <c r="K1952" t="s">
        <v>42283</v>
      </c>
      <c r="M1952" t="s">
        <v>43265</v>
      </c>
      <c r="N1952" t="s">
        <v>46569</v>
      </c>
      <c r="O1952" t="s">
        <v>46570</v>
      </c>
      <c r="P1952">
        <v>0</v>
      </c>
      <c r="Q1952">
        <v>0</v>
      </c>
      <c r="R1952" t="s">
        <v>46571</v>
      </c>
      <c r="S1952" t="s">
        <v>46687</v>
      </c>
      <c r="T1952" t="s">
        <v>48312</v>
      </c>
      <c r="U1952" t="s">
        <v>50406</v>
      </c>
      <c r="W1952" t="s">
        <v>43265</v>
      </c>
      <c r="X1952" t="s">
        <v>46572</v>
      </c>
    </row>
    <row r="1953" spans="1:24">
      <c r="A1953">
        <f>HYPERLINK("https://www.philgeps.gov.ph/GEPSNONPILOT/Tender/SplashBidNoticeAbstractUI.aspx?menuIndex=3&amp;refID=7066673&amp;Result=3","7066673")</f>
        <v>0</v>
      </c>
      <c r="B1953" t="s">
        <v>680</v>
      </c>
      <c r="C1953" t="s">
        <v>5421</v>
      </c>
      <c r="D1953" t="s">
        <v>18792</v>
      </c>
      <c r="E1953" t="s">
        <v>20688</v>
      </c>
      <c r="F1953" t="s">
        <v>32664</v>
      </c>
      <c r="G1953" t="s">
        <v>32672</v>
      </c>
      <c r="H1953" t="s">
        <v>12635</v>
      </c>
      <c r="I1953" t="s">
        <v>7429</v>
      </c>
      <c r="J1953" t="s">
        <v>32953</v>
      </c>
      <c r="K1953" t="s">
        <v>42305</v>
      </c>
      <c r="M1953" t="s">
        <v>43267</v>
      </c>
      <c r="N1953" t="s">
        <v>46569</v>
      </c>
      <c r="O1953" t="s">
        <v>46570</v>
      </c>
      <c r="P1953">
        <v>0</v>
      </c>
      <c r="Q1953">
        <v>1</v>
      </c>
      <c r="R1953" t="s">
        <v>46571</v>
      </c>
      <c r="S1953" t="s">
        <v>46687</v>
      </c>
      <c r="T1953" t="s">
        <v>48220</v>
      </c>
      <c r="U1953" t="s">
        <v>50407</v>
      </c>
      <c r="W1953" t="s">
        <v>43267</v>
      </c>
      <c r="X1953" t="s">
        <v>46572</v>
      </c>
    </row>
    <row r="1954" spans="1:24">
      <c r="A1954">
        <f>HYPERLINK("https://www.philgeps.gov.ph/GEPSNONPILOT/Tender/SplashBidNoticeAbstractUI.aspx?menuIndex=3&amp;refID=7066671&amp;Result=3","7066671")</f>
        <v>0</v>
      </c>
      <c r="B1954" t="s">
        <v>841</v>
      </c>
      <c r="C1954" t="s">
        <v>5422</v>
      </c>
      <c r="D1954" t="s">
        <v>18784</v>
      </c>
      <c r="E1954" t="s">
        <v>20689</v>
      </c>
      <c r="F1954" t="s">
        <v>32664</v>
      </c>
      <c r="G1954" t="s">
        <v>32671</v>
      </c>
      <c r="H1954" t="s">
        <v>12635</v>
      </c>
      <c r="I1954" t="s">
        <v>5589</v>
      </c>
      <c r="J1954" t="s">
        <v>34219</v>
      </c>
      <c r="K1954" t="s">
        <v>42283</v>
      </c>
      <c r="M1954" t="s">
        <v>43436</v>
      </c>
      <c r="N1954" t="s">
        <v>46569</v>
      </c>
      <c r="O1954" t="s">
        <v>46570</v>
      </c>
      <c r="P1954">
        <v>0</v>
      </c>
      <c r="Q1954">
        <v>2</v>
      </c>
      <c r="R1954" t="s">
        <v>46571</v>
      </c>
      <c r="S1954" t="s">
        <v>46687</v>
      </c>
      <c r="T1954" t="s">
        <v>48249</v>
      </c>
      <c r="U1954" t="s">
        <v>50408</v>
      </c>
      <c r="W1954" t="s">
        <v>43436</v>
      </c>
      <c r="X1954" t="s">
        <v>46572</v>
      </c>
    </row>
    <row r="1955" spans="1:24">
      <c r="A1955">
        <f>HYPERLINK("https://www.philgeps.gov.ph/GEPSNONPILOT/Tender/SplashBidNoticeAbstractUI.aspx?menuIndex=3&amp;refID=7066689&amp;Result=3","7066689")</f>
        <v>0</v>
      </c>
      <c r="B1955" t="s">
        <v>295</v>
      </c>
      <c r="C1955" t="s">
        <v>5423</v>
      </c>
      <c r="D1955" t="s">
        <v>18848</v>
      </c>
      <c r="E1955" t="s">
        <v>20690</v>
      </c>
      <c r="F1955" t="s">
        <v>32664</v>
      </c>
      <c r="G1955" t="s">
        <v>32672</v>
      </c>
      <c r="H1955" t="s">
        <v>12635</v>
      </c>
      <c r="I1955" t="s">
        <v>4439</v>
      </c>
      <c r="J1955" t="s">
        <v>34220</v>
      </c>
      <c r="K1955" t="s">
        <v>42297</v>
      </c>
      <c r="M1955" t="s">
        <v>42862</v>
      </c>
      <c r="N1955" t="s">
        <v>46569</v>
      </c>
      <c r="O1955" t="s">
        <v>46570</v>
      </c>
      <c r="P1955">
        <v>0</v>
      </c>
      <c r="Q1955">
        <v>0</v>
      </c>
      <c r="R1955" t="s">
        <v>46571</v>
      </c>
      <c r="S1955" t="s">
        <v>46687</v>
      </c>
      <c r="T1955" t="s">
        <v>48322</v>
      </c>
      <c r="U1955" t="s">
        <v>50409</v>
      </c>
      <c r="W1955" t="s">
        <v>42862</v>
      </c>
      <c r="X1955" t="s">
        <v>46572</v>
      </c>
    </row>
    <row r="1956" spans="1:24">
      <c r="A1956">
        <f>HYPERLINK("https://www.philgeps.gov.ph/GEPSNONPILOT/Tender/SplashBidNoticeAbstractUI.aspx?menuIndex=3&amp;refID=7066672&amp;Result=3","7066672")</f>
        <v>0</v>
      </c>
      <c r="B1956" t="s">
        <v>625</v>
      </c>
      <c r="C1956" t="s">
        <v>5424</v>
      </c>
      <c r="D1956" t="s">
        <v>18826</v>
      </c>
      <c r="E1956" t="s">
        <v>20691</v>
      </c>
      <c r="F1956" t="s">
        <v>32664</v>
      </c>
      <c r="G1956" t="s">
        <v>32674</v>
      </c>
      <c r="H1956" t="s">
        <v>12635</v>
      </c>
      <c r="I1956" t="s">
        <v>32694</v>
      </c>
      <c r="J1956" t="s">
        <v>34221</v>
      </c>
      <c r="K1956" t="s">
        <v>42309</v>
      </c>
      <c r="M1956" t="s">
        <v>43205</v>
      </c>
      <c r="N1956" t="s">
        <v>46569</v>
      </c>
      <c r="O1956" t="s">
        <v>46570</v>
      </c>
      <c r="P1956">
        <v>0</v>
      </c>
      <c r="Q1956">
        <v>0</v>
      </c>
      <c r="R1956" t="s">
        <v>46571</v>
      </c>
      <c r="S1956" t="s">
        <v>46687</v>
      </c>
      <c r="T1956" t="s">
        <v>48312</v>
      </c>
      <c r="U1956" t="s">
        <v>50410</v>
      </c>
      <c r="W1956" t="s">
        <v>43205</v>
      </c>
      <c r="X1956" t="s">
        <v>46572</v>
      </c>
    </row>
    <row r="1957" spans="1:24">
      <c r="A1957">
        <f>HYPERLINK("https://www.philgeps.gov.ph/GEPSNONPILOT/Tender/SplashBidNoticeAbstractUI.aspx?menuIndex=3&amp;refID=7066687&amp;Result=3","7066687")</f>
        <v>0</v>
      </c>
      <c r="B1957" t="s">
        <v>248</v>
      </c>
      <c r="C1957" t="s">
        <v>5425</v>
      </c>
      <c r="D1957" t="s">
        <v>18801</v>
      </c>
      <c r="E1957" t="s">
        <v>20692</v>
      </c>
      <c r="F1957" t="s">
        <v>32664</v>
      </c>
      <c r="G1957" t="s">
        <v>32674</v>
      </c>
      <c r="H1957" t="s">
        <v>12635</v>
      </c>
      <c r="I1957" t="s">
        <v>32694</v>
      </c>
      <c r="J1957" t="s">
        <v>33117</v>
      </c>
      <c r="K1957" t="s">
        <v>42289</v>
      </c>
      <c r="M1957" t="s">
        <v>42813</v>
      </c>
      <c r="N1957" t="s">
        <v>46569</v>
      </c>
      <c r="O1957" t="s">
        <v>46570</v>
      </c>
      <c r="P1957">
        <v>0</v>
      </c>
      <c r="Q1957">
        <v>2</v>
      </c>
      <c r="R1957" t="s">
        <v>46571</v>
      </c>
      <c r="S1957" t="s">
        <v>46687</v>
      </c>
      <c r="T1957" t="s">
        <v>48246</v>
      </c>
      <c r="U1957" t="s">
        <v>50411</v>
      </c>
      <c r="W1957" t="s">
        <v>42813</v>
      </c>
      <c r="X1957" t="s">
        <v>46572</v>
      </c>
    </row>
    <row r="1958" spans="1:24">
      <c r="A1958">
        <f>HYPERLINK("https://www.philgeps.gov.ph/GEPSNONPILOT/Tender/SplashBidNoticeAbstractUI.aspx?menuIndex=3&amp;refID=7066694&amp;Result=3","7066694")</f>
        <v>0</v>
      </c>
      <c r="B1958" t="s">
        <v>790</v>
      </c>
      <c r="C1958" t="s">
        <v>5426</v>
      </c>
      <c r="D1958" t="s">
        <v>18809</v>
      </c>
      <c r="E1958" t="s">
        <v>20693</v>
      </c>
      <c r="F1958" t="s">
        <v>32664</v>
      </c>
      <c r="G1958" t="s">
        <v>32672</v>
      </c>
      <c r="H1958" t="s">
        <v>32683</v>
      </c>
      <c r="I1958" t="s">
        <v>32716</v>
      </c>
      <c r="J1958" t="s">
        <v>34222</v>
      </c>
      <c r="K1958" t="s">
        <v>42305</v>
      </c>
      <c r="M1958" t="s">
        <v>43382</v>
      </c>
      <c r="N1958" t="s">
        <v>46569</v>
      </c>
      <c r="O1958" t="s">
        <v>46570</v>
      </c>
      <c r="P1958">
        <v>0</v>
      </c>
      <c r="Q1958">
        <v>0</v>
      </c>
      <c r="R1958" t="s">
        <v>46571</v>
      </c>
      <c r="S1958" t="s">
        <v>46687</v>
      </c>
      <c r="T1958" t="s">
        <v>48236</v>
      </c>
      <c r="U1958" t="s">
        <v>50412</v>
      </c>
      <c r="W1958" t="s">
        <v>43382</v>
      </c>
      <c r="X1958" t="s">
        <v>46572</v>
      </c>
    </row>
    <row r="1959" spans="1:24">
      <c r="A1959">
        <f>HYPERLINK("https://www.philgeps.gov.ph/GEPSNONPILOT/Tender/SplashBidNoticeAbstractUI.aspx?menuIndex=3&amp;refID=7066710&amp;Result=3","7066710")</f>
        <v>0</v>
      </c>
      <c r="B1959" t="s">
        <v>791</v>
      </c>
      <c r="C1959" t="s">
        <v>5427</v>
      </c>
      <c r="D1959" t="s">
        <v>18785</v>
      </c>
      <c r="E1959" t="s">
        <v>20694</v>
      </c>
      <c r="F1959" t="s">
        <v>32664</v>
      </c>
      <c r="G1959" t="s">
        <v>32672</v>
      </c>
      <c r="H1959" t="s">
        <v>32683</v>
      </c>
      <c r="I1959" t="s">
        <v>10627</v>
      </c>
      <c r="J1959" t="s">
        <v>32943</v>
      </c>
      <c r="K1959" t="s">
        <v>42311</v>
      </c>
      <c r="M1959" t="s">
        <v>43383</v>
      </c>
      <c r="N1959" t="s">
        <v>46569</v>
      </c>
      <c r="O1959" t="s">
        <v>46570</v>
      </c>
      <c r="P1959">
        <v>0</v>
      </c>
      <c r="Q1959">
        <v>0</v>
      </c>
      <c r="R1959" t="s">
        <v>46571</v>
      </c>
      <c r="S1959" t="s">
        <v>46687</v>
      </c>
      <c r="T1959" t="s">
        <v>48404</v>
      </c>
      <c r="U1959" t="s">
        <v>50319</v>
      </c>
      <c r="W1959" t="s">
        <v>43383</v>
      </c>
      <c r="X1959" t="s">
        <v>46572</v>
      </c>
    </row>
    <row r="1960" spans="1:24">
      <c r="A1960">
        <f>HYPERLINK("https://www.philgeps.gov.ph/GEPSNONPILOT/Tender/SplashBidNoticeAbstractUI.aspx?menuIndex=3&amp;refID=7066723&amp;Result=3","7066723")</f>
        <v>0</v>
      </c>
      <c r="B1960" t="s">
        <v>842</v>
      </c>
      <c r="C1960" t="s">
        <v>5428</v>
      </c>
      <c r="D1960" t="s">
        <v>18830</v>
      </c>
      <c r="E1960" t="s">
        <v>20695</v>
      </c>
      <c r="F1960" t="s">
        <v>32664</v>
      </c>
      <c r="G1960" t="s">
        <v>32675</v>
      </c>
      <c r="H1960" t="s">
        <v>12635</v>
      </c>
      <c r="I1960" t="s">
        <v>6168</v>
      </c>
      <c r="J1960" t="s">
        <v>34223</v>
      </c>
      <c r="K1960" t="s">
        <v>42297</v>
      </c>
      <c r="M1960" t="s">
        <v>43437</v>
      </c>
      <c r="N1960" t="s">
        <v>46569</v>
      </c>
      <c r="O1960" t="s">
        <v>46570</v>
      </c>
      <c r="P1960">
        <v>0</v>
      </c>
      <c r="Q1960">
        <v>1</v>
      </c>
      <c r="R1960" t="s">
        <v>46571</v>
      </c>
      <c r="S1960" t="s">
        <v>46687</v>
      </c>
      <c r="T1960" t="s">
        <v>48221</v>
      </c>
      <c r="U1960" t="s">
        <v>49553</v>
      </c>
      <c r="W1960" t="s">
        <v>43437</v>
      </c>
      <c r="X1960" t="s">
        <v>46572</v>
      </c>
    </row>
    <row r="1961" spans="1:24">
      <c r="A1961">
        <f>HYPERLINK("https://www.philgeps.gov.ph/GEPSNONPILOT/Tender/SplashBidNoticeAbstractUI.aspx?menuIndex=3&amp;refID=7066717&amp;Result=3","7066717")</f>
        <v>0</v>
      </c>
      <c r="B1961" t="s">
        <v>843</v>
      </c>
      <c r="C1961" t="s">
        <v>5429</v>
      </c>
      <c r="D1961" t="s">
        <v>18789</v>
      </c>
      <c r="E1961" t="s">
        <v>20696</v>
      </c>
      <c r="F1961" t="s">
        <v>32664</v>
      </c>
      <c r="G1961" t="s">
        <v>32672</v>
      </c>
      <c r="H1961" t="s">
        <v>32683</v>
      </c>
      <c r="I1961" t="s">
        <v>10627</v>
      </c>
      <c r="J1961" t="s">
        <v>34224</v>
      </c>
      <c r="K1961" t="s">
        <v>42290</v>
      </c>
      <c r="M1961" t="s">
        <v>43438</v>
      </c>
      <c r="N1961" t="s">
        <v>46569</v>
      </c>
      <c r="O1961" t="s">
        <v>46570</v>
      </c>
      <c r="P1961">
        <v>0</v>
      </c>
      <c r="Q1961">
        <v>0</v>
      </c>
      <c r="R1961" t="s">
        <v>46571</v>
      </c>
      <c r="S1961" t="s">
        <v>46687</v>
      </c>
      <c r="T1961" t="s">
        <v>48240</v>
      </c>
      <c r="U1961" t="s">
        <v>50413</v>
      </c>
      <c r="W1961" t="s">
        <v>43438</v>
      </c>
      <c r="X1961" t="s">
        <v>46572</v>
      </c>
    </row>
    <row r="1962" spans="1:24">
      <c r="A1962">
        <f>HYPERLINK("https://www.philgeps.gov.ph/GEPSNONPILOT/Tender/SplashBidNoticeAbstractUI.aspx?menuIndex=3&amp;refID=7066721&amp;Result=3","7066721")</f>
        <v>0</v>
      </c>
      <c r="B1962" t="s">
        <v>844</v>
      </c>
      <c r="C1962" t="s">
        <v>5430</v>
      </c>
      <c r="D1962" t="s">
        <v>18805</v>
      </c>
      <c r="E1962" t="s">
        <v>20697</v>
      </c>
      <c r="F1962" t="s">
        <v>32664</v>
      </c>
      <c r="G1962" t="s">
        <v>32672</v>
      </c>
      <c r="H1962" t="s">
        <v>12635</v>
      </c>
      <c r="I1962" t="s">
        <v>4439</v>
      </c>
      <c r="J1962" t="s">
        <v>34225</v>
      </c>
      <c r="K1962" t="s">
        <v>42306</v>
      </c>
      <c r="M1962" t="s">
        <v>43439</v>
      </c>
      <c r="N1962" t="s">
        <v>46569</v>
      </c>
      <c r="O1962" t="s">
        <v>46570</v>
      </c>
      <c r="P1962">
        <v>0</v>
      </c>
      <c r="Q1962">
        <v>0</v>
      </c>
      <c r="R1962" t="s">
        <v>46571</v>
      </c>
      <c r="S1962" t="s">
        <v>46687</v>
      </c>
      <c r="T1962" t="s">
        <v>48288</v>
      </c>
      <c r="U1962" t="s">
        <v>50414</v>
      </c>
      <c r="W1962" t="s">
        <v>43439</v>
      </c>
      <c r="X1962" t="s">
        <v>46572</v>
      </c>
    </row>
    <row r="1963" spans="1:24">
      <c r="A1963">
        <f>HYPERLINK("https://www.philgeps.gov.ph/GEPSNONPILOT/Tender/SplashBidNoticeAbstractUI.aspx?menuIndex=3&amp;refID=7066719&amp;Result=3","7066719")</f>
        <v>0</v>
      </c>
      <c r="B1963" t="s">
        <v>720</v>
      </c>
      <c r="C1963" t="s">
        <v>5431</v>
      </c>
      <c r="D1963" t="s">
        <v>18784</v>
      </c>
      <c r="E1963" t="s">
        <v>20698</v>
      </c>
      <c r="F1963" t="s">
        <v>32664</v>
      </c>
      <c r="G1963" t="s">
        <v>32671</v>
      </c>
      <c r="H1963" t="s">
        <v>12635</v>
      </c>
      <c r="I1963" t="s">
        <v>8730</v>
      </c>
      <c r="J1963" t="s">
        <v>34226</v>
      </c>
      <c r="K1963" t="s">
        <v>42284</v>
      </c>
      <c r="M1963" t="s">
        <v>43307</v>
      </c>
      <c r="N1963" t="s">
        <v>46569</v>
      </c>
      <c r="O1963" t="s">
        <v>46570</v>
      </c>
      <c r="P1963">
        <v>0</v>
      </c>
      <c r="Q1963">
        <v>5</v>
      </c>
      <c r="R1963" t="s">
        <v>46571</v>
      </c>
      <c r="S1963" t="s">
        <v>46687</v>
      </c>
      <c r="T1963" t="s">
        <v>48312</v>
      </c>
      <c r="U1963" t="s">
        <v>50132</v>
      </c>
      <c r="W1963" t="s">
        <v>43307</v>
      </c>
      <c r="X1963" t="s">
        <v>46572</v>
      </c>
    </row>
    <row r="1964" spans="1:24">
      <c r="A1964">
        <f>HYPERLINK("https://www.philgeps.gov.ph/GEPSNONPILOT/Tender/SplashBidNoticeAbstractUI.aspx?menuIndex=3&amp;refID=7066708&amp;Result=3","7066708")</f>
        <v>0</v>
      </c>
      <c r="B1964" t="s">
        <v>165</v>
      </c>
      <c r="C1964" t="s">
        <v>5432</v>
      </c>
      <c r="D1964" t="s">
        <v>18784</v>
      </c>
      <c r="E1964" t="s">
        <v>20699</v>
      </c>
      <c r="F1964" t="s">
        <v>32664</v>
      </c>
      <c r="G1964" t="s">
        <v>32674</v>
      </c>
      <c r="H1964" t="s">
        <v>12635</v>
      </c>
      <c r="I1964" t="s">
        <v>6223</v>
      </c>
      <c r="J1964" t="s">
        <v>34227</v>
      </c>
      <c r="K1964" t="s">
        <v>42303</v>
      </c>
      <c r="M1964" t="s">
        <v>43440</v>
      </c>
      <c r="N1964" t="s">
        <v>46569</v>
      </c>
      <c r="O1964" t="s">
        <v>46570</v>
      </c>
      <c r="P1964">
        <v>0</v>
      </c>
      <c r="Q1964">
        <v>0</v>
      </c>
      <c r="R1964" t="s">
        <v>46571</v>
      </c>
      <c r="S1964" t="s">
        <v>46687</v>
      </c>
      <c r="T1964" t="s">
        <v>48219</v>
      </c>
      <c r="U1964" t="s">
        <v>50415</v>
      </c>
      <c r="W1964" t="s">
        <v>43440</v>
      </c>
      <c r="X1964" t="s">
        <v>46572</v>
      </c>
    </row>
    <row r="1965" spans="1:24">
      <c r="A1965">
        <f>HYPERLINK("https://www.philgeps.gov.ph/GEPSNONPILOT/Tender/SplashBidNoticeAbstractUI.aspx?menuIndex=3&amp;refID=7066707&amp;Result=3","7066707")</f>
        <v>0</v>
      </c>
      <c r="B1965" t="s">
        <v>664</v>
      </c>
      <c r="C1965" t="s">
        <v>5433</v>
      </c>
      <c r="D1965" t="s">
        <v>18842</v>
      </c>
      <c r="E1965" t="s">
        <v>20700</v>
      </c>
      <c r="F1965" t="s">
        <v>32664</v>
      </c>
      <c r="G1965" t="s">
        <v>32671</v>
      </c>
      <c r="H1965" t="s">
        <v>12635</v>
      </c>
      <c r="I1965" t="s">
        <v>8730</v>
      </c>
      <c r="J1965" t="s">
        <v>33682</v>
      </c>
      <c r="K1965" t="s">
        <v>42283</v>
      </c>
      <c r="M1965" t="s">
        <v>43251</v>
      </c>
      <c r="N1965" t="s">
        <v>46569</v>
      </c>
      <c r="O1965" t="s">
        <v>46570</v>
      </c>
      <c r="P1965">
        <v>0</v>
      </c>
      <c r="Q1965">
        <v>3</v>
      </c>
      <c r="R1965" t="s">
        <v>46571</v>
      </c>
      <c r="S1965" t="s">
        <v>46687</v>
      </c>
      <c r="T1965" t="s">
        <v>48244</v>
      </c>
      <c r="U1965" t="s">
        <v>50416</v>
      </c>
      <c r="W1965" t="s">
        <v>43251</v>
      </c>
      <c r="X1965" t="s">
        <v>46572</v>
      </c>
    </row>
    <row r="1966" spans="1:24">
      <c r="A1966">
        <f>HYPERLINK("https://www.philgeps.gov.ph/GEPSNONPILOT/Tender/SplashBidNoticeAbstractUI.aspx?menuIndex=3&amp;refID=7066705&amp;Result=3","7066705")</f>
        <v>0</v>
      </c>
      <c r="B1966" t="s">
        <v>845</v>
      </c>
      <c r="C1966" t="s">
        <v>5434</v>
      </c>
      <c r="D1966" t="s">
        <v>18824</v>
      </c>
      <c r="E1966" t="s">
        <v>20701</v>
      </c>
      <c r="F1966" t="s">
        <v>32664</v>
      </c>
      <c r="G1966" t="s">
        <v>32675</v>
      </c>
      <c r="H1966" t="s">
        <v>12635</v>
      </c>
      <c r="I1966" t="s">
        <v>6168</v>
      </c>
      <c r="J1966" t="s">
        <v>34228</v>
      </c>
      <c r="K1966" t="s">
        <v>42297</v>
      </c>
      <c r="M1966" t="s">
        <v>43441</v>
      </c>
      <c r="N1966" t="s">
        <v>46569</v>
      </c>
      <c r="O1966" t="s">
        <v>46570</v>
      </c>
      <c r="P1966">
        <v>0</v>
      </c>
      <c r="Q1966">
        <v>0</v>
      </c>
      <c r="R1966" t="s">
        <v>46571</v>
      </c>
      <c r="S1966" t="s">
        <v>46687</v>
      </c>
      <c r="T1966" t="s">
        <v>48256</v>
      </c>
      <c r="U1966" t="s">
        <v>50417</v>
      </c>
      <c r="W1966" t="s">
        <v>43441</v>
      </c>
      <c r="X1966" t="s">
        <v>46572</v>
      </c>
    </row>
    <row r="1967" spans="1:24">
      <c r="A1967">
        <f>HYPERLINK("https://www.philgeps.gov.ph/GEPSNONPILOT/Tender/SplashBidNoticeAbstractUI.aspx?menuIndex=3&amp;refID=7066704&amp;Result=3","7066704")</f>
        <v>0</v>
      </c>
      <c r="B1967" t="s">
        <v>519</v>
      </c>
      <c r="C1967" t="s">
        <v>5435</v>
      </c>
      <c r="D1967" t="s">
        <v>18838</v>
      </c>
      <c r="E1967" t="s">
        <v>20702</v>
      </c>
      <c r="F1967" t="s">
        <v>32664</v>
      </c>
      <c r="G1967" t="s">
        <v>32671</v>
      </c>
      <c r="H1967" t="s">
        <v>12635</v>
      </c>
      <c r="I1967" t="s">
        <v>9486</v>
      </c>
      <c r="J1967" t="s">
        <v>34229</v>
      </c>
      <c r="K1967" t="s">
        <v>42283</v>
      </c>
      <c r="M1967" t="s">
        <v>43096</v>
      </c>
      <c r="N1967" t="s">
        <v>46569</v>
      </c>
      <c r="O1967" t="s">
        <v>46570</v>
      </c>
      <c r="P1967">
        <v>0</v>
      </c>
      <c r="Q1967">
        <v>1</v>
      </c>
      <c r="R1967" t="s">
        <v>46571</v>
      </c>
      <c r="S1967" t="s">
        <v>46687</v>
      </c>
      <c r="T1967" t="s">
        <v>48268</v>
      </c>
      <c r="U1967" t="s">
        <v>50418</v>
      </c>
      <c r="W1967" t="s">
        <v>43096</v>
      </c>
      <c r="X1967" t="s">
        <v>46572</v>
      </c>
    </row>
    <row r="1968" spans="1:24">
      <c r="A1968">
        <f>HYPERLINK("https://www.philgeps.gov.ph/GEPSNONPILOT/Tender/SplashBidNoticeAbstractUI.aspx?menuIndex=3&amp;refID=7066701&amp;Result=3","7066701")</f>
        <v>0</v>
      </c>
      <c r="B1968" t="s">
        <v>846</v>
      </c>
      <c r="C1968" t="s">
        <v>5436</v>
      </c>
      <c r="D1968" t="s">
        <v>18791</v>
      </c>
      <c r="E1968" t="s">
        <v>20703</v>
      </c>
      <c r="F1968" t="s">
        <v>32664</v>
      </c>
      <c r="G1968" t="s">
        <v>32671</v>
      </c>
      <c r="H1968" t="s">
        <v>32682</v>
      </c>
      <c r="I1968" t="s">
        <v>9946</v>
      </c>
      <c r="J1968" t="s">
        <v>34230</v>
      </c>
      <c r="K1968" t="s">
        <v>42334</v>
      </c>
      <c r="M1968" t="s">
        <v>43442</v>
      </c>
      <c r="N1968" t="s">
        <v>46569</v>
      </c>
      <c r="O1968" t="s">
        <v>46570</v>
      </c>
      <c r="P1968">
        <v>0</v>
      </c>
      <c r="Q1968">
        <v>2</v>
      </c>
      <c r="R1968" t="s">
        <v>46571</v>
      </c>
      <c r="S1968" t="s">
        <v>46687</v>
      </c>
      <c r="T1968" t="s">
        <v>48244</v>
      </c>
      <c r="U1968" t="s">
        <v>50419</v>
      </c>
      <c r="W1968" t="s">
        <v>43449</v>
      </c>
      <c r="X1968" t="s">
        <v>46572</v>
      </c>
    </row>
    <row r="1969" spans="1:24">
      <c r="A1969">
        <f>HYPERLINK("https://www.philgeps.gov.ph/GEPSNONPILOT/Tender/SplashBidNoticeAbstractUI.aspx?menuIndex=3&amp;refID=7066720&amp;Result=3","7066720")</f>
        <v>0</v>
      </c>
      <c r="B1969" t="s">
        <v>847</v>
      </c>
      <c r="C1969" t="s">
        <v>5437</v>
      </c>
      <c r="D1969" t="s">
        <v>18861</v>
      </c>
      <c r="E1969" t="s">
        <v>20704</v>
      </c>
      <c r="F1969" t="s">
        <v>32664</v>
      </c>
      <c r="G1969" t="s">
        <v>32672</v>
      </c>
      <c r="H1969" t="s">
        <v>12635</v>
      </c>
      <c r="I1969" t="s">
        <v>32758</v>
      </c>
      <c r="J1969" t="s">
        <v>33267</v>
      </c>
      <c r="K1969" t="s">
        <v>42281</v>
      </c>
      <c r="M1969" t="s">
        <v>43443</v>
      </c>
      <c r="N1969" t="s">
        <v>46569</v>
      </c>
      <c r="O1969" t="s">
        <v>46570</v>
      </c>
      <c r="P1969">
        <v>0</v>
      </c>
      <c r="Q1969">
        <v>0</v>
      </c>
      <c r="R1969" t="s">
        <v>46571</v>
      </c>
      <c r="S1969" t="s">
        <v>46687</v>
      </c>
      <c r="T1969" t="s">
        <v>48321</v>
      </c>
      <c r="U1969" t="s">
        <v>50420</v>
      </c>
      <c r="V1969" t="s">
        <v>61827</v>
      </c>
      <c r="W1969" t="s">
        <v>43443</v>
      </c>
      <c r="X1969" t="s">
        <v>46572</v>
      </c>
    </row>
    <row r="1970" spans="1:24">
      <c r="A1970">
        <f>HYPERLINK("https://www.philgeps.gov.ph/GEPSNONPILOT/Tender/SplashBidNoticeAbstractUI.aspx?menuIndex=3&amp;refID=7066714&amp;Result=3","7066714")</f>
        <v>0</v>
      </c>
      <c r="B1970" t="s">
        <v>848</v>
      </c>
      <c r="C1970" t="s">
        <v>5438</v>
      </c>
      <c r="D1970" t="s">
        <v>18791</v>
      </c>
      <c r="E1970" t="s">
        <v>20705</v>
      </c>
      <c r="F1970" t="s">
        <v>32664</v>
      </c>
      <c r="G1970" t="s">
        <v>32671</v>
      </c>
      <c r="H1970" t="s">
        <v>12635</v>
      </c>
      <c r="I1970" t="s">
        <v>9597</v>
      </c>
      <c r="J1970" t="s">
        <v>33096</v>
      </c>
      <c r="K1970" t="s">
        <v>42284</v>
      </c>
      <c r="M1970" t="s">
        <v>43444</v>
      </c>
      <c r="N1970" t="s">
        <v>46569</v>
      </c>
      <c r="O1970" t="s">
        <v>46570</v>
      </c>
      <c r="P1970">
        <v>0</v>
      </c>
      <c r="Q1970">
        <v>2</v>
      </c>
      <c r="R1970" t="s">
        <v>46571</v>
      </c>
      <c r="S1970" t="s">
        <v>46687</v>
      </c>
      <c r="T1970" t="s">
        <v>48356</v>
      </c>
      <c r="U1970" t="s">
        <v>50421</v>
      </c>
      <c r="W1970" t="s">
        <v>43444</v>
      </c>
      <c r="X1970" t="s">
        <v>46572</v>
      </c>
    </row>
    <row r="1971" spans="1:24">
      <c r="A1971">
        <f>HYPERLINK("https://www.philgeps.gov.ph/GEPSNONPILOT/Tender/SplashBidNoticeAbstractUI.aspx?menuIndex=3&amp;refID=7066746&amp;Result=3","7066746")</f>
        <v>0</v>
      </c>
      <c r="B1971" t="s">
        <v>678</v>
      </c>
      <c r="C1971" t="s">
        <v>5439</v>
      </c>
      <c r="E1971" t="s">
        <v>20706</v>
      </c>
      <c r="F1971" t="s">
        <v>32664</v>
      </c>
      <c r="G1971" t="s">
        <v>32671</v>
      </c>
      <c r="H1971" t="s">
        <v>12635</v>
      </c>
      <c r="I1971" t="s">
        <v>7759</v>
      </c>
      <c r="J1971" t="s">
        <v>34231</v>
      </c>
      <c r="K1971" t="s">
        <v>42283</v>
      </c>
      <c r="M1971" t="s">
        <v>43265</v>
      </c>
      <c r="N1971" t="s">
        <v>46569</v>
      </c>
      <c r="O1971" t="s">
        <v>46570</v>
      </c>
      <c r="P1971">
        <v>0</v>
      </c>
      <c r="Q1971">
        <v>0</v>
      </c>
      <c r="R1971" t="s">
        <v>46571</v>
      </c>
      <c r="S1971" t="s">
        <v>46687</v>
      </c>
      <c r="T1971" t="s">
        <v>48312</v>
      </c>
      <c r="U1971" t="s">
        <v>50422</v>
      </c>
      <c r="W1971" t="s">
        <v>43265</v>
      </c>
      <c r="X1971" t="s">
        <v>46572</v>
      </c>
    </row>
    <row r="1972" spans="1:24">
      <c r="A1972">
        <f>HYPERLINK("https://www.philgeps.gov.ph/GEPSNONPILOT/Tender/SplashBidNoticeAbstractUI.aspx?menuIndex=3&amp;refID=7066709&amp;Result=3","7066709")</f>
        <v>0</v>
      </c>
      <c r="B1972" t="s">
        <v>643</v>
      </c>
      <c r="C1972" t="s">
        <v>5440</v>
      </c>
      <c r="D1972" t="s">
        <v>18784</v>
      </c>
      <c r="E1972" t="s">
        <v>20707</v>
      </c>
      <c r="F1972" t="s">
        <v>32664</v>
      </c>
      <c r="G1972" t="s">
        <v>32671</v>
      </c>
      <c r="H1972" t="s">
        <v>12635</v>
      </c>
      <c r="I1972" t="s">
        <v>32703</v>
      </c>
      <c r="J1972" t="s">
        <v>34232</v>
      </c>
      <c r="K1972" t="s">
        <v>42289</v>
      </c>
      <c r="M1972" t="s">
        <v>43228</v>
      </c>
      <c r="N1972" t="s">
        <v>46569</v>
      </c>
      <c r="O1972" t="s">
        <v>46570</v>
      </c>
      <c r="P1972">
        <v>0</v>
      </c>
      <c r="Q1972">
        <v>0</v>
      </c>
      <c r="R1972" t="s">
        <v>46571</v>
      </c>
      <c r="S1972" t="s">
        <v>46687</v>
      </c>
      <c r="T1972" t="s">
        <v>48256</v>
      </c>
      <c r="U1972" t="s">
        <v>50423</v>
      </c>
      <c r="W1972" t="s">
        <v>43228</v>
      </c>
      <c r="X1972" t="s">
        <v>46572</v>
      </c>
    </row>
    <row r="1973" spans="1:24">
      <c r="A1973">
        <f>HYPERLINK("https://www.philgeps.gov.ph/GEPSNONPILOT/Tender/SplashBidNoticeAbstractUI.aspx?menuIndex=3&amp;refID=7066745&amp;Result=3","7066745")</f>
        <v>0</v>
      </c>
      <c r="B1973" t="s">
        <v>849</v>
      </c>
      <c r="C1973" t="s">
        <v>5441</v>
      </c>
      <c r="D1973" t="s">
        <v>18836</v>
      </c>
      <c r="E1973" t="s">
        <v>20708</v>
      </c>
      <c r="F1973" t="s">
        <v>32664</v>
      </c>
      <c r="G1973" t="s">
        <v>32672</v>
      </c>
      <c r="H1973" t="s">
        <v>12635</v>
      </c>
      <c r="I1973" t="s">
        <v>5589</v>
      </c>
      <c r="J1973" t="s">
        <v>34233</v>
      </c>
      <c r="K1973" t="s">
        <v>42281</v>
      </c>
      <c r="M1973" t="s">
        <v>43445</v>
      </c>
      <c r="N1973" t="s">
        <v>46569</v>
      </c>
      <c r="O1973" t="s">
        <v>46570</v>
      </c>
      <c r="P1973">
        <v>0</v>
      </c>
      <c r="Q1973">
        <v>2</v>
      </c>
      <c r="R1973" t="s">
        <v>46571</v>
      </c>
      <c r="S1973" t="s">
        <v>46687</v>
      </c>
      <c r="T1973" t="s">
        <v>48372</v>
      </c>
      <c r="U1973" t="s">
        <v>50424</v>
      </c>
      <c r="V1973" t="s">
        <v>61828</v>
      </c>
      <c r="W1973" t="s">
        <v>63491</v>
      </c>
      <c r="X1973" t="s">
        <v>46572</v>
      </c>
    </row>
    <row r="1974" spans="1:24">
      <c r="A1974">
        <f>HYPERLINK("https://www.philgeps.gov.ph/GEPSNONPILOT/Tender/SplashBidNoticeAbstractUI.aspx?menuIndex=3&amp;refID=7066744&amp;Result=3","7066744")</f>
        <v>0</v>
      </c>
      <c r="B1974" t="s">
        <v>680</v>
      </c>
      <c r="C1974" t="s">
        <v>5442</v>
      </c>
      <c r="D1974" t="s">
        <v>18792</v>
      </c>
      <c r="E1974" t="s">
        <v>20709</v>
      </c>
      <c r="F1974" t="s">
        <v>32664</v>
      </c>
      <c r="G1974" t="s">
        <v>32672</v>
      </c>
      <c r="H1974" t="s">
        <v>32683</v>
      </c>
      <c r="I1974" t="s">
        <v>10627</v>
      </c>
      <c r="J1974" t="s">
        <v>34234</v>
      </c>
      <c r="K1974" t="s">
        <v>42308</v>
      </c>
      <c r="M1974" t="s">
        <v>43267</v>
      </c>
      <c r="N1974" t="s">
        <v>46569</v>
      </c>
      <c r="O1974" t="s">
        <v>46570</v>
      </c>
      <c r="P1974">
        <v>0</v>
      </c>
      <c r="Q1974">
        <v>0</v>
      </c>
      <c r="R1974" t="s">
        <v>46571</v>
      </c>
      <c r="S1974" t="s">
        <v>46687</v>
      </c>
      <c r="T1974" t="s">
        <v>48220</v>
      </c>
      <c r="U1974" t="s">
        <v>50425</v>
      </c>
      <c r="W1974" t="s">
        <v>43267</v>
      </c>
      <c r="X1974" t="s">
        <v>46572</v>
      </c>
    </row>
    <row r="1975" spans="1:24">
      <c r="A1975">
        <f>HYPERLINK("https://www.philgeps.gov.ph/GEPSNONPILOT/Tender/SplashBidNoticeAbstractUI.aspx?menuIndex=3&amp;refID=7066742&amp;Result=3","7066742")</f>
        <v>0</v>
      </c>
      <c r="B1975" t="s">
        <v>519</v>
      </c>
      <c r="C1975" t="s">
        <v>5443</v>
      </c>
      <c r="D1975" t="s">
        <v>18838</v>
      </c>
      <c r="E1975" t="s">
        <v>20710</v>
      </c>
      <c r="F1975" t="s">
        <v>32664</v>
      </c>
      <c r="G1975" t="s">
        <v>32671</v>
      </c>
      <c r="H1975" t="s">
        <v>12635</v>
      </c>
      <c r="I1975" t="s">
        <v>8797</v>
      </c>
      <c r="J1975" t="s">
        <v>34235</v>
      </c>
      <c r="K1975" t="s">
        <v>42283</v>
      </c>
      <c r="M1975" t="s">
        <v>43096</v>
      </c>
      <c r="N1975" t="s">
        <v>46569</v>
      </c>
      <c r="O1975" t="s">
        <v>46570</v>
      </c>
      <c r="P1975">
        <v>0</v>
      </c>
      <c r="Q1975">
        <v>1</v>
      </c>
      <c r="R1975" t="s">
        <v>46571</v>
      </c>
      <c r="S1975" t="s">
        <v>46687</v>
      </c>
      <c r="T1975" t="s">
        <v>48268</v>
      </c>
      <c r="U1975" t="s">
        <v>50426</v>
      </c>
      <c r="W1975" t="s">
        <v>43096</v>
      </c>
      <c r="X1975" t="s">
        <v>46572</v>
      </c>
    </row>
    <row r="1976" spans="1:24">
      <c r="A1976">
        <f>HYPERLINK("https://www.philgeps.gov.ph/GEPSNONPILOT/Tender/SplashBidNoticeAbstractUI.aspx?menuIndex=3&amp;refID=7066678&amp;Result=3","7066678")</f>
        <v>0</v>
      </c>
      <c r="B1976" t="s">
        <v>850</v>
      </c>
      <c r="C1976" t="s">
        <v>5444</v>
      </c>
      <c r="E1976" t="s">
        <v>20711</v>
      </c>
      <c r="F1976" t="s">
        <v>32664</v>
      </c>
      <c r="G1976" t="s">
        <v>32672</v>
      </c>
      <c r="H1976" t="s">
        <v>12635</v>
      </c>
      <c r="I1976" t="s">
        <v>11464</v>
      </c>
      <c r="J1976" t="s">
        <v>33210</v>
      </c>
      <c r="K1976" t="s">
        <v>42289</v>
      </c>
      <c r="M1976" t="s">
        <v>43446</v>
      </c>
      <c r="N1976" t="s">
        <v>46569</v>
      </c>
      <c r="O1976" t="s">
        <v>46570</v>
      </c>
      <c r="P1976">
        <v>0</v>
      </c>
      <c r="Q1976">
        <v>3</v>
      </c>
      <c r="R1976" t="s">
        <v>46571</v>
      </c>
      <c r="S1976" t="s">
        <v>46687</v>
      </c>
      <c r="T1976" t="s">
        <v>48360</v>
      </c>
      <c r="U1976" t="s">
        <v>50427</v>
      </c>
      <c r="W1976" t="s">
        <v>43446</v>
      </c>
      <c r="X1976" t="s">
        <v>46572</v>
      </c>
    </row>
    <row r="1977" spans="1:24">
      <c r="A1977">
        <f>HYPERLINK("https://www.philgeps.gov.ph/GEPSNONPILOT/Tender/SplashBidNoticeAbstractUI.aspx?menuIndex=3&amp;refID=7066741&amp;Result=3","7066741")</f>
        <v>0</v>
      </c>
      <c r="B1977" t="s">
        <v>594</v>
      </c>
      <c r="C1977" t="s">
        <v>5445</v>
      </c>
      <c r="D1977" t="s">
        <v>18784</v>
      </c>
      <c r="E1977" t="s">
        <v>20712</v>
      </c>
      <c r="F1977" t="s">
        <v>32664</v>
      </c>
      <c r="G1977" t="s">
        <v>32674</v>
      </c>
      <c r="H1977" t="s">
        <v>12635</v>
      </c>
      <c r="I1977" t="s">
        <v>8797</v>
      </c>
      <c r="J1977" t="s">
        <v>34236</v>
      </c>
      <c r="K1977" t="s">
        <v>42297</v>
      </c>
      <c r="M1977" t="s">
        <v>43174</v>
      </c>
      <c r="N1977" t="s">
        <v>46569</v>
      </c>
      <c r="O1977" t="s">
        <v>46570</v>
      </c>
      <c r="P1977">
        <v>0</v>
      </c>
      <c r="Q1977">
        <v>1</v>
      </c>
      <c r="R1977" t="s">
        <v>46571</v>
      </c>
      <c r="S1977" t="s">
        <v>46687</v>
      </c>
      <c r="T1977" t="s">
        <v>48256</v>
      </c>
      <c r="U1977" t="s">
        <v>50428</v>
      </c>
      <c r="W1977" t="s">
        <v>43174</v>
      </c>
      <c r="X1977" t="s">
        <v>46572</v>
      </c>
    </row>
    <row r="1978" spans="1:24">
      <c r="A1978">
        <f>HYPERLINK("https://www.philgeps.gov.ph/GEPSNONPILOT/Tender/SplashBidNoticeAbstractUI.aspx?menuIndex=3&amp;refID=7066739&amp;Result=3","7066739")</f>
        <v>0</v>
      </c>
      <c r="B1978" t="s">
        <v>791</v>
      </c>
      <c r="C1978" t="s">
        <v>5446</v>
      </c>
      <c r="D1978" t="s">
        <v>18785</v>
      </c>
      <c r="E1978" t="s">
        <v>20713</v>
      </c>
      <c r="F1978" t="s">
        <v>32664</v>
      </c>
      <c r="G1978" t="s">
        <v>32672</v>
      </c>
      <c r="H1978" t="s">
        <v>32683</v>
      </c>
      <c r="I1978" t="s">
        <v>10627</v>
      </c>
      <c r="J1978" t="s">
        <v>34237</v>
      </c>
      <c r="K1978" t="s">
        <v>42369</v>
      </c>
      <c r="M1978" t="s">
        <v>43383</v>
      </c>
      <c r="N1978" t="s">
        <v>46569</v>
      </c>
      <c r="O1978" t="s">
        <v>46570</v>
      </c>
      <c r="P1978">
        <v>0</v>
      </c>
      <c r="Q1978">
        <v>0</v>
      </c>
      <c r="R1978" t="s">
        <v>46571</v>
      </c>
      <c r="S1978" t="s">
        <v>46687</v>
      </c>
      <c r="T1978" t="s">
        <v>48404</v>
      </c>
      <c r="U1978" t="s">
        <v>50319</v>
      </c>
      <c r="W1978" t="s">
        <v>43383</v>
      </c>
      <c r="X1978" t="s">
        <v>46572</v>
      </c>
    </row>
    <row r="1979" spans="1:24">
      <c r="A1979">
        <f>HYPERLINK("https://www.philgeps.gov.ph/GEPSNONPILOT/Tender/SplashBidNoticeAbstractUI.aspx?menuIndex=3&amp;refID=7066743&amp;Result=3","7066743")</f>
        <v>0</v>
      </c>
      <c r="B1979" t="s">
        <v>851</v>
      </c>
      <c r="C1979" t="s">
        <v>5447</v>
      </c>
      <c r="D1979" t="s">
        <v>18829</v>
      </c>
      <c r="E1979" t="s">
        <v>20714</v>
      </c>
      <c r="F1979" t="s">
        <v>32664</v>
      </c>
      <c r="G1979" t="s">
        <v>32672</v>
      </c>
      <c r="H1979" t="s">
        <v>12635</v>
      </c>
      <c r="I1979" t="s">
        <v>4439</v>
      </c>
      <c r="J1979" t="s">
        <v>34238</v>
      </c>
      <c r="K1979" t="s">
        <v>42281</v>
      </c>
      <c r="M1979" t="s">
        <v>43447</v>
      </c>
      <c r="N1979" t="s">
        <v>46569</v>
      </c>
      <c r="O1979" t="s">
        <v>46570</v>
      </c>
      <c r="P1979">
        <v>0</v>
      </c>
      <c r="Q1979">
        <v>0</v>
      </c>
      <c r="R1979" t="s">
        <v>46571</v>
      </c>
      <c r="S1979" t="s">
        <v>46687</v>
      </c>
      <c r="T1979" t="s">
        <v>48366</v>
      </c>
      <c r="U1979" t="s">
        <v>50429</v>
      </c>
      <c r="W1979" t="s">
        <v>43447</v>
      </c>
      <c r="X1979" t="s">
        <v>46572</v>
      </c>
    </row>
    <row r="1980" spans="1:24">
      <c r="A1980">
        <f>HYPERLINK("https://www.philgeps.gov.ph/GEPSNONPILOT/Tender/SplashBidNoticeAbstractUI.aspx?menuIndex=3&amp;refID=7066736&amp;Result=3","7066736")</f>
        <v>0</v>
      </c>
      <c r="B1980" t="s">
        <v>842</v>
      </c>
      <c r="C1980" t="s">
        <v>5448</v>
      </c>
      <c r="D1980" t="s">
        <v>18830</v>
      </c>
      <c r="E1980" t="s">
        <v>20715</v>
      </c>
      <c r="F1980" t="s">
        <v>32664</v>
      </c>
      <c r="G1980" t="s">
        <v>32671</v>
      </c>
      <c r="H1980" t="s">
        <v>12635</v>
      </c>
      <c r="I1980" t="s">
        <v>6223</v>
      </c>
      <c r="J1980" t="s">
        <v>34239</v>
      </c>
      <c r="K1980" t="s">
        <v>42297</v>
      </c>
      <c r="M1980" t="s">
        <v>43437</v>
      </c>
      <c r="N1980" t="s">
        <v>46569</v>
      </c>
      <c r="O1980" t="s">
        <v>46570</v>
      </c>
      <c r="P1980">
        <v>0</v>
      </c>
      <c r="Q1980">
        <v>0</v>
      </c>
      <c r="R1980" t="s">
        <v>46571</v>
      </c>
      <c r="S1980" t="s">
        <v>46687</v>
      </c>
      <c r="T1980" t="s">
        <v>48221</v>
      </c>
      <c r="U1980" t="s">
        <v>50430</v>
      </c>
      <c r="W1980" t="s">
        <v>43437</v>
      </c>
      <c r="X1980" t="s">
        <v>46572</v>
      </c>
    </row>
    <row r="1981" spans="1:24">
      <c r="A1981">
        <f>HYPERLINK("https://www.philgeps.gov.ph/GEPSNONPILOT/Tender/SplashBidNoticeAbstractUI.aspx?menuIndex=3&amp;refID=7066738&amp;Result=3","7066738")</f>
        <v>0</v>
      </c>
      <c r="B1981" t="s">
        <v>852</v>
      </c>
      <c r="C1981" t="s">
        <v>5449</v>
      </c>
      <c r="D1981" t="s">
        <v>18794</v>
      </c>
      <c r="E1981" t="s">
        <v>19533</v>
      </c>
      <c r="F1981" t="s">
        <v>32664</v>
      </c>
      <c r="G1981" t="s">
        <v>32674</v>
      </c>
      <c r="H1981" t="s">
        <v>32683</v>
      </c>
      <c r="I1981" t="s">
        <v>32716</v>
      </c>
      <c r="J1981" t="s">
        <v>34240</v>
      </c>
      <c r="K1981" t="s">
        <v>42289</v>
      </c>
      <c r="M1981" t="s">
        <v>43448</v>
      </c>
      <c r="N1981" t="s">
        <v>46569</v>
      </c>
      <c r="O1981" t="s">
        <v>46570</v>
      </c>
      <c r="P1981">
        <v>0</v>
      </c>
      <c r="Q1981">
        <v>0</v>
      </c>
      <c r="R1981" t="s">
        <v>46571</v>
      </c>
      <c r="S1981" t="s">
        <v>46687</v>
      </c>
      <c r="T1981" t="s">
        <v>48293</v>
      </c>
      <c r="U1981" t="s">
        <v>50431</v>
      </c>
      <c r="W1981" t="s">
        <v>43448</v>
      </c>
      <c r="X1981" t="s">
        <v>46572</v>
      </c>
    </row>
    <row r="1982" spans="1:24">
      <c r="A1982">
        <f>HYPERLINK("https://www.philgeps.gov.ph/GEPSNONPILOT/Tender/SplashBidNoticeAbstractUI.aspx?menuIndex=3&amp;refID=7066734&amp;Result=3","7066734")</f>
        <v>0</v>
      </c>
      <c r="B1982" t="s">
        <v>228</v>
      </c>
      <c r="C1982" t="s">
        <v>5450</v>
      </c>
      <c r="D1982" t="s">
        <v>18805</v>
      </c>
      <c r="E1982" t="s">
        <v>20716</v>
      </c>
      <c r="F1982" t="s">
        <v>32664</v>
      </c>
      <c r="G1982" t="s">
        <v>32671</v>
      </c>
      <c r="H1982" t="s">
        <v>12635</v>
      </c>
      <c r="I1982" t="s">
        <v>5589</v>
      </c>
      <c r="J1982" t="s">
        <v>32853</v>
      </c>
      <c r="K1982" t="s">
        <v>42284</v>
      </c>
      <c r="M1982" t="s">
        <v>42792</v>
      </c>
      <c r="N1982" t="s">
        <v>46569</v>
      </c>
      <c r="O1982" t="s">
        <v>46570</v>
      </c>
      <c r="P1982">
        <v>0</v>
      </c>
      <c r="Q1982">
        <v>0</v>
      </c>
      <c r="R1982" t="s">
        <v>46571</v>
      </c>
      <c r="S1982" t="s">
        <v>46687</v>
      </c>
      <c r="T1982" t="s">
        <v>48312</v>
      </c>
      <c r="U1982" t="s">
        <v>49186</v>
      </c>
      <c r="V1982" t="s">
        <v>61829</v>
      </c>
      <c r="W1982" t="s">
        <v>42792</v>
      </c>
      <c r="X1982" t="s">
        <v>46572</v>
      </c>
    </row>
    <row r="1983" spans="1:24">
      <c r="A1983">
        <f>HYPERLINK("https://www.philgeps.gov.ph/GEPSNONPILOT/Tender/SplashBidNoticeAbstractUI.aspx?menuIndex=3&amp;refID=7066731&amp;Result=3","7066731")</f>
        <v>0</v>
      </c>
      <c r="B1983" t="s">
        <v>807</v>
      </c>
      <c r="C1983" t="s">
        <v>5451</v>
      </c>
      <c r="D1983" t="s">
        <v>18784</v>
      </c>
      <c r="E1983" t="s">
        <v>20717</v>
      </c>
      <c r="F1983" t="s">
        <v>32664</v>
      </c>
      <c r="G1983" t="s">
        <v>32671</v>
      </c>
      <c r="H1983" t="s">
        <v>12635</v>
      </c>
      <c r="I1983" t="s">
        <v>4997</v>
      </c>
      <c r="J1983" t="s">
        <v>32865</v>
      </c>
      <c r="K1983" t="s">
        <v>42283</v>
      </c>
      <c r="M1983" t="s">
        <v>43399</v>
      </c>
      <c r="N1983" t="s">
        <v>46569</v>
      </c>
      <c r="O1983" t="s">
        <v>46570</v>
      </c>
      <c r="P1983">
        <v>0</v>
      </c>
      <c r="Q1983">
        <v>10</v>
      </c>
      <c r="R1983" t="s">
        <v>46571</v>
      </c>
      <c r="S1983" t="s">
        <v>46687</v>
      </c>
      <c r="T1983" t="s">
        <v>48221</v>
      </c>
      <c r="U1983" t="s">
        <v>50324</v>
      </c>
      <c r="W1983" t="s">
        <v>43399</v>
      </c>
      <c r="X1983" t="s">
        <v>46572</v>
      </c>
    </row>
    <row r="1984" spans="1:24">
      <c r="A1984">
        <f>HYPERLINK("https://www.philgeps.gov.ph/GEPSNONPILOT/Tender/SplashBidNoticeAbstractUI.aspx?menuIndex=3&amp;refID=7066730&amp;Result=3","7066730")</f>
        <v>0</v>
      </c>
      <c r="B1984" t="s">
        <v>165</v>
      </c>
      <c r="C1984" t="s">
        <v>5452</v>
      </c>
      <c r="D1984" t="s">
        <v>18784</v>
      </c>
      <c r="E1984" t="s">
        <v>20718</v>
      </c>
      <c r="F1984" t="s">
        <v>32664</v>
      </c>
      <c r="G1984" t="s">
        <v>32671</v>
      </c>
      <c r="H1984" t="s">
        <v>12635</v>
      </c>
      <c r="I1984" t="s">
        <v>6168</v>
      </c>
      <c r="J1984" t="s">
        <v>34241</v>
      </c>
      <c r="K1984" t="s">
        <v>42303</v>
      </c>
      <c r="M1984" t="s">
        <v>43440</v>
      </c>
      <c r="N1984" t="s">
        <v>46569</v>
      </c>
      <c r="O1984" t="s">
        <v>46570</v>
      </c>
      <c r="P1984">
        <v>0</v>
      </c>
      <c r="Q1984">
        <v>0</v>
      </c>
      <c r="R1984" t="s">
        <v>46571</v>
      </c>
      <c r="S1984" t="s">
        <v>46687</v>
      </c>
      <c r="T1984" t="s">
        <v>48276</v>
      </c>
      <c r="U1984" t="s">
        <v>50432</v>
      </c>
      <c r="W1984" t="s">
        <v>43440</v>
      </c>
      <c r="X1984" t="s">
        <v>46572</v>
      </c>
    </row>
    <row r="1985" spans="1:24">
      <c r="A1985">
        <f>HYPERLINK("https://www.philgeps.gov.ph/GEPSNONPILOT/Tender/SplashBidNoticeAbstractUI.aspx?menuIndex=3&amp;refID=7066740&amp;Result=3","7066740")</f>
        <v>0</v>
      </c>
      <c r="B1985" t="s">
        <v>243</v>
      </c>
      <c r="C1985" t="s">
        <v>5453</v>
      </c>
      <c r="D1985" t="s">
        <v>18841</v>
      </c>
      <c r="E1985" t="s">
        <v>20719</v>
      </c>
      <c r="F1985" t="s">
        <v>32664</v>
      </c>
      <c r="G1985" t="s">
        <v>32674</v>
      </c>
      <c r="H1985" t="s">
        <v>12635</v>
      </c>
      <c r="I1985" t="s">
        <v>6223</v>
      </c>
      <c r="J1985" t="s">
        <v>34242</v>
      </c>
      <c r="K1985" t="s">
        <v>42284</v>
      </c>
      <c r="L1985" t="s">
        <v>243</v>
      </c>
      <c r="M1985" t="s">
        <v>42808</v>
      </c>
      <c r="N1985" t="s">
        <v>46569</v>
      </c>
      <c r="O1985" t="s">
        <v>46570</v>
      </c>
      <c r="P1985">
        <v>0</v>
      </c>
      <c r="Q1985">
        <v>0</v>
      </c>
      <c r="R1985" t="s">
        <v>46571</v>
      </c>
      <c r="S1985" t="s">
        <v>46687</v>
      </c>
      <c r="T1985" t="s">
        <v>48314</v>
      </c>
      <c r="U1985" t="s">
        <v>50433</v>
      </c>
      <c r="V1985" t="s">
        <v>61675</v>
      </c>
      <c r="W1985" t="s">
        <v>42808</v>
      </c>
      <c r="X1985" t="s">
        <v>46572</v>
      </c>
    </row>
    <row r="1986" spans="1:24">
      <c r="A1986">
        <f>HYPERLINK("https://www.philgeps.gov.ph/GEPSNONPILOT/Tender/SplashBidNoticeAbstractUI.aspx?menuIndex=3&amp;refID=7066747&amp;Result=3","7066747")</f>
        <v>0</v>
      </c>
      <c r="B1986" t="s">
        <v>846</v>
      </c>
      <c r="C1986" t="s">
        <v>5454</v>
      </c>
      <c r="D1986" t="s">
        <v>18845</v>
      </c>
      <c r="E1986" t="s">
        <v>20720</v>
      </c>
      <c r="F1986" t="s">
        <v>32664</v>
      </c>
      <c r="G1986" t="s">
        <v>32671</v>
      </c>
      <c r="H1986" t="s">
        <v>32682</v>
      </c>
      <c r="I1986" t="s">
        <v>9946</v>
      </c>
      <c r="J1986" t="s">
        <v>34243</v>
      </c>
      <c r="K1986" t="s">
        <v>42334</v>
      </c>
      <c r="M1986" t="s">
        <v>43449</v>
      </c>
      <c r="N1986" t="s">
        <v>46569</v>
      </c>
      <c r="O1986" t="s">
        <v>46570</v>
      </c>
      <c r="P1986">
        <v>0</v>
      </c>
      <c r="Q1986">
        <v>2</v>
      </c>
      <c r="R1986" t="s">
        <v>46571</v>
      </c>
      <c r="S1986" t="s">
        <v>46687</v>
      </c>
      <c r="T1986" t="s">
        <v>48244</v>
      </c>
      <c r="U1986" t="s">
        <v>50434</v>
      </c>
      <c r="W1986" t="s">
        <v>43449</v>
      </c>
      <c r="X1986" t="s">
        <v>46572</v>
      </c>
    </row>
    <row r="1987" spans="1:24">
      <c r="A1987">
        <f>HYPERLINK("https://www.philgeps.gov.ph/GEPSNONPILOT/Tender/SplashBidNoticeAbstractUI.aspx?menuIndex=3&amp;refID=7066735&amp;Result=3","7066735")</f>
        <v>0</v>
      </c>
      <c r="B1987" t="s">
        <v>502</v>
      </c>
      <c r="C1987" t="s">
        <v>5455</v>
      </c>
      <c r="D1987" t="s">
        <v>18782</v>
      </c>
      <c r="E1987" t="s">
        <v>20721</v>
      </c>
      <c r="F1987" t="s">
        <v>32664</v>
      </c>
      <c r="G1987" t="s">
        <v>32671</v>
      </c>
      <c r="H1987" t="s">
        <v>12635</v>
      </c>
      <c r="I1987" t="s">
        <v>4439</v>
      </c>
      <c r="J1987" t="s">
        <v>34244</v>
      </c>
      <c r="K1987" t="s">
        <v>42289</v>
      </c>
      <c r="M1987" t="s">
        <v>43078</v>
      </c>
      <c r="N1987" t="s">
        <v>46569</v>
      </c>
      <c r="O1987" t="s">
        <v>46570</v>
      </c>
      <c r="P1987">
        <v>0</v>
      </c>
      <c r="Q1987">
        <v>0</v>
      </c>
      <c r="R1987" t="s">
        <v>46571</v>
      </c>
      <c r="S1987" t="s">
        <v>46687</v>
      </c>
      <c r="T1987" t="s">
        <v>48283</v>
      </c>
      <c r="U1987" t="s">
        <v>49672</v>
      </c>
      <c r="W1987" t="s">
        <v>43078</v>
      </c>
      <c r="X1987" t="s">
        <v>46572</v>
      </c>
    </row>
    <row r="1988" spans="1:24">
      <c r="A1988">
        <f>HYPERLINK("https://www.philgeps.gov.ph/GEPSNONPILOT/Tender/SplashBidNoticeAbstractUI.aspx?menuIndex=3&amp;refID=7066700&amp;Result=3","7066700")</f>
        <v>0</v>
      </c>
      <c r="B1988" t="s">
        <v>851</v>
      </c>
      <c r="C1988" t="s">
        <v>5456</v>
      </c>
      <c r="D1988" t="s">
        <v>18829</v>
      </c>
      <c r="E1988" t="s">
        <v>20722</v>
      </c>
      <c r="F1988" t="s">
        <v>32664</v>
      </c>
      <c r="G1988" t="s">
        <v>32672</v>
      </c>
      <c r="H1988" t="s">
        <v>12635</v>
      </c>
      <c r="I1988" t="s">
        <v>4439</v>
      </c>
      <c r="J1988" t="s">
        <v>34245</v>
      </c>
      <c r="K1988" t="s">
        <v>42281</v>
      </c>
      <c r="M1988" t="s">
        <v>43447</v>
      </c>
      <c r="N1988" t="s">
        <v>46569</v>
      </c>
      <c r="O1988" t="s">
        <v>46570</v>
      </c>
      <c r="P1988">
        <v>0</v>
      </c>
      <c r="Q1988">
        <v>0</v>
      </c>
      <c r="R1988" t="s">
        <v>46571</v>
      </c>
      <c r="S1988" t="s">
        <v>46687</v>
      </c>
      <c r="T1988" t="s">
        <v>48366</v>
      </c>
      <c r="U1988" t="s">
        <v>50429</v>
      </c>
      <c r="W1988" t="s">
        <v>43447</v>
      </c>
      <c r="X1988" t="s">
        <v>46572</v>
      </c>
    </row>
    <row r="1989" spans="1:24">
      <c r="A1989">
        <f>HYPERLINK("https://www.philgeps.gov.ph/GEPSNONPILOT/Tender/SplashBidNoticeAbstractUI.aspx?menuIndex=3&amp;refID=7066771&amp;Result=3","7066771")</f>
        <v>0</v>
      </c>
      <c r="B1989" t="s">
        <v>851</v>
      </c>
      <c r="C1989" t="s">
        <v>5457</v>
      </c>
      <c r="D1989" t="s">
        <v>18829</v>
      </c>
      <c r="E1989" t="s">
        <v>20723</v>
      </c>
      <c r="F1989" t="s">
        <v>32664</v>
      </c>
      <c r="G1989" t="s">
        <v>32672</v>
      </c>
      <c r="H1989" t="s">
        <v>12635</v>
      </c>
      <c r="I1989" t="s">
        <v>4439</v>
      </c>
      <c r="J1989" t="s">
        <v>34246</v>
      </c>
      <c r="K1989" t="s">
        <v>42281</v>
      </c>
      <c r="M1989" t="s">
        <v>43447</v>
      </c>
      <c r="N1989" t="s">
        <v>46569</v>
      </c>
      <c r="O1989" t="s">
        <v>46570</v>
      </c>
      <c r="P1989">
        <v>0</v>
      </c>
      <c r="Q1989">
        <v>0</v>
      </c>
      <c r="R1989" t="s">
        <v>46571</v>
      </c>
      <c r="S1989" t="s">
        <v>46687</v>
      </c>
      <c r="T1989" t="s">
        <v>48366</v>
      </c>
      <c r="U1989" t="s">
        <v>50429</v>
      </c>
      <c r="W1989" t="s">
        <v>43447</v>
      </c>
      <c r="X1989" t="s">
        <v>46572</v>
      </c>
    </row>
    <row r="1990" spans="1:24">
      <c r="A1990">
        <f>HYPERLINK("https://www.philgeps.gov.ph/GEPSNONPILOT/Tender/SplashBidNoticeAbstractUI.aspx?menuIndex=3&amp;refID=7066768&amp;Result=3","7066768")</f>
        <v>0</v>
      </c>
      <c r="B1990" t="s">
        <v>736</v>
      </c>
      <c r="C1990" t="s">
        <v>5458</v>
      </c>
      <c r="D1990" t="s">
        <v>18851</v>
      </c>
      <c r="E1990" t="s">
        <v>20724</v>
      </c>
      <c r="F1990" t="s">
        <v>32664</v>
      </c>
      <c r="G1990" t="s">
        <v>32671</v>
      </c>
      <c r="H1990" t="s">
        <v>12635</v>
      </c>
      <c r="I1990" t="s">
        <v>7429</v>
      </c>
      <c r="J1990" t="s">
        <v>34247</v>
      </c>
      <c r="K1990" t="s">
        <v>42283</v>
      </c>
      <c r="M1990" t="s">
        <v>43325</v>
      </c>
      <c r="N1990" t="s">
        <v>46569</v>
      </c>
      <c r="O1990" t="s">
        <v>46570</v>
      </c>
      <c r="P1990">
        <v>0</v>
      </c>
      <c r="Q1990">
        <v>0</v>
      </c>
      <c r="R1990" t="s">
        <v>46571</v>
      </c>
      <c r="S1990" t="s">
        <v>46687</v>
      </c>
      <c r="T1990" t="s">
        <v>48256</v>
      </c>
      <c r="U1990" t="s">
        <v>49970</v>
      </c>
      <c r="W1990" t="s">
        <v>43325</v>
      </c>
      <c r="X1990" t="s">
        <v>46572</v>
      </c>
    </row>
    <row r="1991" spans="1:24">
      <c r="A1991">
        <f>HYPERLINK("https://www.philgeps.gov.ph/GEPSNONPILOT/Tender/SplashBidNoticeAbstractUI.aspx?menuIndex=3&amp;refID=7066728&amp;Result=3","7066728")</f>
        <v>0</v>
      </c>
      <c r="B1991" t="s">
        <v>853</v>
      </c>
      <c r="C1991" t="s">
        <v>5459</v>
      </c>
      <c r="D1991" t="s">
        <v>18806</v>
      </c>
      <c r="E1991" t="s">
        <v>20725</v>
      </c>
      <c r="F1991" t="s">
        <v>32664</v>
      </c>
      <c r="G1991" t="s">
        <v>32672</v>
      </c>
      <c r="H1991" t="s">
        <v>12635</v>
      </c>
      <c r="I1991" t="s">
        <v>4439</v>
      </c>
      <c r="J1991" t="s">
        <v>34248</v>
      </c>
      <c r="K1991" t="s">
        <v>42297</v>
      </c>
      <c r="M1991" t="s">
        <v>43450</v>
      </c>
      <c r="N1991" t="s">
        <v>46569</v>
      </c>
      <c r="O1991" t="s">
        <v>46570</v>
      </c>
      <c r="P1991">
        <v>0</v>
      </c>
      <c r="Q1991">
        <v>0</v>
      </c>
      <c r="R1991" t="s">
        <v>46571</v>
      </c>
      <c r="S1991" t="s">
        <v>46687</v>
      </c>
      <c r="T1991" t="s">
        <v>48225</v>
      </c>
      <c r="U1991" t="s">
        <v>50435</v>
      </c>
      <c r="W1991" t="s">
        <v>43450</v>
      </c>
      <c r="X1991" t="s">
        <v>46572</v>
      </c>
    </row>
    <row r="1992" spans="1:24">
      <c r="A1992">
        <f>HYPERLINK("https://www.philgeps.gov.ph/GEPSNONPILOT/Tender/SplashBidNoticeAbstractUI.aspx?menuIndex=3&amp;refID=7066737&amp;Result=3","7066737")</f>
        <v>0</v>
      </c>
      <c r="B1992" t="s">
        <v>854</v>
      </c>
      <c r="C1992" t="s">
        <v>5460</v>
      </c>
      <c r="D1992" t="s">
        <v>18784</v>
      </c>
      <c r="E1992" t="s">
        <v>20726</v>
      </c>
      <c r="F1992" t="s">
        <v>32664</v>
      </c>
      <c r="G1992" t="s">
        <v>32671</v>
      </c>
      <c r="H1992" t="s">
        <v>12635</v>
      </c>
      <c r="I1992" t="s">
        <v>5460</v>
      </c>
      <c r="J1992" t="s">
        <v>33051</v>
      </c>
      <c r="K1992" t="s">
        <v>42284</v>
      </c>
      <c r="M1992" t="s">
        <v>43451</v>
      </c>
      <c r="N1992" t="s">
        <v>46569</v>
      </c>
      <c r="O1992" t="s">
        <v>46570</v>
      </c>
      <c r="P1992">
        <v>0</v>
      </c>
      <c r="Q1992">
        <v>0</v>
      </c>
      <c r="R1992" t="s">
        <v>46571</v>
      </c>
      <c r="S1992" t="s">
        <v>46687</v>
      </c>
      <c r="T1992" t="s">
        <v>48312</v>
      </c>
      <c r="U1992" t="s">
        <v>50436</v>
      </c>
      <c r="W1992" t="s">
        <v>43451</v>
      </c>
      <c r="X1992" t="s">
        <v>46572</v>
      </c>
    </row>
    <row r="1993" spans="1:24">
      <c r="A1993">
        <f>HYPERLINK("https://www.philgeps.gov.ph/GEPSNONPILOT/Tender/SplashBidNoticeAbstractUI.aspx?menuIndex=3&amp;refID=7066767&amp;Result=3","7066767")</f>
        <v>0</v>
      </c>
      <c r="B1993" t="s">
        <v>846</v>
      </c>
      <c r="C1993" t="s">
        <v>5461</v>
      </c>
      <c r="D1993" t="s">
        <v>18789</v>
      </c>
      <c r="E1993" t="s">
        <v>20727</v>
      </c>
      <c r="F1993" t="s">
        <v>32664</v>
      </c>
      <c r="G1993" t="s">
        <v>32671</v>
      </c>
      <c r="H1993" t="s">
        <v>32682</v>
      </c>
      <c r="I1993" t="s">
        <v>9946</v>
      </c>
      <c r="J1993" t="s">
        <v>34249</v>
      </c>
      <c r="K1993" t="s">
        <v>42334</v>
      </c>
      <c r="M1993" t="s">
        <v>43442</v>
      </c>
      <c r="N1993" t="s">
        <v>46569</v>
      </c>
      <c r="O1993" t="s">
        <v>46570</v>
      </c>
      <c r="P1993">
        <v>0</v>
      </c>
      <c r="Q1993">
        <v>2</v>
      </c>
      <c r="R1993" t="s">
        <v>46571</v>
      </c>
      <c r="S1993" t="s">
        <v>46687</v>
      </c>
      <c r="T1993" t="s">
        <v>48244</v>
      </c>
      <c r="U1993" t="s">
        <v>50434</v>
      </c>
      <c r="W1993" t="s">
        <v>43449</v>
      </c>
      <c r="X1993" t="s">
        <v>46572</v>
      </c>
    </row>
    <row r="1994" spans="1:24">
      <c r="A1994">
        <f>HYPERLINK("https://www.philgeps.gov.ph/GEPSNONPILOT/Tender/SplashBidNoticeAbstractUI.aspx?menuIndex=3&amp;refID=7066765&amp;Result=3","7066765")</f>
        <v>0</v>
      </c>
      <c r="B1994" t="s">
        <v>842</v>
      </c>
      <c r="C1994" t="s">
        <v>5462</v>
      </c>
      <c r="D1994" t="s">
        <v>18830</v>
      </c>
      <c r="E1994" t="s">
        <v>20728</v>
      </c>
      <c r="F1994" t="s">
        <v>32664</v>
      </c>
      <c r="G1994" t="s">
        <v>32671</v>
      </c>
      <c r="H1994" t="s">
        <v>12635</v>
      </c>
      <c r="I1994" t="s">
        <v>6553</v>
      </c>
      <c r="J1994" t="s">
        <v>34250</v>
      </c>
      <c r="K1994" t="s">
        <v>42297</v>
      </c>
      <c r="M1994" t="s">
        <v>43437</v>
      </c>
      <c r="N1994" t="s">
        <v>46569</v>
      </c>
      <c r="O1994" t="s">
        <v>46570</v>
      </c>
      <c r="P1994">
        <v>0</v>
      </c>
      <c r="Q1994">
        <v>0</v>
      </c>
      <c r="R1994" t="s">
        <v>46571</v>
      </c>
      <c r="S1994" t="s">
        <v>46687</v>
      </c>
      <c r="T1994" t="s">
        <v>48221</v>
      </c>
      <c r="U1994" t="s">
        <v>50437</v>
      </c>
      <c r="W1994" t="s">
        <v>43437</v>
      </c>
      <c r="X1994" t="s">
        <v>46572</v>
      </c>
    </row>
    <row r="1995" spans="1:24">
      <c r="A1995">
        <f>HYPERLINK("https://www.philgeps.gov.ph/GEPSNONPILOT/Tender/SplashBidNoticeAbstractUI.aspx?menuIndex=3&amp;refID=7066763&amp;Result=3","7066763")</f>
        <v>0</v>
      </c>
      <c r="B1995" t="s">
        <v>855</v>
      </c>
      <c r="C1995" t="s">
        <v>5463</v>
      </c>
      <c r="D1995" t="s">
        <v>18827</v>
      </c>
      <c r="E1995" t="s">
        <v>20729</v>
      </c>
      <c r="F1995" t="s">
        <v>32664</v>
      </c>
      <c r="G1995" t="s">
        <v>32671</v>
      </c>
      <c r="H1995" t="s">
        <v>32682</v>
      </c>
      <c r="I1995" t="s">
        <v>32727</v>
      </c>
      <c r="J1995" t="s">
        <v>33269</v>
      </c>
      <c r="K1995" t="s">
        <v>42289</v>
      </c>
      <c r="M1995" t="s">
        <v>43452</v>
      </c>
      <c r="N1995" t="s">
        <v>46569</v>
      </c>
      <c r="O1995" t="s">
        <v>46570</v>
      </c>
      <c r="P1995">
        <v>0</v>
      </c>
      <c r="Q1995">
        <v>0</v>
      </c>
      <c r="R1995" t="s">
        <v>46571</v>
      </c>
      <c r="S1995" t="s">
        <v>46687</v>
      </c>
      <c r="T1995" t="s">
        <v>48219</v>
      </c>
      <c r="U1995" t="s">
        <v>50438</v>
      </c>
      <c r="W1995" t="s">
        <v>43452</v>
      </c>
      <c r="X1995" t="s">
        <v>46572</v>
      </c>
    </row>
    <row r="1996" spans="1:24">
      <c r="A1996">
        <f>HYPERLINK("https://www.philgeps.gov.ph/GEPSNONPILOT/Tender/SplashBidNoticeAbstractUI.aspx?menuIndex=3&amp;refID=7066760&amp;Result=3","7066760")</f>
        <v>0</v>
      </c>
      <c r="B1996" t="s">
        <v>241</v>
      </c>
      <c r="C1996" t="s">
        <v>5464</v>
      </c>
      <c r="D1996" t="s">
        <v>18822</v>
      </c>
      <c r="E1996" t="s">
        <v>20730</v>
      </c>
      <c r="F1996" t="s">
        <v>32664</v>
      </c>
      <c r="G1996" t="s">
        <v>32672</v>
      </c>
      <c r="H1996" t="s">
        <v>12635</v>
      </c>
      <c r="I1996" t="s">
        <v>32704</v>
      </c>
      <c r="J1996" t="s">
        <v>34251</v>
      </c>
      <c r="K1996" t="s">
        <v>42283</v>
      </c>
      <c r="M1996" t="s">
        <v>43453</v>
      </c>
      <c r="N1996" t="s">
        <v>46569</v>
      </c>
      <c r="O1996" t="s">
        <v>46570</v>
      </c>
      <c r="P1996">
        <v>0</v>
      </c>
      <c r="Q1996">
        <v>9</v>
      </c>
      <c r="R1996" t="s">
        <v>46571</v>
      </c>
      <c r="S1996" t="s">
        <v>46687</v>
      </c>
      <c r="T1996" t="s">
        <v>48404</v>
      </c>
      <c r="U1996" t="s">
        <v>50439</v>
      </c>
      <c r="W1996" t="s">
        <v>43453</v>
      </c>
      <c r="X1996" t="s">
        <v>46572</v>
      </c>
    </row>
    <row r="1997" spans="1:24">
      <c r="A1997">
        <f>HYPERLINK("https://www.philgeps.gov.ph/GEPSNONPILOT/Tender/SplashBidNoticeAbstractUI.aspx?menuIndex=3&amp;refID=7066769&amp;Result=3","7066769")</f>
        <v>0</v>
      </c>
      <c r="B1997" t="s">
        <v>815</v>
      </c>
      <c r="C1997" t="s">
        <v>5465</v>
      </c>
      <c r="D1997" t="s">
        <v>18794</v>
      </c>
      <c r="E1997" t="s">
        <v>20731</v>
      </c>
      <c r="F1997" t="s">
        <v>32664</v>
      </c>
      <c r="G1997" t="s">
        <v>32671</v>
      </c>
      <c r="H1997" t="s">
        <v>12635</v>
      </c>
      <c r="I1997" t="s">
        <v>4439</v>
      </c>
      <c r="J1997" t="s">
        <v>34252</v>
      </c>
      <c r="K1997" t="s">
        <v>42284</v>
      </c>
      <c r="M1997" t="s">
        <v>43409</v>
      </c>
      <c r="N1997" t="s">
        <v>46569</v>
      </c>
      <c r="O1997" t="s">
        <v>46570</v>
      </c>
      <c r="P1997">
        <v>0</v>
      </c>
      <c r="Q1997">
        <v>0</v>
      </c>
      <c r="R1997" t="s">
        <v>46571</v>
      </c>
      <c r="S1997" t="s">
        <v>46687</v>
      </c>
      <c r="T1997" t="s">
        <v>48249</v>
      </c>
      <c r="U1997" t="s">
        <v>50440</v>
      </c>
      <c r="V1997" t="s">
        <v>61748</v>
      </c>
      <c r="W1997" t="s">
        <v>43409</v>
      </c>
      <c r="X1997" t="s">
        <v>46572</v>
      </c>
    </row>
    <row r="1998" spans="1:24">
      <c r="A1998">
        <f>HYPERLINK("https://www.philgeps.gov.ph/GEPSNONPILOT/Tender/SplashBidNoticeAbstractUI.aspx?menuIndex=3&amp;refID=7066759&amp;Result=3","7066759")</f>
        <v>0</v>
      </c>
      <c r="B1998" t="s">
        <v>365</v>
      </c>
      <c r="C1998" t="s">
        <v>5466</v>
      </c>
      <c r="D1998" t="s">
        <v>18816</v>
      </c>
      <c r="E1998" t="s">
        <v>20732</v>
      </c>
      <c r="F1998" t="s">
        <v>32664</v>
      </c>
      <c r="G1998" t="s">
        <v>32672</v>
      </c>
      <c r="H1998" t="s">
        <v>12635</v>
      </c>
      <c r="I1998" t="s">
        <v>32684</v>
      </c>
      <c r="J1998" t="s">
        <v>34253</v>
      </c>
      <c r="K1998" t="s">
        <v>42298</v>
      </c>
      <c r="M1998" t="s">
        <v>42934</v>
      </c>
      <c r="N1998" t="s">
        <v>46569</v>
      </c>
      <c r="O1998" t="s">
        <v>46570</v>
      </c>
      <c r="P1998">
        <v>0</v>
      </c>
      <c r="Q1998">
        <v>7</v>
      </c>
      <c r="R1998" t="s">
        <v>46571</v>
      </c>
      <c r="S1998" t="s">
        <v>46687</v>
      </c>
      <c r="T1998" t="s">
        <v>48270</v>
      </c>
      <c r="U1998" t="s">
        <v>50441</v>
      </c>
      <c r="V1998" t="s">
        <v>61830</v>
      </c>
      <c r="W1998" t="s">
        <v>42934</v>
      </c>
      <c r="X1998" t="s">
        <v>46572</v>
      </c>
    </row>
    <row r="1999" spans="1:24">
      <c r="A1999">
        <f>HYPERLINK("https://www.philgeps.gov.ph/GEPSNONPILOT/Tender/SplashBidNoticeAbstractUI.aspx?menuIndex=3&amp;refID=7066776&amp;Result=3","7066776")</f>
        <v>0</v>
      </c>
      <c r="B1999" t="s">
        <v>843</v>
      </c>
      <c r="C1999" t="s">
        <v>5467</v>
      </c>
      <c r="D1999" t="s">
        <v>18789</v>
      </c>
      <c r="E1999" t="s">
        <v>20733</v>
      </c>
      <c r="F1999" t="s">
        <v>32664</v>
      </c>
      <c r="G1999" t="s">
        <v>32672</v>
      </c>
      <c r="H1999" t="s">
        <v>32683</v>
      </c>
      <c r="I1999" t="s">
        <v>10627</v>
      </c>
      <c r="J1999" t="s">
        <v>34254</v>
      </c>
      <c r="K1999" t="s">
        <v>42285</v>
      </c>
      <c r="M1999" t="s">
        <v>43438</v>
      </c>
      <c r="N1999" t="s">
        <v>46569</v>
      </c>
      <c r="O1999" t="s">
        <v>46570</v>
      </c>
      <c r="P1999">
        <v>0</v>
      </c>
      <c r="Q1999">
        <v>0</v>
      </c>
      <c r="R1999" t="s">
        <v>46571</v>
      </c>
      <c r="S1999" t="s">
        <v>46687</v>
      </c>
      <c r="T1999" t="s">
        <v>48240</v>
      </c>
      <c r="U1999" t="s">
        <v>50442</v>
      </c>
      <c r="W1999" t="s">
        <v>43438</v>
      </c>
      <c r="X1999" t="s">
        <v>46572</v>
      </c>
    </row>
    <row r="2000" spans="1:24">
      <c r="A2000">
        <f>HYPERLINK("https://www.philgeps.gov.ph/GEPSNONPILOT/Tender/SplashBidNoticeAbstractUI.aspx?menuIndex=3&amp;refID=7066770&amp;Result=3","7066770")</f>
        <v>0</v>
      </c>
      <c r="B2000" t="s">
        <v>845</v>
      </c>
      <c r="C2000" t="s">
        <v>5468</v>
      </c>
      <c r="D2000" t="s">
        <v>18824</v>
      </c>
      <c r="E2000" t="s">
        <v>20734</v>
      </c>
      <c r="F2000" t="s">
        <v>32664</v>
      </c>
      <c r="G2000" t="s">
        <v>32675</v>
      </c>
      <c r="H2000" t="s">
        <v>12635</v>
      </c>
      <c r="I2000" t="s">
        <v>6628</v>
      </c>
      <c r="J2000" t="s">
        <v>32959</v>
      </c>
      <c r="K2000" t="s">
        <v>42297</v>
      </c>
      <c r="M2000" t="s">
        <v>43441</v>
      </c>
      <c r="N2000" t="s">
        <v>46569</v>
      </c>
      <c r="O2000" t="s">
        <v>46570</v>
      </c>
      <c r="P2000">
        <v>0</v>
      </c>
      <c r="Q2000">
        <v>0</v>
      </c>
      <c r="R2000" t="s">
        <v>46571</v>
      </c>
      <c r="S2000" t="s">
        <v>46687</v>
      </c>
      <c r="T2000" t="s">
        <v>48344</v>
      </c>
      <c r="U2000" t="s">
        <v>50443</v>
      </c>
      <c r="W2000" t="s">
        <v>43441</v>
      </c>
      <c r="X2000" t="s">
        <v>46572</v>
      </c>
    </row>
    <row r="2001" spans="1:24">
      <c r="A2001">
        <f>HYPERLINK("https://www.philgeps.gov.ph/GEPSNONPILOT/Tender/SplashBidNoticeAbstractUI.aspx?menuIndex=3&amp;refID=7066761&amp;Result=3","7066761")</f>
        <v>0</v>
      </c>
      <c r="B2001" t="s">
        <v>829</v>
      </c>
      <c r="C2001" t="s">
        <v>5469</v>
      </c>
      <c r="D2001" t="s">
        <v>18809</v>
      </c>
      <c r="E2001" t="s">
        <v>20724</v>
      </c>
      <c r="F2001" t="s">
        <v>32664</v>
      </c>
      <c r="G2001" t="s">
        <v>32674</v>
      </c>
      <c r="H2001" t="s">
        <v>12635</v>
      </c>
      <c r="I2001" t="s">
        <v>32692</v>
      </c>
      <c r="J2001" t="s">
        <v>34255</v>
      </c>
      <c r="K2001" t="s">
        <v>42283</v>
      </c>
      <c r="M2001" t="s">
        <v>43424</v>
      </c>
      <c r="N2001" t="s">
        <v>46569</v>
      </c>
      <c r="O2001" t="s">
        <v>46570</v>
      </c>
      <c r="P2001">
        <v>0</v>
      </c>
      <c r="Q2001">
        <v>0</v>
      </c>
      <c r="R2001" t="s">
        <v>46571</v>
      </c>
      <c r="S2001" t="s">
        <v>46687</v>
      </c>
      <c r="T2001" t="s">
        <v>48217</v>
      </c>
      <c r="U2001" t="s">
        <v>50371</v>
      </c>
      <c r="V2001" t="s">
        <v>61822</v>
      </c>
      <c r="W2001" t="s">
        <v>43424</v>
      </c>
      <c r="X2001" t="s">
        <v>46572</v>
      </c>
    </row>
    <row r="2002" spans="1:24">
      <c r="A2002">
        <f>HYPERLINK("https://www.philgeps.gov.ph/GEPSNONPILOT/Tender/SplashBidNoticeAbstractUI.aspx?menuIndex=3&amp;refID=7066794&amp;Result=3","7066794")</f>
        <v>0</v>
      </c>
      <c r="B2002" t="s">
        <v>856</v>
      </c>
      <c r="C2002" t="s">
        <v>5470</v>
      </c>
      <c r="D2002" t="s">
        <v>18843</v>
      </c>
      <c r="E2002" t="s">
        <v>20735</v>
      </c>
      <c r="F2002" t="s">
        <v>32664</v>
      </c>
      <c r="G2002" t="s">
        <v>32671</v>
      </c>
      <c r="H2002" t="s">
        <v>12635</v>
      </c>
      <c r="I2002" t="s">
        <v>4439</v>
      </c>
      <c r="J2002" t="s">
        <v>34256</v>
      </c>
      <c r="K2002" t="s">
        <v>42284</v>
      </c>
      <c r="M2002" t="s">
        <v>43454</v>
      </c>
      <c r="N2002" t="s">
        <v>46569</v>
      </c>
      <c r="O2002" t="s">
        <v>46570</v>
      </c>
      <c r="P2002">
        <v>0</v>
      </c>
      <c r="Q2002">
        <v>0</v>
      </c>
      <c r="R2002" t="s">
        <v>46571</v>
      </c>
      <c r="S2002" t="s">
        <v>46687</v>
      </c>
      <c r="T2002" t="s">
        <v>48221</v>
      </c>
      <c r="U2002" t="s">
        <v>50444</v>
      </c>
      <c r="W2002" t="s">
        <v>43454</v>
      </c>
      <c r="X2002" t="s">
        <v>46572</v>
      </c>
    </row>
    <row r="2003" spans="1:24">
      <c r="A2003">
        <f>HYPERLINK("https://www.philgeps.gov.ph/GEPSNONPILOT/Tender/SplashBidNoticeAbstractUI.aspx?menuIndex=3&amp;refID=7066685&amp;Result=3","7066685")</f>
        <v>0</v>
      </c>
      <c r="B2003" t="s">
        <v>69</v>
      </c>
      <c r="C2003" t="s">
        <v>5471</v>
      </c>
      <c r="D2003" t="s">
        <v>18784</v>
      </c>
      <c r="E2003" t="s">
        <v>20736</v>
      </c>
      <c r="F2003" t="s">
        <v>32664</v>
      </c>
      <c r="G2003" t="s">
        <v>32671</v>
      </c>
      <c r="H2003" t="s">
        <v>12635</v>
      </c>
      <c r="I2003" t="s">
        <v>6628</v>
      </c>
      <c r="J2003" t="s">
        <v>34257</v>
      </c>
      <c r="K2003" t="s">
        <v>42289</v>
      </c>
      <c r="M2003" t="s">
        <v>43455</v>
      </c>
      <c r="N2003" t="s">
        <v>46569</v>
      </c>
      <c r="O2003" t="s">
        <v>46570</v>
      </c>
      <c r="P2003">
        <v>0</v>
      </c>
      <c r="Q2003">
        <v>5</v>
      </c>
      <c r="R2003" t="s">
        <v>46571</v>
      </c>
      <c r="S2003" t="s">
        <v>46687</v>
      </c>
      <c r="T2003" t="s">
        <v>48299</v>
      </c>
      <c r="U2003" t="s">
        <v>50445</v>
      </c>
      <c r="W2003" t="s">
        <v>43455</v>
      </c>
      <c r="X2003" t="s">
        <v>46572</v>
      </c>
    </row>
    <row r="2004" spans="1:24">
      <c r="A2004">
        <f>HYPERLINK("https://www.philgeps.gov.ph/GEPSNONPILOT/Tender/SplashBidNoticeAbstractUI.aspx?menuIndex=3&amp;refID=7066792&amp;Result=3","7066792")</f>
        <v>0</v>
      </c>
      <c r="B2004" t="s">
        <v>857</v>
      </c>
      <c r="C2004" t="s">
        <v>5472</v>
      </c>
      <c r="E2004" t="s">
        <v>19790</v>
      </c>
      <c r="F2004" t="s">
        <v>32664</v>
      </c>
      <c r="G2004" t="s">
        <v>32671</v>
      </c>
      <c r="H2004" t="s">
        <v>12635</v>
      </c>
      <c r="I2004" t="s">
        <v>8797</v>
      </c>
      <c r="J2004" t="s">
        <v>33371</v>
      </c>
      <c r="K2004" t="s">
        <v>42309</v>
      </c>
      <c r="M2004" t="s">
        <v>43456</v>
      </c>
      <c r="N2004" t="s">
        <v>46569</v>
      </c>
      <c r="O2004" t="s">
        <v>46570</v>
      </c>
      <c r="P2004">
        <v>0</v>
      </c>
      <c r="Q2004">
        <v>3</v>
      </c>
      <c r="R2004" t="s">
        <v>46571</v>
      </c>
      <c r="S2004" t="s">
        <v>46687</v>
      </c>
      <c r="T2004" t="s">
        <v>48219</v>
      </c>
      <c r="U2004" t="s">
        <v>50446</v>
      </c>
      <c r="W2004" t="s">
        <v>43456</v>
      </c>
      <c r="X2004" t="s">
        <v>46572</v>
      </c>
    </row>
    <row r="2005" spans="1:24">
      <c r="A2005">
        <f>HYPERLINK("https://www.philgeps.gov.ph/GEPSNONPILOT/Tender/SplashBidNoticeAbstractUI.aspx?menuIndex=3&amp;refID=7066758&amp;Result=3","7066758")</f>
        <v>0</v>
      </c>
      <c r="B2005" t="s">
        <v>815</v>
      </c>
      <c r="C2005" t="s">
        <v>5473</v>
      </c>
      <c r="D2005" t="s">
        <v>18794</v>
      </c>
      <c r="E2005" t="s">
        <v>20737</v>
      </c>
      <c r="F2005" t="s">
        <v>32664</v>
      </c>
      <c r="G2005" t="s">
        <v>32671</v>
      </c>
      <c r="H2005" t="s">
        <v>12635</v>
      </c>
      <c r="I2005" t="s">
        <v>32726</v>
      </c>
      <c r="J2005" t="s">
        <v>34258</v>
      </c>
      <c r="K2005" t="s">
        <v>42281</v>
      </c>
      <c r="M2005" t="s">
        <v>43409</v>
      </c>
      <c r="N2005" t="s">
        <v>46569</v>
      </c>
      <c r="O2005" t="s">
        <v>46570</v>
      </c>
      <c r="P2005">
        <v>0</v>
      </c>
      <c r="Q2005">
        <v>0</v>
      </c>
      <c r="R2005" t="s">
        <v>46571</v>
      </c>
      <c r="S2005" t="s">
        <v>46687</v>
      </c>
      <c r="T2005" t="s">
        <v>48249</v>
      </c>
      <c r="U2005" t="s">
        <v>50447</v>
      </c>
      <c r="V2005" t="s">
        <v>61748</v>
      </c>
      <c r="W2005" t="s">
        <v>43409</v>
      </c>
      <c r="X2005" t="s">
        <v>46572</v>
      </c>
    </row>
    <row r="2006" spans="1:24">
      <c r="A2006">
        <f>HYPERLINK("https://www.philgeps.gov.ph/GEPSNONPILOT/Tender/SplashBidNoticeAbstractUI.aspx?menuIndex=3&amp;refID=7066789&amp;Result=3","7066789")</f>
        <v>0</v>
      </c>
      <c r="B2006" t="s">
        <v>858</v>
      </c>
      <c r="C2006" t="s">
        <v>5474</v>
      </c>
      <c r="D2006" t="s">
        <v>18835</v>
      </c>
      <c r="E2006" t="s">
        <v>20738</v>
      </c>
      <c r="F2006" t="s">
        <v>32664</v>
      </c>
      <c r="G2006" t="s">
        <v>32671</v>
      </c>
      <c r="H2006" t="s">
        <v>12635</v>
      </c>
      <c r="I2006" t="s">
        <v>32695</v>
      </c>
      <c r="J2006" t="s">
        <v>32917</v>
      </c>
      <c r="K2006" t="s">
        <v>42289</v>
      </c>
      <c r="M2006" t="s">
        <v>43457</v>
      </c>
      <c r="N2006" t="s">
        <v>46569</v>
      </c>
      <c r="O2006" t="s">
        <v>46570</v>
      </c>
      <c r="P2006">
        <v>0</v>
      </c>
      <c r="Q2006">
        <v>0</v>
      </c>
      <c r="R2006" t="s">
        <v>46571</v>
      </c>
      <c r="S2006" t="s">
        <v>46687</v>
      </c>
      <c r="T2006" t="s">
        <v>48425</v>
      </c>
      <c r="U2006" t="s">
        <v>50448</v>
      </c>
      <c r="W2006" t="s">
        <v>43457</v>
      </c>
      <c r="X2006" t="s">
        <v>46572</v>
      </c>
    </row>
    <row r="2007" spans="1:24">
      <c r="A2007">
        <f>HYPERLINK("https://www.philgeps.gov.ph/GEPSNONPILOT/Tender/SplashBidNoticeAbstractUI.aspx?menuIndex=3&amp;refID=7066788&amp;Result=3","7066788")</f>
        <v>0</v>
      </c>
      <c r="B2007" t="s">
        <v>859</v>
      </c>
      <c r="C2007" t="s">
        <v>5475</v>
      </c>
      <c r="D2007" t="s">
        <v>18827</v>
      </c>
      <c r="E2007" t="s">
        <v>20739</v>
      </c>
      <c r="F2007" t="s">
        <v>32664</v>
      </c>
      <c r="G2007" t="s">
        <v>32671</v>
      </c>
      <c r="H2007" t="s">
        <v>12635</v>
      </c>
      <c r="I2007" t="s">
        <v>5589</v>
      </c>
      <c r="J2007" t="s">
        <v>34259</v>
      </c>
      <c r="K2007" t="s">
        <v>42306</v>
      </c>
      <c r="M2007" t="s">
        <v>43458</v>
      </c>
      <c r="N2007" t="s">
        <v>46569</v>
      </c>
      <c r="O2007" t="s">
        <v>46570</v>
      </c>
      <c r="P2007">
        <v>0</v>
      </c>
      <c r="Q2007">
        <v>0</v>
      </c>
      <c r="R2007" t="s">
        <v>46571</v>
      </c>
      <c r="S2007" t="s">
        <v>46687</v>
      </c>
      <c r="T2007" t="s">
        <v>48219</v>
      </c>
      <c r="U2007" t="s">
        <v>50449</v>
      </c>
      <c r="W2007" t="s">
        <v>43458</v>
      </c>
      <c r="X2007" t="s">
        <v>46572</v>
      </c>
    </row>
    <row r="2008" spans="1:24">
      <c r="A2008">
        <f>HYPERLINK("https://www.philgeps.gov.ph/GEPSNONPILOT/Tender/SplashBidNoticeAbstractUI.aspx?menuIndex=3&amp;refID=7066785&amp;Result=3","7066785")</f>
        <v>0</v>
      </c>
      <c r="B2008" t="s">
        <v>860</v>
      </c>
      <c r="C2008" t="s">
        <v>5476</v>
      </c>
      <c r="D2008" t="s">
        <v>18818</v>
      </c>
      <c r="E2008" t="s">
        <v>20740</v>
      </c>
      <c r="F2008" t="s">
        <v>32665</v>
      </c>
      <c r="G2008" t="s">
        <v>32674</v>
      </c>
      <c r="H2008" t="s">
        <v>12635</v>
      </c>
      <c r="I2008" t="s">
        <v>14442</v>
      </c>
      <c r="J2008" t="s">
        <v>32859</v>
      </c>
      <c r="K2008" t="s">
        <v>42289</v>
      </c>
      <c r="M2008" t="s">
        <v>43459</v>
      </c>
      <c r="N2008" t="s">
        <v>46569</v>
      </c>
      <c r="O2008" t="s">
        <v>46570</v>
      </c>
      <c r="P2008">
        <v>0</v>
      </c>
      <c r="Q2008">
        <v>5</v>
      </c>
      <c r="R2008" t="s">
        <v>46571</v>
      </c>
      <c r="S2008" t="s">
        <v>46687</v>
      </c>
      <c r="T2008" t="s">
        <v>48297</v>
      </c>
      <c r="U2008" t="s">
        <v>50450</v>
      </c>
      <c r="W2008" t="s">
        <v>43459</v>
      </c>
      <c r="X2008" t="s">
        <v>46572</v>
      </c>
    </row>
    <row r="2009" spans="1:24">
      <c r="A2009">
        <f>HYPERLINK("https://www.philgeps.gov.ph/GEPSNONPILOT/Tender/SplashBidNoticeAbstractUI.aspx?menuIndex=3&amp;refID=7066444&amp;Result=3","7066444")</f>
        <v>0</v>
      </c>
      <c r="B2009" t="s">
        <v>529</v>
      </c>
      <c r="C2009" t="s">
        <v>5477</v>
      </c>
      <c r="D2009" t="s">
        <v>18784</v>
      </c>
      <c r="E2009" t="s">
        <v>20741</v>
      </c>
      <c r="F2009" t="s">
        <v>32664</v>
      </c>
      <c r="G2009" t="s">
        <v>32671</v>
      </c>
      <c r="H2009" t="s">
        <v>12635</v>
      </c>
      <c r="I2009" t="s">
        <v>6628</v>
      </c>
      <c r="J2009" t="s">
        <v>32842</v>
      </c>
      <c r="K2009" t="s">
        <v>42283</v>
      </c>
      <c r="M2009" t="s">
        <v>43116</v>
      </c>
      <c r="N2009" t="s">
        <v>46569</v>
      </c>
      <c r="O2009" t="s">
        <v>46570</v>
      </c>
      <c r="P2009">
        <v>0</v>
      </c>
      <c r="Q2009">
        <v>2</v>
      </c>
      <c r="R2009" t="s">
        <v>46571</v>
      </c>
      <c r="S2009" t="s">
        <v>46687</v>
      </c>
      <c r="T2009" t="s">
        <v>48331</v>
      </c>
      <c r="U2009" t="s">
        <v>50451</v>
      </c>
      <c r="V2009" t="s">
        <v>61748</v>
      </c>
      <c r="W2009" t="s">
        <v>43116</v>
      </c>
      <c r="X2009" t="s">
        <v>46572</v>
      </c>
    </row>
    <row r="2010" spans="1:24">
      <c r="A2010">
        <f>HYPERLINK("https://www.philgeps.gov.ph/GEPSNONPILOT/Tender/SplashBidNoticeAbstractUI.aspx?menuIndex=3&amp;refID=7066766&amp;Result=3","7066766")</f>
        <v>0</v>
      </c>
      <c r="B2010" t="s">
        <v>253</v>
      </c>
      <c r="C2010" t="s">
        <v>5478</v>
      </c>
      <c r="D2010" t="s">
        <v>18790</v>
      </c>
      <c r="E2010" t="s">
        <v>20742</v>
      </c>
      <c r="F2010" t="s">
        <v>32664</v>
      </c>
      <c r="G2010" t="s">
        <v>32671</v>
      </c>
      <c r="H2010" t="s">
        <v>12635</v>
      </c>
      <c r="I2010" t="s">
        <v>32706</v>
      </c>
      <c r="J2010" t="s">
        <v>34260</v>
      </c>
      <c r="K2010" t="s">
        <v>42283</v>
      </c>
      <c r="M2010" t="s">
        <v>42818</v>
      </c>
      <c r="N2010" t="s">
        <v>46569</v>
      </c>
      <c r="O2010" t="s">
        <v>46570</v>
      </c>
      <c r="P2010">
        <v>0</v>
      </c>
      <c r="Q2010">
        <v>0</v>
      </c>
      <c r="R2010" t="s">
        <v>46571</v>
      </c>
      <c r="S2010" t="s">
        <v>46687</v>
      </c>
      <c r="T2010" t="s">
        <v>48283</v>
      </c>
      <c r="U2010" t="s">
        <v>50452</v>
      </c>
      <c r="W2010" t="s">
        <v>42818</v>
      </c>
      <c r="X2010" t="s">
        <v>46572</v>
      </c>
    </row>
    <row r="2011" spans="1:24">
      <c r="A2011">
        <f>HYPERLINK("https://www.philgeps.gov.ph/GEPSNONPILOT/Tender/SplashBidNoticeAbstractUI.aspx?menuIndex=3&amp;refID=7066782&amp;Result=3","7066782")</f>
        <v>0</v>
      </c>
      <c r="B2011" t="s">
        <v>861</v>
      </c>
      <c r="C2011" t="s">
        <v>5479</v>
      </c>
      <c r="D2011" t="s">
        <v>18806</v>
      </c>
      <c r="E2011" t="s">
        <v>20743</v>
      </c>
      <c r="F2011" t="s">
        <v>32664</v>
      </c>
      <c r="G2011" t="s">
        <v>32671</v>
      </c>
      <c r="H2011" t="s">
        <v>12635</v>
      </c>
      <c r="I2011" t="s">
        <v>8958</v>
      </c>
      <c r="J2011" t="s">
        <v>34261</v>
      </c>
      <c r="K2011" t="s">
        <v>42289</v>
      </c>
      <c r="M2011" t="s">
        <v>43460</v>
      </c>
      <c r="N2011" t="s">
        <v>46569</v>
      </c>
      <c r="O2011" t="s">
        <v>46570</v>
      </c>
      <c r="P2011">
        <v>0</v>
      </c>
      <c r="Q2011">
        <v>1</v>
      </c>
      <c r="R2011" t="s">
        <v>46571</v>
      </c>
      <c r="S2011" t="s">
        <v>46687</v>
      </c>
      <c r="T2011" t="s">
        <v>48219</v>
      </c>
      <c r="U2011" t="s">
        <v>50453</v>
      </c>
      <c r="W2011" t="s">
        <v>43460</v>
      </c>
      <c r="X2011" t="s">
        <v>46572</v>
      </c>
    </row>
    <row r="2012" spans="1:24">
      <c r="A2012">
        <f>HYPERLINK("https://www.philgeps.gov.ph/GEPSNONPILOT/Tender/SplashBidNoticeAbstractUI.aspx?menuIndex=3&amp;refID=7066787&amp;Result=3","7066787")</f>
        <v>0</v>
      </c>
      <c r="B2012" t="s">
        <v>862</v>
      </c>
      <c r="C2012" t="s">
        <v>5480</v>
      </c>
      <c r="D2012" t="s">
        <v>18784</v>
      </c>
      <c r="E2012" t="s">
        <v>20744</v>
      </c>
      <c r="F2012" t="s">
        <v>32664</v>
      </c>
      <c r="G2012" t="s">
        <v>32674</v>
      </c>
      <c r="H2012" t="s">
        <v>12635</v>
      </c>
      <c r="I2012" t="s">
        <v>32694</v>
      </c>
      <c r="J2012" t="s">
        <v>33141</v>
      </c>
      <c r="K2012" t="s">
        <v>42309</v>
      </c>
      <c r="M2012" t="s">
        <v>43461</v>
      </c>
      <c r="N2012" t="s">
        <v>46569</v>
      </c>
      <c r="O2012" t="s">
        <v>46570</v>
      </c>
      <c r="P2012">
        <v>0</v>
      </c>
      <c r="Q2012">
        <v>0</v>
      </c>
      <c r="R2012" t="s">
        <v>46571</v>
      </c>
      <c r="S2012" t="s">
        <v>46687</v>
      </c>
      <c r="T2012" t="s">
        <v>48219</v>
      </c>
      <c r="U2012" t="s">
        <v>50454</v>
      </c>
      <c r="W2012" t="s">
        <v>43461</v>
      </c>
      <c r="X2012" t="s">
        <v>46572</v>
      </c>
    </row>
    <row r="2013" spans="1:24">
      <c r="A2013">
        <f>HYPERLINK("https://www.philgeps.gov.ph/GEPSNONPILOT/Tender/SplashBidNoticeAbstractUI.aspx?menuIndex=3&amp;refID=7066780&amp;Result=3","7066780")</f>
        <v>0</v>
      </c>
      <c r="B2013" t="s">
        <v>594</v>
      </c>
      <c r="C2013" t="s">
        <v>5481</v>
      </c>
      <c r="D2013" t="s">
        <v>18784</v>
      </c>
      <c r="E2013" t="s">
        <v>20745</v>
      </c>
      <c r="F2013" t="s">
        <v>32664</v>
      </c>
      <c r="G2013" t="s">
        <v>32674</v>
      </c>
      <c r="H2013" t="s">
        <v>12635</v>
      </c>
      <c r="I2013" t="s">
        <v>8797</v>
      </c>
      <c r="J2013" t="s">
        <v>34262</v>
      </c>
      <c r="K2013" t="s">
        <v>42297</v>
      </c>
      <c r="M2013" t="s">
        <v>43174</v>
      </c>
      <c r="N2013" t="s">
        <v>46569</v>
      </c>
      <c r="O2013" t="s">
        <v>46570</v>
      </c>
      <c r="P2013">
        <v>0</v>
      </c>
      <c r="Q2013">
        <v>2</v>
      </c>
      <c r="R2013" t="s">
        <v>46571</v>
      </c>
      <c r="S2013" t="s">
        <v>46687</v>
      </c>
      <c r="T2013" t="s">
        <v>48256</v>
      </c>
      <c r="U2013" t="s">
        <v>50455</v>
      </c>
      <c r="W2013" t="s">
        <v>43174</v>
      </c>
      <c r="X2013" t="s">
        <v>46572</v>
      </c>
    </row>
    <row r="2014" spans="1:24">
      <c r="A2014">
        <f>HYPERLINK("https://www.philgeps.gov.ph/GEPSNONPILOT/Tender/SplashBidNoticeAbstractUI.aspx?menuIndex=3&amp;refID=7066779&amp;Result=3","7066779")</f>
        <v>0</v>
      </c>
      <c r="B2014" t="s">
        <v>842</v>
      </c>
      <c r="C2014" t="s">
        <v>5482</v>
      </c>
      <c r="D2014" t="s">
        <v>18830</v>
      </c>
      <c r="E2014" t="s">
        <v>20746</v>
      </c>
      <c r="F2014" t="s">
        <v>32664</v>
      </c>
      <c r="G2014" t="s">
        <v>32671</v>
      </c>
      <c r="H2014" t="s">
        <v>12635</v>
      </c>
      <c r="I2014" t="s">
        <v>6553</v>
      </c>
      <c r="J2014" t="s">
        <v>34263</v>
      </c>
      <c r="K2014" t="s">
        <v>42297</v>
      </c>
      <c r="M2014" t="s">
        <v>43437</v>
      </c>
      <c r="N2014" t="s">
        <v>46569</v>
      </c>
      <c r="O2014" t="s">
        <v>46570</v>
      </c>
      <c r="P2014">
        <v>0</v>
      </c>
      <c r="Q2014">
        <v>0</v>
      </c>
      <c r="R2014" t="s">
        <v>46571</v>
      </c>
      <c r="S2014" t="s">
        <v>46687</v>
      </c>
      <c r="T2014" t="s">
        <v>48221</v>
      </c>
      <c r="U2014" t="s">
        <v>50456</v>
      </c>
      <c r="W2014" t="s">
        <v>43437</v>
      </c>
      <c r="X2014" t="s">
        <v>46572</v>
      </c>
    </row>
    <row r="2015" spans="1:24">
      <c r="A2015">
        <f>HYPERLINK("https://www.philgeps.gov.ph/GEPSNONPILOT/Tender/SplashBidNoticeAbstractUI.aspx?menuIndex=3&amp;refID=7066777&amp;Result=3","7066777")</f>
        <v>0</v>
      </c>
      <c r="B2015" t="s">
        <v>678</v>
      </c>
      <c r="C2015" t="s">
        <v>5483</v>
      </c>
      <c r="E2015" t="s">
        <v>20747</v>
      </c>
      <c r="F2015" t="s">
        <v>32664</v>
      </c>
      <c r="G2015" t="s">
        <v>32671</v>
      </c>
      <c r="H2015" t="s">
        <v>12635</v>
      </c>
      <c r="I2015" t="s">
        <v>32701</v>
      </c>
      <c r="J2015" t="s">
        <v>33657</v>
      </c>
      <c r="K2015" t="s">
        <v>42283</v>
      </c>
      <c r="M2015" t="s">
        <v>43265</v>
      </c>
      <c r="N2015" t="s">
        <v>46569</v>
      </c>
      <c r="O2015" t="s">
        <v>46570</v>
      </c>
      <c r="P2015">
        <v>0</v>
      </c>
      <c r="Q2015">
        <v>0</v>
      </c>
      <c r="R2015" t="s">
        <v>46571</v>
      </c>
      <c r="S2015" t="s">
        <v>46687</v>
      </c>
      <c r="T2015" t="s">
        <v>48312</v>
      </c>
      <c r="U2015" t="s">
        <v>50457</v>
      </c>
      <c r="W2015" t="s">
        <v>43265</v>
      </c>
      <c r="X2015" t="s">
        <v>46572</v>
      </c>
    </row>
    <row r="2016" spans="1:24">
      <c r="A2016">
        <f>HYPERLINK("https://www.philgeps.gov.ph/GEPSNONPILOT/Tender/SplashBidNoticeAbstractUI.aspx?menuIndex=3&amp;refID=7066791&amp;Result=3","7066791")</f>
        <v>0</v>
      </c>
      <c r="B2016" t="s">
        <v>863</v>
      </c>
      <c r="C2016" t="s">
        <v>5484</v>
      </c>
      <c r="D2016" t="s">
        <v>18782</v>
      </c>
      <c r="E2016" t="s">
        <v>20748</v>
      </c>
      <c r="F2016" t="s">
        <v>32664</v>
      </c>
      <c r="G2016" t="s">
        <v>32671</v>
      </c>
      <c r="H2016" t="s">
        <v>12635</v>
      </c>
      <c r="I2016" t="s">
        <v>32698</v>
      </c>
      <c r="J2016" t="s">
        <v>34264</v>
      </c>
      <c r="K2016" t="s">
        <v>42305</v>
      </c>
      <c r="M2016" t="s">
        <v>43462</v>
      </c>
      <c r="N2016" t="s">
        <v>46569</v>
      </c>
      <c r="O2016" t="s">
        <v>46570</v>
      </c>
      <c r="P2016">
        <v>0</v>
      </c>
      <c r="Q2016">
        <v>1</v>
      </c>
      <c r="R2016" t="s">
        <v>46571</v>
      </c>
      <c r="S2016" t="s">
        <v>46687</v>
      </c>
      <c r="T2016" t="s">
        <v>48246</v>
      </c>
      <c r="U2016" t="s">
        <v>50458</v>
      </c>
      <c r="W2016" t="s">
        <v>43462</v>
      </c>
      <c r="X2016" t="s">
        <v>46572</v>
      </c>
    </row>
    <row r="2017" spans="1:24">
      <c r="A2017">
        <f>HYPERLINK("https://www.philgeps.gov.ph/GEPSNONPILOT/Tender/SplashBidNoticeAbstractUI.aspx?menuIndex=3&amp;refID=7066786&amp;Result=3","7066786")</f>
        <v>0</v>
      </c>
      <c r="B2017" t="s">
        <v>100</v>
      </c>
      <c r="C2017" t="s">
        <v>5485</v>
      </c>
      <c r="E2017" t="s">
        <v>20749</v>
      </c>
      <c r="F2017" t="s">
        <v>32664</v>
      </c>
      <c r="G2017" t="s">
        <v>32671</v>
      </c>
      <c r="H2017" t="s">
        <v>12635</v>
      </c>
      <c r="I2017" t="s">
        <v>32694</v>
      </c>
      <c r="J2017" t="s">
        <v>34265</v>
      </c>
      <c r="K2017" t="s">
        <v>42289</v>
      </c>
      <c r="M2017" t="s">
        <v>43463</v>
      </c>
      <c r="N2017" t="s">
        <v>46569</v>
      </c>
      <c r="O2017" t="s">
        <v>46570</v>
      </c>
      <c r="P2017">
        <v>0</v>
      </c>
      <c r="Q2017">
        <v>3</v>
      </c>
      <c r="R2017" t="s">
        <v>46571</v>
      </c>
      <c r="S2017" t="s">
        <v>46687</v>
      </c>
      <c r="T2017" t="s">
        <v>48251</v>
      </c>
      <c r="U2017" t="s">
        <v>50459</v>
      </c>
      <c r="W2017" t="s">
        <v>43463</v>
      </c>
      <c r="X2017" t="s">
        <v>46572</v>
      </c>
    </row>
    <row r="2018" spans="1:24">
      <c r="A2018">
        <f>HYPERLINK("https://www.philgeps.gov.ph/GEPSNONPILOT/Tender/SplashBidNoticeAbstractUI.aspx?menuIndex=3&amp;refID=7066778&amp;Result=3","7066778")</f>
        <v>0</v>
      </c>
      <c r="B2018" t="s">
        <v>848</v>
      </c>
      <c r="C2018" t="s">
        <v>5486</v>
      </c>
      <c r="D2018" t="s">
        <v>18791</v>
      </c>
      <c r="E2018" t="s">
        <v>20750</v>
      </c>
      <c r="F2018" t="s">
        <v>32664</v>
      </c>
      <c r="G2018" t="s">
        <v>32671</v>
      </c>
      <c r="H2018" t="s">
        <v>12635</v>
      </c>
      <c r="I2018" t="s">
        <v>32694</v>
      </c>
      <c r="J2018" t="s">
        <v>34266</v>
      </c>
      <c r="K2018" t="s">
        <v>42284</v>
      </c>
      <c r="M2018" t="s">
        <v>43444</v>
      </c>
      <c r="N2018" t="s">
        <v>46569</v>
      </c>
      <c r="O2018" t="s">
        <v>46570</v>
      </c>
      <c r="P2018">
        <v>0</v>
      </c>
      <c r="Q2018">
        <v>0</v>
      </c>
      <c r="R2018" t="s">
        <v>46571</v>
      </c>
      <c r="S2018" t="s">
        <v>46687</v>
      </c>
      <c r="T2018" t="s">
        <v>48356</v>
      </c>
      <c r="U2018" t="s">
        <v>50421</v>
      </c>
      <c r="W2018" t="s">
        <v>43444</v>
      </c>
      <c r="X2018" t="s">
        <v>46572</v>
      </c>
    </row>
    <row r="2019" spans="1:24">
      <c r="A2019">
        <f>HYPERLINK("https://www.philgeps.gov.ph/GEPSNONPILOT/Tender/SplashBidNoticeAbstractUI.aspx?menuIndex=3&amp;refID=7066781&amp;Result=3","7066781")</f>
        <v>0</v>
      </c>
      <c r="B2019" t="s">
        <v>69</v>
      </c>
      <c r="C2019" t="s">
        <v>5487</v>
      </c>
      <c r="D2019" t="s">
        <v>18784</v>
      </c>
      <c r="E2019" t="s">
        <v>20751</v>
      </c>
      <c r="F2019" t="s">
        <v>32664</v>
      </c>
      <c r="G2019" t="s">
        <v>32671</v>
      </c>
      <c r="H2019" t="s">
        <v>12635</v>
      </c>
      <c r="I2019" t="s">
        <v>8730</v>
      </c>
      <c r="J2019" t="s">
        <v>34267</v>
      </c>
      <c r="K2019" t="s">
        <v>42289</v>
      </c>
      <c r="M2019" t="s">
        <v>43455</v>
      </c>
      <c r="N2019" t="s">
        <v>46569</v>
      </c>
      <c r="O2019" t="s">
        <v>46570</v>
      </c>
      <c r="P2019">
        <v>0</v>
      </c>
      <c r="Q2019">
        <v>3</v>
      </c>
      <c r="R2019" t="s">
        <v>46571</v>
      </c>
      <c r="S2019" t="s">
        <v>46687</v>
      </c>
      <c r="T2019" t="s">
        <v>48299</v>
      </c>
      <c r="U2019" t="s">
        <v>50445</v>
      </c>
      <c r="W2019" t="s">
        <v>43455</v>
      </c>
      <c r="X2019" t="s">
        <v>46572</v>
      </c>
    </row>
    <row r="2020" spans="1:24">
      <c r="A2020">
        <f>HYPERLINK("https://www.philgeps.gov.ph/GEPSNONPILOT/Tender/SplashBidNoticeAbstractUI.aspx?menuIndex=3&amp;refID=7066775&amp;Result=3","7066775")</f>
        <v>0</v>
      </c>
      <c r="B2020" t="s">
        <v>864</v>
      </c>
      <c r="C2020" t="s">
        <v>5488</v>
      </c>
      <c r="E2020" t="s">
        <v>20253</v>
      </c>
      <c r="F2020" t="s">
        <v>32664</v>
      </c>
      <c r="G2020" t="s">
        <v>32672</v>
      </c>
      <c r="H2020" t="s">
        <v>12635</v>
      </c>
      <c r="I2020" t="s">
        <v>8730</v>
      </c>
      <c r="J2020" t="s">
        <v>33126</v>
      </c>
      <c r="K2020" t="s">
        <v>42309</v>
      </c>
      <c r="L2020" t="s">
        <v>864</v>
      </c>
      <c r="M2020" t="s">
        <v>43464</v>
      </c>
      <c r="N2020" t="s">
        <v>46569</v>
      </c>
      <c r="O2020" t="s">
        <v>46570</v>
      </c>
      <c r="P2020">
        <v>0</v>
      </c>
      <c r="Q2020">
        <v>0</v>
      </c>
      <c r="R2020" t="s">
        <v>46571</v>
      </c>
      <c r="S2020" t="s">
        <v>46687</v>
      </c>
      <c r="T2020" t="s">
        <v>48426</v>
      </c>
      <c r="U2020" t="s">
        <v>50460</v>
      </c>
      <c r="W2020" t="s">
        <v>43464</v>
      </c>
      <c r="X2020" t="s">
        <v>46572</v>
      </c>
    </row>
    <row r="2021" spans="1:24">
      <c r="A2021">
        <f>HYPERLINK("https://www.philgeps.gov.ph/GEPSNONPILOT/Tender/SplashBidNoticeAbstractUI.aspx?menuIndex=3&amp;refID=7066772&amp;Result=3","7066772")</f>
        <v>0</v>
      </c>
      <c r="B2021" t="s">
        <v>807</v>
      </c>
      <c r="C2021" t="s">
        <v>5489</v>
      </c>
      <c r="D2021" t="s">
        <v>18784</v>
      </c>
      <c r="E2021" t="s">
        <v>20752</v>
      </c>
      <c r="F2021" t="s">
        <v>32664</v>
      </c>
      <c r="G2021" t="s">
        <v>32674</v>
      </c>
      <c r="H2021" t="s">
        <v>12635</v>
      </c>
      <c r="I2021" t="s">
        <v>32689</v>
      </c>
      <c r="J2021" t="s">
        <v>33167</v>
      </c>
      <c r="K2021" t="s">
        <v>42283</v>
      </c>
      <c r="M2021" t="s">
        <v>43399</v>
      </c>
      <c r="N2021" t="s">
        <v>46569</v>
      </c>
      <c r="O2021" t="s">
        <v>46570</v>
      </c>
      <c r="P2021">
        <v>0</v>
      </c>
      <c r="Q2021">
        <v>4</v>
      </c>
      <c r="R2021" t="s">
        <v>46571</v>
      </c>
      <c r="S2021" t="s">
        <v>46687</v>
      </c>
      <c r="T2021" t="s">
        <v>48221</v>
      </c>
      <c r="U2021" t="s">
        <v>50324</v>
      </c>
      <c r="W2021" t="s">
        <v>43399</v>
      </c>
      <c r="X2021" t="s">
        <v>46572</v>
      </c>
    </row>
    <row r="2022" spans="1:24">
      <c r="A2022">
        <f>HYPERLINK("https://www.philgeps.gov.ph/GEPSNONPILOT/Tender/SplashBidNoticeAbstractUI.aspx?menuIndex=3&amp;refID=7066818&amp;Result=3","7066818")</f>
        <v>0</v>
      </c>
      <c r="B2022" t="s">
        <v>549</v>
      </c>
      <c r="C2022" t="s">
        <v>5490</v>
      </c>
      <c r="D2022" t="s">
        <v>18781</v>
      </c>
      <c r="E2022" t="s">
        <v>20753</v>
      </c>
      <c r="F2022" t="s">
        <v>32664</v>
      </c>
      <c r="G2022" t="s">
        <v>32671</v>
      </c>
      <c r="H2022" t="s">
        <v>12635</v>
      </c>
      <c r="I2022" t="s">
        <v>32710</v>
      </c>
      <c r="J2022" t="s">
        <v>33126</v>
      </c>
      <c r="K2022" t="s">
        <v>42283</v>
      </c>
      <c r="M2022" t="s">
        <v>43129</v>
      </c>
      <c r="N2022" t="s">
        <v>46569</v>
      </c>
      <c r="O2022" t="s">
        <v>46570</v>
      </c>
      <c r="P2022">
        <v>0</v>
      </c>
      <c r="Q2022">
        <v>1</v>
      </c>
      <c r="R2022" t="s">
        <v>46571</v>
      </c>
      <c r="S2022" t="s">
        <v>46687</v>
      </c>
      <c r="T2022" t="s">
        <v>48356</v>
      </c>
      <c r="U2022" t="s">
        <v>50461</v>
      </c>
      <c r="W2022" t="s">
        <v>43129</v>
      </c>
      <c r="X2022" t="s">
        <v>46572</v>
      </c>
    </row>
    <row r="2023" spans="1:24">
      <c r="A2023">
        <f>HYPERLINK("https://www.philgeps.gov.ph/GEPSNONPILOT/Tender/SplashBidNoticeAbstractUI.aspx?menuIndex=3&amp;refID=7066817&amp;Result=3","7066817")</f>
        <v>0</v>
      </c>
      <c r="B2023" t="s">
        <v>862</v>
      </c>
      <c r="C2023" t="s">
        <v>5491</v>
      </c>
      <c r="D2023" t="s">
        <v>18849</v>
      </c>
      <c r="E2023" t="s">
        <v>20754</v>
      </c>
      <c r="F2023" t="s">
        <v>32664</v>
      </c>
      <c r="G2023" t="s">
        <v>32674</v>
      </c>
      <c r="H2023" t="s">
        <v>12635</v>
      </c>
      <c r="I2023" t="s">
        <v>32694</v>
      </c>
      <c r="J2023" t="s">
        <v>34268</v>
      </c>
      <c r="K2023" t="s">
        <v>42309</v>
      </c>
      <c r="M2023" t="s">
        <v>43461</v>
      </c>
      <c r="N2023" t="s">
        <v>46569</v>
      </c>
      <c r="O2023" t="s">
        <v>46570</v>
      </c>
      <c r="P2023">
        <v>0</v>
      </c>
      <c r="Q2023">
        <v>0</v>
      </c>
      <c r="R2023" t="s">
        <v>46571</v>
      </c>
      <c r="S2023" t="s">
        <v>46687</v>
      </c>
      <c r="T2023" t="s">
        <v>48219</v>
      </c>
      <c r="U2023" t="s">
        <v>50462</v>
      </c>
      <c r="W2023" t="s">
        <v>43461</v>
      </c>
      <c r="X2023" t="s">
        <v>46572</v>
      </c>
    </row>
    <row r="2024" spans="1:24">
      <c r="A2024">
        <f>HYPERLINK("https://www.philgeps.gov.ph/GEPSNONPILOT/Tender/SplashBidNoticeAbstractUI.aspx?menuIndex=3&amp;refID=7066815&amp;Result=3","7066815")</f>
        <v>0</v>
      </c>
      <c r="B2024" t="s">
        <v>509</v>
      </c>
      <c r="C2024" t="s">
        <v>5492</v>
      </c>
      <c r="D2024" t="s">
        <v>18803</v>
      </c>
      <c r="E2024" t="s">
        <v>20755</v>
      </c>
      <c r="F2024" t="s">
        <v>32664</v>
      </c>
      <c r="G2024" t="s">
        <v>32671</v>
      </c>
      <c r="H2024" t="s">
        <v>12635</v>
      </c>
      <c r="I2024" t="s">
        <v>8797</v>
      </c>
      <c r="J2024" t="s">
        <v>34269</v>
      </c>
      <c r="K2024" t="s">
        <v>42284</v>
      </c>
      <c r="M2024" t="s">
        <v>43085</v>
      </c>
      <c r="N2024" t="s">
        <v>46569</v>
      </c>
      <c r="O2024" t="s">
        <v>46570</v>
      </c>
      <c r="P2024">
        <v>0</v>
      </c>
      <c r="Q2024">
        <v>1</v>
      </c>
      <c r="R2024" t="s">
        <v>46571</v>
      </c>
      <c r="S2024" t="s">
        <v>46687</v>
      </c>
      <c r="T2024" t="s">
        <v>48283</v>
      </c>
      <c r="U2024" t="s">
        <v>50463</v>
      </c>
      <c r="W2024" t="s">
        <v>43085</v>
      </c>
      <c r="X2024" t="s">
        <v>46572</v>
      </c>
    </row>
    <row r="2025" spans="1:24">
      <c r="A2025">
        <f>HYPERLINK("https://www.philgeps.gov.ph/GEPSNONPILOT/Tender/SplashBidNoticeAbstractUI.aspx?menuIndex=3&amp;refID=7066816&amp;Result=3","7066816")</f>
        <v>0</v>
      </c>
      <c r="B2025" t="s">
        <v>842</v>
      </c>
      <c r="C2025" t="s">
        <v>5493</v>
      </c>
      <c r="D2025" t="s">
        <v>18830</v>
      </c>
      <c r="E2025" t="s">
        <v>20756</v>
      </c>
      <c r="F2025" t="s">
        <v>32664</v>
      </c>
      <c r="G2025" t="s">
        <v>32671</v>
      </c>
      <c r="H2025" t="s">
        <v>12635</v>
      </c>
      <c r="I2025" t="s">
        <v>32765</v>
      </c>
      <c r="J2025" t="s">
        <v>34270</v>
      </c>
      <c r="K2025" t="s">
        <v>42297</v>
      </c>
      <c r="M2025" t="s">
        <v>43437</v>
      </c>
      <c r="N2025" t="s">
        <v>46569</v>
      </c>
      <c r="O2025" t="s">
        <v>46570</v>
      </c>
      <c r="P2025">
        <v>0</v>
      </c>
      <c r="Q2025">
        <v>1</v>
      </c>
      <c r="R2025" t="s">
        <v>46571</v>
      </c>
      <c r="S2025" t="s">
        <v>46687</v>
      </c>
      <c r="T2025" t="s">
        <v>48221</v>
      </c>
      <c r="U2025" t="s">
        <v>50464</v>
      </c>
      <c r="W2025" t="s">
        <v>43437</v>
      </c>
      <c r="X2025" t="s">
        <v>46572</v>
      </c>
    </row>
    <row r="2026" spans="1:24">
      <c r="A2026">
        <f>HYPERLINK("https://www.philgeps.gov.ph/GEPSNONPILOT/Tender/SplashBidNoticeAbstractUI.aspx?menuIndex=3&amp;refID=7066813&amp;Result=3","7066813")</f>
        <v>0</v>
      </c>
      <c r="B2026" t="s">
        <v>596</v>
      </c>
      <c r="C2026" t="s">
        <v>5494</v>
      </c>
      <c r="D2026" t="s">
        <v>18837</v>
      </c>
      <c r="E2026" t="s">
        <v>20757</v>
      </c>
      <c r="F2026" t="s">
        <v>32664</v>
      </c>
      <c r="G2026" t="s">
        <v>32671</v>
      </c>
      <c r="H2026" t="s">
        <v>12635</v>
      </c>
      <c r="I2026" t="s">
        <v>7759</v>
      </c>
      <c r="J2026" t="s">
        <v>34271</v>
      </c>
      <c r="K2026" t="s">
        <v>42289</v>
      </c>
      <c r="M2026" t="s">
        <v>43176</v>
      </c>
      <c r="N2026" t="s">
        <v>46569</v>
      </c>
      <c r="O2026" t="s">
        <v>46570</v>
      </c>
      <c r="P2026">
        <v>0</v>
      </c>
      <c r="Q2026">
        <v>0</v>
      </c>
      <c r="R2026" t="s">
        <v>46571</v>
      </c>
      <c r="S2026" t="s">
        <v>46687</v>
      </c>
      <c r="T2026" t="s">
        <v>48250</v>
      </c>
      <c r="U2026" t="s">
        <v>50465</v>
      </c>
      <c r="V2026" t="s">
        <v>61772</v>
      </c>
      <c r="W2026" t="s">
        <v>43176</v>
      </c>
      <c r="X2026" t="s">
        <v>46572</v>
      </c>
    </row>
    <row r="2027" spans="1:24">
      <c r="A2027">
        <f>HYPERLINK("https://www.philgeps.gov.ph/GEPSNONPILOT/Tender/SplashBidNoticeAbstractUI.aspx?menuIndex=3&amp;refID=7066809&amp;Result=3","7066809")</f>
        <v>0</v>
      </c>
      <c r="B2027" t="s">
        <v>843</v>
      </c>
      <c r="C2027" t="s">
        <v>5495</v>
      </c>
      <c r="D2027" t="s">
        <v>18789</v>
      </c>
      <c r="E2027" t="s">
        <v>20758</v>
      </c>
      <c r="F2027" t="s">
        <v>32664</v>
      </c>
      <c r="G2027" t="s">
        <v>32672</v>
      </c>
      <c r="H2027" t="s">
        <v>32683</v>
      </c>
      <c r="I2027" t="s">
        <v>10627</v>
      </c>
      <c r="J2027" t="s">
        <v>34272</v>
      </c>
      <c r="K2027" t="s">
        <v>42290</v>
      </c>
      <c r="M2027" t="s">
        <v>43438</v>
      </c>
      <c r="N2027" t="s">
        <v>46569</v>
      </c>
      <c r="O2027" t="s">
        <v>46570</v>
      </c>
      <c r="P2027">
        <v>0</v>
      </c>
      <c r="Q2027">
        <v>0</v>
      </c>
      <c r="R2027" t="s">
        <v>46571</v>
      </c>
      <c r="S2027" t="s">
        <v>46687</v>
      </c>
      <c r="T2027" t="s">
        <v>48240</v>
      </c>
      <c r="U2027" t="s">
        <v>50466</v>
      </c>
      <c r="W2027" t="s">
        <v>43438</v>
      </c>
      <c r="X2027" t="s">
        <v>46572</v>
      </c>
    </row>
    <row r="2028" spans="1:24">
      <c r="A2028">
        <f>HYPERLINK("https://www.philgeps.gov.ph/GEPSNONPILOT/Tender/SplashBidNoticeAbstractUI.aspx?menuIndex=3&amp;refID=7066520&amp;Result=3","7066520")</f>
        <v>0</v>
      </c>
      <c r="B2028" t="s">
        <v>865</v>
      </c>
      <c r="C2028" t="s">
        <v>5496</v>
      </c>
      <c r="D2028" t="s">
        <v>18801</v>
      </c>
      <c r="E2028" t="s">
        <v>20759</v>
      </c>
      <c r="F2028" t="s">
        <v>32664</v>
      </c>
      <c r="G2028" t="s">
        <v>32671</v>
      </c>
      <c r="H2028" t="s">
        <v>12635</v>
      </c>
      <c r="I2028" t="s">
        <v>5589</v>
      </c>
      <c r="J2028" t="s">
        <v>34273</v>
      </c>
      <c r="K2028" t="s">
        <v>42284</v>
      </c>
      <c r="M2028" t="s">
        <v>43465</v>
      </c>
      <c r="N2028" t="s">
        <v>46569</v>
      </c>
      <c r="O2028" t="s">
        <v>46570</v>
      </c>
      <c r="P2028">
        <v>0</v>
      </c>
      <c r="Q2028">
        <v>1</v>
      </c>
      <c r="R2028" t="s">
        <v>46571</v>
      </c>
      <c r="S2028" t="s">
        <v>46687</v>
      </c>
      <c r="T2028" t="s">
        <v>48276</v>
      </c>
      <c r="U2028" t="s">
        <v>50467</v>
      </c>
      <c r="W2028" t="s">
        <v>43465</v>
      </c>
      <c r="X2028" t="s">
        <v>46572</v>
      </c>
    </row>
    <row r="2029" spans="1:24">
      <c r="A2029">
        <f>HYPERLINK("https://www.philgeps.gov.ph/GEPSNONPILOT/Tender/SplashBidNoticeAbstractUI.aspx?menuIndex=3&amp;refID=7066806&amp;Result=3","7066806")</f>
        <v>0</v>
      </c>
      <c r="B2029" t="s">
        <v>847</v>
      </c>
      <c r="C2029" t="s">
        <v>5497</v>
      </c>
      <c r="D2029" t="s">
        <v>18782</v>
      </c>
      <c r="E2029" t="s">
        <v>20760</v>
      </c>
      <c r="F2029" t="s">
        <v>32664</v>
      </c>
      <c r="G2029" t="s">
        <v>32672</v>
      </c>
      <c r="H2029" t="s">
        <v>12635</v>
      </c>
      <c r="I2029" t="s">
        <v>4333</v>
      </c>
      <c r="J2029" t="s">
        <v>34274</v>
      </c>
      <c r="K2029" t="s">
        <v>42298</v>
      </c>
      <c r="M2029" t="s">
        <v>43443</v>
      </c>
      <c r="N2029" t="s">
        <v>46569</v>
      </c>
      <c r="O2029" t="s">
        <v>46570</v>
      </c>
      <c r="P2029">
        <v>0</v>
      </c>
      <c r="Q2029">
        <v>1</v>
      </c>
      <c r="R2029" t="s">
        <v>46571</v>
      </c>
      <c r="S2029" t="s">
        <v>46687</v>
      </c>
      <c r="T2029" t="s">
        <v>48321</v>
      </c>
      <c r="U2029" t="s">
        <v>50420</v>
      </c>
      <c r="V2029" t="s">
        <v>61831</v>
      </c>
      <c r="W2029" t="s">
        <v>43443</v>
      </c>
      <c r="X2029" t="s">
        <v>46572</v>
      </c>
    </row>
    <row r="2030" spans="1:24">
      <c r="A2030">
        <f>HYPERLINK("https://www.philgeps.gov.ph/GEPSNONPILOT/Tender/SplashBidNoticeAbstractUI.aspx?menuIndex=3&amp;refID=7066810&amp;Result=3","7066810")</f>
        <v>0</v>
      </c>
      <c r="B2030" t="s">
        <v>310</v>
      </c>
      <c r="C2030" t="s">
        <v>5498</v>
      </c>
      <c r="D2030" t="s">
        <v>18789</v>
      </c>
      <c r="E2030" t="s">
        <v>20761</v>
      </c>
      <c r="F2030" t="s">
        <v>32664</v>
      </c>
      <c r="G2030" t="s">
        <v>32671</v>
      </c>
      <c r="H2030" t="s">
        <v>12635</v>
      </c>
      <c r="I2030" t="s">
        <v>10590</v>
      </c>
      <c r="J2030" t="s">
        <v>34275</v>
      </c>
      <c r="K2030" t="s">
        <v>42289</v>
      </c>
      <c r="M2030" t="s">
        <v>42877</v>
      </c>
      <c r="N2030" t="s">
        <v>46569</v>
      </c>
      <c r="O2030" t="s">
        <v>46570</v>
      </c>
      <c r="P2030">
        <v>0</v>
      </c>
      <c r="Q2030">
        <v>0</v>
      </c>
      <c r="R2030" t="s">
        <v>46571</v>
      </c>
      <c r="S2030" t="s">
        <v>46687</v>
      </c>
      <c r="T2030" t="s">
        <v>48278</v>
      </c>
      <c r="U2030" t="s">
        <v>49333</v>
      </c>
      <c r="V2030" t="s">
        <v>61832</v>
      </c>
      <c r="W2030" t="s">
        <v>42877</v>
      </c>
      <c r="X2030" t="s">
        <v>46572</v>
      </c>
    </row>
    <row r="2031" spans="1:24">
      <c r="A2031">
        <f>HYPERLINK("https://www.philgeps.gov.ph/GEPSNONPILOT/Tender/SplashBidNoticeAbstractUI.aspx?menuIndex=3&amp;refID=7066804&amp;Result=3","7066804")</f>
        <v>0</v>
      </c>
      <c r="B2031" t="s">
        <v>69</v>
      </c>
      <c r="C2031" t="s">
        <v>5499</v>
      </c>
      <c r="D2031" t="s">
        <v>18784</v>
      </c>
      <c r="E2031" t="s">
        <v>20762</v>
      </c>
      <c r="F2031" t="s">
        <v>32664</v>
      </c>
      <c r="G2031" t="s">
        <v>32671</v>
      </c>
      <c r="H2031" t="s">
        <v>12635</v>
      </c>
      <c r="I2031" t="s">
        <v>32694</v>
      </c>
      <c r="J2031" t="s">
        <v>34276</v>
      </c>
      <c r="K2031" t="s">
        <v>42289</v>
      </c>
      <c r="M2031" t="s">
        <v>43455</v>
      </c>
      <c r="N2031" t="s">
        <v>46569</v>
      </c>
      <c r="O2031" t="s">
        <v>46570</v>
      </c>
      <c r="P2031">
        <v>0</v>
      </c>
      <c r="Q2031">
        <v>0</v>
      </c>
      <c r="R2031" t="s">
        <v>46571</v>
      </c>
      <c r="S2031" t="s">
        <v>46687</v>
      </c>
      <c r="T2031" t="s">
        <v>48299</v>
      </c>
      <c r="U2031" t="s">
        <v>50445</v>
      </c>
      <c r="W2031" t="s">
        <v>43455</v>
      </c>
      <c r="X2031" t="s">
        <v>46572</v>
      </c>
    </row>
    <row r="2032" spans="1:24">
      <c r="A2032">
        <f>HYPERLINK("https://www.philgeps.gov.ph/GEPSNONPILOT/Tender/SplashBidNoticeAbstractUI.aspx?menuIndex=3&amp;refID=7066757&amp;Result=3","7066757")</f>
        <v>0</v>
      </c>
      <c r="B2032" t="s">
        <v>69</v>
      </c>
      <c r="C2032" t="s">
        <v>5500</v>
      </c>
      <c r="D2032" t="s">
        <v>18784</v>
      </c>
      <c r="E2032" t="s">
        <v>20763</v>
      </c>
      <c r="F2032" t="s">
        <v>32664</v>
      </c>
      <c r="G2032" t="s">
        <v>32671</v>
      </c>
      <c r="H2032" t="s">
        <v>12635</v>
      </c>
      <c r="I2032" t="s">
        <v>8730</v>
      </c>
      <c r="J2032" t="s">
        <v>34277</v>
      </c>
      <c r="K2032" t="s">
        <v>42281</v>
      </c>
      <c r="M2032" t="s">
        <v>43455</v>
      </c>
      <c r="N2032" t="s">
        <v>46569</v>
      </c>
      <c r="O2032" t="s">
        <v>46570</v>
      </c>
      <c r="P2032">
        <v>0</v>
      </c>
      <c r="Q2032">
        <v>4</v>
      </c>
      <c r="R2032" t="s">
        <v>46571</v>
      </c>
      <c r="S2032" t="s">
        <v>46687</v>
      </c>
      <c r="T2032" t="s">
        <v>48299</v>
      </c>
      <c r="U2032" t="s">
        <v>50445</v>
      </c>
      <c r="W2032" t="s">
        <v>43455</v>
      </c>
      <c r="X2032" t="s">
        <v>46572</v>
      </c>
    </row>
    <row r="2033" spans="1:24">
      <c r="A2033">
        <f>HYPERLINK("https://www.philgeps.gov.ph/GEPSNONPILOT/Tender/SplashBidNoticeAbstractUI.aspx?menuIndex=3&amp;refID=7066803&amp;Result=3","7066803")</f>
        <v>0</v>
      </c>
      <c r="B2033" t="s">
        <v>175</v>
      </c>
      <c r="C2033" t="s">
        <v>5501</v>
      </c>
      <c r="D2033" t="s">
        <v>18784</v>
      </c>
      <c r="E2033" t="s">
        <v>20764</v>
      </c>
      <c r="F2033" t="s">
        <v>32664</v>
      </c>
      <c r="G2033" t="s">
        <v>32671</v>
      </c>
      <c r="H2033" t="s">
        <v>12635</v>
      </c>
      <c r="I2033" t="s">
        <v>5501</v>
      </c>
      <c r="J2033" t="s">
        <v>34278</v>
      </c>
      <c r="K2033" t="s">
        <v>42284</v>
      </c>
      <c r="M2033" t="s">
        <v>42739</v>
      </c>
      <c r="N2033" t="s">
        <v>46569</v>
      </c>
      <c r="O2033" t="s">
        <v>46570</v>
      </c>
      <c r="P2033">
        <v>0</v>
      </c>
      <c r="Q2033">
        <v>10</v>
      </c>
      <c r="R2033" t="s">
        <v>46571</v>
      </c>
      <c r="S2033" t="s">
        <v>46687</v>
      </c>
      <c r="T2033" t="s">
        <v>48246</v>
      </c>
      <c r="U2033" t="s">
        <v>50468</v>
      </c>
      <c r="V2033" t="s">
        <v>61661</v>
      </c>
      <c r="W2033" t="s">
        <v>42739</v>
      </c>
      <c r="X2033" t="s">
        <v>46572</v>
      </c>
    </row>
    <row r="2034" spans="1:24">
      <c r="A2034">
        <f>HYPERLINK("https://www.philgeps.gov.ph/GEPSNONPILOT/Tender/SplashBidNoticeAbstractUI.aspx?menuIndex=3&amp;refID=7066811&amp;Result=3","7066811")</f>
        <v>0</v>
      </c>
      <c r="B2034" t="s">
        <v>866</v>
      </c>
      <c r="C2034" t="s">
        <v>5502</v>
      </c>
      <c r="D2034" t="s">
        <v>18781</v>
      </c>
      <c r="E2034" t="s">
        <v>20765</v>
      </c>
      <c r="F2034" t="s">
        <v>32664</v>
      </c>
      <c r="G2034" t="s">
        <v>32674</v>
      </c>
      <c r="H2034" t="s">
        <v>12635</v>
      </c>
      <c r="I2034" t="s">
        <v>6223</v>
      </c>
      <c r="J2034" t="s">
        <v>34279</v>
      </c>
      <c r="K2034" t="s">
        <v>42289</v>
      </c>
      <c r="M2034" t="s">
        <v>43466</v>
      </c>
      <c r="N2034" t="s">
        <v>46569</v>
      </c>
      <c r="O2034" t="s">
        <v>46570</v>
      </c>
      <c r="P2034">
        <v>0</v>
      </c>
      <c r="Q2034">
        <v>1</v>
      </c>
      <c r="R2034" t="s">
        <v>46571</v>
      </c>
      <c r="S2034" t="s">
        <v>46687</v>
      </c>
      <c r="T2034" t="s">
        <v>48226</v>
      </c>
      <c r="U2034" t="s">
        <v>50469</v>
      </c>
      <c r="W2034" t="s">
        <v>43466</v>
      </c>
      <c r="X2034" t="s">
        <v>46572</v>
      </c>
    </row>
    <row r="2035" spans="1:24">
      <c r="A2035">
        <f>HYPERLINK("https://www.philgeps.gov.ph/GEPSNONPILOT/Tender/SplashBidNoticeAbstractUI.aspx?menuIndex=3&amp;refID=7066784&amp;Result=3","7066784")</f>
        <v>0</v>
      </c>
      <c r="B2035" t="s">
        <v>253</v>
      </c>
      <c r="C2035" t="s">
        <v>5503</v>
      </c>
      <c r="D2035" t="s">
        <v>18790</v>
      </c>
      <c r="E2035" t="s">
        <v>20766</v>
      </c>
      <c r="F2035" t="s">
        <v>32664</v>
      </c>
      <c r="G2035" t="s">
        <v>32671</v>
      </c>
      <c r="H2035" t="s">
        <v>12635</v>
      </c>
      <c r="I2035" t="s">
        <v>4439</v>
      </c>
      <c r="J2035" t="s">
        <v>34280</v>
      </c>
      <c r="K2035" t="s">
        <v>42283</v>
      </c>
      <c r="M2035" t="s">
        <v>42818</v>
      </c>
      <c r="N2035" t="s">
        <v>46569</v>
      </c>
      <c r="O2035" t="s">
        <v>46570</v>
      </c>
      <c r="P2035">
        <v>0</v>
      </c>
      <c r="Q2035">
        <v>0</v>
      </c>
      <c r="R2035" t="s">
        <v>46571</v>
      </c>
      <c r="S2035" t="s">
        <v>46687</v>
      </c>
      <c r="T2035" t="s">
        <v>48283</v>
      </c>
      <c r="U2035" t="s">
        <v>50470</v>
      </c>
      <c r="W2035" t="s">
        <v>42818</v>
      </c>
      <c r="X2035" t="s">
        <v>46572</v>
      </c>
    </row>
    <row r="2036" spans="1:24">
      <c r="A2036">
        <f>HYPERLINK("https://www.philgeps.gov.ph/GEPSNONPILOT/Tender/SplashBidNoticeAbstractUI.aspx?menuIndex=3&amp;refID=7066840&amp;Result=3","7066840")</f>
        <v>0</v>
      </c>
      <c r="B2036" t="s">
        <v>324</v>
      </c>
      <c r="C2036" t="s">
        <v>5504</v>
      </c>
      <c r="D2036" t="s">
        <v>18784</v>
      </c>
      <c r="E2036" t="s">
        <v>20767</v>
      </c>
      <c r="F2036" t="s">
        <v>32664</v>
      </c>
      <c r="G2036" t="s">
        <v>32671</v>
      </c>
      <c r="H2036" t="s">
        <v>12635</v>
      </c>
      <c r="I2036" t="s">
        <v>5589</v>
      </c>
      <c r="J2036" t="s">
        <v>33398</v>
      </c>
      <c r="K2036" t="s">
        <v>42283</v>
      </c>
      <c r="M2036" t="s">
        <v>42892</v>
      </c>
      <c r="N2036" t="s">
        <v>46569</v>
      </c>
      <c r="O2036" t="s">
        <v>46570</v>
      </c>
      <c r="P2036">
        <v>0</v>
      </c>
      <c r="Q2036">
        <v>2</v>
      </c>
      <c r="R2036" t="s">
        <v>46571</v>
      </c>
      <c r="S2036" t="s">
        <v>46687</v>
      </c>
      <c r="T2036" t="s">
        <v>48267</v>
      </c>
      <c r="U2036" t="s">
        <v>49360</v>
      </c>
      <c r="W2036" t="s">
        <v>42892</v>
      </c>
      <c r="X2036" t="s">
        <v>46572</v>
      </c>
    </row>
    <row r="2037" spans="1:24">
      <c r="A2037">
        <f>HYPERLINK("https://www.philgeps.gov.ph/GEPSNONPILOT/Tender/SplashBidNoticeAbstractUI.aspx?menuIndex=3&amp;refID=7066838&amp;Result=3","7066838")</f>
        <v>0</v>
      </c>
      <c r="B2037" t="s">
        <v>867</v>
      </c>
      <c r="C2037" t="s">
        <v>5505</v>
      </c>
      <c r="D2037" t="s">
        <v>18784</v>
      </c>
      <c r="E2037" t="s">
        <v>20768</v>
      </c>
      <c r="F2037" t="s">
        <v>32664</v>
      </c>
      <c r="G2037" t="s">
        <v>32672</v>
      </c>
      <c r="H2037" t="s">
        <v>32682</v>
      </c>
      <c r="I2037" t="s">
        <v>10361</v>
      </c>
      <c r="J2037" t="s">
        <v>34087</v>
      </c>
      <c r="K2037" t="s">
        <v>42348</v>
      </c>
      <c r="M2037" t="s">
        <v>43467</v>
      </c>
      <c r="N2037" t="s">
        <v>46569</v>
      </c>
      <c r="O2037" t="s">
        <v>46570</v>
      </c>
      <c r="P2037">
        <v>0</v>
      </c>
      <c r="Q2037">
        <v>1</v>
      </c>
      <c r="R2037" t="s">
        <v>46571</v>
      </c>
      <c r="S2037" t="s">
        <v>46687</v>
      </c>
      <c r="T2037" t="s">
        <v>48275</v>
      </c>
      <c r="U2037" t="s">
        <v>50471</v>
      </c>
      <c r="W2037" t="s">
        <v>43467</v>
      </c>
      <c r="X2037" t="s">
        <v>46572</v>
      </c>
    </row>
    <row r="2038" spans="1:24">
      <c r="A2038">
        <f>HYPERLINK("https://www.philgeps.gov.ph/GEPSNONPILOT/Tender/SplashBidNoticeAbstractUI.aspx?menuIndex=3&amp;refID=7066836&amp;Result=3","7066836")</f>
        <v>0</v>
      </c>
      <c r="B2038" t="s">
        <v>811</v>
      </c>
      <c r="C2038" t="s">
        <v>5506</v>
      </c>
      <c r="D2038" t="s">
        <v>18802</v>
      </c>
      <c r="E2038" t="s">
        <v>20769</v>
      </c>
      <c r="F2038" t="s">
        <v>32664</v>
      </c>
      <c r="G2038" t="s">
        <v>32672</v>
      </c>
      <c r="H2038" t="s">
        <v>32683</v>
      </c>
      <c r="I2038" t="s">
        <v>10627</v>
      </c>
      <c r="J2038" t="s">
        <v>34281</v>
      </c>
      <c r="K2038" t="s">
        <v>42305</v>
      </c>
      <c r="M2038" t="s">
        <v>43405</v>
      </c>
      <c r="N2038" t="s">
        <v>46569</v>
      </c>
      <c r="O2038" t="s">
        <v>46570</v>
      </c>
      <c r="P2038">
        <v>0</v>
      </c>
      <c r="Q2038">
        <v>0</v>
      </c>
      <c r="R2038" t="s">
        <v>46571</v>
      </c>
      <c r="S2038" t="s">
        <v>46687</v>
      </c>
      <c r="T2038" t="s">
        <v>48261</v>
      </c>
      <c r="U2038" t="s">
        <v>50472</v>
      </c>
      <c r="W2038" t="s">
        <v>43405</v>
      </c>
      <c r="X2038" t="s">
        <v>46572</v>
      </c>
    </row>
    <row r="2039" spans="1:24">
      <c r="A2039">
        <f>HYPERLINK("https://www.philgeps.gov.ph/GEPSNONPILOT/Tender/SplashBidNoticeAbstractUI.aspx?menuIndex=3&amp;refID=7066834&amp;Result=3","7066834")</f>
        <v>0</v>
      </c>
      <c r="B2039" t="s">
        <v>720</v>
      </c>
      <c r="C2039" t="s">
        <v>5507</v>
      </c>
      <c r="D2039" t="s">
        <v>18784</v>
      </c>
      <c r="E2039" t="s">
        <v>20770</v>
      </c>
      <c r="F2039" t="s">
        <v>32664</v>
      </c>
      <c r="G2039" t="s">
        <v>32671</v>
      </c>
      <c r="H2039" t="s">
        <v>12635</v>
      </c>
      <c r="I2039" t="s">
        <v>32704</v>
      </c>
      <c r="J2039" t="s">
        <v>33128</v>
      </c>
      <c r="K2039" t="s">
        <v>42284</v>
      </c>
      <c r="M2039" t="s">
        <v>43307</v>
      </c>
      <c r="N2039" t="s">
        <v>46569</v>
      </c>
      <c r="O2039" t="s">
        <v>46570</v>
      </c>
      <c r="P2039">
        <v>0</v>
      </c>
      <c r="Q2039">
        <v>2</v>
      </c>
      <c r="R2039" t="s">
        <v>46571</v>
      </c>
      <c r="S2039" t="s">
        <v>46687</v>
      </c>
      <c r="T2039" t="s">
        <v>48312</v>
      </c>
      <c r="U2039" t="s">
        <v>50132</v>
      </c>
      <c r="W2039" t="s">
        <v>43307</v>
      </c>
      <c r="X2039" t="s">
        <v>46572</v>
      </c>
    </row>
    <row r="2040" spans="1:24">
      <c r="A2040">
        <f>HYPERLINK("https://www.philgeps.gov.ph/GEPSNONPILOT/Tender/SplashBidNoticeAbstractUI.aspx?menuIndex=3&amp;refID=7066783&amp;Result=3","7066783")</f>
        <v>0</v>
      </c>
      <c r="B2040" t="s">
        <v>442</v>
      </c>
      <c r="C2040" t="s">
        <v>5508</v>
      </c>
      <c r="D2040" t="s">
        <v>18852</v>
      </c>
      <c r="E2040" t="s">
        <v>20771</v>
      </c>
      <c r="F2040" t="s">
        <v>32664</v>
      </c>
      <c r="G2040" t="s">
        <v>32674</v>
      </c>
      <c r="H2040" t="s">
        <v>12635</v>
      </c>
      <c r="I2040" t="s">
        <v>32706</v>
      </c>
      <c r="J2040" t="s">
        <v>32959</v>
      </c>
      <c r="K2040" t="s">
        <v>42284</v>
      </c>
      <c r="M2040" t="s">
        <v>43014</v>
      </c>
      <c r="N2040" t="s">
        <v>46569</v>
      </c>
      <c r="O2040" t="s">
        <v>46570</v>
      </c>
      <c r="P2040">
        <v>0</v>
      </c>
      <c r="Q2040">
        <v>0</v>
      </c>
      <c r="R2040" t="s">
        <v>46571</v>
      </c>
      <c r="S2040" t="s">
        <v>46687</v>
      </c>
      <c r="T2040" t="s">
        <v>48427</v>
      </c>
      <c r="U2040" t="s">
        <v>50473</v>
      </c>
      <c r="W2040" t="s">
        <v>43014</v>
      </c>
      <c r="X2040" t="s">
        <v>46572</v>
      </c>
    </row>
    <row r="2041" spans="1:24">
      <c r="A2041">
        <f>HYPERLINK("https://www.philgeps.gov.ph/GEPSNONPILOT/Tender/SplashBidNoticeAbstractUI.aspx?menuIndex=3&amp;refID=7066831&amp;Result=3","7066831")</f>
        <v>0</v>
      </c>
      <c r="B2041" t="s">
        <v>868</v>
      </c>
      <c r="C2041" t="s">
        <v>5509</v>
      </c>
      <c r="D2041" t="s">
        <v>18784</v>
      </c>
      <c r="E2041" t="s">
        <v>20772</v>
      </c>
      <c r="F2041" t="s">
        <v>32664</v>
      </c>
      <c r="G2041" t="s">
        <v>32671</v>
      </c>
      <c r="H2041" t="s">
        <v>12635</v>
      </c>
      <c r="I2041" t="s">
        <v>32766</v>
      </c>
      <c r="J2041" t="s">
        <v>33250</v>
      </c>
      <c r="K2041" t="s">
        <v>42283</v>
      </c>
      <c r="M2041" t="s">
        <v>43468</v>
      </c>
      <c r="N2041" t="s">
        <v>46569</v>
      </c>
      <c r="O2041" t="s">
        <v>46570</v>
      </c>
      <c r="P2041">
        <v>0</v>
      </c>
      <c r="Q2041">
        <v>0</v>
      </c>
      <c r="R2041" t="s">
        <v>46571</v>
      </c>
      <c r="S2041" t="s">
        <v>46687</v>
      </c>
      <c r="T2041" t="s">
        <v>48256</v>
      </c>
      <c r="U2041" t="s">
        <v>50474</v>
      </c>
      <c r="W2041" t="s">
        <v>43468</v>
      </c>
      <c r="X2041" t="s">
        <v>46572</v>
      </c>
    </row>
    <row r="2042" spans="1:24">
      <c r="A2042">
        <f>HYPERLINK("https://www.philgeps.gov.ph/GEPSNONPILOT/Tender/SplashBidNoticeAbstractUI.aspx?menuIndex=3&amp;refID=7066837&amp;Result=3","7066837")</f>
        <v>0</v>
      </c>
      <c r="B2042" t="s">
        <v>869</v>
      </c>
      <c r="C2042" t="s">
        <v>5510</v>
      </c>
      <c r="D2042" t="s">
        <v>18858</v>
      </c>
      <c r="E2042" t="s">
        <v>20773</v>
      </c>
      <c r="F2042" t="s">
        <v>32664</v>
      </c>
      <c r="G2042" t="s">
        <v>32671</v>
      </c>
      <c r="H2042" t="s">
        <v>12635</v>
      </c>
      <c r="I2042" t="s">
        <v>10370</v>
      </c>
      <c r="J2042" t="s">
        <v>32976</v>
      </c>
      <c r="K2042" t="s">
        <v>42378</v>
      </c>
      <c r="M2042" t="s">
        <v>43469</v>
      </c>
      <c r="N2042" t="s">
        <v>46569</v>
      </c>
      <c r="O2042" t="s">
        <v>46570</v>
      </c>
      <c r="P2042">
        <v>0</v>
      </c>
      <c r="Q2042">
        <v>2</v>
      </c>
      <c r="R2042" t="s">
        <v>46571</v>
      </c>
      <c r="S2042" t="s">
        <v>46687</v>
      </c>
      <c r="T2042" t="s">
        <v>48251</v>
      </c>
      <c r="U2042" t="s">
        <v>50475</v>
      </c>
      <c r="V2042" t="s">
        <v>61833</v>
      </c>
      <c r="W2042" t="s">
        <v>43469</v>
      </c>
      <c r="X2042" t="s">
        <v>46572</v>
      </c>
    </row>
    <row r="2043" spans="1:24">
      <c r="A2043">
        <f>HYPERLINK("https://www.philgeps.gov.ph/GEPSNONPILOT/Tender/SplashBidNoticeAbstractUI.aspx?menuIndex=3&amp;refID=7066830&amp;Result=3","7066830")</f>
        <v>0</v>
      </c>
      <c r="B2043" t="s">
        <v>859</v>
      </c>
      <c r="C2043" t="s">
        <v>5511</v>
      </c>
      <c r="D2043" t="s">
        <v>18827</v>
      </c>
      <c r="E2043" t="s">
        <v>20774</v>
      </c>
      <c r="F2043" t="s">
        <v>32664</v>
      </c>
      <c r="G2043" t="s">
        <v>32671</v>
      </c>
      <c r="H2043" t="s">
        <v>12635</v>
      </c>
      <c r="I2043" t="s">
        <v>32719</v>
      </c>
      <c r="J2043" t="s">
        <v>34282</v>
      </c>
      <c r="K2043" t="s">
        <v>42306</v>
      </c>
      <c r="M2043" t="s">
        <v>43458</v>
      </c>
      <c r="N2043" t="s">
        <v>46569</v>
      </c>
      <c r="O2043" t="s">
        <v>46570</v>
      </c>
      <c r="P2043">
        <v>0</v>
      </c>
      <c r="Q2043">
        <v>0</v>
      </c>
      <c r="R2043" t="s">
        <v>46571</v>
      </c>
      <c r="S2043" t="s">
        <v>46687</v>
      </c>
      <c r="T2043" t="s">
        <v>48219</v>
      </c>
      <c r="U2043" t="s">
        <v>50476</v>
      </c>
      <c r="W2043" t="s">
        <v>43458</v>
      </c>
      <c r="X2043" t="s">
        <v>46572</v>
      </c>
    </row>
    <row r="2044" spans="1:24">
      <c r="A2044">
        <f>HYPERLINK("https://www.philgeps.gov.ph/GEPSNONPILOT/Tender/SplashBidNoticeAbstractUI.aspx?menuIndex=3&amp;refID=7066773&amp;Result=3","7066773")</f>
        <v>0</v>
      </c>
      <c r="B2044" t="s">
        <v>870</v>
      </c>
      <c r="C2044" t="s">
        <v>5512</v>
      </c>
      <c r="D2044" t="s">
        <v>18844</v>
      </c>
      <c r="E2044" t="s">
        <v>20775</v>
      </c>
      <c r="F2044" t="s">
        <v>32664</v>
      </c>
      <c r="G2044" t="s">
        <v>32671</v>
      </c>
      <c r="H2044" t="s">
        <v>12635</v>
      </c>
      <c r="I2044" t="s">
        <v>32764</v>
      </c>
      <c r="J2044" t="s">
        <v>34283</v>
      </c>
      <c r="K2044" t="s">
        <v>42297</v>
      </c>
      <c r="M2044" t="s">
        <v>43470</v>
      </c>
      <c r="N2044" t="s">
        <v>46569</v>
      </c>
      <c r="O2044" t="s">
        <v>46570</v>
      </c>
      <c r="P2044">
        <v>0</v>
      </c>
      <c r="Q2044">
        <v>0</v>
      </c>
      <c r="R2044" t="s">
        <v>46571</v>
      </c>
      <c r="S2044" t="s">
        <v>46687</v>
      </c>
      <c r="T2044" t="s">
        <v>48221</v>
      </c>
      <c r="U2044" t="s">
        <v>50477</v>
      </c>
      <c r="V2044" t="s">
        <v>61834</v>
      </c>
      <c r="W2044" t="s">
        <v>43470</v>
      </c>
      <c r="X2044" t="s">
        <v>46572</v>
      </c>
    </row>
    <row r="2045" spans="1:24">
      <c r="A2045">
        <f>HYPERLINK("https://www.philgeps.gov.ph/GEPSNONPILOT/Tender/SplashBidNoticeAbstractUI.aspx?menuIndex=3&amp;refID=7066829&amp;Result=3","7066829")</f>
        <v>0</v>
      </c>
      <c r="B2045" t="s">
        <v>714</v>
      </c>
      <c r="C2045" t="s">
        <v>5513</v>
      </c>
      <c r="D2045" t="s">
        <v>18846</v>
      </c>
      <c r="E2045" t="s">
        <v>20776</v>
      </c>
      <c r="F2045" t="s">
        <v>32664</v>
      </c>
      <c r="G2045" t="s">
        <v>32674</v>
      </c>
      <c r="H2045" t="s">
        <v>12635</v>
      </c>
      <c r="I2045" t="s">
        <v>4439</v>
      </c>
      <c r="J2045" t="s">
        <v>34278</v>
      </c>
      <c r="K2045" t="s">
        <v>42321</v>
      </c>
      <c r="M2045" t="s">
        <v>43301</v>
      </c>
      <c r="N2045" t="s">
        <v>46569</v>
      </c>
      <c r="O2045" t="s">
        <v>46570</v>
      </c>
      <c r="P2045">
        <v>0</v>
      </c>
      <c r="Q2045">
        <v>0</v>
      </c>
      <c r="R2045" t="s">
        <v>46571</v>
      </c>
      <c r="S2045" t="s">
        <v>46687</v>
      </c>
      <c r="T2045" t="s">
        <v>48283</v>
      </c>
      <c r="U2045" t="s">
        <v>50115</v>
      </c>
      <c r="W2045" t="s">
        <v>43301</v>
      </c>
      <c r="X2045" t="s">
        <v>46572</v>
      </c>
    </row>
    <row r="2046" spans="1:24">
      <c r="A2046">
        <f>HYPERLINK("https://www.philgeps.gov.ph/GEPSNONPILOT/Tender/SplashBidNoticeAbstractUI.aspx?menuIndex=3&amp;refID=7066828&amp;Result=3","7066828")</f>
        <v>0</v>
      </c>
      <c r="B2046" t="s">
        <v>822</v>
      </c>
      <c r="C2046" t="s">
        <v>5514</v>
      </c>
      <c r="E2046" t="s">
        <v>20777</v>
      </c>
      <c r="F2046" t="s">
        <v>32664</v>
      </c>
      <c r="G2046" t="s">
        <v>32671</v>
      </c>
      <c r="H2046" t="s">
        <v>12635</v>
      </c>
      <c r="I2046" t="s">
        <v>8730</v>
      </c>
      <c r="J2046" t="s">
        <v>34284</v>
      </c>
      <c r="K2046" t="s">
        <v>42283</v>
      </c>
      <c r="M2046" t="s">
        <v>43417</v>
      </c>
      <c r="N2046" t="s">
        <v>46569</v>
      </c>
      <c r="O2046" t="s">
        <v>46570</v>
      </c>
      <c r="P2046">
        <v>0</v>
      </c>
      <c r="Q2046">
        <v>0</v>
      </c>
      <c r="R2046" t="s">
        <v>46571</v>
      </c>
      <c r="S2046" t="s">
        <v>46687</v>
      </c>
      <c r="T2046" t="s">
        <v>48343</v>
      </c>
      <c r="U2046" t="s">
        <v>50358</v>
      </c>
      <c r="W2046" t="s">
        <v>43417</v>
      </c>
      <c r="X2046" t="s">
        <v>46572</v>
      </c>
    </row>
    <row r="2047" spans="1:24">
      <c r="A2047">
        <f>HYPERLINK("https://www.philgeps.gov.ph/GEPSNONPILOT/Tender/SplashBidNoticeAbstractUI.aspx?menuIndex=3&amp;refID=7066807&amp;Result=3","7066807")</f>
        <v>0</v>
      </c>
      <c r="B2047" t="s">
        <v>295</v>
      </c>
      <c r="C2047" t="s">
        <v>5515</v>
      </c>
      <c r="D2047" t="s">
        <v>18848</v>
      </c>
      <c r="E2047" t="s">
        <v>20778</v>
      </c>
      <c r="F2047" t="s">
        <v>32664</v>
      </c>
      <c r="G2047" t="s">
        <v>32672</v>
      </c>
      <c r="H2047" t="s">
        <v>12635</v>
      </c>
      <c r="I2047" t="s">
        <v>6628</v>
      </c>
      <c r="J2047" t="s">
        <v>33215</v>
      </c>
      <c r="K2047" t="s">
        <v>42297</v>
      </c>
      <c r="M2047" t="s">
        <v>42862</v>
      </c>
      <c r="N2047" t="s">
        <v>46569</v>
      </c>
      <c r="O2047" t="s">
        <v>46570</v>
      </c>
      <c r="P2047">
        <v>0</v>
      </c>
      <c r="Q2047">
        <v>0</v>
      </c>
      <c r="R2047" t="s">
        <v>46571</v>
      </c>
      <c r="S2047" t="s">
        <v>46687</v>
      </c>
      <c r="T2047" t="s">
        <v>48322</v>
      </c>
      <c r="U2047" t="s">
        <v>50478</v>
      </c>
      <c r="W2047" t="s">
        <v>42862</v>
      </c>
      <c r="X2047" t="s">
        <v>46572</v>
      </c>
    </row>
    <row r="2048" spans="1:24">
      <c r="A2048">
        <f>HYPERLINK("https://www.philgeps.gov.ph/GEPSNONPILOT/Tender/SplashBidNoticeAbstractUI.aspx?menuIndex=3&amp;refID=7066863&amp;Result=3","7066863")</f>
        <v>0</v>
      </c>
      <c r="B2048" t="s">
        <v>253</v>
      </c>
      <c r="C2048" t="s">
        <v>5516</v>
      </c>
      <c r="D2048" t="s">
        <v>18790</v>
      </c>
      <c r="E2048" t="s">
        <v>20779</v>
      </c>
      <c r="F2048" t="s">
        <v>32664</v>
      </c>
      <c r="G2048" t="s">
        <v>32671</v>
      </c>
      <c r="H2048" t="s">
        <v>12635</v>
      </c>
      <c r="I2048" t="s">
        <v>32706</v>
      </c>
      <c r="J2048" t="s">
        <v>34285</v>
      </c>
      <c r="K2048" t="s">
        <v>42283</v>
      </c>
      <c r="M2048" t="s">
        <v>42818</v>
      </c>
      <c r="N2048" t="s">
        <v>46569</v>
      </c>
      <c r="O2048" t="s">
        <v>46570</v>
      </c>
      <c r="P2048">
        <v>0</v>
      </c>
      <c r="Q2048">
        <v>0</v>
      </c>
      <c r="R2048" t="s">
        <v>46571</v>
      </c>
      <c r="S2048" t="s">
        <v>46687</v>
      </c>
      <c r="T2048" t="s">
        <v>48283</v>
      </c>
      <c r="U2048" t="s">
        <v>50479</v>
      </c>
      <c r="W2048" t="s">
        <v>42818</v>
      </c>
      <c r="X2048" t="s">
        <v>46572</v>
      </c>
    </row>
    <row r="2049" spans="1:24">
      <c r="A2049">
        <f>HYPERLINK("https://www.philgeps.gov.ph/GEPSNONPILOT/Tender/SplashBidNoticeAbstractUI.aspx?menuIndex=3&amp;refID=7066833&amp;Result=3","7066833")</f>
        <v>0</v>
      </c>
      <c r="B2049" t="s">
        <v>130</v>
      </c>
      <c r="C2049" t="s">
        <v>5517</v>
      </c>
      <c r="D2049" t="s">
        <v>18826</v>
      </c>
      <c r="E2049" t="s">
        <v>20780</v>
      </c>
      <c r="F2049" t="s">
        <v>32664</v>
      </c>
      <c r="G2049" t="s">
        <v>32672</v>
      </c>
      <c r="H2049" t="s">
        <v>12635</v>
      </c>
      <c r="I2049" t="s">
        <v>32708</v>
      </c>
      <c r="J2049" t="s">
        <v>33150</v>
      </c>
      <c r="K2049" t="s">
        <v>42283</v>
      </c>
      <c r="M2049" t="s">
        <v>42694</v>
      </c>
      <c r="N2049" t="s">
        <v>46569</v>
      </c>
      <c r="O2049" t="s">
        <v>46570</v>
      </c>
      <c r="P2049">
        <v>0</v>
      </c>
      <c r="Q2049">
        <v>3</v>
      </c>
      <c r="R2049" t="s">
        <v>46571</v>
      </c>
      <c r="S2049" t="s">
        <v>46687</v>
      </c>
      <c r="T2049" t="s">
        <v>48358</v>
      </c>
      <c r="U2049" t="s">
        <v>50480</v>
      </c>
      <c r="V2049" t="s">
        <v>61738</v>
      </c>
      <c r="W2049" t="s">
        <v>42694</v>
      </c>
      <c r="X2049" t="s">
        <v>46572</v>
      </c>
    </row>
    <row r="2050" spans="1:24">
      <c r="A2050">
        <f>HYPERLINK("https://www.philgeps.gov.ph/GEPSNONPILOT/Tender/SplashBidNoticeAbstractUI.aspx?menuIndex=3&amp;refID=7066839&amp;Result=3","7066839")</f>
        <v>0</v>
      </c>
      <c r="B2050" t="s">
        <v>848</v>
      </c>
      <c r="C2050" t="s">
        <v>5518</v>
      </c>
      <c r="D2050" t="s">
        <v>18791</v>
      </c>
      <c r="E2050" t="s">
        <v>20781</v>
      </c>
      <c r="F2050" t="s">
        <v>32664</v>
      </c>
      <c r="G2050" t="s">
        <v>32671</v>
      </c>
      <c r="H2050" t="s">
        <v>12635</v>
      </c>
      <c r="I2050" t="s">
        <v>32694</v>
      </c>
      <c r="J2050" t="s">
        <v>34286</v>
      </c>
      <c r="K2050" t="s">
        <v>42284</v>
      </c>
      <c r="M2050" t="s">
        <v>43444</v>
      </c>
      <c r="N2050" t="s">
        <v>46569</v>
      </c>
      <c r="O2050" t="s">
        <v>46570</v>
      </c>
      <c r="P2050">
        <v>0</v>
      </c>
      <c r="Q2050">
        <v>0</v>
      </c>
      <c r="R2050" t="s">
        <v>46571</v>
      </c>
      <c r="S2050" t="s">
        <v>46687</v>
      </c>
      <c r="T2050" t="s">
        <v>48356</v>
      </c>
      <c r="U2050" t="s">
        <v>50421</v>
      </c>
      <c r="W2050" t="s">
        <v>43444</v>
      </c>
      <c r="X2050" t="s">
        <v>46572</v>
      </c>
    </row>
    <row r="2051" spans="1:24">
      <c r="A2051">
        <f>HYPERLINK("https://www.philgeps.gov.ph/GEPSNONPILOT/Tender/SplashBidNoticeAbstractUI.aspx?menuIndex=3&amp;refID=7066860&amp;Result=3","7066860")</f>
        <v>0</v>
      </c>
      <c r="B2051" t="s">
        <v>811</v>
      </c>
      <c r="C2051" t="s">
        <v>5519</v>
      </c>
      <c r="D2051" t="s">
        <v>18802</v>
      </c>
      <c r="E2051" t="s">
        <v>20782</v>
      </c>
      <c r="F2051" t="s">
        <v>32664</v>
      </c>
      <c r="G2051" t="s">
        <v>32672</v>
      </c>
      <c r="H2051" t="s">
        <v>32683</v>
      </c>
      <c r="I2051" t="s">
        <v>10627</v>
      </c>
      <c r="J2051" t="s">
        <v>34287</v>
      </c>
      <c r="K2051" t="s">
        <v>42326</v>
      </c>
      <c r="M2051" t="s">
        <v>43405</v>
      </c>
      <c r="N2051" t="s">
        <v>46569</v>
      </c>
      <c r="O2051" t="s">
        <v>46570</v>
      </c>
      <c r="P2051">
        <v>0</v>
      </c>
      <c r="Q2051">
        <v>0</v>
      </c>
      <c r="R2051" t="s">
        <v>46571</v>
      </c>
      <c r="S2051" t="s">
        <v>46687</v>
      </c>
      <c r="T2051" t="s">
        <v>48216</v>
      </c>
      <c r="U2051" t="s">
        <v>50481</v>
      </c>
      <c r="W2051" t="s">
        <v>43405</v>
      </c>
      <c r="X2051" t="s">
        <v>46572</v>
      </c>
    </row>
    <row r="2052" spans="1:24">
      <c r="A2052">
        <f>HYPERLINK("https://www.philgeps.gov.ph/GEPSNONPILOT/Tender/SplashBidNoticeAbstractUI.aspx?menuIndex=3&amp;refID=7066858&amp;Result=3","7066858")</f>
        <v>0</v>
      </c>
      <c r="B2052" t="s">
        <v>69</v>
      </c>
      <c r="C2052" t="s">
        <v>5520</v>
      </c>
      <c r="D2052" t="s">
        <v>18784</v>
      </c>
      <c r="E2052" t="s">
        <v>20783</v>
      </c>
      <c r="F2052" t="s">
        <v>32664</v>
      </c>
      <c r="G2052" t="s">
        <v>32671</v>
      </c>
      <c r="H2052" t="s">
        <v>12635</v>
      </c>
      <c r="I2052" t="s">
        <v>32694</v>
      </c>
      <c r="J2052" t="s">
        <v>34288</v>
      </c>
      <c r="K2052" t="s">
        <v>42289</v>
      </c>
      <c r="M2052" t="s">
        <v>43455</v>
      </c>
      <c r="N2052" t="s">
        <v>46569</v>
      </c>
      <c r="O2052" t="s">
        <v>46570</v>
      </c>
      <c r="P2052">
        <v>0</v>
      </c>
      <c r="Q2052">
        <v>1</v>
      </c>
      <c r="R2052" t="s">
        <v>46571</v>
      </c>
      <c r="S2052" t="s">
        <v>46687</v>
      </c>
      <c r="T2052" t="s">
        <v>48299</v>
      </c>
      <c r="U2052" t="s">
        <v>50445</v>
      </c>
      <c r="W2052" t="s">
        <v>43455</v>
      </c>
      <c r="X2052" t="s">
        <v>46572</v>
      </c>
    </row>
    <row r="2053" spans="1:24">
      <c r="A2053">
        <f>HYPERLINK("https://www.philgeps.gov.ph/GEPSNONPILOT/Tender/SplashBidNoticeAbstractUI.aspx?menuIndex=3&amp;refID=7066854&amp;Result=3","7066854")</f>
        <v>0</v>
      </c>
      <c r="B2053" t="s">
        <v>871</v>
      </c>
      <c r="C2053" t="s">
        <v>5521</v>
      </c>
      <c r="D2053" t="s">
        <v>18784</v>
      </c>
      <c r="E2053" t="s">
        <v>20784</v>
      </c>
      <c r="F2053" t="s">
        <v>32664</v>
      </c>
      <c r="G2053" t="s">
        <v>32672</v>
      </c>
      <c r="H2053" t="s">
        <v>12635</v>
      </c>
      <c r="I2053" t="s">
        <v>13883</v>
      </c>
      <c r="J2053" t="s">
        <v>34289</v>
      </c>
      <c r="K2053" t="s">
        <v>42298</v>
      </c>
      <c r="M2053" t="s">
        <v>43471</v>
      </c>
      <c r="N2053" t="s">
        <v>46569</v>
      </c>
      <c r="O2053" t="s">
        <v>46570</v>
      </c>
      <c r="P2053">
        <v>0</v>
      </c>
      <c r="Q2053">
        <v>6</v>
      </c>
      <c r="R2053" t="s">
        <v>46571</v>
      </c>
      <c r="S2053" t="s">
        <v>46687</v>
      </c>
      <c r="T2053" t="s">
        <v>48253</v>
      </c>
      <c r="U2053" t="s">
        <v>50482</v>
      </c>
      <c r="V2053" t="s">
        <v>61835</v>
      </c>
      <c r="W2053" t="s">
        <v>43471</v>
      </c>
      <c r="X2053" t="s">
        <v>46572</v>
      </c>
    </row>
    <row r="2054" spans="1:24">
      <c r="A2054">
        <f>HYPERLINK("https://www.philgeps.gov.ph/GEPSNONPILOT/Tender/SplashBidNoticeAbstractUI.aspx?menuIndex=3&amp;refID=7066859&amp;Result=3","7066859")</f>
        <v>0</v>
      </c>
      <c r="B2054" t="s">
        <v>868</v>
      </c>
      <c r="C2054" t="s">
        <v>5522</v>
      </c>
      <c r="D2054" t="s">
        <v>18784</v>
      </c>
      <c r="E2054" t="s">
        <v>20785</v>
      </c>
      <c r="F2054" t="s">
        <v>32664</v>
      </c>
      <c r="G2054" t="s">
        <v>32671</v>
      </c>
      <c r="H2054" t="s">
        <v>12635</v>
      </c>
      <c r="I2054" t="s">
        <v>32705</v>
      </c>
      <c r="J2054" t="s">
        <v>33058</v>
      </c>
      <c r="K2054" t="s">
        <v>42283</v>
      </c>
      <c r="M2054" t="s">
        <v>43468</v>
      </c>
      <c r="N2054" t="s">
        <v>46569</v>
      </c>
      <c r="O2054" t="s">
        <v>46570</v>
      </c>
      <c r="P2054">
        <v>0</v>
      </c>
      <c r="Q2054">
        <v>1</v>
      </c>
      <c r="R2054" t="s">
        <v>46571</v>
      </c>
      <c r="S2054" t="s">
        <v>46687</v>
      </c>
      <c r="T2054" t="s">
        <v>48256</v>
      </c>
      <c r="U2054" t="s">
        <v>50483</v>
      </c>
      <c r="W2054" t="s">
        <v>43468</v>
      </c>
      <c r="X2054" t="s">
        <v>46572</v>
      </c>
    </row>
    <row r="2055" spans="1:24">
      <c r="A2055">
        <f>HYPERLINK("https://www.philgeps.gov.ph/GEPSNONPILOT/Tender/SplashBidNoticeAbstractUI.aspx?menuIndex=3&amp;refID=7066853&amp;Result=3","7066853")</f>
        <v>0</v>
      </c>
      <c r="B2055" t="s">
        <v>806</v>
      </c>
      <c r="C2055" t="s">
        <v>5523</v>
      </c>
      <c r="D2055" t="s">
        <v>18858</v>
      </c>
      <c r="E2055" t="s">
        <v>20786</v>
      </c>
      <c r="F2055" t="s">
        <v>32664</v>
      </c>
      <c r="G2055" t="s">
        <v>32671</v>
      </c>
      <c r="H2055" t="s">
        <v>12635</v>
      </c>
      <c r="I2055" t="s">
        <v>32767</v>
      </c>
      <c r="J2055" t="s">
        <v>34290</v>
      </c>
      <c r="K2055" t="s">
        <v>42295</v>
      </c>
      <c r="M2055" t="s">
        <v>43398</v>
      </c>
      <c r="N2055" t="s">
        <v>46569</v>
      </c>
      <c r="O2055" t="s">
        <v>46570</v>
      </c>
      <c r="P2055">
        <v>0</v>
      </c>
      <c r="Q2055">
        <v>0</v>
      </c>
      <c r="R2055" t="s">
        <v>46571</v>
      </c>
      <c r="S2055" t="s">
        <v>46687</v>
      </c>
      <c r="T2055" t="s">
        <v>48256</v>
      </c>
      <c r="U2055" t="s">
        <v>50323</v>
      </c>
      <c r="W2055" t="s">
        <v>43398</v>
      </c>
      <c r="X2055" t="s">
        <v>46572</v>
      </c>
    </row>
    <row r="2056" spans="1:24">
      <c r="A2056">
        <f>HYPERLINK("https://www.philgeps.gov.ph/GEPSNONPILOT/Tender/SplashBidNoticeAbstractUI.aspx?menuIndex=3&amp;refID=7066861&amp;Result=3","7066861")</f>
        <v>0</v>
      </c>
      <c r="B2056" t="s">
        <v>872</v>
      </c>
      <c r="C2056" t="s">
        <v>5524</v>
      </c>
      <c r="D2056" t="s">
        <v>18848</v>
      </c>
      <c r="E2056" t="s">
        <v>20787</v>
      </c>
      <c r="F2056" t="s">
        <v>32664</v>
      </c>
      <c r="G2056" t="s">
        <v>32672</v>
      </c>
      <c r="H2056" t="s">
        <v>32683</v>
      </c>
      <c r="I2056" t="s">
        <v>10627</v>
      </c>
      <c r="J2056" t="s">
        <v>32929</v>
      </c>
      <c r="K2056" t="s">
        <v>42283</v>
      </c>
      <c r="M2056" t="s">
        <v>43472</v>
      </c>
      <c r="N2056" t="s">
        <v>46569</v>
      </c>
      <c r="O2056" t="s">
        <v>46570</v>
      </c>
      <c r="P2056">
        <v>0</v>
      </c>
      <c r="Q2056">
        <v>0</v>
      </c>
      <c r="R2056" t="s">
        <v>46571</v>
      </c>
      <c r="S2056" t="s">
        <v>46687</v>
      </c>
      <c r="T2056" t="s">
        <v>48308</v>
      </c>
      <c r="U2056" t="s">
        <v>50484</v>
      </c>
      <c r="W2056" t="s">
        <v>43472</v>
      </c>
      <c r="X2056" t="s">
        <v>46572</v>
      </c>
    </row>
    <row r="2057" spans="1:24">
      <c r="A2057">
        <f>HYPERLINK("https://www.philgeps.gov.ph/GEPSNONPILOT/Tender/SplashBidNoticeAbstractUI.aspx?menuIndex=3&amp;refID=7066851&amp;Result=3","7066851")</f>
        <v>0</v>
      </c>
      <c r="B2057" t="s">
        <v>100</v>
      </c>
      <c r="C2057" t="s">
        <v>5525</v>
      </c>
      <c r="E2057" t="s">
        <v>20788</v>
      </c>
      <c r="F2057" t="s">
        <v>32664</v>
      </c>
      <c r="G2057" t="s">
        <v>32671</v>
      </c>
      <c r="H2057" t="s">
        <v>12635</v>
      </c>
      <c r="I2057" t="s">
        <v>6223</v>
      </c>
      <c r="J2057" t="s">
        <v>33917</v>
      </c>
      <c r="K2057" t="s">
        <v>42305</v>
      </c>
      <c r="M2057" t="s">
        <v>43463</v>
      </c>
      <c r="N2057" t="s">
        <v>46569</v>
      </c>
      <c r="O2057" t="s">
        <v>46570</v>
      </c>
      <c r="P2057">
        <v>0</v>
      </c>
      <c r="Q2057">
        <v>2</v>
      </c>
      <c r="R2057" t="s">
        <v>46571</v>
      </c>
      <c r="S2057" t="s">
        <v>46687</v>
      </c>
      <c r="T2057" t="s">
        <v>48428</v>
      </c>
      <c r="U2057" t="s">
        <v>50485</v>
      </c>
      <c r="W2057" t="s">
        <v>43463</v>
      </c>
      <c r="X2057" t="s">
        <v>46572</v>
      </c>
    </row>
    <row r="2058" spans="1:24">
      <c r="A2058">
        <f>HYPERLINK("https://www.philgeps.gov.ph/GEPSNONPILOT/Tender/SplashBidNoticeAbstractUI.aspx?menuIndex=3&amp;refID=7066805&amp;Result=3","7066805")</f>
        <v>0</v>
      </c>
      <c r="B2058" t="s">
        <v>842</v>
      </c>
      <c r="C2058" t="s">
        <v>5526</v>
      </c>
      <c r="D2058" t="s">
        <v>18830</v>
      </c>
      <c r="E2058" t="s">
        <v>20789</v>
      </c>
      <c r="F2058" t="s">
        <v>32664</v>
      </c>
      <c r="G2058" t="s">
        <v>32671</v>
      </c>
      <c r="H2058" t="s">
        <v>12635</v>
      </c>
      <c r="I2058" t="s">
        <v>6118</v>
      </c>
      <c r="J2058" t="s">
        <v>34291</v>
      </c>
      <c r="K2058" t="s">
        <v>42297</v>
      </c>
      <c r="M2058" t="s">
        <v>43437</v>
      </c>
      <c r="N2058" t="s">
        <v>46569</v>
      </c>
      <c r="O2058" t="s">
        <v>46570</v>
      </c>
      <c r="P2058">
        <v>0</v>
      </c>
      <c r="Q2058">
        <v>0</v>
      </c>
      <c r="R2058" t="s">
        <v>46571</v>
      </c>
      <c r="S2058" t="s">
        <v>46687</v>
      </c>
      <c r="T2058" t="s">
        <v>48221</v>
      </c>
      <c r="U2058" t="s">
        <v>49634</v>
      </c>
      <c r="W2058" t="s">
        <v>43437</v>
      </c>
      <c r="X2058" t="s">
        <v>46572</v>
      </c>
    </row>
    <row r="2059" spans="1:24">
      <c r="A2059">
        <f>HYPERLINK("https://www.philgeps.gov.ph/GEPSNONPILOT/Tender/SplashBidNoticeAbstractUI.aspx?menuIndex=3&amp;refID=7066848&amp;Result=3","7066848")</f>
        <v>0</v>
      </c>
      <c r="B2059" t="s">
        <v>873</v>
      </c>
      <c r="C2059" t="s">
        <v>5527</v>
      </c>
      <c r="D2059" t="s">
        <v>18798</v>
      </c>
      <c r="E2059" t="s">
        <v>20790</v>
      </c>
      <c r="F2059" t="s">
        <v>32664</v>
      </c>
      <c r="G2059" t="s">
        <v>32674</v>
      </c>
      <c r="H2059" t="s">
        <v>12635</v>
      </c>
      <c r="I2059" t="s">
        <v>4439</v>
      </c>
      <c r="J2059" t="s">
        <v>34292</v>
      </c>
      <c r="K2059" t="s">
        <v>42284</v>
      </c>
      <c r="M2059" t="s">
        <v>43473</v>
      </c>
      <c r="N2059" t="s">
        <v>46569</v>
      </c>
      <c r="O2059" t="s">
        <v>46570</v>
      </c>
      <c r="P2059">
        <v>0</v>
      </c>
      <c r="Q2059">
        <v>0</v>
      </c>
      <c r="R2059" t="s">
        <v>46571</v>
      </c>
      <c r="S2059" t="s">
        <v>46687</v>
      </c>
      <c r="T2059" t="s">
        <v>48280</v>
      </c>
      <c r="U2059" t="s">
        <v>50486</v>
      </c>
      <c r="W2059" t="s">
        <v>43473</v>
      </c>
      <c r="X2059" t="s">
        <v>46572</v>
      </c>
    </row>
    <row r="2060" spans="1:24">
      <c r="A2060">
        <f>HYPERLINK("https://www.philgeps.gov.ph/GEPSNONPILOT/Tender/SplashBidNoticeAbstractUI.aspx?menuIndex=3&amp;refID=7066852&amp;Result=3","7066852")</f>
        <v>0</v>
      </c>
      <c r="B2060" t="s">
        <v>874</v>
      </c>
      <c r="C2060" t="s">
        <v>5528</v>
      </c>
      <c r="D2060" t="s">
        <v>18821</v>
      </c>
      <c r="E2060" t="s">
        <v>20791</v>
      </c>
      <c r="F2060" t="s">
        <v>32664</v>
      </c>
      <c r="G2060" t="s">
        <v>32672</v>
      </c>
      <c r="H2060" t="s">
        <v>32683</v>
      </c>
      <c r="I2060" t="s">
        <v>10627</v>
      </c>
      <c r="J2060" t="s">
        <v>34293</v>
      </c>
      <c r="K2060" t="s">
        <v>42283</v>
      </c>
      <c r="M2060" t="s">
        <v>43474</v>
      </c>
      <c r="N2060" t="s">
        <v>46569</v>
      </c>
      <c r="O2060" t="s">
        <v>46570</v>
      </c>
      <c r="P2060">
        <v>0</v>
      </c>
      <c r="Q2060">
        <v>0</v>
      </c>
      <c r="R2060" t="s">
        <v>46571</v>
      </c>
      <c r="S2060" t="s">
        <v>46687</v>
      </c>
      <c r="T2060" t="s">
        <v>48429</v>
      </c>
      <c r="U2060" t="s">
        <v>50487</v>
      </c>
      <c r="W2060" t="s">
        <v>43474</v>
      </c>
      <c r="X2060" t="s">
        <v>46572</v>
      </c>
    </row>
    <row r="2061" spans="1:24">
      <c r="A2061">
        <f>HYPERLINK("https://www.philgeps.gov.ph/GEPSNONPILOT/Tender/SplashBidNoticeAbstractUI.aspx?menuIndex=3&amp;refID=7066847&amp;Result=3","7066847")</f>
        <v>0</v>
      </c>
      <c r="B2061" t="s">
        <v>875</v>
      </c>
      <c r="C2061" t="s">
        <v>5529</v>
      </c>
      <c r="D2061" t="s">
        <v>18784</v>
      </c>
      <c r="E2061" t="s">
        <v>19380</v>
      </c>
      <c r="F2061" t="s">
        <v>32664</v>
      </c>
      <c r="G2061" t="s">
        <v>32674</v>
      </c>
      <c r="H2061" t="s">
        <v>12635</v>
      </c>
      <c r="I2061" t="s">
        <v>5501</v>
      </c>
      <c r="J2061" t="s">
        <v>32959</v>
      </c>
      <c r="K2061" t="s">
        <v>42309</v>
      </c>
      <c r="M2061" t="s">
        <v>43475</v>
      </c>
      <c r="N2061" t="s">
        <v>46569</v>
      </c>
      <c r="O2061" t="s">
        <v>46570</v>
      </c>
      <c r="P2061">
        <v>0</v>
      </c>
      <c r="Q2061">
        <v>3</v>
      </c>
      <c r="R2061" t="s">
        <v>46571</v>
      </c>
      <c r="S2061" t="s">
        <v>46687</v>
      </c>
      <c r="T2061" t="s">
        <v>48246</v>
      </c>
      <c r="U2061" t="s">
        <v>50488</v>
      </c>
      <c r="W2061" t="s">
        <v>43475</v>
      </c>
      <c r="X2061" t="s">
        <v>46572</v>
      </c>
    </row>
    <row r="2062" spans="1:24">
      <c r="A2062">
        <f>HYPERLINK("https://www.philgeps.gov.ph/GEPSNONPILOT/Tender/SplashBidNoticeAbstractUI.aspx?menuIndex=3&amp;refID=7066850&amp;Result=3","7066850")</f>
        <v>0</v>
      </c>
      <c r="B2062" t="s">
        <v>843</v>
      </c>
      <c r="C2062" t="s">
        <v>5530</v>
      </c>
      <c r="D2062" t="s">
        <v>18789</v>
      </c>
      <c r="E2062" t="s">
        <v>20792</v>
      </c>
      <c r="F2062" t="s">
        <v>32664</v>
      </c>
      <c r="G2062" t="s">
        <v>32672</v>
      </c>
      <c r="H2062" t="s">
        <v>32683</v>
      </c>
      <c r="I2062" t="s">
        <v>10627</v>
      </c>
      <c r="J2062" t="s">
        <v>34294</v>
      </c>
      <c r="K2062" t="s">
        <v>42290</v>
      </c>
      <c r="M2062" t="s">
        <v>43438</v>
      </c>
      <c r="N2062" t="s">
        <v>46569</v>
      </c>
      <c r="O2062" t="s">
        <v>46570</v>
      </c>
      <c r="P2062">
        <v>0</v>
      </c>
      <c r="Q2062">
        <v>0</v>
      </c>
      <c r="R2062" t="s">
        <v>46571</v>
      </c>
      <c r="S2062" t="s">
        <v>46687</v>
      </c>
      <c r="T2062" t="s">
        <v>48240</v>
      </c>
      <c r="U2062" t="s">
        <v>50489</v>
      </c>
      <c r="W2062" t="s">
        <v>43438</v>
      </c>
      <c r="X2062" t="s">
        <v>46572</v>
      </c>
    </row>
    <row r="2063" spans="1:24">
      <c r="A2063">
        <f>HYPERLINK("https://www.philgeps.gov.ph/GEPSNONPILOT/Tender/SplashBidNoticeAbstractUI.aspx?menuIndex=3&amp;refID=7066862&amp;Result=3","7066862")</f>
        <v>0</v>
      </c>
      <c r="B2063" t="s">
        <v>876</v>
      </c>
      <c r="C2063" t="s">
        <v>5531</v>
      </c>
      <c r="D2063" t="s">
        <v>18798</v>
      </c>
      <c r="E2063" t="s">
        <v>20150</v>
      </c>
      <c r="F2063" t="s">
        <v>32664</v>
      </c>
      <c r="G2063" t="s">
        <v>32671</v>
      </c>
      <c r="H2063" t="s">
        <v>12635</v>
      </c>
      <c r="I2063" t="s">
        <v>10590</v>
      </c>
      <c r="J2063" t="s">
        <v>33215</v>
      </c>
      <c r="K2063" t="s">
        <v>42295</v>
      </c>
      <c r="M2063" t="s">
        <v>43476</v>
      </c>
      <c r="N2063" t="s">
        <v>46569</v>
      </c>
      <c r="O2063" t="s">
        <v>46570</v>
      </c>
      <c r="P2063">
        <v>0</v>
      </c>
      <c r="Q2063">
        <v>0</v>
      </c>
      <c r="R2063" t="s">
        <v>46571</v>
      </c>
      <c r="S2063" t="s">
        <v>46687</v>
      </c>
      <c r="T2063" t="s">
        <v>48410</v>
      </c>
      <c r="U2063" t="s">
        <v>50490</v>
      </c>
      <c r="W2063" t="s">
        <v>43476</v>
      </c>
      <c r="X2063" t="s">
        <v>46572</v>
      </c>
    </row>
    <row r="2064" spans="1:24">
      <c r="A2064">
        <f>HYPERLINK("https://www.philgeps.gov.ph/GEPSNONPILOT/Tender/SplashBidNoticeAbstractUI.aspx?menuIndex=3&amp;refID=7066827&amp;Result=3","7066827")</f>
        <v>0</v>
      </c>
      <c r="B2064" t="s">
        <v>839</v>
      </c>
      <c r="C2064" t="s">
        <v>5532</v>
      </c>
      <c r="D2064" t="s">
        <v>18792</v>
      </c>
      <c r="E2064" t="s">
        <v>20793</v>
      </c>
      <c r="F2064" t="s">
        <v>32664</v>
      </c>
      <c r="G2064" t="s">
        <v>32671</v>
      </c>
      <c r="H2064" t="s">
        <v>12635</v>
      </c>
      <c r="I2064" t="s">
        <v>32736</v>
      </c>
      <c r="J2064" t="s">
        <v>33970</v>
      </c>
      <c r="K2064" t="s">
        <v>42281</v>
      </c>
      <c r="M2064" t="s">
        <v>43434</v>
      </c>
      <c r="N2064" t="s">
        <v>46569</v>
      </c>
      <c r="O2064" t="s">
        <v>46570</v>
      </c>
      <c r="P2064">
        <v>0</v>
      </c>
      <c r="Q2064">
        <v>0</v>
      </c>
      <c r="R2064" t="s">
        <v>46571</v>
      </c>
      <c r="S2064" t="s">
        <v>46687</v>
      </c>
      <c r="T2064" t="s">
        <v>48297</v>
      </c>
      <c r="U2064" t="s">
        <v>50491</v>
      </c>
      <c r="W2064" t="s">
        <v>43434</v>
      </c>
      <c r="X2064" t="s">
        <v>46572</v>
      </c>
    </row>
    <row r="2065" spans="1:24">
      <c r="A2065">
        <f>HYPERLINK("https://www.philgeps.gov.ph/GEPSNONPILOT/Tender/SplashBidNoticeAbstractUI.aspx?menuIndex=3&amp;refID=7066855&amp;Result=3","7066855")</f>
        <v>0</v>
      </c>
      <c r="B2065" t="s">
        <v>877</v>
      </c>
      <c r="C2065" t="s">
        <v>5533</v>
      </c>
      <c r="D2065" t="s">
        <v>18805</v>
      </c>
      <c r="E2065" t="s">
        <v>20794</v>
      </c>
      <c r="F2065" t="s">
        <v>32664</v>
      </c>
      <c r="G2065" t="s">
        <v>32671</v>
      </c>
      <c r="H2065" t="s">
        <v>12635</v>
      </c>
      <c r="I2065" t="s">
        <v>32692</v>
      </c>
      <c r="J2065" t="s">
        <v>34295</v>
      </c>
      <c r="K2065" t="s">
        <v>42309</v>
      </c>
      <c r="M2065" t="s">
        <v>43477</v>
      </c>
      <c r="N2065" t="s">
        <v>46569</v>
      </c>
      <c r="O2065" t="s">
        <v>46570</v>
      </c>
      <c r="P2065">
        <v>0</v>
      </c>
      <c r="Q2065">
        <v>0</v>
      </c>
      <c r="R2065" t="s">
        <v>46571</v>
      </c>
      <c r="S2065" t="s">
        <v>46687</v>
      </c>
      <c r="T2065" t="s">
        <v>48246</v>
      </c>
      <c r="U2065" t="s">
        <v>50492</v>
      </c>
      <c r="W2065" t="s">
        <v>43477</v>
      </c>
      <c r="X2065" t="s">
        <v>46572</v>
      </c>
    </row>
    <row r="2066" spans="1:24">
      <c r="A2066">
        <f>HYPERLINK("https://www.philgeps.gov.ph/GEPSNONPILOT/Tender/SplashBidNoticeAbstractUI.aspx?menuIndex=3&amp;refID=7066884&amp;Result=3","7066884")</f>
        <v>0</v>
      </c>
      <c r="B2066" t="s">
        <v>136</v>
      </c>
      <c r="C2066" t="s">
        <v>5534</v>
      </c>
      <c r="D2066" t="s">
        <v>18833</v>
      </c>
      <c r="E2066" t="s">
        <v>20795</v>
      </c>
      <c r="F2066" t="s">
        <v>32664</v>
      </c>
      <c r="G2066" t="s">
        <v>32672</v>
      </c>
      <c r="H2066" t="s">
        <v>12635</v>
      </c>
      <c r="I2066" t="s">
        <v>8797</v>
      </c>
      <c r="J2066" t="s">
        <v>33078</v>
      </c>
      <c r="K2066" t="s">
        <v>42289</v>
      </c>
      <c r="M2066" t="s">
        <v>42700</v>
      </c>
      <c r="N2066" t="s">
        <v>46569</v>
      </c>
      <c r="O2066" t="s">
        <v>46570</v>
      </c>
      <c r="P2066">
        <v>0</v>
      </c>
      <c r="Q2066">
        <v>1</v>
      </c>
      <c r="R2066" t="s">
        <v>46571</v>
      </c>
      <c r="S2066" t="s">
        <v>46687</v>
      </c>
      <c r="T2066" t="s">
        <v>48226</v>
      </c>
      <c r="U2066" t="s">
        <v>50493</v>
      </c>
      <c r="W2066" t="s">
        <v>42700</v>
      </c>
      <c r="X2066" t="s">
        <v>46572</v>
      </c>
    </row>
    <row r="2067" spans="1:24">
      <c r="A2067">
        <f>HYPERLINK("https://www.philgeps.gov.ph/GEPSNONPILOT/Tender/SplashBidNoticeAbstractUI.aspx?menuIndex=3&amp;refID=7066882&amp;Result=3","7066882")</f>
        <v>0</v>
      </c>
      <c r="B2067" t="s">
        <v>863</v>
      </c>
      <c r="C2067" t="s">
        <v>5535</v>
      </c>
      <c r="D2067" t="s">
        <v>18821</v>
      </c>
      <c r="E2067" t="s">
        <v>20796</v>
      </c>
      <c r="F2067" t="s">
        <v>32664</v>
      </c>
      <c r="G2067" t="s">
        <v>32671</v>
      </c>
      <c r="H2067" t="s">
        <v>12635</v>
      </c>
      <c r="I2067" t="s">
        <v>6223</v>
      </c>
      <c r="J2067" t="s">
        <v>34296</v>
      </c>
      <c r="K2067" t="s">
        <v>42281</v>
      </c>
      <c r="M2067" t="s">
        <v>43462</v>
      </c>
      <c r="N2067" t="s">
        <v>46569</v>
      </c>
      <c r="O2067" t="s">
        <v>46570</v>
      </c>
      <c r="P2067">
        <v>0</v>
      </c>
      <c r="Q2067">
        <v>2</v>
      </c>
      <c r="R2067" t="s">
        <v>46571</v>
      </c>
      <c r="S2067" t="s">
        <v>46687</v>
      </c>
      <c r="T2067" t="s">
        <v>48246</v>
      </c>
      <c r="U2067" t="s">
        <v>50494</v>
      </c>
      <c r="W2067" t="s">
        <v>43462</v>
      </c>
      <c r="X2067" t="s">
        <v>46572</v>
      </c>
    </row>
    <row r="2068" spans="1:24">
      <c r="A2068">
        <f>HYPERLINK("https://www.philgeps.gov.ph/GEPSNONPILOT/Tender/SplashBidNoticeAbstractUI.aspx?menuIndex=3&amp;refID=7066832&amp;Result=3","7066832")</f>
        <v>0</v>
      </c>
      <c r="B2068" t="s">
        <v>843</v>
      </c>
      <c r="C2068" t="s">
        <v>5536</v>
      </c>
      <c r="D2068" t="s">
        <v>18789</v>
      </c>
      <c r="E2068" t="s">
        <v>20797</v>
      </c>
      <c r="F2068" t="s">
        <v>32664</v>
      </c>
      <c r="G2068" t="s">
        <v>32672</v>
      </c>
      <c r="H2068" t="s">
        <v>32683</v>
      </c>
      <c r="I2068" t="s">
        <v>10627</v>
      </c>
      <c r="J2068" t="s">
        <v>34297</v>
      </c>
      <c r="K2068" t="s">
        <v>42290</v>
      </c>
      <c r="M2068" t="s">
        <v>43438</v>
      </c>
      <c r="N2068" t="s">
        <v>46569</v>
      </c>
      <c r="O2068" t="s">
        <v>46570</v>
      </c>
      <c r="P2068">
        <v>0</v>
      </c>
      <c r="Q2068">
        <v>0</v>
      </c>
      <c r="R2068" t="s">
        <v>46571</v>
      </c>
      <c r="S2068" t="s">
        <v>46687</v>
      </c>
      <c r="T2068" t="s">
        <v>48240</v>
      </c>
      <c r="U2068" t="s">
        <v>50495</v>
      </c>
      <c r="W2068" t="s">
        <v>43438</v>
      </c>
      <c r="X2068" t="s">
        <v>46572</v>
      </c>
    </row>
    <row r="2069" spans="1:24">
      <c r="A2069">
        <f>HYPERLINK("https://www.philgeps.gov.ph/GEPSNONPILOT/Tender/SplashBidNoticeAbstractUI.aspx?menuIndex=3&amp;refID=7066886&amp;Result=3","7066886")</f>
        <v>0</v>
      </c>
      <c r="B2069" t="s">
        <v>851</v>
      </c>
      <c r="C2069" t="s">
        <v>5537</v>
      </c>
      <c r="D2069" t="s">
        <v>18829</v>
      </c>
      <c r="E2069" t="s">
        <v>20798</v>
      </c>
      <c r="F2069" t="s">
        <v>32664</v>
      </c>
      <c r="G2069" t="s">
        <v>32672</v>
      </c>
      <c r="H2069" t="s">
        <v>12635</v>
      </c>
      <c r="I2069" t="s">
        <v>32706</v>
      </c>
      <c r="J2069" t="s">
        <v>34298</v>
      </c>
      <c r="K2069" t="s">
        <v>42281</v>
      </c>
      <c r="M2069" t="s">
        <v>43447</v>
      </c>
      <c r="N2069" t="s">
        <v>46569</v>
      </c>
      <c r="O2069" t="s">
        <v>46570</v>
      </c>
      <c r="P2069">
        <v>0</v>
      </c>
      <c r="Q2069">
        <v>0</v>
      </c>
      <c r="R2069" t="s">
        <v>46571</v>
      </c>
      <c r="S2069" t="s">
        <v>46687</v>
      </c>
      <c r="T2069" t="s">
        <v>48366</v>
      </c>
      <c r="U2069" t="s">
        <v>50429</v>
      </c>
      <c r="W2069" t="s">
        <v>43447</v>
      </c>
      <c r="X2069" t="s">
        <v>46572</v>
      </c>
    </row>
    <row r="2070" spans="1:24">
      <c r="A2070">
        <f>HYPERLINK("https://www.philgeps.gov.ph/GEPSNONPILOT/Tender/SplashBidNoticeAbstractUI.aspx?menuIndex=3&amp;refID=7066879&amp;Result=3","7066879")</f>
        <v>0</v>
      </c>
      <c r="B2070" t="s">
        <v>878</v>
      </c>
      <c r="C2070" t="s">
        <v>5538</v>
      </c>
      <c r="E2070" t="s">
        <v>20799</v>
      </c>
      <c r="F2070" t="s">
        <v>32664</v>
      </c>
      <c r="G2070" t="s">
        <v>32671</v>
      </c>
      <c r="H2070" t="s">
        <v>12635</v>
      </c>
      <c r="I2070" t="s">
        <v>5589</v>
      </c>
      <c r="J2070" t="s">
        <v>34268</v>
      </c>
      <c r="K2070" t="s">
        <v>42283</v>
      </c>
      <c r="M2070" t="s">
        <v>43478</v>
      </c>
      <c r="N2070" t="s">
        <v>46569</v>
      </c>
      <c r="O2070" t="s">
        <v>46570</v>
      </c>
      <c r="P2070">
        <v>0</v>
      </c>
      <c r="Q2070">
        <v>0</v>
      </c>
      <c r="R2070" t="s">
        <v>46571</v>
      </c>
      <c r="S2070" t="s">
        <v>46687</v>
      </c>
      <c r="T2070" t="s">
        <v>48271</v>
      </c>
      <c r="U2070" t="s">
        <v>50496</v>
      </c>
      <c r="W2070" t="s">
        <v>63492</v>
      </c>
      <c r="X2070" t="s">
        <v>46572</v>
      </c>
    </row>
    <row r="2071" spans="1:24">
      <c r="A2071">
        <f>HYPERLINK("https://www.philgeps.gov.ph/GEPSNONPILOT/Tender/SplashBidNoticeAbstractUI.aspx?menuIndex=3&amp;refID=7066883&amp;Result=3","7066883")</f>
        <v>0</v>
      </c>
      <c r="B2071" t="s">
        <v>69</v>
      </c>
      <c r="C2071" t="s">
        <v>5539</v>
      </c>
      <c r="D2071" t="s">
        <v>18784</v>
      </c>
      <c r="E2071" t="s">
        <v>20800</v>
      </c>
      <c r="F2071" t="s">
        <v>32664</v>
      </c>
      <c r="G2071" t="s">
        <v>32671</v>
      </c>
      <c r="H2071" t="s">
        <v>12635</v>
      </c>
      <c r="I2071" t="s">
        <v>32685</v>
      </c>
      <c r="J2071" t="s">
        <v>34299</v>
      </c>
      <c r="K2071" t="s">
        <v>42281</v>
      </c>
      <c r="M2071" t="s">
        <v>43455</v>
      </c>
      <c r="N2071" t="s">
        <v>46569</v>
      </c>
      <c r="O2071" t="s">
        <v>46570</v>
      </c>
      <c r="P2071">
        <v>0</v>
      </c>
      <c r="Q2071">
        <v>0</v>
      </c>
      <c r="R2071" t="s">
        <v>46571</v>
      </c>
      <c r="S2071" t="s">
        <v>46687</v>
      </c>
      <c r="T2071" t="s">
        <v>48299</v>
      </c>
      <c r="U2071" t="s">
        <v>50445</v>
      </c>
      <c r="W2071" t="s">
        <v>43455</v>
      </c>
      <c r="X2071" t="s">
        <v>46572</v>
      </c>
    </row>
    <row r="2072" spans="1:24">
      <c r="A2072">
        <f>HYPERLINK("https://www.philgeps.gov.ph/GEPSNONPILOT/Tender/SplashBidNoticeAbstractUI.aspx?menuIndex=3&amp;refID=7066875&amp;Result=3","7066875")</f>
        <v>0</v>
      </c>
      <c r="B2072" t="s">
        <v>253</v>
      </c>
      <c r="C2072" t="s">
        <v>5540</v>
      </c>
      <c r="D2072" t="s">
        <v>18790</v>
      </c>
      <c r="E2072" t="s">
        <v>20801</v>
      </c>
      <c r="F2072" t="s">
        <v>32664</v>
      </c>
      <c r="G2072" t="s">
        <v>32671</v>
      </c>
      <c r="H2072" t="s">
        <v>12635</v>
      </c>
      <c r="I2072" t="s">
        <v>4439</v>
      </c>
      <c r="J2072" t="s">
        <v>34300</v>
      </c>
      <c r="K2072" t="s">
        <v>42283</v>
      </c>
      <c r="M2072" t="s">
        <v>42818</v>
      </c>
      <c r="N2072" t="s">
        <v>46569</v>
      </c>
      <c r="O2072" t="s">
        <v>46570</v>
      </c>
      <c r="P2072">
        <v>0</v>
      </c>
      <c r="Q2072">
        <v>0</v>
      </c>
      <c r="R2072" t="s">
        <v>46571</v>
      </c>
      <c r="S2072" t="s">
        <v>46687</v>
      </c>
      <c r="T2072" t="s">
        <v>48283</v>
      </c>
      <c r="U2072" t="s">
        <v>50497</v>
      </c>
      <c r="W2072" t="s">
        <v>42818</v>
      </c>
      <c r="X2072" t="s">
        <v>46572</v>
      </c>
    </row>
    <row r="2073" spans="1:24">
      <c r="A2073">
        <f>HYPERLINK("https://www.philgeps.gov.ph/GEPSNONPILOT/Tender/SplashBidNoticeAbstractUI.aspx?menuIndex=3&amp;refID=7066878&amp;Result=3","7066878")</f>
        <v>0</v>
      </c>
      <c r="B2073" t="s">
        <v>877</v>
      </c>
      <c r="C2073" t="s">
        <v>5541</v>
      </c>
      <c r="D2073" t="s">
        <v>18805</v>
      </c>
      <c r="E2073" t="s">
        <v>20802</v>
      </c>
      <c r="F2073" t="s">
        <v>32664</v>
      </c>
      <c r="G2073" t="s">
        <v>32671</v>
      </c>
      <c r="H2073" t="s">
        <v>12635</v>
      </c>
      <c r="I2073" t="s">
        <v>32692</v>
      </c>
      <c r="J2073" t="s">
        <v>33085</v>
      </c>
      <c r="K2073" t="s">
        <v>42309</v>
      </c>
      <c r="M2073" t="s">
        <v>43477</v>
      </c>
      <c r="N2073" t="s">
        <v>46569</v>
      </c>
      <c r="O2073" t="s">
        <v>46570</v>
      </c>
      <c r="P2073">
        <v>0</v>
      </c>
      <c r="Q2073">
        <v>0</v>
      </c>
      <c r="R2073" t="s">
        <v>46571</v>
      </c>
      <c r="S2073" t="s">
        <v>46687</v>
      </c>
      <c r="T2073" t="s">
        <v>48246</v>
      </c>
      <c r="U2073" t="s">
        <v>50498</v>
      </c>
      <c r="W2073" t="s">
        <v>43477</v>
      </c>
      <c r="X2073" t="s">
        <v>46572</v>
      </c>
    </row>
    <row r="2074" spans="1:24">
      <c r="A2074">
        <f>HYPERLINK("https://www.philgeps.gov.ph/GEPSNONPILOT/Tender/SplashBidNoticeAbstractUI.aspx?menuIndex=3&amp;refID=7066910&amp;Result=3","7066910")</f>
        <v>0</v>
      </c>
      <c r="B2074" t="s">
        <v>863</v>
      </c>
      <c r="C2074" t="s">
        <v>5542</v>
      </c>
      <c r="D2074" t="s">
        <v>18782</v>
      </c>
      <c r="E2074" t="s">
        <v>20803</v>
      </c>
      <c r="F2074" t="s">
        <v>32664</v>
      </c>
      <c r="G2074" t="s">
        <v>32671</v>
      </c>
      <c r="H2074" t="s">
        <v>12635</v>
      </c>
      <c r="I2074" t="s">
        <v>32740</v>
      </c>
      <c r="J2074" t="s">
        <v>34301</v>
      </c>
      <c r="K2074" t="s">
        <v>42334</v>
      </c>
      <c r="M2074" t="s">
        <v>43462</v>
      </c>
      <c r="N2074" t="s">
        <v>46569</v>
      </c>
      <c r="O2074" t="s">
        <v>46570</v>
      </c>
      <c r="P2074">
        <v>0</v>
      </c>
      <c r="Q2074">
        <v>1</v>
      </c>
      <c r="R2074" t="s">
        <v>46571</v>
      </c>
      <c r="S2074" t="s">
        <v>46687</v>
      </c>
      <c r="T2074" t="s">
        <v>48246</v>
      </c>
      <c r="U2074" t="s">
        <v>50499</v>
      </c>
      <c r="W2074" t="s">
        <v>43462</v>
      </c>
      <c r="X2074" t="s">
        <v>46572</v>
      </c>
    </row>
    <row r="2075" spans="1:24">
      <c r="A2075">
        <f>HYPERLINK("https://www.philgeps.gov.ph/GEPSNONPILOT/Tender/SplashBidNoticeAbstractUI.aspx?menuIndex=3&amp;refID=7066876&amp;Result=3","7066876")</f>
        <v>0</v>
      </c>
      <c r="B2075" t="s">
        <v>879</v>
      </c>
      <c r="C2075" t="s">
        <v>5543</v>
      </c>
      <c r="D2075" t="s">
        <v>18821</v>
      </c>
      <c r="E2075" t="s">
        <v>20804</v>
      </c>
      <c r="F2075" t="s">
        <v>32664</v>
      </c>
      <c r="G2075" t="s">
        <v>32671</v>
      </c>
      <c r="H2075" t="s">
        <v>12635</v>
      </c>
      <c r="I2075" t="s">
        <v>10627</v>
      </c>
      <c r="J2075" t="s">
        <v>34302</v>
      </c>
      <c r="K2075" t="s">
        <v>42283</v>
      </c>
      <c r="M2075" t="s">
        <v>43479</v>
      </c>
      <c r="N2075" t="s">
        <v>46569</v>
      </c>
      <c r="O2075" t="s">
        <v>46570</v>
      </c>
      <c r="P2075">
        <v>0</v>
      </c>
      <c r="Q2075">
        <v>0</v>
      </c>
      <c r="R2075" t="s">
        <v>46571</v>
      </c>
      <c r="S2075" t="s">
        <v>46687</v>
      </c>
      <c r="T2075" t="s">
        <v>48244</v>
      </c>
      <c r="U2075" t="s">
        <v>50500</v>
      </c>
      <c r="W2075" t="s">
        <v>43479</v>
      </c>
      <c r="X2075" t="s">
        <v>46572</v>
      </c>
    </row>
    <row r="2076" spans="1:24">
      <c r="A2076">
        <f>HYPERLINK("https://www.philgeps.gov.ph/GEPSNONPILOT/Tender/SplashBidNoticeAbstractUI.aspx?menuIndex=3&amp;refID=7066887&amp;Result=3","7066887")</f>
        <v>0</v>
      </c>
      <c r="B2076" t="s">
        <v>680</v>
      </c>
      <c r="C2076" t="s">
        <v>5544</v>
      </c>
      <c r="D2076" t="s">
        <v>18792</v>
      </c>
      <c r="E2076" t="s">
        <v>20805</v>
      </c>
      <c r="F2076" t="s">
        <v>32664</v>
      </c>
      <c r="G2076" t="s">
        <v>32672</v>
      </c>
      <c r="H2076" t="s">
        <v>32683</v>
      </c>
      <c r="I2076" t="s">
        <v>10627</v>
      </c>
      <c r="J2076" t="s">
        <v>34303</v>
      </c>
      <c r="K2076" t="s">
        <v>42369</v>
      </c>
      <c r="M2076" t="s">
        <v>43267</v>
      </c>
      <c r="N2076" t="s">
        <v>46569</v>
      </c>
      <c r="O2076" t="s">
        <v>46570</v>
      </c>
      <c r="P2076">
        <v>0</v>
      </c>
      <c r="Q2076">
        <v>0</v>
      </c>
      <c r="R2076" t="s">
        <v>46571</v>
      </c>
      <c r="S2076" t="s">
        <v>46687</v>
      </c>
      <c r="T2076" t="s">
        <v>48220</v>
      </c>
      <c r="U2076" t="s">
        <v>50501</v>
      </c>
      <c r="W2076" t="s">
        <v>43267</v>
      </c>
      <c r="X2076" t="s">
        <v>46572</v>
      </c>
    </row>
    <row r="2077" spans="1:24">
      <c r="A2077">
        <f>HYPERLINK("https://www.philgeps.gov.ph/GEPSNONPILOT/Tender/SplashBidNoticeAbstractUI.aspx?menuIndex=3&amp;refID=7066874&amp;Result=3","7066874")</f>
        <v>0</v>
      </c>
      <c r="B2077" t="s">
        <v>880</v>
      </c>
      <c r="C2077" t="s">
        <v>5458</v>
      </c>
      <c r="D2077" t="s">
        <v>18851</v>
      </c>
      <c r="E2077" t="s">
        <v>20724</v>
      </c>
      <c r="F2077" t="s">
        <v>32664</v>
      </c>
      <c r="G2077" t="s">
        <v>32671</v>
      </c>
      <c r="H2077" t="s">
        <v>12635</v>
      </c>
      <c r="I2077" t="s">
        <v>7429</v>
      </c>
      <c r="J2077" t="s">
        <v>34207</v>
      </c>
      <c r="K2077" t="s">
        <v>42283</v>
      </c>
      <c r="M2077" t="s">
        <v>43480</v>
      </c>
      <c r="N2077" t="s">
        <v>46569</v>
      </c>
      <c r="O2077" t="s">
        <v>46570</v>
      </c>
      <c r="P2077">
        <v>0</v>
      </c>
      <c r="Q2077">
        <v>0</v>
      </c>
      <c r="R2077" t="s">
        <v>46571</v>
      </c>
      <c r="S2077" t="s">
        <v>46687</v>
      </c>
      <c r="T2077" t="s">
        <v>48256</v>
      </c>
      <c r="U2077" t="s">
        <v>49970</v>
      </c>
      <c r="W2077" t="s">
        <v>43480</v>
      </c>
      <c r="X2077" t="s">
        <v>46572</v>
      </c>
    </row>
    <row r="2078" spans="1:24">
      <c r="A2078">
        <f>HYPERLINK("https://www.philgeps.gov.ph/GEPSNONPILOT/Tender/SplashBidNoticeAbstractUI.aspx?menuIndex=3&amp;refID=7066907&amp;Result=3","7066907")</f>
        <v>0</v>
      </c>
      <c r="B2078" t="s">
        <v>881</v>
      </c>
      <c r="C2078" t="s">
        <v>5545</v>
      </c>
      <c r="D2078" t="s">
        <v>18836</v>
      </c>
      <c r="E2078" t="s">
        <v>20806</v>
      </c>
      <c r="F2078" t="s">
        <v>32664</v>
      </c>
      <c r="G2078" t="s">
        <v>32671</v>
      </c>
      <c r="H2078" t="s">
        <v>12635</v>
      </c>
      <c r="I2078" t="s">
        <v>6223</v>
      </c>
      <c r="J2078" t="s">
        <v>34304</v>
      </c>
      <c r="K2078" t="s">
        <v>42284</v>
      </c>
      <c r="M2078" t="s">
        <v>43481</v>
      </c>
      <c r="N2078" t="s">
        <v>46569</v>
      </c>
      <c r="O2078" t="s">
        <v>46570</v>
      </c>
      <c r="P2078">
        <v>0</v>
      </c>
      <c r="Q2078">
        <v>0</v>
      </c>
      <c r="R2078" t="s">
        <v>46571</v>
      </c>
      <c r="S2078" t="s">
        <v>46687</v>
      </c>
      <c r="T2078" t="s">
        <v>48244</v>
      </c>
      <c r="U2078" t="s">
        <v>50502</v>
      </c>
      <c r="W2078" t="s">
        <v>43481</v>
      </c>
      <c r="X2078" t="s">
        <v>46572</v>
      </c>
    </row>
    <row r="2079" spans="1:24">
      <c r="A2079">
        <f>HYPERLINK("https://www.philgeps.gov.ph/GEPSNONPILOT/Tender/SplashBidNoticeAbstractUI.aspx?menuIndex=3&amp;refID=7066905&amp;Result=3","7066905")</f>
        <v>0</v>
      </c>
      <c r="B2079" t="s">
        <v>811</v>
      </c>
      <c r="C2079" t="s">
        <v>5546</v>
      </c>
      <c r="D2079" t="s">
        <v>18802</v>
      </c>
      <c r="E2079" t="s">
        <v>20807</v>
      </c>
      <c r="F2079" t="s">
        <v>32664</v>
      </c>
      <c r="G2079" t="s">
        <v>32672</v>
      </c>
      <c r="H2079" t="s">
        <v>12635</v>
      </c>
      <c r="I2079" t="s">
        <v>5589</v>
      </c>
      <c r="J2079" t="s">
        <v>32853</v>
      </c>
      <c r="K2079" t="s">
        <v>42289</v>
      </c>
      <c r="M2079" t="s">
        <v>43405</v>
      </c>
      <c r="N2079" t="s">
        <v>46569</v>
      </c>
      <c r="O2079" t="s">
        <v>46570</v>
      </c>
      <c r="P2079">
        <v>0</v>
      </c>
      <c r="Q2079">
        <v>0</v>
      </c>
      <c r="R2079" t="s">
        <v>46571</v>
      </c>
      <c r="S2079" t="s">
        <v>46687</v>
      </c>
      <c r="T2079" t="s">
        <v>48216</v>
      </c>
      <c r="U2079" t="s">
        <v>50503</v>
      </c>
      <c r="W2079" t="s">
        <v>43405</v>
      </c>
      <c r="X2079" t="s">
        <v>46572</v>
      </c>
    </row>
    <row r="2080" spans="1:24">
      <c r="A2080">
        <f>HYPERLINK("https://www.philgeps.gov.ph/GEPSNONPILOT/Tender/SplashBidNoticeAbstractUI.aspx?menuIndex=3&amp;refID=7066877&amp;Result=3","7066877")</f>
        <v>0</v>
      </c>
      <c r="B2080" t="s">
        <v>720</v>
      </c>
      <c r="C2080" t="s">
        <v>5547</v>
      </c>
      <c r="D2080" t="s">
        <v>18784</v>
      </c>
      <c r="E2080" t="s">
        <v>20808</v>
      </c>
      <c r="F2080" t="s">
        <v>32664</v>
      </c>
      <c r="G2080" t="s">
        <v>32671</v>
      </c>
      <c r="H2080" t="s">
        <v>12635</v>
      </c>
      <c r="I2080" t="s">
        <v>6223</v>
      </c>
      <c r="J2080" t="s">
        <v>34305</v>
      </c>
      <c r="K2080" t="s">
        <v>42284</v>
      </c>
      <c r="M2080" t="s">
        <v>43307</v>
      </c>
      <c r="N2080" t="s">
        <v>46569</v>
      </c>
      <c r="O2080" t="s">
        <v>46570</v>
      </c>
      <c r="P2080">
        <v>0</v>
      </c>
      <c r="Q2080">
        <v>1</v>
      </c>
      <c r="R2080" t="s">
        <v>46571</v>
      </c>
      <c r="S2080" t="s">
        <v>46687</v>
      </c>
      <c r="T2080" t="s">
        <v>48312</v>
      </c>
      <c r="U2080" t="s">
        <v>50132</v>
      </c>
      <c r="W2080" t="s">
        <v>43307</v>
      </c>
      <c r="X2080" t="s">
        <v>46572</v>
      </c>
    </row>
    <row r="2081" spans="1:24">
      <c r="A2081">
        <f>HYPERLINK("https://www.philgeps.gov.ph/GEPSNONPILOT/Tender/SplashBidNoticeAbstractUI.aspx?menuIndex=3&amp;refID=7066904&amp;Result=3","7066904")</f>
        <v>0</v>
      </c>
      <c r="B2081" t="s">
        <v>69</v>
      </c>
      <c r="C2081" t="s">
        <v>5548</v>
      </c>
      <c r="D2081" t="s">
        <v>18784</v>
      </c>
      <c r="E2081" t="s">
        <v>20809</v>
      </c>
      <c r="F2081" t="s">
        <v>32664</v>
      </c>
      <c r="G2081" t="s">
        <v>32671</v>
      </c>
      <c r="H2081" t="s">
        <v>12635</v>
      </c>
      <c r="I2081" t="s">
        <v>8730</v>
      </c>
      <c r="J2081" t="s">
        <v>33267</v>
      </c>
      <c r="K2081" t="s">
        <v>42281</v>
      </c>
      <c r="M2081" t="s">
        <v>43455</v>
      </c>
      <c r="N2081" t="s">
        <v>46569</v>
      </c>
      <c r="O2081" t="s">
        <v>46570</v>
      </c>
      <c r="P2081">
        <v>0</v>
      </c>
      <c r="Q2081">
        <v>0</v>
      </c>
      <c r="R2081" t="s">
        <v>46571</v>
      </c>
      <c r="S2081" t="s">
        <v>46687</v>
      </c>
      <c r="T2081" t="s">
        <v>48299</v>
      </c>
      <c r="U2081" t="s">
        <v>50445</v>
      </c>
      <c r="W2081" t="s">
        <v>43455</v>
      </c>
      <c r="X2081" t="s">
        <v>46572</v>
      </c>
    </row>
    <row r="2082" spans="1:24">
      <c r="A2082">
        <f>HYPERLINK("https://www.philgeps.gov.ph/GEPSNONPILOT/Tender/SplashBidNoticeAbstractUI.aspx?menuIndex=3&amp;refID=7066908&amp;Result=3","7066908")</f>
        <v>0</v>
      </c>
      <c r="B2082" t="s">
        <v>878</v>
      </c>
      <c r="C2082" t="s">
        <v>5549</v>
      </c>
      <c r="E2082" t="s">
        <v>20810</v>
      </c>
      <c r="F2082" t="s">
        <v>32664</v>
      </c>
      <c r="G2082" t="s">
        <v>32671</v>
      </c>
      <c r="H2082" t="s">
        <v>12635</v>
      </c>
      <c r="I2082" t="s">
        <v>32681</v>
      </c>
      <c r="J2082" t="s">
        <v>32865</v>
      </c>
      <c r="K2082" t="s">
        <v>42283</v>
      </c>
      <c r="M2082" t="s">
        <v>43482</v>
      </c>
      <c r="N2082" t="s">
        <v>46569</v>
      </c>
      <c r="O2082" t="s">
        <v>46570</v>
      </c>
      <c r="P2082">
        <v>0</v>
      </c>
      <c r="Q2082">
        <v>1</v>
      </c>
      <c r="R2082" t="s">
        <v>46571</v>
      </c>
      <c r="S2082" t="s">
        <v>46687</v>
      </c>
      <c r="T2082" t="s">
        <v>48286</v>
      </c>
      <c r="U2082" t="s">
        <v>50504</v>
      </c>
      <c r="W2082" t="s">
        <v>63492</v>
      </c>
      <c r="X2082" t="s">
        <v>46572</v>
      </c>
    </row>
    <row r="2083" spans="1:24">
      <c r="A2083">
        <f>HYPERLINK("https://www.philgeps.gov.ph/GEPSNONPILOT/Tender/SplashBidNoticeAbstractUI.aspx?menuIndex=3&amp;refID=7066901&amp;Result=3","7066901")</f>
        <v>0</v>
      </c>
      <c r="B2083" t="s">
        <v>882</v>
      </c>
      <c r="C2083" t="s">
        <v>5550</v>
      </c>
      <c r="D2083" t="s">
        <v>18804</v>
      </c>
      <c r="E2083" t="s">
        <v>20811</v>
      </c>
      <c r="F2083" t="s">
        <v>32664</v>
      </c>
      <c r="G2083" t="s">
        <v>32671</v>
      </c>
      <c r="H2083" t="s">
        <v>12635</v>
      </c>
      <c r="I2083" t="s">
        <v>10370</v>
      </c>
      <c r="J2083" t="s">
        <v>34306</v>
      </c>
      <c r="K2083" t="s">
        <v>42306</v>
      </c>
      <c r="M2083" t="s">
        <v>43483</v>
      </c>
      <c r="N2083" t="s">
        <v>46569</v>
      </c>
      <c r="O2083" t="s">
        <v>46570</v>
      </c>
      <c r="P2083">
        <v>0</v>
      </c>
      <c r="Q2083">
        <v>1</v>
      </c>
      <c r="R2083" t="s">
        <v>46571</v>
      </c>
      <c r="S2083" t="s">
        <v>46687</v>
      </c>
      <c r="T2083" t="s">
        <v>48244</v>
      </c>
      <c r="U2083" t="s">
        <v>50505</v>
      </c>
      <c r="W2083" t="s">
        <v>43483</v>
      </c>
      <c r="X2083" t="s">
        <v>46572</v>
      </c>
    </row>
    <row r="2084" spans="1:24">
      <c r="A2084">
        <f>HYPERLINK("https://www.philgeps.gov.ph/GEPSNONPILOT/Tender/SplashBidNoticeAbstractUI.aspx?menuIndex=3&amp;refID=7066899&amp;Result=3","7066899")</f>
        <v>0</v>
      </c>
      <c r="B2084" t="s">
        <v>883</v>
      </c>
      <c r="C2084" t="s">
        <v>5551</v>
      </c>
      <c r="D2084" t="s">
        <v>18826</v>
      </c>
      <c r="E2084" t="s">
        <v>20812</v>
      </c>
      <c r="F2084" t="s">
        <v>32664</v>
      </c>
      <c r="G2084" t="s">
        <v>32674</v>
      </c>
      <c r="H2084" t="s">
        <v>12635</v>
      </c>
      <c r="I2084" t="s">
        <v>32726</v>
      </c>
      <c r="J2084" t="s">
        <v>33215</v>
      </c>
      <c r="K2084" t="s">
        <v>42309</v>
      </c>
      <c r="M2084" t="s">
        <v>43484</v>
      </c>
      <c r="N2084" t="s">
        <v>46569</v>
      </c>
      <c r="O2084" t="s">
        <v>46570</v>
      </c>
      <c r="P2084">
        <v>0</v>
      </c>
      <c r="Q2084">
        <v>0</v>
      </c>
      <c r="R2084" t="s">
        <v>46571</v>
      </c>
      <c r="S2084" t="s">
        <v>46687</v>
      </c>
      <c r="T2084" t="s">
        <v>48224</v>
      </c>
      <c r="U2084" t="s">
        <v>50506</v>
      </c>
      <c r="W2084" t="s">
        <v>43484</v>
      </c>
      <c r="X2084" t="s">
        <v>46572</v>
      </c>
    </row>
    <row r="2085" spans="1:24">
      <c r="A2085">
        <f>HYPERLINK("https://www.philgeps.gov.ph/GEPSNONPILOT/Tender/SplashBidNoticeAbstractUI.aspx?menuIndex=3&amp;refID=7066906&amp;Result=3","7066906")</f>
        <v>0</v>
      </c>
      <c r="B2085" t="s">
        <v>253</v>
      </c>
      <c r="C2085" t="s">
        <v>5552</v>
      </c>
      <c r="D2085" t="s">
        <v>18790</v>
      </c>
      <c r="E2085" t="s">
        <v>20813</v>
      </c>
      <c r="F2085" t="s">
        <v>32664</v>
      </c>
      <c r="G2085" t="s">
        <v>32671</v>
      </c>
      <c r="H2085" t="s">
        <v>12635</v>
      </c>
      <c r="I2085" t="s">
        <v>32706</v>
      </c>
      <c r="J2085" t="s">
        <v>34307</v>
      </c>
      <c r="K2085" t="s">
        <v>42283</v>
      </c>
      <c r="M2085" t="s">
        <v>42818</v>
      </c>
      <c r="N2085" t="s">
        <v>46569</v>
      </c>
      <c r="O2085" t="s">
        <v>46570</v>
      </c>
      <c r="P2085">
        <v>0</v>
      </c>
      <c r="Q2085">
        <v>0</v>
      </c>
      <c r="R2085" t="s">
        <v>46571</v>
      </c>
      <c r="S2085" t="s">
        <v>46687</v>
      </c>
      <c r="T2085" t="s">
        <v>48283</v>
      </c>
      <c r="U2085" t="s">
        <v>50507</v>
      </c>
      <c r="W2085" t="s">
        <v>42818</v>
      </c>
      <c r="X2085" t="s">
        <v>46572</v>
      </c>
    </row>
    <row r="2086" spans="1:24">
      <c r="A2086">
        <f>HYPERLINK("https://www.philgeps.gov.ph/GEPSNONPILOT/Tender/SplashBidNoticeAbstractUI.aspx?menuIndex=3&amp;refID=7066897&amp;Result=3","7066897")</f>
        <v>0</v>
      </c>
      <c r="B2086" t="s">
        <v>884</v>
      </c>
      <c r="C2086" t="s">
        <v>5553</v>
      </c>
      <c r="D2086" t="s">
        <v>18816</v>
      </c>
      <c r="E2086" t="s">
        <v>20814</v>
      </c>
      <c r="F2086" t="s">
        <v>32664</v>
      </c>
      <c r="G2086" t="s">
        <v>32671</v>
      </c>
      <c r="H2086" t="s">
        <v>12635</v>
      </c>
      <c r="I2086" t="s">
        <v>32696</v>
      </c>
      <c r="J2086" t="s">
        <v>33320</v>
      </c>
      <c r="K2086" t="s">
        <v>42284</v>
      </c>
      <c r="M2086" t="s">
        <v>43485</v>
      </c>
      <c r="N2086" t="s">
        <v>46569</v>
      </c>
      <c r="O2086" t="s">
        <v>46570</v>
      </c>
      <c r="P2086">
        <v>0</v>
      </c>
      <c r="Q2086">
        <v>1</v>
      </c>
      <c r="R2086" t="s">
        <v>46571</v>
      </c>
      <c r="S2086" t="s">
        <v>46687</v>
      </c>
      <c r="T2086" t="s">
        <v>48244</v>
      </c>
      <c r="U2086" t="s">
        <v>50508</v>
      </c>
      <c r="W2086" t="s">
        <v>43485</v>
      </c>
      <c r="X2086" t="s">
        <v>46572</v>
      </c>
    </row>
    <row r="2087" spans="1:24">
      <c r="A2087">
        <f>HYPERLINK("https://www.philgeps.gov.ph/GEPSNONPILOT/Tender/SplashBidNoticeAbstractUI.aspx?menuIndex=3&amp;refID=7066909&amp;Result=3","7066909")</f>
        <v>0</v>
      </c>
      <c r="B2087" t="s">
        <v>868</v>
      </c>
      <c r="C2087" t="s">
        <v>5554</v>
      </c>
      <c r="D2087" t="s">
        <v>18784</v>
      </c>
      <c r="E2087" t="s">
        <v>20815</v>
      </c>
      <c r="F2087" t="s">
        <v>32664</v>
      </c>
      <c r="G2087" t="s">
        <v>32671</v>
      </c>
      <c r="H2087" t="s">
        <v>12635</v>
      </c>
      <c r="I2087" t="s">
        <v>32705</v>
      </c>
      <c r="J2087" t="s">
        <v>33015</v>
      </c>
      <c r="K2087" t="s">
        <v>42283</v>
      </c>
      <c r="M2087" t="s">
        <v>43468</v>
      </c>
      <c r="N2087" t="s">
        <v>46569</v>
      </c>
      <c r="O2087" t="s">
        <v>46570</v>
      </c>
      <c r="P2087">
        <v>0</v>
      </c>
      <c r="Q2087">
        <v>0</v>
      </c>
      <c r="R2087" t="s">
        <v>46571</v>
      </c>
      <c r="S2087" t="s">
        <v>46687</v>
      </c>
      <c r="T2087" t="s">
        <v>48256</v>
      </c>
      <c r="U2087" t="s">
        <v>50509</v>
      </c>
      <c r="W2087" t="s">
        <v>43468</v>
      </c>
      <c r="X2087" t="s">
        <v>46572</v>
      </c>
    </row>
    <row r="2088" spans="1:24">
      <c r="A2088">
        <f>HYPERLINK("https://www.philgeps.gov.ph/GEPSNONPILOT/Tender/SplashBidNoticeAbstractUI.aspx?menuIndex=3&amp;refID=7066896&amp;Result=3","7066896")</f>
        <v>0</v>
      </c>
      <c r="B2088" t="s">
        <v>253</v>
      </c>
      <c r="C2088" t="s">
        <v>5555</v>
      </c>
      <c r="D2088" t="s">
        <v>18790</v>
      </c>
      <c r="E2088" t="s">
        <v>20816</v>
      </c>
      <c r="F2088" t="s">
        <v>32664</v>
      </c>
      <c r="G2088" t="s">
        <v>32671</v>
      </c>
      <c r="H2088" t="s">
        <v>12635</v>
      </c>
      <c r="I2088" t="s">
        <v>32706</v>
      </c>
      <c r="J2088" t="s">
        <v>34308</v>
      </c>
      <c r="K2088" t="s">
        <v>42283</v>
      </c>
      <c r="M2088" t="s">
        <v>42818</v>
      </c>
      <c r="N2088" t="s">
        <v>46569</v>
      </c>
      <c r="O2088" t="s">
        <v>46570</v>
      </c>
      <c r="P2088">
        <v>0</v>
      </c>
      <c r="Q2088">
        <v>0</v>
      </c>
      <c r="R2088" t="s">
        <v>46571</v>
      </c>
      <c r="S2088" t="s">
        <v>46687</v>
      </c>
      <c r="T2088" t="s">
        <v>48283</v>
      </c>
      <c r="U2088" t="s">
        <v>50510</v>
      </c>
      <c r="W2088" t="s">
        <v>42818</v>
      </c>
      <c r="X2088" t="s">
        <v>46572</v>
      </c>
    </row>
    <row r="2089" spans="1:24">
      <c r="A2089">
        <f>HYPERLINK("https://www.philgeps.gov.ph/GEPSNONPILOT/Tender/SplashBidNoticeAbstractUI.aspx?menuIndex=3&amp;refID=7066893&amp;Result=3","7066893")</f>
        <v>0</v>
      </c>
      <c r="B2089" t="s">
        <v>877</v>
      </c>
      <c r="C2089" t="s">
        <v>5556</v>
      </c>
      <c r="D2089" t="s">
        <v>18805</v>
      </c>
      <c r="E2089" t="s">
        <v>20817</v>
      </c>
      <c r="F2089" t="s">
        <v>32664</v>
      </c>
      <c r="G2089" t="s">
        <v>32671</v>
      </c>
      <c r="H2089" t="s">
        <v>12635</v>
      </c>
      <c r="I2089" t="s">
        <v>32692</v>
      </c>
      <c r="J2089" t="s">
        <v>34309</v>
      </c>
      <c r="K2089" t="s">
        <v>42309</v>
      </c>
      <c r="M2089" t="s">
        <v>43477</v>
      </c>
      <c r="N2089" t="s">
        <v>46569</v>
      </c>
      <c r="O2089" t="s">
        <v>46570</v>
      </c>
      <c r="P2089">
        <v>0</v>
      </c>
      <c r="Q2089">
        <v>0</v>
      </c>
      <c r="R2089" t="s">
        <v>46571</v>
      </c>
      <c r="S2089" t="s">
        <v>46687</v>
      </c>
      <c r="T2089" t="s">
        <v>48246</v>
      </c>
      <c r="U2089" t="s">
        <v>50511</v>
      </c>
      <c r="W2089" t="s">
        <v>43477</v>
      </c>
      <c r="X2089" t="s">
        <v>46572</v>
      </c>
    </row>
    <row r="2090" spans="1:24">
      <c r="A2090">
        <f>HYPERLINK("https://www.philgeps.gov.ph/GEPSNONPILOT/Tender/SplashBidNoticeAbstractUI.aspx?menuIndex=3&amp;refID=7066902&amp;Result=3","7066902")</f>
        <v>0</v>
      </c>
      <c r="B2090" t="s">
        <v>885</v>
      </c>
      <c r="C2090" t="s">
        <v>5557</v>
      </c>
      <c r="D2090" t="s">
        <v>18819</v>
      </c>
      <c r="E2090" t="s">
        <v>20818</v>
      </c>
      <c r="F2090" t="s">
        <v>32664</v>
      </c>
      <c r="G2090" t="s">
        <v>32671</v>
      </c>
      <c r="H2090" t="s">
        <v>12635</v>
      </c>
      <c r="I2090" t="s">
        <v>32687</v>
      </c>
      <c r="J2090" t="s">
        <v>32812</v>
      </c>
      <c r="K2090" t="s">
        <v>42283</v>
      </c>
      <c r="M2090" t="s">
        <v>43486</v>
      </c>
      <c r="N2090" t="s">
        <v>46569</v>
      </c>
      <c r="O2090" t="s">
        <v>46570</v>
      </c>
      <c r="P2090">
        <v>0</v>
      </c>
      <c r="Q2090">
        <v>1</v>
      </c>
      <c r="R2090" t="s">
        <v>46571</v>
      </c>
      <c r="S2090" t="s">
        <v>46687</v>
      </c>
      <c r="T2090" t="s">
        <v>48256</v>
      </c>
      <c r="U2090" t="s">
        <v>50512</v>
      </c>
      <c r="V2090" t="s">
        <v>61836</v>
      </c>
      <c r="W2090" t="s">
        <v>43486</v>
      </c>
      <c r="X2090" t="s">
        <v>46572</v>
      </c>
    </row>
    <row r="2091" spans="1:24">
      <c r="A2091">
        <f>HYPERLINK("https://www.philgeps.gov.ph/GEPSNONPILOT/Tender/SplashBidNoticeAbstractUI.aspx?menuIndex=3&amp;refID=7066888&amp;Result=3","7066888")</f>
        <v>0</v>
      </c>
      <c r="B2091" t="s">
        <v>843</v>
      </c>
      <c r="C2091" t="s">
        <v>5558</v>
      </c>
      <c r="D2091" t="s">
        <v>18789</v>
      </c>
      <c r="E2091" t="s">
        <v>20819</v>
      </c>
      <c r="F2091" t="s">
        <v>32664</v>
      </c>
      <c r="G2091" t="s">
        <v>32672</v>
      </c>
      <c r="H2091" t="s">
        <v>12635</v>
      </c>
      <c r="I2091" t="s">
        <v>11464</v>
      </c>
      <c r="J2091" t="s">
        <v>32930</v>
      </c>
      <c r="K2091" t="s">
        <v>42297</v>
      </c>
      <c r="M2091" t="s">
        <v>43438</v>
      </c>
      <c r="N2091" t="s">
        <v>46569</v>
      </c>
      <c r="O2091" t="s">
        <v>46570</v>
      </c>
      <c r="P2091">
        <v>0</v>
      </c>
      <c r="Q2091">
        <v>6</v>
      </c>
      <c r="R2091" t="s">
        <v>46571</v>
      </c>
      <c r="S2091" t="s">
        <v>46687</v>
      </c>
      <c r="T2091" t="s">
        <v>48240</v>
      </c>
      <c r="U2091" t="s">
        <v>50513</v>
      </c>
      <c r="W2091" t="s">
        <v>43438</v>
      </c>
      <c r="X2091" t="s">
        <v>46572</v>
      </c>
    </row>
    <row r="2092" spans="1:24">
      <c r="A2092">
        <f>HYPERLINK("https://www.philgeps.gov.ph/GEPSNONPILOT/Tender/SplashBidNoticeAbstractUI.aspx?menuIndex=3&amp;refID=7066889&amp;Result=3","7066889")</f>
        <v>0</v>
      </c>
      <c r="B2092" t="s">
        <v>248</v>
      </c>
      <c r="C2092" t="s">
        <v>5559</v>
      </c>
      <c r="D2092" t="s">
        <v>18801</v>
      </c>
      <c r="E2092" t="s">
        <v>20820</v>
      </c>
      <c r="F2092" t="s">
        <v>32664</v>
      </c>
      <c r="G2092" t="s">
        <v>32672</v>
      </c>
      <c r="H2092" t="s">
        <v>32683</v>
      </c>
      <c r="I2092" t="s">
        <v>10627</v>
      </c>
      <c r="J2092" t="s">
        <v>34310</v>
      </c>
      <c r="K2092" t="s">
        <v>42331</v>
      </c>
      <c r="M2092" t="s">
        <v>42813</v>
      </c>
      <c r="N2092" t="s">
        <v>46569</v>
      </c>
      <c r="O2092" t="s">
        <v>46570</v>
      </c>
      <c r="P2092">
        <v>0</v>
      </c>
      <c r="Q2092">
        <v>0</v>
      </c>
      <c r="R2092" t="s">
        <v>46571</v>
      </c>
      <c r="S2092" t="s">
        <v>46687</v>
      </c>
      <c r="T2092" t="s">
        <v>48257</v>
      </c>
      <c r="U2092" t="s">
        <v>49224</v>
      </c>
      <c r="V2092" t="s">
        <v>61837</v>
      </c>
      <c r="W2092" t="s">
        <v>42813</v>
      </c>
      <c r="X2092" t="s">
        <v>46572</v>
      </c>
    </row>
    <row r="2093" spans="1:24">
      <c r="A2093">
        <f>HYPERLINK("https://www.philgeps.gov.ph/GEPSNONPILOT/Tender/SplashBidNoticeAbstractUI.aspx?menuIndex=3&amp;refID=7066849&amp;Result=3","7066849")</f>
        <v>0</v>
      </c>
      <c r="B2093" t="s">
        <v>676</v>
      </c>
      <c r="C2093" t="s">
        <v>5560</v>
      </c>
      <c r="E2093" t="s">
        <v>20821</v>
      </c>
      <c r="F2093" t="s">
        <v>32664</v>
      </c>
      <c r="G2093" t="s">
        <v>32677</v>
      </c>
      <c r="H2093" t="s">
        <v>12635</v>
      </c>
      <c r="I2093" t="s">
        <v>32706</v>
      </c>
      <c r="J2093" t="s">
        <v>34311</v>
      </c>
      <c r="K2093" t="s">
        <v>42283</v>
      </c>
      <c r="M2093" t="s">
        <v>43263</v>
      </c>
      <c r="N2093" t="s">
        <v>46569</v>
      </c>
      <c r="O2093" t="s">
        <v>46570</v>
      </c>
      <c r="P2093">
        <v>0</v>
      </c>
      <c r="Q2093">
        <v>0</v>
      </c>
      <c r="R2093" t="s">
        <v>46571</v>
      </c>
      <c r="S2093" t="s">
        <v>46687</v>
      </c>
      <c r="T2093" t="s">
        <v>48321</v>
      </c>
      <c r="U2093" t="s">
        <v>50514</v>
      </c>
      <c r="W2093" t="s">
        <v>43263</v>
      </c>
      <c r="X2093" t="s">
        <v>46572</v>
      </c>
    </row>
    <row r="2094" spans="1:24">
      <c r="A2094">
        <f>HYPERLINK("https://www.philgeps.gov.ph/GEPSNONPILOT/Tender/SplashBidNoticeAbstractUI.aspx?menuIndex=3&amp;refID=7066891&amp;Result=3","7066891")</f>
        <v>0</v>
      </c>
      <c r="B2094" t="s">
        <v>801</v>
      </c>
      <c r="C2094" t="s">
        <v>5561</v>
      </c>
      <c r="D2094" t="s">
        <v>18802</v>
      </c>
      <c r="E2094" t="s">
        <v>20822</v>
      </c>
      <c r="F2094" t="s">
        <v>32664</v>
      </c>
      <c r="G2094" t="s">
        <v>32672</v>
      </c>
      <c r="H2094" t="s">
        <v>32683</v>
      </c>
      <c r="I2094" t="s">
        <v>10627</v>
      </c>
      <c r="J2094" t="s">
        <v>34312</v>
      </c>
      <c r="K2094" t="s">
        <v>42377</v>
      </c>
      <c r="M2094" t="s">
        <v>43393</v>
      </c>
      <c r="N2094" t="s">
        <v>46569</v>
      </c>
      <c r="O2094" t="s">
        <v>46570</v>
      </c>
      <c r="P2094">
        <v>0</v>
      </c>
      <c r="Q2094">
        <v>0</v>
      </c>
      <c r="R2094" t="s">
        <v>46571</v>
      </c>
      <c r="S2094" t="s">
        <v>46687</v>
      </c>
      <c r="T2094" t="s">
        <v>48360</v>
      </c>
      <c r="U2094" t="s">
        <v>50515</v>
      </c>
      <c r="W2094" t="s">
        <v>43393</v>
      </c>
      <c r="X2094" t="s">
        <v>46572</v>
      </c>
    </row>
    <row r="2095" spans="1:24">
      <c r="A2095">
        <f>HYPERLINK("https://www.philgeps.gov.ph/GEPSNONPILOT/Tender/SplashBidNoticeAbstractUI.aspx?menuIndex=3&amp;refID=7066870&amp;Result=3","7066870")</f>
        <v>0</v>
      </c>
      <c r="B2095" t="s">
        <v>886</v>
      </c>
      <c r="C2095" t="s">
        <v>5562</v>
      </c>
      <c r="D2095" t="s">
        <v>18784</v>
      </c>
      <c r="E2095" t="s">
        <v>20823</v>
      </c>
      <c r="F2095" t="s">
        <v>32664</v>
      </c>
      <c r="G2095" t="s">
        <v>32671</v>
      </c>
      <c r="H2095" t="s">
        <v>32682</v>
      </c>
      <c r="I2095" t="s">
        <v>10370</v>
      </c>
      <c r="J2095" t="s">
        <v>34313</v>
      </c>
      <c r="K2095" t="s">
        <v>42281</v>
      </c>
      <c r="M2095" t="s">
        <v>43487</v>
      </c>
      <c r="N2095" t="s">
        <v>46569</v>
      </c>
      <c r="O2095" t="s">
        <v>46570</v>
      </c>
      <c r="P2095">
        <v>0</v>
      </c>
      <c r="Q2095">
        <v>1</v>
      </c>
      <c r="R2095" t="s">
        <v>46571</v>
      </c>
      <c r="S2095" t="s">
        <v>46687</v>
      </c>
      <c r="T2095" t="s">
        <v>48305</v>
      </c>
      <c r="U2095" t="s">
        <v>50516</v>
      </c>
      <c r="W2095" t="s">
        <v>43487</v>
      </c>
      <c r="X2095" t="s">
        <v>46572</v>
      </c>
    </row>
    <row r="2096" spans="1:24">
      <c r="A2096">
        <f>HYPERLINK("https://www.philgeps.gov.ph/GEPSNONPILOT/Tender/SplashBidNoticeAbstractUI.aspx?menuIndex=3&amp;refID=7066895&amp;Result=3","7066895")</f>
        <v>0</v>
      </c>
      <c r="B2096" t="s">
        <v>887</v>
      </c>
      <c r="C2096" t="s">
        <v>5563</v>
      </c>
      <c r="D2096" t="s">
        <v>18821</v>
      </c>
      <c r="E2096" t="s">
        <v>20824</v>
      </c>
      <c r="F2096" t="s">
        <v>32664</v>
      </c>
      <c r="G2096" t="s">
        <v>32672</v>
      </c>
      <c r="H2096" t="s">
        <v>32683</v>
      </c>
      <c r="I2096" t="s">
        <v>10627</v>
      </c>
      <c r="J2096" t="s">
        <v>32974</v>
      </c>
      <c r="K2096" t="s">
        <v>42313</v>
      </c>
      <c r="M2096" t="s">
        <v>43488</v>
      </c>
      <c r="N2096" t="s">
        <v>46569</v>
      </c>
      <c r="O2096" t="s">
        <v>46570</v>
      </c>
      <c r="P2096">
        <v>0</v>
      </c>
      <c r="Q2096">
        <v>0</v>
      </c>
      <c r="R2096" t="s">
        <v>46571</v>
      </c>
      <c r="S2096" t="s">
        <v>46687</v>
      </c>
      <c r="T2096" t="s">
        <v>48225</v>
      </c>
      <c r="U2096" t="s">
        <v>50517</v>
      </c>
      <c r="V2096" t="s">
        <v>61838</v>
      </c>
      <c r="W2096" t="s">
        <v>43488</v>
      </c>
      <c r="X2096" t="s">
        <v>46572</v>
      </c>
    </row>
    <row r="2097" spans="1:24">
      <c r="A2097">
        <f>HYPERLINK("https://www.philgeps.gov.ph/GEPSNONPILOT/Tender/SplashBidNoticeAbstractUI.aspx?menuIndex=3&amp;refID=7066869&amp;Result=3","7066869")</f>
        <v>0</v>
      </c>
      <c r="B2097" t="s">
        <v>439</v>
      </c>
      <c r="C2097" t="s">
        <v>5564</v>
      </c>
      <c r="D2097" t="s">
        <v>18792</v>
      </c>
      <c r="E2097" t="s">
        <v>20825</v>
      </c>
      <c r="F2097" t="s">
        <v>32664</v>
      </c>
      <c r="G2097" t="s">
        <v>32671</v>
      </c>
      <c r="H2097" t="s">
        <v>12635</v>
      </c>
      <c r="I2097" t="s">
        <v>8730</v>
      </c>
      <c r="J2097" t="s">
        <v>33715</v>
      </c>
      <c r="K2097" t="s">
        <v>42284</v>
      </c>
      <c r="M2097" t="s">
        <v>43489</v>
      </c>
      <c r="N2097" t="s">
        <v>46569</v>
      </c>
      <c r="O2097" t="s">
        <v>46570</v>
      </c>
      <c r="P2097">
        <v>0</v>
      </c>
      <c r="Q2097">
        <v>2</v>
      </c>
      <c r="R2097" t="s">
        <v>46571</v>
      </c>
      <c r="S2097" t="s">
        <v>46687</v>
      </c>
      <c r="T2097" t="s">
        <v>48219</v>
      </c>
      <c r="U2097" t="s">
        <v>50518</v>
      </c>
      <c r="W2097" t="s">
        <v>43489</v>
      </c>
      <c r="X2097" t="s">
        <v>46572</v>
      </c>
    </row>
    <row r="2098" spans="1:24">
      <c r="A2098">
        <f>HYPERLINK("https://www.philgeps.gov.ph/GEPSNONPILOT/Tender/SplashBidNoticeAbstractUI.aspx?menuIndex=3&amp;refID=7066892&amp;Result=3","7066892")</f>
        <v>0</v>
      </c>
      <c r="B2098" t="s">
        <v>868</v>
      </c>
      <c r="C2098" t="s">
        <v>5565</v>
      </c>
      <c r="D2098" t="s">
        <v>18784</v>
      </c>
      <c r="E2098" t="s">
        <v>20826</v>
      </c>
      <c r="F2098" t="s">
        <v>32664</v>
      </c>
      <c r="G2098" t="s">
        <v>32671</v>
      </c>
      <c r="H2098" t="s">
        <v>12635</v>
      </c>
      <c r="I2098" t="s">
        <v>32705</v>
      </c>
      <c r="J2098" t="s">
        <v>34314</v>
      </c>
      <c r="K2098" t="s">
        <v>42283</v>
      </c>
      <c r="M2098" t="s">
        <v>43468</v>
      </c>
      <c r="N2098" t="s">
        <v>46569</v>
      </c>
      <c r="O2098" t="s">
        <v>46570</v>
      </c>
      <c r="P2098">
        <v>0</v>
      </c>
      <c r="Q2098">
        <v>0</v>
      </c>
      <c r="R2098" t="s">
        <v>46571</v>
      </c>
      <c r="S2098" t="s">
        <v>46687</v>
      </c>
      <c r="T2098" t="s">
        <v>48256</v>
      </c>
      <c r="U2098" t="s">
        <v>50519</v>
      </c>
      <c r="W2098" t="s">
        <v>43468</v>
      </c>
      <c r="X2098" t="s">
        <v>46572</v>
      </c>
    </row>
    <row r="2099" spans="1:24">
      <c r="A2099">
        <f>HYPERLINK("https://www.philgeps.gov.ph/GEPSNONPILOT/Tender/SplashBidNoticeAbstractUI.aspx?menuIndex=3&amp;refID=7066866&amp;Result=3","7066866")</f>
        <v>0</v>
      </c>
      <c r="B2099" t="s">
        <v>881</v>
      </c>
      <c r="C2099" t="s">
        <v>5566</v>
      </c>
      <c r="D2099" t="s">
        <v>18836</v>
      </c>
      <c r="E2099" t="s">
        <v>20827</v>
      </c>
      <c r="F2099" t="s">
        <v>32664</v>
      </c>
      <c r="G2099" t="s">
        <v>32671</v>
      </c>
      <c r="H2099" t="s">
        <v>12635</v>
      </c>
      <c r="I2099" t="s">
        <v>6223</v>
      </c>
      <c r="J2099" t="s">
        <v>34315</v>
      </c>
      <c r="K2099" t="s">
        <v>42284</v>
      </c>
      <c r="M2099" t="s">
        <v>43481</v>
      </c>
      <c r="N2099" t="s">
        <v>46569</v>
      </c>
      <c r="O2099" t="s">
        <v>46570</v>
      </c>
      <c r="P2099">
        <v>0</v>
      </c>
      <c r="Q2099">
        <v>0</v>
      </c>
      <c r="R2099" t="s">
        <v>46571</v>
      </c>
      <c r="S2099" t="s">
        <v>46687</v>
      </c>
      <c r="T2099" t="s">
        <v>48244</v>
      </c>
      <c r="U2099" t="s">
        <v>50502</v>
      </c>
      <c r="W2099" t="s">
        <v>43481</v>
      </c>
      <c r="X2099" t="s">
        <v>46572</v>
      </c>
    </row>
    <row r="2100" spans="1:24">
      <c r="A2100">
        <f>HYPERLINK("https://www.philgeps.gov.ph/GEPSNONPILOT/Tender/SplashBidNoticeAbstractUI.aspx?menuIndex=3&amp;refID=7066865&amp;Result=3","7066865")</f>
        <v>0</v>
      </c>
      <c r="B2100" t="s">
        <v>843</v>
      </c>
      <c r="C2100" t="s">
        <v>5567</v>
      </c>
      <c r="D2100" t="s">
        <v>18789</v>
      </c>
      <c r="E2100" t="s">
        <v>20828</v>
      </c>
      <c r="F2100" t="s">
        <v>32664</v>
      </c>
      <c r="G2100" t="s">
        <v>32672</v>
      </c>
      <c r="H2100" t="s">
        <v>32683</v>
      </c>
      <c r="I2100" t="s">
        <v>10627</v>
      </c>
      <c r="J2100" t="s">
        <v>34316</v>
      </c>
      <c r="K2100" t="s">
        <v>42290</v>
      </c>
      <c r="M2100" t="s">
        <v>43438</v>
      </c>
      <c r="N2100" t="s">
        <v>46569</v>
      </c>
      <c r="O2100" t="s">
        <v>46570</v>
      </c>
      <c r="P2100">
        <v>0</v>
      </c>
      <c r="Q2100">
        <v>0</v>
      </c>
      <c r="R2100" t="s">
        <v>46571</v>
      </c>
      <c r="S2100" t="s">
        <v>46687</v>
      </c>
      <c r="T2100" t="s">
        <v>48240</v>
      </c>
      <c r="U2100" t="s">
        <v>50520</v>
      </c>
      <c r="W2100" t="s">
        <v>43438</v>
      </c>
      <c r="X2100" t="s">
        <v>46572</v>
      </c>
    </row>
    <row r="2101" spans="1:24">
      <c r="A2101">
        <f>HYPERLINK("https://www.philgeps.gov.ph/GEPSNONPILOT/Tender/SplashBidNoticeAbstractUI.aspx?menuIndex=3&amp;refID=7066894&amp;Result=3","7066894")</f>
        <v>0</v>
      </c>
      <c r="B2101" t="s">
        <v>847</v>
      </c>
      <c r="C2101" t="s">
        <v>5568</v>
      </c>
      <c r="D2101" t="s">
        <v>18861</v>
      </c>
      <c r="E2101" t="s">
        <v>20829</v>
      </c>
      <c r="F2101" t="s">
        <v>32664</v>
      </c>
      <c r="G2101" t="s">
        <v>32672</v>
      </c>
      <c r="H2101" t="s">
        <v>12635</v>
      </c>
      <c r="I2101" t="s">
        <v>6223</v>
      </c>
      <c r="J2101" t="s">
        <v>32859</v>
      </c>
      <c r="K2101" t="s">
        <v>42281</v>
      </c>
      <c r="M2101" t="s">
        <v>43443</v>
      </c>
      <c r="N2101" t="s">
        <v>46569</v>
      </c>
      <c r="O2101" t="s">
        <v>46570</v>
      </c>
      <c r="P2101">
        <v>0</v>
      </c>
      <c r="Q2101">
        <v>0</v>
      </c>
      <c r="R2101" t="s">
        <v>46571</v>
      </c>
      <c r="S2101" t="s">
        <v>46687</v>
      </c>
      <c r="T2101" t="s">
        <v>48321</v>
      </c>
      <c r="U2101" t="s">
        <v>50420</v>
      </c>
      <c r="V2101" t="s">
        <v>61827</v>
      </c>
      <c r="W2101" t="s">
        <v>43443</v>
      </c>
      <c r="X2101" t="s">
        <v>46572</v>
      </c>
    </row>
    <row r="2102" spans="1:24">
      <c r="A2102">
        <f>HYPERLINK("https://www.philgeps.gov.ph/GEPSNONPILOT/Tender/SplashBidNoticeAbstractUI.aspx?menuIndex=3&amp;refID=7066931&amp;Result=3","7066931")</f>
        <v>0</v>
      </c>
      <c r="B2102" t="s">
        <v>238</v>
      </c>
      <c r="C2102" t="s">
        <v>5569</v>
      </c>
      <c r="D2102" t="s">
        <v>18798</v>
      </c>
      <c r="E2102" t="s">
        <v>20830</v>
      </c>
      <c r="F2102" t="s">
        <v>32664</v>
      </c>
      <c r="G2102" t="s">
        <v>32674</v>
      </c>
      <c r="H2102" t="s">
        <v>12635</v>
      </c>
      <c r="I2102" t="s">
        <v>8730</v>
      </c>
      <c r="J2102" t="s">
        <v>33846</v>
      </c>
      <c r="K2102" t="s">
        <v>42306</v>
      </c>
      <c r="M2102" t="s">
        <v>43490</v>
      </c>
      <c r="N2102" t="s">
        <v>46569</v>
      </c>
      <c r="O2102" t="s">
        <v>46570</v>
      </c>
      <c r="P2102">
        <v>0</v>
      </c>
      <c r="Q2102">
        <v>3</v>
      </c>
      <c r="R2102" t="s">
        <v>46571</v>
      </c>
      <c r="S2102" t="s">
        <v>46687</v>
      </c>
      <c r="T2102" t="s">
        <v>48430</v>
      </c>
      <c r="U2102" t="s">
        <v>50521</v>
      </c>
      <c r="W2102" t="s">
        <v>43490</v>
      </c>
      <c r="X2102" t="s">
        <v>46572</v>
      </c>
    </row>
    <row r="2103" spans="1:24">
      <c r="A2103">
        <f>HYPERLINK("https://www.philgeps.gov.ph/GEPSNONPILOT/Tender/SplashBidNoticeAbstractUI.aspx?menuIndex=3&amp;refID=7066890&amp;Result=3","7066890")</f>
        <v>0</v>
      </c>
      <c r="B2103" t="s">
        <v>867</v>
      </c>
      <c r="C2103" t="s">
        <v>5570</v>
      </c>
      <c r="D2103" t="s">
        <v>18784</v>
      </c>
      <c r="E2103" t="s">
        <v>20831</v>
      </c>
      <c r="F2103" t="s">
        <v>32664</v>
      </c>
      <c r="G2103" t="s">
        <v>32672</v>
      </c>
      <c r="H2103" t="s">
        <v>12635</v>
      </c>
      <c r="I2103" t="s">
        <v>5589</v>
      </c>
      <c r="J2103" t="s">
        <v>34317</v>
      </c>
      <c r="K2103" t="s">
        <v>42290</v>
      </c>
      <c r="M2103" t="s">
        <v>43467</v>
      </c>
      <c r="N2103" t="s">
        <v>46569</v>
      </c>
      <c r="O2103" t="s">
        <v>46570</v>
      </c>
      <c r="P2103">
        <v>0</v>
      </c>
      <c r="Q2103">
        <v>8</v>
      </c>
      <c r="R2103" t="s">
        <v>46571</v>
      </c>
      <c r="S2103" t="s">
        <v>46687</v>
      </c>
      <c r="T2103" t="s">
        <v>48275</v>
      </c>
      <c r="U2103" t="s">
        <v>50522</v>
      </c>
      <c r="W2103" t="s">
        <v>43467</v>
      </c>
      <c r="X2103" t="s">
        <v>46572</v>
      </c>
    </row>
    <row r="2104" spans="1:24">
      <c r="A2104">
        <f>HYPERLINK("https://www.philgeps.gov.ph/GEPSNONPILOT/Tender/SplashBidNoticeAbstractUI.aspx?menuIndex=3&amp;refID=7066898&amp;Result=3","7066898")</f>
        <v>0</v>
      </c>
      <c r="B2104" t="s">
        <v>888</v>
      </c>
      <c r="C2104" t="s">
        <v>5571</v>
      </c>
      <c r="D2104" t="s">
        <v>18785</v>
      </c>
      <c r="E2104" t="s">
        <v>20832</v>
      </c>
      <c r="F2104" t="s">
        <v>32664</v>
      </c>
      <c r="G2104" t="s">
        <v>32671</v>
      </c>
      <c r="H2104" t="s">
        <v>12635</v>
      </c>
      <c r="I2104" t="s">
        <v>8797</v>
      </c>
      <c r="J2104" t="s">
        <v>34318</v>
      </c>
      <c r="K2104" t="s">
        <v>42289</v>
      </c>
      <c r="M2104" t="s">
        <v>43491</v>
      </c>
      <c r="N2104" t="s">
        <v>46569</v>
      </c>
      <c r="O2104" t="s">
        <v>46570</v>
      </c>
      <c r="P2104">
        <v>0</v>
      </c>
      <c r="Q2104">
        <v>2</v>
      </c>
      <c r="R2104" t="s">
        <v>46571</v>
      </c>
      <c r="S2104" t="s">
        <v>46687</v>
      </c>
      <c r="T2104" t="s">
        <v>48250</v>
      </c>
      <c r="U2104" t="s">
        <v>50523</v>
      </c>
      <c r="V2104" t="s">
        <v>61839</v>
      </c>
      <c r="W2104" t="s">
        <v>43491</v>
      </c>
      <c r="X2104" t="s">
        <v>46572</v>
      </c>
    </row>
    <row r="2105" spans="1:24">
      <c r="A2105">
        <f>HYPERLINK("https://www.philgeps.gov.ph/GEPSNONPILOT/Tender/SplashBidNoticeAbstractUI.aspx?menuIndex=3&amp;refID=7066929&amp;Result=3","7066929")</f>
        <v>0</v>
      </c>
      <c r="B2105" t="s">
        <v>889</v>
      </c>
      <c r="C2105" t="s">
        <v>5572</v>
      </c>
      <c r="D2105" t="s">
        <v>18784</v>
      </c>
      <c r="E2105" t="s">
        <v>20833</v>
      </c>
      <c r="F2105" t="s">
        <v>32664</v>
      </c>
      <c r="G2105" t="s">
        <v>32672</v>
      </c>
      <c r="H2105" t="s">
        <v>12635</v>
      </c>
      <c r="I2105" t="s">
        <v>6223</v>
      </c>
      <c r="J2105" t="s">
        <v>34319</v>
      </c>
      <c r="K2105" t="s">
        <v>42309</v>
      </c>
      <c r="M2105" t="s">
        <v>43492</v>
      </c>
      <c r="N2105" t="s">
        <v>46569</v>
      </c>
      <c r="O2105" t="s">
        <v>46570</v>
      </c>
      <c r="P2105">
        <v>0</v>
      </c>
      <c r="Q2105">
        <v>0</v>
      </c>
      <c r="R2105" t="s">
        <v>46571</v>
      </c>
      <c r="S2105" t="s">
        <v>46687</v>
      </c>
      <c r="T2105" t="s">
        <v>48211</v>
      </c>
      <c r="U2105" t="s">
        <v>50524</v>
      </c>
      <c r="W2105" t="s">
        <v>43492</v>
      </c>
      <c r="X2105" t="s">
        <v>46572</v>
      </c>
    </row>
    <row r="2106" spans="1:24">
      <c r="A2106">
        <f>HYPERLINK("https://www.philgeps.gov.ph/GEPSNONPILOT/Tender/SplashBidNoticeAbstractUI.aspx?menuIndex=3&amp;refID=7066925&amp;Result=3","7066925")</f>
        <v>0</v>
      </c>
      <c r="B2106" t="s">
        <v>780</v>
      </c>
      <c r="C2106" t="s">
        <v>5573</v>
      </c>
      <c r="D2106" t="s">
        <v>18820</v>
      </c>
      <c r="E2106" t="s">
        <v>20834</v>
      </c>
      <c r="F2106" t="s">
        <v>32664</v>
      </c>
      <c r="G2106" t="s">
        <v>32671</v>
      </c>
      <c r="H2106" t="s">
        <v>12635</v>
      </c>
      <c r="I2106" t="s">
        <v>4333</v>
      </c>
      <c r="J2106" t="s">
        <v>34320</v>
      </c>
      <c r="K2106" t="s">
        <v>42281</v>
      </c>
      <c r="M2106" t="s">
        <v>43372</v>
      </c>
      <c r="N2106" t="s">
        <v>46569</v>
      </c>
      <c r="O2106" t="s">
        <v>46570</v>
      </c>
      <c r="P2106">
        <v>0</v>
      </c>
      <c r="Q2106">
        <v>0</v>
      </c>
      <c r="R2106" t="s">
        <v>46571</v>
      </c>
      <c r="S2106" t="s">
        <v>46687</v>
      </c>
      <c r="T2106" t="s">
        <v>48431</v>
      </c>
      <c r="U2106" t="s">
        <v>50255</v>
      </c>
      <c r="W2106" t="s">
        <v>43372</v>
      </c>
      <c r="X2106" t="s">
        <v>46572</v>
      </c>
    </row>
    <row r="2107" spans="1:24">
      <c r="A2107">
        <f>HYPERLINK("https://www.philgeps.gov.ph/GEPSNONPILOT/Tender/SplashBidNoticeAbstractUI.aspx?menuIndex=3&amp;refID=7066928&amp;Result=3","7066928")</f>
        <v>0</v>
      </c>
      <c r="B2107" t="s">
        <v>890</v>
      </c>
      <c r="C2107" t="s">
        <v>5574</v>
      </c>
      <c r="D2107" t="s">
        <v>18784</v>
      </c>
      <c r="E2107" t="s">
        <v>20835</v>
      </c>
      <c r="F2107" t="s">
        <v>32664</v>
      </c>
      <c r="G2107" t="s">
        <v>32674</v>
      </c>
      <c r="H2107" t="s">
        <v>12635</v>
      </c>
      <c r="I2107" t="s">
        <v>32694</v>
      </c>
      <c r="J2107" t="s">
        <v>32898</v>
      </c>
      <c r="K2107" t="s">
        <v>42309</v>
      </c>
      <c r="M2107" t="s">
        <v>43493</v>
      </c>
      <c r="N2107" t="s">
        <v>46569</v>
      </c>
      <c r="O2107" t="s">
        <v>46570</v>
      </c>
      <c r="P2107">
        <v>0</v>
      </c>
      <c r="Q2107">
        <v>0</v>
      </c>
      <c r="R2107" t="s">
        <v>46571</v>
      </c>
      <c r="S2107" t="s">
        <v>46687</v>
      </c>
      <c r="T2107" t="s">
        <v>48219</v>
      </c>
      <c r="U2107" t="s">
        <v>50525</v>
      </c>
      <c r="W2107" t="s">
        <v>43493</v>
      </c>
      <c r="X2107" t="s">
        <v>46572</v>
      </c>
    </row>
    <row r="2108" spans="1:24">
      <c r="A2108">
        <f>HYPERLINK("https://www.philgeps.gov.ph/GEPSNONPILOT/Tender/SplashBidNoticeAbstractUI.aspx?menuIndex=3&amp;refID=7066924&amp;Result=3","7066924")</f>
        <v>0</v>
      </c>
      <c r="B2108" t="s">
        <v>891</v>
      </c>
      <c r="C2108" t="s">
        <v>5575</v>
      </c>
      <c r="D2108" t="s">
        <v>18830</v>
      </c>
      <c r="E2108" t="s">
        <v>20836</v>
      </c>
      <c r="F2108" t="s">
        <v>32664</v>
      </c>
      <c r="G2108" t="s">
        <v>32672</v>
      </c>
      <c r="H2108" t="s">
        <v>32683</v>
      </c>
      <c r="I2108" t="s">
        <v>10627</v>
      </c>
      <c r="J2108" t="s">
        <v>34321</v>
      </c>
      <c r="K2108" t="s">
        <v>42290</v>
      </c>
      <c r="M2108" t="s">
        <v>43494</v>
      </c>
      <c r="N2108" t="s">
        <v>46569</v>
      </c>
      <c r="O2108" t="s">
        <v>46570</v>
      </c>
      <c r="P2108">
        <v>0</v>
      </c>
      <c r="Q2108">
        <v>0</v>
      </c>
      <c r="R2108" t="s">
        <v>46571</v>
      </c>
      <c r="S2108" t="s">
        <v>46687</v>
      </c>
      <c r="T2108" t="s">
        <v>48284</v>
      </c>
      <c r="U2108" t="s">
        <v>50526</v>
      </c>
      <c r="V2108" t="s">
        <v>61840</v>
      </c>
      <c r="W2108" t="s">
        <v>43494</v>
      </c>
      <c r="X2108" t="s">
        <v>46572</v>
      </c>
    </row>
    <row r="2109" spans="1:24">
      <c r="A2109">
        <f>HYPERLINK("https://www.philgeps.gov.ph/GEPSNONPILOT/Tender/SplashBidNoticeAbstractUI.aspx?menuIndex=3&amp;refID=7066867&amp;Result=3","7066867")</f>
        <v>0</v>
      </c>
      <c r="B2109" t="s">
        <v>839</v>
      </c>
      <c r="C2109" t="s">
        <v>5576</v>
      </c>
      <c r="D2109" t="s">
        <v>18792</v>
      </c>
      <c r="E2109" t="s">
        <v>20837</v>
      </c>
      <c r="F2109" t="s">
        <v>32664</v>
      </c>
      <c r="G2109" t="s">
        <v>32671</v>
      </c>
      <c r="H2109" t="s">
        <v>12635</v>
      </c>
      <c r="I2109" t="s">
        <v>32717</v>
      </c>
      <c r="J2109" t="s">
        <v>34322</v>
      </c>
      <c r="K2109" t="s">
        <v>42281</v>
      </c>
      <c r="M2109" t="s">
        <v>43434</v>
      </c>
      <c r="N2109" t="s">
        <v>46569</v>
      </c>
      <c r="O2109" t="s">
        <v>46570</v>
      </c>
      <c r="P2109">
        <v>0</v>
      </c>
      <c r="Q2109">
        <v>0</v>
      </c>
      <c r="R2109" t="s">
        <v>46571</v>
      </c>
      <c r="S2109" t="s">
        <v>46687</v>
      </c>
      <c r="T2109" t="s">
        <v>48297</v>
      </c>
      <c r="U2109" t="s">
        <v>50527</v>
      </c>
      <c r="W2109" t="s">
        <v>43434</v>
      </c>
      <c r="X2109" t="s">
        <v>46572</v>
      </c>
    </row>
    <row r="2110" spans="1:24">
      <c r="A2110">
        <f>HYPERLINK("https://www.philgeps.gov.ph/GEPSNONPILOT/Tender/SplashBidNoticeAbstractUI.aspx?menuIndex=3&amp;refID=7066922&amp;Result=3","7066922")</f>
        <v>0</v>
      </c>
      <c r="B2110" t="s">
        <v>253</v>
      </c>
      <c r="C2110" t="s">
        <v>5577</v>
      </c>
      <c r="D2110" t="s">
        <v>18790</v>
      </c>
      <c r="E2110" t="s">
        <v>20838</v>
      </c>
      <c r="F2110" t="s">
        <v>32664</v>
      </c>
      <c r="G2110" t="s">
        <v>32671</v>
      </c>
      <c r="H2110" t="s">
        <v>12635</v>
      </c>
      <c r="I2110" t="s">
        <v>4439</v>
      </c>
      <c r="J2110" t="s">
        <v>34323</v>
      </c>
      <c r="K2110" t="s">
        <v>42283</v>
      </c>
      <c r="M2110" t="s">
        <v>42818</v>
      </c>
      <c r="N2110" t="s">
        <v>46569</v>
      </c>
      <c r="O2110" t="s">
        <v>46570</v>
      </c>
      <c r="P2110">
        <v>0</v>
      </c>
      <c r="Q2110">
        <v>0</v>
      </c>
      <c r="R2110" t="s">
        <v>46571</v>
      </c>
      <c r="S2110" t="s">
        <v>46687</v>
      </c>
      <c r="T2110" t="s">
        <v>48283</v>
      </c>
      <c r="U2110" t="s">
        <v>50528</v>
      </c>
      <c r="W2110" t="s">
        <v>42818</v>
      </c>
      <c r="X2110" t="s">
        <v>46572</v>
      </c>
    </row>
    <row r="2111" spans="1:24">
      <c r="A2111">
        <f>HYPERLINK("https://www.philgeps.gov.ph/GEPSNONPILOT/Tender/SplashBidNoticeAbstractUI.aspx?menuIndex=3&amp;refID=7066930&amp;Result=3","7066930")</f>
        <v>0</v>
      </c>
      <c r="B2111" t="s">
        <v>847</v>
      </c>
      <c r="C2111" t="s">
        <v>5578</v>
      </c>
      <c r="D2111" t="s">
        <v>18782</v>
      </c>
      <c r="E2111" t="s">
        <v>20839</v>
      </c>
      <c r="F2111" t="s">
        <v>32664</v>
      </c>
      <c r="G2111" t="s">
        <v>32672</v>
      </c>
      <c r="H2111" t="s">
        <v>12635</v>
      </c>
      <c r="I2111" t="s">
        <v>32768</v>
      </c>
      <c r="J2111" t="s">
        <v>32865</v>
      </c>
      <c r="K2111" t="s">
        <v>42298</v>
      </c>
      <c r="M2111" t="s">
        <v>43443</v>
      </c>
      <c r="N2111" t="s">
        <v>46569</v>
      </c>
      <c r="O2111" t="s">
        <v>46570</v>
      </c>
      <c r="P2111">
        <v>0</v>
      </c>
      <c r="Q2111">
        <v>0</v>
      </c>
      <c r="R2111" t="s">
        <v>46571</v>
      </c>
      <c r="S2111" t="s">
        <v>46687</v>
      </c>
      <c r="T2111" t="s">
        <v>48321</v>
      </c>
      <c r="U2111" t="s">
        <v>50420</v>
      </c>
      <c r="V2111" t="s">
        <v>61831</v>
      </c>
      <c r="W2111" t="s">
        <v>43443</v>
      </c>
      <c r="X2111" t="s">
        <v>46572</v>
      </c>
    </row>
    <row r="2112" spans="1:24">
      <c r="A2112">
        <f>HYPERLINK("https://www.philgeps.gov.ph/GEPSNONPILOT/Tender/SplashBidNoticeAbstractUI.aspx?menuIndex=3&amp;refID=7066921&amp;Result=3","7066921")</f>
        <v>0</v>
      </c>
      <c r="B2112" t="s">
        <v>851</v>
      </c>
      <c r="C2112" t="s">
        <v>5579</v>
      </c>
      <c r="D2112" t="s">
        <v>18829</v>
      </c>
      <c r="E2112" t="s">
        <v>20840</v>
      </c>
      <c r="F2112" t="s">
        <v>32664</v>
      </c>
      <c r="G2112" t="s">
        <v>32672</v>
      </c>
      <c r="H2112" t="s">
        <v>12635</v>
      </c>
      <c r="I2112" t="s">
        <v>4439</v>
      </c>
      <c r="J2112" t="s">
        <v>34324</v>
      </c>
      <c r="K2112" t="s">
        <v>42281</v>
      </c>
      <c r="M2112" t="s">
        <v>43447</v>
      </c>
      <c r="N2112" t="s">
        <v>46569</v>
      </c>
      <c r="O2112" t="s">
        <v>46570</v>
      </c>
      <c r="P2112">
        <v>0</v>
      </c>
      <c r="Q2112">
        <v>0</v>
      </c>
      <c r="R2112" t="s">
        <v>46571</v>
      </c>
      <c r="S2112" t="s">
        <v>46687</v>
      </c>
      <c r="T2112" t="s">
        <v>48366</v>
      </c>
      <c r="U2112" t="s">
        <v>50429</v>
      </c>
      <c r="W2112" t="s">
        <v>43447</v>
      </c>
      <c r="X2112" t="s">
        <v>46572</v>
      </c>
    </row>
    <row r="2113" spans="1:24">
      <c r="A2113">
        <f>HYPERLINK("https://www.philgeps.gov.ph/GEPSNONPILOT/Tender/SplashBidNoticeAbstractUI.aspx?menuIndex=3&amp;refID=7066919&amp;Result=3","7066919")</f>
        <v>0</v>
      </c>
      <c r="B2113" t="s">
        <v>892</v>
      </c>
      <c r="C2113" t="s">
        <v>5580</v>
      </c>
      <c r="D2113" t="s">
        <v>18813</v>
      </c>
      <c r="E2113" t="s">
        <v>20841</v>
      </c>
      <c r="F2113" t="s">
        <v>32664</v>
      </c>
      <c r="G2113" t="s">
        <v>32671</v>
      </c>
      <c r="H2113" t="s">
        <v>12635</v>
      </c>
      <c r="I2113" t="s">
        <v>6223</v>
      </c>
      <c r="J2113" t="s">
        <v>33267</v>
      </c>
      <c r="K2113" t="s">
        <v>42295</v>
      </c>
      <c r="M2113" t="s">
        <v>43495</v>
      </c>
      <c r="N2113" t="s">
        <v>46569</v>
      </c>
      <c r="O2113" t="s">
        <v>46570</v>
      </c>
      <c r="P2113">
        <v>0</v>
      </c>
      <c r="Q2113">
        <v>1</v>
      </c>
      <c r="R2113" t="s">
        <v>46571</v>
      </c>
      <c r="S2113" t="s">
        <v>46687</v>
      </c>
      <c r="T2113" t="s">
        <v>48244</v>
      </c>
      <c r="U2113" t="s">
        <v>50529</v>
      </c>
      <c r="W2113" t="s">
        <v>43495</v>
      </c>
      <c r="X2113" t="s">
        <v>46572</v>
      </c>
    </row>
    <row r="2114" spans="1:24">
      <c r="A2114">
        <f>HYPERLINK("https://www.philgeps.gov.ph/GEPSNONPILOT/Tender/SplashBidNoticeAbstractUI.aspx?menuIndex=3&amp;refID=7066864&amp;Result=3","7066864")</f>
        <v>0</v>
      </c>
      <c r="B2114" t="s">
        <v>863</v>
      </c>
      <c r="C2114" t="s">
        <v>5581</v>
      </c>
      <c r="D2114" t="s">
        <v>18782</v>
      </c>
      <c r="E2114" t="s">
        <v>20842</v>
      </c>
      <c r="F2114" t="s">
        <v>32664</v>
      </c>
      <c r="G2114" t="s">
        <v>32671</v>
      </c>
      <c r="H2114" t="s">
        <v>12635</v>
      </c>
      <c r="I2114" t="s">
        <v>6628</v>
      </c>
      <c r="J2114" t="s">
        <v>33118</v>
      </c>
      <c r="K2114" t="s">
        <v>42281</v>
      </c>
      <c r="M2114" t="s">
        <v>43462</v>
      </c>
      <c r="N2114" t="s">
        <v>46569</v>
      </c>
      <c r="O2114" t="s">
        <v>46570</v>
      </c>
      <c r="P2114">
        <v>0</v>
      </c>
      <c r="Q2114">
        <v>0</v>
      </c>
      <c r="R2114" t="s">
        <v>46571</v>
      </c>
      <c r="S2114" t="s">
        <v>46687</v>
      </c>
      <c r="T2114" t="s">
        <v>48246</v>
      </c>
      <c r="U2114" t="s">
        <v>50530</v>
      </c>
      <c r="W2114" t="s">
        <v>43462</v>
      </c>
      <c r="X2114" t="s">
        <v>46572</v>
      </c>
    </row>
    <row r="2115" spans="1:24">
      <c r="A2115">
        <f>HYPERLINK("https://www.philgeps.gov.ph/GEPSNONPILOT/Tender/SplashBidNoticeAbstractUI.aspx?menuIndex=3&amp;refID=7066917&amp;Result=3","7066917")</f>
        <v>0</v>
      </c>
      <c r="B2115" t="s">
        <v>496</v>
      </c>
      <c r="C2115" t="s">
        <v>5582</v>
      </c>
      <c r="D2115" t="s">
        <v>18791</v>
      </c>
      <c r="E2115" t="s">
        <v>20843</v>
      </c>
      <c r="F2115" t="s">
        <v>32664</v>
      </c>
      <c r="G2115" t="s">
        <v>32674</v>
      </c>
      <c r="H2115" t="s">
        <v>12635</v>
      </c>
      <c r="I2115" t="s">
        <v>5589</v>
      </c>
      <c r="J2115" t="s">
        <v>32842</v>
      </c>
      <c r="K2115" t="s">
        <v>42298</v>
      </c>
      <c r="M2115" t="s">
        <v>43072</v>
      </c>
      <c r="N2115" t="s">
        <v>46569</v>
      </c>
      <c r="O2115" t="s">
        <v>46570</v>
      </c>
      <c r="P2115">
        <v>0</v>
      </c>
      <c r="Q2115">
        <v>2</v>
      </c>
      <c r="R2115" t="s">
        <v>46571</v>
      </c>
      <c r="S2115" t="s">
        <v>46687</v>
      </c>
      <c r="T2115" t="s">
        <v>48312</v>
      </c>
      <c r="U2115" t="s">
        <v>50531</v>
      </c>
      <c r="W2115" t="s">
        <v>43072</v>
      </c>
      <c r="X2115" t="s">
        <v>46572</v>
      </c>
    </row>
    <row r="2116" spans="1:24">
      <c r="A2116">
        <f>HYPERLINK("https://www.philgeps.gov.ph/GEPSNONPILOT/Tender/SplashBidNoticeAbstractUI.aspx?menuIndex=3&amp;refID=7066952&amp;Result=3","7066952")</f>
        <v>0</v>
      </c>
      <c r="B2116" t="s">
        <v>811</v>
      </c>
      <c r="C2116" t="s">
        <v>5583</v>
      </c>
      <c r="D2116" t="s">
        <v>18802</v>
      </c>
      <c r="E2116" t="s">
        <v>20844</v>
      </c>
      <c r="F2116" t="s">
        <v>32664</v>
      </c>
      <c r="G2116" t="s">
        <v>32672</v>
      </c>
      <c r="H2116" t="s">
        <v>32683</v>
      </c>
      <c r="I2116" t="s">
        <v>10627</v>
      </c>
      <c r="J2116" t="s">
        <v>34325</v>
      </c>
      <c r="K2116" t="s">
        <v>42316</v>
      </c>
      <c r="M2116" t="s">
        <v>43405</v>
      </c>
      <c r="N2116" t="s">
        <v>46569</v>
      </c>
      <c r="O2116" t="s">
        <v>46570</v>
      </c>
      <c r="P2116">
        <v>0</v>
      </c>
      <c r="Q2116">
        <v>0</v>
      </c>
      <c r="R2116" t="s">
        <v>46571</v>
      </c>
      <c r="S2116" t="s">
        <v>46687</v>
      </c>
      <c r="T2116" t="s">
        <v>48216</v>
      </c>
      <c r="U2116" t="s">
        <v>50532</v>
      </c>
      <c r="W2116" t="s">
        <v>43405</v>
      </c>
      <c r="X2116" t="s">
        <v>46572</v>
      </c>
    </row>
    <row r="2117" spans="1:24">
      <c r="A2117">
        <f>HYPERLINK("https://www.philgeps.gov.ph/GEPSNONPILOT/Tender/SplashBidNoticeAbstractUI.aspx?menuIndex=3&amp;refID=7066955&amp;Result=3","7066955")</f>
        <v>0</v>
      </c>
      <c r="B2117" t="s">
        <v>439</v>
      </c>
      <c r="C2117" t="s">
        <v>5584</v>
      </c>
      <c r="D2117" t="s">
        <v>18792</v>
      </c>
      <c r="E2117" t="s">
        <v>20845</v>
      </c>
      <c r="F2117" t="s">
        <v>32664</v>
      </c>
      <c r="G2117" t="s">
        <v>32671</v>
      </c>
      <c r="H2117" t="s">
        <v>12635</v>
      </c>
      <c r="I2117" t="s">
        <v>32692</v>
      </c>
      <c r="J2117" t="s">
        <v>34326</v>
      </c>
      <c r="K2117" t="s">
        <v>42284</v>
      </c>
      <c r="M2117" t="s">
        <v>43489</v>
      </c>
      <c r="N2117" t="s">
        <v>46569</v>
      </c>
      <c r="O2117" t="s">
        <v>46570</v>
      </c>
      <c r="P2117">
        <v>0</v>
      </c>
      <c r="Q2117">
        <v>0</v>
      </c>
      <c r="R2117" t="s">
        <v>46571</v>
      </c>
      <c r="S2117" t="s">
        <v>46687</v>
      </c>
      <c r="T2117" t="s">
        <v>48256</v>
      </c>
      <c r="U2117" t="s">
        <v>50533</v>
      </c>
      <c r="W2117" t="s">
        <v>43489</v>
      </c>
      <c r="X2117" t="s">
        <v>46572</v>
      </c>
    </row>
    <row r="2118" spans="1:24">
      <c r="A2118">
        <f>HYPERLINK("https://www.philgeps.gov.ph/GEPSNONPILOT/Tender/SplashBidNoticeAbstractUI.aspx?menuIndex=3&amp;refID=7066920&amp;Result=3","7066920")</f>
        <v>0</v>
      </c>
      <c r="B2118" t="s">
        <v>859</v>
      </c>
      <c r="C2118" t="s">
        <v>5585</v>
      </c>
      <c r="D2118" t="s">
        <v>18827</v>
      </c>
      <c r="E2118" t="s">
        <v>20846</v>
      </c>
      <c r="F2118" t="s">
        <v>32664</v>
      </c>
      <c r="G2118" t="s">
        <v>32671</v>
      </c>
      <c r="H2118" t="s">
        <v>12635</v>
      </c>
      <c r="I2118" t="s">
        <v>8797</v>
      </c>
      <c r="J2118" t="s">
        <v>33078</v>
      </c>
      <c r="K2118" t="s">
        <v>42306</v>
      </c>
      <c r="M2118" t="s">
        <v>43458</v>
      </c>
      <c r="N2118" t="s">
        <v>46569</v>
      </c>
      <c r="O2118" t="s">
        <v>46570</v>
      </c>
      <c r="P2118">
        <v>0</v>
      </c>
      <c r="Q2118">
        <v>0</v>
      </c>
      <c r="R2118" t="s">
        <v>46571</v>
      </c>
      <c r="S2118" t="s">
        <v>46687</v>
      </c>
      <c r="T2118" t="s">
        <v>48219</v>
      </c>
      <c r="U2118" t="s">
        <v>50534</v>
      </c>
      <c r="W2118" t="s">
        <v>43458</v>
      </c>
      <c r="X2118" t="s">
        <v>46572</v>
      </c>
    </row>
    <row r="2119" spans="1:24">
      <c r="A2119">
        <f>HYPERLINK("https://www.philgeps.gov.ph/GEPSNONPILOT/Tender/SplashBidNoticeAbstractUI.aspx?menuIndex=3&amp;refID=7066926&amp;Result=3","7066926")</f>
        <v>0</v>
      </c>
      <c r="B2119" t="s">
        <v>888</v>
      </c>
      <c r="C2119" t="s">
        <v>5586</v>
      </c>
      <c r="D2119" t="s">
        <v>18785</v>
      </c>
      <c r="E2119" t="s">
        <v>20847</v>
      </c>
      <c r="F2119" t="s">
        <v>32664</v>
      </c>
      <c r="G2119" t="s">
        <v>32672</v>
      </c>
      <c r="H2119" t="s">
        <v>12635</v>
      </c>
      <c r="I2119" t="s">
        <v>32706</v>
      </c>
      <c r="J2119" t="s">
        <v>34327</v>
      </c>
      <c r="K2119" t="s">
        <v>42284</v>
      </c>
      <c r="M2119" t="s">
        <v>43491</v>
      </c>
      <c r="N2119" t="s">
        <v>46569</v>
      </c>
      <c r="O2119" t="s">
        <v>46570</v>
      </c>
      <c r="P2119">
        <v>0</v>
      </c>
      <c r="Q2119">
        <v>0</v>
      </c>
      <c r="R2119" t="s">
        <v>46571</v>
      </c>
      <c r="S2119" t="s">
        <v>46687</v>
      </c>
      <c r="T2119" t="s">
        <v>48308</v>
      </c>
      <c r="U2119" t="s">
        <v>50535</v>
      </c>
      <c r="V2119" t="s">
        <v>61839</v>
      </c>
      <c r="W2119" t="s">
        <v>43491</v>
      </c>
      <c r="X2119" t="s">
        <v>46572</v>
      </c>
    </row>
    <row r="2120" spans="1:24">
      <c r="A2120">
        <f>HYPERLINK("https://www.philgeps.gov.ph/GEPSNONPILOT/Tender/SplashBidNoticeAbstractUI.aspx?menuIndex=3&amp;refID=7066953&amp;Result=3","7066953")</f>
        <v>0</v>
      </c>
      <c r="B2120" t="s">
        <v>527</v>
      </c>
      <c r="C2120" t="s">
        <v>5587</v>
      </c>
      <c r="D2120" t="s">
        <v>18784</v>
      </c>
      <c r="E2120" t="s">
        <v>20848</v>
      </c>
      <c r="F2120" t="s">
        <v>32664</v>
      </c>
      <c r="G2120" t="s">
        <v>32671</v>
      </c>
      <c r="H2120" t="s">
        <v>12635</v>
      </c>
      <c r="I2120" t="s">
        <v>10627</v>
      </c>
      <c r="J2120" t="s">
        <v>32898</v>
      </c>
      <c r="K2120" t="s">
        <v>42325</v>
      </c>
      <c r="M2120" t="s">
        <v>43496</v>
      </c>
      <c r="N2120" t="s">
        <v>46569</v>
      </c>
      <c r="O2120" t="s">
        <v>46570</v>
      </c>
      <c r="P2120">
        <v>0</v>
      </c>
      <c r="Q2120">
        <v>0</v>
      </c>
      <c r="R2120" t="s">
        <v>46571</v>
      </c>
      <c r="S2120" t="s">
        <v>46687</v>
      </c>
      <c r="T2120" t="s">
        <v>48283</v>
      </c>
      <c r="U2120" t="s">
        <v>49741</v>
      </c>
      <c r="W2120" t="s">
        <v>43496</v>
      </c>
      <c r="X2120" t="s">
        <v>46572</v>
      </c>
    </row>
    <row r="2121" spans="1:24">
      <c r="A2121">
        <f>HYPERLINK("https://www.philgeps.gov.ph/GEPSNONPILOT/Tender/SplashBidNoticeAbstractUI.aspx?menuIndex=3&amp;refID=7066918&amp;Result=3","7066918")</f>
        <v>0</v>
      </c>
      <c r="B2121" t="s">
        <v>714</v>
      </c>
      <c r="C2121" t="s">
        <v>5588</v>
      </c>
      <c r="D2121" t="s">
        <v>18846</v>
      </c>
      <c r="E2121" t="s">
        <v>20849</v>
      </c>
      <c r="F2121" t="s">
        <v>32664</v>
      </c>
      <c r="G2121" t="s">
        <v>32674</v>
      </c>
      <c r="H2121" t="s">
        <v>12635</v>
      </c>
      <c r="I2121" t="s">
        <v>4439</v>
      </c>
      <c r="J2121" t="s">
        <v>34328</v>
      </c>
      <c r="K2121" t="s">
        <v>42321</v>
      </c>
      <c r="M2121" t="s">
        <v>43301</v>
      </c>
      <c r="N2121" t="s">
        <v>46569</v>
      </c>
      <c r="O2121" t="s">
        <v>46570</v>
      </c>
      <c r="P2121">
        <v>0</v>
      </c>
      <c r="Q2121">
        <v>0</v>
      </c>
      <c r="R2121" t="s">
        <v>46571</v>
      </c>
      <c r="S2121" t="s">
        <v>46687</v>
      </c>
      <c r="T2121" t="s">
        <v>48283</v>
      </c>
      <c r="U2121" t="s">
        <v>50115</v>
      </c>
      <c r="W2121" t="s">
        <v>43301</v>
      </c>
      <c r="X2121" t="s">
        <v>46572</v>
      </c>
    </row>
    <row r="2122" spans="1:24">
      <c r="A2122">
        <f>HYPERLINK("https://www.philgeps.gov.ph/GEPSNONPILOT/Tender/SplashBidNoticeAbstractUI.aspx?menuIndex=3&amp;refID=7066951&amp;Result=3","7066951")</f>
        <v>0</v>
      </c>
      <c r="B2122" t="s">
        <v>893</v>
      </c>
      <c r="C2122" t="s">
        <v>5589</v>
      </c>
      <c r="D2122" t="s">
        <v>18794</v>
      </c>
      <c r="E2122" t="s">
        <v>20850</v>
      </c>
      <c r="F2122" t="s">
        <v>32664</v>
      </c>
      <c r="G2122" t="s">
        <v>32674</v>
      </c>
      <c r="H2122" t="s">
        <v>12635</v>
      </c>
      <c r="I2122" t="s">
        <v>5589</v>
      </c>
      <c r="J2122" t="s">
        <v>32984</v>
      </c>
      <c r="K2122" t="s">
        <v>42295</v>
      </c>
      <c r="M2122" t="s">
        <v>43497</v>
      </c>
      <c r="N2122" t="s">
        <v>46569</v>
      </c>
      <c r="O2122" t="s">
        <v>46570</v>
      </c>
      <c r="P2122">
        <v>0</v>
      </c>
      <c r="Q2122">
        <v>0</v>
      </c>
      <c r="R2122" t="s">
        <v>46571</v>
      </c>
      <c r="S2122" t="s">
        <v>46687</v>
      </c>
      <c r="T2122" t="s">
        <v>48432</v>
      </c>
      <c r="U2122" t="s">
        <v>50536</v>
      </c>
      <c r="W2122" t="s">
        <v>43497</v>
      </c>
      <c r="X2122" t="s">
        <v>46572</v>
      </c>
    </row>
    <row r="2123" spans="1:24">
      <c r="A2123">
        <f>HYPERLINK("https://www.philgeps.gov.ph/GEPSNONPILOT/Tender/SplashBidNoticeAbstractUI.aspx?menuIndex=3&amp;refID=7066950&amp;Result=3","7066950")</f>
        <v>0</v>
      </c>
      <c r="B2123" t="s">
        <v>894</v>
      </c>
      <c r="C2123" t="s">
        <v>5590</v>
      </c>
      <c r="D2123" t="s">
        <v>18784</v>
      </c>
      <c r="E2123" t="s">
        <v>20851</v>
      </c>
      <c r="F2123" t="s">
        <v>32664</v>
      </c>
      <c r="G2123" t="s">
        <v>32672</v>
      </c>
      <c r="H2123" t="s">
        <v>12635</v>
      </c>
      <c r="I2123" t="s">
        <v>6223</v>
      </c>
      <c r="J2123" t="s">
        <v>33696</v>
      </c>
      <c r="K2123" t="s">
        <v>42309</v>
      </c>
      <c r="M2123" t="s">
        <v>43498</v>
      </c>
      <c r="N2123" t="s">
        <v>46569</v>
      </c>
      <c r="O2123" t="s">
        <v>46570</v>
      </c>
      <c r="P2123">
        <v>0</v>
      </c>
      <c r="Q2123">
        <v>0</v>
      </c>
      <c r="R2123" t="s">
        <v>46571</v>
      </c>
      <c r="S2123" t="s">
        <v>46687</v>
      </c>
      <c r="T2123" t="s">
        <v>48211</v>
      </c>
      <c r="U2123" t="s">
        <v>50537</v>
      </c>
      <c r="W2123" t="s">
        <v>43498</v>
      </c>
      <c r="X2123" t="s">
        <v>46572</v>
      </c>
    </row>
    <row r="2124" spans="1:24">
      <c r="A2124">
        <f>HYPERLINK("https://www.philgeps.gov.ph/GEPSNONPILOT/Tender/SplashBidNoticeAbstractUI.aspx?menuIndex=3&amp;refID=7066949&amp;Result=3","7066949")</f>
        <v>0</v>
      </c>
      <c r="B2124" t="s">
        <v>892</v>
      </c>
      <c r="C2124" t="s">
        <v>5591</v>
      </c>
      <c r="D2124" t="s">
        <v>18813</v>
      </c>
      <c r="E2124" t="s">
        <v>20852</v>
      </c>
      <c r="F2124" t="s">
        <v>32664</v>
      </c>
      <c r="G2124" t="s">
        <v>32671</v>
      </c>
      <c r="H2124" t="s">
        <v>12635</v>
      </c>
      <c r="I2124" t="s">
        <v>6118</v>
      </c>
      <c r="J2124" t="s">
        <v>34329</v>
      </c>
      <c r="K2124" t="s">
        <v>42284</v>
      </c>
      <c r="M2124" t="s">
        <v>43495</v>
      </c>
      <c r="N2124" t="s">
        <v>46569</v>
      </c>
      <c r="O2124" t="s">
        <v>46570</v>
      </c>
      <c r="P2124">
        <v>0</v>
      </c>
      <c r="Q2124">
        <v>0</v>
      </c>
      <c r="R2124" t="s">
        <v>46571</v>
      </c>
      <c r="S2124" t="s">
        <v>46687</v>
      </c>
      <c r="T2124" t="s">
        <v>48244</v>
      </c>
      <c r="U2124" t="s">
        <v>50538</v>
      </c>
      <c r="W2124" t="s">
        <v>43495</v>
      </c>
      <c r="X2124" t="s">
        <v>46572</v>
      </c>
    </row>
    <row r="2125" spans="1:24">
      <c r="A2125">
        <f>HYPERLINK("https://www.philgeps.gov.ph/GEPSNONPILOT/Tender/SplashBidNoticeAbstractUI.aspx?menuIndex=3&amp;refID=7066923&amp;Result=3","7066923")</f>
        <v>0</v>
      </c>
      <c r="B2125" t="s">
        <v>611</v>
      </c>
      <c r="C2125" t="s">
        <v>5592</v>
      </c>
      <c r="D2125" t="s">
        <v>18784</v>
      </c>
      <c r="E2125" t="s">
        <v>20853</v>
      </c>
      <c r="F2125" t="s">
        <v>32664</v>
      </c>
      <c r="G2125" t="s">
        <v>32671</v>
      </c>
      <c r="H2125" t="s">
        <v>12635</v>
      </c>
      <c r="I2125" t="s">
        <v>32700</v>
      </c>
      <c r="J2125" t="s">
        <v>32898</v>
      </c>
      <c r="K2125" t="s">
        <v>42283</v>
      </c>
      <c r="M2125" t="s">
        <v>43191</v>
      </c>
      <c r="N2125" t="s">
        <v>46569</v>
      </c>
      <c r="O2125" t="s">
        <v>46570</v>
      </c>
      <c r="P2125">
        <v>0</v>
      </c>
      <c r="Q2125">
        <v>0</v>
      </c>
      <c r="R2125" t="s">
        <v>46571</v>
      </c>
      <c r="S2125" t="s">
        <v>46687</v>
      </c>
      <c r="T2125" t="s">
        <v>48250</v>
      </c>
      <c r="U2125" t="s">
        <v>50539</v>
      </c>
      <c r="W2125" t="s">
        <v>43191</v>
      </c>
      <c r="X2125" t="s">
        <v>46572</v>
      </c>
    </row>
    <row r="2126" spans="1:24">
      <c r="A2126">
        <f>HYPERLINK("https://www.philgeps.gov.ph/GEPSNONPILOT/Tender/SplashBidNoticeAbstractUI.aspx?menuIndex=3&amp;refID=7066948&amp;Result=3","7066948")</f>
        <v>0</v>
      </c>
      <c r="B2126" t="s">
        <v>720</v>
      </c>
      <c r="C2126" t="s">
        <v>5593</v>
      </c>
      <c r="D2126" t="s">
        <v>18784</v>
      </c>
      <c r="E2126" t="s">
        <v>20854</v>
      </c>
      <c r="F2126" t="s">
        <v>32664</v>
      </c>
      <c r="G2126" t="s">
        <v>32671</v>
      </c>
      <c r="H2126" t="s">
        <v>12635</v>
      </c>
      <c r="I2126" t="s">
        <v>32704</v>
      </c>
      <c r="J2126" t="s">
        <v>33309</v>
      </c>
      <c r="K2126" t="s">
        <v>42284</v>
      </c>
      <c r="M2126" t="s">
        <v>43307</v>
      </c>
      <c r="N2126" t="s">
        <v>46569</v>
      </c>
      <c r="O2126" t="s">
        <v>46570</v>
      </c>
      <c r="P2126">
        <v>0</v>
      </c>
      <c r="Q2126">
        <v>3</v>
      </c>
      <c r="R2126" t="s">
        <v>46571</v>
      </c>
      <c r="S2126" t="s">
        <v>46687</v>
      </c>
      <c r="T2126" t="s">
        <v>48312</v>
      </c>
      <c r="U2126" t="s">
        <v>50132</v>
      </c>
      <c r="W2126" t="s">
        <v>43307</v>
      </c>
      <c r="X2126" t="s">
        <v>46572</v>
      </c>
    </row>
    <row r="2127" spans="1:24">
      <c r="A2127">
        <f>HYPERLINK("https://www.philgeps.gov.ph/GEPSNONPILOT/Tender/SplashBidNoticeAbstractUI.aspx?menuIndex=3&amp;refID=7066946&amp;Result=3","7066946")</f>
        <v>0</v>
      </c>
      <c r="B2127" t="s">
        <v>863</v>
      </c>
      <c r="C2127" t="s">
        <v>5594</v>
      </c>
      <c r="D2127" t="s">
        <v>18782</v>
      </c>
      <c r="E2127" t="s">
        <v>20855</v>
      </c>
      <c r="F2127" t="s">
        <v>32664</v>
      </c>
      <c r="G2127" t="s">
        <v>32671</v>
      </c>
      <c r="H2127" t="s">
        <v>12635</v>
      </c>
      <c r="I2127" t="s">
        <v>32686</v>
      </c>
      <c r="J2127" t="s">
        <v>34330</v>
      </c>
      <c r="K2127" t="s">
        <v>42281</v>
      </c>
      <c r="M2127" t="s">
        <v>43462</v>
      </c>
      <c r="N2127" t="s">
        <v>46569</v>
      </c>
      <c r="O2127" t="s">
        <v>46570</v>
      </c>
      <c r="P2127">
        <v>0</v>
      </c>
      <c r="Q2127">
        <v>2</v>
      </c>
      <c r="R2127" t="s">
        <v>46571</v>
      </c>
      <c r="S2127" t="s">
        <v>46687</v>
      </c>
      <c r="T2127" t="s">
        <v>48246</v>
      </c>
      <c r="U2127" t="s">
        <v>50540</v>
      </c>
      <c r="W2127" t="s">
        <v>43462</v>
      </c>
      <c r="X2127" t="s">
        <v>46572</v>
      </c>
    </row>
    <row r="2128" spans="1:24">
      <c r="A2128">
        <f>HYPERLINK("https://www.philgeps.gov.ph/GEPSNONPILOT/Tender/SplashBidNoticeAbstractUI.aspx?menuIndex=3&amp;refID=7066944&amp;Result=3","7066944")</f>
        <v>0</v>
      </c>
      <c r="B2128" t="s">
        <v>895</v>
      </c>
      <c r="C2128" t="s">
        <v>5595</v>
      </c>
      <c r="D2128" t="s">
        <v>18784</v>
      </c>
      <c r="E2128" t="s">
        <v>20856</v>
      </c>
      <c r="F2128" t="s">
        <v>32664</v>
      </c>
      <c r="G2128" t="s">
        <v>32674</v>
      </c>
      <c r="H2128" t="s">
        <v>12635</v>
      </c>
      <c r="I2128" t="s">
        <v>5589</v>
      </c>
      <c r="J2128" t="s">
        <v>34331</v>
      </c>
      <c r="K2128" t="s">
        <v>42284</v>
      </c>
      <c r="M2128" t="s">
        <v>43499</v>
      </c>
      <c r="N2128" t="s">
        <v>46569</v>
      </c>
      <c r="O2128" t="s">
        <v>46570</v>
      </c>
      <c r="P2128">
        <v>0</v>
      </c>
      <c r="Q2128">
        <v>6</v>
      </c>
      <c r="R2128" t="s">
        <v>46571</v>
      </c>
      <c r="S2128" t="s">
        <v>46687</v>
      </c>
      <c r="T2128" t="s">
        <v>48256</v>
      </c>
      <c r="U2128" t="s">
        <v>50541</v>
      </c>
      <c r="W2128" t="s">
        <v>43499</v>
      </c>
      <c r="X2128" t="s">
        <v>46572</v>
      </c>
    </row>
    <row r="2129" spans="1:24">
      <c r="A2129">
        <f>HYPERLINK("https://www.philgeps.gov.ph/GEPSNONPILOT/Tender/SplashBidNoticeAbstractUI.aspx?menuIndex=3&amp;refID=7066943&amp;Result=3","7066943")</f>
        <v>0</v>
      </c>
      <c r="B2129" t="s">
        <v>502</v>
      </c>
      <c r="C2129" t="s">
        <v>5596</v>
      </c>
      <c r="D2129" t="s">
        <v>18782</v>
      </c>
      <c r="E2129" t="s">
        <v>20857</v>
      </c>
      <c r="F2129" t="s">
        <v>32664</v>
      </c>
      <c r="G2129" t="s">
        <v>32671</v>
      </c>
      <c r="H2129" t="s">
        <v>12635</v>
      </c>
      <c r="I2129" t="s">
        <v>32684</v>
      </c>
      <c r="J2129" t="s">
        <v>34332</v>
      </c>
      <c r="K2129" t="s">
        <v>42289</v>
      </c>
      <c r="M2129" t="s">
        <v>43078</v>
      </c>
      <c r="N2129" t="s">
        <v>46569</v>
      </c>
      <c r="O2129" t="s">
        <v>46570</v>
      </c>
      <c r="P2129">
        <v>0</v>
      </c>
      <c r="Q2129">
        <v>1</v>
      </c>
      <c r="R2129" t="s">
        <v>46571</v>
      </c>
      <c r="S2129" t="s">
        <v>46687</v>
      </c>
      <c r="T2129" t="s">
        <v>48283</v>
      </c>
      <c r="U2129" t="s">
        <v>49672</v>
      </c>
      <c r="W2129" t="s">
        <v>43078</v>
      </c>
      <c r="X2129" t="s">
        <v>46572</v>
      </c>
    </row>
    <row r="2130" spans="1:24">
      <c r="A2130">
        <f>HYPERLINK("https://www.philgeps.gov.ph/GEPSNONPILOT/Tender/SplashBidNoticeAbstractUI.aspx?menuIndex=3&amp;refID=7066941&amp;Result=3","7066941")</f>
        <v>0</v>
      </c>
      <c r="B2130" t="s">
        <v>896</v>
      </c>
      <c r="C2130" t="s">
        <v>5597</v>
      </c>
      <c r="D2130" t="s">
        <v>18785</v>
      </c>
      <c r="E2130" t="s">
        <v>20858</v>
      </c>
      <c r="F2130" t="s">
        <v>32664</v>
      </c>
      <c r="G2130" t="s">
        <v>32672</v>
      </c>
      <c r="H2130" t="s">
        <v>32683</v>
      </c>
      <c r="I2130" t="s">
        <v>10627</v>
      </c>
      <c r="J2130" t="s">
        <v>34333</v>
      </c>
      <c r="K2130" t="s">
        <v>42281</v>
      </c>
      <c r="M2130" t="s">
        <v>43500</v>
      </c>
      <c r="N2130" t="s">
        <v>46569</v>
      </c>
      <c r="O2130" t="s">
        <v>46570</v>
      </c>
      <c r="P2130">
        <v>0</v>
      </c>
      <c r="Q2130">
        <v>0</v>
      </c>
      <c r="R2130" t="s">
        <v>46571</v>
      </c>
      <c r="S2130" t="s">
        <v>46687</v>
      </c>
      <c r="T2130" t="s">
        <v>48270</v>
      </c>
      <c r="U2130" t="s">
        <v>50542</v>
      </c>
      <c r="V2130" t="s">
        <v>61841</v>
      </c>
      <c r="W2130" t="s">
        <v>63493</v>
      </c>
      <c r="X2130" t="s">
        <v>46572</v>
      </c>
    </row>
    <row r="2131" spans="1:24">
      <c r="A2131">
        <f>HYPERLINK("https://www.philgeps.gov.ph/GEPSNONPILOT/Tender/SplashBidNoticeAbstractUI.aspx?menuIndex=3&amp;refID=7066940&amp;Result=3","7066940")</f>
        <v>0</v>
      </c>
      <c r="B2131" t="s">
        <v>780</v>
      </c>
      <c r="C2131" t="s">
        <v>5598</v>
      </c>
      <c r="D2131" t="s">
        <v>18820</v>
      </c>
      <c r="E2131" t="s">
        <v>20859</v>
      </c>
      <c r="F2131" t="s">
        <v>32664</v>
      </c>
      <c r="G2131" t="s">
        <v>32671</v>
      </c>
      <c r="H2131" t="s">
        <v>12635</v>
      </c>
      <c r="I2131" t="s">
        <v>32694</v>
      </c>
      <c r="J2131" t="s">
        <v>34334</v>
      </c>
      <c r="K2131" t="s">
        <v>42281</v>
      </c>
      <c r="M2131" t="s">
        <v>43372</v>
      </c>
      <c r="N2131" t="s">
        <v>46569</v>
      </c>
      <c r="O2131" t="s">
        <v>46570</v>
      </c>
      <c r="P2131">
        <v>0</v>
      </c>
      <c r="Q2131">
        <v>0</v>
      </c>
      <c r="R2131" t="s">
        <v>46571</v>
      </c>
      <c r="S2131" t="s">
        <v>46687</v>
      </c>
      <c r="T2131" t="s">
        <v>48285</v>
      </c>
      <c r="U2131" t="s">
        <v>50255</v>
      </c>
      <c r="W2131" t="s">
        <v>43372</v>
      </c>
      <c r="X2131" t="s">
        <v>46572</v>
      </c>
    </row>
    <row r="2132" spans="1:24">
      <c r="A2132">
        <f>HYPERLINK("https://www.philgeps.gov.ph/GEPSNONPILOT/Tender/SplashBidNoticeAbstractUI.aspx?menuIndex=3&amp;refID=7066939&amp;Result=3","7066939")</f>
        <v>0</v>
      </c>
      <c r="B2132" t="s">
        <v>871</v>
      </c>
      <c r="C2132" t="s">
        <v>5599</v>
      </c>
      <c r="D2132" t="s">
        <v>18784</v>
      </c>
      <c r="E2132" t="s">
        <v>20860</v>
      </c>
      <c r="F2132" t="s">
        <v>32664</v>
      </c>
      <c r="G2132" t="s">
        <v>32672</v>
      </c>
      <c r="H2132" t="s">
        <v>12635</v>
      </c>
      <c r="I2132" t="s">
        <v>13883</v>
      </c>
      <c r="J2132" t="s">
        <v>34335</v>
      </c>
      <c r="K2132" t="s">
        <v>42298</v>
      </c>
      <c r="M2132" t="s">
        <v>43471</v>
      </c>
      <c r="N2132" t="s">
        <v>46569</v>
      </c>
      <c r="O2132" t="s">
        <v>46570</v>
      </c>
      <c r="P2132">
        <v>0</v>
      </c>
      <c r="Q2132">
        <v>6</v>
      </c>
      <c r="R2132" t="s">
        <v>46571</v>
      </c>
      <c r="S2132" t="s">
        <v>46687</v>
      </c>
      <c r="T2132" t="s">
        <v>48253</v>
      </c>
      <c r="U2132" t="s">
        <v>50482</v>
      </c>
      <c r="V2132" t="s">
        <v>61835</v>
      </c>
      <c r="W2132" t="s">
        <v>43471</v>
      </c>
      <c r="X2132" t="s">
        <v>46572</v>
      </c>
    </row>
    <row r="2133" spans="1:24">
      <c r="A2133">
        <f>HYPERLINK("https://www.philgeps.gov.ph/GEPSNONPILOT/Tender/SplashBidNoticeAbstractUI.aspx?menuIndex=3&amp;refID=7066936&amp;Result=3","7066936")</f>
        <v>0</v>
      </c>
      <c r="B2133" t="s">
        <v>863</v>
      </c>
      <c r="C2133" t="s">
        <v>5600</v>
      </c>
      <c r="D2133" t="s">
        <v>18782</v>
      </c>
      <c r="E2133" t="s">
        <v>20861</v>
      </c>
      <c r="F2133" t="s">
        <v>32664</v>
      </c>
      <c r="G2133" t="s">
        <v>32671</v>
      </c>
      <c r="H2133" t="s">
        <v>12635</v>
      </c>
      <c r="I2133" t="s">
        <v>6223</v>
      </c>
      <c r="J2133" t="s">
        <v>32984</v>
      </c>
      <c r="K2133" t="s">
        <v>42281</v>
      </c>
      <c r="M2133" t="s">
        <v>43462</v>
      </c>
      <c r="N2133" t="s">
        <v>46569</v>
      </c>
      <c r="O2133" t="s">
        <v>46570</v>
      </c>
      <c r="P2133">
        <v>0</v>
      </c>
      <c r="Q2133">
        <v>0</v>
      </c>
      <c r="R2133" t="s">
        <v>46571</v>
      </c>
      <c r="S2133" t="s">
        <v>46687</v>
      </c>
      <c r="T2133" t="s">
        <v>48246</v>
      </c>
      <c r="U2133" t="s">
        <v>50543</v>
      </c>
      <c r="W2133" t="s">
        <v>43462</v>
      </c>
      <c r="X2133" t="s">
        <v>46572</v>
      </c>
    </row>
    <row r="2134" spans="1:24">
      <c r="A2134">
        <f>HYPERLINK("https://www.philgeps.gov.ph/GEPSNONPILOT/Tender/SplashBidNoticeAbstractUI.aspx?menuIndex=3&amp;refID=7066935&amp;Result=3","7066935")</f>
        <v>0</v>
      </c>
      <c r="B2134" t="s">
        <v>897</v>
      </c>
      <c r="C2134" t="s">
        <v>5601</v>
      </c>
      <c r="D2134" t="s">
        <v>18830</v>
      </c>
      <c r="E2134" t="s">
        <v>20862</v>
      </c>
      <c r="F2134" t="s">
        <v>32664</v>
      </c>
      <c r="G2134" t="s">
        <v>32671</v>
      </c>
      <c r="H2134" t="s">
        <v>12635</v>
      </c>
      <c r="I2134" t="s">
        <v>32754</v>
      </c>
      <c r="J2134" t="s">
        <v>33102</v>
      </c>
      <c r="K2134" t="s">
        <v>42297</v>
      </c>
      <c r="M2134" t="s">
        <v>43501</v>
      </c>
      <c r="N2134" t="s">
        <v>46569</v>
      </c>
      <c r="O2134" t="s">
        <v>46570</v>
      </c>
      <c r="P2134">
        <v>0</v>
      </c>
      <c r="Q2134">
        <v>1</v>
      </c>
      <c r="R2134" t="s">
        <v>46571</v>
      </c>
      <c r="S2134" t="s">
        <v>46687</v>
      </c>
      <c r="T2134" t="s">
        <v>48221</v>
      </c>
      <c r="U2134" t="s">
        <v>50544</v>
      </c>
      <c r="W2134" t="s">
        <v>43501</v>
      </c>
      <c r="X2134" t="s">
        <v>46572</v>
      </c>
    </row>
    <row r="2135" spans="1:24">
      <c r="A2135">
        <f>HYPERLINK("https://www.philgeps.gov.ph/GEPSNONPILOT/Tender/SplashBidNoticeAbstractUI.aspx?menuIndex=3&amp;refID=7066947&amp;Result=3","7066947")</f>
        <v>0</v>
      </c>
      <c r="B2135" t="s">
        <v>234</v>
      </c>
      <c r="C2135" t="s">
        <v>5602</v>
      </c>
      <c r="D2135" t="s">
        <v>18831</v>
      </c>
      <c r="E2135" t="s">
        <v>20863</v>
      </c>
      <c r="F2135" t="s">
        <v>32665</v>
      </c>
      <c r="G2135" t="s">
        <v>32672</v>
      </c>
      <c r="H2135" t="s">
        <v>12635</v>
      </c>
      <c r="I2135" t="s">
        <v>9486</v>
      </c>
      <c r="J2135" t="s">
        <v>34336</v>
      </c>
      <c r="K2135" t="s">
        <v>42281</v>
      </c>
      <c r="M2135" t="s">
        <v>42799</v>
      </c>
      <c r="N2135" t="s">
        <v>46569</v>
      </c>
      <c r="O2135" t="s">
        <v>46570</v>
      </c>
      <c r="P2135">
        <v>0</v>
      </c>
      <c r="Q2135">
        <v>0</v>
      </c>
      <c r="R2135" t="s">
        <v>46571</v>
      </c>
      <c r="S2135" t="s">
        <v>46687</v>
      </c>
      <c r="T2135" t="s">
        <v>48273</v>
      </c>
      <c r="U2135" t="s">
        <v>50545</v>
      </c>
      <c r="V2135" t="s">
        <v>61733</v>
      </c>
      <c r="W2135" t="s">
        <v>42799</v>
      </c>
      <c r="X2135" t="s">
        <v>46572</v>
      </c>
    </row>
    <row r="2136" spans="1:24">
      <c r="A2136">
        <f>HYPERLINK("https://www.philgeps.gov.ph/GEPSNONPILOT/Tender/SplashBidNoticeAbstractUI.aspx?menuIndex=3&amp;refID=7066915&amp;Result=3","7066915")</f>
        <v>0</v>
      </c>
      <c r="B2136" t="s">
        <v>720</v>
      </c>
      <c r="C2136" t="s">
        <v>5603</v>
      </c>
      <c r="D2136" t="s">
        <v>18784</v>
      </c>
      <c r="E2136" t="s">
        <v>20864</v>
      </c>
      <c r="F2136" t="s">
        <v>32664</v>
      </c>
      <c r="G2136" t="s">
        <v>32671</v>
      </c>
      <c r="H2136" t="s">
        <v>12635</v>
      </c>
      <c r="I2136" t="s">
        <v>32704</v>
      </c>
      <c r="J2136" t="s">
        <v>32853</v>
      </c>
      <c r="K2136" t="s">
        <v>42284</v>
      </c>
      <c r="M2136" t="s">
        <v>43307</v>
      </c>
      <c r="N2136" t="s">
        <v>46569</v>
      </c>
      <c r="O2136" t="s">
        <v>46570</v>
      </c>
      <c r="P2136">
        <v>0</v>
      </c>
      <c r="Q2136">
        <v>4</v>
      </c>
      <c r="R2136" t="s">
        <v>46571</v>
      </c>
      <c r="S2136" t="s">
        <v>46687</v>
      </c>
      <c r="T2136" t="s">
        <v>48312</v>
      </c>
      <c r="U2136" t="s">
        <v>50132</v>
      </c>
      <c r="W2136" t="s">
        <v>43307</v>
      </c>
      <c r="X2136" t="s">
        <v>46572</v>
      </c>
    </row>
    <row r="2137" spans="1:24">
      <c r="A2137">
        <f>HYPERLINK("https://www.philgeps.gov.ph/GEPSNONPILOT/Tender/SplashBidNoticeAbstractUI.aspx?menuIndex=3&amp;refID=7066932&amp;Result=3","7066932")</f>
        <v>0</v>
      </c>
      <c r="B2137" t="s">
        <v>806</v>
      </c>
      <c r="C2137" t="s">
        <v>5604</v>
      </c>
      <c r="D2137" t="s">
        <v>18858</v>
      </c>
      <c r="E2137" t="s">
        <v>20865</v>
      </c>
      <c r="F2137" t="s">
        <v>32668</v>
      </c>
      <c r="G2137" t="s">
        <v>32671</v>
      </c>
      <c r="H2137" t="s">
        <v>12635</v>
      </c>
      <c r="I2137" t="s">
        <v>8958</v>
      </c>
      <c r="J2137" t="s">
        <v>34337</v>
      </c>
      <c r="K2137" t="s">
        <v>42295</v>
      </c>
      <c r="M2137" t="s">
        <v>43398</v>
      </c>
      <c r="N2137" t="s">
        <v>46569</v>
      </c>
      <c r="O2137" t="s">
        <v>46570</v>
      </c>
      <c r="P2137">
        <v>0</v>
      </c>
      <c r="Q2137">
        <v>6</v>
      </c>
      <c r="R2137" t="s">
        <v>46571</v>
      </c>
      <c r="S2137" t="s">
        <v>46687</v>
      </c>
      <c r="T2137" t="s">
        <v>48211</v>
      </c>
      <c r="U2137" t="s">
        <v>50323</v>
      </c>
      <c r="W2137" t="s">
        <v>43398</v>
      </c>
      <c r="X2137" t="s">
        <v>46572</v>
      </c>
    </row>
    <row r="2138" spans="1:24">
      <c r="A2138">
        <f>HYPERLINK("https://www.philgeps.gov.ph/GEPSNONPILOT/Tender/SplashBidNoticeAbstractUI.aspx?menuIndex=3&amp;refID=7066914&amp;Result=3","7066914")</f>
        <v>0</v>
      </c>
      <c r="B2138" t="s">
        <v>871</v>
      </c>
      <c r="C2138" t="s">
        <v>5605</v>
      </c>
      <c r="D2138" t="s">
        <v>18784</v>
      </c>
      <c r="E2138" t="s">
        <v>20866</v>
      </c>
      <c r="F2138" t="s">
        <v>32664</v>
      </c>
      <c r="G2138" t="s">
        <v>32672</v>
      </c>
      <c r="H2138" t="s">
        <v>12635</v>
      </c>
      <c r="I2138" t="s">
        <v>10370</v>
      </c>
      <c r="J2138" t="s">
        <v>34338</v>
      </c>
      <c r="K2138" t="s">
        <v>42281</v>
      </c>
      <c r="M2138" t="s">
        <v>43471</v>
      </c>
      <c r="N2138" t="s">
        <v>46569</v>
      </c>
      <c r="O2138" t="s">
        <v>46570</v>
      </c>
      <c r="P2138">
        <v>0</v>
      </c>
      <c r="Q2138">
        <v>6</v>
      </c>
      <c r="R2138" t="s">
        <v>46571</v>
      </c>
      <c r="S2138" t="s">
        <v>46687</v>
      </c>
      <c r="T2138" t="s">
        <v>48253</v>
      </c>
      <c r="U2138" t="s">
        <v>50482</v>
      </c>
      <c r="V2138" t="s">
        <v>61835</v>
      </c>
      <c r="W2138" t="s">
        <v>43471</v>
      </c>
      <c r="X2138" t="s">
        <v>46572</v>
      </c>
    </row>
    <row r="2139" spans="1:24">
      <c r="A2139">
        <f>HYPERLINK("https://www.philgeps.gov.ph/GEPSNONPILOT/Tender/SplashBidNoticeAbstractUI.aspx?menuIndex=3&amp;refID=7066916&amp;Result=3","7066916")</f>
        <v>0</v>
      </c>
      <c r="B2139" t="s">
        <v>877</v>
      </c>
      <c r="C2139" t="s">
        <v>5606</v>
      </c>
      <c r="D2139" t="s">
        <v>18805</v>
      </c>
      <c r="E2139" t="s">
        <v>20867</v>
      </c>
      <c r="F2139" t="s">
        <v>32664</v>
      </c>
      <c r="G2139" t="s">
        <v>32671</v>
      </c>
      <c r="H2139" t="s">
        <v>12635</v>
      </c>
      <c r="I2139" t="s">
        <v>9486</v>
      </c>
      <c r="J2139" t="s">
        <v>34339</v>
      </c>
      <c r="K2139" t="s">
        <v>42309</v>
      </c>
      <c r="M2139" t="s">
        <v>43477</v>
      </c>
      <c r="N2139" t="s">
        <v>46569</v>
      </c>
      <c r="O2139" t="s">
        <v>46570</v>
      </c>
      <c r="P2139">
        <v>0</v>
      </c>
      <c r="Q2139">
        <v>0</v>
      </c>
      <c r="R2139" t="s">
        <v>46571</v>
      </c>
      <c r="S2139" t="s">
        <v>46687</v>
      </c>
      <c r="T2139" t="s">
        <v>48246</v>
      </c>
      <c r="U2139" t="s">
        <v>50546</v>
      </c>
      <c r="W2139" t="s">
        <v>43477</v>
      </c>
      <c r="X2139" t="s">
        <v>46572</v>
      </c>
    </row>
    <row r="2140" spans="1:24">
      <c r="A2140">
        <f>HYPERLINK("https://www.philgeps.gov.ph/GEPSNONPILOT/Tender/SplashBidNoticeAbstractUI.aspx?menuIndex=3&amp;refID=7066913&amp;Result=3","7066913")</f>
        <v>0</v>
      </c>
      <c r="B2140" t="s">
        <v>253</v>
      </c>
      <c r="C2140" t="s">
        <v>5607</v>
      </c>
      <c r="D2140" t="s">
        <v>18790</v>
      </c>
      <c r="E2140" t="s">
        <v>20868</v>
      </c>
      <c r="F2140" t="s">
        <v>32664</v>
      </c>
      <c r="G2140" t="s">
        <v>32671</v>
      </c>
      <c r="H2140" t="s">
        <v>12635</v>
      </c>
      <c r="I2140" t="s">
        <v>32706</v>
      </c>
      <c r="J2140" t="s">
        <v>33733</v>
      </c>
      <c r="K2140" t="s">
        <v>42283</v>
      </c>
      <c r="M2140" t="s">
        <v>42818</v>
      </c>
      <c r="N2140" t="s">
        <v>46569</v>
      </c>
      <c r="O2140" t="s">
        <v>46570</v>
      </c>
      <c r="P2140">
        <v>0</v>
      </c>
      <c r="Q2140">
        <v>0</v>
      </c>
      <c r="R2140" t="s">
        <v>46571</v>
      </c>
      <c r="S2140" t="s">
        <v>46687</v>
      </c>
      <c r="T2140" t="s">
        <v>48283</v>
      </c>
      <c r="U2140" t="s">
        <v>50547</v>
      </c>
      <c r="W2140" t="s">
        <v>42818</v>
      </c>
      <c r="X2140" t="s">
        <v>46572</v>
      </c>
    </row>
    <row r="2141" spans="1:24">
      <c r="A2141">
        <f>HYPERLINK("https://www.philgeps.gov.ph/GEPSNONPILOT/Tender/SplashBidNoticeAbstractUI.aspx?menuIndex=3&amp;refID=7066846&amp;Result=3","7066846")</f>
        <v>0</v>
      </c>
      <c r="B2141" t="s">
        <v>878</v>
      </c>
      <c r="C2141" t="s">
        <v>5608</v>
      </c>
      <c r="E2141" t="s">
        <v>20869</v>
      </c>
      <c r="F2141" t="s">
        <v>32664</v>
      </c>
      <c r="G2141" t="s">
        <v>32671</v>
      </c>
      <c r="H2141" t="s">
        <v>12635</v>
      </c>
      <c r="I2141" t="s">
        <v>5589</v>
      </c>
      <c r="J2141" t="s">
        <v>34340</v>
      </c>
      <c r="K2141" t="s">
        <v>42283</v>
      </c>
      <c r="M2141" t="s">
        <v>43478</v>
      </c>
      <c r="N2141" t="s">
        <v>46569</v>
      </c>
      <c r="O2141" t="s">
        <v>46570</v>
      </c>
      <c r="P2141">
        <v>0</v>
      </c>
      <c r="Q2141">
        <v>2</v>
      </c>
      <c r="R2141" t="s">
        <v>46571</v>
      </c>
      <c r="S2141" t="s">
        <v>46687</v>
      </c>
      <c r="T2141" t="s">
        <v>48271</v>
      </c>
      <c r="U2141" t="s">
        <v>50548</v>
      </c>
      <c r="W2141" t="s">
        <v>63492</v>
      </c>
      <c r="X2141" t="s">
        <v>46572</v>
      </c>
    </row>
    <row r="2142" spans="1:24">
      <c r="A2142">
        <f>HYPERLINK("https://www.philgeps.gov.ph/GEPSNONPILOT/Tender/SplashBidNoticeAbstractUI.aspx?menuIndex=3&amp;refID=7066933&amp;Result=3","7066933")</f>
        <v>0</v>
      </c>
      <c r="B2142" t="s">
        <v>560</v>
      </c>
      <c r="C2142" t="s">
        <v>5609</v>
      </c>
      <c r="D2142" t="s">
        <v>18806</v>
      </c>
      <c r="E2142" t="s">
        <v>20870</v>
      </c>
      <c r="F2142" t="s">
        <v>32664</v>
      </c>
      <c r="G2142" t="s">
        <v>32673</v>
      </c>
      <c r="H2142" t="s">
        <v>32681</v>
      </c>
      <c r="I2142" t="s">
        <v>32748</v>
      </c>
      <c r="J2142" t="s">
        <v>34341</v>
      </c>
      <c r="K2142" t="s">
        <v>42290</v>
      </c>
      <c r="M2142" t="s">
        <v>43140</v>
      </c>
      <c r="N2142" t="s">
        <v>46569</v>
      </c>
      <c r="O2142" t="s">
        <v>46570</v>
      </c>
      <c r="P2142">
        <v>0</v>
      </c>
      <c r="Q2142">
        <v>0</v>
      </c>
      <c r="R2142" t="s">
        <v>46571</v>
      </c>
      <c r="S2142" t="s">
        <v>46687</v>
      </c>
      <c r="T2142" t="s">
        <v>48245</v>
      </c>
      <c r="U2142" t="s">
        <v>50549</v>
      </c>
      <c r="W2142" t="s">
        <v>43140</v>
      </c>
      <c r="X2142" t="s">
        <v>46572</v>
      </c>
    </row>
    <row r="2143" spans="1:24">
      <c r="A2143">
        <f>HYPERLINK("https://www.philgeps.gov.ph/GEPSNONPILOT/Tender/SplashBidNoticeAbstractUI.aspx?menuIndex=3&amp;refID=7066845&amp;Result=3","7066845")</f>
        <v>0</v>
      </c>
      <c r="B2143" t="s">
        <v>594</v>
      </c>
      <c r="C2143" t="s">
        <v>5610</v>
      </c>
      <c r="D2143" t="s">
        <v>18784</v>
      </c>
      <c r="E2143" t="s">
        <v>20871</v>
      </c>
      <c r="F2143" t="s">
        <v>32664</v>
      </c>
      <c r="G2143" t="s">
        <v>32674</v>
      </c>
      <c r="H2143" t="s">
        <v>12635</v>
      </c>
      <c r="I2143" t="s">
        <v>8797</v>
      </c>
      <c r="J2143" t="s">
        <v>34342</v>
      </c>
      <c r="K2143" t="s">
        <v>42297</v>
      </c>
      <c r="M2143" t="s">
        <v>43174</v>
      </c>
      <c r="N2143" t="s">
        <v>46569</v>
      </c>
      <c r="O2143" t="s">
        <v>46570</v>
      </c>
      <c r="P2143">
        <v>0</v>
      </c>
      <c r="Q2143">
        <v>2</v>
      </c>
      <c r="R2143" t="s">
        <v>46571</v>
      </c>
      <c r="S2143" t="s">
        <v>46687</v>
      </c>
      <c r="T2143" t="s">
        <v>48256</v>
      </c>
      <c r="U2143" t="s">
        <v>50550</v>
      </c>
      <c r="W2143" t="s">
        <v>43174</v>
      </c>
      <c r="X2143" t="s">
        <v>46572</v>
      </c>
    </row>
    <row r="2144" spans="1:24">
      <c r="A2144">
        <f>HYPERLINK("https://www.philgeps.gov.ph/GEPSNONPILOT/Tender/SplashBidNoticeAbstractUI.aspx?menuIndex=3&amp;refID=7066844&amp;Result=3","7066844")</f>
        <v>0</v>
      </c>
      <c r="B2144" t="s">
        <v>812</v>
      </c>
      <c r="C2144" t="s">
        <v>5611</v>
      </c>
      <c r="D2144" t="s">
        <v>18782</v>
      </c>
      <c r="E2144" t="s">
        <v>20872</v>
      </c>
      <c r="F2144" t="s">
        <v>32664</v>
      </c>
      <c r="G2144" t="s">
        <v>32671</v>
      </c>
      <c r="H2144" t="s">
        <v>12635</v>
      </c>
      <c r="I2144" t="s">
        <v>6223</v>
      </c>
      <c r="J2144" t="s">
        <v>34343</v>
      </c>
      <c r="K2144" t="s">
        <v>42295</v>
      </c>
      <c r="M2144" t="s">
        <v>43406</v>
      </c>
      <c r="N2144" t="s">
        <v>46569</v>
      </c>
      <c r="O2144" t="s">
        <v>46570</v>
      </c>
      <c r="P2144">
        <v>0</v>
      </c>
      <c r="Q2144">
        <v>0</v>
      </c>
      <c r="R2144" t="s">
        <v>46571</v>
      </c>
      <c r="S2144" t="s">
        <v>46687</v>
      </c>
      <c r="T2144" t="s">
        <v>48221</v>
      </c>
      <c r="U2144" t="s">
        <v>50339</v>
      </c>
      <c r="W2144" t="s">
        <v>43406</v>
      </c>
      <c r="X2144" t="s">
        <v>46572</v>
      </c>
    </row>
    <row r="2145" spans="1:24">
      <c r="A2145">
        <f>HYPERLINK("https://www.philgeps.gov.ph/GEPSNONPILOT/Tender/SplashBidNoticeAbstractUI.aspx?menuIndex=3&amp;refID=7066912&amp;Result=3","7066912")</f>
        <v>0</v>
      </c>
      <c r="B2145" t="s">
        <v>898</v>
      </c>
      <c r="C2145" t="s">
        <v>3717</v>
      </c>
      <c r="D2145" t="s">
        <v>18784</v>
      </c>
      <c r="E2145" t="s">
        <v>20873</v>
      </c>
      <c r="F2145" t="s">
        <v>32664</v>
      </c>
      <c r="G2145" t="s">
        <v>32672</v>
      </c>
      <c r="H2145" t="s">
        <v>12635</v>
      </c>
      <c r="I2145" t="s">
        <v>6223</v>
      </c>
      <c r="J2145" t="s">
        <v>32853</v>
      </c>
      <c r="K2145" t="s">
        <v>42309</v>
      </c>
      <c r="M2145" t="s">
        <v>43502</v>
      </c>
      <c r="N2145" t="s">
        <v>46569</v>
      </c>
      <c r="O2145" t="s">
        <v>46570</v>
      </c>
      <c r="P2145">
        <v>0</v>
      </c>
      <c r="Q2145">
        <v>0</v>
      </c>
      <c r="R2145" t="s">
        <v>46571</v>
      </c>
      <c r="S2145" t="s">
        <v>46687</v>
      </c>
      <c r="T2145" t="s">
        <v>48433</v>
      </c>
      <c r="U2145" t="s">
        <v>50551</v>
      </c>
      <c r="W2145" t="s">
        <v>43502</v>
      </c>
      <c r="X2145" t="s">
        <v>46572</v>
      </c>
    </row>
    <row r="2146" spans="1:24">
      <c r="A2146">
        <f>HYPERLINK("https://www.philgeps.gov.ph/GEPSNONPILOT/Tender/SplashBidNoticeAbstractUI.aspx?menuIndex=3&amp;refID=7066979&amp;Result=3","7066979")</f>
        <v>0</v>
      </c>
      <c r="B2146" t="s">
        <v>899</v>
      </c>
      <c r="C2146" t="s">
        <v>5612</v>
      </c>
      <c r="D2146" t="s">
        <v>18831</v>
      </c>
      <c r="E2146" t="s">
        <v>20874</v>
      </c>
      <c r="F2146" t="s">
        <v>32664</v>
      </c>
      <c r="G2146" t="s">
        <v>32671</v>
      </c>
      <c r="H2146" t="s">
        <v>12635</v>
      </c>
      <c r="I2146" t="s">
        <v>32685</v>
      </c>
      <c r="J2146" t="s">
        <v>34344</v>
      </c>
      <c r="K2146" t="s">
        <v>42303</v>
      </c>
      <c r="M2146" t="s">
        <v>43503</v>
      </c>
      <c r="N2146" t="s">
        <v>46569</v>
      </c>
      <c r="O2146" t="s">
        <v>46570</v>
      </c>
      <c r="P2146">
        <v>0</v>
      </c>
      <c r="Q2146">
        <v>0</v>
      </c>
      <c r="R2146" t="s">
        <v>46571</v>
      </c>
      <c r="S2146" t="s">
        <v>46687</v>
      </c>
      <c r="T2146" t="s">
        <v>48221</v>
      </c>
      <c r="U2146" t="s">
        <v>50552</v>
      </c>
      <c r="V2146" t="s">
        <v>61842</v>
      </c>
      <c r="W2146" t="s">
        <v>43503</v>
      </c>
      <c r="X2146" t="s">
        <v>46572</v>
      </c>
    </row>
    <row r="2147" spans="1:24">
      <c r="A2147">
        <f>HYPERLINK("https://www.philgeps.gov.ph/GEPSNONPILOT/Tender/SplashBidNoticeAbstractUI.aspx?menuIndex=3&amp;refID=7066843&amp;Result=3","7066843")</f>
        <v>0</v>
      </c>
      <c r="B2147" t="s">
        <v>253</v>
      </c>
      <c r="C2147" t="s">
        <v>5613</v>
      </c>
      <c r="D2147" t="s">
        <v>18790</v>
      </c>
      <c r="E2147" t="s">
        <v>20766</v>
      </c>
      <c r="F2147" t="s">
        <v>32664</v>
      </c>
      <c r="G2147" t="s">
        <v>32671</v>
      </c>
      <c r="H2147" t="s">
        <v>12635</v>
      </c>
      <c r="I2147" t="s">
        <v>4439</v>
      </c>
      <c r="J2147" t="s">
        <v>34280</v>
      </c>
      <c r="K2147" t="s">
        <v>42283</v>
      </c>
      <c r="M2147" t="s">
        <v>42818</v>
      </c>
      <c r="N2147" t="s">
        <v>46569</v>
      </c>
      <c r="O2147" t="s">
        <v>46570</v>
      </c>
      <c r="P2147">
        <v>0</v>
      </c>
      <c r="Q2147">
        <v>0</v>
      </c>
      <c r="R2147" t="s">
        <v>46571</v>
      </c>
      <c r="S2147" t="s">
        <v>46687</v>
      </c>
      <c r="T2147" t="s">
        <v>48283</v>
      </c>
      <c r="U2147" t="s">
        <v>50470</v>
      </c>
      <c r="W2147" t="s">
        <v>42818</v>
      </c>
      <c r="X2147" t="s">
        <v>46572</v>
      </c>
    </row>
    <row r="2148" spans="1:24">
      <c r="A2148">
        <f>HYPERLINK("https://www.philgeps.gov.ph/GEPSNONPILOT/Tender/SplashBidNoticeAbstractUI.aspx?menuIndex=3&amp;refID=7066976&amp;Result=3","7066976")</f>
        <v>0</v>
      </c>
      <c r="B2148" t="s">
        <v>900</v>
      </c>
      <c r="C2148" t="s">
        <v>5614</v>
      </c>
      <c r="E2148" t="s">
        <v>20875</v>
      </c>
      <c r="F2148" t="s">
        <v>32664</v>
      </c>
      <c r="G2148" t="s">
        <v>32674</v>
      </c>
      <c r="H2148" t="s">
        <v>12635</v>
      </c>
      <c r="I2148" t="s">
        <v>7324</v>
      </c>
      <c r="J2148" t="s">
        <v>34345</v>
      </c>
      <c r="K2148" t="s">
        <v>42283</v>
      </c>
      <c r="M2148" t="s">
        <v>43504</v>
      </c>
      <c r="N2148" t="s">
        <v>46569</v>
      </c>
      <c r="O2148" t="s">
        <v>46570</v>
      </c>
      <c r="P2148">
        <v>0</v>
      </c>
      <c r="Q2148">
        <v>0</v>
      </c>
      <c r="R2148" t="s">
        <v>46571</v>
      </c>
      <c r="S2148" t="s">
        <v>46687</v>
      </c>
      <c r="T2148" t="s">
        <v>48244</v>
      </c>
      <c r="U2148" t="s">
        <v>50553</v>
      </c>
      <c r="V2148" t="s">
        <v>61843</v>
      </c>
      <c r="W2148" t="s">
        <v>43504</v>
      </c>
      <c r="X2148" t="s">
        <v>46572</v>
      </c>
    </row>
    <row r="2149" spans="1:24">
      <c r="A2149">
        <f>HYPERLINK("https://www.philgeps.gov.ph/GEPSNONPILOT/Tender/SplashBidNoticeAbstractUI.aspx?menuIndex=3&amp;refID=7066974&amp;Result=3","7066974")</f>
        <v>0</v>
      </c>
      <c r="B2149" t="s">
        <v>871</v>
      </c>
      <c r="C2149" t="s">
        <v>5615</v>
      </c>
      <c r="D2149" t="s">
        <v>18784</v>
      </c>
      <c r="E2149" t="s">
        <v>20876</v>
      </c>
      <c r="F2149" t="s">
        <v>32664</v>
      </c>
      <c r="G2149" t="s">
        <v>32672</v>
      </c>
      <c r="H2149" t="s">
        <v>12635</v>
      </c>
      <c r="I2149" t="s">
        <v>10370</v>
      </c>
      <c r="J2149" t="s">
        <v>34346</v>
      </c>
      <c r="K2149" t="s">
        <v>42281</v>
      </c>
      <c r="M2149" t="s">
        <v>43471</v>
      </c>
      <c r="N2149" t="s">
        <v>46569</v>
      </c>
      <c r="O2149" t="s">
        <v>46570</v>
      </c>
      <c r="P2149">
        <v>0</v>
      </c>
      <c r="Q2149">
        <v>6</v>
      </c>
      <c r="R2149" t="s">
        <v>46571</v>
      </c>
      <c r="S2149" t="s">
        <v>46687</v>
      </c>
      <c r="T2149" t="s">
        <v>48253</v>
      </c>
      <c r="U2149" t="s">
        <v>50482</v>
      </c>
      <c r="V2149" t="s">
        <v>61835</v>
      </c>
      <c r="W2149" t="s">
        <v>43471</v>
      </c>
      <c r="X2149" t="s">
        <v>46572</v>
      </c>
    </row>
    <row r="2150" spans="1:24">
      <c r="A2150">
        <f>HYPERLINK("https://www.philgeps.gov.ph/GEPSNONPILOT/Tender/SplashBidNoticeAbstractUI.aspx?menuIndex=3&amp;refID=7066978&amp;Result=3","7066978")</f>
        <v>0</v>
      </c>
      <c r="B2150" t="s">
        <v>901</v>
      </c>
      <c r="C2150" t="s">
        <v>5616</v>
      </c>
      <c r="D2150" t="s">
        <v>18784</v>
      </c>
      <c r="E2150" t="s">
        <v>20877</v>
      </c>
      <c r="F2150" t="s">
        <v>32664</v>
      </c>
      <c r="G2150" t="s">
        <v>32671</v>
      </c>
      <c r="H2150" t="s">
        <v>32683</v>
      </c>
      <c r="I2150" t="s">
        <v>6553</v>
      </c>
      <c r="J2150" t="s">
        <v>33578</v>
      </c>
      <c r="K2150" t="s">
        <v>42284</v>
      </c>
      <c r="M2150" t="s">
        <v>43505</v>
      </c>
      <c r="N2150" t="s">
        <v>46569</v>
      </c>
      <c r="O2150" t="s">
        <v>46570</v>
      </c>
      <c r="P2150">
        <v>0</v>
      </c>
      <c r="Q2150">
        <v>1</v>
      </c>
      <c r="R2150" t="s">
        <v>46571</v>
      </c>
      <c r="S2150" t="s">
        <v>46687</v>
      </c>
      <c r="T2150" t="s">
        <v>48217</v>
      </c>
      <c r="U2150" t="s">
        <v>50554</v>
      </c>
      <c r="W2150" t="s">
        <v>43505</v>
      </c>
      <c r="X2150" t="s">
        <v>46572</v>
      </c>
    </row>
    <row r="2151" spans="1:24">
      <c r="A2151">
        <f>HYPERLINK("https://www.philgeps.gov.ph/GEPSNONPILOT/Tender/SplashBidNoticeAbstractUI.aspx?menuIndex=3&amp;refID=7066911&amp;Result=3","7066911")</f>
        <v>0</v>
      </c>
      <c r="B2151" t="s">
        <v>902</v>
      </c>
      <c r="C2151" t="s">
        <v>5617</v>
      </c>
      <c r="D2151" t="s">
        <v>18785</v>
      </c>
      <c r="E2151" t="s">
        <v>20878</v>
      </c>
      <c r="F2151" t="s">
        <v>32664</v>
      </c>
      <c r="G2151" t="s">
        <v>32671</v>
      </c>
      <c r="H2151" t="s">
        <v>12635</v>
      </c>
      <c r="I2151" t="s">
        <v>32685</v>
      </c>
      <c r="J2151" t="s">
        <v>34347</v>
      </c>
      <c r="K2151" t="s">
        <v>42298</v>
      </c>
      <c r="M2151" t="s">
        <v>43506</v>
      </c>
      <c r="N2151" t="s">
        <v>46569</v>
      </c>
      <c r="O2151" t="s">
        <v>46570</v>
      </c>
      <c r="P2151">
        <v>0</v>
      </c>
      <c r="Q2151">
        <v>0</v>
      </c>
      <c r="R2151" t="s">
        <v>46571</v>
      </c>
      <c r="S2151" t="s">
        <v>46687</v>
      </c>
      <c r="T2151" t="s">
        <v>48256</v>
      </c>
      <c r="U2151" t="s">
        <v>50555</v>
      </c>
      <c r="W2151" t="s">
        <v>63494</v>
      </c>
      <c r="X2151" t="s">
        <v>46572</v>
      </c>
    </row>
    <row r="2152" spans="1:24">
      <c r="A2152">
        <f>HYPERLINK("https://www.philgeps.gov.ph/GEPSNONPILOT/Tender/SplashBidNoticeAbstractUI.aspx?menuIndex=3&amp;refID=7066973&amp;Result=3","7066973")</f>
        <v>0</v>
      </c>
      <c r="B2152" t="s">
        <v>903</v>
      </c>
      <c r="C2152" t="s">
        <v>5618</v>
      </c>
      <c r="D2152" t="s">
        <v>18786</v>
      </c>
      <c r="E2152" t="s">
        <v>20879</v>
      </c>
      <c r="F2152" t="s">
        <v>32664</v>
      </c>
      <c r="G2152" t="s">
        <v>32671</v>
      </c>
      <c r="H2152" t="s">
        <v>12635</v>
      </c>
      <c r="I2152" t="s">
        <v>32760</v>
      </c>
      <c r="J2152" t="s">
        <v>34348</v>
      </c>
      <c r="K2152" t="s">
        <v>42379</v>
      </c>
      <c r="M2152" t="s">
        <v>43507</v>
      </c>
      <c r="N2152" t="s">
        <v>46569</v>
      </c>
      <c r="O2152" t="s">
        <v>46570</v>
      </c>
      <c r="P2152">
        <v>0</v>
      </c>
      <c r="Q2152">
        <v>0</v>
      </c>
      <c r="R2152" t="s">
        <v>46571</v>
      </c>
      <c r="S2152" t="s">
        <v>46687</v>
      </c>
      <c r="T2152" t="s">
        <v>48221</v>
      </c>
      <c r="U2152" t="s">
        <v>50556</v>
      </c>
      <c r="W2152" t="s">
        <v>43507</v>
      </c>
      <c r="X2152" t="s">
        <v>46572</v>
      </c>
    </row>
    <row r="2153" spans="1:24">
      <c r="A2153">
        <f>HYPERLINK("https://www.philgeps.gov.ph/GEPSNONPILOT/Tender/SplashBidNoticeAbstractUI.aspx?menuIndex=3&amp;refID=7066972&amp;Result=3","7066972")</f>
        <v>0</v>
      </c>
      <c r="B2153" t="s">
        <v>900</v>
      </c>
      <c r="C2153" t="s">
        <v>5619</v>
      </c>
      <c r="E2153" t="s">
        <v>20880</v>
      </c>
      <c r="F2153" t="s">
        <v>32664</v>
      </c>
      <c r="G2153" t="s">
        <v>32674</v>
      </c>
      <c r="H2153" t="s">
        <v>12635</v>
      </c>
      <c r="I2153" t="s">
        <v>13883</v>
      </c>
      <c r="J2153" t="s">
        <v>32845</v>
      </c>
      <c r="K2153" t="s">
        <v>42283</v>
      </c>
      <c r="M2153" t="s">
        <v>43504</v>
      </c>
      <c r="N2153" t="s">
        <v>46569</v>
      </c>
      <c r="O2153" t="s">
        <v>46570</v>
      </c>
      <c r="P2153">
        <v>0</v>
      </c>
      <c r="Q2153">
        <v>0</v>
      </c>
      <c r="R2153" t="s">
        <v>46571</v>
      </c>
      <c r="S2153" t="s">
        <v>46687</v>
      </c>
      <c r="T2153" t="s">
        <v>48244</v>
      </c>
      <c r="U2153" t="s">
        <v>50557</v>
      </c>
      <c r="V2153" t="s">
        <v>61843</v>
      </c>
      <c r="W2153" t="s">
        <v>43504</v>
      </c>
      <c r="X2153" t="s">
        <v>46572</v>
      </c>
    </row>
    <row r="2154" spans="1:24">
      <c r="A2154">
        <f>HYPERLINK("https://www.philgeps.gov.ph/GEPSNONPILOT/Tender/SplashBidNoticeAbstractUI.aspx?menuIndex=3&amp;refID=7066971&amp;Result=3","7066971")</f>
        <v>0</v>
      </c>
      <c r="B2154" t="s">
        <v>238</v>
      </c>
      <c r="C2154" t="s">
        <v>5620</v>
      </c>
      <c r="D2154" t="s">
        <v>18798</v>
      </c>
      <c r="E2154" t="s">
        <v>20881</v>
      </c>
      <c r="F2154" t="s">
        <v>32669</v>
      </c>
      <c r="G2154" t="s">
        <v>32674</v>
      </c>
      <c r="H2154" t="s">
        <v>12635</v>
      </c>
      <c r="I2154" t="s">
        <v>32690</v>
      </c>
      <c r="J2154" t="s">
        <v>34349</v>
      </c>
      <c r="K2154" t="s">
        <v>42295</v>
      </c>
      <c r="M2154" t="s">
        <v>43508</v>
      </c>
      <c r="N2154" t="s">
        <v>46569</v>
      </c>
      <c r="O2154" t="s">
        <v>46570</v>
      </c>
      <c r="P2154">
        <v>0</v>
      </c>
      <c r="Q2154">
        <v>0</v>
      </c>
      <c r="R2154" t="s">
        <v>46571</v>
      </c>
      <c r="S2154" t="s">
        <v>46687</v>
      </c>
      <c r="T2154" t="s">
        <v>48246</v>
      </c>
      <c r="U2154" t="s">
        <v>50558</v>
      </c>
      <c r="W2154" t="s">
        <v>43508</v>
      </c>
      <c r="X2154" t="s">
        <v>46572</v>
      </c>
    </row>
    <row r="2155" spans="1:24">
      <c r="A2155">
        <f>HYPERLINK("https://www.philgeps.gov.ph/GEPSNONPILOT/Tender/SplashBidNoticeAbstractUI.aspx?menuIndex=3&amp;refID=7066970&amp;Result=3","7066970")</f>
        <v>0</v>
      </c>
      <c r="B2155" t="s">
        <v>863</v>
      </c>
      <c r="C2155" t="s">
        <v>5621</v>
      </c>
      <c r="D2155" t="s">
        <v>18782</v>
      </c>
      <c r="E2155" t="s">
        <v>20882</v>
      </c>
      <c r="F2155" t="s">
        <v>32664</v>
      </c>
      <c r="G2155" t="s">
        <v>32671</v>
      </c>
      <c r="H2155" t="s">
        <v>12635</v>
      </c>
      <c r="I2155" t="s">
        <v>5501</v>
      </c>
      <c r="J2155" t="s">
        <v>33190</v>
      </c>
      <c r="K2155" t="s">
        <v>42281</v>
      </c>
      <c r="M2155" t="s">
        <v>43462</v>
      </c>
      <c r="N2155" t="s">
        <v>46569</v>
      </c>
      <c r="O2155" t="s">
        <v>46570</v>
      </c>
      <c r="P2155">
        <v>0</v>
      </c>
      <c r="Q2155">
        <v>1</v>
      </c>
      <c r="R2155" t="s">
        <v>46571</v>
      </c>
      <c r="S2155" t="s">
        <v>46687</v>
      </c>
      <c r="T2155" t="s">
        <v>48246</v>
      </c>
      <c r="U2155" t="s">
        <v>50559</v>
      </c>
      <c r="W2155" t="s">
        <v>43462</v>
      </c>
      <c r="X2155" t="s">
        <v>46572</v>
      </c>
    </row>
    <row r="2156" spans="1:24">
      <c r="A2156">
        <f>HYPERLINK("https://www.philgeps.gov.ph/GEPSNONPILOT/Tender/SplashBidNoticeAbstractUI.aspx?menuIndex=3&amp;refID=7066945&amp;Result=3","7066945")</f>
        <v>0</v>
      </c>
      <c r="B2156" t="s">
        <v>318</v>
      </c>
      <c r="C2156" t="s">
        <v>5622</v>
      </c>
      <c r="D2156" t="s">
        <v>18816</v>
      </c>
      <c r="E2156" t="s">
        <v>20883</v>
      </c>
      <c r="F2156" t="s">
        <v>32664</v>
      </c>
      <c r="G2156" t="s">
        <v>32671</v>
      </c>
      <c r="H2156" t="s">
        <v>32682</v>
      </c>
      <c r="I2156" t="s">
        <v>32684</v>
      </c>
      <c r="J2156" t="s">
        <v>34350</v>
      </c>
      <c r="K2156" t="s">
        <v>42289</v>
      </c>
      <c r="M2156" t="s">
        <v>42886</v>
      </c>
      <c r="N2156" t="s">
        <v>46569</v>
      </c>
      <c r="O2156" t="s">
        <v>46570</v>
      </c>
      <c r="P2156">
        <v>0</v>
      </c>
      <c r="Q2156">
        <v>2</v>
      </c>
      <c r="R2156" t="s">
        <v>46571</v>
      </c>
      <c r="S2156" t="s">
        <v>46687</v>
      </c>
      <c r="T2156" t="s">
        <v>48271</v>
      </c>
      <c r="U2156" t="s">
        <v>50560</v>
      </c>
      <c r="W2156" t="s">
        <v>42886</v>
      </c>
      <c r="X2156" t="s">
        <v>46572</v>
      </c>
    </row>
    <row r="2157" spans="1:24">
      <c r="A2157">
        <f>HYPERLINK("https://www.philgeps.gov.ph/GEPSNONPILOT/Tender/SplashBidNoticeAbstractUI.aspx?menuIndex=3&amp;refID=7066967&amp;Result=3","7066967")</f>
        <v>0</v>
      </c>
      <c r="B2157" t="s">
        <v>888</v>
      </c>
      <c r="C2157" t="s">
        <v>5623</v>
      </c>
      <c r="D2157" t="s">
        <v>18785</v>
      </c>
      <c r="E2157" t="s">
        <v>20884</v>
      </c>
      <c r="F2157" t="s">
        <v>32664</v>
      </c>
      <c r="G2157" t="s">
        <v>32672</v>
      </c>
      <c r="H2157" t="s">
        <v>12635</v>
      </c>
      <c r="I2157" t="s">
        <v>32706</v>
      </c>
      <c r="J2157" t="s">
        <v>34351</v>
      </c>
      <c r="K2157" t="s">
        <v>42284</v>
      </c>
      <c r="M2157" t="s">
        <v>43491</v>
      </c>
      <c r="N2157" t="s">
        <v>46569</v>
      </c>
      <c r="O2157" t="s">
        <v>46570</v>
      </c>
      <c r="P2157">
        <v>0</v>
      </c>
      <c r="Q2157">
        <v>0</v>
      </c>
      <c r="R2157" t="s">
        <v>46571</v>
      </c>
      <c r="S2157" t="s">
        <v>46687</v>
      </c>
      <c r="T2157" t="s">
        <v>48434</v>
      </c>
      <c r="U2157" t="s">
        <v>50561</v>
      </c>
      <c r="V2157" t="s">
        <v>61839</v>
      </c>
      <c r="W2157" t="s">
        <v>43491</v>
      </c>
      <c r="X2157" t="s">
        <v>46572</v>
      </c>
    </row>
    <row r="2158" spans="1:24">
      <c r="A2158">
        <f>HYPERLINK("https://www.philgeps.gov.ph/GEPSNONPILOT/Tender/SplashBidNoticeAbstractUI.aspx?menuIndex=3&amp;refID=7066964&amp;Result=3","7066964")</f>
        <v>0</v>
      </c>
      <c r="B2158" t="s">
        <v>896</v>
      </c>
      <c r="C2158" t="s">
        <v>5624</v>
      </c>
      <c r="D2158" t="s">
        <v>18785</v>
      </c>
      <c r="E2158" t="s">
        <v>20885</v>
      </c>
      <c r="F2158" t="s">
        <v>32664</v>
      </c>
      <c r="G2158" t="s">
        <v>32672</v>
      </c>
      <c r="H2158" t="s">
        <v>32683</v>
      </c>
      <c r="I2158" t="s">
        <v>10627</v>
      </c>
      <c r="J2158" t="s">
        <v>34352</v>
      </c>
      <c r="K2158" t="s">
        <v>42285</v>
      </c>
      <c r="M2158" t="s">
        <v>43509</v>
      </c>
      <c r="N2158" t="s">
        <v>46569</v>
      </c>
      <c r="O2158" t="s">
        <v>46570</v>
      </c>
      <c r="P2158">
        <v>0</v>
      </c>
      <c r="Q2158">
        <v>0</v>
      </c>
      <c r="R2158" t="s">
        <v>46571</v>
      </c>
      <c r="S2158" t="s">
        <v>46687</v>
      </c>
      <c r="T2158" t="s">
        <v>48270</v>
      </c>
      <c r="U2158" t="s">
        <v>50562</v>
      </c>
      <c r="V2158" t="s">
        <v>48990</v>
      </c>
      <c r="W2158" t="s">
        <v>63493</v>
      </c>
      <c r="X2158" t="s">
        <v>46572</v>
      </c>
    </row>
    <row r="2159" spans="1:24">
      <c r="A2159">
        <f>HYPERLINK("https://www.philgeps.gov.ph/GEPSNONPILOT/Tender/SplashBidNoticeAbstractUI.aspx?menuIndex=3&amp;refID=7066975&amp;Result=3","7066975")</f>
        <v>0</v>
      </c>
      <c r="B2159" t="s">
        <v>720</v>
      </c>
      <c r="C2159" t="s">
        <v>5625</v>
      </c>
      <c r="D2159" t="s">
        <v>18784</v>
      </c>
      <c r="E2159" t="s">
        <v>20886</v>
      </c>
      <c r="F2159" t="s">
        <v>32664</v>
      </c>
      <c r="G2159" t="s">
        <v>32671</v>
      </c>
      <c r="H2159" t="s">
        <v>12635</v>
      </c>
      <c r="I2159" t="s">
        <v>32704</v>
      </c>
      <c r="J2159" t="s">
        <v>32853</v>
      </c>
      <c r="K2159" t="s">
        <v>42284</v>
      </c>
      <c r="M2159" t="s">
        <v>43307</v>
      </c>
      <c r="N2159" t="s">
        <v>46569</v>
      </c>
      <c r="O2159" t="s">
        <v>46570</v>
      </c>
      <c r="P2159">
        <v>0</v>
      </c>
      <c r="Q2159">
        <v>3</v>
      </c>
      <c r="R2159" t="s">
        <v>46571</v>
      </c>
      <c r="S2159" t="s">
        <v>46687</v>
      </c>
      <c r="T2159" t="s">
        <v>48312</v>
      </c>
      <c r="U2159" t="s">
        <v>50132</v>
      </c>
      <c r="W2159" t="s">
        <v>43307</v>
      </c>
      <c r="X2159" t="s">
        <v>46572</v>
      </c>
    </row>
    <row r="2160" spans="1:24">
      <c r="A2160">
        <f>HYPERLINK("https://www.philgeps.gov.ph/GEPSNONPILOT/Tender/SplashBidNoticeAbstractUI.aspx?menuIndex=3&amp;refID=7067006&amp;Result=3","7067006")</f>
        <v>0</v>
      </c>
      <c r="B2160" t="s">
        <v>863</v>
      </c>
      <c r="C2160" t="s">
        <v>5626</v>
      </c>
      <c r="D2160" t="s">
        <v>18782</v>
      </c>
      <c r="E2160" t="s">
        <v>20887</v>
      </c>
      <c r="F2160" t="s">
        <v>32664</v>
      </c>
      <c r="G2160" t="s">
        <v>32671</v>
      </c>
      <c r="H2160" t="s">
        <v>12635</v>
      </c>
      <c r="I2160" t="s">
        <v>6628</v>
      </c>
      <c r="J2160" t="s">
        <v>34194</v>
      </c>
      <c r="K2160" t="s">
        <v>42305</v>
      </c>
      <c r="M2160" t="s">
        <v>43462</v>
      </c>
      <c r="N2160" t="s">
        <v>46569</v>
      </c>
      <c r="O2160" t="s">
        <v>46570</v>
      </c>
      <c r="P2160">
        <v>0</v>
      </c>
      <c r="Q2160">
        <v>0</v>
      </c>
      <c r="R2160" t="s">
        <v>46571</v>
      </c>
      <c r="S2160" t="s">
        <v>46687</v>
      </c>
      <c r="T2160" t="s">
        <v>48246</v>
      </c>
      <c r="U2160" t="s">
        <v>50563</v>
      </c>
      <c r="W2160" t="s">
        <v>43462</v>
      </c>
      <c r="X2160" t="s">
        <v>46572</v>
      </c>
    </row>
    <row r="2161" spans="1:24">
      <c r="A2161">
        <f>HYPERLINK("https://www.philgeps.gov.ph/GEPSNONPILOT/Tender/SplashBidNoticeAbstractUI.aspx?menuIndex=3&amp;refID=7066965&amp;Result=3","7066965")</f>
        <v>0</v>
      </c>
      <c r="B2161" t="s">
        <v>904</v>
      </c>
      <c r="C2161" t="s">
        <v>5627</v>
      </c>
      <c r="D2161" t="s">
        <v>18826</v>
      </c>
      <c r="E2161" t="s">
        <v>20888</v>
      </c>
      <c r="F2161" t="s">
        <v>32664</v>
      </c>
      <c r="G2161" t="s">
        <v>32671</v>
      </c>
      <c r="H2161" t="s">
        <v>12635</v>
      </c>
      <c r="I2161" t="s">
        <v>4333</v>
      </c>
      <c r="J2161" t="s">
        <v>32984</v>
      </c>
      <c r="K2161" t="s">
        <v>42284</v>
      </c>
      <c r="M2161" t="s">
        <v>43510</v>
      </c>
      <c r="N2161" t="s">
        <v>46569</v>
      </c>
      <c r="O2161" t="s">
        <v>46570</v>
      </c>
      <c r="P2161">
        <v>0</v>
      </c>
      <c r="Q2161">
        <v>0</v>
      </c>
      <c r="R2161" t="s">
        <v>46571</v>
      </c>
      <c r="S2161" t="s">
        <v>46687</v>
      </c>
      <c r="T2161" t="s">
        <v>48256</v>
      </c>
      <c r="U2161" t="s">
        <v>50564</v>
      </c>
      <c r="W2161" t="s">
        <v>43510</v>
      </c>
      <c r="X2161" t="s">
        <v>46572</v>
      </c>
    </row>
    <row r="2162" spans="1:24">
      <c r="A2162">
        <f>HYPERLINK("https://www.philgeps.gov.ph/GEPSNONPILOT/Tender/SplashBidNoticeAbstractUI.aspx?menuIndex=3&amp;refID=7067003&amp;Result=3","7067003")</f>
        <v>0</v>
      </c>
      <c r="B2162" t="s">
        <v>905</v>
      </c>
      <c r="C2162" t="s">
        <v>5628</v>
      </c>
      <c r="D2162" t="s">
        <v>18785</v>
      </c>
      <c r="E2162" t="s">
        <v>19718</v>
      </c>
      <c r="F2162" t="s">
        <v>32664</v>
      </c>
      <c r="G2162" t="s">
        <v>32674</v>
      </c>
      <c r="H2162" t="s">
        <v>12635</v>
      </c>
      <c r="I2162" t="s">
        <v>32719</v>
      </c>
      <c r="J2162" t="s">
        <v>33831</v>
      </c>
      <c r="K2162" t="s">
        <v>42306</v>
      </c>
      <c r="M2162" t="s">
        <v>43511</v>
      </c>
      <c r="N2162" t="s">
        <v>46569</v>
      </c>
      <c r="O2162" t="s">
        <v>46570</v>
      </c>
      <c r="P2162">
        <v>0</v>
      </c>
      <c r="Q2162">
        <v>1</v>
      </c>
      <c r="R2162" t="s">
        <v>46571</v>
      </c>
      <c r="S2162" t="s">
        <v>46687</v>
      </c>
      <c r="T2162" t="s">
        <v>48254</v>
      </c>
      <c r="U2162" t="s">
        <v>50565</v>
      </c>
      <c r="W2162" t="s">
        <v>43511</v>
      </c>
      <c r="X2162" t="s">
        <v>46572</v>
      </c>
    </row>
    <row r="2163" spans="1:24">
      <c r="A2163">
        <f>HYPERLINK("https://www.philgeps.gov.ph/GEPSNONPILOT/Tender/SplashBidNoticeAbstractUI.aspx?menuIndex=3&amp;refID=7067002&amp;Result=3","7067002")</f>
        <v>0</v>
      </c>
      <c r="B2163" t="s">
        <v>906</v>
      </c>
      <c r="C2163" t="s">
        <v>5629</v>
      </c>
      <c r="D2163" t="s">
        <v>18783</v>
      </c>
      <c r="E2163" t="s">
        <v>20239</v>
      </c>
      <c r="F2163" t="s">
        <v>32664</v>
      </c>
      <c r="G2163" t="s">
        <v>32671</v>
      </c>
      <c r="H2163" t="s">
        <v>12635</v>
      </c>
      <c r="I2163" t="s">
        <v>6553</v>
      </c>
      <c r="J2163" t="s">
        <v>34353</v>
      </c>
      <c r="K2163" t="s">
        <v>42311</v>
      </c>
      <c r="M2163" t="s">
        <v>43512</v>
      </c>
      <c r="N2163" t="s">
        <v>46569</v>
      </c>
      <c r="O2163" t="s">
        <v>46570</v>
      </c>
      <c r="P2163">
        <v>0</v>
      </c>
      <c r="Q2163">
        <v>0</v>
      </c>
      <c r="R2163" t="s">
        <v>46571</v>
      </c>
      <c r="S2163" t="s">
        <v>46687</v>
      </c>
      <c r="T2163" t="s">
        <v>48280</v>
      </c>
      <c r="U2163" t="s">
        <v>50566</v>
      </c>
      <c r="V2163" t="s">
        <v>61844</v>
      </c>
      <c r="W2163" t="s">
        <v>43512</v>
      </c>
      <c r="X2163" t="s">
        <v>46572</v>
      </c>
    </row>
    <row r="2164" spans="1:24">
      <c r="A2164">
        <f>HYPERLINK("https://www.philgeps.gov.ph/GEPSNONPILOT/Tender/SplashBidNoticeAbstractUI.aspx?menuIndex=3&amp;refID=7067005&amp;Result=3","7067005")</f>
        <v>0</v>
      </c>
      <c r="B2164" t="s">
        <v>496</v>
      </c>
      <c r="C2164" t="s">
        <v>5630</v>
      </c>
      <c r="D2164" t="s">
        <v>18791</v>
      </c>
      <c r="E2164" t="s">
        <v>20889</v>
      </c>
      <c r="F2164" t="s">
        <v>32664</v>
      </c>
      <c r="G2164" t="s">
        <v>32674</v>
      </c>
      <c r="H2164" t="s">
        <v>12635</v>
      </c>
      <c r="I2164" t="s">
        <v>5589</v>
      </c>
      <c r="J2164" t="s">
        <v>34354</v>
      </c>
      <c r="K2164" t="s">
        <v>42298</v>
      </c>
      <c r="M2164" t="s">
        <v>43072</v>
      </c>
      <c r="N2164" t="s">
        <v>46569</v>
      </c>
      <c r="O2164" t="s">
        <v>46570</v>
      </c>
      <c r="P2164">
        <v>0</v>
      </c>
      <c r="Q2164">
        <v>2</v>
      </c>
      <c r="R2164" t="s">
        <v>46571</v>
      </c>
      <c r="S2164" t="s">
        <v>46687</v>
      </c>
      <c r="T2164" t="s">
        <v>48312</v>
      </c>
      <c r="U2164" t="s">
        <v>50567</v>
      </c>
      <c r="W2164" t="s">
        <v>43072</v>
      </c>
      <c r="X2164" t="s">
        <v>46572</v>
      </c>
    </row>
    <row r="2165" spans="1:24">
      <c r="A2165">
        <f>HYPERLINK("https://www.philgeps.gov.ph/GEPSNONPILOT/Tender/SplashBidNoticeAbstractUI.aspx?menuIndex=3&amp;refID=7066998&amp;Result=3","7066998")</f>
        <v>0</v>
      </c>
      <c r="B2165" t="s">
        <v>863</v>
      </c>
      <c r="C2165" t="s">
        <v>5631</v>
      </c>
      <c r="D2165" t="s">
        <v>18782</v>
      </c>
      <c r="E2165" t="s">
        <v>20890</v>
      </c>
      <c r="F2165" t="s">
        <v>32664</v>
      </c>
      <c r="G2165" t="s">
        <v>32671</v>
      </c>
      <c r="H2165" t="s">
        <v>12635</v>
      </c>
      <c r="I2165" t="s">
        <v>6628</v>
      </c>
      <c r="J2165" t="s">
        <v>34355</v>
      </c>
      <c r="K2165" t="s">
        <v>42305</v>
      </c>
      <c r="M2165" t="s">
        <v>43462</v>
      </c>
      <c r="N2165" t="s">
        <v>46569</v>
      </c>
      <c r="O2165" t="s">
        <v>46570</v>
      </c>
      <c r="P2165">
        <v>0</v>
      </c>
      <c r="Q2165">
        <v>1</v>
      </c>
      <c r="R2165" t="s">
        <v>46571</v>
      </c>
      <c r="S2165" t="s">
        <v>46687</v>
      </c>
      <c r="T2165" t="s">
        <v>48246</v>
      </c>
      <c r="U2165" t="s">
        <v>50563</v>
      </c>
      <c r="W2165" t="s">
        <v>43462</v>
      </c>
      <c r="X2165" t="s">
        <v>46572</v>
      </c>
    </row>
    <row r="2166" spans="1:24">
      <c r="A2166">
        <f>HYPERLINK("https://www.philgeps.gov.ph/GEPSNONPILOT/Tender/SplashBidNoticeAbstractUI.aspx?menuIndex=3&amp;refID=7066997&amp;Result=3","7066997")</f>
        <v>0</v>
      </c>
      <c r="B2166" t="s">
        <v>907</v>
      </c>
      <c r="C2166" t="s">
        <v>5632</v>
      </c>
      <c r="D2166" t="s">
        <v>18830</v>
      </c>
      <c r="E2166" t="s">
        <v>20891</v>
      </c>
      <c r="F2166" t="s">
        <v>32664</v>
      </c>
      <c r="G2166" t="s">
        <v>32671</v>
      </c>
      <c r="H2166" t="s">
        <v>12635</v>
      </c>
      <c r="I2166" t="s">
        <v>32685</v>
      </c>
      <c r="J2166" t="s">
        <v>34356</v>
      </c>
      <c r="K2166" t="s">
        <v>42311</v>
      </c>
      <c r="M2166" t="s">
        <v>43513</v>
      </c>
      <c r="N2166" t="s">
        <v>46569</v>
      </c>
      <c r="O2166" t="s">
        <v>46570</v>
      </c>
      <c r="P2166">
        <v>0</v>
      </c>
      <c r="Q2166">
        <v>1</v>
      </c>
      <c r="R2166" t="s">
        <v>46571</v>
      </c>
      <c r="S2166" t="s">
        <v>46687</v>
      </c>
      <c r="T2166" t="s">
        <v>48244</v>
      </c>
      <c r="U2166" t="s">
        <v>50568</v>
      </c>
      <c r="W2166" t="s">
        <v>43513</v>
      </c>
      <c r="X2166" t="s">
        <v>46572</v>
      </c>
    </row>
    <row r="2167" spans="1:24">
      <c r="A2167">
        <f>HYPERLINK("https://www.philgeps.gov.ph/GEPSNONPILOT/Tender/SplashBidNoticeAbstractUI.aspx?menuIndex=3&amp;refID=7066994&amp;Result=3","7066994")</f>
        <v>0</v>
      </c>
      <c r="B2167" t="s">
        <v>238</v>
      </c>
      <c r="C2167" t="s">
        <v>5633</v>
      </c>
      <c r="D2167" t="s">
        <v>18798</v>
      </c>
      <c r="E2167" t="s">
        <v>20892</v>
      </c>
      <c r="F2167" t="s">
        <v>32664</v>
      </c>
      <c r="G2167" t="s">
        <v>32671</v>
      </c>
      <c r="H2167" t="s">
        <v>12635</v>
      </c>
      <c r="I2167" t="s">
        <v>6168</v>
      </c>
      <c r="J2167" t="s">
        <v>34247</v>
      </c>
      <c r="K2167" t="s">
        <v>42295</v>
      </c>
      <c r="M2167" t="s">
        <v>43508</v>
      </c>
      <c r="N2167" t="s">
        <v>46569</v>
      </c>
      <c r="O2167" t="s">
        <v>46570</v>
      </c>
      <c r="P2167">
        <v>0</v>
      </c>
      <c r="Q2167">
        <v>0</v>
      </c>
      <c r="R2167" t="s">
        <v>46571</v>
      </c>
      <c r="S2167" t="s">
        <v>46687</v>
      </c>
      <c r="T2167" t="s">
        <v>48219</v>
      </c>
      <c r="U2167" t="s">
        <v>50569</v>
      </c>
      <c r="W2167" t="s">
        <v>43508</v>
      </c>
      <c r="X2167" t="s">
        <v>46572</v>
      </c>
    </row>
    <row r="2168" spans="1:24">
      <c r="A2168">
        <f>HYPERLINK("https://www.philgeps.gov.ph/GEPSNONPILOT/Tender/SplashBidNoticeAbstractUI.aspx?menuIndex=3&amp;refID=7066992&amp;Result=3","7066992")</f>
        <v>0</v>
      </c>
      <c r="B2168" t="s">
        <v>496</v>
      </c>
      <c r="C2168" t="s">
        <v>5634</v>
      </c>
      <c r="D2168" t="s">
        <v>18791</v>
      </c>
      <c r="E2168" t="s">
        <v>20893</v>
      </c>
      <c r="F2168" t="s">
        <v>32664</v>
      </c>
      <c r="G2168" t="s">
        <v>32674</v>
      </c>
      <c r="H2168" t="s">
        <v>12635</v>
      </c>
      <c r="I2168" t="s">
        <v>6168</v>
      </c>
      <c r="J2168" t="s">
        <v>34357</v>
      </c>
      <c r="K2168" t="s">
        <v>42298</v>
      </c>
      <c r="M2168" t="s">
        <v>43072</v>
      </c>
      <c r="N2168" t="s">
        <v>46569</v>
      </c>
      <c r="O2168" t="s">
        <v>46570</v>
      </c>
      <c r="P2168">
        <v>0</v>
      </c>
      <c r="Q2168">
        <v>1</v>
      </c>
      <c r="R2168" t="s">
        <v>46571</v>
      </c>
      <c r="S2168" t="s">
        <v>46687</v>
      </c>
      <c r="T2168" t="s">
        <v>48312</v>
      </c>
      <c r="U2168" t="s">
        <v>50567</v>
      </c>
      <c r="W2168" t="s">
        <v>43072</v>
      </c>
      <c r="X2168" t="s">
        <v>46572</v>
      </c>
    </row>
    <row r="2169" spans="1:24">
      <c r="A2169">
        <f>HYPERLINK("https://www.philgeps.gov.ph/GEPSNONPILOT/Tender/SplashBidNoticeAbstractUI.aspx?menuIndex=3&amp;refID=7067001&amp;Result=3","7067001")</f>
        <v>0</v>
      </c>
      <c r="B2169" t="s">
        <v>908</v>
      </c>
      <c r="C2169" t="s">
        <v>5635</v>
      </c>
      <c r="E2169" t="s">
        <v>20894</v>
      </c>
      <c r="F2169" t="s">
        <v>32664</v>
      </c>
      <c r="G2169" t="s">
        <v>32673</v>
      </c>
      <c r="H2169" t="s">
        <v>12635</v>
      </c>
      <c r="I2169" t="s">
        <v>32698</v>
      </c>
      <c r="J2169" t="s">
        <v>34358</v>
      </c>
      <c r="K2169" t="s">
        <v>42281</v>
      </c>
      <c r="M2169" t="s">
        <v>43514</v>
      </c>
      <c r="N2169" t="s">
        <v>46569</v>
      </c>
      <c r="O2169" t="s">
        <v>46570</v>
      </c>
      <c r="P2169">
        <v>0</v>
      </c>
      <c r="Q2169">
        <v>0</v>
      </c>
      <c r="R2169" t="s">
        <v>46571</v>
      </c>
      <c r="S2169" t="s">
        <v>46687</v>
      </c>
      <c r="T2169" t="s">
        <v>48220</v>
      </c>
      <c r="U2169" t="s">
        <v>50570</v>
      </c>
      <c r="V2169" t="s">
        <v>61845</v>
      </c>
      <c r="W2169" t="s">
        <v>43514</v>
      </c>
      <c r="X2169" t="s">
        <v>46572</v>
      </c>
    </row>
    <row r="2170" spans="1:24">
      <c r="A2170">
        <f>HYPERLINK("https://www.philgeps.gov.ph/GEPSNONPILOT/Tender/SplashBidNoticeAbstractUI.aspx?menuIndex=3&amp;refID=7066991&amp;Result=3","7066991")</f>
        <v>0</v>
      </c>
      <c r="B2170" t="s">
        <v>887</v>
      </c>
      <c r="C2170" t="s">
        <v>5636</v>
      </c>
      <c r="D2170" t="s">
        <v>18821</v>
      </c>
      <c r="E2170" t="s">
        <v>20895</v>
      </c>
      <c r="F2170" t="s">
        <v>32664</v>
      </c>
      <c r="G2170" t="s">
        <v>32672</v>
      </c>
      <c r="H2170" t="s">
        <v>12635</v>
      </c>
      <c r="I2170" t="s">
        <v>32694</v>
      </c>
      <c r="J2170" t="s">
        <v>34359</v>
      </c>
      <c r="K2170" t="s">
        <v>42284</v>
      </c>
      <c r="M2170" t="s">
        <v>43488</v>
      </c>
      <c r="N2170" t="s">
        <v>46569</v>
      </c>
      <c r="O2170" t="s">
        <v>46570</v>
      </c>
      <c r="P2170">
        <v>0</v>
      </c>
      <c r="Q2170">
        <v>0</v>
      </c>
      <c r="R2170" t="s">
        <v>46571</v>
      </c>
      <c r="S2170" t="s">
        <v>46687</v>
      </c>
      <c r="T2170" t="s">
        <v>48225</v>
      </c>
      <c r="U2170" t="s">
        <v>50571</v>
      </c>
      <c r="W2170" t="s">
        <v>43488</v>
      </c>
      <c r="X2170" t="s">
        <v>46572</v>
      </c>
    </row>
    <row r="2171" spans="1:24">
      <c r="A2171">
        <f>HYPERLINK("https://www.philgeps.gov.ph/GEPSNONPILOT/Tender/SplashBidNoticeAbstractUI.aspx?menuIndex=3&amp;refID=7066954&amp;Result=3","7066954")</f>
        <v>0</v>
      </c>
      <c r="B2171" t="s">
        <v>496</v>
      </c>
      <c r="C2171" t="s">
        <v>5637</v>
      </c>
      <c r="D2171" t="s">
        <v>18791</v>
      </c>
      <c r="E2171" t="s">
        <v>20896</v>
      </c>
      <c r="F2171" t="s">
        <v>32664</v>
      </c>
      <c r="G2171" t="s">
        <v>32674</v>
      </c>
      <c r="H2171" t="s">
        <v>12635</v>
      </c>
      <c r="I2171" t="s">
        <v>32696</v>
      </c>
      <c r="J2171" t="s">
        <v>33683</v>
      </c>
      <c r="K2171" t="s">
        <v>42298</v>
      </c>
      <c r="M2171" t="s">
        <v>43072</v>
      </c>
      <c r="N2171" t="s">
        <v>46569</v>
      </c>
      <c r="O2171" t="s">
        <v>46570</v>
      </c>
      <c r="P2171">
        <v>0</v>
      </c>
      <c r="Q2171">
        <v>1</v>
      </c>
      <c r="R2171" t="s">
        <v>46571</v>
      </c>
      <c r="S2171" t="s">
        <v>46687</v>
      </c>
      <c r="T2171" t="s">
        <v>48312</v>
      </c>
      <c r="U2171" t="s">
        <v>50567</v>
      </c>
      <c r="W2171" t="s">
        <v>43072</v>
      </c>
      <c r="X2171" t="s">
        <v>46572</v>
      </c>
    </row>
    <row r="2172" spans="1:24">
      <c r="A2172">
        <f>HYPERLINK("https://www.philgeps.gov.ph/GEPSNONPILOT/Tender/SplashBidNoticeAbstractUI.aspx?menuIndex=3&amp;refID=7066988&amp;Result=3","7066988")</f>
        <v>0</v>
      </c>
      <c r="B2172" t="s">
        <v>847</v>
      </c>
      <c r="C2172" t="s">
        <v>5638</v>
      </c>
      <c r="D2172" t="s">
        <v>18863</v>
      </c>
      <c r="E2172" t="s">
        <v>20897</v>
      </c>
      <c r="F2172" t="s">
        <v>32664</v>
      </c>
      <c r="G2172" t="s">
        <v>32672</v>
      </c>
      <c r="H2172" t="s">
        <v>12635</v>
      </c>
      <c r="I2172" t="s">
        <v>32769</v>
      </c>
      <c r="J2172" t="s">
        <v>33330</v>
      </c>
      <c r="K2172" t="s">
        <v>42281</v>
      </c>
      <c r="M2172" t="s">
        <v>43443</v>
      </c>
      <c r="N2172" t="s">
        <v>46569</v>
      </c>
      <c r="O2172" t="s">
        <v>46570</v>
      </c>
      <c r="P2172">
        <v>0</v>
      </c>
      <c r="Q2172">
        <v>0</v>
      </c>
      <c r="R2172" t="s">
        <v>46571</v>
      </c>
      <c r="S2172" t="s">
        <v>46687</v>
      </c>
      <c r="T2172" t="s">
        <v>48321</v>
      </c>
      <c r="U2172" t="s">
        <v>50420</v>
      </c>
      <c r="V2172" t="s">
        <v>61846</v>
      </c>
      <c r="W2172" t="s">
        <v>43443</v>
      </c>
      <c r="X2172" t="s">
        <v>46572</v>
      </c>
    </row>
    <row r="2173" spans="1:24">
      <c r="A2173">
        <f>HYPERLINK("https://www.philgeps.gov.ph/GEPSNONPILOT/Tender/SplashBidNoticeAbstractUI.aspx?menuIndex=3&amp;refID=7067009&amp;Result=3","7067009")</f>
        <v>0</v>
      </c>
      <c r="B2173" t="s">
        <v>611</v>
      </c>
      <c r="C2173" t="s">
        <v>5639</v>
      </c>
      <c r="D2173" t="s">
        <v>18784</v>
      </c>
      <c r="E2173" t="s">
        <v>20898</v>
      </c>
      <c r="F2173" t="s">
        <v>32664</v>
      </c>
      <c r="G2173" t="s">
        <v>32671</v>
      </c>
      <c r="H2173" t="s">
        <v>12635</v>
      </c>
      <c r="I2173" t="s">
        <v>32704</v>
      </c>
      <c r="J2173" t="s">
        <v>33371</v>
      </c>
      <c r="K2173" t="s">
        <v>42283</v>
      </c>
      <c r="M2173" t="s">
        <v>43191</v>
      </c>
      <c r="N2173" t="s">
        <v>46569</v>
      </c>
      <c r="O2173" t="s">
        <v>46570</v>
      </c>
      <c r="P2173">
        <v>0</v>
      </c>
      <c r="Q2173">
        <v>11</v>
      </c>
      <c r="R2173" t="s">
        <v>46571</v>
      </c>
      <c r="S2173" t="s">
        <v>46687</v>
      </c>
      <c r="T2173" t="s">
        <v>48250</v>
      </c>
      <c r="U2173" t="s">
        <v>50572</v>
      </c>
      <c r="W2173" t="s">
        <v>43191</v>
      </c>
      <c r="X2173" t="s">
        <v>46572</v>
      </c>
    </row>
    <row r="2174" spans="1:24">
      <c r="A2174">
        <f>HYPERLINK("https://www.philgeps.gov.ph/GEPSNONPILOT/Tender/SplashBidNoticeAbstractUI.aspx?menuIndex=3&amp;refID=7066996&amp;Result=3","7066996")</f>
        <v>0</v>
      </c>
      <c r="B2174" t="s">
        <v>909</v>
      </c>
      <c r="C2174" t="s">
        <v>5640</v>
      </c>
      <c r="D2174" t="s">
        <v>18838</v>
      </c>
      <c r="E2174" t="s">
        <v>20899</v>
      </c>
      <c r="F2174" t="s">
        <v>32664</v>
      </c>
      <c r="G2174" t="s">
        <v>32672</v>
      </c>
      <c r="H2174" t="s">
        <v>12635</v>
      </c>
      <c r="I2174" t="s">
        <v>6553</v>
      </c>
      <c r="J2174" t="s">
        <v>34360</v>
      </c>
      <c r="K2174" t="s">
        <v>42303</v>
      </c>
      <c r="M2174" t="s">
        <v>43515</v>
      </c>
      <c r="N2174" t="s">
        <v>46569</v>
      </c>
      <c r="O2174" t="s">
        <v>46570</v>
      </c>
      <c r="P2174">
        <v>0</v>
      </c>
      <c r="Q2174">
        <v>0</v>
      </c>
      <c r="R2174" t="s">
        <v>46571</v>
      </c>
      <c r="S2174" t="s">
        <v>46687</v>
      </c>
      <c r="T2174" t="s">
        <v>48275</v>
      </c>
      <c r="U2174" t="s">
        <v>50573</v>
      </c>
      <c r="W2174" t="s">
        <v>63495</v>
      </c>
      <c r="X2174" t="s">
        <v>46572</v>
      </c>
    </row>
    <row r="2175" spans="1:24">
      <c r="A2175">
        <f>HYPERLINK("https://www.philgeps.gov.ph/GEPSNONPILOT/Tender/SplashBidNoticeAbstractUI.aspx?menuIndex=3&amp;refID=7067027&amp;Result=3","7067027")</f>
        <v>0</v>
      </c>
      <c r="B2175" t="s">
        <v>910</v>
      </c>
      <c r="C2175" t="s">
        <v>5641</v>
      </c>
      <c r="E2175" t="s">
        <v>20900</v>
      </c>
      <c r="F2175" t="s">
        <v>32664</v>
      </c>
      <c r="G2175" t="s">
        <v>32672</v>
      </c>
      <c r="H2175" t="s">
        <v>12635</v>
      </c>
      <c r="I2175" t="s">
        <v>9486</v>
      </c>
      <c r="J2175" t="s">
        <v>34361</v>
      </c>
      <c r="K2175" t="s">
        <v>42283</v>
      </c>
      <c r="M2175" t="s">
        <v>43516</v>
      </c>
      <c r="N2175" t="s">
        <v>46569</v>
      </c>
      <c r="O2175" t="s">
        <v>46570</v>
      </c>
      <c r="P2175">
        <v>0</v>
      </c>
      <c r="Q2175">
        <v>0</v>
      </c>
      <c r="R2175" t="s">
        <v>46571</v>
      </c>
      <c r="S2175" t="s">
        <v>46687</v>
      </c>
      <c r="T2175" t="s">
        <v>48354</v>
      </c>
      <c r="U2175" t="s">
        <v>50574</v>
      </c>
      <c r="W2175" t="s">
        <v>43516</v>
      </c>
      <c r="X2175" t="s">
        <v>46572</v>
      </c>
    </row>
    <row r="2176" spans="1:24">
      <c r="A2176">
        <f>HYPERLINK("https://www.philgeps.gov.ph/GEPSNONPILOT/Tender/SplashBidNoticeAbstractUI.aspx?menuIndex=3&amp;refID=7067024&amp;Result=3","7067024")</f>
        <v>0</v>
      </c>
      <c r="B2176" t="s">
        <v>911</v>
      </c>
      <c r="C2176" t="s">
        <v>5642</v>
      </c>
      <c r="D2176" t="s">
        <v>18842</v>
      </c>
      <c r="E2176" t="s">
        <v>20901</v>
      </c>
      <c r="F2176" t="s">
        <v>32664</v>
      </c>
      <c r="G2176" t="s">
        <v>32672</v>
      </c>
      <c r="H2176" t="s">
        <v>12635</v>
      </c>
      <c r="I2176" t="s">
        <v>4439</v>
      </c>
      <c r="J2176" t="s">
        <v>34362</v>
      </c>
      <c r="K2176" t="s">
        <v>42281</v>
      </c>
      <c r="M2176" t="s">
        <v>43517</v>
      </c>
      <c r="N2176" t="s">
        <v>46569</v>
      </c>
      <c r="O2176" t="s">
        <v>46570</v>
      </c>
      <c r="P2176">
        <v>0</v>
      </c>
      <c r="Q2176">
        <v>0</v>
      </c>
      <c r="R2176" t="s">
        <v>46571</v>
      </c>
      <c r="S2176" t="s">
        <v>46687</v>
      </c>
      <c r="T2176" t="s">
        <v>48297</v>
      </c>
      <c r="U2176" t="s">
        <v>50575</v>
      </c>
      <c r="W2176" t="s">
        <v>43517</v>
      </c>
      <c r="X2176" t="s">
        <v>46572</v>
      </c>
    </row>
    <row r="2177" spans="1:24">
      <c r="A2177">
        <f>HYPERLINK("https://www.philgeps.gov.ph/GEPSNONPILOT/Tender/SplashBidNoticeAbstractUI.aspx?menuIndex=3&amp;refID=7066969&amp;Result=3","7066969")</f>
        <v>0</v>
      </c>
      <c r="B2177" t="s">
        <v>912</v>
      </c>
      <c r="C2177" t="s">
        <v>5643</v>
      </c>
      <c r="D2177" t="s">
        <v>18784</v>
      </c>
      <c r="E2177" t="s">
        <v>20902</v>
      </c>
      <c r="F2177" t="s">
        <v>32664</v>
      </c>
      <c r="G2177" t="s">
        <v>32674</v>
      </c>
      <c r="H2177" t="s">
        <v>12635</v>
      </c>
      <c r="I2177" t="s">
        <v>6553</v>
      </c>
      <c r="J2177" t="s">
        <v>34363</v>
      </c>
      <c r="K2177" t="s">
        <v>42284</v>
      </c>
      <c r="M2177" t="s">
        <v>43518</v>
      </c>
      <c r="N2177" t="s">
        <v>46569</v>
      </c>
      <c r="O2177" t="s">
        <v>46570</v>
      </c>
      <c r="P2177">
        <v>0</v>
      </c>
      <c r="Q2177">
        <v>0</v>
      </c>
      <c r="R2177" t="s">
        <v>46571</v>
      </c>
      <c r="S2177" t="s">
        <v>46687</v>
      </c>
      <c r="T2177" t="s">
        <v>48221</v>
      </c>
      <c r="U2177" t="s">
        <v>50576</v>
      </c>
      <c r="W2177" t="s">
        <v>43518</v>
      </c>
      <c r="X2177" t="s">
        <v>46572</v>
      </c>
    </row>
    <row r="2178" spans="1:24">
      <c r="A2178">
        <f>HYPERLINK("https://www.philgeps.gov.ph/GEPSNONPILOT/Tender/SplashBidNoticeAbstractUI.aspx?menuIndex=3&amp;refID=7066871&amp;Result=3","7066871")</f>
        <v>0</v>
      </c>
      <c r="B2178" t="s">
        <v>868</v>
      </c>
      <c r="C2178" t="s">
        <v>5565</v>
      </c>
      <c r="D2178" t="s">
        <v>18784</v>
      </c>
      <c r="E2178" t="s">
        <v>20903</v>
      </c>
      <c r="F2178" t="s">
        <v>32664</v>
      </c>
      <c r="G2178" t="s">
        <v>32671</v>
      </c>
      <c r="H2178" t="s">
        <v>12635</v>
      </c>
      <c r="I2178" t="s">
        <v>32705</v>
      </c>
      <c r="J2178" t="s">
        <v>34364</v>
      </c>
      <c r="K2178" t="s">
        <v>42283</v>
      </c>
      <c r="M2178" t="s">
        <v>43468</v>
      </c>
      <c r="N2178" t="s">
        <v>46569</v>
      </c>
      <c r="O2178" t="s">
        <v>46570</v>
      </c>
      <c r="P2178">
        <v>0</v>
      </c>
      <c r="Q2178">
        <v>0</v>
      </c>
      <c r="R2178" t="s">
        <v>46571</v>
      </c>
      <c r="S2178" t="s">
        <v>46687</v>
      </c>
      <c r="T2178" t="s">
        <v>48256</v>
      </c>
      <c r="U2178" t="s">
        <v>50577</v>
      </c>
      <c r="W2178" t="s">
        <v>43468</v>
      </c>
      <c r="X2178" t="s">
        <v>46572</v>
      </c>
    </row>
    <row r="2179" spans="1:24">
      <c r="A2179">
        <f>HYPERLINK("https://www.philgeps.gov.ph/GEPSNONPILOT/Tender/SplashBidNoticeAbstractUI.aspx?menuIndex=3&amp;refID=7067021&amp;Result=3","7067021")</f>
        <v>0</v>
      </c>
      <c r="B2179" t="s">
        <v>611</v>
      </c>
      <c r="C2179" t="s">
        <v>5644</v>
      </c>
      <c r="D2179" t="s">
        <v>18784</v>
      </c>
      <c r="E2179" t="s">
        <v>20904</v>
      </c>
      <c r="F2179" t="s">
        <v>32664</v>
      </c>
      <c r="G2179" t="s">
        <v>32671</v>
      </c>
      <c r="H2179" t="s">
        <v>12635</v>
      </c>
      <c r="I2179" t="s">
        <v>32704</v>
      </c>
      <c r="J2179" t="s">
        <v>34365</v>
      </c>
      <c r="K2179" t="s">
        <v>42283</v>
      </c>
      <c r="M2179" t="s">
        <v>43191</v>
      </c>
      <c r="N2179" t="s">
        <v>46569</v>
      </c>
      <c r="O2179" t="s">
        <v>46570</v>
      </c>
      <c r="P2179">
        <v>0</v>
      </c>
      <c r="Q2179">
        <v>4</v>
      </c>
      <c r="R2179" t="s">
        <v>46571</v>
      </c>
      <c r="S2179" t="s">
        <v>46687</v>
      </c>
      <c r="T2179" t="s">
        <v>48250</v>
      </c>
      <c r="U2179" t="s">
        <v>50578</v>
      </c>
      <c r="W2179" t="s">
        <v>43191</v>
      </c>
      <c r="X2179" t="s">
        <v>46572</v>
      </c>
    </row>
    <row r="2180" spans="1:24">
      <c r="A2180">
        <f>HYPERLINK("https://www.philgeps.gov.ph/GEPSNONPILOT/Tender/SplashBidNoticeAbstractUI.aspx?menuIndex=3&amp;refID=7067026&amp;Result=3","7067026")</f>
        <v>0</v>
      </c>
      <c r="B2180" t="s">
        <v>527</v>
      </c>
      <c r="C2180" t="s">
        <v>5645</v>
      </c>
      <c r="D2180" t="s">
        <v>18784</v>
      </c>
      <c r="E2180" t="s">
        <v>20905</v>
      </c>
      <c r="F2180" t="s">
        <v>32664</v>
      </c>
      <c r="G2180" t="s">
        <v>32671</v>
      </c>
      <c r="H2180" t="s">
        <v>12635</v>
      </c>
      <c r="I2180" t="s">
        <v>6223</v>
      </c>
      <c r="J2180" t="s">
        <v>34366</v>
      </c>
      <c r="K2180" t="s">
        <v>42284</v>
      </c>
      <c r="M2180" t="s">
        <v>43496</v>
      </c>
      <c r="N2180" t="s">
        <v>46569</v>
      </c>
      <c r="O2180" t="s">
        <v>46570</v>
      </c>
      <c r="P2180">
        <v>0</v>
      </c>
      <c r="Q2180">
        <v>0</v>
      </c>
      <c r="R2180" t="s">
        <v>46571</v>
      </c>
      <c r="S2180" t="s">
        <v>46687</v>
      </c>
      <c r="T2180" t="s">
        <v>48283</v>
      </c>
      <c r="U2180" t="s">
        <v>50579</v>
      </c>
      <c r="W2180" t="s">
        <v>43496</v>
      </c>
      <c r="X2180" t="s">
        <v>46572</v>
      </c>
    </row>
    <row r="2181" spans="1:24">
      <c r="A2181">
        <f>HYPERLINK("https://www.philgeps.gov.ph/GEPSNONPILOT/Tender/SplashBidNoticeAbstractUI.aspx?menuIndex=3&amp;refID=7067025&amp;Result=3","7067025")</f>
        <v>0</v>
      </c>
      <c r="B2181" t="s">
        <v>238</v>
      </c>
      <c r="C2181" t="s">
        <v>5646</v>
      </c>
      <c r="D2181" t="s">
        <v>18798</v>
      </c>
      <c r="E2181" t="s">
        <v>20906</v>
      </c>
      <c r="F2181" t="s">
        <v>32664</v>
      </c>
      <c r="G2181" t="s">
        <v>32675</v>
      </c>
      <c r="H2181" t="s">
        <v>12635</v>
      </c>
      <c r="I2181" t="s">
        <v>9486</v>
      </c>
      <c r="J2181" t="s">
        <v>33621</v>
      </c>
      <c r="K2181" t="s">
        <v>42295</v>
      </c>
      <c r="M2181" t="s">
        <v>42909</v>
      </c>
      <c r="N2181" t="s">
        <v>46569</v>
      </c>
      <c r="O2181" t="s">
        <v>46570</v>
      </c>
      <c r="P2181">
        <v>0</v>
      </c>
      <c r="Q2181">
        <v>0</v>
      </c>
      <c r="R2181" t="s">
        <v>46571</v>
      </c>
      <c r="S2181" t="s">
        <v>46687</v>
      </c>
      <c r="T2181" t="s">
        <v>48219</v>
      </c>
      <c r="U2181" t="s">
        <v>50580</v>
      </c>
      <c r="V2181" t="s">
        <v>61847</v>
      </c>
      <c r="W2181" t="s">
        <v>42909</v>
      </c>
      <c r="X2181" t="s">
        <v>46572</v>
      </c>
    </row>
    <row r="2182" spans="1:24">
      <c r="A2182">
        <f>HYPERLINK("https://www.philgeps.gov.ph/GEPSNONPILOT/Tender/SplashBidNoticeAbstractUI.aspx?menuIndex=3&amp;refID=7067019&amp;Result=3","7067019")</f>
        <v>0</v>
      </c>
      <c r="B2182" t="s">
        <v>863</v>
      </c>
      <c r="C2182" t="s">
        <v>5647</v>
      </c>
      <c r="D2182" t="s">
        <v>18821</v>
      </c>
      <c r="E2182" t="s">
        <v>20907</v>
      </c>
      <c r="F2182" t="s">
        <v>32664</v>
      </c>
      <c r="G2182" t="s">
        <v>32671</v>
      </c>
      <c r="H2182" t="s">
        <v>12635</v>
      </c>
      <c r="I2182" t="s">
        <v>5501</v>
      </c>
      <c r="J2182" t="s">
        <v>32853</v>
      </c>
      <c r="K2182" t="s">
        <v>42289</v>
      </c>
      <c r="M2182" t="s">
        <v>43462</v>
      </c>
      <c r="N2182" t="s">
        <v>46569</v>
      </c>
      <c r="O2182" t="s">
        <v>46570</v>
      </c>
      <c r="P2182">
        <v>0</v>
      </c>
      <c r="Q2182">
        <v>6</v>
      </c>
      <c r="R2182" t="s">
        <v>46571</v>
      </c>
      <c r="S2182" t="s">
        <v>46687</v>
      </c>
      <c r="T2182" t="s">
        <v>48246</v>
      </c>
      <c r="U2182" t="s">
        <v>50581</v>
      </c>
      <c r="W2182" t="s">
        <v>43462</v>
      </c>
      <c r="X2182" t="s">
        <v>46572</v>
      </c>
    </row>
    <row r="2183" spans="1:24">
      <c r="A2183">
        <f>HYPERLINK("https://www.philgeps.gov.ph/GEPSNONPILOT/Tender/SplashBidNoticeAbstractUI.aspx?menuIndex=3&amp;refID=7067004&amp;Result=3","7067004")</f>
        <v>0</v>
      </c>
      <c r="B2183" t="s">
        <v>527</v>
      </c>
      <c r="C2183" t="s">
        <v>5648</v>
      </c>
      <c r="D2183" t="s">
        <v>18784</v>
      </c>
      <c r="E2183" t="s">
        <v>20908</v>
      </c>
      <c r="F2183" t="s">
        <v>32664</v>
      </c>
      <c r="G2183" t="s">
        <v>32671</v>
      </c>
      <c r="H2183" t="s">
        <v>12635</v>
      </c>
      <c r="I2183" t="s">
        <v>6223</v>
      </c>
      <c r="J2183" t="s">
        <v>34367</v>
      </c>
      <c r="K2183" t="s">
        <v>42284</v>
      </c>
      <c r="M2183" t="s">
        <v>43496</v>
      </c>
      <c r="N2183" t="s">
        <v>46569</v>
      </c>
      <c r="O2183" t="s">
        <v>46570</v>
      </c>
      <c r="P2183">
        <v>0</v>
      </c>
      <c r="Q2183">
        <v>0</v>
      </c>
      <c r="R2183" t="s">
        <v>46571</v>
      </c>
      <c r="S2183" t="s">
        <v>46687</v>
      </c>
      <c r="T2183" t="s">
        <v>48283</v>
      </c>
      <c r="U2183" t="s">
        <v>50582</v>
      </c>
      <c r="W2183" t="s">
        <v>43496</v>
      </c>
      <c r="X2183" t="s">
        <v>46572</v>
      </c>
    </row>
    <row r="2184" spans="1:24">
      <c r="A2184">
        <f>HYPERLINK("https://www.philgeps.gov.ph/GEPSNONPILOT/Tender/SplashBidNoticeAbstractUI.aspx?menuIndex=3&amp;refID=7067014&amp;Result=3","7067014")</f>
        <v>0</v>
      </c>
      <c r="B2184" t="s">
        <v>527</v>
      </c>
      <c r="C2184" t="s">
        <v>5649</v>
      </c>
      <c r="D2184" t="s">
        <v>18784</v>
      </c>
      <c r="E2184" t="s">
        <v>20909</v>
      </c>
      <c r="F2184" t="s">
        <v>32664</v>
      </c>
      <c r="G2184" t="s">
        <v>32671</v>
      </c>
      <c r="H2184" t="s">
        <v>12635</v>
      </c>
      <c r="I2184" t="s">
        <v>6628</v>
      </c>
      <c r="J2184" t="s">
        <v>34368</v>
      </c>
      <c r="K2184" t="s">
        <v>42284</v>
      </c>
      <c r="M2184" t="s">
        <v>43496</v>
      </c>
      <c r="N2184" t="s">
        <v>46569</v>
      </c>
      <c r="O2184" t="s">
        <v>46570</v>
      </c>
      <c r="P2184">
        <v>0</v>
      </c>
      <c r="Q2184">
        <v>0</v>
      </c>
      <c r="R2184" t="s">
        <v>46571</v>
      </c>
      <c r="S2184" t="s">
        <v>46687</v>
      </c>
      <c r="T2184" t="s">
        <v>48283</v>
      </c>
      <c r="U2184" t="s">
        <v>50583</v>
      </c>
      <c r="W2184" t="s">
        <v>43496</v>
      </c>
      <c r="X2184" t="s">
        <v>46572</v>
      </c>
    </row>
    <row r="2185" spans="1:24">
      <c r="A2185">
        <f>HYPERLINK("https://www.philgeps.gov.ph/GEPSNONPILOT/Tender/SplashBidNoticeAbstractUI.aspx?menuIndex=3&amp;refID=7067018&amp;Result=3","7067018")</f>
        <v>0</v>
      </c>
      <c r="B2185" t="s">
        <v>913</v>
      </c>
      <c r="C2185" t="s">
        <v>5650</v>
      </c>
      <c r="D2185" t="s">
        <v>18859</v>
      </c>
      <c r="E2185" t="s">
        <v>20910</v>
      </c>
      <c r="F2185" t="s">
        <v>32664</v>
      </c>
      <c r="G2185" t="s">
        <v>32672</v>
      </c>
      <c r="H2185" t="s">
        <v>32683</v>
      </c>
      <c r="I2185" t="s">
        <v>10627</v>
      </c>
      <c r="J2185" t="s">
        <v>34369</v>
      </c>
      <c r="K2185" t="s">
        <v>42327</v>
      </c>
      <c r="M2185" t="s">
        <v>43519</v>
      </c>
      <c r="N2185" t="s">
        <v>46569</v>
      </c>
      <c r="O2185" t="s">
        <v>46570</v>
      </c>
      <c r="P2185">
        <v>0</v>
      </c>
      <c r="Q2185">
        <v>0</v>
      </c>
      <c r="R2185" t="s">
        <v>46571</v>
      </c>
      <c r="S2185" t="s">
        <v>46687</v>
      </c>
      <c r="T2185" t="s">
        <v>48273</v>
      </c>
      <c r="U2185" t="s">
        <v>50584</v>
      </c>
      <c r="W2185" t="s">
        <v>43519</v>
      </c>
      <c r="X2185" t="s">
        <v>46572</v>
      </c>
    </row>
    <row r="2186" spans="1:24">
      <c r="A2186">
        <f>HYPERLINK("https://www.philgeps.gov.ph/GEPSNONPILOT/Tender/SplashBidNoticeAbstractUI.aspx?menuIndex=3&amp;refID=7067022&amp;Result=3","7067022")</f>
        <v>0</v>
      </c>
      <c r="B2186" t="s">
        <v>308</v>
      </c>
      <c r="C2186" t="s">
        <v>5651</v>
      </c>
      <c r="D2186" t="s">
        <v>18835</v>
      </c>
      <c r="E2186" t="s">
        <v>20911</v>
      </c>
      <c r="F2186" t="s">
        <v>32664</v>
      </c>
      <c r="G2186" t="s">
        <v>32671</v>
      </c>
      <c r="H2186" t="s">
        <v>12635</v>
      </c>
      <c r="I2186" t="s">
        <v>4333</v>
      </c>
      <c r="J2186" t="s">
        <v>32898</v>
      </c>
      <c r="K2186" t="s">
        <v>42281</v>
      </c>
      <c r="M2186" t="s">
        <v>42875</v>
      </c>
      <c r="N2186" t="s">
        <v>46569</v>
      </c>
      <c r="O2186" t="s">
        <v>46570</v>
      </c>
      <c r="P2186">
        <v>0</v>
      </c>
      <c r="Q2186">
        <v>0</v>
      </c>
      <c r="R2186" t="s">
        <v>46571</v>
      </c>
      <c r="S2186" t="s">
        <v>46687</v>
      </c>
      <c r="T2186" t="s">
        <v>48250</v>
      </c>
      <c r="U2186" t="s">
        <v>49329</v>
      </c>
      <c r="V2186" t="s">
        <v>52880</v>
      </c>
      <c r="W2186" t="s">
        <v>42875</v>
      </c>
      <c r="X2186" t="s">
        <v>46572</v>
      </c>
    </row>
    <row r="2187" spans="1:24">
      <c r="A2187">
        <f>HYPERLINK("https://www.philgeps.gov.ph/GEPSNONPILOT/Tender/SplashBidNoticeAbstractUI.aspx?menuIndex=3&amp;refID=7067012&amp;Result=3","7067012")</f>
        <v>0</v>
      </c>
      <c r="B2187" t="s">
        <v>202</v>
      </c>
      <c r="C2187" t="s">
        <v>5652</v>
      </c>
      <c r="D2187" t="s">
        <v>18805</v>
      </c>
      <c r="E2187" t="s">
        <v>20912</v>
      </c>
      <c r="F2187" t="s">
        <v>32664</v>
      </c>
      <c r="G2187" t="s">
        <v>32671</v>
      </c>
      <c r="H2187" t="s">
        <v>12635</v>
      </c>
      <c r="I2187" t="s">
        <v>32770</v>
      </c>
      <c r="J2187" t="s">
        <v>34370</v>
      </c>
      <c r="K2187" t="s">
        <v>42332</v>
      </c>
      <c r="M2187" t="s">
        <v>42766</v>
      </c>
      <c r="N2187" t="s">
        <v>46569</v>
      </c>
      <c r="O2187" t="s">
        <v>46570</v>
      </c>
      <c r="P2187">
        <v>0</v>
      </c>
      <c r="Q2187">
        <v>0</v>
      </c>
      <c r="R2187" t="s">
        <v>46571</v>
      </c>
      <c r="S2187" t="s">
        <v>46687</v>
      </c>
      <c r="T2187" t="s">
        <v>48256</v>
      </c>
      <c r="U2187" t="s">
        <v>50585</v>
      </c>
      <c r="W2187" t="s">
        <v>42766</v>
      </c>
      <c r="X2187" t="s">
        <v>46572</v>
      </c>
    </row>
    <row r="2188" spans="1:24">
      <c r="A2188">
        <f>HYPERLINK("https://www.philgeps.gov.ph/GEPSNONPILOT/Tender/SplashBidNoticeAbstractUI.aspx?menuIndex=3&amp;refID=7067011&amp;Result=3","7067011")</f>
        <v>0</v>
      </c>
      <c r="B2188" t="s">
        <v>439</v>
      </c>
      <c r="C2188" t="s">
        <v>5653</v>
      </c>
      <c r="D2188" t="s">
        <v>18792</v>
      </c>
      <c r="E2188" t="s">
        <v>20913</v>
      </c>
      <c r="F2188" t="s">
        <v>32664</v>
      </c>
      <c r="G2188" t="s">
        <v>32671</v>
      </c>
      <c r="H2188" t="s">
        <v>12635</v>
      </c>
      <c r="I2188" t="s">
        <v>32692</v>
      </c>
      <c r="J2188" t="s">
        <v>34371</v>
      </c>
      <c r="K2188" t="s">
        <v>42284</v>
      </c>
      <c r="M2188" t="s">
        <v>43489</v>
      </c>
      <c r="N2188" t="s">
        <v>46569</v>
      </c>
      <c r="O2188" t="s">
        <v>46570</v>
      </c>
      <c r="P2188">
        <v>0</v>
      </c>
      <c r="Q2188">
        <v>0</v>
      </c>
      <c r="R2188" t="s">
        <v>46571</v>
      </c>
      <c r="S2188" t="s">
        <v>46687</v>
      </c>
      <c r="T2188" t="s">
        <v>48256</v>
      </c>
      <c r="U2188" t="s">
        <v>50586</v>
      </c>
      <c r="W2188" t="s">
        <v>43489</v>
      </c>
      <c r="X2188" t="s">
        <v>46572</v>
      </c>
    </row>
    <row r="2189" spans="1:24">
      <c r="A2189">
        <f>HYPERLINK("https://www.philgeps.gov.ph/GEPSNONPILOT/Tender/SplashBidNoticeAbstractUI.aspx?menuIndex=3&amp;refID=7067010&amp;Result=3","7067010")</f>
        <v>0</v>
      </c>
      <c r="B2189" t="s">
        <v>908</v>
      </c>
      <c r="C2189" t="s">
        <v>5654</v>
      </c>
      <c r="E2189" t="s">
        <v>20914</v>
      </c>
      <c r="F2189" t="s">
        <v>32664</v>
      </c>
      <c r="G2189" t="s">
        <v>32673</v>
      </c>
      <c r="H2189" t="s">
        <v>12635</v>
      </c>
      <c r="I2189" t="s">
        <v>32698</v>
      </c>
      <c r="J2189" t="s">
        <v>34372</v>
      </c>
      <c r="K2189" t="s">
        <v>42281</v>
      </c>
      <c r="M2189" t="s">
        <v>43514</v>
      </c>
      <c r="N2189" t="s">
        <v>46569</v>
      </c>
      <c r="O2189" t="s">
        <v>46570</v>
      </c>
      <c r="P2189">
        <v>0</v>
      </c>
      <c r="Q2189">
        <v>0</v>
      </c>
      <c r="R2189" t="s">
        <v>46571</v>
      </c>
      <c r="S2189" t="s">
        <v>46687</v>
      </c>
      <c r="T2189" t="s">
        <v>48220</v>
      </c>
      <c r="U2189" t="s">
        <v>50587</v>
      </c>
      <c r="V2189" t="s">
        <v>61845</v>
      </c>
      <c r="W2189" t="s">
        <v>43514</v>
      </c>
      <c r="X2189" t="s">
        <v>46572</v>
      </c>
    </row>
    <row r="2190" spans="1:24">
      <c r="A2190">
        <f>HYPERLINK("https://www.philgeps.gov.ph/GEPSNONPILOT/Tender/SplashBidNoticeAbstractUI.aspx?menuIndex=3&amp;refID=7067016&amp;Result=3","7067016")</f>
        <v>0</v>
      </c>
      <c r="B2190" t="s">
        <v>906</v>
      </c>
      <c r="C2190" t="s">
        <v>5655</v>
      </c>
      <c r="D2190" t="s">
        <v>18783</v>
      </c>
      <c r="E2190" t="s">
        <v>20915</v>
      </c>
      <c r="F2190" t="s">
        <v>32664</v>
      </c>
      <c r="G2190" t="s">
        <v>32671</v>
      </c>
      <c r="H2190" t="s">
        <v>12635</v>
      </c>
      <c r="I2190" t="s">
        <v>6553</v>
      </c>
      <c r="J2190" t="s">
        <v>32898</v>
      </c>
      <c r="K2190" t="s">
        <v>42298</v>
      </c>
      <c r="M2190" t="s">
        <v>43512</v>
      </c>
      <c r="N2190" t="s">
        <v>46569</v>
      </c>
      <c r="O2190" t="s">
        <v>46570</v>
      </c>
      <c r="P2190">
        <v>0</v>
      </c>
      <c r="Q2190">
        <v>0</v>
      </c>
      <c r="R2190" t="s">
        <v>46571</v>
      </c>
      <c r="S2190" t="s">
        <v>46687</v>
      </c>
      <c r="T2190" t="s">
        <v>48280</v>
      </c>
      <c r="U2190" t="s">
        <v>50588</v>
      </c>
      <c r="V2190" t="s">
        <v>61844</v>
      </c>
      <c r="W2190" t="s">
        <v>43512</v>
      </c>
      <c r="X2190" t="s">
        <v>46572</v>
      </c>
    </row>
    <row r="2191" spans="1:24">
      <c r="A2191">
        <f>HYPERLINK("https://www.philgeps.gov.ph/GEPSNONPILOT/Tender/SplashBidNoticeAbstractUI.aspx?menuIndex=3&amp;refID=7067015&amp;Result=3","7067015")</f>
        <v>0</v>
      </c>
      <c r="B2191" t="s">
        <v>914</v>
      </c>
      <c r="C2191" t="s">
        <v>5656</v>
      </c>
      <c r="D2191" t="s">
        <v>18820</v>
      </c>
      <c r="E2191" t="s">
        <v>20916</v>
      </c>
      <c r="F2191" t="s">
        <v>32664</v>
      </c>
      <c r="G2191" t="s">
        <v>32671</v>
      </c>
      <c r="H2191" t="s">
        <v>12635</v>
      </c>
      <c r="I2191" t="s">
        <v>6118</v>
      </c>
      <c r="J2191" t="s">
        <v>34373</v>
      </c>
      <c r="K2191" t="s">
        <v>42306</v>
      </c>
      <c r="M2191" t="s">
        <v>43520</v>
      </c>
      <c r="N2191" t="s">
        <v>46569</v>
      </c>
      <c r="O2191" t="s">
        <v>46570</v>
      </c>
      <c r="P2191">
        <v>0</v>
      </c>
      <c r="Q2191">
        <v>0</v>
      </c>
      <c r="R2191" t="s">
        <v>46571</v>
      </c>
      <c r="S2191" t="s">
        <v>46687</v>
      </c>
      <c r="T2191" t="s">
        <v>48221</v>
      </c>
      <c r="U2191" t="s">
        <v>50589</v>
      </c>
      <c r="V2191" t="s">
        <v>61848</v>
      </c>
      <c r="W2191" t="s">
        <v>43520</v>
      </c>
      <c r="X2191" t="s">
        <v>46572</v>
      </c>
    </row>
    <row r="2192" spans="1:24">
      <c r="A2192">
        <f>HYPERLINK("https://www.philgeps.gov.ph/GEPSNONPILOT/Tender/SplashBidNoticeAbstractUI.aspx?menuIndex=3&amp;refID=7066987&amp;Result=3","7066987")</f>
        <v>0</v>
      </c>
      <c r="B2192" t="s">
        <v>863</v>
      </c>
      <c r="C2192" t="s">
        <v>5657</v>
      </c>
      <c r="D2192" t="s">
        <v>18807</v>
      </c>
      <c r="E2192" t="s">
        <v>20917</v>
      </c>
      <c r="F2192" t="s">
        <v>32664</v>
      </c>
      <c r="G2192" t="s">
        <v>32671</v>
      </c>
      <c r="H2192" t="s">
        <v>12635</v>
      </c>
      <c r="I2192" t="s">
        <v>32724</v>
      </c>
      <c r="J2192" t="s">
        <v>34374</v>
      </c>
      <c r="K2192" t="s">
        <v>42303</v>
      </c>
      <c r="M2192" t="s">
        <v>43462</v>
      </c>
      <c r="N2192" t="s">
        <v>46569</v>
      </c>
      <c r="O2192" t="s">
        <v>46570</v>
      </c>
      <c r="P2192">
        <v>0</v>
      </c>
      <c r="Q2192">
        <v>0</v>
      </c>
      <c r="R2192" t="s">
        <v>46571</v>
      </c>
      <c r="S2192" t="s">
        <v>46687</v>
      </c>
      <c r="T2192" t="s">
        <v>48246</v>
      </c>
      <c r="U2192" t="s">
        <v>50590</v>
      </c>
      <c r="W2192" t="s">
        <v>43462</v>
      </c>
      <c r="X2192" t="s">
        <v>46572</v>
      </c>
    </row>
    <row r="2193" spans="1:24">
      <c r="A2193">
        <f>HYPERLINK("https://www.philgeps.gov.ph/GEPSNONPILOT/Tender/SplashBidNoticeAbstractUI.aspx?menuIndex=3&amp;refID=7067013&amp;Result=3","7067013")</f>
        <v>0</v>
      </c>
      <c r="B2193" t="s">
        <v>863</v>
      </c>
      <c r="C2193" t="s">
        <v>5658</v>
      </c>
      <c r="D2193" t="s">
        <v>18821</v>
      </c>
      <c r="E2193" t="s">
        <v>20918</v>
      </c>
      <c r="F2193" t="s">
        <v>32664</v>
      </c>
      <c r="G2193" t="s">
        <v>32671</v>
      </c>
      <c r="H2193" t="s">
        <v>12635</v>
      </c>
      <c r="I2193" t="s">
        <v>7709</v>
      </c>
      <c r="J2193" t="s">
        <v>34375</v>
      </c>
      <c r="K2193" t="s">
        <v>42281</v>
      </c>
      <c r="M2193" t="s">
        <v>43462</v>
      </c>
      <c r="N2193" t="s">
        <v>46569</v>
      </c>
      <c r="O2193" t="s">
        <v>46570</v>
      </c>
      <c r="P2193">
        <v>0</v>
      </c>
      <c r="Q2193">
        <v>0</v>
      </c>
      <c r="R2193" t="s">
        <v>46571</v>
      </c>
      <c r="S2193" t="s">
        <v>46687</v>
      </c>
      <c r="T2193" t="s">
        <v>48246</v>
      </c>
      <c r="U2193" t="s">
        <v>50591</v>
      </c>
      <c r="W2193" t="s">
        <v>43462</v>
      </c>
      <c r="X2193" t="s">
        <v>46572</v>
      </c>
    </row>
    <row r="2194" spans="1:24">
      <c r="A2194">
        <f>HYPERLINK("https://www.philgeps.gov.ph/GEPSNONPILOT/Tender/SplashBidNoticeAbstractUI.aspx?menuIndex=3&amp;refID=7067056&amp;Result=3","7067056")</f>
        <v>0</v>
      </c>
      <c r="B2194" t="s">
        <v>915</v>
      </c>
      <c r="C2194" t="s">
        <v>5659</v>
      </c>
      <c r="D2194" t="s">
        <v>18784</v>
      </c>
      <c r="E2194" t="s">
        <v>5659</v>
      </c>
      <c r="F2194" t="s">
        <v>32664</v>
      </c>
      <c r="G2194" t="s">
        <v>32671</v>
      </c>
      <c r="H2194" t="s">
        <v>12635</v>
      </c>
      <c r="I2194" t="s">
        <v>6223</v>
      </c>
      <c r="J2194" t="s">
        <v>32917</v>
      </c>
      <c r="K2194" t="s">
        <v>42283</v>
      </c>
      <c r="M2194" t="s">
        <v>43521</v>
      </c>
      <c r="N2194" t="s">
        <v>46569</v>
      </c>
      <c r="O2194" t="s">
        <v>46570</v>
      </c>
      <c r="P2194">
        <v>0</v>
      </c>
      <c r="Q2194">
        <v>0</v>
      </c>
      <c r="R2194" t="s">
        <v>46571</v>
      </c>
      <c r="S2194" t="s">
        <v>46687</v>
      </c>
      <c r="T2194" t="s">
        <v>48258</v>
      </c>
      <c r="U2194" t="s">
        <v>50592</v>
      </c>
      <c r="W2194" t="s">
        <v>43521</v>
      </c>
      <c r="X2194" t="s">
        <v>46572</v>
      </c>
    </row>
    <row r="2195" spans="1:24">
      <c r="A2195">
        <f>HYPERLINK("https://www.philgeps.gov.ph/GEPSNONPILOT/Tender/SplashBidNoticeAbstractUI.aspx?menuIndex=3&amp;refID=7067053&amp;Result=3","7067053")</f>
        <v>0</v>
      </c>
      <c r="B2195" t="s">
        <v>796</v>
      </c>
      <c r="C2195" t="s">
        <v>5660</v>
      </c>
      <c r="D2195" t="s">
        <v>18801</v>
      </c>
      <c r="E2195" t="s">
        <v>20919</v>
      </c>
      <c r="F2195" t="s">
        <v>32664</v>
      </c>
      <c r="G2195" t="s">
        <v>32672</v>
      </c>
      <c r="H2195" t="s">
        <v>32683</v>
      </c>
      <c r="I2195" t="s">
        <v>10627</v>
      </c>
      <c r="J2195" t="s">
        <v>34147</v>
      </c>
      <c r="K2195" t="s">
        <v>42311</v>
      </c>
      <c r="M2195" t="s">
        <v>43388</v>
      </c>
      <c r="N2195" t="s">
        <v>46569</v>
      </c>
      <c r="O2195" t="s">
        <v>46570</v>
      </c>
      <c r="P2195">
        <v>0</v>
      </c>
      <c r="Q2195">
        <v>1</v>
      </c>
      <c r="R2195" t="s">
        <v>46571</v>
      </c>
      <c r="S2195" t="s">
        <v>46687</v>
      </c>
      <c r="T2195" t="s">
        <v>48275</v>
      </c>
      <c r="U2195" t="s">
        <v>50301</v>
      </c>
      <c r="W2195" t="s">
        <v>63490</v>
      </c>
      <c r="X2195" t="s">
        <v>46572</v>
      </c>
    </row>
    <row r="2196" spans="1:24">
      <c r="A2196">
        <f>HYPERLINK("https://www.philgeps.gov.ph/GEPSNONPILOT/Tender/SplashBidNoticeAbstractUI.aspx?menuIndex=3&amp;refID=7067052&amp;Result=3","7067052")</f>
        <v>0</v>
      </c>
      <c r="B2196" t="s">
        <v>916</v>
      </c>
      <c r="C2196" t="s">
        <v>5661</v>
      </c>
      <c r="D2196" t="s">
        <v>18804</v>
      </c>
      <c r="E2196" t="s">
        <v>20920</v>
      </c>
      <c r="F2196" t="s">
        <v>32664</v>
      </c>
      <c r="G2196" t="s">
        <v>32671</v>
      </c>
      <c r="H2196" t="s">
        <v>12635</v>
      </c>
      <c r="I2196" t="s">
        <v>6553</v>
      </c>
      <c r="J2196" t="s">
        <v>34376</v>
      </c>
      <c r="K2196" t="s">
        <v>42289</v>
      </c>
      <c r="M2196" t="s">
        <v>43522</v>
      </c>
      <c r="N2196" t="s">
        <v>46569</v>
      </c>
      <c r="O2196" t="s">
        <v>46570</v>
      </c>
      <c r="P2196">
        <v>0</v>
      </c>
      <c r="Q2196">
        <v>0</v>
      </c>
      <c r="R2196" t="s">
        <v>46571</v>
      </c>
      <c r="S2196" t="s">
        <v>46687</v>
      </c>
      <c r="T2196" t="s">
        <v>48230</v>
      </c>
      <c r="U2196" t="s">
        <v>50593</v>
      </c>
      <c r="W2196" t="s">
        <v>43522</v>
      </c>
      <c r="X2196" t="s">
        <v>46572</v>
      </c>
    </row>
    <row r="2197" spans="1:24">
      <c r="A2197">
        <f>HYPERLINK("https://www.philgeps.gov.ph/GEPSNONPILOT/Tender/SplashBidNoticeAbstractUI.aspx?menuIndex=3&amp;refID=7067051&amp;Result=3","7067051")</f>
        <v>0</v>
      </c>
      <c r="B2197" t="s">
        <v>796</v>
      </c>
      <c r="C2197" t="s">
        <v>5662</v>
      </c>
      <c r="D2197" t="s">
        <v>18801</v>
      </c>
      <c r="E2197" t="s">
        <v>20921</v>
      </c>
      <c r="F2197" t="s">
        <v>32664</v>
      </c>
      <c r="G2197" t="s">
        <v>32672</v>
      </c>
      <c r="H2197" t="s">
        <v>32683</v>
      </c>
      <c r="I2197" t="s">
        <v>10627</v>
      </c>
      <c r="J2197" t="s">
        <v>34147</v>
      </c>
      <c r="K2197" t="s">
        <v>42311</v>
      </c>
      <c r="M2197" t="s">
        <v>43388</v>
      </c>
      <c r="N2197" t="s">
        <v>46569</v>
      </c>
      <c r="O2197" t="s">
        <v>46570</v>
      </c>
      <c r="P2197">
        <v>0</v>
      </c>
      <c r="Q2197">
        <v>1</v>
      </c>
      <c r="R2197" t="s">
        <v>46571</v>
      </c>
      <c r="S2197" t="s">
        <v>46687</v>
      </c>
      <c r="T2197" t="s">
        <v>48275</v>
      </c>
      <c r="U2197" t="s">
        <v>50301</v>
      </c>
      <c r="W2197" t="s">
        <v>63490</v>
      </c>
      <c r="X2197" t="s">
        <v>46572</v>
      </c>
    </row>
    <row r="2198" spans="1:24">
      <c r="A2198">
        <f>HYPERLINK("https://www.philgeps.gov.ph/GEPSNONPILOT/Tender/SplashBidNoticeAbstractUI.aspx?menuIndex=3&amp;refID=7067054&amp;Result=3","7067054")</f>
        <v>0</v>
      </c>
      <c r="B2198" t="s">
        <v>917</v>
      </c>
      <c r="C2198" t="s">
        <v>5663</v>
      </c>
      <c r="D2198" t="s">
        <v>18781</v>
      </c>
      <c r="E2198" t="s">
        <v>20042</v>
      </c>
      <c r="F2198" t="s">
        <v>32664</v>
      </c>
      <c r="G2198" t="s">
        <v>32674</v>
      </c>
      <c r="H2198" t="s">
        <v>12635</v>
      </c>
      <c r="I2198" t="s">
        <v>4333</v>
      </c>
      <c r="J2198" t="s">
        <v>33338</v>
      </c>
      <c r="K2198" t="s">
        <v>42283</v>
      </c>
      <c r="M2198" t="s">
        <v>43523</v>
      </c>
      <c r="N2198" t="s">
        <v>46569</v>
      </c>
      <c r="O2198" t="s">
        <v>46570</v>
      </c>
      <c r="P2198">
        <v>0</v>
      </c>
      <c r="Q2198">
        <v>0</v>
      </c>
      <c r="R2198" t="s">
        <v>46571</v>
      </c>
      <c r="S2198" t="s">
        <v>46687</v>
      </c>
      <c r="T2198" t="s">
        <v>48283</v>
      </c>
      <c r="U2198" t="s">
        <v>50594</v>
      </c>
      <c r="W2198" t="s">
        <v>43523</v>
      </c>
      <c r="X2198" t="s">
        <v>46572</v>
      </c>
    </row>
    <row r="2199" spans="1:24">
      <c r="A2199">
        <f>HYPERLINK("https://www.philgeps.gov.ph/GEPSNONPILOT/Tender/SplashBidNoticeAbstractUI.aspx?menuIndex=3&amp;refID=7067007&amp;Result=3","7067007")</f>
        <v>0</v>
      </c>
      <c r="B2199" t="s">
        <v>887</v>
      </c>
      <c r="C2199" t="s">
        <v>5664</v>
      </c>
      <c r="D2199" t="s">
        <v>18821</v>
      </c>
      <c r="E2199" t="s">
        <v>20922</v>
      </c>
      <c r="F2199" t="s">
        <v>32664</v>
      </c>
      <c r="G2199" t="s">
        <v>32674</v>
      </c>
      <c r="H2199" t="s">
        <v>12635</v>
      </c>
      <c r="I2199" t="s">
        <v>32706</v>
      </c>
      <c r="J2199" t="s">
        <v>34377</v>
      </c>
      <c r="K2199" t="s">
        <v>42281</v>
      </c>
      <c r="M2199" t="s">
        <v>43488</v>
      </c>
      <c r="N2199" t="s">
        <v>46569</v>
      </c>
      <c r="O2199" t="s">
        <v>46570</v>
      </c>
      <c r="P2199">
        <v>0</v>
      </c>
      <c r="Q2199">
        <v>0</v>
      </c>
      <c r="R2199" t="s">
        <v>46571</v>
      </c>
      <c r="S2199" t="s">
        <v>46687</v>
      </c>
      <c r="T2199" t="s">
        <v>48221</v>
      </c>
      <c r="U2199" t="s">
        <v>50595</v>
      </c>
      <c r="W2199" t="s">
        <v>43488</v>
      </c>
      <c r="X2199" t="s">
        <v>46572</v>
      </c>
    </row>
    <row r="2200" spans="1:24">
      <c r="A2200">
        <f>HYPERLINK("https://www.philgeps.gov.ph/GEPSNONPILOT/Tender/SplashBidNoticeAbstractUI.aspx?menuIndex=3&amp;refID=7067048&amp;Result=3","7067048")</f>
        <v>0</v>
      </c>
      <c r="B2200" t="s">
        <v>238</v>
      </c>
      <c r="C2200" t="s">
        <v>5665</v>
      </c>
      <c r="D2200" t="s">
        <v>18798</v>
      </c>
      <c r="E2200" t="s">
        <v>20923</v>
      </c>
      <c r="F2200" t="s">
        <v>32664</v>
      </c>
      <c r="G2200" t="s">
        <v>32675</v>
      </c>
      <c r="H2200" t="s">
        <v>12635</v>
      </c>
      <c r="I2200" t="s">
        <v>8730</v>
      </c>
      <c r="J2200" t="s">
        <v>33831</v>
      </c>
      <c r="K2200" t="s">
        <v>42295</v>
      </c>
      <c r="M2200" t="s">
        <v>42909</v>
      </c>
      <c r="N2200" t="s">
        <v>46569</v>
      </c>
      <c r="O2200" t="s">
        <v>46570</v>
      </c>
      <c r="P2200">
        <v>0</v>
      </c>
      <c r="Q2200">
        <v>1</v>
      </c>
      <c r="R2200" t="s">
        <v>46571</v>
      </c>
      <c r="S2200" t="s">
        <v>46687</v>
      </c>
      <c r="T2200" t="s">
        <v>48219</v>
      </c>
      <c r="U2200" t="s">
        <v>50596</v>
      </c>
      <c r="V2200" t="s">
        <v>61849</v>
      </c>
      <c r="W2200" t="s">
        <v>42909</v>
      </c>
      <c r="X2200" t="s">
        <v>46572</v>
      </c>
    </row>
    <row r="2201" spans="1:24">
      <c r="A2201">
        <f>HYPERLINK("https://www.philgeps.gov.ph/GEPSNONPILOT/Tender/SplashBidNoticeAbstractUI.aspx?menuIndex=3&amp;refID=7067047&amp;Result=3","7067047")</f>
        <v>0</v>
      </c>
      <c r="B2201" t="s">
        <v>796</v>
      </c>
      <c r="C2201" t="s">
        <v>5666</v>
      </c>
      <c r="D2201" t="s">
        <v>18801</v>
      </c>
      <c r="E2201" t="s">
        <v>20924</v>
      </c>
      <c r="F2201" t="s">
        <v>32664</v>
      </c>
      <c r="G2201" t="s">
        <v>32672</v>
      </c>
      <c r="H2201" t="s">
        <v>32683</v>
      </c>
      <c r="I2201" t="s">
        <v>10627</v>
      </c>
      <c r="J2201" t="s">
        <v>34147</v>
      </c>
      <c r="K2201" t="s">
        <v>42311</v>
      </c>
      <c r="M2201" t="s">
        <v>43388</v>
      </c>
      <c r="N2201" t="s">
        <v>46569</v>
      </c>
      <c r="O2201" t="s">
        <v>46570</v>
      </c>
      <c r="P2201">
        <v>0</v>
      </c>
      <c r="Q2201">
        <v>1</v>
      </c>
      <c r="R2201" t="s">
        <v>46571</v>
      </c>
      <c r="S2201" t="s">
        <v>46687</v>
      </c>
      <c r="T2201" t="s">
        <v>48275</v>
      </c>
      <c r="U2201" t="s">
        <v>50301</v>
      </c>
      <c r="W2201" t="s">
        <v>63490</v>
      </c>
      <c r="X2201" t="s">
        <v>46572</v>
      </c>
    </row>
    <row r="2202" spans="1:24">
      <c r="A2202">
        <f>HYPERLINK("https://www.philgeps.gov.ph/GEPSNONPILOT/Tender/SplashBidNoticeAbstractUI.aspx?menuIndex=3&amp;refID=7067055&amp;Result=3","7067055")</f>
        <v>0</v>
      </c>
      <c r="B2202" t="s">
        <v>796</v>
      </c>
      <c r="C2202" t="s">
        <v>5667</v>
      </c>
      <c r="D2202" t="s">
        <v>18801</v>
      </c>
      <c r="E2202" t="s">
        <v>20925</v>
      </c>
      <c r="F2202" t="s">
        <v>32664</v>
      </c>
      <c r="G2202" t="s">
        <v>32672</v>
      </c>
      <c r="H2202" t="s">
        <v>32683</v>
      </c>
      <c r="I2202" t="s">
        <v>10627</v>
      </c>
      <c r="J2202" t="s">
        <v>34147</v>
      </c>
      <c r="K2202" t="s">
        <v>42311</v>
      </c>
      <c r="M2202" t="s">
        <v>43388</v>
      </c>
      <c r="N2202" t="s">
        <v>46569</v>
      </c>
      <c r="O2202" t="s">
        <v>46570</v>
      </c>
      <c r="P2202">
        <v>0</v>
      </c>
      <c r="Q2202">
        <v>1</v>
      </c>
      <c r="R2202" t="s">
        <v>46571</v>
      </c>
      <c r="S2202" t="s">
        <v>46687</v>
      </c>
      <c r="T2202" t="s">
        <v>48275</v>
      </c>
      <c r="U2202" t="s">
        <v>50301</v>
      </c>
      <c r="W2202" t="s">
        <v>63490</v>
      </c>
      <c r="X2202" t="s">
        <v>46572</v>
      </c>
    </row>
    <row r="2203" spans="1:24">
      <c r="A2203">
        <f>HYPERLINK("https://www.philgeps.gov.ph/GEPSNONPILOT/Tender/SplashBidNoticeAbstractUI.aspx?menuIndex=3&amp;refID=7067017&amp;Result=3","7067017")</f>
        <v>0</v>
      </c>
      <c r="B2203" t="s">
        <v>908</v>
      </c>
      <c r="C2203" t="s">
        <v>5668</v>
      </c>
      <c r="D2203" t="s">
        <v>18812</v>
      </c>
      <c r="E2203" t="s">
        <v>20926</v>
      </c>
      <c r="F2203" t="s">
        <v>32664</v>
      </c>
      <c r="G2203" t="s">
        <v>32673</v>
      </c>
      <c r="H2203" t="s">
        <v>32683</v>
      </c>
      <c r="I2203" t="s">
        <v>10627</v>
      </c>
      <c r="J2203" t="s">
        <v>34378</v>
      </c>
      <c r="K2203" t="s">
        <v>42308</v>
      </c>
      <c r="M2203" t="s">
        <v>43514</v>
      </c>
      <c r="N2203" t="s">
        <v>46569</v>
      </c>
      <c r="O2203" t="s">
        <v>46570</v>
      </c>
      <c r="P2203">
        <v>0</v>
      </c>
      <c r="Q2203">
        <v>0</v>
      </c>
      <c r="R2203" t="s">
        <v>46571</v>
      </c>
      <c r="S2203" t="s">
        <v>46687</v>
      </c>
      <c r="T2203" t="s">
        <v>48220</v>
      </c>
      <c r="U2203" t="s">
        <v>50597</v>
      </c>
      <c r="V2203" t="s">
        <v>61845</v>
      </c>
      <c r="W2203" t="s">
        <v>43514</v>
      </c>
      <c r="X2203" t="s">
        <v>46572</v>
      </c>
    </row>
    <row r="2204" spans="1:24">
      <c r="A2204">
        <f>HYPERLINK("https://www.philgeps.gov.ph/GEPSNONPILOT/Tender/SplashBidNoticeAbstractUI.aspx?menuIndex=3&amp;refID=7067043&amp;Result=3","7067043")</f>
        <v>0</v>
      </c>
      <c r="B2204" t="s">
        <v>918</v>
      </c>
      <c r="C2204" t="s">
        <v>5669</v>
      </c>
      <c r="D2204" t="s">
        <v>18826</v>
      </c>
      <c r="E2204" t="s">
        <v>20927</v>
      </c>
      <c r="F2204" t="s">
        <v>32664</v>
      </c>
      <c r="G2204" t="s">
        <v>32671</v>
      </c>
      <c r="H2204" t="s">
        <v>32682</v>
      </c>
      <c r="I2204" t="s">
        <v>4997</v>
      </c>
      <c r="J2204" t="s">
        <v>33394</v>
      </c>
      <c r="K2204" t="s">
        <v>42309</v>
      </c>
      <c r="M2204" t="s">
        <v>43524</v>
      </c>
      <c r="N2204" t="s">
        <v>46569</v>
      </c>
      <c r="O2204" t="s">
        <v>46570</v>
      </c>
      <c r="P2204">
        <v>0</v>
      </c>
      <c r="Q2204">
        <v>3</v>
      </c>
      <c r="R2204" t="s">
        <v>46571</v>
      </c>
      <c r="S2204" t="s">
        <v>46687</v>
      </c>
      <c r="T2204" t="s">
        <v>48244</v>
      </c>
      <c r="U2204" t="s">
        <v>50598</v>
      </c>
      <c r="W2204" t="s">
        <v>43524</v>
      </c>
      <c r="X2204" t="s">
        <v>46572</v>
      </c>
    </row>
    <row r="2205" spans="1:24">
      <c r="A2205">
        <f>HYPERLINK("https://www.philgeps.gov.ph/GEPSNONPILOT/Tender/SplashBidNoticeAbstractUI.aspx?menuIndex=3&amp;refID=7067078&amp;Result=3","7067078")</f>
        <v>0</v>
      </c>
      <c r="B2205" t="s">
        <v>796</v>
      </c>
      <c r="C2205" t="s">
        <v>5670</v>
      </c>
      <c r="D2205" t="s">
        <v>18801</v>
      </c>
      <c r="E2205" t="s">
        <v>20928</v>
      </c>
      <c r="F2205" t="s">
        <v>32664</v>
      </c>
      <c r="G2205" t="s">
        <v>32672</v>
      </c>
      <c r="H2205" t="s">
        <v>32683</v>
      </c>
      <c r="I2205" t="s">
        <v>10627</v>
      </c>
      <c r="J2205" t="s">
        <v>34379</v>
      </c>
      <c r="K2205" t="s">
        <v>42369</v>
      </c>
      <c r="M2205" t="s">
        <v>43388</v>
      </c>
      <c r="N2205" t="s">
        <v>46569</v>
      </c>
      <c r="O2205" t="s">
        <v>46570</v>
      </c>
      <c r="P2205">
        <v>0</v>
      </c>
      <c r="Q2205">
        <v>1</v>
      </c>
      <c r="R2205" t="s">
        <v>46571</v>
      </c>
      <c r="S2205" t="s">
        <v>46687</v>
      </c>
      <c r="T2205" t="s">
        <v>48275</v>
      </c>
      <c r="U2205" t="s">
        <v>50301</v>
      </c>
      <c r="W2205" t="s">
        <v>63490</v>
      </c>
      <c r="X2205" t="s">
        <v>46572</v>
      </c>
    </row>
    <row r="2206" spans="1:24">
      <c r="A2206">
        <f>HYPERLINK("https://www.philgeps.gov.ph/GEPSNONPILOT/Tender/SplashBidNoticeAbstractUI.aspx?menuIndex=3&amp;refID=7067046&amp;Result=3","7067046")</f>
        <v>0</v>
      </c>
      <c r="B2206" t="s">
        <v>919</v>
      </c>
      <c r="C2206" t="s">
        <v>5671</v>
      </c>
      <c r="D2206" t="s">
        <v>18785</v>
      </c>
      <c r="E2206" t="s">
        <v>20929</v>
      </c>
      <c r="F2206" t="s">
        <v>32664</v>
      </c>
      <c r="G2206" t="s">
        <v>32671</v>
      </c>
      <c r="H2206" t="s">
        <v>32683</v>
      </c>
      <c r="I2206" t="s">
        <v>32733</v>
      </c>
      <c r="J2206" t="s">
        <v>34380</v>
      </c>
      <c r="K2206" t="s">
        <v>42281</v>
      </c>
      <c r="M2206" t="s">
        <v>43525</v>
      </c>
      <c r="N2206" t="s">
        <v>46569</v>
      </c>
      <c r="O2206" t="s">
        <v>46570</v>
      </c>
      <c r="P2206">
        <v>0</v>
      </c>
      <c r="Q2206">
        <v>0</v>
      </c>
      <c r="R2206" t="s">
        <v>46571</v>
      </c>
      <c r="S2206" t="s">
        <v>46687</v>
      </c>
      <c r="T2206" t="s">
        <v>48435</v>
      </c>
      <c r="U2206" t="s">
        <v>49667</v>
      </c>
      <c r="W2206" t="s">
        <v>43525</v>
      </c>
      <c r="X2206" t="s">
        <v>46572</v>
      </c>
    </row>
    <row r="2207" spans="1:24">
      <c r="A2207">
        <f>HYPERLINK("https://www.philgeps.gov.ph/GEPSNONPILOT/Tender/SplashBidNoticeAbstractUI.aspx?menuIndex=3&amp;refID=7067008&amp;Result=3","7067008")</f>
        <v>0</v>
      </c>
      <c r="B2207" t="s">
        <v>920</v>
      </c>
      <c r="C2207" t="s">
        <v>5672</v>
      </c>
      <c r="D2207" t="s">
        <v>18794</v>
      </c>
      <c r="E2207" t="s">
        <v>20930</v>
      </c>
      <c r="F2207" t="s">
        <v>32664</v>
      </c>
      <c r="G2207" t="s">
        <v>32671</v>
      </c>
      <c r="H2207" t="s">
        <v>12635</v>
      </c>
      <c r="I2207" t="s">
        <v>14442</v>
      </c>
      <c r="J2207" t="s">
        <v>34381</v>
      </c>
      <c r="K2207" t="s">
        <v>42303</v>
      </c>
      <c r="M2207" t="s">
        <v>43526</v>
      </c>
      <c r="N2207" t="s">
        <v>46569</v>
      </c>
      <c r="O2207" t="s">
        <v>46570</v>
      </c>
      <c r="P2207">
        <v>0</v>
      </c>
      <c r="Q2207">
        <v>6</v>
      </c>
      <c r="R2207" t="s">
        <v>46571</v>
      </c>
      <c r="S2207" t="s">
        <v>46687</v>
      </c>
      <c r="T2207" t="s">
        <v>48230</v>
      </c>
      <c r="U2207" t="s">
        <v>50599</v>
      </c>
      <c r="W2207" t="s">
        <v>63496</v>
      </c>
      <c r="X2207" t="s">
        <v>46572</v>
      </c>
    </row>
    <row r="2208" spans="1:24">
      <c r="A2208">
        <f>HYPERLINK("https://www.philgeps.gov.ph/GEPSNONPILOT/Tender/SplashBidNoticeAbstractUI.aspx?menuIndex=3&amp;refID=7067045&amp;Result=3","7067045")</f>
        <v>0</v>
      </c>
      <c r="B2208" t="s">
        <v>917</v>
      </c>
      <c r="C2208" t="s">
        <v>5673</v>
      </c>
      <c r="D2208" t="s">
        <v>18781</v>
      </c>
      <c r="E2208" t="s">
        <v>20931</v>
      </c>
      <c r="F2208" t="s">
        <v>32664</v>
      </c>
      <c r="G2208" t="s">
        <v>32672</v>
      </c>
      <c r="H2208" t="s">
        <v>12635</v>
      </c>
      <c r="I2208" t="s">
        <v>32694</v>
      </c>
      <c r="J2208" t="s">
        <v>32898</v>
      </c>
      <c r="K2208" t="s">
        <v>42283</v>
      </c>
      <c r="M2208" t="s">
        <v>43523</v>
      </c>
      <c r="N2208" t="s">
        <v>46569</v>
      </c>
      <c r="O2208" t="s">
        <v>46570</v>
      </c>
      <c r="P2208">
        <v>0</v>
      </c>
      <c r="Q2208">
        <v>0</v>
      </c>
      <c r="R2208" t="s">
        <v>46571</v>
      </c>
      <c r="S2208" t="s">
        <v>46687</v>
      </c>
      <c r="T2208" t="s">
        <v>48225</v>
      </c>
      <c r="U2208" t="s">
        <v>50600</v>
      </c>
      <c r="W2208" t="s">
        <v>43523</v>
      </c>
      <c r="X2208" t="s">
        <v>46572</v>
      </c>
    </row>
    <row r="2209" spans="1:24">
      <c r="A2209">
        <f>HYPERLINK("https://www.philgeps.gov.ph/GEPSNONPILOT/Tender/SplashBidNoticeAbstractUI.aspx?menuIndex=3&amp;refID=7067023&amp;Result=3","7067023")</f>
        <v>0</v>
      </c>
      <c r="B2209" t="s">
        <v>921</v>
      </c>
      <c r="C2209" t="s">
        <v>5674</v>
      </c>
      <c r="D2209" t="s">
        <v>18836</v>
      </c>
      <c r="E2209" t="s">
        <v>20932</v>
      </c>
      <c r="F2209" t="s">
        <v>32664</v>
      </c>
      <c r="G2209" t="s">
        <v>32672</v>
      </c>
      <c r="H2209" t="s">
        <v>12635</v>
      </c>
      <c r="I2209" t="s">
        <v>4439</v>
      </c>
      <c r="J2209" t="s">
        <v>34382</v>
      </c>
      <c r="K2209" t="s">
        <v>42283</v>
      </c>
      <c r="M2209" t="s">
        <v>43527</v>
      </c>
      <c r="N2209" t="s">
        <v>46569</v>
      </c>
      <c r="O2209" t="s">
        <v>46570</v>
      </c>
      <c r="P2209">
        <v>0</v>
      </c>
      <c r="Q2209">
        <v>0</v>
      </c>
      <c r="R2209" t="s">
        <v>46571</v>
      </c>
      <c r="S2209" t="s">
        <v>46687</v>
      </c>
      <c r="T2209" t="s">
        <v>48245</v>
      </c>
      <c r="U2209" t="s">
        <v>50601</v>
      </c>
      <c r="W2209" t="s">
        <v>43527</v>
      </c>
      <c r="X2209" t="s">
        <v>46572</v>
      </c>
    </row>
    <row r="2210" spans="1:24">
      <c r="A2210">
        <f>HYPERLINK("https://www.philgeps.gov.ph/GEPSNONPILOT/Tender/SplashBidNoticeAbstractUI.aspx?menuIndex=3&amp;refID=7067075&amp;Result=3","7067075")</f>
        <v>0</v>
      </c>
      <c r="B2210" t="s">
        <v>914</v>
      </c>
      <c r="C2210" t="s">
        <v>5675</v>
      </c>
      <c r="D2210" t="s">
        <v>18820</v>
      </c>
      <c r="E2210" t="s">
        <v>20933</v>
      </c>
      <c r="F2210" t="s">
        <v>32664</v>
      </c>
      <c r="G2210" t="s">
        <v>32671</v>
      </c>
      <c r="H2210" t="s">
        <v>12635</v>
      </c>
      <c r="I2210" t="s">
        <v>6168</v>
      </c>
      <c r="J2210" t="s">
        <v>34383</v>
      </c>
      <c r="K2210" t="s">
        <v>42281</v>
      </c>
      <c r="M2210" t="s">
        <v>43520</v>
      </c>
      <c r="N2210" t="s">
        <v>46569</v>
      </c>
      <c r="O2210" t="s">
        <v>46570</v>
      </c>
      <c r="P2210">
        <v>0</v>
      </c>
      <c r="Q2210">
        <v>0</v>
      </c>
      <c r="R2210" t="s">
        <v>46571</v>
      </c>
      <c r="S2210" t="s">
        <v>46687</v>
      </c>
      <c r="T2210" t="s">
        <v>48221</v>
      </c>
      <c r="U2210" t="s">
        <v>50602</v>
      </c>
      <c r="V2210" t="s">
        <v>61848</v>
      </c>
      <c r="W2210" t="s">
        <v>43520</v>
      </c>
      <c r="X2210" t="s">
        <v>46572</v>
      </c>
    </row>
    <row r="2211" spans="1:24">
      <c r="A2211">
        <f>HYPERLINK("https://www.philgeps.gov.ph/GEPSNONPILOT/Tender/SplashBidNoticeAbstractUI.aspx?menuIndex=3&amp;refID=7067073&amp;Result=3","7067073")</f>
        <v>0</v>
      </c>
      <c r="B2211" t="s">
        <v>796</v>
      </c>
      <c r="C2211" t="s">
        <v>5676</v>
      </c>
      <c r="D2211" t="s">
        <v>18801</v>
      </c>
      <c r="E2211" t="s">
        <v>20934</v>
      </c>
      <c r="F2211" t="s">
        <v>32664</v>
      </c>
      <c r="G2211" t="s">
        <v>32672</v>
      </c>
      <c r="H2211" t="s">
        <v>32683</v>
      </c>
      <c r="I2211" t="s">
        <v>10627</v>
      </c>
      <c r="J2211" t="s">
        <v>34147</v>
      </c>
      <c r="K2211" t="s">
        <v>42298</v>
      </c>
      <c r="M2211" t="s">
        <v>43388</v>
      </c>
      <c r="N2211" t="s">
        <v>46569</v>
      </c>
      <c r="O2211" t="s">
        <v>46570</v>
      </c>
      <c r="P2211">
        <v>0</v>
      </c>
      <c r="Q2211">
        <v>1</v>
      </c>
      <c r="R2211" t="s">
        <v>46571</v>
      </c>
      <c r="S2211" t="s">
        <v>46687</v>
      </c>
      <c r="T2211" t="s">
        <v>48275</v>
      </c>
      <c r="U2211" t="s">
        <v>50301</v>
      </c>
      <c r="W2211" t="s">
        <v>63490</v>
      </c>
      <c r="X2211" t="s">
        <v>46572</v>
      </c>
    </row>
    <row r="2212" spans="1:24">
      <c r="A2212">
        <f>HYPERLINK("https://www.philgeps.gov.ph/GEPSNONPILOT/Tender/SplashBidNoticeAbstractUI.aspx?menuIndex=3&amp;refID=7067074&amp;Result=3","7067074")</f>
        <v>0</v>
      </c>
      <c r="B2212" t="s">
        <v>796</v>
      </c>
      <c r="C2212" t="s">
        <v>5677</v>
      </c>
      <c r="D2212" t="s">
        <v>18801</v>
      </c>
      <c r="E2212" t="s">
        <v>20935</v>
      </c>
      <c r="F2212" t="s">
        <v>32664</v>
      </c>
      <c r="G2212" t="s">
        <v>32672</v>
      </c>
      <c r="H2212" t="s">
        <v>32683</v>
      </c>
      <c r="I2212" t="s">
        <v>10627</v>
      </c>
      <c r="J2212" t="s">
        <v>34384</v>
      </c>
      <c r="K2212" t="s">
        <v>42298</v>
      </c>
      <c r="M2212" t="s">
        <v>43388</v>
      </c>
      <c r="N2212" t="s">
        <v>46569</v>
      </c>
      <c r="O2212" t="s">
        <v>46570</v>
      </c>
      <c r="P2212">
        <v>0</v>
      </c>
      <c r="Q2212">
        <v>1</v>
      </c>
      <c r="R2212" t="s">
        <v>46571</v>
      </c>
      <c r="S2212" t="s">
        <v>46687</v>
      </c>
      <c r="T2212" t="s">
        <v>48275</v>
      </c>
      <c r="U2212" t="s">
        <v>50301</v>
      </c>
      <c r="W2212" t="s">
        <v>63490</v>
      </c>
      <c r="X2212" t="s">
        <v>46572</v>
      </c>
    </row>
    <row r="2213" spans="1:24">
      <c r="A2213">
        <f>HYPERLINK("https://www.philgeps.gov.ph/GEPSNONPILOT/Tender/SplashBidNoticeAbstractUI.aspx?menuIndex=3&amp;refID=7067072&amp;Result=3","7067072")</f>
        <v>0</v>
      </c>
      <c r="B2213" t="s">
        <v>922</v>
      </c>
      <c r="C2213" t="s">
        <v>5678</v>
      </c>
      <c r="D2213" t="s">
        <v>18788</v>
      </c>
      <c r="E2213" t="s">
        <v>20936</v>
      </c>
      <c r="F2213" t="s">
        <v>32664</v>
      </c>
      <c r="G2213" t="s">
        <v>32672</v>
      </c>
      <c r="H2213" t="s">
        <v>12635</v>
      </c>
      <c r="I2213" t="s">
        <v>4439</v>
      </c>
      <c r="J2213" t="s">
        <v>33696</v>
      </c>
      <c r="K2213" t="s">
        <v>42297</v>
      </c>
      <c r="M2213" t="s">
        <v>43528</v>
      </c>
      <c r="N2213" t="s">
        <v>46569</v>
      </c>
      <c r="O2213" t="s">
        <v>46570</v>
      </c>
      <c r="P2213">
        <v>0</v>
      </c>
      <c r="Q2213">
        <v>0</v>
      </c>
      <c r="R2213" t="s">
        <v>46571</v>
      </c>
      <c r="S2213" t="s">
        <v>46687</v>
      </c>
      <c r="T2213" t="s">
        <v>48238</v>
      </c>
      <c r="U2213" t="s">
        <v>50603</v>
      </c>
      <c r="W2213" t="s">
        <v>43528</v>
      </c>
      <c r="X2213" t="s">
        <v>46572</v>
      </c>
    </row>
    <row r="2214" spans="1:24">
      <c r="A2214">
        <f>HYPERLINK("https://www.philgeps.gov.ph/GEPSNONPILOT/Tender/SplashBidNoticeAbstractUI.aspx?menuIndex=3&amp;refID=7067071&amp;Result=3","7067071")</f>
        <v>0</v>
      </c>
      <c r="B2214" t="s">
        <v>796</v>
      </c>
      <c r="C2214" t="s">
        <v>5679</v>
      </c>
      <c r="D2214" t="s">
        <v>18801</v>
      </c>
      <c r="E2214" t="s">
        <v>20937</v>
      </c>
      <c r="F2214" t="s">
        <v>32664</v>
      </c>
      <c r="G2214" t="s">
        <v>32672</v>
      </c>
      <c r="H2214" t="s">
        <v>32683</v>
      </c>
      <c r="I2214" t="s">
        <v>10627</v>
      </c>
      <c r="J2214" t="s">
        <v>34147</v>
      </c>
      <c r="K2214" t="s">
        <v>42305</v>
      </c>
      <c r="M2214" t="s">
        <v>43388</v>
      </c>
      <c r="N2214" t="s">
        <v>46569</v>
      </c>
      <c r="O2214" t="s">
        <v>46570</v>
      </c>
      <c r="P2214">
        <v>0</v>
      </c>
      <c r="Q2214">
        <v>1</v>
      </c>
      <c r="R2214" t="s">
        <v>46571</v>
      </c>
      <c r="S2214" t="s">
        <v>46687</v>
      </c>
      <c r="T2214" t="s">
        <v>48275</v>
      </c>
      <c r="U2214" t="s">
        <v>50301</v>
      </c>
      <c r="W2214" t="s">
        <v>63490</v>
      </c>
      <c r="X2214" t="s">
        <v>46572</v>
      </c>
    </row>
    <row r="2215" spans="1:24">
      <c r="A2215">
        <f>HYPERLINK("https://www.philgeps.gov.ph/GEPSNONPILOT/Tender/SplashBidNoticeAbstractUI.aspx?menuIndex=3&amp;refID=7067066&amp;Result=3","7067066")</f>
        <v>0</v>
      </c>
      <c r="B2215" t="s">
        <v>238</v>
      </c>
      <c r="C2215" t="s">
        <v>5680</v>
      </c>
      <c r="E2215" t="s">
        <v>20938</v>
      </c>
      <c r="F2215" t="s">
        <v>32664</v>
      </c>
      <c r="G2215" t="s">
        <v>32675</v>
      </c>
      <c r="H2215" t="s">
        <v>12635</v>
      </c>
      <c r="I2215" t="s">
        <v>32694</v>
      </c>
      <c r="J2215" t="s">
        <v>33621</v>
      </c>
      <c r="K2215" t="s">
        <v>42295</v>
      </c>
      <c r="M2215" t="s">
        <v>42909</v>
      </c>
      <c r="N2215" t="s">
        <v>46569</v>
      </c>
      <c r="O2215" t="s">
        <v>46570</v>
      </c>
      <c r="P2215">
        <v>0</v>
      </c>
      <c r="Q2215">
        <v>0</v>
      </c>
      <c r="R2215" t="s">
        <v>46571</v>
      </c>
      <c r="S2215" t="s">
        <v>46687</v>
      </c>
      <c r="T2215" t="s">
        <v>48219</v>
      </c>
      <c r="U2215" t="s">
        <v>50604</v>
      </c>
      <c r="V2215" t="s">
        <v>61850</v>
      </c>
      <c r="W2215" t="s">
        <v>42909</v>
      </c>
      <c r="X2215" t="s">
        <v>46572</v>
      </c>
    </row>
    <row r="2216" spans="1:24">
      <c r="A2216">
        <f>HYPERLINK("https://www.philgeps.gov.ph/GEPSNONPILOT/Tender/SplashBidNoticeAbstractUI.aspx?menuIndex=3&amp;refID=7067065&amp;Result=3","7067065")</f>
        <v>0</v>
      </c>
      <c r="B2216" t="s">
        <v>119</v>
      </c>
      <c r="C2216" t="s">
        <v>5681</v>
      </c>
      <c r="D2216" t="s">
        <v>18782</v>
      </c>
      <c r="E2216" t="s">
        <v>20939</v>
      </c>
      <c r="F2216" t="s">
        <v>32664</v>
      </c>
      <c r="G2216" t="s">
        <v>32674</v>
      </c>
      <c r="H2216" t="s">
        <v>12635</v>
      </c>
      <c r="I2216" t="s">
        <v>32692</v>
      </c>
      <c r="J2216" t="s">
        <v>34385</v>
      </c>
      <c r="K2216" t="s">
        <v>42309</v>
      </c>
      <c r="M2216" t="s">
        <v>42683</v>
      </c>
      <c r="N2216" t="s">
        <v>46569</v>
      </c>
      <c r="O2216" t="s">
        <v>46570</v>
      </c>
      <c r="P2216">
        <v>0</v>
      </c>
      <c r="Q2216">
        <v>0</v>
      </c>
      <c r="R2216" t="s">
        <v>46571</v>
      </c>
      <c r="S2216" t="s">
        <v>46687</v>
      </c>
      <c r="T2216" t="s">
        <v>48217</v>
      </c>
      <c r="U2216" t="s">
        <v>50605</v>
      </c>
      <c r="V2216" t="s">
        <v>61851</v>
      </c>
      <c r="W2216" t="s">
        <v>42683</v>
      </c>
      <c r="X2216" t="s">
        <v>46572</v>
      </c>
    </row>
    <row r="2217" spans="1:24">
      <c r="A2217">
        <f>HYPERLINK("https://www.philgeps.gov.ph/GEPSNONPILOT/Tender/SplashBidNoticeAbstractUI.aspx?menuIndex=3&amp;refID=7067070&amp;Result=3","7067070")</f>
        <v>0</v>
      </c>
      <c r="B2217" t="s">
        <v>917</v>
      </c>
      <c r="C2217" t="s">
        <v>5682</v>
      </c>
      <c r="D2217" t="s">
        <v>18781</v>
      </c>
      <c r="E2217" t="s">
        <v>20045</v>
      </c>
      <c r="F2217" t="s">
        <v>32664</v>
      </c>
      <c r="G2217" t="s">
        <v>32674</v>
      </c>
      <c r="H2217" t="s">
        <v>12635</v>
      </c>
      <c r="I2217" t="s">
        <v>6168</v>
      </c>
      <c r="J2217" t="s">
        <v>34386</v>
      </c>
      <c r="K2217" t="s">
        <v>42283</v>
      </c>
      <c r="M2217" t="s">
        <v>43523</v>
      </c>
      <c r="N2217" t="s">
        <v>46569</v>
      </c>
      <c r="O2217" t="s">
        <v>46570</v>
      </c>
      <c r="P2217">
        <v>0</v>
      </c>
      <c r="Q2217">
        <v>0</v>
      </c>
      <c r="R2217" t="s">
        <v>46571</v>
      </c>
      <c r="S2217" t="s">
        <v>46687</v>
      </c>
      <c r="T2217" t="s">
        <v>48283</v>
      </c>
      <c r="U2217" t="s">
        <v>50606</v>
      </c>
      <c r="W2217" t="s">
        <v>43523</v>
      </c>
      <c r="X2217" t="s">
        <v>46572</v>
      </c>
    </row>
    <row r="2218" spans="1:24">
      <c r="A2218">
        <f>HYPERLINK("https://www.philgeps.gov.ph/GEPSNONPILOT/Tender/SplashBidNoticeAbstractUI.aspx?menuIndex=3&amp;refID=7067076&amp;Result=3","7067076")</f>
        <v>0</v>
      </c>
      <c r="B2218" t="s">
        <v>796</v>
      </c>
      <c r="C2218" t="s">
        <v>5683</v>
      </c>
      <c r="D2218" t="s">
        <v>18801</v>
      </c>
      <c r="E2218" t="s">
        <v>20940</v>
      </c>
      <c r="F2218" t="s">
        <v>32664</v>
      </c>
      <c r="G2218" t="s">
        <v>32672</v>
      </c>
      <c r="H2218" t="s">
        <v>32683</v>
      </c>
      <c r="I2218" t="s">
        <v>10627</v>
      </c>
      <c r="J2218" t="s">
        <v>34387</v>
      </c>
      <c r="K2218" t="s">
        <v>42311</v>
      </c>
      <c r="M2218" t="s">
        <v>43388</v>
      </c>
      <c r="N2218" t="s">
        <v>46569</v>
      </c>
      <c r="O2218" t="s">
        <v>46570</v>
      </c>
      <c r="P2218">
        <v>0</v>
      </c>
      <c r="Q2218">
        <v>1</v>
      </c>
      <c r="R2218" t="s">
        <v>46571</v>
      </c>
      <c r="S2218" t="s">
        <v>46687</v>
      </c>
      <c r="T2218" t="s">
        <v>48275</v>
      </c>
      <c r="U2218" t="s">
        <v>50301</v>
      </c>
      <c r="W2218" t="s">
        <v>63490</v>
      </c>
      <c r="X2218" t="s">
        <v>46572</v>
      </c>
    </row>
    <row r="2219" spans="1:24">
      <c r="A2219">
        <f>HYPERLINK("https://www.philgeps.gov.ph/GEPSNONPILOT/Tender/SplashBidNoticeAbstractUI.aspx?menuIndex=3&amp;refID=7067063&amp;Result=3","7067063")</f>
        <v>0</v>
      </c>
      <c r="B2219" t="s">
        <v>923</v>
      </c>
      <c r="C2219" t="s">
        <v>5684</v>
      </c>
      <c r="D2219" t="s">
        <v>18782</v>
      </c>
      <c r="E2219" t="s">
        <v>20941</v>
      </c>
      <c r="F2219" t="s">
        <v>32664</v>
      </c>
      <c r="G2219" t="s">
        <v>32672</v>
      </c>
      <c r="H2219" t="s">
        <v>12635</v>
      </c>
      <c r="I2219" t="s">
        <v>8849</v>
      </c>
      <c r="J2219" t="s">
        <v>32976</v>
      </c>
      <c r="K2219" t="s">
        <v>42284</v>
      </c>
      <c r="M2219" t="s">
        <v>43529</v>
      </c>
      <c r="N2219" t="s">
        <v>46569</v>
      </c>
      <c r="O2219" t="s">
        <v>46570</v>
      </c>
      <c r="P2219">
        <v>0</v>
      </c>
      <c r="Q2219">
        <v>0</v>
      </c>
      <c r="R2219" t="s">
        <v>46571</v>
      </c>
      <c r="S2219" t="s">
        <v>46687</v>
      </c>
      <c r="T2219" t="s">
        <v>48278</v>
      </c>
      <c r="U2219" t="s">
        <v>50607</v>
      </c>
      <c r="W2219" t="s">
        <v>43529</v>
      </c>
      <c r="X2219" t="s">
        <v>46572</v>
      </c>
    </row>
    <row r="2220" spans="1:24">
      <c r="A2220">
        <f>HYPERLINK("https://www.philgeps.gov.ph/GEPSNONPILOT/Tender/SplashBidNoticeAbstractUI.aspx?menuIndex=3&amp;refID=7066873&amp;Result=3","7066873")</f>
        <v>0</v>
      </c>
      <c r="B2220" t="s">
        <v>884</v>
      </c>
      <c r="C2220" t="s">
        <v>5685</v>
      </c>
      <c r="D2220" t="s">
        <v>18816</v>
      </c>
      <c r="E2220" t="s">
        <v>20942</v>
      </c>
      <c r="F2220" t="s">
        <v>32664</v>
      </c>
      <c r="G2220" t="s">
        <v>32671</v>
      </c>
      <c r="H2220" t="s">
        <v>12635</v>
      </c>
      <c r="I2220" t="s">
        <v>5589</v>
      </c>
      <c r="J2220" t="s">
        <v>32830</v>
      </c>
      <c r="K2220" t="s">
        <v>42284</v>
      </c>
      <c r="M2220" t="s">
        <v>43485</v>
      </c>
      <c r="N2220" t="s">
        <v>46569</v>
      </c>
      <c r="O2220" t="s">
        <v>46570</v>
      </c>
      <c r="P2220">
        <v>0</v>
      </c>
      <c r="Q2220">
        <v>1</v>
      </c>
      <c r="R2220" t="s">
        <v>46571</v>
      </c>
      <c r="S2220" t="s">
        <v>46687</v>
      </c>
      <c r="T2220" t="s">
        <v>48244</v>
      </c>
      <c r="U2220" t="s">
        <v>50608</v>
      </c>
      <c r="W2220" t="s">
        <v>43485</v>
      </c>
      <c r="X2220" t="s">
        <v>46572</v>
      </c>
    </row>
    <row r="2221" spans="1:24">
      <c r="A2221">
        <f>HYPERLINK("https://www.philgeps.gov.ph/GEPSNONPILOT/Tender/SplashBidNoticeAbstractUI.aspx?menuIndex=3&amp;refID=7067062&amp;Result=3","7067062")</f>
        <v>0</v>
      </c>
      <c r="B2221" t="s">
        <v>924</v>
      </c>
      <c r="C2221" t="s">
        <v>5686</v>
      </c>
      <c r="D2221" t="s">
        <v>18801</v>
      </c>
      <c r="E2221" t="s">
        <v>20943</v>
      </c>
      <c r="F2221" t="s">
        <v>32664</v>
      </c>
      <c r="G2221" t="s">
        <v>32672</v>
      </c>
      <c r="H2221" t="s">
        <v>32683</v>
      </c>
      <c r="I2221" t="s">
        <v>4439</v>
      </c>
      <c r="J2221" t="s">
        <v>32976</v>
      </c>
      <c r="K2221" t="s">
        <v>42283</v>
      </c>
      <c r="M2221" t="s">
        <v>43530</v>
      </c>
      <c r="N2221" t="s">
        <v>46569</v>
      </c>
      <c r="O2221" t="s">
        <v>46570</v>
      </c>
      <c r="P2221">
        <v>0</v>
      </c>
      <c r="Q2221">
        <v>0</v>
      </c>
      <c r="R2221" t="s">
        <v>46571</v>
      </c>
      <c r="S2221" t="s">
        <v>46687</v>
      </c>
      <c r="T2221" t="s">
        <v>48230</v>
      </c>
      <c r="U2221" t="s">
        <v>50609</v>
      </c>
      <c r="W2221" t="s">
        <v>43530</v>
      </c>
      <c r="X2221" t="s">
        <v>46572</v>
      </c>
    </row>
    <row r="2222" spans="1:24">
      <c r="A2222">
        <f>HYPERLINK("https://www.philgeps.gov.ph/GEPSNONPILOT/Tender/SplashBidNoticeAbstractUI.aspx?menuIndex=3&amp;refID=7067069&amp;Result=3","7067069")</f>
        <v>0</v>
      </c>
      <c r="B2222" t="s">
        <v>925</v>
      </c>
      <c r="C2222" t="s">
        <v>5687</v>
      </c>
      <c r="D2222" t="s">
        <v>18836</v>
      </c>
      <c r="E2222" t="s">
        <v>20944</v>
      </c>
      <c r="F2222" t="s">
        <v>32664</v>
      </c>
      <c r="G2222" t="s">
        <v>32671</v>
      </c>
      <c r="H2222" t="s">
        <v>12635</v>
      </c>
      <c r="I2222" t="s">
        <v>6628</v>
      </c>
      <c r="J2222" t="s">
        <v>34388</v>
      </c>
      <c r="K2222" t="s">
        <v>42297</v>
      </c>
      <c r="M2222" t="s">
        <v>43531</v>
      </c>
      <c r="N2222" t="s">
        <v>46569</v>
      </c>
      <c r="O2222" t="s">
        <v>46570</v>
      </c>
      <c r="P2222">
        <v>0</v>
      </c>
      <c r="Q2222">
        <v>2</v>
      </c>
      <c r="R2222" t="s">
        <v>46571</v>
      </c>
      <c r="S2222" t="s">
        <v>46687</v>
      </c>
      <c r="T2222" t="s">
        <v>48280</v>
      </c>
      <c r="U2222" t="s">
        <v>50610</v>
      </c>
      <c r="W2222" t="s">
        <v>43531</v>
      </c>
      <c r="X2222" t="s">
        <v>46572</v>
      </c>
    </row>
    <row r="2223" spans="1:24">
      <c r="A2223">
        <f>HYPERLINK("https://www.philgeps.gov.ph/GEPSNONPILOT/Tender/SplashBidNoticeAbstractUI.aspx?menuIndex=3&amp;refID=7067068&amp;Result=3","7067068")</f>
        <v>0</v>
      </c>
      <c r="B2223" t="s">
        <v>796</v>
      </c>
      <c r="C2223" t="s">
        <v>5688</v>
      </c>
      <c r="D2223" t="s">
        <v>18801</v>
      </c>
      <c r="E2223" t="s">
        <v>20945</v>
      </c>
      <c r="F2223" t="s">
        <v>32664</v>
      </c>
      <c r="G2223" t="s">
        <v>32672</v>
      </c>
      <c r="H2223" t="s">
        <v>32683</v>
      </c>
      <c r="I2223" t="s">
        <v>10627</v>
      </c>
      <c r="J2223" t="s">
        <v>34147</v>
      </c>
      <c r="K2223" t="s">
        <v>42298</v>
      </c>
      <c r="M2223" t="s">
        <v>43388</v>
      </c>
      <c r="N2223" t="s">
        <v>46569</v>
      </c>
      <c r="O2223" t="s">
        <v>46570</v>
      </c>
      <c r="P2223">
        <v>0</v>
      </c>
      <c r="Q2223">
        <v>1</v>
      </c>
      <c r="R2223" t="s">
        <v>46571</v>
      </c>
      <c r="S2223" t="s">
        <v>46687</v>
      </c>
      <c r="T2223" t="s">
        <v>48275</v>
      </c>
      <c r="U2223" t="s">
        <v>50301</v>
      </c>
      <c r="W2223" t="s">
        <v>63490</v>
      </c>
      <c r="X2223" t="s">
        <v>46572</v>
      </c>
    </row>
    <row r="2224" spans="1:24">
      <c r="A2224">
        <f>HYPERLINK("https://www.philgeps.gov.ph/GEPSNONPILOT/Tender/SplashBidNoticeAbstractUI.aspx?menuIndex=3&amp;refID=7067104&amp;Result=3","7067104")</f>
        <v>0</v>
      </c>
      <c r="B2224" t="s">
        <v>926</v>
      </c>
      <c r="C2224" t="s">
        <v>5689</v>
      </c>
      <c r="D2224" t="s">
        <v>18847</v>
      </c>
      <c r="E2224" t="s">
        <v>20946</v>
      </c>
      <c r="F2224" t="s">
        <v>32664</v>
      </c>
      <c r="G2224" t="s">
        <v>32672</v>
      </c>
      <c r="H2224" t="s">
        <v>32683</v>
      </c>
      <c r="I2224" t="s">
        <v>10627</v>
      </c>
      <c r="J2224" t="s">
        <v>34389</v>
      </c>
      <c r="K2224" t="s">
        <v>42281</v>
      </c>
      <c r="M2224" t="s">
        <v>43532</v>
      </c>
      <c r="N2224" t="s">
        <v>46569</v>
      </c>
      <c r="O2224" t="s">
        <v>46570</v>
      </c>
      <c r="P2224">
        <v>0</v>
      </c>
      <c r="Q2224">
        <v>0</v>
      </c>
      <c r="R2224" t="s">
        <v>46571</v>
      </c>
      <c r="S2224" t="s">
        <v>46687</v>
      </c>
      <c r="T2224" t="s">
        <v>48230</v>
      </c>
      <c r="U2224" t="s">
        <v>50611</v>
      </c>
      <c r="W2224" t="s">
        <v>43532</v>
      </c>
      <c r="X2224" t="s">
        <v>46572</v>
      </c>
    </row>
    <row r="2225" spans="1:24">
      <c r="A2225">
        <f>HYPERLINK("https://www.philgeps.gov.ph/GEPSNONPILOT/Tender/SplashBidNoticeAbstractUI.aspx?menuIndex=3&amp;refID=7067059&amp;Result=3","7067059")</f>
        <v>0</v>
      </c>
      <c r="B2225" t="s">
        <v>388</v>
      </c>
      <c r="C2225" t="s">
        <v>5690</v>
      </c>
      <c r="D2225" t="s">
        <v>18799</v>
      </c>
      <c r="E2225" t="s">
        <v>20947</v>
      </c>
      <c r="F2225" t="s">
        <v>32664</v>
      </c>
      <c r="G2225" t="s">
        <v>32671</v>
      </c>
      <c r="H2225" t="s">
        <v>12635</v>
      </c>
      <c r="I2225" t="s">
        <v>32685</v>
      </c>
      <c r="J2225" t="s">
        <v>32917</v>
      </c>
      <c r="K2225" t="s">
        <v>42289</v>
      </c>
      <c r="M2225" t="s">
        <v>42958</v>
      </c>
      <c r="N2225" t="s">
        <v>46569</v>
      </c>
      <c r="O2225" t="s">
        <v>46570</v>
      </c>
      <c r="P2225">
        <v>0</v>
      </c>
      <c r="Q2225">
        <v>0</v>
      </c>
      <c r="R2225" t="s">
        <v>46571</v>
      </c>
      <c r="S2225" t="s">
        <v>46687</v>
      </c>
      <c r="T2225" t="s">
        <v>48244</v>
      </c>
      <c r="U2225" t="s">
        <v>49477</v>
      </c>
      <c r="W2225" t="s">
        <v>42958</v>
      </c>
      <c r="X2225" t="s">
        <v>46572</v>
      </c>
    </row>
    <row r="2226" spans="1:24">
      <c r="A2226">
        <f>HYPERLINK("https://www.philgeps.gov.ph/GEPSNONPILOT/Tender/SplashBidNoticeAbstractUI.aspx?menuIndex=3&amp;refID=7067100&amp;Result=3","7067100")</f>
        <v>0</v>
      </c>
      <c r="B2226" t="s">
        <v>927</v>
      </c>
      <c r="C2226" t="s">
        <v>5691</v>
      </c>
      <c r="D2226" t="s">
        <v>18793</v>
      </c>
      <c r="E2226" t="s">
        <v>20948</v>
      </c>
      <c r="F2226" t="s">
        <v>32664</v>
      </c>
      <c r="G2226" t="s">
        <v>32671</v>
      </c>
      <c r="H2226" t="s">
        <v>12635</v>
      </c>
      <c r="I2226" t="s">
        <v>8797</v>
      </c>
      <c r="J2226" t="s">
        <v>34390</v>
      </c>
      <c r="K2226" t="s">
        <v>42289</v>
      </c>
      <c r="M2226" t="s">
        <v>43533</v>
      </c>
      <c r="N2226" t="s">
        <v>46569</v>
      </c>
      <c r="O2226" t="s">
        <v>46570</v>
      </c>
      <c r="P2226">
        <v>0</v>
      </c>
      <c r="Q2226">
        <v>0</v>
      </c>
      <c r="R2226" t="s">
        <v>46571</v>
      </c>
      <c r="S2226" t="s">
        <v>46687</v>
      </c>
      <c r="T2226" t="s">
        <v>48280</v>
      </c>
      <c r="U2226" t="s">
        <v>50612</v>
      </c>
      <c r="W2226" t="s">
        <v>43533</v>
      </c>
      <c r="X2226" t="s">
        <v>46572</v>
      </c>
    </row>
    <row r="2227" spans="1:24">
      <c r="A2227">
        <f>HYPERLINK("https://www.philgeps.gov.ph/GEPSNONPILOT/Tender/SplashBidNoticeAbstractUI.aspx?menuIndex=3&amp;refID=7067060&amp;Result=3","7067060")</f>
        <v>0</v>
      </c>
      <c r="B2227" t="s">
        <v>917</v>
      </c>
      <c r="C2227" t="s">
        <v>5692</v>
      </c>
      <c r="D2227" t="s">
        <v>18781</v>
      </c>
      <c r="E2227" t="s">
        <v>20949</v>
      </c>
      <c r="F2227" t="s">
        <v>32664</v>
      </c>
      <c r="G2227" t="s">
        <v>32674</v>
      </c>
      <c r="H2227" t="s">
        <v>12635</v>
      </c>
      <c r="I2227" t="s">
        <v>5589</v>
      </c>
      <c r="J2227" t="s">
        <v>33831</v>
      </c>
      <c r="K2227" t="s">
        <v>42283</v>
      </c>
      <c r="M2227" t="s">
        <v>43523</v>
      </c>
      <c r="N2227" t="s">
        <v>46569</v>
      </c>
      <c r="O2227" t="s">
        <v>46570</v>
      </c>
      <c r="P2227">
        <v>0</v>
      </c>
      <c r="Q2227">
        <v>0</v>
      </c>
      <c r="R2227" t="s">
        <v>46571</v>
      </c>
      <c r="S2227" t="s">
        <v>46687</v>
      </c>
      <c r="T2227" t="s">
        <v>48283</v>
      </c>
      <c r="U2227" t="s">
        <v>50613</v>
      </c>
      <c r="W2227" t="s">
        <v>43523</v>
      </c>
      <c r="X2227" t="s">
        <v>46572</v>
      </c>
    </row>
    <row r="2228" spans="1:24">
      <c r="A2228">
        <f>HYPERLINK("https://www.philgeps.gov.ph/GEPSNONPILOT/Tender/SplashBidNoticeAbstractUI.aspx?menuIndex=3&amp;refID=7067103&amp;Result=3","7067103")</f>
        <v>0</v>
      </c>
      <c r="B2228" t="s">
        <v>921</v>
      </c>
      <c r="C2228" t="s">
        <v>5693</v>
      </c>
      <c r="D2228" t="s">
        <v>18836</v>
      </c>
      <c r="E2228" t="s">
        <v>20950</v>
      </c>
      <c r="F2228" t="s">
        <v>32664</v>
      </c>
      <c r="G2228" t="s">
        <v>32671</v>
      </c>
      <c r="H2228" t="s">
        <v>12635</v>
      </c>
      <c r="I2228" t="s">
        <v>4439</v>
      </c>
      <c r="J2228" t="s">
        <v>34391</v>
      </c>
      <c r="K2228" t="s">
        <v>42283</v>
      </c>
      <c r="M2228" t="s">
        <v>43527</v>
      </c>
      <c r="N2228" t="s">
        <v>46569</v>
      </c>
      <c r="O2228" t="s">
        <v>46570</v>
      </c>
      <c r="P2228">
        <v>0</v>
      </c>
      <c r="Q2228">
        <v>0</v>
      </c>
      <c r="R2228" t="s">
        <v>46571</v>
      </c>
      <c r="S2228" t="s">
        <v>46687</v>
      </c>
      <c r="T2228" t="s">
        <v>48245</v>
      </c>
      <c r="U2228" t="s">
        <v>50614</v>
      </c>
      <c r="W2228" t="s">
        <v>43527</v>
      </c>
      <c r="X2228" t="s">
        <v>46572</v>
      </c>
    </row>
    <row r="2229" spans="1:24">
      <c r="A2229">
        <f>HYPERLINK("https://www.philgeps.gov.ph/GEPSNONPILOT/Tender/SplashBidNoticeAbstractUI.aspx?menuIndex=3&amp;refID=7067098&amp;Result=3","7067098")</f>
        <v>0</v>
      </c>
      <c r="B2229" t="s">
        <v>926</v>
      </c>
      <c r="C2229" t="s">
        <v>5694</v>
      </c>
      <c r="D2229" t="s">
        <v>18847</v>
      </c>
      <c r="E2229" t="s">
        <v>20951</v>
      </c>
      <c r="F2229" t="s">
        <v>32664</v>
      </c>
      <c r="G2229" t="s">
        <v>32672</v>
      </c>
      <c r="H2229" t="s">
        <v>32683</v>
      </c>
      <c r="I2229" t="s">
        <v>10627</v>
      </c>
      <c r="J2229" t="s">
        <v>34392</v>
      </c>
      <c r="K2229" t="s">
        <v>42281</v>
      </c>
      <c r="M2229" t="s">
        <v>43532</v>
      </c>
      <c r="N2229" t="s">
        <v>46569</v>
      </c>
      <c r="O2229" t="s">
        <v>46570</v>
      </c>
      <c r="P2229">
        <v>0</v>
      </c>
      <c r="Q2229">
        <v>0</v>
      </c>
      <c r="R2229" t="s">
        <v>46571</v>
      </c>
      <c r="S2229" t="s">
        <v>46687</v>
      </c>
      <c r="T2229" t="s">
        <v>48230</v>
      </c>
      <c r="U2229" t="s">
        <v>50615</v>
      </c>
      <c r="W2229" t="s">
        <v>43532</v>
      </c>
      <c r="X2229" t="s">
        <v>46572</v>
      </c>
    </row>
    <row r="2230" spans="1:24">
      <c r="A2230">
        <f>HYPERLINK("https://www.philgeps.gov.ph/GEPSNONPILOT/Tender/SplashBidNoticeAbstractUI.aspx?menuIndex=3&amp;refID=7067094&amp;Result=3","7067094")</f>
        <v>0</v>
      </c>
      <c r="B2230" t="s">
        <v>629</v>
      </c>
      <c r="C2230" t="s">
        <v>5695</v>
      </c>
      <c r="D2230" t="s">
        <v>18782</v>
      </c>
      <c r="E2230" t="s">
        <v>20952</v>
      </c>
      <c r="F2230" t="s">
        <v>32664</v>
      </c>
      <c r="G2230" t="s">
        <v>32674</v>
      </c>
      <c r="H2230" t="s">
        <v>12635</v>
      </c>
      <c r="I2230" t="s">
        <v>10590</v>
      </c>
      <c r="J2230" t="s">
        <v>33842</v>
      </c>
      <c r="K2230" t="s">
        <v>42283</v>
      </c>
      <c r="M2230" t="s">
        <v>43211</v>
      </c>
      <c r="N2230" t="s">
        <v>46569</v>
      </c>
      <c r="O2230" t="s">
        <v>46570</v>
      </c>
      <c r="P2230">
        <v>0</v>
      </c>
      <c r="Q2230">
        <v>0</v>
      </c>
      <c r="R2230" t="s">
        <v>46571</v>
      </c>
      <c r="S2230" t="s">
        <v>46687</v>
      </c>
      <c r="T2230" t="s">
        <v>48246</v>
      </c>
      <c r="U2230" t="s">
        <v>50616</v>
      </c>
      <c r="W2230" t="s">
        <v>43211</v>
      </c>
      <c r="X2230" t="s">
        <v>46572</v>
      </c>
    </row>
    <row r="2231" spans="1:24">
      <c r="A2231">
        <f>HYPERLINK("https://www.philgeps.gov.ph/GEPSNONPILOT/Tender/SplashBidNoticeAbstractUI.aspx?menuIndex=3&amp;refID=7067095&amp;Result=3","7067095")</f>
        <v>0</v>
      </c>
      <c r="B2231" t="s">
        <v>507</v>
      </c>
      <c r="C2231" t="s">
        <v>5696</v>
      </c>
      <c r="D2231" t="s">
        <v>18799</v>
      </c>
      <c r="E2231" t="s">
        <v>20953</v>
      </c>
      <c r="F2231" t="s">
        <v>32664</v>
      </c>
      <c r="G2231" t="s">
        <v>32674</v>
      </c>
      <c r="H2231" t="s">
        <v>12635</v>
      </c>
      <c r="I2231" t="s">
        <v>32692</v>
      </c>
      <c r="J2231" t="s">
        <v>34393</v>
      </c>
      <c r="K2231" t="s">
        <v>42284</v>
      </c>
      <c r="M2231" t="s">
        <v>43083</v>
      </c>
      <c r="N2231" t="s">
        <v>46569</v>
      </c>
      <c r="O2231" t="s">
        <v>46570</v>
      </c>
      <c r="P2231">
        <v>0</v>
      </c>
      <c r="Q2231">
        <v>0</v>
      </c>
      <c r="R2231" t="s">
        <v>46571</v>
      </c>
      <c r="S2231" t="s">
        <v>46687</v>
      </c>
      <c r="T2231" t="s">
        <v>48245</v>
      </c>
      <c r="U2231" t="s">
        <v>49258</v>
      </c>
      <c r="W2231" t="s">
        <v>43083</v>
      </c>
      <c r="X2231" t="s">
        <v>46572</v>
      </c>
    </row>
    <row r="2232" spans="1:24">
      <c r="A2232">
        <f>HYPERLINK("https://www.philgeps.gov.ph/GEPSNONPILOT/Tender/SplashBidNoticeAbstractUI.aspx?menuIndex=3&amp;refID=7067101&amp;Result=3","7067101")</f>
        <v>0</v>
      </c>
      <c r="B2232" t="s">
        <v>928</v>
      </c>
      <c r="C2232" t="s">
        <v>5697</v>
      </c>
      <c r="D2232" t="s">
        <v>18783</v>
      </c>
      <c r="E2232" t="s">
        <v>20954</v>
      </c>
      <c r="F2232" t="s">
        <v>32664</v>
      </c>
      <c r="G2232" t="s">
        <v>32671</v>
      </c>
      <c r="H2232" t="s">
        <v>12635</v>
      </c>
      <c r="I2232" t="s">
        <v>6628</v>
      </c>
      <c r="J2232" t="s">
        <v>34394</v>
      </c>
      <c r="K2232" t="s">
        <v>42281</v>
      </c>
      <c r="M2232" t="s">
        <v>43534</v>
      </c>
      <c r="N2232" t="s">
        <v>46569</v>
      </c>
      <c r="O2232" t="s">
        <v>46570</v>
      </c>
      <c r="P2232">
        <v>0</v>
      </c>
      <c r="Q2232">
        <v>0</v>
      </c>
      <c r="R2232" t="s">
        <v>46571</v>
      </c>
      <c r="S2232" t="s">
        <v>46687</v>
      </c>
      <c r="T2232" t="s">
        <v>48436</v>
      </c>
      <c r="U2232" t="s">
        <v>50617</v>
      </c>
      <c r="W2232" t="s">
        <v>43534</v>
      </c>
      <c r="X2232" t="s">
        <v>46572</v>
      </c>
    </row>
    <row r="2233" spans="1:24">
      <c r="A2233">
        <f>HYPERLINK("https://www.philgeps.gov.ph/GEPSNONPILOT/Tender/SplashBidNoticeAbstractUI.aspx?menuIndex=3&amp;refID=7067093&amp;Result=3","7067093")</f>
        <v>0</v>
      </c>
      <c r="B2233" t="s">
        <v>929</v>
      </c>
      <c r="C2233" t="s">
        <v>5698</v>
      </c>
      <c r="D2233" t="s">
        <v>18805</v>
      </c>
      <c r="E2233" t="s">
        <v>20955</v>
      </c>
      <c r="F2233" t="s">
        <v>32664</v>
      </c>
      <c r="G2233" t="s">
        <v>32674</v>
      </c>
      <c r="H2233" t="s">
        <v>12635</v>
      </c>
      <c r="I2233" t="s">
        <v>8730</v>
      </c>
      <c r="J2233" t="s">
        <v>34273</v>
      </c>
      <c r="K2233" t="s">
        <v>42283</v>
      </c>
      <c r="M2233" t="s">
        <v>43535</v>
      </c>
      <c r="N2233" t="s">
        <v>46569</v>
      </c>
      <c r="O2233" t="s">
        <v>46570</v>
      </c>
      <c r="P2233">
        <v>0</v>
      </c>
      <c r="Q2233">
        <v>2</v>
      </c>
      <c r="R2233" t="s">
        <v>46571</v>
      </c>
      <c r="S2233" t="s">
        <v>46687</v>
      </c>
      <c r="T2233" t="s">
        <v>48410</v>
      </c>
      <c r="U2233" t="s">
        <v>50618</v>
      </c>
      <c r="V2233" t="s">
        <v>61852</v>
      </c>
      <c r="W2233" t="s">
        <v>43535</v>
      </c>
      <c r="X2233" t="s">
        <v>46572</v>
      </c>
    </row>
    <row r="2234" spans="1:24">
      <c r="A2234">
        <f>HYPERLINK("https://www.philgeps.gov.ph/GEPSNONPILOT/Tender/SplashBidNoticeAbstractUI.aspx?menuIndex=3&amp;refID=7067091&amp;Result=3","7067091")</f>
        <v>0</v>
      </c>
      <c r="B2234" t="s">
        <v>926</v>
      </c>
      <c r="C2234" t="s">
        <v>5699</v>
      </c>
      <c r="D2234" t="s">
        <v>18847</v>
      </c>
      <c r="E2234" t="s">
        <v>20956</v>
      </c>
      <c r="F2234" t="s">
        <v>32664</v>
      </c>
      <c r="G2234" t="s">
        <v>32672</v>
      </c>
      <c r="H2234" t="s">
        <v>32683</v>
      </c>
      <c r="I2234" t="s">
        <v>10627</v>
      </c>
      <c r="J2234" t="s">
        <v>34395</v>
      </c>
      <c r="K2234" t="s">
        <v>42281</v>
      </c>
      <c r="M2234" t="s">
        <v>43532</v>
      </c>
      <c r="N2234" t="s">
        <v>46569</v>
      </c>
      <c r="O2234" t="s">
        <v>46570</v>
      </c>
      <c r="P2234">
        <v>0</v>
      </c>
      <c r="Q2234">
        <v>0</v>
      </c>
      <c r="R2234" t="s">
        <v>46571</v>
      </c>
      <c r="S2234" t="s">
        <v>46687</v>
      </c>
      <c r="T2234" t="s">
        <v>48230</v>
      </c>
      <c r="U2234" t="s">
        <v>50619</v>
      </c>
      <c r="W2234" t="s">
        <v>43532</v>
      </c>
      <c r="X2234" t="s">
        <v>46572</v>
      </c>
    </row>
    <row r="2235" spans="1:24">
      <c r="A2235">
        <f>HYPERLINK("https://www.philgeps.gov.ph/GEPSNONPILOT/Tender/SplashBidNoticeAbstractUI.aspx?menuIndex=3&amp;refID=7067089&amp;Result=3","7067089")</f>
        <v>0</v>
      </c>
      <c r="B2235" t="s">
        <v>930</v>
      </c>
      <c r="C2235" t="s">
        <v>5700</v>
      </c>
      <c r="D2235" t="s">
        <v>18839</v>
      </c>
      <c r="E2235" t="s">
        <v>20957</v>
      </c>
      <c r="F2235" t="s">
        <v>32664</v>
      </c>
      <c r="G2235" t="s">
        <v>32672</v>
      </c>
      <c r="H2235" t="s">
        <v>12635</v>
      </c>
      <c r="I2235" t="s">
        <v>32700</v>
      </c>
      <c r="J2235" t="s">
        <v>33128</v>
      </c>
      <c r="K2235" t="s">
        <v>42330</v>
      </c>
      <c r="M2235" t="s">
        <v>43536</v>
      </c>
      <c r="N2235" t="s">
        <v>46569</v>
      </c>
      <c r="O2235" t="s">
        <v>46570</v>
      </c>
      <c r="P2235">
        <v>0</v>
      </c>
      <c r="Q2235">
        <v>1</v>
      </c>
      <c r="R2235" t="s">
        <v>46571</v>
      </c>
      <c r="S2235" t="s">
        <v>46687</v>
      </c>
      <c r="T2235" t="s">
        <v>48226</v>
      </c>
      <c r="U2235" t="s">
        <v>50620</v>
      </c>
      <c r="W2235" t="s">
        <v>43536</v>
      </c>
      <c r="X2235" t="s">
        <v>46572</v>
      </c>
    </row>
    <row r="2236" spans="1:24">
      <c r="A2236">
        <f>HYPERLINK("https://www.philgeps.gov.ph/GEPSNONPILOT/Tender/SplashBidNoticeAbstractUI.aspx?menuIndex=3&amp;refID=7067106&amp;Result=3","7067106")</f>
        <v>0</v>
      </c>
      <c r="B2236" t="s">
        <v>931</v>
      </c>
      <c r="C2236" t="s">
        <v>5701</v>
      </c>
      <c r="E2236" t="s">
        <v>20958</v>
      </c>
      <c r="F2236" t="s">
        <v>32664</v>
      </c>
      <c r="G2236" t="s">
        <v>32671</v>
      </c>
      <c r="H2236" t="s">
        <v>12635</v>
      </c>
      <c r="I2236" t="s">
        <v>4205</v>
      </c>
      <c r="J2236" t="s">
        <v>34396</v>
      </c>
      <c r="K2236" t="s">
        <v>42283</v>
      </c>
      <c r="M2236" t="s">
        <v>43537</v>
      </c>
      <c r="N2236" t="s">
        <v>46569</v>
      </c>
      <c r="O2236" t="s">
        <v>46570</v>
      </c>
      <c r="P2236">
        <v>0</v>
      </c>
      <c r="Q2236">
        <v>0</v>
      </c>
      <c r="R2236" t="s">
        <v>46571</v>
      </c>
      <c r="S2236" t="s">
        <v>46687</v>
      </c>
      <c r="T2236" t="s">
        <v>48305</v>
      </c>
      <c r="U2236" t="s">
        <v>50621</v>
      </c>
      <c r="W2236" t="s">
        <v>43537</v>
      </c>
      <c r="X2236" t="s">
        <v>46572</v>
      </c>
    </row>
    <row r="2237" spans="1:24">
      <c r="A2237">
        <f>HYPERLINK("https://www.philgeps.gov.ph/GEPSNONPILOT/Tender/SplashBidNoticeAbstractUI.aspx?menuIndex=3&amp;refID=7067124&amp;Result=3","7067124")</f>
        <v>0</v>
      </c>
      <c r="B2237" t="s">
        <v>932</v>
      </c>
      <c r="C2237" t="s">
        <v>5702</v>
      </c>
      <c r="D2237" t="s">
        <v>18803</v>
      </c>
      <c r="E2237" t="s">
        <v>20959</v>
      </c>
      <c r="F2237" t="s">
        <v>32664</v>
      </c>
      <c r="G2237" t="s">
        <v>32674</v>
      </c>
      <c r="H2237" t="s">
        <v>12635</v>
      </c>
      <c r="I2237" t="s">
        <v>32689</v>
      </c>
      <c r="J2237" t="s">
        <v>33078</v>
      </c>
      <c r="K2237" t="s">
        <v>42289</v>
      </c>
      <c r="M2237" t="s">
        <v>43538</v>
      </c>
      <c r="N2237" t="s">
        <v>46569</v>
      </c>
      <c r="O2237" t="s">
        <v>46570</v>
      </c>
      <c r="P2237">
        <v>0</v>
      </c>
      <c r="Q2237">
        <v>3</v>
      </c>
      <c r="R2237" t="s">
        <v>46571</v>
      </c>
      <c r="S2237" t="s">
        <v>46687</v>
      </c>
      <c r="T2237" t="s">
        <v>48312</v>
      </c>
      <c r="U2237" t="s">
        <v>50622</v>
      </c>
      <c r="V2237" t="s">
        <v>61853</v>
      </c>
      <c r="W2237" t="s">
        <v>43538</v>
      </c>
      <c r="X2237" t="s">
        <v>46572</v>
      </c>
    </row>
    <row r="2238" spans="1:24">
      <c r="A2238">
        <f>HYPERLINK("https://www.philgeps.gov.ph/GEPSNONPILOT/Tender/SplashBidNoticeAbstractUI.aspx?menuIndex=3&amp;refID=7067132&amp;Result=3","7067132")</f>
        <v>0</v>
      </c>
      <c r="B2238" t="s">
        <v>921</v>
      </c>
      <c r="C2238" t="s">
        <v>5703</v>
      </c>
      <c r="D2238" t="s">
        <v>18836</v>
      </c>
      <c r="E2238" t="s">
        <v>20960</v>
      </c>
      <c r="F2238" t="s">
        <v>32664</v>
      </c>
      <c r="G2238" t="s">
        <v>32671</v>
      </c>
      <c r="H2238" t="s">
        <v>12635</v>
      </c>
      <c r="I2238" t="s">
        <v>4439</v>
      </c>
      <c r="J2238" t="s">
        <v>32865</v>
      </c>
      <c r="K2238" t="s">
        <v>42283</v>
      </c>
      <c r="M2238" t="s">
        <v>43527</v>
      </c>
      <c r="N2238" t="s">
        <v>46569</v>
      </c>
      <c r="O2238" t="s">
        <v>46570</v>
      </c>
      <c r="P2238">
        <v>0</v>
      </c>
      <c r="Q2238">
        <v>1</v>
      </c>
      <c r="R2238" t="s">
        <v>46571</v>
      </c>
      <c r="S2238" t="s">
        <v>46687</v>
      </c>
      <c r="T2238" t="s">
        <v>48245</v>
      </c>
      <c r="U2238" t="s">
        <v>50623</v>
      </c>
      <c r="W2238" t="s">
        <v>43527</v>
      </c>
      <c r="X2238" t="s">
        <v>46572</v>
      </c>
    </row>
    <row r="2239" spans="1:24">
      <c r="A2239">
        <f>HYPERLINK("https://www.philgeps.gov.ph/GEPSNONPILOT/Tender/SplashBidNoticeAbstractUI.aspx?menuIndex=3&amp;refID=7067064&amp;Result=3","7067064")</f>
        <v>0</v>
      </c>
      <c r="B2239" t="s">
        <v>796</v>
      </c>
      <c r="C2239" t="s">
        <v>5704</v>
      </c>
      <c r="D2239" t="s">
        <v>18801</v>
      </c>
      <c r="E2239" t="s">
        <v>20961</v>
      </c>
      <c r="F2239" t="s">
        <v>32664</v>
      </c>
      <c r="G2239" t="s">
        <v>32672</v>
      </c>
      <c r="H2239" t="s">
        <v>32683</v>
      </c>
      <c r="I2239" t="s">
        <v>10627</v>
      </c>
      <c r="J2239" t="s">
        <v>34147</v>
      </c>
      <c r="K2239" t="s">
        <v>42311</v>
      </c>
      <c r="M2239" t="s">
        <v>43388</v>
      </c>
      <c r="N2239" t="s">
        <v>46569</v>
      </c>
      <c r="O2239" t="s">
        <v>46570</v>
      </c>
      <c r="P2239">
        <v>0</v>
      </c>
      <c r="Q2239">
        <v>1</v>
      </c>
      <c r="R2239" t="s">
        <v>46571</v>
      </c>
      <c r="S2239" t="s">
        <v>46687</v>
      </c>
      <c r="T2239" t="s">
        <v>48275</v>
      </c>
      <c r="U2239" t="s">
        <v>50301</v>
      </c>
      <c r="W2239" t="s">
        <v>63490</v>
      </c>
      <c r="X2239" t="s">
        <v>46572</v>
      </c>
    </row>
    <row r="2240" spans="1:24">
      <c r="A2240">
        <f>HYPERLINK("https://www.philgeps.gov.ph/GEPSNONPILOT/Tender/SplashBidNoticeAbstractUI.aspx?menuIndex=3&amp;refID=7067097&amp;Result=3","7067097")</f>
        <v>0</v>
      </c>
      <c r="B2240" t="s">
        <v>921</v>
      </c>
      <c r="C2240" t="s">
        <v>5705</v>
      </c>
      <c r="D2240" t="s">
        <v>18836</v>
      </c>
      <c r="E2240" t="s">
        <v>20962</v>
      </c>
      <c r="F2240" t="s">
        <v>32664</v>
      </c>
      <c r="G2240" t="s">
        <v>32671</v>
      </c>
      <c r="H2240" t="s">
        <v>12635</v>
      </c>
      <c r="I2240" t="s">
        <v>4439</v>
      </c>
      <c r="J2240" t="s">
        <v>33584</v>
      </c>
      <c r="K2240" t="s">
        <v>42283</v>
      </c>
      <c r="M2240" t="s">
        <v>43527</v>
      </c>
      <c r="N2240" t="s">
        <v>46569</v>
      </c>
      <c r="O2240" t="s">
        <v>46570</v>
      </c>
      <c r="P2240">
        <v>0</v>
      </c>
      <c r="Q2240">
        <v>0</v>
      </c>
      <c r="R2240" t="s">
        <v>46571</v>
      </c>
      <c r="S2240" t="s">
        <v>46687</v>
      </c>
      <c r="T2240" t="s">
        <v>48245</v>
      </c>
      <c r="U2240" t="s">
        <v>50624</v>
      </c>
      <c r="W2240" t="s">
        <v>43527</v>
      </c>
      <c r="X2240" t="s">
        <v>46572</v>
      </c>
    </row>
    <row r="2241" spans="1:24">
      <c r="A2241">
        <f>HYPERLINK("https://www.philgeps.gov.ph/GEPSNONPILOT/Tender/SplashBidNoticeAbstractUI.aspx?menuIndex=3&amp;refID=7067129&amp;Result=3","7067129")</f>
        <v>0</v>
      </c>
      <c r="B2241" t="s">
        <v>926</v>
      </c>
      <c r="C2241" t="s">
        <v>5706</v>
      </c>
      <c r="D2241" t="s">
        <v>18847</v>
      </c>
      <c r="E2241" t="s">
        <v>20963</v>
      </c>
      <c r="F2241" t="s">
        <v>32664</v>
      </c>
      <c r="G2241" t="s">
        <v>32672</v>
      </c>
      <c r="H2241" t="s">
        <v>32683</v>
      </c>
      <c r="I2241" t="s">
        <v>10627</v>
      </c>
      <c r="J2241" t="s">
        <v>34397</v>
      </c>
      <c r="K2241" t="s">
        <v>42369</v>
      </c>
      <c r="M2241" t="s">
        <v>43532</v>
      </c>
      <c r="N2241" t="s">
        <v>46569</v>
      </c>
      <c r="O2241" t="s">
        <v>46570</v>
      </c>
      <c r="P2241">
        <v>0</v>
      </c>
      <c r="Q2241">
        <v>0</v>
      </c>
      <c r="R2241" t="s">
        <v>46571</v>
      </c>
      <c r="S2241" t="s">
        <v>46687</v>
      </c>
      <c r="T2241" t="s">
        <v>48230</v>
      </c>
      <c r="U2241" t="s">
        <v>50625</v>
      </c>
      <c r="W2241" t="s">
        <v>43532</v>
      </c>
      <c r="X2241" t="s">
        <v>46572</v>
      </c>
    </row>
    <row r="2242" spans="1:24">
      <c r="A2242">
        <f>HYPERLINK("https://www.philgeps.gov.ph/GEPSNONPILOT/Tender/SplashBidNoticeAbstractUI.aspx?menuIndex=3&amp;refID=7067131&amp;Result=3","7067131")</f>
        <v>0</v>
      </c>
      <c r="B2242" t="s">
        <v>481</v>
      </c>
      <c r="C2242" t="s">
        <v>5707</v>
      </c>
      <c r="D2242" t="s">
        <v>18801</v>
      </c>
      <c r="E2242" t="s">
        <v>20964</v>
      </c>
      <c r="F2242" t="s">
        <v>32666</v>
      </c>
      <c r="G2242" t="s">
        <v>32674</v>
      </c>
      <c r="H2242" t="s">
        <v>12635</v>
      </c>
      <c r="I2242" t="s">
        <v>5501</v>
      </c>
      <c r="J2242" t="s">
        <v>34398</v>
      </c>
      <c r="K2242" t="s">
        <v>42295</v>
      </c>
      <c r="M2242" t="s">
        <v>43056</v>
      </c>
      <c r="N2242" t="s">
        <v>46569</v>
      </c>
      <c r="O2242" t="s">
        <v>46570</v>
      </c>
      <c r="P2242">
        <v>0</v>
      </c>
      <c r="Q2242">
        <v>2</v>
      </c>
      <c r="R2242" t="s">
        <v>46571</v>
      </c>
      <c r="S2242" t="s">
        <v>46687</v>
      </c>
      <c r="T2242" t="s">
        <v>48305</v>
      </c>
      <c r="U2242" t="s">
        <v>50626</v>
      </c>
      <c r="W2242" t="s">
        <v>43056</v>
      </c>
      <c r="X2242" t="s">
        <v>46572</v>
      </c>
    </row>
    <row r="2243" spans="1:24">
      <c r="A2243">
        <f>HYPERLINK("https://www.philgeps.gov.ph/GEPSNONPILOT/Tender/SplashBidNoticeAbstractUI.aspx?menuIndex=3&amp;refID=7067058&amp;Result=3","7067058")</f>
        <v>0</v>
      </c>
      <c r="B2243" t="s">
        <v>933</v>
      </c>
      <c r="C2243" t="s">
        <v>5708</v>
      </c>
      <c r="D2243" t="s">
        <v>18784</v>
      </c>
      <c r="E2243" t="s">
        <v>20965</v>
      </c>
      <c r="F2243" t="s">
        <v>32664</v>
      </c>
      <c r="G2243" t="s">
        <v>32674</v>
      </c>
      <c r="H2243" t="s">
        <v>12635</v>
      </c>
      <c r="I2243" t="s">
        <v>6168</v>
      </c>
      <c r="J2243" t="s">
        <v>34399</v>
      </c>
      <c r="K2243" t="s">
        <v>42295</v>
      </c>
      <c r="M2243" t="s">
        <v>43539</v>
      </c>
      <c r="N2243" t="s">
        <v>46569</v>
      </c>
      <c r="O2243" t="s">
        <v>46570</v>
      </c>
      <c r="P2243">
        <v>0</v>
      </c>
      <c r="Q2243">
        <v>0</v>
      </c>
      <c r="R2243" t="s">
        <v>46571</v>
      </c>
      <c r="S2243" t="s">
        <v>46687</v>
      </c>
      <c r="T2243" t="s">
        <v>48305</v>
      </c>
      <c r="U2243" t="s">
        <v>50627</v>
      </c>
      <c r="W2243" t="s">
        <v>43539</v>
      </c>
      <c r="X2243" t="s">
        <v>46572</v>
      </c>
    </row>
    <row r="2244" spans="1:24">
      <c r="A2244">
        <f>HYPERLINK("https://www.philgeps.gov.ph/GEPSNONPILOT/Tender/SplashBidNoticeAbstractUI.aspx?menuIndex=3&amp;refID=7067120&amp;Result=3","7067120")</f>
        <v>0</v>
      </c>
      <c r="B2244" t="s">
        <v>100</v>
      </c>
      <c r="C2244" t="s">
        <v>5709</v>
      </c>
      <c r="E2244" t="s">
        <v>20966</v>
      </c>
      <c r="F2244" t="s">
        <v>32664</v>
      </c>
      <c r="G2244" t="s">
        <v>32672</v>
      </c>
      <c r="H2244" t="s">
        <v>12635</v>
      </c>
      <c r="I2244" t="s">
        <v>11464</v>
      </c>
      <c r="J2244" t="s">
        <v>34400</v>
      </c>
      <c r="K2244" t="s">
        <v>42290</v>
      </c>
      <c r="M2244" t="s">
        <v>42663</v>
      </c>
      <c r="N2244" t="s">
        <v>46569</v>
      </c>
      <c r="O2244" t="s">
        <v>46570</v>
      </c>
      <c r="P2244">
        <v>0</v>
      </c>
      <c r="Q2244">
        <v>8</v>
      </c>
      <c r="R2244" t="s">
        <v>46571</v>
      </c>
      <c r="S2244" t="s">
        <v>46687</v>
      </c>
      <c r="T2244" t="s">
        <v>48253</v>
      </c>
      <c r="U2244" t="s">
        <v>50628</v>
      </c>
      <c r="W2244" t="s">
        <v>42663</v>
      </c>
      <c r="X2244" t="s">
        <v>46572</v>
      </c>
    </row>
    <row r="2245" spans="1:24">
      <c r="A2245">
        <f>HYPERLINK("https://www.philgeps.gov.ph/GEPSNONPILOT/Tender/SplashBidNoticeAbstractUI.aspx?menuIndex=3&amp;refID=7067117&amp;Result=3","7067117")</f>
        <v>0</v>
      </c>
      <c r="B2245" t="s">
        <v>930</v>
      </c>
      <c r="C2245" t="s">
        <v>5710</v>
      </c>
      <c r="D2245" t="s">
        <v>18839</v>
      </c>
      <c r="E2245" t="s">
        <v>19581</v>
      </c>
      <c r="F2245" t="s">
        <v>32664</v>
      </c>
      <c r="G2245" t="s">
        <v>32680</v>
      </c>
      <c r="H2245" t="s">
        <v>12635</v>
      </c>
      <c r="I2245" t="s">
        <v>6168</v>
      </c>
      <c r="J2245" t="s">
        <v>34401</v>
      </c>
      <c r="K2245" t="s">
        <v>42330</v>
      </c>
      <c r="M2245" t="s">
        <v>43536</v>
      </c>
      <c r="N2245" t="s">
        <v>46569</v>
      </c>
      <c r="O2245" t="s">
        <v>46570</v>
      </c>
      <c r="P2245">
        <v>0</v>
      </c>
      <c r="Q2245">
        <v>0</v>
      </c>
      <c r="R2245" t="s">
        <v>46571</v>
      </c>
      <c r="S2245" t="s">
        <v>46687</v>
      </c>
      <c r="T2245" t="s">
        <v>48226</v>
      </c>
      <c r="U2245" t="s">
        <v>50620</v>
      </c>
      <c r="W2245" t="s">
        <v>43536</v>
      </c>
      <c r="X2245" t="s">
        <v>46572</v>
      </c>
    </row>
    <row r="2246" spans="1:24">
      <c r="A2246">
        <f>HYPERLINK("https://www.philgeps.gov.ph/GEPSNONPILOT/Tender/SplashBidNoticeAbstractUI.aspx?menuIndex=3&amp;refID=7067127&amp;Result=3","7067127")</f>
        <v>0</v>
      </c>
      <c r="B2246" t="s">
        <v>921</v>
      </c>
      <c r="C2246" t="s">
        <v>5711</v>
      </c>
      <c r="D2246" t="s">
        <v>18836</v>
      </c>
      <c r="E2246" t="s">
        <v>20967</v>
      </c>
      <c r="F2246" t="s">
        <v>32664</v>
      </c>
      <c r="G2246" t="s">
        <v>32671</v>
      </c>
      <c r="H2246" t="s">
        <v>12635</v>
      </c>
      <c r="I2246" t="s">
        <v>4439</v>
      </c>
      <c r="J2246" t="s">
        <v>33584</v>
      </c>
      <c r="K2246" t="s">
        <v>42283</v>
      </c>
      <c r="M2246" t="s">
        <v>43527</v>
      </c>
      <c r="N2246" t="s">
        <v>46569</v>
      </c>
      <c r="O2246" t="s">
        <v>46570</v>
      </c>
      <c r="P2246">
        <v>0</v>
      </c>
      <c r="Q2246">
        <v>0</v>
      </c>
      <c r="R2246" t="s">
        <v>46571</v>
      </c>
      <c r="S2246" t="s">
        <v>46687</v>
      </c>
      <c r="T2246" t="s">
        <v>48245</v>
      </c>
      <c r="U2246" t="s">
        <v>50629</v>
      </c>
      <c r="W2246" t="s">
        <v>43527</v>
      </c>
      <c r="X2246" t="s">
        <v>46572</v>
      </c>
    </row>
    <row r="2247" spans="1:24">
      <c r="A2247">
        <f>HYPERLINK("https://www.philgeps.gov.ph/GEPSNONPILOT/Tender/SplashBidNoticeAbstractUI.aspx?menuIndex=3&amp;refID=7067122&amp;Result=3","7067122")</f>
        <v>0</v>
      </c>
      <c r="B2247" t="s">
        <v>926</v>
      </c>
      <c r="C2247" t="s">
        <v>5712</v>
      </c>
      <c r="D2247" t="s">
        <v>18847</v>
      </c>
      <c r="E2247" t="s">
        <v>20968</v>
      </c>
      <c r="F2247" t="s">
        <v>32664</v>
      </c>
      <c r="G2247" t="s">
        <v>32672</v>
      </c>
      <c r="H2247" t="s">
        <v>32683</v>
      </c>
      <c r="I2247" t="s">
        <v>10627</v>
      </c>
      <c r="J2247" t="s">
        <v>34402</v>
      </c>
      <c r="K2247" t="s">
        <v>42316</v>
      </c>
      <c r="M2247" t="s">
        <v>43532</v>
      </c>
      <c r="N2247" t="s">
        <v>46569</v>
      </c>
      <c r="O2247" t="s">
        <v>46570</v>
      </c>
      <c r="P2247">
        <v>0</v>
      </c>
      <c r="Q2247">
        <v>0</v>
      </c>
      <c r="R2247" t="s">
        <v>46571</v>
      </c>
      <c r="S2247" t="s">
        <v>46687</v>
      </c>
      <c r="T2247" t="s">
        <v>48230</v>
      </c>
      <c r="U2247" t="s">
        <v>50619</v>
      </c>
      <c r="W2247" t="s">
        <v>43532</v>
      </c>
      <c r="X2247" t="s">
        <v>46572</v>
      </c>
    </row>
    <row r="2248" spans="1:24">
      <c r="A2248">
        <f>HYPERLINK("https://www.philgeps.gov.ph/GEPSNONPILOT/Tender/SplashBidNoticeAbstractUI.aspx?menuIndex=3&amp;refID=7067116&amp;Result=3","7067116")</f>
        <v>0</v>
      </c>
      <c r="B2248" t="s">
        <v>926</v>
      </c>
      <c r="C2248" t="s">
        <v>5713</v>
      </c>
      <c r="D2248" t="s">
        <v>18847</v>
      </c>
      <c r="E2248" t="s">
        <v>20969</v>
      </c>
      <c r="F2248" t="s">
        <v>32664</v>
      </c>
      <c r="G2248" t="s">
        <v>32672</v>
      </c>
      <c r="H2248" t="s">
        <v>32683</v>
      </c>
      <c r="I2248" t="s">
        <v>10627</v>
      </c>
      <c r="J2248" t="s">
        <v>34403</v>
      </c>
      <c r="K2248" t="s">
        <v>42281</v>
      </c>
      <c r="M2248" t="s">
        <v>43532</v>
      </c>
      <c r="N2248" t="s">
        <v>46569</v>
      </c>
      <c r="O2248" t="s">
        <v>46570</v>
      </c>
      <c r="P2248">
        <v>0</v>
      </c>
      <c r="Q2248">
        <v>0</v>
      </c>
      <c r="R2248" t="s">
        <v>46571</v>
      </c>
      <c r="S2248" t="s">
        <v>46687</v>
      </c>
      <c r="T2248" t="s">
        <v>48230</v>
      </c>
      <c r="U2248" t="s">
        <v>50630</v>
      </c>
      <c r="W2248" t="s">
        <v>43532</v>
      </c>
      <c r="X2248" t="s">
        <v>46572</v>
      </c>
    </row>
    <row r="2249" spans="1:24">
      <c r="A2249">
        <f>HYPERLINK("https://www.philgeps.gov.ph/GEPSNONPILOT/Tender/SplashBidNoticeAbstractUI.aspx?menuIndex=3&amp;refID=7067113&amp;Result=3","7067113")</f>
        <v>0</v>
      </c>
      <c r="B2249" t="s">
        <v>667</v>
      </c>
      <c r="C2249" t="s">
        <v>5714</v>
      </c>
      <c r="D2249" t="s">
        <v>18843</v>
      </c>
      <c r="E2249" t="s">
        <v>20970</v>
      </c>
      <c r="F2249" t="s">
        <v>32664</v>
      </c>
      <c r="G2249" t="s">
        <v>32672</v>
      </c>
      <c r="H2249" t="s">
        <v>32683</v>
      </c>
      <c r="I2249" t="s">
        <v>10627</v>
      </c>
      <c r="J2249" t="s">
        <v>34404</v>
      </c>
      <c r="K2249" t="s">
        <v>42315</v>
      </c>
      <c r="M2249" t="s">
        <v>43254</v>
      </c>
      <c r="N2249" t="s">
        <v>46569</v>
      </c>
      <c r="O2249" t="s">
        <v>46570</v>
      </c>
      <c r="P2249">
        <v>0</v>
      </c>
      <c r="Q2249">
        <v>0</v>
      </c>
      <c r="R2249" t="s">
        <v>46571</v>
      </c>
      <c r="S2249" t="s">
        <v>46687</v>
      </c>
      <c r="T2249" t="s">
        <v>48220</v>
      </c>
      <c r="U2249" t="s">
        <v>50040</v>
      </c>
      <c r="W2249" t="s">
        <v>43254</v>
      </c>
      <c r="X2249" t="s">
        <v>46572</v>
      </c>
    </row>
    <row r="2250" spans="1:24">
      <c r="A2250">
        <f>HYPERLINK("https://www.philgeps.gov.ph/GEPSNONPILOT/Tender/SplashBidNoticeAbstractUI.aspx?menuIndex=3&amp;refID=7067077&amp;Result=3","7067077")</f>
        <v>0</v>
      </c>
      <c r="B2250" t="s">
        <v>796</v>
      </c>
      <c r="C2250" t="s">
        <v>5715</v>
      </c>
      <c r="D2250" t="s">
        <v>18801</v>
      </c>
      <c r="E2250" t="s">
        <v>20971</v>
      </c>
      <c r="F2250" t="s">
        <v>32664</v>
      </c>
      <c r="G2250" t="s">
        <v>32672</v>
      </c>
      <c r="H2250" t="s">
        <v>32683</v>
      </c>
      <c r="I2250" t="s">
        <v>10627</v>
      </c>
      <c r="J2250" t="s">
        <v>34405</v>
      </c>
      <c r="K2250" t="s">
        <v>42305</v>
      </c>
      <c r="M2250" t="s">
        <v>43388</v>
      </c>
      <c r="N2250" t="s">
        <v>46569</v>
      </c>
      <c r="O2250" t="s">
        <v>46570</v>
      </c>
      <c r="P2250">
        <v>0</v>
      </c>
      <c r="Q2250">
        <v>1</v>
      </c>
      <c r="R2250" t="s">
        <v>46571</v>
      </c>
      <c r="S2250" t="s">
        <v>46687</v>
      </c>
      <c r="T2250" t="s">
        <v>48275</v>
      </c>
      <c r="U2250" t="s">
        <v>50301</v>
      </c>
      <c r="W2250" t="s">
        <v>63490</v>
      </c>
      <c r="X2250" t="s">
        <v>46572</v>
      </c>
    </row>
    <row r="2251" spans="1:24">
      <c r="A2251">
        <f>HYPERLINK("https://www.philgeps.gov.ph/GEPSNONPILOT/Tender/SplashBidNoticeAbstractUI.aspx?menuIndex=3&amp;refID=7067118&amp;Result=3","7067118")</f>
        <v>0</v>
      </c>
      <c r="B2251" t="s">
        <v>934</v>
      </c>
      <c r="C2251" t="s">
        <v>5716</v>
      </c>
      <c r="D2251" t="s">
        <v>18784</v>
      </c>
      <c r="E2251" t="s">
        <v>20972</v>
      </c>
      <c r="F2251" t="s">
        <v>32664</v>
      </c>
      <c r="G2251" t="s">
        <v>32672</v>
      </c>
      <c r="H2251" t="s">
        <v>12635</v>
      </c>
      <c r="I2251" t="s">
        <v>6223</v>
      </c>
      <c r="J2251" t="s">
        <v>34406</v>
      </c>
      <c r="K2251" t="s">
        <v>42309</v>
      </c>
      <c r="M2251" t="s">
        <v>43540</v>
      </c>
      <c r="N2251" t="s">
        <v>46569</v>
      </c>
      <c r="O2251" t="s">
        <v>46570</v>
      </c>
      <c r="P2251">
        <v>0</v>
      </c>
      <c r="Q2251">
        <v>0</v>
      </c>
      <c r="R2251" t="s">
        <v>46571</v>
      </c>
      <c r="S2251" t="s">
        <v>46687</v>
      </c>
      <c r="T2251" t="s">
        <v>48248</v>
      </c>
      <c r="U2251" t="s">
        <v>50631</v>
      </c>
      <c r="V2251" t="s">
        <v>61854</v>
      </c>
      <c r="W2251" t="s">
        <v>43540</v>
      </c>
      <c r="X2251" t="s">
        <v>46572</v>
      </c>
    </row>
    <row r="2252" spans="1:24">
      <c r="A2252">
        <f>HYPERLINK("https://www.philgeps.gov.ph/GEPSNONPILOT/Tender/SplashBidNoticeAbstractUI.aspx?menuIndex=3&amp;refID=7067160&amp;Result=3","7067160")</f>
        <v>0</v>
      </c>
      <c r="B2252" t="s">
        <v>935</v>
      </c>
      <c r="C2252" t="s">
        <v>5717</v>
      </c>
      <c r="E2252" t="s">
        <v>20973</v>
      </c>
      <c r="F2252" t="s">
        <v>32664</v>
      </c>
      <c r="G2252" t="s">
        <v>32671</v>
      </c>
      <c r="H2252" t="s">
        <v>12635</v>
      </c>
      <c r="I2252" t="s">
        <v>32699</v>
      </c>
      <c r="J2252" t="s">
        <v>34407</v>
      </c>
      <c r="K2252" t="s">
        <v>42283</v>
      </c>
      <c r="M2252" t="s">
        <v>43541</v>
      </c>
      <c r="N2252" t="s">
        <v>46569</v>
      </c>
      <c r="O2252" t="s">
        <v>46570</v>
      </c>
      <c r="P2252">
        <v>0</v>
      </c>
      <c r="Q2252">
        <v>0</v>
      </c>
      <c r="R2252" t="s">
        <v>46571</v>
      </c>
      <c r="S2252" t="s">
        <v>46687</v>
      </c>
      <c r="T2252" t="s">
        <v>48219</v>
      </c>
      <c r="U2252" t="s">
        <v>50632</v>
      </c>
      <c r="W2252" t="s">
        <v>43541</v>
      </c>
      <c r="X2252" t="s">
        <v>46572</v>
      </c>
    </row>
    <row r="2253" spans="1:24">
      <c r="A2253">
        <f>HYPERLINK("https://www.philgeps.gov.ph/GEPSNONPILOT/Tender/SplashBidNoticeAbstractUI.aspx?menuIndex=3&amp;refID=7067130&amp;Result=3","7067130")</f>
        <v>0</v>
      </c>
      <c r="B2253" t="s">
        <v>936</v>
      </c>
      <c r="C2253" t="s">
        <v>5718</v>
      </c>
      <c r="D2253" t="s">
        <v>18806</v>
      </c>
      <c r="E2253" t="s">
        <v>20974</v>
      </c>
      <c r="F2253" t="s">
        <v>32664</v>
      </c>
      <c r="G2253" t="s">
        <v>32671</v>
      </c>
      <c r="H2253" t="s">
        <v>12635</v>
      </c>
      <c r="I2253" t="s">
        <v>32689</v>
      </c>
      <c r="J2253" t="s">
        <v>34408</v>
      </c>
      <c r="K2253" t="s">
        <v>42284</v>
      </c>
      <c r="L2253" t="s">
        <v>936</v>
      </c>
      <c r="M2253" t="s">
        <v>43542</v>
      </c>
      <c r="N2253" t="s">
        <v>46569</v>
      </c>
      <c r="O2253" t="s">
        <v>46570</v>
      </c>
      <c r="P2253">
        <v>0</v>
      </c>
      <c r="Q2253">
        <v>1</v>
      </c>
      <c r="R2253" t="s">
        <v>46571</v>
      </c>
      <c r="S2253" t="s">
        <v>46687</v>
      </c>
      <c r="T2253" t="s">
        <v>48244</v>
      </c>
      <c r="U2253" t="s">
        <v>50633</v>
      </c>
      <c r="W2253" t="s">
        <v>43542</v>
      </c>
      <c r="X2253" t="s">
        <v>46572</v>
      </c>
    </row>
    <row r="2254" spans="1:24">
      <c r="A2254">
        <f>HYPERLINK("https://www.philgeps.gov.ph/GEPSNONPILOT/Tender/SplashBidNoticeAbstractUI.aspx?menuIndex=3&amp;refID=7067159&amp;Result=3","7067159")</f>
        <v>0</v>
      </c>
      <c r="B2254" t="s">
        <v>937</v>
      </c>
      <c r="C2254" t="s">
        <v>5719</v>
      </c>
      <c r="D2254" t="s">
        <v>18791</v>
      </c>
      <c r="E2254" t="s">
        <v>20975</v>
      </c>
      <c r="F2254" t="s">
        <v>32664</v>
      </c>
      <c r="G2254" t="s">
        <v>32671</v>
      </c>
      <c r="H2254" t="s">
        <v>12635</v>
      </c>
      <c r="I2254" t="s">
        <v>32764</v>
      </c>
      <c r="J2254" t="s">
        <v>33375</v>
      </c>
      <c r="K2254" t="s">
        <v>42309</v>
      </c>
      <c r="M2254" t="s">
        <v>43543</v>
      </c>
      <c r="N2254" t="s">
        <v>46569</v>
      </c>
      <c r="O2254" t="s">
        <v>46570</v>
      </c>
      <c r="P2254">
        <v>0</v>
      </c>
      <c r="Q2254">
        <v>1</v>
      </c>
      <c r="R2254" t="s">
        <v>46571</v>
      </c>
      <c r="S2254" t="s">
        <v>46687</v>
      </c>
      <c r="T2254" t="s">
        <v>48221</v>
      </c>
      <c r="U2254" t="s">
        <v>50634</v>
      </c>
      <c r="V2254" t="s">
        <v>61855</v>
      </c>
      <c r="W2254" t="s">
        <v>43543</v>
      </c>
      <c r="X2254" t="s">
        <v>46572</v>
      </c>
    </row>
    <row r="2255" spans="1:24">
      <c r="A2255">
        <f>HYPERLINK("https://www.philgeps.gov.ph/GEPSNONPILOT/Tender/SplashBidNoticeAbstractUI.aspx?menuIndex=3&amp;refID=7067115&amp;Result=3","7067115")</f>
        <v>0</v>
      </c>
      <c r="B2255" t="s">
        <v>938</v>
      </c>
      <c r="C2255" t="s">
        <v>5720</v>
      </c>
      <c r="D2255" t="s">
        <v>18788</v>
      </c>
      <c r="E2255" t="s">
        <v>19044</v>
      </c>
      <c r="F2255" t="s">
        <v>32664</v>
      </c>
      <c r="G2255" t="s">
        <v>32672</v>
      </c>
      <c r="H2255" t="s">
        <v>12635</v>
      </c>
      <c r="I2255" t="s">
        <v>4439</v>
      </c>
      <c r="J2255" t="s">
        <v>34409</v>
      </c>
      <c r="K2255" t="s">
        <v>42297</v>
      </c>
      <c r="M2255" t="s">
        <v>43544</v>
      </c>
      <c r="N2255" t="s">
        <v>46569</v>
      </c>
      <c r="O2255" t="s">
        <v>46570</v>
      </c>
      <c r="P2255">
        <v>0</v>
      </c>
      <c r="Q2255">
        <v>0</v>
      </c>
      <c r="R2255" t="s">
        <v>46571</v>
      </c>
      <c r="S2255" t="s">
        <v>46687</v>
      </c>
      <c r="T2255" t="s">
        <v>48230</v>
      </c>
      <c r="U2255" t="s">
        <v>50635</v>
      </c>
      <c r="W2255" t="s">
        <v>43544</v>
      </c>
      <c r="X2255" t="s">
        <v>46572</v>
      </c>
    </row>
    <row r="2256" spans="1:24">
      <c r="A2256">
        <f>HYPERLINK("https://www.philgeps.gov.ph/GEPSNONPILOT/Tender/SplashBidNoticeAbstractUI.aspx?menuIndex=3&amp;refID=7067114&amp;Result=3","7067114")</f>
        <v>0</v>
      </c>
      <c r="B2256" t="s">
        <v>921</v>
      </c>
      <c r="C2256" t="s">
        <v>5721</v>
      </c>
      <c r="D2256" t="s">
        <v>18836</v>
      </c>
      <c r="E2256" t="s">
        <v>20976</v>
      </c>
      <c r="F2256" t="s">
        <v>32664</v>
      </c>
      <c r="G2256" t="s">
        <v>32671</v>
      </c>
      <c r="H2256" t="s">
        <v>12635</v>
      </c>
      <c r="I2256" t="s">
        <v>4439</v>
      </c>
      <c r="J2256" t="s">
        <v>34410</v>
      </c>
      <c r="K2256" t="s">
        <v>42283</v>
      </c>
      <c r="M2256" t="s">
        <v>43527</v>
      </c>
      <c r="N2256" t="s">
        <v>46569</v>
      </c>
      <c r="O2256" t="s">
        <v>46570</v>
      </c>
      <c r="P2256">
        <v>0</v>
      </c>
      <c r="Q2256">
        <v>0</v>
      </c>
      <c r="R2256" t="s">
        <v>46571</v>
      </c>
      <c r="S2256" t="s">
        <v>46687</v>
      </c>
      <c r="T2256" t="s">
        <v>48245</v>
      </c>
      <c r="U2256" t="s">
        <v>50636</v>
      </c>
      <c r="W2256" t="s">
        <v>43527</v>
      </c>
      <c r="X2256" t="s">
        <v>46572</v>
      </c>
    </row>
    <row r="2257" spans="1:24">
      <c r="A2257">
        <f>HYPERLINK("https://www.philgeps.gov.ph/GEPSNONPILOT/Tender/SplashBidNoticeAbstractUI.aspx?menuIndex=3&amp;refID=7067162&amp;Result=3","7067162")</f>
        <v>0</v>
      </c>
      <c r="B2257" t="s">
        <v>939</v>
      </c>
      <c r="C2257" t="s">
        <v>5722</v>
      </c>
      <c r="D2257" t="s">
        <v>18787</v>
      </c>
      <c r="E2257" t="s">
        <v>20977</v>
      </c>
      <c r="F2257" t="s">
        <v>32664</v>
      </c>
      <c r="G2257" t="s">
        <v>32677</v>
      </c>
      <c r="H2257" t="s">
        <v>12635</v>
      </c>
      <c r="I2257" t="s">
        <v>32736</v>
      </c>
      <c r="J2257" t="s">
        <v>34411</v>
      </c>
      <c r="K2257" t="s">
        <v>42281</v>
      </c>
      <c r="M2257" t="s">
        <v>43545</v>
      </c>
      <c r="N2257" t="s">
        <v>46569</v>
      </c>
      <c r="O2257" t="s">
        <v>46570</v>
      </c>
      <c r="P2257">
        <v>0</v>
      </c>
      <c r="Q2257">
        <v>1</v>
      </c>
      <c r="R2257" t="s">
        <v>46571</v>
      </c>
      <c r="S2257" t="s">
        <v>46687</v>
      </c>
      <c r="T2257" t="s">
        <v>48291</v>
      </c>
      <c r="U2257" t="s">
        <v>50637</v>
      </c>
      <c r="W2257" t="s">
        <v>43545</v>
      </c>
      <c r="X2257" t="s">
        <v>46572</v>
      </c>
    </row>
    <row r="2258" spans="1:24">
      <c r="A2258">
        <f>HYPERLINK("https://www.philgeps.gov.ph/GEPSNONPILOT/Tender/SplashBidNoticeAbstractUI.aspx?menuIndex=3&amp;refID=7067153&amp;Result=3","7067153")</f>
        <v>0</v>
      </c>
      <c r="B2258" t="s">
        <v>940</v>
      </c>
      <c r="C2258" t="s">
        <v>5723</v>
      </c>
      <c r="D2258" t="s">
        <v>18784</v>
      </c>
      <c r="E2258" t="s">
        <v>20978</v>
      </c>
      <c r="F2258" t="s">
        <v>32664</v>
      </c>
      <c r="G2258" t="s">
        <v>32672</v>
      </c>
      <c r="H2258" t="s">
        <v>12635</v>
      </c>
      <c r="I2258" t="s">
        <v>32689</v>
      </c>
      <c r="J2258" t="s">
        <v>34412</v>
      </c>
      <c r="K2258" t="s">
        <v>42380</v>
      </c>
      <c r="M2258" t="s">
        <v>43546</v>
      </c>
      <c r="N2258" t="s">
        <v>46569</v>
      </c>
      <c r="O2258" t="s">
        <v>46570</v>
      </c>
      <c r="P2258">
        <v>0</v>
      </c>
      <c r="Q2258">
        <v>5</v>
      </c>
      <c r="R2258" t="s">
        <v>46571</v>
      </c>
      <c r="S2258" t="s">
        <v>46687</v>
      </c>
      <c r="T2258" t="s">
        <v>48269</v>
      </c>
      <c r="U2258" t="s">
        <v>50638</v>
      </c>
      <c r="V2258" t="s">
        <v>61856</v>
      </c>
      <c r="W2258" t="s">
        <v>43546</v>
      </c>
      <c r="X2258" t="s">
        <v>46572</v>
      </c>
    </row>
    <row r="2259" spans="1:24">
      <c r="A2259">
        <f>HYPERLINK("https://www.philgeps.gov.ph/GEPSNONPILOT/Tender/SplashBidNoticeAbstractUI.aspx?menuIndex=3&amp;refID=7067151&amp;Result=3","7067151")</f>
        <v>0</v>
      </c>
      <c r="B2259" t="s">
        <v>100</v>
      </c>
      <c r="C2259" t="s">
        <v>5724</v>
      </c>
      <c r="E2259" t="s">
        <v>20979</v>
      </c>
      <c r="F2259" t="s">
        <v>32664</v>
      </c>
      <c r="G2259" t="s">
        <v>32672</v>
      </c>
      <c r="H2259" t="s">
        <v>12635</v>
      </c>
      <c r="I2259" t="s">
        <v>32701</v>
      </c>
      <c r="J2259" t="s">
        <v>34413</v>
      </c>
      <c r="K2259" t="s">
        <v>42347</v>
      </c>
      <c r="M2259" t="s">
        <v>42663</v>
      </c>
      <c r="N2259" t="s">
        <v>46569</v>
      </c>
      <c r="O2259" t="s">
        <v>46570</v>
      </c>
      <c r="P2259">
        <v>0</v>
      </c>
      <c r="Q2259">
        <v>1</v>
      </c>
      <c r="R2259" t="s">
        <v>46571</v>
      </c>
      <c r="S2259" t="s">
        <v>46687</v>
      </c>
      <c r="T2259" t="s">
        <v>48253</v>
      </c>
      <c r="U2259" t="s">
        <v>50639</v>
      </c>
      <c r="W2259" t="s">
        <v>42663</v>
      </c>
      <c r="X2259" t="s">
        <v>46572</v>
      </c>
    </row>
    <row r="2260" spans="1:24">
      <c r="A2260">
        <f>HYPERLINK("https://www.philgeps.gov.ph/GEPSNONPILOT/Tender/SplashBidNoticeAbstractUI.aspx?menuIndex=3&amp;refID=7067163&amp;Result=3","7067163")</f>
        <v>0</v>
      </c>
      <c r="B2260" t="s">
        <v>941</v>
      </c>
      <c r="C2260" t="s">
        <v>5725</v>
      </c>
      <c r="D2260" t="s">
        <v>18784</v>
      </c>
      <c r="E2260" t="s">
        <v>20980</v>
      </c>
      <c r="F2260" t="s">
        <v>32664</v>
      </c>
      <c r="G2260" t="s">
        <v>32676</v>
      </c>
      <c r="H2260" t="s">
        <v>12635</v>
      </c>
      <c r="I2260" t="s">
        <v>7759</v>
      </c>
      <c r="J2260" t="s">
        <v>34414</v>
      </c>
      <c r="K2260" t="s">
        <v>42309</v>
      </c>
      <c r="M2260" t="s">
        <v>43547</v>
      </c>
      <c r="N2260" t="s">
        <v>46569</v>
      </c>
      <c r="O2260" t="s">
        <v>46570</v>
      </c>
      <c r="P2260">
        <v>0</v>
      </c>
      <c r="Q2260">
        <v>0</v>
      </c>
      <c r="R2260" t="s">
        <v>46571</v>
      </c>
      <c r="S2260" t="s">
        <v>46687</v>
      </c>
      <c r="T2260" t="s">
        <v>48219</v>
      </c>
      <c r="U2260" t="s">
        <v>50640</v>
      </c>
      <c r="W2260" t="s">
        <v>43547</v>
      </c>
      <c r="X2260" t="s">
        <v>46572</v>
      </c>
    </row>
    <row r="2261" spans="1:24">
      <c r="A2261">
        <f>HYPERLINK("https://www.philgeps.gov.ph/GEPSNONPILOT/Tender/SplashBidNoticeAbstractUI.aspx?menuIndex=3&amp;refID=7067147&amp;Result=3","7067147")</f>
        <v>0</v>
      </c>
      <c r="B2261" t="s">
        <v>939</v>
      </c>
      <c r="C2261" t="s">
        <v>5726</v>
      </c>
      <c r="D2261" t="s">
        <v>18787</v>
      </c>
      <c r="E2261" t="s">
        <v>20981</v>
      </c>
      <c r="F2261" t="s">
        <v>32664</v>
      </c>
      <c r="G2261" t="s">
        <v>32677</v>
      </c>
      <c r="H2261" t="s">
        <v>12635</v>
      </c>
      <c r="I2261" t="s">
        <v>10374</v>
      </c>
      <c r="J2261" t="s">
        <v>34415</v>
      </c>
      <c r="K2261" t="s">
        <v>42309</v>
      </c>
      <c r="M2261" t="s">
        <v>43545</v>
      </c>
      <c r="N2261" t="s">
        <v>46569</v>
      </c>
      <c r="O2261" t="s">
        <v>46570</v>
      </c>
      <c r="P2261">
        <v>0</v>
      </c>
      <c r="Q2261">
        <v>0</v>
      </c>
      <c r="R2261" t="s">
        <v>46571</v>
      </c>
      <c r="S2261" t="s">
        <v>46687</v>
      </c>
      <c r="T2261" t="s">
        <v>48291</v>
      </c>
      <c r="U2261" t="s">
        <v>50641</v>
      </c>
      <c r="W2261" t="s">
        <v>43545</v>
      </c>
      <c r="X2261" t="s">
        <v>46572</v>
      </c>
    </row>
    <row r="2262" spans="1:24">
      <c r="A2262">
        <f>HYPERLINK("https://www.philgeps.gov.ph/GEPSNONPILOT/Tender/SplashBidNoticeAbstractUI.aspx?menuIndex=3&amp;refID=7067092&amp;Result=3","7067092")</f>
        <v>0</v>
      </c>
      <c r="B2262" t="s">
        <v>923</v>
      </c>
      <c r="C2262" t="s">
        <v>5727</v>
      </c>
      <c r="D2262" t="s">
        <v>18782</v>
      </c>
      <c r="E2262" t="s">
        <v>20982</v>
      </c>
      <c r="F2262" t="s">
        <v>32664</v>
      </c>
      <c r="G2262" t="s">
        <v>32672</v>
      </c>
      <c r="H2262" t="s">
        <v>12635</v>
      </c>
      <c r="I2262" t="s">
        <v>4333</v>
      </c>
      <c r="J2262" t="s">
        <v>32917</v>
      </c>
      <c r="K2262" t="s">
        <v>42284</v>
      </c>
      <c r="M2262" t="s">
        <v>43529</v>
      </c>
      <c r="N2262" t="s">
        <v>46569</v>
      </c>
      <c r="O2262" t="s">
        <v>46570</v>
      </c>
      <c r="P2262">
        <v>0</v>
      </c>
      <c r="Q2262">
        <v>0</v>
      </c>
      <c r="R2262" t="s">
        <v>46571</v>
      </c>
      <c r="S2262" t="s">
        <v>46687</v>
      </c>
      <c r="T2262" t="s">
        <v>48278</v>
      </c>
      <c r="U2262" t="s">
        <v>50642</v>
      </c>
      <c r="W2262" t="s">
        <v>43529</v>
      </c>
      <c r="X2262" t="s">
        <v>46572</v>
      </c>
    </row>
    <row r="2263" spans="1:24">
      <c r="A2263">
        <f>HYPERLINK("https://www.philgeps.gov.ph/GEPSNONPILOT/Tender/SplashBidNoticeAbstractUI.aspx?menuIndex=3&amp;refID=7067157&amp;Result=3","7067157")</f>
        <v>0</v>
      </c>
      <c r="B2263" t="s">
        <v>942</v>
      </c>
      <c r="C2263" t="s">
        <v>5728</v>
      </c>
      <c r="D2263" t="s">
        <v>18793</v>
      </c>
      <c r="E2263" t="s">
        <v>20983</v>
      </c>
      <c r="F2263" t="s">
        <v>32664</v>
      </c>
      <c r="G2263" t="s">
        <v>32671</v>
      </c>
      <c r="H2263" t="s">
        <v>12635</v>
      </c>
      <c r="I2263" t="s">
        <v>32706</v>
      </c>
      <c r="J2263" t="s">
        <v>34416</v>
      </c>
      <c r="K2263" t="s">
        <v>42284</v>
      </c>
      <c r="M2263" t="s">
        <v>43548</v>
      </c>
      <c r="N2263" t="s">
        <v>46569</v>
      </c>
      <c r="O2263" t="s">
        <v>46570</v>
      </c>
      <c r="P2263">
        <v>0</v>
      </c>
      <c r="Q2263">
        <v>0</v>
      </c>
      <c r="R2263" t="s">
        <v>46571</v>
      </c>
      <c r="S2263" t="s">
        <v>46687</v>
      </c>
      <c r="T2263" t="s">
        <v>48268</v>
      </c>
      <c r="U2263" t="s">
        <v>50643</v>
      </c>
      <c r="W2263" t="s">
        <v>43548</v>
      </c>
      <c r="X2263" t="s">
        <v>46572</v>
      </c>
    </row>
    <row r="2264" spans="1:24">
      <c r="A2264">
        <f>HYPERLINK("https://www.philgeps.gov.ph/GEPSNONPILOT/Tender/SplashBidNoticeAbstractUI.aspx?menuIndex=3&amp;refID=7067049&amp;Result=3","7067049")</f>
        <v>0</v>
      </c>
      <c r="B2264" t="s">
        <v>925</v>
      </c>
      <c r="C2264" t="s">
        <v>5729</v>
      </c>
      <c r="D2264" t="s">
        <v>18836</v>
      </c>
      <c r="E2264" t="s">
        <v>20984</v>
      </c>
      <c r="F2264" t="s">
        <v>32664</v>
      </c>
      <c r="G2264" t="s">
        <v>32671</v>
      </c>
      <c r="H2264" t="s">
        <v>12635</v>
      </c>
      <c r="I2264" t="s">
        <v>8730</v>
      </c>
      <c r="J2264" t="s">
        <v>34417</v>
      </c>
      <c r="K2264" t="s">
        <v>42297</v>
      </c>
      <c r="M2264" t="s">
        <v>43531</v>
      </c>
      <c r="N2264" t="s">
        <v>46569</v>
      </c>
      <c r="O2264" t="s">
        <v>46570</v>
      </c>
      <c r="P2264">
        <v>0</v>
      </c>
      <c r="Q2264">
        <v>2</v>
      </c>
      <c r="R2264" t="s">
        <v>46571</v>
      </c>
      <c r="S2264" t="s">
        <v>46687</v>
      </c>
      <c r="T2264" t="s">
        <v>48280</v>
      </c>
      <c r="U2264" t="s">
        <v>50644</v>
      </c>
      <c r="W2264" t="s">
        <v>43531</v>
      </c>
      <c r="X2264" t="s">
        <v>46572</v>
      </c>
    </row>
    <row r="2265" spans="1:24">
      <c r="A2265">
        <f>HYPERLINK("https://www.philgeps.gov.ph/GEPSNONPILOT/Tender/SplashBidNoticeAbstractUI.aspx?menuIndex=3&amp;refID=7067186&amp;Result=3","7067186")</f>
        <v>0</v>
      </c>
      <c r="B2265" t="s">
        <v>943</v>
      </c>
      <c r="C2265" t="s">
        <v>5730</v>
      </c>
      <c r="D2265" t="s">
        <v>18784</v>
      </c>
      <c r="E2265" t="s">
        <v>20985</v>
      </c>
      <c r="F2265" t="s">
        <v>32664</v>
      </c>
      <c r="G2265" t="s">
        <v>32671</v>
      </c>
      <c r="H2265" t="s">
        <v>12635</v>
      </c>
      <c r="I2265" t="s">
        <v>5589</v>
      </c>
      <c r="J2265" t="s">
        <v>33657</v>
      </c>
      <c r="K2265" t="s">
        <v>42291</v>
      </c>
      <c r="M2265" t="s">
        <v>43549</v>
      </c>
      <c r="N2265" t="s">
        <v>46569</v>
      </c>
      <c r="O2265" t="s">
        <v>46570</v>
      </c>
      <c r="P2265">
        <v>0</v>
      </c>
      <c r="Q2265">
        <v>5</v>
      </c>
      <c r="R2265" t="s">
        <v>46571</v>
      </c>
      <c r="S2265" t="s">
        <v>46687</v>
      </c>
      <c r="T2265" t="s">
        <v>48256</v>
      </c>
      <c r="U2265" t="s">
        <v>50645</v>
      </c>
      <c r="V2265" t="s">
        <v>61857</v>
      </c>
      <c r="W2265" t="s">
        <v>43549</v>
      </c>
      <c r="X2265" t="s">
        <v>46572</v>
      </c>
    </row>
    <row r="2266" spans="1:24">
      <c r="A2266">
        <f>HYPERLINK("https://www.philgeps.gov.ph/GEPSNONPILOT/Tender/SplashBidNoticeAbstractUI.aspx?menuIndex=3&amp;refID=7067191&amp;Result=3","7067191")</f>
        <v>0</v>
      </c>
      <c r="B2266" t="s">
        <v>944</v>
      </c>
      <c r="C2266" t="s">
        <v>5731</v>
      </c>
      <c r="D2266" t="s">
        <v>18827</v>
      </c>
      <c r="E2266" t="s">
        <v>20986</v>
      </c>
      <c r="F2266" t="s">
        <v>32664</v>
      </c>
      <c r="G2266" t="s">
        <v>32671</v>
      </c>
      <c r="H2266" t="s">
        <v>12635</v>
      </c>
      <c r="I2266" t="s">
        <v>6223</v>
      </c>
      <c r="J2266" t="s">
        <v>33165</v>
      </c>
      <c r="K2266" t="s">
        <v>42309</v>
      </c>
      <c r="M2266" t="s">
        <v>43550</v>
      </c>
      <c r="N2266" t="s">
        <v>46569</v>
      </c>
      <c r="O2266" t="s">
        <v>46570</v>
      </c>
      <c r="P2266">
        <v>0</v>
      </c>
      <c r="Q2266">
        <v>0</v>
      </c>
      <c r="R2266" t="s">
        <v>46571</v>
      </c>
      <c r="S2266" t="s">
        <v>46687</v>
      </c>
      <c r="T2266" t="s">
        <v>48217</v>
      </c>
      <c r="U2266" t="s">
        <v>50646</v>
      </c>
      <c r="W2266" t="s">
        <v>43550</v>
      </c>
      <c r="X2266" t="s">
        <v>46572</v>
      </c>
    </row>
    <row r="2267" spans="1:24">
      <c r="A2267">
        <f>HYPERLINK("https://www.philgeps.gov.ph/GEPSNONPILOT/Tender/SplashBidNoticeAbstractUI.aspx?menuIndex=3&amp;refID=7067188&amp;Result=3","7067188")</f>
        <v>0</v>
      </c>
      <c r="B2267" t="s">
        <v>945</v>
      </c>
      <c r="C2267" t="s">
        <v>5732</v>
      </c>
      <c r="D2267" t="s">
        <v>18837</v>
      </c>
      <c r="E2267" t="s">
        <v>20987</v>
      </c>
      <c r="F2267" t="s">
        <v>32664</v>
      </c>
      <c r="G2267" t="s">
        <v>32672</v>
      </c>
      <c r="H2267" t="s">
        <v>32683</v>
      </c>
      <c r="I2267" t="s">
        <v>10627</v>
      </c>
      <c r="J2267" t="s">
        <v>34418</v>
      </c>
      <c r="K2267" t="s">
        <v>42314</v>
      </c>
      <c r="M2267" t="s">
        <v>43551</v>
      </c>
      <c r="N2267" t="s">
        <v>46569</v>
      </c>
      <c r="O2267" t="s">
        <v>46570</v>
      </c>
      <c r="P2267">
        <v>0</v>
      </c>
      <c r="Q2267">
        <v>0</v>
      </c>
      <c r="R2267" t="s">
        <v>46571</v>
      </c>
      <c r="S2267" t="s">
        <v>46687</v>
      </c>
      <c r="T2267" t="s">
        <v>48220</v>
      </c>
      <c r="U2267" t="s">
        <v>50647</v>
      </c>
      <c r="W2267" t="s">
        <v>43551</v>
      </c>
      <c r="X2267" t="s">
        <v>46572</v>
      </c>
    </row>
    <row r="2268" spans="1:24">
      <c r="A2268">
        <f>HYPERLINK("https://www.philgeps.gov.ph/GEPSNONPILOT/Tender/SplashBidNoticeAbstractUI.aspx?menuIndex=3&amp;refID=7067149&amp;Result=3","7067149")</f>
        <v>0</v>
      </c>
      <c r="B2268" t="s">
        <v>936</v>
      </c>
      <c r="C2268" t="s">
        <v>5733</v>
      </c>
      <c r="D2268" t="s">
        <v>18806</v>
      </c>
      <c r="E2268" t="s">
        <v>20988</v>
      </c>
      <c r="F2268" t="s">
        <v>32664</v>
      </c>
      <c r="G2268" t="s">
        <v>32671</v>
      </c>
      <c r="H2268" t="s">
        <v>12635</v>
      </c>
      <c r="I2268" t="s">
        <v>4439</v>
      </c>
      <c r="J2268" t="s">
        <v>34419</v>
      </c>
      <c r="K2268" t="s">
        <v>42289</v>
      </c>
      <c r="L2268" t="s">
        <v>936</v>
      </c>
      <c r="M2268" t="s">
        <v>43542</v>
      </c>
      <c r="N2268" t="s">
        <v>46569</v>
      </c>
      <c r="O2268" t="s">
        <v>46570</v>
      </c>
      <c r="P2268">
        <v>0</v>
      </c>
      <c r="Q2268">
        <v>0</v>
      </c>
      <c r="R2268" t="s">
        <v>46571</v>
      </c>
      <c r="S2268" t="s">
        <v>46687</v>
      </c>
      <c r="T2268" t="s">
        <v>48219</v>
      </c>
      <c r="U2268" t="s">
        <v>50648</v>
      </c>
      <c r="W2268" t="s">
        <v>43542</v>
      </c>
      <c r="X2268" t="s">
        <v>46572</v>
      </c>
    </row>
    <row r="2269" spans="1:24">
      <c r="A2269">
        <f>HYPERLINK("https://www.philgeps.gov.ph/GEPSNONPILOT/Tender/SplashBidNoticeAbstractUI.aspx?menuIndex=3&amp;refID=7067182&amp;Result=3","7067182")</f>
        <v>0</v>
      </c>
      <c r="B2269" t="s">
        <v>946</v>
      </c>
      <c r="C2269" t="s">
        <v>5734</v>
      </c>
      <c r="D2269" t="s">
        <v>18784</v>
      </c>
      <c r="E2269" t="s">
        <v>20989</v>
      </c>
      <c r="F2269" t="s">
        <v>32664</v>
      </c>
      <c r="G2269" t="s">
        <v>32676</v>
      </c>
      <c r="H2269" t="s">
        <v>12635</v>
      </c>
      <c r="I2269" t="s">
        <v>32695</v>
      </c>
      <c r="J2269" t="s">
        <v>32859</v>
      </c>
      <c r="K2269" t="s">
        <v>42309</v>
      </c>
      <c r="M2269" t="s">
        <v>43552</v>
      </c>
      <c r="N2269" t="s">
        <v>46569</v>
      </c>
      <c r="O2269" t="s">
        <v>46570</v>
      </c>
      <c r="P2269">
        <v>0</v>
      </c>
      <c r="Q2269">
        <v>3</v>
      </c>
      <c r="R2269" t="s">
        <v>46571</v>
      </c>
      <c r="S2269" t="s">
        <v>46687</v>
      </c>
      <c r="T2269" t="s">
        <v>48219</v>
      </c>
      <c r="U2269" t="s">
        <v>50649</v>
      </c>
      <c r="W2269" t="s">
        <v>43552</v>
      </c>
      <c r="X2269" t="s">
        <v>46572</v>
      </c>
    </row>
    <row r="2270" spans="1:24">
      <c r="A2270">
        <f>HYPERLINK("https://www.philgeps.gov.ph/GEPSNONPILOT/Tender/SplashBidNoticeAbstractUI.aspx?menuIndex=3&amp;refID=7067187&amp;Result=3","7067187")</f>
        <v>0</v>
      </c>
      <c r="B2270" t="s">
        <v>947</v>
      </c>
      <c r="C2270" t="s">
        <v>5735</v>
      </c>
      <c r="D2270" t="s">
        <v>18787</v>
      </c>
      <c r="E2270" t="s">
        <v>20990</v>
      </c>
      <c r="F2270" t="s">
        <v>32664</v>
      </c>
      <c r="G2270" t="s">
        <v>32672</v>
      </c>
      <c r="H2270" t="s">
        <v>12635</v>
      </c>
      <c r="I2270" t="s">
        <v>32698</v>
      </c>
      <c r="J2270" t="s">
        <v>34420</v>
      </c>
      <c r="K2270" t="s">
        <v>42281</v>
      </c>
      <c r="M2270" t="s">
        <v>43553</v>
      </c>
      <c r="N2270" t="s">
        <v>46569</v>
      </c>
      <c r="O2270" t="s">
        <v>46570</v>
      </c>
      <c r="P2270">
        <v>0</v>
      </c>
      <c r="Q2270">
        <v>1</v>
      </c>
      <c r="R2270" t="s">
        <v>46571</v>
      </c>
      <c r="S2270" t="s">
        <v>46687</v>
      </c>
      <c r="T2270" t="s">
        <v>48437</v>
      </c>
      <c r="U2270" t="s">
        <v>50650</v>
      </c>
      <c r="W2270" t="s">
        <v>63497</v>
      </c>
      <c r="X2270" t="s">
        <v>46572</v>
      </c>
    </row>
    <row r="2271" spans="1:24">
      <c r="A2271">
        <f>HYPERLINK("https://www.philgeps.gov.ph/GEPSNONPILOT/Tender/SplashBidNoticeAbstractUI.aspx?menuIndex=3&amp;refID=7067181&amp;Result=3","7067181")</f>
        <v>0</v>
      </c>
      <c r="B2271" t="s">
        <v>156</v>
      </c>
      <c r="C2271" t="s">
        <v>5736</v>
      </c>
      <c r="E2271" t="s">
        <v>20991</v>
      </c>
      <c r="F2271" t="s">
        <v>32664</v>
      </c>
      <c r="G2271" t="s">
        <v>32674</v>
      </c>
      <c r="H2271" t="s">
        <v>12635</v>
      </c>
      <c r="I2271" t="s">
        <v>32708</v>
      </c>
      <c r="J2271" t="s">
        <v>34421</v>
      </c>
      <c r="K2271" t="s">
        <v>42283</v>
      </c>
      <c r="M2271" t="s">
        <v>42720</v>
      </c>
      <c r="N2271" t="s">
        <v>46569</v>
      </c>
      <c r="O2271" t="s">
        <v>46570</v>
      </c>
      <c r="P2271">
        <v>0</v>
      </c>
      <c r="Q2271">
        <v>1</v>
      </c>
      <c r="R2271" t="s">
        <v>46571</v>
      </c>
      <c r="S2271" t="s">
        <v>46687</v>
      </c>
      <c r="T2271" t="s">
        <v>48438</v>
      </c>
      <c r="U2271" t="s">
        <v>50651</v>
      </c>
      <c r="W2271" t="s">
        <v>42720</v>
      </c>
      <c r="X2271" t="s">
        <v>46572</v>
      </c>
    </row>
    <row r="2272" spans="1:24">
      <c r="A2272">
        <f>HYPERLINK("https://www.philgeps.gov.ph/GEPSNONPILOT/Tender/SplashBidNoticeAbstractUI.aspx?menuIndex=3&amp;refID=7067189&amp;Result=3","7067189")</f>
        <v>0</v>
      </c>
      <c r="B2272" t="s">
        <v>946</v>
      </c>
      <c r="C2272" t="s">
        <v>5737</v>
      </c>
      <c r="D2272" t="s">
        <v>18784</v>
      </c>
      <c r="E2272" t="s">
        <v>20992</v>
      </c>
      <c r="F2272" t="s">
        <v>32664</v>
      </c>
      <c r="G2272" t="s">
        <v>32676</v>
      </c>
      <c r="H2272" t="s">
        <v>12635</v>
      </c>
      <c r="I2272" t="s">
        <v>32695</v>
      </c>
      <c r="J2272" t="s">
        <v>32853</v>
      </c>
      <c r="K2272" t="s">
        <v>42309</v>
      </c>
      <c r="M2272" t="s">
        <v>43552</v>
      </c>
      <c r="N2272" t="s">
        <v>46569</v>
      </c>
      <c r="O2272" t="s">
        <v>46570</v>
      </c>
      <c r="P2272">
        <v>0</v>
      </c>
      <c r="Q2272">
        <v>1</v>
      </c>
      <c r="R2272" t="s">
        <v>46571</v>
      </c>
      <c r="S2272" t="s">
        <v>46687</v>
      </c>
      <c r="T2272" t="s">
        <v>48219</v>
      </c>
      <c r="U2272" t="s">
        <v>50652</v>
      </c>
      <c r="W2272" t="s">
        <v>43552</v>
      </c>
      <c r="X2272" t="s">
        <v>46572</v>
      </c>
    </row>
    <row r="2273" spans="1:24">
      <c r="A2273">
        <f>HYPERLINK("https://www.philgeps.gov.ph/GEPSNONPILOT/Tender/SplashBidNoticeAbstractUI.aspx?menuIndex=3&amp;refID=7067178&amp;Result=3","7067178")</f>
        <v>0</v>
      </c>
      <c r="B2273" t="s">
        <v>238</v>
      </c>
      <c r="C2273" t="s">
        <v>4250</v>
      </c>
      <c r="D2273" t="s">
        <v>18798</v>
      </c>
      <c r="E2273" t="s">
        <v>20993</v>
      </c>
      <c r="F2273" t="s">
        <v>32664</v>
      </c>
      <c r="G2273" t="s">
        <v>32671</v>
      </c>
      <c r="H2273" t="s">
        <v>12635</v>
      </c>
      <c r="I2273" t="s">
        <v>4439</v>
      </c>
      <c r="J2273" t="s">
        <v>33359</v>
      </c>
      <c r="K2273" t="s">
        <v>42295</v>
      </c>
      <c r="M2273" t="s">
        <v>42803</v>
      </c>
      <c r="N2273" t="s">
        <v>46569</v>
      </c>
      <c r="O2273" t="s">
        <v>46570</v>
      </c>
      <c r="P2273">
        <v>0</v>
      </c>
      <c r="Q2273">
        <v>1</v>
      </c>
      <c r="R2273" t="s">
        <v>46571</v>
      </c>
      <c r="S2273" t="s">
        <v>46687</v>
      </c>
      <c r="T2273" t="s">
        <v>48219</v>
      </c>
      <c r="U2273" t="s">
        <v>50653</v>
      </c>
      <c r="V2273" t="s">
        <v>51917</v>
      </c>
      <c r="W2273" t="s">
        <v>42803</v>
      </c>
      <c r="X2273" t="s">
        <v>46572</v>
      </c>
    </row>
    <row r="2274" spans="1:24">
      <c r="A2274">
        <f>HYPERLINK("https://www.philgeps.gov.ph/GEPSNONPILOT/Tender/SplashBidNoticeAbstractUI.aspx?menuIndex=3&amp;refID=7067185&amp;Result=3","7067185")</f>
        <v>0</v>
      </c>
      <c r="B2274" t="s">
        <v>948</v>
      </c>
      <c r="C2274" t="s">
        <v>5738</v>
      </c>
      <c r="D2274" t="s">
        <v>18784</v>
      </c>
      <c r="E2274" t="s">
        <v>20994</v>
      </c>
      <c r="F2274" t="s">
        <v>32664</v>
      </c>
      <c r="G2274" t="s">
        <v>32671</v>
      </c>
      <c r="H2274" t="s">
        <v>32681</v>
      </c>
      <c r="I2274" t="s">
        <v>32681</v>
      </c>
      <c r="J2274" t="s">
        <v>33008</v>
      </c>
      <c r="K2274" t="s">
        <v>42283</v>
      </c>
      <c r="M2274" t="s">
        <v>43554</v>
      </c>
      <c r="N2274" t="s">
        <v>46569</v>
      </c>
      <c r="O2274" t="s">
        <v>46570</v>
      </c>
      <c r="P2274">
        <v>0</v>
      </c>
      <c r="Q2274">
        <v>1</v>
      </c>
      <c r="R2274" t="s">
        <v>46571</v>
      </c>
      <c r="S2274" t="s">
        <v>46687</v>
      </c>
      <c r="T2274" t="s">
        <v>48283</v>
      </c>
      <c r="U2274" t="s">
        <v>50654</v>
      </c>
      <c r="V2274" t="s">
        <v>61858</v>
      </c>
      <c r="W2274" t="s">
        <v>43554</v>
      </c>
      <c r="X2274" t="s">
        <v>46572</v>
      </c>
    </row>
    <row r="2275" spans="1:24">
      <c r="A2275">
        <f>HYPERLINK("https://www.philgeps.gov.ph/GEPSNONPILOT/Tender/SplashBidNoticeAbstractUI.aspx?menuIndex=3&amp;refID=7067150&amp;Result=3","7067150")</f>
        <v>0</v>
      </c>
      <c r="B2275" t="s">
        <v>949</v>
      </c>
      <c r="C2275" t="s">
        <v>5739</v>
      </c>
      <c r="D2275" t="s">
        <v>18784</v>
      </c>
      <c r="E2275" t="s">
        <v>20995</v>
      </c>
      <c r="F2275" t="s">
        <v>32664</v>
      </c>
      <c r="G2275" t="s">
        <v>32675</v>
      </c>
      <c r="H2275" t="s">
        <v>12635</v>
      </c>
      <c r="I2275" t="s">
        <v>10370</v>
      </c>
      <c r="J2275" t="s">
        <v>34422</v>
      </c>
      <c r="K2275" t="s">
        <v>42303</v>
      </c>
      <c r="M2275" t="s">
        <v>43555</v>
      </c>
      <c r="N2275" t="s">
        <v>46569</v>
      </c>
      <c r="O2275" t="s">
        <v>46570</v>
      </c>
      <c r="P2275">
        <v>0</v>
      </c>
      <c r="Q2275">
        <v>7</v>
      </c>
      <c r="R2275" t="s">
        <v>46571</v>
      </c>
      <c r="S2275" t="s">
        <v>46687</v>
      </c>
      <c r="T2275" t="s">
        <v>48230</v>
      </c>
      <c r="U2275" t="s">
        <v>50655</v>
      </c>
      <c r="W2275" t="s">
        <v>43555</v>
      </c>
      <c r="X2275" t="s">
        <v>46572</v>
      </c>
    </row>
    <row r="2276" spans="1:24">
      <c r="A2276">
        <f>HYPERLINK("https://www.philgeps.gov.ph/GEPSNONPILOT/Tender/SplashBidNoticeAbstractUI.aspx?menuIndex=3&amp;refID=7067193&amp;Result=3","7067193")</f>
        <v>0</v>
      </c>
      <c r="B2276" t="s">
        <v>950</v>
      </c>
      <c r="C2276" t="s">
        <v>5740</v>
      </c>
      <c r="D2276" t="s">
        <v>18786</v>
      </c>
      <c r="E2276" t="s">
        <v>20996</v>
      </c>
      <c r="F2276" t="s">
        <v>32664</v>
      </c>
      <c r="G2276" t="s">
        <v>32672</v>
      </c>
      <c r="H2276" t="s">
        <v>12635</v>
      </c>
      <c r="I2276" t="s">
        <v>32684</v>
      </c>
      <c r="J2276" t="s">
        <v>34423</v>
      </c>
      <c r="K2276" t="s">
        <v>42281</v>
      </c>
      <c r="M2276" t="s">
        <v>43556</v>
      </c>
      <c r="N2276" t="s">
        <v>46569</v>
      </c>
      <c r="O2276" t="s">
        <v>46570</v>
      </c>
      <c r="P2276">
        <v>0</v>
      </c>
      <c r="Q2276">
        <v>2</v>
      </c>
      <c r="R2276" t="s">
        <v>46571</v>
      </c>
      <c r="S2276" t="s">
        <v>46687</v>
      </c>
      <c r="T2276" t="s">
        <v>48224</v>
      </c>
      <c r="U2276" t="s">
        <v>50656</v>
      </c>
      <c r="W2276" t="s">
        <v>43556</v>
      </c>
      <c r="X2276" t="s">
        <v>46572</v>
      </c>
    </row>
    <row r="2277" spans="1:24">
      <c r="A2277">
        <f>HYPERLINK("https://www.philgeps.gov.ph/GEPSNONPILOT/Tender/SplashBidNoticeAbstractUI.aspx?menuIndex=3&amp;refID=7067212&amp;Result=3","7067212")</f>
        <v>0</v>
      </c>
      <c r="B2277" t="s">
        <v>944</v>
      </c>
      <c r="C2277" t="s">
        <v>5741</v>
      </c>
      <c r="D2277" t="s">
        <v>18827</v>
      </c>
      <c r="E2277" t="s">
        <v>19304</v>
      </c>
      <c r="F2277" t="s">
        <v>32664</v>
      </c>
      <c r="G2277" t="s">
        <v>32671</v>
      </c>
      <c r="H2277" t="s">
        <v>12635</v>
      </c>
      <c r="I2277" t="s">
        <v>6118</v>
      </c>
      <c r="J2277" t="s">
        <v>34424</v>
      </c>
      <c r="K2277" t="s">
        <v>42295</v>
      </c>
      <c r="M2277" t="s">
        <v>43550</v>
      </c>
      <c r="N2277" t="s">
        <v>46569</v>
      </c>
      <c r="O2277" t="s">
        <v>46570</v>
      </c>
      <c r="P2277">
        <v>0</v>
      </c>
      <c r="Q2277">
        <v>0</v>
      </c>
      <c r="R2277" t="s">
        <v>46571</v>
      </c>
      <c r="S2277" t="s">
        <v>46687</v>
      </c>
      <c r="T2277" t="s">
        <v>48217</v>
      </c>
      <c r="U2277" t="s">
        <v>50657</v>
      </c>
      <c r="W2277" t="s">
        <v>43550</v>
      </c>
      <c r="X2277" t="s">
        <v>46572</v>
      </c>
    </row>
    <row r="2278" spans="1:24">
      <c r="A2278">
        <f>HYPERLINK("https://www.philgeps.gov.ph/GEPSNONPILOT/Tender/SplashBidNoticeAbstractUI.aspx?menuIndex=3&amp;refID=7067211&amp;Result=3","7067211")</f>
        <v>0</v>
      </c>
      <c r="B2278" t="s">
        <v>951</v>
      </c>
      <c r="C2278" t="s">
        <v>5742</v>
      </c>
      <c r="D2278" t="s">
        <v>18787</v>
      </c>
      <c r="E2278" t="s">
        <v>20997</v>
      </c>
      <c r="F2278" t="s">
        <v>32664</v>
      </c>
      <c r="G2278" t="s">
        <v>32671</v>
      </c>
      <c r="H2278" t="s">
        <v>12635</v>
      </c>
      <c r="I2278" t="s">
        <v>32694</v>
      </c>
      <c r="J2278" t="s">
        <v>34425</v>
      </c>
      <c r="K2278" t="s">
        <v>42283</v>
      </c>
      <c r="M2278" t="s">
        <v>43557</v>
      </c>
      <c r="N2278" t="s">
        <v>46569</v>
      </c>
      <c r="O2278" t="s">
        <v>46570</v>
      </c>
      <c r="P2278">
        <v>0</v>
      </c>
      <c r="Q2278">
        <v>0</v>
      </c>
      <c r="R2278" t="s">
        <v>46571</v>
      </c>
      <c r="S2278" t="s">
        <v>46687</v>
      </c>
      <c r="T2278" t="s">
        <v>48244</v>
      </c>
      <c r="U2278" t="s">
        <v>50658</v>
      </c>
      <c r="W2278" t="s">
        <v>43557</v>
      </c>
      <c r="X2278" t="s">
        <v>46572</v>
      </c>
    </row>
    <row r="2279" spans="1:24">
      <c r="A2279">
        <f>HYPERLINK("https://www.philgeps.gov.ph/GEPSNONPILOT/Tender/SplashBidNoticeAbstractUI.aspx?menuIndex=3&amp;refID=7067184&amp;Result=3","7067184")</f>
        <v>0</v>
      </c>
      <c r="B2279" t="s">
        <v>944</v>
      </c>
      <c r="C2279" t="s">
        <v>5743</v>
      </c>
      <c r="D2279" t="s">
        <v>18827</v>
      </c>
      <c r="E2279" t="s">
        <v>20540</v>
      </c>
      <c r="F2279" t="s">
        <v>32664</v>
      </c>
      <c r="G2279" t="s">
        <v>32671</v>
      </c>
      <c r="H2279" t="s">
        <v>12635</v>
      </c>
      <c r="I2279" t="s">
        <v>6223</v>
      </c>
      <c r="J2279" t="s">
        <v>33888</v>
      </c>
      <c r="K2279" t="s">
        <v>42309</v>
      </c>
      <c r="M2279" t="s">
        <v>43550</v>
      </c>
      <c r="N2279" t="s">
        <v>46569</v>
      </c>
      <c r="O2279" t="s">
        <v>46570</v>
      </c>
      <c r="P2279">
        <v>0</v>
      </c>
      <c r="Q2279">
        <v>0</v>
      </c>
      <c r="R2279" t="s">
        <v>46571</v>
      </c>
      <c r="S2279" t="s">
        <v>46687</v>
      </c>
      <c r="T2279" t="s">
        <v>48217</v>
      </c>
      <c r="U2279" t="s">
        <v>50659</v>
      </c>
      <c r="W2279" t="s">
        <v>43550</v>
      </c>
      <c r="X2279" t="s">
        <v>46572</v>
      </c>
    </row>
    <row r="2280" spans="1:24">
      <c r="A2280">
        <f>HYPERLINK("https://www.philgeps.gov.ph/GEPSNONPILOT/Tender/SplashBidNoticeAbstractUI.aspx?menuIndex=3&amp;refID=7067213&amp;Result=3","7067213")</f>
        <v>0</v>
      </c>
      <c r="B2280" t="s">
        <v>952</v>
      </c>
      <c r="C2280" t="s">
        <v>5744</v>
      </c>
      <c r="D2280" t="s">
        <v>18786</v>
      </c>
      <c r="E2280" t="s">
        <v>20998</v>
      </c>
      <c r="F2280" t="s">
        <v>32664</v>
      </c>
      <c r="G2280" t="s">
        <v>32672</v>
      </c>
      <c r="H2280" t="s">
        <v>12635</v>
      </c>
      <c r="I2280" t="s">
        <v>32696</v>
      </c>
      <c r="J2280" t="s">
        <v>34426</v>
      </c>
      <c r="K2280" t="s">
        <v>42297</v>
      </c>
      <c r="M2280" t="s">
        <v>43558</v>
      </c>
      <c r="N2280" t="s">
        <v>46569</v>
      </c>
      <c r="O2280" t="s">
        <v>46570</v>
      </c>
      <c r="P2280">
        <v>0</v>
      </c>
      <c r="Q2280">
        <v>0</v>
      </c>
      <c r="R2280" t="s">
        <v>46571</v>
      </c>
      <c r="S2280" t="s">
        <v>46687</v>
      </c>
      <c r="T2280" t="s">
        <v>48284</v>
      </c>
      <c r="U2280" t="s">
        <v>50660</v>
      </c>
      <c r="V2280" t="s">
        <v>61859</v>
      </c>
      <c r="W2280" t="s">
        <v>43558</v>
      </c>
      <c r="X2280" t="s">
        <v>46572</v>
      </c>
    </row>
    <row r="2281" spans="1:24">
      <c r="A2281">
        <f>HYPERLINK("https://www.philgeps.gov.ph/GEPSNONPILOT/Tender/SplashBidNoticeAbstractUI.aspx?menuIndex=3&amp;refID=7067206&amp;Result=3","7067206")</f>
        <v>0</v>
      </c>
      <c r="B2281" t="s">
        <v>953</v>
      </c>
      <c r="C2281" t="s">
        <v>5745</v>
      </c>
      <c r="D2281" t="s">
        <v>18799</v>
      </c>
      <c r="E2281" t="s">
        <v>20999</v>
      </c>
      <c r="F2281" t="s">
        <v>32664</v>
      </c>
      <c r="G2281" t="s">
        <v>32674</v>
      </c>
      <c r="H2281" t="s">
        <v>12635</v>
      </c>
      <c r="I2281" t="s">
        <v>8958</v>
      </c>
      <c r="J2281" t="s">
        <v>34427</v>
      </c>
      <c r="K2281" t="s">
        <v>42297</v>
      </c>
      <c r="M2281" t="s">
        <v>43559</v>
      </c>
      <c r="N2281" t="s">
        <v>46569</v>
      </c>
      <c r="O2281" t="s">
        <v>46570</v>
      </c>
      <c r="P2281">
        <v>0</v>
      </c>
      <c r="Q2281">
        <v>1</v>
      </c>
      <c r="R2281" t="s">
        <v>46571</v>
      </c>
      <c r="S2281" t="s">
        <v>46687</v>
      </c>
      <c r="T2281" t="s">
        <v>48305</v>
      </c>
      <c r="U2281" t="s">
        <v>50661</v>
      </c>
      <c r="W2281" t="s">
        <v>43559</v>
      </c>
      <c r="X2281" t="s">
        <v>46572</v>
      </c>
    </row>
    <row r="2282" spans="1:24">
      <c r="A2282">
        <f>HYPERLINK("https://www.philgeps.gov.ph/GEPSNONPILOT/Tender/SplashBidNoticeAbstractUI.aspx?menuIndex=3&amp;refID=7067176&amp;Result=3","7067176")</f>
        <v>0</v>
      </c>
      <c r="B2282" t="s">
        <v>954</v>
      </c>
      <c r="C2282" t="s">
        <v>5746</v>
      </c>
      <c r="E2282" t="s">
        <v>21000</v>
      </c>
      <c r="F2282" t="s">
        <v>32664</v>
      </c>
      <c r="G2282" t="s">
        <v>32672</v>
      </c>
      <c r="H2282" t="s">
        <v>12635</v>
      </c>
      <c r="I2282" t="s">
        <v>10627</v>
      </c>
      <c r="J2282" t="s">
        <v>34428</v>
      </c>
      <c r="K2282" t="s">
        <v>42283</v>
      </c>
      <c r="M2282" t="s">
        <v>43560</v>
      </c>
      <c r="N2282" t="s">
        <v>46569</v>
      </c>
      <c r="O2282" t="s">
        <v>46570</v>
      </c>
      <c r="P2282">
        <v>0</v>
      </c>
      <c r="Q2282">
        <v>0</v>
      </c>
      <c r="R2282" t="s">
        <v>46571</v>
      </c>
      <c r="S2282" t="s">
        <v>46687</v>
      </c>
      <c r="T2282" t="s">
        <v>48223</v>
      </c>
      <c r="U2282" t="s">
        <v>50662</v>
      </c>
      <c r="W2282" t="s">
        <v>43560</v>
      </c>
      <c r="X2282" t="s">
        <v>46572</v>
      </c>
    </row>
    <row r="2283" spans="1:24">
      <c r="A2283">
        <f>HYPERLINK("https://www.philgeps.gov.ph/GEPSNONPILOT/Tender/SplashBidNoticeAbstractUI.aspx?menuIndex=3&amp;refID=7067180&amp;Result=3","7067180")</f>
        <v>0</v>
      </c>
      <c r="B2283" t="s">
        <v>619</v>
      </c>
      <c r="C2283" t="s">
        <v>5747</v>
      </c>
      <c r="D2283" t="s">
        <v>18784</v>
      </c>
      <c r="E2283" t="s">
        <v>19928</v>
      </c>
      <c r="F2283" t="s">
        <v>32664</v>
      </c>
      <c r="G2283" t="s">
        <v>32672</v>
      </c>
      <c r="H2283" t="s">
        <v>12635</v>
      </c>
      <c r="I2283" t="s">
        <v>5589</v>
      </c>
      <c r="J2283" t="s">
        <v>32898</v>
      </c>
      <c r="K2283" t="s">
        <v>42309</v>
      </c>
      <c r="M2283" t="s">
        <v>43199</v>
      </c>
      <c r="N2283" t="s">
        <v>46569</v>
      </c>
      <c r="O2283" t="s">
        <v>46570</v>
      </c>
      <c r="P2283">
        <v>0</v>
      </c>
      <c r="Q2283">
        <v>0</v>
      </c>
      <c r="R2283" t="s">
        <v>46571</v>
      </c>
      <c r="S2283" t="s">
        <v>46687</v>
      </c>
      <c r="T2283" t="s">
        <v>48226</v>
      </c>
      <c r="U2283" t="s">
        <v>50663</v>
      </c>
      <c r="W2283" t="s">
        <v>43199</v>
      </c>
      <c r="X2283" t="s">
        <v>46572</v>
      </c>
    </row>
    <row r="2284" spans="1:24">
      <c r="A2284">
        <f>HYPERLINK("https://www.philgeps.gov.ph/GEPSNONPILOT/Tender/SplashBidNoticeAbstractUI.aspx?menuIndex=3&amp;refID=7067210&amp;Result=3","7067210")</f>
        <v>0</v>
      </c>
      <c r="B2284" t="s">
        <v>937</v>
      </c>
      <c r="C2284" t="s">
        <v>5748</v>
      </c>
      <c r="D2284" t="s">
        <v>18791</v>
      </c>
      <c r="E2284" t="s">
        <v>21001</v>
      </c>
      <c r="F2284" t="s">
        <v>32664</v>
      </c>
      <c r="G2284" t="s">
        <v>32671</v>
      </c>
      <c r="H2284" t="s">
        <v>12635</v>
      </c>
      <c r="I2284" t="s">
        <v>7759</v>
      </c>
      <c r="J2284" t="s">
        <v>34429</v>
      </c>
      <c r="K2284" t="s">
        <v>42295</v>
      </c>
      <c r="M2284" t="s">
        <v>43561</v>
      </c>
      <c r="N2284" t="s">
        <v>46569</v>
      </c>
      <c r="O2284" t="s">
        <v>46570</v>
      </c>
      <c r="P2284">
        <v>0</v>
      </c>
      <c r="Q2284">
        <v>0</v>
      </c>
      <c r="R2284" t="s">
        <v>46571</v>
      </c>
      <c r="S2284" t="s">
        <v>46687</v>
      </c>
      <c r="T2284" t="s">
        <v>48293</v>
      </c>
      <c r="U2284" t="s">
        <v>50664</v>
      </c>
      <c r="V2284" t="s">
        <v>61860</v>
      </c>
      <c r="W2284" t="s">
        <v>43561</v>
      </c>
      <c r="X2284" t="s">
        <v>46572</v>
      </c>
    </row>
    <row r="2285" spans="1:24">
      <c r="A2285">
        <f>HYPERLINK("https://www.philgeps.gov.ph/GEPSNONPILOT/Tender/SplashBidNoticeAbstractUI.aspx?menuIndex=3&amp;refID=7067208&amp;Result=3","7067208")</f>
        <v>0</v>
      </c>
      <c r="B2285" t="s">
        <v>955</v>
      </c>
      <c r="C2285" t="s">
        <v>5749</v>
      </c>
      <c r="D2285" t="s">
        <v>18784</v>
      </c>
      <c r="E2285" t="s">
        <v>19193</v>
      </c>
      <c r="F2285" t="s">
        <v>32664</v>
      </c>
      <c r="G2285" t="s">
        <v>32672</v>
      </c>
      <c r="H2285" t="s">
        <v>32683</v>
      </c>
      <c r="I2285" t="s">
        <v>10627</v>
      </c>
      <c r="J2285" t="s">
        <v>34148</v>
      </c>
      <c r="K2285" t="s">
        <v>42305</v>
      </c>
      <c r="M2285" t="s">
        <v>43562</v>
      </c>
      <c r="N2285" t="s">
        <v>46569</v>
      </c>
      <c r="O2285" t="s">
        <v>46570</v>
      </c>
      <c r="P2285">
        <v>0</v>
      </c>
      <c r="Q2285">
        <v>0</v>
      </c>
      <c r="R2285" t="s">
        <v>46571</v>
      </c>
      <c r="S2285" t="s">
        <v>46687</v>
      </c>
      <c r="T2285" t="s">
        <v>48439</v>
      </c>
      <c r="U2285" t="s">
        <v>50665</v>
      </c>
      <c r="W2285" t="s">
        <v>43562</v>
      </c>
      <c r="X2285" t="s">
        <v>46572</v>
      </c>
    </row>
    <row r="2286" spans="1:24">
      <c r="A2286">
        <f>HYPERLINK("https://www.philgeps.gov.ph/GEPSNONPILOT/Tender/SplashBidNoticeAbstractUI.aspx?menuIndex=3&amp;refID=7067202&amp;Result=3","7067202")</f>
        <v>0</v>
      </c>
      <c r="B2286" t="s">
        <v>953</v>
      </c>
      <c r="C2286" t="s">
        <v>5745</v>
      </c>
      <c r="D2286" t="s">
        <v>18799</v>
      </c>
      <c r="E2286" t="s">
        <v>20999</v>
      </c>
      <c r="F2286" t="s">
        <v>32664</v>
      </c>
      <c r="G2286" t="s">
        <v>32674</v>
      </c>
      <c r="H2286" t="s">
        <v>12635</v>
      </c>
      <c r="I2286" t="s">
        <v>8958</v>
      </c>
      <c r="J2286" t="s">
        <v>34430</v>
      </c>
      <c r="K2286" t="s">
        <v>42297</v>
      </c>
      <c r="M2286" t="s">
        <v>43559</v>
      </c>
      <c r="N2286" t="s">
        <v>46569</v>
      </c>
      <c r="O2286" t="s">
        <v>46570</v>
      </c>
      <c r="P2286">
        <v>0</v>
      </c>
      <c r="Q2286">
        <v>1</v>
      </c>
      <c r="R2286" t="s">
        <v>46571</v>
      </c>
      <c r="S2286" t="s">
        <v>46687</v>
      </c>
      <c r="T2286" t="s">
        <v>48305</v>
      </c>
      <c r="U2286" t="s">
        <v>50661</v>
      </c>
      <c r="W2286" t="s">
        <v>43559</v>
      </c>
      <c r="X2286" t="s">
        <v>46572</v>
      </c>
    </row>
    <row r="2287" spans="1:24">
      <c r="A2287">
        <f>HYPERLINK("https://www.philgeps.gov.ph/GEPSNONPILOT/Tender/SplashBidNoticeAbstractUI.aspx?menuIndex=3&amp;refID=7067215&amp;Result=3","7067215")</f>
        <v>0</v>
      </c>
      <c r="B2287" t="s">
        <v>944</v>
      </c>
      <c r="C2287" t="s">
        <v>5741</v>
      </c>
      <c r="D2287" t="s">
        <v>18827</v>
      </c>
      <c r="E2287" t="s">
        <v>19110</v>
      </c>
      <c r="F2287" t="s">
        <v>32664</v>
      </c>
      <c r="G2287" t="s">
        <v>32671</v>
      </c>
      <c r="H2287" t="s">
        <v>12635</v>
      </c>
      <c r="I2287" t="s">
        <v>6118</v>
      </c>
      <c r="J2287" t="s">
        <v>34431</v>
      </c>
      <c r="K2287" t="s">
        <v>42295</v>
      </c>
      <c r="M2287" t="s">
        <v>43550</v>
      </c>
      <c r="N2287" t="s">
        <v>46569</v>
      </c>
      <c r="O2287" t="s">
        <v>46570</v>
      </c>
      <c r="P2287">
        <v>0</v>
      </c>
      <c r="Q2287">
        <v>0</v>
      </c>
      <c r="R2287" t="s">
        <v>46571</v>
      </c>
      <c r="S2287" t="s">
        <v>46687</v>
      </c>
      <c r="T2287" t="s">
        <v>48217</v>
      </c>
      <c r="U2287" t="s">
        <v>50666</v>
      </c>
      <c r="W2287" t="s">
        <v>43550</v>
      </c>
      <c r="X2287" t="s">
        <v>46572</v>
      </c>
    </row>
    <row r="2288" spans="1:24">
      <c r="A2288">
        <f>HYPERLINK("https://www.philgeps.gov.ph/GEPSNONPILOT/Tender/SplashBidNoticeAbstractUI.aspx?menuIndex=3&amp;refID=7067239&amp;Result=3","7067239")</f>
        <v>0</v>
      </c>
      <c r="B2288" t="s">
        <v>944</v>
      </c>
      <c r="C2288" t="s">
        <v>5750</v>
      </c>
      <c r="D2288" t="s">
        <v>18827</v>
      </c>
      <c r="E2288" t="s">
        <v>21002</v>
      </c>
      <c r="F2288" t="s">
        <v>32664</v>
      </c>
      <c r="G2288" t="s">
        <v>32671</v>
      </c>
      <c r="H2288" t="s">
        <v>12635</v>
      </c>
      <c r="I2288" t="s">
        <v>32704</v>
      </c>
      <c r="J2288" t="s">
        <v>32974</v>
      </c>
      <c r="K2288" t="s">
        <v>42309</v>
      </c>
      <c r="M2288" t="s">
        <v>43550</v>
      </c>
      <c r="N2288" t="s">
        <v>46569</v>
      </c>
      <c r="O2288" t="s">
        <v>46570</v>
      </c>
      <c r="P2288">
        <v>0</v>
      </c>
      <c r="Q2288">
        <v>7</v>
      </c>
      <c r="R2288" t="s">
        <v>46571</v>
      </c>
      <c r="S2288" t="s">
        <v>46687</v>
      </c>
      <c r="T2288" t="s">
        <v>48217</v>
      </c>
      <c r="U2288" t="s">
        <v>50667</v>
      </c>
      <c r="W2288" t="s">
        <v>43550</v>
      </c>
      <c r="X2288" t="s">
        <v>46572</v>
      </c>
    </row>
    <row r="2289" spans="1:24">
      <c r="A2289">
        <f>HYPERLINK("https://www.philgeps.gov.ph/GEPSNONPILOT/Tender/SplashBidNoticeAbstractUI.aspx?menuIndex=3&amp;refID=7067204&amp;Result=3","7067204")</f>
        <v>0</v>
      </c>
      <c r="B2289" t="s">
        <v>946</v>
      </c>
      <c r="C2289" t="s">
        <v>5751</v>
      </c>
      <c r="D2289" t="s">
        <v>18784</v>
      </c>
      <c r="E2289" t="s">
        <v>21003</v>
      </c>
      <c r="F2289" t="s">
        <v>32664</v>
      </c>
      <c r="G2289" t="s">
        <v>32676</v>
      </c>
      <c r="H2289" t="s">
        <v>12635</v>
      </c>
      <c r="I2289" t="s">
        <v>6223</v>
      </c>
      <c r="J2289" t="s">
        <v>33751</v>
      </c>
      <c r="K2289" t="s">
        <v>42309</v>
      </c>
      <c r="M2289" t="s">
        <v>43552</v>
      </c>
      <c r="N2289" t="s">
        <v>46569</v>
      </c>
      <c r="O2289" t="s">
        <v>46570</v>
      </c>
      <c r="P2289">
        <v>0</v>
      </c>
      <c r="Q2289">
        <v>1</v>
      </c>
      <c r="R2289" t="s">
        <v>46571</v>
      </c>
      <c r="S2289" t="s">
        <v>46687</v>
      </c>
      <c r="T2289" t="s">
        <v>48219</v>
      </c>
      <c r="U2289" t="s">
        <v>50668</v>
      </c>
      <c r="W2289" t="s">
        <v>43552</v>
      </c>
      <c r="X2289" t="s">
        <v>46572</v>
      </c>
    </row>
    <row r="2290" spans="1:24">
      <c r="A2290">
        <f>HYPERLINK("https://www.philgeps.gov.ph/GEPSNONPILOT/Tender/SplashBidNoticeAbstractUI.aspx?menuIndex=3&amp;refID=7067238&amp;Result=3","7067238")</f>
        <v>0</v>
      </c>
      <c r="B2290" t="s">
        <v>937</v>
      </c>
      <c r="C2290" t="s">
        <v>5752</v>
      </c>
      <c r="D2290" t="s">
        <v>18791</v>
      </c>
      <c r="E2290" t="s">
        <v>21004</v>
      </c>
      <c r="F2290" t="s">
        <v>32664</v>
      </c>
      <c r="G2290" t="s">
        <v>32671</v>
      </c>
      <c r="H2290" t="s">
        <v>12635</v>
      </c>
      <c r="I2290" t="s">
        <v>10374</v>
      </c>
      <c r="J2290" t="s">
        <v>33024</v>
      </c>
      <c r="K2290" t="s">
        <v>42295</v>
      </c>
      <c r="M2290" t="s">
        <v>43561</v>
      </c>
      <c r="N2290" t="s">
        <v>46569</v>
      </c>
      <c r="O2290" t="s">
        <v>46570</v>
      </c>
      <c r="P2290">
        <v>0</v>
      </c>
      <c r="Q2290">
        <v>0</v>
      </c>
      <c r="R2290" t="s">
        <v>46571</v>
      </c>
      <c r="S2290" t="s">
        <v>46687</v>
      </c>
      <c r="T2290" t="s">
        <v>48293</v>
      </c>
      <c r="U2290" t="s">
        <v>50669</v>
      </c>
      <c r="V2290" t="s">
        <v>61860</v>
      </c>
      <c r="W2290" t="s">
        <v>43561</v>
      </c>
      <c r="X2290" t="s">
        <v>46572</v>
      </c>
    </row>
    <row r="2291" spans="1:24">
      <c r="A2291">
        <f>HYPERLINK("https://www.philgeps.gov.ph/GEPSNONPILOT/Tender/SplashBidNoticeAbstractUI.aspx?menuIndex=3&amp;refID=7067158&amp;Result=3","7067158")</f>
        <v>0</v>
      </c>
      <c r="B2291" t="s">
        <v>949</v>
      </c>
      <c r="C2291" t="s">
        <v>5753</v>
      </c>
      <c r="D2291" t="s">
        <v>18784</v>
      </c>
      <c r="E2291" t="s">
        <v>21005</v>
      </c>
      <c r="F2291" t="s">
        <v>32664</v>
      </c>
      <c r="G2291" t="s">
        <v>32675</v>
      </c>
      <c r="H2291" t="s">
        <v>12635</v>
      </c>
      <c r="I2291" t="s">
        <v>10370</v>
      </c>
      <c r="J2291" t="s">
        <v>33461</v>
      </c>
      <c r="K2291" t="s">
        <v>42303</v>
      </c>
      <c r="M2291" t="s">
        <v>43555</v>
      </c>
      <c r="N2291" t="s">
        <v>46569</v>
      </c>
      <c r="O2291" t="s">
        <v>46570</v>
      </c>
      <c r="P2291">
        <v>0</v>
      </c>
      <c r="Q2291">
        <v>6</v>
      </c>
      <c r="R2291" t="s">
        <v>46571</v>
      </c>
      <c r="S2291" t="s">
        <v>46687</v>
      </c>
      <c r="T2291" t="s">
        <v>48230</v>
      </c>
      <c r="U2291" t="s">
        <v>50670</v>
      </c>
      <c r="W2291" t="s">
        <v>43555</v>
      </c>
      <c r="X2291" t="s">
        <v>46572</v>
      </c>
    </row>
    <row r="2292" spans="1:24">
      <c r="A2292">
        <f>HYPERLINK("https://www.philgeps.gov.ph/GEPSNONPILOT/Tender/SplashBidNoticeAbstractUI.aspx?menuIndex=3&amp;refID=7067237&amp;Result=3","7067237")</f>
        <v>0</v>
      </c>
      <c r="B2292" t="s">
        <v>951</v>
      </c>
      <c r="C2292" t="s">
        <v>5754</v>
      </c>
      <c r="D2292" t="s">
        <v>18787</v>
      </c>
      <c r="E2292" t="s">
        <v>21006</v>
      </c>
      <c r="F2292" t="s">
        <v>32664</v>
      </c>
      <c r="G2292" t="s">
        <v>32671</v>
      </c>
      <c r="H2292" t="s">
        <v>12635</v>
      </c>
      <c r="I2292" t="s">
        <v>10374</v>
      </c>
      <c r="J2292" t="s">
        <v>34432</v>
      </c>
      <c r="K2292" t="s">
        <v>42283</v>
      </c>
      <c r="M2292" t="s">
        <v>43557</v>
      </c>
      <c r="N2292" t="s">
        <v>46569</v>
      </c>
      <c r="O2292" t="s">
        <v>46570</v>
      </c>
      <c r="P2292">
        <v>0</v>
      </c>
      <c r="Q2292">
        <v>0</v>
      </c>
      <c r="R2292" t="s">
        <v>46571</v>
      </c>
      <c r="S2292" t="s">
        <v>46687</v>
      </c>
      <c r="T2292" t="s">
        <v>48244</v>
      </c>
      <c r="U2292" t="s">
        <v>50658</v>
      </c>
      <c r="W2292" t="s">
        <v>43557</v>
      </c>
      <c r="X2292" t="s">
        <v>46572</v>
      </c>
    </row>
    <row r="2293" spans="1:24">
      <c r="A2293">
        <f>HYPERLINK("https://www.philgeps.gov.ph/GEPSNONPILOT/Tender/SplashBidNoticeAbstractUI.aspx?menuIndex=3&amp;refID=7067201&amp;Result=3","7067201")</f>
        <v>0</v>
      </c>
      <c r="B2293" t="s">
        <v>238</v>
      </c>
      <c r="C2293" t="s">
        <v>4250</v>
      </c>
      <c r="D2293" t="s">
        <v>18798</v>
      </c>
      <c r="E2293" t="s">
        <v>21007</v>
      </c>
      <c r="F2293" t="s">
        <v>32664</v>
      </c>
      <c r="G2293" t="s">
        <v>32671</v>
      </c>
      <c r="H2293" t="s">
        <v>12635</v>
      </c>
      <c r="I2293" t="s">
        <v>4439</v>
      </c>
      <c r="J2293" t="s">
        <v>34433</v>
      </c>
      <c r="K2293" t="s">
        <v>42295</v>
      </c>
      <c r="M2293" t="s">
        <v>42803</v>
      </c>
      <c r="N2293" t="s">
        <v>46569</v>
      </c>
      <c r="O2293" t="s">
        <v>46570</v>
      </c>
      <c r="P2293">
        <v>0</v>
      </c>
      <c r="Q2293">
        <v>1</v>
      </c>
      <c r="R2293" t="s">
        <v>46571</v>
      </c>
      <c r="S2293" t="s">
        <v>46687</v>
      </c>
      <c r="T2293" t="s">
        <v>48219</v>
      </c>
      <c r="U2293" t="s">
        <v>50671</v>
      </c>
      <c r="V2293" t="s">
        <v>51917</v>
      </c>
      <c r="W2293" t="s">
        <v>42803</v>
      </c>
      <c r="X2293" t="s">
        <v>46572</v>
      </c>
    </row>
    <row r="2294" spans="1:24">
      <c r="A2294">
        <f>HYPERLINK("https://www.philgeps.gov.ph/GEPSNONPILOT/Tender/SplashBidNoticeAbstractUI.aspx?menuIndex=3&amp;refID=7067234&amp;Result=3","7067234")</f>
        <v>0</v>
      </c>
      <c r="B2294" t="s">
        <v>937</v>
      </c>
      <c r="C2294" t="s">
        <v>5755</v>
      </c>
      <c r="D2294" t="s">
        <v>18791</v>
      </c>
      <c r="E2294" t="s">
        <v>21008</v>
      </c>
      <c r="F2294" t="s">
        <v>32664</v>
      </c>
      <c r="G2294" t="s">
        <v>32671</v>
      </c>
      <c r="H2294" t="s">
        <v>12635</v>
      </c>
      <c r="I2294" t="s">
        <v>32697</v>
      </c>
      <c r="J2294" t="s">
        <v>34127</v>
      </c>
      <c r="K2294" t="s">
        <v>42295</v>
      </c>
      <c r="M2294" t="s">
        <v>43561</v>
      </c>
      <c r="N2294" t="s">
        <v>46569</v>
      </c>
      <c r="O2294" t="s">
        <v>46570</v>
      </c>
      <c r="P2294">
        <v>0</v>
      </c>
      <c r="Q2294">
        <v>0</v>
      </c>
      <c r="R2294" t="s">
        <v>46571</v>
      </c>
      <c r="S2294" t="s">
        <v>46687</v>
      </c>
      <c r="T2294" t="s">
        <v>48293</v>
      </c>
      <c r="U2294" t="s">
        <v>50672</v>
      </c>
      <c r="V2294" t="s">
        <v>61860</v>
      </c>
      <c r="W2294" t="s">
        <v>43561</v>
      </c>
      <c r="X2294" t="s">
        <v>46572</v>
      </c>
    </row>
    <row r="2295" spans="1:24">
      <c r="A2295">
        <f>HYPERLINK("https://www.philgeps.gov.ph/GEPSNONPILOT/Tender/SplashBidNoticeAbstractUI.aspx?menuIndex=3&amp;refID=7067232&amp;Result=3","7067232")</f>
        <v>0</v>
      </c>
      <c r="B2295" t="s">
        <v>951</v>
      </c>
      <c r="C2295" t="s">
        <v>5756</v>
      </c>
      <c r="D2295" t="s">
        <v>18787</v>
      </c>
      <c r="E2295" t="s">
        <v>21009</v>
      </c>
      <c r="F2295" t="s">
        <v>32664</v>
      </c>
      <c r="G2295" t="s">
        <v>32671</v>
      </c>
      <c r="H2295" t="s">
        <v>12635</v>
      </c>
      <c r="I2295" t="s">
        <v>7429</v>
      </c>
      <c r="J2295" t="s">
        <v>32959</v>
      </c>
      <c r="K2295" t="s">
        <v>42283</v>
      </c>
      <c r="M2295" t="s">
        <v>43557</v>
      </c>
      <c r="N2295" t="s">
        <v>46569</v>
      </c>
      <c r="O2295" t="s">
        <v>46570</v>
      </c>
      <c r="P2295">
        <v>0</v>
      </c>
      <c r="Q2295">
        <v>0</v>
      </c>
      <c r="R2295" t="s">
        <v>46571</v>
      </c>
      <c r="S2295" t="s">
        <v>46687</v>
      </c>
      <c r="T2295" t="s">
        <v>48244</v>
      </c>
      <c r="U2295" t="s">
        <v>50658</v>
      </c>
      <c r="W2295" t="s">
        <v>43557</v>
      </c>
      <c r="X2295" t="s">
        <v>46572</v>
      </c>
    </row>
    <row r="2296" spans="1:24">
      <c r="A2296">
        <f>HYPERLINK("https://www.philgeps.gov.ph/GEPSNONPILOT/Tender/SplashBidNoticeAbstractUI.aspx?menuIndex=3&amp;refID=7067179&amp;Result=3","7067179")</f>
        <v>0</v>
      </c>
      <c r="B2296" t="s">
        <v>956</v>
      </c>
      <c r="C2296" t="s">
        <v>5757</v>
      </c>
      <c r="D2296" t="s">
        <v>18784</v>
      </c>
      <c r="E2296" t="s">
        <v>21010</v>
      </c>
      <c r="F2296" t="s">
        <v>32664</v>
      </c>
      <c r="G2296" t="s">
        <v>32672</v>
      </c>
      <c r="H2296" t="s">
        <v>32682</v>
      </c>
      <c r="I2296" t="s">
        <v>32701</v>
      </c>
      <c r="J2296" t="s">
        <v>34434</v>
      </c>
      <c r="K2296" t="s">
        <v>42348</v>
      </c>
      <c r="M2296" t="s">
        <v>43563</v>
      </c>
      <c r="N2296" t="s">
        <v>46569</v>
      </c>
      <c r="O2296" t="s">
        <v>46570</v>
      </c>
      <c r="P2296">
        <v>0</v>
      </c>
      <c r="Q2296">
        <v>2</v>
      </c>
      <c r="R2296" t="s">
        <v>46571</v>
      </c>
      <c r="S2296" t="s">
        <v>46687</v>
      </c>
      <c r="T2296" t="s">
        <v>48270</v>
      </c>
      <c r="U2296" t="s">
        <v>50673</v>
      </c>
      <c r="W2296" t="s">
        <v>43563</v>
      </c>
      <c r="X2296" t="s">
        <v>46572</v>
      </c>
    </row>
    <row r="2297" spans="1:24">
      <c r="A2297">
        <f>HYPERLINK("https://www.philgeps.gov.ph/GEPSNONPILOT/Tender/SplashBidNoticeAbstractUI.aspx?menuIndex=3&amp;refID=7067229&amp;Result=3","7067229")</f>
        <v>0</v>
      </c>
      <c r="B2297" t="s">
        <v>957</v>
      </c>
      <c r="C2297" t="s">
        <v>5758</v>
      </c>
      <c r="D2297" t="s">
        <v>18828</v>
      </c>
      <c r="E2297" t="s">
        <v>21011</v>
      </c>
      <c r="F2297" t="s">
        <v>32664</v>
      </c>
      <c r="G2297" t="s">
        <v>32672</v>
      </c>
      <c r="H2297" t="s">
        <v>32683</v>
      </c>
      <c r="I2297" t="s">
        <v>10627</v>
      </c>
      <c r="J2297" t="s">
        <v>32865</v>
      </c>
      <c r="K2297" t="s">
        <v>42281</v>
      </c>
      <c r="M2297" t="s">
        <v>43564</v>
      </c>
      <c r="N2297" t="s">
        <v>46569</v>
      </c>
      <c r="O2297" t="s">
        <v>46570</v>
      </c>
      <c r="P2297">
        <v>0</v>
      </c>
      <c r="Q2297">
        <v>0</v>
      </c>
      <c r="R2297" t="s">
        <v>46571</v>
      </c>
      <c r="S2297" t="s">
        <v>46687</v>
      </c>
      <c r="T2297" t="s">
        <v>48333</v>
      </c>
      <c r="U2297" t="s">
        <v>50674</v>
      </c>
      <c r="W2297" t="s">
        <v>63498</v>
      </c>
      <c r="X2297" t="s">
        <v>46572</v>
      </c>
    </row>
    <row r="2298" spans="1:24">
      <c r="A2298">
        <f>HYPERLINK("https://www.philgeps.gov.ph/GEPSNONPILOT/Tender/SplashBidNoticeAbstractUI.aspx?menuIndex=3&amp;refID=7067225&amp;Result=3","7067225")</f>
        <v>0</v>
      </c>
      <c r="B2298" t="s">
        <v>958</v>
      </c>
      <c r="C2298" t="s">
        <v>5759</v>
      </c>
      <c r="D2298" t="s">
        <v>18864</v>
      </c>
      <c r="E2298" t="s">
        <v>21012</v>
      </c>
      <c r="F2298" t="s">
        <v>32664</v>
      </c>
      <c r="G2298" t="s">
        <v>32675</v>
      </c>
      <c r="H2298" t="s">
        <v>12635</v>
      </c>
      <c r="I2298" t="s">
        <v>6628</v>
      </c>
      <c r="J2298" t="s">
        <v>34435</v>
      </c>
      <c r="K2298" t="s">
        <v>42289</v>
      </c>
      <c r="M2298" t="s">
        <v>43565</v>
      </c>
      <c r="N2298" t="s">
        <v>46569</v>
      </c>
      <c r="O2298" t="s">
        <v>46570</v>
      </c>
      <c r="P2298">
        <v>0</v>
      </c>
      <c r="Q2298">
        <v>6</v>
      </c>
      <c r="R2298" t="s">
        <v>46571</v>
      </c>
      <c r="S2298" t="s">
        <v>46687</v>
      </c>
      <c r="T2298" t="s">
        <v>48280</v>
      </c>
      <c r="U2298" t="s">
        <v>50675</v>
      </c>
      <c r="V2298" t="s">
        <v>61861</v>
      </c>
      <c r="W2298" t="s">
        <v>43565</v>
      </c>
      <c r="X2298" t="s">
        <v>46572</v>
      </c>
    </row>
    <row r="2299" spans="1:24">
      <c r="A2299">
        <f>HYPERLINK("https://www.philgeps.gov.ph/GEPSNONPILOT/Tender/SplashBidNoticeAbstractUI.aspx?menuIndex=3&amp;refID=7067203&amp;Result=3","7067203")</f>
        <v>0</v>
      </c>
      <c r="B2299" t="s">
        <v>248</v>
      </c>
      <c r="C2299" t="s">
        <v>5760</v>
      </c>
      <c r="D2299" t="s">
        <v>18801</v>
      </c>
      <c r="E2299" t="s">
        <v>21013</v>
      </c>
      <c r="F2299" t="s">
        <v>32664</v>
      </c>
      <c r="G2299" t="s">
        <v>32674</v>
      </c>
      <c r="H2299" t="s">
        <v>32683</v>
      </c>
      <c r="I2299" t="s">
        <v>10627</v>
      </c>
      <c r="J2299" t="s">
        <v>34436</v>
      </c>
      <c r="K2299" t="s">
        <v>42284</v>
      </c>
      <c r="M2299" t="s">
        <v>42813</v>
      </c>
      <c r="N2299" t="s">
        <v>46569</v>
      </c>
      <c r="O2299" t="s">
        <v>46570</v>
      </c>
      <c r="P2299">
        <v>0</v>
      </c>
      <c r="Q2299">
        <v>0</v>
      </c>
      <c r="R2299" t="s">
        <v>46571</v>
      </c>
      <c r="S2299" t="s">
        <v>46687</v>
      </c>
      <c r="T2299" t="s">
        <v>48293</v>
      </c>
      <c r="U2299" t="s">
        <v>50676</v>
      </c>
      <c r="W2299" t="s">
        <v>42813</v>
      </c>
      <c r="X2299" t="s">
        <v>46572</v>
      </c>
    </row>
    <row r="2300" spans="1:24">
      <c r="A2300">
        <f>HYPERLINK("https://www.philgeps.gov.ph/GEPSNONPILOT/Tender/SplashBidNoticeAbstractUI.aspx?menuIndex=3&amp;refID=7067222&amp;Result=3","7067222")</f>
        <v>0</v>
      </c>
      <c r="B2300" t="s">
        <v>944</v>
      </c>
      <c r="C2300" t="s">
        <v>5741</v>
      </c>
      <c r="D2300" t="s">
        <v>18827</v>
      </c>
      <c r="E2300" t="s">
        <v>19246</v>
      </c>
      <c r="F2300" t="s">
        <v>32664</v>
      </c>
      <c r="G2300" t="s">
        <v>32671</v>
      </c>
      <c r="H2300" t="s">
        <v>12635</v>
      </c>
      <c r="I2300" t="s">
        <v>6118</v>
      </c>
      <c r="J2300" t="s">
        <v>34437</v>
      </c>
      <c r="K2300" t="s">
        <v>42295</v>
      </c>
      <c r="M2300" t="s">
        <v>43550</v>
      </c>
      <c r="N2300" t="s">
        <v>46569</v>
      </c>
      <c r="O2300" t="s">
        <v>46570</v>
      </c>
      <c r="P2300">
        <v>0</v>
      </c>
      <c r="Q2300">
        <v>0</v>
      </c>
      <c r="R2300" t="s">
        <v>46571</v>
      </c>
      <c r="S2300" t="s">
        <v>46687</v>
      </c>
      <c r="T2300" t="s">
        <v>48217</v>
      </c>
      <c r="U2300" t="s">
        <v>50677</v>
      </c>
      <c r="W2300" t="s">
        <v>43550</v>
      </c>
      <c r="X2300" t="s">
        <v>46572</v>
      </c>
    </row>
    <row r="2301" spans="1:24">
      <c r="A2301">
        <f>HYPERLINK("https://www.philgeps.gov.ph/GEPSNONPILOT/Tender/SplashBidNoticeAbstractUI.aspx?menuIndex=3&amp;refID=7067227&amp;Result=3","7067227")</f>
        <v>0</v>
      </c>
      <c r="B2301" t="s">
        <v>959</v>
      </c>
      <c r="C2301" t="s">
        <v>5761</v>
      </c>
      <c r="D2301" t="s">
        <v>18784</v>
      </c>
      <c r="E2301" t="s">
        <v>21014</v>
      </c>
      <c r="F2301" t="s">
        <v>32664</v>
      </c>
      <c r="G2301" t="s">
        <v>32671</v>
      </c>
      <c r="H2301" t="s">
        <v>12635</v>
      </c>
      <c r="I2301" t="s">
        <v>8730</v>
      </c>
      <c r="J2301" t="s">
        <v>33007</v>
      </c>
      <c r="K2301" t="s">
        <v>42283</v>
      </c>
      <c r="M2301" t="s">
        <v>43566</v>
      </c>
      <c r="N2301" t="s">
        <v>46569</v>
      </c>
      <c r="O2301" t="s">
        <v>46570</v>
      </c>
      <c r="P2301">
        <v>0</v>
      </c>
      <c r="Q2301">
        <v>5</v>
      </c>
      <c r="R2301" t="s">
        <v>46571</v>
      </c>
      <c r="S2301" t="s">
        <v>46687</v>
      </c>
      <c r="T2301" t="s">
        <v>48258</v>
      </c>
      <c r="U2301" t="s">
        <v>50678</v>
      </c>
      <c r="V2301" t="s">
        <v>61862</v>
      </c>
      <c r="W2301" t="s">
        <v>43566</v>
      </c>
      <c r="X2301" t="s">
        <v>46572</v>
      </c>
    </row>
    <row r="2302" spans="1:24">
      <c r="A2302">
        <f>HYPERLINK("https://www.philgeps.gov.ph/GEPSNONPILOT/Tender/SplashBidNoticeAbstractUI.aspx?menuIndex=3&amp;refID=7067235&amp;Result=3","7067235")</f>
        <v>0</v>
      </c>
      <c r="B2302" t="s">
        <v>763</v>
      </c>
      <c r="C2302" t="s">
        <v>5762</v>
      </c>
      <c r="E2302" t="s">
        <v>21015</v>
      </c>
      <c r="F2302" t="s">
        <v>32664</v>
      </c>
      <c r="G2302" t="s">
        <v>32673</v>
      </c>
      <c r="H2302" t="s">
        <v>12635</v>
      </c>
      <c r="I2302" t="s">
        <v>32698</v>
      </c>
      <c r="J2302" t="s">
        <v>34438</v>
      </c>
      <c r="K2302" t="s">
        <v>42298</v>
      </c>
      <c r="M2302" t="s">
        <v>43354</v>
      </c>
      <c r="N2302" t="s">
        <v>46569</v>
      </c>
      <c r="O2302" t="s">
        <v>46570</v>
      </c>
      <c r="P2302">
        <v>0</v>
      </c>
      <c r="Q2302">
        <v>0</v>
      </c>
      <c r="R2302" t="s">
        <v>46571</v>
      </c>
      <c r="S2302" t="s">
        <v>46687</v>
      </c>
      <c r="T2302" t="s">
        <v>48270</v>
      </c>
      <c r="U2302" t="s">
        <v>50679</v>
      </c>
      <c r="V2302" t="s">
        <v>61807</v>
      </c>
      <c r="W2302" t="s">
        <v>43354</v>
      </c>
      <c r="X2302" t="s">
        <v>46572</v>
      </c>
    </row>
    <row r="2303" spans="1:24">
      <c r="A2303">
        <f>HYPERLINK("https://www.philgeps.gov.ph/GEPSNONPILOT/Tender/SplashBidNoticeAbstractUI.aspx?menuIndex=3&amp;refID=7067221&amp;Result=3","7067221")</f>
        <v>0</v>
      </c>
      <c r="B2303" t="s">
        <v>952</v>
      </c>
      <c r="C2303" t="s">
        <v>5763</v>
      </c>
      <c r="D2303" t="s">
        <v>18786</v>
      </c>
      <c r="E2303" t="s">
        <v>21016</v>
      </c>
      <c r="F2303" t="s">
        <v>32664</v>
      </c>
      <c r="G2303" t="s">
        <v>32672</v>
      </c>
      <c r="H2303" t="s">
        <v>12635</v>
      </c>
      <c r="I2303" t="s">
        <v>4439</v>
      </c>
      <c r="J2303" t="s">
        <v>34439</v>
      </c>
      <c r="K2303" t="s">
        <v>42281</v>
      </c>
      <c r="M2303" t="s">
        <v>43558</v>
      </c>
      <c r="N2303" t="s">
        <v>46569</v>
      </c>
      <c r="O2303" t="s">
        <v>46570</v>
      </c>
      <c r="P2303">
        <v>0</v>
      </c>
      <c r="Q2303">
        <v>0</v>
      </c>
      <c r="R2303" t="s">
        <v>46571</v>
      </c>
      <c r="S2303" t="s">
        <v>46687</v>
      </c>
      <c r="T2303" t="s">
        <v>48284</v>
      </c>
      <c r="U2303" t="s">
        <v>50680</v>
      </c>
      <c r="V2303" t="s">
        <v>61863</v>
      </c>
      <c r="W2303" t="s">
        <v>43558</v>
      </c>
      <c r="X2303" t="s">
        <v>46572</v>
      </c>
    </row>
    <row r="2304" spans="1:24">
      <c r="A2304">
        <f>HYPERLINK("https://www.philgeps.gov.ph/GEPSNONPILOT/Tender/SplashBidNoticeAbstractUI.aspx?menuIndex=3&amp;refID=7067228&amp;Result=3","7067228")</f>
        <v>0</v>
      </c>
      <c r="B2304" t="s">
        <v>944</v>
      </c>
      <c r="C2304" t="s">
        <v>5764</v>
      </c>
      <c r="D2304" t="s">
        <v>18827</v>
      </c>
      <c r="E2304" t="s">
        <v>19259</v>
      </c>
      <c r="F2304" t="s">
        <v>32664</v>
      </c>
      <c r="G2304" t="s">
        <v>32671</v>
      </c>
      <c r="H2304" t="s">
        <v>12635</v>
      </c>
      <c r="I2304" t="s">
        <v>4439</v>
      </c>
      <c r="J2304" t="s">
        <v>33111</v>
      </c>
      <c r="K2304" t="s">
        <v>42295</v>
      </c>
      <c r="M2304" t="s">
        <v>43550</v>
      </c>
      <c r="N2304" t="s">
        <v>46569</v>
      </c>
      <c r="O2304" t="s">
        <v>46570</v>
      </c>
      <c r="P2304">
        <v>0</v>
      </c>
      <c r="Q2304">
        <v>0</v>
      </c>
      <c r="R2304" t="s">
        <v>46571</v>
      </c>
      <c r="S2304" t="s">
        <v>46687</v>
      </c>
      <c r="T2304" t="s">
        <v>48217</v>
      </c>
      <c r="U2304" t="s">
        <v>50681</v>
      </c>
      <c r="W2304" t="s">
        <v>43550</v>
      </c>
      <c r="X2304" t="s">
        <v>46572</v>
      </c>
    </row>
    <row r="2305" spans="1:24">
      <c r="A2305">
        <f>HYPERLINK("https://www.philgeps.gov.ph/GEPSNONPILOT/Tender/SplashBidNoticeAbstractUI.aspx?menuIndex=3&amp;refID=7067236&amp;Result=3","7067236")</f>
        <v>0</v>
      </c>
      <c r="B2305" t="s">
        <v>944</v>
      </c>
      <c r="C2305" t="s">
        <v>5765</v>
      </c>
      <c r="D2305" t="s">
        <v>18827</v>
      </c>
      <c r="E2305" t="s">
        <v>19299</v>
      </c>
      <c r="F2305" t="s">
        <v>32664</v>
      </c>
      <c r="G2305" t="s">
        <v>32671</v>
      </c>
      <c r="H2305" t="s">
        <v>12635</v>
      </c>
      <c r="I2305" t="s">
        <v>6223</v>
      </c>
      <c r="J2305" t="s">
        <v>33117</v>
      </c>
      <c r="K2305" t="s">
        <v>42295</v>
      </c>
      <c r="M2305" t="s">
        <v>43550</v>
      </c>
      <c r="N2305" t="s">
        <v>46569</v>
      </c>
      <c r="O2305" t="s">
        <v>46570</v>
      </c>
      <c r="P2305">
        <v>0</v>
      </c>
      <c r="Q2305">
        <v>0</v>
      </c>
      <c r="R2305" t="s">
        <v>46571</v>
      </c>
      <c r="S2305" t="s">
        <v>46687</v>
      </c>
      <c r="T2305" t="s">
        <v>48217</v>
      </c>
      <c r="U2305" t="s">
        <v>50682</v>
      </c>
      <c r="W2305" t="s">
        <v>43550</v>
      </c>
      <c r="X2305" t="s">
        <v>46572</v>
      </c>
    </row>
    <row r="2306" spans="1:24">
      <c r="A2306">
        <f>HYPERLINK("https://www.philgeps.gov.ph/GEPSNONPILOT/Tender/SplashBidNoticeAbstractUI.aspx?menuIndex=3&amp;refID=7067220&amp;Result=3","7067220")</f>
        <v>0</v>
      </c>
      <c r="B2306" t="s">
        <v>957</v>
      </c>
      <c r="C2306" t="s">
        <v>5766</v>
      </c>
      <c r="D2306" t="s">
        <v>18828</v>
      </c>
      <c r="E2306" t="s">
        <v>21017</v>
      </c>
      <c r="F2306" t="s">
        <v>32664</v>
      </c>
      <c r="G2306" t="s">
        <v>32672</v>
      </c>
      <c r="H2306" t="s">
        <v>32683</v>
      </c>
      <c r="I2306" t="s">
        <v>10627</v>
      </c>
      <c r="J2306" t="s">
        <v>33150</v>
      </c>
      <c r="K2306" t="s">
        <v>42311</v>
      </c>
      <c r="M2306" t="s">
        <v>43564</v>
      </c>
      <c r="N2306" t="s">
        <v>46569</v>
      </c>
      <c r="O2306" t="s">
        <v>46570</v>
      </c>
      <c r="P2306">
        <v>0</v>
      </c>
      <c r="Q2306">
        <v>0</v>
      </c>
      <c r="R2306" t="s">
        <v>46571</v>
      </c>
      <c r="S2306" t="s">
        <v>46687</v>
      </c>
      <c r="T2306" t="s">
        <v>48419</v>
      </c>
      <c r="U2306" t="s">
        <v>50683</v>
      </c>
      <c r="W2306" t="s">
        <v>63498</v>
      </c>
      <c r="X2306" t="s">
        <v>46572</v>
      </c>
    </row>
    <row r="2307" spans="1:24">
      <c r="A2307">
        <f>HYPERLINK("https://www.philgeps.gov.ph/GEPSNONPILOT/Tender/SplashBidNoticeAbstractUI.aspx?menuIndex=3&amp;refID=7067219&amp;Result=3","7067219")</f>
        <v>0</v>
      </c>
      <c r="B2307" t="s">
        <v>937</v>
      </c>
      <c r="C2307" t="s">
        <v>5767</v>
      </c>
      <c r="D2307" t="s">
        <v>18791</v>
      </c>
      <c r="E2307" t="s">
        <v>21018</v>
      </c>
      <c r="F2307" t="s">
        <v>32664</v>
      </c>
      <c r="G2307" t="s">
        <v>32671</v>
      </c>
      <c r="H2307" t="s">
        <v>12635</v>
      </c>
      <c r="I2307" t="s">
        <v>32699</v>
      </c>
      <c r="J2307" t="s">
        <v>34440</v>
      </c>
      <c r="K2307" t="s">
        <v>42295</v>
      </c>
      <c r="M2307" t="s">
        <v>43561</v>
      </c>
      <c r="N2307" t="s">
        <v>46569</v>
      </c>
      <c r="O2307" t="s">
        <v>46570</v>
      </c>
      <c r="P2307">
        <v>0</v>
      </c>
      <c r="Q2307">
        <v>0</v>
      </c>
      <c r="R2307" t="s">
        <v>46571</v>
      </c>
      <c r="S2307" t="s">
        <v>46687</v>
      </c>
      <c r="T2307" t="s">
        <v>48282</v>
      </c>
      <c r="U2307" t="s">
        <v>50684</v>
      </c>
      <c r="V2307" t="s">
        <v>61860</v>
      </c>
      <c r="W2307" t="s">
        <v>43561</v>
      </c>
      <c r="X2307" t="s">
        <v>46572</v>
      </c>
    </row>
    <row r="2308" spans="1:24">
      <c r="A2308">
        <f>HYPERLINK("https://www.philgeps.gov.ph/GEPSNONPILOT/Tender/SplashBidNoticeAbstractUI.aspx?menuIndex=3&amp;refID=7067258&amp;Result=3","7067258")</f>
        <v>0</v>
      </c>
      <c r="B2308" t="s">
        <v>960</v>
      </c>
      <c r="C2308" t="s">
        <v>5246</v>
      </c>
      <c r="D2308" t="s">
        <v>18799</v>
      </c>
      <c r="E2308" t="s">
        <v>21019</v>
      </c>
      <c r="F2308" t="s">
        <v>32664</v>
      </c>
      <c r="G2308" t="s">
        <v>32672</v>
      </c>
      <c r="H2308" t="s">
        <v>12635</v>
      </c>
      <c r="I2308" t="s">
        <v>32706</v>
      </c>
      <c r="J2308" t="s">
        <v>34441</v>
      </c>
      <c r="K2308" t="s">
        <v>42281</v>
      </c>
      <c r="M2308" t="s">
        <v>43567</v>
      </c>
      <c r="N2308" t="s">
        <v>46569</v>
      </c>
      <c r="O2308" t="s">
        <v>46570</v>
      </c>
      <c r="P2308">
        <v>0</v>
      </c>
      <c r="Q2308">
        <v>0</v>
      </c>
      <c r="R2308" t="s">
        <v>46571</v>
      </c>
      <c r="S2308" t="s">
        <v>46687</v>
      </c>
      <c r="T2308" t="s">
        <v>48257</v>
      </c>
      <c r="U2308" t="s">
        <v>50685</v>
      </c>
      <c r="W2308" t="s">
        <v>43567</v>
      </c>
      <c r="X2308" t="s">
        <v>46572</v>
      </c>
    </row>
    <row r="2309" spans="1:24">
      <c r="A2309">
        <f>HYPERLINK("https://www.philgeps.gov.ph/GEPSNONPILOT/Tender/SplashBidNoticeAbstractUI.aspx?menuIndex=3&amp;refID=7067223&amp;Result=3","7067223")</f>
        <v>0</v>
      </c>
      <c r="B2309" t="s">
        <v>878</v>
      </c>
      <c r="C2309" t="s">
        <v>5768</v>
      </c>
      <c r="E2309" t="s">
        <v>21020</v>
      </c>
      <c r="F2309" t="s">
        <v>32664</v>
      </c>
      <c r="G2309" t="s">
        <v>32671</v>
      </c>
      <c r="H2309" t="s">
        <v>12635</v>
      </c>
      <c r="I2309" t="s">
        <v>32716</v>
      </c>
      <c r="J2309" t="s">
        <v>34442</v>
      </c>
      <c r="K2309" t="s">
        <v>42283</v>
      </c>
      <c r="M2309" t="s">
        <v>43568</v>
      </c>
      <c r="N2309" t="s">
        <v>46569</v>
      </c>
      <c r="O2309" t="s">
        <v>46570</v>
      </c>
      <c r="P2309">
        <v>0</v>
      </c>
      <c r="Q2309">
        <v>4</v>
      </c>
      <c r="R2309" t="s">
        <v>46571</v>
      </c>
      <c r="S2309" t="s">
        <v>46687</v>
      </c>
      <c r="T2309" t="s">
        <v>48383</v>
      </c>
      <c r="U2309" t="s">
        <v>50686</v>
      </c>
      <c r="W2309" t="s">
        <v>63492</v>
      </c>
      <c r="X2309" t="s">
        <v>46572</v>
      </c>
    </row>
    <row r="2310" spans="1:24">
      <c r="A2310">
        <f>HYPERLINK("https://www.philgeps.gov.ph/GEPSNONPILOT/Tender/SplashBidNoticeAbstractUI.aspx?menuIndex=3&amp;refID=7067262&amp;Result=3","7067262")</f>
        <v>0</v>
      </c>
      <c r="B2310" t="s">
        <v>961</v>
      </c>
      <c r="C2310" t="s">
        <v>5769</v>
      </c>
      <c r="D2310" t="s">
        <v>18858</v>
      </c>
      <c r="E2310" t="s">
        <v>21021</v>
      </c>
      <c r="F2310" t="s">
        <v>32664</v>
      </c>
      <c r="G2310" t="s">
        <v>32672</v>
      </c>
      <c r="H2310" t="s">
        <v>12635</v>
      </c>
      <c r="I2310" t="s">
        <v>32725</v>
      </c>
      <c r="J2310" t="s">
        <v>34443</v>
      </c>
      <c r="K2310" t="s">
        <v>42281</v>
      </c>
      <c r="M2310" t="s">
        <v>43569</v>
      </c>
      <c r="N2310" t="s">
        <v>46569</v>
      </c>
      <c r="O2310" t="s">
        <v>46570</v>
      </c>
      <c r="P2310">
        <v>0</v>
      </c>
      <c r="Q2310">
        <v>1</v>
      </c>
      <c r="R2310" t="s">
        <v>46571</v>
      </c>
      <c r="S2310" t="s">
        <v>46687</v>
      </c>
      <c r="T2310" t="s">
        <v>48274</v>
      </c>
      <c r="U2310" t="s">
        <v>50687</v>
      </c>
      <c r="W2310" t="s">
        <v>43569</v>
      </c>
      <c r="X2310" t="s">
        <v>46572</v>
      </c>
    </row>
    <row r="2311" spans="1:24">
      <c r="A2311">
        <f>HYPERLINK("https://www.philgeps.gov.ph/GEPSNONPILOT/Tender/SplashBidNoticeAbstractUI.aspx?menuIndex=3&amp;refID=7067200&amp;Result=3","7067200")</f>
        <v>0</v>
      </c>
      <c r="B2311" t="s">
        <v>962</v>
      </c>
      <c r="C2311" t="s">
        <v>5770</v>
      </c>
      <c r="D2311" t="s">
        <v>18784</v>
      </c>
      <c r="E2311" t="s">
        <v>21022</v>
      </c>
      <c r="F2311" t="s">
        <v>32664</v>
      </c>
      <c r="G2311" t="s">
        <v>32671</v>
      </c>
      <c r="H2311" t="s">
        <v>32682</v>
      </c>
      <c r="I2311" t="s">
        <v>5501</v>
      </c>
      <c r="J2311" t="s">
        <v>32976</v>
      </c>
      <c r="K2311" t="s">
        <v>42281</v>
      </c>
      <c r="M2311" t="s">
        <v>43570</v>
      </c>
      <c r="N2311" t="s">
        <v>46569</v>
      </c>
      <c r="O2311" t="s">
        <v>46570</v>
      </c>
      <c r="P2311">
        <v>0</v>
      </c>
      <c r="Q2311">
        <v>5</v>
      </c>
      <c r="R2311" t="s">
        <v>46571</v>
      </c>
      <c r="S2311" t="s">
        <v>46687</v>
      </c>
      <c r="T2311" t="s">
        <v>48217</v>
      </c>
      <c r="U2311" t="s">
        <v>50688</v>
      </c>
      <c r="W2311" t="s">
        <v>43570</v>
      </c>
      <c r="X2311" t="s">
        <v>46572</v>
      </c>
    </row>
    <row r="2312" spans="1:24">
      <c r="A2312">
        <f>HYPERLINK("https://www.philgeps.gov.ph/GEPSNONPILOT/Tender/SplashBidNoticeAbstractUI.aspx?menuIndex=3&amp;refID=7067261&amp;Result=3","7067261")</f>
        <v>0</v>
      </c>
      <c r="B2312" t="s">
        <v>963</v>
      </c>
      <c r="C2312" t="s">
        <v>5771</v>
      </c>
      <c r="D2312" t="s">
        <v>18782</v>
      </c>
      <c r="E2312" t="s">
        <v>21023</v>
      </c>
      <c r="F2312" t="s">
        <v>32664</v>
      </c>
      <c r="G2312" t="s">
        <v>32675</v>
      </c>
      <c r="H2312" t="s">
        <v>12635</v>
      </c>
      <c r="I2312" t="s">
        <v>8730</v>
      </c>
      <c r="J2312" t="s">
        <v>33106</v>
      </c>
      <c r="K2312" t="s">
        <v>42332</v>
      </c>
      <c r="M2312" t="s">
        <v>43571</v>
      </c>
      <c r="N2312" t="s">
        <v>46569</v>
      </c>
      <c r="O2312" t="s">
        <v>46570</v>
      </c>
      <c r="P2312">
        <v>0</v>
      </c>
      <c r="Q2312">
        <v>0</v>
      </c>
      <c r="R2312" t="s">
        <v>46571</v>
      </c>
      <c r="S2312" t="s">
        <v>46687</v>
      </c>
      <c r="T2312" t="s">
        <v>48219</v>
      </c>
      <c r="U2312" t="s">
        <v>50689</v>
      </c>
      <c r="W2312" t="s">
        <v>43571</v>
      </c>
      <c r="X2312" t="s">
        <v>46572</v>
      </c>
    </row>
    <row r="2313" spans="1:24">
      <c r="A2313">
        <f>HYPERLINK("https://www.philgeps.gov.ph/GEPSNONPILOT/Tender/SplashBidNoticeAbstractUI.aspx?menuIndex=3&amp;refID=7067259&amp;Result=3","7067259")</f>
        <v>0</v>
      </c>
      <c r="B2313" t="s">
        <v>964</v>
      </c>
      <c r="C2313" t="s">
        <v>5772</v>
      </c>
      <c r="D2313" t="s">
        <v>18786</v>
      </c>
      <c r="E2313" t="s">
        <v>21024</v>
      </c>
      <c r="F2313" t="s">
        <v>32664</v>
      </c>
      <c r="G2313" t="s">
        <v>32671</v>
      </c>
      <c r="H2313" t="s">
        <v>12635</v>
      </c>
      <c r="I2313" t="s">
        <v>6118</v>
      </c>
      <c r="J2313" t="s">
        <v>33250</v>
      </c>
      <c r="K2313" t="s">
        <v>42289</v>
      </c>
      <c r="M2313" t="s">
        <v>43572</v>
      </c>
      <c r="N2313" t="s">
        <v>46569</v>
      </c>
      <c r="O2313" t="s">
        <v>46570</v>
      </c>
      <c r="P2313">
        <v>0</v>
      </c>
      <c r="Q2313">
        <v>0</v>
      </c>
      <c r="R2313" t="s">
        <v>46571</v>
      </c>
      <c r="S2313" t="s">
        <v>46687</v>
      </c>
      <c r="T2313" t="s">
        <v>48298</v>
      </c>
      <c r="U2313" t="s">
        <v>50690</v>
      </c>
      <c r="W2313" t="s">
        <v>63499</v>
      </c>
      <c r="X2313" t="s">
        <v>46572</v>
      </c>
    </row>
    <row r="2314" spans="1:24">
      <c r="A2314">
        <f>HYPERLINK("https://www.philgeps.gov.ph/GEPSNONPILOT/Tender/SplashBidNoticeAbstractUI.aspx?menuIndex=3&amp;refID=7067205&amp;Result=3","7067205")</f>
        <v>0</v>
      </c>
      <c r="B2314" t="s">
        <v>944</v>
      </c>
      <c r="C2314" t="s">
        <v>5773</v>
      </c>
      <c r="D2314" t="s">
        <v>18827</v>
      </c>
      <c r="E2314" t="s">
        <v>19312</v>
      </c>
      <c r="F2314" t="s">
        <v>32664</v>
      </c>
      <c r="G2314" t="s">
        <v>32671</v>
      </c>
      <c r="H2314" t="s">
        <v>12635</v>
      </c>
      <c r="I2314" t="s">
        <v>32712</v>
      </c>
      <c r="J2314" t="s">
        <v>34444</v>
      </c>
      <c r="K2314" t="s">
        <v>42309</v>
      </c>
      <c r="M2314" t="s">
        <v>43550</v>
      </c>
      <c r="N2314" t="s">
        <v>46569</v>
      </c>
      <c r="O2314" t="s">
        <v>46570</v>
      </c>
      <c r="P2314">
        <v>0</v>
      </c>
      <c r="Q2314">
        <v>0</v>
      </c>
      <c r="R2314" t="s">
        <v>46571</v>
      </c>
      <c r="S2314" t="s">
        <v>46687</v>
      </c>
      <c r="T2314" t="s">
        <v>48217</v>
      </c>
      <c r="U2314" t="s">
        <v>50691</v>
      </c>
      <c r="W2314" t="s">
        <v>43550</v>
      </c>
      <c r="X2314" t="s">
        <v>46572</v>
      </c>
    </row>
    <row r="2315" spans="1:24">
      <c r="A2315">
        <f>HYPERLINK("https://www.philgeps.gov.ph/GEPSNONPILOT/Tender/SplashBidNoticeAbstractUI.aspx?menuIndex=3&amp;refID=7067255&amp;Result=3","7067255")</f>
        <v>0</v>
      </c>
      <c r="B2315" t="s">
        <v>964</v>
      </c>
      <c r="C2315" t="s">
        <v>5774</v>
      </c>
      <c r="D2315" t="s">
        <v>18786</v>
      </c>
      <c r="E2315" t="s">
        <v>21025</v>
      </c>
      <c r="F2315" t="s">
        <v>32664</v>
      </c>
      <c r="G2315" t="s">
        <v>32671</v>
      </c>
      <c r="H2315" t="s">
        <v>12635</v>
      </c>
      <c r="I2315" t="s">
        <v>8797</v>
      </c>
      <c r="J2315" t="s">
        <v>34445</v>
      </c>
      <c r="K2315" t="s">
        <v>42289</v>
      </c>
      <c r="M2315" t="s">
        <v>43572</v>
      </c>
      <c r="N2315" t="s">
        <v>46569</v>
      </c>
      <c r="O2315" t="s">
        <v>46570</v>
      </c>
      <c r="P2315">
        <v>0</v>
      </c>
      <c r="Q2315">
        <v>0</v>
      </c>
      <c r="R2315" t="s">
        <v>46571</v>
      </c>
      <c r="S2315" t="s">
        <v>46687</v>
      </c>
      <c r="T2315" t="s">
        <v>48298</v>
      </c>
      <c r="U2315" t="s">
        <v>50692</v>
      </c>
      <c r="W2315" t="s">
        <v>63499</v>
      </c>
      <c r="X2315" t="s">
        <v>46572</v>
      </c>
    </row>
    <row r="2316" spans="1:24">
      <c r="A2316">
        <f>HYPERLINK("https://www.philgeps.gov.ph/GEPSNONPILOT/Tender/SplashBidNoticeAbstractUI.aspx?menuIndex=3&amp;refID=7067260&amp;Result=3","7067260")</f>
        <v>0</v>
      </c>
      <c r="B2316" t="s">
        <v>964</v>
      </c>
      <c r="C2316" t="s">
        <v>5775</v>
      </c>
      <c r="D2316" t="s">
        <v>18786</v>
      </c>
      <c r="E2316" t="s">
        <v>21026</v>
      </c>
      <c r="F2316" t="s">
        <v>32664</v>
      </c>
      <c r="G2316" t="s">
        <v>32671</v>
      </c>
      <c r="H2316" t="s">
        <v>12635</v>
      </c>
      <c r="I2316" t="s">
        <v>6118</v>
      </c>
      <c r="J2316" t="s">
        <v>32853</v>
      </c>
      <c r="K2316" t="s">
        <v>42289</v>
      </c>
      <c r="M2316" t="s">
        <v>43572</v>
      </c>
      <c r="N2316" t="s">
        <v>46569</v>
      </c>
      <c r="O2316" t="s">
        <v>46570</v>
      </c>
      <c r="P2316">
        <v>0</v>
      </c>
      <c r="Q2316">
        <v>0</v>
      </c>
      <c r="R2316" t="s">
        <v>46571</v>
      </c>
      <c r="S2316" t="s">
        <v>46687</v>
      </c>
      <c r="T2316" t="s">
        <v>48298</v>
      </c>
      <c r="U2316" t="s">
        <v>50693</v>
      </c>
      <c r="W2316" t="s">
        <v>63499</v>
      </c>
      <c r="X2316" t="s">
        <v>46572</v>
      </c>
    </row>
    <row r="2317" spans="1:24">
      <c r="A2317">
        <f>HYPERLINK("https://www.philgeps.gov.ph/GEPSNONPILOT/Tender/SplashBidNoticeAbstractUI.aspx?menuIndex=3&amp;refID=7067257&amp;Result=3","7067257")</f>
        <v>0</v>
      </c>
      <c r="B2317" t="s">
        <v>965</v>
      </c>
      <c r="C2317" t="s">
        <v>5776</v>
      </c>
      <c r="D2317" t="s">
        <v>18823</v>
      </c>
      <c r="E2317" t="s">
        <v>21027</v>
      </c>
      <c r="F2317" t="s">
        <v>32664</v>
      </c>
      <c r="G2317" t="s">
        <v>32672</v>
      </c>
      <c r="H2317" t="s">
        <v>32683</v>
      </c>
      <c r="I2317" t="s">
        <v>10627</v>
      </c>
      <c r="J2317" t="s">
        <v>34446</v>
      </c>
      <c r="K2317" t="s">
        <v>42381</v>
      </c>
      <c r="M2317" t="s">
        <v>43573</v>
      </c>
      <c r="N2317" t="s">
        <v>46569</v>
      </c>
      <c r="O2317" t="s">
        <v>46570</v>
      </c>
      <c r="P2317">
        <v>0</v>
      </c>
      <c r="Q2317">
        <v>1</v>
      </c>
      <c r="R2317" t="s">
        <v>46571</v>
      </c>
      <c r="S2317" t="s">
        <v>46687</v>
      </c>
      <c r="T2317" t="s">
        <v>48358</v>
      </c>
      <c r="U2317" t="s">
        <v>50694</v>
      </c>
      <c r="V2317" t="s">
        <v>61864</v>
      </c>
      <c r="W2317" t="s">
        <v>43573</v>
      </c>
      <c r="X2317" t="s">
        <v>46572</v>
      </c>
    </row>
    <row r="2318" spans="1:24">
      <c r="A2318">
        <f>HYPERLINK("https://www.philgeps.gov.ph/GEPSNONPILOT/Tender/SplashBidNoticeAbstractUI.aspx?menuIndex=3&amp;refID=7067254&amp;Result=3","7067254")</f>
        <v>0</v>
      </c>
      <c r="B2318" t="s">
        <v>951</v>
      </c>
      <c r="C2318" t="s">
        <v>5777</v>
      </c>
      <c r="D2318" t="s">
        <v>18787</v>
      </c>
      <c r="E2318" t="s">
        <v>21028</v>
      </c>
      <c r="F2318" t="s">
        <v>32664</v>
      </c>
      <c r="G2318" t="s">
        <v>32675</v>
      </c>
      <c r="H2318" t="s">
        <v>12635</v>
      </c>
      <c r="I2318" t="s">
        <v>6628</v>
      </c>
      <c r="J2318" t="s">
        <v>32898</v>
      </c>
      <c r="K2318" t="s">
        <v>42283</v>
      </c>
      <c r="M2318" t="s">
        <v>43557</v>
      </c>
      <c r="N2318" t="s">
        <v>46569</v>
      </c>
      <c r="O2318" t="s">
        <v>46570</v>
      </c>
      <c r="P2318">
        <v>0</v>
      </c>
      <c r="Q2318">
        <v>1</v>
      </c>
      <c r="R2318" t="s">
        <v>46571</v>
      </c>
      <c r="S2318" t="s">
        <v>46687</v>
      </c>
      <c r="T2318" t="s">
        <v>48244</v>
      </c>
      <c r="U2318" t="s">
        <v>50658</v>
      </c>
      <c r="W2318" t="s">
        <v>43557</v>
      </c>
      <c r="X2318" t="s">
        <v>46572</v>
      </c>
    </row>
    <row r="2319" spans="1:24">
      <c r="A2319">
        <f>HYPERLINK("https://www.philgeps.gov.ph/GEPSNONPILOT/Tender/SplashBidNoticeAbstractUI.aspx?menuIndex=3&amp;refID=7067249&amp;Result=3","7067249")</f>
        <v>0</v>
      </c>
      <c r="B2319" t="s">
        <v>951</v>
      </c>
      <c r="C2319" t="s">
        <v>5778</v>
      </c>
      <c r="D2319" t="s">
        <v>18787</v>
      </c>
      <c r="E2319" t="s">
        <v>21029</v>
      </c>
      <c r="F2319" t="s">
        <v>32664</v>
      </c>
      <c r="G2319" t="s">
        <v>32671</v>
      </c>
      <c r="H2319" t="s">
        <v>12635</v>
      </c>
      <c r="I2319" t="s">
        <v>6628</v>
      </c>
      <c r="J2319" t="s">
        <v>33578</v>
      </c>
      <c r="K2319" t="s">
        <v>42283</v>
      </c>
      <c r="M2319" t="s">
        <v>43557</v>
      </c>
      <c r="N2319" t="s">
        <v>46569</v>
      </c>
      <c r="O2319" t="s">
        <v>46570</v>
      </c>
      <c r="P2319">
        <v>0</v>
      </c>
      <c r="Q2319">
        <v>0</v>
      </c>
      <c r="R2319" t="s">
        <v>46571</v>
      </c>
      <c r="S2319" t="s">
        <v>46687</v>
      </c>
      <c r="T2319" t="s">
        <v>48244</v>
      </c>
      <c r="U2319" t="s">
        <v>50658</v>
      </c>
      <c r="W2319" t="s">
        <v>43557</v>
      </c>
      <c r="X2319" t="s">
        <v>46572</v>
      </c>
    </row>
    <row r="2320" spans="1:24">
      <c r="A2320">
        <f>HYPERLINK("https://www.philgeps.gov.ph/GEPSNONPILOT/Tender/SplashBidNoticeAbstractUI.aspx?menuIndex=3&amp;refID=7067256&amp;Result=3","7067256")</f>
        <v>0</v>
      </c>
      <c r="B2320" t="s">
        <v>964</v>
      </c>
      <c r="C2320" t="s">
        <v>5779</v>
      </c>
      <c r="D2320" t="s">
        <v>18786</v>
      </c>
      <c r="E2320" t="s">
        <v>21030</v>
      </c>
      <c r="F2320" t="s">
        <v>32664</v>
      </c>
      <c r="G2320" t="s">
        <v>32671</v>
      </c>
      <c r="H2320" t="s">
        <v>12635</v>
      </c>
      <c r="I2320" t="s">
        <v>9486</v>
      </c>
      <c r="J2320" t="s">
        <v>34447</v>
      </c>
      <c r="K2320" t="s">
        <v>42289</v>
      </c>
      <c r="M2320" t="s">
        <v>43572</v>
      </c>
      <c r="N2320" t="s">
        <v>46569</v>
      </c>
      <c r="O2320" t="s">
        <v>46570</v>
      </c>
      <c r="P2320">
        <v>0</v>
      </c>
      <c r="Q2320">
        <v>1</v>
      </c>
      <c r="R2320" t="s">
        <v>46571</v>
      </c>
      <c r="S2320" t="s">
        <v>46687</v>
      </c>
      <c r="T2320" t="s">
        <v>48298</v>
      </c>
      <c r="U2320" t="s">
        <v>50695</v>
      </c>
      <c r="W2320" t="s">
        <v>63499</v>
      </c>
      <c r="X2320" t="s">
        <v>46572</v>
      </c>
    </row>
    <row r="2321" spans="1:24">
      <c r="A2321">
        <f>HYPERLINK("https://www.philgeps.gov.ph/GEPSNONPILOT/Tender/SplashBidNoticeAbstractUI.aspx?menuIndex=3&amp;refID=7067248&amp;Result=3","7067248")</f>
        <v>0</v>
      </c>
      <c r="B2321" t="s">
        <v>116</v>
      </c>
      <c r="C2321" t="s">
        <v>5780</v>
      </c>
      <c r="D2321" t="s">
        <v>18805</v>
      </c>
      <c r="E2321" t="s">
        <v>19713</v>
      </c>
      <c r="F2321" t="s">
        <v>32664</v>
      </c>
      <c r="G2321" t="s">
        <v>32672</v>
      </c>
      <c r="H2321" t="s">
        <v>12635</v>
      </c>
      <c r="I2321" t="s">
        <v>32692</v>
      </c>
      <c r="J2321" t="s">
        <v>34448</v>
      </c>
      <c r="K2321" t="s">
        <v>42306</v>
      </c>
      <c r="M2321" t="s">
        <v>42680</v>
      </c>
      <c r="N2321" t="s">
        <v>46569</v>
      </c>
      <c r="O2321" t="s">
        <v>46570</v>
      </c>
      <c r="P2321">
        <v>0</v>
      </c>
      <c r="Q2321">
        <v>0</v>
      </c>
      <c r="R2321" t="s">
        <v>46571</v>
      </c>
      <c r="S2321" t="s">
        <v>46687</v>
      </c>
      <c r="T2321" t="s">
        <v>48303</v>
      </c>
      <c r="U2321" t="s">
        <v>49404</v>
      </c>
      <c r="W2321" t="s">
        <v>42680</v>
      </c>
      <c r="X2321" t="s">
        <v>46572</v>
      </c>
    </row>
    <row r="2322" spans="1:24">
      <c r="A2322">
        <f>HYPERLINK("https://www.philgeps.gov.ph/GEPSNONPILOT/Tender/SplashBidNoticeAbstractUI.aspx?menuIndex=3&amp;refID=7067245&amp;Result=3","7067245")</f>
        <v>0</v>
      </c>
      <c r="B2322" t="s">
        <v>944</v>
      </c>
      <c r="C2322" t="s">
        <v>5781</v>
      </c>
      <c r="D2322" t="s">
        <v>18827</v>
      </c>
      <c r="E2322" t="s">
        <v>19282</v>
      </c>
      <c r="F2322" t="s">
        <v>32664</v>
      </c>
      <c r="G2322" t="s">
        <v>32671</v>
      </c>
      <c r="H2322" t="s">
        <v>12635</v>
      </c>
      <c r="I2322" t="s">
        <v>6223</v>
      </c>
      <c r="J2322" t="s">
        <v>33299</v>
      </c>
      <c r="K2322" t="s">
        <v>42309</v>
      </c>
      <c r="M2322" t="s">
        <v>43550</v>
      </c>
      <c r="N2322" t="s">
        <v>46569</v>
      </c>
      <c r="O2322" t="s">
        <v>46570</v>
      </c>
      <c r="P2322">
        <v>0</v>
      </c>
      <c r="Q2322">
        <v>0</v>
      </c>
      <c r="R2322" t="s">
        <v>46571</v>
      </c>
      <c r="S2322" t="s">
        <v>46687</v>
      </c>
      <c r="T2322" t="s">
        <v>48217</v>
      </c>
      <c r="U2322" t="s">
        <v>50696</v>
      </c>
      <c r="W2322" t="s">
        <v>43550</v>
      </c>
      <c r="X2322" t="s">
        <v>46572</v>
      </c>
    </row>
    <row r="2323" spans="1:24">
      <c r="A2323">
        <f>HYPERLINK("https://www.philgeps.gov.ph/GEPSNONPILOT/Tender/SplashBidNoticeAbstractUI.aspx?menuIndex=3&amp;refID=7067244&amp;Result=3","7067244")</f>
        <v>0</v>
      </c>
      <c r="B2323" t="s">
        <v>966</v>
      </c>
      <c r="C2323" t="s">
        <v>5782</v>
      </c>
      <c r="D2323" t="s">
        <v>18804</v>
      </c>
      <c r="E2323" t="s">
        <v>19533</v>
      </c>
      <c r="F2323" t="s">
        <v>32664</v>
      </c>
      <c r="G2323" t="s">
        <v>32672</v>
      </c>
      <c r="H2323" t="s">
        <v>32683</v>
      </c>
      <c r="I2323" t="s">
        <v>10627</v>
      </c>
      <c r="J2323" t="s">
        <v>33304</v>
      </c>
      <c r="K2323" t="s">
        <v>42289</v>
      </c>
      <c r="M2323" t="s">
        <v>43574</v>
      </c>
      <c r="N2323" t="s">
        <v>46569</v>
      </c>
      <c r="O2323" t="s">
        <v>46570</v>
      </c>
      <c r="P2323">
        <v>0</v>
      </c>
      <c r="Q2323">
        <v>0</v>
      </c>
      <c r="R2323" t="s">
        <v>46571</v>
      </c>
      <c r="S2323" t="s">
        <v>46687</v>
      </c>
      <c r="T2323" t="s">
        <v>48394</v>
      </c>
      <c r="U2323" t="s">
        <v>50697</v>
      </c>
      <c r="W2323" t="s">
        <v>43574</v>
      </c>
      <c r="X2323" t="s">
        <v>46572</v>
      </c>
    </row>
    <row r="2324" spans="1:24">
      <c r="A2324">
        <f>HYPERLINK("https://www.philgeps.gov.ph/GEPSNONPILOT/Tender/SplashBidNoticeAbstractUI.aspx?menuIndex=3&amp;refID=7067252&amp;Result=3","7067252")</f>
        <v>0</v>
      </c>
      <c r="B2324" t="s">
        <v>964</v>
      </c>
      <c r="C2324" t="s">
        <v>5783</v>
      </c>
      <c r="D2324" t="s">
        <v>18786</v>
      </c>
      <c r="E2324" t="s">
        <v>21031</v>
      </c>
      <c r="F2324" t="s">
        <v>32664</v>
      </c>
      <c r="G2324" t="s">
        <v>32671</v>
      </c>
      <c r="H2324" t="s">
        <v>12635</v>
      </c>
      <c r="I2324" t="s">
        <v>32767</v>
      </c>
      <c r="J2324" t="s">
        <v>33121</v>
      </c>
      <c r="K2324" t="s">
        <v>42281</v>
      </c>
      <c r="M2324" t="s">
        <v>43572</v>
      </c>
      <c r="N2324" t="s">
        <v>46569</v>
      </c>
      <c r="O2324" t="s">
        <v>46570</v>
      </c>
      <c r="P2324">
        <v>0</v>
      </c>
      <c r="Q2324">
        <v>0</v>
      </c>
      <c r="R2324" t="s">
        <v>46571</v>
      </c>
      <c r="S2324" t="s">
        <v>46687</v>
      </c>
      <c r="T2324" t="s">
        <v>48298</v>
      </c>
      <c r="U2324" t="s">
        <v>50698</v>
      </c>
      <c r="W2324" t="s">
        <v>63499</v>
      </c>
      <c r="X2324" t="s">
        <v>46572</v>
      </c>
    </row>
    <row r="2325" spans="1:24">
      <c r="A2325">
        <f>HYPERLINK("https://www.philgeps.gov.ph/GEPSNONPILOT/Tender/SplashBidNoticeAbstractUI.aspx?menuIndex=3&amp;refID=7067243&amp;Result=3","7067243")</f>
        <v>0</v>
      </c>
      <c r="B2325" t="s">
        <v>763</v>
      </c>
      <c r="C2325" t="s">
        <v>5784</v>
      </c>
      <c r="E2325" t="s">
        <v>21015</v>
      </c>
      <c r="F2325" t="s">
        <v>32664</v>
      </c>
      <c r="G2325" t="s">
        <v>32673</v>
      </c>
      <c r="H2325" t="s">
        <v>12635</v>
      </c>
      <c r="I2325" t="s">
        <v>32698</v>
      </c>
      <c r="J2325" t="s">
        <v>34449</v>
      </c>
      <c r="K2325" t="s">
        <v>42298</v>
      </c>
      <c r="M2325" t="s">
        <v>43354</v>
      </c>
      <c r="N2325" t="s">
        <v>46569</v>
      </c>
      <c r="O2325" t="s">
        <v>46570</v>
      </c>
      <c r="P2325">
        <v>0</v>
      </c>
      <c r="Q2325">
        <v>0</v>
      </c>
      <c r="R2325" t="s">
        <v>46571</v>
      </c>
      <c r="S2325" t="s">
        <v>46687</v>
      </c>
      <c r="T2325" t="s">
        <v>48358</v>
      </c>
      <c r="U2325" t="s">
        <v>50679</v>
      </c>
      <c r="V2325" t="s">
        <v>61807</v>
      </c>
      <c r="W2325" t="s">
        <v>43354</v>
      </c>
      <c r="X2325" t="s">
        <v>46572</v>
      </c>
    </row>
    <row r="2326" spans="1:24">
      <c r="A2326">
        <f>HYPERLINK("https://www.philgeps.gov.ph/GEPSNONPILOT/Tender/SplashBidNoticeAbstractUI.aspx?menuIndex=3&amp;refID=7067251&amp;Result=3","7067251")</f>
        <v>0</v>
      </c>
      <c r="B2326" t="s">
        <v>937</v>
      </c>
      <c r="C2326" t="s">
        <v>5785</v>
      </c>
      <c r="D2326" t="s">
        <v>18791</v>
      </c>
      <c r="E2326" t="s">
        <v>21032</v>
      </c>
      <c r="F2326" t="s">
        <v>32664</v>
      </c>
      <c r="G2326" t="s">
        <v>32671</v>
      </c>
      <c r="H2326" t="s">
        <v>12635</v>
      </c>
      <c r="I2326" t="s">
        <v>7709</v>
      </c>
      <c r="J2326" t="s">
        <v>33842</v>
      </c>
      <c r="K2326" t="s">
        <v>42295</v>
      </c>
      <c r="M2326" t="s">
        <v>43561</v>
      </c>
      <c r="N2326" t="s">
        <v>46569</v>
      </c>
      <c r="O2326" t="s">
        <v>46570</v>
      </c>
      <c r="P2326">
        <v>0</v>
      </c>
      <c r="Q2326">
        <v>0</v>
      </c>
      <c r="R2326" t="s">
        <v>46571</v>
      </c>
      <c r="S2326" t="s">
        <v>46687</v>
      </c>
      <c r="T2326" t="s">
        <v>48293</v>
      </c>
      <c r="U2326" t="s">
        <v>50699</v>
      </c>
      <c r="V2326" t="s">
        <v>61860</v>
      </c>
      <c r="W2326" t="s">
        <v>43561</v>
      </c>
      <c r="X2326" t="s">
        <v>46572</v>
      </c>
    </row>
    <row r="2327" spans="1:24">
      <c r="A2327">
        <f>HYPERLINK("https://www.philgeps.gov.ph/GEPSNONPILOT/Tender/SplashBidNoticeAbstractUI.aspx?menuIndex=3&amp;refID=7067241&amp;Result=3","7067241")</f>
        <v>0</v>
      </c>
      <c r="B2327" t="s">
        <v>951</v>
      </c>
      <c r="C2327" t="s">
        <v>5786</v>
      </c>
      <c r="D2327" t="s">
        <v>18787</v>
      </c>
      <c r="E2327" t="s">
        <v>21033</v>
      </c>
      <c r="F2327" t="s">
        <v>32664</v>
      </c>
      <c r="G2327" t="s">
        <v>32671</v>
      </c>
      <c r="H2327" t="s">
        <v>12635</v>
      </c>
      <c r="I2327" t="s">
        <v>8797</v>
      </c>
      <c r="J2327" t="s">
        <v>33147</v>
      </c>
      <c r="K2327" t="s">
        <v>42283</v>
      </c>
      <c r="M2327" t="s">
        <v>43557</v>
      </c>
      <c r="N2327" t="s">
        <v>46569</v>
      </c>
      <c r="O2327" t="s">
        <v>46570</v>
      </c>
      <c r="P2327">
        <v>0</v>
      </c>
      <c r="Q2327">
        <v>1</v>
      </c>
      <c r="R2327" t="s">
        <v>46571</v>
      </c>
      <c r="S2327" t="s">
        <v>46687</v>
      </c>
      <c r="T2327" t="s">
        <v>48244</v>
      </c>
      <c r="U2327" t="s">
        <v>50658</v>
      </c>
      <c r="W2327" t="s">
        <v>43557</v>
      </c>
      <c r="X2327" t="s">
        <v>46572</v>
      </c>
    </row>
    <row r="2328" spans="1:24">
      <c r="A2328">
        <f>HYPERLINK("https://www.philgeps.gov.ph/GEPSNONPILOT/Tender/SplashBidNoticeAbstractUI.aspx?menuIndex=3&amp;refID=7067217&amp;Result=3","7067217")</f>
        <v>0</v>
      </c>
      <c r="B2328" t="s">
        <v>763</v>
      </c>
      <c r="C2328" t="s">
        <v>5787</v>
      </c>
      <c r="D2328" t="s">
        <v>18789</v>
      </c>
      <c r="E2328" t="s">
        <v>21034</v>
      </c>
      <c r="F2328" t="s">
        <v>32664</v>
      </c>
      <c r="G2328" t="s">
        <v>32673</v>
      </c>
      <c r="H2328" t="s">
        <v>12635</v>
      </c>
      <c r="I2328" t="s">
        <v>32699</v>
      </c>
      <c r="J2328" t="s">
        <v>34450</v>
      </c>
      <c r="K2328" t="s">
        <v>42298</v>
      </c>
      <c r="M2328" t="s">
        <v>43354</v>
      </c>
      <c r="N2328" t="s">
        <v>46569</v>
      </c>
      <c r="O2328" t="s">
        <v>46570</v>
      </c>
      <c r="P2328">
        <v>0</v>
      </c>
      <c r="Q2328">
        <v>1</v>
      </c>
      <c r="R2328" t="s">
        <v>46571</v>
      </c>
      <c r="S2328" t="s">
        <v>46687</v>
      </c>
      <c r="T2328" t="s">
        <v>48269</v>
      </c>
      <c r="U2328" t="s">
        <v>50700</v>
      </c>
      <c r="V2328" t="s">
        <v>61807</v>
      </c>
      <c r="W2328" t="s">
        <v>43354</v>
      </c>
      <c r="X2328" t="s">
        <v>46572</v>
      </c>
    </row>
    <row r="2329" spans="1:24">
      <c r="A2329">
        <f>HYPERLINK("https://www.philgeps.gov.ph/GEPSNONPILOT/Tender/SplashBidNoticeAbstractUI.aspx?menuIndex=3&amp;refID=7067198&amp;Result=3","7067198")</f>
        <v>0</v>
      </c>
      <c r="B2329" t="s">
        <v>238</v>
      </c>
      <c r="C2329" t="s">
        <v>5488</v>
      </c>
      <c r="D2329" t="s">
        <v>18798</v>
      </c>
      <c r="E2329" t="s">
        <v>21035</v>
      </c>
      <c r="F2329" t="s">
        <v>32664</v>
      </c>
      <c r="G2329" t="s">
        <v>32674</v>
      </c>
      <c r="H2329" t="s">
        <v>12635</v>
      </c>
      <c r="I2329" t="s">
        <v>8730</v>
      </c>
      <c r="J2329" t="s">
        <v>33126</v>
      </c>
      <c r="K2329" t="s">
        <v>42306</v>
      </c>
      <c r="M2329" t="s">
        <v>43575</v>
      </c>
      <c r="N2329" t="s">
        <v>46569</v>
      </c>
      <c r="O2329" t="s">
        <v>46570</v>
      </c>
      <c r="P2329">
        <v>0</v>
      </c>
      <c r="Q2329">
        <v>2</v>
      </c>
      <c r="R2329" t="s">
        <v>46571</v>
      </c>
      <c r="S2329" t="s">
        <v>46687</v>
      </c>
      <c r="T2329" t="s">
        <v>48254</v>
      </c>
      <c r="U2329" t="s">
        <v>50701</v>
      </c>
      <c r="W2329" t="s">
        <v>43575</v>
      </c>
      <c r="X2329" t="s">
        <v>46572</v>
      </c>
    </row>
    <row r="2330" spans="1:24">
      <c r="A2330">
        <f>HYPERLINK("https://www.philgeps.gov.ph/GEPSNONPILOT/Tender/SplashBidNoticeAbstractUI.aspx?menuIndex=3&amp;refID=7067216&amp;Result=3","7067216")</f>
        <v>0</v>
      </c>
      <c r="B2330" t="s">
        <v>238</v>
      </c>
      <c r="C2330" t="s">
        <v>4138</v>
      </c>
      <c r="D2330" t="s">
        <v>18798</v>
      </c>
      <c r="E2330" t="s">
        <v>21036</v>
      </c>
      <c r="F2330" t="s">
        <v>32664</v>
      </c>
      <c r="G2330" t="s">
        <v>32671</v>
      </c>
      <c r="H2330" t="s">
        <v>12635</v>
      </c>
      <c r="I2330" t="s">
        <v>6168</v>
      </c>
      <c r="J2330" t="s">
        <v>34451</v>
      </c>
      <c r="K2330" t="s">
        <v>42295</v>
      </c>
      <c r="M2330" t="s">
        <v>42803</v>
      </c>
      <c r="N2330" t="s">
        <v>46569</v>
      </c>
      <c r="O2330" t="s">
        <v>46570</v>
      </c>
      <c r="P2330">
        <v>0</v>
      </c>
      <c r="Q2330">
        <v>3</v>
      </c>
      <c r="R2330" t="s">
        <v>46571</v>
      </c>
      <c r="S2330" t="s">
        <v>46687</v>
      </c>
      <c r="T2330" t="s">
        <v>48219</v>
      </c>
      <c r="U2330" t="s">
        <v>50702</v>
      </c>
      <c r="V2330" t="s">
        <v>51917</v>
      </c>
      <c r="W2330" t="s">
        <v>42803</v>
      </c>
      <c r="X2330" t="s">
        <v>46572</v>
      </c>
    </row>
    <row r="2331" spans="1:24">
      <c r="A2331">
        <f>HYPERLINK("https://www.philgeps.gov.ph/GEPSNONPILOT/Tender/SplashBidNoticeAbstractUI.aspx?menuIndex=3&amp;refID=7067199&amp;Result=3","7067199")</f>
        <v>0</v>
      </c>
      <c r="B2331" t="s">
        <v>967</v>
      </c>
      <c r="C2331" t="s">
        <v>5788</v>
      </c>
      <c r="D2331" t="s">
        <v>18784</v>
      </c>
      <c r="E2331" t="s">
        <v>21037</v>
      </c>
      <c r="F2331" t="s">
        <v>32664</v>
      </c>
      <c r="G2331" t="s">
        <v>32671</v>
      </c>
      <c r="H2331" t="s">
        <v>12635</v>
      </c>
      <c r="I2331" t="s">
        <v>32701</v>
      </c>
      <c r="J2331" t="s">
        <v>34452</v>
      </c>
      <c r="K2331" t="s">
        <v>42283</v>
      </c>
      <c r="M2331" t="s">
        <v>43576</v>
      </c>
      <c r="N2331" t="s">
        <v>46569</v>
      </c>
      <c r="O2331" t="s">
        <v>46570</v>
      </c>
      <c r="P2331">
        <v>0</v>
      </c>
      <c r="Q2331">
        <v>2</v>
      </c>
      <c r="R2331" t="s">
        <v>46571</v>
      </c>
      <c r="S2331" t="s">
        <v>46687</v>
      </c>
      <c r="T2331" t="s">
        <v>48244</v>
      </c>
      <c r="U2331" t="s">
        <v>50703</v>
      </c>
      <c r="W2331" t="s">
        <v>63500</v>
      </c>
      <c r="X2331" t="s">
        <v>46572</v>
      </c>
    </row>
    <row r="2332" spans="1:24">
      <c r="A2332">
        <f>HYPERLINK("https://www.philgeps.gov.ph/GEPSNONPILOT/Tender/SplashBidNoticeAbstractUI.aspx?menuIndex=3&amp;refID=7067197&amp;Result=3","7067197")</f>
        <v>0</v>
      </c>
      <c r="B2332" t="s">
        <v>946</v>
      </c>
      <c r="C2332" t="s">
        <v>5751</v>
      </c>
      <c r="D2332" t="s">
        <v>18784</v>
      </c>
      <c r="E2332" t="s">
        <v>21038</v>
      </c>
      <c r="F2332" t="s">
        <v>32664</v>
      </c>
      <c r="G2332" t="s">
        <v>32676</v>
      </c>
      <c r="H2332" t="s">
        <v>12635</v>
      </c>
      <c r="I2332" t="s">
        <v>6223</v>
      </c>
      <c r="J2332" t="s">
        <v>32943</v>
      </c>
      <c r="K2332" t="s">
        <v>42309</v>
      </c>
      <c r="M2332" t="s">
        <v>43552</v>
      </c>
      <c r="N2332" t="s">
        <v>46569</v>
      </c>
      <c r="O2332" t="s">
        <v>46570</v>
      </c>
      <c r="P2332">
        <v>0</v>
      </c>
      <c r="Q2332">
        <v>1</v>
      </c>
      <c r="R2332" t="s">
        <v>46571</v>
      </c>
      <c r="S2332" t="s">
        <v>46687</v>
      </c>
      <c r="T2332" t="s">
        <v>48219</v>
      </c>
      <c r="U2332" t="s">
        <v>50668</v>
      </c>
      <c r="W2332" t="s">
        <v>43552</v>
      </c>
      <c r="X2332" t="s">
        <v>46572</v>
      </c>
    </row>
    <row r="2333" spans="1:24">
      <c r="A2333">
        <f>HYPERLINK("https://www.philgeps.gov.ph/GEPSNONPILOT/Tender/SplashBidNoticeAbstractUI.aspx?menuIndex=3&amp;refID=7067196&amp;Result=3","7067196")</f>
        <v>0</v>
      </c>
      <c r="B2333" t="s">
        <v>944</v>
      </c>
      <c r="C2333" t="s">
        <v>5789</v>
      </c>
      <c r="D2333" t="s">
        <v>18827</v>
      </c>
      <c r="E2333" t="s">
        <v>19226</v>
      </c>
      <c r="F2333" t="s">
        <v>32664</v>
      </c>
      <c r="G2333" t="s">
        <v>32671</v>
      </c>
      <c r="H2333" t="s">
        <v>12635</v>
      </c>
      <c r="I2333" t="s">
        <v>8797</v>
      </c>
      <c r="J2333" t="s">
        <v>32943</v>
      </c>
      <c r="K2333" t="s">
        <v>42309</v>
      </c>
      <c r="M2333" t="s">
        <v>43550</v>
      </c>
      <c r="N2333" t="s">
        <v>46569</v>
      </c>
      <c r="O2333" t="s">
        <v>46570</v>
      </c>
      <c r="P2333">
        <v>0</v>
      </c>
      <c r="Q2333">
        <v>0</v>
      </c>
      <c r="R2333" t="s">
        <v>46571</v>
      </c>
      <c r="S2333" t="s">
        <v>46687</v>
      </c>
      <c r="T2333" t="s">
        <v>48217</v>
      </c>
      <c r="U2333" t="s">
        <v>50704</v>
      </c>
      <c r="W2333" t="s">
        <v>43550</v>
      </c>
      <c r="X2333" t="s">
        <v>46572</v>
      </c>
    </row>
    <row r="2334" spans="1:24">
      <c r="A2334">
        <f>HYPERLINK("https://www.philgeps.gov.ph/GEPSNONPILOT/Tender/SplashBidNoticeAbstractUI.aspx?menuIndex=3&amp;refID=7067226&amp;Result=3","7067226")</f>
        <v>0</v>
      </c>
      <c r="B2334" t="s">
        <v>968</v>
      </c>
      <c r="C2334" t="s">
        <v>5790</v>
      </c>
      <c r="D2334" t="s">
        <v>18806</v>
      </c>
      <c r="E2334" t="s">
        <v>21039</v>
      </c>
      <c r="F2334" t="s">
        <v>32667</v>
      </c>
      <c r="G2334" t="s">
        <v>32674</v>
      </c>
      <c r="H2334" t="s">
        <v>12635</v>
      </c>
      <c r="I2334" t="s">
        <v>32719</v>
      </c>
      <c r="J2334" t="s">
        <v>32917</v>
      </c>
      <c r="K2334" t="s">
        <v>42289</v>
      </c>
      <c r="M2334" t="s">
        <v>43577</v>
      </c>
      <c r="N2334" t="s">
        <v>46569</v>
      </c>
      <c r="O2334" t="s">
        <v>46570</v>
      </c>
      <c r="P2334">
        <v>0</v>
      </c>
      <c r="Q2334">
        <v>4</v>
      </c>
      <c r="R2334" t="s">
        <v>46571</v>
      </c>
      <c r="S2334" t="s">
        <v>46687</v>
      </c>
      <c r="T2334" t="s">
        <v>48211</v>
      </c>
      <c r="U2334" t="s">
        <v>50705</v>
      </c>
      <c r="W2334" t="s">
        <v>43577</v>
      </c>
      <c r="X2334" t="s">
        <v>46572</v>
      </c>
    </row>
    <row r="2335" spans="1:24">
      <c r="A2335">
        <f>HYPERLINK("https://www.philgeps.gov.ph/GEPSNONPILOT/Tender/SplashBidNoticeAbstractUI.aspx?menuIndex=3&amp;refID=7067174&amp;Result=3","7067174")</f>
        <v>0</v>
      </c>
      <c r="B2335" t="s">
        <v>944</v>
      </c>
      <c r="C2335" t="s">
        <v>5791</v>
      </c>
      <c r="D2335" t="s">
        <v>18827</v>
      </c>
      <c r="E2335" t="s">
        <v>20724</v>
      </c>
      <c r="F2335" t="s">
        <v>32664</v>
      </c>
      <c r="G2335" t="s">
        <v>32671</v>
      </c>
      <c r="H2335" t="s">
        <v>12635</v>
      </c>
      <c r="I2335" t="s">
        <v>6223</v>
      </c>
      <c r="J2335" t="s">
        <v>33021</v>
      </c>
      <c r="K2335" t="s">
        <v>42309</v>
      </c>
      <c r="M2335" t="s">
        <v>43550</v>
      </c>
      <c r="N2335" t="s">
        <v>46569</v>
      </c>
      <c r="O2335" t="s">
        <v>46570</v>
      </c>
      <c r="P2335">
        <v>0</v>
      </c>
      <c r="Q2335">
        <v>0</v>
      </c>
      <c r="R2335" t="s">
        <v>46571</v>
      </c>
      <c r="S2335" t="s">
        <v>46687</v>
      </c>
      <c r="T2335" t="s">
        <v>48217</v>
      </c>
      <c r="U2335" t="s">
        <v>50706</v>
      </c>
      <c r="W2335" t="s">
        <v>43550</v>
      </c>
      <c r="X2335" t="s">
        <v>46572</v>
      </c>
    </row>
    <row r="2336" spans="1:24">
      <c r="A2336">
        <f>HYPERLINK("https://www.philgeps.gov.ph/GEPSNONPILOT/Tender/SplashBidNoticeAbstractUI.aspx?menuIndex=3&amp;refID=7067240&amp;Result=3","7067240")</f>
        <v>0</v>
      </c>
      <c r="B2336" t="s">
        <v>969</v>
      </c>
      <c r="C2336" t="s">
        <v>5792</v>
      </c>
      <c r="D2336" t="s">
        <v>18836</v>
      </c>
      <c r="E2336" t="s">
        <v>21040</v>
      </c>
      <c r="F2336" t="s">
        <v>32664</v>
      </c>
      <c r="G2336" t="s">
        <v>32671</v>
      </c>
      <c r="H2336" t="s">
        <v>12635</v>
      </c>
      <c r="I2336" t="s">
        <v>32696</v>
      </c>
      <c r="J2336" t="s">
        <v>33371</v>
      </c>
      <c r="K2336" t="s">
        <v>42281</v>
      </c>
      <c r="M2336" t="s">
        <v>43578</v>
      </c>
      <c r="N2336" t="s">
        <v>46569</v>
      </c>
      <c r="O2336" t="s">
        <v>46570</v>
      </c>
      <c r="P2336">
        <v>0</v>
      </c>
      <c r="Q2336">
        <v>4</v>
      </c>
      <c r="R2336" t="s">
        <v>46571</v>
      </c>
      <c r="S2336" t="s">
        <v>46687</v>
      </c>
      <c r="T2336" t="s">
        <v>48440</v>
      </c>
      <c r="U2336" t="s">
        <v>50707</v>
      </c>
      <c r="V2336" t="s">
        <v>61865</v>
      </c>
      <c r="W2336" t="s">
        <v>43578</v>
      </c>
      <c r="X2336" t="s">
        <v>46572</v>
      </c>
    </row>
    <row r="2337" spans="1:24">
      <c r="A2337">
        <f>HYPERLINK("https://www.philgeps.gov.ph/GEPSNONPILOT/Tender/SplashBidNoticeAbstractUI.aspx?menuIndex=3&amp;refID=7067173&amp;Result=3","7067173")</f>
        <v>0</v>
      </c>
      <c r="B2337" t="s">
        <v>156</v>
      </c>
      <c r="C2337" t="s">
        <v>4217</v>
      </c>
      <c r="E2337" t="s">
        <v>20142</v>
      </c>
      <c r="F2337" t="s">
        <v>32664</v>
      </c>
      <c r="G2337" t="s">
        <v>32674</v>
      </c>
      <c r="H2337" t="s">
        <v>12635</v>
      </c>
      <c r="I2337" t="s">
        <v>9486</v>
      </c>
      <c r="J2337" t="s">
        <v>34453</v>
      </c>
      <c r="K2337" t="s">
        <v>42283</v>
      </c>
      <c r="M2337" t="s">
        <v>42720</v>
      </c>
      <c r="N2337" t="s">
        <v>46569</v>
      </c>
      <c r="O2337" t="s">
        <v>46570</v>
      </c>
      <c r="P2337">
        <v>0</v>
      </c>
      <c r="Q2337">
        <v>0</v>
      </c>
      <c r="R2337" t="s">
        <v>46571</v>
      </c>
      <c r="S2337" t="s">
        <v>46687</v>
      </c>
      <c r="T2337" t="s">
        <v>48441</v>
      </c>
      <c r="U2337" t="s">
        <v>50708</v>
      </c>
      <c r="W2337" t="s">
        <v>42720</v>
      </c>
      <c r="X2337" t="s">
        <v>46572</v>
      </c>
    </row>
    <row r="2338" spans="1:24">
      <c r="A2338">
        <f>HYPERLINK("https://www.philgeps.gov.ph/GEPSNONPILOT/Tender/SplashBidNoticeAbstractUI.aspx?menuIndex=3&amp;refID=7067171&amp;Result=3","7067171")</f>
        <v>0</v>
      </c>
      <c r="B2338" t="s">
        <v>970</v>
      </c>
      <c r="C2338" t="s">
        <v>5793</v>
      </c>
      <c r="D2338" t="s">
        <v>18789</v>
      </c>
      <c r="E2338" t="s">
        <v>19231</v>
      </c>
      <c r="F2338" t="s">
        <v>32664</v>
      </c>
      <c r="G2338" t="s">
        <v>32674</v>
      </c>
      <c r="H2338" t="s">
        <v>12635</v>
      </c>
      <c r="I2338" t="s">
        <v>32692</v>
      </c>
      <c r="J2338" t="s">
        <v>34454</v>
      </c>
      <c r="K2338" t="s">
        <v>42309</v>
      </c>
      <c r="M2338" t="s">
        <v>43579</v>
      </c>
      <c r="N2338" t="s">
        <v>46569</v>
      </c>
      <c r="O2338" t="s">
        <v>46570</v>
      </c>
      <c r="P2338">
        <v>0</v>
      </c>
      <c r="Q2338">
        <v>0</v>
      </c>
      <c r="R2338" t="s">
        <v>46571</v>
      </c>
      <c r="S2338" t="s">
        <v>46687</v>
      </c>
      <c r="T2338" t="s">
        <v>48219</v>
      </c>
      <c r="U2338" t="s">
        <v>50709</v>
      </c>
      <c r="W2338" t="s">
        <v>43579</v>
      </c>
      <c r="X2338" t="s">
        <v>46572</v>
      </c>
    </row>
    <row r="2339" spans="1:24">
      <c r="A2339">
        <f>HYPERLINK("https://www.philgeps.gov.ph/GEPSNONPILOT/Tender/SplashBidNoticeAbstractUI.aspx?menuIndex=3&amp;refID=7067242&amp;Result=3","7067242")</f>
        <v>0</v>
      </c>
      <c r="B2339" t="s">
        <v>971</v>
      </c>
      <c r="C2339" t="s">
        <v>5794</v>
      </c>
      <c r="D2339" t="s">
        <v>18856</v>
      </c>
      <c r="E2339" t="s">
        <v>21041</v>
      </c>
      <c r="F2339" t="s">
        <v>32664</v>
      </c>
      <c r="G2339" t="s">
        <v>32672</v>
      </c>
      <c r="H2339" t="s">
        <v>12635</v>
      </c>
      <c r="I2339" t="s">
        <v>32716</v>
      </c>
      <c r="J2339" t="s">
        <v>34455</v>
      </c>
      <c r="K2339" t="s">
        <v>42281</v>
      </c>
      <c r="M2339" t="s">
        <v>43580</v>
      </c>
      <c r="N2339" t="s">
        <v>46569</v>
      </c>
      <c r="O2339" t="s">
        <v>46570</v>
      </c>
      <c r="P2339">
        <v>0</v>
      </c>
      <c r="Q2339">
        <v>0</v>
      </c>
      <c r="R2339" t="s">
        <v>46571</v>
      </c>
      <c r="S2339" t="s">
        <v>46687</v>
      </c>
      <c r="T2339" t="s">
        <v>48368</v>
      </c>
      <c r="U2339" t="s">
        <v>50710</v>
      </c>
      <c r="W2339" t="s">
        <v>43580</v>
      </c>
      <c r="X2339" t="s">
        <v>46572</v>
      </c>
    </row>
    <row r="2340" spans="1:24">
      <c r="A2340">
        <f>HYPERLINK("https://www.philgeps.gov.ph/GEPSNONPILOT/Tender/SplashBidNoticeAbstractUI.aspx?menuIndex=3&amp;refID=7067194&amp;Result=3","7067194")</f>
        <v>0</v>
      </c>
      <c r="B2340" t="s">
        <v>972</v>
      </c>
      <c r="C2340" t="s">
        <v>5795</v>
      </c>
      <c r="D2340" t="s">
        <v>18791</v>
      </c>
      <c r="E2340" t="s">
        <v>21042</v>
      </c>
      <c r="F2340" t="s">
        <v>32665</v>
      </c>
      <c r="G2340" t="s">
        <v>32671</v>
      </c>
      <c r="H2340" t="s">
        <v>12635</v>
      </c>
      <c r="I2340" t="s">
        <v>32685</v>
      </c>
      <c r="J2340" t="s">
        <v>34456</v>
      </c>
      <c r="K2340" t="s">
        <v>42281</v>
      </c>
      <c r="M2340" t="s">
        <v>43581</v>
      </c>
      <c r="N2340" t="s">
        <v>46569</v>
      </c>
      <c r="O2340" t="s">
        <v>46570</v>
      </c>
      <c r="P2340">
        <v>0</v>
      </c>
      <c r="Q2340">
        <v>0</v>
      </c>
      <c r="R2340" t="s">
        <v>46571</v>
      </c>
      <c r="S2340" t="s">
        <v>46687</v>
      </c>
      <c r="T2340" t="s">
        <v>48237</v>
      </c>
      <c r="U2340" t="s">
        <v>50711</v>
      </c>
      <c r="W2340" t="s">
        <v>43581</v>
      </c>
      <c r="X2340" t="s">
        <v>46572</v>
      </c>
    </row>
    <row r="2341" spans="1:24">
      <c r="A2341">
        <f>HYPERLINK("https://www.philgeps.gov.ph/GEPSNONPILOT/Tender/SplashBidNoticeAbstractUI.aspx?menuIndex=3&amp;refID=7067172&amp;Result=3","7067172")</f>
        <v>0</v>
      </c>
      <c r="B2341" t="s">
        <v>962</v>
      </c>
      <c r="C2341" t="s">
        <v>5796</v>
      </c>
      <c r="D2341" t="s">
        <v>18784</v>
      </c>
      <c r="E2341" t="s">
        <v>21043</v>
      </c>
      <c r="F2341" t="s">
        <v>32664</v>
      </c>
      <c r="G2341" t="s">
        <v>32671</v>
      </c>
      <c r="H2341" t="s">
        <v>32681</v>
      </c>
      <c r="I2341" t="s">
        <v>32681</v>
      </c>
      <c r="J2341" t="s">
        <v>34457</v>
      </c>
      <c r="K2341" t="s">
        <v>42283</v>
      </c>
      <c r="M2341" t="s">
        <v>43570</v>
      </c>
      <c r="N2341" t="s">
        <v>46569</v>
      </c>
      <c r="O2341" t="s">
        <v>46570</v>
      </c>
      <c r="P2341">
        <v>0</v>
      </c>
      <c r="Q2341">
        <v>0</v>
      </c>
      <c r="R2341" t="s">
        <v>46571</v>
      </c>
      <c r="S2341" t="s">
        <v>46687</v>
      </c>
      <c r="T2341" t="s">
        <v>48217</v>
      </c>
      <c r="U2341" t="s">
        <v>50712</v>
      </c>
      <c r="W2341" t="s">
        <v>43570</v>
      </c>
      <c r="X2341" t="s">
        <v>46572</v>
      </c>
    </row>
    <row r="2342" spans="1:24">
      <c r="A2342">
        <f>HYPERLINK("https://www.philgeps.gov.ph/GEPSNONPILOT/Tender/SplashBidNoticeAbstractUI.aspx?menuIndex=3&amp;refID=7067192&amp;Result=3","7067192")</f>
        <v>0</v>
      </c>
      <c r="B2342" t="s">
        <v>953</v>
      </c>
      <c r="C2342" t="s">
        <v>5745</v>
      </c>
      <c r="D2342" t="s">
        <v>18799</v>
      </c>
      <c r="E2342" t="s">
        <v>20999</v>
      </c>
      <c r="F2342" t="s">
        <v>32664</v>
      </c>
      <c r="G2342" t="s">
        <v>32674</v>
      </c>
      <c r="H2342" t="s">
        <v>12635</v>
      </c>
      <c r="I2342" t="s">
        <v>8958</v>
      </c>
      <c r="J2342" t="s">
        <v>34458</v>
      </c>
      <c r="K2342" t="s">
        <v>42297</v>
      </c>
      <c r="M2342" t="s">
        <v>43559</v>
      </c>
      <c r="N2342" t="s">
        <v>46569</v>
      </c>
      <c r="O2342" t="s">
        <v>46570</v>
      </c>
      <c r="P2342">
        <v>0</v>
      </c>
      <c r="Q2342">
        <v>1</v>
      </c>
      <c r="R2342" t="s">
        <v>46571</v>
      </c>
      <c r="S2342" t="s">
        <v>46687</v>
      </c>
      <c r="T2342" t="s">
        <v>48305</v>
      </c>
      <c r="U2342" t="s">
        <v>50661</v>
      </c>
      <c r="W2342" t="s">
        <v>43559</v>
      </c>
      <c r="X2342" t="s">
        <v>46572</v>
      </c>
    </row>
    <row r="2343" spans="1:24">
      <c r="A2343">
        <f>HYPERLINK("https://www.philgeps.gov.ph/GEPSNONPILOT/Tender/SplashBidNoticeAbstractUI.aspx?menuIndex=3&amp;refID=7067288&amp;Result=3","7067288")</f>
        <v>0</v>
      </c>
      <c r="B2343" t="s">
        <v>973</v>
      </c>
      <c r="C2343" t="s">
        <v>5797</v>
      </c>
      <c r="D2343" t="s">
        <v>18819</v>
      </c>
      <c r="E2343" t="s">
        <v>19286</v>
      </c>
      <c r="F2343" t="s">
        <v>32664</v>
      </c>
      <c r="G2343" t="s">
        <v>32672</v>
      </c>
      <c r="H2343" t="s">
        <v>12635</v>
      </c>
      <c r="I2343" t="s">
        <v>32689</v>
      </c>
      <c r="J2343" t="s">
        <v>34459</v>
      </c>
      <c r="K2343" t="s">
        <v>42298</v>
      </c>
      <c r="M2343" t="s">
        <v>43582</v>
      </c>
      <c r="N2343" t="s">
        <v>46569</v>
      </c>
      <c r="O2343" t="s">
        <v>46570</v>
      </c>
      <c r="P2343">
        <v>0</v>
      </c>
      <c r="Q2343">
        <v>2</v>
      </c>
      <c r="R2343" t="s">
        <v>46571</v>
      </c>
      <c r="S2343" t="s">
        <v>46687</v>
      </c>
      <c r="T2343" t="s">
        <v>48216</v>
      </c>
      <c r="U2343" t="s">
        <v>50713</v>
      </c>
      <c r="W2343" t="s">
        <v>43582</v>
      </c>
      <c r="X2343" t="s">
        <v>46572</v>
      </c>
    </row>
    <row r="2344" spans="1:24">
      <c r="A2344">
        <f>HYPERLINK("https://www.philgeps.gov.ph/GEPSNONPILOT/Tender/SplashBidNoticeAbstractUI.aspx?menuIndex=3&amp;refID=7067164&amp;Result=3","7067164")</f>
        <v>0</v>
      </c>
      <c r="B2344" t="s">
        <v>932</v>
      </c>
      <c r="C2344" t="s">
        <v>5798</v>
      </c>
      <c r="D2344" t="s">
        <v>18803</v>
      </c>
      <c r="E2344" t="s">
        <v>21044</v>
      </c>
      <c r="F2344" t="s">
        <v>32664</v>
      </c>
      <c r="G2344" t="s">
        <v>32674</v>
      </c>
      <c r="H2344" t="s">
        <v>12635</v>
      </c>
      <c r="I2344" t="s">
        <v>6628</v>
      </c>
      <c r="J2344" t="s">
        <v>32984</v>
      </c>
      <c r="K2344" t="s">
        <v>42289</v>
      </c>
      <c r="M2344" t="s">
        <v>43538</v>
      </c>
      <c r="N2344" t="s">
        <v>46569</v>
      </c>
      <c r="O2344" t="s">
        <v>46570</v>
      </c>
      <c r="P2344">
        <v>0</v>
      </c>
      <c r="Q2344">
        <v>0</v>
      </c>
      <c r="R2344" t="s">
        <v>46571</v>
      </c>
      <c r="S2344" t="s">
        <v>46687</v>
      </c>
      <c r="T2344" t="s">
        <v>48312</v>
      </c>
      <c r="U2344" t="s">
        <v>50714</v>
      </c>
      <c r="V2344" t="s">
        <v>61853</v>
      </c>
      <c r="W2344" t="s">
        <v>43538</v>
      </c>
      <c r="X2344" t="s">
        <v>46572</v>
      </c>
    </row>
    <row r="2345" spans="1:24">
      <c r="A2345">
        <f>HYPERLINK("https://www.philgeps.gov.ph/GEPSNONPILOT/Tender/SplashBidNoticeAbstractUI.aspx?menuIndex=3&amp;refID=7067284&amp;Result=3","7067284")</f>
        <v>0</v>
      </c>
      <c r="B2345" t="s">
        <v>116</v>
      </c>
      <c r="C2345" t="s">
        <v>5799</v>
      </c>
      <c r="D2345" t="s">
        <v>18805</v>
      </c>
      <c r="E2345" t="s">
        <v>21045</v>
      </c>
      <c r="F2345" t="s">
        <v>32664</v>
      </c>
      <c r="G2345" t="s">
        <v>32672</v>
      </c>
      <c r="H2345" t="s">
        <v>12635</v>
      </c>
      <c r="I2345" t="s">
        <v>32692</v>
      </c>
      <c r="J2345" t="s">
        <v>34460</v>
      </c>
      <c r="K2345" t="s">
        <v>42306</v>
      </c>
      <c r="M2345" t="s">
        <v>42680</v>
      </c>
      <c r="N2345" t="s">
        <v>46569</v>
      </c>
      <c r="O2345" t="s">
        <v>46570</v>
      </c>
      <c r="P2345">
        <v>0</v>
      </c>
      <c r="Q2345">
        <v>0</v>
      </c>
      <c r="R2345" t="s">
        <v>46571</v>
      </c>
      <c r="S2345" t="s">
        <v>46687</v>
      </c>
      <c r="T2345" t="s">
        <v>48303</v>
      </c>
      <c r="U2345" t="s">
        <v>50715</v>
      </c>
      <c r="W2345" t="s">
        <v>42680</v>
      </c>
      <c r="X2345" t="s">
        <v>46572</v>
      </c>
    </row>
    <row r="2346" spans="1:24">
      <c r="A2346">
        <f>HYPERLINK("https://www.philgeps.gov.ph/GEPSNONPILOT/Tender/SplashBidNoticeAbstractUI.aspx?menuIndex=3&amp;refID=7067282&amp;Result=3","7067282")</f>
        <v>0</v>
      </c>
      <c r="B2346" t="s">
        <v>961</v>
      </c>
      <c r="C2346" t="s">
        <v>5800</v>
      </c>
      <c r="D2346" t="s">
        <v>18858</v>
      </c>
      <c r="E2346" t="s">
        <v>21046</v>
      </c>
      <c r="F2346" t="s">
        <v>32664</v>
      </c>
      <c r="G2346" t="s">
        <v>32672</v>
      </c>
      <c r="H2346" t="s">
        <v>32682</v>
      </c>
      <c r="I2346" t="s">
        <v>32767</v>
      </c>
      <c r="J2346" t="s">
        <v>34461</v>
      </c>
      <c r="K2346" t="s">
        <v>42311</v>
      </c>
      <c r="M2346" t="s">
        <v>43569</v>
      </c>
      <c r="N2346" t="s">
        <v>46569</v>
      </c>
      <c r="O2346" t="s">
        <v>46570</v>
      </c>
      <c r="P2346">
        <v>0</v>
      </c>
      <c r="Q2346">
        <v>0</v>
      </c>
      <c r="R2346" t="s">
        <v>46571</v>
      </c>
      <c r="S2346" t="s">
        <v>46687</v>
      </c>
      <c r="T2346" t="s">
        <v>48274</v>
      </c>
      <c r="U2346" t="s">
        <v>50716</v>
      </c>
      <c r="W2346" t="s">
        <v>43569</v>
      </c>
      <c r="X2346" t="s">
        <v>46572</v>
      </c>
    </row>
    <row r="2347" spans="1:24">
      <c r="A2347">
        <f>HYPERLINK("https://www.philgeps.gov.ph/GEPSNONPILOT/Tender/SplashBidNoticeAbstractUI.aspx?menuIndex=3&amp;refID=7067287&amp;Result=3","7067287")</f>
        <v>0</v>
      </c>
      <c r="B2347" t="s">
        <v>974</v>
      </c>
      <c r="C2347" t="s">
        <v>5801</v>
      </c>
      <c r="D2347" t="s">
        <v>18803</v>
      </c>
      <c r="E2347" t="s">
        <v>21047</v>
      </c>
      <c r="F2347" t="s">
        <v>32664</v>
      </c>
      <c r="G2347" t="s">
        <v>32674</v>
      </c>
      <c r="H2347" t="s">
        <v>12635</v>
      </c>
      <c r="I2347" t="s">
        <v>8797</v>
      </c>
      <c r="J2347" t="s">
        <v>34462</v>
      </c>
      <c r="K2347" t="s">
        <v>42339</v>
      </c>
      <c r="M2347" t="s">
        <v>43583</v>
      </c>
      <c r="N2347" t="s">
        <v>46569</v>
      </c>
      <c r="O2347" t="s">
        <v>46570</v>
      </c>
      <c r="P2347">
        <v>0</v>
      </c>
      <c r="Q2347">
        <v>0</v>
      </c>
      <c r="R2347" t="s">
        <v>46571</v>
      </c>
      <c r="S2347" t="s">
        <v>46687</v>
      </c>
      <c r="T2347" t="s">
        <v>48290</v>
      </c>
      <c r="U2347" t="s">
        <v>50717</v>
      </c>
      <c r="W2347" t="s">
        <v>43583</v>
      </c>
      <c r="X2347" t="s">
        <v>46572</v>
      </c>
    </row>
    <row r="2348" spans="1:24">
      <c r="A2348">
        <f>HYPERLINK("https://www.philgeps.gov.ph/GEPSNONPILOT/Tender/SplashBidNoticeAbstractUI.aspx?menuIndex=3&amp;refID=7067195&amp;Result=3","7067195")</f>
        <v>0</v>
      </c>
      <c r="B2348" t="s">
        <v>975</v>
      </c>
      <c r="C2348" t="s">
        <v>5802</v>
      </c>
      <c r="D2348" t="s">
        <v>18831</v>
      </c>
      <c r="E2348" t="s">
        <v>20602</v>
      </c>
      <c r="F2348" t="s">
        <v>32664</v>
      </c>
      <c r="G2348" t="s">
        <v>32671</v>
      </c>
      <c r="H2348" t="s">
        <v>12635</v>
      </c>
      <c r="I2348" t="s">
        <v>8730</v>
      </c>
      <c r="J2348" t="s">
        <v>33163</v>
      </c>
      <c r="K2348" t="s">
        <v>42289</v>
      </c>
      <c r="M2348" t="s">
        <v>43584</v>
      </c>
      <c r="N2348" t="s">
        <v>46569</v>
      </c>
      <c r="O2348" t="s">
        <v>46570</v>
      </c>
      <c r="P2348">
        <v>0</v>
      </c>
      <c r="Q2348">
        <v>1</v>
      </c>
      <c r="R2348" t="s">
        <v>46571</v>
      </c>
      <c r="S2348" t="s">
        <v>46687</v>
      </c>
      <c r="T2348" t="s">
        <v>48442</v>
      </c>
      <c r="U2348" t="s">
        <v>50718</v>
      </c>
      <c r="W2348" t="s">
        <v>43584</v>
      </c>
      <c r="X2348" t="s">
        <v>46572</v>
      </c>
    </row>
    <row r="2349" spans="1:24">
      <c r="A2349">
        <f>HYPERLINK("https://www.philgeps.gov.ph/GEPSNONPILOT/Tender/SplashBidNoticeAbstractUI.aspx?menuIndex=3&amp;refID=7067278&amp;Result=3","7067278")</f>
        <v>0</v>
      </c>
      <c r="B2349" t="s">
        <v>967</v>
      </c>
      <c r="C2349" t="s">
        <v>5803</v>
      </c>
      <c r="D2349" t="s">
        <v>18784</v>
      </c>
      <c r="E2349" t="s">
        <v>21048</v>
      </c>
      <c r="F2349" t="s">
        <v>32664</v>
      </c>
      <c r="G2349" t="s">
        <v>32671</v>
      </c>
      <c r="H2349" t="s">
        <v>12635</v>
      </c>
      <c r="I2349" t="s">
        <v>32701</v>
      </c>
      <c r="J2349" t="s">
        <v>33320</v>
      </c>
      <c r="K2349" t="s">
        <v>42283</v>
      </c>
      <c r="M2349" t="s">
        <v>43576</v>
      </c>
      <c r="N2349" t="s">
        <v>46569</v>
      </c>
      <c r="O2349" t="s">
        <v>46570</v>
      </c>
      <c r="P2349">
        <v>0</v>
      </c>
      <c r="Q2349">
        <v>1</v>
      </c>
      <c r="R2349" t="s">
        <v>46571</v>
      </c>
      <c r="S2349" t="s">
        <v>46687</v>
      </c>
      <c r="T2349" t="s">
        <v>48244</v>
      </c>
      <c r="U2349" t="s">
        <v>50719</v>
      </c>
      <c r="W2349" t="s">
        <v>63500</v>
      </c>
      <c r="X2349" t="s">
        <v>46572</v>
      </c>
    </row>
    <row r="2350" spans="1:24">
      <c r="A2350">
        <f>HYPERLINK("https://www.philgeps.gov.ph/GEPSNONPILOT/Tender/SplashBidNoticeAbstractUI.aspx?menuIndex=3&amp;refID=7067165&amp;Result=3","7067165")</f>
        <v>0</v>
      </c>
      <c r="B2350" t="s">
        <v>949</v>
      </c>
      <c r="C2350" t="s">
        <v>4874</v>
      </c>
      <c r="D2350" t="s">
        <v>18784</v>
      </c>
      <c r="E2350" t="s">
        <v>21049</v>
      </c>
      <c r="F2350" t="s">
        <v>32664</v>
      </c>
      <c r="G2350" t="s">
        <v>32675</v>
      </c>
      <c r="H2350" t="s">
        <v>12635</v>
      </c>
      <c r="I2350" t="s">
        <v>8730</v>
      </c>
      <c r="J2350" t="s">
        <v>34463</v>
      </c>
      <c r="K2350" t="s">
        <v>42297</v>
      </c>
      <c r="M2350" t="s">
        <v>43555</v>
      </c>
      <c r="N2350" t="s">
        <v>46569</v>
      </c>
      <c r="O2350" t="s">
        <v>46570</v>
      </c>
      <c r="P2350">
        <v>0</v>
      </c>
      <c r="Q2350">
        <v>2</v>
      </c>
      <c r="R2350" t="s">
        <v>46571</v>
      </c>
      <c r="S2350" t="s">
        <v>46687</v>
      </c>
      <c r="T2350" t="s">
        <v>48230</v>
      </c>
      <c r="U2350" t="s">
        <v>50720</v>
      </c>
      <c r="W2350" t="s">
        <v>43555</v>
      </c>
      <c r="X2350" t="s">
        <v>46572</v>
      </c>
    </row>
    <row r="2351" spans="1:24">
      <c r="A2351">
        <f>HYPERLINK("https://www.philgeps.gov.ph/GEPSNONPILOT/Tender/SplashBidNoticeAbstractUI.aspx?menuIndex=3&amp;refID=7067246&amp;Result=3","7067246")</f>
        <v>0</v>
      </c>
      <c r="B2351" t="s">
        <v>43</v>
      </c>
      <c r="C2351" t="s">
        <v>5804</v>
      </c>
      <c r="D2351" t="s">
        <v>18789</v>
      </c>
      <c r="E2351" t="s">
        <v>21050</v>
      </c>
      <c r="F2351" t="s">
        <v>32664</v>
      </c>
      <c r="G2351" t="s">
        <v>32672</v>
      </c>
      <c r="H2351" t="s">
        <v>12635</v>
      </c>
      <c r="I2351" t="s">
        <v>11464</v>
      </c>
      <c r="J2351" t="s">
        <v>34338</v>
      </c>
      <c r="K2351" t="s">
        <v>42297</v>
      </c>
      <c r="M2351" t="s">
        <v>42605</v>
      </c>
      <c r="N2351" t="s">
        <v>46569</v>
      </c>
      <c r="O2351" t="s">
        <v>46570</v>
      </c>
      <c r="P2351">
        <v>0</v>
      </c>
      <c r="Q2351">
        <v>1</v>
      </c>
      <c r="R2351" t="s">
        <v>46571</v>
      </c>
      <c r="S2351" t="s">
        <v>46687</v>
      </c>
      <c r="T2351" t="s">
        <v>48229</v>
      </c>
      <c r="U2351" t="s">
        <v>48826</v>
      </c>
      <c r="V2351" t="s">
        <v>61617</v>
      </c>
      <c r="W2351" t="s">
        <v>42605</v>
      </c>
      <c r="X2351" t="s">
        <v>46572</v>
      </c>
    </row>
    <row r="2352" spans="1:24">
      <c r="A2352">
        <f>HYPERLINK("https://www.philgeps.gov.ph/GEPSNONPILOT/Tender/SplashBidNoticeAbstractUI.aspx?menuIndex=3&amp;refID=7067277&amp;Result=3","7067277")</f>
        <v>0</v>
      </c>
      <c r="B2352" t="s">
        <v>964</v>
      </c>
      <c r="C2352" t="s">
        <v>5805</v>
      </c>
      <c r="D2352" t="s">
        <v>18786</v>
      </c>
      <c r="E2352" t="s">
        <v>21051</v>
      </c>
      <c r="F2352" t="s">
        <v>32664</v>
      </c>
      <c r="G2352" t="s">
        <v>32671</v>
      </c>
      <c r="H2352" t="s">
        <v>12635</v>
      </c>
      <c r="I2352" t="s">
        <v>32724</v>
      </c>
      <c r="J2352" t="s">
        <v>33688</v>
      </c>
      <c r="K2352" t="s">
        <v>42289</v>
      </c>
      <c r="M2352" t="s">
        <v>43572</v>
      </c>
      <c r="N2352" t="s">
        <v>46569</v>
      </c>
      <c r="O2352" t="s">
        <v>46570</v>
      </c>
      <c r="P2352">
        <v>0</v>
      </c>
      <c r="Q2352">
        <v>1</v>
      </c>
      <c r="R2352" t="s">
        <v>46571</v>
      </c>
      <c r="S2352" t="s">
        <v>46687</v>
      </c>
      <c r="T2352" t="s">
        <v>48298</v>
      </c>
      <c r="U2352" t="s">
        <v>50721</v>
      </c>
      <c r="W2352" t="s">
        <v>63499</v>
      </c>
      <c r="X2352" t="s">
        <v>46572</v>
      </c>
    </row>
    <row r="2353" spans="1:24">
      <c r="A2353">
        <f>HYPERLINK("https://www.philgeps.gov.ph/GEPSNONPILOT/Tender/SplashBidNoticeAbstractUI.aspx?menuIndex=3&amp;refID=7067275&amp;Result=3","7067275")</f>
        <v>0</v>
      </c>
      <c r="B2353" t="s">
        <v>973</v>
      </c>
      <c r="C2353" t="s">
        <v>5806</v>
      </c>
      <c r="D2353" t="s">
        <v>18819</v>
      </c>
      <c r="E2353" t="s">
        <v>21052</v>
      </c>
      <c r="F2353" t="s">
        <v>32664</v>
      </c>
      <c r="G2353" t="s">
        <v>32672</v>
      </c>
      <c r="H2353" t="s">
        <v>12635</v>
      </c>
      <c r="I2353" t="s">
        <v>6168</v>
      </c>
      <c r="J2353" t="s">
        <v>34464</v>
      </c>
      <c r="K2353" t="s">
        <v>42382</v>
      </c>
      <c r="M2353" t="s">
        <v>43582</v>
      </c>
      <c r="N2353" t="s">
        <v>46569</v>
      </c>
      <c r="O2353" t="s">
        <v>46570</v>
      </c>
      <c r="P2353">
        <v>0</v>
      </c>
      <c r="Q2353">
        <v>3</v>
      </c>
      <c r="R2353" t="s">
        <v>46571</v>
      </c>
      <c r="S2353" t="s">
        <v>46687</v>
      </c>
      <c r="T2353" t="s">
        <v>48226</v>
      </c>
      <c r="U2353" t="s">
        <v>50722</v>
      </c>
      <c r="W2353" t="s">
        <v>43582</v>
      </c>
      <c r="X2353" t="s">
        <v>46572</v>
      </c>
    </row>
    <row r="2354" spans="1:24">
      <c r="A2354">
        <f>HYPERLINK("https://www.philgeps.gov.ph/GEPSNONPILOT/Tender/SplashBidNoticeAbstractUI.aspx?menuIndex=3&amp;refID=7067272&amp;Result=3","7067272")</f>
        <v>0</v>
      </c>
      <c r="B2354" t="s">
        <v>964</v>
      </c>
      <c r="C2354" t="s">
        <v>5807</v>
      </c>
      <c r="D2354" t="s">
        <v>18786</v>
      </c>
      <c r="E2354" t="s">
        <v>21053</v>
      </c>
      <c r="F2354" t="s">
        <v>32664</v>
      </c>
      <c r="G2354" t="s">
        <v>32671</v>
      </c>
      <c r="H2354" t="s">
        <v>12635</v>
      </c>
      <c r="I2354" t="s">
        <v>32706</v>
      </c>
      <c r="J2354" t="s">
        <v>34465</v>
      </c>
      <c r="K2354" t="s">
        <v>42311</v>
      </c>
      <c r="M2354" t="s">
        <v>43572</v>
      </c>
      <c r="N2354" t="s">
        <v>46569</v>
      </c>
      <c r="O2354" t="s">
        <v>46570</v>
      </c>
      <c r="P2354">
        <v>0</v>
      </c>
      <c r="Q2354">
        <v>0</v>
      </c>
      <c r="R2354" t="s">
        <v>46571</v>
      </c>
      <c r="S2354" t="s">
        <v>46687</v>
      </c>
      <c r="T2354" t="s">
        <v>48298</v>
      </c>
      <c r="U2354" t="s">
        <v>50723</v>
      </c>
      <c r="W2354" t="s">
        <v>63499</v>
      </c>
      <c r="X2354" t="s">
        <v>46572</v>
      </c>
    </row>
    <row r="2355" spans="1:24">
      <c r="A2355">
        <f>HYPERLINK("https://www.philgeps.gov.ph/GEPSNONPILOT/Tender/SplashBidNoticeAbstractUI.aspx?menuIndex=3&amp;refID=7067294&amp;Result=3","7067294")</f>
        <v>0</v>
      </c>
      <c r="B2355" t="s">
        <v>961</v>
      </c>
      <c r="C2355" t="s">
        <v>5808</v>
      </c>
      <c r="D2355" t="s">
        <v>18858</v>
      </c>
      <c r="E2355" t="s">
        <v>21054</v>
      </c>
      <c r="F2355" t="s">
        <v>32664</v>
      </c>
      <c r="G2355" t="s">
        <v>32672</v>
      </c>
      <c r="H2355" t="s">
        <v>32682</v>
      </c>
      <c r="I2355" t="s">
        <v>10370</v>
      </c>
      <c r="J2355" t="s">
        <v>34466</v>
      </c>
      <c r="K2355" t="s">
        <v>42281</v>
      </c>
      <c r="M2355" t="s">
        <v>43569</v>
      </c>
      <c r="N2355" t="s">
        <v>46569</v>
      </c>
      <c r="O2355" t="s">
        <v>46570</v>
      </c>
      <c r="P2355">
        <v>0</v>
      </c>
      <c r="Q2355">
        <v>1</v>
      </c>
      <c r="R2355" t="s">
        <v>46571</v>
      </c>
      <c r="S2355" t="s">
        <v>46687</v>
      </c>
      <c r="T2355" t="s">
        <v>48274</v>
      </c>
      <c r="U2355" t="s">
        <v>50724</v>
      </c>
      <c r="W2355" t="s">
        <v>43569</v>
      </c>
      <c r="X2355" t="s">
        <v>46572</v>
      </c>
    </row>
    <row r="2356" spans="1:24">
      <c r="A2356">
        <f>HYPERLINK("https://www.philgeps.gov.ph/GEPSNONPILOT/Tender/SplashBidNoticeAbstractUI.aspx?menuIndex=3&amp;refID=7067169&amp;Result=3","7067169")</f>
        <v>0</v>
      </c>
      <c r="B2356" t="s">
        <v>976</v>
      </c>
      <c r="C2356" t="s">
        <v>5809</v>
      </c>
      <c r="D2356" t="s">
        <v>18784</v>
      </c>
      <c r="E2356" t="s">
        <v>21055</v>
      </c>
      <c r="F2356" t="s">
        <v>32664</v>
      </c>
      <c r="G2356" t="s">
        <v>32674</v>
      </c>
      <c r="H2356" t="s">
        <v>12635</v>
      </c>
      <c r="I2356" t="s">
        <v>4205</v>
      </c>
      <c r="J2356" t="s">
        <v>32898</v>
      </c>
      <c r="K2356" t="s">
        <v>42309</v>
      </c>
      <c r="M2356" t="s">
        <v>43585</v>
      </c>
      <c r="N2356" t="s">
        <v>46569</v>
      </c>
      <c r="O2356" t="s">
        <v>46570</v>
      </c>
      <c r="P2356">
        <v>0</v>
      </c>
      <c r="Q2356">
        <v>0</v>
      </c>
      <c r="R2356" t="s">
        <v>46571</v>
      </c>
      <c r="S2356" t="s">
        <v>46687</v>
      </c>
      <c r="T2356" t="s">
        <v>48246</v>
      </c>
      <c r="U2356" t="s">
        <v>50725</v>
      </c>
      <c r="W2356" t="s">
        <v>43585</v>
      </c>
      <c r="X2356" t="s">
        <v>46572</v>
      </c>
    </row>
    <row r="2357" spans="1:24">
      <c r="A2357">
        <f>HYPERLINK("https://www.philgeps.gov.ph/GEPSNONPILOT/Tender/SplashBidNoticeAbstractUI.aspx?menuIndex=3&amp;refID=7067281&amp;Result=3","7067281")</f>
        <v>0</v>
      </c>
      <c r="B2357" t="s">
        <v>977</v>
      </c>
      <c r="C2357" t="s">
        <v>5810</v>
      </c>
      <c r="D2357" t="s">
        <v>18856</v>
      </c>
      <c r="E2357" t="s">
        <v>21041</v>
      </c>
      <c r="F2357" t="s">
        <v>32664</v>
      </c>
      <c r="G2357" t="s">
        <v>32672</v>
      </c>
      <c r="H2357" t="s">
        <v>12635</v>
      </c>
      <c r="I2357" t="s">
        <v>14442</v>
      </c>
      <c r="J2357" t="s">
        <v>34467</v>
      </c>
      <c r="K2357" t="s">
        <v>42281</v>
      </c>
      <c r="M2357" t="s">
        <v>43586</v>
      </c>
      <c r="N2357" t="s">
        <v>46569</v>
      </c>
      <c r="O2357" t="s">
        <v>46570</v>
      </c>
      <c r="P2357">
        <v>0</v>
      </c>
      <c r="Q2357">
        <v>1</v>
      </c>
      <c r="R2357" t="s">
        <v>46571</v>
      </c>
      <c r="S2357" t="s">
        <v>46687</v>
      </c>
      <c r="T2357" t="s">
        <v>48368</v>
      </c>
      <c r="U2357" t="s">
        <v>50726</v>
      </c>
      <c r="W2357" t="s">
        <v>43586</v>
      </c>
      <c r="X2357" t="s">
        <v>46572</v>
      </c>
    </row>
    <row r="2358" spans="1:24">
      <c r="A2358">
        <f>HYPERLINK("https://www.philgeps.gov.ph/GEPSNONPILOT/Tender/SplashBidNoticeAbstractUI.aspx?menuIndex=3&amp;refID=7067279&amp;Result=3","7067279")</f>
        <v>0</v>
      </c>
      <c r="B2358" t="s">
        <v>978</v>
      </c>
      <c r="C2358" t="s">
        <v>5811</v>
      </c>
      <c r="D2358" t="s">
        <v>18798</v>
      </c>
      <c r="E2358" t="s">
        <v>21056</v>
      </c>
      <c r="F2358" t="s">
        <v>32664</v>
      </c>
      <c r="G2358" t="s">
        <v>32671</v>
      </c>
      <c r="H2358" t="s">
        <v>12635</v>
      </c>
      <c r="I2358" t="s">
        <v>32739</v>
      </c>
      <c r="J2358" t="s">
        <v>33128</v>
      </c>
      <c r="K2358" t="s">
        <v>42284</v>
      </c>
      <c r="M2358" t="s">
        <v>43587</v>
      </c>
      <c r="N2358" t="s">
        <v>46569</v>
      </c>
      <c r="O2358" t="s">
        <v>46570</v>
      </c>
      <c r="P2358">
        <v>0</v>
      </c>
      <c r="Q2358">
        <v>0</v>
      </c>
      <c r="R2358" t="s">
        <v>46571</v>
      </c>
      <c r="S2358" t="s">
        <v>46687</v>
      </c>
      <c r="T2358" t="s">
        <v>48219</v>
      </c>
      <c r="U2358" t="s">
        <v>50727</v>
      </c>
      <c r="W2358" t="s">
        <v>43587</v>
      </c>
      <c r="X2358" t="s">
        <v>46572</v>
      </c>
    </row>
    <row r="2359" spans="1:24">
      <c r="A2359">
        <f>HYPERLINK("https://www.philgeps.gov.ph/GEPSNONPILOT/Tender/SplashBidNoticeAbstractUI.aspx?menuIndex=3&amp;refID=7067311&amp;Result=3","7067311")</f>
        <v>0</v>
      </c>
      <c r="B2359" t="s">
        <v>979</v>
      </c>
      <c r="C2359" t="s">
        <v>5812</v>
      </c>
      <c r="D2359" t="s">
        <v>18805</v>
      </c>
      <c r="E2359" t="s">
        <v>21057</v>
      </c>
      <c r="F2359" t="s">
        <v>32664</v>
      </c>
      <c r="G2359" t="s">
        <v>32672</v>
      </c>
      <c r="H2359" t="s">
        <v>12635</v>
      </c>
      <c r="I2359" t="s">
        <v>32719</v>
      </c>
      <c r="J2359" t="s">
        <v>33085</v>
      </c>
      <c r="K2359" t="s">
        <v>42306</v>
      </c>
      <c r="M2359" t="s">
        <v>43588</v>
      </c>
      <c r="N2359" t="s">
        <v>46569</v>
      </c>
      <c r="O2359" t="s">
        <v>46570</v>
      </c>
      <c r="P2359">
        <v>0</v>
      </c>
      <c r="Q2359">
        <v>1</v>
      </c>
      <c r="R2359" t="s">
        <v>46571</v>
      </c>
      <c r="S2359" t="s">
        <v>46687</v>
      </c>
      <c r="T2359" t="s">
        <v>48443</v>
      </c>
      <c r="U2359" t="s">
        <v>50728</v>
      </c>
      <c r="W2359" t="s">
        <v>43588</v>
      </c>
      <c r="X2359" t="s">
        <v>46572</v>
      </c>
    </row>
    <row r="2360" spans="1:24">
      <c r="A2360">
        <f>HYPERLINK("https://www.philgeps.gov.ph/GEPSNONPILOT/Tender/SplashBidNoticeAbstractUI.aspx?menuIndex=3&amp;refID=7067310&amp;Result=3","7067310")</f>
        <v>0</v>
      </c>
      <c r="B2360" t="s">
        <v>980</v>
      </c>
      <c r="C2360" t="s">
        <v>5813</v>
      </c>
      <c r="D2360" t="s">
        <v>18816</v>
      </c>
      <c r="E2360" t="s">
        <v>19533</v>
      </c>
      <c r="F2360" t="s">
        <v>32664</v>
      </c>
      <c r="G2360" t="s">
        <v>32672</v>
      </c>
      <c r="H2360" t="s">
        <v>12635</v>
      </c>
      <c r="I2360" t="s">
        <v>32704</v>
      </c>
      <c r="J2360" t="s">
        <v>34468</v>
      </c>
      <c r="K2360" t="s">
        <v>42297</v>
      </c>
      <c r="M2360" t="s">
        <v>43589</v>
      </c>
      <c r="N2360" t="s">
        <v>46569</v>
      </c>
      <c r="O2360" t="s">
        <v>46570</v>
      </c>
      <c r="P2360">
        <v>0</v>
      </c>
      <c r="Q2360">
        <v>2</v>
      </c>
      <c r="R2360" t="s">
        <v>46571</v>
      </c>
      <c r="S2360" t="s">
        <v>46687</v>
      </c>
      <c r="T2360" t="s">
        <v>48216</v>
      </c>
      <c r="U2360" t="s">
        <v>50729</v>
      </c>
      <c r="W2360" t="s">
        <v>46552</v>
      </c>
      <c r="X2360" t="s">
        <v>46572</v>
      </c>
    </row>
    <row r="2361" spans="1:24">
      <c r="A2361">
        <f>HYPERLINK("https://www.philgeps.gov.ph/GEPSNONPILOT/Tender/SplashBidNoticeAbstractUI.aspx?menuIndex=3&amp;refID=7067307&amp;Result=3","7067307")</f>
        <v>0</v>
      </c>
      <c r="B2361" t="s">
        <v>981</v>
      </c>
      <c r="C2361" t="s">
        <v>5814</v>
      </c>
      <c r="D2361" t="s">
        <v>18805</v>
      </c>
      <c r="E2361" t="s">
        <v>19629</v>
      </c>
      <c r="F2361" t="s">
        <v>32664</v>
      </c>
      <c r="G2361" t="s">
        <v>32671</v>
      </c>
      <c r="H2361" t="s">
        <v>12635</v>
      </c>
      <c r="I2361" t="s">
        <v>4205</v>
      </c>
      <c r="J2361" t="s">
        <v>34182</v>
      </c>
      <c r="K2361" t="s">
        <v>42306</v>
      </c>
      <c r="M2361" t="s">
        <v>43590</v>
      </c>
      <c r="N2361" t="s">
        <v>46569</v>
      </c>
      <c r="O2361" t="s">
        <v>46570</v>
      </c>
      <c r="P2361">
        <v>0</v>
      </c>
      <c r="Q2361">
        <v>0</v>
      </c>
      <c r="R2361" t="s">
        <v>46571</v>
      </c>
      <c r="S2361" t="s">
        <v>46687</v>
      </c>
      <c r="T2361" t="s">
        <v>48373</v>
      </c>
      <c r="U2361" t="s">
        <v>50730</v>
      </c>
      <c r="W2361" t="s">
        <v>43590</v>
      </c>
      <c r="X2361" t="s">
        <v>46572</v>
      </c>
    </row>
    <row r="2362" spans="1:24">
      <c r="A2362">
        <f>HYPERLINK("https://www.philgeps.gov.ph/GEPSNONPILOT/Tender/SplashBidNoticeAbstractUI.aspx?menuIndex=3&amp;refID=7067285&amp;Result=3","7067285")</f>
        <v>0</v>
      </c>
      <c r="B2362" t="s">
        <v>104</v>
      </c>
      <c r="C2362" t="s">
        <v>5815</v>
      </c>
      <c r="E2362" t="s">
        <v>21058</v>
      </c>
      <c r="F2362" t="s">
        <v>32664</v>
      </c>
      <c r="G2362" t="s">
        <v>32671</v>
      </c>
      <c r="H2362" t="s">
        <v>12635</v>
      </c>
      <c r="I2362" t="s">
        <v>32704</v>
      </c>
      <c r="J2362" t="s">
        <v>34444</v>
      </c>
      <c r="K2362" t="s">
        <v>42281</v>
      </c>
      <c r="M2362" t="s">
        <v>43591</v>
      </c>
      <c r="N2362" t="s">
        <v>46569</v>
      </c>
      <c r="O2362" t="s">
        <v>46570</v>
      </c>
      <c r="P2362">
        <v>0</v>
      </c>
      <c r="Q2362">
        <v>3</v>
      </c>
      <c r="R2362" t="s">
        <v>46571</v>
      </c>
      <c r="S2362" t="s">
        <v>46687</v>
      </c>
      <c r="T2362" t="s">
        <v>48356</v>
      </c>
      <c r="U2362" t="s">
        <v>50731</v>
      </c>
      <c r="W2362" t="s">
        <v>43591</v>
      </c>
      <c r="X2362" t="s">
        <v>46572</v>
      </c>
    </row>
    <row r="2363" spans="1:24">
      <c r="A2363">
        <f>HYPERLINK("https://www.philgeps.gov.ph/GEPSNONPILOT/Tender/SplashBidNoticeAbstractUI.aspx?menuIndex=3&amp;refID=7067305&amp;Result=3","7067305")</f>
        <v>0</v>
      </c>
      <c r="B2363" t="s">
        <v>982</v>
      </c>
      <c r="C2363" t="s">
        <v>5816</v>
      </c>
      <c r="D2363" t="s">
        <v>18822</v>
      </c>
      <c r="E2363" t="s">
        <v>21059</v>
      </c>
      <c r="F2363" t="s">
        <v>32665</v>
      </c>
      <c r="G2363" t="s">
        <v>32672</v>
      </c>
      <c r="H2363" t="s">
        <v>12635</v>
      </c>
      <c r="I2363" t="s">
        <v>4439</v>
      </c>
      <c r="J2363" t="s">
        <v>34469</v>
      </c>
      <c r="K2363" t="s">
        <v>42297</v>
      </c>
      <c r="M2363" t="s">
        <v>43592</v>
      </c>
      <c r="N2363" t="s">
        <v>46569</v>
      </c>
      <c r="O2363" t="s">
        <v>46570</v>
      </c>
      <c r="P2363">
        <v>0</v>
      </c>
      <c r="Q2363">
        <v>0</v>
      </c>
      <c r="R2363" t="s">
        <v>46571</v>
      </c>
      <c r="S2363" t="s">
        <v>46687</v>
      </c>
      <c r="T2363" t="s">
        <v>48394</v>
      </c>
      <c r="U2363" t="s">
        <v>50732</v>
      </c>
      <c r="W2363" t="s">
        <v>43592</v>
      </c>
      <c r="X2363" t="s">
        <v>46572</v>
      </c>
    </row>
    <row r="2364" spans="1:24">
      <c r="A2364">
        <f>HYPERLINK("https://www.philgeps.gov.ph/GEPSNONPILOT/Tender/SplashBidNoticeAbstractUI.aspx?menuIndex=3&amp;refID=7067304&amp;Result=3","7067304")</f>
        <v>0</v>
      </c>
      <c r="B2364" t="s">
        <v>979</v>
      </c>
      <c r="C2364" t="s">
        <v>5817</v>
      </c>
      <c r="D2364" t="s">
        <v>18805</v>
      </c>
      <c r="E2364" t="s">
        <v>21060</v>
      </c>
      <c r="F2364" t="s">
        <v>32664</v>
      </c>
      <c r="G2364" t="s">
        <v>32672</v>
      </c>
      <c r="H2364" t="s">
        <v>12635</v>
      </c>
      <c r="I2364" t="s">
        <v>8730</v>
      </c>
      <c r="J2364" t="s">
        <v>34470</v>
      </c>
      <c r="K2364" t="s">
        <v>42306</v>
      </c>
      <c r="M2364" t="s">
        <v>43588</v>
      </c>
      <c r="N2364" t="s">
        <v>46569</v>
      </c>
      <c r="O2364" t="s">
        <v>46570</v>
      </c>
      <c r="P2364">
        <v>0</v>
      </c>
      <c r="Q2364">
        <v>1</v>
      </c>
      <c r="R2364" t="s">
        <v>46571</v>
      </c>
      <c r="S2364" t="s">
        <v>46687</v>
      </c>
      <c r="T2364" t="s">
        <v>48443</v>
      </c>
      <c r="U2364" t="s">
        <v>50733</v>
      </c>
      <c r="W2364" t="s">
        <v>43588</v>
      </c>
      <c r="X2364" t="s">
        <v>46572</v>
      </c>
    </row>
    <row r="2365" spans="1:24">
      <c r="A2365">
        <f>HYPERLINK("https://www.philgeps.gov.ph/GEPSNONPILOT/Tender/SplashBidNoticeAbstractUI.aspx?menuIndex=3&amp;refID=7067303&amp;Result=3","7067303")</f>
        <v>0</v>
      </c>
      <c r="B2365" t="s">
        <v>961</v>
      </c>
      <c r="C2365" t="s">
        <v>5818</v>
      </c>
      <c r="D2365" t="s">
        <v>18858</v>
      </c>
      <c r="E2365" t="s">
        <v>21061</v>
      </c>
      <c r="F2365" t="s">
        <v>32664</v>
      </c>
      <c r="G2365" t="s">
        <v>32672</v>
      </c>
      <c r="H2365" t="s">
        <v>32682</v>
      </c>
      <c r="I2365" t="s">
        <v>32699</v>
      </c>
      <c r="J2365" t="s">
        <v>34471</v>
      </c>
      <c r="K2365" t="s">
        <v>42281</v>
      </c>
      <c r="M2365" t="s">
        <v>43569</v>
      </c>
      <c r="N2365" t="s">
        <v>46569</v>
      </c>
      <c r="O2365" t="s">
        <v>46570</v>
      </c>
      <c r="P2365">
        <v>0</v>
      </c>
      <c r="Q2365">
        <v>0</v>
      </c>
      <c r="R2365" t="s">
        <v>46571</v>
      </c>
      <c r="S2365" t="s">
        <v>46687</v>
      </c>
      <c r="T2365" t="s">
        <v>48274</v>
      </c>
      <c r="U2365" t="s">
        <v>50734</v>
      </c>
      <c r="W2365" t="s">
        <v>43569</v>
      </c>
      <c r="X2365" t="s">
        <v>46572</v>
      </c>
    </row>
    <row r="2366" spans="1:24">
      <c r="A2366">
        <f>HYPERLINK("https://www.philgeps.gov.ph/GEPSNONPILOT/Tender/SplashBidNoticeAbstractUI.aspx?menuIndex=3&amp;refID=7067302&amp;Result=3","7067302")</f>
        <v>0</v>
      </c>
      <c r="B2366" t="s">
        <v>983</v>
      </c>
      <c r="C2366" t="s">
        <v>5819</v>
      </c>
      <c r="D2366" t="s">
        <v>18832</v>
      </c>
      <c r="E2366" t="s">
        <v>21062</v>
      </c>
      <c r="F2366" t="s">
        <v>32664</v>
      </c>
      <c r="G2366" t="s">
        <v>32671</v>
      </c>
      <c r="H2366" t="s">
        <v>12635</v>
      </c>
      <c r="I2366" t="s">
        <v>11464</v>
      </c>
      <c r="J2366" t="s">
        <v>32859</v>
      </c>
      <c r="K2366" t="s">
        <v>42289</v>
      </c>
      <c r="M2366" t="s">
        <v>43593</v>
      </c>
      <c r="N2366" t="s">
        <v>46569</v>
      </c>
      <c r="O2366" t="s">
        <v>46570</v>
      </c>
      <c r="P2366">
        <v>0</v>
      </c>
      <c r="Q2366">
        <v>1</v>
      </c>
      <c r="R2366" t="s">
        <v>46571</v>
      </c>
      <c r="S2366" t="s">
        <v>46687</v>
      </c>
      <c r="T2366" t="s">
        <v>48219</v>
      </c>
      <c r="U2366" t="s">
        <v>50735</v>
      </c>
      <c r="W2366" t="s">
        <v>43593</v>
      </c>
      <c r="X2366" t="s">
        <v>46572</v>
      </c>
    </row>
    <row r="2367" spans="1:24">
      <c r="A2367">
        <f>HYPERLINK("https://www.philgeps.gov.ph/GEPSNONPILOT/Tender/SplashBidNoticeAbstractUI.aspx?menuIndex=3&amp;refID=7067299&amp;Result=3","7067299")</f>
        <v>0</v>
      </c>
      <c r="B2367" t="s">
        <v>984</v>
      </c>
      <c r="C2367" t="s">
        <v>5820</v>
      </c>
      <c r="D2367" t="s">
        <v>18812</v>
      </c>
      <c r="E2367" t="s">
        <v>19763</v>
      </c>
      <c r="F2367" t="s">
        <v>32664</v>
      </c>
      <c r="G2367" t="s">
        <v>32671</v>
      </c>
      <c r="H2367" t="s">
        <v>32682</v>
      </c>
      <c r="I2367" t="s">
        <v>9946</v>
      </c>
      <c r="J2367" t="s">
        <v>34472</v>
      </c>
      <c r="K2367" t="s">
        <v>42334</v>
      </c>
      <c r="M2367" t="s">
        <v>43594</v>
      </c>
      <c r="N2367" t="s">
        <v>46569</v>
      </c>
      <c r="O2367" t="s">
        <v>46570</v>
      </c>
      <c r="P2367">
        <v>0</v>
      </c>
      <c r="Q2367">
        <v>0</v>
      </c>
      <c r="R2367" t="s">
        <v>46571</v>
      </c>
      <c r="S2367" t="s">
        <v>46687</v>
      </c>
      <c r="T2367" t="s">
        <v>48246</v>
      </c>
      <c r="U2367" t="s">
        <v>50736</v>
      </c>
      <c r="W2367" t="s">
        <v>63501</v>
      </c>
      <c r="X2367" t="s">
        <v>46572</v>
      </c>
    </row>
    <row r="2368" spans="1:24">
      <c r="A2368">
        <f>HYPERLINK("https://www.philgeps.gov.ph/GEPSNONPILOT/Tender/SplashBidNoticeAbstractUI.aspx?menuIndex=3&amp;refID=7067306&amp;Result=3","7067306")</f>
        <v>0</v>
      </c>
      <c r="B2368" t="s">
        <v>985</v>
      </c>
      <c r="C2368" t="s">
        <v>5821</v>
      </c>
      <c r="D2368" t="s">
        <v>18805</v>
      </c>
      <c r="E2368" t="s">
        <v>21063</v>
      </c>
      <c r="F2368" t="s">
        <v>32664</v>
      </c>
      <c r="G2368" t="s">
        <v>32671</v>
      </c>
      <c r="H2368" t="s">
        <v>12635</v>
      </c>
      <c r="I2368" t="s">
        <v>32699</v>
      </c>
      <c r="J2368" t="s">
        <v>34473</v>
      </c>
      <c r="K2368" t="s">
        <v>42284</v>
      </c>
      <c r="M2368" t="s">
        <v>43595</v>
      </c>
      <c r="N2368" t="s">
        <v>46569</v>
      </c>
      <c r="O2368" t="s">
        <v>46570</v>
      </c>
      <c r="P2368">
        <v>0</v>
      </c>
      <c r="Q2368">
        <v>0</v>
      </c>
      <c r="R2368" t="s">
        <v>46571</v>
      </c>
      <c r="S2368" t="s">
        <v>46687</v>
      </c>
      <c r="T2368" t="s">
        <v>48217</v>
      </c>
      <c r="U2368" t="s">
        <v>50737</v>
      </c>
      <c r="V2368" t="s">
        <v>61866</v>
      </c>
      <c r="W2368" t="s">
        <v>43595</v>
      </c>
      <c r="X2368" t="s">
        <v>46572</v>
      </c>
    </row>
    <row r="2369" spans="1:24">
      <c r="A2369">
        <f>HYPERLINK("https://www.philgeps.gov.ph/GEPSNONPILOT/Tender/SplashBidNoticeAbstractUI.aspx?menuIndex=3&amp;refID=7067298&amp;Result=3","7067298")</f>
        <v>0</v>
      </c>
      <c r="B2369" t="s">
        <v>985</v>
      </c>
      <c r="C2369" t="s">
        <v>5822</v>
      </c>
      <c r="D2369" t="s">
        <v>18805</v>
      </c>
      <c r="E2369" t="s">
        <v>21064</v>
      </c>
      <c r="F2369" t="s">
        <v>32664</v>
      </c>
      <c r="G2369" t="s">
        <v>32671</v>
      </c>
      <c r="H2369" t="s">
        <v>12635</v>
      </c>
      <c r="I2369" t="s">
        <v>6223</v>
      </c>
      <c r="J2369" t="s">
        <v>34474</v>
      </c>
      <c r="K2369" t="s">
        <v>42284</v>
      </c>
      <c r="M2369" t="s">
        <v>43595</v>
      </c>
      <c r="N2369" t="s">
        <v>46569</v>
      </c>
      <c r="O2369" t="s">
        <v>46570</v>
      </c>
      <c r="P2369">
        <v>0</v>
      </c>
      <c r="Q2369">
        <v>0</v>
      </c>
      <c r="R2369" t="s">
        <v>46571</v>
      </c>
      <c r="S2369" t="s">
        <v>46687</v>
      </c>
      <c r="T2369" t="s">
        <v>48217</v>
      </c>
      <c r="U2369" t="s">
        <v>50737</v>
      </c>
      <c r="V2369" t="s">
        <v>61866</v>
      </c>
      <c r="W2369" t="s">
        <v>43595</v>
      </c>
      <c r="X2369" t="s">
        <v>46572</v>
      </c>
    </row>
    <row r="2370" spans="1:24">
      <c r="A2370">
        <f>HYPERLINK("https://www.philgeps.gov.ph/GEPSNONPILOT/Tender/SplashBidNoticeAbstractUI.aspx?menuIndex=3&amp;refID=7067296&amp;Result=3","7067296")</f>
        <v>0</v>
      </c>
      <c r="B2370" t="s">
        <v>980</v>
      </c>
      <c r="C2370" t="s">
        <v>5823</v>
      </c>
      <c r="D2370" t="s">
        <v>18816</v>
      </c>
      <c r="E2370" t="s">
        <v>21065</v>
      </c>
      <c r="F2370" t="s">
        <v>32664</v>
      </c>
      <c r="G2370" t="s">
        <v>32672</v>
      </c>
      <c r="H2370" t="s">
        <v>32683</v>
      </c>
      <c r="I2370" t="s">
        <v>10627</v>
      </c>
      <c r="J2370" t="s">
        <v>34475</v>
      </c>
      <c r="K2370" t="s">
        <v>42305</v>
      </c>
      <c r="M2370" t="s">
        <v>43589</v>
      </c>
      <c r="N2370" t="s">
        <v>46569</v>
      </c>
      <c r="O2370" t="s">
        <v>46570</v>
      </c>
      <c r="P2370">
        <v>0</v>
      </c>
      <c r="Q2370">
        <v>0</v>
      </c>
      <c r="R2370" t="s">
        <v>46571</v>
      </c>
      <c r="S2370" t="s">
        <v>46687</v>
      </c>
      <c r="T2370" t="s">
        <v>48216</v>
      </c>
      <c r="U2370" t="s">
        <v>50738</v>
      </c>
      <c r="W2370" t="s">
        <v>46552</v>
      </c>
      <c r="X2370" t="s">
        <v>46572</v>
      </c>
    </row>
    <row r="2371" spans="1:24">
      <c r="A2371">
        <f>HYPERLINK("https://www.philgeps.gov.ph/GEPSNONPILOT/Tender/SplashBidNoticeAbstractUI.aspx?menuIndex=3&amp;refID=7067308&amp;Result=3","7067308")</f>
        <v>0</v>
      </c>
      <c r="B2371" t="s">
        <v>625</v>
      </c>
      <c r="C2371" t="s">
        <v>5824</v>
      </c>
      <c r="D2371" t="s">
        <v>18826</v>
      </c>
      <c r="E2371" t="s">
        <v>21066</v>
      </c>
      <c r="F2371" t="s">
        <v>32664</v>
      </c>
      <c r="G2371" t="s">
        <v>32674</v>
      </c>
      <c r="H2371" t="s">
        <v>12635</v>
      </c>
      <c r="I2371" t="s">
        <v>32694</v>
      </c>
      <c r="J2371" t="s">
        <v>34476</v>
      </c>
      <c r="K2371" t="s">
        <v>42309</v>
      </c>
      <c r="M2371" t="s">
        <v>43205</v>
      </c>
      <c r="N2371" t="s">
        <v>46569</v>
      </c>
      <c r="O2371" t="s">
        <v>46570</v>
      </c>
      <c r="P2371">
        <v>0</v>
      </c>
      <c r="Q2371">
        <v>0</v>
      </c>
      <c r="R2371" t="s">
        <v>46571</v>
      </c>
      <c r="S2371" t="s">
        <v>46687</v>
      </c>
      <c r="T2371" t="s">
        <v>48312</v>
      </c>
      <c r="U2371" t="s">
        <v>50739</v>
      </c>
      <c r="W2371" t="s">
        <v>43205</v>
      </c>
      <c r="X2371" t="s">
        <v>46572</v>
      </c>
    </row>
    <row r="2372" spans="1:24">
      <c r="A2372">
        <f>HYPERLINK("https://www.philgeps.gov.ph/GEPSNONPILOT/Tender/SplashBidNoticeAbstractUI.aspx?menuIndex=3&amp;refID=7067301&amp;Result=3","7067301")</f>
        <v>0</v>
      </c>
      <c r="B2372" t="s">
        <v>455</v>
      </c>
      <c r="C2372" t="s">
        <v>5825</v>
      </c>
      <c r="D2372" t="s">
        <v>18834</v>
      </c>
      <c r="E2372" t="s">
        <v>21067</v>
      </c>
      <c r="F2372" t="s">
        <v>32664</v>
      </c>
      <c r="G2372" t="s">
        <v>32671</v>
      </c>
      <c r="H2372" t="s">
        <v>12635</v>
      </c>
      <c r="I2372" t="s">
        <v>6168</v>
      </c>
      <c r="J2372" t="s">
        <v>34477</v>
      </c>
      <c r="K2372" t="s">
        <v>42281</v>
      </c>
      <c r="M2372" t="s">
        <v>43596</v>
      </c>
      <c r="N2372" t="s">
        <v>46569</v>
      </c>
      <c r="O2372" t="s">
        <v>46570</v>
      </c>
      <c r="P2372">
        <v>0</v>
      </c>
      <c r="Q2372">
        <v>0</v>
      </c>
      <c r="R2372" t="s">
        <v>46571</v>
      </c>
      <c r="S2372" t="s">
        <v>46687</v>
      </c>
      <c r="T2372" t="s">
        <v>48331</v>
      </c>
      <c r="U2372" t="s">
        <v>50740</v>
      </c>
      <c r="W2372" t="s">
        <v>43596</v>
      </c>
      <c r="X2372" t="s">
        <v>46572</v>
      </c>
    </row>
    <row r="2373" spans="1:24">
      <c r="A2373">
        <f>HYPERLINK("https://www.philgeps.gov.ph/GEPSNONPILOT/Tender/SplashBidNoticeAbstractUI.aspx?menuIndex=3&amp;refID=7067271&amp;Result=3","7067271")</f>
        <v>0</v>
      </c>
      <c r="B2373" t="s">
        <v>986</v>
      </c>
      <c r="C2373" t="s">
        <v>5826</v>
      </c>
      <c r="D2373" t="s">
        <v>18820</v>
      </c>
      <c r="E2373" t="s">
        <v>21068</v>
      </c>
      <c r="F2373" t="s">
        <v>32664</v>
      </c>
      <c r="G2373" t="s">
        <v>32672</v>
      </c>
      <c r="H2373" t="s">
        <v>12635</v>
      </c>
      <c r="I2373" t="s">
        <v>32721</v>
      </c>
      <c r="J2373" t="s">
        <v>33184</v>
      </c>
      <c r="K2373" t="s">
        <v>42297</v>
      </c>
      <c r="M2373" t="s">
        <v>43597</v>
      </c>
      <c r="N2373" t="s">
        <v>46569</v>
      </c>
      <c r="O2373" t="s">
        <v>46570</v>
      </c>
      <c r="P2373">
        <v>0</v>
      </c>
      <c r="Q2373">
        <v>0</v>
      </c>
      <c r="R2373" t="s">
        <v>46571</v>
      </c>
      <c r="S2373" t="s">
        <v>46687</v>
      </c>
      <c r="T2373" t="s">
        <v>48274</v>
      </c>
      <c r="U2373" t="s">
        <v>50741</v>
      </c>
      <c r="W2373" t="s">
        <v>43597</v>
      </c>
      <c r="X2373" t="s">
        <v>46572</v>
      </c>
    </row>
    <row r="2374" spans="1:24">
      <c r="A2374">
        <f>HYPERLINK("https://www.philgeps.gov.ph/GEPSNONPILOT/Tender/SplashBidNoticeAbstractUI.aspx?menuIndex=3&amp;refID=7067300&amp;Result=3","7067300")</f>
        <v>0</v>
      </c>
      <c r="B2374" t="s">
        <v>368</v>
      </c>
      <c r="C2374" t="s">
        <v>5827</v>
      </c>
      <c r="D2374" t="s">
        <v>18849</v>
      </c>
      <c r="E2374" t="s">
        <v>21069</v>
      </c>
      <c r="F2374" t="s">
        <v>32664</v>
      </c>
      <c r="G2374" t="s">
        <v>32671</v>
      </c>
      <c r="H2374" t="s">
        <v>12635</v>
      </c>
      <c r="I2374" t="s">
        <v>32684</v>
      </c>
      <c r="J2374" t="s">
        <v>32976</v>
      </c>
      <c r="K2374" t="s">
        <v>42289</v>
      </c>
      <c r="M2374" t="s">
        <v>42937</v>
      </c>
      <c r="N2374" t="s">
        <v>46569</v>
      </c>
      <c r="O2374" t="s">
        <v>46570</v>
      </c>
      <c r="P2374">
        <v>0</v>
      </c>
      <c r="Q2374">
        <v>3</v>
      </c>
      <c r="R2374" t="s">
        <v>46571</v>
      </c>
      <c r="S2374" t="s">
        <v>46687</v>
      </c>
      <c r="T2374" t="s">
        <v>48276</v>
      </c>
      <c r="U2374" t="s">
        <v>50742</v>
      </c>
      <c r="V2374" t="s">
        <v>61709</v>
      </c>
      <c r="W2374" t="s">
        <v>42937</v>
      </c>
      <c r="X2374" t="s">
        <v>46572</v>
      </c>
    </row>
    <row r="2375" spans="1:24">
      <c r="A2375">
        <f>HYPERLINK("https://www.philgeps.gov.ph/GEPSNONPILOT/Tender/SplashBidNoticeAbstractUI.aspx?menuIndex=3&amp;refID=7067334&amp;Result=3","7067334")</f>
        <v>0</v>
      </c>
      <c r="B2375" t="s">
        <v>987</v>
      </c>
      <c r="C2375" t="s">
        <v>5828</v>
      </c>
      <c r="D2375" t="s">
        <v>18784</v>
      </c>
      <c r="E2375" t="s">
        <v>5828</v>
      </c>
      <c r="F2375" t="s">
        <v>32664</v>
      </c>
      <c r="G2375" t="s">
        <v>32672</v>
      </c>
      <c r="H2375" t="s">
        <v>12635</v>
      </c>
      <c r="I2375" t="s">
        <v>8730</v>
      </c>
      <c r="J2375" t="s">
        <v>34478</v>
      </c>
      <c r="K2375" t="s">
        <v>42281</v>
      </c>
      <c r="M2375" t="s">
        <v>43598</v>
      </c>
      <c r="N2375" t="s">
        <v>46569</v>
      </c>
      <c r="O2375" t="s">
        <v>46570</v>
      </c>
      <c r="P2375">
        <v>0</v>
      </c>
      <c r="Q2375">
        <v>0</v>
      </c>
      <c r="R2375" t="s">
        <v>46571</v>
      </c>
      <c r="S2375" t="s">
        <v>46687</v>
      </c>
      <c r="T2375" t="s">
        <v>48274</v>
      </c>
      <c r="U2375" t="s">
        <v>50743</v>
      </c>
      <c r="W2375" t="s">
        <v>43598</v>
      </c>
      <c r="X2375" t="s">
        <v>46572</v>
      </c>
    </row>
    <row r="2376" spans="1:24">
      <c r="A2376">
        <f>HYPERLINK("https://www.philgeps.gov.ph/GEPSNONPILOT/Tender/SplashBidNoticeAbstractUI.aspx?menuIndex=3&amp;refID=7067297&amp;Result=3","7067297")</f>
        <v>0</v>
      </c>
      <c r="B2376" t="s">
        <v>961</v>
      </c>
      <c r="C2376" t="s">
        <v>5829</v>
      </c>
      <c r="D2376" t="s">
        <v>18858</v>
      </c>
      <c r="E2376" t="s">
        <v>21070</v>
      </c>
      <c r="F2376" t="s">
        <v>32664</v>
      </c>
      <c r="G2376" t="s">
        <v>32672</v>
      </c>
      <c r="H2376" t="s">
        <v>32682</v>
      </c>
      <c r="I2376" t="s">
        <v>11464</v>
      </c>
      <c r="J2376" t="s">
        <v>32859</v>
      </c>
      <c r="K2376" t="s">
        <v>42281</v>
      </c>
      <c r="M2376" t="s">
        <v>43569</v>
      </c>
      <c r="N2376" t="s">
        <v>46569</v>
      </c>
      <c r="O2376" t="s">
        <v>46570</v>
      </c>
      <c r="P2376">
        <v>0</v>
      </c>
      <c r="Q2376">
        <v>2</v>
      </c>
      <c r="R2376" t="s">
        <v>46571</v>
      </c>
      <c r="S2376" t="s">
        <v>46687</v>
      </c>
      <c r="T2376" t="s">
        <v>48274</v>
      </c>
      <c r="U2376" t="s">
        <v>50744</v>
      </c>
      <c r="W2376" t="s">
        <v>43569</v>
      </c>
      <c r="X2376" t="s">
        <v>46572</v>
      </c>
    </row>
    <row r="2377" spans="1:24">
      <c r="A2377">
        <f>HYPERLINK("https://www.philgeps.gov.ph/GEPSNONPILOT/Tender/SplashBidNoticeAbstractUI.aspx?menuIndex=3&amp;refID=7067333&amp;Result=3","7067333")</f>
        <v>0</v>
      </c>
      <c r="B2377" t="s">
        <v>987</v>
      </c>
      <c r="C2377" t="s">
        <v>5830</v>
      </c>
      <c r="D2377" t="s">
        <v>18784</v>
      </c>
      <c r="E2377" t="s">
        <v>5830</v>
      </c>
      <c r="F2377" t="s">
        <v>32664</v>
      </c>
      <c r="G2377" t="s">
        <v>32672</v>
      </c>
      <c r="H2377" t="s">
        <v>12635</v>
      </c>
      <c r="I2377" t="s">
        <v>8730</v>
      </c>
      <c r="J2377" t="s">
        <v>34479</v>
      </c>
      <c r="K2377" t="s">
        <v>42281</v>
      </c>
      <c r="M2377" t="s">
        <v>43598</v>
      </c>
      <c r="N2377" t="s">
        <v>46569</v>
      </c>
      <c r="O2377" t="s">
        <v>46570</v>
      </c>
      <c r="P2377">
        <v>0</v>
      </c>
      <c r="Q2377">
        <v>0</v>
      </c>
      <c r="R2377" t="s">
        <v>46571</v>
      </c>
      <c r="S2377" t="s">
        <v>46687</v>
      </c>
      <c r="T2377" t="s">
        <v>48274</v>
      </c>
      <c r="U2377" t="s">
        <v>50743</v>
      </c>
      <c r="W2377" t="s">
        <v>43598</v>
      </c>
      <c r="X2377" t="s">
        <v>46572</v>
      </c>
    </row>
    <row r="2378" spans="1:24">
      <c r="A2378">
        <f>HYPERLINK("https://www.philgeps.gov.ph/GEPSNONPILOT/Tender/SplashBidNoticeAbstractUI.aspx?menuIndex=3&amp;refID=7067309&amp;Result=3","7067309")</f>
        <v>0</v>
      </c>
      <c r="B2378" t="s">
        <v>984</v>
      </c>
      <c r="C2378" t="s">
        <v>5831</v>
      </c>
      <c r="D2378" t="s">
        <v>18812</v>
      </c>
      <c r="E2378" t="s">
        <v>21071</v>
      </c>
      <c r="F2378" t="s">
        <v>32664</v>
      </c>
      <c r="G2378" t="s">
        <v>32671</v>
      </c>
      <c r="H2378" t="s">
        <v>12635</v>
      </c>
      <c r="I2378" t="s">
        <v>5501</v>
      </c>
      <c r="J2378" t="s">
        <v>34480</v>
      </c>
      <c r="K2378" t="s">
        <v>42334</v>
      </c>
      <c r="M2378" t="s">
        <v>43594</v>
      </c>
      <c r="N2378" t="s">
        <v>46569</v>
      </c>
      <c r="O2378" t="s">
        <v>46570</v>
      </c>
      <c r="P2378">
        <v>0</v>
      </c>
      <c r="Q2378">
        <v>1</v>
      </c>
      <c r="R2378" t="s">
        <v>46571</v>
      </c>
      <c r="S2378" t="s">
        <v>46687</v>
      </c>
      <c r="T2378" t="s">
        <v>48246</v>
      </c>
      <c r="U2378" t="s">
        <v>50745</v>
      </c>
      <c r="W2378" t="s">
        <v>63501</v>
      </c>
      <c r="X2378" t="s">
        <v>46572</v>
      </c>
    </row>
    <row r="2379" spans="1:24">
      <c r="A2379">
        <f>HYPERLINK("https://www.philgeps.gov.ph/GEPSNONPILOT/Tender/SplashBidNoticeAbstractUI.aspx?menuIndex=3&amp;refID=7067331&amp;Result=3","7067331")</f>
        <v>0</v>
      </c>
      <c r="B2379" t="s">
        <v>988</v>
      </c>
      <c r="C2379" t="s">
        <v>5832</v>
      </c>
      <c r="D2379" t="s">
        <v>18784</v>
      </c>
      <c r="E2379" t="s">
        <v>21072</v>
      </c>
      <c r="F2379" t="s">
        <v>32664</v>
      </c>
      <c r="G2379" t="s">
        <v>32672</v>
      </c>
      <c r="H2379" t="s">
        <v>12635</v>
      </c>
      <c r="I2379" t="s">
        <v>5589</v>
      </c>
      <c r="J2379" t="s">
        <v>34481</v>
      </c>
      <c r="K2379" t="s">
        <v>42281</v>
      </c>
      <c r="M2379" t="s">
        <v>43599</v>
      </c>
      <c r="N2379" t="s">
        <v>46569</v>
      </c>
      <c r="O2379" t="s">
        <v>46570</v>
      </c>
      <c r="P2379">
        <v>0</v>
      </c>
      <c r="Q2379">
        <v>9</v>
      </c>
      <c r="R2379" t="s">
        <v>46571</v>
      </c>
      <c r="S2379" t="s">
        <v>46687</v>
      </c>
      <c r="T2379" t="s">
        <v>48339</v>
      </c>
      <c r="U2379" t="s">
        <v>50746</v>
      </c>
      <c r="W2379" t="s">
        <v>43599</v>
      </c>
      <c r="X2379" t="s">
        <v>46572</v>
      </c>
    </row>
    <row r="2380" spans="1:24">
      <c r="A2380">
        <f>HYPERLINK("https://www.philgeps.gov.ph/GEPSNONPILOT/Tender/SplashBidNoticeAbstractUI.aspx?menuIndex=3&amp;refID=7067326&amp;Result=3","7067326")</f>
        <v>0</v>
      </c>
      <c r="B2380" t="s">
        <v>988</v>
      </c>
      <c r="C2380" t="s">
        <v>5833</v>
      </c>
      <c r="D2380" t="s">
        <v>18784</v>
      </c>
      <c r="E2380" t="s">
        <v>21073</v>
      </c>
      <c r="F2380" t="s">
        <v>32664</v>
      </c>
      <c r="G2380" t="s">
        <v>32672</v>
      </c>
      <c r="H2380" t="s">
        <v>12635</v>
      </c>
      <c r="I2380" t="s">
        <v>5589</v>
      </c>
      <c r="J2380" t="s">
        <v>34482</v>
      </c>
      <c r="K2380" t="s">
        <v>42298</v>
      </c>
      <c r="M2380" t="s">
        <v>43599</v>
      </c>
      <c r="N2380" t="s">
        <v>46569</v>
      </c>
      <c r="O2380" t="s">
        <v>46570</v>
      </c>
      <c r="P2380">
        <v>0</v>
      </c>
      <c r="Q2380">
        <v>5</v>
      </c>
      <c r="R2380" t="s">
        <v>46571</v>
      </c>
      <c r="S2380" t="s">
        <v>46687</v>
      </c>
      <c r="T2380" t="s">
        <v>48222</v>
      </c>
      <c r="U2380" t="s">
        <v>50747</v>
      </c>
      <c r="W2380" t="s">
        <v>43599</v>
      </c>
      <c r="X2380" t="s">
        <v>46572</v>
      </c>
    </row>
    <row r="2381" spans="1:24">
      <c r="A2381">
        <f>HYPERLINK("https://www.philgeps.gov.ph/GEPSNONPILOT/Tender/SplashBidNoticeAbstractUI.aspx?menuIndex=3&amp;refID=7067273&amp;Result=3","7067273")</f>
        <v>0</v>
      </c>
      <c r="B2381" t="s">
        <v>960</v>
      </c>
      <c r="C2381" t="s">
        <v>5834</v>
      </c>
      <c r="D2381" t="s">
        <v>18799</v>
      </c>
      <c r="E2381" t="s">
        <v>21074</v>
      </c>
      <c r="F2381" t="s">
        <v>32664</v>
      </c>
      <c r="G2381" t="s">
        <v>32671</v>
      </c>
      <c r="H2381" t="s">
        <v>12635</v>
      </c>
      <c r="I2381" t="s">
        <v>32752</v>
      </c>
      <c r="J2381" t="s">
        <v>34483</v>
      </c>
      <c r="K2381" t="s">
        <v>42284</v>
      </c>
      <c r="M2381" t="s">
        <v>43567</v>
      </c>
      <c r="N2381" t="s">
        <v>46569</v>
      </c>
      <c r="O2381" t="s">
        <v>46570</v>
      </c>
      <c r="P2381">
        <v>0</v>
      </c>
      <c r="Q2381">
        <v>0</v>
      </c>
      <c r="R2381" t="s">
        <v>46571</v>
      </c>
      <c r="S2381" t="s">
        <v>46687</v>
      </c>
      <c r="T2381" t="s">
        <v>48217</v>
      </c>
      <c r="U2381" t="s">
        <v>50748</v>
      </c>
      <c r="W2381" t="s">
        <v>43567</v>
      </c>
      <c r="X2381" t="s">
        <v>46572</v>
      </c>
    </row>
    <row r="2382" spans="1:24">
      <c r="A2382">
        <f>HYPERLINK("https://www.philgeps.gov.ph/GEPSNONPILOT/Tender/SplashBidNoticeAbstractUI.aspx?menuIndex=3&amp;refID=7067295&amp;Result=3","7067295")</f>
        <v>0</v>
      </c>
      <c r="B2382" t="s">
        <v>104</v>
      </c>
      <c r="C2382" t="s">
        <v>5835</v>
      </c>
      <c r="E2382" t="s">
        <v>21075</v>
      </c>
      <c r="F2382" t="s">
        <v>32664</v>
      </c>
      <c r="G2382" t="s">
        <v>32671</v>
      </c>
      <c r="H2382" t="s">
        <v>12635</v>
      </c>
      <c r="I2382" t="s">
        <v>32704</v>
      </c>
      <c r="J2382" t="s">
        <v>34484</v>
      </c>
      <c r="K2382" t="s">
        <v>42298</v>
      </c>
      <c r="M2382" t="s">
        <v>43591</v>
      </c>
      <c r="N2382" t="s">
        <v>46569</v>
      </c>
      <c r="O2382" t="s">
        <v>46570</v>
      </c>
      <c r="P2382">
        <v>0</v>
      </c>
      <c r="Q2382">
        <v>5</v>
      </c>
      <c r="R2382" t="s">
        <v>46571</v>
      </c>
      <c r="S2382" t="s">
        <v>46687</v>
      </c>
      <c r="T2382" t="s">
        <v>48356</v>
      </c>
      <c r="U2382" t="s">
        <v>50749</v>
      </c>
      <c r="W2382" t="s">
        <v>43591</v>
      </c>
      <c r="X2382" t="s">
        <v>46572</v>
      </c>
    </row>
    <row r="2383" spans="1:24">
      <c r="A2383">
        <f>HYPERLINK("https://www.philgeps.gov.ph/GEPSNONPILOT/Tender/SplashBidNoticeAbstractUI.aspx?menuIndex=3&amp;refID=7067325&amp;Result=3","7067325")</f>
        <v>0</v>
      </c>
      <c r="B2383" t="s">
        <v>987</v>
      </c>
      <c r="C2383" t="s">
        <v>5836</v>
      </c>
      <c r="D2383" t="s">
        <v>18784</v>
      </c>
      <c r="E2383" t="s">
        <v>5836</v>
      </c>
      <c r="F2383" t="s">
        <v>32664</v>
      </c>
      <c r="G2383" t="s">
        <v>32672</v>
      </c>
      <c r="H2383" t="s">
        <v>12635</v>
      </c>
      <c r="I2383" t="s">
        <v>8730</v>
      </c>
      <c r="J2383" t="s">
        <v>33320</v>
      </c>
      <c r="K2383" t="s">
        <v>42281</v>
      </c>
      <c r="M2383" t="s">
        <v>43598</v>
      </c>
      <c r="N2383" t="s">
        <v>46569</v>
      </c>
      <c r="O2383" t="s">
        <v>46570</v>
      </c>
      <c r="P2383">
        <v>0</v>
      </c>
      <c r="Q2383">
        <v>0</v>
      </c>
      <c r="R2383" t="s">
        <v>46571</v>
      </c>
      <c r="S2383" t="s">
        <v>46687</v>
      </c>
      <c r="T2383" t="s">
        <v>48274</v>
      </c>
      <c r="U2383" t="s">
        <v>50743</v>
      </c>
      <c r="W2383" t="s">
        <v>43598</v>
      </c>
      <c r="X2383" t="s">
        <v>46572</v>
      </c>
    </row>
    <row r="2384" spans="1:24">
      <c r="A2384">
        <f>HYPERLINK("https://www.philgeps.gov.ph/GEPSNONPILOT/Tender/SplashBidNoticeAbstractUI.aspx?menuIndex=3&amp;refID=7067315&amp;Result=3","7067315")</f>
        <v>0</v>
      </c>
      <c r="B2384" t="s">
        <v>116</v>
      </c>
      <c r="C2384" t="s">
        <v>5780</v>
      </c>
      <c r="D2384" t="s">
        <v>18805</v>
      </c>
      <c r="E2384" t="s">
        <v>21076</v>
      </c>
      <c r="F2384" t="s">
        <v>32664</v>
      </c>
      <c r="G2384" t="s">
        <v>32672</v>
      </c>
      <c r="H2384" t="s">
        <v>12635</v>
      </c>
      <c r="I2384" t="s">
        <v>32692</v>
      </c>
      <c r="J2384" t="s">
        <v>34485</v>
      </c>
      <c r="K2384" t="s">
        <v>42306</v>
      </c>
      <c r="M2384" t="s">
        <v>42680</v>
      </c>
      <c r="N2384" t="s">
        <v>46569</v>
      </c>
      <c r="O2384" t="s">
        <v>46570</v>
      </c>
      <c r="P2384">
        <v>0</v>
      </c>
      <c r="Q2384">
        <v>0</v>
      </c>
      <c r="R2384" t="s">
        <v>46571</v>
      </c>
      <c r="S2384" t="s">
        <v>46687</v>
      </c>
      <c r="T2384" t="s">
        <v>48303</v>
      </c>
      <c r="U2384" t="s">
        <v>50750</v>
      </c>
      <c r="W2384" t="s">
        <v>42680</v>
      </c>
      <c r="X2384" t="s">
        <v>46572</v>
      </c>
    </row>
    <row r="2385" spans="1:24">
      <c r="A2385">
        <f>HYPERLINK("https://www.philgeps.gov.ph/GEPSNONPILOT/Tender/SplashBidNoticeAbstractUI.aspx?menuIndex=3&amp;refID=7067322&amp;Result=3","7067322")</f>
        <v>0</v>
      </c>
      <c r="B2385" t="s">
        <v>979</v>
      </c>
      <c r="C2385" t="s">
        <v>5837</v>
      </c>
      <c r="D2385" t="s">
        <v>18805</v>
      </c>
      <c r="E2385" t="s">
        <v>21077</v>
      </c>
      <c r="F2385" t="s">
        <v>32664</v>
      </c>
      <c r="G2385" t="s">
        <v>32672</v>
      </c>
      <c r="H2385" t="s">
        <v>12635</v>
      </c>
      <c r="I2385" t="s">
        <v>4439</v>
      </c>
      <c r="J2385" t="s">
        <v>34486</v>
      </c>
      <c r="K2385" t="s">
        <v>42306</v>
      </c>
      <c r="M2385" t="s">
        <v>43588</v>
      </c>
      <c r="N2385" t="s">
        <v>46569</v>
      </c>
      <c r="O2385" t="s">
        <v>46570</v>
      </c>
      <c r="P2385">
        <v>0</v>
      </c>
      <c r="Q2385">
        <v>0</v>
      </c>
      <c r="R2385" t="s">
        <v>46571</v>
      </c>
      <c r="S2385" t="s">
        <v>46687</v>
      </c>
      <c r="T2385" t="s">
        <v>48443</v>
      </c>
      <c r="U2385" t="s">
        <v>50751</v>
      </c>
      <c r="W2385" t="s">
        <v>43588</v>
      </c>
      <c r="X2385" t="s">
        <v>46572</v>
      </c>
    </row>
    <row r="2386" spans="1:24">
      <c r="A2386">
        <f>HYPERLINK("https://www.philgeps.gov.ph/GEPSNONPILOT/Tender/SplashBidNoticeAbstractUI.aspx?menuIndex=3&amp;refID=7067321&amp;Result=3","7067321")</f>
        <v>0</v>
      </c>
      <c r="B2386" t="s">
        <v>989</v>
      </c>
      <c r="C2386" t="s">
        <v>5838</v>
      </c>
      <c r="D2386" t="s">
        <v>18806</v>
      </c>
      <c r="E2386" t="s">
        <v>21078</v>
      </c>
      <c r="F2386" t="s">
        <v>32664</v>
      </c>
      <c r="G2386" t="s">
        <v>32675</v>
      </c>
      <c r="H2386" t="s">
        <v>12635</v>
      </c>
      <c r="I2386" t="s">
        <v>14442</v>
      </c>
      <c r="J2386" t="s">
        <v>33311</v>
      </c>
      <c r="K2386" t="s">
        <v>42297</v>
      </c>
      <c r="M2386" t="s">
        <v>43600</v>
      </c>
      <c r="N2386" t="s">
        <v>46569</v>
      </c>
      <c r="O2386" t="s">
        <v>46570</v>
      </c>
      <c r="P2386">
        <v>0</v>
      </c>
      <c r="Q2386">
        <v>0</v>
      </c>
      <c r="R2386" t="s">
        <v>46571</v>
      </c>
      <c r="S2386" t="s">
        <v>46687</v>
      </c>
      <c r="T2386" t="s">
        <v>48237</v>
      </c>
      <c r="U2386" t="s">
        <v>50752</v>
      </c>
      <c r="W2386" t="s">
        <v>43600</v>
      </c>
      <c r="X2386" t="s">
        <v>46572</v>
      </c>
    </row>
    <row r="2387" spans="1:24">
      <c r="A2387">
        <f>HYPERLINK("https://www.philgeps.gov.ph/GEPSNONPILOT/Tender/SplashBidNoticeAbstractUI.aspx?menuIndex=3&amp;refID=7067335&amp;Result=3","7067335")</f>
        <v>0</v>
      </c>
      <c r="B2387" t="s">
        <v>987</v>
      </c>
      <c r="C2387" t="s">
        <v>5839</v>
      </c>
      <c r="D2387" t="s">
        <v>18784</v>
      </c>
      <c r="E2387" t="s">
        <v>5839</v>
      </c>
      <c r="F2387" t="s">
        <v>32664</v>
      </c>
      <c r="G2387" t="s">
        <v>32672</v>
      </c>
      <c r="H2387" t="s">
        <v>12635</v>
      </c>
      <c r="I2387" t="s">
        <v>6118</v>
      </c>
      <c r="J2387" t="s">
        <v>34487</v>
      </c>
      <c r="K2387" t="s">
        <v>42281</v>
      </c>
      <c r="M2387" t="s">
        <v>43598</v>
      </c>
      <c r="N2387" t="s">
        <v>46569</v>
      </c>
      <c r="O2387" t="s">
        <v>46570</v>
      </c>
      <c r="P2387">
        <v>0</v>
      </c>
      <c r="Q2387">
        <v>0</v>
      </c>
      <c r="R2387" t="s">
        <v>46571</v>
      </c>
      <c r="S2387" t="s">
        <v>46687</v>
      </c>
      <c r="T2387" t="s">
        <v>48274</v>
      </c>
      <c r="U2387" t="s">
        <v>50753</v>
      </c>
      <c r="W2387" t="s">
        <v>43598</v>
      </c>
      <c r="X2387" t="s">
        <v>46572</v>
      </c>
    </row>
    <row r="2388" spans="1:24">
      <c r="A2388">
        <f>HYPERLINK("https://www.philgeps.gov.ph/GEPSNONPILOT/Tender/SplashBidNoticeAbstractUI.aspx?menuIndex=3&amp;refID=7067319&amp;Result=3","7067319")</f>
        <v>0</v>
      </c>
      <c r="B2388" t="s">
        <v>990</v>
      </c>
      <c r="C2388" t="s">
        <v>5840</v>
      </c>
      <c r="D2388" t="s">
        <v>18784</v>
      </c>
      <c r="E2388" t="s">
        <v>21079</v>
      </c>
      <c r="F2388" t="s">
        <v>32664</v>
      </c>
      <c r="G2388" t="s">
        <v>32671</v>
      </c>
      <c r="H2388" t="s">
        <v>12635</v>
      </c>
      <c r="I2388" t="s">
        <v>32771</v>
      </c>
      <c r="J2388" t="s">
        <v>33696</v>
      </c>
      <c r="K2388" t="s">
        <v>42283</v>
      </c>
      <c r="M2388" t="s">
        <v>43601</v>
      </c>
      <c r="N2388" t="s">
        <v>46569</v>
      </c>
      <c r="O2388" t="s">
        <v>46570</v>
      </c>
      <c r="P2388">
        <v>0</v>
      </c>
      <c r="Q2388">
        <v>8</v>
      </c>
      <c r="R2388" t="s">
        <v>46571</v>
      </c>
      <c r="S2388" t="s">
        <v>46687</v>
      </c>
      <c r="T2388" t="s">
        <v>48280</v>
      </c>
      <c r="U2388" t="s">
        <v>50754</v>
      </c>
      <c r="V2388" t="s">
        <v>61867</v>
      </c>
      <c r="W2388" t="s">
        <v>43601</v>
      </c>
      <c r="X2388" t="s">
        <v>46572</v>
      </c>
    </row>
    <row r="2389" spans="1:24">
      <c r="A2389">
        <f>HYPERLINK("https://www.philgeps.gov.ph/GEPSNONPILOT/Tender/SplashBidNoticeAbstractUI.aspx?menuIndex=3&amp;refID=7067318&amp;Result=3","7067318")</f>
        <v>0</v>
      </c>
      <c r="B2389" t="s">
        <v>991</v>
      </c>
      <c r="C2389" t="s">
        <v>5841</v>
      </c>
      <c r="D2389" t="s">
        <v>18812</v>
      </c>
      <c r="E2389" t="s">
        <v>21080</v>
      </c>
      <c r="F2389" t="s">
        <v>32664</v>
      </c>
      <c r="G2389" t="s">
        <v>32672</v>
      </c>
      <c r="H2389" t="s">
        <v>12635</v>
      </c>
      <c r="I2389" t="s">
        <v>10370</v>
      </c>
      <c r="J2389" t="s">
        <v>33304</v>
      </c>
      <c r="K2389" t="s">
        <v>42298</v>
      </c>
      <c r="M2389" t="s">
        <v>43602</v>
      </c>
      <c r="N2389" t="s">
        <v>46569</v>
      </c>
      <c r="O2389" t="s">
        <v>46570</v>
      </c>
      <c r="P2389">
        <v>0</v>
      </c>
      <c r="Q2389">
        <v>0</v>
      </c>
      <c r="R2389" t="s">
        <v>46571</v>
      </c>
      <c r="S2389" t="s">
        <v>46687</v>
      </c>
      <c r="T2389" t="s">
        <v>48278</v>
      </c>
      <c r="U2389" t="s">
        <v>50755</v>
      </c>
      <c r="W2389" t="s">
        <v>43602</v>
      </c>
      <c r="X2389" t="s">
        <v>46572</v>
      </c>
    </row>
    <row r="2390" spans="1:24">
      <c r="A2390">
        <f>HYPERLINK("https://www.philgeps.gov.ph/GEPSNONPILOT/Tender/SplashBidNoticeAbstractUI.aspx?menuIndex=3&amp;refID=7067314&amp;Result=3","7067314")</f>
        <v>0</v>
      </c>
      <c r="B2390" t="s">
        <v>979</v>
      </c>
      <c r="C2390" t="s">
        <v>5812</v>
      </c>
      <c r="D2390" t="s">
        <v>18805</v>
      </c>
      <c r="E2390" t="s">
        <v>21081</v>
      </c>
      <c r="F2390" t="s">
        <v>32664</v>
      </c>
      <c r="G2390" t="s">
        <v>32672</v>
      </c>
      <c r="H2390" t="s">
        <v>12635</v>
      </c>
      <c r="I2390" t="s">
        <v>6168</v>
      </c>
      <c r="J2390" t="s">
        <v>34488</v>
      </c>
      <c r="K2390" t="s">
        <v>42306</v>
      </c>
      <c r="M2390" t="s">
        <v>43588</v>
      </c>
      <c r="N2390" t="s">
        <v>46569</v>
      </c>
      <c r="O2390" t="s">
        <v>46570</v>
      </c>
      <c r="P2390">
        <v>0</v>
      </c>
      <c r="Q2390">
        <v>0</v>
      </c>
      <c r="R2390" t="s">
        <v>46571</v>
      </c>
      <c r="S2390" t="s">
        <v>46687</v>
      </c>
      <c r="T2390" t="s">
        <v>48443</v>
      </c>
      <c r="U2390" t="s">
        <v>50756</v>
      </c>
      <c r="W2390" t="s">
        <v>43588</v>
      </c>
      <c r="X2390" t="s">
        <v>46572</v>
      </c>
    </row>
    <row r="2391" spans="1:24">
      <c r="A2391">
        <f>HYPERLINK("https://www.philgeps.gov.ph/GEPSNONPILOT/Tender/SplashBidNoticeAbstractUI.aspx?menuIndex=3&amp;refID=7067328&amp;Result=3","7067328")</f>
        <v>0</v>
      </c>
      <c r="B2391" t="s">
        <v>987</v>
      </c>
      <c r="C2391" t="s">
        <v>5842</v>
      </c>
      <c r="D2391" t="s">
        <v>18784</v>
      </c>
      <c r="E2391" t="s">
        <v>5842</v>
      </c>
      <c r="F2391" t="s">
        <v>32664</v>
      </c>
      <c r="G2391" t="s">
        <v>32672</v>
      </c>
      <c r="H2391" t="s">
        <v>12635</v>
      </c>
      <c r="I2391" t="s">
        <v>8730</v>
      </c>
      <c r="J2391" t="s">
        <v>34489</v>
      </c>
      <c r="K2391" t="s">
        <v>42281</v>
      </c>
      <c r="M2391" t="s">
        <v>43598</v>
      </c>
      <c r="N2391" t="s">
        <v>46569</v>
      </c>
      <c r="O2391" t="s">
        <v>46570</v>
      </c>
      <c r="P2391">
        <v>0</v>
      </c>
      <c r="Q2391">
        <v>0</v>
      </c>
      <c r="R2391" t="s">
        <v>46571</v>
      </c>
      <c r="S2391" t="s">
        <v>46687</v>
      </c>
      <c r="T2391" t="s">
        <v>48274</v>
      </c>
      <c r="U2391" t="s">
        <v>50743</v>
      </c>
      <c r="W2391" t="s">
        <v>43598</v>
      </c>
      <c r="X2391" t="s">
        <v>46572</v>
      </c>
    </row>
    <row r="2392" spans="1:24">
      <c r="A2392">
        <f>HYPERLINK("https://www.philgeps.gov.ph/GEPSNONPILOT/Tender/SplashBidNoticeAbstractUI.aspx?menuIndex=3&amp;refID=7067313&amp;Result=3","7067313")</f>
        <v>0</v>
      </c>
      <c r="B2392" t="s">
        <v>43</v>
      </c>
      <c r="C2392" t="s">
        <v>5843</v>
      </c>
      <c r="D2392" t="s">
        <v>18789</v>
      </c>
      <c r="E2392" t="s">
        <v>21082</v>
      </c>
      <c r="F2392" t="s">
        <v>32664</v>
      </c>
      <c r="G2392" t="s">
        <v>32672</v>
      </c>
      <c r="H2392" t="s">
        <v>12635</v>
      </c>
      <c r="I2392" t="s">
        <v>32692</v>
      </c>
      <c r="J2392" t="s">
        <v>34490</v>
      </c>
      <c r="K2392" t="s">
        <v>42297</v>
      </c>
      <c r="M2392" t="s">
        <v>42605</v>
      </c>
      <c r="N2392" t="s">
        <v>46569</v>
      </c>
      <c r="O2392" t="s">
        <v>46570</v>
      </c>
      <c r="P2392">
        <v>0</v>
      </c>
      <c r="Q2392">
        <v>1</v>
      </c>
      <c r="R2392" t="s">
        <v>46571</v>
      </c>
      <c r="S2392" t="s">
        <v>46687</v>
      </c>
      <c r="T2392" t="s">
        <v>48229</v>
      </c>
      <c r="U2392" t="s">
        <v>48826</v>
      </c>
      <c r="V2392" t="s">
        <v>61617</v>
      </c>
      <c r="W2392" t="s">
        <v>42605</v>
      </c>
      <c r="X2392" t="s">
        <v>46572</v>
      </c>
    </row>
    <row r="2393" spans="1:24">
      <c r="A2393">
        <f>HYPERLINK("https://www.philgeps.gov.ph/GEPSNONPILOT/Tender/SplashBidNoticeAbstractUI.aspx?menuIndex=3&amp;refID=7067312&amp;Result=3","7067312")</f>
        <v>0</v>
      </c>
      <c r="B2393" t="s">
        <v>974</v>
      </c>
      <c r="C2393" t="s">
        <v>5825</v>
      </c>
      <c r="D2393" t="s">
        <v>18803</v>
      </c>
      <c r="E2393" t="s">
        <v>19202</v>
      </c>
      <c r="F2393" t="s">
        <v>32664</v>
      </c>
      <c r="G2393" t="s">
        <v>32674</v>
      </c>
      <c r="H2393" t="s">
        <v>12635</v>
      </c>
      <c r="I2393" t="s">
        <v>6168</v>
      </c>
      <c r="J2393" t="s">
        <v>34462</v>
      </c>
      <c r="K2393" t="s">
        <v>42339</v>
      </c>
      <c r="M2393" t="s">
        <v>43583</v>
      </c>
      <c r="N2393" t="s">
        <v>46569</v>
      </c>
      <c r="O2393" t="s">
        <v>46570</v>
      </c>
      <c r="P2393">
        <v>0</v>
      </c>
      <c r="Q2393">
        <v>0</v>
      </c>
      <c r="R2393" t="s">
        <v>46571</v>
      </c>
      <c r="S2393" t="s">
        <v>46687</v>
      </c>
      <c r="T2393" t="s">
        <v>48290</v>
      </c>
      <c r="U2393" t="s">
        <v>50757</v>
      </c>
      <c r="W2393" t="s">
        <v>43583</v>
      </c>
      <c r="X2393" t="s">
        <v>46572</v>
      </c>
    </row>
    <row r="2394" spans="1:24">
      <c r="A2394">
        <f>HYPERLINK("https://www.philgeps.gov.ph/GEPSNONPILOT/Tender/SplashBidNoticeAbstractUI.aspx?menuIndex=3&amp;refID=7067323&amp;Result=3","7067323")</f>
        <v>0</v>
      </c>
      <c r="B2394" t="s">
        <v>988</v>
      </c>
      <c r="C2394" t="s">
        <v>5844</v>
      </c>
      <c r="D2394" t="s">
        <v>18784</v>
      </c>
      <c r="E2394" t="s">
        <v>21083</v>
      </c>
      <c r="F2394" t="s">
        <v>32664</v>
      </c>
      <c r="G2394" t="s">
        <v>32672</v>
      </c>
      <c r="H2394" t="s">
        <v>12635</v>
      </c>
      <c r="I2394" t="s">
        <v>5589</v>
      </c>
      <c r="J2394" t="s">
        <v>32981</v>
      </c>
      <c r="K2394" t="s">
        <v>42281</v>
      </c>
      <c r="M2394" t="s">
        <v>43599</v>
      </c>
      <c r="N2394" t="s">
        <v>46569</v>
      </c>
      <c r="O2394" t="s">
        <v>46570</v>
      </c>
      <c r="P2394">
        <v>0</v>
      </c>
      <c r="Q2394">
        <v>6</v>
      </c>
      <c r="R2394" t="s">
        <v>46571</v>
      </c>
      <c r="S2394" t="s">
        <v>46687</v>
      </c>
      <c r="T2394" t="s">
        <v>48270</v>
      </c>
      <c r="U2394" t="s">
        <v>50758</v>
      </c>
      <c r="W2394" t="s">
        <v>43599</v>
      </c>
      <c r="X2394" t="s">
        <v>46572</v>
      </c>
    </row>
    <row r="2395" spans="1:24">
      <c r="A2395">
        <f>HYPERLINK("https://www.philgeps.gov.ph/GEPSNONPILOT/Tender/SplashBidNoticeAbstractUI.aspx?menuIndex=3&amp;refID=7067290&amp;Result=3","7067290")</f>
        <v>0</v>
      </c>
      <c r="B2395" t="s">
        <v>943</v>
      </c>
      <c r="C2395" t="s">
        <v>5845</v>
      </c>
      <c r="D2395" t="s">
        <v>18784</v>
      </c>
      <c r="E2395" t="s">
        <v>21084</v>
      </c>
      <c r="F2395" t="s">
        <v>32664</v>
      </c>
      <c r="G2395" t="s">
        <v>32672</v>
      </c>
      <c r="H2395" t="s">
        <v>12635</v>
      </c>
      <c r="I2395" t="s">
        <v>11464</v>
      </c>
      <c r="J2395" t="s">
        <v>34491</v>
      </c>
      <c r="K2395" t="s">
        <v>42281</v>
      </c>
      <c r="M2395" t="s">
        <v>43603</v>
      </c>
      <c r="N2395" t="s">
        <v>46569</v>
      </c>
      <c r="O2395" t="s">
        <v>46570</v>
      </c>
      <c r="P2395">
        <v>0</v>
      </c>
      <c r="Q2395">
        <v>9</v>
      </c>
      <c r="R2395" t="s">
        <v>46571</v>
      </c>
      <c r="S2395" t="s">
        <v>46687</v>
      </c>
      <c r="T2395" t="s">
        <v>48275</v>
      </c>
      <c r="U2395" t="s">
        <v>50759</v>
      </c>
      <c r="W2395" t="s">
        <v>43603</v>
      </c>
      <c r="X2395" t="s">
        <v>46572</v>
      </c>
    </row>
    <row r="2396" spans="1:24">
      <c r="A2396">
        <f>HYPERLINK("https://www.philgeps.gov.ph/GEPSNONPILOT/Tender/SplashBidNoticeAbstractUI.aspx?menuIndex=3&amp;refID=7067289&amp;Result=3","7067289")</f>
        <v>0</v>
      </c>
      <c r="B2396" t="s">
        <v>961</v>
      </c>
      <c r="C2396" t="s">
        <v>5846</v>
      </c>
      <c r="D2396" t="s">
        <v>18858</v>
      </c>
      <c r="E2396" t="s">
        <v>21085</v>
      </c>
      <c r="F2396" t="s">
        <v>32664</v>
      </c>
      <c r="G2396" t="s">
        <v>32672</v>
      </c>
      <c r="H2396" t="s">
        <v>12635</v>
      </c>
      <c r="I2396" t="s">
        <v>10590</v>
      </c>
      <c r="J2396" t="s">
        <v>34492</v>
      </c>
      <c r="K2396" t="s">
        <v>42281</v>
      </c>
      <c r="M2396" t="s">
        <v>43569</v>
      </c>
      <c r="N2396" t="s">
        <v>46569</v>
      </c>
      <c r="O2396" t="s">
        <v>46570</v>
      </c>
      <c r="P2396">
        <v>0</v>
      </c>
      <c r="Q2396">
        <v>0</v>
      </c>
      <c r="R2396" t="s">
        <v>46571</v>
      </c>
      <c r="S2396" t="s">
        <v>46687</v>
      </c>
      <c r="T2396" t="s">
        <v>48274</v>
      </c>
      <c r="U2396" t="s">
        <v>50760</v>
      </c>
      <c r="W2396" t="s">
        <v>43569</v>
      </c>
      <c r="X2396" t="s">
        <v>46572</v>
      </c>
    </row>
    <row r="2397" spans="1:24">
      <c r="A2397">
        <f>HYPERLINK("https://www.philgeps.gov.ph/GEPSNONPILOT/Tender/SplashBidNoticeAbstractUI.aspx?menuIndex=3&amp;refID=7067269&amp;Result=3","7067269")</f>
        <v>0</v>
      </c>
      <c r="B2397" t="s">
        <v>977</v>
      </c>
      <c r="C2397" t="s">
        <v>5847</v>
      </c>
      <c r="D2397" t="s">
        <v>18856</v>
      </c>
      <c r="E2397" t="s">
        <v>21086</v>
      </c>
      <c r="F2397" t="s">
        <v>32664</v>
      </c>
      <c r="G2397" t="s">
        <v>32672</v>
      </c>
      <c r="H2397" t="s">
        <v>12635</v>
      </c>
      <c r="I2397" t="s">
        <v>4439</v>
      </c>
      <c r="J2397" t="s">
        <v>33309</v>
      </c>
      <c r="K2397" t="s">
        <v>42281</v>
      </c>
      <c r="M2397" t="s">
        <v>43586</v>
      </c>
      <c r="N2397" t="s">
        <v>46569</v>
      </c>
      <c r="O2397" t="s">
        <v>46570</v>
      </c>
      <c r="P2397">
        <v>0</v>
      </c>
      <c r="Q2397">
        <v>0</v>
      </c>
      <c r="R2397" t="s">
        <v>46571</v>
      </c>
      <c r="S2397" t="s">
        <v>46687</v>
      </c>
      <c r="T2397" t="s">
        <v>48368</v>
      </c>
      <c r="U2397" t="s">
        <v>50761</v>
      </c>
      <c r="W2397" t="s">
        <v>43586</v>
      </c>
      <c r="X2397" t="s">
        <v>46572</v>
      </c>
    </row>
    <row r="2398" spans="1:24">
      <c r="A2398">
        <f>HYPERLINK("https://www.philgeps.gov.ph/GEPSNONPILOT/Tender/SplashBidNoticeAbstractUI.aspx?menuIndex=3&amp;refID=7067268&amp;Result=3","7067268")</f>
        <v>0</v>
      </c>
      <c r="B2398" t="s">
        <v>960</v>
      </c>
      <c r="C2398" t="s">
        <v>5848</v>
      </c>
      <c r="D2398" t="s">
        <v>18799</v>
      </c>
      <c r="E2398" t="s">
        <v>21087</v>
      </c>
      <c r="F2398" t="s">
        <v>32664</v>
      </c>
      <c r="G2398" t="s">
        <v>32672</v>
      </c>
      <c r="H2398" t="s">
        <v>12635</v>
      </c>
      <c r="I2398" t="s">
        <v>6628</v>
      </c>
      <c r="J2398" t="s">
        <v>33912</v>
      </c>
      <c r="K2398" t="s">
        <v>42281</v>
      </c>
      <c r="M2398" t="s">
        <v>43567</v>
      </c>
      <c r="N2398" t="s">
        <v>46569</v>
      </c>
      <c r="O2398" t="s">
        <v>46570</v>
      </c>
      <c r="P2398">
        <v>0</v>
      </c>
      <c r="Q2398">
        <v>0</v>
      </c>
      <c r="R2398" t="s">
        <v>46571</v>
      </c>
      <c r="S2398" t="s">
        <v>46687</v>
      </c>
      <c r="T2398" t="s">
        <v>48257</v>
      </c>
      <c r="U2398" t="s">
        <v>50762</v>
      </c>
      <c r="W2398" t="s">
        <v>43567</v>
      </c>
      <c r="X2398" t="s">
        <v>46572</v>
      </c>
    </row>
    <row r="2399" spans="1:24">
      <c r="A2399">
        <f>HYPERLINK("https://www.philgeps.gov.ph/GEPSNONPILOT/Tender/SplashBidNoticeAbstractUI.aspx?menuIndex=3&amp;refID=7067270&amp;Result=3","7067270")</f>
        <v>0</v>
      </c>
      <c r="B2399" t="s">
        <v>964</v>
      </c>
      <c r="C2399" t="s">
        <v>5849</v>
      </c>
      <c r="D2399" t="s">
        <v>18786</v>
      </c>
      <c r="E2399" t="s">
        <v>21088</v>
      </c>
      <c r="F2399" t="s">
        <v>32664</v>
      </c>
      <c r="G2399" t="s">
        <v>32671</v>
      </c>
      <c r="H2399" t="s">
        <v>12635</v>
      </c>
      <c r="I2399" t="s">
        <v>6223</v>
      </c>
      <c r="J2399" t="s">
        <v>34493</v>
      </c>
      <c r="K2399" t="s">
        <v>42289</v>
      </c>
      <c r="M2399" t="s">
        <v>43572</v>
      </c>
      <c r="N2399" t="s">
        <v>46569</v>
      </c>
      <c r="O2399" t="s">
        <v>46570</v>
      </c>
      <c r="P2399">
        <v>0</v>
      </c>
      <c r="Q2399">
        <v>0</v>
      </c>
      <c r="R2399" t="s">
        <v>46571</v>
      </c>
      <c r="S2399" t="s">
        <v>46687</v>
      </c>
      <c r="T2399" t="s">
        <v>48298</v>
      </c>
      <c r="U2399" t="s">
        <v>50763</v>
      </c>
      <c r="W2399" t="s">
        <v>63499</v>
      </c>
      <c r="X2399" t="s">
        <v>46572</v>
      </c>
    </row>
    <row r="2400" spans="1:24">
      <c r="A2400">
        <f>HYPERLINK("https://www.philgeps.gov.ph/GEPSNONPILOT/Tender/SplashBidNoticeAbstractUI.aspx?menuIndex=3&amp;refID=7067264&amp;Result=3","7067264")</f>
        <v>0</v>
      </c>
      <c r="B2400" t="s">
        <v>964</v>
      </c>
      <c r="C2400" t="s">
        <v>5850</v>
      </c>
      <c r="D2400" t="s">
        <v>18786</v>
      </c>
      <c r="E2400" t="s">
        <v>21089</v>
      </c>
      <c r="F2400" t="s">
        <v>32664</v>
      </c>
      <c r="G2400" t="s">
        <v>32671</v>
      </c>
      <c r="H2400" t="s">
        <v>12635</v>
      </c>
      <c r="I2400" t="s">
        <v>8730</v>
      </c>
      <c r="J2400" t="s">
        <v>34494</v>
      </c>
      <c r="K2400" t="s">
        <v>42289</v>
      </c>
      <c r="M2400" t="s">
        <v>43572</v>
      </c>
      <c r="N2400" t="s">
        <v>46569</v>
      </c>
      <c r="O2400" t="s">
        <v>46570</v>
      </c>
      <c r="P2400">
        <v>0</v>
      </c>
      <c r="Q2400">
        <v>1</v>
      </c>
      <c r="R2400" t="s">
        <v>46571</v>
      </c>
      <c r="S2400" t="s">
        <v>46687</v>
      </c>
      <c r="T2400" t="s">
        <v>48298</v>
      </c>
      <c r="U2400" t="s">
        <v>50764</v>
      </c>
      <c r="W2400" t="s">
        <v>63499</v>
      </c>
      <c r="X2400" t="s">
        <v>46572</v>
      </c>
    </row>
    <row r="2401" spans="1:24">
      <c r="A2401">
        <f>HYPERLINK("https://www.philgeps.gov.ph/GEPSNONPILOT/Tender/SplashBidNoticeAbstractUI.aspx?menuIndex=3&amp;refID=7067317&amp;Result=3","7067317")</f>
        <v>0</v>
      </c>
      <c r="B2401" t="s">
        <v>979</v>
      </c>
      <c r="C2401" t="s">
        <v>5851</v>
      </c>
      <c r="D2401" t="s">
        <v>18805</v>
      </c>
      <c r="E2401" t="s">
        <v>21090</v>
      </c>
      <c r="F2401" t="s">
        <v>32664</v>
      </c>
      <c r="G2401" t="s">
        <v>32672</v>
      </c>
      <c r="H2401" t="s">
        <v>12635</v>
      </c>
      <c r="I2401" t="s">
        <v>4439</v>
      </c>
      <c r="J2401" t="s">
        <v>34207</v>
      </c>
      <c r="K2401" t="s">
        <v>42306</v>
      </c>
      <c r="M2401" t="s">
        <v>43588</v>
      </c>
      <c r="N2401" t="s">
        <v>46569</v>
      </c>
      <c r="O2401" t="s">
        <v>46570</v>
      </c>
      <c r="P2401">
        <v>0</v>
      </c>
      <c r="Q2401">
        <v>0</v>
      </c>
      <c r="R2401" t="s">
        <v>46571</v>
      </c>
      <c r="S2401" t="s">
        <v>46687</v>
      </c>
      <c r="T2401" t="s">
        <v>48443</v>
      </c>
      <c r="U2401" t="s">
        <v>50765</v>
      </c>
      <c r="W2401" t="s">
        <v>43588</v>
      </c>
      <c r="X2401" t="s">
        <v>46572</v>
      </c>
    </row>
    <row r="2402" spans="1:24">
      <c r="A2402">
        <f>HYPERLINK("https://www.philgeps.gov.ph/GEPSNONPILOT/Tender/SplashBidNoticeAbstractUI.aspx?menuIndex=3&amp;refID=7067267&amp;Result=3","7067267")</f>
        <v>0</v>
      </c>
      <c r="B2402" t="s">
        <v>964</v>
      </c>
      <c r="C2402" t="s">
        <v>5852</v>
      </c>
      <c r="D2402" t="s">
        <v>18786</v>
      </c>
      <c r="E2402" t="s">
        <v>21091</v>
      </c>
      <c r="F2402" t="s">
        <v>32664</v>
      </c>
      <c r="G2402" t="s">
        <v>32671</v>
      </c>
      <c r="H2402" t="s">
        <v>12635</v>
      </c>
      <c r="I2402" t="s">
        <v>8797</v>
      </c>
      <c r="J2402" t="s">
        <v>34495</v>
      </c>
      <c r="K2402" t="s">
        <v>42289</v>
      </c>
      <c r="M2402" t="s">
        <v>43572</v>
      </c>
      <c r="N2402" t="s">
        <v>46569</v>
      </c>
      <c r="O2402" t="s">
        <v>46570</v>
      </c>
      <c r="P2402">
        <v>0</v>
      </c>
      <c r="Q2402">
        <v>1</v>
      </c>
      <c r="R2402" t="s">
        <v>46571</v>
      </c>
      <c r="S2402" t="s">
        <v>46687</v>
      </c>
      <c r="T2402" t="s">
        <v>48298</v>
      </c>
      <c r="U2402" t="s">
        <v>50766</v>
      </c>
      <c r="W2402" t="s">
        <v>63499</v>
      </c>
      <c r="X2402" t="s">
        <v>46572</v>
      </c>
    </row>
    <row r="2403" spans="1:24">
      <c r="A2403">
        <f>HYPERLINK("https://www.philgeps.gov.ph/GEPSNONPILOT/Tender/SplashBidNoticeAbstractUI.aspx?menuIndex=3&amp;refID=7067145&amp;Result=3","7067145")</f>
        <v>0</v>
      </c>
      <c r="B2403" t="s">
        <v>943</v>
      </c>
      <c r="C2403" t="s">
        <v>5853</v>
      </c>
      <c r="D2403" t="s">
        <v>18801</v>
      </c>
      <c r="E2403" t="s">
        <v>21092</v>
      </c>
      <c r="F2403" t="s">
        <v>32664</v>
      </c>
      <c r="G2403" t="s">
        <v>32671</v>
      </c>
      <c r="H2403" t="s">
        <v>12635</v>
      </c>
      <c r="I2403" t="s">
        <v>32730</v>
      </c>
      <c r="J2403" t="s">
        <v>33299</v>
      </c>
      <c r="K2403" t="s">
        <v>42291</v>
      </c>
      <c r="M2403" t="s">
        <v>43549</v>
      </c>
      <c r="N2403" t="s">
        <v>46569</v>
      </c>
      <c r="O2403" t="s">
        <v>46570</v>
      </c>
      <c r="P2403">
        <v>0</v>
      </c>
      <c r="Q2403">
        <v>0</v>
      </c>
      <c r="R2403" t="s">
        <v>46571</v>
      </c>
      <c r="S2403" t="s">
        <v>46687</v>
      </c>
      <c r="T2403" t="s">
        <v>48256</v>
      </c>
      <c r="U2403" t="s">
        <v>50767</v>
      </c>
      <c r="V2403" t="s">
        <v>61868</v>
      </c>
      <c r="W2403" t="s">
        <v>43549</v>
      </c>
      <c r="X2403" t="s">
        <v>46572</v>
      </c>
    </row>
    <row r="2404" spans="1:24">
      <c r="A2404">
        <f>HYPERLINK("https://www.philgeps.gov.ph/GEPSNONPILOT/Tender/SplashBidNoticeAbstractUI.aspx?menuIndex=3&amp;refID=7067324&amp;Result=3","7067324")</f>
        <v>0</v>
      </c>
      <c r="B2404" t="s">
        <v>992</v>
      </c>
      <c r="C2404" t="s">
        <v>5854</v>
      </c>
      <c r="D2404" t="s">
        <v>18817</v>
      </c>
      <c r="E2404" t="s">
        <v>21093</v>
      </c>
      <c r="F2404" t="s">
        <v>32664</v>
      </c>
      <c r="G2404" t="s">
        <v>32672</v>
      </c>
      <c r="H2404" t="s">
        <v>32683</v>
      </c>
      <c r="I2404" t="s">
        <v>10627</v>
      </c>
      <c r="J2404" t="s">
        <v>33009</v>
      </c>
      <c r="K2404" t="s">
        <v>42369</v>
      </c>
      <c r="M2404" t="s">
        <v>43604</v>
      </c>
      <c r="N2404" t="s">
        <v>46569</v>
      </c>
      <c r="O2404" t="s">
        <v>46570</v>
      </c>
      <c r="P2404">
        <v>0</v>
      </c>
      <c r="Q2404">
        <v>1</v>
      </c>
      <c r="R2404" t="s">
        <v>46571</v>
      </c>
      <c r="S2404" t="s">
        <v>46687</v>
      </c>
      <c r="T2404" t="s">
        <v>48222</v>
      </c>
      <c r="U2404" t="s">
        <v>50768</v>
      </c>
      <c r="W2404" t="s">
        <v>43604</v>
      </c>
      <c r="X2404" t="s">
        <v>46572</v>
      </c>
    </row>
    <row r="2405" spans="1:24">
      <c r="A2405">
        <f>HYPERLINK("https://www.philgeps.gov.ph/GEPSNONPILOT/Tender/SplashBidNoticeAbstractUI.aspx?menuIndex=3&amp;refID=7067144&amp;Result=3","7067144")</f>
        <v>0</v>
      </c>
      <c r="B2405" t="s">
        <v>921</v>
      </c>
      <c r="C2405" t="s">
        <v>5855</v>
      </c>
      <c r="D2405" t="s">
        <v>18836</v>
      </c>
      <c r="E2405" t="s">
        <v>21094</v>
      </c>
      <c r="F2405" t="s">
        <v>32664</v>
      </c>
      <c r="G2405" t="s">
        <v>32671</v>
      </c>
      <c r="H2405" t="s">
        <v>12635</v>
      </c>
      <c r="I2405" t="s">
        <v>7324</v>
      </c>
      <c r="J2405" t="s">
        <v>34496</v>
      </c>
      <c r="K2405" t="s">
        <v>42283</v>
      </c>
      <c r="M2405" t="s">
        <v>43527</v>
      </c>
      <c r="N2405" t="s">
        <v>46569</v>
      </c>
      <c r="O2405" t="s">
        <v>46570</v>
      </c>
      <c r="P2405">
        <v>0</v>
      </c>
      <c r="Q2405">
        <v>0</v>
      </c>
      <c r="R2405" t="s">
        <v>46571</v>
      </c>
      <c r="S2405" t="s">
        <v>46687</v>
      </c>
      <c r="T2405" t="s">
        <v>48245</v>
      </c>
      <c r="U2405" t="s">
        <v>50769</v>
      </c>
      <c r="W2405" t="s">
        <v>43527</v>
      </c>
      <c r="X2405" t="s">
        <v>46572</v>
      </c>
    </row>
    <row r="2406" spans="1:24">
      <c r="A2406">
        <f>HYPERLINK("https://www.philgeps.gov.ph/GEPSNONPILOT/Tender/SplashBidNoticeAbstractUI.aspx?menuIndex=3&amp;refID=7067142&amp;Result=3","7067142")</f>
        <v>0</v>
      </c>
      <c r="B2406" t="s">
        <v>935</v>
      </c>
      <c r="C2406" t="s">
        <v>5856</v>
      </c>
      <c r="E2406" t="s">
        <v>21095</v>
      </c>
      <c r="F2406" t="s">
        <v>32664</v>
      </c>
      <c r="G2406" t="s">
        <v>32671</v>
      </c>
      <c r="H2406" t="s">
        <v>12635</v>
      </c>
      <c r="I2406" t="s">
        <v>32766</v>
      </c>
      <c r="J2406" t="s">
        <v>32917</v>
      </c>
      <c r="K2406" t="s">
        <v>42283</v>
      </c>
      <c r="M2406" t="s">
        <v>43541</v>
      </c>
      <c r="N2406" t="s">
        <v>46569</v>
      </c>
      <c r="O2406" t="s">
        <v>46570</v>
      </c>
      <c r="P2406">
        <v>0</v>
      </c>
      <c r="Q2406">
        <v>1</v>
      </c>
      <c r="R2406" t="s">
        <v>46571</v>
      </c>
      <c r="S2406" t="s">
        <v>46687</v>
      </c>
      <c r="T2406" t="s">
        <v>48219</v>
      </c>
      <c r="U2406" t="s">
        <v>50770</v>
      </c>
      <c r="W2406" t="s">
        <v>43541</v>
      </c>
      <c r="X2406" t="s">
        <v>46572</v>
      </c>
    </row>
    <row r="2407" spans="1:24">
      <c r="A2407">
        <f>HYPERLINK("https://www.philgeps.gov.ph/GEPSNONPILOT/Tender/SplashBidNoticeAbstractUI.aspx?menuIndex=3&amp;refID=7067140&amp;Result=3","7067140")</f>
        <v>0</v>
      </c>
      <c r="B2407" t="s">
        <v>936</v>
      </c>
      <c r="C2407" t="s">
        <v>5857</v>
      </c>
      <c r="D2407" t="s">
        <v>18806</v>
      </c>
      <c r="E2407" t="s">
        <v>21096</v>
      </c>
      <c r="F2407" t="s">
        <v>32664</v>
      </c>
      <c r="G2407" t="s">
        <v>32671</v>
      </c>
      <c r="H2407" t="s">
        <v>12635</v>
      </c>
      <c r="I2407" t="s">
        <v>10590</v>
      </c>
      <c r="J2407" t="s">
        <v>32984</v>
      </c>
      <c r="K2407" t="s">
        <v>42289</v>
      </c>
      <c r="L2407" t="s">
        <v>936</v>
      </c>
      <c r="M2407" t="s">
        <v>43542</v>
      </c>
      <c r="N2407" t="s">
        <v>46569</v>
      </c>
      <c r="O2407" t="s">
        <v>46570</v>
      </c>
      <c r="P2407">
        <v>0</v>
      </c>
      <c r="Q2407">
        <v>0</v>
      </c>
      <c r="R2407" t="s">
        <v>46571</v>
      </c>
      <c r="S2407" t="s">
        <v>46687</v>
      </c>
      <c r="T2407" t="s">
        <v>48244</v>
      </c>
      <c r="U2407" t="s">
        <v>50771</v>
      </c>
      <c r="W2407" t="s">
        <v>43542</v>
      </c>
      <c r="X2407" t="s">
        <v>46572</v>
      </c>
    </row>
    <row r="2408" spans="1:24">
      <c r="A2408">
        <f>HYPERLINK("https://www.philgeps.gov.ph/GEPSNONPILOT/Tender/SplashBidNoticeAbstractUI.aspx?menuIndex=3&amp;refID=7067136&amp;Result=3","7067136")</f>
        <v>0</v>
      </c>
      <c r="B2408" t="s">
        <v>923</v>
      </c>
      <c r="C2408" t="s">
        <v>5858</v>
      </c>
      <c r="D2408" t="s">
        <v>18782</v>
      </c>
      <c r="E2408" t="s">
        <v>21097</v>
      </c>
      <c r="F2408" t="s">
        <v>32664</v>
      </c>
      <c r="G2408" t="s">
        <v>32672</v>
      </c>
      <c r="H2408" t="s">
        <v>12635</v>
      </c>
      <c r="I2408" t="s">
        <v>32754</v>
      </c>
      <c r="J2408" t="s">
        <v>34497</v>
      </c>
      <c r="K2408" t="s">
        <v>42284</v>
      </c>
      <c r="M2408" t="s">
        <v>43529</v>
      </c>
      <c r="N2408" t="s">
        <v>46569</v>
      </c>
      <c r="O2408" t="s">
        <v>46570</v>
      </c>
      <c r="P2408">
        <v>0</v>
      </c>
      <c r="Q2408">
        <v>0</v>
      </c>
      <c r="R2408" t="s">
        <v>46571</v>
      </c>
      <c r="S2408" t="s">
        <v>46687</v>
      </c>
      <c r="T2408" t="s">
        <v>48278</v>
      </c>
      <c r="U2408" t="s">
        <v>50772</v>
      </c>
      <c r="W2408" t="s">
        <v>43529</v>
      </c>
      <c r="X2408" t="s">
        <v>46572</v>
      </c>
    </row>
    <row r="2409" spans="1:24">
      <c r="A2409">
        <f>HYPERLINK("https://www.philgeps.gov.ph/GEPSNONPILOT/Tender/SplashBidNoticeAbstractUI.aspx?menuIndex=3&amp;refID=7067135&amp;Result=3","7067135")</f>
        <v>0</v>
      </c>
      <c r="B2409" t="s">
        <v>921</v>
      </c>
      <c r="C2409" t="s">
        <v>5859</v>
      </c>
      <c r="D2409" t="s">
        <v>18836</v>
      </c>
      <c r="E2409" t="s">
        <v>21098</v>
      </c>
      <c r="F2409" t="s">
        <v>32664</v>
      </c>
      <c r="G2409" t="s">
        <v>32671</v>
      </c>
      <c r="H2409" t="s">
        <v>12635</v>
      </c>
      <c r="I2409" t="s">
        <v>4439</v>
      </c>
      <c r="J2409" t="s">
        <v>32865</v>
      </c>
      <c r="K2409" t="s">
        <v>42283</v>
      </c>
      <c r="M2409" t="s">
        <v>43527</v>
      </c>
      <c r="N2409" t="s">
        <v>46569</v>
      </c>
      <c r="O2409" t="s">
        <v>46570</v>
      </c>
      <c r="P2409">
        <v>0</v>
      </c>
      <c r="Q2409">
        <v>1</v>
      </c>
      <c r="R2409" t="s">
        <v>46571</v>
      </c>
      <c r="S2409" t="s">
        <v>46687</v>
      </c>
      <c r="T2409" t="s">
        <v>48245</v>
      </c>
      <c r="U2409" t="s">
        <v>50773</v>
      </c>
      <c r="W2409" t="s">
        <v>43527</v>
      </c>
      <c r="X2409" t="s">
        <v>46572</v>
      </c>
    </row>
    <row r="2410" spans="1:24">
      <c r="A2410">
        <f>HYPERLINK("https://www.philgeps.gov.ph/GEPSNONPILOT/Tender/SplashBidNoticeAbstractUI.aspx?menuIndex=3&amp;refID=7067134&amp;Result=3","7067134")</f>
        <v>0</v>
      </c>
      <c r="B2410" t="s">
        <v>949</v>
      </c>
      <c r="C2410" t="s">
        <v>5860</v>
      </c>
      <c r="D2410" t="s">
        <v>18784</v>
      </c>
      <c r="E2410" t="s">
        <v>21099</v>
      </c>
      <c r="F2410" t="s">
        <v>32664</v>
      </c>
      <c r="G2410" t="s">
        <v>32675</v>
      </c>
      <c r="H2410" t="s">
        <v>12635</v>
      </c>
      <c r="I2410" t="s">
        <v>10370</v>
      </c>
      <c r="J2410" t="s">
        <v>34210</v>
      </c>
      <c r="K2410" t="s">
        <v>42303</v>
      </c>
      <c r="M2410" t="s">
        <v>43555</v>
      </c>
      <c r="N2410" t="s">
        <v>46569</v>
      </c>
      <c r="O2410" t="s">
        <v>46570</v>
      </c>
      <c r="P2410">
        <v>0</v>
      </c>
      <c r="Q2410">
        <v>5</v>
      </c>
      <c r="R2410" t="s">
        <v>46571</v>
      </c>
      <c r="S2410" t="s">
        <v>46687</v>
      </c>
      <c r="T2410" t="s">
        <v>48230</v>
      </c>
      <c r="U2410" t="s">
        <v>50774</v>
      </c>
      <c r="W2410" t="s">
        <v>43555</v>
      </c>
      <c r="X2410" t="s">
        <v>46572</v>
      </c>
    </row>
    <row r="2411" spans="1:24">
      <c r="A2411">
        <f>HYPERLINK("https://www.philgeps.gov.ph/GEPSNONPILOT/Tender/SplashBidNoticeAbstractUI.aspx?menuIndex=3&amp;refID=7067112&amp;Result=3","7067112")</f>
        <v>0</v>
      </c>
      <c r="B2411" t="s">
        <v>943</v>
      </c>
      <c r="C2411" t="s">
        <v>5861</v>
      </c>
      <c r="D2411" t="s">
        <v>18784</v>
      </c>
      <c r="E2411" t="s">
        <v>21100</v>
      </c>
      <c r="F2411" t="s">
        <v>32664</v>
      </c>
      <c r="G2411" t="s">
        <v>32671</v>
      </c>
      <c r="H2411" t="s">
        <v>12635</v>
      </c>
      <c r="I2411" t="s">
        <v>5589</v>
      </c>
      <c r="J2411" t="s">
        <v>32853</v>
      </c>
      <c r="K2411" t="s">
        <v>42291</v>
      </c>
      <c r="M2411" t="s">
        <v>43549</v>
      </c>
      <c r="N2411" t="s">
        <v>46569</v>
      </c>
      <c r="O2411" t="s">
        <v>46570</v>
      </c>
      <c r="P2411">
        <v>0</v>
      </c>
      <c r="Q2411">
        <v>2</v>
      </c>
      <c r="R2411" t="s">
        <v>46571</v>
      </c>
      <c r="S2411" t="s">
        <v>46687</v>
      </c>
      <c r="T2411" t="s">
        <v>48256</v>
      </c>
      <c r="U2411" t="s">
        <v>50775</v>
      </c>
      <c r="V2411" t="s">
        <v>61869</v>
      </c>
      <c r="W2411" t="s">
        <v>43549</v>
      </c>
      <c r="X2411" t="s">
        <v>46572</v>
      </c>
    </row>
    <row r="2412" spans="1:24">
      <c r="A2412">
        <f>HYPERLINK("https://www.philgeps.gov.ph/GEPSNONPILOT/Tender/SplashBidNoticeAbstractUI.aspx?menuIndex=3&amp;refID=7067356&amp;Result=3","7067356")</f>
        <v>0</v>
      </c>
      <c r="B2412" t="s">
        <v>993</v>
      </c>
      <c r="C2412" t="s">
        <v>5862</v>
      </c>
      <c r="D2412" t="s">
        <v>18793</v>
      </c>
      <c r="E2412" t="s">
        <v>21101</v>
      </c>
      <c r="F2412" t="s">
        <v>32664</v>
      </c>
      <c r="G2412" t="s">
        <v>32672</v>
      </c>
      <c r="H2412" t="s">
        <v>32683</v>
      </c>
      <c r="I2412" t="s">
        <v>10627</v>
      </c>
      <c r="J2412" t="s">
        <v>32962</v>
      </c>
      <c r="K2412" t="s">
        <v>42316</v>
      </c>
      <c r="M2412" t="s">
        <v>43605</v>
      </c>
      <c r="N2412" t="s">
        <v>46569</v>
      </c>
      <c r="O2412" t="s">
        <v>46570</v>
      </c>
      <c r="P2412">
        <v>0</v>
      </c>
      <c r="Q2412">
        <v>1</v>
      </c>
      <c r="R2412" t="s">
        <v>46571</v>
      </c>
      <c r="S2412" t="s">
        <v>46687</v>
      </c>
      <c r="T2412" t="s">
        <v>48225</v>
      </c>
      <c r="U2412" t="s">
        <v>50776</v>
      </c>
      <c r="W2412" t="s">
        <v>43605</v>
      </c>
      <c r="X2412" t="s">
        <v>46572</v>
      </c>
    </row>
    <row r="2413" spans="1:24">
      <c r="A2413">
        <f>HYPERLINK("https://www.philgeps.gov.ph/GEPSNONPILOT/Tender/SplashBidNoticeAbstractUI.aspx?menuIndex=3&amp;refID=7067138&amp;Result=3","7067138")</f>
        <v>0</v>
      </c>
      <c r="B2413" t="s">
        <v>921</v>
      </c>
      <c r="C2413" t="s">
        <v>5863</v>
      </c>
      <c r="D2413" t="s">
        <v>18836</v>
      </c>
      <c r="E2413" t="s">
        <v>21102</v>
      </c>
      <c r="F2413" t="s">
        <v>32664</v>
      </c>
      <c r="G2413" t="s">
        <v>32671</v>
      </c>
      <c r="H2413" t="s">
        <v>12635</v>
      </c>
      <c r="I2413" t="s">
        <v>4439</v>
      </c>
      <c r="J2413" t="s">
        <v>32865</v>
      </c>
      <c r="K2413" t="s">
        <v>42283</v>
      </c>
      <c r="M2413" t="s">
        <v>43527</v>
      </c>
      <c r="N2413" t="s">
        <v>46569</v>
      </c>
      <c r="O2413" t="s">
        <v>46570</v>
      </c>
      <c r="P2413">
        <v>0</v>
      </c>
      <c r="Q2413">
        <v>1</v>
      </c>
      <c r="R2413" t="s">
        <v>46571</v>
      </c>
      <c r="S2413" t="s">
        <v>46687</v>
      </c>
      <c r="T2413" t="s">
        <v>48245</v>
      </c>
      <c r="U2413" t="s">
        <v>50777</v>
      </c>
      <c r="W2413" t="s">
        <v>43527</v>
      </c>
      <c r="X2413" t="s">
        <v>46572</v>
      </c>
    </row>
    <row r="2414" spans="1:24">
      <c r="A2414">
        <f>HYPERLINK("https://www.philgeps.gov.ph/GEPSNONPILOT/Tender/SplashBidNoticeAbstractUI.aspx?menuIndex=3&amp;refID=7067330&amp;Result=3","7067330")</f>
        <v>0</v>
      </c>
      <c r="B2414" t="s">
        <v>987</v>
      </c>
      <c r="C2414" t="s">
        <v>5864</v>
      </c>
      <c r="D2414" t="s">
        <v>18784</v>
      </c>
      <c r="E2414" t="s">
        <v>5864</v>
      </c>
      <c r="F2414" t="s">
        <v>32664</v>
      </c>
      <c r="G2414" t="s">
        <v>32672</v>
      </c>
      <c r="H2414" t="s">
        <v>12635</v>
      </c>
      <c r="I2414" t="s">
        <v>8730</v>
      </c>
      <c r="J2414" t="s">
        <v>34498</v>
      </c>
      <c r="K2414" t="s">
        <v>42281</v>
      </c>
      <c r="M2414" t="s">
        <v>43598</v>
      </c>
      <c r="N2414" t="s">
        <v>46569</v>
      </c>
      <c r="O2414" t="s">
        <v>46570</v>
      </c>
      <c r="P2414">
        <v>0</v>
      </c>
      <c r="Q2414">
        <v>1</v>
      </c>
      <c r="R2414" t="s">
        <v>46571</v>
      </c>
      <c r="S2414" t="s">
        <v>46687</v>
      </c>
      <c r="T2414" t="s">
        <v>48274</v>
      </c>
      <c r="U2414" t="s">
        <v>50743</v>
      </c>
      <c r="W2414" t="s">
        <v>43598</v>
      </c>
      <c r="X2414" t="s">
        <v>46572</v>
      </c>
    </row>
    <row r="2415" spans="1:24">
      <c r="A2415">
        <f>HYPERLINK("https://www.philgeps.gov.ph/GEPSNONPILOT/Tender/SplashBidNoticeAbstractUI.aspx?menuIndex=3&amp;refID=7067353&amp;Result=3","7067353")</f>
        <v>0</v>
      </c>
      <c r="B2415" t="s">
        <v>987</v>
      </c>
      <c r="C2415" t="s">
        <v>5865</v>
      </c>
      <c r="D2415" t="s">
        <v>18784</v>
      </c>
      <c r="E2415" t="s">
        <v>21103</v>
      </c>
      <c r="F2415" t="s">
        <v>32664</v>
      </c>
      <c r="G2415" t="s">
        <v>32672</v>
      </c>
      <c r="H2415" t="s">
        <v>12635</v>
      </c>
      <c r="I2415" t="s">
        <v>32704</v>
      </c>
      <c r="J2415" t="s">
        <v>34499</v>
      </c>
      <c r="K2415" t="s">
        <v>42281</v>
      </c>
      <c r="M2415" t="s">
        <v>43598</v>
      </c>
      <c r="N2415" t="s">
        <v>46569</v>
      </c>
      <c r="O2415" t="s">
        <v>46570</v>
      </c>
      <c r="P2415">
        <v>0</v>
      </c>
      <c r="Q2415">
        <v>2</v>
      </c>
      <c r="R2415" t="s">
        <v>46571</v>
      </c>
      <c r="S2415" t="s">
        <v>46687</v>
      </c>
      <c r="T2415" t="s">
        <v>48274</v>
      </c>
      <c r="U2415" t="s">
        <v>50778</v>
      </c>
      <c r="W2415" t="s">
        <v>43598</v>
      </c>
      <c r="X2415" t="s">
        <v>46572</v>
      </c>
    </row>
    <row r="2416" spans="1:24">
      <c r="A2416">
        <f>HYPERLINK("https://www.philgeps.gov.ph/GEPSNONPILOT/Tender/SplashBidNoticeAbstractUI.aspx?menuIndex=3&amp;refID=7067263&amp;Result=3","7067263")</f>
        <v>0</v>
      </c>
      <c r="B2416" t="s">
        <v>994</v>
      </c>
      <c r="C2416" t="s">
        <v>5866</v>
      </c>
      <c r="D2416" t="s">
        <v>18804</v>
      </c>
      <c r="E2416" t="s">
        <v>21104</v>
      </c>
      <c r="F2416" t="s">
        <v>32664</v>
      </c>
      <c r="G2416" t="s">
        <v>32672</v>
      </c>
      <c r="H2416" t="s">
        <v>32683</v>
      </c>
      <c r="I2416" t="s">
        <v>9597</v>
      </c>
      <c r="J2416" t="s">
        <v>33051</v>
      </c>
      <c r="K2416" t="s">
        <v>42281</v>
      </c>
      <c r="M2416" t="s">
        <v>43606</v>
      </c>
      <c r="N2416" t="s">
        <v>46569</v>
      </c>
      <c r="O2416" t="s">
        <v>46570</v>
      </c>
      <c r="P2416">
        <v>0</v>
      </c>
      <c r="Q2416">
        <v>0</v>
      </c>
      <c r="R2416" t="s">
        <v>46571</v>
      </c>
      <c r="S2416" t="s">
        <v>46687</v>
      </c>
      <c r="T2416" t="s">
        <v>48237</v>
      </c>
      <c r="U2416" t="s">
        <v>50779</v>
      </c>
      <c r="W2416" t="s">
        <v>43606</v>
      </c>
      <c r="X2416" t="s">
        <v>46572</v>
      </c>
    </row>
    <row r="2417" spans="1:24">
      <c r="A2417">
        <f>HYPERLINK("https://www.philgeps.gov.ph/GEPSNONPILOT/Tender/SplashBidNoticeAbstractUI.aspx?menuIndex=3&amp;refID=7067146&amp;Result=3","7067146")</f>
        <v>0</v>
      </c>
      <c r="B2417" t="s">
        <v>667</v>
      </c>
      <c r="C2417" t="s">
        <v>5867</v>
      </c>
      <c r="D2417" t="s">
        <v>18843</v>
      </c>
      <c r="E2417" t="s">
        <v>21105</v>
      </c>
      <c r="F2417" t="s">
        <v>32664</v>
      </c>
      <c r="G2417" t="s">
        <v>32672</v>
      </c>
      <c r="H2417" t="s">
        <v>32683</v>
      </c>
      <c r="I2417" t="s">
        <v>10627</v>
      </c>
      <c r="J2417" t="s">
        <v>34500</v>
      </c>
      <c r="K2417" t="s">
        <v>42290</v>
      </c>
      <c r="M2417" t="s">
        <v>43254</v>
      </c>
      <c r="N2417" t="s">
        <v>46569</v>
      </c>
      <c r="O2417" t="s">
        <v>46570</v>
      </c>
      <c r="P2417">
        <v>0</v>
      </c>
      <c r="Q2417">
        <v>0</v>
      </c>
      <c r="R2417" t="s">
        <v>46571</v>
      </c>
      <c r="S2417" t="s">
        <v>46687</v>
      </c>
      <c r="T2417" t="s">
        <v>48220</v>
      </c>
      <c r="U2417" t="s">
        <v>50040</v>
      </c>
      <c r="W2417" t="s">
        <v>43254</v>
      </c>
      <c r="X2417" t="s">
        <v>46572</v>
      </c>
    </row>
    <row r="2418" spans="1:24">
      <c r="A2418">
        <f>HYPERLINK("https://www.philgeps.gov.ph/GEPSNONPILOT/Tender/SplashBidNoticeAbstractUI.aspx?menuIndex=3&amp;refID=7067351&amp;Result=3","7067351")</f>
        <v>0</v>
      </c>
      <c r="B2418" t="s">
        <v>995</v>
      </c>
      <c r="C2418" t="s">
        <v>5868</v>
      </c>
      <c r="D2418" t="s">
        <v>18798</v>
      </c>
      <c r="E2418" t="s">
        <v>21106</v>
      </c>
      <c r="F2418" t="s">
        <v>32664</v>
      </c>
      <c r="G2418" t="s">
        <v>32671</v>
      </c>
      <c r="H2418" t="s">
        <v>12635</v>
      </c>
      <c r="I2418" t="s">
        <v>32699</v>
      </c>
      <c r="J2418" t="s">
        <v>34501</v>
      </c>
      <c r="K2418" t="s">
        <v>42283</v>
      </c>
      <c r="M2418" t="s">
        <v>43607</v>
      </c>
      <c r="N2418" t="s">
        <v>46569</v>
      </c>
      <c r="O2418" t="s">
        <v>46570</v>
      </c>
      <c r="P2418">
        <v>0</v>
      </c>
      <c r="Q2418">
        <v>0</v>
      </c>
      <c r="R2418" t="s">
        <v>46571</v>
      </c>
      <c r="S2418" t="s">
        <v>46687</v>
      </c>
      <c r="T2418" t="s">
        <v>48244</v>
      </c>
      <c r="U2418" t="s">
        <v>50780</v>
      </c>
      <c r="W2418" t="s">
        <v>43607</v>
      </c>
      <c r="X2418" t="s">
        <v>46572</v>
      </c>
    </row>
    <row r="2419" spans="1:24">
      <c r="A2419">
        <f>HYPERLINK("https://www.philgeps.gov.ph/GEPSNONPILOT/Tender/SplashBidNoticeAbstractUI.aspx?menuIndex=3&amp;refID=7067352&amp;Result=3","7067352")</f>
        <v>0</v>
      </c>
      <c r="B2419" t="s">
        <v>987</v>
      </c>
      <c r="C2419" t="s">
        <v>5869</v>
      </c>
      <c r="D2419" t="s">
        <v>18784</v>
      </c>
      <c r="E2419" t="s">
        <v>21107</v>
      </c>
      <c r="F2419" t="s">
        <v>32664</v>
      </c>
      <c r="G2419" t="s">
        <v>32672</v>
      </c>
      <c r="H2419" t="s">
        <v>12635</v>
      </c>
      <c r="I2419" t="s">
        <v>32704</v>
      </c>
      <c r="J2419" t="s">
        <v>34502</v>
      </c>
      <c r="K2419" t="s">
        <v>42281</v>
      </c>
      <c r="M2419" t="s">
        <v>43598</v>
      </c>
      <c r="N2419" t="s">
        <v>46569</v>
      </c>
      <c r="O2419" t="s">
        <v>46570</v>
      </c>
      <c r="P2419">
        <v>0</v>
      </c>
      <c r="Q2419">
        <v>2</v>
      </c>
      <c r="R2419" t="s">
        <v>46571</v>
      </c>
      <c r="S2419" t="s">
        <v>46687</v>
      </c>
      <c r="T2419" t="s">
        <v>48274</v>
      </c>
      <c r="U2419" t="s">
        <v>50778</v>
      </c>
      <c r="W2419" t="s">
        <v>43598</v>
      </c>
      <c r="X2419" t="s">
        <v>46572</v>
      </c>
    </row>
    <row r="2420" spans="1:24">
      <c r="A2420">
        <f>HYPERLINK("https://www.philgeps.gov.ph/GEPSNONPILOT/Tender/SplashBidNoticeAbstractUI.aspx?menuIndex=3&amp;refID=7067350&amp;Result=3","7067350")</f>
        <v>0</v>
      </c>
      <c r="B2420" t="s">
        <v>993</v>
      </c>
      <c r="C2420" t="s">
        <v>5870</v>
      </c>
      <c r="D2420" t="s">
        <v>18793</v>
      </c>
      <c r="E2420" t="s">
        <v>19564</v>
      </c>
      <c r="F2420" t="s">
        <v>32664</v>
      </c>
      <c r="G2420" t="s">
        <v>32672</v>
      </c>
      <c r="H2420" t="s">
        <v>32683</v>
      </c>
      <c r="I2420" t="s">
        <v>10627</v>
      </c>
      <c r="J2420" t="s">
        <v>34391</v>
      </c>
      <c r="K2420" t="s">
        <v>42303</v>
      </c>
      <c r="M2420" t="s">
        <v>43605</v>
      </c>
      <c r="N2420" t="s">
        <v>46569</v>
      </c>
      <c r="O2420" t="s">
        <v>46570</v>
      </c>
      <c r="P2420">
        <v>0</v>
      </c>
      <c r="Q2420">
        <v>0</v>
      </c>
      <c r="R2420" t="s">
        <v>46571</v>
      </c>
      <c r="S2420" t="s">
        <v>46687</v>
      </c>
      <c r="T2420" t="s">
        <v>48225</v>
      </c>
      <c r="U2420" t="s">
        <v>50781</v>
      </c>
      <c r="W2420" t="s">
        <v>43605</v>
      </c>
      <c r="X2420" t="s">
        <v>46572</v>
      </c>
    </row>
    <row r="2421" spans="1:24">
      <c r="A2421">
        <f>HYPERLINK("https://www.philgeps.gov.ph/GEPSNONPILOT/Tender/SplashBidNoticeAbstractUI.aspx?menuIndex=3&amp;refID=7067355&amp;Result=3","7067355")</f>
        <v>0</v>
      </c>
      <c r="B2421" t="s">
        <v>987</v>
      </c>
      <c r="C2421" t="s">
        <v>5871</v>
      </c>
      <c r="D2421" t="s">
        <v>18784</v>
      </c>
      <c r="E2421" t="s">
        <v>21108</v>
      </c>
      <c r="F2421" t="s">
        <v>32664</v>
      </c>
      <c r="G2421" t="s">
        <v>32672</v>
      </c>
      <c r="H2421" t="s">
        <v>12635</v>
      </c>
      <c r="I2421" t="s">
        <v>32704</v>
      </c>
      <c r="J2421" t="s">
        <v>34503</v>
      </c>
      <c r="K2421" t="s">
        <v>42281</v>
      </c>
      <c r="M2421" t="s">
        <v>43598</v>
      </c>
      <c r="N2421" t="s">
        <v>46569</v>
      </c>
      <c r="O2421" t="s">
        <v>46570</v>
      </c>
      <c r="P2421">
        <v>0</v>
      </c>
      <c r="Q2421">
        <v>2</v>
      </c>
      <c r="R2421" t="s">
        <v>46571</v>
      </c>
      <c r="S2421" t="s">
        <v>46687</v>
      </c>
      <c r="T2421" t="s">
        <v>48274</v>
      </c>
      <c r="U2421" t="s">
        <v>50778</v>
      </c>
      <c r="W2421" t="s">
        <v>43598</v>
      </c>
      <c r="X2421" t="s">
        <v>46572</v>
      </c>
    </row>
    <row r="2422" spans="1:24">
      <c r="A2422">
        <f>HYPERLINK("https://www.philgeps.gov.ph/GEPSNONPILOT/Tender/SplashBidNoticeAbstractUI.aspx?menuIndex=3&amp;refID=7067347&amp;Result=3","7067347")</f>
        <v>0</v>
      </c>
      <c r="B2422" t="s">
        <v>987</v>
      </c>
      <c r="C2422" t="s">
        <v>5872</v>
      </c>
      <c r="D2422" t="s">
        <v>18784</v>
      </c>
      <c r="E2422" t="s">
        <v>21109</v>
      </c>
      <c r="F2422" t="s">
        <v>32664</v>
      </c>
      <c r="G2422" t="s">
        <v>32672</v>
      </c>
      <c r="H2422" t="s">
        <v>12635</v>
      </c>
      <c r="I2422" t="s">
        <v>32704</v>
      </c>
      <c r="J2422" t="s">
        <v>34504</v>
      </c>
      <c r="K2422" t="s">
        <v>42281</v>
      </c>
      <c r="M2422" t="s">
        <v>43598</v>
      </c>
      <c r="N2422" t="s">
        <v>46569</v>
      </c>
      <c r="O2422" t="s">
        <v>46570</v>
      </c>
      <c r="P2422">
        <v>0</v>
      </c>
      <c r="Q2422">
        <v>3</v>
      </c>
      <c r="R2422" t="s">
        <v>46571</v>
      </c>
      <c r="S2422" t="s">
        <v>46687</v>
      </c>
      <c r="T2422" t="s">
        <v>48274</v>
      </c>
      <c r="U2422" t="s">
        <v>50782</v>
      </c>
      <c r="W2422" t="s">
        <v>43598</v>
      </c>
      <c r="X2422" t="s">
        <v>46572</v>
      </c>
    </row>
    <row r="2423" spans="1:24">
      <c r="A2423">
        <f>HYPERLINK("https://www.philgeps.gov.ph/GEPSNONPILOT/Tender/SplashBidNoticeAbstractUI.aspx?menuIndex=3&amp;refID=7067349&amp;Result=3","7067349")</f>
        <v>0</v>
      </c>
      <c r="B2423" t="s">
        <v>987</v>
      </c>
      <c r="C2423" t="s">
        <v>5873</v>
      </c>
      <c r="D2423" t="s">
        <v>18784</v>
      </c>
      <c r="E2423" t="s">
        <v>21110</v>
      </c>
      <c r="F2423" t="s">
        <v>32664</v>
      </c>
      <c r="G2423" t="s">
        <v>32672</v>
      </c>
      <c r="H2423" t="s">
        <v>12635</v>
      </c>
      <c r="I2423" t="s">
        <v>32704</v>
      </c>
      <c r="J2423" t="s">
        <v>34505</v>
      </c>
      <c r="K2423" t="s">
        <v>42281</v>
      </c>
      <c r="M2423" t="s">
        <v>43598</v>
      </c>
      <c r="N2423" t="s">
        <v>46569</v>
      </c>
      <c r="O2423" t="s">
        <v>46570</v>
      </c>
      <c r="P2423">
        <v>0</v>
      </c>
      <c r="Q2423">
        <v>2</v>
      </c>
      <c r="R2423" t="s">
        <v>46571</v>
      </c>
      <c r="S2423" t="s">
        <v>46687</v>
      </c>
      <c r="T2423" t="s">
        <v>48274</v>
      </c>
      <c r="U2423" t="s">
        <v>50778</v>
      </c>
      <c r="W2423" t="s">
        <v>43598</v>
      </c>
      <c r="X2423" t="s">
        <v>46572</v>
      </c>
    </row>
    <row r="2424" spans="1:24">
      <c r="A2424">
        <f>HYPERLINK("https://www.philgeps.gov.ph/GEPSNONPILOT/Tender/SplashBidNoticeAbstractUI.aspx?menuIndex=3&amp;refID=7067345&amp;Result=3","7067345")</f>
        <v>0</v>
      </c>
      <c r="B2424" t="s">
        <v>996</v>
      </c>
      <c r="C2424" t="s">
        <v>5874</v>
      </c>
      <c r="D2424" t="s">
        <v>18785</v>
      </c>
      <c r="E2424" t="s">
        <v>19718</v>
      </c>
      <c r="F2424" t="s">
        <v>32664</v>
      </c>
      <c r="G2424" t="s">
        <v>32671</v>
      </c>
      <c r="H2424" t="s">
        <v>12635</v>
      </c>
      <c r="I2424" t="s">
        <v>32706</v>
      </c>
      <c r="J2424" t="s">
        <v>34506</v>
      </c>
      <c r="K2424" t="s">
        <v>42306</v>
      </c>
      <c r="M2424" t="s">
        <v>43608</v>
      </c>
      <c r="N2424" t="s">
        <v>46569</v>
      </c>
      <c r="O2424" t="s">
        <v>46570</v>
      </c>
      <c r="P2424">
        <v>0</v>
      </c>
      <c r="Q2424">
        <v>0</v>
      </c>
      <c r="R2424" t="s">
        <v>46571</v>
      </c>
      <c r="S2424" t="s">
        <v>46687</v>
      </c>
      <c r="T2424" t="s">
        <v>48244</v>
      </c>
      <c r="U2424" t="s">
        <v>50783</v>
      </c>
      <c r="W2424" t="s">
        <v>43608</v>
      </c>
      <c r="X2424" t="s">
        <v>46572</v>
      </c>
    </row>
    <row r="2425" spans="1:24">
      <c r="A2425">
        <f>HYPERLINK("https://www.philgeps.gov.ph/GEPSNONPILOT/Tender/SplashBidNoticeAbstractUI.aspx?menuIndex=3&amp;refID=7067266&amp;Result=3","7067266")</f>
        <v>0</v>
      </c>
      <c r="B2425" t="s">
        <v>943</v>
      </c>
      <c r="C2425" t="s">
        <v>5875</v>
      </c>
      <c r="D2425" t="s">
        <v>18784</v>
      </c>
      <c r="E2425" t="s">
        <v>21111</v>
      </c>
      <c r="F2425" t="s">
        <v>32664</v>
      </c>
      <c r="G2425" t="s">
        <v>32672</v>
      </c>
      <c r="H2425" t="s">
        <v>32682</v>
      </c>
      <c r="I2425" t="s">
        <v>32695</v>
      </c>
      <c r="J2425" t="s">
        <v>34482</v>
      </c>
      <c r="K2425" t="s">
        <v>42291</v>
      </c>
      <c r="M2425" t="s">
        <v>43603</v>
      </c>
      <c r="N2425" t="s">
        <v>46569</v>
      </c>
      <c r="O2425" t="s">
        <v>46570</v>
      </c>
      <c r="P2425">
        <v>0</v>
      </c>
      <c r="Q2425">
        <v>0</v>
      </c>
      <c r="R2425" t="s">
        <v>46571</v>
      </c>
      <c r="S2425" t="s">
        <v>46687</v>
      </c>
      <c r="T2425" t="s">
        <v>48444</v>
      </c>
      <c r="U2425" t="s">
        <v>50784</v>
      </c>
      <c r="W2425" t="s">
        <v>43603</v>
      </c>
      <c r="X2425" t="s">
        <v>46572</v>
      </c>
    </row>
    <row r="2426" spans="1:24">
      <c r="A2426">
        <f>HYPERLINK("https://www.philgeps.gov.ph/GEPSNONPILOT/Tender/SplashBidNoticeAbstractUI.aspx?menuIndex=3&amp;refID=7067342&amp;Result=3","7067342")</f>
        <v>0</v>
      </c>
      <c r="B2426" t="s">
        <v>997</v>
      </c>
      <c r="C2426" t="s">
        <v>5876</v>
      </c>
      <c r="D2426" t="s">
        <v>18813</v>
      </c>
      <c r="E2426" t="s">
        <v>21112</v>
      </c>
      <c r="F2426" t="s">
        <v>32664</v>
      </c>
      <c r="G2426" t="s">
        <v>32671</v>
      </c>
      <c r="H2426" t="s">
        <v>12635</v>
      </c>
      <c r="I2426" t="s">
        <v>32726</v>
      </c>
      <c r="J2426" t="s">
        <v>34507</v>
      </c>
      <c r="K2426" t="s">
        <v>42290</v>
      </c>
      <c r="M2426" t="s">
        <v>43609</v>
      </c>
      <c r="N2426" t="s">
        <v>46569</v>
      </c>
      <c r="O2426" t="s">
        <v>46570</v>
      </c>
      <c r="P2426">
        <v>0</v>
      </c>
      <c r="Q2426">
        <v>1</v>
      </c>
      <c r="R2426" t="s">
        <v>46571</v>
      </c>
      <c r="S2426" t="s">
        <v>46687</v>
      </c>
      <c r="T2426" t="s">
        <v>48312</v>
      </c>
      <c r="U2426" t="s">
        <v>50785</v>
      </c>
      <c r="W2426" t="s">
        <v>43609</v>
      </c>
      <c r="X2426" t="s">
        <v>46572</v>
      </c>
    </row>
    <row r="2427" spans="1:24">
      <c r="A2427">
        <f>HYPERLINK("https://www.philgeps.gov.ph/GEPSNONPILOT/Tender/SplashBidNoticeAbstractUI.aspx?menuIndex=3&amp;refID=7067341&amp;Result=3","7067341")</f>
        <v>0</v>
      </c>
      <c r="B2427" t="s">
        <v>987</v>
      </c>
      <c r="C2427" t="s">
        <v>5877</v>
      </c>
      <c r="D2427" t="s">
        <v>18784</v>
      </c>
      <c r="E2427" t="s">
        <v>5877</v>
      </c>
      <c r="F2427" t="s">
        <v>32664</v>
      </c>
      <c r="G2427" t="s">
        <v>32672</v>
      </c>
      <c r="H2427" t="s">
        <v>12635</v>
      </c>
      <c r="I2427" t="s">
        <v>6118</v>
      </c>
      <c r="J2427" t="s">
        <v>34508</v>
      </c>
      <c r="K2427" t="s">
        <v>42281</v>
      </c>
      <c r="M2427" t="s">
        <v>43598</v>
      </c>
      <c r="N2427" t="s">
        <v>46569</v>
      </c>
      <c r="O2427" t="s">
        <v>46570</v>
      </c>
      <c r="P2427">
        <v>0</v>
      </c>
      <c r="Q2427">
        <v>0</v>
      </c>
      <c r="R2427" t="s">
        <v>46571</v>
      </c>
      <c r="S2427" t="s">
        <v>46687</v>
      </c>
      <c r="T2427" t="s">
        <v>48274</v>
      </c>
      <c r="U2427" t="s">
        <v>50753</v>
      </c>
      <c r="W2427" t="s">
        <v>43598</v>
      </c>
      <c r="X2427" t="s">
        <v>46572</v>
      </c>
    </row>
    <row r="2428" spans="1:24">
      <c r="A2428">
        <f>HYPERLINK("https://www.philgeps.gov.ph/GEPSNONPILOT/Tender/SplashBidNoticeAbstractUI.aspx?menuIndex=3&amp;refID=7067339&amp;Result=3","7067339")</f>
        <v>0</v>
      </c>
      <c r="B2428" t="s">
        <v>998</v>
      </c>
      <c r="C2428" t="s">
        <v>5878</v>
      </c>
      <c r="D2428" t="s">
        <v>18847</v>
      </c>
      <c r="E2428" t="s">
        <v>21113</v>
      </c>
      <c r="F2428" t="s">
        <v>32664</v>
      </c>
      <c r="G2428" t="s">
        <v>32671</v>
      </c>
      <c r="H2428" t="s">
        <v>12635</v>
      </c>
      <c r="I2428" t="s">
        <v>32750</v>
      </c>
      <c r="J2428" t="s">
        <v>34509</v>
      </c>
      <c r="K2428" t="s">
        <v>42281</v>
      </c>
      <c r="M2428" t="s">
        <v>43610</v>
      </c>
      <c r="N2428" t="s">
        <v>46569</v>
      </c>
      <c r="O2428" t="s">
        <v>46570</v>
      </c>
      <c r="P2428">
        <v>0</v>
      </c>
      <c r="Q2428">
        <v>0</v>
      </c>
      <c r="R2428" t="s">
        <v>46571</v>
      </c>
      <c r="S2428" t="s">
        <v>46687</v>
      </c>
      <c r="T2428" t="s">
        <v>48228</v>
      </c>
      <c r="U2428" t="s">
        <v>50786</v>
      </c>
      <c r="W2428" t="s">
        <v>43610</v>
      </c>
      <c r="X2428" t="s">
        <v>46572</v>
      </c>
    </row>
    <row r="2429" spans="1:24">
      <c r="A2429">
        <f>HYPERLINK("https://www.philgeps.gov.ph/GEPSNONPILOT/Tender/SplashBidNoticeAbstractUI.aspx?menuIndex=3&amp;refID=7067338&amp;Result=3","7067338")</f>
        <v>0</v>
      </c>
      <c r="B2429" t="s">
        <v>987</v>
      </c>
      <c r="C2429" t="s">
        <v>5879</v>
      </c>
      <c r="D2429" t="s">
        <v>18784</v>
      </c>
      <c r="E2429" t="s">
        <v>5879</v>
      </c>
      <c r="F2429" t="s">
        <v>32664</v>
      </c>
      <c r="G2429" t="s">
        <v>32672</v>
      </c>
      <c r="H2429" t="s">
        <v>12635</v>
      </c>
      <c r="I2429" t="s">
        <v>6118</v>
      </c>
      <c r="J2429" t="s">
        <v>34510</v>
      </c>
      <c r="K2429" t="s">
        <v>42281</v>
      </c>
      <c r="M2429" t="s">
        <v>43598</v>
      </c>
      <c r="N2429" t="s">
        <v>46569</v>
      </c>
      <c r="O2429" t="s">
        <v>46570</v>
      </c>
      <c r="P2429">
        <v>0</v>
      </c>
      <c r="Q2429">
        <v>0</v>
      </c>
      <c r="R2429" t="s">
        <v>46571</v>
      </c>
      <c r="S2429" t="s">
        <v>46687</v>
      </c>
      <c r="T2429" t="s">
        <v>48274</v>
      </c>
      <c r="U2429" t="s">
        <v>50753</v>
      </c>
      <c r="W2429" t="s">
        <v>43598</v>
      </c>
      <c r="X2429" t="s">
        <v>46572</v>
      </c>
    </row>
    <row r="2430" spans="1:24">
      <c r="A2430">
        <f>HYPERLINK("https://www.philgeps.gov.ph/GEPSNONPILOT/Tender/SplashBidNoticeAbstractUI.aspx?menuIndex=3&amp;refID=7067337&amp;Result=3","7067337")</f>
        <v>0</v>
      </c>
      <c r="B2430" t="s">
        <v>887</v>
      </c>
      <c r="C2430" t="s">
        <v>5880</v>
      </c>
      <c r="D2430" t="s">
        <v>18821</v>
      </c>
      <c r="E2430" t="s">
        <v>21114</v>
      </c>
      <c r="F2430" t="s">
        <v>32664</v>
      </c>
      <c r="G2430" t="s">
        <v>32674</v>
      </c>
      <c r="H2430" t="s">
        <v>12635</v>
      </c>
      <c r="I2430" t="s">
        <v>32725</v>
      </c>
      <c r="J2430" t="s">
        <v>34192</v>
      </c>
      <c r="K2430" t="s">
        <v>42309</v>
      </c>
      <c r="M2430" t="s">
        <v>43488</v>
      </c>
      <c r="N2430" t="s">
        <v>46569</v>
      </c>
      <c r="O2430" t="s">
        <v>46570</v>
      </c>
      <c r="P2430">
        <v>0</v>
      </c>
      <c r="Q2430">
        <v>1</v>
      </c>
      <c r="R2430" t="s">
        <v>46571</v>
      </c>
      <c r="S2430" t="s">
        <v>46687</v>
      </c>
      <c r="T2430" t="s">
        <v>48221</v>
      </c>
      <c r="U2430" t="s">
        <v>50787</v>
      </c>
      <c r="W2430" t="s">
        <v>43488</v>
      </c>
      <c r="X2430" t="s">
        <v>46572</v>
      </c>
    </row>
    <row r="2431" spans="1:24">
      <c r="A2431">
        <f>HYPERLINK("https://www.philgeps.gov.ph/GEPSNONPILOT/Tender/SplashBidNoticeAbstractUI.aspx?menuIndex=3&amp;refID=7043684&amp;Result=3","7043684")</f>
        <v>0</v>
      </c>
      <c r="B2431" t="s">
        <v>809</v>
      </c>
      <c r="C2431" t="s">
        <v>5881</v>
      </c>
      <c r="D2431" t="s">
        <v>18834</v>
      </c>
      <c r="E2431" t="s">
        <v>21115</v>
      </c>
      <c r="F2431" t="s">
        <v>32664</v>
      </c>
      <c r="G2431" t="s">
        <v>32672</v>
      </c>
      <c r="H2431" t="s">
        <v>32681</v>
      </c>
      <c r="I2431" t="s">
        <v>10627</v>
      </c>
      <c r="J2431" t="s">
        <v>34511</v>
      </c>
      <c r="K2431" t="s">
        <v>42298</v>
      </c>
      <c r="M2431" t="s">
        <v>43402</v>
      </c>
      <c r="N2431" t="s">
        <v>46569</v>
      </c>
      <c r="O2431" t="s">
        <v>46570</v>
      </c>
      <c r="P2431">
        <v>0</v>
      </c>
      <c r="Q2431">
        <v>1</v>
      </c>
      <c r="R2431" t="s">
        <v>46572</v>
      </c>
      <c r="S2431" t="s">
        <v>46689</v>
      </c>
      <c r="T2431" t="s">
        <v>48312</v>
      </c>
      <c r="U2431" t="s">
        <v>50788</v>
      </c>
      <c r="W2431" t="s">
        <v>43402</v>
      </c>
      <c r="X2431" t="s">
        <v>46584</v>
      </c>
    </row>
    <row r="2432" spans="1:24">
      <c r="A2432">
        <f>HYPERLINK("https://www.philgeps.gov.ph/GEPSNONPILOT/Tender/SplashBidNoticeAbstractUI.aspx?menuIndex=3&amp;refID=7067354&amp;Result=3","7067354")</f>
        <v>0</v>
      </c>
      <c r="B2432" t="s">
        <v>999</v>
      </c>
      <c r="C2432" t="s">
        <v>5882</v>
      </c>
      <c r="D2432" t="s">
        <v>18782</v>
      </c>
      <c r="E2432" t="s">
        <v>21116</v>
      </c>
      <c r="F2432" t="s">
        <v>32664</v>
      </c>
      <c r="G2432" t="s">
        <v>32672</v>
      </c>
      <c r="H2432" t="s">
        <v>32683</v>
      </c>
      <c r="I2432" t="s">
        <v>10627</v>
      </c>
      <c r="J2432" t="s">
        <v>34073</v>
      </c>
      <c r="K2432" t="s">
        <v>42330</v>
      </c>
      <c r="M2432" t="s">
        <v>43611</v>
      </c>
      <c r="N2432" t="s">
        <v>46569</v>
      </c>
      <c r="O2432" t="s">
        <v>46570</v>
      </c>
      <c r="P2432">
        <v>0</v>
      </c>
      <c r="Q2432">
        <v>0</v>
      </c>
      <c r="R2432" t="s">
        <v>46571</v>
      </c>
      <c r="S2432" t="s">
        <v>46687</v>
      </c>
      <c r="T2432" t="s">
        <v>48248</v>
      </c>
      <c r="U2432" t="s">
        <v>50789</v>
      </c>
      <c r="W2432" t="s">
        <v>43611</v>
      </c>
      <c r="X2432" t="s">
        <v>46572</v>
      </c>
    </row>
    <row r="2433" spans="1:24">
      <c r="A2433">
        <f>HYPERLINK("https://www.philgeps.gov.ph/GEPSNONPILOT/Tender/SplashBidNoticeAbstractUI.aspx?menuIndex=3&amp;refID=7067346&amp;Result=3","7067346")</f>
        <v>0</v>
      </c>
      <c r="B2433" t="s">
        <v>887</v>
      </c>
      <c r="C2433" t="s">
        <v>5883</v>
      </c>
      <c r="D2433" t="s">
        <v>18821</v>
      </c>
      <c r="E2433" t="s">
        <v>21117</v>
      </c>
      <c r="F2433" t="s">
        <v>32664</v>
      </c>
      <c r="G2433" t="s">
        <v>32672</v>
      </c>
      <c r="H2433" t="s">
        <v>12635</v>
      </c>
      <c r="I2433" t="s">
        <v>11464</v>
      </c>
      <c r="J2433" t="s">
        <v>32974</v>
      </c>
      <c r="K2433" t="s">
        <v>42289</v>
      </c>
      <c r="M2433" t="s">
        <v>43488</v>
      </c>
      <c r="N2433" t="s">
        <v>46569</v>
      </c>
      <c r="O2433" t="s">
        <v>46570</v>
      </c>
      <c r="P2433">
        <v>0</v>
      </c>
      <c r="Q2433">
        <v>1</v>
      </c>
      <c r="R2433" t="s">
        <v>46571</v>
      </c>
      <c r="S2433" t="s">
        <v>46687</v>
      </c>
      <c r="T2433" t="s">
        <v>48225</v>
      </c>
      <c r="U2433" t="s">
        <v>50790</v>
      </c>
      <c r="W2433" t="s">
        <v>43488</v>
      </c>
      <c r="X2433" t="s">
        <v>46572</v>
      </c>
    </row>
    <row r="2434" spans="1:24">
      <c r="A2434">
        <f>HYPERLINK("https://www.philgeps.gov.ph/GEPSNONPILOT/Tender/SplashBidNoticeAbstractUI.aspx?menuIndex=3&amp;refID=7043663&amp;Result=3","7043663")</f>
        <v>0</v>
      </c>
      <c r="B2434" t="s">
        <v>809</v>
      </c>
      <c r="C2434" t="s">
        <v>5884</v>
      </c>
      <c r="D2434" t="s">
        <v>18834</v>
      </c>
      <c r="E2434" t="s">
        <v>21118</v>
      </c>
      <c r="F2434" t="s">
        <v>32664</v>
      </c>
      <c r="G2434" t="s">
        <v>32672</v>
      </c>
      <c r="H2434" t="s">
        <v>32683</v>
      </c>
      <c r="I2434" t="s">
        <v>10627</v>
      </c>
      <c r="J2434" t="s">
        <v>32962</v>
      </c>
      <c r="K2434" t="s">
        <v>42313</v>
      </c>
      <c r="M2434" t="s">
        <v>43402</v>
      </c>
      <c r="N2434" t="s">
        <v>46569</v>
      </c>
      <c r="O2434" t="s">
        <v>46570</v>
      </c>
      <c r="P2434">
        <v>0</v>
      </c>
      <c r="Q2434">
        <v>0</v>
      </c>
      <c r="R2434" t="s">
        <v>46572</v>
      </c>
      <c r="S2434" t="s">
        <v>46689</v>
      </c>
      <c r="T2434" t="s">
        <v>48445</v>
      </c>
      <c r="U2434" t="s">
        <v>50791</v>
      </c>
      <c r="W2434" t="s">
        <v>43402</v>
      </c>
      <c r="X2434" t="s">
        <v>46584</v>
      </c>
    </row>
    <row r="2435" spans="1:24">
      <c r="A2435">
        <f>HYPERLINK("https://www.philgeps.gov.ph/GEPSNONPILOT/Tender/SplashBidNoticeAbstractUI.aspx?menuIndex=3&amp;refID=7067344&amp;Result=3","7067344")</f>
        <v>0</v>
      </c>
      <c r="B2435" t="s">
        <v>987</v>
      </c>
      <c r="C2435" t="s">
        <v>5885</v>
      </c>
      <c r="D2435" t="s">
        <v>18784</v>
      </c>
      <c r="E2435" t="s">
        <v>21119</v>
      </c>
      <c r="F2435" t="s">
        <v>32664</v>
      </c>
      <c r="G2435" t="s">
        <v>32672</v>
      </c>
      <c r="H2435" t="s">
        <v>12635</v>
      </c>
      <c r="I2435" t="s">
        <v>32704</v>
      </c>
      <c r="J2435" t="s">
        <v>34512</v>
      </c>
      <c r="K2435" t="s">
        <v>42281</v>
      </c>
      <c r="M2435" t="s">
        <v>43598</v>
      </c>
      <c r="N2435" t="s">
        <v>46569</v>
      </c>
      <c r="O2435" t="s">
        <v>46570</v>
      </c>
      <c r="P2435">
        <v>0</v>
      </c>
      <c r="Q2435">
        <v>4</v>
      </c>
      <c r="R2435" t="s">
        <v>46571</v>
      </c>
      <c r="S2435" t="s">
        <v>46687</v>
      </c>
      <c r="T2435" t="s">
        <v>48274</v>
      </c>
      <c r="U2435" t="s">
        <v>50782</v>
      </c>
      <c r="W2435" t="s">
        <v>43598</v>
      </c>
      <c r="X2435" t="s">
        <v>46572</v>
      </c>
    </row>
    <row r="2436" spans="1:24">
      <c r="A2436">
        <f>HYPERLINK("https://www.philgeps.gov.ph/GEPSNONPILOT/Tender/SplashBidNoticeAbstractUI.aspx?menuIndex=3&amp;refID=7043608&amp;Result=3","7043608")</f>
        <v>0</v>
      </c>
      <c r="B2436" t="s">
        <v>809</v>
      </c>
      <c r="C2436" t="s">
        <v>5886</v>
      </c>
      <c r="D2436" t="s">
        <v>18834</v>
      </c>
      <c r="E2436" t="s">
        <v>21120</v>
      </c>
      <c r="F2436" t="s">
        <v>32664</v>
      </c>
      <c r="G2436" t="s">
        <v>32672</v>
      </c>
      <c r="H2436" t="s">
        <v>32683</v>
      </c>
      <c r="I2436" t="s">
        <v>10627</v>
      </c>
      <c r="J2436" t="s">
        <v>32962</v>
      </c>
      <c r="K2436" t="s">
        <v>42313</v>
      </c>
      <c r="M2436" t="s">
        <v>43402</v>
      </c>
      <c r="N2436" t="s">
        <v>46569</v>
      </c>
      <c r="O2436" t="s">
        <v>46570</v>
      </c>
      <c r="P2436">
        <v>0</v>
      </c>
      <c r="Q2436">
        <v>0</v>
      </c>
      <c r="R2436" t="s">
        <v>46572</v>
      </c>
      <c r="S2436" t="s">
        <v>46689</v>
      </c>
      <c r="T2436" t="s">
        <v>48312</v>
      </c>
      <c r="U2436" t="s">
        <v>50792</v>
      </c>
      <c r="W2436" t="s">
        <v>43402</v>
      </c>
      <c r="X2436" t="s">
        <v>46584</v>
      </c>
    </row>
    <row r="2437" spans="1:24">
      <c r="A2437">
        <f>HYPERLINK("https://www.philgeps.gov.ph/GEPSNONPILOT/Tender/SplashBidNoticeAbstractUI.aspx?menuIndex=3&amp;refID=7018715&amp;Result=3","7018715")</f>
        <v>0</v>
      </c>
      <c r="B2437" t="s">
        <v>1000</v>
      </c>
      <c r="C2437" t="s">
        <v>5887</v>
      </c>
      <c r="D2437" t="s">
        <v>18802</v>
      </c>
      <c r="E2437" t="s">
        <v>19231</v>
      </c>
      <c r="F2437" t="s">
        <v>32664</v>
      </c>
      <c r="G2437" t="s">
        <v>32672</v>
      </c>
      <c r="H2437" t="s">
        <v>12635</v>
      </c>
      <c r="I2437" t="s">
        <v>10627</v>
      </c>
      <c r="J2437" t="s">
        <v>34513</v>
      </c>
      <c r="K2437" t="s">
        <v>42284</v>
      </c>
      <c r="M2437" t="s">
        <v>43612</v>
      </c>
      <c r="N2437" t="s">
        <v>46569</v>
      </c>
      <c r="O2437" t="s">
        <v>46570</v>
      </c>
      <c r="P2437">
        <v>0</v>
      </c>
      <c r="Q2437">
        <v>1</v>
      </c>
      <c r="R2437" t="s">
        <v>46572</v>
      </c>
      <c r="S2437" t="s">
        <v>46689</v>
      </c>
      <c r="T2437" t="s">
        <v>48268</v>
      </c>
      <c r="U2437" t="s">
        <v>50793</v>
      </c>
      <c r="W2437" t="s">
        <v>43612</v>
      </c>
      <c r="X2437" t="s">
        <v>46595</v>
      </c>
    </row>
    <row r="2438" spans="1:24">
      <c r="A2438">
        <f>HYPERLINK("https://www.philgeps.gov.ph/GEPSNONPILOT/Tender/SplashBidNoticeAbstractUI.aspx?menuIndex=3&amp;refID=7043674&amp;Result=3","7043674")</f>
        <v>0</v>
      </c>
      <c r="B2438" t="s">
        <v>809</v>
      </c>
      <c r="C2438" t="s">
        <v>5888</v>
      </c>
      <c r="D2438" t="s">
        <v>18834</v>
      </c>
      <c r="E2438" t="s">
        <v>21121</v>
      </c>
      <c r="F2438" t="s">
        <v>32664</v>
      </c>
      <c r="G2438" t="s">
        <v>32672</v>
      </c>
      <c r="H2438" t="s">
        <v>32683</v>
      </c>
      <c r="I2438" t="s">
        <v>10627</v>
      </c>
      <c r="J2438" t="s">
        <v>34514</v>
      </c>
      <c r="K2438" t="s">
        <v>42298</v>
      </c>
      <c r="M2438" t="s">
        <v>43402</v>
      </c>
      <c r="N2438" t="s">
        <v>46569</v>
      </c>
      <c r="O2438" t="s">
        <v>46570</v>
      </c>
      <c r="P2438">
        <v>0</v>
      </c>
      <c r="Q2438">
        <v>0</v>
      </c>
      <c r="R2438" t="s">
        <v>46572</v>
      </c>
      <c r="S2438" t="s">
        <v>46689</v>
      </c>
      <c r="T2438" t="s">
        <v>48445</v>
      </c>
      <c r="U2438" t="s">
        <v>50794</v>
      </c>
      <c r="W2438" t="s">
        <v>43402</v>
      </c>
      <c r="X2438" t="s">
        <v>46584</v>
      </c>
    </row>
    <row r="2439" spans="1:24">
      <c r="A2439">
        <f>HYPERLINK("https://www.philgeps.gov.ph/GEPSNONPILOT/Tender/SplashBidNoticeAbstractUI.aspx?menuIndex=3&amp;refID=6949730&amp;Result=3","6949730")</f>
        <v>0</v>
      </c>
      <c r="B2439" t="s">
        <v>1001</v>
      </c>
      <c r="C2439" t="s">
        <v>5889</v>
      </c>
      <c r="E2439" t="s">
        <v>18926</v>
      </c>
      <c r="F2439" t="s">
        <v>32664</v>
      </c>
      <c r="G2439" t="s">
        <v>32672</v>
      </c>
      <c r="H2439" t="s">
        <v>12635</v>
      </c>
      <c r="I2439" t="s">
        <v>14442</v>
      </c>
      <c r="J2439" t="s">
        <v>34515</v>
      </c>
      <c r="K2439" t="s">
        <v>42295</v>
      </c>
      <c r="M2439" t="s">
        <v>43613</v>
      </c>
      <c r="N2439" t="s">
        <v>46569</v>
      </c>
      <c r="O2439" t="s">
        <v>46570</v>
      </c>
      <c r="P2439">
        <v>0</v>
      </c>
      <c r="Q2439">
        <v>0</v>
      </c>
      <c r="R2439" t="s">
        <v>46572</v>
      </c>
      <c r="S2439" t="s">
        <v>46689</v>
      </c>
      <c r="T2439" t="s">
        <v>48308</v>
      </c>
      <c r="U2439" t="s">
        <v>50795</v>
      </c>
      <c r="W2439" t="s">
        <v>43613</v>
      </c>
      <c r="X2439" t="s">
        <v>63606</v>
      </c>
    </row>
    <row r="2440" spans="1:24">
      <c r="A2440">
        <f>HYPERLINK("https://www.philgeps.gov.ph/GEPSNONPILOT/Tender/SplashBidNoticeAbstractUI.aspx?menuIndex=3&amp;refID=7067316&amp;Result=3","7067316")</f>
        <v>0</v>
      </c>
      <c r="B2440" t="s">
        <v>991</v>
      </c>
      <c r="C2440" t="s">
        <v>5890</v>
      </c>
      <c r="D2440" t="s">
        <v>18812</v>
      </c>
      <c r="E2440" t="s">
        <v>21122</v>
      </c>
      <c r="F2440" t="s">
        <v>32664</v>
      </c>
      <c r="G2440" t="s">
        <v>32672</v>
      </c>
      <c r="H2440" t="s">
        <v>12635</v>
      </c>
      <c r="I2440" t="s">
        <v>4439</v>
      </c>
      <c r="J2440" t="s">
        <v>34516</v>
      </c>
      <c r="K2440" t="s">
        <v>42281</v>
      </c>
      <c r="M2440" t="s">
        <v>43602</v>
      </c>
      <c r="N2440" t="s">
        <v>46569</v>
      </c>
      <c r="O2440" t="s">
        <v>46570</v>
      </c>
      <c r="P2440">
        <v>0</v>
      </c>
      <c r="Q2440">
        <v>0</v>
      </c>
      <c r="R2440" t="s">
        <v>46571</v>
      </c>
      <c r="S2440" t="s">
        <v>46687</v>
      </c>
      <c r="T2440" t="s">
        <v>48278</v>
      </c>
      <c r="U2440" t="s">
        <v>50796</v>
      </c>
      <c r="W2440" t="s">
        <v>43602</v>
      </c>
      <c r="X2440" t="s">
        <v>46572</v>
      </c>
    </row>
    <row r="2441" spans="1:24">
      <c r="A2441">
        <f>HYPERLINK("https://www.philgeps.gov.ph/GEPSNONPILOT/Tender/SplashBidNoticeAbstractUI.aspx?menuIndex=3&amp;refID=7067343&amp;Result=3","7067343")</f>
        <v>0</v>
      </c>
      <c r="B2441" t="s">
        <v>987</v>
      </c>
      <c r="C2441" t="s">
        <v>5891</v>
      </c>
      <c r="D2441" t="s">
        <v>18784</v>
      </c>
      <c r="E2441" t="s">
        <v>5891</v>
      </c>
      <c r="F2441" t="s">
        <v>32664</v>
      </c>
      <c r="G2441" t="s">
        <v>32672</v>
      </c>
      <c r="H2441" t="s">
        <v>12635</v>
      </c>
      <c r="I2441" t="s">
        <v>6118</v>
      </c>
      <c r="J2441" t="s">
        <v>34517</v>
      </c>
      <c r="K2441" t="s">
        <v>42281</v>
      </c>
      <c r="M2441" t="s">
        <v>43598</v>
      </c>
      <c r="N2441" t="s">
        <v>46569</v>
      </c>
      <c r="O2441" t="s">
        <v>46570</v>
      </c>
      <c r="P2441">
        <v>0</v>
      </c>
      <c r="Q2441">
        <v>0</v>
      </c>
      <c r="R2441" t="s">
        <v>46571</v>
      </c>
      <c r="S2441" t="s">
        <v>46687</v>
      </c>
      <c r="T2441" t="s">
        <v>48274</v>
      </c>
      <c r="U2441" t="s">
        <v>50753</v>
      </c>
      <c r="W2441" t="s">
        <v>43598</v>
      </c>
      <c r="X2441" t="s">
        <v>46572</v>
      </c>
    </row>
    <row r="2442" spans="1:24">
      <c r="A2442">
        <f>HYPERLINK("https://www.philgeps.gov.ph/GEPSNONPILOT/Tender/SplashBidNoticeAbstractUI.aspx?menuIndex=3&amp;refID=6920277&amp;Result=3","6920277")</f>
        <v>0</v>
      </c>
      <c r="B2442" t="s">
        <v>1002</v>
      </c>
      <c r="C2442" t="s">
        <v>5892</v>
      </c>
      <c r="D2442" t="s">
        <v>18806</v>
      </c>
      <c r="E2442" t="s">
        <v>19380</v>
      </c>
      <c r="F2442" t="s">
        <v>32664</v>
      </c>
      <c r="G2442" t="s">
        <v>32672</v>
      </c>
      <c r="H2442" t="s">
        <v>32683</v>
      </c>
      <c r="I2442" t="s">
        <v>10627</v>
      </c>
      <c r="J2442" t="s">
        <v>32962</v>
      </c>
      <c r="K2442" t="s">
        <v>42308</v>
      </c>
      <c r="L2442" t="s">
        <v>1002</v>
      </c>
      <c r="M2442" t="s">
        <v>43614</v>
      </c>
      <c r="N2442" t="s">
        <v>46569</v>
      </c>
      <c r="O2442" t="s">
        <v>46570</v>
      </c>
      <c r="P2442">
        <v>0</v>
      </c>
      <c r="Q2442">
        <v>1</v>
      </c>
      <c r="R2442" t="s">
        <v>46572</v>
      </c>
      <c r="S2442" t="s">
        <v>46689</v>
      </c>
      <c r="T2442" t="s">
        <v>48446</v>
      </c>
      <c r="U2442" t="s">
        <v>50797</v>
      </c>
      <c r="V2442" t="s">
        <v>61870</v>
      </c>
      <c r="W2442" t="s">
        <v>43614</v>
      </c>
      <c r="X2442" t="s">
        <v>46641</v>
      </c>
    </row>
    <row r="2443" spans="1:24">
      <c r="A2443">
        <f>HYPERLINK("https://www.philgeps.gov.ph/GEPSNONPILOT/Tender/SplashBidNoticeAbstractUI.aspx?menuIndex=3&amp;refID=6842744&amp;Result=3","6842744")</f>
        <v>0</v>
      </c>
      <c r="B2443" t="s">
        <v>1003</v>
      </c>
      <c r="C2443" t="s">
        <v>5893</v>
      </c>
      <c r="D2443" t="s">
        <v>18801</v>
      </c>
      <c r="E2443" t="s">
        <v>21123</v>
      </c>
      <c r="F2443" t="s">
        <v>32664</v>
      </c>
      <c r="G2443" t="s">
        <v>32671</v>
      </c>
      <c r="H2443" t="s">
        <v>12635</v>
      </c>
      <c r="I2443" t="s">
        <v>4333</v>
      </c>
      <c r="J2443" t="s">
        <v>32898</v>
      </c>
      <c r="K2443" t="s">
        <v>42283</v>
      </c>
      <c r="M2443" t="s">
        <v>43615</v>
      </c>
      <c r="N2443" t="s">
        <v>46569</v>
      </c>
      <c r="O2443" t="s">
        <v>46570</v>
      </c>
      <c r="P2443">
        <v>0</v>
      </c>
      <c r="Q2443">
        <v>2</v>
      </c>
      <c r="R2443" t="s">
        <v>46572</v>
      </c>
      <c r="S2443" t="s">
        <v>46689</v>
      </c>
      <c r="T2443" t="s">
        <v>48333</v>
      </c>
      <c r="U2443" t="s">
        <v>50798</v>
      </c>
      <c r="W2443" t="s">
        <v>43615</v>
      </c>
      <c r="X2443" t="s">
        <v>46660</v>
      </c>
    </row>
    <row r="2444" spans="1:24">
      <c r="A2444">
        <f>HYPERLINK("https://www.philgeps.gov.ph/GEPSNONPILOT/Tender/SplashBidNoticeAbstractUI.aspx?menuIndex=3&amp;refID=7043599&amp;Result=3","7043599")</f>
        <v>0</v>
      </c>
      <c r="B2444" t="s">
        <v>809</v>
      </c>
      <c r="C2444" t="s">
        <v>5894</v>
      </c>
      <c r="D2444" t="s">
        <v>18834</v>
      </c>
      <c r="E2444" t="s">
        <v>21124</v>
      </c>
      <c r="F2444" t="s">
        <v>32664</v>
      </c>
      <c r="G2444" t="s">
        <v>32672</v>
      </c>
      <c r="H2444" t="s">
        <v>32683</v>
      </c>
      <c r="I2444" t="s">
        <v>10627</v>
      </c>
      <c r="J2444" t="s">
        <v>32962</v>
      </c>
      <c r="K2444" t="s">
        <v>42313</v>
      </c>
      <c r="M2444" t="s">
        <v>43402</v>
      </c>
      <c r="N2444" t="s">
        <v>46569</v>
      </c>
      <c r="O2444" t="s">
        <v>46570</v>
      </c>
      <c r="P2444">
        <v>0</v>
      </c>
      <c r="Q2444">
        <v>0</v>
      </c>
      <c r="R2444" t="s">
        <v>46572</v>
      </c>
      <c r="S2444" t="s">
        <v>46689</v>
      </c>
      <c r="T2444" t="s">
        <v>48312</v>
      </c>
      <c r="U2444" t="s">
        <v>50799</v>
      </c>
      <c r="W2444" t="s">
        <v>43402</v>
      </c>
      <c r="X2444" t="s">
        <v>46584</v>
      </c>
    </row>
    <row r="2445" spans="1:24">
      <c r="A2445">
        <f>HYPERLINK("https://www.philgeps.gov.ph/GEPSNONPILOT/Tender/SplashBidNoticeAbstractUI.aspx?menuIndex=3&amp;refID=7054540&amp;Result=3","7054540")</f>
        <v>0</v>
      </c>
      <c r="B2445" t="s">
        <v>1004</v>
      </c>
      <c r="C2445" t="s">
        <v>5895</v>
      </c>
      <c r="D2445" t="s">
        <v>18832</v>
      </c>
      <c r="E2445" t="s">
        <v>19701</v>
      </c>
      <c r="F2445" t="s">
        <v>32664</v>
      </c>
      <c r="G2445" t="s">
        <v>32672</v>
      </c>
      <c r="H2445" t="s">
        <v>32683</v>
      </c>
      <c r="I2445" t="s">
        <v>10627</v>
      </c>
      <c r="J2445" t="s">
        <v>34518</v>
      </c>
      <c r="K2445" t="s">
        <v>42303</v>
      </c>
      <c r="M2445" t="s">
        <v>43616</v>
      </c>
      <c r="N2445" t="s">
        <v>46569</v>
      </c>
      <c r="O2445" t="s">
        <v>46570</v>
      </c>
      <c r="P2445">
        <v>0</v>
      </c>
      <c r="Q2445">
        <v>0</v>
      </c>
      <c r="R2445" t="s">
        <v>46572</v>
      </c>
      <c r="S2445" t="s">
        <v>46689</v>
      </c>
      <c r="T2445" t="s">
        <v>48216</v>
      </c>
      <c r="U2445" t="s">
        <v>50800</v>
      </c>
      <c r="W2445" t="s">
        <v>43616</v>
      </c>
      <c r="X2445" t="s">
        <v>46578</v>
      </c>
    </row>
    <row r="2446" spans="1:24">
      <c r="A2446">
        <f>HYPERLINK("https://www.philgeps.gov.ph/GEPSNONPILOT/Tender/SplashBidNoticeAbstractUI.aspx?menuIndex=3&amp;refID=7067348&amp;Result=3","7067348")</f>
        <v>0</v>
      </c>
      <c r="B2446" t="s">
        <v>987</v>
      </c>
      <c r="C2446" t="s">
        <v>5896</v>
      </c>
      <c r="D2446" t="s">
        <v>18784</v>
      </c>
      <c r="E2446" t="s">
        <v>21125</v>
      </c>
      <c r="F2446" t="s">
        <v>32664</v>
      </c>
      <c r="G2446" t="s">
        <v>32672</v>
      </c>
      <c r="H2446" t="s">
        <v>12635</v>
      </c>
      <c r="I2446" t="s">
        <v>32704</v>
      </c>
      <c r="J2446" t="s">
        <v>34519</v>
      </c>
      <c r="K2446" t="s">
        <v>42281</v>
      </c>
      <c r="M2446" t="s">
        <v>43598</v>
      </c>
      <c r="N2446" t="s">
        <v>46569</v>
      </c>
      <c r="O2446" t="s">
        <v>46570</v>
      </c>
      <c r="P2446">
        <v>0</v>
      </c>
      <c r="Q2446">
        <v>3</v>
      </c>
      <c r="R2446" t="s">
        <v>46571</v>
      </c>
      <c r="S2446" t="s">
        <v>46687</v>
      </c>
      <c r="T2446" t="s">
        <v>48274</v>
      </c>
      <c r="U2446" t="s">
        <v>50782</v>
      </c>
      <c r="W2446" t="s">
        <v>43598</v>
      </c>
      <c r="X2446" t="s">
        <v>46572</v>
      </c>
    </row>
    <row r="2447" spans="1:24">
      <c r="A2447">
        <f>HYPERLINK("https://www.philgeps.gov.ph/GEPSNONPILOT/Tender/SplashBidNoticeAbstractUI.aspx?menuIndex=3&amp;refID=7053477&amp;Result=3","7053477")</f>
        <v>0</v>
      </c>
      <c r="B2447" t="s">
        <v>1005</v>
      </c>
      <c r="C2447" t="s">
        <v>5897</v>
      </c>
      <c r="D2447" t="s">
        <v>18789</v>
      </c>
      <c r="E2447" t="s">
        <v>19193</v>
      </c>
      <c r="F2447" t="s">
        <v>32664</v>
      </c>
      <c r="G2447" t="s">
        <v>32674</v>
      </c>
      <c r="H2447" t="s">
        <v>32682</v>
      </c>
      <c r="I2447" t="s">
        <v>32692</v>
      </c>
      <c r="J2447" t="s">
        <v>32898</v>
      </c>
      <c r="K2447" t="s">
        <v>42309</v>
      </c>
      <c r="M2447" t="s">
        <v>43617</v>
      </c>
      <c r="N2447" t="s">
        <v>46569</v>
      </c>
      <c r="O2447" t="s">
        <v>46570</v>
      </c>
      <c r="P2447">
        <v>0</v>
      </c>
      <c r="Q2447">
        <v>0</v>
      </c>
      <c r="R2447" t="s">
        <v>46572</v>
      </c>
      <c r="S2447" t="s">
        <v>46689</v>
      </c>
      <c r="T2447" t="s">
        <v>48316</v>
      </c>
      <c r="U2447" t="s">
        <v>50801</v>
      </c>
      <c r="V2447" t="s">
        <v>61871</v>
      </c>
      <c r="W2447" t="s">
        <v>43617</v>
      </c>
      <c r="X2447" t="s">
        <v>46578</v>
      </c>
    </row>
    <row r="2448" spans="1:24">
      <c r="A2448">
        <f>HYPERLINK("https://www.philgeps.gov.ph/GEPSNONPILOT/Tender/SplashBidNoticeAbstractUI.aspx?menuIndex=3&amp;refID=5942824&amp;Result=3","5942824")</f>
        <v>0</v>
      </c>
      <c r="B2448" t="s">
        <v>1006</v>
      </c>
      <c r="C2448" t="s">
        <v>5898</v>
      </c>
      <c r="D2448" t="s">
        <v>18792</v>
      </c>
      <c r="E2448" t="s">
        <v>21126</v>
      </c>
      <c r="F2448" t="s">
        <v>32664</v>
      </c>
      <c r="G2448" t="s">
        <v>32672</v>
      </c>
      <c r="H2448" t="s">
        <v>32683</v>
      </c>
      <c r="I2448" t="s">
        <v>10627</v>
      </c>
      <c r="J2448" t="s">
        <v>34520</v>
      </c>
      <c r="K2448" t="s">
        <v>42383</v>
      </c>
      <c r="M2448" t="s">
        <v>43618</v>
      </c>
      <c r="N2448" t="s">
        <v>46569</v>
      </c>
      <c r="O2448" t="s">
        <v>46570</v>
      </c>
      <c r="P2448">
        <v>0</v>
      </c>
      <c r="Q2448">
        <v>0</v>
      </c>
      <c r="R2448" t="s">
        <v>46572</v>
      </c>
      <c r="S2448" t="s">
        <v>46689</v>
      </c>
      <c r="T2448" t="s">
        <v>48233</v>
      </c>
      <c r="U2448" t="s">
        <v>50802</v>
      </c>
      <c r="W2448" t="s">
        <v>43618</v>
      </c>
      <c r="X2448" t="s">
        <v>63607</v>
      </c>
    </row>
    <row r="2449" spans="1:24">
      <c r="A2449">
        <f>HYPERLINK("https://www.philgeps.gov.ph/GEPSNONPILOT/Tender/SplashBidNoticeAbstractUI.aspx?menuIndex=3&amp;refID=7053450&amp;Result=3","7053450")</f>
        <v>0</v>
      </c>
      <c r="B2449" t="s">
        <v>1007</v>
      </c>
      <c r="C2449" t="s">
        <v>5899</v>
      </c>
      <c r="D2449" t="s">
        <v>18812</v>
      </c>
      <c r="E2449" t="s">
        <v>21127</v>
      </c>
      <c r="F2449" t="s">
        <v>32664</v>
      </c>
      <c r="G2449" t="s">
        <v>32672</v>
      </c>
      <c r="H2449" t="s">
        <v>32683</v>
      </c>
      <c r="I2449" t="s">
        <v>10627</v>
      </c>
      <c r="J2449" t="s">
        <v>34521</v>
      </c>
      <c r="K2449" t="s">
        <v>42335</v>
      </c>
      <c r="M2449" t="s">
        <v>43619</v>
      </c>
      <c r="N2449" t="s">
        <v>46569</v>
      </c>
      <c r="O2449" t="s">
        <v>46570</v>
      </c>
      <c r="P2449">
        <v>0</v>
      </c>
      <c r="Q2449">
        <v>0</v>
      </c>
      <c r="R2449" t="s">
        <v>46572</v>
      </c>
      <c r="S2449" t="s">
        <v>46689</v>
      </c>
      <c r="T2449" t="s">
        <v>48447</v>
      </c>
      <c r="U2449" t="s">
        <v>50803</v>
      </c>
      <c r="W2449" t="s">
        <v>43619</v>
      </c>
      <c r="X2449" t="s">
        <v>46578</v>
      </c>
    </row>
    <row r="2450" spans="1:24">
      <c r="A2450">
        <f>HYPERLINK("https://www.philgeps.gov.ph/GEPSNONPILOT/Tender/SplashBidNoticeAbstractUI.aspx?menuIndex=3&amp;refID=7053315&amp;Result=3","7053315")</f>
        <v>0</v>
      </c>
      <c r="B2450" t="s">
        <v>1007</v>
      </c>
      <c r="C2450" t="s">
        <v>5900</v>
      </c>
      <c r="D2450" t="s">
        <v>18812</v>
      </c>
      <c r="E2450" t="s">
        <v>21128</v>
      </c>
      <c r="F2450" t="s">
        <v>32664</v>
      </c>
      <c r="G2450" t="s">
        <v>32672</v>
      </c>
      <c r="H2450" t="s">
        <v>32683</v>
      </c>
      <c r="I2450" t="s">
        <v>10627</v>
      </c>
      <c r="J2450" t="s">
        <v>34522</v>
      </c>
      <c r="K2450" t="s">
        <v>42384</v>
      </c>
      <c r="M2450" t="s">
        <v>43619</v>
      </c>
      <c r="N2450" t="s">
        <v>46569</v>
      </c>
      <c r="O2450" t="s">
        <v>46570</v>
      </c>
      <c r="P2450">
        <v>0</v>
      </c>
      <c r="Q2450">
        <v>0</v>
      </c>
      <c r="R2450" t="s">
        <v>46572</v>
      </c>
      <c r="S2450" t="s">
        <v>46689</v>
      </c>
      <c r="T2450" t="s">
        <v>48321</v>
      </c>
      <c r="U2450" t="s">
        <v>50804</v>
      </c>
      <c r="W2450" t="s">
        <v>43619</v>
      </c>
      <c r="X2450" t="s">
        <v>46578</v>
      </c>
    </row>
    <row r="2451" spans="1:24">
      <c r="A2451">
        <f>HYPERLINK("https://www.philgeps.gov.ph/GEPSNONPILOT/Tender/SplashBidNoticeAbstractUI.aspx?menuIndex=3&amp;refID=7054369&amp;Result=3","7054369")</f>
        <v>0</v>
      </c>
      <c r="B2451" t="s">
        <v>1004</v>
      </c>
      <c r="C2451" t="s">
        <v>5901</v>
      </c>
      <c r="D2451" t="s">
        <v>18832</v>
      </c>
      <c r="E2451" t="s">
        <v>19688</v>
      </c>
      <c r="F2451" t="s">
        <v>32664</v>
      </c>
      <c r="G2451" t="s">
        <v>32672</v>
      </c>
      <c r="H2451" t="s">
        <v>32683</v>
      </c>
      <c r="I2451" t="s">
        <v>10627</v>
      </c>
      <c r="J2451" t="s">
        <v>34523</v>
      </c>
      <c r="K2451" t="s">
        <v>42313</v>
      </c>
      <c r="M2451" t="s">
        <v>43616</v>
      </c>
      <c r="N2451" t="s">
        <v>46569</v>
      </c>
      <c r="O2451" t="s">
        <v>46570</v>
      </c>
      <c r="P2451">
        <v>0</v>
      </c>
      <c r="Q2451">
        <v>0</v>
      </c>
      <c r="R2451" t="s">
        <v>46572</v>
      </c>
      <c r="S2451" t="s">
        <v>46689</v>
      </c>
      <c r="T2451" t="s">
        <v>48216</v>
      </c>
      <c r="U2451" t="s">
        <v>50805</v>
      </c>
      <c r="W2451" t="s">
        <v>43616</v>
      </c>
      <c r="X2451" t="s">
        <v>46578</v>
      </c>
    </row>
    <row r="2452" spans="1:24">
      <c r="A2452">
        <f>HYPERLINK("https://www.philgeps.gov.ph/GEPSNONPILOT/Tender/SplashBidNoticeAbstractUI.aspx?menuIndex=3&amp;refID=7053083&amp;Result=3","7053083")</f>
        <v>0</v>
      </c>
      <c r="B2452" t="s">
        <v>1007</v>
      </c>
      <c r="C2452" t="s">
        <v>5902</v>
      </c>
      <c r="D2452" t="s">
        <v>18812</v>
      </c>
      <c r="E2452" t="s">
        <v>21129</v>
      </c>
      <c r="F2452" t="s">
        <v>32664</v>
      </c>
      <c r="G2452" t="s">
        <v>32672</v>
      </c>
      <c r="H2452" t="s">
        <v>32683</v>
      </c>
      <c r="I2452" t="s">
        <v>10627</v>
      </c>
      <c r="J2452" t="s">
        <v>34524</v>
      </c>
      <c r="K2452" t="s">
        <v>42305</v>
      </c>
      <c r="M2452" t="s">
        <v>43619</v>
      </c>
      <c r="N2452" t="s">
        <v>46569</v>
      </c>
      <c r="O2452" t="s">
        <v>46570</v>
      </c>
      <c r="P2452">
        <v>0</v>
      </c>
      <c r="Q2452">
        <v>0</v>
      </c>
      <c r="R2452" t="s">
        <v>46572</v>
      </c>
      <c r="S2452" t="s">
        <v>46689</v>
      </c>
      <c r="T2452" t="s">
        <v>48447</v>
      </c>
      <c r="U2452" t="s">
        <v>50806</v>
      </c>
      <c r="W2452" t="s">
        <v>43619</v>
      </c>
      <c r="X2452" t="s">
        <v>46578</v>
      </c>
    </row>
    <row r="2453" spans="1:24">
      <c r="A2453">
        <f>HYPERLINK("https://www.philgeps.gov.ph/GEPSNONPILOT/Tender/SplashBidNoticeAbstractUI.aspx?menuIndex=3&amp;refID=7053559&amp;Result=3","7053559")</f>
        <v>0</v>
      </c>
      <c r="B2453" t="s">
        <v>460</v>
      </c>
      <c r="C2453" t="s">
        <v>5903</v>
      </c>
      <c r="D2453" t="s">
        <v>18806</v>
      </c>
      <c r="E2453" t="s">
        <v>21130</v>
      </c>
      <c r="F2453" t="s">
        <v>32664</v>
      </c>
      <c r="G2453" t="s">
        <v>32671</v>
      </c>
      <c r="H2453" t="s">
        <v>12635</v>
      </c>
      <c r="I2453" t="s">
        <v>4439</v>
      </c>
      <c r="J2453" t="s">
        <v>32842</v>
      </c>
      <c r="K2453" t="s">
        <v>42284</v>
      </c>
      <c r="M2453" t="s">
        <v>43033</v>
      </c>
      <c r="N2453" t="s">
        <v>46569</v>
      </c>
      <c r="O2453" t="s">
        <v>46570</v>
      </c>
      <c r="P2453">
        <v>0</v>
      </c>
      <c r="Q2453">
        <v>0</v>
      </c>
      <c r="R2453" t="s">
        <v>46572</v>
      </c>
      <c r="S2453" t="s">
        <v>46689</v>
      </c>
      <c r="T2453" t="s">
        <v>48285</v>
      </c>
      <c r="U2453" t="s">
        <v>50807</v>
      </c>
      <c r="W2453" t="s">
        <v>43033</v>
      </c>
      <c r="X2453" t="s">
        <v>46578</v>
      </c>
    </row>
    <row r="2454" spans="1:24">
      <c r="A2454">
        <f>HYPERLINK("https://www.philgeps.gov.ph/GEPSNONPILOT/Tender/SplashBidNoticeAbstractUI.aspx?menuIndex=3&amp;refID=7035863-2&amp;Result=3","7035863-2")</f>
        <v>0</v>
      </c>
      <c r="B2454" t="s">
        <v>1008</v>
      </c>
      <c r="C2454" t="s">
        <v>5904</v>
      </c>
      <c r="D2454" t="s">
        <v>18786</v>
      </c>
      <c r="E2454" t="s">
        <v>21131</v>
      </c>
      <c r="F2454" t="s">
        <v>32664</v>
      </c>
      <c r="G2454" t="s">
        <v>32672</v>
      </c>
      <c r="H2454" t="s">
        <v>32681</v>
      </c>
      <c r="I2454" t="s">
        <v>32681</v>
      </c>
      <c r="J2454" t="s">
        <v>34525</v>
      </c>
      <c r="K2454" t="s">
        <v>42343</v>
      </c>
      <c r="L2454" t="s">
        <v>42585</v>
      </c>
      <c r="M2454" t="s">
        <v>43620</v>
      </c>
      <c r="N2454" t="s">
        <v>46569</v>
      </c>
      <c r="O2454" t="s">
        <v>46570</v>
      </c>
      <c r="P2454">
        <v>0</v>
      </c>
      <c r="Q2454">
        <v>1</v>
      </c>
      <c r="R2454" t="s">
        <v>46572</v>
      </c>
      <c r="S2454" t="s">
        <v>46689</v>
      </c>
      <c r="T2454" t="s">
        <v>48220</v>
      </c>
      <c r="U2454" t="s">
        <v>50808</v>
      </c>
      <c r="W2454" t="s">
        <v>43620</v>
      </c>
      <c r="X2454" t="s">
        <v>46573</v>
      </c>
    </row>
    <row r="2455" spans="1:24">
      <c r="A2455">
        <f>HYPERLINK("https://www.philgeps.gov.ph/GEPSNONPILOT/Tender/SplashBidNoticeAbstractUI.aspx?menuIndex=3&amp;refID=7051832&amp;Result=3","7051832")</f>
        <v>0</v>
      </c>
      <c r="B2455" t="s">
        <v>595</v>
      </c>
      <c r="C2455" t="s">
        <v>5905</v>
      </c>
      <c r="D2455" t="s">
        <v>18838</v>
      </c>
      <c r="E2455" t="s">
        <v>21132</v>
      </c>
      <c r="F2455" t="s">
        <v>32664</v>
      </c>
      <c r="G2455" t="s">
        <v>32674</v>
      </c>
      <c r="H2455" t="s">
        <v>12635</v>
      </c>
      <c r="I2455" t="s">
        <v>32694</v>
      </c>
      <c r="J2455" t="s">
        <v>34526</v>
      </c>
      <c r="K2455" t="s">
        <v>42283</v>
      </c>
      <c r="M2455" t="s">
        <v>43175</v>
      </c>
      <c r="N2455" t="s">
        <v>46569</v>
      </c>
      <c r="O2455" t="s">
        <v>46570</v>
      </c>
      <c r="P2455">
        <v>0</v>
      </c>
      <c r="Q2455">
        <v>1</v>
      </c>
      <c r="R2455" t="s">
        <v>46572</v>
      </c>
      <c r="S2455" t="s">
        <v>46689</v>
      </c>
      <c r="T2455" t="s">
        <v>48448</v>
      </c>
      <c r="U2455" t="s">
        <v>50809</v>
      </c>
      <c r="W2455" t="s">
        <v>43175</v>
      </c>
      <c r="X2455" t="s">
        <v>46579</v>
      </c>
    </row>
    <row r="2456" spans="1:24">
      <c r="A2456">
        <f>HYPERLINK("https://www.philgeps.gov.ph/GEPSNONPILOT/Tender/SplashBidNoticeAbstractUI.aspx?menuIndex=3&amp;refID=7051733&amp;Result=3","7051733")</f>
        <v>0</v>
      </c>
      <c r="B2456" t="s">
        <v>1009</v>
      </c>
      <c r="C2456" t="s">
        <v>5906</v>
      </c>
      <c r="D2456" t="s">
        <v>18783</v>
      </c>
      <c r="E2456" t="s">
        <v>21133</v>
      </c>
      <c r="F2456" t="s">
        <v>32664</v>
      </c>
      <c r="G2456" t="s">
        <v>32671</v>
      </c>
      <c r="H2456" t="s">
        <v>32683</v>
      </c>
      <c r="I2456" t="s">
        <v>10627</v>
      </c>
      <c r="J2456" t="s">
        <v>34527</v>
      </c>
      <c r="K2456" t="s">
        <v>42281</v>
      </c>
      <c r="M2456" t="s">
        <v>43621</v>
      </c>
      <c r="N2456" t="s">
        <v>46569</v>
      </c>
      <c r="O2456" t="s">
        <v>46570</v>
      </c>
      <c r="P2456">
        <v>0</v>
      </c>
      <c r="Q2456">
        <v>0</v>
      </c>
      <c r="R2456" t="s">
        <v>46572</v>
      </c>
      <c r="S2456" t="s">
        <v>46689</v>
      </c>
      <c r="T2456" t="s">
        <v>48304</v>
      </c>
      <c r="U2456" t="s">
        <v>50810</v>
      </c>
      <c r="W2456" t="s">
        <v>43621</v>
      </c>
      <c r="X2456" t="s">
        <v>46579</v>
      </c>
    </row>
    <row r="2457" spans="1:24">
      <c r="A2457">
        <f>HYPERLINK("https://www.philgeps.gov.ph/GEPSNONPILOT/Tender/SplashBidNoticeAbstractUI.aspx?menuIndex=3&amp;refID=7050492&amp;Result=3","7050492")</f>
        <v>0</v>
      </c>
      <c r="B2457" t="s">
        <v>1010</v>
      </c>
      <c r="C2457" t="s">
        <v>5907</v>
      </c>
      <c r="D2457" t="s">
        <v>18787</v>
      </c>
      <c r="E2457" t="s">
        <v>21134</v>
      </c>
      <c r="F2457" t="s">
        <v>32664</v>
      </c>
      <c r="G2457" t="s">
        <v>32675</v>
      </c>
      <c r="H2457" t="s">
        <v>12635</v>
      </c>
      <c r="I2457" t="s">
        <v>6168</v>
      </c>
      <c r="J2457" t="s">
        <v>34528</v>
      </c>
      <c r="K2457" t="s">
        <v>42281</v>
      </c>
      <c r="M2457" t="s">
        <v>43622</v>
      </c>
      <c r="N2457" t="s">
        <v>46569</v>
      </c>
      <c r="O2457" t="s">
        <v>46570</v>
      </c>
      <c r="P2457">
        <v>0</v>
      </c>
      <c r="Q2457">
        <v>5</v>
      </c>
      <c r="R2457" t="s">
        <v>46572</v>
      </c>
      <c r="S2457" t="s">
        <v>46689</v>
      </c>
      <c r="T2457" t="s">
        <v>48219</v>
      </c>
      <c r="U2457" t="s">
        <v>50811</v>
      </c>
      <c r="W2457" t="s">
        <v>43622</v>
      </c>
      <c r="X2457" t="s">
        <v>46579</v>
      </c>
    </row>
    <row r="2458" spans="1:24">
      <c r="A2458">
        <f>HYPERLINK("https://www.philgeps.gov.ph/GEPSNONPILOT/Tender/SplashBidNoticeAbstractUI.aspx?menuIndex=3&amp;refID=7056981&amp;Result=3","7056981")</f>
        <v>0</v>
      </c>
      <c r="B2458" t="s">
        <v>1011</v>
      </c>
      <c r="C2458" t="s">
        <v>5908</v>
      </c>
      <c r="D2458" t="s">
        <v>18818</v>
      </c>
      <c r="E2458" t="s">
        <v>21135</v>
      </c>
      <c r="F2458" t="s">
        <v>32664</v>
      </c>
      <c r="G2458" t="s">
        <v>32672</v>
      </c>
      <c r="H2458" t="s">
        <v>12635</v>
      </c>
      <c r="I2458" t="s">
        <v>11464</v>
      </c>
      <c r="J2458" t="s">
        <v>34529</v>
      </c>
      <c r="K2458" t="s">
        <v>42298</v>
      </c>
      <c r="M2458" t="s">
        <v>43623</v>
      </c>
      <c r="N2458" t="s">
        <v>46569</v>
      </c>
      <c r="O2458" t="s">
        <v>46570</v>
      </c>
      <c r="P2458">
        <v>0</v>
      </c>
      <c r="Q2458">
        <v>4</v>
      </c>
      <c r="R2458" t="s">
        <v>46572</v>
      </c>
      <c r="S2458" t="s">
        <v>46689</v>
      </c>
      <c r="T2458" t="s">
        <v>48349</v>
      </c>
      <c r="U2458" t="s">
        <v>50812</v>
      </c>
      <c r="W2458" t="s">
        <v>43623</v>
      </c>
      <c r="X2458" t="s">
        <v>46577</v>
      </c>
    </row>
    <row r="2459" spans="1:24">
      <c r="A2459">
        <f>HYPERLINK("https://www.philgeps.gov.ph/GEPSNONPILOT/Tender/SplashBidNoticeAbstractUI.aspx?menuIndex=3&amp;refID=7056279&amp;Result=3","7056279")</f>
        <v>0</v>
      </c>
      <c r="B2459" t="s">
        <v>354</v>
      </c>
      <c r="C2459" t="s">
        <v>5909</v>
      </c>
      <c r="D2459" t="s">
        <v>18850</v>
      </c>
      <c r="E2459" t="s">
        <v>21136</v>
      </c>
      <c r="F2459" t="s">
        <v>32664</v>
      </c>
      <c r="G2459" t="s">
        <v>32672</v>
      </c>
      <c r="H2459" t="s">
        <v>12635</v>
      </c>
      <c r="I2459" t="s">
        <v>4439</v>
      </c>
      <c r="J2459" t="s">
        <v>34530</v>
      </c>
      <c r="K2459" t="s">
        <v>42298</v>
      </c>
      <c r="M2459" t="s">
        <v>42923</v>
      </c>
      <c r="N2459" t="s">
        <v>46569</v>
      </c>
      <c r="O2459" t="s">
        <v>46570</v>
      </c>
      <c r="P2459">
        <v>0</v>
      </c>
      <c r="Q2459">
        <v>0</v>
      </c>
      <c r="R2459" t="s">
        <v>46572</v>
      </c>
      <c r="S2459" t="s">
        <v>46689</v>
      </c>
      <c r="T2459" t="s">
        <v>48304</v>
      </c>
      <c r="U2459" t="s">
        <v>50813</v>
      </c>
      <c r="W2459" t="s">
        <v>42923</v>
      </c>
      <c r="X2459" t="s">
        <v>46577</v>
      </c>
    </row>
    <row r="2460" spans="1:24">
      <c r="A2460">
        <f>HYPERLINK("https://www.philgeps.gov.ph/GEPSNONPILOT/Tender/SplashBidNoticeAbstractUI.aspx?menuIndex=3&amp;refID=7056081&amp;Result=3","7056081")</f>
        <v>0</v>
      </c>
      <c r="B2460" t="s">
        <v>44</v>
      </c>
      <c r="C2460" t="s">
        <v>5910</v>
      </c>
      <c r="D2460" t="s">
        <v>18795</v>
      </c>
      <c r="E2460" t="s">
        <v>21137</v>
      </c>
      <c r="F2460" t="s">
        <v>32664</v>
      </c>
      <c r="G2460" t="s">
        <v>32672</v>
      </c>
      <c r="H2460" t="s">
        <v>12635</v>
      </c>
      <c r="I2460" t="s">
        <v>5501</v>
      </c>
      <c r="J2460" t="s">
        <v>33338</v>
      </c>
      <c r="K2460" t="s">
        <v>42297</v>
      </c>
      <c r="M2460" t="s">
        <v>42606</v>
      </c>
      <c r="N2460" t="s">
        <v>46569</v>
      </c>
      <c r="O2460" t="s">
        <v>46570</v>
      </c>
      <c r="P2460">
        <v>0</v>
      </c>
      <c r="Q2460">
        <v>2</v>
      </c>
      <c r="R2460" t="s">
        <v>46572</v>
      </c>
      <c r="S2460" t="s">
        <v>46689</v>
      </c>
      <c r="T2460" t="s">
        <v>48226</v>
      </c>
      <c r="U2460" t="s">
        <v>50814</v>
      </c>
      <c r="W2460" t="s">
        <v>42606</v>
      </c>
      <c r="X2460" t="s">
        <v>46577</v>
      </c>
    </row>
    <row r="2461" spans="1:24">
      <c r="A2461">
        <f>HYPERLINK("https://www.philgeps.gov.ph/GEPSNONPILOT/Tender/SplashBidNoticeAbstractUI.aspx?menuIndex=3&amp;refID=7043678&amp;Result=3","7043678")</f>
        <v>0</v>
      </c>
      <c r="B2461" t="s">
        <v>809</v>
      </c>
      <c r="C2461" t="s">
        <v>5911</v>
      </c>
      <c r="D2461" t="s">
        <v>18834</v>
      </c>
      <c r="E2461" t="s">
        <v>21138</v>
      </c>
      <c r="F2461" t="s">
        <v>32664</v>
      </c>
      <c r="G2461" t="s">
        <v>32672</v>
      </c>
      <c r="H2461" t="s">
        <v>32683</v>
      </c>
      <c r="I2461" t="s">
        <v>10627</v>
      </c>
      <c r="J2461" t="s">
        <v>34531</v>
      </c>
      <c r="K2461" t="s">
        <v>42298</v>
      </c>
      <c r="M2461" t="s">
        <v>43402</v>
      </c>
      <c r="N2461" t="s">
        <v>46569</v>
      </c>
      <c r="O2461" t="s">
        <v>46570</v>
      </c>
      <c r="P2461">
        <v>0</v>
      </c>
      <c r="Q2461">
        <v>0</v>
      </c>
      <c r="R2461" t="s">
        <v>46572</v>
      </c>
      <c r="S2461" t="s">
        <v>46689</v>
      </c>
      <c r="T2461" t="s">
        <v>48312</v>
      </c>
      <c r="U2461" t="s">
        <v>50815</v>
      </c>
      <c r="W2461" t="s">
        <v>43402</v>
      </c>
      <c r="X2461" t="s">
        <v>46584</v>
      </c>
    </row>
    <row r="2462" spans="1:24">
      <c r="A2462">
        <f>HYPERLINK("https://www.philgeps.gov.ph/GEPSNONPILOT/Tender/SplashBidNoticeAbstractUI.aspx?menuIndex=3&amp;refID=7054441&amp;Result=3","7054441")</f>
        <v>0</v>
      </c>
      <c r="B2462" t="s">
        <v>159</v>
      </c>
      <c r="C2462" t="s">
        <v>5912</v>
      </c>
      <c r="D2462" t="s">
        <v>18835</v>
      </c>
      <c r="E2462" t="s">
        <v>21139</v>
      </c>
      <c r="F2462" t="s">
        <v>32664</v>
      </c>
      <c r="G2462" t="s">
        <v>32674</v>
      </c>
      <c r="H2462" t="s">
        <v>12635</v>
      </c>
      <c r="I2462" t="s">
        <v>4205</v>
      </c>
      <c r="J2462" t="s">
        <v>34532</v>
      </c>
      <c r="K2462" t="s">
        <v>42297</v>
      </c>
      <c r="M2462" t="s">
        <v>42723</v>
      </c>
      <c r="N2462" t="s">
        <v>46569</v>
      </c>
      <c r="O2462" t="s">
        <v>46570</v>
      </c>
      <c r="P2462">
        <v>0</v>
      </c>
      <c r="Q2462">
        <v>0</v>
      </c>
      <c r="R2462" t="s">
        <v>46572</v>
      </c>
      <c r="S2462" t="s">
        <v>46689</v>
      </c>
      <c r="T2462" t="s">
        <v>48449</v>
      </c>
      <c r="U2462" t="s">
        <v>50816</v>
      </c>
      <c r="W2462" t="s">
        <v>42723</v>
      </c>
      <c r="X2462" t="s">
        <v>46578</v>
      </c>
    </row>
    <row r="2463" spans="1:24">
      <c r="A2463">
        <f>HYPERLINK("https://www.philgeps.gov.ph/GEPSNONPILOT/Tender/SplashBidNoticeAbstractUI.aspx?menuIndex=3&amp;refID=7052985&amp;Result=3","7052985")</f>
        <v>0</v>
      </c>
      <c r="B2463" t="s">
        <v>1012</v>
      </c>
      <c r="C2463" t="s">
        <v>5913</v>
      </c>
      <c r="D2463" t="s">
        <v>18784</v>
      </c>
      <c r="E2463" t="s">
        <v>21140</v>
      </c>
      <c r="F2463" t="s">
        <v>32664</v>
      </c>
      <c r="G2463" t="s">
        <v>32671</v>
      </c>
      <c r="H2463" t="s">
        <v>12635</v>
      </c>
      <c r="I2463" t="s">
        <v>32685</v>
      </c>
      <c r="J2463" t="s">
        <v>34533</v>
      </c>
      <c r="K2463" t="s">
        <v>42283</v>
      </c>
      <c r="M2463" t="s">
        <v>43624</v>
      </c>
      <c r="N2463" t="s">
        <v>46569</v>
      </c>
      <c r="O2463" t="s">
        <v>46570</v>
      </c>
      <c r="P2463">
        <v>0</v>
      </c>
      <c r="Q2463">
        <v>2</v>
      </c>
      <c r="R2463" t="s">
        <v>46572</v>
      </c>
      <c r="S2463" t="s">
        <v>46689</v>
      </c>
      <c r="T2463" t="s">
        <v>48244</v>
      </c>
      <c r="U2463" t="s">
        <v>50817</v>
      </c>
      <c r="W2463" t="s">
        <v>43624</v>
      </c>
      <c r="X2463" t="s">
        <v>46578</v>
      </c>
    </row>
    <row r="2464" spans="1:24">
      <c r="A2464">
        <f>HYPERLINK("https://www.philgeps.gov.ph/GEPSNONPILOT/Tender/SplashBidNoticeAbstractUI.aspx?menuIndex=3&amp;refID=6949748&amp;Result=3","6949748")</f>
        <v>0</v>
      </c>
      <c r="B2464" t="s">
        <v>1001</v>
      </c>
      <c r="C2464" t="s">
        <v>5914</v>
      </c>
      <c r="D2464" t="s">
        <v>18793</v>
      </c>
      <c r="E2464" t="s">
        <v>20098</v>
      </c>
      <c r="F2464" t="s">
        <v>32664</v>
      </c>
      <c r="G2464" t="s">
        <v>32672</v>
      </c>
      <c r="H2464" t="s">
        <v>12635</v>
      </c>
      <c r="I2464" t="s">
        <v>4439</v>
      </c>
      <c r="J2464" t="s">
        <v>34534</v>
      </c>
      <c r="K2464" t="s">
        <v>42284</v>
      </c>
      <c r="M2464" t="s">
        <v>43613</v>
      </c>
      <c r="N2464" t="s">
        <v>46569</v>
      </c>
      <c r="O2464" t="s">
        <v>46570</v>
      </c>
      <c r="P2464">
        <v>0</v>
      </c>
      <c r="Q2464">
        <v>0</v>
      </c>
      <c r="R2464" t="s">
        <v>46572</v>
      </c>
      <c r="S2464" t="s">
        <v>46689</v>
      </c>
      <c r="T2464" t="s">
        <v>48412</v>
      </c>
      <c r="U2464" t="s">
        <v>50818</v>
      </c>
      <c r="W2464" t="s">
        <v>43613</v>
      </c>
      <c r="X2464" t="s">
        <v>63606</v>
      </c>
    </row>
    <row r="2465" spans="1:24">
      <c r="A2465">
        <f>HYPERLINK("https://www.philgeps.gov.ph/GEPSNONPILOT/Tender/SplashBidNoticeAbstractUI.aspx?menuIndex=3&amp;refID=7055956&amp;Result=3","7055956")</f>
        <v>0</v>
      </c>
      <c r="B2465" t="s">
        <v>354</v>
      </c>
      <c r="C2465" t="s">
        <v>5915</v>
      </c>
      <c r="D2465" t="s">
        <v>18850</v>
      </c>
      <c r="E2465" t="s">
        <v>21141</v>
      </c>
      <c r="F2465" t="s">
        <v>32664</v>
      </c>
      <c r="G2465" t="s">
        <v>32672</v>
      </c>
      <c r="H2465" t="s">
        <v>12635</v>
      </c>
      <c r="I2465" t="s">
        <v>32706</v>
      </c>
      <c r="J2465" t="s">
        <v>34535</v>
      </c>
      <c r="K2465" t="s">
        <v>42298</v>
      </c>
      <c r="M2465" t="s">
        <v>42923</v>
      </c>
      <c r="N2465" t="s">
        <v>46569</v>
      </c>
      <c r="O2465" t="s">
        <v>46570</v>
      </c>
      <c r="P2465">
        <v>0</v>
      </c>
      <c r="Q2465">
        <v>1</v>
      </c>
      <c r="R2465" t="s">
        <v>46572</v>
      </c>
      <c r="S2465" t="s">
        <v>46689</v>
      </c>
      <c r="T2465" t="s">
        <v>48304</v>
      </c>
      <c r="U2465" t="s">
        <v>50819</v>
      </c>
      <c r="W2465" t="s">
        <v>42923</v>
      </c>
      <c r="X2465" t="s">
        <v>46577</v>
      </c>
    </row>
    <row r="2466" spans="1:24">
      <c r="A2466">
        <f>HYPERLINK("https://www.philgeps.gov.ph/GEPSNONPILOT/Tender/SplashBidNoticeAbstractUI.aspx?menuIndex=3&amp;refID=7055868&amp;Result=3","7055868")</f>
        <v>0</v>
      </c>
      <c r="B2466" t="s">
        <v>1013</v>
      </c>
      <c r="C2466" t="s">
        <v>5916</v>
      </c>
      <c r="D2466" t="s">
        <v>18786</v>
      </c>
      <c r="E2466" t="s">
        <v>21142</v>
      </c>
      <c r="F2466" t="s">
        <v>32664</v>
      </c>
      <c r="G2466" t="s">
        <v>32672</v>
      </c>
      <c r="H2466" t="s">
        <v>12635</v>
      </c>
      <c r="I2466" t="s">
        <v>32699</v>
      </c>
      <c r="J2466" t="s">
        <v>34536</v>
      </c>
      <c r="K2466" t="s">
        <v>42297</v>
      </c>
      <c r="M2466" t="s">
        <v>43625</v>
      </c>
      <c r="N2466" t="s">
        <v>46569</v>
      </c>
      <c r="O2466" t="s">
        <v>46570</v>
      </c>
      <c r="P2466">
        <v>0</v>
      </c>
      <c r="Q2466">
        <v>3</v>
      </c>
      <c r="R2466" t="s">
        <v>46572</v>
      </c>
      <c r="S2466" t="s">
        <v>46689</v>
      </c>
      <c r="T2466" t="s">
        <v>48226</v>
      </c>
      <c r="U2466" t="s">
        <v>50820</v>
      </c>
      <c r="W2466" t="s">
        <v>43625</v>
      </c>
      <c r="X2466" t="s">
        <v>46577</v>
      </c>
    </row>
    <row r="2467" spans="1:24">
      <c r="A2467">
        <f>HYPERLINK("https://www.philgeps.gov.ph/GEPSNONPILOT/Tender/SplashBidNoticeAbstractUI.aspx?menuIndex=3&amp;refID=7055778&amp;Result=3","7055778")</f>
        <v>0</v>
      </c>
      <c r="B2467" t="s">
        <v>354</v>
      </c>
      <c r="C2467" t="s">
        <v>5917</v>
      </c>
      <c r="D2467" t="s">
        <v>18850</v>
      </c>
      <c r="E2467" t="s">
        <v>21143</v>
      </c>
      <c r="F2467" t="s">
        <v>32664</v>
      </c>
      <c r="G2467" t="s">
        <v>32672</v>
      </c>
      <c r="H2467" t="s">
        <v>12635</v>
      </c>
      <c r="I2467" t="s">
        <v>8797</v>
      </c>
      <c r="J2467" t="s">
        <v>33128</v>
      </c>
      <c r="K2467" t="s">
        <v>42305</v>
      </c>
      <c r="M2467" t="s">
        <v>42923</v>
      </c>
      <c r="N2467" t="s">
        <v>46569</v>
      </c>
      <c r="O2467" t="s">
        <v>46570</v>
      </c>
      <c r="P2467">
        <v>0</v>
      </c>
      <c r="Q2467">
        <v>0</v>
      </c>
      <c r="R2467" t="s">
        <v>46572</v>
      </c>
      <c r="S2467" t="s">
        <v>46689</v>
      </c>
      <c r="T2467" t="s">
        <v>48304</v>
      </c>
      <c r="U2467" t="s">
        <v>50821</v>
      </c>
      <c r="W2467" t="s">
        <v>42923</v>
      </c>
      <c r="X2467" t="s">
        <v>46577</v>
      </c>
    </row>
    <row r="2468" spans="1:24">
      <c r="A2468">
        <f>HYPERLINK("https://www.philgeps.gov.ph/GEPSNONPILOT/Tender/SplashBidNoticeAbstractUI.aspx?menuIndex=3&amp;refID=7055905&amp;Result=3","7055905")</f>
        <v>0</v>
      </c>
      <c r="B2468" t="s">
        <v>354</v>
      </c>
      <c r="C2468" t="s">
        <v>5918</v>
      </c>
      <c r="D2468" t="s">
        <v>18850</v>
      </c>
      <c r="E2468" t="s">
        <v>21144</v>
      </c>
      <c r="F2468" t="s">
        <v>32664</v>
      </c>
      <c r="G2468" t="s">
        <v>32672</v>
      </c>
      <c r="H2468" t="s">
        <v>12635</v>
      </c>
      <c r="I2468" t="s">
        <v>32694</v>
      </c>
      <c r="J2468" t="s">
        <v>34537</v>
      </c>
      <c r="K2468" t="s">
        <v>42305</v>
      </c>
      <c r="M2468" t="s">
        <v>42923</v>
      </c>
      <c r="N2468" t="s">
        <v>46569</v>
      </c>
      <c r="O2468" t="s">
        <v>46570</v>
      </c>
      <c r="P2468">
        <v>0</v>
      </c>
      <c r="Q2468">
        <v>0</v>
      </c>
      <c r="R2468" t="s">
        <v>46572</v>
      </c>
      <c r="S2468" t="s">
        <v>46689</v>
      </c>
      <c r="T2468" t="s">
        <v>48304</v>
      </c>
      <c r="U2468" t="s">
        <v>50822</v>
      </c>
      <c r="W2468" t="s">
        <v>42923</v>
      </c>
      <c r="X2468" t="s">
        <v>46577</v>
      </c>
    </row>
    <row r="2469" spans="1:24">
      <c r="A2469">
        <f>HYPERLINK("https://www.philgeps.gov.ph/GEPSNONPILOT/Tender/SplashBidNoticeAbstractUI.aspx?menuIndex=3&amp;refID=7055710&amp;Result=3","7055710")</f>
        <v>0</v>
      </c>
      <c r="B2469" t="s">
        <v>354</v>
      </c>
      <c r="C2469" t="s">
        <v>5919</v>
      </c>
      <c r="D2469" t="s">
        <v>18850</v>
      </c>
      <c r="E2469" t="s">
        <v>21145</v>
      </c>
      <c r="F2469" t="s">
        <v>32664</v>
      </c>
      <c r="G2469" t="s">
        <v>32672</v>
      </c>
      <c r="H2469" t="s">
        <v>12635</v>
      </c>
      <c r="I2469" t="s">
        <v>4439</v>
      </c>
      <c r="J2469" t="s">
        <v>34538</v>
      </c>
      <c r="K2469" t="s">
        <v>42311</v>
      </c>
      <c r="M2469" t="s">
        <v>42923</v>
      </c>
      <c r="N2469" t="s">
        <v>46569</v>
      </c>
      <c r="O2469" t="s">
        <v>46570</v>
      </c>
      <c r="P2469">
        <v>0</v>
      </c>
      <c r="Q2469">
        <v>0</v>
      </c>
      <c r="R2469" t="s">
        <v>46572</v>
      </c>
      <c r="S2469" t="s">
        <v>46689</v>
      </c>
      <c r="T2469" t="s">
        <v>48304</v>
      </c>
      <c r="U2469" t="s">
        <v>50823</v>
      </c>
      <c r="W2469" t="s">
        <v>42923</v>
      </c>
      <c r="X2469" t="s">
        <v>46577</v>
      </c>
    </row>
    <row r="2470" spans="1:24">
      <c r="A2470">
        <f>HYPERLINK("https://www.philgeps.gov.ph/GEPSNONPILOT/Tender/SplashBidNoticeAbstractUI.aspx?menuIndex=3&amp;refID=7055666&amp;Result=3","7055666")</f>
        <v>0</v>
      </c>
      <c r="B2470" t="s">
        <v>1014</v>
      </c>
      <c r="C2470" t="s">
        <v>5920</v>
      </c>
      <c r="D2470" t="s">
        <v>18789</v>
      </c>
      <c r="E2470" t="s">
        <v>21146</v>
      </c>
      <c r="F2470" t="s">
        <v>32665</v>
      </c>
      <c r="G2470" t="s">
        <v>32671</v>
      </c>
      <c r="H2470" t="s">
        <v>12635</v>
      </c>
      <c r="I2470" t="s">
        <v>8730</v>
      </c>
      <c r="J2470" t="s">
        <v>32984</v>
      </c>
      <c r="K2470" t="s">
        <v>42295</v>
      </c>
      <c r="M2470" t="s">
        <v>43626</v>
      </c>
      <c r="N2470" t="s">
        <v>46569</v>
      </c>
      <c r="O2470" t="s">
        <v>46570</v>
      </c>
      <c r="P2470">
        <v>0</v>
      </c>
      <c r="Q2470">
        <v>0</v>
      </c>
      <c r="R2470" t="s">
        <v>46572</v>
      </c>
      <c r="S2470" t="s">
        <v>46689</v>
      </c>
      <c r="T2470" t="s">
        <v>48297</v>
      </c>
      <c r="U2470" t="s">
        <v>50824</v>
      </c>
      <c r="W2470" t="s">
        <v>43626</v>
      </c>
      <c r="X2470" t="s">
        <v>46577</v>
      </c>
    </row>
    <row r="2471" spans="1:24">
      <c r="A2471">
        <f>HYPERLINK("https://www.philgeps.gov.ph/GEPSNONPILOT/Tender/SplashBidNoticeAbstractUI.aspx?menuIndex=3&amp;refID=7055465&amp;Result=3","7055465")</f>
        <v>0</v>
      </c>
      <c r="B2471" t="s">
        <v>65</v>
      </c>
      <c r="C2471" t="s">
        <v>5921</v>
      </c>
      <c r="D2471" t="s">
        <v>18783</v>
      </c>
      <c r="E2471" t="s">
        <v>21147</v>
      </c>
      <c r="F2471" t="s">
        <v>32664</v>
      </c>
      <c r="G2471" t="s">
        <v>32671</v>
      </c>
      <c r="H2471" t="s">
        <v>12635</v>
      </c>
      <c r="I2471" t="s">
        <v>32706</v>
      </c>
      <c r="J2471" t="s">
        <v>34539</v>
      </c>
      <c r="K2471" t="s">
        <v>42281</v>
      </c>
      <c r="M2471" t="s">
        <v>42628</v>
      </c>
      <c r="N2471" t="s">
        <v>46569</v>
      </c>
      <c r="O2471" t="s">
        <v>46570</v>
      </c>
      <c r="P2471">
        <v>0</v>
      </c>
      <c r="Q2471">
        <v>0</v>
      </c>
      <c r="R2471" t="s">
        <v>46572</v>
      </c>
      <c r="S2471" t="s">
        <v>46689</v>
      </c>
      <c r="T2471" t="s">
        <v>48283</v>
      </c>
      <c r="U2471" t="s">
        <v>50825</v>
      </c>
      <c r="V2471" t="s">
        <v>61668</v>
      </c>
      <c r="W2471" t="s">
        <v>42628</v>
      </c>
      <c r="X2471" t="s">
        <v>46578</v>
      </c>
    </row>
    <row r="2472" spans="1:24">
      <c r="A2472">
        <f>HYPERLINK("https://www.philgeps.gov.ph/GEPSNONPILOT/Tender/SplashBidNoticeAbstractUI.aspx?menuIndex=3&amp;refID=7055461&amp;Result=3","7055461")</f>
        <v>0</v>
      </c>
      <c r="B2472" t="s">
        <v>65</v>
      </c>
      <c r="C2472" t="s">
        <v>5922</v>
      </c>
      <c r="D2472" t="s">
        <v>18783</v>
      </c>
      <c r="E2472" t="s">
        <v>21148</v>
      </c>
      <c r="F2472" t="s">
        <v>32664</v>
      </c>
      <c r="G2472" t="s">
        <v>32671</v>
      </c>
      <c r="H2472" t="s">
        <v>12635</v>
      </c>
      <c r="I2472" t="s">
        <v>32685</v>
      </c>
      <c r="J2472" t="s">
        <v>34540</v>
      </c>
      <c r="K2472" t="s">
        <v>42281</v>
      </c>
      <c r="M2472" t="s">
        <v>42628</v>
      </c>
      <c r="N2472" t="s">
        <v>46569</v>
      </c>
      <c r="O2472" t="s">
        <v>46570</v>
      </c>
      <c r="P2472">
        <v>0</v>
      </c>
      <c r="Q2472">
        <v>1</v>
      </c>
      <c r="R2472" t="s">
        <v>46572</v>
      </c>
      <c r="S2472" t="s">
        <v>46689</v>
      </c>
      <c r="T2472" t="s">
        <v>48283</v>
      </c>
      <c r="U2472" t="s">
        <v>50826</v>
      </c>
      <c r="V2472" t="s">
        <v>61624</v>
      </c>
      <c r="W2472" t="s">
        <v>42628</v>
      </c>
      <c r="X2472" t="s">
        <v>46578</v>
      </c>
    </row>
    <row r="2473" spans="1:24">
      <c r="A2473">
        <f>HYPERLINK("https://www.philgeps.gov.ph/GEPSNONPILOT/Tender/SplashBidNoticeAbstractUI.aspx?menuIndex=3&amp;refID=7056010&amp;Result=3","7056010")</f>
        <v>0</v>
      </c>
      <c r="B2473" t="s">
        <v>354</v>
      </c>
      <c r="C2473" t="s">
        <v>5923</v>
      </c>
      <c r="D2473" t="s">
        <v>18850</v>
      </c>
      <c r="E2473" t="s">
        <v>21149</v>
      </c>
      <c r="F2473" t="s">
        <v>32664</v>
      </c>
      <c r="G2473" t="s">
        <v>32672</v>
      </c>
      <c r="H2473" t="s">
        <v>12635</v>
      </c>
      <c r="I2473" t="s">
        <v>4205</v>
      </c>
      <c r="J2473" t="s">
        <v>32831</v>
      </c>
      <c r="K2473" t="s">
        <v>42305</v>
      </c>
      <c r="M2473" t="s">
        <v>42923</v>
      </c>
      <c r="N2473" t="s">
        <v>46569</v>
      </c>
      <c r="O2473" t="s">
        <v>46570</v>
      </c>
      <c r="P2473">
        <v>0</v>
      </c>
      <c r="Q2473">
        <v>0</v>
      </c>
      <c r="R2473" t="s">
        <v>46572</v>
      </c>
      <c r="S2473" t="s">
        <v>46689</v>
      </c>
      <c r="T2473" t="s">
        <v>48304</v>
      </c>
      <c r="U2473" t="s">
        <v>50827</v>
      </c>
      <c r="W2473" t="s">
        <v>42923</v>
      </c>
      <c r="X2473" t="s">
        <v>46577</v>
      </c>
    </row>
    <row r="2474" spans="1:24">
      <c r="A2474">
        <f>HYPERLINK("https://www.philgeps.gov.ph/GEPSNONPILOT/Tender/SplashBidNoticeAbstractUI.aspx?menuIndex=3&amp;refID=7055443&amp;Result=3","7055443")</f>
        <v>0</v>
      </c>
      <c r="B2474" t="s">
        <v>65</v>
      </c>
      <c r="C2474" t="s">
        <v>5924</v>
      </c>
      <c r="D2474" t="s">
        <v>18783</v>
      </c>
      <c r="E2474" t="s">
        <v>21150</v>
      </c>
      <c r="F2474" t="s">
        <v>32664</v>
      </c>
      <c r="G2474" t="s">
        <v>32671</v>
      </c>
      <c r="H2474" t="s">
        <v>12635</v>
      </c>
      <c r="I2474" t="s">
        <v>4205</v>
      </c>
      <c r="J2474" t="s">
        <v>34541</v>
      </c>
      <c r="K2474" t="s">
        <v>42281</v>
      </c>
      <c r="M2474" t="s">
        <v>42628</v>
      </c>
      <c r="N2474" t="s">
        <v>46569</v>
      </c>
      <c r="O2474" t="s">
        <v>46570</v>
      </c>
      <c r="P2474">
        <v>0</v>
      </c>
      <c r="Q2474">
        <v>0</v>
      </c>
      <c r="R2474" t="s">
        <v>46572</v>
      </c>
      <c r="S2474" t="s">
        <v>46689</v>
      </c>
      <c r="T2474" t="s">
        <v>48283</v>
      </c>
      <c r="U2474" t="s">
        <v>50828</v>
      </c>
      <c r="V2474" t="s">
        <v>61668</v>
      </c>
      <c r="W2474" t="s">
        <v>42628</v>
      </c>
      <c r="X2474" t="s">
        <v>46578</v>
      </c>
    </row>
    <row r="2475" spans="1:24">
      <c r="A2475">
        <f>HYPERLINK("https://www.philgeps.gov.ph/GEPSNONPILOT/Tender/SplashBidNoticeAbstractUI.aspx?menuIndex=3&amp;refID=7056243&amp;Result=3","7056243")</f>
        <v>0</v>
      </c>
      <c r="B2475" t="s">
        <v>230</v>
      </c>
      <c r="C2475" t="s">
        <v>5925</v>
      </c>
      <c r="D2475" t="s">
        <v>18827</v>
      </c>
      <c r="E2475" t="s">
        <v>21151</v>
      </c>
      <c r="F2475" t="s">
        <v>32664</v>
      </c>
      <c r="G2475" t="s">
        <v>32672</v>
      </c>
      <c r="H2475" t="s">
        <v>32683</v>
      </c>
      <c r="I2475" t="s">
        <v>10627</v>
      </c>
      <c r="J2475" t="s">
        <v>34542</v>
      </c>
      <c r="K2475" t="s">
        <v>42283</v>
      </c>
      <c r="M2475" t="s">
        <v>42794</v>
      </c>
      <c r="N2475" t="s">
        <v>46569</v>
      </c>
      <c r="O2475" t="s">
        <v>46570</v>
      </c>
      <c r="P2475">
        <v>0</v>
      </c>
      <c r="Q2475">
        <v>0</v>
      </c>
      <c r="R2475" t="s">
        <v>46572</v>
      </c>
      <c r="S2475" t="s">
        <v>46689</v>
      </c>
      <c r="T2475" t="s">
        <v>48220</v>
      </c>
      <c r="U2475" t="s">
        <v>50829</v>
      </c>
      <c r="W2475" t="s">
        <v>42794</v>
      </c>
      <c r="X2475" t="s">
        <v>46577</v>
      </c>
    </row>
    <row r="2476" spans="1:24">
      <c r="A2476">
        <f>HYPERLINK("https://www.philgeps.gov.ph/GEPSNONPILOT/Tender/SplashBidNoticeAbstractUI.aspx?menuIndex=3&amp;refID=7057586&amp;Result=3","7057586")</f>
        <v>0</v>
      </c>
      <c r="B2476" t="s">
        <v>1015</v>
      </c>
      <c r="C2476" t="s">
        <v>5926</v>
      </c>
      <c r="D2476" t="s">
        <v>18804</v>
      </c>
      <c r="E2476" t="s">
        <v>21152</v>
      </c>
      <c r="F2476" t="s">
        <v>32664</v>
      </c>
      <c r="G2476" t="s">
        <v>32671</v>
      </c>
      <c r="H2476" t="s">
        <v>12635</v>
      </c>
      <c r="I2476" t="s">
        <v>10590</v>
      </c>
      <c r="J2476" t="s">
        <v>34543</v>
      </c>
      <c r="K2476" t="s">
        <v>42305</v>
      </c>
      <c r="M2476" t="s">
        <v>43627</v>
      </c>
      <c r="N2476" t="s">
        <v>46569</v>
      </c>
      <c r="O2476" t="s">
        <v>46570</v>
      </c>
      <c r="P2476">
        <v>0</v>
      </c>
      <c r="Q2476">
        <v>0</v>
      </c>
      <c r="R2476" t="s">
        <v>46572</v>
      </c>
      <c r="S2476" t="s">
        <v>46689</v>
      </c>
      <c r="T2476" t="s">
        <v>48256</v>
      </c>
      <c r="U2476" t="s">
        <v>50830</v>
      </c>
      <c r="W2476" t="s">
        <v>43627</v>
      </c>
      <c r="X2476" t="s">
        <v>46577</v>
      </c>
    </row>
    <row r="2477" spans="1:24">
      <c r="A2477">
        <f>HYPERLINK("https://www.philgeps.gov.ph/GEPSNONPILOT/Tender/SplashBidNoticeAbstractUI.aspx?menuIndex=3&amp;refID=7058024&amp;Result=3","7058024")</f>
        <v>0</v>
      </c>
      <c r="B2477" t="s">
        <v>1016</v>
      </c>
      <c r="C2477" t="s">
        <v>5927</v>
      </c>
      <c r="D2477" t="s">
        <v>18784</v>
      </c>
      <c r="E2477" t="s">
        <v>21153</v>
      </c>
      <c r="F2477" t="s">
        <v>32664</v>
      </c>
      <c r="G2477" t="s">
        <v>32674</v>
      </c>
      <c r="H2477" t="s">
        <v>12635</v>
      </c>
      <c r="I2477" t="s">
        <v>32747</v>
      </c>
      <c r="J2477" t="s">
        <v>33126</v>
      </c>
      <c r="K2477" t="s">
        <v>42305</v>
      </c>
      <c r="M2477" t="s">
        <v>43628</v>
      </c>
      <c r="N2477" t="s">
        <v>46569</v>
      </c>
      <c r="O2477" t="s">
        <v>46570</v>
      </c>
      <c r="P2477">
        <v>0</v>
      </c>
      <c r="Q2477">
        <v>2</v>
      </c>
      <c r="R2477" t="s">
        <v>46572</v>
      </c>
      <c r="S2477" t="s">
        <v>46689</v>
      </c>
      <c r="T2477" t="s">
        <v>48450</v>
      </c>
      <c r="U2477" t="s">
        <v>50831</v>
      </c>
      <c r="W2477" t="s">
        <v>63502</v>
      </c>
      <c r="X2477" t="s">
        <v>46577</v>
      </c>
    </row>
    <row r="2478" spans="1:24">
      <c r="A2478">
        <f>HYPERLINK("https://www.philgeps.gov.ph/GEPSNONPILOT/Tender/SplashBidNoticeAbstractUI.aspx?menuIndex=3&amp;refID=7055470&amp;Result=3","7055470")</f>
        <v>0</v>
      </c>
      <c r="B2478" t="s">
        <v>65</v>
      </c>
      <c r="C2478" t="s">
        <v>5928</v>
      </c>
      <c r="D2478" t="s">
        <v>18783</v>
      </c>
      <c r="E2478" t="s">
        <v>21154</v>
      </c>
      <c r="F2478" t="s">
        <v>32664</v>
      </c>
      <c r="G2478" t="s">
        <v>32671</v>
      </c>
      <c r="H2478" t="s">
        <v>12635</v>
      </c>
      <c r="I2478" t="s">
        <v>32719</v>
      </c>
      <c r="J2478" t="s">
        <v>34544</v>
      </c>
      <c r="K2478" t="s">
        <v>42281</v>
      </c>
      <c r="M2478" t="s">
        <v>42628</v>
      </c>
      <c r="N2478" t="s">
        <v>46569</v>
      </c>
      <c r="O2478" t="s">
        <v>46570</v>
      </c>
      <c r="P2478">
        <v>0</v>
      </c>
      <c r="Q2478">
        <v>2</v>
      </c>
      <c r="R2478" t="s">
        <v>46572</v>
      </c>
      <c r="S2478" t="s">
        <v>46689</v>
      </c>
      <c r="T2478" t="s">
        <v>48283</v>
      </c>
      <c r="U2478" t="s">
        <v>50832</v>
      </c>
      <c r="V2478" t="s">
        <v>61624</v>
      </c>
      <c r="W2478" t="s">
        <v>42628</v>
      </c>
      <c r="X2478" t="s">
        <v>46578</v>
      </c>
    </row>
    <row r="2479" spans="1:24">
      <c r="A2479">
        <f>HYPERLINK("https://www.philgeps.gov.ph/GEPSNONPILOT/Tender/SplashBidNoticeAbstractUI.aspx?menuIndex=3&amp;refID=7052821&amp;Result=3","7052821")</f>
        <v>0</v>
      </c>
      <c r="B2479" t="s">
        <v>1012</v>
      </c>
      <c r="C2479" t="s">
        <v>5929</v>
      </c>
      <c r="D2479" t="s">
        <v>18784</v>
      </c>
      <c r="E2479" t="s">
        <v>21155</v>
      </c>
      <c r="F2479" t="s">
        <v>32664</v>
      </c>
      <c r="G2479" t="s">
        <v>32674</v>
      </c>
      <c r="H2479" t="s">
        <v>12635</v>
      </c>
      <c r="I2479" t="s">
        <v>5589</v>
      </c>
      <c r="J2479" t="s">
        <v>34545</v>
      </c>
      <c r="K2479" t="s">
        <v>42283</v>
      </c>
      <c r="M2479" t="s">
        <v>43624</v>
      </c>
      <c r="N2479" t="s">
        <v>46569</v>
      </c>
      <c r="O2479" t="s">
        <v>46570</v>
      </c>
      <c r="P2479">
        <v>0</v>
      </c>
      <c r="Q2479">
        <v>12</v>
      </c>
      <c r="R2479" t="s">
        <v>46572</v>
      </c>
      <c r="S2479" t="s">
        <v>46689</v>
      </c>
      <c r="T2479" t="s">
        <v>48244</v>
      </c>
      <c r="U2479" t="s">
        <v>50833</v>
      </c>
      <c r="W2479" t="s">
        <v>43624</v>
      </c>
      <c r="X2479" t="s">
        <v>46578</v>
      </c>
    </row>
    <row r="2480" spans="1:24">
      <c r="A2480">
        <f>HYPERLINK("https://www.philgeps.gov.ph/GEPSNONPILOT/Tender/SplashBidNoticeAbstractUI.aspx?menuIndex=3&amp;refID=7054891&amp;Result=3","7054891")</f>
        <v>0</v>
      </c>
      <c r="B2480" t="s">
        <v>1017</v>
      </c>
      <c r="C2480" t="s">
        <v>5930</v>
      </c>
      <c r="D2480" t="s">
        <v>18781</v>
      </c>
      <c r="E2480" t="s">
        <v>21156</v>
      </c>
      <c r="F2480" t="s">
        <v>32664</v>
      </c>
      <c r="G2480" t="s">
        <v>32672</v>
      </c>
      <c r="H2480" t="s">
        <v>12635</v>
      </c>
      <c r="I2480" t="s">
        <v>32706</v>
      </c>
      <c r="J2480" t="s">
        <v>34546</v>
      </c>
      <c r="K2480" t="s">
        <v>42311</v>
      </c>
      <c r="M2480" t="s">
        <v>43629</v>
      </c>
      <c r="N2480" t="s">
        <v>46569</v>
      </c>
      <c r="O2480" t="s">
        <v>46570</v>
      </c>
      <c r="P2480">
        <v>0</v>
      </c>
      <c r="Q2480">
        <v>1</v>
      </c>
      <c r="R2480" t="s">
        <v>46572</v>
      </c>
      <c r="S2480" t="s">
        <v>46689</v>
      </c>
      <c r="T2480" t="s">
        <v>48216</v>
      </c>
      <c r="U2480" t="s">
        <v>50834</v>
      </c>
      <c r="V2480" t="s">
        <v>61872</v>
      </c>
      <c r="W2480" t="s">
        <v>43629</v>
      </c>
      <c r="X2480" t="s">
        <v>46578</v>
      </c>
    </row>
    <row r="2481" spans="1:24">
      <c r="A2481">
        <f>HYPERLINK("https://www.philgeps.gov.ph/GEPSNONPILOT/Tender/SplashBidNoticeAbstractUI.aspx?menuIndex=3&amp;refID=7055448&amp;Result=3","7055448")</f>
        <v>0</v>
      </c>
      <c r="B2481" t="s">
        <v>65</v>
      </c>
      <c r="C2481" t="s">
        <v>5931</v>
      </c>
      <c r="D2481" t="s">
        <v>18783</v>
      </c>
      <c r="E2481" t="s">
        <v>21157</v>
      </c>
      <c r="F2481" t="s">
        <v>32664</v>
      </c>
      <c r="G2481" t="s">
        <v>32671</v>
      </c>
      <c r="H2481" t="s">
        <v>12635</v>
      </c>
      <c r="I2481" t="s">
        <v>8797</v>
      </c>
      <c r="J2481" t="s">
        <v>34547</v>
      </c>
      <c r="K2481" t="s">
        <v>42281</v>
      </c>
      <c r="M2481" t="s">
        <v>42628</v>
      </c>
      <c r="N2481" t="s">
        <v>46569</v>
      </c>
      <c r="O2481" t="s">
        <v>46570</v>
      </c>
      <c r="P2481">
        <v>0</v>
      </c>
      <c r="Q2481">
        <v>1</v>
      </c>
      <c r="R2481" t="s">
        <v>46572</v>
      </c>
      <c r="S2481" t="s">
        <v>46689</v>
      </c>
      <c r="T2481" t="s">
        <v>48283</v>
      </c>
      <c r="U2481" t="s">
        <v>50835</v>
      </c>
      <c r="V2481" t="s">
        <v>61668</v>
      </c>
      <c r="W2481" t="s">
        <v>42628</v>
      </c>
      <c r="X2481" t="s">
        <v>46578</v>
      </c>
    </row>
    <row r="2482" spans="1:24">
      <c r="A2482">
        <f>HYPERLINK("https://www.philgeps.gov.ph/GEPSNONPILOT/Tender/SplashBidNoticeAbstractUI.aspx?menuIndex=3&amp;refID=7057704&amp;Result=3","7057704")</f>
        <v>0</v>
      </c>
      <c r="B2482" t="s">
        <v>267</v>
      </c>
      <c r="C2482" t="s">
        <v>5932</v>
      </c>
      <c r="E2482" t="s">
        <v>21158</v>
      </c>
      <c r="F2482" t="s">
        <v>32664</v>
      </c>
      <c r="G2482" t="s">
        <v>32671</v>
      </c>
      <c r="H2482" t="s">
        <v>12635</v>
      </c>
      <c r="I2482" t="s">
        <v>32752</v>
      </c>
      <c r="J2482" t="s">
        <v>34548</v>
      </c>
      <c r="K2482" t="s">
        <v>42283</v>
      </c>
      <c r="M2482" t="s">
        <v>42832</v>
      </c>
      <c r="N2482" t="s">
        <v>46569</v>
      </c>
      <c r="O2482" t="s">
        <v>46570</v>
      </c>
      <c r="P2482">
        <v>0</v>
      </c>
      <c r="Q2482">
        <v>0</v>
      </c>
      <c r="R2482" t="s">
        <v>46572</v>
      </c>
      <c r="S2482" t="s">
        <v>46689</v>
      </c>
      <c r="T2482" t="s">
        <v>48219</v>
      </c>
      <c r="U2482" t="s">
        <v>50836</v>
      </c>
      <c r="W2482" t="s">
        <v>42832</v>
      </c>
      <c r="X2482" t="s">
        <v>46577</v>
      </c>
    </row>
    <row r="2483" spans="1:24">
      <c r="A2483">
        <f>HYPERLINK("https://www.philgeps.gov.ph/GEPSNONPILOT/Tender/SplashBidNoticeAbstractUI.aspx?menuIndex=3&amp;refID=7057879&amp;Result=3","7057879")</f>
        <v>0</v>
      </c>
      <c r="B2483" t="s">
        <v>1018</v>
      </c>
      <c r="C2483" t="s">
        <v>5933</v>
      </c>
      <c r="D2483" t="s">
        <v>18835</v>
      </c>
      <c r="E2483" t="s">
        <v>21159</v>
      </c>
      <c r="F2483" t="s">
        <v>32664</v>
      </c>
      <c r="G2483" t="s">
        <v>32675</v>
      </c>
      <c r="H2483" t="s">
        <v>12635</v>
      </c>
      <c r="I2483" t="s">
        <v>8730</v>
      </c>
      <c r="J2483" t="s">
        <v>34549</v>
      </c>
      <c r="K2483" t="s">
        <v>42297</v>
      </c>
      <c r="M2483" t="s">
        <v>43630</v>
      </c>
      <c r="N2483" t="s">
        <v>46569</v>
      </c>
      <c r="O2483" t="s">
        <v>46570</v>
      </c>
      <c r="P2483">
        <v>0</v>
      </c>
      <c r="Q2483">
        <v>1</v>
      </c>
      <c r="R2483" t="s">
        <v>46572</v>
      </c>
      <c r="S2483" t="s">
        <v>46689</v>
      </c>
      <c r="T2483" t="s">
        <v>48230</v>
      </c>
      <c r="U2483" t="s">
        <v>50837</v>
      </c>
      <c r="W2483" t="s">
        <v>43630</v>
      </c>
      <c r="X2483" t="s">
        <v>46577</v>
      </c>
    </row>
    <row r="2484" spans="1:24">
      <c r="A2484">
        <f>HYPERLINK("https://www.philgeps.gov.ph/GEPSNONPILOT/Tender/SplashBidNoticeAbstractUI.aspx?menuIndex=3&amp;refID=7057607&amp;Result=3","7057607")</f>
        <v>0</v>
      </c>
      <c r="B2484" t="s">
        <v>267</v>
      </c>
      <c r="C2484" t="s">
        <v>5934</v>
      </c>
      <c r="E2484" t="s">
        <v>21160</v>
      </c>
      <c r="F2484" t="s">
        <v>32664</v>
      </c>
      <c r="G2484" t="s">
        <v>32671</v>
      </c>
      <c r="H2484" t="s">
        <v>12635</v>
      </c>
      <c r="I2484" t="s">
        <v>6223</v>
      </c>
      <c r="J2484" t="s">
        <v>34550</v>
      </c>
      <c r="K2484" t="s">
        <v>42283</v>
      </c>
      <c r="M2484" t="s">
        <v>42832</v>
      </c>
      <c r="N2484" t="s">
        <v>46569</v>
      </c>
      <c r="O2484" t="s">
        <v>46570</v>
      </c>
      <c r="P2484">
        <v>0</v>
      </c>
      <c r="Q2484">
        <v>0</v>
      </c>
      <c r="R2484" t="s">
        <v>46572</v>
      </c>
      <c r="S2484" t="s">
        <v>46689</v>
      </c>
      <c r="T2484" t="s">
        <v>48219</v>
      </c>
      <c r="U2484" t="s">
        <v>50838</v>
      </c>
      <c r="W2484" t="s">
        <v>42832</v>
      </c>
      <c r="X2484" t="s">
        <v>46577</v>
      </c>
    </row>
    <row r="2485" spans="1:24">
      <c r="A2485">
        <f>HYPERLINK("https://www.philgeps.gov.ph/GEPSNONPILOT/Tender/SplashBidNoticeAbstractUI.aspx?menuIndex=3&amp;refID=7057482&amp;Result=3","7057482")</f>
        <v>0</v>
      </c>
      <c r="B2485" t="s">
        <v>273</v>
      </c>
      <c r="C2485" t="s">
        <v>5935</v>
      </c>
      <c r="D2485" t="s">
        <v>18812</v>
      </c>
      <c r="E2485" t="s">
        <v>21161</v>
      </c>
      <c r="F2485" t="s">
        <v>32664</v>
      </c>
      <c r="G2485" t="s">
        <v>32672</v>
      </c>
      <c r="H2485" t="s">
        <v>12635</v>
      </c>
      <c r="I2485" t="s">
        <v>32721</v>
      </c>
      <c r="J2485" t="s">
        <v>34551</v>
      </c>
      <c r="K2485" t="s">
        <v>42298</v>
      </c>
      <c r="M2485" t="s">
        <v>42838</v>
      </c>
      <c r="N2485" t="s">
        <v>46569</v>
      </c>
      <c r="O2485" t="s">
        <v>46570</v>
      </c>
      <c r="P2485">
        <v>0</v>
      </c>
      <c r="Q2485">
        <v>5</v>
      </c>
      <c r="R2485" t="s">
        <v>46572</v>
      </c>
      <c r="S2485" t="s">
        <v>46689</v>
      </c>
      <c r="T2485" t="s">
        <v>48233</v>
      </c>
      <c r="U2485" t="s">
        <v>50839</v>
      </c>
      <c r="V2485" t="s">
        <v>61873</v>
      </c>
      <c r="W2485" t="s">
        <v>42838</v>
      </c>
      <c r="X2485" t="s">
        <v>46577</v>
      </c>
    </row>
    <row r="2486" spans="1:24">
      <c r="A2486">
        <f>HYPERLINK("https://www.philgeps.gov.ph/GEPSNONPILOT/Tender/SplashBidNoticeAbstractUI.aspx?menuIndex=3&amp;refID=7057446&amp;Result=3","7057446")</f>
        <v>0</v>
      </c>
      <c r="B2486" t="s">
        <v>1019</v>
      </c>
      <c r="C2486" t="s">
        <v>5936</v>
      </c>
      <c r="D2486" t="s">
        <v>18831</v>
      </c>
      <c r="E2486" t="s">
        <v>21162</v>
      </c>
      <c r="F2486" t="s">
        <v>32664</v>
      </c>
      <c r="G2486" t="s">
        <v>32672</v>
      </c>
      <c r="H2486" t="s">
        <v>32683</v>
      </c>
      <c r="I2486" t="s">
        <v>10627</v>
      </c>
      <c r="J2486" t="s">
        <v>34552</v>
      </c>
      <c r="K2486" t="s">
        <v>42385</v>
      </c>
      <c r="M2486" t="s">
        <v>43631</v>
      </c>
      <c r="N2486" t="s">
        <v>46569</v>
      </c>
      <c r="O2486" t="s">
        <v>46570</v>
      </c>
      <c r="P2486">
        <v>0</v>
      </c>
      <c r="Q2486">
        <v>1</v>
      </c>
      <c r="R2486" t="s">
        <v>46572</v>
      </c>
      <c r="S2486" t="s">
        <v>46689</v>
      </c>
      <c r="T2486" t="s">
        <v>48220</v>
      </c>
      <c r="U2486" t="s">
        <v>50840</v>
      </c>
      <c r="W2486" t="s">
        <v>43631</v>
      </c>
      <c r="X2486" t="s">
        <v>46577</v>
      </c>
    </row>
    <row r="2487" spans="1:24">
      <c r="A2487">
        <f>HYPERLINK("https://www.philgeps.gov.ph/GEPSNONPILOT/Tender/SplashBidNoticeAbstractUI.aspx?menuIndex=3&amp;refID=7057445&amp;Result=3","7057445")</f>
        <v>0</v>
      </c>
      <c r="B2487" t="s">
        <v>267</v>
      </c>
      <c r="C2487" t="s">
        <v>5937</v>
      </c>
      <c r="E2487" t="s">
        <v>21163</v>
      </c>
      <c r="F2487" t="s">
        <v>32664</v>
      </c>
      <c r="G2487" t="s">
        <v>32671</v>
      </c>
      <c r="H2487" t="s">
        <v>12635</v>
      </c>
      <c r="I2487" t="s">
        <v>32699</v>
      </c>
      <c r="J2487" t="s">
        <v>33931</v>
      </c>
      <c r="K2487" t="s">
        <v>42283</v>
      </c>
      <c r="M2487" t="s">
        <v>42832</v>
      </c>
      <c r="N2487" t="s">
        <v>46569</v>
      </c>
      <c r="O2487" t="s">
        <v>46570</v>
      </c>
      <c r="P2487">
        <v>0</v>
      </c>
      <c r="Q2487">
        <v>0</v>
      </c>
      <c r="R2487" t="s">
        <v>46572</v>
      </c>
      <c r="S2487" t="s">
        <v>46689</v>
      </c>
      <c r="T2487" t="s">
        <v>48219</v>
      </c>
      <c r="U2487" t="s">
        <v>50841</v>
      </c>
      <c r="W2487" t="s">
        <v>42832</v>
      </c>
      <c r="X2487" t="s">
        <v>46577</v>
      </c>
    </row>
    <row r="2488" spans="1:24">
      <c r="A2488">
        <f>HYPERLINK("https://www.philgeps.gov.ph/GEPSNONPILOT/Tender/SplashBidNoticeAbstractUI.aspx?menuIndex=3&amp;refID=7057438&amp;Result=3","7057438")</f>
        <v>0</v>
      </c>
      <c r="B2488" t="s">
        <v>1019</v>
      </c>
      <c r="C2488" t="s">
        <v>5938</v>
      </c>
      <c r="D2488" t="s">
        <v>18831</v>
      </c>
      <c r="E2488" t="s">
        <v>21164</v>
      </c>
      <c r="F2488" t="s">
        <v>32664</v>
      </c>
      <c r="G2488" t="s">
        <v>32672</v>
      </c>
      <c r="H2488" t="s">
        <v>32683</v>
      </c>
      <c r="I2488" t="s">
        <v>10627</v>
      </c>
      <c r="J2488" t="s">
        <v>34553</v>
      </c>
      <c r="K2488" t="s">
        <v>42386</v>
      </c>
      <c r="M2488" t="s">
        <v>43631</v>
      </c>
      <c r="N2488" t="s">
        <v>46569</v>
      </c>
      <c r="O2488" t="s">
        <v>46570</v>
      </c>
      <c r="P2488">
        <v>0</v>
      </c>
      <c r="Q2488">
        <v>0</v>
      </c>
      <c r="R2488" t="s">
        <v>46572</v>
      </c>
      <c r="S2488" t="s">
        <v>46689</v>
      </c>
      <c r="T2488" t="s">
        <v>48220</v>
      </c>
      <c r="U2488" t="s">
        <v>50842</v>
      </c>
      <c r="W2488" t="s">
        <v>43631</v>
      </c>
      <c r="X2488" t="s">
        <v>46577</v>
      </c>
    </row>
    <row r="2489" spans="1:24">
      <c r="A2489">
        <f>HYPERLINK("https://www.philgeps.gov.ph/GEPSNONPILOT/Tender/SplashBidNoticeAbstractUI.aspx?menuIndex=3&amp;refID=7057509&amp;Result=3","7057509")</f>
        <v>0</v>
      </c>
      <c r="B2489" t="s">
        <v>836</v>
      </c>
      <c r="C2489" t="s">
        <v>5939</v>
      </c>
      <c r="D2489" t="s">
        <v>18823</v>
      </c>
      <c r="E2489" t="s">
        <v>21165</v>
      </c>
      <c r="F2489" t="s">
        <v>32664</v>
      </c>
      <c r="G2489" t="s">
        <v>32672</v>
      </c>
      <c r="H2489" t="s">
        <v>12635</v>
      </c>
      <c r="I2489" t="s">
        <v>32699</v>
      </c>
      <c r="J2489" t="s">
        <v>34554</v>
      </c>
      <c r="K2489" t="s">
        <v>42289</v>
      </c>
      <c r="L2489" t="s">
        <v>836</v>
      </c>
      <c r="M2489" t="s">
        <v>43431</v>
      </c>
      <c r="N2489" t="s">
        <v>46569</v>
      </c>
      <c r="O2489" t="s">
        <v>46570</v>
      </c>
      <c r="P2489">
        <v>0</v>
      </c>
      <c r="Q2489">
        <v>1</v>
      </c>
      <c r="R2489" t="s">
        <v>46572</v>
      </c>
      <c r="S2489" t="s">
        <v>46689</v>
      </c>
      <c r="T2489" t="s">
        <v>48230</v>
      </c>
      <c r="U2489" t="s">
        <v>50394</v>
      </c>
      <c r="V2489" t="s">
        <v>61874</v>
      </c>
      <c r="W2489" t="s">
        <v>43431</v>
      </c>
      <c r="X2489" t="s">
        <v>46577</v>
      </c>
    </row>
    <row r="2490" spans="1:24">
      <c r="A2490">
        <f>HYPERLINK("https://www.philgeps.gov.ph/GEPSNONPILOT/Tender/SplashBidNoticeAbstractUI.aspx?menuIndex=3&amp;refID=7057471&amp;Result=3","7057471")</f>
        <v>0</v>
      </c>
      <c r="B2490" t="s">
        <v>836</v>
      </c>
      <c r="C2490" t="s">
        <v>5940</v>
      </c>
      <c r="D2490" t="s">
        <v>18823</v>
      </c>
      <c r="E2490" t="s">
        <v>21166</v>
      </c>
      <c r="F2490" t="s">
        <v>32664</v>
      </c>
      <c r="G2490" t="s">
        <v>32672</v>
      </c>
      <c r="H2490" t="s">
        <v>12635</v>
      </c>
      <c r="I2490" t="s">
        <v>32689</v>
      </c>
      <c r="J2490" t="s">
        <v>33096</v>
      </c>
      <c r="K2490" t="s">
        <v>42289</v>
      </c>
      <c r="L2490" t="s">
        <v>836</v>
      </c>
      <c r="M2490" t="s">
        <v>43431</v>
      </c>
      <c r="N2490" t="s">
        <v>46569</v>
      </c>
      <c r="O2490" t="s">
        <v>46570</v>
      </c>
      <c r="P2490">
        <v>0</v>
      </c>
      <c r="Q2490">
        <v>2</v>
      </c>
      <c r="R2490" t="s">
        <v>46572</v>
      </c>
      <c r="S2490" t="s">
        <v>46689</v>
      </c>
      <c r="T2490" t="s">
        <v>48230</v>
      </c>
      <c r="U2490" t="s">
        <v>50394</v>
      </c>
      <c r="V2490" t="s">
        <v>61874</v>
      </c>
      <c r="W2490" t="s">
        <v>43431</v>
      </c>
      <c r="X2490" t="s">
        <v>46577</v>
      </c>
    </row>
    <row r="2491" spans="1:24">
      <c r="A2491">
        <f>HYPERLINK("https://www.philgeps.gov.ph/GEPSNONPILOT/Tender/SplashBidNoticeAbstractUI.aspx?menuIndex=3&amp;refID=7056078&amp;Result=3","7056078")</f>
        <v>0</v>
      </c>
      <c r="B2491" t="s">
        <v>267</v>
      </c>
      <c r="C2491" t="s">
        <v>5941</v>
      </c>
      <c r="E2491" t="s">
        <v>21167</v>
      </c>
      <c r="F2491" t="s">
        <v>32664</v>
      </c>
      <c r="G2491" t="s">
        <v>32671</v>
      </c>
      <c r="H2491" t="s">
        <v>12635</v>
      </c>
      <c r="I2491" t="s">
        <v>32736</v>
      </c>
      <c r="J2491" t="s">
        <v>32865</v>
      </c>
      <c r="K2491" t="s">
        <v>42283</v>
      </c>
      <c r="M2491" t="s">
        <v>42832</v>
      </c>
      <c r="N2491" t="s">
        <v>46569</v>
      </c>
      <c r="O2491" t="s">
        <v>46570</v>
      </c>
      <c r="P2491">
        <v>0</v>
      </c>
      <c r="Q2491">
        <v>0</v>
      </c>
      <c r="R2491" t="s">
        <v>46572</v>
      </c>
      <c r="S2491" t="s">
        <v>46689</v>
      </c>
      <c r="T2491" t="s">
        <v>48219</v>
      </c>
      <c r="U2491" t="s">
        <v>50843</v>
      </c>
      <c r="W2491" t="s">
        <v>42832</v>
      </c>
      <c r="X2491" t="s">
        <v>46577</v>
      </c>
    </row>
    <row r="2492" spans="1:24">
      <c r="A2492">
        <f>HYPERLINK("https://www.philgeps.gov.ph/GEPSNONPILOT/Tender/SplashBidNoticeAbstractUI.aspx?menuIndex=3&amp;refID=7057198&amp;Result=3","7057198")</f>
        <v>0</v>
      </c>
      <c r="B2492" t="s">
        <v>1011</v>
      </c>
      <c r="C2492" t="s">
        <v>5942</v>
      </c>
      <c r="D2492" t="s">
        <v>18818</v>
      </c>
      <c r="E2492" t="s">
        <v>21168</v>
      </c>
      <c r="F2492" t="s">
        <v>32664</v>
      </c>
      <c r="G2492" t="s">
        <v>32672</v>
      </c>
      <c r="H2492" t="s">
        <v>32683</v>
      </c>
      <c r="I2492" t="s">
        <v>10627</v>
      </c>
      <c r="J2492" t="s">
        <v>33267</v>
      </c>
      <c r="K2492" t="s">
        <v>42298</v>
      </c>
      <c r="M2492" t="s">
        <v>43623</v>
      </c>
      <c r="N2492" t="s">
        <v>46569</v>
      </c>
      <c r="O2492" t="s">
        <v>46570</v>
      </c>
      <c r="P2492">
        <v>0</v>
      </c>
      <c r="Q2492">
        <v>0</v>
      </c>
      <c r="R2492" t="s">
        <v>46572</v>
      </c>
      <c r="S2492" t="s">
        <v>46689</v>
      </c>
      <c r="T2492" t="s">
        <v>48349</v>
      </c>
      <c r="U2492" t="s">
        <v>50844</v>
      </c>
      <c r="W2492" t="s">
        <v>43623</v>
      </c>
      <c r="X2492" t="s">
        <v>46577</v>
      </c>
    </row>
    <row r="2493" spans="1:24">
      <c r="A2493">
        <f>HYPERLINK("https://www.philgeps.gov.ph/GEPSNONPILOT/Tender/SplashBidNoticeAbstractUI.aspx?menuIndex=3&amp;refID=7057432&amp;Result=3","7057432")</f>
        <v>0</v>
      </c>
      <c r="B2493" t="s">
        <v>1019</v>
      </c>
      <c r="C2493" t="s">
        <v>5943</v>
      </c>
      <c r="D2493" t="s">
        <v>18831</v>
      </c>
      <c r="E2493" t="s">
        <v>21169</v>
      </c>
      <c r="F2493" t="s">
        <v>32664</v>
      </c>
      <c r="G2493" t="s">
        <v>32672</v>
      </c>
      <c r="H2493" t="s">
        <v>32683</v>
      </c>
      <c r="I2493" t="s">
        <v>10627</v>
      </c>
      <c r="J2493" t="s">
        <v>34555</v>
      </c>
      <c r="K2493" t="s">
        <v>42387</v>
      </c>
      <c r="M2493" t="s">
        <v>43631</v>
      </c>
      <c r="N2493" t="s">
        <v>46569</v>
      </c>
      <c r="O2493" t="s">
        <v>46570</v>
      </c>
      <c r="P2493">
        <v>0</v>
      </c>
      <c r="Q2493">
        <v>0</v>
      </c>
      <c r="R2493" t="s">
        <v>46572</v>
      </c>
      <c r="S2493" t="s">
        <v>46689</v>
      </c>
      <c r="T2493" t="s">
        <v>48220</v>
      </c>
      <c r="U2493" t="s">
        <v>50845</v>
      </c>
      <c r="W2493" t="s">
        <v>43631</v>
      </c>
      <c r="X2493" t="s">
        <v>46577</v>
      </c>
    </row>
    <row r="2494" spans="1:24">
      <c r="A2494">
        <f>HYPERLINK("https://www.philgeps.gov.ph/GEPSNONPILOT/Tender/SplashBidNoticeAbstractUI.aspx?menuIndex=3&amp;refID=7057161&amp;Result=3","7057161")</f>
        <v>0</v>
      </c>
      <c r="B2494" t="s">
        <v>1020</v>
      </c>
      <c r="C2494" t="s">
        <v>5944</v>
      </c>
      <c r="D2494" t="s">
        <v>18784</v>
      </c>
      <c r="E2494" t="s">
        <v>21170</v>
      </c>
      <c r="F2494" t="s">
        <v>32664</v>
      </c>
      <c r="G2494" t="s">
        <v>32671</v>
      </c>
      <c r="H2494" t="s">
        <v>12635</v>
      </c>
      <c r="I2494" t="s">
        <v>32701</v>
      </c>
      <c r="J2494" t="s">
        <v>33338</v>
      </c>
      <c r="K2494" t="s">
        <v>42281</v>
      </c>
      <c r="M2494" t="s">
        <v>43632</v>
      </c>
      <c r="N2494" t="s">
        <v>46569</v>
      </c>
      <c r="O2494" t="s">
        <v>46570</v>
      </c>
      <c r="P2494">
        <v>0</v>
      </c>
      <c r="Q2494">
        <v>1</v>
      </c>
      <c r="R2494" t="s">
        <v>46572</v>
      </c>
      <c r="S2494" t="s">
        <v>46689</v>
      </c>
      <c r="T2494" t="s">
        <v>48451</v>
      </c>
      <c r="U2494" t="s">
        <v>50846</v>
      </c>
      <c r="W2494" t="s">
        <v>43632</v>
      </c>
      <c r="X2494" t="s">
        <v>46577</v>
      </c>
    </row>
    <row r="2495" spans="1:24">
      <c r="A2495">
        <f>HYPERLINK("https://www.philgeps.gov.ph/GEPSNONPILOT/Tender/SplashBidNoticeAbstractUI.aspx?menuIndex=3&amp;refID=7057118&amp;Result=3","7057118")</f>
        <v>0</v>
      </c>
      <c r="B2495" t="s">
        <v>1011</v>
      </c>
      <c r="C2495" t="s">
        <v>5945</v>
      </c>
      <c r="D2495" t="s">
        <v>18818</v>
      </c>
      <c r="E2495" t="s">
        <v>21171</v>
      </c>
      <c r="F2495" t="s">
        <v>32664</v>
      </c>
      <c r="G2495" t="s">
        <v>32672</v>
      </c>
      <c r="H2495" t="s">
        <v>12635</v>
      </c>
      <c r="I2495" t="s">
        <v>32698</v>
      </c>
      <c r="J2495" t="s">
        <v>33032</v>
      </c>
      <c r="K2495" t="s">
        <v>42289</v>
      </c>
      <c r="M2495" t="s">
        <v>43623</v>
      </c>
      <c r="N2495" t="s">
        <v>46569</v>
      </c>
      <c r="O2495" t="s">
        <v>46570</v>
      </c>
      <c r="P2495">
        <v>0</v>
      </c>
      <c r="Q2495">
        <v>1</v>
      </c>
      <c r="R2495" t="s">
        <v>46572</v>
      </c>
      <c r="S2495" t="s">
        <v>46689</v>
      </c>
      <c r="T2495" t="s">
        <v>48349</v>
      </c>
      <c r="U2495" t="s">
        <v>50847</v>
      </c>
      <c r="W2495" t="s">
        <v>43623</v>
      </c>
      <c r="X2495" t="s">
        <v>46577</v>
      </c>
    </row>
    <row r="2496" spans="1:24">
      <c r="A2496">
        <f>HYPERLINK("https://www.philgeps.gov.ph/GEPSNONPILOT/Tender/SplashBidNoticeAbstractUI.aspx?menuIndex=3&amp;refID=7049649&amp;Result=3","7049649")</f>
        <v>0</v>
      </c>
      <c r="B2496" t="s">
        <v>1021</v>
      </c>
      <c r="C2496" t="s">
        <v>5946</v>
      </c>
      <c r="D2496" t="s">
        <v>18822</v>
      </c>
      <c r="E2496" t="s">
        <v>21172</v>
      </c>
      <c r="F2496" t="s">
        <v>32664</v>
      </c>
      <c r="G2496" t="s">
        <v>32672</v>
      </c>
      <c r="H2496" t="s">
        <v>12635</v>
      </c>
      <c r="I2496" t="s">
        <v>4439</v>
      </c>
      <c r="J2496" t="s">
        <v>34556</v>
      </c>
      <c r="K2496" t="s">
        <v>42297</v>
      </c>
      <c r="M2496" t="s">
        <v>43633</v>
      </c>
      <c r="N2496" t="s">
        <v>46569</v>
      </c>
      <c r="O2496" t="s">
        <v>46570</v>
      </c>
      <c r="P2496">
        <v>0</v>
      </c>
      <c r="Q2496">
        <v>1</v>
      </c>
      <c r="R2496" t="s">
        <v>46572</v>
      </c>
      <c r="S2496" t="s">
        <v>46689</v>
      </c>
      <c r="T2496" t="s">
        <v>48276</v>
      </c>
      <c r="U2496" t="s">
        <v>50848</v>
      </c>
      <c r="W2496" t="s">
        <v>43633</v>
      </c>
      <c r="X2496" t="s">
        <v>46580</v>
      </c>
    </row>
    <row r="2497" spans="1:24">
      <c r="A2497">
        <f>HYPERLINK("https://www.philgeps.gov.ph/GEPSNONPILOT/Tender/SplashBidNoticeAbstractUI.aspx?menuIndex=3&amp;refID=7047893&amp;Result=3","7047893")</f>
        <v>0</v>
      </c>
      <c r="B2497" t="s">
        <v>1022</v>
      </c>
      <c r="C2497" t="s">
        <v>5947</v>
      </c>
      <c r="D2497" t="s">
        <v>18799</v>
      </c>
      <c r="E2497" t="s">
        <v>19259</v>
      </c>
      <c r="F2497" t="s">
        <v>32664</v>
      </c>
      <c r="G2497" t="s">
        <v>32672</v>
      </c>
      <c r="H2497" t="s">
        <v>32683</v>
      </c>
      <c r="I2497" t="s">
        <v>10627</v>
      </c>
      <c r="J2497" t="s">
        <v>33008</v>
      </c>
      <c r="K2497" t="s">
        <v>42281</v>
      </c>
      <c r="M2497" t="s">
        <v>43634</v>
      </c>
      <c r="N2497" t="s">
        <v>46569</v>
      </c>
      <c r="O2497" t="s">
        <v>46570</v>
      </c>
      <c r="P2497">
        <v>0</v>
      </c>
      <c r="Q2497">
        <v>0</v>
      </c>
      <c r="R2497" t="s">
        <v>46572</v>
      </c>
      <c r="S2497" t="s">
        <v>46689</v>
      </c>
      <c r="T2497" t="s">
        <v>48223</v>
      </c>
      <c r="U2497" t="s">
        <v>50849</v>
      </c>
      <c r="W2497" t="s">
        <v>43634</v>
      </c>
      <c r="X2497" t="s">
        <v>46580</v>
      </c>
    </row>
    <row r="2498" spans="1:24">
      <c r="A2498">
        <f>HYPERLINK("https://www.philgeps.gov.ph/GEPSNONPILOT/Tender/SplashBidNoticeAbstractUI.aspx?menuIndex=3&amp;refID=7046988&amp;Result=3","7046988")</f>
        <v>0</v>
      </c>
      <c r="B2498" t="s">
        <v>1023</v>
      </c>
      <c r="C2498" t="s">
        <v>5948</v>
      </c>
      <c r="D2498" t="s">
        <v>18782</v>
      </c>
      <c r="E2498" t="s">
        <v>21173</v>
      </c>
      <c r="F2498" t="s">
        <v>32664</v>
      </c>
      <c r="G2498" t="s">
        <v>32672</v>
      </c>
      <c r="H2498" t="s">
        <v>12635</v>
      </c>
      <c r="I2498" t="s">
        <v>32706</v>
      </c>
      <c r="J2498" t="s">
        <v>34557</v>
      </c>
      <c r="K2498" t="s">
        <v>42283</v>
      </c>
      <c r="M2498" t="s">
        <v>43635</v>
      </c>
      <c r="N2498" t="s">
        <v>46569</v>
      </c>
      <c r="O2498" t="s">
        <v>46570</v>
      </c>
      <c r="P2498">
        <v>0</v>
      </c>
      <c r="Q2498">
        <v>0</v>
      </c>
      <c r="R2498" t="s">
        <v>46572</v>
      </c>
      <c r="S2498" t="s">
        <v>46689</v>
      </c>
      <c r="T2498" t="s">
        <v>48296</v>
      </c>
      <c r="U2498" t="s">
        <v>50850</v>
      </c>
      <c r="W2498" t="s">
        <v>43635</v>
      </c>
      <c r="X2498" t="s">
        <v>46581</v>
      </c>
    </row>
    <row r="2499" spans="1:24">
      <c r="A2499">
        <f>HYPERLINK("https://www.philgeps.gov.ph/GEPSNONPILOT/Tender/SplashBidNoticeAbstractUI.aspx?menuIndex=3&amp;refID=7057395&amp;Result=3","7057395")</f>
        <v>0</v>
      </c>
      <c r="B2499" t="s">
        <v>1009</v>
      </c>
      <c r="C2499" t="s">
        <v>5949</v>
      </c>
      <c r="D2499" t="s">
        <v>18783</v>
      </c>
      <c r="E2499" t="s">
        <v>21174</v>
      </c>
      <c r="F2499" t="s">
        <v>32664</v>
      </c>
      <c r="G2499" t="s">
        <v>32672</v>
      </c>
      <c r="H2499" t="s">
        <v>12635</v>
      </c>
      <c r="I2499" t="s">
        <v>32711</v>
      </c>
      <c r="J2499" t="s">
        <v>34558</v>
      </c>
      <c r="K2499" t="s">
        <v>42284</v>
      </c>
      <c r="M2499" t="s">
        <v>43621</v>
      </c>
      <c r="N2499" t="s">
        <v>46569</v>
      </c>
      <c r="O2499" t="s">
        <v>46570</v>
      </c>
      <c r="P2499">
        <v>0</v>
      </c>
      <c r="Q2499">
        <v>1</v>
      </c>
      <c r="R2499" t="s">
        <v>46572</v>
      </c>
      <c r="S2499" t="s">
        <v>46689</v>
      </c>
      <c r="T2499" t="s">
        <v>48279</v>
      </c>
      <c r="U2499" t="s">
        <v>50851</v>
      </c>
      <c r="V2499" t="s">
        <v>61875</v>
      </c>
      <c r="W2499" t="s">
        <v>43621</v>
      </c>
      <c r="X2499" t="s">
        <v>46577</v>
      </c>
    </row>
    <row r="2500" spans="1:24">
      <c r="A2500">
        <f>HYPERLINK("https://www.philgeps.gov.ph/GEPSNONPILOT/Tender/SplashBidNoticeAbstractUI.aspx?menuIndex=3&amp;refID=7055996&amp;Result=3","7055996")</f>
        <v>0</v>
      </c>
      <c r="B2500" t="s">
        <v>1024</v>
      </c>
      <c r="C2500" t="s">
        <v>5950</v>
      </c>
      <c r="D2500" t="s">
        <v>18801</v>
      </c>
      <c r="E2500" t="s">
        <v>21175</v>
      </c>
      <c r="F2500" t="s">
        <v>32664</v>
      </c>
      <c r="G2500" t="s">
        <v>32672</v>
      </c>
      <c r="H2500" t="s">
        <v>12635</v>
      </c>
      <c r="I2500" t="s">
        <v>11464</v>
      </c>
      <c r="J2500" t="s">
        <v>34559</v>
      </c>
      <c r="K2500" t="s">
        <v>42281</v>
      </c>
      <c r="M2500" t="s">
        <v>43636</v>
      </c>
      <c r="N2500" t="s">
        <v>46569</v>
      </c>
      <c r="O2500" t="s">
        <v>46570</v>
      </c>
      <c r="P2500">
        <v>0</v>
      </c>
      <c r="Q2500">
        <v>3</v>
      </c>
      <c r="R2500" t="s">
        <v>46572</v>
      </c>
      <c r="S2500" t="s">
        <v>46689</v>
      </c>
      <c r="T2500" t="s">
        <v>48274</v>
      </c>
      <c r="U2500" t="s">
        <v>50852</v>
      </c>
      <c r="W2500" t="s">
        <v>43636</v>
      </c>
      <c r="X2500" t="s">
        <v>46577</v>
      </c>
    </row>
    <row r="2501" spans="1:24">
      <c r="A2501">
        <f>HYPERLINK("https://www.philgeps.gov.ph/GEPSNONPILOT/Tender/SplashBidNoticeAbstractUI.aspx?menuIndex=3&amp;refID=7045733&amp;Result=3","7045733")</f>
        <v>0</v>
      </c>
      <c r="B2501" t="s">
        <v>1025</v>
      </c>
      <c r="C2501" t="s">
        <v>3566</v>
      </c>
      <c r="E2501" t="s">
        <v>21176</v>
      </c>
      <c r="F2501" t="s">
        <v>32664</v>
      </c>
      <c r="G2501" t="s">
        <v>32672</v>
      </c>
      <c r="H2501" t="s">
        <v>32683</v>
      </c>
      <c r="I2501" t="s">
        <v>10627</v>
      </c>
      <c r="J2501" t="s">
        <v>34560</v>
      </c>
      <c r="K2501" t="s">
        <v>42284</v>
      </c>
      <c r="M2501" t="s">
        <v>43637</v>
      </c>
      <c r="N2501" t="s">
        <v>46569</v>
      </c>
      <c r="O2501" t="s">
        <v>46570</v>
      </c>
      <c r="P2501">
        <v>0</v>
      </c>
      <c r="Q2501">
        <v>0</v>
      </c>
      <c r="R2501" t="s">
        <v>46572</v>
      </c>
      <c r="S2501" t="s">
        <v>46689</v>
      </c>
      <c r="T2501" t="s">
        <v>48373</v>
      </c>
      <c r="U2501" t="s">
        <v>50853</v>
      </c>
      <c r="W2501" t="s">
        <v>43637</v>
      </c>
      <c r="X2501" t="s">
        <v>46581</v>
      </c>
    </row>
    <row r="2502" spans="1:24">
      <c r="A2502">
        <f>HYPERLINK("https://www.philgeps.gov.ph/GEPSNONPILOT/Tender/SplashBidNoticeAbstractUI.aspx?menuIndex=3&amp;refID=7054571&amp;Result=3","7054571")</f>
        <v>0</v>
      </c>
      <c r="B2502" t="s">
        <v>471</v>
      </c>
      <c r="C2502" t="s">
        <v>5951</v>
      </c>
      <c r="D2502" t="s">
        <v>18785</v>
      </c>
      <c r="E2502" t="s">
        <v>21177</v>
      </c>
      <c r="F2502" t="s">
        <v>32664</v>
      </c>
      <c r="G2502" t="s">
        <v>32672</v>
      </c>
      <c r="H2502" t="s">
        <v>12635</v>
      </c>
      <c r="I2502" t="s">
        <v>5589</v>
      </c>
      <c r="J2502" t="s">
        <v>33009</v>
      </c>
      <c r="K2502" t="s">
        <v>42283</v>
      </c>
      <c r="M2502" t="s">
        <v>43046</v>
      </c>
      <c r="N2502" t="s">
        <v>46569</v>
      </c>
      <c r="O2502" t="s">
        <v>46570</v>
      </c>
      <c r="P2502">
        <v>0</v>
      </c>
      <c r="Q2502">
        <v>7</v>
      </c>
      <c r="R2502" t="s">
        <v>46572</v>
      </c>
      <c r="S2502" t="s">
        <v>46689</v>
      </c>
      <c r="T2502" t="s">
        <v>48220</v>
      </c>
      <c r="U2502" t="s">
        <v>50854</v>
      </c>
      <c r="W2502" t="s">
        <v>43046</v>
      </c>
      <c r="X2502" t="s">
        <v>46578</v>
      </c>
    </row>
    <row r="2503" spans="1:24">
      <c r="A2503">
        <f>HYPERLINK("https://www.philgeps.gov.ph/GEPSNONPILOT/Tender/SplashBidNoticeAbstractUI.aspx?menuIndex=3&amp;refID=7045683&amp;Result=3","7045683")</f>
        <v>0</v>
      </c>
      <c r="B2503" t="s">
        <v>1026</v>
      </c>
      <c r="C2503" t="s">
        <v>3566</v>
      </c>
      <c r="E2503" t="s">
        <v>21178</v>
      </c>
      <c r="F2503" t="s">
        <v>32664</v>
      </c>
      <c r="G2503" t="s">
        <v>32672</v>
      </c>
      <c r="H2503" t="s">
        <v>32683</v>
      </c>
      <c r="I2503" t="s">
        <v>10627</v>
      </c>
      <c r="J2503" t="s">
        <v>32917</v>
      </c>
      <c r="K2503" t="s">
        <v>42284</v>
      </c>
      <c r="M2503" t="s">
        <v>43638</v>
      </c>
      <c r="N2503" t="s">
        <v>46569</v>
      </c>
      <c r="O2503" t="s">
        <v>46570</v>
      </c>
      <c r="P2503">
        <v>0</v>
      </c>
      <c r="Q2503">
        <v>0</v>
      </c>
      <c r="R2503" t="s">
        <v>46572</v>
      </c>
      <c r="S2503" t="s">
        <v>46689</v>
      </c>
      <c r="T2503" t="s">
        <v>48373</v>
      </c>
      <c r="U2503" t="s">
        <v>50855</v>
      </c>
      <c r="W2503" t="s">
        <v>43638</v>
      </c>
      <c r="X2503" t="s">
        <v>46581</v>
      </c>
    </row>
    <row r="2504" spans="1:24">
      <c r="A2504">
        <f>HYPERLINK("https://www.philgeps.gov.ph/GEPSNONPILOT/Tender/SplashBidNoticeAbstractUI.aspx?menuIndex=3&amp;refID=7043686&amp;Result=3","7043686")</f>
        <v>0</v>
      </c>
      <c r="B2504" t="s">
        <v>809</v>
      </c>
      <c r="C2504" t="s">
        <v>5952</v>
      </c>
      <c r="D2504" t="s">
        <v>18834</v>
      </c>
      <c r="E2504" t="s">
        <v>21179</v>
      </c>
      <c r="F2504" t="s">
        <v>32664</v>
      </c>
      <c r="G2504" t="s">
        <v>32672</v>
      </c>
      <c r="H2504" t="s">
        <v>12635</v>
      </c>
      <c r="I2504" t="s">
        <v>10627</v>
      </c>
      <c r="J2504" t="s">
        <v>32837</v>
      </c>
      <c r="K2504" t="s">
        <v>42298</v>
      </c>
      <c r="M2504" t="s">
        <v>43402</v>
      </c>
      <c r="N2504" t="s">
        <v>46569</v>
      </c>
      <c r="O2504" t="s">
        <v>46570</v>
      </c>
      <c r="P2504">
        <v>0</v>
      </c>
      <c r="Q2504">
        <v>0</v>
      </c>
      <c r="R2504" t="s">
        <v>46572</v>
      </c>
      <c r="S2504" t="s">
        <v>46689</v>
      </c>
      <c r="T2504" t="s">
        <v>48312</v>
      </c>
      <c r="U2504" t="s">
        <v>50856</v>
      </c>
      <c r="W2504" t="s">
        <v>43402</v>
      </c>
      <c r="X2504" t="s">
        <v>46584</v>
      </c>
    </row>
    <row r="2505" spans="1:24">
      <c r="A2505">
        <f>HYPERLINK("https://www.philgeps.gov.ph/GEPSNONPILOT/Tender/SplashBidNoticeAbstractUI.aspx?menuIndex=3&amp;refID=7059146&amp;Result=3","7059146")</f>
        <v>0</v>
      </c>
      <c r="B2505" t="s">
        <v>354</v>
      </c>
      <c r="C2505" t="s">
        <v>5953</v>
      </c>
      <c r="D2505" t="s">
        <v>18850</v>
      </c>
      <c r="E2505" t="s">
        <v>21180</v>
      </c>
      <c r="F2505" t="s">
        <v>32664</v>
      </c>
      <c r="G2505" t="s">
        <v>32672</v>
      </c>
      <c r="H2505" t="s">
        <v>12635</v>
      </c>
      <c r="I2505" t="s">
        <v>4439</v>
      </c>
      <c r="J2505" t="s">
        <v>34561</v>
      </c>
      <c r="K2505" t="s">
        <v>42311</v>
      </c>
      <c r="M2505" t="s">
        <v>42923</v>
      </c>
      <c r="N2505" t="s">
        <v>46569</v>
      </c>
      <c r="O2505" t="s">
        <v>46570</v>
      </c>
      <c r="P2505">
        <v>0</v>
      </c>
      <c r="Q2505">
        <v>0</v>
      </c>
      <c r="R2505" t="s">
        <v>46572</v>
      </c>
      <c r="S2505" t="s">
        <v>46689</v>
      </c>
      <c r="T2505" t="s">
        <v>48304</v>
      </c>
      <c r="U2505" t="s">
        <v>50857</v>
      </c>
      <c r="W2505" t="s">
        <v>42923</v>
      </c>
      <c r="X2505" t="s">
        <v>46574</v>
      </c>
    </row>
    <row r="2506" spans="1:24">
      <c r="A2506">
        <f>HYPERLINK("https://www.philgeps.gov.ph/GEPSNONPILOT/Tender/SplashBidNoticeAbstractUI.aspx?menuIndex=3&amp;refID=7057162&amp;Result=3","7057162")</f>
        <v>0</v>
      </c>
      <c r="B2506" t="s">
        <v>1009</v>
      </c>
      <c r="C2506" t="s">
        <v>5954</v>
      </c>
      <c r="D2506" t="s">
        <v>18783</v>
      </c>
      <c r="E2506" t="s">
        <v>21181</v>
      </c>
      <c r="F2506" t="s">
        <v>32664</v>
      </c>
      <c r="G2506" t="s">
        <v>32671</v>
      </c>
      <c r="H2506" t="s">
        <v>12635</v>
      </c>
      <c r="I2506" t="s">
        <v>8797</v>
      </c>
      <c r="J2506" t="s">
        <v>34562</v>
      </c>
      <c r="K2506" t="s">
        <v>42284</v>
      </c>
      <c r="M2506" t="s">
        <v>43621</v>
      </c>
      <c r="N2506" t="s">
        <v>46569</v>
      </c>
      <c r="O2506" t="s">
        <v>46570</v>
      </c>
      <c r="P2506">
        <v>0</v>
      </c>
      <c r="Q2506">
        <v>2</v>
      </c>
      <c r="R2506" t="s">
        <v>46572</v>
      </c>
      <c r="S2506" t="s">
        <v>46689</v>
      </c>
      <c r="T2506" t="s">
        <v>48279</v>
      </c>
      <c r="U2506" t="s">
        <v>50858</v>
      </c>
      <c r="W2506" t="s">
        <v>43621</v>
      </c>
      <c r="X2506" t="s">
        <v>46577</v>
      </c>
    </row>
    <row r="2507" spans="1:24">
      <c r="A2507">
        <f>HYPERLINK("https://www.philgeps.gov.ph/GEPSNONPILOT/Tender/SplashBidNoticeAbstractUI.aspx?menuIndex=3&amp;refID=7059133&amp;Result=3","7059133")</f>
        <v>0</v>
      </c>
      <c r="B2507" t="s">
        <v>1027</v>
      </c>
      <c r="C2507" t="s">
        <v>5955</v>
      </c>
      <c r="D2507" t="s">
        <v>18790</v>
      </c>
      <c r="E2507" t="s">
        <v>21182</v>
      </c>
      <c r="F2507" t="s">
        <v>32664</v>
      </c>
      <c r="G2507" t="s">
        <v>32672</v>
      </c>
      <c r="H2507" t="s">
        <v>12635</v>
      </c>
      <c r="I2507" t="s">
        <v>4439</v>
      </c>
      <c r="J2507" t="s">
        <v>34563</v>
      </c>
      <c r="K2507" t="s">
        <v>42283</v>
      </c>
      <c r="M2507" t="s">
        <v>43639</v>
      </c>
      <c r="N2507" t="s">
        <v>46569</v>
      </c>
      <c r="O2507" t="s">
        <v>46570</v>
      </c>
      <c r="P2507">
        <v>0</v>
      </c>
      <c r="Q2507">
        <v>0</v>
      </c>
      <c r="R2507" t="s">
        <v>46572</v>
      </c>
      <c r="S2507" t="s">
        <v>46689</v>
      </c>
      <c r="T2507" t="s">
        <v>48452</v>
      </c>
      <c r="U2507" t="s">
        <v>50859</v>
      </c>
      <c r="W2507" t="s">
        <v>43639</v>
      </c>
      <c r="X2507" t="s">
        <v>46574</v>
      </c>
    </row>
    <row r="2508" spans="1:24">
      <c r="A2508">
        <f>HYPERLINK("https://www.philgeps.gov.ph/GEPSNONPILOT/Tender/SplashBidNoticeAbstractUI.aspx?menuIndex=3&amp;refID=7059138&amp;Result=3","7059138")</f>
        <v>0</v>
      </c>
      <c r="B2508" t="s">
        <v>1028</v>
      </c>
      <c r="C2508" t="s">
        <v>5956</v>
      </c>
      <c r="D2508" t="s">
        <v>18805</v>
      </c>
      <c r="E2508" t="s">
        <v>21183</v>
      </c>
      <c r="F2508" t="s">
        <v>32664</v>
      </c>
      <c r="G2508" t="s">
        <v>32671</v>
      </c>
      <c r="H2508" t="s">
        <v>12635</v>
      </c>
      <c r="I2508" t="s">
        <v>10361</v>
      </c>
      <c r="J2508" t="s">
        <v>34564</v>
      </c>
      <c r="K2508" t="s">
        <v>42303</v>
      </c>
      <c r="M2508" t="s">
        <v>43640</v>
      </c>
      <c r="N2508" t="s">
        <v>46569</v>
      </c>
      <c r="O2508" t="s">
        <v>46570</v>
      </c>
      <c r="P2508">
        <v>0</v>
      </c>
      <c r="Q2508">
        <v>0</v>
      </c>
      <c r="R2508" t="s">
        <v>46572</v>
      </c>
      <c r="S2508" t="s">
        <v>46689</v>
      </c>
      <c r="T2508" t="s">
        <v>48330</v>
      </c>
      <c r="U2508" t="s">
        <v>50860</v>
      </c>
      <c r="W2508" t="s">
        <v>63503</v>
      </c>
      <c r="X2508" t="s">
        <v>46574</v>
      </c>
    </row>
    <row r="2509" spans="1:24">
      <c r="A2509">
        <f>HYPERLINK("https://www.philgeps.gov.ph/GEPSNONPILOT/Tender/SplashBidNoticeAbstractUI.aspx?menuIndex=3&amp;refID=7059109&amp;Result=3","7059109")</f>
        <v>0</v>
      </c>
      <c r="B2509" t="s">
        <v>1027</v>
      </c>
      <c r="C2509" t="s">
        <v>5957</v>
      </c>
      <c r="D2509" t="s">
        <v>18790</v>
      </c>
      <c r="E2509" t="s">
        <v>21184</v>
      </c>
      <c r="F2509" t="s">
        <v>32664</v>
      </c>
      <c r="G2509" t="s">
        <v>32672</v>
      </c>
      <c r="H2509" t="s">
        <v>12635</v>
      </c>
      <c r="I2509" t="s">
        <v>4439</v>
      </c>
      <c r="J2509" t="s">
        <v>34565</v>
      </c>
      <c r="K2509" t="s">
        <v>42283</v>
      </c>
      <c r="M2509" t="s">
        <v>43639</v>
      </c>
      <c r="N2509" t="s">
        <v>46569</v>
      </c>
      <c r="O2509" t="s">
        <v>46570</v>
      </c>
      <c r="P2509">
        <v>0</v>
      </c>
      <c r="Q2509">
        <v>0</v>
      </c>
      <c r="R2509" t="s">
        <v>46572</v>
      </c>
      <c r="S2509" t="s">
        <v>46689</v>
      </c>
      <c r="T2509" t="s">
        <v>48452</v>
      </c>
      <c r="U2509" t="s">
        <v>50861</v>
      </c>
      <c r="W2509" t="s">
        <v>43639</v>
      </c>
      <c r="X2509" t="s">
        <v>46574</v>
      </c>
    </row>
    <row r="2510" spans="1:24">
      <c r="A2510">
        <f>HYPERLINK("https://www.philgeps.gov.ph/GEPSNONPILOT/Tender/SplashBidNoticeAbstractUI.aspx?menuIndex=3&amp;refID=7057148&amp;Result=3","7057148")</f>
        <v>0</v>
      </c>
      <c r="B2510" t="s">
        <v>1009</v>
      </c>
      <c r="C2510" t="s">
        <v>5958</v>
      </c>
      <c r="D2510" t="s">
        <v>18783</v>
      </c>
      <c r="E2510" t="s">
        <v>21185</v>
      </c>
      <c r="F2510" t="s">
        <v>32664</v>
      </c>
      <c r="G2510" t="s">
        <v>32671</v>
      </c>
      <c r="H2510" t="s">
        <v>12635</v>
      </c>
      <c r="I2510" t="s">
        <v>8797</v>
      </c>
      <c r="J2510" t="s">
        <v>34566</v>
      </c>
      <c r="K2510" t="s">
        <v>42284</v>
      </c>
      <c r="M2510" t="s">
        <v>43621</v>
      </c>
      <c r="N2510" t="s">
        <v>46569</v>
      </c>
      <c r="O2510" t="s">
        <v>46570</v>
      </c>
      <c r="P2510">
        <v>0</v>
      </c>
      <c r="Q2510">
        <v>6</v>
      </c>
      <c r="R2510" t="s">
        <v>46572</v>
      </c>
      <c r="S2510" t="s">
        <v>46689</v>
      </c>
      <c r="T2510" t="s">
        <v>48279</v>
      </c>
      <c r="U2510" t="s">
        <v>50858</v>
      </c>
      <c r="W2510" t="s">
        <v>43621</v>
      </c>
      <c r="X2510" t="s">
        <v>46577</v>
      </c>
    </row>
    <row r="2511" spans="1:24">
      <c r="A2511">
        <f>HYPERLINK("https://www.philgeps.gov.ph/GEPSNONPILOT/Tender/SplashBidNoticeAbstractUI.aspx?menuIndex=3&amp;refID=7045648&amp;Result=3","7045648")</f>
        <v>0</v>
      </c>
      <c r="B2511" t="s">
        <v>1026</v>
      </c>
      <c r="C2511" t="s">
        <v>3566</v>
      </c>
      <c r="E2511" t="s">
        <v>21186</v>
      </c>
      <c r="F2511" t="s">
        <v>32664</v>
      </c>
      <c r="G2511" t="s">
        <v>32672</v>
      </c>
      <c r="H2511" t="s">
        <v>32683</v>
      </c>
      <c r="I2511" t="s">
        <v>10627</v>
      </c>
      <c r="J2511" t="s">
        <v>33706</v>
      </c>
      <c r="K2511" t="s">
        <v>42294</v>
      </c>
      <c r="M2511" t="s">
        <v>43638</v>
      </c>
      <c r="N2511" t="s">
        <v>46569</v>
      </c>
      <c r="O2511" t="s">
        <v>46570</v>
      </c>
      <c r="P2511">
        <v>0</v>
      </c>
      <c r="Q2511">
        <v>0</v>
      </c>
      <c r="R2511" t="s">
        <v>46572</v>
      </c>
      <c r="S2511" t="s">
        <v>46689</v>
      </c>
      <c r="T2511" t="s">
        <v>48373</v>
      </c>
      <c r="U2511" t="s">
        <v>50862</v>
      </c>
      <c r="W2511" t="s">
        <v>43638</v>
      </c>
      <c r="X2511" t="s">
        <v>46581</v>
      </c>
    </row>
    <row r="2512" spans="1:24">
      <c r="A2512">
        <f>HYPERLINK("https://www.philgeps.gov.ph/GEPSNONPILOT/Tender/SplashBidNoticeAbstractUI.aspx?menuIndex=3&amp;refID=7059072&amp;Result=3","7059072")</f>
        <v>0</v>
      </c>
      <c r="B2512" t="s">
        <v>354</v>
      </c>
      <c r="C2512" t="s">
        <v>5959</v>
      </c>
      <c r="D2512" t="s">
        <v>18850</v>
      </c>
      <c r="E2512" t="s">
        <v>21187</v>
      </c>
      <c r="F2512" t="s">
        <v>32664</v>
      </c>
      <c r="G2512" t="s">
        <v>32672</v>
      </c>
      <c r="H2512" t="s">
        <v>12635</v>
      </c>
      <c r="I2512" t="s">
        <v>4439</v>
      </c>
      <c r="J2512" t="s">
        <v>34567</v>
      </c>
      <c r="K2512" t="s">
        <v>42298</v>
      </c>
      <c r="M2512" t="s">
        <v>42923</v>
      </c>
      <c r="N2512" t="s">
        <v>46569</v>
      </c>
      <c r="O2512" t="s">
        <v>46570</v>
      </c>
      <c r="P2512">
        <v>0</v>
      </c>
      <c r="Q2512">
        <v>0</v>
      </c>
      <c r="R2512" t="s">
        <v>46572</v>
      </c>
      <c r="S2512" t="s">
        <v>46689</v>
      </c>
      <c r="T2512" t="s">
        <v>48304</v>
      </c>
      <c r="U2512" t="s">
        <v>50863</v>
      </c>
      <c r="W2512" t="s">
        <v>42923</v>
      </c>
      <c r="X2512" t="s">
        <v>46574</v>
      </c>
    </row>
    <row r="2513" spans="1:24">
      <c r="A2513">
        <f>HYPERLINK("https://www.philgeps.gov.ph/GEPSNONPILOT/Tender/SplashBidNoticeAbstractUI.aspx?menuIndex=3&amp;refID=7059119&amp;Result=3","7059119")</f>
        <v>0</v>
      </c>
      <c r="B2513" t="s">
        <v>1028</v>
      </c>
      <c r="C2513" t="s">
        <v>5960</v>
      </c>
      <c r="D2513" t="s">
        <v>18805</v>
      </c>
      <c r="E2513" t="s">
        <v>21188</v>
      </c>
      <c r="F2513" t="s">
        <v>32664</v>
      </c>
      <c r="G2513" t="s">
        <v>32671</v>
      </c>
      <c r="H2513" t="s">
        <v>12635</v>
      </c>
      <c r="I2513" t="s">
        <v>10361</v>
      </c>
      <c r="J2513" t="s">
        <v>33121</v>
      </c>
      <c r="K2513" t="s">
        <v>42303</v>
      </c>
      <c r="M2513" t="s">
        <v>43640</v>
      </c>
      <c r="N2513" t="s">
        <v>46569</v>
      </c>
      <c r="O2513" t="s">
        <v>46570</v>
      </c>
      <c r="P2513">
        <v>0</v>
      </c>
      <c r="Q2513">
        <v>0</v>
      </c>
      <c r="R2513" t="s">
        <v>46572</v>
      </c>
      <c r="S2513" t="s">
        <v>46689</v>
      </c>
      <c r="T2513" t="s">
        <v>48330</v>
      </c>
      <c r="U2513" t="s">
        <v>50860</v>
      </c>
      <c r="W2513" t="s">
        <v>63503</v>
      </c>
      <c r="X2513" t="s">
        <v>46574</v>
      </c>
    </row>
    <row r="2514" spans="1:24">
      <c r="A2514">
        <f>HYPERLINK("https://www.philgeps.gov.ph/GEPSNONPILOT/Tender/SplashBidNoticeAbstractUI.aspx?menuIndex=3&amp;refID=7059063&amp;Result=3","7059063")</f>
        <v>0</v>
      </c>
      <c r="B2514" t="s">
        <v>1027</v>
      </c>
      <c r="C2514" t="s">
        <v>5961</v>
      </c>
      <c r="D2514" t="s">
        <v>18790</v>
      </c>
      <c r="E2514" t="s">
        <v>21189</v>
      </c>
      <c r="F2514" t="s">
        <v>32664</v>
      </c>
      <c r="G2514" t="s">
        <v>32672</v>
      </c>
      <c r="H2514" t="s">
        <v>12635</v>
      </c>
      <c r="I2514" t="s">
        <v>4439</v>
      </c>
      <c r="J2514" t="s">
        <v>33332</v>
      </c>
      <c r="K2514" t="s">
        <v>42283</v>
      </c>
      <c r="M2514" t="s">
        <v>43639</v>
      </c>
      <c r="N2514" t="s">
        <v>46569</v>
      </c>
      <c r="O2514" t="s">
        <v>46570</v>
      </c>
      <c r="P2514">
        <v>0</v>
      </c>
      <c r="Q2514">
        <v>0</v>
      </c>
      <c r="R2514" t="s">
        <v>46572</v>
      </c>
      <c r="S2514" t="s">
        <v>46689</v>
      </c>
      <c r="T2514" t="s">
        <v>48452</v>
      </c>
      <c r="U2514" t="s">
        <v>50864</v>
      </c>
      <c r="W2514" t="s">
        <v>43639</v>
      </c>
      <c r="X2514" t="s">
        <v>46574</v>
      </c>
    </row>
    <row r="2515" spans="1:24">
      <c r="A2515">
        <f>HYPERLINK("https://www.philgeps.gov.ph/GEPSNONPILOT/Tender/SplashBidNoticeAbstractUI.aspx?menuIndex=3&amp;refID=7059113&amp;Result=3","7059113")</f>
        <v>0</v>
      </c>
      <c r="B2515" t="s">
        <v>460</v>
      </c>
      <c r="C2515" t="s">
        <v>5962</v>
      </c>
      <c r="D2515" t="s">
        <v>18806</v>
      </c>
      <c r="E2515" t="s">
        <v>21190</v>
      </c>
      <c r="F2515" t="s">
        <v>32664</v>
      </c>
      <c r="G2515" t="s">
        <v>32672</v>
      </c>
      <c r="H2515" t="s">
        <v>12635</v>
      </c>
      <c r="I2515" t="s">
        <v>8797</v>
      </c>
      <c r="J2515" t="s">
        <v>33299</v>
      </c>
      <c r="K2515" t="s">
        <v>42330</v>
      </c>
      <c r="M2515" t="s">
        <v>43641</v>
      </c>
      <c r="N2515" t="s">
        <v>46569</v>
      </c>
      <c r="O2515" t="s">
        <v>46570</v>
      </c>
      <c r="P2515">
        <v>0</v>
      </c>
      <c r="Q2515">
        <v>0</v>
      </c>
      <c r="R2515" t="s">
        <v>46572</v>
      </c>
      <c r="S2515" t="s">
        <v>46689</v>
      </c>
      <c r="T2515" t="s">
        <v>48321</v>
      </c>
      <c r="U2515" t="s">
        <v>50865</v>
      </c>
      <c r="V2515" t="s">
        <v>61876</v>
      </c>
      <c r="W2515" t="s">
        <v>43641</v>
      </c>
      <c r="X2515" t="s">
        <v>46574</v>
      </c>
    </row>
    <row r="2516" spans="1:24">
      <c r="A2516">
        <f>HYPERLINK("https://www.philgeps.gov.ph/GEPSNONPILOT/Tender/SplashBidNoticeAbstractUI.aspx?menuIndex=3&amp;refID=7059062&amp;Result=3","7059062")</f>
        <v>0</v>
      </c>
      <c r="B2516" t="s">
        <v>1029</v>
      </c>
      <c r="C2516" t="s">
        <v>5963</v>
      </c>
      <c r="D2516" t="s">
        <v>18816</v>
      </c>
      <c r="E2516" t="s">
        <v>21191</v>
      </c>
      <c r="F2516" t="s">
        <v>32664</v>
      </c>
      <c r="G2516" t="s">
        <v>32674</v>
      </c>
      <c r="H2516" t="s">
        <v>12635</v>
      </c>
      <c r="I2516" t="s">
        <v>6223</v>
      </c>
      <c r="J2516" t="s">
        <v>33813</v>
      </c>
      <c r="K2516" t="s">
        <v>42306</v>
      </c>
      <c r="M2516" t="s">
        <v>43642</v>
      </c>
      <c r="N2516" t="s">
        <v>46569</v>
      </c>
      <c r="O2516" t="s">
        <v>46570</v>
      </c>
      <c r="P2516">
        <v>0</v>
      </c>
      <c r="Q2516">
        <v>2</v>
      </c>
      <c r="R2516" t="s">
        <v>46572</v>
      </c>
      <c r="S2516" t="s">
        <v>46689</v>
      </c>
      <c r="T2516" t="s">
        <v>48316</v>
      </c>
      <c r="U2516" t="s">
        <v>50866</v>
      </c>
      <c r="W2516" t="s">
        <v>43642</v>
      </c>
      <c r="X2516" t="s">
        <v>46574</v>
      </c>
    </row>
    <row r="2517" spans="1:24">
      <c r="A2517">
        <f>HYPERLINK("https://www.philgeps.gov.ph/GEPSNONPILOT/Tender/SplashBidNoticeAbstractUI.aspx?menuIndex=3&amp;refID=7059090&amp;Result=3","7059090")</f>
        <v>0</v>
      </c>
      <c r="B2517" t="s">
        <v>1030</v>
      </c>
      <c r="C2517" t="s">
        <v>5964</v>
      </c>
      <c r="E2517" t="s">
        <v>21192</v>
      </c>
      <c r="F2517" t="s">
        <v>32664</v>
      </c>
      <c r="G2517" t="s">
        <v>32672</v>
      </c>
      <c r="H2517" t="s">
        <v>12635</v>
      </c>
      <c r="I2517" t="s">
        <v>32686</v>
      </c>
      <c r="J2517" t="s">
        <v>34568</v>
      </c>
      <c r="K2517" t="s">
        <v>42311</v>
      </c>
      <c r="M2517" t="s">
        <v>43643</v>
      </c>
      <c r="N2517" t="s">
        <v>46569</v>
      </c>
      <c r="O2517" t="s">
        <v>46570</v>
      </c>
      <c r="Q2517">
        <v>3</v>
      </c>
      <c r="R2517" t="s">
        <v>46572</v>
      </c>
      <c r="S2517" t="s">
        <v>46690</v>
      </c>
      <c r="T2517" t="s">
        <v>48220</v>
      </c>
      <c r="U2517" t="s">
        <v>50867</v>
      </c>
      <c r="V2517" t="s">
        <v>50867</v>
      </c>
      <c r="W2517" t="s">
        <v>43643</v>
      </c>
      <c r="X2517" t="s">
        <v>46574</v>
      </c>
    </row>
    <row r="2518" spans="1:24">
      <c r="A2518">
        <f>HYPERLINK("https://www.philgeps.gov.ph/GEPSNONPILOT/Tender/SplashBidNoticeAbstractUI.aspx?menuIndex=3&amp;refID=7057183&amp;Result=3","7057183")</f>
        <v>0</v>
      </c>
      <c r="B2518" t="s">
        <v>1009</v>
      </c>
      <c r="C2518" t="s">
        <v>5965</v>
      </c>
      <c r="D2518" t="s">
        <v>18783</v>
      </c>
      <c r="E2518" t="s">
        <v>21193</v>
      </c>
      <c r="F2518" t="s">
        <v>32664</v>
      </c>
      <c r="G2518" t="s">
        <v>32671</v>
      </c>
      <c r="H2518" t="s">
        <v>12635</v>
      </c>
      <c r="I2518" t="s">
        <v>6223</v>
      </c>
      <c r="J2518" t="s">
        <v>34569</v>
      </c>
      <c r="K2518" t="s">
        <v>42284</v>
      </c>
      <c r="M2518" t="s">
        <v>43621</v>
      </c>
      <c r="N2518" t="s">
        <v>46569</v>
      </c>
      <c r="O2518" t="s">
        <v>46570</v>
      </c>
      <c r="P2518">
        <v>0</v>
      </c>
      <c r="Q2518">
        <v>0</v>
      </c>
      <c r="R2518" t="s">
        <v>46572</v>
      </c>
      <c r="S2518" t="s">
        <v>46689</v>
      </c>
      <c r="T2518" t="s">
        <v>48279</v>
      </c>
      <c r="U2518" t="s">
        <v>50868</v>
      </c>
      <c r="W2518" t="s">
        <v>43621</v>
      </c>
      <c r="X2518" t="s">
        <v>46577</v>
      </c>
    </row>
    <row r="2519" spans="1:24">
      <c r="A2519">
        <f>HYPERLINK("https://www.philgeps.gov.ph/GEPSNONPILOT/Tender/SplashBidNoticeAbstractUI.aspx?menuIndex=3&amp;refID=7059068&amp;Result=3","7059068")</f>
        <v>0</v>
      </c>
      <c r="B2519" t="s">
        <v>460</v>
      </c>
      <c r="C2519" t="s">
        <v>5966</v>
      </c>
      <c r="D2519" t="s">
        <v>18806</v>
      </c>
      <c r="E2519" t="s">
        <v>21194</v>
      </c>
      <c r="F2519" t="s">
        <v>32664</v>
      </c>
      <c r="G2519" t="s">
        <v>32672</v>
      </c>
      <c r="H2519" t="s">
        <v>12635</v>
      </c>
      <c r="I2519" t="s">
        <v>32704</v>
      </c>
      <c r="J2519" t="s">
        <v>33069</v>
      </c>
      <c r="K2519" t="s">
        <v>42330</v>
      </c>
      <c r="M2519" t="s">
        <v>43641</v>
      </c>
      <c r="N2519" t="s">
        <v>46569</v>
      </c>
      <c r="O2519" t="s">
        <v>46570</v>
      </c>
      <c r="P2519">
        <v>0</v>
      </c>
      <c r="Q2519">
        <v>3</v>
      </c>
      <c r="R2519" t="s">
        <v>46572</v>
      </c>
      <c r="S2519" t="s">
        <v>46689</v>
      </c>
      <c r="T2519" t="s">
        <v>48321</v>
      </c>
      <c r="U2519" t="s">
        <v>50869</v>
      </c>
      <c r="V2519" t="s">
        <v>61876</v>
      </c>
      <c r="W2519" t="s">
        <v>43641</v>
      </c>
      <c r="X2519" t="s">
        <v>46574</v>
      </c>
    </row>
    <row r="2520" spans="1:24">
      <c r="A2520">
        <f>HYPERLINK("https://www.philgeps.gov.ph/GEPSNONPILOT/Tender/SplashBidNoticeAbstractUI.aspx?menuIndex=3&amp;refID=7059011&amp;Result=3","7059011")</f>
        <v>0</v>
      </c>
      <c r="B2520" t="s">
        <v>354</v>
      </c>
      <c r="C2520" t="s">
        <v>5967</v>
      </c>
      <c r="D2520" t="s">
        <v>18850</v>
      </c>
      <c r="E2520" t="s">
        <v>21195</v>
      </c>
      <c r="F2520" t="s">
        <v>32664</v>
      </c>
      <c r="G2520" t="s">
        <v>32672</v>
      </c>
      <c r="H2520" t="s">
        <v>12635</v>
      </c>
      <c r="I2520" t="s">
        <v>6628</v>
      </c>
      <c r="J2520" t="s">
        <v>34570</v>
      </c>
      <c r="K2520" t="s">
        <v>42305</v>
      </c>
      <c r="M2520" t="s">
        <v>42923</v>
      </c>
      <c r="N2520" t="s">
        <v>46569</v>
      </c>
      <c r="O2520" t="s">
        <v>46570</v>
      </c>
      <c r="P2520">
        <v>0</v>
      </c>
      <c r="Q2520">
        <v>0</v>
      </c>
      <c r="R2520" t="s">
        <v>46572</v>
      </c>
      <c r="S2520" t="s">
        <v>46689</v>
      </c>
      <c r="T2520" t="s">
        <v>48304</v>
      </c>
      <c r="U2520" t="s">
        <v>50870</v>
      </c>
      <c r="W2520" t="s">
        <v>42923</v>
      </c>
      <c r="X2520" t="s">
        <v>46574</v>
      </c>
    </row>
    <row r="2521" spans="1:24">
      <c r="A2521">
        <f>HYPERLINK("https://www.philgeps.gov.ph/GEPSNONPILOT/Tender/SplashBidNoticeAbstractUI.aspx?menuIndex=3&amp;refID=7059332&amp;Result=3","7059332")</f>
        <v>0</v>
      </c>
      <c r="B2521" t="s">
        <v>1027</v>
      </c>
      <c r="C2521" t="s">
        <v>5968</v>
      </c>
      <c r="D2521" t="s">
        <v>18790</v>
      </c>
      <c r="E2521" t="s">
        <v>21196</v>
      </c>
      <c r="F2521" t="s">
        <v>32664</v>
      </c>
      <c r="G2521" t="s">
        <v>32672</v>
      </c>
      <c r="H2521" t="s">
        <v>12635</v>
      </c>
      <c r="I2521" t="s">
        <v>4439</v>
      </c>
      <c r="J2521" t="s">
        <v>34571</v>
      </c>
      <c r="K2521" t="s">
        <v>42283</v>
      </c>
      <c r="M2521" t="s">
        <v>43639</v>
      </c>
      <c r="N2521" t="s">
        <v>46569</v>
      </c>
      <c r="O2521" t="s">
        <v>46570</v>
      </c>
      <c r="P2521">
        <v>0</v>
      </c>
      <c r="Q2521">
        <v>0</v>
      </c>
      <c r="R2521" t="s">
        <v>46572</v>
      </c>
      <c r="S2521" t="s">
        <v>46689</v>
      </c>
      <c r="T2521" t="s">
        <v>48452</v>
      </c>
      <c r="U2521" t="s">
        <v>50871</v>
      </c>
      <c r="W2521" t="s">
        <v>43639</v>
      </c>
      <c r="X2521" t="s">
        <v>46574</v>
      </c>
    </row>
    <row r="2522" spans="1:24">
      <c r="A2522">
        <f>HYPERLINK("https://www.philgeps.gov.ph/GEPSNONPILOT/Tender/SplashBidNoticeAbstractUI.aspx?menuIndex=3&amp;refID=7059312&amp;Result=3","7059312")</f>
        <v>0</v>
      </c>
      <c r="B2522" t="s">
        <v>354</v>
      </c>
      <c r="C2522" t="s">
        <v>5969</v>
      </c>
      <c r="D2522" t="s">
        <v>18850</v>
      </c>
      <c r="E2522" t="s">
        <v>21197</v>
      </c>
      <c r="F2522" t="s">
        <v>32664</v>
      </c>
      <c r="G2522" t="s">
        <v>32672</v>
      </c>
      <c r="H2522" t="s">
        <v>12635</v>
      </c>
      <c r="I2522" t="s">
        <v>4439</v>
      </c>
      <c r="J2522" t="s">
        <v>34572</v>
      </c>
      <c r="K2522" t="s">
        <v>42305</v>
      </c>
      <c r="M2522" t="s">
        <v>42923</v>
      </c>
      <c r="N2522" t="s">
        <v>46569</v>
      </c>
      <c r="O2522" t="s">
        <v>46570</v>
      </c>
      <c r="P2522">
        <v>0</v>
      </c>
      <c r="Q2522">
        <v>0</v>
      </c>
      <c r="R2522" t="s">
        <v>46572</v>
      </c>
      <c r="S2522" t="s">
        <v>46689</v>
      </c>
      <c r="T2522" t="s">
        <v>48304</v>
      </c>
      <c r="U2522" t="s">
        <v>50872</v>
      </c>
      <c r="W2522" t="s">
        <v>42923</v>
      </c>
      <c r="X2522" t="s">
        <v>46574</v>
      </c>
    </row>
    <row r="2523" spans="1:24">
      <c r="A2523">
        <f>HYPERLINK("https://www.philgeps.gov.ph/GEPSNONPILOT/Tender/SplashBidNoticeAbstractUI.aspx?menuIndex=3&amp;refID=7059278&amp;Result=3","7059278")</f>
        <v>0</v>
      </c>
      <c r="B2523" t="s">
        <v>1027</v>
      </c>
      <c r="C2523" t="s">
        <v>5970</v>
      </c>
      <c r="D2523" t="s">
        <v>18790</v>
      </c>
      <c r="E2523" t="s">
        <v>21198</v>
      </c>
      <c r="F2523" t="s">
        <v>32664</v>
      </c>
      <c r="G2523" t="s">
        <v>32672</v>
      </c>
      <c r="H2523" t="s">
        <v>12635</v>
      </c>
      <c r="I2523" t="s">
        <v>4439</v>
      </c>
      <c r="J2523" t="s">
        <v>34573</v>
      </c>
      <c r="K2523" t="s">
        <v>42283</v>
      </c>
      <c r="M2523" t="s">
        <v>43639</v>
      </c>
      <c r="N2523" t="s">
        <v>46569</v>
      </c>
      <c r="O2523" t="s">
        <v>46570</v>
      </c>
      <c r="P2523">
        <v>0</v>
      </c>
      <c r="Q2523">
        <v>0</v>
      </c>
      <c r="R2523" t="s">
        <v>46572</v>
      </c>
      <c r="S2523" t="s">
        <v>46689</v>
      </c>
      <c r="T2523" t="s">
        <v>48452</v>
      </c>
      <c r="U2523" t="s">
        <v>50873</v>
      </c>
      <c r="W2523" t="s">
        <v>43639</v>
      </c>
      <c r="X2523" t="s">
        <v>46574</v>
      </c>
    </row>
    <row r="2524" spans="1:24">
      <c r="A2524">
        <f>HYPERLINK("https://www.philgeps.gov.ph/GEPSNONPILOT/Tender/SplashBidNoticeAbstractUI.aspx?menuIndex=3&amp;refID=7059348&amp;Result=3","7059348")</f>
        <v>0</v>
      </c>
      <c r="B2524" t="s">
        <v>1027</v>
      </c>
      <c r="C2524" t="s">
        <v>5971</v>
      </c>
      <c r="D2524" t="s">
        <v>18790</v>
      </c>
      <c r="E2524" t="s">
        <v>21199</v>
      </c>
      <c r="F2524" t="s">
        <v>32664</v>
      </c>
      <c r="G2524" t="s">
        <v>32672</v>
      </c>
      <c r="H2524" t="s">
        <v>12635</v>
      </c>
      <c r="I2524" t="s">
        <v>4439</v>
      </c>
      <c r="J2524" t="s">
        <v>34574</v>
      </c>
      <c r="K2524" t="s">
        <v>42283</v>
      </c>
      <c r="M2524" t="s">
        <v>43639</v>
      </c>
      <c r="N2524" t="s">
        <v>46569</v>
      </c>
      <c r="O2524" t="s">
        <v>46570</v>
      </c>
      <c r="P2524">
        <v>0</v>
      </c>
      <c r="Q2524">
        <v>0</v>
      </c>
      <c r="R2524" t="s">
        <v>46572</v>
      </c>
      <c r="S2524" t="s">
        <v>46689</v>
      </c>
      <c r="T2524" t="s">
        <v>48452</v>
      </c>
      <c r="U2524" t="s">
        <v>50874</v>
      </c>
      <c r="W2524" t="s">
        <v>43639</v>
      </c>
      <c r="X2524" t="s">
        <v>46574</v>
      </c>
    </row>
    <row r="2525" spans="1:24">
      <c r="A2525">
        <f>HYPERLINK("https://www.philgeps.gov.ph/GEPSNONPILOT/Tender/SplashBidNoticeAbstractUI.aspx?menuIndex=3&amp;refID=7059270&amp;Result=3","7059270")</f>
        <v>0</v>
      </c>
      <c r="B2525" t="s">
        <v>1028</v>
      </c>
      <c r="C2525" t="s">
        <v>5972</v>
      </c>
      <c r="D2525" t="s">
        <v>18805</v>
      </c>
      <c r="E2525" t="s">
        <v>21200</v>
      </c>
      <c r="F2525" t="s">
        <v>32664</v>
      </c>
      <c r="G2525" t="s">
        <v>32677</v>
      </c>
      <c r="H2525" t="s">
        <v>12635</v>
      </c>
      <c r="I2525" t="s">
        <v>32703</v>
      </c>
      <c r="J2525" t="s">
        <v>34575</v>
      </c>
      <c r="K2525" t="s">
        <v>42303</v>
      </c>
      <c r="M2525" t="s">
        <v>43640</v>
      </c>
      <c r="N2525" t="s">
        <v>46569</v>
      </c>
      <c r="O2525" t="s">
        <v>46570</v>
      </c>
      <c r="P2525">
        <v>0</v>
      </c>
      <c r="Q2525">
        <v>1</v>
      </c>
      <c r="R2525" t="s">
        <v>46572</v>
      </c>
      <c r="S2525" t="s">
        <v>46689</v>
      </c>
      <c r="T2525" t="s">
        <v>48330</v>
      </c>
      <c r="U2525" t="s">
        <v>50875</v>
      </c>
      <c r="W2525" t="s">
        <v>63503</v>
      </c>
      <c r="X2525" t="s">
        <v>46574</v>
      </c>
    </row>
    <row r="2526" spans="1:24">
      <c r="A2526">
        <f>HYPERLINK("https://www.philgeps.gov.ph/GEPSNONPILOT/Tender/SplashBidNoticeAbstractUI.aspx?menuIndex=3&amp;refID=7059269&amp;Result=3","7059269")</f>
        <v>0</v>
      </c>
      <c r="B2526" t="s">
        <v>605</v>
      </c>
      <c r="C2526" t="s">
        <v>5973</v>
      </c>
      <c r="D2526" t="s">
        <v>18858</v>
      </c>
      <c r="E2526" t="s">
        <v>21201</v>
      </c>
      <c r="F2526" t="s">
        <v>32664</v>
      </c>
      <c r="G2526" t="s">
        <v>32672</v>
      </c>
      <c r="H2526" t="s">
        <v>12635</v>
      </c>
      <c r="I2526" t="s">
        <v>4439</v>
      </c>
      <c r="J2526" t="s">
        <v>34576</v>
      </c>
      <c r="K2526" t="s">
        <v>42303</v>
      </c>
      <c r="M2526" t="s">
        <v>43185</v>
      </c>
      <c r="N2526" t="s">
        <v>46569</v>
      </c>
      <c r="O2526" t="s">
        <v>46570</v>
      </c>
      <c r="P2526">
        <v>0</v>
      </c>
      <c r="Q2526">
        <v>0</v>
      </c>
      <c r="R2526" t="s">
        <v>46572</v>
      </c>
      <c r="S2526" t="s">
        <v>46689</v>
      </c>
      <c r="T2526" t="s">
        <v>48230</v>
      </c>
      <c r="U2526" t="s">
        <v>50876</v>
      </c>
      <c r="W2526" t="s">
        <v>43185</v>
      </c>
      <c r="X2526" t="s">
        <v>46574</v>
      </c>
    </row>
    <row r="2527" spans="1:24">
      <c r="A2527">
        <f>HYPERLINK("https://www.philgeps.gov.ph/GEPSNONPILOT/Tender/SplashBidNoticeAbstractUI.aspx?menuIndex=3&amp;refID=7059052&amp;Result=3","7059052")</f>
        <v>0</v>
      </c>
      <c r="B2527" t="s">
        <v>1027</v>
      </c>
      <c r="C2527" t="s">
        <v>5974</v>
      </c>
      <c r="D2527" t="s">
        <v>18790</v>
      </c>
      <c r="E2527" t="s">
        <v>21202</v>
      </c>
      <c r="F2527" t="s">
        <v>32664</v>
      </c>
      <c r="G2527" t="s">
        <v>32672</v>
      </c>
      <c r="H2527" t="s">
        <v>12635</v>
      </c>
      <c r="I2527" t="s">
        <v>4439</v>
      </c>
      <c r="J2527" t="s">
        <v>34577</v>
      </c>
      <c r="K2527" t="s">
        <v>42283</v>
      </c>
      <c r="M2527" t="s">
        <v>43639</v>
      </c>
      <c r="N2527" t="s">
        <v>46569</v>
      </c>
      <c r="O2527" t="s">
        <v>46570</v>
      </c>
      <c r="P2527">
        <v>0</v>
      </c>
      <c r="Q2527">
        <v>0</v>
      </c>
      <c r="R2527" t="s">
        <v>46572</v>
      </c>
      <c r="S2527" t="s">
        <v>46689</v>
      </c>
      <c r="T2527" t="s">
        <v>48355</v>
      </c>
      <c r="U2527" t="s">
        <v>50877</v>
      </c>
      <c r="W2527" t="s">
        <v>43639</v>
      </c>
      <c r="X2527" t="s">
        <v>46574</v>
      </c>
    </row>
    <row r="2528" spans="1:24">
      <c r="A2528">
        <f>HYPERLINK("https://www.philgeps.gov.ph/GEPSNONPILOT/Tender/SplashBidNoticeAbstractUI.aspx?menuIndex=3&amp;refID=7059262&amp;Result=3","7059262")</f>
        <v>0</v>
      </c>
      <c r="B2528" t="s">
        <v>1028</v>
      </c>
      <c r="C2528" t="s">
        <v>5975</v>
      </c>
      <c r="D2528" t="s">
        <v>18805</v>
      </c>
      <c r="E2528" t="s">
        <v>21203</v>
      </c>
      <c r="F2528" t="s">
        <v>32664</v>
      </c>
      <c r="G2528" t="s">
        <v>32675</v>
      </c>
      <c r="H2528" t="s">
        <v>12635</v>
      </c>
      <c r="I2528" t="s">
        <v>32722</v>
      </c>
      <c r="J2528" t="s">
        <v>34578</v>
      </c>
      <c r="K2528" t="s">
        <v>42303</v>
      </c>
      <c r="M2528" t="s">
        <v>43640</v>
      </c>
      <c r="N2528" t="s">
        <v>46569</v>
      </c>
      <c r="O2528" t="s">
        <v>46570</v>
      </c>
      <c r="P2528">
        <v>0</v>
      </c>
      <c r="Q2528">
        <v>2</v>
      </c>
      <c r="R2528" t="s">
        <v>46572</v>
      </c>
      <c r="S2528" t="s">
        <v>46689</v>
      </c>
      <c r="T2528" t="s">
        <v>48330</v>
      </c>
      <c r="U2528" t="s">
        <v>50875</v>
      </c>
      <c r="W2528" t="s">
        <v>63503</v>
      </c>
      <c r="X2528" t="s">
        <v>46574</v>
      </c>
    </row>
    <row r="2529" spans="1:24">
      <c r="A2529">
        <f>HYPERLINK("https://www.philgeps.gov.ph/GEPSNONPILOT/Tender/SplashBidNoticeAbstractUI.aspx?menuIndex=3&amp;refID=7059306&amp;Result=3","7059306")</f>
        <v>0</v>
      </c>
      <c r="B2529" t="s">
        <v>1027</v>
      </c>
      <c r="C2529" t="s">
        <v>5976</v>
      </c>
      <c r="D2529" t="s">
        <v>18790</v>
      </c>
      <c r="E2529" t="s">
        <v>21204</v>
      </c>
      <c r="F2529" t="s">
        <v>32664</v>
      </c>
      <c r="G2529" t="s">
        <v>32672</v>
      </c>
      <c r="H2529" t="s">
        <v>12635</v>
      </c>
      <c r="I2529" t="s">
        <v>4333</v>
      </c>
      <c r="J2529" t="s">
        <v>34579</v>
      </c>
      <c r="K2529" t="s">
        <v>42283</v>
      </c>
      <c r="M2529" t="s">
        <v>43639</v>
      </c>
      <c r="N2529" t="s">
        <v>46569</v>
      </c>
      <c r="O2529" t="s">
        <v>46570</v>
      </c>
      <c r="P2529">
        <v>0</v>
      </c>
      <c r="Q2529">
        <v>2</v>
      </c>
      <c r="R2529" t="s">
        <v>46572</v>
      </c>
      <c r="S2529" t="s">
        <v>46689</v>
      </c>
      <c r="T2529" t="s">
        <v>48452</v>
      </c>
      <c r="U2529" t="s">
        <v>50878</v>
      </c>
      <c r="W2529" t="s">
        <v>43639</v>
      </c>
      <c r="X2529" t="s">
        <v>46574</v>
      </c>
    </row>
    <row r="2530" spans="1:24">
      <c r="A2530">
        <f>HYPERLINK("https://www.philgeps.gov.ph/GEPSNONPILOT/Tender/SplashBidNoticeAbstractUI.aspx?menuIndex=3&amp;refID=7059342&amp;Result=3","7059342")</f>
        <v>0</v>
      </c>
      <c r="B2530" t="s">
        <v>1031</v>
      </c>
      <c r="C2530" t="s">
        <v>5977</v>
      </c>
      <c r="D2530" t="s">
        <v>18841</v>
      </c>
      <c r="E2530" t="s">
        <v>21205</v>
      </c>
      <c r="F2530" t="s">
        <v>32665</v>
      </c>
      <c r="G2530" t="s">
        <v>32677</v>
      </c>
      <c r="H2530" t="s">
        <v>32683</v>
      </c>
      <c r="I2530" t="s">
        <v>10627</v>
      </c>
      <c r="J2530" t="s">
        <v>34580</v>
      </c>
      <c r="K2530" t="s">
        <v>42305</v>
      </c>
      <c r="M2530" t="s">
        <v>43644</v>
      </c>
      <c r="N2530" t="s">
        <v>46569</v>
      </c>
      <c r="O2530" t="s">
        <v>46570</v>
      </c>
      <c r="P2530">
        <v>0</v>
      </c>
      <c r="Q2530">
        <v>1</v>
      </c>
      <c r="R2530" t="s">
        <v>46572</v>
      </c>
      <c r="S2530" t="s">
        <v>46689</v>
      </c>
      <c r="T2530" t="s">
        <v>48453</v>
      </c>
      <c r="U2530" t="s">
        <v>50879</v>
      </c>
      <c r="W2530" t="s">
        <v>43644</v>
      </c>
      <c r="X2530" t="s">
        <v>46574</v>
      </c>
    </row>
    <row r="2531" spans="1:24">
      <c r="A2531">
        <f>HYPERLINK("https://www.philgeps.gov.ph/GEPSNONPILOT/Tender/SplashBidNoticeAbstractUI.aspx?menuIndex=3&amp;refID=7059217&amp;Result=3","7059217")</f>
        <v>0</v>
      </c>
      <c r="B2531" t="s">
        <v>354</v>
      </c>
      <c r="C2531" t="s">
        <v>5978</v>
      </c>
      <c r="D2531" t="s">
        <v>18850</v>
      </c>
      <c r="E2531" t="s">
        <v>21206</v>
      </c>
      <c r="F2531" t="s">
        <v>32664</v>
      </c>
      <c r="G2531" t="s">
        <v>32672</v>
      </c>
      <c r="H2531" t="s">
        <v>12635</v>
      </c>
      <c r="I2531" t="s">
        <v>4439</v>
      </c>
      <c r="J2531" t="s">
        <v>34581</v>
      </c>
      <c r="K2531" t="s">
        <v>42311</v>
      </c>
      <c r="M2531" t="s">
        <v>42923</v>
      </c>
      <c r="N2531" t="s">
        <v>46569</v>
      </c>
      <c r="O2531" t="s">
        <v>46570</v>
      </c>
      <c r="P2531">
        <v>0</v>
      </c>
      <c r="Q2531">
        <v>0</v>
      </c>
      <c r="R2531" t="s">
        <v>46572</v>
      </c>
      <c r="S2531" t="s">
        <v>46689</v>
      </c>
      <c r="T2531" t="s">
        <v>48304</v>
      </c>
      <c r="U2531" t="s">
        <v>50880</v>
      </c>
      <c r="W2531" t="s">
        <v>42923</v>
      </c>
      <c r="X2531" t="s">
        <v>46574</v>
      </c>
    </row>
    <row r="2532" spans="1:24">
      <c r="A2532">
        <f>HYPERLINK("https://www.philgeps.gov.ph/GEPSNONPILOT/Tender/SplashBidNoticeAbstractUI.aspx?menuIndex=3&amp;refID=7059250&amp;Result=3","7059250")</f>
        <v>0</v>
      </c>
      <c r="B2532" t="s">
        <v>1027</v>
      </c>
      <c r="C2532" t="s">
        <v>5979</v>
      </c>
      <c r="D2532" t="s">
        <v>18790</v>
      </c>
      <c r="E2532" t="s">
        <v>21207</v>
      </c>
      <c r="F2532" t="s">
        <v>32664</v>
      </c>
      <c r="G2532" t="s">
        <v>32672</v>
      </c>
      <c r="H2532" t="s">
        <v>12635</v>
      </c>
      <c r="I2532" t="s">
        <v>4439</v>
      </c>
      <c r="J2532" t="s">
        <v>34582</v>
      </c>
      <c r="K2532" t="s">
        <v>42283</v>
      </c>
      <c r="M2532" t="s">
        <v>43639</v>
      </c>
      <c r="N2532" t="s">
        <v>46569</v>
      </c>
      <c r="O2532" t="s">
        <v>46570</v>
      </c>
      <c r="P2532">
        <v>0</v>
      </c>
      <c r="Q2532">
        <v>0</v>
      </c>
      <c r="R2532" t="s">
        <v>46572</v>
      </c>
      <c r="S2532" t="s">
        <v>46689</v>
      </c>
      <c r="T2532" t="s">
        <v>48452</v>
      </c>
      <c r="U2532" t="s">
        <v>50881</v>
      </c>
      <c r="W2532" t="s">
        <v>43639</v>
      </c>
      <c r="X2532" t="s">
        <v>46574</v>
      </c>
    </row>
    <row r="2533" spans="1:24">
      <c r="A2533">
        <f>HYPERLINK("https://www.philgeps.gov.ph/GEPSNONPILOT/Tender/SplashBidNoticeAbstractUI.aspx?menuIndex=3&amp;refID=7059137&amp;Result=3","7059137")</f>
        <v>0</v>
      </c>
      <c r="B2533" t="s">
        <v>1030</v>
      </c>
      <c r="C2533" t="s">
        <v>5980</v>
      </c>
      <c r="D2533" t="s">
        <v>18824</v>
      </c>
      <c r="E2533" t="s">
        <v>21208</v>
      </c>
      <c r="F2533" t="s">
        <v>32664</v>
      </c>
      <c r="G2533" t="s">
        <v>32672</v>
      </c>
      <c r="H2533" t="s">
        <v>32683</v>
      </c>
      <c r="I2533" t="s">
        <v>10627</v>
      </c>
      <c r="J2533" t="s">
        <v>34583</v>
      </c>
      <c r="K2533" t="s">
        <v>42388</v>
      </c>
      <c r="M2533" t="s">
        <v>43643</v>
      </c>
      <c r="N2533" t="s">
        <v>46569</v>
      </c>
      <c r="O2533" t="s">
        <v>46570</v>
      </c>
      <c r="P2533">
        <v>0</v>
      </c>
      <c r="Q2533">
        <v>1</v>
      </c>
      <c r="R2533" t="s">
        <v>46572</v>
      </c>
      <c r="S2533" t="s">
        <v>46689</v>
      </c>
      <c r="T2533" t="s">
        <v>48220</v>
      </c>
      <c r="U2533" t="s">
        <v>50867</v>
      </c>
      <c r="V2533" t="s">
        <v>50867</v>
      </c>
      <c r="W2533" t="s">
        <v>43643</v>
      </c>
      <c r="X2533" t="s">
        <v>46574</v>
      </c>
    </row>
    <row r="2534" spans="1:24">
      <c r="A2534">
        <f>HYPERLINK("https://www.philgeps.gov.ph/GEPSNONPILOT/Tender/SplashBidNoticeAbstractUI.aspx?menuIndex=3&amp;refID=7059216&amp;Result=3","7059216")</f>
        <v>0</v>
      </c>
      <c r="B2534" t="s">
        <v>1027</v>
      </c>
      <c r="C2534" t="s">
        <v>5981</v>
      </c>
      <c r="D2534" t="s">
        <v>18790</v>
      </c>
      <c r="E2534" t="s">
        <v>21209</v>
      </c>
      <c r="F2534" t="s">
        <v>32664</v>
      </c>
      <c r="G2534" t="s">
        <v>32672</v>
      </c>
      <c r="H2534" t="s">
        <v>12635</v>
      </c>
      <c r="I2534" t="s">
        <v>4439</v>
      </c>
      <c r="J2534" t="s">
        <v>34584</v>
      </c>
      <c r="K2534" t="s">
        <v>42283</v>
      </c>
      <c r="M2534" t="s">
        <v>43639</v>
      </c>
      <c r="N2534" t="s">
        <v>46569</v>
      </c>
      <c r="O2534" t="s">
        <v>46570</v>
      </c>
      <c r="P2534">
        <v>0</v>
      </c>
      <c r="Q2534">
        <v>0</v>
      </c>
      <c r="R2534" t="s">
        <v>46572</v>
      </c>
      <c r="S2534" t="s">
        <v>46689</v>
      </c>
      <c r="T2534" t="s">
        <v>48452</v>
      </c>
      <c r="U2534" t="s">
        <v>50882</v>
      </c>
      <c r="W2534" t="s">
        <v>43639</v>
      </c>
      <c r="X2534" t="s">
        <v>46574</v>
      </c>
    </row>
    <row r="2535" spans="1:24">
      <c r="A2535">
        <f>HYPERLINK("https://www.philgeps.gov.ph/GEPSNONPILOT/Tender/SplashBidNoticeAbstractUI.aspx?menuIndex=3&amp;refID=7059160&amp;Result=3","7059160")</f>
        <v>0</v>
      </c>
      <c r="B2535" t="s">
        <v>1027</v>
      </c>
      <c r="C2535" t="s">
        <v>5982</v>
      </c>
      <c r="D2535" t="s">
        <v>18790</v>
      </c>
      <c r="E2535" t="s">
        <v>21210</v>
      </c>
      <c r="F2535" t="s">
        <v>32664</v>
      </c>
      <c r="G2535" t="s">
        <v>32672</v>
      </c>
      <c r="H2535" t="s">
        <v>12635</v>
      </c>
      <c r="I2535" t="s">
        <v>4439</v>
      </c>
      <c r="J2535" t="s">
        <v>34585</v>
      </c>
      <c r="K2535" t="s">
        <v>42283</v>
      </c>
      <c r="M2535" t="s">
        <v>43639</v>
      </c>
      <c r="N2535" t="s">
        <v>46569</v>
      </c>
      <c r="O2535" t="s">
        <v>46570</v>
      </c>
      <c r="P2535">
        <v>0</v>
      </c>
      <c r="Q2535">
        <v>0</v>
      </c>
      <c r="R2535" t="s">
        <v>46572</v>
      </c>
      <c r="S2535" t="s">
        <v>46689</v>
      </c>
      <c r="T2535" t="s">
        <v>48452</v>
      </c>
      <c r="U2535" t="s">
        <v>50883</v>
      </c>
      <c r="W2535" t="s">
        <v>43639</v>
      </c>
      <c r="X2535" t="s">
        <v>46574</v>
      </c>
    </row>
    <row r="2536" spans="1:24">
      <c r="A2536">
        <f>HYPERLINK("https://www.philgeps.gov.ph/GEPSNONPILOT/Tender/SplashBidNoticeAbstractUI.aspx?menuIndex=3&amp;refID=7059187&amp;Result=3","7059187")</f>
        <v>0</v>
      </c>
      <c r="B2536" t="s">
        <v>1027</v>
      </c>
      <c r="C2536" t="s">
        <v>5983</v>
      </c>
      <c r="D2536" t="s">
        <v>18790</v>
      </c>
      <c r="E2536" t="s">
        <v>21211</v>
      </c>
      <c r="F2536" t="s">
        <v>32664</v>
      </c>
      <c r="G2536" t="s">
        <v>32672</v>
      </c>
      <c r="H2536" t="s">
        <v>12635</v>
      </c>
      <c r="I2536" t="s">
        <v>4439</v>
      </c>
      <c r="J2536" t="s">
        <v>34586</v>
      </c>
      <c r="K2536" t="s">
        <v>42283</v>
      </c>
      <c r="M2536" t="s">
        <v>43639</v>
      </c>
      <c r="N2536" t="s">
        <v>46569</v>
      </c>
      <c r="O2536" t="s">
        <v>46570</v>
      </c>
      <c r="P2536">
        <v>0</v>
      </c>
      <c r="Q2536">
        <v>1</v>
      </c>
      <c r="R2536" t="s">
        <v>46572</v>
      </c>
      <c r="S2536" t="s">
        <v>46689</v>
      </c>
      <c r="T2536" t="s">
        <v>48452</v>
      </c>
      <c r="U2536" t="s">
        <v>50884</v>
      </c>
      <c r="W2536" t="s">
        <v>43639</v>
      </c>
      <c r="X2536" t="s">
        <v>46574</v>
      </c>
    </row>
    <row r="2537" spans="1:24">
      <c r="A2537">
        <f>HYPERLINK("https://www.philgeps.gov.ph/GEPSNONPILOT/Tender/SplashBidNoticeAbstractUI.aspx?menuIndex=3&amp;refID=7059155&amp;Result=3","7059155")</f>
        <v>0</v>
      </c>
      <c r="B2537" t="s">
        <v>1024</v>
      </c>
      <c r="C2537" t="s">
        <v>5984</v>
      </c>
      <c r="D2537" t="s">
        <v>18801</v>
      </c>
      <c r="E2537" t="s">
        <v>21212</v>
      </c>
      <c r="F2537" t="s">
        <v>32664</v>
      </c>
      <c r="G2537" t="s">
        <v>32672</v>
      </c>
      <c r="H2537" t="s">
        <v>12635</v>
      </c>
      <c r="I2537" t="s">
        <v>32700</v>
      </c>
      <c r="J2537" t="s">
        <v>34587</v>
      </c>
      <c r="K2537" t="s">
        <v>42289</v>
      </c>
      <c r="M2537" t="s">
        <v>43636</v>
      </c>
      <c r="N2537" t="s">
        <v>46569</v>
      </c>
      <c r="O2537" t="s">
        <v>46570</v>
      </c>
      <c r="P2537">
        <v>0</v>
      </c>
      <c r="Q2537">
        <v>5</v>
      </c>
      <c r="R2537" t="s">
        <v>46572</v>
      </c>
      <c r="S2537" t="s">
        <v>46689</v>
      </c>
      <c r="T2537" t="s">
        <v>48454</v>
      </c>
      <c r="U2537" t="s">
        <v>50885</v>
      </c>
      <c r="W2537" t="s">
        <v>43636</v>
      </c>
      <c r="X2537" t="s">
        <v>46574</v>
      </c>
    </row>
    <row r="2538" spans="1:24">
      <c r="A2538">
        <f>HYPERLINK("https://www.philgeps.gov.ph/GEPSNONPILOT/Tender/SplashBidNoticeAbstractUI.aspx?menuIndex=3&amp;refID=7058258&amp;Result=3","7058258")</f>
        <v>0</v>
      </c>
      <c r="B2538" t="s">
        <v>460</v>
      </c>
      <c r="C2538" t="s">
        <v>5985</v>
      </c>
      <c r="D2538" t="s">
        <v>18806</v>
      </c>
      <c r="E2538" t="s">
        <v>21213</v>
      </c>
      <c r="F2538" t="s">
        <v>32664</v>
      </c>
      <c r="G2538" t="s">
        <v>32672</v>
      </c>
      <c r="H2538" t="s">
        <v>12635</v>
      </c>
      <c r="I2538" t="s">
        <v>32708</v>
      </c>
      <c r="J2538" t="s">
        <v>33024</v>
      </c>
      <c r="K2538" t="s">
        <v>42281</v>
      </c>
      <c r="M2538" t="s">
        <v>43641</v>
      </c>
      <c r="N2538" t="s">
        <v>46569</v>
      </c>
      <c r="O2538" t="s">
        <v>46570</v>
      </c>
      <c r="P2538">
        <v>0</v>
      </c>
      <c r="Q2538">
        <v>1</v>
      </c>
      <c r="R2538" t="s">
        <v>46572</v>
      </c>
      <c r="S2538" t="s">
        <v>46689</v>
      </c>
      <c r="T2538" t="s">
        <v>48404</v>
      </c>
      <c r="U2538" t="s">
        <v>50886</v>
      </c>
      <c r="V2538" t="s">
        <v>61877</v>
      </c>
      <c r="W2538" t="s">
        <v>43641</v>
      </c>
      <c r="X2538" t="s">
        <v>46576</v>
      </c>
    </row>
    <row r="2539" spans="1:24">
      <c r="A2539">
        <f>HYPERLINK("https://www.philgeps.gov.ph/GEPSNONPILOT/Tender/SplashBidNoticeAbstractUI.aspx?menuIndex=3&amp;refID=7059236&amp;Result=3","7059236")</f>
        <v>0</v>
      </c>
      <c r="B2539" t="s">
        <v>460</v>
      </c>
      <c r="C2539" t="s">
        <v>5986</v>
      </c>
      <c r="D2539" t="s">
        <v>18806</v>
      </c>
      <c r="E2539" t="s">
        <v>21214</v>
      </c>
      <c r="F2539" t="s">
        <v>32664</v>
      </c>
      <c r="G2539" t="s">
        <v>32672</v>
      </c>
      <c r="H2539" t="s">
        <v>12635</v>
      </c>
      <c r="I2539" t="s">
        <v>9486</v>
      </c>
      <c r="J2539" t="s">
        <v>34588</v>
      </c>
      <c r="K2539" t="s">
        <v>42330</v>
      </c>
      <c r="M2539" t="s">
        <v>43641</v>
      </c>
      <c r="N2539" t="s">
        <v>46569</v>
      </c>
      <c r="O2539" t="s">
        <v>46570</v>
      </c>
      <c r="P2539">
        <v>0</v>
      </c>
      <c r="Q2539">
        <v>1</v>
      </c>
      <c r="R2539" t="s">
        <v>46572</v>
      </c>
      <c r="S2539" t="s">
        <v>46689</v>
      </c>
      <c r="T2539" t="s">
        <v>48321</v>
      </c>
      <c r="U2539" t="s">
        <v>50887</v>
      </c>
      <c r="V2539" t="s">
        <v>61876</v>
      </c>
      <c r="W2539" t="s">
        <v>43641</v>
      </c>
      <c r="X2539" t="s">
        <v>46574</v>
      </c>
    </row>
    <row r="2540" spans="1:24">
      <c r="A2540">
        <f>HYPERLINK("https://www.philgeps.gov.ph/GEPSNONPILOT/Tender/SplashBidNoticeAbstractUI.aspx?menuIndex=3&amp;refID=7059231&amp;Result=3","7059231")</f>
        <v>0</v>
      </c>
      <c r="B2540" t="s">
        <v>1028</v>
      </c>
      <c r="C2540" t="s">
        <v>5987</v>
      </c>
      <c r="D2540" t="s">
        <v>18805</v>
      </c>
      <c r="E2540" t="s">
        <v>21215</v>
      </c>
      <c r="F2540" t="s">
        <v>32664</v>
      </c>
      <c r="G2540" t="s">
        <v>32675</v>
      </c>
      <c r="H2540" t="s">
        <v>12635</v>
      </c>
      <c r="I2540" t="s">
        <v>5589</v>
      </c>
      <c r="J2540" t="s">
        <v>32918</v>
      </c>
      <c r="K2540" t="s">
        <v>42303</v>
      </c>
      <c r="M2540" t="s">
        <v>43640</v>
      </c>
      <c r="N2540" t="s">
        <v>46569</v>
      </c>
      <c r="O2540" t="s">
        <v>46570</v>
      </c>
      <c r="P2540">
        <v>0</v>
      </c>
      <c r="Q2540">
        <v>2</v>
      </c>
      <c r="R2540" t="s">
        <v>46572</v>
      </c>
      <c r="S2540" t="s">
        <v>46689</v>
      </c>
      <c r="T2540" t="s">
        <v>48330</v>
      </c>
      <c r="U2540" t="s">
        <v>50875</v>
      </c>
      <c r="W2540" t="s">
        <v>63503</v>
      </c>
      <c r="X2540" t="s">
        <v>46574</v>
      </c>
    </row>
    <row r="2541" spans="1:24">
      <c r="A2541">
        <f>HYPERLINK("https://www.philgeps.gov.ph/GEPSNONPILOT/Tender/SplashBidNoticeAbstractUI.aspx?menuIndex=3&amp;refID=7058254&amp;Result=3","7058254")</f>
        <v>0</v>
      </c>
      <c r="B2541" t="s">
        <v>460</v>
      </c>
      <c r="C2541" t="s">
        <v>5988</v>
      </c>
      <c r="D2541" t="s">
        <v>18806</v>
      </c>
      <c r="E2541" t="s">
        <v>21216</v>
      </c>
      <c r="F2541" t="s">
        <v>32664</v>
      </c>
      <c r="G2541" t="s">
        <v>32672</v>
      </c>
      <c r="H2541" t="s">
        <v>12635</v>
      </c>
      <c r="I2541" t="s">
        <v>6168</v>
      </c>
      <c r="J2541" t="s">
        <v>34589</v>
      </c>
      <c r="K2541" t="s">
        <v>42330</v>
      </c>
      <c r="M2541" t="s">
        <v>43641</v>
      </c>
      <c r="N2541" t="s">
        <v>46569</v>
      </c>
      <c r="O2541" t="s">
        <v>46570</v>
      </c>
      <c r="P2541">
        <v>0</v>
      </c>
      <c r="Q2541">
        <v>0</v>
      </c>
      <c r="R2541" t="s">
        <v>46572</v>
      </c>
      <c r="S2541" t="s">
        <v>46689</v>
      </c>
      <c r="T2541" t="s">
        <v>48321</v>
      </c>
      <c r="U2541" t="s">
        <v>50888</v>
      </c>
      <c r="V2541" t="s">
        <v>61877</v>
      </c>
      <c r="W2541" t="s">
        <v>43641</v>
      </c>
      <c r="X2541" t="s">
        <v>46576</v>
      </c>
    </row>
    <row r="2542" spans="1:24">
      <c r="A2542">
        <f>HYPERLINK("https://www.philgeps.gov.ph/GEPSNONPILOT/Tender/SplashBidNoticeAbstractUI.aspx?menuIndex=3&amp;refID=7059575&amp;Result=3","7059575")</f>
        <v>0</v>
      </c>
      <c r="B2542" t="s">
        <v>605</v>
      </c>
      <c r="C2542" t="s">
        <v>5989</v>
      </c>
      <c r="D2542" t="s">
        <v>18858</v>
      </c>
      <c r="E2542" t="s">
        <v>21217</v>
      </c>
      <c r="F2542" t="s">
        <v>32664</v>
      </c>
      <c r="G2542" t="s">
        <v>32672</v>
      </c>
      <c r="H2542" t="s">
        <v>12635</v>
      </c>
      <c r="I2542" t="s">
        <v>6223</v>
      </c>
      <c r="J2542" t="s">
        <v>32962</v>
      </c>
      <c r="K2542" t="s">
        <v>42281</v>
      </c>
      <c r="M2542" t="s">
        <v>43185</v>
      </c>
      <c r="N2542" t="s">
        <v>46569</v>
      </c>
      <c r="O2542" t="s">
        <v>46570</v>
      </c>
      <c r="P2542">
        <v>0</v>
      </c>
      <c r="Q2542">
        <v>1</v>
      </c>
      <c r="R2542" t="s">
        <v>46572</v>
      </c>
      <c r="S2542" t="s">
        <v>46689</v>
      </c>
      <c r="T2542" t="s">
        <v>48274</v>
      </c>
      <c r="U2542" t="s">
        <v>50889</v>
      </c>
      <c r="W2542" t="s">
        <v>43185</v>
      </c>
      <c r="X2542" t="s">
        <v>46574</v>
      </c>
    </row>
    <row r="2543" spans="1:24">
      <c r="A2543">
        <f>HYPERLINK("https://www.philgeps.gov.ph/GEPSNONPILOT/Tender/SplashBidNoticeAbstractUI.aspx?menuIndex=3&amp;refID=7059589&amp;Result=3","7059589")</f>
        <v>0</v>
      </c>
      <c r="B2543" t="s">
        <v>1032</v>
      </c>
      <c r="C2543" t="s">
        <v>5990</v>
      </c>
      <c r="D2543" t="s">
        <v>18786</v>
      </c>
      <c r="E2543" t="s">
        <v>21218</v>
      </c>
      <c r="F2543" t="s">
        <v>32664</v>
      </c>
      <c r="G2543" t="s">
        <v>32672</v>
      </c>
      <c r="H2543" t="s">
        <v>12635</v>
      </c>
      <c r="I2543" t="s">
        <v>6223</v>
      </c>
      <c r="J2543" t="s">
        <v>34590</v>
      </c>
      <c r="K2543" t="s">
        <v>42283</v>
      </c>
      <c r="M2543" t="s">
        <v>43645</v>
      </c>
      <c r="N2543" t="s">
        <v>46569</v>
      </c>
      <c r="O2543" t="s">
        <v>46570</v>
      </c>
      <c r="P2543">
        <v>0</v>
      </c>
      <c r="Q2543">
        <v>2</v>
      </c>
      <c r="R2543" t="s">
        <v>46572</v>
      </c>
      <c r="S2543" t="s">
        <v>46689</v>
      </c>
      <c r="T2543" t="s">
        <v>48255</v>
      </c>
      <c r="U2543" t="s">
        <v>50890</v>
      </c>
      <c r="W2543" t="s">
        <v>43645</v>
      </c>
      <c r="X2543" t="s">
        <v>46574</v>
      </c>
    </row>
    <row r="2544" spans="1:24">
      <c r="A2544">
        <f>HYPERLINK("https://www.philgeps.gov.ph/GEPSNONPILOT/Tender/SplashBidNoticeAbstractUI.aspx?menuIndex=3&amp;refID=7059584&amp;Result=3","7059584")</f>
        <v>0</v>
      </c>
      <c r="B2544" t="s">
        <v>460</v>
      </c>
      <c r="C2544" t="s">
        <v>5991</v>
      </c>
      <c r="D2544" t="s">
        <v>18806</v>
      </c>
      <c r="E2544" t="s">
        <v>21219</v>
      </c>
      <c r="F2544" t="s">
        <v>32664</v>
      </c>
      <c r="G2544" t="s">
        <v>32672</v>
      </c>
      <c r="H2544" t="s">
        <v>12635</v>
      </c>
      <c r="I2544" t="s">
        <v>6168</v>
      </c>
      <c r="J2544" t="s">
        <v>34591</v>
      </c>
      <c r="K2544" t="s">
        <v>42284</v>
      </c>
      <c r="M2544" t="s">
        <v>43641</v>
      </c>
      <c r="N2544" t="s">
        <v>46569</v>
      </c>
      <c r="O2544" t="s">
        <v>46570</v>
      </c>
      <c r="P2544">
        <v>0</v>
      </c>
      <c r="Q2544">
        <v>1</v>
      </c>
      <c r="R2544" t="s">
        <v>46572</v>
      </c>
      <c r="S2544" t="s">
        <v>46689</v>
      </c>
      <c r="T2544" t="s">
        <v>48285</v>
      </c>
      <c r="U2544" t="s">
        <v>50891</v>
      </c>
      <c r="V2544" t="s">
        <v>61876</v>
      </c>
      <c r="W2544" t="s">
        <v>43641</v>
      </c>
      <c r="X2544" t="s">
        <v>46574</v>
      </c>
    </row>
    <row r="2545" spans="1:24">
      <c r="A2545">
        <f>HYPERLINK("https://www.philgeps.gov.ph/GEPSNONPILOT/Tender/SplashBidNoticeAbstractUI.aspx?menuIndex=3&amp;refID=7059572&amp;Result=3","7059572")</f>
        <v>0</v>
      </c>
      <c r="B2545" t="s">
        <v>1027</v>
      </c>
      <c r="C2545" t="s">
        <v>5992</v>
      </c>
      <c r="D2545" t="s">
        <v>18790</v>
      </c>
      <c r="E2545" t="s">
        <v>21220</v>
      </c>
      <c r="F2545" t="s">
        <v>32664</v>
      </c>
      <c r="G2545" t="s">
        <v>32672</v>
      </c>
      <c r="H2545" t="s">
        <v>12635</v>
      </c>
      <c r="I2545" t="s">
        <v>4439</v>
      </c>
      <c r="J2545" t="s">
        <v>34592</v>
      </c>
      <c r="K2545" t="s">
        <v>42283</v>
      </c>
      <c r="M2545" t="s">
        <v>43639</v>
      </c>
      <c r="N2545" t="s">
        <v>46569</v>
      </c>
      <c r="O2545" t="s">
        <v>46570</v>
      </c>
      <c r="P2545">
        <v>0</v>
      </c>
      <c r="Q2545">
        <v>0</v>
      </c>
      <c r="R2545" t="s">
        <v>46572</v>
      </c>
      <c r="S2545" t="s">
        <v>46689</v>
      </c>
      <c r="T2545" t="s">
        <v>48452</v>
      </c>
      <c r="U2545" t="s">
        <v>50892</v>
      </c>
      <c r="W2545" t="s">
        <v>43639</v>
      </c>
      <c r="X2545" t="s">
        <v>46574</v>
      </c>
    </row>
    <row r="2546" spans="1:24">
      <c r="A2546">
        <f>HYPERLINK("https://www.philgeps.gov.ph/GEPSNONPILOT/Tender/SplashBidNoticeAbstractUI.aspx?menuIndex=3&amp;refID=7059557&amp;Result=3","7059557")</f>
        <v>0</v>
      </c>
      <c r="B2546" t="s">
        <v>1019</v>
      </c>
      <c r="C2546" t="s">
        <v>5993</v>
      </c>
      <c r="D2546" t="s">
        <v>18831</v>
      </c>
      <c r="E2546" t="s">
        <v>21221</v>
      </c>
      <c r="F2546" t="s">
        <v>32664</v>
      </c>
      <c r="G2546" t="s">
        <v>32672</v>
      </c>
      <c r="H2546" t="s">
        <v>32683</v>
      </c>
      <c r="I2546" t="s">
        <v>10627</v>
      </c>
      <c r="J2546" t="s">
        <v>34593</v>
      </c>
      <c r="K2546" t="s">
        <v>42389</v>
      </c>
      <c r="M2546" t="s">
        <v>43631</v>
      </c>
      <c r="N2546" t="s">
        <v>46569</v>
      </c>
      <c r="O2546" t="s">
        <v>46570</v>
      </c>
      <c r="P2546">
        <v>0</v>
      </c>
      <c r="Q2546">
        <v>0</v>
      </c>
      <c r="R2546" t="s">
        <v>46572</v>
      </c>
      <c r="S2546" t="s">
        <v>46689</v>
      </c>
      <c r="T2546" t="s">
        <v>48220</v>
      </c>
      <c r="U2546" t="s">
        <v>50893</v>
      </c>
      <c r="W2546" t="s">
        <v>43631</v>
      </c>
      <c r="X2546" t="s">
        <v>46574</v>
      </c>
    </row>
    <row r="2547" spans="1:24">
      <c r="A2547">
        <f>HYPERLINK("https://www.philgeps.gov.ph/GEPSNONPILOT/Tender/SplashBidNoticeAbstractUI.aspx?menuIndex=3&amp;refID=7059552&amp;Result=3","7059552")</f>
        <v>0</v>
      </c>
      <c r="B2547" t="s">
        <v>1019</v>
      </c>
      <c r="C2547" t="s">
        <v>5994</v>
      </c>
      <c r="D2547" t="s">
        <v>18831</v>
      </c>
      <c r="E2547" t="s">
        <v>21222</v>
      </c>
      <c r="F2547" t="s">
        <v>32664</v>
      </c>
      <c r="G2547" t="s">
        <v>32672</v>
      </c>
      <c r="H2547" t="s">
        <v>32683</v>
      </c>
      <c r="I2547" t="s">
        <v>10627</v>
      </c>
      <c r="J2547" t="s">
        <v>34594</v>
      </c>
      <c r="K2547" t="s">
        <v>42369</v>
      </c>
      <c r="M2547" t="s">
        <v>43631</v>
      </c>
      <c r="N2547" t="s">
        <v>46569</v>
      </c>
      <c r="O2547" t="s">
        <v>46570</v>
      </c>
      <c r="P2547">
        <v>0</v>
      </c>
      <c r="Q2547">
        <v>0</v>
      </c>
      <c r="R2547" t="s">
        <v>46572</v>
      </c>
      <c r="S2547" t="s">
        <v>46689</v>
      </c>
      <c r="T2547" t="s">
        <v>48220</v>
      </c>
      <c r="U2547" t="s">
        <v>50894</v>
      </c>
      <c r="W2547" t="s">
        <v>43631</v>
      </c>
      <c r="X2547" t="s">
        <v>46574</v>
      </c>
    </row>
    <row r="2548" spans="1:24">
      <c r="A2548">
        <f>HYPERLINK("https://www.philgeps.gov.ph/GEPSNONPILOT/Tender/SplashBidNoticeAbstractUI.aspx?menuIndex=3&amp;refID=7059543&amp;Result=3","7059543")</f>
        <v>0</v>
      </c>
      <c r="B2548" t="s">
        <v>1019</v>
      </c>
      <c r="C2548" t="s">
        <v>5995</v>
      </c>
      <c r="D2548" t="s">
        <v>18831</v>
      </c>
      <c r="E2548" t="s">
        <v>21223</v>
      </c>
      <c r="F2548" t="s">
        <v>32664</v>
      </c>
      <c r="G2548" t="s">
        <v>32672</v>
      </c>
      <c r="H2548" t="s">
        <v>32683</v>
      </c>
      <c r="I2548" t="s">
        <v>10627</v>
      </c>
      <c r="J2548" t="s">
        <v>34595</v>
      </c>
      <c r="K2548" t="s">
        <v>42390</v>
      </c>
      <c r="M2548" t="s">
        <v>43631</v>
      </c>
      <c r="N2548" t="s">
        <v>46569</v>
      </c>
      <c r="O2548" t="s">
        <v>46570</v>
      </c>
      <c r="P2548">
        <v>0</v>
      </c>
      <c r="Q2548">
        <v>0</v>
      </c>
      <c r="R2548" t="s">
        <v>46572</v>
      </c>
      <c r="S2548" t="s">
        <v>46689</v>
      </c>
      <c r="T2548" t="s">
        <v>48220</v>
      </c>
      <c r="U2548" t="s">
        <v>50895</v>
      </c>
      <c r="W2548" t="s">
        <v>43631</v>
      </c>
      <c r="X2548" t="s">
        <v>46574</v>
      </c>
    </row>
    <row r="2549" spans="1:24">
      <c r="A2549">
        <f>HYPERLINK("https://www.philgeps.gov.ph/GEPSNONPILOT/Tender/SplashBidNoticeAbstractUI.aspx?menuIndex=3&amp;refID=7059533&amp;Result=3","7059533")</f>
        <v>0</v>
      </c>
      <c r="B2549" t="s">
        <v>1019</v>
      </c>
      <c r="C2549" t="s">
        <v>5996</v>
      </c>
      <c r="D2549" t="s">
        <v>18831</v>
      </c>
      <c r="E2549" t="s">
        <v>21224</v>
      </c>
      <c r="F2549" t="s">
        <v>32664</v>
      </c>
      <c r="G2549" t="s">
        <v>32672</v>
      </c>
      <c r="H2549" t="s">
        <v>32683</v>
      </c>
      <c r="I2549" t="s">
        <v>10627</v>
      </c>
      <c r="J2549" t="s">
        <v>34593</v>
      </c>
      <c r="K2549" t="s">
        <v>42389</v>
      </c>
      <c r="M2549" t="s">
        <v>43631</v>
      </c>
      <c r="N2549" t="s">
        <v>46569</v>
      </c>
      <c r="O2549" t="s">
        <v>46570</v>
      </c>
      <c r="P2549">
        <v>0</v>
      </c>
      <c r="Q2549">
        <v>0</v>
      </c>
      <c r="R2549" t="s">
        <v>46572</v>
      </c>
      <c r="S2549" t="s">
        <v>46689</v>
      </c>
      <c r="T2549" t="s">
        <v>48220</v>
      </c>
      <c r="U2549" t="s">
        <v>50896</v>
      </c>
      <c r="W2549" t="s">
        <v>43631</v>
      </c>
      <c r="X2549" t="s">
        <v>46574</v>
      </c>
    </row>
    <row r="2550" spans="1:24">
      <c r="A2550">
        <f>HYPERLINK("https://www.philgeps.gov.ph/GEPSNONPILOT/Tender/SplashBidNoticeAbstractUI.aspx?menuIndex=3&amp;refID=7059213&amp;Result=3","7059213")</f>
        <v>0</v>
      </c>
      <c r="B2550" t="s">
        <v>460</v>
      </c>
      <c r="C2550" t="s">
        <v>5997</v>
      </c>
      <c r="D2550" t="s">
        <v>18806</v>
      </c>
      <c r="E2550" t="s">
        <v>21225</v>
      </c>
      <c r="F2550" t="s">
        <v>32664</v>
      </c>
      <c r="G2550" t="s">
        <v>32672</v>
      </c>
      <c r="H2550" t="s">
        <v>12635</v>
      </c>
      <c r="I2550" t="s">
        <v>9486</v>
      </c>
      <c r="J2550" t="s">
        <v>34596</v>
      </c>
      <c r="K2550" t="s">
        <v>42330</v>
      </c>
      <c r="M2550" t="s">
        <v>43641</v>
      </c>
      <c r="N2550" t="s">
        <v>46569</v>
      </c>
      <c r="O2550" t="s">
        <v>46570</v>
      </c>
      <c r="P2550">
        <v>0</v>
      </c>
      <c r="Q2550">
        <v>1</v>
      </c>
      <c r="R2550" t="s">
        <v>46572</v>
      </c>
      <c r="S2550" t="s">
        <v>46689</v>
      </c>
      <c r="T2550" t="s">
        <v>48321</v>
      </c>
      <c r="U2550" t="s">
        <v>50897</v>
      </c>
      <c r="V2550" t="s">
        <v>61876</v>
      </c>
      <c r="W2550" t="s">
        <v>43641</v>
      </c>
      <c r="X2550" t="s">
        <v>46574</v>
      </c>
    </row>
    <row r="2551" spans="1:24">
      <c r="A2551">
        <f>HYPERLINK("https://www.philgeps.gov.ph/GEPSNONPILOT/Tender/SplashBidNoticeAbstractUI.aspx?menuIndex=3&amp;refID=7059523&amp;Result=3","7059523")</f>
        <v>0</v>
      </c>
      <c r="B2551" t="s">
        <v>1019</v>
      </c>
      <c r="C2551" t="s">
        <v>5998</v>
      </c>
      <c r="D2551" t="s">
        <v>18831</v>
      </c>
      <c r="E2551" t="s">
        <v>21226</v>
      </c>
      <c r="F2551" t="s">
        <v>32664</v>
      </c>
      <c r="G2551" t="s">
        <v>32672</v>
      </c>
      <c r="H2551" t="s">
        <v>32683</v>
      </c>
      <c r="I2551" t="s">
        <v>10627</v>
      </c>
      <c r="J2551" t="s">
        <v>34597</v>
      </c>
      <c r="K2551" t="s">
        <v>42391</v>
      </c>
      <c r="M2551" t="s">
        <v>43631</v>
      </c>
      <c r="N2551" t="s">
        <v>46569</v>
      </c>
      <c r="O2551" t="s">
        <v>46570</v>
      </c>
      <c r="P2551">
        <v>0</v>
      </c>
      <c r="Q2551">
        <v>0</v>
      </c>
      <c r="R2551" t="s">
        <v>46572</v>
      </c>
      <c r="S2551" t="s">
        <v>46689</v>
      </c>
      <c r="T2551" t="s">
        <v>48220</v>
      </c>
      <c r="U2551" t="s">
        <v>50898</v>
      </c>
      <c r="W2551" t="s">
        <v>43631</v>
      </c>
      <c r="X2551" t="s">
        <v>46574</v>
      </c>
    </row>
    <row r="2552" spans="1:24">
      <c r="A2552">
        <f>HYPERLINK("https://www.philgeps.gov.ph/GEPSNONPILOT/Tender/SplashBidNoticeAbstractUI.aspx?menuIndex=3&amp;refID=7059511&amp;Result=3","7059511")</f>
        <v>0</v>
      </c>
      <c r="B2552" t="s">
        <v>1019</v>
      </c>
      <c r="C2552" t="s">
        <v>5999</v>
      </c>
      <c r="D2552" t="s">
        <v>18831</v>
      </c>
      <c r="E2552" t="s">
        <v>21227</v>
      </c>
      <c r="F2552" t="s">
        <v>32664</v>
      </c>
      <c r="G2552" t="s">
        <v>32672</v>
      </c>
      <c r="H2552" t="s">
        <v>32683</v>
      </c>
      <c r="I2552" t="s">
        <v>10627</v>
      </c>
      <c r="J2552" t="s">
        <v>34598</v>
      </c>
      <c r="K2552" t="s">
        <v>42362</v>
      </c>
      <c r="M2552" t="s">
        <v>43631</v>
      </c>
      <c r="N2552" t="s">
        <v>46569</v>
      </c>
      <c r="O2552" t="s">
        <v>46570</v>
      </c>
      <c r="P2552">
        <v>0</v>
      </c>
      <c r="Q2552">
        <v>0</v>
      </c>
      <c r="R2552" t="s">
        <v>46572</v>
      </c>
      <c r="S2552" t="s">
        <v>46689</v>
      </c>
      <c r="T2552" t="s">
        <v>48220</v>
      </c>
      <c r="U2552" t="s">
        <v>50899</v>
      </c>
      <c r="W2552" t="s">
        <v>43631</v>
      </c>
      <c r="X2552" t="s">
        <v>46574</v>
      </c>
    </row>
    <row r="2553" spans="1:24">
      <c r="A2553">
        <f>HYPERLINK("https://www.philgeps.gov.ph/GEPSNONPILOT/Tender/SplashBidNoticeAbstractUI.aspx?menuIndex=3&amp;refID=7059505&amp;Result=3","7059505")</f>
        <v>0</v>
      </c>
      <c r="B2553" t="s">
        <v>1028</v>
      </c>
      <c r="C2553" t="s">
        <v>6000</v>
      </c>
      <c r="D2553" t="s">
        <v>18805</v>
      </c>
      <c r="E2553" t="s">
        <v>21228</v>
      </c>
      <c r="F2553" t="s">
        <v>32664</v>
      </c>
      <c r="G2553" t="s">
        <v>32671</v>
      </c>
      <c r="H2553" t="s">
        <v>12635</v>
      </c>
      <c r="I2553" t="s">
        <v>32691</v>
      </c>
      <c r="J2553" t="s">
        <v>32976</v>
      </c>
      <c r="K2553" t="s">
        <v>42303</v>
      </c>
      <c r="M2553" t="s">
        <v>43640</v>
      </c>
      <c r="N2553" t="s">
        <v>46569</v>
      </c>
      <c r="O2553" t="s">
        <v>46570</v>
      </c>
      <c r="P2553">
        <v>0</v>
      </c>
      <c r="Q2553">
        <v>0</v>
      </c>
      <c r="R2553" t="s">
        <v>46572</v>
      </c>
      <c r="S2553" t="s">
        <v>46689</v>
      </c>
      <c r="T2553" t="s">
        <v>48330</v>
      </c>
      <c r="U2553" t="s">
        <v>50900</v>
      </c>
      <c r="W2553" t="s">
        <v>63503</v>
      </c>
      <c r="X2553" t="s">
        <v>46574</v>
      </c>
    </row>
    <row r="2554" spans="1:24">
      <c r="A2554">
        <f>HYPERLINK("https://www.philgeps.gov.ph/GEPSNONPILOT/Tender/SplashBidNoticeAbstractUI.aspx?menuIndex=3&amp;refID=7058259&amp;Result=3","7058259")</f>
        <v>0</v>
      </c>
      <c r="B2554" t="s">
        <v>460</v>
      </c>
      <c r="C2554" t="s">
        <v>6001</v>
      </c>
      <c r="D2554" t="s">
        <v>18806</v>
      </c>
      <c r="E2554" t="s">
        <v>21229</v>
      </c>
      <c r="F2554" t="s">
        <v>32664</v>
      </c>
      <c r="G2554" t="s">
        <v>32672</v>
      </c>
      <c r="H2554" t="s">
        <v>12635</v>
      </c>
      <c r="I2554" t="s">
        <v>32708</v>
      </c>
      <c r="J2554" t="s">
        <v>32842</v>
      </c>
      <c r="K2554" t="s">
        <v>42281</v>
      </c>
      <c r="M2554" t="s">
        <v>43641</v>
      </c>
      <c r="N2554" t="s">
        <v>46569</v>
      </c>
      <c r="O2554" t="s">
        <v>46570</v>
      </c>
      <c r="P2554">
        <v>0</v>
      </c>
      <c r="Q2554">
        <v>2</v>
      </c>
      <c r="R2554" t="s">
        <v>46572</v>
      </c>
      <c r="S2554" t="s">
        <v>46689</v>
      </c>
      <c r="T2554" t="s">
        <v>48404</v>
      </c>
      <c r="U2554" t="s">
        <v>50901</v>
      </c>
      <c r="V2554" t="s">
        <v>61877</v>
      </c>
      <c r="W2554" t="s">
        <v>43641</v>
      </c>
      <c r="X2554" t="s">
        <v>46576</v>
      </c>
    </row>
    <row r="2555" spans="1:24">
      <c r="A2555">
        <f>HYPERLINK("https://www.philgeps.gov.ph/GEPSNONPILOT/Tender/SplashBidNoticeAbstractUI.aspx?menuIndex=3&amp;refID=7059504&amp;Result=3","7059504")</f>
        <v>0</v>
      </c>
      <c r="B2555" t="s">
        <v>1019</v>
      </c>
      <c r="C2555" t="s">
        <v>6002</v>
      </c>
      <c r="D2555" t="s">
        <v>18831</v>
      </c>
      <c r="E2555" t="s">
        <v>21230</v>
      </c>
      <c r="F2555" t="s">
        <v>32664</v>
      </c>
      <c r="G2555" t="s">
        <v>32672</v>
      </c>
      <c r="H2555" t="s">
        <v>32683</v>
      </c>
      <c r="I2555" t="s">
        <v>10627</v>
      </c>
      <c r="J2555" t="s">
        <v>34595</v>
      </c>
      <c r="K2555" t="s">
        <v>42390</v>
      </c>
      <c r="M2555" t="s">
        <v>43631</v>
      </c>
      <c r="N2555" t="s">
        <v>46569</v>
      </c>
      <c r="O2555" t="s">
        <v>46570</v>
      </c>
      <c r="P2555">
        <v>0</v>
      </c>
      <c r="Q2555">
        <v>1</v>
      </c>
      <c r="R2555" t="s">
        <v>46572</v>
      </c>
      <c r="S2555" t="s">
        <v>46689</v>
      </c>
      <c r="T2555" t="s">
        <v>48220</v>
      </c>
      <c r="U2555" t="s">
        <v>50895</v>
      </c>
      <c r="W2555" t="s">
        <v>43631</v>
      </c>
      <c r="X2555" t="s">
        <v>46574</v>
      </c>
    </row>
    <row r="2556" spans="1:24">
      <c r="A2556">
        <f>HYPERLINK("https://www.philgeps.gov.ph/GEPSNONPILOT/Tender/SplashBidNoticeAbstractUI.aspx?menuIndex=3&amp;refID=7059481&amp;Result=3","7059481")</f>
        <v>0</v>
      </c>
      <c r="B2556" t="s">
        <v>1019</v>
      </c>
      <c r="C2556" t="s">
        <v>6003</v>
      </c>
      <c r="D2556" t="s">
        <v>18831</v>
      </c>
      <c r="E2556" t="s">
        <v>21231</v>
      </c>
      <c r="F2556" t="s">
        <v>32664</v>
      </c>
      <c r="G2556" t="s">
        <v>32672</v>
      </c>
      <c r="H2556" t="s">
        <v>32683</v>
      </c>
      <c r="I2556" t="s">
        <v>10627</v>
      </c>
      <c r="J2556" t="s">
        <v>34599</v>
      </c>
      <c r="K2556" t="s">
        <v>42392</v>
      </c>
      <c r="M2556" t="s">
        <v>43631</v>
      </c>
      <c r="N2556" t="s">
        <v>46569</v>
      </c>
      <c r="O2556" t="s">
        <v>46570</v>
      </c>
      <c r="P2556">
        <v>0</v>
      </c>
      <c r="Q2556">
        <v>1</v>
      </c>
      <c r="R2556" t="s">
        <v>46572</v>
      </c>
      <c r="S2556" t="s">
        <v>46689</v>
      </c>
      <c r="T2556" t="s">
        <v>48220</v>
      </c>
      <c r="U2556" t="s">
        <v>50902</v>
      </c>
      <c r="W2556" t="s">
        <v>43631</v>
      </c>
      <c r="X2556" t="s">
        <v>46574</v>
      </c>
    </row>
    <row r="2557" spans="1:24">
      <c r="A2557">
        <f>HYPERLINK("https://www.philgeps.gov.ph/GEPSNONPILOT/Tender/SplashBidNoticeAbstractUI.aspx?menuIndex=3&amp;refID=7059440&amp;Result=3","7059440")</f>
        <v>0</v>
      </c>
      <c r="B2557" t="s">
        <v>1030</v>
      </c>
      <c r="C2557" t="s">
        <v>6004</v>
      </c>
      <c r="D2557" t="s">
        <v>18842</v>
      </c>
      <c r="E2557" t="s">
        <v>21232</v>
      </c>
      <c r="F2557" t="s">
        <v>32664</v>
      </c>
      <c r="G2557" t="s">
        <v>32672</v>
      </c>
      <c r="H2557" t="s">
        <v>12635</v>
      </c>
      <c r="I2557" t="s">
        <v>32736</v>
      </c>
      <c r="J2557" t="s">
        <v>34600</v>
      </c>
      <c r="K2557" t="s">
        <v>42334</v>
      </c>
      <c r="M2557" t="s">
        <v>43643</v>
      </c>
      <c r="N2557" t="s">
        <v>46569</v>
      </c>
      <c r="O2557" t="s">
        <v>46570</v>
      </c>
      <c r="P2557">
        <v>0</v>
      </c>
      <c r="Q2557">
        <v>0</v>
      </c>
      <c r="R2557" t="s">
        <v>46572</v>
      </c>
      <c r="S2557" t="s">
        <v>46689</v>
      </c>
      <c r="T2557" t="s">
        <v>48220</v>
      </c>
      <c r="U2557" t="s">
        <v>50867</v>
      </c>
      <c r="V2557" t="s">
        <v>50867</v>
      </c>
      <c r="W2557" t="s">
        <v>43643</v>
      </c>
      <c r="X2557" t="s">
        <v>46574</v>
      </c>
    </row>
    <row r="2558" spans="1:24">
      <c r="A2558">
        <f>HYPERLINK("https://www.philgeps.gov.ph/GEPSNONPILOT/Tender/SplashBidNoticeAbstractUI.aspx?menuIndex=3&amp;refID=7059429&amp;Result=3","7059429")</f>
        <v>0</v>
      </c>
      <c r="B2558" t="s">
        <v>1033</v>
      </c>
      <c r="C2558" t="s">
        <v>6005</v>
      </c>
      <c r="D2558" t="s">
        <v>18842</v>
      </c>
      <c r="E2558" t="s">
        <v>21233</v>
      </c>
      <c r="F2558" t="s">
        <v>32664</v>
      </c>
      <c r="G2558" t="s">
        <v>32672</v>
      </c>
      <c r="H2558" t="s">
        <v>32683</v>
      </c>
      <c r="I2558" t="s">
        <v>10627</v>
      </c>
      <c r="J2558" t="s">
        <v>32865</v>
      </c>
      <c r="K2558" t="s">
        <v>42281</v>
      </c>
      <c r="M2558" t="s">
        <v>43646</v>
      </c>
      <c r="N2558" t="s">
        <v>46569</v>
      </c>
      <c r="O2558" t="s">
        <v>46570</v>
      </c>
      <c r="P2558">
        <v>0</v>
      </c>
      <c r="Q2558">
        <v>0</v>
      </c>
      <c r="R2558" t="s">
        <v>46572</v>
      </c>
      <c r="S2558" t="s">
        <v>46689</v>
      </c>
      <c r="T2558" t="s">
        <v>48220</v>
      </c>
      <c r="U2558" t="s">
        <v>50903</v>
      </c>
      <c r="W2558" t="s">
        <v>43646</v>
      </c>
      <c r="X2558" t="s">
        <v>46574</v>
      </c>
    </row>
    <row r="2559" spans="1:24">
      <c r="A2559">
        <f>HYPERLINK("https://www.philgeps.gov.ph/GEPSNONPILOT/Tender/SplashBidNoticeAbstractUI.aspx?menuIndex=3&amp;refID=7059395&amp;Result=3","7059395")</f>
        <v>0</v>
      </c>
      <c r="B2559" t="s">
        <v>1028</v>
      </c>
      <c r="C2559" t="s">
        <v>6006</v>
      </c>
      <c r="D2559" t="s">
        <v>18805</v>
      </c>
      <c r="E2559" t="s">
        <v>21234</v>
      </c>
      <c r="F2559" t="s">
        <v>32664</v>
      </c>
      <c r="G2559" t="s">
        <v>32671</v>
      </c>
      <c r="H2559" t="s">
        <v>12635</v>
      </c>
      <c r="I2559" t="s">
        <v>8797</v>
      </c>
      <c r="J2559" t="s">
        <v>34601</v>
      </c>
      <c r="K2559" t="s">
        <v>42303</v>
      </c>
      <c r="M2559" t="s">
        <v>43640</v>
      </c>
      <c r="N2559" t="s">
        <v>46569</v>
      </c>
      <c r="O2559" t="s">
        <v>46570</v>
      </c>
      <c r="P2559">
        <v>0</v>
      </c>
      <c r="Q2559">
        <v>4</v>
      </c>
      <c r="R2559" t="s">
        <v>46572</v>
      </c>
      <c r="S2559" t="s">
        <v>46689</v>
      </c>
      <c r="T2559" t="s">
        <v>48330</v>
      </c>
      <c r="U2559" t="s">
        <v>50875</v>
      </c>
      <c r="W2559" t="s">
        <v>63503</v>
      </c>
      <c r="X2559" t="s">
        <v>46574</v>
      </c>
    </row>
    <row r="2560" spans="1:24">
      <c r="A2560">
        <f>HYPERLINK("https://www.philgeps.gov.ph/GEPSNONPILOT/Tender/SplashBidNoticeAbstractUI.aspx?menuIndex=3&amp;refID=7059381&amp;Result=3","7059381")</f>
        <v>0</v>
      </c>
      <c r="B2560" t="s">
        <v>1030</v>
      </c>
      <c r="C2560" t="s">
        <v>6007</v>
      </c>
      <c r="D2560" t="s">
        <v>18792</v>
      </c>
      <c r="E2560" t="s">
        <v>21235</v>
      </c>
      <c r="F2560" t="s">
        <v>32664</v>
      </c>
      <c r="G2560" t="s">
        <v>32672</v>
      </c>
      <c r="H2560" t="s">
        <v>12635</v>
      </c>
      <c r="I2560" t="s">
        <v>32736</v>
      </c>
      <c r="J2560" t="s">
        <v>33261</v>
      </c>
      <c r="K2560" t="s">
        <v>42298</v>
      </c>
      <c r="M2560" t="s">
        <v>43643</v>
      </c>
      <c r="N2560" t="s">
        <v>46569</v>
      </c>
      <c r="O2560" t="s">
        <v>46570</v>
      </c>
      <c r="P2560">
        <v>0</v>
      </c>
      <c r="Q2560">
        <v>1</v>
      </c>
      <c r="R2560" t="s">
        <v>46572</v>
      </c>
      <c r="S2560" t="s">
        <v>46689</v>
      </c>
      <c r="T2560" t="s">
        <v>48220</v>
      </c>
      <c r="U2560" t="s">
        <v>50867</v>
      </c>
      <c r="V2560" t="s">
        <v>50867</v>
      </c>
      <c r="W2560" t="s">
        <v>43643</v>
      </c>
      <c r="X2560" t="s">
        <v>46574</v>
      </c>
    </row>
    <row r="2561" spans="1:24">
      <c r="A2561">
        <f>HYPERLINK("https://www.philgeps.gov.ph/GEPSNONPILOT/Tender/SplashBidNoticeAbstractUI.aspx?menuIndex=3&amp;refID=7059372&amp;Result=3","7059372")</f>
        <v>0</v>
      </c>
      <c r="B2561" t="s">
        <v>1027</v>
      </c>
      <c r="C2561" t="s">
        <v>6008</v>
      </c>
      <c r="D2561" t="s">
        <v>18790</v>
      </c>
      <c r="E2561" t="s">
        <v>21236</v>
      </c>
      <c r="F2561" t="s">
        <v>32664</v>
      </c>
      <c r="G2561" t="s">
        <v>32672</v>
      </c>
      <c r="H2561" t="s">
        <v>12635</v>
      </c>
      <c r="I2561" t="s">
        <v>4333</v>
      </c>
      <c r="J2561" t="s">
        <v>34602</v>
      </c>
      <c r="K2561" t="s">
        <v>42283</v>
      </c>
      <c r="M2561" t="s">
        <v>43639</v>
      </c>
      <c r="N2561" t="s">
        <v>46569</v>
      </c>
      <c r="O2561" t="s">
        <v>46570</v>
      </c>
      <c r="P2561">
        <v>0</v>
      </c>
      <c r="Q2561">
        <v>0</v>
      </c>
      <c r="R2561" t="s">
        <v>46572</v>
      </c>
      <c r="S2561" t="s">
        <v>46689</v>
      </c>
      <c r="T2561" t="s">
        <v>48452</v>
      </c>
      <c r="U2561" t="s">
        <v>50904</v>
      </c>
      <c r="W2561" t="s">
        <v>43639</v>
      </c>
      <c r="X2561" t="s">
        <v>46574</v>
      </c>
    </row>
    <row r="2562" spans="1:24">
      <c r="A2562">
        <f>HYPERLINK("https://www.philgeps.gov.ph/GEPSNONPILOT/Tender/SplashBidNoticeAbstractUI.aspx?menuIndex=3&amp;refID=7058250&amp;Result=3","7058250")</f>
        <v>0</v>
      </c>
      <c r="B2562" t="s">
        <v>460</v>
      </c>
      <c r="C2562" t="s">
        <v>6009</v>
      </c>
      <c r="D2562" t="s">
        <v>18806</v>
      </c>
      <c r="E2562" t="s">
        <v>21237</v>
      </c>
      <c r="F2562" t="s">
        <v>32664</v>
      </c>
      <c r="G2562" t="s">
        <v>32672</v>
      </c>
      <c r="H2562" t="s">
        <v>12635</v>
      </c>
      <c r="I2562" t="s">
        <v>4205</v>
      </c>
      <c r="J2562" t="s">
        <v>34603</v>
      </c>
      <c r="K2562" t="s">
        <v>42330</v>
      </c>
      <c r="M2562" t="s">
        <v>43641</v>
      </c>
      <c r="N2562" t="s">
        <v>46569</v>
      </c>
      <c r="O2562" t="s">
        <v>46570</v>
      </c>
      <c r="P2562">
        <v>0</v>
      </c>
      <c r="Q2562">
        <v>0</v>
      </c>
      <c r="R2562" t="s">
        <v>46572</v>
      </c>
      <c r="S2562" t="s">
        <v>46689</v>
      </c>
      <c r="T2562" t="s">
        <v>48321</v>
      </c>
      <c r="U2562" t="s">
        <v>50905</v>
      </c>
      <c r="V2562" t="s">
        <v>61877</v>
      </c>
      <c r="W2562" t="s">
        <v>43641</v>
      </c>
      <c r="X2562" t="s">
        <v>46576</v>
      </c>
    </row>
    <row r="2563" spans="1:24">
      <c r="A2563">
        <f>HYPERLINK("https://www.philgeps.gov.ph/GEPSNONPILOT/Tender/SplashBidNoticeAbstractUI.aspx?menuIndex=3&amp;refID=7058208&amp;Result=3","7058208")</f>
        <v>0</v>
      </c>
      <c r="B2563" t="s">
        <v>130</v>
      </c>
      <c r="C2563" t="s">
        <v>6010</v>
      </c>
      <c r="D2563" t="s">
        <v>18826</v>
      </c>
      <c r="E2563" t="s">
        <v>21238</v>
      </c>
      <c r="F2563" t="s">
        <v>32664</v>
      </c>
      <c r="G2563" t="s">
        <v>32672</v>
      </c>
      <c r="H2563" t="s">
        <v>12635</v>
      </c>
      <c r="I2563" t="s">
        <v>4439</v>
      </c>
      <c r="J2563" t="s">
        <v>34604</v>
      </c>
      <c r="K2563" t="s">
        <v>42283</v>
      </c>
      <c r="M2563" t="s">
        <v>42694</v>
      </c>
      <c r="N2563" t="s">
        <v>46569</v>
      </c>
      <c r="O2563" t="s">
        <v>46570</v>
      </c>
      <c r="P2563">
        <v>0</v>
      </c>
      <c r="Q2563">
        <v>0</v>
      </c>
      <c r="R2563" t="s">
        <v>46572</v>
      </c>
      <c r="S2563" t="s">
        <v>46689</v>
      </c>
      <c r="T2563" t="s">
        <v>48295</v>
      </c>
      <c r="U2563" t="s">
        <v>50906</v>
      </c>
      <c r="V2563" t="s">
        <v>61738</v>
      </c>
      <c r="W2563" t="s">
        <v>42694</v>
      </c>
      <c r="X2563" t="s">
        <v>46576</v>
      </c>
    </row>
    <row r="2564" spans="1:24">
      <c r="A2564">
        <f>HYPERLINK("https://www.philgeps.gov.ph/GEPSNONPILOT/Tender/SplashBidNoticeAbstractUI.aspx?menuIndex=3&amp;refID=7058054&amp;Result=3","7058054")</f>
        <v>0</v>
      </c>
      <c r="B2564" t="s">
        <v>478</v>
      </c>
      <c r="C2564" t="s">
        <v>6011</v>
      </c>
      <c r="D2564" t="s">
        <v>18849</v>
      </c>
      <c r="E2564" t="s">
        <v>21239</v>
      </c>
      <c r="F2564" t="s">
        <v>32664</v>
      </c>
      <c r="G2564" t="s">
        <v>32671</v>
      </c>
      <c r="H2564" t="s">
        <v>12635</v>
      </c>
      <c r="I2564" t="s">
        <v>6628</v>
      </c>
      <c r="J2564" t="s">
        <v>33008</v>
      </c>
      <c r="K2564" t="s">
        <v>42306</v>
      </c>
      <c r="M2564" t="s">
        <v>43053</v>
      </c>
      <c r="N2564" t="s">
        <v>46569</v>
      </c>
      <c r="O2564" t="s">
        <v>46570</v>
      </c>
      <c r="P2564">
        <v>0</v>
      </c>
      <c r="Q2564">
        <v>3</v>
      </c>
      <c r="R2564" t="s">
        <v>46572</v>
      </c>
      <c r="S2564" t="s">
        <v>46689</v>
      </c>
      <c r="T2564" t="s">
        <v>48221</v>
      </c>
      <c r="U2564" t="s">
        <v>50907</v>
      </c>
      <c r="W2564" t="s">
        <v>43053</v>
      </c>
      <c r="X2564" t="s">
        <v>46576</v>
      </c>
    </row>
    <row r="2565" spans="1:24">
      <c r="A2565">
        <f>HYPERLINK("https://www.philgeps.gov.ph/GEPSNONPILOT/Tender/SplashBidNoticeAbstractUI.aspx?menuIndex=3&amp;refID=5211368&amp;Result=3","5211368")</f>
        <v>0</v>
      </c>
      <c r="B2565" t="s">
        <v>1034</v>
      </c>
      <c r="C2565" t="s">
        <v>6012</v>
      </c>
      <c r="D2565" t="s">
        <v>18844</v>
      </c>
      <c r="E2565" t="s">
        <v>21240</v>
      </c>
      <c r="F2565" t="s">
        <v>32664</v>
      </c>
      <c r="G2565" t="s">
        <v>32672</v>
      </c>
      <c r="H2565" t="s">
        <v>12635</v>
      </c>
      <c r="I2565" t="s">
        <v>11464</v>
      </c>
      <c r="J2565" t="s">
        <v>32865</v>
      </c>
      <c r="K2565" t="s">
        <v>42289</v>
      </c>
      <c r="M2565" t="s">
        <v>43647</v>
      </c>
      <c r="N2565" t="s">
        <v>46569</v>
      </c>
      <c r="O2565" t="s">
        <v>46570</v>
      </c>
      <c r="P2565">
        <v>0</v>
      </c>
      <c r="Q2565">
        <v>2</v>
      </c>
      <c r="R2565" t="s">
        <v>46572</v>
      </c>
      <c r="S2565" t="s">
        <v>46689</v>
      </c>
      <c r="T2565" t="s">
        <v>48319</v>
      </c>
      <c r="U2565" t="s">
        <v>50908</v>
      </c>
      <c r="W2565" t="s">
        <v>43647</v>
      </c>
      <c r="X2565" t="s">
        <v>63608</v>
      </c>
    </row>
    <row r="2566" spans="1:24">
      <c r="A2566">
        <f>HYPERLINK("https://www.philgeps.gov.ph/GEPSNONPILOT/Tender/SplashBidNoticeAbstractUI.aspx?menuIndex=3&amp;refID=7059221&amp;Result=3","7059221")</f>
        <v>0</v>
      </c>
      <c r="B2566" t="s">
        <v>1030</v>
      </c>
      <c r="C2566" t="s">
        <v>6013</v>
      </c>
      <c r="D2566" t="s">
        <v>18834</v>
      </c>
      <c r="E2566" t="s">
        <v>21241</v>
      </c>
      <c r="F2566" t="s">
        <v>32664</v>
      </c>
      <c r="G2566" t="s">
        <v>32672</v>
      </c>
      <c r="H2566" t="s">
        <v>12635</v>
      </c>
      <c r="I2566" t="s">
        <v>32704</v>
      </c>
      <c r="J2566" t="s">
        <v>34587</v>
      </c>
      <c r="K2566" t="s">
        <v>42298</v>
      </c>
      <c r="M2566" t="s">
        <v>43643</v>
      </c>
      <c r="N2566" t="s">
        <v>46569</v>
      </c>
      <c r="O2566" t="s">
        <v>46570</v>
      </c>
      <c r="Q2566">
        <v>13</v>
      </c>
      <c r="R2566" t="s">
        <v>46572</v>
      </c>
      <c r="S2566" t="s">
        <v>46691</v>
      </c>
      <c r="T2566" t="s">
        <v>48220</v>
      </c>
      <c r="U2566" t="s">
        <v>50867</v>
      </c>
      <c r="V2566" t="s">
        <v>50867</v>
      </c>
      <c r="W2566" t="s">
        <v>43643</v>
      </c>
      <c r="X2566" t="s">
        <v>46574</v>
      </c>
    </row>
    <row r="2567" spans="1:24">
      <c r="A2567">
        <f>HYPERLINK("https://www.philgeps.gov.ph/GEPSNONPILOT/Tender/SplashBidNoticeAbstractUI.aspx?menuIndex=3&amp;refID=7059516&amp;Result=3","7059516")</f>
        <v>0</v>
      </c>
      <c r="B2567" t="s">
        <v>1019</v>
      </c>
      <c r="C2567" t="s">
        <v>6014</v>
      </c>
      <c r="D2567" t="s">
        <v>18831</v>
      </c>
      <c r="E2567" t="s">
        <v>21242</v>
      </c>
      <c r="F2567" t="s">
        <v>32664</v>
      </c>
      <c r="G2567" t="s">
        <v>32672</v>
      </c>
      <c r="H2567" t="s">
        <v>32683</v>
      </c>
      <c r="I2567" t="s">
        <v>10627</v>
      </c>
      <c r="J2567" t="s">
        <v>34605</v>
      </c>
      <c r="K2567" t="s">
        <v>42359</v>
      </c>
      <c r="M2567" t="s">
        <v>43631</v>
      </c>
      <c r="N2567" t="s">
        <v>46569</v>
      </c>
      <c r="O2567" t="s">
        <v>46570</v>
      </c>
      <c r="P2567">
        <v>0</v>
      </c>
      <c r="Q2567">
        <v>0</v>
      </c>
      <c r="R2567" t="s">
        <v>46572</v>
      </c>
      <c r="S2567" t="s">
        <v>46689</v>
      </c>
      <c r="T2567" t="s">
        <v>48220</v>
      </c>
      <c r="U2567" t="s">
        <v>50909</v>
      </c>
      <c r="W2567" t="s">
        <v>43631</v>
      </c>
      <c r="X2567" t="s">
        <v>46574</v>
      </c>
    </row>
    <row r="2568" spans="1:24">
      <c r="A2568">
        <f>HYPERLINK("https://www.philgeps.gov.ph/GEPSNONPILOT/Tender/SplashBidNoticeAbstractUI.aspx?menuIndex=3&amp;refID=7067364&amp;Result=3","7067364")</f>
        <v>0</v>
      </c>
      <c r="B2568" t="s">
        <v>995</v>
      </c>
      <c r="C2568" t="s">
        <v>6015</v>
      </c>
      <c r="D2568" t="s">
        <v>18798</v>
      </c>
      <c r="E2568" t="s">
        <v>21243</v>
      </c>
      <c r="F2568" t="s">
        <v>32664</v>
      </c>
      <c r="G2568" t="s">
        <v>32671</v>
      </c>
      <c r="H2568" t="s">
        <v>12635</v>
      </c>
      <c r="I2568" t="s">
        <v>6223</v>
      </c>
      <c r="J2568" t="s">
        <v>34606</v>
      </c>
      <c r="K2568" t="s">
        <v>42283</v>
      </c>
      <c r="M2568" t="s">
        <v>43607</v>
      </c>
      <c r="N2568" t="s">
        <v>46569</v>
      </c>
      <c r="O2568" t="s">
        <v>46570</v>
      </c>
      <c r="P2568">
        <v>0</v>
      </c>
      <c r="Q2568">
        <v>1</v>
      </c>
      <c r="R2568" t="s">
        <v>46571</v>
      </c>
      <c r="S2568" t="s">
        <v>46687</v>
      </c>
      <c r="T2568" t="s">
        <v>48244</v>
      </c>
      <c r="U2568" t="s">
        <v>50910</v>
      </c>
      <c r="W2568" t="s">
        <v>43607</v>
      </c>
      <c r="X2568" t="s">
        <v>46572</v>
      </c>
    </row>
    <row r="2569" spans="1:24">
      <c r="A2569">
        <f>HYPERLINK("https://www.philgeps.gov.ph/GEPSNONPILOT/Tender/SplashBidNoticeAbstractUI.aspx?menuIndex=3&amp;refID=7059246&amp;Result=3","7059246")</f>
        <v>0</v>
      </c>
      <c r="B2569" t="s">
        <v>605</v>
      </c>
      <c r="C2569" t="s">
        <v>6016</v>
      </c>
      <c r="D2569" t="s">
        <v>18858</v>
      </c>
      <c r="E2569" t="s">
        <v>21244</v>
      </c>
      <c r="F2569" t="s">
        <v>32664</v>
      </c>
      <c r="G2569" t="s">
        <v>32672</v>
      </c>
      <c r="H2569" t="s">
        <v>12635</v>
      </c>
      <c r="I2569" t="s">
        <v>4439</v>
      </c>
      <c r="J2569" t="s">
        <v>34607</v>
      </c>
      <c r="K2569" t="s">
        <v>42303</v>
      </c>
      <c r="M2569" t="s">
        <v>43185</v>
      </c>
      <c r="N2569" t="s">
        <v>46569</v>
      </c>
      <c r="O2569" t="s">
        <v>46570</v>
      </c>
      <c r="P2569">
        <v>0</v>
      </c>
      <c r="Q2569">
        <v>0</v>
      </c>
      <c r="R2569" t="s">
        <v>46572</v>
      </c>
      <c r="S2569" t="s">
        <v>46689</v>
      </c>
      <c r="T2569" t="s">
        <v>48230</v>
      </c>
      <c r="U2569" t="s">
        <v>50911</v>
      </c>
      <c r="W2569" t="s">
        <v>43185</v>
      </c>
      <c r="X2569" t="s">
        <v>46574</v>
      </c>
    </row>
    <row r="2570" spans="1:24">
      <c r="A2570">
        <f>HYPERLINK("https://www.philgeps.gov.ph/GEPSNONPILOT/Tender/SplashBidNoticeAbstractUI.aspx?menuIndex=3&amp;refID=7067363&amp;Result=3","7067363")</f>
        <v>0</v>
      </c>
      <c r="B2570" t="s">
        <v>1035</v>
      </c>
      <c r="C2570" t="s">
        <v>6017</v>
      </c>
      <c r="D2570" t="s">
        <v>18812</v>
      </c>
      <c r="E2570" t="s">
        <v>21245</v>
      </c>
      <c r="F2570" t="s">
        <v>32664</v>
      </c>
      <c r="G2570" t="s">
        <v>32671</v>
      </c>
      <c r="H2570" t="s">
        <v>12635</v>
      </c>
      <c r="I2570" t="s">
        <v>6628</v>
      </c>
      <c r="J2570" t="s">
        <v>33831</v>
      </c>
      <c r="K2570" t="s">
        <v>42284</v>
      </c>
      <c r="M2570" t="s">
        <v>43648</v>
      </c>
      <c r="N2570" t="s">
        <v>46569</v>
      </c>
      <c r="O2570" t="s">
        <v>46570</v>
      </c>
      <c r="P2570">
        <v>0</v>
      </c>
      <c r="Q2570">
        <v>0</v>
      </c>
      <c r="R2570" t="s">
        <v>46571</v>
      </c>
      <c r="S2570" t="s">
        <v>46687</v>
      </c>
      <c r="T2570" t="s">
        <v>48217</v>
      </c>
      <c r="U2570" t="s">
        <v>50912</v>
      </c>
      <c r="W2570" t="s">
        <v>63504</v>
      </c>
      <c r="X2570" t="s">
        <v>46572</v>
      </c>
    </row>
    <row r="2571" spans="1:24">
      <c r="A2571">
        <f>HYPERLINK("https://www.philgeps.gov.ph/GEPSNONPILOT/Tender/SplashBidNoticeAbstractUI.aspx?menuIndex=3&amp;refID=7067336&amp;Result=3","7067336")</f>
        <v>0</v>
      </c>
      <c r="B2571" t="s">
        <v>998</v>
      </c>
      <c r="C2571" t="s">
        <v>6018</v>
      </c>
      <c r="D2571" t="s">
        <v>18853</v>
      </c>
      <c r="E2571" t="s">
        <v>21246</v>
      </c>
      <c r="F2571" t="s">
        <v>32664</v>
      </c>
      <c r="G2571" t="s">
        <v>32671</v>
      </c>
      <c r="H2571" t="s">
        <v>12635</v>
      </c>
      <c r="I2571" t="s">
        <v>32717</v>
      </c>
      <c r="J2571" t="s">
        <v>33578</v>
      </c>
      <c r="K2571" t="s">
        <v>42281</v>
      </c>
      <c r="M2571" t="s">
        <v>43610</v>
      </c>
      <c r="N2571" t="s">
        <v>46569</v>
      </c>
      <c r="O2571" t="s">
        <v>46570</v>
      </c>
      <c r="P2571">
        <v>0</v>
      </c>
      <c r="Q2571">
        <v>0</v>
      </c>
      <c r="R2571" t="s">
        <v>46571</v>
      </c>
      <c r="S2571" t="s">
        <v>46687</v>
      </c>
      <c r="T2571" t="s">
        <v>48228</v>
      </c>
      <c r="U2571" t="s">
        <v>50913</v>
      </c>
      <c r="W2571" t="s">
        <v>43610</v>
      </c>
      <c r="X2571" t="s">
        <v>46572</v>
      </c>
    </row>
    <row r="2572" spans="1:24">
      <c r="A2572">
        <f>HYPERLINK("https://www.philgeps.gov.ph/GEPSNONPILOT/Tender/SplashBidNoticeAbstractUI.aspx?menuIndex=3&amp;refID=7067111&amp;Result=3","7067111")</f>
        <v>0</v>
      </c>
      <c r="B2572" t="s">
        <v>1036</v>
      </c>
      <c r="C2572" t="s">
        <v>6019</v>
      </c>
      <c r="D2572" t="s">
        <v>18792</v>
      </c>
      <c r="E2572" t="s">
        <v>21247</v>
      </c>
      <c r="F2572" t="s">
        <v>32664</v>
      </c>
      <c r="G2572" t="s">
        <v>32671</v>
      </c>
      <c r="H2572" t="s">
        <v>12635</v>
      </c>
      <c r="I2572" t="s">
        <v>7759</v>
      </c>
      <c r="J2572" t="s">
        <v>33299</v>
      </c>
      <c r="K2572" t="s">
        <v>42306</v>
      </c>
      <c r="M2572" t="s">
        <v>43649</v>
      </c>
      <c r="N2572" t="s">
        <v>46569</v>
      </c>
      <c r="O2572" t="s">
        <v>46570</v>
      </c>
      <c r="P2572">
        <v>0</v>
      </c>
      <c r="Q2572">
        <v>0</v>
      </c>
      <c r="R2572" t="s">
        <v>46571</v>
      </c>
      <c r="S2572" t="s">
        <v>46687</v>
      </c>
      <c r="T2572" t="s">
        <v>48282</v>
      </c>
      <c r="U2572" t="s">
        <v>50914</v>
      </c>
      <c r="W2572" t="s">
        <v>43649</v>
      </c>
      <c r="X2572" t="s">
        <v>46572</v>
      </c>
    </row>
    <row r="2573" spans="1:24">
      <c r="A2573">
        <f>HYPERLINK("https://www.philgeps.gov.ph/GEPSNONPILOT/Tender/SplashBidNoticeAbstractUI.aspx?menuIndex=3&amp;refID=7067110&amp;Result=3","7067110")</f>
        <v>0</v>
      </c>
      <c r="B2573" t="s">
        <v>928</v>
      </c>
      <c r="C2573" t="s">
        <v>6020</v>
      </c>
      <c r="D2573" t="s">
        <v>18783</v>
      </c>
      <c r="E2573" t="s">
        <v>21248</v>
      </c>
      <c r="F2573" t="s">
        <v>32664</v>
      </c>
      <c r="G2573" t="s">
        <v>32671</v>
      </c>
      <c r="H2573" t="s">
        <v>12635</v>
      </c>
      <c r="I2573" t="s">
        <v>32712</v>
      </c>
      <c r="J2573" t="s">
        <v>33457</v>
      </c>
      <c r="K2573" t="s">
        <v>42281</v>
      </c>
      <c r="M2573" t="s">
        <v>43534</v>
      </c>
      <c r="N2573" t="s">
        <v>46569</v>
      </c>
      <c r="O2573" t="s">
        <v>46570</v>
      </c>
      <c r="P2573">
        <v>0</v>
      </c>
      <c r="Q2573">
        <v>0</v>
      </c>
      <c r="R2573" t="s">
        <v>46571</v>
      </c>
      <c r="S2573" t="s">
        <v>46687</v>
      </c>
      <c r="T2573" t="s">
        <v>48250</v>
      </c>
      <c r="U2573" t="s">
        <v>50915</v>
      </c>
      <c r="W2573" t="s">
        <v>43534</v>
      </c>
      <c r="X2573" t="s">
        <v>46572</v>
      </c>
    </row>
    <row r="2574" spans="1:24">
      <c r="A2574">
        <f>HYPERLINK("https://www.philgeps.gov.ph/GEPSNONPILOT/Tender/SplashBidNoticeAbstractUI.aspx?menuIndex=3&amp;refID=7067108&amp;Result=3","7067108")</f>
        <v>0</v>
      </c>
      <c r="B2574" t="s">
        <v>921</v>
      </c>
      <c r="C2574" t="s">
        <v>6021</v>
      </c>
      <c r="D2574" t="s">
        <v>18836</v>
      </c>
      <c r="E2574" t="s">
        <v>21249</v>
      </c>
      <c r="F2574" t="s">
        <v>32664</v>
      </c>
      <c r="G2574" t="s">
        <v>32671</v>
      </c>
      <c r="H2574" t="s">
        <v>12635</v>
      </c>
      <c r="I2574" t="s">
        <v>4439</v>
      </c>
      <c r="J2574" t="s">
        <v>34608</v>
      </c>
      <c r="K2574" t="s">
        <v>42283</v>
      </c>
      <c r="M2574" t="s">
        <v>43527</v>
      </c>
      <c r="N2574" t="s">
        <v>46569</v>
      </c>
      <c r="O2574" t="s">
        <v>46570</v>
      </c>
      <c r="P2574">
        <v>0</v>
      </c>
      <c r="Q2574">
        <v>0</v>
      </c>
      <c r="R2574" t="s">
        <v>46571</v>
      </c>
      <c r="S2574" t="s">
        <v>46687</v>
      </c>
      <c r="T2574" t="s">
        <v>48245</v>
      </c>
      <c r="U2574" t="s">
        <v>50916</v>
      </c>
      <c r="W2574" t="s">
        <v>43527</v>
      </c>
      <c r="X2574" t="s">
        <v>46572</v>
      </c>
    </row>
    <row r="2575" spans="1:24">
      <c r="A2575">
        <f>HYPERLINK("https://www.philgeps.gov.ph/GEPSNONPILOT/Tender/SplashBidNoticeAbstractUI.aspx?menuIndex=3&amp;refID=7067358&amp;Result=3","7067358")</f>
        <v>0</v>
      </c>
      <c r="B2575" t="s">
        <v>987</v>
      </c>
      <c r="C2575" t="s">
        <v>6022</v>
      </c>
      <c r="D2575" t="s">
        <v>18784</v>
      </c>
      <c r="E2575" t="s">
        <v>21250</v>
      </c>
      <c r="F2575" t="s">
        <v>32664</v>
      </c>
      <c r="G2575" t="s">
        <v>32672</v>
      </c>
      <c r="H2575" t="s">
        <v>12635</v>
      </c>
      <c r="I2575" t="s">
        <v>32704</v>
      </c>
      <c r="J2575" t="s">
        <v>34609</v>
      </c>
      <c r="K2575" t="s">
        <v>42281</v>
      </c>
      <c r="M2575" t="s">
        <v>43598</v>
      </c>
      <c r="N2575" t="s">
        <v>46569</v>
      </c>
      <c r="O2575" t="s">
        <v>46570</v>
      </c>
      <c r="P2575">
        <v>0</v>
      </c>
      <c r="Q2575">
        <v>4</v>
      </c>
      <c r="R2575" t="s">
        <v>46571</v>
      </c>
      <c r="S2575" t="s">
        <v>46687</v>
      </c>
      <c r="T2575" t="s">
        <v>48274</v>
      </c>
      <c r="U2575" t="s">
        <v>50778</v>
      </c>
      <c r="W2575" t="s">
        <v>43598</v>
      </c>
      <c r="X2575" t="s">
        <v>46572</v>
      </c>
    </row>
    <row r="2576" spans="1:24">
      <c r="A2576">
        <f>HYPERLINK("https://www.philgeps.gov.ph/GEPSNONPILOT/Tender/SplashBidNoticeAbstractUI.aspx?menuIndex=3&amp;refID=7067357&amp;Result=3","7067357")</f>
        <v>0</v>
      </c>
      <c r="B2576" t="s">
        <v>987</v>
      </c>
      <c r="C2576" t="s">
        <v>6023</v>
      </c>
      <c r="D2576" t="s">
        <v>18784</v>
      </c>
      <c r="E2576" t="s">
        <v>21251</v>
      </c>
      <c r="F2576" t="s">
        <v>32664</v>
      </c>
      <c r="G2576" t="s">
        <v>32672</v>
      </c>
      <c r="H2576" t="s">
        <v>12635</v>
      </c>
      <c r="I2576" t="s">
        <v>32704</v>
      </c>
      <c r="J2576" t="s">
        <v>33267</v>
      </c>
      <c r="K2576" t="s">
        <v>42281</v>
      </c>
      <c r="M2576" t="s">
        <v>43598</v>
      </c>
      <c r="N2576" t="s">
        <v>46569</v>
      </c>
      <c r="O2576" t="s">
        <v>46570</v>
      </c>
      <c r="P2576">
        <v>0</v>
      </c>
      <c r="Q2576">
        <v>3</v>
      </c>
      <c r="R2576" t="s">
        <v>46571</v>
      </c>
      <c r="S2576" t="s">
        <v>46687</v>
      </c>
      <c r="T2576" t="s">
        <v>48274</v>
      </c>
      <c r="U2576" t="s">
        <v>50778</v>
      </c>
      <c r="W2576" t="s">
        <v>43598</v>
      </c>
      <c r="X2576" t="s">
        <v>46572</v>
      </c>
    </row>
    <row r="2577" spans="1:24">
      <c r="A2577">
        <f>HYPERLINK("https://www.philgeps.gov.ph/GEPSNONPILOT/Tender/SplashBidNoticeAbstractUI.aspx?menuIndex=3&amp;refID=7067088&amp;Result=3","7067088")</f>
        <v>0</v>
      </c>
      <c r="B2577" t="s">
        <v>921</v>
      </c>
      <c r="C2577" t="s">
        <v>6024</v>
      </c>
      <c r="D2577" t="s">
        <v>18836</v>
      </c>
      <c r="E2577" t="s">
        <v>21252</v>
      </c>
      <c r="F2577" t="s">
        <v>32664</v>
      </c>
      <c r="G2577" t="s">
        <v>32672</v>
      </c>
      <c r="H2577" t="s">
        <v>12635</v>
      </c>
      <c r="I2577" t="s">
        <v>4439</v>
      </c>
      <c r="J2577" t="s">
        <v>34610</v>
      </c>
      <c r="K2577" t="s">
        <v>42283</v>
      </c>
      <c r="M2577" t="s">
        <v>43527</v>
      </c>
      <c r="N2577" t="s">
        <v>46569</v>
      </c>
      <c r="O2577" t="s">
        <v>46570</v>
      </c>
      <c r="P2577">
        <v>0</v>
      </c>
      <c r="Q2577">
        <v>0</v>
      </c>
      <c r="R2577" t="s">
        <v>46571</v>
      </c>
      <c r="S2577" t="s">
        <v>46687</v>
      </c>
      <c r="T2577" t="s">
        <v>48245</v>
      </c>
      <c r="U2577" t="s">
        <v>50917</v>
      </c>
      <c r="W2577" t="s">
        <v>43527</v>
      </c>
      <c r="X2577" t="s">
        <v>46572</v>
      </c>
    </row>
    <row r="2578" spans="1:24">
      <c r="A2578">
        <f>HYPERLINK("https://www.philgeps.gov.ph/GEPSNONPILOT/Tender/SplashBidNoticeAbstractUI.aspx?menuIndex=3&amp;refID=7067109&amp;Result=3","7067109")</f>
        <v>0</v>
      </c>
      <c r="B2578" t="s">
        <v>939</v>
      </c>
      <c r="C2578" t="s">
        <v>6025</v>
      </c>
      <c r="D2578" t="s">
        <v>18787</v>
      </c>
      <c r="E2578" t="s">
        <v>21253</v>
      </c>
      <c r="F2578" t="s">
        <v>32664</v>
      </c>
      <c r="G2578" t="s">
        <v>32672</v>
      </c>
      <c r="H2578" t="s">
        <v>12635</v>
      </c>
      <c r="I2578" t="s">
        <v>10370</v>
      </c>
      <c r="J2578" t="s">
        <v>34611</v>
      </c>
      <c r="K2578" t="s">
        <v>42289</v>
      </c>
      <c r="M2578" t="s">
        <v>43545</v>
      </c>
      <c r="N2578" t="s">
        <v>46569</v>
      </c>
      <c r="O2578" t="s">
        <v>46570</v>
      </c>
      <c r="P2578">
        <v>0</v>
      </c>
      <c r="Q2578">
        <v>0</v>
      </c>
      <c r="R2578" t="s">
        <v>46571</v>
      </c>
      <c r="S2578" t="s">
        <v>46687</v>
      </c>
      <c r="T2578" t="s">
        <v>48291</v>
      </c>
      <c r="U2578" t="s">
        <v>50918</v>
      </c>
      <c r="W2578" t="s">
        <v>43545</v>
      </c>
      <c r="X2578" t="s">
        <v>46572</v>
      </c>
    </row>
    <row r="2579" spans="1:24">
      <c r="A2579">
        <f>HYPERLINK("https://www.philgeps.gov.ph/GEPSNONPILOT/Tender/SplashBidNoticeAbstractUI.aspx?menuIndex=3&amp;refID=7067084&amp;Result=3","7067084")</f>
        <v>0</v>
      </c>
      <c r="B2579" t="s">
        <v>119</v>
      </c>
      <c r="C2579" t="s">
        <v>6026</v>
      </c>
      <c r="D2579" t="s">
        <v>18782</v>
      </c>
      <c r="E2579" t="s">
        <v>20939</v>
      </c>
      <c r="F2579" t="s">
        <v>32664</v>
      </c>
      <c r="G2579" t="s">
        <v>32674</v>
      </c>
      <c r="H2579" t="s">
        <v>12635</v>
      </c>
      <c r="I2579" t="s">
        <v>32692</v>
      </c>
      <c r="J2579" t="s">
        <v>34612</v>
      </c>
      <c r="K2579" t="s">
        <v>42309</v>
      </c>
      <c r="M2579" t="s">
        <v>42683</v>
      </c>
      <c r="N2579" t="s">
        <v>46569</v>
      </c>
      <c r="O2579" t="s">
        <v>46570</v>
      </c>
      <c r="P2579">
        <v>0</v>
      </c>
      <c r="Q2579">
        <v>0</v>
      </c>
      <c r="R2579" t="s">
        <v>46571</v>
      </c>
      <c r="S2579" t="s">
        <v>46687</v>
      </c>
      <c r="T2579" t="s">
        <v>48217</v>
      </c>
      <c r="U2579" t="s">
        <v>50919</v>
      </c>
      <c r="V2579" t="s">
        <v>61878</v>
      </c>
      <c r="W2579" t="s">
        <v>42683</v>
      </c>
      <c r="X2579" t="s">
        <v>46572</v>
      </c>
    </row>
    <row r="2580" spans="1:24">
      <c r="A2580">
        <f>HYPERLINK("https://www.philgeps.gov.ph/GEPSNONPILOT/Tender/SplashBidNoticeAbstractUI.aspx?menuIndex=3&amp;refID=7067359&amp;Result=3","7067359")</f>
        <v>0</v>
      </c>
      <c r="B2580" t="s">
        <v>993</v>
      </c>
      <c r="C2580" t="s">
        <v>6027</v>
      </c>
      <c r="D2580" t="s">
        <v>18793</v>
      </c>
      <c r="E2580" t="s">
        <v>21254</v>
      </c>
      <c r="F2580" t="s">
        <v>32664</v>
      </c>
      <c r="G2580" t="s">
        <v>32672</v>
      </c>
      <c r="H2580" t="s">
        <v>32683</v>
      </c>
      <c r="I2580" t="s">
        <v>10627</v>
      </c>
      <c r="J2580" t="s">
        <v>32962</v>
      </c>
      <c r="K2580" t="s">
        <v>42393</v>
      </c>
      <c r="M2580" t="s">
        <v>43605</v>
      </c>
      <c r="N2580" t="s">
        <v>46569</v>
      </c>
      <c r="O2580" t="s">
        <v>46570</v>
      </c>
      <c r="P2580">
        <v>0</v>
      </c>
      <c r="Q2580">
        <v>1</v>
      </c>
      <c r="R2580" t="s">
        <v>46571</v>
      </c>
      <c r="S2580" t="s">
        <v>46687</v>
      </c>
      <c r="T2580" t="s">
        <v>48225</v>
      </c>
      <c r="U2580" t="s">
        <v>50920</v>
      </c>
      <c r="W2580" t="s">
        <v>43605</v>
      </c>
      <c r="X2580" t="s">
        <v>46572</v>
      </c>
    </row>
    <row r="2581" spans="1:24">
      <c r="A2581">
        <f>HYPERLINK("https://www.philgeps.gov.ph/GEPSNONPILOT/Tender/SplashBidNoticeAbstractUI.aspx?menuIndex=3&amp;refID=7059809&amp;Result=3","7059809")</f>
        <v>0</v>
      </c>
      <c r="B2581" t="s">
        <v>1037</v>
      </c>
      <c r="C2581" t="s">
        <v>6028</v>
      </c>
      <c r="D2581" t="s">
        <v>18805</v>
      </c>
      <c r="E2581" t="s">
        <v>21255</v>
      </c>
      <c r="F2581" t="s">
        <v>32664</v>
      </c>
      <c r="G2581" t="s">
        <v>32671</v>
      </c>
      <c r="H2581" t="s">
        <v>12635</v>
      </c>
      <c r="I2581" t="s">
        <v>10370</v>
      </c>
      <c r="J2581" t="s">
        <v>33265</v>
      </c>
      <c r="K2581" t="s">
        <v>42284</v>
      </c>
      <c r="M2581" t="s">
        <v>43650</v>
      </c>
      <c r="N2581" t="s">
        <v>46569</v>
      </c>
      <c r="O2581" t="s">
        <v>46570</v>
      </c>
      <c r="P2581">
        <v>0</v>
      </c>
      <c r="Q2581">
        <v>1</v>
      </c>
      <c r="R2581" t="s">
        <v>46572</v>
      </c>
      <c r="S2581" t="s">
        <v>46689</v>
      </c>
      <c r="T2581" t="s">
        <v>48246</v>
      </c>
      <c r="U2581" t="s">
        <v>50921</v>
      </c>
      <c r="W2581" t="s">
        <v>43650</v>
      </c>
      <c r="X2581" t="s">
        <v>46574</v>
      </c>
    </row>
    <row r="2582" spans="1:24">
      <c r="A2582">
        <f>HYPERLINK("https://www.philgeps.gov.ph/GEPSNONPILOT/Tender/SplashBidNoticeAbstractUI.aspx?menuIndex=3&amp;refID=7059804&amp;Result=3","7059804")</f>
        <v>0</v>
      </c>
      <c r="B2582" t="s">
        <v>57</v>
      </c>
      <c r="C2582" t="s">
        <v>6029</v>
      </c>
      <c r="D2582" t="s">
        <v>18806</v>
      </c>
      <c r="E2582" t="s">
        <v>21256</v>
      </c>
      <c r="F2582" t="s">
        <v>32664</v>
      </c>
      <c r="G2582" t="s">
        <v>32671</v>
      </c>
      <c r="H2582" t="s">
        <v>12635</v>
      </c>
      <c r="I2582" t="s">
        <v>8730</v>
      </c>
      <c r="J2582" t="s">
        <v>34613</v>
      </c>
      <c r="K2582" t="s">
        <v>42283</v>
      </c>
      <c r="M2582" t="s">
        <v>43651</v>
      </c>
      <c r="N2582" t="s">
        <v>46569</v>
      </c>
      <c r="O2582" t="s">
        <v>46570</v>
      </c>
      <c r="P2582">
        <v>0</v>
      </c>
      <c r="Q2582">
        <v>2</v>
      </c>
      <c r="R2582" t="s">
        <v>46572</v>
      </c>
      <c r="S2582" t="s">
        <v>46689</v>
      </c>
      <c r="T2582" t="s">
        <v>48225</v>
      </c>
      <c r="U2582" t="s">
        <v>50922</v>
      </c>
      <c r="W2582" t="s">
        <v>43651</v>
      </c>
      <c r="X2582" t="s">
        <v>46574</v>
      </c>
    </row>
    <row r="2583" spans="1:24">
      <c r="A2583">
        <f>HYPERLINK("https://www.philgeps.gov.ph/GEPSNONPILOT/Tender/SplashBidNoticeAbstractUI.aspx?menuIndex=3&amp;refID=7059788&amp;Result=3","7059788")</f>
        <v>0</v>
      </c>
      <c r="B2583" t="s">
        <v>1038</v>
      </c>
      <c r="C2583" t="s">
        <v>6030</v>
      </c>
      <c r="D2583" t="s">
        <v>18788</v>
      </c>
      <c r="E2583" t="s">
        <v>21257</v>
      </c>
      <c r="F2583" t="s">
        <v>32664</v>
      </c>
      <c r="G2583" t="s">
        <v>32672</v>
      </c>
      <c r="H2583" t="s">
        <v>32683</v>
      </c>
      <c r="I2583" t="s">
        <v>10627</v>
      </c>
      <c r="J2583" t="s">
        <v>34614</v>
      </c>
      <c r="K2583" t="s">
        <v>42285</v>
      </c>
      <c r="M2583" t="s">
        <v>43652</v>
      </c>
      <c r="N2583" t="s">
        <v>46569</v>
      </c>
      <c r="O2583" t="s">
        <v>46570</v>
      </c>
      <c r="P2583">
        <v>0</v>
      </c>
      <c r="Q2583">
        <v>1</v>
      </c>
      <c r="R2583" t="s">
        <v>46572</v>
      </c>
      <c r="S2583" t="s">
        <v>46689</v>
      </c>
      <c r="T2583" t="s">
        <v>48308</v>
      </c>
      <c r="U2583" t="s">
        <v>50923</v>
      </c>
      <c r="W2583" t="s">
        <v>43652</v>
      </c>
      <c r="X2583" t="s">
        <v>46574</v>
      </c>
    </row>
    <row r="2584" spans="1:24">
      <c r="A2584">
        <f>HYPERLINK("https://www.philgeps.gov.ph/GEPSNONPILOT/Tender/SplashBidNoticeAbstractUI.aspx?menuIndex=3&amp;refID=7067087&amp;Result=3","7067087")</f>
        <v>0</v>
      </c>
      <c r="B2584" t="s">
        <v>1039</v>
      </c>
      <c r="C2584" t="s">
        <v>6031</v>
      </c>
      <c r="E2584" t="s">
        <v>21258</v>
      </c>
      <c r="F2584" t="s">
        <v>32664</v>
      </c>
      <c r="G2584" t="s">
        <v>32672</v>
      </c>
      <c r="H2584" t="s">
        <v>12635</v>
      </c>
      <c r="I2584" t="s">
        <v>6223</v>
      </c>
      <c r="J2584" t="s">
        <v>34615</v>
      </c>
      <c r="K2584" t="s">
        <v>42309</v>
      </c>
      <c r="M2584" t="s">
        <v>43653</v>
      </c>
      <c r="N2584" t="s">
        <v>46569</v>
      </c>
      <c r="O2584" t="s">
        <v>46570</v>
      </c>
      <c r="P2584">
        <v>0</v>
      </c>
      <c r="Q2584">
        <v>0</v>
      </c>
      <c r="R2584" t="s">
        <v>46571</v>
      </c>
      <c r="S2584" t="s">
        <v>46687</v>
      </c>
      <c r="T2584" t="s">
        <v>48226</v>
      </c>
      <c r="U2584" t="s">
        <v>50924</v>
      </c>
      <c r="W2584" t="s">
        <v>43653</v>
      </c>
      <c r="X2584" t="s">
        <v>46572</v>
      </c>
    </row>
    <row r="2585" spans="1:24">
      <c r="A2585">
        <f>HYPERLINK("https://www.philgeps.gov.ph/GEPSNONPILOT/Tender/SplashBidNoticeAbstractUI.aspx?menuIndex=3&amp;refID=7067085&amp;Result=3","7067085")</f>
        <v>0</v>
      </c>
      <c r="B2585" t="s">
        <v>1040</v>
      </c>
      <c r="C2585" t="s">
        <v>6032</v>
      </c>
      <c r="E2585" t="s">
        <v>21259</v>
      </c>
      <c r="F2585" t="s">
        <v>32664</v>
      </c>
      <c r="G2585" t="s">
        <v>32671</v>
      </c>
      <c r="H2585" t="s">
        <v>12635</v>
      </c>
      <c r="I2585" t="s">
        <v>6223</v>
      </c>
      <c r="J2585" t="s">
        <v>34616</v>
      </c>
      <c r="K2585" t="s">
        <v>42281</v>
      </c>
      <c r="M2585" t="s">
        <v>43654</v>
      </c>
      <c r="N2585" t="s">
        <v>46569</v>
      </c>
      <c r="O2585" t="s">
        <v>46570</v>
      </c>
      <c r="P2585">
        <v>0</v>
      </c>
      <c r="Q2585">
        <v>2</v>
      </c>
      <c r="R2585" t="s">
        <v>46571</v>
      </c>
      <c r="S2585" t="s">
        <v>46687</v>
      </c>
      <c r="T2585" t="s">
        <v>48433</v>
      </c>
      <c r="U2585" t="s">
        <v>50925</v>
      </c>
      <c r="W2585" t="s">
        <v>43654</v>
      </c>
      <c r="X2585" t="s">
        <v>46572</v>
      </c>
    </row>
    <row r="2586" spans="1:24">
      <c r="A2586">
        <f>HYPERLINK("https://www.philgeps.gov.ph/GEPSNONPILOT/Tender/SplashBidNoticeAbstractUI.aspx?menuIndex=3&amp;refID=7059706&amp;Result=3","7059706")</f>
        <v>0</v>
      </c>
      <c r="B2586" t="s">
        <v>437</v>
      </c>
      <c r="C2586" t="s">
        <v>6033</v>
      </c>
      <c r="D2586" t="s">
        <v>18836</v>
      </c>
      <c r="E2586" t="s">
        <v>21260</v>
      </c>
      <c r="F2586" t="s">
        <v>32664</v>
      </c>
      <c r="G2586" t="s">
        <v>32671</v>
      </c>
      <c r="H2586" t="s">
        <v>12635</v>
      </c>
      <c r="I2586" t="s">
        <v>32704</v>
      </c>
      <c r="J2586" t="s">
        <v>33140</v>
      </c>
      <c r="K2586" t="s">
        <v>42289</v>
      </c>
      <c r="M2586" t="s">
        <v>43009</v>
      </c>
      <c r="N2586" t="s">
        <v>46569</v>
      </c>
      <c r="O2586" t="s">
        <v>46570</v>
      </c>
      <c r="P2586">
        <v>0</v>
      </c>
      <c r="Q2586">
        <v>15</v>
      </c>
      <c r="R2586" t="s">
        <v>46572</v>
      </c>
      <c r="S2586" t="s">
        <v>46689</v>
      </c>
      <c r="T2586" t="s">
        <v>48315</v>
      </c>
      <c r="U2586" t="s">
        <v>50926</v>
      </c>
      <c r="W2586" t="s">
        <v>43009</v>
      </c>
      <c r="X2586" t="s">
        <v>46574</v>
      </c>
    </row>
    <row r="2587" spans="1:24">
      <c r="A2587">
        <f>HYPERLINK("https://www.philgeps.gov.ph/GEPSNONPILOT/Tender/SplashBidNoticeAbstractUI.aspx?menuIndex=3&amp;refID=7059698&amp;Result=3","7059698")</f>
        <v>0</v>
      </c>
      <c r="B2587" t="s">
        <v>1041</v>
      </c>
      <c r="C2587" t="s">
        <v>6034</v>
      </c>
      <c r="D2587" t="s">
        <v>18783</v>
      </c>
      <c r="E2587" t="s">
        <v>21261</v>
      </c>
      <c r="F2587" t="s">
        <v>32664</v>
      </c>
      <c r="G2587" t="s">
        <v>32674</v>
      </c>
      <c r="H2587" t="s">
        <v>12635</v>
      </c>
      <c r="I2587" t="s">
        <v>5589</v>
      </c>
      <c r="J2587" t="s">
        <v>33578</v>
      </c>
      <c r="K2587" t="s">
        <v>42284</v>
      </c>
      <c r="M2587" t="s">
        <v>43655</v>
      </c>
      <c r="N2587" t="s">
        <v>46569</v>
      </c>
      <c r="O2587" t="s">
        <v>46570</v>
      </c>
      <c r="P2587">
        <v>0</v>
      </c>
      <c r="Q2587">
        <v>0</v>
      </c>
      <c r="R2587" t="s">
        <v>46572</v>
      </c>
      <c r="S2587" t="s">
        <v>46689</v>
      </c>
      <c r="T2587" t="s">
        <v>48293</v>
      </c>
      <c r="U2587" t="s">
        <v>50927</v>
      </c>
      <c r="W2587" t="s">
        <v>43655</v>
      </c>
      <c r="X2587" t="s">
        <v>46574</v>
      </c>
    </row>
    <row r="2588" spans="1:24">
      <c r="A2588">
        <f>HYPERLINK("https://www.philgeps.gov.ph/GEPSNONPILOT/Tender/SplashBidNoticeAbstractUI.aspx?menuIndex=3&amp;refID=7059690&amp;Result=3","7059690")</f>
        <v>0</v>
      </c>
      <c r="B2588" t="s">
        <v>1027</v>
      </c>
      <c r="C2588" t="s">
        <v>6035</v>
      </c>
      <c r="D2588" t="s">
        <v>18790</v>
      </c>
      <c r="E2588" t="s">
        <v>21262</v>
      </c>
      <c r="F2588" t="s">
        <v>32664</v>
      </c>
      <c r="G2588" t="s">
        <v>32672</v>
      </c>
      <c r="H2588" t="s">
        <v>12635</v>
      </c>
      <c r="I2588" t="s">
        <v>4439</v>
      </c>
      <c r="J2588" t="s">
        <v>34617</v>
      </c>
      <c r="K2588" t="s">
        <v>42283</v>
      </c>
      <c r="M2588" t="s">
        <v>43639</v>
      </c>
      <c r="N2588" t="s">
        <v>46569</v>
      </c>
      <c r="O2588" t="s">
        <v>46570</v>
      </c>
      <c r="P2588">
        <v>0</v>
      </c>
      <c r="Q2588">
        <v>0</v>
      </c>
      <c r="R2588" t="s">
        <v>46572</v>
      </c>
      <c r="S2588" t="s">
        <v>46689</v>
      </c>
      <c r="T2588" t="s">
        <v>48452</v>
      </c>
      <c r="U2588" t="s">
        <v>50928</v>
      </c>
      <c r="W2588" t="s">
        <v>43639</v>
      </c>
      <c r="X2588" t="s">
        <v>46574</v>
      </c>
    </row>
    <row r="2589" spans="1:24">
      <c r="A2589">
        <f>HYPERLINK("https://www.philgeps.gov.ph/GEPSNONPILOT/Tender/SplashBidNoticeAbstractUI.aspx?menuIndex=3&amp;refID=7059658&amp;Result=3","7059658")</f>
        <v>0</v>
      </c>
      <c r="B2589" t="s">
        <v>1042</v>
      </c>
      <c r="C2589" t="s">
        <v>6036</v>
      </c>
      <c r="D2589" t="s">
        <v>18853</v>
      </c>
      <c r="E2589" t="s">
        <v>21263</v>
      </c>
      <c r="F2589" t="s">
        <v>32664</v>
      </c>
      <c r="G2589" t="s">
        <v>32672</v>
      </c>
      <c r="H2589" t="s">
        <v>12635</v>
      </c>
      <c r="I2589" t="s">
        <v>32689</v>
      </c>
      <c r="J2589" t="s">
        <v>33657</v>
      </c>
      <c r="K2589" t="s">
        <v>42289</v>
      </c>
      <c r="M2589" t="s">
        <v>43656</v>
      </c>
      <c r="N2589" t="s">
        <v>46569</v>
      </c>
      <c r="O2589" t="s">
        <v>46570</v>
      </c>
      <c r="P2589">
        <v>0</v>
      </c>
      <c r="Q2589">
        <v>0</v>
      </c>
      <c r="R2589" t="s">
        <v>46572</v>
      </c>
      <c r="S2589" t="s">
        <v>46689</v>
      </c>
      <c r="T2589" t="s">
        <v>48455</v>
      </c>
      <c r="U2589" t="s">
        <v>50929</v>
      </c>
      <c r="W2589" t="s">
        <v>44771</v>
      </c>
      <c r="X2589" t="s">
        <v>46574</v>
      </c>
    </row>
    <row r="2590" spans="1:24">
      <c r="A2590">
        <f>HYPERLINK("https://www.philgeps.gov.ph/GEPSNONPILOT/Tender/SplashBidNoticeAbstractUI.aspx?menuIndex=3&amp;refID=7059774&amp;Result=3","7059774")</f>
        <v>0</v>
      </c>
      <c r="B2590" t="s">
        <v>57</v>
      </c>
      <c r="C2590" t="s">
        <v>6037</v>
      </c>
      <c r="D2590" t="s">
        <v>18806</v>
      </c>
      <c r="E2590" t="s">
        <v>21264</v>
      </c>
      <c r="F2590" t="s">
        <v>32664</v>
      </c>
      <c r="G2590" t="s">
        <v>32671</v>
      </c>
      <c r="H2590" t="s">
        <v>12635</v>
      </c>
      <c r="I2590" t="s">
        <v>6223</v>
      </c>
      <c r="J2590" t="s">
        <v>34618</v>
      </c>
      <c r="K2590" t="s">
        <v>42283</v>
      </c>
      <c r="M2590" t="s">
        <v>43651</v>
      </c>
      <c r="N2590" t="s">
        <v>46569</v>
      </c>
      <c r="O2590" t="s">
        <v>46570</v>
      </c>
      <c r="P2590">
        <v>0</v>
      </c>
      <c r="Q2590">
        <v>0</v>
      </c>
      <c r="R2590" t="s">
        <v>46572</v>
      </c>
      <c r="S2590" t="s">
        <v>46689</v>
      </c>
      <c r="T2590" t="s">
        <v>48225</v>
      </c>
      <c r="U2590" t="s">
        <v>50922</v>
      </c>
      <c r="W2590" t="s">
        <v>43651</v>
      </c>
      <c r="X2590" t="s">
        <v>46574</v>
      </c>
    </row>
    <row r="2591" spans="1:24">
      <c r="A2591">
        <f>HYPERLINK("https://www.philgeps.gov.ph/GEPSNONPILOT/Tender/SplashBidNoticeAbstractUI.aspx?menuIndex=3&amp;refID=7059490&amp;Result=3","7059490")</f>
        <v>0</v>
      </c>
      <c r="B2591" t="s">
        <v>1019</v>
      </c>
      <c r="C2591" t="s">
        <v>6038</v>
      </c>
      <c r="D2591" t="s">
        <v>18831</v>
      </c>
      <c r="E2591" t="s">
        <v>21265</v>
      </c>
      <c r="F2591" t="s">
        <v>32664</v>
      </c>
      <c r="G2591" t="s">
        <v>32672</v>
      </c>
      <c r="H2591" t="s">
        <v>32683</v>
      </c>
      <c r="I2591" t="s">
        <v>10627</v>
      </c>
      <c r="J2591" t="s">
        <v>34619</v>
      </c>
      <c r="K2591" t="s">
        <v>42394</v>
      </c>
      <c r="M2591" t="s">
        <v>43631</v>
      </c>
      <c r="N2591" t="s">
        <v>46569</v>
      </c>
      <c r="O2591" t="s">
        <v>46570</v>
      </c>
      <c r="P2591">
        <v>0</v>
      </c>
      <c r="Q2591">
        <v>1</v>
      </c>
      <c r="R2591" t="s">
        <v>46572</v>
      </c>
      <c r="S2591" t="s">
        <v>46689</v>
      </c>
      <c r="T2591" t="s">
        <v>48220</v>
      </c>
      <c r="U2591" t="s">
        <v>50930</v>
      </c>
      <c r="W2591" t="s">
        <v>43631</v>
      </c>
      <c r="X2591" t="s">
        <v>46574</v>
      </c>
    </row>
    <row r="2592" spans="1:24">
      <c r="A2592">
        <f>HYPERLINK("https://www.philgeps.gov.ph/GEPSNONPILOT/Tender/SplashBidNoticeAbstractUI.aspx?menuIndex=3&amp;refID=7059743&amp;Result=3","7059743")</f>
        <v>0</v>
      </c>
      <c r="B2592" t="s">
        <v>57</v>
      </c>
      <c r="C2592" t="s">
        <v>6039</v>
      </c>
      <c r="D2592" t="s">
        <v>18806</v>
      </c>
      <c r="E2592" t="s">
        <v>21266</v>
      </c>
      <c r="F2592" t="s">
        <v>32664</v>
      </c>
      <c r="G2592" t="s">
        <v>32671</v>
      </c>
      <c r="H2592" t="s">
        <v>12635</v>
      </c>
      <c r="I2592" t="s">
        <v>5501</v>
      </c>
      <c r="J2592" t="s">
        <v>33096</v>
      </c>
      <c r="K2592" t="s">
        <v>42283</v>
      </c>
      <c r="M2592" t="s">
        <v>43651</v>
      </c>
      <c r="N2592" t="s">
        <v>46569</v>
      </c>
      <c r="O2592" t="s">
        <v>46570</v>
      </c>
      <c r="P2592">
        <v>0</v>
      </c>
      <c r="Q2592">
        <v>5</v>
      </c>
      <c r="R2592" t="s">
        <v>46572</v>
      </c>
      <c r="S2592" t="s">
        <v>46689</v>
      </c>
      <c r="T2592" t="s">
        <v>48225</v>
      </c>
      <c r="U2592" t="s">
        <v>50922</v>
      </c>
      <c r="W2592" t="s">
        <v>43651</v>
      </c>
      <c r="X2592" t="s">
        <v>46574</v>
      </c>
    </row>
    <row r="2593" spans="1:24">
      <c r="A2593">
        <f>HYPERLINK("https://www.philgeps.gov.ph/GEPSNONPILOT/Tender/SplashBidNoticeAbstractUI.aspx?menuIndex=3&amp;refID=7057427&amp;Result=3","7057427")</f>
        <v>0</v>
      </c>
      <c r="B2593" t="s">
        <v>1009</v>
      </c>
      <c r="C2593" t="s">
        <v>6040</v>
      </c>
      <c r="D2593" t="s">
        <v>18783</v>
      </c>
      <c r="E2593" t="s">
        <v>21267</v>
      </c>
      <c r="F2593" t="s">
        <v>32664</v>
      </c>
      <c r="G2593" t="s">
        <v>32677</v>
      </c>
      <c r="H2593" t="s">
        <v>12635</v>
      </c>
      <c r="I2593" t="s">
        <v>32699</v>
      </c>
      <c r="J2593" t="s">
        <v>34620</v>
      </c>
      <c r="K2593" t="s">
        <v>42330</v>
      </c>
      <c r="M2593" t="s">
        <v>43621</v>
      </c>
      <c r="N2593" t="s">
        <v>46569</v>
      </c>
      <c r="O2593" t="s">
        <v>46570</v>
      </c>
      <c r="P2593">
        <v>0</v>
      </c>
      <c r="Q2593">
        <v>0</v>
      </c>
      <c r="R2593" t="s">
        <v>46572</v>
      </c>
      <c r="S2593" t="s">
        <v>46689</v>
      </c>
      <c r="T2593" t="s">
        <v>48279</v>
      </c>
      <c r="U2593" t="s">
        <v>50931</v>
      </c>
      <c r="W2593" t="s">
        <v>43621</v>
      </c>
      <c r="X2593" t="s">
        <v>46577</v>
      </c>
    </row>
    <row r="2594" spans="1:24">
      <c r="A2594">
        <f>HYPERLINK("https://www.philgeps.gov.ph/GEPSNONPILOT/Tender/SplashBidNoticeAbstractUI.aspx?menuIndex=3&amp;refID=7059672&amp;Result=3","7059672")</f>
        <v>0</v>
      </c>
      <c r="B2594" t="s">
        <v>1027</v>
      </c>
      <c r="C2594" t="s">
        <v>6041</v>
      </c>
      <c r="D2594" t="s">
        <v>18790</v>
      </c>
      <c r="E2594" t="s">
        <v>21268</v>
      </c>
      <c r="F2594" t="s">
        <v>32664</v>
      </c>
      <c r="G2594" t="s">
        <v>32672</v>
      </c>
      <c r="H2594" t="s">
        <v>12635</v>
      </c>
      <c r="I2594" t="s">
        <v>4439</v>
      </c>
      <c r="J2594" t="s">
        <v>34621</v>
      </c>
      <c r="K2594" t="s">
        <v>42283</v>
      </c>
      <c r="M2594" t="s">
        <v>43639</v>
      </c>
      <c r="N2594" t="s">
        <v>46569</v>
      </c>
      <c r="O2594" t="s">
        <v>46570</v>
      </c>
      <c r="P2594">
        <v>0</v>
      </c>
      <c r="Q2594">
        <v>0</v>
      </c>
      <c r="R2594" t="s">
        <v>46572</v>
      </c>
      <c r="S2594" t="s">
        <v>46689</v>
      </c>
      <c r="T2594" t="s">
        <v>48452</v>
      </c>
      <c r="U2594" t="s">
        <v>50932</v>
      </c>
      <c r="W2594" t="s">
        <v>43639</v>
      </c>
      <c r="X2594" t="s">
        <v>46574</v>
      </c>
    </row>
    <row r="2595" spans="1:24">
      <c r="A2595">
        <f>HYPERLINK("https://www.philgeps.gov.ph/GEPSNONPILOT/Tender/SplashBidNoticeAbstractUI.aspx?menuIndex=3&amp;refID=7067360&amp;Result=3","7067360")</f>
        <v>0</v>
      </c>
      <c r="B2595" t="s">
        <v>995</v>
      </c>
      <c r="C2595" t="s">
        <v>6042</v>
      </c>
      <c r="D2595" t="s">
        <v>18798</v>
      </c>
      <c r="E2595" t="s">
        <v>21269</v>
      </c>
      <c r="F2595" t="s">
        <v>32664</v>
      </c>
      <c r="G2595" t="s">
        <v>32671</v>
      </c>
      <c r="H2595" t="s">
        <v>12635</v>
      </c>
      <c r="I2595" t="s">
        <v>6223</v>
      </c>
      <c r="J2595" t="s">
        <v>32974</v>
      </c>
      <c r="K2595" t="s">
        <v>42283</v>
      </c>
      <c r="M2595" t="s">
        <v>43607</v>
      </c>
      <c r="N2595" t="s">
        <v>46569</v>
      </c>
      <c r="O2595" t="s">
        <v>46570</v>
      </c>
      <c r="P2595">
        <v>0</v>
      </c>
      <c r="Q2595">
        <v>1</v>
      </c>
      <c r="R2595" t="s">
        <v>46571</v>
      </c>
      <c r="S2595" t="s">
        <v>46687</v>
      </c>
      <c r="T2595" t="s">
        <v>48244</v>
      </c>
      <c r="U2595" t="s">
        <v>50933</v>
      </c>
      <c r="W2595" t="s">
        <v>43607</v>
      </c>
      <c r="X2595" t="s">
        <v>46572</v>
      </c>
    </row>
    <row r="2596" spans="1:24">
      <c r="A2596">
        <f>HYPERLINK("https://www.philgeps.gov.ph/GEPSNONPILOT/Tender/SplashBidNoticeAbstractUI.aspx?menuIndex=3&amp;refID=7060418&amp;Result=3","7060418")</f>
        <v>0</v>
      </c>
      <c r="B2596" t="s">
        <v>1043</v>
      </c>
      <c r="C2596" t="s">
        <v>6043</v>
      </c>
      <c r="D2596" t="s">
        <v>18848</v>
      </c>
      <c r="E2596" t="s">
        <v>21270</v>
      </c>
      <c r="F2596" t="s">
        <v>32664</v>
      </c>
      <c r="G2596" t="s">
        <v>32671</v>
      </c>
      <c r="H2596" t="s">
        <v>12635</v>
      </c>
      <c r="I2596" t="s">
        <v>10374</v>
      </c>
      <c r="J2596" t="s">
        <v>34622</v>
      </c>
      <c r="K2596" t="s">
        <v>42297</v>
      </c>
      <c r="M2596" t="s">
        <v>43657</v>
      </c>
      <c r="N2596" t="s">
        <v>46569</v>
      </c>
      <c r="O2596" t="s">
        <v>46570</v>
      </c>
      <c r="P2596">
        <v>0</v>
      </c>
      <c r="Q2596">
        <v>2</v>
      </c>
      <c r="R2596" t="s">
        <v>46572</v>
      </c>
      <c r="S2596" t="s">
        <v>46689</v>
      </c>
      <c r="T2596" t="s">
        <v>48280</v>
      </c>
      <c r="U2596" t="s">
        <v>50934</v>
      </c>
      <c r="V2596" t="s">
        <v>61879</v>
      </c>
      <c r="W2596" t="s">
        <v>43657</v>
      </c>
      <c r="X2596" t="s">
        <v>46574</v>
      </c>
    </row>
    <row r="2597" spans="1:24">
      <c r="A2597">
        <f>HYPERLINK("https://www.philgeps.gov.ph/GEPSNONPILOT/Tender/SplashBidNoticeAbstractUI.aspx?menuIndex=3&amp;refID=7059654&amp;Result=3","7059654")</f>
        <v>0</v>
      </c>
      <c r="B2597" t="s">
        <v>437</v>
      </c>
      <c r="C2597" t="s">
        <v>6044</v>
      </c>
      <c r="D2597" t="s">
        <v>18836</v>
      </c>
      <c r="E2597" t="s">
        <v>21271</v>
      </c>
      <c r="F2597" t="s">
        <v>32664</v>
      </c>
      <c r="G2597" t="s">
        <v>32671</v>
      </c>
      <c r="H2597" t="s">
        <v>12635</v>
      </c>
      <c r="I2597" t="s">
        <v>32760</v>
      </c>
      <c r="J2597" t="s">
        <v>34623</v>
      </c>
      <c r="K2597" t="s">
        <v>42289</v>
      </c>
      <c r="M2597" t="s">
        <v>43009</v>
      </c>
      <c r="N2597" t="s">
        <v>46569</v>
      </c>
      <c r="O2597" t="s">
        <v>46570</v>
      </c>
      <c r="P2597">
        <v>0</v>
      </c>
      <c r="Q2597">
        <v>0</v>
      </c>
      <c r="R2597" t="s">
        <v>46572</v>
      </c>
      <c r="S2597" t="s">
        <v>46689</v>
      </c>
      <c r="T2597" t="s">
        <v>48315</v>
      </c>
      <c r="U2597" t="s">
        <v>50935</v>
      </c>
      <c r="W2597" t="s">
        <v>43009</v>
      </c>
      <c r="X2597" t="s">
        <v>46574</v>
      </c>
    </row>
    <row r="2598" spans="1:24">
      <c r="A2598">
        <f>HYPERLINK("https://www.philgeps.gov.ph/GEPSNONPILOT/Tender/SplashBidNoticeAbstractUI.aspx?menuIndex=3&amp;refID=7060343&amp;Result=3","7060343")</f>
        <v>0</v>
      </c>
      <c r="B2598" t="s">
        <v>1043</v>
      </c>
      <c r="C2598" t="s">
        <v>6045</v>
      </c>
      <c r="D2598" t="s">
        <v>18848</v>
      </c>
      <c r="E2598" t="s">
        <v>21272</v>
      </c>
      <c r="F2598" t="s">
        <v>32664</v>
      </c>
      <c r="G2598" t="s">
        <v>32671</v>
      </c>
      <c r="H2598" t="s">
        <v>12635</v>
      </c>
      <c r="I2598" t="s">
        <v>8797</v>
      </c>
      <c r="J2598" t="s">
        <v>34624</v>
      </c>
      <c r="K2598" t="s">
        <v>42297</v>
      </c>
      <c r="M2598" t="s">
        <v>43657</v>
      </c>
      <c r="N2598" t="s">
        <v>46569</v>
      </c>
      <c r="O2598" t="s">
        <v>46570</v>
      </c>
      <c r="P2598">
        <v>0</v>
      </c>
      <c r="Q2598">
        <v>2</v>
      </c>
      <c r="R2598" t="s">
        <v>46572</v>
      </c>
      <c r="S2598" t="s">
        <v>46689</v>
      </c>
      <c r="T2598" t="s">
        <v>48280</v>
      </c>
      <c r="U2598" t="s">
        <v>50936</v>
      </c>
      <c r="V2598" t="s">
        <v>61879</v>
      </c>
      <c r="W2598" t="s">
        <v>43657</v>
      </c>
      <c r="X2598" t="s">
        <v>46574</v>
      </c>
    </row>
    <row r="2599" spans="1:24">
      <c r="A2599">
        <f>HYPERLINK("https://www.philgeps.gov.ph/GEPSNONPILOT/Tender/SplashBidNoticeAbstractUI.aspx?menuIndex=3&amp;refID=7060260&amp;Result=3","7060260")</f>
        <v>0</v>
      </c>
      <c r="B2599" t="s">
        <v>1028</v>
      </c>
      <c r="C2599" t="s">
        <v>6046</v>
      </c>
      <c r="D2599" t="s">
        <v>18805</v>
      </c>
      <c r="E2599" t="s">
        <v>21273</v>
      </c>
      <c r="F2599" t="s">
        <v>32664</v>
      </c>
      <c r="G2599" t="s">
        <v>32675</v>
      </c>
      <c r="H2599" t="s">
        <v>12635</v>
      </c>
      <c r="I2599" t="s">
        <v>32704</v>
      </c>
      <c r="J2599" t="s">
        <v>34625</v>
      </c>
      <c r="K2599" t="s">
        <v>42303</v>
      </c>
      <c r="M2599" t="s">
        <v>43640</v>
      </c>
      <c r="N2599" t="s">
        <v>46569</v>
      </c>
      <c r="O2599" t="s">
        <v>46570</v>
      </c>
      <c r="P2599">
        <v>0</v>
      </c>
      <c r="Q2599">
        <v>10</v>
      </c>
      <c r="R2599" t="s">
        <v>46572</v>
      </c>
      <c r="S2599" t="s">
        <v>46689</v>
      </c>
      <c r="T2599" t="s">
        <v>48330</v>
      </c>
      <c r="U2599" t="s">
        <v>50875</v>
      </c>
      <c r="W2599" t="s">
        <v>63503</v>
      </c>
      <c r="X2599" t="s">
        <v>46574</v>
      </c>
    </row>
    <row r="2600" spans="1:24">
      <c r="A2600">
        <f>HYPERLINK("https://www.philgeps.gov.ph/GEPSNONPILOT/Tender/SplashBidNoticeAbstractUI.aspx?menuIndex=3&amp;refID=7060452&amp;Result=3","7060452")</f>
        <v>0</v>
      </c>
      <c r="B2600" t="s">
        <v>1044</v>
      </c>
      <c r="C2600" t="s">
        <v>6047</v>
      </c>
      <c r="D2600" t="s">
        <v>18826</v>
      </c>
      <c r="E2600" t="s">
        <v>21274</v>
      </c>
      <c r="F2600" t="s">
        <v>32664</v>
      </c>
      <c r="G2600" t="s">
        <v>32672</v>
      </c>
      <c r="H2600" t="s">
        <v>32683</v>
      </c>
      <c r="I2600" t="s">
        <v>10627</v>
      </c>
      <c r="J2600" t="s">
        <v>34626</v>
      </c>
      <c r="K2600" t="s">
        <v>42290</v>
      </c>
      <c r="L2600" t="s">
        <v>1044</v>
      </c>
      <c r="M2600" t="s">
        <v>43658</v>
      </c>
      <c r="N2600" t="s">
        <v>46569</v>
      </c>
      <c r="O2600" t="s">
        <v>46570</v>
      </c>
      <c r="P2600">
        <v>0</v>
      </c>
      <c r="Q2600">
        <v>2</v>
      </c>
      <c r="R2600" t="s">
        <v>46572</v>
      </c>
      <c r="S2600" t="s">
        <v>46689</v>
      </c>
      <c r="T2600" t="s">
        <v>48308</v>
      </c>
      <c r="U2600" t="s">
        <v>50937</v>
      </c>
      <c r="V2600" t="s">
        <v>61880</v>
      </c>
      <c r="W2600" t="s">
        <v>43658</v>
      </c>
      <c r="X2600" t="s">
        <v>46574</v>
      </c>
    </row>
    <row r="2601" spans="1:24">
      <c r="A2601">
        <f>HYPERLINK("https://www.philgeps.gov.ph/GEPSNONPILOT/Tender/SplashBidNoticeAbstractUI.aspx?menuIndex=3&amp;refID=7059714&amp;Result=3","7059714")</f>
        <v>0</v>
      </c>
      <c r="B2601" t="s">
        <v>1027</v>
      </c>
      <c r="C2601" t="s">
        <v>6048</v>
      </c>
      <c r="D2601" t="s">
        <v>18790</v>
      </c>
      <c r="E2601" t="s">
        <v>21275</v>
      </c>
      <c r="F2601" t="s">
        <v>32664</v>
      </c>
      <c r="G2601" t="s">
        <v>32672</v>
      </c>
      <c r="H2601" t="s">
        <v>12635</v>
      </c>
      <c r="I2601" t="s">
        <v>4439</v>
      </c>
      <c r="J2601" t="s">
        <v>34627</v>
      </c>
      <c r="K2601" t="s">
        <v>42283</v>
      </c>
      <c r="M2601" t="s">
        <v>43639</v>
      </c>
      <c r="N2601" t="s">
        <v>46569</v>
      </c>
      <c r="O2601" t="s">
        <v>46570</v>
      </c>
      <c r="P2601">
        <v>0</v>
      </c>
      <c r="Q2601">
        <v>0</v>
      </c>
      <c r="R2601" t="s">
        <v>46572</v>
      </c>
      <c r="S2601" t="s">
        <v>46689</v>
      </c>
      <c r="T2601" t="s">
        <v>48452</v>
      </c>
      <c r="U2601" t="s">
        <v>50938</v>
      </c>
      <c r="W2601" t="s">
        <v>43639</v>
      </c>
      <c r="X2601" t="s">
        <v>46574</v>
      </c>
    </row>
    <row r="2602" spans="1:24">
      <c r="A2602">
        <f>HYPERLINK("https://www.philgeps.gov.ph/GEPSNONPILOT/Tender/SplashBidNoticeAbstractUI.aspx?menuIndex=3&amp;refID=7060377&amp;Result=3","7060377")</f>
        <v>0</v>
      </c>
      <c r="B2602" t="s">
        <v>1045</v>
      </c>
      <c r="C2602" t="s">
        <v>6049</v>
      </c>
      <c r="E2602" t="s">
        <v>20076</v>
      </c>
      <c r="F2602" t="s">
        <v>32664</v>
      </c>
      <c r="G2602" t="s">
        <v>32672</v>
      </c>
      <c r="H2602" t="s">
        <v>12635</v>
      </c>
      <c r="I2602" t="s">
        <v>32696</v>
      </c>
      <c r="J2602" t="s">
        <v>34628</v>
      </c>
      <c r="K2602" t="s">
        <v>42283</v>
      </c>
      <c r="M2602" t="s">
        <v>43659</v>
      </c>
      <c r="N2602" t="s">
        <v>46569</v>
      </c>
      <c r="O2602" t="s">
        <v>46570</v>
      </c>
      <c r="P2602">
        <v>0</v>
      </c>
      <c r="Q2602">
        <v>6</v>
      </c>
      <c r="R2602" t="s">
        <v>46572</v>
      </c>
      <c r="S2602" t="s">
        <v>46689</v>
      </c>
      <c r="T2602" t="s">
        <v>48456</v>
      </c>
      <c r="U2602" t="s">
        <v>50939</v>
      </c>
      <c r="W2602" t="s">
        <v>43659</v>
      </c>
      <c r="X2602" t="s">
        <v>46574</v>
      </c>
    </row>
    <row r="2603" spans="1:24">
      <c r="A2603">
        <f>HYPERLINK("https://www.philgeps.gov.ph/GEPSNONPILOT/Tender/SplashBidNoticeAbstractUI.aspx?menuIndex=3&amp;refID=7060096&amp;Result=3","7060096")</f>
        <v>0</v>
      </c>
      <c r="B2603" t="s">
        <v>1043</v>
      </c>
      <c r="C2603" t="s">
        <v>6050</v>
      </c>
      <c r="D2603" t="s">
        <v>18848</v>
      </c>
      <c r="E2603" t="s">
        <v>21276</v>
      </c>
      <c r="F2603" t="s">
        <v>32664</v>
      </c>
      <c r="G2603" t="s">
        <v>32671</v>
      </c>
      <c r="H2603" t="s">
        <v>12635</v>
      </c>
      <c r="I2603" t="s">
        <v>32712</v>
      </c>
      <c r="J2603" t="s">
        <v>34629</v>
      </c>
      <c r="K2603" t="s">
        <v>42297</v>
      </c>
      <c r="M2603" t="s">
        <v>43657</v>
      </c>
      <c r="N2603" t="s">
        <v>46569</v>
      </c>
      <c r="O2603" t="s">
        <v>46570</v>
      </c>
      <c r="P2603">
        <v>0</v>
      </c>
      <c r="Q2603">
        <v>2</v>
      </c>
      <c r="R2603" t="s">
        <v>46572</v>
      </c>
      <c r="S2603" t="s">
        <v>46689</v>
      </c>
      <c r="T2603" t="s">
        <v>48280</v>
      </c>
      <c r="U2603" t="s">
        <v>50940</v>
      </c>
      <c r="V2603" t="s">
        <v>61879</v>
      </c>
      <c r="W2603" t="s">
        <v>43657</v>
      </c>
      <c r="X2603" t="s">
        <v>46574</v>
      </c>
    </row>
    <row r="2604" spans="1:24">
      <c r="A2604">
        <f>HYPERLINK("https://www.philgeps.gov.ph/GEPSNONPILOT/Tender/SplashBidNoticeAbstractUI.aspx?menuIndex=3&amp;refID=7060288&amp;Result=3","7060288")</f>
        <v>0</v>
      </c>
      <c r="B2604" t="s">
        <v>130</v>
      </c>
      <c r="C2604" t="s">
        <v>6051</v>
      </c>
      <c r="D2604" t="s">
        <v>18826</v>
      </c>
      <c r="E2604" t="s">
        <v>21277</v>
      </c>
      <c r="F2604" t="s">
        <v>32664</v>
      </c>
      <c r="G2604" t="s">
        <v>32672</v>
      </c>
      <c r="H2604" t="s">
        <v>12635</v>
      </c>
      <c r="I2604" t="s">
        <v>32708</v>
      </c>
      <c r="J2604" t="s">
        <v>34630</v>
      </c>
      <c r="K2604" t="s">
        <v>42283</v>
      </c>
      <c r="M2604" t="s">
        <v>42694</v>
      </c>
      <c r="N2604" t="s">
        <v>46569</v>
      </c>
      <c r="O2604" t="s">
        <v>46570</v>
      </c>
      <c r="P2604">
        <v>0</v>
      </c>
      <c r="Q2604">
        <v>14</v>
      </c>
      <c r="R2604" t="s">
        <v>46572</v>
      </c>
      <c r="S2604" t="s">
        <v>46689</v>
      </c>
      <c r="T2604" t="s">
        <v>48362</v>
      </c>
      <c r="U2604" t="s">
        <v>50941</v>
      </c>
      <c r="V2604" t="s">
        <v>61881</v>
      </c>
      <c r="W2604" t="s">
        <v>42694</v>
      </c>
      <c r="X2604" t="s">
        <v>46574</v>
      </c>
    </row>
    <row r="2605" spans="1:24">
      <c r="A2605">
        <f>HYPERLINK("https://www.philgeps.gov.ph/GEPSNONPILOT/Tender/SplashBidNoticeAbstractUI.aspx?menuIndex=3&amp;refID=7060093&amp;Result=3","7060093")</f>
        <v>0</v>
      </c>
      <c r="B2605" t="s">
        <v>754</v>
      </c>
      <c r="C2605" t="s">
        <v>6052</v>
      </c>
      <c r="D2605" t="s">
        <v>18798</v>
      </c>
      <c r="E2605" t="s">
        <v>21278</v>
      </c>
      <c r="F2605" t="s">
        <v>32664</v>
      </c>
      <c r="G2605" t="s">
        <v>32671</v>
      </c>
      <c r="H2605" t="s">
        <v>12635</v>
      </c>
      <c r="I2605" t="s">
        <v>4439</v>
      </c>
      <c r="J2605" t="s">
        <v>34631</v>
      </c>
      <c r="K2605" t="s">
        <v>42284</v>
      </c>
      <c r="M2605" t="s">
        <v>43660</v>
      </c>
      <c r="N2605" t="s">
        <v>46569</v>
      </c>
      <c r="O2605" t="s">
        <v>46570</v>
      </c>
      <c r="P2605">
        <v>0</v>
      </c>
      <c r="Q2605">
        <v>2</v>
      </c>
      <c r="R2605" t="s">
        <v>46572</v>
      </c>
      <c r="S2605" t="s">
        <v>46689</v>
      </c>
      <c r="T2605" t="s">
        <v>48246</v>
      </c>
      <c r="U2605" t="s">
        <v>50942</v>
      </c>
      <c r="W2605" t="s">
        <v>43660</v>
      </c>
      <c r="X2605" t="s">
        <v>46574</v>
      </c>
    </row>
    <row r="2606" spans="1:24">
      <c r="A2606">
        <f>HYPERLINK("https://www.philgeps.gov.ph/GEPSNONPILOT/Tender/SplashBidNoticeAbstractUI.aspx?menuIndex=3&amp;refID=7060135&amp;Result=3","7060135")</f>
        <v>0</v>
      </c>
      <c r="B2606" t="s">
        <v>1046</v>
      </c>
      <c r="C2606" t="s">
        <v>6053</v>
      </c>
      <c r="D2606" t="s">
        <v>18815</v>
      </c>
      <c r="E2606" t="s">
        <v>21279</v>
      </c>
      <c r="F2606" t="s">
        <v>32664</v>
      </c>
      <c r="G2606" t="s">
        <v>32674</v>
      </c>
      <c r="H2606" t="s">
        <v>12635</v>
      </c>
      <c r="I2606" t="s">
        <v>32706</v>
      </c>
      <c r="J2606" t="s">
        <v>34632</v>
      </c>
      <c r="K2606" t="s">
        <v>42281</v>
      </c>
      <c r="M2606" t="s">
        <v>43661</v>
      </c>
      <c r="N2606" t="s">
        <v>46569</v>
      </c>
      <c r="O2606" t="s">
        <v>46570</v>
      </c>
      <c r="P2606">
        <v>0</v>
      </c>
      <c r="Q2606">
        <v>0</v>
      </c>
      <c r="R2606" t="s">
        <v>46572</v>
      </c>
      <c r="S2606" t="s">
        <v>46689</v>
      </c>
      <c r="T2606" t="s">
        <v>48283</v>
      </c>
      <c r="U2606" t="s">
        <v>50943</v>
      </c>
      <c r="W2606" t="s">
        <v>43661</v>
      </c>
      <c r="X2606" t="s">
        <v>46574</v>
      </c>
    </row>
    <row r="2607" spans="1:24">
      <c r="A2607">
        <f>HYPERLINK("https://www.philgeps.gov.ph/GEPSNONPILOT/Tender/SplashBidNoticeAbstractUI.aspx?menuIndex=3&amp;refID=7060272&amp;Result=3","7060272")</f>
        <v>0</v>
      </c>
      <c r="B2607" t="s">
        <v>1013</v>
      </c>
      <c r="C2607" t="s">
        <v>6054</v>
      </c>
      <c r="D2607" t="s">
        <v>18786</v>
      </c>
      <c r="E2607" t="s">
        <v>21280</v>
      </c>
      <c r="F2607" t="s">
        <v>32664</v>
      </c>
      <c r="G2607" t="s">
        <v>32672</v>
      </c>
      <c r="H2607" t="s">
        <v>32683</v>
      </c>
      <c r="I2607" t="s">
        <v>10627</v>
      </c>
      <c r="J2607" t="s">
        <v>34633</v>
      </c>
      <c r="K2607" t="s">
        <v>42289</v>
      </c>
      <c r="M2607" t="s">
        <v>43662</v>
      </c>
      <c r="N2607" t="s">
        <v>46569</v>
      </c>
      <c r="O2607" t="s">
        <v>46570</v>
      </c>
      <c r="Q2607">
        <v>0</v>
      </c>
      <c r="R2607" t="s">
        <v>46572</v>
      </c>
      <c r="S2607" t="s">
        <v>46692</v>
      </c>
      <c r="T2607" t="s">
        <v>48226</v>
      </c>
      <c r="U2607" t="s">
        <v>50944</v>
      </c>
      <c r="V2607" t="s">
        <v>61882</v>
      </c>
      <c r="W2607" t="s">
        <v>43662</v>
      </c>
      <c r="X2607" t="s">
        <v>46574</v>
      </c>
    </row>
    <row r="2608" spans="1:24">
      <c r="A2608">
        <f>HYPERLINK("https://www.philgeps.gov.ph/GEPSNONPILOT/Tender/SplashBidNoticeAbstractUI.aspx?menuIndex=3&amp;refID=7059915&amp;Result=3","7059915")</f>
        <v>0</v>
      </c>
      <c r="B2608" t="s">
        <v>1038</v>
      </c>
      <c r="C2608" t="s">
        <v>6055</v>
      </c>
      <c r="D2608" t="s">
        <v>18788</v>
      </c>
      <c r="E2608" t="s">
        <v>21281</v>
      </c>
      <c r="F2608" t="s">
        <v>32664</v>
      </c>
      <c r="G2608" t="s">
        <v>32672</v>
      </c>
      <c r="H2608" t="s">
        <v>32683</v>
      </c>
      <c r="I2608" t="s">
        <v>10627</v>
      </c>
      <c r="J2608" t="s">
        <v>34634</v>
      </c>
      <c r="K2608" t="s">
        <v>42327</v>
      </c>
      <c r="M2608" t="s">
        <v>43652</v>
      </c>
      <c r="N2608" t="s">
        <v>46569</v>
      </c>
      <c r="O2608" t="s">
        <v>46570</v>
      </c>
      <c r="P2608">
        <v>0</v>
      </c>
      <c r="Q2608">
        <v>1</v>
      </c>
      <c r="R2608" t="s">
        <v>46572</v>
      </c>
      <c r="S2608" t="s">
        <v>46689</v>
      </c>
      <c r="T2608" t="s">
        <v>48308</v>
      </c>
      <c r="U2608" t="s">
        <v>50945</v>
      </c>
      <c r="W2608" t="s">
        <v>43652</v>
      </c>
      <c r="X2608" t="s">
        <v>46574</v>
      </c>
    </row>
    <row r="2609" spans="1:24">
      <c r="A2609">
        <f>HYPERLINK("https://www.philgeps.gov.ph/GEPSNONPILOT/Tender/SplashBidNoticeAbstractUI.aspx?menuIndex=3&amp;refID=7060459&amp;Result=3","7060459")</f>
        <v>0</v>
      </c>
      <c r="B2609" t="s">
        <v>1047</v>
      </c>
      <c r="C2609" t="s">
        <v>6056</v>
      </c>
      <c r="D2609" t="s">
        <v>18803</v>
      </c>
      <c r="E2609" t="s">
        <v>21282</v>
      </c>
      <c r="F2609" t="s">
        <v>32664</v>
      </c>
      <c r="G2609" t="s">
        <v>32672</v>
      </c>
      <c r="H2609" t="s">
        <v>32683</v>
      </c>
      <c r="I2609" t="s">
        <v>10627</v>
      </c>
      <c r="J2609" t="s">
        <v>34559</v>
      </c>
      <c r="K2609" t="s">
        <v>42323</v>
      </c>
      <c r="M2609" t="s">
        <v>43663</v>
      </c>
      <c r="N2609" t="s">
        <v>46569</v>
      </c>
      <c r="O2609" t="s">
        <v>46570</v>
      </c>
      <c r="P2609">
        <v>0</v>
      </c>
      <c r="Q2609">
        <v>0</v>
      </c>
      <c r="R2609" t="s">
        <v>46572</v>
      </c>
      <c r="S2609" t="s">
        <v>46689</v>
      </c>
      <c r="T2609" t="s">
        <v>48220</v>
      </c>
      <c r="U2609" t="s">
        <v>50946</v>
      </c>
      <c r="W2609" t="s">
        <v>43663</v>
      </c>
      <c r="X2609" t="s">
        <v>46574</v>
      </c>
    </row>
    <row r="2610" spans="1:24">
      <c r="A2610">
        <f>HYPERLINK("https://www.philgeps.gov.ph/GEPSNONPILOT/Tender/SplashBidNoticeAbstractUI.aspx?menuIndex=3&amp;refID=7060089&amp;Result=3","7060089")</f>
        <v>0</v>
      </c>
      <c r="B2610" t="s">
        <v>1048</v>
      </c>
      <c r="C2610" t="s">
        <v>6057</v>
      </c>
      <c r="D2610" t="s">
        <v>18831</v>
      </c>
      <c r="E2610" t="s">
        <v>21283</v>
      </c>
      <c r="F2610" t="s">
        <v>32664</v>
      </c>
      <c r="G2610" t="s">
        <v>32672</v>
      </c>
      <c r="H2610" t="s">
        <v>32683</v>
      </c>
      <c r="I2610" t="s">
        <v>10627</v>
      </c>
      <c r="J2610" t="s">
        <v>34635</v>
      </c>
      <c r="K2610" t="s">
        <v>42285</v>
      </c>
      <c r="M2610" t="s">
        <v>43664</v>
      </c>
      <c r="N2610" t="s">
        <v>46569</v>
      </c>
      <c r="O2610" t="s">
        <v>46570</v>
      </c>
      <c r="P2610">
        <v>0</v>
      </c>
      <c r="Q2610">
        <v>3</v>
      </c>
      <c r="R2610" t="s">
        <v>46572</v>
      </c>
      <c r="S2610" t="s">
        <v>46689</v>
      </c>
      <c r="T2610" t="s">
        <v>48338</v>
      </c>
      <c r="U2610" t="s">
        <v>50947</v>
      </c>
      <c r="W2610" t="s">
        <v>43664</v>
      </c>
      <c r="X2610" t="s">
        <v>46574</v>
      </c>
    </row>
    <row r="2611" spans="1:24">
      <c r="A2611">
        <f>HYPERLINK("https://www.philgeps.gov.ph/GEPSNONPILOT/Tender/SplashBidNoticeAbstractUI.aspx?menuIndex=3&amp;refID=7060043&amp;Result=3","7060043")</f>
        <v>0</v>
      </c>
      <c r="B2611" t="s">
        <v>110</v>
      </c>
      <c r="C2611" t="s">
        <v>6058</v>
      </c>
      <c r="D2611" t="s">
        <v>18826</v>
      </c>
      <c r="E2611" t="s">
        <v>21284</v>
      </c>
      <c r="F2611" t="s">
        <v>32664</v>
      </c>
      <c r="G2611" t="s">
        <v>32672</v>
      </c>
      <c r="H2611" t="s">
        <v>32683</v>
      </c>
      <c r="I2611" t="s">
        <v>10627</v>
      </c>
      <c r="J2611" t="s">
        <v>34636</v>
      </c>
      <c r="K2611" t="s">
        <v>42369</v>
      </c>
      <c r="M2611" t="s">
        <v>43665</v>
      </c>
      <c r="N2611" t="s">
        <v>46569</v>
      </c>
      <c r="O2611" t="s">
        <v>46570</v>
      </c>
      <c r="P2611">
        <v>0</v>
      </c>
      <c r="Q2611">
        <v>1</v>
      </c>
      <c r="R2611" t="s">
        <v>46572</v>
      </c>
      <c r="S2611" t="s">
        <v>46689</v>
      </c>
      <c r="T2611" t="s">
        <v>48220</v>
      </c>
      <c r="U2611" t="s">
        <v>50948</v>
      </c>
      <c r="W2611" t="s">
        <v>43665</v>
      </c>
      <c r="X2611" t="s">
        <v>46574</v>
      </c>
    </row>
    <row r="2612" spans="1:24">
      <c r="A2612">
        <f>HYPERLINK("https://www.philgeps.gov.ph/GEPSNONPILOT/Tender/SplashBidNoticeAbstractUI.aspx?menuIndex=3&amp;refID=7059886&amp;Result=3","7059886")</f>
        <v>0</v>
      </c>
      <c r="B2612" t="s">
        <v>1038</v>
      </c>
      <c r="C2612" t="s">
        <v>6059</v>
      </c>
      <c r="D2612" t="s">
        <v>18788</v>
      </c>
      <c r="E2612" t="s">
        <v>21285</v>
      </c>
      <c r="F2612" t="s">
        <v>32664</v>
      </c>
      <c r="G2612" t="s">
        <v>32672</v>
      </c>
      <c r="H2612" t="s">
        <v>32683</v>
      </c>
      <c r="I2612" t="s">
        <v>10627</v>
      </c>
      <c r="J2612" t="s">
        <v>34637</v>
      </c>
      <c r="K2612" t="s">
        <v>42285</v>
      </c>
      <c r="M2612" t="s">
        <v>43652</v>
      </c>
      <c r="N2612" t="s">
        <v>46569</v>
      </c>
      <c r="O2612" t="s">
        <v>46570</v>
      </c>
      <c r="P2612">
        <v>0</v>
      </c>
      <c r="Q2612">
        <v>1</v>
      </c>
      <c r="R2612" t="s">
        <v>46572</v>
      </c>
      <c r="S2612" t="s">
        <v>46689</v>
      </c>
      <c r="T2612" t="s">
        <v>48308</v>
      </c>
      <c r="U2612" t="s">
        <v>50949</v>
      </c>
      <c r="W2612" t="s">
        <v>43652</v>
      </c>
      <c r="X2612" t="s">
        <v>46574</v>
      </c>
    </row>
    <row r="2613" spans="1:24">
      <c r="A2613">
        <f>HYPERLINK("https://www.philgeps.gov.ph/GEPSNONPILOT/Tender/SplashBidNoticeAbstractUI.aspx?menuIndex=3&amp;refID=7059653&amp;Result=3","7059653")</f>
        <v>0</v>
      </c>
      <c r="B2613" t="s">
        <v>57</v>
      </c>
      <c r="C2613" t="s">
        <v>6060</v>
      </c>
      <c r="D2613" t="s">
        <v>18806</v>
      </c>
      <c r="E2613" t="s">
        <v>21286</v>
      </c>
      <c r="F2613" t="s">
        <v>32664</v>
      </c>
      <c r="G2613" t="s">
        <v>32671</v>
      </c>
      <c r="H2613" t="s">
        <v>12635</v>
      </c>
      <c r="I2613" t="s">
        <v>32699</v>
      </c>
      <c r="J2613" t="s">
        <v>34638</v>
      </c>
      <c r="K2613" t="s">
        <v>42283</v>
      </c>
      <c r="M2613" t="s">
        <v>43651</v>
      </c>
      <c r="N2613" t="s">
        <v>46569</v>
      </c>
      <c r="O2613" t="s">
        <v>46570</v>
      </c>
      <c r="P2613">
        <v>0</v>
      </c>
      <c r="Q2613">
        <v>0</v>
      </c>
      <c r="R2613" t="s">
        <v>46572</v>
      </c>
      <c r="S2613" t="s">
        <v>46689</v>
      </c>
      <c r="T2613" t="s">
        <v>48225</v>
      </c>
      <c r="U2613" t="s">
        <v>50922</v>
      </c>
      <c r="W2613" t="s">
        <v>43651</v>
      </c>
      <c r="X2613" t="s">
        <v>46574</v>
      </c>
    </row>
    <row r="2614" spans="1:24">
      <c r="A2614">
        <f>HYPERLINK("https://www.philgeps.gov.ph/GEPSNONPILOT/Tender/SplashBidNoticeAbstractUI.aspx?menuIndex=3&amp;refID=7059650&amp;Result=3","7059650")</f>
        <v>0</v>
      </c>
      <c r="B2614" t="s">
        <v>1027</v>
      </c>
      <c r="C2614" t="s">
        <v>6061</v>
      </c>
      <c r="D2614" t="s">
        <v>18790</v>
      </c>
      <c r="E2614" t="s">
        <v>21287</v>
      </c>
      <c r="F2614" t="s">
        <v>32664</v>
      </c>
      <c r="G2614" t="s">
        <v>32672</v>
      </c>
      <c r="H2614" t="s">
        <v>12635</v>
      </c>
      <c r="I2614" t="s">
        <v>4439</v>
      </c>
      <c r="J2614" t="s">
        <v>34639</v>
      </c>
      <c r="K2614" t="s">
        <v>42283</v>
      </c>
      <c r="M2614" t="s">
        <v>43639</v>
      </c>
      <c r="N2614" t="s">
        <v>46569</v>
      </c>
      <c r="O2614" t="s">
        <v>46570</v>
      </c>
      <c r="P2614">
        <v>0</v>
      </c>
      <c r="Q2614">
        <v>0</v>
      </c>
      <c r="R2614" t="s">
        <v>46572</v>
      </c>
      <c r="S2614" t="s">
        <v>46689</v>
      </c>
      <c r="T2614" t="s">
        <v>48452</v>
      </c>
      <c r="U2614" t="s">
        <v>50950</v>
      </c>
      <c r="W2614" t="s">
        <v>43639</v>
      </c>
      <c r="X2614" t="s">
        <v>46574</v>
      </c>
    </row>
    <row r="2615" spans="1:24">
      <c r="A2615">
        <f>HYPERLINK("https://www.philgeps.gov.ph/GEPSNONPILOT/Tender/SplashBidNoticeAbstractUI.aspx?menuIndex=3&amp;refID=7059639&amp;Result=3","7059639")</f>
        <v>0</v>
      </c>
      <c r="B2615" t="s">
        <v>1049</v>
      </c>
      <c r="C2615" t="s">
        <v>6062</v>
      </c>
      <c r="D2615" t="s">
        <v>18831</v>
      </c>
      <c r="E2615" t="s">
        <v>21288</v>
      </c>
      <c r="F2615" t="s">
        <v>32664</v>
      </c>
      <c r="G2615" t="s">
        <v>32672</v>
      </c>
      <c r="H2615" t="s">
        <v>12635</v>
      </c>
      <c r="I2615" t="s">
        <v>5589</v>
      </c>
      <c r="J2615" t="s">
        <v>32961</v>
      </c>
      <c r="K2615" t="s">
        <v>42281</v>
      </c>
      <c r="M2615" t="s">
        <v>43666</v>
      </c>
      <c r="N2615" t="s">
        <v>46569</v>
      </c>
      <c r="O2615" t="s">
        <v>46570</v>
      </c>
      <c r="P2615">
        <v>0</v>
      </c>
      <c r="Q2615">
        <v>4</v>
      </c>
      <c r="R2615" t="s">
        <v>46572</v>
      </c>
      <c r="S2615" t="s">
        <v>46689</v>
      </c>
      <c r="T2615" t="s">
        <v>48220</v>
      </c>
      <c r="U2615" t="s">
        <v>50951</v>
      </c>
      <c r="W2615" t="s">
        <v>63505</v>
      </c>
      <c r="X2615" t="s">
        <v>46574</v>
      </c>
    </row>
    <row r="2616" spans="1:24">
      <c r="A2616">
        <f>HYPERLINK("https://www.philgeps.gov.ph/GEPSNONPILOT/Tender/SplashBidNoticeAbstractUI.aspx?menuIndex=3&amp;refID=7059627&amp;Result=3","7059627")</f>
        <v>0</v>
      </c>
      <c r="B2616" t="s">
        <v>1019</v>
      </c>
      <c r="C2616" t="s">
        <v>6063</v>
      </c>
      <c r="D2616" t="s">
        <v>18831</v>
      </c>
      <c r="E2616" t="s">
        <v>21289</v>
      </c>
      <c r="F2616" t="s">
        <v>32664</v>
      </c>
      <c r="G2616" t="s">
        <v>32672</v>
      </c>
      <c r="H2616" t="s">
        <v>32683</v>
      </c>
      <c r="I2616" t="s">
        <v>10627</v>
      </c>
      <c r="J2616" t="s">
        <v>32962</v>
      </c>
      <c r="K2616" t="s">
        <v>42336</v>
      </c>
      <c r="M2616" t="s">
        <v>43631</v>
      </c>
      <c r="N2616" t="s">
        <v>46569</v>
      </c>
      <c r="O2616" t="s">
        <v>46570</v>
      </c>
      <c r="P2616">
        <v>0</v>
      </c>
      <c r="Q2616">
        <v>0</v>
      </c>
      <c r="R2616" t="s">
        <v>46572</v>
      </c>
      <c r="S2616" t="s">
        <v>46689</v>
      </c>
      <c r="T2616" t="s">
        <v>48220</v>
      </c>
      <c r="U2616" t="s">
        <v>50952</v>
      </c>
      <c r="W2616" t="s">
        <v>43631</v>
      </c>
      <c r="X2616" t="s">
        <v>46574</v>
      </c>
    </row>
    <row r="2617" spans="1:24">
      <c r="A2617">
        <f>HYPERLINK("https://www.philgeps.gov.ph/GEPSNONPILOT/Tender/SplashBidNoticeAbstractUI.aspx?menuIndex=3&amp;refID=7059603&amp;Result=3","7059603")</f>
        <v>0</v>
      </c>
      <c r="B2617" t="s">
        <v>1027</v>
      </c>
      <c r="C2617" t="s">
        <v>6064</v>
      </c>
      <c r="D2617" t="s">
        <v>18790</v>
      </c>
      <c r="E2617" t="s">
        <v>21290</v>
      </c>
      <c r="F2617" t="s">
        <v>32664</v>
      </c>
      <c r="G2617" t="s">
        <v>32672</v>
      </c>
      <c r="H2617" t="s">
        <v>12635</v>
      </c>
      <c r="I2617" t="s">
        <v>4439</v>
      </c>
      <c r="J2617" t="s">
        <v>34640</v>
      </c>
      <c r="K2617" t="s">
        <v>42283</v>
      </c>
      <c r="M2617" t="s">
        <v>43639</v>
      </c>
      <c r="N2617" t="s">
        <v>46569</v>
      </c>
      <c r="O2617" t="s">
        <v>46570</v>
      </c>
      <c r="P2617">
        <v>0</v>
      </c>
      <c r="Q2617">
        <v>0</v>
      </c>
      <c r="R2617" t="s">
        <v>46572</v>
      </c>
      <c r="S2617" t="s">
        <v>46689</v>
      </c>
      <c r="T2617" t="s">
        <v>48452</v>
      </c>
      <c r="U2617" t="s">
        <v>50953</v>
      </c>
      <c r="W2617" t="s">
        <v>43639</v>
      </c>
      <c r="X2617" t="s">
        <v>46574</v>
      </c>
    </row>
    <row r="2618" spans="1:24">
      <c r="A2618">
        <f>HYPERLINK("https://www.philgeps.gov.ph/GEPSNONPILOT/Tender/SplashBidNoticeAbstractUI.aspx?menuIndex=3&amp;refID=7060244&amp;Result=3","7060244")</f>
        <v>0</v>
      </c>
      <c r="B2618" t="s">
        <v>1013</v>
      </c>
      <c r="C2618" t="s">
        <v>6065</v>
      </c>
      <c r="D2618" t="s">
        <v>18786</v>
      </c>
      <c r="E2618" t="s">
        <v>21291</v>
      </c>
      <c r="F2618" t="s">
        <v>32664</v>
      </c>
      <c r="G2618" t="s">
        <v>32672</v>
      </c>
      <c r="H2618" t="s">
        <v>32683</v>
      </c>
      <c r="I2618" t="s">
        <v>10627</v>
      </c>
      <c r="J2618" t="s">
        <v>34641</v>
      </c>
      <c r="K2618" t="s">
        <v>42305</v>
      </c>
      <c r="M2618" t="s">
        <v>43662</v>
      </c>
      <c r="N2618" t="s">
        <v>46569</v>
      </c>
      <c r="O2618" t="s">
        <v>46570</v>
      </c>
      <c r="P2618">
        <v>0</v>
      </c>
      <c r="Q2618">
        <v>0</v>
      </c>
      <c r="R2618" t="s">
        <v>46572</v>
      </c>
      <c r="S2618" t="s">
        <v>46689</v>
      </c>
      <c r="T2618" t="s">
        <v>48226</v>
      </c>
      <c r="U2618" t="s">
        <v>50954</v>
      </c>
      <c r="V2618" t="s">
        <v>61882</v>
      </c>
      <c r="W2618" t="s">
        <v>43662</v>
      </c>
      <c r="X2618" t="s">
        <v>46574</v>
      </c>
    </row>
    <row r="2619" spans="1:24">
      <c r="A2619">
        <f>HYPERLINK("https://www.philgeps.gov.ph/GEPSNONPILOT/Tender/SplashBidNoticeAbstractUI.aspx?menuIndex=3&amp;refID=7059598&amp;Result=3","7059598")</f>
        <v>0</v>
      </c>
      <c r="B2619" t="s">
        <v>1049</v>
      </c>
      <c r="C2619" t="s">
        <v>6066</v>
      </c>
      <c r="D2619" t="s">
        <v>18831</v>
      </c>
      <c r="E2619" t="s">
        <v>21292</v>
      </c>
      <c r="F2619" t="s">
        <v>32664</v>
      </c>
      <c r="G2619" t="s">
        <v>32672</v>
      </c>
      <c r="H2619" t="s">
        <v>12635</v>
      </c>
      <c r="I2619" t="s">
        <v>5589</v>
      </c>
      <c r="J2619" t="s">
        <v>34642</v>
      </c>
      <c r="K2619" t="s">
        <v>42281</v>
      </c>
      <c r="M2619" t="s">
        <v>43666</v>
      </c>
      <c r="N2619" t="s">
        <v>46569</v>
      </c>
      <c r="O2619" t="s">
        <v>46570</v>
      </c>
      <c r="P2619">
        <v>0</v>
      </c>
      <c r="Q2619">
        <v>3</v>
      </c>
      <c r="R2619" t="s">
        <v>46572</v>
      </c>
      <c r="S2619" t="s">
        <v>46689</v>
      </c>
      <c r="T2619" t="s">
        <v>48220</v>
      </c>
      <c r="U2619" t="s">
        <v>50955</v>
      </c>
      <c r="W2619" t="s">
        <v>63505</v>
      </c>
      <c r="X2619" t="s">
        <v>46574</v>
      </c>
    </row>
    <row r="2620" spans="1:24">
      <c r="A2620">
        <f>HYPERLINK("https://www.philgeps.gov.ph/GEPSNONPILOT/Tender/SplashBidNoticeAbstractUI.aspx?menuIndex=3&amp;refID=7059640&amp;Result=3","7059640")</f>
        <v>0</v>
      </c>
      <c r="B2620" t="s">
        <v>1019</v>
      </c>
      <c r="C2620" t="s">
        <v>6067</v>
      </c>
      <c r="D2620" t="s">
        <v>18831</v>
      </c>
      <c r="E2620" t="s">
        <v>21293</v>
      </c>
      <c r="F2620" t="s">
        <v>32664</v>
      </c>
      <c r="G2620" t="s">
        <v>32672</v>
      </c>
      <c r="H2620" t="s">
        <v>32683</v>
      </c>
      <c r="I2620" t="s">
        <v>10627</v>
      </c>
      <c r="J2620" t="s">
        <v>34022</v>
      </c>
      <c r="K2620" t="s">
        <v>42376</v>
      </c>
      <c r="M2620" t="s">
        <v>43631</v>
      </c>
      <c r="N2620" t="s">
        <v>46569</v>
      </c>
      <c r="O2620" t="s">
        <v>46570</v>
      </c>
      <c r="P2620">
        <v>0</v>
      </c>
      <c r="Q2620">
        <v>0</v>
      </c>
      <c r="R2620" t="s">
        <v>46572</v>
      </c>
      <c r="S2620" t="s">
        <v>46689</v>
      </c>
      <c r="T2620" t="s">
        <v>48220</v>
      </c>
      <c r="U2620" t="s">
        <v>50956</v>
      </c>
      <c r="W2620" t="s">
        <v>43631</v>
      </c>
      <c r="X2620" t="s">
        <v>46574</v>
      </c>
    </row>
    <row r="2621" spans="1:24">
      <c r="A2621">
        <f>HYPERLINK("https://www.philgeps.gov.ph/GEPSNONPILOT/Tender/SplashBidNoticeAbstractUI.aspx?menuIndex=3&amp;refID=7059983&amp;Result=3","7059983")</f>
        <v>0</v>
      </c>
      <c r="B2621" t="s">
        <v>1050</v>
      </c>
      <c r="C2621" t="s">
        <v>4254</v>
      </c>
      <c r="D2621" t="s">
        <v>18821</v>
      </c>
      <c r="E2621" t="s">
        <v>21294</v>
      </c>
      <c r="F2621" t="s">
        <v>32664</v>
      </c>
      <c r="G2621" t="s">
        <v>32675</v>
      </c>
      <c r="H2621" t="s">
        <v>12635</v>
      </c>
      <c r="I2621" t="s">
        <v>6168</v>
      </c>
      <c r="J2621" t="s">
        <v>34643</v>
      </c>
      <c r="K2621" t="s">
        <v>42295</v>
      </c>
      <c r="M2621" t="s">
        <v>43667</v>
      </c>
      <c r="N2621" t="s">
        <v>46569</v>
      </c>
      <c r="O2621" t="s">
        <v>46570</v>
      </c>
      <c r="P2621">
        <v>0</v>
      </c>
      <c r="Q2621">
        <v>0</v>
      </c>
      <c r="R2621" t="s">
        <v>46572</v>
      </c>
      <c r="S2621" t="s">
        <v>46689</v>
      </c>
      <c r="T2621" t="s">
        <v>48219</v>
      </c>
      <c r="U2621" t="s">
        <v>50957</v>
      </c>
      <c r="W2621" t="s">
        <v>43667</v>
      </c>
      <c r="X2621" t="s">
        <v>46574</v>
      </c>
    </row>
    <row r="2622" spans="1:24">
      <c r="A2622">
        <f>HYPERLINK("https://www.philgeps.gov.ph/GEPSNONPILOT/Tender/SplashBidNoticeAbstractUI.aspx?menuIndex=3&amp;refID=7061196&amp;Result=3","7061196")</f>
        <v>0</v>
      </c>
      <c r="B2622" t="s">
        <v>99</v>
      </c>
      <c r="C2622" t="s">
        <v>6068</v>
      </c>
      <c r="D2622" t="s">
        <v>18814</v>
      </c>
      <c r="E2622" t="s">
        <v>21295</v>
      </c>
      <c r="F2622" t="s">
        <v>32664</v>
      </c>
      <c r="G2622" t="s">
        <v>32671</v>
      </c>
      <c r="H2622" t="s">
        <v>12635</v>
      </c>
      <c r="I2622" t="s">
        <v>5460</v>
      </c>
      <c r="J2622" t="s">
        <v>33117</v>
      </c>
      <c r="K2622" t="s">
        <v>42284</v>
      </c>
      <c r="M2622" t="s">
        <v>42662</v>
      </c>
      <c r="N2622" t="s">
        <v>46569</v>
      </c>
      <c r="O2622" t="s">
        <v>46570</v>
      </c>
      <c r="P2622">
        <v>0</v>
      </c>
      <c r="Q2622">
        <v>0</v>
      </c>
      <c r="R2622" t="s">
        <v>46572</v>
      </c>
      <c r="S2622" t="s">
        <v>46689</v>
      </c>
      <c r="T2622" t="s">
        <v>48246</v>
      </c>
      <c r="U2622" t="s">
        <v>48977</v>
      </c>
      <c r="W2622" t="s">
        <v>42662</v>
      </c>
      <c r="X2622" t="s">
        <v>46574</v>
      </c>
    </row>
    <row r="2623" spans="1:24">
      <c r="A2623">
        <f>HYPERLINK("https://www.philgeps.gov.ph/GEPSNONPILOT/Tender/SplashBidNoticeAbstractUI.aspx?menuIndex=3&amp;refID=7061179&amp;Result=3","7061179")</f>
        <v>0</v>
      </c>
      <c r="B2623" t="s">
        <v>804</v>
      </c>
      <c r="C2623" t="s">
        <v>6069</v>
      </c>
      <c r="D2623" t="s">
        <v>18790</v>
      </c>
      <c r="E2623" t="s">
        <v>21296</v>
      </c>
      <c r="F2623" t="s">
        <v>32664</v>
      </c>
      <c r="G2623" t="s">
        <v>32672</v>
      </c>
      <c r="H2623" t="s">
        <v>32683</v>
      </c>
      <c r="I2623" t="s">
        <v>10627</v>
      </c>
      <c r="J2623" t="s">
        <v>34644</v>
      </c>
      <c r="K2623" t="s">
        <v>42311</v>
      </c>
      <c r="M2623" t="s">
        <v>43396</v>
      </c>
      <c r="N2623" t="s">
        <v>46569</v>
      </c>
      <c r="O2623" t="s">
        <v>46570</v>
      </c>
      <c r="P2623">
        <v>0</v>
      </c>
      <c r="Q2623">
        <v>0</v>
      </c>
      <c r="R2623" t="s">
        <v>46572</v>
      </c>
      <c r="S2623" t="s">
        <v>46689</v>
      </c>
      <c r="T2623" t="s">
        <v>48457</v>
      </c>
      <c r="U2623" t="s">
        <v>50958</v>
      </c>
      <c r="W2623" t="s">
        <v>43396</v>
      </c>
      <c r="X2623" t="s">
        <v>46574</v>
      </c>
    </row>
    <row r="2624" spans="1:24">
      <c r="A2624">
        <f>HYPERLINK("https://www.philgeps.gov.ph/GEPSNONPILOT/Tender/SplashBidNoticeAbstractUI.aspx?menuIndex=3&amp;refID=7059912&amp;Result=3","7059912")</f>
        <v>0</v>
      </c>
      <c r="B2624" t="s">
        <v>1038</v>
      </c>
      <c r="C2624" t="s">
        <v>6070</v>
      </c>
      <c r="D2624" t="s">
        <v>18788</v>
      </c>
      <c r="E2624" t="s">
        <v>21297</v>
      </c>
      <c r="F2624" t="s">
        <v>32664</v>
      </c>
      <c r="G2624" t="s">
        <v>32672</v>
      </c>
      <c r="H2624" t="s">
        <v>32683</v>
      </c>
      <c r="I2624" t="s">
        <v>10627</v>
      </c>
      <c r="J2624" t="s">
        <v>34637</v>
      </c>
      <c r="K2624" t="s">
        <v>42285</v>
      </c>
      <c r="M2624" t="s">
        <v>43652</v>
      </c>
      <c r="N2624" t="s">
        <v>46569</v>
      </c>
      <c r="O2624" t="s">
        <v>46570</v>
      </c>
      <c r="P2624">
        <v>0</v>
      </c>
      <c r="Q2624">
        <v>1</v>
      </c>
      <c r="R2624" t="s">
        <v>46572</v>
      </c>
      <c r="S2624" t="s">
        <v>46689</v>
      </c>
      <c r="T2624" t="s">
        <v>48308</v>
      </c>
      <c r="U2624" t="s">
        <v>50959</v>
      </c>
      <c r="W2624" t="s">
        <v>43652</v>
      </c>
      <c r="X2624" t="s">
        <v>46574</v>
      </c>
    </row>
    <row r="2625" spans="1:24">
      <c r="A2625">
        <f>HYPERLINK("https://www.philgeps.gov.ph/GEPSNONPILOT/Tender/SplashBidNoticeAbstractUI.aspx?menuIndex=3&amp;refID=7059633&amp;Result=3","7059633")</f>
        <v>0</v>
      </c>
      <c r="B2625" t="s">
        <v>1019</v>
      </c>
      <c r="C2625" t="s">
        <v>6071</v>
      </c>
      <c r="D2625" t="s">
        <v>18831</v>
      </c>
      <c r="E2625" t="s">
        <v>21298</v>
      </c>
      <c r="F2625" t="s">
        <v>32664</v>
      </c>
      <c r="G2625" t="s">
        <v>32672</v>
      </c>
      <c r="H2625" t="s">
        <v>32683</v>
      </c>
      <c r="I2625" t="s">
        <v>10627</v>
      </c>
      <c r="J2625" t="s">
        <v>33142</v>
      </c>
      <c r="K2625" t="s">
        <v>42395</v>
      </c>
      <c r="M2625" t="s">
        <v>43631</v>
      </c>
      <c r="N2625" t="s">
        <v>46569</v>
      </c>
      <c r="O2625" t="s">
        <v>46570</v>
      </c>
      <c r="P2625">
        <v>0</v>
      </c>
      <c r="Q2625">
        <v>0</v>
      </c>
      <c r="R2625" t="s">
        <v>46572</v>
      </c>
      <c r="S2625" t="s">
        <v>46689</v>
      </c>
      <c r="T2625" t="s">
        <v>48220</v>
      </c>
      <c r="U2625" t="s">
        <v>50960</v>
      </c>
      <c r="W2625" t="s">
        <v>43631</v>
      </c>
      <c r="X2625" t="s">
        <v>46574</v>
      </c>
    </row>
    <row r="2626" spans="1:24">
      <c r="A2626">
        <f>HYPERLINK("https://www.philgeps.gov.ph/GEPSNONPILOT/Tender/SplashBidNoticeAbstractUI.aspx?menuIndex=3&amp;refID=7061052&amp;Result=3","7061052")</f>
        <v>0</v>
      </c>
      <c r="B2626" t="s">
        <v>754</v>
      </c>
      <c r="C2626" t="s">
        <v>6072</v>
      </c>
      <c r="D2626" t="s">
        <v>18831</v>
      </c>
      <c r="E2626" t="s">
        <v>21299</v>
      </c>
      <c r="F2626" t="s">
        <v>32664</v>
      </c>
      <c r="G2626" t="s">
        <v>32671</v>
      </c>
      <c r="H2626" t="s">
        <v>12635</v>
      </c>
      <c r="I2626" t="s">
        <v>5589</v>
      </c>
      <c r="J2626" t="s">
        <v>34102</v>
      </c>
      <c r="K2626" t="s">
        <v>42283</v>
      </c>
      <c r="M2626" t="s">
        <v>43668</v>
      </c>
      <c r="N2626" t="s">
        <v>46569</v>
      </c>
      <c r="O2626" t="s">
        <v>46570</v>
      </c>
      <c r="P2626">
        <v>0</v>
      </c>
      <c r="Q2626">
        <v>4</v>
      </c>
      <c r="R2626" t="s">
        <v>46572</v>
      </c>
      <c r="S2626" t="s">
        <v>46689</v>
      </c>
      <c r="T2626" t="s">
        <v>48314</v>
      </c>
      <c r="U2626" t="s">
        <v>50961</v>
      </c>
      <c r="V2626" t="s">
        <v>61883</v>
      </c>
      <c r="W2626" t="s">
        <v>43668</v>
      </c>
      <c r="X2626" t="s">
        <v>46574</v>
      </c>
    </row>
    <row r="2627" spans="1:24">
      <c r="A2627">
        <f>HYPERLINK("https://www.philgeps.gov.ph/GEPSNONPILOT/Tender/SplashBidNoticeAbstractUI.aspx?menuIndex=3&amp;refID=7061047&amp;Result=3","7061047")</f>
        <v>0</v>
      </c>
      <c r="B2627" t="s">
        <v>1051</v>
      </c>
      <c r="C2627" t="s">
        <v>6073</v>
      </c>
      <c r="D2627" t="s">
        <v>18818</v>
      </c>
      <c r="E2627" t="s">
        <v>19323</v>
      </c>
      <c r="F2627" t="s">
        <v>32664</v>
      </c>
      <c r="G2627" t="s">
        <v>32674</v>
      </c>
      <c r="H2627" t="s">
        <v>12635</v>
      </c>
      <c r="I2627" t="s">
        <v>4439</v>
      </c>
      <c r="J2627" t="s">
        <v>34645</v>
      </c>
      <c r="K2627" t="s">
        <v>42295</v>
      </c>
      <c r="M2627" t="s">
        <v>43669</v>
      </c>
      <c r="N2627" t="s">
        <v>46569</v>
      </c>
      <c r="O2627" t="s">
        <v>46570</v>
      </c>
      <c r="P2627">
        <v>0</v>
      </c>
      <c r="Q2627">
        <v>0</v>
      </c>
      <c r="R2627" t="s">
        <v>46572</v>
      </c>
      <c r="S2627" t="s">
        <v>46689</v>
      </c>
      <c r="T2627" t="s">
        <v>48256</v>
      </c>
      <c r="U2627" t="s">
        <v>50962</v>
      </c>
      <c r="W2627" t="s">
        <v>43669</v>
      </c>
      <c r="X2627" t="s">
        <v>46574</v>
      </c>
    </row>
    <row r="2628" spans="1:24">
      <c r="A2628">
        <f>HYPERLINK("https://www.philgeps.gov.ph/GEPSNONPILOT/Tender/SplashBidNoticeAbstractUI.aspx?menuIndex=3&amp;refID=7061170&amp;Result=3","7061170")</f>
        <v>0</v>
      </c>
      <c r="B2628" t="s">
        <v>1052</v>
      </c>
      <c r="C2628" t="s">
        <v>6074</v>
      </c>
      <c r="D2628" t="s">
        <v>18850</v>
      </c>
      <c r="E2628" t="s">
        <v>21300</v>
      </c>
      <c r="F2628" t="s">
        <v>32664</v>
      </c>
      <c r="G2628" t="s">
        <v>32677</v>
      </c>
      <c r="H2628" t="s">
        <v>12635</v>
      </c>
      <c r="I2628" t="s">
        <v>4439</v>
      </c>
      <c r="J2628" t="s">
        <v>34646</v>
      </c>
      <c r="K2628" t="s">
        <v>42298</v>
      </c>
      <c r="M2628" t="s">
        <v>43670</v>
      </c>
      <c r="N2628" t="s">
        <v>46569</v>
      </c>
      <c r="O2628" t="s">
        <v>46570</v>
      </c>
      <c r="P2628">
        <v>0</v>
      </c>
      <c r="Q2628">
        <v>0</v>
      </c>
      <c r="R2628" t="s">
        <v>46572</v>
      </c>
      <c r="S2628" t="s">
        <v>46689</v>
      </c>
      <c r="T2628" t="s">
        <v>48221</v>
      </c>
      <c r="U2628" t="s">
        <v>50963</v>
      </c>
      <c r="W2628" t="s">
        <v>43670</v>
      </c>
      <c r="X2628" t="s">
        <v>46574</v>
      </c>
    </row>
    <row r="2629" spans="1:24">
      <c r="A2629">
        <f>HYPERLINK("https://www.philgeps.gov.ph/GEPSNONPILOT/Tender/SplashBidNoticeAbstractUI.aspx?menuIndex=3&amp;refID=7060763&amp;Result=3","7060763")</f>
        <v>0</v>
      </c>
      <c r="B2629" t="s">
        <v>1053</v>
      </c>
      <c r="C2629" t="s">
        <v>6075</v>
      </c>
      <c r="D2629" t="s">
        <v>18803</v>
      </c>
      <c r="E2629" t="s">
        <v>21301</v>
      </c>
      <c r="F2629" t="s">
        <v>32664</v>
      </c>
      <c r="G2629" t="s">
        <v>32674</v>
      </c>
      <c r="H2629" t="s">
        <v>12635</v>
      </c>
      <c r="I2629" t="s">
        <v>32717</v>
      </c>
      <c r="J2629" t="s">
        <v>32961</v>
      </c>
      <c r="K2629" t="s">
        <v>42305</v>
      </c>
      <c r="M2629" t="s">
        <v>43671</v>
      </c>
      <c r="N2629" t="s">
        <v>46569</v>
      </c>
      <c r="O2629" t="s">
        <v>46570</v>
      </c>
      <c r="P2629">
        <v>0</v>
      </c>
      <c r="Q2629">
        <v>6</v>
      </c>
      <c r="R2629" t="s">
        <v>46572</v>
      </c>
      <c r="S2629" t="s">
        <v>46689</v>
      </c>
      <c r="T2629" t="s">
        <v>48283</v>
      </c>
      <c r="U2629" t="s">
        <v>50964</v>
      </c>
      <c r="W2629" t="s">
        <v>43671</v>
      </c>
      <c r="X2629" t="s">
        <v>46574</v>
      </c>
    </row>
    <row r="2630" spans="1:24">
      <c r="A2630">
        <f>HYPERLINK("https://www.philgeps.gov.ph/GEPSNONPILOT/Tender/SplashBidNoticeAbstractUI.aspx?menuIndex=3&amp;refID=7061069&amp;Result=3","7061069")</f>
        <v>0</v>
      </c>
      <c r="B2630" t="s">
        <v>1054</v>
      </c>
      <c r="C2630" t="s">
        <v>6076</v>
      </c>
      <c r="D2630" t="s">
        <v>18814</v>
      </c>
      <c r="E2630" t="s">
        <v>21302</v>
      </c>
      <c r="F2630" t="s">
        <v>32664</v>
      </c>
      <c r="G2630" t="s">
        <v>32672</v>
      </c>
      <c r="H2630" t="s">
        <v>12635</v>
      </c>
      <c r="I2630" t="s">
        <v>32722</v>
      </c>
      <c r="J2630" t="s">
        <v>34647</v>
      </c>
      <c r="K2630" t="s">
        <v>42285</v>
      </c>
      <c r="M2630" t="s">
        <v>43672</v>
      </c>
      <c r="N2630" t="s">
        <v>46569</v>
      </c>
      <c r="O2630" t="s">
        <v>46570</v>
      </c>
      <c r="P2630">
        <v>0</v>
      </c>
      <c r="Q2630">
        <v>6</v>
      </c>
      <c r="R2630" t="s">
        <v>46572</v>
      </c>
      <c r="S2630" t="s">
        <v>46689</v>
      </c>
      <c r="T2630" t="s">
        <v>48275</v>
      </c>
      <c r="U2630" t="s">
        <v>50965</v>
      </c>
      <c r="W2630" t="s">
        <v>43672</v>
      </c>
      <c r="X2630" t="s">
        <v>46574</v>
      </c>
    </row>
    <row r="2631" spans="1:24">
      <c r="A2631">
        <f>HYPERLINK("https://www.philgeps.gov.ph/GEPSNONPILOT/Tender/SplashBidNoticeAbstractUI.aspx?menuIndex=3&amp;refID=7060740&amp;Result=3","7060740")</f>
        <v>0</v>
      </c>
      <c r="B2631" t="s">
        <v>926</v>
      </c>
      <c r="C2631" t="s">
        <v>6077</v>
      </c>
      <c r="D2631" t="s">
        <v>18847</v>
      </c>
      <c r="E2631" t="s">
        <v>21303</v>
      </c>
      <c r="F2631" t="s">
        <v>32664</v>
      </c>
      <c r="G2631" t="s">
        <v>32672</v>
      </c>
      <c r="H2631" t="s">
        <v>12635</v>
      </c>
      <c r="I2631" t="s">
        <v>11464</v>
      </c>
      <c r="J2631" t="s">
        <v>34648</v>
      </c>
      <c r="K2631" t="s">
        <v>42297</v>
      </c>
      <c r="M2631" t="s">
        <v>43532</v>
      </c>
      <c r="N2631" t="s">
        <v>46569</v>
      </c>
      <c r="O2631" t="s">
        <v>46570</v>
      </c>
      <c r="P2631">
        <v>0</v>
      </c>
      <c r="Q2631">
        <v>4</v>
      </c>
      <c r="R2631" t="s">
        <v>46572</v>
      </c>
      <c r="S2631" t="s">
        <v>46689</v>
      </c>
      <c r="T2631" t="s">
        <v>48274</v>
      </c>
      <c r="U2631" t="s">
        <v>50966</v>
      </c>
      <c r="V2631" t="s">
        <v>61884</v>
      </c>
      <c r="W2631" t="s">
        <v>43532</v>
      </c>
      <c r="X2631" t="s">
        <v>46574</v>
      </c>
    </row>
    <row r="2632" spans="1:24">
      <c r="A2632">
        <f>HYPERLINK("https://www.philgeps.gov.ph/GEPSNONPILOT/Tender/SplashBidNoticeAbstractUI.aspx?menuIndex=3&amp;refID=7059876&amp;Result=3","7059876")</f>
        <v>0</v>
      </c>
      <c r="B2632" t="s">
        <v>1038</v>
      </c>
      <c r="C2632" t="s">
        <v>6078</v>
      </c>
      <c r="D2632" t="s">
        <v>18788</v>
      </c>
      <c r="E2632" t="s">
        <v>21304</v>
      </c>
      <c r="F2632" t="s">
        <v>32664</v>
      </c>
      <c r="G2632" t="s">
        <v>32672</v>
      </c>
      <c r="H2632" t="s">
        <v>32683</v>
      </c>
      <c r="I2632" t="s">
        <v>10627</v>
      </c>
      <c r="J2632" t="s">
        <v>34634</v>
      </c>
      <c r="K2632" t="s">
        <v>42327</v>
      </c>
      <c r="M2632" t="s">
        <v>43652</v>
      </c>
      <c r="N2632" t="s">
        <v>46569</v>
      </c>
      <c r="O2632" t="s">
        <v>46570</v>
      </c>
      <c r="P2632">
        <v>0</v>
      </c>
      <c r="Q2632">
        <v>1</v>
      </c>
      <c r="R2632" t="s">
        <v>46572</v>
      </c>
      <c r="S2632" t="s">
        <v>46689</v>
      </c>
      <c r="T2632" t="s">
        <v>48308</v>
      </c>
      <c r="U2632" t="s">
        <v>50967</v>
      </c>
      <c r="W2632" t="s">
        <v>43652</v>
      </c>
      <c r="X2632" t="s">
        <v>46574</v>
      </c>
    </row>
    <row r="2633" spans="1:24">
      <c r="A2633">
        <f>HYPERLINK("https://www.philgeps.gov.ph/GEPSNONPILOT/Tender/SplashBidNoticeAbstractUI.aspx?menuIndex=3&amp;refID=7061254&amp;Result=3","7061254")</f>
        <v>0</v>
      </c>
      <c r="B2633" t="s">
        <v>1055</v>
      </c>
      <c r="C2633" t="s">
        <v>6079</v>
      </c>
      <c r="D2633" t="s">
        <v>18784</v>
      </c>
      <c r="E2633" t="s">
        <v>21305</v>
      </c>
      <c r="F2633" t="s">
        <v>32664</v>
      </c>
      <c r="G2633" t="s">
        <v>32677</v>
      </c>
      <c r="H2633" t="s">
        <v>12635</v>
      </c>
      <c r="I2633" t="s">
        <v>32769</v>
      </c>
      <c r="J2633" t="s">
        <v>33008</v>
      </c>
      <c r="K2633" t="s">
        <v>42283</v>
      </c>
      <c r="M2633" t="s">
        <v>43673</v>
      </c>
      <c r="N2633" t="s">
        <v>46569</v>
      </c>
      <c r="O2633" t="s">
        <v>46570</v>
      </c>
      <c r="P2633">
        <v>0</v>
      </c>
      <c r="Q2633">
        <v>2</v>
      </c>
      <c r="R2633" t="s">
        <v>46572</v>
      </c>
      <c r="S2633" t="s">
        <v>46689</v>
      </c>
      <c r="T2633" t="s">
        <v>48312</v>
      </c>
      <c r="U2633" t="s">
        <v>50968</v>
      </c>
      <c r="W2633" t="s">
        <v>43673</v>
      </c>
      <c r="X2633" t="s">
        <v>46574</v>
      </c>
    </row>
    <row r="2634" spans="1:24">
      <c r="A2634">
        <f>HYPERLINK("https://www.philgeps.gov.ph/GEPSNONPILOT/Tender/SplashBidNoticeAbstractUI.aspx?menuIndex=3&amp;refID=7060516&amp;Result=3","7060516")</f>
        <v>0</v>
      </c>
      <c r="B2634" t="s">
        <v>1044</v>
      </c>
      <c r="C2634" t="s">
        <v>6080</v>
      </c>
      <c r="D2634" t="s">
        <v>18826</v>
      </c>
      <c r="E2634" t="s">
        <v>21306</v>
      </c>
      <c r="F2634" t="s">
        <v>32664</v>
      </c>
      <c r="G2634" t="s">
        <v>32672</v>
      </c>
      <c r="H2634" t="s">
        <v>32683</v>
      </c>
      <c r="I2634" t="s">
        <v>10627</v>
      </c>
      <c r="J2634" t="s">
        <v>34649</v>
      </c>
      <c r="K2634" t="s">
        <v>42290</v>
      </c>
      <c r="L2634" t="s">
        <v>1044</v>
      </c>
      <c r="M2634" t="s">
        <v>43658</v>
      </c>
      <c r="N2634" t="s">
        <v>46569</v>
      </c>
      <c r="O2634" t="s">
        <v>46570</v>
      </c>
      <c r="P2634">
        <v>0</v>
      </c>
      <c r="Q2634">
        <v>4</v>
      </c>
      <c r="R2634" t="s">
        <v>46572</v>
      </c>
      <c r="S2634" t="s">
        <v>46689</v>
      </c>
      <c r="T2634" t="s">
        <v>48308</v>
      </c>
      <c r="U2634" t="s">
        <v>50937</v>
      </c>
      <c r="W2634" t="s">
        <v>43658</v>
      </c>
      <c r="X2634" t="s">
        <v>46574</v>
      </c>
    </row>
    <row r="2635" spans="1:24">
      <c r="A2635">
        <f>HYPERLINK("https://www.philgeps.gov.ph/GEPSNONPILOT/Tender/SplashBidNoticeAbstractUI.aspx?menuIndex=3&amp;refID=7061021&amp;Result=3","7061021")</f>
        <v>0</v>
      </c>
      <c r="B2635" t="s">
        <v>605</v>
      </c>
      <c r="C2635" t="s">
        <v>6081</v>
      </c>
      <c r="D2635" t="s">
        <v>18858</v>
      </c>
      <c r="E2635" t="s">
        <v>21307</v>
      </c>
      <c r="F2635" t="s">
        <v>32664</v>
      </c>
      <c r="G2635" t="s">
        <v>32672</v>
      </c>
      <c r="H2635" t="s">
        <v>12635</v>
      </c>
      <c r="I2635" t="s">
        <v>4439</v>
      </c>
      <c r="J2635" t="s">
        <v>34650</v>
      </c>
      <c r="K2635" t="s">
        <v>42303</v>
      </c>
      <c r="M2635" t="s">
        <v>43185</v>
      </c>
      <c r="N2635" t="s">
        <v>46569</v>
      </c>
      <c r="O2635" t="s">
        <v>46570</v>
      </c>
      <c r="P2635">
        <v>0</v>
      </c>
      <c r="Q2635">
        <v>0</v>
      </c>
      <c r="R2635" t="s">
        <v>46572</v>
      </c>
      <c r="S2635" t="s">
        <v>46689</v>
      </c>
      <c r="T2635" t="s">
        <v>48230</v>
      </c>
      <c r="U2635" t="s">
        <v>50969</v>
      </c>
      <c r="W2635" t="s">
        <v>43185</v>
      </c>
      <c r="X2635" t="s">
        <v>46574</v>
      </c>
    </row>
    <row r="2636" spans="1:24">
      <c r="A2636">
        <f>HYPERLINK("https://www.philgeps.gov.ph/GEPSNONPILOT/Tender/SplashBidNoticeAbstractUI.aspx?menuIndex=3&amp;refID=7061694&amp;Result=3","7061694")</f>
        <v>0</v>
      </c>
      <c r="B2636" t="s">
        <v>629</v>
      </c>
      <c r="C2636" t="s">
        <v>6082</v>
      </c>
      <c r="D2636" t="s">
        <v>18782</v>
      </c>
      <c r="E2636" t="s">
        <v>21308</v>
      </c>
      <c r="F2636" t="s">
        <v>32664</v>
      </c>
      <c r="G2636" t="s">
        <v>32674</v>
      </c>
      <c r="H2636" t="s">
        <v>12635</v>
      </c>
      <c r="I2636" t="s">
        <v>8797</v>
      </c>
      <c r="J2636" t="s">
        <v>34651</v>
      </c>
      <c r="K2636" t="s">
        <v>42283</v>
      </c>
      <c r="M2636" t="s">
        <v>43211</v>
      </c>
      <c r="N2636" t="s">
        <v>46569</v>
      </c>
      <c r="O2636" t="s">
        <v>46570</v>
      </c>
      <c r="P2636">
        <v>0</v>
      </c>
      <c r="Q2636">
        <v>5</v>
      </c>
      <c r="R2636" t="s">
        <v>46572</v>
      </c>
      <c r="S2636" t="s">
        <v>46689</v>
      </c>
      <c r="T2636" t="s">
        <v>48290</v>
      </c>
      <c r="U2636" t="s">
        <v>50970</v>
      </c>
      <c r="W2636" t="s">
        <v>43211</v>
      </c>
      <c r="X2636" t="s">
        <v>46573</v>
      </c>
    </row>
    <row r="2637" spans="1:24">
      <c r="A2637">
        <f>HYPERLINK("https://www.philgeps.gov.ph/GEPSNONPILOT/Tender/SplashBidNoticeAbstractUI.aspx?menuIndex=3&amp;refID=7061691&amp;Result=3","7061691")</f>
        <v>0</v>
      </c>
      <c r="B2637" t="s">
        <v>629</v>
      </c>
      <c r="C2637" t="s">
        <v>6083</v>
      </c>
      <c r="D2637" t="s">
        <v>18782</v>
      </c>
      <c r="E2637" t="s">
        <v>21309</v>
      </c>
      <c r="F2637" t="s">
        <v>32664</v>
      </c>
      <c r="G2637" t="s">
        <v>32674</v>
      </c>
      <c r="H2637" t="s">
        <v>12635</v>
      </c>
      <c r="I2637" t="s">
        <v>32746</v>
      </c>
      <c r="J2637" t="s">
        <v>34652</v>
      </c>
      <c r="K2637" t="s">
        <v>42283</v>
      </c>
      <c r="M2637" t="s">
        <v>43211</v>
      </c>
      <c r="N2637" t="s">
        <v>46569</v>
      </c>
      <c r="O2637" t="s">
        <v>46570</v>
      </c>
      <c r="P2637">
        <v>0</v>
      </c>
      <c r="Q2637">
        <v>1</v>
      </c>
      <c r="R2637" t="s">
        <v>46572</v>
      </c>
      <c r="S2637" t="s">
        <v>46689</v>
      </c>
      <c r="T2637" t="s">
        <v>48290</v>
      </c>
      <c r="U2637" t="s">
        <v>50971</v>
      </c>
      <c r="W2637" t="s">
        <v>43211</v>
      </c>
      <c r="X2637" t="s">
        <v>46574</v>
      </c>
    </row>
    <row r="2638" spans="1:24">
      <c r="A2638">
        <f>HYPERLINK("https://www.philgeps.gov.ph/GEPSNONPILOT/Tender/SplashBidNoticeAbstractUI.aspx?menuIndex=3&amp;refID=7061687&amp;Result=3","7061687")</f>
        <v>0</v>
      </c>
      <c r="B2638" t="s">
        <v>629</v>
      </c>
      <c r="C2638" t="s">
        <v>6084</v>
      </c>
      <c r="D2638" t="s">
        <v>18782</v>
      </c>
      <c r="E2638" t="s">
        <v>21310</v>
      </c>
      <c r="F2638" t="s">
        <v>32664</v>
      </c>
      <c r="G2638" t="s">
        <v>32674</v>
      </c>
      <c r="H2638" t="s">
        <v>12635</v>
      </c>
      <c r="I2638" t="s">
        <v>8797</v>
      </c>
      <c r="J2638" t="s">
        <v>34653</v>
      </c>
      <c r="K2638" t="s">
        <v>42283</v>
      </c>
      <c r="M2638" t="s">
        <v>43211</v>
      </c>
      <c r="N2638" t="s">
        <v>46569</v>
      </c>
      <c r="O2638" t="s">
        <v>46570</v>
      </c>
      <c r="P2638">
        <v>0</v>
      </c>
      <c r="Q2638">
        <v>3</v>
      </c>
      <c r="R2638" t="s">
        <v>46572</v>
      </c>
      <c r="S2638" t="s">
        <v>46689</v>
      </c>
      <c r="T2638" t="s">
        <v>48290</v>
      </c>
      <c r="U2638" t="s">
        <v>50972</v>
      </c>
      <c r="W2638" t="s">
        <v>43211</v>
      </c>
      <c r="X2638" t="s">
        <v>46574</v>
      </c>
    </row>
    <row r="2639" spans="1:24">
      <c r="A2639">
        <f>HYPERLINK("https://www.philgeps.gov.ph/GEPSNONPILOT/Tender/SplashBidNoticeAbstractUI.aspx?menuIndex=3&amp;refID=7061205&amp;Result=3","7061205")</f>
        <v>0</v>
      </c>
      <c r="B2639" t="s">
        <v>804</v>
      </c>
      <c r="C2639" t="s">
        <v>6085</v>
      </c>
      <c r="D2639" t="s">
        <v>18790</v>
      </c>
      <c r="E2639" t="s">
        <v>21311</v>
      </c>
      <c r="F2639" t="s">
        <v>32664</v>
      </c>
      <c r="G2639" t="s">
        <v>32672</v>
      </c>
      <c r="H2639" t="s">
        <v>32683</v>
      </c>
      <c r="I2639" t="s">
        <v>10627</v>
      </c>
      <c r="J2639" t="s">
        <v>34654</v>
      </c>
      <c r="K2639" t="s">
        <v>42310</v>
      </c>
      <c r="M2639" t="s">
        <v>43396</v>
      </c>
      <c r="N2639" t="s">
        <v>46569</v>
      </c>
      <c r="O2639" t="s">
        <v>46570</v>
      </c>
      <c r="P2639">
        <v>0</v>
      </c>
      <c r="Q2639">
        <v>0</v>
      </c>
      <c r="R2639" t="s">
        <v>46572</v>
      </c>
      <c r="S2639" t="s">
        <v>46689</v>
      </c>
      <c r="T2639" t="s">
        <v>48457</v>
      </c>
      <c r="U2639" t="s">
        <v>50973</v>
      </c>
      <c r="W2639" t="s">
        <v>43396</v>
      </c>
      <c r="X2639" t="s">
        <v>46574</v>
      </c>
    </row>
    <row r="2640" spans="1:24">
      <c r="A2640">
        <f>HYPERLINK("https://www.philgeps.gov.ph/GEPSNONPILOT/Tender/SplashBidNoticeAbstractUI.aspx?menuIndex=3&amp;refID=7061670&amp;Result=3","7061670")</f>
        <v>0</v>
      </c>
      <c r="B2640" t="s">
        <v>1056</v>
      </c>
      <c r="C2640" t="s">
        <v>5954</v>
      </c>
      <c r="D2640" t="s">
        <v>18784</v>
      </c>
      <c r="E2640" t="s">
        <v>21312</v>
      </c>
      <c r="F2640" t="s">
        <v>32664</v>
      </c>
      <c r="G2640" t="s">
        <v>32671</v>
      </c>
      <c r="H2640" t="s">
        <v>12635</v>
      </c>
      <c r="I2640" t="s">
        <v>8797</v>
      </c>
      <c r="J2640" t="s">
        <v>34655</v>
      </c>
      <c r="K2640" t="s">
        <v>42289</v>
      </c>
      <c r="M2640" t="s">
        <v>43674</v>
      </c>
      <c r="N2640" t="s">
        <v>46569</v>
      </c>
      <c r="O2640" t="s">
        <v>46570</v>
      </c>
      <c r="P2640">
        <v>0</v>
      </c>
      <c r="Q2640">
        <v>15</v>
      </c>
      <c r="R2640" t="s">
        <v>46572</v>
      </c>
      <c r="S2640" t="s">
        <v>46689</v>
      </c>
      <c r="T2640" t="s">
        <v>48217</v>
      </c>
      <c r="U2640" t="s">
        <v>50974</v>
      </c>
      <c r="W2640" t="s">
        <v>43674</v>
      </c>
      <c r="X2640" t="s">
        <v>46574</v>
      </c>
    </row>
    <row r="2641" spans="1:24">
      <c r="A2641">
        <f>HYPERLINK("https://www.philgeps.gov.ph/GEPSNONPILOT/Tender/SplashBidNoticeAbstractUI.aspx?menuIndex=3&amp;refID=7060745&amp;Result=3","7060745")</f>
        <v>0</v>
      </c>
      <c r="B2641" t="s">
        <v>721</v>
      </c>
      <c r="C2641" t="s">
        <v>6086</v>
      </c>
      <c r="D2641" t="s">
        <v>18860</v>
      </c>
      <c r="E2641" t="s">
        <v>21313</v>
      </c>
      <c r="F2641" t="s">
        <v>32664</v>
      </c>
      <c r="G2641" t="s">
        <v>32672</v>
      </c>
      <c r="H2641" t="s">
        <v>12635</v>
      </c>
      <c r="I2641" t="s">
        <v>4439</v>
      </c>
      <c r="J2641" t="s">
        <v>34656</v>
      </c>
      <c r="K2641" t="s">
        <v>42305</v>
      </c>
      <c r="M2641" t="s">
        <v>43308</v>
      </c>
      <c r="N2641" t="s">
        <v>46569</v>
      </c>
      <c r="O2641" t="s">
        <v>46570</v>
      </c>
      <c r="P2641">
        <v>0</v>
      </c>
      <c r="Q2641">
        <v>0</v>
      </c>
      <c r="R2641" t="s">
        <v>46572</v>
      </c>
      <c r="S2641" t="s">
        <v>46689</v>
      </c>
      <c r="T2641" t="s">
        <v>48274</v>
      </c>
      <c r="U2641" t="s">
        <v>50133</v>
      </c>
      <c r="W2641" t="s">
        <v>43308</v>
      </c>
      <c r="X2641" t="s">
        <v>46574</v>
      </c>
    </row>
    <row r="2642" spans="1:24">
      <c r="A2642">
        <f>HYPERLINK("https://www.philgeps.gov.ph/GEPSNONPILOT/Tender/SplashBidNoticeAbstractUI.aspx?menuIndex=3&amp;refID=7061511&amp;Result=3","7061511")</f>
        <v>0</v>
      </c>
      <c r="B2642" t="s">
        <v>1057</v>
      </c>
      <c r="C2642" t="s">
        <v>6087</v>
      </c>
      <c r="D2642" t="s">
        <v>18782</v>
      </c>
      <c r="E2642" t="s">
        <v>21314</v>
      </c>
      <c r="F2642" t="s">
        <v>32664</v>
      </c>
      <c r="G2642" t="s">
        <v>32672</v>
      </c>
      <c r="H2642" t="s">
        <v>32683</v>
      </c>
      <c r="I2642" t="s">
        <v>10627</v>
      </c>
      <c r="J2642" t="s">
        <v>34657</v>
      </c>
      <c r="K2642" t="s">
        <v>42298</v>
      </c>
      <c r="M2642" t="s">
        <v>43675</v>
      </c>
      <c r="N2642" t="s">
        <v>46569</v>
      </c>
      <c r="O2642" t="s">
        <v>46570</v>
      </c>
      <c r="P2642">
        <v>0</v>
      </c>
      <c r="Q2642">
        <v>0</v>
      </c>
      <c r="R2642" t="s">
        <v>46572</v>
      </c>
      <c r="S2642" t="s">
        <v>46689</v>
      </c>
      <c r="T2642" t="s">
        <v>48304</v>
      </c>
      <c r="U2642" t="s">
        <v>50975</v>
      </c>
      <c r="W2642" t="s">
        <v>43675</v>
      </c>
      <c r="X2642" t="s">
        <v>46574</v>
      </c>
    </row>
    <row r="2643" spans="1:24">
      <c r="A2643">
        <f>HYPERLINK("https://www.philgeps.gov.ph/GEPSNONPILOT/Tender/SplashBidNoticeAbstractUI.aspx?menuIndex=3&amp;refID=7060681&amp;Result=3","7060681")</f>
        <v>0</v>
      </c>
      <c r="B2643" t="s">
        <v>910</v>
      </c>
      <c r="C2643" t="s">
        <v>6088</v>
      </c>
      <c r="E2643" t="s">
        <v>21315</v>
      </c>
      <c r="F2643" t="s">
        <v>32664</v>
      </c>
      <c r="G2643" t="s">
        <v>32671</v>
      </c>
      <c r="H2643" t="s">
        <v>12635</v>
      </c>
      <c r="I2643" t="s">
        <v>5589</v>
      </c>
      <c r="J2643" t="s">
        <v>33175</v>
      </c>
      <c r="K2643" t="s">
        <v>42283</v>
      </c>
      <c r="M2643" t="s">
        <v>43516</v>
      </c>
      <c r="N2643" t="s">
        <v>46569</v>
      </c>
      <c r="O2643" t="s">
        <v>46570</v>
      </c>
      <c r="P2643">
        <v>0</v>
      </c>
      <c r="Q2643">
        <v>0</v>
      </c>
      <c r="R2643" t="s">
        <v>46572</v>
      </c>
      <c r="S2643" t="s">
        <v>46689</v>
      </c>
      <c r="T2643" t="s">
        <v>48256</v>
      </c>
      <c r="U2643" t="s">
        <v>50976</v>
      </c>
      <c r="W2643" t="s">
        <v>43516</v>
      </c>
      <c r="X2643" t="s">
        <v>46574</v>
      </c>
    </row>
    <row r="2644" spans="1:24">
      <c r="A2644">
        <f>HYPERLINK("https://www.philgeps.gov.ph/GEPSNONPILOT/Tender/SplashBidNoticeAbstractUI.aspx?menuIndex=3&amp;refID=7060047&amp;Result=3","7060047")</f>
        <v>0</v>
      </c>
      <c r="B2644" t="s">
        <v>1058</v>
      </c>
      <c r="C2644" t="s">
        <v>6089</v>
      </c>
      <c r="D2644" t="s">
        <v>18816</v>
      </c>
      <c r="E2644" t="s">
        <v>21316</v>
      </c>
      <c r="F2644" t="s">
        <v>32664</v>
      </c>
      <c r="G2644" t="s">
        <v>32674</v>
      </c>
      <c r="H2644" t="s">
        <v>12635</v>
      </c>
      <c r="I2644" t="s">
        <v>5501</v>
      </c>
      <c r="J2644" t="s">
        <v>33387</v>
      </c>
      <c r="K2644" t="s">
        <v>42284</v>
      </c>
      <c r="M2644" t="s">
        <v>43676</v>
      </c>
      <c r="N2644" t="s">
        <v>46569</v>
      </c>
      <c r="O2644" t="s">
        <v>46570</v>
      </c>
      <c r="P2644">
        <v>0</v>
      </c>
      <c r="Q2644">
        <v>2</v>
      </c>
      <c r="R2644" t="s">
        <v>46572</v>
      </c>
      <c r="S2644" t="s">
        <v>46689</v>
      </c>
      <c r="T2644" t="s">
        <v>48305</v>
      </c>
      <c r="U2644" t="s">
        <v>50977</v>
      </c>
      <c r="W2644" t="s">
        <v>43676</v>
      </c>
      <c r="X2644" t="s">
        <v>46574</v>
      </c>
    </row>
    <row r="2645" spans="1:24">
      <c r="A2645">
        <f>HYPERLINK("https://www.philgeps.gov.ph/GEPSNONPILOT/Tender/SplashBidNoticeAbstractUI.aspx?menuIndex=3&amp;refID=7061658&amp;Result=3","7061658")</f>
        <v>0</v>
      </c>
      <c r="B2645" t="s">
        <v>1059</v>
      </c>
      <c r="C2645" t="s">
        <v>6090</v>
      </c>
      <c r="E2645" t="s">
        <v>21317</v>
      </c>
      <c r="F2645" t="s">
        <v>32664</v>
      </c>
      <c r="G2645" t="s">
        <v>32672</v>
      </c>
      <c r="H2645" t="s">
        <v>32682</v>
      </c>
      <c r="I2645" t="s">
        <v>32710</v>
      </c>
      <c r="J2645" t="s">
        <v>34658</v>
      </c>
      <c r="K2645" t="s">
        <v>42312</v>
      </c>
      <c r="M2645" t="s">
        <v>43677</v>
      </c>
      <c r="N2645" t="s">
        <v>46569</v>
      </c>
      <c r="O2645" t="s">
        <v>46570</v>
      </c>
      <c r="P2645">
        <v>0</v>
      </c>
      <c r="Q2645">
        <v>5</v>
      </c>
      <c r="R2645" t="s">
        <v>46572</v>
      </c>
      <c r="S2645" t="s">
        <v>46689</v>
      </c>
      <c r="T2645" t="s">
        <v>48302</v>
      </c>
      <c r="U2645" t="s">
        <v>50978</v>
      </c>
      <c r="W2645" t="s">
        <v>43677</v>
      </c>
      <c r="X2645" t="s">
        <v>46574</v>
      </c>
    </row>
    <row r="2646" spans="1:24">
      <c r="A2646">
        <f>HYPERLINK("https://www.philgeps.gov.ph/GEPSNONPILOT/Tender/SplashBidNoticeAbstractUI.aspx?menuIndex=3&amp;refID=7061449&amp;Result=3","7061449")</f>
        <v>0</v>
      </c>
      <c r="B2646" t="s">
        <v>1060</v>
      </c>
      <c r="C2646" t="s">
        <v>6091</v>
      </c>
      <c r="D2646" t="s">
        <v>18789</v>
      </c>
      <c r="E2646" t="s">
        <v>21318</v>
      </c>
      <c r="F2646" t="s">
        <v>32665</v>
      </c>
      <c r="G2646" t="s">
        <v>32675</v>
      </c>
      <c r="H2646" t="s">
        <v>12635</v>
      </c>
      <c r="I2646" t="s">
        <v>6223</v>
      </c>
      <c r="J2646" t="s">
        <v>34659</v>
      </c>
      <c r="K2646" t="s">
        <v>42283</v>
      </c>
      <c r="M2646" t="s">
        <v>43678</v>
      </c>
      <c r="N2646" t="s">
        <v>46569</v>
      </c>
      <c r="O2646" t="s">
        <v>46570</v>
      </c>
      <c r="P2646">
        <v>0</v>
      </c>
      <c r="Q2646">
        <v>0</v>
      </c>
      <c r="R2646" t="s">
        <v>46572</v>
      </c>
      <c r="S2646" t="s">
        <v>46689</v>
      </c>
      <c r="T2646" t="s">
        <v>48458</v>
      </c>
      <c r="U2646" t="s">
        <v>50979</v>
      </c>
      <c r="W2646" t="s">
        <v>43678</v>
      </c>
      <c r="X2646" t="s">
        <v>46574</v>
      </c>
    </row>
    <row r="2647" spans="1:24">
      <c r="A2647">
        <f>HYPERLINK("https://www.philgeps.gov.ph/GEPSNONPILOT/Tender/SplashBidNoticeAbstractUI.aspx?menuIndex=3&amp;refID=7061293&amp;Result=3","7061293")</f>
        <v>0</v>
      </c>
      <c r="B2647" t="s">
        <v>1061</v>
      </c>
      <c r="C2647" t="s">
        <v>6092</v>
      </c>
      <c r="D2647" t="s">
        <v>18809</v>
      </c>
      <c r="E2647" t="s">
        <v>20325</v>
      </c>
      <c r="F2647" t="s">
        <v>32665</v>
      </c>
      <c r="G2647" t="s">
        <v>32672</v>
      </c>
      <c r="H2647" t="s">
        <v>12635</v>
      </c>
      <c r="I2647" t="s">
        <v>4439</v>
      </c>
      <c r="J2647" t="s">
        <v>34660</v>
      </c>
      <c r="K2647" t="s">
        <v>42297</v>
      </c>
      <c r="M2647" t="s">
        <v>43679</v>
      </c>
      <c r="N2647" t="s">
        <v>46569</v>
      </c>
      <c r="O2647" t="s">
        <v>46570</v>
      </c>
      <c r="P2647">
        <v>0</v>
      </c>
      <c r="Q2647">
        <v>0</v>
      </c>
      <c r="R2647" t="s">
        <v>46572</v>
      </c>
      <c r="S2647" t="s">
        <v>46689</v>
      </c>
      <c r="T2647" t="s">
        <v>48453</v>
      </c>
      <c r="U2647" t="s">
        <v>50980</v>
      </c>
      <c r="W2647" t="s">
        <v>43679</v>
      </c>
      <c r="X2647" t="s">
        <v>46574</v>
      </c>
    </row>
    <row r="2648" spans="1:24">
      <c r="A2648">
        <f>HYPERLINK("https://www.philgeps.gov.ph/GEPSNONPILOT/Tender/SplashBidNoticeAbstractUI.aspx?menuIndex=3&amp;refID=7061273&amp;Result=3","7061273")</f>
        <v>0</v>
      </c>
      <c r="B2648" t="s">
        <v>1061</v>
      </c>
      <c r="C2648" t="s">
        <v>6093</v>
      </c>
      <c r="D2648" t="s">
        <v>18809</v>
      </c>
      <c r="E2648" t="s">
        <v>21319</v>
      </c>
      <c r="F2648" t="s">
        <v>32665</v>
      </c>
      <c r="G2648" t="s">
        <v>32672</v>
      </c>
      <c r="H2648" t="s">
        <v>12635</v>
      </c>
      <c r="I2648" t="s">
        <v>4439</v>
      </c>
      <c r="J2648" t="s">
        <v>34618</v>
      </c>
      <c r="K2648" t="s">
        <v>42289</v>
      </c>
      <c r="M2648" t="s">
        <v>43679</v>
      </c>
      <c r="N2648" t="s">
        <v>46569</v>
      </c>
      <c r="O2648" t="s">
        <v>46570</v>
      </c>
      <c r="P2648">
        <v>0</v>
      </c>
      <c r="Q2648">
        <v>0</v>
      </c>
      <c r="R2648" t="s">
        <v>46572</v>
      </c>
      <c r="S2648" t="s">
        <v>46689</v>
      </c>
      <c r="T2648" t="s">
        <v>48313</v>
      </c>
      <c r="U2648" t="s">
        <v>50981</v>
      </c>
      <c r="W2648" t="s">
        <v>43679</v>
      </c>
      <c r="X2648" t="s">
        <v>46574</v>
      </c>
    </row>
    <row r="2649" spans="1:24">
      <c r="A2649">
        <f>HYPERLINK("https://www.philgeps.gov.ph/GEPSNONPILOT/Tender/SplashBidNoticeAbstractUI.aspx?menuIndex=3&amp;refID=7061259&amp;Result=3","7061259")</f>
        <v>0</v>
      </c>
      <c r="B2649" t="s">
        <v>1048</v>
      </c>
      <c r="C2649" t="s">
        <v>6094</v>
      </c>
      <c r="D2649" t="s">
        <v>18831</v>
      </c>
      <c r="E2649" t="s">
        <v>21320</v>
      </c>
      <c r="F2649" t="s">
        <v>32664</v>
      </c>
      <c r="G2649" t="s">
        <v>32672</v>
      </c>
      <c r="H2649" t="s">
        <v>32683</v>
      </c>
      <c r="I2649" t="s">
        <v>10627</v>
      </c>
      <c r="J2649" t="s">
        <v>34635</v>
      </c>
      <c r="K2649" t="s">
        <v>42285</v>
      </c>
      <c r="M2649" t="s">
        <v>43664</v>
      </c>
      <c r="N2649" t="s">
        <v>46569</v>
      </c>
      <c r="O2649" t="s">
        <v>46570</v>
      </c>
      <c r="P2649">
        <v>0</v>
      </c>
      <c r="Q2649">
        <v>1</v>
      </c>
      <c r="R2649" t="s">
        <v>46572</v>
      </c>
      <c r="S2649" t="s">
        <v>46689</v>
      </c>
      <c r="T2649" t="s">
        <v>48338</v>
      </c>
      <c r="U2649" t="s">
        <v>50947</v>
      </c>
      <c r="W2649" t="s">
        <v>43664</v>
      </c>
      <c r="X2649" t="s">
        <v>46574</v>
      </c>
    </row>
    <row r="2650" spans="1:24">
      <c r="A2650">
        <f>HYPERLINK("https://www.philgeps.gov.ph/GEPSNONPILOT/Tender/SplashBidNoticeAbstractUI.aspx?menuIndex=3&amp;refID=7061235&amp;Result=3","7061235")</f>
        <v>0</v>
      </c>
      <c r="B2650" t="s">
        <v>804</v>
      </c>
      <c r="C2650" t="s">
        <v>6095</v>
      </c>
      <c r="D2650" t="s">
        <v>18790</v>
      </c>
      <c r="E2650" t="s">
        <v>21321</v>
      </c>
      <c r="F2650" t="s">
        <v>32664</v>
      </c>
      <c r="G2650" t="s">
        <v>32672</v>
      </c>
      <c r="H2650" t="s">
        <v>32683</v>
      </c>
      <c r="I2650" t="s">
        <v>10627</v>
      </c>
      <c r="J2650" t="s">
        <v>34661</v>
      </c>
      <c r="K2650" t="s">
        <v>42310</v>
      </c>
      <c r="M2650" t="s">
        <v>43396</v>
      </c>
      <c r="N2650" t="s">
        <v>46569</v>
      </c>
      <c r="O2650" t="s">
        <v>46570</v>
      </c>
      <c r="P2650">
        <v>0</v>
      </c>
      <c r="Q2650">
        <v>0</v>
      </c>
      <c r="R2650" t="s">
        <v>46572</v>
      </c>
      <c r="S2650" t="s">
        <v>46689</v>
      </c>
      <c r="T2650" t="s">
        <v>48457</v>
      </c>
      <c r="U2650" t="s">
        <v>50982</v>
      </c>
      <c r="W2650" t="s">
        <v>43396</v>
      </c>
      <c r="X2650" t="s">
        <v>46574</v>
      </c>
    </row>
    <row r="2651" spans="1:24">
      <c r="A2651">
        <f>HYPERLINK("https://www.philgeps.gov.ph/GEPSNONPILOT/Tender/SplashBidNoticeAbstractUI.aspx?menuIndex=3&amp;refID=7061661&amp;Result=3","7061661")</f>
        <v>0</v>
      </c>
      <c r="B2651" t="s">
        <v>1062</v>
      </c>
      <c r="C2651" t="s">
        <v>6096</v>
      </c>
      <c r="D2651" t="s">
        <v>18805</v>
      </c>
      <c r="E2651" t="s">
        <v>19312</v>
      </c>
      <c r="F2651" t="s">
        <v>32664</v>
      </c>
      <c r="G2651" t="s">
        <v>32671</v>
      </c>
      <c r="H2651" t="s">
        <v>12635</v>
      </c>
      <c r="I2651" t="s">
        <v>6168</v>
      </c>
      <c r="J2651" t="s">
        <v>34662</v>
      </c>
      <c r="K2651" t="s">
        <v>42283</v>
      </c>
      <c r="M2651" t="s">
        <v>43680</v>
      </c>
      <c r="N2651" t="s">
        <v>46569</v>
      </c>
      <c r="O2651" t="s">
        <v>46570</v>
      </c>
      <c r="P2651">
        <v>0</v>
      </c>
      <c r="Q2651">
        <v>3</v>
      </c>
      <c r="R2651" t="s">
        <v>46572</v>
      </c>
      <c r="S2651" t="s">
        <v>46689</v>
      </c>
      <c r="T2651" t="s">
        <v>48244</v>
      </c>
      <c r="U2651" t="s">
        <v>50983</v>
      </c>
      <c r="W2651" t="s">
        <v>43680</v>
      </c>
      <c r="X2651" t="s">
        <v>46574</v>
      </c>
    </row>
    <row r="2652" spans="1:24">
      <c r="A2652">
        <f>HYPERLINK("https://www.philgeps.gov.ph/GEPSNONPILOT/Tender/SplashBidNoticeAbstractUI.aspx?menuIndex=3&amp;refID=7061232&amp;Result=3","7061232")</f>
        <v>0</v>
      </c>
      <c r="B2652" t="s">
        <v>950</v>
      </c>
      <c r="C2652" t="s">
        <v>6097</v>
      </c>
      <c r="D2652" t="s">
        <v>18786</v>
      </c>
      <c r="E2652" t="s">
        <v>21322</v>
      </c>
      <c r="F2652" t="s">
        <v>32664</v>
      </c>
      <c r="G2652" t="s">
        <v>32671</v>
      </c>
      <c r="H2652" t="s">
        <v>12635</v>
      </c>
      <c r="I2652" t="s">
        <v>32772</v>
      </c>
      <c r="J2652" t="s">
        <v>34663</v>
      </c>
      <c r="K2652" t="s">
        <v>42281</v>
      </c>
      <c r="M2652" t="s">
        <v>43556</v>
      </c>
      <c r="N2652" t="s">
        <v>46569</v>
      </c>
      <c r="O2652" t="s">
        <v>46570</v>
      </c>
      <c r="P2652">
        <v>0</v>
      </c>
      <c r="Q2652">
        <v>1</v>
      </c>
      <c r="R2652" t="s">
        <v>46572</v>
      </c>
      <c r="S2652" t="s">
        <v>46689</v>
      </c>
      <c r="T2652" t="s">
        <v>48256</v>
      </c>
      <c r="U2652" t="s">
        <v>50984</v>
      </c>
      <c r="W2652" t="s">
        <v>43556</v>
      </c>
      <c r="X2652" t="s">
        <v>46574</v>
      </c>
    </row>
    <row r="2653" spans="1:24">
      <c r="A2653">
        <f>HYPERLINK("https://www.philgeps.gov.ph/GEPSNONPILOT/Tender/SplashBidNoticeAbstractUI.aspx?menuIndex=3&amp;refID=7060597&amp;Result=3","7060597")</f>
        <v>0</v>
      </c>
      <c r="B2653" t="s">
        <v>218</v>
      </c>
      <c r="C2653" t="s">
        <v>6098</v>
      </c>
      <c r="D2653" t="s">
        <v>18792</v>
      </c>
      <c r="E2653" t="s">
        <v>21323</v>
      </c>
      <c r="F2653" t="s">
        <v>32664</v>
      </c>
      <c r="G2653" t="s">
        <v>32672</v>
      </c>
      <c r="H2653" t="s">
        <v>32683</v>
      </c>
      <c r="I2653" t="s">
        <v>32758</v>
      </c>
      <c r="J2653" t="s">
        <v>34664</v>
      </c>
      <c r="K2653" t="s">
        <v>42290</v>
      </c>
      <c r="M2653" t="s">
        <v>42782</v>
      </c>
      <c r="N2653" t="s">
        <v>46569</v>
      </c>
      <c r="O2653" t="s">
        <v>46570</v>
      </c>
      <c r="P2653">
        <v>0</v>
      </c>
      <c r="Q2653">
        <v>1</v>
      </c>
      <c r="R2653" t="s">
        <v>46572</v>
      </c>
      <c r="S2653" t="s">
        <v>46689</v>
      </c>
      <c r="T2653" t="s">
        <v>48240</v>
      </c>
      <c r="U2653" t="s">
        <v>50985</v>
      </c>
      <c r="W2653" t="s">
        <v>42782</v>
      </c>
      <c r="X2653" t="s">
        <v>46574</v>
      </c>
    </row>
    <row r="2654" spans="1:24">
      <c r="A2654">
        <f>HYPERLINK("https://www.philgeps.gov.ph/GEPSNONPILOT/Tender/SplashBidNoticeAbstractUI.aspx?menuIndex=3&amp;refID=7061374&amp;Result=3","7061374")</f>
        <v>0</v>
      </c>
      <c r="B2654" t="s">
        <v>1063</v>
      </c>
      <c r="C2654" t="s">
        <v>6099</v>
      </c>
      <c r="D2654" t="s">
        <v>18784</v>
      </c>
      <c r="E2654" t="s">
        <v>21324</v>
      </c>
      <c r="F2654" t="s">
        <v>32664</v>
      </c>
      <c r="G2654" t="s">
        <v>32671</v>
      </c>
      <c r="H2654" t="s">
        <v>12635</v>
      </c>
      <c r="I2654" t="s">
        <v>32701</v>
      </c>
      <c r="J2654" t="s">
        <v>32859</v>
      </c>
      <c r="K2654" t="s">
        <v>42281</v>
      </c>
      <c r="M2654" t="s">
        <v>43681</v>
      </c>
      <c r="N2654" t="s">
        <v>46569</v>
      </c>
      <c r="O2654" t="s">
        <v>46570</v>
      </c>
      <c r="P2654">
        <v>0</v>
      </c>
      <c r="Q2654">
        <v>1</v>
      </c>
      <c r="R2654" t="s">
        <v>46572</v>
      </c>
      <c r="S2654" t="s">
        <v>46689</v>
      </c>
      <c r="T2654" t="s">
        <v>48221</v>
      </c>
      <c r="U2654" t="s">
        <v>50986</v>
      </c>
      <c r="W2654" t="s">
        <v>43681</v>
      </c>
      <c r="X2654" t="s">
        <v>46574</v>
      </c>
    </row>
    <row r="2655" spans="1:24">
      <c r="A2655">
        <f>HYPERLINK("https://www.philgeps.gov.ph/GEPSNONPILOT/Tender/SplashBidNoticeAbstractUI.aspx?menuIndex=3&amp;refID=7061271&amp;Result=3","7061271")</f>
        <v>0</v>
      </c>
      <c r="B2655" t="s">
        <v>99</v>
      </c>
      <c r="C2655" t="s">
        <v>6100</v>
      </c>
      <c r="D2655" t="s">
        <v>18814</v>
      </c>
      <c r="E2655" t="s">
        <v>21325</v>
      </c>
      <c r="F2655" t="s">
        <v>32664</v>
      </c>
      <c r="G2655" t="s">
        <v>32671</v>
      </c>
      <c r="H2655" t="s">
        <v>12635</v>
      </c>
      <c r="I2655" t="s">
        <v>32685</v>
      </c>
      <c r="J2655" t="s">
        <v>33121</v>
      </c>
      <c r="K2655" t="s">
        <v>42284</v>
      </c>
      <c r="M2655" t="s">
        <v>42662</v>
      </c>
      <c r="N2655" t="s">
        <v>46569</v>
      </c>
      <c r="O2655" t="s">
        <v>46570</v>
      </c>
      <c r="P2655">
        <v>0</v>
      </c>
      <c r="Q2655">
        <v>1</v>
      </c>
      <c r="R2655" t="s">
        <v>46572</v>
      </c>
      <c r="S2655" t="s">
        <v>46689</v>
      </c>
      <c r="T2655" t="s">
        <v>48246</v>
      </c>
      <c r="U2655" t="s">
        <v>48977</v>
      </c>
      <c r="W2655" t="s">
        <v>42662</v>
      </c>
      <c r="X2655" t="s">
        <v>46574</v>
      </c>
    </row>
    <row r="2656" spans="1:24">
      <c r="A2656">
        <f>HYPERLINK("https://www.philgeps.gov.ph/GEPSNONPILOT/Tender/SplashBidNoticeAbstractUI.aspx?menuIndex=3&amp;refID=7060533&amp;Result=3","7060533")</f>
        <v>0</v>
      </c>
      <c r="B2656" t="s">
        <v>1064</v>
      </c>
      <c r="C2656" t="s">
        <v>6101</v>
      </c>
      <c r="D2656" t="s">
        <v>18832</v>
      </c>
      <c r="E2656" t="s">
        <v>18926</v>
      </c>
      <c r="F2656" t="s">
        <v>32664</v>
      </c>
      <c r="G2656" t="s">
        <v>32672</v>
      </c>
      <c r="H2656" t="s">
        <v>12635</v>
      </c>
      <c r="I2656" t="s">
        <v>4439</v>
      </c>
      <c r="J2656" t="s">
        <v>34665</v>
      </c>
      <c r="K2656" t="s">
        <v>42284</v>
      </c>
      <c r="M2656" t="s">
        <v>43682</v>
      </c>
      <c r="N2656" t="s">
        <v>46569</v>
      </c>
      <c r="O2656" t="s">
        <v>46570</v>
      </c>
      <c r="P2656">
        <v>0</v>
      </c>
      <c r="Q2656">
        <v>0</v>
      </c>
      <c r="R2656" t="s">
        <v>46572</v>
      </c>
      <c r="S2656" t="s">
        <v>46689</v>
      </c>
      <c r="T2656" t="s">
        <v>48226</v>
      </c>
      <c r="U2656" t="s">
        <v>50987</v>
      </c>
      <c r="V2656" t="s">
        <v>61885</v>
      </c>
      <c r="W2656" t="s">
        <v>43682</v>
      </c>
      <c r="X2656" t="s">
        <v>46574</v>
      </c>
    </row>
    <row r="2657" spans="1:24">
      <c r="A2657">
        <f>HYPERLINK("https://www.philgeps.gov.ph/GEPSNONPILOT/Tender/SplashBidNoticeAbstractUI.aspx?menuIndex=3&amp;refID=7061681&amp;Result=3","7061681")</f>
        <v>0</v>
      </c>
      <c r="B2657" t="s">
        <v>629</v>
      </c>
      <c r="C2657" t="s">
        <v>6102</v>
      </c>
      <c r="D2657" t="s">
        <v>18782</v>
      </c>
      <c r="E2657" t="s">
        <v>21326</v>
      </c>
      <c r="F2657" t="s">
        <v>32664</v>
      </c>
      <c r="G2657" t="s">
        <v>32674</v>
      </c>
      <c r="H2657" t="s">
        <v>12635</v>
      </c>
      <c r="I2657" t="s">
        <v>8797</v>
      </c>
      <c r="J2657" t="s">
        <v>34666</v>
      </c>
      <c r="K2657" t="s">
        <v>42283</v>
      </c>
      <c r="M2657" t="s">
        <v>43211</v>
      </c>
      <c r="N2657" t="s">
        <v>46569</v>
      </c>
      <c r="O2657" t="s">
        <v>46570</v>
      </c>
      <c r="P2657">
        <v>0</v>
      </c>
      <c r="Q2657">
        <v>2</v>
      </c>
      <c r="R2657" t="s">
        <v>46572</v>
      </c>
      <c r="S2657" t="s">
        <v>46689</v>
      </c>
      <c r="T2657" t="s">
        <v>48290</v>
      </c>
      <c r="U2657" t="s">
        <v>50988</v>
      </c>
      <c r="W2657" t="s">
        <v>43211</v>
      </c>
      <c r="X2657" t="s">
        <v>46574</v>
      </c>
    </row>
    <row r="2658" spans="1:24">
      <c r="A2658">
        <f>HYPERLINK("https://www.philgeps.gov.ph/GEPSNONPILOT/Tender/SplashBidNoticeAbstractUI.aspx?menuIndex=3&amp;refID=7061311&amp;Result=3","7061311")</f>
        <v>0</v>
      </c>
      <c r="B2658" t="s">
        <v>1048</v>
      </c>
      <c r="C2658" t="s">
        <v>6103</v>
      </c>
      <c r="D2658" t="s">
        <v>18831</v>
      </c>
      <c r="E2658" t="s">
        <v>21327</v>
      </c>
      <c r="F2658" t="s">
        <v>32664</v>
      </c>
      <c r="G2658" t="s">
        <v>32672</v>
      </c>
      <c r="H2658" t="s">
        <v>32683</v>
      </c>
      <c r="I2658" t="s">
        <v>10627</v>
      </c>
      <c r="J2658" t="s">
        <v>34667</v>
      </c>
      <c r="K2658" t="s">
        <v>42396</v>
      </c>
      <c r="M2658" t="s">
        <v>43664</v>
      </c>
      <c r="N2658" t="s">
        <v>46569</v>
      </c>
      <c r="O2658" t="s">
        <v>46570</v>
      </c>
      <c r="P2658">
        <v>0</v>
      </c>
      <c r="Q2658">
        <v>0</v>
      </c>
      <c r="R2658" t="s">
        <v>46572</v>
      </c>
      <c r="S2658" t="s">
        <v>46689</v>
      </c>
      <c r="T2658" t="s">
        <v>48338</v>
      </c>
      <c r="U2658" t="s">
        <v>50947</v>
      </c>
      <c r="W2658" t="s">
        <v>43664</v>
      </c>
      <c r="X2658" t="s">
        <v>46574</v>
      </c>
    </row>
    <row r="2659" spans="1:24">
      <c r="A2659">
        <f>HYPERLINK("https://www.philgeps.gov.ph/GEPSNONPILOT/Tender/SplashBidNoticeAbstractUI.aspx?menuIndex=3&amp;refID=7061248&amp;Result=3","7061248")</f>
        <v>0</v>
      </c>
      <c r="B2659" t="s">
        <v>99</v>
      </c>
      <c r="C2659" t="s">
        <v>6104</v>
      </c>
      <c r="D2659" t="s">
        <v>18814</v>
      </c>
      <c r="E2659" t="s">
        <v>21328</v>
      </c>
      <c r="F2659" t="s">
        <v>32664</v>
      </c>
      <c r="G2659" t="s">
        <v>32671</v>
      </c>
      <c r="H2659" t="s">
        <v>12635</v>
      </c>
      <c r="I2659" t="s">
        <v>6223</v>
      </c>
      <c r="J2659" t="s">
        <v>34668</v>
      </c>
      <c r="K2659" t="s">
        <v>42284</v>
      </c>
      <c r="M2659" t="s">
        <v>42662</v>
      </c>
      <c r="N2659" t="s">
        <v>46569</v>
      </c>
      <c r="O2659" t="s">
        <v>46570</v>
      </c>
      <c r="P2659">
        <v>0</v>
      </c>
      <c r="Q2659">
        <v>0</v>
      </c>
      <c r="R2659" t="s">
        <v>46572</v>
      </c>
      <c r="S2659" t="s">
        <v>46689</v>
      </c>
      <c r="T2659" t="s">
        <v>48246</v>
      </c>
      <c r="U2659" t="s">
        <v>48977</v>
      </c>
      <c r="W2659" t="s">
        <v>42662</v>
      </c>
      <c r="X2659" t="s">
        <v>46574</v>
      </c>
    </row>
    <row r="2660" spans="1:24">
      <c r="A2660">
        <f>HYPERLINK("https://www.philgeps.gov.ph/GEPSNONPILOT/Tender/SplashBidNoticeAbstractUI.aspx?menuIndex=3&amp;refID=7061717&amp;Result=3","7061717")</f>
        <v>0</v>
      </c>
      <c r="B2660" t="s">
        <v>952</v>
      </c>
      <c r="C2660" t="s">
        <v>6105</v>
      </c>
      <c r="D2660" t="s">
        <v>18786</v>
      </c>
      <c r="E2660" t="s">
        <v>21329</v>
      </c>
      <c r="F2660" t="s">
        <v>32664</v>
      </c>
      <c r="G2660" t="s">
        <v>32671</v>
      </c>
      <c r="H2660" t="s">
        <v>12635</v>
      </c>
      <c r="I2660" t="s">
        <v>10361</v>
      </c>
      <c r="J2660" t="s">
        <v>32898</v>
      </c>
      <c r="K2660" t="s">
        <v>42281</v>
      </c>
      <c r="M2660" t="s">
        <v>43558</v>
      </c>
      <c r="N2660" t="s">
        <v>46569</v>
      </c>
      <c r="O2660" t="s">
        <v>46570</v>
      </c>
      <c r="P2660">
        <v>0</v>
      </c>
      <c r="Q2660">
        <v>0</v>
      </c>
      <c r="R2660" t="s">
        <v>46572</v>
      </c>
      <c r="S2660" t="s">
        <v>46689</v>
      </c>
      <c r="T2660" t="s">
        <v>48293</v>
      </c>
      <c r="U2660" t="s">
        <v>50989</v>
      </c>
      <c r="V2660" t="s">
        <v>61886</v>
      </c>
      <c r="W2660" t="s">
        <v>43558</v>
      </c>
      <c r="X2660" t="s">
        <v>46573</v>
      </c>
    </row>
    <row r="2661" spans="1:24">
      <c r="A2661">
        <f>HYPERLINK("https://www.philgeps.gov.ph/GEPSNONPILOT/Tender/SplashBidNoticeAbstractUI.aspx?menuIndex=3&amp;refID=7061716&amp;Result=3","7061716")</f>
        <v>0</v>
      </c>
      <c r="B2661" t="s">
        <v>952</v>
      </c>
      <c r="C2661" t="s">
        <v>6106</v>
      </c>
      <c r="D2661" t="s">
        <v>18786</v>
      </c>
      <c r="E2661" t="s">
        <v>21330</v>
      </c>
      <c r="F2661" t="s">
        <v>32664</v>
      </c>
      <c r="G2661" t="s">
        <v>32671</v>
      </c>
      <c r="H2661" t="s">
        <v>12635</v>
      </c>
      <c r="I2661" t="s">
        <v>32685</v>
      </c>
      <c r="J2661" t="s">
        <v>34669</v>
      </c>
      <c r="K2661" t="s">
        <v>42281</v>
      </c>
      <c r="M2661" t="s">
        <v>43558</v>
      </c>
      <c r="N2661" t="s">
        <v>46569</v>
      </c>
      <c r="O2661" t="s">
        <v>46570</v>
      </c>
      <c r="P2661">
        <v>0</v>
      </c>
      <c r="Q2661">
        <v>0</v>
      </c>
      <c r="R2661" t="s">
        <v>46572</v>
      </c>
      <c r="S2661" t="s">
        <v>46689</v>
      </c>
      <c r="T2661" t="s">
        <v>48293</v>
      </c>
      <c r="U2661" t="s">
        <v>50990</v>
      </c>
      <c r="V2661" t="s">
        <v>61887</v>
      </c>
      <c r="W2661" t="s">
        <v>43558</v>
      </c>
      <c r="X2661" t="s">
        <v>46573</v>
      </c>
    </row>
    <row r="2662" spans="1:24">
      <c r="A2662">
        <f>HYPERLINK("https://www.philgeps.gov.ph/GEPSNONPILOT/Tender/SplashBidNoticeAbstractUI.aspx?menuIndex=3&amp;refID=7061712&amp;Result=3","7061712")</f>
        <v>0</v>
      </c>
      <c r="B2662" t="s">
        <v>144</v>
      </c>
      <c r="C2662" t="s">
        <v>3905</v>
      </c>
      <c r="D2662" t="s">
        <v>18817</v>
      </c>
      <c r="E2662" t="s">
        <v>19180</v>
      </c>
      <c r="F2662" t="s">
        <v>32664</v>
      </c>
      <c r="G2662" t="s">
        <v>32674</v>
      </c>
      <c r="H2662" t="s">
        <v>12635</v>
      </c>
      <c r="I2662" t="s">
        <v>8797</v>
      </c>
      <c r="J2662" t="s">
        <v>34670</v>
      </c>
      <c r="K2662" t="s">
        <v>42309</v>
      </c>
      <c r="M2662" t="s">
        <v>42708</v>
      </c>
      <c r="N2662" t="s">
        <v>46569</v>
      </c>
      <c r="O2662" t="s">
        <v>46570</v>
      </c>
      <c r="P2662">
        <v>0</v>
      </c>
      <c r="Q2662">
        <v>1</v>
      </c>
      <c r="R2662" t="s">
        <v>46572</v>
      </c>
      <c r="S2662" t="s">
        <v>46689</v>
      </c>
      <c r="T2662" t="s">
        <v>48283</v>
      </c>
      <c r="U2662" t="s">
        <v>50991</v>
      </c>
      <c r="W2662" t="s">
        <v>42708</v>
      </c>
      <c r="X2662" t="s">
        <v>46573</v>
      </c>
    </row>
    <row r="2663" spans="1:24">
      <c r="A2663">
        <f>HYPERLINK("https://www.philgeps.gov.ph/GEPSNONPILOT/Tender/SplashBidNoticeAbstractUI.aspx?menuIndex=3&amp;refID=7060527&amp;Result=3","7060527")</f>
        <v>0</v>
      </c>
      <c r="B2663" t="s">
        <v>1044</v>
      </c>
      <c r="C2663" t="s">
        <v>6107</v>
      </c>
      <c r="D2663" t="s">
        <v>18826</v>
      </c>
      <c r="E2663" t="s">
        <v>21331</v>
      </c>
      <c r="F2663" t="s">
        <v>32664</v>
      </c>
      <c r="G2663" t="s">
        <v>32672</v>
      </c>
      <c r="H2663" t="s">
        <v>32683</v>
      </c>
      <c r="I2663" t="s">
        <v>10627</v>
      </c>
      <c r="J2663" t="s">
        <v>34671</v>
      </c>
      <c r="K2663" t="s">
        <v>42306</v>
      </c>
      <c r="L2663" t="s">
        <v>1044</v>
      </c>
      <c r="M2663" t="s">
        <v>43658</v>
      </c>
      <c r="N2663" t="s">
        <v>46569</v>
      </c>
      <c r="O2663" t="s">
        <v>46570</v>
      </c>
      <c r="P2663">
        <v>0</v>
      </c>
      <c r="Q2663">
        <v>4</v>
      </c>
      <c r="R2663" t="s">
        <v>46572</v>
      </c>
      <c r="S2663" t="s">
        <v>46689</v>
      </c>
      <c r="T2663" t="s">
        <v>48308</v>
      </c>
      <c r="U2663" t="s">
        <v>50937</v>
      </c>
      <c r="W2663" t="s">
        <v>43658</v>
      </c>
      <c r="X2663" t="s">
        <v>46574</v>
      </c>
    </row>
    <row r="2664" spans="1:24">
      <c r="A2664">
        <f>HYPERLINK("https://www.philgeps.gov.ph/GEPSNONPILOT/Tender/SplashBidNoticeAbstractUI.aspx?menuIndex=3&amp;refID=7061709&amp;Result=3","7061709")</f>
        <v>0</v>
      </c>
      <c r="B2664" t="s">
        <v>1065</v>
      </c>
      <c r="C2664" t="s">
        <v>6108</v>
      </c>
      <c r="D2664" t="s">
        <v>18805</v>
      </c>
      <c r="E2664" t="s">
        <v>21332</v>
      </c>
      <c r="F2664" t="s">
        <v>32664</v>
      </c>
      <c r="G2664" t="s">
        <v>32671</v>
      </c>
      <c r="H2664" t="s">
        <v>12635</v>
      </c>
      <c r="I2664" t="s">
        <v>8797</v>
      </c>
      <c r="J2664" t="s">
        <v>34672</v>
      </c>
      <c r="K2664" t="s">
        <v>42295</v>
      </c>
      <c r="M2664" t="s">
        <v>43683</v>
      </c>
      <c r="N2664" t="s">
        <v>46569</v>
      </c>
      <c r="O2664" t="s">
        <v>46570</v>
      </c>
      <c r="P2664">
        <v>0</v>
      </c>
      <c r="Q2664">
        <v>0</v>
      </c>
      <c r="R2664" t="s">
        <v>46572</v>
      </c>
      <c r="S2664" t="s">
        <v>46689</v>
      </c>
      <c r="T2664" t="s">
        <v>48219</v>
      </c>
      <c r="U2664" t="s">
        <v>50992</v>
      </c>
      <c r="W2664" t="s">
        <v>43683</v>
      </c>
      <c r="X2664" t="s">
        <v>46573</v>
      </c>
    </row>
    <row r="2665" spans="1:24">
      <c r="A2665">
        <f>HYPERLINK("https://www.philgeps.gov.ph/GEPSNONPILOT/Tender/SplashBidNoticeAbstractUI.aspx?menuIndex=3&amp;refID=7061714&amp;Result=3","7061714")</f>
        <v>0</v>
      </c>
      <c r="B2665" t="s">
        <v>1066</v>
      </c>
      <c r="C2665" t="s">
        <v>6109</v>
      </c>
      <c r="D2665" t="s">
        <v>18834</v>
      </c>
      <c r="E2665" t="s">
        <v>21333</v>
      </c>
      <c r="F2665" t="s">
        <v>32664</v>
      </c>
      <c r="G2665" t="s">
        <v>32672</v>
      </c>
      <c r="H2665" t="s">
        <v>12635</v>
      </c>
      <c r="I2665" t="s">
        <v>32716</v>
      </c>
      <c r="J2665" t="s">
        <v>34673</v>
      </c>
      <c r="K2665" t="s">
        <v>42283</v>
      </c>
      <c r="M2665" t="s">
        <v>43684</v>
      </c>
      <c r="N2665" t="s">
        <v>46569</v>
      </c>
      <c r="O2665" t="s">
        <v>46570</v>
      </c>
      <c r="P2665">
        <v>0</v>
      </c>
      <c r="Q2665">
        <v>0</v>
      </c>
      <c r="R2665" t="s">
        <v>46572</v>
      </c>
      <c r="S2665" t="s">
        <v>46689</v>
      </c>
      <c r="T2665" t="s">
        <v>48312</v>
      </c>
      <c r="U2665" t="s">
        <v>50993</v>
      </c>
      <c r="W2665" t="s">
        <v>43684</v>
      </c>
      <c r="X2665" t="s">
        <v>46573</v>
      </c>
    </row>
    <row r="2666" spans="1:24">
      <c r="A2666">
        <f>HYPERLINK("https://www.philgeps.gov.ph/GEPSNONPILOT/Tender/SplashBidNoticeAbstractUI.aspx?menuIndex=3&amp;refID=7060598&amp;Result=3","7060598")</f>
        <v>0</v>
      </c>
      <c r="B2666" t="s">
        <v>308</v>
      </c>
      <c r="C2666" t="s">
        <v>6110</v>
      </c>
      <c r="D2666" t="s">
        <v>18835</v>
      </c>
      <c r="E2666" t="s">
        <v>21334</v>
      </c>
      <c r="F2666" t="s">
        <v>32664</v>
      </c>
      <c r="G2666" t="s">
        <v>32671</v>
      </c>
      <c r="H2666" t="s">
        <v>12635</v>
      </c>
      <c r="I2666" t="s">
        <v>32698</v>
      </c>
      <c r="J2666" t="s">
        <v>34674</v>
      </c>
      <c r="K2666" t="s">
        <v>42281</v>
      </c>
      <c r="M2666" t="s">
        <v>42875</v>
      </c>
      <c r="N2666" t="s">
        <v>46569</v>
      </c>
      <c r="O2666" t="s">
        <v>46570</v>
      </c>
      <c r="P2666">
        <v>0</v>
      </c>
      <c r="Q2666">
        <v>1</v>
      </c>
      <c r="R2666" t="s">
        <v>46572</v>
      </c>
      <c r="S2666" t="s">
        <v>46689</v>
      </c>
      <c r="T2666" t="s">
        <v>48250</v>
      </c>
      <c r="U2666" t="s">
        <v>50994</v>
      </c>
      <c r="V2666" t="s">
        <v>52880</v>
      </c>
      <c r="W2666" t="s">
        <v>42875</v>
      </c>
      <c r="X2666" t="s">
        <v>46574</v>
      </c>
    </row>
    <row r="2667" spans="1:24">
      <c r="A2667">
        <f>HYPERLINK("https://www.philgeps.gov.ph/GEPSNONPILOT/Tender/SplashBidNoticeAbstractUI.aspx?menuIndex=3&amp;refID=7061707&amp;Result=3","7061707")</f>
        <v>0</v>
      </c>
      <c r="B2667" t="s">
        <v>1065</v>
      </c>
      <c r="C2667" t="s">
        <v>6111</v>
      </c>
      <c r="D2667" t="s">
        <v>18805</v>
      </c>
      <c r="E2667" t="s">
        <v>21335</v>
      </c>
      <c r="F2667" t="s">
        <v>32664</v>
      </c>
      <c r="G2667" t="s">
        <v>32671</v>
      </c>
      <c r="H2667" t="s">
        <v>12635</v>
      </c>
      <c r="I2667" t="s">
        <v>4205</v>
      </c>
      <c r="J2667" t="s">
        <v>34675</v>
      </c>
      <c r="K2667" t="s">
        <v>42295</v>
      </c>
      <c r="M2667" t="s">
        <v>43683</v>
      </c>
      <c r="N2667" t="s">
        <v>46569</v>
      </c>
      <c r="O2667" t="s">
        <v>46570</v>
      </c>
      <c r="P2667">
        <v>0</v>
      </c>
      <c r="Q2667">
        <v>0</v>
      </c>
      <c r="R2667" t="s">
        <v>46572</v>
      </c>
      <c r="S2667" t="s">
        <v>46689</v>
      </c>
      <c r="T2667" t="s">
        <v>48219</v>
      </c>
      <c r="U2667" t="s">
        <v>50995</v>
      </c>
      <c r="W2667" t="s">
        <v>43683</v>
      </c>
      <c r="X2667" t="s">
        <v>46573</v>
      </c>
    </row>
    <row r="2668" spans="1:24">
      <c r="A2668">
        <f>HYPERLINK("https://www.philgeps.gov.ph/GEPSNONPILOT/Tender/SplashBidNoticeAbstractUI.aspx?menuIndex=3&amp;refID=7061706&amp;Result=3","7061706")</f>
        <v>0</v>
      </c>
      <c r="B2668" t="s">
        <v>1065</v>
      </c>
      <c r="C2668" t="s">
        <v>6112</v>
      </c>
      <c r="D2668" t="s">
        <v>18805</v>
      </c>
      <c r="E2668" t="s">
        <v>21336</v>
      </c>
      <c r="F2668" t="s">
        <v>32664</v>
      </c>
      <c r="G2668" t="s">
        <v>32671</v>
      </c>
      <c r="H2668" t="s">
        <v>12635</v>
      </c>
      <c r="I2668" t="s">
        <v>10370</v>
      </c>
      <c r="J2668" t="s">
        <v>34676</v>
      </c>
      <c r="K2668" t="s">
        <v>42295</v>
      </c>
      <c r="M2668" t="s">
        <v>43683</v>
      </c>
      <c r="N2668" t="s">
        <v>46569</v>
      </c>
      <c r="O2668" t="s">
        <v>46570</v>
      </c>
      <c r="P2668">
        <v>0</v>
      </c>
      <c r="Q2668">
        <v>0</v>
      </c>
      <c r="R2668" t="s">
        <v>46572</v>
      </c>
      <c r="S2668" t="s">
        <v>46689</v>
      </c>
      <c r="T2668" t="s">
        <v>48219</v>
      </c>
      <c r="U2668" t="s">
        <v>50996</v>
      </c>
      <c r="W2668" t="s">
        <v>43683</v>
      </c>
      <c r="X2668" t="s">
        <v>46573</v>
      </c>
    </row>
    <row r="2669" spans="1:24">
      <c r="A2669">
        <f>HYPERLINK("https://www.philgeps.gov.ph/GEPSNONPILOT/Tender/SplashBidNoticeAbstractUI.aspx?menuIndex=3&amp;refID=7060575&amp;Result=3","7060575")</f>
        <v>0</v>
      </c>
      <c r="B2669" t="s">
        <v>68</v>
      </c>
      <c r="C2669" t="s">
        <v>6113</v>
      </c>
      <c r="D2669" t="s">
        <v>18815</v>
      </c>
      <c r="E2669" t="s">
        <v>19000</v>
      </c>
      <c r="F2669" t="s">
        <v>32664</v>
      </c>
      <c r="G2669" t="s">
        <v>32674</v>
      </c>
      <c r="H2669" t="s">
        <v>12635</v>
      </c>
      <c r="I2669" t="s">
        <v>9486</v>
      </c>
      <c r="J2669" t="s">
        <v>34677</v>
      </c>
      <c r="K2669" t="s">
        <v>42283</v>
      </c>
      <c r="M2669" t="s">
        <v>42631</v>
      </c>
      <c r="N2669" t="s">
        <v>46569</v>
      </c>
      <c r="O2669" t="s">
        <v>46570</v>
      </c>
      <c r="P2669">
        <v>0</v>
      </c>
      <c r="Q2669">
        <v>0</v>
      </c>
      <c r="R2669" t="s">
        <v>46572</v>
      </c>
      <c r="S2669" t="s">
        <v>46689</v>
      </c>
      <c r="T2669" t="s">
        <v>48251</v>
      </c>
      <c r="U2669" t="s">
        <v>50997</v>
      </c>
      <c r="V2669" t="s">
        <v>61888</v>
      </c>
      <c r="W2669" t="s">
        <v>42631</v>
      </c>
      <c r="X2669" t="s">
        <v>46574</v>
      </c>
    </row>
    <row r="2670" spans="1:24">
      <c r="A2670">
        <f>HYPERLINK("https://www.philgeps.gov.ph/GEPSNONPILOT/Tender/SplashBidNoticeAbstractUI.aspx?menuIndex=3&amp;refID=7061705&amp;Result=3","7061705")</f>
        <v>0</v>
      </c>
      <c r="B2670" t="s">
        <v>1065</v>
      </c>
      <c r="C2670" t="s">
        <v>6114</v>
      </c>
      <c r="D2670" t="s">
        <v>18805</v>
      </c>
      <c r="E2670" t="s">
        <v>21337</v>
      </c>
      <c r="F2670" t="s">
        <v>32664</v>
      </c>
      <c r="G2670" t="s">
        <v>32671</v>
      </c>
      <c r="H2670" t="s">
        <v>12635</v>
      </c>
      <c r="I2670" t="s">
        <v>4333</v>
      </c>
      <c r="J2670" t="s">
        <v>34678</v>
      </c>
      <c r="K2670" t="s">
        <v>42295</v>
      </c>
      <c r="M2670" t="s">
        <v>43683</v>
      </c>
      <c r="N2670" t="s">
        <v>46569</v>
      </c>
      <c r="O2670" t="s">
        <v>46570</v>
      </c>
      <c r="P2670">
        <v>0</v>
      </c>
      <c r="Q2670">
        <v>0</v>
      </c>
      <c r="R2670" t="s">
        <v>46572</v>
      </c>
      <c r="S2670" t="s">
        <v>46689</v>
      </c>
      <c r="T2670" t="s">
        <v>48217</v>
      </c>
      <c r="U2670" t="s">
        <v>50998</v>
      </c>
      <c r="W2670" t="s">
        <v>43683</v>
      </c>
      <c r="X2670" t="s">
        <v>46573</v>
      </c>
    </row>
    <row r="2671" spans="1:24">
      <c r="A2671">
        <f>HYPERLINK("https://www.philgeps.gov.ph/GEPSNONPILOT/Tender/SplashBidNoticeAbstractUI.aspx?menuIndex=3&amp;refID=7061703&amp;Result=3","7061703")</f>
        <v>0</v>
      </c>
      <c r="B2671" t="s">
        <v>1067</v>
      </c>
      <c r="C2671" t="s">
        <v>6115</v>
      </c>
      <c r="D2671" t="s">
        <v>18832</v>
      </c>
      <c r="E2671" t="s">
        <v>21338</v>
      </c>
      <c r="F2671" t="s">
        <v>32664</v>
      </c>
      <c r="G2671" t="s">
        <v>32671</v>
      </c>
      <c r="H2671" t="s">
        <v>32682</v>
      </c>
      <c r="I2671" t="s">
        <v>32701</v>
      </c>
      <c r="J2671" t="s">
        <v>33398</v>
      </c>
      <c r="K2671" t="s">
        <v>42309</v>
      </c>
      <c r="M2671" t="s">
        <v>43685</v>
      </c>
      <c r="N2671" t="s">
        <v>46569</v>
      </c>
      <c r="O2671" t="s">
        <v>46570</v>
      </c>
      <c r="P2671">
        <v>0</v>
      </c>
      <c r="Q2671">
        <v>0</v>
      </c>
      <c r="R2671" t="s">
        <v>46572</v>
      </c>
      <c r="S2671" t="s">
        <v>46689</v>
      </c>
      <c r="T2671" t="s">
        <v>48298</v>
      </c>
      <c r="U2671" t="s">
        <v>50999</v>
      </c>
      <c r="W2671" t="s">
        <v>43685</v>
      </c>
      <c r="X2671" t="s">
        <v>46573</v>
      </c>
    </row>
    <row r="2672" spans="1:24">
      <c r="A2672">
        <f>HYPERLINK("https://www.philgeps.gov.ph/GEPSNONPILOT/Tender/SplashBidNoticeAbstractUI.aspx?menuIndex=3&amp;refID=7061715&amp;Result=3","7061715")</f>
        <v>0</v>
      </c>
      <c r="B2672" t="s">
        <v>1068</v>
      </c>
      <c r="C2672" t="s">
        <v>6116</v>
      </c>
      <c r="D2672" t="s">
        <v>18844</v>
      </c>
      <c r="E2672" t="s">
        <v>21339</v>
      </c>
      <c r="F2672" t="s">
        <v>32664</v>
      </c>
      <c r="G2672" t="s">
        <v>32671</v>
      </c>
      <c r="H2672" t="s">
        <v>12635</v>
      </c>
      <c r="I2672" t="s">
        <v>10590</v>
      </c>
      <c r="J2672" t="s">
        <v>34679</v>
      </c>
      <c r="K2672" t="s">
        <v>42354</v>
      </c>
      <c r="M2672" t="s">
        <v>43686</v>
      </c>
      <c r="N2672" t="s">
        <v>46569</v>
      </c>
      <c r="O2672" t="s">
        <v>46570</v>
      </c>
      <c r="P2672">
        <v>0</v>
      </c>
      <c r="Q2672">
        <v>0</v>
      </c>
      <c r="R2672" t="s">
        <v>46572</v>
      </c>
      <c r="S2672" t="s">
        <v>46689</v>
      </c>
      <c r="T2672" t="s">
        <v>48221</v>
      </c>
      <c r="U2672" t="s">
        <v>51000</v>
      </c>
      <c r="W2672" t="s">
        <v>43686</v>
      </c>
      <c r="X2672" t="s">
        <v>46573</v>
      </c>
    </row>
    <row r="2673" spans="1:24">
      <c r="A2673">
        <f>HYPERLINK("https://www.philgeps.gov.ph/GEPSNONPILOT/Tender/SplashBidNoticeAbstractUI.aspx?menuIndex=3&amp;refID=7061713&amp;Result=3","7061713")</f>
        <v>0</v>
      </c>
      <c r="B2673" t="s">
        <v>1068</v>
      </c>
      <c r="C2673" t="s">
        <v>6117</v>
      </c>
      <c r="D2673" t="s">
        <v>18844</v>
      </c>
      <c r="E2673" t="s">
        <v>21340</v>
      </c>
      <c r="F2673" t="s">
        <v>32664</v>
      </c>
      <c r="G2673" t="s">
        <v>32672</v>
      </c>
      <c r="H2673" t="s">
        <v>32683</v>
      </c>
      <c r="I2673" t="s">
        <v>10627</v>
      </c>
      <c r="J2673" t="s">
        <v>34680</v>
      </c>
      <c r="K2673" t="s">
        <v>42294</v>
      </c>
      <c r="M2673" t="s">
        <v>43686</v>
      </c>
      <c r="N2673" t="s">
        <v>46569</v>
      </c>
      <c r="O2673" t="s">
        <v>46570</v>
      </c>
      <c r="P2673">
        <v>0</v>
      </c>
      <c r="Q2673">
        <v>0</v>
      </c>
      <c r="R2673" t="s">
        <v>46572</v>
      </c>
      <c r="S2673" t="s">
        <v>46689</v>
      </c>
      <c r="T2673" t="s">
        <v>48268</v>
      </c>
      <c r="U2673" t="s">
        <v>51001</v>
      </c>
      <c r="W2673" t="s">
        <v>43686</v>
      </c>
      <c r="X2673" t="s">
        <v>46573</v>
      </c>
    </row>
    <row r="2674" spans="1:24">
      <c r="A2674">
        <f>HYPERLINK("https://www.philgeps.gov.ph/GEPSNONPILOT/Tender/SplashBidNoticeAbstractUI.aspx?menuIndex=3&amp;refID=7061745&amp;Result=3","7061745")</f>
        <v>0</v>
      </c>
      <c r="B2674" t="s">
        <v>1069</v>
      </c>
      <c r="C2674" t="s">
        <v>6118</v>
      </c>
      <c r="D2674" t="s">
        <v>18825</v>
      </c>
      <c r="E2674" t="s">
        <v>21341</v>
      </c>
      <c r="F2674" t="s">
        <v>32664</v>
      </c>
      <c r="G2674" t="s">
        <v>32672</v>
      </c>
      <c r="H2674" t="s">
        <v>12635</v>
      </c>
      <c r="I2674" t="s">
        <v>6118</v>
      </c>
      <c r="J2674" t="s">
        <v>34681</v>
      </c>
      <c r="K2674" t="s">
        <v>42283</v>
      </c>
      <c r="M2674" t="s">
        <v>43687</v>
      </c>
      <c r="N2674" t="s">
        <v>46569</v>
      </c>
      <c r="O2674" t="s">
        <v>46570</v>
      </c>
      <c r="P2674">
        <v>0</v>
      </c>
      <c r="Q2674">
        <v>1</v>
      </c>
      <c r="R2674" t="s">
        <v>46572</v>
      </c>
      <c r="S2674" t="s">
        <v>46689</v>
      </c>
      <c r="T2674" t="s">
        <v>48312</v>
      </c>
      <c r="U2674" t="s">
        <v>51002</v>
      </c>
      <c r="W2674" t="s">
        <v>43687</v>
      </c>
      <c r="X2674" t="s">
        <v>46573</v>
      </c>
    </row>
    <row r="2675" spans="1:24">
      <c r="A2675">
        <f>HYPERLINK("https://www.philgeps.gov.ph/GEPSNONPILOT/Tender/SplashBidNoticeAbstractUI.aspx?menuIndex=3&amp;refID=7061708&amp;Result=3","7061708")</f>
        <v>0</v>
      </c>
      <c r="B2675" t="s">
        <v>1065</v>
      </c>
      <c r="C2675" t="s">
        <v>4590</v>
      </c>
      <c r="D2675" t="s">
        <v>18805</v>
      </c>
      <c r="E2675" t="s">
        <v>21342</v>
      </c>
      <c r="F2675" t="s">
        <v>32664</v>
      </c>
      <c r="G2675" t="s">
        <v>32671</v>
      </c>
      <c r="H2675" t="s">
        <v>12635</v>
      </c>
      <c r="I2675" t="s">
        <v>6168</v>
      </c>
      <c r="J2675" t="s">
        <v>33332</v>
      </c>
      <c r="K2675" t="s">
        <v>42295</v>
      </c>
      <c r="M2675" t="s">
        <v>43683</v>
      </c>
      <c r="N2675" t="s">
        <v>46569</v>
      </c>
      <c r="O2675" t="s">
        <v>46570</v>
      </c>
      <c r="P2675">
        <v>0</v>
      </c>
      <c r="Q2675">
        <v>0</v>
      </c>
      <c r="R2675" t="s">
        <v>46572</v>
      </c>
      <c r="S2675" t="s">
        <v>46689</v>
      </c>
      <c r="T2675" t="s">
        <v>48217</v>
      </c>
      <c r="U2675" t="s">
        <v>51003</v>
      </c>
      <c r="W2675" t="s">
        <v>43683</v>
      </c>
      <c r="X2675" t="s">
        <v>46573</v>
      </c>
    </row>
    <row r="2676" spans="1:24">
      <c r="A2676">
        <f>HYPERLINK("https://www.philgeps.gov.ph/GEPSNONPILOT/Tender/SplashBidNoticeAbstractUI.aspx?menuIndex=3&amp;refID=7061704&amp;Result=3","7061704")</f>
        <v>0</v>
      </c>
      <c r="B2676" t="s">
        <v>1065</v>
      </c>
      <c r="C2676" t="s">
        <v>6119</v>
      </c>
      <c r="D2676" t="s">
        <v>18805</v>
      </c>
      <c r="E2676" t="s">
        <v>21343</v>
      </c>
      <c r="F2676" t="s">
        <v>32664</v>
      </c>
      <c r="G2676" t="s">
        <v>32671</v>
      </c>
      <c r="H2676" t="s">
        <v>12635</v>
      </c>
      <c r="I2676" t="s">
        <v>7429</v>
      </c>
      <c r="J2676" t="s">
        <v>34682</v>
      </c>
      <c r="K2676" t="s">
        <v>42295</v>
      </c>
      <c r="M2676" t="s">
        <v>43683</v>
      </c>
      <c r="N2676" t="s">
        <v>46569</v>
      </c>
      <c r="O2676" t="s">
        <v>46570</v>
      </c>
      <c r="P2676">
        <v>0</v>
      </c>
      <c r="Q2676">
        <v>0</v>
      </c>
      <c r="R2676" t="s">
        <v>46572</v>
      </c>
      <c r="S2676" t="s">
        <v>46689</v>
      </c>
      <c r="T2676" t="s">
        <v>48217</v>
      </c>
      <c r="U2676" t="s">
        <v>51004</v>
      </c>
      <c r="W2676" t="s">
        <v>43683</v>
      </c>
      <c r="X2676" t="s">
        <v>46573</v>
      </c>
    </row>
    <row r="2677" spans="1:24">
      <c r="A2677">
        <f>HYPERLINK("https://www.philgeps.gov.ph/GEPSNONPILOT/Tender/SplashBidNoticeAbstractUI.aspx?menuIndex=3&amp;refID=7061741&amp;Result=3","7061741")</f>
        <v>0</v>
      </c>
      <c r="B2677" t="s">
        <v>671</v>
      </c>
      <c r="C2677" t="s">
        <v>6120</v>
      </c>
      <c r="D2677" t="s">
        <v>18836</v>
      </c>
      <c r="E2677" t="s">
        <v>21344</v>
      </c>
      <c r="F2677" t="s">
        <v>32664</v>
      </c>
      <c r="G2677" t="s">
        <v>32674</v>
      </c>
      <c r="H2677" t="s">
        <v>12635</v>
      </c>
      <c r="I2677" t="s">
        <v>32694</v>
      </c>
      <c r="J2677" t="s">
        <v>34683</v>
      </c>
      <c r="K2677" t="s">
        <v>42295</v>
      </c>
      <c r="M2677" t="s">
        <v>43688</v>
      </c>
      <c r="N2677" t="s">
        <v>46569</v>
      </c>
      <c r="O2677" t="s">
        <v>46570</v>
      </c>
      <c r="P2677">
        <v>0</v>
      </c>
      <c r="Q2677">
        <v>2</v>
      </c>
      <c r="R2677" t="s">
        <v>46572</v>
      </c>
      <c r="S2677" t="s">
        <v>46689</v>
      </c>
      <c r="T2677" t="s">
        <v>48246</v>
      </c>
      <c r="U2677" t="s">
        <v>51005</v>
      </c>
      <c r="V2677" t="s">
        <v>61889</v>
      </c>
      <c r="W2677" t="s">
        <v>43688</v>
      </c>
      <c r="X2677" t="s">
        <v>46573</v>
      </c>
    </row>
    <row r="2678" spans="1:24">
      <c r="A2678">
        <f>HYPERLINK("https://www.philgeps.gov.ph/GEPSNONPILOT/Tender/SplashBidNoticeAbstractUI.aspx?menuIndex=3&amp;refID=7061720&amp;Result=3","7061720")</f>
        <v>0</v>
      </c>
      <c r="B2678" t="s">
        <v>1066</v>
      </c>
      <c r="C2678" t="s">
        <v>6121</v>
      </c>
      <c r="D2678" t="s">
        <v>18834</v>
      </c>
      <c r="E2678" t="s">
        <v>21345</v>
      </c>
      <c r="F2678" t="s">
        <v>32664</v>
      </c>
      <c r="G2678" t="s">
        <v>32672</v>
      </c>
      <c r="H2678" t="s">
        <v>12635</v>
      </c>
      <c r="I2678" t="s">
        <v>32716</v>
      </c>
      <c r="J2678" t="s">
        <v>33688</v>
      </c>
      <c r="K2678" t="s">
        <v>42283</v>
      </c>
      <c r="M2678" t="s">
        <v>43684</v>
      </c>
      <c r="N2678" t="s">
        <v>46569</v>
      </c>
      <c r="O2678" t="s">
        <v>46570</v>
      </c>
      <c r="P2678">
        <v>0</v>
      </c>
      <c r="Q2678">
        <v>0</v>
      </c>
      <c r="R2678" t="s">
        <v>46572</v>
      </c>
      <c r="S2678" t="s">
        <v>46689</v>
      </c>
      <c r="T2678" t="s">
        <v>48312</v>
      </c>
      <c r="U2678" t="s">
        <v>51006</v>
      </c>
      <c r="W2678" t="s">
        <v>43684</v>
      </c>
      <c r="X2678" t="s">
        <v>46573</v>
      </c>
    </row>
    <row r="2679" spans="1:24">
      <c r="A2679">
        <f>HYPERLINK("https://www.philgeps.gov.ph/GEPSNONPILOT/Tender/SplashBidNoticeAbstractUI.aspx?menuIndex=3&amp;refID=7061711&amp;Result=3","7061711")</f>
        <v>0</v>
      </c>
      <c r="B2679" t="s">
        <v>144</v>
      </c>
      <c r="C2679" t="s">
        <v>6122</v>
      </c>
      <c r="D2679" t="s">
        <v>18817</v>
      </c>
      <c r="E2679" t="s">
        <v>21346</v>
      </c>
      <c r="F2679" t="s">
        <v>32664</v>
      </c>
      <c r="G2679" t="s">
        <v>32674</v>
      </c>
      <c r="H2679" t="s">
        <v>12635</v>
      </c>
      <c r="I2679" t="s">
        <v>9486</v>
      </c>
      <c r="J2679" t="s">
        <v>33210</v>
      </c>
      <c r="K2679" t="s">
        <v>42309</v>
      </c>
      <c r="M2679" t="s">
        <v>42708</v>
      </c>
      <c r="N2679" t="s">
        <v>46569</v>
      </c>
      <c r="O2679" t="s">
        <v>46570</v>
      </c>
      <c r="P2679">
        <v>0</v>
      </c>
      <c r="Q2679">
        <v>0</v>
      </c>
      <c r="R2679" t="s">
        <v>46572</v>
      </c>
      <c r="S2679" t="s">
        <v>46689</v>
      </c>
      <c r="T2679" t="s">
        <v>48283</v>
      </c>
      <c r="U2679" t="s">
        <v>51007</v>
      </c>
      <c r="W2679" t="s">
        <v>42708</v>
      </c>
      <c r="X2679" t="s">
        <v>46573</v>
      </c>
    </row>
    <row r="2680" spans="1:24">
      <c r="A2680">
        <f>HYPERLINK("https://www.philgeps.gov.ph/GEPSNONPILOT/Tender/SplashBidNoticeAbstractUI.aspx?menuIndex=3&amp;refID=7061736&amp;Result=3","7061736")</f>
        <v>0</v>
      </c>
      <c r="B2680" t="s">
        <v>335</v>
      </c>
      <c r="C2680" t="s">
        <v>6123</v>
      </c>
      <c r="D2680" t="s">
        <v>18784</v>
      </c>
      <c r="E2680" t="s">
        <v>21347</v>
      </c>
      <c r="F2680" t="s">
        <v>32664</v>
      </c>
      <c r="G2680" t="s">
        <v>32671</v>
      </c>
      <c r="H2680" t="s">
        <v>12635</v>
      </c>
      <c r="I2680" t="s">
        <v>32684</v>
      </c>
      <c r="J2680" t="s">
        <v>33021</v>
      </c>
      <c r="K2680" t="s">
        <v>42281</v>
      </c>
      <c r="M2680" t="s">
        <v>42903</v>
      </c>
      <c r="N2680" t="s">
        <v>46569</v>
      </c>
      <c r="O2680" t="s">
        <v>46570</v>
      </c>
      <c r="P2680">
        <v>0</v>
      </c>
      <c r="Q2680">
        <v>11</v>
      </c>
      <c r="R2680" t="s">
        <v>46572</v>
      </c>
      <c r="S2680" t="s">
        <v>46689</v>
      </c>
      <c r="T2680" t="s">
        <v>48249</v>
      </c>
      <c r="U2680" t="s">
        <v>51008</v>
      </c>
      <c r="W2680" t="s">
        <v>42903</v>
      </c>
      <c r="X2680" t="s">
        <v>46573</v>
      </c>
    </row>
    <row r="2681" spans="1:24">
      <c r="A2681">
        <f>HYPERLINK("https://www.philgeps.gov.ph/GEPSNONPILOT/Tender/SplashBidNoticeAbstractUI.aspx?menuIndex=3&amp;refID=7061735&amp;Result=3","7061735")</f>
        <v>0</v>
      </c>
      <c r="B2681" t="s">
        <v>1070</v>
      </c>
      <c r="C2681" t="s">
        <v>6124</v>
      </c>
      <c r="D2681" t="s">
        <v>18789</v>
      </c>
      <c r="E2681" t="s">
        <v>21348</v>
      </c>
      <c r="F2681" t="s">
        <v>32664</v>
      </c>
      <c r="G2681" t="s">
        <v>32671</v>
      </c>
      <c r="H2681" t="s">
        <v>12635</v>
      </c>
      <c r="I2681" t="s">
        <v>8730</v>
      </c>
      <c r="J2681" t="s">
        <v>34684</v>
      </c>
      <c r="K2681" t="s">
        <v>42306</v>
      </c>
      <c r="M2681" t="s">
        <v>43689</v>
      </c>
      <c r="N2681" t="s">
        <v>46569</v>
      </c>
      <c r="O2681" t="s">
        <v>46570</v>
      </c>
      <c r="P2681">
        <v>0</v>
      </c>
      <c r="Q2681">
        <v>0</v>
      </c>
      <c r="R2681" t="s">
        <v>46572</v>
      </c>
      <c r="S2681" t="s">
        <v>46689</v>
      </c>
      <c r="T2681" t="s">
        <v>48228</v>
      </c>
      <c r="U2681" t="s">
        <v>51009</v>
      </c>
      <c r="V2681" t="s">
        <v>61890</v>
      </c>
      <c r="W2681" t="s">
        <v>43689</v>
      </c>
      <c r="X2681" t="s">
        <v>46573</v>
      </c>
    </row>
    <row r="2682" spans="1:24">
      <c r="A2682">
        <f>HYPERLINK("https://www.philgeps.gov.ph/GEPSNONPILOT/Tender/SplashBidNoticeAbstractUI.aspx?menuIndex=3&amp;refID=7061734&amp;Result=3","7061734")</f>
        <v>0</v>
      </c>
      <c r="B2682" t="s">
        <v>460</v>
      </c>
      <c r="C2682" t="s">
        <v>6125</v>
      </c>
      <c r="D2682" t="s">
        <v>18806</v>
      </c>
      <c r="E2682" t="s">
        <v>21349</v>
      </c>
      <c r="F2682" t="s">
        <v>32664</v>
      </c>
      <c r="G2682" t="s">
        <v>32672</v>
      </c>
      <c r="H2682" t="s">
        <v>12635</v>
      </c>
      <c r="I2682" t="s">
        <v>4439</v>
      </c>
      <c r="J2682" t="s">
        <v>34685</v>
      </c>
      <c r="K2682" t="s">
        <v>42284</v>
      </c>
      <c r="M2682" t="s">
        <v>43033</v>
      </c>
      <c r="N2682" t="s">
        <v>46569</v>
      </c>
      <c r="O2682" t="s">
        <v>46570</v>
      </c>
      <c r="P2682">
        <v>0</v>
      </c>
      <c r="Q2682">
        <v>0</v>
      </c>
      <c r="R2682" t="s">
        <v>46572</v>
      </c>
      <c r="S2682" t="s">
        <v>46689</v>
      </c>
      <c r="T2682" t="s">
        <v>48285</v>
      </c>
      <c r="U2682" t="s">
        <v>51010</v>
      </c>
      <c r="V2682" t="s">
        <v>61891</v>
      </c>
      <c r="W2682" t="s">
        <v>43033</v>
      </c>
      <c r="X2682" t="s">
        <v>46573</v>
      </c>
    </row>
    <row r="2683" spans="1:24">
      <c r="A2683">
        <f>HYPERLINK("https://www.philgeps.gov.ph/GEPSNONPILOT/Tender/SplashBidNoticeAbstractUI.aspx?menuIndex=3&amp;refID=7061732&amp;Result=3","7061732")</f>
        <v>0</v>
      </c>
      <c r="B2683" t="s">
        <v>900</v>
      </c>
      <c r="C2683" t="s">
        <v>6126</v>
      </c>
      <c r="D2683" t="s">
        <v>18787</v>
      </c>
      <c r="E2683" t="s">
        <v>21350</v>
      </c>
      <c r="F2683" t="s">
        <v>32667</v>
      </c>
      <c r="G2683" t="s">
        <v>32673</v>
      </c>
      <c r="H2683" t="s">
        <v>32681</v>
      </c>
      <c r="I2683" t="s">
        <v>32681</v>
      </c>
      <c r="J2683" t="s">
        <v>33371</v>
      </c>
      <c r="K2683" t="s">
        <v>42283</v>
      </c>
      <c r="M2683" t="s">
        <v>43690</v>
      </c>
      <c r="N2683" t="s">
        <v>46569</v>
      </c>
      <c r="O2683" t="s">
        <v>46570</v>
      </c>
      <c r="P2683">
        <v>0</v>
      </c>
      <c r="Q2683">
        <v>0</v>
      </c>
      <c r="R2683" t="s">
        <v>46572</v>
      </c>
      <c r="S2683" t="s">
        <v>46689</v>
      </c>
      <c r="T2683" t="s">
        <v>48285</v>
      </c>
      <c r="U2683" t="s">
        <v>51011</v>
      </c>
      <c r="W2683" t="s">
        <v>43690</v>
      </c>
      <c r="X2683" t="s">
        <v>46573</v>
      </c>
    </row>
    <row r="2684" spans="1:24">
      <c r="A2684">
        <f>HYPERLINK("https://www.philgeps.gov.ph/GEPSNONPILOT/Tender/SplashBidNoticeAbstractUI.aspx?menuIndex=3&amp;refID=7061730&amp;Result=3","7061730")</f>
        <v>0</v>
      </c>
      <c r="B2684" t="s">
        <v>1071</v>
      </c>
      <c r="C2684" t="s">
        <v>6127</v>
      </c>
      <c r="D2684" t="s">
        <v>18787</v>
      </c>
      <c r="E2684" t="s">
        <v>21351</v>
      </c>
      <c r="F2684" t="s">
        <v>32664</v>
      </c>
      <c r="G2684" t="s">
        <v>32671</v>
      </c>
      <c r="H2684" t="s">
        <v>12635</v>
      </c>
      <c r="I2684" t="s">
        <v>32706</v>
      </c>
      <c r="J2684" t="s">
        <v>34686</v>
      </c>
      <c r="K2684" t="s">
        <v>42291</v>
      </c>
      <c r="M2684" t="s">
        <v>43691</v>
      </c>
      <c r="N2684" t="s">
        <v>46569</v>
      </c>
      <c r="O2684" t="s">
        <v>46570</v>
      </c>
      <c r="P2684">
        <v>0</v>
      </c>
      <c r="Q2684">
        <v>0</v>
      </c>
      <c r="R2684" t="s">
        <v>46572</v>
      </c>
      <c r="S2684" t="s">
        <v>46689</v>
      </c>
      <c r="T2684" t="s">
        <v>48219</v>
      </c>
      <c r="U2684" t="s">
        <v>51012</v>
      </c>
      <c r="W2684" t="s">
        <v>43691</v>
      </c>
      <c r="X2684" t="s">
        <v>46573</v>
      </c>
    </row>
    <row r="2685" spans="1:24">
      <c r="A2685">
        <f>HYPERLINK("https://www.philgeps.gov.ph/GEPSNONPILOT/Tender/SplashBidNoticeAbstractUI.aspx?menuIndex=3&amp;refID=7061743&amp;Result=3","7061743")</f>
        <v>0</v>
      </c>
      <c r="B2685" t="s">
        <v>1072</v>
      </c>
      <c r="C2685" t="s">
        <v>6128</v>
      </c>
      <c r="D2685" t="s">
        <v>18838</v>
      </c>
      <c r="E2685" t="s">
        <v>20330</v>
      </c>
      <c r="F2685" t="s">
        <v>32664</v>
      </c>
      <c r="G2685" t="s">
        <v>32674</v>
      </c>
      <c r="H2685" t="s">
        <v>12635</v>
      </c>
      <c r="I2685" t="s">
        <v>7429</v>
      </c>
      <c r="J2685" t="s">
        <v>32974</v>
      </c>
      <c r="K2685" t="s">
        <v>42309</v>
      </c>
      <c r="M2685" t="s">
        <v>43692</v>
      </c>
      <c r="N2685" t="s">
        <v>46569</v>
      </c>
      <c r="O2685" t="s">
        <v>46570</v>
      </c>
      <c r="P2685">
        <v>0</v>
      </c>
      <c r="Q2685">
        <v>1</v>
      </c>
      <c r="R2685" t="s">
        <v>46572</v>
      </c>
      <c r="S2685" t="s">
        <v>46689</v>
      </c>
      <c r="T2685" t="s">
        <v>48307</v>
      </c>
      <c r="U2685" t="s">
        <v>51013</v>
      </c>
      <c r="W2685" t="s">
        <v>43692</v>
      </c>
      <c r="X2685" t="s">
        <v>46573</v>
      </c>
    </row>
    <row r="2686" spans="1:24">
      <c r="A2686">
        <f>HYPERLINK("https://www.philgeps.gov.ph/GEPSNONPILOT/Tender/SplashBidNoticeAbstractUI.aspx?menuIndex=3&amp;refID=7061729&amp;Result=3","7061729")</f>
        <v>0</v>
      </c>
      <c r="B2686" t="s">
        <v>900</v>
      </c>
      <c r="C2686" t="s">
        <v>6129</v>
      </c>
      <c r="D2686" t="s">
        <v>18787</v>
      </c>
      <c r="E2686" t="s">
        <v>21352</v>
      </c>
      <c r="F2686" t="s">
        <v>32667</v>
      </c>
      <c r="G2686" t="s">
        <v>32673</v>
      </c>
      <c r="H2686" t="s">
        <v>32681</v>
      </c>
      <c r="I2686" t="s">
        <v>32681</v>
      </c>
      <c r="J2686" t="s">
        <v>33177</v>
      </c>
      <c r="K2686" t="s">
        <v>42283</v>
      </c>
      <c r="M2686" t="s">
        <v>43690</v>
      </c>
      <c r="N2686" t="s">
        <v>46569</v>
      </c>
      <c r="O2686" t="s">
        <v>46570</v>
      </c>
      <c r="P2686">
        <v>0</v>
      </c>
      <c r="Q2686">
        <v>1</v>
      </c>
      <c r="R2686" t="s">
        <v>46572</v>
      </c>
      <c r="S2686" t="s">
        <v>46689</v>
      </c>
      <c r="T2686" t="s">
        <v>48285</v>
      </c>
      <c r="U2686" t="s">
        <v>51014</v>
      </c>
      <c r="W2686" t="s">
        <v>43690</v>
      </c>
      <c r="X2686" t="s">
        <v>46573</v>
      </c>
    </row>
    <row r="2687" spans="1:24">
      <c r="A2687">
        <f>HYPERLINK("https://www.philgeps.gov.ph/GEPSNONPILOT/Tender/SplashBidNoticeAbstractUI.aspx?menuIndex=3&amp;refID=7061739&amp;Result=3","7061739")</f>
        <v>0</v>
      </c>
      <c r="B2687" t="s">
        <v>1073</v>
      </c>
      <c r="C2687" t="s">
        <v>6130</v>
      </c>
      <c r="D2687" t="s">
        <v>18818</v>
      </c>
      <c r="E2687" t="s">
        <v>19137</v>
      </c>
      <c r="F2687" t="s">
        <v>32664</v>
      </c>
      <c r="G2687" t="s">
        <v>32672</v>
      </c>
      <c r="H2687" t="s">
        <v>12635</v>
      </c>
      <c r="I2687" t="s">
        <v>4439</v>
      </c>
      <c r="J2687" t="s">
        <v>33608</v>
      </c>
      <c r="K2687" t="s">
        <v>42281</v>
      </c>
      <c r="M2687" t="s">
        <v>43693</v>
      </c>
      <c r="N2687" t="s">
        <v>46569</v>
      </c>
      <c r="O2687" t="s">
        <v>46570</v>
      </c>
      <c r="P2687">
        <v>0</v>
      </c>
      <c r="Q2687">
        <v>0</v>
      </c>
      <c r="R2687" t="s">
        <v>46572</v>
      </c>
      <c r="S2687" t="s">
        <v>46689</v>
      </c>
      <c r="T2687" t="s">
        <v>48248</v>
      </c>
      <c r="U2687" t="s">
        <v>51015</v>
      </c>
      <c r="W2687" t="s">
        <v>43693</v>
      </c>
      <c r="X2687" t="s">
        <v>46573</v>
      </c>
    </row>
    <row r="2688" spans="1:24">
      <c r="A2688">
        <f>HYPERLINK("https://www.philgeps.gov.ph/GEPSNONPILOT/Tender/SplashBidNoticeAbstractUI.aspx?menuIndex=3&amp;refID=7061721&amp;Result=3","7061721")</f>
        <v>0</v>
      </c>
      <c r="B2688" t="s">
        <v>952</v>
      </c>
      <c r="C2688" t="s">
        <v>6131</v>
      </c>
      <c r="D2688" t="s">
        <v>18786</v>
      </c>
      <c r="E2688" t="s">
        <v>21353</v>
      </c>
      <c r="F2688" t="s">
        <v>32664</v>
      </c>
      <c r="G2688" t="s">
        <v>32671</v>
      </c>
      <c r="H2688" t="s">
        <v>12635</v>
      </c>
      <c r="I2688" t="s">
        <v>6628</v>
      </c>
      <c r="J2688" t="s">
        <v>32917</v>
      </c>
      <c r="K2688" t="s">
        <v>42281</v>
      </c>
      <c r="M2688" t="s">
        <v>43558</v>
      </c>
      <c r="N2688" t="s">
        <v>46569</v>
      </c>
      <c r="O2688" t="s">
        <v>46570</v>
      </c>
      <c r="P2688">
        <v>0</v>
      </c>
      <c r="Q2688">
        <v>1</v>
      </c>
      <c r="R2688" t="s">
        <v>46572</v>
      </c>
      <c r="S2688" t="s">
        <v>46689</v>
      </c>
      <c r="T2688" t="s">
        <v>48293</v>
      </c>
      <c r="U2688" t="s">
        <v>51016</v>
      </c>
      <c r="V2688" t="s">
        <v>61892</v>
      </c>
      <c r="W2688" t="s">
        <v>43558</v>
      </c>
      <c r="X2688" t="s">
        <v>46573</v>
      </c>
    </row>
    <row r="2689" spans="1:24">
      <c r="A2689">
        <f>HYPERLINK("https://www.philgeps.gov.ph/GEPSNONPILOT/Tender/SplashBidNoticeAbstractUI.aspx?menuIndex=3&amp;refID=7061744&amp;Result=3","7061744")</f>
        <v>0</v>
      </c>
      <c r="B2689" t="s">
        <v>629</v>
      </c>
      <c r="C2689" t="s">
        <v>6132</v>
      </c>
      <c r="D2689" t="s">
        <v>18807</v>
      </c>
      <c r="E2689" t="s">
        <v>21354</v>
      </c>
      <c r="F2689" t="s">
        <v>32664</v>
      </c>
      <c r="G2689" t="s">
        <v>32674</v>
      </c>
      <c r="H2689" t="s">
        <v>12635</v>
      </c>
      <c r="I2689" t="s">
        <v>32692</v>
      </c>
      <c r="J2689" t="s">
        <v>34687</v>
      </c>
      <c r="K2689" t="s">
        <v>42283</v>
      </c>
      <c r="M2689" t="s">
        <v>43224</v>
      </c>
      <c r="N2689" t="s">
        <v>46569</v>
      </c>
      <c r="O2689" t="s">
        <v>46570</v>
      </c>
      <c r="P2689">
        <v>0</v>
      </c>
      <c r="Q2689">
        <v>0</v>
      </c>
      <c r="R2689" t="s">
        <v>46572</v>
      </c>
      <c r="S2689" t="s">
        <v>46689</v>
      </c>
      <c r="T2689" t="s">
        <v>48256</v>
      </c>
      <c r="U2689" t="s">
        <v>51017</v>
      </c>
      <c r="W2689" t="s">
        <v>43224</v>
      </c>
      <c r="X2689" t="s">
        <v>46573</v>
      </c>
    </row>
    <row r="2690" spans="1:24">
      <c r="A2690">
        <f>HYPERLINK("https://www.philgeps.gov.ph/GEPSNONPILOT/Tender/SplashBidNoticeAbstractUI.aspx?menuIndex=3&amp;refID=7061719&amp;Result=3","7061719")</f>
        <v>0</v>
      </c>
      <c r="B2690" t="s">
        <v>1068</v>
      </c>
      <c r="C2690" t="s">
        <v>6133</v>
      </c>
      <c r="D2690" t="s">
        <v>18844</v>
      </c>
      <c r="E2690" t="s">
        <v>21355</v>
      </c>
      <c r="F2690" t="s">
        <v>32664</v>
      </c>
      <c r="G2690" t="s">
        <v>32671</v>
      </c>
      <c r="H2690" t="s">
        <v>12635</v>
      </c>
      <c r="I2690" t="s">
        <v>4439</v>
      </c>
      <c r="J2690" t="s">
        <v>34688</v>
      </c>
      <c r="K2690" t="s">
        <v>42297</v>
      </c>
      <c r="M2690" t="s">
        <v>43686</v>
      </c>
      <c r="N2690" t="s">
        <v>46569</v>
      </c>
      <c r="O2690" t="s">
        <v>46570</v>
      </c>
      <c r="P2690">
        <v>0</v>
      </c>
      <c r="Q2690">
        <v>0</v>
      </c>
      <c r="R2690" t="s">
        <v>46572</v>
      </c>
      <c r="S2690" t="s">
        <v>46689</v>
      </c>
      <c r="T2690" t="s">
        <v>48221</v>
      </c>
      <c r="U2690" t="s">
        <v>51018</v>
      </c>
      <c r="W2690" t="s">
        <v>43686</v>
      </c>
      <c r="X2690" t="s">
        <v>46573</v>
      </c>
    </row>
    <row r="2691" spans="1:24">
      <c r="A2691">
        <f>HYPERLINK("https://www.philgeps.gov.ph/GEPSNONPILOT/Tender/SplashBidNoticeAbstractUI.aspx?menuIndex=3&amp;refID=7061419&amp;Result=3","7061419")</f>
        <v>0</v>
      </c>
      <c r="B2691" t="s">
        <v>1048</v>
      </c>
      <c r="C2691" t="s">
        <v>6134</v>
      </c>
      <c r="D2691" t="s">
        <v>18831</v>
      </c>
      <c r="E2691" t="s">
        <v>21356</v>
      </c>
      <c r="F2691" t="s">
        <v>32664</v>
      </c>
      <c r="G2691" t="s">
        <v>32672</v>
      </c>
      <c r="H2691" t="s">
        <v>32683</v>
      </c>
      <c r="I2691" t="s">
        <v>10627</v>
      </c>
      <c r="J2691" t="s">
        <v>34689</v>
      </c>
      <c r="K2691" t="s">
        <v>42290</v>
      </c>
      <c r="M2691" t="s">
        <v>43664</v>
      </c>
      <c r="N2691" t="s">
        <v>46569</v>
      </c>
      <c r="O2691" t="s">
        <v>46570</v>
      </c>
      <c r="P2691">
        <v>0</v>
      </c>
      <c r="Q2691">
        <v>0</v>
      </c>
      <c r="R2691" t="s">
        <v>46572</v>
      </c>
      <c r="S2691" t="s">
        <v>46689</v>
      </c>
      <c r="T2691" t="s">
        <v>48338</v>
      </c>
      <c r="U2691" t="s">
        <v>51019</v>
      </c>
      <c r="W2691" t="s">
        <v>43664</v>
      </c>
      <c r="X2691" t="s">
        <v>46574</v>
      </c>
    </row>
    <row r="2692" spans="1:24">
      <c r="A2692">
        <f>HYPERLINK("https://www.philgeps.gov.ph/GEPSNONPILOT/Tender/SplashBidNoticeAbstractUI.aspx?menuIndex=3&amp;refID=7061727&amp;Result=3","7061727")</f>
        <v>0</v>
      </c>
      <c r="B2692" t="s">
        <v>900</v>
      </c>
      <c r="C2692" t="s">
        <v>6135</v>
      </c>
      <c r="D2692" t="s">
        <v>18787</v>
      </c>
      <c r="E2692" t="s">
        <v>21357</v>
      </c>
      <c r="F2692" t="s">
        <v>32667</v>
      </c>
      <c r="G2692" t="s">
        <v>32673</v>
      </c>
      <c r="H2692" t="s">
        <v>32681</v>
      </c>
      <c r="I2692" t="s">
        <v>32681</v>
      </c>
      <c r="J2692" t="s">
        <v>33118</v>
      </c>
      <c r="K2692" t="s">
        <v>42283</v>
      </c>
      <c r="M2692" t="s">
        <v>43690</v>
      </c>
      <c r="N2692" t="s">
        <v>46569</v>
      </c>
      <c r="O2692" t="s">
        <v>46570</v>
      </c>
      <c r="P2692">
        <v>0</v>
      </c>
      <c r="Q2692">
        <v>0</v>
      </c>
      <c r="R2692" t="s">
        <v>46572</v>
      </c>
      <c r="S2692" t="s">
        <v>46689</v>
      </c>
      <c r="T2692" t="s">
        <v>48285</v>
      </c>
      <c r="U2692" t="s">
        <v>51020</v>
      </c>
      <c r="W2692" t="s">
        <v>43690</v>
      </c>
      <c r="X2692" t="s">
        <v>46573</v>
      </c>
    </row>
    <row r="2693" spans="1:24">
      <c r="A2693">
        <f>HYPERLINK("https://www.philgeps.gov.ph/GEPSNONPILOT/Tender/SplashBidNoticeAbstractUI.aspx?menuIndex=3&amp;refID=7061772&amp;Result=3","7061772")</f>
        <v>0</v>
      </c>
      <c r="B2693" t="s">
        <v>1074</v>
      </c>
      <c r="C2693" t="s">
        <v>6136</v>
      </c>
      <c r="D2693" t="s">
        <v>18786</v>
      </c>
      <c r="E2693" t="s">
        <v>20330</v>
      </c>
      <c r="F2693" t="s">
        <v>32664</v>
      </c>
      <c r="G2693" t="s">
        <v>32672</v>
      </c>
      <c r="H2693" t="s">
        <v>12635</v>
      </c>
      <c r="I2693" t="s">
        <v>7759</v>
      </c>
      <c r="J2693" t="s">
        <v>34690</v>
      </c>
      <c r="K2693" t="s">
        <v>42281</v>
      </c>
      <c r="M2693" t="s">
        <v>43694</v>
      </c>
      <c r="N2693" t="s">
        <v>46569</v>
      </c>
      <c r="O2693" t="s">
        <v>46570</v>
      </c>
      <c r="P2693">
        <v>0</v>
      </c>
      <c r="Q2693">
        <v>1</v>
      </c>
      <c r="R2693" t="s">
        <v>46572</v>
      </c>
      <c r="S2693" t="s">
        <v>46689</v>
      </c>
      <c r="T2693" t="s">
        <v>48304</v>
      </c>
      <c r="U2693" t="s">
        <v>51021</v>
      </c>
      <c r="V2693" t="s">
        <v>61893</v>
      </c>
      <c r="W2693" t="s">
        <v>43694</v>
      </c>
      <c r="X2693" t="s">
        <v>46573</v>
      </c>
    </row>
    <row r="2694" spans="1:24">
      <c r="A2694">
        <f>HYPERLINK("https://www.philgeps.gov.ph/GEPSNONPILOT/Tender/SplashBidNoticeAbstractUI.aspx?menuIndex=3&amp;refID=7061724&amp;Result=3","7061724")</f>
        <v>0</v>
      </c>
      <c r="B2694" t="s">
        <v>335</v>
      </c>
      <c r="C2694" t="s">
        <v>6137</v>
      </c>
      <c r="D2694" t="s">
        <v>18784</v>
      </c>
      <c r="E2694" t="s">
        <v>21358</v>
      </c>
      <c r="F2694" t="s">
        <v>32664</v>
      </c>
      <c r="G2694" t="s">
        <v>32671</v>
      </c>
      <c r="H2694" t="s">
        <v>12635</v>
      </c>
      <c r="I2694" t="s">
        <v>32704</v>
      </c>
      <c r="J2694" t="s">
        <v>34691</v>
      </c>
      <c r="K2694" t="s">
        <v>42281</v>
      </c>
      <c r="M2694" t="s">
        <v>42903</v>
      </c>
      <c r="N2694" t="s">
        <v>46569</v>
      </c>
      <c r="O2694" t="s">
        <v>46570</v>
      </c>
      <c r="P2694">
        <v>0</v>
      </c>
      <c r="Q2694">
        <v>13</v>
      </c>
      <c r="R2694" t="s">
        <v>46572</v>
      </c>
      <c r="S2694" t="s">
        <v>46689</v>
      </c>
      <c r="T2694" t="s">
        <v>48249</v>
      </c>
      <c r="U2694" t="s">
        <v>51022</v>
      </c>
      <c r="W2694" t="s">
        <v>42903</v>
      </c>
      <c r="X2694" t="s">
        <v>46573</v>
      </c>
    </row>
    <row r="2695" spans="1:24">
      <c r="A2695">
        <f>HYPERLINK("https://www.philgeps.gov.ph/GEPSNONPILOT/Tender/SplashBidNoticeAbstractUI.aspx?menuIndex=3&amp;refID=7061722&amp;Result=3","7061722")</f>
        <v>0</v>
      </c>
      <c r="B2695" t="s">
        <v>100</v>
      </c>
      <c r="C2695" t="s">
        <v>6138</v>
      </c>
      <c r="D2695" t="s">
        <v>18784</v>
      </c>
      <c r="E2695" t="s">
        <v>21359</v>
      </c>
      <c r="F2695" t="s">
        <v>32664</v>
      </c>
      <c r="G2695" t="s">
        <v>32671</v>
      </c>
      <c r="H2695" t="s">
        <v>12635</v>
      </c>
      <c r="I2695" t="s">
        <v>32757</v>
      </c>
      <c r="J2695" t="s">
        <v>34692</v>
      </c>
      <c r="K2695" t="s">
        <v>42291</v>
      </c>
      <c r="M2695" t="s">
        <v>42663</v>
      </c>
      <c r="N2695" t="s">
        <v>46569</v>
      </c>
      <c r="O2695" t="s">
        <v>46570</v>
      </c>
      <c r="P2695">
        <v>0</v>
      </c>
      <c r="Q2695">
        <v>0</v>
      </c>
      <c r="R2695" t="s">
        <v>46572</v>
      </c>
      <c r="S2695" t="s">
        <v>46689</v>
      </c>
      <c r="T2695" t="s">
        <v>48251</v>
      </c>
      <c r="U2695" t="s">
        <v>51023</v>
      </c>
      <c r="W2695" t="s">
        <v>42663</v>
      </c>
      <c r="X2695" t="s">
        <v>46573</v>
      </c>
    </row>
    <row r="2696" spans="1:24">
      <c r="A2696">
        <f>HYPERLINK("https://www.philgeps.gov.ph/GEPSNONPILOT/Tender/SplashBidNoticeAbstractUI.aspx?menuIndex=3&amp;refID=7061769&amp;Result=3","7061769")</f>
        <v>0</v>
      </c>
      <c r="B2696" t="s">
        <v>885</v>
      </c>
      <c r="C2696" t="s">
        <v>6139</v>
      </c>
      <c r="D2696" t="s">
        <v>18819</v>
      </c>
      <c r="E2696" t="s">
        <v>21360</v>
      </c>
      <c r="F2696" t="s">
        <v>32664</v>
      </c>
      <c r="G2696" t="s">
        <v>32674</v>
      </c>
      <c r="H2696" t="s">
        <v>12635</v>
      </c>
      <c r="I2696" t="s">
        <v>4333</v>
      </c>
      <c r="J2696" t="s">
        <v>33970</v>
      </c>
      <c r="K2696" t="s">
        <v>42283</v>
      </c>
      <c r="M2696" t="s">
        <v>43486</v>
      </c>
      <c r="N2696" t="s">
        <v>46569</v>
      </c>
      <c r="O2696" t="s">
        <v>46570</v>
      </c>
      <c r="P2696">
        <v>0</v>
      </c>
      <c r="Q2696">
        <v>2</v>
      </c>
      <c r="R2696" t="s">
        <v>46572</v>
      </c>
      <c r="S2696" t="s">
        <v>46689</v>
      </c>
      <c r="T2696" t="s">
        <v>48256</v>
      </c>
      <c r="U2696" t="s">
        <v>51024</v>
      </c>
      <c r="V2696" t="s">
        <v>61836</v>
      </c>
      <c r="W2696" t="s">
        <v>43486</v>
      </c>
      <c r="X2696" t="s">
        <v>46573</v>
      </c>
    </row>
    <row r="2697" spans="1:24">
      <c r="A2697">
        <f>HYPERLINK("https://www.philgeps.gov.ph/GEPSNONPILOT/Tender/SplashBidNoticeAbstractUI.aspx?menuIndex=3&amp;refID=7061771&amp;Result=3","7061771")</f>
        <v>0</v>
      </c>
      <c r="B2697" t="s">
        <v>822</v>
      </c>
      <c r="C2697" t="s">
        <v>6140</v>
      </c>
      <c r="E2697" t="s">
        <v>21361</v>
      </c>
      <c r="F2697" t="s">
        <v>32664</v>
      </c>
      <c r="G2697" t="s">
        <v>32671</v>
      </c>
      <c r="H2697" t="s">
        <v>12635</v>
      </c>
      <c r="I2697" t="s">
        <v>32701</v>
      </c>
      <c r="J2697" t="s">
        <v>33728</v>
      </c>
      <c r="K2697" t="s">
        <v>42283</v>
      </c>
      <c r="M2697" t="s">
        <v>43695</v>
      </c>
      <c r="N2697" t="s">
        <v>46569</v>
      </c>
      <c r="O2697" t="s">
        <v>46570</v>
      </c>
      <c r="P2697">
        <v>0</v>
      </c>
      <c r="Q2697">
        <v>0</v>
      </c>
      <c r="R2697" t="s">
        <v>46572</v>
      </c>
      <c r="S2697" t="s">
        <v>46689</v>
      </c>
      <c r="T2697" t="s">
        <v>48226</v>
      </c>
      <c r="U2697" t="s">
        <v>51025</v>
      </c>
      <c r="W2697" t="s">
        <v>43695</v>
      </c>
      <c r="X2697" t="s">
        <v>46573</v>
      </c>
    </row>
    <row r="2698" spans="1:24">
      <c r="A2698">
        <f>HYPERLINK("https://www.philgeps.gov.ph/GEPSNONPILOT/Tender/SplashBidNoticeAbstractUI.aspx?menuIndex=3&amp;refID=7061765&amp;Result=3","7061765")</f>
        <v>0</v>
      </c>
      <c r="B2698" t="s">
        <v>205</v>
      </c>
      <c r="C2698" t="s">
        <v>6141</v>
      </c>
      <c r="D2698" t="s">
        <v>18831</v>
      </c>
      <c r="E2698" t="s">
        <v>21362</v>
      </c>
      <c r="F2698" t="s">
        <v>32664</v>
      </c>
      <c r="G2698" t="s">
        <v>32671</v>
      </c>
      <c r="H2698" t="s">
        <v>12635</v>
      </c>
      <c r="I2698" t="s">
        <v>5501</v>
      </c>
      <c r="J2698" t="s">
        <v>32917</v>
      </c>
      <c r="K2698" t="s">
        <v>42295</v>
      </c>
      <c r="M2698" t="s">
        <v>42769</v>
      </c>
      <c r="N2698" t="s">
        <v>46569</v>
      </c>
      <c r="O2698" t="s">
        <v>46570</v>
      </c>
      <c r="P2698">
        <v>0</v>
      </c>
      <c r="Q2698">
        <v>2</v>
      </c>
      <c r="R2698" t="s">
        <v>46572</v>
      </c>
      <c r="S2698" t="s">
        <v>46689</v>
      </c>
      <c r="T2698" t="s">
        <v>48410</v>
      </c>
      <c r="U2698" t="s">
        <v>51026</v>
      </c>
      <c r="W2698" t="s">
        <v>42769</v>
      </c>
      <c r="X2698" t="s">
        <v>46573</v>
      </c>
    </row>
    <row r="2699" spans="1:24">
      <c r="A2699">
        <f>HYPERLINK("https://www.philgeps.gov.ph/GEPSNONPILOT/Tender/SplashBidNoticeAbstractUI.aspx?menuIndex=3&amp;refID=7061763&amp;Result=3","7061763")</f>
        <v>0</v>
      </c>
      <c r="B2699" t="s">
        <v>335</v>
      </c>
      <c r="C2699" t="s">
        <v>6142</v>
      </c>
      <c r="D2699" t="s">
        <v>18784</v>
      </c>
      <c r="E2699" t="s">
        <v>21363</v>
      </c>
      <c r="F2699" t="s">
        <v>32664</v>
      </c>
      <c r="G2699" t="s">
        <v>32671</v>
      </c>
      <c r="H2699" t="s">
        <v>12635</v>
      </c>
      <c r="I2699" t="s">
        <v>32704</v>
      </c>
      <c r="J2699" t="s">
        <v>33334</v>
      </c>
      <c r="K2699" t="s">
        <v>42281</v>
      </c>
      <c r="M2699" t="s">
        <v>42903</v>
      </c>
      <c r="N2699" t="s">
        <v>46569</v>
      </c>
      <c r="O2699" t="s">
        <v>46570</v>
      </c>
      <c r="P2699">
        <v>0</v>
      </c>
      <c r="Q2699">
        <v>15</v>
      </c>
      <c r="R2699" t="s">
        <v>46572</v>
      </c>
      <c r="S2699" t="s">
        <v>46689</v>
      </c>
      <c r="T2699" t="s">
        <v>48249</v>
      </c>
      <c r="U2699" t="s">
        <v>51027</v>
      </c>
      <c r="W2699" t="s">
        <v>42903</v>
      </c>
      <c r="X2699" t="s">
        <v>46573</v>
      </c>
    </row>
    <row r="2700" spans="1:24">
      <c r="A2700">
        <f>HYPERLINK("https://www.philgeps.gov.ph/GEPSNONPILOT/Tender/SplashBidNoticeAbstractUI.aspx?menuIndex=3&amp;refID=7061762&amp;Result=3","7061762")</f>
        <v>0</v>
      </c>
      <c r="B2700" t="s">
        <v>1075</v>
      </c>
      <c r="C2700" t="s">
        <v>6143</v>
      </c>
      <c r="E2700" t="s">
        <v>21364</v>
      </c>
      <c r="F2700" t="s">
        <v>32664</v>
      </c>
      <c r="G2700" t="s">
        <v>32675</v>
      </c>
      <c r="H2700" t="s">
        <v>12635</v>
      </c>
      <c r="I2700" t="s">
        <v>4333</v>
      </c>
      <c r="J2700" t="s">
        <v>32859</v>
      </c>
      <c r="K2700" t="s">
        <v>42283</v>
      </c>
      <c r="M2700" t="s">
        <v>43696</v>
      </c>
      <c r="N2700" t="s">
        <v>46569</v>
      </c>
      <c r="O2700" t="s">
        <v>46570</v>
      </c>
      <c r="P2700">
        <v>0</v>
      </c>
      <c r="Q2700">
        <v>14</v>
      </c>
      <c r="R2700" t="s">
        <v>46572</v>
      </c>
      <c r="S2700" t="s">
        <v>46689</v>
      </c>
      <c r="T2700" t="s">
        <v>48280</v>
      </c>
      <c r="U2700" t="s">
        <v>51028</v>
      </c>
      <c r="W2700" t="s">
        <v>43696</v>
      </c>
      <c r="X2700" t="s">
        <v>46573</v>
      </c>
    </row>
    <row r="2701" spans="1:24">
      <c r="A2701">
        <f>HYPERLINK("https://www.philgeps.gov.ph/GEPSNONPILOT/Tender/SplashBidNoticeAbstractUI.aspx?menuIndex=3&amp;refID=7061759&amp;Result=3","7061759")</f>
        <v>0</v>
      </c>
      <c r="B2701" t="s">
        <v>1076</v>
      </c>
      <c r="C2701" t="s">
        <v>6144</v>
      </c>
      <c r="D2701" t="s">
        <v>18788</v>
      </c>
      <c r="E2701" t="s">
        <v>19146</v>
      </c>
      <c r="F2701" t="s">
        <v>32664</v>
      </c>
      <c r="G2701" t="s">
        <v>32672</v>
      </c>
      <c r="H2701" t="s">
        <v>12635</v>
      </c>
      <c r="I2701" t="s">
        <v>4333</v>
      </c>
      <c r="J2701" t="s">
        <v>34036</v>
      </c>
      <c r="K2701" t="s">
        <v>42297</v>
      </c>
      <c r="M2701" t="s">
        <v>43697</v>
      </c>
      <c r="N2701" t="s">
        <v>46569</v>
      </c>
      <c r="O2701" t="s">
        <v>46570</v>
      </c>
      <c r="P2701">
        <v>0</v>
      </c>
      <c r="Q2701">
        <v>0</v>
      </c>
      <c r="R2701" t="s">
        <v>46572</v>
      </c>
      <c r="S2701" t="s">
        <v>46689</v>
      </c>
      <c r="T2701" t="s">
        <v>48237</v>
      </c>
      <c r="U2701" t="s">
        <v>51029</v>
      </c>
      <c r="W2701" t="s">
        <v>43697</v>
      </c>
      <c r="X2701" t="s">
        <v>46573</v>
      </c>
    </row>
    <row r="2702" spans="1:24">
      <c r="A2702">
        <f>HYPERLINK("https://www.philgeps.gov.ph/GEPSNONPILOT/Tender/SplashBidNoticeAbstractUI.aspx?menuIndex=3&amp;refID=7061757&amp;Result=3","7061757")</f>
        <v>0</v>
      </c>
      <c r="B2702" t="s">
        <v>1075</v>
      </c>
      <c r="C2702" t="s">
        <v>6145</v>
      </c>
      <c r="E2702" t="s">
        <v>21365</v>
      </c>
      <c r="F2702" t="s">
        <v>32664</v>
      </c>
      <c r="G2702" t="s">
        <v>32675</v>
      </c>
      <c r="H2702" t="s">
        <v>12635</v>
      </c>
      <c r="I2702" t="s">
        <v>32685</v>
      </c>
      <c r="J2702" t="s">
        <v>32898</v>
      </c>
      <c r="K2702" t="s">
        <v>42283</v>
      </c>
      <c r="M2702" t="s">
        <v>43696</v>
      </c>
      <c r="N2702" t="s">
        <v>46569</v>
      </c>
      <c r="O2702" t="s">
        <v>46570</v>
      </c>
      <c r="P2702">
        <v>0</v>
      </c>
      <c r="Q2702">
        <v>1</v>
      </c>
      <c r="R2702" t="s">
        <v>46572</v>
      </c>
      <c r="S2702" t="s">
        <v>46689</v>
      </c>
      <c r="T2702" t="s">
        <v>48280</v>
      </c>
      <c r="U2702" t="s">
        <v>51030</v>
      </c>
      <c r="W2702" t="s">
        <v>43696</v>
      </c>
      <c r="X2702" t="s">
        <v>46573</v>
      </c>
    </row>
    <row r="2703" spans="1:24">
      <c r="A2703">
        <f>HYPERLINK("https://www.philgeps.gov.ph/GEPSNONPILOT/Tender/SplashBidNoticeAbstractUI.aspx?menuIndex=3&amp;refID=7061756&amp;Result=3","7061756")</f>
        <v>0</v>
      </c>
      <c r="B2703" t="s">
        <v>238</v>
      </c>
      <c r="C2703" t="s">
        <v>6146</v>
      </c>
      <c r="D2703" t="s">
        <v>18798</v>
      </c>
      <c r="E2703" t="s">
        <v>21366</v>
      </c>
      <c r="F2703" t="s">
        <v>32664</v>
      </c>
      <c r="G2703" t="s">
        <v>32675</v>
      </c>
      <c r="H2703" t="s">
        <v>32682</v>
      </c>
      <c r="I2703" t="s">
        <v>32710</v>
      </c>
      <c r="J2703" t="s">
        <v>33163</v>
      </c>
      <c r="K2703" t="s">
        <v>42295</v>
      </c>
      <c r="M2703" t="s">
        <v>43698</v>
      </c>
      <c r="N2703" t="s">
        <v>46569</v>
      </c>
      <c r="O2703" t="s">
        <v>46570</v>
      </c>
      <c r="P2703">
        <v>0</v>
      </c>
      <c r="Q2703">
        <v>1</v>
      </c>
      <c r="R2703" t="s">
        <v>46572</v>
      </c>
      <c r="S2703" t="s">
        <v>46689</v>
      </c>
      <c r="T2703" t="s">
        <v>48219</v>
      </c>
      <c r="U2703" t="s">
        <v>51031</v>
      </c>
      <c r="W2703" t="s">
        <v>43698</v>
      </c>
      <c r="X2703" t="s">
        <v>46573</v>
      </c>
    </row>
    <row r="2704" spans="1:24">
      <c r="A2704">
        <f>HYPERLINK("https://www.philgeps.gov.ph/GEPSNONPILOT/Tender/SplashBidNoticeAbstractUI.aspx?menuIndex=3&amp;refID=7061766&amp;Result=3","7061766")</f>
        <v>0</v>
      </c>
      <c r="B2704" t="s">
        <v>822</v>
      </c>
      <c r="C2704" t="s">
        <v>6147</v>
      </c>
      <c r="E2704" t="s">
        <v>21367</v>
      </c>
      <c r="F2704" t="s">
        <v>32664</v>
      </c>
      <c r="G2704" t="s">
        <v>32671</v>
      </c>
      <c r="H2704" t="s">
        <v>12635</v>
      </c>
      <c r="I2704" t="s">
        <v>32701</v>
      </c>
      <c r="J2704" t="s">
        <v>34693</v>
      </c>
      <c r="K2704" t="s">
        <v>42283</v>
      </c>
      <c r="M2704" t="s">
        <v>43695</v>
      </c>
      <c r="N2704" t="s">
        <v>46569</v>
      </c>
      <c r="O2704" t="s">
        <v>46570</v>
      </c>
      <c r="P2704">
        <v>0</v>
      </c>
      <c r="Q2704">
        <v>0</v>
      </c>
      <c r="R2704" t="s">
        <v>46572</v>
      </c>
      <c r="S2704" t="s">
        <v>46689</v>
      </c>
      <c r="T2704" t="s">
        <v>48226</v>
      </c>
      <c r="U2704" t="s">
        <v>51032</v>
      </c>
      <c r="W2704" t="s">
        <v>43695</v>
      </c>
      <c r="X2704" t="s">
        <v>46573</v>
      </c>
    </row>
    <row r="2705" spans="1:24">
      <c r="A2705">
        <f>HYPERLINK("https://www.philgeps.gov.ph/GEPSNONPILOT/Tender/SplashBidNoticeAbstractUI.aspx?menuIndex=3&amp;refID=7061807&amp;Result=3","7061807")</f>
        <v>0</v>
      </c>
      <c r="B2705" t="s">
        <v>133</v>
      </c>
      <c r="C2705" t="s">
        <v>6148</v>
      </c>
      <c r="D2705" t="s">
        <v>18832</v>
      </c>
      <c r="E2705" t="s">
        <v>21368</v>
      </c>
      <c r="F2705" t="s">
        <v>32664</v>
      </c>
      <c r="G2705" t="s">
        <v>32672</v>
      </c>
      <c r="H2705" t="s">
        <v>12635</v>
      </c>
      <c r="I2705" t="s">
        <v>11464</v>
      </c>
      <c r="J2705" t="s">
        <v>32962</v>
      </c>
      <c r="K2705" t="s">
        <v>42311</v>
      </c>
      <c r="M2705" t="s">
        <v>42697</v>
      </c>
      <c r="N2705" t="s">
        <v>46569</v>
      </c>
      <c r="O2705" t="s">
        <v>46570</v>
      </c>
      <c r="P2705">
        <v>0</v>
      </c>
      <c r="Q2705">
        <v>2</v>
      </c>
      <c r="R2705" t="s">
        <v>46572</v>
      </c>
      <c r="S2705" t="s">
        <v>46689</v>
      </c>
      <c r="T2705" t="s">
        <v>48361</v>
      </c>
      <c r="U2705" t="s">
        <v>51033</v>
      </c>
      <c r="W2705" t="s">
        <v>42697</v>
      </c>
      <c r="X2705" t="s">
        <v>46573</v>
      </c>
    </row>
    <row r="2706" spans="1:24">
      <c r="A2706">
        <f>HYPERLINK("https://www.philgeps.gov.ph/GEPSNONPILOT/Tender/SplashBidNoticeAbstractUI.aspx?menuIndex=3&amp;refID=7061767&amp;Result=3","7061767")</f>
        <v>0</v>
      </c>
      <c r="B2706" t="s">
        <v>1077</v>
      </c>
      <c r="C2706" t="s">
        <v>6149</v>
      </c>
      <c r="D2706" t="s">
        <v>18818</v>
      </c>
      <c r="E2706" t="s">
        <v>19137</v>
      </c>
      <c r="F2706" t="s">
        <v>32664</v>
      </c>
      <c r="G2706" t="s">
        <v>32672</v>
      </c>
      <c r="H2706" t="s">
        <v>12635</v>
      </c>
      <c r="I2706" t="s">
        <v>4439</v>
      </c>
      <c r="J2706" t="s">
        <v>34694</v>
      </c>
      <c r="K2706" t="s">
        <v>42281</v>
      </c>
      <c r="M2706" t="s">
        <v>43699</v>
      </c>
      <c r="N2706" t="s">
        <v>46569</v>
      </c>
      <c r="O2706" t="s">
        <v>46570</v>
      </c>
      <c r="P2706">
        <v>0</v>
      </c>
      <c r="Q2706">
        <v>0</v>
      </c>
      <c r="R2706" t="s">
        <v>46572</v>
      </c>
      <c r="S2706" t="s">
        <v>46689</v>
      </c>
      <c r="T2706" t="s">
        <v>48248</v>
      </c>
      <c r="U2706" t="s">
        <v>51034</v>
      </c>
      <c r="W2706" t="s">
        <v>43699</v>
      </c>
      <c r="X2706" t="s">
        <v>46573</v>
      </c>
    </row>
    <row r="2707" spans="1:24">
      <c r="A2707">
        <f>HYPERLINK("https://www.philgeps.gov.ph/GEPSNONPILOT/Tender/SplashBidNoticeAbstractUI.aspx?menuIndex=3&amp;refID=7061806&amp;Result=3","7061806")</f>
        <v>0</v>
      </c>
      <c r="B2707" t="s">
        <v>1078</v>
      </c>
      <c r="C2707" t="s">
        <v>6150</v>
      </c>
      <c r="D2707" t="s">
        <v>18806</v>
      </c>
      <c r="E2707" t="s">
        <v>21369</v>
      </c>
      <c r="F2707" t="s">
        <v>32664</v>
      </c>
      <c r="G2707" t="s">
        <v>32671</v>
      </c>
      <c r="H2707" t="s">
        <v>12635</v>
      </c>
      <c r="I2707" t="s">
        <v>32685</v>
      </c>
      <c r="J2707" t="s">
        <v>32898</v>
      </c>
      <c r="K2707" t="s">
        <v>42298</v>
      </c>
      <c r="M2707" t="s">
        <v>43700</v>
      </c>
      <c r="N2707" t="s">
        <v>46569</v>
      </c>
      <c r="O2707" t="s">
        <v>46570</v>
      </c>
      <c r="P2707">
        <v>0</v>
      </c>
      <c r="Q2707">
        <v>1</v>
      </c>
      <c r="R2707" t="s">
        <v>46572</v>
      </c>
      <c r="S2707" t="s">
        <v>46689</v>
      </c>
      <c r="T2707" t="s">
        <v>48217</v>
      </c>
      <c r="U2707" t="s">
        <v>51035</v>
      </c>
      <c r="W2707" t="s">
        <v>43700</v>
      </c>
      <c r="X2707" t="s">
        <v>46573</v>
      </c>
    </row>
    <row r="2708" spans="1:24">
      <c r="A2708">
        <f>HYPERLINK("https://www.philgeps.gov.ph/GEPSNONPILOT/Tender/SplashBidNoticeAbstractUI.aspx?menuIndex=3&amp;refID=7061740&amp;Result=3","7061740")</f>
        <v>0</v>
      </c>
      <c r="B2708" t="s">
        <v>671</v>
      </c>
      <c r="C2708" t="s">
        <v>6151</v>
      </c>
      <c r="D2708" t="s">
        <v>18836</v>
      </c>
      <c r="E2708" t="s">
        <v>21370</v>
      </c>
      <c r="F2708" t="s">
        <v>32664</v>
      </c>
      <c r="G2708" t="s">
        <v>32674</v>
      </c>
      <c r="H2708" t="s">
        <v>12635</v>
      </c>
      <c r="I2708" t="s">
        <v>32694</v>
      </c>
      <c r="J2708" t="s">
        <v>34695</v>
      </c>
      <c r="K2708" t="s">
        <v>42295</v>
      </c>
      <c r="M2708" t="s">
        <v>43688</v>
      </c>
      <c r="N2708" t="s">
        <v>46569</v>
      </c>
      <c r="O2708" t="s">
        <v>46570</v>
      </c>
      <c r="P2708">
        <v>0</v>
      </c>
      <c r="Q2708">
        <v>5</v>
      </c>
      <c r="R2708" t="s">
        <v>46572</v>
      </c>
      <c r="S2708" t="s">
        <v>46689</v>
      </c>
      <c r="T2708" t="s">
        <v>48219</v>
      </c>
      <c r="U2708" t="s">
        <v>51005</v>
      </c>
      <c r="V2708" t="s">
        <v>61889</v>
      </c>
      <c r="W2708" t="s">
        <v>43688</v>
      </c>
      <c r="X2708" t="s">
        <v>46573</v>
      </c>
    </row>
    <row r="2709" spans="1:24">
      <c r="A2709">
        <f>HYPERLINK("https://www.philgeps.gov.ph/GEPSNONPILOT/Tender/SplashBidNoticeAbstractUI.aspx?menuIndex=3&amp;refID=7061797&amp;Result=3","7061797")</f>
        <v>0</v>
      </c>
      <c r="B2709" t="s">
        <v>1079</v>
      </c>
      <c r="C2709" t="s">
        <v>6152</v>
      </c>
      <c r="D2709" t="s">
        <v>18801</v>
      </c>
      <c r="E2709" t="s">
        <v>19830</v>
      </c>
      <c r="F2709" t="s">
        <v>32664</v>
      </c>
      <c r="G2709" t="s">
        <v>32677</v>
      </c>
      <c r="H2709" t="s">
        <v>12635</v>
      </c>
      <c r="I2709" t="s">
        <v>4333</v>
      </c>
      <c r="J2709" t="s">
        <v>33089</v>
      </c>
      <c r="K2709" t="s">
        <v>42297</v>
      </c>
      <c r="M2709" t="s">
        <v>43701</v>
      </c>
      <c r="N2709" t="s">
        <v>46569</v>
      </c>
      <c r="O2709" t="s">
        <v>46570</v>
      </c>
      <c r="P2709">
        <v>0</v>
      </c>
      <c r="Q2709">
        <v>2</v>
      </c>
      <c r="R2709" t="s">
        <v>46572</v>
      </c>
      <c r="S2709" t="s">
        <v>46689</v>
      </c>
      <c r="T2709" t="s">
        <v>48283</v>
      </c>
      <c r="U2709" t="s">
        <v>49667</v>
      </c>
      <c r="V2709" t="s">
        <v>61739</v>
      </c>
      <c r="W2709" t="s">
        <v>43701</v>
      </c>
      <c r="X2709" t="s">
        <v>46573</v>
      </c>
    </row>
    <row r="2710" spans="1:24">
      <c r="A2710">
        <f>HYPERLINK("https://www.philgeps.gov.ph/GEPSNONPILOT/Tender/SplashBidNoticeAbstractUI.aspx?menuIndex=3&amp;refID=7061795&amp;Result=3","7061795")</f>
        <v>0</v>
      </c>
      <c r="B2710" t="s">
        <v>392</v>
      </c>
      <c r="C2710" t="s">
        <v>6153</v>
      </c>
      <c r="D2710" t="s">
        <v>18801</v>
      </c>
      <c r="E2710" t="s">
        <v>21371</v>
      </c>
      <c r="F2710" t="s">
        <v>32664</v>
      </c>
      <c r="G2710" t="s">
        <v>32671</v>
      </c>
      <c r="H2710" t="s">
        <v>12635</v>
      </c>
      <c r="I2710" t="s">
        <v>32729</v>
      </c>
      <c r="J2710" t="s">
        <v>34696</v>
      </c>
      <c r="K2710" t="s">
        <v>42284</v>
      </c>
      <c r="M2710" t="s">
        <v>42962</v>
      </c>
      <c r="N2710" t="s">
        <v>46569</v>
      </c>
      <c r="O2710" t="s">
        <v>46570</v>
      </c>
      <c r="P2710">
        <v>0</v>
      </c>
      <c r="Q2710">
        <v>2</v>
      </c>
      <c r="R2710" t="s">
        <v>46572</v>
      </c>
      <c r="S2710" t="s">
        <v>46689</v>
      </c>
      <c r="T2710" t="s">
        <v>48217</v>
      </c>
      <c r="U2710" t="s">
        <v>51036</v>
      </c>
      <c r="V2710" t="s">
        <v>61714</v>
      </c>
      <c r="W2710" t="s">
        <v>42962</v>
      </c>
      <c r="X2710" t="s">
        <v>46573</v>
      </c>
    </row>
    <row r="2711" spans="1:24">
      <c r="A2711">
        <f>HYPERLINK("https://www.philgeps.gov.ph/GEPSNONPILOT/Tender/SplashBidNoticeAbstractUI.aspx?menuIndex=3&amp;refID=7061802&amp;Result=3","7061802")</f>
        <v>0</v>
      </c>
      <c r="B2711" t="s">
        <v>199</v>
      </c>
      <c r="C2711" t="s">
        <v>6154</v>
      </c>
      <c r="D2711" t="s">
        <v>18789</v>
      </c>
      <c r="E2711" t="s">
        <v>21372</v>
      </c>
      <c r="F2711" t="s">
        <v>32664</v>
      </c>
      <c r="G2711" t="s">
        <v>32671</v>
      </c>
      <c r="H2711" t="s">
        <v>12635</v>
      </c>
      <c r="I2711" t="s">
        <v>32719</v>
      </c>
      <c r="J2711" t="s">
        <v>34697</v>
      </c>
      <c r="K2711" t="s">
        <v>42303</v>
      </c>
      <c r="M2711" t="s">
        <v>43702</v>
      </c>
      <c r="N2711" t="s">
        <v>46569</v>
      </c>
      <c r="O2711" t="s">
        <v>46570</v>
      </c>
      <c r="P2711">
        <v>0</v>
      </c>
      <c r="Q2711">
        <v>2</v>
      </c>
      <c r="R2711" t="s">
        <v>46572</v>
      </c>
      <c r="S2711" t="s">
        <v>46689</v>
      </c>
      <c r="T2711" t="s">
        <v>48217</v>
      </c>
      <c r="U2711" t="s">
        <v>51037</v>
      </c>
      <c r="W2711" t="s">
        <v>43702</v>
      </c>
      <c r="X2711" t="s">
        <v>46573</v>
      </c>
    </row>
    <row r="2712" spans="1:24">
      <c r="A2712">
        <f>HYPERLINK("https://www.philgeps.gov.ph/GEPSNONPILOT/Tender/SplashBidNoticeAbstractUI.aspx?menuIndex=3&amp;refID=7061798&amp;Result=3","7061798")</f>
        <v>0</v>
      </c>
      <c r="B2712" t="s">
        <v>1080</v>
      </c>
      <c r="C2712" t="s">
        <v>6155</v>
      </c>
      <c r="D2712" t="s">
        <v>18787</v>
      </c>
      <c r="E2712" t="s">
        <v>19461</v>
      </c>
      <c r="F2712" t="s">
        <v>32664</v>
      </c>
      <c r="G2712" t="s">
        <v>32672</v>
      </c>
      <c r="H2712" t="s">
        <v>32683</v>
      </c>
      <c r="I2712" t="s">
        <v>32733</v>
      </c>
      <c r="J2712" t="s">
        <v>33126</v>
      </c>
      <c r="K2712" t="s">
        <v>42284</v>
      </c>
      <c r="M2712" t="s">
        <v>43703</v>
      </c>
      <c r="N2712" t="s">
        <v>46569</v>
      </c>
      <c r="O2712" t="s">
        <v>46570</v>
      </c>
      <c r="P2712">
        <v>0</v>
      </c>
      <c r="Q2712">
        <v>0</v>
      </c>
      <c r="R2712" t="s">
        <v>46572</v>
      </c>
      <c r="S2712" t="s">
        <v>46689</v>
      </c>
      <c r="T2712" t="s">
        <v>48459</v>
      </c>
      <c r="U2712" t="s">
        <v>51038</v>
      </c>
      <c r="W2712" t="s">
        <v>43703</v>
      </c>
      <c r="X2712" t="s">
        <v>46573</v>
      </c>
    </row>
    <row r="2713" spans="1:24">
      <c r="A2713">
        <f>HYPERLINK("https://www.philgeps.gov.ph/GEPSNONPILOT/Tender/SplashBidNoticeAbstractUI.aspx?menuIndex=3&amp;refID=7061790&amp;Result=3","7061790")</f>
        <v>0</v>
      </c>
      <c r="B2713" t="s">
        <v>1081</v>
      </c>
      <c r="C2713" t="s">
        <v>6156</v>
      </c>
      <c r="D2713" t="s">
        <v>18827</v>
      </c>
      <c r="E2713" t="s">
        <v>21373</v>
      </c>
      <c r="F2713" t="s">
        <v>32664</v>
      </c>
      <c r="G2713" t="s">
        <v>32672</v>
      </c>
      <c r="H2713" t="s">
        <v>12635</v>
      </c>
      <c r="I2713" t="s">
        <v>32696</v>
      </c>
      <c r="J2713" t="s">
        <v>33504</v>
      </c>
      <c r="K2713" t="s">
        <v>42283</v>
      </c>
      <c r="M2713" t="s">
        <v>43704</v>
      </c>
      <c r="N2713" t="s">
        <v>46569</v>
      </c>
      <c r="O2713" t="s">
        <v>46570</v>
      </c>
      <c r="P2713">
        <v>0</v>
      </c>
      <c r="Q2713">
        <v>1</v>
      </c>
      <c r="R2713" t="s">
        <v>46572</v>
      </c>
      <c r="S2713" t="s">
        <v>46689</v>
      </c>
      <c r="T2713" t="s">
        <v>48377</v>
      </c>
      <c r="U2713" t="s">
        <v>51039</v>
      </c>
      <c r="W2713" t="s">
        <v>43704</v>
      </c>
      <c r="X2713" t="s">
        <v>46573</v>
      </c>
    </row>
    <row r="2714" spans="1:24">
      <c r="A2714">
        <f>HYPERLINK("https://www.philgeps.gov.ph/GEPSNONPILOT/Tender/SplashBidNoticeAbstractUI.aspx?menuIndex=3&amp;refID=7061789&amp;Result=3","7061789")</f>
        <v>0</v>
      </c>
      <c r="B2714" t="s">
        <v>629</v>
      </c>
      <c r="C2714" t="s">
        <v>6157</v>
      </c>
      <c r="D2714" t="s">
        <v>18782</v>
      </c>
      <c r="E2714" t="s">
        <v>21374</v>
      </c>
      <c r="F2714" t="s">
        <v>32664</v>
      </c>
      <c r="G2714" t="s">
        <v>32671</v>
      </c>
      <c r="H2714" t="s">
        <v>12635</v>
      </c>
      <c r="I2714" t="s">
        <v>4439</v>
      </c>
      <c r="J2714" t="s">
        <v>34698</v>
      </c>
      <c r="K2714" t="s">
        <v>42283</v>
      </c>
      <c r="M2714" t="s">
        <v>43705</v>
      </c>
      <c r="N2714" t="s">
        <v>46569</v>
      </c>
      <c r="O2714" t="s">
        <v>46570</v>
      </c>
      <c r="P2714">
        <v>0</v>
      </c>
      <c r="Q2714">
        <v>1</v>
      </c>
      <c r="R2714" t="s">
        <v>46572</v>
      </c>
      <c r="S2714" t="s">
        <v>46689</v>
      </c>
      <c r="T2714" t="s">
        <v>48282</v>
      </c>
      <c r="U2714" t="s">
        <v>51040</v>
      </c>
      <c r="W2714" t="s">
        <v>43705</v>
      </c>
      <c r="X2714" t="s">
        <v>46573</v>
      </c>
    </row>
    <row r="2715" spans="1:24">
      <c r="A2715">
        <f>HYPERLINK("https://www.philgeps.gov.ph/GEPSNONPILOT/Tender/SplashBidNoticeAbstractUI.aspx?menuIndex=3&amp;refID=7061787&amp;Result=3","7061787")</f>
        <v>0</v>
      </c>
      <c r="B2715" t="s">
        <v>529</v>
      </c>
      <c r="C2715" t="s">
        <v>6158</v>
      </c>
      <c r="D2715" t="s">
        <v>18788</v>
      </c>
      <c r="E2715" t="s">
        <v>21375</v>
      </c>
      <c r="F2715" t="s">
        <v>32664</v>
      </c>
      <c r="G2715" t="s">
        <v>32671</v>
      </c>
      <c r="H2715" t="s">
        <v>12635</v>
      </c>
      <c r="I2715" t="s">
        <v>8797</v>
      </c>
      <c r="J2715" t="s">
        <v>34699</v>
      </c>
      <c r="K2715" t="s">
        <v>42283</v>
      </c>
      <c r="M2715" t="s">
        <v>43116</v>
      </c>
      <c r="N2715" t="s">
        <v>46569</v>
      </c>
      <c r="O2715" t="s">
        <v>46570</v>
      </c>
      <c r="P2715">
        <v>0</v>
      </c>
      <c r="Q2715">
        <v>5</v>
      </c>
      <c r="R2715" t="s">
        <v>46572</v>
      </c>
      <c r="S2715" t="s">
        <v>46689</v>
      </c>
      <c r="T2715" t="s">
        <v>48251</v>
      </c>
      <c r="U2715" t="s">
        <v>51041</v>
      </c>
      <c r="V2715" t="s">
        <v>61748</v>
      </c>
      <c r="W2715" t="s">
        <v>43116</v>
      </c>
      <c r="X2715" t="s">
        <v>46573</v>
      </c>
    </row>
    <row r="2716" spans="1:24">
      <c r="A2716">
        <f>HYPERLINK("https://www.philgeps.gov.ph/GEPSNONPILOT/Tender/SplashBidNoticeAbstractUI.aspx?menuIndex=3&amp;refID=7061785&amp;Result=3","7061785")</f>
        <v>0</v>
      </c>
      <c r="B2716" t="s">
        <v>1082</v>
      </c>
      <c r="C2716" t="s">
        <v>6159</v>
      </c>
      <c r="D2716" t="s">
        <v>18827</v>
      </c>
      <c r="E2716" t="s">
        <v>21376</v>
      </c>
      <c r="F2716" t="s">
        <v>32664</v>
      </c>
      <c r="G2716" t="s">
        <v>32672</v>
      </c>
      <c r="H2716" t="s">
        <v>12635</v>
      </c>
      <c r="I2716" t="s">
        <v>32689</v>
      </c>
      <c r="J2716" t="s">
        <v>32974</v>
      </c>
      <c r="K2716" t="s">
        <v>42284</v>
      </c>
      <c r="M2716" t="s">
        <v>43706</v>
      </c>
      <c r="N2716" t="s">
        <v>46569</v>
      </c>
      <c r="O2716" t="s">
        <v>46570</v>
      </c>
      <c r="P2716">
        <v>0</v>
      </c>
      <c r="Q2716">
        <v>0</v>
      </c>
      <c r="R2716" t="s">
        <v>46572</v>
      </c>
      <c r="S2716" t="s">
        <v>46689</v>
      </c>
      <c r="T2716" t="s">
        <v>48225</v>
      </c>
      <c r="U2716" t="s">
        <v>51042</v>
      </c>
      <c r="V2716" t="s">
        <v>61894</v>
      </c>
      <c r="W2716" t="s">
        <v>43706</v>
      </c>
      <c r="X2716" t="s">
        <v>46573</v>
      </c>
    </row>
    <row r="2717" spans="1:24">
      <c r="A2717">
        <f>HYPERLINK("https://www.philgeps.gov.ph/GEPSNONPILOT/Tender/SplashBidNoticeAbstractUI.aspx?menuIndex=3&amp;refID=7061784&amp;Result=3","7061784")</f>
        <v>0</v>
      </c>
      <c r="B2717" t="s">
        <v>885</v>
      </c>
      <c r="C2717" t="s">
        <v>6160</v>
      </c>
      <c r="D2717" t="s">
        <v>18819</v>
      </c>
      <c r="E2717" t="s">
        <v>21377</v>
      </c>
      <c r="F2717" t="s">
        <v>32664</v>
      </c>
      <c r="G2717" t="s">
        <v>32674</v>
      </c>
      <c r="H2717" t="s">
        <v>12635</v>
      </c>
      <c r="I2717" t="s">
        <v>32694</v>
      </c>
      <c r="J2717" t="s">
        <v>34700</v>
      </c>
      <c r="K2717" t="s">
        <v>42283</v>
      </c>
      <c r="M2717" t="s">
        <v>43486</v>
      </c>
      <c r="N2717" t="s">
        <v>46569</v>
      </c>
      <c r="O2717" t="s">
        <v>46570</v>
      </c>
      <c r="P2717">
        <v>0</v>
      </c>
      <c r="Q2717">
        <v>0</v>
      </c>
      <c r="R2717" t="s">
        <v>46572</v>
      </c>
      <c r="S2717" t="s">
        <v>46689</v>
      </c>
      <c r="T2717" t="s">
        <v>48256</v>
      </c>
      <c r="U2717" t="s">
        <v>51043</v>
      </c>
      <c r="V2717" t="s">
        <v>61836</v>
      </c>
      <c r="W2717" t="s">
        <v>43486</v>
      </c>
      <c r="X2717" t="s">
        <v>46573</v>
      </c>
    </row>
    <row r="2718" spans="1:24">
      <c r="A2718">
        <f>HYPERLINK("https://www.philgeps.gov.ph/GEPSNONPILOT/Tender/SplashBidNoticeAbstractUI.aspx?menuIndex=3&amp;refID=7061793&amp;Result=3","7061793")</f>
        <v>0</v>
      </c>
      <c r="B2718" t="s">
        <v>363</v>
      </c>
      <c r="C2718" t="s">
        <v>6161</v>
      </c>
      <c r="D2718" t="s">
        <v>18792</v>
      </c>
      <c r="E2718" t="s">
        <v>21378</v>
      </c>
      <c r="F2718" t="s">
        <v>32664</v>
      </c>
      <c r="G2718" t="s">
        <v>32671</v>
      </c>
      <c r="H2718" t="s">
        <v>12635</v>
      </c>
      <c r="I2718" t="s">
        <v>32699</v>
      </c>
      <c r="J2718" t="s">
        <v>34701</v>
      </c>
      <c r="K2718" t="s">
        <v>42306</v>
      </c>
      <c r="M2718" t="s">
        <v>42932</v>
      </c>
      <c r="N2718" t="s">
        <v>46569</v>
      </c>
      <c r="O2718" t="s">
        <v>46570</v>
      </c>
      <c r="Q2718">
        <v>0</v>
      </c>
      <c r="R2718" t="s">
        <v>46572</v>
      </c>
      <c r="S2718" t="s">
        <v>46693</v>
      </c>
      <c r="T2718" t="s">
        <v>48280</v>
      </c>
      <c r="U2718" t="s">
        <v>51044</v>
      </c>
      <c r="W2718" t="s">
        <v>42932</v>
      </c>
      <c r="X2718" t="s">
        <v>46573</v>
      </c>
    </row>
    <row r="2719" spans="1:24">
      <c r="A2719">
        <f>HYPERLINK("https://www.philgeps.gov.ph/GEPSNONPILOT/Tender/SplashBidNoticeAbstractUI.aspx?menuIndex=3&amp;refID=7061809&amp;Result=3","7061809")</f>
        <v>0</v>
      </c>
      <c r="B2719" t="s">
        <v>1083</v>
      </c>
      <c r="C2719" t="s">
        <v>6162</v>
      </c>
      <c r="D2719" t="s">
        <v>18784</v>
      </c>
      <c r="E2719" t="s">
        <v>21379</v>
      </c>
      <c r="F2719" t="s">
        <v>32664</v>
      </c>
      <c r="G2719" t="s">
        <v>32672</v>
      </c>
      <c r="H2719" t="s">
        <v>12635</v>
      </c>
      <c r="I2719" t="s">
        <v>4439</v>
      </c>
      <c r="J2719" t="s">
        <v>34702</v>
      </c>
      <c r="K2719" t="s">
        <v>42289</v>
      </c>
      <c r="M2719" t="s">
        <v>43707</v>
      </c>
      <c r="N2719" t="s">
        <v>46569</v>
      </c>
      <c r="O2719" t="s">
        <v>46570</v>
      </c>
      <c r="P2719">
        <v>0</v>
      </c>
      <c r="Q2719">
        <v>1</v>
      </c>
      <c r="R2719" t="s">
        <v>46572</v>
      </c>
      <c r="S2719" t="s">
        <v>46689</v>
      </c>
      <c r="T2719" t="s">
        <v>48377</v>
      </c>
      <c r="U2719" t="s">
        <v>51045</v>
      </c>
      <c r="W2719" t="s">
        <v>43707</v>
      </c>
      <c r="X2719" t="s">
        <v>46573</v>
      </c>
    </row>
    <row r="2720" spans="1:24">
      <c r="A2720">
        <f>HYPERLINK("https://www.philgeps.gov.ph/GEPSNONPILOT/Tender/SplashBidNoticeAbstractUI.aspx?menuIndex=3&amp;refID=7061792&amp;Result=3","7061792")</f>
        <v>0</v>
      </c>
      <c r="B2720" t="s">
        <v>82</v>
      </c>
      <c r="C2720" t="s">
        <v>6163</v>
      </c>
      <c r="D2720" t="s">
        <v>18804</v>
      </c>
      <c r="E2720" t="s">
        <v>21380</v>
      </c>
      <c r="F2720" t="s">
        <v>32664</v>
      </c>
      <c r="G2720" t="s">
        <v>32672</v>
      </c>
      <c r="H2720" t="s">
        <v>32683</v>
      </c>
      <c r="I2720" t="s">
        <v>10627</v>
      </c>
      <c r="J2720" t="s">
        <v>34703</v>
      </c>
      <c r="K2720" t="s">
        <v>42285</v>
      </c>
      <c r="M2720" t="s">
        <v>43708</v>
      </c>
      <c r="N2720" t="s">
        <v>46569</v>
      </c>
      <c r="O2720" t="s">
        <v>46570</v>
      </c>
      <c r="P2720">
        <v>0</v>
      </c>
      <c r="Q2720">
        <v>1</v>
      </c>
      <c r="R2720" t="s">
        <v>46572</v>
      </c>
      <c r="S2720" t="s">
        <v>46689</v>
      </c>
      <c r="T2720" t="s">
        <v>48460</v>
      </c>
      <c r="U2720" t="s">
        <v>51046</v>
      </c>
      <c r="W2720" t="s">
        <v>43708</v>
      </c>
      <c r="X2720" t="s">
        <v>46573</v>
      </c>
    </row>
    <row r="2721" spans="1:24">
      <c r="A2721">
        <f>HYPERLINK("https://www.philgeps.gov.ph/GEPSNONPILOT/Tender/SplashBidNoticeAbstractUI.aspx?menuIndex=3&amp;refID=7061831&amp;Result=3","7061831")</f>
        <v>0</v>
      </c>
      <c r="B2721" t="s">
        <v>203</v>
      </c>
      <c r="C2721" t="s">
        <v>6164</v>
      </c>
      <c r="D2721" t="s">
        <v>18816</v>
      </c>
      <c r="E2721" t="s">
        <v>21381</v>
      </c>
      <c r="F2721" t="s">
        <v>32664</v>
      </c>
      <c r="G2721" t="s">
        <v>32671</v>
      </c>
      <c r="H2721" t="s">
        <v>12635</v>
      </c>
      <c r="I2721" t="s">
        <v>32711</v>
      </c>
      <c r="J2721" t="s">
        <v>34704</v>
      </c>
      <c r="K2721" t="s">
        <v>42289</v>
      </c>
      <c r="M2721" t="s">
        <v>43709</v>
      </c>
      <c r="N2721" t="s">
        <v>46569</v>
      </c>
      <c r="O2721" t="s">
        <v>46570</v>
      </c>
      <c r="P2721">
        <v>0</v>
      </c>
      <c r="Q2721">
        <v>0</v>
      </c>
      <c r="R2721" t="s">
        <v>46572</v>
      </c>
      <c r="S2721" t="s">
        <v>46689</v>
      </c>
      <c r="T2721" t="s">
        <v>48410</v>
      </c>
      <c r="U2721" t="s">
        <v>51047</v>
      </c>
      <c r="W2721" t="s">
        <v>43709</v>
      </c>
      <c r="X2721" t="s">
        <v>46573</v>
      </c>
    </row>
    <row r="2722" spans="1:24">
      <c r="A2722">
        <f>HYPERLINK("https://www.philgeps.gov.ph/GEPSNONPILOT/Tender/SplashBidNoticeAbstractUI.aspx?menuIndex=3&amp;refID=7061746&amp;Result=3","7061746")</f>
        <v>0</v>
      </c>
      <c r="B2722" t="s">
        <v>1084</v>
      </c>
      <c r="C2722" t="s">
        <v>6165</v>
      </c>
      <c r="D2722" t="s">
        <v>18832</v>
      </c>
      <c r="E2722" t="s">
        <v>21382</v>
      </c>
      <c r="F2722" t="s">
        <v>32664</v>
      </c>
      <c r="G2722" t="s">
        <v>32672</v>
      </c>
      <c r="H2722" t="s">
        <v>12635</v>
      </c>
      <c r="I2722" t="s">
        <v>32729</v>
      </c>
      <c r="J2722" t="s">
        <v>33974</v>
      </c>
      <c r="K2722" t="s">
        <v>42289</v>
      </c>
      <c r="M2722" t="s">
        <v>43710</v>
      </c>
      <c r="N2722" t="s">
        <v>46569</v>
      </c>
      <c r="O2722" t="s">
        <v>46570</v>
      </c>
      <c r="P2722">
        <v>0</v>
      </c>
      <c r="Q2722">
        <v>1</v>
      </c>
      <c r="R2722" t="s">
        <v>46572</v>
      </c>
      <c r="S2722" t="s">
        <v>46689</v>
      </c>
      <c r="T2722" t="s">
        <v>48312</v>
      </c>
      <c r="U2722" t="s">
        <v>51048</v>
      </c>
      <c r="V2722" t="s">
        <v>61895</v>
      </c>
      <c r="W2722" t="s">
        <v>43710</v>
      </c>
      <c r="X2722" t="s">
        <v>46573</v>
      </c>
    </row>
    <row r="2723" spans="1:24">
      <c r="A2723">
        <f>HYPERLINK("https://www.philgeps.gov.ph/GEPSNONPILOT/Tender/SplashBidNoticeAbstractUI.aspx?menuIndex=3&amp;refID=7061829&amp;Result=3","7061829")</f>
        <v>0</v>
      </c>
      <c r="B2723" t="s">
        <v>185</v>
      </c>
      <c r="C2723" t="s">
        <v>6166</v>
      </c>
      <c r="D2723" t="s">
        <v>18805</v>
      </c>
      <c r="E2723" t="s">
        <v>21383</v>
      </c>
      <c r="F2723" t="s">
        <v>32664</v>
      </c>
      <c r="G2723" t="s">
        <v>32671</v>
      </c>
      <c r="H2723" t="s">
        <v>12635</v>
      </c>
      <c r="I2723" t="s">
        <v>32694</v>
      </c>
      <c r="J2723" t="s">
        <v>34705</v>
      </c>
      <c r="K2723" t="s">
        <v>42283</v>
      </c>
      <c r="M2723" t="s">
        <v>42749</v>
      </c>
      <c r="N2723" t="s">
        <v>46569</v>
      </c>
      <c r="O2723" t="s">
        <v>46570</v>
      </c>
      <c r="P2723">
        <v>0</v>
      </c>
      <c r="Q2723">
        <v>0</v>
      </c>
      <c r="R2723" t="s">
        <v>46572</v>
      </c>
      <c r="S2723" t="s">
        <v>46689</v>
      </c>
      <c r="T2723" t="s">
        <v>48219</v>
      </c>
      <c r="U2723" t="s">
        <v>51049</v>
      </c>
      <c r="W2723" t="s">
        <v>42749</v>
      </c>
      <c r="X2723" t="s">
        <v>46573</v>
      </c>
    </row>
    <row r="2724" spans="1:24">
      <c r="A2724">
        <f>HYPERLINK("https://www.philgeps.gov.ph/GEPSNONPILOT/Tender/SplashBidNoticeAbstractUI.aspx?menuIndex=3&amp;refID=7061779&amp;Result=3","7061779")</f>
        <v>0</v>
      </c>
      <c r="B2724" t="s">
        <v>1085</v>
      </c>
      <c r="C2724" t="s">
        <v>6167</v>
      </c>
      <c r="D2724" t="s">
        <v>18851</v>
      </c>
      <c r="E2724" t="s">
        <v>21384</v>
      </c>
      <c r="F2724" t="s">
        <v>32664</v>
      </c>
      <c r="G2724" t="s">
        <v>32672</v>
      </c>
      <c r="H2724" t="s">
        <v>12635</v>
      </c>
      <c r="I2724" t="s">
        <v>5589</v>
      </c>
      <c r="J2724" t="s">
        <v>34706</v>
      </c>
      <c r="K2724" t="s">
        <v>42281</v>
      </c>
      <c r="M2724" t="s">
        <v>43711</v>
      </c>
      <c r="N2724" t="s">
        <v>46569</v>
      </c>
      <c r="O2724" t="s">
        <v>46570</v>
      </c>
      <c r="P2724">
        <v>0</v>
      </c>
      <c r="Q2724">
        <v>0</v>
      </c>
      <c r="R2724" t="s">
        <v>46572</v>
      </c>
      <c r="S2724" t="s">
        <v>46689</v>
      </c>
      <c r="T2724" t="s">
        <v>48230</v>
      </c>
      <c r="U2724" t="s">
        <v>51050</v>
      </c>
      <c r="W2724" t="s">
        <v>43711</v>
      </c>
      <c r="X2724" t="s">
        <v>46573</v>
      </c>
    </row>
    <row r="2725" spans="1:24">
      <c r="A2725">
        <f>HYPERLINK("https://www.philgeps.gov.ph/GEPSNONPILOT/Tender/SplashBidNoticeAbstractUI.aspx?menuIndex=3&amp;refID=7061760&amp;Result=3","7061760")</f>
        <v>0</v>
      </c>
      <c r="B2725" t="s">
        <v>529</v>
      </c>
      <c r="C2725" t="s">
        <v>6168</v>
      </c>
      <c r="D2725" t="s">
        <v>18784</v>
      </c>
      <c r="E2725" t="s">
        <v>21385</v>
      </c>
      <c r="F2725" t="s">
        <v>32664</v>
      </c>
      <c r="G2725" t="s">
        <v>32671</v>
      </c>
      <c r="H2725" t="s">
        <v>12635</v>
      </c>
      <c r="I2725" t="s">
        <v>6168</v>
      </c>
      <c r="J2725" t="s">
        <v>34707</v>
      </c>
      <c r="K2725" t="s">
        <v>42283</v>
      </c>
      <c r="M2725" t="s">
        <v>43116</v>
      </c>
      <c r="N2725" t="s">
        <v>46569</v>
      </c>
      <c r="O2725" t="s">
        <v>46570</v>
      </c>
      <c r="P2725">
        <v>0</v>
      </c>
      <c r="Q2725">
        <v>6</v>
      </c>
      <c r="R2725" t="s">
        <v>46572</v>
      </c>
      <c r="S2725" t="s">
        <v>46689</v>
      </c>
      <c r="T2725" t="s">
        <v>48251</v>
      </c>
      <c r="U2725" t="s">
        <v>51051</v>
      </c>
      <c r="V2725" t="s">
        <v>61748</v>
      </c>
      <c r="W2725" t="s">
        <v>43116</v>
      </c>
      <c r="X2725" t="s">
        <v>46573</v>
      </c>
    </row>
    <row r="2726" spans="1:24">
      <c r="A2726">
        <f>HYPERLINK("https://www.philgeps.gov.ph/GEPSNONPILOT/Tender/SplashBidNoticeAbstractUI.aspx?menuIndex=3&amp;refID=7061825&amp;Result=3","7061825")</f>
        <v>0</v>
      </c>
      <c r="B2726" t="s">
        <v>1086</v>
      </c>
      <c r="C2726" t="s">
        <v>6169</v>
      </c>
      <c r="D2726" t="s">
        <v>18792</v>
      </c>
      <c r="E2726" t="s">
        <v>18889</v>
      </c>
      <c r="F2726" t="s">
        <v>32664</v>
      </c>
      <c r="G2726" t="s">
        <v>32672</v>
      </c>
      <c r="H2726" t="s">
        <v>32683</v>
      </c>
      <c r="I2726" t="s">
        <v>10627</v>
      </c>
      <c r="J2726" t="s">
        <v>33111</v>
      </c>
      <c r="K2726" t="s">
        <v>42316</v>
      </c>
      <c r="M2726" t="s">
        <v>43712</v>
      </c>
      <c r="N2726" t="s">
        <v>46569</v>
      </c>
      <c r="O2726" t="s">
        <v>46570</v>
      </c>
      <c r="P2726">
        <v>0</v>
      </c>
      <c r="Q2726">
        <v>0</v>
      </c>
      <c r="R2726" t="s">
        <v>46572</v>
      </c>
      <c r="S2726" t="s">
        <v>46689</v>
      </c>
      <c r="T2726" t="s">
        <v>48285</v>
      </c>
      <c r="U2726" t="s">
        <v>51052</v>
      </c>
      <c r="W2726" t="s">
        <v>43712</v>
      </c>
      <c r="X2726" t="s">
        <v>46573</v>
      </c>
    </row>
    <row r="2727" spans="1:24">
      <c r="A2727">
        <f>HYPERLINK("https://www.philgeps.gov.ph/GEPSNONPILOT/Tender/SplashBidNoticeAbstractUI.aspx?menuIndex=3&amp;refID=7061830&amp;Result=3","7061830")</f>
        <v>0</v>
      </c>
      <c r="B2727" t="s">
        <v>1087</v>
      </c>
      <c r="C2727" t="s">
        <v>6170</v>
      </c>
      <c r="D2727" t="s">
        <v>18792</v>
      </c>
      <c r="E2727" t="s">
        <v>19790</v>
      </c>
      <c r="F2727" t="s">
        <v>32664</v>
      </c>
      <c r="G2727" t="s">
        <v>32671</v>
      </c>
      <c r="H2727" t="s">
        <v>12635</v>
      </c>
      <c r="I2727" t="s">
        <v>32696</v>
      </c>
      <c r="J2727" t="s">
        <v>33888</v>
      </c>
      <c r="K2727" t="s">
        <v>42289</v>
      </c>
      <c r="M2727" t="s">
        <v>43713</v>
      </c>
      <c r="N2727" t="s">
        <v>46569</v>
      </c>
      <c r="O2727" t="s">
        <v>46570</v>
      </c>
      <c r="P2727">
        <v>0</v>
      </c>
      <c r="Q2727">
        <v>3</v>
      </c>
      <c r="R2727" t="s">
        <v>46572</v>
      </c>
      <c r="S2727" t="s">
        <v>46689</v>
      </c>
      <c r="T2727" t="s">
        <v>48258</v>
      </c>
      <c r="U2727" t="s">
        <v>50477</v>
      </c>
      <c r="W2727" t="s">
        <v>43713</v>
      </c>
      <c r="X2727" t="s">
        <v>46573</v>
      </c>
    </row>
    <row r="2728" spans="1:24">
      <c r="A2728">
        <f>HYPERLINK("https://www.philgeps.gov.ph/GEPSNONPILOT/Tender/SplashBidNoticeAbstractUI.aspx?menuIndex=3&amp;refID=7061823&amp;Result=3","7061823")</f>
        <v>0</v>
      </c>
      <c r="B2728" t="s">
        <v>1088</v>
      </c>
      <c r="C2728" t="s">
        <v>6171</v>
      </c>
      <c r="D2728" t="s">
        <v>18804</v>
      </c>
      <c r="E2728" t="s">
        <v>21386</v>
      </c>
      <c r="F2728" t="s">
        <v>32664</v>
      </c>
      <c r="G2728" t="s">
        <v>32672</v>
      </c>
      <c r="H2728" t="s">
        <v>32683</v>
      </c>
      <c r="I2728" t="s">
        <v>10627</v>
      </c>
      <c r="J2728" t="s">
        <v>34708</v>
      </c>
      <c r="K2728" t="s">
        <v>42397</v>
      </c>
      <c r="M2728" t="s">
        <v>43714</v>
      </c>
      <c r="N2728" t="s">
        <v>46569</v>
      </c>
      <c r="O2728" t="s">
        <v>46570</v>
      </c>
      <c r="P2728">
        <v>0</v>
      </c>
      <c r="Q2728">
        <v>0</v>
      </c>
      <c r="R2728" t="s">
        <v>46572</v>
      </c>
      <c r="S2728" t="s">
        <v>46689</v>
      </c>
      <c r="T2728" t="s">
        <v>48220</v>
      </c>
      <c r="U2728" t="s">
        <v>51053</v>
      </c>
      <c r="V2728" t="s">
        <v>61896</v>
      </c>
      <c r="W2728" t="s">
        <v>43714</v>
      </c>
      <c r="X2728" t="s">
        <v>46573</v>
      </c>
    </row>
    <row r="2729" spans="1:24">
      <c r="A2729">
        <f>HYPERLINK("https://www.philgeps.gov.ph/GEPSNONPILOT/Tender/SplashBidNoticeAbstractUI.aspx?menuIndex=3&amp;refID=7061827&amp;Result=3","7061827")</f>
        <v>0</v>
      </c>
      <c r="B2729" t="s">
        <v>1089</v>
      </c>
      <c r="C2729" t="s">
        <v>6172</v>
      </c>
      <c r="D2729" t="s">
        <v>18814</v>
      </c>
      <c r="E2729" t="s">
        <v>21387</v>
      </c>
      <c r="F2729" t="s">
        <v>32664</v>
      </c>
      <c r="G2729" t="s">
        <v>32674</v>
      </c>
      <c r="H2729" t="s">
        <v>12635</v>
      </c>
      <c r="I2729" t="s">
        <v>14442</v>
      </c>
      <c r="J2729" t="s">
        <v>34709</v>
      </c>
      <c r="K2729" t="s">
        <v>42289</v>
      </c>
      <c r="M2729" t="s">
        <v>43715</v>
      </c>
      <c r="N2729" t="s">
        <v>46569</v>
      </c>
      <c r="O2729" t="s">
        <v>46570</v>
      </c>
      <c r="P2729">
        <v>0</v>
      </c>
      <c r="Q2729">
        <v>9</v>
      </c>
      <c r="R2729" t="s">
        <v>46572</v>
      </c>
      <c r="S2729" t="s">
        <v>46689</v>
      </c>
      <c r="T2729" t="s">
        <v>48427</v>
      </c>
      <c r="U2729" t="s">
        <v>51054</v>
      </c>
      <c r="W2729" t="s">
        <v>43715</v>
      </c>
      <c r="X2729" t="s">
        <v>46573</v>
      </c>
    </row>
    <row r="2730" spans="1:24">
      <c r="A2730">
        <f>HYPERLINK("https://www.philgeps.gov.ph/GEPSNONPILOT/Tender/SplashBidNoticeAbstractUI.aspx?menuIndex=3&amp;refID=7061819&amp;Result=3","7061819")</f>
        <v>0</v>
      </c>
      <c r="B2730" t="s">
        <v>535</v>
      </c>
      <c r="C2730" t="s">
        <v>6173</v>
      </c>
      <c r="D2730" t="s">
        <v>18834</v>
      </c>
      <c r="E2730" t="s">
        <v>21388</v>
      </c>
      <c r="F2730" t="s">
        <v>32664</v>
      </c>
      <c r="G2730" t="s">
        <v>32671</v>
      </c>
      <c r="H2730" t="s">
        <v>12635</v>
      </c>
      <c r="I2730" t="s">
        <v>5589</v>
      </c>
      <c r="J2730" t="s">
        <v>32853</v>
      </c>
      <c r="K2730" t="s">
        <v>42289</v>
      </c>
      <c r="M2730" t="s">
        <v>43113</v>
      </c>
      <c r="N2730" t="s">
        <v>46569</v>
      </c>
      <c r="O2730" t="s">
        <v>46570</v>
      </c>
      <c r="P2730">
        <v>0</v>
      </c>
      <c r="Q2730">
        <v>0</v>
      </c>
      <c r="R2730" t="s">
        <v>46572</v>
      </c>
      <c r="S2730" t="s">
        <v>46689</v>
      </c>
      <c r="T2730" t="s">
        <v>48219</v>
      </c>
      <c r="U2730" t="s">
        <v>49736</v>
      </c>
      <c r="W2730" t="s">
        <v>63481</v>
      </c>
      <c r="X2730" t="s">
        <v>46573</v>
      </c>
    </row>
    <row r="2731" spans="1:24">
      <c r="A2731">
        <f>HYPERLINK("https://www.philgeps.gov.ph/GEPSNONPILOT/Tender/SplashBidNoticeAbstractUI.aspx?menuIndex=3&amp;refID=7061826&amp;Result=3","7061826")</f>
        <v>0</v>
      </c>
      <c r="B2731" t="s">
        <v>284</v>
      </c>
      <c r="C2731" t="s">
        <v>6174</v>
      </c>
      <c r="D2731" t="s">
        <v>18842</v>
      </c>
      <c r="E2731" t="s">
        <v>19701</v>
      </c>
      <c r="F2731" t="s">
        <v>32664</v>
      </c>
      <c r="G2731" t="s">
        <v>32671</v>
      </c>
      <c r="H2731" t="s">
        <v>12635</v>
      </c>
      <c r="I2731" t="s">
        <v>5589</v>
      </c>
      <c r="J2731" t="s">
        <v>33267</v>
      </c>
      <c r="K2731" t="s">
        <v>42289</v>
      </c>
      <c r="M2731" t="s">
        <v>42849</v>
      </c>
      <c r="N2731" t="s">
        <v>46569</v>
      </c>
      <c r="O2731" t="s">
        <v>46570</v>
      </c>
      <c r="P2731">
        <v>0</v>
      </c>
      <c r="Q2731">
        <v>5</v>
      </c>
      <c r="R2731" t="s">
        <v>46572</v>
      </c>
      <c r="S2731" t="s">
        <v>46689</v>
      </c>
      <c r="T2731" t="s">
        <v>48256</v>
      </c>
      <c r="U2731" t="s">
        <v>51055</v>
      </c>
      <c r="W2731" t="s">
        <v>42849</v>
      </c>
      <c r="X2731" t="s">
        <v>46573</v>
      </c>
    </row>
    <row r="2732" spans="1:24">
      <c r="A2732">
        <f>HYPERLINK("https://www.philgeps.gov.ph/GEPSNONPILOT/Tender/SplashBidNoticeAbstractUI.aspx?menuIndex=3&amp;refID=7061818&amp;Result=3","7061818")</f>
        <v>0</v>
      </c>
      <c r="B2732" t="s">
        <v>1090</v>
      </c>
      <c r="C2732" t="s">
        <v>6175</v>
      </c>
      <c r="D2732" t="s">
        <v>18860</v>
      </c>
      <c r="E2732" t="s">
        <v>21389</v>
      </c>
      <c r="F2732" t="s">
        <v>32664</v>
      </c>
      <c r="G2732" t="s">
        <v>32671</v>
      </c>
      <c r="H2732" t="s">
        <v>12635</v>
      </c>
      <c r="I2732" t="s">
        <v>6628</v>
      </c>
      <c r="J2732" t="s">
        <v>32898</v>
      </c>
      <c r="K2732" t="s">
        <v>42281</v>
      </c>
      <c r="M2732" t="s">
        <v>43716</v>
      </c>
      <c r="N2732" t="s">
        <v>46569</v>
      </c>
      <c r="O2732" t="s">
        <v>46570</v>
      </c>
      <c r="P2732">
        <v>0</v>
      </c>
      <c r="Q2732">
        <v>3</v>
      </c>
      <c r="R2732" t="s">
        <v>46572</v>
      </c>
      <c r="S2732" t="s">
        <v>46689</v>
      </c>
      <c r="T2732" t="s">
        <v>48217</v>
      </c>
      <c r="U2732" t="s">
        <v>51056</v>
      </c>
      <c r="W2732" t="s">
        <v>43716</v>
      </c>
      <c r="X2732" t="s">
        <v>46573</v>
      </c>
    </row>
    <row r="2733" spans="1:24">
      <c r="A2733">
        <f>HYPERLINK("https://www.philgeps.gov.ph/GEPSNONPILOT/Tender/SplashBidNoticeAbstractUI.aspx?menuIndex=3&amp;refID=7061860&amp;Result=3","7061860")</f>
        <v>0</v>
      </c>
      <c r="B2733" t="s">
        <v>549</v>
      </c>
      <c r="C2733" t="s">
        <v>6176</v>
      </c>
      <c r="D2733" t="s">
        <v>18781</v>
      </c>
      <c r="E2733" t="s">
        <v>21390</v>
      </c>
      <c r="F2733" t="s">
        <v>32664</v>
      </c>
      <c r="G2733" t="s">
        <v>32671</v>
      </c>
      <c r="H2733" t="s">
        <v>12635</v>
      </c>
      <c r="I2733" t="s">
        <v>32724</v>
      </c>
      <c r="J2733" t="s">
        <v>32842</v>
      </c>
      <c r="K2733" t="s">
        <v>42283</v>
      </c>
      <c r="M2733" t="s">
        <v>43129</v>
      </c>
      <c r="N2733" t="s">
        <v>46569</v>
      </c>
      <c r="O2733" t="s">
        <v>46570</v>
      </c>
      <c r="P2733">
        <v>0</v>
      </c>
      <c r="Q2733">
        <v>3</v>
      </c>
      <c r="R2733" t="s">
        <v>46572</v>
      </c>
      <c r="S2733" t="s">
        <v>46689</v>
      </c>
      <c r="T2733" t="s">
        <v>48249</v>
      </c>
      <c r="U2733" t="s">
        <v>51057</v>
      </c>
      <c r="W2733" t="s">
        <v>43129</v>
      </c>
      <c r="X2733" t="s">
        <v>46573</v>
      </c>
    </row>
    <row r="2734" spans="1:24">
      <c r="A2734">
        <f>HYPERLINK("https://www.philgeps.gov.ph/GEPSNONPILOT/Tender/SplashBidNoticeAbstractUI.aspx?menuIndex=3&amp;refID=7061822&amp;Result=3","7061822")</f>
        <v>0</v>
      </c>
      <c r="B2734" t="s">
        <v>755</v>
      </c>
      <c r="C2734" t="s">
        <v>6177</v>
      </c>
      <c r="D2734" t="s">
        <v>18818</v>
      </c>
      <c r="E2734" t="s">
        <v>21391</v>
      </c>
      <c r="F2734" t="s">
        <v>32664</v>
      </c>
      <c r="G2734" t="s">
        <v>32671</v>
      </c>
      <c r="H2734" t="s">
        <v>12635</v>
      </c>
      <c r="I2734" t="s">
        <v>7759</v>
      </c>
      <c r="J2734" t="s">
        <v>34268</v>
      </c>
      <c r="K2734" t="s">
        <v>42289</v>
      </c>
      <c r="M2734" t="s">
        <v>43345</v>
      </c>
      <c r="N2734" t="s">
        <v>46569</v>
      </c>
      <c r="O2734" t="s">
        <v>46570</v>
      </c>
      <c r="P2734">
        <v>0</v>
      </c>
      <c r="Q2734">
        <v>0</v>
      </c>
      <c r="R2734" t="s">
        <v>46572</v>
      </c>
      <c r="S2734" t="s">
        <v>46689</v>
      </c>
      <c r="T2734" t="s">
        <v>48221</v>
      </c>
      <c r="U2734" t="s">
        <v>51058</v>
      </c>
      <c r="W2734" t="s">
        <v>43345</v>
      </c>
      <c r="X2734" t="s">
        <v>46573</v>
      </c>
    </row>
    <row r="2735" spans="1:24">
      <c r="A2735">
        <f>HYPERLINK("https://www.philgeps.gov.ph/GEPSNONPILOT/Tender/SplashBidNoticeAbstractUI.aspx?menuIndex=3&amp;refID=7061855&amp;Result=3","7061855")</f>
        <v>0</v>
      </c>
      <c r="B2735" t="s">
        <v>1091</v>
      </c>
      <c r="C2735" t="s">
        <v>6178</v>
      </c>
      <c r="E2735" t="s">
        <v>19380</v>
      </c>
      <c r="F2735" t="s">
        <v>32664</v>
      </c>
      <c r="G2735" t="s">
        <v>32672</v>
      </c>
      <c r="H2735" t="s">
        <v>12635</v>
      </c>
      <c r="I2735" t="s">
        <v>4439</v>
      </c>
      <c r="J2735" t="s">
        <v>34710</v>
      </c>
      <c r="K2735" t="s">
        <v>42283</v>
      </c>
      <c r="M2735" t="s">
        <v>43717</v>
      </c>
      <c r="N2735" t="s">
        <v>46569</v>
      </c>
      <c r="O2735" t="s">
        <v>46570</v>
      </c>
      <c r="P2735">
        <v>0</v>
      </c>
      <c r="Q2735">
        <v>0</v>
      </c>
      <c r="R2735" t="s">
        <v>46572</v>
      </c>
      <c r="S2735" t="s">
        <v>46689</v>
      </c>
      <c r="T2735" t="s">
        <v>48319</v>
      </c>
      <c r="U2735" t="s">
        <v>51059</v>
      </c>
      <c r="W2735" t="s">
        <v>43717</v>
      </c>
      <c r="X2735" t="s">
        <v>46573</v>
      </c>
    </row>
    <row r="2736" spans="1:24">
      <c r="A2736">
        <f>HYPERLINK("https://www.philgeps.gov.ph/GEPSNONPILOT/Tender/SplashBidNoticeAbstractUI.aspx?menuIndex=3&amp;refID=7061854&amp;Result=3","7061854")</f>
        <v>0</v>
      </c>
      <c r="B2736" t="s">
        <v>1092</v>
      </c>
      <c r="C2736" t="s">
        <v>6179</v>
      </c>
      <c r="D2736" t="s">
        <v>18781</v>
      </c>
      <c r="E2736" t="s">
        <v>21392</v>
      </c>
      <c r="F2736" t="s">
        <v>32664</v>
      </c>
      <c r="G2736" t="s">
        <v>32671</v>
      </c>
      <c r="H2736" t="s">
        <v>12635</v>
      </c>
      <c r="I2736" t="s">
        <v>32685</v>
      </c>
      <c r="J2736" t="s">
        <v>34711</v>
      </c>
      <c r="K2736" t="s">
        <v>42297</v>
      </c>
      <c r="M2736" t="s">
        <v>43718</v>
      </c>
      <c r="N2736" t="s">
        <v>46569</v>
      </c>
      <c r="O2736" t="s">
        <v>46570</v>
      </c>
      <c r="P2736">
        <v>0</v>
      </c>
      <c r="Q2736">
        <v>2</v>
      </c>
      <c r="R2736" t="s">
        <v>46572</v>
      </c>
      <c r="S2736" t="s">
        <v>46689</v>
      </c>
      <c r="T2736" t="s">
        <v>48246</v>
      </c>
      <c r="U2736" t="s">
        <v>51060</v>
      </c>
      <c r="W2736" t="s">
        <v>43718</v>
      </c>
      <c r="X2736" t="s">
        <v>46573</v>
      </c>
    </row>
    <row r="2737" spans="1:24">
      <c r="A2737">
        <f>HYPERLINK("https://www.philgeps.gov.ph/GEPSNONPILOT/Tender/SplashBidNoticeAbstractUI.aspx?menuIndex=3&amp;refID=7061799&amp;Result=3","7061799")</f>
        <v>0</v>
      </c>
      <c r="B2737" t="s">
        <v>60</v>
      </c>
      <c r="C2737" t="s">
        <v>6180</v>
      </c>
      <c r="D2737" t="s">
        <v>18808</v>
      </c>
      <c r="E2737" t="s">
        <v>18980</v>
      </c>
      <c r="F2737" t="s">
        <v>32664</v>
      </c>
      <c r="G2737" t="s">
        <v>32671</v>
      </c>
      <c r="H2737" t="s">
        <v>12635</v>
      </c>
      <c r="I2737" t="s">
        <v>6628</v>
      </c>
      <c r="J2737" t="s">
        <v>32917</v>
      </c>
      <c r="K2737" t="s">
        <v>42281</v>
      </c>
      <c r="M2737" t="s">
        <v>42622</v>
      </c>
      <c r="N2737" t="s">
        <v>46569</v>
      </c>
      <c r="O2737" t="s">
        <v>46570</v>
      </c>
      <c r="P2737">
        <v>0</v>
      </c>
      <c r="Q2737">
        <v>1</v>
      </c>
      <c r="R2737" t="s">
        <v>46572</v>
      </c>
      <c r="S2737" t="s">
        <v>46689</v>
      </c>
      <c r="T2737" t="s">
        <v>48221</v>
      </c>
      <c r="U2737" t="s">
        <v>51061</v>
      </c>
      <c r="W2737" t="s">
        <v>42622</v>
      </c>
      <c r="X2737" t="s">
        <v>46573</v>
      </c>
    </row>
    <row r="2738" spans="1:24">
      <c r="A2738">
        <f>HYPERLINK("https://www.philgeps.gov.ph/GEPSNONPILOT/Tender/SplashBidNoticeAbstractUI.aspx?menuIndex=3&amp;refID=7061820&amp;Result=3","7061820")</f>
        <v>0</v>
      </c>
      <c r="B2738" t="s">
        <v>101</v>
      </c>
      <c r="C2738" t="s">
        <v>6181</v>
      </c>
      <c r="D2738" t="s">
        <v>18784</v>
      </c>
      <c r="E2738" t="s">
        <v>21393</v>
      </c>
      <c r="F2738" t="s">
        <v>32664</v>
      </c>
      <c r="G2738" t="s">
        <v>32671</v>
      </c>
      <c r="H2738" t="s">
        <v>12635</v>
      </c>
      <c r="I2738" t="s">
        <v>32685</v>
      </c>
      <c r="J2738" t="s">
        <v>33191</v>
      </c>
      <c r="K2738" t="s">
        <v>42289</v>
      </c>
      <c r="M2738" t="s">
        <v>43719</v>
      </c>
      <c r="N2738" t="s">
        <v>46569</v>
      </c>
      <c r="O2738" t="s">
        <v>46570</v>
      </c>
      <c r="P2738">
        <v>0</v>
      </c>
      <c r="Q2738">
        <v>3</v>
      </c>
      <c r="R2738" t="s">
        <v>46572</v>
      </c>
      <c r="S2738" t="s">
        <v>46689</v>
      </c>
      <c r="T2738" t="s">
        <v>48331</v>
      </c>
      <c r="U2738" t="s">
        <v>51062</v>
      </c>
      <c r="W2738" t="s">
        <v>43719</v>
      </c>
      <c r="X2738" t="s">
        <v>46573</v>
      </c>
    </row>
    <row r="2739" spans="1:24">
      <c r="A2739">
        <f>HYPERLINK("https://www.philgeps.gov.ph/GEPSNONPILOT/Tender/SplashBidNoticeAbstractUI.aspx?menuIndex=3&amp;refID=7061853&amp;Result=3","7061853")</f>
        <v>0</v>
      </c>
      <c r="B2739" t="s">
        <v>903</v>
      </c>
      <c r="C2739" t="s">
        <v>6182</v>
      </c>
      <c r="D2739" t="s">
        <v>18786</v>
      </c>
      <c r="E2739" t="s">
        <v>21394</v>
      </c>
      <c r="F2739" t="s">
        <v>32664</v>
      </c>
      <c r="G2739" t="s">
        <v>32671</v>
      </c>
      <c r="H2739" t="s">
        <v>12635</v>
      </c>
      <c r="I2739" t="s">
        <v>32691</v>
      </c>
      <c r="J2739" t="s">
        <v>33251</v>
      </c>
      <c r="K2739" t="s">
        <v>42295</v>
      </c>
      <c r="M2739" t="s">
        <v>43507</v>
      </c>
      <c r="N2739" t="s">
        <v>46569</v>
      </c>
      <c r="O2739" t="s">
        <v>46570</v>
      </c>
      <c r="P2739">
        <v>0</v>
      </c>
      <c r="Q2739">
        <v>2</v>
      </c>
      <c r="R2739" t="s">
        <v>46572</v>
      </c>
      <c r="S2739" t="s">
        <v>46689</v>
      </c>
      <c r="T2739" t="s">
        <v>48221</v>
      </c>
      <c r="U2739" t="s">
        <v>51063</v>
      </c>
      <c r="W2739" t="s">
        <v>43507</v>
      </c>
      <c r="X2739" t="s">
        <v>46573</v>
      </c>
    </row>
    <row r="2740" spans="1:24">
      <c r="A2740">
        <f>HYPERLINK("https://www.philgeps.gov.ph/GEPSNONPILOT/Tender/SplashBidNoticeAbstractUI.aspx?menuIndex=3&amp;refID=7061817&amp;Result=3","7061817")</f>
        <v>0</v>
      </c>
      <c r="B2740" t="s">
        <v>1093</v>
      </c>
      <c r="C2740" t="s">
        <v>6183</v>
      </c>
      <c r="D2740" t="s">
        <v>18784</v>
      </c>
      <c r="E2740" t="s">
        <v>21395</v>
      </c>
      <c r="F2740" t="s">
        <v>32664</v>
      </c>
      <c r="G2740" t="s">
        <v>32671</v>
      </c>
      <c r="H2740" t="s">
        <v>12635</v>
      </c>
      <c r="I2740" t="s">
        <v>9486</v>
      </c>
      <c r="J2740" t="s">
        <v>33196</v>
      </c>
      <c r="K2740" t="s">
        <v>42289</v>
      </c>
      <c r="M2740" t="s">
        <v>43720</v>
      </c>
      <c r="N2740" t="s">
        <v>46569</v>
      </c>
      <c r="O2740" t="s">
        <v>46570</v>
      </c>
      <c r="P2740">
        <v>0</v>
      </c>
      <c r="Q2740">
        <v>1</v>
      </c>
      <c r="R2740" t="s">
        <v>46572</v>
      </c>
      <c r="S2740" t="s">
        <v>46689</v>
      </c>
      <c r="T2740" t="s">
        <v>48244</v>
      </c>
      <c r="U2740" t="s">
        <v>51064</v>
      </c>
      <c r="V2740" t="s">
        <v>61652</v>
      </c>
      <c r="W2740" t="s">
        <v>43720</v>
      </c>
      <c r="X2740" t="s">
        <v>46573</v>
      </c>
    </row>
    <row r="2741" spans="1:24">
      <c r="A2741">
        <f>HYPERLINK("https://www.philgeps.gov.ph/GEPSNONPILOT/Tender/SplashBidNoticeAbstractUI.aspx?menuIndex=3&amp;refID=7061848&amp;Result=3","7061848")</f>
        <v>0</v>
      </c>
      <c r="B2741" t="s">
        <v>806</v>
      </c>
      <c r="C2741" t="s">
        <v>6184</v>
      </c>
      <c r="D2741" t="s">
        <v>18858</v>
      </c>
      <c r="E2741" t="s">
        <v>21396</v>
      </c>
      <c r="F2741" t="s">
        <v>32664</v>
      </c>
      <c r="G2741" t="s">
        <v>32671</v>
      </c>
      <c r="H2741" t="s">
        <v>12635</v>
      </c>
      <c r="I2741" t="s">
        <v>32699</v>
      </c>
      <c r="J2741" t="s">
        <v>34712</v>
      </c>
      <c r="K2741" t="s">
        <v>42295</v>
      </c>
      <c r="M2741" t="s">
        <v>43398</v>
      </c>
      <c r="N2741" t="s">
        <v>46569</v>
      </c>
      <c r="O2741" t="s">
        <v>46570</v>
      </c>
      <c r="P2741">
        <v>0</v>
      </c>
      <c r="Q2741">
        <v>0</v>
      </c>
      <c r="R2741" t="s">
        <v>46572</v>
      </c>
      <c r="S2741" t="s">
        <v>46689</v>
      </c>
      <c r="T2741" t="s">
        <v>48256</v>
      </c>
      <c r="U2741" t="s">
        <v>50323</v>
      </c>
      <c r="W2741" t="s">
        <v>43398</v>
      </c>
      <c r="X2741" t="s">
        <v>46573</v>
      </c>
    </row>
    <row r="2742" spans="1:24">
      <c r="A2742">
        <f>HYPERLINK("https://www.philgeps.gov.ph/GEPSNONPILOT/Tender/SplashBidNoticeAbstractUI.aspx?menuIndex=3&amp;refID=7061846&amp;Result=3","7061846")</f>
        <v>0</v>
      </c>
      <c r="B2742" t="s">
        <v>144</v>
      </c>
      <c r="C2742" t="s">
        <v>6185</v>
      </c>
      <c r="D2742" t="s">
        <v>18817</v>
      </c>
      <c r="E2742" t="s">
        <v>19180</v>
      </c>
      <c r="F2742" t="s">
        <v>32664</v>
      </c>
      <c r="G2742" t="s">
        <v>32675</v>
      </c>
      <c r="H2742" t="s">
        <v>12635</v>
      </c>
      <c r="I2742" t="s">
        <v>6168</v>
      </c>
      <c r="J2742" t="s">
        <v>34713</v>
      </c>
      <c r="K2742" t="s">
        <v>42309</v>
      </c>
      <c r="M2742" t="s">
        <v>42708</v>
      </c>
      <c r="N2742" t="s">
        <v>46569</v>
      </c>
      <c r="O2742" t="s">
        <v>46570</v>
      </c>
      <c r="P2742">
        <v>0</v>
      </c>
      <c r="Q2742">
        <v>0</v>
      </c>
      <c r="R2742" t="s">
        <v>46572</v>
      </c>
      <c r="S2742" t="s">
        <v>46689</v>
      </c>
      <c r="T2742" t="s">
        <v>48221</v>
      </c>
      <c r="U2742" t="s">
        <v>51065</v>
      </c>
      <c r="W2742" t="s">
        <v>42708</v>
      </c>
      <c r="X2742" t="s">
        <v>46573</v>
      </c>
    </row>
    <row r="2743" spans="1:24">
      <c r="A2743">
        <f>HYPERLINK("https://www.philgeps.gov.ph/GEPSNONPILOT/Tender/SplashBidNoticeAbstractUI.aspx?menuIndex=3&amp;refID=7061858&amp;Result=3","7061858")</f>
        <v>0</v>
      </c>
      <c r="B2743" t="s">
        <v>1088</v>
      </c>
      <c r="C2743" t="s">
        <v>6186</v>
      </c>
      <c r="D2743" t="s">
        <v>18804</v>
      </c>
      <c r="E2743" t="s">
        <v>21397</v>
      </c>
      <c r="F2743" t="s">
        <v>32664</v>
      </c>
      <c r="G2743" t="s">
        <v>32672</v>
      </c>
      <c r="H2743" t="s">
        <v>32683</v>
      </c>
      <c r="I2743" t="s">
        <v>10627</v>
      </c>
      <c r="J2743" t="s">
        <v>34714</v>
      </c>
      <c r="K2743" t="s">
        <v>42311</v>
      </c>
      <c r="M2743" t="s">
        <v>43714</v>
      </c>
      <c r="N2743" t="s">
        <v>46569</v>
      </c>
      <c r="O2743" t="s">
        <v>46570</v>
      </c>
      <c r="P2743">
        <v>0</v>
      </c>
      <c r="Q2743">
        <v>0</v>
      </c>
      <c r="R2743" t="s">
        <v>46572</v>
      </c>
      <c r="S2743" t="s">
        <v>46689</v>
      </c>
      <c r="T2743" t="s">
        <v>48220</v>
      </c>
      <c r="U2743" t="s">
        <v>51066</v>
      </c>
      <c r="V2743" t="s">
        <v>61896</v>
      </c>
      <c r="W2743" t="s">
        <v>43714</v>
      </c>
      <c r="X2743" t="s">
        <v>46573</v>
      </c>
    </row>
    <row r="2744" spans="1:24">
      <c r="A2744">
        <f>HYPERLINK("https://www.philgeps.gov.ph/GEPSNONPILOT/Tender/SplashBidNoticeAbstractUI.aspx?menuIndex=3&amp;refID=7061845&amp;Result=3","7061845")</f>
        <v>0</v>
      </c>
      <c r="B2744" t="s">
        <v>594</v>
      </c>
      <c r="C2744" t="s">
        <v>6187</v>
      </c>
      <c r="D2744" t="s">
        <v>18784</v>
      </c>
      <c r="E2744" t="s">
        <v>21398</v>
      </c>
      <c r="F2744" t="s">
        <v>32664</v>
      </c>
      <c r="G2744" t="s">
        <v>32674</v>
      </c>
      <c r="H2744" t="s">
        <v>12635</v>
      </c>
      <c r="I2744" t="s">
        <v>9486</v>
      </c>
      <c r="J2744" t="s">
        <v>34678</v>
      </c>
      <c r="K2744" t="s">
        <v>42297</v>
      </c>
      <c r="M2744" t="s">
        <v>43721</v>
      </c>
      <c r="N2744" t="s">
        <v>46569</v>
      </c>
      <c r="O2744" t="s">
        <v>46570</v>
      </c>
      <c r="P2744">
        <v>0</v>
      </c>
      <c r="Q2744">
        <v>2</v>
      </c>
      <c r="R2744" t="s">
        <v>46572</v>
      </c>
      <c r="S2744" t="s">
        <v>46689</v>
      </c>
      <c r="T2744" t="s">
        <v>48461</v>
      </c>
      <c r="U2744" t="s">
        <v>51067</v>
      </c>
      <c r="V2744" t="s">
        <v>61897</v>
      </c>
      <c r="W2744" t="s">
        <v>43721</v>
      </c>
      <c r="X2744" t="s">
        <v>46573</v>
      </c>
    </row>
    <row r="2745" spans="1:24">
      <c r="A2745">
        <f>HYPERLINK("https://www.philgeps.gov.ph/GEPSNONPILOT/Tender/SplashBidNoticeAbstractUI.aspx?menuIndex=3&amp;refID=7061849&amp;Result=3","7061849")</f>
        <v>0</v>
      </c>
      <c r="B2745" t="s">
        <v>1094</v>
      </c>
      <c r="C2745" t="s">
        <v>6188</v>
      </c>
      <c r="D2745" t="s">
        <v>18822</v>
      </c>
      <c r="E2745" t="s">
        <v>21399</v>
      </c>
      <c r="F2745" t="s">
        <v>32664</v>
      </c>
      <c r="G2745" t="s">
        <v>32674</v>
      </c>
      <c r="H2745" t="s">
        <v>12635</v>
      </c>
      <c r="I2745" t="s">
        <v>6223</v>
      </c>
      <c r="J2745" t="s">
        <v>34715</v>
      </c>
      <c r="K2745" t="s">
        <v>42284</v>
      </c>
      <c r="M2745" t="s">
        <v>43722</v>
      </c>
      <c r="N2745" t="s">
        <v>46569</v>
      </c>
      <c r="O2745" t="s">
        <v>46570</v>
      </c>
      <c r="P2745">
        <v>0</v>
      </c>
      <c r="Q2745">
        <v>1</v>
      </c>
      <c r="R2745" t="s">
        <v>46572</v>
      </c>
      <c r="S2745" t="s">
        <v>46689</v>
      </c>
      <c r="T2745" t="s">
        <v>48256</v>
      </c>
      <c r="U2745" t="s">
        <v>51068</v>
      </c>
      <c r="W2745" t="s">
        <v>43722</v>
      </c>
      <c r="X2745" t="s">
        <v>46573</v>
      </c>
    </row>
    <row r="2746" spans="1:24">
      <c r="A2746">
        <f>HYPERLINK("https://www.philgeps.gov.ph/GEPSNONPILOT/Tender/SplashBidNoticeAbstractUI.aspx?menuIndex=3&amp;refID=7061828&amp;Result=3","7061828")</f>
        <v>0</v>
      </c>
      <c r="B2746" t="s">
        <v>199</v>
      </c>
      <c r="C2746" t="s">
        <v>6154</v>
      </c>
      <c r="D2746" t="s">
        <v>18789</v>
      </c>
      <c r="E2746" t="s">
        <v>21400</v>
      </c>
      <c r="F2746" t="s">
        <v>32664</v>
      </c>
      <c r="G2746" t="s">
        <v>32671</v>
      </c>
      <c r="H2746" t="s">
        <v>12635</v>
      </c>
      <c r="I2746" t="s">
        <v>32719</v>
      </c>
      <c r="J2746" t="s">
        <v>34716</v>
      </c>
      <c r="K2746" t="s">
        <v>42303</v>
      </c>
      <c r="M2746" t="s">
        <v>43702</v>
      </c>
      <c r="N2746" t="s">
        <v>46569</v>
      </c>
      <c r="O2746" t="s">
        <v>46570</v>
      </c>
      <c r="P2746">
        <v>0</v>
      </c>
      <c r="Q2746">
        <v>3</v>
      </c>
      <c r="R2746" t="s">
        <v>46572</v>
      </c>
      <c r="S2746" t="s">
        <v>46689</v>
      </c>
      <c r="T2746" t="s">
        <v>48217</v>
      </c>
      <c r="U2746" t="s">
        <v>51069</v>
      </c>
      <c r="W2746" t="s">
        <v>43702</v>
      </c>
      <c r="X2746" t="s">
        <v>46573</v>
      </c>
    </row>
    <row r="2747" spans="1:24">
      <c r="A2747">
        <f>HYPERLINK("https://www.philgeps.gov.ph/GEPSNONPILOT/Tender/SplashBidNoticeAbstractUI.aspx?menuIndex=3&amp;refID=7061851&amp;Result=3","7061851")</f>
        <v>0</v>
      </c>
      <c r="B2747" t="s">
        <v>267</v>
      </c>
      <c r="C2747" t="s">
        <v>6189</v>
      </c>
      <c r="E2747" t="s">
        <v>21401</v>
      </c>
      <c r="F2747" t="s">
        <v>32664</v>
      </c>
      <c r="G2747" t="s">
        <v>32671</v>
      </c>
      <c r="H2747" t="s">
        <v>12635</v>
      </c>
      <c r="I2747" t="s">
        <v>6168</v>
      </c>
      <c r="J2747" t="s">
        <v>34717</v>
      </c>
      <c r="K2747" t="s">
        <v>42283</v>
      </c>
      <c r="M2747" t="s">
        <v>42832</v>
      </c>
      <c r="N2747" t="s">
        <v>46569</v>
      </c>
      <c r="O2747" t="s">
        <v>46570</v>
      </c>
      <c r="P2747">
        <v>0</v>
      </c>
      <c r="Q2747">
        <v>1</v>
      </c>
      <c r="R2747" t="s">
        <v>46572</v>
      </c>
      <c r="S2747" t="s">
        <v>46689</v>
      </c>
      <c r="T2747" t="s">
        <v>48219</v>
      </c>
      <c r="U2747" t="s">
        <v>51070</v>
      </c>
      <c r="W2747" t="s">
        <v>42832</v>
      </c>
      <c r="X2747" t="s">
        <v>46573</v>
      </c>
    </row>
    <row r="2748" spans="1:24">
      <c r="A2748">
        <f>HYPERLINK("https://www.philgeps.gov.ph/GEPSNONPILOT/Tender/SplashBidNoticeAbstractUI.aspx?menuIndex=3&amp;refID=7061883&amp;Result=3","7061883")</f>
        <v>0</v>
      </c>
      <c r="B2748" t="s">
        <v>845</v>
      </c>
      <c r="C2748" t="s">
        <v>6190</v>
      </c>
      <c r="D2748" t="s">
        <v>18824</v>
      </c>
      <c r="E2748" t="s">
        <v>21402</v>
      </c>
      <c r="F2748" t="s">
        <v>32664</v>
      </c>
      <c r="G2748" t="s">
        <v>32675</v>
      </c>
      <c r="H2748" t="s">
        <v>12635</v>
      </c>
      <c r="I2748" t="s">
        <v>4439</v>
      </c>
      <c r="J2748" t="s">
        <v>34718</v>
      </c>
      <c r="K2748" t="s">
        <v>42297</v>
      </c>
      <c r="M2748" t="s">
        <v>43441</v>
      </c>
      <c r="N2748" t="s">
        <v>46569</v>
      </c>
      <c r="O2748" t="s">
        <v>46570</v>
      </c>
      <c r="P2748">
        <v>0</v>
      </c>
      <c r="Q2748">
        <v>0</v>
      </c>
      <c r="R2748" t="s">
        <v>46572</v>
      </c>
      <c r="S2748" t="s">
        <v>46689</v>
      </c>
      <c r="T2748" t="s">
        <v>48219</v>
      </c>
      <c r="U2748" t="s">
        <v>51071</v>
      </c>
      <c r="W2748" t="s">
        <v>43441</v>
      </c>
      <c r="X2748" t="s">
        <v>46573</v>
      </c>
    </row>
    <row r="2749" spans="1:24">
      <c r="A2749">
        <f>HYPERLINK("https://www.philgeps.gov.ph/GEPSNONPILOT/Tender/SplashBidNoticeAbstractUI.aspx?menuIndex=3&amp;refID=7061847&amp;Result=3","7061847")</f>
        <v>0</v>
      </c>
      <c r="B2749" t="s">
        <v>1088</v>
      </c>
      <c r="C2749" t="s">
        <v>6191</v>
      </c>
      <c r="D2749" t="s">
        <v>18804</v>
      </c>
      <c r="E2749" t="s">
        <v>21403</v>
      </c>
      <c r="F2749" t="s">
        <v>32664</v>
      </c>
      <c r="G2749" t="s">
        <v>32672</v>
      </c>
      <c r="H2749" t="s">
        <v>32683</v>
      </c>
      <c r="I2749" t="s">
        <v>10627</v>
      </c>
      <c r="J2749" t="s">
        <v>34719</v>
      </c>
      <c r="K2749" t="s">
        <v>42311</v>
      </c>
      <c r="M2749" t="s">
        <v>43714</v>
      </c>
      <c r="N2749" t="s">
        <v>46569</v>
      </c>
      <c r="O2749" t="s">
        <v>46570</v>
      </c>
      <c r="Q2749">
        <v>0</v>
      </c>
      <c r="R2749" t="s">
        <v>46572</v>
      </c>
      <c r="S2749" t="s">
        <v>46694</v>
      </c>
      <c r="T2749" t="s">
        <v>48220</v>
      </c>
      <c r="U2749" t="s">
        <v>51072</v>
      </c>
      <c r="V2749" t="s">
        <v>61896</v>
      </c>
      <c r="W2749" t="s">
        <v>43714</v>
      </c>
      <c r="X2749" t="s">
        <v>46573</v>
      </c>
    </row>
    <row r="2750" spans="1:24">
      <c r="A2750">
        <f>HYPERLINK("https://www.philgeps.gov.ph/GEPSNONPILOT/Tender/SplashBidNoticeAbstractUI.aspx?menuIndex=3&amp;refID=7061887&amp;Result=3","7061887")</f>
        <v>0</v>
      </c>
      <c r="B2750" t="s">
        <v>1095</v>
      </c>
      <c r="C2750" t="s">
        <v>6192</v>
      </c>
      <c r="D2750" t="s">
        <v>18798</v>
      </c>
      <c r="E2750" t="s">
        <v>21404</v>
      </c>
      <c r="F2750" t="s">
        <v>32664</v>
      </c>
      <c r="G2750" t="s">
        <v>32671</v>
      </c>
      <c r="H2750" t="s">
        <v>12635</v>
      </c>
      <c r="I2750" t="s">
        <v>6223</v>
      </c>
      <c r="J2750" t="s">
        <v>34184</v>
      </c>
      <c r="K2750" t="s">
        <v>42281</v>
      </c>
      <c r="M2750" t="s">
        <v>42640</v>
      </c>
      <c r="N2750" t="s">
        <v>46569</v>
      </c>
      <c r="O2750" t="s">
        <v>46570</v>
      </c>
      <c r="P2750">
        <v>0</v>
      </c>
      <c r="Q2750">
        <v>0</v>
      </c>
      <c r="R2750" t="s">
        <v>46572</v>
      </c>
      <c r="S2750" t="s">
        <v>46689</v>
      </c>
      <c r="T2750" t="s">
        <v>48286</v>
      </c>
      <c r="U2750" t="s">
        <v>51073</v>
      </c>
      <c r="W2750" t="s">
        <v>42640</v>
      </c>
      <c r="X2750" t="s">
        <v>46573</v>
      </c>
    </row>
    <row r="2751" spans="1:24">
      <c r="A2751">
        <f>HYPERLINK("https://www.philgeps.gov.ph/GEPSNONPILOT/Tender/SplashBidNoticeAbstractUI.aspx?menuIndex=3&amp;refID=7061761&amp;Result=3","7061761")</f>
        <v>0</v>
      </c>
      <c r="B2751" t="s">
        <v>238</v>
      </c>
      <c r="C2751" t="s">
        <v>6193</v>
      </c>
      <c r="D2751" t="s">
        <v>18798</v>
      </c>
      <c r="E2751" t="s">
        <v>21405</v>
      </c>
      <c r="F2751" t="s">
        <v>32664</v>
      </c>
      <c r="G2751" t="s">
        <v>32675</v>
      </c>
      <c r="H2751" t="s">
        <v>32682</v>
      </c>
      <c r="I2751" t="s">
        <v>6223</v>
      </c>
      <c r="J2751" t="s">
        <v>34207</v>
      </c>
      <c r="K2751" t="s">
        <v>42295</v>
      </c>
      <c r="M2751" t="s">
        <v>43698</v>
      </c>
      <c r="N2751" t="s">
        <v>46569</v>
      </c>
      <c r="O2751" t="s">
        <v>46570</v>
      </c>
      <c r="P2751">
        <v>0</v>
      </c>
      <c r="Q2751">
        <v>0</v>
      </c>
      <c r="R2751" t="s">
        <v>46572</v>
      </c>
      <c r="S2751" t="s">
        <v>46689</v>
      </c>
      <c r="T2751" t="s">
        <v>48219</v>
      </c>
      <c r="U2751" t="s">
        <v>51074</v>
      </c>
      <c r="W2751" t="s">
        <v>43698</v>
      </c>
      <c r="X2751" t="s">
        <v>46573</v>
      </c>
    </row>
    <row r="2752" spans="1:24">
      <c r="A2752">
        <f>HYPERLINK("https://www.philgeps.gov.ph/GEPSNONPILOT/Tender/SplashBidNoticeAbstractUI.aspx?menuIndex=3&amp;refID=7061878&amp;Result=3","7061878")</f>
        <v>0</v>
      </c>
      <c r="B2752" t="s">
        <v>335</v>
      </c>
      <c r="C2752" t="s">
        <v>6194</v>
      </c>
      <c r="D2752" t="s">
        <v>18784</v>
      </c>
      <c r="E2752" t="s">
        <v>21406</v>
      </c>
      <c r="F2752" t="s">
        <v>32664</v>
      </c>
      <c r="G2752" t="s">
        <v>32671</v>
      </c>
      <c r="H2752" t="s">
        <v>12635</v>
      </c>
      <c r="I2752" t="s">
        <v>32704</v>
      </c>
      <c r="J2752" t="s">
        <v>34720</v>
      </c>
      <c r="K2752" t="s">
        <v>42281</v>
      </c>
      <c r="M2752" t="s">
        <v>42903</v>
      </c>
      <c r="N2752" t="s">
        <v>46569</v>
      </c>
      <c r="O2752" t="s">
        <v>46570</v>
      </c>
      <c r="P2752">
        <v>0</v>
      </c>
      <c r="Q2752">
        <v>5</v>
      </c>
      <c r="R2752" t="s">
        <v>46572</v>
      </c>
      <c r="S2752" t="s">
        <v>46689</v>
      </c>
      <c r="T2752" t="s">
        <v>48219</v>
      </c>
      <c r="U2752" t="s">
        <v>51022</v>
      </c>
      <c r="W2752" t="s">
        <v>42903</v>
      </c>
      <c r="X2752" t="s">
        <v>46573</v>
      </c>
    </row>
    <row r="2753" spans="1:24">
      <c r="A2753">
        <f>HYPERLINK("https://www.philgeps.gov.ph/GEPSNONPILOT/Tender/SplashBidNoticeAbstractUI.aspx?menuIndex=3&amp;refID=7061850&amp;Result=3","7061850")</f>
        <v>0</v>
      </c>
      <c r="B2753" t="s">
        <v>203</v>
      </c>
      <c r="C2753" t="s">
        <v>6195</v>
      </c>
      <c r="D2753" t="s">
        <v>18816</v>
      </c>
      <c r="E2753" t="s">
        <v>21407</v>
      </c>
      <c r="F2753" t="s">
        <v>32664</v>
      </c>
      <c r="G2753" t="s">
        <v>32671</v>
      </c>
      <c r="H2753" t="s">
        <v>12635</v>
      </c>
      <c r="I2753" t="s">
        <v>32704</v>
      </c>
      <c r="J2753" t="s">
        <v>33269</v>
      </c>
      <c r="K2753" t="s">
        <v>42281</v>
      </c>
      <c r="M2753" t="s">
        <v>43709</v>
      </c>
      <c r="N2753" t="s">
        <v>46569</v>
      </c>
      <c r="O2753" t="s">
        <v>46570</v>
      </c>
      <c r="P2753">
        <v>0</v>
      </c>
      <c r="Q2753">
        <v>6</v>
      </c>
      <c r="R2753" t="s">
        <v>46572</v>
      </c>
      <c r="S2753" t="s">
        <v>46689</v>
      </c>
      <c r="T2753" t="s">
        <v>48410</v>
      </c>
      <c r="U2753" t="s">
        <v>51075</v>
      </c>
      <c r="W2753" t="s">
        <v>43709</v>
      </c>
      <c r="X2753" t="s">
        <v>46573</v>
      </c>
    </row>
    <row r="2754" spans="1:24">
      <c r="A2754">
        <f>HYPERLINK("https://www.philgeps.gov.ph/GEPSNONPILOT/Tender/SplashBidNoticeAbstractUI.aspx?menuIndex=3&amp;refID=7061884&amp;Result=3","7061884")</f>
        <v>0</v>
      </c>
      <c r="B2754" t="s">
        <v>653</v>
      </c>
      <c r="C2754" t="s">
        <v>4928</v>
      </c>
      <c r="D2754" t="s">
        <v>18840</v>
      </c>
      <c r="E2754" t="s">
        <v>21408</v>
      </c>
      <c r="F2754" t="s">
        <v>32664</v>
      </c>
      <c r="G2754" t="s">
        <v>32675</v>
      </c>
      <c r="H2754" t="s">
        <v>12635</v>
      </c>
      <c r="I2754" t="s">
        <v>6628</v>
      </c>
      <c r="J2754" t="s">
        <v>34721</v>
      </c>
      <c r="K2754" t="s">
        <v>42289</v>
      </c>
      <c r="M2754" t="s">
        <v>43239</v>
      </c>
      <c r="N2754" t="s">
        <v>46569</v>
      </c>
      <c r="O2754" t="s">
        <v>46570</v>
      </c>
      <c r="P2754">
        <v>0</v>
      </c>
      <c r="Q2754">
        <v>1</v>
      </c>
      <c r="R2754" t="s">
        <v>46572</v>
      </c>
      <c r="S2754" t="s">
        <v>46689</v>
      </c>
      <c r="T2754" t="s">
        <v>48251</v>
      </c>
      <c r="U2754" t="s">
        <v>51076</v>
      </c>
      <c r="W2754" t="s">
        <v>43239</v>
      </c>
      <c r="X2754" t="s">
        <v>46573</v>
      </c>
    </row>
    <row r="2755" spans="1:24">
      <c r="A2755">
        <f>HYPERLINK("https://www.philgeps.gov.ph/GEPSNONPILOT/Tender/SplashBidNoticeAbstractUI.aspx?menuIndex=3&amp;refID=7061877&amp;Result=3","7061877")</f>
        <v>0</v>
      </c>
      <c r="B2755" t="s">
        <v>1088</v>
      </c>
      <c r="C2755" t="s">
        <v>6196</v>
      </c>
      <c r="D2755" t="s">
        <v>18804</v>
      </c>
      <c r="E2755" t="s">
        <v>21409</v>
      </c>
      <c r="F2755" t="s">
        <v>32664</v>
      </c>
      <c r="G2755" t="s">
        <v>32672</v>
      </c>
      <c r="H2755" t="s">
        <v>32683</v>
      </c>
      <c r="I2755" t="s">
        <v>10627</v>
      </c>
      <c r="J2755" t="s">
        <v>34722</v>
      </c>
      <c r="K2755" t="s">
        <v>42290</v>
      </c>
      <c r="M2755" t="s">
        <v>43714</v>
      </c>
      <c r="N2755" t="s">
        <v>46569</v>
      </c>
      <c r="O2755" t="s">
        <v>46570</v>
      </c>
      <c r="P2755">
        <v>0</v>
      </c>
      <c r="Q2755">
        <v>0</v>
      </c>
      <c r="R2755" t="s">
        <v>46572</v>
      </c>
      <c r="S2755" t="s">
        <v>46689</v>
      </c>
      <c r="T2755" t="s">
        <v>48220</v>
      </c>
      <c r="U2755" t="s">
        <v>51077</v>
      </c>
      <c r="V2755" t="s">
        <v>61896</v>
      </c>
      <c r="W2755" t="s">
        <v>43714</v>
      </c>
      <c r="X2755" t="s">
        <v>46573</v>
      </c>
    </row>
    <row r="2756" spans="1:24">
      <c r="A2756">
        <f>HYPERLINK("https://www.philgeps.gov.ph/GEPSNONPILOT/Tender/SplashBidNoticeAbstractUI.aspx?menuIndex=3&amp;refID=7061876&amp;Result=3","7061876")</f>
        <v>0</v>
      </c>
      <c r="B2756" t="s">
        <v>629</v>
      </c>
      <c r="C2756" t="s">
        <v>6197</v>
      </c>
      <c r="D2756" t="s">
        <v>18807</v>
      </c>
      <c r="E2756" t="s">
        <v>21410</v>
      </c>
      <c r="F2756" t="s">
        <v>32664</v>
      </c>
      <c r="G2756" t="s">
        <v>32674</v>
      </c>
      <c r="H2756" t="s">
        <v>12635</v>
      </c>
      <c r="I2756" t="s">
        <v>4997</v>
      </c>
      <c r="J2756" t="s">
        <v>34723</v>
      </c>
      <c r="K2756" t="s">
        <v>42283</v>
      </c>
      <c r="M2756" t="s">
        <v>43224</v>
      </c>
      <c r="N2756" t="s">
        <v>46569</v>
      </c>
      <c r="O2756" t="s">
        <v>46570</v>
      </c>
      <c r="P2756">
        <v>0</v>
      </c>
      <c r="Q2756">
        <v>2</v>
      </c>
      <c r="R2756" t="s">
        <v>46572</v>
      </c>
      <c r="S2756" t="s">
        <v>46689</v>
      </c>
      <c r="T2756" t="s">
        <v>48256</v>
      </c>
      <c r="U2756" t="s">
        <v>51078</v>
      </c>
      <c r="W2756" t="s">
        <v>43224</v>
      </c>
      <c r="X2756" t="s">
        <v>46573</v>
      </c>
    </row>
    <row r="2757" spans="1:24">
      <c r="A2757">
        <f>HYPERLINK("https://www.philgeps.gov.ph/GEPSNONPILOT/Tender/SplashBidNoticeAbstractUI.aspx?menuIndex=3&amp;refID=7061870&amp;Result=3","7061870")</f>
        <v>0</v>
      </c>
      <c r="B2757" t="s">
        <v>1096</v>
      </c>
      <c r="C2757" t="s">
        <v>6198</v>
      </c>
      <c r="D2757" t="s">
        <v>18807</v>
      </c>
      <c r="E2757" t="s">
        <v>21411</v>
      </c>
      <c r="F2757" t="s">
        <v>32664</v>
      </c>
      <c r="G2757" t="s">
        <v>32671</v>
      </c>
      <c r="H2757" t="s">
        <v>12635</v>
      </c>
      <c r="I2757" t="s">
        <v>4439</v>
      </c>
      <c r="J2757" t="s">
        <v>34724</v>
      </c>
      <c r="K2757" t="s">
        <v>42289</v>
      </c>
      <c r="M2757" t="s">
        <v>43723</v>
      </c>
      <c r="N2757" t="s">
        <v>46569</v>
      </c>
      <c r="O2757" t="s">
        <v>46570</v>
      </c>
      <c r="P2757">
        <v>0</v>
      </c>
      <c r="Q2757">
        <v>1</v>
      </c>
      <c r="R2757" t="s">
        <v>46572</v>
      </c>
      <c r="S2757" t="s">
        <v>46689</v>
      </c>
      <c r="T2757" t="s">
        <v>48221</v>
      </c>
      <c r="U2757" t="s">
        <v>51079</v>
      </c>
      <c r="W2757" t="s">
        <v>43723</v>
      </c>
      <c r="X2757" t="s">
        <v>46573</v>
      </c>
    </row>
    <row r="2758" spans="1:24">
      <c r="A2758">
        <f>HYPERLINK("https://www.philgeps.gov.ph/GEPSNONPILOT/Tender/SplashBidNoticeAbstractUI.aspx?menuIndex=3&amp;refID=7061889&amp;Result=3","7061889")</f>
        <v>0</v>
      </c>
      <c r="B2758" t="s">
        <v>144</v>
      </c>
      <c r="C2758" t="s">
        <v>6199</v>
      </c>
      <c r="D2758" t="s">
        <v>18817</v>
      </c>
      <c r="E2758" t="s">
        <v>19180</v>
      </c>
      <c r="F2758" t="s">
        <v>32664</v>
      </c>
      <c r="G2758" t="s">
        <v>32674</v>
      </c>
      <c r="H2758" t="s">
        <v>12635</v>
      </c>
      <c r="I2758" t="s">
        <v>10590</v>
      </c>
      <c r="J2758" t="s">
        <v>34725</v>
      </c>
      <c r="K2758" t="s">
        <v>42309</v>
      </c>
      <c r="M2758" t="s">
        <v>42708</v>
      </c>
      <c r="N2758" t="s">
        <v>46569</v>
      </c>
      <c r="O2758" t="s">
        <v>46570</v>
      </c>
      <c r="P2758">
        <v>0</v>
      </c>
      <c r="Q2758">
        <v>0</v>
      </c>
      <c r="R2758" t="s">
        <v>46572</v>
      </c>
      <c r="S2758" t="s">
        <v>46689</v>
      </c>
      <c r="T2758" t="s">
        <v>48221</v>
      </c>
      <c r="U2758" t="s">
        <v>51080</v>
      </c>
      <c r="W2758" t="s">
        <v>42708</v>
      </c>
      <c r="X2758" t="s">
        <v>46573</v>
      </c>
    </row>
    <row r="2759" spans="1:24">
      <c r="A2759">
        <f>HYPERLINK("https://www.philgeps.gov.ph/GEPSNONPILOT/Tender/SplashBidNoticeAbstractUI.aspx?menuIndex=3&amp;refID=7061880&amp;Result=3","7061880")</f>
        <v>0</v>
      </c>
      <c r="B2759" t="s">
        <v>422</v>
      </c>
      <c r="C2759" t="s">
        <v>6200</v>
      </c>
      <c r="D2759" t="s">
        <v>18847</v>
      </c>
      <c r="E2759" t="s">
        <v>21412</v>
      </c>
      <c r="F2759" t="s">
        <v>32664</v>
      </c>
      <c r="G2759" t="s">
        <v>32671</v>
      </c>
      <c r="H2759" t="s">
        <v>12635</v>
      </c>
      <c r="I2759" t="s">
        <v>32731</v>
      </c>
      <c r="J2759" t="s">
        <v>33391</v>
      </c>
      <c r="K2759" t="s">
        <v>42378</v>
      </c>
      <c r="M2759" t="s">
        <v>42993</v>
      </c>
      <c r="N2759" t="s">
        <v>46569</v>
      </c>
      <c r="O2759" t="s">
        <v>46570</v>
      </c>
      <c r="P2759">
        <v>0</v>
      </c>
      <c r="Q2759">
        <v>2</v>
      </c>
      <c r="R2759" t="s">
        <v>46572</v>
      </c>
      <c r="S2759" t="s">
        <v>46689</v>
      </c>
      <c r="T2759" t="s">
        <v>48462</v>
      </c>
      <c r="U2759" t="s">
        <v>51081</v>
      </c>
      <c r="W2759" t="s">
        <v>42993</v>
      </c>
      <c r="X2759" t="s">
        <v>46573</v>
      </c>
    </row>
    <row r="2760" spans="1:24">
      <c r="A2760">
        <f>HYPERLINK("https://www.philgeps.gov.ph/GEPSNONPILOT/Tender/SplashBidNoticeAbstractUI.aspx?menuIndex=3&amp;refID=7061879&amp;Result=3","7061879")</f>
        <v>0</v>
      </c>
      <c r="B2760" t="s">
        <v>392</v>
      </c>
      <c r="C2760" t="s">
        <v>6201</v>
      </c>
      <c r="D2760" t="s">
        <v>18801</v>
      </c>
      <c r="E2760" t="s">
        <v>21413</v>
      </c>
      <c r="F2760" t="s">
        <v>32664</v>
      </c>
      <c r="G2760" t="s">
        <v>32671</v>
      </c>
      <c r="H2760" t="s">
        <v>12635</v>
      </c>
      <c r="I2760" t="s">
        <v>6628</v>
      </c>
      <c r="J2760" t="s">
        <v>34726</v>
      </c>
      <c r="K2760" t="s">
        <v>42284</v>
      </c>
      <c r="M2760" t="s">
        <v>42962</v>
      </c>
      <c r="N2760" t="s">
        <v>46569</v>
      </c>
      <c r="O2760" t="s">
        <v>46570</v>
      </c>
      <c r="P2760">
        <v>0</v>
      </c>
      <c r="Q2760">
        <v>0</v>
      </c>
      <c r="R2760" t="s">
        <v>46572</v>
      </c>
      <c r="S2760" t="s">
        <v>46689</v>
      </c>
      <c r="T2760" t="s">
        <v>48217</v>
      </c>
      <c r="U2760" t="s">
        <v>51082</v>
      </c>
      <c r="V2760" t="s">
        <v>61714</v>
      </c>
      <c r="W2760" t="s">
        <v>42962</v>
      </c>
      <c r="X2760" t="s">
        <v>46573</v>
      </c>
    </row>
    <row r="2761" spans="1:24">
      <c r="A2761">
        <f>HYPERLINK("https://www.philgeps.gov.ph/GEPSNONPILOT/Tender/SplashBidNoticeAbstractUI.aspx?menuIndex=3&amp;refID=7061910&amp;Result=3","7061910")</f>
        <v>0</v>
      </c>
      <c r="B2761" t="s">
        <v>1097</v>
      </c>
      <c r="C2761" t="s">
        <v>6202</v>
      </c>
      <c r="D2761" t="s">
        <v>18791</v>
      </c>
      <c r="E2761" t="s">
        <v>21414</v>
      </c>
      <c r="F2761" t="s">
        <v>32664</v>
      </c>
      <c r="G2761" t="s">
        <v>32678</v>
      </c>
      <c r="H2761" t="s">
        <v>12635</v>
      </c>
      <c r="I2761" t="s">
        <v>32681</v>
      </c>
      <c r="J2761" t="s">
        <v>33177</v>
      </c>
      <c r="K2761" t="s">
        <v>42283</v>
      </c>
      <c r="M2761" t="s">
        <v>43724</v>
      </c>
      <c r="N2761" t="s">
        <v>46569</v>
      </c>
      <c r="O2761" t="s">
        <v>46570</v>
      </c>
      <c r="P2761">
        <v>0</v>
      </c>
      <c r="Q2761">
        <v>0</v>
      </c>
      <c r="R2761" t="s">
        <v>46572</v>
      </c>
      <c r="S2761" t="s">
        <v>46689</v>
      </c>
      <c r="T2761" t="s">
        <v>48268</v>
      </c>
      <c r="U2761" t="s">
        <v>51083</v>
      </c>
      <c r="W2761" t="s">
        <v>43724</v>
      </c>
      <c r="X2761" t="s">
        <v>46573</v>
      </c>
    </row>
    <row r="2762" spans="1:24">
      <c r="A2762">
        <f>HYPERLINK("https://www.philgeps.gov.ph/GEPSNONPILOT/Tender/SplashBidNoticeAbstractUI.aspx?menuIndex=3&amp;refID=7061909&amp;Result=3","7061909")</f>
        <v>0</v>
      </c>
      <c r="B2762" t="s">
        <v>1098</v>
      </c>
      <c r="C2762" t="s">
        <v>6203</v>
      </c>
      <c r="D2762" t="s">
        <v>18795</v>
      </c>
      <c r="E2762" t="s">
        <v>21415</v>
      </c>
      <c r="F2762" t="s">
        <v>32664</v>
      </c>
      <c r="G2762" t="s">
        <v>32671</v>
      </c>
      <c r="H2762" t="s">
        <v>12635</v>
      </c>
      <c r="I2762" t="s">
        <v>6168</v>
      </c>
      <c r="J2762" t="s">
        <v>33265</v>
      </c>
      <c r="K2762" t="s">
        <v>42284</v>
      </c>
      <c r="M2762" t="s">
        <v>43725</v>
      </c>
      <c r="N2762" t="s">
        <v>46569</v>
      </c>
      <c r="O2762" t="s">
        <v>46570</v>
      </c>
      <c r="P2762">
        <v>0</v>
      </c>
      <c r="Q2762">
        <v>2</v>
      </c>
      <c r="R2762" t="s">
        <v>46572</v>
      </c>
      <c r="S2762" t="s">
        <v>46689</v>
      </c>
      <c r="T2762" t="s">
        <v>48297</v>
      </c>
      <c r="U2762" t="s">
        <v>51084</v>
      </c>
      <c r="W2762" t="s">
        <v>43725</v>
      </c>
      <c r="X2762" t="s">
        <v>46573</v>
      </c>
    </row>
    <row r="2763" spans="1:24">
      <c r="A2763">
        <f>HYPERLINK("https://www.philgeps.gov.ph/GEPSNONPILOT/Tender/SplashBidNoticeAbstractUI.aspx?menuIndex=3&amp;refID=7061912&amp;Result=3","7061912")</f>
        <v>0</v>
      </c>
      <c r="B2763" t="s">
        <v>1099</v>
      </c>
      <c r="C2763" t="s">
        <v>6204</v>
      </c>
      <c r="D2763" t="s">
        <v>18781</v>
      </c>
      <c r="E2763" t="s">
        <v>21416</v>
      </c>
      <c r="F2763" t="s">
        <v>32664</v>
      </c>
      <c r="G2763" t="s">
        <v>32671</v>
      </c>
      <c r="H2763" t="s">
        <v>12635</v>
      </c>
      <c r="I2763" t="s">
        <v>4439</v>
      </c>
      <c r="J2763" t="s">
        <v>34727</v>
      </c>
      <c r="K2763" t="s">
        <v>42283</v>
      </c>
      <c r="M2763" t="s">
        <v>43726</v>
      </c>
      <c r="N2763" t="s">
        <v>46569</v>
      </c>
      <c r="O2763" t="s">
        <v>46570</v>
      </c>
      <c r="P2763">
        <v>0</v>
      </c>
      <c r="Q2763">
        <v>1</v>
      </c>
      <c r="R2763" t="s">
        <v>46572</v>
      </c>
      <c r="S2763" t="s">
        <v>46689</v>
      </c>
      <c r="T2763" t="s">
        <v>48410</v>
      </c>
      <c r="U2763" t="s">
        <v>51085</v>
      </c>
      <c r="W2763" t="s">
        <v>43726</v>
      </c>
      <c r="X2763" t="s">
        <v>46573</v>
      </c>
    </row>
    <row r="2764" spans="1:24">
      <c r="A2764">
        <f>HYPERLINK("https://www.philgeps.gov.ph/GEPSNONPILOT/Tender/SplashBidNoticeAbstractUI.aspx?menuIndex=3&amp;refID=7061881&amp;Result=3","7061881")</f>
        <v>0</v>
      </c>
      <c r="B2764" t="s">
        <v>1100</v>
      </c>
      <c r="C2764" t="s">
        <v>6205</v>
      </c>
      <c r="D2764" t="s">
        <v>18840</v>
      </c>
      <c r="E2764" t="s">
        <v>21417</v>
      </c>
      <c r="F2764" t="s">
        <v>32664</v>
      </c>
      <c r="G2764" t="s">
        <v>32671</v>
      </c>
      <c r="H2764" t="s">
        <v>32683</v>
      </c>
      <c r="I2764" t="s">
        <v>10627</v>
      </c>
      <c r="J2764" t="s">
        <v>34728</v>
      </c>
      <c r="K2764" t="s">
        <v>42398</v>
      </c>
      <c r="M2764" t="s">
        <v>43727</v>
      </c>
      <c r="N2764" t="s">
        <v>46569</v>
      </c>
      <c r="O2764" t="s">
        <v>46570</v>
      </c>
      <c r="P2764">
        <v>0</v>
      </c>
      <c r="Q2764">
        <v>0</v>
      </c>
      <c r="R2764" t="s">
        <v>46572</v>
      </c>
      <c r="S2764" t="s">
        <v>46689</v>
      </c>
      <c r="T2764" t="s">
        <v>48276</v>
      </c>
      <c r="U2764" t="s">
        <v>51086</v>
      </c>
      <c r="W2764" t="s">
        <v>43727</v>
      </c>
      <c r="X2764" t="s">
        <v>46573</v>
      </c>
    </row>
    <row r="2765" spans="1:24">
      <c r="A2765">
        <f>HYPERLINK("https://www.philgeps.gov.ph/GEPSNONPILOT/Tender/SplashBidNoticeAbstractUI.aspx?menuIndex=3&amp;refID=7061907&amp;Result=3","7061907")</f>
        <v>0</v>
      </c>
      <c r="B2765" t="s">
        <v>133</v>
      </c>
      <c r="C2765" t="s">
        <v>6206</v>
      </c>
      <c r="D2765" t="s">
        <v>18832</v>
      </c>
      <c r="E2765" t="s">
        <v>21418</v>
      </c>
      <c r="F2765" t="s">
        <v>32664</v>
      </c>
      <c r="G2765" t="s">
        <v>32672</v>
      </c>
      <c r="H2765" t="s">
        <v>12635</v>
      </c>
      <c r="I2765" t="s">
        <v>6223</v>
      </c>
      <c r="J2765" t="s">
        <v>34729</v>
      </c>
      <c r="K2765" t="s">
        <v>42298</v>
      </c>
      <c r="M2765" t="s">
        <v>42697</v>
      </c>
      <c r="N2765" t="s">
        <v>46569</v>
      </c>
      <c r="O2765" t="s">
        <v>46570</v>
      </c>
      <c r="P2765">
        <v>0</v>
      </c>
      <c r="Q2765">
        <v>0</v>
      </c>
      <c r="R2765" t="s">
        <v>46572</v>
      </c>
      <c r="S2765" t="s">
        <v>46689</v>
      </c>
      <c r="T2765" t="s">
        <v>48361</v>
      </c>
      <c r="U2765" t="s">
        <v>51087</v>
      </c>
      <c r="W2765" t="s">
        <v>42697</v>
      </c>
      <c r="X2765" t="s">
        <v>46573</v>
      </c>
    </row>
    <row r="2766" spans="1:24">
      <c r="A2766">
        <f>HYPERLINK("https://www.philgeps.gov.ph/GEPSNONPILOT/Tender/SplashBidNoticeAbstractUI.aspx?menuIndex=3&amp;refID=7061886&amp;Result=3","7061886")</f>
        <v>0</v>
      </c>
      <c r="B2766" t="s">
        <v>184</v>
      </c>
      <c r="C2766" t="s">
        <v>6207</v>
      </c>
      <c r="D2766" t="s">
        <v>18825</v>
      </c>
      <c r="E2766" t="s">
        <v>19243</v>
      </c>
      <c r="F2766" t="s">
        <v>32664</v>
      </c>
      <c r="G2766" t="s">
        <v>32671</v>
      </c>
      <c r="H2766" t="s">
        <v>12635</v>
      </c>
      <c r="I2766" t="s">
        <v>6118</v>
      </c>
      <c r="J2766" t="s">
        <v>33135</v>
      </c>
      <c r="K2766" t="s">
        <v>42284</v>
      </c>
      <c r="M2766" t="s">
        <v>42748</v>
      </c>
      <c r="N2766" t="s">
        <v>46569</v>
      </c>
      <c r="O2766" t="s">
        <v>46570</v>
      </c>
      <c r="P2766">
        <v>0</v>
      </c>
      <c r="Q2766">
        <v>0</v>
      </c>
      <c r="R2766" t="s">
        <v>46572</v>
      </c>
      <c r="S2766" t="s">
        <v>46689</v>
      </c>
      <c r="T2766" t="s">
        <v>48238</v>
      </c>
      <c r="U2766" t="s">
        <v>51088</v>
      </c>
      <c r="W2766" t="s">
        <v>42748</v>
      </c>
      <c r="X2766" t="s">
        <v>46573</v>
      </c>
    </row>
    <row r="2767" spans="1:24">
      <c r="A2767">
        <f>HYPERLINK("https://www.philgeps.gov.ph/GEPSNONPILOT/Tender/SplashBidNoticeAbstractUI.aspx?menuIndex=3&amp;refID=7061905&amp;Result=3","7061905")</f>
        <v>0</v>
      </c>
      <c r="B2767" t="s">
        <v>810</v>
      </c>
      <c r="C2767" t="s">
        <v>6208</v>
      </c>
      <c r="D2767" t="s">
        <v>18858</v>
      </c>
      <c r="E2767" t="s">
        <v>21419</v>
      </c>
      <c r="F2767" t="s">
        <v>32664</v>
      </c>
      <c r="G2767" t="s">
        <v>32671</v>
      </c>
      <c r="H2767" t="s">
        <v>12635</v>
      </c>
      <c r="I2767" t="s">
        <v>10361</v>
      </c>
      <c r="J2767" t="s">
        <v>32831</v>
      </c>
      <c r="K2767" t="s">
        <v>42339</v>
      </c>
      <c r="M2767" t="s">
        <v>43403</v>
      </c>
      <c r="N2767" t="s">
        <v>46569</v>
      </c>
      <c r="O2767" t="s">
        <v>46570</v>
      </c>
      <c r="P2767">
        <v>0</v>
      </c>
      <c r="Q2767">
        <v>0</v>
      </c>
      <c r="R2767" t="s">
        <v>46572</v>
      </c>
      <c r="S2767" t="s">
        <v>46689</v>
      </c>
      <c r="T2767" t="s">
        <v>48217</v>
      </c>
      <c r="U2767" t="s">
        <v>51089</v>
      </c>
      <c r="W2767" t="s">
        <v>43403</v>
      </c>
      <c r="X2767" t="s">
        <v>46573</v>
      </c>
    </row>
    <row r="2768" spans="1:24">
      <c r="A2768">
        <f>HYPERLINK("https://www.philgeps.gov.ph/GEPSNONPILOT/Tender/SplashBidNoticeAbstractUI.aspx?menuIndex=3&amp;refID=7061913&amp;Result=3","7061913")</f>
        <v>0</v>
      </c>
      <c r="B2768" t="s">
        <v>319</v>
      </c>
      <c r="C2768" t="s">
        <v>6209</v>
      </c>
      <c r="D2768" t="s">
        <v>18784</v>
      </c>
      <c r="E2768" t="s">
        <v>21420</v>
      </c>
      <c r="F2768" t="s">
        <v>32664</v>
      </c>
      <c r="G2768" t="s">
        <v>32671</v>
      </c>
      <c r="H2768" t="s">
        <v>12635</v>
      </c>
      <c r="I2768" t="s">
        <v>32734</v>
      </c>
      <c r="J2768" t="s">
        <v>34730</v>
      </c>
      <c r="K2768" t="s">
        <v>42283</v>
      </c>
      <c r="M2768" t="s">
        <v>42887</v>
      </c>
      <c r="N2768" t="s">
        <v>46569</v>
      </c>
      <c r="O2768" t="s">
        <v>46570</v>
      </c>
      <c r="P2768">
        <v>0</v>
      </c>
      <c r="Q2768">
        <v>3</v>
      </c>
      <c r="R2768" t="s">
        <v>46572</v>
      </c>
      <c r="S2768" t="s">
        <v>46689</v>
      </c>
      <c r="T2768" t="s">
        <v>48256</v>
      </c>
      <c r="U2768" t="s">
        <v>51090</v>
      </c>
      <c r="W2768" t="s">
        <v>42887</v>
      </c>
      <c r="X2768" t="s">
        <v>46573</v>
      </c>
    </row>
    <row r="2769" spans="1:24">
      <c r="A2769">
        <f>HYPERLINK("https://www.philgeps.gov.ph/GEPSNONPILOT/Tender/SplashBidNoticeAbstractUI.aspx?menuIndex=3&amp;refID=7061902&amp;Result=3","7061902")</f>
        <v>0</v>
      </c>
      <c r="B2769" t="s">
        <v>112</v>
      </c>
      <c r="C2769" t="s">
        <v>6210</v>
      </c>
      <c r="D2769" t="s">
        <v>18813</v>
      </c>
      <c r="E2769" t="s">
        <v>21421</v>
      </c>
      <c r="F2769" t="s">
        <v>32664</v>
      </c>
      <c r="G2769" t="s">
        <v>32671</v>
      </c>
      <c r="H2769" t="s">
        <v>12635</v>
      </c>
      <c r="I2769" t="s">
        <v>32704</v>
      </c>
      <c r="J2769" t="s">
        <v>33177</v>
      </c>
      <c r="K2769" t="s">
        <v>42281</v>
      </c>
      <c r="M2769" t="s">
        <v>42676</v>
      </c>
      <c r="N2769" t="s">
        <v>46569</v>
      </c>
      <c r="O2769" t="s">
        <v>46570</v>
      </c>
      <c r="P2769">
        <v>0</v>
      </c>
      <c r="Q2769">
        <v>4</v>
      </c>
      <c r="R2769" t="s">
        <v>46572</v>
      </c>
      <c r="S2769" t="s">
        <v>46689</v>
      </c>
      <c r="T2769" t="s">
        <v>48221</v>
      </c>
      <c r="U2769" t="s">
        <v>51091</v>
      </c>
      <c r="W2769" t="s">
        <v>42676</v>
      </c>
      <c r="X2769" t="s">
        <v>46573</v>
      </c>
    </row>
    <row r="2770" spans="1:24">
      <c r="A2770">
        <f>HYPERLINK("https://www.philgeps.gov.ph/GEPSNONPILOT/Tender/SplashBidNoticeAbstractUI.aspx?menuIndex=3&amp;refID=7061901&amp;Result=3","7061901")</f>
        <v>0</v>
      </c>
      <c r="B2770" t="s">
        <v>535</v>
      </c>
      <c r="C2770" t="s">
        <v>6211</v>
      </c>
      <c r="D2770" t="s">
        <v>18834</v>
      </c>
      <c r="E2770" t="s">
        <v>21422</v>
      </c>
      <c r="F2770" t="s">
        <v>32664</v>
      </c>
      <c r="G2770" t="s">
        <v>32671</v>
      </c>
      <c r="H2770" t="s">
        <v>12635</v>
      </c>
      <c r="I2770" t="s">
        <v>6628</v>
      </c>
      <c r="J2770" t="s">
        <v>33295</v>
      </c>
      <c r="K2770" t="s">
        <v>42289</v>
      </c>
      <c r="M2770" t="s">
        <v>43113</v>
      </c>
      <c r="N2770" t="s">
        <v>46569</v>
      </c>
      <c r="O2770" t="s">
        <v>46570</v>
      </c>
      <c r="P2770">
        <v>0</v>
      </c>
      <c r="Q2770">
        <v>1</v>
      </c>
      <c r="R2770" t="s">
        <v>46572</v>
      </c>
      <c r="S2770" t="s">
        <v>46689</v>
      </c>
      <c r="T2770" t="s">
        <v>48219</v>
      </c>
      <c r="U2770" t="s">
        <v>49736</v>
      </c>
      <c r="W2770" t="s">
        <v>63481</v>
      </c>
      <c r="X2770" t="s">
        <v>46573</v>
      </c>
    </row>
    <row r="2771" spans="1:24">
      <c r="A2771">
        <f>HYPERLINK("https://www.philgeps.gov.ph/GEPSNONPILOT/Tender/SplashBidNoticeAbstractUI.aspx?menuIndex=3&amp;refID=7061936&amp;Result=3","7061936")</f>
        <v>0</v>
      </c>
      <c r="B2771" t="s">
        <v>1095</v>
      </c>
      <c r="C2771" t="s">
        <v>6212</v>
      </c>
      <c r="D2771" t="s">
        <v>18798</v>
      </c>
      <c r="E2771" t="s">
        <v>21423</v>
      </c>
      <c r="F2771" t="s">
        <v>32664</v>
      </c>
      <c r="G2771" t="s">
        <v>32671</v>
      </c>
      <c r="H2771" t="s">
        <v>12635</v>
      </c>
      <c r="I2771" t="s">
        <v>8797</v>
      </c>
      <c r="J2771" t="s">
        <v>34731</v>
      </c>
      <c r="K2771" t="s">
        <v>42281</v>
      </c>
      <c r="M2771" t="s">
        <v>42640</v>
      </c>
      <c r="N2771" t="s">
        <v>46569</v>
      </c>
      <c r="O2771" t="s">
        <v>46570</v>
      </c>
      <c r="P2771">
        <v>0</v>
      </c>
      <c r="Q2771">
        <v>1</v>
      </c>
      <c r="R2771" t="s">
        <v>46572</v>
      </c>
      <c r="S2771" t="s">
        <v>46689</v>
      </c>
      <c r="T2771" t="s">
        <v>48286</v>
      </c>
      <c r="U2771" t="s">
        <v>51092</v>
      </c>
      <c r="W2771" t="s">
        <v>42640</v>
      </c>
      <c r="X2771" t="s">
        <v>46573</v>
      </c>
    </row>
    <row r="2772" spans="1:24">
      <c r="A2772">
        <f>HYPERLINK("https://www.philgeps.gov.ph/GEPSNONPILOT/Tender/SplashBidNoticeAbstractUI.aspx?menuIndex=3&amp;refID=7061906&amp;Result=3","7061906")</f>
        <v>0</v>
      </c>
      <c r="B2772" t="s">
        <v>1101</v>
      </c>
      <c r="C2772" t="s">
        <v>6213</v>
      </c>
      <c r="D2772" t="s">
        <v>18781</v>
      </c>
      <c r="E2772" t="s">
        <v>21424</v>
      </c>
      <c r="F2772" t="s">
        <v>32664</v>
      </c>
      <c r="G2772" t="s">
        <v>32672</v>
      </c>
      <c r="H2772" t="s">
        <v>12635</v>
      </c>
      <c r="I2772" t="s">
        <v>32688</v>
      </c>
      <c r="J2772" t="s">
        <v>33021</v>
      </c>
      <c r="K2772" t="s">
        <v>42283</v>
      </c>
      <c r="M2772" t="s">
        <v>43728</v>
      </c>
      <c r="N2772" t="s">
        <v>46569</v>
      </c>
      <c r="O2772" t="s">
        <v>46570</v>
      </c>
      <c r="P2772">
        <v>0</v>
      </c>
      <c r="Q2772">
        <v>3</v>
      </c>
      <c r="R2772" t="s">
        <v>46572</v>
      </c>
      <c r="S2772" t="s">
        <v>46689</v>
      </c>
      <c r="T2772" t="s">
        <v>48383</v>
      </c>
      <c r="U2772" t="s">
        <v>51093</v>
      </c>
      <c r="W2772" t="s">
        <v>43728</v>
      </c>
      <c r="X2772" t="s">
        <v>46573</v>
      </c>
    </row>
    <row r="2773" spans="1:24">
      <c r="A2773">
        <f>HYPERLINK("https://www.philgeps.gov.ph/GEPSNONPILOT/Tender/SplashBidNoticeAbstractUI.aspx?menuIndex=3&amp;refID=7061904&amp;Result=3","7061904")</f>
        <v>0</v>
      </c>
      <c r="B2773" t="s">
        <v>1095</v>
      </c>
      <c r="C2773" t="s">
        <v>6214</v>
      </c>
      <c r="D2773" t="s">
        <v>18798</v>
      </c>
      <c r="E2773" t="s">
        <v>21425</v>
      </c>
      <c r="F2773" t="s">
        <v>32664</v>
      </c>
      <c r="G2773" t="s">
        <v>32671</v>
      </c>
      <c r="H2773" t="s">
        <v>12635</v>
      </c>
      <c r="I2773" t="s">
        <v>6223</v>
      </c>
      <c r="J2773" t="s">
        <v>33159</v>
      </c>
      <c r="K2773" t="s">
        <v>42281</v>
      </c>
      <c r="M2773" t="s">
        <v>42640</v>
      </c>
      <c r="N2773" t="s">
        <v>46569</v>
      </c>
      <c r="O2773" t="s">
        <v>46570</v>
      </c>
      <c r="P2773">
        <v>0</v>
      </c>
      <c r="Q2773">
        <v>0</v>
      </c>
      <c r="R2773" t="s">
        <v>46572</v>
      </c>
      <c r="S2773" t="s">
        <v>46689</v>
      </c>
      <c r="T2773" t="s">
        <v>48286</v>
      </c>
      <c r="U2773" t="s">
        <v>51094</v>
      </c>
      <c r="W2773" t="s">
        <v>42640</v>
      </c>
      <c r="X2773" t="s">
        <v>46573</v>
      </c>
    </row>
    <row r="2774" spans="1:24">
      <c r="A2774">
        <f>HYPERLINK("https://www.philgeps.gov.ph/GEPSNONPILOT/Tender/SplashBidNoticeAbstractUI.aspx?menuIndex=3&amp;refID=7061938&amp;Result=3","7061938")</f>
        <v>0</v>
      </c>
      <c r="B2774" t="s">
        <v>319</v>
      </c>
      <c r="C2774" t="s">
        <v>6215</v>
      </c>
      <c r="D2774" t="s">
        <v>18784</v>
      </c>
      <c r="E2774" t="s">
        <v>21426</v>
      </c>
      <c r="F2774" t="s">
        <v>32664</v>
      </c>
      <c r="G2774" t="s">
        <v>32671</v>
      </c>
      <c r="H2774" t="s">
        <v>12635</v>
      </c>
      <c r="I2774" t="s">
        <v>32734</v>
      </c>
      <c r="J2774" t="s">
        <v>33320</v>
      </c>
      <c r="K2774" t="s">
        <v>42283</v>
      </c>
      <c r="M2774" t="s">
        <v>42887</v>
      </c>
      <c r="N2774" t="s">
        <v>46569</v>
      </c>
      <c r="O2774" t="s">
        <v>46570</v>
      </c>
      <c r="P2774">
        <v>0</v>
      </c>
      <c r="Q2774">
        <v>2</v>
      </c>
      <c r="R2774" t="s">
        <v>46572</v>
      </c>
      <c r="S2774" t="s">
        <v>46689</v>
      </c>
      <c r="T2774" t="s">
        <v>48256</v>
      </c>
      <c r="U2774" t="s">
        <v>51095</v>
      </c>
      <c r="W2774" t="s">
        <v>42887</v>
      </c>
      <c r="X2774" t="s">
        <v>46573</v>
      </c>
    </row>
    <row r="2775" spans="1:24">
      <c r="A2775">
        <f>HYPERLINK("https://www.philgeps.gov.ph/GEPSNONPILOT/Tender/SplashBidNoticeAbstractUI.aspx?menuIndex=3&amp;refID=7061937&amp;Result=3","7061937")</f>
        <v>0</v>
      </c>
      <c r="B2775" t="s">
        <v>535</v>
      </c>
      <c r="C2775" t="s">
        <v>6216</v>
      </c>
      <c r="D2775" t="s">
        <v>18834</v>
      </c>
      <c r="E2775" t="s">
        <v>21427</v>
      </c>
      <c r="F2775" t="s">
        <v>32664</v>
      </c>
      <c r="G2775" t="s">
        <v>32671</v>
      </c>
      <c r="H2775" t="s">
        <v>12635</v>
      </c>
      <c r="I2775" t="s">
        <v>8730</v>
      </c>
      <c r="J2775" t="s">
        <v>34732</v>
      </c>
      <c r="K2775" t="s">
        <v>42289</v>
      </c>
      <c r="M2775" t="s">
        <v>43113</v>
      </c>
      <c r="N2775" t="s">
        <v>46569</v>
      </c>
      <c r="O2775" t="s">
        <v>46570</v>
      </c>
      <c r="P2775">
        <v>0</v>
      </c>
      <c r="Q2775">
        <v>1</v>
      </c>
      <c r="R2775" t="s">
        <v>46572</v>
      </c>
      <c r="S2775" t="s">
        <v>46689</v>
      </c>
      <c r="T2775" t="s">
        <v>48219</v>
      </c>
      <c r="U2775" t="s">
        <v>49736</v>
      </c>
      <c r="W2775" t="s">
        <v>63481</v>
      </c>
      <c r="X2775" t="s">
        <v>46573</v>
      </c>
    </row>
    <row r="2776" spans="1:24">
      <c r="A2776">
        <f>HYPERLINK("https://www.philgeps.gov.ph/GEPSNONPILOT/Tender/SplashBidNoticeAbstractUI.aspx?menuIndex=3&amp;refID=7061875&amp;Result=3","7061875")</f>
        <v>0</v>
      </c>
      <c r="B2776" t="s">
        <v>885</v>
      </c>
      <c r="C2776" t="s">
        <v>5193</v>
      </c>
      <c r="D2776" t="s">
        <v>18819</v>
      </c>
      <c r="E2776" t="s">
        <v>21428</v>
      </c>
      <c r="F2776" t="s">
        <v>32664</v>
      </c>
      <c r="G2776" t="s">
        <v>32675</v>
      </c>
      <c r="H2776" t="s">
        <v>12635</v>
      </c>
      <c r="I2776" t="s">
        <v>6168</v>
      </c>
      <c r="J2776" t="s">
        <v>34733</v>
      </c>
      <c r="K2776" t="s">
        <v>42283</v>
      </c>
      <c r="M2776" t="s">
        <v>43486</v>
      </c>
      <c r="N2776" t="s">
        <v>46569</v>
      </c>
      <c r="O2776" t="s">
        <v>46570</v>
      </c>
      <c r="P2776">
        <v>0</v>
      </c>
      <c r="Q2776">
        <v>3</v>
      </c>
      <c r="R2776" t="s">
        <v>46572</v>
      </c>
      <c r="S2776" t="s">
        <v>46689</v>
      </c>
      <c r="T2776" t="s">
        <v>48256</v>
      </c>
      <c r="U2776" t="s">
        <v>51096</v>
      </c>
      <c r="V2776" t="s">
        <v>61836</v>
      </c>
      <c r="W2776" t="s">
        <v>43486</v>
      </c>
      <c r="X2776" t="s">
        <v>46573</v>
      </c>
    </row>
    <row r="2777" spans="1:24">
      <c r="A2777">
        <f>HYPERLINK("https://www.philgeps.gov.ph/GEPSNONPILOT/Tender/SplashBidNoticeAbstractUI.aspx?menuIndex=3&amp;refID=7061935&amp;Result=3","7061935")</f>
        <v>0</v>
      </c>
      <c r="B2777" t="s">
        <v>1102</v>
      </c>
      <c r="C2777" t="s">
        <v>6217</v>
      </c>
      <c r="D2777" t="s">
        <v>18784</v>
      </c>
      <c r="E2777" t="s">
        <v>21429</v>
      </c>
      <c r="F2777" t="s">
        <v>32664</v>
      </c>
      <c r="G2777" t="s">
        <v>32674</v>
      </c>
      <c r="H2777" t="s">
        <v>12635</v>
      </c>
      <c r="I2777" t="s">
        <v>32684</v>
      </c>
      <c r="J2777" t="s">
        <v>33398</v>
      </c>
      <c r="K2777" t="s">
        <v>42283</v>
      </c>
      <c r="M2777" t="s">
        <v>43729</v>
      </c>
      <c r="N2777" t="s">
        <v>46569</v>
      </c>
      <c r="O2777" t="s">
        <v>46570</v>
      </c>
      <c r="P2777">
        <v>0</v>
      </c>
      <c r="Q2777">
        <v>9</v>
      </c>
      <c r="R2777" t="s">
        <v>46572</v>
      </c>
      <c r="S2777" t="s">
        <v>46689</v>
      </c>
      <c r="T2777" t="s">
        <v>48316</v>
      </c>
      <c r="U2777" t="s">
        <v>51097</v>
      </c>
      <c r="W2777" t="s">
        <v>43729</v>
      </c>
      <c r="X2777" t="s">
        <v>46573</v>
      </c>
    </row>
    <row r="2778" spans="1:24">
      <c r="A2778">
        <f>HYPERLINK("https://www.philgeps.gov.ph/GEPSNONPILOT/Tender/SplashBidNoticeAbstractUI.aspx?menuIndex=3&amp;refID=7061908&amp;Result=3","7061908")</f>
        <v>0</v>
      </c>
      <c r="B2778" t="s">
        <v>555</v>
      </c>
      <c r="C2778" t="s">
        <v>6218</v>
      </c>
      <c r="D2778" t="s">
        <v>18841</v>
      </c>
      <c r="E2778" t="s">
        <v>21430</v>
      </c>
      <c r="F2778" t="s">
        <v>32664</v>
      </c>
      <c r="G2778" t="s">
        <v>32671</v>
      </c>
      <c r="H2778" t="s">
        <v>12635</v>
      </c>
      <c r="I2778" t="s">
        <v>32694</v>
      </c>
      <c r="J2778" t="s">
        <v>34734</v>
      </c>
      <c r="K2778" t="s">
        <v>42289</v>
      </c>
      <c r="M2778" t="s">
        <v>43135</v>
      </c>
      <c r="N2778" t="s">
        <v>46569</v>
      </c>
      <c r="O2778" t="s">
        <v>46570</v>
      </c>
      <c r="P2778">
        <v>0</v>
      </c>
      <c r="Q2778">
        <v>0</v>
      </c>
      <c r="R2778" t="s">
        <v>46572</v>
      </c>
      <c r="S2778" t="s">
        <v>46689</v>
      </c>
      <c r="T2778" t="s">
        <v>48282</v>
      </c>
      <c r="U2778" t="s">
        <v>51098</v>
      </c>
      <c r="W2778" t="s">
        <v>43135</v>
      </c>
      <c r="X2778" t="s">
        <v>46573</v>
      </c>
    </row>
    <row r="2779" spans="1:24">
      <c r="A2779">
        <f>HYPERLINK("https://www.philgeps.gov.ph/GEPSNONPILOT/Tender/SplashBidNoticeAbstractUI.aspx?menuIndex=3&amp;refID=7061931&amp;Result=3","7061931")</f>
        <v>0</v>
      </c>
      <c r="B2779" t="s">
        <v>810</v>
      </c>
      <c r="C2779" t="s">
        <v>6219</v>
      </c>
      <c r="D2779" t="s">
        <v>18841</v>
      </c>
      <c r="E2779" t="s">
        <v>21431</v>
      </c>
      <c r="F2779" t="s">
        <v>32664</v>
      </c>
      <c r="G2779" t="s">
        <v>32671</v>
      </c>
      <c r="H2779" t="s">
        <v>12635</v>
      </c>
      <c r="I2779" t="s">
        <v>10361</v>
      </c>
      <c r="J2779" t="s">
        <v>32831</v>
      </c>
      <c r="K2779" t="s">
        <v>42339</v>
      </c>
      <c r="M2779" t="s">
        <v>43403</v>
      </c>
      <c r="N2779" t="s">
        <v>46569</v>
      </c>
      <c r="O2779" t="s">
        <v>46570</v>
      </c>
      <c r="P2779">
        <v>0</v>
      </c>
      <c r="Q2779">
        <v>0</v>
      </c>
      <c r="R2779" t="s">
        <v>46572</v>
      </c>
      <c r="S2779" t="s">
        <v>46689</v>
      </c>
      <c r="T2779" t="s">
        <v>48217</v>
      </c>
      <c r="U2779" t="s">
        <v>50334</v>
      </c>
      <c r="W2779" t="s">
        <v>43403</v>
      </c>
      <c r="X2779" t="s">
        <v>46573</v>
      </c>
    </row>
    <row r="2780" spans="1:24">
      <c r="A2780">
        <f>HYPERLINK("https://www.philgeps.gov.ph/GEPSNONPILOT/Tender/SplashBidNoticeAbstractUI.aspx?menuIndex=3&amp;refID=7061939&amp;Result=3","7061939")</f>
        <v>0</v>
      </c>
      <c r="B2780" t="s">
        <v>1088</v>
      </c>
      <c r="C2780" t="s">
        <v>6220</v>
      </c>
      <c r="D2780" t="s">
        <v>18804</v>
      </c>
      <c r="E2780" t="s">
        <v>21432</v>
      </c>
      <c r="F2780" t="s">
        <v>32664</v>
      </c>
      <c r="G2780" t="s">
        <v>32672</v>
      </c>
      <c r="H2780" t="s">
        <v>32683</v>
      </c>
      <c r="I2780" t="s">
        <v>10627</v>
      </c>
      <c r="J2780" t="s">
        <v>34735</v>
      </c>
      <c r="K2780" t="s">
        <v>42311</v>
      </c>
      <c r="M2780" t="s">
        <v>43714</v>
      </c>
      <c r="N2780" t="s">
        <v>46569</v>
      </c>
      <c r="O2780" t="s">
        <v>46570</v>
      </c>
      <c r="P2780">
        <v>0</v>
      </c>
      <c r="Q2780">
        <v>0</v>
      </c>
      <c r="R2780" t="s">
        <v>46572</v>
      </c>
      <c r="S2780" t="s">
        <v>46689</v>
      </c>
      <c r="T2780" t="s">
        <v>48220</v>
      </c>
      <c r="U2780" t="s">
        <v>51099</v>
      </c>
      <c r="V2780" t="s">
        <v>61896</v>
      </c>
      <c r="W2780" t="s">
        <v>43714</v>
      </c>
      <c r="X2780" t="s">
        <v>46573</v>
      </c>
    </row>
    <row r="2781" spans="1:24">
      <c r="A2781">
        <f>HYPERLINK("https://www.philgeps.gov.ph/GEPSNONPILOT/Tender/SplashBidNoticeAbstractUI.aspx?menuIndex=3&amp;refID=7061934&amp;Result=3","7061934")</f>
        <v>0</v>
      </c>
      <c r="B2781" t="s">
        <v>1085</v>
      </c>
      <c r="C2781" t="s">
        <v>6221</v>
      </c>
      <c r="D2781" t="s">
        <v>18851</v>
      </c>
      <c r="E2781" t="s">
        <v>21433</v>
      </c>
      <c r="F2781" t="s">
        <v>32664</v>
      </c>
      <c r="G2781" t="s">
        <v>32672</v>
      </c>
      <c r="H2781" t="s">
        <v>12635</v>
      </c>
      <c r="I2781" t="s">
        <v>4439</v>
      </c>
      <c r="J2781" t="s">
        <v>34736</v>
      </c>
      <c r="K2781" t="s">
        <v>42281</v>
      </c>
      <c r="M2781" t="s">
        <v>43711</v>
      </c>
      <c r="N2781" t="s">
        <v>46569</v>
      </c>
      <c r="O2781" t="s">
        <v>46570</v>
      </c>
      <c r="P2781">
        <v>0</v>
      </c>
      <c r="Q2781">
        <v>0</v>
      </c>
      <c r="R2781" t="s">
        <v>46572</v>
      </c>
      <c r="S2781" t="s">
        <v>46689</v>
      </c>
      <c r="T2781" t="s">
        <v>48230</v>
      </c>
      <c r="U2781" t="s">
        <v>51100</v>
      </c>
      <c r="W2781" t="s">
        <v>43711</v>
      </c>
      <c r="X2781" t="s">
        <v>46573</v>
      </c>
    </row>
    <row r="2782" spans="1:24">
      <c r="A2782">
        <f>HYPERLINK("https://www.philgeps.gov.ph/GEPSNONPILOT/Tender/SplashBidNoticeAbstractUI.aspx?menuIndex=3&amp;refID=7061933&amp;Result=3","7061933")</f>
        <v>0</v>
      </c>
      <c r="B2782" t="s">
        <v>1088</v>
      </c>
      <c r="C2782" t="s">
        <v>6222</v>
      </c>
      <c r="D2782" t="s">
        <v>18804</v>
      </c>
      <c r="E2782" t="s">
        <v>21434</v>
      </c>
      <c r="F2782" t="s">
        <v>32664</v>
      </c>
      <c r="G2782" t="s">
        <v>32672</v>
      </c>
      <c r="H2782" t="s">
        <v>32683</v>
      </c>
      <c r="I2782" t="s">
        <v>10627</v>
      </c>
      <c r="J2782" t="s">
        <v>34737</v>
      </c>
      <c r="K2782" t="s">
        <v>42285</v>
      </c>
      <c r="M2782" t="s">
        <v>43714</v>
      </c>
      <c r="N2782" t="s">
        <v>46569</v>
      </c>
      <c r="O2782" t="s">
        <v>46570</v>
      </c>
      <c r="P2782">
        <v>0</v>
      </c>
      <c r="Q2782">
        <v>0</v>
      </c>
      <c r="R2782" t="s">
        <v>46572</v>
      </c>
      <c r="S2782" t="s">
        <v>46689</v>
      </c>
      <c r="T2782" t="s">
        <v>48220</v>
      </c>
      <c r="U2782" t="s">
        <v>51101</v>
      </c>
      <c r="V2782" t="s">
        <v>61896</v>
      </c>
      <c r="W2782" t="s">
        <v>43714</v>
      </c>
      <c r="X2782" t="s">
        <v>46573</v>
      </c>
    </row>
    <row r="2783" spans="1:24">
      <c r="A2783">
        <f>HYPERLINK("https://www.philgeps.gov.ph/GEPSNONPILOT/Tender/SplashBidNoticeAbstractUI.aspx?menuIndex=3&amp;refID=7061923&amp;Result=3","7061923")</f>
        <v>0</v>
      </c>
      <c r="B2783" t="s">
        <v>1003</v>
      </c>
      <c r="C2783" t="s">
        <v>6223</v>
      </c>
      <c r="D2783" t="s">
        <v>18801</v>
      </c>
      <c r="E2783" t="s">
        <v>20314</v>
      </c>
      <c r="F2783" t="s">
        <v>32664</v>
      </c>
      <c r="G2783" t="s">
        <v>32671</v>
      </c>
      <c r="H2783" t="s">
        <v>12635</v>
      </c>
      <c r="I2783" t="s">
        <v>6223</v>
      </c>
      <c r="J2783" t="s">
        <v>32859</v>
      </c>
      <c r="K2783" t="s">
        <v>42283</v>
      </c>
      <c r="M2783" t="s">
        <v>43615</v>
      </c>
      <c r="N2783" t="s">
        <v>46569</v>
      </c>
      <c r="O2783" t="s">
        <v>46570</v>
      </c>
      <c r="P2783">
        <v>0</v>
      </c>
      <c r="Q2783">
        <v>3</v>
      </c>
      <c r="R2783" t="s">
        <v>46572</v>
      </c>
      <c r="S2783" t="s">
        <v>46689</v>
      </c>
      <c r="T2783" t="s">
        <v>48219</v>
      </c>
      <c r="U2783" t="s">
        <v>51102</v>
      </c>
      <c r="W2783" t="s">
        <v>43615</v>
      </c>
      <c r="X2783" t="s">
        <v>46573</v>
      </c>
    </row>
    <row r="2784" spans="1:24">
      <c r="A2784">
        <f>HYPERLINK("https://www.philgeps.gov.ph/GEPSNONPILOT/Tender/SplashBidNoticeAbstractUI.aspx?menuIndex=3&amp;refID=7061930&amp;Result=3","7061930")</f>
        <v>0</v>
      </c>
      <c r="B2784" t="s">
        <v>1103</v>
      </c>
      <c r="C2784" t="s">
        <v>6224</v>
      </c>
      <c r="D2784" t="s">
        <v>18790</v>
      </c>
      <c r="E2784" t="s">
        <v>21435</v>
      </c>
      <c r="F2784" t="s">
        <v>32664</v>
      </c>
      <c r="G2784" t="s">
        <v>32671</v>
      </c>
      <c r="H2784" t="s">
        <v>12635</v>
      </c>
      <c r="I2784" t="s">
        <v>32685</v>
      </c>
      <c r="J2784" t="s">
        <v>34738</v>
      </c>
      <c r="K2784" t="s">
        <v>42281</v>
      </c>
      <c r="M2784" t="s">
        <v>43730</v>
      </c>
      <c r="N2784" t="s">
        <v>46569</v>
      </c>
      <c r="O2784" t="s">
        <v>46570</v>
      </c>
      <c r="P2784">
        <v>0</v>
      </c>
      <c r="Q2784">
        <v>0</v>
      </c>
      <c r="R2784" t="s">
        <v>46572</v>
      </c>
      <c r="S2784" t="s">
        <v>46689</v>
      </c>
      <c r="T2784" t="s">
        <v>48249</v>
      </c>
      <c r="U2784" t="s">
        <v>51103</v>
      </c>
      <c r="W2784" t="s">
        <v>43730</v>
      </c>
      <c r="X2784" t="s">
        <v>46573</v>
      </c>
    </row>
    <row r="2785" spans="1:24">
      <c r="A2785">
        <f>HYPERLINK("https://www.philgeps.gov.ph/GEPSNONPILOT/Tender/SplashBidNoticeAbstractUI.aspx?menuIndex=3&amp;refID=7061922&amp;Result=3","7061922")</f>
        <v>0</v>
      </c>
      <c r="B2785" t="s">
        <v>594</v>
      </c>
      <c r="C2785" t="s">
        <v>6225</v>
      </c>
      <c r="D2785" t="s">
        <v>18784</v>
      </c>
      <c r="E2785" t="s">
        <v>21436</v>
      </c>
      <c r="F2785" t="s">
        <v>32664</v>
      </c>
      <c r="G2785" t="s">
        <v>32674</v>
      </c>
      <c r="H2785" t="s">
        <v>12635</v>
      </c>
      <c r="I2785" t="s">
        <v>9486</v>
      </c>
      <c r="J2785" t="s">
        <v>34739</v>
      </c>
      <c r="K2785" t="s">
        <v>42297</v>
      </c>
      <c r="M2785" t="s">
        <v>43721</v>
      </c>
      <c r="N2785" t="s">
        <v>46569</v>
      </c>
      <c r="O2785" t="s">
        <v>46570</v>
      </c>
      <c r="P2785">
        <v>0</v>
      </c>
      <c r="Q2785">
        <v>3</v>
      </c>
      <c r="R2785" t="s">
        <v>46572</v>
      </c>
      <c r="S2785" t="s">
        <v>46689</v>
      </c>
      <c r="T2785" t="s">
        <v>48461</v>
      </c>
      <c r="U2785" t="s">
        <v>51104</v>
      </c>
      <c r="V2785" t="s">
        <v>61897</v>
      </c>
      <c r="W2785" t="s">
        <v>43721</v>
      </c>
      <c r="X2785" t="s">
        <v>46573</v>
      </c>
    </row>
    <row r="2786" spans="1:24">
      <c r="A2786">
        <f>HYPERLINK("https://www.philgeps.gov.ph/GEPSNONPILOT/Tender/SplashBidNoticeAbstractUI.aspx?menuIndex=3&amp;refID=7061920&amp;Result=3","7061920")</f>
        <v>0</v>
      </c>
      <c r="B2786" t="s">
        <v>494</v>
      </c>
      <c r="C2786" t="s">
        <v>6226</v>
      </c>
      <c r="D2786" t="s">
        <v>18834</v>
      </c>
      <c r="E2786" t="s">
        <v>21437</v>
      </c>
      <c r="F2786" t="s">
        <v>32664</v>
      </c>
      <c r="G2786" t="s">
        <v>32671</v>
      </c>
      <c r="H2786" t="s">
        <v>12635</v>
      </c>
      <c r="I2786" t="s">
        <v>8797</v>
      </c>
      <c r="J2786" t="s">
        <v>33418</v>
      </c>
      <c r="K2786" t="s">
        <v>42284</v>
      </c>
      <c r="M2786" t="s">
        <v>43070</v>
      </c>
      <c r="N2786" t="s">
        <v>46569</v>
      </c>
      <c r="O2786" t="s">
        <v>46570</v>
      </c>
      <c r="P2786">
        <v>0</v>
      </c>
      <c r="Q2786">
        <v>4</v>
      </c>
      <c r="R2786" t="s">
        <v>46572</v>
      </c>
      <c r="S2786" t="s">
        <v>46689</v>
      </c>
      <c r="T2786" t="s">
        <v>48221</v>
      </c>
      <c r="U2786" t="s">
        <v>49659</v>
      </c>
      <c r="W2786" t="s">
        <v>43070</v>
      </c>
      <c r="X2786" t="s">
        <v>46573</v>
      </c>
    </row>
    <row r="2787" spans="1:24">
      <c r="A2787">
        <f>HYPERLINK("https://www.philgeps.gov.ph/GEPSNONPILOT/Tender/SplashBidNoticeAbstractUI.aspx?menuIndex=3&amp;refID=7061915&amp;Result=3","7061915")</f>
        <v>0</v>
      </c>
      <c r="B2787" t="s">
        <v>1104</v>
      </c>
      <c r="C2787" t="s">
        <v>6227</v>
      </c>
      <c r="D2787" t="s">
        <v>18830</v>
      </c>
      <c r="E2787" t="s">
        <v>21438</v>
      </c>
      <c r="F2787" t="s">
        <v>32664</v>
      </c>
      <c r="G2787" t="s">
        <v>32672</v>
      </c>
      <c r="H2787" t="s">
        <v>32683</v>
      </c>
      <c r="I2787" t="s">
        <v>10627</v>
      </c>
      <c r="J2787" t="s">
        <v>34740</v>
      </c>
      <c r="K2787" t="s">
        <v>42283</v>
      </c>
      <c r="M2787" t="s">
        <v>43731</v>
      </c>
      <c r="N2787" t="s">
        <v>46569</v>
      </c>
      <c r="O2787" t="s">
        <v>46570</v>
      </c>
      <c r="P2787">
        <v>0</v>
      </c>
      <c r="Q2787">
        <v>0</v>
      </c>
      <c r="R2787" t="s">
        <v>46572</v>
      </c>
      <c r="S2787" t="s">
        <v>46689</v>
      </c>
      <c r="T2787" t="s">
        <v>48285</v>
      </c>
      <c r="U2787" t="s">
        <v>51105</v>
      </c>
      <c r="W2787" t="s">
        <v>43731</v>
      </c>
      <c r="X2787" t="s">
        <v>46573</v>
      </c>
    </row>
    <row r="2788" spans="1:24">
      <c r="A2788">
        <f>HYPERLINK("https://www.philgeps.gov.ph/GEPSNONPILOT/Tender/SplashBidNoticeAbstractUI.aspx?menuIndex=3&amp;refID=7061924&amp;Result=3","7061924")</f>
        <v>0</v>
      </c>
      <c r="B2788" t="s">
        <v>1105</v>
      </c>
      <c r="C2788" t="s">
        <v>6228</v>
      </c>
      <c r="D2788" t="s">
        <v>18830</v>
      </c>
      <c r="E2788" t="s">
        <v>21439</v>
      </c>
      <c r="F2788" t="s">
        <v>32664</v>
      </c>
      <c r="G2788" t="s">
        <v>32671</v>
      </c>
      <c r="H2788" t="s">
        <v>12635</v>
      </c>
      <c r="I2788" t="s">
        <v>5589</v>
      </c>
      <c r="J2788" t="s">
        <v>33008</v>
      </c>
      <c r="K2788" t="s">
        <v>42281</v>
      </c>
      <c r="M2788" t="s">
        <v>43732</v>
      </c>
      <c r="N2788" t="s">
        <v>46569</v>
      </c>
      <c r="O2788" t="s">
        <v>46570</v>
      </c>
      <c r="P2788">
        <v>0</v>
      </c>
      <c r="Q2788">
        <v>5</v>
      </c>
      <c r="R2788" t="s">
        <v>46572</v>
      </c>
      <c r="S2788" t="s">
        <v>46689</v>
      </c>
      <c r="T2788" t="s">
        <v>48256</v>
      </c>
      <c r="U2788" t="s">
        <v>51106</v>
      </c>
      <c r="W2788" t="s">
        <v>43732</v>
      </c>
      <c r="X2788" t="s">
        <v>46573</v>
      </c>
    </row>
    <row r="2789" spans="1:24">
      <c r="A2789">
        <f>HYPERLINK("https://www.philgeps.gov.ph/GEPSNONPILOT/Tender/SplashBidNoticeAbstractUI.aspx?menuIndex=3&amp;refID=7061928&amp;Result=3","7061928")</f>
        <v>0</v>
      </c>
      <c r="B2789" t="s">
        <v>319</v>
      </c>
      <c r="C2789" t="s">
        <v>6229</v>
      </c>
      <c r="D2789" t="s">
        <v>18784</v>
      </c>
      <c r="E2789" t="s">
        <v>21440</v>
      </c>
      <c r="F2789" t="s">
        <v>32664</v>
      </c>
      <c r="G2789" t="s">
        <v>32671</v>
      </c>
      <c r="H2789" t="s">
        <v>12635</v>
      </c>
      <c r="I2789" t="s">
        <v>32734</v>
      </c>
      <c r="J2789" t="s">
        <v>34741</v>
      </c>
      <c r="K2789" t="s">
        <v>42283</v>
      </c>
      <c r="M2789" t="s">
        <v>42887</v>
      </c>
      <c r="N2789" t="s">
        <v>46569</v>
      </c>
      <c r="O2789" t="s">
        <v>46570</v>
      </c>
      <c r="P2789">
        <v>0</v>
      </c>
      <c r="Q2789">
        <v>3</v>
      </c>
      <c r="R2789" t="s">
        <v>46572</v>
      </c>
      <c r="S2789" t="s">
        <v>46689</v>
      </c>
      <c r="T2789" t="s">
        <v>48256</v>
      </c>
      <c r="U2789" t="s">
        <v>51107</v>
      </c>
      <c r="W2789" t="s">
        <v>42887</v>
      </c>
      <c r="X2789" t="s">
        <v>46573</v>
      </c>
    </row>
    <row r="2790" spans="1:24">
      <c r="A2790">
        <f>HYPERLINK("https://www.philgeps.gov.ph/GEPSNONPILOT/Tender/SplashBidNoticeAbstractUI.aspx?menuIndex=3&amp;refID=7061919&amp;Result=3","7061919")</f>
        <v>0</v>
      </c>
      <c r="B2790" t="s">
        <v>1088</v>
      </c>
      <c r="C2790" t="s">
        <v>6230</v>
      </c>
      <c r="D2790" t="s">
        <v>18804</v>
      </c>
      <c r="E2790" t="s">
        <v>21441</v>
      </c>
      <c r="F2790" t="s">
        <v>32664</v>
      </c>
      <c r="G2790" t="s">
        <v>32672</v>
      </c>
      <c r="H2790" t="s">
        <v>32683</v>
      </c>
      <c r="I2790" t="s">
        <v>10627</v>
      </c>
      <c r="J2790" t="s">
        <v>34742</v>
      </c>
      <c r="K2790" t="s">
        <v>42298</v>
      </c>
      <c r="M2790" t="s">
        <v>43714</v>
      </c>
      <c r="N2790" t="s">
        <v>46569</v>
      </c>
      <c r="O2790" t="s">
        <v>46570</v>
      </c>
      <c r="P2790">
        <v>0</v>
      </c>
      <c r="Q2790">
        <v>0</v>
      </c>
      <c r="R2790" t="s">
        <v>46572</v>
      </c>
      <c r="S2790" t="s">
        <v>46689</v>
      </c>
      <c r="T2790" t="s">
        <v>48220</v>
      </c>
      <c r="U2790" t="s">
        <v>51108</v>
      </c>
      <c r="V2790" t="s">
        <v>61896</v>
      </c>
      <c r="W2790" t="s">
        <v>43714</v>
      </c>
      <c r="X2790" t="s">
        <v>46573</v>
      </c>
    </row>
    <row r="2791" spans="1:24">
      <c r="A2791">
        <f>HYPERLINK("https://www.philgeps.gov.ph/GEPSNONPILOT/Tender/SplashBidNoticeAbstractUI.aspx?menuIndex=3&amp;refID=7061921&amp;Result=3","7061921")</f>
        <v>0</v>
      </c>
      <c r="B2791" t="s">
        <v>1095</v>
      </c>
      <c r="C2791" t="s">
        <v>6231</v>
      </c>
      <c r="D2791" t="s">
        <v>18798</v>
      </c>
      <c r="E2791" t="s">
        <v>21442</v>
      </c>
      <c r="F2791" t="s">
        <v>32664</v>
      </c>
      <c r="G2791" t="s">
        <v>32671</v>
      </c>
      <c r="H2791" t="s">
        <v>12635</v>
      </c>
      <c r="I2791" t="s">
        <v>6223</v>
      </c>
      <c r="J2791" t="s">
        <v>34743</v>
      </c>
      <c r="K2791" t="s">
        <v>42281</v>
      </c>
      <c r="M2791" t="s">
        <v>42640</v>
      </c>
      <c r="N2791" t="s">
        <v>46569</v>
      </c>
      <c r="O2791" t="s">
        <v>46570</v>
      </c>
      <c r="P2791">
        <v>0</v>
      </c>
      <c r="Q2791">
        <v>0</v>
      </c>
      <c r="R2791" t="s">
        <v>46572</v>
      </c>
      <c r="S2791" t="s">
        <v>46689</v>
      </c>
      <c r="T2791" t="s">
        <v>48286</v>
      </c>
      <c r="U2791" t="s">
        <v>51109</v>
      </c>
      <c r="W2791" t="s">
        <v>42640</v>
      </c>
      <c r="X2791" t="s">
        <v>46573</v>
      </c>
    </row>
    <row r="2792" spans="1:24">
      <c r="A2792">
        <f>HYPERLINK("https://www.philgeps.gov.ph/GEPSNONPILOT/Tender/SplashBidNoticeAbstractUI.aspx?menuIndex=3&amp;refID=7061917&amp;Result=3","7061917")</f>
        <v>0</v>
      </c>
      <c r="B2792" t="s">
        <v>790</v>
      </c>
      <c r="C2792" t="s">
        <v>6232</v>
      </c>
      <c r="D2792" t="s">
        <v>18809</v>
      </c>
      <c r="E2792" t="s">
        <v>21443</v>
      </c>
      <c r="F2792" t="s">
        <v>32664</v>
      </c>
      <c r="G2792" t="s">
        <v>32672</v>
      </c>
      <c r="H2792" t="s">
        <v>32683</v>
      </c>
      <c r="I2792" t="s">
        <v>10627</v>
      </c>
      <c r="J2792" t="s">
        <v>33761</v>
      </c>
      <c r="K2792" t="s">
        <v>42399</v>
      </c>
      <c r="M2792" t="s">
        <v>43382</v>
      </c>
      <c r="N2792" t="s">
        <v>46569</v>
      </c>
      <c r="O2792" t="s">
        <v>46570</v>
      </c>
      <c r="P2792">
        <v>0</v>
      </c>
      <c r="Q2792">
        <v>0</v>
      </c>
      <c r="R2792" t="s">
        <v>46572</v>
      </c>
      <c r="S2792" t="s">
        <v>46689</v>
      </c>
      <c r="T2792" t="s">
        <v>48463</v>
      </c>
      <c r="U2792" t="s">
        <v>51110</v>
      </c>
      <c r="W2792" t="s">
        <v>43382</v>
      </c>
      <c r="X2792" t="s">
        <v>46573</v>
      </c>
    </row>
    <row r="2793" spans="1:24">
      <c r="A2793">
        <f>HYPERLINK("https://www.philgeps.gov.ph/GEPSNONPILOT/Tender/SplashBidNoticeAbstractUI.aspx?menuIndex=3&amp;refID=7061898&amp;Result=3","7061898")</f>
        <v>0</v>
      </c>
      <c r="B2793" t="s">
        <v>1106</v>
      </c>
      <c r="C2793" t="s">
        <v>6233</v>
      </c>
      <c r="D2793" t="s">
        <v>18837</v>
      </c>
      <c r="E2793" t="s">
        <v>18889</v>
      </c>
      <c r="F2793" t="s">
        <v>32664</v>
      </c>
      <c r="G2793" t="s">
        <v>32672</v>
      </c>
      <c r="H2793" t="s">
        <v>32683</v>
      </c>
      <c r="I2793" t="s">
        <v>10627</v>
      </c>
      <c r="J2793" t="s">
        <v>34744</v>
      </c>
      <c r="K2793" t="s">
        <v>42283</v>
      </c>
      <c r="M2793" t="s">
        <v>43733</v>
      </c>
      <c r="N2793" t="s">
        <v>46569</v>
      </c>
      <c r="O2793" t="s">
        <v>46570</v>
      </c>
      <c r="P2793">
        <v>0</v>
      </c>
      <c r="Q2793">
        <v>0</v>
      </c>
      <c r="R2793" t="s">
        <v>46572</v>
      </c>
      <c r="S2793" t="s">
        <v>46689</v>
      </c>
      <c r="T2793" t="s">
        <v>48276</v>
      </c>
      <c r="U2793" t="s">
        <v>51111</v>
      </c>
      <c r="W2793" t="s">
        <v>43733</v>
      </c>
      <c r="X2793" t="s">
        <v>46573</v>
      </c>
    </row>
    <row r="2794" spans="1:24">
      <c r="A2794">
        <f>HYPERLINK("https://www.philgeps.gov.ph/GEPSNONPILOT/Tender/SplashBidNoticeAbstractUI.aspx?menuIndex=3&amp;refID=7061914&amp;Result=3","7061914")</f>
        <v>0</v>
      </c>
      <c r="B2794" t="s">
        <v>1107</v>
      </c>
      <c r="C2794" t="s">
        <v>6234</v>
      </c>
      <c r="D2794" t="s">
        <v>18812</v>
      </c>
      <c r="E2794" t="s">
        <v>19193</v>
      </c>
      <c r="F2794" t="s">
        <v>32664</v>
      </c>
      <c r="G2794" t="s">
        <v>32672</v>
      </c>
      <c r="H2794" t="s">
        <v>12635</v>
      </c>
      <c r="I2794" t="s">
        <v>4439</v>
      </c>
      <c r="J2794" t="s">
        <v>34745</v>
      </c>
      <c r="K2794" t="s">
        <v>42297</v>
      </c>
      <c r="M2794" t="s">
        <v>43734</v>
      </c>
      <c r="N2794" t="s">
        <v>46569</v>
      </c>
      <c r="O2794" t="s">
        <v>46570</v>
      </c>
      <c r="P2794">
        <v>0</v>
      </c>
      <c r="Q2794">
        <v>0</v>
      </c>
      <c r="R2794" t="s">
        <v>46572</v>
      </c>
      <c r="S2794" t="s">
        <v>46689</v>
      </c>
      <c r="T2794" t="s">
        <v>48268</v>
      </c>
      <c r="U2794" t="s">
        <v>51112</v>
      </c>
      <c r="W2794" t="s">
        <v>43734</v>
      </c>
      <c r="X2794" t="s">
        <v>46573</v>
      </c>
    </row>
    <row r="2795" spans="1:24">
      <c r="A2795">
        <f>HYPERLINK("https://www.philgeps.gov.ph/GEPSNONPILOT/Tender/SplashBidNoticeAbstractUI.aspx?menuIndex=3&amp;refID=7061929&amp;Result=3","7061929")</f>
        <v>0</v>
      </c>
      <c r="B2795" t="s">
        <v>1108</v>
      </c>
      <c r="C2795" t="s">
        <v>6235</v>
      </c>
      <c r="D2795" t="s">
        <v>18796</v>
      </c>
      <c r="E2795" t="s">
        <v>21444</v>
      </c>
      <c r="F2795" t="s">
        <v>32664</v>
      </c>
      <c r="G2795" t="s">
        <v>32672</v>
      </c>
      <c r="H2795" t="s">
        <v>32683</v>
      </c>
      <c r="I2795" t="s">
        <v>10627</v>
      </c>
      <c r="J2795" t="s">
        <v>34746</v>
      </c>
      <c r="K2795" t="s">
        <v>42369</v>
      </c>
      <c r="M2795" t="s">
        <v>43735</v>
      </c>
      <c r="N2795" t="s">
        <v>46569</v>
      </c>
      <c r="O2795" t="s">
        <v>46570</v>
      </c>
      <c r="P2795">
        <v>0</v>
      </c>
      <c r="Q2795">
        <v>3</v>
      </c>
      <c r="R2795" t="s">
        <v>46572</v>
      </c>
      <c r="S2795" t="s">
        <v>46689</v>
      </c>
      <c r="T2795" t="s">
        <v>48220</v>
      </c>
      <c r="U2795" t="s">
        <v>51113</v>
      </c>
      <c r="V2795" t="s">
        <v>61898</v>
      </c>
      <c r="W2795" t="s">
        <v>43735</v>
      </c>
      <c r="X2795" t="s">
        <v>46573</v>
      </c>
    </row>
    <row r="2796" spans="1:24">
      <c r="A2796">
        <f>HYPERLINK("https://www.philgeps.gov.ph/GEPSNONPILOT/Tender/SplashBidNoticeAbstractUI.aspx?menuIndex=3&amp;refID=7061964&amp;Result=3","7061964")</f>
        <v>0</v>
      </c>
      <c r="B2796" t="s">
        <v>1109</v>
      </c>
      <c r="C2796" t="s">
        <v>6236</v>
      </c>
      <c r="D2796" t="s">
        <v>18837</v>
      </c>
      <c r="E2796" t="s">
        <v>21445</v>
      </c>
      <c r="F2796" t="s">
        <v>32664</v>
      </c>
      <c r="G2796" t="s">
        <v>32674</v>
      </c>
      <c r="H2796" t="s">
        <v>12635</v>
      </c>
      <c r="I2796" t="s">
        <v>6223</v>
      </c>
      <c r="J2796" t="s">
        <v>33369</v>
      </c>
      <c r="K2796" t="s">
        <v>42295</v>
      </c>
      <c r="M2796" t="s">
        <v>43736</v>
      </c>
      <c r="N2796" t="s">
        <v>46569</v>
      </c>
      <c r="O2796" t="s">
        <v>46570</v>
      </c>
      <c r="P2796">
        <v>0</v>
      </c>
      <c r="Q2796">
        <v>1</v>
      </c>
      <c r="R2796" t="s">
        <v>46572</v>
      </c>
      <c r="S2796" t="s">
        <v>46689</v>
      </c>
      <c r="T2796" t="s">
        <v>48287</v>
      </c>
      <c r="U2796" t="s">
        <v>51114</v>
      </c>
      <c r="W2796" t="s">
        <v>43736</v>
      </c>
      <c r="X2796" t="s">
        <v>46573</v>
      </c>
    </row>
    <row r="2797" spans="1:24">
      <c r="A2797">
        <f>HYPERLINK("https://www.philgeps.gov.ph/GEPSNONPILOT/Tender/SplashBidNoticeAbstractUI.aspx?menuIndex=3&amp;refID=7061966&amp;Result=3","7061966")</f>
        <v>0</v>
      </c>
      <c r="B2797" t="s">
        <v>1105</v>
      </c>
      <c r="C2797" t="s">
        <v>6237</v>
      </c>
      <c r="D2797" t="s">
        <v>18830</v>
      </c>
      <c r="E2797" t="s">
        <v>21446</v>
      </c>
      <c r="F2797" t="s">
        <v>32664</v>
      </c>
      <c r="G2797" t="s">
        <v>32671</v>
      </c>
      <c r="H2797" t="s">
        <v>12635</v>
      </c>
      <c r="I2797" t="s">
        <v>5589</v>
      </c>
      <c r="J2797" t="s">
        <v>34747</v>
      </c>
      <c r="K2797" t="s">
        <v>42283</v>
      </c>
      <c r="M2797" t="s">
        <v>43732</v>
      </c>
      <c r="N2797" t="s">
        <v>46569</v>
      </c>
      <c r="O2797" t="s">
        <v>46570</v>
      </c>
      <c r="P2797">
        <v>0</v>
      </c>
      <c r="Q2797">
        <v>0</v>
      </c>
      <c r="R2797" t="s">
        <v>46572</v>
      </c>
      <c r="S2797" t="s">
        <v>46689</v>
      </c>
      <c r="T2797" t="s">
        <v>48256</v>
      </c>
      <c r="U2797" t="s">
        <v>51115</v>
      </c>
      <c r="W2797" t="s">
        <v>43732</v>
      </c>
      <c r="X2797" t="s">
        <v>46573</v>
      </c>
    </row>
    <row r="2798" spans="1:24">
      <c r="A2798">
        <f>HYPERLINK("https://www.philgeps.gov.ph/GEPSNONPILOT/Tender/SplashBidNoticeAbstractUI.aspx?menuIndex=3&amp;refID=7061900&amp;Result=3","7061900")</f>
        <v>0</v>
      </c>
      <c r="B2798" t="s">
        <v>1105</v>
      </c>
      <c r="C2798" t="s">
        <v>6238</v>
      </c>
      <c r="D2798" t="s">
        <v>18830</v>
      </c>
      <c r="E2798" t="s">
        <v>21447</v>
      </c>
      <c r="F2798" t="s">
        <v>32664</v>
      </c>
      <c r="G2798" t="s">
        <v>32671</v>
      </c>
      <c r="H2798" t="s">
        <v>12635</v>
      </c>
      <c r="I2798" t="s">
        <v>10370</v>
      </c>
      <c r="J2798" t="s">
        <v>34748</v>
      </c>
      <c r="K2798" t="s">
        <v>42281</v>
      </c>
      <c r="M2798" t="s">
        <v>43732</v>
      </c>
      <c r="N2798" t="s">
        <v>46569</v>
      </c>
      <c r="O2798" t="s">
        <v>46570</v>
      </c>
      <c r="P2798">
        <v>0</v>
      </c>
      <c r="Q2798">
        <v>0</v>
      </c>
      <c r="R2798" t="s">
        <v>46572</v>
      </c>
      <c r="S2798" t="s">
        <v>46689</v>
      </c>
      <c r="T2798" t="s">
        <v>48256</v>
      </c>
      <c r="U2798" t="s">
        <v>51116</v>
      </c>
      <c r="W2798" t="s">
        <v>43732</v>
      </c>
      <c r="X2798" t="s">
        <v>46573</v>
      </c>
    </row>
    <row r="2799" spans="1:24">
      <c r="A2799">
        <f>HYPERLINK("https://www.philgeps.gov.ph/GEPSNONPILOT/Tender/SplashBidNoticeAbstractUI.aspx?menuIndex=3&amp;refID=7061960&amp;Result=3","7061960")</f>
        <v>0</v>
      </c>
      <c r="B2799" t="s">
        <v>1102</v>
      </c>
      <c r="C2799" t="s">
        <v>6239</v>
      </c>
      <c r="D2799" t="s">
        <v>18784</v>
      </c>
      <c r="E2799" t="s">
        <v>21448</v>
      </c>
      <c r="F2799" t="s">
        <v>32664</v>
      </c>
      <c r="G2799" t="s">
        <v>32674</v>
      </c>
      <c r="H2799" t="s">
        <v>12635</v>
      </c>
      <c r="I2799" t="s">
        <v>32684</v>
      </c>
      <c r="J2799" t="s">
        <v>34430</v>
      </c>
      <c r="K2799" t="s">
        <v>42283</v>
      </c>
      <c r="M2799" t="s">
        <v>43729</v>
      </c>
      <c r="N2799" t="s">
        <v>46569</v>
      </c>
      <c r="O2799" t="s">
        <v>46570</v>
      </c>
      <c r="P2799">
        <v>0</v>
      </c>
      <c r="Q2799">
        <v>9</v>
      </c>
      <c r="R2799" t="s">
        <v>46572</v>
      </c>
      <c r="S2799" t="s">
        <v>46689</v>
      </c>
      <c r="T2799" t="s">
        <v>48316</v>
      </c>
      <c r="U2799" t="s">
        <v>51117</v>
      </c>
      <c r="W2799" t="s">
        <v>43729</v>
      </c>
      <c r="X2799" t="s">
        <v>46573</v>
      </c>
    </row>
    <row r="2800" spans="1:24">
      <c r="A2800">
        <f>HYPERLINK("https://www.philgeps.gov.ph/GEPSNONPILOT/Tender/SplashBidNoticeAbstractUI.aspx?menuIndex=3&amp;refID=7061968&amp;Result=3","7061968")</f>
        <v>0</v>
      </c>
      <c r="B2800" t="s">
        <v>1110</v>
      </c>
      <c r="C2800" t="s">
        <v>6240</v>
      </c>
      <c r="D2800" t="s">
        <v>18781</v>
      </c>
      <c r="E2800" t="s">
        <v>21449</v>
      </c>
      <c r="F2800" t="s">
        <v>32665</v>
      </c>
      <c r="G2800" t="s">
        <v>32674</v>
      </c>
      <c r="H2800" t="s">
        <v>12635</v>
      </c>
      <c r="I2800" t="s">
        <v>6168</v>
      </c>
      <c r="J2800" t="s">
        <v>33175</v>
      </c>
      <c r="K2800" t="s">
        <v>42306</v>
      </c>
      <c r="M2800" t="s">
        <v>43737</v>
      </c>
      <c r="N2800" t="s">
        <v>46569</v>
      </c>
      <c r="O2800" t="s">
        <v>46570</v>
      </c>
      <c r="P2800">
        <v>0</v>
      </c>
      <c r="Q2800">
        <v>0</v>
      </c>
      <c r="R2800" t="s">
        <v>46572</v>
      </c>
      <c r="S2800" t="s">
        <v>46689</v>
      </c>
      <c r="T2800" t="s">
        <v>48464</v>
      </c>
      <c r="U2800" t="s">
        <v>51118</v>
      </c>
      <c r="W2800" t="s">
        <v>43737</v>
      </c>
      <c r="X2800" t="s">
        <v>46573</v>
      </c>
    </row>
    <row r="2801" spans="1:24">
      <c r="A2801">
        <f>HYPERLINK("https://www.philgeps.gov.ph/GEPSNONPILOT/Tender/SplashBidNoticeAbstractUI.aspx?menuIndex=3&amp;refID=7061882&amp;Result=3","7061882")</f>
        <v>0</v>
      </c>
      <c r="B2801" t="s">
        <v>1102</v>
      </c>
      <c r="C2801" t="s">
        <v>6241</v>
      </c>
      <c r="D2801" t="s">
        <v>18784</v>
      </c>
      <c r="E2801" t="s">
        <v>21450</v>
      </c>
      <c r="F2801" t="s">
        <v>32664</v>
      </c>
      <c r="G2801" t="s">
        <v>32674</v>
      </c>
      <c r="H2801" t="s">
        <v>12635</v>
      </c>
      <c r="I2801" t="s">
        <v>5589</v>
      </c>
      <c r="J2801" t="s">
        <v>34749</v>
      </c>
      <c r="K2801" t="s">
        <v>42283</v>
      </c>
      <c r="M2801" t="s">
        <v>43729</v>
      </c>
      <c r="N2801" t="s">
        <v>46569</v>
      </c>
      <c r="O2801" t="s">
        <v>46570</v>
      </c>
      <c r="P2801">
        <v>0</v>
      </c>
      <c r="Q2801">
        <v>8</v>
      </c>
      <c r="R2801" t="s">
        <v>46572</v>
      </c>
      <c r="S2801" t="s">
        <v>46689</v>
      </c>
      <c r="T2801" t="s">
        <v>48316</v>
      </c>
      <c r="U2801" t="s">
        <v>51119</v>
      </c>
      <c r="W2801" t="s">
        <v>43729</v>
      </c>
      <c r="X2801" t="s">
        <v>46573</v>
      </c>
    </row>
    <row r="2802" spans="1:24">
      <c r="A2802">
        <f>HYPERLINK("https://www.philgeps.gov.ph/GEPSNONPILOT/Tender/SplashBidNoticeAbstractUI.aspx?menuIndex=3&amp;refID=7061969&amp;Result=3","7061969")</f>
        <v>0</v>
      </c>
      <c r="B2802" t="s">
        <v>1095</v>
      </c>
      <c r="C2802" t="s">
        <v>6242</v>
      </c>
      <c r="D2802" t="s">
        <v>18798</v>
      </c>
      <c r="E2802" t="s">
        <v>21451</v>
      </c>
      <c r="F2802" t="s">
        <v>32664</v>
      </c>
      <c r="G2802" t="s">
        <v>32671</v>
      </c>
      <c r="H2802" t="s">
        <v>12635</v>
      </c>
      <c r="I2802" t="s">
        <v>4439</v>
      </c>
      <c r="J2802" t="s">
        <v>34750</v>
      </c>
      <c r="K2802" t="s">
        <v>42281</v>
      </c>
      <c r="M2802" t="s">
        <v>42640</v>
      </c>
      <c r="N2802" t="s">
        <v>46569</v>
      </c>
      <c r="O2802" t="s">
        <v>46570</v>
      </c>
      <c r="P2802">
        <v>0</v>
      </c>
      <c r="Q2802">
        <v>0</v>
      </c>
      <c r="R2802" t="s">
        <v>46572</v>
      </c>
      <c r="S2802" t="s">
        <v>46689</v>
      </c>
      <c r="T2802" t="s">
        <v>48286</v>
      </c>
      <c r="U2802" t="s">
        <v>51120</v>
      </c>
      <c r="W2802" t="s">
        <v>42640</v>
      </c>
      <c r="X2802" t="s">
        <v>46573</v>
      </c>
    </row>
    <row r="2803" spans="1:24">
      <c r="A2803">
        <f>HYPERLINK("https://www.philgeps.gov.ph/GEPSNONPILOT/Tender/SplashBidNoticeAbstractUI.aspx?menuIndex=3&amp;refID=7061954&amp;Result=3","7061954")</f>
        <v>0</v>
      </c>
      <c r="B2803" t="s">
        <v>810</v>
      </c>
      <c r="C2803" t="s">
        <v>6243</v>
      </c>
      <c r="D2803" t="s">
        <v>18858</v>
      </c>
      <c r="E2803" t="s">
        <v>21452</v>
      </c>
      <c r="F2803" t="s">
        <v>32664</v>
      </c>
      <c r="G2803" t="s">
        <v>32671</v>
      </c>
      <c r="H2803" t="s">
        <v>12635</v>
      </c>
      <c r="I2803" t="s">
        <v>10361</v>
      </c>
      <c r="J2803" t="s">
        <v>33251</v>
      </c>
      <c r="K2803" t="s">
        <v>42339</v>
      </c>
      <c r="M2803" t="s">
        <v>43403</v>
      </c>
      <c r="N2803" t="s">
        <v>46569</v>
      </c>
      <c r="O2803" t="s">
        <v>46570</v>
      </c>
      <c r="P2803">
        <v>0</v>
      </c>
      <c r="Q2803">
        <v>0</v>
      </c>
      <c r="R2803" t="s">
        <v>46572</v>
      </c>
      <c r="S2803" t="s">
        <v>46689</v>
      </c>
      <c r="T2803" t="s">
        <v>48217</v>
      </c>
      <c r="U2803" t="s">
        <v>50334</v>
      </c>
      <c r="W2803" t="s">
        <v>43403</v>
      </c>
      <c r="X2803" t="s">
        <v>46573</v>
      </c>
    </row>
    <row r="2804" spans="1:24">
      <c r="A2804">
        <f>HYPERLINK("https://www.philgeps.gov.ph/GEPSNONPILOT/Tender/SplashBidNoticeAbstractUI.aspx?menuIndex=3&amp;refID=7061949&amp;Result=3","7061949")</f>
        <v>0</v>
      </c>
      <c r="B2804" t="s">
        <v>1088</v>
      </c>
      <c r="C2804" t="s">
        <v>6244</v>
      </c>
      <c r="D2804" t="s">
        <v>18804</v>
      </c>
      <c r="E2804" t="s">
        <v>21453</v>
      </c>
      <c r="F2804" t="s">
        <v>32664</v>
      </c>
      <c r="G2804" t="s">
        <v>32672</v>
      </c>
      <c r="H2804" t="s">
        <v>32683</v>
      </c>
      <c r="I2804" t="s">
        <v>10627</v>
      </c>
      <c r="J2804" t="s">
        <v>34751</v>
      </c>
      <c r="K2804" t="s">
        <v>42290</v>
      </c>
      <c r="M2804" t="s">
        <v>43714</v>
      </c>
      <c r="N2804" t="s">
        <v>46569</v>
      </c>
      <c r="O2804" t="s">
        <v>46570</v>
      </c>
      <c r="P2804">
        <v>0</v>
      </c>
      <c r="Q2804">
        <v>0</v>
      </c>
      <c r="R2804" t="s">
        <v>46572</v>
      </c>
      <c r="S2804" t="s">
        <v>46689</v>
      </c>
      <c r="T2804" t="s">
        <v>48220</v>
      </c>
      <c r="U2804" t="s">
        <v>51121</v>
      </c>
      <c r="V2804" t="s">
        <v>61896</v>
      </c>
      <c r="W2804" t="s">
        <v>43714</v>
      </c>
      <c r="X2804" t="s">
        <v>46573</v>
      </c>
    </row>
    <row r="2805" spans="1:24">
      <c r="A2805">
        <f>HYPERLINK("https://www.philgeps.gov.ph/GEPSNONPILOT/Tender/SplashBidNoticeAbstractUI.aspx?menuIndex=3&amp;refID=7061947&amp;Result=3","7061947")</f>
        <v>0</v>
      </c>
      <c r="B2805" t="s">
        <v>810</v>
      </c>
      <c r="C2805" t="s">
        <v>6245</v>
      </c>
      <c r="D2805" t="s">
        <v>18858</v>
      </c>
      <c r="E2805" t="s">
        <v>21454</v>
      </c>
      <c r="F2805" t="s">
        <v>32664</v>
      </c>
      <c r="G2805" t="s">
        <v>32671</v>
      </c>
      <c r="H2805" t="s">
        <v>12635</v>
      </c>
      <c r="I2805" t="s">
        <v>10361</v>
      </c>
      <c r="J2805" t="s">
        <v>33608</v>
      </c>
      <c r="K2805" t="s">
        <v>42339</v>
      </c>
      <c r="M2805" t="s">
        <v>43403</v>
      </c>
      <c r="N2805" t="s">
        <v>46569</v>
      </c>
      <c r="O2805" t="s">
        <v>46570</v>
      </c>
      <c r="P2805">
        <v>0</v>
      </c>
      <c r="Q2805">
        <v>0</v>
      </c>
      <c r="R2805" t="s">
        <v>46572</v>
      </c>
      <c r="S2805" t="s">
        <v>46689</v>
      </c>
      <c r="T2805" t="s">
        <v>48217</v>
      </c>
      <c r="U2805" t="s">
        <v>50334</v>
      </c>
      <c r="W2805" t="s">
        <v>43403</v>
      </c>
      <c r="X2805" t="s">
        <v>46573</v>
      </c>
    </row>
    <row r="2806" spans="1:24">
      <c r="A2806">
        <f>HYPERLINK("https://www.philgeps.gov.ph/GEPSNONPILOT/Tender/SplashBidNoticeAbstractUI.aspx?menuIndex=3&amp;refID=7061946&amp;Result=3","7061946")</f>
        <v>0</v>
      </c>
      <c r="B2806" t="s">
        <v>1095</v>
      </c>
      <c r="C2806" t="s">
        <v>6246</v>
      </c>
      <c r="D2806" t="s">
        <v>18798</v>
      </c>
      <c r="E2806" t="s">
        <v>21455</v>
      </c>
      <c r="F2806" t="s">
        <v>32664</v>
      </c>
      <c r="G2806" t="s">
        <v>32671</v>
      </c>
      <c r="H2806" t="s">
        <v>12635</v>
      </c>
      <c r="I2806" t="s">
        <v>6223</v>
      </c>
      <c r="J2806" t="s">
        <v>34752</v>
      </c>
      <c r="K2806" t="s">
        <v>42281</v>
      </c>
      <c r="M2806" t="s">
        <v>42640</v>
      </c>
      <c r="N2806" t="s">
        <v>46569</v>
      </c>
      <c r="O2806" t="s">
        <v>46570</v>
      </c>
      <c r="P2806">
        <v>0</v>
      </c>
      <c r="Q2806">
        <v>0</v>
      </c>
      <c r="R2806" t="s">
        <v>46572</v>
      </c>
      <c r="S2806" t="s">
        <v>46689</v>
      </c>
      <c r="T2806" t="s">
        <v>48286</v>
      </c>
      <c r="U2806" t="s">
        <v>51122</v>
      </c>
      <c r="W2806" t="s">
        <v>42640</v>
      </c>
      <c r="X2806" t="s">
        <v>46573</v>
      </c>
    </row>
    <row r="2807" spans="1:24">
      <c r="A2807">
        <f>HYPERLINK("https://www.philgeps.gov.ph/GEPSNONPILOT/Tender/SplashBidNoticeAbstractUI.aspx?menuIndex=3&amp;refID=7061995&amp;Result=3","7061995")</f>
        <v>0</v>
      </c>
      <c r="B2807" t="s">
        <v>1111</v>
      </c>
      <c r="C2807" t="s">
        <v>6247</v>
      </c>
      <c r="E2807" t="s">
        <v>21456</v>
      </c>
      <c r="F2807" t="s">
        <v>32664</v>
      </c>
      <c r="G2807" t="s">
        <v>32672</v>
      </c>
      <c r="H2807" t="s">
        <v>12635</v>
      </c>
      <c r="I2807" t="s">
        <v>6223</v>
      </c>
      <c r="J2807" t="s">
        <v>34753</v>
      </c>
      <c r="K2807" t="s">
        <v>42284</v>
      </c>
      <c r="M2807" t="s">
        <v>43738</v>
      </c>
      <c r="N2807" t="s">
        <v>46569</v>
      </c>
      <c r="O2807" t="s">
        <v>46570</v>
      </c>
      <c r="P2807">
        <v>0</v>
      </c>
      <c r="Q2807">
        <v>1</v>
      </c>
      <c r="R2807" t="s">
        <v>46572</v>
      </c>
      <c r="S2807" t="s">
        <v>46689</v>
      </c>
      <c r="T2807" t="s">
        <v>48297</v>
      </c>
      <c r="U2807" t="s">
        <v>51123</v>
      </c>
      <c r="V2807" t="s">
        <v>61899</v>
      </c>
      <c r="W2807" t="s">
        <v>43738</v>
      </c>
      <c r="X2807" t="s">
        <v>46573</v>
      </c>
    </row>
    <row r="2808" spans="1:24">
      <c r="A2808">
        <f>HYPERLINK("https://www.philgeps.gov.ph/GEPSNONPILOT/Tender/SplashBidNoticeAbstractUI.aspx?menuIndex=3&amp;refID=7061955&amp;Result=3","7061955")</f>
        <v>0</v>
      </c>
      <c r="B2808" t="s">
        <v>1112</v>
      </c>
      <c r="C2808" t="s">
        <v>6248</v>
      </c>
      <c r="D2808" t="s">
        <v>18842</v>
      </c>
      <c r="E2808" t="s">
        <v>21457</v>
      </c>
      <c r="F2808" t="s">
        <v>32664</v>
      </c>
      <c r="G2808" t="s">
        <v>32674</v>
      </c>
      <c r="H2808" t="s">
        <v>12635</v>
      </c>
      <c r="I2808" t="s">
        <v>8730</v>
      </c>
      <c r="J2808" t="s">
        <v>34754</v>
      </c>
      <c r="K2808" t="s">
        <v>42283</v>
      </c>
      <c r="M2808" t="s">
        <v>43739</v>
      </c>
      <c r="N2808" t="s">
        <v>46569</v>
      </c>
      <c r="O2808" t="s">
        <v>46570</v>
      </c>
      <c r="P2808">
        <v>0</v>
      </c>
      <c r="Q2808">
        <v>13</v>
      </c>
      <c r="R2808" t="s">
        <v>46572</v>
      </c>
      <c r="S2808" t="s">
        <v>46689</v>
      </c>
      <c r="T2808" t="s">
        <v>48312</v>
      </c>
      <c r="U2808" t="s">
        <v>51124</v>
      </c>
      <c r="W2808" t="s">
        <v>43739</v>
      </c>
      <c r="X2808" t="s">
        <v>46573</v>
      </c>
    </row>
    <row r="2809" spans="1:24">
      <c r="A2809">
        <f>HYPERLINK("https://www.philgeps.gov.ph/GEPSNONPILOT/Tender/SplashBidNoticeAbstractUI.aspx?menuIndex=3&amp;refID=7061993&amp;Result=3","7061993")</f>
        <v>0</v>
      </c>
      <c r="B2809" t="s">
        <v>810</v>
      </c>
      <c r="C2809" t="s">
        <v>6249</v>
      </c>
      <c r="D2809" t="s">
        <v>18818</v>
      </c>
      <c r="E2809" t="s">
        <v>21458</v>
      </c>
      <c r="F2809" t="s">
        <v>32664</v>
      </c>
      <c r="G2809" t="s">
        <v>32671</v>
      </c>
      <c r="H2809" t="s">
        <v>12635</v>
      </c>
      <c r="I2809" t="s">
        <v>10361</v>
      </c>
      <c r="J2809" t="s">
        <v>34127</v>
      </c>
      <c r="K2809" t="s">
        <v>42339</v>
      </c>
      <c r="M2809" t="s">
        <v>43403</v>
      </c>
      <c r="N2809" t="s">
        <v>46569</v>
      </c>
      <c r="O2809" t="s">
        <v>46570</v>
      </c>
      <c r="P2809">
        <v>0</v>
      </c>
      <c r="Q2809">
        <v>0</v>
      </c>
      <c r="R2809" t="s">
        <v>46572</v>
      </c>
      <c r="S2809" t="s">
        <v>46689</v>
      </c>
      <c r="T2809" t="s">
        <v>48217</v>
      </c>
      <c r="U2809" t="s">
        <v>50334</v>
      </c>
      <c r="W2809" t="s">
        <v>43403</v>
      </c>
      <c r="X2809" t="s">
        <v>46573</v>
      </c>
    </row>
    <row r="2810" spans="1:24">
      <c r="A2810">
        <f>HYPERLINK("https://www.philgeps.gov.ph/GEPSNONPILOT/Tender/SplashBidNoticeAbstractUI.aspx?menuIndex=3&amp;refID=7061899&amp;Result=3","7061899")</f>
        <v>0</v>
      </c>
      <c r="B2810" t="s">
        <v>536</v>
      </c>
      <c r="C2810" t="s">
        <v>6250</v>
      </c>
      <c r="D2810" t="s">
        <v>18786</v>
      </c>
      <c r="E2810" t="s">
        <v>21459</v>
      </c>
      <c r="F2810" t="s">
        <v>32664</v>
      </c>
      <c r="G2810" t="s">
        <v>32671</v>
      </c>
      <c r="H2810" t="s">
        <v>12635</v>
      </c>
      <c r="I2810" t="s">
        <v>4333</v>
      </c>
      <c r="J2810" t="s">
        <v>34755</v>
      </c>
      <c r="K2810" t="s">
        <v>42281</v>
      </c>
      <c r="M2810" t="s">
        <v>43114</v>
      </c>
      <c r="N2810" t="s">
        <v>46569</v>
      </c>
      <c r="O2810" t="s">
        <v>46570</v>
      </c>
      <c r="P2810">
        <v>0</v>
      </c>
      <c r="Q2810">
        <v>3</v>
      </c>
      <c r="R2810" t="s">
        <v>46572</v>
      </c>
      <c r="S2810" t="s">
        <v>46689</v>
      </c>
      <c r="T2810" t="s">
        <v>48268</v>
      </c>
      <c r="U2810" t="s">
        <v>51125</v>
      </c>
      <c r="W2810" t="s">
        <v>43114</v>
      </c>
      <c r="X2810" t="s">
        <v>46573</v>
      </c>
    </row>
    <row r="2811" spans="1:24">
      <c r="A2811">
        <f>HYPERLINK("https://www.philgeps.gov.ph/GEPSNONPILOT/Tender/SplashBidNoticeAbstractUI.aspx?menuIndex=3&amp;refID=7061992&amp;Result=3","7061992")</f>
        <v>0</v>
      </c>
      <c r="B2811" t="s">
        <v>252</v>
      </c>
      <c r="C2811" t="s">
        <v>6251</v>
      </c>
      <c r="D2811" t="s">
        <v>18802</v>
      </c>
      <c r="E2811" t="s">
        <v>21460</v>
      </c>
      <c r="F2811" t="s">
        <v>32664</v>
      </c>
      <c r="G2811" t="s">
        <v>32674</v>
      </c>
      <c r="H2811" t="s">
        <v>12635</v>
      </c>
      <c r="I2811" t="s">
        <v>8730</v>
      </c>
      <c r="J2811" t="s">
        <v>34756</v>
      </c>
      <c r="K2811" t="s">
        <v>42283</v>
      </c>
      <c r="L2811" t="s">
        <v>252</v>
      </c>
      <c r="M2811" t="s">
        <v>42817</v>
      </c>
      <c r="N2811" t="s">
        <v>46569</v>
      </c>
      <c r="O2811" t="s">
        <v>46570</v>
      </c>
      <c r="P2811">
        <v>0</v>
      </c>
      <c r="Q2811">
        <v>6</v>
      </c>
      <c r="R2811" t="s">
        <v>46572</v>
      </c>
      <c r="S2811" t="s">
        <v>46689</v>
      </c>
      <c r="T2811" t="s">
        <v>48228</v>
      </c>
      <c r="U2811" t="s">
        <v>49436</v>
      </c>
      <c r="W2811" t="s">
        <v>42817</v>
      </c>
      <c r="X2811" t="s">
        <v>46573</v>
      </c>
    </row>
    <row r="2812" spans="1:24">
      <c r="A2812">
        <f>HYPERLINK("https://www.philgeps.gov.ph/GEPSNONPILOT/Tender/SplashBidNoticeAbstractUI.aspx?menuIndex=3&amp;refID=7061990&amp;Result=3","7061990")</f>
        <v>0</v>
      </c>
      <c r="B2812" t="s">
        <v>592</v>
      </c>
      <c r="C2812" t="s">
        <v>6252</v>
      </c>
      <c r="D2812" t="s">
        <v>18784</v>
      </c>
      <c r="E2812" t="s">
        <v>21461</v>
      </c>
      <c r="F2812" t="s">
        <v>32664</v>
      </c>
      <c r="G2812" t="s">
        <v>32675</v>
      </c>
      <c r="H2812" t="s">
        <v>12635</v>
      </c>
      <c r="I2812" t="s">
        <v>32741</v>
      </c>
      <c r="J2812" t="s">
        <v>34757</v>
      </c>
      <c r="K2812" t="s">
        <v>42289</v>
      </c>
      <c r="M2812" t="s">
        <v>43172</v>
      </c>
      <c r="N2812" t="s">
        <v>46569</v>
      </c>
      <c r="O2812" t="s">
        <v>46570</v>
      </c>
      <c r="P2812">
        <v>0</v>
      </c>
      <c r="Q2812">
        <v>1</v>
      </c>
      <c r="R2812" t="s">
        <v>46572</v>
      </c>
      <c r="S2812" t="s">
        <v>46689</v>
      </c>
      <c r="T2812" t="s">
        <v>48304</v>
      </c>
      <c r="U2812" t="s">
        <v>49886</v>
      </c>
      <c r="V2812" t="s">
        <v>61771</v>
      </c>
      <c r="W2812" t="s">
        <v>43172</v>
      </c>
      <c r="X2812" t="s">
        <v>46573</v>
      </c>
    </row>
    <row r="2813" spans="1:24">
      <c r="A2813">
        <f>HYPERLINK("https://www.philgeps.gov.ph/GEPSNONPILOT/Tender/SplashBidNoticeAbstractUI.aspx?menuIndex=3&amp;refID=7061988&amp;Result=3","7061988")</f>
        <v>0</v>
      </c>
      <c r="B2813" t="s">
        <v>102</v>
      </c>
      <c r="C2813" t="s">
        <v>5193</v>
      </c>
      <c r="D2813" t="s">
        <v>18788</v>
      </c>
      <c r="E2813" t="s">
        <v>21462</v>
      </c>
      <c r="F2813" t="s">
        <v>32664</v>
      </c>
      <c r="G2813" t="s">
        <v>32671</v>
      </c>
      <c r="H2813" t="s">
        <v>12635</v>
      </c>
      <c r="I2813" t="s">
        <v>6168</v>
      </c>
      <c r="J2813" t="s">
        <v>34758</v>
      </c>
      <c r="K2813" t="s">
        <v>42284</v>
      </c>
      <c r="M2813" t="s">
        <v>42666</v>
      </c>
      <c r="N2813" t="s">
        <v>46569</v>
      </c>
      <c r="O2813" t="s">
        <v>46570</v>
      </c>
      <c r="P2813">
        <v>0</v>
      </c>
      <c r="Q2813">
        <v>0</v>
      </c>
      <c r="R2813" t="s">
        <v>46572</v>
      </c>
      <c r="S2813" t="s">
        <v>46689</v>
      </c>
      <c r="T2813" t="s">
        <v>48221</v>
      </c>
      <c r="U2813" t="s">
        <v>51126</v>
      </c>
      <c r="W2813" t="s">
        <v>42666</v>
      </c>
      <c r="X2813" t="s">
        <v>46573</v>
      </c>
    </row>
    <row r="2814" spans="1:24">
      <c r="A2814">
        <f>HYPERLINK("https://www.philgeps.gov.ph/GEPSNONPILOT/Tender/SplashBidNoticeAbstractUI.aspx?menuIndex=3&amp;refID=7061987&amp;Result=3","7061987")</f>
        <v>0</v>
      </c>
      <c r="B2814" t="s">
        <v>549</v>
      </c>
      <c r="C2814" t="s">
        <v>6253</v>
      </c>
      <c r="D2814" t="s">
        <v>18781</v>
      </c>
      <c r="E2814" t="s">
        <v>21463</v>
      </c>
      <c r="F2814" t="s">
        <v>32664</v>
      </c>
      <c r="G2814" t="s">
        <v>32671</v>
      </c>
      <c r="H2814" t="s">
        <v>12635</v>
      </c>
      <c r="I2814" t="s">
        <v>8797</v>
      </c>
      <c r="J2814" t="s">
        <v>33288</v>
      </c>
      <c r="K2814" t="s">
        <v>42283</v>
      </c>
      <c r="M2814" t="s">
        <v>43129</v>
      </c>
      <c r="N2814" t="s">
        <v>46569</v>
      </c>
      <c r="O2814" t="s">
        <v>46570</v>
      </c>
      <c r="P2814">
        <v>0</v>
      </c>
      <c r="Q2814">
        <v>0</v>
      </c>
      <c r="R2814" t="s">
        <v>46572</v>
      </c>
      <c r="S2814" t="s">
        <v>46689</v>
      </c>
      <c r="T2814" t="s">
        <v>48249</v>
      </c>
      <c r="U2814" t="s">
        <v>51127</v>
      </c>
      <c r="W2814" t="s">
        <v>43129</v>
      </c>
      <c r="X2814" t="s">
        <v>46573</v>
      </c>
    </row>
    <row r="2815" spans="1:24">
      <c r="A2815">
        <f>HYPERLINK("https://www.philgeps.gov.ph/GEPSNONPILOT/Tender/SplashBidNoticeAbstractUI.aspx?menuIndex=3&amp;refID=7061962&amp;Result=3","7061962")</f>
        <v>0</v>
      </c>
      <c r="B2815" t="s">
        <v>834</v>
      </c>
      <c r="C2815" t="s">
        <v>6254</v>
      </c>
      <c r="D2815" t="s">
        <v>18831</v>
      </c>
      <c r="E2815" t="s">
        <v>21464</v>
      </c>
      <c r="F2815" t="s">
        <v>32664</v>
      </c>
      <c r="G2815" t="s">
        <v>32674</v>
      </c>
      <c r="H2815" t="s">
        <v>12635</v>
      </c>
      <c r="I2815" t="s">
        <v>32704</v>
      </c>
      <c r="J2815" t="s">
        <v>33118</v>
      </c>
      <c r="K2815" t="s">
        <v>42295</v>
      </c>
      <c r="M2815" t="s">
        <v>43740</v>
      </c>
      <c r="N2815" t="s">
        <v>46569</v>
      </c>
      <c r="O2815" t="s">
        <v>46570</v>
      </c>
      <c r="P2815">
        <v>0</v>
      </c>
      <c r="Q2815">
        <v>8</v>
      </c>
      <c r="R2815" t="s">
        <v>46572</v>
      </c>
      <c r="S2815" t="s">
        <v>46689</v>
      </c>
      <c r="T2815" t="s">
        <v>48420</v>
      </c>
      <c r="U2815" t="s">
        <v>50379</v>
      </c>
      <c r="V2815" t="s">
        <v>61824</v>
      </c>
      <c r="W2815" t="s">
        <v>43740</v>
      </c>
      <c r="X2815" t="s">
        <v>46573</v>
      </c>
    </row>
    <row r="2816" spans="1:24">
      <c r="A2816">
        <f>HYPERLINK("https://www.philgeps.gov.ph/GEPSNONPILOT/Tender/SplashBidNoticeAbstractUI.aspx?menuIndex=3&amp;refID=7061965&amp;Result=3","7061965")</f>
        <v>0</v>
      </c>
      <c r="B2816" t="s">
        <v>810</v>
      </c>
      <c r="C2816" t="s">
        <v>6255</v>
      </c>
      <c r="D2816" t="s">
        <v>18818</v>
      </c>
      <c r="E2816" t="s">
        <v>21465</v>
      </c>
      <c r="F2816" t="s">
        <v>32664</v>
      </c>
      <c r="G2816" t="s">
        <v>32671</v>
      </c>
      <c r="H2816" t="s">
        <v>12635</v>
      </c>
      <c r="I2816" t="s">
        <v>10361</v>
      </c>
      <c r="J2816" t="s">
        <v>33706</v>
      </c>
      <c r="K2816" t="s">
        <v>42339</v>
      </c>
      <c r="M2816" t="s">
        <v>43403</v>
      </c>
      <c r="N2816" t="s">
        <v>46569</v>
      </c>
      <c r="O2816" t="s">
        <v>46570</v>
      </c>
      <c r="P2816">
        <v>0</v>
      </c>
      <c r="Q2816">
        <v>0</v>
      </c>
      <c r="R2816" t="s">
        <v>46572</v>
      </c>
      <c r="S2816" t="s">
        <v>46689</v>
      </c>
      <c r="T2816" t="s">
        <v>48217</v>
      </c>
      <c r="U2816" t="s">
        <v>50334</v>
      </c>
      <c r="W2816" t="s">
        <v>43403</v>
      </c>
      <c r="X2816" t="s">
        <v>46573</v>
      </c>
    </row>
    <row r="2817" spans="1:24">
      <c r="A2817">
        <f>HYPERLINK("https://www.philgeps.gov.ph/GEPSNONPILOT/Tender/SplashBidNoticeAbstractUI.aspx?menuIndex=3&amp;refID=7061985&amp;Result=3","7061985")</f>
        <v>0</v>
      </c>
      <c r="B2817" t="s">
        <v>182</v>
      </c>
      <c r="C2817" t="s">
        <v>6256</v>
      </c>
      <c r="D2817" t="s">
        <v>18818</v>
      </c>
      <c r="E2817" t="s">
        <v>21466</v>
      </c>
      <c r="F2817" t="s">
        <v>32664</v>
      </c>
      <c r="G2817" t="s">
        <v>32671</v>
      </c>
      <c r="H2817" t="s">
        <v>12635</v>
      </c>
      <c r="I2817" t="s">
        <v>7429</v>
      </c>
      <c r="J2817" t="s">
        <v>34759</v>
      </c>
      <c r="K2817" t="s">
        <v>42281</v>
      </c>
      <c r="M2817" t="s">
        <v>42746</v>
      </c>
      <c r="N2817" t="s">
        <v>46569</v>
      </c>
      <c r="O2817" t="s">
        <v>46570</v>
      </c>
      <c r="P2817">
        <v>0</v>
      </c>
      <c r="Q2817">
        <v>0</v>
      </c>
      <c r="R2817" t="s">
        <v>46572</v>
      </c>
      <c r="S2817" t="s">
        <v>46689</v>
      </c>
      <c r="T2817" t="s">
        <v>48244</v>
      </c>
      <c r="U2817" t="s">
        <v>51128</v>
      </c>
      <c r="W2817" t="s">
        <v>42746</v>
      </c>
      <c r="X2817" t="s">
        <v>46573</v>
      </c>
    </row>
    <row r="2818" spans="1:24">
      <c r="A2818">
        <f>HYPERLINK("https://www.philgeps.gov.ph/GEPSNONPILOT/Tender/SplashBidNoticeAbstractUI.aspx?menuIndex=3&amp;refID=7061989&amp;Result=3","7061989")</f>
        <v>0</v>
      </c>
      <c r="B2818" t="s">
        <v>1113</v>
      </c>
      <c r="C2818" t="s">
        <v>5383</v>
      </c>
      <c r="D2818" t="s">
        <v>18834</v>
      </c>
      <c r="E2818" t="s">
        <v>21467</v>
      </c>
      <c r="F2818" t="s">
        <v>32664</v>
      </c>
      <c r="G2818" t="s">
        <v>32671</v>
      </c>
      <c r="H2818" t="s">
        <v>12635</v>
      </c>
      <c r="I2818" t="s">
        <v>4439</v>
      </c>
      <c r="J2818" t="s">
        <v>34760</v>
      </c>
      <c r="K2818" t="s">
        <v>42297</v>
      </c>
      <c r="M2818" t="s">
        <v>43741</v>
      </c>
      <c r="N2818" t="s">
        <v>46569</v>
      </c>
      <c r="O2818" t="s">
        <v>46570</v>
      </c>
      <c r="P2818">
        <v>0</v>
      </c>
      <c r="Q2818">
        <v>0</v>
      </c>
      <c r="R2818" t="s">
        <v>46572</v>
      </c>
      <c r="S2818" t="s">
        <v>46689</v>
      </c>
      <c r="T2818" t="s">
        <v>48244</v>
      </c>
      <c r="U2818" t="s">
        <v>51129</v>
      </c>
      <c r="W2818" t="s">
        <v>43741</v>
      </c>
      <c r="X2818" t="s">
        <v>46573</v>
      </c>
    </row>
    <row r="2819" spans="1:24">
      <c r="A2819">
        <f>HYPERLINK("https://www.philgeps.gov.ph/GEPSNONPILOT/Tender/SplashBidNoticeAbstractUI.aspx?menuIndex=3&amp;refID=7061983&amp;Result=3","7061983")</f>
        <v>0</v>
      </c>
      <c r="B2819" t="s">
        <v>1105</v>
      </c>
      <c r="C2819" t="s">
        <v>6238</v>
      </c>
      <c r="D2819" t="s">
        <v>18830</v>
      </c>
      <c r="E2819" t="s">
        <v>21468</v>
      </c>
      <c r="F2819" t="s">
        <v>32664</v>
      </c>
      <c r="G2819" t="s">
        <v>32671</v>
      </c>
      <c r="H2819" t="s">
        <v>12635</v>
      </c>
      <c r="I2819" t="s">
        <v>10370</v>
      </c>
      <c r="J2819" t="s">
        <v>34761</v>
      </c>
      <c r="K2819" t="s">
        <v>42281</v>
      </c>
      <c r="M2819" t="s">
        <v>43732</v>
      </c>
      <c r="N2819" t="s">
        <v>46569</v>
      </c>
      <c r="O2819" t="s">
        <v>46570</v>
      </c>
      <c r="P2819">
        <v>0</v>
      </c>
      <c r="Q2819">
        <v>1</v>
      </c>
      <c r="R2819" t="s">
        <v>46572</v>
      </c>
      <c r="S2819" t="s">
        <v>46689</v>
      </c>
      <c r="T2819" t="s">
        <v>48256</v>
      </c>
      <c r="U2819" t="s">
        <v>51130</v>
      </c>
      <c r="W2819" t="s">
        <v>43732</v>
      </c>
      <c r="X2819" t="s">
        <v>46573</v>
      </c>
    </row>
    <row r="2820" spans="1:24">
      <c r="A2820">
        <f>HYPERLINK("https://www.philgeps.gov.ph/GEPSNONPILOT/Tender/SplashBidNoticeAbstractUI.aspx?menuIndex=3&amp;refID=7061961&amp;Result=3","7061961")</f>
        <v>0</v>
      </c>
      <c r="B2820" t="s">
        <v>1114</v>
      </c>
      <c r="C2820" t="s">
        <v>6257</v>
      </c>
      <c r="D2820" t="s">
        <v>18831</v>
      </c>
      <c r="E2820" t="s">
        <v>21469</v>
      </c>
      <c r="F2820" t="s">
        <v>32664</v>
      </c>
      <c r="G2820" t="s">
        <v>32674</v>
      </c>
      <c r="H2820" t="s">
        <v>12635</v>
      </c>
      <c r="I2820" t="s">
        <v>32699</v>
      </c>
      <c r="J2820" t="s">
        <v>32959</v>
      </c>
      <c r="K2820" t="s">
        <v>42289</v>
      </c>
      <c r="M2820" t="s">
        <v>43742</v>
      </c>
      <c r="N2820" t="s">
        <v>46569</v>
      </c>
      <c r="O2820" t="s">
        <v>46570</v>
      </c>
      <c r="P2820">
        <v>0</v>
      </c>
      <c r="Q2820">
        <v>0</v>
      </c>
      <c r="R2820" t="s">
        <v>46572</v>
      </c>
      <c r="S2820" t="s">
        <v>46689</v>
      </c>
      <c r="T2820" t="s">
        <v>48450</v>
      </c>
      <c r="U2820" t="s">
        <v>51131</v>
      </c>
      <c r="W2820" t="s">
        <v>43742</v>
      </c>
      <c r="X2820" t="s">
        <v>46573</v>
      </c>
    </row>
    <row r="2821" spans="1:24">
      <c r="A2821">
        <f>HYPERLINK("https://www.philgeps.gov.ph/GEPSNONPILOT/Tender/SplashBidNoticeAbstractUI.aspx?menuIndex=3&amp;refID=7061978&amp;Result=3","7061978")</f>
        <v>0</v>
      </c>
      <c r="B2821" t="s">
        <v>1109</v>
      </c>
      <c r="C2821" t="s">
        <v>6236</v>
      </c>
      <c r="D2821" t="s">
        <v>18837</v>
      </c>
      <c r="E2821" t="s">
        <v>21470</v>
      </c>
      <c r="F2821" t="s">
        <v>32664</v>
      </c>
      <c r="G2821" t="s">
        <v>32674</v>
      </c>
      <c r="H2821" t="s">
        <v>12635</v>
      </c>
      <c r="I2821" t="s">
        <v>8797</v>
      </c>
      <c r="J2821" t="s">
        <v>32845</v>
      </c>
      <c r="K2821" t="s">
        <v>42295</v>
      </c>
      <c r="M2821" t="s">
        <v>43736</v>
      </c>
      <c r="N2821" t="s">
        <v>46569</v>
      </c>
      <c r="O2821" t="s">
        <v>46570</v>
      </c>
      <c r="P2821">
        <v>0</v>
      </c>
      <c r="Q2821">
        <v>1</v>
      </c>
      <c r="R2821" t="s">
        <v>46572</v>
      </c>
      <c r="S2821" t="s">
        <v>46689</v>
      </c>
      <c r="T2821" t="s">
        <v>48287</v>
      </c>
      <c r="U2821" t="s">
        <v>51132</v>
      </c>
      <c r="W2821" t="s">
        <v>43736</v>
      </c>
      <c r="X2821" t="s">
        <v>46573</v>
      </c>
    </row>
    <row r="2822" spans="1:24">
      <c r="A2822">
        <f>HYPERLINK("https://www.philgeps.gov.ph/GEPSNONPILOT/Tender/SplashBidNoticeAbstractUI.aspx?menuIndex=3&amp;refID=7061975&amp;Result=3","7061975")</f>
        <v>0</v>
      </c>
      <c r="B2822" t="s">
        <v>1115</v>
      </c>
      <c r="C2822" t="s">
        <v>6258</v>
      </c>
      <c r="D2822" t="s">
        <v>18799</v>
      </c>
      <c r="E2822" t="s">
        <v>21471</v>
      </c>
      <c r="F2822" t="s">
        <v>32664</v>
      </c>
      <c r="G2822" t="s">
        <v>32671</v>
      </c>
      <c r="H2822" t="s">
        <v>12635</v>
      </c>
      <c r="I2822" t="s">
        <v>5589</v>
      </c>
      <c r="J2822" t="s">
        <v>32917</v>
      </c>
      <c r="K2822" t="s">
        <v>42283</v>
      </c>
      <c r="M2822" t="s">
        <v>43743</v>
      </c>
      <c r="N2822" t="s">
        <v>46569</v>
      </c>
      <c r="O2822" t="s">
        <v>46570</v>
      </c>
      <c r="P2822">
        <v>0</v>
      </c>
      <c r="Q2822">
        <v>2</v>
      </c>
      <c r="R2822" t="s">
        <v>46572</v>
      </c>
      <c r="S2822" t="s">
        <v>46689</v>
      </c>
      <c r="T2822" t="s">
        <v>48249</v>
      </c>
      <c r="U2822" t="s">
        <v>51133</v>
      </c>
      <c r="W2822" t="s">
        <v>43743</v>
      </c>
      <c r="X2822" t="s">
        <v>46573</v>
      </c>
    </row>
    <row r="2823" spans="1:24">
      <c r="A2823">
        <f>HYPERLINK("https://www.philgeps.gov.ph/GEPSNONPILOT/Tender/SplashBidNoticeAbstractUI.aspx?menuIndex=3&amp;refID=7061974&amp;Result=3","7061974")</f>
        <v>0</v>
      </c>
      <c r="B2823" t="s">
        <v>783</v>
      </c>
      <c r="C2823" t="s">
        <v>6259</v>
      </c>
      <c r="D2823" t="s">
        <v>18826</v>
      </c>
      <c r="E2823" t="s">
        <v>21472</v>
      </c>
      <c r="F2823" t="s">
        <v>32664</v>
      </c>
      <c r="G2823" t="s">
        <v>32675</v>
      </c>
      <c r="H2823" t="s">
        <v>12635</v>
      </c>
      <c r="I2823" t="s">
        <v>8958</v>
      </c>
      <c r="J2823" t="s">
        <v>34762</v>
      </c>
      <c r="K2823" t="s">
        <v>42283</v>
      </c>
      <c r="M2823" t="s">
        <v>43375</v>
      </c>
      <c r="N2823" t="s">
        <v>46569</v>
      </c>
      <c r="O2823" t="s">
        <v>46570</v>
      </c>
      <c r="P2823">
        <v>0</v>
      </c>
      <c r="Q2823">
        <v>1</v>
      </c>
      <c r="R2823" t="s">
        <v>46572</v>
      </c>
      <c r="S2823" t="s">
        <v>46689</v>
      </c>
      <c r="T2823" t="s">
        <v>48256</v>
      </c>
      <c r="U2823" t="s">
        <v>51134</v>
      </c>
      <c r="W2823" t="s">
        <v>43375</v>
      </c>
      <c r="X2823" t="s">
        <v>46573</v>
      </c>
    </row>
    <row r="2824" spans="1:24">
      <c r="A2824">
        <f>HYPERLINK("https://www.philgeps.gov.ph/GEPSNONPILOT/Tender/SplashBidNoticeAbstractUI.aspx?menuIndex=3&amp;refID=7061976&amp;Result=3","7061976")</f>
        <v>0</v>
      </c>
      <c r="B2824" t="s">
        <v>810</v>
      </c>
      <c r="C2824" t="s">
        <v>6260</v>
      </c>
      <c r="D2824" t="s">
        <v>18818</v>
      </c>
      <c r="E2824" t="s">
        <v>21473</v>
      </c>
      <c r="F2824" t="s">
        <v>32664</v>
      </c>
      <c r="G2824" t="s">
        <v>32671</v>
      </c>
      <c r="H2824" t="s">
        <v>12635</v>
      </c>
      <c r="I2824" t="s">
        <v>10361</v>
      </c>
      <c r="J2824" t="s">
        <v>33706</v>
      </c>
      <c r="K2824" t="s">
        <v>42339</v>
      </c>
      <c r="M2824" t="s">
        <v>43403</v>
      </c>
      <c r="N2824" t="s">
        <v>46569</v>
      </c>
      <c r="O2824" t="s">
        <v>46570</v>
      </c>
      <c r="P2824">
        <v>0</v>
      </c>
      <c r="Q2824">
        <v>0</v>
      </c>
      <c r="R2824" t="s">
        <v>46572</v>
      </c>
      <c r="S2824" t="s">
        <v>46689</v>
      </c>
      <c r="T2824" t="s">
        <v>48219</v>
      </c>
      <c r="U2824" t="s">
        <v>50334</v>
      </c>
      <c r="W2824" t="s">
        <v>43403</v>
      </c>
      <c r="X2824" t="s">
        <v>46573</v>
      </c>
    </row>
    <row r="2825" spans="1:24">
      <c r="A2825">
        <f>HYPERLINK("https://www.philgeps.gov.ph/GEPSNONPILOT/Tender/SplashBidNoticeAbstractUI.aspx?menuIndex=3&amp;refID=7061979&amp;Result=3","7061979")</f>
        <v>0</v>
      </c>
      <c r="B2825" t="s">
        <v>1116</v>
      </c>
      <c r="C2825" t="s">
        <v>6261</v>
      </c>
      <c r="D2825" t="s">
        <v>18804</v>
      </c>
      <c r="E2825" t="s">
        <v>21474</v>
      </c>
      <c r="F2825" t="s">
        <v>32664</v>
      </c>
      <c r="G2825" t="s">
        <v>32671</v>
      </c>
      <c r="H2825" t="s">
        <v>12635</v>
      </c>
      <c r="I2825" t="s">
        <v>32704</v>
      </c>
      <c r="J2825" t="s">
        <v>34763</v>
      </c>
      <c r="K2825" t="s">
        <v>42289</v>
      </c>
      <c r="M2825" t="s">
        <v>43744</v>
      </c>
      <c r="N2825" t="s">
        <v>46569</v>
      </c>
      <c r="O2825" t="s">
        <v>46570</v>
      </c>
      <c r="P2825">
        <v>0</v>
      </c>
      <c r="Q2825">
        <v>5</v>
      </c>
      <c r="R2825" t="s">
        <v>46572</v>
      </c>
      <c r="S2825" t="s">
        <v>46689</v>
      </c>
      <c r="T2825" t="s">
        <v>48221</v>
      </c>
      <c r="U2825" t="s">
        <v>51135</v>
      </c>
      <c r="W2825" t="s">
        <v>43744</v>
      </c>
      <c r="X2825" t="s">
        <v>46573</v>
      </c>
    </row>
    <row r="2826" spans="1:24">
      <c r="A2826">
        <f>HYPERLINK("https://www.philgeps.gov.ph/GEPSNONPILOT/Tender/SplashBidNoticeAbstractUI.aspx?menuIndex=3&amp;refID=7061971&amp;Result=3","7061971")</f>
        <v>0</v>
      </c>
      <c r="B2826" t="s">
        <v>885</v>
      </c>
      <c r="C2826" t="s">
        <v>6262</v>
      </c>
      <c r="D2826" t="s">
        <v>18819</v>
      </c>
      <c r="E2826" t="s">
        <v>21338</v>
      </c>
      <c r="F2826" t="s">
        <v>32664</v>
      </c>
      <c r="G2826" t="s">
        <v>32671</v>
      </c>
      <c r="H2826" t="s">
        <v>12635</v>
      </c>
      <c r="I2826" t="s">
        <v>10590</v>
      </c>
      <c r="J2826" t="s">
        <v>34764</v>
      </c>
      <c r="K2826" t="s">
        <v>42283</v>
      </c>
      <c r="M2826" t="s">
        <v>43486</v>
      </c>
      <c r="N2826" t="s">
        <v>46569</v>
      </c>
      <c r="O2826" t="s">
        <v>46570</v>
      </c>
      <c r="P2826">
        <v>0</v>
      </c>
      <c r="Q2826">
        <v>0</v>
      </c>
      <c r="R2826" t="s">
        <v>46572</v>
      </c>
      <c r="S2826" t="s">
        <v>46689</v>
      </c>
      <c r="T2826" t="s">
        <v>48256</v>
      </c>
      <c r="U2826" t="s">
        <v>51136</v>
      </c>
      <c r="V2826" t="s">
        <v>61836</v>
      </c>
      <c r="W2826" t="s">
        <v>43486</v>
      </c>
      <c r="X2826" t="s">
        <v>46573</v>
      </c>
    </row>
    <row r="2827" spans="1:24">
      <c r="A2827">
        <f>HYPERLINK("https://www.philgeps.gov.ph/GEPSNONPILOT/Tender/SplashBidNoticeAbstractUI.aspx?menuIndex=3&amp;refID=7061970&amp;Result=3","7061970")</f>
        <v>0</v>
      </c>
      <c r="B2827" t="s">
        <v>114</v>
      </c>
      <c r="C2827" t="s">
        <v>6263</v>
      </c>
      <c r="D2827" t="s">
        <v>18819</v>
      </c>
      <c r="E2827" t="s">
        <v>21475</v>
      </c>
      <c r="F2827" t="s">
        <v>32664</v>
      </c>
      <c r="G2827" t="s">
        <v>32671</v>
      </c>
      <c r="H2827" t="s">
        <v>32683</v>
      </c>
      <c r="I2827" t="s">
        <v>10627</v>
      </c>
      <c r="J2827" t="s">
        <v>33051</v>
      </c>
      <c r="K2827" t="s">
        <v>42281</v>
      </c>
      <c r="M2827" t="s">
        <v>42678</v>
      </c>
      <c r="N2827" t="s">
        <v>46569</v>
      </c>
      <c r="O2827" t="s">
        <v>46570</v>
      </c>
      <c r="P2827">
        <v>0</v>
      </c>
      <c r="Q2827">
        <v>0</v>
      </c>
      <c r="R2827" t="s">
        <v>46572</v>
      </c>
      <c r="S2827" t="s">
        <v>46689</v>
      </c>
      <c r="T2827" t="s">
        <v>48256</v>
      </c>
      <c r="U2827" t="s">
        <v>51137</v>
      </c>
      <c r="V2827" t="s">
        <v>61900</v>
      </c>
      <c r="W2827" t="s">
        <v>42678</v>
      </c>
      <c r="X2827" t="s">
        <v>46573</v>
      </c>
    </row>
    <row r="2828" spans="1:24">
      <c r="A2828">
        <f>HYPERLINK("https://www.philgeps.gov.ph/GEPSNONPILOT/Tender/SplashBidNoticeAbstractUI.aspx?menuIndex=3&amp;refID=7061944&amp;Result=3","7061944")</f>
        <v>0</v>
      </c>
      <c r="B2828" t="s">
        <v>1117</v>
      </c>
      <c r="C2828" t="s">
        <v>6264</v>
      </c>
      <c r="D2828" t="s">
        <v>18788</v>
      </c>
      <c r="E2828" t="s">
        <v>21476</v>
      </c>
      <c r="F2828" t="s">
        <v>32664</v>
      </c>
      <c r="G2828" t="s">
        <v>32672</v>
      </c>
      <c r="H2828" t="s">
        <v>12635</v>
      </c>
      <c r="I2828" t="s">
        <v>4439</v>
      </c>
      <c r="J2828" t="s">
        <v>33021</v>
      </c>
      <c r="K2828" t="s">
        <v>42289</v>
      </c>
      <c r="M2828" t="s">
        <v>43745</v>
      </c>
      <c r="N2828" t="s">
        <v>46569</v>
      </c>
      <c r="O2828" t="s">
        <v>46570</v>
      </c>
      <c r="P2828">
        <v>0</v>
      </c>
      <c r="Q2828">
        <v>0</v>
      </c>
      <c r="R2828" t="s">
        <v>46572</v>
      </c>
      <c r="S2828" t="s">
        <v>46689</v>
      </c>
      <c r="T2828" t="s">
        <v>48276</v>
      </c>
      <c r="U2828" t="s">
        <v>51138</v>
      </c>
      <c r="W2828" t="s">
        <v>43745</v>
      </c>
      <c r="X2828" t="s">
        <v>46573</v>
      </c>
    </row>
    <row r="2829" spans="1:24">
      <c r="A2829">
        <f>HYPERLINK("https://www.philgeps.gov.ph/GEPSNONPILOT/Tender/SplashBidNoticeAbstractUI.aspx?menuIndex=3&amp;refID=7061945&amp;Result=3","7061945")</f>
        <v>0</v>
      </c>
      <c r="B2829" t="s">
        <v>437</v>
      </c>
      <c r="C2829" t="s">
        <v>6265</v>
      </c>
      <c r="D2829" t="s">
        <v>18836</v>
      </c>
      <c r="E2829" t="s">
        <v>21477</v>
      </c>
      <c r="F2829" t="s">
        <v>32664</v>
      </c>
      <c r="G2829" t="s">
        <v>32674</v>
      </c>
      <c r="H2829" t="s">
        <v>12635</v>
      </c>
      <c r="I2829" t="s">
        <v>32704</v>
      </c>
      <c r="J2829" t="s">
        <v>33102</v>
      </c>
      <c r="K2829" t="s">
        <v>42289</v>
      </c>
      <c r="M2829" t="s">
        <v>43009</v>
      </c>
      <c r="N2829" t="s">
        <v>46569</v>
      </c>
      <c r="O2829" t="s">
        <v>46570</v>
      </c>
      <c r="P2829">
        <v>0</v>
      </c>
      <c r="Q2829">
        <v>3</v>
      </c>
      <c r="R2829" t="s">
        <v>46572</v>
      </c>
      <c r="S2829" t="s">
        <v>46689</v>
      </c>
      <c r="T2829" t="s">
        <v>48276</v>
      </c>
      <c r="U2829" t="s">
        <v>50926</v>
      </c>
      <c r="W2829" t="s">
        <v>43009</v>
      </c>
      <c r="X2829" t="s">
        <v>46573</v>
      </c>
    </row>
    <row r="2830" spans="1:24">
      <c r="A2830">
        <f>HYPERLINK("https://www.philgeps.gov.ph/GEPSNONPILOT/Tender/SplashBidNoticeAbstractUI.aspx?menuIndex=3&amp;refID=7062019&amp;Result=3","7062019")</f>
        <v>0</v>
      </c>
      <c r="B2830" t="s">
        <v>538</v>
      </c>
      <c r="C2830" t="s">
        <v>6266</v>
      </c>
      <c r="D2830" t="s">
        <v>18794</v>
      </c>
      <c r="E2830" t="s">
        <v>21478</v>
      </c>
      <c r="F2830" t="s">
        <v>32664</v>
      </c>
      <c r="G2830" t="s">
        <v>32671</v>
      </c>
      <c r="H2830" t="s">
        <v>12635</v>
      </c>
      <c r="I2830" t="s">
        <v>6223</v>
      </c>
      <c r="J2830" t="s">
        <v>34765</v>
      </c>
      <c r="K2830" t="s">
        <v>42281</v>
      </c>
      <c r="M2830" t="s">
        <v>43117</v>
      </c>
      <c r="N2830" t="s">
        <v>46569</v>
      </c>
      <c r="O2830" t="s">
        <v>46570</v>
      </c>
      <c r="P2830">
        <v>0</v>
      </c>
      <c r="Q2830">
        <v>2</v>
      </c>
      <c r="R2830" t="s">
        <v>46572</v>
      </c>
      <c r="S2830" t="s">
        <v>46689</v>
      </c>
      <c r="T2830" t="s">
        <v>48221</v>
      </c>
      <c r="U2830" t="s">
        <v>51139</v>
      </c>
      <c r="W2830" t="s">
        <v>43117</v>
      </c>
      <c r="X2830" t="s">
        <v>46573</v>
      </c>
    </row>
    <row r="2831" spans="1:24">
      <c r="A2831">
        <f>HYPERLINK("https://www.philgeps.gov.ph/GEPSNONPILOT/Tender/SplashBidNoticeAbstractUI.aspx?menuIndex=3&amp;refID=7061986&amp;Result=3","7061986")</f>
        <v>0</v>
      </c>
      <c r="B2831" t="s">
        <v>1118</v>
      </c>
      <c r="C2831" t="s">
        <v>6267</v>
      </c>
      <c r="D2831" t="s">
        <v>18827</v>
      </c>
      <c r="E2831" t="s">
        <v>21479</v>
      </c>
      <c r="F2831" t="s">
        <v>32664</v>
      </c>
      <c r="G2831" t="s">
        <v>32671</v>
      </c>
      <c r="H2831" t="s">
        <v>12635</v>
      </c>
      <c r="I2831" t="s">
        <v>32699</v>
      </c>
      <c r="J2831" t="s">
        <v>34766</v>
      </c>
      <c r="K2831" t="s">
        <v>42306</v>
      </c>
      <c r="M2831" t="s">
        <v>43746</v>
      </c>
      <c r="N2831" t="s">
        <v>46569</v>
      </c>
      <c r="O2831" t="s">
        <v>46570</v>
      </c>
      <c r="P2831">
        <v>0</v>
      </c>
      <c r="Q2831">
        <v>2</v>
      </c>
      <c r="R2831" t="s">
        <v>46572</v>
      </c>
      <c r="S2831" t="s">
        <v>46689</v>
      </c>
      <c r="T2831" t="s">
        <v>48219</v>
      </c>
      <c r="U2831" t="s">
        <v>51140</v>
      </c>
      <c r="W2831" t="s">
        <v>43746</v>
      </c>
      <c r="X2831" t="s">
        <v>46573</v>
      </c>
    </row>
    <row r="2832" spans="1:24">
      <c r="A2832">
        <f>HYPERLINK("https://www.philgeps.gov.ph/GEPSNONPILOT/Tender/SplashBidNoticeAbstractUI.aspx?menuIndex=3&amp;refID=7062018&amp;Result=3","7062018")</f>
        <v>0</v>
      </c>
      <c r="B2832" t="s">
        <v>810</v>
      </c>
      <c r="C2832" t="s">
        <v>6268</v>
      </c>
      <c r="D2832" t="s">
        <v>18818</v>
      </c>
      <c r="E2832" t="s">
        <v>21480</v>
      </c>
      <c r="F2832" t="s">
        <v>32664</v>
      </c>
      <c r="G2832" t="s">
        <v>32671</v>
      </c>
      <c r="H2832" t="s">
        <v>12635</v>
      </c>
      <c r="I2832" t="s">
        <v>10361</v>
      </c>
      <c r="J2832" t="s">
        <v>33107</v>
      </c>
      <c r="K2832" t="s">
        <v>42339</v>
      </c>
      <c r="M2832" t="s">
        <v>43403</v>
      </c>
      <c r="N2832" t="s">
        <v>46569</v>
      </c>
      <c r="O2832" t="s">
        <v>46570</v>
      </c>
      <c r="P2832">
        <v>0</v>
      </c>
      <c r="Q2832">
        <v>0</v>
      </c>
      <c r="R2832" t="s">
        <v>46572</v>
      </c>
      <c r="S2832" t="s">
        <v>46689</v>
      </c>
      <c r="T2832" t="s">
        <v>48217</v>
      </c>
      <c r="U2832" t="s">
        <v>50334</v>
      </c>
      <c r="W2832" t="s">
        <v>43403</v>
      </c>
      <c r="X2832" t="s">
        <v>46573</v>
      </c>
    </row>
    <row r="2833" spans="1:24">
      <c r="A2833">
        <f>HYPERLINK("https://www.philgeps.gov.ph/GEPSNONPILOT/Tender/SplashBidNoticeAbstractUI.aspx?menuIndex=3&amp;refID=7062015&amp;Result=3","7062015")</f>
        <v>0</v>
      </c>
      <c r="B2833" t="s">
        <v>783</v>
      </c>
      <c r="C2833" t="s">
        <v>5193</v>
      </c>
      <c r="D2833" t="s">
        <v>18826</v>
      </c>
      <c r="E2833" t="s">
        <v>21481</v>
      </c>
      <c r="F2833" t="s">
        <v>32664</v>
      </c>
      <c r="G2833" t="s">
        <v>32675</v>
      </c>
      <c r="H2833" t="s">
        <v>12635</v>
      </c>
      <c r="I2833" t="s">
        <v>6168</v>
      </c>
      <c r="J2833" t="s">
        <v>34767</v>
      </c>
      <c r="K2833" t="s">
        <v>42283</v>
      </c>
      <c r="M2833" t="s">
        <v>43375</v>
      </c>
      <c r="N2833" t="s">
        <v>46569</v>
      </c>
      <c r="O2833" t="s">
        <v>46570</v>
      </c>
      <c r="P2833">
        <v>0</v>
      </c>
      <c r="Q2833">
        <v>0</v>
      </c>
      <c r="R2833" t="s">
        <v>46572</v>
      </c>
      <c r="S2833" t="s">
        <v>46689</v>
      </c>
      <c r="T2833" t="s">
        <v>48256</v>
      </c>
      <c r="U2833" t="s">
        <v>51141</v>
      </c>
      <c r="W2833" t="s">
        <v>43375</v>
      </c>
      <c r="X2833" t="s">
        <v>46573</v>
      </c>
    </row>
    <row r="2834" spans="1:24">
      <c r="A2834">
        <f>HYPERLINK("https://www.philgeps.gov.ph/GEPSNONPILOT/Tender/SplashBidNoticeAbstractUI.aspx?menuIndex=3&amp;refID=7062020&amp;Result=3","7062020")</f>
        <v>0</v>
      </c>
      <c r="B2834" t="s">
        <v>594</v>
      </c>
      <c r="C2834" t="s">
        <v>6269</v>
      </c>
      <c r="D2834" t="s">
        <v>18784</v>
      </c>
      <c r="E2834" t="s">
        <v>21482</v>
      </c>
      <c r="F2834" t="s">
        <v>32664</v>
      </c>
      <c r="G2834" t="s">
        <v>32674</v>
      </c>
      <c r="H2834" t="s">
        <v>12635</v>
      </c>
      <c r="I2834" t="s">
        <v>9486</v>
      </c>
      <c r="J2834" t="s">
        <v>34768</v>
      </c>
      <c r="K2834" t="s">
        <v>42297</v>
      </c>
      <c r="M2834" t="s">
        <v>43721</v>
      </c>
      <c r="N2834" t="s">
        <v>46569</v>
      </c>
      <c r="O2834" t="s">
        <v>46570</v>
      </c>
      <c r="P2834">
        <v>0</v>
      </c>
      <c r="Q2834">
        <v>3</v>
      </c>
      <c r="R2834" t="s">
        <v>46572</v>
      </c>
      <c r="S2834" t="s">
        <v>46689</v>
      </c>
      <c r="T2834" t="s">
        <v>48461</v>
      </c>
      <c r="U2834" t="s">
        <v>51142</v>
      </c>
      <c r="V2834" t="s">
        <v>61897</v>
      </c>
      <c r="W2834" t="s">
        <v>43721</v>
      </c>
      <c r="X2834" t="s">
        <v>46573</v>
      </c>
    </row>
    <row r="2835" spans="1:24">
      <c r="A2835">
        <f>HYPERLINK("https://www.philgeps.gov.ph/GEPSNONPILOT/Tender/SplashBidNoticeAbstractUI.aspx?menuIndex=3&amp;refID=7062014&amp;Result=3","7062014")</f>
        <v>0</v>
      </c>
      <c r="B2835" t="s">
        <v>543</v>
      </c>
      <c r="C2835" t="s">
        <v>6270</v>
      </c>
      <c r="D2835" t="s">
        <v>18790</v>
      </c>
      <c r="E2835" t="s">
        <v>21483</v>
      </c>
      <c r="F2835" t="s">
        <v>32664</v>
      </c>
      <c r="G2835" t="s">
        <v>32671</v>
      </c>
      <c r="H2835" t="s">
        <v>12635</v>
      </c>
      <c r="I2835" t="s">
        <v>6628</v>
      </c>
      <c r="J2835" t="s">
        <v>33069</v>
      </c>
      <c r="K2835" t="s">
        <v>42283</v>
      </c>
      <c r="M2835" t="s">
        <v>43747</v>
      </c>
      <c r="N2835" t="s">
        <v>46569</v>
      </c>
      <c r="O2835" t="s">
        <v>46570</v>
      </c>
      <c r="P2835">
        <v>0</v>
      </c>
      <c r="Q2835">
        <v>0</v>
      </c>
      <c r="R2835" t="s">
        <v>46572</v>
      </c>
      <c r="S2835" t="s">
        <v>46689</v>
      </c>
      <c r="T2835" t="s">
        <v>48256</v>
      </c>
      <c r="U2835" t="s">
        <v>51143</v>
      </c>
      <c r="W2835" t="s">
        <v>43747</v>
      </c>
      <c r="X2835" t="s">
        <v>46573</v>
      </c>
    </row>
    <row r="2836" spans="1:24">
      <c r="A2836">
        <f>HYPERLINK("https://www.philgeps.gov.ph/GEPSNONPILOT/Tender/SplashBidNoticeAbstractUI.aspx?menuIndex=3&amp;refID=7061977&amp;Result=3","7061977")</f>
        <v>0</v>
      </c>
      <c r="B2836" t="s">
        <v>1085</v>
      </c>
      <c r="C2836" t="s">
        <v>6271</v>
      </c>
      <c r="D2836" t="s">
        <v>18851</v>
      </c>
      <c r="E2836" t="s">
        <v>21484</v>
      </c>
      <c r="F2836" t="s">
        <v>32664</v>
      </c>
      <c r="G2836" t="s">
        <v>32672</v>
      </c>
      <c r="H2836" t="s">
        <v>12635</v>
      </c>
      <c r="I2836" t="s">
        <v>32706</v>
      </c>
      <c r="J2836" t="s">
        <v>34769</v>
      </c>
      <c r="K2836" t="s">
        <v>42281</v>
      </c>
      <c r="M2836" t="s">
        <v>43711</v>
      </c>
      <c r="N2836" t="s">
        <v>46569</v>
      </c>
      <c r="O2836" t="s">
        <v>46570</v>
      </c>
      <c r="P2836">
        <v>0</v>
      </c>
      <c r="Q2836">
        <v>0</v>
      </c>
      <c r="R2836" t="s">
        <v>46572</v>
      </c>
      <c r="S2836" t="s">
        <v>46689</v>
      </c>
      <c r="T2836" t="s">
        <v>48257</v>
      </c>
      <c r="U2836" t="s">
        <v>51144</v>
      </c>
      <c r="W2836" t="s">
        <v>43711</v>
      </c>
      <c r="X2836" t="s">
        <v>46573</v>
      </c>
    </row>
    <row r="2837" spans="1:24">
      <c r="A2837">
        <f>HYPERLINK("https://www.philgeps.gov.ph/GEPSNONPILOT/Tender/SplashBidNoticeAbstractUI.aspx?menuIndex=3&amp;refID=7062013&amp;Result=3","7062013")</f>
        <v>0</v>
      </c>
      <c r="B2837" t="s">
        <v>1110</v>
      </c>
      <c r="C2837" t="s">
        <v>6272</v>
      </c>
      <c r="D2837" t="s">
        <v>18781</v>
      </c>
      <c r="E2837" t="s">
        <v>21485</v>
      </c>
      <c r="F2837" t="s">
        <v>32665</v>
      </c>
      <c r="G2837" t="s">
        <v>32674</v>
      </c>
      <c r="H2837" t="s">
        <v>12635</v>
      </c>
      <c r="I2837" t="s">
        <v>6168</v>
      </c>
      <c r="J2837" t="s">
        <v>34207</v>
      </c>
      <c r="K2837" t="s">
        <v>42306</v>
      </c>
      <c r="M2837" t="s">
        <v>43737</v>
      </c>
      <c r="N2837" t="s">
        <v>46569</v>
      </c>
      <c r="O2837" t="s">
        <v>46570</v>
      </c>
      <c r="P2837">
        <v>0</v>
      </c>
      <c r="Q2837">
        <v>0</v>
      </c>
      <c r="R2837" t="s">
        <v>46572</v>
      </c>
      <c r="S2837" t="s">
        <v>46689</v>
      </c>
      <c r="T2837" t="s">
        <v>48465</v>
      </c>
      <c r="U2837" t="s">
        <v>51145</v>
      </c>
      <c r="W2837" t="s">
        <v>43737</v>
      </c>
      <c r="X2837" t="s">
        <v>46573</v>
      </c>
    </row>
    <row r="2838" spans="1:24">
      <c r="A2838">
        <f>HYPERLINK("https://www.philgeps.gov.ph/GEPSNONPILOT/Tender/SplashBidNoticeAbstractUI.aspx?menuIndex=3&amp;refID=7062012&amp;Result=3","7062012")</f>
        <v>0</v>
      </c>
      <c r="B2838" t="s">
        <v>1119</v>
      </c>
      <c r="C2838" t="s">
        <v>6273</v>
      </c>
      <c r="D2838" t="s">
        <v>18835</v>
      </c>
      <c r="E2838" t="s">
        <v>21486</v>
      </c>
      <c r="F2838" t="s">
        <v>32664</v>
      </c>
      <c r="G2838" t="s">
        <v>32672</v>
      </c>
      <c r="H2838" t="s">
        <v>32683</v>
      </c>
      <c r="I2838" t="s">
        <v>10627</v>
      </c>
      <c r="J2838" t="s">
        <v>34770</v>
      </c>
      <c r="K2838" t="s">
        <v>42289</v>
      </c>
      <c r="M2838" t="s">
        <v>43748</v>
      </c>
      <c r="N2838" t="s">
        <v>46569</v>
      </c>
      <c r="O2838" t="s">
        <v>46570</v>
      </c>
      <c r="P2838">
        <v>0</v>
      </c>
      <c r="Q2838">
        <v>0</v>
      </c>
      <c r="R2838" t="s">
        <v>46572</v>
      </c>
      <c r="S2838" t="s">
        <v>46689</v>
      </c>
      <c r="T2838" t="s">
        <v>48268</v>
      </c>
      <c r="U2838" t="s">
        <v>51146</v>
      </c>
      <c r="V2838" t="s">
        <v>61901</v>
      </c>
      <c r="W2838" t="s">
        <v>43748</v>
      </c>
      <c r="X2838" t="s">
        <v>46573</v>
      </c>
    </row>
    <row r="2839" spans="1:24">
      <c r="A2839">
        <f>HYPERLINK("https://www.philgeps.gov.ph/GEPSNONPILOT/Tender/SplashBidNoticeAbstractUI.aspx?menuIndex=3&amp;refID=7062010&amp;Result=3","7062010")</f>
        <v>0</v>
      </c>
      <c r="B2839" t="s">
        <v>1120</v>
      </c>
      <c r="C2839" t="s">
        <v>6274</v>
      </c>
      <c r="D2839" t="s">
        <v>18781</v>
      </c>
      <c r="E2839" t="s">
        <v>19673</v>
      </c>
      <c r="F2839" t="s">
        <v>32664</v>
      </c>
      <c r="G2839" t="s">
        <v>32671</v>
      </c>
      <c r="H2839" t="s">
        <v>12635</v>
      </c>
      <c r="I2839" t="s">
        <v>32736</v>
      </c>
      <c r="J2839" t="s">
        <v>32853</v>
      </c>
      <c r="K2839" t="s">
        <v>42284</v>
      </c>
      <c r="M2839" t="s">
        <v>43749</v>
      </c>
      <c r="N2839" t="s">
        <v>46569</v>
      </c>
      <c r="O2839" t="s">
        <v>46570</v>
      </c>
      <c r="P2839">
        <v>0</v>
      </c>
      <c r="Q2839">
        <v>1</v>
      </c>
      <c r="R2839" t="s">
        <v>46572</v>
      </c>
      <c r="S2839" t="s">
        <v>46689</v>
      </c>
      <c r="T2839" t="s">
        <v>48256</v>
      </c>
      <c r="U2839" t="s">
        <v>51147</v>
      </c>
      <c r="V2839" t="s">
        <v>61902</v>
      </c>
      <c r="W2839" t="s">
        <v>43749</v>
      </c>
      <c r="X2839" t="s">
        <v>46573</v>
      </c>
    </row>
    <row r="2840" spans="1:24">
      <c r="A2840">
        <f>HYPERLINK("https://www.philgeps.gov.ph/GEPSNONPILOT/Tender/SplashBidNoticeAbstractUI.aspx?menuIndex=3&amp;refID=7061958&amp;Result=3","7061958")</f>
        <v>0</v>
      </c>
      <c r="B2840" t="s">
        <v>1095</v>
      </c>
      <c r="C2840" t="s">
        <v>6275</v>
      </c>
      <c r="D2840" t="s">
        <v>18798</v>
      </c>
      <c r="E2840" t="s">
        <v>21487</v>
      </c>
      <c r="F2840" t="s">
        <v>32664</v>
      </c>
      <c r="G2840" t="s">
        <v>32671</v>
      </c>
      <c r="H2840" t="s">
        <v>12635</v>
      </c>
      <c r="I2840" t="s">
        <v>4439</v>
      </c>
      <c r="J2840" t="s">
        <v>34771</v>
      </c>
      <c r="K2840" t="s">
        <v>42281</v>
      </c>
      <c r="M2840" t="s">
        <v>42640</v>
      </c>
      <c r="N2840" t="s">
        <v>46569</v>
      </c>
      <c r="O2840" t="s">
        <v>46570</v>
      </c>
      <c r="P2840">
        <v>0</v>
      </c>
      <c r="Q2840">
        <v>0</v>
      </c>
      <c r="R2840" t="s">
        <v>46572</v>
      </c>
      <c r="S2840" t="s">
        <v>46689</v>
      </c>
      <c r="T2840" t="s">
        <v>48286</v>
      </c>
      <c r="U2840" t="s">
        <v>51148</v>
      </c>
      <c r="W2840" t="s">
        <v>42640</v>
      </c>
      <c r="X2840" t="s">
        <v>46573</v>
      </c>
    </row>
    <row r="2841" spans="1:24">
      <c r="A2841">
        <f>HYPERLINK("https://www.philgeps.gov.ph/GEPSNONPILOT/Tender/SplashBidNoticeAbstractUI.aspx?menuIndex=3&amp;refID=7062005&amp;Result=3","7062005")</f>
        <v>0</v>
      </c>
      <c r="B2841" t="s">
        <v>1121</v>
      </c>
      <c r="C2841" t="s">
        <v>6276</v>
      </c>
      <c r="D2841" t="s">
        <v>18827</v>
      </c>
      <c r="E2841" t="s">
        <v>21488</v>
      </c>
      <c r="F2841" t="s">
        <v>32664</v>
      </c>
      <c r="G2841" t="s">
        <v>32671</v>
      </c>
      <c r="H2841" t="s">
        <v>32683</v>
      </c>
      <c r="I2841" t="s">
        <v>10627</v>
      </c>
      <c r="J2841" t="s">
        <v>33688</v>
      </c>
      <c r="K2841" t="s">
        <v>42297</v>
      </c>
      <c r="M2841" t="s">
        <v>43750</v>
      </c>
      <c r="N2841" t="s">
        <v>46569</v>
      </c>
      <c r="O2841" t="s">
        <v>46570</v>
      </c>
      <c r="P2841">
        <v>0</v>
      </c>
      <c r="Q2841">
        <v>1</v>
      </c>
      <c r="R2841" t="s">
        <v>46572</v>
      </c>
      <c r="S2841" t="s">
        <v>46689</v>
      </c>
      <c r="T2841" t="s">
        <v>48256</v>
      </c>
      <c r="U2841" t="s">
        <v>51149</v>
      </c>
      <c r="W2841" t="s">
        <v>43750</v>
      </c>
      <c r="X2841" t="s">
        <v>46573</v>
      </c>
    </row>
    <row r="2842" spans="1:24">
      <c r="A2842">
        <f>HYPERLINK("https://www.philgeps.gov.ph/GEPSNONPILOT/Tender/SplashBidNoticeAbstractUI.aspx?menuIndex=3&amp;refID=7062001&amp;Result=3","7062001")</f>
        <v>0</v>
      </c>
      <c r="B2842" t="s">
        <v>1122</v>
      </c>
      <c r="C2842" t="s">
        <v>6277</v>
      </c>
      <c r="D2842" t="s">
        <v>18858</v>
      </c>
      <c r="E2842" t="s">
        <v>21489</v>
      </c>
      <c r="F2842" t="s">
        <v>32664</v>
      </c>
      <c r="G2842" t="s">
        <v>32674</v>
      </c>
      <c r="H2842" t="s">
        <v>12635</v>
      </c>
      <c r="I2842" t="s">
        <v>32694</v>
      </c>
      <c r="J2842" t="s">
        <v>34772</v>
      </c>
      <c r="K2842" t="s">
        <v>42281</v>
      </c>
      <c r="M2842" t="s">
        <v>43751</v>
      </c>
      <c r="N2842" t="s">
        <v>46569</v>
      </c>
      <c r="O2842" t="s">
        <v>46570</v>
      </c>
      <c r="P2842">
        <v>0</v>
      </c>
      <c r="Q2842">
        <v>0</v>
      </c>
      <c r="R2842" t="s">
        <v>46572</v>
      </c>
      <c r="S2842" t="s">
        <v>46689</v>
      </c>
      <c r="T2842" t="s">
        <v>48244</v>
      </c>
      <c r="U2842" t="s">
        <v>51150</v>
      </c>
      <c r="W2842" t="s">
        <v>43751</v>
      </c>
      <c r="X2842" t="s">
        <v>46573</v>
      </c>
    </row>
    <row r="2843" spans="1:24">
      <c r="A2843">
        <f>HYPERLINK("https://www.philgeps.gov.ph/GEPSNONPILOT/Tender/SplashBidNoticeAbstractUI.aspx?menuIndex=3&amp;refID=7061982&amp;Result=3","7061982")</f>
        <v>0</v>
      </c>
      <c r="B2843" t="s">
        <v>810</v>
      </c>
      <c r="C2843" t="s">
        <v>6278</v>
      </c>
      <c r="D2843" t="s">
        <v>18858</v>
      </c>
      <c r="E2843" t="s">
        <v>21490</v>
      </c>
      <c r="F2843" t="s">
        <v>32664</v>
      </c>
      <c r="G2843" t="s">
        <v>32671</v>
      </c>
      <c r="H2843" t="s">
        <v>12635</v>
      </c>
      <c r="I2843" t="s">
        <v>10361</v>
      </c>
      <c r="J2843" t="s">
        <v>33251</v>
      </c>
      <c r="K2843" t="s">
        <v>42339</v>
      </c>
      <c r="M2843" t="s">
        <v>43403</v>
      </c>
      <c r="N2843" t="s">
        <v>46569</v>
      </c>
      <c r="O2843" t="s">
        <v>46570</v>
      </c>
      <c r="P2843">
        <v>0</v>
      </c>
      <c r="Q2843">
        <v>0</v>
      </c>
      <c r="R2843" t="s">
        <v>46572</v>
      </c>
      <c r="S2843" t="s">
        <v>46689</v>
      </c>
      <c r="T2843" t="s">
        <v>48217</v>
      </c>
      <c r="U2843" t="s">
        <v>50334</v>
      </c>
      <c r="W2843" t="s">
        <v>43403</v>
      </c>
      <c r="X2843" t="s">
        <v>46573</v>
      </c>
    </row>
    <row r="2844" spans="1:24">
      <c r="A2844">
        <f>HYPERLINK("https://www.philgeps.gov.ph/GEPSNONPILOT/Tender/SplashBidNoticeAbstractUI.aspx?menuIndex=3&amp;refID=7062000&amp;Result=3","7062000")</f>
        <v>0</v>
      </c>
      <c r="B2844" t="s">
        <v>1123</v>
      </c>
      <c r="C2844" t="s">
        <v>6279</v>
      </c>
      <c r="D2844" t="s">
        <v>18814</v>
      </c>
      <c r="E2844" t="s">
        <v>21491</v>
      </c>
      <c r="F2844" t="s">
        <v>32664</v>
      </c>
      <c r="G2844" t="s">
        <v>32672</v>
      </c>
      <c r="H2844" t="s">
        <v>32683</v>
      </c>
      <c r="I2844" t="s">
        <v>10627</v>
      </c>
      <c r="J2844" t="s">
        <v>34773</v>
      </c>
      <c r="K2844" t="s">
        <v>42400</v>
      </c>
      <c r="M2844" t="s">
        <v>43752</v>
      </c>
      <c r="N2844" t="s">
        <v>46569</v>
      </c>
      <c r="O2844" t="s">
        <v>46570</v>
      </c>
      <c r="P2844">
        <v>0</v>
      </c>
      <c r="Q2844">
        <v>0</v>
      </c>
      <c r="R2844" t="s">
        <v>46572</v>
      </c>
      <c r="S2844" t="s">
        <v>46689</v>
      </c>
      <c r="T2844" t="s">
        <v>48278</v>
      </c>
      <c r="U2844" t="s">
        <v>51151</v>
      </c>
      <c r="W2844" t="s">
        <v>43752</v>
      </c>
      <c r="X2844" t="s">
        <v>46573</v>
      </c>
    </row>
    <row r="2845" spans="1:24">
      <c r="A2845">
        <f>HYPERLINK("https://www.philgeps.gov.ph/GEPSNONPILOT/Tender/SplashBidNoticeAbstractUI.aspx?menuIndex=3&amp;refID=7062008&amp;Result=3","7062008")</f>
        <v>0</v>
      </c>
      <c r="B2845" t="s">
        <v>1105</v>
      </c>
      <c r="C2845" t="s">
        <v>6237</v>
      </c>
      <c r="D2845" t="s">
        <v>18830</v>
      </c>
      <c r="E2845" t="s">
        <v>21492</v>
      </c>
      <c r="F2845" t="s">
        <v>32664</v>
      </c>
      <c r="G2845" t="s">
        <v>32671</v>
      </c>
      <c r="H2845" t="s">
        <v>12635</v>
      </c>
      <c r="I2845" t="s">
        <v>5589</v>
      </c>
      <c r="J2845" t="s">
        <v>33457</v>
      </c>
      <c r="K2845" t="s">
        <v>42281</v>
      </c>
      <c r="M2845" t="s">
        <v>43732</v>
      </c>
      <c r="N2845" t="s">
        <v>46569</v>
      </c>
      <c r="O2845" t="s">
        <v>46570</v>
      </c>
      <c r="P2845">
        <v>0</v>
      </c>
      <c r="Q2845">
        <v>1</v>
      </c>
      <c r="R2845" t="s">
        <v>46572</v>
      </c>
      <c r="S2845" t="s">
        <v>46689</v>
      </c>
      <c r="T2845" t="s">
        <v>48256</v>
      </c>
      <c r="U2845" t="s">
        <v>51152</v>
      </c>
      <c r="W2845" t="s">
        <v>43732</v>
      </c>
      <c r="X2845" t="s">
        <v>46573</v>
      </c>
    </row>
    <row r="2846" spans="1:24">
      <c r="A2846">
        <f>HYPERLINK("https://www.philgeps.gov.ph/GEPSNONPILOT/Tender/SplashBidNoticeAbstractUI.aspx?menuIndex=3&amp;refID=7062006&amp;Result=3","7062006")</f>
        <v>0</v>
      </c>
      <c r="B2846" t="s">
        <v>1124</v>
      </c>
      <c r="C2846" t="s">
        <v>6280</v>
      </c>
      <c r="D2846" t="s">
        <v>18819</v>
      </c>
      <c r="E2846" t="s">
        <v>21493</v>
      </c>
      <c r="F2846" t="s">
        <v>32664</v>
      </c>
      <c r="G2846" t="s">
        <v>32671</v>
      </c>
      <c r="H2846" t="s">
        <v>12635</v>
      </c>
      <c r="I2846" t="s">
        <v>4205</v>
      </c>
      <c r="J2846" t="s">
        <v>32976</v>
      </c>
      <c r="K2846" t="s">
        <v>42309</v>
      </c>
      <c r="M2846" t="s">
        <v>43753</v>
      </c>
      <c r="N2846" t="s">
        <v>46569</v>
      </c>
      <c r="O2846" t="s">
        <v>46570</v>
      </c>
      <c r="P2846">
        <v>0</v>
      </c>
      <c r="Q2846">
        <v>3</v>
      </c>
      <c r="R2846" t="s">
        <v>46572</v>
      </c>
      <c r="S2846" t="s">
        <v>46689</v>
      </c>
      <c r="T2846" t="s">
        <v>48305</v>
      </c>
      <c r="U2846" t="s">
        <v>49838</v>
      </c>
      <c r="W2846" t="s">
        <v>43753</v>
      </c>
      <c r="X2846" t="s">
        <v>46573</v>
      </c>
    </row>
    <row r="2847" spans="1:24">
      <c r="A2847">
        <f>HYPERLINK("https://www.philgeps.gov.ph/GEPSNONPILOT/Tender/SplashBidNoticeAbstractUI.aspx?menuIndex=3&amp;refID=7061998&amp;Result=3","7061998")</f>
        <v>0</v>
      </c>
      <c r="B2847" t="s">
        <v>1125</v>
      </c>
      <c r="C2847" t="s">
        <v>6223</v>
      </c>
      <c r="D2847" t="s">
        <v>18801</v>
      </c>
      <c r="E2847" t="s">
        <v>20314</v>
      </c>
      <c r="F2847" t="s">
        <v>32664</v>
      </c>
      <c r="G2847" t="s">
        <v>32674</v>
      </c>
      <c r="H2847" t="s">
        <v>12635</v>
      </c>
      <c r="I2847" t="s">
        <v>6223</v>
      </c>
      <c r="J2847" t="s">
        <v>32917</v>
      </c>
      <c r="K2847" t="s">
        <v>42306</v>
      </c>
      <c r="M2847" t="s">
        <v>43754</v>
      </c>
      <c r="N2847" t="s">
        <v>46569</v>
      </c>
      <c r="O2847" t="s">
        <v>46570</v>
      </c>
      <c r="P2847">
        <v>0</v>
      </c>
      <c r="Q2847">
        <v>0</v>
      </c>
      <c r="R2847" t="s">
        <v>46572</v>
      </c>
      <c r="S2847" t="s">
        <v>46689</v>
      </c>
      <c r="T2847" t="s">
        <v>48217</v>
      </c>
      <c r="U2847" t="s">
        <v>51153</v>
      </c>
      <c r="W2847" t="s">
        <v>43754</v>
      </c>
      <c r="X2847" t="s">
        <v>46573</v>
      </c>
    </row>
    <row r="2848" spans="1:24">
      <c r="A2848">
        <f>HYPERLINK("https://www.philgeps.gov.ph/GEPSNONPILOT/Tender/SplashBidNoticeAbstractUI.aspx?menuIndex=3&amp;refID=7062043&amp;Result=3","7062043")</f>
        <v>0</v>
      </c>
      <c r="B2848" t="s">
        <v>102</v>
      </c>
      <c r="C2848" t="s">
        <v>6281</v>
      </c>
      <c r="D2848" t="s">
        <v>18788</v>
      </c>
      <c r="E2848" t="s">
        <v>21494</v>
      </c>
      <c r="F2848" t="s">
        <v>32664</v>
      </c>
      <c r="G2848" t="s">
        <v>32671</v>
      </c>
      <c r="H2848" t="s">
        <v>12635</v>
      </c>
      <c r="I2848" t="s">
        <v>8797</v>
      </c>
      <c r="J2848" t="s">
        <v>34774</v>
      </c>
      <c r="K2848" t="s">
        <v>42284</v>
      </c>
      <c r="M2848" t="s">
        <v>42666</v>
      </c>
      <c r="N2848" t="s">
        <v>46569</v>
      </c>
      <c r="O2848" t="s">
        <v>46570</v>
      </c>
      <c r="P2848">
        <v>0</v>
      </c>
      <c r="Q2848">
        <v>0</v>
      </c>
      <c r="R2848" t="s">
        <v>46572</v>
      </c>
      <c r="S2848" t="s">
        <v>46689</v>
      </c>
      <c r="T2848" t="s">
        <v>48221</v>
      </c>
      <c r="U2848" t="s">
        <v>51154</v>
      </c>
      <c r="W2848" t="s">
        <v>42666</v>
      </c>
      <c r="X2848" t="s">
        <v>46573</v>
      </c>
    </row>
    <row r="2849" spans="1:24">
      <c r="A2849">
        <f>HYPERLINK("https://www.philgeps.gov.ph/GEPSNONPILOT/Tender/SplashBidNoticeAbstractUI.aspx?menuIndex=3&amp;refID=7062042&amp;Result=3","7062042")</f>
        <v>0</v>
      </c>
      <c r="B2849" t="s">
        <v>755</v>
      </c>
      <c r="C2849" t="s">
        <v>6282</v>
      </c>
      <c r="D2849" t="s">
        <v>18818</v>
      </c>
      <c r="E2849" t="s">
        <v>21495</v>
      </c>
      <c r="F2849" t="s">
        <v>32664</v>
      </c>
      <c r="G2849" t="s">
        <v>32672</v>
      </c>
      <c r="H2849" t="s">
        <v>12635</v>
      </c>
      <c r="I2849" t="s">
        <v>7709</v>
      </c>
      <c r="J2849" t="s">
        <v>34775</v>
      </c>
      <c r="K2849" t="s">
        <v>42285</v>
      </c>
      <c r="M2849" t="s">
        <v>43345</v>
      </c>
      <c r="N2849" t="s">
        <v>46569</v>
      </c>
      <c r="O2849" t="s">
        <v>46570</v>
      </c>
      <c r="P2849">
        <v>0</v>
      </c>
      <c r="Q2849">
        <v>2</v>
      </c>
      <c r="R2849" t="s">
        <v>46572</v>
      </c>
      <c r="S2849" t="s">
        <v>46689</v>
      </c>
      <c r="T2849" t="s">
        <v>48212</v>
      </c>
      <c r="U2849" t="s">
        <v>51155</v>
      </c>
      <c r="W2849" t="s">
        <v>43345</v>
      </c>
      <c r="X2849" t="s">
        <v>46573</v>
      </c>
    </row>
    <row r="2850" spans="1:24">
      <c r="A2850">
        <f>HYPERLINK("https://www.philgeps.gov.ph/GEPSNONPILOT/Tender/SplashBidNoticeAbstractUI.aspx?menuIndex=3&amp;refID=7062041&amp;Result=3","7062041")</f>
        <v>0</v>
      </c>
      <c r="B2850" t="s">
        <v>1126</v>
      </c>
      <c r="C2850" t="s">
        <v>6283</v>
      </c>
      <c r="D2850" t="s">
        <v>18803</v>
      </c>
      <c r="E2850" t="s">
        <v>19928</v>
      </c>
      <c r="F2850" t="s">
        <v>32664</v>
      </c>
      <c r="G2850" t="s">
        <v>32671</v>
      </c>
      <c r="H2850" t="s">
        <v>12635</v>
      </c>
      <c r="I2850" t="s">
        <v>32699</v>
      </c>
      <c r="J2850" t="s">
        <v>34776</v>
      </c>
      <c r="K2850" t="s">
        <v>42295</v>
      </c>
      <c r="M2850" t="s">
        <v>43755</v>
      </c>
      <c r="N2850" t="s">
        <v>46569</v>
      </c>
      <c r="O2850" t="s">
        <v>46570</v>
      </c>
      <c r="P2850">
        <v>0</v>
      </c>
      <c r="Q2850">
        <v>1</v>
      </c>
      <c r="R2850" t="s">
        <v>46572</v>
      </c>
      <c r="S2850" t="s">
        <v>46689</v>
      </c>
      <c r="T2850" t="s">
        <v>48249</v>
      </c>
      <c r="U2850" t="s">
        <v>51156</v>
      </c>
      <c r="W2850" t="s">
        <v>43755</v>
      </c>
      <c r="X2850" t="s">
        <v>46573</v>
      </c>
    </row>
    <row r="2851" spans="1:24">
      <c r="A2851">
        <f>HYPERLINK("https://www.philgeps.gov.ph/GEPSNONPILOT/Tender/SplashBidNoticeAbstractUI.aspx?menuIndex=3&amp;refID=7062007&amp;Result=3","7062007")</f>
        <v>0</v>
      </c>
      <c r="B2851" t="s">
        <v>810</v>
      </c>
      <c r="C2851" t="s">
        <v>6284</v>
      </c>
      <c r="D2851" t="s">
        <v>18800</v>
      </c>
      <c r="E2851" t="s">
        <v>21496</v>
      </c>
      <c r="F2851" t="s">
        <v>32664</v>
      </c>
      <c r="G2851" t="s">
        <v>32671</v>
      </c>
      <c r="H2851" t="s">
        <v>12635</v>
      </c>
      <c r="I2851" t="s">
        <v>10361</v>
      </c>
      <c r="J2851" t="s">
        <v>33706</v>
      </c>
      <c r="K2851" t="s">
        <v>42339</v>
      </c>
      <c r="M2851" t="s">
        <v>43403</v>
      </c>
      <c r="N2851" t="s">
        <v>46569</v>
      </c>
      <c r="O2851" t="s">
        <v>46570</v>
      </c>
      <c r="P2851">
        <v>0</v>
      </c>
      <c r="Q2851">
        <v>0</v>
      </c>
      <c r="R2851" t="s">
        <v>46572</v>
      </c>
      <c r="S2851" t="s">
        <v>46689</v>
      </c>
      <c r="T2851" t="s">
        <v>48217</v>
      </c>
      <c r="U2851" t="s">
        <v>50334</v>
      </c>
      <c r="W2851" t="s">
        <v>43403</v>
      </c>
      <c r="X2851" t="s">
        <v>46573</v>
      </c>
    </row>
    <row r="2852" spans="1:24">
      <c r="A2852">
        <f>HYPERLINK("https://www.philgeps.gov.ph/GEPSNONPILOT/Tender/SplashBidNoticeAbstractUI.aspx?menuIndex=3&amp;refID=7062009&amp;Result=3","7062009")</f>
        <v>0</v>
      </c>
      <c r="B2852" t="s">
        <v>1088</v>
      </c>
      <c r="C2852" t="s">
        <v>6285</v>
      </c>
      <c r="D2852" t="s">
        <v>18804</v>
      </c>
      <c r="E2852" t="s">
        <v>21497</v>
      </c>
      <c r="F2852" t="s">
        <v>32664</v>
      </c>
      <c r="G2852" t="s">
        <v>32672</v>
      </c>
      <c r="H2852" t="s">
        <v>32683</v>
      </c>
      <c r="I2852" t="s">
        <v>10627</v>
      </c>
      <c r="J2852" t="s">
        <v>34777</v>
      </c>
      <c r="K2852" t="s">
        <v>42312</v>
      </c>
      <c r="M2852" t="s">
        <v>43714</v>
      </c>
      <c r="N2852" t="s">
        <v>46569</v>
      </c>
      <c r="O2852" t="s">
        <v>46570</v>
      </c>
      <c r="P2852">
        <v>0</v>
      </c>
      <c r="Q2852">
        <v>0</v>
      </c>
      <c r="R2852" t="s">
        <v>46572</v>
      </c>
      <c r="S2852" t="s">
        <v>46689</v>
      </c>
      <c r="T2852" t="s">
        <v>48220</v>
      </c>
      <c r="U2852" t="s">
        <v>51157</v>
      </c>
      <c r="V2852" t="s">
        <v>61896</v>
      </c>
      <c r="W2852" t="s">
        <v>43714</v>
      </c>
      <c r="X2852" t="s">
        <v>46573</v>
      </c>
    </row>
    <row r="2853" spans="1:24">
      <c r="A2853">
        <f>HYPERLINK("https://www.philgeps.gov.ph/GEPSNONPILOT/Tender/SplashBidNoticeAbstractUI.aspx?menuIndex=3&amp;refID=7062039&amp;Result=3","7062039")</f>
        <v>0</v>
      </c>
      <c r="B2853" t="s">
        <v>1105</v>
      </c>
      <c r="C2853" t="s">
        <v>5443</v>
      </c>
      <c r="D2853" t="s">
        <v>18830</v>
      </c>
      <c r="E2853" t="s">
        <v>21498</v>
      </c>
      <c r="F2853" t="s">
        <v>32664</v>
      </c>
      <c r="G2853" t="s">
        <v>32671</v>
      </c>
      <c r="H2853" t="s">
        <v>12635</v>
      </c>
      <c r="I2853" t="s">
        <v>8797</v>
      </c>
      <c r="J2853" t="s">
        <v>33299</v>
      </c>
      <c r="K2853" t="s">
        <v>42281</v>
      </c>
      <c r="M2853" t="s">
        <v>43732</v>
      </c>
      <c r="N2853" t="s">
        <v>46569</v>
      </c>
      <c r="O2853" t="s">
        <v>46570</v>
      </c>
      <c r="P2853">
        <v>0</v>
      </c>
      <c r="Q2853">
        <v>5</v>
      </c>
      <c r="R2853" t="s">
        <v>46572</v>
      </c>
      <c r="S2853" t="s">
        <v>46689</v>
      </c>
      <c r="T2853" t="s">
        <v>48256</v>
      </c>
      <c r="U2853" t="s">
        <v>51158</v>
      </c>
      <c r="W2853" t="s">
        <v>43732</v>
      </c>
      <c r="X2853" t="s">
        <v>46573</v>
      </c>
    </row>
    <row r="2854" spans="1:24">
      <c r="A2854">
        <f>HYPERLINK("https://www.philgeps.gov.ph/GEPSNONPILOT/Tender/SplashBidNoticeAbstractUI.aspx?menuIndex=3&amp;refID=7062037&amp;Result=3","7062037")</f>
        <v>0</v>
      </c>
      <c r="B2854" t="s">
        <v>810</v>
      </c>
      <c r="C2854" t="s">
        <v>6286</v>
      </c>
      <c r="D2854" t="s">
        <v>18858</v>
      </c>
      <c r="E2854" t="s">
        <v>21499</v>
      </c>
      <c r="F2854" t="s">
        <v>32664</v>
      </c>
      <c r="G2854" t="s">
        <v>32671</v>
      </c>
      <c r="H2854" t="s">
        <v>12635</v>
      </c>
      <c r="I2854" t="s">
        <v>10361</v>
      </c>
      <c r="J2854" t="s">
        <v>33107</v>
      </c>
      <c r="K2854" t="s">
        <v>42339</v>
      </c>
      <c r="M2854" t="s">
        <v>43403</v>
      </c>
      <c r="N2854" t="s">
        <v>46569</v>
      </c>
      <c r="O2854" t="s">
        <v>46570</v>
      </c>
      <c r="P2854">
        <v>0</v>
      </c>
      <c r="Q2854">
        <v>0</v>
      </c>
      <c r="R2854" t="s">
        <v>46572</v>
      </c>
      <c r="S2854" t="s">
        <v>46689</v>
      </c>
      <c r="T2854" t="s">
        <v>48217</v>
      </c>
      <c r="U2854" t="s">
        <v>50334</v>
      </c>
      <c r="W2854" t="s">
        <v>43403</v>
      </c>
      <c r="X2854" t="s">
        <v>46573</v>
      </c>
    </row>
    <row r="2855" spans="1:24">
      <c r="A2855">
        <f>HYPERLINK("https://www.philgeps.gov.ph/GEPSNONPILOT/Tender/SplashBidNoticeAbstractUI.aspx?menuIndex=3&amp;refID=7062004&amp;Result=3","7062004")</f>
        <v>0</v>
      </c>
      <c r="B2855" t="s">
        <v>783</v>
      </c>
      <c r="C2855" t="s">
        <v>6287</v>
      </c>
      <c r="D2855" t="s">
        <v>18826</v>
      </c>
      <c r="E2855" t="s">
        <v>21500</v>
      </c>
      <c r="F2855" t="s">
        <v>32664</v>
      </c>
      <c r="G2855" t="s">
        <v>32675</v>
      </c>
      <c r="H2855" t="s">
        <v>12635</v>
      </c>
      <c r="I2855" t="s">
        <v>6168</v>
      </c>
      <c r="J2855" t="s">
        <v>34778</v>
      </c>
      <c r="K2855" t="s">
        <v>42283</v>
      </c>
      <c r="M2855" t="s">
        <v>43375</v>
      </c>
      <c r="N2855" t="s">
        <v>46569</v>
      </c>
      <c r="O2855" t="s">
        <v>46570</v>
      </c>
      <c r="P2855">
        <v>0</v>
      </c>
      <c r="Q2855">
        <v>1</v>
      </c>
      <c r="R2855" t="s">
        <v>46572</v>
      </c>
      <c r="S2855" t="s">
        <v>46689</v>
      </c>
      <c r="T2855" t="s">
        <v>48256</v>
      </c>
      <c r="U2855" t="s">
        <v>51159</v>
      </c>
      <c r="W2855" t="s">
        <v>43375</v>
      </c>
      <c r="X2855" t="s">
        <v>46573</v>
      </c>
    </row>
    <row r="2856" spans="1:24">
      <c r="A2856">
        <f>HYPERLINK("https://www.philgeps.gov.ph/GEPSNONPILOT/Tender/SplashBidNoticeAbstractUI.aspx?menuIndex=3&amp;refID=7062035&amp;Result=3","7062035")</f>
        <v>0</v>
      </c>
      <c r="B2856" t="s">
        <v>482</v>
      </c>
      <c r="C2856" t="s">
        <v>6288</v>
      </c>
      <c r="D2856" t="s">
        <v>18838</v>
      </c>
      <c r="E2856" t="s">
        <v>21501</v>
      </c>
      <c r="F2856" t="s">
        <v>32664</v>
      </c>
      <c r="G2856" t="s">
        <v>32671</v>
      </c>
      <c r="H2856" t="s">
        <v>32682</v>
      </c>
      <c r="I2856" t="s">
        <v>5501</v>
      </c>
      <c r="J2856" t="s">
        <v>34779</v>
      </c>
      <c r="K2856" t="s">
        <v>42284</v>
      </c>
      <c r="M2856" t="s">
        <v>43057</v>
      </c>
      <c r="N2856" t="s">
        <v>46569</v>
      </c>
      <c r="O2856" t="s">
        <v>46570</v>
      </c>
      <c r="P2856">
        <v>0</v>
      </c>
      <c r="Q2856">
        <v>11</v>
      </c>
      <c r="R2856" t="s">
        <v>46572</v>
      </c>
      <c r="S2856" t="s">
        <v>46689</v>
      </c>
      <c r="T2856" t="s">
        <v>48217</v>
      </c>
      <c r="U2856" t="s">
        <v>51160</v>
      </c>
      <c r="W2856" t="s">
        <v>63479</v>
      </c>
      <c r="X2856" t="s">
        <v>46573</v>
      </c>
    </row>
    <row r="2857" spans="1:24">
      <c r="A2857">
        <f>HYPERLINK("https://www.philgeps.gov.ph/GEPSNONPILOT/Tender/SplashBidNoticeAbstractUI.aspx?menuIndex=3&amp;refID=7062038&amp;Result=3","7062038")</f>
        <v>0</v>
      </c>
      <c r="B2857" t="s">
        <v>267</v>
      </c>
      <c r="C2857" t="s">
        <v>6289</v>
      </c>
      <c r="E2857" t="s">
        <v>21502</v>
      </c>
      <c r="F2857" t="s">
        <v>32664</v>
      </c>
      <c r="G2857" t="s">
        <v>32671</v>
      </c>
      <c r="H2857" t="s">
        <v>12635</v>
      </c>
      <c r="I2857" t="s">
        <v>5501</v>
      </c>
      <c r="J2857" t="s">
        <v>32983</v>
      </c>
      <c r="K2857" t="s">
        <v>42283</v>
      </c>
      <c r="M2857" t="s">
        <v>42832</v>
      </c>
      <c r="N2857" t="s">
        <v>46569</v>
      </c>
      <c r="O2857" t="s">
        <v>46570</v>
      </c>
      <c r="P2857">
        <v>0</v>
      </c>
      <c r="Q2857">
        <v>4</v>
      </c>
      <c r="R2857" t="s">
        <v>46572</v>
      </c>
      <c r="S2857" t="s">
        <v>46689</v>
      </c>
      <c r="T2857" t="s">
        <v>48219</v>
      </c>
      <c r="U2857" t="s">
        <v>51161</v>
      </c>
      <c r="W2857" t="s">
        <v>42832</v>
      </c>
      <c r="X2857" t="s">
        <v>46573</v>
      </c>
    </row>
    <row r="2858" spans="1:24">
      <c r="A2858">
        <f>HYPERLINK("https://www.philgeps.gov.ph/GEPSNONPILOT/Tender/SplashBidNoticeAbstractUI.aspx?menuIndex=3&amp;refID=7062033&amp;Result=3","7062033")</f>
        <v>0</v>
      </c>
      <c r="B2858" t="s">
        <v>68</v>
      </c>
      <c r="C2858" t="s">
        <v>6290</v>
      </c>
      <c r="D2858" t="s">
        <v>18815</v>
      </c>
      <c r="E2858" t="s">
        <v>19000</v>
      </c>
      <c r="F2858" t="s">
        <v>32664</v>
      </c>
      <c r="G2858" t="s">
        <v>32674</v>
      </c>
      <c r="H2858" t="s">
        <v>12635</v>
      </c>
      <c r="I2858" t="s">
        <v>7709</v>
      </c>
      <c r="J2858" t="s">
        <v>34780</v>
      </c>
      <c r="K2858" t="s">
        <v>42283</v>
      </c>
      <c r="M2858" t="s">
        <v>42631</v>
      </c>
      <c r="N2858" t="s">
        <v>46569</v>
      </c>
      <c r="O2858" t="s">
        <v>46570</v>
      </c>
      <c r="P2858">
        <v>0</v>
      </c>
      <c r="Q2858">
        <v>0</v>
      </c>
      <c r="R2858" t="s">
        <v>46572</v>
      </c>
      <c r="S2858" t="s">
        <v>46689</v>
      </c>
      <c r="T2858" t="s">
        <v>48251</v>
      </c>
      <c r="U2858" t="s">
        <v>51162</v>
      </c>
      <c r="V2858" t="s">
        <v>61903</v>
      </c>
      <c r="W2858" t="s">
        <v>42631</v>
      </c>
      <c r="X2858" t="s">
        <v>46573</v>
      </c>
    </row>
    <row r="2859" spans="1:24">
      <c r="A2859">
        <f>HYPERLINK("https://www.philgeps.gov.ph/GEPSNONPILOT/Tender/SplashBidNoticeAbstractUI.aspx?menuIndex=3&amp;refID=7062040&amp;Result=3","7062040")</f>
        <v>0</v>
      </c>
      <c r="B2859" t="s">
        <v>388</v>
      </c>
      <c r="C2859" t="s">
        <v>6291</v>
      </c>
      <c r="D2859" t="s">
        <v>18799</v>
      </c>
      <c r="E2859" t="s">
        <v>21503</v>
      </c>
      <c r="F2859" t="s">
        <v>32664</v>
      </c>
      <c r="G2859" t="s">
        <v>32671</v>
      </c>
      <c r="H2859" t="s">
        <v>12635</v>
      </c>
      <c r="I2859" t="s">
        <v>6118</v>
      </c>
      <c r="J2859" t="s">
        <v>34781</v>
      </c>
      <c r="K2859" t="s">
        <v>42289</v>
      </c>
      <c r="M2859" t="s">
        <v>42958</v>
      </c>
      <c r="N2859" t="s">
        <v>46569</v>
      </c>
      <c r="O2859" t="s">
        <v>46570</v>
      </c>
      <c r="P2859">
        <v>0</v>
      </c>
      <c r="Q2859">
        <v>1</v>
      </c>
      <c r="R2859" t="s">
        <v>46572</v>
      </c>
      <c r="S2859" t="s">
        <v>46689</v>
      </c>
      <c r="T2859" t="s">
        <v>48244</v>
      </c>
      <c r="U2859" t="s">
        <v>49477</v>
      </c>
      <c r="W2859" t="s">
        <v>42958</v>
      </c>
      <c r="X2859" t="s">
        <v>46573</v>
      </c>
    </row>
    <row r="2860" spans="1:24">
      <c r="A2860">
        <f>HYPERLINK("https://www.philgeps.gov.ph/GEPSNONPILOT/Tender/SplashBidNoticeAbstractUI.aspx?menuIndex=3&amp;refID=7062029&amp;Result=3","7062029")</f>
        <v>0</v>
      </c>
      <c r="B2860" t="s">
        <v>810</v>
      </c>
      <c r="C2860" t="s">
        <v>6292</v>
      </c>
      <c r="D2860" t="s">
        <v>18841</v>
      </c>
      <c r="E2860" t="s">
        <v>21504</v>
      </c>
      <c r="F2860" t="s">
        <v>32664</v>
      </c>
      <c r="G2860" t="s">
        <v>32671</v>
      </c>
      <c r="H2860" t="s">
        <v>12635</v>
      </c>
      <c r="I2860" t="s">
        <v>10361</v>
      </c>
      <c r="J2860" t="s">
        <v>33905</v>
      </c>
      <c r="K2860" t="s">
        <v>42339</v>
      </c>
      <c r="M2860" t="s">
        <v>43403</v>
      </c>
      <c r="N2860" t="s">
        <v>46569</v>
      </c>
      <c r="O2860" t="s">
        <v>46570</v>
      </c>
      <c r="P2860">
        <v>0</v>
      </c>
      <c r="Q2860">
        <v>0</v>
      </c>
      <c r="R2860" t="s">
        <v>46572</v>
      </c>
      <c r="S2860" t="s">
        <v>46689</v>
      </c>
      <c r="T2860" t="s">
        <v>48217</v>
      </c>
      <c r="U2860" t="s">
        <v>50334</v>
      </c>
      <c r="W2860" t="s">
        <v>43403</v>
      </c>
      <c r="X2860" t="s">
        <v>46573</v>
      </c>
    </row>
    <row r="2861" spans="1:24">
      <c r="A2861">
        <f>HYPERLINK("https://www.philgeps.gov.ph/GEPSNONPILOT/Tender/SplashBidNoticeAbstractUI.aspx?menuIndex=3&amp;refID=7061972&amp;Result=3","7061972")</f>
        <v>0</v>
      </c>
      <c r="B2861" t="s">
        <v>555</v>
      </c>
      <c r="C2861" t="s">
        <v>6293</v>
      </c>
      <c r="D2861" t="s">
        <v>18841</v>
      </c>
      <c r="E2861" t="s">
        <v>21505</v>
      </c>
      <c r="F2861" t="s">
        <v>32664</v>
      </c>
      <c r="G2861" t="s">
        <v>32671</v>
      </c>
      <c r="H2861" t="s">
        <v>12635</v>
      </c>
      <c r="I2861" t="s">
        <v>9486</v>
      </c>
      <c r="J2861" t="s">
        <v>34782</v>
      </c>
      <c r="K2861" t="s">
        <v>42289</v>
      </c>
      <c r="M2861" t="s">
        <v>43135</v>
      </c>
      <c r="N2861" t="s">
        <v>46569</v>
      </c>
      <c r="O2861" t="s">
        <v>46570</v>
      </c>
      <c r="P2861">
        <v>0</v>
      </c>
      <c r="Q2861">
        <v>1</v>
      </c>
      <c r="R2861" t="s">
        <v>46572</v>
      </c>
      <c r="S2861" t="s">
        <v>46689</v>
      </c>
      <c r="T2861" t="s">
        <v>48282</v>
      </c>
      <c r="U2861" t="s">
        <v>51163</v>
      </c>
      <c r="W2861" t="s">
        <v>43135</v>
      </c>
      <c r="X2861" t="s">
        <v>46573</v>
      </c>
    </row>
    <row r="2862" spans="1:24">
      <c r="A2862">
        <f>HYPERLINK("https://www.philgeps.gov.ph/GEPSNONPILOT/Tender/SplashBidNoticeAbstractUI.aspx?menuIndex=3&amp;refID=7062034&amp;Result=3","7062034")</f>
        <v>0</v>
      </c>
      <c r="B2862" t="s">
        <v>1127</v>
      </c>
      <c r="C2862" t="s">
        <v>6294</v>
      </c>
      <c r="D2862" t="s">
        <v>18802</v>
      </c>
      <c r="E2862" t="s">
        <v>21506</v>
      </c>
      <c r="F2862" t="s">
        <v>32664</v>
      </c>
      <c r="G2862" t="s">
        <v>32671</v>
      </c>
      <c r="H2862" t="s">
        <v>32682</v>
      </c>
      <c r="I2862" t="s">
        <v>9946</v>
      </c>
      <c r="J2862" t="s">
        <v>34783</v>
      </c>
      <c r="K2862" t="s">
        <v>42289</v>
      </c>
      <c r="M2862" t="s">
        <v>43756</v>
      </c>
      <c r="N2862" t="s">
        <v>46569</v>
      </c>
      <c r="O2862" t="s">
        <v>46570</v>
      </c>
      <c r="P2862">
        <v>0</v>
      </c>
      <c r="Q2862">
        <v>0</v>
      </c>
      <c r="R2862" t="s">
        <v>46572</v>
      </c>
      <c r="S2862" t="s">
        <v>46689</v>
      </c>
      <c r="T2862" t="s">
        <v>48226</v>
      </c>
      <c r="U2862" t="s">
        <v>51164</v>
      </c>
      <c r="W2862" t="s">
        <v>63506</v>
      </c>
      <c r="X2862" t="s">
        <v>46573</v>
      </c>
    </row>
    <row r="2863" spans="1:24">
      <c r="A2863">
        <f>HYPERLINK("https://www.philgeps.gov.ph/GEPSNONPILOT/Tender/SplashBidNoticeAbstractUI.aspx?menuIndex=3&amp;refID=7062032&amp;Result=3","7062032")</f>
        <v>0</v>
      </c>
      <c r="B2863" t="s">
        <v>1128</v>
      </c>
      <c r="C2863" t="s">
        <v>6295</v>
      </c>
      <c r="D2863" t="s">
        <v>18805</v>
      </c>
      <c r="E2863" t="s">
        <v>21507</v>
      </c>
      <c r="F2863" t="s">
        <v>32664</v>
      </c>
      <c r="G2863" t="s">
        <v>32672</v>
      </c>
      <c r="H2863" t="s">
        <v>32683</v>
      </c>
      <c r="I2863" t="s">
        <v>10627</v>
      </c>
      <c r="J2863" t="s">
        <v>34784</v>
      </c>
      <c r="K2863" t="s">
        <v>42289</v>
      </c>
      <c r="M2863" t="s">
        <v>43757</v>
      </c>
      <c r="N2863" t="s">
        <v>46569</v>
      </c>
      <c r="O2863" t="s">
        <v>46570</v>
      </c>
      <c r="P2863">
        <v>0</v>
      </c>
      <c r="Q2863">
        <v>0</v>
      </c>
      <c r="R2863" t="s">
        <v>46572</v>
      </c>
      <c r="S2863" t="s">
        <v>46689</v>
      </c>
      <c r="T2863" t="s">
        <v>48223</v>
      </c>
      <c r="U2863" t="s">
        <v>51165</v>
      </c>
      <c r="W2863" t="s">
        <v>43757</v>
      </c>
      <c r="X2863" t="s">
        <v>46573</v>
      </c>
    </row>
    <row r="2864" spans="1:24">
      <c r="A2864">
        <f>HYPERLINK("https://www.philgeps.gov.ph/GEPSNONPILOT/Tender/SplashBidNoticeAbstractUI.aspx?menuIndex=3&amp;refID=7062068&amp;Result=3","7062068")</f>
        <v>0</v>
      </c>
      <c r="B2864" t="s">
        <v>1104</v>
      </c>
      <c r="C2864" t="s">
        <v>6296</v>
      </c>
      <c r="D2864" t="s">
        <v>18830</v>
      </c>
      <c r="E2864" t="s">
        <v>21508</v>
      </c>
      <c r="F2864" t="s">
        <v>32664</v>
      </c>
      <c r="G2864" t="s">
        <v>32672</v>
      </c>
      <c r="H2864" t="s">
        <v>32683</v>
      </c>
      <c r="I2864" t="s">
        <v>10627</v>
      </c>
      <c r="J2864" t="s">
        <v>34785</v>
      </c>
      <c r="K2864" t="s">
        <v>42283</v>
      </c>
      <c r="M2864" t="s">
        <v>43731</v>
      </c>
      <c r="N2864" t="s">
        <v>46569</v>
      </c>
      <c r="O2864" t="s">
        <v>46570</v>
      </c>
      <c r="P2864">
        <v>0</v>
      </c>
      <c r="Q2864">
        <v>0</v>
      </c>
      <c r="R2864" t="s">
        <v>46572</v>
      </c>
      <c r="S2864" t="s">
        <v>46689</v>
      </c>
      <c r="T2864" t="s">
        <v>48285</v>
      </c>
      <c r="U2864" t="s">
        <v>51166</v>
      </c>
      <c r="W2864" t="s">
        <v>43731</v>
      </c>
      <c r="X2864" t="s">
        <v>46573</v>
      </c>
    </row>
    <row r="2865" spans="1:24">
      <c r="A2865">
        <f>HYPERLINK("https://www.philgeps.gov.ph/GEPSNONPILOT/Tender/SplashBidNoticeAbstractUI.aspx?menuIndex=3&amp;refID=7061999&amp;Result=3","7061999")</f>
        <v>0</v>
      </c>
      <c r="B2865" t="s">
        <v>497</v>
      </c>
      <c r="C2865" t="s">
        <v>6297</v>
      </c>
      <c r="D2865" t="s">
        <v>18791</v>
      </c>
      <c r="E2865" t="s">
        <v>21509</v>
      </c>
      <c r="F2865" t="s">
        <v>32664</v>
      </c>
      <c r="G2865" t="s">
        <v>32672</v>
      </c>
      <c r="H2865" t="s">
        <v>32683</v>
      </c>
      <c r="I2865" t="s">
        <v>10627</v>
      </c>
      <c r="J2865" t="s">
        <v>34786</v>
      </c>
      <c r="K2865" t="s">
        <v>42298</v>
      </c>
      <c r="M2865" t="s">
        <v>43073</v>
      </c>
      <c r="N2865" t="s">
        <v>46569</v>
      </c>
      <c r="O2865" t="s">
        <v>46570</v>
      </c>
      <c r="P2865">
        <v>0</v>
      </c>
      <c r="Q2865">
        <v>2</v>
      </c>
      <c r="R2865" t="s">
        <v>46572</v>
      </c>
      <c r="S2865" t="s">
        <v>46689</v>
      </c>
      <c r="T2865" t="s">
        <v>48253</v>
      </c>
      <c r="U2865" t="s">
        <v>51167</v>
      </c>
      <c r="W2865" t="s">
        <v>43073</v>
      </c>
      <c r="X2865" t="s">
        <v>46573</v>
      </c>
    </row>
    <row r="2866" spans="1:24">
      <c r="A2866">
        <f>HYPERLINK("https://www.philgeps.gov.ph/GEPSNONPILOT/Tender/SplashBidNoticeAbstractUI.aspx?menuIndex=3&amp;refID=7062066&amp;Result=3","7062066")</f>
        <v>0</v>
      </c>
      <c r="B2866" t="s">
        <v>1129</v>
      </c>
      <c r="C2866" t="s">
        <v>6298</v>
      </c>
      <c r="D2866" t="s">
        <v>18833</v>
      </c>
      <c r="E2866" t="s">
        <v>21510</v>
      </c>
      <c r="F2866" t="s">
        <v>32664</v>
      </c>
      <c r="G2866" t="s">
        <v>32671</v>
      </c>
      <c r="H2866" t="s">
        <v>12635</v>
      </c>
      <c r="I2866" t="s">
        <v>32712</v>
      </c>
      <c r="J2866" t="s">
        <v>33299</v>
      </c>
      <c r="K2866" t="s">
        <v>42289</v>
      </c>
      <c r="M2866" t="s">
        <v>43758</v>
      </c>
      <c r="N2866" t="s">
        <v>46569</v>
      </c>
      <c r="O2866" t="s">
        <v>46570</v>
      </c>
      <c r="P2866">
        <v>0</v>
      </c>
      <c r="Q2866">
        <v>3</v>
      </c>
      <c r="R2866" t="s">
        <v>46572</v>
      </c>
      <c r="S2866" t="s">
        <v>46689</v>
      </c>
      <c r="T2866" t="s">
        <v>48244</v>
      </c>
      <c r="U2866" t="s">
        <v>51168</v>
      </c>
      <c r="W2866" t="s">
        <v>43758</v>
      </c>
      <c r="X2866" t="s">
        <v>46573</v>
      </c>
    </row>
    <row r="2867" spans="1:24">
      <c r="A2867">
        <f>HYPERLINK("https://www.philgeps.gov.ph/GEPSNONPILOT/Tender/SplashBidNoticeAbstractUI.aspx?menuIndex=3&amp;refID=7062063&amp;Result=3","7062063")</f>
        <v>0</v>
      </c>
      <c r="B2867" t="s">
        <v>1088</v>
      </c>
      <c r="C2867" t="s">
        <v>6299</v>
      </c>
      <c r="D2867" t="s">
        <v>18804</v>
      </c>
      <c r="E2867" t="s">
        <v>21511</v>
      </c>
      <c r="F2867" t="s">
        <v>32664</v>
      </c>
      <c r="G2867" t="s">
        <v>32672</v>
      </c>
      <c r="H2867" t="s">
        <v>32683</v>
      </c>
      <c r="I2867" t="s">
        <v>10627</v>
      </c>
      <c r="J2867" t="s">
        <v>34787</v>
      </c>
      <c r="K2867" t="s">
        <v>42369</v>
      </c>
      <c r="M2867" t="s">
        <v>43714</v>
      </c>
      <c r="N2867" t="s">
        <v>46569</v>
      </c>
      <c r="O2867" t="s">
        <v>46570</v>
      </c>
      <c r="P2867">
        <v>0</v>
      </c>
      <c r="Q2867">
        <v>0</v>
      </c>
      <c r="R2867" t="s">
        <v>46572</v>
      </c>
      <c r="S2867" t="s">
        <v>46689</v>
      </c>
      <c r="T2867" t="s">
        <v>48220</v>
      </c>
      <c r="U2867" t="s">
        <v>51169</v>
      </c>
      <c r="V2867" t="s">
        <v>61896</v>
      </c>
      <c r="W2867" t="s">
        <v>43714</v>
      </c>
      <c r="X2867" t="s">
        <v>46573</v>
      </c>
    </row>
    <row r="2868" spans="1:24">
      <c r="A2868">
        <f>HYPERLINK("https://www.philgeps.gov.ph/GEPSNONPILOT/Tender/SplashBidNoticeAbstractUI.aspx?menuIndex=3&amp;refID=7062031&amp;Result=3","7062031")</f>
        <v>0</v>
      </c>
      <c r="B2868" t="s">
        <v>594</v>
      </c>
      <c r="C2868" t="s">
        <v>6300</v>
      </c>
      <c r="D2868" t="s">
        <v>18784</v>
      </c>
      <c r="E2868" t="s">
        <v>21512</v>
      </c>
      <c r="F2868" t="s">
        <v>32664</v>
      </c>
      <c r="G2868" t="s">
        <v>32674</v>
      </c>
      <c r="H2868" t="s">
        <v>12635</v>
      </c>
      <c r="I2868" t="s">
        <v>9486</v>
      </c>
      <c r="J2868" t="s">
        <v>34788</v>
      </c>
      <c r="K2868" t="s">
        <v>42297</v>
      </c>
      <c r="M2868" t="s">
        <v>43721</v>
      </c>
      <c r="N2868" t="s">
        <v>46569</v>
      </c>
      <c r="O2868" t="s">
        <v>46570</v>
      </c>
      <c r="P2868">
        <v>0</v>
      </c>
      <c r="Q2868">
        <v>3</v>
      </c>
      <c r="R2868" t="s">
        <v>46572</v>
      </c>
      <c r="S2868" t="s">
        <v>46689</v>
      </c>
      <c r="T2868" t="s">
        <v>48461</v>
      </c>
      <c r="U2868" t="s">
        <v>51170</v>
      </c>
      <c r="V2868" t="s">
        <v>61897</v>
      </c>
      <c r="W2868" t="s">
        <v>43721</v>
      </c>
      <c r="X2868" t="s">
        <v>46573</v>
      </c>
    </row>
    <row r="2869" spans="1:24">
      <c r="A2869">
        <f>HYPERLINK("https://www.philgeps.gov.ph/GEPSNONPILOT/Tender/SplashBidNoticeAbstractUI.aspx?menuIndex=3&amp;refID=7062030&amp;Result=3","7062030")</f>
        <v>0</v>
      </c>
      <c r="B2869" t="s">
        <v>1104</v>
      </c>
      <c r="C2869" t="s">
        <v>6301</v>
      </c>
      <c r="D2869" t="s">
        <v>18830</v>
      </c>
      <c r="E2869" t="s">
        <v>21513</v>
      </c>
      <c r="F2869" t="s">
        <v>32664</v>
      </c>
      <c r="G2869" t="s">
        <v>32672</v>
      </c>
      <c r="H2869" t="s">
        <v>32683</v>
      </c>
      <c r="I2869" t="s">
        <v>10627</v>
      </c>
      <c r="J2869" t="s">
        <v>34789</v>
      </c>
      <c r="K2869" t="s">
        <v>42283</v>
      </c>
      <c r="M2869" t="s">
        <v>43731</v>
      </c>
      <c r="N2869" t="s">
        <v>46569</v>
      </c>
      <c r="O2869" t="s">
        <v>46570</v>
      </c>
      <c r="P2869">
        <v>0</v>
      </c>
      <c r="Q2869">
        <v>0</v>
      </c>
      <c r="R2869" t="s">
        <v>46572</v>
      </c>
      <c r="S2869" t="s">
        <v>46689</v>
      </c>
      <c r="T2869" t="s">
        <v>48285</v>
      </c>
      <c r="U2869" t="s">
        <v>51171</v>
      </c>
      <c r="W2869" t="s">
        <v>43731</v>
      </c>
      <c r="X2869" t="s">
        <v>46573</v>
      </c>
    </row>
    <row r="2870" spans="1:24">
      <c r="A2870">
        <f>HYPERLINK("https://www.philgeps.gov.ph/GEPSNONPILOT/Tender/SplashBidNoticeAbstractUI.aspx?menuIndex=3&amp;refID=7062036&amp;Result=3","7062036")</f>
        <v>0</v>
      </c>
      <c r="B2870" t="s">
        <v>1104</v>
      </c>
      <c r="C2870" t="s">
        <v>6302</v>
      </c>
      <c r="D2870" t="s">
        <v>18830</v>
      </c>
      <c r="E2870" t="s">
        <v>21514</v>
      </c>
      <c r="F2870" t="s">
        <v>32664</v>
      </c>
      <c r="G2870" t="s">
        <v>32672</v>
      </c>
      <c r="H2870" t="s">
        <v>32683</v>
      </c>
      <c r="I2870" t="s">
        <v>10627</v>
      </c>
      <c r="J2870" t="s">
        <v>34790</v>
      </c>
      <c r="K2870" t="s">
        <v>42283</v>
      </c>
      <c r="M2870" t="s">
        <v>43731</v>
      </c>
      <c r="N2870" t="s">
        <v>46569</v>
      </c>
      <c r="O2870" t="s">
        <v>46570</v>
      </c>
      <c r="P2870">
        <v>0</v>
      </c>
      <c r="Q2870">
        <v>0</v>
      </c>
      <c r="R2870" t="s">
        <v>46572</v>
      </c>
      <c r="S2870" t="s">
        <v>46689</v>
      </c>
      <c r="T2870" t="s">
        <v>48285</v>
      </c>
      <c r="U2870" t="s">
        <v>51172</v>
      </c>
      <c r="W2870" t="s">
        <v>43731</v>
      </c>
      <c r="X2870" t="s">
        <v>46573</v>
      </c>
    </row>
    <row r="2871" spans="1:24">
      <c r="A2871">
        <f>HYPERLINK("https://www.philgeps.gov.ph/GEPSNONPILOT/Tender/SplashBidNoticeAbstractUI.aspx?menuIndex=3&amp;refID=7062058&amp;Result=3","7062058")</f>
        <v>0</v>
      </c>
      <c r="B2871" t="s">
        <v>1130</v>
      </c>
      <c r="C2871" t="s">
        <v>6303</v>
      </c>
      <c r="D2871" t="s">
        <v>18826</v>
      </c>
      <c r="E2871" t="s">
        <v>21515</v>
      </c>
      <c r="F2871" t="s">
        <v>32664</v>
      </c>
      <c r="G2871" t="s">
        <v>32671</v>
      </c>
      <c r="H2871" t="s">
        <v>12635</v>
      </c>
      <c r="I2871" t="s">
        <v>32704</v>
      </c>
      <c r="J2871" t="s">
        <v>34791</v>
      </c>
      <c r="K2871" t="s">
        <v>42283</v>
      </c>
      <c r="M2871" t="s">
        <v>43759</v>
      </c>
      <c r="N2871" t="s">
        <v>46569</v>
      </c>
      <c r="O2871" t="s">
        <v>46570</v>
      </c>
      <c r="P2871">
        <v>0</v>
      </c>
      <c r="Q2871">
        <v>8</v>
      </c>
      <c r="R2871" t="s">
        <v>46572</v>
      </c>
      <c r="S2871" t="s">
        <v>46689</v>
      </c>
      <c r="T2871" t="s">
        <v>48256</v>
      </c>
      <c r="U2871" t="s">
        <v>51173</v>
      </c>
      <c r="W2871" t="s">
        <v>43759</v>
      </c>
      <c r="X2871" t="s">
        <v>46573</v>
      </c>
    </row>
    <row r="2872" spans="1:24">
      <c r="A2872">
        <f>HYPERLINK("https://www.philgeps.gov.ph/GEPSNONPILOT/Tender/SplashBidNoticeAbstractUI.aspx?menuIndex=3&amp;refID=7062061&amp;Result=3","7062061")</f>
        <v>0</v>
      </c>
      <c r="B2872" t="s">
        <v>1131</v>
      </c>
      <c r="C2872" t="s">
        <v>6304</v>
      </c>
      <c r="D2872" t="s">
        <v>18847</v>
      </c>
      <c r="E2872" t="s">
        <v>21516</v>
      </c>
      <c r="F2872" t="s">
        <v>32664</v>
      </c>
      <c r="G2872" t="s">
        <v>32674</v>
      </c>
      <c r="H2872" t="s">
        <v>12635</v>
      </c>
      <c r="I2872" t="s">
        <v>10370</v>
      </c>
      <c r="J2872" t="s">
        <v>34451</v>
      </c>
      <c r="K2872" t="s">
        <v>42283</v>
      </c>
      <c r="M2872" t="s">
        <v>43760</v>
      </c>
      <c r="N2872" t="s">
        <v>46569</v>
      </c>
      <c r="O2872" t="s">
        <v>46570</v>
      </c>
      <c r="P2872">
        <v>0</v>
      </c>
      <c r="Q2872">
        <v>0</v>
      </c>
      <c r="R2872" t="s">
        <v>46572</v>
      </c>
      <c r="S2872" t="s">
        <v>46689</v>
      </c>
      <c r="T2872" t="s">
        <v>48316</v>
      </c>
      <c r="U2872" t="s">
        <v>51174</v>
      </c>
      <c r="W2872" t="s">
        <v>43760</v>
      </c>
      <c r="X2872" t="s">
        <v>46573</v>
      </c>
    </row>
    <row r="2873" spans="1:24">
      <c r="A2873">
        <f>HYPERLINK("https://www.philgeps.gov.ph/GEPSNONPILOT/Tender/SplashBidNoticeAbstractUI.aspx?menuIndex=3&amp;refID=7062056&amp;Result=3","7062056")</f>
        <v>0</v>
      </c>
      <c r="B2873" t="s">
        <v>502</v>
      </c>
      <c r="C2873" t="s">
        <v>6305</v>
      </c>
      <c r="D2873" t="s">
        <v>18782</v>
      </c>
      <c r="E2873" t="s">
        <v>21517</v>
      </c>
      <c r="F2873" t="s">
        <v>32664</v>
      </c>
      <c r="G2873" t="s">
        <v>32671</v>
      </c>
      <c r="H2873" t="s">
        <v>12635</v>
      </c>
      <c r="I2873" t="s">
        <v>32737</v>
      </c>
      <c r="J2873" t="s">
        <v>34792</v>
      </c>
      <c r="K2873" t="s">
        <v>42289</v>
      </c>
      <c r="M2873" t="s">
        <v>43078</v>
      </c>
      <c r="N2873" t="s">
        <v>46569</v>
      </c>
      <c r="O2873" t="s">
        <v>46570</v>
      </c>
      <c r="P2873">
        <v>0</v>
      </c>
      <c r="Q2873">
        <v>0</v>
      </c>
      <c r="R2873" t="s">
        <v>46572</v>
      </c>
      <c r="S2873" t="s">
        <v>46689</v>
      </c>
      <c r="T2873" t="s">
        <v>48221</v>
      </c>
      <c r="U2873" t="s">
        <v>51175</v>
      </c>
      <c r="W2873" t="s">
        <v>43078</v>
      </c>
      <c r="X2873" t="s">
        <v>46573</v>
      </c>
    </row>
    <row r="2874" spans="1:24">
      <c r="A2874">
        <f>HYPERLINK("https://www.philgeps.gov.ph/GEPSNONPILOT/Tender/SplashBidNoticeAbstractUI.aspx?menuIndex=3&amp;refID=7062057&amp;Result=3","7062057")</f>
        <v>0</v>
      </c>
      <c r="B2874" t="s">
        <v>1132</v>
      </c>
      <c r="C2874" t="s">
        <v>6306</v>
      </c>
      <c r="D2874" t="s">
        <v>18827</v>
      </c>
      <c r="E2874" t="s">
        <v>21518</v>
      </c>
      <c r="F2874" t="s">
        <v>32664</v>
      </c>
      <c r="G2874" t="s">
        <v>32675</v>
      </c>
      <c r="H2874" t="s">
        <v>12635</v>
      </c>
      <c r="I2874" t="s">
        <v>5589</v>
      </c>
      <c r="J2874" t="s">
        <v>32976</v>
      </c>
      <c r="K2874" t="s">
        <v>42332</v>
      </c>
      <c r="L2874" t="s">
        <v>1132</v>
      </c>
      <c r="M2874" t="s">
        <v>43761</v>
      </c>
      <c r="N2874" t="s">
        <v>46569</v>
      </c>
      <c r="O2874" t="s">
        <v>46570</v>
      </c>
      <c r="P2874">
        <v>0</v>
      </c>
      <c r="Q2874">
        <v>10</v>
      </c>
      <c r="R2874" t="s">
        <v>46572</v>
      </c>
      <c r="S2874" t="s">
        <v>46689</v>
      </c>
      <c r="T2874" t="s">
        <v>48285</v>
      </c>
      <c r="U2874" t="s">
        <v>51176</v>
      </c>
      <c r="W2874" t="s">
        <v>43761</v>
      </c>
      <c r="X2874" t="s">
        <v>46573</v>
      </c>
    </row>
    <row r="2875" spans="1:24">
      <c r="A2875">
        <f>HYPERLINK("https://www.philgeps.gov.ph/GEPSNONPILOT/Tender/SplashBidNoticeAbstractUI.aspx?menuIndex=3&amp;refID=7062055&amp;Result=3","7062055")</f>
        <v>0</v>
      </c>
      <c r="B2875" t="s">
        <v>1133</v>
      </c>
      <c r="C2875" t="s">
        <v>6307</v>
      </c>
      <c r="D2875" t="s">
        <v>18858</v>
      </c>
      <c r="E2875" t="s">
        <v>21519</v>
      </c>
      <c r="F2875" t="s">
        <v>32664</v>
      </c>
      <c r="G2875" t="s">
        <v>32672</v>
      </c>
      <c r="H2875" t="s">
        <v>32683</v>
      </c>
      <c r="I2875" t="s">
        <v>10627</v>
      </c>
      <c r="J2875" t="s">
        <v>34793</v>
      </c>
      <c r="K2875" t="s">
        <v>42308</v>
      </c>
      <c r="M2875" t="s">
        <v>43762</v>
      </c>
      <c r="N2875" t="s">
        <v>46569</v>
      </c>
      <c r="O2875" t="s">
        <v>46570</v>
      </c>
      <c r="P2875">
        <v>0</v>
      </c>
      <c r="Q2875">
        <v>0</v>
      </c>
      <c r="R2875" t="s">
        <v>46572</v>
      </c>
      <c r="S2875" t="s">
        <v>46689</v>
      </c>
      <c r="T2875" t="s">
        <v>48349</v>
      </c>
      <c r="U2875" t="s">
        <v>51177</v>
      </c>
      <c r="W2875" t="s">
        <v>43762</v>
      </c>
      <c r="X2875" t="s">
        <v>46573</v>
      </c>
    </row>
    <row r="2876" spans="1:24">
      <c r="A2876">
        <f>HYPERLINK("https://www.philgeps.gov.ph/GEPSNONPILOT/Tender/SplashBidNoticeAbstractUI.aspx?menuIndex=3&amp;refID=7062051&amp;Result=3","7062051")</f>
        <v>0</v>
      </c>
      <c r="B2876" t="s">
        <v>1134</v>
      </c>
      <c r="C2876" t="s">
        <v>6308</v>
      </c>
      <c r="D2876" t="s">
        <v>18844</v>
      </c>
      <c r="E2876" t="s">
        <v>18889</v>
      </c>
      <c r="F2876" t="s">
        <v>32664</v>
      </c>
      <c r="G2876" t="s">
        <v>32672</v>
      </c>
      <c r="H2876" t="s">
        <v>12635</v>
      </c>
      <c r="I2876" t="s">
        <v>4439</v>
      </c>
      <c r="J2876" t="s">
        <v>34794</v>
      </c>
      <c r="K2876" t="s">
        <v>42303</v>
      </c>
      <c r="M2876" t="s">
        <v>43763</v>
      </c>
      <c r="N2876" t="s">
        <v>46569</v>
      </c>
      <c r="O2876" t="s">
        <v>46570</v>
      </c>
      <c r="P2876">
        <v>0</v>
      </c>
      <c r="Q2876">
        <v>0</v>
      </c>
      <c r="R2876" t="s">
        <v>46572</v>
      </c>
      <c r="S2876" t="s">
        <v>46689</v>
      </c>
      <c r="T2876" t="s">
        <v>48212</v>
      </c>
      <c r="U2876" t="s">
        <v>51178</v>
      </c>
      <c r="W2876" t="s">
        <v>43763</v>
      </c>
      <c r="X2876" t="s">
        <v>46573</v>
      </c>
    </row>
    <row r="2877" spans="1:24">
      <c r="A2877">
        <f>HYPERLINK("https://www.philgeps.gov.ph/GEPSNONPILOT/Tender/SplashBidNoticeAbstractUI.aspx?menuIndex=3&amp;refID=7062049&amp;Result=3","7062049")</f>
        <v>0</v>
      </c>
      <c r="B2877" t="s">
        <v>1135</v>
      </c>
      <c r="C2877" t="s">
        <v>6309</v>
      </c>
      <c r="D2877" t="s">
        <v>18810</v>
      </c>
      <c r="E2877" t="s">
        <v>19634</v>
      </c>
      <c r="F2877" t="s">
        <v>32664</v>
      </c>
      <c r="G2877" t="s">
        <v>32672</v>
      </c>
      <c r="H2877" t="s">
        <v>32683</v>
      </c>
      <c r="I2877" t="s">
        <v>10627</v>
      </c>
      <c r="J2877" t="s">
        <v>34795</v>
      </c>
      <c r="K2877" t="s">
        <v>42283</v>
      </c>
      <c r="M2877" t="s">
        <v>43764</v>
      </c>
      <c r="N2877" t="s">
        <v>46569</v>
      </c>
      <c r="O2877" t="s">
        <v>46570</v>
      </c>
      <c r="P2877">
        <v>0</v>
      </c>
      <c r="Q2877">
        <v>0</v>
      </c>
      <c r="R2877" t="s">
        <v>46572</v>
      </c>
      <c r="S2877" t="s">
        <v>46689</v>
      </c>
      <c r="T2877" t="s">
        <v>48384</v>
      </c>
      <c r="U2877" t="s">
        <v>51179</v>
      </c>
      <c r="W2877" t="s">
        <v>43764</v>
      </c>
      <c r="X2877" t="s">
        <v>46573</v>
      </c>
    </row>
    <row r="2878" spans="1:24">
      <c r="A2878">
        <f>HYPERLINK("https://www.philgeps.gov.ph/GEPSNONPILOT/Tender/SplashBidNoticeAbstractUI.aspx?menuIndex=3&amp;refID=7062047&amp;Result=3","7062047")</f>
        <v>0</v>
      </c>
      <c r="B2878" t="s">
        <v>1104</v>
      </c>
      <c r="C2878" t="s">
        <v>6310</v>
      </c>
      <c r="D2878" t="s">
        <v>18830</v>
      </c>
      <c r="E2878" t="s">
        <v>21520</v>
      </c>
      <c r="F2878" t="s">
        <v>32664</v>
      </c>
      <c r="G2878" t="s">
        <v>32672</v>
      </c>
      <c r="H2878" t="s">
        <v>32683</v>
      </c>
      <c r="I2878" t="s">
        <v>10627</v>
      </c>
      <c r="J2878" t="s">
        <v>34796</v>
      </c>
      <c r="K2878" t="s">
        <v>42283</v>
      </c>
      <c r="M2878" t="s">
        <v>43731</v>
      </c>
      <c r="N2878" t="s">
        <v>46569</v>
      </c>
      <c r="O2878" t="s">
        <v>46570</v>
      </c>
      <c r="P2878">
        <v>0</v>
      </c>
      <c r="Q2878">
        <v>0</v>
      </c>
      <c r="R2878" t="s">
        <v>46572</v>
      </c>
      <c r="S2878" t="s">
        <v>46689</v>
      </c>
      <c r="T2878" t="s">
        <v>48373</v>
      </c>
      <c r="U2878" t="s">
        <v>51180</v>
      </c>
      <c r="W2878" t="s">
        <v>43731</v>
      </c>
      <c r="X2878" t="s">
        <v>46573</v>
      </c>
    </row>
    <row r="2879" spans="1:24">
      <c r="A2879">
        <f>HYPERLINK("https://www.philgeps.gov.ph/GEPSNONPILOT/Tender/SplashBidNoticeAbstractUI.aspx?menuIndex=3&amp;refID=7062064&amp;Result=3","7062064")</f>
        <v>0</v>
      </c>
      <c r="B2879" t="s">
        <v>1136</v>
      </c>
      <c r="C2879" t="s">
        <v>6311</v>
      </c>
      <c r="D2879" t="s">
        <v>18839</v>
      </c>
      <c r="E2879" t="s">
        <v>21521</v>
      </c>
      <c r="F2879" t="s">
        <v>32664</v>
      </c>
      <c r="G2879" t="s">
        <v>32674</v>
      </c>
      <c r="H2879" t="s">
        <v>12635</v>
      </c>
      <c r="I2879" t="s">
        <v>32727</v>
      </c>
      <c r="J2879" t="s">
        <v>34311</v>
      </c>
      <c r="K2879" t="s">
        <v>42401</v>
      </c>
      <c r="M2879" t="s">
        <v>43765</v>
      </c>
      <c r="N2879" t="s">
        <v>46569</v>
      </c>
      <c r="O2879" t="s">
        <v>46570</v>
      </c>
      <c r="P2879">
        <v>0</v>
      </c>
      <c r="Q2879">
        <v>2</v>
      </c>
      <c r="R2879" t="s">
        <v>46572</v>
      </c>
      <c r="S2879" t="s">
        <v>46689</v>
      </c>
      <c r="T2879" t="s">
        <v>48287</v>
      </c>
      <c r="U2879" t="s">
        <v>51181</v>
      </c>
      <c r="V2879" t="s">
        <v>61904</v>
      </c>
      <c r="W2879" t="s">
        <v>43765</v>
      </c>
      <c r="X2879" t="s">
        <v>46573</v>
      </c>
    </row>
    <row r="2880" spans="1:24">
      <c r="A2880">
        <f>HYPERLINK("https://www.philgeps.gov.ph/GEPSNONPILOT/Tender/SplashBidNoticeAbstractUI.aspx?menuIndex=3&amp;refID=7062046&amp;Result=3","7062046")</f>
        <v>0</v>
      </c>
      <c r="B2880" t="s">
        <v>592</v>
      </c>
      <c r="C2880" t="s">
        <v>6312</v>
      </c>
      <c r="D2880" t="s">
        <v>18784</v>
      </c>
      <c r="E2880" t="s">
        <v>21461</v>
      </c>
      <c r="F2880" t="s">
        <v>32664</v>
      </c>
      <c r="G2880" t="s">
        <v>32671</v>
      </c>
      <c r="H2880" t="s">
        <v>12635</v>
      </c>
      <c r="I2880" t="s">
        <v>32741</v>
      </c>
      <c r="J2880" t="s">
        <v>34152</v>
      </c>
      <c r="K2880" t="s">
        <v>42298</v>
      </c>
      <c r="M2880" t="s">
        <v>43766</v>
      </c>
      <c r="N2880" t="s">
        <v>46569</v>
      </c>
      <c r="O2880" t="s">
        <v>46570</v>
      </c>
      <c r="P2880">
        <v>0</v>
      </c>
      <c r="Q2880">
        <v>2</v>
      </c>
      <c r="R2880" t="s">
        <v>46572</v>
      </c>
      <c r="S2880" t="s">
        <v>46689</v>
      </c>
      <c r="T2880" t="s">
        <v>48304</v>
      </c>
      <c r="U2880" t="s">
        <v>49886</v>
      </c>
      <c r="V2880" t="s">
        <v>61771</v>
      </c>
      <c r="W2880" t="s">
        <v>43766</v>
      </c>
      <c r="X2880" t="s">
        <v>46573</v>
      </c>
    </row>
    <row r="2881" spans="1:24">
      <c r="A2881">
        <f>HYPERLINK("https://www.philgeps.gov.ph/GEPSNONPILOT/Tender/SplashBidNoticeAbstractUI.aspx?menuIndex=3&amp;refID=7062027&amp;Result=3","7062027")</f>
        <v>0</v>
      </c>
      <c r="B2881" t="s">
        <v>1137</v>
      </c>
      <c r="C2881" t="s">
        <v>6313</v>
      </c>
      <c r="D2881" t="s">
        <v>18784</v>
      </c>
      <c r="E2881" t="s">
        <v>21522</v>
      </c>
      <c r="F2881" t="s">
        <v>32664</v>
      </c>
      <c r="G2881" t="s">
        <v>32671</v>
      </c>
      <c r="H2881" t="s">
        <v>32683</v>
      </c>
      <c r="I2881" t="s">
        <v>10627</v>
      </c>
      <c r="J2881" t="s">
        <v>34797</v>
      </c>
      <c r="K2881" t="s">
        <v>42289</v>
      </c>
      <c r="M2881" t="s">
        <v>43767</v>
      </c>
      <c r="N2881" t="s">
        <v>46569</v>
      </c>
      <c r="O2881" t="s">
        <v>46570</v>
      </c>
      <c r="P2881">
        <v>0</v>
      </c>
      <c r="Q2881">
        <v>0</v>
      </c>
      <c r="R2881" t="s">
        <v>46572</v>
      </c>
      <c r="S2881" t="s">
        <v>46689</v>
      </c>
      <c r="T2881" t="s">
        <v>48219</v>
      </c>
      <c r="U2881" t="s">
        <v>51182</v>
      </c>
      <c r="V2881" t="s">
        <v>61905</v>
      </c>
      <c r="W2881" t="s">
        <v>43767</v>
      </c>
      <c r="X2881" t="s">
        <v>46573</v>
      </c>
    </row>
    <row r="2882" spans="1:24">
      <c r="A2882">
        <f>HYPERLINK("https://www.philgeps.gov.ph/GEPSNONPILOT/Tender/SplashBidNoticeAbstractUI.aspx?menuIndex=3&amp;refID=7062045&amp;Result=3","7062045")</f>
        <v>0</v>
      </c>
      <c r="B2882" t="s">
        <v>594</v>
      </c>
      <c r="C2882" t="s">
        <v>6314</v>
      </c>
      <c r="D2882" t="s">
        <v>18784</v>
      </c>
      <c r="E2882" t="s">
        <v>21523</v>
      </c>
      <c r="F2882" t="s">
        <v>32664</v>
      </c>
      <c r="G2882" t="s">
        <v>32674</v>
      </c>
      <c r="H2882" t="s">
        <v>12635</v>
      </c>
      <c r="I2882" t="s">
        <v>8958</v>
      </c>
      <c r="J2882" t="s">
        <v>33840</v>
      </c>
      <c r="K2882" t="s">
        <v>42297</v>
      </c>
      <c r="M2882" t="s">
        <v>43768</v>
      </c>
      <c r="N2882" t="s">
        <v>46569</v>
      </c>
      <c r="O2882" t="s">
        <v>46570</v>
      </c>
      <c r="P2882">
        <v>0</v>
      </c>
      <c r="Q2882">
        <v>1</v>
      </c>
      <c r="R2882" t="s">
        <v>46572</v>
      </c>
      <c r="S2882" t="s">
        <v>46689</v>
      </c>
      <c r="T2882" t="s">
        <v>48461</v>
      </c>
      <c r="U2882" t="s">
        <v>51183</v>
      </c>
      <c r="V2882" t="s">
        <v>61906</v>
      </c>
      <c r="W2882" t="s">
        <v>43768</v>
      </c>
      <c r="X2882" t="s">
        <v>46573</v>
      </c>
    </row>
    <row r="2883" spans="1:24">
      <c r="A2883">
        <f>HYPERLINK("https://www.philgeps.gov.ph/GEPSNONPILOT/Tender/SplashBidNoticeAbstractUI.aspx?menuIndex=3&amp;refID=7062044&amp;Result=3","7062044")</f>
        <v>0</v>
      </c>
      <c r="B2883" t="s">
        <v>1138</v>
      </c>
      <c r="C2883" t="s">
        <v>6315</v>
      </c>
      <c r="D2883" t="s">
        <v>18842</v>
      </c>
      <c r="E2883" t="s">
        <v>19356</v>
      </c>
      <c r="F2883" t="s">
        <v>32664</v>
      </c>
      <c r="G2883" t="s">
        <v>32671</v>
      </c>
      <c r="H2883" t="s">
        <v>12635</v>
      </c>
      <c r="I2883" t="s">
        <v>32701</v>
      </c>
      <c r="J2883" t="s">
        <v>32917</v>
      </c>
      <c r="K2883" t="s">
        <v>42309</v>
      </c>
      <c r="M2883" t="s">
        <v>43769</v>
      </c>
      <c r="N2883" t="s">
        <v>46569</v>
      </c>
      <c r="O2883" t="s">
        <v>46570</v>
      </c>
      <c r="P2883">
        <v>0</v>
      </c>
      <c r="Q2883">
        <v>0</v>
      </c>
      <c r="R2883" t="s">
        <v>46572</v>
      </c>
      <c r="S2883" t="s">
        <v>46689</v>
      </c>
      <c r="T2883" t="s">
        <v>48256</v>
      </c>
      <c r="U2883" t="s">
        <v>51184</v>
      </c>
      <c r="W2883" t="s">
        <v>43769</v>
      </c>
      <c r="X2883" t="s">
        <v>46573</v>
      </c>
    </row>
    <row r="2884" spans="1:24">
      <c r="A2884">
        <f>HYPERLINK("https://www.philgeps.gov.ph/GEPSNONPILOT/Tender/SplashBidNoticeAbstractUI.aspx?menuIndex=3&amp;refID=7062024&amp;Result=3","7062024")</f>
        <v>0</v>
      </c>
      <c r="B2884" t="s">
        <v>1088</v>
      </c>
      <c r="C2884" t="s">
        <v>6316</v>
      </c>
      <c r="D2884" t="s">
        <v>18804</v>
      </c>
      <c r="E2884" t="s">
        <v>21524</v>
      </c>
      <c r="F2884" t="s">
        <v>32664</v>
      </c>
      <c r="G2884" t="s">
        <v>32672</v>
      </c>
      <c r="H2884" t="s">
        <v>32683</v>
      </c>
      <c r="I2884" t="s">
        <v>10627</v>
      </c>
      <c r="J2884" t="s">
        <v>34798</v>
      </c>
      <c r="K2884" t="s">
        <v>42369</v>
      </c>
      <c r="M2884" t="s">
        <v>43714</v>
      </c>
      <c r="N2884" t="s">
        <v>46569</v>
      </c>
      <c r="O2884" t="s">
        <v>46570</v>
      </c>
      <c r="P2884">
        <v>0</v>
      </c>
      <c r="Q2884">
        <v>0</v>
      </c>
      <c r="R2884" t="s">
        <v>46572</v>
      </c>
      <c r="S2884" t="s">
        <v>46689</v>
      </c>
      <c r="T2884" t="s">
        <v>48220</v>
      </c>
      <c r="U2884" t="s">
        <v>51169</v>
      </c>
      <c r="V2884" t="s">
        <v>61896</v>
      </c>
      <c r="W2884" t="s">
        <v>43714</v>
      </c>
      <c r="X2884" t="s">
        <v>46573</v>
      </c>
    </row>
    <row r="2885" spans="1:24">
      <c r="A2885">
        <f>HYPERLINK("https://www.philgeps.gov.ph/GEPSNONPILOT/Tender/SplashBidNoticeAbstractUI.aspx?menuIndex=3&amp;refID=7062048&amp;Result=3","7062048")</f>
        <v>0</v>
      </c>
      <c r="B2885" t="s">
        <v>790</v>
      </c>
      <c r="C2885" t="s">
        <v>6317</v>
      </c>
      <c r="D2885" t="s">
        <v>18809</v>
      </c>
      <c r="E2885" t="s">
        <v>21525</v>
      </c>
      <c r="F2885" t="s">
        <v>32664</v>
      </c>
      <c r="G2885" t="s">
        <v>32672</v>
      </c>
      <c r="H2885" t="s">
        <v>12635</v>
      </c>
      <c r="I2885" t="s">
        <v>11464</v>
      </c>
      <c r="J2885" t="s">
        <v>34799</v>
      </c>
      <c r="K2885" t="s">
        <v>42298</v>
      </c>
      <c r="M2885" t="s">
        <v>43382</v>
      </c>
      <c r="N2885" t="s">
        <v>46569</v>
      </c>
      <c r="O2885" t="s">
        <v>46570</v>
      </c>
      <c r="P2885">
        <v>0</v>
      </c>
      <c r="Q2885">
        <v>5</v>
      </c>
      <c r="R2885" t="s">
        <v>46572</v>
      </c>
      <c r="S2885" t="s">
        <v>46689</v>
      </c>
      <c r="T2885" t="s">
        <v>48223</v>
      </c>
      <c r="U2885" t="s">
        <v>51185</v>
      </c>
      <c r="W2885" t="s">
        <v>43382</v>
      </c>
      <c r="X2885" t="s">
        <v>46573</v>
      </c>
    </row>
    <row r="2886" spans="1:24">
      <c r="A2886">
        <f>HYPERLINK("https://www.philgeps.gov.ph/GEPSNONPILOT/Tender/SplashBidNoticeAbstractUI.aspx?menuIndex=3&amp;refID=7062072&amp;Result=3","7062072")</f>
        <v>0</v>
      </c>
      <c r="B2886" t="s">
        <v>1139</v>
      </c>
      <c r="C2886" t="s">
        <v>6318</v>
      </c>
      <c r="D2886" t="s">
        <v>18792</v>
      </c>
      <c r="E2886" t="s">
        <v>18889</v>
      </c>
      <c r="F2886" t="s">
        <v>32664</v>
      </c>
      <c r="G2886" t="s">
        <v>32672</v>
      </c>
      <c r="H2886" t="s">
        <v>32683</v>
      </c>
      <c r="I2886" t="s">
        <v>10627</v>
      </c>
      <c r="J2886" t="s">
        <v>33111</v>
      </c>
      <c r="K2886" t="s">
        <v>42298</v>
      </c>
      <c r="M2886" t="s">
        <v>43770</v>
      </c>
      <c r="N2886" t="s">
        <v>46569</v>
      </c>
      <c r="O2886" t="s">
        <v>46570</v>
      </c>
      <c r="P2886">
        <v>0</v>
      </c>
      <c r="Q2886">
        <v>0</v>
      </c>
      <c r="R2886" t="s">
        <v>46572</v>
      </c>
      <c r="S2886" t="s">
        <v>46689</v>
      </c>
      <c r="T2886" t="s">
        <v>48285</v>
      </c>
      <c r="U2886" t="s">
        <v>51186</v>
      </c>
      <c r="W2886" t="s">
        <v>43770</v>
      </c>
      <c r="X2886" t="s">
        <v>46573</v>
      </c>
    </row>
    <row r="2887" spans="1:24">
      <c r="A2887">
        <f>HYPERLINK("https://www.philgeps.gov.ph/GEPSNONPILOT/Tender/SplashBidNoticeAbstractUI.aspx?menuIndex=3&amp;refID=7062089&amp;Result=3","7062089")</f>
        <v>0</v>
      </c>
      <c r="B2887" t="s">
        <v>1140</v>
      </c>
      <c r="C2887" t="s">
        <v>6319</v>
      </c>
      <c r="D2887" t="s">
        <v>18805</v>
      </c>
      <c r="E2887" t="s">
        <v>21526</v>
      </c>
      <c r="F2887" t="s">
        <v>32664</v>
      </c>
      <c r="G2887" t="s">
        <v>32671</v>
      </c>
      <c r="H2887" t="s">
        <v>12635</v>
      </c>
      <c r="I2887" t="s">
        <v>6223</v>
      </c>
      <c r="J2887" t="s">
        <v>34800</v>
      </c>
      <c r="K2887" t="s">
        <v>42303</v>
      </c>
      <c r="L2887" t="s">
        <v>1140</v>
      </c>
      <c r="M2887" t="s">
        <v>43771</v>
      </c>
      <c r="N2887" t="s">
        <v>46569</v>
      </c>
      <c r="O2887" t="s">
        <v>46570</v>
      </c>
      <c r="P2887">
        <v>0</v>
      </c>
      <c r="Q2887">
        <v>1</v>
      </c>
      <c r="R2887" t="s">
        <v>46572</v>
      </c>
      <c r="S2887" t="s">
        <v>46689</v>
      </c>
      <c r="T2887" t="s">
        <v>48466</v>
      </c>
      <c r="U2887" t="s">
        <v>51187</v>
      </c>
      <c r="V2887" t="s">
        <v>61907</v>
      </c>
      <c r="W2887" t="s">
        <v>43771</v>
      </c>
      <c r="X2887" t="s">
        <v>46573</v>
      </c>
    </row>
    <row r="2888" spans="1:24">
      <c r="A2888">
        <f>HYPERLINK("https://www.philgeps.gov.ph/GEPSNONPILOT/Tender/SplashBidNoticeAbstractUI.aspx?menuIndex=3&amp;refID=7062059&amp;Result=3","7062059")</f>
        <v>0</v>
      </c>
      <c r="B2888" t="s">
        <v>1141</v>
      </c>
      <c r="C2888" t="s">
        <v>6320</v>
      </c>
      <c r="D2888" t="s">
        <v>18809</v>
      </c>
      <c r="E2888" t="s">
        <v>21527</v>
      </c>
      <c r="F2888" t="s">
        <v>32664</v>
      </c>
      <c r="G2888" t="s">
        <v>32672</v>
      </c>
      <c r="H2888" t="s">
        <v>12635</v>
      </c>
      <c r="I2888" t="s">
        <v>4439</v>
      </c>
      <c r="J2888" t="s">
        <v>34801</v>
      </c>
      <c r="K2888" t="s">
        <v>42289</v>
      </c>
      <c r="M2888" t="s">
        <v>43772</v>
      </c>
      <c r="N2888" t="s">
        <v>46569</v>
      </c>
      <c r="O2888" t="s">
        <v>46570</v>
      </c>
      <c r="P2888">
        <v>0</v>
      </c>
      <c r="Q2888">
        <v>0</v>
      </c>
      <c r="R2888" t="s">
        <v>46572</v>
      </c>
      <c r="S2888" t="s">
        <v>46689</v>
      </c>
      <c r="T2888" t="s">
        <v>48467</v>
      </c>
      <c r="U2888" t="s">
        <v>51188</v>
      </c>
      <c r="W2888" t="s">
        <v>43772</v>
      </c>
      <c r="X2888" t="s">
        <v>46573</v>
      </c>
    </row>
    <row r="2889" spans="1:24">
      <c r="A2889">
        <f>HYPERLINK("https://www.philgeps.gov.ph/GEPSNONPILOT/Tender/SplashBidNoticeAbstractUI.aspx?menuIndex=3&amp;refID=7062025&amp;Result=3","7062025")</f>
        <v>0</v>
      </c>
      <c r="B2889" t="s">
        <v>133</v>
      </c>
      <c r="C2889" t="s">
        <v>6321</v>
      </c>
      <c r="D2889" t="s">
        <v>18832</v>
      </c>
      <c r="E2889" t="s">
        <v>21528</v>
      </c>
      <c r="F2889" t="s">
        <v>32664</v>
      </c>
      <c r="G2889" t="s">
        <v>32672</v>
      </c>
      <c r="H2889" t="s">
        <v>32683</v>
      </c>
      <c r="I2889" t="s">
        <v>10627</v>
      </c>
      <c r="J2889" t="s">
        <v>34802</v>
      </c>
      <c r="K2889" t="s">
        <v>42303</v>
      </c>
      <c r="M2889" t="s">
        <v>42697</v>
      </c>
      <c r="N2889" t="s">
        <v>46569</v>
      </c>
      <c r="O2889" t="s">
        <v>46570</v>
      </c>
      <c r="P2889">
        <v>0</v>
      </c>
      <c r="Q2889">
        <v>0</v>
      </c>
      <c r="R2889" t="s">
        <v>46572</v>
      </c>
      <c r="S2889" t="s">
        <v>46689</v>
      </c>
      <c r="T2889" t="s">
        <v>48236</v>
      </c>
      <c r="U2889" t="s">
        <v>51189</v>
      </c>
      <c r="W2889" t="s">
        <v>42697</v>
      </c>
      <c r="X2889" t="s">
        <v>46573</v>
      </c>
    </row>
    <row r="2890" spans="1:24">
      <c r="A2890">
        <f>HYPERLINK("https://www.philgeps.gov.ph/GEPSNONPILOT/Tender/SplashBidNoticeAbstractUI.aspx?menuIndex=3&amp;refID=7062095&amp;Result=3","7062095")</f>
        <v>0</v>
      </c>
      <c r="B2890" t="s">
        <v>1142</v>
      </c>
      <c r="C2890" t="s">
        <v>6322</v>
      </c>
      <c r="D2890" t="s">
        <v>18826</v>
      </c>
      <c r="E2890" t="s">
        <v>21529</v>
      </c>
      <c r="F2890" t="s">
        <v>32664</v>
      </c>
      <c r="G2890" t="s">
        <v>32671</v>
      </c>
      <c r="H2890" t="s">
        <v>12635</v>
      </c>
      <c r="I2890" t="s">
        <v>32736</v>
      </c>
      <c r="J2890" t="s">
        <v>33051</v>
      </c>
      <c r="K2890" t="s">
        <v>42281</v>
      </c>
      <c r="L2890" t="s">
        <v>1142</v>
      </c>
      <c r="M2890" t="s">
        <v>43773</v>
      </c>
      <c r="N2890" t="s">
        <v>46569</v>
      </c>
      <c r="O2890" t="s">
        <v>46570</v>
      </c>
      <c r="P2890">
        <v>0</v>
      </c>
      <c r="Q2890">
        <v>0</v>
      </c>
      <c r="R2890" t="s">
        <v>46572</v>
      </c>
      <c r="S2890" t="s">
        <v>46689</v>
      </c>
      <c r="T2890" t="s">
        <v>48219</v>
      </c>
      <c r="U2890" t="s">
        <v>51190</v>
      </c>
      <c r="W2890" t="s">
        <v>43773</v>
      </c>
      <c r="X2890" t="s">
        <v>46573</v>
      </c>
    </row>
    <row r="2891" spans="1:24">
      <c r="A2891">
        <f>HYPERLINK("https://www.philgeps.gov.ph/GEPSNONPILOT/Tender/SplashBidNoticeAbstractUI.aspx?menuIndex=3&amp;refID=7062052&amp;Result=3","7062052")</f>
        <v>0</v>
      </c>
      <c r="B2891" t="s">
        <v>1121</v>
      </c>
      <c r="C2891" t="s">
        <v>6323</v>
      </c>
      <c r="D2891" t="s">
        <v>18827</v>
      </c>
      <c r="E2891" t="s">
        <v>21530</v>
      </c>
      <c r="F2891" t="s">
        <v>32664</v>
      </c>
      <c r="G2891" t="s">
        <v>32671</v>
      </c>
      <c r="H2891" t="s">
        <v>32683</v>
      </c>
      <c r="I2891" t="s">
        <v>10627</v>
      </c>
      <c r="J2891" t="s">
        <v>33688</v>
      </c>
      <c r="K2891" t="s">
        <v>42297</v>
      </c>
      <c r="M2891" t="s">
        <v>43750</v>
      </c>
      <c r="N2891" t="s">
        <v>46569</v>
      </c>
      <c r="O2891" t="s">
        <v>46570</v>
      </c>
      <c r="P2891">
        <v>0</v>
      </c>
      <c r="Q2891">
        <v>0</v>
      </c>
      <c r="R2891" t="s">
        <v>46572</v>
      </c>
      <c r="S2891" t="s">
        <v>46689</v>
      </c>
      <c r="T2891" t="s">
        <v>48256</v>
      </c>
      <c r="U2891" t="s">
        <v>51191</v>
      </c>
      <c r="W2891" t="s">
        <v>43750</v>
      </c>
      <c r="X2891" t="s">
        <v>46573</v>
      </c>
    </row>
    <row r="2892" spans="1:24">
      <c r="A2892">
        <f>HYPERLINK("https://www.philgeps.gov.ph/GEPSNONPILOT/Tender/SplashBidNoticeAbstractUI.aspx?menuIndex=3&amp;refID=7062093&amp;Result=3","7062093")</f>
        <v>0</v>
      </c>
      <c r="B2892" t="s">
        <v>1102</v>
      </c>
      <c r="C2892" t="s">
        <v>6324</v>
      </c>
      <c r="D2892" t="s">
        <v>18784</v>
      </c>
      <c r="E2892" t="s">
        <v>21531</v>
      </c>
      <c r="F2892" t="s">
        <v>32664</v>
      </c>
      <c r="G2892" t="s">
        <v>32674</v>
      </c>
      <c r="H2892" t="s">
        <v>12635</v>
      </c>
      <c r="I2892" t="s">
        <v>8730</v>
      </c>
      <c r="J2892" t="s">
        <v>34803</v>
      </c>
      <c r="K2892" t="s">
        <v>42283</v>
      </c>
      <c r="M2892" t="s">
        <v>43729</v>
      </c>
      <c r="N2892" t="s">
        <v>46569</v>
      </c>
      <c r="O2892" t="s">
        <v>46570</v>
      </c>
      <c r="P2892">
        <v>0</v>
      </c>
      <c r="Q2892">
        <v>1</v>
      </c>
      <c r="R2892" t="s">
        <v>46572</v>
      </c>
      <c r="S2892" t="s">
        <v>46689</v>
      </c>
      <c r="T2892" t="s">
        <v>48316</v>
      </c>
      <c r="U2892" t="s">
        <v>51192</v>
      </c>
      <c r="W2892" t="s">
        <v>43729</v>
      </c>
      <c r="X2892" t="s">
        <v>46573</v>
      </c>
    </row>
    <row r="2893" spans="1:24">
      <c r="A2893">
        <f>HYPERLINK("https://www.philgeps.gov.ph/GEPSNONPILOT/Tender/SplashBidNoticeAbstractUI.aspx?menuIndex=3&amp;refID=7062090&amp;Result=3","7062090")</f>
        <v>0</v>
      </c>
      <c r="B2893" t="s">
        <v>1093</v>
      </c>
      <c r="C2893" t="s">
        <v>6325</v>
      </c>
      <c r="D2893" t="s">
        <v>18784</v>
      </c>
      <c r="E2893" t="s">
        <v>21532</v>
      </c>
      <c r="F2893" t="s">
        <v>32664</v>
      </c>
      <c r="G2893" t="s">
        <v>32671</v>
      </c>
      <c r="H2893" t="s">
        <v>12635</v>
      </c>
      <c r="I2893" t="s">
        <v>32731</v>
      </c>
      <c r="J2893" t="s">
        <v>33320</v>
      </c>
      <c r="K2893" t="s">
        <v>42281</v>
      </c>
      <c r="M2893" t="s">
        <v>43720</v>
      </c>
      <c r="N2893" t="s">
        <v>46569</v>
      </c>
      <c r="O2893" t="s">
        <v>46570</v>
      </c>
      <c r="P2893">
        <v>0</v>
      </c>
      <c r="Q2893">
        <v>0</v>
      </c>
      <c r="R2893" t="s">
        <v>46572</v>
      </c>
      <c r="S2893" t="s">
        <v>46689</v>
      </c>
      <c r="T2893" t="s">
        <v>48244</v>
      </c>
      <c r="U2893" t="s">
        <v>51193</v>
      </c>
      <c r="V2893" t="s">
        <v>61652</v>
      </c>
      <c r="W2893" t="s">
        <v>43720</v>
      </c>
      <c r="X2893" t="s">
        <v>46573</v>
      </c>
    </row>
    <row r="2894" spans="1:24">
      <c r="A2894">
        <f>HYPERLINK("https://www.philgeps.gov.ph/GEPSNONPILOT/Tender/SplashBidNoticeAbstractUI.aspx?menuIndex=3&amp;refID=7062087&amp;Result=3","7062087")</f>
        <v>0</v>
      </c>
      <c r="B2894" t="s">
        <v>827</v>
      </c>
      <c r="C2894" t="s">
        <v>6326</v>
      </c>
      <c r="E2894" t="s">
        <v>21533</v>
      </c>
      <c r="F2894" t="s">
        <v>32664</v>
      </c>
      <c r="G2894" t="s">
        <v>32671</v>
      </c>
      <c r="H2894" t="s">
        <v>12635</v>
      </c>
      <c r="I2894" t="s">
        <v>10590</v>
      </c>
      <c r="J2894" t="s">
        <v>32959</v>
      </c>
      <c r="K2894" t="s">
        <v>42283</v>
      </c>
      <c r="M2894" t="s">
        <v>43422</v>
      </c>
      <c r="N2894" t="s">
        <v>46569</v>
      </c>
      <c r="O2894" t="s">
        <v>46570</v>
      </c>
      <c r="P2894">
        <v>0</v>
      </c>
      <c r="Q2894">
        <v>1</v>
      </c>
      <c r="R2894" t="s">
        <v>46572</v>
      </c>
      <c r="S2894" t="s">
        <v>46689</v>
      </c>
      <c r="T2894" t="s">
        <v>48219</v>
      </c>
      <c r="U2894" t="s">
        <v>51194</v>
      </c>
      <c r="V2894" t="s">
        <v>61821</v>
      </c>
      <c r="W2894" t="s">
        <v>43422</v>
      </c>
      <c r="X2894" t="s">
        <v>46573</v>
      </c>
    </row>
    <row r="2895" spans="1:24">
      <c r="A2895">
        <f>HYPERLINK("https://www.philgeps.gov.ph/GEPSNONPILOT/Tender/SplashBidNoticeAbstractUI.aspx?menuIndex=3&amp;refID=7062086&amp;Result=3","7062086")</f>
        <v>0</v>
      </c>
      <c r="B2895" t="s">
        <v>1114</v>
      </c>
      <c r="C2895" t="s">
        <v>6327</v>
      </c>
      <c r="D2895" t="s">
        <v>18831</v>
      </c>
      <c r="E2895" t="s">
        <v>21534</v>
      </c>
      <c r="F2895" t="s">
        <v>32664</v>
      </c>
      <c r="G2895" t="s">
        <v>32674</v>
      </c>
      <c r="H2895" t="s">
        <v>12635</v>
      </c>
      <c r="I2895" t="s">
        <v>10361</v>
      </c>
      <c r="J2895" t="s">
        <v>33625</v>
      </c>
      <c r="K2895" t="s">
        <v>42283</v>
      </c>
      <c r="M2895" t="s">
        <v>43742</v>
      </c>
      <c r="N2895" t="s">
        <v>46569</v>
      </c>
      <c r="O2895" t="s">
        <v>46570</v>
      </c>
      <c r="P2895">
        <v>0</v>
      </c>
      <c r="Q2895">
        <v>0</v>
      </c>
      <c r="R2895" t="s">
        <v>46572</v>
      </c>
      <c r="S2895" t="s">
        <v>46689</v>
      </c>
      <c r="T2895" t="s">
        <v>48450</v>
      </c>
      <c r="U2895" t="s">
        <v>51195</v>
      </c>
      <c r="W2895" t="s">
        <v>43742</v>
      </c>
      <c r="X2895" t="s">
        <v>46573</v>
      </c>
    </row>
    <row r="2896" spans="1:24">
      <c r="A2896">
        <f>HYPERLINK("https://www.philgeps.gov.ph/GEPSNONPILOT/Tender/SplashBidNoticeAbstractUI.aspx?menuIndex=3&amp;refID=7062085&amp;Result=3","7062085")</f>
        <v>0</v>
      </c>
      <c r="B2896" t="s">
        <v>68</v>
      </c>
      <c r="C2896" t="s">
        <v>6328</v>
      </c>
      <c r="D2896" t="s">
        <v>18815</v>
      </c>
      <c r="E2896" t="s">
        <v>19000</v>
      </c>
      <c r="F2896" t="s">
        <v>32664</v>
      </c>
      <c r="G2896" t="s">
        <v>32674</v>
      </c>
      <c r="H2896" t="s">
        <v>12635</v>
      </c>
      <c r="I2896" t="s">
        <v>32686</v>
      </c>
      <c r="J2896" t="s">
        <v>34038</v>
      </c>
      <c r="K2896" t="s">
        <v>42283</v>
      </c>
      <c r="M2896" t="s">
        <v>42631</v>
      </c>
      <c r="N2896" t="s">
        <v>46569</v>
      </c>
      <c r="O2896" t="s">
        <v>46570</v>
      </c>
      <c r="P2896">
        <v>0</v>
      </c>
      <c r="Q2896">
        <v>0</v>
      </c>
      <c r="R2896" t="s">
        <v>46572</v>
      </c>
      <c r="S2896" t="s">
        <v>46689</v>
      </c>
      <c r="T2896" t="s">
        <v>48251</v>
      </c>
      <c r="U2896" t="s">
        <v>51196</v>
      </c>
      <c r="V2896" t="s">
        <v>61626</v>
      </c>
      <c r="W2896" t="s">
        <v>42631</v>
      </c>
      <c r="X2896" t="s">
        <v>46573</v>
      </c>
    </row>
    <row r="2897" spans="1:24">
      <c r="A2897">
        <f>HYPERLINK("https://www.philgeps.gov.ph/GEPSNONPILOT/Tender/SplashBidNoticeAbstractUI.aspx?menuIndex=3&amp;refID=7062084&amp;Result=3","7062084")</f>
        <v>0</v>
      </c>
      <c r="B2897" t="s">
        <v>1143</v>
      </c>
      <c r="C2897" t="s">
        <v>6329</v>
      </c>
      <c r="D2897" t="s">
        <v>18831</v>
      </c>
      <c r="E2897" t="s">
        <v>21535</v>
      </c>
      <c r="F2897" t="s">
        <v>32664</v>
      </c>
      <c r="G2897" t="s">
        <v>32671</v>
      </c>
      <c r="H2897" t="s">
        <v>12635</v>
      </c>
      <c r="I2897" t="s">
        <v>4439</v>
      </c>
      <c r="J2897" t="s">
        <v>34285</v>
      </c>
      <c r="K2897" t="s">
        <v>42297</v>
      </c>
      <c r="M2897" t="s">
        <v>43774</v>
      </c>
      <c r="N2897" t="s">
        <v>46569</v>
      </c>
      <c r="O2897" t="s">
        <v>46570</v>
      </c>
      <c r="P2897">
        <v>0</v>
      </c>
      <c r="Q2897">
        <v>0</v>
      </c>
      <c r="R2897" t="s">
        <v>46572</v>
      </c>
      <c r="S2897" t="s">
        <v>46689</v>
      </c>
      <c r="T2897" t="s">
        <v>48221</v>
      </c>
      <c r="U2897" t="s">
        <v>51197</v>
      </c>
      <c r="W2897" t="s">
        <v>43774</v>
      </c>
      <c r="X2897" t="s">
        <v>46573</v>
      </c>
    </row>
    <row r="2898" spans="1:24">
      <c r="A2898">
        <f>HYPERLINK("https://www.philgeps.gov.ph/GEPSNONPILOT/Tender/SplashBidNoticeAbstractUI.aspx?menuIndex=3&amp;refID=7062026&amp;Result=3","7062026")</f>
        <v>0</v>
      </c>
      <c r="B2898" t="s">
        <v>1144</v>
      </c>
      <c r="C2898" t="s">
        <v>6330</v>
      </c>
      <c r="D2898" t="s">
        <v>18815</v>
      </c>
      <c r="E2898" t="s">
        <v>21536</v>
      </c>
      <c r="F2898" t="s">
        <v>32664</v>
      </c>
      <c r="G2898" t="s">
        <v>32671</v>
      </c>
      <c r="H2898" t="s">
        <v>12635</v>
      </c>
      <c r="I2898" t="s">
        <v>5589</v>
      </c>
      <c r="J2898" t="s">
        <v>34804</v>
      </c>
      <c r="K2898" t="s">
        <v>42283</v>
      </c>
      <c r="M2898" t="s">
        <v>43775</v>
      </c>
      <c r="N2898" t="s">
        <v>46569</v>
      </c>
      <c r="O2898" t="s">
        <v>46570</v>
      </c>
      <c r="P2898">
        <v>0</v>
      </c>
      <c r="Q2898">
        <v>0</v>
      </c>
      <c r="R2898" t="s">
        <v>46572</v>
      </c>
      <c r="S2898" t="s">
        <v>46689</v>
      </c>
      <c r="T2898" t="s">
        <v>48217</v>
      </c>
      <c r="U2898" t="s">
        <v>51198</v>
      </c>
      <c r="W2898" t="s">
        <v>43775</v>
      </c>
      <c r="X2898" t="s">
        <v>46573</v>
      </c>
    </row>
    <row r="2899" spans="1:24">
      <c r="A2899">
        <f>HYPERLINK("https://www.philgeps.gov.ph/GEPSNONPILOT/Tender/SplashBidNoticeAbstractUI.aspx?menuIndex=3&amp;refID=7062053&amp;Result=3","7062053")</f>
        <v>0</v>
      </c>
      <c r="B2899" t="s">
        <v>810</v>
      </c>
      <c r="C2899" t="s">
        <v>6331</v>
      </c>
      <c r="D2899" t="s">
        <v>18841</v>
      </c>
      <c r="E2899" t="s">
        <v>21537</v>
      </c>
      <c r="F2899" t="s">
        <v>32664</v>
      </c>
      <c r="G2899" t="s">
        <v>32671</v>
      </c>
      <c r="H2899" t="s">
        <v>12635</v>
      </c>
      <c r="I2899" t="s">
        <v>10361</v>
      </c>
      <c r="J2899" t="s">
        <v>32831</v>
      </c>
      <c r="K2899" t="s">
        <v>42339</v>
      </c>
      <c r="M2899" t="s">
        <v>43403</v>
      </c>
      <c r="N2899" t="s">
        <v>46569</v>
      </c>
      <c r="O2899" t="s">
        <v>46570</v>
      </c>
      <c r="P2899">
        <v>0</v>
      </c>
      <c r="Q2899">
        <v>0</v>
      </c>
      <c r="R2899" t="s">
        <v>46572</v>
      </c>
      <c r="S2899" t="s">
        <v>46689</v>
      </c>
      <c r="T2899" t="s">
        <v>48217</v>
      </c>
      <c r="U2899" t="s">
        <v>50334</v>
      </c>
      <c r="W2899" t="s">
        <v>43403</v>
      </c>
      <c r="X2899" t="s">
        <v>46573</v>
      </c>
    </row>
    <row r="2900" spans="1:24">
      <c r="A2900">
        <f>HYPERLINK("https://www.philgeps.gov.ph/GEPSNONPILOT/Tender/SplashBidNoticeAbstractUI.aspx?menuIndex=3&amp;refID=7062079&amp;Result=3","7062079")</f>
        <v>0</v>
      </c>
      <c r="B2900" t="s">
        <v>1123</v>
      </c>
      <c r="C2900" t="s">
        <v>6332</v>
      </c>
      <c r="D2900" t="s">
        <v>18814</v>
      </c>
      <c r="E2900" t="s">
        <v>21538</v>
      </c>
      <c r="F2900" t="s">
        <v>32664</v>
      </c>
      <c r="G2900" t="s">
        <v>32672</v>
      </c>
      <c r="H2900" t="s">
        <v>32683</v>
      </c>
      <c r="I2900" t="s">
        <v>10627</v>
      </c>
      <c r="J2900" t="s">
        <v>34805</v>
      </c>
      <c r="K2900" t="s">
        <v>42281</v>
      </c>
      <c r="M2900" t="s">
        <v>43752</v>
      </c>
      <c r="N2900" t="s">
        <v>46569</v>
      </c>
      <c r="O2900" t="s">
        <v>46570</v>
      </c>
      <c r="P2900">
        <v>0</v>
      </c>
      <c r="Q2900">
        <v>0</v>
      </c>
      <c r="R2900" t="s">
        <v>46572</v>
      </c>
      <c r="S2900" t="s">
        <v>46689</v>
      </c>
      <c r="T2900" t="s">
        <v>48278</v>
      </c>
      <c r="U2900" t="s">
        <v>51199</v>
      </c>
      <c r="W2900" t="s">
        <v>43752</v>
      </c>
      <c r="X2900" t="s">
        <v>46573</v>
      </c>
    </row>
    <row r="2901" spans="1:24">
      <c r="A2901">
        <f>HYPERLINK("https://www.philgeps.gov.ph/GEPSNONPILOT/Tender/SplashBidNoticeAbstractUI.aspx?menuIndex=3&amp;refID=7062083&amp;Result=3","7062083")</f>
        <v>0</v>
      </c>
      <c r="B2901" t="s">
        <v>1145</v>
      </c>
      <c r="C2901" t="s">
        <v>6333</v>
      </c>
      <c r="D2901" t="s">
        <v>18820</v>
      </c>
      <c r="E2901" t="s">
        <v>21539</v>
      </c>
      <c r="F2901" t="s">
        <v>32664</v>
      </c>
      <c r="G2901" t="s">
        <v>32674</v>
      </c>
      <c r="H2901" t="s">
        <v>12635</v>
      </c>
      <c r="I2901" t="s">
        <v>32710</v>
      </c>
      <c r="J2901" t="s">
        <v>33175</v>
      </c>
      <c r="K2901" t="s">
        <v>42284</v>
      </c>
      <c r="M2901" t="s">
        <v>43776</v>
      </c>
      <c r="N2901" t="s">
        <v>46569</v>
      </c>
      <c r="O2901" t="s">
        <v>46570</v>
      </c>
      <c r="P2901">
        <v>0</v>
      </c>
      <c r="Q2901">
        <v>0</v>
      </c>
      <c r="R2901" t="s">
        <v>46572</v>
      </c>
      <c r="S2901" t="s">
        <v>46689</v>
      </c>
      <c r="T2901" t="s">
        <v>48230</v>
      </c>
      <c r="U2901" t="s">
        <v>51200</v>
      </c>
      <c r="W2901" t="s">
        <v>43776</v>
      </c>
      <c r="X2901" t="s">
        <v>46573</v>
      </c>
    </row>
    <row r="2902" spans="1:24">
      <c r="A2902">
        <f>HYPERLINK("https://www.philgeps.gov.ph/GEPSNONPILOT/Tender/SplashBidNoticeAbstractUI.aspx?menuIndex=3&amp;refID=7062080&amp;Result=3","7062080")</f>
        <v>0</v>
      </c>
      <c r="B2902" t="s">
        <v>1138</v>
      </c>
      <c r="C2902" t="s">
        <v>6334</v>
      </c>
      <c r="D2902" t="s">
        <v>18842</v>
      </c>
      <c r="E2902" t="s">
        <v>19444</v>
      </c>
      <c r="F2902" t="s">
        <v>32664</v>
      </c>
      <c r="G2902" t="s">
        <v>32671</v>
      </c>
      <c r="H2902" t="s">
        <v>32682</v>
      </c>
      <c r="I2902" t="s">
        <v>32701</v>
      </c>
      <c r="J2902" t="s">
        <v>32959</v>
      </c>
      <c r="K2902" t="s">
        <v>42309</v>
      </c>
      <c r="M2902" t="s">
        <v>43769</v>
      </c>
      <c r="N2902" t="s">
        <v>46569</v>
      </c>
      <c r="O2902" t="s">
        <v>46570</v>
      </c>
      <c r="P2902">
        <v>0</v>
      </c>
      <c r="Q2902">
        <v>0</v>
      </c>
      <c r="R2902" t="s">
        <v>46572</v>
      </c>
      <c r="S2902" t="s">
        <v>46689</v>
      </c>
      <c r="T2902" t="s">
        <v>48256</v>
      </c>
      <c r="U2902" t="s">
        <v>51201</v>
      </c>
      <c r="W2902" t="s">
        <v>43769</v>
      </c>
      <c r="X2902" t="s">
        <v>46573</v>
      </c>
    </row>
    <row r="2903" spans="1:24">
      <c r="A2903">
        <f>HYPERLINK("https://www.philgeps.gov.ph/GEPSNONPILOT/Tender/SplashBidNoticeAbstractUI.aspx?menuIndex=3&amp;refID=7062076&amp;Result=3","7062076")</f>
        <v>0</v>
      </c>
      <c r="B2903" t="s">
        <v>543</v>
      </c>
      <c r="C2903" t="s">
        <v>6335</v>
      </c>
      <c r="D2903" t="s">
        <v>18790</v>
      </c>
      <c r="E2903" t="s">
        <v>21540</v>
      </c>
      <c r="F2903" t="s">
        <v>32664</v>
      </c>
      <c r="G2903" t="s">
        <v>32672</v>
      </c>
      <c r="H2903" t="s">
        <v>32683</v>
      </c>
      <c r="I2903" t="s">
        <v>10627</v>
      </c>
      <c r="J2903" t="s">
        <v>34806</v>
      </c>
      <c r="K2903" t="s">
        <v>42283</v>
      </c>
      <c r="M2903" t="s">
        <v>43747</v>
      </c>
      <c r="N2903" t="s">
        <v>46569</v>
      </c>
      <c r="O2903" t="s">
        <v>46570</v>
      </c>
      <c r="P2903">
        <v>0</v>
      </c>
      <c r="Q2903">
        <v>0</v>
      </c>
      <c r="R2903" t="s">
        <v>46572</v>
      </c>
      <c r="S2903" t="s">
        <v>46689</v>
      </c>
      <c r="T2903" t="s">
        <v>48302</v>
      </c>
      <c r="U2903" t="s">
        <v>51202</v>
      </c>
      <c r="W2903" t="s">
        <v>43747</v>
      </c>
      <c r="X2903" t="s">
        <v>46573</v>
      </c>
    </row>
    <row r="2904" spans="1:24">
      <c r="A2904">
        <f>HYPERLINK("https://www.philgeps.gov.ph/GEPSNONPILOT/Tender/SplashBidNoticeAbstractUI.aspx?menuIndex=3&amp;refID=7062071&amp;Result=3","7062071")</f>
        <v>0</v>
      </c>
      <c r="B2904" t="s">
        <v>1146</v>
      </c>
      <c r="C2904" t="s">
        <v>6336</v>
      </c>
      <c r="D2904" t="s">
        <v>18791</v>
      </c>
      <c r="E2904" t="s">
        <v>21541</v>
      </c>
      <c r="F2904" t="s">
        <v>32664</v>
      </c>
      <c r="G2904" t="s">
        <v>32671</v>
      </c>
      <c r="H2904" t="s">
        <v>12635</v>
      </c>
      <c r="I2904" t="s">
        <v>32701</v>
      </c>
      <c r="J2904" t="s">
        <v>34807</v>
      </c>
      <c r="K2904" t="s">
        <v>42289</v>
      </c>
      <c r="M2904" t="s">
        <v>43777</v>
      </c>
      <c r="N2904" t="s">
        <v>46569</v>
      </c>
      <c r="O2904" t="s">
        <v>46570</v>
      </c>
      <c r="P2904">
        <v>0</v>
      </c>
      <c r="Q2904">
        <v>0</v>
      </c>
      <c r="R2904" t="s">
        <v>46572</v>
      </c>
      <c r="S2904" t="s">
        <v>46689</v>
      </c>
      <c r="T2904" t="s">
        <v>48221</v>
      </c>
      <c r="U2904" t="s">
        <v>51203</v>
      </c>
      <c r="W2904" t="s">
        <v>43777</v>
      </c>
      <c r="X2904" t="s">
        <v>46573</v>
      </c>
    </row>
    <row r="2905" spans="1:24">
      <c r="A2905">
        <f>HYPERLINK("https://www.philgeps.gov.ph/GEPSNONPILOT/Tender/SplashBidNoticeAbstractUI.aspx?menuIndex=3&amp;refID=7062050&amp;Result=3","7062050")</f>
        <v>0</v>
      </c>
      <c r="B2905" t="s">
        <v>536</v>
      </c>
      <c r="C2905" t="s">
        <v>6337</v>
      </c>
      <c r="D2905" t="s">
        <v>18786</v>
      </c>
      <c r="E2905" t="s">
        <v>21542</v>
      </c>
      <c r="F2905" t="s">
        <v>32664</v>
      </c>
      <c r="G2905" t="s">
        <v>32671</v>
      </c>
      <c r="H2905" t="s">
        <v>12635</v>
      </c>
      <c r="I2905" t="s">
        <v>10370</v>
      </c>
      <c r="J2905" t="s">
        <v>33147</v>
      </c>
      <c r="K2905" t="s">
        <v>42281</v>
      </c>
      <c r="M2905" t="s">
        <v>43114</v>
      </c>
      <c r="N2905" t="s">
        <v>46569</v>
      </c>
      <c r="O2905" t="s">
        <v>46570</v>
      </c>
      <c r="P2905">
        <v>0</v>
      </c>
      <c r="Q2905">
        <v>1</v>
      </c>
      <c r="R2905" t="s">
        <v>46572</v>
      </c>
      <c r="S2905" t="s">
        <v>46689</v>
      </c>
      <c r="T2905" t="s">
        <v>48268</v>
      </c>
      <c r="U2905" t="s">
        <v>51204</v>
      </c>
      <c r="W2905" t="s">
        <v>43114</v>
      </c>
      <c r="X2905" t="s">
        <v>46573</v>
      </c>
    </row>
    <row r="2906" spans="1:24">
      <c r="A2906">
        <f>HYPERLINK("https://www.philgeps.gov.ph/GEPSNONPILOT/Tender/SplashBidNoticeAbstractUI.aspx?menuIndex=3&amp;refID=7062078&amp;Result=3","7062078")</f>
        <v>0</v>
      </c>
      <c r="B2906" t="s">
        <v>783</v>
      </c>
      <c r="C2906" t="s">
        <v>6338</v>
      </c>
      <c r="D2906" t="s">
        <v>18826</v>
      </c>
      <c r="E2906" t="s">
        <v>21543</v>
      </c>
      <c r="F2906" t="s">
        <v>32664</v>
      </c>
      <c r="G2906" t="s">
        <v>32671</v>
      </c>
      <c r="H2906" t="s">
        <v>12635</v>
      </c>
      <c r="I2906" t="s">
        <v>32706</v>
      </c>
      <c r="J2906" t="s">
        <v>34808</v>
      </c>
      <c r="K2906" t="s">
        <v>42283</v>
      </c>
      <c r="M2906" t="s">
        <v>43375</v>
      </c>
      <c r="N2906" t="s">
        <v>46569</v>
      </c>
      <c r="O2906" t="s">
        <v>46570</v>
      </c>
      <c r="P2906">
        <v>0</v>
      </c>
      <c r="Q2906">
        <v>0</v>
      </c>
      <c r="R2906" t="s">
        <v>46572</v>
      </c>
      <c r="S2906" t="s">
        <v>46689</v>
      </c>
      <c r="T2906" t="s">
        <v>48256</v>
      </c>
      <c r="U2906" t="s">
        <v>51205</v>
      </c>
      <c r="W2906" t="s">
        <v>43375</v>
      </c>
      <c r="X2906" t="s">
        <v>46573</v>
      </c>
    </row>
    <row r="2907" spans="1:24">
      <c r="A2907">
        <f>HYPERLINK("https://www.philgeps.gov.ph/GEPSNONPILOT/Tender/SplashBidNoticeAbstractUI.aspx?menuIndex=3&amp;refID=7062081&amp;Result=3","7062081")</f>
        <v>0</v>
      </c>
      <c r="B2907" t="s">
        <v>1147</v>
      </c>
      <c r="C2907" t="s">
        <v>6339</v>
      </c>
      <c r="D2907" t="s">
        <v>18835</v>
      </c>
      <c r="E2907" t="s">
        <v>21544</v>
      </c>
      <c r="F2907" t="s">
        <v>32664</v>
      </c>
      <c r="G2907" t="s">
        <v>32672</v>
      </c>
      <c r="H2907" t="s">
        <v>32683</v>
      </c>
      <c r="I2907" t="s">
        <v>4439</v>
      </c>
      <c r="J2907" t="s">
        <v>34809</v>
      </c>
      <c r="K2907" t="s">
        <v>42289</v>
      </c>
      <c r="M2907" t="s">
        <v>43778</v>
      </c>
      <c r="N2907" t="s">
        <v>46569</v>
      </c>
      <c r="O2907" t="s">
        <v>46570</v>
      </c>
      <c r="P2907">
        <v>0</v>
      </c>
      <c r="Q2907">
        <v>0</v>
      </c>
      <c r="R2907" t="s">
        <v>46572</v>
      </c>
      <c r="S2907" t="s">
        <v>46689</v>
      </c>
      <c r="T2907" t="s">
        <v>48304</v>
      </c>
      <c r="U2907" t="s">
        <v>51206</v>
      </c>
      <c r="W2907" t="s">
        <v>43778</v>
      </c>
      <c r="X2907" t="s">
        <v>46573</v>
      </c>
    </row>
    <row r="2908" spans="1:24">
      <c r="A2908">
        <f>HYPERLINK("https://www.philgeps.gov.ph/GEPSNONPILOT/Tender/SplashBidNoticeAbstractUI.aspx?menuIndex=3&amp;refID=7061997&amp;Result=3","7061997")</f>
        <v>0</v>
      </c>
      <c r="B2908" t="s">
        <v>555</v>
      </c>
      <c r="C2908" t="s">
        <v>6340</v>
      </c>
      <c r="D2908" t="s">
        <v>18841</v>
      </c>
      <c r="E2908" t="s">
        <v>21545</v>
      </c>
      <c r="F2908" t="s">
        <v>32664</v>
      </c>
      <c r="G2908" t="s">
        <v>32671</v>
      </c>
      <c r="H2908" t="s">
        <v>12635</v>
      </c>
      <c r="I2908" t="s">
        <v>32712</v>
      </c>
      <c r="J2908" t="s">
        <v>33425</v>
      </c>
      <c r="K2908" t="s">
        <v>42289</v>
      </c>
      <c r="M2908" t="s">
        <v>43135</v>
      </c>
      <c r="N2908" t="s">
        <v>46569</v>
      </c>
      <c r="O2908" t="s">
        <v>46570</v>
      </c>
      <c r="P2908">
        <v>0</v>
      </c>
      <c r="Q2908">
        <v>1</v>
      </c>
      <c r="R2908" t="s">
        <v>46572</v>
      </c>
      <c r="S2908" t="s">
        <v>46689</v>
      </c>
      <c r="T2908" t="s">
        <v>48282</v>
      </c>
      <c r="U2908" t="s">
        <v>51207</v>
      </c>
      <c r="W2908" t="s">
        <v>43135</v>
      </c>
      <c r="X2908" t="s">
        <v>46573</v>
      </c>
    </row>
    <row r="2909" spans="1:24">
      <c r="A2909">
        <f>HYPERLINK("https://www.philgeps.gov.ph/GEPSNONPILOT/Tender/SplashBidNoticeAbstractUI.aspx?menuIndex=3&amp;refID=7061996&amp;Result=3","7061996")</f>
        <v>0</v>
      </c>
      <c r="B2909" t="s">
        <v>1148</v>
      </c>
      <c r="C2909" t="s">
        <v>6341</v>
      </c>
      <c r="D2909" t="s">
        <v>18827</v>
      </c>
      <c r="E2909" t="s">
        <v>21546</v>
      </c>
      <c r="F2909" t="s">
        <v>32664</v>
      </c>
      <c r="G2909" t="s">
        <v>32672</v>
      </c>
      <c r="H2909" t="s">
        <v>32683</v>
      </c>
      <c r="I2909" t="s">
        <v>10627</v>
      </c>
      <c r="J2909" t="s">
        <v>34810</v>
      </c>
      <c r="K2909" t="s">
        <v>42281</v>
      </c>
      <c r="M2909" t="s">
        <v>43779</v>
      </c>
      <c r="N2909" t="s">
        <v>46569</v>
      </c>
      <c r="O2909" t="s">
        <v>46570</v>
      </c>
      <c r="P2909">
        <v>0</v>
      </c>
      <c r="Q2909">
        <v>0</v>
      </c>
      <c r="R2909" t="s">
        <v>46572</v>
      </c>
      <c r="S2909" t="s">
        <v>46689</v>
      </c>
      <c r="T2909" t="s">
        <v>48238</v>
      </c>
      <c r="U2909" t="s">
        <v>51208</v>
      </c>
      <c r="W2909" t="s">
        <v>43779</v>
      </c>
      <c r="X2909" t="s">
        <v>46573</v>
      </c>
    </row>
    <row r="2910" spans="1:24">
      <c r="A2910">
        <f>HYPERLINK("https://www.philgeps.gov.ph/GEPSNONPILOT/Tender/SplashBidNoticeAbstractUI.aspx?menuIndex=3&amp;refID=7062023&amp;Result=3","7062023")</f>
        <v>0</v>
      </c>
      <c r="B2910" t="s">
        <v>1149</v>
      </c>
      <c r="C2910" t="s">
        <v>6342</v>
      </c>
      <c r="D2910" t="s">
        <v>18846</v>
      </c>
      <c r="E2910" t="s">
        <v>21547</v>
      </c>
      <c r="F2910" t="s">
        <v>32664</v>
      </c>
      <c r="G2910" t="s">
        <v>32671</v>
      </c>
      <c r="H2910" t="s">
        <v>12635</v>
      </c>
      <c r="I2910" t="s">
        <v>4997</v>
      </c>
      <c r="J2910" t="s">
        <v>34811</v>
      </c>
      <c r="K2910" t="s">
        <v>42297</v>
      </c>
      <c r="M2910" t="s">
        <v>43780</v>
      </c>
      <c r="N2910" t="s">
        <v>46569</v>
      </c>
      <c r="O2910" t="s">
        <v>46570</v>
      </c>
      <c r="P2910">
        <v>0</v>
      </c>
      <c r="Q2910">
        <v>1</v>
      </c>
      <c r="R2910" t="s">
        <v>46572</v>
      </c>
      <c r="S2910" t="s">
        <v>46689</v>
      </c>
      <c r="T2910" t="s">
        <v>48314</v>
      </c>
      <c r="U2910" t="s">
        <v>51209</v>
      </c>
      <c r="W2910" t="s">
        <v>43780</v>
      </c>
      <c r="X2910" t="s">
        <v>46573</v>
      </c>
    </row>
    <row r="2911" spans="1:24">
      <c r="A2911">
        <f>HYPERLINK("https://www.philgeps.gov.ph/GEPSNONPILOT/Tender/SplashBidNoticeAbstractUI.aspx?menuIndex=3&amp;refID=7062091&amp;Result=3","7062091")</f>
        <v>0</v>
      </c>
      <c r="B2911" t="s">
        <v>1146</v>
      </c>
      <c r="C2911" t="s">
        <v>6343</v>
      </c>
      <c r="D2911" t="s">
        <v>18791</v>
      </c>
      <c r="E2911" t="s">
        <v>21548</v>
      </c>
      <c r="F2911" t="s">
        <v>32664</v>
      </c>
      <c r="G2911" t="s">
        <v>32671</v>
      </c>
      <c r="H2911" t="s">
        <v>12635</v>
      </c>
      <c r="I2911" t="s">
        <v>32688</v>
      </c>
      <c r="J2911" t="s">
        <v>34812</v>
      </c>
      <c r="K2911" t="s">
        <v>42289</v>
      </c>
      <c r="M2911" t="s">
        <v>43777</v>
      </c>
      <c r="N2911" t="s">
        <v>46569</v>
      </c>
      <c r="O2911" t="s">
        <v>46570</v>
      </c>
      <c r="P2911">
        <v>0</v>
      </c>
      <c r="Q2911">
        <v>1</v>
      </c>
      <c r="R2911" t="s">
        <v>46572</v>
      </c>
      <c r="S2911" t="s">
        <v>46689</v>
      </c>
      <c r="T2911" t="s">
        <v>48221</v>
      </c>
      <c r="U2911" t="s">
        <v>51210</v>
      </c>
      <c r="W2911" t="s">
        <v>43777</v>
      </c>
      <c r="X2911" t="s">
        <v>46573</v>
      </c>
    </row>
    <row r="2912" spans="1:24">
      <c r="A2912">
        <f>HYPERLINK("https://www.philgeps.gov.ph/GEPSNONPILOT/Tender/SplashBidNoticeAbstractUI.aspx?menuIndex=3&amp;refID=7062120&amp;Result=3","7062120")</f>
        <v>0</v>
      </c>
      <c r="B2912" t="s">
        <v>1150</v>
      </c>
      <c r="C2912" t="s">
        <v>6344</v>
      </c>
      <c r="D2912" t="s">
        <v>18845</v>
      </c>
      <c r="E2912" t="s">
        <v>21549</v>
      </c>
      <c r="F2912" t="s">
        <v>32664</v>
      </c>
      <c r="G2912" t="s">
        <v>32671</v>
      </c>
      <c r="H2912" t="s">
        <v>12635</v>
      </c>
      <c r="I2912" t="s">
        <v>4205</v>
      </c>
      <c r="J2912" t="s">
        <v>32853</v>
      </c>
      <c r="K2912" t="s">
        <v>42283</v>
      </c>
      <c r="M2912" t="s">
        <v>43781</v>
      </c>
      <c r="N2912" t="s">
        <v>46569</v>
      </c>
      <c r="O2912" t="s">
        <v>46570</v>
      </c>
      <c r="P2912">
        <v>0</v>
      </c>
      <c r="Q2912">
        <v>0</v>
      </c>
      <c r="R2912" t="s">
        <v>46572</v>
      </c>
      <c r="S2912" t="s">
        <v>46689</v>
      </c>
      <c r="T2912" t="s">
        <v>48258</v>
      </c>
      <c r="U2912" t="s">
        <v>51211</v>
      </c>
      <c r="W2912" t="s">
        <v>43781</v>
      </c>
      <c r="X2912" t="s">
        <v>46573</v>
      </c>
    </row>
    <row r="2913" spans="1:24">
      <c r="A2913">
        <f>HYPERLINK("https://www.philgeps.gov.ph/GEPSNONPILOT/Tender/SplashBidNoticeAbstractUI.aspx?menuIndex=3&amp;refID=7062074&amp;Result=3","7062074")</f>
        <v>0</v>
      </c>
      <c r="B2913" t="s">
        <v>1117</v>
      </c>
      <c r="C2913" t="s">
        <v>6345</v>
      </c>
      <c r="D2913" t="s">
        <v>18788</v>
      </c>
      <c r="E2913" t="s">
        <v>21550</v>
      </c>
      <c r="F2913" t="s">
        <v>32664</v>
      </c>
      <c r="G2913" t="s">
        <v>32672</v>
      </c>
      <c r="H2913" t="s">
        <v>12635</v>
      </c>
      <c r="I2913" t="s">
        <v>4439</v>
      </c>
      <c r="J2913" t="s">
        <v>32859</v>
      </c>
      <c r="K2913" t="s">
        <v>42289</v>
      </c>
      <c r="M2913" t="s">
        <v>43745</v>
      </c>
      <c r="N2913" t="s">
        <v>46569</v>
      </c>
      <c r="O2913" t="s">
        <v>46570</v>
      </c>
      <c r="P2913">
        <v>0</v>
      </c>
      <c r="Q2913">
        <v>0</v>
      </c>
      <c r="R2913" t="s">
        <v>46572</v>
      </c>
      <c r="S2913" t="s">
        <v>46689</v>
      </c>
      <c r="T2913" t="s">
        <v>48276</v>
      </c>
      <c r="U2913" t="s">
        <v>51212</v>
      </c>
      <c r="W2913" t="s">
        <v>43745</v>
      </c>
      <c r="X2913" t="s">
        <v>46573</v>
      </c>
    </row>
    <row r="2914" spans="1:24">
      <c r="A2914">
        <f>HYPERLINK("https://www.philgeps.gov.ph/GEPSNONPILOT/Tender/SplashBidNoticeAbstractUI.aspx?menuIndex=3&amp;refID=7062116&amp;Result=3","7062116")</f>
        <v>0</v>
      </c>
      <c r="B2914" t="s">
        <v>935</v>
      </c>
      <c r="C2914" t="s">
        <v>6346</v>
      </c>
      <c r="D2914" t="s">
        <v>18781</v>
      </c>
      <c r="E2914" t="s">
        <v>21551</v>
      </c>
      <c r="F2914" t="s">
        <v>32664</v>
      </c>
      <c r="G2914" t="s">
        <v>32671</v>
      </c>
      <c r="H2914" t="s">
        <v>12635</v>
      </c>
      <c r="I2914" t="s">
        <v>10590</v>
      </c>
      <c r="J2914" t="s">
        <v>34813</v>
      </c>
      <c r="K2914" t="s">
        <v>42283</v>
      </c>
      <c r="M2914" t="s">
        <v>43541</v>
      </c>
      <c r="N2914" t="s">
        <v>46569</v>
      </c>
      <c r="O2914" t="s">
        <v>46570</v>
      </c>
      <c r="P2914">
        <v>0</v>
      </c>
      <c r="Q2914">
        <v>0</v>
      </c>
      <c r="R2914" t="s">
        <v>46572</v>
      </c>
      <c r="S2914" t="s">
        <v>46689</v>
      </c>
      <c r="T2914" t="s">
        <v>48219</v>
      </c>
      <c r="U2914" t="s">
        <v>51213</v>
      </c>
      <c r="W2914" t="s">
        <v>43541</v>
      </c>
      <c r="X2914" t="s">
        <v>46573</v>
      </c>
    </row>
    <row r="2915" spans="1:24">
      <c r="A2915">
        <f>HYPERLINK("https://www.philgeps.gov.ph/GEPSNONPILOT/Tender/SplashBidNoticeAbstractUI.aspx?menuIndex=3&amp;refID=7061943&amp;Result=3","7061943")</f>
        <v>0</v>
      </c>
      <c r="B2915" t="s">
        <v>790</v>
      </c>
      <c r="C2915" t="s">
        <v>6347</v>
      </c>
      <c r="D2915" t="s">
        <v>18809</v>
      </c>
      <c r="E2915" t="s">
        <v>21552</v>
      </c>
      <c r="F2915" t="s">
        <v>32664</v>
      </c>
      <c r="G2915" t="s">
        <v>32672</v>
      </c>
      <c r="H2915" t="s">
        <v>12635</v>
      </c>
      <c r="I2915" t="s">
        <v>32696</v>
      </c>
      <c r="J2915" t="s">
        <v>34148</v>
      </c>
      <c r="K2915" t="s">
        <v>42281</v>
      </c>
      <c r="M2915" t="s">
        <v>43382</v>
      </c>
      <c r="N2915" t="s">
        <v>46569</v>
      </c>
      <c r="O2915" t="s">
        <v>46570</v>
      </c>
      <c r="P2915">
        <v>0</v>
      </c>
      <c r="Q2915">
        <v>3</v>
      </c>
      <c r="R2915" t="s">
        <v>46572</v>
      </c>
      <c r="S2915" t="s">
        <v>46689</v>
      </c>
      <c r="T2915" t="s">
        <v>48463</v>
      </c>
      <c r="U2915" t="s">
        <v>51214</v>
      </c>
      <c r="W2915" t="s">
        <v>43382</v>
      </c>
      <c r="X2915" t="s">
        <v>46573</v>
      </c>
    </row>
    <row r="2916" spans="1:24">
      <c r="A2916">
        <f>HYPERLINK("https://www.philgeps.gov.ph/GEPSNONPILOT/Tender/SplashBidNoticeAbstractUI.aspx?menuIndex=3&amp;refID=7062115&amp;Result=3","7062115")</f>
        <v>0</v>
      </c>
      <c r="B2916" t="s">
        <v>1151</v>
      </c>
      <c r="C2916" t="s">
        <v>6348</v>
      </c>
      <c r="D2916" t="s">
        <v>18805</v>
      </c>
      <c r="E2916" t="s">
        <v>21553</v>
      </c>
      <c r="F2916" t="s">
        <v>32664</v>
      </c>
      <c r="G2916" t="s">
        <v>32671</v>
      </c>
      <c r="H2916" t="s">
        <v>12635</v>
      </c>
      <c r="I2916" t="s">
        <v>32752</v>
      </c>
      <c r="J2916" t="s">
        <v>34247</v>
      </c>
      <c r="K2916" t="s">
        <v>42283</v>
      </c>
      <c r="M2916" t="s">
        <v>43782</v>
      </c>
      <c r="N2916" t="s">
        <v>46569</v>
      </c>
      <c r="O2916" t="s">
        <v>46570</v>
      </c>
      <c r="P2916">
        <v>0</v>
      </c>
      <c r="Q2916">
        <v>0</v>
      </c>
      <c r="R2916" t="s">
        <v>46572</v>
      </c>
      <c r="S2916" t="s">
        <v>46689</v>
      </c>
      <c r="T2916" t="s">
        <v>48410</v>
      </c>
      <c r="U2916" t="s">
        <v>51215</v>
      </c>
      <c r="W2916" t="s">
        <v>43782</v>
      </c>
      <c r="X2916" t="s">
        <v>46573</v>
      </c>
    </row>
    <row r="2917" spans="1:24">
      <c r="A2917">
        <f>HYPERLINK("https://www.philgeps.gov.ph/GEPSNONPILOT/Tender/SplashBidNoticeAbstractUI.aspx?menuIndex=3&amp;refID=7062114&amp;Result=3","7062114")</f>
        <v>0</v>
      </c>
      <c r="B2917" t="s">
        <v>1152</v>
      </c>
      <c r="C2917" t="s">
        <v>6349</v>
      </c>
      <c r="D2917" t="s">
        <v>18804</v>
      </c>
      <c r="E2917" t="s">
        <v>21554</v>
      </c>
      <c r="F2917" t="s">
        <v>32664</v>
      </c>
      <c r="G2917" t="s">
        <v>32671</v>
      </c>
      <c r="H2917" t="s">
        <v>12635</v>
      </c>
      <c r="I2917" t="s">
        <v>4439</v>
      </c>
      <c r="J2917" t="s">
        <v>34814</v>
      </c>
      <c r="K2917" t="s">
        <v>42297</v>
      </c>
      <c r="M2917" t="s">
        <v>43783</v>
      </c>
      <c r="N2917" t="s">
        <v>46569</v>
      </c>
      <c r="O2917" t="s">
        <v>46570</v>
      </c>
      <c r="P2917">
        <v>0</v>
      </c>
      <c r="Q2917">
        <v>0</v>
      </c>
      <c r="R2917" t="s">
        <v>46572</v>
      </c>
      <c r="S2917" t="s">
        <v>46689</v>
      </c>
      <c r="T2917" t="s">
        <v>48293</v>
      </c>
      <c r="U2917" t="s">
        <v>51216</v>
      </c>
      <c r="W2917" t="s">
        <v>43783</v>
      </c>
      <c r="X2917" t="s">
        <v>46573</v>
      </c>
    </row>
    <row r="2918" spans="1:24">
      <c r="A2918">
        <f>HYPERLINK("https://www.philgeps.gov.ph/GEPSNONPILOT/Tender/SplashBidNoticeAbstractUI.aspx?menuIndex=3&amp;refID=7062113&amp;Result=3","7062113")</f>
        <v>0</v>
      </c>
      <c r="B2918" t="s">
        <v>1144</v>
      </c>
      <c r="C2918" t="s">
        <v>6350</v>
      </c>
      <c r="D2918" t="s">
        <v>18815</v>
      </c>
      <c r="E2918" t="s">
        <v>21555</v>
      </c>
      <c r="F2918" t="s">
        <v>32664</v>
      </c>
      <c r="G2918" t="s">
        <v>32678</v>
      </c>
      <c r="H2918" t="s">
        <v>12635</v>
      </c>
      <c r="I2918" t="s">
        <v>32720</v>
      </c>
      <c r="J2918" t="s">
        <v>34815</v>
      </c>
      <c r="K2918" t="s">
        <v>42281</v>
      </c>
      <c r="M2918" t="s">
        <v>43775</v>
      </c>
      <c r="N2918" t="s">
        <v>46569</v>
      </c>
      <c r="O2918" t="s">
        <v>46570</v>
      </c>
      <c r="P2918">
        <v>0</v>
      </c>
      <c r="Q2918">
        <v>1</v>
      </c>
      <c r="R2918" t="s">
        <v>46572</v>
      </c>
      <c r="S2918" t="s">
        <v>46689</v>
      </c>
      <c r="T2918" t="s">
        <v>48373</v>
      </c>
      <c r="U2918" t="s">
        <v>51217</v>
      </c>
      <c r="W2918" t="s">
        <v>43775</v>
      </c>
      <c r="X2918" t="s">
        <v>46573</v>
      </c>
    </row>
    <row r="2919" spans="1:24">
      <c r="A2919">
        <f>HYPERLINK("https://www.philgeps.gov.ph/GEPSNONPILOT/Tender/SplashBidNoticeAbstractUI.aspx?menuIndex=3&amp;refID=7062092&amp;Result=3","7062092")</f>
        <v>0</v>
      </c>
      <c r="B2919" t="s">
        <v>1119</v>
      </c>
      <c r="C2919" t="s">
        <v>6351</v>
      </c>
      <c r="D2919" t="s">
        <v>18835</v>
      </c>
      <c r="E2919" t="s">
        <v>21556</v>
      </c>
      <c r="F2919" t="s">
        <v>32664</v>
      </c>
      <c r="G2919" t="s">
        <v>32672</v>
      </c>
      <c r="H2919" t="s">
        <v>32683</v>
      </c>
      <c r="I2919" t="s">
        <v>10627</v>
      </c>
      <c r="J2919" t="s">
        <v>34816</v>
      </c>
      <c r="K2919" t="s">
        <v>42297</v>
      </c>
      <c r="M2919" t="s">
        <v>43748</v>
      </c>
      <c r="N2919" t="s">
        <v>46569</v>
      </c>
      <c r="O2919" t="s">
        <v>46570</v>
      </c>
      <c r="P2919">
        <v>0</v>
      </c>
      <c r="Q2919">
        <v>0</v>
      </c>
      <c r="R2919" t="s">
        <v>46572</v>
      </c>
      <c r="S2919" t="s">
        <v>46689</v>
      </c>
      <c r="T2919" t="s">
        <v>48261</v>
      </c>
      <c r="U2919" t="s">
        <v>51218</v>
      </c>
      <c r="W2919" t="s">
        <v>43748</v>
      </c>
      <c r="X2919" t="s">
        <v>46573</v>
      </c>
    </row>
    <row r="2920" spans="1:24">
      <c r="A2920">
        <f>HYPERLINK("https://www.philgeps.gov.ph/GEPSNONPILOT/Tender/SplashBidNoticeAbstractUI.aspx?menuIndex=3&amp;refID=7062110&amp;Result=3","7062110")</f>
        <v>0</v>
      </c>
      <c r="B2920" t="s">
        <v>1121</v>
      </c>
      <c r="C2920" t="s">
        <v>6352</v>
      </c>
      <c r="D2920" t="s">
        <v>18827</v>
      </c>
      <c r="E2920" t="s">
        <v>21557</v>
      </c>
      <c r="F2920" t="s">
        <v>32664</v>
      </c>
      <c r="G2920" t="s">
        <v>32671</v>
      </c>
      <c r="H2920" t="s">
        <v>32683</v>
      </c>
      <c r="I2920" t="s">
        <v>10627</v>
      </c>
      <c r="J2920" t="s">
        <v>32898</v>
      </c>
      <c r="K2920" t="s">
        <v>42297</v>
      </c>
      <c r="M2920" t="s">
        <v>43750</v>
      </c>
      <c r="N2920" t="s">
        <v>46569</v>
      </c>
      <c r="O2920" t="s">
        <v>46570</v>
      </c>
      <c r="P2920">
        <v>0</v>
      </c>
      <c r="Q2920">
        <v>0</v>
      </c>
      <c r="R2920" t="s">
        <v>46572</v>
      </c>
      <c r="S2920" t="s">
        <v>46689</v>
      </c>
      <c r="T2920" t="s">
        <v>48256</v>
      </c>
      <c r="U2920" t="s">
        <v>51219</v>
      </c>
      <c r="W2920" t="s">
        <v>43750</v>
      </c>
      <c r="X2920" t="s">
        <v>46573</v>
      </c>
    </row>
    <row r="2921" spans="1:24">
      <c r="A2921">
        <f>HYPERLINK("https://www.philgeps.gov.ph/GEPSNONPILOT/Tender/SplashBidNoticeAbstractUI.aspx?menuIndex=3&amp;refID=7062109&amp;Result=3","7062109")</f>
        <v>0</v>
      </c>
      <c r="B2921" t="s">
        <v>790</v>
      </c>
      <c r="C2921" t="s">
        <v>6353</v>
      </c>
      <c r="D2921" t="s">
        <v>18809</v>
      </c>
      <c r="E2921" t="s">
        <v>21558</v>
      </c>
      <c r="F2921" t="s">
        <v>32664</v>
      </c>
      <c r="G2921" t="s">
        <v>32677</v>
      </c>
      <c r="H2921" t="s">
        <v>12635</v>
      </c>
      <c r="I2921" t="s">
        <v>32723</v>
      </c>
      <c r="J2921" t="s">
        <v>33051</v>
      </c>
      <c r="K2921" t="s">
        <v>42303</v>
      </c>
      <c r="M2921" t="s">
        <v>43382</v>
      </c>
      <c r="N2921" t="s">
        <v>46569</v>
      </c>
      <c r="O2921" t="s">
        <v>46570</v>
      </c>
      <c r="P2921">
        <v>0</v>
      </c>
      <c r="Q2921">
        <v>0</v>
      </c>
      <c r="R2921" t="s">
        <v>46572</v>
      </c>
      <c r="S2921" t="s">
        <v>46689</v>
      </c>
      <c r="T2921" t="s">
        <v>48223</v>
      </c>
      <c r="U2921" t="s">
        <v>51220</v>
      </c>
      <c r="W2921" t="s">
        <v>43382</v>
      </c>
      <c r="X2921" t="s">
        <v>46573</v>
      </c>
    </row>
    <row r="2922" spans="1:24">
      <c r="A2922">
        <f>HYPERLINK("https://www.philgeps.gov.ph/GEPSNONPILOT/Tender/SplashBidNoticeAbstractUI.aspx?menuIndex=3&amp;refID=7062108&amp;Result=3","7062108")</f>
        <v>0</v>
      </c>
      <c r="B2922" t="s">
        <v>1153</v>
      </c>
      <c r="C2922" t="s">
        <v>6354</v>
      </c>
      <c r="D2922" t="s">
        <v>18788</v>
      </c>
      <c r="E2922" t="s">
        <v>21559</v>
      </c>
      <c r="F2922" t="s">
        <v>32664</v>
      </c>
      <c r="G2922" t="s">
        <v>32671</v>
      </c>
      <c r="H2922" t="s">
        <v>12635</v>
      </c>
      <c r="I2922" t="s">
        <v>32685</v>
      </c>
      <c r="J2922" t="s">
        <v>34817</v>
      </c>
      <c r="K2922" t="s">
        <v>42298</v>
      </c>
      <c r="M2922" t="s">
        <v>43784</v>
      </c>
      <c r="N2922" t="s">
        <v>46569</v>
      </c>
      <c r="O2922" t="s">
        <v>46570</v>
      </c>
      <c r="Q2922">
        <v>0</v>
      </c>
      <c r="R2922" t="s">
        <v>46572</v>
      </c>
      <c r="S2922" t="s">
        <v>46695</v>
      </c>
      <c r="T2922" t="s">
        <v>48334</v>
      </c>
      <c r="U2922" t="s">
        <v>51221</v>
      </c>
      <c r="W2922" t="s">
        <v>43784</v>
      </c>
      <c r="X2922" t="s">
        <v>46573</v>
      </c>
    </row>
    <row r="2923" spans="1:24">
      <c r="A2923">
        <f>HYPERLINK("https://www.philgeps.gov.ph/GEPSNONPILOT/Tender/SplashBidNoticeAbstractUI.aspx?menuIndex=3&amp;refID=7062107&amp;Result=3","7062107")</f>
        <v>0</v>
      </c>
      <c r="B2923" t="s">
        <v>1154</v>
      </c>
      <c r="C2923" t="s">
        <v>6355</v>
      </c>
      <c r="D2923" t="s">
        <v>18826</v>
      </c>
      <c r="E2923" t="s">
        <v>21560</v>
      </c>
      <c r="F2923" t="s">
        <v>32664</v>
      </c>
      <c r="G2923" t="s">
        <v>32671</v>
      </c>
      <c r="H2923" t="s">
        <v>12635</v>
      </c>
      <c r="I2923" t="s">
        <v>32694</v>
      </c>
      <c r="J2923" t="s">
        <v>34818</v>
      </c>
      <c r="K2923" t="s">
        <v>42281</v>
      </c>
      <c r="M2923" t="s">
        <v>43785</v>
      </c>
      <c r="N2923" t="s">
        <v>46569</v>
      </c>
      <c r="O2923" t="s">
        <v>46570</v>
      </c>
      <c r="P2923">
        <v>0</v>
      </c>
      <c r="Q2923">
        <v>1</v>
      </c>
      <c r="R2923" t="s">
        <v>46572</v>
      </c>
      <c r="S2923" t="s">
        <v>46689</v>
      </c>
      <c r="T2923" t="s">
        <v>48301</v>
      </c>
      <c r="U2923" t="s">
        <v>51222</v>
      </c>
      <c r="W2923" t="s">
        <v>43785</v>
      </c>
      <c r="X2923" t="s">
        <v>46573</v>
      </c>
    </row>
    <row r="2924" spans="1:24">
      <c r="A2924">
        <f>HYPERLINK("https://www.philgeps.gov.ph/GEPSNONPILOT/Tender/SplashBidNoticeAbstractUI.aspx?menuIndex=3&amp;refID=7062112&amp;Result=3","7062112")</f>
        <v>0</v>
      </c>
      <c r="B2924" t="s">
        <v>1145</v>
      </c>
      <c r="C2924" t="s">
        <v>6356</v>
      </c>
      <c r="D2924" t="s">
        <v>18820</v>
      </c>
      <c r="E2924" t="s">
        <v>21561</v>
      </c>
      <c r="F2924" t="s">
        <v>32664</v>
      </c>
      <c r="G2924" t="s">
        <v>32674</v>
      </c>
      <c r="H2924" t="s">
        <v>12635</v>
      </c>
      <c r="I2924" t="s">
        <v>32710</v>
      </c>
      <c r="J2924" t="s">
        <v>33175</v>
      </c>
      <c r="K2924" t="s">
        <v>42284</v>
      </c>
      <c r="M2924" t="s">
        <v>43776</v>
      </c>
      <c r="N2924" t="s">
        <v>46569</v>
      </c>
      <c r="O2924" t="s">
        <v>46570</v>
      </c>
      <c r="P2924">
        <v>0</v>
      </c>
      <c r="Q2924">
        <v>0</v>
      </c>
      <c r="R2924" t="s">
        <v>46572</v>
      </c>
      <c r="S2924" t="s">
        <v>46689</v>
      </c>
      <c r="T2924" t="s">
        <v>48230</v>
      </c>
      <c r="U2924" t="s">
        <v>51223</v>
      </c>
      <c r="W2924" t="s">
        <v>43776</v>
      </c>
      <c r="X2924" t="s">
        <v>46573</v>
      </c>
    </row>
    <row r="2925" spans="1:24">
      <c r="A2925">
        <f>HYPERLINK("https://www.philgeps.gov.ph/GEPSNONPILOT/Tender/SplashBidNoticeAbstractUI.aspx?menuIndex=3&amp;refID=7062117&amp;Result=3","7062117")</f>
        <v>0</v>
      </c>
      <c r="B2925" t="s">
        <v>1155</v>
      </c>
      <c r="C2925" t="s">
        <v>6357</v>
      </c>
      <c r="D2925" t="s">
        <v>18799</v>
      </c>
      <c r="E2925" t="s">
        <v>19146</v>
      </c>
      <c r="F2925" t="s">
        <v>32664</v>
      </c>
      <c r="G2925" t="s">
        <v>32674</v>
      </c>
      <c r="H2925" t="s">
        <v>32682</v>
      </c>
      <c r="I2925" t="s">
        <v>9946</v>
      </c>
      <c r="J2925" t="s">
        <v>34819</v>
      </c>
      <c r="K2925" t="s">
        <v>42332</v>
      </c>
      <c r="M2925" t="s">
        <v>43786</v>
      </c>
      <c r="N2925" t="s">
        <v>46569</v>
      </c>
      <c r="O2925" t="s">
        <v>46570</v>
      </c>
      <c r="P2925">
        <v>0</v>
      </c>
      <c r="Q2925">
        <v>0</v>
      </c>
      <c r="R2925" t="s">
        <v>46572</v>
      </c>
      <c r="S2925" t="s">
        <v>46689</v>
      </c>
      <c r="T2925" t="s">
        <v>48254</v>
      </c>
      <c r="U2925" t="s">
        <v>51224</v>
      </c>
      <c r="W2925" t="s">
        <v>43786</v>
      </c>
      <c r="X2925" t="s">
        <v>46573</v>
      </c>
    </row>
    <row r="2926" spans="1:24">
      <c r="A2926">
        <f>HYPERLINK("https://www.philgeps.gov.ph/GEPSNONPILOT/Tender/SplashBidNoticeAbstractUI.aspx?menuIndex=3&amp;refID=7062105&amp;Result=3","7062105")</f>
        <v>0</v>
      </c>
      <c r="B2926" t="s">
        <v>783</v>
      </c>
      <c r="C2926" t="s">
        <v>6358</v>
      </c>
      <c r="D2926" t="s">
        <v>18826</v>
      </c>
      <c r="E2926" t="s">
        <v>21562</v>
      </c>
      <c r="F2926" t="s">
        <v>32664</v>
      </c>
      <c r="G2926" t="s">
        <v>32671</v>
      </c>
      <c r="H2926" t="s">
        <v>12635</v>
      </c>
      <c r="I2926" t="s">
        <v>32685</v>
      </c>
      <c r="J2926" t="s">
        <v>34820</v>
      </c>
      <c r="K2926" t="s">
        <v>42283</v>
      </c>
      <c r="M2926" t="s">
        <v>43375</v>
      </c>
      <c r="N2926" t="s">
        <v>46569</v>
      </c>
      <c r="O2926" t="s">
        <v>46570</v>
      </c>
      <c r="P2926">
        <v>0</v>
      </c>
      <c r="Q2926">
        <v>0</v>
      </c>
      <c r="R2926" t="s">
        <v>46572</v>
      </c>
      <c r="S2926" t="s">
        <v>46689</v>
      </c>
      <c r="T2926" t="s">
        <v>48256</v>
      </c>
      <c r="U2926" t="s">
        <v>51225</v>
      </c>
      <c r="W2926" t="s">
        <v>43375</v>
      </c>
      <c r="X2926" t="s">
        <v>46573</v>
      </c>
    </row>
    <row r="2927" spans="1:24">
      <c r="A2927">
        <f>HYPERLINK("https://www.philgeps.gov.ph/GEPSNONPILOT/Tender/SplashBidNoticeAbstractUI.aspx?menuIndex=3&amp;refID=7062073&amp;Result=3","7062073")</f>
        <v>0</v>
      </c>
      <c r="B2927" t="s">
        <v>594</v>
      </c>
      <c r="C2927" t="s">
        <v>6359</v>
      </c>
      <c r="D2927" t="s">
        <v>18784</v>
      </c>
      <c r="E2927" t="s">
        <v>21563</v>
      </c>
      <c r="F2927" t="s">
        <v>32664</v>
      </c>
      <c r="G2927" t="s">
        <v>32671</v>
      </c>
      <c r="H2927" t="s">
        <v>12635</v>
      </c>
      <c r="I2927" t="s">
        <v>32712</v>
      </c>
      <c r="J2927" t="s">
        <v>34821</v>
      </c>
      <c r="K2927" t="s">
        <v>42297</v>
      </c>
      <c r="M2927" t="s">
        <v>43768</v>
      </c>
      <c r="N2927" t="s">
        <v>46569</v>
      </c>
      <c r="O2927" t="s">
        <v>46570</v>
      </c>
      <c r="P2927">
        <v>0</v>
      </c>
      <c r="Q2927">
        <v>2</v>
      </c>
      <c r="R2927" t="s">
        <v>46572</v>
      </c>
      <c r="S2927" t="s">
        <v>46689</v>
      </c>
      <c r="T2927" t="s">
        <v>48341</v>
      </c>
      <c r="U2927" t="s">
        <v>51226</v>
      </c>
      <c r="V2927" t="s">
        <v>61906</v>
      </c>
      <c r="W2927" t="s">
        <v>43768</v>
      </c>
      <c r="X2927" t="s">
        <v>46573</v>
      </c>
    </row>
    <row r="2928" spans="1:24">
      <c r="A2928">
        <f>HYPERLINK("https://www.philgeps.gov.ph/GEPSNONPILOT/Tender/SplashBidNoticeAbstractUI.aspx?menuIndex=3&amp;refID=7062099&amp;Result=3","7062099")</f>
        <v>0</v>
      </c>
      <c r="B2928" t="s">
        <v>1156</v>
      </c>
      <c r="C2928" t="s">
        <v>6360</v>
      </c>
      <c r="D2928" t="s">
        <v>18784</v>
      </c>
      <c r="E2928" t="s">
        <v>19597</v>
      </c>
      <c r="F2928" t="s">
        <v>32664</v>
      </c>
      <c r="G2928" t="s">
        <v>32671</v>
      </c>
      <c r="H2928" t="s">
        <v>12635</v>
      </c>
      <c r="I2928" t="s">
        <v>32757</v>
      </c>
      <c r="J2928" t="s">
        <v>34822</v>
      </c>
      <c r="K2928" t="s">
        <v>42284</v>
      </c>
      <c r="M2928" t="s">
        <v>43787</v>
      </c>
      <c r="N2928" t="s">
        <v>46569</v>
      </c>
      <c r="O2928" t="s">
        <v>46570</v>
      </c>
      <c r="P2928">
        <v>0</v>
      </c>
      <c r="Q2928">
        <v>1</v>
      </c>
      <c r="R2928" t="s">
        <v>46572</v>
      </c>
      <c r="S2928" t="s">
        <v>46689</v>
      </c>
      <c r="T2928" t="s">
        <v>48249</v>
      </c>
      <c r="U2928" t="s">
        <v>51227</v>
      </c>
      <c r="W2928" t="s">
        <v>43787</v>
      </c>
      <c r="X2928" t="s">
        <v>46573</v>
      </c>
    </row>
    <row r="2929" spans="1:24">
      <c r="A2929">
        <f>HYPERLINK("https://www.philgeps.gov.ph/GEPSNONPILOT/Tender/SplashBidNoticeAbstractUI.aspx?menuIndex=3&amp;refID=7062097&amp;Result=3","7062097")</f>
        <v>0</v>
      </c>
      <c r="B2929" t="s">
        <v>1118</v>
      </c>
      <c r="C2929" t="s">
        <v>6361</v>
      </c>
      <c r="D2929" t="s">
        <v>18827</v>
      </c>
      <c r="E2929" t="s">
        <v>21564</v>
      </c>
      <c r="F2929" t="s">
        <v>32664</v>
      </c>
      <c r="G2929" t="s">
        <v>32671</v>
      </c>
      <c r="H2929" t="s">
        <v>12635</v>
      </c>
      <c r="I2929" t="s">
        <v>10361</v>
      </c>
      <c r="J2929" t="s">
        <v>33970</v>
      </c>
      <c r="K2929" t="s">
        <v>42283</v>
      </c>
      <c r="M2929" t="s">
        <v>43746</v>
      </c>
      <c r="N2929" t="s">
        <v>46569</v>
      </c>
      <c r="O2929" t="s">
        <v>46570</v>
      </c>
      <c r="P2929">
        <v>0</v>
      </c>
      <c r="Q2929">
        <v>0</v>
      </c>
      <c r="R2929" t="s">
        <v>46572</v>
      </c>
      <c r="S2929" t="s">
        <v>46689</v>
      </c>
      <c r="T2929" t="s">
        <v>48305</v>
      </c>
      <c r="U2929" t="s">
        <v>51228</v>
      </c>
      <c r="W2929" t="s">
        <v>43746</v>
      </c>
      <c r="X2929" t="s">
        <v>46573</v>
      </c>
    </row>
    <row r="2930" spans="1:24">
      <c r="A2930">
        <f>HYPERLINK("https://www.philgeps.gov.ph/GEPSNONPILOT/Tender/SplashBidNoticeAbstractUI.aspx?menuIndex=3&amp;refID=7062103&amp;Result=3","7062103")</f>
        <v>0</v>
      </c>
      <c r="B2930" t="s">
        <v>801</v>
      </c>
      <c r="C2930" t="s">
        <v>6362</v>
      </c>
      <c r="D2930" t="s">
        <v>18802</v>
      </c>
      <c r="E2930" t="s">
        <v>21565</v>
      </c>
      <c r="F2930" t="s">
        <v>32664</v>
      </c>
      <c r="G2930" t="s">
        <v>32674</v>
      </c>
      <c r="H2930" t="s">
        <v>12635</v>
      </c>
      <c r="I2930" t="s">
        <v>32690</v>
      </c>
      <c r="J2930" t="s">
        <v>33608</v>
      </c>
      <c r="K2930" t="s">
        <v>42295</v>
      </c>
      <c r="M2930" t="s">
        <v>43393</v>
      </c>
      <c r="N2930" t="s">
        <v>46569</v>
      </c>
      <c r="O2930" t="s">
        <v>46570</v>
      </c>
      <c r="P2930">
        <v>0</v>
      </c>
      <c r="Q2930">
        <v>0</v>
      </c>
      <c r="R2930" t="s">
        <v>46572</v>
      </c>
      <c r="S2930" t="s">
        <v>46689</v>
      </c>
      <c r="T2930" t="s">
        <v>48316</v>
      </c>
      <c r="U2930" t="s">
        <v>51229</v>
      </c>
      <c r="W2930" t="s">
        <v>43393</v>
      </c>
      <c r="X2930" t="s">
        <v>46573</v>
      </c>
    </row>
    <row r="2931" spans="1:24">
      <c r="A2931">
        <f>HYPERLINK("https://www.philgeps.gov.ph/GEPSNONPILOT/Tender/SplashBidNoticeAbstractUI.aspx?menuIndex=3&amp;refID=7062121&amp;Result=3","7062121")</f>
        <v>0</v>
      </c>
      <c r="B2931" t="s">
        <v>1157</v>
      </c>
      <c r="C2931" t="s">
        <v>6363</v>
      </c>
      <c r="D2931" t="s">
        <v>18838</v>
      </c>
      <c r="E2931" t="s">
        <v>21566</v>
      </c>
      <c r="F2931" t="s">
        <v>32664</v>
      </c>
      <c r="G2931" t="s">
        <v>32674</v>
      </c>
      <c r="H2931" t="s">
        <v>32683</v>
      </c>
      <c r="I2931" t="s">
        <v>32737</v>
      </c>
      <c r="J2931" t="s">
        <v>34823</v>
      </c>
      <c r="K2931" t="s">
        <v>42311</v>
      </c>
      <c r="M2931" t="s">
        <v>43788</v>
      </c>
      <c r="N2931" t="s">
        <v>46569</v>
      </c>
      <c r="O2931" t="s">
        <v>46570</v>
      </c>
      <c r="P2931">
        <v>0</v>
      </c>
      <c r="Q2931">
        <v>2</v>
      </c>
      <c r="R2931" t="s">
        <v>46572</v>
      </c>
      <c r="S2931" t="s">
        <v>46689</v>
      </c>
      <c r="T2931" t="s">
        <v>48356</v>
      </c>
      <c r="U2931" t="s">
        <v>51230</v>
      </c>
      <c r="W2931" t="s">
        <v>43788</v>
      </c>
      <c r="X2931" t="s">
        <v>46573</v>
      </c>
    </row>
    <row r="2932" spans="1:24">
      <c r="A2932">
        <f>HYPERLINK("https://www.philgeps.gov.ph/GEPSNONPILOT/Tender/SplashBidNoticeAbstractUI.aspx?menuIndex=3&amp;refID=7061942&amp;Result=3","7061942")</f>
        <v>0</v>
      </c>
      <c r="B2932" t="s">
        <v>1131</v>
      </c>
      <c r="C2932" t="s">
        <v>6364</v>
      </c>
      <c r="D2932" t="s">
        <v>18847</v>
      </c>
      <c r="E2932" t="s">
        <v>21567</v>
      </c>
      <c r="F2932" t="s">
        <v>32664</v>
      </c>
      <c r="G2932" t="s">
        <v>32674</v>
      </c>
      <c r="H2932" t="s">
        <v>12635</v>
      </c>
      <c r="I2932" t="s">
        <v>6168</v>
      </c>
      <c r="J2932" t="s">
        <v>34824</v>
      </c>
      <c r="K2932" t="s">
        <v>42283</v>
      </c>
      <c r="M2932" t="s">
        <v>43760</v>
      </c>
      <c r="N2932" t="s">
        <v>46569</v>
      </c>
      <c r="O2932" t="s">
        <v>46570</v>
      </c>
      <c r="P2932">
        <v>0</v>
      </c>
      <c r="Q2932">
        <v>0</v>
      </c>
      <c r="R2932" t="s">
        <v>46572</v>
      </c>
      <c r="S2932" t="s">
        <v>46689</v>
      </c>
      <c r="T2932" t="s">
        <v>48316</v>
      </c>
      <c r="U2932" t="s">
        <v>51231</v>
      </c>
      <c r="W2932" t="s">
        <v>43760</v>
      </c>
      <c r="X2932" t="s">
        <v>46573</v>
      </c>
    </row>
    <row r="2933" spans="1:24">
      <c r="A2933">
        <f>HYPERLINK("https://www.philgeps.gov.ph/GEPSNONPILOT/Tender/SplashBidNoticeAbstractUI.aspx?menuIndex=3&amp;refID=7061941&amp;Result=3","7061941")</f>
        <v>0</v>
      </c>
      <c r="B2933" t="s">
        <v>1158</v>
      </c>
      <c r="C2933" t="s">
        <v>6365</v>
      </c>
      <c r="D2933" t="s">
        <v>18841</v>
      </c>
      <c r="E2933" t="s">
        <v>21568</v>
      </c>
      <c r="F2933" t="s">
        <v>32664</v>
      </c>
      <c r="G2933" t="s">
        <v>32671</v>
      </c>
      <c r="H2933" t="s">
        <v>12635</v>
      </c>
      <c r="I2933" t="s">
        <v>4333</v>
      </c>
      <c r="J2933" t="s">
        <v>34414</v>
      </c>
      <c r="K2933" t="s">
        <v>42284</v>
      </c>
      <c r="M2933" t="s">
        <v>43789</v>
      </c>
      <c r="N2933" t="s">
        <v>46569</v>
      </c>
      <c r="O2933" t="s">
        <v>46570</v>
      </c>
      <c r="P2933">
        <v>0</v>
      </c>
      <c r="Q2933">
        <v>1</v>
      </c>
      <c r="R2933" t="s">
        <v>46572</v>
      </c>
      <c r="S2933" t="s">
        <v>46689</v>
      </c>
      <c r="T2933" t="s">
        <v>48280</v>
      </c>
      <c r="U2933" t="s">
        <v>51232</v>
      </c>
      <c r="V2933" t="s">
        <v>61908</v>
      </c>
      <c r="W2933" t="s">
        <v>43789</v>
      </c>
      <c r="X2933" t="s">
        <v>46573</v>
      </c>
    </row>
    <row r="2934" spans="1:24">
      <c r="A2934">
        <f>HYPERLINK("https://www.philgeps.gov.ph/GEPSNONPILOT/Tender/SplashBidNoticeAbstractUI.aspx?menuIndex=3&amp;refID=7061896&amp;Result=3","7061896")</f>
        <v>0</v>
      </c>
      <c r="B2934" t="s">
        <v>1095</v>
      </c>
      <c r="C2934" t="s">
        <v>6366</v>
      </c>
      <c r="D2934" t="s">
        <v>18798</v>
      </c>
      <c r="E2934" t="s">
        <v>21569</v>
      </c>
      <c r="F2934" t="s">
        <v>32664</v>
      </c>
      <c r="G2934" t="s">
        <v>32671</v>
      </c>
      <c r="H2934" t="s">
        <v>12635</v>
      </c>
      <c r="I2934" t="s">
        <v>6223</v>
      </c>
      <c r="J2934" t="s">
        <v>33021</v>
      </c>
      <c r="K2934" t="s">
        <v>42281</v>
      </c>
      <c r="M2934" t="s">
        <v>42640</v>
      </c>
      <c r="N2934" t="s">
        <v>46569</v>
      </c>
      <c r="O2934" t="s">
        <v>46570</v>
      </c>
      <c r="P2934">
        <v>0</v>
      </c>
      <c r="Q2934">
        <v>0</v>
      </c>
      <c r="R2934" t="s">
        <v>46572</v>
      </c>
      <c r="S2934" t="s">
        <v>46689</v>
      </c>
      <c r="T2934" t="s">
        <v>48286</v>
      </c>
      <c r="U2934" t="s">
        <v>51233</v>
      </c>
      <c r="W2934" t="s">
        <v>42640</v>
      </c>
      <c r="X2934" t="s">
        <v>46573</v>
      </c>
    </row>
    <row r="2935" spans="1:24">
      <c r="A2935">
        <f>HYPERLINK("https://www.philgeps.gov.ph/GEPSNONPILOT/Tender/SplashBidNoticeAbstractUI.aspx?menuIndex=3&amp;refID=7061940&amp;Result=3","7061940")</f>
        <v>0</v>
      </c>
      <c r="B2935" t="s">
        <v>1159</v>
      </c>
      <c r="C2935" t="s">
        <v>6367</v>
      </c>
      <c r="D2935" t="s">
        <v>18784</v>
      </c>
      <c r="E2935" t="s">
        <v>19612</v>
      </c>
      <c r="F2935" t="s">
        <v>32664</v>
      </c>
      <c r="G2935" t="s">
        <v>32671</v>
      </c>
      <c r="H2935" t="s">
        <v>12635</v>
      </c>
      <c r="I2935" t="s">
        <v>32708</v>
      </c>
      <c r="J2935" t="s">
        <v>34825</v>
      </c>
      <c r="K2935" t="s">
        <v>42283</v>
      </c>
      <c r="M2935" t="s">
        <v>43790</v>
      </c>
      <c r="N2935" t="s">
        <v>46569</v>
      </c>
      <c r="O2935" t="s">
        <v>46570</v>
      </c>
      <c r="P2935">
        <v>0</v>
      </c>
      <c r="Q2935">
        <v>6</v>
      </c>
      <c r="R2935" t="s">
        <v>46572</v>
      </c>
      <c r="S2935" t="s">
        <v>46689</v>
      </c>
      <c r="T2935" t="s">
        <v>48280</v>
      </c>
      <c r="U2935" t="s">
        <v>51234</v>
      </c>
      <c r="W2935" t="s">
        <v>43790</v>
      </c>
      <c r="X2935" t="s">
        <v>46573</v>
      </c>
    </row>
    <row r="2936" spans="1:24">
      <c r="A2936">
        <f>HYPERLINK("https://www.philgeps.gov.ph/GEPSNONPILOT/Tender/SplashBidNoticeAbstractUI.aspx?menuIndex=3&amp;refID=7061893&amp;Result=3","7061893")</f>
        <v>0</v>
      </c>
      <c r="B2936" t="s">
        <v>1160</v>
      </c>
      <c r="C2936" t="s">
        <v>6368</v>
      </c>
      <c r="E2936" t="s">
        <v>21570</v>
      </c>
      <c r="F2936" t="s">
        <v>32664</v>
      </c>
      <c r="G2936" t="s">
        <v>32672</v>
      </c>
      <c r="H2936" t="s">
        <v>12635</v>
      </c>
      <c r="I2936" t="s">
        <v>32735</v>
      </c>
      <c r="J2936" t="s">
        <v>33724</v>
      </c>
      <c r="K2936" t="s">
        <v>42283</v>
      </c>
      <c r="M2936" t="s">
        <v>43791</v>
      </c>
      <c r="N2936" t="s">
        <v>46569</v>
      </c>
      <c r="O2936" t="s">
        <v>46570</v>
      </c>
      <c r="P2936">
        <v>0</v>
      </c>
      <c r="Q2936">
        <v>0</v>
      </c>
      <c r="R2936" t="s">
        <v>46572</v>
      </c>
      <c r="S2936" t="s">
        <v>46689</v>
      </c>
      <c r="T2936" t="s">
        <v>48276</v>
      </c>
      <c r="U2936" t="s">
        <v>51235</v>
      </c>
      <c r="W2936" t="s">
        <v>43791</v>
      </c>
      <c r="X2936" t="s">
        <v>46573</v>
      </c>
    </row>
    <row r="2937" spans="1:24">
      <c r="A2937">
        <f>HYPERLINK("https://www.philgeps.gov.ph/GEPSNONPILOT/Tender/SplashBidNoticeAbstractUI.aspx?menuIndex=3&amp;refID=7061891&amp;Result=3","7061891")</f>
        <v>0</v>
      </c>
      <c r="B2937" t="s">
        <v>1161</v>
      </c>
      <c r="C2937" t="s">
        <v>6369</v>
      </c>
      <c r="D2937" t="s">
        <v>18819</v>
      </c>
      <c r="E2937" t="s">
        <v>21571</v>
      </c>
      <c r="F2937" t="s">
        <v>32664</v>
      </c>
      <c r="G2937" t="s">
        <v>32674</v>
      </c>
      <c r="H2937" t="s">
        <v>12635</v>
      </c>
      <c r="I2937" t="s">
        <v>13883</v>
      </c>
      <c r="J2937" t="s">
        <v>34826</v>
      </c>
      <c r="K2937" t="s">
        <v>42309</v>
      </c>
      <c r="M2937" t="s">
        <v>43792</v>
      </c>
      <c r="N2937" t="s">
        <v>46569</v>
      </c>
      <c r="O2937" t="s">
        <v>46570</v>
      </c>
      <c r="P2937">
        <v>0</v>
      </c>
      <c r="Q2937">
        <v>12</v>
      </c>
      <c r="R2937" t="s">
        <v>46572</v>
      </c>
      <c r="S2937" t="s">
        <v>46689</v>
      </c>
      <c r="T2937" t="s">
        <v>48258</v>
      </c>
      <c r="U2937" t="s">
        <v>51236</v>
      </c>
      <c r="W2937" t="s">
        <v>43792</v>
      </c>
      <c r="X2937" t="s">
        <v>46573</v>
      </c>
    </row>
    <row r="2938" spans="1:24">
      <c r="A2938">
        <f>HYPERLINK("https://www.philgeps.gov.ph/GEPSNONPILOT/Tender/SplashBidNoticeAbstractUI.aspx?menuIndex=3&amp;refID=7062096&amp;Result=3","7062096")</f>
        <v>0</v>
      </c>
      <c r="B2938" t="s">
        <v>1138</v>
      </c>
      <c r="C2938" t="s">
        <v>6370</v>
      </c>
      <c r="D2938" t="s">
        <v>18842</v>
      </c>
      <c r="E2938" t="s">
        <v>19613</v>
      </c>
      <c r="F2938" t="s">
        <v>32664</v>
      </c>
      <c r="G2938" t="s">
        <v>32671</v>
      </c>
      <c r="H2938" t="s">
        <v>12635</v>
      </c>
      <c r="I2938" t="s">
        <v>6118</v>
      </c>
      <c r="J2938" t="s">
        <v>33069</v>
      </c>
      <c r="K2938" t="s">
        <v>42309</v>
      </c>
      <c r="M2938" t="s">
        <v>43769</v>
      </c>
      <c r="N2938" t="s">
        <v>46569</v>
      </c>
      <c r="O2938" t="s">
        <v>46570</v>
      </c>
      <c r="P2938">
        <v>0</v>
      </c>
      <c r="Q2938">
        <v>0</v>
      </c>
      <c r="R2938" t="s">
        <v>46572</v>
      </c>
      <c r="S2938" t="s">
        <v>46689</v>
      </c>
      <c r="T2938" t="s">
        <v>48256</v>
      </c>
      <c r="U2938" t="s">
        <v>51184</v>
      </c>
      <c r="W2938" t="s">
        <v>43769</v>
      </c>
      <c r="X2938" t="s">
        <v>46573</v>
      </c>
    </row>
    <row r="2939" spans="1:24">
      <c r="A2939">
        <f>HYPERLINK("https://www.philgeps.gov.ph/GEPSNONPILOT/Tender/SplashBidNoticeAbstractUI.aspx?menuIndex=3&amp;refID=7062101&amp;Result=3","7062101")</f>
        <v>0</v>
      </c>
      <c r="B2939" t="s">
        <v>594</v>
      </c>
      <c r="C2939" t="s">
        <v>6371</v>
      </c>
      <c r="D2939" t="s">
        <v>18784</v>
      </c>
      <c r="E2939" t="s">
        <v>21572</v>
      </c>
      <c r="F2939" t="s">
        <v>32666</v>
      </c>
      <c r="G2939" t="s">
        <v>32674</v>
      </c>
      <c r="H2939" t="s">
        <v>12635</v>
      </c>
      <c r="I2939" t="s">
        <v>6223</v>
      </c>
      <c r="J2939" t="s">
        <v>34827</v>
      </c>
      <c r="K2939" t="s">
        <v>42297</v>
      </c>
      <c r="M2939" t="s">
        <v>43793</v>
      </c>
      <c r="N2939" t="s">
        <v>46569</v>
      </c>
      <c r="O2939" t="s">
        <v>46570</v>
      </c>
      <c r="P2939">
        <v>0</v>
      </c>
      <c r="Q2939">
        <v>2</v>
      </c>
      <c r="R2939" t="s">
        <v>46572</v>
      </c>
      <c r="S2939" t="s">
        <v>46689</v>
      </c>
      <c r="T2939" t="s">
        <v>48461</v>
      </c>
      <c r="U2939" t="s">
        <v>51237</v>
      </c>
      <c r="V2939" t="s">
        <v>61909</v>
      </c>
      <c r="W2939" t="s">
        <v>43793</v>
      </c>
      <c r="X2939" t="s">
        <v>46573</v>
      </c>
    </row>
    <row r="2940" spans="1:24">
      <c r="A2940">
        <f>HYPERLINK("https://www.philgeps.gov.ph/GEPSNONPILOT/Tender/SplashBidNoticeAbstractUI.aspx?menuIndex=3&amp;refID=7061869&amp;Result=3","7061869")</f>
        <v>0</v>
      </c>
      <c r="B2940" t="s">
        <v>990</v>
      </c>
      <c r="C2940" t="s">
        <v>6372</v>
      </c>
      <c r="D2940" t="s">
        <v>18784</v>
      </c>
      <c r="E2940" t="s">
        <v>21573</v>
      </c>
      <c r="F2940" t="s">
        <v>32664</v>
      </c>
      <c r="G2940" t="s">
        <v>32671</v>
      </c>
      <c r="H2940" t="s">
        <v>12635</v>
      </c>
      <c r="I2940" t="s">
        <v>5589</v>
      </c>
      <c r="J2940" t="s">
        <v>34623</v>
      </c>
      <c r="K2940" t="s">
        <v>42283</v>
      </c>
      <c r="M2940" t="s">
        <v>43794</v>
      </c>
      <c r="N2940" t="s">
        <v>46569</v>
      </c>
      <c r="O2940" t="s">
        <v>46570</v>
      </c>
      <c r="P2940">
        <v>0</v>
      </c>
      <c r="Q2940">
        <v>2</v>
      </c>
      <c r="R2940" t="s">
        <v>46572</v>
      </c>
      <c r="S2940" t="s">
        <v>46689</v>
      </c>
      <c r="T2940" t="s">
        <v>48286</v>
      </c>
      <c r="U2940" t="s">
        <v>51238</v>
      </c>
      <c r="V2940" t="s">
        <v>61910</v>
      </c>
      <c r="W2940" t="s">
        <v>43794</v>
      </c>
      <c r="X2940" t="s">
        <v>46573</v>
      </c>
    </row>
    <row r="2941" spans="1:24">
      <c r="A2941">
        <f>HYPERLINK("https://www.philgeps.gov.ph/GEPSNONPILOT/Tender/SplashBidNoticeAbstractUI.aspx?menuIndex=3&amp;refID=7062100&amp;Result=3","7062100")</f>
        <v>0</v>
      </c>
      <c r="B2941" t="s">
        <v>501</v>
      </c>
      <c r="C2941" t="s">
        <v>6373</v>
      </c>
      <c r="D2941" t="s">
        <v>18803</v>
      </c>
      <c r="E2941" t="s">
        <v>21574</v>
      </c>
      <c r="F2941" t="s">
        <v>32664</v>
      </c>
      <c r="G2941" t="s">
        <v>32674</v>
      </c>
      <c r="H2941" t="s">
        <v>12635</v>
      </c>
      <c r="I2941" t="s">
        <v>32721</v>
      </c>
      <c r="J2941" t="s">
        <v>34828</v>
      </c>
      <c r="K2941" t="s">
        <v>42284</v>
      </c>
      <c r="M2941" t="s">
        <v>43077</v>
      </c>
      <c r="N2941" t="s">
        <v>46569</v>
      </c>
      <c r="O2941" t="s">
        <v>46570</v>
      </c>
      <c r="P2941">
        <v>0</v>
      </c>
      <c r="Q2941">
        <v>1</v>
      </c>
      <c r="R2941" t="s">
        <v>46572</v>
      </c>
      <c r="S2941" t="s">
        <v>46689</v>
      </c>
      <c r="T2941" t="s">
        <v>48258</v>
      </c>
      <c r="U2941" t="s">
        <v>51239</v>
      </c>
      <c r="W2941" t="s">
        <v>43077</v>
      </c>
      <c r="X2941" t="s">
        <v>46573</v>
      </c>
    </row>
    <row r="2942" spans="1:24">
      <c r="A2942">
        <f>HYPERLINK("https://www.philgeps.gov.ph/GEPSNONPILOT/Tender/SplashBidNoticeAbstractUI.aspx?menuIndex=3&amp;refID=7061866&amp;Result=3","7061866")</f>
        <v>0</v>
      </c>
      <c r="B2942" t="s">
        <v>1162</v>
      </c>
      <c r="C2942" t="s">
        <v>6374</v>
      </c>
      <c r="D2942" t="s">
        <v>18799</v>
      </c>
      <c r="E2942" t="s">
        <v>21575</v>
      </c>
      <c r="F2942" t="s">
        <v>32664</v>
      </c>
      <c r="G2942" t="s">
        <v>32674</v>
      </c>
      <c r="H2942" t="s">
        <v>12635</v>
      </c>
      <c r="I2942" t="s">
        <v>32719</v>
      </c>
      <c r="J2942" t="s">
        <v>34829</v>
      </c>
      <c r="K2942" t="s">
        <v>42309</v>
      </c>
      <c r="M2942" t="s">
        <v>43795</v>
      </c>
      <c r="N2942" t="s">
        <v>46569</v>
      </c>
      <c r="O2942" t="s">
        <v>46570</v>
      </c>
      <c r="P2942">
        <v>0</v>
      </c>
      <c r="Q2942">
        <v>0</v>
      </c>
      <c r="R2942" t="s">
        <v>46572</v>
      </c>
      <c r="S2942" t="s">
        <v>46689</v>
      </c>
      <c r="T2942" t="s">
        <v>48254</v>
      </c>
      <c r="U2942" t="s">
        <v>51240</v>
      </c>
      <c r="W2942" t="s">
        <v>43795</v>
      </c>
      <c r="X2942" t="s">
        <v>46573</v>
      </c>
    </row>
    <row r="2943" spans="1:24">
      <c r="A2943">
        <f>HYPERLINK("https://www.philgeps.gov.ph/GEPSNONPILOT/Tender/SplashBidNoticeAbstractUI.aspx?menuIndex=3&amp;refID=7061890&amp;Result=3","7061890")</f>
        <v>0</v>
      </c>
      <c r="B2943" t="s">
        <v>653</v>
      </c>
      <c r="C2943" t="s">
        <v>4928</v>
      </c>
      <c r="D2943" t="s">
        <v>18840</v>
      </c>
      <c r="E2943" t="s">
        <v>21576</v>
      </c>
      <c r="F2943" t="s">
        <v>32664</v>
      </c>
      <c r="G2943" t="s">
        <v>32675</v>
      </c>
      <c r="H2943" t="s">
        <v>12635</v>
      </c>
      <c r="I2943" t="s">
        <v>6628</v>
      </c>
      <c r="J2943" t="s">
        <v>34440</v>
      </c>
      <c r="K2943" t="s">
        <v>42289</v>
      </c>
      <c r="M2943" t="s">
        <v>43239</v>
      </c>
      <c r="N2943" t="s">
        <v>46569</v>
      </c>
      <c r="O2943" t="s">
        <v>46570</v>
      </c>
      <c r="P2943">
        <v>0</v>
      </c>
      <c r="Q2943">
        <v>1</v>
      </c>
      <c r="R2943" t="s">
        <v>46572</v>
      </c>
      <c r="S2943" t="s">
        <v>46689</v>
      </c>
      <c r="T2943" t="s">
        <v>48251</v>
      </c>
      <c r="U2943" t="s">
        <v>51241</v>
      </c>
      <c r="W2943" t="s">
        <v>43239</v>
      </c>
      <c r="X2943" t="s">
        <v>46573</v>
      </c>
    </row>
    <row r="2944" spans="1:24">
      <c r="A2944">
        <f>HYPERLINK("https://www.philgeps.gov.ph/GEPSNONPILOT/Tender/SplashBidNoticeAbstractUI.aspx?menuIndex=3&amp;refID=7061888&amp;Result=3","7061888")</f>
        <v>0</v>
      </c>
      <c r="B2944" t="s">
        <v>112</v>
      </c>
      <c r="C2944" t="s">
        <v>6375</v>
      </c>
      <c r="D2944" t="s">
        <v>18813</v>
      </c>
      <c r="E2944" t="s">
        <v>21577</v>
      </c>
      <c r="F2944" t="s">
        <v>32664</v>
      </c>
      <c r="G2944" t="s">
        <v>32671</v>
      </c>
      <c r="H2944" t="s">
        <v>12635</v>
      </c>
      <c r="I2944" t="s">
        <v>8958</v>
      </c>
      <c r="J2944" t="s">
        <v>33126</v>
      </c>
      <c r="K2944" t="s">
        <v>42281</v>
      </c>
      <c r="M2944" t="s">
        <v>42676</v>
      </c>
      <c r="N2944" t="s">
        <v>46569</v>
      </c>
      <c r="O2944" t="s">
        <v>46570</v>
      </c>
      <c r="P2944">
        <v>0</v>
      </c>
      <c r="Q2944">
        <v>0</v>
      </c>
      <c r="R2944" t="s">
        <v>46572</v>
      </c>
      <c r="S2944" t="s">
        <v>46689</v>
      </c>
      <c r="T2944" t="s">
        <v>48221</v>
      </c>
      <c r="U2944" t="s">
        <v>51242</v>
      </c>
      <c r="W2944" t="s">
        <v>42676</v>
      </c>
      <c r="X2944" t="s">
        <v>46573</v>
      </c>
    </row>
    <row r="2945" spans="1:24">
      <c r="A2945">
        <f>HYPERLINK("https://www.philgeps.gov.ph/GEPSNONPILOT/Tender/SplashBidNoticeAbstractUI.aspx?menuIndex=3&amp;refID=7061867&amp;Result=3","7061867")</f>
        <v>0</v>
      </c>
      <c r="B2945" t="s">
        <v>1163</v>
      </c>
      <c r="C2945" t="s">
        <v>6376</v>
      </c>
      <c r="D2945" t="s">
        <v>18847</v>
      </c>
      <c r="E2945" t="s">
        <v>21578</v>
      </c>
      <c r="F2945" t="s">
        <v>32664</v>
      </c>
      <c r="G2945" t="s">
        <v>32677</v>
      </c>
      <c r="H2945" t="s">
        <v>12635</v>
      </c>
      <c r="I2945" t="s">
        <v>10627</v>
      </c>
      <c r="J2945" t="s">
        <v>34559</v>
      </c>
      <c r="K2945" t="s">
        <v>42303</v>
      </c>
      <c r="M2945" t="s">
        <v>43796</v>
      </c>
      <c r="N2945" t="s">
        <v>46569</v>
      </c>
      <c r="O2945" t="s">
        <v>46570</v>
      </c>
      <c r="P2945">
        <v>0</v>
      </c>
      <c r="Q2945">
        <v>0</v>
      </c>
      <c r="R2945" t="s">
        <v>46572</v>
      </c>
      <c r="S2945" t="s">
        <v>46689</v>
      </c>
      <c r="T2945" t="s">
        <v>48312</v>
      </c>
      <c r="U2945" t="s">
        <v>51243</v>
      </c>
      <c r="W2945" t="s">
        <v>43796</v>
      </c>
      <c r="X2945" t="s">
        <v>46573</v>
      </c>
    </row>
    <row r="2946" spans="1:24">
      <c r="A2946">
        <f>HYPERLINK("https://www.philgeps.gov.ph/GEPSNONPILOT/Tender/SplashBidNoticeAbstractUI.aspx?menuIndex=3&amp;refID=7062140&amp;Result=3","7062140")</f>
        <v>0</v>
      </c>
      <c r="B2946" t="s">
        <v>1131</v>
      </c>
      <c r="C2946" t="s">
        <v>6377</v>
      </c>
      <c r="D2946" t="s">
        <v>18847</v>
      </c>
      <c r="E2946" t="s">
        <v>21579</v>
      </c>
      <c r="F2946" t="s">
        <v>32664</v>
      </c>
      <c r="G2946" t="s">
        <v>32674</v>
      </c>
      <c r="H2946" t="s">
        <v>12635</v>
      </c>
      <c r="I2946" t="s">
        <v>32689</v>
      </c>
      <c r="J2946" t="s">
        <v>32830</v>
      </c>
      <c r="K2946" t="s">
        <v>42283</v>
      </c>
      <c r="M2946" t="s">
        <v>43760</v>
      </c>
      <c r="N2946" t="s">
        <v>46569</v>
      </c>
      <c r="O2946" t="s">
        <v>46570</v>
      </c>
      <c r="P2946">
        <v>0</v>
      </c>
      <c r="Q2946">
        <v>0</v>
      </c>
      <c r="R2946" t="s">
        <v>46572</v>
      </c>
      <c r="S2946" t="s">
        <v>46689</v>
      </c>
      <c r="T2946" t="s">
        <v>48316</v>
      </c>
      <c r="U2946" t="s">
        <v>51244</v>
      </c>
      <c r="W2946" t="s">
        <v>43760</v>
      </c>
      <c r="X2946" t="s">
        <v>46573</v>
      </c>
    </row>
    <row r="2947" spans="1:24">
      <c r="A2947">
        <f>HYPERLINK("https://www.philgeps.gov.ph/GEPSNONPILOT/Tender/SplashBidNoticeAbstractUI.aspx?menuIndex=3&amp;refID=7062146&amp;Result=3","7062146")</f>
        <v>0</v>
      </c>
      <c r="B2947" t="s">
        <v>1150</v>
      </c>
      <c r="C2947" t="s">
        <v>6378</v>
      </c>
      <c r="D2947" t="s">
        <v>18845</v>
      </c>
      <c r="E2947" t="s">
        <v>21580</v>
      </c>
      <c r="F2947" t="s">
        <v>32664</v>
      </c>
      <c r="G2947" t="s">
        <v>32671</v>
      </c>
      <c r="H2947" t="s">
        <v>12635</v>
      </c>
      <c r="I2947" t="s">
        <v>6118</v>
      </c>
      <c r="J2947" t="s">
        <v>32859</v>
      </c>
      <c r="K2947" t="s">
        <v>42283</v>
      </c>
      <c r="M2947" t="s">
        <v>43781</v>
      </c>
      <c r="N2947" t="s">
        <v>46569</v>
      </c>
      <c r="O2947" t="s">
        <v>46570</v>
      </c>
      <c r="P2947">
        <v>0</v>
      </c>
      <c r="Q2947">
        <v>0</v>
      </c>
      <c r="R2947" t="s">
        <v>46572</v>
      </c>
      <c r="S2947" t="s">
        <v>46689</v>
      </c>
      <c r="T2947" t="s">
        <v>48258</v>
      </c>
      <c r="U2947" t="s">
        <v>51245</v>
      </c>
      <c r="W2947" t="s">
        <v>43781</v>
      </c>
      <c r="X2947" t="s">
        <v>46573</v>
      </c>
    </row>
    <row r="2948" spans="1:24">
      <c r="A2948">
        <f>HYPERLINK("https://www.philgeps.gov.ph/GEPSNONPILOT/Tender/SplashBidNoticeAbstractUI.aspx?menuIndex=3&amp;refID=7061863&amp;Result=3","7061863")</f>
        <v>0</v>
      </c>
      <c r="B2948" t="s">
        <v>1127</v>
      </c>
      <c r="C2948" t="s">
        <v>6379</v>
      </c>
      <c r="D2948" t="s">
        <v>18802</v>
      </c>
      <c r="E2948" t="s">
        <v>21581</v>
      </c>
      <c r="F2948" t="s">
        <v>32664</v>
      </c>
      <c r="G2948" t="s">
        <v>32671</v>
      </c>
      <c r="H2948" t="s">
        <v>12635</v>
      </c>
      <c r="I2948" t="s">
        <v>32752</v>
      </c>
      <c r="J2948" t="s">
        <v>34830</v>
      </c>
      <c r="K2948" t="s">
        <v>42289</v>
      </c>
      <c r="M2948" t="s">
        <v>43756</v>
      </c>
      <c r="N2948" t="s">
        <v>46569</v>
      </c>
      <c r="O2948" t="s">
        <v>46570</v>
      </c>
      <c r="P2948">
        <v>0</v>
      </c>
      <c r="Q2948">
        <v>2</v>
      </c>
      <c r="R2948" t="s">
        <v>46572</v>
      </c>
      <c r="S2948" t="s">
        <v>46689</v>
      </c>
      <c r="T2948" t="s">
        <v>48225</v>
      </c>
      <c r="U2948" t="s">
        <v>51246</v>
      </c>
      <c r="W2948" t="s">
        <v>63506</v>
      </c>
      <c r="X2948" t="s">
        <v>46573</v>
      </c>
    </row>
    <row r="2949" spans="1:24">
      <c r="A2949">
        <f>HYPERLINK("https://www.philgeps.gov.ph/GEPSNONPILOT/Tender/SplashBidNoticeAbstractUI.aspx?menuIndex=3&amp;refID=7061862&amp;Result=3","7061862")</f>
        <v>0</v>
      </c>
      <c r="B2949" t="s">
        <v>594</v>
      </c>
      <c r="C2949" t="s">
        <v>6380</v>
      </c>
      <c r="D2949" t="s">
        <v>18784</v>
      </c>
      <c r="E2949" t="s">
        <v>21582</v>
      </c>
      <c r="F2949" t="s">
        <v>32664</v>
      </c>
      <c r="G2949" t="s">
        <v>32674</v>
      </c>
      <c r="H2949" t="s">
        <v>12635</v>
      </c>
      <c r="I2949" t="s">
        <v>9486</v>
      </c>
      <c r="J2949" t="s">
        <v>34831</v>
      </c>
      <c r="K2949" t="s">
        <v>42297</v>
      </c>
      <c r="M2949" t="s">
        <v>43721</v>
      </c>
      <c r="N2949" t="s">
        <v>46569</v>
      </c>
      <c r="O2949" t="s">
        <v>46570</v>
      </c>
      <c r="P2949">
        <v>0</v>
      </c>
      <c r="Q2949">
        <v>2</v>
      </c>
      <c r="R2949" t="s">
        <v>46572</v>
      </c>
      <c r="S2949" t="s">
        <v>46689</v>
      </c>
      <c r="T2949" t="s">
        <v>48461</v>
      </c>
      <c r="U2949" t="s">
        <v>51247</v>
      </c>
      <c r="V2949" t="s">
        <v>61897</v>
      </c>
      <c r="W2949" t="s">
        <v>43721</v>
      </c>
      <c r="X2949" t="s">
        <v>46573</v>
      </c>
    </row>
    <row r="2950" spans="1:24">
      <c r="A2950">
        <f>HYPERLINK("https://www.philgeps.gov.ph/GEPSNONPILOT/Tender/SplashBidNoticeAbstractUI.aspx?menuIndex=3&amp;refID=7062111&amp;Result=3","7062111")</f>
        <v>0</v>
      </c>
      <c r="B2950" t="s">
        <v>1138</v>
      </c>
      <c r="C2950" t="s">
        <v>6381</v>
      </c>
      <c r="D2950" t="s">
        <v>18842</v>
      </c>
      <c r="E2950" t="s">
        <v>19654</v>
      </c>
      <c r="F2950" t="s">
        <v>32664</v>
      </c>
      <c r="G2950" t="s">
        <v>32671</v>
      </c>
      <c r="H2950" t="s">
        <v>12635</v>
      </c>
      <c r="I2950" t="s">
        <v>32701</v>
      </c>
      <c r="J2950" t="s">
        <v>33578</v>
      </c>
      <c r="K2950" t="s">
        <v>42309</v>
      </c>
      <c r="M2950" t="s">
        <v>43769</v>
      </c>
      <c r="N2950" t="s">
        <v>46569</v>
      </c>
      <c r="O2950" t="s">
        <v>46570</v>
      </c>
      <c r="P2950">
        <v>0</v>
      </c>
      <c r="Q2950">
        <v>0</v>
      </c>
      <c r="R2950" t="s">
        <v>46572</v>
      </c>
      <c r="S2950" t="s">
        <v>46689</v>
      </c>
      <c r="T2950" t="s">
        <v>48256</v>
      </c>
      <c r="U2950" t="s">
        <v>51248</v>
      </c>
      <c r="W2950" t="s">
        <v>43769</v>
      </c>
      <c r="X2950" t="s">
        <v>46573</v>
      </c>
    </row>
    <row r="2951" spans="1:24">
      <c r="A2951">
        <f>HYPERLINK("https://www.philgeps.gov.ph/GEPSNONPILOT/Tender/SplashBidNoticeAbstractUI.aspx?menuIndex=3&amp;refID=7062138&amp;Result=3","7062138")</f>
        <v>0</v>
      </c>
      <c r="B2951" t="s">
        <v>1164</v>
      </c>
      <c r="C2951" t="s">
        <v>6382</v>
      </c>
      <c r="D2951" t="s">
        <v>18781</v>
      </c>
      <c r="E2951" t="s">
        <v>21583</v>
      </c>
      <c r="F2951" t="s">
        <v>32664</v>
      </c>
      <c r="G2951" t="s">
        <v>32672</v>
      </c>
      <c r="H2951" t="s">
        <v>12635</v>
      </c>
      <c r="I2951" t="s">
        <v>6223</v>
      </c>
      <c r="J2951" t="s">
        <v>34832</v>
      </c>
      <c r="K2951" t="s">
        <v>42283</v>
      </c>
      <c r="M2951" t="s">
        <v>43797</v>
      </c>
      <c r="N2951" t="s">
        <v>46569</v>
      </c>
      <c r="O2951" t="s">
        <v>46570</v>
      </c>
      <c r="P2951">
        <v>0</v>
      </c>
      <c r="Q2951">
        <v>1</v>
      </c>
      <c r="R2951" t="s">
        <v>46572</v>
      </c>
      <c r="S2951" t="s">
        <v>46689</v>
      </c>
      <c r="T2951" t="s">
        <v>48310</v>
      </c>
      <c r="U2951" t="s">
        <v>51249</v>
      </c>
      <c r="W2951" t="s">
        <v>43797</v>
      </c>
      <c r="X2951" t="s">
        <v>46573</v>
      </c>
    </row>
    <row r="2952" spans="1:24">
      <c r="A2952">
        <f>HYPERLINK("https://www.philgeps.gov.ph/GEPSNONPILOT/Tender/SplashBidNoticeAbstractUI.aspx?menuIndex=3&amp;refID=7061843&amp;Result=3","7061843")</f>
        <v>0</v>
      </c>
      <c r="B2952" t="s">
        <v>1153</v>
      </c>
      <c r="C2952" t="s">
        <v>6383</v>
      </c>
      <c r="D2952" t="s">
        <v>18788</v>
      </c>
      <c r="E2952" t="s">
        <v>21584</v>
      </c>
      <c r="F2952" t="s">
        <v>32664</v>
      </c>
      <c r="G2952" t="s">
        <v>32671</v>
      </c>
      <c r="H2952" t="s">
        <v>12635</v>
      </c>
      <c r="I2952" t="s">
        <v>8797</v>
      </c>
      <c r="J2952" t="s">
        <v>34833</v>
      </c>
      <c r="K2952" t="s">
        <v>42289</v>
      </c>
      <c r="M2952" t="s">
        <v>43784</v>
      </c>
      <c r="N2952" t="s">
        <v>46569</v>
      </c>
      <c r="O2952" t="s">
        <v>46570</v>
      </c>
      <c r="Q2952">
        <v>1</v>
      </c>
      <c r="R2952" t="s">
        <v>46572</v>
      </c>
      <c r="S2952" t="s">
        <v>46696</v>
      </c>
      <c r="T2952" t="s">
        <v>48228</v>
      </c>
      <c r="U2952" t="s">
        <v>51250</v>
      </c>
      <c r="W2952" t="s">
        <v>43784</v>
      </c>
      <c r="X2952" t="s">
        <v>46573</v>
      </c>
    </row>
    <row r="2953" spans="1:24">
      <c r="A2953">
        <f>HYPERLINK("https://www.philgeps.gov.ph/GEPSNONPILOT/Tender/SplashBidNoticeAbstractUI.aspx?menuIndex=3&amp;refID=7062137&amp;Result=3","7062137")</f>
        <v>0</v>
      </c>
      <c r="B2953" t="s">
        <v>1165</v>
      </c>
      <c r="C2953" t="s">
        <v>6384</v>
      </c>
      <c r="D2953" t="s">
        <v>18810</v>
      </c>
      <c r="E2953" t="s">
        <v>20956</v>
      </c>
      <c r="F2953" t="s">
        <v>32664</v>
      </c>
      <c r="G2953" t="s">
        <v>32672</v>
      </c>
      <c r="H2953" t="s">
        <v>12635</v>
      </c>
      <c r="I2953" t="s">
        <v>6628</v>
      </c>
      <c r="J2953" t="s">
        <v>33008</v>
      </c>
      <c r="K2953" t="s">
        <v>42283</v>
      </c>
      <c r="M2953" t="s">
        <v>43798</v>
      </c>
      <c r="N2953" t="s">
        <v>46569</v>
      </c>
      <c r="O2953" t="s">
        <v>46570</v>
      </c>
      <c r="P2953">
        <v>0</v>
      </c>
      <c r="Q2953">
        <v>0</v>
      </c>
      <c r="R2953" t="s">
        <v>46572</v>
      </c>
      <c r="S2953" t="s">
        <v>46689</v>
      </c>
      <c r="T2953" t="s">
        <v>48373</v>
      </c>
      <c r="U2953" t="s">
        <v>51251</v>
      </c>
      <c r="W2953" t="s">
        <v>43798</v>
      </c>
      <c r="X2953" t="s">
        <v>46573</v>
      </c>
    </row>
    <row r="2954" spans="1:24">
      <c r="A2954">
        <f>HYPERLINK("https://www.philgeps.gov.ph/GEPSNONPILOT/Tender/SplashBidNoticeAbstractUI.aspx?menuIndex=3&amp;refID=7062145&amp;Result=3","7062145")</f>
        <v>0</v>
      </c>
      <c r="B2954" t="s">
        <v>132</v>
      </c>
      <c r="C2954" t="s">
        <v>6385</v>
      </c>
      <c r="E2954" t="s">
        <v>21585</v>
      </c>
      <c r="F2954" t="s">
        <v>32664</v>
      </c>
      <c r="G2954" t="s">
        <v>32671</v>
      </c>
      <c r="H2954" t="s">
        <v>12635</v>
      </c>
      <c r="I2954" t="s">
        <v>4439</v>
      </c>
      <c r="J2954" t="s">
        <v>34834</v>
      </c>
      <c r="K2954" t="s">
        <v>42297</v>
      </c>
      <c r="M2954" t="s">
        <v>42696</v>
      </c>
      <c r="N2954" t="s">
        <v>46569</v>
      </c>
      <c r="O2954" t="s">
        <v>46570</v>
      </c>
      <c r="P2954">
        <v>0</v>
      </c>
      <c r="Q2954">
        <v>0</v>
      </c>
      <c r="R2954" t="s">
        <v>46572</v>
      </c>
      <c r="S2954" t="s">
        <v>46689</v>
      </c>
      <c r="T2954" t="s">
        <v>48244</v>
      </c>
      <c r="U2954" t="s">
        <v>51252</v>
      </c>
      <c r="V2954" t="s">
        <v>61647</v>
      </c>
      <c r="W2954" t="s">
        <v>42696</v>
      </c>
      <c r="X2954" t="s">
        <v>46573</v>
      </c>
    </row>
    <row r="2955" spans="1:24">
      <c r="A2955">
        <f>HYPERLINK("https://www.philgeps.gov.ph/GEPSNONPILOT/Tender/SplashBidNoticeAbstractUI.aspx?menuIndex=3&amp;refID=7061865&amp;Result=3","7061865")</f>
        <v>0</v>
      </c>
      <c r="B2955" t="s">
        <v>1088</v>
      </c>
      <c r="C2955" t="s">
        <v>6386</v>
      </c>
      <c r="D2955" t="s">
        <v>18804</v>
      </c>
      <c r="E2955" t="s">
        <v>21586</v>
      </c>
      <c r="F2955" t="s">
        <v>32664</v>
      </c>
      <c r="G2955" t="s">
        <v>32672</v>
      </c>
      <c r="H2955" t="s">
        <v>32683</v>
      </c>
      <c r="I2955" t="s">
        <v>10627</v>
      </c>
      <c r="J2955" t="s">
        <v>34835</v>
      </c>
      <c r="K2955" t="s">
        <v>42285</v>
      </c>
      <c r="M2955" t="s">
        <v>43714</v>
      </c>
      <c r="N2955" t="s">
        <v>46569</v>
      </c>
      <c r="O2955" t="s">
        <v>46570</v>
      </c>
      <c r="P2955">
        <v>0</v>
      </c>
      <c r="Q2955">
        <v>0</v>
      </c>
      <c r="R2955" t="s">
        <v>46572</v>
      </c>
      <c r="S2955" t="s">
        <v>46689</v>
      </c>
      <c r="T2955" t="s">
        <v>48220</v>
      </c>
      <c r="U2955" t="s">
        <v>51066</v>
      </c>
      <c r="V2955" t="s">
        <v>61896</v>
      </c>
      <c r="W2955" t="s">
        <v>43714</v>
      </c>
      <c r="X2955" t="s">
        <v>46573</v>
      </c>
    </row>
    <row r="2956" spans="1:24">
      <c r="A2956">
        <f>HYPERLINK("https://www.philgeps.gov.ph/GEPSNONPILOT/Tender/SplashBidNoticeAbstractUI.aspx?menuIndex=3&amp;refID=7062132&amp;Result=3","7062132")</f>
        <v>0</v>
      </c>
      <c r="B2956" t="s">
        <v>1119</v>
      </c>
      <c r="C2956" t="s">
        <v>6387</v>
      </c>
      <c r="D2956" t="s">
        <v>18835</v>
      </c>
      <c r="E2956" t="s">
        <v>21587</v>
      </c>
      <c r="F2956" t="s">
        <v>32664</v>
      </c>
      <c r="G2956" t="s">
        <v>32672</v>
      </c>
      <c r="H2956" t="s">
        <v>12635</v>
      </c>
      <c r="I2956" t="s">
        <v>4439</v>
      </c>
      <c r="J2956" t="s">
        <v>34836</v>
      </c>
      <c r="K2956" t="s">
        <v>42297</v>
      </c>
      <c r="M2956" t="s">
        <v>43748</v>
      </c>
      <c r="N2956" t="s">
        <v>46569</v>
      </c>
      <c r="O2956" t="s">
        <v>46570</v>
      </c>
      <c r="P2956">
        <v>0</v>
      </c>
      <c r="Q2956">
        <v>0</v>
      </c>
      <c r="R2956" t="s">
        <v>46572</v>
      </c>
      <c r="S2956" t="s">
        <v>46689</v>
      </c>
      <c r="T2956" t="s">
        <v>48268</v>
      </c>
      <c r="U2956" t="s">
        <v>51253</v>
      </c>
      <c r="W2956" t="s">
        <v>43748</v>
      </c>
      <c r="X2956" t="s">
        <v>46573</v>
      </c>
    </row>
    <row r="2957" spans="1:24">
      <c r="A2957">
        <f>HYPERLINK("https://www.philgeps.gov.ph/GEPSNONPILOT/Tender/SplashBidNoticeAbstractUI.aspx?menuIndex=3&amp;refID=7062136&amp;Result=3","7062136")</f>
        <v>0</v>
      </c>
      <c r="B2957" t="s">
        <v>388</v>
      </c>
      <c r="C2957" t="s">
        <v>6388</v>
      </c>
      <c r="D2957" t="s">
        <v>18799</v>
      </c>
      <c r="E2957" t="s">
        <v>6388</v>
      </c>
      <c r="F2957" t="s">
        <v>32664</v>
      </c>
      <c r="G2957" t="s">
        <v>32671</v>
      </c>
      <c r="H2957" t="s">
        <v>12635</v>
      </c>
      <c r="I2957" t="s">
        <v>6168</v>
      </c>
      <c r="J2957" t="s">
        <v>34076</v>
      </c>
      <c r="K2957" t="s">
        <v>42289</v>
      </c>
      <c r="M2957" t="s">
        <v>42958</v>
      </c>
      <c r="N2957" t="s">
        <v>46569</v>
      </c>
      <c r="O2957" t="s">
        <v>46570</v>
      </c>
      <c r="P2957">
        <v>0</v>
      </c>
      <c r="Q2957">
        <v>1</v>
      </c>
      <c r="R2957" t="s">
        <v>46572</v>
      </c>
      <c r="S2957" t="s">
        <v>46689</v>
      </c>
      <c r="T2957" t="s">
        <v>48244</v>
      </c>
      <c r="U2957" t="s">
        <v>49477</v>
      </c>
      <c r="W2957" t="s">
        <v>42958</v>
      </c>
      <c r="X2957" t="s">
        <v>46573</v>
      </c>
    </row>
    <row r="2958" spans="1:24">
      <c r="A2958">
        <f>HYPERLINK("https://www.philgeps.gov.ph/GEPSNONPILOT/Tender/SplashBidNoticeAbstractUI.aspx?menuIndex=3&amp;refID=7062139&amp;Result=3","7062139")</f>
        <v>0</v>
      </c>
      <c r="B2958" t="s">
        <v>341</v>
      </c>
      <c r="C2958" t="s">
        <v>6389</v>
      </c>
      <c r="D2958" t="s">
        <v>18841</v>
      </c>
      <c r="E2958" t="s">
        <v>21588</v>
      </c>
      <c r="F2958" t="s">
        <v>32664</v>
      </c>
      <c r="G2958" t="s">
        <v>32672</v>
      </c>
      <c r="H2958" t="s">
        <v>32683</v>
      </c>
      <c r="I2958" t="s">
        <v>10627</v>
      </c>
      <c r="J2958" t="s">
        <v>32859</v>
      </c>
      <c r="K2958" t="s">
        <v>42283</v>
      </c>
      <c r="M2958" t="s">
        <v>42910</v>
      </c>
      <c r="N2958" t="s">
        <v>46569</v>
      </c>
      <c r="O2958" t="s">
        <v>46570</v>
      </c>
      <c r="P2958">
        <v>0</v>
      </c>
      <c r="Q2958">
        <v>0</v>
      </c>
      <c r="R2958" t="s">
        <v>46572</v>
      </c>
      <c r="S2958" t="s">
        <v>46689</v>
      </c>
      <c r="T2958" t="s">
        <v>48349</v>
      </c>
      <c r="U2958" t="s">
        <v>51254</v>
      </c>
      <c r="V2958" t="s">
        <v>61911</v>
      </c>
      <c r="W2958" t="s">
        <v>42910</v>
      </c>
      <c r="X2958" t="s">
        <v>46573</v>
      </c>
    </row>
    <row r="2959" spans="1:24">
      <c r="A2959">
        <f>HYPERLINK("https://www.philgeps.gov.ph/GEPSNONPILOT/Tender/SplashBidNoticeAbstractUI.aspx?menuIndex=3&amp;refID=7061864&amp;Result=3","7061864")</f>
        <v>0</v>
      </c>
      <c r="B2959" t="s">
        <v>1166</v>
      </c>
      <c r="C2959" t="s">
        <v>6390</v>
      </c>
      <c r="D2959" t="s">
        <v>18830</v>
      </c>
      <c r="E2959" t="s">
        <v>21589</v>
      </c>
      <c r="F2959" t="s">
        <v>32664</v>
      </c>
      <c r="G2959" t="s">
        <v>32671</v>
      </c>
      <c r="H2959" t="s">
        <v>12635</v>
      </c>
      <c r="I2959" t="s">
        <v>6553</v>
      </c>
      <c r="J2959" t="s">
        <v>32984</v>
      </c>
      <c r="K2959" t="s">
        <v>42281</v>
      </c>
      <c r="M2959" t="s">
        <v>43799</v>
      </c>
      <c r="N2959" t="s">
        <v>46569</v>
      </c>
      <c r="O2959" t="s">
        <v>46570</v>
      </c>
      <c r="P2959">
        <v>0</v>
      </c>
      <c r="Q2959">
        <v>1</v>
      </c>
      <c r="R2959" t="s">
        <v>46572</v>
      </c>
      <c r="S2959" t="s">
        <v>46689</v>
      </c>
      <c r="T2959" t="s">
        <v>48280</v>
      </c>
      <c r="U2959" t="s">
        <v>51255</v>
      </c>
      <c r="W2959" t="s">
        <v>43799</v>
      </c>
      <c r="X2959" t="s">
        <v>46573</v>
      </c>
    </row>
    <row r="2960" spans="1:24">
      <c r="A2960">
        <f>HYPERLINK("https://www.philgeps.gov.ph/GEPSNONPILOT/Tender/SplashBidNoticeAbstractUI.aspx?menuIndex=3&amp;refID=7062133&amp;Result=3","7062133")</f>
        <v>0</v>
      </c>
      <c r="B2960" t="s">
        <v>1167</v>
      </c>
      <c r="C2960" t="s">
        <v>6391</v>
      </c>
      <c r="D2960" t="s">
        <v>18865</v>
      </c>
      <c r="E2960" t="s">
        <v>21590</v>
      </c>
      <c r="F2960" t="s">
        <v>32664</v>
      </c>
      <c r="G2960" t="s">
        <v>32674</v>
      </c>
      <c r="H2960" t="s">
        <v>12635</v>
      </c>
      <c r="I2960" t="s">
        <v>32685</v>
      </c>
      <c r="J2960" t="s">
        <v>34837</v>
      </c>
      <c r="K2960" t="s">
        <v>42289</v>
      </c>
      <c r="M2960" t="s">
        <v>43800</v>
      </c>
      <c r="N2960" t="s">
        <v>46569</v>
      </c>
      <c r="O2960" t="s">
        <v>46570</v>
      </c>
      <c r="P2960">
        <v>0</v>
      </c>
      <c r="Q2960">
        <v>0</v>
      </c>
      <c r="R2960" t="s">
        <v>46572</v>
      </c>
      <c r="S2960" t="s">
        <v>46689</v>
      </c>
      <c r="T2960" t="s">
        <v>48468</v>
      </c>
      <c r="U2960" t="s">
        <v>51256</v>
      </c>
      <c r="W2960" t="s">
        <v>43800</v>
      </c>
      <c r="X2960" t="s">
        <v>46573</v>
      </c>
    </row>
    <row r="2961" spans="1:24">
      <c r="A2961">
        <f>HYPERLINK("https://www.philgeps.gov.ph/GEPSNONPILOT/Tender/SplashBidNoticeAbstractUI.aspx?menuIndex=3&amp;refID=7062129&amp;Result=3","7062129")</f>
        <v>0</v>
      </c>
      <c r="B2961" t="s">
        <v>82</v>
      </c>
      <c r="C2961" t="s">
        <v>6392</v>
      </c>
      <c r="D2961" t="s">
        <v>18804</v>
      </c>
      <c r="E2961" t="s">
        <v>21591</v>
      </c>
      <c r="F2961" t="s">
        <v>32664</v>
      </c>
      <c r="G2961" t="s">
        <v>32672</v>
      </c>
      <c r="H2961" t="s">
        <v>32683</v>
      </c>
      <c r="I2961" t="s">
        <v>10627</v>
      </c>
      <c r="J2961" t="s">
        <v>34838</v>
      </c>
      <c r="K2961" t="s">
        <v>42311</v>
      </c>
      <c r="M2961" t="s">
        <v>43708</v>
      </c>
      <c r="N2961" t="s">
        <v>46569</v>
      </c>
      <c r="O2961" t="s">
        <v>46570</v>
      </c>
      <c r="P2961">
        <v>0</v>
      </c>
      <c r="Q2961">
        <v>1</v>
      </c>
      <c r="R2961" t="s">
        <v>46572</v>
      </c>
      <c r="S2961" t="s">
        <v>46689</v>
      </c>
      <c r="T2961" t="s">
        <v>48460</v>
      </c>
      <c r="U2961" t="s">
        <v>51046</v>
      </c>
      <c r="V2961" t="s">
        <v>61912</v>
      </c>
      <c r="W2961" t="s">
        <v>43708</v>
      </c>
      <c r="X2961" t="s">
        <v>46573</v>
      </c>
    </row>
    <row r="2962" spans="1:24">
      <c r="A2962">
        <f>HYPERLINK("https://www.philgeps.gov.ph/GEPSNONPILOT/Tender/SplashBidNoticeAbstractUI.aspx?menuIndex=3&amp;refID=7062174&amp;Result=3","7062174")</f>
        <v>0</v>
      </c>
      <c r="B2962" t="s">
        <v>1168</v>
      </c>
      <c r="C2962" t="s">
        <v>6393</v>
      </c>
      <c r="D2962" t="s">
        <v>18856</v>
      </c>
      <c r="E2962" t="s">
        <v>21592</v>
      </c>
      <c r="F2962" t="s">
        <v>32664</v>
      </c>
      <c r="G2962" t="s">
        <v>32672</v>
      </c>
      <c r="H2962" t="s">
        <v>12635</v>
      </c>
      <c r="I2962" t="s">
        <v>32694</v>
      </c>
      <c r="J2962" t="s">
        <v>34839</v>
      </c>
      <c r="K2962" t="s">
        <v>42281</v>
      </c>
      <c r="M2962" t="s">
        <v>43801</v>
      </c>
      <c r="N2962" t="s">
        <v>46569</v>
      </c>
      <c r="O2962" t="s">
        <v>46570</v>
      </c>
      <c r="P2962">
        <v>0</v>
      </c>
      <c r="Q2962">
        <v>0</v>
      </c>
      <c r="R2962" t="s">
        <v>46572</v>
      </c>
      <c r="S2962" t="s">
        <v>46689</v>
      </c>
      <c r="T2962" t="s">
        <v>48405</v>
      </c>
      <c r="U2962" t="s">
        <v>51257</v>
      </c>
      <c r="V2962" t="s">
        <v>61913</v>
      </c>
      <c r="W2962" t="s">
        <v>43801</v>
      </c>
      <c r="X2962" t="s">
        <v>46573</v>
      </c>
    </row>
    <row r="2963" spans="1:24">
      <c r="A2963">
        <f>HYPERLINK("https://www.philgeps.gov.ph/GEPSNONPILOT/Tender/SplashBidNoticeAbstractUI.aspx?menuIndex=3&amp;refID=7062173&amp;Result=3","7062173")</f>
        <v>0</v>
      </c>
      <c r="B2963" t="s">
        <v>698</v>
      </c>
      <c r="C2963" t="s">
        <v>6394</v>
      </c>
      <c r="D2963" t="s">
        <v>18784</v>
      </c>
      <c r="E2963" t="s">
        <v>21593</v>
      </c>
      <c r="F2963" t="s">
        <v>32664</v>
      </c>
      <c r="G2963" t="s">
        <v>32671</v>
      </c>
      <c r="H2963" t="s">
        <v>12635</v>
      </c>
      <c r="I2963" t="s">
        <v>5589</v>
      </c>
      <c r="J2963" t="s">
        <v>33461</v>
      </c>
      <c r="K2963" t="s">
        <v>42284</v>
      </c>
      <c r="M2963" t="s">
        <v>43802</v>
      </c>
      <c r="N2963" t="s">
        <v>46569</v>
      </c>
      <c r="O2963" t="s">
        <v>46570</v>
      </c>
      <c r="P2963">
        <v>0</v>
      </c>
      <c r="Q2963">
        <v>12</v>
      </c>
      <c r="R2963" t="s">
        <v>46572</v>
      </c>
      <c r="S2963" t="s">
        <v>46689</v>
      </c>
      <c r="T2963" t="s">
        <v>48219</v>
      </c>
      <c r="U2963" t="s">
        <v>51258</v>
      </c>
      <c r="W2963" t="s">
        <v>43802</v>
      </c>
      <c r="X2963" t="s">
        <v>46573</v>
      </c>
    </row>
    <row r="2964" spans="1:24">
      <c r="A2964">
        <f>HYPERLINK("https://www.philgeps.gov.ph/GEPSNONPILOT/Tender/SplashBidNoticeAbstractUI.aspx?menuIndex=3&amp;refID=7062135&amp;Result=3","7062135")</f>
        <v>0</v>
      </c>
      <c r="B2964" t="s">
        <v>1123</v>
      </c>
      <c r="C2964" t="s">
        <v>6395</v>
      </c>
      <c r="D2964" t="s">
        <v>18814</v>
      </c>
      <c r="E2964" t="s">
        <v>21594</v>
      </c>
      <c r="F2964" t="s">
        <v>32664</v>
      </c>
      <c r="G2964" t="s">
        <v>32672</v>
      </c>
      <c r="H2964" t="s">
        <v>32683</v>
      </c>
      <c r="I2964" t="s">
        <v>10627</v>
      </c>
      <c r="J2964" t="s">
        <v>34840</v>
      </c>
      <c r="K2964" t="s">
        <v>42281</v>
      </c>
      <c r="M2964" t="s">
        <v>43752</v>
      </c>
      <c r="N2964" t="s">
        <v>46569</v>
      </c>
      <c r="O2964" t="s">
        <v>46570</v>
      </c>
      <c r="P2964">
        <v>0</v>
      </c>
      <c r="Q2964">
        <v>0</v>
      </c>
      <c r="R2964" t="s">
        <v>46572</v>
      </c>
      <c r="S2964" t="s">
        <v>46689</v>
      </c>
      <c r="T2964" t="s">
        <v>48278</v>
      </c>
      <c r="U2964" t="s">
        <v>51259</v>
      </c>
      <c r="W2964" t="s">
        <v>43752</v>
      </c>
      <c r="X2964" t="s">
        <v>46573</v>
      </c>
    </row>
    <row r="2965" spans="1:24">
      <c r="A2965">
        <f>HYPERLINK("https://www.philgeps.gov.ph/GEPSNONPILOT/Tender/SplashBidNoticeAbstractUI.aspx?menuIndex=3&amp;refID=7062169&amp;Result=3","7062169")</f>
        <v>0</v>
      </c>
      <c r="B2965" t="s">
        <v>1150</v>
      </c>
      <c r="C2965" t="s">
        <v>6396</v>
      </c>
      <c r="D2965" t="s">
        <v>18845</v>
      </c>
      <c r="E2965" t="s">
        <v>21595</v>
      </c>
      <c r="F2965" t="s">
        <v>32664</v>
      </c>
      <c r="G2965" t="s">
        <v>32671</v>
      </c>
      <c r="H2965" t="s">
        <v>12635</v>
      </c>
      <c r="I2965" t="s">
        <v>4439</v>
      </c>
      <c r="J2965" t="s">
        <v>33126</v>
      </c>
      <c r="K2965" t="s">
        <v>42283</v>
      </c>
      <c r="M2965" t="s">
        <v>43781</v>
      </c>
      <c r="N2965" t="s">
        <v>46569</v>
      </c>
      <c r="O2965" t="s">
        <v>46570</v>
      </c>
      <c r="P2965">
        <v>0</v>
      </c>
      <c r="Q2965">
        <v>0</v>
      </c>
      <c r="R2965" t="s">
        <v>46572</v>
      </c>
      <c r="S2965" t="s">
        <v>46689</v>
      </c>
      <c r="T2965" t="s">
        <v>48258</v>
      </c>
      <c r="U2965" t="s">
        <v>51260</v>
      </c>
      <c r="W2965" t="s">
        <v>43781</v>
      </c>
      <c r="X2965" t="s">
        <v>46573</v>
      </c>
    </row>
    <row r="2966" spans="1:24">
      <c r="A2966">
        <f>HYPERLINK("https://www.philgeps.gov.ph/GEPSNONPILOT/Tender/SplashBidNoticeAbstractUI.aspx?menuIndex=3&amp;refID=7062130&amp;Result=3","7062130")</f>
        <v>0</v>
      </c>
      <c r="B2966" t="s">
        <v>1169</v>
      </c>
      <c r="C2966" t="s">
        <v>6397</v>
      </c>
      <c r="D2966" t="s">
        <v>18820</v>
      </c>
      <c r="E2966" t="s">
        <v>21596</v>
      </c>
      <c r="F2966" t="s">
        <v>32664</v>
      </c>
      <c r="G2966" t="s">
        <v>32672</v>
      </c>
      <c r="H2966" t="s">
        <v>32683</v>
      </c>
      <c r="I2966" t="s">
        <v>10627</v>
      </c>
      <c r="J2966" t="s">
        <v>34201</v>
      </c>
      <c r="K2966" t="s">
        <v>42281</v>
      </c>
      <c r="M2966" t="s">
        <v>43803</v>
      </c>
      <c r="N2966" t="s">
        <v>46569</v>
      </c>
      <c r="O2966" t="s">
        <v>46570</v>
      </c>
      <c r="P2966">
        <v>0</v>
      </c>
      <c r="Q2966">
        <v>0</v>
      </c>
      <c r="R2966" t="s">
        <v>46572</v>
      </c>
      <c r="S2966" t="s">
        <v>46689</v>
      </c>
      <c r="T2966" t="s">
        <v>48269</v>
      </c>
      <c r="U2966" t="s">
        <v>51261</v>
      </c>
      <c r="W2966" t="s">
        <v>43803</v>
      </c>
      <c r="X2966" t="s">
        <v>46573</v>
      </c>
    </row>
    <row r="2967" spans="1:24">
      <c r="A2967">
        <f>HYPERLINK("https://www.philgeps.gov.ph/GEPSNONPILOT/Tender/SplashBidNoticeAbstractUI.aspx?menuIndex=3&amp;refID=7062166&amp;Result=3","7062166")</f>
        <v>0</v>
      </c>
      <c r="B2967" t="s">
        <v>935</v>
      </c>
      <c r="C2967" t="s">
        <v>6398</v>
      </c>
      <c r="D2967" t="s">
        <v>18781</v>
      </c>
      <c r="E2967" t="s">
        <v>21597</v>
      </c>
      <c r="F2967" t="s">
        <v>32664</v>
      </c>
      <c r="G2967" t="s">
        <v>32671</v>
      </c>
      <c r="H2967" t="s">
        <v>12635</v>
      </c>
      <c r="I2967" t="s">
        <v>10590</v>
      </c>
      <c r="J2967" t="s">
        <v>34841</v>
      </c>
      <c r="K2967" t="s">
        <v>42283</v>
      </c>
      <c r="M2967" t="s">
        <v>43541</v>
      </c>
      <c r="N2967" t="s">
        <v>46569</v>
      </c>
      <c r="O2967" t="s">
        <v>46570</v>
      </c>
      <c r="P2967">
        <v>0</v>
      </c>
      <c r="Q2967">
        <v>0</v>
      </c>
      <c r="R2967" t="s">
        <v>46572</v>
      </c>
      <c r="S2967" t="s">
        <v>46689</v>
      </c>
      <c r="T2967" t="s">
        <v>48219</v>
      </c>
      <c r="U2967" t="s">
        <v>51262</v>
      </c>
      <c r="W2967" t="s">
        <v>43541</v>
      </c>
      <c r="X2967" t="s">
        <v>46573</v>
      </c>
    </row>
    <row r="2968" spans="1:24">
      <c r="A2968">
        <f>HYPERLINK("https://www.philgeps.gov.ph/GEPSNONPILOT/Tender/SplashBidNoticeAbstractUI.aspx?menuIndex=3&amp;refID=7062164&amp;Result=3","7062164")</f>
        <v>0</v>
      </c>
      <c r="B2968" t="s">
        <v>1170</v>
      </c>
      <c r="C2968" t="s">
        <v>6399</v>
      </c>
      <c r="D2968" t="s">
        <v>18830</v>
      </c>
      <c r="E2968" t="s">
        <v>21598</v>
      </c>
      <c r="F2968" t="s">
        <v>32664</v>
      </c>
      <c r="G2968" t="s">
        <v>32675</v>
      </c>
      <c r="H2968" t="s">
        <v>12635</v>
      </c>
      <c r="I2968" t="s">
        <v>5589</v>
      </c>
      <c r="J2968" t="s">
        <v>33330</v>
      </c>
      <c r="K2968" t="s">
        <v>42281</v>
      </c>
      <c r="M2968" t="s">
        <v>43804</v>
      </c>
      <c r="N2968" t="s">
        <v>46569</v>
      </c>
      <c r="O2968" t="s">
        <v>46570</v>
      </c>
      <c r="P2968">
        <v>0</v>
      </c>
      <c r="Q2968">
        <v>2</v>
      </c>
      <c r="R2968" t="s">
        <v>46572</v>
      </c>
      <c r="S2968" t="s">
        <v>46689</v>
      </c>
      <c r="T2968" t="s">
        <v>48244</v>
      </c>
      <c r="U2968" t="s">
        <v>51263</v>
      </c>
      <c r="W2968" t="s">
        <v>43804</v>
      </c>
      <c r="X2968" t="s">
        <v>46573</v>
      </c>
    </row>
    <row r="2969" spans="1:24">
      <c r="A2969">
        <f>HYPERLINK("https://www.philgeps.gov.ph/GEPSNONPILOT/Tender/SplashBidNoticeAbstractUI.aspx?menuIndex=3&amp;refID=7062163&amp;Result=3","7062163")</f>
        <v>0</v>
      </c>
      <c r="B2969" t="s">
        <v>1171</v>
      </c>
      <c r="C2969" t="s">
        <v>6400</v>
      </c>
      <c r="D2969" t="s">
        <v>18826</v>
      </c>
      <c r="E2969" t="s">
        <v>21599</v>
      </c>
      <c r="F2969" t="s">
        <v>32664</v>
      </c>
      <c r="G2969" t="s">
        <v>32671</v>
      </c>
      <c r="H2969" t="s">
        <v>32683</v>
      </c>
      <c r="I2969" t="s">
        <v>10627</v>
      </c>
      <c r="J2969" t="s">
        <v>34842</v>
      </c>
      <c r="K2969" t="s">
        <v>42283</v>
      </c>
      <c r="M2969" t="s">
        <v>43805</v>
      </c>
      <c r="N2969" t="s">
        <v>46569</v>
      </c>
      <c r="O2969" t="s">
        <v>46570</v>
      </c>
      <c r="P2969">
        <v>0</v>
      </c>
      <c r="Q2969">
        <v>2</v>
      </c>
      <c r="R2969" t="s">
        <v>46572</v>
      </c>
      <c r="S2969" t="s">
        <v>46689</v>
      </c>
      <c r="T2969" t="s">
        <v>48410</v>
      </c>
      <c r="U2969" t="s">
        <v>51264</v>
      </c>
      <c r="V2969" t="s">
        <v>61914</v>
      </c>
      <c r="W2969" t="s">
        <v>43805</v>
      </c>
      <c r="X2969" t="s">
        <v>46573</v>
      </c>
    </row>
    <row r="2970" spans="1:24">
      <c r="A2970">
        <f>HYPERLINK("https://www.philgeps.gov.ph/GEPSNONPILOT/Tender/SplashBidNoticeAbstractUI.aspx?menuIndex=3&amp;refID=7062161&amp;Result=3","7062161")</f>
        <v>0</v>
      </c>
      <c r="B2970" t="s">
        <v>1172</v>
      </c>
      <c r="C2970" t="s">
        <v>6401</v>
      </c>
      <c r="D2970" t="s">
        <v>18805</v>
      </c>
      <c r="E2970" t="s">
        <v>21600</v>
      </c>
      <c r="F2970" t="s">
        <v>32664</v>
      </c>
      <c r="G2970" t="s">
        <v>32671</v>
      </c>
      <c r="H2970" t="s">
        <v>32682</v>
      </c>
      <c r="I2970" t="s">
        <v>8730</v>
      </c>
      <c r="J2970" t="s">
        <v>34843</v>
      </c>
      <c r="K2970" t="s">
        <v>42309</v>
      </c>
      <c r="M2970" t="s">
        <v>43806</v>
      </c>
      <c r="N2970" t="s">
        <v>46569</v>
      </c>
      <c r="O2970" t="s">
        <v>46570</v>
      </c>
      <c r="P2970">
        <v>0</v>
      </c>
      <c r="Q2970">
        <v>2</v>
      </c>
      <c r="R2970" t="s">
        <v>46572</v>
      </c>
      <c r="S2970" t="s">
        <v>46689</v>
      </c>
      <c r="T2970" t="s">
        <v>48219</v>
      </c>
      <c r="U2970" t="s">
        <v>51265</v>
      </c>
      <c r="V2970" t="s">
        <v>61915</v>
      </c>
      <c r="W2970" t="s">
        <v>43806</v>
      </c>
      <c r="X2970" t="s">
        <v>46573</v>
      </c>
    </row>
    <row r="2971" spans="1:24">
      <c r="A2971">
        <f>HYPERLINK("https://www.philgeps.gov.ph/GEPSNONPILOT/Tender/SplashBidNoticeAbstractUI.aspx?menuIndex=3&amp;refID=7062170&amp;Result=3","7062170")</f>
        <v>0</v>
      </c>
      <c r="B2971" t="s">
        <v>1173</v>
      </c>
      <c r="C2971" t="s">
        <v>6402</v>
      </c>
      <c r="E2971" t="s">
        <v>21601</v>
      </c>
      <c r="F2971" t="s">
        <v>32664</v>
      </c>
      <c r="G2971" t="s">
        <v>32671</v>
      </c>
      <c r="H2971" t="s">
        <v>12635</v>
      </c>
      <c r="I2971" t="s">
        <v>7429</v>
      </c>
      <c r="J2971" t="s">
        <v>33128</v>
      </c>
      <c r="K2971" t="s">
        <v>42283</v>
      </c>
      <c r="M2971" t="s">
        <v>43807</v>
      </c>
      <c r="N2971" t="s">
        <v>46569</v>
      </c>
      <c r="O2971" t="s">
        <v>46570</v>
      </c>
      <c r="P2971">
        <v>0</v>
      </c>
      <c r="Q2971">
        <v>13</v>
      </c>
      <c r="R2971" t="s">
        <v>46572</v>
      </c>
      <c r="S2971" t="s">
        <v>46689</v>
      </c>
      <c r="T2971" t="s">
        <v>48217</v>
      </c>
      <c r="U2971" t="s">
        <v>49518</v>
      </c>
      <c r="W2971" t="s">
        <v>43807</v>
      </c>
      <c r="X2971" t="s">
        <v>46573</v>
      </c>
    </row>
    <row r="2972" spans="1:24">
      <c r="A2972">
        <f>HYPERLINK("https://www.philgeps.gov.ph/GEPSNONPILOT/Tender/SplashBidNoticeAbstractUI.aspx?menuIndex=3&amp;refID=7062171&amp;Result=3","7062171")</f>
        <v>0</v>
      </c>
      <c r="B2972" t="s">
        <v>1174</v>
      </c>
      <c r="C2972" t="s">
        <v>6403</v>
      </c>
      <c r="E2972" t="s">
        <v>21602</v>
      </c>
      <c r="F2972" t="s">
        <v>32664</v>
      </c>
      <c r="G2972" t="s">
        <v>32671</v>
      </c>
      <c r="H2972" t="s">
        <v>12635</v>
      </c>
      <c r="I2972" t="s">
        <v>5501</v>
      </c>
      <c r="J2972" t="s">
        <v>33228</v>
      </c>
      <c r="K2972" t="s">
        <v>42283</v>
      </c>
      <c r="M2972" t="s">
        <v>43808</v>
      </c>
      <c r="N2972" t="s">
        <v>46569</v>
      </c>
      <c r="O2972" t="s">
        <v>46570</v>
      </c>
      <c r="P2972">
        <v>0</v>
      </c>
      <c r="Q2972">
        <v>14</v>
      </c>
      <c r="R2972" t="s">
        <v>46572</v>
      </c>
      <c r="S2972" t="s">
        <v>46689</v>
      </c>
      <c r="T2972" t="s">
        <v>48221</v>
      </c>
      <c r="U2972" t="s">
        <v>51266</v>
      </c>
      <c r="V2972" t="s">
        <v>61916</v>
      </c>
      <c r="W2972" t="s">
        <v>43808</v>
      </c>
      <c r="X2972" t="s">
        <v>46573</v>
      </c>
    </row>
    <row r="2973" spans="1:24">
      <c r="A2973">
        <f>HYPERLINK("https://www.philgeps.gov.ph/GEPSNONPILOT/Tender/SplashBidNoticeAbstractUI.aspx?menuIndex=3&amp;refID=7062156&amp;Result=3","7062156")</f>
        <v>0</v>
      </c>
      <c r="B2973" t="s">
        <v>1171</v>
      </c>
      <c r="C2973" t="s">
        <v>6404</v>
      </c>
      <c r="D2973" t="s">
        <v>18826</v>
      </c>
      <c r="E2973" t="s">
        <v>21603</v>
      </c>
      <c r="F2973" t="s">
        <v>32664</v>
      </c>
      <c r="G2973" t="s">
        <v>32671</v>
      </c>
      <c r="H2973" t="s">
        <v>32683</v>
      </c>
      <c r="I2973" t="s">
        <v>10627</v>
      </c>
      <c r="J2973" t="s">
        <v>34844</v>
      </c>
      <c r="K2973" t="s">
        <v>42283</v>
      </c>
      <c r="M2973" t="s">
        <v>43805</v>
      </c>
      <c r="N2973" t="s">
        <v>46569</v>
      </c>
      <c r="O2973" t="s">
        <v>46570</v>
      </c>
      <c r="P2973">
        <v>0</v>
      </c>
      <c r="Q2973">
        <v>3</v>
      </c>
      <c r="R2973" t="s">
        <v>46572</v>
      </c>
      <c r="S2973" t="s">
        <v>46689</v>
      </c>
      <c r="T2973" t="s">
        <v>48410</v>
      </c>
      <c r="U2973" t="s">
        <v>51264</v>
      </c>
      <c r="V2973" t="s">
        <v>61914</v>
      </c>
      <c r="W2973" t="s">
        <v>43805</v>
      </c>
      <c r="X2973" t="s">
        <v>46573</v>
      </c>
    </row>
    <row r="2974" spans="1:24">
      <c r="A2974">
        <f>HYPERLINK("https://www.philgeps.gov.ph/GEPSNONPILOT/Tender/SplashBidNoticeAbstractUI.aspx?menuIndex=3&amp;refID=7062144&amp;Result=3","7062144")</f>
        <v>0</v>
      </c>
      <c r="B2974" t="s">
        <v>1117</v>
      </c>
      <c r="C2974" t="s">
        <v>6405</v>
      </c>
      <c r="D2974" t="s">
        <v>18788</v>
      </c>
      <c r="E2974" t="s">
        <v>21604</v>
      </c>
      <c r="F2974" t="s">
        <v>32664</v>
      </c>
      <c r="G2974" t="s">
        <v>32672</v>
      </c>
      <c r="H2974" t="s">
        <v>12635</v>
      </c>
      <c r="I2974" t="s">
        <v>4333</v>
      </c>
      <c r="J2974" t="s">
        <v>33128</v>
      </c>
      <c r="K2974" t="s">
        <v>42289</v>
      </c>
      <c r="M2974" t="s">
        <v>43745</v>
      </c>
      <c r="N2974" t="s">
        <v>46569</v>
      </c>
      <c r="O2974" t="s">
        <v>46570</v>
      </c>
      <c r="P2974">
        <v>0</v>
      </c>
      <c r="Q2974">
        <v>0</v>
      </c>
      <c r="R2974" t="s">
        <v>46572</v>
      </c>
      <c r="S2974" t="s">
        <v>46689</v>
      </c>
      <c r="T2974" t="s">
        <v>48296</v>
      </c>
      <c r="U2974" t="s">
        <v>51267</v>
      </c>
      <c r="W2974" t="s">
        <v>43745</v>
      </c>
      <c r="X2974" t="s">
        <v>46573</v>
      </c>
    </row>
    <row r="2975" spans="1:24">
      <c r="A2975">
        <f>HYPERLINK("https://www.philgeps.gov.ph/GEPSNONPILOT/Tender/SplashBidNoticeAbstractUI.aspx?menuIndex=3&amp;refID=7062157&amp;Result=3","7062157")</f>
        <v>0</v>
      </c>
      <c r="B2975" t="s">
        <v>1119</v>
      </c>
      <c r="C2975" t="s">
        <v>6406</v>
      </c>
      <c r="D2975" t="s">
        <v>18835</v>
      </c>
      <c r="E2975" t="s">
        <v>21605</v>
      </c>
      <c r="F2975" t="s">
        <v>32664</v>
      </c>
      <c r="G2975" t="s">
        <v>32672</v>
      </c>
      <c r="H2975" t="s">
        <v>12635</v>
      </c>
      <c r="I2975" t="s">
        <v>32721</v>
      </c>
      <c r="J2975" t="s">
        <v>33531</v>
      </c>
      <c r="K2975" t="s">
        <v>42289</v>
      </c>
      <c r="M2975" t="s">
        <v>43748</v>
      </c>
      <c r="N2975" t="s">
        <v>46569</v>
      </c>
      <c r="O2975" t="s">
        <v>46570</v>
      </c>
      <c r="P2975">
        <v>0</v>
      </c>
      <c r="Q2975">
        <v>0</v>
      </c>
      <c r="R2975" t="s">
        <v>46572</v>
      </c>
      <c r="S2975" t="s">
        <v>46689</v>
      </c>
      <c r="T2975" t="s">
        <v>48268</v>
      </c>
      <c r="U2975" t="s">
        <v>51268</v>
      </c>
      <c r="W2975" t="s">
        <v>43748</v>
      </c>
      <c r="X2975" t="s">
        <v>46573</v>
      </c>
    </row>
    <row r="2976" spans="1:24">
      <c r="A2976">
        <f>HYPERLINK("https://www.philgeps.gov.ph/GEPSNONPILOT/Tender/SplashBidNoticeAbstractUI.aspx?menuIndex=3&amp;refID=7062160&amp;Result=3","7062160")</f>
        <v>0</v>
      </c>
      <c r="B2976" t="s">
        <v>1121</v>
      </c>
      <c r="C2976" t="s">
        <v>6407</v>
      </c>
      <c r="D2976" t="s">
        <v>18827</v>
      </c>
      <c r="E2976" t="s">
        <v>21606</v>
      </c>
      <c r="F2976" t="s">
        <v>32664</v>
      </c>
      <c r="G2976" t="s">
        <v>32674</v>
      </c>
      <c r="H2976" t="s">
        <v>12635</v>
      </c>
      <c r="I2976" t="s">
        <v>6628</v>
      </c>
      <c r="J2976" t="s">
        <v>33069</v>
      </c>
      <c r="K2976" t="s">
        <v>42289</v>
      </c>
      <c r="M2976" t="s">
        <v>43750</v>
      </c>
      <c r="N2976" t="s">
        <v>46569</v>
      </c>
      <c r="O2976" t="s">
        <v>46570</v>
      </c>
      <c r="P2976">
        <v>0</v>
      </c>
      <c r="Q2976">
        <v>4</v>
      </c>
      <c r="R2976" t="s">
        <v>46572</v>
      </c>
      <c r="S2976" t="s">
        <v>46689</v>
      </c>
      <c r="T2976" t="s">
        <v>48256</v>
      </c>
      <c r="U2976" t="s">
        <v>51269</v>
      </c>
      <c r="W2976" t="s">
        <v>43750</v>
      </c>
      <c r="X2976" t="s">
        <v>46573</v>
      </c>
    </row>
    <row r="2977" spans="1:24">
      <c r="A2977">
        <f>HYPERLINK("https://www.philgeps.gov.ph/GEPSNONPILOT/Tender/SplashBidNoticeAbstractUI.aspx?menuIndex=3&amp;refID=7062131&amp;Result=3","7062131")</f>
        <v>0</v>
      </c>
      <c r="B2977" t="s">
        <v>594</v>
      </c>
      <c r="C2977" t="s">
        <v>6408</v>
      </c>
      <c r="D2977" t="s">
        <v>18784</v>
      </c>
      <c r="E2977" t="s">
        <v>21607</v>
      </c>
      <c r="F2977" t="s">
        <v>32664</v>
      </c>
      <c r="G2977" t="s">
        <v>32674</v>
      </c>
      <c r="H2977" t="s">
        <v>12635</v>
      </c>
      <c r="I2977" t="s">
        <v>6223</v>
      </c>
      <c r="J2977" t="s">
        <v>34845</v>
      </c>
      <c r="K2977" t="s">
        <v>42297</v>
      </c>
      <c r="M2977" t="s">
        <v>43793</v>
      </c>
      <c r="N2977" t="s">
        <v>46569</v>
      </c>
      <c r="O2977" t="s">
        <v>46570</v>
      </c>
      <c r="P2977">
        <v>0</v>
      </c>
      <c r="Q2977">
        <v>2</v>
      </c>
      <c r="R2977" t="s">
        <v>46572</v>
      </c>
      <c r="S2977" t="s">
        <v>46689</v>
      </c>
      <c r="T2977" t="s">
        <v>48461</v>
      </c>
      <c r="U2977" t="s">
        <v>51270</v>
      </c>
      <c r="V2977" t="s">
        <v>61909</v>
      </c>
      <c r="W2977" t="s">
        <v>43793</v>
      </c>
      <c r="X2977" t="s">
        <v>46573</v>
      </c>
    </row>
    <row r="2978" spans="1:24">
      <c r="A2978">
        <f>HYPERLINK("https://www.philgeps.gov.ph/GEPSNONPILOT/Tender/SplashBidNoticeAbstractUI.aspx?menuIndex=3&amp;refID=7062201&amp;Result=3","7062201")</f>
        <v>0</v>
      </c>
      <c r="B2978" t="s">
        <v>1175</v>
      </c>
      <c r="C2978" t="s">
        <v>6409</v>
      </c>
      <c r="D2978" t="s">
        <v>18782</v>
      </c>
      <c r="E2978" t="s">
        <v>21608</v>
      </c>
      <c r="F2978" t="s">
        <v>32665</v>
      </c>
      <c r="G2978" t="s">
        <v>32672</v>
      </c>
      <c r="H2978" t="s">
        <v>12635</v>
      </c>
      <c r="I2978" t="s">
        <v>9486</v>
      </c>
      <c r="J2978" t="s">
        <v>34846</v>
      </c>
      <c r="K2978" t="s">
        <v>42284</v>
      </c>
      <c r="M2978" t="s">
        <v>43809</v>
      </c>
      <c r="N2978" t="s">
        <v>46569</v>
      </c>
      <c r="O2978" t="s">
        <v>46570</v>
      </c>
      <c r="P2978">
        <v>0</v>
      </c>
      <c r="Q2978">
        <v>0</v>
      </c>
      <c r="R2978" t="s">
        <v>46572</v>
      </c>
      <c r="S2978" t="s">
        <v>46689</v>
      </c>
      <c r="T2978" t="s">
        <v>48220</v>
      </c>
      <c r="U2978" t="s">
        <v>51271</v>
      </c>
      <c r="V2978" t="s">
        <v>61917</v>
      </c>
      <c r="W2978" t="s">
        <v>43809</v>
      </c>
      <c r="X2978" t="s">
        <v>46573</v>
      </c>
    </row>
    <row r="2979" spans="1:24">
      <c r="A2979">
        <f>HYPERLINK("https://www.philgeps.gov.ph/GEPSNONPILOT/Tender/SplashBidNoticeAbstractUI.aspx?menuIndex=3&amp;refID=7062158&amp;Result=3","7062158")</f>
        <v>0</v>
      </c>
      <c r="B2979" t="s">
        <v>501</v>
      </c>
      <c r="C2979" t="s">
        <v>6410</v>
      </c>
      <c r="D2979" t="s">
        <v>18803</v>
      </c>
      <c r="E2979" t="s">
        <v>21609</v>
      </c>
      <c r="F2979" t="s">
        <v>32664</v>
      </c>
      <c r="G2979" t="s">
        <v>32671</v>
      </c>
      <c r="H2979" t="s">
        <v>32682</v>
      </c>
      <c r="I2979" t="s">
        <v>9597</v>
      </c>
      <c r="J2979" t="s">
        <v>33126</v>
      </c>
      <c r="K2979" t="s">
        <v>42306</v>
      </c>
      <c r="M2979" t="s">
        <v>43077</v>
      </c>
      <c r="N2979" t="s">
        <v>46569</v>
      </c>
      <c r="O2979" t="s">
        <v>46570</v>
      </c>
      <c r="P2979">
        <v>0</v>
      </c>
      <c r="Q2979">
        <v>1</v>
      </c>
      <c r="R2979" t="s">
        <v>46572</v>
      </c>
      <c r="S2979" t="s">
        <v>46689</v>
      </c>
      <c r="T2979" t="s">
        <v>48258</v>
      </c>
      <c r="U2979" t="s">
        <v>51272</v>
      </c>
      <c r="W2979" t="s">
        <v>43077</v>
      </c>
      <c r="X2979" t="s">
        <v>46573</v>
      </c>
    </row>
    <row r="2980" spans="1:24">
      <c r="A2980">
        <f>HYPERLINK("https://www.philgeps.gov.ph/GEPSNONPILOT/Tender/SplashBidNoticeAbstractUI.aspx?menuIndex=3&amp;refID=7062199&amp;Result=3","7062199")</f>
        <v>0</v>
      </c>
      <c r="B2980" t="s">
        <v>199</v>
      </c>
      <c r="C2980" t="s">
        <v>6411</v>
      </c>
      <c r="D2980" t="s">
        <v>18789</v>
      </c>
      <c r="E2980" t="s">
        <v>21610</v>
      </c>
      <c r="F2980" t="s">
        <v>32664</v>
      </c>
      <c r="G2980" t="s">
        <v>32671</v>
      </c>
      <c r="H2980" t="s">
        <v>12635</v>
      </c>
      <c r="I2980" t="s">
        <v>4333</v>
      </c>
      <c r="J2980" t="s">
        <v>34847</v>
      </c>
      <c r="K2980" t="s">
        <v>42297</v>
      </c>
      <c r="M2980" t="s">
        <v>43810</v>
      </c>
      <c r="N2980" t="s">
        <v>46569</v>
      </c>
      <c r="O2980" t="s">
        <v>46570</v>
      </c>
      <c r="P2980">
        <v>0</v>
      </c>
      <c r="Q2980">
        <v>0</v>
      </c>
      <c r="R2980" t="s">
        <v>46572</v>
      </c>
      <c r="S2980" t="s">
        <v>46689</v>
      </c>
      <c r="T2980" t="s">
        <v>48293</v>
      </c>
      <c r="U2980" t="s">
        <v>51273</v>
      </c>
      <c r="V2980" t="s">
        <v>61918</v>
      </c>
      <c r="W2980" t="s">
        <v>43810</v>
      </c>
      <c r="X2980" t="s">
        <v>46573</v>
      </c>
    </row>
    <row r="2981" spans="1:24">
      <c r="A2981">
        <f>HYPERLINK("https://www.philgeps.gov.ph/GEPSNONPILOT/Tender/SplashBidNoticeAbstractUI.aspx?menuIndex=3&amp;refID=7062196&amp;Result=3","7062196")</f>
        <v>0</v>
      </c>
      <c r="B2981" t="s">
        <v>1176</v>
      </c>
      <c r="C2981" t="s">
        <v>6412</v>
      </c>
      <c r="D2981" t="s">
        <v>18784</v>
      </c>
      <c r="E2981" t="s">
        <v>21510</v>
      </c>
      <c r="F2981" t="s">
        <v>32664</v>
      </c>
      <c r="G2981" t="s">
        <v>32671</v>
      </c>
      <c r="H2981" t="s">
        <v>12635</v>
      </c>
      <c r="I2981" t="s">
        <v>5589</v>
      </c>
      <c r="J2981" t="s">
        <v>34848</v>
      </c>
      <c r="K2981" t="s">
        <v>42283</v>
      </c>
      <c r="M2981" t="s">
        <v>43811</v>
      </c>
      <c r="N2981" t="s">
        <v>46569</v>
      </c>
      <c r="O2981" t="s">
        <v>46570</v>
      </c>
      <c r="P2981">
        <v>0</v>
      </c>
      <c r="Q2981">
        <v>15</v>
      </c>
      <c r="R2981" t="s">
        <v>46572</v>
      </c>
      <c r="S2981" t="s">
        <v>46689</v>
      </c>
      <c r="T2981" t="s">
        <v>48221</v>
      </c>
      <c r="U2981" t="s">
        <v>51274</v>
      </c>
      <c r="V2981" t="s">
        <v>61919</v>
      </c>
      <c r="W2981" t="s">
        <v>43811</v>
      </c>
      <c r="X2981" t="s">
        <v>46573</v>
      </c>
    </row>
    <row r="2982" spans="1:24">
      <c r="A2982">
        <f>HYPERLINK("https://www.philgeps.gov.ph/GEPSNONPILOT/Tender/SplashBidNoticeAbstractUI.aspx?menuIndex=3&amp;refID=7062200&amp;Result=3","7062200")</f>
        <v>0</v>
      </c>
      <c r="B2982" t="s">
        <v>683</v>
      </c>
      <c r="C2982" t="s">
        <v>6413</v>
      </c>
      <c r="D2982" t="s">
        <v>18842</v>
      </c>
      <c r="E2982" t="s">
        <v>21611</v>
      </c>
      <c r="F2982" t="s">
        <v>32664</v>
      </c>
      <c r="G2982" t="s">
        <v>32675</v>
      </c>
      <c r="H2982" t="s">
        <v>12635</v>
      </c>
      <c r="I2982" t="s">
        <v>8730</v>
      </c>
      <c r="J2982" t="s">
        <v>34849</v>
      </c>
      <c r="K2982" t="s">
        <v>42284</v>
      </c>
      <c r="M2982" t="s">
        <v>43270</v>
      </c>
      <c r="N2982" t="s">
        <v>46569</v>
      </c>
      <c r="O2982" t="s">
        <v>46570</v>
      </c>
      <c r="P2982">
        <v>0</v>
      </c>
      <c r="Q2982">
        <v>0</v>
      </c>
      <c r="R2982" t="s">
        <v>46572</v>
      </c>
      <c r="S2982" t="s">
        <v>46689</v>
      </c>
      <c r="T2982" t="s">
        <v>48219</v>
      </c>
      <c r="U2982" t="s">
        <v>50070</v>
      </c>
      <c r="W2982" t="s">
        <v>43270</v>
      </c>
      <c r="X2982" t="s">
        <v>46573</v>
      </c>
    </row>
    <row r="2983" spans="1:24">
      <c r="A2983">
        <f>HYPERLINK("https://www.philgeps.gov.ph/GEPSNONPILOT/Tender/SplashBidNoticeAbstractUI.aspx?menuIndex=3&amp;refID=7062172&amp;Result=3","7062172")</f>
        <v>0</v>
      </c>
      <c r="B2983" t="s">
        <v>1177</v>
      </c>
      <c r="C2983" t="s">
        <v>6414</v>
      </c>
      <c r="D2983" t="s">
        <v>18810</v>
      </c>
      <c r="E2983" t="s">
        <v>19771</v>
      </c>
      <c r="F2983" t="s">
        <v>32664</v>
      </c>
      <c r="G2983" t="s">
        <v>32672</v>
      </c>
      <c r="H2983" t="s">
        <v>32683</v>
      </c>
      <c r="I2983" t="s">
        <v>10627</v>
      </c>
      <c r="J2983" t="s">
        <v>34850</v>
      </c>
      <c r="K2983" t="s">
        <v>42283</v>
      </c>
      <c r="M2983" t="s">
        <v>43812</v>
      </c>
      <c r="N2983" t="s">
        <v>46569</v>
      </c>
      <c r="O2983" t="s">
        <v>46570</v>
      </c>
      <c r="P2983">
        <v>0</v>
      </c>
      <c r="Q2983">
        <v>0</v>
      </c>
      <c r="R2983" t="s">
        <v>46572</v>
      </c>
      <c r="S2983" t="s">
        <v>46689</v>
      </c>
      <c r="T2983" t="s">
        <v>48384</v>
      </c>
      <c r="U2983" t="s">
        <v>51275</v>
      </c>
      <c r="W2983" t="s">
        <v>43812</v>
      </c>
      <c r="X2983" t="s">
        <v>46573</v>
      </c>
    </row>
    <row r="2984" spans="1:24">
      <c r="A2984">
        <f>HYPERLINK("https://www.philgeps.gov.ph/GEPSNONPILOT/Tender/SplashBidNoticeAbstractUI.aspx?menuIndex=3&amp;refID=7062203&amp;Result=3","7062203")</f>
        <v>0</v>
      </c>
      <c r="B2984" t="s">
        <v>1178</v>
      </c>
      <c r="C2984" t="s">
        <v>6415</v>
      </c>
      <c r="D2984" t="s">
        <v>18827</v>
      </c>
      <c r="E2984" t="s">
        <v>21612</v>
      </c>
      <c r="F2984" t="s">
        <v>32664</v>
      </c>
      <c r="G2984" t="s">
        <v>32672</v>
      </c>
      <c r="H2984" t="s">
        <v>12635</v>
      </c>
      <c r="I2984" t="s">
        <v>32699</v>
      </c>
      <c r="J2984" t="s">
        <v>34851</v>
      </c>
      <c r="K2984" t="s">
        <v>42303</v>
      </c>
      <c r="M2984" t="s">
        <v>43813</v>
      </c>
      <c r="N2984" t="s">
        <v>46569</v>
      </c>
      <c r="O2984" t="s">
        <v>46570</v>
      </c>
      <c r="P2984">
        <v>0</v>
      </c>
      <c r="Q2984">
        <v>1</v>
      </c>
      <c r="R2984" t="s">
        <v>46572</v>
      </c>
      <c r="S2984" t="s">
        <v>46689</v>
      </c>
      <c r="T2984" t="s">
        <v>48245</v>
      </c>
      <c r="U2984" t="s">
        <v>51276</v>
      </c>
      <c r="V2984" t="s">
        <v>61920</v>
      </c>
      <c r="W2984" t="s">
        <v>43813</v>
      </c>
      <c r="X2984" t="s">
        <v>46573</v>
      </c>
    </row>
    <row r="2985" spans="1:24">
      <c r="A2985">
        <f>HYPERLINK("https://www.philgeps.gov.ph/GEPSNONPILOT/Tender/SplashBidNoticeAbstractUI.aspx?menuIndex=3&amp;refID=7062197&amp;Result=3","7062197")</f>
        <v>0</v>
      </c>
      <c r="B2985" t="s">
        <v>488</v>
      </c>
      <c r="C2985" t="s">
        <v>6416</v>
      </c>
      <c r="D2985" t="s">
        <v>18857</v>
      </c>
      <c r="E2985" t="s">
        <v>21613</v>
      </c>
      <c r="F2985" t="s">
        <v>32664</v>
      </c>
      <c r="G2985" t="s">
        <v>32672</v>
      </c>
      <c r="H2985" t="s">
        <v>12635</v>
      </c>
      <c r="I2985" t="s">
        <v>4439</v>
      </c>
      <c r="J2985" t="s">
        <v>34852</v>
      </c>
      <c r="K2985" t="s">
        <v>42281</v>
      </c>
      <c r="M2985" t="s">
        <v>43064</v>
      </c>
      <c r="N2985" t="s">
        <v>46569</v>
      </c>
      <c r="O2985" t="s">
        <v>46570</v>
      </c>
      <c r="P2985">
        <v>0</v>
      </c>
      <c r="Q2985">
        <v>0</v>
      </c>
      <c r="R2985" t="s">
        <v>46572</v>
      </c>
      <c r="S2985" t="s">
        <v>46689</v>
      </c>
      <c r="T2985" t="s">
        <v>48349</v>
      </c>
      <c r="U2985" t="s">
        <v>51277</v>
      </c>
      <c r="W2985" t="s">
        <v>43064</v>
      </c>
      <c r="X2985" t="s">
        <v>46573</v>
      </c>
    </row>
    <row r="2986" spans="1:24">
      <c r="A2986">
        <f>HYPERLINK("https://www.philgeps.gov.ph/GEPSNONPILOT/Tender/SplashBidNoticeAbstractUI.aspx?menuIndex=3&amp;refID=7062186&amp;Result=3","7062186")</f>
        <v>0</v>
      </c>
      <c r="B2986" t="s">
        <v>1179</v>
      </c>
      <c r="C2986" t="s">
        <v>6417</v>
      </c>
      <c r="D2986" t="s">
        <v>18838</v>
      </c>
      <c r="E2986" t="s">
        <v>21614</v>
      </c>
      <c r="F2986" t="s">
        <v>32664</v>
      </c>
      <c r="G2986" t="s">
        <v>32674</v>
      </c>
      <c r="H2986" t="s">
        <v>12635</v>
      </c>
      <c r="I2986" t="s">
        <v>5501</v>
      </c>
      <c r="J2986" t="s">
        <v>34853</v>
      </c>
      <c r="K2986" t="s">
        <v>42303</v>
      </c>
      <c r="M2986" t="s">
        <v>43814</v>
      </c>
      <c r="N2986" t="s">
        <v>46569</v>
      </c>
      <c r="O2986" t="s">
        <v>46570</v>
      </c>
      <c r="P2986">
        <v>0</v>
      </c>
      <c r="Q2986">
        <v>6</v>
      </c>
      <c r="R2986" t="s">
        <v>46572</v>
      </c>
      <c r="S2986" t="s">
        <v>46689</v>
      </c>
      <c r="T2986" t="s">
        <v>48373</v>
      </c>
      <c r="U2986" t="s">
        <v>51278</v>
      </c>
      <c r="W2986" t="s">
        <v>43814</v>
      </c>
      <c r="X2986" t="s">
        <v>46573</v>
      </c>
    </row>
    <row r="2987" spans="1:24">
      <c r="A2987">
        <f>HYPERLINK("https://www.philgeps.gov.ph/GEPSNONPILOT/Tender/SplashBidNoticeAbstractUI.aspx?menuIndex=3&amp;refID=7062142&amp;Result=3","7062142")</f>
        <v>0</v>
      </c>
      <c r="B2987" t="s">
        <v>1141</v>
      </c>
      <c r="C2987" t="s">
        <v>6418</v>
      </c>
      <c r="D2987" t="s">
        <v>18809</v>
      </c>
      <c r="E2987" t="s">
        <v>21615</v>
      </c>
      <c r="F2987" t="s">
        <v>32664</v>
      </c>
      <c r="G2987" t="s">
        <v>32671</v>
      </c>
      <c r="H2987" t="s">
        <v>12635</v>
      </c>
      <c r="I2987" t="s">
        <v>4439</v>
      </c>
      <c r="J2987" t="s">
        <v>34854</v>
      </c>
      <c r="K2987" t="s">
        <v>42289</v>
      </c>
      <c r="M2987" t="s">
        <v>43772</v>
      </c>
      <c r="N2987" t="s">
        <v>46569</v>
      </c>
      <c r="O2987" t="s">
        <v>46570</v>
      </c>
      <c r="P2987">
        <v>0</v>
      </c>
      <c r="Q2987">
        <v>0</v>
      </c>
      <c r="R2987" t="s">
        <v>46572</v>
      </c>
      <c r="S2987" t="s">
        <v>46689</v>
      </c>
      <c r="T2987" t="s">
        <v>48283</v>
      </c>
      <c r="U2987" t="s">
        <v>51279</v>
      </c>
      <c r="W2987" t="s">
        <v>43772</v>
      </c>
      <c r="X2987" t="s">
        <v>46573</v>
      </c>
    </row>
    <row r="2988" spans="1:24">
      <c r="A2988">
        <f>HYPERLINK("https://www.philgeps.gov.ph/GEPSNONPILOT/Tender/SplashBidNoticeAbstractUI.aspx?menuIndex=3&amp;refID=7062227&amp;Result=3","7062227")</f>
        <v>0</v>
      </c>
      <c r="B2988" t="s">
        <v>1180</v>
      </c>
      <c r="C2988" t="s">
        <v>6419</v>
      </c>
      <c r="D2988" t="s">
        <v>18830</v>
      </c>
      <c r="E2988" t="s">
        <v>21616</v>
      </c>
      <c r="F2988" t="s">
        <v>32664</v>
      </c>
      <c r="G2988" t="s">
        <v>32671</v>
      </c>
      <c r="H2988" t="s">
        <v>12635</v>
      </c>
      <c r="I2988" t="s">
        <v>6223</v>
      </c>
      <c r="J2988" t="s">
        <v>34855</v>
      </c>
      <c r="K2988" t="s">
        <v>42281</v>
      </c>
      <c r="M2988" t="s">
        <v>43815</v>
      </c>
      <c r="N2988" t="s">
        <v>46569</v>
      </c>
      <c r="O2988" t="s">
        <v>46570</v>
      </c>
      <c r="P2988">
        <v>0</v>
      </c>
      <c r="Q2988">
        <v>3</v>
      </c>
      <c r="R2988" t="s">
        <v>46572</v>
      </c>
      <c r="S2988" t="s">
        <v>46689</v>
      </c>
      <c r="T2988" t="s">
        <v>48217</v>
      </c>
      <c r="U2988" t="s">
        <v>51280</v>
      </c>
      <c r="V2988" t="s">
        <v>61921</v>
      </c>
      <c r="W2988" t="s">
        <v>43815</v>
      </c>
      <c r="X2988" t="s">
        <v>46573</v>
      </c>
    </row>
    <row r="2989" spans="1:24">
      <c r="A2989">
        <f>HYPERLINK("https://www.philgeps.gov.ph/GEPSNONPILOT/Tender/SplashBidNoticeAbstractUI.aspx?menuIndex=3&amp;refID=7062190&amp;Result=3","7062190")</f>
        <v>0</v>
      </c>
      <c r="B2989" t="s">
        <v>1181</v>
      </c>
      <c r="C2989" t="s">
        <v>6420</v>
      </c>
      <c r="D2989" t="s">
        <v>18794</v>
      </c>
      <c r="E2989" t="s">
        <v>21617</v>
      </c>
      <c r="F2989" t="s">
        <v>32664</v>
      </c>
      <c r="G2989" t="s">
        <v>32675</v>
      </c>
      <c r="H2989" t="s">
        <v>12635</v>
      </c>
      <c r="I2989" t="s">
        <v>6168</v>
      </c>
      <c r="J2989" t="s">
        <v>34856</v>
      </c>
      <c r="K2989" t="s">
        <v>42281</v>
      </c>
      <c r="M2989" t="s">
        <v>43816</v>
      </c>
      <c r="N2989" t="s">
        <v>46569</v>
      </c>
      <c r="O2989" t="s">
        <v>46570</v>
      </c>
      <c r="P2989">
        <v>0</v>
      </c>
      <c r="Q2989">
        <v>6</v>
      </c>
      <c r="R2989" t="s">
        <v>46572</v>
      </c>
      <c r="S2989" t="s">
        <v>46689</v>
      </c>
      <c r="T2989" t="s">
        <v>48244</v>
      </c>
      <c r="U2989" t="s">
        <v>51281</v>
      </c>
      <c r="W2989" t="s">
        <v>43816</v>
      </c>
      <c r="X2989" t="s">
        <v>46573</v>
      </c>
    </row>
    <row r="2990" spans="1:24">
      <c r="A2990">
        <f>HYPERLINK("https://www.philgeps.gov.ph/GEPSNONPILOT/Tender/SplashBidNoticeAbstractUI.aspx?menuIndex=3&amp;refID=7062202&amp;Result=3","7062202")</f>
        <v>0</v>
      </c>
      <c r="B2990" t="s">
        <v>1157</v>
      </c>
      <c r="C2990" t="s">
        <v>6421</v>
      </c>
      <c r="D2990" t="s">
        <v>18838</v>
      </c>
      <c r="E2990" t="s">
        <v>21618</v>
      </c>
      <c r="F2990" t="s">
        <v>32664</v>
      </c>
      <c r="G2990" t="s">
        <v>32674</v>
      </c>
      <c r="H2990" t="s">
        <v>12635</v>
      </c>
      <c r="I2990" t="s">
        <v>32773</v>
      </c>
      <c r="J2990" t="s">
        <v>34857</v>
      </c>
      <c r="K2990" t="s">
        <v>42330</v>
      </c>
      <c r="M2990" t="s">
        <v>43788</v>
      </c>
      <c r="N2990" t="s">
        <v>46569</v>
      </c>
      <c r="O2990" t="s">
        <v>46570</v>
      </c>
      <c r="P2990">
        <v>0</v>
      </c>
      <c r="Q2990">
        <v>3</v>
      </c>
      <c r="R2990" t="s">
        <v>46572</v>
      </c>
      <c r="S2990" t="s">
        <v>46689</v>
      </c>
      <c r="T2990" t="s">
        <v>48356</v>
      </c>
      <c r="U2990" t="s">
        <v>51282</v>
      </c>
      <c r="W2990" t="s">
        <v>43788</v>
      </c>
      <c r="X2990" t="s">
        <v>46573</v>
      </c>
    </row>
    <row r="2991" spans="1:24">
      <c r="A2991">
        <f>HYPERLINK("https://www.philgeps.gov.ph/GEPSNONPILOT/Tender/SplashBidNoticeAbstractUI.aspx?menuIndex=3&amp;refID=7062226&amp;Result=3","7062226")</f>
        <v>0</v>
      </c>
      <c r="B2991" t="s">
        <v>672</v>
      </c>
      <c r="C2991" t="s">
        <v>6422</v>
      </c>
      <c r="D2991" t="s">
        <v>18794</v>
      </c>
      <c r="E2991" t="s">
        <v>21619</v>
      </c>
      <c r="F2991" t="s">
        <v>32664</v>
      </c>
      <c r="G2991" t="s">
        <v>32671</v>
      </c>
      <c r="H2991" t="s">
        <v>12635</v>
      </c>
      <c r="I2991" t="s">
        <v>32697</v>
      </c>
      <c r="J2991" t="s">
        <v>32917</v>
      </c>
      <c r="K2991" t="s">
        <v>42303</v>
      </c>
      <c r="M2991" t="s">
        <v>43259</v>
      </c>
      <c r="N2991" t="s">
        <v>46569</v>
      </c>
      <c r="O2991" t="s">
        <v>46570</v>
      </c>
      <c r="P2991">
        <v>0</v>
      </c>
      <c r="Q2991">
        <v>0</v>
      </c>
      <c r="R2991" t="s">
        <v>46572</v>
      </c>
      <c r="S2991" t="s">
        <v>46689</v>
      </c>
      <c r="T2991" t="s">
        <v>48268</v>
      </c>
      <c r="U2991" t="s">
        <v>51283</v>
      </c>
      <c r="W2991" t="s">
        <v>43259</v>
      </c>
      <c r="X2991" t="s">
        <v>46573</v>
      </c>
    </row>
    <row r="2992" spans="1:24">
      <c r="A2992">
        <f>HYPERLINK("https://www.philgeps.gov.ph/GEPSNONPILOT/Tender/SplashBidNoticeAbstractUI.aspx?menuIndex=3&amp;refID=7062222&amp;Result=3","7062222")</f>
        <v>0</v>
      </c>
      <c r="B2992" t="s">
        <v>807</v>
      </c>
      <c r="C2992" t="s">
        <v>6423</v>
      </c>
      <c r="D2992" t="s">
        <v>18784</v>
      </c>
      <c r="E2992" t="s">
        <v>21620</v>
      </c>
      <c r="F2992" t="s">
        <v>32664</v>
      </c>
      <c r="G2992" t="s">
        <v>32672</v>
      </c>
      <c r="H2992" t="s">
        <v>12635</v>
      </c>
      <c r="I2992" t="s">
        <v>32712</v>
      </c>
      <c r="J2992" t="s">
        <v>34858</v>
      </c>
      <c r="K2992" t="s">
        <v>42283</v>
      </c>
      <c r="M2992" t="s">
        <v>43817</v>
      </c>
      <c r="N2992" t="s">
        <v>46569</v>
      </c>
      <c r="O2992" t="s">
        <v>46570</v>
      </c>
      <c r="P2992">
        <v>0</v>
      </c>
      <c r="Q2992">
        <v>29</v>
      </c>
      <c r="R2992" t="s">
        <v>46572</v>
      </c>
      <c r="S2992" t="s">
        <v>46689</v>
      </c>
      <c r="T2992" t="s">
        <v>48222</v>
      </c>
      <c r="U2992" t="s">
        <v>51284</v>
      </c>
      <c r="W2992" t="s">
        <v>43817</v>
      </c>
      <c r="X2992" t="s">
        <v>46573</v>
      </c>
    </row>
    <row r="2993" spans="1:24">
      <c r="A2993">
        <f>HYPERLINK("https://www.philgeps.gov.ph/GEPSNONPILOT/Tender/SplashBidNoticeAbstractUI.aspx?menuIndex=3&amp;refID=7062195&amp;Result=3","7062195")</f>
        <v>0</v>
      </c>
      <c r="B2993" t="s">
        <v>1182</v>
      </c>
      <c r="C2993" t="s">
        <v>6424</v>
      </c>
      <c r="D2993" t="s">
        <v>18794</v>
      </c>
      <c r="E2993" t="s">
        <v>18926</v>
      </c>
      <c r="F2993" t="s">
        <v>32664</v>
      </c>
      <c r="G2993" t="s">
        <v>32672</v>
      </c>
      <c r="H2993" t="s">
        <v>12635</v>
      </c>
      <c r="I2993" t="s">
        <v>32694</v>
      </c>
      <c r="J2993" t="s">
        <v>34859</v>
      </c>
      <c r="K2993" t="s">
        <v>42289</v>
      </c>
      <c r="M2993" t="s">
        <v>43818</v>
      </c>
      <c r="N2993" t="s">
        <v>46569</v>
      </c>
      <c r="O2993" t="s">
        <v>46570</v>
      </c>
      <c r="P2993">
        <v>0</v>
      </c>
      <c r="Q2993">
        <v>0</v>
      </c>
      <c r="R2993" t="s">
        <v>46572</v>
      </c>
      <c r="S2993" t="s">
        <v>46689</v>
      </c>
      <c r="T2993" t="s">
        <v>48215</v>
      </c>
      <c r="U2993" t="s">
        <v>51285</v>
      </c>
      <c r="W2993" t="s">
        <v>43818</v>
      </c>
      <c r="X2993" t="s">
        <v>46573</v>
      </c>
    </row>
    <row r="2994" spans="1:24">
      <c r="A2994">
        <f>HYPERLINK("https://www.philgeps.gov.ph/GEPSNONPILOT/Tender/SplashBidNoticeAbstractUI.aspx?menuIndex=3&amp;refID=7062220&amp;Result=3","7062220")</f>
        <v>0</v>
      </c>
      <c r="B2994" t="s">
        <v>1102</v>
      </c>
      <c r="C2994" t="s">
        <v>6425</v>
      </c>
      <c r="D2994" t="s">
        <v>18784</v>
      </c>
      <c r="E2994" t="s">
        <v>21621</v>
      </c>
      <c r="F2994" t="s">
        <v>32664</v>
      </c>
      <c r="G2994" t="s">
        <v>32671</v>
      </c>
      <c r="H2994" t="s">
        <v>12635</v>
      </c>
      <c r="I2994" t="s">
        <v>32756</v>
      </c>
      <c r="J2994" t="s">
        <v>34860</v>
      </c>
      <c r="K2994" t="s">
        <v>42283</v>
      </c>
      <c r="M2994" t="s">
        <v>43729</v>
      </c>
      <c r="N2994" t="s">
        <v>46569</v>
      </c>
      <c r="O2994" t="s">
        <v>46570</v>
      </c>
      <c r="P2994">
        <v>0</v>
      </c>
      <c r="Q2994">
        <v>6</v>
      </c>
      <c r="R2994" t="s">
        <v>46572</v>
      </c>
      <c r="S2994" t="s">
        <v>46689</v>
      </c>
      <c r="T2994" t="s">
        <v>48256</v>
      </c>
      <c r="U2994" t="s">
        <v>51286</v>
      </c>
      <c r="W2994" t="s">
        <v>43729</v>
      </c>
      <c r="X2994" t="s">
        <v>46573</v>
      </c>
    </row>
    <row r="2995" spans="1:24">
      <c r="A2995">
        <f>HYPERLINK("https://www.philgeps.gov.ph/GEPSNONPILOT/Tender/SplashBidNoticeAbstractUI.aspx?menuIndex=3&amp;refID=7062219&amp;Result=3","7062219")</f>
        <v>0</v>
      </c>
      <c r="B2995" t="s">
        <v>388</v>
      </c>
      <c r="C2995" t="s">
        <v>6426</v>
      </c>
      <c r="D2995" t="s">
        <v>18799</v>
      </c>
      <c r="E2995" t="s">
        <v>6426</v>
      </c>
      <c r="F2995" t="s">
        <v>32664</v>
      </c>
      <c r="G2995" t="s">
        <v>32671</v>
      </c>
      <c r="H2995" t="s">
        <v>12635</v>
      </c>
      <c r="I2995" t="s">
        <v>6118</v>
      </c>
      <c r="J2995" t="s">
        <v>33165</v>
      </c>
      <c r="K2995" t="s">
        <v>42289</v>
      </c>
      <c r="M2995" t="s">
        <v>42958</v>
      </c>
      <c r="N2995" t="s">
        <v>46569</v>
      </c>
      <c r="O2995" t="s">
        <v>46570</v>
      </c>
      <c r="P2995">
        <v>0</v>
      </c>
      <c r="Q2995">
        <v>1</v>
      </c>
      <c r="R2995" t="s">
        <v>46572</v>
      </c>
      <c r="S2995" t="s">
        <v>46689</v>
      </c>
      <c r="T2995" t="s">
        <v>48244</v>
      </c>
      <c r="U2995" t="s">
        <v>49477</v>
      </c>
      <c r="W2995" t="s">
        <v>42958</v>
      </c>
      <c r="X2995" t="s">
        <v>46573</v>
      </c>
    </row>
    <row r="2996" spans="1:24">
      <c r="A2996">
        <f>HYPERLINK("https://www.philgeps.gov.ph/GEPSNONPILOT/Tender/SplashBidNoticeAbstractUI.aspx?menuIndex=3&amp;refID=7062217&amp;Result=3","7062217")</f>
        <v>0</v>
      </c>
      <c r="B2996" t="s">
        <v>491</v>
      </c>
      <c r="C2996" t="s">
        <v>6427</v>
      </c>
      <c r="E2996" t="s">
        <v>21622</v>
      </c>
      <c r="F2996" t="s">
        <v>32664</v>
      </c>
      <c r="G2996" t="s">
        <v>32671</v>
      </c>
      <c r="H2996" t="s">
        <v>12635</v>
      </c>
      <c r="I2996" t="s">
        <v>32704</v>
      </c>
      <c r="J2996" t="s">
        <v>34861</v>
      </c>
      <c r="K2996" t="s">
        <v>42283</v>
      </c>
      <c r="M2996" t="s">
        <v>43067</v>
      </c>
      <c r="N2996" t="s">
        <v>46569</v>
      </c>
      <c r="O2996" t="s">
        <v>46570</v>
      </c>
      <c r="P2996">
        <v>0</v>
      </c>
      <c r="Q2996">
        <v>12</v>
      </c>
      <c r="R2996" t="s">
        <v>46572</v>
      </c>
      <c r="S2996" t="s">
        <v>46689</v>
      </c>
      <c r="T2996" t="s">
        <v>48249</v>
      </c>
      <c r="U2996" t="s">
        <v>51287</v>
      </c>
      <c r="W2996" t="s">
        <v>43067</v>
      </c>
      <c r="X2996" t="s">
        <v>46573</v>
      </c>
    </row>
    <row r="2997" spans="1:24">
      <c r="A2997">
        <f>HYPERLINK("https://www.philgeps.gov.ph/GEPSNONPILOT/Tender/SplashBidNoticeAbstractUI.aspx?menuIndex=3&amp;refID=7062216&amp;Result=3","7062216")</f>
        <v>0</v>
      </c>
      <c r="B2997" t="s">
        <v>1183</v>
      </c>
      <c r="C2997" t="s">
        <v>6428</v>
      </c>
      <c r="D2997" t="s">
        <v>18788</v>
      </c>
      <c r="E2997" t="s">
        <v>21623</v>
      </c>
      <c r="F2997" t="s">
        <v>32664</v>
      </c>
      <c r="G2997" t="s">
        <v>32677</v>
      </c>
      <c r="H2997" t="s">
        <v>32683</v>
      </c>
      <c r="I2997" t="s">
        <v>4439</v>
      </c>
      <c r="J2997" t="s">
        <v>34862</v>
      </c>
      <c r="K2997" t="s">
        <v>42311</v>
      </c>
      <c r="M2997" t="s">
        <v>43819</v>
      </c>
      <c r="N2997" t="s">
        <v>46569</v>
      </c>
      <c r="O2997" t="s">
        <v>46570</v>
      </c>
      <c r="P2997">
        <v>0</v>
      </c>
      <c r="Q2997">
        <v>0</v>
      </c>
      <c r="R2997" t="s">
        <v>46572</v>
      </c>
      <c r="S2997" t="s">
        <v>46689</v>
      </c>
      <c r="T2997" t="s">
        <v>48258</v>
      </c>
      <c r="U2997" t="s">
        <v>51288</v>
      </c>
      <c r="W2997" t="s">
        <v>43819</v>
      </c>
      <c r="X2997" t="s">
        <v>46573</v>
      </c>
    </row>
    <row r="2998" spans="1:24">
      <c r="A2998">
        <f>HYPERLINK("https://www.philgeps.gov.ph/GEPSNONPILOT/Tender/SplashBidNoticeAbstractUI.aspx?menuIndex=3&amp;refID=7062215&amp;Result=3","7062215")</f>
        <v>0</v>
      </c>
      <c r="B2998" t="s">
        <v>502</v>
      </c>
      <c r="C2998" t="s">
        <v>6429</v>
      </c>
      <c r="D2998" t="s">
        <v>18782</v>
      </c>
      <c r="E2998" t="s">
        <v>21624</v>
      </c>
      <c r="F2998" t="s">
        <v>32664</v>
      </c>
      <c r="G2998" t="s">
        <v>32671</v>
      </c>
      <c r="H2998" t="s">
        <v>12635</v>
      </c>
      <c r="I2998" t="s">
        <v>6628</v>
      </c>
      <c r="J2998" t="s">
        <v>34863</v>
      </c>
      <c r="K2998" t="s">
        <v>42289</v>
      </c>
      <c r="M2998" t="s">
        <v>43078</v>
      </c>
      <c r="N2998" t="s">
        <v>46569</v>
      </c>
      <c r="O2998" t="s">
        <v>46570</v>
      </c>
      <c r="P2998">
        <v>0</v>
      </c>
      <c r="Q2998">
        <v>0</v>
      </c>
      <c r="R2998" t="s">
        <v>46572</v>
      </c>
      <c r="S2998" t="s">
        <v>46689</v>
      </c>
      <c r="T2998" t="s">
        <v>48221</v>
      </c>
      <c r="U2998" t="s">
        <v>51289</v>
      </c>
      <c r="W2998" t="s">
        <v>43078</v>
      </c>
      <c r="X2998" t="s">
        <v>46573</v>
      </c>
    </row>
    <row r="2999" spans="1:24">
      <c r="A2999">
        <f>HYPERLINK("https://www.philgeps.gov.ph/GEPSNONPILOT/Tender/SplashBidNoticeAbstractUI.aspx?menuIndex=3&amp;refID=7062225&amp;Result=3","7062225")</f>
        <v>0</v>
      </c>
      <c r="B2999" t="s">
        <v>1129</v>
      </c>
      <c r="C2999" t="s">
        <v>6430</v>
      </c>
      <c r="D2999" t="s">
        <v>18833</v>
      </c>
      <c r="E2999" t="s">
        <v>21625</v>
      </c>
      <c r="F2999" t="s">
        <v>32664</v>
      </c>
      <c r="G2999" t="s">
        <v>32671</v>
      </c>
      <c r="H2999" t="s">
        <v>12635</v>
      </c>
      <c r="I2999" t="s">
        <v>9486</v>
      </c>
      <c r="J2999" t="s">
        <v>34864</v>
      </c>
      <c r="K2999" t="s">
        <v>42281</v>
      </c>
      <c r="M2999" t="s">
        <v>43758</v>
      </c>
      <c r="N2999" t="s">
        <v>46569</v>
      </c>
      <c r="O2999" t="s">
        <v>46570</v>
      </c>
      <c r="P2999">
        <v>0</v>
      </c>
      <c r="Q2999">
        <v>0</v>
      </c>
      <c r="R2999" t="s">
        <v>46572</v>
      </c>
      <c r="S2999" t="s">
        <v>46689</v>
      </c>
      <c r="T2999" t="s">
        <v>48244</v>
      </c>
      <c r="U2999" t="s">
        <v>51290</v>
      </c>
      <c r="W2999" t="s">
        <v>43758</v>
      </c>
      <c r="X2999" t="s">
        <v>46573</v>
      </c>
    </row>
    <row r="3000" spans="1:24">
      <c r="A3000">
        <f>HYPERLINK("https://www.philgeps.gov.ph/GEPSNONPILOT/Tender/SplashBidNoticeAbstractUI.aspx?menuIndex=3&amp;refID=7062221&amp;Result=3","7062221")</f>
        <v>0</v>
      </c>
      <c r="B3000" t="s">
        <v>653</v>
      </c>
      <c r="C3000" t="s">
        <v>6431</v>
      </c>
      <c r="D3000" t="s">
        <v>18840</v>
      </c>
      <c r="E3000" t="s">
        <v>21626</v>
      </c>
      <c r="F3000" t="s">
        <v>32664</v>
      </c>
      <c r="G3000" t="s">
        <v>32671</v>
      </c>
      <c r="H3000" t="s">
        <v>12635</v>
      </c>
      <c r="I3000" t="s">
        <v>14442</v>
      </c>
      <c r="J3000" t="s">
        <v>34865</v>
      </c>
      <c r="K3000" t="s">
        <v>42289</v>
      </c>
      <c r="M3000" t="s">
        <v>43239</v>
      </c>
      <c r="N3000" t="s">
        <v>46569</v>
      </c>
      <c r="O3000" t="s">
        <v>46570</v>
      </c>
      <c r="P3000">
        <v>0</v>
      </c>
      <c r="Q3000">
        <v>0</v>
      </c>
      <c r="R3000" t="s">
        <v>46572</v>
      </c>
      <c r="S3000" t="s">
        <v>46689</v>
      </c>
      <c r="T3000" t="s">
        <v>48251</v>
      </c>
      <c r="U3000" t="s">
        <v>51291</v>
      </c>
      <c r="W3000" t="s">
        <v>43239</v>
      </c>
      <c r="X3000" t="s">
        <v>46573</v>
      </c>
    </row>
    <row r="3001" spans="1:24">
      <c r="A3001">
        <f>HYPERLINK("https://www.philgeps.gov.ph/GEPSNONPILOT/Tender/SplashBidNoticeAbstractUI.aspx?menuIndex=3&amp;refID=7062223&amp;Result=3","7062223")</f>
        <v>0</v>
      </c>
      <c r="B3001" t="s">
        <v>1184</v>
      </c>
      <c r="C3001" t="s">
        <v>6432</v>
      </c>
      <c r="D3001" t="s">
        <v>18829</v>
      </c>
      <c r="E3001" t="s">
        <v>21627</v>
      </c>
      <c r="F3001" t="s">
        <v>32664</v>
      </c>
      <c r="G3001" t="s">
        <v>32671</v>
      </c>
      <c r="H3001" t="s">
        <v>12635</v>
      </c>
      <c r="I3001" t="s">
        <v>32694</v>
      </c>
      <c r="J3001" t="s">
        <v>34866</v>
      </c>
      <c r="K3001" t="s">
        <v>42284</v>
      </c>
      <c r="M3001" t="s">
        <v>43820</v>
      </c>
      <c r="N3001" t="s">
        <v>46569</v>
      </c>
      <c r="O3001" t="s">
        <v>46570</v>
      </c>
      <c r="P3001">
        <v>0</v>
      </c>
      <c r="Q3001">
        <v>0</v>
      </c>
      <c r="R3001" t="s">
        <v>46572</v>
      </c>
      <c r="S3001" t="s">
        <v>46689</v>
      </c>
      <c r="T3001" t="s">
        <v>48296</v>
      </c>
      <c r="U3001" t="s">
        <v>51292</v>
      </c>
      <c r="W3001" t="s">
        <v>43820</v>
      </c>
      <c r="X3001" t="s">
        <v>46573</v>
      </c>
    </row>
    <row r="3002" spans="1:24">
      <c r="A3002">
        <f>HYPERLINK("https://www.philgeps.gov.ph/GEPSNONPILOT/Tender/SplashBidNoticeAbstractUI.aspx?menuIndex=3&amp;refID=7062188&amp;Result=3","7062188")</f>
        <v>0</v>
      </c>
      <c r="B3002" t="s">
        <v>491</v>
      </c>
      <c r="C3002" t="s">
        <v>6433</v>
      </c>
      <c r="E3002" t="s">
        <v>21628</v>
      </c>
      <c r="F3002" t="s">
        <v>32664</v>
      </c>
      <c r="G3002" t="s">
        <v>32671</v>
      </c>
      <c r="H3002" t="s">
        <v>12635</v>
      </c>
      <c r="I3002" t="s">
        <v>6223</v>
      </c>
      <c r="J3002" t="s">
        <v>33128</v>
      </c>
      <c r="K3002" t="s">
        <v>42283</v>
      </c>
      <c r="M3002" t="s">
        <v>43067</v>
      </c>
      <c r="N3002" t="s">
        <v>46569</v>
      </c>
      <c r="O3002" t="s">
        <v>46570</v>
      </c>
      <c r="P3002">
        <v>0</v>
      </c>
      <c r="Q3002">
        <v>2</v>
      </c>
      <c r="R3002" t="s">
        <v>46572</v>
      </c>
      <c r="S3002" t="s">
        <v>46689</v>
      </c>
      <c r="T3002" t="s">
        <v>48249</v>
      </c>
      <c r="U3002" t="s">
        <v>51293</v>
      </c>
      <c r="W3002" t="s">
        <v>43067</v>
      </c>
      <c r="X3002" t="s">
        <v>46573</v>
      </c>
    </row>
    <row r="3003" spans="1:24">
      <c r="A3003">
        <f>HYPERLINK("https://www.philgeps.gov.ph/GEPSNONPILOT/Tender/SplashBidNoticeAbstractUI.aspx?menuIndex=3&amp;refID=7062212&amp;Result=3","7062212")</f>
        <v>0</v>
      </c>
      <c r="B3003" t="s">
        <v>698</v>
      </c>
      <c r="C3003" t="s">
        <v>6434</v>
      </c>
      <c r="D3003" t="s">
        <v>18784</v>
      </c>
      <c r="E3003" t="s">
        <v>21629</v>
      </c>
      <c r="F3003" t="s">
        <v>32664</v>
      </c>
      <c r="G3003" t="s">
        <v>32671</v>
      </c>
      <c r="H3003" t="s">
        <v>12635</v>
      </c>
      <c r="I3003" t="s">
        <v>5589</v>
      </c>
      <c r="J3003" t="s">
        <v>34867</v>
      </c>
      <c r="K3003" t="s">
        <v>42284</v>
      </c>
      <c r="M3003" t="s">
        <v>43802</v>
      </c>
      <c r="N3003" t="s">
        <v>46569</v>
      </c>
      <c r="O3003" t="s">
        <v>46570</v>
      </c>
      <c r="P3003">
        <v>0</v>
      </c>
      <c r="Q3003">
        <v>16</v>
      </c>
      <c r="R3003" t="s">
        <v>46572</v>
      </c>
      <c r="S3003" t="s">
        <v>46689</v>
      </c>
      <c r="T3003" t="s">
        <v>48256</v>
      </c>
      <c r="U3003" t="s">
        <v>51294</v>
      </c>
      <c r="W3003" t="s">
        <v>43802</v>
      </c>
      <c r="X3003" t="s">
        <v>46573</v>
      </c>
    </row>
    <row r="3004" spans="1:24">
      <c r="A3004">
        <f>HYPERLINK("https://www.philgeps.gov.ph/GEPSNONPILOT/Tender/SplashBidNoticeAbstractUI.aspx?menuIndex=3&amp;refID=7062251&amp;Result=3","7062251")</f>
        <v>0</v>
      </c>
      <c r="B3004" t="s">
        <v>1043</v>
      </c>
      <c r="C3004" t="s">
        <v>6435</v>
      </c>
      <c r="D3004" t="s">
        <v>18848</v>
      </c>
      <c r="E3004" t="s">
        <v>21630</v>
      </c>
      <c r="F3004" t="s">
        <v>32664</v>
      </c>
      <c r="G3004" t="s">
        <v>32671</v>
      </c>
      <c r="H3004" t="s">
        <v>12635</v>
      </c>
      <c r="I3004" t="s">
        <v>8730</v>
      </c>
      <c r="J3004" t="s">
        <v>33182</v>
      </c>
      <c r="K3004" t="s">
        <v>42297</v>
      </c>
      <c r="M3004" t="s">
        <v>43657</v>
      </c>
      <c r="N3004" t="s">
        <v>46569</v>
      </c>
      <c r="O3004" t="s">
        <v>46570</v>
      </c>
      <c r="P3004">
        <v>0</v>
      </c>
      <c r="Q3004">
        <v>1</v>
      </c>
      <c r="R3004" t="s">
        <v>46572</v>
      </c>
      <c r="S3004" t="s">
        <v>46689</v>
      </c>
      <c r="T3004" t="s">
        <v>48280</v>
      </c>
      <c r="U3004" t="s">
        <v>51295</v>
      </c>
      <c r="V3004" t="s">
        <v>61879</v>
      </c>
      <c r="W3004" t="s">
        <v>43657</v>
      </c>
      <c r="X3004" t="s">
        <v>46573</v>
      </c>
    </row>
    <row r="3005" spans="1:24">
      <c r="A3005">
        <f>HYPERLINK("https://www.philgeps.gov.ph/GEPSNONPILOT/Tender/SplashBidNoticeAbstractUI.aspx?menuIndex=3&amp;refID=7062189&amp;Result=3","7062189")</f>
        <v>0</v>
      </c>
      <c r="B3005" t="s">
        <v>507</v>
      </c>
      <c r="C3005" t="s">
        <v>6436</v>
      </c>
      <c r="D3005" t="s">
        <v>18799</v>
      </c>
      <c r="E3005" t="s">
        <v>19815</v>
      </c>
      <c r="F3005" t="s">
        <v>32664</v>
      </c>
      <c r="G3005" t="s">
        <v>32674</v>
      </c>
      <c r="H3005" t="s">
        <v>12635</v>
      </c>
      <c r="I3005" t="s">
        <v>32692</v>
      </c>
      <c r="J3005" t="s">
        <v>34868</v>
      </c>
      <c r="K3005" t="s">
        <v>42284</v>
      </c>
      <c r="M3005" t="s">
        <v>43083</v>
      </c>
      <c r="N3005" t="s">
        <v>46569</v>
      </c>
      <c r="O3005" t="s">
        <v>46570</v>
      </c>
      <c r="P3005">
        <v>0</v>
      </c>
      <c r="Q3005">
        <v>0</v>
      </c>
      <c r="R3005" t="s">
        <v>46572</v>
      </c>
      <c r="S3005" t="s">
        <v>46689</v>
      </c>
      <c r="T3005" t="s">
        <v>48276</v>
      </c>
      <c r="U3005" t="s">
        <v>50505</v>
      </c>
      <c r="W3005" t="s">
        <v>43083</v>
      </c>
      <c r="X3005" t="s">
        <v>46573</v>
      </c>
    </row>
    <row r="3006" spans="1:24">
      <c r="A3006">
        <f>HYPERLINK("https://www.philgeps.gov.ph/GEPSNONPILOT/Tender/SplashBidNoticeAbstractUI.aspx?menuIndex=3&amp;refID=7062214&amp;Result=3","7062214")</f>
        <v>0</v>
      </c>
      <c r="B3006" t="s">
        <v>1185</v>
      </c>
      <c r="C3006" t="s">
        <v>6437</v>
      </c>
      <c r="D3006" t="s">
        <v>18807</v>
      </c>
      <c r="E3006" t="s">
        <v>21631</v>
      </c>
      <c r="F3006" t="s">
        <v>32664</v>
      </c>
      <c r="G3006" t="s">
        <v>32672</v>
      </c>
      <c r="H3006" t="s">
        <v>12635</v>
      </c>
      <c r="I3006" t="s">
        <v>32706</v>
      </c>
      <c r="J3006" t="s">
        <v>34869</v>
      </c>
      <c r="K3006" t="s">
        <v>42297</v>
      </c>
      <c r="M3006" t="s">
        <v>43821</v>
      </c>
      <c r="N3006" t="s">
        <v>46569</v>
      </c>
      <c r="O3006" t="s">
        <v>46570</v>
      </c>
      <c r="P3006">
        <v>0</v>
      </c>
      <c r="Q3006">
        <v>0</v>
      </c>
      <c r="R3006" t="s">
        <v>46572</v>
      </c>
      <c r="S3006" t="s">
        <v>46689</v>
      </c>
      <c r="T3006" t="s">
        <v>48230</v>
      </c>
      <c r="U3006" t="s">
        <v>51296</v>
      </c>
      <c r="W3006" t="s">
        <v>43821</v>
      </c>
      <c r="X3006" t="s">
        <v>46573</v>
      </c>
    </row>
    <row r="3007" spans="1:24">
      <c r="A3007">
        <f>HYPERLINK("https://www.philgeps.gov.ph/GEPSNONPILOT/Tender/SplashBidNoticeAbstractUI.aspx?menuIndex=3&amp;refID=7062213&amp;Result=3","7062213")</f>
        <v>0</v>
      </c>
      <c r="B3007" t="s">
        <v>1186</v>
      </c>
      <c r="C3007" t="s">
        <v>6438</v>
      </c>
      <c r="D3007" t="s">
        <v>18807</v>
      </c>
      <c r="E3007" t="s">
        <v>21632</v>
      </c>
      <c r="F3007" t="s">
        <v>32664</v>
      </c>
      <c r="G3007" t="s">
        <v>32672</v>
      </c>
      <c r="H3007" t="s">
        <v>12635</v>
      </c>
      <c r="I3007" t="s">
        <v>32699</v>
      </c>
      <c r="J3007" t="s">
        <v>34870</v>
      </c>
      <c r="K3007" t="s">
        <v>42297</v>
      </c>
      <c r="M3007" t="s">
        <v>43822</v>
      </c>
      <c r="N3007" t="s">
        <v>46569</v>
      </c>
      <c r="O3007" t="s">
        <v>46570</v>
      </c>
      <c r="P3007">
        <v>0</v>
      </c>
      <c r="Q3007">
        <v>1</v>
      </c>
      <c r="R3007" t="s">
        <v>46572</v>
      </c>
      <c r="S3007" t="s">
        <v>46689</v>
      </c>
      <c r="T3007" t="s">
        <v>48304</v>
      </c>
      <c r="U3007" t="s">
        <v>51297</v>
      </c>
      <c r="W3007" t="s">
        <v>43822</v>
      </c>
      <c r="X3007" t="s">
        <v>46573</v>
      </c>
    </row>
    <row r="3008" spans="1:24">
      <c r="A3008">
        <f>HYPERLINK("https://www.philgeps.gov.ph/GEPSNONPILOT/Tender/SplashBidNoticeAbstractUI.aspx?menuIndex=3&amp;refID=7062245&amp;Result=3","7062245")</f>
        <v>0</v>
      </c>
      <c r="B3008" t="s">
        <v>1183</v>
      </c>
      <c r="C3008" t="s">
        <v>6439</v>
      </c>
      <c r="D3008" t="s">
        <v>18788</v>
      </c>
      <c r="E3008" t="s">
        <v>21633</v>
      </c>
      <c r="F3008" t="s">
        <v>32664</v>
      </c>
      <c r="G3008" t="s">
        <v>32677</v>
      </c>
      <c r="H3008" t="s">
        <v>32683</v>
      </c>
      <c r="I3008" t="s">
        <v>4439</v>
      </c>
      <c r="J3008" t="s">
        <v>34487</v>
      </c>
      <c r="K3008" t="s">
        <v>42311</v>
      </c>
      <c r="M3008" t="s">
        <v>43819</v>
      </c>
      <c r="N3008" t="s">
        <v>46569</v>
      </c>
      <c r="O3008" t="s">
        <v>46570</v>
      </c>
      <c r="P3008">
        <v>0</v>
      </c>
      <c r="Q3008">
        <v>0</v>
      </c>
      <c r="R3008" t="s">
        <v>46572</v>
      </c>
      <c r="S3008" t="s">
        <v>46689</v>
      </c>
      <c r="T3008" t="s">
        <v>48258</v>
      </c>
      <c r="U3008" t="s">
        <v>51288</v>
      </c>
      <c r="W3008" t="s">
        <v>43819</v>
      </c>
      <c r="X3008" t="s">
        <v>46573</v>
      </c>
    </row>
    <row r="3009" spans="1:24">
      <c r="A3009">
        <f>HYPERLINK("https://www.philgeps.gov.ph/GEPSNONPILOT/Tender/SplashBidNoticeAbstractUI.aspx?menuIndex=3&amp;refID=7062244&amp;Result=3","7062244")</f>
        <v>0</v>
      </c>
      <c r="B3009" t="s">
        <v>1153</v>
      </c>
      <c r="C3009" t="s">
        <v>6440</v>
      </c>
      <c r="D3009" t="s">
        <v>18788</v>
      </c>
      <c r="E3009" t="s">
        <v>21634</v>
      </c>
      <c r="F3009" t="s">
        <v>32664</v>
      </c>
      <c r="G3009" t="s">
        <v>32671</v>
      </c>
      <c r="H3009" t="s">
        <v>12635</v>
      </c>
      <c r="I3009" t="s">
        <v>32707</v>
      </c>
      <c r="J3009" t="s">
        <v>34871</v>
      </c>
      <c r="K3009" t="s">
        <v>42289</v>
      </c>
      <c r="M3009" t="s">
        <v>43784</v>
      </c>
      <c r="N3009" t="s">
        <v>46569</v>
      </c>
      <c r="O3009" t="s">
        <v>46570</v>
      </c>
      <c r="Q3009">
        <v>2</v>
      </c>
      <c r="R3009" t="s">
        <v>46572</v>
      </c>
      <c r="S3009" t="s">
        <v>46697</v>
      </c>
      <c r="T3009" t="s">
        <v>48283</v>
      </c>
      <c r="U3009" t="s">
        <v>51298</v>
      </c>
      <c r="W3009" t="s">
        <v>43784</v>
      </c>
      <c r="X3009" t="s">
        <v>46573</v>
      </c>
    </row>
    <row r="3010" spans="1:24">
      <c r="A3010">
        <f>HYPERLINK("https://www.philgeps.gov.ph/GEPSNONPILOT/Tender/SplashBidNoticeAbstractUI.aspx?menuIndex=3&amp;refID=7062241&amp;Result=3","7062241")</f>
        <v>0</v>
      </c>
      <c r="B3010" t="s">
        <v>1187</v>
      </c>
      <c r="C3010" t="s">
        <v>6441</v>
      </c>
      <c r="D3010" t="s">
        <v>18831</v>
      </c>
      <c r="E3010" t="s">
        <v>21635</v>
      </c>
      <c r="F3010" t="s">
        <v>32664</v>
      </c>
      <c r="G3010" t="s">
        <v>32672</v>
      </c>
      <c r="H3010" t="s">
        <v>12635</v>
      </c>
      <c r="I3010" t="s">
        <v>11464</v>
      </c>
      <c r="J3010" t="s">
        <v>32943</v>
      </c>
      <c r="K3010" t="s">
        <v>42283</v>
      </c>
      <c r="M3010" t="s">
        <v>43823</v>
      </c>
      <c r="N3010" t="s">
        <v>46569</v>
      </c>
      <c r="O3010" t="s">
        <v>46570</v>
      </c>
      <c r="P3010">
        <v>0</v>
      </c>
      <c r="Q3010">
        <v>2</v>
      </c>
      <c r="R3010" t="s">
        <v>46572</v>
      </c>
      <c r="S3010" t="s">
        <v>46689</v>
      </c>
      <c r="T3010" t="s">
        <v>48216</v>
      </c>
      <c r="U3010" t="s">
        <v>51299</v>
      </c>
      <c r="V3010" t="s">
        <v>61922</v>
      </c>
      <c r="W3010" t="s">
        <v>43823</v>
      </c>
      <c r="X3010" t="s">
        <v>46573</v>
      </c>
    </row>
    <row r="3011" spans="1:24">
      <c r="A3011">
        <f>HYPERLINK("https://www.philgeps.gov.ph/GEPSNONPILOT/Tender/SplashBidNoticeAbstractUI.aspx?menuIndex=3&amp;refID=7062252&amp;Result=3","7062252")</f>
        <v>0</v>
      </c>
      <c r="B3011" t="s">
        <v>1188</v>
      </c>
      <c r="C3011" t="s">
        <v>6442</v>
      </c>
      <c r="D3011" t="s">
        <v>18810</v>
      </c>
      <c r="E3011" t="s">
        <v>21636</v>
      </c>
      <c r="F3011" t="s">
        <v>32664</v>
      </c>
      <c r="G3011" t="s">
        <v>32672</v>
      </c>
      <c r="H3011" t="s">
        <v>32683</v>
      </c>
      <c r="I3011" t="s">
        <v>10627</v>
      </c>
      <c r="J3011" t="s">
        <v>34872</v>
      </c>
      <c r="K3011" t="s">
        <v>42283</v>
      </c>
      <c r="M3011" t="s">
        <v>43824</v>
      </c>
      <c r="N3011" t="s">
        <v>46569</v>
      </c>
      <c r="O3011" t="s">
        <v>46570</v>
      </c>
      <c r="P3011">
        <v>0</v>
      </c>
      <c r="Q3011">
        <v>0</v>
      </c>
      <c r="R3011" t="s">
        <v>46572</v>
      </c>
      <c r="S3011" t="s">
        <v>46689</v>
      </c>
      <c r="T3011" t="s">
        <v>48384</v>
      </c>
      <c r="U3011" t="s">
        <v>51300</v>
      </c>
      <c r="W3011" t="s">
        <v>43824</v>
      </c>
      <c r="X3011" t="s">
        <v>46573</v>
      </c>
    </row>
    <row r="3012" spans="1:24">
      <c r="A3012">
        <f>HYPERLINK("https://www.philgeps.gov.ph/GEPSNONPILOT/Tender/SplashBidNoticeAbstractUI.aspx?menuIndex=3&amp;refID=7062240&amp;Result=3","7062240")</f>
        <v>0</v>
      </c>
      <c r="B3012" t="s">
        <v>536</v>
      </c>
      <c r="C3012" t="s">
        <v>6443</v>
      </c>
      <c r="D3012" t="s">
        <v>18786</v>
      </c>
      <c r="E3012" t="s">
        <v>21637</v>
      </c>
      <c r="F3012" t="s">
        <v>32664</v>
      </c>
      <c r="G3012" t="s">
        <v>32671</v>
      </c>
      <c r="H3012" t="s">
        <v>12635</v>
      </c>
      <c r="I3012" t="s">
        <v>32756</v>
      </c>
      <c r="J3012" t="s">
        <v>34759</v>
      </c>
      <c r="K3012" t="s">
        <v>42297</v>
      </c>
      <c r="M3012" t="s">
        <v>43114</v>
      </c>
      <c r="N3012" t="s">
        <v>46569</v>
      </c>
      <c r="O3012" t="s">
        <v>46570</v>
      </c>
      <c r="P3012">
        <v>0</v>
      </c>
      <c r="Q3012">
        <v>1</v>
      </c>
      <c r="R3012" t="s">
        <v>46572</v>
      </c>
      <c r="S3012" t="s">
        <v>46689</v>
      </c>
      <c r="T3012" t="s">
        <v>48268</v>
      </c>
      <c r="U3012" t="s">
        <v>51301</v>
      </c>
      <c r="W3012" t="s">
        <v>43114</v>
      </c>
      <c r="X3012" t="s">
        <v>46573</v>
      </c>
    </row>
    <row r="3013" spans="1:24">
      <c r="A3013">
        <f>HYPERLINK("https://www.philgeps.gov.ph/GEPSNONPILOT/Tender/SplashBidNoticeAbstractUI.aspx?menuIndex=3&amp;refID=7062248&amp;Result=3","7062248")</f>
        <v>0</v>
      </c>
      <c r="B3013" t="s">
        <v>1189</v>
      </c>
      <c r="C3013" t="s">
        <v>6444</v>
      </c>
      <c r="D3013" t="s">
        <v>18793</v>
      </c>
      <c r="E3013" t="s">
        <v>21638</v>
      </c>
      <c r="F3013" t="s">
        <v>32664</v>
      </c>
      <c r="G3013" t="s">
        <v>32672</v>
      </c>
      <c r="H3013" t="s">
        <v>12635</v>
      </c>
      <c r="I3013" t="s">
        <v>9486</v>
      </c>
      <c r="J3013" t="s">
        <v>34873</v>
      </c>
      <c r="K3013" t="s">
        <v>42303</v>
      </c>
      <c r="M3013" t="s">
        <v>43825</v>
      </c>
      <c r="N3013" t="s">
        <v>46569</v>
      </c>
      <c r="O3013" t="s">
        <v>46570</v>
      </c>
      <c r="P3013">
        <v>0</v>
      </c>
      <c r="Q3013">
        <v>0</v>
      </c>
      <c r="R3013" t="s">
        <v>46572</v>
      </c>
      <c r="S3013" t="s">
        <v>46689</v>
      </c>
      <c r="T3013" t="s">
        <v>48349</v>
      </c>
      <c r="U3013" t="s">
        <v>51302</v>
      </c>
      <c r="W3013" t="s">
        <v>43825</v>
      </c>
      <c r="X3013" t="s">
        <v>46573</v>
      </c>
    </row>
    <row r="3014" spans="1:24">
      <c r="A3014">
        <f>HYPERLINK("https://www.philgeps.gov.ph/GEPSNONPILOT/Tender/SplashBidNoticeAbstractUI.aspx?menuIndex=3&amp;refID=7062246&amp;Result=3","7062246")</f>
        <v>0</v>
      </c>
      <c r="B3014" t="s">
        <v>1184</v>
      </c>
      <c r="C3014" t="s">
        <v>6445</v>
      </c>
      <c r="D3014" t="s">
        <v>18829</v>
      </c>
      <c r="E3014" t="s">
        <v>21639</v>
      </c>
      <c r="F3014" t="s">
        <v>32664</v>
      </c>
      <c r="G3014" t="s">
        <v>32671</v>
      </c>
      <c r="H3014" t="s">
        <v>12635</v>
      </c>
      <c r="I3014" t="s">
        <v>10361</v>
      </c>
      <c r="J3014" t="s">
        <v>34874</v>
      </c>
      <c r="K3014" t="s">
        <v>42284</v>
      </c>
      <c r="M3014" t="s">
        <v>43820</v>
      </c>
      <c r="N3014" t="s">
        <v>46569</v>
      </c>
      <c r="O3014" t="s">
        <v>46570</v>
      </c>
      <c r="P3014">
        <v>0</v>
      </c>
      <c r="Q3014">
        <v>0</v>
      </c>
      <c r="R3014" t="s">
        <v>46572</v>
      </c>
      <c r="S3014" t="s">
        <v>46689</v>
      </c>
      <c r="T3014" t="s">
        <v>48296</v>
      </c>
      <c r="U3014" t="s">
        <v>51292</v>
      </c>
      <c r="W3014" t="s">
        <v>43820</v>
      </c>
      <c r="X3014" t="s">
        <v>46573</v>
      </c>
    </row>
    <row r="3015" spans="1:24">
      <c r="A3015">
        <f>HYPERLINK("https://www.philgeps.gov.ph/GEPSNONPILOT/Tender/SplashBidNoticeAbstractUI.aspx?menuIndex=3&amp;refID=7062238&amp;Result=3","7062238")</f>
        <v>0</v>
      </c>
      <c r="B3015" t="s">
        <v>1190</v>
      </c>
      <c r="C3015" t="s">
        <v>6446</v>
      </c>
      <c r="D3015" t="s">
        <v>18855</v>
      </c>
      <c r="E3015" t="s">
        <v>21640</v>
      </c>
      <c r="F3015" t="s">
        <v>32664</v>
      </c>
      <c r="G3015" t="s">
        <v>32672</v>
      </c>
      <c r="H3015" t="s">
        <v>12635</v>
      </c>
      <c r="I3015" t="s">
        <v>6168</v>
      </c>
      <c r="J3015" t="s">
        <v>34875</v>
      </c>
      <c r="K3015" t="s">
        <v>42281</v>
      </c>
      <c r="M3015" t="s">
        <v>43826</v>
      </c>
      <c r="N3015" t="s">
        <v>46569</v>
      </c>
      <c r="O3015" t="s">
        <v>46570</v>
      </c>
      <c r="Q3015">
        <v>1</v>
      </c>
      <c r="R3015" t="s">
        <v>46572</v>
      </c>
      <c r="S3015" t="s">
        <v>46698</v>
      </c>
      <c r="T3015" t="s">
        <v>48312</v>
      </c>
      <c r="U3015" t="s">
        <v>51303</v>
      </c>
      <c r="W3015" t="s">
        <v>43826</v>
      </c>
      <c r="X3015" t="s">
        <v>46573</v>
      </c>
    </row>
    <row r="3016" spans="1:24">
      <c r="A3016">
        <f>HYPERLINK("https://www.philgeps.gov.ph/GEPSNONPILOT/Tender/SplashBidNoticeAbstractUI.aspx?menuIndex=3&amp;refID=7062191&amp;Result=3","7062191")</f>
        <v>0</v>
      </c>
      <c r="B3016" t="s">
        <v>1183</v>
      </c>
      <c r="C3016" t="s">
        <v>6447</v>
      </c>
      <c r="D3016" t="s">
        <v>18788</v>
      </c>
      <c r="E3016" t="s">
        <v>21641</v>
      </c>
      <c r="F3016" t="s">
        <v>32664</v>
      </c>
      <c r="G3016" t="s">
        <v>32677</v>
      </c>
      <c r="H3016" t="s">
        <v>32683</v>
      </c>
      <c r="I3016" t="s">
        <v>10627</v>
      </c>
      <c r="J3016" t="s">
        <v>32929</v>
      </c>
      <c r="K3016" t="s">
        <v>42290</v>
      </c>
      <c r="M3016" t="s">
        <v>43819</v>
      </c>
      <c r="N3016" t="s">
        <v>46569</v>
      </c>
      <c r="O3016" t="s">
        <v>46570</v>
      </c>
      <c r="P3016">
        <v>0</v>
      </c>
      <c r="Q3016">
        <v>0</v>
      </c>
      <c r="R3016" t="s">
        <v>46572</v>
      </c>
      <c r="S3016" t="s">
        <v>46689</v>
      </c>
      <c r="T3016" t="s">
        <v>48258</v>
      </c>
      <c r="U3016" t="s">
        <v>51304</v>
      </c>
      <c r="W3016" t="s">
        <v>43819</v>
      </c>
      <c r="X3016" t="s">
        <v>46573</v>
      </c>
    </row>
    <row r="3017" spans="1:24">
      <c r="A3017">
        <f>HYPERLINK("https://www.philgeps.gov.ph/GEPSNONPILOT/Tender/SplashBidNoticeAbstractUI.aspx?menuIndex=3&amp;refID=7062236&amp;Result=3","7062236")</f>
        <v>0</v>
      </c>
      <c r="B3017" t="s">
        <v>243</v>
      </c>
      <c r="C3017" t="s">
        <v>6448</v>
      </c>
      <c r="D3017" t="s">
        <v>18841</v>
      </c>
      <c r="E3017" t="s">
        <v>21642</v>
      </c>
      <c r="F3017" t="s">
        <v>32664</v>
      </c>
      <c r="G3017" t="s">
        <v>32671</v>
      </c>
      <c r="H3017" t="s">
        <v>12635</v>
      </c>
      <c r="I3017" t="s">
        <v>32706</v>
      </c>
      <c r="J3017" t="s">
        <v>34876</v>
      </c>
      <c r="K3017" t="s">
        <v>42284</v>
      </c>
      <c r="L3017" t="s">
        <v>243</v>
      </c>
      <c r="M3017" t="s">
        <v>42808</v>
      </c>
      <c r="N3017" t="s">
        <v>46569</v>
      </c>
      <c r="O3017" t="s">
        <v>46570</v>
      </c>
      <c r="P3017">
        <v>0</v>
      </c>
      <c r="Q3017">
        <v>0</v>
      </c>
      <c r="R3017" t="s">
        <v>46572</v>
      </c>
      <c r="S3017" t="s">
        <v>46689</v>
      </c>
      <c r="T3017" t="s">
        <v>48314</v>
      </c>
      <c r="U3017" t="s">
        <v>51305</v>
      </c>
      <c r="V3017" t="s">
        <v>61675</v>
      </c>
      <c r="W3017" t="s">
        <v>42808</v>
      </c>
      <c r="X3017" t="s">
        <v>46573</v>
      </c>
    </row>
    <row r="3018" spans="1:24">
      <c r="A3018">
        <f>HYPERLINK("https://www.philgeps.gov.ph/GEPSNONPILOT/Tender/SplashBidNoticeAbstractUI.aspx?menuIndex=3&amp;refID=7062233&amp;Result=3","7062233")</f>
        <v>0</v>
      </c>
      <c r="B3018" t="s">
        <v>1191</v>
      </c>
      <c r="C3018" t="s">
        <v>6449</v>
      </c>
      <c r="D3018" t="s">
        <v>18831</v>
      </c>
      <c r="E3018" t="s">
        <v>21643</v>
      </c>
      <c r="F3018" t="s">
        <v>32664</v>
      </c>
      <c r="G3018" t="s">
        <v>32672</v>
      </c>
      <c r="H3018" t="s">
        <v>12635</v>
      </c>
      <c r="I3018" t="s">
        <v>8797</v>
      </c>
      <c r="J3018" t="s">
        <v>34877</v>
      </c>
      <c r="K3018" t="s">
        <v>42289</v>
      </c>
      <c r="M3018" t="s">
        <v>43827</v>
      </c>
      <c r="N3018" t="s">
        <v>46569</v>
      </c>
      <c r="O3018" t="s">
        <v>46570</v>
      </c>
      <c r="P3018">
        <v>0</v>
      </c>
      <c r="Q3018">
        <v>3</v>
      </c>
      <c r="R3018" t="s">
        <v>46572</v>
      </c>
      <c r="S3018" t="s">
        <v>46689</v>
      </c>
      <c r="T3018" t="s">
        <v>48349</v>
      </c>
      <c r="U3018" t="s">
        <v>51306</v>
      </c>
      <c r="W3018" t="s">
        <v>43827</v>
      </c>
      <c r="X3018" t="s">
        <v>46573</v>
      </c>
    </row>
    <row r="3019" spans="1:24">
      <c r="A3019">
        <f>HYPERLINK("https://www.philgeps.gov.ph/GEPSNONPILOT/Tender/SplashBidNoticeAbstractUI.aspx?menuIndex=3&amp;refID=7062230&amp;Result=3","7062230")</f>
        <v>0</v>
      </c>
      <c r="B3019" t="s">
        <v>1192</v>
      </c>
      <c r="C3019" t="s">
        <v>6450</v>
      </c>
      <c r="D3019" t="s">
        <v>18824</v>
      </c>
      <c r="E3019" t="s">
        <v>21644</v>
      </c>
      <c r="F3019" t="s">
        <v>32664</v>
      </c>
      <c r="G3019" t="s">
        <v>32671</v>
      </c>
      <c r="H3019" t="s">
        <v>12635</v>
      </c>
      <c r="I3019" t="s">
        <v>10627</v>
      </c>
      <c r="J3019" t="s">
        <v>34878</v>
      </c>
      <c r="K3019" t="s">
        <v>42298</v>
      </c>
      <c r="M3019" t="s">
        <v>43828</v>
      </c>
      <c r="N3019" t="s">
        <v>46569</v>
      </c>
      <c r="O3019" t="s">
        <v>46570</v>
      </c>
      <c r="P3019">
        <v>0</v>
      </c>
      <c r="Q3019">
        <v>0</v>
      </c>
      <c r="R3019" t="s">
        <v>46572</v>
      </c>
      <c r="S3019" t="s">
        <v>46689</v>
      </c>
      <c r="T3019" t="s">
        <v>48285</v>
      </c>
      <c r="U3019" t="s">
        <v>51307</v>
      </c>
      <c r="W3019" t="s">
        <v>43828</v>
      </c>
      <c r="X3019" t="s">
        <v>46573</v>
      </c>
    </row>
    <row r="3020" spans="1:24">
      <c r="A3020">
        <f>HYPERLINK("https://www.philgeps.gov.ph/GEPSNONPILOT/Tender/SplashBidNoticeAbstractUI.aspx?menuIndex=3&amp;refID=7062229&amp;Result=3","7062229")</f>
        <v>0</v>
      </c>
      <c r="B3020" t="s">
        <v>1193</v>
      </c>
      <c r="C3020" t="s">
        <v>6451</v>
      </c>
      <c r="D3020" t="s">
        <v>18838</v>
      </c>
      <c r="E3020" t="s">
        <v>21645</v>
      </c>
      <c r="F3020" t="s">
        <v>32664</v>
      </c>
      <c r="G3020" t="s">
        <v>32672</v>
      </c>
      <c r="H3020" t="s">
        <v>12635</v>
      </c>
      <c r="I3020" t="s">
        <v>4439</v>
      </c>
      <c r="J3020" t="s">
        <v>34879</v>
      </c>
      <c r="K3020" t="s">
        <v>42330</v>
      </c>
      <c r="M3020" t="s">
        <v>43829</v>
      </c>
      <c r="N3020" t="s">
        <v>46569</v>
      </c>
      <c r="O3020" t="s">
        <v>46570</v>
      </c>
      <c r="P3020">
        <v>0</v>
      </c>
      <c r="Q3020">
        <v>1</v>
      </c>
      <c r="R3020" t="s">
        <v>46572</v>
      </c>
      <c r="S3020" t="s">
        <v>46689</v>
      </c>
      <c r="T3020" t="s">
        <v>48276</v>
      </c>
      <c r="U3020" t="s">
        <v>51308</v>
      </c>
      <c r="W3020" t="s">
        <v>43829</v>
      </c>
      <c r="X3020" t="s">
        <v>46573</v>
      </c>
    </row>
    <row r="3021" spans="1:24">
      <c r="A3021">
        <f>HYPERLINK("https://www.philgeps.gov.ph/GEPSNONPILOT/Tender/SplashBidNoticeAbstractUI.aspx?menuIndex=3&amp;refID=7062228&amp;Result=3","7062228")</f>
        <v>0</v>
      </c>
      <c r="B3021" t="s">
        <v>341</v>
      </c>
      <c r="C3021" t="s">
        <v>6452</v>
      </c>
      <c r="D3021" t="s">
        <v>18841</v>
      </c>
      <c r="E3021" t="s">
        <v>21646</v>
      </c>
      <c r="F3021" t="s">
        <v>32664</v>
      </c>
      <c r="G3021" t="s">
        <v>32672</v>
      </c>
      <c r="H3021" t="s">
        <v>12635</v>
      </c>
      <c r="I3021" t="s">
        <v>32706</v>
      </c>
      <c r="J3021" t="s">
        <v>34880</v>
      </c>
      <c r="K3021" t="s">
        <v>42283</v>
      </c>
      <c r="M3021" t="s">
        <v>42910</v>
      </c>
      <c r="N3021" t="s">
        <v>46569</v>
      </c>
      <c r="O3021" t="s">
        <v>46570</v>
      </c>
      <c r="P3021">
        <v>0</v>
      </c>
      <c r="Q3021">
        <v>0</v>
      </c>
      <c r="R3021" t="s">
        <v>46572</v>
      </c>
      <c r="S3021" t="s">
        <v>46689</v>
      </c>
      <c r="T3021" t="s">
        <v>48349</v>
      </c>
      <c r="U3021" t="s">
        <v>51309</v>
      </c>
      <c r="V3021" t="s">
        <v>61911</v>
      </c>
      <c r="W3021" t="s">
        <v>42910</v>
      </c>
      <c r="X3021" t="s">
        <v>46573</v>
      </c>
    </row>
    <row r="3022" spans="1:24">
      <c r="A3022">
        <f>HYPERLINK("https://www.philgeps.gov.ph/GEPSNONPILOT/Tender/SplashBidNoticeAbstractUI.aspx?menuIndex=3&amp;refID=7062211&amp;Result=3","7062211")</f>
        <v>0</v>
      </c>
      <c r="B3022" t="s">
        <v>1194</v>
      </c>
      <c r="C3022" t="s">
        <v>6453</v>
      </c>
      <c r="D3022" t="s">
        <v>18782</v>
      </c>
      <c r="E3022" t="s">
        <v>21647</v>
      </c>
      <c r="F3022" t="s">
        <v>32664</v>
      </c>
      <c r="G3022" t="s">
        <v>32672</v>
      </c>
      <c r="H3022" t="s">
        <v>12635</v>
      </c>
      <c r="I3022" t="s">
        <v>8730</v>
      </c>
      <c r="J3022" t="s">
        <v>34881</v>
      </c>
      <c r="K3022" t="s">
        <v>42283</v>
      </c>
      <c r="M3022" t="s">
        <v>43830</v>
      </c>
      <c r="N3022" t="s">
        <v>46569</v>
      </c>
      <c r="O3022" t="s">
        <v>46570</v>
      </c>
      <c r="P3022">
        <v>0</v>
      </c>
      <c r="Q3022">
        <v>0</v>
      </c>
      <c r="R3022" t="s">
        <v>46572</v>
      </c>
      <c r="S3022" t="s">
        <v>46689</v>
      </c>
      <c r="T3022" t="s">
        <v>48225</v>
      </c>
      <c r="U3022" t="s">
        <v>51310</v>
      </c>
      <c r="W3022" t="s">
        <v>43830</v>
      </c>
      <c r="X3022" t="s">
        <v>46573</v>
      </c>
    </row>
    <row r="3023" spans="1:24">
      <c r="A3023">
        <f>HYPERLINK("https://www.philgeps.gov.ph/GEPSNONPILOT/Tender/SplashBidNoticeAbstractUI.aspx?menuIndex=3&amp;refID=7062232&amp;Result=3","7062232")</f>
        <v>0</v>
      </c>
      <c r="B3023" t="s">
        <v>1183</v>
      </c>
      <c r="C3023" t="s">
        <v>6454</v>
      </c>
      <c r="D3023" t="s">
        <v>18788</v>
      </c>
      <c r="E3023" t="s">
        <v>21648</v>
      </c>
      <c r="F3023" t="s">
        <v>32664</v>
      </c>
      <c r="G3023" t="s">
        <v>32677</v>
      </c>
      <c r="H3023" t="s">
        <v>32683</v>
      </c>
      <c r="I3023" t="s">
        <v>4439</v>
      </c>
      <c r="J3023" t="s">
        <v>34487</v>
      </c>
      <c r="K3023" t="s">
        <v>42311</v>
      </c>
      <c r="M3023" t="s">
        <v>43819</v>
      </c>
      <c r="N3023" t="s">
        <v>46569</v>
      </c>
      <c r="O3023" t="s">
        <v>46570</v>
      </c>
      <c r="P3023">
        <v>0</v>
      </c>
      <c r="Q3023">
        <v>0</v>
      </c>
      <c r="R3023" t="s">
        <v>46572</v>
      </c>
      <c r="S3023" t="s">
        <v>46689</v>
      </c>
      <c r="T3023" t="s">
        <v>48258</v>
      </c>
      <c r="U3023" t="s">
        <v>51288</v>
      </c>
      <c r="W3023" t="s">
        <v>43819</v>
      </c>
      <c r="X3023" t="s">
        <v>46573</v>
      </c>
    </row>
    <row r="3024" spans="1:24">
      <c r="A3024">
        <f>HYPERLINK("https://www.philgeps.gov.ph/GEPSNONPILOT/Tender/SplashBidNoticeAbstractUI.aspx?menuIndex=3&amp;refID=7062237&amp;Result=3","7062237")</f>
        <v>0</v>
      </c>
      <c r="B3024" t="s">
        <v>500</v>
      </c>
      <c r="C3024" t="s">
        <v>6455</v>
      </c>
      <c r="D3024" t="s">
        <v>18805</v>
      </c>
      <c r="E3024" t="s">
        <v>21649</v>
      </c>
      <c r="F3024" t="s">
        <v>32664</v>
      </c>
      <c r="G3024" t="s">
        <v>32672</v>
      </c>
      <c r="H3024" t="s">
        <v>12635</v>
      </c>
      <c r="I3024" t="s">
        <v>11464</v>
      </c>
      <c r="J3024" t="s">
        <v>34882</v>
      </c>
      <c r="K3024" t="s">
        <v>42281</v>
      </c>
      <c r="M3024" t="s">
        <v>43831</v>
      </c>
      <c r="N3024" t="s">
        <v>46569</v>
      </c>
      <c r="O3024" t="s">
        <v>46570</v>
      </c>
      <c r="P3024">
        <v>0</v>
      </c>
      <c r="Q3024">
        <v>3</v>
      </c>
      <c r="R3024" t="s">
        <v>46572</v>
      </c>
      <c r="S3024" t="s">
        <v>46689</v>
      </c>
      <c r="T3024" t="s">
        <v>48349</v>
      </c>
      <c r="U3024" t="s">
        <v>51311</v>
      </c>
      <c r="W3024" t="s">
        <v>43831</v>
      </c>
      <c r="X3024" t="s">
        <v>46573</v>
      </c>
    </row>
    <row r="3025" spans="1:24">
      <c r="A3025">
        <f>HYPERLINK("https://www.philgeps.gov.ph/GEPSNONPILOT/Tender/SplashBidNoticeAbstractUI.aspx?menuIndex=3&amp;refID=7062210&amp;Result=3","7062210")</f>
        <v>0</v>
      </c>
      <c r="B3025" t="s">
        <v>1168</v>
      </c>
      <c r="C3025" t="s">
        <v>6456</v>
      </c>
      <c r="D3025" t="s">
        <v>18856</v>
      </c>
      <c r="E3025" t="s">
        <v>21650</v>
      </c>
      <c r="F3025" t="s">
        <v>32664</v>
      </c>
      <c r="G3025" t="s">
        <v>32672</v>
      </c>
      <c r="H3025" t="s">
        <v>12635</v>
      </c>
      <c r="I3025" t="s">
        <v>8730</v>
      </c>
      <c r="J3025" t="s">
        <v>34883</v>
      </c>
      <c r="K3025" t="s">
        <v>42281</v>
      </c>
      <c r="M3025" t="s">
        <v>43801</v>
      </c>
      <c r="N3025" t="s">
        <v>46569</v>
      </c>
      <c r="O3025" t="s">
        <v>46570</v>
      </c>
      <c r="P3025">
        <v>0</v>
      </c>
      <c r="Q3025">
        <v>1</v>
      </c>
      <c r="R3025" t="s">
        <v>46572</v>
      </c>
      <c r="S3025" t="s">
        <v>46689</v>
      </c>
      <c r="T3025" t="s">
        <v>48405</v>
      </c>
      <c r="U3025" t="s">
        <v>51257</v>
      </c>
      <c r="V3025" t="s">
        <v>61923</v>
      </c>
      <c r="W3025" t="s">
        <v>43801</v>
      </c>
      <c r="X3025" t="s">
        <v>46573</v>
      </c>
    </row>
    <row r="3026" spans="1:24">
      <c r="A3026">
        <f>HYPERLINK("https://www.philgeps.gov.ph/GEPSNONPILOT/Tender/SplashBidNoticeAbstractUI.aspx?menuIndex=3&amp;refID=7062234&amp;Result=3","7062234")</f>
        <v>0</v>
      </c>
      <c r="B3026" t="s">
        <v>1175</v>
      </c>
      <c r="C3026" t="s">
        <v>6457</v>
      </c>
      <c r="D3026" t="s">
        <v>18782</v>
      </c>
      <c r="E3026" t="s">
        <v>19218</v>
      </c>
      <c r="F3026" t="s">
        <v>32665</v>
      </c>
      <c r="G3026" t="s">
        <v>32672</v>
      </c>
      <c r="H3026" t="s">
        <v>12635</v>
      </c>
      <c r="I3026" t="s">
        <v>8797</v>
      </c>
      <c r="J3026" t="s">
        <v>34884</v>
      </c>
      <c r="K3026" t="s">
        <v>42284</v>
      </c>
      <c r="M3026" t="s">
        <v>43809</v>
      </c>
      <c r="N3026" t="s">
        <v>46569</v>
      </c>
      <c r="O3026" t="s">
        <v>46570</v>
      </c>
      <c r="P3026">
        <v>0</v>
      </c>
      <c r="Q3026">
        <v>0</v>
      </c>
      <c r="R3026" t="s">
        <v>46572</v>
      </c>
      <c r="S3026" t="s">
        <v>46689</v>
      </c>
      <c r="T3026" t="s">
        <v>48220</v>
      </c>
      <c r="U3026" t="s">
        <v>51312</v>
      </c>
      <c r="V3026" t="s">
        <v>61917</v>
      </c>
      <c r="W3026" t="s">
        <v>43809</v>
      </c>
      <c r="X3026" t="s">
        <v>46573</v>
      </c>
    </row>
    <row r="3027" spans="1:24">
      <c r="A3027">
        <f>HYPERLINK("https://www.philgeps.gov.ph/GEPSNONPILOT/Tender/SplashBidNoticeAbstractUI.aspx?menuIndex=3&amp;refID=7062207&amp;Result=3","7062207")</f>
        <v>0</v>
      </c>
      <c r="B3027" t="s">
        <v>511</v>
      </c>
      <c r="C3027" t="s">
        <v>6458</v>
      </c>
      <c r="D3027" t="s">
        <v>18801</v>
      </c>
      <c r="E3027" t="s">
        <v>21651</v>
      </c>
      <c r="F3027" t="s">
        <v>32664</v>
      </c>
      <c r="G3027" t="s">
        <v>32672</v>
      </c>
      <c r="H3027" t="s">
        <v>12635</v>
      </c>
      <c r="I3027" t="s">
        <v>32704</v>
      </c>
      <c r="J3027" t="s">
        <v>34885</v>
      </c>
      <c r="K3027" t="s">
        <v>42290</v>
      </c>
      <c r="M3027" t="s">
        <v>43087</v>
      </c>
      <c r="N3027" t="s">
        <v>46569</v>
      </c>
      <c r="O3027" t="s">
        <v>46570</v>
      </c>
      <c r="P3027">
        <v>0</v>
      </c>
      <c r="Q3027">
        <v>38</v>
      </c>
      <c r="R3027" t="s">
        <v>46572</v>
      </c>
      <c r="S3027" t="s">
        <v>46689</v>
      </c>
      <c r="T3027" t="s">
        <v>48220</v>
      </c>
      <c r="U3027" t="s">
        <v>51313</v>
      </c>
      <c r="V3027" t="s">
        <v>61924</v>
      </c>
      <c r="W3027" t="s">
        <v>43087</v>
      </c>
      <c r="X3027" t="s">
        <v>46573</v>
      </c>
    </row>
    <row r="3028" spans="1:24">
      <c r="A3028">
        <f>HYPERLINK("https://www.philgeps.gov.ph/GEPSNONPILOT/Tender/SplashBidNoticeAbstractUI.aspx?menuIndex=3&amp;refID=7062204&amp;Result=3","7062204")</f>
        <v>0</v>
      </c>
      <c r="B3028" t="s">
        <v>1195</v>
      </c>
      <c r="C3028" t="s">
        <v>6459</v>
      </c>
      <c r="D3028" t="s">
        <v>18810</v>
      </c>
      <c r="E3028" t="s">
        <v>21652</v>
      </c>
      <c r="F3028" t="s">
        <v>32664</v>
      </c>
      <c r="G3028" t="s">
        <v>32672</v>
      </c>
      <c r="H3028" t="s">
        <v>32683</v>
      </c>
      <c r="I3028" t="s">
        <v>10627</v>
      </c>
      <c r="J3028" t="s">
        <v>34886</v>
      </c>
      <c r="K3028" t="s">
        <v>42283</v>
      </c>
      <c r="M3028" t="s">
        <v>43832</v>
      </c>
      <c r="N3028" t="s">
        <v>46569</v>
      </c>
      <c r="O3028" t="s">
        <v>46570</v>
      </c>
      <c r="P3028">
        <v>0</v>
      </c>
      <c r="Q3028">
        <v>0</v>
      </c>
      <c r="R3028" t="s">
        <v>46572</v>
      </c>
      <c r="S3028" t="s">
        <v>46689</v>
      </c>
      <c r="T3028" t="s">
        <v>48384</v>
      </c>
      <c r="U3028" t="s">
        <v>51314</v>
      </c>
      <c r="W3028" t="s">
        <v>43832</v>
      </c>
      <c r="X3028" t="s">
        <v>46573</v>
      </c>
    </row>
    <row r="3029" spans="1:24">
      <c r="A3029">
        <f>HYPERLINK("https://www.philgeps.gov.ph/GEPSNONPILOT/Tender/SplashBidNoticeAbstractUI.aspx?menuIndex=3&amp;refID=7062239&amp;Result=3","7062239")</f>
        <v>0</v>
      </c>
      <c r="B3029" t="s">
        <v>594</v>
      </c>
      <c r="C3029" t="s">
        <v>6460</v>
      </c>
      <c r="D3029" t="s">
        <v>18784</v>
      </c>
      <c r="E3029" t="s">
        <v>21653</v>
      </c>
      <c r="F3029" t="s">
        <v>32664</v>
      </c>
      <c r="G3029" t="s">
        <v>32674</v>
      </c>
      <c r="H3029" t="s">
        <v>12635</v>
      </c>
      <c r="I3029" t="s">
        <v>6223</v>
      </c>
      <c r="J3029" t="s">
        <v>34887</v>
      </c>
      <c r="K3029" t="s">
        <v>42297</v>
      </c>
      <c r="M3029" t="s">
        <v>43793</v>
      </c>
      <c r="N3029" t="s">
        <v>46569</v>
      </c>
      <c r="O3029" t="s">
        <v>46570</v>
      </c>
      <c r="P3029">
        <v>0</v>
      </c>
      <c r="Q3029">
        <v>2</v>
      </c>
      <c r="R3029" t="s">
        <v>46572</v>
      </c>
      <c r="S3029" t="s">
        <v>46689</v>
      </c>
      <c r="T3029" t="s">
        <v>48461</v>
      </c>
      <c r="U3029" t="s">
        <v>51315</v>
      </c>
      <c r="V3029" t="s">
        <v>61909</v>
      </c>
      <c r="W3029" t="s">
        <v>43793</v>
      </c>
      <c r="X3029" t="s">
        <v>46573</v>
      </c>
    </row>
    <row r="3030" spans="1:24">
      <c r="A3030">
        <f>HYPERLINK("https://www.philgeps.gov.ph/GEPSNONPILOT/Tender/SplashBidNoticeAbstractUI.aspx?menuIndex=3&amp;refID=7062184&amp;Result=3","7062184")</f>
        <v>0</v>
      </c>
      <c r="B3030" t="s">
        <v>594</v>
      </c>
      <c r="C3030" t="s">
        <v>6461</v>
      </c>
      <c r="D3030" t="s">
        <v>18784</v>
      </c>
      <c r="E3030" t="s">
        <v>21654</v>
      </c>
      <c r="F3030" t="s">
        <v>32664</v>
      </c>
      <c r="G3030" t="s">
        <v>32674</v>
      </c>
      <c r="H3030" t="s">
        <v>12635</v>
      </c>
      <c r="I3030" t="s">
        <v>6223</v>
      </c>
      <c r="J3030" t="s">
        <v>34888</v>
      </c>
      <c r="K3030" t="s">
        <v>42297</v>
      </c>
      <c r="M3030" t="s">
        <v>43793</v>
      </c>
      <c r="N3030" t="s">
        <v>46569</v>
      </c>
      <c r="O3030" t="s">
        <v>46570</v>
      </c>
      <c r="P3030">
        <v>0</v>
      </c>
      <c r="Q3030">
        <v>1</v>
      </c>
      <c r="R3030" t="s">
        <v>46572</v>
      </c>
      <c r="S3030" t="s">
        <v>46689</v>
      </c>
      <c r="T3030" t="s">
        <v>48461</v>
      </c>
      <c r="U3030" t="s">
        <v>51316</v>
      </c>
      <c r="V3030" t="s">
        <v>61909</v>
      </c>
      <c r="W3030" t="s">
        <v>43793</v>
      </c>
      <c r="X3030" t="s">
        <v>46573</v>
      </c>
    </row>
    <row r="3031" spans="1:24">
      <c r="A3031">
        <f>HYPERLINK("https://www.philgeps.gov.ph/GEPSNONPILOT/Tender/SplashBidNoticeAbstractUI.aspx?menuIndex=3&amp;refID=7062183&amp;Result=3","7062183")</f>
        <v>0</v>
      </c>
      <c r="B3031" t="s">
        <v>1147</v>
      </c>
      <c r="C3031" t="s">
        <v>6462</v>
      </c>
      <c r="D3031" t="s">
        <v>18835</v>
      </c>
      <c r="E3031" t="s">
        <v>21655</v>
      </c>
      <c r="F3031" t="s">
        <v>32664</v>
      </c>
      <c r="G3031" t="s">
        <v>32672</v>
      </c>
      <c r="H3031" t="s">
        <v>32683</v>
      </c>
      <c r="I3031" t="s">
        <v>4439</v>
      </c>
      <c r="J3031" t="s">
        <v>34889</v>
      </c>
      <c r="K3031" t="s">
        <v>42289</v>
      </c>
      <c r="M3031" t="s">
        <v>43778</v>
      </c>
      <c r="N3031" t="s">
        <v>46569</v>
      </c>
      <c r="O3031" t="s">
        <v>46570</v>
      </c>
      <c r="P3031">
        <v>0</v>
      </c>
      <c r="Q3031">
        <v>0</v>
      </c>
      <c r="R3031" t="s">
        <v>46572</v>
      </c>
      <c r="S3031" t="s">
        <v>46689</v>
      </c>
      <c r="T3031" t="s">
        <v>48304</v>
      </c>
      <c r="U3031" t="s">
        <v>51317</v>
      </c>
      <c r="W3031" t="s">
        <v>43778</v>
      </c>
      <c r="X3031" t="s">
        <v>46573</v>
      </c>
    </row>
    <row r="3032" spans="1:24">
      <c r="A3032">
        <f>HYPERLINK("https://www.philgeps.gov.ph/GEPSNONPILOT/Tender/SplashBidNoticeAbstractUI.aspx?menuIndex=3&amp;refID=7062205&amp;Result=3","7062205")</f>
        <v>0</v>
      </c>
      <c r="B3032" t="s">
        <v>1183</v>
      </c>
      <c r="C3032" t="s">
        <v>6463</v>
      </c>
      <c r="D3032" t="s">
        <v>18788</v>
      </c>
      <c r="E3032" t="s">
        <v>21656</v>
      </c>
      <c r="F3032" t="s">
        <v>32664</v>
      </c>
      <c r="G3032" t="s">
        <v>32677</v>
      </c>
      <c r="H3032" t="s">
        <v>32683</v>
      </c>
      <c r="I3032" t="s">
        <v>4439</v>
      </c>
      <c r="J3032" t="s">
        <v>33267</v>
      </c>
      <c r="K3032" t="s">
        <v>42290</v>
      </c>
      <c r="M3032" t="s">
        <v>43819</v>
      </c>
      <c r="N3032" t="s">
        <v>46569</v>
      </c>
      <c r="O3032" t="s">
        <v>46570</v>
      </c>
      <c r="P3032">
        <v>0</v>
      </c>
      <c r="Q3032">
        <v>0</v>
      </c>
      <c r="R3032" t="s">
        <v>46572</v>
      </c>
      <c r="S3032" t="s">
        <v>46689</v>
      </c>
      <c r="T3032" t="s">
        <v>48258</v>
      </c>
      <c r="U3032" t="s">
        <v>51318</v>
      </c>
      <c r="W3032" t="s">
        <v>43819</v>
      </c>
      <c r="X3032" t="s">
        <v>46573</v>
      </c>
    </row>
    <row r="3033" spans="1:24">
      <c r="A3033">
        <f>HYPERLINK("https://www.philgeps.gov.ph/GEPSNONPILOT/Tender/SplashBidNoticeAbstractUI.aspx?menuIndex=3&amp;refID=7062242&amp;Result=3","7062242")</f>
        <v>0</v>
      </c>
      <c r="B3033" t="s">
        <v>1185</v>
      </c>
      <c r="C3033" t="s">
        <v>6464</v>
      </c>
      <c r="D3033" t="s">
        <v>18807</v>
      </c>
      <c r="E3033" t="s">
        <v>21657</v>
      </c>
      <c r="F3033" t="s">
        <v>32664</v>
      </c>
      <c r="G3033" t="s">
        <v>32672</v>
      </c>
      <c r="H3033" t="s">
        <v>12635</v>
      </c>
      <c r="I3033" t="s">
        <v>10361</v>
      </c>
      <c r="J3033" t="s">
        <v>34355</v>
      </c>
      <c r="K3033" t="s">
        <v>42297</v>
      </c>
      <c r="M3033" t="s">
        <v>43821</v>
      </c>
      <c r="N3033" t="s">
        <v>46569</v>
      </c>
      <c r="O3033" t="s">
        <v>46570</v>
      </c>
      <c r="P3033">
        <v>0</v>
      </c>
      <c r="Q3033">
        <v>0</v>
      </c>
      <c r="R3033" t="s">
        <v>46572</v>
      </c>
      <c r="S3033" t="s">
        <v>46689</v>
      </c>
      <c r="T3033" t="s">
        <v>48230</v>
      </c>
      <c r="U3033" t="s">
        <v>51319</v>
      </c>
      <c r="W3033" t="s">
        <v>43821</v>
      </c>
      <c r="X3033" t="s">
        <v>46573</v>
      </c>
    </row>
    <row r="3034" spans="1:24">
      <c r="A3034">
        <f>HYPERLINK("https://www.philgeps.gov.ph/GEPSNONPILOT/Tender/SplashBidNoticeAbstractUI.aspx?menuIndex=3&amp;refID=7062182&amp;Result=3","7062182")</f>
        <v>0</v>
      </c>
      <c r="B3034" t="s">
        <v>516</v>
      </c>
      <c r="C3034" t="s">
        <v>6465</v>
      </c>
      <c r="D3034" t="s">
        <v>18804</v>
      </c>
      <c r="E3034" t="s">
        <v>21658</v>
      </c>
      <c r="F3034" t="s">
        <v>32664</v>
      </c>
      <c r="G3034" t="s">
        <v>32672</v>
      </c>
      <c r="H3034" t="s">
        <v>32683</v>
      </c>
      <c r="I3034" t="s">
        <v>10627</v>
      </c>
      <c r="J3034" t="s">
        <v>33128</v>
      </c>
      <c r="K3034" t="s">
        <v>42305</v>
      </c>
      <c r="M3034" t="s">
        <v>43092</v>
      </c>
      <c r="N3034" t="s">
        <v>46569</v>
      </c>
      <c r="O3034" t="s">
        <v>46570</v>
      </c>
      <c r="P3034">
        <v>0</v>
      </c>
      <c r="Q3034">
        <v>0</v>
      </c>
      <c r="R3034" t="s">
        <v>46572</v>
      </c>
      <c r="S3034" t="s">
        <v>46689</v>
      </c>
      <c r="T3034" t="s">
        <v>48220</v>
      </c>
      <c r="U3034" t="s">
        <v>51320</v>
      </c>
      <c r="W3034" t="s">
        <v>43092</v>
      </c>
      <c r="X3034" t="s">
        <v>46573</v>
      </c>
    </row>
    <row r="3035" spans="1:24">
      <c r="A3035">
        <f>HYPERLINK("https://www.philgeps.gov.ph/GEPSNONPILOT/Tender/SplashBidNoticeAbstractUI.aspx?menuIndex=3&amp;refID=7062181&amp;Result=3","7062181")</f>
        <v>0</v>
      </c>
      <c r="B3035" t="s">
        <v>1196</v>
      </c>
      <c r="C3035" t="s">
        <v>6466</v>
      </c>
      <c r="E3035" t="s">
        <v>19380</v>
      </c>
      <c r="F3035" t="s">
        <v>32664</v>
      </c>
      <c r="G3035" t="s">
        <v>32672</v>
      </c>
      <c r="H3035" t="s">
        <v>12635</v>
      </c>
      <c r="I3035" t="s">
        <v>32716</v>
      </c>
      <c r="J3035" t="s">
        <v>33051</v>
      </c>
      <c r="K3035" t="s">
        <v>42283</v>
      </c>
      <c r="M3035" t="s">
        <v>43833</v>
      </c>
      <c r="N3035" t="s">
        <v>46569</v>
      </c>
      <c r="O3035" t="s">
        <v>46570</v>
      </c>
      <c r="P3035">
        <v>0</v>
      </c>
      <c r="Q3035">
        <v>0</v>
      </c>
      <c r="R3035" t="s">
        <v>46572</v>
      </c>
      <c r="S3035" t="s">
        <v>46689</v>
      </c>
      <c r="T3035" t="s">
        <v>48469</v>
      </c>
      <c r="U3035" t="s">
        <v>51321</v>
      </c>
      <c r="W3035" t="s">
        <v>43833</v>
      </c>
      <c r="X3035" t="s">
        <v>46573</v>
      </c>
    </row>
    <row r="3036" spans="1:24">
      <c r="A3036">
        <f>HYPERLINK("https://www.philgeps.gov.ph/GEPSNONPILOT/Tender/SplashBidNoticeAbstractUI.aspx?menuIndex=3&amp;refID=7062155&amp;Result=3","7062155")</f>
        <v>0</v>
      </c>
      <c r="B3036" t="s">
        <v>935</v>
      </c>
      <c r="C3036" t="s">
        <v>6467</v>
      </c>
      <c r="D3036" t="s">
        <v>18781</v>
      </c>
      <c r="E3036" t="s">
        <v>21659</v>
      </c>
      <c r="F3036" t="s">
        <v>32664</v>
      </c>
      <c r="G3036" t="s">
        <v>32671</v>
      </c>
      <c r="H3036" t="s">
        <v>12635</v>
      </c>
      <c r="I3036" t="s">
        <v>10590</v>
      </c>
      <c r="J3036" t="s">
        <v>34890</v>
      </c>
      <c r="K3036" t="s">
        <v>42283</v>
      </c>
      <c r="M3036" t="s">
        <v>43541</v>
      </c>
      <c r="N3036" t="s">
        <v>46569</v>
      </c>
      <c r="O3036" t="s">
        <v>46570</v>
      </c>
      <c r="P3036">
        <v>0</v>
      </c>
      <c r="Q3036">
        <v>0</v>
      </c>
      <c r="R3036" t="s">
        <v>46572</v>
      </c>
      <c r="S3036" t="s">
        <v>46689</v>
      </c>
      <c r="T3036" t="s">
        <v>48219</v>
      </c>
      <c r="U3036" t="s">
        <v>51322</v>
      </c>
      <c r="W3036" t="s">
        <v>43541</v>
      </c>
      <c r="X3036" t="s">
        <v>46573</v>
      </c>
    </row>
    <row r="3037" spans="1:24">
      <c r="A3037">
        <f>HYPERLINK("https://www.philgeps.gov.ph/GEPSNONPILOT/Tender/SplashBidNoticeAbstractUI.aspx?menuIndex=3&amp;refID=7062151&amp;Result=3","7062151")</f>
        <v>0</v>
      </c>
      <c r="B3037" t="s">
        <v>794</v>
      </c>
      <c r="C3037" t="s">
        <v>6468</v>
      </c>
      <c r="D3037" t="s">
        <v>18806</v>
      </c>
      <c r="E3037" t="s">
        <v>21660</v>
      </c>
      <c r="F3037" t="s">
        <v>32664</v>
      </c>
      <c r="G3037" t="s">
        <v>32671</v>
      </c>
      <c r="H3037" t="s">
        <v>12635</v>
      </c>
      <c r="I3037" t="s">
        <v>32685</v>
      </c>
      <c r="J3037" t="s">
        <v>33974</v>
      </c>
      <c r="K3037" t="s">
        <v>42289</v>
      </c>
      <c r="M3037" t="s">
        <v>43386</v>
      </c>
      <c r="N3037" t="s">
        <v>46569</v>
      </c>
      <c r="O3037" t="s">
        <v>46570</v>
      </c>
      <c r="P3037">
        <v>0</v>
      </c>
      <c r="Q3037">
        <v>0</v>
      </c>
      <c r="R3037" t="s">
        <v>46572</v>
      </c>
      <c r="S3037" t="s">
        <v>46689</v>
      </c>
      <c r="T3037" t="s">
        <v>48256</v>
      </c>
      <c r="U3037" t="s">
        <v>51323</v>
      </c>
      <c r="W3037" t="s">
        <v>43386</v>
      </c>
      <c r="X3037" t="s">
        <v>46573</v>
      </c>
    </row>
    <row r="3038" spans="1:24">
      <c r="A3038">
        <f>HYPERLINK("https://www.philgeps.gov.ph/GEPSNONPILOT/Tender/SplashBidNoticeAbstractUI.aspx?menuIndex=3&amp;refID=7062178&amp;Result=3","7062178")</f>
        <v>0</v>
      </c>
      <c r="B3038" t="s">
        <v>1197</v>
      </c>
      <c r="C3038" t="s">
        <v>6469</v>
      </c>
      <c r="D3038" t="s">
        <v>18784</v>
      </c>
      <c r="E3038" t="s">
        <v>21661</v>
      </c>
      <c r="F3038" t="s">
        <v>32664</v>
      </c>
      <c r="G3038" t="s">
        <v>32675</v>
      </c>
      <c r="H3038" t="s">
        <v>12635</v>
      </c>
      <c r="I3038" t="s">
        <v>6168</v>
      </c>
      <c r="J3038" t="s">
        <v>34891</v>
      </c>
      <c r="K3038" t="s">
        <v>42284</v>
      </c>
      <c r="M3038" t="s">
        <v>43834</v>
      </c>
      <c r="N3038" t="s">
        <v>46569</v>
      </c>
      <c r="O3038" t="s">
        <v>46570</v>
      </c>
      <c r="P3038">
        <v>0</v>
      </c>
      <c r="Q3038">
        <v>7</v>
      </c>
      <c r="R3038" t="s">
        <v>46572</v>
      </c>
      <c r="S3038" t="s">
        <v>46689</v>
      </c>
      <c r="T3038" t="s">
        <v>48336</v>
      </c>
      <c r="U3038" t="s">
        <v>49518</v>
      </c>
      <c r="W3038" t="s">
        <v>43834</v>
      </c>
      <c r="X3038" t="s">
        <v>46573</v>
      </c>
    </row>
    <row r="3039" spans="1:24">
      <c r="A3039">
        <f>HYPERLINK("https://www.philgeps.gov.ph/GEPSNONPILOT/Tender/SplashBidNoticeAbstractUI.aspx?menuIndex=3&amp;refID=7062149&amp;Result=3","7062149")</f>
        <v>0</v>
      </c>
      <c r="B3039" t="s">
        <v>1198</v>
      </c>
      <c r="C3039" t="s">
        <v>6470</v>
      </c>
      <c r="D3039" t="s">
        <v>18842</v>
      </c>
      <c r="E3039" t="s">
        <v>21662</v>
      </c>
      <c r="F3039" t="s">
        <v>32664</v>
      </c>
      <c r="G3039" t="s">
        <v>32671</v>
      </c>
      <c r="H3039" t="s">
        <v>12635</v>
      </c>
      <c r="I3039" t="s">
        <v>32730</v>
      </c>
      <c r="J3039" t="s">
        <v>34892</v>
      </c>
      <c r="K3039" t="s">
        <v>42347</v>
      </c>
      <c r="M3039" t="s">
        <v>43835</v>
      </c>
      <c r="N3039" t="s">
        <v>46569</v>
      </c>
      <c r="O3039" t="s">
        <v>46570</v>
      </c>
      <c r="P3039">
        <v>0</v>
      </c>
      <c r="Q3039">
        <v>0</v>
      </c>
      <c r="R3039" t="s">
        <v>46572</v>
      </c>
      <c r="S3039" t="s">
        <v>46689</v>
      </c>
      <c r="T3039" t="s">
        <v>48219</v>
      </c>
      <c r="U3039" t="s">
        <v>51324</v>
      </c>
      <c r="W3039" t="s">
        <v>43835</v>
      </c>
      <c r="X3039" t="s">
        <v>46573</v>
      </c>
    </row>
    <row r="3040" spans="1:24">
      <c r="A3040">
        <f>HYPERLINK("https://www.philgeps.gov.ph/GEPSNONPILOT/Tender/SplashBidNoticeAbstractUI.aspx?menuIndex=3&amp;refID=7062209&amp;Result=3","7062209")</f>
        <v>0</v>
      </c>
      <c r="B3040" t="s">
        <v>518</v>
      </c>
      <c r="C3040" t="s">
        <v>6471</v>
      </c>
      <c r="D3040" t="s">
        <v>18814</v>
      </c>
      <c r="E3040" t="s">
        <v>21663</v>
      </c>
      <c r="F3040" t="s">
        <v>32664</v>
      </c>
      <c r="G3040" t="s">
        <v>32671</v>
      </c>
      <c r="H3040" t="s">
        <v>12635</v>
      </c>
      <c r="I3040" t="s">
        <v>7759</v>
      </c>
      <c r="J3040" t="s">
        <v>32842</v>
      </c>
      <c r="K3040" t="s">
        <v>42289</v>
      </c>
      <c r="M3040" t="s">
        <v>43095</v>
      </c>
      <c r="N3040" t="s">
        <v>46569</v>
      </c>
      <c r="O3040" t="s">
        <v>46570</v>
      </c>
      <c r="P3040">
        <v>0</v>
      </c>
      <c r="Q3040">
        <v>2</v>
      </c>
      <c r="R3040" t="s">
        <v>46572</v>
      </c>
      <c r="S3040" t="s">
        <v>46689</v>
      </c>
      <c r="T3040" t="s">
        <v>48244</v>
      </c>
      <c r="U3040" t="s">
        <v>51325</v>
      </c>
      <c r="V3040" t="s">
        <v>61925</v>
      </c>
      <c r="W3040" t="s">
        <v>43095</v>
      </c>
      <c r="X3040" t="s">
        <v>46573</v>
      </c>
    </row>
    <row r="3041" spans="1:24">
      <c r="A3041">
        <f>HYPERLINK("https://www.philgeps.gov.ph/GEPSNONPILOT/Tender/SplashBidNoticeAbstractUI.aspx?menuIndex=3&amp;refID=7062148&amp;Result=3","7062148")</f>
        <v>0</v>
      </c>
      <c r="B3041" t="s">
        <v>1142</v>
      </c>
      <c r="C3041" t="s">
        <v>6472</v>
      </c>
      <c r="D3041" t="s">
        <v>18826</v>
      </c>
      <c r="E3041" t="s">
        <v>21664</v>
      </c>
      <c r="F3041" t="s">
        <v>32664</v>
      </c>
      <c r="G3041" t="s">
        <v>32671</v>
      </c>
      <c r="H3041" t="s">
        <v>12635</v>
      </c>
      <c r="I3041" t="s">
        <v>32685</v>
      </c>
      <c r="J3041" t="s">
        <v>34893</v>
      </c>
      <c r="K3041" t="s">
        <v>42289</v>
      </c>
      <c r="L3041" t="s">
        <v>1142</v>
      </c>
      <c r="M3041" t="s">
        <v>43773</v>
      </c>
      <c r="N3041" t="s">
        <v>46569</v>
      </c>
      <c r="O3041" t="s">
        <v>46570</v>
      </c>
      <c r="P3041">
        <v>0</v>
      </c>
      <c r="Q3041">
        <v>1</v>
      </c>
      <c r="R3041" t="s">
        <v>46572</v>
      </c>
      <c r="S3041" t="s">
        <v>46689</v>
      </c>
      <c r="T3041" t="s">
        <v>48219</v>
      </c>
      <c r="U3041" t="s">
        <v>51326</v>
      </c>
      <c r="W3041" t="s">
        <v>43773</v>
      </c>
      <c r="X3041" t="s">
        <v>46573</v>
      </c>
    </row>
    <row r="3042" spans="1:24">
      <c r="A3042">
        <f>HYPERLINK("https://www.philgeps.gov.ph/GEPSNONPILOT/Tender/SplashBidNoticeAbstractUI.aspx?menuIndex=3&amp;refID=7062126&amp;Result=3","7062126")</f>
        <v>0</v>
      </c>
      <c r="B3042" t="s">
        <v>1199</v>
      </c>
      <c r="C3042" t="s">
        <v>6473</v>
      </c>
      <c r="D3042" t="s">
        <v>18847</v>
      </c>
      <c r="E3042" t="s">
        <v>21665</v>
      </c>
      <c r="F3042" t="s">
        <v>32664</v>
      </c>
      <c r="G3042" t="s">
        <v>32671</v>
      </c>
      <c r="H3042" t="s">
        <v>12635</v>
      </c>
      <c r="I3042" t="s">
        <v>32708</v>
      </c>
      <c r="J3042" t="s">
        <v>34894</v>
      </c>
      <c r="K3042" t="s">
        <v>42297</v>
      </c>
      <c r="M3042" t="s">
        <v>43836</v>
      </c>
      <c r="N3042" t="s">
        <v>46569</v>
      </c>
      <c r="O3042" t="s">
        <v>46570</v>
      </c>
      <c r="P3042">
        <v>0</v>
      </c>
      <c r="Q3042">
        <v>8</v>
      </c>
      <c r="R3042" t="s">
        <v>46572</v>
      </c>
      <c r="S3042" t="s">
        <v>46689</v>
      </c>
      <c r="T3042" t="s">
        <v>48246</v>
      </c>
      <c r="U3042" t="s">
        <v>51327</v>
      </c>
      <c r="W3042" t="s">
        <v>43836</v>
      </c>
      <c r="X3042" t="s">
        <v>46573</v>
      </c>
    </row>
    <row r="3043" spans="1:24">
      <c r="A3043">
        <f>HYPERLINK("https://www.philgeps.gov.ph/GEPSNONPILOT/Tender/SplashBidNoticeAbstractUI.aspx?menuIndex=3&amp;refID=7062179&amp;Result=3","7062179")</f>
        <v>0</v>
      </c>
      <c r="B3043" t="s">
        <v>1131</v>
      </c>
      <c r="C3043" t="s">
        <v>6474</v>
      </c>
      <c r="D3043" t="s">
        <v>18847</v>
      </c>
      <c r="E3043" t="s">
        <v>21666</v>
      </c>
      <c r="F3043" t="s">
        <v>32664</v>
      </c>
      <c r="G3043" t="s">
        <v>32674</v>
      </c>
      <c r="H3043" t="s">
        <v>12635</v>
      </c>
      <c r="I3043" t="s">
        <v>6628</v>
      </c>
      <c r="J3043" t="s">
        <v>34895</v>
      </c>
      <c r="K3043" t="s">
        <v>42283</v>
      </c>
      <c r="M3043" t="s">
        <v>43760</v>
      </c>
      <c r="N3043" t="s">
        <v>46569</v>
      </c>
      <c r="O3043" t="s">
        <v>46570</v>
      </c>
      <c r="P3043">
        <v>0</v>
      </c>
      <c r="Q3043">
        <v>0</v>
      </c>
      <c r="R3043" t="s">
        <v>46572</v>
      </c>
      <c r="S3043" t="s">
        <v>46689</v>
      </c>
      <c r="T3043" t="s">
        <v>48316</v>
      </c>
      <c r="U3043" t="s">
        <v>51328</v>
      </c>
      <c r="W3043" t="s">
        <v>43760</v>
      </c>
      <c r="X3043" t="s">
        <v>46573</v>
      </c>
    </row>
    <row r="3044" spans="1:24">
      <c r="A3044">
        <f>HYPERLINK("https://www.philgeps.gov.ph/GEPSNONPILOT/Tender/SplashBidNoticeAbstractUI.aspx?menuIndex=3&amp;refID=7062152&amp;Result=3","7062152")</f>
        <v>0</v>
      </c>
      <c r="B3044" t="s">
        <v>1200</v>
      </c>
      <c r="C3044" t="s">
        <v>6475</v>
      </c>
      <c r="D3044" t="s">
        <v>18813</v>
      </c>
      <c r="E3044" t="s">
        <v>21667</v>
      </c>
      <c r="F3044" t="s">
        <v>32664</v>
      </c>
      <c r="G3044" t="s">
        <v>32677</v>
      </c>
      <c r="H3044" t="s">
        <v>12635</v>
      </c>
      <c r="I3044" t="s">
        <v>32701</v>
      </c>
      <c r="J3044" t="s">
        <v>34896</v>
      </c>
      <c r="K3044" t="s">
        <v>42281</v>
      </c>
      <c r="M3044" t="s">
        <v>43837</v>
      </c>
      <c r="N3044" t="s">
        <v>46569</v>
      </c>
      <c r="O3044" t="s">
        <v>46570</v>
      </c>
      <c r="P3044">
        <v>0</v>
      </c>
      <c r="Q3044">
        <v>0</v>
      </c>
      <c r="R3044" t="s">
        <v>46572</v>
      </c>
      <c r="S3044" t="s">
        <v>46689</v>
      </c>
      <c r="T3044" t="s">
        <v>48221</v>
      </c>
      <c r="U3044" t="s">
        <v>51329</v>
      </c>
      <c r="W3044" t="s">
        <v>43837</v>
      </c>
      <c r="X3044" t="s">
        <v>46573</v>
      </c>
    </row>
    <row r="3045" spans="1:24">
      <c r="A3045">
        <f>HYPERLINK("https://www.philgeps.gov.ph/GEPSNONPILOT/Tender/SplashBidNoticeAbstractUI.aspx?menuIndex=3&amp;refID=7062122&amp;Result=3","7062122")</f>
        <v>0</v>
      </c>
      <c r="B3045" t="s">
        <v>1201</v>
      </c>
      <c r="C3045" t="s">
        <v>6476</v>
      </c>
      <c r="D3045" t="s">
        <v>18855</v>
      </c>
      <c r="E3045" t="s">
        <v>19304</v>
      </c>
      <c r="F3045" t="s">
        <v>32664</v>
      </c>
      <c r="G3045" t="s">
        <v>32674</v>
      </c>
      <c r="H3045" t="s">
        <v>12635</v>
      </c>
      <c r="I3045" t="s">
        <v>32685</v>
      </c>
      <c r="J3045" t="s">
        <v>34897</v>
      </c>
      <c r="K3045" t="s">
        <v>42306</v>
      </c>
      <c r="M3045" t="s">
        <v>43838</v>
      </c>
      <c r="N3045" t="s">
        <v>46569</v>
      </c>
      <c r="O3045" t="s">
        <v>46570</v>
      </c>
      <c r="P3045">
        <v>0</v>
      </c>
      <c r="Q3045">
        <v>1</v>
      </c>
      <c r="R3045" t="s">
        <v>46572</v>
      </c>
      <c r="S3045" t="s">
        <v>46689</v>
      </c>
      <c r="T3045" t="s">
        <v>48219</v>
      </c>
      <c r="U3045" t="s">
        <v>51330</v>
      </c>
      <c r="W3045" t="s">
        <v>43838</v>
      </c>
      <c r="X3045" t="s">
        <v>46573</v>
      </c>
    </row>
    <row r="3046" spans="1:24">
      <c r="A3046">
        <f>HYPERLINK("https://www.philgeps.gov.ph/GEPSNONPILOT/Tender/SplashBidNoticeAbstractUI.aspx?menuIndex=3&amp;refID=7061840&amp;Result=3","7061840")</f>
        <v>0</v>
      </c>
      <c r="B3046" t="s">
        <v>184</v>
      </c>
      <c r="C3046" t="s">
        <v>6477</v>
      </c>
      <c r="D3046" t="s">
        <v>18825</v>
      </c>
      <c r="E3046" t="s">
        <v>21668</v>
      </c>
      <c r="F3046" t="s">
        <v>32664</v>
      </c>
      <c r="G3046" t="s">
        <v>32675</v>
      </c>
      <c r="H3046" t="s">
        <v>12635</v>
      </c>
      <c r="I3046" t="s">
        <v>6628</v>
      </c>
      <c r="J3046" t="s">
        <v>33218</v>
      </c>
      <c r="K3046" t="s">
        <v>42284</v>
      </c>
      <c r="M3046" t="s">
        <v>42748</v>
      </c>
      <c r="N3046" t="s">
        <v>46569</v>
      </c>
      <c r="O3046" t="s">
        <v>46570</v>
      </c>
      <c r="P3046">
        <v>0</v>
      </c>
      <c r="Q3046">
        <v>8</v>
      </c>
      <c r="R3046" t="s">
        <v>46572</v>
      </c>
      <c r="S3046" t="s">
        <v>46689</v>
      </c>
      <c r="T3046" t="s">
        <v>48389</v>
      </c>
      <c r="U3046" t="s">
        <v>51331</v>
      </c>
      <c r="W3046" t="s">
        <v>42748</v>
      </c>
      <c r="X3046" t="s">
        <v>46573</v>
      </c>
    </row>
    <row r="3047" spans="1:24">
      <c r="A3047">
        <f>HYPERLINK("https://www.philgeps.gov.ph/GEPSNONPILOT/Tender/SplashBidNoticeAbstractUI.aspx?menuIndex=3&amp;refID=7062276&amp;Result=3","7062276")</f>
        <v>0</v>
      </c>
      <c r="B3047" t="s">
        <v>1202</v>
      </c>
      <c r="C3047" t="s">
        <v>6478</v>
      </c>
      <c r="E3047" t="s">
        <v>21669</v>
      </c>
      <c r="F3047" t="s">
        <v>32664</v>
      </c>
      <c r="G3047" t="s">
        <v>32671</v>
      </c>
      <c r="H3047" t="s">
        <v>12635</v>
      </c>
      <c r="I3047" t="s">
        <v>4333</v>
      </c>
      <c r="J3047" t="s">
        <v>34898</v>
      </c>
      <c r="K3047" t="s">
        <v>42295</v>
      </c>
      <c r="M3047" t="s">
        <v>43839</v>
      </c>
      <c r="N3047" t="s">
        <v>46569</v>
      </c>
      <c r="O3047" t="s">
        <v>46570</v>
      </c>
      <c r="P3047">
        <v>0</v>
      </c>
      <c r="Q3047">
        <v>0</v>
      </c>
      <c r="R3047" t="s">
        <v>46572</v>
      </c>
      <c r="S3047" t="s">
        <v>46689</v>
      </c>
      <c r="T3047" t="s">
        <v>48328</v>
      </c>
      <c r="U3047" t="s">
        <v>51332</v>
      </c>
      <c r="V3047" t="s">
        <v>61926</v>
      </c>
      <c r="W3047" t="s">
        <v>43839</v>
      </c>
      <c r="X3047" t="s">
        <v>46573</v>
      </c>
    </row>
    <row r="3048" spans="1:24">
      <c r="A3048">
        <f>HYPERLINK("https://www.philgeps.gov.ph/GEPSNONPILOT/Tender/SplashBidNoticeAbstractUI.aspx?menuIndex=3&amp;refID=7062124&amp;Result=3","7062124")</f>
        <v>0</v>
      </c>
      <c r="B3048" t="s">
        <v>594</v>
      </c>
      <c r="C3048" t="s">
        <v>6479</v>
      </c>
      <c r="D3048" t="s">
        <v>18784</v>
      </c>
      <c r="E3048" t="s">
        <v>21670</v>
      </c>
      <c r="F3048" t="s">
        <v>32664</v>
      </c>
      <c r="G3048" t="s">
        <v>32674</v>
      </c>
      <c r="H3048" t="s">
        <v>12635</v>
      </c>
      <c r="I3048" t="s">
        <v>9486</v>
      </c>
      <c r="J3048" t="s">
        <v>33863</v>
      </c>
      <c r="K3048" t="s">
        <v>42297</v>
      </c>
      <c r="M3048" t="s">
        <v>43721</v>
      </c>
      <c r="N3048" t="s">
        <v>46569</v>
      </c>
      <c r="O3048" t="s">
        <v>46570</v>
      </c>
      <c r="P3048">
        <v>0</v>
      </c>
      <c r="Q3048">
        <v>2</v>
      </c>
      <c r="R3048" t="s">
        <v>46572</v>
      </c>
      <c r="S3048" t="s">
        <v>46689</v>
      </c>
      <c r="T3048" t="s">
        <v>48461</v>
      </c>
      <c r="U3048" t="s">
        <v>51333</v>
      </c>
      <c r="V3048" t="s">
        <v>61897</v>
      </c>
      <c r="W3048" t="s">
        <v>43721</v>
      </c>
      <c r="X3048" t="s">
        <v>46573</v>
      </c>
    </row>
    <row r="3049" spans="1:24">
      <c r="A3049">
        <f>HYPERLINK("https://www.philgeps.gov.ph/GEPSNONPILOT/Tender/SplashBidNoticeAbstractUI.aspx?menuIndex=3&amp;refID=7062243&amp;Result=3","7062243")</f>
        <v>0</v>
      </c>
      <c r="B3049" t="s">
        <v>794</v>
      </c>
      <c r="C3049" t="s">
        <v>6480</v>
      </c>
      <c r="D3049" t="s">
        <v>18806</v>
      </c>
      <c r="E3049" t="s">
        <v>21671</v>
      </c>
      <c r="F3049" t="s">
        <v>32664</v>
      </c>
      <c r="G3049" t="s">
        <v>32677</v>
      </c>
      <c r="H3049" t="s">
        <v>12635</v>
      </c>
      <c r="I3049" t="s">
        <v>8730</v>
      </c>
      <c r="J3049" t="s">
        <v>34899</v>
      </c>
      <c r="K3049" t="s">
        <v>42297</v>
      </c>
      <c r="M3049" t="s">
        <v>43386</v>
      </c>
      <c r="N3049" t="s">
        <v>46569</v>
      </c>
      <c r="O3049" t="s">
        <v>46570</v>
      </c>
      <c r="P3049">
        <v>0</v>
      </c>
      <c r="Q3049">
        <v>0</v>
      </c>
      <c r="R3049" t="s">
        <v>46572</v>
      </c>
      <c r="S3049" t="s">
        <v>46689</v>
      </c>
      <c r="T3049" t="s">
        <v>48256</v>
      </c>
      <c r="U3049" t="s">
        <v>51334</v>
      </c>
      <c r="W3049" t="s">
        <v>43386</v>
      </c>
      <c r="X3049" t="s">
        <v>46573</v>
      </c>
    </row>
    <row r="3050" spans="1:24">
      <c r="A3050">
        <f>HYPERLINK("https://www.philgeps.gov.ph/GEPSNONPILOT/Tender/SplashBidNoticeAbstractUI.aspx?menuIndex=3&amp;refID=7062272&amp;Result=3","7062272")</f>
        <v>0</v>
      </c>
      <c r="B3050" t="s">
        <v>491</v>
      </c>
      <c r="C3050" t="s">
        <v>6481</v>
      </c>
      <c r="E3050" t="s">
        <v>21672</v>
      </c>
      <c r="F3050" t="s">
        <v>32664</v>
      </c>
      <c r="G3050" t="s">
        <v>32671</v>
      </c>
      <c r="H3050" t="s">
        <v>12635</v>
      </c>
      <c r="I3050" t="s">
        <v>32699</v>
      </c>
      <c r="J3050" t="s">
        <v>33008</v>
      </c>
      <c r="K3050" t="s">
        <v>42283</v>
      </c>
      <c r="M3050" t="s">
        <v>43067</v>
      </c>
      <c r="N3050" t="s">
        <v>46569</v>
      </c>
      <c r="O3050" t="s">
        <v>46570</v>
      </c>
      <c r="P3050">
        <v>0</v>
      </c>
      <c r="Q3050">
        <v>0</v>
      </c>
      <c r="R3050" t="s">
        <v>46572</v>
      </c>
      <c r="S3050" t="s">
        <v>46689</v>
      </c>
      <c r="T3050" t="s">
        <v>48249</v>
      </c>
      <c r="U3050" t="s">
        <v>51335</v>
      </c>
      <c r="W3050" t="s">
        <v>43067</v>
      </c>
      <c r="X3050" t="s">
        <v>46573</v>
      </c>
    </row>
    <row r="3051" spans="1:24">
      <c r="A3051">
        <f>HYPERLINK("https://www.philgeps.gov.ph/GEPSNONPILOT/Tender/SplashBidNoticeAbstractUI.aspx?menuIndex=3&amp;refID=7062125&amp;Result=3","7062125")</f>
        <v>0</v>
      </c>
      <c r="B3051" t="s">
        <v>764</v>
      </c>
      <c r="C3051" t="s">
        <v>6482</v>
      </c>
      <c r="D3051" t="s">
        <v>18791</v>
      </c>
      <c r="E3051" t="s">
        <v>21673</v>
      </c>
      <c r="F3051" t="s">
        <v>32664</v>
      </c>
      <c r="G3051" t="s">
        <v>32675</v>
      </c>
      <c r="H3051" t="s">
        <v>12635</v>
      </c>
      <c r="I3051" t="s">
        <v>8730</v>
      </c>
      <c r="J3051" t="s">
        <v>34900</v>
      </c>
      <c r="K3051" t="s">
        <v>42281</v>
      </c>
      <c r="M3051" t="s">
        <v>43355</v>
      </c>
      <c r="N3051" t="s">
        <v>46569</v>
      </c>
      <c r="O3051" t="s">
        <v>46570</v>
      </c>
      <c r="P3051">
        <v>0</v>
      </c>
      <c r="Q3051">
        <v>6</v>
      </c>
      <c r="R3051" t="s">
        <v>46572</v>
      </c>
      <c r="S3051" t="s">
        <v>46689</v>
      </c>
      <c r="T3051" t="s">
        <v>48293</v>
      </c>
      <c r="U3051" t="s">
        <v>51336</v>
      </c>
      <c r="W3051" t="s">
        <v>43355</v>
      </c>
      <c r="X3051" t="s">
        <v>46573</v>
      </c>
    </row>
    <row r="3052" spans="1:24">
      <c r="A3052">
        <f>HYPERLINK("https://www.philgeps.gov.ph/GEPSNONPILOT/Tender/SplashBidNoticeAbstractUI.aspx?menuIndex=3&amp;refID=7062274&amp;Result=3","7062274")</f>
        <v>0</v>
      </c>
      <c r="B3052" t="s">
        <v>133</v>
      </c>
      <c r="C3052" t="s">
        <v>6483</v>
      </c>
      <c r="D3052" t="s">
        <v>18832</v>
      </c>
      <c r="E3052" t="s">
        <v>21674</v>
      </c>
      <c r="F3052" t="s">
        <v>32664</v>
      </c>
      <c r="G3052" t="s">
        <v>32672</v>
      </c>
      <c r="H3052" t="s">
        <v>32683</v>
      </c>
      <c r="I3052" t="s">
        <v>10627</v>
      </c>
      <c r="J3052" t="s">
        <v>34901</v>
      </c>
      <c r="K3052" t="s">
        <v>42305</v>
      </c>
      <c r="M3052" t="s">
        <v>42697</v>
      </c>
      <c r="N3052" t="s">
        <v>46569</v>
      </c>
      <c r="O3052" t="s">
        <v>46570</v>
      </c>
      <c r="P3052">
        <v>0</v>
      </c>
      <c r="Q3052">
        <v>0</v>
      </c>
      <c r="R3052" t="s">
        <v>46572</v>
      </c>
      <c r="S3052" t="s">
        <v>46689</v>
      </c>
      <c r="T3052" t="s">
        <v>48361</v>
      </c>
      <c r="U3052" t="s">
        <v>51337</v>
      </c>
      <c r="W3052" t="s">
        <v>42697</v>
      </c>
      <c r="X3052" t="s">
        <v>46573</v>
      </c>
    </row>
    <row r="3053" spans="1:24">
      <c r="A3053">
        <f>HYPERLINK("https://www.philgeps.gov.ph/GEPSNONPILOT/Tender/SplashBidNoticeAbstractUI.aspx?menuIndex=3&amp;refID=7062123&amp;Result=3","7062123")</f>
        <v>0</v>
      </c>
      <c r="B3053" t="s">
        <v>1203</v>
      </c>
      <c r="C3053" t="s">
        <v>6484</v>
      </c>
      <c r="D3053" t="s">
        <v>18839</v>
      </c>
      <c r="E3053" t="s">
        <v>21675</v>
      </c>
      <c r="F3053" t="s">
        <v>32664</v>
      </c>
      <c r="G3053" t="s">
        <v>32671</v>
      </c>
      <c r="H3053" t="s">
        <v>12635</v>
      </c>
      <c r="I3053" t="s">
        <v>6223</v>
      </c>
      <c r="J3053" t="s">
        <v>34902</v>
      </c>
      <c r="K3053" t="s">
        <v>42289</v>
      </c>
      <c r="M3053" t="s">
        <v>43840</v>
      </c>
      <c r="N3053" t="s">
        <v>46569</v>
      </c>
      <c r="O3053" t="s">
        <v>46570</v>
      </c>
      <c r="P3053">
        <v>0</v>
      </c>
      <c r="Q3053">
        <v>0</v>
      </c>
      <c r="R3053" t="s">
        <v>46572</v>
      </c>
      <c r="S3053" t="s">
        <v>46689</v>
      </c>
      <c r="T3053" t="s">
        <v>48221</v>
      </c>
      <c r="U3053" t="s">
        <v>51338</v>
      </c>
      <c r="V3053" t="s">
        <v>61927</v>
      </c>
      <c r="W3053" t="s">
        <v>43840</v>
      </c>
      <c r="X3053" t="s">
        <v>46573</v>
      </c>
    </row>
    <row r="3054" spans="1:24">
      <c r="A3054">
        <f>HYPERLINK("https://www.philgeps.gov.ph/GEPSNONPILOT/Tender/SplashBidNoticeAbstractUI.aspx?menuIndex=3&amp;refID=7062273&amp;Result=3","7062273")</f>
        <v>0</v>
      </c>
      <c r="B3054" t="s">
        <v>1187</v>
      </c>
      <c r="C3054" t="s">
        <v>6485</v>
      </c>
      <c r="D3054" t="s">
        <v>18831</v>
      </c>
      <c r="E3054" t="s">
        <v>21676</v>
      </c>
      <c r="F3054" t="s">
        <v>32664</v>
      </c>
      <c r="G3054" t="s">
        <v>32672</v>
      </c>
      <c r="H3054" t="s">
        <v>12635</v>
      </c>
      <c r="I3054" t="s">
        <v>32721</v>
      </c>
      <c r="J3054" t="s">
        <v>34148</v>
      </c>
      <c r="K3054" t="s">
        <v>42283</v>
      </c>
      <c r="M3054" t="s">
        <v>43823</v>
      </c>
      <c r="N3054" t="s">
        <v>46569</v>
      </c>
      <c r="O3054" t="s">
        <v>46570</v>
      </c>
      <c r="P3054">
        <v>0</v>
      </c>
      <c r="Q3054">
        <v>3</v>
      </c>
      <c r="R3054" t="s">
        <v>46572</v>
      </c>
      <c r="S3054" t="s">
        <v>46689</v>
      </c>
      <c r="T3054" t="s">
        <v>48216</v>
      </c>
      <c r="U3054" t="s">
        <v>51339</v>
      </c>
      <c r="V3054" t="s">
        <v>61922</v>
      </c>
      <c r="W3054" t="s">
        <v>43823</v>
      </c>
      <c r="X3054" t="s">
        <v>46573</v>
      </c>
    </row>
    <row r="3055" spans="1:24">
      <c r="A3055">
        <f>HYPERLINK("https://www.philgeps.gov.ph/GEPSNONPILOT/Tender/SplashBidNoticeAbstractUI.aspx?menuIndex=3&amp;refID=7062267&amp;Result=3","7062267")</f>
        <v>0</v>
      </c>
      <c r="B3055" t="s">
        <v>488</v>
      </c>
      <c r="C3055" t="s">
        <v>6486</v>
      </c>
      <c r="D3055" t="s">
        <v>18857</v>
      </c>
      <c r="E3055" t="s">
        <v>21677</v>
      </c>
      <c r="F3055" t="s">
        <v>32664</v>
      </c>
      <c r="G3055" t="s">
        <v>32672</v>
      </c>
      <c r="H3055" t="s">
        <v>32683</v>
      </c>
      <c r="I3055" t="s">
        <v>32688</v>
      </c>
      <c r="J3055" t="s">
        <v>34903</v>
      </c>
      <c r="K3055" t="s">
        <v>42281</v>
      </c>
      <c r="M3055" t="s">
        <v>43064</v>
      </c>
      <c r="N3055" t="s">
        <v>46569</v>
      </c>
      <c r="O3055" t="s">
        <v>46570</v>
      </c>
      <c r="P3055">
        <v>0</v>
      </c>
      <c r="Q3055">
        <v>6</v>
      </c>
      <c r="R3055" t="s">
        <v>46572</v>
      </c>
      <c r="S3055" t="s">
        <v>46689</v>
      </c>
      <c r="T3055" t="s">
        <v>48361</v>
      </c>
      <c r="U3055" t="s">
        <v>51340</v>
      </c>
      <c r="W3055" t="s">
        <v>43064</v>
      </c>
      <c r="X3055" t="s">
        <v>46573</v>
      </c>
    </row>
    <row r="3056" spans="1:24">
      <c r="A3056">
        <f>HYPERLINK("https://www.philgeps.gov.ph/GEPSNONPILOT/Tender/SplashBidNoticeAbstractUI.aspx?menuIndex=3&amp;refID=7062265&amp;Result=3","7062265")</f>
        <v>0</v>
      </c>
      <c r="B3056" t="s">
        <v>1204</v>
      </c>
      <c r="C3056" t="s">
        <v>6487</v>
      </c>
      <c r="E3056" t="s">
        <v>21678</v>
      </c>
      <c r="F3056" t="s">
        <v>32664</v>
      </c>
      <c r="G3056" t="s">
        <v>32674</v>
      </c>
      <c r="H3056" t="s">
        <v>12635</v>
      </c>
      <c r="I3056" t="s">
        <v>32704</v>
      </c>
      <c r="J3056" t="s">
        <v>34904</v>
      </c>
      <c r="K3056" t="s">
        <v>42283</v>
      </c>
      <c r="M3056" t="s">
        <v>43841</v>
      </c>
      <c r="N3056" t="s">
        <v>46569</v>
      </c>
      <c r="O3056" t="s">
        <v>46570</v>
      </c>
      <c r="P3056">
        <v>0</v>
      </c>
      <c r="Q3056">
        <v>13</v>
      </c>
      <c r="R3056" t="s">
        <v>46572</v>
      </c>
      <c r="S3056" t="s">
        <v>46689</v>
      </c>
      <c r="T3056" t="s">
        <v>48254</v>
      </c>
      <c r="U3056" t="s">
        <v>51341</v>
      </c>
      <c r="W3056" t="s">
        <v>43841</v>
      </c>
      <c r="X3056" t="s">
        <v>46573</v>
      </c>
    </row>
    <row r="3057" spans="1:24">
      <c r="A3057">
        <f>HYPERLINK("https://www.philgeps.gov.ph/GEPSNONPILOT/Tender/SplashBidNoticeAbstractUI.aspx?menuIndex=3&amp;refID=7062263&amp;Result=3","7062263")</f>
        <v>0</v>
      </c>
      <c r="B3057" t="s">
        <v>805</v>
      </c>
      <c r="C3057" t="s">
        <v>6488</v>
      </c>
      <c r="D3057" t="s">
        <v>18838</v>
      </c>
      <c r="E3057" t="s">
        <v>21679</v>
      </c>
      <c r="F3057" t="s">
        <v>32664</v>
      </c>
      <c r="G3057" t="s">
        <v>32671</v>
      </c>
      <c r="H3057" t="s">
        <v>12635</v>
      </c>
      <c r="I3057" t="s">
        <v>4205</v>
      </c>
      <c r="J3057" t="s">
        <v>34905</v>
      </c>
      <c r="K3057" t="s">
        <v>42289</v>
      </c>
      <c r="M3057" t="s">
        <v>43397</v>
      </c>
      <c r="N3057" t="s">
        <v>46569</v>
      </c>
      <c r="O3057" t="s">
        <v>46570</v>
      </c>
      <c r="P3057">
        <v>0</v>
      </c>
      <c r="Q3057">
        <v>2</v>
      </c>
      <c r="R3057" t="s">
        <v>46572</v>
      </c>
      <c r="S3057" t="s">
        <v>46689</v>
      </c>
      <c r="T3057" t="s">
        <v>48256</v>
      </c>
      <c r="U3057" t="s">
        <v>51342</v>
      </c>
      <c r="W3057" t="s">
        <v>43397</v>
      </c>
      <c r="X3057" t="s">
        <v>46573</v>
      </c>
    </row>
    <row r="3058" spans="1:24">
      <c r="A3058">
        <f>HYPERLINK("https://www.philgeps.gov.ph/GEPSNONPILOT/Tender/SplashBidNoticeAbstractUI.aspx?menuIndex=3&amp;refID=7062185&amp;Result=3","7062185")</f>
        <v>0</v>
      </c>
      <c r="B3058" t="s">
        <v>1194</v>
      </c>
      <c r="C3058" t="s">
        <v>6489</v>
      </c>
      <c r="D3058" t="s">
        <v>18782</v>
      </c>
      <c r="E3058" t="s">
        <v>21680</v>
      </c>
      <c r="F3058" t="s">
        <v>32664</v>
      </c>
      <c r="G3058" t="s">
        <v>32672</v>
      </c>
      <c r="H3058" t="s">
        <v>12635</v>
      </c>
      <c r="I3058" t="s">
        <v>32706</v>
      </c>
      <c r="J3058" t="s">
        <v>32976</v>
      </c>
      <c r="K3058" t="s">
        <v>42283</v>
      </c>
      <c r="M3058" t="s">
        <v>43830</v>
      </c>
      <c r="N3058" t="s">
        <v>46569</v>
      </c>
      <c r="O3058" t="s">
        <v>46570</v>
      </c>
      <c r="P3058">
        <v>0</v>
      </c>
      <c r="Q3058">
        <v>0</v>
      </c>
      <c r="R3058" t="s">
        <v>46572</v>
      </c>
      <c r="S3058" t="s">
        <v>46689</v>
      </c>
      <c r="T3058" t="s">
        <v>48225</v>
      </c>
      <c r="U3058" t="s">
        <v>51310</v>
      </c>
      <c r="W3058" t="s">
        <v>43830</v>
      </c>
      <c r="X3058" t="s">
        <v>46573</v>
      </c>
    </row>
    <row r="3059" spans="1:24">
      <c r="A3059">
        <f>HYPERLINK("https://www.philgeps.gov.ph/GEPSNONPILOT/Tender/SplashBidNoticeAbstractUI.aspx?menuIndex=3&amp;refID=7062293&amp;Result=3","7062293")</f>
        <v>0</v>
      </c>
      <c r="B3059" t="s">
        <v>491</v>
      </c>
      <c r="C3059" t="s">
        <v>6490</v>
      </c>
      <c r="E3059" t="s">
        <v>21681</v>
      </c>
      <c r="F3059" t="s">
        <v>32664</v>
      </c>
      <c r="G3059" t="s">
        <v>32671</v>
      </c>
      <c r="H3059" t="s">
        <v>32683</v>
      </c>
      <c r="I3059" t="s">
        <v>10627</v>
      </c>
      <c r="J3059" t="s">
        <v>33069</v>
      </c>
      <c r="K3059" t="s">
        <v>42283</v>
      </c>
      <c r="M3059" t="s">
        <v>43067</v>
      </c>
      <c r="N3059" t="s">
        <v>46569</v>
      </c>
      <c r="O3059" t="s">
        <v>46570</v>
      </c>
      <c r="P3059">
        <v>0</v>
      </c>
      <c r="Q3059">
        <v>0</v>
      </c>
      <c r="R3059" t="s">
        <v>46572</v>
      </c>
      <c r="S3059" t="s">
        <v>46689</v>
      </c>
      <c r="T3059" t="s">
        <v>48249</v>
      </c>
      <c r="U3059" t="s">
        <v>51343</v>
      </c>
      <c r="W3059" t="s">
        <v>43067</v>
      </c>
      <c r="X3059" t="s">
        <v>46573</v>
      </c>
    </row>
    <row r="3060" spans="1:24">
      <c r="A3060">
        <f>HYPERLINK("https://www.philgeps.gov.ph/GEPSNONPILOT/Tender/SplashBidNoticeAbstractUI.aspx?menuIndex=3&amp;refID=7062270&amp;Result=3","7062270")</f>
        <v>0</v>
      </c>
      <c r="B3060" t="s">
        <v>1121</v>
      </c>
      <c r="C3060" t="s">
        <v>6491</v>
      </c>
      <c r="D3060" t="s">
        <v>18827</v>
      </c>
      <c r="E3060" t="s">
        <v>21682</v>
      </c>
      <c r="F3060" t="s">
        <v>32664</v>
      </c>
      <c r="G3060" t="s">
        <v>32672</v>
      </c>
      <c r="H3060" t="s">
        <v>12635</v>
      </c>
      <c r="I3060" t="s">
        <v>32686</v>
      </c>
      <c r="J3060" t="s">
        <v>34906</v>
      </c>
      <c r="K3060" t="s">
        <v>42321</v>
      </c>
      <c r="M3060" t="s">
        <v>43750</v>
      </c>
      <c r="N3060" t="s">
        <v>46569</v>
      </c>
      <c r="O3060" t="s">
        <v>46570</v>
      </c>
      <c r="P3060">
        <v>0</v>
      </c>
      <c r="Q3060">
        <v>3</v>
      </c>
      <c r="R3060" t="s">
        <v>46572</v>
      </c>
      <c r="S3060" t="s">
        <v>46689</v>
      </c>
      <c r="T3060" t="s">
        <v>48347</v>
      </c>
      <c r="U3060" t="s">
        <v>51344</v>
      </c>
      <c r="W3060" t="s">
        <v>43750</v>
      </c>
      <c r="X3060" t="s">
        <v>46573</v>
      </c>
    </row>
    <row r="3061" spans="1:24">
      <c r="A3061">
        <f>HYPERLINK("https://www.philgeps.gov.ph/GEPSNONPILOT/Tender/SplashBidNoticeAbstractUI.aspx?menuIndex=3&amp;refID=7062292&amp;Result=3","7062292")</f>
        <v>0</v>
      </c>
      <c r="B3061" t="s">
        <v>943</v>
      </c>
      <c r="C3061" t="s">
        <v>6492</v>
      </c>
      <c r="D3061" t="s">
        <v>18784</v>
      </c>
      <c r="E3061" t="s">
        <v>21683</v>
      </c>
      <c r="F3061" t="s">
        <v>32664</v>
      </c>
      <c r="G3061" t="s">
        <v>32671</v>
      </c>
      <c r="H3061" t="s">
        <v>12635</v>
      </c>
      <c r="I3061" t="s">
        <v>8797</v>
      </c>
      <c r="J3061" t="s">
        <v>33752</v>
      </c>
      <c r="K3061" t="s">
        <v>42289</v>
      </c>
      <c r="M3061" t="s">
        <v>43842</v>
      </c>
      <c r="N3061" t="s">
        <v>46569</v>
      </c>
      <c r="O3061" t="s">
        <v>46570</v>
      </c>
      <c r="P3061">
        <v>0</v>
      </c>
      <c r="Q3061">
        <v>6</v>
      </c>
      <c r="R3061" t="s">
        <v>46572</v>
      </c>
      <c r="S3061" t="s">
        <v>46689</v>
      </c>
      <c r="T3061" t="s">
        <v>48228</v>
      </c>
      <c r="U3061" t="s">
        <v>51345</v>
      </c>
      <c r="V3061" t="s">
        <v>61928</v>
      </c>
      <c r="W3061" t="s">
        <v>43842</v>
      </c>
      <c r="X3061" t="s">
        <v>46573</v>
      </c>
    </row>
    <row r="3062" spans="1:24">
      <c r="A3062">
        <f>HYPERLINK("https://www.philgeps.gov.ph/GEPSNONPILOT/Tender/SplashBidNoticeAbstractUI.aspx?menuIndex=3&amp;refID=7062302&amp;Result=3","7062302")</f>
        <v>0</v>
      </c>
      <c r="B3062" t="s">
        <v>1205</v>
      </c>
      <c r="C3062" t="s">
        <v>6493</v>
      </c>
      <c r="D3062" t="s">
        <v>18809</v>
      </c>
      <c r="E3062" t="s">
        <v>21684</v>
      </c>
      <c r="F3062" t="s">
        <v>32664</v>
      </c>
      <c r="G3062" t="s">
        <v>32672</v>
      </c>
      <c r="H3062" t="s">
        <v>32683</v>
      </c>
      <c r="I3062" t="s">
        <v>10627</v>
      </c>
      <c r="J3062" t="s">
        <v>34907</v>
      </c>
      <c r="K3062" t="s">
        <v>42287</v>
      </c>
      <c r="M3062" t="s">
        <v>43843</v>
      </c>
      <c r="N3062" t="s">
        <v>46569</v>
      </c>
      <c r="O3062" t="s">
        <v>46570</v>
      </c>
      <c r="P3062">
        <v>0</v>
      </c>
      <c r="Q3062">
        <v>0</v>
      </c>
      <c r="R3062" t="s">
        <v>46572</v>
      </c>
      <c r="S3062" t="s">
        <v>46689</v>
      </c>
      <c r="T3062" t="s">
        <v>48222</v>
      </c>
      <c r="U3062" t="s">
        <v>51346</v>
      </c>
      <c r="W3062" t="s">
        <v>43843</v>
      </c>
      <c r="X3062" t="s">
        <v>46573</v>
      </c>
    </row>
    <row r="3063" spans="1:24">
      <c r="A3063">
        <f>HYPERLINK("https://www.philgeps.gov.ph/GEPSNONPILOT/Tender/SplashBidNoticeAbstractUI.aspx?menuIndex=3&amp;refID=7062300&amp;Result=3","7062300")</f>
        <v>0</v>
      </c>
      <c r="B3063" t="s">
        <v>1119</v>
      </c>
      <c r="C3063" t="s">
        <v>6494</v>
      </c>
      <c r="D3063" t="s">
        <v>18835</v>
      </c>
      <c r="E3063" t="s">
        <v>21685</v>
      </c>
      <c r="F3063" t="s">
        <v>32664</v>
      </c>
      <c r="G3063" t="s">
        <v>32674</v>
      </c>
      <c r="H3063" t="s">
        <v>12635</v>
      </c>
      <c r="I3063" t="s">
        <v>4439</v>
      </c>
      <c r="J3063" t="s">
        <v>32853</v>
      </c>
      <c r="K3063" t="s">
        <v>42297</v>
      </c>
      <c r="M3063" t="s">
        <v>43748</v>
      </c>
      <c r="N3063" t="s">
        <v>46569</v>
      </c>
      <c r="O3063" t="s">
        <v>46570</v>
      </c>
      <c r="P3063">
        <v>0</v>
      </c>
      <c r="Q3063">
        <v>0</v>
      </c>
      <c r="R3063" t="s">
        <v>46572</v>
      </c>
      <c r="S3063" t="s">
        <v>46689</v>
      </c>
      <c r="T3063" t="s">
        <v>48268</v>
      </c>
      <c r="U3063" t="s">
        <v>51347</v>
      </c>
      <c r="W3063" t="s">
        <v>43748</v>
      </c>
      <c r="X3063" t="s">
        <v>46573</v>
      </c>
    </row>
    <row r="3064" spans="1:24">
      <c r="A3064">
        <f>HYPERLINK("https://www.philgeps.gov.ph/GEPSNONPILOT/Tender/SplashBidNoticeAbstractUI.aspx?menuIndex=3&amp;refID=7062266&amp;Result=3","7062266")</f>
        <v>0</v>
      </c>
      <c r="B3064" t="s">
        <v>199</v>
      </c>
      <c r="C3064" t="s">
        <v>6495</v>
      </c>
      <c r="D3064" t="s">
        <v>18789</v>
      </c>
      <c r="E3064" t="s">
        <v>21686</v>
      </c>
      <c r="F3064" t="s">
        <v>32664</v>
      </c>
      <c r="G3064" t="s">
        <v>32671</v>
      </c>
      <c r="H3064" t="s">
        <v>12635</v>
      </c>
      <c r="I3064" t="s">
        <v>4333</v>
      </c>
      <c r="J3064" t="s">
        <v>33485</v>
      </c>
      <c r="K3064" t="s">
        <v>42297</v>
      </c>
      <c r="M3064" t="s">
        <v>43810</v>
      </c>
      <c r="N3064" t="s">
        <v>46569</v>
      </c>
      <c r="O3064" t="s">
        <v>46570</v>
      </c>
      <c r="P3064">
        <v>0</v>
      </c>
      <c r="Q3064">
        <v>1</v>
      </c>
      <c r="R3064" t="s">
        <v>46572</v>
      </c>
      <c r="S3064" t="s">
        <v>46689</v>
      </c>
      <c r="T3064" t="s">
        <v>48293</v>
      </c>
      <c r="U3064" t="s">
        <v>51348</v>
      </c>
      <c r="V3064" t="s">
        <v>61918</v>
      </c>
      <c r="W3064" t="s">
        <v>43810</v>
      </c>
      <c r="X3064" t="s">
        <v>46573</v>
      </c>
    </row>
    <row r="3065" spans="1:24">
      <c r="A3065">
        <f>HYPERLINK("https://www.philgeps.gov.ph/GEPSNONPILOT/Tender/SplashBidNoticeAbstractUI.aspx?menuIndex=3&amp;refID=7062299&amp;Result=3","7062299")</f>
        <v>0</v>
      </c>
      <c r="B3065" t="s">
        <v>1206</v>
      </c>
      <c r="C3065" t="s">
        <v>6496</v>
      </c>
      <c r="D3065" t="s">
        <v>18810</v>
      </c>
      <c r="E3065" t="s">
        <v>19688</v>
      </c>
      <c r="F3065" t="s">
        <v>32664</v>
      </c>
      <c r="G3065" t="s">
        <v>32672</v>
      </c>
      <c r="H3065" t="s">
        <v>32683</v>
      </c>
      <c r="I3065" t="s">
        <v>10627</v>
      </c>
      <c r="J3065" t="s">
        <v>33051</v>
      </c>
      <c r="K3065" t="s">
        <v>42283</v>
      </c>
      <c r="M3065" t="s">
        <v>43844</v>
      </c>
      <c r="N3065" t="s">
        <v>46569</v>
      </c>
      <c r="O3065" t="s">
        <v>46570</v>
      </c>
      <c r="P3065">
        <v>0</v>
      </c>
      <c r="Q3065">
        <v>0</v>
      </c>
      <c r="R3065" t="s">
        <v>46572</v>
      </c>
      <c r="S3065" t="s">
        <v>46689</v>
      </c>
      <c r="T3065" t="s">
        <v>48470</v>
      </c>
      <c r="U3065" t="s">
        <v>51349</v>
      </c>
      <c r="W3065" t="s">
        <v>43844</v>
      </c>
      <c r="X3065" t="s">
        <v>46573</v>
      </c>
    </row>
    <row r="3066" spans="1:24">
      <c r="A3066">
        <f>HYPERLINK("https://www.philgeps.gov.ph/GEPSNONPILOT/Tender/SplashBidNoticeAbstractUI.aspx?menuIndex=3&amp;refID=7062297&amp;Result=3","7062297")</f>
        <v>0</v>
      </c>
      <c r="B3066" t="s">
        <v>1200</v>
      </c>
      <c r="C3066" t="s">
        <v>6497</v>
      </c>
      <c r="D3066" t="s">
        <v>18813</v>
      </c>
      <c r="E3066" t="s">
        <v>21687</v>
      </c>
      <c r="F3066" t="s">
        <v>32664</v>
      </c>
      <c r="G3066" t="s">
        <v>32674</v>
      </c>
      <c r="H3066" t="s">
        <v>12635</v>
      </c>
      <c r="I3066" t="s">
        <v>4439</v>
      </c>
      <c r="J3066" t="s">
        <v>34908</v>
      </c>
      <c r="K3066" t="s">
        <v>42281</v>
      </c>
      <c r="M3066" t="s">
        <v>43837</v>
      </c>
      <c r="N3066" t="s">
        <v>46569</v>
      </c>
      <c r="O3066" t="s">
        <v>46570</v>
      </c>
      <c r="P3066">
        <v>0</v>
      </c>
      <c r="Q3066">
        <v>0</v>
      </c>
      <c r="R3066" t="s">
        <v>46572</v>
      </c>
      <c r="S3066" t="s">
        <v>46689</v>
      </c>
      <c r="T3066" t="s">
        <v>48221</v>
      </c>
      <c r="U3066" t="s">
        <v>51350</v>
      </c>
      <c r="W3066" t="s">
        <v>43837</v>
      </c>
      <c r="X3066" t="s">
        <v>46573</v>
      </c>
    </row>
    <row r="3067" spans="1:24">
      <c r="A3067">
        <f>HYPERLINK("https://www.philgeps.gov.ph/GEPSNONPILOT/Tender/SplashBidNoticeAbstractUI.aspx?menuIndex=3&amp;refID=7062269&amp;Result=3","7062269")</f>
        <v>0</v>
      </c>
      <c r="B3067" t="s">
        <v>1183</v>
      </c>
      <c r="C3067" t="s">
        <v>6498</v>
      </c>
      <c r="D3067" t="s">
        <v>18788</v>
      </c>
      <c r="E3067" t="s">
        <v>21688</v>
      </c>
      <c r="F3067" t="s">
        <v>32664</v>
      </c>
      <c r="G3067" t="s">
        <v>32677</v>
      </c>
      <c r="H3067" t="s">
        <v>12635</v>
      </c>
      <c r="I3067" t="s">
        <v>4439</v>
      </c>
      <c r="J3067" t="s">
        <v>33755</v>
      </c>
      <c r="K3067" t="s">
        <v>42284</v>
      </c>
      <c r="M3067" t="s">
        <v>43819</v>
      </c>
      <c r="N3067" t="s">
        <v>46569</v>
      </c>
      <c r="O3067" t="s">
        <v>46570</v>
      </c>
      <c r="P3067">
        <v>0</v>
      </c>
      <c r="Q3067">
        <v>0</v>
      </c>
      <c r="R3067" t="s">
        <v>46572</v>
      </c>
      <c r="S3067" t="s">
        <v>46689</v>
      </c>
      <c r="T3067" t="s">
        <v>48258</v>
      </c>
      <c r="U3067" t="s">
        <v>51288</v>
      </c>
      <c r="W3067" t="s">
        <v>43819</v>
      </c>
      <c r="X3067" t="s">
        <v>46573</v>
      </c>
    </row>
    <row r="3068" spans="1:24">
      <c r="A3068">
        <f>HYPERLINK("https://www.philgeps.gov.ph/GEPSNONPILOT/Tender/SplashBidNoticeAbstractUI.aspx?menuIndex=3&amp;refID=7062294&amp;Result=3","7062294")</f>
        <v>0</v>
      </c>
      <c r="B3068" t="s">
        <v>1166</v>
      </c>
      <c r="C3068" t="s">
        <v>6499</v>
      </c>
      <c r="E3068" t="s">
        <v>21689</v>
      </c>
      <c r="F3068" t="s">
        <v>32664</v>
      </c>
      <c r="G3068" t="s">
        <v>32671</v>
      </c>
      <c r="H3068" t="s">
        <v>12635</v>
      </c>
      <c r="I3068" t="s">
        <v>4439</v>
      </c>
      <c r="J3068" t="s">
        <v>33015</v>
      </c>
      <c r="K3068" t="s">
        <v>42283</v>
      </c>
      <c r="M3068" t="s">
        <v>43799</v>
      </c>
      <c r="N3068" t="s">
        <v>46569</v>
      </c>
      <c r="O3068" t="s">
        <v>46570</v>
      </c>
      <c r="P3068">
        <v>0</v>
      </c>
      <c r="Q3068">
        <v>0</v>
      </c>
      <c r="R3068" t="s">
        <v>46572</v>
      </c>
      <c r="S3068" t="s">
        <v>46689</v>
      </c>
      <c r="T3068" t="s">
        <v>48251</v>
      </c>
      <c r="U3068" t="s">
        <v>51351</v>
      </c>
      <c r="W3068" t="s">
        <v>43799</v>
      </c>
      <c r="X3068" t="s">
        <v>46573</v>
      </c>
    </row>
    <row r="3069" spans="1:24">
      <c r="A3069">
        <f>HYPERLINK("https://www.philgeps.gov.ph/GEPSNONPILOT/Tender/SplashBidNoticeAbstractUI.aspx?menuIndex=3&amp;refID=7062268&amp;Result=3","7062268")</f>
        <v>0</v>
      </c>
      <c r="B3069" t="s">
        <v>1207</v>
      </c>
      <c r="C3069" t="s">
        <v>6500</v>
      </c>
      <c r="D3069" t="s">
        <v>18861</v>
      </c>
      <c r="E3069" t="s">
        <v>21690</v>
      </c>
      <c r="F3069" t="s">
        <v>32664</v>
      </c>
      <c r="G3069" t="s">
        <v>32671</v>
      </c>
      <c r="H3069" t="s">
        <v>12635</v>
      </c>
      <c r="I3069" t="s">
        <v>32719</v>
      </c>
      <c r="J3069" t="s">
        <v>33051</v>
      </c>
      <c r="K3069" t="s">
        <v>42283</v>
      </c>
      <c r="M3069" t="s">
        <v>43845</v>
      </c>
      <c r="N3069" t="s">
        <v>46569</v>
      </c>
      <c r="O3069" t="s">
        <v>46570</v>
      </c>
      <c r="P3069">
        <v>0</v>
      </c>
      <c r="Q3069">
        <v>2</v>
      </c>
      <c r="R3069" t="s">
        <v>46572</v>
      </c>
      <c r="S3069" t="s">
        <v>46689</v>
      </c>
      <c r="T3069" t="s">
        <v>48228</v>
      </c>
      <c r="U3069" t="s">
        <v>51352</v>
      </c>
      <c r="W3069" t="s">
        <v>43845</v>
      </c>
      <c r="X3069" t="s">
        <v>46573</v>
      </c>
    </row>
    <row r="3070" spans="1:24">
      <c r="A3070">
        <f>HYPERLINK("https://www.philgeps.gov.ph/GEPSNONPILOT/Tender/SplashBidNoticeAbstractUI.aspx?menuIndex=3&amp;refID=7062291&amp;Result=3","7062291")</f>
        <v>0</v>
      </c>
      <c r="B3070" t="s">
        <v>1189</v>
      </c>
      <c r="C3070" t="s">
        <v>6501</v>
      </c>
      <c r="D3070" t="s">
        <v>18793</v>
      </c>
      <c r="E3070" t="s">
        <v>21691</v>
      </c>
      <c r="F3070" t="s">
        <v>32664</v>
      </c>
      <c r="G3070" t="s">
        <v>32672</v>
      </c>
      <c r="H3070" t="s">
        <v>12635</v>
      </c>
      <c r="I3070" t="s">
        <v>7324</v>
      </c>
      <c r="J3070" t="s">
        <v>34909</v>
      </c>
      <c r="K3070" t="s">
        <v>42297</v>
      </c>
      <c r="M3070" t="s">
        <v>43825</v>
      </c>
      <c r="N3070" t="s">
        <v>46569</v>
      </c>
      <c r="O3070" t="s">
        <v>46570</v>
      </c>
      <c r="P3070">
        <v>0</v>
      </c>
      <c r="Q3070">
        <v>0</v>
      </c>
      <c r="R3070" t="s">
        <v>46572</v>
      </c>
      <c r="S3070" t="s">
        <v>46689</v>
      </c>
      <c r="T3070" t="s">
        <v>48349</v>
      </c>
      <c r="U3070" t="s">
        <v>51353</v>
      </c>
      <c r="W3070" t="s">
        <v>43825</v>
      </c>
      <c r="X3070" t="s">
        <v>46573</v>
      </c>
    </row>
    <row r="3071" spans="1:24">
      <c r="A3071">
        <f>HYPERLINK("https://www.philgeps.gov.ph/GEPSNONPILOT/Tender/SplashBidNoticeAbstractUI.aspx?menuIndex=3&amp;refID=7062301&amp;Result=3","7062301")</f>
        <v>0</v>
      </c>
      <c r="B3071" t="s">
        <v>1118</v>
      </c>
      <c r="C3071" t="s">
        <v>6502</v>
      </c>
      <c r="D3071" t="s">
        <v>18837</v>
      </c>
      <c r="E3071" t="s">
        <v>21692</v>
      </c>
      <c r="F3071" t="s">
        <v>32664</v>
      </c>
      <c r="G3071" t="s">
        <v>32671</v>
      </c>
      <c r="H3071" t="s">
        <v>12635</v>
      </c>
      <c r="I3071" t="s">
        <v>32686</v>
      </c>
      <c r="J3071" t="s">
        <v>33688</v>
      </c>
      <c r="K3071" t="s">
        <v>42295</v>
      </c>
      <c r="M3071" t="s">
        <v>43746</v>
      </c>
      <c r="N3071" t="s">
        <v>46569</v>
      </c>
      <c r="O3071" t="s">
        <v>46570</v>
      </c>
      <c r="P3071">
        <v>0</v>
      </c>
      <c r="Q3071">
        <v>2</v>
      </c>
      <c r="R3071" t="s">
        <v>46572</v>
      </c>
      <c r="S3071" t="s">
        <v>46689</v>
      </c>
      <c r="T3071" t="s">
        <v>48297</v>
      </c>
      <c r="U3071" t="s">
        <v>51354</v>
      </c>
      <c r="W3071" t="s">
        <v>43746</v>
      </c>
      <c r="X3071" t="s">
        <v>46573</v>
      </c>
    </row>
    <row r="3072" spans="1:24">
      <c r="A3072">
        <f>HYPERLINK("https://www.philgeps.gov.ph/GEPSNONPILOT/Tender/SplashBidNoticeAbstractUI.aspx?menuIndex=3&amp;refID=7062288&amp;Result=3","7062288")</f>
        <v>0</v>
      </c>
      <c r="B3072" t="s">
        <v>567</v>
      </c>
      <c r="C3072" t="s">
        <v>6503</v>
      </c>
      <c r="D3072" t="s">
        <v>18784</v>
      </c>
      <c r="E3072" t="s">
        <v>21693</v>
      </c>
      <c r="F3072" t="s">
        <v>32664</v>
      </c>
      <c r="G3072" t="s">
        <v>32674</v>
      </c>
      <c r="H3072" t="s">
        <v>12635</v>
      </c>
      <c r="I3072" t="s">
        <v>32754</v>
      </c>
      <c r="J3072" t="s">
        <v>34910</v>
      </c>
      <c r="K3072" t="s">
        <v>42284</v>
      </c>
      <c r="M3072" t="s">
        <v>43147</v>
      </c>
      <c r="N3072" t="s">
        <v>46569</v>
      </c>
      <c r="O3072" t="s">
        <v>46570</v>
      </c>
      <c r="P3072">
        <v>0</v>
      </c>
      <c r="Q3072">
        <v>4</v>
      </c>
      <c r="R3072" t="s">
        <v>46572</v>
      </c>
      <c r="S3072" t="s">
        <v>46689</v>
      </c>
      <c r="T3072" t="s">
        <v>48280</v>
      </c>
      <c r="U3072" t="s">
        <v>51355</v>
      </c>
      <c r="W3072" t="s">
        <v>43147</v>
      </c>
      <c r="X3072" t="s">
        <v>46573</v>
      </c>
    </row>
    <row r="3073" spans="1:24">
      <c r="A3073">
        <f>HYPERLINK("https://www.philgeps.gov.ph/GEPSNONPILOT/Tender/SplashBidNoticeAbstractUI.aspx?menuIndex=3&amp;refID=7062284&amp;Result=3","7062284")</f>
        <v>0</v>
      </c>
      <c r="B3073" t="s">
        <v>1184</v>
      </c>
      <c r="C3073" t="s">
        <v>6504</v>
      </c>
      <c r="D3073" t="s">
        <v>18829</v>
      </c>
      <c r="E3073" t="s">
        <v>21694</v>
      </c>
      <c r="F3073" t="s">
        <v>32664</v>
      </c>
      <c r="G3073" t="s">
        <v>32671</v>
      </c>
      <c r="H3073" t="s">
        <v>12635</v>
      </c>
      <c r="I3073" t="s">
        <v>32685</v>
      </c>
      <c r="J3073" t="s">
        <v>34911</v>
      </c>
      <c r="K3073" t="s">
        <v>42284</v>
      </c>
      <c r="M3073" t="s">
        <v>43820</v>
      </c>
      <c r="N3073" t="s">
        <v>46569</v>
      </c>
      <c r="O3073" t="s">
        <v>46570</v>
      </c>
      <c r="P3073">
        <v>0</v>
      </c>
      <c r="Q3073">
        <v>0</v>
      </c>
      <c r="R3073" t="s">
        <v>46572</v>
      </c>
      <c r="S3073" t="s">
        <v>46689</v>
      </c>
      <c r="T3073" t="s">
        <v>48296</v>
      </c>
      <c r="U3073" t="s">
        <v>51292</v>
      </c>
      <c r="W3073" t="s">
        <v>43820</v>
      </c>
      <c r="X3073" t="s">
        <v>46573</v>
      </c>
    </row>
    <row r="3074" spans="1:24">
      <c r="A3074">
        <f>HYPERLINK("https://www.philgeps.gov.ph/GEPSNONPILOT/Tender/SplashBidNoticeAbstractUI.aspx?menuIndex=3&amp;refID=7062282&amp;Result=3","7062282")</f>
        <v>0</v>
      </c>
      <c r="B3074" t="s">
        <v>1208</v>
      </c>
      <c r="C3074" t="s">
        <v>6505</v>
      </c>
      <c r="D3074" t="s">
        <v>18786</v>
      </c>
      <c r="E3074" t="s">
        <v>21695</v>
      </c>
      <c r="F3074" t="s">
        <v>32665</v>
      </c>
      <c r="G3074" t="s">
        <v>32672</v>
      </c>
      <c r="H3074" t="s">
        <v>12635</v>
      </c>
      <c r="I3074" t="s">
        <v>10361</v>
      </c>
      <c r="J3074" t="s">
        <v>33147</v>
      </c>
      <c r="K3074" t="s">
        <v>42283</v>
      </c>
      <c r="M3074" t="s">
        <v>43846</v>
      </c>
      <c r="N3074" t="s">
        <v>46569</v>
      </c>
      <c r="O3074" t="s">
        <v>46570</v>
      </c>
      <c r="P3074">
        <v>0</v>
      </c>
      <c r="Q3074">
        <v>1</v>
      </c>
      <c r="R3074" t="s">
        <v>46572</v>
      </c>
      <c r="S3074" t="s">
        <v>46689</v>
      </c>
      <c r="T3074" t="s">
        <v>48363</v>
      </c>
      <c r="U3074" t="s">
        <v>51356</v>
      </c>
      <c r="W3074" t="s">
        <v>43846</v>
      </c>
      <c r="X3074" t="s">
        <v>46573</v>
      </c>
    </row>
    <row r="3075" spans="1:24">
      <c r="A3075">
        <f>HYPERLINK("https://www.philgeps.gov.ph/GEPSNONPILOT/Tender/SplashBidNoticeAbstractUI.aspx?menuIndex=3&amp;refID=7062286&amp;Result=3","7062286")</f>
        <v>0</v>
      </c>
      <c r="B3075" t="s">
        <v>1156</v>
      </c>
      <c r="C3075" t="s">
        <v>6506</v>
      </c>
      <c r="D3075" t="s">
        <v>18784</v>
      </c>
      <c r="E3075" t="s">
        <v>21696</v>
      </c>
      <c r="F3075" t="s">
        <v>32664</v>
      </c>
      <c r="G3075" t="s">
        <v>32671</v>
      </c>
      <c r="H3075" t="s">
        <v>12635</v>
      </c>
      <c r="I3075" t="s">
        <v>5589</v>
      </c>
      <c r="J3075" t="s">
        <v>34912</v>
      </c>
      <c r="K3075" t="s">
        <v>42284</v>
      </c>
      <c r="M3075" t="s">
        <v>43787</v>
      </c>
      <c r="N3075" t="s">
        <v>46569</v>
      </c>
      <c r="O3075" t="s">
        <v>46570</v>
      </c>
      <c r="P3075">
        <v>0</v>
      </c>
      <c r="Q3075">
        <v>9</v>
      </c>
      <c r="R3075" t="s">
        <v>46572</v>
      </c>
      <c r="S3075" t="s">
        <v>46689</v>
      </c>
      <c r="T3075" t="s">
        <v>48249</v>
      </c>
      <c r="U3075" t="s">
        <v>51357</v>
      </c>
      <c r="W3075" t="s">
        <v>43787</v>
      </c>
      <c r="X3075" t="s">
        <v>46573</v>
      </c>
    </row>
    <row r="3076" spans="1:24">
      <c r="A3076">
        <f>HYPERLINK("https://www.philgeps.gov.ph/GEPSNONPILOT/Tender/SplashBidNoticeAbstractUI.aspx?menuIndex=3&amp;refID=7062271&amp;Result=3","7062271")</f>
        <v>0</v>
      </c>
      <c r="B3076" t="s">
        <v>1185</v>
      </c>
      <c r="C3076" t="s">
        <v>6507</v>
      </c>
      <c r="D3076" t="s">
        <v>18807</v>
      </c>
      <c r="E3076" t="s">
        <v>21697</v>
      </c>
      <c r="F3076" t="s">
        <v>32664</v>
      </c>
      <c r="G3076" t="s">
        <v>32672</v>
      </c>
      <c r="H3076" t="s">
        <v>12635</v>
      </c>
      <c r="I3076" t="s">
        <v>4439</v>
      </c>
      <c r="J3076" t="s">
        <v>34913</v>
      </c>
      <c r="K3076" t="s">
        <v>42297</v>
      </c>
      <c r="M3076" t="s">
        <v>43821</v>
      </c>
      <c r="N3076" t="s">
        <v>46569</v>
      </c>
      <c r="O3076" t="s">
        <v>46570</v>
      </c>
      <c r="P3076">
        <v>0</v>
      </c>
      <c r="Q3076">
        <v>0</v>
      </c>
      <c r="R3076" t="s">
        <v>46572</v>
      </c>
      <c r="S3076" t="s">
        <v>46689</v>
      </c>
      <c r="T3076" t="s">
        <v>48230</v>
      </c>
      <c r="U3076" t="s">
        <v>51358</v>
      </c>
      <c r="W3076" t="s">
        <v>43821</v>
      </c>
      <c r="X3076" t="s">
        <v>46573</v>
      </c>
    </row>
    <row r="3077" spans="1:24">
      <c r="A3077">
        <f>HYPERLINK("https://www.philgeps.gov.ph/GEPSNONPILOT/Tender/SplashBidNoticeAbstractUI.aspx?menuIndex=3&amp;refID=7062281&amp;Result=3","7062281")</f>
        <v>0</v>
      </c>
      <c r="B3077" t="s">
        <v>1111</v>
      </c>
      <c r="C3077" t="s">
        <v>6508</v>
      </c>
      <c r="E3077" t="s">
        <v>21698</v>
      </c>
      <c r="F3077" t="s">
        <v>32664</v>
      </c>
      <c r="G3077" t="s">
        <v>32672</v>
      </c>
      <c r="H3077" t="s">
        <v>12635</v>
      </c>
      <c r="I3077" t="s">
        <v>11464</v>
      </c>
      <c r="J3077" t="s">
        <v>32930</v>
      </c>
      <c r="K3077" t="s">
        <v>42281</v>
      </c>
      <c r="M3077" t="s">
        <v>43738</v>
      </c>
      <c r="N3077" t="s">
        <v>46569</v>
      </c>
      <c r="O3077" t="s">
        <v>46570</v>
      </c>
      <c r="P3077">
        <v>0</v>
      </c>
      <c r="Q3077">
        <v>6</v>
      </c>
      <c r="R3077" t="s">
        <v>46572</v>
      </c>
      <c r="S3077" t="s">
        <v>46689</v>
      </c>
      <c r="T3077" t="s">
        <v>48415</v>
      </c>
      <c r="U3077" t="s">
        <v>51359</v>
      </c>
      <c r="V3077" t="s">
        <v>61929</v>
      </c>
      <c r="W3077" t="s">
        <v>43738</v>
      </c>
      <c r="X3077" t="s">
        <v>46573</v>
      </c>
    </row>
    <row r="3078" spans="1:24">
      <c r="A3078">
        <f>HYPERLINK("https://www.philgeps.gov.ph/GEPSNONPILOT/Tender/SplashBidNoticeAbstractUI.aspx?menuIndex=3&amp;refID=7062262&amp;Result=3","7062262")</f>
        <v>0</v>
      </c>
      <c r="B3078" t="s">
        <v>1209</v>
      </c>
      <c r="C3078" t="s">
        <v>6509</v>
      </c>
      <c r="D3078" t="s">
        <v>18832</v>
      </c>
      <c r="E3078" t="s">
        <v>19380</v>
      </c>
      <c r="F3078" t="s">
        <v>32664</v>
      </c>
      <c r="G3078" t="s">
        <v>32672</v>
      </c>
      <c r="H3078" t="s">
        <v>32683</v>
      </c>
      <c r="I3078" t="s">
        <v>10627</v>
      </c>
      <c r="J3078" t="s">
        <v>33657</v>
      </c>
      <c r="K3078" t="s">
        <v>42298</v>
      </c>
      <c r="M3078" t="s">
        <v>43847</v>
      </c>
      <c r="N3078" t="s">
        <v>46569</v>
      </c>
      <c r="O3078" t="s">
        <v>46570</v>
      </c>
      <c r="P3078">
        <v>0</v>
      </c>
      <c r="Q3078">
        <v>0</v>
      </c>
      <c r="R3078" t="s">
        <v>46572</v>
      </c>
      <c r="S3078" t="s">
        <v>46689</v>
      </c>
      <c r="T3078" t="s">
        <v>48471</v>
      </c>
      <c r="U3078" t="s">
        <v>51360</v>
      </c>
      <c r="W3078" t="s">
        <v>43847</v>
      </c>
      <c r="X3078" t="s">
        <v>46573</v>
      </c>
    </row>
    <row r="3079" spans="1:24">
      <c r="A3079">
        <f>HYPERLINK("https://www.philgeps.gov.ph/GEPSNONPILOT/Tender/SplashBidNoticeAbstractUI.aspx?menuIndex=3&amp;refID=7062283&amp;Result=3","7062283")</f>
        <v>0</v>
      </c>
      <c r="B3079" t="s">
        <v>1194</v>
      </c>
      <c r="C3079" t="s">
        <v>6453</v>
      </c>
      <c r="D3079" t="s">
        <v>18782</v>
      </c>
      <c r="E3079" t="s">
        <v>21699</v>
      </c>
      <c r="F3079" t="s">
        <v>32664</v>
      </c>
      <c r="G3079" t="s">
        <v>32672</v>
      </c>
      <c r="H3079" t="s">
        <v>12635</v>
      </c>
      <c r="I3079" t="s">
        <v>8730</v>
      </c>
      <c r="J3079" t="s">
        <v>34914</v>
      </c>
      <c r="K3079" t="s">
        <v>42283</v>
      </c>
      <c r="M3079" t="s">
        <v>43830</v>
      </c>
      <c r="N3079" t="s">
        <v>46569</v>
      </c>
      <c r="O3079" t="s">
        <v>46570</v>
      </c>
      <c r="P3079">
        <v>0</v>
      </c>
      <c r="Q3079">
        <v>0</v>
      </c>
      <c r="R3079" t="s">
        <v>46572</v>
      </c>
      <c r="S3079" t="s">
        <v>46689</v>
      </c>
      <c r="T3079" t="s">
        <v>48225</v>
      </c>
      <c r="U3079" t="s">
        <v>51310</v>
      </c>
      <c r="W3079" t="s">
        <v>43830</v>
      </c>
      <c r="X3079" t="s">
        <v>46573</v>
      </c>
    </row>
    <row r="3080" spans="1:24">
      <c r="A3080">
        <f>HYPERLINK("https://www.philgeps.gov.ph/GEPSNONPILOT/Tender/SplashBidNoticeAbstractUI.aspx?menuIndex=3&amp;refID=7062259&amp;Result=3","7062259")</f>
        <v>0</v>
      </c>
      <c r="B3080" t="s">
        <v>497</v>
      </c>
      <c r="C3080" t="s">
        <v>6510</v>
      </c>
      <c r="D3080" t="s">
        <v>18791</v>
      </c>
      <c r="E3080" t="s">
        <v>21700</v>
      </c>
      <c r="F3080" t="s">
        <v>32664</v>
      </c>
      <c r="G3080" t="s">
        <v>32672</v>
      </c>
      <c r="H3080" t="s">
        <v>32683</v>
      </c>
      <c r="I3080" t="s">
        <v>10627</v>
      </c>
      <c r="J3080" t="s">
        <v>34915</v>
      </c>
      <c r="K3080" t="s">
        <v>42314</v>
      </c>
      <c r="M3080" t="s">
        <v>43073</v>
      </c>
      <c r="N3080" t="s">
        <v>46569</v>
      </c>
      <c r="O3080" t="s">
        <v>46570</v>
      </c>
      <c r="P3080">
        <v>0</v>
      </c>
      <c r="Q3080">
        <v>0</v>
      </c>
      <c r="R3080" t="s">
        <v>46572</v>
      </c>
      <c r="S3080" t="s">
        <v>46689</v>
      </c>
      <c r="T3080" t="s">
        <v>48226</v>
      </c>
      <c r="U3080" t="s">
        <v>51361</v>
      </c>
      <c r="W3080" t="s">
        <v>43073</v>
      </c>
      <c r="X3080" t="s">
        <v>46573</v>
      </c>
    </row>
    <row r="3081" spans="1:24">
      <c r="A3081">
        <f>HYPERLINK("https://www.philgeps.gov.ph/GEPSNONPILOT/Tender/SplashBidNoticeAbstractUI.aspx?menuIndex=3&amp;refID=7062295&amp;Result=3","7062295")</f>
        <v>0</v>
      </c>
      <c r="B3081" t="s">
        <v>1210</v>
      </c>
      <c r="C3081" t="s">
        <v>6511</v>
      </c>
      <c r="D3081" t="s">
        <v>18788</v>
      </c>
      <c r="E3081" t="s">
        <v>21701</v>
      </c>
      <c r="F3081" t="s">
        <v>32664</v>
      </c>
      <c r="G3081" t="s">
        <v>32672</v>
      </c>
      <c r="H3081" t="s">
        <v>12635</v>
      </c>
      <c r="I3081" t="s">
        <v>8797</v>
      </c>
      <c r="J3081" t="s">
        <v>34916</v>
      </c>
      <c r="K3081" t="s">
        <v>42283</v>
      </c>
      <c r="M3081" t="s">
        <v>43848</v>
      </c>
      <c r="N3081" t="s">
        <v>46569</v>
      </c>
      <c r="O3081" t="s">
        <v>46570</v>
      </c>
      <c r="P3081">
        <v>0</v>
      </c>
      <c r="Q3081">
        <v>6</v>
      </c>
      <c r="R3081" t="s">
        <v>46572</v>
      </c>
      <c r="S3081" t="s">
        <v>46689</v>
      </c>
      <c r="T3081" t="s">
        <v>48226</v>
      </c>
      <c r="U3081" t="s">
        <v>51362</v>
      </c>
      <c r="W3081" t="s">
        <v>43848</v>
      </c>
      <c r="X3081" t="s">
        <v>46573</v>
      </c>
    </row>
    <row r="3082" spans="1:24">
      <c r="A3082">
        <f>HYPERLINK("https://www.philgeps.gov.ph/GEPSNONPILOT/Tender/SplashBidNoticeAbstractUI.aspx?menuIndex=3&amp;refID=7062280&amp;Result=3","7062280")</f>
        <v>0</v>
      </c>
      <c r="B3082" t="s">
        <v>1211</v>
      </c>
      <c r="C3082" t="s">
        <v>6512</v>
      </c>
      <c r="D3082" t="s">
        <v>18784</v>
      </c>
      <c r="E3082" t="s">
        <v>21702</v>
      </c>
      <c r="F3082" t="s">
        <v>32664</v>
      </c>
      <c r="G3082" t="s">
        <v>32671</v>
      </c>
      <c r="H3082" t="s">
        <v>12635</v>
      </c>
      <c r="I3082" t="s">
        <v>32689</v>
      </c>
      <c r="J3082" t="s">
        <v>34917</v>
      </c>
      <c r="K3082" t="s">
        <v>42309</v>
      </c>
      <c r="M3082" t="s">
        <v>43849</v>
      </c>
      <c r="N3082" t="s">
        <v>46569</v>
      </c>
      <c r="O3082" t="s">
        <v>46570</v>
      </c>
      <c r="P3082">
        <v>0</v>
      </c>
      <c r="Q3082">
        <v>3</v>
      </c>
      <c r="R3082" t="s">
        <v>46572</v>
      </c>
      <c r="S3082" t="s">
        <v>46689</v>
      </c>
      <c r="T3082" t="s">
        <v>48221</v>
      </c>
      <c r="U3082" t="s">
        <v>51363</v>
      </c>
      <c r="W3082" t="s">
        <v>43849</v>
      </c>
      <c r="X3082" t="s">
        <v>46573</v>
      </c>
    </row>
    <row r="3083" spans="1:24">
      <c r="A3083">
        <f>HYPERLINK("https://www.philgeps.gov.ph/GEPSNONPILOT/Tender/SplashBidNoticeAbstractUI.aspx?menuIndex=3&amp;refID=7062289&amp;Result=3","7062289")</f>
        <v>0</v>
      </c>
      <c r="B3083" t="s">
        <v>1183</v>
      </c>
      <c r="C3083" t="s">
        <v>6513</v>
      </c>
      <c r="D3083" t="s">
        <v>18788</v>
      </c>
      <c r="E3083" t="s">
        <v>21703</v>
      </c>
      <c r="F3083" t="s">
        <v>32664</v>
      </c>
      <c r="G3083" t="s">
        <v>32677</v>
      </c>
      <c r="H3083" t="s">
        <v>12635</v>
      </c>
      <c r="I3083" t="s">
        <v>32696</v>
      </c>
      <c r="J3083" t="s">
        <v>34918</v>
      </c>
      <c r="K3083" t="s">
        <v>42284</v>
      </c>
      <c r="M3083" t="s">
        <v>43819</v>
      </c>
      <c r="N3083" t="s">
        <v>46569</v>
      </c>
      <c r="O3083" t="s">
        <v>46570</v>
      </c>
      <c r="P3083">
        <v>0</v>
      </c>
      <c r="Q3083">
        <v>1</v>
      </c>
      <c r="R3083" t="s">
        <v>46572</v>
      </c>
      <c r="S3083" t="s">
        <v>46689</v>
      </c>
      <c r="T3083" t="s">
        <v>48258</v>
      </c>
      <c r="U3083" t="s">
        <v>51288</v>
      </c>
      <c r="W3083" t="s">
        <v>43819</v>
      </c>
      <c r="X3083" t="s">
        <v>46573</v>
      </c>
    </row>
    <row r="3084" spans="1:24">
      <c r="A3084">
        <f>HYPERLINK("https://www.philgeps.gov.ph/GEPSNONPILOT/Tender/SplashBidNoticeAbstractUI.aspx?menuIndex=3&amp;refID=7062277&amp;Result=3","7062277")</f>
        <v>0</v>
      </c>
      <c r="B3084" t="s">
        <v>1212</v>
      </c>
      <c r="C3084" t="s">
        <v>6514</v>
      </c>
      <c r="D3084" t="s">
        <v>18820</v>
      </c>
      <c r="E3084" t="s">
        <v>21704</v>
      </c>
      <c r="F3084" t="s">
        <v>32664</v>
      </c>
      <c r="G3084" t="s">
        <v>32674</v>
      </c>
      <c r="H3084" t="s">
        <v>12635</v>
      </c>
      <c r="I3084" t="s">
        <v>32692</v>
      </c>
      <c r="J3084" t="s">
        <v>34919</v>
      </c>
      <c r="K3084" t="s">
        <v>42295</v>
      </c>
      <c r="M3084" t="s">
        <v>43850</v>
      </c>
      <c r="N3084" t="s">
        <v>46569</v>
      </c>
      <c r="O3084" t="s">
        <v>46570</v>
      </c>
      <c r="P3084">
        <v>0</v>
      </c>
      <c r="Q3084">
        <v>0</v>
      </c>
      <c r="R3084" t="s">
        <v>46572</v>
      </c>
      <c r="S3084" t="s">
        <v>46689</v>
      </c>
      <c r="T3084" t="s">
        <v>48254</v>
      </c>
      <c r="U3084" t="s">
        <v>51364</v>
      </c>
      <c r="V3084" t="s">
        <v>61930</v>
      </c>
      <c r="W3084" t="s">
        <v>43850</v>
      </c>
      <c r="X3084" t="s">
        <v>46573</v>
      </c>
    </row>
    <row r="3085" spans="1:24">
      <c r="A3085">
        <f>HYPERLINK("https://www.philgeps.gov.ph/GEPSNONPILOT/Tender/SplashBidNoticeAbstractUI.aspx?menuIndex=3&amp;refID=7062287&amp;Result=3","7062287")</f>
        <v>0</v>
      </c>
      <c r="B3085" t="s">
        <v>1213</v>
      </c>
      <c r="C3085" t="s">
        <v>6515</v>
      </c>
      <c r="E3085" t="s">
        <v>19583</v>
      </c>
      <c r="F3085" t="s">
        <v>32664</v>
      </c>
      <c r="G3085" t="s">
        <v>32672</v>
      </c>
      <c r="H3085" t="s">
        <v>12635</v>
      </c>
      <c r="I3085" t="s">
        <v>4439</v>
      </c>
      <c r="J3085" t="s">
        <v>34920</v>
      </c>
      <c r="K3085" t="s">
        <v>42283</v>
      </c>
      <c r="M3085" t="s">
        <v>43851</v>
      </c>
      <c r="N3085" t="s">
        <v>46569</v>
      </c>
      <c r="O3085" t="s">
        <v>46570</v>
      </c>
      <c r="P3085">
        <v>0</v>
      </c>
      <c r="Q3085">
        <v>1</v>
      </c>
      <c r="R3085" t="s">
        <v>46572</v>
      </c>
      <c r="S3085" t="s">
        <v>46689</v>
      </c>
      <c r="T3085" t="s">
        <v>48349</v>
      </c>
      <c r="U3085" t="s">
        <v>51365</v>
      </c>
      <c r="W3085" t="s">
        <v>43851</v>
      </c>
      <c r="X3085" t="s">
        <v>46573</v>
      </c>
    </row>
    <row r="3086" spans="1:24">
      <c r="A3086">
        <f>HYPERLINK("https://www.philgeps.gov.ph/GEPSNONPILOT/Tender/SplashBidNoticeAbstractUI.aspx?menuIndex=3&amp;refID=7062153&amp;Result=3","7062153")</f>
        <v>0</v>
      </c>
      <c r="B3086" t="s">
        <v>1214</v>
      </c>
      <c r="C3086" t="s">
        <v>6516</v>
      </c>
      <c r="D3086" t="s">
        <v>18839</v>
      </c>
      <c r="E3086" t="s">
        <v>21705</v>
      </c>
      <c r="F3086" t="s">
        <v>32664</v>
      </c>
      <c r="G3086" t="s">
        <v>32671</v>
      </c>
      <c r="H3086" t="s">
        <v>12635</v>
      </c>
      <c r="I3086" t="s">
        <v>32689</v>
      </c>
      <c r="J3086" t="s">
        <v>33905</v>
      </c>
      <c r="K3086" t="s">
        <v>42297</v>
      </c>
      <c r="M3086" t="s">
        <v>43852</v>
      </c>
      <c r="N3086" t="s">
        <v>46569</v>
      </c>
      <c r="O3086" t="s">
        <v>46570</v>
      </c>
      <c r="P3086">
        <v>0</v>
      </c>
      <c r="Q3086">
        <v>1</v>
      </c>
      <c r="R3086" t="s">
        <v>46572</v>
      </c>
      <c r="S3086" t="s">
        <v>46689</v>
      </c>
      <c r="T3086" t="s">
        <v>48221</v>
      </c>
      <c r="U3086" t="s">
        <v>51366</v>
      </c>
      <c r="W3086" t="s">
        <v>43852</v>
      </c>
      <c r="X3086" t="s">
        <v>46573</v>
      </c>
    </row>
    <row r="3087" spans="1:24">
      <c r="A3087">
        <f>HYPERLINK("https://www.philgeps.gov.ph/GEPSNONPILOT/Tender/SplashBidNoticeAbstractUI.aspx?menuIndex=3&amp;refID=7062321&amp;Result=3","7062321")</f>
        <v>0</v>
      </c>
      <c r="B3087" t="s">
        <v>341</v>
      </c>
      <c r="C3087" t="s">
        <v>6517</v>
      </c>
      <c r="D3087" t="s">
        <v>18841</v>
      </c>
      <c r="E3087" t="s">
        <v>21646</v>
      </c>
      <c r="F3087" t="s">
        <v>32664</v>
      </c>
      <c r="G3087" t="s">
        <v>32674</v>
      </c>
      <c r="H3087" t="s">
        <v>12635</v>
      </c>
      <c r="I3087" t="s">
        <v>8797</v>
      </c>
      <c r="J3087" t="s">
        <v>34921</v>
      </c>
      <c r="K3087" t="s">
        <v>42283</v>
      </c>
      <c r="M3087" t="s">
        <v>42910</v>
      </c>
      <c r="N3087" t="s">
        <v>46569</v>
      </c>
      <c r="O3087" t="s">
        <v>46570</v>
      </c>
      <c r="P3087">
        <v>0</v>
      </c>
      <c r="Q3087">
        <v>0</v>
      </c>
      <c r="R3087" t="s">
        <v>46572</v>
      </c>
      <c r="S3087" t="s">
        <v>46689</v>
      </c>
      <c r="T3087" t="s">
        <v>48376</v>
      </c>
      <c r="U3087" t="s">
        <v>51367</v>
      </c>
      <c r="V3087" t="s">
        <v>61705</v>
      </c>
      <c r="W3087" t="s">
        <v>42910</v>
      </c>
      <c r="X3087" t="s">
        <v>46573</v>
      </c>
    </row>
    <row r="3088" spans="1:24">
      <c r="A3088">
        <f>HYPERLINK("https://www.philgeps.gov.ph/GEPSNONPILOT/Tender/SplashBidNoticeAbstractUI.aspx?menuIndex=3&amp;refID=7062325&amp;Result=3","7062325")</f>
        <v>0</v>
      </c>
      <c r="B3088" t="s">
        <v>1215</v>
      </c>
      <c r="C3088" t="s">
        <v>6518</v>
      </c>
      <c r="D3088" t="s">
        <v>18827</v>
      </c>
      <c r="E3088" t="s">
        <v>21706</v>
      </c>
      <c r="F3088" t="s">
        <v>32664</v>
      </c>
      <c r="G3088" t="s">
        <v>32672</v>
      </c>
      <c r="H3088" t="s">
        <v>12635</v>
      </c>
      <c r="I3088" t="s">
        <v>6168</v>
      </c>
      <c r="J3088" t="s">
        <v>34922</v>
      </c>
      <c r="K3088" t="s">
        <v>42305</v>
      </c>
      <c r="M3088" t="s">
        <v>43853</v>
      </c>
      <c r="N3088" t="s">
        <v>46569</v>
      </c>
      <c r="O3088" t="s">
        <v>46570</v>
      </c>
      <c r="P3088">
        <v>0</v>
      </c>
      <c r="Q3088">
        <v>1</v>
      </c>
      <c r="R3088" t="s">
        <v>46572</v>
      </c>
      <c r="S3088" t="s">
        <v>46689</v>
      </c>
      <c r="T3088" t="s">
        <v>48297</v>
      </c>
      <c r="U3088" t="s">
        <v>51368</v>
      </c>
      <c r="W3088" t="s">
        <v>43853</v>
      </c>
      <c r="X3088" t="s">
        <v>46573</v>
      </c>
    </row>
    <row r="3089" spans="1:24">
      <c r="A3089">
        <f>HYPERLINK("https://www.philgeps.gov.ph/GEPSNONPILOT/Tender/SplashBidNoticeAbstractUI.aspx?menuIndex=3&amp;refID=7062323&amp;Result=3","7062323")</f>
        <v>0</v>
      </c>
      <c r="B3089" t="s">
        <v>1200</v>
      </c>
      <c r="C3089" t="s">
        <v>6519</v>
      </c>
      <c r="D3089" t="s">
        <v>18813</v>
      </c>
      <c r="E3089" t="s">
        <v>21707</v>
      </c>
      <c r="F3089" t="s">
        <v>32664</v>
      </c>
      <c r="G3089" t="s">
        <v>32674</v>
      </c>
      <c r="H3089" t="s">
        <v>12635</v>
      </c>
      <c r="I3089" t="s">
        <v>6168</v>
      </c>
      <c r="J3089" t="s">
        <v>34923</v>
      </c>
      <c r="K3089" t="s">
        <v>42281</v>
      </c>
      <c r="M3089" t="s">
        <v>43837</v>
      </c>
      <c r="N3089" t="s">
        <v>46569</v>
      </c>
      <c r="O3089" t="s">
        <v>46570</v>
      </c>
      <c r="P3089">
        <v>0</v>
      </c>
      <c r="Q3089">
        <v>2</v>
      </c>
      <c r="R3089" t="s">
        <v>46572</v>
      </c>
      <c r="S3089" t="s">
        <v>46689</v>
      </c>
      <c r="T3089" t="s">
        <v>48221</v>
      </c>
      <c r="U3089" t="s">
        <v>51369</v>
      </c>
      <c r="W3089" t="s">
        <v>43837</v>
      </c>
      <c r="X3089" t="s">
        <v>46573</v>
      </c>
    </row>
    <row r="3090" spans="1:24">
      <c r="A3090">
        <f>HYPERLINK("https://www.philgeps.gov.ph/GEPSNONPILOT/Tender/SplashBidNoticeAbstractUI.aspx?menuIndex=3&amp;refID=7062319&amp;Result=3","7062319")</f>
        <v>0</v>
      </c>
      <c r="B3090" t="s">
        <v>1216</v>
      </c>
      <c r="C3090" t="s">
        <v>6520</v>
      </c>
      <c r="D3090" t="s">
        <v>18819</v>
      </c>
      <c r="E3090" t="s">
        <v>21695</v>
      </c>
      <c r="F3090" t="s">
        <v>32664</v>
      </c>
      <c r="G3090" t="s">
        <v>32671</v>
      </c>
      <c r="H3090" t="s">
        <v>12635</v>
      </c>
      <c r="I3090" t="s">
        <v>8797</v>
      </c>
      <c r="J3090" t="s">
        <v>34924</v>
      </c>
      <c r="K3090" t="s">
        <v>42295</v>
      </c>
      <c r="M3090" t="s">
        <v>43854</v>
      </c>
      <c r="N3090" t="s">
        <v>46569</v>
      </c>
      <c r="O3090" t="s">
        <v>46570</v>
      </c>
      <c r="P3090">
        <v>0</v>
      </c>
      <c r="Q3090">
        <v>11</v>
      </c>
      <c r="R3090" t="s">
        <v>46572</v>
      </c>
      <c r="S3090" t="s">
        <v>46689</v>
      </c>
      <c r="T3090" t="s">
        <v>48256</v>
      </c>
      <c r="U3090" t="s">
        <v>51370</v>
      </c>
      <c r="V3090" t="s">
        <v>61931</v>
      </c>
      <c r="W3090" t="s">
        <v>43854</v>
      </c>
      <c r="X3090" t="s">
        <v>46573</v>
      </c>
    </row>
    <row r="3091" spans="1:24">
      <c r="A3091">
        <f>HYPERLINK("https://www.philgeps.gov.ph/GEPSNONPILOT/Tender/SplashBidNoticeAbstractUI.aspx?menuIndex=3&amp;refID=7062322&amp;Result=3","7062322")</f>
        <v>0</v>
      </c>
      <c r="B3091" t="s">
        <v>1217</v>
      </c>
      <c r="C3091" t="s">
        <v>6521</v>
      </c>
      <c r="D3091" t="s">
        <v>18784</v>
      </c>
      <c r="E3091" t="s">
        <v>21708</v>
      </c>
      <c r="F3091" t="s">
        <v>32664</v>
      </c>
      <c r="G3091" t="s">
        <v>32671</v>
      </c>
      <c r="H3091" t="s">
        <v>12635</v>
      </c>
      <c r="I3091" t="s">
        <v>7324</v>
      </c>
      <c r="J3091" t="s">
        <v>34925</v>
      </c>
      <c r="K3091" t="s">
        <v>42284</v>
      </c>
      <c r="M3091" t="s">
        <v>43855</v>
      </c>
      <c r="N3091" t="s">
        <v>46569</v>
      </c>
      <c r="O3091" t="s">
        <v>46570</v>
      </c>
      <c r="P3091">
        <v>0</v>
      </c>
      <c r="Q3091">
        <v>3</v>
      </c>
      <c r="R3091" t="s">
        <v>46572</v>
      </c>
      <c r="S3091" t="s">
        <v>46689</v>
      </c>
      <c r="T3091" t="s">
        <v>48256</v>
      </c>
      <c r="U3091" t="s">
        <v>51371</v>
      </c>
      <c r="V3091" t="s">
        <v>61932</v>
      </c>
      <c r="W3091" t="s">
        <v>43855</v>
      </c>
      <c r="X3091" t="s">
        <v>46573</v>
      </c>
    </row>
    <row r="3092" spans="1:24">
      <c r="A3092">
        <f>HYPERLINK("https://www.philgeps.gov.ph/GEPSNONPILOT/Tender/SplashBidNoticeAbstractUI.aspx?menuIndex=3&amp;refID=7062317&amp;Result=3","7062317")</f>
        <v>0</v>
      </c>
      <c r="B3092" t="s">
        <v>516</v>
      </c>
      <c r="C3092" t="s">
        <v>6522</v>
      </c>
      <c r="D3092" t="s">
        <v>18804</v>
      </c>
      <c r="E3092" t="s">
        <v>21709</v>
      </c>
      <c r="F3092" t="s">
        <v>32664</v>
      </c>
      <c r="G3092" t="s">
        <v>32672</v>
      </c>
      <c r="H3092" t="s">
        <v>32683</v>
      </c>
      <c r="I3092" t="s">
        <v>10627</v>
      </c>
      <c r="J3092" t="s">
        <v>33128</v>
      </c>
      <c r="K3092" t="s">
        <v>42281</v>
      </c>
      <c r="M3092" t="s">
        <v>43092</v>
      </c>
      <c r="N3092" t="s">
        <v>46569</v>
      </c>
      <c r="O3092" t="s">
        <v>46570</v>
      </c>
      <c r="P3092">
        <v>0</v>
      </c>
      <c r="Q3092">
        <v>0</v>
      </c>
      <c r="R3092" t="s">
        <v>46572</v>
      </c>
      <c r="S3092" t="s">
        <v>46689</v>
      </c>
      <c r="T3092" t="s">
        <v>48220</v>
      </c>
      <c r="U3092" t="s">
        <v>51372</v>
      </c>
      <c r="W3092" t="s">
        <v>43092</v>
      </c>
      <c r="X3092" t="s">
        <v>46573</v>
      </c>
    </row>
    <row r="3093" spans="1:24">
      <c r="A3093">
        <f>HYPERLINK("https://www.philgeps.gov.ph/GEPSNONPILOT/Tender/SplashBidNoticeAbstractUI.aspx?menuIndex=3&amp;refID=7062316&amp;Result=3","7062316")</f>
        <v>0</v>
      </c>
      <c r="B3093" t="s">
        <v>1218</v>
      </c>
      <c r="C3093" t="s">
        <v>6523</v>
      </c>
      <c r="D3093" t="s">
        <v>18805</v>
      </c>
      <c r="E3093" t="s">
        <v>21710</v>
      </c>
      <c r="F3093" t="s">
        <v>32664</v>
      </c>
      <c r="G3093" t="s">
        <v>32672</v>
      </c>
      <c r="H3093" t="s">
        <v>32683</v>
      </c>
      <c r="I3093" t="s">
        <v>10627</v>
      </c>
      <c r="J3093" t="s">
        <v>33051</v>
      </c>
      <c r="K3093" t="s">
        <v>42290</v>
      </c>
      <c r="M3093" t="s">
        <v>43856</v>
      </c>
      <c r="N3093" t="s">
        <v>46569</v>
      </c>
      <c r="O3093" t="s">
        <v>46570</v>
      </c>
      <c r="P3093">
        <v>0</v>
      </c>
      <c r="Q3093">
        <v>0</v>
      </c>
      <c r="R3093" t="s">
        <v>46572</v>
      </c>
      <c r="S3093" t="s">
        <v>46689</v>
      </c>
      <c r="T3093" t="s">
        <v>48350</v>
      </c>
      <c r="U3093" t="s">
        <v>51373</v>
      </c>
      <c r="V3093" t="s">
        <v>61933</v>
      </c>
      <c r="W3093" t="s">
        <v>43856</v>
      </c>
      <c r="X3093" t="s">
        <v>46573</v>
      </c>
    </row>
    <row r="3094" spans="1:24">
      <c r="A3094">
        <f>HYPERLINK("https://www.philgeps.gov.ph/GEPSNONPILOT/Tender/SplashBidNoticeAbstractUI.aspx?menuIndex=3&amp;refID=7062303&amp;Result=3","7062303")</f>
        <v>0</v>
      </c>
      <c r="B3094" t="s">
        <v>511</v>
      </c>
      <c r="C3094" t="s">
        <v>6524</v>
      </c>
      <c r="D3094" t="s">
        <v>18801</v>
      </c>
      <c r="E3094" t="s">
        <v>21711</v>
      </c>
      <c r="F3094" t="s">
        <v>32664</v>
      </c>
      <c r="G3094" t="s">
        <v>32672</v>
      </c>
      <c r="H3094" t="s">
        <v>12635</v>
      </c>
      <c r="I3094" t="s">
        <v>8730</v>
      </c>
      <c r="J3094" t="s">
        <v>34926</v>
      </c>
      <c r="K3094" t="s">
        <v>42289</v>
      </c>
      <c r="M3094" t="s">
        <v>43087</v>
      </c>
      <c r="N3094" t="s">
        <v>46569</v>
      </c>
      <c r="O3094" t="s">
        <v>46570</v>
      </c>
      <c r="P3094">
        <v>0</v>
      </c>
      <c r="Q3094">
        <v>4</v>
      </c>
      <c r="R3094" t="s">
        <v>46572</v>
      </c>
      <c r="S3094" t="s">
        <v>46689</v>
      </c>
      <c r="T3094" t="s">
        <v>48230</v>
      </c>
      <c r="U3094" t="s">
        <v>51374</v>
      </c>
      <c r="V3094" t="s">
        <v>61924</v>
      </c>
      <c r="W3094" t="s">
        <v>43087</v>
      </c>
      <c r="X3094" t="s">
        <v>46573</v>
      </c>
    </row>
    <row r="3095" spans="1:24">
      <c r="A3095">
        <f>HYPERLINK("https://www.philgeps.gov.ph/GEPSNONPILOT/Tender/SplashBidNoticeAbstractUI.aspx?menuIndex=3&amp;refID=7062324&amp;Result=3","7062324")</f>
        <v>0</v>
      </c>
      <c r="B3095" t="s">
        <v>1194</v>
      </c>
      <c r="C3095" t="s">
        <v>6525</v>
      </c>
      <c r="D3095" t="s">
        <v>18782</v>
      </c>
      <c r="E3095" t="s">
        <v>21712</v>
      </c>
      <c r="F3095" t="s">
        <v>32664</v>
      </c>
      <c r="G3095" t="s">
        <v>32672</v>
      </c>
      <c r="H3095" t="s">
        <v>12635</v>
      </c>
      <c r="I3095" t="s">
        <v>8730</v>
      </c>
      <c r="J3095" t="s">
        <v>34927</v>
      </c>
      <c r="K3095" t="s">
        <v>42283</v>
      </c>
      <c r="M3095" t="s">
        <v>43830</v>
      </c>
      <c r="N3095" t="s">
        <v>46569</v>
      </c>
      <c r="O3095" t="s">
        <v>46570</v>
      </c>
      <c r="P3095">
        <v>0</v>
      </c>
      <c r="Q3095">
        <v>0</v>
      </c>
      <c r="R3095" t="s">
        <v>46572</v>
      </c>
      <c r="S3095" t="s">
        <v>46689</v>
      </c>
      <c r="T3095" t="s">
        <v>48225</v>
      </c>
      <c r="U3095" t="s">
        <v>51310</v>
      </c>
      <c r="W3095" t="s">
        <v>43830</v>
      </c>
      <c r="X3095" t="s">
        <v>46573</v>
      </c>
    </row>
    <row r="3096" spans="1:24">
      <c r="A3096">
        <f>HYPERLINK("https://www.philgeps.gov.ph/GEPSNONPILOT/Tender/SplashBidNoticeAbstractUI.aspx?menuIndex=3&amp;refID=7062313&amp;Result=3","7062313")</f>
        <v>0</v>
      </c>
      <c r="B3096" t="s">
        <v>536</v>
      </c>
      <c r="C3096" t="s">
        <v>6337</v>
      </c>
      <c r="D3096" t="s">
        <v>18786</v>
      </c>
      <c r="E3096" t="s">
        <v>21713</v>
      </c>
      <c r="F3096" t="s">
        <v>32664</v>
      </c>
      <c r="G3096" t="s">
        <v>32671</v>
      </c>
      <c r="H3096" t="s">
        <v>12635</v>
      </c>
      <c r="I3096" t="s">
        <v>10370</v>
      </c>
      <c r="J3096" t="s">
        <v>33304</v>
      </c>
      <c r="K3096" t="s">
        <v>42281</v>
      </c>
      <c r="M3096" t="s">
        <v>43114</v>
      </c>
      <c r="N3096" t="s">
        <v>46569</v>
      </c>
      <c r="O3096" t="s">
        <v>46570</v>
      </c>
      <c r="P3096">
        <v>0</v>
      </c>
      <c r="Q3096">
        <v>2</v>
      </c>
      <c r="R3096" t="s">
        <v>46572</v>
      </c>
      <c r="S3096" t="s">
        <v>46689</v>
      </c>
      <c r="T3096" t="s">
        <v>48268</v>
      </c>
      <c r="U3096" t="s">
        <v>51375</v>
      </c>
      <c r="W3096" t="s">
        <v>43114</v>
      </c>
      <c r="X3096" t="s">
        <v>46573</v>
      </c>
    </row>
    <row r="3097" spans="1:24">
      <c r="A3097">
        <f>HYPERLINK("https://www.philgeps.gov.ph/GEPSNONPILOT/Tender/SplashBidNoticeAbstractUI.aspx?menuIndex=3&amp;refID=7062328&amp;Result=3","7062328")</f>
        <v>0</v>
      </c>
      <c r="B3097" t="s">
        <v>455</v>
      </c>
      <c r="C3097" t="s">
        <v>6526</v>
      </c>
      <c r="D3097" t="s">
        <v>18834</v>
      </c>
      <c r="E3097" t="s">
        <v>21714</v>
      </c>
      <c r="F3097" t="s">
        <v>32664</v>
      </c>
      <c r="G3097" t="s">
        <v>32671</v>
      </c>
      <c r="H3097" t="s">
        <v>12635</v>
      </c>
      <c r="I3097" t="s">
        <v>32774</v>
      </c>
      <c r="J3097" t="s">
        <v>34928</v>
      </c>
      <c r="K3097" t="s">
        <v>42281</v>
      </c>
      <c r="M3097" t="s">
        <v>43596</v>
      </c>
      <c r="N3097" t="s">
        <v>46569</v>
      </c>
      <c r="O3097" t="s">
        <v>46570</v>
      </c>
      <c r="P3097">
        <v>0</v>
      </c>
      <c r="Q3097">
        <v>3</v>
      </c>
      <c r="R3097" t="s">
        <v>46572</v>
      </c>
      <c r="S3097" t="s">
        <v>46689</v>
      </c>
      <c r="T3097" t="s">
        <v>48219</v>
      </c>
      <c r="U3097" t="s">
        <v>51376</v>
      </c>
      <c r="W3097" t="s">
        <v>43596</v>
      </c>
      <c r="X3097" t="s">
        <v>46573</v>
      </c>
    </row>
    <row r="3098" spans="1:24">
      <c r="A3098">
        <f>HYPERLINK("https://www.philgeps.gov.ph/GEPSNONPILOT/Tender/SplashBidNoticeAbstractUI.aspx?menuIndex=3&amp;refID=7062257&amp;Result=3","7062257")</f>
        <v>0</v>
      </c>
      <c r="B3098" t="s">
        <v>1219</v>
      </c>
      <c r="C3098" t="s">
        <v>6527</v>
      </c>
      <c r="D3098" t="s">
        <v>18791</v>
      </c>
      <c r="E3098" t="s">
        <v>21715</v>
      </c>
      <c r="F3098" t="s">
        <v>32664</v>
      </c>
      <c r="G3098" t="s">
        <v>32671</v>
      </c>
      <c r="H3098" t="s">
        <v>12635</v>
      </c>
      <c r="I3098" t="s">
        <v>5589</v>
      </c>
      <c r="J3098" t="s">
        <v>33265</v>
      </c>
      <c r="K3098" t="s">
        <v>42305</v>
      </c>
      <c r="M3098" t="s">
        <v>43857</v>
      </c>
      <c r="N3098" t="s">
        <v>46569</v>
      </c>
      <c r="O3098" t="s">
        <v>46570</v>
      </c>
      <c r="P3098">
        <v>0</v>
      </c>
      <c r="Q3098">
        <v>0</v>
      </c>
      <c r="R3098" t="s">
        <v>46572</v>
      </c>
      <c r="S3098" t="s">
        <v>46689</v>
      </c>
      <c r="T3098" t="s">
        <v>48305</v>
      </c>
      <c r="U3098" t="s">
        <v>51377</v>
      </c>
      <c r="W3098" t="s">
        <v>43857</v>
      </c>
      <c r="X3098" t="s">
        <v>46573</v>
      </c>
    </row>
    <row r="3099" spans="1:24">
      <c r="A3099">
        <f>HYPERLINK("https://www.philgeps.gov.ph/GEPSNONPILOT/Tender/SplashBidNoticeAbstractUI.aspx?menuIndex=3&amp;refID=7062353&amp;Result=3","7062353")</f>
        <v>0</v>
      </c>
      <c r="B3099" t="s">
        <v>841</v>
      </c>
      <c r="C3099" t="s">
        <v>6528</v>
      </c>
      <c r="D3099" t="s">
        <v>18784</v>
      </c>
      <c r="E3099" t="s">
        <v>21716</v>
      </c>
      <c r="F3099" t="s">
        <v>32664</v>
      </c>
      <c r="G3099" t="s">
        <v>32674</v>
      </c>
      <c r="H3099" t="s">
        <v>12635</v>
      </c>
      <c r="I3099" t="s">
        <v>6168</v>
      </c>
      <c r="J3099" t="s">
        <v>34929</v>
      </c>
      <c r="K3099" t="s">
        <v>42283</v>
      </c>
      <c r="M3099" t="s">
        <v>43436</v>
      </c>
      <c r="N3099" t="s">
        <v>46569</v>
      </c>
      <c r="O3099" t="s">
        <v>46570</v>
      </c>
      <c r="P3099">
        <v>0</v>
      </c>
      <c r="Q3099">
        <v>1</v>
      </c>
      <c r="R3099" t="s">
        <v>46572</v>
      </c>
      <c r="S3099" t="s">
        <v>46689</v>
      </c>
      <c r="T3099" t="s">
        <v>48249</v>
      </c>
      <c r="U3099" t="s">
        <v>51378</v>
      </c>
      <c r="W3099" t="s">
        <v>43436</v>
      </c>
      <c r="X3099" t="s">
        <v>46573</v>
      </c>
    </row>
    <row r="3100" spans="1:24">
      <c r="A3100">
        <f>HYPERLINK("https://www.philgeps.gov.ph/GEPSNONPILOT/Tender/SplashBidNoticeAbstractUI.aspx?menuIndex=3&amp;refID=7062318&amp;Result=3","7062318")</f>
        <v>0</v>
      </c>
      <c r="B3100" t="s">
        <v>698</v>
      </c>
      <c r="C3100" t="s">
        <v>6529</v>
      </c>
      <c r="D3100" t="s">
        <v>18784</v>
      </c>
      <c r="E3100" t="s">
        <v>21717</v>
      </c>
      <c r="F3100" t="s">
        <v>32664</v>
      </c>
      <c r="G3100" t="s">
        <v>32671</v>
      </c>
      <c r="H3100" t="s">
        <v>12635</v>
      </c>
      <c r="I3100" t="s">
        <v>5589</v>
      </c>
      <c r="J3100" t="s">
        <v>33309</v>
      </c>
      <c r="K3100" t="s">
        <v>42284</v>
      </c>
      <c r="M3100" t="s">
        <v>43802</v>
      </c>
      <c r="N3100" t="s">
        <v>46569</v>
      </c>
      <c r="O3100" t="s">
        <v>46570</v>
      </c>
      <c r="P3100">
        <v>0</v>
      </c>
      <c r="Q3100">
        <v>13</v>
      </c>
      <c r="R3100" t="s">
        <v>46572</v>
      </c>
      <c r="S3100" t="s">
        <v>46689</v>
      </c>
      <c r="T3100" t="s">
        <v>48256</v>
      </c>
      <c r="U3100" t="s">
        <v>51379</v>
      </c>
      <c r="W3100" t="s">
        <v>43802</v>
      </c>
      <c r="X3100" t="s">
        <v>46573</v>
      </c>
    </row>
    <row r="3101" spans="1:24">
      <c r="A3101">
        <f>HYPERLINK("https://www.philgeps.gov.ph/GEPSNONPILOT/Tender/SplashBidNoticeAbstractUI.aspx?menuIndex=3&amp;refID=7062352&amp;Result=3","7062352")</f>
        <v>0</v>
      </c>
      <c r="B3101" t="s">
        <v>438</v>
      </c>
      <c r="C3101" t="s">
        <v>6530</v>
      </c>
      <c r="D3101" t="s">
        <v>18855</v>
      </c>
      <c r="E3101" t="s">
        <v>21718</v>
      </c>
      <c r="F3101" t="s">
        <v>32664</v>
      </c>
      <c r="G3101" t="s">
        <v>32672</v>
      </c>
      <c r="H3101" t="s">
        <v>32683</v>
      </c>
      <c r="I3101" t="s">
        <v>10627</v>
      </c>
      <c r="J3101" t="s">
        <v>34930</v>
      </c>
      <c r="K3101" t="s">
        <v>42352</v>
      </c>
      <c r="M3101" t="s">
        <v>43010</v>
      </c>
      <c r="N3101" t="s">
        <v>46569</v>
      </c>
      <c r="O3101" t="s">
        <v>46570</v>
      </c>
      <c r="P3101">
        <v>0</v>
      </c>
      <c r="Q3101">
        <v>3</v>
      </c>
      <c r="R3101" t="s">
        <v>46572</v>
      </c>
      <c r="S3101" t="s">
        <v>46689</v>
      </c>
      <c r="T3101" t="s">
        <v>48308</v>
      </c>
      <c r="U3101" t="s">
        <v>51380</v>
      </c>
      <c r="W3101" t="s">
        <v>43010</v>
      </c>
      <c r="X3101" t="s">
        <v>46573</v>
      </c>
    </row>
    <row r="3102" spans="1:24">
      <c r="A3102">
        <f>HYPERLINK("https://www.philgeps.gov.ph/GEPSNONPILOT/Tender/SplashBidNoticeAbstractUI.aspx?menuIndex=3&amp;refID=7062351&amp;Result=3","7062351")</f>
        <v>0</v>
      </c>
      <c r="B3102" t="s">
        <v>1184</v>
      </c>
      <c r="C3102" t="s">
        <v>6531</v>
      </c>
      <c r="D3102" t="s">
        <v>18829</v>
      </c>
      <c r="E3102" t="s">
        <v>21719</v>
      </c>
      <c r="F3102" t="s">
        <v>32664</v>
      </c>
      <c r="G3102" t="s">
        <v>32671</v>
      </c>
      <c r="H3102" t="s">
        <v>12635</v>
      </c>
      <c r="I3102" t="s">
        <v>8797</v>
      </c>
      <c r="J3102" t="s">
        <v>34931</v>
      </c>
      <c r="K3102" t="s">
        <v>42284</v>
      </c>
      <c r="M3102" t="s">
        <v>43820</v>
      </c>
      <c r="N3102" t="s">
        <v>46569</v>
      </c>
      <c r="O3102" t="s">
        <v>46570</v>
      </c>
      <c r="P3102">
        <v>0</v>
      </c>
      <c r="Q3102">
        <v>0</v>
      </c>
      <c r="R3102" t="s">
        <v>46572</v>
      </c>
      <c r="S3102" t="s">
        <v>46689</v>
      </c>
      <c r="T3102" t="s">
        <v>48296</v>
      </c>
      <c r="U3102" t="s">
        <v>51292</v>
      </c>
      <c r="W3102" t="s">
        <v>43820</v>
      </c>
      <c r="X3102" t="s">
        <v>46573</v>
      </c>
    </row>
    <row r="3103" spans="1:24">
      <c r="A3103">
        <f>HYPERLINK("https://www.philgeps.gov.ph/GEPSNONPILOT/Tender/SplashBidNoticeAbstractUI.aspx?menuIndex=3&amp;refID=7062346&amp;Result=3","7062346")</f>
        <v>0</v>
      </c>
      <c r="B3103" t="s">
        <v>576</v>
      </c>
      <c r="C3103" t="s">
        <v>6532</v>
      </c>
      <c r="D3103" t="s">
        <v>18804</v>
      </c>
      <c r="E3103" t="s">
        <v>21720</v>
      </c>
      <c r="F3103" t="s">
        <v>32664</v>
      </c>
      <c r="G3103" t="s">
        <v>32672</v>
      </c>
      <c r="H3103" t="s">
        <v>12635</v>
      </c>
      <c r="I3103" t="s">
        <v>9486</v>
      </c>
      <c r="J3103" t="s">
        <v>33128</v>
      </c>
      <c r="K3103" t="s">
        <v>42297</v>
      </c>
      <c r="M3103" t="s">
        <v>43156</v>
      </c>
      <c r="N3103" t="s">
        <v>46569</v>
      </c>
      <c r="O3103" t="s">
        <v>46570</v>
      </c>
      <c r="P3103">
        <v>0</v>
      </c>
      <c r="Q3103">
        <v>0</v>
      </c>
      <c r="R3103" t="s">
        <v>46572</v>
      </c>
      <c r="S3103" t="s">
        <v>46689</v>
      </c>
      <c r="T3103" t="s">
        <v>48274</v>
      </c>
      <c r="U3103" t="s">
        <v>51381</v>
      </c>
      <c r="W3103" t="s">
        <v>43156</v>
      </c>
      <c r="X3103" t="s">
        <v>46573</v>
      </c>
    </row>
    <row r="3104" spans="1:24">
      <c r="A3104">
        <f>HYPERLINK("https://www.philgeps.gov.ph/GEPSNONPILOT/Tender/SplashBidNoticeAbstractUI.aspx?menuIndex=3&amp;refID=7062344&amp;Result=3","7062344")</f>
        <v>0</v>
      </c>
      <c r="B3104" t="s">
        <v>1183</v>
      </c>
      <c r="C3104" t="s">
        <v>6533</v>
      </c>
      <c r="D3104" t="s">
        <v>18788</v>
      </c>
      <c r="E3104" t="s">
        <v>21721</v>
      </c>
      <c r="F3104" t="s">
        <v>32664</v>
      </c>
      <c r="G3104" t="s">
        <v>32672</v>
      </c>
      <c r="H3104" t="s">
        <v>12635</v>
      </c>
      <c r="I3104" t="s">
        <v>32706</v>
      </c>
      <c r="J3104" t="s">
        <v>34932</v>
      </c>
      <c r="K3104" t="s">
        <v>42284</v>
      </c>
      <c r="M3104" t="s">
        <v>43819</v>
      </c>
      <c r="N3104" t="s">
        <v>46569</v>
      </c>
      <c r="O3104" t="s">
        <v>46570</v>
      </c>
      <c r="P3104">
        <v>0</v>
      </c>
      <c r="Q3104">
        <v>0</v>
      </c>
      <c r="R3104" t="s">
        <v>46572</v>
      </c>
      <c r="S3104" t="s">
        <v>46689</v>
      </c>
      <c r="T3104" t="s">
        <v>48412</v>
      </c>
      <c r="U3104" t="s">
        <v>51288</v>
      </c>
      <c r="W3104" t="s">
        <v>43819</v>
      </c>
      <c r="X3104" t="s">
        <v>46573</v>
      </c>
    </row>
    <row r="3105" spans="1:24">
      <c r="A3105">
        <f>HYPERLINK("https://www.philgeps.gov.ph/GEPSNONPILOT/Tender/SplashBidNoticeAbstractUI.aspx?menuIndex=3&amp;refID=7062341&amp;Result=3","7062341")</f>
        <v>0</v>
      </c>
      <c r="B3105" t="s">
        <v>1047</v>
      </c>
      <c r="C3105" t="s">
        <v>6534</v>
      </c>
      <c r="D3105" t="s">
        <v>18803</v>
      </c>
      <c r="E3105" t="s">
        <v>21722</v>
      </c>
      <c r="F3105" t="s">
        <v>32664</v>
      </c>
      <c r="G3105" t="s">
        <v>32672</v>
      </c>
      <c r="H3105" t="s">
        <v>32682</v>
      </c>
      <c r="I3105" t="s">
        <v>11464</v>
      </c>
      <c r="J3105" t="s">
        <v>34933</v>
      </c>
      <c r="K3105" t="s">
        <v>42298</v>
      </c>
      <c r="M3105" t="s">
        <v>43663</v>
      </c>
      <c r="N3105" t="s">
        <v>46569</v>
      </c>
      <c r="O3105" t="s">
        <v>46570</v>
      </c>
      <c r="P3105">
        <v>0</v>
      </c>
      <c r="Q3105">
        <v>10</v>
      </c>
      <c r="R3105" t="s">
        <v>46572</v>
      </c>
      <c r="S3105" t="s">
        <v>46689</v>
      </c>
      <c r="T3105" t="s">
        <v>48273</v>
      </c>
      <c r="U3105" t="s">
        <v>51382</v>
      </c>
      <c r="W3105" t="s">
        <v>43663</v>
      </c>
      <c r="X3105" t="s">
        <v>46573</v>
      </c>
    </row>
    <row r="3106" spans="1:24">
      <c r="A3106">
        <f>HYPERLINK("https://www.philgeps.gov.ph/GEPSNONPILOT/Tender/SplashBidNoticeAbstractUI.aspx?menuIndex=3&amp;refID=7062340&amp;Result=3","7062340")</f>
        <v>0</v>
      </c>
      <c r="B3106" t="s">
        <v>1220</v>
      </c>
      <c r="C3106" t="s">
        <v>6535</v>
      </c>
      <c r="D3106" t="s">
        <v>18792</v>
      </c>
      <c r="E3106" t="s">
        <v>21723</v>
      </c>
      <c r="F3106" t="s">
        <v>32664</v>
      </c>
      <c r="G3106" t="s">
        <v>32672</v>
      </c>
      <c r="H3106" t="s">
        <v>32683</v>
      </c>
      <c r="I3106" t="s">
        <v>10627</v>
      </c>
      <c r="J3106" t="s">
        <v>34934</v>
      </c>
      <c r="K3106" t="s">
        <v>42402</v>
      </c>
      <c r="M3106" t="s">
        <v>43858</v>
      </c>
      <c r="N3106" t="s">
        <v>46569</v>
      </c>
      <c r="O3106" t="s">
        <v>46570</v>
      </c>
      <c r="P3106">
        <v>0</v>
      </c>
      <c r="Q3106">
        <v>1</v>
      </c>
      <c r="R3106" t="s">
        <v>46572</v>
      </c>
      <c r="S3106" t="s">
        <v>46689</v>
      </c>
      <c r="T3106" t="s">
        <v>48274</v>
      </c>
      <c r="U3106" t="s">
        <v>51383</v>
      </c>
      <c r="W3106" t="s">
        <v>43858</v>
      </c>
      <c r="X3106" t="s">
        <v>46573</v>
      </c>
    </row>
    <row r="3107" spans="1:24">
      <c r="A3107">
        <f>HYPERLINK("https://www.philgeps.gov.ph/GEPSNONPILOT/Tender/SplashBidNoticeAbstractUI.aspx?menuIndex=3&amp;refID=7062347&amp;Result=3","7062347")</f>
        <v>0</v>
      </c>
      <c r="B3107" t="s">
        <v>1119</v>
      </c>
      <c r="C3107" t="s">
        <v>6536</v>
      </c>
      <c r="D3107" t="s">
        <v>18835</v>
      </c>
      <c r="E3107" t="s">
        <v>21724</v>
      </c>
      <c r="F3107" t="s">
        <v>32664</v>
      </c>
      <c r="G3107" t="s">
        <v>32674</v>
      </c>
      <c r="H3107" t="s">
        <v>12635</v>
      </c>
      <c r="I3107" t="s">
        <v>4439</v>
      </c>
      <c r="J3107" t="s">
        <v>34935</v>
      </c>
      <c r="K3107" t="s">
        <v>42297</v>
      </c>
      <c r="M3107" t="s">
        <v>43748</v>
      </c>
      <c r="N3107" t="s">
        <v>46569</v>
      </c>
      <c r="O3107" t="s">
        <v>46570</v>
      </c>
      <c r="P3107">
        <v>0</v>
      </c>
      <c r="Q3107">
        <v>0</v>
      </c>
      <c r="R3107" t="s">
        <v>46572</v>
      </c>
      <c r="S3107" t="s">
        <v>46689</v>
      </c>
      <c r="T3107" t="s">
        <v>48268</v>
      </c>
      <c r="U3107" t="s">
        <v>51384</v>
      </c>
      <c r="W3107" t="s">
        <v>43748</v>
      </c>
      <c r="X3107" t="s">
        <v>46573</v>
      </c>
    </row>
    <row r="3108" spans="1:24">
      <c r="A3108">
        <f>HYPERLINK("https://www.philgeps.gov.ph/GEPSNONPILOT/Tender/SplashBidNoticeAbstractUI.aspx?menuIndex=3&amp;refID=7062314&amp;Result=3","7062314")</f>
        <v>0</v>
      </c>
      <c r="B3108" t="s">
        <v>1221</v>
      </c>
      <c r="C3108" t="s">
        <v>6537</v>
      </c>
      <c r="D3108" t="s">
        <v>18782</v>
      </c>
      <c r="E3108" t="s">
        <v>21725</v>
      </c>
      <c r="F3108" t="s">
        <v>32664</v>
      </c>
      <c r="G3108" t="s">
        <v>32671</v>
      </c>
      <c r="H3108" t="s">
        <v>12635</v>
      </c>
      <c r="I3108" t="s">
        <v>32690</v>
      </c>
      <c r="J3108" t="s">
        <v>33706</v>
      </c>
      <c r="K3108" t="s">
        <v>42284</v>
      </c>
      <c r="M3108" t="s">
        <v>43859</v>
      </c>
      <c r="N3108" t="s">
        <v>46569</v>
      </c>
      <c r="O3108" t="s">
        <v>46570</v>
      </c>
      <c r="P3108">
        <v>0</v>
      </c>
      <c r="Q3108">
        <v>3</v>
      </c>
      <c r="R3108" t="s">
        <v>46572</v>
      </c>
      <c r="S3108" t="s">
        <v>46689</v>
      </c>
      <c r="T3108" t="s">
        <v>48221</v>
      </c>
      <c r="U3108" t="s">
        <v>51385</v>
      </c>
      <c r="W3108" t="s">
        <v>43859</v>
      </c>
      <c r="X3108" t="s">
        <v>46573</v>
      </c>
    </row>
    <row r="3109" spans="1:24">
      <c r="A3109">
        <f>HYPERLINK("https://www.philgeps.gov.ph/GEPSNONPILOT/Tender/SplashBidNoticeAbstractUI.aspx?menuIndex=3&amp;refID=7062338&amp;Result=3","7062338")</f>
        <v>0</v>
      </c>
      <c r="B3109" t="s">
        <v>1222</v>
      </c>
      <c r="C3109" t="s">
        <v>6538</v>
      </c>
      <c r="D3109" t="s">
        <v>18856</v>
      </c>
      <c r="E3109" t="s">
        <v>21726</v>
      </c>
      <c r="F3109" t="s">
        <v>32664</v>
      </c>
      <c r="G3109" t="s">
        <v>32672</v>
      </c>
      <c r="H3109" t="s">
        <v>32683</v>
      </c>
      <c r="I3109" t="s">
        <v>4439</v>
      </c>
      <c r="J3109" t="s">
        <v>34936</v>
      </c>
      <c r="K3109" t="s">
        <v>42289</v>
      </c>
      <c r="M3109" t="s">
        <v>43860</v>
      </c>
      <c r="N3109" t="s">
        <v>46569</v>
      </c>
      <c r="O3109" t="s">
        <v>46570</v>
      </c>
      <c r="P3109">
        <v>0</v>
      </c>
      <c r="Q3109">
        <v>0</v>
      </c>
      <c r="R3109" t="s">
        <v>46572</v>
      </c>
      <c r="S3109" t="s">
        <v>46689</v>
      </c>
      <c r="T3109" t="s">
        <v>48346</v>
      </c>
      <c r="U3109" t="s">
        <v>51386</v>
      </c>
      <c r="V3109" t="s">
        <v>61934</v>
      </c>
      <c r="W3109" t="s">
        <v>43860</v>
      </c>
      <c r="X3109" t="s">
        <v>46573</v>
      </c>
    </row>
    <row r="3110" spans="1:24">
      <c r="A3110">
        <f>HYPERLINK("https://www.philgeps.gov.ph/GEPSNONPILOT/Tender/SplashBidNoticeAbstractUI.aspx?menuIndex=3&amp;refID=7062343&amp;Result=3","7062343")</f>
        <v>0</v>
      </c>
      <c r="B3110" t="s">
        <v>1223</v>
      </c>
      <c r="C3110" t="s">
        <v>6539</v>
      </c>
      <c r="D3110" t="s">
        <v>18833</v>
      </c>
      <c r="E3110" t="s">
        <v>21727</v>
      </c>
      <c r="F3110" t="s">
        <v>32664</v>
      </c>
      <c r="G3110" t="s">
        <v>32671</v>
      </c>
      <c r="H3110" t="s">
        <v>12635</v>
      </c>
      <c r="I3110" t="s">
        <v>4439</v>
      </c>
      <c r="J3110" t="s">
        <v>34937</v>
      </c>
      <c r="K3110" t="s">
        <v>42295</v>
      </c>
      <c r="M3110" t="s">
        <v>43861</v>
      </c>
      <c r="N3110" t="s">
        <v>46569</v>
      </c>
      <c r="O3110" t="s">
        <v>46570</v>
      </c>
      <c r="P3110">
        <v>0</v>
      </c>
      <c r="Q3110">
        <v>0</v>
      </c>
      <c r="R3110" t="s">
        <v>46572</v>
      </c>
      <c r="S3110" t="s">
        <v>46689</v>
      </c>
      <c r="T3110" t="s">
        <v>48219</v>
      </c>
      <c r="U3110" t="s">
        <v>51387</v>
      </c>
      <c r="W3110" t="s">
        <v>43861</v>
      </c>
      <c r="X3110" t="s">
        <v>46573</v>
      </c>
    </row>
    <row r="3111" spans="1:24">
      <c r="A3111">
        <f>HYPERLINK("https://www.philgeps.gov.ph/GEPSNONPILOT/Tender/SplashBidNoticeAbstractUI.aspx?menuIndex=3&amp;refID=7062337&amp;Result=3","7062337")</f>
        <v>0</v>
      </c>
      <c r="B3111" t="s">
        <v>203</v>
      </c>
      <c r="C3111" t="s">
        <v>6540</v>
      </c>
      <c r="D3111" t="s">
        <v>18842</v>
      </c>
      <c r="E3111" t="s">
        <v>21728</v>
      </c>
      <c r="F3111" t="s">
        <v>32664</v>
      </c>
      <c r="G3111" t="s">
        <v>32671</v>
      </c>
      <c r="H3111" t="s">
        <v>32683</v>
      </c>
      <c r="I3111" t="s">
        <v>10627</v>
      </c>
      <c r="J3111" t="s">
        <v>34938</v>
      </c>
      <c r="K3111" t="s">
        <v>42298</v>
      </c>
      <c r="M3111" t="s">
        <v>43862</v>
      </c>
      <c r="N3111" t="s">
        <v>46569</v>
      </c>
      <c r="O3111" t="s">
        <v>46570</v>
      </c>
      <c r="P3111">
        <v>0</v>
      </c>
      <c r="Q3111">
        <v>0</v>
      </c>
      <c r="R3111" t="s">
        <v>46572</v>
      </c>
      <c r="S3111" t="s">
        <v>46689</v>
      </c>
      <c r="T3111" t="s">
        <v>48459</v>
      </c>
      <c r="U3111" t="s">
        <v>51388</v>
      </c>
      <c r="V3111" t="s">
        <v>61935</v>
      </c>
      <c r="W3111" t="s">
        <v>43862</v>
      </c>
      <c r="X3111" t="s">
        <v>46573</v>
      </c>
    </row>
    <row r="3112" spans="1:24">
      <c r="A3112">
        <f>HYPERLINK("https://www.philgeps.gov.ph/GEPSNONPILOT/Tender/SplashBidNoticeAbstractUI.aspx?menuIndex=3&amp;refID=7062336&amp;Result=3","7062336")</f>
        <v>0</v>
      </c>
      <c r="B3112" t="s">
        <v>1224</v>
      </c>
      <c r="C3112" t="s">
        <v>6541</v>
      </c>
      <c r="D3112" t="s">
        <v>18818</v>
      </c>
      <c r="E3112" t="s">
        <v>21729</v>
      </c>
      <c r="F3112" t="s">
        <v>32664</v>
      </c>
      <c r="G3112" t="s">
        <v>32674</v>
      </c>
      <c r="H3112" t="s">
        <v>12635</v>
      </c>
      <c r="I3112" t="s">
        <v>8730</v>
      </c>
      <c r="J3112" t="s">
        <v>34939</v>
      </c>
      <c r="K3112" t="s">
        <v>42295</v>
      </c>
      <c r="M3112" t="s">
        <v>43863</v>
      </c>
      <c r="N3112" t="s">
        <v>46569</v>
      </c>
      <c r="O3112" t="s">
        <v>46570</v>
      </c>
      <c r="P3112">
        <v>0</v>
      </c>
      <c r="Q3112">
        <v>1</v>
      </c>
      <c r="R3112" t="s">
        <v>46572</v>
      </c>
      <c r="S3112" t="s">
        <v>46689</v>
      </c>
      <c r="T3112" t="s">
        <v>48254</v>
      </c>
      <c r="U3112" t="s">
        <v>51389</v>
      </c>
      <c r="W3112" t="s">
        <v>43863</v>
      </c>
      <c r="X3112" t="s">
        <v>46573</v>
      </c>
    </row>
    <row r="3113" spans="1:24">
      <c r="A3113">
        <f>HYPERLINK("https://www.philgeps.gov.ph/GEPSNONPILOT/Tender/SplashBidNoticeAbstractUI.aspx?menuIndex=3&amp;refID=7062339&amp;Result=3","7062339")</f>
        <v>0</v>
      </c>
      <c r="B3113" t="s">
        <v>1225</v>
      </c>
      <c r="C3113" t="s">
        <v>6542</v>
      </c>
      <c r="D3113" t="s">
        <v>18830</v>
      </c>
      <c r="E3113" t="s">
        <v>21730</v>
      </c>
      <c r="F3113" t="s">
        <v>32664</v>
      </c>
      <c r="G3113" t="s">
        <v>32671</v>
      </c>
      <c r="H3113" t="s">
        <v>12635</v>
      </c>
      <c r="I3113" t="s">
        <v>10361</v>
      </c>
      <c r="J3113" t="s">
        <v>33051</v>
      </c>
      <c r="K3113" t="s">
        <v>42283</v>
      </c>
      <c r="M3113" t="s">
        <v>43864</v>
      </c>
      <c r="N3113" t="s">
        <v>46569</v>
      </c>
      <c r="O3113" t="s">
        <v>46570</v>
      </c>
      <c r="P3113">
        <v>0</v>
      </c>
      <c r="Q3113">
        <v>4</v>
      </c>
      <c r="R3113" t="s">
        <v>46572</v>
      </c>
      <c r="S3113" t="s">
        <v>46689</v>
      </c>
      <c r="T3113" t="s">
        <v>48280</v>
      </c>
      <c r="U3113" t="s">
        <v>51390</v>
      </c>
      <c r="W3113" t="s">
        <v>43864</v>
      </c>
      <c r="X3113" t="s">
        <v>46573</v>
      </c>
    </row>
    <row r="3114" spans="1:24">
      <c r="A3114">
        <f>HYPERLINK("https://www.philgeps.gov.ph/GEPSNONPILOT/Tender/SplashBidNoticeAbstractUI.aspx?menuIndex=3&amp;refID=7062315&amp;Result=3","7062315")</f>
        <v>0</v>
      </c>
      <c r="B3114" t="s">
        <v>1226</v>
      </c>
      <c r="C3114" t="s">
        <v>6543</v>
      </c>
      <c r="D3114" t="s">
        <v>18826</v>
      </c>
      <c r="E3114" t="s">
        <v>20634</v>
      </c>
      <c r="F3114" t="s">
        <v>32664</v>
      </c>
      <c r="G3114" t="s">
        <v>32672</v>
      </c>
      <c r="H3114" t="s">
        <v>12635</v>
      </c>
      <c r="I3114" t="s">
        <v>8797</v>
      </c>
      <c r="J3114" t="s">
        <v>34940</v>
      </c>
      <c r="K3114" t="s">
        <v>42297</v>
      </c>
      <c r="M3114" t="s">
        <v>43865</v>
      </c>
      <c r="N3114" t="s">
        <v>46569</v>
      </c>
      <c r="O3114" t="s">
        <v>46570</v>
      </c>
      <c r="P3114">
        <v>0</v>
      </c>
      <c r="Q3114">
        <v>7</v>
      </c>
      <c r="R3114" t="s">
        <v>46572</v>
      </c>
      <c r="S3114" t="s">
        <v>46689</v>
      </c>
      <c r="T3114" t="s">
        <v>48285</v>
      </c>
      <c r="U3114" t="s">
        <v>51391</v>
      </c>
      <c r="W3114" t="s">
        <v>43865</v>
      </c>
      <c r="X3114" t="s">
        <v>46573</v>
      </c>
    </row>
    <row r="3115" spans="1:24">
      <c r="A3115">
        <f>HYPERLINK("https://www.philgeps.gov.ph/GEPSNONPILOT/Tender/SplashBidNoticeAbstractUI.aspx?menuIndex=3&amp;refID=7062331&amp;Result=3","7062331")</f>
        <v>0</v>
      </c>
      <c r="B3115" t="s">
        <v>212</v>
      </c>
      <c r="C3115" t="s">
        <v>6544</v>
      </c>
      <c r="D3115" t="s">
        <v>18844</v>
      </c>
      <c r="E3115" t="s">
        <v>21731</v>
      </c>
      <c r="F3115" t="s">
        <v>32664</v>
      </c>
      <c r="G3115" t="s">
        <v>32677</v>
      </c>
      <c r="H3115" t="s">
        <v>12635</v>
      </c>
      <c r="I3115" t="s">
        <v>10361</v>
      </c>
      <c r="J3115" t="s">
        <v>33024</v>
      </c>
      <c r="K3115" t="s">
        <v>42283</v>
      </c>
      <c r="M3115" t="s">
        <v>42776</v>
      </c>
      <c r="N3115" t="s">
        <v>46569</v>
      </c>
      <c r="O3115" t="s">
        <v>46570</v>
      </c>
      <c r="P3115">
        <v>0</v>
      </c>
      <c r="Q3115">
        <v>0</v>
      </c>
      <c r="R3115" t="s">
        <v>46572</v>
      </c>
      <c r="S3115" t="s">
        <v>46689</v>
      </c>
      <c r="T3115" t="s">
        <v>48311</v>
      </c>
      <c r="U3115" t="s">
        <v>51392</v>
      </c>
      <c r="V3115" t="s">
        <v>61668</v>
      </c>
      <c r="W3115" t="s">
        <v>42776</v>
      </c>
      <c r="X3115" t="s">
        <v>46573</v>
      </c>
    </row>
    <row r="3116" spans="1:24">
      <c r="A3116">
        <f>HYPERLINK("https://www.philgeps.gov.ph/GEPSNONPILOT/Tender/SplashBidNoticeAbstractUI.aspx?menuIndex=3&amp;refID=7062258&amp;Result=3","7062258")</f>
        <v>0</v>
      </c>
      <c r="B3116" t="s">
        <v>1129</v>
      </c>
      <c r="C3116" t="s">
        <v>6545</v>
      </c>
      <c r="D3116" t="s">
        <v>18833</v>
      </c>
      <c r="E3116" t="s">
        <v>21732</v>
      </c>
      <c r="F3116" t="s">
        <v>32664</v>
      </c>
      <c r="G3116" t="s">
        <v>32671</v>
      </c>
      <c r="H3116" t="s">
        <v>12635</v>
      </c>
      <c r="I3116" t="s">
        <v>9486</v>
      </c>
      <c r="J3116" t="s">
        <v>34941</v>
      </c>
      <c r="K3116" t="s">
        <v>42281</v>
      </c>
      <c r="M3116" t="s">
        <v>43758</v>
      </c>
      <c r="N3116" t="s">
        <v>46569</v>
      </c>
      <c r="O3116" t="s">
        <v>46570</v>
      </c>
      <c r="P3116">
        <v>0</v>
      </c>
      <c r="Q3116">
        <v>0</v>
      </c>
      <c r="R3116" t="s">
        <v>46572</v>
      </c>
      <c r="S3116" t="s">
        <v>46689</v>
      </c>
      <c r="T3116" t="s">
        <v>48244</v>
      </c>
      <c r="U3116" t="s">
        <v>51393</v>
      </c>
      <c r="W3116" t="s">
        <v>43758</v>
      </c>
      <c r="X3116" t="s">
        <v>46573</v>
      </c>
    </row>
    <row r="3117" spans="1:24">
      <c r="A3117">
        <f>HYPERLINK("https://www.philgeps.gov.ph/GEPSNONPILOT/Tender/SplashBidNoticeAbstractUI.aspx?menuIndex=3&amp;refID=7062327&amp;Result=3","7062327")</f>
        <v>0</v>
      </c>
      <c r="B3117" t="s">
        <v>1227</v>
      </c>
      <c r="C3117" t="s">
        <v>6546</v>
      </c>
      <c r="D3117" t="s">
        <v>18784</v>
      </c>
      <c r="E3117" t="s">
        <v>21733</v>
      </c>
      <c r="F3117" t="s">
        <v>32664</v>
      </c>
      <c r="G3117" t="s">
        <v>32675</v>
      </c>
      <c r="H3117" t="s">
        <v>12635</v>
      </c>
      <c r="I3117" t="s">
        <v>6628</v>
      </c>
      <c r="J3117" t="s">
        <v>34942</v>
      </c>
      <c r="K3117" t="s">
        <v>42284</v>
      </c>
      <c r="M3117" t="s">
        <v>43866</v>
      </c>
      <c r="N3117" t="s">
        <v>46569</v>
      </c>
      <c r="O3117" t="s">
        <v>46570</v>
      </c>
      <c r="P3117">
        <v>0</v>
      </c>
      <c r="Q3117">
        <v>5</v>
      </c>
      <c r="R3117" t="s">
        <v>46572</v>
      </c>
      <c r="S3117" t="s">
        <v>46689</v>
      </c>
      <c r="T3117" t="s">
        <v>48282</v>
      </c>
      <c r="U3117" t="s">
        <v>51394</v>
      </c>
      <c r="V3117" t="s">
        <v>61936</v>
      </c>
      <c r="W3117" t="s">
        <v>43866</v>
      </c>
      <c r="X3117" t="s">
        <v>46573</v>
      </c>
    </row>
    <row r="3118" spans="1:24">
      <c r="A3118">
        <f>HYPERLINK("https://www.philgeps.gov.ph/GEPSNONPILOT/Tender/SplashBidNoticeAbstractUI.aspx?menuIndex=3&amp;refID=7062335&amp;Result=3","7062335")</f>
        <v>0</v>
      </c>
      <c r="B3118" t="s">
        <v>585</v>
      </c>
      <c r="C3118" t="s">
        <v>6547</v>
      </c>
      <c r="D3118" t="s">
        <v>18834</v>
      </c>
      <c r="E3118" t="s">
        <v>21734</v>
      </c>
      <c r="F3118" t="s">
        <v>32664</v>
      </c>
      <c r="G3118" t="s">
        <v>32674</v>
      </c>
      <c r="H3118" t="s">
        <v>12635</v>
      </c>
      <c r="I3118" t="s">
        <v>6628</v>
      </c>
      <c r="J3118" t="s">
        <v>33249</v>
      </c>
      <c r="K3118" t="s">
        <v>42281</v>
      </c>
      <c r="M3118" t="s">
        <v>43165</v>
      </c>
      <c r="N3118" t="s">
        <v>46569</v>
      </c>
      <c r="O3118" t="s">
        <v>46570</v>
      </c>
      <c r="P3118">
        <v>0</v>
      </c>
      <c r="Q3118">
        <v>1</v>
      </c>
      <c r="R3118" t="s">
        <v>46572</v>
      </c>
      <c r="S3118" t="s">
        <v>46689</v>
      </c>
      <c r="T3118" t="s">
        <v>48427</v>
      </c>
      <c r="U3118" t="s">
        <v>51395</v>
      </c>
      <c r="W3118" t="s">
        <v>43165</v>
      </c>
      <c r="X3118" t="s">
        <v>46573</v>
      </c>
    </row>
    <row r="3119" spans="1:24">
      <c r="A3119">
        <f>HYPERLINK("https://www.philgeps.gov.ph/GEPSNONPILOT/Tender/SplashBidNoticeAbstractUI.aspx?menuIndex=3&amp;refID=7062308&amp;Result=3","7062308")</f>
        <v>0</v>
      </c>
      <c r="B3119" t="s">
        <v>1204</v>
      </c>
      <c r="C3119" t="s">
        <v>6548</v>
      </c>
      <c r="E3119" t="s">
        <v>21735</v>
      </c>
      <c r="F3119" t="s">
        <v>32664</v>
      </c>
      <c r="G3119" t="s">
        <v>32671</v>
      </c>
      <c r="H3119" t="s">
        <v>12635</v>
      </c>
      <c r="I3119" t="s">
        <v>5501</v>
      </c>
      <c r="J3119" t="s">
        <v>34943</v>
      </c>
      <c r="K3119" t="s">
        <v>42283</v>
      </c>
      <c r="M3119" t="s">
        <v>43841</v>
      </c>
      <c r="N3119" t="s">
        <v>46569</v>
      </c>
      <c r="O3119" t="s">
        <v>46570</v>
      </c>
      <c r="P3119">
        <v>0</v>
      </c>
      <c r="Q3119">
        <v>17</v>
      </c>
      <c r="R3119" t="s">
        <v>46572</v>
      </c>
      <c r="S3119" t="s">
        <v>46689</v>
      </c>
      <c r="T3119" t="s">
        <v>48219</v>
      </c>
      <c r="U3119" t="s">
        <v>51341</v>
      </c>
      <c r="W3119" t="s">
        <v>43841</v>
      </c>
      <c r="X3119" t="s">
        <v>46573</v>
      </c>
    </row>
    <row r="3120" spans="1:24">
      <c r="A3120">
        <f>HYPERLINK("https://www.philgeps.gov.ph/GEPSNONPILOT/Tender/SplashBidNoticeAbstractUI.aspx?menuIndex=3&amp;refID=7062332&amp;Result=3","7062332")</f>
        <v>0</v>
      </c>
      <c r="B3120" t="s">
        <v>1185</v>
      </c>
      <c r="C3120" t="s">
        <v>6549</v>
      </c>
      <c r="D3120" t="s">
        <v>18807</v>
      </c>
      <c r="E3120" t="s">
        <v>21736</v>
      </c>
      <c r="F3120" t="s">
        <v>32664</v>
      </c>
      <c r="G3120" t="s">
        <v>32672</v>
      </c>
      <c r="H3120" t="s">
        <v>12635</v>
      </c>
      <c r="I3120" t="s">
        <v>4439</v>
      </c>
      <c r="J3120" t="s">
        <v>34944</v>
      </c>
      <c r="K3120" t="s">
        <v>42297</v>
      </c>
      <c r="M3120" t="s">
        <v>43821</v>
      </c>
      <c r="N3120" t="s">
        <v>46569</v>
      </c>
      <c r="O3120" t="s">
        <v>46570</v>
      </c>
      <c r="P3120">
        <v>0</v>
      </c>
      <c r="Q3120">
        <v>0</v>
      </c>
      <c r="R3120" t="s">
        <v>46572</v>
      </c>
      <c r="S3120" t="s">
        <v>46689</v>
      </c>
      <c r="T3120" t="s">
        <v>48230</v>
      </c>
      <c r="U3120" t="s">
        <v>51358</v>
      </c>
      <c r="W3120" t="s">
        <v>43821</v>
      </c>
      <c r="X3120" t="s">
        <v>46573</v>
      </c>
    </row>
    <row r="3121" spans="1:24">
      <c r="A3121">
        <f>HYPERLINK("https://www.philgeps.gov.ph/GEPSNONPILOT/Tender/SplashBidNoticeAbstractUI.aspx?menuIndex=3&amp;refID=7062320&amp;Result=3","7062320")</f>
        <v>0</v>
      </c>
      <c r="B3121" t="s">
        <v>594</v>
      </c>
      <c r="C3121" t="s">
        <v>6550</v>
      </c>
      <c r="D3121" t="s">
        <v>18784</v>
      </c>
      <c r="E3121" t="s">
        <v>21737</v>
      </c>
      <c r="F3121" t="s">
        <v>32664</v>
      </c>
      <c r="G3121" t="s">
        <v>32674</v>
      </c>
      <c r="H3121" t="s">
        <v>12635</v>
      </c>
      <c r="I3121" t="s">
        <v>6223</v>
      </c>
      <c r="J3121" t="s">
        <v>34945</v>
      </c>
      <c r="K3121" t="s">
        <v>42297</v>
      </c>
      <c r="M3121" t="s">
        <v>43793</v>
      </c>
      <c r="N3121" t="s">
        <v>46569</v>
      </c>
      <c r="O3121" t="s">
        <v>46570</v>
      </c>
      <c r="P3121">
        <v>0</v>
      </c>
      <c r="Q3121">
        <v>1</v>
      </c>
      <c r="R3121" t="s">
        <v>46572</v>
      </c>
      <c r="S3121" t="s">
        <v>46689</v>
      </c>
      <c r="T3121" t="s">
        <v>48461</v>
      </c>
      <c r="U3121" t="s">
        <v>51396</v>
      </c>
      <c r="V3121" t="s">
        <v>61909</v>
      </c>
      <c r="W3121" t="s">
        <v>43793</v>
      </c>
      <c r="X3121" t="s">
        <v>46573</v>
      </c>
    </row>
    <row r="3122" spans="1:24">
      <c r="A3122">
        <f>HYPERLINK("https://www.philgeps.gov.ph/GEPSNONPILOT/Tender/SplashBidNoticeAbstractUI.aspx?menuIndex=3&amp;refID=7062305&amp;Result=3","7062305")</f>
        <v>0</v>
      </c>
      <c r="B3122" t="s">
        <v>1144</v>
      </c>
      <c r="C3122" t="s">
        <v>6551</v>
      </c>
      <c r="D3122" t="s">
        <v>18815</v>
      </c>
      <c r="E3122" t="s">
        <v>21738</v>
      </c>
      <c r="F3122" t="s">
        <v>32664</v>
      </c>
      <c r="G3122" t="s">
        <v>32671</v>
      </c>
      <c r="H3122" t="s">
        <v>12635</v>
      </c>
      <c r="I3122" t="s">
        <v>5589</v>
      </c>
      <c r="J3122" t="s">
        <v>34946</v>
      </c>
      <c r="K3122" t="s">
        <v>42283</v>
      </c>
      <c r="M3122" t="s">
        <v>43775</v>
      </c>
      <c r="N3122" t="s">
        <v>46569</v>
      </c>
      <c r="O3122" t="s">
        <v>46570</v>
      </c>
      <c r="P3122">
        <v>0</v>
      </c>
      <c r="Q3122">
        <v>0</v>
      </c>
      <c r="R3122" t="s">
        <v>46572</v>
      </c>
      <c r="S3122" t="s">
        <v>46689</v>
      </c>
      <c r="T3122" t="s">
        <v>48217</v>
      </c>
      <c r="U3122" t="s">
        <v>51397</v>
      </c>
      <c r="W3122" t="s">
        <v>43775</v>
      </c>
      <c r="X3122" t="s">
        <v>46573</v>
      </c>
    </row>
    <row r="3123" spans="1:24">
      <c r="A3123">
        <f>HYPERLINK("https://www.philgeps.gov.ph/GEPSNONPILOT/Tender/SplashBidNoticeAbstractUI.aspx?menuIndex=3&amp;refID=7062377&amp;Result=3","7062377")</f>
        <v>0</v>
      </c>
      <c r="B3123" t="s">
        <v>422</v>
      </c>
      <c r="C3123" t="s">
        <v>6552</v>
      </c>
      <c r="E3123" t="s">
        <v>21739</v>
      </c>
      <c r="F3123" t="s">
        <v>32664</v>
      </c>
      <c r="G3123" t="s">
        <v>32671</v>
      </c>
      <c r="H3123" t="s">
        <v>12635</v>
      </c>
      <c r="I3123" t="s">
        <v>32752</v>
      </c>
      <c r="J3123" t="s">
        <v>33015</v>
      </c>
      <c r="K3123" t="s">
        <v>42347</v>
      </c>
      <c r="M3123" t="s">
        <v>42993</v>
      </c>
      <c r="N3123" t="s">
        <v>46569</v>
      </c>
      <c r="O3123" t="s">
        <v>46570</v>
      </c>
      <c r="P3123">
        <v>0</v>
      </c>
      <c r="Q3123">
        <v>0</v>
      </c>
      <c r="R3123" t="s">
        <v>46572</v>
      </c>
      <c r="S3123" t="s">
        <v>46689</v>
      </c>
      <c r="T3123" t="s">
        <v>48244</v>
      </c>
      <c r="U3123" t="s">
        <v>51398</v>
      </c>
      <c r="W3123" t="s">
        <v>42993</v>
      </c>
      <c r="X3123" t="s">
        <v>46573</v>
      </c>
    </row>
    <row r="3124" spans="1:24">
      <c r="A3124">
        <f>HYPERLINK("https://www.philgeps.gov.ph/GEPSNONPILOT/Tender/SplashBidNoticeAbstractUI.aspx?menuIndex=3&amp;refID=7062333&amp;Result=3","7062333")</f>
        <v>0</v>
      </c>
      <c r="B3124" t="s">
        <v>529</v>
      </c>
      <c r="C3124" t="s">
        <v>6553</v>
      </c>
      <c r="D3124" t="s">
        <v>18788</v>
      </c>
      <c r="E3124" t="s">
        <v>21740</v>
      </c>
      <c r="F3124" t="s">
        <v>32664</v>
      </c>
      <c r="G3124" t="s">
        <v>32671</v>
      </c>
      <c r="H3124" t="s">
        <v>12635</v>
      </c>
      <c r="I3124" t="s">
        <v>6553</v>
      </c>
      <c r="J3124" t="s">
        <v>32865</v>
      </c>
      <c r="K3124" t="s">
        <v>42283</v>
      </c>
      <c r="M3124" t="s">
        <v>43116</v>
      </c>
      <c r="N3124" t="s">
        <v>46569</v>
      </c>
      <c r="O3124" t="s">
        <v>46570</v>
      </c>
      <c r="P3124">
        <v>0</v>
      </c>
      <c r="Q3124">
        <v>2</v>
      </c>
      <c r="R3124" t="s">
        <v>46572</v>
      </c>
      <c r="S3124" t="s">
        <v>46689</v>
      </c>
      <c r="T3124" t="s">
        <v>48251</v>
      </c>
      <c r="U3124" t="s">
        <v>51399</v>
      </c>
      <c r="V3124" t="s">
        <v>61748</v>
      </c>
      <c r="W3124" t="s">
        <v>43116</v>
      </c>
      <c r="X3124" t="s">
        <v>46573</v>
      </c>
    </row>
    <row r="3125" spans="1:24">
      <c r="A3125">
        <f>HYPERLINK("https://www.philgeps.gov.ph/GEPSNONPILOT/Tender/SplashBidNoticeAbstractUI.aspx?menuIndex=3&amp;refID=7062306&amp;Result=3","7062306")</f>
        <v>0</v>
      </c>
      <c r="B3125" t="s">
        <v>1183</v>
      </c>
      <c r="C3125" t="s">
        <v>6554</v>
      </c>
      <c r="D3125" t="s">
        <v>18788</v>
      </c>
      <c r="E3125" t="s">
        <v>21741</v>
      </c>
      <c r="F3125" t="s">
        <v>32664</v>
      </c>
      <c r="G3125" t="s">
        <v>32677</v>
      </c>
      <c r="H3125" t="s">
        <v>12635</v>
      </c>
      <c r="I3125" t="s">
        <v>32696</v>
      </c>
      <c r="J3125" t="s">
        <v>33244</v>
      </c>
      <c r="K3125" t="s">
        <v>42284</v>
      </c>
      <c r="M3125" t="s">
        <v>43819</v>
      </c>
      <c r="N3125" t="s">
        <v>46569</v>
      </c>
      <c r="O3125" t="s">
        <v>46570</v>
      </c>
      <c r="P3125">
        <v>0</v>
      </c>
      <c r="Q3125">
        <v>1</v>
      </c>
      <c r="R3125" t="s">
        <v>46572</v>
      </c>
      <c r="S3125" t="s">
        <v>46689</v>
      </c>
      <c r="T3125" t="s">
        <v>48258</v>
      </c>
      <c r="U3125" t="s">
        <v>51288</v>
      </c>
      <c r="W3125" t="s">
        <v>43819</v>
      </c>
      <c r="X3125" t="s">
        <v>46573</v>
      </c>
    </row>
    <row r="3126" spans="1:24">
      <c r="A3126">
        <f>HYPERLINK("https://www.philgeps.gov.ph/GEPSNONPILOT/Tender/SplashBidNoticeAbstractUI.aspx?menuIndex=3&amp;refID=7062376&amp;Result=3","7062376")</f>
        <v>0</v>
      </c>
      <c r="B3126" t="s">
        <v>1225</v>
      </c>
      <c r="C3126" t="s">
        <v>6555</v>
      </c>
      <c r="D3126" t="s">
        <v>18830</v>
      </c>
      <c r="E3126" t="s">
        <v>21742</v>
      </c>
      <c r="F3126" t="s">
        <v>32664</v>
      </c>
      <c r="G3126" t="s">
        <v>32671</v>
      </c>
      <c r="H3126" t="s">
        <v>12635</v>
      </c>
      <c r="I3126" t="s">
        <v>10370</v>
      </c>
      <c r="J3126" t="s">
        <v>32898</v>
      </c>
      <c r="K3126" t="s">
        <v>42283</v>
      </c>
      <c r="M3126" t="s">
        <v>43864</v>
      </c>
      <c r="N3126" t="s">
        <v>46569</v>
      </c>
      <c r="O3126" t="s">
        <v>46570</v>
      </c>
      <c r="P3126">
        <v>0</v>
      </c>
      <c r="Q3126">
        <v>1</v>
      </c>
      <c r="R3126" t="s">
        <v>46572</v>
      </c>
      <c r="S3126" t="s">
        <v>46689</v>
      </c>
      <c r="T3126" t="s">
        <v>48424</v>
      </c>
      <c r="U3126" t="s">
        <v>51390</v>
      </c>
      <c r="W3126" t="s">
        <v>43864</v>
      </c>
      <c r="X3126" t="s">
        <v>46573</v>
      </c>
    </row>
    <row r="3127" spans="1:24">
      <c r="A3127">
        <f>HYPERLINK("https://www.philgeps.gov.ph/GEPSNONPILOT/Tender/SplashBidNoticeAbstractUI.aspx?menuIndex=3&amp;refID=7062375&amp;Result=3","7062375")</f>
        <v>0</v>
      </c>
      <c r="B3127" t="s">
        <v>1227</v>
      </c>
      <c r="C3127" t="s">
        <v>6556</v>
      </c>
      <c r="D3127" t="s">
        <v>18784</v>
      </c>
      <c r="E3127" t="s">
        <v>21743</v>
      </c>
      <c r="F3127" t="s">
        <v>32664</v>
      </c>
      <c r="G3127" t="s">
        <v>32675</v>
      </c>
      <c r="H3127" t="s">
        <v>12635</v>
      </c>
      <c r="I3127" t="s">
        <v>8958</v>
      </c>
      <c r="J3127" t="s">
        <v>33909</v>
      </c>
      <c r="K3127" t="s">
        <v>42284</v>
      </c>
      <c r="M3127" t="s">
        <v>43866</v>
      </c>
      <c r="N3127" t="s">
        <v>46569</v>
      </c>
      <c r="O3127" t="s">
        <v>46570</v>
      </c>
      <c r="P3127">
        <v>0</v>
      </c>
      <c r="Q3127">
        <v>2</v>
      </c>
      <c r="R3127" t="s">
        <v>46572</v>
      </c>
      <c r="S3127" t="s">
        <v>46689</v>
      </c>
      <c r="T3127" t="s">
        <v>48282</v>
      </c>
      <c r="U3127" t="s">
        <v>51400</v>
      </c>
      <c r="V3127" t="s">
        <v>61936</v>
      </c>
      <c r="W3127" t="s">
        <v>43866</v>
      </c>
      <c r="X3127" t="s">
        <v>46573</v>
      </c>
    </row>
    <row r="3128" spans="1:24">
      <c r="A3128">
        <f>HYPERLINK("https://www.philgeps.gov.ph/GEPSNONPILOT/Tender/SplashBidNoticeAbstractUI.aspx?menuIndex=3&amp;refID=7062312&amp;Result=3","7062312")</f>
        <v>0</v>
      </c>
      <c r="B3128" t="s">
        <v>1184</v>
      </c>
      <c r="C3128" t="s">
        <v>6557</v>
      </c>
      <c r="D3128" t="s">
        <v>18829</v>
      </c>
      <c r="E3128" t="s">
        <v>21744</v>
      </c>
      <c r="F3128" t="s">
        <v>32664</v>
      </c>
      <c r="G3128" t="s">
        <v>32671</v>
      </c>
      <c r="H3128" t="s">
        <v>12635</v>
      </c>
      <c r="I3128" t="s">
        <v>10590</v>
      </c>
      <c r="J3128" t="s">
        <v>34947</v>
      </c>
      <c r="K3128" t="s">
        <v>42284</v>
      </c>
      <c r="M3128" t="s">
        <v>43820</v>
      </c>
      <c r="N3128" t="s">
        <v>46569</v>
      </c>
      <c r="O3128" t="s">
        <v>46570</v>
      </c>
      <c r="P3128">
        <v>0</v>
      </c>
      <c r="Q3128">
        <v>0</v>
      </c>
      <c r="R3128" t="s">
        <v>46572</v>
      </c>
      <c r="S3128" t="s">
        <v>46689</v>
      </c>
      <c r="T3128" t="s">
        <v>48296</v>
      </c>
      <c r="U3128" t="s">
        <v>51292</v>
      </c>
      <c r="W3128" t="s">
        <v>43820</v>
      </c>
      <c r="X3128" t="s">
        <v>46573</v>
      </c>
    </row>
    <row r="3129" spans="1:24">
      <c r="A3129">
        <f>HYPERLINK("https://www.philgeps.gov.ph/GEPSNONPILOT/Tender/SplashBidNoticeAbstractUI.aspx?menuIndex=3&amp;refID=7062373&amp;Result=3","7062373")</f>
        <v>0</v>
      </c>
      <c r="B3129" t="s">
        <v>1205</v>
      </c>
      <c r="C3129" t="s">
        <v>6558</v>
      </c>
      <c r="D3129" t="s">
        <v>18809</v>
      </c>
      <c r="E3129" t="s">
        <v>21745</v>
      </c>
      <c r="F3129" t="s">
        <v>32664</v>
      </c>
      <c r="G3129" t="s">
        <v>32672</v>
      </c>
      <c r="H3129" t="s">
        <v>32683</v>
      </c>
      <c r="I3129" t="s">
        <v>32731</v>
      </c>
      <c r="J3129" t="s">
        <v>33743</v>
      </c>
      <c r="K3129" t="s">
        <v>42403</v>
      </c>
      <c r="M3129" t="s">
        <v>43843</v>
      </c>
      <c r="N3129" t="s">
        <v>46569</v>
      </c>
      <c r="O3129" t="s">
        <v>46570</v>
      </c>
      <c r="P3129">
        <v>0</v>
      </c>
      <c r="Q3129">
        <v>0</v>
      </c>
      <c r="R3129" t="s">
        <v>46572</v>
      </c>
      <c r="S3129" t="s">
        <v>46689</v>
      </c>
      <c r="T3129" t="s">
        <v>48222</v>
      </c>
      <c r="U3129" t="s">
        <v>51401</v>
      </c>
      <c r="W3129" t="s">
        <v>43843</v>
      </c>
      <c r="X3129" t="s">
        <v>46573</v>
      </c>
    </row>
    <row r="3130" spans="1:24">
      <c r="A3130">
        <f>HYPERLINK("https://www.philgeps.gov.ph/GEPSNONPILOT/Tender/SplashBidNoticeAbstractUI.aspx?menuIndex=3&amp;refID=7062307&amp;Result=3","7062307")</f>
        <v>0</v>
      </c>
      <c r="B3130" t="s">
        <v>1228</v>
      </c>
      <c r="C3130" t="s">
        <v>6559</v>
      </c>
      <c r="D3130" t="s">
        <v>18783</v>
      </c>
      <c r="E3130" t="s">
        <v>21746</v>
      </c>
      <c r="F3130" t="s">
        <v>32664</v>
      </c>
      <c r="G3130" t="s">
        <v>32674</v>
      </c>
      <c r="H3130" t="s">
        <v>12635</v>
      </c>
      <c r="I3130" t="s">
        <v>32689</v>
      </c>
      <c r="J3130" t="s">
        <v>33461</v>
      </c>
      <c r="K3130" t="s">
        <v>42284</v>
      </c>
      <c r="M3130" t="s">
        <v>43867</v>
      </c>
      <c r="N3130" t="s">
        <v>46569</v>
      </c>
      <c r="O3130" t="s">
        <v>46570</v>
      </c>
      <c r="P3130">
        <v>0</v>
      </c>
      <c r="Q3130">
        <v>0</v>
      </c>
      <c r="R3130" t="s">
        <v>46572</v>
      </c>
      <c r="S3130" t="s">
        <v>46689</v>
      </c>
      <c r="T3130" t="s">
        <v>48376</v>
      </c>
      <c r="U3130" t="s">
        <v>51402</v>
      </c>
      <c r="W3130" t="s">
        <v>43867</v>
      </c>
      <c r="X3130" t="s">
        <v>46573</v>
      </c>
    </row>
    <row r="3131" spans="1:24">
      <c r="A3131">
        <f>HYPERLINK("https://www.philgeps.gov.ph/GEPSNONPILOT/Tender/SplashBidNoticeAbstractUI.aspx?menuIndex=3&amp;refID=7062370&amp;Result=3","7062370")</f>
        <v>0</v>
      </c>
      <c r="B3131" t="s">
        <v>1200</v>
      </c>
      <c r="C3131" t="s">
        <v>6560</v>
      </c>
      <c r="D3131" t="s">
        <v>18813</v>
      </c>
      <c r="E3131" t="s">
        <v>21747</v>
      </c>
      <c r="F3131" t="s">
        <v>32664</v>
      </c>
      <c r="G3131" t="s">
        <v>32674</v>
      </c>
      <c r="H3131" t="s">
        <v>12635</v>
      </c>
      <c r="I3131" t="s">
        <v>4439</v>
      </c>
      <c r="J3131" t="s">
        <v>34948</v>
      </c>
      <c r="K3131" t="s">
        <v>42281</v>
      </c>
      <c r="M3131" t="s">
        <v>43837</v>
      </c>
      <c r="N3131" t="s">
        <v>46569</v>
      </c>
      <c r="O3131" t="s">
        <v>46570</v>
      </c>
      <c r="P3131">
        <v>0</v>
      </c>
      <c r="Q3131">
        <v>0</v>
      </c>
      <c r="R3131" t="s">
        <v>46572</v>
      </c>
      <c r="S3131" t="s">
        <v>46689</v>
      </c>
      <c r="T3131" t="s">
        <v>48221</v>
      </c>
      <c r="U3131" t="s">
        <v>51403</v>
      </c>
      <c r="W3131" t="s">
        <v>43837</v>
      </c>
      <c r="X3131" t="s">
        <v>46573</v>
      </c>
    </row>
    <row r="3132" spans="1:24">
      <c r="A3132">
        <f>HYPERLINK("https://www.philgeps.gov.ph/GEPSNONPILOT/Tender/SplashBidNoticeAbstractUI.aspx?menuIndex=3&amp;refID=7062365&amp;Result=3","7062365")</f>
        <v>0</v>
      </c>
      <c r="B3132" t="s">
        <v>585</v>
      </c>
      <c r="C3132" t="s">
        <v>6561</v>
      </c>
      <c r="D3132" t="s">
        <v>18834</v>
      </c>
      <c r="E3132" t="s">
        <v>21748</v>
      </c>
      <c r="F3132" t="s">
        <v>32664</v>
      </c>
      <c r="G3132" t="s">
        <v>32671</v>
      </c>
      <c r="H3132" t="s">
        <v>12635</v>
      </c>
      <c r="I3132" t="s">
        <v>10590</v>
      </c>
      <c r="J3132" t="s">
        <v>34949</v>
      </c>
      <c r="K3132" t="s">
        <v>42281</v>
      </c>
      <c r="M3132" t="s">
        <v>43165</v>
      </c>
      <c r="N3132" t="s">
        <v>46569</v>
      </c>
      <c r="O3132" t="s">
        <v>46570</v>
      </c>
      <c r="P3132">
        <v>0</v>
      </c>
      <c r="Q3132">
        <v>0</v>
      </c>
      <c r="R3132" t="s">
        <v>46572</v>
      </c>
      <c r="S3132" t="s">
        <v>46689</v>
      </c>
      <c r="T3132" t="s">
        <v>48217</v>
      </c>
      <c r="U3132" t="s">
        <v>51404</v>
      </c>
      <c r="W3132" t="s">
        <v>43165</v>
      </c>
      <c r="X3132" t="s">
        <v>46573</v>
      </c>
    </row>
    <row r="3133" spans="1:24">
      <c r="A3133">
        <f>HYPERLINK("https://www.philgeps.gov.ph/GEPSNONPILOT/Tender/SplashBidNoticeAbstractUI.aspx?menuIndex=3&amp;refID=7062362&amp;Result=3","7062362")</f>
        <v>0</v>
      </c>
      <c r="B3133" t="s">
        <v>1229</v>
      </c>
      <c r="C3133" t="s">
        <v>6562</v>
      </c>
      <c r="D3133" t="s">
        <v>18810</v>
      </c>
      <c r="E3133" t="s">
        <v>19701</v>
      </c>
      <c r="F3133" t="s">
        <v>32664</v>
      </c>
      <c r="G3133" t="s">
        <v>32672</v>
      </c>
      <c r="H3133" t="s">
        <v>32683</v>
      </c>
      <c r="I3133" t="s">
        <v>10627</v>
      </c>
      <c r="J3133" t="s">
        <v>34950</v>
      </c>
      <c r="K3133" t="s">
        <v>42283</v>
      </c>
      <c r="M3133" t="s">
        <v>43868</v>
      </c>
      <c r="N3133" t="s">
        <v>46569</v>
      </c>
      <c r="O3133" t="s">
        <v>46570</v>
      </c>
      <c r="P3133">
        <v>0</v>
      </c>
      <c r="Q3133">
        <v>0</v>
      </c>
      <c r="R3133" t="s">
        <v>46572</v>
      </c>
      <c r="S3133" t="s">
        <v>46689</v>
      </c>
      <c r="T3133" t="s">
        <v>48346</v>
      </c>
      <c r="U3133" t="s">
        <v>51405</v>
      </c>
      <c r="W3133" t="s">
        <v>43868</v>
      </c>
      <c r="X3133" t="s">
        <v>46573</v>
      </c>
    </row>
    <row r="3134" spans="1:24">
      <c r="A3134">
        <f>HYPERLINK("https://www.philgeps.gov.ph/GEPSNONPILOT/Tender/SplashBidNoticeAbstractUI.aspx?menuIndex=3&amp;refID=7062366&amp;Result=3","7062366")</f>
        <v>0</v>
      </c>
      <c r="B3134" t="s">
        <v>1183</v>
      </c>
      <c r="C3134" t="s">
        <v>6563</v>
      </c>
      <c r="D3134" t="s">
        <v>18788</v>
      </c>
      <c r="E3134" t="s">
        <v>21749</v>
      </c>
      <c r="F3134" t="s">
        <v>32664</v>
      </c>
      <c r="G3134" t="s">
        <v>32672</v>
      </c>
      <c r="H3134" t="s">
        <v>12635</v>
      </c>
      <c r="I3134" t="s">
        <v>8797</v>
      </c>
      <c r="J3134" t="s">
        <v>33128</v>
      </c>
      <c r="K3134" t="s">
        <v>42284</v>
      </c>
      <c r="M3134" t="s">
        <v>43819</v>
      </c>
      <c r="N3134" t="s">
        <v>46569</v>
      </c>
      <c r="O3134" t="s">
        <v>46570</v>
      </c>
      <c r="P3134">
        <v>0</v>
      </c>
      <c r="Q3134">
        <v>0</v>
      </c>
      <c r="R3134" t="s">
        <v>46572</v>
      </c>
      <c r="S3134" t="s">
        <v>46689</v>
      </c>
      <c r="T3134" t="s">
        <v>48412</v>
      </c>
      <c r="U3134" t="s">
        <v>51288</v>
      </c>
      <c r="W3134" t="s">
        <v>43819</v>
      </c>
      <c r="X3134" t="s">
        <v>46573</v>
      </c>
    </row>
    <row r="3135" spans="1:24">
      <c r="A3135">
        <f>HYPERLINK("https://www.philgeps.gov.ph/GEPSNONPILOT/Tender/SplashBidNoticeAbstractUI.aspx?menuIndex=3&amp;refID=7062369&amp;Result=3","7062369")</f>
        <v>0</v>
      </c>
      <c r="B3135" t="s">
        <v>536</v>
      </c>
      <c r="C3135" t="s">
        <v>6564</v>
      </c>
      <c r="D3135" t="s">
        <v>18786</v>
      </c>
      <c r="E3135" t="s">
        <v>21750</v>
      </c>
      <c r="F3135" t="s">
        <v>32664</v>
      </c>
      <c r="G3135" t="s">
        <v>32671</v>
      </c>
      <c r="H3135" t="s">
        <v>12635</v>
      </c>
      <c r="I3135" t="s">
        <v>8797</v>
      </c>
      <c r="J3135" t="s">
        <v>32898</v>
      </c>
      <c r="K3135" t="s">
        <v>42297</v>
      </c>
      <c r="M3135" t="s">
        <v>43869</v>
      </c>
      <c r="N3135" t="s">
        <v>46569</v>
      </c>
      <c r="O3135" t="s">
        <v>46570</v>
      </c>
      <c r="P3135">
        <v>0</v>
      </c>
      <c r="Q3135">
        <v>4</v>
      </c>
      <c r="R3135" t="s">
        <v>46572</v>
      </c>
      <c r="S3135" t="s">
        <v>46689</v>
      </c>
      <c r="T3135" t="s">
        <v>48268</v>
      </c>
      <c r="U3135" t="s">
        <v>51406</v>
      </c>
      <c r="W3135" t="s">
        <v>43869</v>
      </c>
      <c r="X3135" t="s">
        <v>46573</v>
      </c>
    </row>
    <row r="3136" spans="1:24">
      <c r="A3136">
        <f>HYPERLINK("https://www.philgeps.gov.ph/GEPSNONPILOT/Tender/SplashBidNoticeAbstractUI.aspx?menuIndex=3&amp;refID=7062364&amp;Result=3","7062364")</f>
        <v>0</v>
      </c>
      <c r="B3136" t="s">
        <v>225</v>
      </c>
      <c r="C3136" t="s">
        <v>6565</v>
      </c>
      <c r="D3136" t="s">
        <v>18784</v>
      </c>
      <c r="E3136" t="s">
        <v>21751</v>
      </c>
      <c r="F3136" t="s">
        <v>32664</v>
      </c>
      <c r="G3136" t="s">
        <v>32672</v>
      </c>
      <c r="H3136" t="s">
        <v>32683</v>
      </c>
      <c r="I3136" t="s">
        <v>10627</v>
      </c>
      <c r="J3136" t="s">
        <v>34951</v>
      </c>
      <c r="K3136" t="s">
        <v>42397</v>
      </c>
      <c r="M3136" t="s">
        <v>43870</v>
      </c>
      <c r="N3136" t="s">
        <v>46569</v>
      </c>
      <c r="O3136" t="s">
        <v>46570</v>
      </c>
      <c r="P3136">
        <v>0</v>
      </c>
      <c r="Q3136">
        <v>35</v>
      </c>
      <c r="R3136" t="s">
        <v>46572</v>
      </c>
      <c r="S3136" t="s">
        <v>46689</v>
      </c>
      <c r="T3136" t="s">
        <v>48385</v>
      </c>
      <c r="U3136" t="s">
        <v>51407</v>
      </c>
      <c r="V3136" t="s">
        <v>61937</v>
      </c>
      <c r="W3136" t="s">
        <v>43870</v>
      </c>
      <c r="X3136" t="s">
        <v>46573</v>
      </c>
    </row>
    <row r="3137" spans="1:24">
      <c r="A3137">
        <f>HYPERLINK("https://www.philgeps.gov.ph/GEPSNONPILOT/Tender/SplashBidNoticeAbstractUI.aspx?menuIndex=3&amp;refID=7062374&amp;Result=3","7062374")</f>
        <v>0</v>
      </c>
      <c r="B3137" t="s">
        <v>1194</v>
      </c>
      <c r="C3137" t="s">
        <v>6566</v>
      </c>
      <c r="D3137" t="s">
        <v>18782</v>
      </c>
      <c r="E3137" t="s">
        <v>21752</v>
      </c>
      <c r="F3137" t="s">
        <v>32664</v>
      </c>
      <c r="G3137" t="s">
        <v>32672</v>
      </c>
      <c r="H3137" t="s">
        <v>12635</v>
      </c>
      <c r="I3137" t="s">
        <v>32706</v>
      </c>
      <c r="J3137" t="s">
        <v>32961</v>
      </c>
      <c r="K3137" t="s">
        <v>42283</v>
      </c>
      <c r="M3137" t="s">
        <v>43830</v>
      </c>
      <c r="N3137" t="s">
        <v>46569</v>
      </c>
      <c r="O3137" t="s">
        <v>46570</v>
      </c>
      <c r="P3137">
        <v>0</v>
      </c>
      <c r="Q3137">
        <v>0</v>
      </c>
      <c r="R3137" t="s">
        <v>46572</v>
      </c>
      <c r="S3137" t="s">
        <v>46689</v>
      </c>
      <c r="T3137" t="s">
        <v>48225</v>
      </c>
      <c r="U3137" t="s">
        <v>51310</v>
      </c>
      <c r="W3137" t="s">
        <v>43830</v>
      </c>
      <c r="X3137" t="s">
        <v>46573</v>
      </c>
    </row>
    <row r="3138" spans="1:24">
      <c r="A3138">
        <f>HYPERLINK("https://www.philgeps.gov.ph/GEPSNONPILOT/Tender/SplashBidNoticeAbstractUI.aspx?menuIndex=3&amp;refID=7062372&amp;Result=3","7062372")</f>
        <v>0</v>
      </c>
      <c r="B3138" t="s">
        <v>1184</v>
      </c>
      <c r="C3138" t="s">
        <v>6567</v>
      </c>
      <c r="D3138" t="s">
        <v>18829</v>
      </c>
      <c r="E3138" t="s">
        <v>21753</v>
      </c>
      <c r="F3138" t="s">
        <v>32664</v>
      </c>
      <c r="G3138" t="s">
        <v>32671</v>
      </c>
      <c r="H3138" t="s">
        <v>12635</v>
      </c>
      <c r="I3138" t="s">
        <v>7429</v>
      </c>
      <c r="J3138" t="s">
        <v>33102</v>
      </c>
      <c r="K3138" t="s">
        <v>42284</v>
      </c>
      <c r="M3138" t="s">
        <v>43820</v>
      </c>
      <c r="N3138" t="s">
        <v>46569</v>
      </c>
      <c r="O3138" t="s">
        <v>46570</v>
      </c>
      <c r="P3138">
        <v>0</v>
      </c>
      <c r="Q3138">
        <v>0</v>
      </c>
      <c r="R3138" t="s">
        <v>46572</v>
      </c>
      <c r="S3138" t="s">
        <v>46689</v>
      </c>
      <c r="T3138" t="s">
        <v>48296</v>
      </c>
      <c r="U3138" t="s">
        <v>51292</v>
      </c>
      <c r="W3138" t="s">
        <v>43820</v>
      </c>
      <c r="X3138" t="s">
        <v>46573</v>
      </c>
    </row>
    <row r="3139" spans="1:24">
      <c r="A3139">
        <f>HYPERLINK("https://www.philgeps.gov.ph/GEPSNONPILOT/Tender/SplashBidNoticeAbstractUI.aspx?menuIndex=3&amp;refID=7062356&amp;Result=3","7062356")</f>
        <v>0</v>
      </c>
      <c r="B3139" t="s">
        <v>82</v>
      </c>
      <c r="C3139" t="s">
        <v>6568</v>
      </c>
      <c r="D3139" t="s">
        <v>18804</v>
      </c>
      <c r="E3139" t="s">
        <v>21754</v>
      </c>
      <c r="F3139" t="s">
        <v>32664</v>
      </c>
      <c r="G3139" t="s">
        <v>32672</v>
      </c>
      <c r="H3139" t="s">
        <v>32683</v>
      </c>
      <c r="I3139" t="s">
        <v>10627</v>
      </c>
      <c r="J3139" t="s">
        <v>34952</v>
      </c>
      <c r="K3139" t="s">
        <v>42308</v>
      </c>
      <c r="M3139" t="s">
        <v>43708</v>
      </c>
      <c r="N3139" t="s">
        <v>46569</v>
      </c>
      <c r="O3139" t="s">
        <v>46570</v>
      </c>
      <c r="P3139">
        <v>0</v>
      </c>
      <c r="Q3139">
        <v>1</v>
      </c>
      <c r="R3139" t="s">
        <v>46572</v>
      </c>
      <c r="S3139" t="s">
        <v>46689</v>
      </c>
      <c r="T3139" t="s">
        <v>48460</v>
      </c>
      <c r="U3139" t="s">
        <v>51046</v>
      </c>
      <c r="V3139" t="s">
        <v>61938</v>
      </c>
      <c r="W3139" t="s">
        <v>43708</v>
      </c>
      <c r="X3139" t="s">
        <v>46573</v>
      </c>
    </row>
    <row r="3140" spans="1:24">
      <c r="A3140">
        <f>HYPERLINK("https://www.philgeps.gov.ph/GEPSNONPILOT/Tender/SplashBidNoticeAbstractUI.aspx?menuIndex=3&amp;refID=7062360&amp;Result=3","7062360")</f>
        <v>0</v>
      </c>
      <c r="B3140" t="s">
        <v>1230</v>
      </c>
      <c r="C3140" t="s">
        <v>6569</v>
      </c>
      <c r="D3140" t="s">
        <v>18784</v>
      </c>
      <c r="E3140" t="s">
        <v>21755</v>
      </c>
      <c r="F3140" t="s">
        <v>32664</v>
      </c>
      <c r="G3140" t="s">
        <v>32671</v>
      </c>
      <c r="H3140" t="s">
        <v>12635</v>
      </c>
      <c r="I3140" t="s">
        <v>6553</v>
      </c>
      <c r="J3140" t="s">
        <v>34953</v>
      </c>
      <c r="K3140" t="s">
        <v>42283</v>
      </c>
      <c r="M3140" t="s">
        <v>43871</v>
      </c>
      <c r="N3140" t="s">
        <v>46569</v>
      </c>
      <c r="O3140" t="s">
        <v>46570</v>
      </c>
      <c r="P3140">
        <v>0</v>
      </c>
      <c r="Q3140">
        <v>1</v>
      </c>
      <c r="R3140" t="s">
        <v>46572</v>
      </c>
      <c r="S3140" t="s">
        <v>46689</v>
      </c>
      <c r="T3140" t="s">
        <v>48244</v>
      </c>
      <c r="U3140" t="s">
        <v>51408</v>
      </c>
      <c r="W3140" t="s">
        <v>43871</v>
      </c>
      <c r="X3140" t="s">
        <v>46573</v>
      </c>
    </row>
    <row r="3141" spans="1:24">
      <c r="A3141">
        <f>HYPERLINK("https://www.philgeps.gov.ph/GEPSNONPILOT/Tender/SplashBidNoticeAbstractUI.aspx?menuIndex=3&amp;refID=7062355&amp;Result=3","7062355")</f>
        <v>0</v>
      </c>
      <c r="B3141" t="s">
        <v>805</v>
      </c>
      <c r="C3141" t="s">
        <v>6570</v>
      </c>
      <c r="D3141" t="s">
        <v>18838</v>
      </c>
      <c r="E3141" t="s">
        <v>21756</v>
      </c>
      <c r="F3141" t="s">
        <v>32664</v>
      </c>
      <c r="G3141" t="s">
        <v>32671</v>
      </c>
      <c r="H3141" t="s">
        <v>12635</v>
      </c>
      <c r="I3141" t="s">
        <v>32715</v>
      </c>
      <c r="J3141" t="s">
        <v>34370</v>
      </c>
      <c r="K3141" t="s">
        <v>42281</v>
      </c>
      <c r="M3141" t="s">
        <v>43397</v>
      </c>
      <c r="N3141" t="s">
        <v>46569</v>
      </c>
      <c r="O3141" t="s">
        <v>46570</v>
      </c>
      <c r="P3141">
        <v>0</v>
      </c>
      <c r="Q3141">
        <v>0</v>
      </c>
      <c r="R3141" t="s">
        <v>46572</v>
      </c>
      <c r="S3141" t="s">
        <v>46689</v>
      </c>
      <c r="T3141" t="s">
        <v>48256</v>
      </c>
      <c r="U3141" t="s">
        <v>51342</v>
      </c>
      <c r="W3141" t="s">
        <v>43397</v>
      </c>
      <c r="X3141" t="s">
        <v>46573</v>
      </c>
    </row>
    <row r="3142" spans="1:24">
      <c r="A3142">
        <f>HYPERLINK("https://www.philgeps.gov.ph/GEPSNONPILOT/Tender/SplashBidNoticeAbstractUI.aspx?menuIndex=3&amp;refID=7062358&amp;Result=3","7062358")</f>
        <v>0</v>
      </c>
      <c r="B3142" t="s">
        <v>1185</v>
      </c>
      <c r="C3142" t="s">
        <v>6571</v>
      </c>
      <c r="D3142" t="s">
        <v>18807</v>
      </c>
      <c r="E3142" t="s">
        <v>21757</v>
      </c>
      <c r="F3142" t="s">
        <v>32664</v>
      </c>
      <c r="G3142" t="s">
        <v>32672</v>
      </c>
      <c r="H3142" t="s">
        <v>12635</v>
      </c>
      <c r="I3142" t="s">
        <v>4439</v>
      </c>
      <c r="J3142" t="s">
        <v>34944</v>
      </c>
      <c r="K3142" t="s">
        <v>42297</v>
      </c>
      <c r="M3142" t="s">
        <v>43821</v>
      </c>
      <c r="N3142" t="s">
        <v>46569</v>
      </c>
      <c r="O3142" t="s">
        <v>46570</v>
      </c>
      <c r="P3142">
        <v>0</v>
      </c>
      <c r="Q3142">
        <v>0</v>
      </c>
      <c r="R3142" t="s">
        <v>46572</v>
      </c>
      <c r="S3142" t="s">
        <v>46689</v>
      </c>
      <c r="T3142" t="s">
        <v>48230</v>
      </c>
      <c r="U3142" t="s">
        <v>51358</v>
      </c>
      <c r="W3142" t="s">
        <v>43821</v>
      </c>
      <c r="X3142" t="s">
        <v>46573</v>
      </c>
    </row>
    <row r="3143" spans="1:24">
      <c r="A3143">
        <f>HYPERLINK("https://www.philgeps.gov.ph/GEPSNONPILOT/Tender/SplashBidNoticeAbstractUI.aspx?menuIndex=3&amp;refID=7062309&amp;Result=3","7062309")</f>
        <v>0</v>
      </c>
      <c r="B3143" t="s">
        <v>1231</v>
      </c>
      <c r="C3143" t="s">
        <v>6572</v>
      </c>
      <c r="D3143" t="s">
        <v>18786</v>
      </c>
      <c r="E3143" t="s">
        <v>21758</v>
      </c>
      <c r="F3143" t="s">
        <v>32664</v>
      </c>
      <c r="G3143" t="s">
        <v>32672</v>
      </c>
      <c r="H3143" t="s">
        <v>12635</v>
      </c>
      <c r="I3143" t="s">
        <v>10627</v>
      </c>
      <c r="J3143" t="s">
        <v>34954</v>
      </c>
      <c r="K3143" t="s">
        <v>42281</v>
      </c>
      <c r="M3143" t="s">
        <v>43872</v>
      </c>
      <c r="N3143" t="s">
        <v>46569</v>
      </c>
      <c r="O3143" t="s">
        <v>46570</v>
      </c>
      <c r="P3143">
        <v>0</v>
      </c>
      <c r="Q3143">
        <v>0</v>
      </c>
      <c r="R3143" t="s">
        <v>46572</v>
      </c>
      <c r="S3143" t="s">
        <v>46689</v>
      </c>
      <c r="T3143" t="s">
        <v>48220</v>
      </c>
      <c r="U3143" t="s">
        <v>51409</v>
      </c>
      <c r="V3143" t="s">
        <v>61939</v>
      </c>
      <c r="W3143" t="s">
        <v>43872</v>
      </c>
      <c r="X3143" t="s">
        <v>46573</v>
      </c>
    </row>
    <row r="3144" spans="1:24">
      <c r="A3144">
        <f>HYPERLINK("https://www.philgeps.gov.ph/GEPSNONPILOT/Tender/SplashBidNoticeAbstractUI.aspx?menuIndex=3&amp;refID=7062404&amp;Result=3","7062404")</f>
        <v>0</v>
      </c>
      <c r="B3144" t="s">
        <v>510</v>
      </c>
      <c r="C3144" t="s">
        <v>6573</v>
      </c>
      <c r="D3144" t="s">
        <v>18792</v>
      </c>
      <c r="E3144" t="s">
        <v>21759</v>
      </c>
      <c r="F3144" t="s">
        <v>32664</v>
      </c>
      <c r="G3144" t="s">
        <v>32671</v>
      </c>
      <c r="H3144" t="s">
        <v>12635</v>
      </c>
      <c r="I3144" t="s">
        <v>14442</v>
      </c>
      <c r="J3144" t="s">
        <v>34955</v>
      </c>
      <c r="K3144" t="s">
        <v>42281</v>
      </c>
      <c r="M3144" t="s">
        <v>43086</v>
      </c>
      <c r="N3144" t="s">
        <v>46569</v>
      </c>
      <c r="O3144" t="s">
        <v>46570</v>
      </c>
      <c r="P3144">
        <v>0</v>
      </c>
      <c r="Q3144">
        <v>0</v>
      </c>
      <c r="R3144" t="s">
        <v>46572</v>
      </c>
      <c r="S3144" t="s">
        <v>46689</v>
      </c>
      <c r="T3144" t="s">
        <v>48251</v>
      </c>
      <c r="U3144" t="s">
        <v>51410</v>
      </c>
      <c r="W3144" t="s">
        <v>43086</v>
      </c>
      <c r="X3144" t="s">
        <v>46573</v>
      </c>
    </row>
    <row r="3145" spans="1:24">
      <c r="A3145">
        <f>HYPERLINK("https://www.philgeps.gov.ph/GEPSNONPILOT/Tender/SplashBidNoticeAbstractUI.aspx?menuIndex=3&amp;refID=7062380&amp;Result=3","7062380")</f>
        <v>0</v>
      </c>
      <c r="B3145" t="s">
        <v>1232</v>
      </c>
      <c r="C3145" t="s">
        <v>6574</v>
      </c>
      <c r="D3145" t="s">
        <v>18838</v>
      </c>
      <c r="E3145" t="s">
        <v>21760</v>
      </c>
      <c r="F3145" t="s">
        <v>32664</v>
      </c>
      <c r="G3145" t="s">
        <v>32675</v>
      </c>
      <c r="H3145" t="s">
        <v>12635</v>
      </c>
      <c r="I3145" t="s">
        <v>8730</v>
      </c>
      <c r="J3145" t="s">
        <v>34956</v>
      </c>
      <c r="K3145" t="s">
        <v>42283</v>
      </c>
      <c r="L3145" t="s">
        <v>1232</v>
      </c>
      <c r="M3145" t="s">
        <v>43873</v>
      </c>
      <c r="N3145" t="s">
        <v>46569</v>
      </c>
      <c r="O3145" t="s">
        <v>46570</v>
      </c>
      <c r="P3145">
        <v>0</v>
      </c>
      <c r="Q3145">
        <v>4</v>
      </c>
      <c r="R3145" t="s">
        <v>46572</v>
      </c>
      <c r="S3145" t="s">
        <v>46689</v>
      </c>
      <c r="T3145" t="s">
        <v>48256</v>
      </c>
      <c r="U3145" t="s">
        <v>51411</v>
      </c>
      <c r="W3145" t="s">
        <v>43873</v>
      </c>
      <c r="X3145" t="s">
        <v>46573</v>
      </c>
    </row>
    <row r="3146" spans="1:24">
      <c r="A3146">
        <f>HYPERLINK("https://www.philgeps.gov.ph/GEPSNONPILOT/Tender/SplashBidNoticeAbstractUI.aspx?menuIndex=3&amp;refID=7062400&amp;Result=3","7062400")</f>
        <v>0</v>
      </c>
      <c r="B3146" t="s">
        <v>1119</v>
      </c>
      <c r="C3146" t="s">
        <v>6575</v>
      </c>
      <c r="D3146" t="s">
        <v>18835</v>
      </c>
      <c r="E3146" t="s">
        <v>21761</v>
      </c>
      <c r="F3146" t="s">
        <v>32664</v>
      </c>
      <c r="G3146" t="s">
        <v>32674</v>
      </c>
      <c r="H3146" t="s">
        <v>12635</v>
      </c>
      <c r="I3146" t="s">
        <v>10590</v>
      </c>
      <c r="J3146" t="s">
        <v>34957</v>
      </c>
      <c r="K3146" t="s">
        <v>42297</v>
      </c>
      <c r="M3146" t="s">
        <v>43748</v>
      </c>
      <c r="N3146" t="s">
        <v>46569</v>
      </c>
      <c r="O3146" t="s">
        <v>46570</v>
      </c>
      <c r="P3146">
        <v>0</v>
      </c>
      <c r="Q3146">
        <v>0</v>
      </c>
      <c r="R3146" t="s">
        <v>46572</v>
      </c>
      <c r="S3146" t="s">
        <v>46689</v>
      </c>
      <c r="T3146" t="s">
        <v>48268</v>
      </c>
      <c r="U3146" t="s">
        <v>51412</v>
      </c>
      <c r="W3146" t="s">
        <v>43748</v>
      </c>
      <c r="X3146" t="s">
        <v>46573</v>
      </c>
    </row>
    <row r="3147" spans="1:24">
      <c r="A3147">
        <f>HYPERLINK("https://www.philgeps.gov.ph/GEPSNONPILOT/Tender/SplashBidNoticeAbstractUI.aspx?menuIndex=3&amp;refID=7062334&amp;Result=3","7062334")</f>
        <v>0</v>
      </c>
      <c r="B3147" t="s">
        <v>353</v>
      </c>
      <c r="C3147" t="s">
        <v>6576</v>
      </c>
      <c r="D3147" t="s">
        <v>18802</v>
      </c>
      <c r="E3147" t="s">
        <v>21762</v>
      </c>
      <c r="F3147" t="s">
        <v>32664</v>
      </c>
      <c r="G3147" t="s">
        <v>32675</v>
      </c>
      <c r="H3147" t="s">
        <v>12635</v>
      </c>
      <c r="I3147" t="s">
        <v>8730</v>
      </c>
      <c r="J3147" t="s">
        <v>34958</v>
      </c>
      <c r="K3147" t="s">
        <v>42289</v>
      </c>
      <c r="M3147" t="s">
        <v>42922</v>
      </c>
      <c r="N3147" t="s">
        <v>46569</v>
      </c>
      <c r="O3147" t="s">
        <v>46570</v>
      </c>
      <c r="P3147">
        <v>0</v>
      </c>
      <c r="Q3147">
        <v>5</v>
      </c>
      <c r="R3147" t="s">
        <v>46572</v>
      </c>
      <c r="S3147" t="s">
        <v>46689</v>
      </c>
      <c r="T3147" t="s">
        <v>48305</v>
      </c>
      <c r="U3147" t="s">
        <v>51413</v>
      </c>
      <c r="W3147" t="s">
        <v>42922</v>
      </c>
      <c r="X3147" t="s">
        <v>46573</v>
      </c>
    </row>
    <row r="3148" spans="1:24">
      <c r="A3148">
        <f>HYPERLINK("https://www.philgeps.gov.ph/GEPSNONPILOT/Tender/SplashBidNoticeAbstractUI.aspx?menuIndex=3&amp;refID=7062403&amp;Result=3","7062403")</f>
        <v>0</v>
      </c>
      <c r="B3148" t="s">
        <v>1185</v>
      </c>
      <c r="C3148" t="s">
        <v>6577</v>
      </c>
      <c r="D3148" t="s">
        <v>18807</v>
      </c>
      <c r="E3148" t="s">
        <v>21763</v>
      </c>
      <c r="F3148" t="s">
        <v>32664</v>
      </c>
      <c r="G3148" t="s">
        <v>32672</v>
      </c>
      <c r="H3148" t="s">
        <v>12635</v>
      </c>
      <c r="I3148" t="s">
        <v>4439</v>
      </c>
      <c r="J3148" t="s">
        <v>34944</v>
      </c>
      <c r="K3148" t="s">
        <v>42297</v>
      </c>
      <c r="M3148" t="s">
        <v>43821</v>
      </c>
      <c r="N3148" t="s">
        <v>46569</v>
      </c>
      <c r="O3148" t="s">
        <v>46570</v>
      </c>
      <c r="P3148">
        <v>0</v>
      </c>
      <c r="Q3148">
        <v>0</v>
      </c>
      <c r="R3148" t="s">
        <v>46572</v>
      </c>
      <c r="S3148" t="s">
        <v>46689</v>
      </c>
      <c r="T3148" t="s">
        <v>48230</v>
      </c>
      <c r="U3148" t="s">
        <v>51358</v>
      </c>
      <c r="W3148" t="s">
        <v>43821</v>
      </c>
      <c r="X3148" t="s">
        <v>46573</v>
      </c>
    </row>
    <row r="3149" spans="1:24">
      <c r="A3149">
        <f>HYPERLINK("https://www.philgeps.gov.ph/GEPSNONPILOT/Tender/SplashBidNoticeAbstractUI.aspx?menuIndex=3&amp;refID=7062402&amp;Result=3","7062402")</f>
        <v>0</v>
      </c>
      <c r="B3149" t="s">
        <v>1233</v>
      </c>
      <c r="C3149" t="s">
        <v>6578</v>
      </c>
      <c r="D3149" t="s">
        <v>18784</v>
      </c>
      <c r="E3149" t="s">
        <v>21764</v>
      </c>
      <c r="F3149" t="s">
        <v>32664</v>
      </c>
      <c r="G3149" t="s">
        <v>32671</v>
      </c>
      <c r="H3149" t="s">
        <v>32682</v>
      </c>
      <c r="I3149" t="s">
        <v>10627</v>
      </c>
      <c r="J3149" t="s">
        <v>32976</v>
      </c>
      <c r="K3149" t="s">
        <v>42309</v>
      </c>
      <c r="M3149" t="s">
        <v>43874</v>
      </c>
      <c r="N3149" t="s">
        <v>46569</v>
      </c>
      <c r="O3149" t="s">
        <v>46570</v>
      </c>
      <c r="P3149">
        <v>0</v>
      </c>
      <c r="Q3149">
        <v>1</v>
      </c>
      <c r="R3149" t="s">
        <v>46572</v>
      </c>
      <c r="S3149" t="s">
        <v>46689</v>
      </c>
      <c r="T3149" t="s">
        <v>48472</v>
      </c>
      <c r="U3149" t="s">
        <v>51414</v>
      </c>
      <c r="W3149" t="s">
        <v>43874</v>
      </c>
      <c r="X3149" t="s">
        <v>46573</v>
      </c>
    </row>
    <row r="3150" spans="1:24">
      <c r="A3150">
        <f>HYPERLINK("https://www.philgeps.gov.ph/GEPSNONPILOT/Tender/SplashBidNoticeAbstractUI.aspx?menuIndex=3&amp;refID=7062359&amp;Result=3","7062359")</f>
        <v>0</v>
      </c>
      <c r="B3150" t="s">
        <v>1234</v>
      </c>
      <c r="C3150" t="s">
        <v>6579</v>
      </c>
      <c r="D3150" t="s">
        <v>18784</v>
      </c>
      <c r="E3150" t="s">
        <v>21765</v>
      </c>
      <c r="F3150" t="s">
        <v>32664</v>
      </c>
      <c r="G3150" t="s">
        <v>32678</v>
      </c>
      <c r="H3150" t="s">
        <v>12635</v>
      </c>
      <c r="I3150" t="s">
        <v>32681</v>
      </c>
      <c r="J3150" t="s">
        <v>32898</v>
      </c>
      <c r="K3150" t="s">
        <v>42404</v>
      </c>
      <c r="M3150" t="s">
        <v>43875</v>
      </c>
      <c r="N3150" t="s">
        <v>46569</v>
      </c>
      <c r="O3150" t="s">
        <v>46570</v>
      </c>
      <c r="P3150">
        <v>0</v>
      </c>
      <c r="Q3150">
        <v>3</v>
      </c>
      <c r="R3150" t="s">
        <v>46572</v>
      </c>
      <c r="S3150" t="s">
        <v>46689</v>
      </c>
      <c r="T3150" t="s">
        <v>48319</v>
      </c>
      <c r="U3150" t="s">
        <v>51415</v>
      </c>
      <c r="V3150" t="s">
        <v>61916</v>
      </c>
      <c r="W3150" t="s">
        <v>43875</v>
      </c>
      <c r="X3150" t="s">
        <v>46573</v>
      </c>
    </row>
    <row r="3151" spans="1:24">
      <c r="A3151">
        <f>HYPERLINK("https://www.philgeps.gov.ph/GEPSNONPILOT/Tender/SplashBidNoticeAbstractUI.aspx?menuIndex=3&amp;refID=7062395&amp;Result=3","7062395")</f>
        <v>0</v>
      </c>
      <c r="B3151" t="s">
        <v>1131</v>
      </c>
      <c r="C3151" t="s">
        <v>4945</v>
      </c>
      <c r="D3151" t="s">
        <v>18847</v>
      </c>
      <c r="E3151" t="s">
        <v>21766</v>
      </c>
      <c r="F3151" t="s">
        <v>32664</v>
      </c>
      <c r="G3151" t="s">
        <v>32674</v>
      </c>
      <c r="H3151" t="s">
        <v>12635</v>
      </c>
      <c r="I3151" t="s">
        <v>5589</v>
      </c>
      <c r="J3151" t="s">
        <v>33126</v>
      </c>
      <c r="K3151" t="s">
        <v>42283</v>
      </c>
      <c r="M3151" t="s">
        <v>43760</v>
      </c>
      <c r="N3151" t="s">
        <v>46569</v>
      </c>
      <c r="O3151" t="s">
        <v>46570</v>
      </c>
      <c r="P3151">
        <v>0</v>
      </c>
      <c r="Q3151">
        <v>2</v>
      </c>
      <c r="R3151" t="s">
        <v>46572</v>
      </c>
      <c r="S3151" t="s">
        <v>46689</v>
      </c>
      <c r="T3151" t="s">
        <v>48316</v>
      </c>
      <c r="U3151" t="s">
        <v>51416</v>
      </c>
      <c r="W3151" t="s">
        <v>43760</v>
      </c>
      <c r="X3151" t="s">
        <v>46573</v>
      </c>
    </row>
    <row r="3152" spans="1:24">
      <c r="A3152">
        <f>HYPERLINK("https://www.philgeps.gov.ph/GEPSNONPILOT/Tender/SplashBidNoticeAbstractUI.aspx?menuIndex=3&amp;refID=7062391&amp;Result=3","7062391")</f>
        <v>0</v>
      </c>
      <c r="B3152" t="s">
        <v>1235</v>
      </c>
      <c r="C3152" t="s">
        <v>6580</v>
      </c>
      <c r="D3152" t="s">
        <v>18825</v>
      </c>
      <c r="E3152" t="s">
        <v>21767</v>
      </c>
      <c r="F3152" t="s">
        <v>32664</v>
      </c>
      <c r="G3152" t="s">
        <v>32671</v>
      </c>
      <c r="H3152" t="s">
        <v>12635</v>
      </c>
      <c r="I3152" t="s">
        <v>32724</v>
      </c>
      <c r="J3152" t="s">
        <v>34959</v>
      </c>
      <c r="K3152" t="s">
        <v>42283</v>
      </c>
      <c r="M3152" t="s">
        <v>43876</v>
      </c>
      <c r="N3152" t="s">
        <v>46569</v>
      </c>
      <c r="O3152" t="s">
        <v>46570</v>
      </c>
      <c r="P3152">
        <v>0</v>
      </c>
      <c r="Q3152">
        <v>0</v>
      </c>
      <c r="R3152" t="s">
        <v>46572</v>
      </c>
      <c r="S3152" t="s">
        <v>46689</v>
      </c>
      <c r="T3152" t="s">
        <v>48246</v>
      </c>
      <c r="U3152" t="s">
        <v>51417</v>
      </c>
      <c r="W3152" t="s">
        <v>43876</v>
      </c>
      <c r="X3152" t="s">
        <v>46573</v>
      </c>
    </row>
    <row r="3153" spans="1:24">
      <c r="A3153">
        <f>HYPERLINK("https://www.philgeps.gov.ph/GEPSNONPILOT/Tender/SplashBidNoticeAbstractUI.aspx?menuIndex=3&amp;refID=7062401&amp;Result=3","7062401")</f>
        <v>0</v>
      </c>
      <c r="B3153" t="s">
        <v>1236</v>
      </c>
      <c r="C3153" t="s">
        <v>6581</v>
      </c>
      <c r="D3153" t="s">
        <v>18810</v>
      </c>
      <c r="E3153" t="s">
        <v>19419</v>
      </c>
      <c r="F3153" t="s">
        <v>32664</v>
      </c>
      <c r="G3153" t="s">
        <v>32672</v>
      </c>
      <c r="H3153" t="s">
        <v>32683</v>
      </c>
      <c r="I3153" t="s">
        <v>10627</v>
      </c>
      <c r="J3153" t="s">
        <v>32929</v>
      </c>
      <c r="K3153" t="s">
        <v>42283</v>
      </c>
      <c r="M3153" t="s">
        <v>43877</v>
      </c>
      <c r="N3153" t="s">
        <v>46569</v>
      </c>
      <c r="O3153" t="s">
        <v>46570</v>
      </c>
      <c r="P3153">
        <v>0</v>
      </c>
      <c r="Q3153">
        <v>0</v>
      </c>
      <c r="R3153" t="s">
        <v>46572</v>
      </c>
      <c r="S3153" t="s">
        <v>46689</v>
      </c>
      <c r="T3153" t="s">
        <v>48470</v>
      </c>
      <c r="U3153" t="s">
        <v>51418</v>
      </c>
      <c r="W3153" t="s">
        <v>43877</v>
      </c>
      <c r="X3153" t="s">
        <v>46573</v>
      </c>
    </row>
    <row r="3154" spans="1:24">
      <c r="A3154">
        <f>HYPERLINK("https://www.philgeps.gov.ph/GEPSNONPILOT/Tender/SplashBidNoticeAbstractUI.aspx?menuIndex=3&amp;refID=7062390&amp;Result=3","7062390")</f>
        <v>0</v>
      </c>
      <c r="B3154" t="s">
        <v>1237</v>
      </c>
      <c r="C3154" t="s">
        <v>6582</v>
      </c>
      <c r="D3154" t="s">
        <v>18831</v>
      </c>
      <c r="E3154" t="s">
        <v>21768</v>
      </c>
      <c r="F3154" t="s">
        <v>32664</v>
      </c>
      <c r="G3154" t="s">
        <v>32671</v>
      </c>
      <c r="H3154" t="s">
        <v>12635</v>
      </c>
      <c r="I3154" t="s">
        <v>6628</v>
      </c>
      <c r="J3154" t="s">
        <v>32859</v>
      </c>
      <c r="K3154" t="s">
        <v>42283</v>
      </c>
      <c r="M3154" t="s">
        <v>43878</v>
      </c>
      <c r="N3154" t="s">
        <v>46569</v>
      </c>
      <c r="O3154" t="s">
        <v>46570</v>
      </c>
      <c r="P3154">
        <v>0</v>
      </c>
      <c r="Q3154">
        <v>2</v>
      </c>
      <c r="R3154" t="s">
        <v>46572</v>
      </c>
      <c r="S3154" t="s">
        <v>46689</v>
      </c>
      <c r="T3154" t="s">
        <v>48249</v>
      </c>
      <c r="U3154" t="s">
        <v>51419</v>
      </c>
      <c r="W3154" t="s">
        <v>43878</v>
      </c>
      <c r="X3154" t="s">
        <v>46573</v>
      </c>
    </row>
    <row r="3155" spans="1:24">
      <c r="A3155">
        <f>HYPERLINK("https://www.philgeps.gov.ph/GEPSNONPILOT/Tender/SplashBidNoticeAbstractUI.aspx?menuIndex=3&amp;refID=7062357&amp;Result=3","7062357")</f>
        <v>0</v>
      </c>
      <c r="B3155" t="s">
        <v>304</v>
      </c>
      <c r="C3155" t="s">
        <v>6583</v>
      </c>
      <c r="D3155" t="s">
        <v>18792</v>
      </c>
      <c r="E3155" t="s">
        <v>19460</v>
      </c>
      <c r="F3155" t="s">
        <v>32664</v>
      </c>
      <c r="G3155" t="s">
        <v>32671</v>
      </c>
      <c r="H3155" t="s">
        <v>12635</v>
      </c>
      <c r="I3155" t="s">
        <v>7759</v>
      </c>
      <c r="J3155" t="s">
        <v>34960</v>
      </c>
      <c r="K3155" t="s">
        <v>42295</v>
      </c>
      <c r="M3155" t="s">
        <v>42871</v>
      </c>
      <c r="N3155" t="s">
        <v>46569</v>
      </c>
      <c r="O3155" t="s">
        <v>46570</v>
      </c>
      <c r="P3155">
        <v>0</v>
      </c>
      <c r="Q3155">
        <v>0</v>
      </c>
      <c r="R3155" t="s">
        <v>46572</v>
      </c>
      <c r="S3155" t="s">
        <v>46689</v>
      </c>
      <c r="T3155" t="s">
        <v>48221</v>
      </c>
      <c r="U3155" t="s">
        <v>51420</v>
      </c>
      <c r="W3155" t="s">
        <v>42871</v>
      </c>
      <c r="X3155" t="s">
        <v>46573</v>
      </c>
    </row>
    <row r="3156" spans="1:24">
      <c r="A3156">
        <f>HYPERLINK("https://www.philgeps.gov.ph/GEPSNONPILOT/Tender/SplashBidNoticeAbstractUI.aspx?menuIndex=3&amp;refID=7062419&amp;Result=3","7062419")</f>
        <v>0</v>
      </c>
      <c r="B3156" t="s">
        <v>915</v>
      </c>
      <c r="C3156" t="s">
        <v>6584</v>
      </c>
      <c r="D3156" t="s">
        <v>18784</v>
      </c>
      <c r="E3156" t="s">
        <v>21769</v>
      </c>
      <c r="F3156" t="s">
        <v>32664</v>
      </c>
      <c r="G3156" t="s">
        <v>32671</v>
      </c>
      <c r="H3156" t="s">
        <v>12635</v>
      </c>
      <c r="I3156" t="s">
        <v>32685</v>
      </c>
      <c r="J3156" t="s">
        <v>34961</v>
      </c>
      <c r="K3156" t="s">
        <v>42283</v>
      </c>
      <c r="M3156" t="s">
        <v>43879</v>
      </c>
      <c r="N3156" t="s">
        <v>46569</v>
      </c>
      <c r="O3156" t="s">
        <v>46570</v>
      </c>
      <c r="P3156">
        <v>0</v>
      </c>
      <c r="Q3156">
        <v>0</v>
      </c>
      <c r="R3156" t="s">
        <v>46572</v>
      </c>
      <c r="S3156" t="s">
        <v>46689</v>
      </c>
      <c r="T3156" t="s">
        <v>48246</v>
      </c>
      <c r="U3156" t="s">
        <v>50592</v>
      </c>
      <c r="W3156" t="s">
        <v>43879</v>
      </c>
      <c r="X3156" t="s">
        <v>46573</v>
      </c>
    </row>
    <row r="3157" spans="1:24">
      <c r="A3157">
        <f>HYPERLINK("https://www.philgeps.gov.ph/GEPSNONPILOT/Tender/SplashBidNoticeAbstractUI.aspx?menuIndex=3&amp;refID=7062394&amp;Result=3","7062394")</f>
        <v>0</v>
      </c>
      <c r="B3157" t="s">
        <v>1238</v>
      </c>
      <c r="C3157" t="s">
        <v>6585</v>
      </c>
      <c r="D3157" t="s">
        <v>18820</v>
      </c>
      <c r="E3157" t="s">
        <v>21770</v>
      </c>
      <c r="F3157" t="s">
        <v>32664</v>
      </c>
      <c r="G3157" t="s">
        <v>32674</v>
      </c>
      <c r="H3157" t="s">
        <v>12635</v>
      </c>
      <c r="I3157" t="s">
        <v>6168</v>
      </c>
      <c r="J3157" t="s">
        <v>34433</v>
      </c>
      <c r="K3157" t="s">
        <v>42284</v>
      </c>
      <c r="M3157" t="s">
        <v>43880</v>
      </c>
      <c r="N3157" t="s">
        <v>46569</v>
      </c>
      <c r="O3157" t="s">
        <v>46570</v>
      </c>
      <c r="P3157">
        <v>0</v>
      </c>
      <c r="Q3157">
        <v>0</v>
      </c>
      <c r="R3157" t="s">
        <v>46572</v>
      </c>
      <c r="S3157" t="s">
        <v>46689</v>
      </c>
      <c r="T3157" t="s">
        <v>48228</v>
      </c>
      <c r="U3157" t="s">
        <v>51421</v>
      </c>
      <c r="W3157" t="s">
        <v>43880</v>
      </c>
      <c r="X3157" t="s">
        <v>46573</v>
      </c>
    </row>
    <row r="3158" spans="1:24">
      <c r="A3158">
        <f>HYPERLINK("https://www.philgeps.gov.ph/GEPSNONPILOT/Tender/SplashBidNoticeAbstractUI.aspx?menuIndex=3&amp;refID=7062423&amp;Result=3","7062423")</f>
        <v>0</v>
      </c>
      <c r="B3158" t="s">
        <v>1227</v>
      </c>
      <c r="C3158" t="s">
        <v>6586</v>
      </c>
      <c r="D3158" t="s">
        <v>18784</v>
      </c>
      <c r="E3158" t="s">
        <v>21771</v>
      </c>
      <c r="F3158" t="s">
        <v>32664</v>
      </c>
      <c r="G3158" t="s">
        <v>32675</v>
      </c>
      <c r="H3158" t="s">
        <v>12635</v>
      </c>
      <c r="I3158" t="s">
        <v>4333</v>
      </c>
      <c r="J3158" t="s">
        <v>34962</v>
      </c>
      <c r="K3158" t="s">
        <v>42284</v>
      </c>
      <c r="M3158" t="s">
        <v>43866</v>
      </c>
      <c r="N3158" t="s">
        <v>46569</v>
      </c>
      <c r="O3158" t="s">
        <v>46570</v>
      </c>
      <c r="P3158">
        <v>0</v>
      </c>
      <c r="Q3158">
        <v>3</v>
      </c>
      <c r="R3158" t="s">
        <v>46572</v>
      </c>
      <c r="S3158" t="s">
        <v>46689</v>
      </c>
      <c r="T3158" t="s">
        <v>48282</v>
      </c>
      <c r="U3158" t="s">
        <v>51422</v>
      </c>
      <c r="V3158" t="s">
        <v>61936</v>
      </c>
      <c r="W3158" t="s">
        <v>43866</v>
      </c>
      <c r="X3158" t="s">
        <v>46573</v>
      </c>
    </row>
    <row r="3159" spans="1:24">
      <c r="A3159">
        <f>HYPERLINK("https://www.philgeps.gov.ph/GEPSNONPILOT/Tender/SplashBidNoticeAbstractUI.aspx?menuIndex=3&amp;refID=7062393&amp;Result=3","7062393")</f>
        <v>0</v>
      </c>
      <c r="B3159" t="s">
        <v>516</v>
      </c>
      <c r="C3159" t="s">
        <v>6587</v>
      </c>
      <c r="D3159" t="s">
        <v>18804</v>
      </c>
      <c r="E3159" t="s">
        <v>21772</v>
      </c>
      <c r="F3159" t="s">
        <v>32664</v>
      </c>
      <c r="G3159" t="s">
        <v>32672</v>
      </c>
      <c r="H3159" t="s">
        <v>32683</v>
      </c>
      <c r="I3159" t="s">
        <v>10627</v>
      </c>
      <c r="J3159" t="s">
        <v>32853</v>
      </c>
      <c r="K3159" t="s">
        <v>42305</v>
      </c>
      <c r="M3159" t="s">
        <v>43092</v>
      </c>
      <c r="N3159" t="s">
        <v>46569</v>
      </c>
      <c r="O3159" t="s">
        <v>46570</v>
      </c>
      <c r="P3159">
        <v>0</v>
      </c>
      <c r="Q3159">
        <v>0</v>
      </c>
      <c r="R3159" t="s">
        <v>46572</v>
      </c>
      <c r="S3159" t="s">
        <v>46689</v>
      </c>
      <c r="T3159" t="s">
        <v>48220</v>
      </c>
      <c r="U3159" t="s">
        <v>51423</v>
      </c>
      <c r="W3159" t="s">
        <v>43092</v>
      </c>
      <c r="X3159" t="s">
        <v>46573</v>
      </c>
    </row>
    <row r="3160" spans="1:24">
      <c r="A3160">
        <f>HYPERLINK("https://www.philgeps.gov.ph/GEPSNONPILOT/Tender/SplashBidNoticeAbstractUI.aspx?menuIndex=3&amp;refID=7062389&amp;Result=3","7062389")</f>
        <v>0</v>
      </c>
      <c r="B3160" t="s">
        <v>805</v>
      </c>
      <c r="C3160" t="s">
        <v>6588</v>
      </c>
      <c r="D3160" t="s">
        <v>18838</v>
      </c>
      <c r="E3160" t="s">
        <v>21773</v>
      </c>
      <c r="F3160" t="s">
        <v>32664</v>
      </c>
      <c r="G3160" t="s">
        <v>32671</v>
      </c>
      <c r="H3160" t="s">
        <v>12635</v>
      </c>
      <c r="I3160" t="s">
        <v>13883</v>
      </c>
      <c r="J3160" t="s">
        <v>34963</v>
      </c>
      <c r="K3160" t="s">
        <v>42281</v>
      </c>
      <c r="M3160" t="s">
        <v>43397</v>
      </c>
      <c r="N3160" t="s">
        <v>46569</v>
      </c>
      <c r="O3160" t="s">
        <v>46570</v>
      </c>
      <c r="P3160">
        <v>0</v>
      </c>
      <c r="Q3160">
        <v>6</v>
      </c>
      <c r="R3160" t="s">
        <v>46572</v>
      </c>
      <c r="S3160" t="s">
        <v>46689</v>
      </c>
      <c r="T3160" t="s">
        <v>48256</v>
      </c>
      <c r="U3160" t="s">
        <v>51342</v>
      </c>
      <c r="W3160" t="s">
        <v>43397</v>
      </c>
      <c r="X3160" t="s">
        <v>46573</v>
      </c>
    </row>
    <row r="3161" spans="1:24">
      <c r="A3161">
        <f>HYPERLINK("https://www.philgeps.gov.ph/GEPSNONPILOT/Tender/SplashBidNoticeAbstractUI.aspx?menuIndex=3&amp;refID=7062421&amp;Result=3","7062421")</f>
        <v>0</v>
      </c>
      <c r="B3161" t="s">
        <v>1185</v>
      </c>
      <c r="C3161" t="s">
        <v>6589</v>
      </c>
      <c r="D3161" t="s">
        <v>18807</v>
      </c>
      <c r="E3161" t="s">
        <v>21763</v>
      </c>
      <c r="F3161" t="s">
        <v>32664</v>
      </c>
      <c r="G3161" t="s">
        <v>32672</v>
      </c>
      <c r="H3161" t="s">
        <v>12635</v>
      </c>
      <c r="I3161" t="s">
        <v>4439</v>
      </c>
      <c r="J3161" t="s">
        <v>34944</v>
      </c>
      <c r="K3161" t="s">
        <v>42297</v>
      </c>
      <c r="M3161" t="s">
        <v>43821</v>
      </c>
      <c r="N3161" t="s">
        <v>46569</v>
      </c>
      <c r="O3161" t="s">
        <v>46570</v>
      </c>
      <c r="P3161">
        <v>0</v>
      </c>
      <c r="Q3161">
        <v>0</v>
      </c>
      <c r="R3161" t="s">
        <v>46572</v>
      </c>
      <c r="S3161" t="s">
        <v>46689</v>
      </c>
      <c r="T3161" t="s">
        <v>48230</v>
      </c>
      <c r="U3161" t="s">
        <v>51319</v>
      </c>
      <c r="W3161" t="s">
        <v>43821</v>
      </c>
      <c r="X3161" t="s">
        <v>46573</v>
      </c>
    </row>
    <row r="3162" spans="1:24">
      <c r="A3162">
        <f>HYPERLINK("https://www.philgeps.gov.ph/GEPSNONPILOT/Tender/SplashBidNoticeAbstractUI.aspx?menuIndex=3&amp;refID=7062420&amp;Result=3","7062420")</f>
        <v>0</v>
      </c>
      <c r="B3162" t="s">
        <v>1239</v>
      </c>
      <c r="C3162" t="s">
        <v>6590</v>
      </c>
      <c r="D3162" t="s">
        <v>18785</v>
      </c>
      <c r="E3162" t="s">
        <v>21695</v>
      </c>
      <c r="F3162" t="s">
        <v>32664</v>
      </c>
      <c r="G3162" t="s">
        <v>32672</v>
      </c>
      <c r="H3162" t="s">
        <v>12635</v>
      </c>
      <c r="I3162" t="s">
        <v>32716</v>
      </c>
      <c r="J3162" t="s">
        <v>34964</v>
      </c>
      <c r="K3162" t="s">
        <v>42283</v>
      </c>
      <c r="M3162" t="s">
        <v>43881</v>
      </c>
      <c r="N3162" t="s">
        <v>46569</v>
      </c>
      <c r="O3162" t="s">
        <v>46570</v>
      </c>
      <c r="P3162">
        <v>0</v>
      </c>
      <c r="Q3162">
        <v>2</v>
      </c>
      <c r="R3162" t="s">
        <v>46572</v>
      </c>
      <c r="S3162" t="s">
        <v>46689</v>
      </c>
      <c r="T3162" t="s">
        <v>48312</v>
      </c>
      <c r="U3162" t="s">
        <v>51424</v>
      </c>
      <c r="W3162" t="s">
        <v>43881</v>
      </c>
      <c r="X3162" t="s">
        <v>46573</v>
      </c>
    </row>
    <row r="3163" spans="1:24">
      <c r="A3163">
        <f>HYPERLINK("https://www.philgeps.gov.ph/GEPSNONPILOT/Tender/SplashBidNoticeAbstractUI.aspx?menuIndex=3&amp;refID=7062417&amp;Result=3","7062417")</f>
        <v>0</v>
      </c>
      <c r="B3163" t="s">
        <v>243</v>
      </c>
      <c r="C3163" t="s">
        <v>6591</v>
      </c>
      <c r="D3163" t="s">
        <v>18841</v>
      </c>
      <c r="E3163" t="s">
        <v>21774</v>
      </c>
      <c r="F3163" t="s">
        <v>32664</v>
      </c>
      <c r="G3163" t="s">
        <v>32671</v>
      </c>
      <c r="H3163" t="s">
        <v>12635</v>
      </c>
      <c r="I3163" t="s">
        <v>32706</v>
      </c>
      <c r="J3163" t="s">
        <v>34965</v>
      </c>
      <c r="K3163" t="s">
        <v>42284</v>
      </c>
      <c r="L3163" t="s">
        <v>243</v>
      </c>
      <c r="M3163" t="s">
        <v>42808</v>
      </c>
      <c r="N3163" t="s">
        <v>46569</v>
      </c>
      <c r="O3163" t="s">
        <v>46570</v>
      </c>
      <c r="P3163">
        <v>0</v>
      </c>
      <c r="Q3163">
        <v>0</v>
      </c>
      <c r="R3163" t="s">
        <v>46572</v>
      </c>
      <c r="S3163" t="s">
        <v>46689</v>
      </c>
      <c r="T3163" t="s">
        <v>48314</v>
      </c>
      <c r="U3163" t="s">
        <v>51425</v>
      </c>
      <c r="V3163" t="s">
        <v>61675</v>
      </c>
      <c r="W3163" t="s">
        <v>42808</v>
      </c>
      <c r="X3163" t="s">
        <v>46573</v>
      </c>
    </row>
    <row r="3164" spans="1:24">
      <c r="A3164">
        <f>HYPERLINK("https://www.philgeps.gov.ph/GEPSNONPILOT/Tender/SplashBidNoticeAbstractUI.aspx?menuIndex=3&amp;refID=7062415&amp;Result=3","7062415")</f>
        <v>0</v>
      </c>
      <c r="B3164" t="s">
        <v>594</v>
      </c>
      <c r="C3164" t="s">
        <v>6592</v>
      </c>
      <c r="D3164" t="s">
        <v>18784</v>
      </c>
      <c r="E3164" t="s">
        <v>21775</v>
      </c>
      <c r="F3164" t="s">
        <v>32664</v>
      </c>
      <c r="G3164" t="s">
        <v>32674</v>
      </c>
      <c r="H3164" t="s">
        <v>12635</v>
      </c>
      <c r="I3164" t="s">
        <v>6223</v>
      </c>
      <c r="J3164" t="s">
        <v>34966</v>
      </c>
      <c r="K3164" t="s">
        <v>42297</v>
      </c>
      <c r="M3164" t="s">
        <v>43793</v>
      </c>
      <c r="N3164" t="s">
        <v>46569</v>
      </c>
      <c r="O3164" t="s">
        <v>46570</v>
      </c>
      <c r="P3164">
        <v>0</v>
      </c>
      <c r="Q3164">
        <v>2</v>
      </c>
      <c r="R3164" t="s">
        <v>46572</v>
      </c>
      <c r="S3164" t="s">
        <v>46689</v>
      </c>
      <c r="T3164" t="s">
        <v>48461</v>
      </c>
      <c r="U3164" t="s">
        <v>51426</v>
      </c>
      <c r="V3164" t="s">
        <v>61909</v>
      </c>
      <c r="W3164" t="s">
        <v>43793</v>
      </c>
      <c r="X3164" t="s">
        <v>46573</v>
      </c>
    </row>
    <row r="3165" spans="1:24">
      <c r="A3165">
        <f>HYPERLINK("https://www.philgeps.gov.ph/GEPSNONPILOT/Tender/SplashBidNoticeAbstractUI.aspx?menuIndex=3&amp;refID=7062397&amp;Result=3","7062397")</f>
        <v>0</v>
      </c>
      <c r="B3165" t="s">
        <v>220</v>
      </c>
      <c r="C3165" t="s">
        <v>6593</v>
      </c>
      <c r="D3165" t="s">
        <v>18788</v>
      </c>
      <c r="E3165" t="s">
        <v>21776</v>
      </c>
      <c r="F3165" t="s">
        <v>32664</v>
      </c>
      <c r="G3165" t="s">
        <v>32672</v>
      </c>
      <c r="H3165" t="s">
        <v>12635</v>
      </c>
      <c r="I3165" t="s">
        <v>4439</v>
      </c>
      <c r="J3165" t="s">
        <v>34967</v>
      </c>
      <c r="K3165" t="s">
        <v>42297</v>
      </c>
      <c r="L3165" t="s">
        <v>220</v>
      </c>
      <c r="M3165" t="s">
        <v>42784</v>
      </c>
      <c r="N3165" t="s">
        <v>46569</v>
      </c>
      <c r="O3165" t="s">
        <v>46570</v>
      </c>
      <c r="P3165">
        <v>0</v>
      </c>
      <c r="Q3165">
        <v>0</v>
      </c>
      <c r="R3165" t="s">
        <v>46572</v>
      </c>
      <c r="S3165" t="s">
        <v>46689</v>
      </c>
      <c r="T3165" t="s">
        <v>48308</v>
      </c>
      <c r="U3165" t="s">
        <v>49167</v>
      </c>
      <c r="W3165" t="s">
        <v>42784</v>
      </c>
      <c r="X3165" t="s">
        <v>46573</v>
      </c>
    </row>
    <row r="3166" spans="1:24">
      <c r="A3166">
        <f>HYPERLINK("https://www.philgeps.gov.ph/GEPSNONPILOT/Tender/SplashBidNoticeAbstractUI.aspx?menuIndex=3&amp;refID=7062414&amp;Result=3","7062414")</f>
        <v>0</v>
      </c>
      <c r="B3166" t="s">
        <v>1240</v>
      </c>
      <c r="C3166" t="s">
        <v>6594</v>
      </c>
      <c r="D3166" t="s">
        <v>18786</v>
      </c>
      <c r="E3166" t="s">
        <v>21777</v>
      </c>
      <c r="F3166" t="s">
        <v>32664</v>
      </c>
      <c r="G3166" t="s">
        <v>32675</v>
      </c>
      <c r="H3166" t="s">
        <v>12635</v>
      </c>
      <c r="I3166" t="s">
        <v>6628</v>
      </c>
      <c r="J3166" t="s">
        <v>33015</v>
      </c>
      <c r="K3166" t="s">
        <v>42289</v>
      </c>
      <c r="M3166" t="s">
        <v>43882</v>
      </c>
      <c r="N3166" t="s">
        <v>46569</v>
      </c>
      <c r="O3166" t="s">
        <v>46570</v>
      </c>
      <c r="P3166">
        <v>0</v>
      </c>
      <c r="Q3166">
        <v>3</v>
      </c>
      <c r="R3166" t="s">
        <v>46572</v>
      </c>
      <c r="S3166" t="s">
        <v>46689</v>
      </c>
      <c r="T3166" t="s">
        <v>48217</v>
      </c>
      <c r="U3166" t="s">
        <v>51111</v>
      </c>
      <c r="W3166" t="s">
        <v>43882</v>
      </c>
      <c r="X3166" t="s">
        <v>46573</v>
      </c>
    </row>
    <row r="3167" spans="1:24">
      <c r="A3167">
        <f>HYPERLINK("https://www.philgeps.gov.ph/GEPSNONPILOT/Tender/SplashBidNoticeAbstractUI.aspx?menuIndex=3&amp;refID=7062413&amp;Result=3","7062413")</f>
        <v>0</v>
      </c>
      <c r="B3167" t="s">
        <v>1204</v>
      </c>
      <c r="C3167" t="s">
        <v>6595</v>
      </c>
      <c r="E3167" t="s">
        <v>21778</v>
      </c>
      <c r="F3167" t="s">
        <v>32664</v>
      </c>
      <c r="G3167" t="s">
        <v>32674</v>
      </c>
      <c r="H3167" t="s">
        <v>12635</v>
      </c>
      <c r="I3167" t="s">
        <v>6168</v>
      </c>
      <c r="J3167" t="s">
        <v>34968</v>
      </c>
      <c r="K3167" t="s">
        <v>42283</v>
      </c>
      <c r="M3167" t="s">
        <v>43841</v>
      </c>
      <c r="N3167" t="s">
        <v>46569</v>
      </c>
      <c r="O3167" t="s">
        <v>46570</v>
      </c>
      <c r="P3167">
        <v>0</v>
      </c>
      <c r="Q3167">
        <v>5</v>
      </c>
      <c r="R3167" t="s">
        <v>46572</v>
      </c>
      <c r="S3167" t="s">
        <v>46689</v>
      </c>
      <c r="T3167" t="s">
        <v>48254</v>
      </c>
      <c r="U3167" t="s">
        <v>51341</v>
      </c>
      <c r="W3167" t="s">
        <v>43841</v>
      </c>
      <c r="X3167" t="s">
        <v>46573</v>
      </c>
    </row>
    <row r="3168" spans="1:24">
      <c r="A3168">
        <f>HYPERLINK("https://www.philgeps.gov.ph/GEPSNONPILOT/Tender/SplashBidNoticeAbstractUI.aspx?menuIndex=3&amp;refID=7062460&amp;Result=3","7062460")</f>
        <v>0</v>
      </c>
      <c r="B3168" t="s">
        <v>1241</v>
      </c>
      <c r="C3168" t="s">
        <v>6596</v>
      </c>
      <c r="D3168" t="s">
        <v>18827</v>
      </c>
      <c r="E3168" t="s">
        <v>21002</v>
      </c>
      <c r="F3168" t="s">
        <v>32665</v>
      </c>
      <c r="G3168" t="s">
        <v>32674</v>
      </c>
      <c r="H3168" t="s">
        <v>12635</v>
      </c>
      <c r="I3168" t="s">
        <v>32723</v>
      </c>
      <c r="J3168" t="s">
        <v>34969</v>
      </c>
      <c r="K3168" t="s">
        <v>42297</v>
      </c>
      <c r="M3168" t="s">
        <v>43883</v>
      </c>
      <c r="N3168" t="s">
        <v>46569</v>
      </c>
      <c r="O3168" t="s">
        <v>46570</v>
      </c>
      <c r="P3168">
        <v>0</v>
      </c>
      <c r="Q3168">
        <v>1</v>
      </c>
      <c r="R3168" t="s">
        <v>46572</v>
      </c>
      <c r="S3168" t="s">
        <v>46689</v>
      </c>
      <c r="T3168" t="s">
        <v>48305</v>
      </c>
      <c r="U3168" t="s">
        <v>51427</v>
      </c>
      <c r="W3168" t="s">
        <v>43883</v>
      </c>
      <c r="X3168" t="s">
        <v>46573</v>
      </c>
    </row>
    <row r="3169" spans="1:24">
      <c r="A3169">
        <f>HYPERLINK("https://www.philgeps.gov.ph/GEPSNONPILOT/Tender/SplashBidNoticeAbstractUI.aspx?menuIndex=3&amp;refID=7062422&amp;Result=3","7062422")</f>
        <v>0</v>
      </c>
      <c r="B3169" t="s">
        <v>1119</v>
      </c>
      <c r="C3169" t="s">
        <v>6597</v>
      </c>
      <c r="D3169" t="s">
        <v>18835</v>
      </c>
      <c r="E3169" t="s">
        <v>21779</v>
      </c>
      <c r="F3169" t="s">
        <v>32664</v>
      </c>
      <c r="G3169" t="s">
        <v>32674</v>
      </c>
      <c r="H3169" t="s">
        <v>12635</v>
      </c>
      <c r="I3169" t="s">
        <v>32706</v>
      </c>
      <c r="J3169" t="s">
        <v>33477</v>
      </c>
      <c r="K3169" t="s">
        <v>42297</v>
      </c>
      <c r="M3169" t="s">
        <v>43748</v>
      </c>
      <c r="N3169" t="s">
        <v>46569</v>
      </c>
      <c r="O3169" t="s">
        <v>46570</v>
      </c>
      <c r="P3169">
        <v>0</v>
      </c>
      <c r="Q3169">
        <v>0</v>
      </c>
      <c r="R3169" t="s">
        <v>46572</v>
      </c>
      <c r="S3169" t="s">
        <v>46689</v>
      </c>
      <c r="T3169" t="s">
        <v>48268</v>
      </c>
      <c r="U3169" t="s">
        <v>51428</v>
      </c>
      <c r="W3169" t="s">
        <v>43748</v>
      </c>
      <c r="X3169" t="s">
        <v>46573</v>
      </c>
    </row>
    <row r="3170" spans="1:24">
      <c r="A3170">
        <f>HYPERLINK("https://www.philgeps.gov.ph/GEPSNONPILOT/Tender/SplashBidNoticeAbstractUI.aspx?menuIndex=3&amp;refID=7062458&amp;Result=3","7062458")</f>
        <v>0</v>
      </c>
      <c r="B3170" t="s">
        <v>1242</v>
      </c>
      <c r="C3170" t="s">
        <v>5075</v>
      </c>
      <c r="D3170" t="s">
        <v>18781</v>
      </c>
      <c r="E3170" t="s">
        <v>18889</v>
      </c>
      <c r="F3170" t="s">
        <v>32664</v>
      </c>
      <c r="G3170" t="s">
        <v>32672</v>
      </c>
      <c r="H3170" t="s">
        <v>12635</v>
      </c>
      <c r="I3170" t="s">
        <v>6628</v>
      </c>
      <c r="J3170" t="s">
        <v>33078</v>
      </c>
      <c r="K3170" t="s">
        <v>42289</v>
      </c>
      <c r="M3170" t="s">
        <v>43884</v>
      </c>
      <c r="N3170" t="s">
        <v>46569</v>
      </c>
      <c r="O3170" t="s">
        <v>46570</v>
      </c>
      <c r="P3170">
        <v>0</v>
      </c>
      <c r="Q3170">
        <v>3</v>
      </c>
      <c r="R3170" t="s">
        <v>46572</v>
      </c>
      <c r="S3170" t="s">
        <v>46689</v>
      </c>
      <c r="T3170" t="s">
        <v>48304</v>
      </c>
      <c r="U3170" t="s">
        <v>51429</v>
      </c>
      <c r="W3170" t="s">
        <v>43884</v>
      </c>
      <c r="X3170" t="s">
        <v>46573</v>
      </c>
    </row>
    <row r="3171" spans="1:24">
      <c r="A3171">
        <f>HYPERLINK("https://www.philgeps.gov.ph/GEPSNONPILOT/Tender/SplashBidNoticeAbstractUI.aspx?menuIndex=3&amp;refID=7062398&amp;Result=3","7062398")</f>
        <v>0</v>
      </c>
      <c r="B3171" t="s">
        <v>212</v>
      </c>
      <c r="C3171" t="s">
        <v>6598</v>
      </c>
      <c r="D3171" t="s">
        <v>18844</v>
      </c>
      <c r="E3171" t="s">
        <v>21780</v>
      </c>
      <c r="F3171" t="s">
        <v>32664</v>
      </c>
      <c r="G3171" t="s">
        <v>32677</v>
      </c>
      <c r="H3171" t="s">
        <v>12635</v>
      </c>
      <c r="I3171" t="s">
        <v>5589</v>
      </c>
      <c r="J3171" t="s">
        <v>34970</v>
      </c>
      <c r="K3171" t="s">
        <v>42289</v>
      </c>
      <c r="M3171" t="s">
        <v>42776</v>
      </c>
      <c r="N3171" t="s">
        <v>46569</v>
      </c>
      <c r="O3171" t="s">
        <v>46570</v>
      </c>
      <c r="P3171">
        <v>0</v>
      </c>
      <c r="Q3171">
        <v>0</v>
      </c>
      <c r="R3171" t="s">
        <v>46572</v>
      </c>
      <c r="S3171" t="s">
        <v>46689</v>
      </c>
      <c r="T3171" t="s">
        <v>48311</v>
      </c>
      <c r="U3171" t="s">
        <v>51430</v>
      </c>
      <c r="V3171" t="s">
        <v>61668</v>
      </c>
      <c r="W3171" t="s">
        <v>42776</v>
      </c>
      <c r="X3171" t="s">
        <v>46573</v>
      </c>
    </row>
    <row r="3172" spans="1:24">
      <c r="A3172">
        <f>HYPERLINK("https://www.philgeps.gov.ph/GEPSNONPILOT/Tender/SplashBidNoticeAbstractUI.aspx?menuIndex=3&amp;refID=7062453&amp;Result=3","7062453")</f>
        <v>0</v>
      </c>
      <c r="B3172" t="s">
        <v>525</v>
      </c>
      <c r="C3172" t="s">
        <v>6599</v>
      </c>
      <c r="E3172" t="s">
        <v>21781</v>
      </c>
      <c r="F3172" t="s">
        <v>32664</v>
      </c>
      <c r="G3172" t="s">
        <v>32675</v>
      </c>
      <c r="H3172" t="s">
        <v>12635</v>
      </c>
      <c r="I3172" t="s">
        <v>4205</v>
      </c>
      <c r="J3172" t="s">
        <v>34154</v>
      </c>
      <c r="K3172" t="s">
        <v>42283</v>
      </c>
      <c r="M3172" t="s">
        <v>43102</v>
      </c>
      <c r="N3172" t="s">
        <v>46569</v>
      </c>
      <c r="O3172" t="s">
        <v>46570</v>
      </c>
      <c r="P3172">
        <v>0</v>
      </c>
      <c r="Q3172">
        <v>0</v>
      </c>
      <c r="R3172" t="s">
        <v>46572</v>
      </c>
      <c r="S3172" t="s">
        <v>46689</v>
      </c>
      <c r="T3172" t="s">
        <v>48244</v>
      </c>
      <c r="U3172" t="s">
        <v>51431</v>
      </c>
      <c r="W3172" t="s">
        <v>43102</v>
      </c>
      <c r="X3172" t="s">
        <v>46573</v>
      </c>
    </row>
    <row r="3173" spans="1:24">
      <c r="A3173">
        <f>HYPERLINK("https://www.philgeps.gov.ph/GEPSNONPILOT/Tender/SplashBidNoticeAbstractUI.aspx?menuIndex=3&amp;refID=7062451&amp;Result=3","7062451")</f>
        <v>0</v>
      </c>
      <c r="B3173" t="s">
        <v>1243</v>
      </c>
      <c r="C3173" t="s">
        <v>6600</v>
      </c>
      <c r="D3173" t="s">
        <v>18785</v>
      </c>
      <c r="E3173" t="s">
        <v>21782</v>
      </c>
      <c r="F3173" t="s">
        <v>32664</v>
      </c>
      <c r="G3173" t="s">
        <v>32674</v>
      </c>
      <c r="H3173" t="s">
        <v>12635</v>
      </c>
      <c r="I3173" t="s">
        <v>32716</v>
      </c>
      <c r="J3173" t="s">
        <v>33031</v>
      </c>
      <c r="K3173" t="s">
        <v>42284</v>
      </c>
      <c r="M3173" t="s">
        <v>43885</v>
      </c>
      <c r="N3173" t="s">
        <v>46569</v>
      </c>
      <c r="O3173" t="s">
        <v>46570</v>
      </c>
      <c r="P3173">
        <v>0</v>
      </c>
      <c r="Q3173">
        <v>0</v>
      </c>
      <c r="R3173" t="s">
        <v>46572</v>
      </c>
      <c r="S3173" t="s">
        <v>46689</v>
      </c>
      <c r="T3173" t="s">
        <v>48297</v>
      </c>
      <c r="U3173" t="s">
        <v>51432</v>
      </c>
      <c r="W3173" t="s">
        <v>63507</v>
      </c>
      <c r="X3173" t="s">
        <v>46573</v>
      </c>
    </row>
    <row r="3174" spans="1:24">
      <c r="A3174">
        <f>HYPERLINK("https://www.philgeps.gov.ph/GEPSNONPILOT/Tender/SplashBidNoticeAbstractUI.aspx?menuIndex=3&amp;refID=7062449&amp;Result=3","7062449")</f>
        <v>0</v>
      </c>
      <c r="B3174" t="s">
        <v>536</v>
      </c>
      <c r="C3174" t="s">
        <v>6564</v>
      </c>
      <c r="D3174" t="s">
        <v>18786</v>
      </c>
      <c r="E3174" t="s">
        <v>21783</v>
      </c>
      <c r="F3174" t="s">
        <v>32664</v>
      </c>
      <c r="G3174" t="s">
        <v>32671</v>
      </c>
      <c r="H3174" t="s">
        <v>12635</v>
      </c>
      <c r="I3174" t="s">
        <v>8797</v>
      </c>
      <c r="J3174" t="s">
        <v>33107</v>
      </c>
      <c r="K3174" t="s">
        <v>42297</v>
      </c>
      <c r="M3174" t="s">
        <v>43869</v>
      </c>
      <c r="N3174" t="s">
        <v>46569</v>
      </c>
      <c r="O3174" t="s">
        <v>46570</v>
      </c>
      <c r="P3174">
        <v>0</v>
      </c>
      <c r="Q3174">
        <v>4</v>
      </c>
      <c r="R3174" t="s">
        <v>46572</v>
      </c>
      <c r="S3174" t="s">
        <v>46689</v>
      </c>
      <c r="T3174" t="s">
        <v>48268</v>
      </c>
      <c r="U3174" t="s">
        <v>51433</v>
      </c>
      <c r="W3174" t="s">
        <v>43869</v>
      </c>
      <c r="X3174" t="s">
        <v>46573</v>
      </c>
    </row>
    <row r="3175" spans="1:24">
      <c r="A3175">
        <f>HYPERLINK("https://www.philgeps.gov.ph/GEPSNONPILOT/Tender/SplashBidNoticeAbstractUI.aspx?menuIndex=3&amp;refID=7062418&amp;Result=3","7062418")</f>
        <v>0</v>
      </c>
      <c r="B3175" t="s">
        <v>1244</v>
      </c>
      <c r="C3175" t="s">
        <v>6601</v>
      </c>
      <c r="D3175" t="s">
        <v>18807</v>
      </c>
      <c r="E3175" t="s">
        <v>21784</v>
      </c>
      <c r="F3175" t="s">
        <v>32664</v>
      </c>
      <c r="G3175" t="s">
        <v>32672</v>
      </c>
      <c r="H3175" t="s">
        <v>32683</v>
      </c>
      <c r="I3175" t="s">
        <v>10627</v>
      </c>
      <c r="J3175" t="s">
        <v>34971</v>
      </c>
      <c r="K3175" t="s">
        <v>42311</v>
      </c>
      <c r="M3175" t="s">
        <v>43886</v>
      </c>
      <c r="N3175" t="s">
        <v>46569</v>
      </c>
      <c r="O3175" t="s">
        <v>46570</v>
      </c>
      <c r="P3175">
        <v>0</v>
      </c>
      <c r="Q3175">
        <v>1</v>
      </c>
      <c r="R3175" t="s">
        <v>46572</v>
      </c>
      <c r="S3175" t="s">
        <v>46689</v>
      </c>
      <c r="T3175" t="s">
        <v>48273</v>
      </c>
      <c r="U3175" t="s">
        <v>51434</v>
      </c>
      <c r="W3175" t="s">
        <v>43886</v>
      </c>
      <c r="X3175" t="s">
        <v>46573</v>
      </c>
    </row>
    <row r="3176" spans="1:24">
      <c r="A3176">
        <f>HYPERLINK("https://www.philgeps.gov.ph/GEPSNONPILOT/Tender/SplashBidNoticeAbstractUI.aspx?menuIndex=3&amp;refID=7062425&amp;Result=3","7062425")</f>
        <v>0</v>
      </c>
      <c r="B3176" t="s">
        <v>225</v>
      </c>
      <c r="C3176" t="s">
        <v>6602</v>
      </c>
      <c r="D3176" t="s">
        <v>18784</v>
      </c>
      <c r="E3176" t="s">
        <v>21785</v>
      </c>
      <c r="F3176" t="s">
        <v>32664</v>
      </c>
      <c r="G3176" t="s">
        <v>32672</v>
      </c>
      <c r="H3176" t="s">
        <v>32683</v>
      </c>
      <c r="I3176" t="s">
        <v>10627</v>
      </c>
      <c r="J3176" t="s">
        <v>34972</v>
      </c>
      <c r="K3176" t="s">
        <v>42290</v>
      </c>
      <c r="M3176" t="s">
        <v>43870</v>
      </c>
      <c r="N3176" t="s">
        <v>46569</v>
      </c>
      <c r="O3176" t="s">
        <v>46570</v>
      </c>
      <c r="P3176">
        <v>0</v>
      </c>
      <c r="Q3176">
        <v>25</v>
      </c>
      <c r="R3176" t="s">
        <v>46572</v>
      </c>
      <c r="S3176" t="s">
        <v>46689</v>
      </c>
      <c r="T3176" t="s">
        <v>48385</v>
      </c>
      <c r="U3176" t="s">
        <v>51407</v>
      </c>
      <c r="V3176" t="s">
        <v>61940</v>
      </c>
      <c r="W3176" t="s">
        <v>43870</v>
      </c>
      <c r="X3176" t="s">
        <v>46573</v>
      </c>
    </row>
    <row r="3177" spans="1:24">
      <c r="A3177">
        <f>HYPERLINK("https://www.philgeps.gov.ph/GEPSNONPILOT/Tender/SplashBidNoticeAbstractUI.aspx?menuIndex=3&amp;refID=7062448&amp;Result=3","7062448")</f>
        <v>0</v>
      </c>
      <c r="B3177" t="s">
        <v>1245</v>
      </c>
      <c r="C3177" t="s">
        <v>6603</v>
      </c>
      <c r="D3177" t="s">
        <v>18784</v>
      </c>
      <c r="E3177" t="s">
        <v>21561</v>
      </c>
      <c r="F3177" t="s">
        <v>32664</v>
      </c>
      <c r="G3177" t="s">
        <v>32671</v>
      </c>
      <c r="H3177" t="s">
        <v>12635</v>
      </c>
      <c r="I3177" t="s">
        <v>32689</v>
      </c>
      <c r="J3177" t="s">
        <v>33250</v>
      </c>
      <c r="K3177" t="s">
        <v>42289</v>
      </c>
      <c r="M3177" t="s">
        <v>43887</v>
      </c>
      <c r="N3177" t="s">
        <v>46569</v>
      </c>
      <c r="O3177" t="s">
        <v>46570</v>
      </c>
      <c r="P3177">
        <v>0</v>
      </c>
      <c r="Q3177">
        <v>3</v>
      </c>
      <c r="R3177" t="s">
        <v>46572</v>
      </c>
      <c r="S3177" t="s">
        <v>46689</v>
      </c>
      <c r="T3177" t="s">
        <v>48258</v>
      </c>
      <c r="U3177" t="s">
        <v>51435</v>
      </c>
      <c r="W3177" t="s">
        <v>43887</v>
      </c>
      <c r="X3177" t="s">
        <v>46573</v>
      </c>
    </row>
    <row r="3178" spans="1:24">
      <c r="A3178">
        <f>HYPERLINK("https://www.philgeps.gov.ph/GEPSNONPILOT/Tender/SplashBidNoticeAbstractUI.aspx?menuIndex=3&amp;refID=7062441&amp;Result=3","7062441")</f>
        <v>0</v>
      </c>
      <c r="B3178" t="s">
        <v>133</v>
      </c>
      <c r="C3178" t="s">
        <v>6604</v>
      </c>
      <c r="D3178" t="s">
        <v>18832</v>
      </c>
      <c r="E3178" t="s">
        <v>21786</v>
      </c>
      <c r="F3178" t="s">
        <v>32664</v>
      </c>
      <c r="G3178" t="s">
        <v>32672</v>
      </c>
      <c r="H3178" t="s">
        <v>32683</v>
      </c>
      <c r="I3178" t="s">
        <v>10627</v>
      </c>
      <c r="J3178" t="s">
        <v>34973</v>
      </c>
      <c r="K3178" t="s">
        <v>42359</v>
      </c>
      <c r="M3178" t="s">
        <v>42697</v>
      </c>
      <c r="N3178" t="s">
        <v>46569</v>
      </c>
      <c r="O3178" t="s">
        <v>46570</v>
      </c>
      <c r="P3178">
        <v>0</v>
      </c>
      <c r="Q3178">
        <v>0</v>
      </c>
      <c r="R3178" t="s">
        <v>46572</v>
      </c>
      <c r="S3178" t="s">
        <v>46689</v>
      </c>
      <c r="T3178" t="s">
        <v>48236</v>
      </c>
      <c r="U3178" t="s">
        <v>51436</v>
      </c>
      <c r="W3178" t="s">
        <v>42697</v>
      </c>
      <c r="X3178" t="s">
        <v>46573</v>
      </c>
    </row>
    <row r="3179" spans="1:24">
      <c r="A3179">
        <f>HYPERLINK("https://www.philgeps.gov.ph/GEPSNONPILOT/Tender/SplashBidNoticeAbstractUI.aspx?menuIndex=3&amp;refID=7062437&amp;Result=3","7062437")</f>
        <v>0</v>
      </c>
      <c r="B3179" t="s">
        <v>1246</v>
      </c>
      <c r="C3179" t="s">
        <v>6605</v>
      </c>
      <c r="D3179" t="s">
        <v>18865</v>
      </c>
      <c r="E3179" t="s">
        <v>19137</v>
      </c>
      <c r="F3179" t="s">
        <v>32664</v>
      </c>
      <c r="G3179" t="s">
        <v>32671</v>
      </c>
      <c r="H3179" t="s">
        <v>12635</v>
      </c>
      <c r="I3179" t="s">
        <v>32730</v>
      </c>
      <c r="J3179" t="s">
        <v>33126</v>
      </c>
      <c r="K3179" t="s">
        <v>42329</v>
      </c>
      <c r="M3179" t="s">
        <v>43888</v>
      </c>
      <c r="N3179" t="s">
        <v>46569</v>
      </c>
      <c r="O3179" t="s">
        <v>46570</v>
      </c>
      <c r="P3179">
        <v>0</v>
      </c>
      <c r="Q3179">
        <v>0</v>
      </c>
      <c r="R3179" t="s">
        <v>46572</v>
      </c>
      <c r="S3179" t="s">
        <v>46689</v>
      </c>
      <c r="T3179" t="s">
        <v>48258</v>
      </c>
      <c r="U3179" t="s">
        <v>51437</v>
      </c>
      <c r="W3179" t="s">
        <v>43888</v>
      </c>
      <c r="X3179" t="s">
        <v>46573</v>
      </c>
    </row>
    <row r="3180" spans="1:24">
      <c r="A3180">
        <f>HYPERLINK("https://www.philgeps.gov.ph/GEPSNONPILOT/Tender/SplashBidNoticeAbstractUI.aspx?menuIndex=3&amp;refID=7062455&amp;Result=3","7062455")</f>
        <v>0</v>
      </c>
      <c r="B3180" t="s">
        <v>1247</v>
      </c>
      <c r="C3180" t="s">
        <v>6606</v>
      </c>
      <c r="D3180" t="s">
        <v>18802</v>
      </c>
      <c r="E3180" t="s">
        <v>21787</v>
      </c>
      <c r="F3180" t="s">
        <v>32664</v>
      </c>
      <c r="G3180" t="s">
        <v>32671</v>
      </c>
      <c r="H3180" t="s">
        <v>32681</v>
      </c>
      <c r="I3180" t="s">
        <v>32681</v>
      </c>
      <c r="J3180" t="s">
        <v>34974</v>
      </c>
      <c r="K3180" t="s">
        <v>42298</v>
      </c>
      <c r="M3180" t="s">
        <v>43889</v>
      </c>
      <c r="N3180" t="s">
        <v>46569</v>
      </c>
      <c r="O3180" t="s">
        <v>46570</v>
      </c>
      <c r="P3180">
        <v>0</v>
      </c>
      <c r="Q3180">
        <v>3</v>
      </c>
      <c r="R3180" t="s">
        <v>46572</v>
      </c>
      <c r="S3180" t="s">
        <v>46689</v>
      </c>
      <c r="T3180" t="s">
        <v>48219</v>
      </c>
      <c r="U3180" t="s">
        <v>51438</v>
      </c>
      <c r="W3180" t="s">
        <v>43889</v>
      </c>
      <c r="X3180" t="s">
        <v>46573</v>
      </c>
    </row>
    <row r="3181" spans="1:24">
      <c r="A3181">
        <f>HYPERLINK("https://www.philgeps.gov.ph/GEPSNONPILOT/Tender/SplashBidNoticeAbstractUI.aspx?menuIndex=3&amp;refID=7062434&amp;Result=3","7062434")</f>
        <v>0</v>
      </c>
      <c r="B3181" t="s">
        <v>1248</v>
      </c>
      <c r="C3181" t="s">
        <v>6607</v>
      </c>
      <c r="D3181" t="s">
        <v>18858</v>
      </c>
      <c r="E3181" t="s">
        <v>21788</v>
      </c>
      <c r="F3181" t="s">
        <v>32664</v>
      </c>
      <c r="G3181" t="s">
        <v>32671</v>
      </c>
      <c r="H3181" t="s">
        <v>12635</v>
      </c>
      <c r="I3181" t="s">
        <v>32741</v>
      </c>
      <c r="J3181" t="s">
        <v>32865</v>
      </c>
      <c r="K3181" t="s">
        <v>42303</v>
      </c>
      <c r="M3181" t="s">
        <v>43890</v>
      </c>
      <c r="N3181" t="s">
        <v>46569</v>
      </c>
      <c r="O3181" t="s">
        <v>46570</v>
      </c>
      <c r="P3181">
        <v>0</v>
      </c>
      <c r="Q3181">
        <v>5</v>
      </c>
      <c r="R3181" t="s">
        <v>46572</v>
      </c>
      <c r="S3181" t="s">
        <v>46689</v>
      </c>
      <c r="T3181" t="s">
        <v>48219</v>
      </c>
      <c r="U3181" t="s">
        <v>51439</v>
      </c>
      <c r="W3181" t="s">
        <v>43890</v>
      </c>
      <c r="X3181" t="s">
        <v>46573</v>
      </c>
    </row>
    <row r="3182" spans="1:24">
      <c r="A3182">
        <f>HYPERLINK("https://www.philgeps.gov.ph/GEPSNONPILOT/Tender/SplashBidNoticeAbstractUI.aspx?menuIndex=3&amp;refID=7062433&amp;Result=3","7062433")</f>
        <v>0</v>
      </c>
      <c r="B3182" t="s">
        <v>1249</v>
      </c>
      <c r="C3182" t="s">
        <v>6608</v>
      </c>
      <c r="D3182" t="s">
        <v>18781</v>
      </c>
      <c r="E3182" t="s">
        <v>21789</v>
      </c>
      <c r="F3182" t="s">
        <v>32664</v>
      </c>
      <c r="G3182" t="s">
        <v>32672</v>
      </c>
      <c r="H3182" t="s">
        <v>32683</v>
      </c>
      <c r="I3182" t="s">
        <v>10627</v>
      </c>
      <c r="J3182" t="s">
        <v>32981</v>
      </c>
      <c r="K3182" t="s">
        <v>42283</v>
      </c>
      <c r="M3182" t="s">
        <v>43891</v>
      </c>
      <c r="N3182" t="s">
        <v>46569</v>
      </c>
      <c r="O3182" t="s">
        <v>46570</v>
      </c>
      <c r="P3182">
        <v>0</v>
      </c>
      <c r="Q3182">
        <v>0</v>
      </c>
      <c r="R3182" t="s">
        <v>46572</v>
      </c>
      <c r="S3182" t="s">
        <v>46689</v>
      </c>
      <c r="T3182" t="s">
        <v>48265</v>
      </c>
      <c r="U3182" t="s">
        <v>51440</v>
      </c>
      <c r="V3182" t="s">
        <v>61941</v>
      </c>
      <c r="W3182" t="s">
        <v>43891</v>
      </c>
      <c r="X3182" t="s">
        <v>46573</v>
      </c>
    </row>
    <row r="3183" spans="1:24">
      <c r="A3183">
        <f>HYPERLINK("https://www.philgeps.gov.ph/GEPSNONPILOT/Tender/SplashBidNoticeAbstractUI.aspx?menuIndex=3&amp;refID=7062432&amp;Result=3","7062432")</f>
        <v>0</v>
      </c>
      <c r="B3183" t="s">
        <v>209</v>
      </c>
      <c r="C3183" t="s">
        <v>6609</v>
      </c>
      <c r="D3183" t="s">
        <v>18789</v>
      </c>
      <c r="E3183" t="s">
        <v>21790</v>
      </c>
      <c r="F3183" t="s">
        <v>32664</v>
      </c>
      <c r="G3183" t="s">
        <v>32671</v>
      </c>
      <c r="H3183" t="s">
        <v>12635</v>
      </c>
      <c r="I3183" t="s">
        <v>10590</v>
      </c>
      <c r="J3183" t="s">
        <v>34975</v>
      </c>
      <c r="K3183" t="s">
        <v>42330</v>
      </c>
      <c r="M3183" t="s">
        <v>42773</v>
      </c>
      <c r="N3183" t="s">
        <v>46569</v>
      </c>
      <c r="O3183" t="s">
        <v>46570</v>
      </c>
      <c r="P3183">
        <v>0</v>
      </c>
      <c r="Q3183">
        <v>0</v>
      </c>
      <c r="R3183" t="s">
        <v>46572</v>
      </c>
      <c r="S3183" t="s">
        <v>46689</v>
      </c>
      <c r="T3183" t="s">
        <v>48304</v>
      </c>
      <c r="U3183" t="s">
        <v>51441</v>
      </c>
      <c r="W3183" t="s">
        <v>42773</v>
      </c>
      <c r="X3183" t="s">
        <v>46573</v>
      </c>
    </row>
    <row r="3184" spans="1:24">
      <c r="A3184">
        <f>HYPERLINK("https://www.philgeps.gov.ph/GEPSNONPILOT/Tender/SplashBidNoticeAbstractUI.aspx?menuIndex=3&amp;refID=7062438&amp;Result=3","7062438")</f>
        <v>0</v>
      </c>
      <c r="B3184" t="s">
        <v>1185</v>
      </c>
      <c r="C3184" t="s">
        <v>6610</v>
      </c>
      <c r="D3184" t="s">
        <v>18807</v>
      </c>
      <c r="E3184" t="s">
        <v>21791</v>
      </c>
      <c r="F3184" t="s">
        <v>32664</v>
      </c>
      <c r="G3184" t="s">
        <v>32672</v>
      </c>
      <c r="H3184" t="s">
        <v>12635</v>
      </c>
      <c r="I3184" t="s">
        <v>4439</v>
      </c>
      <c r="J3184" t="s">
        <v>34944</v>
      </c>
      <c r="K3184" t="s">
        <v>42297</v>
      </c>
      <c r="M3184" t="s">
        <v>43821</v>
      </c>
      <c r="N3184" t="s">
        <v>46569</v>
      </c>
      <c r="O3184" t="s">
        <v>46570</v>
      </c>
      <c r="P3184">
        <v>0</v>
      </c>
      <c r="Q3184">
        <v>0</v>
      </c>
      <c r="R3184" t="s">
        <v>46572</v>
      </c>
      <c r="S3184" t="s">
        <v>46689</v>
      </c>
      <c r="T3184" t="s">
        <v>48230</v>
      </c>
      <c r="U3184" t="s">
        <v>51358</v>
      </c>
      <c r="W3184" t="s">
        <v>43821</v>
      </c>
      <c r="X3184" t="s">
        <v>46573</v>
      </c>
    </row>
    <row r="3185" spans="1:24">
      <c r="A3185">
        <f>HYPERLINK("https://www.philgeps.gov.ph/GEPSNONPILOT/Tender/SplashBidNoticeAbstractUI.aspx?menuIndex=3&amp;refID=7062424&amp;Result=3","7062424")</f>
        <v>0</v>
      </c>
      <c r="B3185" t="s">
        <v>438</v>
      </c>
      <c r="C3185" t="s">
        <v>6611</v>
      </c>
      <c r="D3185" t="s">
        <v>18855</v>
      </c>
      <c r="E3185" t="s">
        <v>21792</v>
      </c>
      <c r="F3185" t="s">
        <v>32664</v>
      </c>
      <c r="G3185" t="s">
        <v>32672</v>
      </c>
      <c r="H3185" t="s">
        <v>32683</v>
      </c>
      <c r="I3185" t="s">
        <v>10627</v>
      </c>
      <c r="J3185" t="s">
        <v>34930</v>
      </c>
      <c r="K3185" t="s">
        <v>42352</v>
      </c>
      <c r="M3185" t="s">
        <v>43010</v>
      </c>
      <c r="N3185" t="s">
        <v>46569</v>
      </c>
      <c r="O3185" t="s">
        <v>46570</v>
      </c>
      <c r="P3185">
        <v>0</v>
      </c>
      <c r="Q3185">
        <v>3</v>
      </c>
      <c r="R3185" t="s">
        <v>46572</v>
      </c>
      <c r="S3185" t="s">
        <v>46689</v>
      </c>
      <c r="T3185" t="s">
        <v>48308</v>
      </c>
      <c r="U3185" t="s">
        <v>51442</v>
      </c>
      <c r="W3185" t="s">
        <v>43010</v>
      </c>
      <c r="X3185" t="s">
        <v>46573</v>
      </c>
    </row>
    <row r="3186" spans="1:24">
      <c r="A3186">
        <f>HYPERLINK("https://www.philgeps.gov.ph/GEPSNONPILOT/Tender/SplashBidNoticeAbstractUI.aspx?menuIndex=3&amp;refID=7062431&amp;Result=3","7062431")</f>
        <v>0</v>
      </c>
      <c r="B3186" t="s">
        <v>1250</v>
      </c>
      <c r="C3186" t="s">
        <v>6612</v>
      </c>
      <c r="D3186" t="s">
        <v>18806</v>
      </c>
      <c r="E3186" t="s">
        <v>21027</v>
      </c>
      <c r="F3186" t="s">
        <v>32664</v>
      </c>
      <c r="G3186" t="s">
        <v>32677</v>
      </c>
      <c r="H3186" t="s">
        <v>12635</v>
      </c>
      <c r="I3186" t="s">
        <v>4439</v>
      </c>
      <c r="J3186" t="s">
        <v>34976</v>
      </c>
      <c r="K3186" t="s">
        <v>42303</v>
      </c>
      <c r="M3186" t="s">
        <v>43892</v>
      </c>
      <c r="N3186" t="s">
        <v>46569</v>
      </c>
      <c r="O3186" t="s">
        <v>46570</v>
      </c>
      <c r="P3186">
        <v>0</v>
      </c>
      <c r="Q3186">
        <v>0</v>
      </c>
      <c r="R3186" t="s">
        <v>46572</v>
      </c>
      <c r="S3186" t="s">
        <v>46689</v>
      </c>
      <c r="T3186" t="s">
        <v>48256</v>
      </c>
      <c r="U3186" t="s">
        <v>51443</v>
      </c>
      <c r="W3186" t="s">
        <v>43892</v>
      </c>
      <c r="X3186" t="s">
        <v>46573</v>
      </c>
    </row>
    <row r="3187" spans="1:24">
      <c r="A3187">
        <f>HYPERLINK("https://www.philgeps.gov.ph/GEPSNONPILOT/Tender/SplashBidNoticeAbstractUI.aspx?menuIndex=3&amp;refID=7062430&amp;Result=3","7062430")</f>
        <v>0</v>
      </c>
      <c r="B3187" t="s">
        <v>422</v>
      </c>
      <c r="C3187" t="s">
        <v>6613</v>
      </c>
      <c r="E3187" t="s">
        <v>21793</v>
      </c>
      <c r="F3187" t="s">
        <v>32664</v>
      </c>
      <c r="G3187" t="s">
        <v>32671</v>
      </c>
      <c r="H3187" t="s">
        <v>12635</v>
      </c>
      <c r="I3187" t="s">
        <v>6628</v>
      </c>
      <c r="J3187" t="s">
        <v>34977</v>
      </c>
      <c r="K3187" t="s">
        <v>42297</v>
      </c>
      <c r="M3187" t="s">
        <v>42993</v>
      </c>
      <c r="N3187" t="s">
        <v>46569</v>
      </c>
      <c r="O3187" t="s">
        <v>46570</v>
      </c>
      <c r="P3187">
        <v>0</v>
      </c>
      <c r="Q3187">
        <v>3</v>
      </c>
      <c r="R3187" t="s">
        <v>46572</v>
      </c>
      <c r="S3187" t="s">
        <v>46689</v>
      </c>
      <c r="T3187" t="s">
        <v>48462</v>
      </c>
      <c r="U3187" t="s">
        <v>51081</v>
      </c>
      <c r="W3187" t="s">
        <v>42993</v>
      </c>
      <c r="X3187" t="s">
        <v>46573</v>
      </c>
    </row>
    <row r="3188" spans="1:24">
      <c r="A3188">
        <f>HYPERLINK("https://www.philgeps.gov.ph/GEPSNONPILOT/Tender/SplashBidNoticeAbstractUI.aspx?menuIndex=3&amp;refID=7062428&amp;Result=3","7062428")</f>
        <v>0</v>
      </c>
      <c r="B3188" t="s">
        <v>562</v>
      </c>
      <c r="C3188" t="s">
        <v>6614</v>
      </c>
      <c r="D3188" t="s">
        <v>18781</v>
      </c>
      <c r="E3188" t="s">
        <v>21794</v>
      </c>
      <c r="F3188" t="s">
        <v>32664</v>
      </c>
      <c r="G3188" t="s">
        <v>32671</v>
      </c>
      <c r="H3188" t="s">
        <v>12635</v>
      </c>
      <c r="I3188" t="s">
        <v>32685</v>
      </c>
      <c r="J3188" t="s">
        <v>34978</v>
      </c>
      <c r="K3188" t="s">
        <v>42283</v>
      </c>
      <c r="M3188" t="s">
        <v>43142</v>
      </c>
      <c r="N3188" t="s">
        <v>46569</v>
      </c>
      <c r="O3188" t="s">
        <v>46570</v>
      </c>
      <c r="P3188">
        <v>0</v>
      </c>
      <c r="Q3188">
        <v>0</v>
      </c>
      <c r="R3188" t="s">
        <v>46572</v>
      </c>
      <c r="S3188" t="s">
        <v>46689</v>
      </c>
      <c r="T3188" t="s">
        <v>48219</v>
      </c>
      <c r="U3188" t="s">
        <v>51444</v>
      </c>
      <c r="W3188" t="s">
        <v>43142</v>
      </c>
      <c r="X3188" t="s">
        <v>46573</v>
      </c>
    </row>
    <row r="3189" spans="1:24">
      <c r="A3189">
        <f>HYPERLINK("https://www.philgeps.gov.ph/GEPSNONPILOT/Tender/SplashBidNoticeAbstractUI.aspx?menuIndex=3&amp;refID=7062486&amp;Result=3","7062486")</f>
        <v>0</v>
      </c>
      <c r="B3189" t="s">
        <v>1251</v>
      </c>
      <c r="C3189" t="s">
        <v>6615</v>
      </c>
      <c r="D3189" t="s">
        <v>18841</v>
      </c>
      <c r="E3189" t="s">
        <v>21795</v>
      </c>
      <c r="F3189" t="s">
        <v>32664</v>
      </c>
      <c r="G3189" t="s">
        <v>32671</v>
      </c>
      <c r="H3189" t="s">
        <v>12635</v>
      </c>
      <c r="I3189" t="s">
        <v>6168</v>
      </c>
      <c r="J3189" t="s">
        <v>34979</v>
      </c>
      <c r="K3189" t="s">
        <v>42289</v>
      </c>
      <c r="M3189" t="s">
        <v>43893</v>
      </c>
      <c r="N3189" t="s">
        <v>46569</v>
      </c>
      <c r="O3189" t="s">
        <v>46570</v>
      </c>
      <c r="P3189">
        <v>0</v>
      </c>
      <c r="Q3189">
        <v>3</v>
      </c>
      <c r="R3189" t="s">
        <v>46572</v>
      </c>
      <c r="S3189" t="s">
        <v>46689</v>
      </c>
      <c r="T3189" t="s">
        <v>48221</v>
      </c>
      <c r="U3189" t="s">
        <v>51445</v>
      </c>
      <c r="W3189" t="s">
        <v>43893</v>
      </c>
      <c r="X3189" t="s">
        <v>46573</v>
      </c>
    </row>
    <row r="3190" spans="1:24">
      <c r="A3190">
        <f>HYPERLINK("https://www.philgeps.gov.ph/GEPSNONPILOT/Tender/SplashBidNoticeAbstractUI.aspx?menuIndex=3&amp;refID=7062481&amp;Result=3","7062481")</f>
        <v>0</v>
      </c>
      <c r="B3190" t="s">
        <v>649</v>
      </c>
      <c r="C3190" t="s">
        <v>6616</v>
      </c>
      <c r="D3190" t="s">
        <v>18784</v>
      </c>
      <c r="E3190" t="s">
        <v>21796</v>
      </c>
      <c r="F3190" t="s">
        <v>32664</v>
      </c>
      <c r="G3190" t="s">
        <v>32671</v>
      </c>
      <c r="H3190" t="s">
        <v>12635</v>
      </c>
      <c r="I3190" t="s">
        <v>5501</v>
      </c>
      <c r="J3190" t="s">
        <v>34980</v>
      </c>
      <c r="K3190" t="s">
        <v>42291</v>
      </c>
      <c r="M3190" t="s">
        <v>43235</v>
      </c>
      <c r="N3190" t="s">
        <v>46569</v>
      </c>
      <c r="O3190" t="s">
        <v>46570</v>
      </c>
      <c r="P3190">
        <v>0</v>
      </c>
      <c r="Q3190">
        <v>10</v>
      </c>
      <c r="R3190" t="s">
        <v>46572</v>
      </c>
      <c r="S3190" t="s">
        <v>46689</v>
      </c>
      <c r="T3190" t="s">
        <v>48256</v>
      </c>
      <c r="U3190" t="s">
        <v>51446</v>
      </c>
      <c r="V3190" t="s">
        <v>61942</v>
      </c>
      <c r="W3190" t="s">
        <v>43235</v>
      </c>
      <c r="X3190" t="s">
        <v>46573</v>
      </c>
    </row>
    <row r="3191" spans="1:24">
      <c r="A3191">
        <f>HYPERLINK("https://www.philgeps.gov.ph/GEPSNONPILOT/Tender/SplashBidNoticeAbstractUI.aspx?menuIndex=3&amp;refID=7062440&amp;Result=3","7062440")</f>
        <v>0</v>
      </c>
      <c r="B3191" t="s">
        <v>577</v>
      </c>
      <c r="C3191" t="s">
        <v>6617</v>
      </c>
      <c r="D3191" t="s">
        <v>18859</v>
      </c>
      <c r="E3191" t="s">
        <v>21797</v>
      </c>
      <c r="F3191" t="s">
        <v>32664</v>
      </c>
      <c r="G3191" t="s">
        <v>32671</v>
      </c>
      <c r="H3191" t="s">
        <v>12635</v>
      </c>
      <c r="I3191" t="s">
        <v>32685</v>
      </c>
      <c r="J3191" t="s">
        <v>34981</v>
      </c>
      <c r="K3191" t="s">
        <v>42281</v>
      </c>
      <c r="M3191" t="s">
        <v>43157</v>
      </c>
      <c r="N3191" t="s">
        <v>46569</v>
      </c>
      <c r="O3191" t="s">
        <v>46570</v>
      </c>
      <c r="P3191">
        <v>0</v>
      </c>
      <c r="Q3191">
        <v>1</v>
      </c>
      <c r="R3191" t="s">
        <v>46572</v>
      </c>
      <c r="S3191" t="s">
        <v>46689</v>
      </c>
      <c r="T3191" t="s">
        <v>48221</v>
      </c>
      <c r="U3191" t="s">
        <v>51447</v>
      </c>
      <c r="W3191" t="s">
        <v>43157</v>
      </c>
      <c r="X3191" t="s">
        <v>46573</v>
      </c>
    </row>
    <row r="3192" spans="1:24">
      <c r="A3192">
        <f>HYPERLINK("https://www.philgeps.gov.ph/GEPSNONPILOT/Tender/SplashBidNoticeAbstractUI.aspx?menuIndex=3&amp;refID=7062484&amp;Result=3","7062484")</f>
        <v>0</v>
      </c>
      <c r="B3192" t="s">
        <v>797</v>
      </c>
      <c r="C3192" t="s">
        <v>6618</v>
      </c>
      <c r="D3192" t="s">
        <v>18792</v>
      </c>
      <c r="E3192" t="s">
        <v>21798</v>
      </c>
      <c r="F3192" t="s">
        <v>32664</v>
      </c>
      <c r="G3192" t="s">
        <v>32672</v>
      </c>
      <c r="H3192" t="s">
        <v>12635</v>
      </c>
      <c r="I3192" t="s">
        <v>32684</v>
      </c>
      <c r="J3192" t="s">
        <v>34038</v>
      </c>
      <c r="K3192" t="s">
        <v>42281</v>
      </c>
      <c r="M3192" t="s">
        <v>43389</v>
      </c>
      <c r="N3192" t="s">
        <v>46569</v>
      </c>
      <c r="O3192" t="s">
        <v>46570</v>
      </c>
      <c r="P3192">
        <v>0</v>
      </c>
      <c r="Q3192">
        <v>3</v>
      </c>
      <c r="R3192" t="s">
        <v>46572</v>
      </c>
      <c r="S3192" t="s">
        <v>46689</v>
      </c>
      <c r="T3192" t="s">
        <v>48417</v>
      </c>
      <c r="U3192" t="s">
        <v>51448</v>
      </c>
      <c r="V3192" t="s">
        <v>61943</v>
      </c>
      <c r="W3192" t="s">
        <v>43389</v>
      </c>
      <c r="X3192" t="s">
        <v>46573</v>
      </c>
    </row>
    <row r="3193" spans="1:24">
      <c r="A3193">
        <f>HYPERLINK("https://www.philgeps.gov.ph/GEPSNONPILOT/Tender/SplashBidNoticeAbstractUI.aspx?menuIndex=3&amp;refID=7062480&amp;Result=3","7062480")</f>
        <v>0</v>
      </c>
      <c r="B3193" t="s">
        <v>1252</v>
      </c>
      <c r="C3193" t="s">
        <v>6619</v>
      </c>
      <c r="D3193" t="s">
        <v>18813</v>
      </c>
      <c r="E3193" t="s">
        <v>20114</v>
      </c>
      <c r="F3193" t="s">
        <v>32664</v>
      </c>
      <c r="G3193" t="s">
        <v>32672</v>
      </c>
      <c r="H3193" t="s">
        <v>12635</v>
      </c>
      <c r="I3193" t="s">
        <v>4439</v>
      </c>
      <c r="J3193" t="s">
        <v>34982</v>
      </c>
      <c r="K3193" t="s">
        <v>42281</v>
      </c>
      <c r="M3193" t="s">
        <v>43894</v>
      </c>
      <c r="N3193" t="s">
        <v>46569</v>
      </c>
      <c r="O3193" t="s">
        <v>46570</v>
      </c>
      <c r="P3193">
        <v>0</v>
      </c>
      <c r="Q3193">
        <v>0</v>
      </c>
      <c r="R3193" t="s">
        <v>46572</v>
      </c>
      <c r="S3193" t="s">
        <v>46689</v>
      </c>
      <c r="T3193" t="s">
        <v>48248</v>
      </c>
      <c r="U3193" t="s">
        <v>50093</v>
      </c>
      <c r="W3193" t="s">
        <v>43894</v>
      </c>
      <c r="X3193" t="s">
        <v>46573</v>
      </c>
    </row>
    <row r="3194" spans="1:24">
      <c r="A3194">
        <f>HYPERLINK("https://www.philgeps.gov.ph/GEPSNONPILOT/Tender/SplashBidNoticeAbstractUI.aspx?menuIndex=3&amp;refID=7062361&amp;Result=3","7062361")</f>
        <v>0</v>
      </c>
      <c r="B3194" t="s">
        <v>1253</v>
      </c>
      <c r="C3194" t="s">
        <v>6620</v>
      </c>
      <c r="D3194" t="s">
        <v>18829</v>
      </c>
      <c r="E3194" t="s">
        <v>21799</v>
      </c>
      <c r="F3194" t="s">
        <v>32664</v>
      </c>
      <c r="G3194" t="s">
        <v>32671</v>
      </c>
      <c r="H3194" t="s">
        <v>12635</v>
      </c>
      <c r="I3194" t="s">
        <v>4439</v>
      </c>
      <c r="J3194" t="s">
        <v>34983</v>
      </c>
      <c r="K3194" t="s">
        <v>42281</v>
      </c>
      <c r="M3194" t="s">
        <v>43895</v>
      </c>
      <c r="N3194" t="s">
        <v>46569</v>
      </c>
      <c r="O3194" t="s">
        <v>46570</v>
      </c>
      <c r="P3194">
        <v>0</v>
      </c>
      <c r="Q3194">
        <v>0</v>
      </c>
      <c r="R3194" t="s">
        <v>46572</v>
      </c>
      <c r="S3194" t="s">
        <v>46689</v>
      </c>
      <c r="T3194" t="s">
        <v>48276</v>
      </c>
      <c r="U3194" t="s">
        <v>51449</v>
      </c>
      <c r="V3194" t="s">
        <v>61944</v>
      </c>
      <c r="W3194" t="s">
        <v>43895</v>
      </c>
      <c r="X3194" t="s">
        <v>46573</v>
      </c>
    </row>
    <row r="3195" spans="1:24">
      <c r="A3195">
        <f>HYPERLINK("https://www.philgeps.gov.ph/GEPSNONPILOT/Tender/SplashBidNoticeAbstractUI.aspx?menuIndex=3&amp;refID=7062426&amp;Result=3","7062426")</f>
        <v>0</v>
      </c>
      <c r="B3195" t="s">
        <v>1243</v>
      </c>
      <c r="C3195" t="s">
        <v>6621</v>
      </c>
      <c r="D3195" t="s">
        <v>18785</v>
      </c>
      <c r="E3195" t="s">
        <v>21800</v>
      </c>
      <c r="F3195" t="s">
        <v>32664</v>
      </c>
      <c r="G3195" t="s">
        <v>32674</v>
      </c>
      <c r="H3195" t="s">
        <v>12635</v>
      </c>
      <c r="I3195" t="s">
        <v>6118</v>
      </c>
      <c r="J3195" t="s">
        <v>34984</v>
      </c>
      <c r="K3195" t="s">
        <v>42309</v>
      </c>
      <c r="M3195" t="s">
        <v>43885</v>
      </c>
      <c r="N3195" t="s">
        <v>46569</v>
      </c>
      <c r="O3195" t="s">
        <v>46570</v>
      </c>
      <c r="P3195">
        <v>0</v>
      </c>
      <c r="Q3195">
        <v>0</v>
      </c>
      <c r="R3195" t="s">
        <v>46572</v>
      </c>
      <c r="S3195" t="s">
        <v>46689</v>
      </c>
      <c r="T3195" t="s">
        <v>48297</v>
      </c>
      <c r="U3195" t="s">
        <v>51450</v>
      </c>
      <c r="W3195" t="s">
        <v>63507</v>
      </c>
      <c r="X3195" t="s">
        <v>46573</v>
      </c>
    </row>
    <row r="3196" spans="1:24">
      <c r="A3196">
        <f>HYPERLINK("https://www.philgeps.gov.ph/GEPSNONPILOT/Tender/SplashBidNoticeAbstractUI.aspx?menuIndex=3&amp;refID=7062475&amp;Result=3","7062475")</f>
        <v>0</v>
      </c>
      <c r="B3196" t="s">
        <v>1254</v>
      </c>
      <c r="C3196" t="s">
        <v>6622</v>
      </c>
      <c r="D3196" t="s">
        <v>18827</v>
      </c>
      <c r="E3196" t="s">
        <v>21801</v>
      </c>
      <c r="F3196" t="s">
        <v>32664</v>
      </c>
      <c r="G3196" t="s">
        <v>32671</v>
      </c>
      <c r="H3196" t="s">
        <v>12635</v>
      </c>
      <c r="I3196" t="s">
        <v>10361</v>
      </c>
      <c r="J3196" t="s">
        <v>33893</v>
      </c>
      <c r="K3196" t="s">
        <v>42339</v>
      </c>
      <c r="M3196" t="s">
        <v>43896</v>
      </c>
      <c r="N3196" t="s">
        <v>46569</v>
      </c>
      <c r="O3196" t="s">
        <v>46570</v>
      </c>
      <c r="P3196">
        <v>0</v>
      </c>
      <c r="Q3196">
        <v>0</v>
      </c>
      <c r="R3196" t="s">
        <v>46572</v>
      </c>
      <c r="S3196" t="s">
        <v>46689</v>
      </c>
      <c r="T3196" t="s">
        <v>48221</v>
      </c>
      <c r="U3196" t="s">
        <v>51451</v>
      </c>
      <c r="W3196" t="s">
        <v>43896</v>
      </c>
      <c r="X3196" t="s">
        <v>46573</v>
      </c>
    </row>
    <row r="3197" spans="1:24">
      <c r="A3197">
        <f>HYPERLINK("https://www.philgeps.gov.ph/GEPSNONPILOT/Tender/SplashBidNoticeAbstractUI.aspx?menuIndex=3&amp;refID=7062483&amp;Result=3","7062483")</f>
        <v>0</v>
      </c>
      <c r="B3197" t="s">
        <v>1255</v>
      </c>
      <c r="C3197" t="s">
        <v>6623</v>
      </c>
      <c r="D3197" t="s">
        <v>18791</v>
      </c>
      <c r="E3197" t="s">
        <v>21565</v>
      </c>
      <c r="F3197" t="s">
        <v>32664</v>
      </c>
      <c r="G3197" t="s">
        <v>32672</v>
      </c>
      <c r="H3197" t="s">
        <v>32682</v>
      </c>
      <c r="I3197" t="s">
        <v>32760</v>
      </c>
      <c r="J3197" t="s">
        <v>34985</v>
      </c>
      <c r="K3197" t="s">
        <v>42291</v>
      </c>
      <c r="M3197" t="s">
        <v>43897</v>
      </c>
      <c r="N3197" t="s">
        <v>46569</v>
      </c>
      <c r="O3197" t="s">
        <v>46570</v>
      </c>
      <c r="P3197">
        <v>0</v>
      </c>
      <c r="Q3197">
        <v>0</v>
      </c>
      <c r="R3197" t="s">
        <v>46572</v>
      </c>
      <c r="S3197" t="s">
        <v>46689</v>
      </c>
      <c r="T3197" t="s">
        <v>48230</v>
      </c>
      <c r="U3197" t="s">
        <v>51452</v>
      </c>
      <c r="W3197" t="s">
        <v>43897</v>
      </c>
      <c r="X3197" t="s">
        <v>46573</v>
      </c>
    </row>
    <row r="3198" spans="1:24">
      <c r="A3198">
        <f>HYPERLINK("https://www.philgeps.gov.ph/GEPSNONPILOT/Tender/SplashBidNoticeAbstractUI.aspx?menuIndex=3&amp;refID=7062477&amp;Result=3","7062477")</f>
        <v>0</v>
      </c>
      <c r="B3198" t="s">
        <v>1047</v>
      </c>
      <c r="C3198" t="s">
        <v>6624</v>
      </c>
      <c r="D3198" t="s">
        <v>18803</v>
      </c>
      <c r="E3198" t="s">
        <v>21802</v>
      </c>
      <c r="F3198" t="s">
        <v>32664</v>
      </c>
      <c r="G3198" t="s">
        <v>32672</v>
      </c>
      <c r="H3198" t="s">
        <v>12635</v>
      </c>
      <c r="I3198" t="s">
        <v>32700</v>
      </c>
      <c r="J3198" t="s">
        <v>34986</v>
      </c>
      <c r="K3198" t="s">
        <v>42298</v>
      </c>
      <c r="M3198" t="s">
        <v>43663</v>
      </c>
      <c r="N3198" t="s">
        <v>46569</v>
      </c>
      <c r="O3198" t="s">
        <v>46570</v>
      </c>
      <c r="P3198">
        <v>0</v>
      </c>
      <c r="Q3198">
        <v>5</v>
      </c>
      <c r="R3198" t="s">
        <v>46572</v>
      </c>
      <c r="S3198" t="s">
        <v>46689</v>
      </c>
      <c r="T3198" t="s">
        <v>48273</v>
      </c>
      <c r="U3198" t="s">
        <v>51453</v>
      </c>
      <c r="W3198" t="s">
        <v>43663</v>
      </c>
      <c r="X3198" t="s">
        <v>46573</v>
      </c>
    </row>
    <row r="3199" spans="1:24">
      <c r="A3199">
        <f>HYPERLINK("https://www.philgeps.gov.ph/GEPSNONPILOT/Tender/SplashBidNoticeAbstractUI.aspx?menuIndex=3&amp;refID=7062439&amp;Result=3","7062439")</f>
        <v>0</v>
      </c>
      <c r="B3199" t="s">
        <v>1256</v>
      </c>
      <c r="C3199" t="s">
        <v>6625</v>
      </c>
      <c r="D3199" t="s">
        <v>18810</v>
      </c>
      <c r="E3199" t="s">
        <v>21803</v>
      </c>
      <c r="F3199" t="s">
        <v>32664</v>
      </c>
      <c r="G3199" t="s">
        <v>32672</v>
      </c>
      <c r="H3199" t="s">
        <v>32683</v>
      </c>
      <c r="I3199" t="s">
        <v>10627</v>
      </c>
      <c r="J3199" t="s">
        <v>32898</v>
      </c>
      <c r="K3199" t="s">
        <v>42283</v>
      </c>
      <c r="M3199" t="s">
        <v>43898</v>
      </c>
      <c r="N3199" t="s">
        <v>46569</v>
      </c>
      <c r="O3199" t="s">
        <v>46570</v>
      </c>
      <c r="P3199">
        <v>0</v>
      </c>
      <c r="Q3199">
        <v>0</v>
      </c>
      <c r="R3199" t="s">
        <v>46572</v>
      </c>
      <c r="S3199" t="s">
        <v>46689</v>
      </c>
      <c r="T3199" t="s">
        <v>48470</v>
      </c>
      <c r="U3199" t="s">
        <v>51454</v>
      </c>
      <c r="W3199" t="s">
        <v>43898</v>
      </c>
      <c r="X3199" t="s">
        <v>46573</v>
      </c>
    </row>
    <row r="3200" spans="1:24">
      <c r="A3200">
        <f>HYPERLINK("https://www.philgeps.gov.ph/GEPSNONPILOT/Tender/SplashBidNoticeAbstractUI.aspx?menuIndex=3&amp;refID=7062476&amp;Result=3","7062476")</f>
        <v>0</v>
      </c>
      <c r="B3200" t="s">
        <v>438</v>
      </c>
      <c r="C3200" t="s">
        <v>6626</v>
      </c>
      <c r="D3200" t="s">
        <v>18855</v>
      </c>
      <c r="E3200" t="s">
        <v>21804</v>
      </c>
      <c r="F3200" t="s">
        <v>32664</v>
      </c>
      <c r="G3200" t="s">
        <v>32672</v>
      </c>
      <c r="H3200" t="s">
        <v>32683</v>
      </c>
      <c r="I3200" t="s">
        <v>10627</v>
      </c>
      <c r="J3200" t="s">
        <v>34930</v>
      </c>
      <c r="K3200" t="s">
        <v>42352</v>
      </c>
      <c r="M3200" t="s">
        <v>43010</v>
      </c>
      <c r="N3200" t="s">
        <v>46569</v>
      </c>
      <c r="O3200" t="s">
        <v>46570</v>
      </c>
      <c r="P3200">
        <v>0</v>
      </c>
      <c r="Q3200">
        <v>4</v>
      </c>
      <c r="R3200" t="s">
        <v>46572</v>
      </c>
      <c r="S3200" t="s">
        <v>46689</v>
      </c>
      <c r="T3200" t="s">
        <v>48308</v>
      </c>
      <c r="U3200" t="s">
        <v>51455</v>
      </c>
      <c r="W3200" t="s">
        <v>43010</v>
      </c>
      <c r="X3200" t="s">
        <v>46573</v>
      </c>
    </row>
    <row r="3201" spans="1:24">
      <c r="A3201">
        <f>HYPERLINK("https://www.philgeps.gov.ph/GEPSNONPILOT/Tender/SplashBidNoticeAbstractUI.aspx?menuIndex=3&amp;refID=7062478&amp;Result=3","7062478")</f>
        <v>0</v>
      </c>
      <c r="B3201" t="s">
        <v>1094</v>
      </c>
      <c r="C3201" t="s">
        <v>6627</v>
      </c>
      <c r="D3201" t="s">
        <v>18822</v>
      </c>
      <c r="E3201" t="s">
        <v>21805</v>
      </c>
      <c r="F3201" t="s">
        <v>32664</v>
      </c>
      <c r="G3201" t="s">
        <v>32674</v>
      </c>
      <c r="H3201" t="s">
        <v>12635</v>
      </c>
      <c r="I3201" t="s">
        <v>4439</v>
      </c>
      <c r="J3201" t="s">
        <v>33126</v>
      </c>
      <c r="K3201" t="s">
        <v>42284</v>
      </c>
      <c r="M3201" t="s">
        <v>43722</v>
      </c>
      <c r="N3201" t="s">
        <v>46569</v>
      </c>
      <c r="O3201" t="s">
        <v>46570</v>
      </c>
      <c r="P3201">
        <v>0</v>
      </c>
      <c r="Q3201">
        <v>1</v>
      </c>
      <c r="R3201" t="s">
        <v>46572</v>
      </c>
      <c r="S3201" t="s">
        <v>46689</v>
      </c>
      <c r="T3201" t="s">
        <v>48256</v>
      </c>
      <c r="U3201" t="s">
        <v>51456</v>
      </c>
      <c r="W3201" t="s">
        <v>43722</v>
      </c>
      <c r="X3201" t="s">
        <v>46573</v>
      </c>
    </row>
    <row r="3202" spans="1:24">
      <c r="A3202">
        <f>HYPERLINK("https://www.philgeps.gov.ph/GEPSNONPILOT/Tender/SplashBidNoticeAbstractUI.aspx?menuIndex=3&amp;refID=7062446&amp;Result=3","7062446")</f>
        <v>0</v>
      </c>
      <c r="B3202" t="s">
        <v>1257</v>
      </c>
      <c r="C3202" t="s">
        <v>6628</v>
      </c>
      <c r="E3202" t="s">
        <v>21806</v>
      </c>
      <c r="F3202" t="s">
        <v>32664</v>
      </c>
      <c r="G3202" t="s">
        <v>32677</v>
      </c>
      <c r="H3202" t="s">
        <v>12635</v>
      </c>
      <c r="I3202" t="s">
        <v>6628</v>
      </c>
      <c r="J3202" t="s">
        <v>34182</v>
      </c>
      <c r="K3202" t="s">
        <v>42283</v>
      </c>
      <c r="M3202" t="s">
        <v>43899</v>
      </c>
      <c r="N3202" t="s">
        <v>46569</v>
      </c>
      <c r="O3202" t="s">
        <v>46570</v>
      </c>
      <c r="P3202">
        <v>0</v>
      </c>
      <c r="Q3202">
        <v>2</v>
      </c>
      <c r="R3202" t="s">
        <v>46572</v>
      </c>
      <c r="S3202" t="s">
        <v>46689</v>
      </c>
      <c r="T3202" t="s">
        <v>48250</v>
      </c>
      <c r="U3202" t="s">
        <v>51457</v>
      </c>
      <c r="W3202" t="s">
        <v>43899</v>
      </c>
      <c r="X3202" t="s">
        <v>46573</v>
      </c>
    </row>
    <row r="3203" spans="1:24">
      <c r="A3203">
        <f>HYPERLINK("https://www.philgeps.gov.ph/GEPSNONPILOT/Tender/SplashBidNoticeAbstractUI.aspx?menuIndex=3&amp;refID=7062510&amp;Result=3","7062510")</f>
        <v>0</v>
      </c>
      <c r="B3203" t="s">
        <v>1172</v>
      </c>
      <c r="C3203" t="s">
        <v>6629</v>
      </c>
      <c r="E3203" t="s">
        <v>21600</v>
      </c>
      <c r="F3203" t="s">
        <v>32664</v>
      </c>
      <c r="G3203" t="s">
        <v>32671</v>
      </c>
      <c r="H3203" t="s">
        <v>32682</v>
      </c>
      <c r="I3203" t="s">
        <v>4439</v>
      </c>
      <c r="J3203" t="s">
        <v>34987</v>
      </c>
      <c r="K3203" t="s">
        <v>42309</v>
      </c>
      <c r="M3203" t="s">
        <v>43806</v>
      </c>
      <c r="N3203" t="s">
        <v>46569</v>
      </c>
      <c r="O3203" t="s">
        <v>46570</v>
      </c>
      <c r="P3203">
        <v>0</v>
      </c>
      <c r="Q3203">
        <v>0</v>
      </c>
      <c r="R3203" t="s">
        <v>46572</v>
      </c>
      <c r="S3203" t="s">
        <v>46689</v>
      </c>
      <c r="T3203" t="s">
        <v>48219</v>
      </c>
      <c r="U3203" t="s">
        <v>51458</v>
      </c>
      <c r="V3203" t="s">
        <v>61945</v>
      </c>
      <c r="W3203" t="s">
        <v>43806</v>
      </c>
      <c r="X3203" t="s">
        <v>46573</v>
      </c>
    </row>
    <row r="3204" spans="1:24">
      <c r="A3204">
        <f>HYPERLINK("https://www.philgeps.gov.ph/GEPSNONPILOT/Tender/SplashBidNoticeAbstractUI.aspx?menuIndex=3&amp;refID=7062507&amp;Result=3","7062507")</f>
        <v>0</v>
      </c>
      <c r="B3204" t="s">
        <v>1247</v>
      </c>
      <c r="C3204" t="s">
        <v>6630</v>
      </c>
      <c r="D3204" t="s">
        <v>18802</v>
      </c>
      <c r="E3204" t="s">
        <v>21807</v>
      </c>
      <c r="F3204" t="s">
        <v>32664</v>
      </c>
      <c r="G3204" t="s">
        <v>32671</v>
      </c>
      <c r="H3204" t="s">
        <v>32681</v>
      </c>
      <c r="I3204" t="s">
        <v>32681</v>
      </c>
      <c r="J3204" t="s">
        <v>34988</v>
      </c>
      <c r="K3204" t="s">
        <v>42298</v>
      </c>
      <c r="M3204" t="s">
        <v>43889</v>
      </c>
      <c r="N3204" t="s">
        <v>46569</v>
      </c>
      <c r="O3204" t="s">
        <v>46570</v>
      </c>
      <c r="P3204">
        <v>0</v>
      </c>
      <c r="Q3204">
        <v>3</v>
      </c>
      <c r="R3204" t="s">
        <v>46572</v>
      </c>
      <c r="S3204" t="s">
        <v>46689</v>
      </c>
      <c r="T3204" t="s">
        <v>48219</v>
      </c>
      <c r="U3204" t="s">
        <v>51438</v>
      </c>
      <c r="W3204" t="s">
        <v>43889</v>
      </c>
      <c r="X3204" t="s">
        <v>46573</v>
      </c>
    </row>
    <row r="3205" spans="1:24">
      <c r="A3205">
        <f>HYPERLINK("https://www.philgeps.gov.ph/GEPSNONPILOT/Tender/SplashBidNoticeAbstractUI.aspx?menuIndex=3&amp;refID=7062506&amp;Result=3","7062506")</f>
        <v>0</v>
      </c>
      <c r="B3205" t="s">
        <v>1258</v>
      </c>
      <c r="C3205" t="s">
        <v>6631</v>
      </c>
      <c r="D3205" t="s">
        <v>18801</v>
      </c>
      <c r="E3205" t="s">
        <v>21808</v>
      </c>
      <c r="F3205" t="s">
        <v>32664</v>
      </c>
      <c r="G3205" t="s">
        <v>32671</v>
      </c>
      <c r="H3205" t="s">
        <v>12635</v>
      </c>
      <c r="I3205" t="s">
        <v>6223</v>
      </c>
      <c r="J3205" t="s">
        <v>32853</v>
      </c>
      <c r="K3205" t="s">
        <v>42332</v>
      </c>
      <c r="M3205" t="s">
        <v>43900</v>
      </c>
      <c r="N3205" t="s">
        <v>46569</v>
      </c>
      <c r="O3205" t="s">
        <v>46570</v>
      </c>
      <c r="P3205">
        <v>0</v>
      </c>
      <c r="Q3205">
        <v>2</v>
      </c>
      <c r="R3205" t="s">
        <v>46572</v>
      </c>
      <c r="S3205" t="s">
        <v>46689</v>
      </c>
      <c r="T3205" t="s">
        <v>48344</v>
      </c>
      <c r="U3205" t="s">
        <v>51459</v>
      </c>
      <c r="W3205" t="s">
        <v>43900</v>
      </c>
      <c r="X3205" t="s">
        <v>46573</v>
      </c>
    </row>
    <row r="3206" spans="1:24">
      <c r="A3206">
        <f>HYPERLINK("https://www.philgeps.gov.ph/GEPSNONPILOT/Tender/SplashBidNoticeAbstractUI.aspx?menuIndex=3&amp;refID=7062505&amp;Result=3","7062505")</f>
        <v>0</v>
      </c>
      <c r="B3206" t="s">
        <v>1259</v>
      </c>
      <c r="C3206" t="s">
        <v>6632</v>
      </c>
      <c r="D3206" t="s">
        <v>18782</v>
      </c>
      <c r="E3206" t="s">
        <v>21809</v>
      </c>
      <c r="F3206" t="s">
        <v>32664</v>
      </c>
      <c r="G3206" t="s">
        <v>32671</v>
      </c>
      <c r="H3206" t="s">
        <v>12635</v>
      </c>
      <c r="I3206" t="s">
        <v>10361</v>
      </c>
      <c r="J3206" t="s">
        <v>33330</v>
      </c>
      <c r="K3206" t="s">
        <v>42284</v>
      </c>
      <c r="M3206" t="s">
        <v>43901</v>
      </c>
      <c r="N3206" t="s">
        <v>46569</v>
      </c>
      <c r="O3206" t="s">
        <v>46570</v>
      </c>
      <c r="P3206">
        <v>0</v>
      </c>
      <c r="Q3206">
        <v>0</v>
      </c>
      <c r="R3206" t="s">
        <v>46572</v>
      </c>
      <c r="S3206" t="s">
        <v>46689</v>
      </c>
      <c r="T3206" t="s">
        <v>48246</v>
      </c>
      <c r="U3206" t="s">
        <v>51460</v>
      </c>
      <c r="W3206" t="s">
        <v>43901</v>
      </c>
      <c r="X3206" t="s">
        <v>46573</v>
      </c>
    </row>
    <row r="3207" spans="1:24">
      <c r="A3207">
        <f>HYPERLINK("https://www.philgeps.gov.ph/GEPSNONPILOT/Tender/SplashBidNoticeAbstractUI.aspx?menuIndex=3&amp;refID=7062504&amp;Result=3","7062504")</f>
        <v>0</v>
      </c>
      <c r="B3207" t="s">
        <v>1166</v>
      </c>
      <c r="C3207" t="s">
        <v>6633</v>
      </c>
      <c r="E3207" t="s">
        <v>21810</v>
      </c>
      <c r="F3207" t="s">
        <v>32664</v>
      </c>
      <c r="G3207" t="s">
        <v>32671</v>
      </c>
      <c r="H3207" t="s">
        <v>12635</v>
      </c>
      <c r="I3207" t="s">
        <v>32724</v>
      </c>
      <c r="J3207" t="s">
        <v>33095</v>
      </c>
      <c r="K3207" t="s">
        <v>42283</v>
      </c>
      <c r="M3207" t="s">
        <v>43799</v>
      </c>
      <c r="N3207" t="s">
        <v>46569</v>
      </c>
      <c r="O3207" t="s">
        <v>46570</v>
      </c>
      <c r="P3207">
        <v>0</v>
      </c>
      <c r="Q3207">
        <v>2</v>
      </c>
      <c r="R3207" t="s">
        <v>46572</v>
      </c>
      <c r="S3207" t="s">
        <v>46689</v>
      </c>
      <c r="T3207" t="s">
        <v>48221</v>
      </c>
      <c r="U3207" t="s">
        <v>51461</v>
      </c>
      <c r="W3207" t="s">
        <v>43799</v>
      </c>
      <c r="X3207" t="s">
        <v>46573</v>
      </c>
    </row>
    <row r="3208" spans="1:24">
      <c r="A3208">
        <f>HYPERLINK("https://www.philgeps.gov.ph/GEPSNONPILOT/Tender/SplashBidNoticeAbstractUI.aspx?menuIndex=3&amp;refID=7062500&amp;Result=3","7062500")</f>
        <v>0</v>
      </c>
      <c r="B3208" t="s">
        <v>1260</v>
      </c>
      <c r="C3208" t="s">
        <v>6634</v>
      </c>
      <c r="D3208" t="s">
        <v>18810</v>
      </c>
      <c r="E3208" t="s">
        <v>21598</v>
      </c>
      <c r="F3208" t="s">
        <v>32664</v>
      </c>
      <c r="G3208" t="s">
        <v>32672</v>
      </c>
      <c r="H3208" t="s">
        <v>32683</v>
      </c>
      <c r="I3208" t="s">
        <v>10627</v>
      </c>
      <c r="J3208" t="s">
        <v>34989</v>
      </c>
      <c r="K3208" t="s">
        <v>42283</v>
      </c>
      <c r="M3208" t="s">
        <v>43902</v>
      </c>
      <c r="N3208" t="s">
        <v>46569</v>
      </c>
      <c r="O3208" t="s">
        <v>46570</v>
      </c>
      <c r="P3208">
        <v>0</v>
      </c>
      <c r="Q3208">
        <v>0</v>
      </c>
      <c r="R3208" t="s">
        <v>46572</v>
      </c>
      <c r="S3208" t="s">
        <v>46689</v>
      </c>
      <c r="T3208" t="s">
        <v>48470</v>
      </c>
      <c r="U3208" t="s">
        <v>51462</v>
      </c>
      <c r="W3208" t="s">
        <v>43902</v>
      </c>
      <c r="X3208" t="s">
        <v>46573</v>
      </c>
    </row>
    <row r="3209" spans="1:24">
      <c r="A3209">
        <f>HYPERLINK("https://www.philgeps.gov.ph/GEPSNONPILOT/Tender/SplashBidNoticeAbstractUI.aspx?menuIndex=3&amp;refID=7062511&amp;Result=3","7062511")</f>
        <v>0</v>
      </c>
      <c r="B3209" t="s">
        <v>683</v>
      </c>
      <c r="C3209" t="s">
        <v>6635</v>
      </c>
      <c r="D3209" t="s">
        <v>18842</v>
      </c>
      <c r="E3209" t="s">
        <v>21811</v>
      </c>
      <c r="F3209" t="s">
        <v>32664</v>
      </c>
      <c r="G3209" t="s">
        <v>32671</v>
      </c>
      <c r="H3209" t="s">
        <v>12635</v>
      </c>
      <c r="I3209" t="s">
        <v>10590</v>
      </c>
      <c r="J3209" t="s">
        <v>34990</v>
      </c>
      <c r="K3209" t="s">
        <v>42284</v>
      </c>
      <c r="M3209" t="s">
        <v>43270</v>
      </c>
      <c r="N3209" t="s">
        <v>46569</v>
      </c>
      <c r="O3209" t="s">
        <v>46570</v>
      </c>
      <c r="P3209">
        <v>0</v>
      </c>
      <c r="Q3209">
        <v>2</v>
      </c>
      <c r="R3209" t="s">
        <v>46572</v>
      </c>
      <c r="S3209" t="s">
        <v>46689</v>
      </c>
      <c r="T3209" t="s">
        <v>48256</v>
      </c>
      <c r="U3209" t="s">
        <v>50070</v>
      </c>
      <c r="W3209" t="s">
        <v>43270</v>
      </c>
      <c r="X3209" t="s">
        <v>46573</v>
      </c>
    </row>
    <row r="3210" spans="1:24">
      <c r="A3210">
        <f>HYPERLINK("https://www.philgeps.gov.ph/GEPSNONPILOT/Tender/SplashBidNoticeAbstractUI.aspx?menuIndex=3&amp;refID=7062473&amp;Result=3","7062473")</f>
        <v>0</v>
      </c>
      <c r="B3210" t="s">
        <v>1243</v>
      </c>
      <c r="C3210" t="s">
        <v>6636</v>
      </c>
      <c r="D3210" t="s">
        <v>18785</v>
      </c>
      <c r="E3210" t="s">
        <v>21812</v>
      </c>
      <c r="F3210" t="s">
        <v>32664</v>
      </c>
      <c r="G3210" t="s">
        <v>32674</v>
      </c>
      <c r="H3210" t="s">
        <v>12635</v>
      </c>
      <c r="I3210" t="s">
        <v>14442</v>
      </c>
      <c r="J3210" t="s">
        <v>34991</v>
      </c>
      <c r="K3210" t="s">
        <v>42284</v>
      </c>
      <c r="M3210" t="s">
        <v>43903</v>
      </c>
      <c r="N3210" t="s">
        <v>46569</v>
      </c>
      <c r="O3210" t="s">
        <v>46570</v>
      </c>
      <c r="P3210">
        <v>0</v>
      </c>
      <c r="Q3210">
        <v>1</v>
      </c>
      <c r="R3210" t="s">
        <v>46572</v>
      </c>
      <c r="S3210" t="s">
        <v>46689</v>
      </c>
      <c r="T3210" t="s">
        <v>48297</v>
      </c>
      <c r="U3210" t="s">
        <v>51463</v>
      </c>
      <c r="W3210" t="s">
        <v>63507</v>
      </c>
      <c r="X3210" t="s">
        <v>46573</v>
      </c>
    </row>
    <row r="3211" spans="1:24">
      <c r="A3211">
        <f>HYPERLINK("https://www.philgeps.gov.ph/GEPSNONPILOT/Tender/SplashBidNoticeAbstractUI.aspx?menuIndex=3&amp;refID=7062499&amp;Result=3","7062499")</f>
        <v>0</v>
      </c>
      <c r="B3211" t="s">
        <v>209</v>
      </c>
      <c r="C3211" t="s">
        <v>6637</v>
      </c>
      <c r="D3211" t="s">
        <v>18789</v>
      </c>
      <c r="E3211" t="s">
        <v>21813</v>
      </c>
      <c r="F3211" t="s">
        <v>32664</v>
      </c>
      <c r="G3211" t="s">
        <v>32671</v>
      </c>
      <c r="H3211" t="s">
        <v>12635</v>
      </c>
      <c r="I3211" t="s">
        <v>10590</v>
      </c>
      <c r="J3211" t="s">
        <v>34992</v>
      </c>
      <c r="K3211" t="s">
        <v>42330</v>
      </c>
      <c r="M3211" t="s">
        <v>42773</v>
      </c>
      <c r="N3211" t="s">
        <v>46569</v>
      </c>
      <c r="O3211" t="s">
        <v>46570</v>
      </c>
      <c r="P3211">
        <v>0</v>
      </c>
      <c r="Q3211">
        <v>0</v>
      </c>
      <c r="R3211" t="s">
        <v>46572</v>
      </c>
      <c r="S3211" t="s">
        <v>46689</v>
      </c>
      <c r="T3211" t="s">
        <v>48304</v>
      </c>
      <c r="U3211" t="s">
        <v>51464</v>
      </c>
      <c r="W3211" t="s">
        <v>42773</v>
      </c>
      <c r="X3211" t="s">
        <v>46573</v>
      </c>
    </row>
    <row r="3212" spans="1:24">
      <c r="A3212">
        <f>HYPERLINK("https://www.philgeps.gov.ph/GEPSNONPILOT/Tender/SplashBidNoticeAbstractUI.aspx?menuIndex=3&amp;refID=7062508&amp;Result=3","7062508")</f>
        <v>0</v>
      </c>
      <c r="B3212" t="s">
        <v>1047</v>
      </c>
      <c r="C3212" t="s">
        <v>6638</v>
      </c>
      <c r="D3212" t="s">
        <v>18803</v>
      </c>
      <c r="E3212" t="s">
        <v>21814</v>
      </c>
      <c r="F3212" t="s">
        <v>32664</v>
      </c>
      <c r="G3212" t="s">
        <v>32672</v>
      </c>
      <c r="H3212" t="s">
        <v>32682</v>
      </c>
      <c r="I3212" t="s">
        <v>11464</v>
      </c>
      <c r="J3212" t="s">
        <v>32837</v>
      </c>
      <c r="K3212" t="s">
        <v>42298</v>
      </c>
      <c r="M3212" t="s">
        <v>43663</v>
      </c>
      <c r="N3212" t="s">
        <v>46569</v>
      </c>
      <c r="O3212" t="s">
        <v>46570</v>
      </c>
      <c r="P3212">
        <v>0</v>
      </c>
      <c r="Q3212">
        <v>3</v>
      </c>
      <c r="R3212" t="s">
        <v>46572</v>
      </c>
      <c r="S3212" t="s">
        <v>46689</v>
      </c>
      <c r="T3212" t="s">
        <v>48273</v>
      </c>
      <c r="U3212" t="s">
        <v>51465</v>
      </c>
      <c r="W3212" t="s">
        <v>43663</v>
      </c>
      <c r="X3212" t="s">
        <v>46573</v>
      </c>
    </row>
    <row r="3213" spans="1:24">
      <c r="A3213">
        <f>HYPERLINK("https://www.philgeps.gov.ph/GEPSNONPILOT/Tender/SplashBidNoticeAbstractUI.aspx?menuIndex=3&amp;refID=7062498&amp;Result=3","7062498")</f>
        <v>0</v>
      </c>
      <c r="B3213" t="s">
        <v>1261</v>
      </c>
      <c r="C3213" t="s">
        <v>3912</v>
      </c>
      <c r="D3213" t="s">
        <v>18804</v>
      </c>
      <c r="E3213" t="s">
        <v>21815</v>
      </c>
      <c r="F3213" t="s">
        <v>32664</v>
      </c>
      <c r="G3213" t="s">
        <v>32671</v>
      </c>
      <c r="H3213" t="s">
        <v>12635</v>
      </c>
      <c r="I3213" t="s">
        <v>6168</v>
      </c>
      <c r="J3213" t="s">
        <v>34993</v>
      </c>
      <c r="K3213" t="s">
        <v>42295</v>
      </c>
      <c r="M3213" t="s">
        <v>43904</v>
      </c>
      <c r="N3213" t="s">
        <v>46569</v>
      </c>
      <c r="O3213" t="s">
        <v>46570</v>
      </c>
      <c r="P3213">
        <v>0</v>
      </c>
      <c r="Q3213">
        <v>0</v>
      </c>
      <c r="R3213" t="s">
        <v>46572</v>
      </c>
      <c r="S3213" t="s">
        <v>46689</v>
      </c>
      <c r="T3213" t="s">
        <v>48221</v>
      </c>
      <c r="U3213" t="s">
        <v>51466</v>
      </c>
      <c r="W3213" t="s">
        <v>43904</v>
      </c>
      <c r="X3213" t="s">
        <v>46573</v>
      </c>
    </row>
    <row r="3214" spans="1:24">
      <c r="A3214">
        <f>HYPERLINK("https://www.philgeps.gov.ph/GEPSNONPILOT/Tender/SplashBidNoticeAbstractUI.aspx?menuIndex=3&amp;refID=7062496&amp;Result=3","7062496")</f>
        <v>0</v>
      </c>
      <c r="B3214" t="s">
        <v>1185</v>
      </c>
      <c r="C3214" t="s">
        <v>6639</v>
      </c>
      <c r="D3214" t="s">
        <v>18807</v>
      </c>
      <c r="E3214" t="s">
        <v>21816</v>
      </c>
      <c r="F3214" t="s">
        <v>32664</v>
      </c>
      <c r="G3214" t="s">
        <v>32672</v>
      </c>
      <c r="H3214" t="s">
        <v>12635</v>
      </c>
      <c r="I3214" t="s">
        <v>4439</v>
      </c>
      <c r="J3214" t="s">
        <v>34994</v>
      </c>
      <c r="K3214" t="s">
        <v>42297</v>
      </c>
      <c r="M3214" t="s">
        <v>43821</v>
      </c>
      <c r="N3214" t="s">
        <v>46569</v>
      </c>
      <c r="O3214" t="s">
        <v>46570</v>
      </c>
      <c r="P3214">
        <v>0</v>
      </c>
      <c r="Q3214">
        <v>0</v>
      </c>
      <c r="R3214" t="s">
        <v>46572</v>
      </c>
      <c r="S3214" t="s">
        <v>46689</v>
      </c>
      <c r="T3214" t="s">
        <v>48230</v>
      </c>
      <c r="U3214" t="s">
        <v>51358</v>
      </c>
      <c r="W3214" t="s">
        <v>43821</v>
      </c>
      <c r="X3214" t="s">
        <v>46573</v>
      </c>
    </row>
    <row r="3215" spans="1:24">
      <c r="A3215">
        <f>HYPERLINK("https://www.philgeps.gov.ph/GEPSNONPILOT/Tender/SplashBidNoticeAbstractUI.aspx?menuIndex=3&amp;refID=7062479&amp;Result=3","7062479")</f>
        <v>0</v>
      </c>
      <c r="B3215" t="s">
        <v>254</v>
      </c>
      <c r="C3215" t="s">
        <v>6044</v>
      </c>
      <c r="D3215" t="s">
        <v>18843</v>
      </c>
      <c r="E3215" t="s">
        <v>21817</v>
      </c>
      <c r="F3215" t="s">
        <v>32664</v>
      </c>
      <c r="G3215" t="s">
        <v>32671</v>
      </c>
      <c r="H3215" t="s">
        <v>12635</v>
      </c>
      <c r="I3215" t="s">
        <v>32704</v>
      </c>
      <c r="J3215" t="s">
        <v>34995</v>
      </c>
      <c r="K3215" t="s">
        <v>42281</v>
      </c>
      <c r="M3215" t="s">
        <v>42819</v>
      </c>
      <c r="N3215" t="s">
        <v>46569</v>
      </c>
      <c r="O3215" t="s">
        <v>46570</v>
      </c>
      <c r="P3215">
        <v>0</v>
      </c>
      <c r="Q3215">
        <v>10</v>
      </c>
      <c r="R3215" t="s">
        <v>46572</v>
      </c>
      <c r="S3215" t="s">
        <v>46689</v>
      </c>
      <c r="T3215" t="s">
        <v>48249</v>
      </c>
      <c r="U3215" t="s">
        <v>51467</v>
      </c>
      <c r="W3215" t="s">
        <v>63469</v>
      </c>
      <c r="X3215" t="s">
        <v>46573</v>
      </c>
    </row>
    <row r="3216" spans="1:24">
      <c r="A3216">
        <f>HYPERLINK("https://www.philgeps.gov.ph/GEPSNONPILOT/Tender/SplashBidNoticeAbstractUI.aspx?menuIndex=3&amp;refID=7062493&amp;Result=3","7062493")</f>
        <v>0</v>
      </c>
      <c r="B3216" t="s">
        <v>1262</v>
      </c>
      <c r="C3216" t="s">
        <v>6640</v>
      </c>
      <c r="D3216" t="s">
        <v>18794</v>
      </c>
      <c r="E3216" t="s">
        <v>21818</v>
      </c>
      <c r="F3216" t="s">
        <v>32664</v>
      </c>
      <c r="G3216" t="s">
        <v>32671</v>
      </c>
      <c r="H3216" t="s">
        <v>12635</v>
      </c>
      <c r="I3216" t="s">
        <v>32685</v>
      </c>
      <c r="J3216" t="s">
        <v>34996</v>
      </c>
      <c r="K3216" t="s">
        <v>42283</v>
      </c>
      <c r="M3216" t="s">
        <v>43905</v>
      </c>
      <c r="N3216" t="s">
        <v>46569</v>
      </c>
      <c r="O3216" t="s">
        <v>46570</v>
      </c>
      <c r="P3216">
        <v>0</v>
      </c>
      <c r="Q3216">
        <v>1</v>
      </c>
      <c r="R3216" t="s">
        <v>46572</v>
      </c>
      <c r="S3216" t="s">
        <v>46689</v>
      </c>
      <c r="T3216" t="s">
        <v>48221</v>
      </c>
      <c r="U3216" t="s">
        <v>51468</v>
      </c>
      <c r="V3216" t="s">
        <v>61946</v>
      </c>
      <c r="W3216" t="s">
        <v>43905</v>
      </c>
      <c r="X3216" t="s">
        <v>46573</v>
      </c>
    </row>
    <row r="3217" spans="1:24">
      <c r="A3217">
        <f>HYPERLINK("https://www.philgeps.gov.ph/GEPSNONPILOT/Tender/SplashBidNoticeAbstractUI.aspx?menuIndex=3&amp;refID=7062514&amp;Result=3","7062514")</f>
        <v>0</v>
      </c>
      <c r="B3217" t="s">
        <v>1263</v>
      </c>
      <c r="C3217" t="s">
        <v>6641</v>
      </c>
      <c r="D3217" t="s">
        <v>18807</v>
      </c>
      <c r="E3217" t="s">
        <v>21819</v>
      </c>
      <c r="F3217" t="s">
        <v>32664</v>
      </c>
      <c r="G3217" t="s">
        <v>32671</v>
      </c>
      <c r="H3217" t="s">
        <v>12635</v>
      </c>
      <c r="I3217" t="s">
        <v>6168</v>
      </c>
      <c r="J3217" t="s">
        <v>34997</v>
      </c>
      <c r="K3217" t="s">
        <v>42283</v>
      </c>
      <c r="M3217" t="s">
        <v>43906</v>
      </c>
      <c r="N3217" t="s">
        <v>46569</v>
      </c>
      <c r="O3217" t="s">
        <v>46570</v>
      </c>
      <c r="P3217">
        <v>0</v>
      </c>
      <c r="Q3217">
        <v>1</v>
      </c>
      <c r="R3217" t="s">
        <v>46572</v>
      </c>
      <c r="S3217" t="s">
        <v>46689</v>
      </c>
      <c r="T3217" t="s">
        <v>48411</v>
      </c>
      <c r="U3217" t="s">
        <v>51469</v>
      </c>
      <c r="W3217" t="s">
        <v>43906</v>
      </c>
      <c r="X3217" t="s">
        <v>46573</v>
      </c>
    </row>
    <row r="3218" spans="1:24">
      <c r="A3218">
        <f>HYPERLINK("https://www.philgeps.gov.ph/GEPSNONPILOT/Tender/SplashBidNoticeAbstractUI.aspx?menuIndex=3&amp;refID=7062503&amp;Result=3","7062503")</f>
        <v>0</v>
      </c>
      <c r="B3218" t="s">
        <v>594</v>
      </c>
      <c r="C3218" t="s">
        <v>6642</v>
      </c>
      <c r="D3218" t="s">
        <v>18784</v>
      </c>
      <c r="E3218" t="s">
        <v>21820</v>
      </c>
      <c r="F3218" t="s">
        <v>32664</v>
      </c>
      <c r="G3218" t="s">
        <v>32674</v>
      </c>
      <c r="H3218" t="s">
        <v>12635</v>
      </c>
      <c r="I3218" t="s">
        <v>32758</v>
      </c>
      <c r="J3218" t="s">
        <v>33817</v>
      </c>
      <c r="K3218" t="s">
        <v>42297</v>
      </c>
      <c r="M3218" t="s">
        <v>43793</v>
      </c>
      <c r="N3218" t="s">
        <v>46569</v>
      </c>
      <c r="O3218" t="s">
        <v>46570</v>
      </c>
      <c r="P3218">
        <v>0</v>
      </c>
      <c r="Q3218">
        <v>1</v>
      </c>
      <c r="R3218" t="s">
        <v>46572</v>
      </c>
      <c r="S3218" t="s">
        <v>46689</v>
      </c>
      <c r="T3218" t="s">
        <v>48461</v>
      </c>
      <c r="U3218" t="s">
        <v>51470</v>
      </c>
      <c r="V3218" t="s">
        <v>61909</v>
      </c>
      <c r="W3218" t="s">
        <v>43793</v>
      </c>
      <c r="X3218" t="s">
        <v>46573</v>
      </c>
    </row>
    <row r="3219" spans="1:24">
      <c r="A3219">
        <f>HYPERLINK("https://www.philgeps.gov.ph/GEPSNONPILOT/Tender/SplashBidNoticeAbstractUI.aspx?menuIndex=3&amp;refID=7062540&amp;Result=3","7062540")</f>
        <v>0</v>
      </c>
      <c r="B3219" t="s">
        <v>1257</v>
      </c>
      <c r="C3219" t="s">
        <v>6033</v>
      </c>
      <c r="E3219" t="s">
        <v>21821</v>
      </c>
      <c r="F3219" t="s">
        <v>32664</v>
      </c>
      <c r="G3219" t="s">
        <v>32677</v>
      </c>
      <c r="H3219" t="s">
        <v>12635</v>
      </c>
      <c r="I3219" t="s">
        <v>32704</v>
      </c>
      <c r="J3219" t="s">
        <v>34998</v>
      </c>
      <c r="K3219" t="s">
        <v>42283</v>
      </c>
      <c r="M3219" t="s">
        <v>43899</v>
      </c>
      <c r="N3219" t="s">
        <v>46569</v>
      </c>
      <c r="O3219" t="s">
        <v>46570</v>
      </c>
      <c r="P3219">
        <v>0</v>
      </c>
      <c r="Q3219">
        <v>7</v>
      </c>
      <c r="R3219" t="s">
        <v>46572</v>
      </c>
      <c r="S3219" t="s">
        <v>46689</v>
      </c>
      <c r="T3219" t="s">
        <v>48250</v>
      </c>
      <c r="U3219" t="s">
        <v>50926</v>
      </c>
      <c r="W3219" t="s">
        <v>43899</v>
      </c>
      <c r="X3219" t="s">
        <v>46573</v>
      </c>
    </row>
    <row r="3220" spans="1:24">
      <c r="A3220">
        <f>HYPERLINK("https://www.philgeps.gov.ph/GEPSNONPILOT/Tender/SplashBidNoticeAbstractUI.aspx?menuIndex=3&amp;refID=7062538&amp;Result=3","7062538")</f>
        <v>0</v>
      </c>
      <c r="B3220" t="s">
        <v>1264</v>
      </c>
      <c r="C3220" t="s">
        <v>6643</v>
      </c>
      <c r="D3220" t="s">
        <v>18810</v>
      </c>
      <c r="E3220" t="s">
        <v>20983</v>
      </c>
      <c r="F3220" t="s">
        <v>32664</v>
      </c>
      <c r="G3220" t="s">
        <v>32672</v>
      </c>
      <c r="H3220" t="s">
        <v>32683</v>
      </c>
      <c r="I3220" t="s">
        <v>10627</v>
      </c>
      <c r="J3220" t="s">
        <v>34999</v>
      </c>
      <c r="K3220" t="s">
        <v>42283</v>
      </c>
      <c r="M3220" t="s">
        <v>43907</v>
      </c>
      <c r="N3220" t="s">
        <v>46569</v>
      </c>
      <c r="O3220" t="s">
        <v>46570</v>
      </c>
      <c r="P3220">
        <v>0</v>
      </c>
      <c r="Q3220">
        <v>0</v>
      </c>
      <c r="R3220" t="s">
        <v>46572</v>
      </c>
      <c r="S3220" t="s">
        <v>46689</v>
      </c>
      <c r="T3220" t="s">
        <v>48470</v>
      </c>
      <c r="U3220" t="s">
        <v>51471</v>
      </c>
      <c r="W3220" t="s">
        <v>43907</v>
      </c>
      <c r="X3220" t="s">
        <v>46573</v>
      </c>
    </row>
    <row r="3221" spans="1:24">
      <c r="A3221">
        <f>HYPERLINK("https://www.philgeps.gov.ph/GEPSNONPILOT/Tender/SplashBidNoticeAbstractUI.aspx?menuIndex=3&amp;refID=7062537&amp;Result=3","7062537")</f>
        <v>0</v>
      </c>
      <c r="B3221" t="s">
        <v>354</v>
      </c>
      <c r="C3221" t="s">
        <v>6644</v>
      </c>
      <c r="D3221" t="s">
        <v>18850</v>
      </c>
      <c r="E3221" t="s">
        <v>21822</v>
      </c>
      <c r="F3221" t="s">
        <v>32664</v>
      </c>
      <c r="G3221" t="s">
        <v>32672</v>
      </c>
      <c r="H3221" t="s">
        <v>12635</v>
      </c>
      <c r="I3221" t="s">
        <v>6628</v>
      </c>
      <c r="J3221" t="s">
        <v>32959</v>
      </c>
      <c r="K3221" t="s">
        <v>42305</v>
      </c>
      <c r="M3221" t="s">
        <v>42923</v>
      </c>
      <c r="N3221" t="s">
        <v>46569</v>
      </c>
      <c r="O3221" t="s">
        <v>46570</v>
      </c>
      <c r="P3221">
        <v>0</v>
      </c>
      <c r="Q3221">
        <v>0</v>
      </c>
      <c r="R3221" t="s">
        <v>46572</v>
      </c>
      <c r="S3221" t="s">
        <v>46689</v>
      </c>
      <c r="T3221" t="s">
        <v>48304</v>
      </c>
      <c r="U3221" t="s">
        <v>51472</v>
      </c>
      <c r="W3221" t="s">
        <v>42923</v>
      </c>
      <c r="X3221" t="s">
        <v>46573</v>
      </c>
    </row>
    <row r="3222" spans="1:24">
      <c r="A3222">
        <f>HYPERLINK("https://www.philgeps.gov.ph/GEPSNONPILOT/Tender/SplashBidNoticeAbstractUI.aspx?menuIndex=3&amp;refID=7062535&amp;Result=3","7062535")</f>
        <v>0</v>
      </c>
      <c r="B3222" t="s">
        <v>1265</v>
      </c>
      <c r="C3222" t="s">
        <v>6645</v>
      </c>
      <c r="D3222" t="s">
        <v>18853</v>
      </c>
      <c r="E3222" t="s">
        <v>21823</v>
      </c>
      <c r="F3222" t="s">
        <v>32664</v>
      </c>
      <c r="G3222" t="s">
        <v>32674</v>
      </c>
      <c r="H3222" t="s">
        <v>12635</v>
      </c>
      <c r="I3222" t="s">
        <v>32725</v>
      </c>
      <c r="J3222" t="s">
        <v>35000</v>
      </c>
      <c r="K3222" t="s">
        <v>42339</v>
      </c>
      <c r="M3222" t="s">
        <v>43908</v>
      </c>
      <c r="N3222" t="s">
        <v>46569</v>
      </c>
      <c r="O3222" t="s">
        <v>46570</v>
      </c>
      <c r="P3222">
        <v>0</v>
      </c>
      <c r="Q3222">
        <v>0</v>
      </c>
      <c r="R3222" t="s">
        <v>46572</v>
      </c>
      <c r="S3222" t="s">
        <v>46689</v>
      </c>
      <c r="T3222" t="s">
        <v>48473</v>
      </c>
      <c r="U3222" t="s">
        <v>51473</v>
      </c>
      <c r="W3222" t="s">
        <v>43908</v>
      </c>
      <c r="X3222" t="s">
        <v>46573</v>
      </c>
    </row>
    <row r="3223" spans="1:24">
      <c r="A3223">
        <f>HYPERLINK("https://www.philgeps.gov.ph/GEPSNONPILOT/Tender/SplashBidNoticeAbstractUI.aspx?menuIndex=3&amp;refID=7062495&amp;Result=3","7062495")</f>
        <v>0</v>
      </c>
      <c r="B3223" t="s">
        <v>752</v>
      </c>
      <c r="C3223" t="s">
        <v>6646</v>
      </c>
      <c r="D3223" t="s">
        <v>18842</v>
      </c>
      <c r="E3223" t="s">
        <v>21824</v>
      </c>
      <c r="F3223" t="s">
        <v>32664</v>
      </c>
      <c r="G3223" t="s">
        <v>32671</v>
      </c>
      <c r="H3223" t="s">
        <v>12635</v>
      </c>
      <c r="I3223" t="s">
        <v>10361</v>
      </c>
      <c r="J3223" t="s">
        <v>33608</v>
      </c>
      <c r="K3223" t="s">
        <v>42295</v>
      </c>
      <c r="M3223" t="s">
        <v>43342</v>
      </c>
      <c r="N3223" t="s">
        <v>46569</v>
      </c>
      <c r="O3223" t="s">
        <v>46570</v>
      </c>
      <c r="P3223">
        <v>0</v>
      </c>
      <c r="Q3223">
        <v>0</v>
      </c>
      <c r="R3223" t="s">
        <v>46572</v>
      </c>
      <c r="S3223" t="s">
        <v>46689</v>
      </c>
      <c r="T3223" t="s">
        <v>48256</v>
      </c>
      <c r="U3223" t="s">
        <v>51474</v>
      </c>
      <c r="W3223" t="s">
        <v>43342</v>
      </c>
      <c r="X3223" t="s">
        <v>46573</v>
      </c>
    </row>
    <row r="3224" spans="1:24">
      <c r="A3224">
        <f>HYPERLINK("https://www.philgeps.gov.ph/GEPSNONPILOT/Tender/SplashBidNoticeAbstractUI.aspx?menuIndex=3&amp;refID=7062530&amp;Result=3","7062530")</f>
        <v>0</v>
      </c>
      <c r="B3224" t="s">
        <v>1266</v>
      </c>
      <c r="C3224" t="s">
        <v>6647</v>
      </c>
      <c r="D3224" t="s">
        <v>18838</v>
      </c>
      <c r="E3224" t="s">
        <v>21825</v>
      </c>
      <c r="F3224" t="s">
        <v>32664</v>
      </c>
      <c r="G3224" t="s">
        <v>32671</v>
      </c>
      <c r="H3224" t="s">
        <v>12635</v>
      </c>
      <c r="I3224" t="s">
        <v>32757</v>
      </c>
      <c r="J3224" t="s">
        <v>35001</v>
      </c>
      <c r="K3224" t="s">
        <v>42283</v>
      </c>
      <c r="M3224" t="s">
        <v>43909</v>
      </c>
      <c r="N3224" t="s">
        <v>46569</v>
      </c>
      <c r="O3224" t="s">
        <v>46570</v>
      </c>
      <c r="P3224">
        <v>0</v>
      </c>
      <c r="Q3224">
        <v>2</v>
      </c>
      <c r="R3224" t="s">
        <v>46572</v>
      </c>
      <c r="S3224" t="s">
        <v>46689</v>
      </c>
      <c r="T3224" t="s">
        <v>48244</v>
      </c>
      <c r="U3224" t="s">
        <v>51475</v>
      </c>
      <c r="W3224" t="s">
        <v>43909</v>
      </c>
      <c r="X3224" t="s">
        <v>46573</v>
      </c>
    </row>
    <row r="3225" spans="1:24">
      <c r="A3225">
        <f>HYPERLINK("https://www.philgeps.gov.ph/GEPSNONPILOT/Tender/SplashBidNoticeAbstractUI.aspx?menuIndex=3&amp;refID=7062501&amp;Result=3","7062501")</f>
        <v>0</v>
      </c>
      <c r="B3225" t="s">
        <v>1267</v>
      </c>
      <c r="C3225" t="s">
        <v>6648</v>
      </c>
      <c r="D3225" t="s">
        <v>18841</v>
      </c>
      <c r="E3225" t="s">
        <v>21826</v>
      </c>
      <c r="F3225" t="s">
        <v>32664</v>
      </c>
      <c r="G3225" t="s">
        <v>32674</v>
      </c>
      <c r="H3225" t="s">
        <v>12635</v>
      </c>
      <c r="I3225" t="s">
        <v>32706</v>
      </c>
      <c r="J3225" t="s">
        <v>35002</v>
      </c>
      <c r="K3225" t="s">
        <v>42284</v>
      </c>
      <c r="M3225" t="s">
        <v>43910</v>
      </c>
      <c r="N3225" t="s">
        <v>46569</v>
      </c>
      <c r="O3225" t="s">
        <v>46570</v>
      </c>
      <c r="P3225">
        <v>0</v>
      </c>
      <c r="Q3225">
        <v>0</v>
      </c>
      <c r="R3225" t="s">
        <v>46572</v>
      </c>
      <c r="S3225" t="s">
        <v>46689</v>
      </c>
      <c r="T3225" t="s">
        <v>48228</v>
      </c>
      <c r="U3225" t="s">
        <v>51476</v>
      </c>
      <c r="V3225" t="s">
        <v>61947</v>
      </c>
      <c r="W3225" t="s">
        <v>43910</v>
      </c>
      <c r="X3225" t="s">
        <v>46573</v>
      </c>
    </row>
    <row r="3226" spans="1:24">
      <c r="A3226">
        <f>HYPERLINK("https://www.philgeps.gov.ph/GEPSNONPILOT/Tender/SplashBidNoticeAbstractUI.aspx?menuIndex=3&amp;refID=7062529&amp;Result=3","7062529")</f>
        <v>0</v>
      </c>
      <c r="B3226" t="s">
        <v>1267</v>
      </c>
      <c r="C3226" t="s">
        <v>6649</v>
      </c>
      <c r="D3226" t="s">
        <v>18841</v>
      </c>
      <c r="E3226" t="s">
        <v>21827</v>
      </c>
      <c r="F3226" t="s">
        <v>32664</v>
      </c>
      <c r="G3226" t="s">
        <v>32674</v>
      </c>
      <c r="H3226" t="s">
        <v>12635</v>
      </c>
      <c r="I3226" t="s">
        <v>32685</v>
      </c>
      <c r="J3226" t="s">
        <v>33565</v>
      </c>
      <c r="K3226" t="s">
        <v>42284</v>
      </c>
      <c r="M3226" t="s">
        <v>43910</v>
      </c>
      <c r="N3226" t="s">
        <v>46569</v>
      </c>
      <c r="O3226" t="s">
        <v>46570</v>
      </c>
      <c r="P3226">
        <v>0</v>
      </c>
      <c r="Q3226">
        <v>0</v>
      </c>
      <c r="R3226" t="s">
        <v>46572</v>
      </c>
      <c r="S3226" t="s">
        <v>46689</v>
      </c>
      <c r="T3226" t="s">
        <v>48228</v>
      </c>
      <c r="U3226" t="s">
        <v>51477</v>
      </c>
      <c r="V3226" t="s">
        <v>61947</v>
      </c>
      <c r="W3226" t="s">
        <v>43910</v>
      </c>
      <c r="X3226" t="s">
        <v>46573</v>
      </c>
    </row>
    <row r="3227" spans="1:24">
      <c r="A3227">
        <f>HYPERLINK("https://www.philgeps.gov.ph/GEPSNONPILOT/Tender/SplashBidNoticeAbstractUI.aspx?menuIndex=3&amp;refID=7062536&amp;Result=3","7062536")</f>
        <v>0</v>
      </c>
      <c r="B3227" t="s">
        <v>1268</v>
      </c>
      <c r="C3227" t="s">
        <v>6650</v>
      </c>
      <c r="E3227" t="s">
        <v>21828</v>
      </c>
      <c r="F3227" t="s">
        <v>32664</v>
      </c>
      <c r="G3227" t="s">
        <v>32672</v>
      </c>
      <c r="H3227" t="s">
        <v>32683</v>
      </c>
      <c r="I3227" t="s">
        <v>10627</v>
      </c>
      <c r="J3227" t="s">
        <v>33299</v>
      </c>
      <c r="K3227" t="s">
        <v>42283</v>
      </c>
      <c r="M3227" t="s">
        <v>43911</v>
      </c>
      <c r="N3227" t="s">
        <v>46569</v>
      </c>
      <c r="O3227" t="s">
        <v>46570</v>
      </c>
      <c r="P3227">
        <v>0</v>
      </c>
      <c r="Q3227">
        <v>0</v>
      </c>
      <c r="R3227" t="s">
        <v>46572</v>
      </c>
      <c r="S3227" t="s">
        <v>46689</v>
      </c>
      <c r="T3227" t="s">
        <v>48474</v>
      </c>
      <c r="U3227" t="s">
        <v>51478</v>
      </c>
      <c r="W3227" t="s">
        <v>43911</v>
      </c>
      <c r="X3227" t="s">
        <v>46573</v>
      </c>
    </row>
    <row r="3228" spans="1:24">
      <c r="A3228">
        <f>HYPERLINK("https://www.philgeps.gov.ph/GEPSNONPILOT/Tender/SplashBidNoticeAbstractUI.aspx?menuIndex=3&amp;refID=7062524&amp;Result=3","7062524")</f>
        <v>0</v>
      </c>
      <c r="B3228" t="s">
        <v>1269</v>
      </c>
      <c r="C3228" t="s">
        <v>6651</v>
      </c>
      <c r="D3228" t="s">
        <v>18851</v>
      </c>
      <c r="E3228" t="s">
        <v>21829</v>
      </c>
      <c r="F3228" t="s">
        <v>32664</v>
      </c>
      <c r="G3228" t="s">
        <v>32672</v>
      </c>
      <c r="H3228" t="s">
        <v>12635</v>
      </c>
      <c r="I3228" t="s">
        <v>6628</v>
      </c>
      <c r="J3228" t="s">
        <v>35003</v>
      </c>
      <c r="K3228" t="s">
        <v>42281</v>
      </c>
      <c r="M3228" t="s">
        <v>43912</v>
      </c>
      <c r="N3228" t="s">
        <v>46569</v>
      </c>
      <c r="O3228" t="s">
        <v>46570</v>
      </c>
      <c r="P3228">
        <v>0</v>
      </c>
      <c r="Q3228">
        <v>0</v>
      </c>
      <c r="R3228" t="s">
        <v>46572</v>
      </c>
      <c r="S3228" t="s">
        <v>46689</v>
      </c>
      <c r="T3228" t="s">
        <v>48262</v>
      </c>
      <c r="U3228" t="s">
        <v>51479</v>
      </c>
      <c r="W3228" t="s">
        <v>43912</v>
      </c>
      <c r="X3228" t="s">
        <v>46573</v>
      </c>
    </row>
    <row r="3229" spans="1:24">
      <c r="A3229">
        <f>HYPERLINK("https://www.philgeps.gov.ph/GEPSNONPILOT/Tender/SplashBidNoticeAbstractUI.aspx?menuIndex=3&amp;refID=7062522&amp;Result=3","7062522")</f>
        <v>0</v>
      </c>
      <c r="B3229" t="s">
        <v>1270</v>
      </c>
      <c r="C3229" t="s">
        <v>6652</v>
      </c>
      <c r="D3229" t="s">
        <v>18831</v>
      </c>
      <c r="E3229" t="s">
        <v>21830</v>
      </c>
      <c r="F3229" t="s">
        <v>32664</v>
      </c>
      <c r="G3229" t="s">
        <v>32674</v>
      </c>
      <c r="H3229" t="s">
        <v>12635</v>
      </c>
      <c r="I3229" t="s">
        <v>32685</v>
      </c>
      <c r="J3229" t="s">
        <v>35004</v>
      </c>
      <c r="K3229" t="s">
        <v>42284</v>
      </c>
      <c r="M3229" t="s">
        <v>43913</v>
      </c>
      <c r="N3229" t="s">
        <v>46569</v>
      </c>
      <c r="O3229" t="s">
        <v>46570</v>
      </c>
      <c r="P3229">
        <v>0</v>
      </c>
      <c r="Q3229">
        <v>0</v>
      </c>
      <c r="R3229" t="s">
        <v>46572</v>
      </c>
      <c r="S3229" t="s">
        <v>46689</v>
      </c>
      <c r="T3229" t="s">
        <v>48244</v>
      </c>
      <c r="U3229" t="s">
        <v>51480</v>
      </c>
      <c r="W3229" t="s">
        <v>43913</v>
      </c>
      <c r="X3229" t="s">
        <v>46573</v>
      </c>
    </row>
    <row r="3230" spans="1:24">
      <c r="A3230">
        <f>HYPERLINK("https://www.philgeps.gov.ph/GEPSNONPILOT/Tender/SplashBidNoticeAbstractUI.aspx?menuIndex=3&amp;refID=7062521&amp;Result=3","7062521")</f>
        <v>0</v>
      </c>
      <c r="B3230" t="s">
        <v>174</v>
      </c>
      <c r="C3230" t="s">
        <v>6653</v>
      </c>
      <c r="D3230" t="s">
        <v>18831</v>
      </c>
      <c r="E3230" t="s">
        <v>20986</v>
      </c>
      <c r="F3230" t="s">
        <v>32664</v>
      </c>
      <c r="G3230" t="s">
        <v>32674</v>
      </c>
      <c r="H3230" t="s">
        <v>12635</v>
      </c>
      <c r="I3230" t="s">
        <v>8797</v>
      </c>
      <c r="J3230" t="s">
        <v>35005</v>
      </c>
      <c r="K3230" t="s">
        <v>42289</v>
      </c>
      <c r="M3230" t="s">
        <v>42738</v>
      </c>
      <c r="N3230" t="s">
        <v>46569</v>
      </c>
      <c r="O3230" t="s">
        <v>46570</v>
      </c>
      <c r="P3230">
        <v>0</v>
      </c>
      <c r="Q3230">
        <v>1</v>
      </c>
      <c r="R3230" t="s">
        <v>46572</v>
      </c>
      <c r="S3230" t="s">
        <v>46689</v>
      </c>
      <c r="T3230" t="s">
        <v>48268</v>
      </c>
      <c r="U3230" t="s">
        <v>51481</v>
      </c>
      <c r="W3230" t="s">
        <v>42738</v>
      </c>
      <c r="X3230" t="s">
        <v>46573</v>
      </c>
    </row>
    <row r="3231" spans="1:24">
      <c r="A3231">
        <f>HYPERLINK("https://www.philgeps.gov.ph/GEPSNONPILOT/Tender/SplashBidNoticeAbstractUI.aspx?menuIndex=3&amp;refID=7062520&amp;Result=3","7062520")</f>
        <v>0</v>
      </c>
      <c r="B3231" t="s">
        <v>1261</v>
      </c>
      <c r="C3231" t="s">
        <v>6654</v>
      </c>
      <c r="D3231" t="s">
        <v>18804</v>
      </c>
      <c r="E3231" t="s">
        <v>21815</v>
      </c>
      <c r="F3231" t="s">
        <v>32664</v>
      </c>
      <c r="G3231" t="s">
        <v>32671</v>
      </c>
      <c r="H3231" t="s">
        <v>12635</v>
      </c>
      <c r="I3231" t="s">
        <v>6628</v>
      </c>
      <c r="J3231" t="s">
        <v>33520</v>
      </c>
      <c r="K3231" t="s">
        <v>42295</v>
      </c>
      <c r="M3231" t="s">
        <v>43904</v>
      </c>
      <c r="N3231" t="s">
        <v>46569</v>
      </c>
      <c r="O3231" t="s">
        <v>46570</v>
      </c>
      <c r="P3231">
        <v>0</v>
      </c>
      <c r="Q3231">
        <v>0</v>
      </c>
      <c r="R3231" t="s">
        <v>46572</v>
      </c>
      <c r="S3231" t="s">
        <v>46689</v>
      </c>
      <c r="T3231" t="s">
        <v>48221</v>
      </c>
      <c r="U3231" t="s">
        <v>51482</v>
      </c>
      <c r="W3231" t="s">
        <v>43904</v>
      </c>
      <c r="X3231" t="s">
        <v>46573</v>
      </c>
    </row>
    <row r="3232" spans="1:24">
      <c r="A3232">
        <f>HYPERLINK("https://www.philgeps.gov.ph/GEPSNONPILOT/Tender/SplashBidNoticeAbstractUI.aspx?menuIndex=3&amp;refID=7062526&amp;Result=3","7062526")</f>
        <v>0</v>
      </c>
      <c r="B3232" t="s">
        <v>1257</v>
      </c>
      <c r="C3232" t="s">
        <v>5492</v>
      </c>
      <c r="E3232" t="s">
        <v>21831</v>
      </c>
      <c r="F3232" t="s">
        <v>32664</v>
      </c>
      <c r="G3232" t="s">
        <v>32677</v>
      </c>
      <c r="H3232" t="s">
        <v>12635</v>
      </c>
      <c r="I3232" t="s">
        <v>8797</v>
      </c>
      <c r="J3232" t="s">
        <v>33336</v>
      </c>
      <c r="K3232" t="s">
        <v>42283</v>
      </c>
      <c r="M3232" t="s">
        <v>43899</v>
      </c>
      <c r="N3232" t="s">
        <v>46569</v>
      </c>
      <c r="O3232" t="s">
        <v>46570</v>
      </c>
      <c r="P3232">
        <v>0</v>
      </c>
      <c r="Q3232">
        <v>1</v>
      </c>
      <c r="R3232" t="s">
        <v>46572</v>
      </c>
      <c r="S3232" t="s">
        <v>46689</v>
      </c>
      <c r="T3232" t="s">
        <v>48250</v>
      </c>
      <c r="U3232" t="s">
        <v>51481</v>
      </c>
      <c r="W3232" t="s">
        <v>43899</v>
      </c>
      <c r="X3232" t="s">
        <v>46573</v>
      </c>
    </row>
    <row r="3233" spans="1:24">
      <c r="A3233">
        <f>HYPERLINK("https://www.philgeps.gov.ph/GEPSNONPILOT/Tender/SplashBidNoticeAbstractUI.aspx?menuIndex=3&amp;refID=7062523&amp;Result=3","7062523")</f>
        <v>0</v>
      </c>
      <c r="B3233" t="s">
        <v>1271</v>
      </c>
      <c r="C3233" t="s">
        <v>6655</v>
      </c>
      <c r="D3233" t="s">
        <v>18838</v>
      </c>
      <c r="E3233" t="s">
        <v>21832</v>
      </c>
      <c r="F3233" t="s">
        <v>32664</v>
      </c>
      <c r="G3233" t="s">
        <v>32672</v>
      </c>
      <c r="H3233" t="s">
        <v>12635</v>
      </c>
      <c r="I3233" t="s">
        <v>4439</v>
      </c>
      <c r="J3233" t="s">
        <v>35006</v>
      </c>
      <c r="K3233" t="s">
        <v>42297</v>
      </c>
      <c r="L3233" t="s">
        <v>1271</v>
      </c>
      <c r="M3233" t="s">
        <v>43914</v>
      </c>
      <c r="N3233" t="s">
        <v>46569</v>
      </c>
      <c r="O3233" t="s">
        <v>46570</v>
      </c>
      <c r="P3233">
        <v>0</v>
      </c>
      <c r="Q3233">
        <v>1</v>
      </c>
      <c r="R3233" t="s">
        <v>46572</v>
      </c>
      <c r="S3233" t="s">
        <v>46689</v>
      </c>
      <c r="T3233" t="s">
        <v>48230</v>
      </c>
      <c r="U3233" t="s">
        <v>51483</v>
      </c>
      <c r="W3233" t="s">
        <v>43914</v>
      </c>
      <c r="X3233" t="s">
        <v>46573</v>
      </c>
    </row>
    <row r="3234" spans="1:24">
      <c r="A3234">
        <f>HYPERLINK("https://www.philgeps.gov.ph/GEPSNONPILOT/Tender/SplashBidNoticeAbstractUI.aspx?menuIndex=3&amp;refID=7062519&amp;Result=3","7062519")</f>
        <v>0</v>
      </c>
      <c r="B3234" t="s">
        <v>1243</v>
      </c>
      <c r="C3234" t="s">
        <v>6656</v>
      </c>
      <c r="D3234" t="s">
        <v>18785</v>
      </c>
      <c r="E3234" t="s">
        <v>21833</v>
      </c>
      <c r="F3234" t="s">
        <v>32664</v>
      </c>
      <c r="G3234" t="s">
        <v>32672</v>
      </c>
      <c r="H3234" t="s">
        <v>12635</v>
      </c>
      <c r="I3234" t="s">
        <v>4439</v>
      </c>
      <c r="J3234" t="s">
        <v>35007</v>
      </c>
      <c r="K3234" t="s">
        <v>42289</v>
      </c>
      <c r="M3234" t="s">
        <v>43903</v>
      </c>
      <c r="N3234" t="s">
        <v>46569</v>
      </c>
      <c r="O3234" t="s">
        <v>46570</v>
      </c>
      <c r="P3234">
        <v>0</v>
      </c>
      <c r="Q3234">
        <v>0</v>
      </c>
      <c r="R3234" t="s">
        <v>46572</v>
      </c>
      <c r="S3234" t="s">
        <v>46689</v>
      </c>
      <c r="T3234" t="s">
        <v>48385</v>
      </c>
      <c r="U3234" t="s">
        <v>50093</v>
      </c>
      <c r="V3234" t="s">
        <v>61948</v>
      </c>
      <c r="W3234" t="s">
        <v>63507</v>
      </c>
      <c r="X3234" t="s">
        <v>46573</v>
      </c>
    </row>
    <row r="3235" spans="1:24">
      <c r="A3235">
        <f>HYPERLINK("https://www.philgeps.gov.ph/GEPSNONPILOT/Tender/SplashBidNoticeAbstractUI.aspx?menuIndex=3&amp;refID=7062515&amp;Result=3","7062515")</f>
        <v>0</v>
      </c>
      <c r="B3235" t="s">
        <v>1267</v>
      </c>
      <c r="C3235" t="s">
        <v>6657</v>
      </c>
      <c r="D3235" t="s">
        <v>18841</v>
      </c>
      <c r="E3235" t="s">
        <v>21834</v>
      </c>
      <c r="F3235" t="s">
        <v>32664</v>
      </c>
      <c r="G3235" t="s">
        <v>32674</v>
      </c>
      <c r="H3235" t="s">
        <v>12635</v>
      </c>
      <c r="I3235" t="s">
        <v>6223</v>
      </c>
      <c r="J3235" t="s">
        <v>35008</v>
      </c>
      <c r="K3235" t="s">
        <v>42284</v>
      </c>
      <c r="M3235" t="s">
        <v>43910</v>
      </c>
      <c r="N3235" t="s">
        <v>46569</v>
      </c>
      <c r="O3235" t="s">
        <v>46570</v>
      </c>
      <c r="P3235">
        <v>0</v>
      </c>
      <c r="Q3235">
        <v>0</v>
      </c>
      <c r="R3235" t="s">
        <v>46572</v>
      </c>
      <c r="S3235" t="s">
        <v>46689</v>
      </c>
      <c r="T3235" t="s">
        <v>48228</v>
      </c>
      <c r="U3235" t="s">
        <v>51484</v>
      </c>
      <c r="V3235" t="s">
        <v>61947</v>
      </c>
      <c r="W3235" t="s">
        <v>43910</v>
      </c>
      <c r="X3235" t="s">
        <v>46573</v>
      </c>
    </row>
    <row r="3236" spans="1:24">
      <c r="A3236">
        <f>HYPERLINK("https://www.philgeps.gov.ph/GEPSNONPILOT/Tender/SplashBidNoticeAbstractUI.aspx?menuIndex=3&amp;refID=7062517&amp;Result=3","7062517")</f>
        <v>0</v>
      </c>
      <c r="B3236" t="s">
        <v>1272</v>
      </c>
      <c r="C3236" t="s">
        <v>6658</v>
      </c>
      <c r="D3236" t="s">
        <v>18785</v>
      </c>
      <c r="E3236" t="s">
        <v>20077</v>
      </c>
      <c r="F3236" t="s">
        <v>32664</v>
      </c>
      <c r="G3236" t="s">
        <v>32675</v>
      </c>
      <c r="H3236" t="s">
        <v>12635</v>
      </c>
      <c r="I3236" t="s">
        <v>5589</v>
      </c>
      <c r="J3236" t="s">
        <v>35009</v>
      </c>
      <c r="K3236" t="s">
        <v>42289</v>
      </c>
      <c r="M3236" t="s">
        <v>43915</v>
      </c>
      <c r="N3236" t="s">
        <v>46569</v>
      </c>
      <c r="O3236" t="s">
        <v>46570</v>
      </c>
      <c r="P3236">
        <v>0</v>
      </c>
      <c r="Q3236">
        <v>3</v>
      </c>
      <c r="R3236" t="s">
        <v>46572</v>
      </c>
      <c r="S3236" t="s">
        <v>46689</v>
      </c>
      <c r="T3236" t="s">
        <v>48219</v>
      </c>
      <c r="U3236" t="s">
        <v>51485</v>
      </c>
      <c r="W3236" t="s">
        <v>43915</v>
      </c>
      <c r="X3236" t="s">
        <v>46573</v>
      </c>
    </row>
    <row r="3237" spans="1:24">
      <c r="A3237">
        <f>HYPERLINK("https://www.philgeps.gov.ph/GEPSNONPILOT/Tender/SplashBidNoticeAbstractUI.aspx?menuIndex=3&amp;refID=7062516&amp;Result=3","7062516")</f>
        <v>0</v>
      </c>
      <c r="B3237" t="s">
        <v>687</v>
      </c>
      <c r="C3237" t="s">
        <v>6659</v>
      </c>
      <c r="D3237" t="s">
        <v>18805</v>
      </c>
      <c r="E3237" t="s">
        <v>21835</v>
      </c>
      <c r="F3237" t="s">
        <v>32664</v>
      </c>
      <c r="G3237" t="s">
        <v>32678</v>
      </c>
      <c r="H3237" t="s">
        <v>32681</v>
      </c>
      <c r="I3237" t="s">
        <v>32681</v>
      </c>
      <c r="J3237" t="s">
        <v>33078</v>
      </c>
      <c r="K3237" t="s">
        <v>42283</v>
      </c>
      <c r="M3237" t="s">
        <v>43274</v>
      </c>
      <c r="N3237" t="s">
        <v>46569</v>
      </c>
      <c r="O3237" t="s">
        <v>46570</v>
      </c>
      <c r="P3237">
        <v>0</v>
      </c>
      <c r="Q3237">
        <v>0</v>
      </c>
      <c r="R3237" t="s">
        <v>46572</v>
      </c>
      <c r="S3237" t="s">
        <v>46689</v>
      </c>
      <c r="T3237" t="s">
        <v>48285</v>
      </c>
      <c r="U3237" t="s">
        <v>51486</v>
      </c>
      <c r="W3237" t="s">
        <v>43274</v>
      </c>
      <c r="X3237" t="s">
        <v>46573</v>
      </c>
    </row>
    <row r="3238" spans="1:24">
      <c r="A3238">
        <f>HYPERLINK("https://www.philgeps.gov.ph/GEPSNONPILOT/Tender/SplashBidNoticeAbstractUI.aspx?menuIndex=3&amp;refID=7062490&amp;Result=3","7062490")</f>
        <v>0</v>
      </c>
      <c r="B3238" t="s">
        <v>543</v>
      </c>
      <c r="C3238" t="s">
        <v>6660</v>
      </c>
      <c r="D3238" t="s">
        <v>18790</v>
      </c>
      <c r="E3238" t="s">
        <v>21836</v>
      </c>
      <c r="F3238" t="s">
        <v>32664</v>
      </c>
      <c r="G3238" t="s">
        <v>32671</v>
      </c>
      <c r="H3238" t="s">
        <v>12635</v>
      </c>
      <c r="I3238" t="s">
        <v>32706</v>
      </c>
      <c r="J3238" t="s">
        <v>35010</v>
      </c>
      <c r="K3238" t="s">
        <v>42283</v>
      </c>
      <c r="M3238" t="s">
        <v>43747</v>
      </c>
      <c r="N3238" t="s">
        <v>46569</v>
      </c>
      <c r="O3238" t="s">
        <v>46570</v>
      </c>
      <c r="P3238">
        <v>0</v>
      </c>
      <c r="Q3238">
        <v>0</v>
      </c>
      <c r="R3238" t="s">
        <v>46572</v>
      </c>
      <c r="S3238" t="s">
        <v>46689</v>
      </c>
      <c r="T3238" t="s">
        <v>48256</v>
      </c>
      <c r="U3238" t="s">
        <v>51143</v>
      </c>
      <c r="W3238" t="s">
        <v>43747</v>
      </c>
      <c r="X3238" t="s">
        <v>46573</v>
      </c>
    </row>
    <row r="3239" spans="1:24">
      <c r="A3239">
        <f>HYPERLINK("https://www.philgeps.gov.ph/GEPSNONPILOT/Tender/SplashBidNoticeAbstractUI.aspx?menuIndex=3&amp;refID=7062489&amp;Result=3","7062489")</f>
        <v>0</v>
      </c>
      <c r="B3239" t="s">
        <v>1131</v>
      </c>
      <c r="C3239" t="s">
        <v>6661</v>
      </c>
      <c r="D3239" t="s">
        <v>18847</v>
      </c>
      <c r="E3239" t="s">
        <v>21837</v>
      </c>
      <c r="F3239" t="s">
        <v>32664</v>
      </c>
      <c r="G3239" t="s">
        <v>32674</v>
      </c>
      <c r="H3239" t="s">
        <v>12635</v>
      </c>
      <c r="I3239" t="s">
        <v>32684</v>
      </c>
      <c r="J3239" t="s">
        <v>33212</v>
      </c>
      <c r="K3239" t="s">
        <v>42283</v>
      </c>
      <c r="M3239" t="s">
        <v>43760</v>
      </c>
      <c r="N3239" t="s">
        <v>46569</v>
      </c>
      <c r="O3239" t="s">
        <v>46570</v>
      </c>
      <c r="P3239">
        <v>0</v>
      </c>
      <c r="Q3239">
        <v>2</v>
      </c>
      <c r="R3239" t="s">
        <v>46572</v>
      </c>
      <c r="S3239" t="s">
        <v>46689</v>
      </c>
      <c r="T3239" t="s">
        <v>48316</v>
      </c>
      <c r="U3239" t="s">
        <v>51487</v>
      </c>
      <c r="W3239" t="s">
        <v>43760</v>
      </c>
      <c r="X3239" t="s">
        <v>46573</v>
      </c>
    </row>
    <row r="3240" spans="1:24">
      <c r="A3240">
        <f>HYPERLINK("https://www.philgeps.gov.ph/GEPSNONPILOT/Tender/SplashBidNoticeAbstractUI.aspx?menuIndex=3&amp;refID=7062488&amp;Result=3","7062488")</f>
        <v>0</v>
      </c>
      <c r="B3240" t="s">
        <v>225</v>
      </c>
      <c r="C3240" t="s">
        <v>6662</v>
      </c>
      <c r="D3240" t="s">
        <v>18784</v>
      </c>
      <c r="E3240" t="s">
        <v>21838</v>
      </c>
      <c r="F3240" t="s">
        <v>32664</v>
      </c>
      <c r="G3240" t="s">
        <v>32672</v>
      </c>
      <c r="H3240" t="s">
        <v>32683</v>
      </c>
      <c r="I3240" t="s">
        <v>10627</v>
      </c>
      <c r="J3240" t="s">
        <v>35011</v>
      </c>
      <c r="K3240" t="s">
        <v>42281</v>
      </c>
      <c r="M3240" t="s">
        <v>43870</v>
      </c>
      <c r="N3240" t="s">
        <v>46569</v>
      </c>
      <c r="O3240" t="s">
        <v>46570</v>
      </c>
      <c r="P3240">
        <v>0</v>
      </c>
      <c r="Q3240">
        <v>20</v>
      </c>
      <c r="R3240" t="s">
        <v>46572</v>
      </c>
      <c r="S3240" t="s">
        <v>46689</v>
      </c>
      <c r="T3240" t="s">
        <v>48385</v>
      </c>
      <c r="U3240" t="s">
        <v>51407</v>
      </c>
      <c r="V3240" t="s">
        <v>61949</v>
      </c>
      <c r="W3240" t="s">
        <v>43870</v>
      </c>
      <c r="X3240" t="s">
        <v>46573</v>
      </c>
    </row>
    <row r="3241" spans="1:24">
      <c r="A3241">
        <f>HYPERLINK("https://www.philgeps.gov.ph/GEPSNONPILOT/Tender/SplashBidNoticeAbstractUI.aspx?menuIndex=3&amp;refID=7062468&amp;Result=3","7062468")</f>
        <v>0</v>
      </c>
      <c r="B3241" t="s">
        <v>1273</v>
      </c>
      <c r="C3241" t="s">
        <v>6663</v>
      </c>
      <c r="D3241" t="s">
        <v>18784</v>
      </c>
      <c r="E3241" t="s">
        <v>6663</v>
      </c>
      <c r="F3241" t="s">
        <v>32664</v>
      </c>
      <c r="G3241" t="s">
        <v>32674</v>
      </c>
      <c r="H3241" t="s">
        <v>12635</v>
      </c>
      <c r="I3241" t="s">
        <v>10370</v>
      </c>
      <c r="J3241" t="s">
        <v>35012</v>
      </c>
      <c r="K3241" t="s">
        <v>42284</v>
      </c>
      <c r="M3241" t="s">
        <v>43916</v>
      </c>
      <c r="N3241" t="s">
        <v>46569</v>
      </c>
      <c r="O3241" t="s">
        <v>46570</v>
      </c>
      <c r="P3241">
        <v>0</v>
      </c>
      <c r="Q3241">
        <v>8</v>
      </c>
      <c r="R3241" t="s">
        <v>46572</v>
      </c>
      <c r="S3241" t="s">
        <v>46689</v>
      </c>
      <c r="T3241" t="s">
        <v>48290</v>
      </c>
      <c r="U3241" t="s">
        <v>51488</v>
      </c>
      <c r="V3241" t="s">
        <v>61950</v>
      </c>
      <c r="W3241" t="s">
        <v>43916</v>
      </c>
      <c r="X3241" t="s">
        <v>46573</v>
      </c>
    </row>
    <row r="3242" spans="1:24">
      <c r="A3242">
        <f>HYPERLINK("https://www.philgeps.gov.ph/GEPSNONPILOT/Tender/SplashBidNoticeAbstractUI.aspx?menuIndex=3&amp;refID=7062467&amp;Result=3","7062467")</f>
        <v>0</v>
      </c>
      <c r="B3242" t="s">
        <v>209</v>
      </c>
      <c r="C3242" t="s">
        <v>6664</v>
      </c>
      <c r="D3242" t="s">
        <v>18789</v>
      </c>
      <c r="E3242" t="s">
        <v>21839</v>
      </c>
      <c r="F3242" t="s">
        <v>32664</v>
      </c>
      <c r="G3242" t="s">
        <v>32671</v>
      </c>
      <c r="H3242" t="s">
        <v>12635</v>
      </c>
      <c r="I3242" t="s">
        <v>10590</v>
      </c>
      <c r="J3242" t="s">
        <v>35013</v>
      </c>
      <c r="K3242" t="s">
        <v>42330</v>
      </c>
      <c r="M3242" t="s">
        <v>42773</v>
      </c>
      <c r="N3242" t="s">
        <v>46569</v>
      </c>
      <c r="O3242" t="s">
        <v>46570</v>
      </c>
      <c r="P3242">
        <v>0</v>
      </c>
      <c r="Q3242">
        <v>0</v>
      </c>
      <c r="R3242" t="s">
        <v>46572</v>
      </c>
      <c r="S3242" t="s">
        <v>46689</v>
      </c>
      <c r="T3242" t="s">
        <v>48304</v>
      </c>
      <c r="U3242" t="s">
        <v>51489</v>
      </c>
      <c r="W3242" t="s">
        <v>42773</v>
      </c>
      <c r="X3242" t="s">
        <v>46573</v>
      </c>
    </row>
    <row r="3243" spans="1:24">
      <c r="A3243">
        <f>HYPERLINK("https://www.philgeps.gov.ph/GEPSNONPILOT/Tender/SplashBidNoticeAbstractUI.aspx?menuIndex=3&amp;refID=7062466&amp;Result=3","7062466")</f>
        <v>0</v>
      </c>
      <c r="B3243" t="s">
        <v>1191</v>
      </c>
      <c r="C3243" t="s">
        <v>6665</v>
      </c>
      <c r="D3243" t="s">
        <v>18831</v>
      </c>
      <c r="E3243" t="s">
        <v>21840</v>
      </c>
      <c r="F3243" t="s">
        <v>32664</v>
      </c>
      <c r="G3243" t="s">
        <v>32671</v>
      </c>
      <c r="H3243" t="s">
        <v>12635</v>
      </c>
      <c r="I3243" t="s">
        <v>32694</v>
      </c>
      <c r="J3243" t="s">
        <v>35014</v>
      </c>
      <c r="K3243" t="s">
        <v>42289</v>
      </c>
      <c r="M3243" t="s">
        <v>43827</v>
      </c>
      <c r="N3243" t="s">
        <v>46569</v>
      </c>
      <c r="O3243" t="s">
        <v>46570</v>
      </c>
      <c r="P3243">
        <v>0</v>
      </c>
      <c r="Q3243">
        <v>0</v>
      </c>
      <c r="R3243" t="s">
        <v>46572</v>
      </c>
      <c r="S3243" t="s">
        <v>46689</v>
      </c>
      <c r="T3243" t="s">
        <v>48304</v>
      </c>
      <c r="U3243" t="s">
        <v>51490</v>
      </c>
      <c r="W3243" t="s">
        <v>43827</v>
      </c>
      <c r="X3243" t="s">
        <v>46573</v>
      </c>
    </row>
    <row r="3244" spans="1:24">
      <c r="A3244">
        <f>HYPERLINK("https://www.philgeps.gov.ph/GEPSNONPILOT/Tender/SplashBidNoticeAbstractUI.aspx?menuIndex=3&amp;refID=7062464&amp;Result=3","7062464")</f>
        <v>0</v>
      </c>
      <c r="B3244" t="s">
        <v>1119</v>
      </c>
      <c r="C3244" t="s">
        <v>6666</v>
      </c>
      <c r="D3244" t="s">
        <v>18835</v>
      </c>
      <c r="E3244" t="s">
        <v>21841</v>
      </c>
      <c r="F3244" t="s">
        <v>32664</v>
      </c>
      <c r="G3244" t="s">
        <v>32674</v>
      </c>
      <c r="H3244" t="s">
        <v>12635</v>
      </c>
      <c r="I3244" t="s">
        <v>7759</v>
      </c>
      <c r="J3244" t="s">
        <v>35015</v>
      </c>
      <c r="K3244" t="s">
        <v>42297</v>
      </c>
      <c r="M3244" t="s">
        <v>43748</v>
      </c>
      <c r="N3244" t="s">
        <v>46569</v>
      </c>
      <c r="O3244" t="s">
        <v>46570</v>
      </c>
      <c r="P3244">
        <v>0</v>
      </c>
      <c r="Q3244">
        <v>0</v>
      </c>
      <c r="R3244" t="s">
        <v>46572</v>
      </c>
      <c r="S3244" t="s">
        <v>46689</v>
      </c>
      <c r="T3244" t="s">
        <v>48268</v>
      </c>
      <c r="U3244" t="s">
        <v>51491</v>
      </c>
      <c r="W3244" t="s">
        <v>43748</v>
      </c>
      <c r="X3244" t="s">
        <v>46573</v>
      </c>
    </row>
    <row r="3245" spans="1:24">
      <c r="A3245">
        <f>HYPERLINK("https://www.philgeps.gov.ph/GEPSNONPILOT/Tender/SplashBidNoticeAbstractUI.aspx?menuIndex=3&amp;refID=7062472&amp;Result=3","7062472")</f>
        <v>0</v>
      </c>
      <c r="B3245" t="s">
        <v>1256</v>
      </c>
      <c r="C3245" t="s">
        <v>6442</v>
      </c>
      <c r="D3245" t="s">
        <v>18810</v>
      </c>
      <c r="E3245" t="s">
        <v>19950</v>
      </c>
      <c r="F3245" t="s">
        <v>32664</v>
      </c>
      <c r="G3245" t="s">
        <v>32672</v>
      </c>
      <c r="H3245" t="s">
        <v>32683</v>
      </c>
      <c r="I3245" t="s">
        <v>10627</v>
      </c>
      <c r="J3245" t="s">
        <v>35016</v>
      </c>
      <c r="K3245" t="s">
        <v>42283</v>
      </c>
      <c r="M3245" t="s">
        <v>43898</v>
      </c>
      <c r="N3245" t="s">
        <v>46569</v>
      </c>
      <c r="O3245" t="s">
        <v>46570</v>
      </c>
      <c r="P3245">
        <v>0</v>
      </c>
      <c r="Q3245">
        <v>0</v>
      </c>
      <c r="R3245" t="s">
        <v>46572</v>
      </c>
      <c r="S3245" t="s">
        <v>46689</v>
      </c>
      <c r="T3245" t="s">
        <v>48470</v>
      </c>
      <c r="U3245" t="s">
        <v>51492</v>
      </c>
      <c r="W3245" t="s">
        <v>43898</v>
      </c>
      <c r="X3245" t="s">
        <v>46573</v>
      </c>
    </row>
    <row r="3246" spans="1:24">
      <c r="A3246">
        <f>HYPERLINK("https://www.philgeps.gov.ph/GEPSNONPILOT/Tender/SplashBidNoticeAbstractUI.aspx?menuIndex=3&amp;refID=7062462&amp;Result=3","7062462")</f>
        <v>0</v>
      </c>
      <c r="B3246" t="s">
        <v>1185</v>
      </c>
      <c r="C3246" t="s">
        <v>6667</v>
      </c>
      <c r="D3246" t="s">
        <v>18807</v>
      </c>
      <c r="E3246" t="s">
        <v>21842</v>
      </c>
      <c r="F3246" t="s">
        <v>32664</v>
      </c>
      <c r="G3246" t="s">
        <v>32672</v>
      </c>
      <c r="H3246" t="s">
        <v>12635</v>
      </c>
      <c r="I3246" t="s">
        <v>4439</v>
      </c>
      <c r="J3246" t="s">
        <v>34944</v>
      </c>
      <c r="K3246" t="s">
        <v>42297</v>
      </c>
      <c r="M3246" t="s">
        <v>43821</v>
      </c>
      <c r="N3246" t="s">
        <v>46569</v>
      </c>
      <c r="O3246" t="s">
        <v>46570</v>
      </c>
      <c r="P3246">
        <v>0</v>
      </c>
      <c r="Q3246">
        <v>0</v>
      </c>
      <c r="R3246" t="s">
        <v>46572</v>
      </c>
      <c r="S3246" t="s">
        <v>46689</v>
      </c>
      <c r="T3246" t="s">
        <v>48230</v>
      </c>
      <c r="U3246" t="s">
        <v>51358</v>
      </c>
      <c r="W3246" t="s">
        <v>43821</v>
      </c>
      <c r="X3246" t="s">
        <v>46573</v>
      </c>
    </row>
    <row r="3247" spans="1:24">
      <c r="A3247">
        <f>HYPERLINK("https://www.philgeps.gov.ph/GEPSNONPILOT/Tender/SplashBidNoticeAbstractUI.aspx?menuIndex=3&amp;refID=7062412&amp;Result=3","7062412")</f>
        <v>0</v>
      </c>
      <c r="B3247" t="s">
        <v>1247</v>
      </c>
      <c r="C3247" t="s">
        <v>6668</v>
      </c>
      <c r="D3247" t="s">
        <v>18802</v>
      </c>
      <c r="E3247" t="s">
        <v>21843</v>
      </c>
      <c r="F3247" t="s">
        <v>32664</v>
      </c>
      <c r="G3247" t="s">
        <v>32671</v>
      </c>
      <c r="H3247" t="s">
        <v>32681</v>
      </c>
      <c r="I3247" t="s">
        <v>32681</v>
      </c>
      <c r="J3247" t="s">
        <v>35017</v>
      </c>
      <c r="K3247" t="s">
        <v>42298</v>
      </c>
      <c r="M3247" t="s">
        <v>43889</v>
      </c>
      <c r="N3247" t="s">
        <v>46569</v>
      </c>
      <c r="O3247" t="s">
        <v>46570</v>
      </c>
      <c r="P3247">
        <v>0</v>
      </c>
      <c r="Q3247">
        <v>4</v>
      </c>
      <c r="R3247" t="s">
        <v>46572</v>
      </c>
      <c r="S3247" t="s">
        <v>46689</v>
      </c>
      <c r="T3247" t="s">
        <v>48219</v>
      </c>
      <c r="U3247" t="s">
        <v>51438</v>
      </c>
      <c r="W3247" t="s">
        <v>43889</v>
      </c>
      <c r="X3247" t="s">
        <v>46573</v>
      </c>
    </row>
    <row r="3248" spans="1:24">
      <c r="A3248">
        <f>HYPERLINK("https://www.philgeps.gov.ph/GEPSNONPILOT/Tender/SplashBidNoticeAbstractUI.aspx?menuIndex=3&amp;refID=7062465&amp;Result=3","7062465")</f>
        <v>0</v>
      </c>
      <c r="B3248" t="s">
        <v>1200</v>
      </c>
      <c r="C3248" t="s">
        <v>6669</v>
      </c>
      <c r="D3248" t="s">
        <v>18813</v>
      </c>
      <c r="E3248" t="s">
        <v>21844</v>
      </c>
      <c r="F3248" t="s">
        <v>32664</v>
      </c>
      <c r="G3248" t="s">
        <v>32674</v>
      </c>
      <c r="H3248" t="s">
        <v>12635</v>
      </c>
      <c r="I3248" t="s">
        <v>10590</v>
      </c>
      <c r="J3248" t="s">
        <v>33015</v>
      </c>
      <c r="K3248" t="s">
        <v>42289</v>
      </c>
      <c r="M3248" t="s">
        <v>43837</v>
      </c>
      <c r="N3248" t="s">
        <v>46569</v>
      </c>
      <c r="O3248" t="s">
        <v>46570</v>
      </c>
      <c r="P3248">
        <v>0</v>
      </c>
      <c r="Q3248">
        <v>0</v>
      </c>
      <c r="R3248" t="s">
        <v>46572</v>
      </c>
      <c r="S3248" t="s">
        <v>46689</v>
      </c>
      <c r="T3248" t="s">
        <v>48219</v>
      </c>
      <c r="U3248" t="s">
        <v>51493</v>
      </c>
      <c r="W3248" t="s">
        <v>43837</v>
      </c>
      <c r="X3248" t="s">
        <v>46573</v>
      </c>
    </row>
    <row r="3249" spans="1:24">
      <c r="A3249">
        <f>HYPERLINK("https://www.philgeps.gov.ph/GEPSNONPILOT/Tender/SplashBidNoticeAbstractUI.aspx?menuIndex=3&amp;refID=7062563&amp;Result=3","7062563")</f>
        <v>0</v>
      </c>
      <c r="B3249" t="s">
        <v>1274</v>
      </c>
      <c r="C3249" t="s">
        <v>6670</v>
      </c>
      <c r="D3249" t="s">
        <v>18784</v>
      </c>
      <c r="E3249" t="s">
        <v>21845</v>
      </c>
      <c r="F3249" t="s">
        <v>32664</v>
      </c>
      <c r="G3249" t="s">
        <v>32671</v>
      </c>
      <c r="H3249" t="s">
        <v>12635</v>
      </c>
      <c r="I3249" t="s">
        <v>8730</v>
      </c>
      <c r="J3249" t="s">
        <v>35018</v>
      </c>
      <c r="K3249" t="s">
        <v>42284</v>
      </c>
      <c r="M3249" t="s">
        <v>43917</v>
      </c>
      <c r="N3249" t="s">
        <v>46569</v>
      </c>
      <c r="O3249" t="s">
        <v>46570</v>
      </c>
      <c r="P3249">
        <v>0</v>
      </c>
      <c r="Q3249">
        <v>1</v>
      </c>
      <c r="R3249" t="s">
        <v>46572</v>
      </c>
      <c r="S3249" t="s">
        <v>46689</v>
      </c>
      <c r="T3249" t="s">
        <v>48280</v>
      </c>
      <c r="U3249" t="s">
        <v>51494</v>
      </c>
      <c r="V3249" t="s">
        <v>61951</v>
      </c>
      <c r="W3249" t="s">
        <v>43917</v>
      </c>
      <c r="X3249" t="s">
        <v>46573</v>
      </c>
    </row>
    <row r="3250" spans="1:24">
      <c r="A3250">
        <f>HYPERLINK("https://www.philgeps.gov.ph/GEPSNONPILOT/Tender/SplashBidNoticeAbstractUI.aspx?menuIndex=3&amp;refID=7062491&amp;Result=3","7062491")</f>
        <v>0</v>
      </c>
      <c r="B3250" t="s">
        <v>1243</v>
      </c>
      <c r="C3250" t="s">
        <v>6671</v>
      </c>
      <c r="D3250" t="s">
        <v>18785</v>
      </c>
      <c r="E3250" t="s">
        <v>21846</v>
      </c>
      <c r="F3250" t="s">
        <v>32664</v>
      </c>
      <c r="G3250" t="s">
        <v>32674</v>
      </c>
      <c r="H3250" t="s">
        <v>12635</v>
      </c>
      <c r="I3250" t="s">
        <v>4439</v>
      </c>
      <c r="J3250" t="s">
        <v>35019</v>
      </c>
      <c r="K3250" t="s">
        <v>42297</v>
      </c>
      <c r="M3250" t="s">
        <v>43903</v>
      </c>
      <c r="N3250" t="s">
        <v>46569</v>
      </c>
      <c r="O3250" t="s">
        <v>46570</v>
      </c>
      <c r="P3250">
        <v>0</v>
      </c>
      <c r="Q3250">
        <v>1</v>
      </c>
      <c r="R3250" t="s">
        <v>46572</v>
      </c>
      <c r="S3250" t="s">
        <v>46689</v>
      </c>
      <c r="T3250" t="s">
        <v>48297</v>
      </c>
      <c r="U3250" t="s">
        <v>50093</v>
      </c>
      <c r="W3250" t="s">
        <v>63507</v>
      </c>
      <c r="X3250" t="s">
        <v>46573</v>
      </c>
    </row>
    <row r="3251" spans="1:24">
      <c r="A3251">
        <f>HYPERLINK("https://www.philgeps.gov.ph/GEPSNONPILOT/Tender/SplashBidNoticeAbstractUI.aspx?menuIndex=3&amp;refID=7062461&amp;Result=3","7062461")</f>
        <v>0</v>
      </c>
      <c r="B3251" t="s">
        <v>225</v>
      </c>
      <c r="C3251" t="s">
        <v>6672</v>
      </c>
      <c r="D3251" t="s">
        <v>18784</v>
      </c>
      <c r="E3251" t="s">
        <v>21847</v>
      </c>
      <c r="F3251" t="s">
        <v>32664</v>
      </c>
      <c r="G3251" t="s">
        <v>32672</v>
      </c>
      <c r="H3251" t="s">
        <v>32683</v>
      </c>
      <c r="I3251" t="s">
        <v>10627</v>
      </c>
      <c r="J3251" t="s">
        <v>35020</v>
      </c>
      <c r="K3251" t="s">
        <v>42308</v>
      </c>
      <c r="M3251" t="s">
        <v>43870</v>
      </c>
      <c r="N3251" t="s">
        <v>46569</v>
      </c>
      <c r="O3251" t="s">
        <v>46570</v>
      </c>
      <c r="P3251">
        <v>0</v>
      </c>
      <c r="Q3251">
        <v>26</v>
      </c>
      <c r="R3251" t="s">
        <v>46572</v>
      </c>
      <c r="S3251" t="s">
        <v>46689</v>
      </c>
      <c r="T3251" t="s">
        <v>48385</v>
      </c>
      <c r="U3251" t="s">
        <v>51407</v>
      </c>
      <c r="V3251" t="s">
        <v>61952</v>
      </c>
      <c r="W3251" t="s">
        <v>43870</v>
      </c>
      <c r="X3251" t="s">
        <v>46573</v>
      </c>
    </row>
    <row r="3252" spans="1:24">
      <c r="A3252">
        <f>HYPERLINK("https://www.philgeps.gov.ph/GEPSNONPILOT/Tender/SplashBidNoticeAbstractUI.aspx?menuIndex=3&amp;refID=7062560&amp;Result=3","7062560")</f>
        <v>0</v>
      </c>
      <c r="B3252" t="s">
        <v>653</v>
      </c>
      <c r="C3252" t="s">
        <v>6673</v>
      </c>
      <c r="D3252" t="s">
        <v>18840</v>
      </c>
      <c r="E3252" t="s">
        <v>21848</v>
      </c>
      <c r="F3252" t="s">
        <v>32664</v>
      </c>
      <c r="G3252" t="s">
        <v>32671</v>
      </c>
      <c r="H3252" t="s">
        <v>12635</v>
      </c>
      <c r="I3252" t="s">
        <v>6223</v>
      </c>
      <c r="J3252" t="s">
        <v>33069</v>
      </c>
      <c r="K3252" t="s">
        <v>42289</v>
      </c>
      <c r="M3252" t="s">
        <v>43239</v>
      </c>
      <c r="N3252" t="s">
        <v>46569</v>
      </c>
      <c r="O3252" t="s">
        <v>46570</v>
      </c>
      <c r="P3252">
        <v>0</v>
      </c>
      <c r="Q3252">
        <v>0</v>
      </c>
      <c r="R3252" t="s">
        <v>46572</v>
      </c>
      <c r="S3252" t="s">
        <v>46689</v>
      </c>
      <c r="T3252" t="s">
        <v>48251</v>
      </c>
      <c r="U3252" t="s">
        <v>51495</v>
      </c>
      <c r="W3252" t="s">
        <v>43239</v>
      </c>
      <c r="X3252" t="s">
        <v>46573</v>
      </c>
    </row>
    <row r="3253" spans="1:24">
      <c r="A3253">
        <f>HYPERLINK("https://www.philgeps.gov.ph/GEPSNONPILOT/Tender/SplashBidNoticeAbstractUI.aspx?menuIndex=3&amp;refID=7062469&amp;Result=3","7062469")</f>
        <v>0</v>
      </c>
      <c r="B3253" t="s">
        <v>1275</v>
      </c>
      <c r="C3253" t="s">
        <v>6674</v>
      </c>
      <c r="D3253" t="s">
        <v>18806</v>
      </c>
      <c r="E3253" t="s">
        <v>6674</v>
      </c>
      <c r="F3253" t="s">
        <v>32664</v>
      </c>
      <c r="G3253" t="s">
        <v>32674</v>
      </c>
      <c r="H3253" t="s">
        <v>12635</v>
      </c>
      <c r="I3253" t="s">
        <v>32731</v>
      </c>
      <c r="J3253" t="s">
        <v>35021</v>
      </c>
      <c r="K3253" t="s">
        <v>42283</v>
      </c>
      <c r="M3253" t="s">
        <v>43918</v>
      </c>
      <c r="N3253" t="s">
        <v>46569</v>
      </c>
      <c r="O3253" t="s">
        <v>46570</v>
      </c>
      <c r="P3253">
        <v>0</v>
      </c>
      <c r="Q3253">
        <v>0</v>
      </c>
      <c r="R3253" t="s">
        <v>46572</v>
      </c>
      <c r="S3253" t="s">
        <v>46689</v>
      </c>
      <c r="T3253" t="s">
        <v>48228</v>
      </c>
      <c r="U3253" t="s">
        <v>51496</v>
      </c>
      <c r="W3253" t="s">
        <v>43918</v>
      </c>
      <c r="X3253" t="s">
        <v>46573</v>
      </c>
    </row>
    <row r="3254" spans="1:24">
      <c r="A3254">
        <f>HYPERLINK("https://www.philgeps.gov.ph/GEPSNONPILOT/Tender/SplashBidNoticeAbstractUI.aspx?menuIndex=3&amp;refID=7062557&amp;Result=3","7062557")</f>
        <v>0</v>
      </c>
      <c r="B3254" t="s">
        <v>1276</v>
      </c>
      <c r="C3254" t="s">
        <v>5814</v>
      </c>
      <c r="D3254" t="s">
        <v>18827</v>
      </c>
      <c r="E3254" t="s">
        <v>21849</v>
      </c>
      <c r="F3254" t="s">
        <v>32664</v>
      </c>
      <c r="G3254" t="s">
        <v>32674</v>
      </c>
      <c r="H3254" t="s">
        <v>12635</v>
      </c>
      <c r="I3254" t="s">
        <v>4205</v>
      </c>
      <c r="J3254" t="s">
        <v>35022</v>
      </c>
      <c r="K3254" t="s">
        <v>42284</v>
      </c>
      <c r="M3254" t="s">
        <v>43919</v>
      </c>
      <c r="N3254" t="s">
        <v>46569</v>
      </c>
      <c r="O3254" t="s">
        <v>46570</v>
      </c>
      <c r="P3254">
        <v>0</v>
      </c>
      <c r="Q3254">
        <v>1</v>
      </c>
      <c r="R3254" t="s">
        <v>46572</v>
      </c>
      <c r="S3254" t="s">
        <v>46689</v>
      </c>
      <c r="T3254" t="s">
        <v>48254</v>
      </c>
      <c r="U3254" t="s">
        <v>51497</v>
      </c>
      <c r="W3254" t="s">
        <v>43919</v>
      </c>
      <c r="X3254" t="s">
        <v>46573</v>
      </c>
    </row>
    <row r="3255" spans="1:24">
      <c r="A3255">
        <f>HYPERLINK("https://www.philgeps.gov.ph/GEPSNONPILOT/Tender/SplashBidNoticeAbstractUI.aspx?menuIndex=3&amp;refID=7062561&amp;Result=3","7062561")</f>
        <v>0</v>
      </c>
      <c r="B3255" t="s">
        <v>595</v>
      </c>
      <c r="C3255" t="s">
        <v>6675</v>
      </c>
      <c r="D3255" t="s">
        <v>18838</v>
      </c>
      <c r="E3255" t="s">
        <v>21850</v>
      </c>
      <c r="F3255" t="s">
        <v>32664</v>
      </c>
      <c r="G3255" t="s">
        <v>32674</v>
      </c>
      <c r="H3255" t="s">
        <v>12635</v>
      </c>
      <c r="I3255" t="s">
        <v>32729</v>
      </c>
      <c r="J3255" t="s">
        <v>35023</v>
      </c>
      <c r="K3255" t="s">
        <v>42283</v>
      </c>
      <c r="M3255" t="s">
        <v>43175</v>
      </c>
      <c r="N3255" t="s">
        <v>46569</v>
      </c>
      <c r="O3255" t="s">
        <v>46570</v>
      </c>
      <c r="P3255">
        <v>0</v>
      </c>
      <c r="Q3255">
        <v>2</v>
      </c>
      <c r="R3255" t="s">
        <v>46572</v>
      </c>
      <c r="S3255" t="s">
        <v>46689</v>
      </c>
      <c r="T3255" t="s">
        <v>48448</v>
      </c>
      <c r="U3255" t="s">
        <v>51498</v>
      </c>
      <c r="W3255" t="s">
        <v>43175</v>
      </c>
      <c r="X3255" t="s">
        <v>46573</v>
      </c>
    </row>
    <row r="3256" spans="1:24">
      <c r="A3256">
        <f>HYPERLINK("https://www.philgeps.gov.ph/GEPSNONPILOT/Tender/SplashBidNoticeAbstractUI.aspx?menuIndex=3&amp;refID=7062556&amp;Result=3","7062556")</f>
        <v>0</v>
      </c>
      <c r="B3256" t="s">
        <v>1047</v>
      </c>
      <c r="C3256" t="s">
        <v>6676</v>
      </c>
      <c r="D3256" t="s">
        <v>18803</v>
      </c>
      <c r="E3256" t="s">
        <v>21851</v>
      </c>
      <c r="F3256" t="s">
        <v>32664</v>
      </c>
      <c r="G3256" t="s">
        <v>32672</v>
      </c>
      <c r="H3256" t="s">
        <v>32682</v>
      </c>
      <c r="I3256" t="s">
        <v>11464</v>
      </c>
      <c r="J3256" t="s">
        <v>32837</v>
      </c>
      <c r="K3256" t="s">
        <v>42298</v>
      </c>
      <c r="M3256" t="s">
        <v>43663</v>
      </c>
      <c r="N3256" t="s">
        <v>46569</v>
      </c>
      <c r="O3256" t="s">
        <v>46570</v>
      </c>
      <c r="P3256">
        <v>0</v>
      </c>
      <c r="Q3256">
        <v>5</v>
      </c>
      <c r="R3256" t="s">
        <v>46572</v>
      </c>
      <c r="S3256" t="s">
        <v>46689</v>
      </c>
      <c r="T3256" t="s">
        <v>48273</v>
      </c>
      <c r="U3256" t="s">
        <v>51499</v>
      </c>
      <c r="W3256" t="s">
        <v>43663</v>
      </c>
      <c r="X3256" t="s">
        <v>46573</v>
      </c>
    </row>
    <row r="3257" spans="1:24">
      <c r="A3257">
        <f>HYPERLINK("https://www.philgeps.gov.ph/GEPSNONPILOT/Tender/SplashBidNoticeAbstractUI.aspx?menuIndex=3&amp;refID=7062555&amp;Result=3","7062555")</f>
        <v>0</v>
      </c>
      <c r="B3257" t="s">
        <v>1277</v>
      </c>
      <c r="C3257" t="s">
        <v>6677</v>
      </c>
      <c r="D3257" t="s">
        <v>18789</v>
      </c>
      <c r="E3257" t="s">
        <v>21852</v>
      </c>
      <c r="F3257" t="s">
        <v>32666</v>
      </c>
      <c r="G3257" t="s">
        <v>32671</v>
      </c>
      <c r="H3257" t="s">
        <v>12635</v>
      </c>
      <c r="I3257" t="s">
        <v>6168</v>
      </c>
      <c r="J3257" t="s">
        <v>35024</v>
      </c>
      <c r="K3257" t="s">
        <v>42295</v>
      </c>
      <c r="M3257" t="s">
        <v>43920</v>
      </c>
      <c r="N3257" t="s">
        <v>46569</v>
      </c>
      <c r="O3257" t="s">
        <v>46570</v>
      </c>
      <c r="P3257">
        <v>0</v>
      </c>
      <c r="Q3257">
        <v>1</v>
      </c>
      <c r="R3257" t="s">
        <v>46572</v>
      </c>
      <c r="S3257" t="s">
        <v>46689</v>
      </c>
      <c r="T3257" t="s">
        <v>48373</v>
      </c>
      <c r="U3257" t="s">
        <v>51500</v>
      </c>
      <c r="W3257" t="s">
        <v>43920</v>
      </c>
      <c r="X3257" t="s">
        <v>46573</v>
      </c>
    </row>
    <row r="3258" spans="1:24">
      <c r="A3258">
        <f>HYPERLINK("https://www.philgeps.gov.ph/GEPSNONPILOT/Tender/SplashBidNoticeAbstractUI.aspx?menuIndex=3&amp;refID=7062553&amp;Result=3","7062553")</f>
        <v>0</v>
      </c>
      <c r="B3258" t="s">
        <v>304</v>
      </c>
      <c r="C3258" t="s">
        <v>6678</v>
      </c>
      <c r="D3258" t="s">
        <v>18792</v>
      </c>
      <c r="E3258" t="s">
        <v>19460</v>
      </c>
      <c r="F3258" t="s">
        <v>32664</v>
      </c>
      <c r="G3258" t="s">
        <v>32671</v>
      </c>
      <c r="H3258" t="s">
        <v>12635</v>
      </c>
      <c r="I3258" t="s">
        <v>32684</v>
      </c>
      <c r="J3258" t="s">
        <v>35025</v>
      </c>
      <c r="K3258" t="s">
        <v>42295</v>
      </c>
      <c r="M3258" t="s">
        <v>42871</v>
      </c>
      <c r="N3258" t="s">
        <v>46569</v>
      </c>
      <c r="O3258" t="s">
        <v>46570</v>
      </c>
      <c r="P3258">
        <v>0</v>
      </c>
      <c r="Q3258">
        <v>1</v>
      </c>
      <c r="R3258" t="s">
        <v>46572</v>
      </c>
      <c r="S3258" t="s">
        <v>46689</v>
      </c>
      <c r="T3258" t="s">
        <v>48221</v>
      </c>
      <c r="U3258" t="s">
        <v>51501</v>
      </c>
      <c r="W3258" t="s">
        <v>42871</v>
      </c>
      <c r="X3258" t="s">
        <v>46573</v>
      </c>
    </row>
    <row r="3259" spans="1:24">
      <c r="A3259">
        <f>HYPERLINK("https://www.philgeps.gov.ph/GEPSNONPILOT/Tender/SplashBidNoticeAbstractUI.aspx?menuIndex=3&amp;refID=7062552&amp;Result=3","7062552")</f>
        <v>0</v>
      </c>
      <c r="B3259" t="s">
        <v>1278</v>
      </c>
      <c r="C3259" t="s">
        <v>6679</v>
      </c>
      <c r="D3259" t="s">
        <v>18826</v>
      </c>
      <c r="E3259" t="s">
        <v>21853</v>
      </c>
      <c r="F3259" t="s">
        <v>32664</v>
      </c>
      <c r="G3259" t="s">
        <v>32672</v>
      </c>
      <c r="H3259" t="s">
        <v>12635</v>
      </c>
      <c r="I3259" t="s">
        <v>32694</v>
      </c>
      <c r="J3259" t="s">
        <v>35026</v>
      </c>
      <c r="K3259" t="s">
        <v>42281</v>
      </c>
      <c r="M3259" t="s">
        <v>43921</v>
      </c>
      <c r="N3259" t="s">
        <v>46569</v>
      </c>
      <c r="O3259" t="s">
        <v>46570</v>
      </c>
      <c r="P3259">
        <v>0</v>
      </c>
      <c r="Q3259">
        <v>0</v>
      </c>
      <c r="R3259" t="s">
        <v>46572</v>
      </c>
      <c r="S3259" t="s">
        <v>46689</v>
      </c>
      <c r="T3259" t="s">
        <v>48312</v>
      </c>
      <c r="U3259" t="s">
        <v>51502</v>
      </c>
      <c r="V3259" t="s">
        <v>61953</v>
      </c>
      <c r="W3259" t="s">
        <v>43921</v>
      </c>
      <c r="X3259" t="s">
        <v>46573</v>
      </c>
    </row>
    <row r="3260" spans="1:24">
      <c r="A3260">
        <f>HYPERLINK("https://www.philgeps.gov.ph/GEPSNONPILOT/Tender/SplashBidNoticeAbstractUI.aspx?menuIndex=3&amp;refID=7062559&amp;Result=3","7062559")</f>
        <v>0</v>
      </c>
      <c r="B3260" t="s">
        <v>1263</v>
      </c>
      <c r="C3260" t="s">
        <v>6680</v>
      </c>
      <c r="D3260" t="s">
        <v>18807</v>
      </c>
      <c r="E3260" t="s">
        <v>21854</v>
      </c>
      <c r="F3260" t="s">
        <v>32664</v>
      </c>
      <c r="G3260" t="s">
        <v>32671</v>
      </c>
      <c r="H3260" t="s">
        <v>12635</v>
      </c>
      <c r="I3260" t="s">
        <v>6168</v>
      </c>
      <c r="J3260" t="s">
        <v>35027</v>
      </c>
      <c r="K3260" t="s">
        <v>42283</v>
      </c>
      <c r="M3260" t="s">
        <v>43906</v>
      </c>
      <c r="N3260" t="s">
        <v>46569</v>
      </c>
      <c r="O3260" t="s">
        <v>46570</v>
      </c>
      <c r="P3260">
        <v>0</v>
      </c>
      <c r="Q3260">
        <v>0</v>
      </c>
      <c r="R3260" t="s">
        <v>46572</v>
      </c>
      <c r="S3260" t="s">
        <v>46689</v>
      </c>
      <c r="T3260" t="s">
        <v>48411</v>
      </c>
      <c r="U3260" t="s">
        <v>51469</v>
      </c>
      <c r="W3260" t="s">
        <v>43906</v>
      </c>
      <c r="X3260" t="s">
        <v>46573</v>
      </c>
    </row>
    <row r="3261" spans="1:24">
      <c r="A3261">
        <f>HYPERLINK("https://www.philgeps.gov.ph/GEPSNONPILOT/Tender/SplashBidNoticeAbstractUI.aspx?menuIndex=3&amp;refID=7062549&amp;Result=3","7062549")</f>
        <v>0</v>
      </c>
      <c r="B3261" t="s">
        <v>731</v>
      </c>
      <c r="C3261" t="s">
        <v>6681</v>
      </c>
      <c r="D3261" t="s">
        <v>18851</v>
      </c>
      <c r="E3261" t="s">
        <v>21684</v>
      </c>
      <c r="F3261" t="s">
        <v>32664</v>
      </c>
      <c r="G3261" t="s">
        <v>32672</v>
      </c>
      <c r="H3261" t="s">
        <v>12635</v>
      </c>
      <c r="I3261" t="s">
        <v>5589</v>
      </c>
      <c r="J3261" t="s">
        <v>35028</v>
      </c>
      <c r="K3261" t="s">
        <v>42281</v>
      </c>
      <c r="M3261" t="s">
        <v>43320</v>
      </c>
      <c r="N3261" t="s">
        <v>46569</v>
      </c>
      <c r="O3261" t="s">
        <v>46570</v>
      </c>
      <c r="P3261">
        <v>0</v>
      </c>
      <c r="Q3261">
        <v>0</v>
      </c>
      <c r="R3261" t="s">
        <v>46572</v>
      </c>
      <c r="S3261" t="s">
        <v>46689</v>
      </c>
      <c r="T3261" t="s">
        <v>48263</v>
      </c>
      <c r="U3261" t="s">
        <v>51503</v>
      </c>
      <c r="W3261" t="s">
        <v>43320</v>
      </c>
      <c r="X3261" t="s">
        <v>46573</v>
      </c>
    </row>
    <row r="3262" spans="1:24">
      <c r="A3262">
        <f>HYPERLINK("https://www.philgeps.gov.ph/GEPSNONPILOT/Tender/SplashBidNoticeAbstractUI.aspx?menuIndex=3&amp;refID=7062548&amp;Result=3","7062548")</f>
        <v>0</v>
      </c>
      <c r="B3262" t="s">
        <v>1185</v>
      </c>
      <c r="C3262" t="s">
        <v>6682</v>
      </c>
      <c r="D3262" t="s">
        <v>18807</v>
      </c>
      <c r="E3262" t="s">
        <v>21855</v>
      </c>
      <c r="F3262" t="s">
        <v>32664</v>
      </c>
      <c r="G3262" t="s">
        <v>32672</v>
      </c>
      <c r="H3262" t="s">
        <v>12635</v>
      </c>
      <c r="I3262" t="s">
        <v>4439</v>
      </c>
      <c r="J3262" t="s">
        <v>35029</v>
      </c>
      <c r="K3262" t="s">
        <v>42297</v>
      </c>
      <c r="M3262" t="s">
        <v>43821</v>
      </c>
      <c r="N3262" t="s">
        <v>46569</v>
      </c>
      <c r="O3262" t="s">
        <v>46570</v>
      </c>
      <c r="P3262">
        <v>0</v>
      </c>
      <c r="Q3262">
        <v>1</v>
      </c>
      <c r="R3262" t="s">
        <v>46572</v>
      </c>
      <c r="S3262" t="s">
        <v>46689</v>
      </c>
      <c r="T3262" t="s">
        <v>48230</v>
      </c>
      <c r="U3262" t="s">
        <v>51358</v>
      </c>
      <c r="W3262" t="s">
        <v>43821</v>
      </c>
      <c r="X3262" t="s">
        <v>46573</v>
      </c>
    </row>
    <row r="3263" spans="1:24">
      <c r="A3263">
        <f>HYPERLINK("https://www.philgeps.gov.ph/GEPSNONPILOT/Tender/SplashBidNoticeAbstractUI.aspx?menuIndex=3&amp;refID=7062551&amp;Result=3","7062551")</f>
        <v>0</v>
      </c>
      <c r="B3263" t="s">
        <v>1261</v>
      </c>
      <c r="C3263" t="s">
        <v>3912</v>
      </c>
      <c r="D3263" t="s">
        <v>18804</v>
      </c>
      <c r="E3263" t="s">
        <v>21815</v>
      </c>
      <c r="F3263" t="s">
        <v>32664</v>
      </c>
      <c r="G3263" t="s">
        <v>32671</v>
      </c>
      <c r="H3263" t="s">
        <v>12635</v>
      </c>
      <c r="I3263" t="s">
        <v>6168</v>
      </c>
      <c r="J3263" t="s">
        <v>33846</v>
      </c>
      <c r="K3263" t="s">
        <v>42295</v>
      </c>
      <c r="M3263" t="s">
        <v>43904</v>
      </c>
      <c r="N3263" t="s">
        <v>46569</v>
      </c>
      <c r="O3263" t="s">
        <v>46570</v>
      </c>
      <c r="P3263">
        <v>0</v>
      </c>
      <c r="Q3263">
        <v>3</v>
      </c>
      <c r="R3263" t="s">
        <v>46572</v>
      </c>
      <c r="S3263" t="s">
        <v>46689</v>
      </c>
      <c r="T3263" t="s">
        <v>48221</v>
      </c>
      <c r="U3263" t="s">
        <v>51504</v>
      </c>
      <c r="W3263" t="s">
        <v>43904</v>
      </c>
      <c r="X3263" t="s">
        <v>46573</v>
      </c>
    </row>
    <row r="3264" spans="1:24">
      <c r="A3264">
        <f>HYPERLINK("https://www.philgeps.gov.ph/GEPSNONPILOT/Tender/SplashBidNoticeAbstractUI.aspx?menuIndex=3&amp;refID=7062554&amp;Result=3","7062554")</f>
        <v>0</v>
      </c>
      <c r="B3264" t="s">
        <v>707</v>
      </c>
      <c r="C3264" t="s">
        <v>6683</v>
      </c>
      <c r="E3264" t="s">
        <v>21856</v>
      </c>
      <c r="F3264" t="s">
        <v>32664</v>
      </c>
      <c r="G3264" t="s">
        <v>32674</v>
      </c>
      <c r="H3264" t="s">
        <v>12635</v>
      </c>
      <c r="I3264" t="s">
        <v>10370</v>
      </c>
      <c r="J3264" t="s">
        <v>35030</v>
      </c>
      <c r="K3264" t="s">
        <v>42283</v>
      </c>
      <c r="M3264" t="s">
        <v>43294</v>
      </c>
      <c r="N3264" t="s">
        <v>46569</v>
      </c>
      <c r="O3264" t="s">
        <v>46570</v>
      </c>
      <c r="P3264">
        <v>0</v>
      </c>
      <c r="Q3264">
        <v>4</v>
      </c>
      <c r="R3264" t="s">
        <v>46572</v>
      </c>
      <c r="S3264" t="s">
        <v>46689</v>
      </c>
      <c r="T3264" t="s">
        <v>48219</v>
      </c>
      <c r="U3264" t="s">
        <v>51505</v>
      </c>
      <c r="W3264" t="s">
        <v>43294</v>
      </c>
      <c r="X3264" t="s">
        <v>46573</v>
      </c>
    </row>
    <row r="3265" spans="1:24">
      <c r="A3265">
        <f>HYPERLINK("https://www.philgeps.gov.ph/GEPSNONPILOT/Tender/SplashBidNoticeAbstractUI.aspx?menuIndex=3&amp;refID=7062590&amp;Result=3","7062590")</f>
        <v>0</v>
      </c>
      <c r="B3265" t="s">
        <v>1279</v>
      </c>
      <c r="C3265" t="s">
        <v>6684</v>
      </c>
      <c r="D3265" t="s">
        <v>18804</v>
      </c>
      <c r="E3265" t="s">
        <v>21857</v>
      </c>
      <c r="F3265" t="s">
        <v>32664</v>
      </c>
      <c r="G3265" t="s">
        <v>32671</v>
      </c>
      <c r="H3265" t="s">
        <v>12635</v>
      </c>
      <c r="I3265" t="s">
        <v>6118</v>
      </c>
      <c r="J3265" t="s">
        <v>35031</v>
      </c>
      <c r="K3265" t="s">
        <v>42295</v>
      </c>
      <c r="M3265" t="s">
        <v>43922</v>
      </c>
      <c r="N3265" t="s">
        <v>46569</v>
      </c>
      <c r="O3265" t="s">
        <v>46570</v>
      </c>
      <c r="P3265">
        <v>0</v>
      </c>
      <c r="Q3265">
        <v>0</v>
      </c>
      <c r="R3265" t="s">
        <v>46572</v>
      </c>
      <c r="S3265" t="s">
        <v>46689</v>
      </c>
      <c r="T3265" t="s">
        <v>48217</v>
      </c>
      <c r="U3265" t="s">
        <v>51506</v>
      </c>
      <c r="W3265" t="s">
        <v>43922</v>
      </c>
      <c r="X3265" t="s">
        <v>46573</v>
      </c>
    </row>
    <row r="3266" spans="1:24">
      <c r="A3266">
        <f>HYPERLINK("https://www.philgeps.gov.ph/GEPSNONPILOT/Tender/SplashBidNoticeAbstractUI.aspx?menuIndex=3&amp;refID=7062588&amp;Result=3","7062588")</f>
        <v>0</v>
      </c>
      <c r="B3266" t="s">
        <v>220</v>
      </c>
      <c r="C3266" t="s">
        <v>6685</v>
      </c>
      <c r="D3266" t="s">
        <v>18788</v>
      </c>
      <c r="E3266" t="s">
        <v>21858</v>
      </c>
      <c r="F3266" t="s">
        <v>32664</v>
      </c>
      <c r="G3266" t="s">
        <v>32672</v>
      </c>
      <c r="H3266" t="s">
        <v>12635</v>
      </c>
      <c r="I3266" t="s">
        <v>4439</v>
      </c>
      <c r="J3266" t="s">
        <v>35032</v>
      </c>
      <c r="K3266" t="s">
        <v>42297</v>
      </c>
      <c r="L3266" t="s">
        <v>220</v>
      </c>
      <c r="M3266" t="s">
        <v>42784</v>
      </c>
      <c r="N3266" t="s">
        <v>46569</v>
      </c>
      <c r="O3266" t="s">
        <v>46570</v>
      </c>
      <c r="P3266">
        <v>0</v>
      </c>
      <c r="Q3266">
        <v>0</v>
      </c>
      <c r="R3266" t="s">
        <v>46572</v>
      </c>
      <c r="S3266" t="s">
        <v>46689</v>
      </c>
      <c r="T3266" t="s">
        <v>48308</v>
      </c>
      <c r="U3266" t="s">
        <v>49167</v>
      </c>
      <c r="W3266" t="s">
        <v>42784</v>
      </c>
      <c r="X3266" t="s">
        <v>46573</v>
      </c>
    </row>
    <row r="3267" spans="1:24">
      <c r="A3267">
        <f>HYPERLINK("https://www.philgeps.gov.ph/GEPSNONPILOT/Tender/SplashBidNoticeAbstractUI.aspx?menuIndex=3&amp;refID=7062550&amp;Result=3","7062550")</f>
        <v>0</v>
      </c>
      <c r="B3267" t="s">
        <v>254</v>
      </c>
      <c r="C3267" t="s">
        <v>6686</v>
      </c>
      <c r="D3267" t="s">
        <v>18843</v>
      </c>
      <c r="E3267" t="s">
        <v>21859</v>
      </c>
      <c r="F3267" t="s">
        <v>32664</v>
      </c>
      <c r="G3267" t="s">
        <v>32671</v>
      </c>
      <c r="H3267" t="s">
        <v>12635</v>
      </c>
      <c r="I3267" t="s">
        <v>32704</v>
      </c>
      <c r="J3267" t="s">
        <v>35033</v>
      </c>
      <c r="K3267" t="s">
        <v>42281</v>
      </c>
      <c r="M3267" t="s">
        <v>42819</v>
      </c>
      <c r="N3267" t="s">
        <v>46569</v>
      </c>
      <c r="O3267" t="s">
        <v>46570</v>
      </c>
      <c r="P3267">
        <v>0</v>
      </c>
      <c r="Q3267">
        <v>8</v>
      </c>
      <c r="R3267" t="s">
        <v>46572</v>
      </c>
      <c r="S3267" t="s">
        <v>46689</v>
      </c>
      <c r="T3267" t="s">
        <v>48219</v>
      </c>
      <c r="U3267" t="s">
        <v>51507</v>
      </c>
      <c r="W3267" t="s">
        <v>63469</v>
      </c>
      <c r="X3267" t="s">
        <v>46573</v>
      </c>
    </row>
    <row r="3268" spans="1:24">
      <c r="A3268">
        <f>HYPERLINK("https://www.philgeps.gov.ph/GEPSNONPILOT/Tender/SplashBidNoticeAbstractUI.aspx?menuIndex=3&amp;refID=7062587&amp;Result=3","7062587")</f>
        <v>0</v>
      </c>
      <c r="B3268" t="s">
        <v>1280</v>
      </c>
      <c r="C3268" t="s">
        <v>6687</v>
      </c>
      <c r="D3268" t="s">
        <v>18848</v>
      </c>
      <c r="E3268" t="s">
        <v>21860</v>
      </c>
      <c r="F3268" t="s">
        <v>32664</v>
      </c>
      <c r="G3268" t="s">
        <v>32672</v>
      </c>
      <c r="H3268" t="s">
        <v>12635</v>
      </c>
      <c r="I3268" t="s">
        <v>6628</v>
      </c>
      <c r="J3268" t="s">
        <v>32842</v>
      </c>
      <c r="K3268" t="s">
        <v>42281</v>
      </c>
      <c r="M3268" t="s">
        <v>43923</v>
      </c>
      <c r="N3268" t="s">
        <v>46569</v>
      </c>
      <c r="O3268" t="s">
        <v>46570</v>
      </c>
      <c r="P3268">
        <v>0</v>
      </c>
      <c r="Q3268">
        <v>0</v>
      </c>
      <c r="R3268" t="s">
        <v>46572</v>
      </c>
      <c r="S3268" t="s">
        <v>46689</v>
      </c>
      <c r="T3268" t="s">
        <v>48309</v>
      </c>
      <c r="U3268" t="s">
        <v>51508</v>
      </c>
      <c r="W3268" t="s">
        <v>43923</v>
      </c>
      <c r="X3268" t="s">
        <v>46573</v>
      </c>
    </row>
    <row r="3269" spans="1:24">
      <c r="A3269">
        <f>HYPERLINK("https://www.philgeps.gov.ph/GEPSNONPILOT/Tender/SplashBidNoticeAbstractUI.aspx?menuIndex=3&amp;refID=7062585&amp;Result=3","7062585")</f>
        <v>0</v>
      </c>
      <c r="B3269" t="s">
        <v>1281</v>
      </c>
      <c r="C3269" t="s">
        <v>6688</v>
      </c>
      <c r="D3269" t="s">
        <v>18837</v>
      </c>
      <c r="E3269" t="s">
        <v>21861</v>
      </c>
      <c r="F3269" t="s">
        <v>32664</v>
      </c>
      <c r="G3269" t="s">
        <v>32671</v>
      </c>
      <c r="H3269" t="s">
        <v>32682</v>
      </c>
      <c r="I3269" t="s">
        <v>10361</v>
      </c>
      <c r="J3269" t="s">
        <v>35023</v>
      </c>
      <c r="K3269" t="s">
        <v>42289</v>
      </c>
      <c r="M3269" t="s">
        <v>43924</v>
      </c>
      <c r="N3269" t="s">
        <v>46569</v>
      </c>
      <c r="O3269" t="s">
        <v>46570</v>
      </c>
      <c r="P3269">
        <v>0</v>
      </c>
      <c r="Q3269">
        <v>0</v>
      </c>
      <c r="R3269" t="s">
        <v>46572</v>
      </c>
      <c r="S3269" t="s">
        <v>46689</v>
      </c>
      <c r="T3269" t="s">
        <v>48221</v>
      </c>
      <c r="U3269" t="s">
        <v>51509</v>
      </c>
      <c r="W3269" t="s">
        <v>43924</v>
      </c>
      <c r="X3269" t="s">
        <v>46573</v>
      </c>
    </row>
    <row r="3270" spans="1:24">
      <c r="A3270">
        <f>HYPERLINK("https://www.philgeps.gov.ph/GEPSNONPILOT/Tender/SplashBidNoticeAbstractUI.aspx?menuIndex=3&amp;refID=7062583&amp;Result=3","7062583")</f>
        <v>0</v>
      </c>
      <c r="B3270" t="s">
        <v>312</v>
      </c>
      <c r="C3270" t="s">
        <v>4137</v>
      </c>
      <c r="D3270" t="s">
        <v>18805</v>
      </c>
      <c r="E3270" t="s">
        <v>21862</v>
      </c>
      <c r="F3270" t="s">
        <v>32664</v>
      </c>
      <c r="G3270" t="s">
        <v>32671</v>
      </c>
      <c r="H3270" t="s">
        <v>12635</v>
      </c>
      <c r="I3270" t="s">
        <v>6118</v>
      </c>
      <c r="J3270" t="s">
        <v>35034</v>
      </c>
      <c r="K3270" t="s">
        <v>42283</v>
      </c>
      <c r="M3270" t="s">
        <v>42879</v>
      </c>
      <c r="N3270" t="s">
        <v>46569</v>
      </c>
      <c r="O3270" t="s">
        <v>46570</v>
      </c>
      <c r="P3270">
        <v>0</v>
      </c>
      <c r="Q3270">
        <v>0</v>
      </c>
      <c r="R3270" t="s">
        <v>46572</v>
      </c>
      <c r="S3270" t="s">
        <v>46689</v>
      </c>
      <c r="T3270" t="s">
        <v>48225</v>
      </c>
      <c r="U3270" t="s">
        <v>49337</v>
      </c>
      <c r="W3270" t="s">
        <v>42879</v>
      </c>
      <c r="X3270" t="s">
        <v>46573</v>
      </c>
    </row>
    <row r="3271" spans="1:24">
      <c r="A3271">
        <f>HYPERLINK("https://www.philgeps.gov.ph/GEPSNONPILOT/Tender/SplashBidNoticeAbstractUI.aspx?menuIndex=3&amp;refID=7062581&amp;Result=3","7062581")</f>
        <v>0</v>
      </c>
      <c r="B3271" t="s">
        <v>1282</v>
      </c>
      <c r="C3271" t="s">
        <v>6689</v>
      </c>
      <c r="D3271" t="s">
        <v>18823</v>
      </c>
      <c r="E3271" t="s">
        <v>21863</v>
      </c>
      <c r="F3271" t="s">
        <v>32664</v>
      </c>
      <c r="G3271" t="s">
        <v>32671</v>
      </c>
      <c r="H3271" t="s">
        <v>12635</v>
      </c>
      <c r="I3271" t="s">
        <v>32706</v>
      </c>
      <c r="J3271" t="s">
        <v>35035</v>
      </c>
      <c r="K3271" t="s">
        <v>42283</v>
      </c>
      <c r="M3271" t="s">
        <v>43925</v>
      </c>
      <c r="N3271" t="s">
        <v>46569</v>
      </c>
      <c r="O3271" t="s">
        <v>46570</v>
      </c>
      <c r="P3271">
        <v>0</v>
      </c>
      <c r="Q3271">
        <v>0</v>
      </c>
      <c r="R3271" t="s">
        <v>46572</v>
      </c>
      <c r="S3271" t="s">
        <v>46689</v>
      </c>
      <c r="T3271" t="s">
        <v>48256</v>
      </c>
      <c r="U3271" t="s">
        <v>51510</v>
      </c>
      <c r="W3271" t="s">
        <v>63508</v>
      </c>
      <c r="X3271" t="s">
        <v>46573</v>
      </c>
    </row>
    <row r="3272" spans="1:24">
      <c r="A3272">
        <f>HYPERLINK("https://www.philgeps.gov.ph/GEPSNONPILOT/Tender/SplashBidNoticeAbstractUI.aspx?menuIndex=3&amp;refID=7062580&amp;Result=3","7062580")</f>
        <v>0</v>
      </c>
      <c r="B3272" t="s">
        <v>1093</v>
      </c>
      <c r="C3272" t="s">
        <v>6690</v>
      </c>
      <c r="D3272" t="s">
        <v>18784</v>
      </c>
      <c r="E3272" t="s">
        <v>21864</v>
      </c>
      <c r="F3272" t="s">
        <v>32664</v>
      </c>
      <c r="G3272" t="s">
        <v>32671</v>
      </c>
      <c r="H3272" t="s">
        <v>12635</v>
      </c>
      <c r="I3272" t="s">
        <v>7759</v>
      </c>
      <c r="J3272" t="s">
        <v>35036</v>
      </c>
      <c r="K3272" t="s">
        <v>42289</v>
      </c>
      <c r="M3272" t="s">
        <v>43720</v>
      </c>
      <c r="N3272" t="s">
        <v>46569</v>
      </c>
      <c r="O3272" t="s">
        <v>46570</v>
      </c>
      <c r="P3272">
        <v>0</v>
      </c>
      <c r="Q3272">
        <v>1</v>
      </c>
      <c r="R3272" t="s">
        <v>46572</v>
      </c>
      <c r="S3272" t="s">
        <v>46689</v>
      </c>
      <c r="T3272" t="s">
        <v>48244</v>
      </c>
      <c r="U3272" t="s">
        <v>51511</v>
      </c>
      <c r="V3272" t="s">
        <v>61652</v>
      </c>
      <c r="W3272" t="s">
        <v>43720</v>
      </c>
      <c r="X3272" t="s">
        <v>46573</v>
      </c>
    </row>
    <row r="3273" spans="1:24">
      <c r="A3273">
        <f>HYPERLINK("https://www.philgeps.gov.ph/GEPSNONPILOT/Tender/SplashBidNoticeAbstractUI.aspx?menuIndex=3&amp;refID=7062562&amp;Result=3","7062562")</f>
        <v>0</v>
      </c>
      <c r="B3273" t="s">
        <v>225</v>
      </c>
      <c r="C3273" t="s">
        <v>6691</v>
      </c>
      <c r="D3273" t="s">
        <v>18784</v>
      </c>
      <c r="E3273" t="s">
        <v>21865</v>
      </c>
      <c r="F3273" t="s">
        <v>32664</v>
      </c>
      <c r="G3273" t="s">
        <v>32672</v>
      </c>
      <c r="H3273" t="s">
        <v>32683</v>
      </c>
      <c r="I3273" t="s">
        <v>10627</v>
      </c>
      <c r="J3273" t="s">
        <v>35037</v>
      </c>
      <c r="K3273" t="s">
        <v>42289</v>
      </c>
      <c r="M3273" t="s">
        <v>43870</v>
      </c>
      <c r="N3273" t="s">
        <v>46569</v>
      </c>
      <c r="O3273" t="s">
        <v>46570</v>
      </c>
      <c r="P3273">
        <v>0</v>
      </c>
      <c r="Q3273">
        <v>7</v>
      </c>
      <c r="R3273" t="s">
        <v>46572</v>
      </c>
      <c r="S3273" t="s">
        <v>46689</v>
      </c>
      <c r="T3273" t="s">
        <v>48385</v>
      </c>
      <c r="U3273" t="s">
        <v>51407</v>
      </c>
      <c r="V3273" t="s">
        <v>61954</v>
      </c>
      <c r="W3273" t="s">
        <v>43870</v>
      </c>
      <c r="X3273" t="s">
        <v>46573</v>
      </c>
    </row>
    <row r="3274" spans="1:24">
      <c r="A3274">
        <f>HYPERLINK("https://www.philgeps.gov.ph/GEPSNONPILOT/Tender/SplashBidNoticeAbstractUI.aspx?menuIndex=3&amp;refID=7062577&amp;Result=3","7062577")</f>
        <v>0</v>
      </c>
      <c r="B3274" t="s">
        <v>595</v>
      </c>
      <c r="C3274" t="s">
        <v>6692</v>
      </c>
      <c r="D3274" t="s">
        <v>18838</v>
      </c>
      <c r="E3274" t="s">
        <v>21866</v>
      </c>
      <c r="F3274" t="s">
        <v>32664</v>
      </c>
      <c r="G3274" t="s">
        <v>32674</v>
      </c>
      <c r="H3274" t="s">
        <v>12635</v>
      </c>
      <c r="I3274" t="s">
        <v>32685</v>
      </c>
      <c r="J3274" t="s">
        <v>35038</v>
      </c>
      <c r="K3274" t="s">
        <v>42283</v>
      </c>
      <c r="M3274" t="s">
        <v>43175</v>
      </c>
      <c r="N3274" t="s">
        <v>46569</v>
      </c>
      <c r="O3274" t="s">
        <v>46570</v>
      </c>
      <c r="P3274">
        <v>0</v>
      </c>
      <c r="Q3274">
        <v>0</v>
      </c>
      <c r="R3274" t="s">
        <v>46572</v>
      </c>
      <c r="S3274" t="s">
        <v>46689</v>
      </c>
      <c r="T3274" t="s">
        <v>48448</v>
      </c>
      <c r="U3274" t="s">
        <v>51512</v>
      </c>
      <c r="W3274" t="s">
        <v>43175</v>
      </c>
      <c r="X3274" t="s">
        <v>46573</v>
      </c>
    </row>
    <row r="3275" spans="1:24">
      <c r="A3275">
        <f>HYPERLINK("https://www.philgeps.gov.ph/GEPSNONPILOT/Tender/SplashBidNoticeAbstractUI.aspx?menuIndex=3&amp;refID=7062616&amp;Result=3","7062616")</f>
        <v>0</v>
      </c>
      <c r="B3275" t="s">
        <v>354</v>
      </c>
      <c r="C3275" t="s">
        <v>6693</v>
      </c>
      <c r="D3275" t="s">
        <v>18850</v>
      </c>
      <c r="E3275" t="s">
        <v>21867</v>
      </c>
      <c r="F3275" t="s">
        <v>32664</v>
      </c>
      <c r="G3275" t="s">
        <v>32672</v>
      </c>
      <c r="H3275" t="s">
        <v>12635</v>
      </c>
      <c r="I3275" t="s">
        <v>4439</v>
      </c>
      <c r="J3275" t="s">
        <v>35039</v>
      </c>
      <c r="K3275" t="s">
        <v>42311</v>
      </c>
      <c r="M3275" t="s">
        <v>42923</v>
      </c>
      <c r="N3275" t="s">
        <v>46569</v>
      </c>
      <c r="O3275" t="s">
        <v>46570</v>
      </c>
      <c r="P3275">
        <v>0</v>
      </c>
      <c r="Q3275">
        <v>0</v>
      </c>
      <c r="R3275" t="s">
        <v>46572</v>
      </c>
      <c r="S3275" t="s">
        <v>46689</v>
      </c>
      <c r="T3275" t="s">
        <v>48304</v>
      </c>
      <c r="U3275" t="s">
        <v>51513</v>
      </c>
      <c r="W3275" t="s">
        <v>42923</v>
      </c>
      <c r="X3275" t="s">
        <v>46573</v>
      </c>
    </row>
    <row r="3276" spans="1:24">
      <c r="A3276">
        <f>HYPERLINK("https://www.philgeps.gov.ph/GEPSNONPILOT/Tender/SplashBidNoticeAbstractUI.aspx?menuIndex=3&amp;refID=7062584&amp;Result=3","7062584")</f>
        <v>0</v>
      </c>
      <c r="B3276" t="s">
        <v>1261</v>
      </c>
      <c r="C3276" t="s">
        <v>6694</v>
      </c>
      <c r="D3276" t="s">
        <v>18804</v>
      </c>
      <c r="E3276" t="s">
        <v>21815</v>
      </c>
      <c r="F3276" t="s">
        <v>32664</v>
      </c>
      <c r="G3276" t="s">
        <v>32671</v>
      </c>
      <c r="H3276" t="s">
        <v>12635</v>
      </c>
      <c r="I3276" t="s">
        <v>6628</v>
      </c>
      <c r="J3276" t="s">
        <v>35040</v>
      </c>
      <c r="K3276" t="s">
        <v>42295</v>
      </c>
      <c r="M3276" t="s">
        <v>43904</v>
      </c>
      <c r="N3276" t="s">
        <v>46569</v>
      </c>
      <c r="O3276" t="s">
        <v>46570</v>
      </c>
      <c r="P3276">
        <v>0</v>
      </c>
      <c r="Q3276">
        <v>0</v>
      </c>
      <c r="R3276" t="s">
        <v>46572</v>
      </c>
      <c r="S3276" t="s">
        <v>46689</v>
      </c>
      <c r="T3276" t="s">
        <v>48221</v>
      </c>
      <c r="U3276" t="s">
        <v>51514</v>
      </c>
      <c r="W3276" t="s">
        <v>43904</v>
      </c>
      <c r="X3276" t="s">
        <v>46573</v>
      </c>
    </row>
    <row r="3277" spans="1:24">
      <c r="A3277">
        <f>HYPERLINK("https://www.philgeps.gov.ph/GEPSNONPILOT/Tender/SplashBidNoticeAbstractUI.aspx?menuIndex=3&amp;refID=7062614&amp;Result=3","7062614")</f>
        <v>0</v>
      </c>
      <c r="B3277" t="s">
        <v>1283</v>
      </c>
      <c r="C3277" t="s">
        <v>6695</v>
      </c>
      <c r="D3277" t="s">
        <v>18812</v>
      </c>
      <c r="E3277" t="s">
        <v>21868</v>
      </c>
      <c r="F3277" t="s">
        <v>32664</v>
      </c>
      <c r="G3277" t="s">
        <v>32671</v>
      </c>
      <c r="H3277" t="s">
        <v>12635</v>
      </c>
      <c r="I3277" t="s">
        <v>32772</v>
      </c>
      <c r="J3277" t="s">
        <v>32898</v>
      </c>
      <c r="K3277" t="s">
        <v>42281</v>
      </c>
      <c r="M3277" t="s">
        <v>43926</v>
      </c>
      <c r="N3277" t="s">
        <v>46569</v>
      </c>
      <c r="O3277" t="s">
        <v>46570</v>
      </c>
      <c r="P3277">
        <v>0</v>
      </c>
      <c r="Q3277">
        <v>2</v>
      </c>
      <c r="R3277" t="s">
        <v>46572</v>
      </c>
      <c r="S3277" t="s">
        <v>46689</v>
      </c>
      <c r="T3277" t="s">
        <v>48246</v>
      </c>
      <c r="U3277" t="s">
        <v>51515</v>
      </c>
      <c r="W3277" t="s">
        <v>43926</v>
      </c>
      <c r="X3277" t="s">
        <v>46573</v>
      </c>
    </row>
    <row r="3278" spans="1:24">
      <c r="A3278">
        <f>HYPERLINK("https://www.philgeps.gov.ph/GEPSNONPILOT/Tender/SplashBidNoticeAbstractUI.aspx?menuIndex=3&amp;refID=7062613&amp;Result=3","7062613")</f>
        <v>0</v>
      </c>
      <c r="B3278" t="s">
        <v>1088</v>
      </c>
      <c r="C3278" t="s">
        <v>6696</v>
      </c>
      <c r="D3278" t="s">
        <v>18804</v>
      </c>
      <c r="E3278" t="s">
        <v>21869</v>
      </c>
      <c r="F3278" t="s">
        <v>32664</v>
      </c>
      <c r="G3278" t="s">
        <v>32672</v>
      </c>
      <c r="H3278" t="s">
        <v>32683</v>
      </c>
      <c r="I3278" t="s">
        <v>10627</v>
      </c>
      <c r="J3278" t="s">
        <v>35041</v>
      </c>
      <c r="K3278" t="s">
        <v>42296</v>
      </c>
      <c r="M3278" t="s">
        <v>43714</v>
      </c>
      <c r="N3278" t="s">
        <v>46569</v>
      </c>
      <c r="O3278" t="s">
        <v>46570</v>
      </c>
      <c r="P3278">
        <v>0</v>
      </c>
      <c r="Q3278">
        <v>0</v>
      </c>
      <c r="R3278" t="s">
        <v>46572</v>
      </c>
      <c r="S3278" t="s">
        <v>46689</v>
      </c>
      <c r="T3278" t="s">
        <v>48222</v>
      </c>
      <c r="U3278" t="s">
        <v>51169</v>
      </c>
      <c r="V3278" t="s">
        <v>61896</v>
      </c>
      <c r="W3278" t="s">
        <v>43714</v>
      </c>
      <c r="X3278" t="s">
        <v>46573</v>
      </c>
    </row>
    <row r="3279" spans="1:24">
      <c r="A3279">
        <f>HYPERLINK("https://www.philgeps.gov.ph/GEPSNONPILOT/Tender/SplashBidNoticeAbstractUI.aspx?menuIndex=3&amp;refID=7062611&amp;Result=3","7062611")</f>
        <v>0</v>
      </c>
      <c r="B3279" t="s">
        <v>1284</v>
      </c>
      <c r="C3279" t="s">
        <v>6697</v>
      </c>
      <c r="D3279" t="s">
        <v>18784</v>
      </c>
      <c r="E3279" t="s">
        <v>21870</v>
      </c>
      <c r="F3279" t="s">
        <v>32664</v>
      </c>
      <c r="G3279" t="s">
        <v>32674</v>
      </c>
      <c r="H3279" t="s">
        <v>32683</v>
      </c>
      <c r="I3279" t="s">
        <v>10627</v>
      </c>
      <c r="J3279" t="s">
        <v>35042</v>
      </c>
      <c r="K3279" t="s">
        <v>42281</v>
      </c>
      <c r="M3279" t="s">
        <v>43927</v>
      </c>
      <c r="N3279" t="s">
        <v>46569</v>
      </c>
      <c r="O3279" t="s">
        <v>46570</v>
      </c>
      <c r="P3279">
        <v>0</v>
      </c>
      <c r="Q3279">
        <v>0</v>
      </c>
      <c r="R3279" t="s">
        <v>46572</v>
      </c>
      <c r="S3279" t="s">
        <v>46689</v>
      </c>
      <c r="T3279" t="s">
        <v>48244</v>
      </c>
      <c r="U3279" t="s">
        <v>51516</v>
      </c>
      <c r="W3279" t="s">
        <v>43927</v>
      </c>
      <c r="X3279" t="s">
        <v>46573</v>
      </c>
    </row>
    <row r="3280" spans="1:24">
      <c r="A3280">
        <f>HYPERLINK("https://www.philgeps.gov.ph/GEPSNONPILOT/Tender/SplashBidNoticeAbstractUI.aspx?menuIndex=3&amp;refID=7062615&amp;Result=3","7062615")</f>
        <v>0</v>
      </c>
      <c r="B3280" t="s">
        <v>1285</v>
      </c>
      <c r="C3280" t="s">
        <v>6150</v>
      </c>
      <c r="D3280" t="s">
        <v>18834</v>
      </c>
      <c r="E3280" t="s">
        <v>21871</v>
      </c>
      <c r="F3280" t="s">
        <v>32664</v>
      </c>
      <c r="G3280" t="s">
        <v>32674</v>
      </c>
      <c r="H3280" t="s">
        <v>12635</v>
      </c>
      <c r="I3280" t="s">
        <v>32685</v>
      </c>
      <c r="J3280" t="s">
        <v>33483</v>
      </c>
      <c r="K3280" t="s">
        <v>42309</v>
      </c>
      <c r="M3280" t="s">
        <v>43928</v>
      </c>
      <c r="N3280" t="s">
        <v>46569</v>
      </c>
      <c r="O3280" t="s">
        <v>46570</v>
      </c>
      <c r="P3280">
        <v>0</v>
      </c>
      <c r="Q3280">
        <v>2</v>
      </c>
      <c r="R3280" t="s">
        <v>46572</v>
      </c>
      <c r="S3280" t="s">
        <v>46689</v>
      </c>
      <c r="T3280" t="s">
        <v>48258</v>
      </c>
      <c r="U3280" t="s">
        <v>51517</v>
      </c>
      <c r="V3280" t="s">
        <v>61955</v>
      </c>
      <c r="W3280" t="s">
        <v>43928</v>
      </c>
      <c r="X3280" t="s">
        <v>46573</v>
      </c>
    </row>
    <row r="3281" spans="1:24">
      <c r="A3281">
        <f>HYPERLINK("https://www.philgeps.gov.ph/GEPSNONPILOT/Tender/SplashBidNoticeAbstractUI.aspx?menuIndex=3&amp;refID=7062610&amp;Result=3","7062610")</f>
        <v>0</v>
      </c>
      <c r="B3281" t="s">
        <v>1180</v>
      </c>
      <c r="C3281" t="s">
        <v>6698</v>
      </c>
      <c r="D3281" t="s">
        <v>18830</v>
      </c>
      <c r="E3281" t="s">
        <v>21872</v>
      </c>
      <c r="F3281" t="s">
        <v>32664</v>
      </c>
      <c r="G3281" t="s">
        <v>32671</v>
      </c>
      <c r="H3281" t="s">
        <v>12635</v>
      </c>
      <c r="I3281" t="s">
        <v>4997</v>
      </c>
      <c r="J3281" t="s">
        <v>34127</v>
      </c>
      <c r="K3281" t="s">
        <v>42281</v>
      </c>
      <c r="M3281" t="s">
        <v>43815</v>
      </c>
      <c r="N3281" t="s">
        <v>46569</v>
      </c>
      <c r="O3281" t="s">
        <v>46570</v>
      </c>
      <c r="P3281">
        <v>0</v>
      </c>
      <c r="Q3281">
        <v>3</v>
      </c>
      <c r="R3281" t="s">
        <v>46572</v>
      </c>
      <c r="S3281" t="s">
        <v>46689</v>
      </c>
      <c r="T3281" t="s">
        <v>48217</v>
      </c>
      <c r="U3281" t="s">
        <v>51280</v>
      </c>
      <c r="V3281" t="s">
        <v>61956</v>
      </c>
      <c r="W3281" t="s">
        <v>43815</v>
      </c>
      <c r="X3281" t="s">
        <v>46573</v>
      </c>
    </row>
    <row r="3282" spans="1:24">
      <c r="A3282">
        <f>HYPERLINK("https://www.philgeps.gov.ph/GEPSNONPILOT/Tender/SplashBidNoticeAbstractUI.aspx?menuIndex=3&amp;refID=7062608&amp;Result=3","7062608")</f>
        <v>0</v>
      </c>
      <c r="B3282" t="s">
        <v>1257</v>
      </c>
      <c r="C3282" t="s">
        <v>6699</v>
      </c>
      <c r="E3282" t="s">
        <v>21873</v>
      </c>
      <c r="F3282" t="s">
        <v>32664</v>
      </c>
      <c r="G3282" t="s">
        <v>32672</v>
      </c>
      <c r="H3282" t="s">
        <v>12635</v>
      </c>
      <c r="I3282" t="s">
        <v>32706</v>
      </c>
      <c r="J3282" t="s">
        <v>35043</v>
      </c>
      <c r="K3282" t="s">
        <v>42283</v>
      </c>
      <c r="M3282" t="s">
        <v>43899</v>
      </c>
      <c r="N3282" t="s">
        <v>46569</v>
      </c>
      <c r="O3282" t="s">
        <v>46570</v>
      </c>
      <c r="P3282">
        <v>0</v>
      </c>
      <c r="Q3282">
        <v>0</v>
      </c>
      <c r="R3282" t="s">
        <v>46572</v>
      </c>
      <c r="S3282" t="s">
        <v>46689</v>
      </c>
      <c r="T3282" t="s">
        <v>48434</v>
      </c>
      <c r="U3282" t="s">
        <v>51518</v>
      </c>
      <c r="W3282" t="s">
        <v>43899</v>
      </c>
      <c r="X3282" t="s">
        <v>46573</v>
      </c>
    </row>
    <row r="3283" spans="1:24">
      <c r="A3283">
        <f>HYPERLINK("https://www.philgeps.gov.ph/GEPSNONPILOT/Tender/SplashBidNoticeAbstractUI.aspx?menuIndex=3&amp;refID=7062607&amp;Result=3","7062607")</f>
        <v>0</v>
      </c>
      <c r="B3283" t="s">
        <v>438</v>
      </c>
      <c r="C3283" t="s">
        <v>6700</v>
      </c>
      <c r="D3283" t="s">
        <v>18855</v>
      </c>
      <c r="E3283" t="s">
        <v>21874</v>
      </c>
      <c r="F3283" t="s">
        <v>32664</v>
      </c>
      <c r="G3283" t="s">
        <v>32672</v>
      </c>
      <c r="H3283" t="s">
        <v>32683</v>
      </c>
      <c r="I3283" t="s">
        <v>10627</v>
      </c>
      <c r="J3283" t="s">
        <v>35044</v>
      </c>
      <c r="K3283" t="s">
        <v>42405</v>
      </c>
      <c r="M3283" t="s">
        <v>43010</v>
      </c>
      <c r="N3283" t="s">
        <v>46569</v>
      </c>
      <c r="O3283" t="s">
        <v>46570</v>
      </c>
      <c r="P3283">
        <v>0</v>
      </c>
      <c r="Q3283">
        <v>5</v>
      </c>
      <c r="R3283" t="s">
        <v>46572</v>
      </c>
      <c r="S3283" t="s">
        <v>46689</v>
      </c>
      <c r="T3283" t="s">
        <v>48308</v>
      </c>
      <c r="U3283" t="s">
        <v>51519</v>
      </c>
      <c r="W3283" t="s">
        <v>43010</v>
      </c>
      <c r="X3283" t="s">
        <v>46573</v>
      </c>
    </row>
    <row r="3284" spans="1:24">
      <c r="A3284">
        <f>HYPERLINK("https://www.philgeps.gov.ph/GEPSNONPILOT/Tender/SplashBidNoticeAbstractUI.aspx?menuIndex=3&amp;refID=7062612&amp;Result=3","7062612")</f>
        <v>0</v>
      </c>
      <c r="B3284" t="s">
        <v>1286</v>
      </c>
      <c r="C3284" t="s">
        <v>6701</v>
      </c>
      <c r="D3284" t="s">
        <v>18784</v>
      </c>
      <c r="E3284" t="s">
        <v>21875</v>
      </c>
      <c r="F3284" t="s">
        <v>32664</v>
      </c>
      <c r="G3284" t="s">
        <v>32671</v>
      </c>
      <c r="H3284" t="s">
        <v>12635</v>
      </c>
      <c r="I3284" t="s">
        <v>32681</v>
      </c>
      <c r="J3284" t="s">
        <v>32865</v>
      </c>
      <c r="K3284" t="s">
        <v>42404</v>
      </c>
      <c r="M3284" t="s">
        <v>43929</v>
      </c>
      <c r="N3284" t="s">
        <v>46569</v>
      </c>
      <c r="O3284" t="s">
        <v>46570</v>
      </c>
      <c r="P3284">
        <v>0</v>
      </c>
      <c r="Q3284">
        <v>5</v>
      </c>
      <c r="R3284" t="s">
        <v>46572</v>
      </c>
      <c r="S3284" t="s">
        <v>46689</v>
      </c>
      <c r="T3284" t="s">
        <v>48267</v>
      </c>
      <c r="U3284" t="s">
        <v>51520</v>
      </c>
      <c r="W3284" t="s">
        <v>43929</v>
      </c>
      <c r="X3284" t="s">
        <v>46573</v>
      </c>
    </row>
    <row r="3285" spans="1:24">
      <c r="A3285">
        <f>HYPERLINK("https://www.philgeps.gov.ph/GEPSNONPILOT/Tender/SplashBidNoticeAbstractUI.aspx?menuIndex=3&amp;refID=7062606&amp;Result=3","7062606")</f>
        <v>0</v>
      </c>
      <c r="B3285" t="s">
        <v>1287</v>
      </c>
      <c r="C3285" t="s">
        <v>6702</v>
      </c>
      <c r="D3285" t="s">
        <v>18784</v>
      </c>
      <c r="E3285" t="s">
        <v>21876</v>
      </c>
      <c r="F3285" t="s">
        <v>32664</v>
      </c>
      <c r="G3285" t="s">
        <v>32674</v>
      </c>
      <c r="H3285" t="s">
        <v>32683</v>
      </c>
      <c r="I3285" t="s">
        <v>32731</v>
      </c>
      <c r="J3285" t="s">
        <v>33078</v>
      </c>
      <c r="K3285" t="s">
        <v>42281</v>
      </c>
      <c r="M3285" t="s">
        <v>43930</v>
      </c>
      <c r="N3285" t="s">
        <v>46569</v>
      </c>
      <c r="O3285" t="s">
        <v>46570</v>
      </c>
      <c r="P3285">
        <v>0</v>
      </c>
      <c r="Q3285">
        <v>2</v>
      </c>
      <c r="R3285" t="s">
        <v>46572</v>
      </c>
      <c r="S3285" t="s">
        <v>46689</v>
      </c>
      <c r="T3285" t="s">
        <v>48344</v>
      </c>
      <c r="U3285" t="s">
        <v>51521</v>
      </c>
      <c r="W3285" t="s">
        <v>43930</v>
      </c>
      <c r="X3285" t="s">
        <v>46573</v>
      </c>
    </row>
    <row r="3286" spans="1:24">
      <c r="A3286">
        <f>HYPERLINK("https://www.philgeps.gov.ph/GEPSNONPILOT/Tender/SplashBidNoticeAbstractUI.aspx?menuIndex=3&amp;refID=7062605&amp;Result=3","7062605")</f>
        <v>0</v>
      </c>
      <c r="B3286" t="s">
        <v>1261</v>
      </c>
      <c r="C3286" t="s">
        <v>6694</v>
      </c>
      <c r="D3286" t="s">
        <v>18804</v>
      </c>
      <c r="E3286" t="s">
        <v>21815</v>
      </c>
      <c r="F3286" t="s">
        <v>32664</v>
      </c>
      <c r="G3286" t="s">
        <v>32671</v>
      </c>
      <c r="H3286" t="s">
        <v>12635</v>
      </c>
      <c r="I3286" t="s">
        <v>6628</v>
      </c>
      <c r="J3286" t="s">
        <v>35045</v>
      </c>
      <c r="K3286" t="s">
        <v>42295</v>
      </c>
      <c r="M3286" t="s">
        <v>43904</v>
      </c>
      <c r="N3286" t="s">
        <v>46569</v>
      </c>
      <c r="O3286" t="s">
        <v>46570</v>
      </c>
      <c r="P3286">
        <v>0</v>
      </c>
      <c r="Q3286">
        <v>0</v>
      </c>
      <c r="R3286" t="s">
        <v>46572</v>
      </c>
      <c r="S3286" t="s">
        <v>46689</v>
      </c>
      <c r="T3286" t="s">
        <v>48221</v>
      </c>
      <c r="U3286" t="s">
        <v>51522</v>
      </c>
      <c r="W3286" t="s">
        <v>43904</v>
      </c>
      <c r="X3286" t="s">
        <v>46573</v>
      </c>
    </row>
    <row r="3287" spans="1:24">
      <c r="A3287">
        <f>HYPERLINK("https://www.philgeps.gov.ph/GEPSNONPILOT/Tender/SplashBidNoticeAbstractUI.aspx?menuIndex=3&amp;refID=7062609&amp;Result=3","7062609")</f>
        <v>0</v>
      </c>
      <c r="B3287" t="s">
        <v>908</v>
      </c>
      <c r="C3287" t="s">
        <v>6703</v>
      </c>
      <c r="D3287" t="s">
        <v>18820</v>
      </c>
      <c r="E3287" t="s">
        <v>21877</v>
      </c>
      <c r="F3287" t="s">
        <v>32664</v>
      </c>
      <c r="G3287" t="s">
        <v>32671</v>
      </c>
      <c r="H3287" t="s">
        <v>12635</v>
      </c>
      <c r="I3287" t="s">
        <v>32696</v>
      </c>
      <c r="J3287" t="s">
        <v>32853</v>
      </c>
      <c r="K3287" t="s">
        <v>42289</v>
      </c>
      <c r="M3287" t="s">
        <v>43514</v>
      </c>
      <c r="N3287" t="s">
        <v>46569</v>
      </c>
      <c r="O3287" t="s">
        <v>46570</v>
      </c>
      <c r="P3287">
        <v>0</v>
      </c>
      <c r="Q3287">
        <v>3</v>
      </c>
      <c r="R3287" t="s">
        <v>46572</v>
      </c>
      <c r="S3287" t="s">
        <v>46689</v>
      </c>
      <c r="T3287" t="s">
        <v>48268</v>
      </c>
      <c r="U3287" t="s">
        <v>51523</v>
      </c>
      <c r="W3287" t="s">
        <v>43514</v>
      </c>
      <c r="X3287" t="s">
        <v>46573</v>
      </c>
    </row>
    <row r="3288" spans="1:24">
      <c r="A3288">
        <f>HYPERLINK("https://www.philgeps.gov.ph/GEPSNONPILOT/Tender/SplashBidNoticeAbstractUI.aspx?menuIndex=3&amp;refID=7062646&amp;Result=3","7062646")</f>
        <v>0</v>
      </c>
      <c r="B3288" t="s">
        <v>1288</v>
      </c>
      <c r="C3288" t="s">
        <v>6704</v>
      </c>
      <c r="D3288" t="s">
        <v>18824</v>
      </c>
      <c r="E3288" t="s">
        <v>21371</v>
      </c>
      <c r="F3288" t="s">
        <v>32664</v>
      </c>
      <c r="G3288" t="s">
        <v>32672</v>
      </c>
      <c r="H3288" t="s">
        <v>32683</v>
      </c>
      <c r="I3288" t="s">
        <v>10627</v>
      </c>
      <c r="J3288" t="s">
        <v>35046</v>
      </c>
      <c r="K3288" t="s">
        <v>42298</v>
      </c>
      <c r="M3288" t="s">
        <v>43931</v>
      </c>
      <c r="N3288" t="s">
        <v>46569</v>
      </c>
      <c r="O3288" t="s">
        <v>46570</v>
      </c>
      <c r="P3288">
        <v>0</v>
      </c>
      <c r="Q3288">
        <v>1</v>
      </c>
      <c r="R3288" t="s">
        <v>46572</v>
      </c>
      <c r="S3288" t="s">
        <v>46689</v>
      </c>
      <c r="T3288" t="s">
        <v>48475</v>
      </c>
      <c r="U3288" t="s">
        <v>51524</v>
      </c>
      <c r="V3288" t="s">
        <v>61957</v>
      </c>
      <c r="W3288" t="s">
        <v>43931</v>
      </c>
      <c r="X3288" t="s">
        <v>46573</v>
      </c>
    </row>
    <row r="3289" spans="1:24">
      <c r="A3289">
        <f>HYPERLINK("https://www.philgeps.gov.ph/GEPSNONPILOT/Tender/SplashBidNoticeAbstractUI.aspx?menuIndex=3&amp;refID=7062645&amp;Result=3","7062645")</f>
        <v>0</v>
      </c>
      <c r="B3289" t="s">
        <v>1289</v>
      </c>
      <c r="C3289" t="s">
        <v>6705</v>
      </c>
      <c r="D3289" t="s">
        <v>18826</v>
      </c>
      <c r="E3289" t="s">
        <v>21878</v>
      </c>
      <c r="F3289" t="s">
        <v>32664</v>
      </c>
      <c r="G3289" t="s">
        <v>32671</v>
      </c>
      <c r="H3289" t="s">
        <v>12635</v>
      </c>
      <c r="I3289" t="s">
        <v>32685</v>
      </c>
      <c r="J3289" t="s">
        <v>35047</v>
      </c>
      <c r="K3289" t="s">
        <v>42284</v>
      </c>
      <c r="M3289" t="s">
        <v>43932</v>
      </c>
      <c r="N3289" t="s">
        <v>46569</v>
      </c>
      <c r="O3289" t="s">
        <v>46570</v>
      </c>
      <c r="P3289">
        <v>0</v>
      </c>
      <c r="Q3289">
        <v>0</v>
      </c>
      <c r="R3289" t="s">
        <v>46572</v>
      </c>
      <c r="S3289" t="s">
        <v>46689</v>
      </c>
      <c r="T3289" t="s">
        <v>48219</v>
      </c>
      <c r="U3289" t="s">
        <v>51525</v>
      </c>
      <c r="W3289" t="s">
        <v>43932</v>
      </c>
      <c r="X3289" t="s">
        <v>46573</v>
      </c>
    </row>
    <row r="3290" spans="1:24">
      <c r="A3290">
        <f>HYPERLINK("https://www.philgeps.gov.ph/GEPSNONPILOT/Tender/SplashBidNoticeAbstractUI.aspx?menuIndex=3&amp;refID=7062644&amp;Result=3","7062644")</f>
        <v>0</v>
      </c>
      <c r="B3290" t="s">
        <v>374</v>
      </c>
      <c r="C3290" t="s">
        <v>6706</v>
      </c>
      <c r="D3290" t="s">
        <v>18784</v>
      </c>
      <c r="E3290" t="s">
        <v>21879</v>
      </c>
      <c r="F3290" t="s">
        <v>32664</v>
      </c>
      <c r="G3290" t="s">
        <v>32672</v>
      </c>
      <c r="H3290" t="s">
        <v>32681</v>
      </c>
      <c r="I3290" t="s">
        <v>32681</v>
      </c>
      <c r="J3290" t="s">
        <v>35048</v>
      </c>
      <c r="K3290" t="s">
        <v>42334</v>
      </c>
      <c r="M3290" t="s">
        <v>43933</v>
      </c>
      <c r="N3290" t="s">
        <v>46569</v>
      </c>
      <c r="O3290" t="s">
        <v>46570</v>
      </c>
      <c r="P3290">
        <v>0</v>
      </c>
      <c r="Q3290">
        <v>3</v>
      </c>
      <c r="R3290" t="s">
        <v>46572</v>
      </c>
      <c r="S3290" t="s">
        <v>46689</v>
      </c>
      <c r="T3290" t="s">
        <v>48315</v>
      </c>
      <c r="U3290" t="s">
        <v>51526</v>
      </c>
      <c r="W3290" t="s">
        <v>43933</v>
      </c>
      <c r="X3290" t="s">
        <v>46573</v>
      </c>
    </row>
    <row r="3291" spans="1:24">
      <c r="A3291">
        <f>HYPERLINK("https://www.philgeps.gov.ph/GEPSNONPILOT/Tender/SplashBidNoticeAbstractUI.aspx?menuIndex=3&amp;refID=7062642&amp;Result=3","7062642")</f>
        <v>0</v>
      </c>
      <c r="B3291" t="s">
        <v>1261</v>
      </c>
      <c r="C3291" t="s">
        <v>3912</v>
      </c>
      <c r="D3291" t="s">
        <v>18804</v>
      </c>
      <c r="E3291" t="s">
        <v>21815</v>
      </c>
      <c r="F3291" t="s">
        <v>32664</v>
      </c>
      <c r="G3291" t="s">
        <v>32671</v>
      </c>
      <c r="H3291" t="s">
        <v>12635</v>
      </c>
      <c r="I3291" t="s">
        <v>32719</v>
      </c>
      <c r="J3291" t="s">
        <v>33114</v>
      </c>
      <c r="K3291" t="s">
        <v>42295</v>
      </c>
      <c r="M3291" t="s">
        <v>43904</v>
      </c>
      <c r="N3291" t="s">
        <v>46569</v>
      </c>
      <c r="O3291" t="s">
        <v>46570</v>
      </c>
      <c r="P3291">
        <v>0</v>
      </c>
      <c r="Q3291">
        <v>1</v>
      </c>
      <c r="R3291" t="s">
        <v>46572</v>
      </c>
      <c r="S3291" t="s">
        <v>46689</v>
      </c>
      <c r="T3291" t="s">
        <v>48221</v>
      </c>
      <c r="U3291" t="s">
        <v>51527</v>
      </c>
      <c r="W3291" t="s">
        <v>43904</v>
      </c>
      <c r="X3291" t="s">
        <v>46573</v>
      </c>
    </row>
    <row r="3292" spans="1:24">
      <c r="A3292">
        <f>HYPERLINK("https://www.philgeps.gov.ph/GEPSNONPILOT/Tender/SplashBidNoticeAbstractUI.aspx?menuIndex=3&amp;refID=7062640&amp;Result=3","7062640")</f>
        <v>0</v>
      </c>
      <c r="B3292" t="s">
        <v>1290</v>
      </c>
      <c r="C3292" t="s">
        <v>6707</v>
      </c>
      <c r="D3292" t="s">
        <v>18803</v>
      </c>
      <c r="E3292" t="s">
        <v>19312</v>
      </c>
      <c r="F3292" t="s">
        <v>32664</v>
      </c>
      <c r="G3292" t="s">
        <v>32672</v>
      </c>
      <c r="H3292" t="s">
        <v>32683</v>
      </c>
      <c r="I3292" t="s">
        <v>10627</v>
      </c>
      <c r="J3292" t="s">
        <v>35049</v>
      </c>
      <c r="K3292" t="s">
        <v>42281</v>
      </c>
      <c r="M3292" t="s">
        <v>43934</v>
      </c>
      <c r="N3292" t="s">
        <v>46569</v>
      </c>
      <c r="O3292" t="s">
        <v>46570</v>
      </c>
      <c r="P3292">
        <v>0</v>
      </c>
      <c r="Q3292">
        <v>0</v>
      </c>
      <c r="R3292" t="s">
        <v>46572</v>
      </c>
      <c r="S3292" t="s">
        <v>46689</v>
      </c>
      <c r="T3292" t="s">
        <v>48315</v>
      </c>
      <c r="U3292" t="s">
        <v>51528</v>
      </c>
      <c r="W3292" t="s">
        <v>43934</v>
      </c>
      <c r="X3292" t="s">
        <v>46573</v>
      </c>
    </row>
    <row r="3293" spans="1:24">
      <c r="A3293">
        <f>HYPERLINK("https://www.philgeps.gov.ph/GEPSNONPILOT/Tender/SplashBidNoticeAbstractUI.aspx?menuIndex=3&amp;refID=7062638&amp;Result=3","7062638")</f>
        <v>0</v>
      </c>
      <c r="B3293" t="s">
        <v>1291</v>
      </c>
      <c r="C3293" t="s">
        <v>6708</v>
      </c>
      <c r="D3293" t="s">
        <v>18802</v>
      </c>
      <c r="E3293" t="s">
        <v>21880</v>
      </c>
      <c r="F3293" t="s">
        <v>32664</v>
      </c>
      <c r="G3293" t="s">
        <v>32672</v>
      </c>
      <c r="H3293" t="s">
        <v>32683</v>
      </c>
      <c r="I3293" t="s">
        <v>32737</v>
      </c>
      <c r="J3293" t="s">
        <v>33007</v>
      </c>
      <c r="K3293" t="s">
        <v>42329</v>
      </c>
      <c r="M3293" t="s">
        <v>43935</v>
      </c>
      <c r="N3293" t="s">
        <v>46569</v>
      </c>
      <c r="O3293" t="s">
        <v>46570</v>
      </c>
      <c r="P3293">
        <v>0</v>
      </c>
      <c r="Q3293">
        <v>0</v>
      </c>
      <c r="R3293" t="s">
        <v>46572</v>
      </c>
      <c r="S3293" t="s">
        <v>46689</v>
      </c>
      <c r="T3293" t="s">
        <v>48312</v>
      </c>
      <c r="U3293" t="s">
        <v>51529</v>
      </c>
      <c r="W3293" t="s">
        <v>43935</v>
      </c>
      <c r="X3293" t="s">
        <v>46573</v>
      </c>
    </row>
    <row r="3294" spans="1:24">
      <c r="A3294">
        <f>HYPERLINK("https://www.philgeps.gov.ph/GEPSNONPILOT/Tender/SplashBidNoticeAbstractUI.aspx?menuIndex=3&amp;refID=7062637&amp;Result=3","7062637")</f>
        <v>0</v>
      </c>
      <c r="B3294" t="s">
        <v>1292</v>
      </c>
      <c r="C3294" t="s">
        <v>6709</v>
      </c>
      <c r="D3294" t="s">
        <v>18807</v>
      </c>
      <c r="E3294" t="s">
        <v>21881</v>
      </c>
      <c r="F3294" t="s">
        <v>32665</v>
      </c>
      <c r="G3294" t="s">
        <v>32671</v>
      </c>
      <c r="H3294" t="s">
        <v>12635</v>
      </c>
      <c r="I3294" t="s">
        <v>4333</v>
      </c>
      <c r="J3294" t="s">
        <v>33515</v>
      </c>
      <c r="K3294" t="s">
        <v>42284</v>
      </c>
      <c r="M3294" t="s">
        <v>43936</v>
      </c>
      <c r="N3294" t="s">
        <v>46569</v>
      </c>
      <c r="O3294" t="s">
        <v>46570</v>
      </c>
      <c r="P3294">
        <v>0</v>
      </c>
      <c r="Q3294">
        <v>3</v>
      </c>
      <c r="R3294" t="s">
        <v>46572</v>
      </c>
      <c r="S3294" t="s">
        <v>46689</v>
      </c>
      <c r="T3294" t="s">
        <v>48236</v>
      </c>
      <c r="U3294" t="s">
        <v>51530</v>
      </c>
      <c r="V3294" t="s">
        <v>61958</v>
      </c>
      <c r="W3294" t="s">
        <v>63509</v>
      </c>
      <c r="X3294" t="s">
        <v>46573</v>
      </c>
    </row>
    <row r="3295" spans="1:24">
      <c r="A3295">
        <f>HYPERLINK("https://www.philgeps.gov.ph/GEPSNONPILOT/Tender/SplashBidNoticeAbstractUI.aspx?menuIndex=3&amp;refID=7062634&amp;Result=3","7062634")</f>
        <v>0</v>
      </c>
      <c r="B3295" t="s">
        <v>1257</v>
      </c>
      <c r="C3295" t="s">
        <v>6710</v>
      </c>
      <c r="E3295" t="s">
        <v>21882</v>
      </c>
      <c r="F3295" t="s">
        <v>32664</v>
      </c>
      <c r="G3295" t="s">
        <v>32672</v>
      </c>
      <c r="H3295" t="s">
        <v>12635</v>
      </c>
      <c r="I3295" t="s">
        <v>32685</v>
      </c>
      <c r="J3295" t="s">
        <v>35050</v>
      </c>
      <c r="K3295" t="s">
        <v>42283</v>
      </c>
      <c r="M3295" t="s">
        <v>43899</v>
      </c>
      <c r="N3295" t="s">
        <v>46569</v>
      </c>
      <c r="O3295" t="s">
        <v>46570</v>
      </c>
      <c r="P3295">
        <v>0</v>
      </c>
      <c r="Q3295">
        <v>0</v>
      </c>
      <c r="R3295" t="s">
        <v>46572</v>
      </c>
      <c r="S3295" t="s">
        <v>46689</v>
      </c>
      <c r="T3295" t="s">
        <v>48434</v>
      </c>
      <c r="U3295" t="s">
        <v>51531</v>
      </c>
      <c r="W3295" t="s">
        <v>43899</v>
      </c>
      <c r="X3295" t="s">
        <v>46573</v>
      </c>
    </row>
    <row r="3296" spans="1:24">
      <c r="A3296">
        <f>HYPERLINK("https://www.philgeps.gov.ph/GEPSNONPILOT/Tender/SplashBidNoticeAbstractUI.aspx?menuIndex=3&amp;refID=7062533&amp;Result=3","7062533")</f>
        <v>0</v>
      </c>
      <c r="B3296" t="s">
        <v>273</v>
      </c>
      <c r="C3296" t="s">
        <v>6711</v>
      </c>
      <c r="D3296" t="s">
        <v>18812</v>
      </c>
      <c r="E3296" t="s">
        <v>21883</v>
      </c>
      <c r="F3296" t="s">
        <v>32664</v>
      </c>
      <c r="G3296" t="s">
        <v>32672</v>
      </c>
      <c r="H3296" t="s">
        <v>12635</v>
      </c>
      <c r="I3296" t="s">
        <v>32694</v>
      </c>
      <c r="J3296" t="s">
        <v>35051</v>
      </c>
      <c r="K3296" t="s">
        <v>42305</v>
      </c>
      <c r="M3296" t="s">
        <v>42838</v>
      </c>
      <c r="N3296" t="s">
        <v>46569</v>
      </c>
      <c r="O3296" t="s">
        <v>46570</v>
      </c>
      <c r="P3296">
        <v>0</v>
      </c>
      <c r="Q3296">
        <v>0</v>
      </c>
      <c r="R3296" t="s">
        <v>46572</v>
      </c>
      <c r="S3296" t="s">
        <v>46689</v>
      </c>
      <c r="T3296" t="s">
        <v>48333</v>
      </c>
      <c r="U3296" t="s">
        <v>51532</v>
      </c>
      <c r="W3296" t="s">
        <v>42838</v>
      </c>
      <c r="X3296" t="s">
        <v>46573</v>
      </c>
    </row>
    <row r="3297" spans="1:24">
      <c r="A3297">
        <f>HYPERLINK("https://www.philgeps.gov.ph/GEPSNONPILOT/Tender/SplashBidNoticeAbstractUI.aspx?menuIndex=3&amp;refID=7062632&amp;Result=3","7062632")</f>
        <v>0</v>
      </c>
      <c r="B3297" t="s">
        <v>1251</v>
      </c>
      <c r="C3297" t="s">
        <v>6712</v>
      </c>
      <c r="D3297" t="s">
        <v>18841</v>
      </c>
      <c r="E3297" t="s">
        <v>21884</v>
      </c>
      <c r="F3297" t="s">
        <v>32664</v>
      </c>
      <c r="G3297" t="s">
        <v>32671</v>
      </c>
      <c r="H3297" t="s">
        <v>12635</v>
      </c>
      <c r="I3297" t="s">
        <v>32684</v>
      </c>
      <c r="J3297" t="s">
        <v>33597</v>
      </c>
      <c r="K3297" t="s">
        <v>42289</v>
      </c>
      <c r="M3297" t="s">
        <v>43893</v>
      </c>
      <c r="N3297" t="s">
        <v>46569</v>
      </c>
      <c r="O3297" t="s">
        <v>46570</v>
      </c>
      <c r="P3297">
        <v>0</v>
      </c>
      <c r="Q3297">
        <v>5</v>
      </c>
      <c r="R3297" t="s">
        <v>46572</v>
      </c>
      <c r="S3297" t="s">
        <v>46689</v>
      </c>
      <c r="T3297" t="s">
        <v>48221</v>
      </c>
      <c r="U3297" t="s">
        <v>51533</v>
      </c>
      <c r="W3297" t="s">
        <v>43893</v>
      </c>
      <c r="X3297" t="s">
        <v>46573</v>
      </c>
    </row>
    <row r="3298" spans="1:24">
      <c r="A3298">
        <f>HYPERLINK("https://www.philgeps.gov.ph/GEPSNONPILOT/Tender/SplashBidNoticeAbstractUI.aspx?menuIndex=3&amp;refID=7062630&amp;Result=3","7062630")</f>
        <v>0</v>
      </c>
      <c r="B3298" t="s">
        <v>1290</v>
      </c>
      <c r="C3298" t="s">
        <v>6713</v>
      </c>
      <c r="D3298" t="s">
        <v>18803</v>
      </c>
      <c r="E3298" t="s">
        <v>19226</v>
      </c>
      <c r="F3298" t="s">
        <v>32664</v>
      </c>
      <c r="G3298" t="s">
        <v>32672</v>
      </c>
      <c r="H3298" t="s">
        <v>32683</v>
      </c>
      <c r="I3298" t="s">
        <v>10627</v>
      </c>
      <c r="J3298" t="s">
        <v>35052</v>
      </c>
      <c r="K3298" t="s">
        <v>42281</v>
      </c>
      <c r="M3298" t="s">
        <v>43934</v>
      </c>
      <c r="N3298" t="s">
        <v>46569</v>
      </c>
      <c r="O3298" t="s">
        <v>46570</v>
      </c>
      <c r="P3298">
        <v>0</v>
      </c>
      <c r="Q3298">
        <v>1</v>
      </c>
      <c r="R3298" t="s">
        <v>46572</v>
      </c>
      <c r="S3298" t="s">
        <v>46689</v>
      </c>
      <c r="T3298" t="s">
        <v>48315</v>
      </c>
      <c r="U3298" t="s">
        <v>51534</v>
      </c>
      <c r="W3298" t="s">
        <v>43934</v>
      </c>
      <c r="X3298" t="s">
        <v>46573</v>
      </c>
    </row>
    <row r="3299" spans="1:24">
      <c r="A3299">
        <f>HYPERLINK("https://www.philgeps.gov.ph/GEPSNONPILOT/Tender/SplashBidNoticeAbstractUI.aspx?menuIndex=3&amp;refID=7062629&amp;Result=3","7062629")</f>
        <v>0</v>
      </c>
      <c r="B3299" t="s">
        <v>1293</v>
      </c>
      <c r="C3299" t="s">
        <v>6714</v>
      </c>
      <c r="D3299" t="s">
        <v>18834</v>
      </c>
      <c r="E3299" t="s">
        <v>21885</v>
      </c>
      <c r="F3299" t="s">
        <v>32664</v>
      </c>
      <c r="G3299" t="s">
        <v>32674</v>
      </c>
      <c r="H3299" t="s">
        <v>12635</v>
      </c>
      <c r="I3299" t="s">
        <v>5589</v>
      </c>
      <c r="J3299" t="s">
        <v>33015</v>
      </c>
      <c r="K3299" t="s">
        <v>42284</v>
      </c>
      <c r="M3299" t="s">
        <v>43937</v>
      </c>
      <c r="N3299" t="s">
        <v>46569</v>
      </c>
      <c r="O3299" t="s">
        <v>46570</v>
      </c>
      <c r="P3299">
        <v>0</v>
      </c>
      <c r="Q3299">
        <v>0</v>
      </c>
      <c r="R3299" t="s">
        <v>46572</v>
      </c>
      <c r="S3299" t="s">
        <v>46689</v>
      </c>
      <c r="T3299" t="s">
        <v>48221</v>
      </c>
      <c r="U3299" t="s">
        <v>51535</v>
      </c>
      <c r="W3299" t="s">
        <v>43937</v>
      </c>
      <c r="X3299" t="s">
        <v>46573</v>
      </c>
    </row>
    <row r="3300" spans="1:24">
      <c r="A3300">
        <f>HYPERLINK("https://www.philgeps.gov.ph/GEPSNONPILOT/Tender/SplashBidNoticeAbstractUI.aspx?menuIndex=3&amp;refID=7062631&amp;Result=3","7062631")</f>
        <v>0</v>
      </c>
      <c r="B3300" t="s">
        <v>1294</v>
      </c>
      <c r="C3300" t="s">
        <v>6715</v>
      </c>
      <c r="D3300" t="s">
        <v>18825</v>
      </c>
      <c r="E3300" t="s">
        <v>21886</v>
      </c>
      <c r="F3300" t="s">
        <v>32664</v>
      </c>
      <c r="G3300" t="s">
        <v>32672</v>
      </c>
      <c r="H3300" t="s">
        <v>12635</v>
      </c>
      <c r="I3300" t="s">
        <v>4439</v>
      </c>
      <c r="J3300" t="s">
        <v>35053</v>
      </c>
      <c r="K3300" t="s">
        <v>42297</v>
      </c>
      <c r="M3300" t="s">
        <v>43938</v>
      </c>
      <c r="N3300" t="s">
        <v>46569</v>
      </c>
      <c r="O3300" t="s">
        <v>46570</v>
      </c>
      <c r="P3300">
        <v>0</v>
      </c>
      <c r="Q3300">
        <v>0</v>
      </c>
      <c r="R3300" t="s">
        <v>46572</v>
      </c>
      <c r="S3300" t="s">
        <v>46689</v>
      </c>
      <c r="T3300" t="s">
        <v>48211</v>
      </c>
      <c r="U3300" t="s">
        <v>51536</v>
      </c>
      <c r="W3300" t="s">
        <v>43938</v>
      </c>
      <c r="X3300" t="s">
        <v>46573</v>
      </c>
    </row>
    <row r="3301" spans="1:24">
      <c r="A3301">
        <f>HYPERLINK("https://www.philgeps.gov.ph/GEPSNONPILOT/Tender/SplashBidNoticeAbstractUI.aspx?menuIndex=3&amp;refID=7062628&amp;Result=3","7062628")</f>
        <v>0</v>
      </c>
      <c r="B3301" t="s">
        <v>1261</v>
      </c>
      <c r="C3301" t="s">
        <v>3912</v>
      </c>
      <c r="D3301" t="s">
        <v>18804</v>
      </c>
      <c r="E3301" t="s">
        <v>21815</v>
      </c>
      <c r="F3301" t="s">
        <v>32664</v>
      </c>
      <c r="G3301" t="s">
        <v>32671</v>
      </c>
      <c r="H3301" t="s">
        <v>12635</v>
      </c>
      <c r="I3301" t="s">
        <v>6168</v>
      </c>
      <c r="J3301" t="s">
        <v>35054</v>
      </c>
      <c r="K3301" t="s">
        <v>42295</v>
      </c>
      <c r="M3301" t="s">
        <v>43904</v>
      </c>
      <c r="N3301" t="s">
        <v>46569</v>
      </c>
      <c r="O3301" t="s">
        <v>46570</v>
      </c>
      <c r="P3301">
        <v>0</v>
      </c>
      <c r="Q3301">
        <v>0</v>
      </c>
      <c r="R3301" t="s">
        <v>46572</v>
      </c>
      <c r="S3301" t="s">
        <v>46689</v>
      </c>
      <c r="T3301" t="s">
        <v>48221</v>
      </c>
      <c r="U3301" t="s">
        <v>51537</v>
      </c>
      <c r="W3301" t="s">
        <v>43904</v>
      </c>
      <c r="X3301" t="s">
        <v>46573</v>
      </c>
    </row>
    <row r="3302" spans="1:24">
      <c r="A3302">
        <f>HYPERLINK("https://www.philgeps.gov.ph/GEPSNONPILOT/Tender/SplashBidNoticeAbstractUI.aspx?menuIndex=3&amp;refID=7062643&amp;Result=3","7062643")</f>
        <v>0</v>
      </c>
      <c r="B3302" t="s">
        <v>549</v>
      </c>
      <c r="C3302" t="s">
        <v>6716</v>
      </c>
      <c r="D3302" t="s">
        <v>18781</v>
      </c>
      <c r="E3302" t="s">
        <v>21887</v>
      </c>
      <c r="F3302" t="s">
        <v>32664</v>
      </c>
      <c r="G3302" t="s">
        <v>32671</v>
      </c>
      <c r="H3302" t="s">
        <v>12635</v>
      </c>
      <c r="I3302" t="s">
        <v>10590</v>
      </c>
      <c r="J3302" t="s">
        <v>35055</v>
      </c>
      <c r="K3302" t="s">
        <v>42283</v>
      </c>
      <c r="M3302" t="s">
        <v>43129</v>
      </c>
      <c r="N3302" t="s">
        <v>46569</v>
      </c>
      <c r="O3302" t="s">
        <v>46570</v>
      </c>
      <c r="P3302">
        <v>0</v>
      </c>
      <c r="Q3302">
        <v>0</v>
      </c>
      <c r="R3302" t="s">
        <v>46572</v>
      </c>
      <c r="S3302" t="s">
        <v>46689</v>
      </c>
      <c r="T3302" t="s">
        <v>48249</v>
      </c>
      <c r="U3302" t="s">
        <v>51538</v>
      </c>
      <c r="W3302" t="s">
        <v>43129</v>
      </c>
      <c r="X3302" t="s">
        <v>46573</v>
      </c>
    </row>
    <row r="3303" spans="1:24">
      <c r="A3303">
        <f>HYPERLINK("https://www.philgeps.gov.ph/GEPSNONPILOT/Tender/SplashBidNoticeAbstractUI.aspx?menuIndex=3&amp;refID=7062633&amp;Result=3","7062633")</f>
        <v>0</v>
      </c>
      <c r="B3303" t="s">
        <v>1295</v>
      </c>
      <c r="C3303" t="s">
        <v>6717</v>
      </c>
      <c r="D3303" t="s">
        <v>18799</v>
      </c>
      <c r="E3303" t="s">
        <v>21888</v>
      </c>
      <c r="F3303" t="s">
        <v>32664</v>
      </c>
      <c r="G3303" t="s">
        <v>32674</v>
      </c>
      <c r="H3303" t="s">
        <v>12635</v>
      </c>
      <c r="I3303" t="s">
        <v>6223</v>
      </c>
      <c r="J3303" t="s">
        <v>35056</v>
      </c>
      <c r="K3303" t="s">
        <v>42284</v>
      </c>
      <c r="M3303" t="s">
        <v>43939</v>
      </c>
      <c r="N3303" t="s">
        <v>46569</v>
      </c>
      <c r="O3303" t="s">
        <v>46570</v>
      </c>
      <c r="P3303">
        <v>0</v>
      </c>
      <c r="Q3303">
        <v>0</v>
      </c>
      <c r="R3303" t="s">
        <v>46572</v>
      </c>
      <c r="S3303" t="s">
        <v>46689</v>
      </c>
      <c r="T3303" t="s">
        <v>48473</v>
      </c>
      <c r="U3303" t="s">
        <v>51539</v>
      </c>
      <c r="W3303" t="s">
        <v>43939</v>
      </c>
      <c r="X3303" t="s">
        <v>46573</v>
      </c>
    </row>
    <row r="3304" spans="1:24">
      <c r="A3304">
        <f>HYPERLINK("https://www.philgeps.gov.ph/GEPSNONPILOT/Tender/SplashBidNoticeAbstractUI.aspx?menuIndex=3&amp;refID=7062669&amp;Result=3","7062669")</f>
        <v>0</v>
      </c>
      <c r="B3304" t="s">
        <v>1296</v>
      </c>
      <c r="C3304" t="s">
        <v>6718</v>
      </c>
      <c r="D3304" t="s">
        <v>18842</v>
      </c>
      <c r="E3304" t="s">
        <v>19681</v>
      </c>
      <c r="F3304" t="s">
        <v>32664</v>
      </c>
      <c r="G3304" t="s">
        <v>32672</v>
      </c>
      <c r="H3304" t="s">
        <v>32683</v>
      </c>
      <c r="I3304" t="s">
        <v>32716</v>
      </c>
      <c r="J3304" t="s">
        <v>33051</v>
      </c>
      <c r="K3304" t="s">
        <v>42290</v>
      </c>
      <c r="M3304" t="s">
        <v>43940</v>
      </c>
      <c r="N3304" t="s">
        <v>46569</v>
      </c>
      <c r="O3304" t="s">
        <v>46570</v>
      </c>
      <c r="P3304">
        <v>0</v>
      </c>
      <c r="Q3304">
        <v>1</v>
      </c>
      <c r="R3304" t="s">
        <v>46572</v>
      </c>
      <c r="S3304" t="s">
        <v>46689</v>
      </c>
      <c r="T3304" t="s">
        <v>48354</v>
      </c>
      <c r="U3304" t="s">
        <v>51540</v>
      </c>
      <c r="W3304" t="s">
        <v>43940</v>
      </c>
      <c r="X3304" t="s">
        <v>46573</v>
      </c>
    </row>
    <row r="3305" spans="1:24">
      <c r="A3305">
        <f>HYPERLINK("https://www.philgeps.gov.ph/GEPSNONPILOT/Tender/SplashBidNoticeAbstractUI.aspx?menuIndex=3&amp;refID=7062674&amp;Result=3","7062674")</f>
        <v>0</v>
      </c>
      <c r="B3305" t="s">
        <v>834</v>
      </c>
      <c r="C3305" t="s">
        <v>6719</v>
      </c>
      <c r="D3305" t="s">
        <v>18831</v>
      </c>
      <c r="E3305" t="s">
        <v>21889</v>
      </c>
      <c r="F3305" t="s">
        <v>32664</v>
      </c>
      <c r="G3305" t="s">
        <v>32674</v>
      </c>
      <c r="H3305" t="s">
        <v>12635</v>
      </c>
      <c r="I3305" t="s">
        <v>6223</v>
      </c>
      <c r="J3305" t="s">
        <v>34776</v>
      </c>
      <c r="K3305" t="s">
        <v>42283</v>
      </c>
      <c r="M3305" t="s">
        <v>43740</v>
      </c>
      <c r="N3305" t="s">
        <v>46569</v>
      </c>
      <c r="O3305" t="s">
        <v>46570</v>
      </c>
      <c r="P3305">
        <v>0</v>
      </c>
      <c r="Q3305">
        <v>1</v>
      </c>
      <c r="R3305" t="s">
        <v>46572</v>
      </c>
      <c r="S3305" t="s">
        <v>46689</v>
      </c>
      <c r="T3305" t="s">
        <v>48420</v>
      </c>
      <c r="U3305" t="s">
        <v>50379</v>
      </c>
      <c r="V3305" t="s">
        <v>61824</v>
      </c>
      <c r="W3305" t="s">
        <v>43740</v>
      </c>
      <c r="X3305" t="s">
        <v>46573</v>
      </c>
    </row>
    <row r="3306" spans="1:24">
      <c r="A3306">
        <f>HYPERLINK("https://www.philgeps.gov.ph/GEPSNONPILOT/Tender/SplashBidNoticeAbstractUI.aspx?menuIndex=3&amp;refID=7062591&amp;Result=3","7062591")</f>
        <v>0</v>
      </c>
      <c r="B3306" t="s">
        <v>438</v>
      </c>
      <c r="C3306" t="s">
        <v>6720</v>
      </c>
      <c r="D3306" t="s">
        <v>18855</v>
      </c>
      <c r="E3306" t="s">
        <v>21890</v>
      </c>
      <c r="F3306" t="s">
        <v>32664</v>
      </c>
      <c r="G3306" t="s">
        <v>32672</v>
      </c>
      <c r="H3306" t="s">
        <v>32683</v>
      </c>
      <c r="I3306" t="s">
        <v>10627</v>
      </c>
      <c r="J3306" t="s">
        <v>34930</v>
      </c>
      <c r="K3306" t="s">
        <v>42352</v>
      </c>
      <c r="M3306" t="s">
        <v>43010</v>
      </c>
      <c r="N3306" t="s">
        <v>46569</v>
      </c>
      <c r="O3306" t="s">
        <v>46570</v>
      </c>
      <c r="P3306">
        <v>0</v>
      </c>
      <c r="Q3306">
        <v>3</v>
      </c>
      <c r="R3306" t="s">
        <v>46572</v>
      </c>
      <c r="S3306" t="s">
        <v>46689</v>
      </c>
      <c r="T3306" t="s">
        <v>48308</v>
      </c>
      <c r="U3306" t="s">
        <v>51541</v>
      </c>
      <c r="W3306" t="s">
        <v>43010</v>
      </c>
      <c r="X3306" t="s">
        <v>46573</v>
      </c>
    </row>
    <row r="3307" spans="1:24">
      <c r="A3307">
        <f>HYPERLINK("https://www.philgeps.gov.ph/GEPSNONPILOT/Tender/SplashBidNoticeAbstractUI.aspx?menuIndex=3&amp;refID=7062566&amp;Result=3","7062566")</f>
        <v>0</v>
      </c>
      <c r="B3307" t="s">
        <v>915</v>
      </c>
      <c r="C3307" t="s">
        <v>6721</v>
      </c>
      <c r="D3307" t="s">
        <v>18784</v>
      </c>
      <c r="E3307" t="s">
        <v>21891</v>
      </c>
      <c r="F3307" t="s">
        <v>32664</v>
      </c>
      <c r="G3307" t="s">
        <v>32671</v>
      </c>
      <c r="H3307" t="s">
        <v>12635</v>
      </c>
      <c r="I3307" t="s">
        <v>6118</v>
      </c>
      <c r="J3307" t="s">
        <v>35057</v>
      </c>
      <c r="K3307" t="s">
        <v>42283</v>
      </c>
      <c r="M3307" t="s">
        <v>43879</v>
      </c>
      <c r="N3307" t="s">
        <v>46569</v>
      </c>
      <c r="O3307" t="s">
        <v>46570</v>
      </c>
      <c r="P3307">
        <v>0</v>
      </c>
      <c r="Q3307">
        <v>0</v>
      </c>
      <c r="R3307" t="s">
        <v>46572</v>
      </c>
      <c r="S3307" t="s">
        <v>46689</v>
      </c>
      <c r="T3307" t="s">
        <v>48246</v>
      </c>
      <c r="U3307" t="s">
        <v>50592</v>
      </c>
      <c r="W3307" t="s">
        <v>43879</v>
      </c>
      <c r="X3307" t="s">
        <v>46573</v>
      </c>
    </row>
    <row r="3308" spans="1:24">
      <c r="A3308">
        <f>HYPERLINK("https://www.philgeps.gov.ph/GEPSNONPILOT/Tender/SplashBidNoticeAbstractUI.aspx?menuIndex=3&amp;refID=7062625&amp;Result=3","7062625")</f>
        <v>0</v>
      </c>
      <c r="B3308" t="s">
        <v>230</v>
      </c>
      <c r="C3308" t="s">
        <v>6722</v>
      </c>
      <c r="D3308" t="s">
        <v>18827</v>
      </c>
      <c r="E3308" t="s">
        <v>21892</v>
      </c>
      <c r="F3308" t="s">
        <v>32664</v>
      </c>
      <c r="G3308" t="s">
        <v>32674</v>
      </c>
      <c r="H3308" t="s">
        <v>12635</v>
      </c>
      <c r="I3308" t="s">
        <v>8958</v>
      </c>
      <c r="J3308" t="s">
        <v>35058</v>
      </c>
      <c r="K3308" t="s">
        <v>42283</v>
      </c>
      <c r="M3308" t="s">
        <v>42794</v>
      </c>
      <c r="N3308" t="s">
        <v>46569</v>
      </c>
      <c r="O3308" t="s">
        <v>46570</v>
      </c>
      <c r="P3308">
        <v>0</v>
      </c>
      <c r="Q3308">
        <v>0</v>
      </c>
      <c r="R3308" t="s">
        <v>46572</v>
      </c>
      <c r="S3308" t="s">
        <v>46689</v>
      </c>
      <c r="T3308" t="s">
        <v>48221</v>
      </c>
      <c r="U3308" t="s">
        <v>51542</v>
      </c>
      <c r="W3308" t="s">
        <v>42794</v>
      </c>
      <c r="X3308" t="s">
        <v>46573</v>
      </c>
    </row>
    <row r="3309" spans="1:24">
      <c r="A3309">
        <f>HYPERLINK("https://www.philgeps.gov.ph/GEPSNONPILOT/Tender/SplashBidNoticeAbstractUI.aspx?menuIndex=3&amp;refID=7062671&amp;Result=3","7062671")</f>
        <v>0</v>
      </c>
      <c r="B3309" t="s">
        <v>1297</v>
      </c>
      <c r="C3309" t="s">
        <v>6723</v>
      </c>
      <c r="D3309" t="s">
        <v>18838</v>
      </c>
      <c r="E3309" t="s">
        <v>21893</v>
      </c>
      <c r="F3309" t="s">
        <v>32664</v>
      </c>
      <c r="G3309" t="s">
        <v>32672</v>
      </c>
      <c r="H3309" t="s">
        <v>12635</v>
      </c>
      <c r="I3309" t="s">
        <v>4439</v>
      </c>
      <c r="J3309" t="s">
        <v>32853</v>
      </c>
      <c r="K3309" t="s">
        <v>42281</v>
      </c>
      <c r="L3309" t="s">
        <v>1297</v>
      </c>
      <c r="M3309" t="s">
        <v>43941</v>
      </c>
      <c r="N3309" t="s">
        <v>46569</v>
      </c>
      <c r="O3309" t="s">
        <v>46570</v>
      </c>
      <c r="P3309">
        <v>0</v>
      </c>
      <c r="Q3309">
        <v>1</v>
      </c>
      <c r="R3309" t="s">
        <v>46572</v>
      </c>
      <c r="S3309" t="s">
        <v>46689</v>
      </c>
      <c r="T3309" t="s">
        <v>48276</v>
      </c>
      <c r="U3309" t="s">
        <v>51543</v>
      </c>
      <c r="W3309" t="s">
        <v>43941</v>
      </c>
      <c r="X3309" t="s">
        <v>46573</v>
      </c>
    </row>
    <row r="3310" spans="1:24">
      <c r="A3310">
        <f>HYPERLINK("https://www.philgeps.gov.ph/GEPSNONPILOT/Tender/SplashBidNoticeAbstractUI.aspx?menuIndex=3&amp;refID=7062673&amp;Result=3","7062673")</f>
        <v>0</v>
      </c>
      <c r="B3310" t="s">
        <v>1298</v>
      </c>
      <c r="C3310" t="s">
        <v>6724</v>
      </c>
      <c r="D3310" t="s">
        <v>18848</v>
      </c>
      <c r="E3310" t="s">
        <v>21894</v>
      </c>
      <c r="F3310" t="s">
        <v>32664</v>
      </c>
      <c r="G3310" t="s">
        <v>32671</v>
      </c>
      <c r="H3310" t="s">
        <v>12635</v>
      </c>
      <c r="I3310" t="s">
        <v>10370</v>
      </c>
      <c r="J3310" t="s">
        <v>32898</v>
      </c>
      <c r="K3310" t="s">
        <v>42295</v>
      </c>
      <c r="M3310" t="s">
        <v>43942</v>
      </c>
      <c r="N3310" t="s">
        <v>46569</v>
      </c>
      <c r="O3310" t="s">
        <v>46570</v>
      </c>
      <c r="P3310">
        <v>0</v>
      </c>
      <c r="Q3310">
        <v>0</v>
      </c>
      <c r="R3310" t="s">
        <v>46572</v>
      </c>
      <c r="S3310" t="s">
        <v>46689</v>
      </c>
      <c r="T3310" t="s">
        <v>48221</v>
      </c>
      <c r="U3310" t="s">
        <v>51544</v>
      </c>
      <c r="W3310" t="s">
        <v>43942</v>
      </c>
      <c r="X3310" t="s">
        <v>46573</v>
      </c>
    </row>
    <row r="3311" spans="1:24">
      <c r="A3311">
        <f>HYPERLINK("https://www.philgeps.gov.ph/GEPSNONPILOT/Tender/SplashBidNoticeAbstractUI.aspx?menuIndex=3&amp;refID=7062663&amp;Result=3","7062663")</f>
        <v>0</v>
      </c>
      <c r="B3311" t="s">
        <v>1289</v>
      </c>
      <c r="C3311" t="s">
        <v>6725</v>
      </c>
      <c r="D3311" t="s">
        <v>18826</v>
      </c>
      <c r="E3311" t="s">
        <v>21895</v>
      </c>
      <c r="F3311" t="s">
        <v>32664</v>
      </c>
      <c r="G3311" t="s">
        <v>32671</v>
      </c>
      <c r="H3311" t="s">
        <v>12635</v>
      </c>
      <c r="I3311" t="s">
        <v>32685</v>
      </c>
      <c r="J3311" t="s">
        <v>35059</v>
      </c>
      <c r="K3311" t="s">
        <v>42284</v>
      </c>
      <c r="M3311" t="s">
        <v>43932</v>
      </c>
      <c r="N3311" t="s">
        <v>46569</v>
      </c>
      <c r="O3311" t="s">
        <v>46570</v>
      </c>
      <c r="P3311">
        <v>0</v>
      </c>
      <c r="Q3311">
        <v>0</v>
      </c>
      <c r="R3311" t="s">
        <v>46572</v>
      </c>
      <c r="S3311" t="s">
        <v>46689</v>
      </c>
      <c r="T3311" t="s">
        <v>48219</v>
      </c>
      <c r="U3311" t="s">
        <v>51545</v>
      </c>
      <c r="W3311" t="s">
        <v>43932</v>
      </c>
      <c r="X3311" t="s">
        <v>46573</v>
      </c>
    </row>
    <row r="3312" spans="1:24">
      <c r="A3312">
        <f>HYPERLINK("https://www.philgeps.gov.ph/GEPSNONPILOT/Tender/SplashBidNoticeAbstractUI.aspx?menuIndex=3&amp;refID=7062534&amp;Result=3","7062534")</f>
        <v>0</v>
      </c>
      <c r="B3312" t="s">
        <v>527</v>
      </c>
      <c r="C3312" t="s">
        <v>6726</v>
      </c>
      <c r="D3312" t="s">
        <v>18784</v>
      </c>
      <c r="E3312" t="s">
        <v>21896</v>
      </c>
      <c r="F3312" t="s">
        <v>32664</v>
      </c>
      <c r="G3312" t="s">
        <v>32671</v>
      </c>
      <c r="H3312" t="s">
        <v>12635</v>
      </c>
      <c r="I3312" t="s">
        <v>6118</v>
      </c>
      <c r="J3312" t="s">
        <v>35060</v>
      </c>
      <c r="K3312" t="s">
        <v>42284</v>
      </c>
      <c r="M3312" t="s">
        <v>43104</v>
      </c>
      <c r="N3312" t="s">
        <v>46569</v>
      </c>
      <c r="O3312" t="s">
        <v>46570</v>
      </c>
      <c r="P3312">
        <v>0</v>
      </c>
      <c r="Q3312">
        <v>1</v>
      </c>
      <c r="R3312" t="s">
        <v>46572</v>
      </c>
      <c r="S3312" t="s">
        <v>46689</v>
      </c>
      <c r="T3312" t="s">
        <v>48283</v>
      </c>
      <c r="U3312" t="s">
        <v>50582</v>
      </c>
      <c r="W3312" t="s">
        <v>43104</v>
      </c>
      <c r="X3312" t="s">
        <v>46573</v>
      </c>
    </row>
    <row r="3313" spans="1:24">
      <c r="A3313">
        <f>HYPERLINK("https://www.philgeps.gov.ph/GEPSNONPILOT/Tender/SplashBidNoticeAbstractUI.aspx?menuIndex=3&amp;refID=7062659&amp;Result=3","7062659")</f>
        <v>0</v>
      </c>
      <c r="B3313" t="s">
        <v>1299</v>
      </c>
      <c r="C3313" t="s">
        <v>6727</v>
      </c>
      <c r="D3313" t="s">
        <v>18806</v>
      </c>
      <c r="E3313" t="s">
        <v>21897</v>
      </c>
      <c r="F3313" t="s">
        <v>32664</v>
      </c>
      <c r="G3313" t="s">
        <v>32672</v>
      </c>
      <c r="H3313" t="s">
        <v>12635</v>
      </c>
      <c r="I3313" t="s">
        <v>4333</v>
      </c>
      <c r="J3313" t="s">
        <v>35061</v>
      </c>
      <c r="K3313" t="s">
        <v>42289</v>
      </c>
      <c r="M3313" t="s">
        <v>43943</v>
      </c>
      <c r="N3313" t="s">
        <v>46569</v>
      </c>
      <c r="O3313" t="s">
        <v>46570</v>
      </c>
      <c r="P3313">
        <v>0</v>
      </c>
      <c r="Q3313">
        <v>0</v>
      </c>
      <c r="R3313" t="s">
        <v>46572</v>
      </c>
      <c r="S3313" t="s">
        <v>46689</v>
      </c>
      <c r="T3313" t="s">
        <v>48218</v>
      </c>
      <c r="U3313" t="s">
        <v>51546</v>
      </c>
      <c r="V3313" t="s">
        <v>61959</v>
      </c>
      <c r="W3313" t="s">
        <v>43943</v>
      </c>
      <c r="X3313" t="s">
        <v>46573</v>
      </c>
    </row>
    <row r="3314" spans="1:24">
      <c r="A3314">
        <f>HYPERLINK("https://www.philgeps.gov.ph/GEPSNONPILOT/Tender/SplashBidNoticeAbstractUI.aspx?menuIndex=3&amp;refID=7062664&amp;Result=3","7062664")</f>
        <v>0</v>
      </c>
      <c r="B3314" t="s">
        <v>1300</v>
      </c>
      <c r="C3314" t="s">
        <v>6728</v>
      </c>
      <c r="D3314" t="s">
        <v>18782</v>
      </c>
      <c r="E3314" t="s">
        <v>21898</v>
      </c>
      <c r="F3314" t="s">
        <v>32664</v>
      </c>
      <c r="G3314" t="s">
        <v>32672</v>
      </c>
      <c r="H3314" t="s">
        <v>12635</v>
      </c>
      <c r="I3314" t="s">
        <v>32706</v>
      </c>
      <c r="J3314" t="s">
        <v>35062</v>
      </c>
      <c r="K3314" t="s">
        <v>42283</v>
      </c>
      <c r="M3314" t="s">
        <v>43944</v>
      </c>
      <c r="N3314" t="s">
        <v>46569</v>
      </c>
      <c r="O3314" t="s">
        <v>46570</v>
      </c>
      <c r="P3314">
        <v>0</v>
      </c>
      <c r="Q3314">
        <v>0</v>
      </c>
      <c r="R3314" t="s">
        <v>46572</v>
      </c>
      <c r="S3314" t="s">
        <v>46689</v>
      </c>
      <c r="T3314" t="s">
        <v>48268</v>
      </c>
      <c r="U3314" t="s">
        <v>51547</v>
      </c>
      <c r="V3314" t="s">
        <v>61960</v>
      </c>
      <c r="W3314" t="s">
        <v>43944</v>
      </c>
      <c r="X3314" t="s">
        <v>46573</v>
      </c>
    </row>
    <row r="3315" spans="1:24">
      <c r="A3315">
        <f>HYPERLINK("https://www.philgeps.gov.ph/GEPSNONPILOT/Tender/SplashBidNoticeAbstractUI.aspx?menuIndex=3&amp;refID=7062497&amp;Result=3","7062497")</f>
        <v>0</v>
      </c>
      <c r="B3315" t="s">
        <v>763</v>
      </c>
      <c r="C3315" t="s">
        <v>6729</v>
      </c>
      <c r="D3315" t="s">
        <v>18791</v>
      </c>
      <c r="E3315" t="s">
        <v>21899</v>
      </c>
      <c r="F3315" t="s">
        <v>32664</v>
      </c>
      <c r="G3315" t="s">
        <v>32671</v>
      </c>
      <c r="H3315" t="s">
        <v>12635</v>
      </c>
      <c r="I3315" t="s">
        <v>6628</v>
      </c>
      <c r="J3315" t="s">
        <v>32898</v>
      </c>
      <c r="K3315" t="s">
        <v>42298</v>
      </c>
      <c r="M3315" t="s">
        <v>43945</v>
      </c>
      <c r="N3315" t="s">
        <v>46569</v>
      </c>
      <c r="O3315" t="s">
        <v>46570</v>
      </c>
      <c r="P3315">
        <v>0</v>
      </c>
      <c r="Q3315">
        <v>8</v>
      </c>
      <c r="R3315" t="s">
        <v>46572</v>
      </c>
      <c r="S3315" t="s">
        <v>46689</v>
      </c>
      <c r="T3315" t="s">
        <v>48256</v>
      </c>
      <c r="U3315" t="s">
        <v>51548</v>
      </c>
      <c r="V3315" t="s">
        <v>61961</v>
      </c>
      <c r="W3315" t="s">
        <v>43945</v>
      </c>
      <c r="X3315" t="s">
        <v>46573</v>
      </c>
    </row>
    <row r="3316" spans="1:24">
      <c r="A3316">
        <f>HYPERLINK("https://www.philgeps.gov.ph/GEPSNONPILOT/Tender/SplashBidNoticeAbstractUI.aspx?menuIndex=3&amp;refID=7062657&amp;Result=3","7062657")</f>
        <v>0</v>
      </c>
      <c r="B3316" t="s">
        <v>1289</v>
      </c>
      <c r="C3316" t="s">
        <v>6730</v>
      </c>
      <c r="D3316" t="s">
        <v>18826</v>
      </c>
      <c r="E3316" t="s">
        <v>21900</v>
      </c>
      <c r="F3316" t="s">
        <v>32664</v>
      </c>
      <c r="G3316" t="s">
        <v>32671</v>
      </c>
      <c r="H3316" t="s">
        <v>12635</v>
      </c>
      <c r="I3316" t="s">
        <v>32685</v>
      </c>
      <c r="J3316" t="s">
        <v>35063</v>
      </c>
      <c r="K3316" t="s">
        <v>42284</v>
      </c>
      <c r="M3316" t="s">
        <v>43932</v>
      </c>
      <c r="N3316" t="s">
        <v>46569</v>
      </c>
      <c r="O3316" t="s">
        <v>46570</v>
      </c>
      <c r="P3316">
        <v>0</v>
      </c>
      <c r="Q3316">
        <v>0</v>
      </c>
      <c r="R3316" t="s">
        <v>46572</v>
      </c>
      <c r="S3316" t="s">
        <v>46689</v>
      </c>
      <c r="T3316" t="s">
        <v>48219</v>
      </c>
      <c r="U3316" t="s">
        <v>51549</v>
      </c>
      <c r="W3316" t="s">
        <v>43932</v>
      </c>
      <c r="X3316" t="s">
        <v>46573</v>
      </c>
    </row>
    <row r="3317" spans="1:24">
      <c r="A3317">
        <f>HYPERLINK("https://www.philgeps.gov.ph/GEPSNONPILOT/Tender/SplashBidNoticeAbstractUI.aspx?menuIndex=3&amp;refID=7062660&amp;Result=3","7062660")</f>
        <v>0</v>
      </c>
      <c r="B3317" t="s">
        <v>1301</v>
      </c>
      <c r="C3317" t="s">
        <v>6731</v>
      </c>
      <c r="D3317" t="s">
        <v>18855</v>
      </c>
      <c r="E3317" t="s">
        <v>21861</v>
      </c>
      <c r="F3317" t="s">
        <v>32664</v>
      </c>
      <c r="G3317" t="s">
        <v>32671</v>
      </c>
      <c r="H3317" t="s">
        <v>12635</v>
      </c>
      <c r="I3317" t="s">
        <v>6628</v>
      </c>
      <c r="J3317" t="s">
        <v>33128</v>
      </c>
      <c r="K3317" t="s">
        <v>42289</v>
      </c>
      <c r="M3317" t="s">
        <v>43946</v>
      </c>
      <c r="N3317" t="s">
        <v>46569</v>
      </c>
      <c r="O3317" t="s">
        <v>46570</v>
      </c>
      <c r="P3317">
        <v>0</v>
      </c>
      <c r="Q3317">
        <v>4</v>
      </c>
      <c r="R3317" t="s">
        <v>46572</v>
      </c>
      <c r="S3317" t="s">
        <v>46689</v>
      </c>
      <c r="T3317" t="s">
        <v>48219</v>
      </c>
      <c r="U3317" t="s">
        <v>51550</v>
      </c>
      <c r="W3317" t="s">
        <v>43946</v>
      </c>
      <c r="X3317" t="s">
        <v>46573</v>
      </c>
    </row>
    <row r="3318" spans="1:24">
      <c r="A3318">
        <f>HYPERLINK("https://www.philgeps.gov.ph/GEPSNONPILOT/Tender/SplashBidNoticeAbstractUI.aspx?menuIndex=3&amp;refID=7062713&amp;Result=3","7062713")</f>
        <v>0</v>
      </c>
      <c r="B3318" t="s">
        <v>1102</v>
      </c>
      <c r="C3318" t="s">
        <v>6732</v>
      </c>
      <c r="D3318" t="s">
        <v>18784</v>
      </c>
      <c r="E3318" t="s">
        <v>21901</v>
      </c>
      <c r="F3318" t="s">
        <v>32664</v>
      </c>
      <c r="G3318" t="s">
        <v>32674</v>
      </c>
      <c r="H3318" t="s">
        <v>12635</v>
      </c>
      <c r="I3318" t="s">
        <v>6168</v>
      </c>
      <c r="J3318" t="s">
        <v>33651</v>
      </c>
      <c r="K3318" t="s">
        <v>42283</v>
      </c>
      <c r="M3318" t="s">
        <v>43729</v>
      </c>
      <c r="N3318" t="s">
        <v>46569</v>
      </c>
      <c r="O3318" t="s">
        <v>46570</v>
      </c>
      <c r="P3318">
        <v>0</v>
      </c>
      <c r="Q3318">
        <v>5</v>
      </c>
      <c r="R3318" t="s">
        <v>46572</v>
      </c>
      <c r="S3318" t="s">
        <v>46689</v>
      </c>
      <c r="T3318" t="s">
        <v>48316</v>
      </c>
      <c r="U3318" t="s">
        <v>51551</v>
      </c>
      <c r="W3318" t="s">
        <v>43729</v>
      </c>
      <c r="X3318" t="s">
        <v>46573</v>
      </c>
    </row>
    <row r="3319" spans="1:24">
      <c r="A3319">
        <f>HYPERLINK("https://www.philgeps.gov.ph/GEPSNONPILOT/Tender/SplashBidNoticeAbstractUI.aspx?menuIndex=3&amp;refID=7062658&amp;Result=3","7062658")</f>
        <v>0</v>
      </c>
      <c r="B3319" t="s">
        <v>27</v>
      </c>
      <c r="C3319" t="s">
        <v>6733</v>
      </c>
      <c r="E3319" t="s">
        <v>21902</v>
      </c>
      <c r="F3319" t="s">
        <v>32664</v>
      </c>
      <c r="G3319" t="s">
        <v>32675</v>
      </c>
      <c r="H3319" t="s">
        <v>12635</v>
      </c>
      <c r="I3319" t="s">
        <v>6118</v>
      </c>
      <c r="J3319" t="s">
        <v>35064</v>
      </c>
      <c r="K3319" t="s">
        <v>42283</v>
      </c>
      <c r="M3319" t="s">
        <v>43316</v>
      </c>
      <c r="N3319" t="s">
        <v>46569</v>
      </c>
      <c r="O3319" t="s">
        <v>46570</v>
      </c>
      <c r="P3319">
        <v>0</v>
      </c>
      <c r="Q3319">
        <v>2</v>
      </c>
      <c r="R3319" t="s">
        <v>46572</v>
      </c>
      <c r="S3319" t="s">
        <v>46689</v>
      </c>
      <c r="T3319" t="s">
        <v>48219</v>
      </c>
      <c r="U3319" t="s">
        <v>50148</v>
      </c>
      <c r="W3319" t="s">
        <v>43316</v>
      </c>
      <c r="X3319" t="s">
        <v>46573</v>
      </c>
    </row>
    <row r="3320" spans="1:24">
      <c r="A3320">
        <f>HYPERLINK("https://www.philgeps.gov.ph/GEPSNONPILOT/Tender/SplashBidNoticeAbstractUI.aspx?menuIndex=3&amp;refID=7062662&amp;Result=3","7062662")</f>
        <v>0</v>
      </c>
      <c r="B3320" t="s">
        <v>438</v>
      </c>
      <c r="C3320" t="s">
        <v>6734</v>
      </c>
      <c r="D3320" t="s">
        <v>18855</v>
      </c>
      <c r="E3320" t="s">
        <v>21903</v>
      </c>
      <c r="F3320" t="s">
        <v>32664</v>
      </c>
      <c r="G3320" t="s">
        <v>32672</v>
      </c>
      <c r="H3320" t="s">
        <v>32683</v>
      </c>
      <c r="I3320" t="s">
        <v>10627</v>
      </c>
      <c r="J3320" t="s">
        <v>34930</v>
      </c>
      <c r="K3320" t="s">
        <v>42352</v>
      </c>
      <c r="M3320" t="s">
        <v>43010</v>
      </c>
      <c r="N3320" t="s">
        <v>46569</v>
      </c>
      <c r="O3320" t="s">
        <v>46570</v>
      </c>
      <c r="P3320">
        <v>0</v>
      </c>
      <c r="Q3320">
        <v>4</v>
      </c>
      <c r="R3320" t="s">
        <v>46572</v>
      </c>
      <c r="S3320" t="s">
        <v>46689</v>
      </c>
      <c r="T3320" t="s">
        <v>48308</v>
      </c>
      <c r="U3320" t="s">
        <v>51552</v>
      </c>
      <c r="W3320" t="s">
        <v>43010</v>
      </c>
      <c r="X3320" t="s">
        <v>46573</v>
      </c>
    </row>
    <row r="3321" spans="1:24">
      <c r="A3321">
        <f>HYPERLINK("https://www.philgeps.gov.ph/GEPSNONPILOT/Tender/SplashBidNoticeAbstractUI.aspx?menuIndex=3&amp;refID=7062667&amp;Result=3","7062667")</f>
        <v>0</v>
      </c>
      <c r="B3321" t="s">
        <v>1278</v>
      </c>
      <c r="C3321" t="s">
        <v>6735</v>
      </c>
      <c r="D3321" t="s">
        <v>18826</v>
      </c>
      <c r="E3321" t="s">
        <v>21904</v>
      </c>
      <c r="F3321" t="s">
        <v>32664</v>
      </c>
      <c r="G3321" t="s">
        <v>32672</v>
      </c>
      <c r="H3321" t="s">
        <v>12635</v>
      </c>
      <c r="I3321" t="s">
        <v>32694</v>
      </c>
      <c r="J3321" t="s">
        <v>35065</v>
      </c>
      <c r="K3321" t="s">
        <v>42281</v>
      </c>
      <c r="M3321" t="s">
        <v>43921</v>
      </c>
      <c r="N3321" t="s">
        <v>46569</v>
      </c>
      <c r="O3321" t="s">
        <v>46570</v>
      </c>
      <c r="P3321">
        <v>0</v>
      </c>
      <c r="Q3321">
        <v>0</v>
      </c>
      <c r="R3321" t="s">
        <v>46572</v>
      </c>
      <c r="S3321" t="s">
        <v>46689</v>
      </c>
      <c r="T3321" t="s">
        <v>48312</v>
      </c>
      <c r="U3321" t="s">
        <v>51553</v>
      </c>
      <c r="V3321" t="s">
        <v>61962</v>
      </c>
      <c r="W3321" t="s">
        <v>43921</v>
      </c>
      <c r="X3321" t="s">
        <v>46573</v>
      </c>
    </row>
    <row r="3322" spans="1:24">
      <c r="A3322">
        <f>HYPERLINK("https://www.philgeps.gov.ph/GEPSNONPILOT/Tender/SplashBidNoticeAbstractUI.aspx?menuIndex=3&amp;refID=7062702&amp;Result=3","7062702")</f>
        <v>0</v>
      </c>
      <c r="B3322" t="s">
        <v>1302</v>
      </c>
      <c r="C3322" t="s">
        <v>6736</v>
      </c>
      <c r="D3322" t="s">
        <v>18792</v>
      </c>
      <c r="E3322" t="s">
        <v>19137</v>
      </c>
      <c r="F3322" t="s">
        <v>32664</v>
      </c>
      <c r="G3322" t="s">
        <v>32672</v>
      </c>
      <c r="H3322" t="s">
        <v>12635</v>
      </c>
      <c r="I3322" t="s">
        <v>4439</v>
      </c>
      <c r="J3322" t="s">
        <v>35066</v>
      </c>
      <c r="K3322" t="s">
        <v>42284</v>
      </c>
      <c r="L3322" t="s">
        <v>1302</v>
      </c>
      <c r="M3322" t="s">
        <v>43947</v>
      </c>
      <c r="N3322" t="s">
        <v>46569</v>
      </c>
      <c r="O3322" t="s">
        <v>46570</v>
      </c>
      <c r="P3322">
        <v>0</v>
      </c>
      <c r="Q3322">
        <v>0</v>
      </c>
      <c r="R3322" t="s">
        <v>46572</v>
      </c>
      <c r="S3322" t="s">
        <v>46689</v>
      </c>
      <c r="T3322" t="s">
        <v>48312</v>
      </c>
      <c r="U3322" t="s">
        <v>51554</v>
      </c>
      <c r="W3322" t="s">
        <v>43947</v>
      </c>
      <c r="X3322" t="s">
        <v>46573</v>
      </c>
    </row>
    <row r="3323" spans="1:24">
      <c r="A3323">
        <f>HYPERLINK("https://www.philgeps.gov.ph/GEPSNONPILOT/Tender/SplashBidNoticeAbstractUI.aspx?menuIndex=3&amp;refID=7062699&amp;Result=3","7062699")</f>
        <v>0</v>
      </c>
      <c r="B3323" t="s">
        <v>438</v>
      </c>
      <c r="C3323" t="s">
        <v>6737</v>
      </c>
      <c r="D3323" t="s">
        <v>18855</v>
      </c>
      <c r="E3323" t="s">
        <v>21905</v>
      </c>
      <c r="F3323" t="s">
        <v>32664</v>
      </c>
      <c r="G3323" t="s">
        <v>32672</v>
      </c>
      <c r="H3323" t="s">
        <v>32683</v>
      </c>
      <c r="I3323" t="s">
        <v>10627</v>
      </c>
      <c r="J3323" t="s">
        <v>35067</v>
      </c>
      <c r="K3323" t="s">
        <v>42406</v>
      </c>
      <c r="M3323" t="s">
        <v>43010</v>
      </c>
      <c r="N3323" t="s">
        <v>46569</v>
      </c>
      <c r="O3323" t="s">
        <v>46570</v>
      </c>
      <c r="P3323">
        <v>0</v>
      </c>
      <c r="Q3323">
        <v>5</v>
      </c>
      <c r="R3323" t="s">
        <v>46572</v>
      </c>
      <c r="S3323" t="s">
        <v>46689</v>
      </c>
      <c r="T3323" t="s">
        <v>48308</v>
      </c>
      <c r="U3323" t="s">
        <v>51555</v>
      </c>
      <c r="W3323" t="s">
        <v>43010</v>
      </c>
      <c r="X3323" t="s">
        <v>46573</v>
      </c>
    </row>
    <row r="3324" spans="1:24">
      <c r="A3324">
        <f>HYPERLINK("https://www.philgeps.gov.ph/GEPSNONPILOT/Tender/SplashBidNoticeAbstractUI.aspx?menuIndex=3&amp;refID=7062697&amp;Result=3","7062697")</f>
        <v>0</v>
      </c>
      <c r="B3324" t="s">
        <v>1102</v>
      </c>
      <c r="C3324" t="s">
        <v>6738</v>
      </c>
      <c r="D3324" t="s">
        <v>18784</v>
      </c>
      <c r="E3324" t="s">
        <v>21906</v>
      </c>
      <c r="F3324" t="s">
        <v>32664</v>
      </c>
      <c r="G3324" t="s">
        <v>32674</v>
      </c>
      <c r="H3324" t="s">
        <v>12635</v>
      </c>
      <c r="I3324" t="s">
        <v>10370</v>
      </c>
      <c r="J3324" t="s">
        <v>34247</v>
      </c>
      <c r="K3324" t="s">
        <v>42283</v>
      </c>
      <c r="M3324" t="s">
        <v>43729</v>
      </c>
      <c r="N3324" t="s">
        <v>46569</v>
      </c>
      <c r="O3324" t="s">
        <v>46570</v>
      </c>
      <c r="P3324">
        <v>0</v>
      </c>
      <c r="Q3324">
        <v>1</v>
      </c>
      <c r="R3324" t="s">
        <v>46572</v>
      </c>
      <c r="S3324" t="s">
        <v>46689</v>
      </c>
      <c r="T3324" t="s">
        <v>48316</v>
      </c>
      <c r="U3324" t="s">
        <v>51556</v>
      </c>
      <c r="W3324" t="s">
        <v>43729</v>
      </c>
      <c r="X3324" t="s">
        <v>46573</v>
      </c>
    </row>
    <row r="3325" spans="1:24">
      <c r="A3325">
        <f>HYPERLINK("https://www.philgeps.gov.ph/GEPSNONPILOT/Tender/SplashBidNoticeAbstractUI.aspx?menuIndex=3&amp;refID=7062707&amp;Result=3","7062707")</f>
        <v>0</v>
      </c>
      <c r="B3325" t="s">
        <v>438</v>
      </c>
      <c r="C3325" t="s">
        <v>6739</v>
      </c>
      <c r="D3325" t="s">
        <v>18855</v>
      </c>
      <c r="E3325" t="s">
        <v>21907</v>
      </c>
      <c r="F3325" t="s">
        <v>32664</v>
      </c>
      <c r="G3325" t="s">
        <v>32672</v>
      </c>
      <c r="H3325" t="s">
        <v>32683</v>
      </c>
      <c r="I3325" t="s">
        <v>10627</v>
      </c>
      <c r="J3325" t="s">
        <v>35067</v>
      </c>
      <c r="K3325" t="s">
        <v>42406</v>
      </c>
      <c r="M3325" t="s">
        <v>43010</v>
      </c>
      <c r="N3325" t="s">
        <v>46569</v>
      </c>
      <c r="O3325" t="s">
        <v>46570</v>
      </c>
      <c r="P3325">
        <v>0</v>
      </c>
      <c r="Q3325">
        <v>4</v>
      </c>
      <c r="R3325" t="s">
        <v>46572</v>
      </c>
      <c r="S3325" t="s">
        <v>46689</v>
      </c>
      <c r="T3325" t="s">
        <v>48308</v>
      </c>
      <c r="U3325" t="s">
        <v>51557</v>
      </c>
      <c r="W3325" t="s">
        <v>43010</v>
      </c>
      <c r="X3325" t="s">
        <v>46573</v>
      </c>
    </row>
    <row r="3326" spans="1:24">
      <c r="A3326">
        <f>HYPERLINK("https://www.philgeps.gov.ph/GEPSNONPILOT/Tender/SplashBidNoticeAbstractUI.aspx?menuIndex=3&amp;refID=7062649&amp;Result=3","7062649")</f>
        <v>0</v>
      </c>
      <c r="B3326" t="s">
        <v>1303</v>
      </c>
      <c r="C3326" t="s">
        <v>6740</v>
      </c>
      <c r="D3326" t="s">
        <v>18784</v>
      </c>
      <c r="E3326" t="s">
        <v>21908</v>
      </c>
      <c r="F3326" t="s">
        <v>32664</v>
      </c>
      <c r="G3326" t="s">
        <v>32671</v>
      </c>
      <c r="H3326" t="s">
        <v>12635</v>
      </c>
      <c r="I3326" t="s">
        <v>5589</v>
      </c>
      <c r="J3326" t="s">
        <v>35068</v>
      </c>
      <c r="K3326" t="s">
        <v>42289</v>
      </c>
      <c r="M3326" t="s">
        <v>43948</v>
      </c>
      <c r="N3326" t="s">
        <v>46569</v>
      </c>
      <c r="O3326" t="s">
        <v>46570</v>
      </c>
      <c r="P3326">
        <v>0</v>
      </c>
      <c r="Q3326">
        <v>13</v>
      </c>
      <c r="R3326" t="s">
        <v>46572</v>
      </c>
      <c r="S3326" t="s">
        <v>46689</v>
      </c>
      <c r="T3326" t="s">
        <v>48244</v>
      </c>
      <c r="U3326" t="s">
        <v>51558</v>
      </c>
      <c r="W3326" t="s">
        <v>43948</v>
      </c>
      <c r="X3326" t="s">
        <v>46573</v>
      </c>
    </row>
    <row r="3327" spans="1:24">
      <c r="A3327">
        <f>HYPERLINK("https://www.philgeps.gov.ph/GEPSNONPILOT/Tender/SplashBidNoticeAbstractUI.aspx?menuIndex=3&amp;refID=7062666&amp;Result=3","7062666")</f>
        <v>0</v>
      </c>
      <c r="B3327" t="s">
        <v>1131</v>
      </c>
      <c r="C3327" t="s">
        <v>6741</v>
      </c>
      <c r="D3327" t="s">
        <v>18847</v>
      </c>
      <c r="E3327" t="s">
        <v>21909</v>
      </c>
      <c r="F3327" t="s">
        <v>32664</v>
      </c>
      <c r="G3327" t="s">
        <v>32671</v>
      </c>
      <c r="H3327" t="s">
        <v>12635</v>
      </c>
      <c r="I3327" t="s">
        <v>32684</v>
      </c>
      <c r="J3327" t="s">
        <v>34279</v>
      </c>
      <c r="K3327" t="s">
        <v>42283</v>
      </c>
      <c r="M3327" t="s">
        <v>43760</v>
      </c>
      <c r="N3327" t="s">
        <v>46569</v>
      </c>
      <c r="O3327" t="s">
        <v>46570</v>
      </c>
      <c r="P3327">
        <v>0</v>
      </c>
      <c r="Q3327">
        <v>2</v>
      </c>
      <c r="R3327" t="s">
        <v>46572</v>
      </c>
      <c r="S3327" t="s">
        <v>46689</v>
      </c>
      <c r="T3327" t="s">
        <v>48256</v>
      </c>
      <c r="U3327" t="s">
        <v>51559</v>
      </c>
      <c r="W3327" t="s">
        <v>43760</v>
      </c>
      <c r="X3327" t="s">
        <v>46573</v>
      </c>
    </row>
    <row r="3328" spans="1:24">
      <c r="A3328">
        <f>HYPERLINK("https://www.philgeps.gov.ph/GEPSNONPILOT/Tender/SplashBidNoticeAbstractUI.aspx?menuIndex=3&amp;refID=7062710&amp;Result=3","7062710")</f>
        <v>0</v>
      </c>
      <c r="B3328" t="s">
        <v>1120</v>
      </c>
      <c r="C3328" t="s">
        <v>6742</v>
      </c>
      <c r="D3328" t="s">
        <v>18781</v>
      </c>
      <c r="E3328" t="s">
        <v>20248</v>
      </c>
      <c r="F3328" t="s">
        <v>32664</v>
      </c>
      <c r="G3328" t="s">
        <v>32671</v>
      </c>
      <c r="H3328" t="s">
        <v>12635</v>
      </c>
      <c r="I3328" t="s">
        <v>32699</v>
      </c>
      <c r="J3328" t="s">
        <v>33069</v>
      </c>
      <c r="K3328" t="s">
        <v>42284</v>
      </c>
      <c r="M3328" t="s">
        <v>43749</v>
      </c>
      <c r="N3328" t="s">
        <v>46569</v>
      </c>
      <c r="O3328" t="s">
        <v>46570</v>
      </c>
      <c r="P3328">
        <v>0</v>
      </c>
      <c r="Q3328">
        <v>0</v>
      </c>
      <c r="R3328" t="s">
        <v>46572</v>
      </c>
      <c r="S3328" t="s">
        <v>46689</v>
      </c>
      <c r="T3328" t="s">
        <v>48256</v>
      </c>
      <c r="U3328" t="s">
        <v>51560</v>
      </c>
      <c r="V3328" t="s">
        <v>61963</v>
      </c>
      <c r="W3328" t="s">
        <v>43749</v>
      </c>
      <c r="X3328" t="s">
        <v>46573</v>
      </c>
    </row>
    <row r="3329" spans="1:24">
      <c r="A3329">
        <f>HYPERLINK("https://www.philgeps.gov.ph/GEPSNONPILOT/Tender/SplashBidNoticeAbstractUI.aspx?menuIndex=3&amp;refID=7062698&amp;Result=3","7062698")</f>
        <v>0</v>
      </c>
      <c r="B3329" t="s">
        <v>1232</v>
      </c>
      <c r="C3329" t="s">
        <v>6743</v>
      </c>
      <c r="D3329" t="s">
        <v>18838</v>
      </c>
      <c r="E3329" t="s">
        <v>21910</v>
      </c>
      <c r="F3329" t="s">
        <v>32664</v>
      </c>
      <c r="G3329" t="s">
        <v>32671</v>
      </c>
      <c r="H3329" t="s">
        <v>12635</v>
      </c>
      <c r="I3329" t="s">
        <v>8730</v>
      </c>
      <c r="J3329" t="s">
        <v>35069</v>
      </c>
      <c r="K3329" t="s">
        <v>42283</v>
      </c>
      <c r="L3329" t="s">
        <v>1232</v>
      </c>
      <c r="M3329" t="s">
        <v>43873</v>
      </c>
      <c r="N3329" t="s">
        <v>46569</v>
      </c>
      <c r="O3329" t="s">
        <v>46570</v>
      </c>
      <c r="P3329">
        <v>0</v>
      </c>
      <c r="Q3329">
        <v>4</v>
      </c>
      <c r="R3329" t="s">
        <v>46572</v>
      </c>
      <c r="S3329" t="s">
        <v>46689</v>
      </c>
      <c r="T3329" t="s">
        <v>48256</v>
      </c>
      <c r="U3329" t="s">
        <v>51411</v>
      </c>
      <c r="W3329" t="s">
        <v>43873</v>
      </c>
      <c r="X3329" t="s">
        <v>46573</v>
      </c>
    </row>
    <row r="3330" spans="1:24">
      <c r="A3330">
        <f>HYPERLINK("https://www.philgeps.gov.ph/GEPSNONPILOT/Tender/SplashBidNoticeAbstractUI.aspx?menuIndex=3&amp;refID=7062684&amp;Result=3","7062684")</f>
        <v>0</v>
      </c>
      <c r="B3330" t="s">
        <v>1232</v>
      </c>
      <c r="C3330" t="s">
        <v>6744</v>
      </c>
      <c r="D3330" t="s">
        <v>18838</v>
      </c>
      <c r="E3330" t="s">
        <v>21911</v>
      </c>
      <c r="F3330" t="s">
        <v>32664</v>
      </c>
      <c r="G3330" t="s">
        <v>32671</v>
      </c>
      <c r="H3330" t="s">
        <v>32683</v>
      </c>
      <c r="I3330" t="s">
        <v>10627</v>
      </c>
      <c r="J3330" t="s">
        <v>35070</v>
      </c>
      <c r="K3330" t="s">
        <v>42283</v>
      </c>
      <c r="L3330" t="s">
        <v>1232</v>
      </c>
      <c r="M3330" t="s">
        <v>43873</v>
      </c>
      <c r="N3330" t="s">
        <v>46569</v>
      </c>
      <c r="O3330" t="s">
        <v>46570</v>
      </c>
      <c r="P3330">
        <v>0</v>
      </c>
      <c r="Q3330">
        <v>4</v>
      </c>
      <c r="R3330" t="s">
        <v>46572</v>
      </c>
      <c r="S3330" t="s">
        <v>46689</v>
      </c>
      <c r="T3330" t="s">
        <v>48256</v>
      </c>
      <c r="U3330" t="s">
        <v>51411</v>
      </c>
      <c r="W3330" t="s">
        <v>43873</v>
      </c>
      <c r="X3330" t="s">
        <v>46573</v>
      </c>
    </row>
    <row r="3331" spans="1:24">
      <c r="A3331">
        <f>HYPERLINK("https://www.philgeps.gov.ph/GEPSNONPILOT/Tender/SplashBidNoticeAbstractUI.aspx?menuIndex=3&amp;refID=7062694&amp;Result=3","7062694")</f>
        <v>0</v>
      </c>
      <c r="B3331" t="s">
        <v>438</v>
      </c>
      <c r="C3331" t="s">
        <v>6745</v>
      </c>
      <c r="D3331" t="s">
        <v>18855</v>
      </c>
      <c r="E3331" t="s">
        <v>21912</v>
      </c>
      <c r="F3331" t="s">
        <v>32664</v>
      </c>
      <c r="G3331" t="s">
        <v>32672</v>
      </c>
      <c r="H3331" t="s">
        <v>32683</v>
      </c>
      <c r="I3331" t="s">
        <v>10627</v>
      </c>
      <c r="J3331" t="s">
        <v>35071</v>
      </c>
      <c r="K3331" t="s">
        <v>42407</v>
      </c>
      <c r="M3331" t="s">
        <v>43010</v>
      </c>
      <c r="N3331" t="s">
        <v>46569</v>
      </c>
      <c r="O3331" t="s">
        <v>46570</v>
      </c>
      <c r="P3331">
        <v>0</v>
      </c>
      <c r="Q3331">
        <v>3</v>
      </c>
      <c r="R3331" t="s">
        <v>46572</v>
      </c>
      <c r="S3331" t="s">
        <v>46689</v>
      </c>
      <c r="T3331" t="s">
        <v>48308</v>
      </c>
      <c r="U3331" t="s">
        <v>51561</v>
      </c>
      <c r="W3331" t="s">
        <v>43010</v>
      </c>
      <c r="X3331" t="s">
        <v>46573</v>
      </c>
    </row>
    <row r="3332" spans="1:24">
      <c r="A3332">
        <f>HYPERLINK("https://www.philgeps.gov.ph/GEPSNONPILOT/Tender/SplashBidNoticeAbstractUI.aspx?menuIndex=3&amp;refID=7062688&amp;Result=3","7062688")</f>
        <v>0</v>
      </c>
      <c r="B3332" t="s">
        <v>438</v>
      </c>
      <c r="C3332" t="s">
        <v>6746</v>
      </c>
      <c r="D3332" t="s">
        <v>18855</v>
      </c>
      <c r="E3332" t="s">
        <v>21913</v>
      </c>
      <c r="F3332" t="s">
        <v>32664</v>
      </c>
      <c r="G3332" t="s">
        <v>32672</v>
      </c>
      <c r="H3332" t="s">
        <v>32683</v>
      </c>
      <c r="I3332" t="s">
        <v>10627</v>
      </c>
      <c r="J3332" t="s">
        <v>34930</v>
      </c>
      <c r="K3332" t="s">
        <v>42352</v>
      </c>
      <c r="M3332" t="s">
        <v>43010</v>
      </c>
      <c r="N3332" t="s">
        <v>46569</v>
      </c>
      <c r="O3332" t="s">
        <v>46570</v>
      </c>
      <c r="P3332">
        <v>0</v>
      </c>
      <c r="Q3332">
        <v>4</v>
      </c>
      <c r="R3332" t="s">
        <v>46572</v>
      </c>
      <c r="S3332" t="s">
        <v>46689</v>
      </c>
      <c r="T3332" t="s">
        <v>48308</v>
      </c>
      <c r="U3332" t="s">
        <v>51562</v>
      </c>
      <c r="W3332" t="s">
        <v>43010</v>
      </c>
      <c r="X3332" t="s">
        <v>46573</v>
      </c>
    </row>
    <row r="3333" spans="1:24">
      <c r="A3333">
        <f>HYPERLINK("https://www.philgeps.gov.ph/GEPSNONPILOT/Tender/SplashBidNoticeAbstractUI.aspx?menuIndex=3&amp;refID=7062682&amp;Result=3","7062682")</f>
        <v>0</v>
      </c>
      <c r="B3333" t="s">
        <v>834</v>
      </c>
      <c r="C3333" t="s">
        <v>6719</v>
      </c>
      <c r="D3333" t="s">
        <v>18831</v>
      </c>
      <c r="E3333" t="s">
        <v>21914</v>
      </c>
      <c r="F3333" t="s">
        <v>32664</v>
      </c>
      <c r="G3333" t="s">
        <v>32674</v>
      </c>
      <c r="H3333" t="s">
        <v>12635</v>
      </c>
      <c r="I3333" t="s">
        <v>6223</v>
      </c>
      <c r="J3333" t="s">
        <v>35072</v>
      </c>
      <c r="K3333" t="s">
        <v>42283</v>
      </c>
      <c r="M3333" t="s">
        <v>43740</v>
      </c>
      <c r="N3333" t="s">
        <v>46569</v>
      </c>
      <c r="O3333" t="s">
        <v>46570</v>
      </c>
      <c r="P3333">
        <v>0</v>
      </c>
      <c r="Q3333">
        <v>0</v>
      </c>
      <c r="R3333" t="s">
        <v>46572</v>
      </c>
      <c r="S3333" t="s">
        <v>46689</v>
      </c>
      <c r="T3333" t="s">
        <v>48420</v>
      </c>
      <c r="U3333" t="s">
        <v>50379</v>
      </c>
      <c r="V3333" t="s">
        <v>61824</v>
      </c>
      <c r="W3333" t="s">
        <v>43740</v>
      </c>
      <c r="X3333" t="s">
        <v>46573</v>
      </c>
    </row>
    <row r="3334" spans="1:24">
      <c r="A3334">
        <f>HYPERLINK("https://www.philgeps.gov.ph/GEPSNONPILOT/Tender/SplashBidNoticeAbstractUI.aspx?menuIndex=3&amp;refID=7062677&amp;Result=3","7062677")</f>
        <v>0</v>
      </c>
      <c r="B3334" t="s">
        <v>834</v>
      </c>
      <c r="C3334" t="s">
        <v>6719</v>
      </c>
      <c r="D3334" t="s">
        <v>18831</v>
      </c>
      <c r="E3334" t="s">
        <v>21915</v>
      </c>
      <c r="F3334" t="s">
        <v>32664</v>
      </c>
      <c r="G3334" t="s">
        <v>32674</v>
      </c>
      <c r="H3334" t="s">
        <v>12635</v>
      </c>
      <c r="I3334" t="s">
        <v>6223</v>
      </c>
      <c r="J3334" t="s">
        <v>35073</v>
      </c>
      <c r="K3334" t="s">
        <v>42283</v>
      </c>
      <c r="M3334" t="s">
        <v>43740</v>
      </c>
      <c r="N3334" t="s">
        <v>46569</v>
      </c>
      <c r="O3334" t="s">
        <v>46570</v>
      </c>
      <c r="P3334">
        <v>0</v>
      </c>
      <c r="Q3334">
        <v>1</v>
      </c>
      <c r="R3334" t="s">
        <v>46572</v>
      </c>
      <c r="S3334" t="s">
        <v>46689</v>
      </c>
      <c r="T3334" t="s">
        <v>48420</v>
      </c>
      <c r="U3334" t="s">
        <v>50379</v>
      </c>
      <c r="V3334" t="s">
        <v>61824</v>
      </c>
      <c r="W3334" t="s">
        <v>43740</v>
      </c>
      <c r="X3334" t="s">
        <v>46573</v>
      </c>
    </row>
    <row r="3335" spans="1:24">
      <c r="A3335">
        <f>HYPERLINK("https://www.philgeps.gov.ph/GEPSNONPILOT/Tender/SplashBidNoticeAbstractUI.aspx?menuIndex=3&amp;refID=7062685&amp;Result=3","7062685")</f>
        <v>0</v>
      </c>
      <c r="B3335" t="s">
        <v>1304</v>
      </c>
      <c r="C3335" t="s">
        <v>6747</v>
      </c>
      <c r="D3335" t="s">
        <v>18801</v>
      </c>
      <c r="E3335" t="s">
        <v>20098</v>
      </c>
      <c r="F3335" t="s">
        <v>32666</v>
      </c>
      <c r="G3335" t="s">
        <v>32674</v>
      </c>
      <c r="H3335" t="s">
        <v>32683</v>
      </c>
      <c r="I3335" t="s">
        <v>32721</v>
      </c>
      <c r="J3335" t="s">
        <v>33893</v>
      </c>
      <c r="K3335" t="s">
        <v>42339</v>
      </c>
      <c r="M3335" t="s">
        <v>43949</v>
      </c>
      <c r="N3335" t="s">
        <v>46569</v>
      </c>
      <c r="O3335" t="s">
        <v>46570</v>
      </c>
      <c r="P3335">
        <v>0</v>
      </c>
      <c r="Q3335">
        <v>0</v>
      </c>
      <c r="R3335" t="s">
        <v>46572</v>
      </c>
      <c r="S3335" t="s">
        <v>46689</v>
      </c>
      <c r="T3335" t="s">
        <v>48476</v>
      </c>
      <c r="U3335" t="s">
        <v>51563</v>
      </c>
      <c r="W3335" t="s">
        <v>43949</v>
      </c>
      <c r="X3335" t="s">
        <v>46573</v>
      </c>
    </row>
    <row r="3336" spans="1:24">
      <c r="A3336">
        <f>HYPERLINK("https://www.philgeps.gov.ph/GEPSNONPILOT/Tender/SplashBidNoticeAbstractUI.aspx?menuIndex=3&amp;refID=7062675&amp;Result=3","7062675")</f>
        <v>0</v>
      </c>
      <c r="B3336" t="s">
        <v>195</v>
      </c>
      <c r="C3336" t="s">
        <v>6748</v>
      </c>
      <c r="D3336" t="s">
        <v>18824</v>
      </c>
      <c r="E3336" t="s">
        <v>20738</v>
      </c>
      <c r="F3336" t="s">
        <v>32664</v>
      </c>
      <c r="G3336" t="s">
        <v>32672</v>
      </c>
      <c r="H3336" t="s">
        <v>12635</v>
      </c>
      <c r="I3336" t="s">
        <v>32696</v>
      </c>
      <c r="J3336" t="s">
        <v>32853</v>
      </c>
      <c r="K3336" t="s">
        <v>42298</v>
      </c>
      <c r="M3336" t="s">
        <v>42759</v>
      </c>
      <c r="N3336" t="s">
        <v>46569</v>
      </c>
      <c r="O3336" t="s">
        <v>46570</v>
      </c>
      <c r="P3336">
        <v>0</v>
      </c>
      <c r="Q3336">
        <v>1</v>
      </c>
      <c r="R3336" t="s">
        <v>46572</v>
      </c>
      <c r="S3336" t="s">
        <v>46689</v>
      </c>
      <c r="T3336" t="s">
        <v>48285</v>
      </c>
      <c r="U3336" t="s">
        <v>51564</v>
      </c>
      <c r="W3336" t="s">
        <v>42759</v>
      </c>
      <c r="X3336" t="s">
        <v>46573</v>
      </c>
    </row>
    <row r="3337" spans="1:24">
      <c r="A3337">
        <f>HYPERLINK("https://www.philgeps.gov.ph/GEPSNONPILOT/Tender/SplashBidNoticeAbstractUI.aspx?menuIndex=3&amp;refID=7062656&amp;Result=3","7062656")</f>
        <v>0</v>
      </c>
      <c r="B3337" t="s">
        <v>1305</v>
      </c>
      <c r="C3337" t="s">
        <v>6749</v>
      </c>
      <c r="D3337" t="s">
        <v>18822</v>
      </c>
      <c r="E3337" t="s">
        <v>19280</v>
      </c>
      <c r="F3337" t="s">
        <v>32664</v>
      </c>
      <c r="G3337" t="s">
        <v>32671</v>
      </c>
      <c r="H3337" t="s">
        <v>12635</v>
      </c>
      <c r="I3337" t="s">
        <v>6168</v>
      </c>
      <c r="J3337" t="s">
        <v>33452</v>
      </c>
      <c r="K3337" t="s">
        <v>42284</v>
      </c>
      <c r="M3337" t="s">
        <v>43950</v>
      </c>
      <c r="N3337" t="s">
        <v>46569</v>
      </c>
      <c r="O3337" t="s">
        <v>46570</v>
      </c>
      <c r="P3337">
        <v>0</v>
      </c>
      <c r="Q3337">
        <v>1</v>
      </c>
      <c r="R3337" t="s">
        <v>46572</v>
      </c>
      <c r="S3337" t="s">
        <v>46689</v>
      </c>
      <c r="T3337" t="s">
        <v>48293</v>
      </c>
      <c r="U3337" t="s">
        <v>51565</v>
      </c>
      <c r="W3337" t="s">
        <v>43950</v>
      </c>
      <c r="X3337" t="s">
        <v>46573</v>
      </c>
    </row>
    <row r="3338" spans="1:24">
      <c r="A3338">
        <f>HYPERLINK("https://www.philgeps.gov.ph/GEPSNONPILOT/Tender/SplashBidNoticeAbstractUI.aspx?menuIndex=3&amp;refID=7062691&amp;Result=3","7062691")</f>
        <v>0</v>
      </c>
      <c r="B3338" t="s">
        <v>1306</v>
      </c>
      <c r="C3338" t="s">
        <v>6750</v>
      </c>
      <c r="D3338" t="s">
        <v>18804</v>
      </c>
      <c r="E3338" t="s">
        <v>21916</v>
      </c>
      <c r="F3338" t="s">
        <v>32664</v>
      </c>
      <c r="G3338" t="s">
        <v>32671</v>
      </c>
      <c r="H3338" t="s">
        <v>12635</v>
      </c>
      <c r="I3338" t="s">
        <v>32694</v>
      </c>
      <c r="J3338" t="s">
        <v>35074</v>
      </c>
      <c r="K3338" t="s">
        <v>42309</v>
      </c>
      <c r="M3338" t="s">
        <v>43951</v>
      </c>
      <c r="N3338" t="s">
        <v>46569</v>
      </c>
      <c r="O3338" t="s">
        <v>46570</v>
      </c>
      <c r="P3338">
        <v>0</v>
      </c>
      <c r="Q3338">
        <v>1</v>
      </c>
      <c r="R3338" t="s">
        <v>46572</v>
      </c>
      <c r="S3338" t="s">
        <v>46689</v>
      </c>
      <c r="T3338" t="s">
        <v>48219</v>
      </c>
      <c r="U3338" t="s">
        <v>51566</v>
      </c>
      <c r="W3338" t="s">
        <v>43951</v>
      </c>
      <c r="X3338" t="s">
        <v>46573</v>
      </c>
    </row>
    <row r="3339" spans="1:24">
      <c r="A3339">
        <f>HYPERLINK("https://www.philgeps.gov.ph/GEPSNONPILOT/Tender/SplashBidNoticeAbstractUI.aspx?menuIndex=3&amp;refID=7062655&amp;Result=3","7062655")</f>
        <v>0</v>
      </c>
      <c r="B3339" t="s">
        <v>1261</v>
      </c>
      <c r="C3339" t="s">
        <v>6694</v>
      </c>
      <c r="D3339" t="s">
        <v>18804</v>
      </c>
      <c r="E3339" t="s">
        <v>21815</v>
      </c>
      <c r="F3339" t="s">
        <v>32664</v>
      </c>
      <c r="G3339" t="s">
        <v>32671</v>
      </c>
      <c r="H3339" t="s">
        <v>12635</v>
      </c>
      <c r="I3339" t="s">
        <v>5589</v>
      </c>
      <c r="J3339" t="s">
        <v>33830</v>
      </c>
      <c r="K3339" t="s">
        <v>42295</v>
      </c>
      <c r="M3339" t="s">
        <v>43904</v>
      </c>
      <c r="N3339" t="s">
        <v>46569</v>
      </c>
      <c r="O3339" t="s">
        <v>46570</v>
      </c>
      <c r="P3339">
        <v>0</v>
      </c>
      <c r="Q3339">
        <v>2</v>
      </c>
      <c r="R3339" t="s">
        <v>46572</v>
      </c>
      <c r="S3339" t="s">
        <v>46689</v>
      </c>
      <c r="T3339" t="s">
        <v>48244</v>
      </c>
      <c r="U3339" t="s">
        <v>51567</v>
      </c>
      <c r="W3339" t="s">
        <v>43904</v>
      </c>
      <c r="X3339" t="s">
        <v>46573</v>
      </c>
    </row>
    <row r="3340" spans="1:24">
      <c r="A3340">
        <f>HYPERLINK("https://www.philgeps.gov.ph/GEPSNONPILOT/Tender/SplashBidNoticeAbstractUI.aspx?menuIndex=3&amp;refID=7062683&amp;Result=3","7062683")</f>
        <v>0</v>
      </c>
      <c r="B3340" t="s">
        <v>1307</v>
      </c>
      <c r="C3340" t="s">
        <v>6751</v>
      </c>
      <c r="D3340" t="s">
        <v>18792</v>
      </c>
      <c r="E3340" t="s">
        <v>20015</v>
      </c>
      <c r="F3340" t="s">
        <v>32664</v>
      </c>
      <c r="G3340" t="s">
        <v>32674</v>
      </c>
      <c r="H3340" t="s">
        <v>12635</v>
      </c>
      <c r="I3340" t="s">
        <v>32706</v>
      </c>
      <c r="J3340" t="s">
        <v>34578</v>
      </c>
      <c r="K3340" t="s">
        <v>42295</v>
      </c>
      <c r="M3340" t="s">
        <v>43952</v>
      </c>
      <c r="N3340" t="s">
        <v>46569</v>
      </c>
      <c r="O3340" t="s">
        <v>46570</v>
      </c>
      <c r="P3340">
        <v>0</v>
      </c>
      <c r="Q3340">
        <v>0</v>
      </c>
      <c r="R3340" t="s">
        <v>46572</v>
      </c>
      <c r="S3340" t="s">
        <v>46689</v>
      </c>
      <c r="T3340" t="s">
        <v>48287</v>
      </c>
      <c r="U3340" t="s">
        <v>51568</v>
      </c>
      <c r="W3340" t="s">
        <v>43952</v>
      </c>
      <c r="X3340" t="s">
        <v>46573</v>
      </c>
    </row>
    <row r="3341" spans="1:24">
      <c r="A3341">
        <f>HYPERLINK("https://www.philgeps.gov.ph/GEPSNONPILOT/Tender/SplashBidNoticeAbstractUI.aspx?menuIndex=3&amp;refID=7062647&amp;Result=3","7062647")</f>
        <v>0</v>
      </c>
      <c r="B3341" t="s">
        <v>1115</v>
      </c>
      <c r="C3341" t="s">
        <v>6752</v>
      </c>
      <c r="D3341" t="s">
        <v>18791</v>
      </c>
      <c r="E3341" t="s">
        <v>21917</v>
      </c>
      <c r="F3341" t="s">
        <v>32664</v>
      </c>
      <c r="G3341" t="s">
        <v>32674</v>
      </c>
      <c r="H3341" t="s">
        <v>12635</v>
      </c>
      <c r="I3341" t="s">
        <v>7759</v>
      </c>
      <c r="J3341" t="s">
        <v>32853</v>
      </c>
      <c r="K3341" t="s">
        <v>42295</v>
      </c>
      <c r="M3341" t="s">
        <v>43953</v>
      </c>
      <c r="N3341" t="s">
        <v>46569</v>
      </c>
      <c r="O3341" t="s">
        <v>46570</v>
      </c>
      <c r="P3341">
        <v>0</v>
      </c>
      <c r="Q3341">
        <v>0</v>
      </c>
      <c r="R3341" t="s">
        <v>46572</v>
      </c>
      <c r="S3341" t="s">
        <v>46689</v>
      </c>
      <c r="T3341" t="s">
        <v>48287</v>
      </c>
      <c r="U3341" t="s">
        <v>51569</v>
      </c>
      <c r="W3341" t="s">
        <v>43953</v>
      </c>
      <c r="X3341" t="s">
        <v>46573</v>
      </c>
    </row>
    <row r="3342" spans="1:24">
      <c r="A3342">
        <f>HYPERLINK("https://www.philgeps.gov.ph/GEPSNONPILOT/Tender/SplashBidNoticeAbstractUI.aspx?menuIndex=3&amp;refID=7062686&amp;Result=3","7062686")</f>
        <v>0</v>
      </c>
      <c r="B3342" t="s">
        <v>834</v>
      </c>
      <c r="C3342" t="s">
        <v>6719</v>
      </c>
      <c r="D3342" t="s">
        <v>18831</v>
      </c>
      <c r="E3342" t="s">
        <v>21918</v>
      </c>
      <c r="F3342" t="s">
        <v>32664</v>
      </c>
      <c r="G3342" t="s">
        <v>32674</v>
      </c>
      <c r="H3342" t="s">
        <v>12635</v>
      </c>
      <c r="I3342" t="s">
        <v>6223</v>
      </c>
      <c r="J3342" t="s">
        <v>32976</v>
      </c>
      <c r="K3342" t="s">
        <v>42283</v>
      </c>
      <c r="M3342" t="s">
        <v>43740</v>
      </c>
      <c r="N3342" t="s">
        <v>46569</v>
      </c>
      <c r="O3342" t="s">
        <v>46570</v>
      </c>
      <c r="P3342">
        <v>0</v>
      </c>
      <c r="Q3342">
        <v>0</v>
      </c>
      <c r="R3342" t="s">
        <v>46572</v>
      </c>
      <c r="S3342" t="s">
        <v>46689</v>
      </c>
      <c r="T3342" t="s">
        <v>48420</v>
      </c>
      <c r="U3342" t="s">
        <v>50379</v>
      </c>
      <c r="V3342" t="s">
        <v>61824</v>
      </c>
      <c r="W3342" t="s">
        <v>43740</v>
      </c>
      <c r="X3342" t="s">
        <v>46573</v>
      </c>
    </row>
    <row r="3343" spans="1:24">
      <c r="A3343">
        <f>HYPERLINK("https://www.philgeps.gov.ph/GEPSNONPILOT/Tender/SplashBidNoticeAbstractUI.aspx?menuIndex=3&amp;refID=7062703&amp;Result=3","7062703")</f>
        <v>0</v>
      </c>
      <c r="B3343" t="s">
        <v>594</v>
      </c>
      <c r="C3343" t="s">
        <v>6753</v>
      </c>
      <c r="D3343" t="s">
        <v>18784</v>
      </c>
      <c r="E3343" t="s">
        <v>21919</v>
      </c>
      <c r="F3343" t="s">
        <v>32664</v>
      </c>
      <c r="G3343" t="s">
        <v>32674</v>
      </c>
      <c r="H3343" t="s">
        <v>12635</v>
      </c>
      <c r="I3343" t="s">
        <v>32758</v>
      </c>
      <c r="J3343" t="s">
        <v>35075</v>
      </c>
      <c r="K3343" t="s">
        <v>42297</v>
      </c>
      <c r="M3343" t="s">
        <v>43793</v>
      </c>
      <c r="N3343" t="s">
        <v>46569</v>
      </c>
      <c r="O3343" t="s">
        <v>46570</v>
      </c>
      <c r="P3343">
        <v>0</v>
      </c>
      <c r="Q3343">
        <v>0</v>
      </c>
      <c r="R3343" t="s">
        <v>46572</v>
      </c>
      <c r="S3343" t="s">
        <v>46689</v>
      </c>
      <c r="T3343" t="s">
        <v>48461</v>
      </c>
      <c r="U3343" t="s">
        <v>51570</v>
      </c>
      <c r="V3343" t="s">
        <v>61909</v>
      </c>
      <c r="W3343" t="s">
        <v>43793</v>
      </c>
      <c r="X3343" t="s">
        <v>46573</v>
      </c>
    </row>
    <row r="3344" spans="1:24">
      <c r="A3344">
        <f>HYPERLINK("https://www.philgeps.gov.ph/GEPSNONPILOT/Tender/SplashBidNoticeAbstractUI.aspx?menuIndex=3&amp;refID=7062652&amp;Result=3","7062652")</f>
        <v>0</v>
      </c>
      <c r="B3344" t="s">
        <v>273</v>
      </c>
      <c r="C3344" t="s">
        <v>6754</v>
      </c>
      <c r="D3344" t="s">
        <v>18812</v>
      </c>
      <c r="E3344" t="s">
        <v>21920</v>
      </c>
      <c r="F3344" t="s">
        <v>32664</v>
      </c>
      <c r="G3344" t="s">
        <v>32672</v>
      </c>
      <c r="H3344" t="s">
        <v>12635</v>
      </c>
      <c r="I3344" t="s">
        <v>32694</v>
      </c>
      <c r="J3344" t="s">
        <v>35076</v>
      </c>
      <c r="K3344" t="s">
        <v>42289</v>
      </c>
      <c r="M3344" t="s">
        <v>42838</v>
      </c>
      <c r="N3344" t="s">
        <v>46569</v>
      </c>
      <c r="O3344" t="s">
        <v>46570</v>
      </c>
      <c r="P3344">
        <v>0</v>
      </c>
      <c r="Q3344">
        <v>0</v>
      </c>
      <c r="R3344" t="s">
        <v>46572</v>
      </c>
      <c r="S3344" t="s">
        <v>46689</v>
      </c>
      <c r="T3344" t="s">
        <v>48380</v>
      </c>
      <c r="U3344" t="s">
        <v>51571</v>
      </c>
      <c r="W3344" t="s">
        <v>42838</v>
      </c>
      <c r="X3344" t="s">
        <v>46573</v>
      </c>
    </row>
    <row r="3345" spans="1:24">
      <c r="A3345">
        <f>HYPERLINK("https://www.philgeps.gov.ph/GEPSNONPILOT/Tender/SplashBidNoticeAbstractUI.aspx?menuIndex=3&amp;refID=7062648&amp;Result=3","7062648")</f>
        <v>0</v>
      </c>
      <c r="B3345" t="s">
        <v>1232</v>
      </c>
      <c r="C3345" t="s">
        <v>6755</v>
      </c>
      <c r="D3345" t="s">
        <v>18838</v>
      </c>
      <c r="E3345" t="s">
        <v>21921</v>
      </c>
      <c r="F3345" t="s">
        <v>32664</v>
      </c>
      <c r="G3345" t="s">
        <v>32671</v>
      </c>
      <c r="H3345" t="s">
        <v>32683</v>
      </c>
      <c r="I3345" t="s">
        <v>10627</v>
      </c>
      <c r="J3345" t="s">
        <v>35077</v>
      </c>
      <c r="K3345" t="s">
        <v>42283</v>
      </c>
      <c r="L3345" t="s">
        <v>1232</v>
      </c>
      <c r="M3345" t="s">
        <v>43873</v>
      </c>
      <c r="N3345" t="s">
        <v>46569</v>
      </c>
      <c r="O3345" t="s">
        <v>46570</v>
      </c>
      <c r="P3345">
        <v>0</v>
      </c>
      <c r="Q3345">
        <v>5</v>
      </c>
      <c r="R3345" t="s">
        <v>46572</v>
      </c>
      <c r="S3345" t="s">
        <v>46689</v>
      </c>
      <c r="T3345" t="s">
        <v>48256</v>
      </c>
      <c r="U3345" t="s">
        <v>51411</v>
      </c>
      <c r="W3345" t="s">
        <v>43873</v>
      </c>
      <c r="X3345" t="s">
        <v>46573</v>
      </c>
    </row>
    <row r="3346" spans="1:24">
      <c r="A3346">
        <f>HYPERLINK("https://www.philgeps.gov.ph/GEPSNONPILOT/Tender/SplashBidNoticeAbstractUI.aspx?menuIndex=3&amp;refID=7062750&amp;Result=3","7062750")</f>
        <v>0</v>
      </c>
      <c r="B3346" t="s">
        <v>878</v>
      </c>
      <c r="C3346" t="s">
        <v>6756</v>
      </c>
      <c r="E3346" t="s">
        <v>21922</v>
      </c>
      <c r="F3346" t="s">
        <v>32664</v>
      </c>
      <c r="G3346" t="s">
        <v>32671</v>
      </c>
      <c r="H3346" t="s">
        <v>12635</v>
      </c>
      <c r="I3346" t="s">
        <v>32752</v>
      </c>
      <c r="J3346" t="s">
        <v>35078</v>
      </c>
      <c r="K3346" t="s">
        <v>42283</v>
      </c>
      <c r="M3346" t="s">
        <v>43568</v>
      </c>
      <c r="N3346" t="s">
        <v>46569</v>
      </c>
      <c r="O3346" t="s">
        <v>46570</v>
      </c>
      <c r="P3346">
        <v>0</v>
      </c>
      <c r="Q3346">
        <v>0</v>
      </c>
      <c r="R3346" t="s">
        <v>46572</v>
      </c>
      <c r="S3346" t="s">
        <v>46689</v>
      </c>
      <c r="T3346" t="s">
        <v>48286</v>
      </c>
      <c r="U3346" t="s">
        <v>51572</v>
      </c>
      <c r="W3346" t="s">
        <v>63492</v>
      </c>
      <c r="X3346" t="s">
        <v>46573</v>
      </c>
    </row>
    <row r="3347" spans="1:24">
      <c r="A3347">
        <f>HYPERLINK("https://www.philgeps.gov.ph/GEPSNONPILOT/Tender/SplashBidNoticeAbstractUI.aspx?menuIndex=3&amp;refID=7062742&amp;Result=3","7062742")</f>
        <v>0</v>
      </c>
      <c r="B3347" t="s">
        <v>612</v>
      </c>
      <c r="C3347" t="s">
        <v>6757</v>
      </c>
      <c r="D3347" t="s">
        <v>18834</v>
      </c>
      <c r="E3347" t="s">
        <v>21923</v>
      </c>
      <c r="F3347" t="s">
        <v>32665</v>
      </c>
      <c r="G3347" t="s">
        <v>32674</v>
      </c>
      <c r="H3347" t="s">
        <v>12635</v>
      </c>
      <c r="I3347" t="s">
        <v>4439</v>
      </c>
      <c r="J3347" t="s">
        <v>33332</v>
      </c>
      <c r="K3347" t="s">
        <v>42332</v>
      </c>
      <c r="M3347" t="s">
        <v>43192</v>
      </c>
      <c r="N3347" t="s">
        <v>46569</v>
      </c>
      <c r="O3347" t="s">
        <v>46570</v>
      </c>
      <c r="P3347">
        <v>0</v>
      </c>
      <c r="Q3347">
        <v>0</v>
      </c>
      <c r="R3347" t="s">
        <v>46572</v>
      </c>
      <c r="S3347" t="s">
        <v>46689</v>
      </c>
      <c r="T3347" t="s">
        <v>48246</v>
      </c>
      <c r="U3347" t="s">
        <v>51573</v>
      </c>
      <c r="W3347" t="s">
        <v>43192</v>
      </c>
      <c r="X3347" t="s">
        <v>46573</v>
      </c>
    </row>
    <row r="3348" spans="1:24">
      <c r="A3348">
        <f>HYPERLINK("https://www.philgeps.gov.ph/GEPSNONPILOT/Tender/SplashBidNoticeAbstractUI.aspx?menuIndex=3&amp;refID=7062740&amp;Result=3","7062740")</f>
        <v>0</v>
      </c>
      <c r="B3348" t="s">
        <v>1306</v>
      </c>
      <c r="C3348" t="s">
        <v>6758</v>
      </c>
      <c r="D3348" t="s">
        <v>18804</v>
      </c>
      <c r="E3348" t="s">
        <v>21924</v>
      </c>
      <c r="F3348" t="s">
        <v>32664</v>
      </c>
      <c r="G3348" t="s">
        <v>32671</v>
      </c>
      <c r="H3348" t="s">
        <v>12635</v>
      </c>
      <c r="I3348" t="s">
        <v>4997</v>
      </c>
      <c r="J3348" t="s">
        <v>33140</v>
      </c>
      <c r="K3348" t="s">
        <v>42284</v>
      </c>
      <c r="M3348" t="s">
        <v>43951</v>
      </c>
      <c r="N3348" t="s">
        <v>46569</v>
      </c>
      <c r="O3348" t="s">
        <v>46570</v>
      </c>
      <c r="P3348">
        <v>0</v>
      </c>
      <c r="Q3348">
        <v>2</v>
      </c>
      <c r="R3348" t="s">
        <v>46572</v>
      </c>
      <c r="S3348" t="s">
        <v>46689</v>
      </c>
      <c r="T3348" t="s">
        <v>48219</v>
      </c>
      <c r="U3348" t="s">
        <v>51574</v>
      </c>
      <c r="W3348" t="s">
        <v>43951</v>
      </c>
      <c r="X3348" t="s">
        <v>46573</v>
      </c>
    </row>
    <row r="3349" spans="1:24">
      <c r="A3349">
        <f>HYPERLINK("https://www.philgeps.gov.ph/GEPSNONPILOT/Tender/SplashBidNoticeAbstractUI.aspx?menuIndex=3&amp;refID=7062749&amp;Result=3","7062749")</f>
        <v>0</v>
      </c>
      <c r="B3349" t="s">
        <v>1308</v>
      </c>
      <c r="C3349" t="s">
        <v>6759</v>
      </c>
      <c r="D3349" t="s">
        <v>18782</v>
      </c>
      <c r="E3349" t="s">
        <v>21925</v>
      </c>
      <c r="F3349" t="s">
        <v>32664</v>
      </c>
      <c r="G3349" t="s">
        <v>32671</v>
      </c>
      <c r="H3349" t="s">
        <v>12635</v>
      </c>
      <c r="I3349" t="s">
        <v>14442</v>
      </c>
      <c r="J3349" t="s">
        <v>35079</v>
      </c>
      <c r="K3349" t="s">
        <v>42289</v>
      </c>
      <c r="M3349" t="s">
        <v>43954</v>
      </c>
      <c r="N3349" t="s">
        <v>46569</v>
      </c>
      <c r="O3349" t="s">
        <v>46570</v>
      </c>
      <c r="P3349">
        <v>0</v>
      </c>
      <c r="Q3349">
        <v>0</v>
      </c>
      <c r="R3349" t="s">
        <v>46572</v>
      </c>
      <c r="S3349" t="s">
        <v>46689</v>
      </c>
      <c r="T3349" t="s">
        <v>48301</v>
      </c>
      <c r="U3349" t="s">
        <v>51575</v>
      </c>
      <c r="W3349" t="s">
        <v>43954</v>
      </c>
      <c r="X3349" t="s">
        <v>46573</v>
      </c>
    </row>
    <row r="3350" spans="1:24">
      <c r="A3350">
        <f>HYPERLINK("https://www.philgeps.gov.ph/GEPSNONPILOT/Tender/SplashBidNoticeAbstractUI.aspx?menuIndex=3&amp;refID=7062650&amp;Result=3","7062650")</f>
        <v>0</v>
      </c>
      <c r="B3350" t="s">
        <v>1309</v>
      </c>
      <c r="C3350" t="s">
        <v>6760</v>
      </c>
      <c r="D3350" t="s">
        <v>18784</v>
      </c>
      <c r="E3350" t="s">
        <v>20248</v>
      </c>
      <c r="F3350" t="s">
        <v>32664</v>
      </c>
      <c r="G3350" t="s">
        <v>32671</v>
      </c>
      <c r="H3350" t="s">
        <v>12635</v>
      </c>
      <c r="I3350" t="s">
        <v>32692</v>
      </c>
      <c r="J3350" t="s">
        <v>33852</v>
      </c>
      <c r="K3350" t="s">
        <v>42289</v>
      </c>
      <c r="M3350" t="s">
        <v>43955</v>
      </c>
      <c r="N3350" t="s">
        <v>46569</v>
      </c>
      <c r="O3350" t="s">
        <v>46570</v>
      </c>
      <c r="P3350">
        <v>0</v>
      </c>
      <c r="Q3350">
        <v>1</v>
      </c>
      <c r="R3350" t="s">
        <v>46572</v>
      </c>
      <c r="S3350" t="s">
        <v>46689</v>
      </c>
      <c r="T3350" t="s">
        <v>48268</v>
      </c>
      <c r="U3350" t="s">
        <v>51576</v>
      </c>
      <c r="W3350" t="s">
        <v>43955</v>
      </c>
      <c r="X3350" t="s">
        <v>46573</v>
      </c>
    </row>
    <row r="3351" spans="1:24">
      <c r="A3351">
        <f>HYPERLINK("https://www.philgeps.gov.ph/GEPSNONPILOT/Tender/SplashBidNoticeAbstractUI.aspx?menuIndex=3&amp;refID=7062623&amp;Result=3","7062623")</f>
        <v>0</v>
      </c>
      <c r="B3351" t="s">
        <v>1160</v>
      </c>
      <c r="C3351" t="s">
        <v>6761</v>
      </c>
      <c r="E3351" t="s">
        <v>21926</v>
      </c>
      <c r="F3351" t="s">
        <v>32664</v>
      </c>
      <c r="G3351" t="s">
        <v>32671</v>
      </c>
      <c r="H3351" t="s">
        <v>12635</v>
      </c>
      <c r="I3351" t="s">
        <v>4333</v>
      </c>
      <c r="J3351" t="s">
        <v>35080</v>
      </c>
      <c r="K3351" t="s">
        <v>42283</v>
      </c>
      <c r="M3351" t="s">
        <v>43791</v>
      </c>
      <c r="N3351" t="s">
        <v>46569</v>
      </c>
      <c r="O3351" t="s">
        <v>46570</v>
      </c>
      <c r="P3351">
        <v>0</v>
      </c>
      <c r="Q3351">
        <v>2</v>
      </c>
      <c r="R3351" t="s">
        <v>46572</v>
      </c>
      <c r="S3351" t="s">
        <v>46689</v>
      </c>
      <c r="T3351" t="s">
        <v>48219</v>
      </c>
      <c r="U3351" t="s">
        <v>51577</v>
      </c>
      <c r="W3351" t="s">
        <v>43791</v>
      </c>
      <c r="X3351" t="s">
        <v>46573</v>
      </c>
    </row>
    <row r="3352" spans="1:24">
      <c r="A3352">
        <f>HYPERLINK("https://www.philgeps.gov.ph/GEPSNONPILOT/Tender/SplashBidNoticeAbstractUI.aspx?menuIndex=3&amp;refID=7062734&amp;Result=3","7062734")</f>
        <v>0</v>
      </c>
      <c r="B3352" t="s">
        <v>1310</v>
      </c>
      <c r="C3352" t="s">
        <v>6762</v>
      </c>
      <c r="D3352" t="s">
        <v>18790</v>
      </c>
      <c r="E3352" t="s">
        <v>21927</v>
      </c>
      <c r="F3352" t="s">
        <v>32664</v>
      </c>
      <c r="G3352" t="s">
        <v>32672</v>
      </c>
      <c r="H3352" t="s">
        <v>12635</v>
      </c>
      <c r="I3352" t="s">
        <v>32706</v>
      </c>
      <c r="J3352" t="s">
        <v>35081</v>
      </c>
      <c r="K3352" t="s">
        <v>42283</v>
      </c>
      <c r="M3352" t="s">
        <v>43956</v>
      </c>
      <c r="N3352" t="s">
        <v>46569</v>
      </c>
      <c r="O3352" t="s">
        <v>46570</v>
      </c>
      <c r="P3352">
        <v>0</v>
      </c>
      <c r="Q3352">
        <v>0</v>
      </c>
      <c r="R3352" t="s">
        <v>46572</v>
      </c>
      <c r="S3352" t="s">
        <v>46689</v>
      </c>
      <c r="T3352" t="s">
        <v>48230</v>
      </c>
      <c r="U3352" t="s">
        <v>51578</v>
      </c>
      <c r="W3352" t="s">
        <v>43956</v>
      </c>
      <c r="X3352" t="s">
        <v>46573</v>
      </c>
    </row>
    <row r="3353" spans="1:24">
      <c r="A3353">
        <f>HYPERLINK("https://www.philgeps.gov.ph/GEPSNONPILOT/Tender/SplashBidNoticeAbstractUI.aspx?menuIndex=3&amp;refID=7062733&amp;Result=3","7062733")</f>
        <v>0</v>
      </c>
      <c r="B3353" t="s">
        <v>1311</v>
      </c>
      <c r="C3353" t="s">
        <v>6763</v>
      </c>
      <c r="D3353" t="s">
        <v>18790</v>
      </c>
      <c r="E3353" t="s">
        <v>21928</v>
      </c>
      <c r="F3353" t="s">
        <v>32664</v>
      </c>
      <c r="G3353" t="s">
        <v>32674</v>
      </c>
      <c r="H3353" t="s">
        <v>12635</v>
      </c>
      <c r="I3353" t="s">
        <v>6628</v>
      </c>
      <c r="J3353" t="s">
        <v>33831</v>
      </c>
      <c r="K3353" t="s">
        <v>42284</v>
      </c>
      <c r="M3353" t="s">
        <v>43957</v>
      </c>
      <c r="N3353" t="s">
        <v>46569</v>
      </c>
      <c r="O3353" t="s">
        <v>46570</v>
      </c>
      <c r="P3353">
        <v>0</v>
      </c>
      <c r="Q3353">
        <v>2</v>
      </c>
      <c r="R3353" t="s">
        <v>46572</v>
      </c>
      <c r="S3353" t="s">
        <v>46689</v>
      </c>
      <c r="T3353" t="s">
        <v>48283</v>
      </c>
      <c r="U3353" t="s">
        <v>51579</v>
      </c>
      <c r="W3353" t="s">
        <v>43957</v>
      </c>
      <c r="X3353" t="s">
        <v>46573</v>
      </c>
    </row>
    <row r="3354" spans="1:24">
      <c r="A3354">
        <f>HYPERLINK("https://www.philgeps.gov.ph/GEPSNONPILOT/Tender/SplashBidNoticeAbstractUI.aspx?menuIndex=3&amp;refID=7062744&amp;Result=3","7062744")</f>
        <v>0</v>
      </c>
      <c r="B3354" t="s">
        <v>1310</v>
      </c>
      <c r="C3354" t="s">
        <v>6762</v>
      </c>
      <c r="D3354" t="s">
        <v>18790</v>
      </c>
      <c r="E3354" t="s">
        <v>21929</v>
      </c>
      <c r="F3354" t="s">
        <v>32664</v>
      </c>
      <c r="G3354" t="s">
        <v>32672</v>
      </c>
      <c r="H3354" t="s">
        <v>12635</v>
      </c>
      <c r="I3354" t="s">
        <v>4439</v>
      </c>
      <c r="J3354" t="s">
        <v>35082</v>
      </c>
      <c r="K3354" t="s">
        <v>42283</v>
      </c>
      <c r="M3354" t="s">
        <v>43956</v>
      </c>
      <c r="N3354" t="s">
        <v>46569</v>
      </c>
      <c r="O3354" t="s">
        <v>46570</v>
      </c>
      <c r="P3354">
        <v>0</v>
      </c>
      <c r="Q3354">
        <v>0</v>
      </c>
      <c r="R3354" t="s">
        <v>46572</v>
      </c>
      <c r="S3354" t="s">
        <v>46689</v>
      </c>
      <c r="T3354" t="s">
        <v>48230</v>
      </c>
      <c r="U3354" t="s">
        <v>51578</v>
      </c>
      <c r="W3354" t="s">
        <v>43956</v>
      </c>
      <c r="X3354" t="s">
        <v>46573</v>
      </c>
    </row>
    <row r="3355" spans="1:24">
      <c r="A3355">
        <f>HYPERLINK("https://www.philgeps.gov.ph/GEPSNONPILOT/Tender/SplashBidNoticeAbstractUI.aspx?menuIndex=3&amp;refID=7062731&amp;Result=3","7062731")</f>
        <v>0</v>
      </c>
      <c r="B3355" t="s">
        <v>1308</v>
      </c>
      <c r="C3355" t="s">
        <v>6764</v>
      </c>
      <c r="D3355" t="s">
        <v>18782</v>
      </c>
      <c r="E3355" t="s">
        <v>21930</v>
      </c>
      <c r="F3355" t="s">
        <v>32664</v>
      </c>
      <c r="G3355" t="s">
        <v>32671</v>
      </c>
      <c r="H3355" t="s">
        <v>12635</v>
      </c>
      <c r="I3355" t="s">
        <v>32755</v>
      </c>
      <c r="J3355" t="s">
        <v>35083</v>
      </c>
      <c r="K3355" t="s">
        <v>42289</v>
      </c>
      <c r="M3355" t="s">
        <v>43954</v>
      </c>
      <c r="N3355" t="s">
        <v>46569</v>
      </c>
      <c r="O3355" t="s">
        <v>46570</v>
      </c>
      <c r="P3355">
        <v>0</v>
      </c>
      <c r="Q3355">
        <v>1</v>
      </c>
      <c r="R3355" t="s">
        <v>46572</v>
      </c>
      <c r="S3355" t="s">
        <v>46689</v>
      </c>
      <c r="T3355" t="s">
        <v>48217</v>
      </c>
      <c r="U3355" t="s">
        <v>51580</v>
      </c>
      <c r="W3355" t="s">
        <v>43954</v>
      </c>
      <c r="X3355" t="s">
        <v>46573</v>
      </c>
    </row>
    <row r="3356" spans="1:24">
      <c r="A3356">
        <f>HYPERLINK("https://www.philgeps.gov.ph/GEPSNONPILOT/Tender/SplashBidNoticeAbstractUI.aspx?menuIndex=3&amp;refID=7062737&amp;Result=3","7062737")</f>
        <v>0</v>
      </c>
      <c r="B3356" t="s">
        <v>1312</v>
      </c>
      <c r="C3356" t="s">
        <v>6765</v>
      </c>
      <c r="D3356" t="s">
        <v>18788</v>
      </c>
      <c r="E3356" t="s">
        <v>19247</v>
      </c>
      <c r="F3356" t="s">
        <v>32664</v>
      </c>
      <c r="G3356" t="s">
        <v>32672</v>
      </c>
      <c r="H3356" t="s">
        <v>32683</v>
      </c>
      <c r="I3356" t="s">
        <v>10627</v>
      </c>
      <c r="J3356" t="s">
        <v>32898</v>
      </c>
      <c r="K3356" t="s">
        <v>42283</v>
      </c>
      <c r="M3356" t="s">
        <v>43958</v>
      </c>
      <c r="N3356" t="s">
        <v>46569</v>
      </c>
      <c r="O3356" t="s">
        <v>46570</v>
      </c>
      <c r="P3356">
        <v>0</v>
      </c>
      <c r="Q3356">
        <v>1</v>
      </c>
      <c r="R3356" t="s">
        <v>46572</v>
      </c>
      <c r="S3356" t="s">
        <v>46689</v>
      </c>
      <c r="T3356" t="s">
        <v>48296</v>
      </c>
      <c r="U3356" t="s">
        <v>51581</v>
      </c>
      <c r="W3356" t="s">
        <v>43958</v>
      </c>
      <c r="X3356" t="s">
        <v>46573</v>
      </c>
    </row>
    <row r="3357" spans="1:24">
      <c r="A3357">
        <f>HYPERLINK("https://www.philgeps.gov.ph/GEPSNONPILOT/Tender/SplashBidNoticeAbstractUI.aspx?menuIndex=3&amp;refID=7062730&amp;Result=3","7062730")</f>
        <v>0</v>
      </c>
      <c r="B3357" t="s">
        <v>683</v>
      </c>
      <c r="C3357" t="s">
        <v>6766</v>
      </c>
      <c r="D3357" t="s">
        <v>18842</v>
      </c>
      <c r="E3357" t="s">
        <v>21931</v>
      </c>
      <c r="F3357" t="s">
        <v>32664</v>
      </c>
      <c r="G3357" t="s">
        <v>32671</v>
      </c>
      <c r="H3357" t="s">
        <v>12635</v>
      </c>
      <c r="I3357" t="s">
        <v>8797</v>
      </c>
      <c r="J3357" t="s">
        <v>32960</v>
      </c>
      <c r="K3357" t="s">
        <v>42283</v>
      </c>
      <c r="M3357" t="s">
        <v>43959</v>
      </c>
      <c r="N3357" t="s">
        <v>46569</v>
      </c>
      <c r="O3357" t="s">
        <v>46570</v>
      </c>
      <c r="P3357">
        <v>0</v>
      </c>
      <c r="Q3357">
        <v>16</v>
      </c>
      <c r="R3357" t="s">
        <v>46572</v>
      </c>
      <c r="S3357" t="s">
        <v>46689</v>
      </c>
      <c r="T3357" t="s">
        <v>48256</v>
      </c>
      <c r="U3357" t="s">
        <v>50070</v>
      </c>
      <c r="W3357" t="s">
        <v>43959</v>
      </c>
      <c r="X3357" t="s">
        <v>46573</v>
      </c>
    </row>
    <row r="3358" spans="1:24">
      <c r="A3358">
        <f>HYPERLINK("https://www.philgeps.gov.ph/GEPSNONPILOT/Tender/SplashBidNoticeAbstractUI.aspx?menuIndex=3&amp;refID=7062725&amp;Result=3","7062725")</f>
        <v>0</v>
      </c>
      <c r="B3358" t="s">
        <v>1313</v>
      </c>
      <c r="C3358" t="s">
        <v>6767</v>
      </c>
      <c r="E3358" t="s">
        <v>21932</v>
      </c>
      <c r="F3358" t="s">
        <v>32664</v>
      </c>
      <c r="G3358" t="s">
        <v>32671</v>
      </c>
      <c r="H3358" t="s">
        <v>12635</v>
      </c>
      <c r="I3358" t="s">
        <v>4333</v>
      </c>
      <c r="J3358" t="s">
        <v>34601</v>
      </c>
      <c r="K3358" t="s">
        <v>42283</v>
      </c>
      <c r="M3358" t="s">
        <v>43960</v>
      </c>
      <c r="N3358" t="s">
        <v>46569</v>
      </c>
      <c r="O3358" t="s">
        <v>46570</v>
      </c>
      <c r="P3358">
        <v>0</v>
      </c>
      <c r="Q3358">
        <v>3</v>
      </c>
      <c r="R3358" t="s">
        <v>46572</v>
      </c>
      <c r="S3358" t="s">
        <v>46689</v>
      </c>
      <c r="T3358" t="s">
        <v>48217</v>
      </c>
      <c r="U3358" t="s">
        <v>51582</v>
      </c>
      <c r="W3358" t="s">
        <v>43960</v>
      </c>
      <c r="X3358" t="s">
        <v>46573</v>
      </c>
    </row>
    <row r="3359" spans="1:24">
      <c r="A3359">
        <f>HYPERLINK("https://www.philgeps.gov.ph/GEPSNONPILOT/Tender/SplashBidNoticeAbstractUI.aspx?menuIndex=3&amp;refID=7062780&amp;Result=3","7062780")</f>
        <v>0</v>
      </c>
      <c r="B3359" t="s">
        <v>1263</v>
      </c>
      <c r="C3359" t="s">
        <v>6768</v>
      </c>
      <c r="D3359" t="s">
        <v>18807</v>
      </c>
      <c r="E3359" t="s">
        <v>21933</v>
      </c>
      <c r="F3359" t="s">
        <v>32664</v>
      </c>
      <c r="G3359" t="s">
        <v>32671</v>
      </c>
      <c r="H3359" t="s">
        <v>12635</v>
      </c>
      <c r="I3359" t="s">
        <v>32685</v>
      </c>
      <c r="J3359" t="s">
        <v>33126</v>
      </c>
      <c r="K3359" t="s">
        <v>42283</v>
      </c>
      <c r="M3359" t="s">
        <v>43906</v>
      </c>
      <c r="N3359" t="s">
        <v>46569</v>
      </c>
      <c r="O3359" t="s">
        <v>46570</v>
      </c>
      <c r="P3359">
        <v>0</v>
      </c>
      <c r="Q3359">
        <v>0</v>
      </c>
      <c r="R3359" t="s">
        <v>46572</v>
      </c>
      <c r="S3359" t="s">
        <v>46689</v>
      </c>
      <c r="T3359" t="s">
        <v>48411</v>
      </c>
      <c r="U3359" t="s">
        <v>51469</v>
      </c>
      <c r="W3359" t="s">
        <v>43906</v>
      </c>
      <c r="X3359" t="s">
        <v>46573</v>
      </c>
    </row>
    <row r="3360" spans="1:24">
      <c r="A3360">
        <f>HYPERLINK("https://www.philgeps.gov.ph/GEPSNONPILOT/Tender/SplashBidNoticeAbstractUI.aspx?menuIndex=3&amp;refID=7062735&amp;Result=3","7062735")</f>
        <v>0</v>
      </c>
      <c r="B3360" t="s">
        <v>455</v>
      </c>
      <c r="C3360" t="s">
        <v>6769</v>
      </c>
      <c r="D3360" t="s">
        <v>18834</v>
      </c>
      <c r="E3360" t="s">
        <v>21934</v>
      </c>
      <c r="F3360" t="s">
        <v>32664</v>
      </c>
      <c r="G3360" t="s">
        <v>32671</v>
      </c>
      <c r="H3360" t="s">
        <v>12635</v>
      </c>
      <c r="I3360" t="s">
        <v>6628</v>
      </c>
      <c r="J3360" t="s">
        <v>35084</v>
      </c>
      <c r="K3360" t="s">
        <v>42281</v>
      </c>
      <c r="M3360" t="s">
        <v>43961</v>
      </c>
      <c r="N3360" t="s">
        <v>46569</v>
      </c>
      <c r="O3360" t="s">
        <v>46570</v>
      </c>
      <c r="P3360">
        <v>0</v>
      </c>
      <c r="Q3360">
        <v>0</v>
      </c>
      <c r="R3360" t="s">
        <v>46572</v>
      </c>
      <c r="S3360" t="s">
        <v>46689</v>
      </c>
      <c r="T3360" t="s">
        <v>48246</v>
      </c>
      <c r="U3360" t="s">
        <v>51583</v>
      </c>
      <c r="W3360" t="s">
        <v>43961</v>
      </c>
      <c r="X3360" t="s">
        <v>46573</v>
      </c>
    </row>
    <row r="3361" spans="1:24">
      <c r="A3361">
        <f>HYPERLINK("https://www.philgeps.gov.ph/GEPSNONPILOT/Tender/SplashBidNoticeAbstractUI.aspx?menuIndex=3&amp;refID=7062738&amp;Result=3","7062738")</f>
        <v>0</v>
      </c>
      <c r="B3361" t="s">
        <v>203</v>
      </c>
      <c r="C3361" t="s">
        <v>6770</v>
      </c>
      <c r="D3361" t="s">
        <v>18842</v>
      </c>
      <c r="E3361" t="s">
        <v>19612</v>
      </c>
      <c r="F3361" t="s">
        <v>32664</v>
      </c>
      <c r="G3361" t="s">
        <v>32672</v>
      </c>
      <c r="H3361" t="s">
        <v>32682</v>
      </c>
      <c r="I3361" t="s">
        <v>9946</v>
      </c>
      <c r="J3361" t="s">
        <v>35085</v>
      </c>
      <c r="K3361" t="s">
        <v>42291</v>
      </c>
      <c r="M3361" t="s">
        <v>43962</v>
      </c>
      <c r="N3361" t="s">
        <v>46569</v>
      </c>
      <c r="O3361" t="s">
        <v>46570</v>
      </c>
      <c r="P3361">
        <v>0</v>
      </c>
      <c r="Q3361">
        <v>2</v>
      </c>
      <c r="R3361" t="s">
        <v>46572</v>
      </c>
      <c r="S3361" t="s">
        <v>46689</v>
      </c>
      <c r="T3361" t="s">
        <v>48377</v>
      </c>
      <c r="U3361" t="s">
        <v>51584</v>
      </c>
      <c r="V3361" t="s">
        <v>49355</v>
      </c>
      <c r="W3361" t="s">
        <v>43962</v>
      </c>
      <c r="X3361" t="s">
        <v>46573</v>
      </c>
    </row>
    <row r="3362" spans="1:24">
      <c r="A3362">
        <f>HYPERLINK("https://www.philgeps.gov.ph/GEPSNONPILOT/Tender/SplashBidNoticeAbstractUI.aspx?menuIndex=3&amp;refID=7062779&amp;Result=3","7062779")</f>
        <v>0</v>
      </c>
      <c r="B3362" t="s">
        <v>269</v>
      </c>
      <c r="C3362" t="s">
        <v>6771</v>
      </c>
      <c r="D3362" t="s">
        <v>18831</v>
      </c>
      <c r="E3362" t="s">
        <v>21935</v>
      </c>
      <c r="F3362" t="s">
        <v>32664</v>
      </c>
      <c r="G3362" t="s">
        <v>32672</v>
      </c>
      <c r="H3362" t="s">
        <v>12635</v>
      </c>
      <c r="I3362" t="s">
        <v>32706</v>
      </c>
      <c r="J3362" t="s">
        <v>35086</v>
      </c>
      <c r="K3362" t="s">
        <v>42369</v>
      </c>
      <c r="M3362" t="s">
        <v>42834</v>
      </c>
      <c r="N3362" t="s">
        <v>46569</v>
      </c>
      <c r="O3362" t="s">
        <v>46570</v>
      </c>
      <c r="P3362">
        <v>0</v>
      </c>
      <c r="Q3362">
        <v>0</v>
      </c>
      <c r="R3362" t="s">
        <v>46572</v>
      </c>
      <c r="S3362" t="s">
        <v>46689</v>
      </c>
      <c r="T3362" t="s">
        <v>48318</v>
      </c>
      <c r="U3362" t="s">
        <v>51585</v>
      </c>
      <c r="W3362" t="s">
        <v>42834</v>
      </c>
      <c r="X3362" t="s">
        <v>46573</v>
      </c>
    </row>
    <row r="3363" spans="1:24">
      <c r="A3363">
        <f>HYPERLINK("https://www.philgeps.gov.ph/GEPSNONPILOT/Tender/SplashBidNoticeAbstractUI.aspx?menuIndex=3&amp;refID=7062774&amp;Result=3","7062774")</f>
        <v>0</v>
      </c>
      <c r="B3363" t="s">
        <v>690</v>
      </c>
      <c r="C3363" t="s">
        <v>6772</v>
      </c>
      <c r="D3363" t="s">
        <v>18781</v>
      </c>
      <c r="E3363" t="s">
        <v>21936</v>
      </c>
      <c r="F3363" t="s">
        <v>32664</v>
      </c>
      <c r="G3363" t="s">
        <v>32672</v>
      </c>
      <c r="H3363" t="s">
        <v>32683</v>
      </c>
      <c r="I3363" t="s">
        <v>10627</v>
      </c>
      <c r="J3363" t="s">
        <v>35087</v>
      </c>
      <c r="K3363" t="s">
        <v>42311</v>
      </c>
      <c r="L3363" t="s">
        <v>690</v>
      </c>
      <c r="M3363" t="s">
        <v>43277</v>
      </c>
      <c r="N3363" t="s">
        <v>46569</v>
      </c>
      <c r="O3363" t="s">
        <v>46570</v>
      </c>
      <c r="P3363">
        <v>0</v>
      </c>
      <c r="Q3363">
        <v>0</v>
      </c>
      <c r="R3363" t="s">
        <v>46572</v>
      </c>
      <c r="S3363" t="s">
        <v>46689</v>
      </c>
      <c r="T3363" t="s">
        <v>48362</v>
      </c>
      <c r="U3363" t="s">
        <v>51586</v>
      </c>
      <c r="W3363" t="s">
        <v>43277</v>
      </c>
      <c r="X3363" t="s">
        <v>46573</v>
      </c>
    </row>
    <row r="3364" spans="1:24">
      <c r="A3364">
        <f>HYPERLINK("https://www.philgeps.gov.ph/GEPSNONPILOT/Tender/SplashBidNoticeAbstractUI.aspx?menuIndex=3&amp;refID=7062778&amp;Result=3","7062778")</f>
        <v>0</v>
      </c>
      <c r="B3364" t="s">
        <v>1314</v>
      </c>
      <c r="C3364" t="s">
        <v>6773</v>
      </c>
      <c r="D3364" t="s">
        <v>18798</v>
      </c>
      <c r="E3364" t="s">
        <v>21937</v>
      </c>
      <c r="F3364" t="s">
        <v>32664</v>
      </c>
      <c r="G3364" t="s">
        <v>32672</v>
      </c>
      <c r="H3364" t="s">
        <v>32682</v>
      </c>
      <c r="I3364" t="s">
        <v>32775</v>
      </c>
      <c r="J3364" t="s">
        <v>35088</v>
      </c>
      <c r="K3364" t="s">
        <v>42281</v>
      </c>
      <c r="M3364" t="s">
        <v>43963</v>
      </c>
      <c r="N3364" t="s">
        <v>46569</v>
      </c>
      <c r="O3364" t="s">
        <v>46570</v>
      </c>
      <c r="P3364">
        <v>0</v>
      </c>
      <c r="Q3364">
        <v>7</v>
      </c>
      <c r="R3364" t="s">
        <v>46572</v>
      </c>
      <c r="S3364" t="s">
        <v>46689</v>
      </c>
      <c r="T3364" t="s">
        <v>48270</v>
      </c>
      <c r="U3364" t="s">
        <v>51587</v>
      </c>
      <c r="V3364" t="s">
        <v>61964</v>
      </c>
      <c r="W3364" t="s">
        <v>43963</v>
      </c>
      <c r="X3364" t="s">
        <v>46573</v>
      </c>
    </row>
    <row r="3365" spans="1:24">
      <c r="A3365">
        <f>HYPERLINK("https://www.philgeps.gov.ph/GEPSNONPILOT/Tender/SplashBidNoticeAbstractUI.aspx?menuIndex=3&amp;refID=7062772&amp;Result=3","7062772")</f>
        <v>0</v>
      </c>
      <c r="B3365" t="s">
        <v>1310</v>
      </c>
      <c r="C3365" t="s">
        <v>6762</v>
      </c>
      <c r="D3365" t="s">
        <v>18790</v>
      </c>
      <c r="E3365" t="s">
        <v>21938</v>
      </c>
      <c r="F3365" t="s">
        <v>32664</v>
      </c>
      <c r="G3365" t="s">
        <v>32672</v>
      </c>
      <c r="H3365" t="s">
        <v>12635</v>
      </c>
      <c r="I3365" t="s">
        <v>13883</v>
      </c>
      <c r="J3365" t="s">
        <v>35089</v>
      </c>
      <c r="K3365" t="s">
        <v>42283</v>
      </c>
      <c r="M3365" t="s">
        <v>43956</v>
      </c>
      <c r="N3365" t="s">
        <v>46569</v>
      </c>
      <c r="O3365" t="s">
        <v>46570</v>
      </c>
      <c r="P3365">
        <v>0</v>
      </c>
      <c r="Q3365">
        <v>0</v>
      </c>
      <c r="R3365" t="s">
        <v>46572</v>
      </c>
      <c r="S3365" t="s">
        <v>46689</v>
      </c>
      <c r="T3365" t="s">
        <v>48230</v>
      </c>
      <c r="U3365" t="s">
        <v>51578</v>
      </c>
      <c r="W3365" t="s">
        <v>43956</v>
      </c>
      <c r="X3365" t="s">
        <v>46573</v>
      </c>
    </row>
    <row r="3366" spans="1:24">
      <c r="A3366">
        <f>HYPERLINK("https://www.philgeps.gov.ph/GEPSNONPILOT/Tender/SplashBidNoticeAbstractUI.aspx?menuIndex=3&amp;refID=7062769&amp;Result=3","7062769")</f>
        <v>0</v>
      </c>
      <c r="B3366" t="s">
        <v>1315</v>
      </c>
      <c r="C3366" t="s">
        <v>6774</v>
      </c>
      <c r="D3366" t="s">
        <v>18827</v>
      </c>
      <c r="E3366" t="s">
        <v>21939</v>
      </c>
      <c r="F3366" t="s">
        <v>32664</v>
      </c>
      <c r="G3366" t="s">
        <v>32672</v>
      </c>
      <c r="H3366" t="s">
        <v>32683</v>
      </c>
      <c r="I3366" t="s">
        <v>10627</v>
      </c>
      <c r="J3366" t="s">
        <v>32836</v>
      </c>
      <c r="K3366" t="s">
        <v>42303</v>
      </c>
      <c r="M3366" t="s">
        <v>43964</v>
      </c>
      <c r="N3366" t="s">
        <v>46569</v>
      </c>
      <c r="O3366" t="s">
        <v>46570</v>
      </c>
      <c r="P3366">
        <v>0</v>
      </c>
      <c r="Q3366">
        <v>0</v>
      </c>
      <c r="R3366" t="s">
        <v>46572</v>
      </c>
      <c r="S3366" t="s">
        <v>46689</v>
      </c>
      <c r="T3366" t="s">
        <v>48216</v>
      </c>
      <c r="U3366" t="s">
        <v>51588</v>
      </c>
      <c r="W3366" t="s">
        <v>43964</v>
      </c>
      <c r="X3366" t="s">
        <v>46573</v>
      </c>
    </row>
    <row r="3367" spans="1:24">
      <c r="A3367">
        <f>HYPERLINK("https://www.philgeps.gov.ph/GEPSNONPILOT/Tender/SplashBidNoticeAbstractUI.aspx?menuIndex=3&amp;refID=7062776&amp;Result=3","7062776")</f>
        <v>0</v>
      </c>
      <c r="B3367" t="s">
        <v>1316</v>
      </c>
      <c r="C3367" t="s">
        <v>6775</v>
      </c>
      <c r="D3367" t="s">
        <v>18784</v>
      </c>
      <c r="E3367" t="s">
        <v>21940</v>
      </c>
      <c r="F3367" t="s">
        <v>32664</v>
      </c>
      <c r="G3367" t="s">
        <v>32672</v>
      </c>
      <c r="H3367" t="s">
        <v>32682</v>
      </c>
      <c r="I3367" t="s">
        <v>9597</v>
      </c>
      <c r="J3367" t="s">
        <v>33261</v>
      </c>
      <c r="K3367" t="s">
        <v>42281</v>
      </c>
      <c r="M3367" t="s">
        <v>43965</v>
      </c>
      <c r="N3367" t="s">
        <v>46569</v>
      </c>
      <c r="O3367" t="s">
        <v>46570</v>
      </c>
      <c r="P3367">
        <v>0</v>
      </c>
      <c r="Q3367">
        <v>4</v>
      </c>
      <c r="R3367" t="s">
        <v>46572</v>
      </c>
      <c r="S3367" t="s">
        <v>46689</v>
      </c>
      <c r="T3367" t="s">
        <v>48477</v>
      </c>
      <c r="U3367" t="s">
        <v>51589</v>
      </c>
      <c r="V3367" t="s">
        <v>61965</v>
      </c>
      <c r="W3367" t="s">
        <v>43965</v>
      </c>
      <c r="X3367" t="s">
        <v>46573</v>
      </c>
    </row>
    <row r="3368" spans="1:24">
      <c r="A3368">
        <f>HYPERLINK("https://www.philgeps.gov.ph/GEPSNONPILOT/Tender/SplashBidNoticeAbstractUI.aspx?menuIndex=3&amp;refID=7062763&amp;Result=3","7062763")</f>
        <v>0</v>
      </c>
      <c r="B3368" t="s">
        <v>1317</v>
      </c>
      <c r="C3368" t="s">
        <v>6776</v>
      </c>
      <c r="D3368" t="s">
        <v>18782</v>
      </c>
      <c r="E3368" t="s">
        <v>21941</v>
      </c>
      <c r="F3368" t="s">
        <v>32664</v>
      </c>
      <c r="G3368" t="s">
        <v>32672</v>
      </c>
      <c r="H3368" t="s">
        <v>32683</v>
      </c>
      <c r="I3368" t="s">
        <v>10627</v>
      </c>
      <c r="J3368" t="s">
        <v>33147</v>
      </c>
      <c r="K3368" t="s">
        <v>42305</v>
      </c>
      <c r="M3368" t="s">
        <v>43966</v>
      </c>
      <c r="N3368" t="s">
        <v>46569</v>
      </c>
      <c r="O3368" t="s">
        <v>46570</v>
      </c>
      <c r="P3368">
        <v>0</v>
      </c>
      <c r="Q3368">
        <v>0</v>
      </c>
      <c r="R3368" t="s">
        <v>46572</v>
      </c>
      <c r="S3368" t="s">
        <v>46689</v>
      </c>
      <c r="T3368" t="s">
        <v>48478</v>
      </c>
      <c r="U3368" t="s">
        <v>51590</v>
      </c>
      <c r="W3368" t="s">
        <v>43966</v>
      </c>
      <c r="X3368" t="s">
        <v>46573</v>
      </c>
    </row>
    <row r="3369" spans="1:24">
      <c r="A3369">
        <f>HYPERLINK("https://www.philgeps.gov.ph/GEPSNONPILOT/Tender/SplashBidNoticeAbstractUI.aspx?menuIndex=3&amp;refID=7062775&amp;Result=3","7062775")</f>
        <v>0</v>
      </c>
      <c r="B3369" t="s">
        <v>594</v>
      </c>
      <c r="C3369" t="s">
        <v>6777</v>
      </c>
      <c r="D3369" t="s">
        <v>18784</v>
      </c>
      <c r="E3369" t="s">
        <v>21942</v>
      </c>
      <c r="F3369" t="s">
        <v>32664</v>
      </c>
      <c r="G3369" t="s">
        <v>32674</v>
      </c>
      <c r="H3369" t="s">
        <v>12635</v>
      </c>
      <c r="I3369" t="s">
        <v>32758</v>
      </c>
      <c r="J3369" t="s">
        <v>35090</v>
      </c>
      <c r="K3369" t="s">
        <v>42297</v>
      </c>
      <c r="M3369" t="s">
        <v>43793</v>
      </c>
      <c r="N3369" t="s">
        <v>46569</v>
      </c>
      <c r="O3369" t="s">
        <v>46570</v>
      </c>
      <c r="P3369">
        <v>0</v>
      </c>
      <c r="Q3369">
        <v>2</v>
      </c>
      <c r="R3369" t="s">
        <v>46572</v>
      </c>
      <c r="S3369" t="s">
        <v>46689</v>
      </c>
      <c r="T3369" t="s">
        <v>48461</v>
      </c>
      <c r="U3369" t="s">
        <v>51591</v>
      </c>
      <c r="V3369" t="s">
        <v>61909</v>
      </c>
      <c r="W3369" t="s">
        <v>43793</v>
      </c>
      <c r="X3369" t="s">
        <v>46573</v>
      </c>
    </row>
    <row r="3370" spans="1:24">
      <c r="A3370">
        <f>HYPERLINK("https://www.philgeps.gov.ph/GEPSNONPILOT/Tender/SplashBidNoticeAbstractUI.aspx?menuIndex=3&amp;refID=7062762&amp;Result=3","7062762")</f>
        <v>0</v>
      </c>
      <c r="B3370" t="s">
        <v>1310</v>
      </c>
      <c r="C3370" t="s">
        <v>6762</v>
      </c>
      <c r="D3370" t="s">
        <v>18790</v>
      </c>
      <c r="E3370" t="s">
        <v>21943</v>
      </c>
      <c r="F3370" t="s">
        <v>32664</v>
      </c>
      <c r="G3370" t="s">
        <v>32672</v>
      </c>
      <c r="H3370" t="s">
        <v>12635</v>
      </c>
      <c r="I3370" t="s">
        <v>4439</v>
      </c>
      <c r="J3370" t="s">
        <v>34774</v>
      </c>
      <c r="K3370" t="s">
        <v>42283</v>
      </c>
      <c r="M3370" t="s">
        <v>43956</v>
      </c>
      <c r="N3370" t="s">
        <v>46569</v>
      </c>
      <c r="O3370" t="s">
        <v>46570</v>
      </c>
      <c r="P3370">
        <v>0</v>
      </c>
      <c r="Q3370">
        <v>0</v>
      </c>
      <c r="R3370" t="s">
        <v>46572</v>
      </c>
      <c r="S3370" t="s">
        <v>46689</v>
      </c>
      <c r="T3370" t="s">
        <v>48230</v>
      </c>
      <c r="U3370" t="s">
        <v>51578</v>
      </c>
      <c r="W3370" t="s">
        <v>43956</v>
      </c>
      <c r="X3370" t="s">
        <v>46573</v>
      </c>
    </row>
    <row r="3371" spans="1:24">
      <c r="A3371">
        <f>HYPERLINK("https://www.philgeps.gov.ph/GEPSNONPILOT/Tender/SplashBidNoticeAbstractUI.aspx?menuIndex=3&amp;refID=7062807&amp;Result=3","7062807")</f>
        <v>0</v>
      </c>
      <c r="B3371" t="s">
        <v>806</v>
      </c>
      <c r="C3371" t="s">
        <v>6778</v>
      </c>
      <c r="D3371" t="s">
        <v>18858</v>
      </c>
      <c r="E3371" t="s">
        <v>21944</v>
      </c>
      <c r="F3371" t="s">
        <v>32664</v>
      </c>
      <c r="G3371" t="s">
        <v>32671</v>
      </c>
      <c r="H3371" t="s">
        <v>12635</v>
      </c>
      <c r="I3371" t="s">
        <v>32716</v>
      </c>
      <c r="J3371" t="s">
        <v>33069</v>
      </c>
      <c r="K3371" t="s">
        <v>42295</v>
      </c>
      <c r="M3371" t="s">
        <v>43398</v>
      </c>
      <c r="N3371" t="s">
        <v>46569</v>
      </c>
      <c r="O3371" t="s">
        <v>46570</v>
      </c>
      <c r="P3371">
        <v>0</v>
      </c>
      <c r="Q3371">
        <v>1</v>
      </c>
      <c r="R3371" t="s">
        <v>46572</v>
      </c>
      <c r="S3371" t="s">
        <v>46689</v>
      </c>
      <c r="T3371" t="s">
        <v>48256</v>
      </c>
      <c r="U3371" t="s">
        <v>50323</v>
      </c>
      <c r="W3371" t="s">
        <v>43398</v>
      </c>
      <c r="X3371" t="s">
        <v>46573</v>
      </c>
    </row>
    <row r="3372" spans="1:24">
      <c r="A3372">
        <f>HYPERLINK("https://www.philgeps.gov.ph/GEPSNONPILOT/Tender/SplashBidNoticeAbstractUI.aspx?menuIndex=3&amp;refID=7062732&amp;Result=3","7062732")</f>
        <v>0</v>
      </c>
      <c r="B3372" t="s">
        <v>1131</v>
      </c>
      <c r="C3372" t="s">
        <v>6779</v>
      </c>
      <c r="D3372" t="s">
        <v>18847</v>
      </c>
      <c r="E3372" t="s">
        <v>21945</v>
      </c>
      <c r="F3372" t="s">
        <v>32664</v>
      </c>
      <c r="G3372" t="s">
        <v>32674</v>
      </c>
      <c r="H3372" t="s">
        <v>12635</v>
      </c>
      <c r="I3372" t="s">
        <v>32689</v>
      </c>
      <c r="J3372" t="s">
        <v>33338</v>
      </c>
      <c r="K3372" t="s">
        <v>42283</v>
      </c>
      <c r="M3372" t="s">
        <v>43760</v>
      </c>
      <c r="N3372" t="s">
        <v>46569</v>
      </c>
      <c r="O3372" t="s">
        <v>46570</v>
      </c>
      <c r="P3372">
        <v>0</v>
      </c>
      <c r="Q3372">
        <v>0</v>
      </c>
      <c r="R3372" t="s">
        <v>46572</v>
      </c>
      <c r="S3372" t="s">
        <v>46689</v>
      </c>
      <c r="T3372" t="s">
        <v>48316</v>
      </c>
      <c r="U3372" t="s">
        <v>51592</v>
      </c>
      <c r="W3372" t="s">
        <v>43760</v>
      </c>
      <c r="X3372" t="s">
        <v>46573</v>
      </c>
    </row>
    <row r="3373" spans="1:24">
      <c r="A3373">
        <f>HYPERLINK("https://www.philgeps.gov.ph/GEPSNONPILOT/Tender/SplashBidNoticeAbstractUI.aspx?menuIndex=3&amp;refID=7062767&amp;Result=3","7062767")</f>
        <v>0</v>
      </c>
      <c r="B3373" t="s">
        <v>909</v>
      </c>
      <c r="C3373" t="s">
        <v>6780</v>
      </c>
      <c r="D3373" t="s">
        <v>18838</v>
      </c>
      <c r="E3373" t="s">
        <v>21946</v>
      </c>
      <c r="F3373" t="s">
        <v>32664</v>
      </c>
      <c r="G3373" t="s">
        <v>32672</v>
      </c>
      <c r="H3373" t="s">
        <v>32683</v>
      </c>
      <c r="I3373" t="s">
        <v>10627</v>
      </c>
      <c r="J3373" t="s">
        <v>35091</v>
      </c>
      <c r="K3373" t="s">
        <v>42281</v>
      </c>
      <c r="M3373" t="s">
        <v>43515</v>
      </c>
      <c r="N3373" t="s">
        <v>46569</v>
      </c>
      <c r="O3373" t="s">
        <v>46570</v>
      </c>
      <c r="P3373">
        <v>0</v>
      </c>
      <c r="Q3373">
        <v>4</v>
      </c>
      <c r="R3373" t="s">
        <v>46572</v>
      </c>
      <c r="S3373" t="s">
        <v>46689</v>
      </c>
      <c r="T3373" t="s">
        <v>48328</v>
      </c>
      <c r="U3373" t="s">
        <v>51593</v>
      </c>
      <c r="V3373" t="s">
        <v>61966</v>
      </c>
      <c r="W3373" t="s">
        <v>43515</v>
      </c>
      <c r="X3373" t="s">
        <v>46573</v>
      </c>
    </row>
    <row r="3374" spans="1:24">
      <c r="A3374">
        <f>HYPERLINK("https://www.philgeps.gov.ph/GEPSNONPILOT/Tender/SplashBidNoticeAbstractUI.aspx?menuIndex=3&amp;refID=7062764&amp;Result=3","7062764")</f>
        <v>0</v>
      </c>
      <c r="B3374" t="s">
        <v>1263</v>
      </c>
      <c r="C3374" t="s">
        <v>6781</v>
      </c>
      <c r="D3374" t="s">
        <v>18807</v>
      </c>
      <c r="E3374" t="s">
        <v>21947</v>
      </c>
      <c r="F3374" t="s">
        <v>32664</v>
      </c>
      <c r="G3374" t="s">
        <v>32671</v>
      </c>
      <c r="H3374" t="s">
        <v>12635</v>
      </c>
      <c r="I3374" t="s">
        <v>6628</v>
      </c>
      <c r="J3374" t="s">
        <v>33311</v>
      </c>
      <c r="K3374" t="s">
        <v>42283</v>
      </c>
      <c r="M3374" t="s">
        <v>43906</v>
      </c>
      <c r="N3374" t="s">
        <v>46569</v>
      </c>
      <c r="O3374" t="s">
        <v>46570</v>
      </c>
      <c r="P3374">
        <v>0</v>
      </c>
      <c r="Q3374">
        <v>0</v>
      </c>
      <c r="R3374" t="s">
        <v>46572</v>
      </c>
      <c r="S3374" t="s">
        <v>46689</v>
      </c>
      <c r="T3374" t="s">
        <v>48411</v>
      </c>
      <c r="U3374" t="s">
        <v>51469</v>
      </c>
      <c r="W3374" t="s">
        <v>43906</v>
      </c>
      <c r="X3374" t="s">
        <v>46573</v>
      </c>
    </row>
    <row r="3375" spans="1:24">
      <c r="A3375">
        <f>HYPERLINK("https://www.philgeps.gov.ph/GEPSNONPILOT/Tender/SplashBidNoticeAbstractUI.aspx?menuIndex=3&amp;refID=7062805&amp;Result=3","7062805")</f>
        <v>0</v>
      </c>
      <c r="B3375" t="s">
        <v>1318</v>
      </c>
      <c r="C3375" t="s">
        <v>6782</v>
      </c>
      <c r="D3375" t="s">
        <v>18821</v>
      </c>
      <c r="E3375" t="s">
        <v>21667</v>
      </c>
      <c r="F3375" t="s">
        <v>32664</v>
      </c>
      <c r="G3375" t="s">
        <v>32675</v>
      </c>
      <c r="H3375" t="s">
        <v>12635</v>
      </c>
      <c r="I3375" t="s">
        <v>32705</v>
      </c>
      <c r="J3375" t="s">
        <v>35092</v>
      </c>
      <c r="K3375" t="s">
        <v>42283</v>
      </c>
      <c r="M3375" t="s">
        <v>43967</v>
      </c>
      <c r="N3375" t="s">
        <v>46569</v>
      </c>
      <c r="O3375" t="s">
        <v>46570</v>
      </c>
      <c r="P3375">
        <v>0</v>
      </c>
      <c r="Q3375">
        <v>3</v>
      </c>
      <c r="R3375" t="s">
        <v>46572</v>
      </c>
      <c r="S3375" t="s">
        <v>46689</v>
      </c>
      <c r="T3375" t="s">
        <v>48217</v>
      </c>
      <c r="U3375" t="s">
        <v>51594</v>
      </c>
      <c r="W3375" t="s">
        <v>43967</v>
      </c>
      <c r="X3375" t="s">
        <v>46573</v>
      </c>
    </row>
    <row r="3376" spans="1:24">
      <c r="A3376">
        <f>HYPERLINK("https://www.philgeps.gov.ph/GEPSNONPILOT/Tender/SplashBidNoticeAbstractUI.aspx?menuIndex=3&amp;refID=7062726&amp;Result=3","7062726")</f>
        <v>0</v>
      </c>
      <c r="B3376" t="s">
        <v>594</v>
      </c>
      <c r="C3376" t="s">
        <v>6783</v>
      </c>
      <c r="D3376" t="s">
        <v>18784</v>
      </c>
      <c r="E3376" t="s">
        <v>21948</v>
      </c>
      <c r="F3376" t="s">
        <v>32664</v>
      </c>
      <c r="G3376" t="s">
        <v>32674</v>
      </c>
      <c r="H3376" t="s">
        <v>12635</v>
      </c>
      <c r="I3376" t="s">
        <v>32758</v>
      </c>
      <c r="J3376" t="s">
        <v>35093</v>
      </c>
      <c r="K3376" t="s">
        <v>42297</v>
      </c>
      <c r="M3376" t="s">
        <v>43793</v>
      </c>
      <c r="N3376" t="s">
        <v>46569</v>
      </c>
      <c r="O3376" t="s">
        <v>46570</v>
      </c>
      <c r="P3376">
        <v>0</v>
      </c>
      <c r="Q3376">
        <v>0</v>
      </c>
      <c r="R3376" t="s">
        <v>46572</v>
      </c>
      <c r="S3376" t="s">
        <v>46689</v>
      </c>
      <c r="T3376" t="s">
        <v>48461</v>
      </c>
      <c r="U3376" t="s">
        <v>51595</v>
      </c>
      <c r="V3376" t="s">
        <v>61909</v>
      </c>
      <c r="W3376" t="s">
        <v>43793</v>
      </c>
      <c r="X3376" t="s">
        <v>46573</v>
      </c>
    </row>
    <row r="3377" spans="1:24">
      <c r="A3377">
        <f>HYPERLINK("https://www.philgeps.gov.ph/GEPSNONPILOT/Tender/SplashBidNoticeAbstractUI.aspx?menuIndex=3&amp;refID=7062803&amp;Result=3","7062803")</f>
        <v>0</v>
      </c>
      <c r="B3377" t="s">
        <v>881</v>
      </c>
      <c r="C3377" t="s">
        <v>6784</v>
      </c>
      <c r="D3377" t="s">
        <v>18836</v>
      </c>
      <c r="E3377" t="s">
        <v>21949</v>
      </c>
      <c r="F3377" t="s">
        <v>32664</v>
      </c>
      <c r="G3377" t="s">
        <v>32671</v>
      </c>
      <c r="H3377" t="s">
        <v>12635</v>
      </c>
      <c r="I3377" t="s">
        <v>32694</v>
      </c>
      <c r="J3377" t="s">
        <v>35094</v>
      </c>
      <c r="K3377" t="s">
        <v>42284</v>
      </c>
      <c r="M3377" t="s">
        <v>43481</v>
      </c>
      <c r="N3377" t="s">
        <v>46569</v>
      </c>
      <c r="O3377" t="s">
        <v>46570</v>
      </c>
      <c r="P3377">
        <v>0</v>
      </c>
      <c r="Q3377">
        <v>0</v>
      </c>
      <c r="R3377" t="s">
        <v>46572</v>
      </c>
      <c r="S3377" t="s">
        <v>46689</v>
      </c>
      <c r="T3377" t="s">
        <v>48244</v>
      </c>
      <c r="U3377" t="s">
        <v>51596</v>
      </c>
      <c r="W3377" t="s">
        <v>43481</v>
      </c>
      <c r="X3377" t="s">
        <v>46573</v>
      </c>
    </row>
    <row r="3378" spans="1:24">
      <c r="A3378">
        <f>HYPERLINK("https://www.philgeps.gov.ph/GEPSNONPILOT/Tender/SplashBidNoticeAbstractUI.aspx?menuIndex=3&amp;refID=7062799&amp;Result=3","7062799")</f>
        <v>0</v>
      </c>
      <c r="B3378" t="s">
        <v>687</v>
      </c>
      <c r="C3378" t="s">
        <v>6785</v>
      </c>
      <c r="D3378" t="s">
        <v>18805</v>
      </c>
      <c r="E3378" t="s">
        <v>21950</v>
      </c>
      <c r="F3378" t="s">
        <v>32664</v>
      </c>
      <c r="G3378" t="s">
        <v>32671</v>
      </c>
      <c r="H3378" t="s">
        <v>12635</v>
      </c>
      <c r="I3378" t="s">
        <v>32686</v>
      </c>
      <c r="J3378" t="s">
        <v>33267</v>
      </c>
      <c r="K3378" t="s">
        <v>42283</v>
      </c>
      <c r="M3378" t="s">
        <v>43274</v>
      </c>
      <c r="N3378" t="s">
        <v>46569</v>
      </c>
      <c r="O3378" t="s">
        <v>46570</v>
      </c>
      <c r="P3378">
        <v>0</v>
      </c>
      <c r="Q3378">
        <v>2</v>
      </c>
      <c r="R3378" t="s">
        <v>46572</v>
      </c>
      <c r="S3378" t="s">
        <v>46689</v>
      </c>
      <c r="T3378" t="s">
        <v>48244</v>
      </c>
      <c r="U3378" t="s">
        <v>51597</v>
      </c>
      <c r="W3378" t="s">
        <v>43274</v>
      </c>
      <c r="X3378" t="s">
        <v>46573</v>
      </c>
    </row>
    <row r="3379" spans="1:24">
      <c r="A3379">
        <f>HYPERLINK("https://www.philgeps.gov.ph/GEPSNONPILOT/Tender/SplashBidNoticeAbstractUI.aspx?menuIndex=3&amp;refID=7062797&amp;Result=3","7062797")</f>
        <v>0</v>
      </c>
      <c r="B3379" t="s">
        <v>1263</v>
      </c>
      <c r="C3379" t="s">
        <v>6786</v>
      </c>
      <c r="D3379" t="s">
        <v>18807</v>
      </c>
      <c r="E3379" t="s">
        <v>21951</v>
      </c>
      <c r="F3379" t="s">
        <v>32664</v>
      </c>
      <c r="G3379" t="s">
        <v>32671</v>
      </c>
      <c r="H3379" t="s">
        <v>12635</v>
      </c>
      <c r="I3379" t="s">
        <v>32706</v>
      </c>
      <c r="J3379" t="s">
        <v>35095</v>
      </c>
      <c r="K3379" t="s">
        <v>42283</v>
      </c>
      <c r="M3379" t="s">
        <v>43906</v>
      </c>
      <c r="N3379" t="s">
        <v>46569</v>
      </c>
      <c r="O3379" t="s">
        <v>46570</v>
      </c>
      <c r="P3379">
        <v>0</v>
      </c>
      <c r="Q3379">
        <v>0</v>
      </c>
      <c r="R3379" t="s">
        <v>46572</v>
      </c>
      <c r="S3379" t="s">
        <v>46689</v>
      </c>
      <c r="T3379" t="s">
        <v>48411</v>
      </c>
      <c r="U3379" t="s">
        <v>51469</v>
      </c>
      <c r="W3379" t="s">
        <v>43906</v>
      </c>
      <c r="X3379" t="s">
        <v>46573</v>
      </c>
    </row>
    <row r="3380" spans="1:24">
      <c r="A3380">
        <f>HYPERLINK("https://www.philgeps.gov.ph/GEPSNONPILOT/Tender/SplashBidNoticeAbstractUI.aspx?menuIndex=3&amp;refID=7062795&amp;Result=3","7062795")</f>
        <v>0</v>
      </c>
      <c r="B3380" t="s">
        <v>1210</v>
      </c>
      <c r="C3380" t="s">
        <v>6787</v>
      </c>
      <c r="D3380" t="s">
        <v>18788</v>
      </c>
      <c r="E3380" t="s">
        <v>21952</v>
      </c>
      <c r="F3380" t="s">
        <v>32664</v>
      </c>
      <c r="G3380" t="s">
        <v>32672</v>
      </c>
      <c r="H3380" t="s">
        <v>12635</v>
      </c>
      <c r="I3380" t="s">
        <v>5589</v>
      </c>
      <c r="J3380" t="s">
        <v>35096</v>
      </c>
      <c r="K3380" t="s">
        <v>42283</v>
      </c>
      <c r="M3380" t="s">
        <v>43848</v>
      </c>
      <c r="N3380" t="s">
        <v>46569</v>
      </c>
      <c r="O3380" t="s">
        <v>46570</v>
      </c>
      <c r="P3380">
        <v>0</v>
      </c>
      <c r="Q3380">
        <v>3</v>
      </c>
      <c r="R3380" t="s">
        <v>46572</v>
      </c>
      <c r="S3380" t="s">
        <v>46689</v>
      </c>
      <c r="T3380" t="s">
        <v>48226</v>
      </c>
      <c r="U3380" t="s">
        <v>51362</v>
      </c>
      <c r="W3380" t="s">
        <v>43848</v>
      </c>
      <c r="X3380" t="s">
        <v>46573</v>
      </c>
    </row>
    <row r="3381" spans="1:24">
      <c r="A3381">
        <f>HYPERLINK("https://www.philgeps.gov.ph/GEPSNONPILOT/Tender/SplashBidNoticeAbstractUI.aspx?menuIndex=3&amp;refID=7062793&amp;Result=3","7062793")</f>
        <v>0</v>
      </c>
      <c r="B3381" t="s">
        <v>1319</v>
      </c>
      <c r="C3381" t="s">
        <v>6788</v>
      </c>
      <c r="D3381" t="s">
        <v>18784</v>
      </c>
      <c r="E3381" t="s">
        <v>21953</v>
      </c>
      <c r="F3381" t="s">
        <v>32664</v>
      </c>
      <c r="G3381" t="s">
        <v>32672</v>
      </c>
      <c r="H3381" t="s">
        <v>12635</v>
      </c>
      <c r="I3381" t="s">
        <v>6628</v>
      </c>
      <c r="J3381" t="s">
        <v>32962</v>
      </c>
      <c r="K3381" t="s">
        <v>42305</v>
      </c>
      <c r="M3381" t="s">
        <v>43968</v>
      </c>
      <c r="N3381" t="s">
        <v>46569</v>
      </c>
      <c r="O3381" t="s">
        <v>46570</v>
      </c>
      <c r="P3381">
        <v>0</v>
      </c>
      <c r="Q3381">
        <v>2</v>
      </c>
      <c r="R3381" t="s">
        <v>46572</v>
      </c>
      <c r="S3381" t="s">
        <v>46689</v>
      </c>
      <c r="T3381" t="s">
        <v>48274</v>
      </c>
      <c r="U3381" t="s">
        <v>51598</v>
      </c>
      <c r="W3381" t="s">
        <v>43968</v>
      </c>
      <c r="X3381" t="s">
        <v>46573</v>
      </c>
    </row>
    <row r="3382" spans="1:24">
      <c r="A3382">
        <f>HYPERLINK("https://www.philgeps.gov.ph/GEPSNONPILOT/Tender/SplashBidNoticeAbstractUI.aspx?menuIndex=3&amp;refID=7062789&amp;Result=3","7062789")</f>
        <v>0</v>
      </c>
      <c r="B3382" t="s">
        <v>1310</v>
      </c>
      <c r="C3382" t="s">
        <v>6762</v>
      </c>
      <c r="D3382" t="s">
        <v>18790</v>
      </c>
      <c r="E3382" t="s">
        <v>21954</v>
      </c>
      <c r="F3382" t="s">
        <v>32664</v>
      </c>
      <c r="G3382" t="s">
        <v>32672</v>
      </c>
      <c r="H3382" t="s">
        <v>12635</v>
      </c>
      <c r="I3382" t="s">
        <v>4439</v>
      </c>
      <c r="J3382" t="s">
        <v>35097</v>
      </c>
      <c r="K3382" t="s">
        <v>42283</v>
      </c>
      <c r="M3382" t="s">
        <v>43956</v>
      </c>
      <c r="N3382" t="s">
        <v>46569</v>
      </c>
      <c r="O3382" t="s">
        <v>46570</v>
      </c>
      <c r="P3382">
        <v>0</v>
      </c>
      <c r="Q3382">
        <v>0</v>
      </c>
      <c r="R3382" t="s">
        <v>46572</v>
      </c>
      <c r="S3382" t="s">
        <v>46689</v>
      </c>
      <c r="T3382" t="s">
        <v>48230</v>
      </c>
      <c r="U3382" t="s">
        <v>51578</v>
      </c>
      <c r="W3382" t="s">
        <v>43956</v>
      </c>
      <c r="X3382" t="s">
        <v>46573</v>
      </c>
    </row>
    <row r="3383" spans="1:24">
      <c r="A3383">
        <f>HYPERLINK("https://www.philgeps.gov.ph/GEPSNONPILOT/Tender/SplashBidNoticeAbstractUI.aspx?menuIndex=3&amp;refID=7062800&amp;Result=3","7062800")</f>
        <v>0</v>
      </c>
      <c r="B3383" t="s">
        <v>434</v>
      </c>
      <c r="C3383" t="s">
        <v>6451</v>
      </c>
      <c r="D3383" t="s">
        <v>18838</v>
      </c>
      <c r="E3383" t="s">
        <v>19700</v>
      </c>
      <c r="F3383" t="s">
        <v>32664</v>
      </c>
      <c r="G3383" t="s">
        <v>32672</v>
      </c>
      <c r="H3383" t="s">
        <v>12635</v>
      </c>
      <c r="I3383" t="s">
        <v>4439</v>
      </c>
      <c r="J3383" t="s">
        <v>33499</v>
      </c>
      <c r="K3383" t="s">
        <v>42330</v>
      </c>
      <c r="M3383" t="s">
        <v>43006</v>
      </c>
      <c r="N3383" t="s">
        <v>46569</v>
      </c>
      <c r="O3383" t="s">
        <v>46570</v>
      </c>
      <c r="P3383">
        <v>0</v>
      </c>
      <c r="Q3383">
        <v>0</v>
      </c>
      <c r="R3383" t="s">
        <v>46572</v>
      </c>
      <c r="S3383" t="s">
        <v>46689</v>
      </c>
      <c r="T3383" t="s">
        <v>48276</v>
      </c>
      <c r="U3383" t="s">
        <v>49549</v>
      </c>
      <c r="W3383" t="s">
        <v>43006</v>
      </c>
      <c r="X3383" t="s">
        <v>46573</v>
      </c>
    </row>
    <row r="3384" spans="1:24">
      <c r="A3384">
        <f>HYPERLINK("https://www.philgeps.gov.ph/GEPSNONPILOT/Tender/SplashBidNoticeAbstractUI.aspx?menuIndex=3&amp;refID=7062835&amp;Result=3","7062835")</f>
        <v>0</v>
      </c>
      <c r="B3384" t="s">
        <v>567</v>
      </c>
      <c r="C3384" t="s">
        <v>6789</v>
      </c>
      <c r="D3384" t="s">
        <v>18784</v>
      </c>
      <c r="E3384" t="s">
        <v>21955</v>
      </c>
      <c r="F3384" t="s">
        <v>32664</v>
      </c>
      <c r="G3384" t="s">
        <v>32674</v>
      </c>
      <c r="H3384" t="s">
        <v>12635</v>
      </c>
      <c r="I3384" t="s">
        <v>8730</v>
      </c>
      <c r="J3384" t="s">
        <v>32853</v>
      </c>
      <c r="K3384" t="s">
        <v>42284</v>
      </c>
      <c r="M3384" t="s">
        <v>43147</v>
      </c>
      <c r="N3384" t="s">
        <v>46569</v>
      </c>
      <c r="O3384" t="s">
        <v>46570</v>
      </c>
      <c r="P3384">
        <v>0</v>
      </c>
      <c r="Q3384">
        <v>17</v>
      </c>
      <c r="R3384" t="s">
        <v>46572</v>
      </c>
      <c r="S3384" t="s">
        <v>46689</v>
      </c>
      <c r="T3384" t="s">
        <v>48305</v>
      </c>
      <c r="U3384" t="s">
        <v>49661</v>
      </c>
      <c r="V3384" t="s">
        <v>61967</v>
      </c>
      <c r="W3384" t="s">
        <v>43147</v>
      </c>
      <c r="X3384" t="s">
        <v>46573</v>
      </c>
    </row>
    <row r="3385" spans="1:24">
      <c r="A3385">
        <f>HYPERLINK("https://www.philgeps.gov.ph/GEPSNONPILOT/Tender/SplashBidNoticeAbstractUI.aspx?menuIndex=3&amp;refID=7062833&amp;Result=3","7062833")</f>
        <v>0</v>
      </c>
      <c r="B3385" t="s">
        <v>1210</v>
      </c>
      <c r="C3385" t="s">
        <v>6790</v>
      </c>
      <c r="D3385" t="s">
        <v>18788</v>
      </c>
      <c r="E3385" t="s">
        <v>21956</v>
      </c>
      <c r="F3385" t="s">
        <v>32664</v>
      </c>
      <c r="G3385" t="s">
        <v>32672</v>
      </c>
      <c r="H3385" t="s">
        <v>12635</v>
      </c>
      <c r="I3385" t="s">
        <v>11464</v>
      </c>
      <c r="J3385" t="s">
        <v>32974</v>
      </c>
      <c r="K3385" t="s">
        <v>42283</v>
      </c>
      <c r="M3385" t="s">
        <v>43848</v>
      </c>
      <c r="N3385" t="s">
        <v>46569</v>
      </c>
      <c r="O3385" t="s">
        <v>46570</v>
      </c>
      <c r="P3385">
        <v>0</v>
      </c>
      <c r="Q3385">
        <v>0</v>
      </c>
      <c r="R3385" t="s">
        <v>46572</v>
      </c>
      <c r="S3385" t="s">
        <v>46689</v>
      </c>
      <c r="T3385" t="s">
        <v>48226</v>
      </c>
      <c r="U3385" t="s">
        <v>51362</v>
      </c>
      <c r="W3385" t="s">
        <v>43848</v>
      </c>
      <c r="X3385" t="s">
        <v>46573</v>
      </c>
    </row>
    <row r="3386" spans="1:24">
      <c r="A3386">
        <f>HYPERLINK("https://www.philgeps.gov.ph/GEPSNONPILOT/Tender/SplashBidNoticeAbstractUI.aspx?menuIndex=3&amp;refID=7062832&amp;Result=3","7062832")</f>
        <v>0</v>
      </c>
      <c r="B3386" t="s">
        <v>1320</v>
      </c>
      <c r="C3386" t="s">
        <v>6791</v>
      </c>
      <c r="E3386" t="s">
        <v>21957</v>
      </c>
      <c r="F3386" t="s">
        <v>32664</v>
      </c>
      <c r="G3386" t="s">
        <v>32671</v>
      </c>
      <c r="H3386" t="s">
        <v>32682</v>
      </c>
      <c r="I3386" t="s">
        <v>6168</v>
      </c>
      <c r="J3386" t="s">
        <v>35098</v>
      </c>
      <c r="K3386" t="s">
        <v>42281</v>
      </c>
      <c r="M3386" t="s">
        <v>43969</v>
      </c>
      <c r="N3386" t="s">
        <v>46569</v>
      </c>
      <c r="O3386" t="s">
        <v>46570</v>
      </c>
      <c r="P3386">
        <v>0</v>
      </c>
      <c r="Q3386">
        <v>2</v>
      </c>
      <c r="R3386" t="s">
        <v>46572</v>
      </c>
      <c r="S3386" t="s">
        <v>46689</v>
      </c>
      <c r="T3386" t="s">
        <v>48256</v>
      </c>
      <c r="U3386" t="s">
        <v>51599</v>
      </c>
      <c r="W3386" t="s">
        <v>43969</v>
      </c>
      <c r="X3386" t="s">
        <v>46573</v>
      </c>
    </row>
    <row r="3387" spans="1:24">
      <c r="A3387">
        <f>HYPERLINK("https://www.philgeps.gov.ph/GEPSNONPILOT/Tender/SplashBidNoticeAbstractUI.aspx?menuIndex=3&amp;refID=7062678&amp;Result=3","7062678")</f>
        <v>0</v>
      </c>
      <c r="B3387" t="s">
        <v>1321</v>
      </c>
      <c r="C3387" t="s">
        <v>6792</v>
      </c>
      <c r="D3387" t="s">
        <v>18827</v>
      </c>
      <c r="E3387" t="s">
        <v>21958</v>
      </c>
      <c r="F3387" t="s">
        <v>32664</v>
      </c>
      <c r="G3387" t="s">
        <v>32672</v>
      </c>
      <c r="H3387" t="s">
        <v>12635</v>
      </c>
      <c r="I3387" t="s">
        <v>6223</v>
      </c>
      <c r="J3387" t="s">
        <v>35099</v>
      </c>
      <c r="K3387" t="s">
        <v>42281</v>
      </c>
      <c r="M3387" t="s">
        <v>43970</v>
      </c>
      <c r="N3387" t="s">
        <v>46569</v>
      </c>
      <c r="O3387" t="s">
        <v>46570</v>
      </c>
      <c r="P3387">
        <v>0</v>
      </c>
      <c r="Q3387">
        <v>2</v>
      </c>
      <c r="R3387" t="s">
        <v>46572</v>
      </c>
      <c r="S3387" t="s">
        <v>46689</v>
      </c>
      <c r="T3387" t="s">
        <v>48223</v>
      </c>
      <c r="U3387" t="s">
        <v>51600</v>
      </c>
      <c r="W3387" t="s">
        <v>43970</v>
      </c>
      <c r="X3387" t="s">
        <v>46573</v>
      </c>
    </row>
    <row r="3388" spans="1:24">
      <c r="A3388">
        <f>HYPERLINK("https://www.philgeps.gov.ph/GEPSNONPILOT/Tender/SplashBidNoticeAbstractUI.aspx?menuIndex=3&amp;refID=7062829&amp;Result=3","7062829")</f>
        <v>0</v>
      </c>
      <c r="B3388" t="s">
        <v>459</v>
      </c>
      <c r="C3388" t="s">
        <v>6793</v>
      </c>
      <c r="D3388" t="s">
        <v>18857</v>
      </c>
      <c r="E3388" t="s">
        <v>21959</v>
      </c>
      <c r="F3388" t="s">
        <v>32664</v>
      </c>
      <c r="G3388" t="s">
        <v>32671</v>
      </c>
      <c r="H3388" t="s">
        <v>12635</v>
      </c>
      <c r="I3388" t="s">
        <v>4333</v>
      </c>
      <c r="J3388" t="s">
        <v>35100</v>
      </c>
      <c r="K3388" t="s">
        <v>42289</v>
      </c>
      <c r="M3388" t="s">
        <v>43032</v>
      </c>
      <c r="N3388" t="s">
        <v>46569</v>
      </c>
      <c r="O3388" t="s">
        <v>46570</v>
      </c>
      <c r="P3388">
        <v>0</v>
      </c>
      <c r="Q3388">
        <v>0</v>
      </c>
      <c r="R3388" t="s">
        <v>46572</v>
      </c>
      <c r="S3388" t="s">
        <v>46689</v>
      </c>
      <c r="T3388" t="s">
        <v>48228</v>
      </c>
      <c r="U3388" t="s">
        <v>51601</v>
      </c>
      <c r="W3388" t="s">
        <v>43032</v>
      </c>
      <c r="X3388" t="s">
        <v>46573</v>
      </c>
    </row>
    <row r="3389" spans="1:24">
      <c r="A3389">
        <f>HYPERLINK("https://www.philgeps.gov.ph/GEPSNONPILOT/Tender/SplashBidNoticeAbstractUI.aspx?menuIndex=3&amp;refID=7062792&amp;Result=3","7062792")</f>
        <v>0</v>
      </c>
      <c r="B3389" t="s">
        <v>683</v>
      </c>
      <c r="C3389" t="s">
        <v>6794</v>
      </c>
      <c r="D3389" t="s">
        <v>18842</v>
      </c>
      <c r="E3389" t="s">
        <v>21960</v>
      </c>
      <c r="F3389" t="s">
        <v>32664</v>
      </c>
      <c r="G3389" t="s">
        <v>32674</v>
      </c>
      <c r="H3389" t="s">
        <v>12635</v>
      </c>
      <c r="I3389" t="s">
        <v>10361</v>
      </c>
      <c r="J3389" t="s">
        <v>32831</v>
      </c>
      <c r="K3389" t="s">
        <v>42283</v>
      </c>
      <c r="M3389" t="s">
        <v>43959</v>
      </c>
      <c r="N3389" t="s">
        <v>46569</v>
      </c>
      <c r="O3389" t="s">
        <v>46570</v>
      </c>
      <c r="P3389">
        <v>0</v>
      </c>
      <c r="Q3389">
        <v>0</v>
      </c>
      <c r="R3389" t="s">
        <v>46572</v>
      </c>
      <c r="S3389" t="s">
        <v>46689</v>
      </c>
      <c r="T3389" t="s">
        <v>48256</v>
      </c>
      <c r="U3389" t="s">
        <v>50070</v>
      </c>
      <c r="W3389" t="s">
        <v>43959</v>
      </c>
      <c r="X3389" t="s">
        <v>46573</v>
      </c>
    </row>
    <row r="3390" spans="1:24">
      <c r="A3390">
        <f>HYPERLINK("https://www.philgeps.gov.ph/GEPSNONPILOT/Tender/SplashBidNoticeAbstractUI.aspx?menuIndex=3&amp;refID=7062828&amp;Result=3","7062828")</f>
        <v>0</v>
      </c>
      <c r="B3390" t="s">
        <v>1263</v>
      </c>
      <c r="C3390" t="s">
        <v>6795</v>
      </c>
      <c r="D3390" t="s">
        <v>18807</v>
      </c>
      <c r="E3390" t="s">
        <v>21961</v>
      </c>
      <c r="F3390" t="s">
        <v>32664</v>
      </c>
      <c r="G3390" t="s">
        <v>32671</v>
      </c>
      <c r="H3390" t="s">
        <v>12635</v>
      </c>
      <c r="I3390" t="s">
        <v>6223</v>
      </c>
      <c r="J3390" t="s">
        <v>33621</v>
      </c>
      <c r="K3390" t="s">
        <v>42283</v>
      </c>
      <c r="M3390" t="s">
        <v>43906</v>
      </c>
      <c r="N3390" t="s">
        <v>46569</v>
      </c>
      <c r="O3390" t="s">
        <v>46570</v>
      </c>
      <c r="P3390">
        <v>0</v>
      </c>
      <c r="Q3390">
        <v>0</v>
      </c>
      <c r="R3390" t="s">
        <v>46572</v>
      </c>
      <c r="S3390" t="s">
        <v>46689</v>
      </c>
      <c r="T3390" t="s">
        <v>48411</v>
      </c>
      <c r="U3390" t="s">
        <v>51469</v>
      </c>
      <c r="W3390" t="s">
        <v>43906</v>
      </c>
      <c r="X3390" t="s">
        <v>46573</v>
      </c>
    </row>
    <row r="3391" spans="1:24">
      <c r="A3391">
        <f>HYPERLINK("https://www.philgeps.gov.ph/GEPSNONPILOT/Tender/SplashBidNoticeAbstractUI.aspx?menuIndex=3&amp;refID=7062802&amp;Result=3","7062802")</f>
        <v>0</v>
      </c>
      <c r="B3391" t="s">
        <v>1308</v>
      </c>
      <c r="C3391" t="s">
        <v>6796</v>
      </c>
      <c r="E3391" t="s">
        <v>21962</v>
      </c>
      <c r="F3391" t="s">
        <v>32664</v>
      </c>
      <c r="G3391" t="s">
        <v>32671</v>
      </c>
      <c r="H3391" t="s">
        <v>12635</v>
      </c>
      <c r="I3391" t="s">
        <v>32776</v>
      </c>
      <c r="J3391" t="s">
        <v>35101</v>
      </c>
      <c r="K3391" t="s">
        <v>42289</v>
      </c>
      <c r="M3391" t="s">
        <v>43954</v>
      </c>
      <c r="N3391" t="s">
        <v>46569</v>
      </c>
      <c r="O3391" t="s">
        <v>46570</v>
      </c>
      <c r="P3391">
        <v>0</v>
      </c>
      <c r="Q3391">
        <v>0</v>
      </c>
      <c r="R3391" t="s">
        <v>46572</v>
      </c>
      <c r="S3391" t="s">
        <v>46689</v>
      </c>
      <c r="T3391" t="s">
        <v>48314</v>
      </c>
      <c r="U3391" t="s">
        <v>51602</v>
      </c>
      <c r="W3391" t="s">
        <v>43954</v>
      </c>
      <c r="X3391" t="s">
        <v>46573</v>
      </c>
    </row>
    <row r="3392" spans="1:24">
      <c r="A3392">
        <f>HYPERLINK("https://www.philgeps.gov.ph/GEPSNONPILOT/Tender/SplashBidNoticeAbstractUI.aspx?menuIndex=3&amp;refID=7062834&amp;Result=3","7062834")</f>
        <v>0</v>
      </c>
      <c r="B3392" t="s">
        <v>268</v>
      </c>
      <c r="C3392" t="s">
        <v>6797</v>
      </c>
      <c r="D3392" t="s">
        <v>18839</v>
      </c>
      <c r="E3392" t="s">
        <v>21963</v>
      </c>
      <c r="F3392" t="s">
        <v>32664</v>
      </c>
      <c r="G3392" t="s">
        <v>32674</v>
      </c>
      <c r="H3392" t="s">
        <v>12635</v>
      </c>
      <c r="I3392" t="s">
        <v>6223</v>
      </c>
      <c r="J3392" t="s">
        <v>34216</v>
      </c>
      <c r="K3392" t="s">
        <v>42284</v>
      </c>
      <c r="M3392" t="s">
        <v>42833</v>
      </c>
      <c r="N3392" t="s">
        <v>46569</v>
      </c>
      <c r="O3392" t="s">
        <v>46570</v>
      </c>
      <c r="P3392">
        <v>0</v>
      </c>
      <c r="Q3392">
        <v>0</v>
      </c>
      <c r="R3392" t="s">
        <v>46572</v>
      </c>
      <c r="S3392" t="s">
        <v>46689</v>
      </c>
      <c r="T3392" t="s">
        <v>48228</v>
      </c>
      <c r="U3392" t="s">
        <v>51603</v>
      </c>
      <c r="W3392" t="s">
        <v>42833</v>
      </c>
      <c r="X3392" t="s">
        <v>46573</v>
      </c>
    </row>
    <row r="3393" spans="1:24">
      <c r="A3393">
        <f>HYPERLINK("https://www.philgeps.gov.ph/GEPSNONPILOT/Tender/SplashBidNoticeAbstractUI.aspx?menuIndex=3&amp;refID=7062823&amp;Result=3","7062823")</f>
        <v>0</v>
      </c>
      <c r="B3393" t="s">
        <v>679</v>
      </c>
      <c r="C3393" t="s">
        <v>6798</v>
      </c>
      <c r="D3393" t="s">
        <v>18831</v>
      </c>
      <c r="E3393" t="s">
        <v>21964</v>
      </c>
      <c r="F3393" t="s">
        <v>32664</v>
      </c>
      <c r="G3393" t="s">
        <v>32671</v>
      </c>
      <c r="H3393" t="s">
        <v>12635</v>
      </c>
      <c r="I3393" t="s">
        <v>8797</v>
      </c>
      <c r="J3393" t="s">
        <v>35102</v>
      </c>
      <c r="K3393" t="s">
        <v>42281</v>
      </c>
      <c r="M3393" t="s">
        <v>43266</v>
      </c>
      <c r="N3393" t="s">
        <v>46569</v>
      </c>
      <c r="O3393" t="s">
        <v>46570</v>
      </c>
      <c r="P3393">
        <v>0</v>
      </c>
      <c r="Q3393">
        <v>0</v>
      </c>
      <c r="R3393" t="s">
        <v>46572</v>
      </c>
      <c r="S3393" t="s">
        <v>46689</v>
      </c>
      <c r="T3393" t="s">
        <v>48217</v>
      </c>
      <c r="U3393" t="s">
        <v>51604</v>
      </c>
      <c r="W3393" t="s">
        <v>43266</v>
      </c>
      <c r="X3393" t="s">
        <v>46573</v>
      </c>
    </row>
    <row r="3394" spans="1:24">
      <c r="A3394">
        <f>HYPERLINK("https://www.philgeps.gov.ph/GEPSNONPILOT/Tender/SplashBidNoticeAbstractUI.aspx?menuIndex=3&amp;refID=7062822&amp;Result=3","7062822")</f>
        <v>0</v>
      </c>
      <c r="B3394" t="s">
        <v>594</v>
      </c>
      <c r="C3394" t="s">
        <v>6799</v>
      </c>
      <c r="D3394" t="s">
        <v>18784</v>
      </c>
      <c r="E3394" t="s">
        <v>21965</v>
      </c>
      <c r="F3394" t="s">
        <v>32664</v>
      </c>
      <c r="G3394" t="s">
        <v>32674</v>
      </c>
      <c r="H3394" t="s">
        <v>12635</v>
      </c>
      <c r="I3394" t="s">
        <v>32704</v>
      </c>
      <c r="J3394" t="s">
        <v>35103</v>
      </c>
      <c r="K3394" t="s">
        <v>42297</v>
      </c>
      <c r="M3394" t="s">
        <v>43721</v>
      </c>
      <c r="N3394" t="s">
        <v>46569</v>
      </c>
      <c r="O3394" t="s">
        <v>46570</v>
      </c>
      <c r="P3394">
        <v>0</v>
      </c>
      <c r="Q3394">
        <v>6</v>
      </c>
      <c r="R3394" t="s">
        <v>46572</v>
      </c>
      <c r="S3394" t="s">
        <v>46689</v>
      </c>
      <c r="T3394" t="s">
        <v>48461</v>
      </c>
      <c r="U3394" t="s">
        <v>51605</v>
      </c>
      <c r="V3394" t="s">
        <v>61897</v>
      </c>
      <c r="W3394" t="s">
        <v>43721</v>
      </c>
      <c r="X3394" t="s">
        <v>46573</v>
      </c>
    </row>
    <row r="3395" spans="1:24">
      <c r="A3395">
        <f>HYPERLINK("https://www.philgeps.gov.ph/GEPSNONPILOT/Tender/SplashBidNoticeAbstractUI.aspx?menuIndex=3&amp;refID=7062820&amp;Result=3","7062820")</f>
        <v>0</v>
      </c>
      <c r="B3395" t="s">
        <v>1120</v>
      </c>
      <c r="C3395" t="s">
        <v>6800</v>
      </c>
      <c r="D3395" t="s">
        <v>18781</v>
      </c>
      <c r="E3395" t="s">
        <v>20724</v>
      </c>
      <c r="F3395" t="s">
        <v>32664</v>
      </c>
      <c r="G3395" t="s">
        <v>32671</v>
      </c>
      <c r="H3395" t="s">
        <v>12635</v>
      </c>
      <c r="I3395" t="s">
        <v>4439</v>
      </c>
      <c r="J3395" t="s">
        <v>33466</v>
      </c>
      <c r="K3395" t="s">
        <v>42284</v>
      </c>
      <c r="M3395" t="s">
        <v>43749</v>
      </c>
      <c r="N3395" t="s">
        <v>46569</v>
      </c>
      <c r="O3395" t="s">
        <v>46570</v>
      </c>
      <c r="P3395">
        <v>0</v>
      </c>
      <c r="Q3395">
        <v>0</v>
      </c>
      <c r="R3395" t="s">
        <v>46572</v>
      </c>
      <c r="S3395" t="s">
        <v>46689</v>
      </c>
      <c r="T3395" t="s">
        <v>48256</v>
      </c>
      <c r="U3395" t="s">
        <v>51606</v>
      </c>
      <c r="V3395" t="s">
        <v>61968</v>
      </c>
      <c r="W3395" t="s">
        <v>43749</v>
      </c>
      <c r="X3395" t="s">
        <v>46573</v>
      </c>
    </row>
    <row r="3396" spans="1:24">
      <c r="A3396">
        <f>HYPERLINK("https://www.philgeps.gov.ph/GEPSNONPILOT/Tender/SplashBidNoticeAbstractUI.aspx?menuIndex=3&amp;refID=7062806&amp;Result=3","7062806")</f>
        <v>0</v>
      </c>
      <c r="B3396" t="s">
        <v>1322</v>
      </c>
      <c r="C3396" t="s">
        <v>6801</v>
      </c>
      <c r="D3396" t="s">
        <v>18788</v>
      </c>
      <c r="E3396" t="s">
        <v>21966</v>
      </c>
      <c r="F3396" t="s">
        <v>32664</v>
      </c>
      <c r="G3396" t="s">
        <v>32672</v>
      </c>
      <c r="H3396" t="s">
        <v>32683</v>
      </c>
      <c r="I3396" t="s">
        <v>10627</v>
      </c>
      <c r="J3396" t="s">
        <v>35104</v>
      </c>
      <c r="K3396" t="s">
        <v>42408</v>
      </c>
      <c r="M3396" t="s">
        <v>43971</v>
      </c>
      <c r="N3396" t="s">
        <v>46569</v>
      </c>
      <c r="O3396" t="s">
        <v>46570</v>
      </c>
      <c r="P3396">
        <v>0</v>
      </c>
      <c r="Q3396">
        <v>0</v>
      </c>
      <c r="R3396" t="s">
        <v>46572</v>
      </c>
      <c r="S3396" t="s">
        <v>46689</v>
      </c>
      <c r="T3396" t="s">
        <v>48274</v>
      </c>
      <c r="U3396" t="s">
        <v>51607</v>
      </c>
      <c r="W3396" t="s">
        <v>43971</v>
      </c>
      <c r="X3396" t="s">
        <v>46573</v>
      </c>
    </row>
    <row r="3397" spans="1:24">
      <c r="A3397">
        <f>HYPERLINK("https://www.philgeps.gov.ph/GEPSNONPILOT/Tender/SplashBidNoticeAbstractUI.aspx?menuIndex=3&amp;refID=7062679&amp;Result=3","7062679")</f>
        <v>0</v>
      </c>
      <c r="B3397" t="s">
        <v>594</v>
      </c>
      <c r="C3397" t="s">
        <v>6802</v>
      </c>
      <c r="D3397" t="s">
        <v>18784</v>
      </c>
      <c r="E3397" t="s">
        <v>21967</v>
      </c>
      <c r="F3397" t="s">
        <v>32664</v>
      </c>
      <c r="G3397" t="s">
        <v>32674</v>
      </c>
      <c r="H3397" t="s">
        <v>12635</v>
      </c>
      <c r="I3397" t="s">
        <v>32758</v>
      </c>
      <c r="J3397" t="s">
        <v>35105</v>
      </c>
      <c r="K3397" t="s">
        <v>42297</v>
      </c>
      <c r="M3397" t="s">
        <v>43793</v>
      </c>
      <c r="N3397" t="s">
        <v>46569</v>
      </c>
      <c r="O3397" t="s">
        <v>46570</v>
      </c>
      <c r="P3397">
        <v>0</v>
      </c>
      <c r="Q3397">
        <v>2</v>
      </c>
      <c r="R3397" t="s">
        <v>46572</v>
      </c>
      <c r="S3397" t="s">
        <v>46689</v>
      </c>
      <c r="T3397" t="s">
        <v>48461</v>
      </c>
      <c r="U3397" t="s">
        <v>51608</v>
      </c>
      <c r="V3397" t="s">
        <v>61909</v>
      </c>
      <c r="W3397" t="s">
        <v>43793</v>
      </c>
      <c r="X3397" t="s">
        <v>46573</v>
      </c>
    </row>
    <row r="3398" spans="1:24">
      <c r="A3398">
        <f>HYPERLINK("https://www.philgeps.gov.ph/GEPSNONPILOT/Tender/SplashBidNoticeAbstractUI.aspx?menuIndex=3&amp;refID=7062826&amp;Result=3","7062826")</f>
        <v>0</v>
      </c>
      <c r="B3398" t="s">
        <v>203</v>
      </c>
      <c r="C3398" t="s">
        <v>6803</v>
      </c>
      <c r="D3398" t="s">
        <v>18842</v>
      </c>
      <c r="E3398" t="s">
        <v>21968</v>
      </c>
      <c r="F3398" t="s">
        <v>32664</v>
      </c>
      <c r="G3398" t="s">
        <v>32671</v>
      </c>
      <c r="H3398" t="s">
        <v>32682</v>
      </c>
      <c r="I3398" t="s">
        <v>32696</v>
      </c>
      <c r="J3398" t="s">
        <v>35106</v>
      </c>
      <c r="K3398" t="s">
        <v>42281</v>
      </c>
      <c r="M3398" t="s">
        <v>42767</v>
      </c>
      <c r="N3398" t="s">
        <v>46569</v>
      </c>
      <c r="O3398" t="s">
        <v>46570</v>
      </c>
      <c r="P3398">
        <v>0</v>
      </c>
      <c r="Q3398">
        <v>0</v>
      </c>
      <c r="R3398" t="s">
        <v>46572</v>
      </c>
      <c r="S3398" t="s">
        <v>46689</v>
      </c>
      <c r="T3398" t="s">
        <v>48258</v>
      </c>
      <c r="U3398" t="s">
        <v>51609</v>
      </c>
      <c r="V3398" t="s">
        <v>50334</v>
      </c>
      <c r="W3398" t="s">
        <v>42767</v>
      </c>
      <c r="X3398" t="s">
        <v>46573</v>
      </c>
    </row>
    <row r="3399" spans="1:24">
      <c r="A3399">
        <f>HYPERLINK("https://www.philgeps.gov.ph/GEPSNONPILOT/Tender/SplashBidNoticeAbstractUI.aspx?menuIndex=3&amp;refID=7062827&amp;Result=3","7062827")</f>
        <v>0</v>
      </c>
      <c r="B3399" t="s">
        <v>1323</v>
      </c>
      <c r="C3399" t="s">
        <v>6804</v>
      </c>
      <c r="D3399" t="s">
        <v>18799</v>
      </c>
      <c r="E3399" t="s">
        <v>21047</v>
      </c>
      <c r="F3399" t="s">
        <v>32666</v>
      </c>
      <c r="G3399" t="s">
        <v>32672</v>
      </c>
      <c r="H3399" t="s">
        <v>12635</v>
      </c>
      <c r="I3399" t="s">
        <v>11464</v>
      </c>
      <c r="J3399" t="s">
        <v>34481</v>
      </c>
      <c r="K3399" t="s">
        <v>42297</v>
      </c>
      <c r="M3399" t="s">
        <v>43972</v>
      </c>
      <c r="N3399" t="s">
        <v>46569</v>
      </c>
      <c r="O3399" t="s">
        <v>46570</v>
      </c>
      <c r="P3399">
        <v>0</v>
      </c>
      <c r="Q3399">
        <v>5</v>
      </c>
      <c r="R3399" t="s">
        <v>46572</v>
      </c>
      <c r="S3399" t="s">
        <v>46689</v>
      </c>
      <c r="T3399" t="s">
        <v>48402</v>
      </c>
      <c r="U3399" t="s">
        <v>51610</v>
      </c>
      <c r="V3399" t="s">
        <v>61969</v>
      </c>
      <c r="W3399" t="s">
        <v>43972</v>
      </c>
      <c r="X3399" t="s">
        <v>46573</v>
      </c>
    </row>
    <row r="3400" spans="1:24">
      <c r="A3400">
        <f>HYPERLINK("https://www.philgeps.gov.ph/GEPSNONPILOT/Tender/SplashBidNoticeAbstractUI.aspx?menuIndex=3&amp;refID=7062854&amp;Result=3","7062854")</f>
        <v>0</v>
      </c>
      <c r="B3400" t="s">
        <v>885</v>
      </c>
      <c r="C3400" t="s">
        <v>6805</v>
      </c>
      <c r="D3400" t="s">
        <v>18819</v>
      </c>
      <c r="E3400" t="s">
        <v>21969</v>
      </c>
      <c r="F3400" t="s">
        <v>32664</v>
      </c>
      <c r="G3400" t="s">
        <v>32674</v>
      </c>
      <c r="H3400" t="s">
        <v>12635</v>
      </c>
      <c r="I3400" t="s">
        <v>5589</v>
      </c>
      <c r="J3400" t="s">
        <v>32959</v>
      </c>
      <c r="K3400" t="s">
        <v>42283</v>
      </c>
      <c r="M3400" t="s">
        <v>43486</v>
      </c>
      <c r="N3400" t="s">
        <v>46569</v>
      </c>
      <c r="O3400" t="s">
        <v>46570</v>
      </c>
      <c r="P3400">
        <v>0</v>
      </c>
      <c r="Q3400">
        <v>1</v>
      </c>
      <c r="R3400" t="s">
        <v>46572</v>
      </c>
      <c r="S3400" t="s">
        <v>46689</v>
      </c>
      <c r="T3400" t="s">
        <v>48256</v>
      </c>
      <c r="U3400" t="s">
        <v>51611</v>
      </c>
      <c r="V3400" t="s">
        <v>61836</v>
      </c>
      <c r="W3400" t="s">
        <v>43486</v>
      </c>
      <c r="X3400" t="s">
        <v>46573</v>
      </c>
    </row>
    <row r="3401" spans="1:24">
      <c r="A3401">
        <f>HYPERLINK("https://www.philgeps.gov.ph/GEPSNONPILOT/Tender/SplashBidNoticeAbstractUI.aspx?menuIndex=3&amp;refID=7062858&amp;Result=3","7062858")</f>
        <v>0</v>
      </c>
      <c r="B3401" t="s">
        <v>269</v>
      </c>
      <c r="C3401" t="s">
        <v>6806</v>
      </c>
      <c r="D3401" t="s">
        <v>18831</v>
      </c>
      <c r="E3401" t="s">
        <v>21970</v>
      </c>
      <c r="F3401" t="s">
        <v>32664</v>
      </c>
      <c r="G3401" t="s">
        <v>32672</v>
      </c>
      <c r="H3401" t="s">
        <v>32683</v>
      </c>
      <c r="I3401" t="s">
        <v>10627</v>
      </c>
      <c r="J3401" t="s">
        <v>35107</v>
      </c>
      <c r="K3401" t="s">
        <v>42311</v>
      </c>
      <c r="M3401" t="s">
        <v>42834</v>
      </c>
      <c r="N3401" t="s">
        <v>46569</v>
      </c>
      <c r="O3401" t="s">
        <v>46570</v>
      </c>
      <c r="P3401">
        <v>0</v>
      </c>
      <c r="Q3401">
        <v>0</v>
      </c>
      <c r="R3401" t="s">
        <v>46572</v>
      </c>
      <c r="S3401" t="s">
        <v>46689</v>
      </c>
      <c r="T3401" t="s">
        <v>48318</v>
      </c>
      <c r="U3401" t="s">
        <v>51612</v>
      </c>
      <c r="W3401" t="s">
        <v>42834</v>
      </c>
      <c r="X3401" t="s">
        <v>46573</v>
      </c>
    </row>
    <row r="3402" spans="1:24">
      <c r="A3402">
        <f>HYPERLINK("https://www.philgeps.gov.ph/GEPSNONPILOT/Tender/SplashBidNoticeAbstractUI.aspx?menuIndex=3&amp;refID=7062853&amp;Result=3","7062853")</f>
        <v>0</v>
      </c>
      <c r="B3402" t="s">
        <v>1324</v>
      </c>
      <c r="C3402" t="s">
        <v>6807</v>
      </c>
      <c r="D3402" t="s">
        <v>18827</v>
      </c>
      <c r="E3402" t="s">
        <v>19612</v>
      </c>
      <c r="F3402" t="s">
        <v>32664</v>
      </c>
      <c r="G3402" t="s">
        <v>32671</v>
      </c>
      <c r="H3402" t="s">
        <v>12635</v>
      </c>
      <c r="I3402" t="s">
        <v>4333</v>
      </c>
      <c r="J3402" t="s">
        <v>35108</v>
      </c>
      <c r="K3402" t="s">
        <v>42339</v>
      </c>
      <c r="M3402" t="s">
        <v>43973</v>
      </c>
      <c r="N3402" t="s">
        <v>46569</v>
      </c>
      <c r="O3402" t="s">
        <v>46570</v>
      </c>
      <c r="P3402">
        <v>0</v>
      </c>
      <c r="Q3402">
        <v>0</v>
      </c>
      <c r="R3402" t="s">
        <v>46572</v>
      </c>
      <c r="S3402" t="s">
        <v>46689</v>
      </c>
      <c r="T3402" t="s">
        <v>48219</v>
      </c>
      <c r="U3402" t="s">
        <v>51613</v>
      </c>
      <c r="W3402" t="s">
        <v>43973</v>
      </c>
      <c r="X3402" t="s">
        <v>46573</v>
      </c>
    </row>
    <row r="3403" spans="1:24">
      <c r="A3403">
        <f>HYPERLINK("https://www.philgeps.gov.ph/GEPSNONPILOT/Tender/SplashBidNoticeAbstractUI.aspx?menuIndex=3&amp;refID=7062851&amp;Result=3","7062851")</f>
        <v>0</v>
      </c>
      <c r="B3403" t="s">
        <v>1103</v>
      </c>
      <c r="C3403" t="s">
        <v>6808</v>
      </c>
      <c r="D3403" t="s">
        <v>18790</v>
      </c>
      <c r="E3403" t="s">
        <v>21971</v>
      </c>
      <c r="F3403" t="s">
        <v>32664</v>
      </c>
      <c r="G3403" t="s">
        <v>32672</v>
      </c>
      <c r="H3403" t="s">
        <v>32683</v>
      </c>
      <c r="I3403" t="s">
        <v>10627</v>
      </c>
      <c r="J3403" t="s">
        <v>35109</v>
      </c>
      <c r="K3403" t="s">
        <v>42327</v>
      </c>
      <c r="M3403" t="s">
        <v>43730</v>
      </c>
      <c r="N3403" t="s">
        <v>46569</v>
      </c>
      <c r="O3403" t="s">
        <v>46570</v>
      </c>
      <c r="P3403">
        <v>0</v>
      </c>
      <c r="Q3403">
        <v>0</v>
      </c>
      <c r="R3403" t="s">
        <v>46572</v>
      </c>
      <c r="S3403" t="s">
        <v>46689</v>
      </c>
      <c r="T3403" t="s">
        <v>48216</v>
      </c>
      <c r="U3403" t="s">
        <v>51614</v>
      </c>
      <c r="W3403" t="s">
        <v>43730</v>
      </c>
      <c r="X3403" t="s">
        <v>46573</v>
      </c>
    </row>
    <row r="3404" spans="1:24">
      <c r="A3404">
        <f>HYPERLINK("https://www.philgeps.gov.ph/GEPSNONPILOT/Tender/SplashBidNoticeAbstractUI.aspx?menuIndex=3&amp;refID=7062801&amp;Result=3","7062801")</f>
        <v>0</v>
      </c>
      <c r="B3404" t="s">
        <v>690</v>
      </c>
      <c r="C3404" t="s">
        <v>6809</v>
      </c>
      <c r="D3404" t="s">
        <v>18781</v>
      </c>
      <c r="E3404" t="s">
        <v>21972</v>
      </c>
      <c r="F3404" t="s">
        <v>32664</v>
      </c>
      <c r="G3404" t="s">
        <v>32672</v>
      </c>
      <c r="H3404" t="s">
        <v>32683</v>
      </c>
      <c r="I3404" t="s">
        <v>10627</v>
      </c>
      <c r="J3404" t="s">
        <v>33508</v>
      </c>
      <c r="K3404" t="s">
        <v>42409</v>
      </c>
      <c r="L3404" t="s">
        <v>690</v>
      </c>
      <c r="M3404" t="s">
        <v>43277</v>
      </c>
      <c r="N3404" t="s">
        <v>46569</v>
      </c>
      <c r="O3404" t="s">
        <v>46570</v>
      </c>
      <c r="P3404">
        <v>0</v>
      </c>
      <c r="Q3404">
        <v>3</v>
      </c>
      <c r="R3404" t="s">
        <v>46572</v>
      </c>
      <c r="S3404" t="s">
        <v>46689</v>
      </c>
      <c r="T3404" t="s">
        <v>48362</v>
      </c>
      <c r="U3404" t="s">
        <v>51586</v>
      </c>
      <c r="W3404" t="s">
        <v>43277</v>
      </c>
      <c r="X3404" t="s">
        <v>46573</v>
      </c>
    </row>
    <row r="3405" spans="1:24">
      <c r="A3405">
        <f>HYPERLINK("https://www.philgeps.gov.ph/GEPSNONPILOT/Tender/SplashBidNoticeAbstractUI.aspx?menuIndex=3&amp;refID=7062857&amp;Result=3","7062857")</f>
        <v>0</v>
      </c>
      <c r="B3405" t="s">
        <v>1325</v>
      </c>
      <c r="C3405" t="s">
        <v>6810</v>
      </c>
      <c r="D3405" t="s">
        <v>18801</v>
      </c>
      <c r="E3405" t="s">
        <v>21973</v>
      </c>
      <c r="F3405" t="s">
        <v>32664</v>
      </c>
      <c r="G3405" t="s">
        <v>32675</v>
      </c>
      <c r="H3405" t="s">
        <v>12635</v>
      </c>
      <c r="I3405" t="s">
        <v>6628</v>
      </c>
      <c r="J3405" t="s">
        <v>33461</v>
      </c>
      <c r="K3405" t="s">
        <v>42284</v>
      </c>
      <c r="M3405" t="s">
        <v>43974</v>
      </c>
      <c r="N3405" t="s">
        <v>46569</v>
      </c>
      <c r="O3405" t="s">
        <v>46570</v>
      </c>
      <c r="P3405">
        <v>0</v>
      </c>
      <c r="Q3405">
        <v>2</v>
      </c>
      <c r="R3405" t="s">
        <v>46572</v>
      </c>
      <c r="S3405" t="s">
        <v>46689</v>
      </c>
      <c r="T3405" t="s">
        <v>48219</v>
      </c>
      <c r="U3405" t="s">
        <v>51615</v>
      </c>
      <c r="W3405" t="s">
        <v>43974</v>
      </c>
      <c r="X3405" t="s">
        <v>46573</v>
      </c>
    </row>
    <row r="3406" spans="1:24">
      <c r="A3406">
        <f>HYPERLINK("https://www.philgeps.gov.ph/GEPSNONPILOT/Tender/SplashBidNoticeAbstractUI.aspx?menuIndex=3&amp;refID=7062849&amp;Result=3","7062849")</f>
        <v>0</v>
      </c>
      <c r="B3406" t="s">
        <v>460</v>
      </c>
      <c r="C3406" t="s">
        <v>6811</v>
      </c>
      <c r="D3406" t="s">
        <v>18806</v>
      </c>
      <c r="E3406" t="s">
        <v>21974</v>
      </c>
      <c r="F3406" t="s">
        <v>32664</v>
      </c>
      <c r="G3406" t="s">
        <v>32672</v>
      </c>
      <c r="H3406" t="s">
        <v>12635</v>
      </c>
      <c r="I3406" t="s">
        <v>9486</v>
      </c>
      <c r="J3406" t="s">
        <v>35110</v>
      </c>
      <c r="K3406" t="s">
        <v>42330</v>
      </c>
      <c r="M3406" t="s">
        <v>43035</v>
      </c>
      <c r="N3406" t="s">
        <v>46569</v>
      </c>
      <c r="O3406" t="s">
        <v>46570</v>
      </c>
      <c r="P3406">
        <v>0</v>
      </c>
      <c r="Q3406">
        <v>1</v>
      </c>
      <c r="R3406" t="s">
        <v>46572</v>
      </c>
      <c r="S3406" t="s">
        <v>46689</v>
      </c>
      <c r="T3406" t="s">
        <v>48285</v>
      </c>
      <c r="U3406" t="s">
        <v>51616</v>
      </c>
      <c r="V3406" t="s">
        <v>61876</v>
      </c>
      <c r="W3406" t="s">
        <v>43035</v>
      </c>
      <c r="X3406" t="s">
        <v>46573</v>
      </c>
    </row>
    <row r="3407" spans="1:24">
      <c r="A3407">
        <f>HYPERLINK("https://www.philgeps.gov.ph/GEPSNONPILOT/Tender/SplashBidNoticeAbstractUI.aspx?menuIndex=3&amp;refID=7062848&amp;Result=3","7062848")</f>
        <v>0</v>
      </c>
      <c r="B3407" t="s">
        <v>164</v>
      </c>
      <c r="C3407" t="s">
        <v>6812</v>
      </c>
      <c r="D3407" t="s">
        <v>18836</v>
      </c>
      <c r="E3407" t="s">
        <v>21975</v>
      </c>
      <c r="F3407" t="s">
        <v>32664</v>
      </c>
      <c r="G3407" t="s">
        <v>32671</v>
      </c>
      <c r="H3407" t="s">
        <v>12635</v>
      </c>
      <c r="I3407" t="s">
        <v>6223</v>
      </c>
      <c r="J3407" t="s">
        <v>33578</v>
      </c>
      <c r="K3407" t="s">
        <v>42283</v>
      </c>
      <c r="M3407" t="s">
        <v>42728</v>
      </c>
      <c r="N3407" t="s">
        <v>46569</v>
      </c>
      <c r="O3407" t="s">
        <v>46570</v>
      </c>
      <c r="P3407">
        <v>0</v>
      </c>
      <c r="Q3407">
        <v>0</v>
      </c>
      <c r="R3407" t="s">
        <v>46572</v>
      </c>
      <c r="S3407" t="s">
        <v>46689</v>
      </c>
      <c r="T3407" t="s">
        <v>48256</v>
      </c>
      <c r="U3407" t="s">
        <v>49092</v>
      </c>
      <c r="V3407" t="s">
        <v>61970</v>
      </c>
      <c r="W3407" t="s">
        <v>42728</v>
      </c>
      <c r="X3407" t="s">
        <v>46573</v>
      </c>
    </row>
    <row r="3408" spans="1:24">
      <c r="A3408">
        <f>HYPERLINK("https://www.philgeps.gov.ph/GEPSNONPILOT/Tender/SplashBidNoticeAbstractUI.aspx?menuIndex=3&amp;refID=7062847&amp;Result=3","7062847")</f>
        <v>0</v>
      </c>
      <c r="B3408" t="s">
        <v>1326</v>
      </c>
      <c r="C3408" t="s">
        <v>6813</v>
      </c>
      <c r="D3408" t="s">
        <v>18784</v>
      </c>
      <c r="E3408" t="s">
        <v>6813</v>
      </c>
      <c r="F3408" t="s">
        <v>32664</v>
      </c>
      <c r="G3408" t="s">
        <v>32671</v>
      </c>
      <c r="H3408" t="s">
        <v>12635</v>
      </c>
      <c r="I3408" t="s">
        <v>32777</v>
      </c>
      <c r="J3408" t="s">
        <v>35111</v>
      </c>
      <c r="K3408" t="s">
        <v>42283</v>
      </c>
      <c r="M3408" t="s">
        <v>43975</v>
      </c>
      <c r="N3408" t="s">
        <v>46569</v>
      </c>
      <c r="O3408" t="s">
        <v>46570</v>
      </c>
      <c r="P3408">
        <v>0</v>
      </c>
      <c r="Q3408">
        <v>2</v>
      </c>
      <c r="R3408" t="s">
        <v>46572</v>
      </c>
      <c r="S3408" t="s">
        <v>46689</v>
      </c>
      <c r="T3408" t="s">
        <v>48256</v>
      </c>
      <c r="U3408" t="s">
        <v>49881</v>
      </c>
      <c r="W3408" t="s">
        <v>43975</v>
      </c>
      <c r="X3408" t="s">
        <v>46573</v>
      </c>
    </row>
    <row r="3409" spans="1:24">
      <c r="A3409">
        <f>HYPERLINK("https://www.philgeps.gov.ph/GEPSNONPILOT/Tender/SplashBidNoticeAbstractUI.aspx?menuIndex=3&amp;refID=7062852&amp;Result=3","7062852")</f>
        <v>0</v>
      </c>
      <c r="B3409" t="s">
        <v>1210</v>
      </c>
      <c r="C3409" t="s">
        <v>6814</v>
      </c>
      <c r="D3409" t="s">
        <v>18788</v>
      </c>
      <c r="E3409" t="s">
        <v>21976</v>
      </c>
      <c r="F3409" t="s">
        <v>32664</v>
      </c>
      <c r="G3409" t="s">
        <v>32677</v>
      </c>
      <c r="H3409" t="s">
        <v>32683</v>
      </c>
      <c r="I3409" t="s">
        <v>10627</v>
      </c>
      <c r="J3409" t="s">
        <v>35112</v>
      </c>
      <c r="K3409" t="s">
        <v>42283</v>
      </c>
      <c r="M3409" t="s">
        <v>43848</v>
      </c>
      <c r="N3409" t="s">
        <v>46569</v>
      </c>
      <c r="O3409" t="s">
        <v>46570</v>
      </c>
      <c r="P3409">
        <v>0</v>
      </c>
      <c r="Q3409">
        <v>0</v>
      </c>
      <c r="R3409" t="s">
        <v>46572</v>
      </c>
      <c r="S3409" t="s">
        <v>46689</v>
      </c>
      <c r="T3409" t="s">
        <v>48226</v>
      </c>
      <c r="U3409" t="s">
        <v>51362</v>
      </c>
      <c r="W3409" t="s">
        <v>43848</v>
      </c>
      <c r="X3409" t="s">
        <v>46573</v>
      </c>
    </row>
    <row r="3410" spans="1:24">
      <c r="A3410">
        <f>HYPERLINK("https://www.philgeps.gov.ph/GEPSNONPILOT/Tender/SplashBidNoticeAbstractUI.aspx?menuIndex=3&amp;refID=7062850&amp;Result=3","7062850")</f>
        <v>0</v>
      </c>
      <c r="B3410" t="s">
        <v>1327</v>
      </c>
      <c r="C3410" t="s">
        <v>6815</v>
      </c>
      <c r="D3410" t="s">
        <v>18838</v>
      </c>
      <c r="E3410" t="s">
        <v>21977</v>
      </c>
      <c r="F3410" t="s">
        <v>32664</v>
      </c>
      <c r="G3410" t="s">
        <v>32672</v>
      </c>
      <c r="H3410" t="s">
        <v>32683</v>
      </c>
      <c r="I3410" t="s">
        <v>10627</v>
      </c>
      <c r="J3410" t="s">
        <v>35113</v>
      </c>
      <c r="K3410" t="s">
        <v>42281</v>
      </c>
      <c r="M3410" t="s">
        <v>43976</v>
      </c>
      <c r="N3410" t="s">
        <v>46569</v>
      </c>
      <c r="O3410" t="s">
        <v>46570</v>
      </c>
      <c r="P3410">
        <v>0</v>
      </c>
      <c r="Q3410">
        <v>1</v>
      </c>
      <c r="R3410" t="s">
        <v>46572</v>
      </c>
      <c r="S3410" t="s">
        <v>46689</v>
      </c>
      <c r="T3410" t="s">
        <v>48276</v>
      </c>
      <c r="U3410" t="s">
        <v>51617</v>
      </c>
      <c r="W3410" t="s">
        <v>43976</v>
      </c>
      <c r="X3410" t="s">
        <v>46573</v>
      </c>
    </row>
    <row r="3411" spans="1:24">
      <c r="A3411">
        <f>HYPERLINK("https://www.philgeps.gov.ph/GEPSNONPILOT/Tender/SplashBidNoticeAbstractUI.aspx?menuIndex=3&amp;refID=7062885&amp;Result=3","7062885")</f>
        <v>0</v>
      </c>
      <c r="B3411" t="s">
        <v>1328</v>
      </c>
      <c r="C3411" t="s">
        <v>6816</v>
      </c>
      <c r="D3411" t="s">
        <v>18803</v>
      </c>
      <c r="E3411" t="s">
        <v>21978</v>
      </c>
      <c r="F3411" t="s">
        <v>32664</v>
      </c>
      <c r="G3411" t="s">
        <v>32672</v>
      </c>
      <c r="H3411" t="s">
        <v>32683</v>
      </c>
      <c r="I3411" t="s">
        <v>10627</v>
      </c>
      <c r="J3411" t="s">
        <v>32943</v>
      </c>
      <c r="K3411" t="s">
        <v>42298</v>
      </c>
      <c r="M3411" t="s">
        <v>43977</v>
      </c>
      <c r="N3411" t="s">
        <v>46569</v>
      </c>
      <c r="O3411" t="s">
        <v>46570</v>
      </c>
      <c r="P3411">
        <v>0</v>
      </c>
      <c r="Q3411">
        <v>0</v>
      </c>
      <c r="R3411" t="s">
        <v>46572</v>
      </c>
      <c r="S3411" t="s">
        <v>46689</v>
      </c>
      <c r="T3411" t="s">
        <v>48276</v>
      </c>
      <c r="U3411" t="s">
        <v>51618</v>
      </c>
      <c r="W3411" t="s">
        <v>43977</v>
      </c>
      <c r="X3411" t="s">
        <v>46573</v>
      </c>
    </row>
    <row r="3412" spans="1:24">
      <c r="A3412">
        <f>HYPERLINK("https://www.philgeps.gov.ph/GEPSNONPILOT/Tender/SplashBidNoticeAbstractUI.aspx?menuIndex=3&amp;refID=7062884&amp;Result=3","7062884")</f>
        <v>0</v>
      </c>
      <c r="B3412" t="s">
        <v>1310</v>
      </c>
      <c r="C3412" t="s">
        <v>6762</v>
      </c>
      <c r="D3412" t="s">
        <v>18790</v>
      </c>
      <c r="E3412" t="s">
        <v>21979</v>
      </c>
      <c r="F3412" t="s">
        <v>32664</v>
      </c>
      <c r="G3412" t="s">
        <v>32672</v>
      </c>
      <c r="H3412" t="s">
        <v>12635</v>
      </c>
      <c r="I3412" t="s">
        <v>32721</v>
      </c>
      <c r="J3412" t="s">
        <v>35114</v>
      </c>
      <c r="K3412" t="s">
        <v>42283</v>
      </c>
      <c r="M3412" t="s">
        <v>43956</v>
      </c>
      <c r="N3412" t="s">
        <v>46569</v>
      </c>
      <c r="O3412" t="s">
        <v>46570</v>
      </c>
      <c r="P3412">
        <v>0</v>
      </c>
      <c r="Q3412">
        <v>0</v>
      </c>
      <c r="R3412" t="s">
        <v>46572</v>
      </c>
      <c r="S3412" t="s">
        <v>46689</v>
      </c>
      <c r="T3412" t="s">
        <v>48230</v>
      </c>
      <c r="U3412" t="s">
        <v>51578</v>
      </c>
      <c r="W3412" t="s">
        <v>43956</v>
      </c>
      <c r="X3412" t="s">
        <v>46573</v>
      </c>
    </row>
    <row r="3413" spans="1:24">
      <c r="A3413">
        <f>HYPERLINK("https://www.philgeps.gov.ph/GEPSNONPILOT/Tender/SplashBidNoticeAbstractUI.aspx?menuIndex=3&amp;refID=7062844&amp;Result=3","7062844")</f>
        <v>0</v>
      </c>
      <c r="B3413" t="s">
        <v>1329</v>
      </c>
      <c r="C3413" t="s">
        <v>6817</v>
      </c>
      <c r="D3413" t="s">
        <v>18788</v>
      </c>
      <c r="E3413" t="s">
        <v>19035</v>
      </c>
      <c r="F3413" t="s">
        <v>32664</v>
      </c>
      <c r="G3413" t="s">
        <v>32672</v>
      </c>
      <c r="H3413" t="s">
        <v>12635</v>
      </c>
      <c r="I3413" t="s">
        <v>6628</v>
      </c>
      <c r="J3413" t="s">
        <v>35115</v>
      </c>
      <c r="K3413" t="s">
        <v>42281</v>
      </c>
      <c r="M3413" t="s">
        <v>43978</v>
      </c>
      <c r="N3413" t="s">
        <v>46569</v>
      </c>
      <c r="O3413" t="s">
        <v>46570</v>
      </c>
      <c r="P3413">
        <v>0</v>
      </c>
      <c r="Q3413">
        <v>3</v>
      </c>
      <c r="R3413" t="s">
        <v>46572</v>
      </c>
      <c r="S3413" t="s">
        <v>46689</v>
      </c>
      <c r="T3413" t="s">
        <v>48308</v>
      </c>
      <c r="U3413" t="s">
        <v>51619</v>
      </c>
      <c r="V3413" t="s">
        <v>61971</v>
      </c>
      <c r="W3413" t="s">
        <v>43978</v>
      </c>
      <c r="X3413" t="s">
        <v>46573</v>
      </c>
    </row>
    <row r="3414" spans="1:24">
      <c r="A3414">
        <f>HYPERLINK("https://www.philgeps.gov.ph/GEPSNONPILOT/Tender/SplashBidNoticeAbstractUI.aspx?menuIndex=3&amp;refID=7062879&amp;Result=3","7062879")</f>
        <v>0</v>
      </c>
      <c r="B3414" t="s">
        <v>1330</v>
      </c>
      <c r="C3414" t="s">
        <v>6818</v>
      </c>
      <c r="D3414" t="s">
        <v>18788</v>
      </c>
      <c r="E3414" t="s">
        <v>20076</v>
      </c>
      <c r="F3414" t="s">
        <v>32664</v>
      </c>
      <c r="G3414" t="s">
        <v>32671</v>
      </c>
      <c r="H3414" t="s">
        <v>12635</v>
      </c>
      <c r="I3414" t="s">
        <v>13883</v>
      </c>
      <c r="J3414" t="s">
        <v>35116</v>
      </c>
      <c r="K3414" t="s">
        <v>42297</v>
      </c>
      <c r="M3414" t="s">
        <v>43979</v>
      </c>
      <c r="N3414" t="s">
        <v>46569</v>
      </c>
      <c r="O3414" t="s">
        <v>46570</v>
      </c>
      <c r="P3414">
        <v>0</v>
      </c>
      <c r="Q3414">
        <v>2</v>
      </c>
      <c r="R3414" t="s">
        <v>46572</v>
      </c>
      <c r="S3414" t="s">
        <v>46689</v>
      </c>
      <c r="T3414" t="s">
        <v>48217</v>
      </c>
      <c r="U3414" t="s">
        <v>51620</v>
      </c>
      <c r="W3414" t="s">
        <v>43979</v>
      </c>
      <c r="X3414" t="s">
        <v>46573</v>
      </c>
    </row>
    <row r="3415" spans="1:24">
      <c r="A3415">
        <f>HYPERLINK("https://www.philgeps.gov.ph/GEPSNONPILOT/Tender/SplashBidNoticeAbstractUI.aspx?menuIndex=3&amp;refID=7062878&amp;Result=3","7062878")</f>
        <v>0</v>
      </c>
      <c r="B3415" t="s">
        <v>690</v>
      </c>
      <c r="C3415" t="s">
        <v>6819</v>
      </c>
      <c r="D3415" t="s">
        <v>18781</v>
      </c>
      <c r="E3415" t="s">
        <v>21980</v>
      </c>
      <c r="F3415" t="s">
        <v>32664</v>
      </c>
      <c r="G3415" t="s">
        <v>32672</v>
      </c>
      <c r="H3415" t="s">
        <v>32683</v>
      </c>
      <c r="I3415" t="s">
        <v>10627</v>
      </c>
      <c r="J3415" t="s">
        <v>35117</v>
      </c>
      <c r="K3415" t="s">
        <v>42311</v>
      </c>
      <c r="L3415" t="s">
        <v>690</v>
      </c>
      <c r="M3415" t="s">
        <v>43277</v>
      </c>
      <c r="N3415" t="s">
        <v>46569</v>
      </c>
      <c r="O3415" t="s">
        <v>46570</v>
      </c>
      <c r="P3415">
        <v>0</v>
      </c>
      <c r="Q3415">
        <v>0</v>
      </c>
      <c r="R3415" t="s">
        <v>46572</v>
      </c>
      <c r="S3415" t="s">
        <v>46689</v>
      </c>
      <c r="T3415" t="s">
        <v>48362</v>
      </c>
      <c r="U3415" t="s">
        <v>51586</v>
      </c>
      <c r="W3415" t="s">
        <v>43277</v>
      </c>
      <c r="X3415" t="s">
        <v>46573</v>
      </c>
    </row>
    <row r="3416" spans="1:24">
      <c r="A3416">
        <f>HYPERLINK("https://www.philgeps.gov.ph/GEPSNONPILOT/Tender/SplashBidNoticeAbstractUI.aspx?menuIndex=3&amp;refID=7062876&amp;Result=3","7062876")</f>
        <v>0</v>
      </c>
      <c r="B3416" t="s">
        <v>1331</v>
      </c>
      <c r="C3416" t="s">
        <v>6820</v>
      </c>
      <c r="D3416" t="s">
        <v>18798</v>
      </c>
      <c r="E3416" t="s">
        <v>21981</v>
      </c>
      <c r="F3416" t="s">
        <v>32664</v>
      </c>
      <c r="G3416" t="s">
        <v>32671</v>
      </c>
      <c r="H3416" t="s">
        <v>12635</v>
      </c>
      <c r="I3416" t="s">
        <v>4439</v>
      </c>
      <c r="J3416" t="s">
        <v>35118</v>
      </c>
      <c r="K3416" t="s">
        <v>42281</v>
      </c>
      <c r="M3416" t="s">
        <v>43980</v>
      </c>
      <c r="N3416" t="s">
        <v>46569</v>
      </c>
      <c r="O3416" t="s">
        <v>46570</v>
      </c>
      <c r="P3416">
        <v>0</v>
      </c>
      <c r="Q3416">
        <v>0</v>
      </c>
      <c r="R3416" t="s">
        <v>46572</v>
      </c>
      <c r="S3416" t="s">
        <v>46689</v>
      </c>
      <c r="T3416" t="s">
        <v>48221</v>
      </c>
      <c r="U3416" t="s">
        <v>51621</v>
      </c>
      <c r="W3416" t="s">
        <v>43980</v>
      </c>
      <c r="X3416" t="s">
        <v>46573</v>
      </c>
    </row>
    <row r="3417" spans="1:24">
      <c r="A3417">
        <f>HYPERLINK("https://www.philgeps.gov.ph/GEPSNONPILOT/Tender/SplashBidNoticeAbstractUI.aspx?menuIndex=3&amp;refID=7062875&amp;Result=3","7062875")</f>
        <v>0</v>
      </c>
      <c r="B3417" t="s">
        <v>1332</v>
      </c>
      <c r="C3417" t="s">
        <v>6821</v>
      </c>
      <c r="D3417" t="s">
        <v>18799</v>
      </c>
      <c r="E3417" t="s">
        <v>21982</v>
      </c>
      <c r="F3417" t="s">
        <v>32664</v>
      </c>
      <c r="G3417" t="s">
        <v>32672</v>
      </c>
      <c r="H3417" t="s">
        <v>32683</v>
      </c>
      <c r="I3417" t="s">
        <v>10627</v>
      </c>
      <c r="J3417" t="s">
        <v>35119</v>
      </c>
      <c r="K3417" t="s">
        <v>42410</v>
      </c>
      <c r="M3417" t="s">
        <v>43981</v>
      </c>
      <c r="N3417" t="s">
        <v>46569</v>
      </c>
      <c r="O3417" t="s">
        <v>46570</v>
      </c>
      <c r="P3417">
        <v>0</v>
      </c>
      <c r="Q3417">
        <v>0</v>
      </c>
      <c r="R3417" t="s">
        <v>46572</v>
      </c>
      <c r="S3417" t="s">
        <v>46689</v>
      </c>
      <c r="T3417" t="s">
        <v>48284</v>
      </c>
      <c r="U3417" t="s">
        <v>51622</v>
      </c>
      <c r="W3417" t="s">
        <v>43981</v>
      </c>
      <c r="X3417" t="s">
        <v>46573</v>
      </c>
    </row>
    <row r="3418" spans="1:24">
      <c r="A3418">
        <f>HYPERLINK("https://www.philgeps.gov.ph/GEPSNONPILOT/Tender/SplashBidNoticeAbstractUI.aspx?menuIndex=3&amp;refID=7062880&amp;Result=3","7062880")</f>
        <v>0</v>
      </c>
      <c r="B3418" t="s">
        <v>594</v>
      </c>
      <c r="C3418" t="s">
        <v>6822</v>
      </c>
      <c r="D3418" t="s">
        <v>18784</v>
      </c>
      <c r="E3418" t="s">
        <v>21983</v>
      </c>
      <c r="F3418" t="s">
        <v>32664</v>
      </c>
      <c r="G3418" t="s">
        <v>32674</v>
      </c>
      <c r="H3418" t="s">
        <v>12635</v>
      </c>
      <c r="I3418" t="s">
        <v>9486</v>
      </c>
      <c r="J3418" t="s">
        <v>32898</v>
      </c>
      <c r="K3418" t="s">
        <v>42297</v>
      </c>
      <c r="M3418" t="s">
        <v>43721</v>
      </c>
      <c r="N3418" t="s">
        <v>46569</v>
      </c>
      <c r="O3418" t="s">
        <v>46570</v>
      </c>
      <c r="P3418">
        <v>0</v>
      </c>
      <c r="Q3418">
        <v>2</v>
      </c>
      <c r="R3418" t="s">
        <v>46572</v>
      </c>
      <c r="S3418" t="s">
        <v>46689</v>
      </c>
      <c r="T3418" t="s">
        <v>48461</v>
      </c>
      <c r="U3418" t="s">
        <v>51623</v>
      </c>
      <c r="V3418" t="s">
        <v>61897</v>
      </c>
      <c r="W3418" t="s">
        <v>43721</v>
      </c>
      <c r="X3418" t="s">
        <v>46573</v>
      </c>
    </row>
    <row r="3419" spans="1:24">
      <c r="A3419">
        <f>HYPERLINK("https://www.philgeps.gov.ph/GEPSNONPILOT/Tender/SplashBidNoticeAbstractUI.aspx?menuIndex=3&amp;refID=7062877&amp;Result=3","7062877")</f>
        <v>0</v>
      </c>
      <c r="B3419" t="s">
        <v>827</v>
      </c>
      <c r="C3419" t="s">
        <v>6823</v>
      </c>
      <c r="E3419" t="s">
        <v>21984</v>
      </c>
      <c r="F3419" t="s">
        <v>32664</v>
      </c>
      <c r="G3419" t="s">
        <v>32671</v>
      </c>
      <c r="H3419" t="s">
        <v>12635</v>
      </c>
      <c r="I3419" t="s">
        <v>32688</v>
      </c>
      <c r="J3419" t="s">
        <v>35120</v>
      </c>
      <c r="K3419" t="s">
        <v>42283</v>
      </c>
      <c r="M3419" t="s">
        <v>43422</v>
      </c>
      <c r="N3419" t="s">
        <v>46569</v>
      </c>
      <c r="O3419" t="s">
        <v>46570</v>
      </c>
      <c r="P3419">
        <v>0</v>
      </c>
      <c r="Q3419">
        <v>1</v>
      </c>
      <c r="R3419" t="s">
        <v>46572</v>
      </c>
      <c r="S3419" t="s">
        <v>46689</v>
      </c>
      <c r="T3419" t="s">
        <v>48219</v>
      </c>
      <c r="U3419" t="s">
        <v>51624</v>
      </c>
      <c r="V3419" t="s">
        <v>61821</v>
      </c>
      <c r="W3419" t="s">
        <v>43422</v>
      </c>
      <c r="X3419" t="s">
        <v>46573</v>
      </c>
    </row>
    <row r="3420" spans="1:24">
      <c r="A3420">
        <f>HYPERLINK("https://www.philgeps.gov.ph/GEPSNONPILOT/Tender/SplashBidNoticeAbstractUI.aspx?menuIndex=3&amp;refID=7062872&amp;Result=3","7062872")</f>
        <v>0</v>
      </c>
      <c r="B3420" t="s">
        <v>164</v>
      </c>
      <c r="C3420" t="s">
        <v>6824</v>
      </c>
      <c r="D3420" t="s">
        <v>18836</v>
      </c>
      <c r="E3420" t="s">
        <v>21985</v>
      </c>
      <c r="F3420" t="s">
        <v>32664</v>
      </c>
      <c r="G3420" t="s">
        <v>32671</v>
      </c>
      <c r="H3420" t="s">
        <v>12635</v>
      </c>
      <c r="I3420" t="s">
        <v>5501</v>
      </c>
      <c r="J3420" t="s">
        <v>33077</v>
      </c>
      <c r="K3420" t="s">
        <v>42283</v>
      </c>
      <c r="M3420" t="s">
        <v>42728</v>
      </c>
      <c r="N3420" t="s">
        <v>46569</v>
      </c>
      <c r="O3420" t="s">
        <v>46570</v>
      </c>
      <c r="P3420">
        <v>0</v>
      </c>
      <c r="Q3420">
        <v>7</v>
      </c>
      <c r="R3420" t="s">
        <v>46572</v>
      </c>
      <c r="S3420" t="s">
        <v>46689</v>
      </c>
      <c r="T3420" t="s">
        <v>48256</v>
      </c>
      <c r="U3420" t="s">
        <v>49092</v>
      </c>
      <c r="V3420" t="s">
        <v>61970</v>
      </c>
      <c r="W3420" t="s">
        <v>42728</v>
      </c>
      <c r="X3420" t="s">
        <v>46573</v>
      </c>
    </row>
    <row r="3421" spans="1:24">
      <c r="A3421">
        <f>HYPERLINK("https://www.philgeps.gov.ph/GEPSNONPILOT/Tender/SplashBidNoticeAbstractUI.aspx?menuIndex=3&amp;refID=7062855&amp;Result=3","7062855")</f>
        <v>0</v>
      </c>
      <c r="B3421" t="s">
        <v>1333</v>
      </c>
      <c r="C3421" t="s">
        <v>6825</v>
      </c>
      <c r="D3421" t="s">
        <v>18792</v>
      </c>
      <c r="E3421" t="s">
        <v>21608</v>
      </c>
      <c r="F3421" t="s">
        <v>32664</v>
      </c>
      <c r="G3421" t="s">
        <v>32672</v>
      </c>
      <c r="H3421" t="s">
        <v>12635</v>
      </c>
      <c r="I3421" t="s">
        <v>32694</v>
      </c>
      <c r="J3421" t="s">
        <v>35121</v>
      </c>
      <c r="K3421" t="s">
        <v>42303</v>
      </c>
      <c r="M3421" t="s">
        <v>43982</v>
      </c>
      <c r="N3421" t="s">
        <v>46569</v>
      </c>
      <c r="O3421" t="s">
        <v>46570</v>
      </c>
      <c r="P3421">
        <v>0</v>
      </c>
      <c r="Q3421">
        <v>0</v>
      </c>
      <c r="R3421" t="s">
        <v>46572</v>
      </c>
      <c r="S3421" t="s">
        <v>46689</v>
      </c>
      <c r="T3421" t="s">
        <v>48223</v>
      </c>
      <c r="U3421" t="s">
        <v>51625</v>
      </c>
      <c r="W3421" t="s">
        <v>43982</v>
      </c>
      <c r="X3421" t="s">
        <v>46573</v>
      </c>
    </row>
    <row r="3422" spans="1:24">
      <c r="A3422">
        <f>HYPERLINK("https://www.philgeps.gov.ph/GEPSNONPILOT/Tender/SplashBidNoticeAbstractUI.aspx?menuIndex=3&amp;refID=7062870&amp;Result=3","7062870")</f>
        <v>0</v>
      </c>
      <c r="B3422" t="s">
        <v>490</v>
      </c>
      <c r="C3422" t="s">
        <v>6826</v>
      </c>
      <c r="D3422" t="s">
        <v>18805</v>
      </c>
      <c r="E3422" t="s">
        <v>21986</v>
      </c>
      <c r="F3422" t="s">
        <v>32664</v>
      </c>
      <c r="G3422" t="s">
        <v>32672</v>
      </c>
      <c r="H3422" t="s">
        <v>12635</v>
      </c>
      <c r="I3422" t="s">
        <v>4439</v>
      </c>
      <c r="J3422" t="s">
        <v>35122</v>
      </c>
      <c r="K3422" t="s">
        <v>42283</v>
      </c>
      <c r="M3422" t="s">
        <v>43983</v>
      </c>
      <c r="N3422" t="s">
        <v>46569</v>
      </c>
      <c r="O3422" t="s">
        <v>46570</v>
      </c>
      <c r="P3422">
        <v>0</v>
      </c>
      <c r="Q3422">
        <v>0</v>
      </c>
      <c r="R3422" t="s">
        <v>46572</v>
      </c>
      <c r="S3422" t="s">
        <v>46689</v>
      </c>
      <c r="T3422" t="s">
        <v>48330</v>
      </c>
      <c r="U3422" t="s">
        <v>51626</v>
      </c>
      <c r="V3422" t="s">
        <v>61972</v>
      </c>
      <c r="W3422" t="s">
        <v>43983</v>
      </c>
      <c r="X3422" t="s">
        <v>46573</v>
      </c>
    </row>
    <row r="3423" spans="1:24">
      <c r="A3423">
        <f>HYPERLINK("https://www.philgeps.gov.ph/GEPSNONPILOT/Tender/SplashBidNoticeAbstractUI.aspx?menuIndex=3&amp;refID=7062906&amp;Result=3","7062906")</f>
        <v>0</v>
      </c>
      <c r="B3423" t="s">
        <v>1210</v>
      </c>
      <c r="C3423" t="s">
        <v>6827</v>
      </c>
      <c r="D3423" t="s">
        <v>18788</v>
      </c>
      <c r="E3423" t="s">
        <v>21987</v>
      </c>
      <c r="F3423" t="s">
        <v>32664</v>
      </c>
      <c r="G3423" t="s">
        <v>32677</v>
      </c>
      <c r="H3423" t="s">
        <v>32683</v>
      </c>
      <c r="I3423" t="s">
        <v>10627</v>
      </c>
      <c r="J3423" t="s">
        <v>35123</v>
      </c>
      <c r="K3423" t="s">
        <v>42283</v>
      </c>
      <c r="M3423" t="s">
        <v>43848</v>
      </c>
      <c r="N3423" t="s">
        <v>46569</v>
      </c>
      <c r="O3423" t="s">
        <v>46570</v>
      </c>
      <c r="P3423">
        <v>0</v>
      </c>
      <c r="Q3423">
        <v>0</v>
      </c>
      <c r="R3423" t="s">
        <v>46572</v>
      </c>
      <c r="S3423" t="s">
        <v>46689</v>
      </c>
      <c r="T3423" t="s">
        <v>48291</v>
      </c>
      <c r="U3423" t="s">
        <v>51362</v>
      </c>
      <c r="W3423" t="s">
        <v>43848</v>
      </c>
      <c r="X3423" t="s">
        <v>46573</v>
      </c>
    </row>
    <row r="3424" spans="1:24">
      <c r="A3424">
        <f>HYPERLINK("https://www.philgeps.gov.ph/GEPSNONPILOT/Tender/SplashBidNoticeAbstractUI.aspx?menuIndex=3&amp;refID=7062905&amp;Result=3","7062905")</f>
        <v>0</v>
      </c>
      <c r="B3424" t="s">
        <v>567</v>
      </c>
      <c r="C3424" t="s">
        <v>6828</v>
      </c>
      <c r="D3424" t="s">
        <v>18784</v>
      </c>
      <c r="E3424" t="s">
        <v>21988</v>
      </c>
      <c r="F3424" t="s">
        <v>32664</v>
      </c>
      <c r="G3424" t="s">
        <v>32674</v>
      </c>
      <c r="H3424" t="s">
        <v>12635</v>
      </c>
      <c r="I3424" t="s">
        <v>8730</v>
      </c>
      <c r="J3424" t="s">
        <v>32842</v>
      </c>
      <c r="K3424" t="s">
        <v>42284</v>
      </c>
      <c r="M3424" t="s">
        <v>43147</v>
      </c>
      <c r="N3424" t="s">
        <v>46569</v>
      </c>
      <c r="O3424" t="s">
        <v>46570</v>
      </c>
      <c r="P3424">
        <v>0</v>
      </c>
      <c r="Q3424">
        <v>19</v>
      </c>
      <c r="R3424" t="s">
        <v>46572</v>
      </c>
      <c r="S3424" t="s">
        <v>46689</v>
      </c>
      <c r="T3424" t="s">
        <v>48305</v>
      </c>
      <c r="U3424" t="s">
        <v>49661</v>
      </c>
      <c r="V3424" t="s">
        <v>61967</v>
      </c>
      <c r="W3424" t="s">
        <v>43147</v>
      </c>
      <c r="X3424" t="s">
        <v>46573</v>
      </c>
    </row>
    <row r="3425" spans="1:24">
      <c r="A3425">
        <f>HYPERLINK("https://www.philgeps.gov.ph/GEPSNONPILOT/Tender/SplashBidNoticeAbstractUI.aspx?menuIndex=3&amp;refID=7062904&amp;Result=3","7062904")</f>
        <v>0</v>
      </c>
      <c r="B3425" t="s">
        <v>1334</v>
      </c>
      <c r="C3425" t="s">
        <v>6829</v>
      </c>
      <c r="D3425" t="s">
        <v>18792</v>
      </c>
      <c r="E3425" t="s">
        <v>19771</v>
      </c>
      <c r="F3425" t="s">
        <v>32664</v>
      </c>
      <c r="G3425" t="s">
        <v>32671</v>
      </c>
      <c r="H3425" t="s">
        <v>12635</v>
      </c>
      <c r="I3425" t="s">
        <v>4439</v>
      </c>
      <c r="J3425" t="s">
        <v>35124</v>
      </c>
      <c r="K3425" t="s">
        <v>42283</v>
      </c>
      <c r="M3425" t="s">
        <v>43984</v>
      </c>
      <c r="N3425" t="s">
        <v>46569</v>
      </c>
      <c r="O3425" t="s">
        <v>46570</v>
      </c>
      <c r="P3425">
        <v>0</v>
      </c>
      <c r="Q3425">
        <v>0</v>
      </c>
      <c r="R3425" t="s">
        <v>46572</v>
      </c>
      <c r="S3425" t="s">
        <v>46689</v>
      </c>
      <c r="T3425" t="s">
        <v>48256</v>
      </c>
      <c r="U3425" t="s">
        <v>51627</v>
      </c>
      <c r="V3425" t="s">
        <v>61973</v>
      </c>
      <c r="W3425" t="s">
        <v>43984</v>
      </c>
      <c r="X3425" t="s">
        <v>46573</v>
      </c>
    </row>
    <row r="3426" spans="1:24">
      <c r="A3426">
        <f>HYPERLINK("https://www.philgeps.gov.ph/GEPSNONPILOT/Tender/SplashBidNoticeAbstractUI.aspx?menuIndex=3&amp;refID=7062881&amp;Result=3","7062881")</f>
        <v>0</v>
      </c>
      <c r="B3426" t="s">
        <v>1335</v>
      </c>
      <c r="C3426" t="s">
        <v>6830</v>
      </c>
      <c r="D3426" t="s">
        <v>18838</v>
      </c>
      <c r="E3426" t="s">
        <v>21989</v>
      </c>
      <c r="F3426" t="s">
        <v>32664</v>
      </c>
      <c r="G3426" t="s">
        <v>32672</v>
      </c>
      <c r="H3426" t="s">
        <v>32683</v>
      </c>
      <c r="I3426" t="s">
        <v>10627</v>
      </c>
      <c r="J3426" t="s">
        <v>35125</v>
      </c>
      <c r="K3426" t="s">
        <v>42281</v>
      </c>
      <c r="M3426" t="s">
        <v>43985</v>
      </c>
      <c r="N3426" t="s">
        <v>46569</v>
      </c>
      <c r="O3426" t="s">
        <v>46570</v>
      </c>
      <c r="P3426">
        <v>0</v>
      </c>
      <c r="Q3426">
        <v>1</v>
      </c>
      <c r="R3426" t="s">
        <v>46572</v>
      </c>
      <c r="S3426" t="s">
        <v>46689</v>
      </c>
      <c r="T3426" t="s">
        <v>48276</v>
      </c>
      <c r="U3426" t="s">
        <v>51628</v>
      </c>
      <c r="W3426" t="s">
        <v>43985</v>
      </c>
      <c r="X3426" t="s">
        <v>46573</v>
      </c>
    </row>
    <row r="3427" spans="1:24">
      <c r="A3427">
        <f>HYPERLINK("https://www.philgeps.gov.ph/GEPSNONPILOT/Tender/SplashBidNoticeAbstractUI.aspx?menuIndex=3&amp;refID=7062903&amp;Result=3","7062903")</f>
        <v>0</v>
      </c>
      <c r="B3427" t="s">
        <v>1219</v>
      </c>
      <c r="C3427" t="s">
        <v>6831</v>
      </c>
      <c r="D3427" t="s">
        <v>18791</v>
      </c>
      <c r="E3427" t="s">
        <v>21990</v>
      </c>
      <c r="F3427" t="s">
        <v>32664</v>
      </c>
      <c r="G3427" t="s">
        <v>32671</v>
      </c>
      <c r="H3427" t="s">
        <v>12635</v>
      </c>
      <c r="I3427" t="s">
        <v>32717</v>
      </c>
      <c r="J3427" t="s">
        <v>33102</v>
      </c>
      <c r="K3427" t="s">
        <v>42281</v>
      </c>
      <c r="M3427" t="s">
        <v>43857</v>
      </c>
      <c r="N3427" t="s">
        <v>46569</v>
      </c>
      <c r="O3427" t="s">
        <v>46570</v>
      </c>
      <c r="P3427">
        <v>0</v>
      </c>
      <c r="Q3427">
        <v>1</v>
      </c>
      <c r="R3427" t="s">
        <v>46572</v>
      </c>
      <c r="S3427" t="s">
        <v>46689</v>
      </c>
      <c r="T3427" t="s">
        <v>48305</v>
      </c>
      <c r="U3427" t="s">
        <v>51629</v>
      </c>
      <c r="W3427" t="s">
        <v>43857</v>
      </c>
      <c r="X3427" t="s">
        <v>46573</v>
      </c>
    </row>
    <row r="3428" spans="1:24">
      <c r="A3428">
        <f>HYPERLINK("https://www.philgeps.gov.ph/GEPSNONPILOT/Tender/SplashBidNoticeAbstractUI.aspx?menuIndex=3&amp;refID=7062902&amp;Result=3","7062902")</f>
        <v>0</v>
      </c>
      <c r="B3428" t="s">
        <v>1336</v>
      </c>
      <c r="C3428" t="s">
        <v>6832</v>
      </c>
      <c r="D3428" t="s">
        <v>18856</v>
      </c>
      <c r="E3428" t="s">
        <v>21991</v>
      </c>
      <c r="F3428" t="s">
        <v>32664</v>
      </c>
      <c r="G3428" t="s">
        <v>32672</v>
      </c>
      <c r="H3428" t="s">
        <v>32683</v>
      </c>
      <c r="I3428" t="s">
        <v>10627</v>
      </c>
      <c r="J3428" t="s">
        <v>35126</v>
      </c>
      <c r="K3428" t="s">
        <v>42314</v>
      </c>
      <c r="M3428" t="s">
        <v>43986</v>
      </c>
      <c r="N3428" t="s">
        <v>46569</v>
      </c>
      <c r="O3428" t="s">
        <v>46570</v>
      </c>
      <c r="P3428">
        <v>0</v>
      </c>
      <c r="Q3428">
        <v>0</v>
      </c>
      <c r="R3428" t="s">
        <v>46572</v>
      </c>
      <c r="S3428" t="s">
        <v>46689</v>
      </c>
      <c r="T3428" t="s">
        <v>48479</v>
      </c>
      <c r="U3428" t="s">
        <v>51630</v>
      </c>
      <c r="V3428" t="s">
        <v>61974</v>
      </c>
      <c r="W3428" t="s">
        <v>43986</v>
      </c>
      <c r="X3428" t="s">
        <v>46573</v>
      </c>
    </row>
    <row r="3429" spans="1:24">
      <c r="A3429">
        <f>HYPERLINK("https://www.philgeps.gov.ph/GEPSNONPILOT/Tender/SplashBidNoticeAbstractUI.aspx?menuIndex=3&amp;refID=7062901&amp;Result=3","7062901")</f>
        <v>0</v>
      </c>
      <c r="B3429" t="s">
        <v>594</v>
      </c>
      <c r="C3429" t="s">
        <v>6833</v>
      </c>
      <c r="D3429" t="s">
        <v>18784</v>
      </c>
      <c r="E3429" t="s">
        <v>21992</v>
      </c>
      <c r="F3429" t="s">
        <v>32664</v>
      </c>
      <c r="G3429" t="s">
        <v>32674</v>
      </c>
      <c r="H3429" t="s">
        <v>12635</v>
      </c>
      <c r="I3429" t="s">
        <v>9486</v>
      </c>
      <c r="J3429" t="s">
        <v>35127</v>
      </c>
      <c r="K3429" t="s">
        <v>42297</v>
      </c>
      <c r="M3429" t="s">
        <v>43721</v>
      </c>
      <c r="N3429" t="s">
        <v>46569</v>
      </c>
      <c r="O3429" t="s">
        <v>46570</v>
      </c>
      <c r="P3429">
        <v>0</v>
      </c>
      <c r="Q3429">
        <v>3</v>
      </c>
      <c r="R3429" t="s">
        <v>46572</v>
      </c>
      <c r="S3429" t="s">
        <v>46689</v>
      </c>
      <c r="T3429" t="s">
        <v>48461</v>
      </c>
      <c r="U3429" t="s">
        <v>51631</v>
      </c>
      <c r="V3429" t="s">
        <v>61897</v>
      </c>
      <c r="W3429" t="s">
        <v>43721</v>
      </c>
      <c r="X3429" t="s">
        <v>46573</v>
      </c>
    </row>
    <row r="3430" spans="1:24">
      <c r="A3430">
        <f>HYPERLINK("https://www.philgeps.gov.ph/GEPSNONPILOT/Tender/SplashBidNoticeAbstractUI.aspx?menuIndex=3&amp;refID=7062899&amp;Result=3","7062899")</f>
        <v>0</v>
      </c>
      <c r="B3430" t="s">
        <v>1337</v>
      </c>
      <c r="C3430" t="s">
        <v>6834</v>
      </c>
      <c r="D3430" t="s">
        <v>18797</v>
      </c>
      <c r="E3430" t="s">
        <v>21993</v>
      </c>
      <c r="F3430" t="s">
        <v>32664</v>
      </c>
      <c r="G3430" t="s">
        <v>32674</v>
      </c>
      <c r="H3430" t="s">
        <v>12635</v>
      </c>
      <c r="I3430" t="s">
        <v>5589</v>
      </c>
      <c r="J3430" t="s">
        <v>33021</v>
      </c>
      <c r="K3430" t="s">
        <v>42297</v>
      </c>
      <c r="M3430" t="s">
        <v>43987</v>
      </c>
      <c r="N3430" t="s">
        <v>46569</v>
      </c>
      <c r="O3430" t="s">
        <v>46570</v>
      </c>
      <c r="P3430">
        <v>0</v>
      </c>
      <c r="Q3430">
        <v>2</v>
      </c>
      <c r="R3430" t="s">
        <v>46572</v>
      </c>
      <c r="S3430" t="s">
        <v>46689</v>
      </c>
      <c r="T3430" t="s">
        <v>48287</v>
      </c>
      <c r="U3430" t="s">
        <v>51632</v>
      </c>
      <c r="W3430" t="s">
        <v>43987</v>
      </c>
      <c r="X3430" t="s">
        <v>46573</v>
      </c>
    </row>
    <row r="3431" spans="1:24">
      <c r="A3431">
        <f>HYPERLINK("https://www.philgeps.gov.ph/GEPSNONPILOT/Tender/SplashBidNoticeAbstractUI.aspx?menuIndex=3&amp;refID=7062874&amp;Result=3","7062874")</f>
        <v>0</v>
      </c>
      <c r="B3431" t="s">
        <v>1338</v>
      </c>
      <c r="C3431" t="s">
        <v>6835</v>
      </c>
      <c r="D3431" t="s">
        <v>18806</v>
      </c>
      <c r="E3431" t="s">
        <v>20540</v>
      </c>
      <c r="F3431" t="s">
        <v>32664</v>
      </c>
      <c r="G3431" t="s">
        <v>32672</v>
      </c>
      <c r="H3431" t="s">
        <v>32683</v>
      </c>
      <c r="I3431" t="s">
        <v>10627</v>
      </c>
      <c r="J3431" t="s">
        <v>32974</v>
      </c>
      <c r="K3431" t="s">
        <v>42298</v>
      </c>
      <c r="M3431" t="s">
        <v>43988</v>
      </c>
      <c r="N3431" t="s">
        <v>46569</v>
      </c>
      <c r="O3431" t="s">
        <v>46570</v>
      </c>
      <c r="P3431">
        <v>0</v>
      </c>
      <c r="Q3431">
        <v>0</v>
      </c>
      <c r="R3431" t="s">
        <v>46572</v>
      </c>
      <c r="S3431" t="s">
        <v>46689</v>
      </c>
      <c r="T3431" t="s">
        <v>48353</v>
      </c>
      <c r="U3431" t="s">
        <v>51633</v>
      </c>
      <c r="W3431" t="s">
        <v>43988</v>
      </c>
      <c r="X3431" t="s">
        <v>46573</v>
      </c>
    </row>
    <row r="3432" spans="1:24">
      <c r="A3432">
        <f>HYPERLINK("https://www.philgeps.gov.ph/GEPSNONPILOT/Tender/SplashBidNoticeAbstractUI.aspx?menuIndex=3&amp;refID=7062898&amp;Result=3","7062898")</f>
        <v>0</v>
      </c>
      <c r="B3432" t="s">
        <v>1339</v>
      </c>
      <c r="C3432" t="s">
        <v>6836</v>
      </c>
      <c r="D3432" t="s">
        <v>18822</v>
      </c>
      <c r="E3432" t="s">
        <v>21994</v>
      </c>
      <c r="F3432" t="s">
        <v>32664</v>
      </c>
      <c r="G3432" t="s">
        <v>32674</v>
      </c>
      <c r="H3432" t="s">
        <v>12635</v>
      </c>
      <c r="I3432" t="s">
        <v>10590</v>
      </c>
      <c r="J3432" t="s">
        <v>33608</v>
      </c>
      <c r="K3432" t="s">
        <v>42281</v>
      </c>
      <c r="M3432" t="s">
        <v>43989</v>
      </c>
      <c r="N3432" t="s">
        <v>46569</v>
      </c>
      <c r="O3432" t="s">
        <v>46570</v>
      </c>
      <c r="P3432">
        <v>0</v>
      </c>
      <c r="Q3432">
        <v>0</v>
      </c>
      <c r="R3432" t="s">
        <v>46572</v>
      </c>
      <c r="S3432" t="s">
        <v>46689</v>
      </c>
      <c r="T3432" t="s">
        <v>48290</v>
      </c>
      <c r="U3432" t="s">
        <v>51634</v>
      </c>
      <c r="W3432" t="s">
        <v>43989</v>
      </c>
      <c r="X3432" t="s">
        <v>46573</v>
      </c>
    </row>
    <row r="3433" spans="1:24">
      <c r="A3433">
        <f>HYPERLINK("https://www.philgeps.gov.ph/GEPSNONPILOT/Tender/SplashBidNoticeAbstractUI.aspx?menuIndex=3&amp;refID=7062896&amp;Result=3","7062896")</f>
        <v>0</v>
      </c>
      <c r="B3433" t="s">
        <v>1340</v>
      </c>
      <c r="C3433" t="s">
        <v>6837</v>
      </c>
      <c r="D3433" t="s">
        <v>18796</v>
      </c>
      <c r="E3433" t="s">
        <v>19612</v>
      </c>
      <c r="F3433" t="s">
        <v>32664</v>
      </c>
      <c r="G3433" t="s">
        <v>32672</v>
      </c>
      <c r="H3433" t="s">
        <v>32683</v>
      </c>
      <c r="I3433" t="s">
        <v>10627</v>
      </c>
      <c r="J3433" t="s">
        <v>35128</v>
      </c>
      <c r="K3433" t="s">
        <v>42284</v>
      </c>
      <c r="M3433" t="s">
        <v>43990</v>
      </c>
      <c r="N3433" t="s">
        <v>46569</v>
      </c>
      <c r="O3433" t="s">
        <v>46570</v>
      </c>
      <c r="P3433">
        <v>0</v>
      </c>
      <c r="Q3433">
        <v>0</v>
      </c>
      <c r="R3433" t="s">
        <v>46572</v>
      </c>
      <c r="S3433" t="s">
        <v>46689</v>
      </c>
      <c r="T3433" t="s">
        <v>48385</v>
      </c>
      <c r="U3433" t="s">
        <v>51635</v>
      </c>
      <c r="W3433" t="s">
        <v>43990</v>
      </c>
      <c r="X3433" t="s">
        <v>46573</v>
      </c>
    </row>
    <row r="3434" spans="1:24">
      <c r="A3434">
        <f>HYPERLINK("https://www.philgeps.gov.ph/GEPSNONPILOT/Tender/SplashBidNoticeAbstractUI.aspx?menuIndex=3&amp;refID=7062846&amp;Result=3","7062846")</f>
        <v>0</v>
      </c>
      <c r="B3434" t="s">
        <v>1341</v>
      </c>
      <c r="C3434" t="s">
        <v>6838</v>
      </c>
      <c r="D3434" t="s">
        <v>18842</v>
      </c>
      <c r="E3434" t="s">
        <v>21995</v>
      </c>
      <c r="F3434" t="s">
        <v>32664</v>
      </c>
      <c r="G3434" t="s">
        <v>32672</v>
      </c>
      <c r="H3434" t="s">
        <v>32683</v>
      </c>
      <c r="I3434" t="s">
        <v>10627</v>
      </c>
      <c r="J3434" t="s">
        <v>35129</v>
      </c>
      <c r="K3434" t="s">
        <v>42283</v>
      </c>
      <c r="M3434" t="s">
        <v>43991</v>
      </c>
      <c r="N3434" t="s">
        <v>46569</v>
      </c>
      <c r="O3434" t="s">
        <v>46570</v>
      </c>
      <c r="P3434">
        <v>0</v>
      </c>
      <c r="Q3434">
        <v>0</v>
      </c>
      <c r="R3434" t="s">
        <v>46572</v>
      </c>
      <c r="S3434" t="s">
        <v>46689</v>
      </c>
      <c r="T3434" t="s">
        <v>48270</v>
      </c>
      <c r="U3434" t="s">
        <v>51636</v>
      </c>
      <c r="W3434" t="s">
        <v>43991</v>
      </c>
      <c r="X3434" t="s">
        <v>46573</v>
      </c>
    </row>
    <row r="3435" spans="1:24">
      <c r="A3435">
        <f>HYPERLINK("https://www.philgeps.gov.ph/GEPSNONPILOT/Tender/SplashBidNoticeAbstractUI.aspx?menuIndex=3&amp;refID=7062895&amp;Result=3","7062895")</f>
        <v>0</v>
      </c>
      <c r="B3435" t="s">
        <v>396</v>
      </c>
      <c r="C3435" t="s">
        <v>6839</v>
      </c>
      <c r="D3435" t="s">
        <v>18790</v>
      </c>
      <c r="E3435" t="s">
        <v>21996</v>
      </c>
      <c r="F3435" t="s">
        <v>32664</v>
      </c>
      <c r="G3435" t="s">
        <v>32672</v>
      </c>
      <c r="H3435" t="s">
        <v>12635</v>
      </c>
      <c r="I3435" t="s">
        <v>4439</v>
      </c>
      <c r="J3435" t="s">
        <v>35130</v>
      </c>
      <c r="K3435" t="s">
        <v>42297</v>
      </c>
      <c r="M3435" t="s">
        <v>42966</v>
      </c>
      <c r="N3435" t="s">
        <v>46569</v>
      </c>
      <c r="O3435" t="s">
        <v>46570</v>
      </c>
      <c r="P3435">
        <v>0</v>
      </c>
      <c r="Q3435">
        <v>0</v>
      </c>
      <c r="R3435" t="s">
        <v>46572</v>
      </c>
      <c r="S3435" t="s">
        <v>46689</v>
      </c>
      <c r="T3435" t="s">
        <v>48225</v>
      </c>
      <c r="U3435" t="s">
        <v>51637</v>
      </c>
      <c r="W3435" t="s">
        <v>42966</v>
      </c>
      <c r="X3435" t="s">
        <v>46573</v>
      </c>
    </row>
    <row r="3436" spans="1:24">
      <c r="A3436">
        <f>HYPERLINK("https://www.philgeps.gov.ph/GEPSNONPILOT/Tender/SplashBidNoticeAbstractUI.aspx?menuIndex=3&amp;refID=7062933&amp;Result=3","7062933")</f>
        <v>0</v>
      </c>
      <c r="B3436" t="s">
        <v>594</v>
      </c>
      <c r="C3436" t="s">
        <v>6840</v>
      </c>
      <c r="D3436" t="s">
        <v>18784</v>
      </c>
      <c r="E3436" t="s">
        <v>21997</v>
      </c>
      <c r="F3436" t="s">
        <v>32664</v>
      </c>
      <c r="G3436" t="s">
        <v>32674</v>
      </c>
      <c r="H3436" t="s">
        <v>12635</v>
      </c>
      <c r="I3436" t="s">
        <v>9486</v>
      </c>
      <c r="J3436" t="s">
        <v>35131</v>
      </c>
      <c r="K3436" t="s">
        <v>42297</v>
      </c>
      <c r="M3436" t="s">
        <v>43721</v>
      </c>
      <c r="N3436" t="s">
        <v>46569</v>
      </c>
      <c r="O3436" t="s">
        <v>46570</v>
      </c>
      <c r="P3436">
        <v>0</v>
      </c>
      <c r="Q3436">
        <v>2</v>
      </c>
      <c r="R3436" t="s">
        <v>46572</v>
      </c>
      <c r="S3436" t="s">
        <v>46689</v>
      </c>
      <c r="T3436" t="s">
        <v>48461</v>
      </c>
      <c r="U3436" t="s">
        <v>51638</v>
      </c>
      <c r="V3436" t="s">
        <v>61897</v>
      </c>
      <c r="W3436" t="s">
        <v>43721</v>
      </c>
      <c r="X3436" t="s">
        <v>46573</v>
      </c>
    </row>
    <row r="3437" spans="1:24">
      <c r="A3437">
        <f>HYPERLINK("https://www.philgeps.gov.ph/GEPSNONPILOT/Tender/SplashBidNoticeAbstractUI.aspx?menuIndex=3&amp;refID=7062900&amp;Result=3","7062900")</f>
        <v>0</v>
      </c>
      <c r="B3437" t="s">
        <v>1341</v>
      </c>
      <c r="C3437" t="s">
        <v>6841</v>
      </c>
      <c r="D3437" t="s">
        <v>18842</v>
      </c>
      <c r="E3437" t="s">
        <v>21998</v>
      </c>
      <c r="F3437" t="s">
        <v>32664</v>
      </c>
      <c r="G3437" t="s">
        <v>32672</v>
      </c>
      <c r="H3437" t="s">
        <v>32683</v>
      </c>
      <c r="I3437" t="s">
        <v>10627</v>
      </c>
      <c r="J3437" t="s">
        <v>35132</v>
      </c>
      <c r="K3437" t="s">
        <v>42283</v>
      </c>
      <c r="M3437" t="s">
        <v>43991</v>
      </c>
      <c r="N3437" t="s">
        <v>46569</v>
      </c>
      <c r="O3437" t="s">
        <v>46570</v>
      </c>
      <c r="P3437">
        <v>0</v>
      </c>
      <c r="Q3437">
        <v>0</v>
      </c>
      <c r="R3437" t="s">
        <v>46572</v>
      </c>
      <c r="S3437" t="s">
        <v>46689</v>
      </c>
      <c r="T3437" t="s">
        <v>48270</v>
      </c>
      <c r="U3437" t="s">
        <v>51639</v>
      </c>
      <c r="W3437" t="s">
        <v>43991</v>
      </c>
      <c r="X3437" t="s">
        <v>46573</v>
      </c>
    </row>
    <row r="3438" spans="1:24">
      <c r="A3438">
        <f>HYPERLINK("https://www.philgeps.gov.ph/GEPSNONPILOT/Tender/SplashBidNoticeAbstractUI.aspx?menuIndex=3&amp;refID=7062932&amp;Result=3","7062932")</f>
        <v>0</v>
      </c>
      <c r="B3438" t="s">
        <v>695</v>
      </c>
      <c r="C3438" t="s">
        <v>6842</v>
      </c>
      <c r="D3438" t="s">
        <v>18816</v>
      </c>
      <c r="E3438" t="s">
        <v>21999</v>
      </c>
      <c r="F3438" t="s">
        <v>32664</v>
      </c>
      <c r="G3438" t="s">
        <v>32674</v>
      </c>
      <c r="H3438" t="s">
        <v>12635</v>
      </c>
      <c r="I3438" t="s">
        <v>10627</v>
      </c>
      <c r="J3438" t="s">
        <v>35133</v>
      </c>
      <c r="K3438" t="s">
        <v>42284</v>
      </c>
      <c r="M3438" t="s">
        <v>43282</v>
      </c>
      <c r="N3438" t="s">
        <v>46569</v>
      </c>
      <c r="O3438" t="s">
        <v>46570</v>
      </c>
      <c r="P3438">
        <v>0</v>
      </c>
      <c r="Q3438">
        <v>0</v>
      </c>
      <c r="R3438" t="s">
        <v>46572</v>
      </c>
      <c r="S3438" t="s">
        <v>46689</v>
      </c>
      <c r="T3438" t="s">
        <v>48282</v>
      </c>
      <c r="U3438" t="s">
        <v>51640</v>
      </c>
      <c r="W3438" t="s">
        <v>43282</v>
      </c>
      <c r="X3438" t="s">
        <v>46573</v>
      </c>
    </row>
    <row r="3439" spans="1:24">
      <c r="A3439">
        <f>HYPERLINK("https://www.philgeps.gov.ph/GEPSNONPILOT/Tender/SplashBidNoticeAbstractUI.aspx?menuIndex=3&amp;refID=7062931&amp;Result=3","7062931")</f>
        <v>0</v>
      </c>
      <c r="B3439" t="s">
        <v>1342</v>
      </c>
      <c r="C3439" t="s">
        <v>6843</v>
      </c>
      <c r="D3439" t="s">
        <v>18787</v>
      </c>
      <c r="E3439" t="s">
        <v>22000</v>
      </c>
      <c r="F3439" t="s">
        <v>32664</v>
      </c>
      <c r="G3439" t="s">
        <v>32671</v>
      </c>
      <c r="H3439" t="s">
        <v>32683</v>
      </c>
      <c r="I3439" t="s">
        <v>10627</v>
      </c>
      <c r="J3439" t="s">
        <v>32842</v>
      </c>
      <c r="K3439" t="s">
        <v>42283</v>
      </c>
      <c r="M3439" t="s">
        <v>43992</v>
      </c>
      <c r="N3439" t="s">
        <v>46569</v>
      </c>
      <c r="O3439" t="s">
        <v>46570</v>
      </c>
      <c r="P3439">
        <v>0</v>
      </c>
      <c r="Q3439">
        <v>0</v>
      </c>
      <c r="R3439" t="s">
        <v>46572</v>
      </c>
      <c r="S3439" t="s">
        <v>46689</v>
      </c>
      <c r="T3439" t="s">
        <v>48293</v>
      </c>
      <c r="U3439" t="s">
        <v>51641</v>
      </c>
      <c r="W3439" t="s">
        <v>43992</v>
      </c>
      <c r="X3439" t="s">
        <v>46573</v>
      </c>
    </row>
    <row r="3440" spans="1:24">
      <c r="A3440">
        <f>HYPERLINK("https://www.philgeps.gov.ph/GEPSNONPILOT/Tender/SplashBidNoticeAbstractUI.aspx?menuIndex=3&amp;refID=7062873&amp;Result=3","7062873")</f>
        <v>0</v>
      </c>
      <c r="B3440" t="s">
        <v>1316</v>
      </c>
      <c r="C3440" t="s">
        <v>6844</v>
      </c>
      <c r="D3440" t="s">
        <v>18784</v>
      </c>
      <c r="E3440" t="s">
        <v>22001</v>
      </c>
      <c r="F3440" t="s">
        <v>32664</v>
      </c>
      <c r="G3440" t="s">
        <v>32672</v>
      </c>
      <c r="H3440" t="s">
        <v>32682</v>
      </c>
      <c r="I3440" t="s">
        <v>7324</v>
      </c>
      <c r="J3440" t="s">
        <v>33299</v>
      </c>
      <c r="K3440" t="s">
        <v>42284</v>
      </c>
      <c r="M3440" t="s">
        <v>43965</v>
      </c>
      <c r="N3440" t="s">
        <v>46569</v>
      </c>
      <c r="O3440" t="s">
        <v>46570</v>
      </c>
      <c r="P3440">
        <v>0</v>
      </c>
      <c r="Q3440">
        <v>1</v>
      </c>
      <c r="R3440" t="s">
        <v>46572</v>
      </c>
      <c r="S3440" t="s">
        <v>46689</v>
      </c>
      <c r="T3440" t="s">
        <v>48480</v>
      </c>
      <c r="U3440" t="s">
        <v>51642</v>
      </c>
      <c r="V3440" t="s">
        <v>61965</v>
      </c>
      <c r="W3440" t="s">
        <v>43965</v>
      </c>
      <c r="X3440" t="s">
        <v>46573</v>
      </c>
    </row>
    <row r="3441" spans="1:24">
      <c r="A3441">
        <f>HYPERLINK("https://www.philgeps.gov.ph/GEPSNONPILOT/Tender/SplashBidNoticeAbstractUI.aspx?menuIndex=3&amp;refID=7062897&amp;Result=3","7062897")</f>
        <v>0</v>
      </c>
      <c r="B3441" t="s">
        <v>364</v>
      </c>
      <c r="C3441" t="s">
        <v>6845</v>
      </c>
      <c r="E3441" t="s">
        <v>22002</v>
      </c>
      <c r="F3441" t="s">
        <v>32664</v>
      </c>
      <c r="G3441" t="s">
        <v>32671</v>
      </c>
      <c r="H3441" t="s">
        <v>12635</v>
      </c>
      <c r="I3441" t="s">
        <v>32717</v>
      </c>
      <c r="J3441" t="s">
        <v>33007</v>
      </c>
      <c r="K3441" t="s">
        <v>42281</v>
      </c>
      <c r="M3441" t="s">
        <v>42933</v>
      </c>
      <c r="N3441" t="s">
        <v>46569</v>
      </c>
      <c r="O3441" t="s">
        <v>46570</v>
      </c>
      <c r="P3441">
        <v>0</v>
      </c>
      <c r="Q3441">
        <v>1</v>
      </c>
      <c r="R3441" t="s">
        <v>46572</v>
      </c>
      <c r="S3441" t="s">
        <v>46689</v>
      </c>
      <c r="T3441" t="s">
        <v>48256</v>
      </c>
      <c r="U3441" t="s">
        <v>51643</v>
      </c>
      <c r="W3441" t="s">
        <v>42933</v>
      </c>
      <c r="X3441" t="s">
        <v>46573</v>
      </c>
    </row>
    <row r="3442" spans="1:24">
      <c r="A3442">
        <f>HYPERLINK("https://www.philgeps.gov.ph/GEPSNONPILOT/Tender/SplashBidNoticeAbstractUI.aspx?menuIndex=3&amp;refID=7062936&amp;Result=3","7062936")</f>
        <v>0</v>
      </c>
      <c r="B3442" t="s">
        <v>694</v>
      </c>
      <c r="C3442" t="s">
        <v>6846</v>
      </c>
      <c r="D3442" t="s">
        <v>18784</v>
      </c>
      <c r="E3442" t="s">
        <v>19785</v>
      </c>
      <c r="F3442" t="s">
        <v>32664</v>
      </c>
      <c r="G3442" t="s">
        <v>32671</v>
      </c>
      <c r="H3442" t="s">
        <v>12635</v>
      </c>
      <c r="I3442" t="s">
        <v>5589</v>
      </c>
      <c r="J3442" t="s">
        <v>32859</v>
      </c>
      <c r="K3442" t="s">
        <v>42298</v>
      </c>
      <c r="M3442" t="s">
        <v>43281</v>
      </c>
      <c r="N3442" t="s">
        <v>46569</v>
      </c>
      <c r="O3442" t="s">
        <v>46570</v>
      </c>
      <c r="P3442">
        <v>0</v>
      </c>
      <c r="Q3442">
        <v>2</v>
      </c>
      <c r="R3442" t="s">
        <v>46572</v>
      </c>
      <c r="S3442" t="s">
        <v>46689</v>
      </c>
      <c r="T3442" t="s">
        <v>48305</v>
      </c>
      <c r="U3442" t="s">
        <v>51644</v>
      </c>
      <c r="W3442" t="s">
        <v>43281</v>
      </c>
      <c r="X3442" t="s">
        <v>46573</v>
      </c>
    </row>
    <row r="3443" spans="1:24">
      <c r="A3443">
        <f>HYPERLINK("https://www.philgeps.gov.ph/GEPSNONPILOT/Tender/SplashBidNoticeAbstractUI.aspx?menuIndex=3&amp;refID=7062856&amp;Result=3","7062856")</f>
        <v>0</v>
      </c>
      <c r="B3443" t="s">
        <v>629</v>
      </c>
      <c r="C3443" t="s">
        <v>6847</v>
      </c>
      <c r="D3443" t="s">
        <v>18782</v>
      </c>
      <c r="E3443" t="s">
        <v>22003</v>
      </c>
      <c r="F3443" t="s">
        <v>32664</v>
      </c>
      <c r="G3443" t="s">
        <v>32674</v>
      </c>
      <c r="H3443" t="s">
        <v>12635</v>
      </c>
      <c r="I3443" t="s">
        <v>8797</v>
      </c>
      <c r="J3443" t="s">
        <v>35134</v>
      </c>
      <c r="K3443" t="s">
        <v>42283</v>
      </c>
      <c r="M3443" t="s">
        <v>43211</v>
      </c>
      <c r="N3443" t="s">
        <v>46569</v>
      </c>
      <c r="O3443" t="s">
        <v>46570</v>
      </c>
      <c r="P3443">
        <v>0</v>
      </c>
      <c r="Q3443">
        <v>2</v>
      </c>
      <c r="R3443" t="s">
        <v>46572</v>
      </c>
      <c r="S3443" t="s">
        <v>46689</v>
      </c>
      <c r="T3443" t="s">
        <v>48316</v>
      </c>
      <c r="U3443" t="s">
        <v>51645</v>
      </c>
      <c r="W3443" t="s">
        <v>43211</v>
      </c>
      <c r="X3443" t="s">
        <v>46573</v>
      </c>
    </row>
    <row r="3444" spans="1:24">
      <c r="A3444">
        <f>HYPERLINK("https://www.philgeps.gov.ph/GEPSNONPILOT/Tender/SplashBidNoticeAbstractUI.aspx?menuIndex=3&amp;refID=7062934&amp;Result=3","7062934")</f>
        <v>0</v>
      </c>
      <c r="B3444" t="s">
        <v>1175</v>
      </c>
      <c r="C3444" t="s">
        <v>6848</v>
      </c>
      <c r="D3444" t="s">
        <v>18782</v>
      </c>
      <c r="E3444" t="s">
        <v>19758</v>
      </c>
      <c r="F3444" t="s">
        <v>32665</v>
      </c>
      <c r="G3444" t="s">
        <v>32675</v>
      </c>
      <c r="H3444" t="s">
        <v>12635</v>
      </c>
      <c r="I3444" t="s">
        <v>8797</v>
      </c>
      <c r="J3444" t="s">
        <v>33477</v>
      </c>
      <c r="K3444" t="s">
        <v>42295</v>
      </c>
      <c r="M3444" t="s">
        <v>43809</v>
      </c>
      <c r="N3444" t="s">
        <v>46569</v>
      </c>
      <c r="O3444" t="s">
        <v>46570</v>
      </c>
      <c r="P3444">
        <v>0</v>
      </c>
      <c r="Q3444">
        <v>0</v>
      </c>
      <c r="R3444" t="s">
        <v>46572</v>
      </c>
      <c r="S3444" t="s">
        <v>46689</v>
      </c>
      <c r="T3444" t="s">
        <v>48268</v>
      </c>
      <c r="U3444" t="s">
        <v>51646</v>
      </c>
      <c r="V3444" t="s">
        <v>61975</v>
      </c>
      <c r="W3444" t="s">
        <v>43809</v>
      </c>
      <c r="X3444" t="s">
        <v>46573</v>
      </c>
    </row>
    <row r="3445" spans="1:24">
      <c r="A3445">
        <f>HYPERLINK("https://www.philgeps.gov.ph/GEPSNONPILOT/Tender/SplashBidNoticeAbstractUI.aspx?menuIndex=3&amp;refID=7062930&amp;Result=3","7062930")</f>
        <v>0</v>
      </c>
      <c r="B3445" t="s">
        <v>1343</v>
      </c>
      <c r="C3445" t="s">
        <v>6849</v>
      </c>
      <c r="D3445" t="s">
        <v>18815</v>
      </c>
      <c r="E3445" t="s">
        <v>22004</v>
      </c>
      <c r="F3445" t="s">
        <v>32664</v>
      </c>
      <c r="G3445" t="s">
        <v>32671</v>
      </c>
      <c r="H3445" t="s">
        <v>12635</v>
      </c>
      <c r="I3445" t="s">
        <v>8797</v>
      </c>
      <c r="J3445" t="s">
        <v>35135</v>
      </c>
      <c r="K3445" t="s">
        <v>42303</v>
      </c>
      <c r="M3445" t="s">
        <v>43993</v>
      </c>
      <c r="N3445" t="s">
        <v>46569</v>
      </c>
      <c r="O3445" t="s">
        <v>46570</v>
      </c>
      <c r="P3445">
        <v>0</v>
      </c>
      <c r="Q3445">
        <v>1</v>
      </c>
      <c r="R3445" t="s">
        <v>46572</v>
      </c>
      <c r="S3445" t="s">
        <v>46689</v>
      </c>
      <c r="T3445" t="s">
        <v>48250</v>
      </c>
      <c r="U3445" t="s">
        <v>51647</v>
      </c>
      <c r="W3445" t="s">
        <v>43993</v>
      </c>
      <c r="X3445" t="s">
        <v>46573</v>
      </c>
    </row>
    <row r="3446" spans="1:24">
      <c r="A3446">
        <f>HYPERLINK("https://www.philgeps.gov.ph/GEPSNONPILOT/Tender/SplashBidNoticeAbstractUI.aspx?menuIndex=3&amp;refID=7062925&amp;Result=3","7062925")</f>
        <v>0</v>
      </c>
      <c r="B3446" t="s">
        <v>525</v>
      </c>
      <c r="C3446" t="s">
        <v>6850</v>
      </c>
      <c r="E3446" t="s">
        <v>22005</v>
      </c>
      <c r="F3446" t="s">
        <v>32664</v>
      </c>
      <c r="G3446" t="s">
        <v>32671</v>
      </c>
      <c r="H3446" t="s">
        <v>12635</v>
      </c>
      <c r="I3446" t="s">
        <v>32691</v>
      </c>
      <c r="J3446" t="s">
        <v>33117</v>
      </c>
      <c r="K3446" t="s">
        <v>42283</v>
      </c>
      <c r="M3446" t="s">
        <v>43102</v>
      </c>
      <c r="N3446" t="s">
        <v>46569</v>
      </c>
      <c r="O3446" t="s">
        <v>46570</v>
      </c>
      <c r="P3446">
        <v>0</v>
      </c>
      <c r="Q3446">
        <v>0</v>
      </c>
      <c r="R3446" t="s">
        <v>46572</v>
      </c>
      <c r="S3446" t="s">
        <v>46689</v>
      </c>
      <c r="T3446" t="s">
        <v>48244</v>
      </c>
      <c r="U3446" t="s">
        <v>51648</v>
      </c>
      <c r="W3446" t="s">
        <v>43102</v>
      </c>
      <c r="X3446" t="s">
        <v>46573</v>
      </c>
    </row>
    <row r="3447" spans="1:24">
      <c r="A3447">
        <f>HYPERLINK("https://www.philgeps.gov.ph/GEPSNONPILOT/Tender/SplashBidNoticeAbstractUI.aspx?menuIndex=3&amp;refID=7062920&amp;Result=3","7062920")</f>
        <v>0</v>
      </c>
      <c r="B3447" t="s">
        <v>594</v>
      </c>
      <c r="C3447" t="s">
        <v>6851</v>
      </c>
      <c r="D3447" t="s">
        <v>18784</v>
      </c>
      <c r="E3447" t="s">
        <v>22006</v>
      </c>
      <c r="F3447" t="s">
        <v>32664</v>
      </c>
      <c r="G3447" t="s">
        <v>32674</v>
      </c>
      <c r="H3447" t="s">
        <v>12635</v>
      </c>
      <c r="I3447" t="s">
        <v>9486</v>
      </c>
      <c r="J3447" t="s">
        <v>35136</v>
      </c>
      <c r="K3447" t="s">
        <v>42297</v>
      </c>
      <c r="M3447" t="s">
        <v>43721</v>
      </c>
      <c r="N3447" t="s">
        <v>46569</v>
      </c>
      <c r="O3447" t="s">
        <v>46570</v>
      </c>
      <c r="P3447">
        <v>0</v>
      </c>
      <c r="Q3447">
        <v>2</v>
      </c>
      <c r="R3447" t="s">
        <v>46572</v>
      </c>
      <c r="S3447" t="s">
        <v>46689</v>
      </c>
      <c r="T3447" t="s">
        <v>48461</v>
      </c>
      <c r="U3447" t="s">
        <v>51649</v>
      </c>
      <c r="V3447" t="s">
        <v>61897</v>
      </c>
      <c r="W3447" t="s">
        <v>43721</v>
      </c>
      <c r="X3447" t="s">
        <v>46573</v>
      </c>
    </row>
    <row r="3448" spans="1:24">
      <c r="A3448">
        <f>HYPERLINK("https://www.philgeps.gov.ph/GEPSNONPILOT/Tender/SplashBidNoticeAbstractUI.aspx?menuIndex=3&amp;refID=7062922&amp;Result=3","7062922")</f>
        <v>0</v>
      </c>
      <c r="B3448" t="s">
        <v>690</v>
      </c>
      <c r="C3448" t="s">
        <v>6852</v>
      </c>
      <c r="D3448" t="s">
        <v>18781</v>
      </c>
      <c r="E3448" t="s">
        <v>22007</v>
      </c>
      <c r="F3448" t="s">
        <v>32664</v>
      </c>
      <c r="G3448" t="s">
        <v>32672</v>
      </c>
      <c r="H3448" t="s">
        <v>32683</v>
      </c>
      <c r="I3448" t="s">
        <v>10627</v>
      </c>
      <c r="J3448" t="s">
        <v>34131</v>
      </c>
      <c r="K3448" t="s">
        <v>42311</v>
      </c>
      <c r="L3448" t="s">
        <v>690</v>
      </c>
      <c r="M3448" t="s">
        <v>43277</v>
      </c>
      <c r="N3448" t="s">
        <v>46569</v>
      </c>
      <c r="O3448" t="s">
        <v>46570</v>
      </c>
      <c r="P3448">
        <v>0</v>
      </c>
      <c r="Q3448">
        <v>0</v>
      </c>
      <c r="R3448" t="s">
        <v>46572</v>
      </c>
      <c r="S3448" t="s">
        <v>46689</v>
      </c>
      <c r="T3448" t="s">
        <v>48362</v>
      </c>
      <c r="U3448" t="s">
        <v>51586</v>
      </c>
      <c r="W3448" t="s">
        <v>43277</v>
      </c>
      <c r="X3448" t="s">
        <v>46573</v>
      </c>
    </row>
    <row r="3449" spans="1:24">
      <c r="A3449">
        <f>HYPERLINK("https://www.philgeps.gov.ph/GEPSNONPILOT/Tender/SplashBidNoticeAbstractUI.aspx?menuIndex=3&amp;refID=7062916&amp;Result=3","7062916")</f>
        <v>0</v>
      </c>
      <c r="B3449" t="s">
        <v>395</v>
      </c>
      <c r="C3449" t="s">
        <v>6853</v>
      </c>
      <c r="D3449" t="s">
        <v>18834</v>
      </c>
      <c r="E3449" t="s">
        <v>22008</v>
      </c>
      <c r="F3449" t="s">
        <v>32664</v>
      </c>
      <c r="G3449" t="s">
        <v>32671</v>
      </c>
      <c r="H3449" t="s">
        <v>12635</v>
      </c>
      <c r="I3449" t="s">
        <v>5501</v>
      </c>
      <c r="J3449" t="s">
        <v>32931</v>
      </c>
      <c r="K3449" t="s">
        <v>42305</v>
      </c>
      <c r="M3449" t="s">
        <v>43994</v>
      </c>
      <c r="N3449" t="s">
        <v>46569</v>
      </c>
      <c r="O3449" t="s">
        <v>46570</v>
      </c>
      <c r="P3449">
        <v>0</v>
      </c>
      <c r="Q3449">
        <v>9</v>
      </c>
      <c r="R3449" t="s">
        <v>46572</v>
      </c>
      <c r="S3449" t="s">
        <v>46689</v>
      </c>
      <c r="T3449" t="s">
        <v>48280</v>
      </c>
      <c r="U3449" t="s">
        <v>51650</v>
      </c>
      <c r="W3449" t="s">
        <v>43994</v>
      </c>
      <c r="X3449" t="s">
        <v>46573</v>
      </c>
    </row>
    <row r="3450" spans="1:24">
      <c r="A3450">
        <f>HYPERLINK("https://www.philgeps.gov.ph/GEPSNONPILOT/Tender/SplashBidNoticeAbstractUI.aspx?menuIndex=3&amp;refID=7062928&amp;Result=3","7062928")</f>
        <v>0</v>
      </c>
      <c r="B3450" t="s">
        <v>396</v>
      </c>
      <c r="C3450" t="s">
        <v>6854</v>
      </c>
      <c r="D3450" t="s">
        <v>18790</v>
      </c>
      <c r="E3450" t="s">
        <v>22009</v>
      </c>
      <c r="F3450" t="s">
        <v>32664</v>
      </c>
      <c r="G3450" t="s">
        <v>32672</v>
      </c>
      <c r="H3450" t="s">
        <v>12635</v>
      </c>
      <c r="I3450" t="s">
        <v>4439</v>
      </c>
      <c r="J3450" t="s">
        <v>35137</v>
      </c>
      <c r="K3450" t="s">
        <v>42297</v>
      </c>
      <c r="M3450" t="s">
        <v>42966</v>
      </c>
      <c r="N3450" t="s">
        <v>46569</v>
      </c>
      <c r="O3450" t="s">
        <v>46570</v>
      </c>
      <c r="P3450">
        <v>0</v>
      </c>
      <c r="Q3450">
        <v>0</v>
      </c>
      <c r="R3450" t="s">
        <v>46572</v>
      </c>
      <c r="S3450" t="s">
        <v>46689</v>
      </c>
      <c r="T3450" t="s">
        <v>48225</v>
      </c>
      <c r="U3450" t="s">
        <v>51651</v>
      </c>
      <c r="W3450" t="s">
        <v>42966</v>
      </c>
      <c r="X3450" t="s">
        <v>46573</v>
      </c>
    </row>
    <row r="3451" spans="1:24">
      <c r="A3451">
        <f>HYPERLINK("https://www.philgeps.gov.ph/GEPSNONPILOT/Tender/SplashBidNoticeAbstractUI.aspx?menuIndex=3&amp;refID=7062914&amp;Result=3","7062914")</f>
        <v>0</v>
      </c>
      <c r="B3451" t="s">
        <v>1138</v>
      </c>
      <c r="C3451" t="s">
        <v>6855</v>
      </c>
      <c r="D3451" t="s">
        <v>18842</v>
      </c>
      <c r="E3451" t="s">
        <v>22010</v>
      </c>
      <c r="F3451" t="s">
        <v>32664</v>
      </c>
      <c r="G3451" t="s">
        <v>32677</v>
      </c>
      <c r="H3451" t="s">
        <v>32683</v>
      </c>
      <c r="I3451" t="s">
        <v>10627</v>
      </c>
      <c r="J3451" t="s">
        <v>32859</v>
      </c>
      <c r="K3451" t="s">
        <v>42281</v>
      </c>
      <c r="M3451" t="s">
        <v>43769</v>
      </c>
      <c r="N3451" t="s">
        <v>46569</v>
      </c>
      <c r="O3451" t="s">
        <v>46570</v>
      </c>
      <c r="P3451">
        <v>0</v>
      </c>
      <c r="Q3451">
        <v>0</v>
      </c>
      <c r="R3451" t="s">
        <v>46572</v>
      </c>
      <c r="S3451" t="s">
        <v>46689</v>
      </c>
      <c r="T3451" t="s">
        <v>48280</v>
      </c>
      <c r="U3451" t="s">
        <v>51652</v>
      </c>
      <c r="W3451" t="s">
        <v>43769</v>
      </c>
      <c r="X3451" t="s">
        <v>46573</v>
      </c>
    </row>
    <row r="3452" spans="1:24">
      <c r="A3452">
        <f>HYPERLINK("https://www.philgeps.gov.ph/GEPSNONPILOT/Tender/SplashBidNoticeAbstractUI.aspx?menuIndex=3&amp;refID=7062913&amp;Result=3","7062913")</f>
        <v>0</v>
      </c>
      <c r="B3452" t="s">
        <v>1344</v>
      </c>
      <c r="C3452" t="s">
        <v>6856</v>
      </c>
      <c r="D3452" t="s">
        <v>18835</v>
      </c>
      <c r="E3452" t="s">
        <v>22011</v>
      </c>
      <c r="F3452" t="s">
        <v>32664</v>
      </c>
      <c r="G3452" t="s">
        <v>32671</v>
      </c>
      <c r="H3452" t="s">
        <v>12635</v>
      </c>
      <c r="I3452" t="s">
        <v>8958</v>
      </c>
      <c r="J3452" t="s">
        <v>33015</v>
      </c>
      <c r="K3452" t="s">
        <v>42284</v>
      </c>
      <c r="M3452" t="s">
        <v>43995</v>
      </c>
      <c r="N3452" t="s">
        <v>46569</v>
      </c>
      <c r="O3452" t="s">
        <v>46570</v>
      </c>
      <c r="P3452">
        <v>0</v>
      </c>
      <c r="Q3452">
        <v>1</v>
      </c>
      <c r="R3452" t="s">
        <v>46572</v>
      </c>
      <c r="S3452" t="s">
        <v>46689</v>
      </c>
      <c r="T3452" t="s">
        <v>48293</v>
      </c>
      <c r="U3452" t="s">
        <v>51653</v>
      </c>
      <c r="W3452" t="s">
        <v>43995</v>
      </c>
      <c r="X3452" t="s">
        <v>46573</v>
      </c>
    </row>
    <row r="3453" spans="1:24">
      <c r="A3453">
        <f>HYPERLINK("https://www.philgeps.gov.ph/GEPSNONPILOT/Tender/SplashBidNoticeAbstractUI.aspx?menuIndex=3&amp;refID=7062923&amp;Result=3","7062923")</f>
        <v>0</v>
      </c>
      <c r="B3453" t="s">
        <v>1345</v>
      </c>
      <c r="C3453" t="s">
        <v>6857</v>
      </c>
      <c r="D3453" t="s">
        <v>18822</v>
      </c>
      <c r="E3453" t="s">
        <v>22012</v>
      </c>
      <c r="F3453" t="s">
        <v>32664</v>
      </c>
      <c r="G3453" t="s">
        <v>32674</v>
      </c>
      <c r="H3453" t="s">
        <v>12635</v>
      </c>
      <c r="I3453" t="s">
        <v>32730</v>
      </c>
      <c r="J3453" t="s">
        <v>35138</v>
      </c>
      <c r="K3453" t="s">
        <v>42283</v>
      </c>
      <c r="M3453" t="s">
        <v>43996</v>
      </c>
      <c r="N3453" t="s">
        <v>46569</v>
      </c>
      <c r="O3453" t="s">
        <v>46570</v>
      </c>
      <c r="P3453">
        <v>0</v>
      </c>
      <c r="Q3453">
        <v>0</v>
      </c>
      <c r="R3453" t="s">
        <v>46572</v>
      </c>
      <c r="S3453" t="s">
        <v>46689</v>
      </c>
      <c r="T3453" t="s">
        <v>48316</v>
      </c>
      <c r="U3453" t="s">
        <v>51654</v>
      </c>
      <c r="W3453" t="s">
        <v>43996</v>
      </c>
      <c r="X3453" t="s">
        <v>46573</v>
      </c>
    </row>
    <row r="3454" spans="1:24">
      <c r="A3454">
        <f>HYPERLINK("https://www.philgeps.gov.ph/GEPSNONPILOT/Tender/SplashBidNoticeAbstractUI.aspx?menuIndex=3&amp;refID=7062910&amp;Result=3","7062910")</f>
        <v>0</v>
      </c>
      <c r="B3454" t="s">
        <v>683</v>
      </c>
      <c r="C3454" t="s">
        <v>6858</v>
      </c>
      <c r="D3454" t="s">
        <v>18842</v>
      </c>
      <c r="E3454" t="s">
        <v>22013</v>
      </c>
      <c r="F3454" t="s">
        <v>32664</v>
      </c>
      <c r="G3454" t="s">
        <v>32674</v>
      </c>
      <c r="H3454" t="s">
        <v>12635</v>
      </c>
      <c r="I3454" t="s">
        <v>10361</v>
      </c>
      <c r="J3454" t="s">
        <v>34127</v>
      </c>
      <c r="K3454" t="s">
        <v>42283</v>
      </c>
      <c r="M3454" t="s">
        <v>43959</v>
      </c>
      <c r="N3454" t="s">
        <v>46569</v>
      </c>
      <c r="O3454" t="s">
        <v>46570</v>
      </c>
      <c r="P3454">
        <v>0</v>
      </c>
      <c r="Q3454">
        <v>0</v>
      </c>
      <c r="R3454" t="s">
        <v>46572</v>
      </c>
      <c r="S3454" t="s">
        <v>46689</v>
      </c>
      <c r="T3454" t="s">
        <v>48256</v>
      </c>
      <c r="U3454" t="s">
        <v>50070</v>
      </c>
      <c r="W3454" t="s">
        <v>43959</v>
      </c>
      <c r="X3454" t="s">
        <v>46573</v>
      </c>
    </row>
    <row r="3455" spans="1:24">
      <c r="A3455">
        <f>HYPERLINK("https://www.philgeps.gov.ph/GEPSNONPILOT/Tender/SplashBidNoticeAbstractUI.aspx?menuIndex=3&amp;refID=7062929&amp;Result=3","7062929")</f>
        <v>0</v>
      </c>
      <c r="B3455" t="s">
        <v>1346</v>
      </c>
      <c r="C3455" t="s">
        <v>6859</v>
      </c>
      <c r="D3455" t="s">
        <v>18865</v>
      </c>
      <c r="E3455" t="s">
        <v>22014</v>
      </c>
      <c r="F3455" t="s">
        <v>32664</v>
      </c>
      <c r="G3455" t="s">
        <v>32671</v>
      </c>
      <c r="H3455" t="s">
        <v>12635</v>
      </c>
      <c r="I3455" t="s">
        <v>32711</v>
      </c>
      <c r="J3455" t="s">
        <v>32984</v>
      </c>
      <c r="K3455" t="s">
        <v>42284</v>
      </c>
      <c r="M3455" t="s">
        <v>43997</v>
      </c>
      <c r="N3455" t="s">
        <v>46569</v>
      </c>
      <c r="O3455" t="s">
        <v>46570</v>
      </c>
      <c r="P3455">
        <v>0</v>
      </c>
      <c r="Q3455">
        <v>0</v>
      </c>
      <c r="R3455" t="s">
        <v>46572</v>
      </c>
      <c r="S3455" t="s">
        <v>46689</v>
      </c>
      <c r="T3455" t="s">
        <v>48301</v>
      </c>
      <c r="U3455" t="s">
        <v>51655</v>
      </c>
      <c r="W3455" t="s">
        <v>43997</v>
      </c>
      <c r="X3455" t="s">
        <v>46573</v>
      </c>
    </row>
    <row r="3456" spans="1:24">
      <c r="A3456">
        <f>HYPERLINK("https://www.philgeps.gov.ph/GEPSNONPILOT/Tender/SplashBidNoticeAbstractUI.aspx?menuIndex=3&amp;refID=7062918&amp;Result=3","7062918")</f>
        <v>0</v>
      </c>
      <c r="B3456" t="s">
        <v>460</v>
      </c>
      <c r="C3456" t="s">
        <v>6860</v>
      </c>
      <c r="D3456" t="s">
        <v>18806</v>
      </c>
      <c r="E3456" t="s">
        <v>22015</v>
      </c>
      <c r="F3456" t="s">
        <v>32664</v>
      </c>
      <c r="G3456" t="s">
        <v>32672</v>
      </c>
      <c r="H3456" t="s">
        <v>12635</v>
      </c>
      <c r="I3456" t="s">
        <v>8797</v>
      </c>
      <c r="J3456" t="s">
        <v>35139</v>
      </c>
      <c r="K3456" t="s">
        <v>42330</v>
      </c>
      <c r="M3456" t="s">
        <v>43035</v>
      </c>
      <c r="N3456" t="s">
        <v>46569</v>
      </c>
      <c r="O3456" t="s">
        <v>46570</v>
      </c>
      <c r="P3456">
        <v>0</v>
      </c>
      <c r="Q3456">
        <v>1</v>
      </c>
      <c r="R3456" t="s">
        <v>46572</v>
      </c>
      <c r="S3456" t="s">
        <v>46689</v>
      </c>
      <c r="T3456" t="s">
        <v>48285</v>
      </c>
      <c r="U3456" t="s">
        <v>51656</v>
      </c>
      <c r="V3456" t="s">
        <v>61876</v>
      </c>
      <c r="W3456" t="s">
        <v>43035</v>
      </c>
      <c r="X3456" t="s">
        <v>46573</v>
      </c>
    </row>
    <row r="3457" spans="1:24">
      <c r="A3457">
        <f>HYPERLINK("https://www.philgeps.gov.ph/GEPSNONPILOT/Tender/SplashBidNoticeAbstractUI.aspx?menuIndex=3&amp;refID=7062908&amp;Result=3","7062908")</f>
        <v>0</v>
      </c>
      <c r="B3457" t="s">
        <v>1316</v>
      </c>
      <c r="C3457" t="s">
        <v>6861</v>
      </c>
      <c r="D3457" t="s">
        <v>18784</v>
      </c>
      <c r="E3457" t="s">
        <v>22016</v>
      </c>
      <c r="F3457" t="s">
        <v>32664</v>
      </c>
      <c r="G3457" t="s">
        <v>32672</v>
      </c>
      <c r="H3457" t="s">
        <v>32682</v>
      </c>
      <c r="I3457" t="s">
        <v>11464</v>
      </c>
      <c r="J3457" t="s">
        <v>32974</v>
      </c>
      <c r="K3457" t="s">
        <v>42281</v>
      </c>
      <c r="M3457" t="s">
        <v>43965</v>
      </c>
      <c r="N3457" t="s">
        <v>46569</v>
      </c>
      <c r="O3457" t="s">
        <v>46570</v>
      </c>
      <c r="P3457">
        <v>0</v>
      </c>
      <c r="Q3457">
        <v>1</v>
      </c>
      <c r="R3457" t="s">
        <v>46572</v>
      </c>
      <c r="S3457" t="s">
        <v>46689</v>
      </c>
      <c r="T3457" t="s">
        <v>48481</v>
      </c>
      <c r="U3457" t="s">
        <v>51657</v>
      </c>
      <c r="V3457" t="s">
        <v>61965</v>
      </c>
      <c r="W3457" t="s">
        <v>43965</v>
      </c>
      <c r="X3457" t="s">
        <v>46573</v>
      </c>
    </row>
    <row r="3458" spans="1:24">
      <c r="A3458">
        <f>HYPERLINK("https://www.philgeps.gov.ph/GEPSNONPILOT/Tender/SplashBidNoticeAbstractUI.aspx?menuIndex=3&amp;refID=7062891&amp;Result=3","7062891")</f>
        <v>0</v>
      </c>
      <c r="B3458" t="s">
        <v>690</v>
      </c>
      <c r="C3458" t="s">
        <v>6862</v>
      </c>
      <c r="D3458" t="s">
        <v>18781</v>
      </c>
      <c r="E3458" t="s">
        <v>22017</v>
      </c>
      <c r="F3458" t="s">
        <v>32664</v>
      </c>
      <c r="G3458" t="s">
        <v>32672</v>
      </c>
      <c r="H3458" t="s">
        <v>32683</v>
      </c>
      <c r="I3458" t="s">
        <v>10627</v>
      </c>
      <c r="J3458" t="s">
        <v>34131</v>
      </c>
      <c r="K3458" t="s">
        <v>42411</v>
      </c>
      <c r="L3458" t="s">
        <v>690</v>
      </c>
      <c r="M3458" t="s">
        <v>43277</v>
      </c>
      <c r="N3458" t="s">
        <v>46569</v>
      </c>
      <c r="O3458" t="s">
        <v>46570</v>
      </c>
      <c r="P3458">
        <v>0</v>
      </c>
      <c r="Q3458">
        <v>0</v>
      </c>
      <c r="R3458" t="s">
        <v>46572</v>
      </c>
      <c r="S3458" t="s">
        <v>46689</v>
      </c>
      <c r="T3458" t="s">
        <v>48362</v>
      </c>
      <c r="U3458" t="s">
        <v>51586</v>
      </c>
      <c r="W3458" t="s">
        <v>43277</v>
      </c>
      <c r="X3458" t="s">
        <v>46573</v>
      </c>
    </row>
    <row r="3459" spans="1:24">
      <c r="A3459">
        <f>HYPERLINK("https://www.philgeps.gov.ph/GEPSNONPILOT/Tender/SplashBidNoticeAbstractUI.aspx?menuIndex=3&amp;refID=7062917&amp;Result=3","7062917")</f>
        <v>0</v>
      </c>
      <c r="B3459" t="s">
        <v>1055</v>
      </c>
      <c r="C3459" t="s">
        <v>6863</v>
      </c>
      <c r="D3459" t="s">
        <v>18784</v>
      </c>
      <c r="E3459" t="s">
        <v>22018</v>
      </c>
      <c r="F3459" t="s">
        <v>32664</v>
      </c>
      <c r="G3459" t="s">
        <v>32672</v>
      </c>
      <c r="H3459" t="s">
        <v>12635</v>
      </c>
      <c r="I3459" t="s">
        <v>32704</v>
      </c>
      <c r="J3459" t="s">
        <v>35140</v>
      </c>
      <c r="K3459" t="s">
        <v>42283</v>
      </c>
      <c r="M3459" t="s">
        <v>43998</v>
      </c>
      <c r="N3459" t="s">
        <v>46569</v>
      </c>
      <c r="O3459" t="s">
        <v>46570</v>
      </c>
      <c r="P3459">
        <v>0</v>
      </c>
      <c r="Q3459">
        <v>9</v>
      </c>
      <c r="R3459" t="s">
        <v>46572</v>
      </c>
      <c r="S3459" t="s">
        <v>46689</v>
      </c>
      <c r="T3459" t="s">
        <v>48390</v>
      </c>
      <c r="U3459" t="s">
        <v>51658</v>
      </c>
      <c r="W3459" t="s">
        <v>43998</v>
      </c>
      <c r="X3459" t="s">
        <v>46573</v>
      </c>
    </row>
    <row r="3460" spans="1:24">
      <c r="A3460">
        <f>HYPERLINK("https://www.philgeps.gov.ph/GEPSNONPILOT/Tender/SplashBidNoticeAbstractUI.aspx?menuIndex=3&amp;refID=7062890&amp;Result=3","7062890")</f>
        <v>0</v>
      </c>
      <c r="B3460" t="s">
        <v>1347</v>
      </c>
      <c r="C3460" t="s">
        <v>6864</v>
      </c>
      <c r="D3460" t="s">
        <v>18827</v>
      </c>
      <c r="E3460" t="s">
        <v>22019</v>
      </c>
      <c r="F3460" t="s">
        <v>32664</v>
      </c>
      <c r="G3460" t="s">
        <v>32674</v>
      </c>
      <c r="H3460" t="s">
        <v>12635</v>
      </c>
      <c r="I3460" t="s">
        <v>4997</v>
      </c>
      <c r="J3460" t="s">
        <v>35141</v>
      </c>
      <c r="K3460" t="s">
        <v>42283</v>
      </c>
      <c r="M3460" t="s">
        <v>43999</v>
      </c>
      <c r="N3460" t="s">
        <v>46569</v>
      </c>
      <c r="O3460" t="s">
        <v>46570</v>
      </c>
      <c r="P3460">
        <v>0</v>
      </c>
      <c r="Q3460">
        <v>1</v>
      </c>
      <c r="R3460" t="s">
        <v>46572</v>
      </c>
      <c r="S3460" t="s">
        <v>46689</v>
      </c>
      <c r="T3460" t="s">
        <v>48376</v>
      </c>
      <c r="U3460" t="s">
        <v>51659</v>
      </c>
      <c r="W3460" t="s">
        <v>43999</v>
      </c>
      <c r="X3460" t="s">
        <v>46573</v>
      </c>
    </row>
    <row r="3461" spans="1:24">
      <c r="A3461">
        <f>HYPERLINK("https://www.philgeps.gov.ph/GEPSNONPILOT/Tender/SplashBidNoticeAbstractUI.aspx?menuIndex=3&amp;refID=7062889&amp;Result=3","7062889")</f>
        <v>0</v>
      </c>
      <c r="B3461" t="s">
        <v>991</v>
      </c>
      <c r="C3461" t="s">
        <v>6865</v>
      </c>
      <c r="D3461" t="s">
        <v>18812</v>
      </c>
      <c r="E3461" t="s">
        <v>22020</v>
      </c>
      <c r="F3461" t="s">
        <v>32664</v>
      </c>
      <c r="G3461" t="s">
        <v>32671</v>
      </c>
      <c r="H3461" t="s">
        <v>12635</v>
      </c>
      <c r="I3461" t="s">
        <v>6223</v>
      </c>
      <c r="J3461" t="s">
        <v>35142</v>
      </c>
      <c r="K3461" t="s">
        <v>42281</v>
      </c>
      <c r="M3461" t="s">
        <v>43602</v>
      </c>
      <c r="N3461" t="s">
        <v>46569</v>
      </c>
      <c r="O3461" t="s">
        <v>46570</v>
      </c>
      <c r="P3461">
        <v>0</v>
      </c>
      <c r="Q3461">
        <v>1</v>
      </c>
      <c r="R3461" t="s">
        <v>46572</v>
      </c>
      <c r="S3461" t="s">
        <v>46689</v>
      </c>
      <c r="T3461" t="s">
        <v>48246</v>
      </c>
      <c r="U3461" t="s">
        <v>51660</v>
      </c>
      <c r="W3461" t="s">
        <v>43602</v>
      </c>
      <c r="X3461" t="s">
        <v>46573</v>
      </c>
    </row>
    <row r="3462" spans="1:24">
      <c r="A3462">
        <f>HYPERLINK("https://www.philgeps.gov.ph/GEPSNONPILOT/Tender/SplashBidNoticeAbstractUI.aspx?menuIndex=3&amp;refID=7062888&amp;Result=3","7062888")</f>
        <v>0</v>
      </c>
      <c r="B3462" t="s">
        <v>1316</v>
      </c>
      <c r="C3462" t="s">
        <v>6866</v>
      </c>
      <c r="D3462" t="s">
        <v>18784</v>
      </c>
      <c r="E3462" t="s">
        <v>22021</v>
      </c>
      <c r="F3462" t="s">
        <v>32664</v>
      </c>
      <c r="G3462" t="s">
        <v>32672</v>
      </c>
      <c r="H3462" t="s">
        <v>32682</v>
      </c>
      <c r="I3462" t="s">
        <v>11464</v>
      </c>
      <c r="J3462" t="s">
        <v>32974</v>
      </c>
      <c r="K3462" t="s">
        <v>42281</v>
      </c>
      <c r="M3462" t="s">
        <v>43965</v>
      </c>
      <c r="N3462" t="s">
        <v>46569</v>
      </c>
      <c r="O3462" t="s">
        <v>46570</v>
      </c>
      <c r="P3462">
        <v>0</v>
      </c>
      <c r="Q3462">
        <v>1</v>
      </c>
      <c r="R3462" t="s">
        <v>46572</v>
      </c>
      <c r="S3462" t="s">
        <v>46689</v>
      </c>
      <c r="T3462" t="s">
        <v>48225</v>
      </c>
      <c r="U3462" t="s">
        <v>51661</v>
      </c>
      <c r="V3462" t="s">
        <v>61965</v>
      </c>
      <c r="W3462" t="s">
        <v>43965</v>
      </c>
      <c r="X3462" t="s">
        <v>46573</v>
      </c>
    </row>
    <row r="3463" spans="1:24">
      <c r="A3463">
        <f>HYPERLINK("https://www.philgeps.gov.ph/GEPSNONPILOT/Tender/SplashBidNoticeAbstractUI.aspx?menuIndex=3&amp;refID=7062887&amp;Result=3","7062887")</f>
        <v>0</v>
      </c>
      <c r="B3463" t="s">
        <v>1348</v>
      </c>
      <c r="C3463" t="s">
        <v>6867</v>
      </c>
      <c r="D3463" t="s">
        <v>18848</v>
      </c>
      <c r="E3463" t="s">
        <v>22022</v>
      </c>
      <c r="F3463" t="s">
        <v>32664</v>
      </c>
      <c r="G3463" t="s">
        <v>32672</v>
      </c>
      <c r="H3463" t="s">
        <v>12635</v>
      </c>
      <c r="I3463" t="s">
        <v>4439</v>
      </c>
      <c r="J3463" t="s">
        <v>32853</v>
      </c>
      <c r="K3463" t="s">
        <v>42281</v>
      </c>
      <c r="M3463" t="s">
        <v>44000</v>
      </c>
      <c r="N3463" t="s">
        <v>46569</v>
      </c>
      <c r="O3463" t="s">
        <v>46570</v>
      </c>
      <c r="P3463">
        <v>0</v>
      </c>
      <c r="Q3463">
        <v>1</v>
      </c>
      <c r="R3463" t="s">
        <v>46572</v>
      </c>
      <c r="S3463" t="s">
        <v>46689</v>
      </c>
      <c r="T3463" t="s">
        <v>48226</v>
      </c>
      <c r="U3463" t="s">
        <v>51662</v>
      </c>
      <c r="V3463" t="s">
        <v>61976</v>
      </c>
      <c r="W3463" t="s">
        <v>44000</v>
      </c>
      <c r="X3463" t="s">
        <v>46573</v>
      </c>
    </row>
    <row r="3464" spans="1:24">
      <c r="A3464">
        <f>HYPERLINK("https://www.philgeps.gov.ph/GEPSNONPILOT/Tender/SplashBidNoticeAbstractUI.aspx?menuIndex=3&amp;refID=7062869&amp;Result=3","7062869")</f>
        <v>0</v>
      </c>
      <c r="B3464" t="s">
        <v>1349</v>
      </c>
      <c r="C3464" t="s">
        <v>6868</v>
      </c>
      <c r="D3464" t="s">
        <v>18790</v>
      </c>
      <c r="E3464" t="s">
        <v>19643</v>
      </c>
      <c r="F3464" t="s">
        <v>32664</v>
      </c>
      <c r="G3464" t="s">
        <v>32672</v>
      </c>
      <c r="H3464" t="s">
        <v>12635</v>
      </c>
      <c r="I3464" t="s">
        <v>4439</v>
      </c>
      <c r="J3464" t="s">
        <v>35143</v>
      </c>
      <c r="K3464" t="s">
        <v>42289</v>
      </c>
      <c r="M3464" t="s">
        <v>44001</v>
      </c>
      <c r="N3464" t="s">
        <v>46569</v>
      </c>
      <c r="O3464" t="s">
        <v>46570</v>
      </c>
      <c r="P3464">
        <v>0</v>
      </c>
      <c r="Q3464">
        <v>1</v>
      </c>
      <c r="R3464" t="s">
        <v>46572</v>
      </c>
      <c r="S3464" t="s">
        <v>46689</v>
      </c>
      <c r="T3464" t="s">
        <v>48304</v>
      </c>
      <c r="U3464" t="s">
        <v>51663</v>
      </c>
      <c r="W3464" t="s">
        <v>44001</v>
      </c>
      <c r="X3464" t="s">
        <v>46573</v>
      </c>
    </row>
    <row r="3465" spans="1:24">
      <c r="A3465">
        <f>HYPERLINK("https://www.philgeps.gov.ph/GEPSNONPILOT/Tender/SplashBidNoticeAbstractUI.aspx?menuIndex=3&amp;refID=7062867&amp;Result=3","7062867")</f>
        <v>0</v>
      </c>
      <c r="B3465" t="s">
        <v>1350</v>
      </c>
      <c r="C3465" t="s">
        <v>6869</v>
      </c>
      <c r="D3465" t="s">
        <v>18804</v>
      </c>
      <c r="E3465" t="s">
        <v>22023</v>
      </c>
      <c r="F3465" t="s">
        <v>32664</v>
      </c>
      <c r="G3465" t="s">
        <v>32671</v>
      </c>
      <c r="H3465" t="s">
        <v>12635</v>
      </c>
      <c r="I3465" t="s">
        <v>8730</v>
      </c>
      <c r="J3465" t="s">
        <v>35144</v>
      </c>
      <c r="K3465" t="s">
        <v>42306</v>
      </c>
      <c r="M3465" t="s">
        <v>44002</v>
      </c>
      <c r="N3465" t="s">
        <v>46569</v>
      </c>
      <c r="O3465" t="s">
        <v>46570</v>
      </c>
      <c r="P3465">
        <v>0</v>
      </c>
      <c r="Q3465">
        <v>3</v>
      </c>
      <c r="R3465" t="s">
        <v>46572</v>
      </c>
      <c r="S3465" t="s">
        <v>46689</v>
      </c>
      <c r="T3465" t="s">
        <v>48219</v>
      </c>
      <c r="U3465" t="s">
        <v>51664</v>
      </c>
      <c r="W3465" t="s">
        <v>44002</v>
      </c>
      <c r="X3465" t="s">
        <v>46573</v>
      </c>
    </row>
    <row r="3466" spans="1:24">
      <c r="A3466">
        <f>HYPERLINK("https://www.philgeps.gov.ph/GEPSNONPILOT/Tender/SplashBidNoticeAbstractUI.aspx?menuIndex=3&amp;refID=7062894&amp;Result=3","7062894")</f>
        <v>0</v>
      </c>
      <c r="B3466" t="s">
        <v>1351</v>
      </c>
      <c r="C3466" t="s">
        <v>6870</v>
      </c>
      <c r="D3466" t="s">
        <v>18798</v>
      </c>
      <c r="E3466" t="s">
        <v>19641</v>
      </c>
      <c r="F3466" t="s">
        <v>32664</v>
      </c>
      <c r="G3466" t="s">
        <v>32675</v>
      </c>
      <c r="H3466" t="s">
        <v>12635</v>
      </c>
      <c r="I3466" t="s">
        <v>32705</v>
      </c>
      <c r="J3466" t="s">
        <v>33089</v>
      </c>
      <c r="K3466" t="s">
        <v>42297</v>
      </c>
      <c r="M3466" t="s">
        <v>44003</v>
      </c>
      <c r="N3466" t="s">
        <v>46569</v>
      </c>
      <c r="O3466" t="s">
        <v>46570</v>
      </c>
      <c r="P3466">
        <v>0</v>
      </c>
      <c r="Q3466">
        <v>2</v>
      </c>
      <c r="R3466" t="s">
        <v>46572</v>
      </c>
      <c r="S3466" t="s">
        <v>46689</v>
      </c>
      <c r="T3466" t="s">
        <v>48244</v>
      </c>
      <c r="U3466" t="s">
        <v>51665</v>
      </c>
      <c r="W3466" t="s">
        <v>44003</v>
      </c>
      <c r="X3466" t="s">
        <v>46573</v>
      </c>
    </row>
    <row r="3467" spans="1:24">
      <c r="A3467">
        <f>HYPERLINK("https://www.philgeps.gov.ph/GEPSNONPILOT/Tender/SplashBidNoticeAbstractUI.aspx?menuIndex=3&amp;refID=7062956&amp;Result=3","7062956")</f>
        <v>0</v>
      </c>
      <c r="B3467" t="s">
        <v>683</v>
      </c>
      <c r="C3467" t="s">
        <v>6871</v>
      </c>
      <c r="D3467" t="s">
        <v>18842</v>
      </c>
      <c r="E3467" t="s">
        <v>22024</v>
      </c>
      <c r="F3467" t="s">
        <v>32664</v>
      </c>
      <c r="G3467" t="s">
        <v>32674</v>
      </c>
      <c r="H3467" t="s">
        <v>12635</v>
      </c>
      <c r="I3467" t="s">
        <v>10361</v>
      </c>
      <c r="J3467" t="s">
        <v>33078</v>
      </c>
      <c r="K3467" t="s">
        <v>42283</v>
      </c>
      <c r="M3467" t="s">
        <v>43959</v>
      </c>
      <c r="N3467" t="s">
        <v>46569</v>
      </c>
      <c r="O3467" t="s">
        <v>46570</v>
      </c>
      <c r="P3467">
        <v>0</v>
      </c>
      <c r="Q3467">
        <v>0</v>
      </c>
      <c r="R3467" t="s">
        <v>46572</v>
      </c>
      <c r="S3467" t="s">
        <v>46689</v>
      </c>
      <c r="T3467" t="s">
        <v>48256</v>
      </c>
      <c r="U3467" t="s">
        <v>50070</v>
      </c>
      <c r="W3467" t="s">
        <v>43959</v>
      </c>
      <c r="X3467" t="s">
        <v>46573</v>
      </c>
    </row>
    <row r="3468" spans="1:24">
      <c r="A3468">
        <f>HYPERLINK("https://www.philgeps.gov.ph/GEPSNONPILOT/Tender/SplashBidNoticeAbstractUI.aspx?menuIndex=3&amp;refID=7062961&amp;Result=3","7062961")</f>
        <v>0</v>
      </c>
      <c r="B3468" t="s">
        <v>1138</v>
      </c>
      <c r="C3468" t="s">
        <v>6872</v>
      </c>
      <c r="D3468" t="s">
        <v>18842</v>
      </c>
      <c r="E3468" t="s">
        <v>22025</v>
      </c>
      <c r="F3468" t="s">
        <v>32664</v>
      </c>
      <c r="G3468" t="s">
        <v>32672</v>
      </c>
      <c r="H3468" t="s">
        <v>32683</v>
      </c>
      <c r="I3468" t="s">
        <v>10627</v>
      </c>
      <c r="J3468" t="s">
        <v>35145</v>
      </c>
      <c r="K3468" t="s">
        <v>42311</v>
      </c>
      <c r="M3468" t="s">
        <v>43769</v>
      </c>
      <c r="N3468" t="s">
        <v>46569</v>
      </c>
      <c r="O3468" t="s">
        <v>46570</v>
      </c>
      <c r="P3468">
        <v>0</v>
      </c>
      <c r="Q3468">
        <v>0</v>
      </c>
      <c r="R3468" t="s">
        <v>46572</v>
      </c>
      <c r="S3468" t="s">
        <v>46689</v>
      </c>
      <c r="T3468" t="s">
        <v>48236</v>
      </c>
      <c r="U3468" t="s">
        <v>51666</v>
      </c>
      <c r="W3468" t="s">
        <v>43769</v>
      </c>
      <c r="X3468" t="s">
        <v>46573</v>
      </c>
    </row>
    <row r="3469" spans="1:24">
      <c r="A3469">
        <f>HYPERLINK("https://www.philgeps.gov.ph/GEPSNONPILOT/Tender/SplashBidNoticeAbstractUI.aspx?menuIndex=3&amp;refID=7062960&amp;Result=3","7062960")</f>
        <v>0</v>
      </c>
      <c r="B3469" t="s">
        <v>102</v>
      </c>
      <c r="C3469" t="s">
        <v>6873</v>
      </c>
      <c r="D3469" t="s">
        <v>18788</v>
      </c>
      <c r="E3469" t="s">
        <v>22026</v>
      </c>
      <c r="F3469" t="s">
        <v>32664</v>
      </c>
      <c r="G3469" t="s">
        <v>32677</v>
      </c>
      <c r="H3469" t="s">
        <v>32683</v>
      </c>
      <c r="I3469" t="s">
        <v>10627</v>
      </c>
      <c r="J3469" t="s">
        <v>35146</v>
      </c>
      <c r="K3469" t="s">
        <v>42289</v>
      </c>
      <c r="M3469" t="s">
        <v>42666</v>
      </c>
      <c r="N3469" t="s">
        <v>46569</v>
      </c>
      <c r="O3469" t="s">
        <v>46570</v>
      </c>
      <c r="P3469">
        <v>0</v>
      </c>
      <c r="Q3469">
        <v>0</v>
      </c>
      <c r="R3469" t="s">
        <v>46572</v>
      </c>
      <c r="S3469" t="s">
        <v>46689</v>
      </c>
      <c r="T3469" t="s">
        <v>48248</v>
      </c>
      <c r="U3469" t="s">
        <v>51667</v>
      </c>
      <c r="W3469" t="s">
        <v>42666</v>
      </c>
      <c r="X3469" t="s">
        <v>46573</v>
      </c>
    </row>
    <row r="3470" spans="1:24">
      <c r="A3470">
        <f>HYPERLINK("https://www.philgeps.gov.ph/GEPSNONPILOT/Tender/SplashBidNoticeAbstractUI.aspx?menuIndex=3&amp;refID=7062911&amp;Result=3","7062911")</f>
        <v>0</v>
      </c>
      <c r="B3470" t="s">
        <v>1094</v>
      </c>
      <c r="C3470" t="s">
        <v>6874</v>
      </c>
      <c r="D3470" t="s">
        <v>18822</v>
      </c>
      <c r="E3470" t="s">
        <v>22027</v>
      </c>
      <c r="F3470" t="s">
        <v>32664</v>
      </c>
      <c r="G3470" t="s">
        <v>32672</v>
      </c>
      <c r="H3470" t="s">
        <v>12635</v>
      </c>
      <c r="I3470" t="s">
        <v>4439</v>
      </c>
      <c r="J3470" t="s">
        <v>34258</v>
      </c>
      <c r="K3470" t="s">
        <v>42284</v>
      </c>
      <c r="M3470" t="s">
        <v>43722</v>
      </c>
      <c r="N3470" t="s">
        <v>46569</v>
      </c>
      <c r="O3470" t="s">
        <v>46570</v>
      </c>
      <c r="P3470">
        <v>0</v>
      </c>
      <c r="Q3470">
        <v>1</v>
      </c>
      <c r="R3470" t="s">
        <v>46572</v>
      </c>
      <c r="S3470" t="s">
        <v>46689</v>
      </c>
      <c r="T3470" t="s">
        <v>48312</v>
      </c>
      <c r="U3470" t="s">
        <v>51668</v>
      </c>
      <c r="W3470" t="s">
        <v>43722</v>
      </c>
      <c r="X3470" t="s">
        <v>46573</v>
      </c>
    </row>
    <row r="3471" spans="1:24">
      <c r="A3471">
        <f>HYPERLINK("https://www.philgeps.gov.ph/GEPSNONPILOT/Tender/SplashBidNoticeAbstractUI.aspx?menuIndex=3&amp;refID=7062893&amp;Result=3","7062893")</f>
        <v>0</v>
      </c>
      <c r="B3471" t="s">
        <v>1352</v>
      </c>
      <c r="C3471" t="s">
        <v>6875</v>
      </c>
      <c r="D3471" t="s">
        <v>18830</v>
      </c>
      <c r="E3471" t="s">
        <v>19583</v>
      </c>
      <c r="F3471" t="s">
        <v>32664</v>
      </c>
      <c r="G3471" t="s">
        <v>32672</v>
      </c>
      <c r="H3471" t="s">
        <v>12635</v>
      </c>
      <c r="I3471" t="s">
        <v>6628</v>
      </c>
      <c r="J3471" t="s">
        <v>33069</v>
      </c>
      <c r="K3471" t="s">
        <v>42284</v>
      </c>
      <c r="M3471" t="s">
        <v>44004</v>
      </c>
      <c r="N3471" t="s">
        <v>46569</v>
      </c>
      <c r="O3471" t="s">
        <v>46570</v>
      </c>
      <c r="P3471">
        <v>0</v>
      </c>
      <c r="Q3471">
        <v>0</v>
      </c>
      <c r="R3471" t="s">
        <v>46572</v>
      </c>
      <c r="S3471" t="s">
        <v>46689</v>
      </c>
      <c r="T3471" t="s">
        <v>48297</v>
      </c>
      <c r="U3471" t="s">
        <v>51669</v>
      </c>
      <c r="W3471" t="s">
        <v>44004</v>
      </c>
      <c r="X3471" t="s">
        <v>46573</v>
      </c>
    </row>
    <row r="3472" spans="1:24">
      <c r="A3472">
        <f>HYPERLINK("https://www.philgeps.gov.ph/GEPSNONPILOT/Tender/SplashBidNoticeAbstractUI.aspx?menuIndex=3&amp;refID=7062958&amp;Result=3","7062958")</f>
        <v>0</v>
      </c>
      <c r="B3472" t="s">
        <v>1344</v>
      </c>
      <c r="C3472" t="s">
        <v>6876</v>
      </c>
      <c r="D3472" t="s">
        <v>18835</v>
      </c>
      <c r="E3472" t="s">
        <v>22028</v>
      </c>
      <c r="F3472" t="s">
        <v>32664</v>
      </c>
      <c r="G3472" t="s">
        <v>32671</v>
      </c>
      <c r="H3472" t="s">
        <v>12635</v>
      </c>
      <c r="I3472" t="s">
        <v>32694</v>
      </c>
      <c r="J3472" t="s">
        <v>35147</v>
      </c>
      <c r="K3472" t="s">
        <v>42284</v>
      </c>
      <c r="M3472" t="s">
        <v>43995</v>
      </c>
      <c r="N3472" t="s">
        <v>46569</v>
      </c>
      <c r="O3472" t="s">
        <v>46570</v>
      </c>
      <c r="P3472">
        <v>0</v>
      </c>
      <c r="Q3472">
        <v>0</v>
      </c>
      <c r="R3472" t="s">
        <v>46572</v>
      </c>
      <c r="S3472" t="s">
        <v>46689</v>
      </c>
      <c r="T3472" t="s">
        <v>48293</v>
      </c>
      <c r="U3472" t="s">
        <v>51653</v>
      </c>
      <c r="W3472" t="s">
        <v>43995</v>
      </c>
      <c r="X3472" t="s">
        <v>46573</v>
      </c>
    </row>
    <row r="3473" spans="1:24">
      <c r="A3473">
        <f>HYPERLINK("https://www.philgeps.gov.ph/GEPSNONPILOT/Tender/SplashBidNoticeAbstractUI.aspx?menuIndex=3&amp;refID=7062954&amp;Result=3","7062954")</f>
        <v>0</v>
      </c>
      <c r="B3473" t="s">
        <v>1088</v>
      </c>
      <c r="C3473" t="s">
        <v>6877</v>
      </c>
      <c r="D3473" t="s">
        <v>18804</v>
      </c>
      <c r="E3473" t="s">
        <v>22029</v>
      </c>
      <c r="F3473" t="s">
        <v>32664</v>
      </c>
      <c r="G3473" t="s">
        <v>32672</v>
      </c>
      <c r="H3473" t="s">
        <v>32683</v>
      </c>
      <c r="I3473" t="s">
        <v>10627</v>
      </c>
      <c r="J3473" t="s">
        <v>35148</v>
      </c>
      <c r="K3473" t="s">
        <v>42311</v>
      </c>
      <c r="M3473" t="s">
        <v>43714</v>
      </c>
      <c r="N3473" t="s">
        <v>46569</v>
      </c>
      <c r="O3473" t="s">
        <v>46570</v>
      </c>
      <c r="P3473">
        <v>0</v>
      </c>
      <c r="Q3473">
        <v>0</v>
      </c>
      <c r="R3473" t="s">
        <v>46572</v>
      </c>
      <c r="S3473" t="s">
        <v>46689</v>
      </c>
      <c r="T3473" t="s">
        <v>48222</v>
      </c>
      <c r="U3473" t="s">
        <v>51670</v>
      </c>
      <c r="V3473" t="s">
        <v>61896</v>
      </c>
      <c r="W3473" t="s">
        <v>43714</v>
      </c>
      <c r="X3473" t="s">
        <v>46573</v>
      </c>
    </row>
    <row r="3474" spans="1:24">
      <c r="A3474">
        <f>HYPERLINK("https://www.philgeps.gov.ph/GEPSNONPILOT/Tender/SplashBidNoticeAbstractUI.aspx?menuIndex=3&amp;refID=7062953&amp;Result=3","7062953")</f>
        <v>0</v>
      </c>
      <c r="B3474" t="s">
        <v>1353</v>
      </c>
      <c r="C3474" t="s">
        <v>6878</v>
      </c>
      <c r="D3474" t="s">
        <v>18815</v>
      </c>
      <c r="E3474" t="s">
        <v>6878</v>
      </c>
      <c r="F3474" t="s">
        <v>32664</v>
      </c>
      <c r="G3474" t="s">
        <v>32674</v>
      </c>
      <c r="H3474" t="s">
        <v>12635</v>
      </c>
      <c r="I3474" t="s">
        <v>8730</v>
      </c>
      <c r="J3474" t="s">
        <v>35149</v>
      </c>
      <c r="K3474" t="s">
        <v>42289</v>
      </c>
      <c r="M3474" t="s">
        <v>44005</v>
      </c>
      <c r="N3474" t="s">
        <v>46569</v>
      </c>
      <c r="O3474" t="s">
        <v>46570</v>
      </c>
      <c r="P3474">
        <v>0</v>
      </c>
      <c r="Q3474">
        <v>0</v>
      </c>
      <c r="R3474" t="s">
        <v>46572</v>
      </c>
      <c r="S3474" t="s">
        <v>46689</v>
      </c>
      <c r="T3474" t="s">
        <v>48427</v>
      </c>
      <c r="U3474" t="s">
        <v>51671</v>
      </c>
      <c r="W3474" t="s">
        <v>44005</v>
      </c>
      <c r="X3474" t="s">
        <v>46573</v>
      </c>
    </row>
    <row r="3475" spans="1:24">
      <c r="A3475">
        <f>HYPERLINK("https://www.philgeps.gov.ph/GEPSNONPILOT/Tender/SplashBidNoticeAbstractUI.aspx?menuIndex=3&amp;refID=7062941&amp;Result=3","7062941")</f>
        <v>0</v>
      </c>
      <c r="B3475" t="s">
        <v>102</v>
      </c>
      <c r="C3475" t="s">
        <v>6879</v>
      </c>
      <c r="D3475" t="s">
        <v>18788</v>
      </c>
      <c r="E3475" t="s">
        <v>22030</v>
      </c>
      <c r="F3475" t="s">
        <v>32664</v>
      </c>
      <c r="G3475" t="s">
        <v>32672</v>
      </c>
      <c r="H3475" t="s">
        <v>32683</v>
      </c>
      <c r="I3475" t="s">
        <v>10627</v>
      </c>
      <c r="J3475" t="s">
        <v>35150</v>
      </c>
      <c r="K3475" t="s">
        <v>42298</v>
      </c>
      <c r="M3475" t="s">
        <v>42666</v>
      </c>
      <c r="N3475" t="s">
        <v>46569</v>
      </c>
      <c r="O3475" t="s">
        <v>46570</v>
      </c>
      <c r="P3475">
        <v>0</v>
      </c>
      <c r="Q3475">
        <v>0</v>
      </c>
      <c r="R3475" t="s">
        <v>46572</v>
      </c>
      <c r="S3475" t="s">
        <v>46689</v>
      </c>
      <c r="T3475" t="s">
        <v>48220</v>
      </c>
      <c r="U3475" t="s">
        <v>51672</v>
      </c>
      <c r="V3475" t="s">
        <v>61748</v>
      </c>
      <c r="W3475" t="s">
        <v>42666</v>
      </c>
      <c r="X3475" t="s">
        <v>46573</v>
      </c>
    </row>
    <row r="3476" spans="1:24">
      <c r="A3476">
        <f>HYPERLINK("https://www.philgeps.gov.ph/GEPSNONPILOT/Tender/SplashBidNoticeAbstractUI.aspx?menuIndex=3&amp;refID=7062951&amp;Result=3","7062951")</f>
        <v>0</v>
      </c>
      <c r="B3476" t="s">
        <v>738</v>
      </c>
      <c r="C3476" t="s">
        <v>6880</v>
      </c>
      <c r="D3476" t="s">
        <v>18842</v>
      </c>
      <c r="E3476" t="s">
        <v>22031</v>
      </c>
      <c r="F3476" t="s">
        <v>32664</v>
      </c>
      <c r="G3476" t="s">
        <v>32671</v>
      </c>
      <c r="H3476" t="s">
        <v>12635</v>
      </c>
      <c r="I3476" t="s">
        <v>32745</v>
      </c>
      <c r="J3476" t="s">
        <v>35151</v>
      </c>
      <c r="K3476" t="s">
        <v>42283</v>
      </c>
      <c r="M3476" t="s">
        <v>43327</v>
      </c>
      <c r="N3476" t="s">
        <v>46569</v>
      </c>
      <c r="O3476" t="s">
        <v>46570</v>
      </c>
      <c r="P3476">
        <v>0</v>
      </c>
      <c r="Q3476">
        <v>0</v>
      </c>
      <c r="R3476" t="s">
        <v>46572</v>
      </c>
      <c r="S3476" t="s">
        <v>46689</v>
      </c>
      <c r="T3476" t="s">
        <v>48268</v>
      </c>
      <c r="U3476" t="s">
        <v>51673</v>
      </c>
      <c r="W3476" t="s">
        <v>43327</v>
      </c>
      <c r="X3476" t="s">
        <v>46573</v>
      </c>
    </row>
    <row r="3477" spans="1:24">
      <c r="A3477">
        <f>HYPERLINK("https://www.philgeps.gov.ph/GEPSNONPILOT/Tender/SplashBidNoticeAbstractUI.aspx?menuIndex=3&amp;refID=7062950&amp;Result=3","7062950")</f>
        <v>0</v>
      </c>
      <c r="B3477" t="s">
        <v>1354</v>
      </c>
      <c r="C3477" t="s">
        <v>6881</v>
      </c>
      <c r="D3477" t="s">
        <v>18799</v>
      </c>
      <c r="E3477" t="s">
        <v>22032</v>
      </c>
      <c r="F3477" t="s">
        <v>32664</v>
      </c>
      <c r="G3477" t="s">
        <v>32672</v>
      </c>
      <c r="H3477" t="s">
        <v>32683</v>
      </c>
      <c r="I3477" t="s">
        <v>10627</v>
      </c>
      <c r="J3477" t="s">
        <v>32962</v>
      </c>
      <c r="K3477" t="s">
        <v>42290</v>
      </c>
      <c r="M3477" t="s">
        <v>44006</v>
      </c>
      <c r="N3477" t="s">
        <v>46569</v>
      </c>
      <c r="O3477" t="s">
        <v>46570</v>
      </c>
      <c r="P3477">
        <v>0</v>
      </c>
      <c r="Q3477">
        <v>0</v>
      </c>
      <c r="R3477" t="s">
        <v>46572</v>
      </c>
      <c r="S3477" t="s">
        <v>46689</v>
      </c>
      <c r="T3477" t="s">
        <v>48285</v>
      </c>
      <c r="U3477" t="s">
        <v>51674</v>
      </c>
      <c r="V3477" t="s">
        <v>61977</v>
      </c>
      <c r="W3477" t="s">
        <v>44006</v>
      </c>
      <c r="X3477" t="s">
        <v>46573</v>
      </c>
    </row>
    <row r="3478" spans="1:24">
      <c r="A3478">
        <f>HYPERLINK("https://www.philgeps.gov.ph/GEPSNONPILOT/Tender/SplashBidNoticeAbstractUI.aspx?menuIndex=3&amp;refID=7062868&amp;Result=3","7062868")</f>
        <v>0</v>
      </c>
      <c r="B3478" t="s">
        <v>1198</v>
      </c>
      <c r="C3478" t="s">
        <v>6882</v>
      </c>
      <c r="D3478" t="s">
        <v>18842</v>
      </c>
      <c r="E3478" t="s">
        <v>22033</v>
      </c>
      <c r="F3478" t="s">
        <v>32664</v>
      </c>
      <c r="G3478" t="s">
        <v>32671</v>
      </c>
      <c r="H3478" t="s">
        <v>12635</v>
      </c>
      <c r="I3478" t="s">
        <v>32718</v>
      </c>
      <c r="J3478" t="s">
        <v>33477</v>
      </c>
      <c r="K3478" t="s">
        <v>42347</v>
      </c>
      <c r="M3478" t="s">
        <v>43835</v>
      </c>
      <c r="N3478" t="s">
        <v>46569</v>
      </c>
      <c r="O3478" t="s">
        <v>46570</v>
      </c>
      <c r="P3478">
        <v>0</v>
      </c>
      <c r="Q3478">
        <v>1</v>
      </c>
      <c r="R3478" t="s">
        <v>46572</v>
      </c>
      <c r="S3478" t="s">
        <v>46689</v>
      </c>
      <c r="T3478" t="s">
        <v>48219</v>
      </c>
      <c r="U3478" t="s">
        <v>51324</v>
      </c>
      <c r="W3478" t="s">
        <v>43835</v>
      </c>
      <c r="X3478" t="s">
        <v>46573</v>
      </c>
    </row>
    <row r="3479" spans="1:24">
      <c r="A3479">
        <f>HYPERLINK("https://www.philgeps.gov.ph/GEPSNONPILOT/Tender/SplashBidNoticeAbstractUI.aspx?menuIndex=3&amp;refID=7062948&amp;Result=3","7062948")</f>
        <v>0</v>
      </c>
      <c r="B3479" t="s">
        <v>1102</v>
      </c>
      <c r="C3479" t="s">
        <v>4254</v>
      </c>
      <c r="D3479" t="s">
        <v>18784</v>
      </c>
      <c r="E3479" t="s">
        <v>22034</v>
      </c>
      <c r="F3479" t="s">
        <v>32664</v>
      </c>
      <c r="G3479" t="s">
        <v>32674</v>
      </c>
      <c r="H3479" t="s">
        <v>12635</v>
      </c>
      <c r="I3479" t="s">
        <v>6168</v>
      </c>
      <c r="J3479" t="s">
        <v>34624</v>
      </c>
      <c r="K3479" t="s">
        <v>42283</v>
      </c>
      <c r="M3479" t="s">
        <v>43729</v>
      </c>
      <c r="N3479" t="s">
        <v>46569</v>
      </c>
      <c r="O3479" t="s">
        <v>46570</v>
      </c>
      <c r="P3479">
        <v>0</v>
      </c>
      <c r="Q3479">
        <v>1</v>
      </c>
      <c r="R3479" t="s">
        <v>46572</v>
      </c>
      <c r="S3479" t="s">
        <v>46689</v>
      </c>
      <c r="T3479" t="s">
        <v>48316</v>
      </c>
      <c r="U3479" t="s">
        <v>51675</v>
      </c>
      <c r="W3479" t="s">
        <v>43729</v>
      </c>
      <c r="X3479" t="s">
        <v>46573</v>
      </c>
    </row>
    <row r="3480" spans="1:24">
      <c r="A3480">
        <f>HYPERLINK("https://www.philgeps.gov.ph/GEPSNONPILOT/Tender/SplashBidNoticeAbstractUI.aspx?menuIndex=3&amp;refID=7062947&amp;Result=3","7062947")</f>
        <v>0</v>
      </c>
      <c r="B3480" t="s">
        <v>912</v>
      </c>
      <c r="C3480" t="s">
        <v>6883</v>
      </c>
      <c r="D3480" t="s">
        <v>18784</v>
      </c>
      <c r="E3480" t="s">
        <v>22035</v>
      </c>
      <c r="F3480" t="s">
        <v>32664</v>
      </c>
      <c r="G3480" t="s">
        <v>32671</v>
      </c>
      <c r="H3480" t="s">
        <v>12635</v>
      </c>
      <c r="I3480" t="s">
        <v>7703</v>
      </c>
      <c r="J3480" t="s">
        <v>34436</v>
      </c>
      <c r="K3480" t="s">
        <v>42284</v>
      </c>
      <c r="M3480" t="s">
        <v>43518</v>
      </c>
      <c r="N3480" t="s">
        <v>46569</v>
      </c>
      <c r="O3480" t="s">
        <v>46570</v>
      </c>
      <c r="P3480">
        <v>0</v>
      </c>
      <c r="Q3480">
        <v>1</v>
      </c>
      <c r="R3480" t="s">
        <v>46572</v>
      </c>
      <c r="S3480" t="s">
        <v>46689</v>
      </c>
      <c r="T3480" t="s">
        <v>48221</v>
      </c>
      <c r="U3480" t="s">
        <v>51676</v>
      </c>
      <c r="W3480" t="s">
        <v>43518</v>
      </c>
      <c r="X3480" t="s">
        <v>46573</v>
      </c>
    </row>
    <row r="3481" spans="1:24">
      <c r="A3481">
        <f>HYPERLINK("https://www.philgeps.gov.ph/GEPSNONPILOT/Tender/SplashBidNoticeAbstractUI.aspx?menuIndex=3&amp;refID=7062952&amp;Result=3","7062952")</f>
        <v>0</v>
      </c>
      <c r="B3481" t="s">
        <v>102</v>
      </c>
      <c r="C3481" t="s">
        <v>6884</v>
      </c>
      <c r="D3481" t="s">
        <v>18788</v>
      </c>
      <c r="E3481" t="s">
        <v>22036</v>
      </c>
      <c r="F3481" t="s">
        <v>32664</v>
      </c>
      <c r="G3481" t="s">
        <v>32677</v>
      </c>
      <c r="H3481" t="s">
        <v>32683</v>
      </c>
      <c r="I3481" t="s">
        <v>10627</v>
      </c>
      <c r="J3481" t="s">
        <v>35152</v>
      </c>
      <c r="K3481" t="s">
        <v>42289</v>
      </c>
      <c r="M3481" t="s">
        <v>42666</v>
      </c>
      <c r="N3481" t="s">
        <v>46569</v>
      </c>
      <c r="O3481" t="s">
        <v>46570</v>
      </c>
      <c r="P3481">
        <v>0</v>
      </c>
      <c r="Q3481">
        <v>0</v>
      </c>
      <c r="R3481" t="s">
        <v>46572</v>
      </c>
      <c r="S3481" t="s">
        <v>46689</v>
      </c>
      <c r="T3481" t="s">
        <v>48248</v>
      </c>
      <c r="U3481" t="s">
        <v>51677</v>
      </c>
      <c r="W3481" t="s">
        <v>42666</v>
      </c>
      <c r="X3481" t="s">
        <v>46573</v>
      </c>
    </row>
    <row r="3482" spans="1:24">
      <c r="A3482">
        <f>HYPERLINK("https://www.philgeps.gov.ph/GEPSNONPILOT/Tender/SplashBidNoticeAbstractUI.aspx?menuIndex=3&amp;refID=7062939&amp;Result=3","7062939")</f>
        <v>0</v>
      </c>
      <c r="B3482" t="s">
        <v>1210</v>
      </c>
      <c r="C3482" t="s">
        <v>6885</v>
      </c>
      <c r="D3482" t="s">
        <v>18788</v>
      </c>
      <c r="E3482" t="s">
        <v>22037</v>
      </c>
      <c r="F3482" t="s">
        <v>32664</v>
      </c>
      <c r="G3482" t="s">
        <v>32677</v>
      </c>
      <c r="H3482" t="s">
        <v>32683</v>
      </c>
      <c r="I3482" t="s">
        <v>10627</v>
      </c>
      <c r="J3482" t="s">
        <v>35153</v>
      </c>
      <c r="K3482" t="s">
        <v>42283</v>
      </c>
      <c r="M3482" t="s">
        <v>43848</v>
      </c>
      <c r="N3482" t="s">
        <v>46569</v>
      </c>
      <c r="O3482" t="s">
        <v>46570</v>
      </c>
      <c r="P3482">
        <v>0</v>
      </c>
      <c r="Q3482">
        <v>0</v>
      </c>
      <c r="R3482" t="s">
        <v>46572</v>
      </c>
      <c r="S3482" t="s">
        <v>46689</v>
      </c>
      <c r="T3482" t="s">
        <v>48226</v>
      </c>
      <c r="U3482" t="s">
        <v>51362</v>
      </c>
      <c r="W3482" t="s">
        <v>43848</v>
      </c>
      <c r="X3482" t="s">
        <v>46573</v>
      </c>
    </row>
    <row r="3483" spans="1:24">
      <c r="A3483">
        <f>HYPERLINK("https://www.philgeps.gov.ph/GEPSNONPILOT/Tender/SplashBidNoticeAbstractUI.aspx?menuIndex=3&amp;refID=7062955&amp;Result=3","7062955")</f>
        <v>0</v>
      </c>
      <c r="B3483" t="s">
        <v>220</v>
      </c>
      <c r="C3483" t="s">
        <v>6886</v>
      </c>
      <c r="D3483" t="s">
        <v>18788</v>
      </c>
      <c r="E3483" t="s">
        <v>22038</v>
      </c>
      <c r="F3483" t="s">
        <v>32664</v>
      </c>
      <c r="G3483" t="s">
        <v>32672</v>
      </c>
      <c r="H3483" t="s">
        <v>12635</v>
      </c>
      <c r="I3483" t="s">
        <v>4439</v>
      </c>
      <c r="J3483" t="s">
        <v>35154</v>
      </c>
      <c r="K3483" t="s">
        <v>42297</v>
      </c>
      <c r="L3483" t="s">
        <v>220</v>
      </c>
      <c r="M3483" t="s">
        <v>42784</v>
      </c>
      <c r="N3483" t="s">
        <v>46569</v>
      </c>
      <c r="O3483" t="s">
        <v>46570</v>
      </c>
      <c r="P3483">
        <v>0</v>
      </c>
      <c r="Q3483">
        <v>0</v>
      </c>
      <c r="R3483" t="s">
        <v>46572</v>
      </c>
      <c r="S3483" t="s">
        <v>46689</v>
      </c>
      <c r="T3483" t="s">
        <v>48308</v>
      </c>
      <c r="U3483" t="s">
        <v>49167</v>
      </c>
      <c r="W3483" t="s">
        <v>42784</v>
      </c>
      <c r="X3483" t="s">
        <v>46573</v>
      </c>
    </row>
    <row r="3484" spans="1:24">
      <c r="A3484">
        <f>HYPERLINK("https://www.philgeps.gov.ph/GEPSNONPILOT/Tender/SplashBidNoticeAbstractUI.aspx?menuIndex=3&amp;refID=7062825&amp;Result=3","7062825")</f>
        <v>0</v>
      </c>
      <c r="B3484" t="s">
        <v>690</v>
      </c>
      <c r="C3484" t="s">
        <v>6887</v>
      </c>
      <c r="D3484" t="s">
        <v>18781</v>
      </c>
      <c r="E3484" t="s">
        <v>22039</v>
      </c>
      <c r="F3484" t="s">
        <v>32664</v>
      </c>
      <c r="G3484" t="s">
        <v>32672</v>
      </c>
      <c r="H3484" t="s">
        <v>32683</v>
      </c>
      <c r="I3484" t="s">
        <v>10627</v>
      </c>
      <c r="J3484" t="s">
        <v>34075</v>
      </c>
      <c r="K3484" t="s">
        <v>42395</v>
      </c>
      <c r="L3484" t="s">
        <v>690</v>
      </c>
      <c r="M3484" t="s">
        <v>43277</v>
      </c>
      <c r="N3484" t="s">
        <v>46569</v>
      </c>
      <c r="O3484" t="s">
        <v>46570</v>
      </c>
      <c r="P3484">
        <v>0</v>
      </c>
      <c r="Q3484">
        <v>1</v>
      </c>
      <c r="R3484" t="s">
        <v>46572</v>
      </c>
      <c r="S3484" t="s">
        <v>46689</v>
      </c>
      <c r="T3484" t="s">
        <v>48362</v>
      </c>
      <c r="U3484" t="s">
        <v>51586</v>
      </c>
      <c r="W3484" t="s">
        <v>43277</v>
      </c>
      <c r="X3484" t="s">
        <v>46573</v>
      </c>
    </row>
    <row r="3485" spans="1:24">
      <c r="A3485">
        <f>HYPERLINK("https://www.philgeps.gov.ph/GEPSNONPILOT/Tender/SplashBidNoticeAbstractUI.aspx?menuIndex=3&amp;refID=7062984&amp;Result=3","7062984")</f>
        <v>0</v>
      </c>
      <c r="B3485" t="s">
        <v>1355</v>
      </c>
      <c r="C3485" t="s">
        <v>6888</v>
      </c>
      <c r="D3485" t="s">
        <v>18831</v>
      </c>
      <c r="E3485" t="s">
        <v>19010</v>
      </c>
      <c r="F3485" t="s">
        <v>32664</v>
      </c>
      <c r="G3485" t="s">
        <v>32671</v>
      </c>
      <c r="H3485" t="s">
        <v>12635</v>
      </c>
      <c r="I3485" t="s">
        <v>8730</v>
      </c>
      <c r="J3485" t="s">
        <v>35155</v>
      </c>
      <c r="K3485" t="s">
        <v>42283</v>
      </c>
      <c r="M3485" t="s">
        <v>44007</v>
      </c>
      <c r="N3485" t="s">
        <v>46569</v>
      </c>
      <c r="O3485" t="s">
        <v>46570</v>
      </c>
      <c r="P3485">
        <v>0</v>
      </c>
      <c r="Q3485">
        <v>6</v>
      </c>
      <c r="R3485" t="s">
        <v>46572</v>
      </c>
      <c r="S3485" t="s">
        <v>46689</v>
      </c>
      <c r="T3485" t="s">
        <v>48256</v>
      </c>
      <c r="U3485" t="s">
        <v>51678</v>
      </c>
      <c r="W3485" t="s">
        <v>44007</v>
      </c>
      <c r="X3485" t="s">
        <v>46573</v>
      </c>
    </row>
    <row r="3486" spans="1:24">
      <c r="A3486">
        <f>HYPERLINK("https://www.philgeps.gov.ph/GEPSNONPILOT/Tender/SplashBidNoticeAbstractUI.aspx?menuIndex=3&amp;refID=7062946&amp;Result=3","7062946")</f>
        <v>0</v>
      </c>
      <c r="B3486" t="s">
        <v>1055</v>
      </c>
      <c r="C3486" t="s">
        <v>6889</v>
      </c>
      <c r="E3486" t="s">
        <v>22040</v>
      </c>
      <c r="F3486" t="s">
        <v>32664</v>
      </c>
      <c r="G3486" t="s">
        <v>32671</v>
      </c>
      <c r="H3486" t="s">
        <v>12635</v>
      </c>
      <c r="I3486" t="s">
        <v>32701</v>
      </c>
      <c r="J3486" t="s">
        <v>33015</v>
      </c>
      <c r="K3486" t="s">
        <v>42283</v>
      </c>
      <c r="M3486" t="s">
        <v>44008</v>
      </c>
      <c r="N3486" t="s">
        <v>46569</v>
      </c>
      <c r="O3486" t="s">
        <v>46570</v>
      </c>
      <c r="P3486">
        <v>0</v>
      </c>
      <c r="Q3486">
        <v>0</v>
      </c>
      <c r="R3486" t="s">
        <v>46572</v>
      </c>
      <c r="S3486" t="s">
        <v>46689</v>
      </c>
      <c r="T3486" t="s">
        <v>48482</v>
      </c>
      <c r="U3486" t="s">
        <v>51679</v>
      </c>
      <c r="V3486" t="s">
        <v>61978</v>
      </c>
      <c r="W3486" t="s">
        <v>44008</v>
      </c>
      <c r="X3486" t="s">
        <v>46573</v>
      </c>
    </row>
    <row r="3487" spans="1:24">
      <c r="A3487">
        <f>HYPERLINK("https://www.philgeps.gov.ph/GEPSNONPILOT/Tender/SplashBidNoticeAbstractUI.aspx?menuIndex=3&amp;refID=7062959&amp;Result=3","7062959")</f>
        <v>0</v>
      </c>
      <c r="B3487" t="s">
        <v>396</v>
      </c>
      <c r="C3487" t="s">
        <v>6890</v>
      </c>
      <c r="D3487" t="s">
        <v>18790</v>
      </c>
      <c r="E3487" t="s">
        <v>22041</v>
      </c>
      <c r="F3487" t="s">
        <v>32664</v>
      </c>
      <c r="G3487" t="s">
        <v>32672</v>
      </c>
      <c r="H3487" t="s">
        <v>12635</v>
      </c>
      <c r="I3487" t="s">
        <v>4439</v>
      </c>
      <c r="J3487" t="s">
        <v>35156</v>
      </c>
      <c r="K3487" t="s">
        <v>42297</v>
      </c>
      <c r="M3487" t="s">
        <v>42966</v>
      </c>
      <c r="N3487" t="s">
        <v>46569</v>
      </c>
      <c r="O3487" t="s">
        <v>46570</v>
      </c>
      <c r="P3487">
        <v>0</v>
      </c>
      <c r="Q3487">
        <v>0</v>
      </c>
      <c r="R3487" t="s">
        <v>46572</v>
      </c>
      <c r="S3487" t="s">
        <v>46689</v>
      </c>
      <c r="T3487" t="s">
        <v>48225</v>
      </c>
      <c r="U3487" t="s">
        <v>51680</v>
      </c>
      <c r="W3487" t="s">
        <v>42966</v>
      </c>
      <c r="X3487" t="s">
        <v>46573</v>
      </c>
    </row>
    <row r="3488" spans="1:24">
      <c r="A3488">
        <f>HYPERLINK("https://www.philgeps.gov.ph/GEPSNONPILOT/Tender/SplashBidNoticeAbstractUI.aspx?menuIndex=3&amp;refID=7062945&amp;Result=3","7062945")</f>
        <v>0</v>
      </c>
      <c r="B3488" t="s">
        <v>1356</v>
      </c>
      <c r="C3488" t="s">
        <v>6891</v>
      </c>
      <c r="D3488" t="s">
        <v>18805</v>
      </c>
      <c r="E3488" t="s">
        <v>22042</v>
      </c>
      <c r="F3488" t="s">
        <v>32664</v>
      </c>
      <c r="G3488" t="s">
        <v>32671</v>
      </c>
      <c r="H3488" t="s">
        <v>12635</v>
      </c>
      <c r="I3488" t="s">
        <v>32708</v>
      </c>
      <c r="J3488" t="s">
        <v>35157</v>
      </c>
      <c r="K3488" t="s">
        <v>42306</v>
      </c>
      <c r="M3488" t="s">
        <v>44009</v>
      </c>
      <c r="N3488" t="s">
        <v>46569</v>
      </c>
      <c r="O3488" t="s">
        <v>46570</v>
      </c>
      <c r="P3488">
        <v>0</v>
      </c>
      <c r="Q3488">
        <v>3</v>
      </c>
      <c r="R3488" t="s">
        <v>46572</v>
      </c>
      <c r="S3488" t="s">
        <v>46689</v>
      </c>
      <c r="T3488" t="s">
        <v>48219</v>
      </c>
      <c r="U3488" t="s">
        <v>51681</v>
      </c>
      <c r="V3488" t="s">
        <v>61979</v>
      </c>
      <c r="W3488" t="s">
        <v>44009</v>
      </c>
      <c r="X3488" t="s">
        <v>46573</v>
      </c>
    </row>
    <row r="3489" spans="1:24">
      <c r="A3489">
        <f>HYPERLINK("https://www.philgeps.gov.ph/GEPSNONPILOT/Tender/SplashBidNoticeAbstractUI.aspx?menuIndex=3&amp;refID=7062983&amp;Result=3","7062983")</f>
        <v>0</v>
      </c>
      <c r="B3489" t="s">
        <v>441</v>
      </c>
      <c r="C3489" t="s">
        <v>6892</v>
      </c>
      <c r="D3489" t="s">
        <v>18805</v>
      </c>
      <c r="E3489" t="s">
        <v>22043</v>
      </c>
      <c r="F3489" t="s">
        <v>32664</v>
      </c>
      <c r="G3489" t="s">
        <v>32671</v>
      </c>
      <c r="H3489" t="s">
        <v>12635</v>
      </c>
      <c r="I3489" t="s">
        <v>6628</v>
      </c>
      <c r="J3489" t="s">
        <v>34693</v>
      </c>
      <c r="K3489" t="s">
        <v>42281</v>
      </c>
      <c r="M3489" t="s">
        <v>44010</v>
      </c>
      <c r="N3489" t="s">
        <v>46569</v>
      </c>
      <c r="O3489" t="s">
        <v>46570</v>
      </c>
      <c r="P3489">
        <v>0</v>
      </c>
      <c r="Q3489">
        <v>0</v>
      </c>
      <c r="R3489" t="s">
        <v>46572</v>
      </c>
      <c r="S3489" t="s">
        <v>46689</v>
      </c>
      <c r="T3489" t="s">
        <v>48221</v>
      </c>
      <c r="U3489" t="s">
        <v>51682</v>
      </c>
      <c r="W3489" t="s">
        <v>44010</v>
      </c>
      <c r="X3489" t="s">
        <v>46573</v>
      </c>
    </row>
    <row r="3490" spans="1:24">
      <c r="A3490">
        <f>HYPERLINK("https://www.philgeps.gov.ph/GEPSNONPILOT/Tender/SplashBidNoticeAbstractUI.aspx?menuIndex=3&amp;refID=7062949&amp;Result=3","7062949")</f>
        <v>0</v>
      </c>
      <c r="B3490" t="s">
        <v>1357</v>
      </c>
      <c r="C3490" t="s">
        <v>6893</v>
      </c>
      <c r="D3490" t="s">
        <v>18831</v>
      </c>
      <c r="E3490" t="s">
        <v>22044</v>
      </c>
      <c r="F3490" t="s">
        <v>32664</v>
      </c>
      <c r="G3490" t="s">
        <v>32674</v>
      </c>
      <c r="H3490" t="s">
        <v>12635</v>
      </c>
      <c r="I3490" t="s">
        <v>6168</v>
      </c>
      <c r="J3490" t="s">
        <v>34207</v>
      </c>
      <c r="K3490" t="s">
        <v>42289</v>
      </c>
      <c r="M3490" t="s">
        <v>44011</v>
      </c>
      <c r="N3490" t="s">
        <v>46569</v>
      </c>
      <c r="O3490" t="s">
        <v>46570</v>
      </c>
      <c r="P3490">
        <v>0</v>
      </c>
      <c r="Q3490">
        <v>0</v>
      </c>
      <c r="R3490" t="s">
        <v>46572</v>
      </c>
      <c r="S3490" t="s">
        <v>46689</v>
      </c>
      <c r="T3490" t="s">
        <v>48427</v>
      </c>
      <c r="U3490" t="s">
        <v>51683</v>
      </c>
      <c r="V3490" t="s">
        <v>61980</v>
      </c>
      <c r="W3490" t="s">
        <v>44011</v>
      </c>
      <c r="X3490" t="s">
        <v>46573</v>
      </c>
    </row>
    <row r="3491" spans="1:24">
      <c r="A3491">
        <f>HYPERLINK("https://www.philgeps.gov.ph/GEPSNONPILOT/Tender/SplashBidNoticeAbstractUI.aspx?menuIndex=3&amp;refID=7062977&amp;Result=3","7062977")</f>
        <v>0</v>
      </c>
      <c r="B3491" t="s">
        <v>1358</v>
      </c>
      <c r="C3491" t="s">
        <v>6894</v>
      </c>
      <c r="D3491" t="s">
        <v>18782</v>
      </c>
      <c r="E3491" t="s">
        <v>19010</v>
      </c>
      <c r="F3491" t="s">
        <v>32664</v>
      </c>
      <c r="G3491" t="s">
        <v>32674</v>
      </c>
      <c r="H3491" t="s">
        <v>12635</v>
      </c>
      <c r="I3491" t="s">
        <v>32730</v>
      </c>
      <c r="J3491" t="s">
        <v>35158</v>
      </c>
      <c r="K3491" t="s">
        <v>42295</v>
      </c>
      <c r="M3491" t="s">
        <v>44012</v>
      </c>
      <c r="N3491" t="s">
        <v>46569</v>
      </c>
      <c r="O3491" t="s">
        <v>46570</v>
      </c>
      <c r="P3491">
        <v>0</v>
      </c>
      <c r="Q3491">
        <v>0</v>
      </c>
      <c r="R3491" t="s">
        <v>46572</v>
      </c>
      <c r="S3491" t="s">
        <v>46689</v>
      </c>
      <c r="T3491" t="s">
        <v>48254</v>
      </c>
      <c r="U3491" t="s">
        <v>51684</v>
      </c>
      <c r="W3491" t="s">
        <v>44012</v>
      </c>
      <c r="X3491" t="s">
        <v>46573</v>
      </c>
    </row>
    <row r="3492" spans="1:24">
      <c r="A3492">
        <f>HYPERLINK("https://www.philgeps.gov.ph/GEPSNONPILOT/Tender/SplashBidNoticeAbstractUI.aspx?menuIndex=3&amp;refID=7062979&amp;Result=3","7062979")</f>
        <v>0</v>
      </c>
      <c r="B3492" t="s">
        <v>1359</v>
      </c>
      <c r="C3492" t="s">
        <v>6895</v>
      </c>
      <c r="D3492" t="s">
        <v>18830</v>
      </c>
      <c r="E3492" t="s">
        <v>22045</v>
      </c>
      <c r="F3492" t="s">
        <v>32664</v>
      </c>
      <c r="G3492" t="s">
        <v>32671</v>
      </c>
      <c r="H3492" t="s">
        <v>12635</v>
      </c>
      <c r="I3492" t="s">
        <v>32764</v>
      </c>
      <c r="J3492" t="s">
        <v>35159</v>
      </c>
      <c r="K3492" t="s">
        <v>42342</v>
      </c>
      <c r="M3492" t="s">
        <v>44013</v>
      </c>
      <c r="N3492" t="s">
        <v>46569</v>
      </c>
      <c r="O3492" t="s">
        <v>46570</v>
      </c>
      <c r="P3492">
        <v>0</v>
      </c>
      <c r="Q3492">
        <v>6</v>
      </c>
      <c r="R3492" t="s">
        <v>46572</v>
      </c>
      <c r="S3492" t="s">
        <v>46689</v>
      </c>
      <c r="T3492" t="s">
        <v>48280</v>
      </c>
      <c r="U3492" t="s">
        <v>51685</v>
      </c>
      <c r="W3492" t="s">
        <v>44013</v>
      </c>
      <c r="X3492" t="s">
        <v>46573</v>
      </c>
    </row>
    <row r="3493" spans="1:24">
      <c r="A3493">
        <f>HYPERLINK("https://www.philgeps.gov.ph/GEPSNONPILOT/Tender/SplashBidNoticeAbstractUI.aspx?menuIndex=3&amp;refID=7062976&amp;Result=3","7062976")</f>
        <v>0</v>
      </c>
      <c r="B3493" t="s">
        <v>1210</v>
      </c>
      <c r="C3493" t="s">
        <v>6896</v>
      </c>
      <c r="D3493" t="s">
        <v>18788</v>
      </c>
      <c r="E3493" t="s">
        <v>22046</v>
      </c>
      <c r="F3493" t="s">
        <v>32664</v>
      </c>
      <c r="G3493" t="s">
        <v>32672</v>
      </c>
      <c r="H3493" t="s">
        <v>32683</v>
      </c>
      <c r="I3493" t="s">
        <v>10627</v>
      </c>
      <c r="J3493" t="s">
        <v>35160</v>
      </c>
      <c r="K3493" t="s">
        <v>42283</v>
      </c>
      <c r="M3493" t="s">
        <v>43848</v>
      </c>
      <c r="N3493" t="s">
        <v>46569</v>
      </c>
      <c r="O3493" t="s">
        <v>46570</v>
      </c>
      <c r="P3493">
        <v>0</v>
      </c>
      <c r="Q3493">
        <v>0</v>
      </c>
      <c r="R3493" t="s">
        <v>46572</v>
      </c>
      <c r="S3493" t="s">
        <v>46689</v>
      </c>
      <c r="T3493" t="s">
        <v>48226</v>
      </c>
      <c r="U3493" t="s">
        <v>51362</v>
      </c>
      <c r="W3493" t="s">
        <v>43848</v>
      </c>
      <c r="X3493" t="s">
        <v>46573</v>
      </c>
    </row>
    <row r="3494" spans="1:24">
      <c r="A3494">
        <f>HYPERLINK("https://www.philgeps.gov.ph/GEPSNONPILOT/Tender/SplashBidNoticeAbstractUI.aspx?menuIndex=3&amp;refID=7062974&amp;Result=3","7062974")</f>
        <v>0</v>
      </c>
      <c r="B3494" t="s">
        <v>881</v>
      </c>
      <c r="C3494" t="s">
        <v>6118</v>
      </c>
      <c r="D3494" t="s">
        <v>18836</v>
      </c>
      <c r="E3494" t="s">
        <v>22047</v>
      </c>
      <c r="F3494" t="s">
        <v>32664</v>
      </c>
      <c r="G3494" t="s">
        <v>32674</v>
      </c>
      <c r="H3494" t="s">
        <v>12635</v>
      </c>
      <c r="I3494" t="s">
        <v>6118</v>
      </c>
      <c r="J3494" t="s">
        <v>35161</v>
      </c>
      <c r="K3494" t="s">
        <v>42284</v>
      </c>
      <c r="M3494" t="s">
        <v>43481</v>
      </c>
      <c r="N3494" t="s">
        <v>46569</v>
      </c>
      <c r="O3494" t="s">
        <v>46570</v>
      </c>
      <c r="P3494">
        <v>0</v>
      </c>
      <c r="Q3494">
        <v>0</v>
      </c>
      <c r="R3494" t="s">
        <v>46572</v>
      </c>
      <c r="S3494" t="s">
        <v>46689</v>
      </c>
      <c r="T3494" t="s">
        <v>48244</v>
      </c>
      <c r="U3494" t="s">
        <v>51596</v>
      </c>
      <c r="W3494" t="s">
        <v>43481</v>
      </c>
      <c r="X3494" t="s">
        <v>46573</v>
      </c>
    </row>
    <row r="3495" spans="1:24">
      <c r="A3495">
        <f>HYPERLINK("https://www.philgeps.gov.ph/GEPSNONPILOT/Tender/SplashBidNoticeAbstractUI.aspx?menuIndex=3&amp;refID=7062981&amp;Result=3","7062981")</f>
        <v>0</v>
      </c>
      <c r="B3495" t="s">
        <v>594</v>
      </c>
      <c r="C3495" t="s">
        <v>6897</v>
      </c>
      <c r="D3495" t="s">
        <v>18784</v>
      </c>
      <c r="E3495" t="s">
        <v>22048</v>
      </c>
      <c r="F3495" t="s">
        <v>32664</v>
      </c>
      <c r="G3495" t="s">
        <v>32674</v>
      </c>
      <c r="H3495" t="s">
        <v>12635</v>
      </c>
      <c r="I3495" t="s">
        <v>9486</v>
      </c>
      <c r="J3495" t="s">
        <v>35162</v>
      </c>
      <c r="K3495" t="s">
        <v>42297</v>
      </c>
      <c r="M3495" t="s">
        <v>43721</v>
      </c>
      <c r="N3495" t="s">
        <v>46569</v>
      </c>
      <c r="O3495" t="s">
        <v>46570</v>
      </c>
      <c r="P3495">
        <v>0</v>
      </c>
      <c r="Q3495">
        <v>2</v>
      </c>
      <c r="R3495" t="s">
        <v>46572</v>
      </c>
      <c r="S3495" t="s">
        <v>46689</v>
      </c>
      <c r="T3495" t="s">
        <v>48461</v>
      </c>
      <c r="U3495" t="s">
        <v>51686</v>
      </c>
      <c r="V3495" t="s">
        <v>61897</v>
      </c>
      <c r="W3495" t="s">
        <v>43721</v>
      </c>
      <c r="X3495" t="s">
        <v>46573</v>
      </c>
    </row>
    <row r="3496" spans="1:24">
      <c r="A3496">
        <f>HYPERLINK("https://www.philgeps.gov.ph/GEPSNONPILOT/Tender/SplashBidNoticeAbstractUI.aspx?menuIndex=3&amp;refID=7062978&amp;Result=3","7062978")</f>
        <v>0</v>
      </c>
      <c r="B3496" t="s">
        <v>102</v>
      </c>
      <c r="C3496" t="s">
        <v>6898</v>
      </c>
      <c r="D3496" t="s">
        <v>18788</v>
      </c>
      <c r="E3496" t="s">
        <v>22049</v>
      </c>
      <c r="F3496" t="s">
        <v>32664</v>
      </c>
      <c r="G3496" t="s">
        <v>32677</v>
      </c>
      <c r="H3496" t="s">
        <v>32683</v>
      </c>
      <c r="I3496" t="s">
        <v>10627</v>
      </c>
      <c r="J3496" t="s">
        <v>35146</v>
      </c>
      <c r="K3496" t="s">
        <v>42289</v>
      </c>
      <c r="M3496" t="s">
        <v>42666</v>
      </c>
      <c r="N3496" t="s">
        <v>46569</v>
      </c>
      <c r="O3496" t="s">
        <v>46570</v>
      </c>
      <c r="P3496">
        <v>0</v>
      </c>
      <c r="Q3496">
        <v>0</v>
      </c>
      <c r="R3496" t="s">
        <v>46572</v>
      </c>
      <c r="S3496" t="s">
        <v>46689</v>
      </c>
      <c r="T3496" t="s">
        <v>48248</v>
      </c>
      <c r="U3496" t="s">
        <v>51667</v>
      </c>
      <c r="W3496" t="s">
        <v>42666</v>
      </c>
      <c r="X3496" t="s">
        <v>46573</v>
      </c>
    </row>
    <row r="3497" spans="1:24">
      <c r="A3497">
        <f>HYPERLINK("https://www.philgeps.gov.ph/GEPSNONPILOT/Tender/SplashBidNoticeAbstractUI.aspx?menuIndex=3&amp;refID=7062971&amp;Result=3","7062971")</f>
        <v>0</v>
      </c>
      <c r="B3497" t="s">
        <v>1360</v>
      </c>
      <c r="C3497" t="s">
        <v>6899</v>
      </c>
      <c r="D3497" t="s">
        <v>18806</v>
      </c>
      <c r="E3497" t="s">
        <v>22050</v>
      </c>
      <c r="F3497" t="s">
        <v>32664</v>
      </c>
      <c r="G3497" t="s">
        <v>32674</v>
      </c>
      <c r="H3497" t="s">
        <v>12635</v>
      </c>
      <c r="I3497" t="s">
        <v>6628</v>
      </c>
      <c r="J3497" t="s">
        <v>33015</v>
      </c>
      <c r="K3497" t="s">
        <v>42284</v>
      </c>
      <c r="M3497" t="s">
        <v>44014</v>
      </c>
      <c r="N3497" t="s">
        <v>46569</v>
      </c>
      <c r="O3497" t="s">
        <v>46570</v>
      </c>
      <c r="P3497">
        <v>0</v>
      </c>
      <c r="Q3497">
        <v>7</v>
      </c>
      <c r="R3497" t="s">
        <v>46572</v>
      </c>
      <c r="S3497" t="s">
        <v>46689</v>
      </c>
      <c r="T3497" t="s">
        <v>48228</v>
      </c>
      <c r="U3497" t="s">
        <v>51687</v>
      </c>
      <c r="W3497" t="s">
        <v>44014</v>
      </c>
      <c r="X3497" t="s">
        <v>46573</v>
      </c>
    </row>
    <row r="3498" spans="1:24">
      <c r="A3498">
        <f>HYPERLINK("https://www.philgeps.gov.ph/GEPSNONPILOT/Tender/SplashBidNoticeAbstractUI.aspx?menuIndex=3&amp;refID=7062892&amp;Result=3","7062892")</f>
        <v>0</v>
      </c>
      <c r="B3498" t="s">
        <v>490</v>
      </c>
      <c r="C3498" t="s">
        <v>6900</v>
      </c>
      <c r="D3498" t="s">
        <v>18805</v>
      </c>
      <c r="E3498" t="s">
        <v>22051</v>
      </c>
      <c r="F3498" t="s">
        <v>32664</v>
      </c>
      <c r="G3498" t="s">
        <v>32672</v>
      </c>
      <c r="H3498" t="s">
        <v>12635</v>
      </c>
      <c r="I3498" t="s">
        <v>4439</v>
      </c>
      <c r="J3498" t="s">
        <v>35163</v>
      </c>
      <c r="K3498" t="s">
        <v>42283</v>
      </c>
      <c r="M3498" t="s">
        <v>43983</v>
      </c>
      <c r="N3498" t="s">
        <v>46569</v>
      </c>
      <c r="O3498" t="s">
        <v>46570</v>
      </c>
      <c r="P3498">
        <v>0</v>
      </c>
      <c r="Q3498">
        <v>0</v>
      </c>
      <c r="R3498" t="s">
        <v>46572</v>
      </c>
      <c r="S3498" t="s">
        <v>46689</v>
      </c>
      <c r="T3498" t="s">
        <v>48330</v>
      </c>
      <c r="U3498" t="s">
        <v>51688</v>
      </c>
      <c r="V3498" t="s">
        <v>61972</v>
      </c>
      <c r="W3498" t="s">
        <v>43983</v>
      </c>
      <c r="X3498" t="s">
        <v>46573</v>
      </c>
    </row>
    <row r="3499" spans="1:24">
      <c r="A3499">
        <f>HYPERLINK("https://www.philgeps.gov.ph/GEPSNONPILOT/Tender/SplashBidNoticeAbstractUI.aspx?menuIndex=3&amp;refID=7062970&amp;Result=3","7062970")</f>
        <v>0</v>
      </c>
      <c r="B3499" t="s">
        <v>102</v>
      </c>
      <c r="C3499" t="s">
        <v>6901</v>
      </c>
      <c r="D3499" t="s">
        <v>18788</v>
      </c>
      <c r="E3499" t="s">
        <v>22052</v>
      </c>
      <c r="F3499" t="s">
        <v>32664</v>
      </c>
      <c r="G3499" t="s">
        <v>32677</v>
      </c>
      <c r="H3499" t="s">
        <v>32683</v>
      </c>
      <c r="I3499" t="s">
        <v>10627</v>
      </c>
      <c r="J3499" t="s">
        <v>35164</v>
      </c>
      <c r="K3499" t="s">
        <v>42289</v>
      </c>
      <c r="M3499" t="s">
        <v>42666</v>
      </c>
      <c r="N3499" t="s">
        <v>46569</v>
      </c>
      <c r="O3499" t="s">
        <v>46570</v>
      </c>
      <c r="P3499">
        <v>0</v>
      </c>
      <c r="Q3499">
        <v>0</v>
      </c>
      <c r="R3499" t="s">
        <v>46572</v>
      </c>
      <c r="S3499" t="s">
        <v>46689</v>
      </c>
      <c r="T3499" t="s">
        <v>48248</v>
      </c>
      <c r="U3499" t="s">
        <v>51667</v>
      </c>
      <c r="W3499" t="s">
        <v>42666</v>
      </c>
      <c r="X3499" t="s">
        <v>46573</v>
      </c>
    </row>
    <row r="3500" spans="1:24">
      <c r="A3500">
        <f>HYPERLINK("https://www.philgeps.gov.ph/GEPSNONPILOT/Tender/SplashBidNoticeAbstractUI.aspx?menuIndex=3&amp;refID=7062968&amp;Result=3","7062968")</f>
        <v>0</v>
      </c>
      <c r="B3500" t="s">
        <v>1361</v>
      </c>
      <c r="C3500" t="s">
        <v>6902</v>
      </c>
      <c r="D3500" t="s">
        <v>18845</v>
      </c>
      <c r="E3500" t="s">
        <v>3713</v>
      </c>
      <c r="F3500" t="s">
        <v>32664</v>
      </c>
      <c r="G3500" t="s">
        <v>32674</v>
      </c>
      <c r="H3500" t="s">
        <v>12635</v>
      </c>
      <c r="I3500" t="s">
        <v>5589</v>
      </c>
      <c r="J3500" t="s">
        <v>35165</v>
      </c>
      <c r="K3500" t="s">
        <v>42281</v>
      </c>
      <c r="M3500" t="s">
        <v>44015</v>
      </c>
      <c r="N3500" t="s">
        <v>46569</v>
      </c>
      <c r="O3500" t="s">
        <v>46570</v>
      </c>
      <c r="P3500">
        <v>0</v>
      </c>
      <c r="Q3500">
        <v>0</v>
      </c>
      <c r="R3500" t="s">
        <v>46572</v>
      </c>
      <c r="S3500" t="s">
        <v>46689</v>
      </c>
      <c r="T3500" t="s">
        <v>48319</v>
      </c>
      <c r="U3500" t="s">
        <v>51689</v>
      </c>
      <c r="W3500" t="s">
        <v>44015</v>
      </c>
      <c r="X3500" t="s">
        <v>46573</v>
      </c>
    </row>
    <row r="3501" spans="1:24">
      <c r="A3501">
        <f>HYPERLINK("https://www.philgeps.gov.ph/GEPSNONPILOT/Tender/SplashBidNoticeAbstractUI.aspx?menuIndex=3&amp;refID=7062975&amp;Result=3","7062975")</f>
        <v>0</v>
      </c>
      <c r="B3501" t="s">
        <v>471</v>
      </c>
      <c r="C3501" t="s">
        <v>6903</v>
      </c>
      <c r="D3501" t="s">
        <v>18785</v>
      </c>
      <c r="E3501" t="s">
        <v>22053</v>
      </c>
      <c r="F3501" t="s">
        <v>32664</v>
      </c>
      <c r="G3501" t="s">
        <v>32674</v>
      </c>
      <c r="H3501" t="s">
        <v>32682</v>
      </c>
      <c r="I3501" t="s">
        <v>9946</v>
      </c>
      <c r="J3501" t="s">
        <v>35166</v>
      </c>
      <c r="K3501" t="s">
        <v>42334</v>
      </c>
      <c r="M3501" t="s">
        <v>43046</v>
      </c>
      <c r="N3501" t="s">
        <v>46569</v>
      </c>
      <c r="O3501" t="s">
        <v>46570</v>
      </c>
      <c r="P3501">
        <v>0</v>
      </c>
      <c r="Q3501">
        <v>0</v>
      </c>
      <c r="R3501" t="s">
        <v>46572</v>
      </c>
      <c r="S3501" t="s">
        <v>46689</v>
      </c>
      <c r="T3501" t="s">
        <v>48298</v>
      </c>
      <c r="U3501" t="s">
        <v>51690</v>
      </c>
      <c r="W3501" t="s">
        <v>43046</v>
      </c>
      <c r="X3501" t="s">
        <v>46573</v>
      </c>
    </row>
    <row r="3502" spans="1:24">
      <c r="A3502">
        <f>HYPERLINK("https://www.philgeps.gov.ph/GEPSNONPILOT/Tender/SplashBidNoticeAbstractUI.aspx?menuIndex=3&amp;refID=7062967&amp;Result=3","7062967")</f>
        <v>0</v>
      </c>
      <c r="B3502" t="s">
        <v>1336</v>
      </c>
      <c r="C3502" t="s">
        <v>6904</v>
      </c>
      <c r="D3502" t="s">
        <v>18856</v>
      </c>
      <c r="E3502" t="s">
        <v>22054</v>
      </c>
      <c r="F3502" t="s">
        <v>32664</v>
      </c>
      <c r="G3502" t="s">
        <v>32672</v>
      </c>
      <c r="H3502" t="s">
        <v>32683</v>
      </c>
      <c r="I3502" t="s">
        <v>10627</v>
      </c>
      <c r="J3502" t="s">
        <v>35167</v>
      </c>
      <c r="K3502" t="s">
        <v>42298</v>
      </c>
      <c r="M3502" t="s">
        <v>43986</v>
      </c>
      <c r="N3502" t="s">
        <v>46569</v>
      </c>
      <c r="O3502" t="s">
        <v>46570</v>
      </c>
      <c r="P3502">
        <v>0</v>
      </c>
      <c r="Q3502">
        <v>0</v>
      </c>
      <c r="R3502" t="s">
        <v>46572</v>
      </c>
      <c r="S3502" t="s">
        <v>46689</v>
      </c>
      <c r="T3502" t="s">
        <v>48479</v>
      </c>
      <c r="U3502" t="s">
        <v>51691</v>
      </c>
      <c r="V3502" t="s">
        <v>61974</v>
      </c>
      <c r="W3502" t="s">
        <v>43986</v>
      </c>
      <c r="X3502" t="s">
        <v>46573</v>
      </c>
    </row>
    <row r="3503" spans="1:24">
      <c r="A3503">
        <f>HYPERLINK("https://www.philgeps.gov.ph/GEPSNONPILOT/Tender/SplashBidNoticeAbstractUI.aspx?menuIndex=3&amp;refID=7062938&amp;Result=3","7062938")</f>
        <v>0</v>
      </c>
      <c r="B3503" t="s">
        <v>462</v>
      </c>
      <c r="C3503" t="s">
        <v>6905</v>
      </c>
      <c r="D3503" t="s">
        <v>18834</v>
      </c>
      <c r="E3503" t="s">
        <v>19677</v>
      </c>
      <c r="F3503" t="s">
        <v>32664</v>
      </c>
      <c r="G3503" t="s">
        <v>32674</v>
      </c>
      <c r="H3503" t="s">
        <v>12635</v>
      </c>
      <c r="I3503" t="s">
        <v>8797</v>
      </c>
      <c r="J3503" t="s">
        <v>33069</v>
      </c>
      <c r="K3503" t="s">
        <v>42284</v>
      </c>
      <c r="M3503" t="s">
        <v>43037</v>
      </c>
      <c r="N3503" t="s">
        <v>46569</v>
      </c>
      <c r="O3503" t="s">
        <v>46570</v>
      </c>
      <c r="P3503">
        <v>0</v>
      </c>
      <c r="Q3503">
        <v>1</v>
      </c>
      <c r="R3503" t="s">
        <v>46572</v>
      </c>
      <c r="S3503" t="s">
        <v>46689</v>
      </c>
      <c r="T3503" t="s">
        <v>48312</v>
      </c>
      <c r="U3503" t="s">
        <v>51692</v>
      </c>
      <c r="W3503" t="s">
        <v>43037</v>
      </c>
      <c r="X3503" t="s">
        <v>46573</v>
      </c>
    </row>
    <row r="3504" spans="1:24">
      <c r="A3504">
        <f>HYPERLINK("https://www.philgeps.gov.ph/GEPSNONPILOT/Tender/SplashBidNoticeAbstractUI.aspx?menuIndex=3&amp;refID=7062963&amp;Result=3","7062963")</f>
        <v>0</v>
      </c>
      <c r="B3504" t="s">
        <v>1362</v>
      </c>
      <c r="C3504" t="s">
        <v>6906</v>
      </c>
      <c r="D3504" t="s">
        <v>18824</v>
      </c>
      <c r="E3504" t="s">
        <v>22055</v>
      </c>
      <c r="F3504" t="s">
        <v>32664</v>
      </c>
      <c r="G3504" t="s">
        <v>32672</v>
      </c>
      <c r="H3504" t="s">
        <v>12635</v>
      </c>
      <c r="I3504" t="s">
        <v>32699</v>
      </c>
      <c r="J3504" t="s">
        <v>33069</v>
      </c>
      <c r="K3504" t="s">
        <v>42284</v>
      </c>
      <c r="M3504" t="s">
        <v>44016</v>
      </c>
      <c r="N3504" t="s">
        <v>46569</v>
      </c>
      <c r="O3504" t="s">
        <v>46570</v>
      </c>
      <c r="P3504">
        <v>0</v>
      </c>
      <c r="Q3504">
        <v>0</v>
      </c>
      <c r="R3504" t="s">
        <v>46572</v>
      </c>
      <c r="S3504" t="s">
        <v>46689</v>
      </c>
      <c r="T3504" t="s">
        <v>48370</v>
      </c>
      <c r="U3504" t="s">
        <v>51693</v>
      </c>
      <c r="W3504" t="s">
        <v>44016</v>
      </c>
      <c r="X3504" t="s">
        <v>46573</v>
      </c>
    </row>
    <row r="3505" spans="1:24">
      <c r="A3505">
        <f>HYPERLINK("https://www.philgeps.gov.ph/GEPSNONPILOT/Tender/SplashBidNoticeAbstractUI.aspx?menuIndex=3&amp;refID=7063006&amp;Result=3","7063006")</f>
        <v>0</v>
      </c>
      <c r="B3505" t="s">
        <v>1344</v>
      </c>
      <c r="C3505" t="s">
        <v>6907</v>
      </c>
      <c r="D3505" t="s">
        <v>18835</v>
      </c>
      <c r="E3505" t="s">
        <v>22056</v>
      </c>
      <c r="F3505" t="s">
        <v>32664</v>
      </c>
      <c r="G3505" t="s">
        <v>32672</v>
      </c>
      <c r="H3505" t="s">
        <v>12635</v>
      </c>
      <c r="I3505" t="s">
        <v>32688</v>
      </c>
      <c r="J3505" t="s">
        <v>35168</v>
      </c>
      <c r="K3505" t="s">
        <v>42297</v>
      </c>
      <c r="M3505" t="s">
        <v>43995</v>
      </c>
      <c r="N3505" t="s">
        <v>46569</v>
      </c>
      <c r="O3505" t="s">
        <v>46570</v>
      </c>
      <c r="P3505">
        <v>0</v>
      </c>
      <c r="Q3505">
        <v>1</v>
      </c>
      <c r="R3505" t="s">
        <v>46572</v>
      </c>
      <c r="S3505" t="s">
        <v>46689</v>
      </c>
      <c r="T3505" t="s">
        <v>48304</v>
      </c>
      <c r="U3505" t="s">
        <v>51694</v>
      </c>
      <c r="W3505" t="s">
        <v>43995</v>
      </c>
      <c r="X3505" t="s">
        <v>46573</v>
      </c>
    </row>
    <row r="3506" spans="1:24">
      <c r="A3506">
        <f>HYPERLINK("https://www.philgeps.gov.ph/GEPSNONPILOT/Tender/SplashBidNoticeAbstractUI.aspx?menuIndex=3&amp;refID=7062972&amp;Result=3","7062972")</f>
        <v>0</v>
      </c>
      <c r="B3506" t="s">
        <v>212</v>
      </c>
      <c r="C3506" t="s">
        <v>6908</v>
      </c>
      <c r="D3506" t="s">
        <v>18844</v>
      </c>
      <c r="E3506" t="s">
        <v>22057</v>
      </c>
      <c r="F3506" t="s">
        <v>32664</v>
      </c>
      <c r="G3506" t="s">
        <v>32677</v>
      </c>
      <c r="H3506" t="s">
        <v>12635</v>
      </c>
      <c r="I3506" t="s">
        <v>5589</v>
      </c>
      <c r="J3506" t="s">
        <v>33147</v>
      </c>
      <c r="K3506" t="s">
        <v>42289</v>
      </c>
      <c r="M3506" t="s">
        <v>42776</v>
      </c>
      <c r="N3506" t="s">
        <v>46569</v>
      </c>
      <c r="O3506" t="s">
        <v>46570</v>
      </c>
      <c r="P3506">
        <v>0</v>
      </c>
      <c r="Q3506">
        <v>1</v>
      </c>
      <c r="R3506" t="s">
        <v>46572</v>
      </c>
      <c r="S3506" t="s">
        <v>46689</v>
      </c>
      <c r="T3506" t="s">
        <v>48311</v>
      </c>
      <c r="U3506" t="s">
        <v>51695</v>
      </c>
      <c r="V3506" t="s">
        <v>61668</v>
      </c>
      <c r="W3506" t="s">
        <v>42776</v>
      </c>
      <c r="X3506" t="s">
        <v>46573</v>
      </c>
    </row>
    <row r="3507" spans="1:24">
      <c r="A3507">
        <f>HYPERLINK("https://www.philgeps.gov.ph/GEPSNONPILOT/Tender/SplashBidNoticeAbstractUI.aspx?menuIndex=3&amp;refID=7063008&amp;Result=3","7063008")</f>
        <v>0</v>
      </c>
      <c r="B3507" t="s">
        <v>525</v>
      </c>
      <c r="C3507" t="s">
        <v>6909</v>
      </c>
      <c r="E3507" t="s">
        <v>22058</v>
      </c>
      <c r="F3507" t="s">
        <v>32664</v>
      </c>
      <c r="G3507" t="s">
        <v>32671</v>
      </c>
      <c r="H3507" t="s">
        <v>12635</v>
      </c>
      <c r="I3507" t="s">
        <v>32691</v>
      </c>
      <c r="J3507" t="s">
        <v>34216</v>
      </c>
      <c r="K3507" t="s">
        <v>42283</v>
      </c>
      <c r="M3507" t="s">
        <v>43102</v>
      </c>
      <c r="N3507" t="s">
        <v>46569</v>
      </c>
      <c r="O3507" t="s">
        <v>46570</v>
      </c>
      <c r="P3507">
        <v>0</v>
      </c>
      <c r="Q3507">
        <v>0</v>
      </c>
      <c r="R3507" t="s">
        <v>46572</v>
      </c>
      <c r="S3507" t="s">
        <v>46689</v>
      </c>
      <c r="T3507" t="s">
        <v>48244</v>
      </c>
      <c r="U3507" t="s">
        <v>51696</v>
      </c>
      <c r="W3507" t="s">
        <v>43102</v>
      </c>
      <c r="X3507" t="s">
        <v>46573</v>
      </c>
    </row>
    <row r="3508" spans="1:24">
      <c r="A3508">
        <f>HYPERLINK("https://www.philgeps.gov.ph/GEPSNONPILOT/Tender/SplashBidNoticeAbstractUI.aspx?menuIndex=3&amp;refID=7062980&amp;Result=3","7062980")</f>
        <v>0</v>
      </c>
      <c r="B3508" t="s">
        <v>1363</v>
      </c>
      <c r="C3508" t="s">
        <v>6910</v>
      </c>
      <c r="D3508" t="s">
        <v>18785</v>
      </c>
      <c r="E3508" t="s">
        <v>22059</v>
      </c>
      <c r="F3508" t="s">
        <v>32664</v>
      </c>
      <c r="G3508" t="s">
        <v>32678</v>
      </c>
      <c r="H3508" t="s">
        <v>32681</v>
      </c>
      <c r="I3508" t="s">
        <v>32681</v>
      </c>
      <c r="J3508" t="s">
        <v>32865</v>
      </c>
      <c r="K3508" t="s">
        <v>42283</v>
      </c>
      <c r="M3508" t="s">
        <v>44017</v>
      </c>
      <c r="N3508" t="s">
        <v>46569</v>
      </c>
      <c r="O3508" t="s">
        <v>46570</v>
      </c>
      <c r="P3508">
        <v>0</v>
      </c>
      <c r="Q3508">
        <v>3</v>
      </c>
      <c r="R3508" t="s">
        <v>46572</v>
      </c>
      <c r="S3508" t="s">
        <v>46689</v>
      </c>
      <c r="T3508" t="s">
        <v>48223</v>
      </c>
      <c r="U3508" t="s">
        <v>51697</v>
      </c>
      <c r="V3508" t="s">
        <v>61981</v>
      </c>
      <c r="W3508" t="s">
        <v>63510</v>
      </c>
      <c r="X3508" t="s">
        <v>46573</v>
      </c>
    </row>
    <row r="3509" spans="1:24">
      <c r="A3509">
        <f>HYPERLINK("https://www.philgeps.gov.ph/GEPSNONPILOT/Tender/SplashBidNoticeAbstractUI.aspx?menuIndex=3&amp;refID=7062964&amp;Result=3","7062964")</f>
        <v>0</v>
      </c>
      <c r="B3509" t="s">
        <v>460</v>
      </c>
      <c r="C3509" t="s">
        <v>6911</v>
      </c>
      <c r="D3509" t="s">
        <v>18806</v>
      </c>
      <c r="E3509" t="s">
        <v>22060</v>
      </c>
      <c r="F3509" t="s">
        <v>32664</v>
      </c>
      <c r="G3509" t="s">
        <v>32672</v>
      </c>
      <c r="H3509" t="s">
        <v>12635</v>
      </c>
      <c r="I3509" t="s">
        <v>8797</v>
      </c>
      <c r="J3509" t="s">
        <v>35169</v>
      </c>
      <c r="K3509" t="s">
        <v>42330</v>
      </c>
      <c r="M3509" t="s">
        <v>43035</v>
      </c>
      <c r="N3509" t="s">
        <v>46569</v>
      </c>
      <c r="O3509" t="s">
        <v>46570</v>
      </c>
      <c r="P3509">
        <v>0</v>
      </c>
      <c r="Q3509">
        <v>0</v>
      </c>
      <c r="R3509" t="s">
        <v>46572</v>
      </c>
      <c r="S3509" t="s">
        <v>46689</v>
      </c>
      <c r="T3509" t="s">
        <v>48285</v>
      </c>
      <c r="U3509" t="s">
        <v>51698</v>
      </c>
      <c r="V3509" t="s">
        <v>61876</v>
      </c>
      <c r="W3509" t="s">
        <v>43035</v>
      </c>
      <c r="X3509" t="s">
        <v>46573</v>
      </c>
    </row>
    <row r="3510" spans="1:24">
      <c r="A3510">
        <f>HYPERLINK("https://www.philgeps.gov.ph/GEPSNONPILOT/Tender/SplashBidNoticeAbstractUI.aspx?menuIndex=3&amp;refID=7063003&amp;Result=3","7063003")</f>
        <v>0</v>
      </c>
      <c r="B3510" t="s">
        <v>1364</v>
      </c>
      <c r="C3510" t="s">
        <v>6912</v>
      </c>
      <c r="D3510" t="s">
        <v>18840</v>
      </c>
      <c r="E3510" t="s">
        <v>20957</v>
      </c>
      <c r="F3510" t="s">
        <v>32664</v>
      </c>
      <c r="G3510" t="s">
        <v>32671</v>
      </c>
      <c r="H3510" t="s">
        <v>12635</v>
      </c>
      <c r="I3510" t="s">
        <v>10361</v>
      </c>
      <c r="J3510" t="s">
        <v>35170</v>
      </c>
      <c r="K3510" t="s">
        <v>42355</v>
      </c>
      <c r="M3510" t="s">
        <v>44018</v>
      </c>
      <c r="N3510" t="s">
        <v>46569</v>
      </c>
      <c r="O3510" t="s">
        <v>46570</v>
      </c>
      <c r="P3510">
        <v>0</v>
      </c>
      <c r="Q3510">
        <v>0</v>
      </c>
      <c r="R3510" t="s">
        <v>46572</v>
      </c>
      <c r="S3510" t="s">
        <v>46689</v>
      </c>
      <c r="T3510" t="s">
        <v>48219</v>
      </c>
      <c r="U3510" t="s">
        <v>51699</v>
      </c>
      <c r="V3510" t="s">
        <v>61982</v>
      </c>
      <c r="W3510" t="s">
        <v>44018</v>
      </c>
      <c r="X3510" t="s">
        <v>46573</v>
      </c>
    </row>
    <row r="3511" spans="1:24">
      <c r="A3511">
        <f>HYPERLINK("https://www.philgeps.gov.ph/GEPSNONPILOT/Tender/SplashBidNoticeAbstractUI.aspx?menuIndex=3&amp;refID=7063001&amp;Result=3","7063001")</f>
        <v>0</v>
      </c>
      <c r="B3511" t="s">
        <v>690</v>
      </c>
      <c r="C3511" t="s">
        <v>6913</v>
      </c>
      <c r="D3511" t="s">
        <v>18781</v>
      </c>
      <c r="E3511" t="s">
        <v>22061</v>
      </c>
      <c r="F3511" t="s">
        <v>32664</v>
      </c>
      <c r="G3511" t="s">
        <v>32672</v>
      </c>
      <c r="H3511" t="s">
        <v>32683</v>
      </c>
      <c r="I3511" t="s">
        <v>10627</v>
      </c>
      <c r="J3511" t="s">
        <v>35171</v>
      </c>
      <c r="K3511" t="s">
        <v>42290</v>
      </c>
      <c r="L3511" t="s">
        <v>690</v>
      </c>
      <c r="M3511" t="s">
        <v>43277</v>
      </c>
      <c r="N3511" t="s">
        <v>46569</v>
      </c>
      <c r="O3511" t="s">
        <v>46570</v>
      </c>
      <c r="P3511">
        <v>0</v>
      </c>
      <c r="Q3511">
        <v>0</v>
      </c>
      <c r="R3511" t="s">
        <v>46572</v>
      </c>
      <c r="S3511" t="s">
        <v>46689</v>
      </c>
      <c r="T3511" t="s">
        <v>48362</v>
      </c>
      <c r="U3511" t="s">
        <v>51586</v>
      </c>
      <c r="W3511" t="s">
        <v>43277</v>
      </c>
      <c r="X3511" t="s">
        <v>46573</v>
      </c>
    </row>
    <row r="3512" spans="1:24">
      <c r="A3512">
        <f>HYPERLINK("https://www.philgeps.gov.ph/GEPSNONPILOT/Tender/SplashBidNoticeAbstractUI.aspx?menuIndex=3&amp;refID=7062999&amp;Result=3","7062999")</f>
        <v>0</v>
      </c>
      <c r="B3512" t="s">
        <v>538</v>
      </c>
      <c r="C3512" t="s">
        <v>6914</v>
      </c>
      <c r="D3512" t="s">
        <v>18846</v>
      </c>
      <c r="E3512" t="s">
        <v>22062</v>
      </c>
      <c r="F3512" t="s">
        <v>32664</v>
      </c>
      <c r="G3512" t="s">
        <v>32671</v>
      </c>
      <c r="H3512" t="s">
        <v>12635</v>
      </c>
      <c r="I3512" t="s">
        <v>6223</v>
      </c>
      <c r="J3512" t="s">
        <v>35172</v>
      </c>
      <c r="K3512" t="s">
        <v>42305</v>
      </c>
      <c r="M3512" t="s">
        <v>43117</v>
      </c>
      <c r="N3512" t="s">
        <v>46569</v>
      </c>
      <c r="O3512" t="s">
        <v>46570</v>
      </c>
      <c r="P3512">
        <v>0</v>
      </c>
      <c r="Q3512">
        <v>1</v>
      </c>
      <c r="R3512" t="s">
        <v>46572</v>
      </c>
      <c r="S3512" t="s">
        <v>46689</v>
      </c>
      <c r="T3512" t="s">
        <v>48221</v>
      </c>
      <c r="U3512" t="s">
        <v>51700</v>
      </c>
      <c r="W3512" t="s">
        <v>43117</v>
      </c>
      <c r="X3512" t="s">
        <v>46573</v>
      </c>
    </row>
    <row r="3513" spans="1:24">
      <c r="A3513">
        <f>HYPERLINK("https://www.philgeps.gov.ph/GEPSNONPILOT/Tender/SplashBidNoticeAbstractUI.aspx?menuIndex=3&amp;refID=7063007&amp;Result=3","7063007")</f>
        <v>0</v>
      </c>
      <c r="B3513" t="s">
        <v>1329</v>
      </c>
      <c r="C3513" t="s">
        <v>6915</v>
      </c>
      <c r="D3513" t="s">
        <v>18788</v>
      </c>
      <c r="E3513" t="s">
        <v>19006</v>
      </c>
      <c r="F3513" t="s">
        <v>32664</v>
      </c>
      <c r="G3513" t="s">
        <v>32672</v>
      </c>
      <c r="H3513" t="s">
        <v>12635</v>
      </c>
      <c r="I3513" t="s">
        <v>32701</v>
      </c>
      <c r="J3513" t="s">
        <v>32865</v>
      </c>
      <c r="K3513" t="s">
        <v>42281</v>
      </c>
      <c r="M3513" t="s">
        <v>43978</v>
      </c>
      <c r="N3513" t="s">
        <v>46569</v>
      </c>
      <c r="O3513" t="s">
        <v>46570</v>
      </c>
      <c r="P3513">
        <v>0</v>
      </c>
      <c r="Q3513">
        <v>0</v>
      </c>
      <c r="R3513" t="s">
        <v>46572</v>
      </c>
      <c r="S3513" t="s">
        <v>46689</v>
      </c>
      <c r="T3513" t="s">
        <v>48308</v>
      </c>
      <c r="U3513" t="s">
        <v>51701</v>
      </c>
      <c r="V3513" t="s">
        <v>61983</v>
      </c>
      <c r="W3513" t="s">
        <v>43978</v>
      </c>
      <c r="X3513" t="s">
        <v>46573</v>
      </c>
    </row>
    <row r="3514" spans="1:24">
      <c r="A3514">
        <f>HYPERLINK("https://www.philgeps.gov.ph/GEPSNONPILOT/Tender/SplashBidNoticeAbstractUI.aspx?menuIndex=3&amp;refID=7063004&amp;Result=3","7063004")</f>
        <v>0</v>
      </c>
      <c r="B3514" t="s">
        <v>683</v>
      </c>
      <c r="C3514" t="s">
        <v>6916</v>
      </c>
      <c r="D3514" t="s">
        <v>18842</v>
      </c>
      <c r="E3514" t="s">
        <v>22063</v>
      </c>
      <c r="F3514" t="s">
        <v>32664</v>
      </c>
      <c r="G3514" t="s">
        <v>32674</v>
      </c>
      <c r="H3514" t="s">
        <v>12635</v>
      </c>
      <c r="I3514" t="s">
        <v>10361</v>
      </c>
      <c r="J3514" t="s">
        <v>33078</v>
      </c>
      <c r="K3514" t="s">
        <v>42283</v>
      </c>
      <c r="M3514" t="s">
        <v>43270</v>
      </c>
      <c r="N3514" t="s">
        <v>46569</v>
      </c>
      <c r="O3514" t="s">
        <v>46570</v>
      </c>
      <c r="P3514">
        <v>0</v>
      </c>
      <c r="Q3514">
        <v>0</v>
      </c>
      <c r="R3514" t="s">
        <v>46572</v>
      </c>
      <c r="S3514" t="s">
        <v>46689</v>
      </c>
      <c r="T3514" t="s">
        <v>48256</v>
      </c>
      <c r="U3514" t="s">
        <v>50070</v>
      </c>
      <c r="W3514" t="s">
        <v>43270</v>
      </c>
      <c r="X3514" t="s">
        <v>46573</v>
      </c>
    </row>
    <row r="3515" spans="1:24">
      <c r="A3515">
        <f>HYPERLINK("https://www.philgeps.gov.ph/GEPSNONPILOT/Tender/SplashBidNoticeAbstractUI.aspx?menuIndex=3&amp;refID=7062996&amp;Result=3","7062996")</f>
        <v>0</v>
      </c>
      <c r="B3515" t="s">
        <v>1137</v>
      </c>
      <c r="C3515" t="s">
        <v>6917</v>
      </c>
      <c r="D3515" t="s">
        <v>18784</v>
      </c>
      <c r="E3515" t="s">
        <v>22064</v>
      </c>
      <c r="F3515" t="s">
        <v>32664</v>
      </c>
      <c r="G3515" t="s">
        <v>32671</v>
      </c>
      <c r="H3515" t="s">
        <v>32683</v>
      </c>
      <c r="I3515" t="s">
        <v>10627</v>
      </c>
      <c r="J3515" t="s">
        <v>35173</v>
      </c>
      <c r="K3515" t="s">
        <v>42289</v>
      </c>
      <c r="M3515" t="s">
        <v>43767</v>
      </c>
      <c r="N3515" t="s">
        <v>46569</v>
      </c>
      <c r="O3515" t="s">
        <v>46570</v>
      </c>
      <c r="P3515">
        <v>0</v>
      </c>
      <c r="Q3515">
        <v>1</v>
      </c>
      <c r="R3515" t="s">
        <v>46572</v>
      </c>
      <c r="S3515" t="s">
        <v>46689</v>
      </c>
      <c r="T3515" t="s">
        <v>48221</v>
      </c>
      <c r="U3515" t="s">
        <v>51702</v>
      </c>
      <c r="V3515" t="s">
        <v>61905</v>
      </c>
      <c r="W3515" t="s">
        <v>43767</v>
      </c>
      <c r="X3515" t="s">
        <v>46573</v>
      </c>
    </row>
    <row r="3516" spans="1:24">
      <c r="A3516">
        <f>HYPERLINK("https://www.philgeps.gov.ph/GEPSNONPILOT/Tender/SplashBidNoticeAbstractUI.aspx?menuIndex=3&amp;refID=7062994&amp;Result=3","7062994")</f>
        <v>0</v>
      </c>
      <c r="B3516" t="s">
        <v>1094</v>
      </c>
      <c r="C3516" t="s">
        <v>6918</v>
      </c>
      <c r="D3516" t="s">
        <v>18822</v>
      </c>
      <c r="E3516" t="s">
        <v>22065</v>
      </c>
      <c r="F3516" t="s">
        <v>32664</v>
      </c>
      <c r="G3516" t="s">
        <v>32672</v>
      </c>
      <c r="H3516" t="s">
        <v>32683</v>
      </c>
      <c r="I3516" t="s">
        <v>10627</v>
      </c>
      <c r="J3516" t="s">
        <v>32898</v>
      </c>
      <c r="K3516" t="s">
        <v>42311</v>
      </c>
      <c r="M3516" t="s">
        <v>43722</v>
      </c>
      <c r="N3516" t="s">
        <v>46569</v>
      </c>
      <c r="O3516" t="s">
        <v>46570</v>
      </c>
      <c r="P3516">
        <v>0</v>
      </c>
      <c r="Q3516">
        <v>0</v>
      </c>
      <c r="R3516" t="s">
        <v>46572</v>
      </c>
      <c r="S3516" t="s">
        <v>46689</v>
      </c>
      <c r="T3516" t="s">
        <v>48312</v>
      </c>
      <c r="U3516" t="s">
        <v>51703</v>
      </c>
      <c r="W3516" t="s">
        <v>43722</v>
      </c>
      <c r="X3516" t="s">
        <v>46573</v>
      </c>
    </row>
    <row r="3517" spans="1:24">
      <c r="A3517">
        <f>HYPERLINK("https://www.philgeps.gov.ph/GEPSNONPILOT/Tender/SplashBidNoticeAbstractUI.aspx?menuIndex=3&amp;refID=7062992&amp;Result=3","7062992")</f>
        <v>0</v>
      </c>
      <c r="B3517" t="s">
        <v>917</v>
      </c>
      <c r="C3517" t="s">
        <v>6919</v>
      </c>
      <c r="D3517" t="s">
        <v>18781</v>
      </c>
      <c r="E3517" t="s">
        <v>22066</v>
      </c>
      <c r="F3517" t="s">
        <v>32664</v>
      </c>
      <c r="G3517" t="s">
        <v>32674</v>
      </c>
      <c r="H3517" t="s">
        <v>12635</v>
      </c>
      <c r="I3517" t="s">
        <v>5589</v>
      </c>
      <c r="J3517" t="s">
        <v>33126</v>
      </c>
      <c r="K3517" t="s">
        <v>42283</v>
      </c>
      <c r="M3517" t="s">
        <v>43523</v>
      </c>
      <c r="N3517" t="s">
        <v>46569</v>
      </c>
      <c r="O3517" t="s">
        <v>46570</v>
      </c>
      <c r="P3517">
        <v>0</v>
      </c>
      <c r="Q3517">
        <v>1</v>
      </c>
      <c r="R3517" t="s">
        <v>46572</v>
      </c>
      <c r="S3517" t="s">
        <v>46689</v>
      </c>
      <c r="T3517" t="s">
        <v>48287</v>
      </c>
      <c r="U3517" t="s">
        <v>51704</v>
      </c>
      <c r="W3517" t="s">
        <v>43523</v>
      </c>
      <c r="X3517" t="s">
        <v>46573</v>
      </c>
    </row>
    <row r="3518" spans="1:24">
      <c r="A3518">
        <f>HYPERLINK("https://www.philgeps.gov.ph/GEPSNONPILOT/Tender/SplashBidNoticeAbstractUI.aspx?menuIndex=3&amp;refID=7062969&amp;Result=3","7062969")</f>
        <v>0</v>
      </c>
      <c r="B3518" t="s">
        <v>1365</v>
      </c>
      <c r="C3518" t="s">
        <v>6920</v>
      </c>
      <c r="D3518" t="s">
        <v>18816</v>
      </c>
      <c r="E3518" t="s">
        <v>22067</v>
      </c>
      <c r="F3518" t="s">
        <v>32664</v>
      </c>
      <c r="G3518" t="s">
        <v>32671</v>
      </c>
      <c r="H3518" t="s">
        <v>12635</v>
      </c>
      <c r="I3518" t="s">
        <v>32730</v>
      </c>
      <c r="J3518" t="s">
        <v>34390</v>
      </c>
      <c r="K3518" t="s">
        <v>42412</v>
      </c>
      <c r="M3518" t="s">
        <v>44019</v>
      </c>
      <c r="N3518" t="s">
        <v>46569</v>
      </c>
      <c r="O3518" t="s">
        <v>46570</v>
      </c>
      <c r="P3518">
        <v>0</v>
      </c>
      <c r="Q3518">
        <v>2</v>
      </c>
      <c r="R3518" t="s">
        <v>46572</v>
      </c>
      <c r="S3518" t="s">
        <v>46689</v>
      </c>
      <c r="T3518" t="s">
        <v>48228</v>
      </c>
      <c r="U3518" t="s">
        <v>51705</v>
      </c>
      <c r="W3518" t="s">
        <v>44019</v>
      </c>
      <c r="X3518" t="s">
        <v>46573</v>
      </c>
    </row>
    <row r="3519" spans="1:24">
      <c r="A3519">
        <f>HYPERLINK("https://www.philgeps.gov.ph/GEPSNONPILOT/Tender/SplashBidNoticeAbstractUI.aspx?menuIndex=3&amp;refID=7062962&amp;Result=3","7062962")</f>
        <v>0</v>
      </c>
      <c r="B3519" t="s">
        <v>1341</v>
      </c>
      <c r="C3519" t="s">
        <v>6921</v>
      </c>
      <c r="D3519" t="s">
        <v>18842</v>
      </c>
      <c r="E3519" t="s">
        <v>22068</v>
      </c>
      <c r="F3519" t="s">
        <v>32664</v>
      </c>
      <c r="G3519" t="s">
        <v>32672</v>
      </c>
      <c r="H3519" t="s">
        <v>32683</v>
      </c>
      <c r="I3519" t="s">
        <v>10627</v>
      </c>
      <c r="J3519" t="s">
        <v>35174</v>
      </c>
      <c r="K3519" t="s">
        <v>42283</v>
      </c>
      <c r="M3519" t="s">
        <v>43991</v>
      </c>
      <c r="N3519" t="s">
        <v>46569</v>
      </c>
      <c r="O3519" t="s">
        <v>46570</v>
      </c>
      <c r="P3519">
        <v>0</v>
      </c>
      <c r="Q3519">
        <v>0</v>
      </c>
      <c r="R3519" t="s">
        <v>46572</v>
      </c>
      <c r="S3519" t="s">
        <v>46689</v>
      </c>
      <c r="T3519" t="s">
        <v>48270</v>
      </c>
      <c r="U3519" t="s">
        <v>51706</v>
      </c>
      <c r="W3519" t="s">
        <v>43991</v>
      </c>
      <c r="X3519" t="s">
        <v>46573</v>
      </c>
    </row>
    <row r="3520" spans="1:24">
      <c r="A3520">
        <f>HYPERLINK("https://www.philgeps.gov.ph/GEPSNONPILOT/Tender/SplashBidNoticeAbstractUI.aspx?menuIndex=3&amp;refID=7062990&amp;Result=3","7062990")</f>
        <v>0</v>
      </c>
      <c r="B3520" t="s">
        <v>1366</v>
      </c>
      <c r="C3520" t="s">
        <v>6922</v>
      </c>
      <c r="D3520" t="s">
        <v>18784</v>
      </c>
      <c r="E3520" t="s">
        <v>22069</v>
      </c>
      <c r="F3520" t="s">
        <v>32664</v>
      </c>
      <c r="G3520" t="s">
        <v>32674</v>
      </c>
      <c r="H3520" t="s">
        <v>12635</v>
      </c>
      <c r="I3520" t="s">
        <v>6168</v>
      </c>
      <c r="J3520" t="s">
        <v>33295</v>
      </c>
      <c r="K3520" t="s">
        <v>42281</v>
      </c>
      <c r="M3520" t="s">
        <v>44020</v>
      </c>
      <c r="N3520" t="s">
        <v>46569</v>
      </c>
      <c r="O3520" t="s">
        <v>46570</v>
      </c>
      <c r="P3520">
        <v>0</v>
      </c>
      <c r="Q3520">
        <v>2</v>
      </c>
      <c r="R3520" t="s">
        <v>46572</v>
      </c>
      <c r="S3520" t="s">
        <v>46689</v>
      </c>
      <c r="T3520" t="s">
        <v>48290</v>
      </c>
      <c r="U3520" t="s">
        <v>51707</v>
      </c>
      <c r="W3520" t="s">
        <v>44020</v>
      </c>
      <c r="X3520" t="s">
        <v>46573</v>
      </c>
    </row>
    <row r="3521" spans="1:24">
      <c r="A3521">
        <f>HYPERLINK("https://www.philgeps.gov.ph/GEPSNONPILOT/Tender/SplashBidNoticeAbstractUI.aspx?menuIndex=3&amp;refID=7062989&amp;Result=3","7062989")</f>
        <v>0</v>
      </c>
      <c r="B3521" t="s">
        <v>495</v>
      </c>
      <c r="C3521" t="s">
        <v>6923</v>
      </c>
      <c r="D3521" t="s">
        <v>18791</v>
      </c>
      <c r="E3521" t="s">
        <v>22070</v>
      </c>
      <c r="F3521" t="s">
        <v>32664</v>
      </c>
      <c r="G3521" t="s">
        <v>32672</v>
      </c>
      <c r="H3521" t="s">
        <v>32683</v>
      </c>
      <c r="I3521" t="s">
        <v>10627</v>
      </c>
      <c r="J3521" t="s">
        <v>35175</v>
      </c>
      <c r="K3521" t="s">
        <v>42361</v>
      </c>
      <c r="M3521" t="s">
        <v>43071</v>
      </c>
      <c r="N3521" t="s">
        <v>46569</v>
      </c>
      <c r="O3521" t="s">
        <v>46570</v>
      </c>
      <c r="P3521">
        <v>0</v>
      </c>
      <c r="Q3521">
        <v>1</v>
      </c>
      <c r="R3521" t="s">
        <v>46572</v>
      </c>
      <c r="S3521" t="s">
        <v>46689</v>
      </c>
      <c r="T3521" t="s">
        <v>48412</v>
      </c>
      <c r="U3521" t="s">
        <v>51708</v>
      </c>
      <c r="W3521" t="s">
        <v>43071</v>
      </c>
      <c r="X3521" t="s">
        <v>46573</v>
      </c>
    </row>
    <row r="3522" spans="1:24">
      <c r="A3522">
        <f>HYPERLINK("https://www.philgeps.gov.ph/GEPSNONPILOT/Tender/SplashBidNoticeAbstractUI.aspx?menuIndex=3&amp;refID=7063000&amp;Result=3","7063000")</f>
        <v>0</v>
      </c>
      <c r="B3522" t="s">
        <v>1358</v>
      </c>
      <c r="C3522" t="s">
        <v>6924</v>
      </c>
      <c r="D3522" t="s">
        <v>18782</v>
      </c>
      <c r="E3522" t="s">
        <v>19673</v>
      </c>
      <c r="F3522" t="s">
        <v>32664</v>
      </c>
      <c r="G3522" t="s">
        <v>32674</v>
      </c>
      <c r="H3522" t="s">
        <v>12635</v>
      </c>
      <c r="I3522" t="s">
        <v>8797</v>
      </c>
      <c r="J3522" t="s">
        <v>35176</v>
      </c>
      <c r="K3522" t="s">
        <v>42283</v>
      </c>
      <c r="M3522" t="s">
        <v>44012</v>
      </c>
      <c r="N3522" t="s">
        <v>46569</v>
      </c>
      <c r="O3522" t="s">
        <v>46570</v>
      </c>
      <c r="P3522">
        <v>0</v>
      </c>
      <c r="Q3522">
        <v>0</v>
      </c>
      <c r="R3522" t="s">
        <v>46572</v>
      </c>
      <c r="S3522" t="s">
        <v>46689</v>
      </c>
      <c r="T3522" t="s">
        <v>48254</v>
      </c>
      <c r="U3522" t="s">
        <v>51709</v>
      </c>
      <c r="W3522" t="s">
        <v>44012</v>
      </c>
      <c r="X3522" t="s">
        <v>46573</v>
      </c>
    </row>
    <row r="3523" spans="1:24">
      <c r="A3523">
        <f>HYPERLINK("https://www.philgeps.gov.ph/GEPSNONPILOT/Tender/SplashBidNoticeAbstractUI.aspx?menuIndex=3&amp;refID=7062987&amp;Result=3","7062987")</f>
        <v>0</v>
      </c>
      <c r="B3523" t="s">
        <v>841</v>
      </c>
      <c r="C3523" t="s">
        <v>6925</v>
      </c>
      <c r="D3523" t="s">
        <v>18784</v>
      </c>
      <c r="E3523" t="s">
        <v>22071</v>
      </c>
      <c r="F3523" t="s">
        <v>32664</v>
      </c>
      <c r="G3523" t="s">
        <v>32675</v>
      </c>
      <c r="H3523" t="s">
        <v>12635</v>
      </c>
      <c r="I3523" t="s">
        <v>32685</v>
      </c>
      <c r="J3523" t="s">
        <v>33049</v>
      </c>
      <c r="K3523" t="s">
        <v>42283</v>
      </c>
      <c r="M3523" t="s">
        <v>43436</v>
      </c>
      <c r="N3523" t="s">
        <v>46569</v>
      </c>
      <c r="O3523" t="s">
        <v>46570</v>
      </c>
      <c r="P3523">
        <v>0</v>
      </c>
      <c r="Q3523">
        <v>2</v>
      </c>
      <c r="R3523" t="s">
        <v>46572</v>
      </c>
      <c r="S3523" t="s">
        <v>46689</v>
      </c>
      <c r="T3523" t="s">
        <v>48249</v>
      </c>
      <c r="U3523" t="s">
        <v>51710</v>
      </c>
      <c r="W3523" t="s">
        <v>43436</v>
      </c>
      <c r="X3523" t="s">
        <v>46573</v>
      </c>
    </row>
    <row r="3524" spans="1:24">
      <c r="A3524">
        <f>HYPERLINK("https://www.philgeps.gov.ph/GEPSNONPILOT/Tender/SplashBidNoticeAbstractUI.aspx?menuIndex=3&amp;refID=7062991&amp;Result=3","7062991")</f>
        <v>0</v>
      </c>
      <c r="B3524" t="s">
        <v>879</v>
      </c>
      <c r="C3524" t="s">
        <v>6926</v>
      </c>
      <c r="D3524" t="s">
        <v>18821</v>
      </c>
      <c r="E3524" t="s">
        <v>22072</v>
      </c>
      <c r="F3524" t="s">
        <v>32664</v>
      </c>
      <c r="G3524" t="s">
        <v>32671</v>
      </c>
      <c r="H3524" t="s">
        <v>12635</v>
      </c>
      <c r="I3524" t="s">
        <v>32706</v>
      </c>
      <c r="J3524" t="s">
        <v>35177</v>
      </c>
      <c r="K3524" t="s">
        <v>42283</v>
      </c>
      <c r="M3524" t="s">
        <v>43479</v>
      </c>
      <c r="N3524" t="s">
        <v>46569</v>
      </c>
      <c r="O3524" t="s">
        <v>46570</v>
      </c>
      <c r="P3524">
        <v>0</v>
      </c>
      <c r="Q3524">
        <v>0</v>
      </c>
      <c r="R3524" t="s">
        <v>46572</v>
      </c>
      <c r="S3524" t="s">
        <v>46689</v>
      </c>
      <c r="T3524" t="s">
        <v>48285</v>
      </c>
      <c r="U3524" t="s">
        <v>51711</v>
      </c>
      <c r="W3524" t="s">
        <v>43479</v>
      </c>
      <c r="X3524" t="s">
        <v>46573</v>
      </c>
    </row>
    <row r="3525" spans="1:24">
      <c r="A3525">
        <f>HYPERLINK("https://www.philgeps.gov.ph/GEPSNONPILOT/Tender/SplashBidNoticeAbstractUI.aspx?menuIndex=3&amp;refID=7062937&amp;Result=3","7062937")</f>
        <v>0</v>
      </c>
      <c r="B3525" t="s">
        <v>1367</v>
      </c>
      <c r="C3525" t="s">
        <v>6927</v>
      </c>
      <c r="D3525" t="s">
        <v>18801</v>
      </c>
      <c r="E3525" t="s">
        <v>22073</v>
      </c>
      <c r="F3525" t="s">
        <v>32664</v>
      </c>
      <c r="G3525" t="s">
        <v>32671</v>
      </c>
      <c r="H3525" t="s">
        <v>12635</v>
      </c>
      <c r="I3525" t="s">
        <v>5501</v>
      </c>
      <c r="J3525" t="s">
        <v>32917</v>
      </c>
      <c r="K3525" t="s">
        <v>42281</v>
      </c>
      <c r="M3525" t="s">
        <v>44021</v>
      </c>
      <c r="N3525" t="s">
        <v>46569</v>
      </c>
      <c r="O3525" t="s">
        <v>46570</v>
      </c>
      <c r="P3525">
        <v>0</v>
      </c>
      <c r="Q3525">
        <v>7</v>
      </c>
      <c r="R3525" t="s">
        <v>46572</v>
      </c>
      <c r="S3525" t="s">
        <v>46689</v>
      </c>
      <c r="T3525" t="s">
        <v>48236</v>
      </c>
      <c r="U3525" t="s">
        <v>51712</v>
      </c>
      <c r="W3525" t="s">
        <v>44021</v>
      </c>
      <c r="X3525" t="s">
        <v>46573</v>
      </c>
    </row>
    <row r="3526" spans="1:24">
      <c r="A3526">
        <f>HYPERLINK("https://www.philgeps.gov.ph/GEPSNONPILOT/Tender/SplashBidNoticeAbstractUI.aspx?menuIndex=3&amp;refID=7062863&amp;Result=3","7062863")</f>
        <v>0</v>
      </c>
      <c r="B3526" t="s">
        <v>1310</v>
      </c>
      <c r="C3526" t="s">
        <v>6762</v>
      </c>
      <c r="D3526" t="s">
        <v>18790</v>
      </c>
      <c r="E3526" t="s">
        <v>22074</v>
      </c>
      <c r="F3526" t="s">
        <v>32664</v>
      </c>
      <c r="G3526" t="s">
        <v>32672</v>
      </c>
      <c r="H3526" t="s">
        <v>12635</v>
      </c>
      <c r="I3526" t="s">
        <v>32721</v>
      </c>
      <c r="J3526" t="s">
        <v>32959</v>
      </c>
      <c r="K3526" t="s">
        <v>42283</v>
      </c>
      <c r="M3526" t="s">
        <v>43956</v>
      </c>
      <c r="N3526" t="s">
        <v>46569</v>
      </c>
      <c r="O3526" t="s">
        <v>46570</v>
      </c>
      <c r="P3526">
        <v>0</v>
      </c>
      <c r="Q3526">
        <v>0</v>
      </c>
      <c r="R3526" t="s">
        <v>46572</v>
      </c>
      <c r="S3526" t="s">
        <v>46689</v>
      </c>
      <c r="T3526" t="s">
        <v>48230</v>
      </c>
      <c r="U3526" t="s">
        <v>51578</v>
      </c>
      <c r="W3526" t="s">
        <v>43956</v>
      </c>
      <c r="X3526" t="s">
        <v>46573</v>
      </c>
    </row>
    <row r="3527" spans="1:24">
      <c r="A3527">
        <f>HYPERLINK("https://www.philgeps.gov.ph/GEPSNONPILOT/Tender/SplashBidNoticeAbstractUI.aspx?menuIndex=3&amp;refID=7062986&amp;Result=3","7062986")</f>
        <v>0</v>
      </c>
      <c r="B3527" t="s">
        <v>1341</v>
      </c>
      <c r="C3527" t="s">
        <v>6928</v>
      </c>
      <c r="D3527" t="s">
        <v>18842</v>
      </c>
      <c r="E3527" t="s">
        <v>22075</v>
      </c>
      <c r="F3527" t="s">
        <v>32664</v>
      </c>
      <c r="G3527" t="s">
        <v>32672</v>
      </c>
      <c r="H3527" t="s">
        <v>12635</v>
      </c>
      <c r="I3527" t="s">
        <v>32696</v>
      </c>
      <c r="J3527" t="s">
        <v>35178</v>
      </c>
      <c r="K3527" t="s">
        <v>42283</v>
      </c>
      <c r="M3527" t="s">
        <v>43991</v>
      </c>
      <c r="N3527" t="s">
        <v>46569</v>
      </c>
      <c r="O3527" t="s">
        <v>46570</v>
      </c>
      <c r="P3527">
        <v>0</v>
      </c>
      <c r="Q3527">
        <v>0</v>
      </c>
      <c r="R3527" t="s">
        <v>46572</v>
      </c>
      <c r="S3527" t="s">
        <v>46689</v>
      </c>
      <c r="T3527" t="s">
        <v>48270</v>
      </c>
      <c r="U3527" t="s">
        <v>51713</v>
      </c>
      <c r="W3527" t="s">
        <v>43991</v>
      </c>
      <c r="X3527" t="s">
        <v>46573</v>
      </c>
    </row>
    <row r="3528" spans="1:24">
      <c r="A3528">
        <f>HYPERLINK("https://www.philgeps.gov.ph/GEPSNONPILOT/Tender/SplashBidNoticeAbstractUI.aspx?menuIndex=3&amp;refID=7062985&amp;Result=3","7062985")</f>
        <v>0</v>
      </c>
      <c r="B3528" t="s">
        <v>690</v>
      </c>
      <c r="C3528" t="s">
        <v>6929</v>
      </c>
      <c r="D3528" t="s">
        <v>18781</v>
      </c>
      <c r="E3528" t="s">
        <v>22076</v>
      </c>
      <c r="F3528" t="s">
        <v>32664</v>
      </c>
      <c r="G3528" t="s">
        <v>32672</v>
      </c>
      <c r="H3528" t="s">
        <v>12635</v>
      </c>
      <c r="I3528" t="s">
        <v>10627</v>
      </c>
      <c r="J3528" t="s">
        <v>34131</v>
      </c>
      <c r="K3528" t="s">
        <v>42311</v>
      </c>
      <c r="L3528" t="s">
        <v>690</v>
      </c>
      <c r="M3528" t="s">
        <v>43277</v>
      </c>
      <c r="N3528" t="s">
        <v>46569</v>
      </c>
      <c r="O3528" t="s">
        <v>46570</v>
      </c>
      <c r="P3528">
        <v>0</v>
      </c>
      <c r="Q3528">
        <v>0</v>
      </c>
      <c r="R3528" t="s">
        <v>46572</v>
      </c>
      <c r="S3528" t="s">
        <v>46689</v>
      </c>
      <c r="T3528" t="s">
        <v>48362</v>
      </c>
      <c r="U3528" t="s">
        <v>51586</v>
      </c>
      <c r="W3528" t="s">
        <v>43277</v>
      </c>
      <c r="X3528" t="s">
        <v>46573</v>
      </c>
    </row>
    <row r="3529" spans="1:24">
      <c r="A3529">
        <f>HYPERLINK("https://www.philgeps.gov.ph/GEPSNONPILOT/Tender/SplashBidNoticeAbstractUI.aspx?menuIndex=3&amp;refID=7062860&amp;Result=3","7062860")</f>
        <v>0</v>
      </c>
      <c r="B3529" t="s">
        <v>1316</v>
      </c>
      <c r="C3529" t="s">
        <v>4254</v>
      </c>
      <c r="D3529" t="s">
        <v>18784</v>
      </c>
      <c r="E3529" t="s">
        <v>22077</v>
      </c>
      <c r="F3529" t="s">
        <v>32664</v>
      </c>
      <c r="G3529" t="s">
        <v>32672</v>
      </c>
      <c r="H3529" t="s">
        <v>32682</v>
      </c>
      <c r="I3529" t="s">
        <v>6223</v>
      </c>
      <c r="J3529" t="s">
        <v>35179</v>
      </c>
      <c r="K3529" t="s">
        <v>42284</v>
      </c>
      <c r="M3529" t="s">
        <v>43965</v>
      </c>
      <c r="N3529" t="s">
        <v>46569</v>
      </c>
      <c r="O3529" t="s">
        <v>46570</v>
      </c>
      <c r="P3529">
        <v>0</v>
      </c>
      <c r="Q3529">
        <v>2</v>
      </c>
      <c r="R3529" t="s">
        <v>46572</v>
      </c>
      <c r="S3529" t="s">
        <v>46689</v>
      </c>
      <c r="T3529" t="s">
        <v>48248</v>
      </c>
      <c r="U3529" t="s">
        <v>51714</v>
      </c>
      <c r="V3529" t="s">
        <v>61965</v>
      </c>
      <c r="W3529" t="s">
        <v>43965</v>
      </c>
      <c r="X3529" t="s">
        <v>46573</v>
      </c>
    </row>
    <row r="3530" spans="1:24">
      <c r="A3530">
        <f>HYPERLINK("https://www.philgeps.gov.ph/GEPSNONPILOT/Tender/SplashBidNoticeAbstractUI.aspx?menuIndex=3&amp;refID=7062993&amp;Result=3","7062993")</f>
        <v>0</v>
      </c>
      <c r="B3530" t="s">
        <v>1357</v>
      </c>
      <c r="C3530" t="s">
        <v>6930</v>
      </c>
      <c r="D3530" t="s">
        <v>18831</v>
      </c>
      <c r="E3530" t="s">
        <v>22078</v>
      </c>
      <c r="F3530" t="s">
        <v>32664</v>
      </c>
      <c r="G3530" t="s">
        <v>32671</v>
      </c>
      <c r="H3530" t="s">
        <v>12635</v>
      </c>
      <c r="I3530" t="s">
        <v>8797</v>
      </c>
      <c r="J3530" t="s">
        <v>33163</v>
      </c>
      <c r="K3530" t="s">
        <v>42289</v>
      </c>
      <c r="M3530" t="s">
        <v>44011</v>
      </c>
      <c r="N3530" t="s">
        <v>46569</v>
      </c>
      <c r="O3530" t="s">
        <v>46570</v>
      </c>
      <c r="P3530">
        <v>0</v>
      </c>
      <c r="Q3530">
        <v>0</v>
      </c>
      <c r="R3530" t="s">
        <v>46572</v>
      </c>
      <c r="S3530" t="s">
        <v>46689</v>
      </c>
      <c r="T3530" t="s">
        <v>48217</v>
      </c>
      <c r="U3530" t="s">
        <v>51715</v>
      </c>
      <c r="V3530" t="s">
        <v>61984</v>
      </c>
      <c r="W3530" t="s">
        <v>44011</v>
      </c>
      <c r="X3530" t="s">
        <v>46573</v>
      </c>
    </row>
    <row r="3531" spans="1:24">
      <c r="A3531">
        <f>HYPERLINK("https://www.philgeps.gov.ph/GEPSNONPILOT/Tender/SplashBidNoticeAbstractUI.aspx?menuIndex=3&amp;refID=7062841&amp;Result=3","7062841")</f>
        <v>0</v>
      </c>
      <c r="B3531" t="s">
        <v>1319</v>
      </c>
      <c r="C3531" t="s">
        <v>6931</v>
      </c>
      <c r="D3531" t="s">
        <v>18784</v>
      </c>
      <c r="E3531" t="s">
        <v>22079</v>
      </c>
      <c r="F3531" t="s">
        <v>32664</v>
      </c>
      <c r="G3531" t="s">
        <v>32672</v>
      </c>
      <c r="H3531" t="s">
        <v>12635</v>
      </c>
      <c r="I3531" t="s">
        <v>8730</v>
      </c>
      <c r="J3531" t="s">
        <v>32982</v>
      </c>
      <c r="K3531" t="s">
        <v>42305</v>
      </c>
      <c r="M3531" t="s">
        <v>43968</v>
      </c>
      <c r="N3531" t="s">
        <v>46569</v>
      </c>
      <c r="O3531" t="s">
        <v>46570</v>
      </c>
      <c r="P3531">
        <v>0</v>
      </c>
      <c r="Q3531">
        <v>0</v>
      </c>
      <c r="R3531" t="s">
        <v>46572</v>
      </c>
      <c r="S3531" t="s">
        <v>46689</v>
      </c>
      <c r="T3531" t="s">
        <v>48274</v>
      </c>
      <c r="U3531" t="s">
        <v>51716</v>
      </c>
      <c r="W3531" t="s">
        <v>43968</v>
      </c>
      <c r="X3531" t="s">
        <v>46573</v>
      </c>
    </row>
    <row r="3532" spans="1:24">
      <c r="A3532">
        <f>HYPERLINK("https://www.philgeps.gov.ph/GEPSNONPILOT/Tender/SplashBidNoticeAbstractUI.aspx?menuIndex=3&amp;refID=7062988&amp;Result=3","7062988")</f>
        <v>0</v>
      </c>
      <c r="B3532" t="s">
        <v>241</v>
      </c>
      <c r="C3532" t="s">
        <v>6932</v>
      </c>
      <c r="D3532" t="s">
        <v>18822</v>
      </c>
      <c r="E3532" t="s">
        <v>22080</v>
      </c>
      <c r="F3532" t="s">
        <v>32664</v>
      </c>
      <c r="G3532" t="s">
        <v>32671</v>
      </c>
      <c r="H3532" t="s">
        <v>12635</v>
      </c>
      <c r="I3532" t="s">
        <v>6223</v>
      </c>
      <c r="J3532" t="s">
        <v>33309</v>
      </c>
      <c r="K3532" t="s">
        <v>42283</v>
      </c>
      <c r="M3532" t="s">
        <v>44022</v>
      </c>
      <c r="N3532" t="s">
        <v>46569</v>
      </c>
      <c r="O3532" t="s">
        <v>46570</v>
      </c>
      <c r="P3532">
        <v>0</v>
      </c>
      <c r="Q3532">
        <v>1</v>
      </c>
      <c r="R3532" t="s">
        <v>46572</v>
      </c>
      <c r="S3532" t="s">
        <v>46689</v>
      </c>
      <c r="T3532" t="s">
        <v>48230</v>
      </c>
      <c r="U3532" t="s">
        <v>51717</v>
      </c>
      <c r="W3532" t="s">
        <v>44022</v>
      </c>
      <c r="X3532" t="s">
        <v>46573</v>
      </c>
    </row>
    <row r="3533" spans="1:24">
      <c r="A3533">
        <f>HYPERLINK("https://www.philgeps.gov.ph/GEPSNONPILOT/Tender/SplashBidNoticeAbstractUI.aspx?menuIndex=3&amp;refID=7062840&amp;Result=3","7062840")</f>
        <v>0</v>
      </c>
      <c r="B3533" t="s">
        <v>1310</v>
      </c>
      <c r="C3533" t="s">
        <v>6762</v>
      </c>
      <c r="D3533" t="s">
        <v>18790</v>
      </c>
      <c r="E3533" t="s">
        <v>22081</v>
      </c>
      <c r="F3533" t="s">
        <v>32664</v>
      </c>
      <c r="G3533" t="s">
        <v>32672</v>
      </c>
      <c r="H3533" t="s">
        <v>12635</v>
      </c>
      <c r="I3533" t="s">
        <v>4333</v>
      </c>
      <c r="J3533" t="s">
        <v>35180</v>
      </c>
      <c r="K3533" t="s">
        <v>42283</v>
      </c>
      <c r="M3533" t="s">
        <v>43956</v>
      </c>
      <c r="N3533" t="s">
        <v>46569</v>
      </c>
      <c r="O3533" t="s">
        <v>46570</v>
      </c>
      <c r="P3533">
        <v>0</v>
      </c>
      <c r="Q3533">
        <v>0</v>
      </c>
      <c r="R3533" t="s">
        <v>46572</v>
      </c>
      <c r="S3533" t="s">
        <v>46689</v>
      </c>
      <c r="T3533" t="s">
        <v>48230</v>
      </c>
      <c r="U3533" t="s">
        <v>51578</v>
      </c>
      <c r="W3533" t="s">
        <v>43956</v>
      </c>
      <c r="X3533" t="s">
        <v>46573</v>
      </c>
    </row>
    <row r="3534" spans="1:24">
      <c r="A3534">
        <f>HYPERLINK("https://www.philgeps.gov.ph/GEPSNONPILOT/Tender/SplashBidNoticeAbstractUI.aspx?menuIndex=3&amp;refID=7062837&amp;Result=3","7062837")</f>
        <v>0</v>
      </c>
      <c r="B3534" t="s">
        <v>459</v>
      </c>
      <c r="C3534" t="s">
        <v>6933</v>
      </c>
      <c r="D3534" t="s">
        <v>18857</v>
      </c>
      <c r="E3534" t="s">
        <v>22082</v>
      </c>
      <c r="F3534" t="s">
        <v>32664</v>
      </c>
      <c r="G3534" t="s">
        <v>32671</v>
      </c>
      <c r="H3534" t="s">
        <v>12635</v>
      </c>
      <c r="I3534" t="s">
        <v>6628</v>
      </c>
      <c r="J3534" t="s">
        <v>33117</v>
      </c>
      <c r="K3534" t="s">
        <v>42289</v>
      </c>
      <c r="M3534" t="s">
        <v>43032</v>
      </c>
      <c r="N3534" t="s">
        <v>46569</v>
      </c>
      <c r="O3534" t="s">
        <v>46570</v>
      </c>
      <c r="P3534">
        <v>0</v>
      </c>
      <c r="Q3534">
        <v>0</v>
      </c>
      <c r="R3534" t="s">
        <v>46572</v>
      </c>
      <c r="S3534" t="s">
        <v>46689</v>
      </c>
      <c r="T3534" t="s">
        <v>48228</v>
      </c>
      <c r="U3534" t="s">
        <v>51718</v>
      </c>
      <c r="W3534" t="s">
        <v>43032</v>
      </c>
      <c r="X3534" t="s">
        <v>46573</v>
      </c>
    </row>
    <row r="3535" spans="1:24">
      <c r="A3535">
        <f>HYPERLINK("https://www.philgeps.gov.ph/GEPSNONPILOT/Tender/SplashBidNoticeAbstractUI.aspx?menuIndex=3&amp;refID=7062997&amp;Result=3","7062997")</f>
        <v>0</v>
      </c>
      <c r="B3535" t="s">
        <v>1368</v>
      </c>
      <c r="C3535" t="s">
        <v>6934</v>
      </c>
      <c r="D3535" t="s">
        <v>18784</v>
      </c>
      <c r="E3535" t="s">
        <v>22083</v>
      </c>
      <c r="F3535" t="s">
        <v>32664</v>
      </c>
      <c r="G3535" t="s">
        <v>32674</v>
      </c>
      <c r="H3535" t="s">
        <v>12635</v>
      </c>
      <c r="I3535" t="s">
        <v>4333</v>
      </c>
      <c r="J3535" t="s">
        <v>35181</v>
      </c>
      <c r="K3535" t="s">
        <v>42283</v>
      </c>
      <c r="M3535" t="s">
        <v>44023</v>
      </c>
      <c r="N3535" t="s">
        <v>46569</v>
      </c>
      <c r="O3535" t="s">
        <v>46570</v>
      </c>
      <c r="P3535">
        <v>0</v>
      </c>
      <c r="Q3535">
        <v>12</v>
      </c>
      <c r="R3535" t="s">
        <v>46572</v>
      </c>
      <c r="S3535" t="s">
        <v>46689</v>
      </c>
      <c r="T3535" t="s">
        <v>48316</v>
      </c>
      <c r="U3535" t="s">
        <v>51719</v>
      </c>
      <c r="W3535" t="s">
        <v>44023</v>
      </c>
      <c r="X3535" t="s">
        <v>46573</v>
      </c>
    </row>
    <row r="3536" spans="1:24">
      <c r="A3536">
        <f>HYPERLINK("https://www.philgeps.gov.ph/GEPSNONPILOT/Tender/SplashBidNoticeAbstractUI.aspx?menuIndex=3&amp;refID=7062836&amp;Result=3","7062836")</f>
        <v>0</v>
      </c>
      <c r="B3536" t="s">
        <v>490</v>
      </c>
      <c r="C3536" t="s">
        <v>6935</v>
      </c>
      <c r="D3536" t="s">
        <v>18805</v>
      </c>
      <c r="E3536" t="s">
        <v>22084</v>
      </c>
      <c r="F3536" t="s">
        <v>32664</v>
      </c>
      <c r="G3536" t="s">
        <v>32672</v>
      </c>
      <c r="H3536" t="s">
        <v>12635</v>
      </c>
      <c r="I3536" t="s">
        <v>10590</v>
      </c>
      <c r="J3536" t="s">
        <v>35182</v>
      </c>
      <c r="K3536" t="s">
        <v>42283</v>
      </c>
      <c r="M3536" t="s">
        <v>43983</v>
      </c>
      <c r="N3536" t="s">
        <v>46569</v>
      </c>
      <c r="O3536" t="s">
        <v>46570</v>
      </c>
      <c r="P3536">
        <v>0</v>
      </c>
      <c r="Q3536">
        <v>0</v>
      </c>
      <c r="R3536" t="s">
        <v>46572</v>
      </c>
      <c r="S3536" t="s">
        <v>46689</v>
      </c>
      <c r="T3536" t="s">
        <v>48330</v>
      </c>
      <c r="U3536" t="s">
        <v>51720</v>
      </c>
      <c r="V3536" t="s">
        <v>61972</v>
      </c>
      <c r="W3536" t="s">
        <v>43983</v>
      </c>
      <c r="X3536" t="s">
        <v>46573</v>
      </c>
    </row>
    <row r="3537" spans="1:24">
      <c r="A3537">
        <f>HYPERLINK("https://www.philgeps.gov.ph/GEPSNONPILOT/Tender/SplashBidNoticeAbstractUI.aspx?menuIndex=3&amp;refID=7062818&amp;Result=3","7062818")</f>
        <v>0</v>
      </c>
      <c r="B3537" t="s">
        <v>594</v>
      </c>
      <c r="C3537" t="s">
        <v>6936</v>
      </c>
      <c r="D3537" t="s">
        <v>18784</v>
      </c>
      <c r="E3537" t="s">
        <v>22085</v>
      </c>
      <c r="F3537" t="s">
        <v>32664</v>
      </c>
      <c r="G3537" t="s">
        <v>32674</v>
      </c>
      <c r="H3537" t="s">
        <v>12635</v>
      </c>
      <c r="I3537" t="s">
        <v>32758</v>
      </c>
      <c r="J3537" t="s">
        <v>35183</v>
      </c>
      <c r="K3537" t="s">
        <v>42297</v>
      </c>
      <c r="M3537" t="s">
        <v>43793</v>
      </c>
      <c r="N3537" t="s">
        <v>46569</v>
      </c>
      <c r="O3537" t="s">
        <v>46570</v>
      </c>
      <c r="P3537">
        <v>0</v>
      </c>
      <c r="Q3537">
        <v>2</v>
      </c>
      <c r="R3537" t="s">
        <v>46572</v>
      </c>
      <c r="S3537" t="s">
        <v>46689</v>
      </c>
      <c r="T3537" t="s">
        <v>48461</v>
      </c>
      <c r="U3537" t="s">
        <v>51595</v>
      </c>
      <c r="V3537" t="s">
        <v>61909</v>
      </c>
      <c r="W3537" t="s">
        <v>43793</v>
      </c>
      <c r="X3537" t="s">
        <v>46573</v>
      </c>
    </row>
    <row r="3538" spans="1:24">
      <c r="A3538">
        <f>HYPERLINK("https://www.philgeps.gov.ph/GEPSNONPILOT/Tender/SplashBidNoticeAbstractUI.aspx?menuIndex=3&amp;refID=7062838&amp;Result=3","7062838")</f>
        <v>0</v>
      </c>
      <c r="B3538" t="s">
        <v>1263</v>
      </c>
      <c r="C3538" t="s">
        <v>6937</v>
      </c>
      <c r="D3538" t="s">
        <v>18807</v>
      </c>
      <c r="E3538" t="s">
        <v>22086</v>
      </c>
      <c r="F3538" t="s">
        <v>32664</v>
      </c>
      <c r="G3538" t="s">
        <v>32671</v>
      </c>
      <c r="H3538" t="s">
        <v>12635</v>
      </c>
      <c r="I3538" t="s">
        <v>32694</v>
      </c>
      <c r="J3538" t="s">
        <v>35184</v>
      </c>
      <c r="K3538" t="s">
        <v>42283</v>
      </c>
      <c r="M3538" t="s">
        <v>43906</v>
      </c>
      <c r="N3538" t="s">
        <v>46569</v>
      </c>
      <c r="O3538" t="s">
        <v>46570</v>
      </c>
      <c r="P3538">
        <v>0</v>
      </c>
      <c r="Q3538">
        <v>0</v>
      </c>
      <c r="R3538" t="s">
        <v>46572</v>
      </c>
      <c r="S3538" t="s">
        <v>46689</v>
      </c>
      <c r="T3538" t="s">
        <v>48411</v>
      </c>
      <c r="U3538" t="s">
        <v>51469</v>
      </c>
      <c r="W3538" t="s">
        <v>43906</v>
      </c>
      <c r="X3538" t="s">
        <v>46573</v>
      </c>
    </row>
    <row r="3539" spans="1:24">
      <c r="A3539">
        <f>HYPERLINK("https://www.philgeps.gov.ph/GEPSNONPILOT/Tender/SplashBidNoticeAbstractUI.aspx?menuIndex=3&amp;refID=7062861&amp;Result=3","7062861")</f>
        <v>0</v>
      </c>
      <c r="B3539" t="s">
        <v>1088</v>
      </c>
      <c r="C3539" t="s">
        <v>6938</v>
      </c>
      <c r="D3539" t="s">
        <v>18804</v>
      </c>
      <c r="E3539" t="s">
        <v>22087</v>
      </c>
      <c r="F3539" t="s">
        <v>32664</v>
      </c>
      <c r="G3539" t="s">
        <v>32672</v>
      </c>
      <c r="H3539" t="s">
        <v>32683</v>
      </c>
      <c r="I3539" t="s">
        <v>10627</v>
      </c>
      <c r="J3539" t="s">
        <v>35185</v>
      </c>
      <c r="K3539" t="s">
        <v>42281</v>
      </c>
      <c r="M3539" t="s">
        <v>43714</v>
      </c>
      <c r="N3539" t="s">
        <v>46569</v>
      </c>
      <c r="O3539" t="s">
        <v>46570</v>
      </c>
      <c r="P3539">
        <v>0</v>
      </c>
      <c r="Q3539">
        <v>0</v>
      </c>
      <c r="R3539" t="s">
        <v>46572</v>
      </c>
      <c r="S3539" t="s">
        <v>46689</v>
      </c>
      <c r="T3539" t="s">
        <v>48222</v>
      </c>
      <c r="U3539" t="s">
        <v>51670</v>
      </c>
      <c r="V3539" t="s">
        <v>61896</v>
      </c>
      <c r="W3539" t="s">
        <v>43714</v>
      </c>
      <c r="X3539" t="s">
        <v>46573</v>
      </c>
    </row>
    <row r="3540" spans="1:24">
      <c r="A3540">
        <f>HYPERLINK("https://www.philgeps.gov.ph/GEPSNONPILOT/Tender/SplashBidNoticeAbstractUI.aspx?menuIndex=3&amp;refID=7063034&amp;Result=3","7063034")</f>
        <v>0</v>
      </c>
      <c r="B3540" t="s">
        <v>1369</v>
      </c>
      <c r="C3540" t="s">
        <v>6939</v>
      </c>
      <c r="D3540" t="s">
        <v>18816</v>
      </c>
      <c r="E3540" t="s">
        <v>22088</v>
      </c>
      <c r="F3540" t="s">
        <v>32664</v>
      </c>
      <c r="G3540" t="s">
        <v>32672</v>
      </c>
      <c r="H3540" t="s">
        <v>12635</v>
      </c>
      <c r="I3540" t="s">
        <v>7759</v>
      </c>
      <c r="J3540" t="s">
        <v>32846</v>
      </c>
      <c r="K3540" t="s">
        <v>42289</v>
      </c>
      <c r="M3540" t="s">
        <v>44024</v>
      </c>
      <c r="N3540" t="s">
        <v>46569</v>
      </c>
      <c r="O3540" t="s">
        <v>46570</v>
      </c>
      <c r="P3540">
        <v>0</v>
      </c>
      <c r="Q3540">
        <v>1</v>
      </c>
      <c r="R3540" t="s">
        <v>46572</v>
      </c>
      <c r="S3540" t="s">
        <v>46689</v>
      </c>
      <c r="T3540" t="s">
        <v>48483</v>
      </c>
      <c r="U3540" t="s">
        <v>51721</v>
      </c>
      <c r="W3540" t="s">
        <v>44024</v>
      </c>
      <c r="X3540" t="s">
        <v>46573</v>
      </c>
    </row>
    <row r="3541" spans="1:24">
      <c r="A3541">
        <f>HYPERLINK("https://www.philgeps.gov.ph/GEPSNONPILOT/Tender/SplashBidNoticeAbstractUI.aspx?menuIndex=3&amp;refID=7063030&amp;Result=3","7063030")</f>
        <v>0</v>
      </c>
      <c r="B3541" t="s">
        <v>325</v>
      </c>
      <c r="C3541" t="s">
        <v>6940</v>
      </c>
      <c r="D3541" t="s">
        <v>18848</v>
      </c>
      <c r="E3541" t="s">
        <v>22089</v>
      </c>
      <c r="F3541" t="s">
        <v>32664</v>
      </c>
      <c r="G3541" t="s">
        <v>32672</v>
      </c>
      <c r="H3541" t="s">
        <v>12635</v>
      </c>
      <c r="I3541" t="s">
        <v>5589</v>
      </c>
      <c r="J3541" t="s">
        <v>33304</v>
      </c>
      <c r="K3541" t="s">
        <v>42297</v>
      </c>
      <c r="M3541" t="s">
        <v>42893</v>
      </c>
      <c r="N3541" t="s">
        <v>46569</v>
      </c>
      <c r="O3541" t="s">
        <v>46570</v>
      </c>
      <c r="P3541">
        <v>0</v>
      </c>
      <c r="Q3541">
        <v>0</v>
      </c>
      <c r="R3541" t="s">
        <v>46572</v>
      </c>
      <c r="S3541" t="s">
        <v>46689</v>
      </c>
      <c r="T3541" t="s">
        <v>48312</v>
      </c>
      <c r="U3541" t="s">
        <v>51722</v>
      </c>
      <c r="V3541" t="s">
        <v>61699</v>
      </c>
      <c r="W3541" t="s">
        <v>42893</v>
      </c>
      <c r="X3541" t="s">
        <v>46573</v>
      </c>
    </row>
    <row r="3542" spans="1:24">
      <c r="A3542">
        <f>HYPERLINK("https://www.philgeps.gov.ph/GEPSNONPILOT/Tender/SplashBidNoticeAbstractUI.aspx?menuIndex=3&amp;refID=7062816&amp;Result=3","7062816")</f>
        <v>0</v>
      </c>
      <c r="B3542" t="s">
        <v>164</v>
      </c>
      <c r="C3542" t="s">
        <v>6941</v>
      </c>
      <c r="D3542" t="s">
        <v>18836</v>
      </c>
      <c r="E3542" t="s">
        <v>22090</v>
      </c>
      <c r="F3542" t="s">
        <v>32664</v>
      </c>
      <c r="G3542" t="s">
        <v>32671</v>
      </c>
      <c r="H3542" t="s">
        <v>12635</v>
      </c>
      <c r="I3542" t="s">
        <v>6223</v>
      </c>
      <c r="J3542" t="s">
        <v>33015</v>
      </c>
      <c r="K3542" t="s">
        <v>42283</v>
      </c>
      <c r="M3542" t="s">
        <v>42728</v>
      </c>
      <c r="N3542" t="s">
        <v>46569</v>
      </c>
      <c r="O3542" t="s">
        <v>46570</v>
      </c>
      <c r="P3542">
        <v>0</v>
      </c>
      <c r="Q3542">
        <v>0</v>
      </c>
      <c r="R3542" t="s">
        <v>46572</v>
      </c>
      <c r="S3542" t="s">
        <v>46689</v>
      </c>
      <c r="T3542" t="s">
        <v>48256</v>
      </c>
      <c r="U3542" t="s">
        <v>49092</v>
      </c>
      <c r="V3542" t="s">
        <v>61970</v>
      </c>
      <c r="W3542" t="s">
        <v>42728</v>
      </c>
      <c r="X3542" t="s">
        <v>46573</v>
      </c>
    </row>
    <row r="3543" spans="1:24">
      <c r="A3543">
        <f>HYPERLINK("https://www.philgeps.gov.ph/GEPSNONPILOT/Tender/SplashBidNoticeAbstractUI.aspx?menuIndex=3&amp;refID=7063027&amp;Result=3","7063027")</f>
        <v>0</v>
      </c>
      <c r="B3543" t="s">
        <v>460</v>
      </c>
      <c r="C3543" t="s">
        <v>6942</v>
      </c>
      <c r="D3543" t="s">
        <v>18806</v>
      </c>
      <c r="E3543" t="s">
        <v>22091</v>
      </c>
      <c r="F3543" t="s">
        <v>32664</v>
      </c>
      <c r="G3543" t="s">
        <v>32672</v>
      </c>
      <c r="H3543" t="s">
        <v>12635</v>
      </c>
      <c r="I3543" t="s">
        <v>8797</v>
      </c>
      <c r="J3543" t="s">
        <v>35186</v>
      </c>
      <c r="K3543" t="s">
        <v>42330</v>
      </c>
      <c r="M3543" t="s">
        <v>43035</v>
      </c>
      <c r="N3543" t="s">
        <v>46569</v>
      </c>
      <c r="O3543" t="s">
        <v>46570</v>
      </c>
      <c r="P3543">
        <v>0</v>
      </c>
      <c r="Q3543">
        <v>1</v>
      </c>
      <c r="R3543" t="s">
        <v>46572</v>
      </c>
      <c r="S3543" t="s">
        <v>46689</v>
      </c>
      <c r="T3543" t="s">
        <v>48285</v>
      </c>
      <c r="U3543" t="s">
        <v>51723</v>
      </c>
      <c r="V3543" t="s">
        <v>61876</v>
      </c>
      <c r="W3543" t="s">
        <v>43035</v>
      </c>
      <c r="X3543" t="s">
        <v>46573</v>
      </c>
    </row>
    <row r="3544" spans="1:24">
      <c r="A3544">
        <f>HYPERLINK("https://www.philgeps.gov.ph/GEPSNONPILOT/Tender/SplashBidNoticeAbstractUI.aspx?menuIndex=3&amp;refID=7063025&amp;Result=3","7063025")</f>
        <v>0</v>
      </c>
      <c r="B3544" t="s">
        <v>1370</v>
      </c>
      <c r="C3544" t="s">
        <v>6943</v>
      </c>
      <c r="D3544" t="s">
        <v>18831</v>
      </c>
      <c r="E3544" t="s">
        <v>22092</v>
      </c>
      <c r="F3544" t="s">
        <v>32664</v>
      </c>
      <c r="G3544" t="s">
        <v>32672</v>
      </c>
      <c r="H3544" t="s">
        <v>12635</v>
      </c>
      <c r="I3544" t="s">
        <v>11464</v>
      </c>
      <c r="J3544" t="s">
        <v>34348</v>
      </c>
      <c r="K3544" t="s">
        <v>42283</v>
      </c>
      <c r="M3544" t="s">
        <v>44025</v>
      </c>
      <c r="N3544" t="s">
        <v>46569</v>
      </c>
      <c r="O3544" t="s">
        <v>46570</v>
      </c>
      <c r="P3544">
        <v>0</v>
      </c>
      <c r="Q3544">
        <v>1</v>
      </c>
      <c r="R3544" t="s">
        <v>46572</v>
      </c>
      <c r="S3544" t="s">
        <v>46689</v>
      </c>
      <c r="T3544" t="s">
        <v>48268</v>
      </c>
      <c r="U3544" t="s">
        <v>51724</v>
      </c>
      <c r="W3544" t="s">
        <v>44025</v>
      </c>
      <c r="X3544" t="s">
        <v>46573</v>
      </c>
    </row>
    <row r="3545" spans="1:24">
      <c r="A3545">
        <f>HYPERLINK("https://www.philgeps.gov.ph/GEPSNONPILOT/Tender/SplashBidNoticeAbstractUI.aspx?menuIndex=3&amp;refID=7062973&amp;Result=3","7062973")</f>
        <v>0</v>
      </c>
      <c r="B3545" t="s">
        <v>690</v>
      </c>
      <c r="C3545" t="s">
        <v>6944</v>
      </c>
      <c r="D3545" t="s">
        <v>18781</v>
      </c>
      <c r="E3545" t="s">
        <v>22093</v>
      </c>
      <c r="F3545" t="s">
        <v>32664</v>
      </c>
      <c r="G3545" t="s">
        <v>32672</v>
      </c>
      <c r="H3545" t="s">
        <v>32683</v>
      </c>
      <c r="I3545" t="s">
        <v>10627</v>
      </c>
      <c r="J3545" t="s">
        <v>34131</v>
      </c>
      <c r="K3545" t="s">
        <v>42356</v>
      </c>
      <c r="L3545" t="s">
        <v>690</v>
      </c>
      <c r="M3545" t="s">
        <v>43277</v>
      </c>
      <c r="N3545" t="s">
        <v>46569</v>
      </c>
      <c r="O3545" t="s">
        <v>46570</v>
      </c>
      <c r="P3545">
        <v>0</v>
      </c>
      <c r="Q3545">
        <v>1</v>
      </c>
      <c r="R3545" t="s">
        <v>46572</v>
      </c>
      <c r="S3545" t="s">
        <v>46689</v>
      </c>
      <c r="T3545" t="s">
        <v>48362</v>
      </c>
      <c r="U3545" t="s">
        <v>51586</v>
      </c>
      <c r="W3545" t="s">
        <v>43277</v>
      </c>
      <c r="X3545" t="s">
        <v>46573</v>
      </c>
    </row>
    <row r="3546" spans="1:24">
      <c r="A3546">
        <f>HYPERLINK("https://www.philgeps.gov.ph/GEPSNONPILOT/Tender/SplashBidNoticeAbstractUI.aspx?menuIndex=3&amp;refID=7063024&amp;Result=3","7063024")</f>
        <v>0</v>
      </c>
      <c r="B3546" t="s">
        <v>1371</v>
      </c>
      <c r="C3546" t="s">
        <v>6945</v>
      </c>
      <c r="D3546" t="s">
        <v>18796</v>
      </c>
      <c r="E3546" t="s">
        <v>22094</v>
      </c>
      <c r="F3546" t="s">
        <v>32664</v>
      </c>
      <c r="G3546" t="s">
        <v>32672</v>
      </c>
      <c r="H3546" t="s">
        <v>12635</v>
      </c>
      <c r="I3546" t="s">
        <v>32706</v>
      </c>
      <c r="J3546" t="s">
        <v>35187</v>
      </c>
      <c r="K3546" t="s">
        <v>42311</v>
      </c>
      <c r="M3546" t="s">
        <v>44026</v>
      </c>
      <c r="N3546" t="s">
        <v>46569</v>
      </c>
      <c r="O3546" t="s">
        <v>46570</v>
      </c>
      <c r="P3546">
        <v>0</v>
      </c>
      <c r="Q3546">
        <v>0</v>
      </c>
      <c r="R3546" t="s">
        <v>46572</v>
      </c>
      <c r="S3546" t="s">
        <v>46689</v>
      </c>
      <c r="T3546" t="s">
        <v>48220</v>
      </c>
      <c r="U3546" t="s">
        <v>51725</v>
      </c>
      <c r="W3546" t="s">
        <v>44026</v>
      </c>
      <c r="X3546" t="s">
        <v>46573</v>
      </c>
    </row>
    <row r="3547" spans="1:24">
      <c r="A3547">
        <f>HYPERLINK("https://www.philgeps.gov.ph/GEPSNONPILOT/Tender/SplashBidNoticeAbstractUI.aspx?menuIndex=3&amp;refID=7062842&amp;Result=3","7062842")</f>
        <v>0</v>
      </c>
      <c r="B3547" t="s">
        <v>1316</v>
      </c>
      <c r="C3547" t="s">
        <v>4205</v>
      </c>
      <c r="D3547" t="s">
        <v>18784</v>
      </c>
      <c r="E3547" t="s">
        <v>22095</v>
      </c>
      <c r="F3547" t="s">
        <v>32664</v>
      </c>
      <c r="G3547" t="s">
        <v>32672</v>
      </c>
      <c r="H3547" t="s">
        <v>32682</v>
      </c>
      <c r="I3547" t="s">
        <v>6223</v>
      </c>
      <c r="J3547" t="s">
        <v>33128</v>
      </c>
      <c r="K3547" t="s">
        <v>42284</v>
      </c>
      <c r="M3547" t="s">
        <v>43965</v>
      </c>
      <c r="N3547" t="s">
        <v>46569</v>
      </c>
      <c r="O3547" t="s">
        <v>46570</v>
      </c>
      <c r="P3547">
        <v>0</v>
      </c>
      <c r="Q3547">
        <v>1</v>
      </c>
      <c r="R3547" t="s">
        <v>46572</v>
      </c>
      <c r="S3547" t="s">
        <v>46689</v>
      </c>
      <c r="T3547" t="s">
        <v>48456</v>
      </c>
      <c r="U3547" t="s">
        <v>51726</v>
      </c>
      <c r="V3547" t="s">
        <v>61965</v>
      </c>
      <c r="W3547" t="s">
        <v>43965</v>
      </c>
      <c r="X3547" t="s">
        <v>46573</v>
      </c>
    </row>
    <row r="3548" spans="1:24">
      <c r="A3548">
        <f>HYPERLINK("https://www.philgeps.gov.ph/GEPSNONPILOT/Tender/SplashBidNoticeAbstractUI.aspx?menuIndex=3&amp;refID=7063021&amp;Result=3","7063021")</f>
        <v>0</v>
      </c>
      <c r="B3548" t="s">
        <v>1372</v>
      </c>
      <c r="C3548" t="s">
        <v>6946</v>
      </c>
      <c r="D3548" t="s">
        <v>18782</v>
      </c>
      <c r="E3548" t="s">
        <v>22096</v>
      </c>
      <c r="F3548" t="s">
        <v>32664</v>
      </c>
      <c r="G3548" t="s">
        <v>32671</v>
      </c>
      <c r="H3548" t="s">
        <v>12635</v>
      </c>
      <c r="I3548" t="s">
        <v>14442</v>
      </c>
      <c r="J3548" t="s">
        <v>34384</v>
      </c>
      <c r="K3548" t="s">
        <v>42311</v>
      </c>
      <c r="M3548" t="s">
        <v>44027</v>
      </c>
      <c r="N3548" t="s">
        <v>46569</v>
      </c>
      <c r="O3548" t="s">
        <v>46570</v>
      </c>
      <c r="P3548">
        <v>0</v>
      </c>
      <c r="Q3548">
        <v>7</v>
      </c>
      <c r="R3548" t="s">
        <v>46572</v>
      </c>
      <c r="S3548" t="s">
        <v>46689</v>
      </c>
      <c r="T3548" t="s">
        <v>48467</v>
      </c>
      <c r="U3548" t="s">
        <v>51727</v>
      </c>
      <c r="W3548" t="s">
        <v>44027</v>
      </c>
      <c r="X3548" t="s">
        <v>46573</v>
      </c>
    </row>
    <row r="3549" spans="1:24">
      <c r="A3549">
        <f>HYPERLINK("https://www.philgeps.gov.ph/GEPSNONPILOT/Tender/SplashBidNoticeAbstractUI.aspx?menuIndex=3&amp;refID=7063026&amp;Result=3","7063026")</f>
        <v>0</v>
      </c>
      <c r="B3549" t="s">
        <v>1373</v>
      </c>
      <c r="C3549" t="s">
        <v>6947</v>
      </c>
      <c r="D3549" t="s">
        <v>18826</v>
      </c>
      <c r="E3549" t="s">
        <v>22097</v>
      </c>
      <c r="F3549" t="s">
        <v>32664</v>
      </c>
      <c r="G3549" t="s">
        <v>32671</v>
      </c>
      <c r="H3549" t="s">
        <v>12635</v>
      </c>
      <c r="I3549" t="s">
        <v>6168</v>
      </c>
      <c r="J3549" t="s">
        <v>32917</v>
      </c>
      <c r="K3549" t="s">
        <v>42289</v>
      </c>
      <c r="M3549" t="s">
        <v>44028</v>
      </c>
      <c r="N3549" t="s">
        <v>46569</v>
      </c>
      <c r="O3549" t="s">
        <v>46570</v>
      </c>
      <c r="P3549">
        <v>0</v>
      </c>
      <c r="Q3549">
        <v>1</v>
      </c>
      <c r="R3549" t="s">
        <v>46572</v>
      </c>
      <c r="S3549" t="s">
        <v>46689</v>
      </c>
      <c r="T3549" t="s">
        <v>48244</v>
      </c>
      <c r="U3549" t="s">
        <v>51728</v>
      </c>
      <c r="V3549" t="s">
        <v>61985</v>
      </c>
      <c r="W3549" t="s">
        <v>44028</v>
      </c>
      <c r="X3549" t="s">
        <v>46573</v>
      </c>
    </row>
    <row r="3550" spans="1:24">
      <c r="A3550">
        <f>HYPERLINK("https://www.philgeps.gov.ph/GEPSNONPILOT/Tender/SplashBidNoticeAbstractUI.aspx?menuIndex=3&amp;refID=7063020&amp;Result=3","7063020")</f>
        <v>0</v>
      </c>
      <c r="B3550" t="s">
        <v>690</v>
      </c>
      <c r="C3550" t="s">
        <v>6948</v>
      </c>
      <c r="E3550" t="s">
        <v>22098</v>
      </c>
      <c r="F3550" t="s">
        <v>32664</v>
      </c>
      <c r="G3550" t="s">
        <v>32672</v>
      </c>
      <c r="H3550" t="s">
        <v>32683</v>
      </c>
      <c r="I3550" t="s">
        <v>10627</v>
      </c>
      <c r="J3550" t="s">
        <v>34379</v>
      </c>
      <c r="K3550" t="s">
        <v>42311</v>
      </c>
      <c r="L3550" t="s">
        <v>690</v>
      </c>
      <c r="M3550" t="s">
        <v>43277</v>
      </c>
      <c r="N3550" t="s">
        <v>46569</v>
      </c>
      <c r="O3550" t="s">
        <v>46570</v>
      </c>
      <c r="P3550">
        <v>0</v>
      </c>
      <c r="Q3550">
        <v>0</v>
      </c>
      <c r="R3550" t="s">
        <v>46572</v>
      </c>
      <c r="S3550" t="s">
        <v>46689</v>
      </c>
      <c r="T3550" t="s">
        <v>48362</v>
      </c>
      <c r="U3550" t="s">
        <v>51586</v>
      </c>
      <c r="W3550" t="s">
        <v>43277</v>
      </c>
      <c r="X3550" t="s">
        <v>46573</v>
      </c>
    </row>
    <row r="3551" spans="1:24">
      <c r="A3551">
        <f>HYPERLINK("https://www.philgeps.gov.ph/GEPSNONPILOT/Tender/SplashBidNoticeAbstractUI.aspx?menuIndex=3&amp;refID=7063054&amp;Result=3","7063054")</f>
        <v>0</v>
      </c>
      <c r="B3551" t="s">
        <v>1374</v>
      </c>
      <c r="C3551" t="s">
        <v>6949</v>
      </c>
      <c r="D3551" t="s">
        <v>18821</v>
      </c>
      <c r="E3551" t="s">
        <v>22099</v>
      </c>
      <c r="F3551" t="s">
        <v>32664</v>
      </c>
      <c r="G3551" t="s">
        <v>32672</v>
      </c>
      <c r="H3551" t="s">
        <v>12635</v>
      </c>
      <c r="I3551" t="s">
        <v>10361</v>
      </c>
      <c r="J3551" t="s">
        <v>35188</v>
      </c>
      <c r="K3551" t="s">
        <v>42297</v>
      </c>
      <c r="M3551" t="s">
        <v>44029</v>
      </c>
      <c r="N3551" t="s">
        <v>46569</v>
      </c>
      <c r="O3551" t="s">
        <v>46570</v>
      </c>
      <c r="P3551">
        <v>0</v>
      </c>
      <c r="Q3551">
        <v>0</v>
      </c>
      <c r="R3551" t="s">
        <v>46572</v>
      </c>
      <c r="S3551" t="s">
        <v>46689</v>
      </c>
      <c r="T3551" t="s">
        <v>48368</v>
      </c>
      <c r="U3551" t="s">
        <v>51729</v>
      </c>
      <c r="W3551" t="s">
        <v>44029</v>
      </c>
      <c r="X3551" t="s">
        <v>46573</v>
      </c>
    </row>
    <row r="3552" spans="1:24">
      <c r="A3552">
        <f>HYPERLINK("https://www.philgeps.gov.ph/GEPSNONPILOT/Tender/SplashBidNoticeAbstractUI.aspx?menuIndex=3&amp;refID=7063053&amp;Result=3","7063053")</f>
        <v>0</v>
      </c>
      <c r="B3552" t="s">
        <v>750</v>
      </c>
      <c r="C3552" t="s">
        <v>6950</v>
      </c>
      <c r="E3552" t="s">
        <v>22100</v>
      </c>
      <c r="F3552" t="s">
        <v>32664</v>
      </c>
      <c r="G3552" t="s">
        <v>32672</v>
      </c>
      <c r="H3552" t="s">
        <v>12635</v>
      </c>
      <c r="I3552" t="s">
        <v>32694</v>
      </c>
      <c r="J3552" t="s">
        <v>35189</v>
      </c>
      <c r="K3552" t="s">
        <v>42283</v>
      </c>
      <c r="M3552" t="s">
        <v>43340</v>
      </c>
      <c r="N3552" t="s">
        <v>46569</v>
      </c>
      <c r="O3552" t="s">
        <v>46570</v>
      </c>
      <c r="P3552">
        <v>0</v>
      </c>
      <c r="Q3552">
        <v>2</v>
      </c>
      <c r="R3552" t="s">
        <v>46572</v>
      </c>
      <c r="S3552" t="s">
        <v>46689</v>
      </c>
      <c r="T3552" t="s">
        <v>48308</v>
      </c>
      <c r="U3552" t="s">
        <v>51730</v>
      </c>
      <c r="W3552" t="s">
        <v>63511</v>
      </c>
      <c r="X3552" t="s">
        <v>46573</v>
      </c>
    </row>
    <row r="3553" spans="1:24">
      <c r="A3553">
        <f>HYPERLINK("https://www.philgeps.gov.ph/GEPSNONPILOT/Tender/SplashBidNoticeAbstractUI.aspx?menuIndex=3&amp;refID=7063052&amp;Result=3","7063052")</f>
        <v>0</v>
      </c>
      <c r="B3553" t="s">
        <v>1261</v>
      </c>
      <c r="C3553" t="s">
        <v>6951</v>
      </c>
      <c r="D3553" t="s">
        <v>18804</v>
      </c>
      <c r="E3553" t="s">
        <v>21815</v>
      </c>
      <c r="F3553" t="s">
        <v>32664</v>
      </c>
      <c r="G3553" t="s">
        <v>32672</v>
      </c>
      <c r="H3553" t="s">
        <v>32683</v>
      </c>
      <c r="I3553" t="s">
        <v>10627</v>
      </c>
      <c r="J3553" t="s">
        <v>32930</v>
      </c>
      <c r="K3553" t="s">
        <v>42314</v>
      </c>
      <c r="M3553" t="s">
        <v>43904</v>
      </c>
      <c r="N3553" t="s">
        <v>46569</v>
      </c>
      <c r="O3553" t="s">
        <v>46570</v>
      </c>
      <c r="P3553">
        <v>0</v>
      </c>
      <c r="Q3553">
        <v>1</v>
      </c>
      <c r="R3553" t="s">
        <v>46572</v>
      </c>
      <c r="S3553" t="s">
        <v>46689</v>
      </c>
      <c r="T3553" t="s">
        <v>48220</v>
      </c>
      <c r="U3553" t="s">
        <v>51731</v>
      </c>
      <c r="W3553" t="s">
        <v>43904</v>
      </c>
      <c r="X3553" t="s">
        <v>46573</v>
      </c>
    </row>
    <row r="3554" spans="1:24">
      <c r="A3554">
        <f>HYPERLINK("https://www.philgeps.gov.ph/GEPSNONPILOT/Tender/SplashBidNoticeAbstractUI.aspx?menuIndex=3&amp;refID=7063050&amp;Result=3","7063050")</f>
        <v>0</v>
      </c>
      <c r="B3554" t="s">
        <v>212</v>
      </c>
      <c r="C3554" t="s">
        <v>6952</v>
      </c>
      <c r="D3554" t="s">
        <v>18844</v>
      </c>
      <c r="E3554" t="s">
        <v>22101</v>
      </c>
      <c r="F3554" t="s">
        <v>32664</v>
      </c>
      <c r="G3554" t="s">
        <v>32677</v>
      </c>
      <c r="H3554" t="s">
        <v>12635</v>
      </c>
      <c r="I3554" t="s">
        <v>5589</v>
      </c>
      <c r="J3554" t="s">
        <v>33163</v>
      </c>
      <c r="K3554" t="s">
        <v>42289</v>
      </c>
      <c r="M3554" t="s">
        <v>42776</v>
      </c>
      <c r="N3554" t="s">
        <v>46569</v>
      </c>
      <c r="O3554" t="s">
        <v>46570</v>
      </c>
      <c r="P3554">
        <v>0</v>
      </c>
      <c r="Q3554">
        <v>2</v>
      </c>
      <c r="R3554" t="s">
        <v>46572</v>
      </c>
      <c r="S3554" t="s">
        <v>46689</v>
      </c>
      <c r="T3554" t="s">
        <v>48311</v>
      </c>
      <c r="U3554" t="s">
        <v>51732</v>
      </c>
      <c r="V3554" t="s">
        <v>61668</v>
      </c>
      <c r="W3554" t="s">
        <v>42776</v>
      </c>
      <c r="X3554" t="s">
        <v>46573</v>
      </c>
    </row>
    <row r="3555" spans="1:24">
      <c r="A3555">
        <f>HYPERLINK("https://www.philgeps.gov.ph/GEPSNONPILOT/Tender/SplashBidNoticeAbstractUI.aspx?menuIndex=3&amp;refID=7063049&amp;Result=3","7063049")</f>
        <v>0</v>
      </c>
      <c r="B3555" t="s">
        <v>1375</v>
      </c>
      <c r="C3555" t="s">
        <v>6953</v>
      </c>
      <c r="D3555" t="s">
        <v>18791</v>
      </c>
      <c r="E3555" t="s">
        <v>22102</v>
      </c>
      <c r="F3555" t="s">
        <v>32664</v>
      </c>
      <c r="G3555" t="s">
        <v>32674</v>
      </c>
      <c r="H3555" t="s">
        <v>12635</v>
      </c>
      <c r="I3555" t="s">
        <v>8797</v>
      </c>
      <c r="J3555" t="s">
        <v>35190</v>
      </c>
      <c r="K3555" t="s">
        <v>42297</v>
      </c>
      <c r="M3555" t="s">
        <v>44030</v>
      </c>
      <c r="N3555" t="s">
        <v>46569</v>
      </c>
      <c r="O3555" t="s">
        <v>46570</v>
      </c>
      <c r="P3555">
        <v>0</v>
      </c>
      <c r="Q3555">
        <v>3</v>
      </c>
      <c r="R3555" t="s">
        <v>46572</v>
      </c>
      <c r="S3555" t="s">
        <v>46689</v>
      </c>
      <c r="T3555" t="s">
        <v>48224</v>
      </c>
      <c r="U3555" t="s">
        <v>51733</v>
      </c>
      <c r="W3555" t="s">
        <v>44030</v>
      </c>
      <c r="X3555" t="s">
        <v>46573</v>
      </c>
    </row>
    <row r="3556" spans="1:24">
      <c r="A3556">
        <f>HYPERLINK("https://www.philgeps.gov.ph/GEPSNONPILOT/Tender/SplashBidNoticeAbstractUI.aspx?menuIndex=3&amp;refID=7063031&amp;Result=3","7063031")</f>
        <v>0</v>
      </c>
      <c r="B3556" t="s">
        <v>328</v>
      </c>
      <c r="C3556" t="s">
        <v>6954</v>
      </c>
      <c r="D3556" t="s">
        <v>18813</v>
      </c>
      <c r="E3556" t="s">
        <v>18889</v>
      </c>
      <c r="F3556" t="s">
        <v>32664</v>
      </c>
      <c r="G3556" t="s">
        <v>32674</v>
      </c>
      <c r="H3556" t="s">
        <v>12635</v>
      </c>
      <c r="I3556" t="s">
        <v>32734</v>
      </c>
      <c r="J3556" t="s">
        <v>35191</v>
      </c>
      <c r="K3556" t="s">
        <v>42295</v>
      </c>
      <c r="M3556" t="s">
        <v>42896</v>
      </c>
      <c r="N3556" t="s">
        <v>46569</v>
      </c>
      <c r="O3556" t="s">
        <v>46570</v>
      </c>
      <c r="P3556">
        <v>0</v>
      </c>
      <c r="Q3556">
        <v>0</v>
      </c>
      <c r="R3556" t="s">
        <v>46572</v>
      </c>
      <c r="S3556" t="s">
        <v>46689</v>
      </c>
      <c r="T3556" t="s">
        <v>48254</v>
      </c>
      <c r="U3556" t="s">
        <v>49375</v>
      </c>
      <c r="W3556" t="s">
        <v>42896</v>
      </c>
      <c r="X3556" t="s">
        <v>46573</v>
      </c>
    </row>
    <row r="3557" spans="1:24">
      <c r="A3557">
        <f>HYPERLINK("https://www.philgeps.gov.ph/GEPSNONPILOT/Tender/SplashBidNoticeAbstractUI.aspx?menuIndex=3&amp;refID=7063048&amp;Result=3","7063048")</f>
        <v>0</v>
      </c>
      <c r="B3557" t="s">
        <v>1376</v>
      </c>
      <c r="C3557" t="s">
        <v>6955</v>
      </c>
      <c r="D3557" t="s">
        <v>18841</v>
      </c>
      <c r="E3557" t="s">
        <v>22103</v>
      </c>
      <c r="F3557" t="s">
        <v>32664</v>
      </c>
      <c r="G3557" t="s">
        <v>32671</v>
      </c>
      <c r="H3557" t="s">
        <v>12635</v>
      </c>
      <c r="I3557" t="s">
        <v>32706</v>
      </c>
      <c r="J3557" t="s">
        <v>35192</v>
      </c>
      <c r="K3557" t="s">
        <v>42289</v>
      </c>
      <c r="M3557" t="s">
        <v>44031</v>
      </c>
      <c r="N3557" t="s">
        <v>46569</v>
      </c>
      <c r="O3557" t="s">
        <v>46570</v>
      </c>
      <c r="P3557">
        <v>0</v>
      </c>
      <c r="Q3557">
        <v>0</v>
      </c>
      <c r="R3557" t="s">
        <v>46572</v>
      </c>
      <c r="S3557" t="s">
        <v>46689</v>
      </c>
      <c r="T3557" t="s">
        <v>48436</v>
      </c>
      <c r="U3557" t="s">
        <v>51734</v>
      </c>
      <c r="V3557" t="s">
        <v>61986</v>
      </c>
      <c r="W3557" t="s">
        <v>44031</v>
      </c>
      <c r="X3557" t="s">
        <v>46573</v>
      </c>
    </row>
    <row r="3558" spans="1:24">
      <c r="A3558">
        <f>HYPERLINK("https://www.philgeps.gov.ph/GEPSNONPILOT/Tender/SplashBidNoticeAbstractUI.aspx?menuIndex=3&amp;refID=7063047&amp;Result=3","7063047")</f>
        <v>0</v>
      </c>
      <c r="B3558" t="s">
        <v>538</v>
      </c>
      <c r="C3558" t="s">
        <v>6956</v>
      </c>
      <c r="D3558" t="s">
        <v>18846</v>
      </c>
      <c r="E3558" t="s">
        <v>22104</v>
      </c>
      <c r="F3558" t="s">
        <v>32664</v>
      </c>
      <c r="G3558" t="s">
        <v>32671</v>
      </c>
      <c r="H3558" t="s">
        <v>12635</v>
      </c>
      <c r="I3558" t="s">
        <v>6223</v>
      </c>
      <c r="J3558" t="s">
        <v>35193</v>
      </c>
      <c r="K3558" t="s">
        <v>42305</v>
      </c>
      <c r="M3558" t="s">
        <v>43117</v>
      </c>
      <c r="N3558" t="s">
        <v>46569</v>
      </c>
      <c r="O3558" t="s">
        <v>46570</v>
      </c>
      <c r="P3558">
        <v>0</v>
      </c>
      <c r="Q3558">
        <v>2</v>
      </c>
      <c r="R3558" t="s">
        <v>46572</v>
      </c>
      <c r="S3558" t="s">
        <v>46689</v>
      </c>
      <c r="T3558" t="s">
        <v>48221</v>
      </c>
      <c r="U3558" t="s">
        <v>51735</v>
      </c>
      <c r="W3558" t="s">
        <v>43117</v>
      </c>
      <c r="X3558" t="s">
        <v>46573</v>
      </c>
    </row>
    <row r="3559" spans="1:24">
      <c r="A3559">
        <f>HYPERLINK("https://www.philgeps.gov.ph/GEPSNONPILOT/Tender/SplashBidNoticeAbstractUI.aspx?menuIndex=3&amp;refID=7063046&amp;Result=3","7063046")</f>
        <v>0</v>
      </c>
      <c r="B3559" t="s">
        <v>885</v>
      </c>
      <c r="C3559" t="s">
        <v>6957</v>
      </c>
      <c r="D3559" t="s">
        <v>18819</v>
      </c>
      <c r="E3559" t="s">
        <v>22105</v>
      </c>
      <c r="F3559" t="s">
        <v>32664</v>
      </c>
      <c r="G3559" t="s">
        <v>32675</v>
      </c>
      <c r="H3559" t="s">
        <v>12635</v>
      </c>
      <c r="I3559" t="s">
        <v>5589</v>
      </c>
      <c r="J3559" t="s">
        <v>35194</v>
      </c>
      <c r="K3559" t="s">
        <v>42283</v>
      </c>
      <c r="M3559" t="s">
        <v>43486</v>
      </c>
      <c r="N3559" t="s">
        <v>46569</v>
      </c>
      <c r="O3559" t="s">
        <v>46570</v>
      </c>
      <c r="P3559">
        <v>0</v>
      </c>
      <c r="Q3559">
        <v>2</v>
      </c>
      <c r="R3559" t="s">
        <v>46572</v>
      </c>
      <c r="S3559" t="s">
        <v>46689</v>
      </c>
      <c r="T3559" t="s">
        <v>48256</v>
      </c>
      <c r="U3559" t="s">
        <v>51736</v>
      </c>
      <c r="V3559" t="s">
        <v>61836</v>
      </c>
      <c r="W3559" t="s">
        <v>43486</v>
      </c>
      <c r="X3559" t="s">
        <v>46573</v>
      </c>
    </row>
    <row r="3560" spans="1:24">
      <c r="A3560">
        <f>HYPERLINK("https://www.philgeps.gov.ph/GEPSNONPILOT/Tender/SplashBidNoticeAbstractUI.aspx?menuIndex=3&amp;refID=7063045&amp;Result=3","7063045")</f>
        <v>0</v>
      </c>
      <c r="B3560" t="s">
        <v>1288</v>
      </c>
      <c r="C3560" t="s">
        <v>6958</v>
      </c>
      <c r="D3560" t="s">
        <v>18824</v>
      </c>
      <c r="E3560" t="s">
        <v>22020</v>
      </c>
      <c r="F3560" t="s">
        <v>32664</v>
      </c>
      <c r="G3560" t="s">
        <v>32672</v>
      </c>
      <c r="H3560" t="s">
        <v>32683</v>
      </c>
      <c r="I3560" t="s">
        <v>10627</v>
      </c>
      <c r="J3560" t="s">
        <v>32837</v>
      </c>
      <c r="K3560" t="s">
        <v>42369</v>
      </c>
      <c r="M3560" t="s">
        <v>43931</v>
      </c>
      <c r="N3560" t="s">
        <v>46569</v>
      </c>
      <c r="O3560" t="s">
        <v>46570</v>
      </c>
      <c r="P3560">
        <v>0</v>
      </c>
      <c r="Q3560">
        <v>0</v>
      </c>
      <c r="R3560" t="s">
        <v>46572</v>
      </c>
      <c r="S3560" t="s">
        <v>46689</v>
      </c>
      <c r="T3560" t="s">
        <v>48484</v>
      </c>
      <c r="U3560" t="s">
        <v>51737</v>
      </c>
      <c r="V3560" t="s">
        <v>61987</v>
      </c>
      <c r="W3560" t="s">
        <v>43931</v>
      </c>
      <c r="X3560" t="s">
        <v>46573</v>
      </c>
    </row>
    <row r="3561" spans="1:24">
      <c r="A3561">
        <f>HYPERLINK("https://www.philgeps.gov.ph/GEPSNONPILOT/Tender/SplashBidNoticeAbstractUI.aspx?menuIndex=3&amp;refID=7062817&amp;Result=3","7062817")</f>
        <v>0</v>
      </c>
      <c r="B3561" t="s">
        <v>612</v>
      </c>
      <c r="C3561" t="s">
        <v>6959</v>
      </c>
      <c r="D3561" t="s">
        <v>18834</v>
      </c>
      <c r="E3561" t="s">
        <v>22106</v>
      </c>
      <c r="F3561" t="s">
        <v>32665</v>
      </c>
      <c r="G3561" t="s">
        <v>32674</v>
      </c>
      <c r="H3561" t="s">
        <v>12635</v>
      </c>
      <c r="I3561" t="s">
        <v>4439</v>
      </c>
      <c r="J3561" t="s">
        <v>33212</v>
      </c>
      <c r="K3561" t="s">
        <v>42332</v>
      </c>
      <c r="M3561" t="s">
        <v>43192</v>
      </c>
      <c r="N3561" t="s">
        <v>46569</v>
      </c>
      <c r="O3561" t="s">
        <v>46570</v>
      </c>
      <c r="P3561">
        <v>0</v>
      </c>
      <c r="Q3561">
        <v>0</v>
      </c>
      <c r="R3561" t="s">
        <v>46572</v>
      </c>
      <c r="S3561" t="s">
        <v>46689</v>
      </c>
      <c r="T3561" t="s">
        <v>48219</v>
      </c>
      <c r="U3561" t="s">
        <v>51738</v>
      </c>
      <c r="W3561" t="s">
        <v>43192</v>
      </c>
      <c r="X3561" t="s">
        <v>46573</v>
      </c>
    </row>
    <row r="3562" spans="1:24">
      <c r="A3562">
        <f>HYPERLINK("https://www.philgeps.gov.ph/GEPSNONPILOT/Tender/SplashBidNoticeAbstractUI.aspx?menuIndex=3&amp;refID=7063019&amp;Result=3","7063019")</f>
        <v>0</v>
      </c>
      <c r="B3562" t="s">
        <v>1358</v>
      </c>
      <c r="C3562" t="s">
        <v>6960</v>
      </c>
      <c r="D3562" t="s">
        <v>18782</v>
      </c>
      <c r="E3562" t="s">
        <v>20248</v>
      </c>
      <c r="F3562" t="s">
        <v>32664</v>
      </c>
      <c r="G3562" t="s">
        <v>32674</v>
      </c>
      <c r="H3562" t="s">
        <v>12635</v>
      </c>
      <c r="I3562" t="s">
        <v>6168</v>
      </c>
      <c r="J3562" t="s">
        <v>35195</v>
      </c>
      <c r="K3562" t="s">
        <v>42295</v>
      </c>
      <c r="M3562" t="s">
        <v>44012</v>
      </c>
      <c r="N3562" t="s">
        <v>46569</v>
      </c>
      <c r="O3562" t="s">
        <v>46570</v>
      </c>
      <c r="P3562">
        <v>0</v>
      </c>
      <c r="Q3562">
        <v>1</v>
      </c>
      <c r="R3562" t="s">
        <v>46572</v>
      </c>
      <c r="S3562" t="s">
        <v>46689</v>
      </c>
      <c r="T3562" t="s">
        <v>48254</v>
      </c>
      <c r="U3562" t="s">
        <v>51739</v>
      </c>
      <c r="W3562" t="s">
        <v>44012</v>
      </c>
      <c r="X3562" t="s">
        <v>46573</v>
      </c>
    </row>
    <row r="3563" spans="1:24">
      <c r="A3563">
        <f>HYPERLINK("https://www.philgeps.gov.ph/GEPSNONPILOT/Tender/SplashBidNoticeAbstractUI.aspx?menuIndex=3&amp;refID=7062859&amp;Result=3","7062859")</f>
        <v>0</v>
      </c>
      <c r="B3563" t="s">
        <v>897</v>
      </c>
      <c r="C3563" t="s">
        <v>6961</v>
      </c>
      <c r="D3563" t="s">
        <v>18830</v>
      </c>
      <c r="E3563" t="s">
        <v>22107</v>
      </c>
      <c r="F3563" t="s">
        <v>32664</v>
      </c>
      <c r="G3563" t="s">
        <v>32671</v>
      </c>
      <c r="H3563" t="s">
        <v>12635</v>
      </c>
      <c r="I3563" t="s">
        <v>10627</v>
      </c>
      <c r="J3563" t="s">
        <v>33295</v>
      </c>
      <c r="K3563" t="s">
        <v>42306</v>
      </c>
      <c r="M3563" t="s">
        <v>43501</v>
      </c>
      <c r="N3563" t="s">
        <v>46569</v>
      </c>
      <c r="O3563" t="s">
        <v>46570</v>
      </c>
      <c r="P3563">
        <v>0</v>
      </c>
      <c r="Q3563">
        <v>0</v>
      </c>
      <c r="R3563" t="s">
        <v>46572</v>
      </c>
      <c r="S3563" t="s">
        <v>46689</v>
      </c>
      <c r="T3563" t="s">
        <v>48221</v>
      </c>
      <c r="U3563" t="s">
        <v>50544</v>
      </c>
      <c r="W3563" t="s">
        <v>43501</v>
      </c>
      <c r="X3563" t="s">
        <v>46573</v>
      </c>
    </row>
    <row r="3564" spans="1:24">
      <c r="A3564">
        <f>HYPERLINK("https://www.philgeps.gov.ph/GEPSNONPILOT/Tender/SplashBidNoticeAbstractUI.aspx?menuIndex=3&amp;refID=7063043&amp;Result=3","7063043")</f>
        <v>0</v>
      </c>
      <c r="B3564" t="s">
        <v>1373</v>
      </c>
      <c r="C3564" t="s">
        <v>6962</v>
      </c>
      <c r="D3564" t="s">
        <v>18826</v>
      </c>
      <c r="E3564" t="s">
        <v>22108</v>
      </c>
      <c r="F3564" t="s">
        <v>32664</v>
      </c>
      <c r="G3564" t="s">
        <v>32671</v>
      </c>
      <c r="H3564" t="s">
        <v>12635</v>
      </c>
      <c r="I3564" t="s">
        <v>10361</v>
      </c>
      <c r="J3564" t="s">
        <v>33221</v>
      </c>
      <c r="K3564" t="s">
        <v>42289</v>
      </c>
      <c r="M3564" t="s">
        <v>44028</v>
      </c>
      <c r="N3564" t="s">
        <v>46569</v>
      </c>
      <c r="O3564" t="s">
        <v>46570</v>
      </c>
      <c r="P3564">
        <v>0</v>
      </c>
      <c r="Q3564">
        <v>0</v>
      </c>
      <c r="R3564" t="s">
        <v>46572</v>
      </c>
      <c r="S3564" t="s">
        <v>46689</v>
      </c>
      <c r="T3564" t="s">
        <v>48244</v>
      </c>
      <c r="U3564" t="s">
        <v>51740</v>
      </c>
      <c r="V3564" t="s">
        <v>61985</v>
      </c>
      <c r="W3564" t="s">
        <v>44028</v>
      </c>
      <c r="X3564" t="s">
        <v>46573</v>
      </c>
    </row>
    <row r="3565" spans="1:24">
      <c r="A3565">
        <f>HYPERLINK("https://www.philgeps.gov.ph/GEPSNONPILOT/Tender/SplashBidNoticeAbstractUI.aspx?menuIndex=3&amp;refID=7063074&amp;Result=3","7063074")</f>
        <v>0</v>
      </c>
      <c r="B3565" t="s">
        <v>1377</v>
      </c>
      <c r="C3565" t="s">
        <v>6963</v>
      </c>
      <c r="D3565" t="s">
        <v>18786</v>
      </c>
      <c r="E3565" t="s">
        <v>22109</v>
      </c>
      <c r="F3565" t="s">
        <v>32664</v>
      </c>
      <c r="G3565" t="s">
        <v>32671</v>
      </c>
      <c r="H3565" t="s">
        <v>12635</v>
      </c>
      <c r="I3565" t="s">
        <v>32685</v>
      </c>
      <c r="J3565" t="s">
        <v>35196</v>
      </c>
      <c r="K3565" t="s">
        <v>42289</v>
      </c>
      <c r="M3565" t="s">
        <v>44032</v>
      </c>
      <c r="N3565" t="s">
        <v>46569</v>
      </c>
      <c r="O3565" t="s">
        <v>46570</v>
      </c>
      <c r="P3565">
        <v>0</v>
      </c>
      <c r="Q3565">
        <v>0</v>
      </c>
      <c r="R3565" t="s">
        <v>46572</v>
      </c>
      <c r="S3565" t="s">
        <v>46689</v>
      </c>
      <c r="T3565" t="s">
        <v>48217</v>
      </c>
      <c r="U3565" t="s">
        <v>51741</v>
      </c>
      <c r="V3565" t="s">
        <v>61988</v>
      </c>
      <c r="W3565" t="s">
        <v>44032</v>
      </c>
      <c r="X3565" t="s">
        <v>46573</v>
      </c>
    </row>
    <row r="3566" spans="1:24">
      <c r="A3566">
        <f>HYPERLINK("https://www.philgeps.gov.ph/GEPSNONPILOT/Tender/SplashBidNoticeAbstractUI.aspx?menuIndex=3&amp;refID=7063051&amp;Result=3","7063051")</f>
        <v>0</v>
      </c>
      <c r="B3566" t="s">
        <v>1277</v>
      </c>
      <c r="C3566" t="s">
        <v>6964</v>
      </c>
      <c r="D3566" t="s">
        <v>18789</v>
      </c>
      <c r="E3566" t="s">
        <v>21852</v>
      </c>
      <c r="F3566" t="s">
        <v>32666</v>
      </c>
      <c r="G3566" t="s">
        <v>32671</v>
      </c>
      <c r="H3566" t="s">
        <v>12635</v>
      </c>
      <c r="I3566" t="s">
        <v>4439</v>
      </c>
      <c r="J3566" t="s">
        <v>35197</v>
      </c>
      <c r="K3566" t="s">
        <v>42295</v>
      </c>
      <c r="M3566" t="s">
        <v>43920</v>
      </c>
      <c r="N3566" t="s">
        <v>46569</v>
      </c>
      <c r="O3566" t="s">
        <v>46570</v>
      </c>
      <c r="P3566">
        <v>0</v>
      </c>
      <c r="Q3566">
        <v>0</v>
      </c>
      <c r="R3566" t="s">
        <v>46572</v>
      </c>
      <c r="S3566" t="s">
        <v>46689</v>
      </c>
      <c r="T3566" t="s">
        <v>48373</v>
      </c>
      <c r="U3566" t="s">
        <v>51742</v>
      </c>
      <c r="W3566" t="s">
        <v>43920</v>
      </c>
      <c r="X3566" t="s">
        <v>46573</v>
      </c>
    </row>
    <row r="3567" spans="1:24">
      <c r="A3567">
        <f>HYPERLINK("https://www.philgeps.gov.ph/GEPSNONPILOT/Tender/SplashBidNoticeAbstractUI.aspx?menuIndex=3&amp;refID=7063071&amp;Result=3","7063071")</f>
        <v>0</v>
      </c>
      <c r="B3567" t="s">
        <v>1378</v>
      </c>
      <c r="C3567" t="s">
        <v>6965</v>
      </c>
      <c r="E3567" t="s">
        <v>22110</v>
      </c>
      <c r="F3567" t="s">
        <v>32664</v>
      </c>
      <c r="G3567" t="s">
        <v>32672</v>
      </c>
      <c r="H3567" t="s">
        <v>32683</v>
      </c>
      <c r="I3567" t="s">
        <v>10627</v>
      </c>
      <c r="J3567" t="s">
        <v>33167</v>
      </c>
      <c r="K3567" t="s">
        <v>42283</v>
      </c>
      <c r="M3567" t="s">
        <v>44033</v>
      </c>
      <c r="N3567" t="s">
        <v>46569</v>
      </c>
      <c r="O3567" t="s">
        <v>46570</v>
      </c>
      <c r="P3567">
        <v>0</v>
      </c>
      <c r="Q3567">
        <v>0</v>
      </c>
      <c r="R3567" t="s">
        <v>46572</v>
      </c>
      <c r="S3567" t="s">
        <v>46689</v>
      </c>
      <c r="T3567" t="s">
        <v>48224</v>
      </c>
      <c r="U3567" t="s">
        <v>51743</v>
      </c>
      <c r="W3567" t="s">
        <v>44033</v>
      </c>
      <c r="X3567" t="s">
        <v>46573</v>
      </c>
    </row>
    <row r="3568" spans="1:24">
      <c r="A3568">
        <f>HYPERLINK("https://www.philgeps.gov.ph/GEPSNONPILOT/Tender/SplashBidNoticeAbstractUI.aspx?menuIndex=3&amp;refID=7063070&amp;Result=3","7063070")</f>
        <v>0</v>
      </c>
      <c r="B3568" t="s">
        <v>1324</v>
      </c>
      <c r="C3568" t="s">
        <v>6966</v>
      </c>
      <c r="D3568" t="s">
        <v>18827</v>
      </c>
      <c r="E3568" t="s">
        <v>19612</v>
      </c>
      <c r="F3568" t="s">
        <v>32664</v>
      </c>
      <c r="G3568" t="s">
        <v>32671</v>
      </c>
      <c r="H3568" t="s">
        <v>12635</v>
      </c>
      <c r="I3568" t="s">
        <v>6223</v>
      </c>
      <c r="J3568" t="s">
        <v>35198</v>
      </c>
      <c r="K3568" t="s">
        <v>42339</v>
      </c>
      <c r="M3568" t="s">
        <v>43973</v>
      </c>
      <c r="N3568" t="s">
        <v>46569</v>
      </c>
      <c r="O3568" t="s">
        <v>46570</v>
      </c>
      <c r="P3568">
        <v>0</v>
      </c>
      <c r="Q3568">
        <v>0</v>
      </c>
      <c r="R3568" t="s">
        <v>46572</v>
      </c>
      <c r="S3568" t="s">
        <v>46689</v>
      </c>
      <c r="T3568" t="s">
        <v>48219</v>
      </c>
      <c r="U3568" t="s">
        <v>51744</v>
      </c>
      <c r="W3568" t="s">
        <v>43973</v>
      </c>
      <c r="X3568" t="s">
        <v>46573</v>
      </c>
    </row>
    <row r="3569" spans="1:24">
      <c r="A3569">
        <f>HYPERLINK("https://www.philgeps.gov.ph/GEPSNONPILOT/Tender/SplashBidNoticeAbstractUI.aspx?menuIndex=3&amp;refID=7063068&amp;Result=3","7063068")</f>
        <v>0</v>
      </c>
      <c r="B3569" t="s">
        <v>1373</v>
      </c>
      <c r="C3569" t="s">
        <v>6967</v>
      </c>
      <c r="D3569" t="s">
        <v>18826</v>
      </c>
      <c r="E3569" t="s">
        <v>22111</v>
      </c>
      <c r="F3569" t="s">
        <v>32664</v>
      </c>
      <c r="G3569" t="s">
        <v>32671</v>
      </c>
      <c r="H3569" t="s">
        <v>12635</v>
      </c>
      <c r="I3569" t="s">
        <v>32746</v>
      </c>
      <c r="J3569" t="s">
        <v>32853</v>
      </c>
      <c r="K3569" t="s">
        <v>42289</v>
      </c>
      <c r="M3569" t="s">
        <v>44028</v>
      </c>
      <c r="N3569" t="s">
        <v>46569</v>
      </c>
      <c r="O3569" t="s">
        <v>46570</v>
      </c>
      <c r="P3569">
        <v>0</v>
      </c>
      <c r="Q3569">
        <v>1</v>
      </c>
      <c r="R3569" t="s">
        <v>46572</v>
      </c>
      <c r="S3569" t="s">
        <v>46689</v>
      </c>
      <c r="T3569" t="s">
        <v>48244</v>
      </c>
      <c r="U3569" t="s">
        <v>51745</v>
      </c>
      <c r="V3569" t="s">
        <v>61985</v>
      </c>
      <c r="W3569" t="s">
        <v>44028</v>
      </c>
      <c r="X3569" t="s">
        <v>46573</v>
      </c>
    </row>
    <row r="3570" spans="1:24">
      <c r="A3570">
        <f>HYPERLINK("https://www.philgeps.gov.ph/GEPSNONPILOT/Tender/SplashBidNoticeAbstractUI.aspx?menuIndex=3&amp;refID=7063073&amp;Result=3","7063073")</f>
        <v>0</v>
      </c>
      <c r="B3570" t="s">
        <v>1088</v>
      </c>
      <c r="C3570" t="s">
        <v>6968</v>
      </c>
      <c r="D3570" t="s">
        <v>18804</v>
      </c>
      <c r="E3570" t="s">
        <v>22112</v>
      </c>
      <c r="F3570" t="s">
        <v>32664</v>
      </c>
      <c r="G3570" t="s">
        <v>32672</v>
      </c>
      <c r="H3570" t="s">
        <v>32683</v>
      </c>
      <c r="I3570" t="s">
        <v>10627</v>
      </c>
      <c r="J3570" t="s">
        <v>35199</v>
      </c>
      <c r="K3570" t="s">
        <v>42413</v>
      </c>
      <c r="M3570" t="s">
        <v>43714</v>
      </c>
      <c r="N3570" t="s">
        <v>46569</v>
      </c>
      <c r="O3570" t="s">
        <v>46570</v>
      </c>
      <c r="P3570">
        <v>0</v>
      </c>
      <c r="Q3570">
        <v>0</v>
      </c>
      <c r="R3570" t="s">
        <v>46572</v>
      </c>
      <c r="S3570" t="s">
        <v>46689</v>
      </c>
      <c r="T3570" t="s">
        <v>48222</v>
      </c>
      <c r="U3570" t="s">
        <v>51746</v>
      </c>
      <c r="V3570" t="s">
        <v>61896</v>
      </c>
      <c r="W3570" t="s">
        <v>43714</v>
      </c>
      <c r="X3570" t="s">
        <v>46573</v>
      </c>
    </row>
    <row r="3571" spans="1:24">
      <c r="A3571">
        <f>HYPERLINK("https://www.philgeps.gov.ph/GEPSNONPILOT/Tender/SplashBidNoticeAbstractUI.aspx?menuIndex=3&amp;refID=7063072&amp;Result=3","7063072")</f>
        <v>0</v>
      </c>
      <c r="B3571" t="s">
        <v>332</v>
      </c>
      <c r="C3571" t="s">
        <v>6969</v>
      </c>
      <c r="D3571" t="s">
        <v>18818</v>
      </c>
      <c r="E3571" t="s">
        <v>22113</v>
      </c>
      <c r="F3571" t="s">
        <v>32664</v>
      </c>
      <c r="G3571" t="s">
        <v>32671</v>
      </c>
      <c r="H3571" t="s">
        <v>12635</v>
      </c>
      <c r="I3571" t="s">
        <v>7429</v>
      </c>
      <c r="J3571" t="s">
        <v>35200</v>
      </c>
      <c r="K3571" t="s">
        <v>42295</v>
      </c>
      <c r="M3571" t="s">
        <v>42900</v>
      </c>
      <c r="N3571" t="s">
        <v>46569</v>
      </c>
      <c r="O3571" t="s">
        <v>46570</v>
      </c>
      <c r="P3571">
        <v>0</v>
      </c>
      <c r="Q3571">
        <v>0</v>
      </c>
      <c r="R3571" t="s">
        <v>46572</v>
      </c>
      <c r="S3571" t="s">
        <v>46689</v>
      </c>
      <c r="T3571" t="s">
        <v>48244</v>
      </c>
      <c r="U3571" t="s">
        <v>51747</v>
      </c>
      <c r="W3571" t="s">
        <v>42900</v>
      </c>
      <c r="X3571" t="s">
        <v>46573</v>
      </c>
    </row>
    <row r="3572" spans="1:24">
      <c r="A3572">
        <f>HYPERLINK("https://www.philgeps.gov.ph/GEPSNONPILOT/Tender/SplashBidNoticeAbstractUI.aspx?menuIndex=3&amp;refID=7063066&amp;Result=3","7063066")</f>
        <v>0</v>
      </c>
      <c r="B3572" t="s">
        <v>1349</v>
      </c>
      <c r="C3572" t="s">
        <v>6970</v>
      </c>
      <c r="D3572" t="s">
        <v>18790</v>
      </c>
      <c r="E3572" t="s">
        <v>22114</v>
      </c>
      <c r="F3572" t="s">
        <v>32664</v>
      </c>
      <c r="G3572" t="s">
        <v>32672</v>
      </c>
      <c r="H3572" t="s">
        <v>12635</v>
      </c>
      <c r="I3572" t="s">
        <v>4333</v>
      </c>
      <c r="J3572" t="s">
        <v>35201</v>
      </c>
      <c r="K3572" t="s">
        <v>42289</v>
      </c>
      <c r="M3572" t="s">
        <v>44001</v>
      </c>
      <c r="N3572" t="s">
        <v>46569</v>
      </c>
      <c r="O3572" t="s">
        <v>46570</v>
      </c>
      <c r="P3572">
        <v>0</v>
      </c>
      <c r="Q3572">
        <v>0</v>
      </c>
      <c r="R3572" t="s">
        <v>46572</v>
      </c>
      <c r="S3572" t="s">
        <v>46689</v>
      </c>
      <c r="T3572" t="s">
        <v>48304</v>
      </c>
      <c r="U3572" t="s">
        <v>51663</v>
      </c>
      <c r="W3572" t="s">
        <v>44001</v>
      </c>
      <c r="X3572" t="s">
        <v>46573</v>
      </c>
    </row>
    <row r="3573" spans="1:24">
      <c r="A3573">
        <f>HYPERLINK("https://www.philgeps.gov.ph/GEPSNONPILOT/Tender/SplashBidNoticeAbstractUI.aspx?menuIndex=3&amp;refID=7063069&amp;Result=3","7063069")</f>
        <v>0</v>
      </c>
      <c r="B3573" t="s">
        <v>902</v>
      </c>
      <c r="C3573" t="s">
        <v>6971</v>
      </c>
      <c r="D3573" t="s">
        <v>18785</v>
      </c>
      <c r="E3573" t="s">
        <v>22115</v>
      </c>
      <c r="F3573" t="s">
        <v>32664</v>
      </c>
      <c r="G3573" t="s">
        <v>32674</v>
      </c>
      <c r="H3573" t="s">
        <v>12635</v>
      </c>
      <c r="I3573" t="s">
        <v>32689</v>
      </c>
      <c r="J3573" t="s">
        <v>35202</v>
      </c>
      <c r="K3573" t="s">
        <v>42311</v>
      </c>
      <c r="M3573" t="s">
        <v>43506</v>
      </c>
      <c r="N3573" t="s">
        <v>46569</v>
      </c>
      <c r="O3573" t="s">
        <v>46570</v>
      </c>
      <c r="P3573">
        <v>0</v>
      </c>
      <c r="Q3573">
        <v>1</v>
      </c>
      <c r="R3573" t="s">
        <v>46572</v>
      </c>
      <c r="S3573" t="s">
        <v>46689</v>
      </c>
      <c r="T3573" t="s">
        <v>48256</v>
      </c>
      <c r="U3573" t="s">
        <v>51748</v>
      </c>
      <c r="W3573" t="s">
        <v>63494</v>
      </c>
      <c r="X3573" t="s">
        <v>46573</v>
      </c>
    </row>
    <row r="3574" spans="1:24">
      <c r="A3574">
        <f>HYPERLINK("https://www.philgeps.gov.ph/GEPSNONPILOT/Tender/SplashBidNoticeAbstractUI.aspx?menuIndex=3&amp;refID=7063067&amp;Result=3","7063067")</f>
        <v>0</v>
      </c>
      <c r="B3574" t="s">
        <v>1342</v>
      </c>
      <c r="C3574" t="s">
        <v>6972</v>
      </c>
      <c r="D3574" t="s">
        <v>18787</v>
      </c>
      <c r="E3574" t="s">
        <v>22116</v>
      </c>
      <c r="F3574" t="s">
        <v>32664</v>
      </c>
      <c r="G3574" t="s">
        <v>32671</v>
      </c>
      <c r="H3574" t="s">
        <v>12635</v>
      </c>
      <c r="I3574" t="s">
        <v>32717</v>
      </c>
      <c r="J3574" t="s">
        <v>34076</v>
      </c>
      <c r="K3574" t="s">
        <v>42283</v>
      </c>
      <c r="M3574" t="s">
        <v>43992</v>
      </c>
      <c r="N3574" t="s">
        <v>46569</v>
      </c>
      <c r="O3574" t="s">
        <v>46570</v>
      </c>
      <c r="P3574">
        <v>0</v>
      </c>
      <c r="Q3574">
        <v>3</v>
      </c>
      <c r="R3574" t="s">
        <v>46572</v>
      </c>
      <c r="S3574" t="s">
        <v>46689</v>
      </c>
      <c r="T3574" t="s">
        <v>48293</v>
      </c>
      <c r="U3574" t="s">
        <v>51749</v>
      </c>
      <c r="W3574" t="s">
        <v>43992</v>
      </c>
      <c r="X3574" t="s">
        <v>46573</v>
      </c>
    </row>
    <row r="3575" spans="1:24">
      <c r="A3575">
        <f>HYPERLINK("https://www.philgeps.gov.ph/GEPSNONPILOT/Tender/SplashBidNoticeAbstractUI.aspx?menuIndex=3&amp;refID=7063075&amp;Result=3","7063075")</f>
        <v>0</v>
      </c>
      <c r="B3575" t="s">
        <v>27</v>
      </c>
      <c r="C3575" t="s">
        <v>6973</v>
      </c>
      <c r="E3575" t="s">
        <v>22117</v>
      </c>
      <c r="F3575" t="s">
        <v>32664</v>
      </c>
      <c r="G3575" t="s">
        <v>32675</v>
      </c>
      <c r="H3575" t="s">
        <v>12635</v>
      </c>
      <c r="I3575" t="s">
        <v>7759</v>
      </c>
      <c r="J3575" t="s">
        <v>35203</v>
      </c>
      <c r="K3575" t="s">
        <v>42283</v>
      </c>
      <c r="M3575" t="s">
        <v>43316</v>
      </c>
      <c r="N3575" t="s">
        <v>46569</v>
      </c>
      <c r="O3575" t="s">
        <v>46570</v>
      </c>
      <c r="P3575">
        <v>0</v>
      </c>
      <c r="Q3575">
        <v>3</v>
      </c>
      <c r="R3575" t="s">
        <v>46572</v>
      </c>
      <c r="S3575" t="s">
        <v>46689</v>
      </c>
      <c r="T3575" t="s">
        <v>48217</v>
      </c>
      <c r="U3575" t="s">
        <v>50148</v>
      </c>
      <c r="W3575" t="s">
        <v>43316</v>
      </c>
      <c r="X3575" t="s">
        <v>46573</v>
      </c>
    </row>
    <row r="3576" spans="1:24">
      <c r="A3576">
        <f>HYPERLINK("https://www.philgeps.gov.ph/GEPSNONPILOT/Tender/SplashBidNoticeAbstractUI.aspx?menuIndex=3&amp;refID=7063097&amp;Result=3","7063097")</f>
        <v>0</v>
      </c>
      <c r="B3576" t="s">
        <v>1173</v>
      </c>
      <c r="C3576" t="s">
        <v>6974</v>
      </c>
      <c r="E3576" t="s">
        <v>22118</v>
      </c>
      <c r="F3576" t="s">
        <v>32664</v>
      </c>
      <c r="G3576" t="s">
        <v>32671</v>
      </c>
      <c r="H3576" t="s">
        <v>12635</v>
      </c>
      <c r="I3576" t="s">
        <v>6168</v>
      </c>
      <c r="J3576" t="s">
        <v>34776</v>
      </c>
      <c r="K3576" t="s">
        <v>42283</v>
      </c>
      <c r="M3576" t="s">
        <v>43807</v>
      </c>
      <c r="N3576" t="s">
        <v>46569</v>
      </c>
      <c r="O3576" t="s">
        <v>46570</v>
      </c>
      <c r="P3576">
        <v>0</v>
      </c>
      <c r="Q3576">
        <v>13</v>
      </c>
      <c r="R3576" t="s">
        <v>46572</v>
      </c>
      <c r="S3576" t="s">
        <v>46689</v>
      </c>
      <c r="T3576" t="s">
        <v>48217</v>
      </c>
      <c r="U3576" t="s">
        <v>50477</v>
      </c>
      <c r="W3576" t="s">
        <v>43807</v>
      </c>
      <c r="X3576" t="s">
        <v>46573</v>
      </c>
    </row>
    <row r="3577" spans="1:24">
      <c r="A3577">
        <f>HYPERLINK("https://www.philgeps.gov.ph/GEPSNONPILOT/Tender/SplashBidNoticeAbstractUI.aspx?menuIndex=3&amp;refID=7063100&amp;Result=3","7063100")</f>
        <v>0</v>
      </c>
      <c r="B3577" t="s">
        <v>1379</v>
      </c>
      <c r="C3577" t="s">
        <v>6975</v>
      </c>
      <c r="D3577" t="s">
        <v>18816</v>
      </c>
      <c r="E3577" t="s">
        <v>22119</v>
      </c>
      <c r="F3577" t="s">
        <v>32664</v>
      </c>
      <c r="G3577" t="s">
        <v>32671</v>
      </c>
      <c r="H3577" t="s">
        <v>12635</v>
      </c>
      <c r="I3577" t="s">
        <v>6553</v>
      </c>
      <c r="J3577" t="s">
        <v>35204</v>
      </c>
      <c r="K3577" t="s">
        <v>42283</v>
      </c>
      <c r="M3577" t="s">
        <v>44034</v>
      </c>
      <c r="N3577" t="s">
        <v>46569</v>
      </c>
      <c r="O3577" t="s">
        <v>46570</v>
      </c>
      <c r="P3577">
        <v>0</v>
      </c>
      <c r="Q3577">
        <v>0</v>
      </c>
      <c r="R3577" t="s">
        <v>46572</v>
      </c>
      <c r="S3577" t="s">
        <v>46689</v>
      </c>
      <c r="T3577" t="s">
        <v>48285</v>
      </c>
      <c r="U3577" t="s">
        <v>51750</v>
      </c>
      <c r="W3577" t="s">
        <v>44034</v>
      </c>
      <c r="X3577" t="s">
        <v>46573</v>
      </c>
    </row>
    <row r="3578" spans="1:24">
      <c r="A3578">
        <f>HYPERLINK("https://www.philgeps.gov.ph/GEPSNONPILOT/Tender/SplashBidNoticeAbstractUI.aspx?menuIndex=3&amp;refID=7063023&amp;Result=3","7063023")</f>
        <v>0</v>
      </c>
      <c r="B3578" t="s">
        <v>320</v>
      </c>
      <c r="C3578" t="s">
        <v>6976</v>
      </c>
      <c r="D3578" t="s">
        <v>18802</v>
      </c>
      <c r="E3578" t="s">
        <v>22120</v>
      </c>
      <c r="F3578" t="s">
        <v>32664</v>
      </c>
      <c r="G3578" t="s">
        <v>32672</v>
      </c>
      <c r="H3578" t="s">
        <v>12635</v>
      </c>
      <c r="I3578" t="s">
        <v>5589</v>
      </c>
      <c r="J3578" t="s">
        <v>32943</v>
      </c>
      <c r="K3578" t="s">
        <v>42289</v>
      </c>
      <c r="M3578" t="s">
        <v>42888</v>
      </c>
      <c r="N3578" t="s">
        <v>46569</v>
      </c>
      <c r="O3578" t="s">
        <v>46570</v>
      </c>
      <c r="P3578">
        <v>0</v>
      </c>
      <c r="Q3578">
        <v>6</v>
      </c>
      <c r="R3578" t="s">
        <v>46572</v>
      </c>
      <c r="S3578" t="s">
        <v>46689</v>
      </c>
      <c r="T3578" t="s">
        <v>48216</v>
      </c>
      <c r="U3578" t="s">
        <v>51751</v>
      </c>
      <c r="W3578" t="s">
        <v>42888</v>
      </c>
      <c r="X3578" t="s">
        <v>46573</v>
      </c>
    </row>
    <row r="3579" spans="1:24">
      <c r="A3579">
        <f>HYPERLINK("https://www.philgeps.gov.ph/GEPSNONPILOT/Tender/SplashBidNoticeAbstractUI.aspx?menuIndex=3&amp;refID=7063102&amp;Result=3","7063102")</f>
        <v>0</v>
      </c>
      <c r="B3579" t="s">
        <v>1380</v>
      </c>
      <c r="C3579" t="s">
        <v>6977</v>
      </c>
      <c r="D3579" t="s">
        <v>18809</v>
      </c>
      <c r="E3579" t="s">
        <v>22121</v>
      </c>
      <c r="F3579" t="s">
        <v>32664</v>
      </c>
      <c r="G3579" t="s">
        <v>32672</v>
      </c>
      <c r="H3579" t="s">
        <v>12635</v>
      </c>
      <c r="I3579" t="s">
        <v>32704</v>
      </c>
      <c r="J3579" t="s">
        <v>35205</v>
      </c>
      <c r="K3579" t="s">
        <v>42297</v>
      </c>
      <c r="L3579" t="s">
        <v>1380</v>
      </c>
      <c r="M3579" t="s">
        <v>44035</v>
      </c>
      <c r="N3579" t="s">
        <v>46569</v>
      </c>
      <c r="O3579" t="s">
        <v>46570</v>
      </c>
      <c r="P3579">
        <v>0</v>
      </c>
      <c r="Q3579">
        <v>9</v>
      </c>
      <c r="R3579" t="s">
        <v>46572</v>
      </c>
      <c r="S3579" t="s">
        <v>46689</v>
      </c>
      <c r="T3579" t="s">
        <v>48226</v>
      </c>
      <c r="U3579" t="s">
        <v>51752</v>
      </c>
      <c r="V3579" t="s">
        <v>61989</v>
      </c>
      <c r="W3579" t="s">
        <v>44035</v>
      </c>
      <c r="X3579" t="s">
        <v>46573</v>
      </c>
    </row>
    <row r="3580" spans="1:24">
      <c r="A3580">
        <f>HYPERLINK("https://www.philgeps.gov.ph/GEPSNONPILOT/Tender/SplashBidNoticeAbstractUI.aspx?menuIndex=3&amp;refID=7063096&amp;Result=3","7063096")</f>
        <v>0</v>
      </c>
      <c r="B3580" t="s">
        <v>1381</v>
      </c>
      <c r="C3580" t="s">
        <v>6978</v>
      </c>
      <c r="D3580" t="s">
        <v>18804</v>
      </c>
      <c r="E3580" t="s">
        <v>22122</v>
      </c>
      <c r="F3580" t="s">
        <v>32664</v>
      </c>
      <c r="G3580" t="s">
        <v>32671</v>
      </c>
      <c r="H3580" t="s">
        <v>12635</v>
      </c>
      <c r="I3580" t="s">
        <v>4205</v>
      </c>
      <c r="J3580" t="s">
        <v>35206</v>
      </c>
      <c r="K3580" t="s">
        <v>42281</v>
      </c>
      <c r="M3580" t="s">
        <v>44036</v>
      </c>
      <c r="N3580" t="s">
        <v>46569</v>
      </c>
      <c r="O3580" t="s">
        <v>46570</v>
      </c>
      <c r="P3580">
        <v>0</v>
      </c>
      <c r="Q3580">
        <v>0</v>
      </c>
      <c r="R3580" t="s">
        <v>46572</v>
      </c>
      <c r="S3580" t="s">
        <v>46689</v>
      </c>
      <c r="T3580" t="s">
        <v>48217</v>
      </c>
      <c r="U3580" t="s">
        <v>51753</v>
      </c>
      <c r="V3580" t="s">
        <v>61990</v>
      </c>
      <c r="W3580" t="s">
        <v>44036</v>
      </c>
      <c r="X3580" t="s">
        <v>46573</v>
      </c>
    </row>
    <row r="3581" spans="1:24">
      <c r="A3581">
        <f>HYPERLINK("https://www.philgeps.gov.ph/GEPSNONPILOT/Tender/SplashBidNoticeAbstractUI.aspx?menuIndex=3&amp;refID=7063092&amp;Result=3","7063092")</f>
        <v>0</v>
      </c>
      <c r="B3581" t="s">
        <v>1378</v>
      </c>
      <c r="C3581" t="s">
        <v>6979</v>
      </c>
      <c r="E3581" t="s">
        <v>22123</v>
      </c>
      <c r="F3581" t="s">
        <v>32664</v>
      </c>
      <c r="G3581" t="s">
        <v>32672</v>
      </c>
      <c r="H3581" t="s">
        <v>32683</v>
      </c>
      <c r="I3581" t="s">
        <v>10627</v>
      </c>
      <c r="J3581" t="s">
        <v>35207</v>
      </c>
      <c r="K3581" t="s">
        <v>42283</v>
      </c>
      <c r="M3581" t="s">
        <v>44033</v>
      </c>
      <c r="N3581" t="s">
        <v>46569</v>
      </c>
      <c r="O3581" t="s">
        <v>46570</v>
      </c>
      <c r="P3581">
        <v>0</v>
      </c>
      <c r="Q3581">
        <v>0</v>
      </c>
      <c r="R3581" t="s">
        <v>46572</v>
      </c>
      <c r="S3581" t="s">
        <v>46689</v>
      </c>
      <c r="T3581" t="s">
        <v>48224</v>
      </c>
      <c r="U3581" t="s">
        <v>50619</v>
      </c>
      <c r="W3581" t="s">
        <v>44033</v>
      </c>
      <c r="X3581" t="s">
        <v>46573</v>
      </c>
    </row>
    <row r="3582" spans="1:24">
      <c r="A3582">
        <f>HYPERLINK("https://www.philgeps.gov.ph/GEPSNONPILOT/Tender/SplashBidNoticeAbstractUI.aspx?menuIndex=3&amp;refID=7063044&amp;Result=3","7063044")</f>
        <v>0</v>
      </c>
      <c r="B3582" t="s">
        <v>1382</v>
      </c>
      <c r="C3582" t="s">
        <v>6980</v>
      </c>
      <c r="E3582" t="s">
        <v>22124</v>
      </c>
      <c r="F3582" t="s">
        <v>32664</v>
      </c>
      <c r="G3582" t="s">
        <v>32672</v>
      </c>
      <c r="H3582" t="s">
        <v>12635</v>
      </c>
      <c r="I3582" t="s">
        <v>4439</v>
      </c>
      <c r="J3582" t="s">
        <v>35208</v>
      </c>
      <c r="K3582" t="s">
        <v>42283</v>
      </c>
      <c r="M3582" t="s">
        <v>44037</v>
      </c>
      <c r="N3582" t="s">
        <v>46569</v>
      </c>
      <c r="O3582" t="s">
        <v>46570</v>
      </c>
      <c r="P3582">
        <v>0</v>
      </c>
      <c r="Q3582">
        <v>0</v>
      </c>
      <c r="R3582" t="s">
        <v>46572</v>
      </c>
      <c r="S3582" t="s">
        <v>46689</v>
      </c>
      <c r="T3582" t="s">
        <v>48222</v>
      </c>
      <c r="U3582" t="s">
        <v>51754</v>
      </c>
      <c r="W3582" t="s">
        <v>44037</v>
      </c>
      <c r="X3582" t="s">
        <v>46573</v>
      </c>
    </row>
    <row r="3583" spans="1:24">
      <c r="A3583">
        <f>HYPERLINK("https://www.philgeps.gov.ph/GEPSNONPILOT/Tender/SplashBidNoticeAbstractUI.aspx?menuIndex=3&amp;refID=7063091&amp;Result=3","7063091")</f>
        <v>0</v>
      </c>
      <c r="B3583" t="s">
        <v>1333</v>
      </c>
      <c r="C3583" t="s">
        <v>6981</v>
      </c>
      <c r="D3583" t="s">
        <v>18792</v>
      </c>
      <c r="E3583" t="s">
        <v>19218</v>
      </c>
      <c r="F3583" t="s">
        <v>32664</v>
      </c>
      <c r="G3583" t="s">
        <v>32672</v>
      </c>
      <c r="H3583" t="s">
        <v>12635</v>
      </c>
      <c r="I3583" t="s">
        <v>32728</v>
      </c>
      <c r="J3583" t="s">
        <v>35209</v>
      </c>
      <c r="K3583" t="s">
        <v>42303</v>
      </c>
      <c r="M3583" t="s">
        <v>43982</v>
      </c>
      <c r="N3583" t="s">
        <v>46569</v>
      </c>
      <c r="O3583" t="s">
        <v>46570</v>
      </c>
      <c r="P3583">
        <v>0</v>
      </c>
      <c r="Q3583">
        <v>0</v>
      </c>
      <c r="R3583" t="s">
        <v>46572</v>
      </c>
      <c r="S3583" t="s">
        <v>46689</v>
      </c>
      <c r="T3583" t="s">
        <v>48380</v>
      </c>
      <c r="U3583" t="s">
        <v>51625</v>
      </c>
      <c r="W3583" t="s">
        <v>43982</v>
      </c>
      <c r="X3583" t="s">
        <v>46573</v>
      </c>
    </row>
    <row r="3584" spans="1:24">
      <c r="A3584">
        <f>HYPERLINK("https://www.philgeps.gov.ph/GEPSNONPILOT/Tender/SplashBidNoticeAbstractUI.aspx?menuIndex=3&amp;refID=7063064&amp;Result=3","7063064")</f>
        <v>0</v>
      </c>
      <c r="B3584" t="s">
        <v>1017</v>
      </c>
      <c r="C3584" t="s">
        <v>6982</v>
      </c>
      <c r="D3584" t="s">
        <v>18781</v>
      </c>
      <c r="E3584" t="s">
        <v>22125</v>
      </c>
      <c r="F3584" t="s">
        <v>32664</v>
      </c>
      <c r="G3584" t="s">
        <v>32672</v>
      </c>
      <c r="H3584" t="s">
        <v>12635</v>
      </c>
      <c r="I3584" t="s">
        <v>6553</v>
      </c>
      <c r="J3584" t="s">
        <v>35210</v>
      </c>
      <c r="K3584" t="s">
        <v>42281</v>
      </c>
      <c r="M3584" t="s">
        <v>43629</v>
      </c>
      <c r="N3584" t="s">
        <v>46569</v>
      </c>
      <c r="O3584" t="s">
        <v>46570</v>
      </c>
      <c r="P3584">
        <v>0</v>
      </c>
      <c r="Q3584">
        <v>1</v>
      </c>
      <c r="R3584" t="s">
        <v>46572</v>
      </c>
      <c r="S3584" t="s">
        <v>46689</v>
      </c>
      <c r="T3584" t="s">
        <v>48216</v>
      </c>
      <c r="U3584" t="s">
        <v>51755</v>
      </c>
      <c r="V3584" t="s">
        <v>61872</v>
      </c>
      <c r="W3584" t="s">
        <v>43629</v>
      </c>
      <c r="X3584" t="s">
        <v>46573</v>
      </c>
    </row>
    <row r="3585" spans="1:24">
      <c r="A3585">
        <f>HYPERLINK("https://www.philgeps.gov.ph/GEPSNONPILOT/Tender/SplashBidNoticeAbstractUI.aspx?menuIndex=3&amp;refID=7063089&amp;Result=3","7063089")</f>
        <v>0</v>
      </c>
      <c r="B3585" t="s">
        <v>1383</v>
      </c>
      <c r="C3585" t="s">
        <v>6983</v>
      </c>
      <c r="D3585" t="s">
        <v>18837</v>
      </c>
      <c r="E3585" t="s">
        <v>22126</v>
      </c>
      <c r="F3585" t="s">
        <v>32664</v>
      </c>
      <c r="G3585" t="s">
        <v>32677</v>
      </c>
      <c r="H3585" t="s">
        <v>12635</v>
      </c>
      <c r="I3585" t="s">
        <v>5589</v>
      </c>
      <c r="J3585" t="s">
        <v>35211</v>
      </c>
      <c r="K3585" t="s">
        <v>42289</v>
      </c>
      <c r="M3585" t="s">
        <v>44038</v>
      </c>
      <c r="N3585" t="s">
        <v>46569</v>
      </c>
      <c r="O3585" t="s">
        <v>46570</v>
      </c>
      <c r="P3585">
        <v>0</v>
      </c>
      <c r="Q3585">
        <v>1</v>
      </c>
      <c r="R3585" t="s">
        <v>46572</v>
      </c>
      <c r="S3585" t="s">
        <v>46689</v>
      </c>
      <c r="T3585" t="s">
        <v>48283</v>
      </c>
      <c r="U3585" t="s">
        <v>51756</v>
      </c>
      <c r="W3585" t="s">
        <v>44038</v>
      </c>
      <c r="X3585" t="s">
        <v>46573</v>
      </c>
    </row>
    <row r="3586" spans="1:24">
      <c r="A3586">
        <f>HYPERLINK("https://www.philgeps.gov.ph/GEPSNONPILOT/Tender/SplashBidNoticeAbstractUI.aspx?menuIndex=3&amp;refID=7063095&amp;Result=3","7063095")</f>
        <v>0</v>
      </c>
      <c r="B3586" t="s">
        <v>1384</v>
      </c>
      <c r="C3586" t="s">
        <v>6984</v>
      </c>
      <c r="D3586" t="s">
        <v>18784</v>
      </c>
      <c r="E3586" t="s">
        <v>22127</v>
      </c>
      <c r="F3586" t="s">
        <v>32664</v>
      </c>
      <c r="G3586" t="s">
        <v>32675</v>
      </c>
      <c r="H3586" t="s">
        <v>12635</v>
      </c>
      <c r="I3586" t="s">
        <v>8797</v>
      </c>
      <c r="J3586" t="s">
        <v>33118</v>
      </c>
      <c r="K3586" t="s">
        <v>42289</v>
      </c>
      <c r="M3586" t="s">
        <v>44039</v>
      </c>
      <c r="N3586" t="s">
        <v>46569</v>
      </c>
      <c r="O3586" t="s">
        <v>46570</v>
      </c>
      <c r="P3586">
        <v>0</v>
      </c>
      <c r="Q3586">
        <v>5</v>
      </c>
      <c r="R3586" t="s">
        <v>46572</v>
      </c>
      <c r="S3586" t="s">
        <v>46689</v>
      </c>
      <c r="T3586" t="s">
        <v>48331</v>
      </c>
      <c r="U3586" t="s">
        <v>51757</v>
      </c>
      <c r="V3586" t="s">
        <v>61991</v>
      </c>
      <c r="W3586" t="s">
        <v>44039</v>
      </c>
      <c r="X3586" t="s">
        <v>46573</v>
      </c>
    </row>
    <row r="3587" spans="1:24">
      <c r="A3587">
        <f>HYPERLINK("https://www.philgeps.gov.ph/GEPSNONPILOT/Tender/SplashBidNoticeAbstractUI.aspx?menuIndex=3&amp;refID=7063127&amp;Result=3","7063127")</f>
        <v>0</v>
      </c>
      <c r="B3587" t="s">
        <v>879</v>
      </c>
      <c r="C3587" t="s">
        <v>6985</v>
      </c>
      <c r="D3587" t="s">
        <v>18821</v>
      </c>
      <c r="E3587" t="s">
        <v>22128</v>
      </c>
      <c r="F3587" t="s">
        <v>32664</v>
      </c>
      <c r="G3587" t="s">
        <v>32671</v>
      </c>
      <c r="H3587" t="s">
        <v>12635</v>
      </c>
      <c r="I3587" t="s">
        <v>10627</v>
      </c>
      <c r="J3587" t="s">
        <v>33126</v>
      </c>
      <c r="K3587" t="s">
        <v>42283</v>
      </c>
      <c r="M3587" t="s">
        <v>43479</v>
      </c>
      <c r="N3587" t="s">
        <v>46569</v>
      </c>
      <c r="O3587" t="s">
        <v>46570</v>
      </c>
      <c r="P3587">
        <v>0</v>
      </c>
      <c r="Q3587">
        <v>0</v>
      </c>
      <c r="R3587" t="s">
        <v>46572</v>
      </c>
      <c r="S3587" t="s">
        <v>46689</v>
      </c>
      <c r="T3587" t="s">
        <v>48244</v>
      </c>
      <c r="U3587" t="s">
        <v>51758</v>
      </c>
      <c r="W3587" t="s">
        <v>43479</v>
      </c>
      <c r="X3587" t="s">
        <v>46573</v>
      </c>
    </row>
    <row r="3588" spans="1:24">
      <c r="A3588">
        <f>HYPERLINK("https://www.philgeps.gov.ph/GEPSNONPILOT/Tender/SplashBidNoticeAbstractUI.aspx?menuIndex=3&amp;refID=7063126&amp;Result=3","7063126")</f>
        <v>0</v>
      </c>
      <c r="B3588" t="s">
        <v>1353</v>
      </c>
      <c r="C3588" t="s">
        <v>6986</v>
      </c>
      <c r="D3588" t="s">
        <v>18815</v>
      </c>
      <c r="E3588" t="s">
        <v>22129</v>
      </c>
      <c r="F3588" t="s">
        <v>32664</v>
      </c>
      <c r="G3588" t="s">
        <v>32674</v>
      </c>
      <c r="H3588" t="s">
        <v>12635</v>
      </c>
      <c r="I3588" t="s">
        <v>5589</v>
      </c>
      <c r="J3588" t="s">
        <v>32959</v>
      </c>
      <c r="K3588" t="s">
        <v>42289</v>
      </c>
      <c r="M3588" t="s">
        <v>44005</v>
      </c>
      <c r="N3588" t="s">
        <v>46569</v>
      </c>
      <c r="O3588" t="s">
        <v>46570</v>
      </c>
      <c r="P3588">
        <v>0</v>
      </c>
      <c r="Q3588">
        <v>1</v>
      </c>
      <c r="R3588" t="s">
        <v>46572</v>
      </c>
      <c r="S3588" t="s">
        <v>46689</v>
      </c>
      <c r="T3588" t="s">
        <v>48427</v>
      </c>
      <c r="U3588" t="s">
        <v>51759</v>
      </c>
      <c r="W3588" t="s">
        <v>44005</v>
      </c>
      <c r="X3588" t="s">
        <v>46573</v>
      </c>
    </row>
    <row r="3589" spans="1:24">
      <c r="A3589">
        <f>HYPERLINK("https://www.philgeps.gov.ph/GEPSNONPILOT/Tender/SplashBidNoticeAbstractUI.aspx?menuIndex=3&amp;refID=7063125&amp;Result=3","7063125")</f>
        <v>0</v>
      </c>
      <c r="B3589" t="s">
        <v>491</v>
      </c>
      <c r="C3589" t="s">
        <v>6150</v>
      </c>
      <c r="E3589" t="s">
        <v>22130</v>
      </c>
      <c r="F3589" t="s">
        <v>32664</v>
      </c>
      <c r="G3589" t="s">
        <v>32671</v>
      </c>
      <c r="H3589" t="s">
        <v>12635</v>
      </c>
      <c r="I3589" t="s">
        <v>32685</v>
      </c>
      <c r="J3589" t="s">
        <v>35212</v>
      </c>
      <c r="K3589" t="s">
        <v>42283</v>
      </c>
      <c r="M3589" t="s">
        <v>43067</v>
      </c>
      <c r="N3589" t="s">
        <v>46569</v>
      </c>
      <c r="O3589" t="s">
        <v>46570</v>
      </c>
      <c r="P3589">
        <v>0</v>
      </c>
      <c r="Q3589">
        <v>2</v>
      </c>
      <c r="R3589" t="s">
        <v>46572</v>
      </c>
      <c r="S3589" t="s">
        <v>46689</v>
      </c>
      <c r="T3589" t="s">
        <v>48249</v>
      </c>
      <c r="U3589" t="s">
        <v>51760</v>
      </c>
      <c r="W3589" t="s">
        <v>43067</v>
      </c>
      <c r="X3589" t="s">
        <v>46573</v>
      </c>
    </row>
    <row r="3590" spans="1:24">
      <c r="A3590">
        <f>HYPERLINK("https://www.philgeps.gov.ph/GEPSNONPILOT/Tender/SplashBidNoticeAbstractUI.aspx?menuIndex=3&amp;refID=7063121&amp;Result=3","7063121")</f>
        <v>0</v>
      </c>
      <c r="B3590" t="s">
        <v>1385</v>
      </c>
      <c r="C3590" t="s">
        <v>6987</v>
      </c>
      <c r="D3590" t="s">
        <v>18827</v>
      </c>
      <c r="E3590" t="s">
        <v>22131</v>
      </c>
      <c r="F3590" t="s">
        <v>32664</v>
      </c>
      <c r="G3590" t="s">
        <v>32672</v>
      </c>
      <c r="H3590" t="s">
        <v>32683</v>
      </c>
      <c r="I3590" t="s">
        <v>10627</v>
      </c>
      <c r="J3590" t="s">
        <v>35213</v>
      </c>
      <c r="K3590" t="s">
        <v>42290</v>
      </c>
      <c r="L3590" t="s">
        <v>1385</v>
      </c>
      <c r="M3590" t="s">
        <v>44040</v>
      </c>
      <c r="N3590" t="s">
        <v>46569</v>
      </c>
      <c r="O3590" t="s">
        <v>46570</v>
      </c>
      <c r="P3590">
        <v>0</v>
      </c>
      <c r="Q3590">
        <v>0</v>
      </c>
      <c r="R3590" t="s">
        <v>46572</v>
      </c>
      <c r="S3590" t="s">
        <v>46689</v>
      </c>
      <c r="T3590" t="s">
        <v>48270</v>
      </c>
      <c r="U3590" t="s">
        <v>51761</v>
      </c>
      <c r="W3590" t="s">
        <v>44040</v>
      </c>
      <c r="X3590" t="s">
        <v>46573</v>
      </c>
    </row>
    <row r="3591" spans="1:24">
      <c r="A3591">
        <f>HYPERLINK("https://www.philgeps.gov.ph/GEPSNONPILOT/Tender/SplashBidNoticeAbstractUI.aspx?menuIndex=3&amp;refID=7063065&amp;Result=3","7063065")</f>
        <v>0</v>
      </c>
      <c r="B3591" t="s">
        <v>1382</v>
      </c>
      <c r="C3591" t="s">
        <v>6988</v>
      </c>
      <c r="E3591" t="s">
        <v>22132</v>
      </c>
      <c r="F3591" t="s">
        <v>32664</v>
      </c>
      <c r="G3591" t="s">
        <v>32672</v>
      </c>
      <c r="H3591" t="s">
        <v>12635</v>
      </c>
      <c r="I3591" t="s">
        <v>32706</v>
      </c>
      <c r="J3591" t="s">
        <v>35214</v>
      </c>
      <c r="K3591" t="s">
        <v>42283</v>
      </c>
      <c r="M3591" t="s">
        <v>44037</v>
      </c>
      <c r="N3591" t="s">
        <v>46569</v>
      </c>
      <c r="O3591" t="s">
        <v>46570</v>
      </c>
      <c r="P3591">
        <v>0</v>
      </c>
      <c r="Q3591">
        <v>1</v>
      </c>
      <c r="R3591" t="s">
        <v>46572</v>
      </c>
      <c r="S3591" t="s">
        <v>46689</v>
      </c>
      <c r="T3591" t="s">
        <v>48222</v>
      </c>
      <c r="U3591" t="s">
        <v>51754</v>
      </c>
      <c r="W3591" t="s">
        <v>44037</v>
      </c>
      <c r="X3591" t="s">
        <v>46573</v>
      </c>
    </row>
    <row r="3592" spans="1:24">
      <c r="A3592">
        <f>HYPERLINK("https://www.philgeps.gov.ph/GEPSNONPILOT/Tender/SplashBidNoticeAbstractUI.aspx?menuIndex=3&amp;refID=7063119&amp;Result=3","7063119")</f>
        <v>0</v>
      </c>
      <c r="B3592" t="s">
        <v>1116</v>
      </c>
      <c r="C3592" t="s">
        <v>6989</v>
      </c>
      <c r="D3592" t="s">
        <v>18804</v>
      </c>
      <c r="E3592" t="s">
        <v>22133</v>
      </c>
      <c r="F3592" t="s">
        <v>32664</v>
      </c>
      <c r="G3592" t="s">
        <v>32671</v>
      </c>
      <c r="H3592" t="s">
        <v>12635</v>
      </c>
      <c r="I3592" t="s">
        <v>32778</v>
      </c>
      <c r="J3592" t="s">
        <v>34355</v>
      </c>
      <c r="K3592" t="s">
        <v>42289</v>
      </c>
      <c r="M3592" t="s">
        <v>43744</v>
      </c>
      <c r="N3592" t="s">
        <v>46569</v>
      </c>
      <c r="O3592" t="s">
        <v>46570</v>
      </c>
      <c r="P3592">
        <v>0</v>
      </c>
      <c r="Q3592">
        <v>2</v>
      </c>
      <c r="R3592" t="s">
        <v>46572</v>
      </c>
      <c r="S3592" t="s">
        <v>46689</v>
      </c>
      <c r="T3592" t="s">
        <v>48221</v>
      </c>
      <c r="U3592" t="s">
        <v>51762</v>
      </c>
      <c r="W3592" t="s">
        <v>43744</v>
      </c>
      <c r="X3592" t="s">
        <v>46573</v>
      </c>
    </row>
    <row r="3593" spans="1:24">
      <c r="A3593">
        <f>HYPERLINK("https://www.philgeps.gov.ph/GEPSNONPILOT/Tender/SplashBidNoticeAbstractUI.aspx?menuIndex=3&amp;refID=7063120&amp;Result=3","7063120")</f>
        <v>0</v>
      </c>
      <c r="B3593" t="s">
        <v>69</v>
      </c>
      <c r="C3593" t="s">
        <v>6990</v>
      </c>
      <c r="D3593" t="s">
        <v>18784</v>
      </c>
      <c r="E3593" t="s">
        <v>22134</v>
      </c>
      <c r="F3593" t="s">
        <v>32664</v>
      </c>
      <c r="G3593" t="s">
        <v>32672</v>
      </c>
      <c r="H3593" t="s">
        <v>12635</v>
      </c>
      <c r="I3593" t="s">
        <v>4439</v>
      </c>
      <c r="J3593" t="s">
        <v>35215</v>
      </c>
      <c r="K3593" t="s">
        <v>42311</v>
      </c>
      <c r="M3593" t="s">
        <v>44041</v>
      </c>
      <c r="N3593" t="s">
        <v>46569</v>
      </c>
      <c r="O3593" t="s">
        <v>46570</v>
      </c>
      <c r="P3593">
        <v>0</v>
      </c>
      <c r="Q3593">
        <v>4</v>
      </c>
      <c r="R3593" t="s">
        <v>46572</v>
      </c>
      <c r="S3593" t="s">
        <v>46689</v>
      </c>
      <c r="T3593" t="s">
        <v>48412</v>
      </c>
      <c r="U3593" t="s">
        <v>51763</v>
      </c>
      <c r="W3593" t="s">
        <v>44041</v>
      </c>
      <c r="X3593" t="s">
        <v>46573</v>
      </c>
    </row>
    <row r="3594" spans="1:24">
      <c r="A3594">
        <f>HYPERLINK("https://www.philgeps.gov.ph/GEPSNONPILOT/Tender/SplashBidNoticeAbstractUI.aspx?menuIndex=3&amp;refID=7063117&amp;Result=3","7063117")</f>
        <v>0</v>
      </c>
      <c r="B3594" t="s">
        <v>1386</v>
      </c>
      <c r="C3594" t="s">
        <v>6991</v>
      </c>
      <c r="D3594" t="s">
        <v>18819</v>
      </c>
      <c r="E3594" t="s">
        <v>22135</v>
      </c>
      <c r="F3594" t="s">
        <v>32664</v>
      </c>
      <c r="G3594" t="s">
        <v>32672</v>
      </c>
      <c r="H3594" t="s">
        <v>12635</v>
      </c>
      <c r="I3594" t="s">
        <v>8797</v>
      </c>
      <c r="J3594" t="s">
        <v>35216</v>
      </c>
      <c r="K3594" t="s">
        <v>42297</v>
      </c>
      <c r="M3594" t="s">
        <v>44042</v>
      </c>
      <c r="N3594" t="s">
        <v>46569</v>
      </c>
      <c r="O3594" t="s">
        <v>46570</v>
      </c>
      <c r="P3594">
        <v>0</v>
      </c>
      <c r="Q3594">
        <v>14</v>
      </c>
      <c r="R3594" t="s">
        <v>46572</v>
      </c>
      <c r="S3594" t="s">
        <v>46689</v>
      </c>
      <c r="T3594" t="s">
        <v>48310</v>
      </c>
      <c r="U3594" t="s">
        <v>51764</v>
      </c>
      <c r="V3594" t="s">
        <v>61992</v>
      </c>
      <c r="W3594" t="s">
        <v>44042</v>
      </c>
      <c r="X3594" t="s">
        <v>46573</v>
      </c>
    </row>
    <row r="3595" spans="1:24">
      <c r="A3595">
        <f>HYPERLINK("https://www.philgeps.gov.ph/GEPSNONPILOT/Tender/SplashBidNoticeAbstractUI.aspx?menuIndex=3&amp;refID=7063115&amp;Result=3","7063115")</f>
        <v>0</v>
      </c>
      <c r="B3595" t="s">
        <v>885</v>
      </c>
      <c r="C3595" t="s">
        <v>6992</v>
      </c>
      <c r="D3595" t="s">
        <v>18819</v>
      </c>
      <c r="E3595" t="s">
        <v>22136</v>
      </c>
      <c r="F3595" t="s">
        <v>32664</v>
      </c>
      <c r="G3595" t="s">
        <v>32674</v>
      </c>
      <c r="H3595" t="s">
        <v>12635</v>
      </c>
      <c r="I3595" t="s">
        <v>6223</v>
      </c>
      <c r="J3595" t="s">
        <v>35217</v>
      </c>
      <c r="K3595" t="s">
        <v>42283</v>
      </c>
      <c r="M3595" t="s">
        <v>43486</v>
      </c>
      <c r="N3595" t="s">
        <v>46569</v>
      </c>
      <c r="O3595" t="s">
        <v>46570</v>
      </c>
      <c r="P3595">
        <v>0</v>
      </c>
      <c r="Q3595">
        <v>2</v>
      </c>
      <c r="R3595" t="s">
        <v>46572</v>
      </c>
      <c r="S3595" t="s">
        <v>46689</v>
      </c>
      <c r="T3595" t="s">
        <v>48256</v>
      </c>
      <c r="U3595" t="s">
        <v>51765</v>
      </c>
      <c r="V3595" t="s">
        <v>61836</v>
      </c>
      <c r="W3595" t="s">
        <v>43486</v>
      </c>
      <c r="X3595" t="s">
        <v>46573</v>
      </c>
    </row>
    <row r="3596" spans="1:24">
      <c r="A3596">
        <f>HYPERLINK("https://www.philgeps.gov.ph/GEPSNONPILOT/Tender/SplashBidNoticeAbstractUI.aspx?menuIndex=3&amp;refID=7063114&amp;Result=3","7063114")</f>
        <v>0</v>
      </c>
      <c r="B3596" t="s">
        <v>991</v>
      </c>
      <c r="C3596" t="s">
        <v>6993</v>
      </c>
      <c r="D3596" t="s">
        <v>18812</v>
      </c>
      <c r="E3596" t="s">
        <v>21413</v>
      </c>
      <c r="F3596" t="s">
        <v>32664</v>
      </c>
      <c r="G3596" t="s">
        <v>32671</v>
      </c>
      <c r="H3596" t="s">
        <v>12635</v>
      </c>
      <c r="I3596" t="s">
        <v>7709</v>
      </c>
      <c r="J3596" t="s">
        <v>35218</v>
      </c>
      <c r="K3596" t="s">
        <v>42281</v>
      </c>
      <c r="M3596" t="s">
        <v>43602</v>
      </c>
      <c r="N3596" t="s">
        <v>46569</v>
      </c>
      <c r="O3596" t="s">
        <v>46570</v>
      </c>
      <c r="P3596">
        <v>0</v>
      </c>
      <c r="Q3596">
        <v>0</v>
      </c>
      <c r="R3596" t="s">
        <v>46572</v>
      </c>
      <c r="S3596" t="s">
        <v>46689</v>
      </c>
      <c r="T3596" t="s">
        <v>48219</v>
      </c>
      <c r="U3596" t="s">
        <v>51766</v>
      </c>
      <c r="W3596" t="s">
        <v>43602</v>
      </c>
      <c r="X3596" t="s">
        <v>46573</v>
      </c>
    </row>
    <row r="3597" spans="1:24">
      <c r="A3597">
        <f>HYPERLINK("https://www.philgeps.gov.ph/GEPSNONPILOT/Tender/SplashBidNoticeAbstractUI.aspx?menuIndex=3&amp;refID=7063113&amp;Result=3","7063113")</f>
        <v>0</v>
      </c>
      <c r="B3597" t="s">
        <v>1094</v>
      </c>
      <c r="C3597" t="s">
        <v>6994</v>
      </c>
      <c r="D3597" t="s">
        <v>18822</v>
      </c>
      <c r="E3597" t="s">
        <v>22137</v>
      </c>
      <c r="F3597" t="s">
        <v>32664</v>
      </c>
      <c r="G3597" t="s">
        <v>32674</v>
      </c>
      <c r="H3597" t="s">
        <v>12635</v>
      </c>
      <c r="I3597" t="s">
        <v>6118</v>
      </c>
      <c r="J3597" t="s">
        <v>34693</v>
      </c>
      <c r="K3597" t="s">
        <v>42284</v>
      </c>
      <c r="M3597" t="s">
        <v>43722</v>
      </c>
      <c r="N3597" t="s">
        <v>46569</v>
      </c>
      <c r="O3597" t="s">
        <v>46570</v>
      </c>
      <c r="P3597">
        <v>0</v>
      </c>
      <c r="Q3597">
        <v>0</v>
      </c>
      <c r="R3597" t="s">
        <v>46572</v>
      </c>
      <c r="S3597" t="s">
        <v>46689</v>
      </c>
      <c r="T3597" t="s">
        <v>48256</v>
      </c>
      <c r="U3597" t="s">
        <v>51767</v>
      </c>
      <c r="W3597" t="s">
        <v>43722</v>
      </c>
      <c r="X3597" t="s">
        <v>46573</v>
      </c>
    </row>
    <row r="3598" spans="1:24">
      <c r="A3598">
        <f>HYPERLINK("https://www.philgeps.gov.ph/GEPSNONPILOT/Tender/SplashBidNoticeAbstractUI.aspx?menuIndex=3&amp;refID=7063118&amp;Result=3","7063118")</f>
        <v>0</v>
      </c>
      <c r="B3598" t="s">
        <v>660</v>
      </c>
      <c r="C3598" t="s">
        <v>6995</v>
      </c>
      <c r="D3598" t="s">
        <v>18855</v>
      </c>
      <c r="E3598" t="s">
        <v>22138</v>
      </c>
      <c r="F3598" t="s">
        <v>32664</v>
      </c>
      <c r="G3598" t="s">
        <v>32671</v>
      </c>
      <c r="H3598" t="s">
        <v>12635</v>
      </c>
      <c r="I3598" t="s">
        <v>10590</v>
      </c>
      <c r="J3598" t="s">
        <v>33688</v>
      </c>
      <c r="K3598" t="s">
        <v>42283</v>
      </c>
      <c r="M3598" t="s">
        <v>43247</v>
      </c>
      <c r="N3598" t="s">
        <v>46569</v>
      </c>
      <c r="O3598" t="s">
        <v>46570</v>
      </c>
      <c r="P3598">
        <v>0</v>
      </c>
      <c r="Q3598">
        <v>0</v>
      </c>
      <c r="R3598" t="s">
        <v>46572</v>
      </c>
      <c r="S3598" t="s">
        <v>46689</v>
      </c>
      <c r="T3598" t="s">
        <v>48249</v>
      </c>
      <c r="U3598" t="s">
        <v>51768</v>
      </c>
      <c r="W3598" t="s">
        <v>43247</v>
      </c>
      <c r="X3598" t="s">
        <v>46573</v>
      </c>
    </row>
    <row r="3599" spans="1:24">
      <c r="A3599">
        <f>HYPERLINK("https://www.philgeps.gov.ph/GEPSNONPILOT/Tender/SplashBidNoticeAbstractUI.aspx?menuIndex=3&amp;refID=7063112&amp;Result=3","7063112")</f>
        <v>0</v>
      </c>
      <c r="B3599" t="s">
        <v>1210</v>
      </c>
      <c r="C3599" t="s">
        <v>6996</v>
      </c>
      <c r="D3599" t="s">
        <v>18788</v>
      </c>
      <c r="E3599" t="s">
        <v>22139</v>
      </c>
      <c r="F3599" t="s">
        <v>32664</v>
      </c>
      <c r="G3599" t="s">
        <v>32672</v>
      </c>
      <c r="H3599" t="s">
        <v>32683</v>
      </c>
      <c r="I3599" t="s">
        <v>10627</v>
      </c>
      <c r="J3599" t="s">
        <v>35219</v>
      </c>
      <c r="K3599" t="s">
        <v>42283</v>
      </c>
      <c r="M3599" t="s">
        <v>43848</v>
      </c>
      <c r="N3599" t="s">
        <v>46569</v>
      </c>
      <c r="O3599" t="s">
        <v>46570</v>
      </c>
      <c r="P3599">
        <v>0</v>
      </c>
      <c r="Q3599">
        <v>0</v>
      </c>
      <c r="R3599" t="s">
        <v>46572</v>
      </c>
      <c r="S3599" t="s">
        <v>46689</v>
      </c>
      <c r="T3599" t="s">
        <v>48226</v>
      </c>
      <c r="U3599" t="s">
        <v>51362</v>
      </c>
      <c r="W3599" t="s">
        <v>43848</v>
      </c>
      <c r="X3599" t="s">
        <v>46573</v>
      </c>
    </row>
    <row r="3600" spans="1:24">
      <c r="A3600">
        <f>HYPERLINK("https://www.philgeps.gov.ph/GEPSNONPILOT/Tender/SplashBidNoticeAbstractUI.aspx?menuIndex=3&amp;refID=7063111&amp;Result=3","7063111")</f>
        <v>0</v>
      </c>
      <c r="B3600" t="s">
        <v>1387</v>
      </c>
      <c r="C3600" t="s">
        <v>6405</v>
      </c>
      <c r="D3600" t="s">
        <v>18788</v>
      </c>
      <c r="E3600" t="s">
        <v>22140</v>
      </c>
      <c r="F3600" t="s">
        <v>32664</v>
      </c>
      <c r="G3600" t="s">
        <v>32672</v>
      </c>
      <c r="H3600" t="s">
        <v>12635</v>
      </c>
      <c r="I3600" t="s">
        <v>4333</v>
      </c>
      <c r="J3600" t="s">
        <v>32917</v>
      </c>
      <c r="K3600" t="s">
        <v>42289</v>
      </c>
      <c r="M3600" t="s">
        <v>44043</v>
      </c>
      <c r="N3600" t="s">
        <v>46569</v>
      </c>
      <c r="O3600" t="s">
        <v>46570</v>
      </c>
      <c r="P3600">
        <v>0</v>
      </c>
      <c r="Q3600">
        <v>0</v>
      </c>
      <c r="R3600" t="s">
        <v>46572</v>
      </c>
      <c r="S3600" t="s">
        <v>46689</v>
      </c>
      <c r="T3600" t="s">
        <v>48237</v>
      </c>
      <c r="U3600" t="s">
        <v>51769</v>
      </c>
      <c r="W3600" t="s">
        <v>44043</v>
      </c>
      <c r="X3600" t="s">
        <v>46573</v>
      </c>
    </row>
    <row r="3601" spans="1:24">
      <c r="A3601">
        <f>HYPERLINK("https://www.philgeps.gov.ph/GEPSNONPILOT/Tender/SplashBidNoticeAbstractUI.aspx?menuIndex=3&amp;refID=7063108&amp;Result=3","7063108")</f>
        <v>0</v>
      </c>
      <c r="B3601" t="s">
        <v>1017</v>
      </c>
      <c r="C3601" t="s">
        <v>6997</v>
      </c>
      <c r="D3601" t="s">
        <v>18781</v>
      </c>
      <c r="E3601" t="s">
        <v>22141</v>
      </c>
      <c r="F3601" t="s">
        <v>32664</v>
      </c>
      <c r="G3601" t="s">
        <v>32672</v>
      </c>
      <c r="H3601" t="s">
        <v>12635</v>
      </c>
      <c r="I3601" t="s">
        <v>6553</v>
      </c>
      <c r="J3601" t="s">
        <v>35220</v>
      </c>
      <c r="K3601" t="s">
        <v>42281</v>
      </c>
      <c r="M3601" t="s">
        <v>43629</v>
      </c>
      <c r="N3601" t="s">
        <v>46569</v>
      </c>
      <c r="O3601" t="s">
        <v>46570</v>
      </c>
      <c r="P3601">
        <v>0</v>
      </c>
      <c r="Q3601">
        <v>1</v>
      </c>
      <c r="R3601" t="s">
        <v>46572</v>
      </c>
      <c r="S3601" t="s">
        <v>46689</v>
      </c>
      <c r="T3601" t="s">
        <v>48216</v>
      </c>
      <c r="U3601" t="s">
        <v>51770</v>
      </c>
      <c r="V3601" t="s">
        <v>61872</v>
      </c>
      <c r="W3601" t="s">
        <v>43629</v>
      </c>
      <c r="X3601" t="s">
        <v>46573</v>
      </c>
    </row>
    <row r="3602" spans="1:24">
      <c r="A3602">
        <f>HYPERLINK("https://www.philgeps.gov.ph/GEPSNONPILOT/Tender/SplashBidNoticeAbstractUI.aspx?menuIndex=3&amp;refID=7063107&amp;Result=3","7063107")</f>
        <v>0</v>
      </c>
      <c r="B3602" t="s">
        <v>185</v>
      </c>
      <c r="C3602" t="s">
        <v>6998</v>
      </c>
      <c r="D3602" t="s">
        <v>18805</v>
      </c>
      <c r="E3602" t="s">
        <v>22142</v>
      </c>
      <c r="F3602" t="s">
        <v>32664</v>
      </c>
      <c r="G3602" t="s">
        <v>32671</v>
      </c>
      <c r="H3602" t="s">
        <v>12635</v>
      </c>
      <c r="I3602" t="s">
        <v>32694</v>
      </c>
      <c r="J3602" t="s">
        <v>34268</v>
      </c>
      <c r="K3602" t="s">
        <v>42283</v>
      </c>
      <c r="M3602" t="s">
        <v>42749</v>
      </c>
      <c r="N3602" t="s">
        <v>46569</v>
      </c>
      <c r="O3602" t="s">
        <v>46570</v>
      </c>
      <c r="P3602">
        <v>0</v>
      </c>
      <c r="Q3602">
        <v>1</v>
      </c>
      <c r="R3602" t="s">
        <v>46572</v>
      </c>
      <c r="S3602" t="s">
        <v>46689</v>
      </c>
      <c r="T3602" t="s">
        <v>48219</v>
      </c>
      <c r="U3602" t="s">
        <v>51771</v>
      </c>
      <c r="W3602" t="s">
        <v>42749</v>
      </c>
      <c r="X3602" t="s">
        <v>46573</v>
      </c>
    </row>
    <row r="3603" spans="1:24">
      <c r="A3603">
        <f>HYPERLINK("https://www.philgeps.gov.ph/GEPSNONPILOT/Tender/SplashBidNoticeAbstractUI.aspx?menuIndex=3&amp;refID=7063106&amp;Result=3","7063106")</f>
        <v>0</v>
      </c>
      <c r="B3603" t="s">
        <v>1353</v>
      </c>
      <c r="C3603" t="s">
        <v>6999</v>
      </c>
      <c r="D3603" t="s">
        <v>18815</v>
      </c>
      <c r="E3603" t="s">
        <v>22143</v>
      </c>
      <c r="F3603" t="s">
        <v>32664</v>
      </c>
      <c r="G3603" t="s">
        <v>32674</v>
      </c>
      <c r="H3603" t="s">
        <v>12635</v>
      </c>
      <c r="I3603" t="s">
        <v>32684</v>
      </c>
      <c r="J3603" t="s">
        <v>33294</v>
      </c>
      <c r="K3603" t="s">
        <v>42297</v>
      </c>
      <c r="M3603" t="s">
        <v>44005</v>
      </c>
      <c r="N3603" t="s">
        <v>46569</v>
      </c>
      <c r="O3603" t="s">
        <v>46570</v>
      </c>
      <c r="P3603">
        <v>0</v>
      </c>
      <c r="Q3603">
        <v>2</v>
      </c>
      <c r="R3603" t="s">
        <v>46572</v>
      </c>
      <c r="S3603" t="s">
        <v>46689</v>
      </c>
      <c r="T3603" t="s">
        <v>48427</v>
      </c>
      <c r="U3603" t="s">
        <v>51772</v>
      </c>
      <c r="W3603" t="s">
        <v>44005</v>
      </c>
      <c r="X3603" t="s">
        <v>46573</v>
      </c>
    </row>
    <row r="3604" spans="1:24">
      <c r="A3604">
        <f>HYPERLINK("https://www.philgeps.gov.ph/GEPSNONPILOT/Tender/SplashBidNoticeAbstractUI.aspx?menuIndex=3&amp;refID=7063090&amp;Result=3","7063090")</f>
        <v>0</v>
      </c>
      <c r="B3604" t="s">
        <v>1088</v>
      </c>
      <c r="C3604" t="s">
        <v>7000</v>
      </c>
      <c r="D3604" t="s">
        <v>18804</v>
      </c>
      <c r="E3604" t="s">
        <v>22144</v>
      </c>
      <c r="F3604" t="s">
        <v>32664</v>
      </c>
      <c r="G3604" t="s">
        <v>32672</v>
      </c>
      <c r="H3604" t="s">
        <v>32683</v>
      </c>
      <c r="I3604" t="s">
        <v>10627</v>
      </c>
      <c r="J3604" t="s">
        <v>35221</v>
      </c>
      <c r="K3604" t="s">
        <v>42369</v>
      </c>
      <c r="M3604" t="s">
        <v>43714</v>
      </c>
      <c r="N3604" t="s">
        <v>46569</v>
      </c>
      <c r="O3604" t="s">
        <v>46570</v>
      </c>
      <c r="P3604">
        <v>0</v>
      </c>
      <c r="Q3604">
        <v>0</v>
      </c>
      <c r="R3604" t="s">
        <v>46572</v>
      </c>
      <c r="S3604" t="s">
        <v>46689</v>
      </c>
      <c r="T3604" t="s">
        <v>48222</v>
      </c>
      <c r="U3604" t="s">
        <v>51746</v>
      </c>
      <c r="V3604" t="s">
        <v>61896</v>
      </c>
      <c r="W3604" t="s">
        <v>43714</v>
      </c>
      <c r="X3604" t="s">
        <v>46573</v>
      </c>
    </row>
    <row r="3605" spans="1:24">
      <c r="A3605">
        <f>HYPERLINK("https://www.philgeps.gov.ph/GEPSNONPILOT/Tender/SplashBidNoticeAbstractUI.aspx?menuIndex=3&amp;refID=7063103&amp;Result=3","7063103")</f>
        <v>0</v>
      </c>
      <c r="B3605" t="s">
        <v>1342</v>
      </c>
      <c r="C3605" t="s">
        <v>7001</v>
      </c>
      <c r="D3605" t="s">
        <v>18787</v>
      </c>
      <c r="E3605" t="s">
        <v>22145</v>
      </c>
      <c r="F3605" t="s">
        <v>32664</v>
      </c>
      <c r="G3605" t="s">
        <v>32671</v>
      </c>
      <c r="H3605" t="s">
        <v>12635</v>
      </c>
      <c r="I3605" t="s">
        <v>32764</v>
      </c>
      <c r="J3605" t="s">
        <v>33338</v>
      </c>
      <c r="K3605" t="s">
        <v>42283</v>
      </c>
      <c r="M3605" t="s">
        <v>43992</v>
      </c>
      <c r="N3605" t="s">
        <v>46569</v>
      </c>
      <c r="O3605" t="s">
        <v>46570</v>
      </c>
      <c r="P3605">
        <v>0</v>
      </c>
      <c r="Q3605">
        <v>2</v>
      </c>
      <c r="R3605" t="s">
        <v>46572</v>
      </c>
      <c r="S3605" t="s">
        <v>46689</v>
      </c>
      <c r="T3605" t="s">
        <v>48293</v>
      </c>
      <c r="U3605" t="s">
        <v>51749</v>
      </c>
      <c r="W3605" t="s">
        <v>43992</v>
      </c>
      <c r="X3605" t="s">
        <v>46573</v>
      </c>
    </row>
    <row r="3606" spans="1:24">
      <c r="A3606">
        <f>HYPERLINK("https://www.philgeps.gov.ph/GEPSNONPILOT/Tender/SplashBidNoticeAbstractUI.aspx?menuIndex=3&amp;refID=7063109&amp;Result=3","7063109")</f>
        <v>0</v>
      </c>
      <c r="B3606" t="s">
        <v>1388</v>
      </c>
      <c r="C3606" t="s">
        <v>7002</v>
      </c>
      <c r="D3606" t="s">
        <v>18804</v>
      </c>
      <c r="E3606" t="s">
        <v>22146</v>
      </c>
      <c r="F3606" t="s">
        <v>32664</v>
      </c>
      <c r="G3606" t="s">
        <v>32671</v>
      </c>
      <c r="H3606" t="s">
        <v>12635</v>
      </c>
      <c r="I3606" t="s">
        <v>32706</v>
      </c>
      <c r="J3606" t="s">
        <v>35222</v>
      </c>
      <c r="K3606" t="s">
        <v>42291</v>
      </c>
      <c r="M3606" t="s">
        <v>44044</v>
      </c>
      <c r="N3606" t="s">
        <v>46569</v>
      </c>
      <c r="O3606" t="s">
        <v>46570</v>
      </c>
      <c r="P3606">
        <v>0</v>
      </c>
      <c r="Q3606">
        <v>0</v>
      </c>
      <c r="R3606" t="s">
        <v>46572</v>
      </c>
      <c r="S3606" t="s">
        <v>46689</v>
      </c>
      <c r="T3606" t="s">
        <v>48219</v>
      </c>
      <c r="U3606" t="s">
        <v>51773</v>
      </c>
      <c r="W3606" t="s">
        <v>44044</v>
      </c>
      <c r="X3606" t="s">
        <v>46573</v>
      </c>
    </row>
    <row r="3607" spans="1:24">
      <c r="A3607">
        <f>HYPERLINK("https://www.philgeps.gov.ph/GEPSNONPILOT/Tender/SplashBidNoticeAbstractUI.aspx?menuIndex=3&amp;refID=7063130&amp;Result=3","7063130")</f>
        <v>0</v>
      </c>
      <c r="B3607" t="s">
        <v>1369</v>
      </c>
      <c r="C3607" t="s">
        <v>7003</v>
      </c>
      <c r="D3607" t="s">
        <v>18816</v>
      </c>
      <c r="E3607" t="s">
        <v>22147</v>
      </c>
      <c r="F3607" t="s">
        <v>32664</v>
      </c>
      <c r="G3607" t="s">
        <v>32671</v>
      </c>
      <c r="H3607" t="s">
        <v>12635</v>
      </c>
      <c r="I3607" t="s">
        <v>6628</v>
      </c>
      <c r="J3607" t="s">
        <v>33089</v>
      </c>
      <c r="K3607" t="s">
        <v>42295</v>
      </c>
      <c r="M3607" t="s">
        <v>44024</v>
      </c>
      <c r="N3607" t="s">
        <v>46569</v>
      </c>
      <c r="O3607" t="s">
        <v>46570</v>
      </c>
      <c r="P3607">
        <v>0</v>
      </c>
      <c r="Q3607">
        <v>0</v>
      </c>
      <c r="R3607" t="s">
        <v>46572</v>
      </c>
      <c r="S3607" t="s">
        <v>46689</v>
      </c>
      <c r="T3607" t="s">
        <v>48246</v>
      </c>
      <c r="U3607" t="s">
        <v>51774</v>
      </c>
      <c r="W3607" t="s">
        <v>44024</v>
      </c>
      <c r="X3607" t="s">
        <v>46573</v>
      </c>
    </row>
    <row r="3608" spans="1:24">
      <c r="A3608">
        <f>HYPERLINK("https://www.philgeps.gov.ph/GEPSNONPILOT/Tender/SplashBidNoticeAbstractUI.aspx?menuIndex=3&amp;refID=7063129&amp;Result=3","7063129")</f>
        <v>0</v>
      </c>
      <c r="B3608" t="s">
        <v>460</v>
      </c>
      <c r="C3608" t="s">
        <v>7004</v>
      </c>
      <c r="D3608" t="s">
        <v>18806</v>
      </c>
      <c r="E3608" t="s">
        <v>22148</v>
      </c>
      <c r="F3608" t="s">
        <v>32664</v>
      </c>
      <c r="G3608" t="s">
        <v>32672</v>
      </c>
      <c r="H3608" t="s">
        <v>12635</v>
      </c>
      <c r="I3608" t="s">
        <v>8797</v>
      </c>
      <c r="J3608" t="s">
        <v>35223</v>
      </c>
      <c r="K3608" t="s">
        <v>42330</v>
      </c>
      <c r="M3608" t="s">
        <v>43035</v>
      </c>
      <c r="N3608" t="s">
        <v>46569</v>
      </c>
      <c r="O3608" t="s">
        <v>46570</v>
      </c>
      <c r="P3608">
        <v>0</v>
      </c>
      <c r="Q3608">
        <v>0</v>
      </c>
      <c r="R3608" t="s">
        <v>46572</v>
      </c>
      <c r="S3608" t="s">
        <v>46689</v>
      </c>
      <c r="T3608" t="s">
        <v>48285</v>
      </c>
      <c r="U3608" t="s">
        <v>51775</v>
      </c>
      <c r="V3608" t="s">
        <v>61876</v>
      </c>
      <c r="W3608" t="s">
        <v>43035</v>
      </c>
      <c r="X3608" t="s">
        <v>46573</v>
      </c>
    </row>
    <row r="3609" spans="1:24">
      <c r="A3609">
        <f>HYPERLINK("https://www.philgeps.gov.ph/GEPSNONPILOT/Tender/SplashBidNoticeAbstractUI.aspx?menuIndex=3&amp;refID=7063104&amp;Result=3","7063104")</f>
        <v>0</v>
      </c>
      <c r="B3609" t="s">
        <v>1055</v>
      </c>
      <c r="C3609" t="s">
        <v>7005</v>
      </c>
      <c r="D3609" t="s">
        <v>18784</v>
      </c>
      <c r="E3609" t="s">
        <v>22149</v>
      </c>
      <c r="F3609" t="s">
        <v>32664</v>
      </c>
      <c r="G3609" t="s">
        <v>32674</v>
      </c>
      <c r="H3609" t="s">
        <v>12635</v>
      </c>
      <c r="I3609" t="s">
        <v>4205</v>
      </c>
      <c r="J3609" t="s">
        <v>33478</v>
      </c>
      <c r="K3609" t="s">
        <v>42284</v>
      </c>
      <c r="M3609" t="s">
        <v>44008</v>
      </c>
      <c r="N3609" t="s">
        <v>46569</v>
      </c>
      <c r="O3609" t="s">
        <v>46570</v>
      </c>
      <c r="P3609">
        <v>0</v>
      </c>
      <c r="Q3609">
        <v>3</v>
      </c>
      <c r="R3609" t="s">
        <v>46572</v>
      </c>
      <c r="S3609" t="s">
        <v>46689</v>
      </c>
      <c r="T3609" t="s">
        <v>48305</v>
      </c>
      <c r="U3609" t="s">
        <v>51776</v>
      </c>
      <c r="V3609" t="s">
        <v>61978</v>
      </c>
      <c r="W3609" t="s">
        <v>44008</v>
      </c>
      <c r="X3609" t="s">
        <v>46573</v>
      </c>
    </row>
    <row r="3610" spans="1:24">
      <c r="A3610">
        <f>HYPERLINK("https://www.philgeps.gov.ph/GEPSNONPILOT/Tender/SplashBidNoticeAbstractUI.aspx?menuIndex=3&amp;refID=7063148&amp;Result=3","7063148")</f>
        <v>0</v>
      </c>
      <c r="B3610" t="s">
        <v>1389</v>
      </c>
      <c r="C3610" t="s">
        <v>7006</v>
      </c>
      <c r="D3610" t="s">
        <v>18857</v>
      </c>
      <c r="E3610" t="s">
        <v>22150</v>
      </c>
      <c r="F3610" t="s">
        <v>32664</v>
      </c>
      <c r="G3610" t="s">
        <v>32671</v>
      </c>
      <c r="H3610" t="s">
        <v>12635</v>
      </c>
      <c r="I3610" t="s">
        <v>4439</v>
      </c>
      <c r="J3610" t="s">
        <v>35224</v>
      </c>
      <c r="K3610" t="s">
        <v>42289</v>
      </c>
      <c r="M3610" t="s">
        <v>44045</v>
      </c>
      <c r="N3610" t="s">
        <v>46569</v>
      </c>
      <c r="O3610" t="s">
        <v>46570</v>
      </c>
      <c r="P3610">
        <v>0</v>
      </c>
      <c r="Q3610">
        <v>0</v>
      </c>
      <c r="R3610" t="s">
        <v>46572</v>
      </c>
      <c r="S3610" t="s">
        <v>46689</v>
      </c>
      <c r="T3610" t="s">
        <v>48244</v>
      </c>
      <c r="U3610" t="s">
        <v>51777</v>
      </c>
      <c r="V3610" t="s">
        <v>61993</v>
      </c>
      <c r="W3610" t="s">
        <v>44045</v>
      </c>
      <c r="X3610" t="s">
        <v>46573</v>
      </c>
    </row>
    <row r="3611" spans="1:24">
      <c r="A3611">
        <f>HYPERLINK("https://www.philgeps.gov.ph/GEPSNONPILOT/Tender/SplashBidNoticeAbstractUI.aspx?menuIndex=3&amp;refID=7063088&amp;Result=3","7063088")</f>
        <v>0</v>
      </c>
      <c r="B3611" t="s">
        <v>220</v>
      </c>
      <c r="C3611" t="s">
        <v>7007</v>
      </c>
      <c r="D3611" t="s">
        <v>18788</v>
      </c>
      <c r="E3611" t="s">
        <v>22151</v>
      </c>
      <c r="F3611" t="s">
        <v>32664</v>
      </c>
      <c r="G3611" t="s">
        <v>32672</v>
      </c>
      <c r="H3611" t="s">
        <v>12635</v>
      </c>
      <c r="I3611" t="s">
        <v>4439</v>
      </c>
      <c r="J3611" t="s">
        <v>35225</v>
      </c>
      <c r="K3611" t="s">
        <v>42297</v>
      </c>
      <c r="L3611" t="s">
        <v>220</v>
      </c>
      <c r="M3611" t="s">
        <v>42784</v>
      </c>
      <c r="N3611" t="s">
        <v>46569</v>
      </c>
      <c r="O3611" t="s">
        <v>46570</v>
      </c>
      <c r="P3611">
        <v>0</v>
      </c>
      <c r="Q3611">
        <v>0</v>
      </c>
      <c r="R3611" t="s">
        <v>46572</v>
      </c>
      <c r="S3611" t="s">
        <v>46689</v>
      </c>
      <c r="T3611" t="s">
        <v>48308</v>
      </c>
      <c r="U3611" t="s">
        <v>49167</v>
      </c>
      <c r="W3611" t="s">
        <v>42784</v>
      </c>
      <c r="X3611" t="s">
        <v>46573</v>
      </c>
    </row>
    <row r="3612" spans="1:24">
      <c r="A3612">
        <f>HYPERLINK("https://www.philgeps.gov.ph/GEPSNONPILOT/Tender/SplashBidNoticeAbstractUI.aspx?menuIndex=3&amp;refID=7063146&amp;Result=3","7063146")</f>
        <v>0</v>
      </c>
      <c r="B3612" t="s">
        <v>555</v>
      </c>
      <c r="C3612" t="s">
        <v>7008</v>
      </c>
      <c r="D3612" t="s">
        <v>18841</v>
      </c>
      <c r="E3612" t="s">
        <v>22152</v>
      </c>
      <c r="F3612" t="s">
        <v>32664</v>
      </c>
      <c r="G3612" t="s">
        <v>32671</v>
      </c>
      <c r="H3612" t="s">
        <v>12635</v>
      </c>
      <c r="I3612" t="s">
        <v>32689</v>
      </c>
      <c r="J3612" t="s">
        <v>35226</v>
      </c>
      <c r="K3612" t="s">
        <v>42289</v>
      </c>
      <c r="M3612" t="s">
        <v>43135</v>
      </c>
      <c r="N3612" t="s">
        <v>46569</v>
      </c>
      <c r="O3612" t="s">
        <v>46570</v>
      </c>
      <c r="P3612">
        <v>0</v>
      </c>
      <c r="Q3612">
        <v>0</v>
      </c>
      <c r="R3612" t="s">
        <v>46572</v>
      </c>
      <c r="S3612" t="s">
        <v>46689</v>
      </c>
      <c r="T3612" t="s">
        <v>48282</v>
      </c>
      <c r="U3612" t="s">
        <v>51778</v>
      </c>
      <c r="W3612" t="s">
        <v>43135</v>
      </c>
      <c r="X3612" t="s">
        <v>46573</v>
      </c>
    </row>
    <row r="3613" spans="1:24">
      <c r="A3613">
        <f>HYPERLINK("https://www.philgeps.gov.ph/GEPSNONPILOT/Tender/SplashBidNoticeAbstractUI.aspx?menuIndex=3&amp;refID=7063145&amp;Result=3","7063145")</f>
        <v>0</v>
      </c>
      <c r="B3613" t="s">
        <v>1380</v>
      </c>
      <c r="C3613" t="s">
        <v>7009</v>
      </c>
      <c r="D3613" t="s">
        <v>18809</v>
      </c>
      <c r="E3613" t="s">
        <v>22153</v>
      </c>
      <c r="F3613" t="s">
        <v>32664</v>
      </c>
      <c r="G3613" t="s">
        <v>32672</v>
      </c>
      <c r="H3613" t="s">
        <v>12635</v>
      </c>
      <c r="I3613" t="s">
        <v>32685</v>
      </c>
      <c r="J3613" t="s">
        <v>35227</v>
      </c>
      <c r="K3613" t="s">
        <v>42297</v>
      </c>
      <c r="L3613" t="s">
        <v>1380</v>
      </c>
      <c r="M3613" t="s">
        <v>44035</v>
      </c>
      <c r="N3613" t="s">
        <v>46569</v>
      </c>
      <c r="O3613" t="s">
        <v>46570</v>
      </c>
      <c r="P3613">
        <v>0</v>
      </c>
      <c r="Q3613">
        <v>1</v>
      </c>
      <c r="R3613" t="s">
        <v>46572</v>
      </c>
      <c r="S3613" t="s">
        <v>46689</v>
      </c>
      <c r="T3613" t="s">
        <v>48226</v>
      </c>
      <c r="U3613" t="s">
        <v>51779</v>
      </c>
      <c r="V3613" t="s">
        <v>61989</v>
      </c>
      <c r="W3613" t="s">
        <v>44035</v>
      </c>
      <c r="X3613" t="s">
        <v>46573</v>
      </c>
    </row>
    <row r="3614" spans="1:24">
      <c r="A3614">
        <f>HYPERLINK("https://www.philgeps.gov.ph/GEPSNONPILOT/Tender/SplashBidNoticeAbstractUI.aspx?menuIndex=3&amp;refID=7063144&amp;Result=3","7063144")</f>
        <v>0</v>
      </c>
      <c r="B3614" t="s">
        <v>1210</v>
      </c>
      <c r="C3614" t="s">
        <v>7010</v>
      </c>
      <c r="D3614" t="s">
        <v>18788</v>
      </c>
      <c r="E3614" t="s">
        <v>22154</v>
      </c>
      <c r="F3614" t="s">
        <v>32664</v>
      </c>
      <c r="G3614" t="s">
        <v>32672</v>
      </c>
      <c r="H3614" t="s">
        <v>32683</v>
      </c>
      <c r="I3614" t="s">
        <v>10627</v>
      </c>
      <c r="J3614" t="s">
        <v>35228</v>
      </c>
      <c r="K3614" t="s">
        <v>42283</v>
      </c>
      <c r="M3614" t="s">
        <v>43848</v>
      </c>
      <c r="N3614" t="s">
        <v>46569</v>
      </c>
      <c r="O3614" t="s">
        <v>46570</v>
      </c>
      <c r="P3614">
        <v>0</v>
      </c>
      <c r="Q3614">
        <v>0</v>
      </c>
      <c r="R3614" t="s">
        <v>46572</v>
      </c>
      <c r="S3614" t="s">
        <v>46689</v>
      </c>
      <c r="T3614" t="s">
        <v>48226</v>
      </c>
      <c r="U3614" t="s">
        <v>51362</v>
      </c>
      <c r="W3614" t="s">
        <v>43848</v>
      </c>
      <c r="X3614" t="s">
        <v>46573</v>
      </c>
    </row>
    <row r="3615" spans="1:24">
      <c r="A3615">
        <f>HYPERLINK("https://www.philgeps.gov.ph/GEPSNONPILOT/Tender/SplashBidNoticeAbstractUI.aspx?menuIndex=3&amp;refID=7063143&amp;Result=3","7063143")</f>
        <v>0</v>
      </c>
      <c r="B3615" t="s">
        <v>676</v>
      </c>
      <c r="C3615" t="s">
        <v>7011</v>
      </c>
      <c r="D3615" t="s">
        <v>18806</v>
      </c>
      <c r="E3615" t="s">
        <v>22155</v>
      </c>
      <c r="F3615" t="s">
        <v>32664</v>
      </c>
      <c r="G3615" t="s">
        <v>32671</v>
      </c>
      <c r="H3615" t="s">
        <v>12635</v>
      </c>
      <c r="I3615" t="s">
        <v>32694</v>
      </c>
      <c r="J3615" t="s">
        <v>35229</v>
      </c>
      <c r="K3615" t="s">
        <v>42289</v>
      </c>
      <c r="M3615" t="s">
        <v>43263</v>
      </c>
      <c r="N3615" t="s">
        <v>46569</v>
      </c>
      <c r="O3615" t="s">
        <v>46570</v>
      </c>
      <c r="P3615">
        <v>0</v>
      </c>
      <c r="Q3615">
        <v>0</v>
      </c>
      <c r="R3615" t="s">
        <v>46572</v>
      </c>
      <c r="S3615" t="s">
        <v>46689</v>
      </c>
      <c r="T3615" t="s">
        <v>48256</v>
      </c>
      <c r="U3615" t="s">
        <v>51780</v>
      </c>
      <c r="W3615" t="s">
        <v>43263</v>
      </c>
      <c r="X3615" t="s">
        <v>46573</v>
      </c>
    </row>
    <row r="3616" spans="1:24">
      <c r="A3616">
        <f>HYPERLINK("https://www.philgeps.gov.ph/GEPSNONPILOT/Tender/SplashBidNoticeAbstractUI.aspx?menuIndex=3&amp;refID=7063149&amp;Result=3","7063149")</f>
        <v>0</v>
      </c>
      <c r="B3616" t="s">
        <v>1055</v>
      </c>
      <c r="C3616" t="s">
        <v>7012</v>
      </c>
      <c r="D3616" t="s">
        <v>18784</v>
      </c>
      <c r="E3616" t="s">
        <v>22156</v>
      </c>
      <c r="F3616" t="s">
        <v>32664</v>
      </c>
      <c r="G3616" t="s">
        <v>32672</v>
      </c>
      <c r="H3616" t="s">
        <v>12635</v>
      </c>
      <c r="I3616" t="s">
        <v>32704</v>
      </c>
      <c r="J3616" t="s">
        <v>34806</v>
      </c>
      <c r="K3616" t="s">
        <v>42298</v>
      </c>
      <c r="M3616" t="s">
        <v>43998</v>
      </c>
      <c r="N3616" t="s">
        <v>46569</v>
      </c>
      <c r="O3616" t="s">
        <v>46570</v>
      </c>
      <c r="P3616">
        <v>0</v>
      </c>
      <c r="Q3616">
        <v>8</v>
      </c>
      <c r="R3616" t="s">
        <v>46572</v>
      </c>
      <c r="S3616" t="s">
        <v>46689</v>
      </c>
      <c r="T3616" t="s">
        <v>48390</v>
      </c>
      <c r="U3616" t="s">
        <v>51781</v>
      </c>
      <c r="W3616" t="s">
        <v>43998</v>
      </c>
      <c r="X3616" t="s">
        <v>46573</v>
      </c>
    </row>
    <row r="3617" spans="1:24">
      <c r="A3617">
        <f>HYPERLINK("https://www.philgeps.gov.ph/GEPSNONPILOT/Tender/SplashBidNoticeAbstractUI.aspx?menuIndex=3&amp;refID=7063116&amp;Result=3","7063116")</f>
        <v>0</v>
      </c>
      <c r="B3617" t="s">
        <v>1102</v>
      </c>
      <c r="C3617" t="s">
        <v>7013</v>
      </c>
      <c r="D3617" t="s">
        <v>18784</v>
      </c>
      <c r="E3617" t="s">
        <v>22157</v>
      </c>
      <c r="F3617" t="s">
        <v>32664</v>
      </c>
      <c r="G3617" t="s">
        <v>32671</v>
      </c>
      <c r="H3617" t="s">
        <v>12635</v>
      </c>
      <c r="I3617" t="s">
        <v>32684</v>
      </c>
      <c r="J3617" t="s">
        <v>33520</v>
      </c>
      <c r="K3617" t="s">
        <v>42283</v>
      </c>
      <c r="M3617" t="s">
        <v>43729</v>
      </c>
      <c r="N3617" t="s">
        <v>46569</v>
      </c>
      <c r="O3617" t="s">
        <v>46570</v>
      </c>
      <c r="P3617">
        <v>0</v>
      </c>
      <c r="Q3617">
        <v>2</v>
      </c>
      <c r="R3617" t="s">
        <v>46572</v>
      </c>
      <c r="S3617" t="s">
        <v>46689</v>
      </c>
      <c r="T3617" t="s">
        <v>48256</v>
      </c>
      <c r="U3617" t="s">
        <v>51782</v>
      </c>
      <c r="W3617" t="s">
        <v>43729</v>
      </c>
      <c r="X3617" t="s">
        <v>46573</v>
      </c>
    </row>
    <row r="3618" spans="1:24">
      <c r="A3618">
        <f>HYPERLINK("https://www.philgeps.gov.ph/GEPSNONPILOT/Tender/SplashBidNoticeAbstractUI.aspx?menuIndex=3&amp;refID=7063140&amp;Result=3","7063140")</f>
        <v>0</v>
      </c>
      <c r="B3618" t="s">
        <v>1390</v>
      </c>
      <c r="C3618" t="s">
        <v>7014</v>
      </c>
      <c r="D3618" t="s">
        <v>18791</v>
      </c>
      <c r="E3618" t="s">
        <v>22158</v>
      </c>
      <c r="F3618" t="s">
        <v>32664</v>
      </c>
      <c r="G3618" t="s">
        <v>32671</v>
      </c>
      <c r="H3618" t="s">
        <v>12635</v>
      </c>
      <c r="I3618" t="s">
        <v>4997</v>
      </c>
      <c r="J3618" t="s">
        <v>32917</v>
      </c>
      <c r="K3618" t="s">
        <v>42283</v>
      </c>
      <c r="M3618" t="s">
        <v>44046</v>
      </c>
      <c r="N3618" t="s">
        <v>46569</v>
      </c>
      <c r="O3618" t="s">
        <v>46570</v>
      </c>
      <c r="P3618">
        <v>0</v>
      </c>
      <c r="Q3618">
        <v>5</v>
      </c>
      <c r="R3618" t="s">
        <v>46572</v>
      </c>
      <c r="S3618" t="s">
        <v>46689</v>
      </c>
      <c r="T3618" t="s">
        <v>48244</v>
      </c>
      <c r="U3618" t="s">
        <v>51783</v>
      </c>
      <c r="W3618" t="s">
        <v>44046</v>
      </c>
      <c r="X3618" t="s">
        <v>46573</v>
      </c>
    </row>
    <row r="3619" spans="1:24">
      <c r="A3619">
        <f>HYPERLINK("https://www.philgeps.gov.ph/GEPSNONPILOT/Tender/SplashBidNoticeAbstractUI.aspx?menuIndex=3&amp;refID=7063139&amp;Result=3","7063139")</f>
        <v>0</v>
      </c>
      <c r="B3619" t="s">
        <v>394</v>
      </c>
      <c r="C3619" t="s">
        <v>7015</v>
      </c>
      <c r="D3619" t="s">
        <v>18826</v>
      </c>
      <c r="E3619" t="s">
        <v>22159</v>
      </c>
      <c r="F3619" t="s">
        <v>32664</v>
      </c>
      <c r="G3619" t="s">
        <v>32671</v>
      </c>
      <c r="H3619" t="s">
        <v>12635</v>
      </c>
      <c r="I3619" t="s">
        <v>4439</v>
      </c>
      <c r="J3619" t="s">
        <v>35230</v>
      </c>
      <c r="K3619" t="s">
        <v>42289</v>
      </c>
      <c r="M3619" t="s">
        <v>42964</v>
      </c>
      <c r="N3619" t="s">
        <v>46569</v>
      </c>
      <c r="O3619" t="s">
        <v>46570</v>
      </c>
      <c r="P3619">
        <v>0</v>
      </c>
      <c r="Q3619">
        <v>0</v>
      </c>
      <c r="R3619" t="s">
        <v>46572</v>
      </c>
      <c r="S3619" t="s">
        <v>46689</v>
      </c>
      <c r="T3619" t="s">
        <v>48219</v>
      </c>
      <c r="U3619" t="s">
        <v>51784</v>
      </c>
      <c r="W3619" t="s">
        <v>42964</v>
      </c>
      <c r="X3619" t="s">
        <v>46573</v>
      </c>
    </row>
    <row r="3620" spans="1:24">
      <c r="A3620">
        <f>HYPERLINK("https://www.philgeps.gov.ph/GEPSNONPILOT/Tender/SplashBidNoticeAbstractUI.aspx?menuIndex=3&amp;refID=7063138&amp;Result=3","7063138")</f>
        <v>0</v>
      </c>
      <c r="B3620" t="s">
        <v>1391</v>
      </c>
      <c r="C3620" t="s">
        <v>7016</v>
      </c>
      <c r="D3620" t="s">
        <v>18827</v>
      </c>
      <c r="E3620" t="s">
        <v>22160</v>
      </c>
      <c r="F3620" t="s">
        <v>32664</v>
      </c>
      <c r="G3620" t="s">
        <v>32671</v>
      </c>
      <c r="H3620" t="s">
        <v>12635</v>
      </c>
      <c r="I3620" t="s">
        <v>4439</v>
      </c>
      <c r="J3620" t="s">
        <v>35231</v>
      </c>
      <c r="K3620" t="s">
        <v>42289</v>
      </c>
      <c r="M3620" t="s">
        <v>44047</v>
      </c>
      <c r="N3620" t="s">
        <v>46569</v>
      </c>
      <c r="O3620" t="s">
        <v>46570</v>
      </c>
      <c r="P3620">
        <v>0</v>
      </c>
      <c r="Q3620">
        <v>0</v>
      </c>
      <c r="R3620" t="s">
        <v>46572</v>
      </c>
      <c r="S3620" t="s">
        <v>46689</v>
      </c>
      <c r="T3620" t="s">
        <v>48282</v>
      </c>
      <c r="U3620" t="s">
        <v>51785</v>
      </c>
      <c r="W3620" t="s">
        <v>44047</v>
      </c>
      <c r="X3620" t="s">
        <v>46573</v>
      </c>
    </row>
    <row r="3621" spans="1:24">
      <c r="A3621">
        <f>HYPERLINK("https://www.philgeps.gov.ph/GEPSNONPILOT/Tender/SplashBidNoticeAbstractUI.aspx?menuIndex=3&amp;refID=7063136&amp;Result=3","7063136")</f>
        <v>0</v>
      </c>
      <c r="B3621" t="s">
        <v>817</v>
      </c>
      <c r="C3621" t="s">
        <v>7017</v>
      </c>
      <c r="E3621" t="s">
        <v>22161</v>
      </c>
      <c r="F3621" t="s">
        <v>32664</v>
      </c>
      <c r="G3621" t="s">
        <v>32675</v>
      </c>
      <c r="H3621" t="s">
        <v>12635</v>
      </c>
      <c r="I3621" t="s">
        <v>6168</v>
      </c>
      <c r="J3621" t="s">
        <v>34076</v>
      </c>
      <c r="K3621" t="s">
        <v>42283</v>
      </c>
      <c r="M3621" t="s">
        <v>43412</v>
      </c>
      <c r="N3621" t="s">
        <v>46569</v>
      </c>
      <c r="O3621" t="s">
        <v>46570</v>
      </c>
      <c r="P3621">
        <v>0</v>
      </c>
      <c r="Q3621">
        <v>2</v>
      </c>
      <c r="R3621" t="s">
        <v>46572</v>
      </c>
      <c r="S3621" t="s">
        <v>46689</v>
      </c>
      <c r="T3621" t="s">
        <v>48244</v>
      </c>
      <c r="U3621" t="s">
        <v>51786</v>
      </c>
      <c r="W3621" t="s">
        <v>43412</v>
      </c>
      <c r="X3621" t="s">
        <v>46573</v>
      </c>
    </row>
    <row r="3622" spans="1:24">
      <c r="A3622">
        <f>HYPERLINK("https://www.philgeps.gov.ph/GEPSNONPILOT/Tender/SplashBidNoticeAbstractUI.aspx?menuIndex=3&amp;refID=7063135&amp;Result=3","7063135")</f>
        <v>0</v>
      </c>
      <c r="B3622" t="s">
        <v>1336</v>
      </c>
      <c r="C3622" t="s">
        <v>7018</v>
      </c>
      <c r="D3622" t="s">
        <v>18856</v>
      </c>
      <c r="E3622" t="s">
        <v>22162</v>
      </c>
      <c r="F3622" t="s">
        <v>32664</v>
      </c>
      <c r="G3622" t="s">
        <v>32672</v>
      </c>
      <c r="H3622" t="s">
        <v>32683</v>
      </c>
      <c r="I3622" t="s">
        <v>10627</v>
      </c>
      <c r="J3622" t="s">
        <v>35232</v>
      </c>
      <c r="K3622" t="s">
        <v>42414</v>
      </c>
      <c r="M3622" t="s">
        <v>43986</v>
      </c>
      <c r="N3622" t="s">
        <v>46569</v>
      </c>
      <c r="O3622" t="s">
        <v>46570</v>
      </c>
      <c r="P3622">
        <v>0</v>
      </c>
      <c r="Q3622">
        <v>1</v>
      </c>
      <c r="R3622" t="s">
        <v>46572</v>
      </c>
      <c r="S3622" t="s">
        <v>46689</v>
      </c>
      <c r="T3622" t="s">
        <v>48479</v>
      </c>
      <c r="U3622" t="s">
        <v>51787</v>
      </c>
      <c r="V3622" t="s">
        <v>61974</v>
      </c>
      <c r="W3622" t="s">
        <v>43986</v>
      </c>
      <c r="X3622" t="s">
        <v>46573</v>
      </c>
    </row>
    <row r="3623" spans="1:24">
      <c r="A3623">
        <f>HYPERLINK("https://www.philgeps.gov.ph/GEPSNONPILOT/Tender/SplashBidNoticeAbstractUI.aspx?menuIndex=3&amp;refID=7063134&amp;Result=3","7063134")</f>
        <v>0</v>
      </c>
      <c r="B3623" t="s">
        <v>1372</v>
      </c>
      <c r="C3623" t="s">
        <v>7019</v>
      </c>
      <c r="D3623" t="s">
        <v>18782</v>
      </c>
      <c r="E3623" t="s">
        <v>22163</v>
      </c>
      <c r="F3623" t="s">
        <v>32664</v>
      </c>
      <c r="G3623" t="s">
        <v>32671</v>
      </c>
      <c r="H3623" t="s">
        <v>12635</v>
      </c>
      <c r="I3623" t="s">
        <v>11464</v>
      </c>
      <c r="J3623" t="s">
        <v>35233</v>
      </c>
      <c r="K3623" t="s">
        <v>42311</v>
      </c>
      <c r="M3623" t="s">
        <v>44027</v>
      </c>
      <c r="N3623" t="s">
        <v>46569</v>
      </c>
      <c r="O3623" t="s">
        <v>46570</v>
      </c>
      <c r="P3623">
        <v>0</v>
      </c>
      <c r="Q3623">
        <v>4</v>
      </c>
      <c r="R3623" t="s">
        <v>46572</v>
      </c>
      <c r="S3623" t="s">
        <v>46689</v>
      </c>
      <c r="T3623" t="s">
        <v>48212</v>
      </c>
      <c r="U3623" t="s">
        <v>51788</v>
      </c>
      <c r="W3623" t="s">
        <v>44027</v>
      </c>
      <c r="X3623" t="s">
        <v>46573</v>
      </c>
    </row>
    <row r="3624" spans="1:24">
      <c r="A3624">
        <f>HYPERLINK("https://www.philgeps.gov.ph/GEPSNONPILOT/Tender/SplashBidNoticeAbstractUI.aspx?menuIndex=3&amp;refID=7063132&amp;Result=3","7063132")</f>
        <v>0</v>
      </c>
      <c r="B3624" t="s">
        <v>1392</v>
      </c>
      <c r="C3624" t="s">
        <v>7020</v>
      </c>
      <c r="D3624" t="s">
        <v>18860</v>
      </c>
      <c r="E3624" t="s">
        <v>22164</v>
      </c>
      <c r="F3624" t="s">
        <v>32664</v>
      </c>
      <c r="G3624" t="s">
        <v>32671</v>
      </c>
      <c r="H3624" t="s">
        <v>12635</v>
      </c>
      <c r="I3624" t="s">
        <v>7709</v>
      </c>
      <c r="J3624" t="s">
        <v>35234</v>
      </c>
      <c r="K3624" t="s">
        <v>42297</v>
      </c>
      <c r="M3624" t="s">
        <v>44048</v>
      </c>
      <c r="N3624" t="s">
        <v>46569</v>
      </c>
      <c r="O3624" t="s">
        <v>46570</v>
      </c>
      <c r="P3624">
        <v>0</v>
      </c>
      <c r="Q3624">
        <v>0</v>
      </c>
      <c r="R3624" t="s">
        <v>46572</v>
      </c>
      <c r="S3624" t="s">
        <v>46689</v>
      </c>
      <c r="T3624" t="s">
        <v>48244</v>
      </c>
      <c r="U3624" t="s">
        <v>51789</v>
      </c>
      <c r="W3624" t="s">
        <v>46442</v>
      </c>
      <c r="X3624" t="s">
        <v>46573</v>
      </c>
    </row>
    <row r="3625" spans="1:24">
      <c r="A3625">
        <f>HYPERLINK("https://www.philgeps.gov.ph/GEPSNONPILOT/Tender/SplashBidNoticeAbstractUI.aspx?menuIndex=3&amp;refID=7063131&amp;Result=3","7063131")</f>
        <v>0</v>
      </c>
      <c r="B3625" t="s">
        <v>1045</v>
      </c>
      <c r="C3625" t="s">
        <v>7021</v>
      </c>
      <c r="E3625" t="s">
        <v>20042</v>
      </c>
      <c r="F3625" t="s">
        <v>32664</v>
      </c>
      <c r="G3625" t="s">
        <v>32671</v>
      </c>
      <c r="H3625" t="s">
        <v>12635</v>
      </c>
      <c r="I3625" t="s">
        <v>6223</v>
      </c>
      <c r="J3625" t="s">
        <v>35235</v>
      </c>
      <c r="K3625" t="s">
        <v>42283</v>
      </c>
      <c r="M3625" t="s">
        <v>43659</v>
      </c>
      <c r="N3625" t="s">
        <v>46569</v>
      </c>
      <c r="O3625" t="s">
        <v>46570</v>
      </c>
      <c r="P3625">
        <v>0</v>
      </c>
      <c r="Q3625">
        <v>0</v>
      </c>
      <c r="R3625" t="s">
        <v>46572</v>
      </c>
      <c r="S3625" t="s">
        <v>46689</v>
      </c>
      <c r="T3625" t="s">
        <v>48219</v>
      </c>
      <c r="U3625" t="s">
        <v>51790</v>
      </c>
      <c r="W3625" t="s">
        <v>43659</v>
      </c>
      <c r="X3625" t="s">
        <v>46573</v>
      </c>
    </row>
    <row r="3626" spans="1:24">
      <c r="A3626">
        <f>HYPERLINK("https://www.philgeps.gov.ph/GEPSNONPILOT/Tender/SplashBidNoticeAbstractUI.aspx?menuIndex=3&amp;refID=7063133&amp;Result=3","7063133")</f>
        <v>0</v>
      </c>
      <c r="B3626" t="s">
        <v>1374</v>
      </c>
      <c r="C3626" t="s">
        <v>7022</v>
      </c>
      <c r="D3626" t="s">
        <v>18821</v>
      </c>
      <c r="E3626" t="s">
        <v>22165</v>
      </c>
      <c r="F3626" t="s">
        <v>32664</v>
      </c>
      <c r="G3626" t="s">
        <v>32672</v>
      </c>
      <c r="H3626" t="s">
        <v>12635</v>
      </c>
      <c r="I3626" t="s">
        <v>6168</v>
      </c>
      <c r="J3626" t="s">
        <v>35236</v>
      </c>
      <c r="K3626" t="s">
        <v>42297</v>
      </c>
      <c r="M3626" t="s">
        <v>44029</v>
      </c>
      <c r="N3626" t="s">
        <v>46569</v>
      </c>
      <c r="O3626" t="s">
        <v>46570</v>
      </c>
      <c r="P3626">
        <v>0</v>
      </c>
      <c r="Q3626">
        <v>0</v>
      </c>
      <c r="R3626" t="s">
        <v>46572</v>
      </c>
      <c r="S3626" t="s">
        <v>46689</v>
      </c>
      <c r="T3626" t="s">
        <v>48368</v>
      </c>
      <c r="U3626" t="s">
        <v>49404</v>
      </c>
      <c r="W3626" t="s">
        <v>44029</v>
      </c>
      <c r="X3626" t="s">
        <v>46573</v>
      </c>
    </row>
    <row r="3627" spans="1:24">
      <c r="A3627">
        <f>HYPERLINK("https://www.philgeps.gov.ph/GEPSNONPILOT/Tender/SplashBidNoticeAbstractUI.aspx?menuIndex=3&amp;refID=7063087&amp;Result=3","7063087")</f>
        <v>0</v>
      </c>
      <c r="B3627" t="s">
        <v>1211</v>
      </c>
      <c r="C3627" t="s">
        <v>7023</v>
      </c>
      <c r="D3627" t="s">
        <v>18784</v>
      </c>
      <c r="E3627" t="s">
        <v>22166</v>
      </c>
      <c r="F3627" t="s">
        <v>32664</v>
      </c>
      <c r="G3627" t="s">
        <v>32675</v>
      </c>
      <c r="H3627" t="s">
        <v>12635</v>
      </c>
      <c r="I3627" t="s">
        <v>6168</v>
      </c>
      <c r="J3627" t="s">
        <v>35237</v>
      </c>
      <c r="K3627" t="s">
        <v>42309</v>
      </c>
      <c r="M3627" t="s">
        <v>43849</v>
      </c>
      <c r="N3627" t="s">
        <v>46569</v>
      </c>
      <c r="O3627" t="s">
        <v>46570</v>
      </c>
      <c r="P3627">
        <v>0</v>
      </c>
      <c r="Q3627">
        <v>3</v>
      </c>
      <c r="R3627" t="s">
        <v>46572</v>
      </c>
      <c r="S3627" t="s">
        <v>46689</v>
      </c>
      <c r="T3627" t="s">
        <v>48221</v>
      </c>
      <c r="U3627" t="s">
        <v>51791</v>
      </c>
      <c r="W3627" t="s">
        <v>43849</v>
      </c>
      <c r="X3627" t="s">
        <v>46573</v>
      </c>
    </row>
    <row r="3628" spans="1:24">
      <c r="A3628">
        <f>HYPERLINK("https://www.philgeps.gov.ph/GEPSNONPILOT/Tender/SplashBidNoticeAbstractUI.aspx?menuIndex=3&amp;refID=7063086&amp;Result=3","7063086")</f>
        <v>0</v>
      </c>
      <c r="B3628" t="s">
        <v>1353</v>
      </c>
      <c r="C3628" t="s">
        <v>7024</v>
      </c>
      <c r="D3628" t="s">
        <v>18815</v>
      </c>
      <c r="E3628" t="s">
        <v>22167</v>
      </c>
      <c r="F3628" t="s">
        <v>32664</v>
      </c>
      <c r="G3628" t="s">
        <v>32674</v>
      </c>
      <c r="H3628" t="s">
        <v>12635</v>
      </c>
      <c r="I3628" t="s">
        <v>8730</v>
      </c>
      <c r="J3628" t="s">
        <v>35238</v>
      </c>
      <c r="K3628" t="s">
        <v>42297</v>
      </c>
      <c r="M3628" t="s">
        <v>44005</v>
      </c>
      <c r="N3628" t="s">
        <v>46569</v>
      </c>
      <c r="O3628" t="s">
        <v>46570</v>
      </c>
      <c r="P3628">
        <v>0</v>
      </c>
      <c r="Q3628">
        <v>0</v>
      </c>
      <c r="R3628" t="s">
        <v>46572</v>
      </c>
      <c r="S3628" t="s">
        <v>46689</v>
      </c>
      <c r="T3628" t="s">
        <v>48427</v>
      </c>
      <c r="U3628" t="s">
        <v>51792</v>
      </c>
      <c r="W3628" t="s">
        <v>44005</v>
      </c>
      <c r="X3628" t="s">
        <v>46573</v>
      </c>
    </row>
    <row r="3629" spans="1:24">
      <c r="A3629">
        <f>HYPERLINK("https://www.philgeps.gov.ph/GEPSNONPILOT/Tender/SplashBidNoticeAbstractUI.aspx?menuIndex=3&amp;refID=7063084&amp;Result=3","7063084")</f>
        <v>0</v>
      </c>
      <c r="B3629" t="s">
        <v>1393</v>
      </c>
      <c r="C3629" t="s">
        <v>7025</v>
      </c>
      <c r="D3629" t="s">
        <v>18831</v>
      </c>
      <c r="E3629" t="s">
        <v>22168</v>
      </c>
      <c r="F3629" t="s">
        <v>32664</v>
      </c>
      <c r="G3629" t="s">
        <v>32672</v>
      </c>
      <c r="H3629" t="s">
        <v>32683</v>
      </c>
      <c r="I3629" t="s">
        <v>10627</v>
      </c>
      <c r="J3629" t="s">
        <v>35239</v>
      </c>
      <c r="K3629" t="s">
        <v>42311</v>
      </c>
      <c r="M3629" t="s">
        <v>44049</v>
      </c>
      <c r="N3629" t="s">
        <v>46569</v>
      </c>
      <c r="O3629" t="s">
        <v>46570</v>
      </c>
      <c r="P3629">
        <v>0</v>
      </c>
      <c r="Q3629">
        <v>0</v>
      </c>
      <c r="R3629" t="s">
        <v>46572</v>
      </c>
      <c r="S3629" t="s">
        <v>46689</v>
      </c>
      <c r="T3629" t="s">
        <v>48225</v>
      </c>
      <c r="U3629" t="s">
        <v>51793</v>
      </c>
      <c r="W3629" t="s">
        <v>44049</v>
      </c>
      <c r="X3629" t="s">
        <v>46573</v>
      </c>
    </row>
    <row r="3630" spans="1:24">
      <c r="A3630">
        <f>HYPERLINK("https://www.philgeps.gov.ph/GEPSNONPILOT/Tender/SplashBidNoticeAbstractUI.aspx?menuIndex=3&amp;refID=7063083&amp;Result=3","7063083")</f>
        <v>0</v>
      </c>
      <c r="B3630" t="s">
        <v>1394</v>
      </c>
      <c r="C3630" t="s">
        <v>7026</v>
      </c>
      <c r="D3630" t="s">
        <v>18842</v>
      </c>
      <c r="E3630" t="s">
        <v>22169</v>
      </c>
      <c r="F3630" t="s">
        <v>32664</v>
      </c>
      <c r="G3630" t="s">
        <v>32671</v>
      </c>
      <c r="H3630" t="s">
        <v>12635</v>
      </c>
      <c r="I3630" t="s">
        <v>10370</v>
      </c>
      <c r="J3630" t="s">
        <v>35240</v>
      </c>
      <c r="K3630" t="s">
        <v>42284</v>
      </c>
      <c r="M3630" t="s">
        <v>44050</v>
      </c>
      <c r="N3630" t="s">
        <v>46569</v>
      </c>
      <c r="O3630" t="s">
        <v>46570</v>
      </c>
      <c r="P3630">
        <v>0</v>
      </c>
      <c r="Q3630">
        <v>0</v>
      </c>
      <c r="R3630" t="s">
        <v>46572</v>
      </c>
      <c r="S3630" t="s">
        <v>46689</v>
      </c>
      <c r="T3630" t="s">
        <v>48217</v>
      </c>
      <c r="U3630" t="s">
        <v>49881</v>
      </c>
      <c r="W3630" t="s">
        <v>44050</v>
      </c>
      <c r="X3630" t="s">
        <v>46573</v>
      </c>
    </row>
    <row r="3631" spans="1:24">
      <c r="A3631">
        <f>HYPERLINK("https://www.philgeps.gov.ph/GEPSNONPILOT/Tender/SplashBidNoticeAbstractUI.aspx?menuIndex=3&amp;refID=7063081&amp;Result=3","7063081")</f>
        <v>0</v>
      </c>
      <c r="B3631" t="s">
        <v>212</v>
      </c>
      <c r="C3631" t="s">
        <v>7027</v>
      </c>
      <c r="D3631" t="s">
        <v>18844</v>
      </c>
      <c r="E3631" t="s">
        <v>22170</v>
      </c>
      <c r="F3631" t="s">
        <v>32664</v>
      </c>
      <c r="G3631" t="s">
        <v>32677</v>
      </c>
      <c r="H3631" t="s">
        <v>12635</v>
      </c>
      <c r="I3631" t="s">
        <v>5589</v>
      </c>
      <c r="J3631" t="s">
        <v>33128</v>
      </c>
      <c r="K3631" t="s">
        <v>42289</v>
      </c>
      <c r="M3631" t="s">
        <v>42776</v>
      </c>
      <c r="N3631" t="s">
        <v>46569</v>
      </c>
      <c r="O3631" t="s">
        <v>46570</v>
      </c>
      <c r="P3631">
        <v>0</v>
      </c>
      <c r="Q3631">
        <v>1</v>
      </c>
      <c r="R3631" t="s">
        <v>46572</v>
      </c>
      <c r="S3631" t="s">
        <v>46689</v>
      </c>
      <c r="T3631" t="s">
        <v>48311</v>
      </c>
      <c r="U3631" t="s">
        <v>51794</v>
      </c>
      <c r="V3631" t="s">
        <v>61668</v>
      </c>
      <c r="W3631" t="s">
        <v>42776</v>
      </c>
      <c r="X3631" t="s">
        <v>46573</v>
      </c>
    </row>
    <row r="3632" spans="1:24">
      <c r="A3632">
        <f>HYPERLINK("https://www.philgeps.gov.ph/GEPSNONPILOT/Tender/SplashBidNoticeAbstractUI.aspx?menuIndex=3&amp;refID=7063080&amp;Result=3","7063080")</f>
        <v>0</v>
      </c>
      <c r="B3632" t="s">
        <v>990</v>
      </c>
      <c r="C3632" t="s">
        <v>7028</v>
      </c>
      <c r="E3632" t="s">
        <v>22171</v>
      </c>
      <c r="F3632" t="s">
        <v>32664</v>
      </c>
      <c r="G3632" t="s">
        <v>32671</v>
      </c>
      <c r="H3632" t="s">
        <v>12635</v>
      </c>
      <c r="I3632" t="s">
        <v>32755</v>
      </c>
      <c r="J3632" t="s">
        <v>35241</v>
      </c>
      <c r="K3632" t="s">
        <v>42283</v>
      </c>
      <c r="M3632" t="s">
        <v>44051</v>
      </c>
      <c r="N3632" t="s">
        <v>46569</v>
      </c>
      <c r="O3632" t="s">
        <v>46570</v>
      </c>
      <c r="P3632">
        <v>0</v>
      </c>
      <c r="Q3632">
        <v>0</v>
      </c>
      <c r="R3632" t="s">
        <v>46572</v>
      </c>
      <c r="S3632" t="s">
        <v>46689</v>
      </c>
      <c r="T3632" t="s">
        <v>48251</v>
      </c>
      <c r="U3632" t="s">
        <v>51795</v>
      </c>
      <c r="V3632" t="s">
        <v>61994</v>
      </c>
      <c r="W3632" t="s">
        <v>44051</v>
      </c>
      <c r="X3632" t="s">
        <v>46573</v>
      </c>
    </row>
    <row r="3633" spans="1:24">
      <c r="A3633">
        <f>HYPERLINK("https://www.philgeps.gov.ph/GEPSNONPILOT/Tender/SplashBidNoticeAbstractUI.aspx?menuIndex=3&amp;refID=7063079&amp;Result=3","7063079")</f>
        <v>0</v>
      </c>
      <c r="B3633" t="s">
        <v>1395</v>
      </c>
      <c r="C3633" t="s">
        <v>7029</v>
      </c>
      <c r="D3633" t="s">
        <v>18784</v>
      </c>
      <c r="E3633" t="s">
        <v>22172</v>
      </c>
      <c r="F3633" t="s">
        <v>32664</v>
      </c>
      <c r="G3633" t="s">
        <v>32671</v>
      </c>
      <c r="H3633" t="s">
        <v>12635</v>
      </c>
      <c r="I3633" t="s">
        <v>6168</v>
      </c>
      <c r="J3633" t="s">
        <v>33621</v>
      </c>
      <c r="K3633" t="s">
        <v>42284</v>
      </c>
      <c r="M3633" t="s">
        <v>44052</v>
      </c>
      <c r="N3633" t="s">
        <v>46569</v>
      </c>
      <c r="O3633" t="s">
        <v>46570</v>
      </c>
      <c r="P3633">
        <v>0</v>
      </c>
      <c r="Q3633">
        <v>3</v>
      </c>
      <c r="R3633" t="s">
        <v>46572</v>
      </c>
      <c r="S3633" t="s">
        <v>46689</v>
      </c>
      <c r="T3633" t="s">
        <v>48373</v>
      </c>
      <c r="U3633" t="s">
        <v>51796</v>
      </c>
      <c r="W3633" t="s">
        <v>44052</v>
      </c>
      <c r="X3633" t="s">
        <v>46573</v>
      </c>
    </row>
    <row r="3634" spans="1:24">
      <c r="A3634">
        <f>HYPERLINK("https://www.philgeps.gov.ph/GEPSNONPILOT/Tender/SplashBidNoticeAbstractUI.aspx?menuIndex=3&amp;refID=7063077&amp;Result=3","7063077")</f>
        <v>0</v>
      </c>
      <c r="B3634" t="s">
        <v>312</v>
      </c>
      <c r="C3634" t="s">
        <v>7030</v>
      </c>
      <c r="D3634" t="s">
        <v>18805</v>
      </c>
      <c r="E3634" t="s">
        <v>22173</v>
      </c>
      <c r="F3634" t="s">
        <v>32664</v>
      </c>
      <c r="G3634" t="s">
        <v>32671</v>
      </c>
      <c r="H3634" t="s">
        <v>12635</v>
      </c>
      <c r="I3634" t="s">
        <v>4439</v>
      </c>
      <c r="J3634" t="s">
        <v>32853</v>
      </c>
      <c r="K3634" t="s">
        <v>42283</v>
      </c>
      <c r="M3634" t="s">
        <v>42879</v>
      </c>
      <c r="N3634" t="s">
        <v>46569</v>
      </c>
      <c r="O3634" t="s">
        <v>46570</v>
      </c>
      <c r="P3634">
        <v>0</v>
      </c>
      <c r="Q3634">
        <v>0</v>
      </c>
      <c r="R3634" t="s">
        <v>46572</v>
      </c>
      <c r="S3634" t="s">
        <v>46689</v>
      </c>
      <c r="T3634" t="s">
        <v>48368</v>
      </c>
      <c r="U3634" t="s">
        <v>51797</v>
      </c>
      <c r="W3634" t="s">
        <v>42879</v>
      </c>
      <c r="X3634" t="s">
        <v>46573</v>
      </c>
    </row>
    <row r="3635" spans="1:24">
      <c r="A3635">
        <f>HYPERLINK("https://www.philgeps.gov.ph/GEPSNONPILOT/Tender/SplashBidNoticeAbstractUI.aspx?menuIndex=3&amp;refID=7063063&amp;Result=3","7063063")</f>
        <v>0</v>
      </c>
      <c r="B3635" t="s">
        <v>1163</v>
      </c>
      <c r="C3635" t="s">
        <v>7031</v>
      </c>
      <c r="D3635" t="s">
        <v>18847</v>
      </c>
      <c r="E3635" t="s">
        <v>22174</v>
      </c>
      <c r="F3635" t="s">
        <v>32664</v>
      </c>
      <c r="G3635" t="s">
        <v>32672</v>
      </c>
      <c r="H3635" t="s">
        <v>12635</v>
      </c>
      <c r="I3635" t="s">
        <v>14442</v>
      </c>
      <c r="J3635" t="s">
        <v>35242</v>
      </c>
      <c r="K3635" t="s">
        <v>42289</v>
      </c>
      <c r="M3635" t="s">
        <v>43796</v>
      </c>
      <c r="N3635" t="s">
        <v>46569</v>
      </c>
      <c r="O3635" t="s">
        <v>46570</v>
      </c>
      <c r="P3635">
        <v>0</v>
      </c>
      <c r="Q3635">
        <v>2</v>
      </c>
      <c r="R3635" t="s">
        <v>46572</v>
      </c>
      <c r="S3635" t="s">
        <v>46689</v>
      </c>
      <c r="T3635" t="s">
        <v>48312</v>
      </c>
      <c r="U3635" t="s">
        <v>51798</v>
      </c>
      <c r="W3635" t="s">
        <v>43796</v>
      </c>
      <c r="X3635" t="s">
        <v>46573</v>
      </c>
    </row>
    <row r="3636" spans="1:24">
      <c r="A3636">
        <f>HYPERLINK("https://www.philgeps.gov.ph/GEPSNONPILOT/Tender/SplashBidNoticeAbstractUI.aspx?menuIndex=3&amp;refID=7063062&amp;Result=3","7063062")</f>
        <v>0</v>
      </c>
      <c r="B3636" t="s">
        <v>159</v>
      </c>
      <c r="C3636" t="s">
        <v>7032</v>
      </c>
      <c r="D3636" t="s">
        <v>18835</v>
      </c>
      <c r="E3636" t="s">
        <v>22175</v>
      </c>
      <c r="F3636" t="s">
        <v>32664</v>
      </c>
      <c r="G3636" t="s">
        <v>32674</v>
      </c>
      <c r="H3636" t="s">
        <v>12635</v>
      </c>
      <c r="I3636" t="s">
        <v>4439</v>
      </c>
      <c r="J3636" t="s">
        <v>35243</v>
      </c>
      <c r="K3636" t="s">
        <v>42297</v>
      </c>
      <c r="M3636" t="s">
        <v>42723</v>
      </c>
      <c r="N3636" t="s">
        <v>46569</v>
      </c>
      <c r="O3636" t="s">
        <v>46570</v>
      </c>
      <c r="P3636">
        <v>0</v>
      </c>
      <c r="Q3636">
        <v>0</v>
      </c>
      <c r="R3636" t="s">
        <v>46572</v>
      </c>
      <c r="S3636" t="s">
        <v>46689</v>
      </c>
      <c r="T3636" t="s">
        <v>48449</v>
      </c>
      <c r="U3636" t="s">
        <v>51799</v>
      </c>
      <c r="W3636" t="s">
        <v>42723</v>
      </c>
      <c r="X3636" t="s">
        <v>46573</v>
      </c>
    </row>
    <row r="3637" spans="1:24">
      <c r="A3637">
        <f>HYPERLINK("https://www.philgeps.gov.ph/GEPSNONPILOT/Tender/SplashBidNoticeAbstractUI.aspx?menuIndex=3&amp;refID=7063061&amp;Result=3","7063061")</f>
        <v>0</v>
      </c>
      <c r="B3637" t="s">
        <v>917</v>
      </c>
      <c r="C3637" t="s">
        <v>7033</v>
      </c>
      <c r="D3637" t="s">
        <v>18781</v>
      </c>
      <c r="E3637" t="s">
        <v>20931</v>
      </c>
      <c r="F3637" t="s">
        <v>32664</v>
      </c>
      <c r="G3637" t="s">
        <v>32674</v>
      </c>
      <c r="H3637" t="s">
        <v>12635</v>
      </c>
      <c r="I3637" t="s">
        <v>4997</v>
      </c>
      <c r="J3637" t="s">
        <v>33831</v>
      </c>
      <c r="K3637" t="s">
        <v>42283</v>
      </c>
      <c r="M3637" t="s">
        <v>43523</v>
      </c>
      <c r="N3637" t="s">
        <v>46569</v>
      </c>
      <c r="O3637" t="s">
        <v>46570</v>
      </c>
      <c r="P3637">
        <v>0</v>
      </c>
      <c r="Q3637">
        <v>1</v>
      </c>
      <c r="R3637" t="s">
        <v>46572</v>
      </c>
      <c r="S3637" t="s">
        <v>46689</v>
      </c>
      <c r="T3637" t="s">
        <v>48287</v>
      </c>
      <c r="U3637" t="s">
        <v>51800</v>
      </c>
      <c r="W3637" t="s">
        <v>43523</v>
      </c>
      <c r="X3637" t="s">
        <v>46573</v>
      </c>
    </row>
    <row r="3638" spans="1:24">
      <c r="A3638">
        <f>HYPERLINK("https://www.philgeps.gov.ph/GEPSNONPILOT/Tender/SplashBidNoticeAbstractUI.aspx?menuIndex=3&amp;refID=7063152&amp;Result=3","7063152")</f>
        <v>0</v>
      </c>
      <c r="B3638" t="s">
        <v>1116</v>
      </c>
      <c r="C3638" t="s">
        <v>7034</v>
      </c>
      <c r="D3638" t="s">
        <v>18804</v>
      </c>
      <c r="E3638" t="s">
        <v>22176</v>
      </c>
      <c r="F3638" t="s">
        <v>32664</v>
      </c>
      <c r="G3638" t="s">
        <v>32671</v>
      </c>
      <c r="H3638" t="s">
        <v>32682</v>
      </c>
      <c r="I3638" t="s">
        <v>32750</v>
      </c>
      <c r="J3638" t="s">
        <v>35244</v>
      </c>
      <c r="K3638" t="s">
        <v>42311</v>
      </c>
      <c r="M3638" t="s">
        <v>43744</v>
      </c>
      <c r="N3638" t="s">
        <v>46569</v>
      </c>
      <c r="O3638" t="s">
        <v>46570</v>
      </c>
      <c r="P3638">
        <v>0</v>
      </c>
      <c r="Q3638">
        <v>1</v>
      </c>
      <c r="R3638" t="s">
        <v>46572</v>
      </c>
      <c r="S3638" t="s">
        <v>46689</v>
      </c>
      <c r="T3638" t="s">
        <v>48221</v>
      </c>
      <c r="U3638" t="s">
        <v>51801</v>
      </c>
      <c r="W3638" t="s">
        <v>43744</v>
      </c>
      <c r="X3638" t="s">
        <v>46573</v>
      </c>
    </row>
    <row r="3639" spans="1:24">
      <c r="A3639">
        <f>HYPERLINK("https://www.philgeps.gov.ph/GEPSNONPILOT/Tender/SplashBidNoticeAbstractUI.aspx?menuIndex=3&amp;refID=7063171&amp;Result=3","7063171")</f>
        <v>0</v>
      </c>
      <c r="B3639" t="s">
        <v>1350</v>
      </c>
      <c r="C3639" t="s">
        <v>7035</v>
      </c>
      <c r="D3639" t="s">
        <v>18804</v>
      </c>
      <c r="E3639" t="s">
        <v>22177</v>
      </c>
      <c r="F3639" t="s">
        <v>32664</v>
      </c>
      <c r="G3639" t="s">
        <v>32671</v>
      </c>
      <c r="H3639" t="s">
        <v>12635</v>
      </c>
      <c r="I3639" t="s">
        <v>32689</v>
      </c>
      <c r="J3639" t="s">
        <v>35245</v>
      </c>
      <c r="K3639" t="s">
        <v>42332</v>
      </c>
      <c r="M3639" t="s">
        <v>44002</v>
      </c>
      <c r="N3639" t="s">
        <v>46569</v>
      </c>
      <c r="O3639" t="s">
        <v>46570</v>
      </c>
      <c r="P3639">
        <v>0</v>
      </c>
      <c r="Q3639">
        <v>3</v>
      </c>
      <c r="R3639" t="s">
        <v>46572</v>
      </c>
      <c r="S3639" t="s">
        <v>46689</v>
      </c>
      <c r="T3639" t="s">
        <v>48219</v>
      </c>
      <c r="U3639" t="s">
        <v>51664</v>
      </c>
      <c r="W3639" t="s">
        <v>44002</v>
      </c>
      <c r="X3639" t="s">
        <v>46573</v>
      </c>
    </row>
    <row r="3640" spans="1:24">
      <c r="A3640">
        <f>HYPERLINK("https://www.philgeps.gov.ph/GEPSNONPILOT/Tender/SplashBidNoticeAbstractUI.aspx?menuIndex=3&amp;refID=7063170&amp;Result=3","7063170")</f>
        <v>0</v>
      </c>
      <c r="B3640" t="s">
        <v>1396</v>
      </c>
      <c r="C3640" t="s">
        <v>7036</v>
      </c>
      <c r="D3640" t="s">
        <v>18804</v>
      </c>
      <c r="E3640" t="s">
        <v>22178</v>
      </c>
      <c r="F3640" t="s">
        <v>32664</v>
      </c>
      <c r="G3640" t="s">
        <v>32671</v>
      </c>
      <c r="H3640" t="s">
        <v>12635</v>
      </c>
      <c r="I3640" t="s">
        <v>10361</v>
      </c>
      <c r="J3640" t="s">
        <v>33578</v>
      </c>
      <c r="K3640" t="s">
        <v>42283</v>
      </c>
      <c r="M3640" t="s">
        <v>44053</v>
      </c>
      <c r="N3640" t="s">
        <v>46569</v>
      </c>
      <c r="O3640" t="s">
        <v>46570</v>
      </c>
      <c r="P3640">
        <v>0</v>
      </c>
      <c r="Q3640">
        <v>1</v>
      </c>
      <c r="R3640" t="s">
        <v>46572</v>
      </c>
      <c r="S3640" t="s">
        <v>46689</v>
      </c>
      <c r="T3640" t="s">
        <v>48285</v>
      </c>
      <c r="U3640" t="s">
        <v>51802</v>
      </c>
      <c r="W3640" t="s">
        <v>44053</v>
      </c>
      <c r="X3640" t="s">
        <v>46573</v>
      </c>
    </row>
    <row r="3641" spans="1:24">
      <c r="A3641">
        <f>HYPERLINK("https://www.philgeps.gov.ph/GEPSNONPILOT/Tender/SplashBidNoticeAbstractUI.aspx?menuIndex=3&amp;refID=7063169&amp;Result=3","7063169")</f>
        <v>0</v>
      </c>
      <c r="B3641" t="s">
        <v>1397</v>
      </c>
      <c r="C3641" t="s">
        <v>7037</v>
      </c>
      <c r="D3641" t="s">
        <v>18803</v>
      </c>
      <c r="E3641" t="s">
        <v>22179</v>
      </c>
      <c r="F3641" t="s">
        <v>32664</v>
      </c>
      <c r="G3641" t="s">
        <v>32671</v>
      </c>
      <c r="H3641" t="s">
        <v>12635</v>
      </c>
      <c r="I3641" t="s">
        <v>32719</v>
      </c>
      <c r="J3641" t="s">
        <v>33334</v>
      </c>
      <c r="K3641" t="s">
        <v>42281</v>
      </c>
      <c r="M3641" t="s">
        <v>44054</v>
      </c>
      <c r="N3641" t="s">
        <v>46569</v>
      </c>
      <c r="O3641" t="s">
        <v>46570</v>
      </c>
      <c r="P3641">
        <v>0</v>
      </c>
      <c r="Q3641">
        <v>1</v>
      </c>
      <c r="R3641" t="s">
        <v>46572</v>
      </c>
      <c r="S3641" t="s">
        <v>46689</v>
      </c>
      <c r="T3641" t="s">
        <v>48356</v>
      </c>
      <c r="U3641" t="s">
        <v>51803</v>
      </c>
      <c r="W3641" t="s">
        <v>44054</v>
      </c>
      <c r="X3641" t="s">
        <v>46573</v>
      </c>
    </row>
    <row r="3642" spans="1:24">
      <c r="A3642">
        <f>HYPERLINK("https://www.philgeps.gov.ph/GEPSNONPILOT/Tender/SplashBidNoticeAbstractUI.aspx?menuIndex=3&amp;refID=7063128&amp;Result=3","7063128")</f>
        <v>0</v>
      </c>
      <c r="B3642" t="s">
        <v>525</v>
      </c>
      <c r="C3642" t="s">
        <v>7038</v>
      </c>
      <c r="E3642" t="s">
        <v>22180</v>
      </c>
      <c r="F3642" t="s">
        <v>32664</v>
      </c>
      <c r="G3642" t="s">
        <v>32671</v>
      </c>
      <c r="H3642" t="s">
        <v>12635</v>
      </c>
      <c r="I3642" t="s">
        <v>32691</v>
      </c>
      <c r="J3642" t="s">
        <v>33391</v>
      </c>
      <c r="K3642" t="s">
        <v>42283</v>
      </c>
      <c r="M3642" t="s">
        <v>43102</v>
      </c>
      <c r="N3642" t="s">
        <v>46569</v>
      </c>
      <c r="O3642" t="s">
        <v>46570</v>
      </c>
      <c r="P3642">
        <v>0</v>
      </c>
      <c r="Q3642">
        <v>0</v>
      </c>
      <c r="R3642" t="s">
        <v>46572</v>
      </c>
      <c r="S3642" t="s">
        <v>46689</v>
      </c>
      <c r="T3642" t="s">
        <v>48244</v>
      </c>
      <c r="U3642" t="s">
        <v>51804</v>
      </c>
      <c r="W3642" t="s">
        <v>43102</v>
      </c>
      <c r="X3642" t="s">
        <v>46573</v>
      </c>
    </row>
    <row r="3643" spans="1:24">
      <c r="A3643">
        <f>HYPERLINK("https://www.philgeps.gov.ph/GEPSNONPILOT/Tender/SplashBidNoticeAbstractUI.aspx?menuIndex=3&amp;refID=7063165&amp;Result=3","7063165")</f>
        <v>0</v>
      </c>
      <c r="B3643" t="s">
        <v>1389</v>
      </c>
      <c r="C3643" t="s">
        <v>7039</v>
      </c>
      <c r="D3643" t="s">
        <v>18857</v>
      </c>
      <c r="E3643" t="s">
        <v>22181</v>
      </c>
      <c r="F3643" t="s">
        <v>32664</v>
      </c>
      <c r="G3643" t="s">
        <v>32671</v>
      </c>
      <c r="H3643" t="s">
        <v>12635</v>
      </c>
      <c r="I3643" t="s">
        <v>32779</v>
      </c>
      <c r="J3643" t="s">
        <v>33148</v>
      </c>
      <c r="K3643" t="s">
        <v>42289</v>
      </c>
      <c r="M3643" t="s">
        <v>44045</v>
      </c>
      <c r="N3643" t="s">
        <v>46569</v>
      </c>
      <c r="O3643" t="s">
        <v>46570</v>
      </c>
      <c r="P3643">
        <v>0</v>
      </c>
      <c r="Q3643">
        <v>0</v>
      </c>
      <c r="R3643" t="s">
        <v>46572</v>
      </c>
      <c r="S3643" t="s">
        <v>46689</v>
      </c>
      <c r="T3643" t="s">
        <v>48244</v>
      </c>
      <c r="U3643" t="s">
        <v>51805</v>
      </c>
      <c r="V3643" t="s">
        <v>61993</v>
      </c>
      <c r="W3643" t="s">
        <v>44045</v>
      </c>
      <c r="X3643" t="s">
        <v>46573</v>
      </c>
    </row>
    <row r="3644" spans="1:24">
      <c r="A3644">
        <f>HYPERLINK("https://www.philgeps.gov.ph/GEPSNONPILOT/Tender/SplashBidNoticeAbstractUI.aspx?menuIndex=3&amp;refID=7063164&amp;Result=3","7063164")</f>
        <v>0</v>
      </c>
      <c r="B3644" t="s">
        <v>1398</v>
      </c>
      <c r="C3644" t="s">
        <v>7040</v>
      </c>
      <c r="D3644" t="s">
        <v>18794</v>
      </c>
      <c r="E3644" t="s">
        <v>22182</v>
      </c>
      <c r="F3644" t="s">
        <v>32664</v>
      </c>
      <c r="G3644" t="s">
        <v>32672</v>
      </c>
      <c r="H3644" t="s">
        <v>32683</v>
      </c>
      <c r="I3644" t="s">
        <v>10627</v>
      </c>
      <c r="J3644" t="s">
        <v>32943</v>
      </c>
      <c r="K3644" t="s">
        <v>42318</v>
      </c>
      <c r="L3644" t="s">
        <v>1398</v>
      </c>
      <c r="M3644" t="s">
        <v>44055</v>
      </c>
      <c r="N3644" t="s">
        <v>46569</v>
      </c>
      <c r="O3644" t="s">
        <v>46570</v>
      </c>
      <c r="P3644">
        <v>0</v>
      </c>
      <c r="Q3644">
        <v>0</v>
      </c>
      <c r="R3644" t="s">
        <v>46572</v>
      </c>
      <c r="S3644" t="s">
        <v>46689</v>
      </c>
      <c r="T3644" t="s">
        <v>48220</v>
      </c>
      <c r="U3644" t="s">
        <v>51806</v>
      </c>
      <c r="W3644" t="s">
        <v>44055</v>
      </c>
      <c r="X3644" t="s">
        <v>46573</v>
      </c>
    </row>
    <row r="3645" spans="1:24">
      <c r="A3645">
        <f>HYPERLINK("https://www.philgeps.gov.ph/GEPSNONPILOT/Tender/SplashBidNoticeAbstractUI.aspx?menuIndex=3&amp;refID=7063163&amp;Result=3","7063163")</f>
        <v>0</v>
      </c>
      <c r="B3645" t="s">
        <v>1399</v>
      </c>
      <c r="C3645" t="s">
        <v>7041</v>
      </c>
      <c r="D3645" t="s">
        <v>18784</v>
      </c>
      <c r="E3645" t="s">
        <v>22183</v>
      </c>
      <c r="F3645" t="s">
        <v>32664</v>
      </c>
      <c r="G3645" t="s">
        <v>32671</v>
      </c>
      <c r="H3645" t="s">
        <v>12635</v>
      </c>
      <c r="I3645" t="s">
        <v>4333</v>
      </c>
      <c r="J3645" t="s">
        <v>33212</v>
      </c>
      <c r="K3645" t="s">
        <v>42289</v>
      </c>
      <c r="M3645" t="s">
        <v>44056</v>
      </c>
      <c r="N3645" t="s">
        <v>46569</v>
      </c>
      <c r="O3645" t="s">
        <v>46570</v>
      </c>
      <c r="P3645">
        <v>0</v>
      </c>
      <c r="Q3645">
        <v>2</v>
      </c>
      <c r="R3645" t="s">
        <v>46572</v>
      </c>
      <c r="S3645" t="s">
        <v>46689</v>
      </c>
      <c r="T3645" t="s">
        <v>48256</v>
      </c>
      <c r="U3645" t="s">
        <v>51807</v>
      </c>
      <c r="W3645" t="s">
        <v>44056</v>
      </c>
      <c r="X3645" t="s">
        <v>46573</v>
      </c>
    </row>
    <row r="3646" spans="1:24">
      <c r="A3646">
        <f>HYPERLINK("https://www.philgeps.gov.ph/GEPSNONPILOT/Tender/SplashBidNoticeAbstractUI.aspx?menuIndex=3&amp;refID=7063162&amp;Result=3","7063162")</f>
        <v>0</v>
      </c>
      <c r="B3646" t="s">
        <v>328</v>
      </c>
      <c r="C3646" t="s">
        <v>7042</v>
      </c>
      <c r="D3646" t="s">
        <v>18813</v>
      </c>
      <c r="E3646" t="s">
        <v>18889</v>
      </c>
      <c r="F3646" t="s">
        <v>32664</v>
      </c>
      <c r="G3646" t="s">
        <v>32674</v>
      </c>
      <c r="H3646" t="s">
        <v>12635</v>
      </c>
      <c r="I3646" t="s">
        <v>32734</v>
      </c>
      <c r="J3646" t="s">
        <v>35246</v>
      </c>
      <c r="K3646" t="s">
        <v>42295</v>
      </c>
      <c r="M3646" t="s">
        <v>42896</v>
      </c>
      <c r="N3646" t="s">
        <v>46569</v>
      </c>
      <c r="O3646" t="s">
        <v>46570</v>
      </c>
      <c r="P3646">
        <v>0</v>
      </c>
      <c r="Q3646">
        <v>0</v>
      </c>
      <c r="R3646" t="s">
        <v>46572</v>
      </c>
      <c r="S3646" t="s">
        <v>46689</v>
      </c>
      <c r="T3646" t="s">
        <v>48254</v>
      </c>
      <c r="U3646" t="s">
        <v>49375</v>
      </c>
      <c r="W3646" t="s">
        <v>42896</v>
      </c>
      <c r="X3646" t="s">
        <v>46573</v>
      </c>
    </row>
    <row r="3647" spans="1:24">
      <c r="A3647">
        <f>HYPERLINK("https://www.philgeps.gov.ph/GEPSNONPILOT/Tender/SplashBidNoticeAbstractUI.aspx?menuIndex=3&amp;refID=7063161&amp;Result=3","7063161")</f>
        <v>0</v>
      </c>
      <c r="B3647" t="s">
        <v>491</v>
      </c>
      <c r="C3647" t="s">
        <v>6150</v>
      </c>
      <c r="E3647" t="s">
        <v>22184</v>
      </c>
      <c r="F3647" t="s">
        <v>32664</v>
      </c>
      <c r="G3647" t="s">
        <v>32671</v>
      </c>
      <c r="H3647" t="s">
        <v>12635</v>
      </c>
      <c r="I3647" t="s">
        <v>32685</v>
      </c>
      <c r="J3647" t="s">
        <v>33613</v>
      </c>
      <c r="K3647" t="s">
        <v>42283</v>
      </c>
      <c r="M3647" t="s">
        <v>43067</v>
      </c>
      <c r="N3647" t="s">
        <v>46569</v>
      </c>
      <c r="O3647" t="s">
        <v>46570</v>
      </c>
      <c r="P3647">
        <v>0</v>
      </c>
      <c r="Q3647">
        <v>0</v>
      </c>
      <c r="R3647" t="s">
        <v>46572</v>
      </c>
      <c r="S3647" t="s">
        <v>46689</v>
      </c>
      <c r="T3647" t="s">
        <v>48249</v>
      </c>
      <c r="U3647" t="s">
        <v>51808</v>
      </c>
      <c r="W3647" t="s">
        <v>43067</v>
      </c>
      <c r="X3647" t="s">
        <v>46573</v>
      </c>
    </row>
    <row r="3648" spans="1:24">
      <c r="A3648">
        <f>HYPERLINK("https://www.philgeps.gov.ph/GEPSNONPILOT/Tender/SplashBidNoticeAbstractUI.aspx?menuIndex=3&amp;refID=7063160&amp;Result=3","7063160")</f>
        <v>0</v>
      </c>
      <c r="B3648" t="s">
        <v>1374</v>
      </c>
      <c r="C3648" t="s">
        <v>7043</v>
      </c>
      <c r="D3648" t="s">
        <v>18821</v>
      </c>
      <c r="E3648" t="s">
        <v>22185</v>
      </c>
      <c r="F3648" t="s">
        <v>32664</v>
      </c>
      <c r="G3648" t="s">
        <v>32672</v>
      </c>
      <c r="H3648" t="s">
        <v>12635</v>
      </c>
      <c r="I3648" t="s">
        <v>10370</v>
      </c>
      <c r="J3648" t="s">
        <v>33015</v>
      </c>
      <c r="K3648" t="s">
        <v>42297</v>
      </c>
      <c r="M3648" t="s">
        <v>44029</v>
      </c>
      <c r="N3648" t="s">
        <v>46569</v>
      </c>
      <c r="O3648" t="s">
        <v>46570</v>
      </c>
      <c r="P3648">
        <v>0</v>
      </c>
      <c r="Q3648">
        <v>0</v>
      </c>
      <c r="R3648" t="s">
        <v>46572</v>
      </c>
      <c r="S3648" t="s">
        <v>46689</v>
      </c>
      <c r="T3648" t="s">
        <v>48368</v>
      </c>
      <c r="U3648" t="s">
        <v>51809</v>
      </c>
      <c r="W3648" t="s">
        <v>44029</v>
      </c>
      <c r="X3648" t="s">
        <v>46573</v>
      </c>
    </row>
    <row r="3649" spans="1:24">
      <c r="A3649">
        <f>HYPERLINK("https://www.philgeps.gov.ph/GEPSNONPILOT/Tender/SplashBidNoticeAbstractUI.aspx?menuIndex=3&amp;refID=7063159&amp;Result=3","7063159")</f>
        <v>0</v>
      </c>
      <c r="B3649" t="s">
        <v>1400</v>
      </c>
      <c r="C3649" t="s">
        <v>7044</v>
      </c>
      <c r="D3649" t="s">
        <v>18826</v>
      </c>
      <c r="E3649" t="s">
        <v>22186</v>
      </c>
      <c r="F3649" t="s">
        <v>32665</v>
      </c>
      <c r="G3649" t="s">
        <v>32673</v>
      </c>
      <c r="H3649" t="s">
        <v>32683</v>
      </c>
      <c r="I3649" t="s">
        <v>10627</v>
      </c>
      <c r="J3649" t="s">
        <v>33167</v>
      </c>
      <c r="K3649" t="s">
        <v>42311</v>
      </c>
      <c r="M3649" t="s">
        <v>44057</v>
      </c>
      <c r="N3649" t="s">
        <v>46569</v>
      </c>
      <c r="O3649" t="s">
        <v>46570</v>
      </c>
      <c r="P3649">
        <v>0</v>
      </c>
      <c r="Q3649">
        <v>1</v>
      </c>
      <c r="R3649" t="s">
        <v>46572</v>
      </c>
      <c r="S3649" t="s">
        <v>46689</v>
      </c>
      <c r="T3649" t="s">
        <v>48402</v>
      </c>
      <c r="U3649" t="s">
        <v>51810</v>
      </c>
      <c r="W3649" t="s">
        <v>44057</v>
      </c>
      <c r="X3649" t="s">
        <v>46573</v>
      </c>
    </row>
    <row r="3650" spans="1:24">
      <c r="A3650">
        <f>HYPERLINK("https://www.philgeps.gov.ph/GEPSNONPILOT/Tender/SplashBidNoticeAbstractUI.aspx?menuIndex=3&amp;refID=7063158&amp;Result=3","7063158")</f>
        <v>0</v>
      </c>
      <c r="B3650" t="s">
        <v>495</v>
      </c>
      <c r="C3650" t="s">
        <v>7045</v>
      </c>
      <c r="D3650" t="s">
        <v>18791</v>
      </c>
      <c r="E3650" t="s">
        <v>22187</v>
      </c>
      <c r="F3650" t="s">
        <v>32664</v>
      </c>
      <c r="G3650" t="s">
        <v>32672</v>
      </c>
      <c r="H3650" t="s">
        <v>32683</v>
      </c>
      <c r="I3650" t="s">
        <v>10627</v>
      </c>
      <c r="J3650" t="s">
        <v>35247</v>
      </c>
      <c r="K3650" t="s">
        <v>42415</v>
      </c>
      <c r="M3650" t="s">
        <v>43071</v>
      </c>
      <c r="N3650" t="s">
        <v>46569</v>
      </c>
      <c r="O3650" t="s">
        <v>46570</v>
      </c>
      <c r="P3650">
        <v>0</v>
      </c>
      <c r="Q3650">
        <v>1</v>
      </c>
      <c r="R3650" t="s">
        <v>46572</v>
      </c>
      <c r="S3650" t="s">
        <v>46689</v>
      </c>
      <c r="T3650" t="s">
        <v>48412</v>
      </c>
      <c r="U3650" t="s">
        <v>51708</v>
      </c>
      <c r="W3650" t="s">
        <v>43071</v>
      </c>
      <c r="X3650" t="s">
        <v>46573</v>
      </c>
    </row>
    <row r="3651" spans="1:24">
      <c r="A3651">
        <f>HYPERLINK("https://www.philgeps.gov.ph/GEPSNONPILOT/Tender/SplashBidNoticeAbstractUI.aspx?menuIndex=3&amp;refID=7063194&amp;Result=3","7063194")</f>
        <v>0</v>
      </c>
      <c r="B3651" t="s">
        <v>1342</v>
      </c>
      <c r="C3651" t="s">
        <v>7046</v>
      </c>
      <c r="D3651" t="s">
        <v>18787</v>
      </c>
      <c r="E3651" t="s">
        <v>22188</v>
      </c>
      <c r="F3651" t="s">
        <v>32664</v>
      </c>
      <c r="G3651" t="s">
        <v>32671</v>
      </c>
      <c r="H3651" t="s">
        <v>12635</v>
      </c>
      <c r="I3651" t="s">
        <v>32696</v>
      </c>
      <c r="J3651" t="s">
        <v>34193</v>
      </c>
      <c r="K3651" t="s">
        <v>42283</v>
      </c>
      <c r="M3651" t="s">
        <v>43992</v>
      </c>
      <c r="N3651" t="s">
        <v>46569</v>
      </c>
      <c r="O3651" t="s">
        <v>46570</v>
      </c>
      <c r="P3651">
        <v>0</v>
      </c>
      <c r="Q3651">
        <v>0</v>
      </c>
      <c r="R3651" t="s">
        <v>46572</v>
      </c>
      <c r="S3651" t="s">
        <v>46689</v>
      </c>
      <c r="T3651" t="s">
        <v>48293</v>
      </c>
      <c r="U3651" t="s">
        <v>51749</v>
      </c>
      <c r="W3651" t="s">
        <v>43992</v>
      </c>
      <c r="X3651" t="s">
        <v>46573</v>
      </c>
    </row>
    <row r="3652" spans="1:24">
      <c r="A3652">
        <f>HYPERLINK("https://www.philgeps.gov.ph/GEPSNONPILOT/Tender/SplashBidNoticeAbstractUI.aspx?menuIndex=3&amp;refID=7063193&amp;Result=3","7063193")</f>
        <v>0</v>
      </c>
      <c r="B3652" t="s">
        <v>594</v>
      </c>
      <c r="C3652" t="s">
        <v>7047</v>
      </c>
      <c r="D3652" t="s">
        <v>18784</v>
      </c>
      <c r="E3652" t="s">
        <v>22189</v>
      </c>
      <c r="F3652" t="s">
        <v>32664</v>
      </c>
      <c r="G3652" t="s">
        <v>32674</v>
      </c>
      <c r="H3652" t="s">
        <v>12635</v>
      </c>
      <c r="I3652" t="s">
        <v>9486</v>
      </c>
      <c r="J3652" t="s">
        <v>35248</v>
      </c>
      <c r="K3652" t="s">
        <v>42297</v>
      </c>
      <c r="M3652" t="s">
        <v>43721</v>
      </c>
      <c r="N3652" t="s">
        <v>46569</v>
      </c>
      <c r="O3652" t="s">
        <v>46570</v>
      </c>
      <c r="P3652">
        <v>0</v>
      </c>
      <c r="Q3652">
        <v>2</v>
      </c>
      <c r="R3652" t="s">
        <v>46572</v>
      </c>
      <c r="S3652" t="s">
        <v>46689</v>
      </c>
      <c r="T3652" t="s">
        <v>48461</v>
      </c>
      <c r="U3652" t="s">
        <v>51811</v>
      </c>
      <c r="V3652" t="s">
        <v>61897</v>
      </c>
      <c r="W3652" t="s">
        <v>43721</v>
      </c>
      <c r="X3652" t="s">
        <v>46573</v>
      </c>
    </row>
    <row r="3653" spans="1:24">
      <c r="A3653">
        <f>HYPERLINK("https://www.philgeps.gov.ph/GEPSNONPILOT/Tender/SplashBidNoticeAbstractUI.aspx?menuIndex=3&amp;refID=7063192&amp;Result=3","7063192")</f>
        <v>0</v>
      </c>
      <c r="B3653" t="s">
        <v>525</v>
      </c>
      <c r="C3653" t="s">
        <v>7048</v>
      </c>
      <c r="E3653" t="s">
        <v>22190</v>
      </c>
      <c r="F3653" t="s">
        <v>32664</v>
      </c>
      <c r="G3653" t="s">
        <v>32671</v>
      </c>
      <c r="H3653" t="s">
        <v>12635</v>
      </c>
      <c r="I3653" t="s">
        <v>32691</v>
      </c>
      <c r="J3653" t="s">
        <v>33608</v>
      </c>
      <c r="K3653" t="s">
        <v>42283</v>
      </c>
      <c r="M3653" t="s">
        <v>43102</v>
      </c>
      <c r="N3653" t="s">
        <v>46569</v>
      </c>
      <c r="O3653" t="s">
        <v>46570</v>
      </c>
      <c r="P3653">
        <v>0</v>
      </c>
      <c r="Q3653">
        <v>0</v>
      </c>
      <c r="R3653" t="s">
        <v>46572</v>
      </c>
      <c r="S3653" t="s">
        <v>46689</v>
      </c>
      <c r="T3653" t="s">
        <v>48244</v>
      </c>
      <c r="U3653" t="s">
        <v>51812</v>
      </c>
      <c r="W3653" t="s">
        <v>43102</v>
      </c>
      <c r="X3653" t="s">
        <v>46573</v>
      </c>
    </row>
    <row r="3654" spans="1:24">
      <c r="A3654">
        <f>HYPERLINK("https://www.philgeps.gov.ph/GEPSNONPILOT/Tender/SplashBidNoticeAbstractUI.aspx?menuIndex=3&amp;refID=7063141&amp;Result=3","7063141")</f>
        <v>0</v>
      </c>
      <c r="B3654" t="s">
        <v>1401</v>
      </c>
      <c r="C3654" t="s">
        <v>7049</v>
      </c>
      <c r="D3654" t="s">
        <v>18798</v>
      </c>
      <c r="E3654" t="s">
        <v>22191</v>
      </c>
      <c r="F3654" t="s">
        <v>32664</v>
      </c>
      <c r="G3654" t="s">
        <v>32672</v>
      </c>
      <c r="H3654" t="s">
        <v>12635</v>
      </c>
      <c r="I3654" t="s">
        <v>6223</v>
      </c>
      <c r="J3654" t="s">
        <v>35249</v>
      </c>
      <c r="K3654" t="s">
        <v>42303</v>
      </c>
      <c r="M3654" t="s">
        <v>44058</v>
      </c>
      <c r="N3654" t="s">
        <v>46569</v>
      </c>
      <c r="O3654" t="s">
        <v>46570</v>
      </c>
      <c r="P3654">
        <v>0</v>
      </c>
      <c r="Q3654">
        <v>2</v>
      </c>
      <c r="R3654" t="s">
        <v>46572</v>
      </c>
      <c r="S3654" t="s">
        <v>46689</v>
      </c>
      <c r="T3654" t="s">
        <v>48268</v>
      </c>
      <c r="U3654" t="s">
        <v>51813</v>
      </c>
      <c r="W3654" t="s">
        <v>44058</v>
      </c>
      <c r="X3654" t="s">
        <v>46573</v>
      </c>
    </row>
    <row r="3655" spans="1:24">
      <c r="A3655">
        <f>HYPERLINK("https://www.philgeps.gov.ph/GEPSNONPILOT/Tender/SplashBidNoticeAbstractUI.aspx?menuIndex=3&amp;refID=7063191&amp;Result=3","7063191")</f>
        <v>0</v>
      </c>
      <c r="B3655" t="s">
        <v>491</v>
      </c>
      <c r="C3655" t="s">
        <v>3633</v>
      </c>
      <c r="E3655" t="s">
        <v>22192</v>
      </c>
      <c r="F3655" t="s">
        <v>32664</v>
      </c>
      <c r="G3655" t="s">
        <v>32671</v>
      </c>
      <c r="H3655" t="s">
        <v>12635</v>
      </c>
      <c r="I3655" t="s">
        <v>32698</v>
      </c>
      <c r="J3655" t="s">
        <v>33334</v>
      </c>
      <c r="K3655" t="s">
        <v>42283</v>
      </c>
      <c r="M3655" t="s">
        <v>43067</v>
      </c>
      <c r="N3655" t="s">
        <v>46569</v>
      </c>
      <c r="O3655" t="s">
        <v>46570</v>
      </c>
      <c r="P3655">
        <v>0</v>
      </c>
      <c r="Q3655">
        <v>0</v>
      </c>
      <c r="R3655" t="s">
        <v>46572</v>
      </c>
      <c r="S3655" t="s">
        <v>46689</v>
      </c>
      <c r="T3655" t="s">
        <v>48249</v>
      </c>
      <c r="U3655" t="s">
        <v>51814</v>
      </c>
      <c r="W3655" t="s">
        <v>43067</v>
      </c>
      <c r="X3655" t="s">
        <v>46573</v>
      </c>
    </row>
    <row r="3656" spans="1:24">
      <c r="A3656">
        <f>HYPERLINK("https://www.philgeps.gov.ph/GEPSNONPILOT/Tender/SplashBidNoticeAbstractUI.aspx?menuIndex=3&amp;refID=7063189&amp;Result=3","7063189")</f>
        <v>0</v>
      </c>
      <c r="B3656" t="s">
        <v>1402</v>
      </c>
      <c r="C3656" t="s">
        <v>7050</v>
      </c>
      <c r="D3656" t="s">
        <v>18789</v>
      </c>
      <c r="E3656" t="s">
        <v>22193</v>
      </c>
      <c r="F3656" t="s">
        <v>32664</v>
      </c>
      <c r="G3656" t="s">
        <v>32671</v>
      </c>
      <c r="H3656" t="s">
        <v>12635</v>
      </c>
      <c r="I3656" t="s">
        <v>10627</v>
      </c>
      <c r="J3656" t="s">
        <v>35250</v>
      </c>
      <c r="K3656" t="s">
        <v>42281</v>
      </c>
      <c r="M3656" t="s">
        <v>44059</v>
      </c>
      <c r="N3656" t="s">
        <v>46569</v>
      </c>
      <c r="O3656" t="s">
        <v>46570</v>
      </c>
      <c r="P3656">
        <v>0</v>
      </c>
      <c r="Q3656">
        <v>0</v>
      </c>
      <c r="R3656" t="s">
        <v>46572</v>
      </c>
      <c r="S3656" t="s">
        <v>46689</v>
      </c>
      <c r="T3656" t="s">
        <v>48256</v>
      </c>
      <c r="U3656" t="s">
        <v>51815</v>
      </c>
      <c r="V3656" t="s">
        <v>61995</v>
      </c>
      <c r="W3656" t="s">
        <v>44059</v>
      </c>
      <c r="X3656" t="s">
        <v>46573</v>
      </c>
    </row>
    <row r="3657" spans="1:24">
      <c r="A3657">
        <f>HYPERLINK("https://www.philgeps.gov.ph/GEPSNONPILOT/Tender/SplashBidNoticeAbstractUI.aspx?menuIndex=3&amp;refID=7063188&amp;Result=3","7063188")</f>
        <v>0</v>
      </c>
      <c r="B3657" t="s">
        <v>1336</v>
      </c>
      <c r="C3657" t="s">
        <v>7051</v>
      </c>
      <c r="D3657" t="s">
        <v>18856</v>
      </c>
      <c r="E3657" t="s">
        <v>22194</v>
      </c>
      <c r="F3657" t="s">
        <v>32664</v>
      </c>
      <c r="G3657" t="s">
        <v>32672</v>
      </c>
      <c r="H3657" t="s">
        <v>32683</v>
      </c>
      <c r="I3657" t="s">
        <v>10627</v>
      </c>
      <c r="J3657" t="s">
        <v>35251</v>
      </c>
      <c r="K3657" t="s">
        <v>42281</v>
      </c>
      <c r="M3657" t="s">
        <v>43986</v>
      </c>
      <c r="N3657" t="s">
        <v>46569</v>
      </c>
      <c r="O3657" t="s">
        <v>46570</v>
      </c>
      <c r="P3657">
        <v>0</v>
      </c>
      <c r="Q3657">
        <v>0</v>
      </c>
      <c r="R3657" t="s">
        <v>46572</v>
      </c>
      <c r="S3657" t="s">
        <v>46689</v>
      </c>
      <c r="T3657" t="s">
        <v>48479</v>
      </c>
      <c r="U3657" t="s">
        <v>51816</v>
      </c>
      <c r="V3657" t="s">
        <v>61974</v>
      </c>
      <c r="W3657" t="s">
        <v>43986</v>
      </c>
      <c r="X3657" t="s">
        <v>46573</v>
      </c>
    </row>
    <row r="3658" spans="1:24">
      <c r="A3658">
        <f>HYPERLINK("https://www.philgeps.gov.ph/GEPSNONPILOT/Tender/SplashBidNoticeAbstractUI.aspx?menuIndex=3&amp;refID=7063186&amp;Result=3","7063186")</f>
        <v>0</v>
      </c>
      <c r="B3658" t="s">
        <v>1311</v>
      </c>
      <c r="C3658" t="s">
        <v>7052</v>
      </c>
      <c r="D3658" t="s">
        <v>18790</v>
      </c>
      <c r="E3658" t="s">
        <v>22195</v>
      </c>
      <c r="F3658" t="s">
        <v>32664</v>
      </c>
      <c r="G3658" t="s">
        <v>32672</v>
      </c>
      <c r="H3658" t="s">
        <v>12635</v>
      </c>
      <c r="I3658" t="s">
        <v>9597</v>
      </c>
      <c r="J3658" t="s">
        <v>32943</v>
      </c>
      <c r="K3658" t="s">
        <v>42330</v>
      </c>
      <c r="M3658" t="s">
        <v>43957</v>
      </c>
      <c r="N3658" t="s">
        <v>46569</v>
      </c>
      <c r="O3658" t="s">
        <v>46570</v>
      </c>
      <c r="P3658">
        <v>0</v>
      </c>
      <c r="Q3658">
        <v>2</v>
      </c>
      <c r="R3658" t="s">
        <v>46572</v>
      </c>
      <c r="S3658" t="s">
        <v>46689</v>
      </c>
      <c r="T3658" t="s">
        <v>48212</v>
      </c>
      <c r="U3658" t="s">
        <v>51817</v>
      </c>
      <c r="W3658" t="s">
        <v>43957</v>
      </c>
      <c r="X3658" t="s">
        <v>46573</v>
      </c>
    </row>
    <row r="3659" spans="1:24">
      <c r="A3659">
        <f>HYPERLINK("https://www.philgeps.gov.ph/GEPSNONPILOT/Tender/SplashBidNoticeAbstractUI.aspx?menuIndex=3&amp;refID=7063185&amp;Result=3","7063185")</f>
        <v>0</v>
      </c>
      <c r="B3659" t="s">
        <v>1210</v>
      </c>
      <c r="C3659" t="s">
        <v>7053</v>
      </c>
      <c r="D3659" t="s">
        <v>18788</v>
      </c>
      <c r="E3659" t="s">
        <v>22196</v>
      </c>
      <c r="F3659" t="s">
        <v>32664</v>
      </c>
      <c r="G3659" t="s">
        <v>32672</v>
      </c>
      <c r="H3659" t="s">
        <v>32683</v>
      </c>
      <c r="I3659" t="s">
        <v>10627</v>
      </c>
      <c r="J3659" t="s">
        <v>35228</v>
      </c>
      <c r="K3659" t="s">
        <v>42283</v>
      </c>
      <c r="M3659" t="s">
        <v>43848</v>
      </c>
      <c r="N3659" t="s">
        <v>46569</v>
      </c>
      <c r="O3659" t="s">
        <v>46570</v>
      </c>
      <c r="P3659">
        <v>0</v>
      </c>
      <c r="Q3659">
        <v>0</v>
      </c>
      <c r="R3659" t="s">
        <v>46572</v>
      </c>
      <c r="S3659" t="s">
        <v>46689</v>
      </c>
      <c r="T3659" t="s">
        <v>48291</v>
      </c>
      <c r="U3659" t="s">
        <v>51362</v>
      </c>
      <c r="W3659" t="s">
        <v>43848</v>
      </c>
      <c r="X3659" t="s">
        <v>46573</v>
      </c>
    </row>
    <row r="3660" spans="1:24">
      <c r="A3660">
        <f>HYPERLINK("https://www.philgeps.gov.ph/GEPSNONPILOT/Tender/SplashBidNoticeAbstractUI.aspx?menuIndex=3&amp;refID=7063190&amp;Result=3","7063190")</f>
        <v>0</v>
      </c>
      <c r="B3660" t="s">
        <v>1403</v>
      </c>
      <c r="C3660" t="s">
        <v>7054</v>
      </c>
      <c r="D3660" t="s">
        <v>18804</v>
      </c>
      <c r="E3660" t="s">
        <v>22197</v>
      </c>
      <c r="F3660" t="s">
        <v>32664</v>
      </c>
      <c r="G3660" t="s">
        <v>32671</v>
      </c>
      <c r="H3660" t="s">
        <v>12635</v>
      </c>
      <c r="I3660" t="s">
        <v>32690</v>
      </c>
      <c r="J3660" t="s">
        <v>33196</v>
      </c>
      <c r="K3660" t="s">
        <v>42295</v>
      </c>
      <c r="M3660" t="s">
        <v>44060</v>
      </c>
      <c r="N3660" t="s">
        <v>46569</v>
      </c>
      <c r="O3660" t="s">
        <v>46570</v>
      </c>
      <c r="P3660">
        <v>0</v>
      </c>
      <c r="Q3660">
        <v>2</v>
      </c>
      <c r="R3660" t="s">
        <v>46572</v>
      </c>
      <c r="S3660" t="s">
        <v>46689</v>
      </c>
      <c r="T3660" t="s">
        <v>48244</v>
      </c>
      <c r="U3660" t="s">
        <v>51818</v>
      </c>
      <c r="W3660" t="s">
        <v>44060</v>
      </c>
      <c r="X3660" t="s">
        <v>46573</v>
      </c>
    </row>
    <row r="3661" spans="1:24">
      <c r="A3661">
        <f>HYPERLINK("https://www.philgeps.gov.ph/GEPSNONPILOT/Tender/SplashBidNoticeAbstractUI.aspx?menuIndex=3&amp;refID=7063183&amp;Result=3","7063183")</f>
        <v>0</v>
      </c>
      <c r="B3661" t="s">
        <v>594</v>
      </c>
      <c r="C3661" t="s">
        <v>7055</v>
      </c>
      <c r="D3661" t="s">
        <v>18784</v>
      </c>
      <c r="E3661" t="s">
        <v>22198</v>
      </c>
      <c r="F3661" t="s">
        <v>32664</v>
      </c>
      <c r="G3661" t="s">
        <v>32671</v>
      </c>
      <c r="H3661" t="s">
        <v>12635</v>
      </c>
      <c r="I3661" t="s">
        <v>32701</v>
      </c>
      <c r="J3661" t="s">
        <v>35252</v>
      </c>
      <c r="K3661" t="s">
        <v>42297</v>
      </c>
      <c r="M3661" t="s">
        <v>43793</v>
      </c>
      <c r="N3661" t="s">
        <v>46569</v>
      </c>
      <c r="O3661" t="s">
        <v>46570</v>
      </c>
      <c r="P3661">
        <v>0</v>
      </c>
      <c r="Q3661">
        <v>1</v>
      </c>
      <c r="R3661" t="s">
        <v>46572</v>
      </c>
      <c r="S3661" t="s">
        <v>46689</v>
      </c>
      <c r="T3661" t="s">
        <v>48341</v>
      </c>
      <c r="U3661" t="s">
        <v>51819</v>
      </c>
      <c r="V3661" t="s">
        <v>61909</v>
      </c>
      <c r="W3661" t="s">
        <v>43793</v>
      </c>
      <c r="X3661" t="s">
        <v>46573</v>
      </c>
    </row>
    <row r="3662" spans="1:24">
      <c r="A3662">
        <f>HYPERLINK("https://www.philgeps.gov.ph/GEPSNONPILOT/Tender/SplashBidNoticeAbstractUI.aspx?menuIndex=3&amp;refID=7063182&amp;Result=3","7063182")</f>
        <v>0</v>
      </c>
      <c r="B3662" t="s">
        <v>660</v>
      </c>
      <c r="C3662" t="s">
        <v>7056</v>
      </c>
      <c r="D3662" t="s">
        <v>18855</v>
      </c>
      <c r="E3662" t="s">
        <v>22199</v>
      </c>
      <c r="F3662" t="s">
        <v>32664</v>
      </c>
      <c r="G3662" t="s">
        <v>32671</v>
      </c>
      <c r="H3662" t="s">
        <v>12635</v>
      </c>
      <c r="I3662" t="s">
        <v>8797</v>
      </c>
      <c r="J3662" t="s">
        <v>35253</v>
      </c>
      <c r="K3662" t="s">
        <v>42283</v>
      </c>
      <c r="M3662" t="s">
        <v>43247</v>
      </c>
      <c r="N3662" t="s">
        <v>46569</v>
      </c>
      <c r="O3662" t="s">
        <v>46570</v>
      </c>
      <c r="P3662">
        <v>0</v>
      </c>
      <c r="Q3662">
        <v>3</v>
      </c>
      <c r="R3662" t="s">
        <v>46572</v>
      </c>
      <c r="S3662" t="s">
        <v>46689</v>
      </c>
      <c r="T3662" t="s">
        <v>48249</v>
      </c>
      <c r="U3662" t="s">
        <v>51768</v>
      </c>
      <c r="W3662" t="s">
        <v>43247</v>
      </c>
      <c r="X3662" t="s">
        <v>46573</v>
      </c>
    </row>
    <row r="3663" spans="1:24">
      <c r="A3663">
        <f>HYPERLINK("https://www.philgeps.gov.ph/GEPSNONPILOT/Tender/SplashBidNoticeAbstractUI.aspx?menuIndex=3&amp;refID=7063199&amp;Result=3","7063199")</f>
        <v>0</v>
      </c>
      <c r="B3663" t="s">
        <v>1390</v>
      </c>
      <c r="C3663" t="s">
        <v>7057</v>
      </c>
      <c r="D3663" t="s">
        <v>18791</v>
      </c>
      <c r="E3663" t="s">
        <v>22200</v>
      </c>
      <c r="F3663" t="s">
        <v>32664</v>
      </c>
      <c r="G3663" t="s">
        <v>32671</v>
      </c>
      <c r="H3663" t="s">
        <v>12635</v>
      </c>
      <c r="I3663" t="s">
        <v>5501</v>
      </c>
      <c r="J3663" t="s">
        <v>33461</v>
      </c>
      <c r="K3663" t="s">
        <v>42283</v>
      </c>
      <c r="M3663" t="s">
        <v>44046</v>
      </c>
      <c r="N3663" t="s">
        <v>46569</v>
      </c>
      <c r="O3663" t="s">
        <v>46570</v>
      </c>
      <c r="P3663">
        <v>0</v>
      </c>
      <c r="Q3663">
        <v>6</v>
      </c>
      <c r="R3663" t="s">
        <v>46572</v>
      </c>
      <c r="S3663" t="s">
        <v>46689</v>
      </c>
      <c r="T3663" t="s">
        <v>48244</v>
      </c>
      <c r="U3663" t="s">
        <v>51820</v>
      </c>
      <c r="W3663" t="s">
        <v>44046</v>
      </c>
      <c r="X3663" t="s">
        <v>46573</v>
      </c>
    </row>
    <row r="3664" spans="1:24">
      <c r="A3664">
        <f>HYPERLINK("https://www.philgeps.gov.ph/GEPSNONPILOT/Tender/SplashBidNoticeAbstractUI.aspx?menuIndex=3&amp;refID=7063166&amp;Result=3","7063166")</f>
        <v>0</v>
      </c>
      <c r="B3664" t="s">
        <v>1404</v>
      </c>
      <c r="C3664" t="s">
        <v>7058</v>
      </c>
      <c r="D3664" t="s">
        <v>18834</v>
      </c>
      <c r="E3664" t="s">
        <v>22201</v>
      </c>
      <c r="F3664" t="s">
        <v>32664</v>
      </c>
      <c r="G3664" t="s">
        <v>32672</v>
      </c>
      <c r="H3664" t="s">
        <v>12635</v>
      </c>
      <c r="I3664" t="s">
        <v>6168</v>
      </c>
      <c r="J3664" t="s">
        <v>35254</v>
      </c>
      <c r="K3664" t="s">
        <v>42283</v>
      </c>
      <c r="M3664" t="s">
        <v>44061</v>
      </c>
      <c r="N3664" t="s">
        <v>46569</v>
      </c>
      <c r="O3664" t="s">
        <v>46570</v>
      </c>
      <c r="P3664">
        <v>0</v>
      </c>
      <c r="Q3664">
        <v>3</v>
      </c>
      <c r="R3664" t="s">
        <v>46572</v>
      </c>
      <c r="S3664" t="s">
        <v>46689</v>
      </c>
      <c r="T3664" t="s">
        <v>48224</v>
      </c>
      <c r="U3664" t="s">
        <v>51821</v>
      </c>
      <c r="W3664" t="s">
        <v>44061</v>
      </c>
      <c r="X3664" t="s">
        <v>46573</v>
      </c>
    </row>
    <row r="3665" spans="1:24">
      <c r="A3665">
        <f>HYPERLINK("https://www.philgeps.gov.ph/GEPSNONPILOT/Tender/SplashBidNoticeAbstractUI.aspx?menuIndex=3&amp;refID=7063217&amp;Result=3","7063217")</f>
        <v>0</v>
      </c>
      <c r="B3665" t="s">
        <v>1374</v>
      </c>
      <c r="C3665" t="s">
        <v>7059</v>
      </c>
      <c r="D3665" t="s">
        <v>18821</v>
      </c>
      <c r="E3665" t="s">
        <v>22202</v>
      </c>
      <c r="F3665" t="s">
        <v>32664</v>
      </c>
      <c r="G3665" t="s">
        <v>32672</v>
      </c>
      <c r="H3665" t="s">
        <v>12635</v>
      </c>
      <c r="I3665" t="s">
        <v>32706</v>
      </c>
      <c r="J3665" t="s">
        <v>33085</v>
      </c>
      <c r="K3665" t="s">
        <v>42297</v>
      </c>
      <c r="M3665" t="s">
        <v>44029</v>
      </c>
      <c r="N3665" t="s">
        <v>46569</v>
      </c>
      <c r="O3665" t="s">
        <v>46570</v>
      </c>
      <c r="P3665">
        <v>0</v>
      </c>
      <c r="Q3665">
        <v>0</v>
      </c>
      <c r="R3665" t="s">
        <v>46572</v>
      </c>
      <c r="S3665" t="s">
        <v>46689</v>
      </c>
      <c r="T3665" t="s">
        <v>48368</v>
      </c>
      <c r="U3665" t="s">
        <v>51822</v>
      </c>
      <c r="W3665" t="s">
        <v>44029</v>
      </c>
      <c r="X3665" t="s">
        <v>46573</v>
      </c>
    </row>
    <row r="3666" spans="1:24">
      <c r="A3666">
        <f>HYPERLINK("https://www.philgeps.gov.ph/GEPSNONPILOT/Tender/SplashBidNoticeAbstractUI.aspx?menuIndex=3&amp;refID=7063142&amp;Result=3","7063142")</f>
        <v>0</v>
      </c>
      <c r="B3666" t="s">
        <v>325</v>
      </c>
      <c r="C3666" t="s">
        <v>7060</v>
      </c>
      <c r="D3666" t="s">
        <v>18848</v>
      </c>
      <c r="E3666" t="s">
        <v>22203</v>
      </c>
      <c r="F3666" t="s">
        <v>32664</v>
      </c>
      <c r="G3666" t="s">
        <v>32671</v>
      </c>
      <c r="H3666" t="s">
        <v>12635</v>
      </c>
      <c r="I3666" t="s">
        <v>7429</v>
      </c>
      <c r="J3666" t="s">
        <v>35255</v>
      </c>
      <c r="K3666" t="s">
        <v>42297</v>
      </c>
      <c r="M3666" t="s">
        <v>42893</v>
      </c>
      <c r="N3666" t="s">
        <v>46569</v>
      </c>
      <c r="O3666" t="s">
        <v>46570</v>
      </c>
      <c r="P3666">
        <v>0</v>
      </c>
      <c r="Q3666">
        <v>1</v>
      </c>
      <c r="R3666" t="s">
        <v>46572</v>
      </c>
      <c r="S3666" t="s">
        <v>46689</v>
      </c>
      <c r="T3666" t="s">
        <v>48256</v>
      </c>
      <c r="U3666" t="s">
        <v>51823</v>
      </c>
      <c r="V3666" t="s">
        <v>61996</v>
      </c>
      <c r="W3666" t="s">
        <v>42893</v>
      </c>
      <c r="X3666" t="s">
        <v>46573</v>
      </c>
    </row>
    <row r="3667" spans="1:24">
      <c r="A3667">
        <f>HYPERLINK("https://www.philgeps.gov.ph/GEPSNONPILOT/Tender/SplashBidNoticeAbstractUI.aspx?menuIndex=3&amp;refID=7063216&amp;Result=3","7063216")</f>
        <v>0</v>
      </c>
      <c r="B3667" t="s">
        <v>564</v>
      </c>
      <c r="C3667" t="s">
        <v>7061</v>
      </c>
      <c r="D3667" t="s">
        <v>18784</v>
      </c>
      <c r="E3667" t="s">
        <v>22204</v>
      </c>
      <c r="F3667" t="s">
        <v>32664</v>
      </c>
      <c r="G3667" t="s">
        <v>32671</v>
      </c>
      <c r="H3667" t="s">
        <v>12635</v>
      </c>
      <c r="I3667" t="s">
        <v>5460</v>
      </c>
      <c r="J3667" t="s">
        <v>33069</v>
      </c>
      <c r="K3667" t="s">
        <v>42289</v>
      </c>
      <c r="M3667" t="s">
        <v>43144</v>
      </c>
      <c r="N3667" t="s">
        <v>46569</v>
      </c>
      <c r="O3667" t="s">
        <v>46570</v>
      </c>
      <c r="P3667">
        <v>0</v>
      </c>
      <c r="Q3667">
        <v>3</v>
      </c>
      <c r="R3667" t="s">
        <v>46572</v>
      </c>
      <c r="S3667" t="s">
        <v>46689</v>
      </c>
      <c r="T3667" t="s">
        <v>48251</v>
      </c>
      <c r="U3667" t="s">
        <v>51824</v>
      </c>
      <c r="W3667" t="s">
        <v>63483</v>
      </c>
      <c r="X3667" t="s">
        <v>46573</v>
      </c>
    </row>
    <row r="3668" spans="1:24">
      <c r="A3668">
        <f>HYPERLINK("https://www.philgeps.gov.ph/GEPSNONPILOT/Tender/SplashBidNoticeAbstractUI.aspx?menuIndex=3&amp;refID=7063214&amp;Result=3","7063214")</f>
        <v>0</v>
      </c>
      <c r="B3668" t="s">
        <v>1397</v>
      </c>
      <c r="C3668" t="s">
        <v>7062</v>
      </c>
      <c r="D3668" t="s">
        <v>18803</v>
      </c>
      <c r="E3668" t="s">
        <v>22205</v>
      </c>
      <c r="F3668" t="s">
        <v>32664</v>
      </c>
      <c r="G3668" t="s">
        <v>32671</v>
      </c>
      <c r="H3668" t="s">
        <v>12635</v>
      </c>
      <c r="I3668" t="s">
        <v>32719</v>
      </c>
      <c r="J3668" t="s">
        <v>34269</v>
      </c>
      <c r="K3668" t="s">
        <v>42281</v>
      </c>
      <c r="M3668" t="s">
        <v>44054</v>
      </c>
      <c r="N3668" t="s">
        <v>46569</v>
      </c>
      <c r="O3668" t="s">
        <v>46570</v>
      </c>
      <c r="P3668">
        <v>0</v>
      </c>
      <c r="Q3668">
        <v>0</v>
      </c>
      <c r="R3668" t="s">
        <v>46572</v>
      </c>
      <c r="S3668" t="s">
        <v>46689</v>
      </c>
      <c r="T3668" t="s">
        <v>48356</v>
      </c>
      <c r="U3668" t="s">
        <v>51803</v>
      </c>
      <c r="W3668" t="s">
        <v>44054</v>
      </c>
      <c r="X3668" t="s">
        <v>46573</v>
      </c>
    </row>
    <row r="3669" spans="1:24">
      <c r="A3669">
        <f>HYPERLINK("https://www.philgeps.gov.ph/GEPSNONPILOT/Tender/SplashBidNoticeAbstractUI.aspx?menuIndex=3&amp;refID=7063218&amp;Result=3","7063218")</f>
        <v>0</v>
      </c>
      <c r="B3669" t="s">
        <v>594</v>
      </c>
      <c r="C3669" t="s">
        <v>7063</v>
      </c>
      <c r="D3669" t="s">
        <v>18784</v>
      </c>
      <c r="E3669" t="s">
        <v>22206</v>
      </c>
      <c r="F3669" t="s">
        <v>32664</v>
      </c>
      <c r="G3669" t="s">
        <v>32674</v>
      </c>
      <c r="H3669" t="s">
        <v>12635</v>
      </c>
      <c r="I3669" t="s">
        <v>9486</v>
      </c>
      <c r="J3669" t="s">
        <v>35256</v>
      </c>
      <c r="K3669" t="s">
        <v>42297</v>
      </c>
      <c r="M3669" t="s">
        <v>43721</v>
      </c>
      <c r="N3669" t="s">
        <v>46569</v>
      </c>
      <c r="O3669" t="s">
        <v>46570</v>
      </c>
      <c r="P3669">
        <v>0</v>
      </c>
      <c r="Q3669">
        <v>2</v>
      </c>
      <c r="R3669" t="s">
        <v>46572</v>
      </c>
      <c r="S3669" t="s">
        <v>46689</v>
      </c>
      <c r="T3669" t="s">
        <v>48461</v>
      </c>
      <c r="U3669" t="s">
        <v>51825</v>
      </c>
      <c r="V3669" t="s">
        <v>61897</v>
      </c>
      <c r="W3669" t="s">
        <v>43721</v>
      </c>
      <c r="X3669" t="s">
        <v>46573</v>
      </c>
    </row>
    <row r="3670" spans="1:24">
      <c r="A3670">
        <f>HYPERLINK("https://www.philgeps.gov.ph/GEPSNONPILOT/Tender/SplashBidNoticeAbstractUI.aspx?menuIndex=3&amp;refID=7063212&amp;Result=3","7063212")</f>
        <v>0</v>
      </c>
      <c r="B3670" t="s">
        <v>1387</v>
      </c>
      <c r="C3670" t="s">
        <v>7064</v>
      </c>
      <c r="D3670" t="s">
        <v>18788</v>
      </c>
      <c r="E3670" t="s">
        <v>22207</v>
      </c>
      <c r="F3670" t="s">
        <v>32664</v>
      </c>
      <c r="G3670" t="s">
        <v>32672</v>
      </c>
      <c r="H3670" t="s">
        <v>12635</v>
      </c>
      <c r="I3670" t="s">
        <v>4439</v>
      </c>
      <c r="J3670" t="s">
        <v>33051</v>
      </c>
      <c r="K3670" t="s">
        <v>42289</v>
      </c>
      <c r="M3670" t="s">
        <v>44043</v>
      </c>
      <c r="N3670" t="s">
        <v>46569</v>
      </c>
      <c r="O3670" t="s">
        <v>46570</v>
      </c>
      <c r="P3670">
        <v>0</v>
      </c>
      <c r="Q3670">
        <v>0</v>
      </c>
      <c r="R3670" t="s">
        <v>46572</v>
      </c>
      <c r="S3670" t="s">
        <v>46689</v>
      </c>
      <c r="T3670" t="s">
        <v>48237</v>
      </c>
      <c r="U3670" t="s">
        <v>51826</v>
      </c>
      <c r="W3670" t="s">
        <v>44043</v>
      </c>
      <c r="X3670" t="s">
        <v>46573</v>
      </c>
    </row>
    <row r="3671" spans="1:24">
      <c r="A3671">
        <f>HYPERLINK("https://www.philgeps.gov.ph/GEPSNONPILOT/Tender/SplashBidNoticeAbstractUI.aspx?menuIndex=3&amp;refID=7063211&amp;Result=3","7063211")</f>
        <v>0</v>
      </c>
      <c r="B3671" t="s">
        <v>1394</v>
      </c>
      <c r="C3671" t="s">
        <v>7065</v>
      </c>
      <c r="D3671" t="s">
        <v>18842</v>
      </c>
      <c r="E3671" t="s">
        <v>22208</v>
      </c>
      <c r="F3671" t="s">
        <v>32664</v>
      </c>
      <c r="G3671" t="s">
        <v>32671</v>
      </c>
      <c r="H3671" t="s">
        <v>12635</v>
      </c>
      <c r="I3671" t="s">
        <v>32694</v>
      </c>
      <c r="J3671" t="s">
        <v>35257</v>
      </c>
      <c r="K3671" t="s">
        <v>42284</v>
      </c>
      <c r="M3671" t="s">
        <v>44050</v>
      </c>
      <c r="N3671" t="s">
        <v>46569</v>
      </c>
      <c r="O3671" t="s">
        <v>46570</v>
      </c>
      <c r="P3671">
        <v>0</v>
      </c>
      <c r="Q3671">
        <v>0</v>
      </c>
      <c r="R3671" t="s">
        <v>46572</v>
      </c>
      <c r="S3671" t="s">
        <v>46689</v>
      </c>
      <c r="T3671" t="s">
        <v>48244</v>
      </c>
      <c r="U3671" t="s">
        <v>49881</v>
      </c>
      <c r="W3671" t="s">
        <v>44050</v>
      </c>
      <c r="X3671" t="s">
        <v>46573</v>
      </c>
    </row>
    <row r="3672" spans="1:24">
      <c r="A3672">
        <f>HYPERLINK("https://www.philgeps.gov.ph/GEPSNONPILOT/Tender/SplashBidNoticeAbstractUI.aspx?menuIndex=3&amp;refID=7063215&amp;Result=3","7063215")</f>
        <v>0</v>
      </c>
      <c r="B3672" t="s">
        <v>1381</v>
      </c>
      <c r="C3672" t="s">
        <v>7066</v>
      </c>
      <c r="D3672" t="s">
        <v>18804</v>
      </c>
      <c r="E3672" t="s">
        <v>22209</v>
      </c>
      <c r="F3672" t="s">
        <v>32664</v>
      </c>
      <c r="G3672" t="s">
        <v>32671</v>
      </c>
      <c r="H3672" t="s">
        <v>12635</v>
      </c>
      <c r="I3672" t="s">
        <v>7429</v>
      </c>
      <c r="J3672" t="s">
        <v>33147</v>
      </c>
      <c r="K3672" t="s">
        <v>42281</v>
      </c>
      <c r="M3672" t="s">
        <v>44036</v>
      </c>
      <c r="N3672" t="s">
        <v>46569</v>
      </c>
      <c r="O3672" t="s">
        <v>46570</v>
      </c>
      <c r="P3672">
        <v>0</v>
      </c>
      <c r="Q3672">
        <v>0</v>
      </c>
      <c r="R3672" t="s">
        <v>46572</v>
      </c>
      <c r="S3672" t="s">
        <v>46689</v>
      </c>
      <c r="T3672" t="s">
        <v>48217</v>
      </c>
      <c r="U3672" t="s">
        <v>51827</v>
      </c>
      <c r="V3672" t="s">
        <v>61990</v>
      </c>
      <c r="W3672" t="s">
        <v>44036</v>
      </c>
      <c r="X3672" t="s">
        <v>46573</v>
      </c>
    </row>
    <row r="3673" spans="1:24">
      <c r="A3673">
        <f>HYPERLINK("https://www.philgeps.gov.ph/GEPSNONPILOT/Tender/SplashBidNoticeAbstractUI.aspx?menuIndex=3&amp;refID=7063209&amp;Result=3","7063209")</f>
        <v>0</v>
      </c>
      <c r="B3673" t="s">
        <v>1405</v>
      </c>
      <c r="C3673" t="s">
        <v>7067</v>
      </c>
      <c r="D3673" t="s">
        <v>18784</v>
      </c>
      <c r="E3673" t="s">
        <v>22210</v>
      </c>
      <c r="F3673" t="s">
        <v>32664</v>
      </c>
      <c r="G3673" t="s">
        <v>32671</v>
      </c>
      <c r="H3673" t="s">
        <v>12635</v>
      </c>
      <c r="I3673" t="s">
        <v>8730</v>
      </c>
      <c r="J3673" t="s">
        <v>32984</v>
      </c>
      <c r="K3673" t="s">
        <v>42306</v>
      </c>
      <c r="M3673" t="s">
        <v>44062</v>
      </c>
      <c r="N3673" t="s">
        <v>46569</v>
      </c>
      <c r="O3673" t="s">
        <v>46570</v>
      </c>
      <c r="P3673">
        <v>0</v>
      </c>
      <c r="Q3673">
        <v>7</v>
      </c>
      <c r="R3673" t="s">
        <v>46572</v>
      </c>
      <c r="S3673" t="s">
        <v>46689</v>
      </c>
      <c r="T3673" t="s">
        <v>48219</v>
      </c>
      <c r="U3673" t="s">
        <v>51828</v>
      </c>
      <c r="W3673" t="s">
        <v>44062</v>
      </c>
      <c r="X3673" t="s">
        <v>46573</v>
      </c>
    </row>
    <row r="3674" spans="1:24">
      <c r="A3674">
        <f>HYPERLINK("https://www.philgeps.gov.ph/GEPSNONPILOT/Tender/SplashBidNoticeAbstractUI.aspx?menuIndex=3&amp;refID=7063208&amp;Result=3","7063208")</f>
        <v>0</v>
      </c>
      <c r="B3674" t="s">
        <v>1406</v>
      </c>
      <c r="C3674" t="s">
        <v>7068</v>
      </c>
      <c r="D3674" t="s">
        <v>18805</v>
      </c>
      <c r="E3674" t="s">
        <v>22211</v>
      </c>
      <c r="F3674" t="s">
        <v>32664</v>
      </c>
      <c r="G3674" t="s">
        <v>32672</v>
      </c>
      <c r="H3674" t="s">
        <v>12635</v>
      </c>
      <c r="I3674" t="s">
        <v>32699</v>
      </c>
      <c r="J3674" t="s">
        <v>35258</v>
      </c>
      <c r="K3674" t="s">
        <v>42303</v>
      </c>
      <c r="M3674" t="s">
        <v>44063</v>
      </c>
      <c r="N3674" t="s">
        <v>46569</v>
      </c>
      <c r="O3674" t="s">
        <v>46570</v>
      </c>
      <c r="P3674">
        <v>0</v>
      </c>
      <c r="Q3674">
        <v>2</v>
      </c>
      <c r="R3674" t="s">
        <v>46572</v>
      </c>
      <c r="S3674" t="s">
        <v>46689</v>
      </c>
      <c r="T3674" t="s">
        <v>48469</v>
      </c>
      <c r="U3674" t="s">
        <v>51829</v>
      </c>
      <c r="W3674" t="s">
        <v>44063</v>
      </c>
      <c r="X3674" t="s">
        <v>46573</v>
      </c>
    </row>
    <row r="3675" spans="1:24">
      <c r="A3675">
        <f>HYPERLINK("https://www.philgeps.gov.ph/GEPSNONPILOT/Tender/SplashBidNoticeAbstractUI.aspx?menuIndex=3&amp;refID=7063206&amp;Result=3","7063206")</f>
        <v>0</v>
      </c>
      <c r="B3675" t="s">
        <v>1407</v>
      </c>
      <c r="C3675" t="s">
        <v>7069</v>
      </c>
      <c r="D3675" t="s">
        <v>18839</v>
      </c>
      <c r="E3675" t="s">
        <v>22212</v>
      </c>
      <c r="F3675" t="s">
        <v>32664</v>
      </c>
      <c r="G3675" t="s">
        <v>32674</v>
      </c>
      <c r="H3675" t="s">
        <v>12635</v>
      </c>
      <c r="I3675" t="s">
        <v>11464</v>
      </c>
      <c r="J3675" t="s">
        <v>33995</v>
      </c>
      <c r="K3675" t="s">
        <v>42284</v>
      </c>
      <c r="M3675" t="s">
        <v>44064</v>
      </c>
      <c r="N3675" t="s">
        <v>46569</v>
      </c>
      <c r="O3675" t="s">
        <v>46570</v>
      </c>
      <c r="P3675">
        <v>0</v>
      </c>
      <c r="Q3675">
        <v>0</v>
      </c>
      <c r="R3675" t="s">
        <v>46572</v>
      </c>
      <c r="S3675" t="s">
        <v>46689</v>
      </c>
      <c r="T3675" t="s">
        <v>48226</v>
      </c>
      <c r="U3675" t="s">
        <v>51830</v>
      </c>
      <c r="W3675" t="s">
        <v>44064</v>
      </c>
      <c r="X3675" t="s">
        <v>46573</v>
      </c>
    </row>
    <row r="3676" spans="1:24">
      <c r="A3676">
        <f>HYPERLINK("https://www.philgeps.gov.ph/GEPSNONPILOT/Tender/SplashBidNoticeAbstractUI.aspx?menuIndex=3&amp;refID=7063205&amp;Result=3","7063205")</f>
        <v>0</v>
      </c>
      <c r="B3676" t="s">
        <v>1248</v>
      </c>
      <c r="C3676" t="s">
        <v>7070</v>
      </c>
      <c r="D3676" t="s">
        <v>18858</v>
      </c>
      <c r="E3676" t="s">
        <v>22213</v>
      </c>
      <c r="F3676" t="s">
        <v>32664</v>
      </c>
      <c r="G3676" t="s">
        <v>32671</v>
      </c>
      <c r="H3676" t="s">
        <v>12635</v>
      </c>
      <c r="I3676" t="s">
        <v>32690</v>
      </c>
      <c r="J3676" t="s">
        <v>32865</v>
      </c>
      <c r="K3676" t="s">
        <v>42303</v>
      </c>
      <c r="M3676" t="s">
        <v>43890</v>
      </c>
      <c r="N3676" t="s">
        <v>46569</v>
      </c>
      <c r="O3676" t="s">
        <v>46570</v>
      </c>
      <c r="P3676">
        <v>0</v>
      </c>
      <c r="Q3676">
        <v>4</v>
      </c>
      <c r="R3676" t="s">
        <v>46572</v>
      </c>
      <c r="S3676" t="s">
        <v>46689</v>
      </c>
      <c r="T3676" t="s">
        <v>48219</v>
      </c>
      <c r="U3676" t="s">
        <v>51831</v>
      </c>
      <c r="W3676" t="s">
        <v>43890</v>
      </c>
      <c r="X3676" t="s">
        <v>46573</v>
      </c>
    </row>
    <row r="3677" spans="1:24">
      <c r="A3677">
        <f>HYPERLINK("https://www.philgeps.gov.ph/GEPSNONPILOT/Tender/SplashBidNoticeAbstractUI.aspx?menuIndex=3&amp;refID=7063213&amp;Result=3","7063213")</f>
        <v>0</v>
      </c>
      <c r="B3677" t="s">
        <v>460</v>
      </c>
      <c r="C3677" t="s">
        <v>7071</v>
      </c>
      <c r="D3677" t="s">
        <v>18806</v>
      </c>
      <c r="E3677" t="s">
        <v>22214</v>
      </c>
      <c r="F3677" t="s">
        <v>32664</v>
      </c>
      <c r="G3677" t="s">
        <v>32672</v>
      </c>
      <c r="H3677" t="s">
        <v>12635</v>
      </c>
      <c r="I3677" t="s">
        <v>9486</v>
      </c>
      <c r="J3677" t="s">
        <v>35259</v>
      </c>
      <c r="K3677" t="s">
        <v>42330</v>
      </c>
      <c r="M3677" t="s">
        <v>43035</v>
      </c>
      <c r="N3677" t="s">
        <v>46569</v>
      </c>
      <c r="O3677" t="s">
        <v>46570</v>
      </c>
      <c r="P3677">
        <v>0</v>
      </c>
      <c r="Q3677">
        <v>1</v>
      </c>
      <c r="R3677" t="s">
        <v>46572</v>
      </c>
      <c r="S3677" t="s">
        <v>46689</v>
      </c>
      <c r="T3677" t="s">
        <v>48285</v>
      </c>
      <c r="U3677" t="s">
        <v>51832</v>
      </c>
      <c r="V3677" t="s">
        <v>61876</v>
      </c>
      <c r="W3677" t="s">
        <v>43035</v>
      </c>
      <c r="X3677" t="s">
        <v>46573</v>
      </c>
    </row>
    <row r="3678" spans="1:24">
      <c r="A3678">
        <f>HYPERLINK("https://www.philgeps.gov.ph/GEPSNONPILOT/Tender/SplashBidNoticeAbstractUI.aspx?menuIndex=3&amp;refID=7063245&amp;Result=3","7063245")</f>
        <v>0</v>
      </c>
      <c r="B3678" t="s">
        <v>1088</v>
      </c>
      <c r="C3678" t="s">
        <v>7072</v>
      </c>
      <c r="D3678" t="s">
        <v>18804</v>
      </c>
      <c r="E3678" t="s">
        <v>22215</v>
      </c>
      <c r="F3678" t="s">
        <v>32664</v>
      </c>
      <c r="G3678" t="s">
        <v>32672</v>
      </c>
      <c r="H3678" t="s">
        <v>32683</v>
      </c>
      <c r="I3678" t="s">
        <v>10627</v>
      </c>
      <c r="J3678" t="s">
        <v>35260</v>
      </c>
      <c r="K3678" t="s">
        <v>42298</v>
      </c>
      <c r="M3678" t="s">
        <v>43714</v>
      </c>
      <c r="N3678" t="s">
        <v>46569</v>
      </c>
      <c r="O3678" t="s">
        <v>46570</v>
      </c>
      <c r="P3678">
        <v>0</v>
      </c>
      <c r="Q3678">
        <v>0</v>
      </c>
      <c r="R3678" t="s">
        <v>46572</v>
      </c>
      <c r="S3678" t="s">
        <v>46689</v>
      </c>
      <c r="T3678" t="s">
        <v>48222</v>
      </c>
      <c r="U3678" t="s">
        <v>51833</v>
      </c>
      <c r="V3678" t="s">
        <v>61896</v>
      </c>
      <c r="W3678" t="s">
        <v>43714</v>
      </c>
      <c r="X3678" t="s">
        <v>46573</v>
      </c>
    </row>
    <row r="3679" spans="1:24">
      <c r="A3679">
        <f>HYPERLINK("https://www.philgeps.gov.ph/GEPSNONPILOT/Tender/SplashBidNoticeAbstractUI.aspx?menuIndex=3&amp;refID=7063244&amp;Result=3","7063244")</f>
        <v>0</v>
      </c>
      <c r="B3679" t="s">
        <v>948</v>
      </c>
      <c r="C3679" t="s">
        <v>7073</v>
      </c>
      <c r="D3679" t="s">
        <v>18784</v>
      </c>
      <c r="E3679" t="s">
        <v>22216</v>
      </c>
      <c r="F3679" t="s">
        <v>32664</v>
      </c>
      <c r="G3679" t="s">
        <v>32671</v>
      </c>
      <c r="H3679" t="s">
        <v>12635</v>
      </c>
      <c r="I3679" t="s">
        <v>32780</v>
      </c>
      <c r="J3679" t="s">
        <v>33051</v>
      </c>
      <c r="K3679" t="s">
        <v>42283</v>
      </c>
      <c r="M3679" t="s">
        <v>43554</v>
      </c>
      <c r="N3679" t="s">
        <v>46569</v>
      </c>
      <c r="O3679" t="s">
        <v>46570</v>
      </c>
      <c r="P3679">
        <v>0</v>
      </c>
      <c r="Q3679">
        <v>5</v>
      </c>
      <c r="R3679" t="s">
        <v>46572</v>
      </c>
      <c r="S3679" t="s">
        <v>46689</v>
      </c>
      <c r="T3679" t="s">
        <v>48221</v>
      </c>
      <c r="U3679" t="s">
        <v>51834</v>
      </c>
      <c r="V3679" t="s">
        <v>61997</v>
      </c>
      <c r="W3679" t="s">
        <v>43554</v>
      </c>
      <c r="X3679" t="s">
        <v>46573</v>
      </c>
    </row>
    <row r="3680" spans="1:24">
      <c r="A3680">
        <f>HYPERLINK("https://www.philgeps.gov.ph/GEPSNONPILOT/Tender/SplashBidNoticeAbstractUI.aspx?menuIndex=3&amp;refID=7063210&amp;Result=3","7063210")</f>
        <v>0</v>
      </c>
      <c r="B3680" t="s">
        <v>1408</v>
      </c>
      <c r="C3680" t="s">
        <v>7074</v>
      </c>
      <c r="D3680" t="s">
        <v>18830</v>
      </c>
      <c r="E3680" t="s">
        <v>22217</v>
      </c>
      <c r="F3680" t="s">
        <v>32664</v>
      </c>
      <c r="G3680" t="s">
        <v>32674</v>
      </c>
      <c r="H3680" t="s">
        <v>12635</v>
      </c>
      <c r="I3680" t="s">
        <v>32685</v>
      </c>
      <c r="J3680" t="s">
        <v>35261</v>
      </c>
      <c r="K3680" t="s">
        <v>42281</v>
      </c>
      <c r="M3680" t="s">
        <v>44065</v>
      </c>
      <c r="N3680" t="s">
        <v>46569</v>
      </c>
      <c r="O3680" t="s">
        <v>46570</v>
      </c>
      <c r="P3680">
        <v>0</v>
      </c>
      <c r="Q3680">
        <v>0</v>
      </c>
      <c r="R3680" t="s">
        <v>46572</v>
      </c>
      <c r="S3680" t="s">
        <v>46689</v>
      </c>
      <c r="T3680" t="s">
        <v>48221</v>
      </c>
      <c r="U3680" t="s">
        <v>51835</v>
      </c>
      <c r="W3680" t="s">
        <v>44065</v>
      </c>
      <c r="X3680" t="s">
        <v>46573</v>
      </c>
    </row>
    <row r="3681" spans="1:24">
      <c r="A3681">
        <f>HYPERLINK("https://www.philgeps.gov.ph/GEPSNONPILOT/Tender/SplashBidNoticeAbstractUI.aspx?menuIndex=3&amp;refID=7063243&amp;Result=3","7063243")</f>
        <v>0</v>
      </c>
      <c r="B3681" t="s">
        <v>1150</v>
      </c>
      <c r="C3681" t="s">
        <v>7075</v>
      </c>
      <c r="D3681" t="s">
        <v>18845</v>
      </c>
      <c r="E3681" t="s">
        <v>22218</v>
      </c>
      <c r="F3681" t="s">
        <v>32664</v>
      </c>
      <c r="G3681" t="s">
        <v>32671</v>
      </c>
      <c r="H3681" t="s">
        <v>12635</v>
      </c>
      <c r="I3681" t="s">
        <v>32685</v>
      </c>
      <c r="J3681" t="s">
        <v>35262</v>
      </c>
      <c r="K3681" t="s">
        <v>42283</v>
      </c>
      <c r="M3681" t="s">
        <v>43781</v>
      </c>
      <c r="N3681" t="s">
        <v>46569</v>
      </c>
      <c r="O3681" t="s">
        <v>46570</v>
      </c>
      <c r="P3681">
        <v>0</v>
      </c>
      <c r="Q3681">
        <v>0</v>
      </c>
      <c r="R3681" t="s">
        <v>46572</v>
      </c>
      <c r="S3681" t="s">
        <v>46689</v>
      </c>
      <c r="T3681" t="s">
        <v>48258</v>
      </c>
      <c r="U3681" t="s">
        <v>51836</v>
      </c>
      <c r="W3681" t="s">
        <v>43781</v>
      </c>
      <c r="X3681" t="s">
        <v>46573</v>
      </c>
    </row>
    <row r="3682" spans="1:24">
      <c r="A3682">
        <f>HYPERLINK("https://www.philgeps.gov.ph/GEPSNONPILOT/Tender/SplashBidNoticeAbstractUI.aspx?menuIndex=3&amp;refID=7063239&amp;Result=3","7063239")</f>
        <v>0</v>
      </c>
      <c r="B3682" t="s">
        <v>1210</v>
      </c>
      <c r="C3682" t="s">
        <v>7076</v>
      </c>
      <c r="D3682" t="s">
        <v>18788</v>
      </c>
      <c r="E3682" t="s">
        <v>22219</v>
      </c>
      <c r="F3682" t="s">
        <v>32664</v>
      </c>
      <c r="G3682" t="s">
        <v>32672</v>
      </c>
      <c r="H3682" t="s">
        <v>32683</v>
      </c>
      <c r="I3682" t="s">
        <v>10627</v>
      </c>
      <c r="J3682" t="s">
        <v>35228</v>
      </c>
      <c r="K3682" t="s">
        <v>42283</v>
      </c>
      <c r="M3682" t="s">
        <v>43848</v>
      </c>
      <c r="N3682" t="s">
        <v>46569</v>
      </c>
      <c r="O3682" t="s">
        <v>46570</v>
      </c>
      <c r="P3682">
        <v>0</v>
      </c>
      <c r="Q3682">
        <v>0</v>
      </c>
      <c r="R3682" t="s">
        <v>46572</v>
      </c>
      <c r="S3682" t="s">
        <v>46689</v>
      </c>
      <c r="T3682" t="s">
        <v>48291</v>
      </c>
      <c r="U3682" t="s">
        <v>51362</v>
      </c>
      <c r="W3682" t="s">
        <v>43848</v>
      </c>
      <c r="X3682" t="s">
        <v>46573</v>
      </c>
    </row>
    <row r="3683" spans="1:24">
      <c r="A3683">
        <f>HYPERLINK("https://www.philgeps.gov.ph/GEPSNONPILOT/Tender/SplashBidNoticeAbstractUI.aspx?menuIndex=3&amp;refID=7063238&amp;Result=3","7063238")</f>
        <v>0</v>
      </c>
      <c r="B3683" t="s">
        <v>1409</v>
      </c>
      <c r="C3683" t="s">
        <v>7077</v>
      </c>
      <c r="D3683" t="s">
        <v>18782</v>
      </c>
      <c r="E3683" t="s">
        <v>19987</v>
      </c>
      <c r="F3683" t="s">
        <v>32664</v>
      </c>
      <c r="G3683" t="s">
        <v>32671</v>
      </c>
      <c r="H3683" t="s">
        <v>12635</v>
      </c>
      <c r="I3683" t="s">
        <v>32707</v>
      </c>
      <c r="J3683" t="s">
        <v>34489</v>
      </c>
      <c r="K3683" t="s">
        <v>42311</v>
      </c>
      <c r="M3683" t="s">
        <v>44066</v>
      </c>
      <c r="N3683" t="s">
        <v>46569</v>
      </c>
      <c r="O3683" t="s">
        <v>46570</v>
      </c>
      <c r="P3683">
        <v>0</v>
      </c>
      <c r="Q3683">
        <v>4</v>
      </c>
      <c r="R3683" t="s">
        <v>46572</v>
      </c>
      <c r="S3683" t="s">
        <v>46689</v>
      </c>
      <c r="T3683" t="s">
        <v>48244</v>
      </c>
      <c r="U3683" t="s">
        <v>49518</v>
      </c>
      <c r="W3683" t="s">
        <v>44066</v>
      </c>
      <c r="X3683" t="s">
        <v>46573</v>
      </c>
    </row>
    <row r="3684" spans="1:24">
      <c r="A3684">
        <f>HYPERLINK("https://www.philgeps.gov.ph/GEPSNONPILOT/Tender/SplashBidNoticeAbstractUI.aspx?menuIndex=3&amp;refID=7063207&amp;Result=3","7063207")</f>
        <v>0</v>
      </c>
      <c r="B3684" t="s">
        <v>1410</v>
      </c>
      <c r="C3684" t="s">
        <v>7078</v>
      </c>
      <c r="D3684" t="s">
        <v>18803</v>
      </c>
      <c r="E3684" t="s">
        <v>22220</v>
      </c>
      <c r="F3684" t="s">
        <v>32664</v>
      </c>
      <c r="G3684" t="s">
        <v>32671</v>
      </c>
      <c r="H3684" t="s">
        <v>12635</v>
      </c>
      <c r="I3684" t="s">
        <v>32685</v>
      </c>
      <c r="J3684" t="s">
        <v>32845</v>
      </c>
      <c r="K3684" t="s">
        <v>42283</v>
      </c>
      <c r="M3684" t="s">
        <v>44067</v>
      </c>
      <c r="N3684" t="s">
        <v>46569</v>
      </c>
      <c r="O3684" t="s">
        <v>46570</v>
      </c>
      <c r="P3684">
        <v>0</v>
      </c>
      <c r="Q3684">
        <v>0</v>
      </c>
      <c r="R3684" t="s">
        <v>46572</v>
      </c>
      <c r="S3684" t="s">
        <v>46689</v>
      </c>
      <c r="T3684" t="s">
        <v>48344</v>
      </c>
      <c r="U3684" t="s">
        <v>51837</v>
      </c>
      <c r="V3684" t="s">
        <v>61998</v>
      </c>
      <c r="W3684" t="s">
        <v>44067</v>
      </c>
      <c r="X3684" t="s">
        <v>46573</v>
      </c>
    </row>
    <row r="3685" spans="1:24">
      <c r="A3685">
        <f>HYPERLINK("https://www.philgeps.gov.ph/GEPSNONPILOT/Tender/SplashBidNoticeAbstractUI.aspx?menuIndex=3&amp;refID=7063236&amp;Result=3","7063236")</f>
        <v>0</v>
      </c>
      <c r="B3685" t="s">
        <v>594</v>
      </c>
      <c r="C3685" t="s">
        <v>7079</v>
      </c>
      <c r="D3685" t="s">
        <v>18784</v>
      </c>
      <c r="E3685" t="s">
        <v>22221</v>
      </c>
      <c r="F3685" t="s">
        <v>32664</v>
      </c>
      <c r="G3685" t="s">
        <v>32671</v>
      </c>
      <c r="H3685" t="s">
        <v>12635</v>
      </c>
      <c r="I3685" t="s">
        <v>32701</v>
      </c>
      <c r="J3685" t="s">
        <v>35263</v>
      </c>
      <c r="K3685" t="s">
        <v>42297</v>
      </c>
      <c r="M3685" t="s">
        <v>43793</v>
      </c>
      <c r="N3685" t="s">
        <v>46569</v>
      </c>
      <c r="O3685" t="s">
        <v>46570</v>
      </c>
      <c r="P3685">
        <v>0</v>
      </c>
      <c r="Q3685">
        <v>0</v>
      </c>
      <c r="R3685" t="s">
        <v>46572</v>
      </c>
      <c r="S3685" t="s">
        <v>46689</v>
      </c>
      <c r="T3685" t="s">
        <v>48341</v>
      </c>
      <c r="U3685" t="s">
        <v>51838</v>
      </c>
      <c r="V3685" t="s">
        <v>61909</v>
      </c>
      <c r="W3685" t="s">
        <v>43793</v>
      </c>
      <c r="X3685" t="s">
        <v>46573</v>
      </c>
    </row>
    <row r="3686" spans="1:24">
      <c r="A3686">
        <f>HYPERLINK("https://www.philgeps.gov.ph/GEPSNONPILOT/Tender/SplashBidNoticeAbstractUI.aspx?menuIndex=3&amp;refID=7063234&amp;Result=3","7063234")</f>
        <v>0</v>
      </c>
      <c r="B3686" t="s">
        <v>1411</v>
      </c>
      <c r="C3686" t="s">
        <v>7080</v>
      </c>
      <c r="D3686" t="s">
        <v>18790</v>
      </c>
      <c r="E3686" t="s">
        <v>22222</v>
      </c>
      <c r="F3686" t="s">
        <v>32664</v>
      </c>
      <c r="G3686" t="s">
        <v>32671</v>
      </c>
      <c r="H3686" t="s">
        <v>12635</v>
      </c>
      <c r="I3686" t="s">
        <v>32685</v>
      </c>
      <c r="J3686" t="s">
        <v>35264</v>
      </c>
      <c r="K3686" t="s">
        <v>42289</v>
      </c>
      <c r="M3686" t="s">
        <v>44068</v>
      </c>
      <c r="N3686" t="s">
        <v>46569</v>
      </c>
      <c r="O3686" t="s">
        <v>46570</v>
      </c>
      <c r="P3686">
        <v>0</v>
      </c>
      <c r="Q3686">
        <v>0</v>
      </c>
      <c r="R3686" t="s">
        <v>46572</v>
      </c>
      <c r="S3686" t="s">
        <v>46689</v>
      </c>
      <c r="T3686" t="s">
        <v>48312</v>
      </c>
      <c r="U3686" t="s">
        <v>51839</v>
      </c>
      <c r="W3686" t="s">
        <v>44068</v>
      </c>
      <c r="X3686" t="s">
        <v>46573</v>
      </c>
    </row>
    <row r="3687" spans="1:24">
      <c r="A3687">
        <f>HYPERLINK("https://www.philgeps.gov.ph/GEPSNONPILOT/Tender/SplashBidNoticeAbstractUI.aspx?menuIndex=3&amp;refID=7063233&amp;Result=3","7063233")</f>
        <v>0</v>
      </c>
      <c r="B3687" t="s">
        <v>1412</v>
      </c>
      <c r="C3687" t="s">
        <v>7081</v>
      </c>
      <c r="D3687" t="s">
        <v>18796</v>
      </c>
      <c r="E3687" t="s">
        <v>22223</v>
      </c>
      <c r="F3687" t="s">
        <v>32664</v>
      </c>
      <c r="G3687" t="s">
        <v>32672</v>
      </c>
      <c r="H3687" t="s">
        <v>32683</v>
      </c>
      <c r="I3687" t="s">
        <v>10627</v>
      </c>
      <c r="J3687" t="s">
        <v>34148</v>
      </c>
      <c r="K3687" t="s">
        <v>42416</v>
      </c>
      <c r="M3687" t="s">
        <v>44069</v>
      </c>
      <c r="N3687" t="s">
        <v>46569</v>
      </c>
      <c r="O3687" t="s">
        <v>46570</v>
      </c>
      <c r="P3687">
        <v>0</v>
      </c>
      <c r="Q3687">
        <v>0</v>
      </c>
      <c r="R3687" t="s">
        <v>46572</v>
      </c>
      <c r="S3687" t="s">
        <v>46689</v>
      </c>
      <c r="T3687" t="s">
        <v>48385</v>
      </c>
      <c r="U3687" t="s">
        <v>51840</v>
      </c>
      <c r="V3687" t="s">
        <v>61999</v>
      </c>
      <c r="W3687" t="s">
        <v>44069</v>
      </c>
      <c r="X3687" t="s">
        <v>46573</v>
      </c>
    </row>
    <row r="3688" spans="1:24">
      <c r="A3688">
        <f>HYPERLINK("https://www.philgeps.gov.ph/GEPSNONPILOT/Tender/SplashBidNoticeAbstractUI.aspx?menuIndex=3&amp;refID=7063248&amp;Result=3","7063248")</f>
        <v>0</v>
      </c>
      <c r="B3688" t="s">
        <v>594</v>
      </c>
      <c r="C3688" t="s">
        <v>7082</v>
      </c>
      <c r="D3688" t="s">
        <v>18784</v>
      </c>
      <c r="E3688" t="s">
        <v>22224</v>
      </c>
      <c r="F3688" t="s">
        <v>32664</v>
      </c>
      <c r="G3688" t="s">
        <v>32671</v>
      </c>
      <c r="H3688" t="s">
        <v>12635</v>
      </c>
      <c r="I3688" t="s">
        <v>32701</v>
      </c>
      <c r="J3688" t="s">
        <v>34713</v>
      </c>
      <c r="K3688" t="s">
        <v>42297</v>
      </c>
      <c r="M3688" t="s">
        <v>43793</v>
      </c>
      <c r="N3688" t="s">
        <v>46569</v>
      </c>
      <c r="O3688" t="s">
        <v>46570</v>
      </c>
      <c r="P3688">
        <v>0</v>
      </c>
      <c r="Q3688">
        <v>2</v>
      </c>
      <c r="R3688" t="s">
        <v>46572</v>
      </c>
      <c r="S3688" t="s">
        <v>46689</v>
      </c>
      <c r="T3688" t="s">
        <v>48341</v>
      </c>
      <c r="U3688" t="s">
        <v>51841</v>
      </c>
      <c r="V3688" t="s">
        <v>61909</v>
      </c>
      <c r="W3688" t="s">
        <v>43793</v>
      </c>
      <c r="X3688" t="s">
        <v>46573</v>
      </c>
    </row>
    <row r="3689" spans="1:24">
      <c r="A3689">
        <f>HYPERLINK("https://www.philgeps.gov.ph/GEPSNONPILOT/Tender/SplashBidNoticeAbstractUI.aspx?menuIndex=3&amp;refID=7063264&amp;Result=3","7063264")</f>
        <v>0</v>
      </c>
      <c r="B3689" t="s">
        <v>1088</v>
      </c>
      <c r="C3689" t="s">
        <v>7083</v>
      </c>
      <c r="D3689" t="s">
        <v>18804</v>
      </c>
      <c r="E3689" t="s">
        <v>22225</v>
      </c>
      <c r="F3689" t="s">
        <v>32664</v>
      </c>
      <c r="G3689" t="s">
        <v>32672</v>
      </c>
      <c r="H3689" t="s">
        <v>32683</v>
      </c>
      <c r="I3689" t="s">
        <v>10627</v>
      </c>
      <c r="J3689" t="s">
        <v>35265</v>
      </c>
      <c r="K3689" t="s">
        <v>42305</v>
      </c>
      <c r="M3689" t="s">
        <v>43714</v>
      </c>
      <c r="N3689" t="s">
        <v>46569</v>
      </c>
      <c r="O3689" t="s">
        <v>46570</v>
      </c>
      <c r="P3689">
        <v>0</v>
      </c>
      <c r="Q3689">
        <v>0</v>
      </c>
      <c r="R3689" t="s">
        <v>46572</v>
      </c>
      <c r="S3689" t="s">
        <v>46689</v>
      </c>
      <c r="T3689" t="s">
        <v>48222</v>
      </c>
      <c r="U3689" t="s">
        <v>51833</v>
      </c>
      <c r="V3689" t="s">
        <v>61896</v>
      </c>
      <c r="W3689" t="s">
        <v>43714</v>
      </c>
      <c r="X3689" t="s">
        <v>46573</v>
      </c>
    </row>
    <row r="3690" spans="1:24">
      <c r="A3690">
        <f>HYPERLINK("https://www.philgeps.gov.ph/GEPSNONPILOT/Tender/SplashBidNoticeAbstractUI.aspx?menuIndex=3&amp;refID=7063240&amp;Result=3","7063240")</f>
        <v>0</v>
      </c>
      <c r="B3690" t="s">
        <v>731</v>
      </c>
      <c r="C3690" t="s">
        <v>7084</v>
      </c>
      <c r="D3690" t="s">
        <v>18851</v>
      </c>
      <c r="E3690" t="s">
        <v>22226</v>
      </c>
      <c r="F3690" t="s">
        <v>32664</v>
      </c>
      <c r="G3690" t="s">
        <v>32672</v>
      </c>
      <c r="H3690" t="s">
        <v>12635</v>
      </c>
      <c r="I3690" t="s">
        <v>32690</v>
      </c>
      <c r="J3690" t="s">
        <v>33290</v>
      </c>
      <c r="K3690" t="s">
        <v>42281</v>
      </c>
      <c r="M3690" t="s">
        <v>43320</v>
      </c>
      <c r="N3690" t="s">
        <v>46569</v>
      </c>
      <c r="O3690" t="s">
        <v>46570</v>
      </c>
      <c r="P3690">
        <v>0</v>
      </c>
      <c r="Q3690">
        <v>1</v>
      </c>
      <c r="R3690" t="s">
        <v>46572</v>
      </c>
      <c r="S3690" t="s">
        <v>46689</v>
      </c>
      <c r="T3690" t="s">
        <v>48232</v>
      </c>
      <c r="U3690" t="s">
        <v>51842</v>
      </c>
      <c r="W3690" t="s">
        <v>43320</v>
      </c>
      <c r="X3690" t="s">
        <v>46573</v>
      </c>
    </row>
    <row r="3691" spans="1:24">
      <c r="A3691">
        <f>HYPERLINK("https://www.philgeps.gov.ph/GEPSNONPILOT/Tender/SplashBidNoticeAbstractUI.aspx?menuIndex=3&amp;refID=7063269&amp;Result=3","7063269")</f>
        <v>0</v>
      </c>
      <c r="B3691" t="s">
        <v>1413</v>
      </c>
      <c r="C3691" t="s">
        <v>7085</v>
      </c>
      <c r="D3691" t="s">
        <v>18788</v>
      </c>
      <c r="E3691" t="s">
        <v>22227</v>
      </c>
      <c r="F3691" t="s">
        <v>32664</v>
      </c>
      <c r="G3691" t="s">
        <v>32672</v>
      </c>
      <c r="H3691" t="s">
        <v>32683</v>
      </c>
      <c r="I3691" t="s">
        <v>10627</v>
      </c>
      <c r="J3691" t="s">
        <v>35266</v>
      </c>
      <c r="K3691" t="s">
        <v>42298</v>
      </c>
      <c r="M3691" t="s">
        <v>44070</v>
      </c>
      <c r="N3691" t="s">
        <v>46569</v>
      </c>
      <c r="O3691" t="s">
        <v>46570</v>
      </c>
      <c r="P3691">
        <v>0</v>
      </c>
      <c r="Q3691">
        <v>0</v>
      </c>
      <c r="R3691" t="s">
        <v>46572</v>
      </c>
      <c r="S3691" t="s">
        <v>46689</v>
      </c>
      <c r="T3691" t="s">
        <v>48485</v>
      </c>
      <c r="U3691" t="s">
        <v>51843</v>
      </c>
      <c r="W3691" t="s">
        <v>44070</v>
      </c>
      <c r="X3691" t="s">
        <v>46573</v>
      </c>
    </row>
    <row r="3692" spans="1:24">
      <c r="A3692">
        <f>HYPERLINK("https://www.philgeps.gov.ph/GEPSNONPILOT/Tender/SplashBidNoticeAbstractUI.aspx?menuIndex=3&amp;refID=7063268&amp;Result=3","7063268")</f>
        <v>0</v>
      </c>
      <c r="B3692" t="s">
        <v>908</v>
      </c>
      <c r="C3692" t="s">
        <v>7086</v>
      </c>
      <c r="D3692" t="s">
        <v>18820</v>
      </c>
      <c r="E3692" t="s">
        <v>22228</v>
      </c>
      <c r="F3692" t="s">
        <v>32664</v>
      </c>
      <c r="G3692" t="s">
        <v>32673</v>
      </c>
      <c r="H3692" t="s">
        <v>12635</v>
      </c>
      <c r="I3692" t="s">
        <v>32736</v>
      </c>
      <c r="J3692" t="s">
        <v>35267</v>
      </c>
      <c r="K3692" t="s">
        <v>42281</v>
      </c>
      <c r="M3692" t="s">
        <v>43514</v>
      </c>
      <c r="N3692" t="s">
        <v>46569</v>
      </c>
      <c r="O3692" t="s">
        <v>46570</v>
      </c>
      <c r="P3692">
        <v>0</v>
      </c>
      <c r="Q3692">
        <v>2</v>
      </c>
      <c r="R3692" t="s">
        <v>46572</v>
      </c>
      <c r="S3692" t="s">
        <v>46689</v>
      </c>
      <c r="T3692" t="s">
        <v>48220</v>
      </c>
      <c r="U3692" t="s">
        <v>51844</v>
      </c>
      <c r="V3692" t="s">
        <v>61845</v>
      </c>
      <c r="W3692" t="s">
        <v>43514</v>
      </c>
      <c r="X3692" t="s">
        <v>46573</v>
      </c>
    </row>
    <row r="3693" spans="1:24">
      <c r="A3693">
        <f>HYPERLINK("https://www.philgeps.gov.ph/GEPSNONPILOT/Tender/SplashBidNoticeAbstractUI.aspx?menuIndex=3&amp;refID=7063232&amp;Result=3","7063232")</f>
        <v>0</v>
      </c>
      <c r="B3693" t="s">
        <v>307</v>
      </c>
      <c r="C3693" t="s">
        <v>7087</v>
      </c>
      <c r="D3693" t="s">
        <v>18789</v>
      </c>
      <c r="E3693" t="s">
        <v>22229</v>
      </c>
      <c r="F3693" t="s">
        <v>32664</v>
      </c>
      <c r="G3693" t="s">
        <v>32672</v>
      </c>
      <c r="H3693" t="s">
        <v>32683</v>
      </c>
      <c r="I3693" t="s">
        <v>10627</v>
      </c>
      <c r="J3693" t="s">
        <v>32962</v>
      </c>
      <c r="K3693" t="s">
        <v>42311</v>
      </c>
      <c r="M3693" t="s">
        <v>42874</v>
      </c>
      <c r="N3693" t="s">
        <v>46569</v>
      </c>
      <c r="O3693" t="s">
        <v>46570</v>
      </c>
      <c r="P3693">
        <v>0</v>
      </c>
      <c r="Q3693">
        <v>0</v>
      </c>
      <c r="R3693" t="s">
        <v>46572</v>
      </c>
      <c r="S3693" t="s">
        <v>46689</v>
      </c>
      <c r="T3693" t="s">
        <v>48220</v>
      </c>
      <c r="U3693" t="s">
        <v>51845</v>
      </c>
      <c r="V3693" t="s">
        <v>62000</v>
      </c>
      <c r="W3693" t="s">
        <v>42874</v>
      </c>
      <c r="X3693" t="s">
        <v>46573</v>
      </c>
    </row>
    <row r="3694" spans="1:24">
      <c r="A3694">
        <f>HYPERLINK("https://www.philgeps.gov.ph/GEPSNONPILOT/Tender/SplashBidNoticeAbstractUI.aspx?menuIndex=3&amp;refID=7063266&amp;Result=3","7063266")</f>
        <v>0</v>
      </c>
      <c r="B3694" t="s">
        <v>1397</v>
      </c>
      <c r="C3694" t="s">
        <v>7088</v>
      </c>
      <c r="D3694" t="s">
        <v>18803</v>
      </c>
      <c r="E3694" t="s">
        <v>22230</v>
      </c>
      <c r="F3694" t="s">
        <v>32664</v>
      </c>
      <c r="G3694" t="s">
        <v>32671</v>
      </c>
      <c r="H3694" t="s">
        <v>12635</v>
      </c>
      <c r="I3694" t="s">
        <v>9486</v>
      </c>
      <c r="J3694" t="s">
        <v>32898</v>
      </c>
      <c r="K3694" t="s">
        <v>42281</v>
      </c>
      <c r="M3694" t="s">
        <v>44054</v>
      </c>
      <c r="N3694" t="s">
        <v>46569</v>
      </c>
      <c r="O3694" t="s">
        <v>46570</v>
      </c>
      <c r="P3694">
        <v>0</v>
      </c>
      <c r="Q3694">
        <v>1</v>
      </c>
      <c r="R3694" t="s">
        <v>46572</v>
      </c>
      <c r="S3694" t="s">
        <v>46689</v>
      </c>
      <c r="T3694" t="s">
        <v>48356</v>
      </c>
      <c r="U3694" t="s">
        <v>51803</v>
      </c>
      <c r="W3694" t="s">
        <v>44054</v>
      </c>
      <c r="X3694" t="s">
        <v>46573</v>
      </c>
    </row>
    <row r="3695" spans="1:24">
      <c r="A3695">
        <f>HYPERLINK("https://www.philgeps.gov.ph/GEPSNONPILOT/Tender/SplashBidNoticeAbstractUI.aspx?menuIndex=3&amp;refID=7063265&amp;Result=3","7063265")</f>
        <v>0</v>
      </c>
      <c r="B3695" t="s">
        <v>1215</v>
      </c>
      <c r="C3695" t="s">
        <v>7089</v>
      </c>
      <c r="D3695" t="s">
        <v>18827</v>
      </c>
      <c r="E3695" t="s">
        <v>22231</v>
      </c>
      <c r="F3695" t="s">
        <v>32664</v>
      </c>
      <c r="G3695" t="s">
        <v>32672</v>
      </c>
      <c r="H3695" t="s">
        <v>12635</v>
      </c>
      <c r="I3695" t="s">
        <v>14442</v>
      </c>
      <c r="J3695" t="s">
        <v>35268</v>
      </c>
      <c r="K3695" t="s">
        <v>42298</v>
      </c>
      <c r="M3695" t="s">
        <v>43853</v>
      </c>
      <c r="N3695" t="s">
        <v>46569</v>
      </c>
      <c r="O3695" t="s">
        <v>46570</v>
      </c>
      <c r="P3695">
        <v>0</v>
      </c>
      <c r="Q3695">
        <v>3</v>
      </c>
      <c r="R3695" t="s">
        <v>46572</v>
      </c>
      <c r="S3695" t="s">
        <v>46689</v>
      </c>
      <c r="T3695" t="s">
        <v>48297</v>
      </c>
      <c r="U3695" t="s">
        <v>51846</v>
      </c>
      <c r="W3695" t="s">
        <v>43853</v>
      </c>
      <c r="X3695" t="s">
        <v>46573</v>
      </c>
    </row>
    <row r="3696" spans="1:24">
      <c r="A3696">
        <f>HYPERLINK("https://www.philgeps.gov.ph/GEPSNONPILOT/Tender/SplashBidNoticeAbstractUI.aspx?menuIndex=3&amp;refID=7063262&amp;Result=3","7063262")</f>
        <v>0</v>
      </c>
      <c r="B3696" t="s">
        <v>267</v>
      </c>
      <c r="C3696" t="s">
        <v>7090</v>
      </c>
      <c r="E3696" t="s">
        <v>22232</v>
      </c>
      <c r="F3696" t="s">
        <v>32664</v>
      </c>
      <c r="G3696" t="s">
        <v>32671</v>
      </c>
      <c r="H3696" t="s">
        <v>12635</v>
      </c>
      <c r="I3696" t="s">
        <v>10361</v>
      </c>
      <c r="J3696" t="s">
        <v>35269</v>
      </c>
      <c r="K3696" t="s">
        <v>42283</v>
      </c>
      <c r="M3696" t="s">
        <v>42832</v>
      </c>
      <c r="N3696" t="s">
        <v>46569</v>
      </c>
      <c r="O3696" t="s">
        <v>46570</v>
      </c>
      <c r="P3696">
        <v>0</v>
      </c>
      <c r="Q3696">
        <v>0</v>
      </c>
      <c r="R3696" t="s">
        <v>46572</v>
      </c>
      <c r="S3696" t="s">
        <v>46689</v>
      </c>
      <c r="T3696" t="s">
        <v>48219</v>
      </c>
      <c r="U3696" t="s">
        <v>51847</v>
      </c>
      <c r="W3696" t="s">
        <v>42832</v>
      </c>
      <c r="X3696" t="s">
        <v>46573</v>
      </c>
    </row>
    <row r="3697" spans="1:24">
      <c r="A3697">
        <f>HYPERLINK("https://www.philgeps.gov.ph/GEPSNONPILOT/Tender/SplashBidNoticeAbstractUI.aspx?menuIndex=3&amp;refID=7063184&amp;Result=3","7063184")</f>
        <v>0</v>
      </c>
      <c r="B3697" t="s">
        <v>229</v>
      </c>
      <c r="C3697" t="s">
        <v>7091</v>
      </c>
      <c r="D3697" t="s">
        <v>18838</v>
      </c>
      <c r="E3697" t="s">
        <v>22233</v>
      </c>
      <c r="F3697" t="s">
        <v>32664</v>
      </c>
      <c r="G3697" t="s">
        <v>32671</v>
      </c>
      <c r="H3697" t="s">
        <v>12635</v>
      </c>
      <c r="I3697" t="s">
        <v>4333</v>
      </c>
      <c r="J3697" t="s">
        <v>35270</v>
      </c>
      <c r="K3697" t="s">
        <v>42297</v>
      </c>
      <c r="M3697" t="s">
        <v>42793</v>
      </c>
      <c r="N3697" t="s">
        <v>46569</v>
      </c>
      <c r="O3697" t="s">
        <v>46570</v>
      </c>
      <c r="P3697">
        <v>0</v>
      </c>
      <c r="Q3697">
        <v>0</v>
      </c>
      <c r="R3697" t="s">
        <v>46572</v>
      </c>
      <c r="S3697" t="s">
        <v>46689</v>
      </c>
      <c r="T3697" t="s">
        <v>48246</v>
      </c>
      <c r="U3697" t="s">
        <v>51848</v>
      </c>
      <c r="W3697" t="s">
        <v>42793</v>
      </c>
      <c r="X3697" t="s">
        <v>46573</v>
      </c>
    </row>
    <row r="3698" spans="1:24">
      <c r="A3698">
        <f>HYPERLINK("https://www.philgeps.gov.ph/GEPSNONPILOT/Tender/SplashBidNoticeAbstractUI.aspx?menuIndex=3&amp;refID=7063261&amp;Result=3","7063261")</f>
        <v>0</v>
      </c>
      <c r="B3698" t="s">
        <v>1210</v>
      </c>
      <c r="C3698" t="s">
        <v>7092</v>
      </c>
      <c r="D3698" t="s">
        <v>18788</v>
      </c>
      <c r="E3698" t="s">
        <v>22234</v>
      </c>
      <c r="F3698" t="s">
        <v>32664</v>
      </c>
      <c r="G3698" t="s">
        <v>32672</v>
      </c>
      <c r="H3698" t="s">
        <v>32683</v>
      </c>
      <c r="I3698" t="s">
        <v>10627</v>
      </c>
      <c r="J3698" t="s">
        <v>35271</v>
      </c>
      <c r="K3698" t="s">
        <v>42283</v>
      </c>
      <c r="M3698" t="s">
        <v>43848</v>
      </c>
      <c r="N3698" t="s">
        <v>46569</v>
      </c>
      <c r="O3698" t="s">
        <v>46570</v>
      </c>
      <c r="P3698">
        <v>0</v>
      </c>
      <c r="Q3698">
        <v>0</v>
      </c>
      <c r="R3698" t="s">
        <v>46572</v>
      </c>
      <c r="S3698" t="s">
        <v>46689</v>
      </c>
      <c r="T3698" t="s">
        <v>48226</v>
      </c>
      <c r="U3698" t="s">
        <v>51362</v>
      </c>
      <c r="W3698" t="s">
        <v>43848</v>
      </c>
      <c r="X3698" t="s">
        <v>46573</v>
      </c>
    </row>
    <row r="3699" spans="1:24">
      <c r="A3699">
        <f>HYPERLINK("https://www.philgeps.gov.ph/GEPSNONPILOT/Tender/SplashBidNoticeAbstractUI.aspx?menuIndex=3&amp;refID=7063258&amp;Result=3","7063258")</f>
        <v>0</v>
      </c>
      <c r="B3699" t="s">
        <v>1380</v>
      </c>
      <c r="C3699" t="s">
        <v>7093</v>
      </c>
      <c r="D3699" t="s">
        <v>18809</v>
      </c>
      <c r="E3699" t="s">
        <v>22235</v>
      </c>
      <c r="F3699" t="s">
        <v>32664</v>
      </c>
      <c r="G3699" t="s">
        <v>32672</v>
      </c>
      <c r="H3699" t="s">
        <v>12635</v>
      </c>
      <c r="I3699" t="s">
        <v>32704</v>
      </c>
      <c r="J3699" t="s">
        <v>35272</v>
      </c>
      <c r="K3699" t="s">
        <v>42297</v>
      </c>
      <c r="L3699" t="s">
        <v>1380</v>
      </c>
      <c r="M3699" t="s">
        <v>44035</v>
      </c>
      <c r="N3699" t="s">
        <v>46569</v>
      </c>
      <c r="O3699" t="s">
        <v>46570</v>
      </c>
      <c r="P3699">
        <v>0</v>
      </c>
      <c r="Q3699">
        <v>9</v>
      </c>
      <c r="R3699" t="s">
        <v>46572</v>
      </c>
      <c r="S3699" t="s">
        <v>46689</v>
      </c>
      <c r="T3699" t="s">
        <v>48226</v>
      </c>
      <c r="U3699" t="s">
        <v>51849</v>
      </c>
      <c r="V3699" t="s">
        <v>61989</v>
      </c>
      <c r="W3699" t="s">
        <v>44035</v>
      </c>
      <c r="X3699" t="s">
        <v>46573</v>
      </c>
    </row>
    <row r="3700" spans="1:24">
      <c r="A3700">
        <f>HYPERLINK("https://www.philgeps.gov.ph/GEPSNONPILOT/Tender/SplashBidNoticeAbstractUI.aspx?menuIndex=3&amp;refID=7063256&amp;Result=3","7063256")</f>
        <v>0</v>
      </c>
      <c r="B3700" t="s">
        <v>1277</v>
      </c>
      <c r="C3700" t="s">
        <v>6677</v>
      </c>
      <c r="D3700" t="s">
        <v>18789</v>
      </c>
      <c r="E3700" t="s">
        <v>21852</v>
      </c>
      <c r="F3700" t="s">
        <v>32666</v>
      </c>
      <c r="G3700" t="s">
        <v>32671</v>
      </c>
      <c r="H3700" t="s">
        <v>12635</v>
      </c>
      <c r="I3700" t="s">
        <v>8797</v>
      </c>
      <c r="J3700" t="s">
        <v>33339</v>
      </c>
      <c r="K3700" t="s">
        <v>42295</v>
      </c>
      <c r="M3700" t="s">
        <v>43920</v>
      </c>
      <c r="N3700" t="s">
        <v>46569</v>
      </c>
      <c r="O3700" t="s">
        <v>46570</v>
      </c>
      <c r="P3700">
        <v>0</v>
      </c>
      <c r="Q3700">
        <v>0</v>
      </c>
      <c r="R3700" t="s">
        <v>46572</v>
      </c>
      <c r="S3700" t="s">
        <v>46689</v>
      </c>
      <c r="T3700" t="s">
        <v>48373</v>
      </c>
      <c r="U3700" t="s">
        <v>51850</v>
      </c>
      <c r="W3700" t="s">
        <v>43920</v>
      </c>
      <c r="X3700" t="s">
        <v>46573</v>
      </c>
    </row>
    <row r="3701" spans="1:24">
      <c r="A3701">
        <f>HYPERLINK("https://www.philgeps.gov.ph/GEPSNONPILOT/Tender/SplashBidNoticeAbstractUI.aspx?menuIndex=3&amp;refID=7063255&amp;Result=3","7063255")</f>
        <v>0</v>
      </c>
      <c r="B3701" t="s">
        <v>238</v>
      </c>
      <c r="C3701" t="s">
        <v>7094</v>
      </c>
      <c r="D3701" t="s">
        <v>18798</v>
      </c>
      <c r="E3701" t="s">
        <v>22236</v>
      </c>
      <c r="F3701" t="s">
        <v>32664</v>
      </c>
      <c r="G3701" t="s">
        <v>32675</v>
      </c>
      <c r="H3701" t="s">
        <v>12635</v>
      </c>
      <c r="I3701" t="s">
        <v>32694</v>
      </c>
      <c r="J3701" t="s">
        <v>33621</v>
      </c>
      <c r="K3701" t="s">
        <v>42332</v>
      </c>
      <c r="M3701" t="s">
        <v>44071</v>
      </c>
      <c r="N3701" t="s">
        <v>46569</v>
      </c>
      <c r="O3701" t="s">
        <v>46570</v>
      </c>
      <c r="P3701">
        <v>0</v>
      </c>
      <c r="Q3701">
        <v>1</v>
      </c>
      <c r="R3701" t="s">
        <v>46572</v>
      </c>
      <c r="S3701" t="s">
        <v>46689</v>
      </c>
      <c r="T3701" t="s">
        <v>48219</v>
      </c>
      <c r="U3701" t="s">
        <v>51851</v>
      </c>
      <c r="W3701" t="s">
        <v>44071</v>
      </c>
      <c r="X3701" t="s">
        <v>46573</v>
      </c>
    </row>
    <row r="3702" spans="1:24">
      <c r="A3702">
        <f>HYPERLINK("https://www.philgeps.gov.ph/GEPSNONPILOT/Tender/SplashBidNoticeAbstractUI.aspx?menuIndex=3&amp;refID=7063267&amp;Result=3","7063267")</f>
        <v>0</v>
      </c>
      <c r="B3702" t="s">
        <v>1414</v>
      </c>
      <c r="C3702" t="s">
        <v>7095</v>
      </c>
      <c r="D3702" t="s">
        <v>18784</v>
      </c>
      <c r="E3702" t="s">
        <v>22237</v>
      </c>
      <c r="F3702" t="s">
        <v>32664</v>
      </c>
      <c r="G3702" t="s">
        <v>32677</v>
      </c>
      <c r="H3702" t="s">
        <v>12635</v>
      </c>
      <c r="I3702" t="s">
        <v>32706</v>
      </c>
      <c r="J3702" t="s">
        <v>35273</v>
      </c>
      <c r="K3702" t="s">
        <v>42283</v>
      </c>
      <c r="M3702" t="s">
        <v>44072</v>
      </c>
      <c r="N3702" t="s">
        <v>46569</v>
      </c>
      <c r="O3702" t="s">
        <v>46570</v>
      </c>
      <c r="P3702">
        <v>0</v>
      </c>
      <c r="Q3702">
        <v>1</v>
      </c>
      <c r="R3702" t="s">
        <v>46572</v>
      </c>
      <c r="S3702" t="s">
        <v>46689</v>
      </c>
      <c r="T3702" t="s">
        <v>48268</v>
      </c>
      <c r="U3702" t="s">
        <v>51852</v>
      </c>
      <c r="W3702" t="s">
        <v>44072</v>
      </c>
      <c r="X3702" t="s">
        <v>46573</v>
      </c>
    </row>
    <row r="3703" spans="1:24">
      <c r="A3703">
        <f>HYPERLINK("https://www.philgeps.gov.ph/GEPSNONPILOT/Tender/SplashBidNoticeAbstractUI.aspx?menuIndex=3&amp;refID=7063257&amp;Result=3","7063257")</f>
        <v>0</v>
      </c>
      <c r="B3703" t="s">
        <v>754</v>
      </c>
      <c r="C3703" t="s">
        <v>7096</v>
      </c>
      <c r="D3703" t="s">
        <v>18798</v>
      </c>
      <c r="E3703" t="s">
        <v>21037</v>
      </c>
      <c r="F3703" t="s">
        <v>32664</v>
      </c>
      <c r="G3703" t="s">
        <v>32671</v>
      </c>
      <c r="H3703" t="s">
        <v>12635</v>
      </c>
      <c r="I3703" t="s">
        <v>4439</v>
      </c>
      <c r="J3703" t="s">
        <v>35274</v>
      </c>
      <c r="K3703" t="s">
        <v>42284</v>
      </c>
      <c r="M3703" t="s">
        <v>43660</v>
      </c>
      <c r="N3703" t="s">
        <v>46569</v>
      </c>
      <c r="O3703" t="s">
        <v>46570</v>
      </c>
      <c r="P3703">
        <v>0</v>
      </c>
      <c r="Q3703">
        <v>0</v>
      </c>
      <c r="R3703" t="s">
        <v>46572</v>
      </c>
      <c r="S3703" t="s">
        <v>46689</v>
      </c>
      <c r="T3703" t="s">
        <v>48246</v>
      </c>
      <c r="U3703" t="s">
        <v>51853</v>
      </c>
      <c r="W3703" t="s">
        <v>43660</v>
      </c>
      <c r="X3703" t="s">
        <v>46573</v>
      </c>
    </row>
    <row r="3704" spans="1:24">
      <c r="A3704">
        <f>HYPERLINK("https://www.philgeps.gov.ph/GEPSNONPILOT/Tender/SplashBidNoticeAbstractUI.aspx?menuIndex=3&amp;refID=7063251&amp;Result=3","7063251")</f>
        <v>0</v>
      </c>
      <c r="B3704" t="s">
        <v>1402</v>
      </c>
      <c r="C3704" t="s">
        <v>7097</v>
      </c>
      <c r="D3704" t="s">
        <v>18789</v>
      </c>
      <c r="E3704" t="s">
        <v>22238</v>
      </c>
      <c r="F3704" t="s">
        <v>32664</v>
      </c>
      <c r="G3704" t="s">
        <v>32671</v>
      </c>
      <c r="H3704" t="s">
        <v>12635</v>
      </c>
      <c r="I3704" t="s">
        <v>10627</v>
      </c>
      <c r="J3704" t="s">
        <v>35275</v>
      </c>
      <c r="K3704" t="s">
        <v>42281</v>
      </c>
      <c r="M3704" t="s">
        <v>44059</v>
      </c>
      <c r="N3704" t="s">
        <v>46569</v>
      </c>
      <c r="O3704" t="s">
        <v>46570</v>
      </c>
      <c r="P3704">
        <v>0</v>
      </c>
      <c r="Q3704">
        <v>0</v>
      </c>
      <c r="R3704" t="s">
        <v>46572</v>
      </c>
      <c r="S3704" t="s">
        <v>46689</v>
      </c>
      <c r="T3704" t="s">
        <v>48256</v>
      </c>
      <c r="U3704" t="s">
        <v>51854</v>
      </c>
      <c r="V3704" t="s">
        <v>61995</v>
      </c>
      <c r="W3704" t="s">
        <v>44059</v>
      </c>
      <c r="X3704" t="s">
        <v>46573</v>
      </c>
    </row>
    <row r="3705" spans="1:24">
      <c r="A3705">
        <f>HYPERLINK("https://www.philgeps.gov.ph/GEPSNONPILOT/Tender/SplashBidNoticeAbstractUI.aspx?menuIndex=3&amp;refID=7063263&amp;Result=3","7063263")</f>
        <v>0</v>
      </c>
      <c r="B3705" t="s">
        <v>468</v>
      </c>
      <c r="C3705" t="s">
        <v>7098</v>
      </c>
      <c r="D3705" t="s">
        <v>18827</v>
      </c>
      <c r="E3705" t="s">
        <v>22239</v>
      </c>
      <c r="F3705" t="s">
        <v>32664</v>
      </c>
      <c r="G3705" t="s">
        <v>32671</v>
      </c>
      <c r="H3705" t="s">
        <v>12635</v>
      </c>
      <c r="I3705" t="s">
        <v>10370</v>
      </c>
      <c r="J3705" t="s">
        <v>35276</v>
      </c>
      <c r="K3705" t="s">
        <v>42289</v>
      </c>
      <c r="M3705" t="s">
        <v>43043</v>
      </c>
      <c r="N3705" t="s">
        <v>46569</v>
      </c>
      <c r="O3705" t="s">
        <v>46570</v>
      </c>
      <c r="P3705">
        <v>0</v>
      </c>
      <c r="Q3705">
        <v>0</v>
      </c>
      <c r="R3705" t="s">
        <v>46572</v>
      </c>
      <c r="S3705" t="s">
        <v>46689</v>
      </c>
      <c r="T3705" t="s">
        <v>48312</v>
      </c>
      <c r="U3705" t="s">
        <v>49617</v>
      </c>
      <c r="V3705" t="s">
        <v>62001</v>
      </c>
      <c r="W3705" t="s">
        <v>43043</v>
      </c>
      <c r="X3705" t="s">
        <v>46573</v>
      </c>
    </row>
    <row r="3706" spans="1:24">
      <c r="A3706">
        <f>HYPERLINK("https://www.philgeps.gov.ph/GEPSNONPILOT/Tender/SplashBidNoticeAbstractUI.aspx?menuIndex=3&amp;refID=7063250&amp;Result=3","7063250")</f>
        <v>0</v>
      </c>
      <c r="B3706" t="s">
        <v>1415</v>
      </c>
      <c r="C3706" t="s">
        <v>7099</v>
      </c>
      <c r="D3706" t="s">
        <v>18794</v>
      </c>
      <c r="E3706" t="s">
        <v>22240</v>
      </c>
      <c r="F3706" t="s">
        <v>32664</v>
      </c>
      <c r="G3706" t="s">
        <v>32672</v>
      </c>
      <c r="H3706" t="s">
        <v>12635</v>
      </c>
      <c r="I3706" t="s">
        <v>8797</v>
      </c>
      <c r="J3706" t="s">
        <v>32859</v>
      </c>
      <c r="K3706" t="s">
        <v>42298</v>
      </c>
      <c r="M3706" t="s">
        <v>44073</v>
      </c>
      <c r="N3706" t="s">
        <v>46569</v>
      </c>
      <c r="O3706" t="s">
        <v>46570</v>
      </c>
      <c r="P3706">
        <v>0</v>
      </c>
      <c r="Q3706">
        <v>0</v>
      </c>
      <c r="R3706" t="s">
        <v>46572</v>
      </c>
      <c r="S3706" t="s">
        <v>46689</v>
      </c>
      <c r="T3706" t="s">
        <v>48236</v>
      </c>
      <c r="U3706" t="s">
        <v>51855</v>
      </c>
      <c r="W3706" t="s">
        <v>63512</v>
      </c>
      <c r="X3706" t="s">
        <v>46573</v>
      </c>
    </row>
    <row r="3707" spans="1:24">
      <c r="A3707">
        <f>HYPERLINK("https://www.philgeps.gov.ph/GEPSNONPILOT/Tender/SplashBidNoticeAbstractUI.aspx?menuIndex=3&amp;refID=7063249&amp;Result=3","7063249")</f>
        <v>0</v>
      </c>
      <c r="B3707" t="s">
        <v>1397</v>
      </c>
      <c r="C3707" t="s">
        <v>7100</v>
      </c>
      <c r="D3707" t="s">
        <v>18803</v>
      </c>
      <c r="E3707" t="s">
        <v>22241</v>
      </c>
      <c r="F3707" t="s">
        <v>32664</v>
      </c>
      <c r="G3707" t="s">
        <v>32671</v>
      </c>
      <c r="H3707" t="s">
        <v>12635</v>
      </c>
      <c r="I3707" t="s">
        <v>10370</v>
      </c>
      <c r="J3707" t="s">
        <v>32917</v>
      </c>
      <c r="K3707" t="s">
        <v>42281</v>
      </c>
      <c r="M3707" t="s">
        <v>44054</v>
      </c>
      <c r="N3707" t="s">
        <v>46569</v>
      </c>
      <c r="O3707" t="s">
        <v>46570</v>
      </c>
      <c r="P3707">
        <v>0</v>
      </c>
      <c r="Q3707">
        <v>0</v>
      </c>
      <c r="R3707" t="s">
        <v>46572</v>
      </c>
      <c r="S3707" t="s">
        <v>46689</v>
      </c>
      <c r="T3707" t="s">
        <v>48356</v>
      </c>
      <c r="U3707" t="s">
        <v>51803</v>
      </c>
      <c r="W3707" t="s">
        <v>44054</v>
      </c>
      <c r="X3707" t="s">
        <v>46573</v>
      </c>
    </row>
    <row r="3708" spans="1:24">
      <c r="A3708">
        <f>HYPERLINK("https://www.philgeps.gov.ph/GEPSNONPILOT/Tender/SplashBidNoticeAbstractUI.aspx?menuIndex=3&amp;refID=7063231&amp;Result=3","7063231")</f>
        <v>0</v>
      </c>
      <c r="B3708" t="s">
        <v>1397</v>
      </c>
      <c r="C3708" t="s">
        <v>7101</v>
      </c>
      <c r="D3708" t="s">
        <v>18803</v>
      </c>
      <c r="E3708" t="s">
        <v>22242</v>
      </c>
      <c r="F3708" t="s">
        <v>32664</v>
      </c>
      <c r="G3708" t="s">
        <v>32671</v>
      </c>
      <c r="H3708" t="s">
        <v>12635</v>
      </c>
      <c r="I3708" t="s">
        <v>32706</v>
      </c>
      <c r="J3708" t="s">
        <v>32931</v>
      </c>
      <c r="K3708" t="s">
        <v>42281</v>
      </c>
      <c r="M3708" t="s">
        <v>44054</v>
      </c>
      <c r="N3708" t="s">
        <v>46569</v>
      </c>
      <c r="O3708" t="s">
        <v>46570</v>
      </c>
      <c r="P3708">
        <v>0</v>
      </c>
      <c r="Q3708">
        <v>1</v>
      </c>
      <c r="R3708" t="s">
        <v>46572</v>
      </c>
      <c r="S3708" t="s">
        <v>46689</v>
      </c>
      <c r="T3708" t="s">
        <v>48356</v>
      </c>
      <c r="U3708" t="s">
        <v>51803</v>
      </c>
      <c r="W3708" t="s">
        <v>44054</v>
      </c>
      <c r="X3708" t="s">
        <v>46573</v>
      </c>
    </row>
    <row r="3709" spans="1:24">
      <c r="A3709">
        <f>HYPERLINK("https://www.philgeps.gov.ph/GEPSNONPILOT/Tender/SplashBidNoticeAbstractUI.aspx?menuIndex=3&amp;refID=7063230&amp;Result=3","7063230")</f>
        <v>0</v>
      </c>
      <c r="B3709" t="s">
        <v>495</v>
      </c>
      <c r="C3709" t="s">
        <v>7102</v>
      </c>
      <c r="D3709" t="s">
        <v>18791</v>
      </c>
      <c r="E3709" t="s">
        <v>22243</v>
      </c>
      <c r="F3709" t="s">
        <v>32664</v>
      </c>
      <c r="G3709" t="s">
        <v>32672</v>
      </c>
      <c r="H3709" t="s">
        <v>32683</v>
      </c>
      <c r="I3709" t="s">
        <v>10627</v>
      </c>
      <c r="J3709" t="s">
        <v>34147</v>
      </c>
      <c r="K3709" t="s">
        <v>42409</v>
      </c>
      <c r="M3709" t="s">
        <v>43071</v>
      </c>
      <c r="N3709" t="s">
        <v>46569</v>
      </c>
      <c r="O3709" t="s">
        <v>46570</v>
      </c>
      <c r="P3709">
        <v>0</v>
      </c>
      <c r="Q3709">
        <v>2</v>
      </c>
      <c r="R3709" t="s">
        <v>46572</v>
      </c>
      <c r="S3709" t="s">
        <v>46689</v>
      </c>
      <c r="T3709" t="s">
        <v>48412</v>
      </c>
      <c r="U3709" t="s">
        <v>51708</v>
      </c>
      <c r="W3709" t="s">
        <v>43071</v>
      </c>
      <c r="X3709" t="s">
        <v>46573</v>
      </c>
    </row>
    <row r="3710" spans="1:24">
      <c r="A3710">
        <f>HYPERLINK("https://www.philgeps.gov.ph/GEPSNONPILOT/Tender/SplashBidNoticeAbstractUI.aspx?menuIndex=3&amp;refID=7063252&amp;Result=3","7063252")</f>
        <v>0</v>
      </c>
      <c r="B3710" t="s">
        <v>962</v>
      </c>
      <c r="C3710" t="s">
        <v>7103</v>
      </c>
      <c r="D3710" t="s">
        <v>18784</v>
      </c>
      <c r="E3710" t="s">
        <v>22244</v>
      </c>
      <c r="F3710" t="s">
        <v>32664</v>
      </c>
      <c r="G3710" t="s">
        <v>32671</v>
      </c>
      <c r="H3710" t="s">
        <v>32682</v>
      </c>
      <c r="I3710" t="s">
        <v>32763</v>
      </c>
      <c r="J3710" t="s">
        <v>33396</v>
      </c>
      <c r="K3710" t="s">
        <v>42281</v>
      </c>
      <c r="M3710" t="s">
        <v>44074</v>
      </c>
      <c r="N3710" t="s">
        <v>46569</v>
      </c>
      <c r="O3710" t="s">
        <v>46570</v>
      </c>
      <c r="P3710">
        <v>0</v>
      </c>
      <c r="Q3710">
        <v>6</v>
      </c>
      <c r="R3710" t="s">
        <v>46572</v>
      </c>
      <c r="S3710" t="s">
        <v>46689</v>
      </c>
      <c r="T3710" t="s">
        <v>48217</v>
      </c>
      <c r="U3710" t="s">
        <v>51856</v>
      </c>
      <c r="W3710" t="s">
        <v>44074</v>
      </c>
      <c r="X3710" t="s">
        <v>46573</v>
      </c>
    </row>
    <row r="3711" spans="1:24">
      <c r="A3711">
        <f>HYPERLINK("https://www.philgeps.gov.ph/GEPSNONPILOT/Tender/SplashBidNoticeAbstractUI.aspx?menuIndex=3&amp;refID=7063227&amp;Result=3","7063227")</f>
        <v>0</v>
      </c>
      <c r="B3711" t="s">
        <v>689</v>
      </c>
      <c r="C3711" t="s">
        <v>7104</v>
      </c>
      <c r="D3711" t="s">
        <v>18800</v>
      </c>
      <c r="E3711" t="s">
        <v>22245</v>
      </c>
      <c r="F3711" t="s">
        <v>32664</v>
      </c>
      <c r="G3711" t="s">
        <v>32672</v>
      </c>
      <c r="H3711" t="s">
        <v>12635</v>
      </c>
      <c r="I3711" t="s">
        <v>11464</v>
      </c>
      <c r="J3711" t="s">
        <v>35277</v>
      </c>
      <c r="K3711" t="s">
        <v>42305</v>
      </c>
      <c r="M3711" t="s">
        <v>43276</v>
      </c>
      <c r="N3711" t="s">
        <v>46569</v>
      </c>
      <c r="O3711" t="s">
        <v>46570</v>
      </c>
      <c r="P3711">
        <v>0</v>
      </c>
      <c r="Q3711">
        <v>5</v>
      </c>
      <c r="R3711" t="s">
        <v>46572</v>
      </c>
      <c r="S3711" t="s">
        <v>46689</v>
      </c>
      <c r="T3711" t="s">
        <v>48263</v>
      </c>
      <c r="U3711" t="s">
        <v>51857</v>
      </c>
      <c r="V3711" t="s">
        <v>61795</v>
      </c>
      <c r="W3711" t="s">
        <v>43276</v>
      </c>
      <c r="X3711" t="s">
        <v>46573</v>
      </c>
    </row>
    <row r="3712" spans="1:24">
      <c r="A3712">
        <f>HYPERLINK("https://www.philgeps.gov.ph/GEPSNONPILOT/Tender/SplashBidNoticeAbstractUI.aspx?menuIndex=3&amp;refID=7063226&amp;Result=3","7063226")</f>
        <v>0</v>
      </c>
      <c r="B3712" t="s">
        <v>1380</v>
      </c>
      <c r="C3712" t="s">
        <v>7105</v>
      </c>
      <c r="D3712" t="s">
        <v>18809</v>
      </c>
      <c r="E3712" t="s">
        <v>22246</v>
      </c>
      <c r="F3712" t="s">
        <v>32664</v>
      </c>
      <c r="G3712" t="s">
        <v>32672</v>
      </c>
      <c r="H3712" t="s">
        <v>12635</v>
      </c>
      <c r="I3712" t="s">
        <v>32704</v>
      </c>
      <c r="J3712" t="s">
        <v>35278</v>
      </c>
      <c r="K3712" t="s">
        <v>42297</v>
      </c>
      <c r="L3712" t="s">
        <v>1380</v>
      </c>
      <c r="M3712" t="s">
        <v>44035</v>
      </c>
      <c r="N3712" t="s">
        <v>46569</v>
      </c>
      <c r="O3712" t="s">
        <v>46570</v>
      </c>
      <c r="P3712">
        <v>0</v>
      </c>
      <c r="Q3712">
        <v>9</v>
      </c>
      <c r="R3712" t="s">
        <v>46572</v>
      </c>
      <c r="S3712" t="s">
        <v>46689</v>
      </c>
      <c r="T3712" t="s">
        <v>48226</v>
      </c>
      <c r="U3712" t="s">
        <v>51849</v>
      </c>
      <c r="V3712" t="s">
        <v>61989</v>
      </c>
      <c r="W3712" t="s">
        <v>44035</v>
      </c>
      <c r="X3712" t="s">
        <v>46573</v>
      </c>
    </row>
    <row r="3713" spans="1:24">
      <c r="A3713">
        <f>HYPERLINK("https://www.philgeps.gov.ph/GEPSNONPILOT/Tender/SplashBidNoticeAbstractUI.aspx?menuIndex=3&amp;refID=7063293&amp;Result=3","7063293")</f>
        <v>0</v>
      </c>
      <c r="B3713" t="s">
        <v>1415</v>
      </c>
      <c r="C3713" t="s">
        <v>7106</v>
      </c>
      <c r="D3713" t="s">
        <v>18794</v>
      </c>
      <c r="E3713" t="s">
        <v>22247</v>
      </c>
      <c r="F3713" t="s">
        <v>32664</v>
      </c>
      <c r="G3713" t="s">
        <v>32672</v>
      </c>
      <c r="H3713" t="s">
        <v>12635</v>
      </c>
      <c r="I3713" t="s">
        <v>9486</v>
      </c>
      <c r="J3713" t="s">
        <v>35279</v>
      </c>
      <c r="K3713" t="s">
        <v>42298</v>
      </c>
      <c r="M3713" t="s">
        <v>44073</v>
      </c>
      <c r="N3713" t="s">
        <v>46569</v>
      </c>
      <c r="O3713" t="s">
        <v>46570</v>
      </c>
      <c r="P3713">
        <v>0</v>
      </c>
      <c r="Q3713">
        <v>3</v>
      </c>
      <c r="R3713" t="s">
        <v>46572</v>
      </c>
      <c r="S3713" t="s">
        <v>46689</v>
      </c>
      <c r="T3713" t="s">
        <v>48361</v>
      </c>
      <c r="U3713" t="s">
        <v>51858</v>
      </c>
      <c r="W3713" t="s">
        <v>63512</v>
      </c>
      <c r="X3713" t="s">
        <v>46573</v>
      </c>
    </row>
    <row r="3714" spans="1:24">
      <c r="A3714">
        <f>HYPERLINK("https://www.philgeps.gov.ph/GEPSNONPILOT/Tender/SplashBidNoticeAbstractUI.aspx?menuIndex=3&amp;refID=7063246&amp;Result=3","7063246")</f>
        <v>0</v>
      </c>
      <c r="B3714" t="s">
        <v>908</v>
      </c>
      <c r="C3714" t="s">
        <v>7107</v>
      </c>
      <c r="E3714" t="s">
        <v>22248</v>
      </c>
      <c r="F3714" t="s">
        <v>32664</v>
      </c>
      <c r="G3714" t="s">
        <v>32673</v>
      </c>
      <c r="H3714" t="s">
        <v>12635</v>
      </c>
      <c r="I3714" t="s">
        <v>32736</v>
      </c>
      <c r="J3714" t="s">
        <v>35280</v>
      </c>
      <c r="K3714" t="s">
        <v>42281</v>
      </c>
      <c r="M3714" t="s">
        <v>43514</v>
      </c>
      <c r="N3714" t="s">
        <v>46569</v>
      </c>
      <c r="O3714" t="s">
        <v>46570</v>
      </c>
      <c r="P3714">
        <v>0</v>
      </c>
      <c r="Q3714">
        <v>0</v>
      </c>
      <c r="R3714" t="s">
        <v>46572</v>
      </c>
      <c r="S3714" t="s">
        <v>46689</v>
      </c>
      <c r="T3714" t="s">
        <v>48220</v>
      </c>
      <c r="U3714" t="s">
        <v>51859</v>
      </c>
      <c r="V3714" t="s">
        <v>61845</v>
      </c>
      <c r="W3714" t="s">
        <v>43514</v>
      </c>
      <c r="X3714" t="s">
        <v>46573</v>
      </c>
    </row>
    <row r="3715" spans="1:24">
      <c r="A3715">
        <f>HYPERLINK("https://www.philgeps.gov.ph/GEPSNONPILOT/Tender/SplashBidNoticeAbstractUI.aspx?menuIndex=3&amp;refID=7063291&amp;Result=3","7063291")</f>
        <v>0</v>
      </c>
      <c r="B3715" t="s">
        <v>1416</v>
      </c>
      <c r="C3715" t="s">
        <v>7108</v>
      </c>
      <c r="D3715" t="s">
        <v>18784</v>
      </c>
      <c r="E3715" t="s">
        <v>22249</v>
      </c>
      <c r="F3715" t="s">
        <v>32664</v>
      </c>
      <c r="G3715" t="s">
        <v>32672</v>
      </c>
      <c r="H3715" t="s">
        <v>12635</v>
      </c>
      <c r="I3715" t="s">
        <v>32729</v>
      </c>
      <c r="J3715" t="s">
        <v>35281</v>
      </c>
      <c r="K3715" t="s">
        <v>42298</v>
      </c>
      <c r="M3715" t="s">
        <v>44075</v>
      </c>
      <c r="N3715" t="s">
        <v>46569</v>
      </c>
      <c r="O3715" t="s">
        <v>46570</v>
      </c>
      <c r="P3715">
        <v>0</v>
      </c>
      <c r="Q3715">
        <v>3</v>
      </c>
      <c r="R3715" t="s">
        <v>46572</v>
      </c>
      <c r="S3715" t="s">
        <v>46689</v>
      </c>
      <c r="T3715" t="s">
        <v>48252</v>
      </c>
      <c r="U3715" t="s">
        <v>51860</v>
      </c>
      <c r="V3715" t="s">
        <v>62002</v>
      </c>
      <c r="W3715" t="s">
        <v>44075</v>
      </c>
      <c r="X3715" t="s">
        <v>46573</v>
      </c>
    </row>
    <row r="3716" spans="1:24">
      <c r="A3716">
        <f>HYPERLINK("https://www.philgeps.gov.ph/GEPSNONPILOT/Tender/SplashBidNoticeAbstractUI.aspx?menuIndex=3&amp;refID=7063254&amp;Result=3","7063254")</f>
        <v>0</v>
      </c>
      <c r="B3716" t="s">
        <v>1417</v>
      </c>
      <c r="C3716" t="s">
        <v>7109</v>
      </c>
      <c r="D3716" t="s">
        <v>18804</v>
      </c>
      <c r="E3716" t="s">
        <v>22250</v>
      </c>
      <c r="F3716" t="s">
        <v>32664</v>
      </c>
      <c r="G3716" t="s">
        <v>32671</v>
      </c>
      <c r="H3716" t="s">
        <v>12635</v>
      </c>
      <c r="I3716" t="s">
        <v>10361</v>
      </c>
      <c r="J3716" t="s">
        <v>33160</v>
      </c>
      <c r="K3716" t="s">
        <v>42289</v>
      </c>
      <c r="M3716" t="s">
        <v>44076</v>
      </c>
      <c r="N3716" t="s">
        <v>46569</v>
      </c>
      <c r="O3716" t="s">
        <v>46570</v>
      </c>
      <c r="P3716">
        <v>0</v>
      </c>
      <c r="Q3716">
        <v>0</v>
      </c>
      <c r="R3716" t="s">
        <v>46572</v>
      </c>
      <c r="S3716" t="s">
        <v>46689</v>
      </c>
      <c r="T3716" t="s">
        <v>48219</v>
      </c>
      <c r="U3716" t="s">
        <v>51861</v>
      </c>
      <c r="W3716" t="s">
        <v>44076</v>
      </c>
      <c r="X3716" t="s">
        <v>46573</v>
      </c>
    </row>
    <row r="3717" spans="1:24">
      <c r="A3717">
        <f>HYPERLINK("https://www.philgeps.gov.ph/GEPSNONPILOT/Tender/SplashBidNoticeAbstractUI.aspx?menuIndex=3&amp;refID=7063289&amp;Result=3","7063289")</f>
        <v>0</v>
      </c>
      <c r="B3717" t="s">
        <v>1397</v>
      </c>
      <c r="C3717" t="s">
        <v>7110</v>
      </c>
      <c r="D3717" t="s">
        <v>18803</v>
      </c>
      <c r="E3717" t="s">
        <v>20129</v>
      </c>
      <c r="F3717" t="s">
        <v>32664</v>
      </c>
      <c r="G3717" t="s">
        <v>32671</v>
      </c>
      <c r="H3717" t="s">
        <v>12635</v>
      </c>
      <c r="I3717" t="s">
        <v>4205</v>
      </c>
      <c r="J3717" t="s">
        <v>35282</v>
      </c>
      <c r="K3717" t="s">
        <v>42281</v>
      </c>
      <c r="M3717" t="s">
        <v>44054</v>
      </c>
      <c r="N3717" t="s">
        <v>46569</v>
      </c>
      <c r="O3717" t="s">
        <v>46570</v>
      </c>
      <c r="P3717">
        <v>0</v>
      </c>
      <c r="Q3717">
        <v>3</v>
      </c>
      <c r="R3717" t="s">
        <v>46572</v>
      </c>
      <c r="S3717" t="s">
        <v>46689</v>
      </c>
      <c r="T3717" t="s">
        <v>48356</v>
      </c>
      <c r="U3717" t="s">
        <v>51803</v>
      </c>
      <c r="W3717" t="s">
        <v>44054</v>
      </c>
      <c r="X3717" t="s">
        <v>46573</v>
      </c>
    </row>
    <row r="3718" spans="1:24">
      <c r="A3718">
        <f>HYPERLINK("https://www.philgeps.gov.ph/GEPSNONPILOT/Tender/SplashBidNoticeAbstractUI.aspx?menuIndex=3&amp;refID=7063287&amp;Result=3","7063287")</f>
        <v>0</v>
      </c>
      <c r="B3718" t="s">
        <v>1418</v>
      </c>
      <c r="C3718" t="s">
        <v>7111</v>
      </c>
      <c r="D3718" t="s">
        <v>18818</v>
      </c>
      <c r="E3718" t="s">
        <v>21695</v>
      </c>
      <c r="F3718" t="s">
        <v>32664</v>
      </c>
      <c r="G3718" t="s">
        <v>32672</v>
      </c>
      <c r="H3718" t="s">
        <v>12635</v>
      </c>
      <c r="I3718" t="s">
        <v>32716</v>
      </c>
      <c r="J3718" t="s">
        <v>33299</v>
      </c>
      <c r="K3718" t="s">
        <v>42281</v>
      </c>
      <c r="M3718" t="s">
        <v>44077</v>
      </c>
      <c r="N3718" t="s">
        <v>46569</v>
      </c>
      <c r="O3718" t="s">
        <v>46570</v>
      </c>
      <c r="P3718">
        <v>0</v>
      </c>
      <c r="Q3718">
        <v>0</v>
      </c>
      <c r="R3718" t="s">
        <v>46572</v>
      </c>
      <c r="S3718" t="s">
        <v>46689</v>
      </c>
      <c r="T3718" t="s">
        <v>48303</v>
      </c>
      <c r="U3718" t="s">
        <v>51862</v>
      </c>
      <c r="W3718" t="s">
        <v>44077</v>
      </c>
      <c r="X3718" t="s">
        <v>46573</v>
      </c>
    </row>
    <row r="3719" spans="1:24">
      <c r="A3719">
        <f>HYPERLINK("https://www.philgeps.gov.ph/GEPSNONPILOT/Tender/SplashBidNoticeAbstractUI.aspx?menuIndex=3&amp;refID=7063285&amp;Result=3","7063285")</f>
        <v>0</v>
      </c>
      <c r="B3719" t="s">
        <v>1419</v>
      </c>
      <c r="C3719" t="s">
        <v>7112</v>
      </c>
      <c r="D3719" t="s">
        <v>18791</v>
      </c>
      <c r="E3719" t="s">
        <v>20387</v>
      </c>
      <c r="F3719" t="s">
        <v>32664</v>
      </c>
      <c r="G3719" t="s">
        <v>32672</v>
      </c>
      <c r="H3719" t="s">
        <v>12635</v>
      </c>
      <c r="I3719" t="s">
        <v>10370</v>
      </c>
      <c r="J3719" t="s">
        <v>35283</v>
      </c>
      <c r="K3719" t="s">
        <v>42281</v>
      </c>
      <c r="M3719" t="s">
        <v>44078</v>
      </c>
      <c r="N3719" t="s">
        <v>46569</v>
      </c>
      <c r="O3719" t="s">
        <v>46570</v>
      </c>
      <c r="P3719">
        <v>0</v>
      </c>
      <c r="Q3719">
        <v>3</v>
      </c>
      <c r="R3719" t="s">
        <v>46572</v>
      </c>
      <c r="S3719" t="s">
        <v>46689</v>
      </c>
      <c r="T3719" t="s">
        <v>48486</v>
      </c>
      <c r="U3719" t="s">
        <v>51863</v>
      </c>
      <c r="W3719" t="s">
        <v>44078</v>
      </c>
      <c r="X3719" t="s">
        <v>46573</v>
      </c>
    </row>
    <row r="3720" spans="1:24">
      <c r="A3720">
        <f>HYPERLINK("https://www.philgeps.gov.ph/GEPSNONPILOT/Tender/SplashBidNoticeAbstractUI.aspx?menuIndex=3&amp;refID=7063094&amp;Result=3","7063094")</f>
        <v>0</v>
      </c>
      <c r="B3720" t="s">
        <v>277</v>
      </c>
      <c r="C3720" t="s">
        <v>7113</v>
      </c>
      <c r="E3720" t="s">
        <v>22251</v>
      </c>
      <c r="F3720" t="s">
        <v>32664</v>
      </c>
      <c r="G3720" t="s">
        <v>32671</v>
      </c>
      <c r="H3720" t="s">
        <v>12635</v>
      </c>
      <c r="I3720" t="s">
        <v>5589</v>
      </c>
      <c r="J3720" t="s">
        <v>35284</v>
      </c>
      <c r="K3720" t="s">
        <v>42283</v>
      </c>
      <c r="M3720" t="s">
        <v>42842</v>
      </c>
      <c r="N3720" t="s">
        <v>46569</v>
      </c>
      <c r="O3720" t="s">
        <v>46570</v>
      </c>
      <c r="P3720">
        <v>0</v>
      </c>
      <c r="Q3720">
        <v>1</v>
      </c>
      <c r="R3720" t="s">
        <v>46572</v>
      </c>
      <c r="S3720" t="s">
        <v>46689</v>
      </c>
      <c r="T3720" t="s">
        <v>48256</v>
      </c>
      <c r="U3720" t="s">
        <v>49273</v>
      </c>
      <c r="W3720" t="s">
        <v>42842</v>
      </c>
      <c r="X3720" t="s">
        <v>46573</v>
      </c>
    </row>
    <row r="3721" spans="1:24">
      <c r="A3721">
        <f>HYPERLINK("https://www.philgeps.gov.ph/GEPSNONPILOT/Tender/SplashBidNoticeAbstractUI.aspx?menuIndex=3&amp;refID=7063292&amp;Result=3","7063292")</f>
        <v>0</v>
      </c>
      <c r="B3721" t="s">
        <v>1402</v>
      </c>
      <c r="C3721" t="s">
        <v>7114</v>
      </c>
      <c r="D3721" t="s">
        <v>18789</v>
      </c>
      <c r="E3721" t="s">
        <v>22252</v>
      </c>
      <c r="F3721" t="s">
        <v>32664</v>
      </c>
      <c r="G3721" t="s">
        <v>32671</v>
      </c>
      <c r="H3721" t="s">
        <v>12635</v>
      </c>
      <c r="I3721" t="s">
        <v>10627</v>
      </c>
      <c r="J3721" t="s">
        <v>35285</v>
      </c>
      <c r="K3721" t="s">
        <v>42281</v>
      </c>
      <c r="M3721" t="s">
        <v>44059</v>
      </c>
      <c r="N3721" t="s">
        <v>46569</v>
      </c>
      <c r="O3721" t="s">
        <v>46570</v>
      </c>
      <c r="P3721">
        <v>0</v>
      </c>
      <c r="Q3721">
        <v>0</v>
      </c>
      <c r="R3721" t="s">
        <v>46572</v>
      </c>
      <c r="S3721" t="s">
        <v>46689</v>
      </c>
      <c r="T3721" t="s">
        <v>48256</v>
      </c>
      <c r="U3721" t="s">
        <v>51864</v>
      </c>
      <c r="V3721" t="s">
        <v>61995</v>
      </c>
      <c r="W3721" t="s">
        <v>44059</v>
      </c>
      <c r="X3721" t="s">
        <v>46573</v>
      </c>
    </row>
    <row r="3722" spans="1:24">
      <c r="A3722">
        <f>HYPERLINK("https://www.philgeps.gov.ph/GEPSNONPILOT/Tender/SplashBidNoticeAbstractUI.aspx?menuIndex=3&amp;refID=7063288&amp;Result=3","7063288")</f>
        <v>0</v>
      </c>
      <c r="B3722" t="s">
        <v>382</v>
      </c>
      <c r="C3722" t="s">
        <v>7115</v>
      </c>
      <c r="D3722" t="s">
        <v>18852</v>
      </c>
      <c r="E3722" t="s">
        <v>22253</v>
      </c>
      <c r="F3722" t="s">
        <v>32664</v>
      </c>
      <c r="G3722" t="s">
        <v>32672</v>
      </c>
      <c r="H3722" t="s">
        <v>32683</v>
      </c>
      <c r="I3722" t="s">
        <v>10627</v>
      </c>
      <c r="J3722" t="s">
        <v>35286</v>
      </c>
      <c r="K3722" t="s">
        <v>42312</v>
      </c>
      <c r="M3722" t="s">
        <v>42952</v>
      </c>
      <c r="N3722" t="s">
        <v>46569</v>
      </c>
      <c r="O3722" t="s">
        <v>46570</v>
      </c>
      <c r="P3722">
        <v>0</v>
      </c>
      <c r="Q3722">
        <v>0</v>
      </c>
      <c r="R3722" t="s">
        <v>46572</v>
      </c>
      <c r="S3722" t="s">
        <v>46689</v>
      </c>
      <c r="T3722" t="s">
        <v>48308</v>
      </c>
      <c r="U3722" t="s">
        <v>51865</v>
      </c>
      <c r="W3722" t="s">
        <v>42952</v>
      </c>
      <c r="X3722" t="s">
        <v>46573</v>
      </c>
    </row>
    <row r="3723" spans="1:24">
      <c r="A3723">
        <f>HYPERLINK("https://www.philgeps.gov.ph/GEPSNONPILOT/Tender/SplashBidNoticeAbstractUI.aspx?menuIndex=3&amp;refID=7063282&amp;Result=3","7063282")</f>
        <v>0</v>
      </c>
      <c r="B3723" t="s">
        <v>1102</v>
      </c>
      <c r="C3723" t="s">
        <v>7116</v>
      </c>
      <c r="D3723" t="s">
        <v>18784</v>
      </c>
      <c r="E3723" t="s">
        <v>22254</v>
      </c>
      <c r="F3723" t="s">
        <v>32664</v>
      </c>
      <c r="G3723" t="s">
        <v>32671</v>
      </c>
      <c r="H3723" t="s">
        <v>12635</v>
      </c>
      <c r="I3723" t="s">
        <v>4439</v>
      </c>
      <c r="J3723" t="s">
        <v>35287</v>
      </c>
      <c r="K3723" t="s">
        <v>42283</v>
      </c>
      <c r="M3723" t="s">
        <v>43729</v>
      </c>
      <c r="N3723" t="s">
        <v>46569</v>
      </c>
      <c r="O3723" t="s">
        <v>46570</v>
      </c>
      <c r="P3723">
        <v>0</v>
      </c>
      <c r="Q3723">
        <v>0</v>
      </c>
      <c r="R3723" t="s">
        <v>46572</v>
      </c>
      <c r="S3723" t="s">
        <v>46689</v>
      </c>
      <c r="T3723" t="s">
        <v>48256</v>
      </c>
      <c r="U3723" t="s">
        <v>51866</v>
      </c>
      <c r="W3723" t="s">
        <v>43729</v>
      </c>
      <c r="X3723" t="s">
        <v>46573</v>
      </c>
    </row>
    <row r="3724" spans="1:24">
      <c r="A3724">
        <f>HYPERLINK("https://www.philgeps.gov.ph/GEPSNONPILOT/Tender/SplashBidNoticeAbstractUI.aspx?menuIndex=3&amp;refID=7063101&amp;Result=3","7063101")</f>
        <v>0</v>
      </c>
      <c r="B3724" t="s">
        <v>1420</v>
      </c>
      <c r="C3724" t="s">
        <v>7117</v>
      </c>
      <c r="E3724" t="s">
        <v>22255</v>
      </c>
      <c r="F3724" t="s">
        <v>32664</v>
      </c>
      <c r="G3724" t="s">
        <v>32675</v>
      </c>
      <c r="H3724" t="s">
        <v>12635</v>
      </c>
      <c r="I3724" t="s">
        <v>5589</v>
      </c>
      <c r="J3724" t="s">
        <v>33696</v>
      </c>
      <c r="K3724" t="s">
        <v>42283</v>
      </c>
      <c r="M3724" t="s">
        <v>44079</v>
      </c>
      <c r="N3724" t="s">
        <v>46569</v>
      </c>
      <c r="O3724" t="s">
        <v>46570</v>
      </c>
      <c r="P3724">
        <v>0</v>
      </c>
      <c r="Q3724">
        <v>1</v>
      </c>
      <c r="R3724" t="s">
        <v>46572</v>
      </c>
      <c r="S3724" t="s">
        <v>46689</v>
      </c>
      <c r="T3724" t="s">
        <v>48246</v>
      </c>
      <c r="U3724" t="s">
        <v>51867</v>
      </c>
      <c r="W3724" t="s">
        <v>44079</v>
      </c>
      <c r="X3724" t="s">
        <v>46573</v>
      </c>
    </row>
    <row r="3725" spans="1:24">
      <c r="A3725">
        <f>HYPERLINK("https://www.philgeps.gov.ph/GEPSNONPILOT/Tender/SplashBidNoticeAbstractUI.aspx?menuIndex=3&amp;refID=7063278&amp;Result=3","7063278")</f>
        <v>0</v>
      </c>
      <c r="B3725" t="s">
        <v>683</v>
      </c>
      <c r="C3725" t="s">
        <v>7118</v>
      </c>
      <c r="D3725" t="s">
        <v>18842</v>
      </c>
      <c r="E3725" t="s">
        <v>22256</v>
      </c>
      <c r="F3725" t="s">
        <v>32664</v>
      </c>
      <c r="G3725" t="s">
        <v>32674</v>
      </c>
      <c r="H3725" t="s">
        <v>12635</v>
      </c>
      <c r="I3725" t="s">
        <v>10361</v>
      </c>
      <c r="J3725" t="s">
        <v>34127</v>
      </c>
      <c r="K3725" t="s">
        <v>42283</v>
      </c>
      <c r="M3725" t="s">
        <v>43270</v>
      </c>
      <c r="N3725" t="s">
        <v>46569</v>
      </c>
      <c r="O3725" t="s">
        <v>46570</v>
      </c>
      <c r="P3725">
        <v>0</v>
      </c>
      <c r="Q3725">
        <v>0</v>
      </c>
      <c r="R3725" t="s">
        <v>46572</v>
      </c>
      <c r="S3725" t="s">
        <v>46689</v>
      </c>
      <c r="T3725" t="s">
        <v>48256</v>
      </c>
      <c r="U3725" t="s">
        <v>50070</v>
      </c>
      <c r="W3725" t="s">
        <v>43270</v>
      </c>
      <c r="X3725" t="s">
        <v>46573</v>
      </c>
    </row>
    <row r="3726" spans="1:24">
      <c r="A3726">
        <f>HYPERLINK("https://www.philgeps.gov.ph/GEPSNONPILOT/Tender/SplashBidNoticeAbstractUI.aspx?menuIndex=3&amp;refID=7063229&amp;Result=3","7063229")</f>
        <v>0</v>
      </c>
      <c r="B3726" t="s">
        <v>1421</v>
      </c>
      <c r="C3726" t="s">
        <v>7119</v>
      </c>
      <c r="D3726" t="s">
        <v>18826</v>
      </c>
      <c r="E3726" t="s">
        <v>22257</v>
      </c>
      <c r="F3726" t="s">
        <v>32664</v>
      </c>
      <c r="G3726" t="s">
        <v>32674</v>
      </c>
      <c r="H3726" t="s">
        <v>12635</v>
      </c>
      <c r="I3726" t="s">
        <v>5501</v>
      </c>
      <c r="J3726" t="s">
        <v>33461</v>
      </c>
      <c r="K3726" t="s">
        <v>42289</v>
      </c>
      <c r="M3726" t="s">
        <v>44080</v>
      </c>
      <c r="N3726" t="s">
        <v>46569</v>
      </c>
      <c r="O3726" t="s">
        <v>46570</v>
      </c>
      <c r="P3726">
        <v>0</v>
      </c>
      <c r="Q3726">
        <v>7</v>
      </c>
      <c r="R3726" t="s">
        <v>46572</v>
      </c>
      <c r="S3726" t="s">
        <v>46689</v>
      </c>
      <c r="T3726" t="s">
        <v>48307</v>
      </c>
      <c r="U3726" t="s">
        <v>51868</v>
      </c>
      <c r="W3726" t="s">
        <v>44080</v>
      </c>
      <c r="X3726" t="s">
        <v>46573</v>
      </c>
    </row>
    <row r="3727" spans="1:24">
      <c r="A3727">
        <f>HYPERLINK("https://www.philgeps.gov.ph/GEPSNONPILOT/Tender/SplashBidNoticeAbstractUI.aspx?menuIndex=3&amp;refID=7063281&amp;Result=3","7063281")</f>
        <v>0</v>
      </c>
      <c r="B3727" t="s">
        <v>1422</v>
      </c>
      <c r="C3727" t="s">
        <v>7120</v>
      </c>
      <c r="E3727" t="s">
        <v>22258</v>
      </c>
      <c r="F3727" t="s">
        <v>32664</v>
      </c>
      <c r="G3727" t="s">
        <v>32672</v>
      </c>
      <c r="H3727" t="s">
        <v>12635</v>
      </c>
      <c r="I3727" t="s">
        <v>6223</v>
      </c>
      <c r="J3727" t="s">
        <v>35288</v>
      </c>
      <c r="K3727" t="s">
        <v>42283</v>
      </c>
      <c r="M3727" t="s">
        <v>44081</v>
      </c>
      <c r="N3727" t="s">
        <v>46569</v>
      </c>
      <c r="O3727" t="s">
        <v>46570</v>
      </c>
      <c r="P3727">
        <v>0</v>
      </c>
      <c r="Q3727">
        <v>2</v>
      </c>
      <c r="R3727" t="s">
        <v>46572</v>
      </c>
      <c r="S3727" t="s">
        <v>46689</v>
      </c>
      <c r="T3727" t="s">
        <v>48392</v>
      </c>
      <c r="U3727" t="s">
        <v>51869</v>
      </c>
      <c r="W3727" t="s">
        <v>44081</v>
      </c>
      <c r="X3727" t="s">
        <v>46573</v>
      </c>
    </row>
    <row r="3728" spans="1:24">
      <c r="A3728">
        <f>HYPERLINK("https://www.philgeps.gov.ph/GEPSNONPILOT/Tender/SplashBidNoticeAbstractUI.aspx?menuIndex=3&amp;refID=7063286&amp;Result=3","7063286")</f>
        <v>0</v>
      </c>
      <c r="B3728" t="s">
        <v>212</v>
      </c>
      <c r="C3728" t="s">
        <v>7121</v>
      </c>
      <c r="D3728" t="s">
        <v>18844</v>
      </c>
      <c r="E3728" t="s">
        <v>22259</v>
      </c>
      <c r="F3728" t="s">
        <v>32664</v>
      </c>
      <c r="G3728" t="s">
        <v>32671</v>
      </c>
      <c r="H3728" t="s">
        <v>12635</v>
      </c>
      <c r="I3728" t="s">
        <v>32707</v>
      </c>
      <c r="J3728" t="s">
        <v>33015</v>
      </c>
      <c r="K3728" t="s">
        <v>42289</v>
      </c>
      <c r="M3728" t="s">
        <v>42776</v>
      </c>
      <c r="N3728" t="s">
        <v>46569</v>
      </c>
      <c r="O3728" t="s">
        <v>46570</v>
      </c>
      <c r="P3728">
        <v>0</v>
      </c>
      <c r="Q3728">
        <v>0</v>
      </c>
      <c r="R3728" t="s">
        <v>46572</v>
      </c>
      <c r="S3728" t="s">
        <v>46689</v>
      </c>
      <c r="T3728" t="s">
        <v>48244</v>
      </c>
      <c r="U3728" t="s">
        <v>51870</v>
      </c>
      <c r="V3728" t="s">
        <v>61668</v>
      </c>
      <c r="W3728" t="s">
        <v>42776</v>
      </c>
      <c r="X3728" t="s">
        <v>46573</v>
      </c>
    </row>
    <row r="3729" spans="1:24">
      <c r="A3729">
        <f>HYPERLINK("https://www.philgeps.gov.ph/GEPSNONPILOT/Tender/SplashBidNoticeAbstractUI.aspx?menuIndex=3&amp;refID=7063318&amp;Result=3","7063318")</f>
        <v>0</v>
      </c>
      <c r="B3729" t="s">
        <v>1423</v>
      </c>
      <c r="C3729" t="s">
        <v>7122</v>
      </c>
      <c r="E3729" t="s">
        <v>22260</v>
      </c>
      <c r="F3729" t="s">
        <v>32664</v>
      </c>
      <c r="G3729" t="s">
        <v>32672</v>
      </c>
      <c r="H3729" t="s">
        <v>32683</v>
      </c>
      <c r="I3729" t="s">
        <v>10627</v>
      </c>
      <c r="J3729" t="s">
        <v>35289</v>
      </c>
      <c r="K3729" t="s">
        <v>42308</v>
      </c>
      <c r="M3729" t="s">
        <v>44082</v>
      </c>
      <c r="N3729" t="s">
        <v>46569</v>
      </c>
      <c r="O3729" t="s">
        <v>46570</v>
      </c>
      <c r="Q3729">
        <v>1</v>
      </c>
      <c r="R3729" t="s">
        <v>46572</v>
      </c>
      <c r="S3729" t="s">
        <v>46699</v>
      </c>
      <c r="T3729" t="s">
        <v>48222</v>
      </c>
      <c r="U3729" t="s">
        <v>51871</v>
      </c>
      <c r="W3729" t="s">
        <v>44082</v>
      </c>
      <c r="X3729" t="s">
        <v>46573</v>
      </c>
    </row>
    <row r="3730" spans="1:24">
      <c r="A3730">
        <f>HYPERLINK("https://www.philgeps.gov.ph/GEPSNONPILOT/Tender/SplashBidNoticeAbstractUI.aspx?menuIndex=3&amp;refID=7063315&amp;Result=3","7063315")</f>
        <v>0</v>
      </c>
      <c r="B3730" t="s">
        <v>231</v>
      </c>
      <c r="C3730" t="s">
        <v>7123</v>
      </c>
      <c r="D3730" t="s">
        <v>18845</v>
      </c>
      <c r="E3730" t="s">
        <v>7123</v>
      </c>
      <c r="F3730" t="s">
        <v>32664</v>
      </c>
      <c r="G3730" t="s">
        <v>32674</v>
      </c>
      <c r="H3730" t="s">
        <v>12635</v>
      </c>
      <c r="I3730" t="s">
        <v>4333</v>
      </c>
      <c r="J3730" t="s">
        <v>35290</v>
      </c>
      <c r="K3730" t="s">
        <v>42281</v>
      </c>
      <c r="M3730" t="s">
        <v>44083</v>
      </c>
      <c r="N3730" t="s">
        <v>46569</v>
      </c>
      <c r="O3730" t="s">
        <v>46570</v>
      </c>
      <c r="P3730">
        <v>0</v>
      </c>
      <c r="Q3730">
        <v>3</v>
      </c>
      <c r="R3730" t="s">
        <v>46572</v>
      </c>
      <c r="S3730" t="s">
        <v>46689</v>
      </c>
      <c r="T3730" t="s">
        <v>48487</v>
      </c>
      <c r="U3730" t="s">
        <v>51872</v>
      </c>
      <c r="W3730" t="s">
        <v>44083</v>
      </c>
      <c r="X3730" t="s">
        <v>46573</v>
      </c>
    </row>
    <row r="3731" spans="1:24">
      <c r="A3731">
        <f>HYPERLINK("https://www.philgeps.gov.ph/GEPSNONPILOT/Tender/SplashBidNoticeAbstractUI.aspx?menuIndex=3&amp;refID=7063277&amp;Result=3","7063277")</f>
        <v>0</v>
      </c>
      <c r="B3731" t="s">
        <v>460</v>
      </c>
      <c r="C3731" t="s">
        <v>7124</v>
      </c>
      <c r="D3731" t="s">
        <v>18806</v>
      </c>
      <c r="E3731" t="s">
        <v>22261</v>
      </c>
      <c r="F3731" t="s">
        <v>32664</v>
      </c>
      <c r="G3731" t="s">
        <v>32672</v>
      </c>
      <c r="H3731" t="s">
        <v>12635</v>
      </c>
      <c r="I3731" t="s">
        <v>9486</v>
      </c>
      <c r="J3731" t="s">
        <v>35291</v>
      </c>
      <c r="K3731" t="s">
        <v>42281</v>
      </c>
      <c r="M3731" t="s">
        <v>43035</v>
      </c>
      <c r="N3731" t="s">
        <v>46569</v>
      </c>
      <c r="O3731" t="s">
        <v>46570</v>
      </c>
      <c r="P3731">
        <v>0</v>
      </c>
      <c r="Q3731">
        <v>3</v>
      </c>
      <c r="R3731" t="s">
        <v>46572</v>
      </c>
      <c r="S3731" t="s">
        <v>46689</v>
      </c>
      <c r="T3731" t="s">
        <v>48270</v>
      </c>
      <c r="U3731" t="s">
        <v>51873</v>
      </c>
      <c r="V3731" t="s">
        <v>61876</v>
      </c>
      <c r="W3731" t="s">
        <v>43035</v>
      </c>
      <c r="X3731" t="s">
        <v>46573</v>
      </c>
    </row>
    <row r="3732" spans="1:24">
      <c r="A3732">
        <f>HYPERLINK("https://www.philgeps.gov.ph/GEPSNONPILOT/Tender/SplashBidNoticeAbstractUI.aspx?menuIndex=3&amp;refID=7063028&amp;Result=3","7063028")</f>
        <v>0</v>
      </c>
      <c r="B3732" t="s">
        <v>1353</v>
      </c>
      <c r="C3732" t="s">
        <v>7125</v>
      </c>
      <c r="D3732" t="s">
        <v>18815</v>
      </c>
      <c r="E3732" t="s">
        <v>22262</v>
      </c>
      <c r="F3732" t="s">
        <v>32664</v>
      </c>
      <c r="G3732" t="s">
        <v>32674</v>
      </c>
      <c r="H3732" t="s">
        <v>12635</v>
      </c>
      <c r="I3732" t="s">
        <v>5589</v>
      </c>
      <c r="J3732" t="s">
        <v>35292</v>
      </c>
      <c r="K3732" t="s">
        <v>42303</v>
      </c>
      <c r="M3732" t="s">
        <v>44005</v>
      </c>
      <c r="N3732" t="s">
        <v>46569</v>
      </c>
      <c r="O3732" t="s">
        <v>46570</v>
      </c>
      <c r="P3732">
        <v>0</v>
      </c>
      <c r="Q3732">
        <v>3</v>
      </c>
      <c r="R3732" t="s">
        <v>46572</v>
      </c>
      <c r="S3732" t="s">
        <v>46689</v>
      </c>
      <c r="T3732" t="s">
        <v>48427</v>
      </c>
      <c r="U3732" t="s">
        <v>51874</v>
      </c>
      <c r="W3732" t="s">
        <v>44005</v>
      </c>
      <c r="X3732" t="s">
        <v>46573</v>
      </c>
    </row>
    <row r="3733" spans="1:24">
      <c r="A3733">
        <f>HYPERLINK("https://www.philgeps.gov.ph/GEPSNONPILOT/Tender/SplashBidNoticeAbstractUI.aspx?menuIndex=3&amp;refID=7063312&amp;Result=3","7063312")</f>
        <v>0</v>
      </c>
      <c r="B3733" t="s">
        <v>1424</v>
      </c>
      <c r="C3733" t="s">
        <v>7126</v>
      </c>
      <c r="D3733" t="s">
        <v>18786</v>
      </c>
      <c r="E3733" t="s">
        <v>19681</v>
      </c>
      <c r="F3733" t="s">
        <v>32664</v>
      </c>
      <c r="G3733" t="s">
        <v>32672</v>
      </c>
      <c r="H3733" t="s">
        <v>12635</v>
      </c>
      <c r="I3733" t="s">
        <v>11464</v>
      </c>
      <c r="J3733" t="s">
        <v>35293</v>
      </c>
      <c r="K3733" t="s">
        <v>42298</v>
      </c>
      <c r="M3733" t="s">
        <v>44084</v>
      </c>
      <c r="N3733" t="s">
        <v>46569</v>
      </c>
      <c r="O3733" t="s">
        <v>46570</v>
      </c>
      <c r="P3733">
        <v>0</v>
      </c>
      <c r="Q3733">
        <v>2</v>
      </c>
      <c r="R3733" t="s">
        <v>46572</v>
      </c>
      <c r="S3733" t="s">
        <v>46689</v>
      </c>
      <c r="T3733" t="s">
        <v>48257</v>
      </c>
      <c r="U3733" t="s">
        <v>51875</v>
      </c>
      <c r="W3733" t="s">
        <v>44084</v>
      </c>
      <c r="X3733" t="s">
        <v>46573</v>
      </c>
    </row>
    <row r="3734" spans="1:24">
      <c r="A3734">
        <f>HYPERLINK("https://www.philgeps.gov.ph/GEPSNONPILOT/Tender/SplashBidNoticeAbstractUI.aspx?menuIndex=3&amp;refID=7063310&amp;Result=3","7063310")</f>
        <v>0</v>
      </c>
      <c r="B3734" t="s">
        <v>1397</v>
      </c>
      <c r="C3734" t="s">
        <v>7037</v>
      </c>
      <c r="D3734" t="s">
        <v>18803</v>
      </c>
      <c r="E3734" t="s">
        <v>22263</v>
      </c>
      <c r="F3734" t="s">
        <v>32664</v>
      </c>
      <c r="G3734" t="s">
        <v>32671</v>
      </c>
      <c r="H3734" t="s">
        <v>12635</v>
      </c>
      <c r="I3734" t="s">
        <v>32719</v>
      </c>
      <c r="J3734" t="s">
        <v>32898</v>
      </c>
      <c r="K3734" t="s">
        <v>42281</v>
      </c>
      <c r="M3734" t="s">
        <v>44054</v>
      </c>
      <c r="N3734" t="s">
        <v>46569</v>
      </c>
      <c r="O3734" t="s">
        <v>46570</v>
      </c>
      <c r="P3734">
        <v>0</v>
      </c>
      <c r="Q3734">
        <v>1</v>
      </c>
      <c r="R3734" t="s">
        <v>46572</v>
      </c>
      <c r="S3734" t="s">
        <v>46689</v>
      </c>
      <c r="T3734" t="s">
        <v>48356</v>
      </c>
      <c r="U3734" t="s">
        <v>51803</v>
      </c>
      <c r="W3734" t="s">
        <v>44054</v>
      </c>
      <c r="X3734" t="s">
        <v>46573</v>
      </c>
    </row>
    <row r="3735" spans="1:24">
      <c r="A3735">
        <f>HYPERLINK("https://www.philgeps.gov.ph/GEPSNONPILOT/Tender/SplashBidNoticeAbstractUI.aspx?menuIndex=3&amp;refID=7063308&amp;Result=3","7063308")</f>
        <v>0</v>
      </c>
      <c r="B3735" t="s">
        <v>1425</v>
      </c>
      <c r="C3735" t="s">
        <v>7127</v>
      </c>
      <c r="D3735" t="s">
        <v>18791</v>
      </c>
      <c r="E3735" t="s">
        <v>22264</v>
      </c>
      <c r="F3735" t="s">
        <v>32664</v>
      </c>
      <c r="G3735" t="s">
        <v>32671</v>
      </c>
      <c r="H3735" t="s">
        <v>12635</v>
      </c>
      <c r="I3735" t="s">
        <v>32706</v>
      </c>
      <c r="J3735" t="s">
        <v>35294</v>
      </c>
      <c r="K3735" t="s">
        <v>42281</v>
      </c>
      <c r="M3735" t="s">
        <v>44085</v>
      </c>
      <c r="N3735" t="s">
        <v>46569</v>
      </c>
      <c r="O3735" t="s">
        <v>46570</v>
      </c>
      <c r="P3735">
        <v>0</v>
      </c>
      <c r="Q3735">
        <v>0</v>
      </c>
      <c r="R3735" t="s">
        <v>46572</v>
      </c>
      <c r="S3735" t="s">
        <v>46689</v>
      </c>
      <c r="T3735" t="s">
        <v>48217</v>
      </c>
      <c r="U3735" t="s">
        <v>51876</v>
      </c>
      <c r="V3735" t="s">
        <v>62003</v>
      </c>
      <c r="W3735" t="s">
        <v>44085</v>
      </c>
      <c r="X3735" t="s">
        <v>46573</v>
      </c>
    </row>
    <row r="3736" spans="1:24">
      <c r="A3736">
        <f>HYPERLINK("https://www.philgeps.gov.ph/GEPSNONPILOT/Tender/SplashBidNoticeAbstractUI.aspx?menuIndex=3&amp;refID=7063307&amp;Result=3","7063307")</f>
        <v>0</v>
      </c>
      <c r="B3736" t="s">
        <v>1410</v>
      </c>
      <c r="C3736" t="s">
        <v>7128</v>
      </c>
      <c r="D3736" t="s">
        <v>18803</v>
      </c>
      <c r="E3736" t="s">
        <v>22265</v>
      </c>
      <c r="F3736" t="s">
        <v>32664</v>
      </c>
      <c r="G3736" t="s">
        <v>32671</v>
      </c>
      <c r="H3736" t="s">
        <v>12635</v>
      </c>
      <c r="I3736" t="s">
        <v>6628</v>
      </c>
      <c r="J3736" t="s">
        <v>35295</v>
      </c>
      <c r="K3736" t="s">
        <v>42283</v>
      </c>
      <c r="M3736" t="s">
        <v>44067</v>
      </c>
      <c r="N3736" t="s">
        <v>46569</v>
      </c>
      <c r="O3736" t="s">
        <v>46570</v>
      </c>
      <c r="P3736">
        <v>0</v>
      </c>
      <c r="Q3736">
        <v>0</v>
      </c>
      <c r="R3736" t="s">
        <v>46572</v>
      </c>
      <c r="S3736" t="s">
        <v>46689</v>
      </c>
      <c r="T3736" t="s">
        <v>48344</v>
      </c>
      <c r="U3736" t="s">
        <v>51877</v>
      </c>
      <c r="V3736" t="s">
        <v>61998</v>
      </c>
      <c r="W3736" t="s">
        <v>44067</v>
      </c>
      <c r="X3736" t="s">
        <v>46573</v>
      </c>
    </row>
    <row r="3737" spans="1:24">
      <c r="A3737">
        <f>HYPERLINK("https://www.philgeps.gov.ph/GEPSNONPILOT/Tender/SplashBidNoticeAbstractUI.aspx?menuIndex=3&amp;refID=7063313&amp;Result=3","7063313")</f>
        <v>0</v>
      </c>
      <c r="B3737" t="s">
        <v>1342</v>
      </c>
      <c r="C3737" t="s">
        <v>7129</v>
      </c>
      <c r="D3737" t="s">
        <v>18787</v>
      </c>
      <c r="E3737" t="s">
        <v>22266</v>
      </c>
      <c r="F3737" t="s">
        <v>32664</v>
      </c>
      <c r="G3737" t="s">
        <v>32671</v>
      </c>
      <c r="H3737" t="s">
        <v>12635</v>
      </c>
      <c r="I3737" t="s">
        <v>32696</v>
      </c>
      <c r="J3737" t="s">
        <v>33128</v>
      </c>
      <c r="K3737" t="s">
        <v>42283</v>
      </c>
      <c r="M3737" t="s">
        <v>43992</v>
      </c>
      <c r="N3737" t="s">
        <v>46569</v>
      </c>
      <c r="O3737" t="s">
        <v>46570</v>
      </c>
      <c r="P3737">
        <v>0</v>
      </c>
      <c r="Q3737">
        <v>1</v>
      </c>
      <c r="R3737" t="s">
        <v>46572</v>
      </c>
      <c r="S3737" t="s">
        <v>46689</v>
      </c>
      <c r="T3737" t="s">
        <v>48293</v>
      </c>
      <c r="U3737" t="s">
        <v>51749</v>
      </c>
      <c r="W3737" t="s">
        <v>43992</v>
      </c>
      <c r="X3737" t="s">
        <v>46573</v>
      </c>
    </row>
    <row r="3738" spans="1:24">
      <c r="A3738">
        <f>HYPERLINK("https://www.philgeps.gov.ph/GEPSNONPILOT/Tender/SplashBidNoticeAbstractUI.aspx?menuIndex=3&amp;refID=7063279&amp;Result=3","7063279")</f>
        <v>0</v>
      </c>
      <c r="B3738" t="s">
        <v>1410</v>
      </c>
      <c r="C3738" t="s">
        <v>7130</v>
      </c>
      <c r="D3738" t="s">
        <v>18803</v>
      </c>
      <c r="E3738" t="s">
        <v>22267</v>
      </c>
      <c r="F3738" t="s">
        <v>32664</v>
      </c>
      <c r="G3738" t="s">
        <v>32671</v>
      </c>
      <c r="H3738" t="s">
        <v>12635</v>
      </c>
      <c r="I3738" t="s">
        <v>32689</v>
      </c>
      <c r="J3738" t="s">
        <v>32824</v>
      </c>
      <c r="K3738" t="s">
        <v>42283</v>
      </c>
      <c r="M3738" t="s">
        <v>44067</v>
      </c>
      <c r="N3738" t="s">
        <v>46569</v>
      </c>
      <c r="O3738" t="s">
        <v>46570</v>
      </c>
      <c r="P3738">
        <v>0</v>
      </c>
      <c r="Q3738">
        <v>0</v>
      </c>
      <c r="R3738" t="s">
        <v>46572</v>
      </c>
      <c r="S3738" t="s">
        <v>46689</v>
      </c>
      <c r="T3738" t="s">
        <v>48256</v>
      </c>
      <c r="U3738" t="s">
        <v>51878</v>
      </c>
      <c r="V3738" t="s">
        <v>61998</v>
      </c>
      <c r="W3738" t="s">
        <v>44067</v>
      </c>
      <c r="X3738" t="s">
        <v>46573</v>
      </c>
    </row>
    <row r="3739" spans="1:24">
      <c r="A3739">
        <f>HYPERLINK("https://www.philgeps.gov.ph/GEPSNONPILOT/Tender/SplashBidNoticeAbstractUI.aspx?menuIndex=3&amp;refID=7063303&amp;Result=3","7063303")</f>
        <v>0</v>
      </c>
      <c r="B3739" t="s">
        <v>1210</v>
      </c>
      <c r="C3739" t="s">
        <v>7131</v>
      </c>
      <c r="D3739" t="s">
        <v>18788</v>
      </c>
      <c r="E3739" t="s">
        <v>22268</v>
      </c>
      <c r="F3739" t="s">
        <v>32664</v>
      </c>
      <c r="G3739" t="s">
        <v>32672</v>
      </c>
      <c r="H3739" t="s">
        <v>32683</v>
      </c>
      <c r="I3739" t="s">
        <v>10627</v>
      </c>
      <c r="J3739" t="s">
        <v>35296</v>
      </c>
      <c r="K3739" t="s">
        <v>42283</v>
      </c>
      <c r="M3739" t="s">
        <v>43848</v>
      </c>
      <c r="N3739" t="s">
        <v>46569</v>
      </c>
      <c r="O3739" t="s">
        <v>46570</v>
      </c>
      <c r="P3739">
        <v>0</v>
      </c>
      <c r="Q3739">
        <v>0</v>
      </c>
      <c r="R3739" t="s">
        <v>46572</v>
      </c>
      <c r="S3739" t="s">
        <v>46689</v>
      </c>
      <c r="T3739" t="s">
        <v>48226</v>
      </c>
      <c r="U3739" t="s">
        <v>51362</v>
      </c>
      <c r="W3739" t="s">
        <v>43848</v>
      </c>
      <c r="X3739" t="s">
        <v>46573</v>
      </c>
    </row>
    <row r="3740" spans="1:24">
      <c r="A3740">
        <f>HYPERLINK("https://www.philgeps.gov.ph/GEPSNONPILOT/Tender/SplashBidNoticeAbstractUI.aspx?menuIndex=3&amp;refID=7063322&amp;Result=3","7063322")</f>
        <v>0</v>
      </c>
      <c r="B3740" t="s">
        <v>238</v>
      </c>
      <c r="C3740" t="s">
        <v>7132</v>
      </c>
      <c r="D3740" t="s">
        <v>18798</v>
      </c>
      <c r="E3740" t="s">
        <v>22269</v>
      </c>
      <c r="F3740" t="s">
        <v>32664</v>
      </c>
      <c r="G3740" t="s">
        <v>32675</v>
      </c>
      <c r="H3740" t="s">
        <v>12635</v>
      </c>
      <c r="I3740" t="s">
        <v>4439</v>
      </c>
      <c r="J3740" t="s">
        <v>33175</v>
      </c>
      <c r="K3740" t="s">
        <v>42332</v>
      </c>
      <c r="M3740" t="s">
        <v>42909</v>
      </c>
      <c r="N3740" t="s">
        <v>46569</v>
      </c>
      <c r="O3740" t="s">
        <v>46570</v>
      </c>
      <c r="P3740">
        <v>0</v>
      </c>
      <c r="Q3740">
        <v>0</v>
      </c>
      <c r="R3740" t="s">
        <v>46572</v>
      </c>
      <c r="S3740" t="s">
        <v>46689</v>
      </c>
      <c r="T3740" t="s">
        <v>48219</v>
      </c>
      <c r="U3740" t="s">
        <v>51879</v>
      </c>
      <c r="V3740" t="s">
        <v>62004</v>
      </c>
      <c r="W3740" t="s">
        <v>42909</v>
      </c>
      <c r="X3740" t="s">
        <v>46573</v>
      </c>
    </row>
    <row r="3741" spans="1:24">
      <c r="A3741">
        <f>HYPERLINK("https://www.philgeps.gov.ph/GEPSNONPILOT/Tender/SplashBidNoticeAbstractUI.aspx?menuIndex=3&amp;refID=7063314&amp;Result=3","7063314")</f>
        <v>0</v>
      </c>
      <c r="B3741" t="s">
        <v>908</v>
      </c>
      <c r="C3741" t="s">
        <v>7133</v>
      </c>
      <c r="E3741" t="s">
        <v>22270</v>
      </c>
      <c r="F3741" t="s">
        <v>32664</v>
      </c>
      <c r="G3741" t="s">
        <v>32673</v>
      </c>
      <c r="H3741" t="s">
        <v>12635</v>
      </c>
      <c r="I3741" t="s">
        <v>32699</v>
      </c>
      <c r="J3741" t="s">
        <v>35297</v>
      </c>
      <c r="K3741" t="s">
        <v>42281</v>
      </c>
      <c r="M3741" t="s">
        <v>43514</v>
      </c>
      <c r="N3741" t="s">
        <v>46569</v>
      </c>
      <c r="O3741" t="s">
        <v>46570</v>
      </c>
      <c r="P3741">
        <v>0</v>
      </c>
      <c r="Q3741">
        <v>0</v>
      </c>
      <c r="R3741" t="s">
        <v>46572</v>
      </c>
      <c r="S3741" t="s">
        <v>46689</v>
      </c>
      <c r="T3741" t="s">
        <v>48220</v>
      </c>
      <c r="U3741" t="s">
        <v>51880</v>
      </c>
      <c r="V3741" t="s">
        <v>61845</v>
      </c>
      <c r="W3741" t="s">
        <v>43514</v>
      </c>
      <c r="X3741" t="s">
        <v>46573</v>
      </c>
    </row>
    <row r="3742" spans="1:24">
      <c r="A3742">
        <f>HYPERLINK("https://www.philgeps.gov.ph/GEPSNONPILOT/Tender/SplashBidNoticeAbstractUI.aspx?menuIndex=3&amp;refID=7063342&amp;Result=3","7063342")</f>
        <v>0</v>
      </c>
      <c r="B3742" t="s">
        <v>471</v>
      </c>
      <c r="C3742" t="s">
        <v>7134</v>
      </c>
      <c r="D3742" t="s">
        <v>18785</v>
      </c>
      <c r="E3742" t="s">
        <v>22271</v>
      </c>
      <c r="F3742" t="s">
        <v>32664</v>
      </c>
      <c r="G3742" t="s">
        <v>32674</v>
      </c>
      <c r="H3742" t="s">
        <v>12635</v>
      </c>
      <c r="I3742" t="s">
        <v>6168</v>
      </c>
      <c r="J3742" t="s">
        <v>35298</v>
      </c>
      <c r="K3742" t="s">
        <v>42283</v>
      </c>
      <c r="M3742" t="s">
        <v>43046</v>
      </c>
      <c r="N3742" t="s">
        <v>46569</v>
      </c>
      <c r="O3742" t="s">
        <v>46570</v>
      </c>
      <c r="P3742">
        <v>0</v>
      </c>
      <c r="Q3742">
        <v>0</v>
      </c>
      <c r="R3742" t="s">
        <v>46572</v>
      </c>
      <c r="S3742" t="s">
        <v>46689</v>
      </c>
      <c r="T3742" t="s">
        <v>48267</v>
      </c>
      <c r="U3742" t="s">
        <v>51881</v>
      </c>
      <c r="W3742" t="s">
        <v>43046</v>
      </c>
      <c r="X3742" t="s">
        <v>46573</v>
      </c>
    </row>
    <row r="3743" spans="1:24">
      <c r="A3743">
        <f>HYPERLINK("https://www.philgeps.gov.ph/GEPSNONPILOT/Tender/SplashBidNoticeAbstractUI.aspx?menuIndex=3&amp;refID=7063319&amp;Result=3","7063319")</f>
        <v>0</v>
      </c>
      <c r="B3743" t="s">
        <v>1394</v>
      </c>
      <c r="C3743" t="s">
        <v>4205</v>
      </c>
      <c r="D3743" t="s">
        <v>18842</v>
      </c>
      <c r="E3743" t="s">
        <v>22272</v>
      </c>
      <c r="F3743" t="s">
        <v>32664</v>
      </c>
      <c r="G3743" t="s">
        <v>32671</v>
      </c>
      <c r="H3743" t="s">
        <v>12635</v>
      </c>
      <c r="I3743" t="s">
        <v>4205</v>
      </c>
      <c r="J3743" t="s">
        <v>35299</v>
      </c>
      <c r="K3743" t="s">
        <v>42284</v>
      </c>
      <c r="M3743" t="s">
        <v>44050</v>
      </c>
      <c r="N3743" t="s">
        <v>46569</v>
      </c>
      <c r="O3743" t="s">
        <v>46570</v>
      </c>
      <c r="P3743">
        <v>0</v>
      </c>
      <c r="Q3743">
        <v>0</v>
      </c>
      <c r="R3743" t="s">
        <v>46572</v>
      </c>
      <c r="S3743" t="s">
        <v>46689</v>
      </c>
      <c r="T3743" t="s">
        <v>48217</v>
      </c>
      <c r="U3743" t="s">
        <v>49881</v>
      </c>
      <c r="W3743" t="s">
        <v>44050</v>
      </c>
      <c r="X3743" t="s">
        <v>46573</v>
      </c>
    </row>
    <row r="3744" spans="1:24">
      <c r="A3744">
        <f>HYPERLINK("https://www.philgeps.gov.ph/GEPSNONPILOT/Tender/SplashBidNoticeAbstractUI.aspx?menuIndex=3&amp;refID=7063339&amp;Result=3","7063339")</f>
        <v>0</v>
      </c>
      <c r="B3744" t="s">
        <v>1423</v>
      </c>
      <c r="C3744" t="s">
        <v>7135</v>
      </c>
      <c r="E3744" t="s">
        <v>22273</v>
      </c>
      <c r="F3744" t="s">
        <v>32664</v>
      </c>
      <c r="G3744" t="s">
        <v>32672</v>
      </c>
      <c r="H3744" t="s">
        <v>32683</v>
      </c>
      <c r="I3744" t="s">
        <v>10627</v>
      </c>
      <c r="J3744" t="s">
        <v>35300</v>
      </c>
      <c r="K3744" t="s">
        <v>42290</v>
      </c>
      <c r="M3744" t="s">
        <v>44082</v>
      </c>
      <c r="N3744" t="s">
        <v>46569</v>
      </c>
      <c r="O3744" t="s">
        <v>46570</v>
      </c>
      <c r="Q3744">
        <v>0</v>
      </c>
      <c r="R3744" t="s">
        <v>46572</v>
      </c>
      <c r="S3744" t="s">
        <v>46700</v>
      </c>
      <c r="T3744" t="s">
        <v>48222</v>
      </c>
      <c r="U3744" t="s">
        <v>51882</v>
      </c>
      <c r="W3744" t="s">
        <v>44082</v>
      </c>
      <c r="X3744" t="s">
        <v>46573</v>
      </c>
    </row>
    <row r="3745" spans="1:24">
      <c r="A3745">
        <f>HYPERLINK("https://www.philgeps.gov.ph/GEPSNONPILOT/Tender/SplashBidNoticeAbstractUI.aspx?menuIndex=3&amp;refID=7063337&amp;Result=3","7063337")</f>
        <v>0</v>
      </c>
      <c r="B3745" t="s">
        <v>908</v>
      </c>
      <c r="C3745" t="s">
        <v>7136</v>
      </c>
      <c r="E3745" t="s">
        <v>22274</v>
      </c>
      <c r="F3745" t="s">
        <v>32664</v>
      </c>
      <c r="G3745" t="s">
        <v>32673</v>
      </c>
      <c r="H3745" t="s">
        <v>12635</v>
      </c>
      <c r="I3745" t="s">
        <v>32698</v>
      </c>
      <c r="J3745" t="s">
        <v>35301</v>
      </c>
      <c r="K3745" t="s">
        <v>42281</v>
      </c>
      <c r="M3745" t="s">
        <v>43514</v>
      </c>
      <c r="N3745" t="s">
        <v>46569</v>
      </c>
      <c r="O3745" t="s">
        <v>46570</v>
      </c>
      <c r="P3745">
        <v>0</v>
      </c>
      <c r="Q3745">
        <v>2</v>
      </c>
      <c r="R3745" t="s">
        <v>46572</v>
      </c>
      <c r="S3745" t="s">
        <v>46689</v>
      </c>
      <c r="T3745" t="s">
        <v>48220</v>
      </c>
      <c r="U3745" t="s">
        <v>51883</v>
      </c>
      <c r="V3745" t="s">
        <v>61845</v>
      </c>
      <c r="W3745" t="s">
        <v>43514</v>
      </c>
      <c r="X3745" t="s">
        <v>46573</v>
      </c>
    </row>
    <row r="3746" spans="1:24">
      <c r="A3746">
        <f>HYPERLINK("https://www.philgeps.gov.ph/GEPSNONPILOT/Tender/SplashBidNoticeAbstractUI.aspx?menuIndex=3&amp;refID=7063306&amp;Result=3","7063306")</f>
        <v>0</v>
      </c>
      <c r="B3746" t="s">
        <v>1380</v>
      </c>
      <c r="C3746" t="s">
        <v>7137</v>
      </c>
      <c r="D3746" t="s">
        <v>18809</v>
      </c>
      <c r="E3746" t="s">
        <v>22275</v>
      </c>
      <c r="F3746" t="s">
        <v>32664</v>
      </c>
      <c r="G3746" t="s">
        <v>32672</v>
      </c>
      <c r="H3746" t="s">
        <v>12635</v>
      </c>
      <c r="I3746" t="s">
        <v>6118</v>
      </c>
      <c r="J3746" t="s">
        <v>35302</v>
      </c>
      <c r="K3746" t="s">
        <v>42297</v>
      </c>
      <c r="L3746" t="s">
        <v>1380</v>
      </c>
      <c r="M3746" t="s">
        <v>44035</v>
      </c>
      <c r="N3746" t="s">
        <v>46569</v>
      </c>
      <c r="O3746" t="s">
        <v>46570</v>
      </c>
      <c r="P3746">
        <v>0</v>
      </c>
      <c r="Q3746">
        <v>2</v>
      </c>
      <c r="R3746" t="s">
        <v>46572</v>
      </c>
      <c r="S3746" t="s">
        <v>46689</v>
      </c>
      <c r="T3746" t="s">
        <v>48226</v>
      </c>
      <c r="U3746" t="s">
        <v>51884</v>
      </c>
      <c r="V3746" t="s">
        <v>61989</v>
      </c>
      <c r="W3746" t="s">
        <v>44035</v>
      </c>
      <c r="X3746" t="s">
        <v>46573</v>
      </c>
    </row>
    <row r="3747" spans="1:24">
      <c r="A3747">
        <f>HYPERLINK("https://www.philgeps.gov.ph/GEPSNONPILOT/Tender/SplashBidNoticeAbstractUI.aspx?menuIndex=3&amp;refID=7063283&amp;Result=3","7063283")</f>
        <v>0</v>
      </c>
      <c r="B3747" t="s">
        <v>238</v>
      </c>
      <c r="C3747" t="s">
        <v>7138</v>
      </c>
      <c r="D3747" t="s">
        <v>18798</v>
      </c>
      <c r="E3747" t="s">
        <v>22276</v>
      </c>
      <c r="F3747" t="s">
        <v>32664</v>
      </c>
      <c r="G3747" t="s">
        <v>32675</v>
      </c>
      <c r="H3747" t="s">
        <v>12635</v>
      </c>
      <c r="I3747" t="s">
        <v>8730</v>
      </c>
      <c r="J3747" t="s">
        <v>33163</v>
      </c>
      <c r="K3747" t="s">
        <v>42332</v>
      </c>
      <c r="M3747" t="s">
        <v>44071</v>
      </c>
      <c r="N3747" t="s">
        <v>46569</v>
      </c>
      <c r="O3747" t="s">
        <v>46570</v>
      </c>
      <c r="P3747">
        <v>0</v>
      </c>
      <c r="Q3747">
        <v>4</v>
      </c>
      <c r="R3747" t="s">
        <v>46572</v>
      </c>
      <c r="S3747" t="s">
        <v>46689</v>
      </c>
      <c r="T3747" t="s">
        <v>48219</v>
      </c>
      <c r="U3747" t="s">
        <v>51885</v>
      </c>
      <c r="W3747" t="s">
        <v>44071</v>
      </c>
      <c r="X3747" t="s">
        <v>46573</v>
      </c>
    </row>
    <row r="3748" spans="1:24">
      <c r="A3748">
        <f>HYPERLINK("https://www.philgeps.gov.ph/GEPSNONPILOT/Tender/SplashBidNoticeAbstractUI.aspx?menuIndex=3&amp;refID=7063343&amp;Result=3","7063343")</f>
        <v>0</v>
      </c>
      <c r="B3748" t="s">
        <v>1426</v>
      </c>
      <c r="C3748" t="s">
        <v>7139</v>
      </c>
      <c r="D3748" t="s">
        <v>18821</v>
      </c>
      <c r="E3748" t="s">
        <v>22277</v>
      </c>
      <c r="F3748" t="s">
        <v>32664</v>
      </c>
      <c r="G3748" t="s">
        <v>32671</v>
      </c>
      <c r="H3748" t="s">
        <v>12635</v>
      </c>
      <c r="I3748" t="s">
        <v>10590</v>
      </c>
      <c r="J3748" t="s">
        <v>35303</v>
      </c>
      <c r="K3748" t="s">
        <v>42311</v>
      </c>
      <c r="M3748" t="s">
        <v>44086</v>
      </c>
      <c r="N3748" t="s">
        <v>46569</v>
      </c>
      <c r="O3748" t="s">
        <v>46570</v>
      </c>
      <c r="P3748">
        <v>0</v>
      </c>
      <c r="Q3748">
        <v>0</v>
      </c>
      <c r="R3748" t="s">
        <v>46572</v>
      </c>
      <c r="S3748" t="s">
        <v>46689</v>
      </c>
      <c r="T3748" t="s">
        <v>48248</v>
      </c>
      <c r="U3748" t="s">
        <v>51886</v>
      </c>
      <c r="W3748" t="s">
        <v>44086</v>
      </c>
      <c r="X3748" t="s">
        <v>46573</v>
      </c>
    </row>
    <row r="3749" spans="1:24">
      <c r="A3749">
        <f>HYPERLINK("https://www.philgeps.gov.ph/GEPSNONPILOT/Tender/SplashBidNoticeAbstractUI.aspx?menuIndex=3&amp;refID=7063338&amp;Result=3","7063338")</f>
        <v>0</v>
      </c>
      <c r="B3749" t="s">
        <v>1215</v>
      </c>
      <c r="C3749" t="s">
        <v>7140</v>
      </c>
      <c r="D3749" t="s">
        <v>18827</v>
      </c>
      <c r="E3749" t="s">
        <v>22278</v>
      </c>
      <c r="F3749" t="s">
        <v>32664</v>
      </c>
      <c r="G3749" t="s">
        <v>32672</v>
      </c>
      <c r="H3749" t="s">
        <v>12635</v>
      </c>
      <c r="I3749" t="s">
        <v>32704</v>
      </c>
      <c r="J3749" t="s">
        <v>32837</v>
      </c>
      <c r="K3749" t="s">
        <v>42305</v>
      </c>
      <c r="M3749" t="s">
        <v>43853</v>
      </c>
      <c r="N3749" t="s">
        <v>46569</v>
      </c>
      <c r="O3749" t="s">
        <v>46570</v>
      </c>
      <c r="P3749">
        <v>0</v>
      </c>
      <c r="Q3749">
        <v>1</v>
      </c>
      <c r="R3749" t="s">
        <v>46572</v>
      </c>
      <c r="S3749" t="s">
        <v>46689</v>
      </c>
      <c r="T3749" t="s">
        <v>48297</v>
      </c>
      <c r="U3749" t="s">
        <v>51887</v>
      </c>
      <c r="W3749" t="s">
        <v>43853</v>
      </c>
      <c r="X3749" t="s">
        <v>46573</v>
      </c>
    </row>
    <row r="3750" spans="1:24">
      <c r="A3750">
        <f>HYPERLINK("https://www.philgeps.gov.ph/GEPSNONPILOT/Tender/SplashBidNoticeAbstractUI.aspx?menuIndex=3&amp;refID=7063333&amp;Result=3","7063333")</f>
        <v>0</v>
      </c>
      <c r="B3750" t="s">
        <v>325</v>
      </c>
      <c r="C3750" t="s">
        <v>7141</v>
      </c>
      <c r="D3750" t="s">
        <v>18848</v>
      </c>
      <c r="E3750" t="s">
        <v>22279</v>
      </c>
      <c r="F3750" t="s">
        <v>32664</v>
      </c>
      <c r="G3750" t="s">
        <v>32671</v>
      </c>
      <c r="H3750" t="s">
        <v>12635</v>
      </c>
      <c r="I3750" t="s">
        <v>32684</v>
      </c>
      <c r="J3750" t="s">
        <v>33069</v>
      </c>
      <c r="K3750" t="s">
        <v>42297</v>
      </c>
      <c r="M3750" t="s">
        <v>42893</v>
      </c>
      <c r="N3750" t="s">
        <v>46569</v>
      </c>
      <c r="O3750" t="s">
        <v>46570</v>
      </c>
      <c r="P3750">
        <v>0</v>
      </c>
      <c r="Q3750">
        <v>2</v>
      </c>
      <c r="R3750" t="s">
        <v>46572</v>
      </c>
      <c r="S3750" t="s">
        <v>46689</v>
      </c>
      <c r="T3750" t="s">
        <v>48256</v>
      </c>
      <c r="U3750" t="s">
        <v>51888</v>
      </c>
      <c r="V3750" t="s">
        <v>61996</v>
      </c>
      <c r="W3750" t="s">
        <v>42893</v>
      </c>
      <c r="X3750" t="s">
        <v>46573</v>
      </c>
    </row>
    <row r="3751" spans="1:24">
      <c r="A3751">
        <f>HYPERLINK("https://www.philgeps.gov.ph/GEPSNONPILOT/Tender/SplashBidNoticeAbstractUI.aspx?menuIndex=3&amp;refID=7063335&amp;Result=3","7063335")</f>
        <v>0</v>
      </c>
      <c r="B3751" t="s">
        <v>231</v>
      </c>
      <c r="C3751" t="s">
        <v>7142</v>
      </c>
      <c r="D3751" t="s">
        <v>18845</v>
      </c>
      <c r="E3751" t="s">
        <v>7142</v>
      </c>
      <c r="F3751" t="s">
        <v>32664</v>
      </c>
      <c r="G3751" t="s">
        <v>32674</v>
      </c>
      <c r="H3751" t="s">
        <v>12635</v>
      </c>
      <c r="I3751" t="s">
        <v>32778</v>
      </c>
      <c r="J3751" t="s">
        <v>35304</v>
      </c>
      <c r="K3751" t="s">
        <v>42281</v>
      </c>
      <c r="M3751" t="s">
        <v>44083</v>
      </c>
      <c r="N3751" t="s">
        <v>46569</v>
      </c>
      <c r="O3751" t="s">
        <v>46570</v>
      </c>
      <c r="P3751">
        <v>0</v>
      </c>
      <c r="Q3751">
        <v>2</v>
      </c>
      <c r="R3751" t="s">
        <v>46572</v>
      </c>
      <c r="S3751" t="s">
        <v>46689</v>
      </c>
      <c r="T3751" t="s">
        <v>48389</v>
      </c>
      <c r="U3751" t="s">
        <v>51889</v>
      </c>
      <c r="W3751" t="s">
        <v>44083</v>
      </c>
      <c r="X3751" t="s">
        <v>46573</v>
      </c>
    </row>
    <row r="3752" spans="1:24">
      <c r="A3752">
        <f>HYPERLINK("https://www.philgeps.gov.ph/GEPSNONPILOT/Tender/SplashBidNoticeAbstractUI.aspx?menuIndex=3&amp;refID=7063332&amp;Result=3","7063332")</f>
        <v>0</v>
      </c>
      <c r="B3752" t="s">
        <v>1427</v>
      </c>
      <c r="C3752" t="s">
        <v>7143</v>
      </c>
      <c r="D3752" t="s">
        <v>18796</v>
      </c>
      <c r="E3752" t="s">
        <v>22280</v>
      </c>
      <c r="F3752" t="s">
        <v>32664</v>
      </c>
      <c r="G3752" t="s">
        <v>32674</v>
      </c>
      <c r="H3752" t="s">
        <v>12635</v>
      </c>
      <c r="I3752" t="s">
        <v>6168</v>
      </c>
      <c r="J3752" t="s">
        <v>35305</v>
      </c>
      <c r="K3752" t="s">
        <v>42284</v>
      </c>
      <c r="M3752" t="s">
        <v>44087</v>
      </c>
      <c r="N3752" t="s">
        <v>46569</v>
      </c>
      <c r="O3752" t="s">
        <v>46570</v>
      </c>
      <c r="P3752">
        <v>0</v>
      </c>
      <c r="Q3752">
        <v>1</v>
      </c>
      <c r="R3752" t="s">
        <v>46572</v>
      </c>
      <c r="S3752" t="s">
        <v>46689</v>
      </c>
      <c r="T3752" t="s">
        <v>48293</v>
      </c>
      <c r="U3752" t="s">
        <v>51890</v>
      </c>
      <c r="W3752" t="s">
        <v>44087</v>
      </c>
      <c r="X3752" t="s">
        <v>46573</v>
      </c>
    </row>
    <row r="3753" spans="1:24">
      <c r="A3753">
        <f>HYPERLINK("https://www.philgeps.gov.ph/GEPSNONPILOT/Tender/SplashBidNoticeAbstractUI.aspx?menuIndex=3&amp;refID=7063341&amp;Result=3","7063341")</f>
        <v>0</v>
      </c>
      <c r="B3753" t="s">
        <v>1259</v>
      </c>
      <c r="C3753" t="s">
        <v>6632</v>
      </c>
      <c r="D3753" t="s">
        <v>18782</v>
      </c>
      <c r="E3753" t="s">
        <v>22281</v>
      </c>
      <c r="F3753" t="s">
        <v>32664</v>
      </c>
      <c r="G3753" t="s">
        <v>32671</v>
      </c>
      <c r="H3753" t="s">
        <v>12635</v>
      </c>
      <c r="I3753" t="s">
        <v>10361</v>
      </c>
      <c r="J3753" t="s">
        <v>33578</v>
      </c>
      <c r="K3753" t="s">
        <v>42284</v>
      </c>
      <c r="M3753" t="s">
        <v>43901</v>
      </c>
      <c r="N3753" t="s">
        <v>46569</v>
      </c>
      <c r="O3753" t="s">
        <v>46570</v>
      </c>
      <c r="P3753">
        <v>0</v>
      </c>
      <c r="Q3753">
        <v>0</v>
      </c>
      <c r="R3753" t="s">
        <v>46572</v>
      </c>
      <c r="S3753" t="s">
        <v>46689</v>
      </c>
      <c r="T3753" t="s">
        <v>48488</v>
      </c>
      <c r="U3753" t="s">
        <v>51891</v>
      </c>
      <c r="W3753" t="s">
        <v>43901</v>
      </c>
      <c r="X3753" t="s">
        <v>46573</v>
      </c>
    </row>
    <row r="3754" spans="1:24">
      <c r="A3754">
        <f>HYPERLINK("https://www.philgeps.gov.ph/GEPSNONPILOT/Tender/SplashBidNoticeAbstractUI.aspx?menuIndex=3&amp;refID=7063334&amp;Result=3","7063334")</f>
        <v>0</v>
      </c>
      <c r="B3754" t="s">
        <v>1428</v>
      </c>
      <c r="C3754" t="s">
        <v>7144</v>
      </c>
      <c r="D3754" t="s">
        <v>18841</v>
      </c>
      <c r="E3754" t="s">
        <v>22282</v>
      </c>
      <c r="F3754" t="s">
        <v>32664</v>
      </c>
      <c r="G3754" t="s">
        <v>32672</v>
      </c>
      <c r="H3754" t="s">
        <v>12635</v>
      </c>
      <c r="I3754" t="s">
        <v>11464</v>
      </c>
      <c r="J3754" t="s">
        <v>32943</v>
      </c>
      <c r="K3754" t="s">
        <v>42298</v>
      </c>
      <c r="M3754" t="s">
        <v>44088</v>
      </c>
      <c r="N3754" t="s">
        <v>46569</v>
      </c>
      <c r="O3754" t="s">
        <v>46570</v>
      </c>
      <c r="P3754">
        <v>0</v>
      </c>
      <c r="Q3754">
        <v>1</v>
      </c>
      <c r="R3754" t="s">
        <v>46572</v>
      </c>
      <c r="S3754" t="s">
        <v>46689</v>
      </c>
      <c r="T3754" t="s">
        <v>48302</v>
      </c>
      <c r="U3754" t="s">
        <v>51892</v>
      </c>
      <c r="W3754" t="s">
        <v>44088</v>
      </c>
      <c r="X3754" t="s">
        <v>46573</v>
      </c>
    </row>
    <row r="3755" spans="1:24">
      <c r="A3755">
        <f>HYPERLINK("https://www.philgeps.gov.ph/GEPSNONPILOT/Tender/SplashBidNoticeAbstractUI.aspx?menuIndex=3&amp;refID=7063305&amp;Result=3","7063305")</f>
        <v>0</v>
      </c>
      <c r="B3755" t="s">
        <v>1381</v>
      </c>
      <c r="C3755" t="s">
        <v>7145</v>
      </c>
      <c r="D3755" t="s">
        <v>18804</v>
      </c>
      <c r="E3755" t="s">
        <v>22283</v>
      </c>
      <c r="F3755" t="s">
        <v>32664</v>
      </c>
      <c r="G3755" t="s">
        <v>32671</v>
      </c>
      <c r="H3755" t="s">
        <v>12635</v>
      </c>
      <c r="I3755" t="s">
        <v>6553</v>
      </c>
      <c r="J3755" t="s">
        <v>33309</v>
      </c>
      <c r="K3755" t="s">
        <v>42281</v>
      </c>
      <c r="M3755" t="s">
        <v>44036</v>
      </c>
      <c r="N3755" t="s">
        <v>46569</v>
      </c>
      <c r="O3755" t="s">
        <v>46570</v>
      </c>
      <c r="P3755">
        <v>0</v>
      </c>
      <c r="Q3755">
        <v>1</v>
      </c>
      <c r="R3755" t="s">
        <v>46572</v>
      </c>
      <c r="S3755" t="s">
        <v>46689</v>
      </c>
      <c r="T3755" t="s">
        <v>48217</v>
      </c>
      <c r="U3755" t="s">
        <v>51827</v>
      </c>
      <c r="V3755" t="s">
        <v>61990</v>
      </c>
      <c r="W3755" t="s">
        <v>44036</v>
      </c>
      <c r="X3755" t="s">
        <v>46573</v>
      </c>
    </row>
    <row r="3756" spans="1:24">
      <c r="A3756">
        <f>HYPERLINK("https://www.philgeps.gov.ph/GEPSNONPILOT/Tender/SplashBidNoticeAbstractUI.aspx?menuIndex=3&amp;refID=7063363&amp;Result=3","7063363")</f>
        <v>0</v>
      </c>
      <c r="B3756" t="s">
        <v>362</v>
      </c>
      <c r="C3756" t="s">
        <v>7146</v>
      </c>
      <c r="D3756" t="s">
        <v>18842</v>
      </c>
      <c r="E3756" t="s">
        <v>22284</v>
      </c>
      <c r="F3756" t="s">
        <v>32664</v>
      </c>
      <c r="G3756" t="s">
        <v>32671</v>
      </c>
      <c r="H3756" t="s">
        <v>32683</v>
      </c>
      <c r="I3756" t="s">
        <v>10627</v>
      </c>
      <c r="J3756" t="s">
        <v>32865</v>
      </c>
      <c r="K3756" t="s">
        <v>42308</v>
      </c>
      <c r="M3756" t="s">
        <v>42931</v>
      </c>
      <c r="N3756" t="s">
        <v>46569</v>
      </c>
      <c r="O3756" t="s">
        <v>46570</v>
      </c>
      <c r="P3756">
        <v>0</v>
      </c>
      <c r="Q3756">
        <v>0</v>
      </c>
      <c r="R3756" t="s">
        <v>46572</v>
      </c>
      <c r="S3756" t="s">
        <v>46689</v>
      </c>
      <c r="T3756" t="s">
        <v>48283</v>
      </c>
      <c r="U3756" t="s">
        <v>51893</v>
      </c>
      <c r="W3756" t="s">
        <v>42931</v>
      </c>
      <c r="X3756" t="s">
        <v>46573</v>
      </c>
    </row>
    <row r="3757" spans="1:24">
      <c r="A3757">
        <f>HYPERLINK("https://www.philgeps.gov.ph/GEPSNONPILOT/Tender/SplashBidNoticeAbstractUI.aspx?menuIndex=3&amp;refID=7063360&amp;Result=3","7063360")</f>
        <v>0</v>
      </c>
      <c r="B3757" t="s">
        <v>1374</v>
      </c>
      <c r="C3757" t="s">
        <v>7147</v>
      </c>
      <c r="D3757" t="s">
        <v>18821</v>
      </c>
      <c r="E3757" t="s">
        <v>22285</v>
      </c>
      <c r="F3757" t="s">
        <v>32664</v>
      </c>
      <c r="G3757" t="s">
        <v>32672</v>
      </c>
      <c r="H3757" t="s">
        <v>12635</v>
      </c>
      <c r="I3757" t="s">
        <v>32721</v>
      </c>
      <c r="J3757" t="s">
        <v>33051</v>
      </c>
      <c r="K3757" t="s">
        <v>42297</v>
      </c>
      <c r="M3757" t="s">
        <v>44029</v>
      </c>
      <c r="N3757" t="s">
        <v>46569</v>
      </c>
      <c r="O3757" t="s">
        <v>46570</v>
      </c>
      <c r="P3757">
        <v>0</v>
      </c>
      <c r="Q3757">
        <v>0</v>
      </c>
      <c r="R3757" t="s">
        <v>46572</v>
      </c>
      <c r="S3757" t="s">
        <v>46689</v>
      </c>
      <c r="T3757" t="s">
        <v>48368</v>
      </c>
      <c r="U3757" t="s">
        <v>51894</v>
      </c>
      <c r="W3757" t="s">
        <v>44029</v>
      </c>
      <c r="X3757" t="s">
        <v>46573</v>
      </c>
    </row>
    <row r="3758" spans="1:24">
      <c r="A3758">
        <f>HYPERLINK("https://www.philgeps.gov.ph/GEPSNONPILOT/Tender/SplashBidNoticeAbstractUI.aspx?menuIndex=3&amp;refID=7063366&amp;Result=3","7063366")</f>
        <v>0</v>
      </c>
      <c r="B3758" t="s">
        <v>1429</v>
      </c>
      <c r="C3758" t="s">
        <v>4254</v>
      </c>
      <c r="D3758" t="s">
        <v>18824</v>
      </c>
      <c r="E3758" t="s">
        <v>20540</v>
      </c>
      <c r="F3758" t="s">
        <v>32664</v>
      </c>
      <c r="G3758" t="s">
        <v>32675</v>
      </c>
      <c r="H3758" t="s">
        <v>12635</v>
      </c>
      <c r="I3758" t="s">
        <v>8730</v>
      </c>
      <c r="J3758" t="s">
        <v>35306</v>
      </c>
      <c r="K3758" t="s">
        <v>42283</v>
      </c>
      <c r="M3758" t="s">
        <v>44089</v>
      </c>
      <c r="N3758" t="s">
        <v>46569</v>
      </c>
      <c r="O3758" t="s">
        <v>46570</v>
      </c>
      <c r="P3758">
        <v>0</v>
      </c>
      <c r="Q3758">
        <v>1</v>
      </c>
      <c r="R3758" t="s">
        <v>46572</v>
      </c>
      <c r="S3758" t="s">
        <v>46689</v>
      </c>
      <c r="T3758" t="s">
        <v>48221</v>
      </c>
      <c r="U3758" t="s">
        <v>51895</v>
      </c>
      <c r="W3758" t="s">
        <v>63513</v>
      </c>
      <c r="X3758" t="s">
        <v>46573</v>
      </c>
    </row>
    <row r="3759" spans="1:24">
      <c r="A3759">
        <f>HYPERLINK("https://www.philgeps.gov.ph/GEPSNONPILOT/Tender/SplashBidNoticeAbstractUI.aspx?menuIndex=3&amp;refID=7063359&amp;Result=3","7063359")</f>
        <v>0</v>
      </c>
      <c r="B3759" t="s">
        <v>402</v>
      </c>
      <c r="C3759" t="s">
        <v>7148</v>
      </c>
      <c r="D3759" t="s">
        <v>18781</v>
      </c>
      <c r="E3759" t="s">
        <v>22286</v>
      </c>
      <c r="F3759" t="s">
        <v>32664</v>
      </c>
      <c r="G3759" t="s">
        <v>32671</v>
      </c>
      <c r="H3759" t="s">
        <v>12635</v>
      </c>
      <c r="I3759" t="s">
        <v>32685</v>
      </c>
      <c r="J3759" t="s">
        <v>33147</v>
      </c>
      <c r="K3759" t="s">
        <v>42283</v>
      </c>
      <c r="M3759" t="s">
        <v>42972</v>
      </c>
      <c r="N3759" t="s">
        <v>46569</v>
      </c>
      <c r="O3759" t="s">
        <v>46570</v>
      </c>
      <c r="P3759">
        <v>0</v>
      </c>
      <c r="Q3759">
        <v>1</v>
      </c>
      <c r="R3759" t="s">
        <v>46572</v>
      </c>
      <c r="S3759" t="s">
        <v>46689</v>
      </c>
      <c r="T3759" t="s">
        <v>48217</v>
      </c>
      <c r="U3759" t="s">
        <v>51896</v>
      </c>
      <c r="W3759" t="s">
        <v>42972</v>
      </c>
      <c r="X3759" t="s">
        <v>46573</v>
      </c>
    </row>
    <row r="3760" spans="1:24">
      <c r="A3760">
        <f>HYPERLINK("https://www.philgeps.gov.ph/GEPSNONPILOT/Tender/SplashBidNoticeAbstractUI.aspx?menuIndex=3&amp;refID=7063358&amp;Result=3","7063358")</f>
        <v>0</v>
      </c>
      <c r="B3760" t="s">
        <v>1430</v>
      </c>
      <c r="C3760" t="s">
        <v>7149</v>
      </c>
      <c r="D3760" t="s">
        <v>18822</v>
      </c>
      <c r="E3760" t="s">
        <v>22287</v>
      </c>
      <c r="F3760" t="s">
        <v>32665</v>
      </c>
      <c r="G3760" t="s">
        <v>32672</v>
      </c>
      <c r="H3760" t="s">
        <v>12635</v>
      </c>
      <c r="I3760" t="s">
        <v>9597</v>
      </c>
      <c r="J3760" t="s">
        <v>32842</v>
      </c>
      <c r="K3760" t="s">
        <v>42290</v>
      </c>
      <c r="M3760" t="s">
        <v>44090</v>
      </c>
      <c r="N3760" t="s">
        <v>46569</v>
      </c>
      <c r="O3760" t="s">
        <v>46570</v>
      </c>
      <c r="P3760">
        <v>0</v>
      </c>
      <c r="Q3760">
        <v>2</v>
      </c>
      <c r="R3760" t="s">
        <v>46572</v>
      </c>
      <c r="S3760" t="s">
        <v>46689</v>
      </c>
      <c r="T3760" t="s">
        <v>48395</v>
      </c>
      <c r="U3760" t="s">
        <v>51897</v>
      </c>
      <c r="V3760" t="s">
        <v>62005</v>
      </c>
      <c r="W3760" t="s">
        <v>44090</v>
      </c>
      <c r="X3760" t="s">
        <v>46573</v>
      </c>
    </row>
    <row r="3761" spans="1:24">
      <c r="A3761">
        <f>HYPERLINK("https://www.philgeps.gov.ph/GEPSNONPILOT/Tender/SplashBidNoticeAbstractUI.aspx?menuIndex=3&amp;refID=7063364&amp;Result=3","7063364")</f>
        <v>0</v>
      </c>
      <c r="B3761" t="s">
        <v>231</v>
      </c>
      <c r="C3761" t="s">
        <v>7150</v>
      </c>
      <c r="D3761" t="s">
        <v>18845</v>
      </c>
      <c r="E3761" t="s">
        <v>7150</v>
      </c>
      <c r="F3761" t="s">
        <v>32664</v>
      </c>
      <c r="G3761" t="s">
        <v>32674</v>
      </c>
      <c r="H3761" t="s">
        <v>12635</v>
      </c>
      <c r="I3761" t="s">
        <v>32704</v>
      </c>
      <c r="J3761" t="s">
        <v>32976</v>
      </c>
      <c r="K3761" t="s">
        <v>42281</v>
      </c>
      <c r="M3761" t="s">
        <v>44083</v>
      </c>
      <c r="N3761" t="s">
        <v>46569</v>
      </c>
      <c r="O3761" t="s">
        <v>46570</v>
      </c>
      <c r="P3761">
        <v>0</v>
      </c>
      <c r="Q3761">
        <v>2</v>
      </c>
      <c r="R3761" t="s">
        <v>46572</v>
      </c>
      <c r="S3761" t="s">
        <v>46689</v>
      </c>
      <c r="T3761" t="s">
        <v>48487</v>
      </c>
      <c r="U3761" t="s">
        <v>51898</v>
      </c>
      <c r="W3761" t="s">
        <v>44083</v>
      </c>
      <c r="X3761" t="s">
        <v>46573</v>
      </c>
    </row>
    <row r="3762" spans="1:24">
      <c r="A3762">
        <f>HYPERLINK("https://www.philgeps.gov.ph/GEPSNONPILOT/Tender/SplashBidNoticeAbstractUI.aspx?menuIndex=3&amp;refID=7063362&amp;Result=3","7063362")</f>
        <v>0</v>
      </c>
      <c r="B3762" t="s">
        <v>962</v>
      </c>
      <c r="C3762" t="s">
        <v>7151</v>
      </c>
      <c r="D3762" t="s">
        <v>18784</v>
      </c>
      <c r="E3762" t="s">
        <v>22288</v>
      </c>
      <c r="F3762" t="s">
        <v>32664</v>
      </c>
      <c r="G3762" t="s">
        <v>32671</v>
      </c>
      <c r="H3762" t="s">
        <v>32681</v>
      </c>
      <c r="I3762" t="s">
        <v>32681</v>
      </c>
      <c r="J3762" t="s">
        <v>34355</v>
      </c>
      <c r="K3762" t="s">
        <v>42334</v>
      </c>
      <c r="M3762" t="s">
        <v>44074</v>
      </c>
      <c r="N3762" t="s">
        <v>46569</v>
      </c>
      <c r="O3762" t="s">
        <v>46570</v>
      </c>
      <c r="P3762">
        <v>0</v>
      </c>
      <c r="Q3762">
        <v>1</v>
      </c>
      <c r="R3762" t="s">
        <v>46572</v>
      </c>
      <c r="S3762" t="s">
        <v>46689</v>
      </c>
      <c r="T3762" t="s">
        <v>48217</v>
      </c>
      <c r="U3762" t="s">
        <v>51899</v>
      </c>
      <c r="W3762" t="s">
        <v>44074</v>
      </c>
      <c r="X3762" t="s">
        <v>46573</v>
      </c>
    </row>
    <row r="3763" spans="1:24">
      <c r="A3763">
        <f>HYPERLINK("https://www.philgeps.gov.ph/GEPSNONPILOT/Tender/SplashBidNoticeAbstractUI.aspx?menuIndex=3&amp;refID=7063354&amp;Result=3","7063354")</f>
        <v>0</v>
      </c>
      <c r="B3763" t="s">
        <v>683</v>
      </c>
      <c r="C3763" t="s">
        <v>7152</v>
      </c>
      <c r="D3763" t="s">
        <v>18842</v>
      </c>
      <c r="E3763" t="s">
        <v>22289</v>
      </c>
      <c r="F3763" t="s">
        <v>32664</v>
      </c>
      <c r="G3763" t="s">
        <v>32674</v>
      </c>
      <c r="H3763" t="s">
        <v>12635</v>
      </c>
      <c r="I3763" t="s">
        <v>10361</v>
      </c>
      <c r="J3763" t="s">
        <v>33905</v>
      </c>
      <c r="K3763" t="s">
        <v>42283</v>
      </c>
      <c r="M3763" t="s">
        <v>43270</v>
      </c>
      <c r="N3763" t="s">
        <v>46569</v>
      </c>
      <c r="O3763" t="s">
        <v>46570</v>
      </c>
      <c r="P3763">
        <v>0</v>
      </c>
      <c r="Q3763">
        <v>0</v>
      </c>
      <c r="R3763" t="s">
        <v>46572</v>
      </c>
      <c r="S3763" t="s">
        <v>46689</v>
      </c>
      <c r="T3763" t="s">
        <v>48256</v>
      </c>
      <c r="U3763" t="s">
        <v>50070</v>
      </c>
      <c r="W3763" t="s">
        <v>43270</v>
      </c>
      <c r="X3763" t="s">
        <v>46573</v>
      </c>
    </row>
    <row r="3764" spans="1:24">
      <c r="A3764">
        <f>HYPERLINK("https://www.philgeps.gov.ph/GEPSNONPILOT/Tender/SplashBidNoticeAbstractUI.aspx?menuIndex=3&amp;refID=7063353&amp;Result=3","7063353")</f>
        <v>0</v>
      </c>
      <c r="B3764" t="s">
        <v>1342</v>
      </c>
      <c r="C3764" t="s">
        <v>7153</v>
      </c>
      <c r="D3764" t="s">
        <v>18787</v>
      </c>
      <c r="E3764" t="s">
        <v>22290</v>
      </c>
      <c r="F3764" t="s">
        <v>32664</v>
      </c>
      <c r="G3764" t="s">
        <v>32671</v>
      </c>
      <c r="H3764" t="s">
        <v>12635</v>
      </c>
      <c r="I3764" t="s">
        <v>7324</v>
      </c>
      <c r="J3764" t="s">
        <v>34713</v>
      </c>
      <c r="K3764" t="s">
        <v>42283</v>
      </c>
      <c r="M3764" t="s">
        <v>43992</v>
      </c>
      <c r="N3764" t="s">
        <v>46569</v>
      </c>
      <c r="O3764" t="s">
        <v>46570</v>
      </c>
      <c r="P3764">
        <v>0</v>
      </c>
      <c r="Q3764">
        <v>1</v>
      </c>
      <c r="R3764" t="s">
        <v>46572</v>
      </c>
      <c r="S3764" t="s">
        <v>46689</v>
      </c>
      <c r="T3764" t="s">
        <v>48293</v>
      </c>
      <c r="U3764" t="s">
        <v>51749</v>
      </c>
      <c r="W3764" t="s">
        <v>43992</v>
      </c>
      <c r="X3764" t="s">
        <v>46573</v>
      </c>
    </row>
    <row r="3765" spans="1:24">
      <c r="A3765">
        <f>HYPERLINK("https://www.philgeps.gov.ph/GEPSNONPILOT/Tender/SplashBidNoticeAbstractUI.aspx?menuIndex=3&amp;refID=7063352&amp;Result=3","7063352")</f>
        <v>0</v>
      </c>
      <c r="B3765" t="s">
        <v>1397</v>
      </c>
      <c r="C3765" t="s">
        <v>7154</v>
      </c>
      <c r="D3765" t="s">
        <v>18803</v>
      </c>
      <c r="E3765" t="s">
        <v>22291</v>
      </c>
      <c r="F3765" t="s">
        <v>32664</v>
      </c>
      <c r="G3765" t="s">
        <v>32671</v>
      </c>
      <c r="H3765" t="s">
        <v>12635</v>
      </c>
      <c r="I3765" t="s">
        <v>10370</v>
      </c>
      <c r="J3765" t="s">
        <v>33015</v>
      </c>
      <c r="K3765" t="s">
        <v>42281</v>
      </c>
      <c r="M3765" t="s">
        <v>44054</v>
      </c>
      <c r="N3765" t="s">
        <v>46569</v>
      </c>
      <c r="O3765" t="s">
        <v>46570</v>
      </c>
      <c r="P3765">
        <v>0</v>
      </c>
      <c r="Q3765">
        <v>2</v>
      </c>
      <c r="R3765" t="s">
        <v>46572</v>
      </c>
      <c r="S3765" t="s">
        <v>46689</v>
      </c>
      <c r="T3765" t="s">
        <v>48356</v>
      </c>
      <c r="U3765" t="s">
        <v>51803</v>
      </c>
      <c r="W3765" t="s">
        <v>44054</v>
      </c>
      <c r="X3765" t="s">
        <v>46573</v>
      </c>
    </row>
    <row r="3766" spans="1:24">
      <c r="A3766">
        <f>HYPERLINK("https://www.philgeps.gov.ph/GEPSNONPILOT/Tender/SplashBidNoticeAbstractUI.aspx?menuIndex=3&amp;refID=7063350&amp;Result=3","7063350")</f>
        <v>0</v>
      </c>
      <c r="B3766" t="s">
        <v>1055</v>
      </c>
      <c r="C3766" t="s">
        <v>7155</v>
      </c>
      <c r="D3766" t="s">
        <v>18784</v>
      </c>
      <c r="E3766" t="s">
        <v>22292</v>
      </c>
      <c r="F3766" t="s">
        <v>32664</v>
      </c>
      <c r="G3766" t="s">
        <v>32671</v>
      </c>
      <c r="H3766" t="s">
        <v>12635</v>
      </c>
      <c r="I3766" t="s">
        <v>32704</v>
      </c>
      <c r="J3766" t="s">
        <v>35307</v>
      </c>
      <c r="K3766" t="s">
        <v>42284</v>
      </c>
      <c r="M3766" t="s">
        <v>44008</v>
      </c>
      <c r="N3766" t="s">
        <v>46569</v>
      </c>
      <c r="O3766" t="s">
        <v>46570</v>
      </c>
      <c r="P3766">
        <v>0</v>
      </c>
      <c r="Q3766">
        <v>2</v>
      </c>
      <c r="R3766" t="s">
        <v>46572</v>
      </c>
      <c r="S3766" t="s">
        <v>46689</v>
      </c>
      <c r="T3766" t="s">
        <v>48305</v>
      </c>
      <c r="U3766" t="s">
        <v>51900</v>
      </c>
      <c r="V3766" t="s">
        <v>61978</v>
      </c>
      <c r="W3766" t="s">
        <v>44008</v>
      </c>
      <c r="X3766" t="s">
        <v>46573</v>
      </c>
    </row>
    <row r="3767" spans="1:24">
      <c r="A3767">
        <f>HYPERLINK("https://www.philgeps.gov.ph/GEPSNONPILOT/Tender/SplashBidNoticeAbstractUI.aspx?menuIndex=3&amp;refID=7063349&amp;Result=3","7063349")</f>
        <v>0</v>
      </c>
      <c r="B3767" t="s">
        <v>1336</v>
      </c>
      <c r="C3767" t="s">
        <v>7156</v>
      </c>
      <c r="D3767" t="s">
        <v>18856</v>
      </c>
      <c r="E3767" t="s">
        <v>22293</v>
      </c>
      <c r="F3767" t="s">
        <v>32664</v>
      </c>
      <c r="G3767" t="s">
        <v>32672</v>
      </c>
      <c r="H3767" t="s">
        <v>32683</v>
      </c>
      <c r="I3767" t="s">
        <v>10627</v>
      </c>
      <c r="J3767" t="s">
        <v>35308</v>
      </c>
      <c r="K3767" t="s">
        <v>42413</v>
      </c>
      <c r="M3767" t="s">
        <v>43986</v>
      </c>
      <c r="N3767" t="s">
        <v>46569</v>
      </c>
      <c r="O3767" t="s">
        <v>46570</v>
      </c>
      <c r="P3767">
        <v>0</v>
      </c>
      <c r="Q3767">
        <v>0</v>
      </c>
      <c r="R3767" t="s">
        <v>46572</v>
      </c>
      <c r="S3767" t="s">
        <v>46689</v>
      </c>
      <c r="T3767" t="s">
        <v>48479</v>
      </c>
      <c r="U3767" t="s">
        <v>51901</v>
      </c>
      <c r="V3767" t="s">
        <v>61974</v>
      </c>
      <c r="W3767" t="s">
        <v>43986</v>
      </c>
      <c r="X3767" t="s">
        <v>46573</v>
      </c>
    </row>
    <row r="3768" spans="1:24">
      <c r="A3768">
        <f>HYPERLINK("https://www.philgeps.gov.ph/GEPSNONPILOT/Tender/SplashBidNoticeAbstractUI.aspx?menuIndex=3&amp;refID=7063365&amp;Result=3","7063365")</f>
        <v>0</v>
      </c>
      <c r="B3768" t="s">
        <v>1385</v>
      </c>
      <c r="C3768" t="s">
        <v>7157</v>
      </c>
      <c r="D3768" t="s">
        <v>18827</v>
      </c>
      <c r="E3768" t="s">
        <v>22294</v>
      </c>
      <c r="F3768" t="s">
        <v>32664</v>
      </c>
      <c r="G3768" t="s">
        <v>32672</v>
      </c>
      <c r="H3768" t="s">
        <v>32683</v>
      </c>
      <c r="I3768" t="s">
        <v>10627</v>
      </c>
      <c r="J3768" t="s">
        <v>35309</v>
      </c>
      <c r="K3768" t="s">
        <v>42290</v>
      </c>
      <c r="L3768" t="s">
        <v>1385</v>
      </c>
      <c r="M3768" t="s">
        <v>44040</v>
      </c>
      <c r="N3768" t="s">
        <v>46569</v>
      </c>
      <c r="O3768" t="s">
        <v>46570</v>
      </c>
      <c r="P3768">
        <v>0</v>
      </c>
      <c r="Q3768">
        <v>0</v>
      </c>
      <c r="R3768" t="s">
        <v>46572</v>
      </c>
      <c r="S3768" t="s">
        <v>46689</v>
      </c>
      <c r="T3768" t="s">
        <v>48270</v>
      </c>
      <c r="U3768" t="s">
        <v>51761</v>
      </c>
      <c r="W3768" t="s">
        <v>44040</v>
      </c>
      <c r="X3768" t="s">
        <v>46573</v>
      </c>
    </row>
    <row r="3769" spans="1:24">
      <c r="A3769">
        <f>HYPERLINK("https://www.philgeps.gov.ph/GEPSNONPILOT/Tender/SplashBidNoticeAbstractUI.aspx?menuIndex=3&amp;refID=7063348&amp;Result=3","7063348")</f>
        <v>0</v>
      </c>
      <c r="B3769" t="s">
        <v>516</v>
      </c>
      <c r="C3769" t="s">
        <v>7158</v>
      </c>
      <c r="D3769" t="s">
        <v>18804</v>
      </c>
      <c r="E3769" t="s">
        <v>22295</v>
      </c>
      <c r="F3769" t="s">
        <v>32664</v>
      </c>
      <c r="G3769" t="s">
        <v>32672</v>
      </c>
      <c r="H3769" t="s">
        <v>32683</v>
      </c>
      <c r="I3769" t="s">
        <v>4333</v>
      </c>
      <c r="J3769" t="s">
        <v>35310</v>
      </c>
      <c r="K3769" t="s">
        <v>42305</v>
      </c>
      <c r="M3769" t="s">
        <v>43092</v>
      </c>
      <c r="N3769" t="s">
        <v>46569</v>
      </c>
      <c r="O3769" t="s">
        <v>46570</v>
      </c>
      <c r="P3769">
        <v>0</v>
      </c>
      <c r="Q3769">
        <v>0</v>
      </c>
      <c r="R3769" t="s">
        <v>46572</v>
      </c>
      <c r="S3769" t="s">
        <v>46689</v>
      </c>
      <c r="T3769" t="s">
        <v>48220</v>
      </c>
      <c r="U3769" t="s">
        <v>51902</v>
      </c>
      <c r="W3769" t="s">
        <v>43092</v>
      </c>
      <c r="X3769" t="s">
        <v>46573</v>
      </c>
    </row>
    <row r="3770" spans="1:24">
      <c r="A3770">
        <f>HYPERLINK("https://www.philgeps.gov.ph/GEPSNONPILOT/Tender/SplashBidNoticeAbstractUI.aspx?menuIndex=3&amp;refID=7063355&amp;Result=3","7063355")</f>
        <v>0</v>
      </c>
      <c r="B3770" t="s">
        <v>231</v>
      </c>
      <c r="C3770" t="s">
        <v>7159</v>
      </c>
      <c r="D3770" t="s">
        <v>18845</v>
      </c>
      <c r="E3770" t="s">
        <v>7159</v>
      </c>
      <c r="F3770" t="s">
        <v>32664</v>
      </c>
      <c r="G3770" t="s">
        <v>32674</v>
      </c>
      <c r="H3770" t="s">
        <v>12635</v>
      </c>
      <c r="I3770" t="s">
        <v>4333</v>
      </c>
      <c r="J3770" t="s">
        <v>35311</v>
      </c>
      <c r="K3770" t="s">
        <v>42281</v>
      </c>
      <c r="M3770" t="s">
        <v>44083</v>
      </c>
      <c r="N3770" t="s">
        <v>46569</v>
      </c>
      <c r="O3770" t="s">
        <v>46570</v>
      </c>
      <c r="P3770">
        <v>0</v>
      </c>
      <c r="Q3770">
        <v>2</v>
      </c>
      <c r="R3770" t="s">
        <v>46572</v>
      </c>
      <c r="S3770" t="s">
        <v>46689</v>
      </c>
      <c r="T3770" t="s">
        <v>48487</v>
      </c>
      <c r="U3770" t="s">
        <v>51872</v>
      </c>
      <c r="W3770" t="s">
        <v>44083</v>
      </c>
      <c r="X3770" t="s">
        <v>46573</v>
      </c>
    </row>
    <row r="3771" spans="1:24">
      <c r="A3771">
        <f>HYPERLINK("https://www.philgeps.gov.ph/GEPSNONPILOT/Tender/SplashBidNoticeAbstractUI.aspx?menuIndex=3&amp;refID=7063391&amp;Result=3","7063391")</f>
        <v>0</v>
      </c>
      <c r="B3771" t="s">
        <v>69</v>
      </c>
      <c r="C3771" t="s">
        <v>7160</v>
      </c>
      <c r="D3771" t="s">
        <v>18784</v>
      </c>
      <c r="E3771" t="s">
        <v>22296</v>
      </c>
      <c r="F3771" t="s">
        <v>32664</v>
      </c>
      <c r="G3771" t="s">
        <v>32672</v>
      </c>
      <c r="H3771" t="s">
        <v>12635</v>
      </c>
      <c r="I3771" t="s">
        <v>4439</v>
      </c>
      <c r="J3771" t="s">
        <v>35312</v>
      </c>
      <c r="K3771" t="s">
        <v>42285</v>
      </c>
      <c r="M3771" t="s">
        <v>44041</v>
      </c>
      <c r="N3771" t="s">
        <v>46569</v>
      </c>
      <c r="O3771" t="s">
        <v>46570</v>
      </c>
      <c r="P3771">
        <v>0</v>
      </c>
      <c r="Q3771">
        <v>2</v>
      </c>
      <c r="R3771" t="s">
        <v>46572</v>
      </c>
      <c r="S3771" t="s">
        <v>46689</v>
      </c>
      <c r="T3771" t="s">
        <v>48412</v>
      </c>
      <c r="U3771" t="s">
        <v>51903</v>
      </c>
      <c r="W3771" t="s">
        <v>44041</v>
      </c>
      <c r="X3771" t="s">
        <v>46573</v>
      </c>
    </row>
    <row r="3772" spans="1:24">
      <c r="A3772">
        <f>HYPERLINK("https://www.philgeps.gov.ph/GEPSNONPILOT/Tender/SplashBidNoticeAbstractUI.aspx?menuIndex=3&amp;refID=7063336&amp;Result=3","7063336")</f>
        <v>0</v>
      </c>
      <c r="B3772" t="s">
        <v>1431</v>
      </c>
      <c r="C3772" t="s">
        <v>7161</v>
      </c>
      <c r="D3772" t="s">
        <v>18821</v>
      </c>
      <c r="E3772" t="s">
        <v>22297</v>
      </c>
      <c r="F3772" t="s">
        <v>32664</v>
      </c>
      <c r="G3772" t="s">
        <v>32672</v>
      </c>
      <c r="H3772" t="s">
        <v>12635</v>
      </c>
      <c r="I3772" t="s">
        <v>32706</v>
      </c>
      <c r="J3772" t="s">
        <v>33177</v>
      </c>
      <c r="K3772" t="s">
        <v>42283</v>
      </c>
      <c r="M3772" t="s">
        <v>44091</v>
      </c>
      <c r="N3772" t="s">
        <v>46569</v>
      </c>
      <c r="O3772" t="s">
        <v>46570</v>
      </c>
      <c r="P3772">
        <v>0</v>
      </c>
      <c r="Q3772">
        <v>0</v>
      </c>
      <c r="R3772" t="s">
        <v>46572</v>
      </c>
      <c r="S3772" t="s">
        <v>46689</v>
      </c>
      <c r="T3772" t="s">
        <v>48285</v>
      </c>
      <c r="U3772" t="s">
        <v>51904</v>
      </c>
      <c r="W3772" t="s">
        <v>44091</v>
      </c>
      <c r="X3772" t="s">
        <v>46573</v>
      </c>
    </row>
    <row r="3773" spans="1:24">
      <c r="A3773">
        <f>HYPERLINK("https://www.philgeps.gov.ph/GEPSNONPILOT/Tender/SplashBidNoticeAbstractUI.aspx?menuIndex=3&amp;refID=7063357&amp;Result=3","7063357")</f>
        <v>0</v>
      </c>
      <c r="B3773" t="s">
        <v>69</v>
      </c>
      <c r="C3773" t="s">
        <v>7162</v>
      </c>
      <c r="D3773" t="s">
        <v>18784</v>
      </c>
      <c r="E3773" t="s">
        <v>22298</v>
      </c>
      <c r="F3773" t="s">
        <v>32664</v>
      </c>
      <c r="G3773" t="s">
        <v>32672</v>
      </c>
      <c r="H3773" t="s">
        <v>12635</v>
      </c>
      <c r="I3773" t="s">
        <v>32781</v>
      </c>
      <c r="J3773" t="s">
        <v>35313</v>
      </c>
      <c r="K3773" t="s">
        <v>42298</v>
      </c>
      <c r="M3773" t="s">
        <v>44041</v>
      </c>
      <c r="N3773" t="s">
        <v>46569</v>
      </c>
      <c r="O3773" t="s">
        <v>46570</v>
      </c>
      <c r="P3773">
        <v>0</v>
      </c>
      <c r="Q3773">
        <v>3</v>
      </c>
      <c r="R3773" t="s">
        <v>46572</v>
      </c>
      <c r="S3773" t="s">
        <v>46689</v>
      </c>
      <c r="T3773" t="s">
        <v>48412</v>
      </c>
      <c r="U3773" t="s">
        <v>51905</v>
      </c>
      <c r="W3773" t="s">
        <v>44041</v>
      </c>
      <c r="X3773" t="s">
        <v>46573</v>
      </c>
    </row>
    <row r="3774" spans="1:24">
      <c r="A3774">
        <f>HYPERLINK("https://www.philgeps.gov.ph/GEPSNONPILOT/Tender/SplashBidNoticeAbstractUI.aspx?menuIndex=3&amp;refID=7063387&amp;Result=3","7063387")</f>
        <v>0</v>
      </c>
      <c r="B3774" t="s">
        <v>683</v>
      </c>
      <c r="C3774" t="s">
        <v>7163</v>
      </c>
      <c r="D3774" t="s">
        <v>18842</v>
      </c>
      <c r="E3774" t="s">
        <v>22299</v>
      </c>
      <c r="F3774" t="s">
        <v>32664</v>
      </c>
      <c r="G3774" t="s">
        <v>32674</v>
      </c>
      <c r="H3774" t="s">
        <v>12635</v>
      </c>
      <c r="I3774" t="s">
        <v>10361</v>
      </c>
      <c r="J3774" t="s">
        <v>32976</v>
      </c>
      <c r="K3774" t="s">
        <v>42283</v>
      </c>
      <c r="M3774" t="s">
        <v>43270</v>
      </c>
      <c r="N3774" t="s">
        <v>46569</v>
      </c>
      <c r="O3774" t="s">
        <v>46570</v>
      </c>
      <c r="P3774">
        <v>0</v>
      </c>
      <c r="Q3774">
        <v>0</v>
      </c>
      <c r="R3774" t="s">
        <v>46572</v>
      </c>
      <c r="S3774" t="s">
        <v>46689</v>
      </c>
      <c r="T3774" t="s">
        <v>48256</v>
      </c>
      <c r="U3774" t="s">
        <v>50070</v>
      </c>
      <c r="W3774" t="s">
        <v>43270</v>
      </c>
      <c r="X3774" t="s">
        <v>46573</v>
      </c>
    </row>
    <row r="3775" spans="1:24">
      <c r="A3775">
        <f>HYPERLINK("https://www.philgeps.gov.ph/GEPSNONPILOT/Tender/SplashBidNoticeAbstractUI.aspx?menuIndex=3&amp;refID=7063284&amp;Result=3","7063284")</f>
        <v>0</v>
      </c>
      <c r="B3775" t="s">
        <v>295</v>
      </c>
      <c r="C3775" t="s">
        <v>7164</v>
      </c>
      <c r="D3775" t="s">
        <v>18848</v>
      </c>
      <c r="E3775" t="s">
        <v>22300</v>
      </c>
      <c r="F3775" t="s">
        <v>32664</v>
      </c>
      <c r="G3775" t="s">
        <v>32672</v>
      </c>
      <c r="H3775" t="s">
        <v>12635</v>
      </c>
      <c r="I3775" t="s">
        <v>10361</v>
      </c>
      <c r="J3775" t="s">
        <v>35314</v>
      </c>
      <c r="K3775" t="s">
        <v>42297</v>
      </c>
      <c r="M3775" t="s">
        <v>42862</v>
      </c>
      <c r="N3775" t="s">
        <v>46569</v>
      </c>
      <c r="O3775" t="s">
        <v>46570</v>
      </c>
      <c r="P3775">
        <v>0</v>
      </c>
      <c r="Q3775">
        <v>0</v>
      </c>
      <c r="R3775" t="s">
        <v>46572</v>
      </c>
      <c r="S3775" t="s">
        <v>46689</v>
      </c>
      <c r="T3775" t="s">
        <v>48322</v>
      </c>
      <c r="U3775" t="s">
        <v>51906</v>
      </c>
      <c r="W3775" t="s">
        <v>42862</v>
      </c>
      <c r="X3775" t="s">
        <v>46573</v>
      </c>
    </row>
    <row r="3776" spans="1:24">
      <c r="A3776">
        <f>HYPERLINK("https://www.philgeps.gov.ph/GEPSNONPILOT/Tender/SplashBidNoticeAbstractUI.aspx?menuIndex=3&amp;refID=7063388&amp;Result=3","7063388")</f>
        <v>0</v>
      </c>
      <c r="B3776" t="s">
        <v>231</v>
      </c>
      <c r="C3776" t="s">
        <v>7165</v>
      </c>
      <c r="D3776" t="s">
        <v>18845</v>
      </c>
      <c r="E3776" t="s">
        <v>7165</v>
      </c>
      <c r="F3776" t="s">
        <v>32664</v>
      </c>
      <c r="G3776" t="s">
        <v>32674</v>
      </c>
      <c r="H3776" t="s">
        <v>12635</v>
      </c>
      <c r="I3776" t="s">
        <v>4333</v>
      </c>
      <c r="J3776" t="s">
        <v>33051</v>
      </c>
      <c r="K3776" t="s">
        <v>42281</v>
      </c>
      <c r="M3776" t="s">
        <v>44083</v>
      </c>
      <c r="N3776" t="s">
        <v>46569</v>
      </c>
      <c r="O3776" t="s">
        <v>46570</v>
      </c>
      <c r="P3776">
        <v>0</v>
      </c>
      <c r="Q3776">
        <v>1</v>
      </c>
      <c r="R3776" t="s">
        <v>46572</v>
      </c>
      <c r="S3776" t="s">
        <v>46689</v>
      </c>
      <c r="T3776" t="s">
        <v>48487</v>
      </c>
      <c r="U3776" t="s">
        <v>51907</v>
      </c>
      <c r="W3776" t="s">
        <v>44083</v>
      </c>
      <c r="X3776" t="s">
        <v>46573</v>
      </c>
    </row>
    <row r="3777" spans="1:24">
      <c r="A3777">
        <f>HYPERLINK("https://www.philgeps.gov.ph/GEPSNONPILOT/Tender/SplashBidNoticeAbstractUI.aspx?menuIndex=3&amp;refID=7063385&amp;Result=3","7063385")</f>
        <v>0</v>
      </c>
      <c r="B3777" t="s">
        <v>807</v>
      </c>
      <c r="C3777" t="s">
        <v>7166</v>
      </c>
      <c r="D3777" t="s">
        <v>18784</v>
      </c>
      <c r="E3777" t="s">
        <v>22301</v>
      </c>
      <c r="F3777" t="s">
        <v>32664</v>
      </c>
      <c r="G3777" t="s">
        <v>32672</v>
      </c>
      <c r="H3777" t="s">
        <v>12635</v>
      </c>
      <c r="I3777" t="s">
        <v>32712</v>
      </c>
      <c r="J3777" t="s">
        <v>35315</v>
      </c>
      <c r="K3777" t="s">
        <v>42283</v>
      </c>
      <c r="M3777" t="s">
        <v>43817</v>
      </c>
      <c r="N3777" t="s">
        <v>46569</v>
      </c>
      <c r="O3777" t="s">
        <v>46570</v>
      </c>
      <c r="P3777">
        <v>0</v>
      </c>
      <c r="Q3777">
        <v>22</v>
      </c>
      <c r="R3777" t="s">
        <v>46572</v>
      </c>
      <c r="S3777" t="s">
        <v>46689</v>
      </c>
      <c r="T3777" t="s">
        <v>48222</v>
      </c>
      <c r="U3777" t="s">
        <v>51284</v>
      </c>
      <c r="W3777" t="s">
        <v>43817</v>
      </c>
      <c r="X3777" t="s">
        <v>46573</v>
      </c>
    </row>
    <row r="3778" spans="1:24">
      <c r="A3778">
        <f>HYPERLINK("https://www.philgeps.gov.ph/GEPSNONPILOT/Tender/SplashBidNoticeAbstractUI.aspx?menuIndex=3&amp;refID=7063382&amp;Result=3","7063382")</f>
        <v>0</v>
      </c>
      <c r="B3778" t="s">
        <v>525</v>
      </c>
      <c r="C3778" t="s">
        <v>7167</v>
      </c>
      <c r="E3778" t="s">
        <v>22302</v>
      </c>
      <c r="F3778" t="s">
        <v>32664</v>
      </c>
      <c r="G3778" t="s">
        <v>32671</v>
      </c>
      <c r="H3778" t="s">
        <v>12635</v>
      </c>
      <c r="I3778" t="s">
        <v>6628</v>
      </c>
      <c r="J3778" t="s">
        <v>32898</v>
      </c>
      <c r="K3778" t="s">
        <v>42283</v>
      </c>
      <c r="M3778" t="s">
        <v>43102</v>
      </c>
      <c r="N3778" t="s">
        <v>46569</v>
      </c>
      <c r="O3778" t="s">
        <v>46570</v>
      </c>
      <c r="P3778">
        <v>0</v>
      </c>
      <c r="Q3778">
        <v>0</v>
      </c>
      <c r="R3778" t="s">
        <v>46572</v>
      </c>
      <c r="S3778" t="s">
        <v>46689</v>
      </c>
      <c r="T3778" t="s">
        <v>48244</v>
      </c>
      <c r="U3778" t="s">
        <v>51908</v>
      </c>
      <c r="W3778" t="s">
        <v>43102</v>
      </c>
      <c r="X3778" t="s">
        <v>46573</v>
      </c>
    </row>
    <row r="3779" spans="1:24">
      <c r="A3779">
        <f>HYPERLINK("https://www.philgeps.gov.ph/GEPSNONPILOT/Tender/SplashBidNoticeAbstractUI.aspx?menuIndex=3&amp;refID=7063367&amp;Result=3","7063367")</f>
        <v>0</v>
      </c>
      <c r="B3779" t="s">
        <v>1259</v>
      </c>
      <c r="C3779" t="s">
        <v>7168</v>
      </c>
      <c r="D3779" t="s">
        <v>18782</v>
      </c>
      <c r="E3779" t="s">
        <v>22303</v>
      </c>
      <c r="F3779" t="s">
        <v>32664</v>
      </c>
      <c r="G3779" t="s">
        <v>32671</v>
      </c>
      <c r="H3779" t="s">
        <v>12635</v>
      </c>
      <c r="I3779" t="s">
        <v>32708</v>
      </c>
      <c r="J3779" t="s">
        <v>33051</v>
      </c>
      <c r="K3779" t="s">
        <v>42284</v>
      </c>
      <c r="M3779" t="s">
        <v>43901</v>
      </c>
      <c r="N3779" t="s">
        <v>46569</v>
      </c>
      <c r="O3779" t="s">
        <v>46570</v>
      </c>
      <c r="P3779">
        <v>0</v>
      </c>
      <c r="Q3779">
        <v>2</v>
      </c>
      <c r="R3779" t="s">
        <v>46572</v>
      </c>
      <c r="S3779" t="s">
        <v>46689</v>
      </c>
      <c r="T3779" t="s">
        <v>48314</v>
      </c>
      <c r="U3779" t="s">
        <v>51909</v>
      </c>
      <c r="W3779" t="s">
        <v>43901</v>
      </c>
      <c r="X3779" t="s">
        <v>46573</v>
      </c>
    </row>
    <row r="3780" spans="1:24">
      <c r="A3780">
        <f>HYPERLINK("https://www.philgeps.gov.ph/GEPSNONPILOT/Tender/SplashBidNoticeAbstractUI.aspx?menuIndex=3&amp;refID=7063379&amp;Result=3","7063379")</f>
        <v>0</v>
      </c>
      <c r="B3780" t="s">
        <v>325</v>
      </c>
      <c r="C3780" t="s">
        <v>7169</v>
      </c>
      <c r="D3780" t="s">
        <v>18848</v>
      </c>
      <c r="E3780" t="s">
        <v>22304</v>
      </c>
      <c r="F3780" t="s">
        <v>32664</v>
      </c>
      <c r="G3780" t="s">
        <v>32671</v>
      </c>
      <c r="H3780" t="s">
        <v>12635</v>
      </c>
      <c r="I3780" t="s">
        <v>32710</v>
      </c>
      <c r="J3780" t="s">
        <v>34214</v>
      </c>
      <c r="K3780" t="s">
        <v>42297</v>
      </c>
      <c r="M3780" t="s">
        <v>42893</v>
      </c>
      <c r="N3780" t="s">
        <v>46569</v>
      </c>
      <c r="O3780" t="s">
        <v>46570</v>
      </c>
      <c r="P3780">
        <v>0</v>
      </c>
      <c r="Q3780">
        <v>0</v>
      </c>
      <c r="R3780" t="s">
        <v>46572</v>
      </c>
      <c r="S3780" t="s">
        <v>46689</v>
      </c>
      <c r="T3780" t="s">
        <v>48256</v>
      </c>
      <c r="U3780" t="s">
        <v>51910</v>
      </c>
      <c r="V3780" t="s">
        <v>61996</v>
      </c>
      <c r="W3780" t="s">
        <v>42893</v>
      </c>
      <c r="X3780" t="s">
        <v>46573</v>
      </c>
    </row>
    <row r="3781" spans="1:24">
      <c r="A3781">
        <f>HYPERLINK("https://www.philgeps.gov.ph/GEPSNONPILOT/Tender/SplashBidNoticeAbstractUI.aspx?menuIndex=3&amp;refID=7063390&amp;Result=3","7063390")</f>
        <v>0</v>
      </c>
      <c r="B3781" t="s">
        <v>1432</v>
      </c>
      <c r="C3781" t="s">
        <v>7170</v>
      </c>
      <c r="D3781" t="s">
        <v>18806</v>
      </c>
      <c r="E3781" t="s">
        <v>22305</v>
      </c>
      <c r="F3781" t="s">
        <v>32664</v>
      </c>
      <c r="G3781" t="s">
        <v>32674</v>
      </c>
      <c r="H3781" t="s">
        <v>12635</v>
      </c>
      <c r="I3781" t="s">
        <v>32731</v>
      </c>
      <c r="J3781" t="s">
        <v>33069</v>
      </c>
      <c r="K3781" t="s">
        <v>42281</v>
      </c>
      <c r="M3781" t="s">
        <v>44092</v>
      </c>
      <c r="N3781" t="s">
        <v>46569</v>
      </c>
      <c r="O3781" t="s">
        <v>46570</v>
      </c>
      <c r="P3781">
        <v>0</v>
      </c>
      <c r="Q3781">
        <v>0</v>
      </c>
      <c r="R3781" t="s">
        <v>46572</v>
      </c>
      <c r="S3781" t="s">
        <v>46689</v>
      </c>
      <c r="T3781" t="s">
        <v>48316</v>
      </c>
      <c r="U3781" t="s">
        <v>51911</v>
      </c>
      <c r="W3781" t="s">
        <v>44092</v>
      </c>
      <c r="X3781" t="s">
        <v>46573</v>
      </c>
    </row>
    <row r="3782" spans="1:24">
      <c r="A3782">
        <f>HYPERLINK("https://www.philgeps.gov.ph/GEPSNONPILOT/Tender/SplashBidNoticeAbstractUI.aspx?menuIndex=3&amp;refID=7063386&amp;Result=3","7063386")</f>
        <v>0</v>
      </c>
      <c r="B3782" t="s">
        <v>1094</v>
      </c>
      <c r="C3782" t="s">
        <v>7171</v>
      </c>
      <c r="D3782" t="s">
        <v>18822</v>
      </c>
      <c r="E3782" t="s">
        <v>22306</v>
      </c>
      <c r="F3782" t="s">
        <v>32664</v>
      </c>
      <c r="G3782" t="s">
        <v>32674</v>
      </c>
      <c r="H3782" t="s">
        <v>12635</v>
      </c>
      <c r="I3782" t="s">
        <v>4439</v>
      </c>
      <c r="J3782" t="s">
        <v>33147</v>
      </c>
      <c r="K3782" t="s">
        <v>42284</v>
      </c>
      <c r="M3782" t="s">
        <v>43722</v>
      </c>
      <c r="N3782" t="s">
        <v>46569</v>
      </c>
      <c r="O3782" t="s">
        <v>46570</v>
      </c>
      <c r="P3782">
        <v>0</v>
      </c>
      <c r="Q3782">
        <v>1</v>
      </c>
      <c r="R3782" t="s">
        <v>46572</v>
      </c>
      <c r="S3782" t="s">
        <v>46689</v>
      </c>
      <c r="T3782" t="s">
        <v>48256</v>
      </c>
      <c r="U3782" t="s">
        <v>51912</v>
      </c>
      <c r="W3782" t="s">
        <v>43722</v>
      </c>
      <c r="X3782" t="s">
        <v>46573</v>
      </c>
    </row>
    <row r="3783" spans="1:24">
      <c r="A3783">
        <f>HYPERLINK("https://www.philgeps.gov.ph/GEPSNONPILOT/Tender/SplashBidNoticeAbstractUI.aspx?menuIndex=3&amp;refID=7063376&amp;Result=3","7063376")</f>
        <v>0</v>
      </c>
      <c r="B3783" t="s">
        <v>1342</v>
      </c>
      <c r="C3783" t="s">
        <v>7172</v>
      </c>
      <c r="D3783" t="s">
        <v>18787</v>
      </c>
      <c r="E3783" t="s">
        <v>22307</v>
      </c>
      <c r="F3783" t="s">
        <v>32664</v>
      </c>
      <c r="G3783" t="s">
        <v>32671</v>
      </c>
      <c r="H3783" t="s">
        <v>12635</v>
      </c>
      <c r="I3783" t="s">
        <v>6628</v>
      </c>
      <c r="J3783" t="s">
        <v>33118</v>
      </c>
      <c r="K3783" t="s">
        <v>42283</v>
      </c>
      <c r="M3783" t="s">
        <v>43992</v>
      </c>
      <c r="N3783" t="s">
        <v>46569</v>
      </c>
      <c r="O3783" t="s">
        <v>46570</v>
      </c>
      <c r="P3783">
        <v>0</v>
      </c>
      <c r="Q3783">
        <v>5</v>
      </c>
      <c r="R3783" t="s">
        <v>46572</v>
      </c>
      <c r="S3783" t="s">
        <v>46689</v>
      </c>
      <c r="T3783" t="s">
        <v>48293</v>
      </c>
      <c r="U3783" t="s">
        <v>51749</v>
      </c>
      <c r="W3783" t="s">
        <v>43992</v>
      </c>
      <c r="X3783" t="s">
        <v>46573</v>
      </c>
    </row>
    <row r="3784" spans="1:24">
      <c r="A3784">
        <f>HYPERLINK("https://www.philgeps.gov.ph/GEPSNONPILOT/Tender/SplashBidNoticeAbstractUI.aspx?menuIndex=3&amp;refID=7063384&amp;Result=3","7063384")</f>
        <v>0</v>
      </c>
      <c r="B3784" t="s">
        <v>908</v>
      </c>
      <c r="C3784" t="s">
        <v>7173</v>
      </c>
      <c r="E3784" t="s">
        <v>22308</v>
      </c>
      <c r="F3784" t="s">
        <v>32664</v>
      </c>
      <c r="G3784" t="s">
        <v>32673</v>
      </c>
      <c r="H3784" t="s">
        <v>12635</v>
      </c>
      <c r="I3784" t="s">
        <v>32736</v>
      </c>
      <c r="J3784" t="s">
        <v>35316</v>
      </c>
      <c r="K3784" t="s">
        <v>42281</v>
      </c>
      <c r="M3784" t="s">
        <v>43514</v>
      </c>
      <c r="N3784" t="s">
        <v>46569</v>
      </c>
      <c r="O3784" t="s">
        <v>46570</v>
      </c>
      <c r="P3784">
        <v>0</v>
      </c>
      <c r="Q3784">
        <v>1</v>
      </c>
      <c r="R3784" t="s">
        <v>46572</v>
      </c>
      <c r="S3784" t="s">
        <v>46689</v>
      </c>
      <c r="T3784" t="s">
        <v>48220</v>
      </c>
      <c r="U3784" t="s">
        <v>51913</v>
      </c>
      <c r="V3784" t="s">
        <v>61845</v>
      </c>
      <c r="W3784" t="s">
        <v>43514</v>
      </c>
      <c r="X3784" t="s">
        <v>46573</v>
      </c>
    </row>
    <row r="3785" spans="1:24">
      <c r="A3785">
        <f>HYPERLINK("https://www.philgeps.gov.ph/GEPSNONPILOT/Tender/SplashBidNoticeAbstractUI.aspx?menuIndex=3&amp;refID=7063381&amp;Result=3","7063381")</f>
        <v>0</v>
      </c>
      <c r="B3785" t="s">
        <v>1433</v>
      </c>
      <c r="C3785" t="s">
        <v>7174</v>
      </c>
      <c r="D3785" t="s">
        <v>18792</v>
      </c>
      <c r="E3785" t="s">
        <v>22309</v>
      </c>
      <c r="F3785" t="s">
        <v>32664</v>
      </c>
      <c r="G3785" t="s">
        <v>32674</v>
      </c>
      <c r="H3785" t="s">
        <v>32683</v>
      </c>
      <c r="I3785" t="s">
        <v>4439</v>
      </c>
      <c r="J3785" t="s">
        <v>35317</v>
      </c>
      <c r="K3785" t="s">
        <v>42281</v>
      </c>
      <c r="M3785" t="s">
        <v>44093</v>
      </c>
      <c r="N3785" t="s">
        <v>46569</v>
      </c>
      <c r="O3785" t="s">
        <v>46570</v>
      </c>
      <c r="P3785">
        <v>0</v>
      </c>
      <c r="Q3785">
        <v>0</v>
      </c>
      <c r="R3785" t="s">
        <v>46572</v>
      </c>
      <c r="S3785" t="s">
        <v>46689</v>
      </c>
      <c r="T3785" t="s">
        <v>48249</v>
      </c>
      <c r="U3785" t="s">
        <v>51914</v>
      </c>
      <c r="W3785" t="s">
        <v>44093</v>
      </c>
      <c r="X3785" t="s">
        <v>46573</v>
      </c>
    </row>
    <row r="3786" spans="1:24">
      <c r="A3786">
        <f>HYPERLINK("https://www.philgeps.gov.ph/GEPSNONPILOT/Tender/SplashBidNoticeAbstractUI.aspx?menuIndex=3&amp;refID=7063415&amp;Result=3","7063415")</f>
        <v>0</v>
      </c>
      <c r="B3786" t="s">
        <v>807</v>
      </c>
      <c r="C3786" t="s">
        <v>7175</v>
      </c>
      <c r="D3786" t="s">
        <v>18784</v>
      </c>
      <c r="E3786" t="s">
        <v>22310</v>
      </c>
      <c r="F3786" t="s">
        <v>32664</v>
      </c>
      <c r="G3786" t="s">
        <v>32672</v>
      </c>
      <c r="H3786" t="s">
        <v>12635</v>
      </c>
      <c r="I3786" t="s">
        <v>32712</v>
      </c>
      <c r="J3786" t="s">
        <v>35318</v>
      </c>
      <c r="K3786" t="s">
        <v>42283</v>
      </c>
      <c r="M3786" t="s">
        <v>43817</v>
      </c>
      <c r="N3786" t="s">
        <v>46569</v>
      </c>
      <c r="O3786" t="s">
        <v>46570</v>
      </c>
      <c r="P3786">
        <v>0</v>
      </c>
      <c r="Q3786">
        <v>26</v>
      </c>
      <c r="R3786" t="s">
        <v>46572</v>
      </c>
      <c r="S3786" t="s">
        <v>46689</v>
      </c>
      <c r="T3786" t="s">
        <v>48222</v>
      </c>
      <c r="U3786" t="s">
        <v>51284</v>
      </c>
      <c r="W3786" t="s">
        <v>43817</v>
      </c>
      <c r="X3786" t="s">
        <v>46573</v>
      </c>
    </row>
    <row r="3787" spans="1:24">
      <c r="A3787">
        <f>HYPERLINK("https://www.philgeps.gov.ph/GEPSNONPILOT/Tender/SplashBidNoticeAbstractUI.aspx?menuIndex=3&amp;refID=7063414&amp;Result=3","7063414")</f>
        <v>0</v>
      </c>
      <c r="B3787" t="s">
        <v>238</v>
      </c>
      <c r="C3787" t="s">
        <v>5193</v>
      </c>
      <c r="D3787" t="s">
        <v>18798</v>
      </c>
      <c r="E3787" t="s">
        <v>22311</v>
      </c>
      <c r="F3787" t="s">
        <v>32664</v>
      </c>
      <c r="G3787" t="s">
        <v>32675</v>
      </c>
      <c r="H3787" t="s">
        <v>12635</v>
      </c>
      <c r="I3787" t="s">
        <v>8730</v>
      </c>
      <c r="J3787" t="s">
        <v>33215</v>
      </c>
      <c r="K3787" t="s">
        <v>42295</v>
      </c>
      <c r="M3787" t="s">
        <v>42909</v>
      </c>
      <c r="N3787" t="s">
        <v>46569</v>
      </c>
      <c r="O3787" t="s">
        <v>46570</v>
      </c>
      <c r="P3787">
        <v>0</v>
      </c>
      <c r="Q3787">
        <v>3</v>
      </c>
      <c r="R3787" t="s">
        <v>46572</v>
      </c>
      <c r="S3787" t="s">
        <v>46689</v>
      </c>
      <c r="T3787" t="s">
        <v>48219</v>
      </c>
      <c r="U3787" t="s">
        <v>51915</v>
      </c>
      <c r="V3787" t="s">
        <v>62006</v>
      </c>
      <c r="W3787" t="s">
        <v>42909</v>
      </c>
      <c r="X3787" t="s">
        <v>46573</v>
      </c>
    </row>
    <row r="3788" spans="1:24">
      <c r="A3788">
        <f>HYPERLINK("https://www.philgeps.gov.ph/GEPSNONPILOT/Tender/SplashBidNoticeAbstractUI.aspx?menuIndex=3&amp;refID=7063413&amp;Result=3","7063413")</f>
        <v>0</v>
      </c>
      <c r="B3788" t="s">
        <v>1379</v>
      </c>
      <c r="C3788" t="s">
        <v>7176</v>
      </c>
      <c r="D3788" t="s">
        <v>18816</v>
      </c>
      <c r="E3788" t="s">
        <v>22312</v>
      </c>
      <c r="F3788" t="s">
        <v>32664</v>
      </c>
      <c r="G3788" t="s">
        <v>32671</v>
      </c>
      <c r="H3788" t="s">
        <v>12635</v>
      </c>
      <c r="I3788" t="s">
        <v>32708</v>
      </c>
      <c r="J3788" t="s">
        <v>35319</v>
      </c>
      <c r="K3788" t="s">
        <v>42283</v>
      </c>
      <c r="M3788" t="s">
        <v>44034</v>
      </c>
      <c r="N3788" t="s">
        <v>46569</v>
      </c>
      <c r="O3788" t="s">
        <v>46570</v>
      </c>
      <c r="P3788">
        <v>0</v>
      </c>
      <c r="Q3788">
        <v>1</v>
      </c>
      <c r="R3788" t="s">
        <v>46572</v>
      </c>
      <c r="S3788" t="s">
        <v>46689</v>
      </c>
      <c r="T3788" t="s">
        <v>48285</v>
      </c>
      <c r="U3788" t="s">
        <v>51750</v>
      </c>
      <c r="W3788" t="s">
        <v>44034</v>
      </c>
      <c r="X3788" t="s">
        <v>46573</v>
      </c>
    </row>
    <row r="3789" spans="1:24">
      <c r="A3789">
        <f>HYPERLINK("https://www.philgeps.gov.ph/GEPSNONPILOT/Tender/SplashBidNoticeAbstractUI.aspx?menuIndex=3&amp;refID=7063377&amp;Result=3","7063377")</f>
        <v>0</v>
      </c>
      <c r="B3789" t="s">
        <v>1415</v>
      </c>
      <c r="C3789" t="s">
        <v>7177</v>
      </c>
      <c r="D3789" t="s">
        <v>18794</v>
      </c>
      <c r="E3789" t="s">
        <v>22313</v>
      </c>
      <c r="F3789" t="s">
        <v>32664</v>
      </c>
      <c r="G3789" t="s">
        <v>32671</v>
      </c>
      <c r="H3789" t="s">
        <v>12635</v>
      </c>
      <c r="I3789" t="s">
        <v>5589</v>
      </c>
      <c r="J3789" t="s">
        <v>32984</v>
      </c>
      <c r="K3789" t="s">
        <v>42298</v>
      </c>
      <c r="M3789" t="s">
        <v>44073</v>
      </c>
      <c r="N3789" t="s">
        <v>46569</v>
      </c>
      <c r="O3789" t="s">
        <v>46570</v>
      </c>
      <c r="P3789">
        <v>0</v>
      </c>
      <c r="Q3789">
        <v>0</v>
      </c>
      <c r="R3789" t="s">
        <v>46572</v>
      </c>
      <c r="S3789" t="s">
        <v>46689</v>
      </c>
      <c r="T3789" t="s">
        <v>48293</v>
      </c>
      <c r="U3789" t="s">
        <v>51916</v>
      </c>
      <c r="W3789" t="s">
        <v>63512</v>
      </c>
      <c r="X3789" t="s">
        <v>46573</v>
      </c>
    </row>
    <row r="3790" spans="1:24">
      <c r="A3790">
        <f>HYPERLINK("https://www.philgeps.gov.ph/GEPSNONPILOT/Tender/SplashBidNoticeAbstractUI.aspx?menuIndex=3&amp;refID=7063411&amp;Result=3","7063411")</f>
        <v>0</v>
      </c>
      <c r="B3790" t="s">
        <v>468</v>
      </c>
      <c r="C3790" t="s">
        <v>7178</v>
      </c>
      <c r="D3790" t="s">
        <v>18827</v>
      </c>
      <c r="E3790" t="s">
        <v>22314</v>
      </c>
      <c r="F3790" t="s">
        <v>32664</v>
      </c>
      <c r="G3790" t="s">
        <v>32671</v>
      </c>
      <c r="H3790" t="s">
        <v>12635</v>
      </c>
      <c r="I3790" t="s">
        <v>32724</v>
      </c>
      <c r="J3790" t="s">
        <v>34247</v>
      </c>
      <c r="K3790" t="s">
        <v>42289</v>
      </c>
      <c r="M3790" t="s">
        <v>43043</v>
      </c>
      <c r="N3790" t="s">
        <v>46569</v>
      </c>
      <c r="O3790" t="s">
        <v>46570</v>
      </c>
      <c r="P3790">
        <v>0</v>
      </c>
      <c r="Q3790">
        <v>0</v>
      </c>
      <c r="R3790" t="s">
        <v>46572</v>
      </c>
      <c r="S3790" t="s">
        <v>46689</v>
      </c>
      <c r="T3790" t="s">
        <v>48312</v>
      </c>
      <c r="U3790" t="s">
        <v>49617</v>
      </c>
      <c r="V3790" t="s">
        <v>62007</v>
      </c>
      <c r="W3790" t="s">
        <v>43043</v>
      </c>
      <c r="X3790" t="s">
        <v>46573</v>
      </c>
    </row>
    <row r="3791" spans="1:24">
      <c r="A3791">
        <f>HYPERLINK("https://www.philgeps.gov.ph/GEPSNONPILOT/Tender/SplashBidNoticeAbstractUI.aspx?menuIndex=3&amp;refID=7063416&amp;Result=3","7063416")</f>
        <v>0</v>
      </c>
      <c r="B3791" t="s">
        <v>1434</v>
      </c>
      <c r="C3791" t="s">
        <v>7179</v>
      </c>
      <c r="E3791" t="s">
        <v>22315</v>
      </c>
      <c r="F3791" t="s">
        <v>32665</v>
      </c>
      <c r="G3791" t="s">
        <v>32671</v>
      </c>
      <c r="H3791" t="s">
        <v>12635</v>
      </c>
      <c r="I3791" t="s">
        <v>4997</v>
      </c>
      <c r="J3791" t="s">
        <v>35320</v>
      </c>
      <c r="K3791" t="s">
        <v>42311</v>
      </c>
      <c r="M3791" t="s">
        <v>44094</v>
      </c>
      <c r="N3791" t="s">
        <v>46569</v>
      </c>
      <c r="O3791" t="s">
        <v>46570</v>
      </c>
      <c r="P3791">
        <v>0</v>
      </c>
      <c r="Q3791">
        <v>2</v>
      </c>
      <c r="R3791" t="s">
        <v>46572</v>
      </c>
      <c r="S3791" t="s">
        <v>46689</v>
      </c>
      <c r="T3791" t="s">
        <v>48285</v>
      </c>
      <c r="U3791" t="s">
        <v>51917</v>
      </c>
      <c r="W3791" t="s">
        <v>44094</v>
      </c>
      <c r="X3791" t="s">
        <v>46573</v>
      </c>
    </row>
    <row r="3792" spans="1:24">
      <c r="A3792">
        <f>HYPERLINK("https://www.philgeps.gov.ph/GEPSNONPILOT/Tender/SplashBidNoticeAbstractUI.aspx?menuIndex=3&amp;refID=7063378&amp;Result=3","7063378")</f>
        <v>0</v>
      </c>
      <c r="B3792" t="s">
        <v>1258</v>
      </c>
      <c r="C3792" t="s">
        <v>5191</v>
      </c>
      <c r="D3792" t="s">
        <v>18801</v>
      </c>
      <c r="E3792" t="s">
        <v>22316</v>
      </c>
      <c r="F3792" t="s">
        <v>32664</v>
      </c>
      <c r="G3792" t="s">
        <v>32671</v>
      </c>
      <c r="H3792" t="s">
        <v>32682</v>
      </c>
      <c r="I3792" t="s">
        <v>6168</v>
      </c>
      <c r="J3792" t="s">
        <v>33126</v>
      </c>
      <c r="K3792" t="s">
        <v>42284</v>
      </c>
      <c r="M3792" t="s">
        <v>43900</v>
      </c>
      <c r="N3792" t="s">
        <v>46569</v>
      </c>
      <c r="O3792" t="s">
        <v>46570</v>
      </c>
      <c r="P3792">
        <v>0</v>
      </c>
      <c r="Q3792">
        <v>1</v>
      </c>
      <c r="R3792" t="s">
        <v>46572</v>
      </c>
      <c r="S3792" t="s">
        <v>46689</v>
      </c>
      <c r="T3792" t="s">
        <v>48219</v>
      </c>
      <c r="U3792" t="s">
        <v>51918</v>
      </c>
      <c r="W3792" t="s">
        <v>43900</v>
      </c>
      <c r="X3792" t="s">
        <v>46573</v>
      </c>
    </row>
    <row r="3793" spans="1:24">
      <c r="A3793">
        <f>HYPERLINK("https://www.philgeps.gov.ph/GEPSNONPILOT/Tender/SplashBidNoticeAbstractUI.aspx?menuIndex=3&amp;refID=7063405&amp;Result=3","7063405")</f>
        <v>0</v>
      </c>
      <c r="B3793" t="s">
        <v>1088</v>
      </c>
      <c r="C3793" t="s">
        <v>7180</v>
      </c>
      <c r="D3793" t="s">
        <v>18804</v>
      </c>
      <c r="E3793" t="s">
        <v>22317</v>
      </c>
      <c r="F3793" t="s">
        <v>32664</v>
      </c>
      <c r="G3793" t="s">
        <v>32672</v>
      </c>
      <c r="H3793" t="s">
        <v>32683</v>
      </c>
      <c r="I3793" t="s">
        <v>10627</v>
      </c>
      <c r="J3793" t="s">
        <v>35321</v>
      </c>
      <c r="K3793" t="s">
        <v>42296</v>
      </c>
      <c r="M3793" t="s">
        <v>43714</v>
      </c>
      <c r="N3793" t="s">
        <v>46569</v>
      </c>
      <c r="O3793" t="s">
        <v>46570</v>
      </c>
      <c r="P3793">
        <v>0</v>
      </c>
      <c r="Q3793">
        <v>0</v>
      </c>
      <c r="R3793" t="s">
        <v>46572</v>
      </c>
      <c r="S3793" t="s">
        <v>46689</v>
      </c>
      <c r="T3793" t="s">
        <v>48275</v>
      </c>
      <c r="U3793" t="s">
        <v>51833</v>
      </c>
      <c r="V3793" t="s">
        <v>61896</v>
      </c>
      <c r="W3793" t="s">
        <v>43714</v>
      </c>
      <c r="X3793" t="s">
        <v>46573</v>
      </c>
    </row>
    <row r="3794" spans="1:24">
      <c r="A3794">
        <f>HYPERLINK("https://www.philgeps.gov.ph/GEPSNONPILOT/Tender/SplashBidNoticeAbstractUI.aspx?menuIndex=3&amp;refID=7063410&amp;Result=3","7063410")</f>
        <v>0</v>
      </c>
      <c r="B3794" t="s">
        <v>1210</v>
      </c>
      <c r="C3794" t="s">
        <v>7181</v>
      </c>
      <c r="D3794" t="s">
        <v>18788</v>
      </c>
      <c r="E3794" t="s">
        <v>22318</v>
      </c>
      <c r="F3794" t="s">
        <v>32664</v>
      </c>
      <c r="G3794" t="s">
        <v>32672</v>
      </c>
      <c r="H3794" t="s">
        <v>32683</v>
      </c>
      <c r="I3794" t="s">
        <v>10627</v>
      </c>
      <c r="J3794" t="s">
        <v>35322</v>
      </c>
      <c r="K3794" t="s">
        <v>42283</v>
      </c>
      <c r="M3794" t="s">
        <v>43848</v>
      </c>
      <c r="N3794" t="s">
        <v>46569</v>
      </c>
      <c r="O3794" t="s">
        <v>46570</v>
      </c>
      <c r="P3794">
        <v>0</v>
      </c>
      <c r="Q3794">
        <v>0</v>
      </c>
      <c r="R3794" t="s">
        <v>46572</v>
      </c>
      <c r="S3794" t="s">
        <v>46689</v>
      </c>
      <c r="T3794" t="s">
        <v>48226</v>
      </c>
      <c r="U3794" t="s">
        <v>51362</v>
      </c>
      <c r="W3794" t="s">
        <v>43848</v>
      </c>
      <c r="X3794" t="s">
        <v>46573</v>
      </c>
    </row>
    <row r="3795" spans="1:24">
      <c r="A3795">
        <f>HYPERLINK("https://www.philgeps.gov.ph/GEPSNONPILOT/Tender/SplashBidNoticeAbstractUI.aspx?menuIndex=3&amp;refID=7063408&amp;Result=3","7063408")</f>
        <v>0</v>
      </c>
      <c r="B3795" t="s">
        <v>1226</v>
      </c>
      <c r="C3795" t="s">
        <v>7182</v>
      </c>
      <c r="D3795" t="s">
        <v>18826</v>
      </c>
      <c r="E3795" t="s">
        <v>22319</v>
      </c>
      <c r="F3795" t="s">
        <v>32664</v>
      </c>
      <c r="G3795" t="s">
        <v>32671</v>
      </c>
      <c r="H3795" t="s">
        <v>12635</v>
      </c>
      <c r="I3795" t="s">
        <v>9486</v>
      </c>
      <c r="J3795" t="s">
        <v>35323</v>
      </c>
      <c r="K3795" t="s">
        <v>42297</v>
      </c>
      <c r="M3795" t="s">
        <v>43865</v>
      </c>
      <c r="N3795" t="s">
        <v>46569</v>
      </c>
      <c r="O3795" t="s">
        <v>46570</v>
      </c>
      <c r="P3795">
        <v>0</v>
      </c>
      <c r="Q3795">
        <v>3</v>
      </c>
      <c r="R3795" t="s">
        <v>46572</v>
      </c>
      <c r="S3795" t="s">
        <v>46689</v>
      </c>
      <c r="T3795" t="s">
        <v>48267</v>
      </c>
      <c r="U3795" t="s">
        <v>51919</v>
      </c>
      <c r="W3795" t="s">
        <v>43865</v>
      </c>
      <c r="X3795" t="s">
        <v>46573</v>
      </c>
    </row>
    <row r="3796" spans="1:24">
      <c r="A3796">
        <f>HYPERLINK("https://www.philgeps.gov.ph/GEPSNONPILOT/Tender/SplashBidNoticeAbstractUI.aspx?menuIndex=3&amp;refID=7063404&amp;Result=3","7063404")</f>
        <v>0</v>
      </c>
      <c r="B3796" t="s">
        <v>1410</v>
      </c>
      <c r="C3796" t="s">
        <v>7183</v>
      </c>
      <c r="D3796" t="s">
        <v>18803</v>
      </c>
      <c r="E3796" t="s">
        <v>22320</v>
      </c>
      <c r="F3796" t="s">
        <v>32664</v>
      </c>
      <c r="G3796" t="s">
        <v>32672</v>
      </c>
      <c r="H3796" t="s">
        <v>12635</v>
      </c>
      <c r="I3796" t="s">
        <v>32699</v>
      </c>
      <c r="J3796" t="s">
        <v>35324</v>
      </c>
      <c r="K3796" t="s">
        <v>42283</v>
      </c>
      <c r="M3796" t="s">
        <v>44067</v>
      </c>
      <c r="N3796" t="s">
        <v>46569</v>
      </c>
      <c r="O3796" t="s">
        <v>46570</v>
      </c>
      <c r="P3796">
        <v>0</v>
      </c>
      <c r="Q3796">
        <v>0</v>
      </c>
      <c r="R3796" t="s">
        <v>46572</v>
      </c>
      <c r="S3796" t="s">
        <v>46689</v>
      </c>
      <c r="T3796" t="s">
        <v>48275</v>
      </c>
      <c r="U3796" t="s">
        <v>51920</v>
      </c>
      <c r="V3796" t="s">
        <v>62008</v>
      </c>
      <c r="W3796" t="s">
        <v>44067</v>
      </c>
      <c r="X3796" t="s">
        <v>46573</v>
      </c>
    </row>
    <row r="3797" spans="1:24">
      <c r="A3797">
        <f>HYPERLINK("https://www.philgeps.gov.ph/GEPSNONPILOT/Tender/SplashBidNoticeAbstractUI.aspx?menuIndex=3&amp;refID=7063389&amp;Result=3","7063389")</f>
        <v>0</v>
      </c>
      <c r="B3797" t="s">
        <v>1244</v>
      </c>
      <c r="C3797" t="s">
        <v>7184</v>
      </c>
      <c r="D3797" t="s">
        <v>18807</v>
      </c>
      <c r="E3797" t="s">
        <v>22321</v>
      </c>
      <c r="F3797" t="s">
        <v>32664</v>
      </c>
      <c r="G3797" t="s">
        <v>32674</v>
      </c>
      <c r="H3797" t="s">
        <v>12635</v>
      </c>
      <c r="I3797" t="s">
        <v>10361</v>
      </c>
      <c r="J3797" t="s">
        <v>35325</v>
      </c>
      <c r="K3797" t="s">
        <v>42295</v>
      </c>
      <c r="M3797" t="s">
        <v>43886</v>
      </c>
      <c r="N3797" t="s">
        <v>46569</v>
      </c>
      <c r="O3797" t="s">
        <v>46570</v>
      </c>
      <c r="P3797">
        <v>0</v>
      </c>
      <c r="Q3797">
        <v>0</v>
      </c>
      <c r="R3797" t="s">
        <v>46572</v>
      </c>
      <c r="S3797" t="s">
        <v>46689</v>
      </c>
      <c r="T3797" t="s">
        <v>48290</v>
      </c>
      <c r="U3797" t="s">
        <v>51921</v>
      </c>
      <c r="W3797" t="s">
        <v>43886</v>
      </c>
      <c r="X3797" t="s">
        <v>46573</v>
      </c>
    </row>
    <row r="3798" spans="1:24">
      <c r="A3798">
        <f>HYPERLINK("https://www.philgeps.gov.ph/GEPSNONPILOT/Tender/SplashBidNoticeAbstractUI.aspx?menuIndex=3&amp;refID=7063407&amp;Result=3","7063407")</f>
        <v>0</v>
      </c>
      <c r="B3798" t="s">
        <v>908</v>
      </c>
      <c r="C3798" t="s">
        <v>7185</v>
      </c>
      <c r="E3798" t="s">
        <v>22322</v>
      </c>
      <c r="F3798" t="s">
        <v>32664</v>
      </c>
      <c r="G3798" t="s">
        <v>32673</v>
      </c>
      <c r="H3798" t="s">
        <v>12635</v>
      </c>
      <c r="I3798" t="s">
        <v>32779</v>
      </c>
      <c r="J3798" t="s">
        <v>35326</v>
      </c>
      <c r="K3798" t="s">
        <v>42281</v>
      </c>
      <c r="M3798" t="s">
        <v>43514</v>
      </c>
      <c r="N3798" t="s">
        <v>46569</v>
      </c>
      <c r="O3798" t="s">
        <v>46570</v>
      </c>
      <c r="P3798">
        <v>0</v>
      </c>
      <c r="Q3798">
        <v>0</v>
      </c>
      <c r="R3798" t="s">
        <v>46572</v>
      </c>
      <c r="S3798" t="s">
        <v>46689</v>
      </c>
      <c r="T3798" t="s">
        <v>48220</v>
      </c>
      <c r="U3798" t="s">
        <v>51922</v>
      </c>
      <c r="V3798" t="s">
        <v>61845</v>
      </c>
      <c r="W3798" t="s">
        <v>43514</v>
      </c>
      <c r="X3798" t="s">
        <v>46573</v>
      </c>
    </row>
    <row r="3799" spans="1:24">
      <c r="A3799">
        <f>HYPERLINK("https://www.philgeps.gov.ph/GEPSNONPILOT/Tender/SplashBidNoticeAbstractUI.aspx?menuIndex=3&amp;refID=7063422&amp;Result=3","7063422")</f>
        <v>0</v>
      </c>
      <c r="B3799" t="s">
        <v>1435</v>
      </c>
      <c r="C3799" t="s">
        <v>7186</v>
      </c>
      <c r="D3799" t="s">
        <v>18801</v>
      </c>
      <c r="E3799" t="s">
        <v>22323</v>
      </c>
      <c r="F3799" t="s">
        <v>32664</v>
      </c>
      <c r="G3799" t="s">
        <v>32674</v>
      </c>
      <c r="H3799" t="s">
        <v>12635</v>
      </c>
      <c r="I3799" t="s">
        <v>8730</v>
      </c>
      <c r="J3799" t="s">
        <v>33349</v>
      </c>
      <c r="K3799" t="s">
        <v>42284</v>
      </c>
      <c r="M3799" t="s">
        <v>44095</v>
      </c>
      <c r="N3799" t="s">
        <v>46569</v>
      </c>
      <c r="O3799" t="s">
        <v>46570</v>
      </c>
      <c r="P3799">
        <v>0</v>
      </c>
      <c r="Q3799">
        <v>3</v>
      </c>
      <c r="R3799" t="s">
        <v>46572</v>
      </c>
      <c r="S3799" t="s">
        <v>46689</v>
      </c>
      <c r="T3799" t="s">
        <v>48254</v>
      </c>
      <c r="U3799" t="s">
        <v>51923</v>
      </c>
      <c r="W3799" t="s">
        <v>44095</v>
      </c>
      <c r="X3799" t="s">
        <v>46573</v>
      </c>
    </row>
    <row r="3800" spans="1:24">
      <c r="A3800">
        <f>HYPERLINK("https://www.philgeps.gov.ph/GEPSNONPILOT/Tender/SplashBidNoticeAbstractUI.aspx?menuIndex=3&amp;refID=7063409&amp;Result=3","7063409")</f>
        <v>0</v>
      </c>
      <c r="B3800" t="s">
        <v>75</v>
      </c>
      <c r="C3800" t="s">
        <v>7187</v>
      </c>
      <c r="D3800" t="s">
        <v>18806</v>
      </c>
      <c r="E3800" t="s">
        <v>22324</v>
      </c>
      <c r="F3800" t="s">
        <v>32664</v>
      </c>
      <c r="G3800" t="s">
        <v>32672</v>
      </c>
      <c r="H3800" t="s">
        <v>12635</v>
      </c>
      <c r="I3800" t="s">
        <v>5589</v>
      </c>
      <c r="J3800" t="s">
        <v>32943</v>
      </c>
      <c r="K3800" t="s">
        <v>42298</v>
      </c>
      <c r="M3800" t="s">
        <v>44096</v>
      </c>
      <c r="N3800" t="s">
        <v>46569</v>
      </c>
      <c r="O3800" t="s">
        <v>46570</v>
      </c>
      <c r="P3800">
        <v>0</v>
      </c>
      <c r="Q3800">
        <v>5</v>
      </c>
      <c r="R3800" t="s">
        <v>46572</v>
      </c>
      <c r="S3800" t="s">
        <v>46689</v>
      </c>
      <c r="T3800" t="s">
        <v>48360</v>
      </c>
      <c r="U3800" t="s">
        <v>51924</v>
      </c>
      <c r="W3800" t="s">
        <v>44096</v>
      </c>
      <c r="X3800" t="s">
        <v>46573</v>
      </c>
    </row>
    <row r="3801" spans="1:24">
      <c r="A3801">
        <f>HYPERLINK("https://www.philgeps.gov.ph/GEPSNONPILOT/Tender/SplashBidNoticeAbstractUI.aspx?menuIndex=3&amp;refID=7063443&amp;Result=3","7063443")</f>
        <v>0</v>
      </c>
      <c r="B3801" t="s">
        <v>1436</v>
      </c>
      <c r="C3801" t="s">
        <v>7188</v>
      </c>
      <c r="D3801" t="s">
        <v>18810</v>
      </c>
      <c r="E3801" t="s">
        <v>22325</v>
      </c>
      <c r="F3801" t="s">
        <v>32664</v>
      </c>
      <c r="G3801" t="s">
        <v>32671</v>
      </c>
      <c r="H3801" t="s">
        <v>32682</v>
      </c>
      <c r="I3801" t="s">
        <v>32763</v>
      </c>
      <c r="J3801" t="s">
        <v>34076</v>
      </c>
      <c r="K3801" t="s">
        <v>42289</v>
      </c>
      <c r="M3801" t="s">
        <v>44097</v>
      </c>
      <c r="N3801" t="s">
        <v>46569</v>
      </c>
      <c r="O3801" t="s">
        <v>46570</v>
      </c>
      <c r="P3801">
        <v>0</v>
      </c>
      <c r="Q3801">
        <v>2</v>
      </c>
      <c r="R3801" t="s">
        <v>46572</v>
      </c>
      <c r="S3801" t="s">
        <v>46689</v>
      </c>
      <c r="T3801" t="s">
        <v>48226</v>
      </c>
      <c r="U3801" t="s">
        <v>51925</v>
      </c>
      <c r="W3801" t="s">
        <v>44097</v>
      </c>
      <c r="X3801" t="s">
        <v>46573</v>
      </c>
    </row>
    <row r="3802" spans="1:24">
      <c r="A3802">
        <f>HYPERLINK("https://www.philgeps.gov.ph/GEPSNONPILOT/Tender/SplashBidNoticeAbstractUI.aspx?menuIndex=3&amp;refID=7063441&amp;Result=3","7063441")</f>
        <v>0</v>
      </c>
      <c r="B3802" t="s">
        <v>1416</v>
      </c>
      <c r="C3802" t="s">
        <v>7189</v>
      </c>
      <c r="D3802" t="s">
        <v>18784</v>
      </c>
      <c r="E3802" t="s">
        <v>22326</v>
      </c>
      <c r="F3802" t="s">
        <v>32664</v>
      </c>
      <c r="G3802" t="s">
        <v>32672</v>
      </c>
      <c r="H3802" t="s">
        <v>12635</v>
      </c>
      <c r="I3802" t="s">
        <v>32729</v>
      </c>
      <c r="J3802" t="s">
        <v>35327</v>
      </c>
      <c r="K3802" t="s">
        <v>42298</v>
      </c>
      <c r="M3802" t="s">
        <v>44075</v>
      </c>
      <c r="N3802" t="s">
        <v>46569</v>
      </c>
      <c r="O3802" t="s">
        <v>46570</v>
      </c>
      <c r="P3802">
        <v>0</v>
      </c>
      <c r="Q3802">
        <v>3</v>
      </c>
      <c r="R3802" t="s">
        <v>46572</v>
      </c>
      <c r="S3802" t="s">
        <v>46689</v>
      </c>
      <c r="T3802" t="s">
        <v>48366</v>
      </c>
      <c r="U3802" t="s">
        <v>51926</v>
      </c>
      <c r="V3802" t="s">
        <v>62002</v>
      </c>
      <c r="W3802" t="s">
        <v>44075</v>
      </c>
      <c r="X3802" t="s">
        <v>46573</v>
      </c>
    </row>
    <row r="3803" spans="1:24">
      <c r="A3803">
        <f>HYPERLINK("https://www.philgeps.gov.ph/GEPSNONPILOT/Tender/SplashBidNoticeAbstractUI.aspx?menuIndex=3&amp;refID=7063403&amp;Result=3","7063403")</f>
        <v>0</v>
      </c>
      <c r="B3803" t="s">
        <v>1415</v>
      </c>
      <c r="C3803" t="s">
        <v>7190</v>
      </c>
      <c r="D3803" t="s">
        <v>18794</v>
      </c>
      <c r="E3803" t="s">
        <v>22327</v>
      </c>
      <c r="F3803" t="s">
        <v>32664</v>
      </c>
      <c r="G3803" t="s">
        <v>32671</v>
      </c>
      <c r="H3803" t="s">
        <v>12635</v>
      </c>
      <c r="I3803" t="s">
        <v>6168</v>
      </c>
      <c r="J3803" t="s">
        <v>33049</v>
      </c>
      <c r="K3803" t="s">
        <v>42298</v>
      </c>
      <c r="M3803" t="s">
        <v>44073</v>
      </c>
      <c r="N3803" t="s">
        <v>46569</v>
      </c>
      <c r="O3803" t="s">
        <v>46570</v>
      </c>
      <c r="P3803">
        <v>0</v>
      </c>
      <c r="Q3803">
        <v>1</v>
      </c>
      <c r="R3803" t="s">
        <v>46572</v>
      </c>
      <c r="S3803" t="s">
        <v>46689</v>
      </c>
      <c r="T3803" t="s">
        <v>48293</v>
      </c>
      <c r="U3803" t="s">
        <v>51927</v>
      </c>
      <c r="W3803" t="s">
        <v>63512</v>
      </c>
      <c r="X3803" t="s">
        <v>46573</v>
      </c>
    </row>
    <row r="3804" spans="1:24">
      <c r="A3804">
        <f>HYPERLINK("https://www.philgeps.gov.ph/GEPSNONPILOT/Tender/SplashBidNoticeAbstractUI.aspx?menuIndex=3&amp;refID=7063438&amp;Result=3","7063438")</f>
        <v>0</v>
      </c>
      <c r="B3804" t="s">
        <v>1088</v>
      </c>
      <c r="C3804" t="s">
        <v>7191</v>
      </c>
      <c r="D3804" t="s">
        <v>18804</v>
      </c>
      <c r="E3804" t="s">
        <v>22328</v>
      </c>
      <c r="F3804" t="s">
        <v>32664</v>
      </c>
      <c r="G3804" t="s">
        <v>32672</v>
      </c>
      <c r="H3804" t="s">
        <v>32683</v>
      </c>
      <c r="I3804" t="s">
        <v>10627</v>
      </c>
      <c r="J3804" t="s">
        <v>35328</v>
      </c>
      <c r="K3804" t="s">
        <v>42298</v>
      </c>
      <c r="M3804" t="s">
        <v>43714</v>
      </c>
      <c r="N3804" t="s">
        <v>46569</v>
      </c>
      <c r="O3804" t="s">
        <v>46570</v>
      </c>
      <c r="P3804">
        <v>0</v>
      </c>
      <c r="Q3804">
        <v>0</v>
      </c>
      <c r="R3804" t="s">
        <v>46572</v>
      </c>
      <c r="S3804" t="s">
        <v>46689</v>
      </c>
      <c r="T3804" t="s">
        <v>48275</v>
      </c>
      <c r="U3804" t="s">
        <v>51833</v>
      </c>
      <c r="V3804" t="s">
        <v>61896</v>
      </c>
      <c r="W3804" t="s">
        <v>43714</v>
      </c>
      <c r="X3804" t="s">
        <v>46573</v>
      </c>
    </row>
    <row r="3805" spans="1:24">
      <c r="A3805">
        <f>HYPERLINK("https://www.philgeps.gov.ph/GEPSNONPILOT/Tender/SplashBidNoticeAbstractUI.aspx?menuIndex=3&amp;refID=7063402&amp;Result=3","7063402")</f>
        <v>0</v>
      </c>
      <c r="B3805" t="s">
        <v>716</v>
      </c>
      <c r="C3805" t="s">
        <v>7192</v>
      </c>
      <c r="D3805" t="s">
        <v>18842</v>
      </c>
      <c r="E3805" t="s">
        <v>22329</v>
      </c>
      <c r="F3805" t="s">
        <v>32664</v>
      </c>
      <c r="G3805" t="s">
        <v>32672</v>
      </c>
      <c r="H3805" t="s">
        <v>32683</v>
      </c>
      <c r="I3805" t="s">
        <v>10627</v>
      </c>
      <c r="J3805" t="s">
        <v>35329</v>
      </c>
      <c r="K3805" t="s">
        <v>42308</v>
      </c>
      <c r="M3805" t="s">
        <v>43303</v>
      </c>
      <c r="N3805" t="s">
        <v>46569</v>
      </c>
      <c r="O3805" t="s">
        <v>46570</v>
      </c>
      <c r="P3805">
        <v>0</v>
      </c>
      <c r="Q3805">
        <v>1</v>
      </c>
      <c r="R3805" t="s">
        <v>46572</v>
      </c>
      <c r="S3805" t="s">
        <v>46689</v>
      </c>
      <c r="T3805" t="s">
        <v>48216</v>
      </c>
      <c r="U3805" t="s">
        <v>51928</v>
      </c>
      <c r="W3805" t="s">
        <v>43303</v>
      </c>
      <c r="X3805" t="s">
        <v>46573</v>
      </c>
    </row>
    <row r="3806" spans="1:24">
      <c r="A3806">
        <f>HYPERLINK("https://www.philgeps.gov.ph/GEPSNONPILOT/Tender/SplashBidNoticeAbstractUI.aspx?menuIndex=3&amp;refID=7063437&amp;Result=3","7063437")</f>
        <v>0</v>
      </c>
      <c r="B3806" t="s">
        <v>301</v>
      </c>
      <c r="C3806" t="s">
        <v>4254</v>
      </c>
      <c r="D3806" t="s">
        <v>18830</v>
      </c>
      <c r="E3806" t="s">
        <v>22330</v>
      </c>
      <c r="F3806" t="s">
        <v>32664</v>
      </c>
      <c r="G3806" t="s">
        <v>32671</v>
      </c>
      <c r="H3806" t="s">
        <v>12635</v>
      </c>
      <c r="I3806" t="s">
        <v>6168</v>
      </c>
      <c r="J3806" t="s">
        <v>35330</v>
      </c>
      <c r="K3806" t="s">
        <v>42284</v>
      </c>
      <c r="M3806" t="s">
        <v>42868</v>
      </c>
      <c r="N3806" t="s">
        <v>46569</v>
      </c>
      <c r="O3806" t="s">
        <v>46570</v>
      </c>
      <c r="P3806">
        <v>0</v>
      </c>
      <c r="Q3806">
        <v>0</v>
      </c>
      <c r="R3806" t="s">
        <v>46572</v>
      </c>
      <c r="S3806" t="s">
        <v>46689</v>
      </c>
      <c r="T3806" t="s">
        <v>48221</v>
      </c>
      <c r="U3806" t="s">
        <v>51929</v>
      </c>
      <c r="W3806" t="s">
        <v>42868</v>
      </c>
      <c r="X3806" t="s">
        <v>46573</v>
      </c>
    </row>
    <row r="3807" spans="1:24">
      <c r="A3807">
        <f>HYPERLINK("https://www.philgeps.gov.ph/GEPSNONPILOT/Tender/SplashBidNoticeAbstractUI.aspx?menuIndex=3&amp;refID=7063412&amp;Result=3","7063412")</f>
        <v>0</v>
      </c>
      <c r="B3807" t="s">
        <v>231</v>
      </c>
      <c r="C3807" t="s">
        <v>7193</v>
      </c>
      <c r="D3807" t="s">
        <v>18845</v>
      </c>
      <c r="E3807" t="s">
        <v>7193</v>
      </c>
      <c r="F3807" t="s">
        <v>32664</v>
      </c>
      <c r="G3807" t="s">
        <v>32674</v>
      </c>
      <c r="H3807" t="s">
        <v>12635</v>
      </c>
      <c r="I3807" t="s">
        <v>13883</v>
      </c>
      <c r="J3807" t="s">
        <v>32853</v>
      </c>
      <c r="K3807" t="s">
        <v>42281</v>
      </c>
      <c r="M3807" t="s">
        <v>44083</v>
      </c>
      <c r="N3807" t="s">
        <v>46569</v>
      </c>
      <c r="O3807" t="s">
        <v>46570</v>
      </c>
      <c r="P3807">
        <v>0</v>
      </c>
      <c r="Q3807">
        <v>2</v>
      </c>
      <c r="R3807" t="s">
        <v>46572</v>
      </c>
      <c r="S3807" t="s">
        <v>46689</v>
      </c>
      <c r="T3807" t="s">
        <v>48389</v>
      </c>
      <c r="U3807" t="s">
        <v>51930</v>
      </c>
      <c r="W3807" t="s">
        <v>44083</v>
      </c>
      <c r="X3807" t="s">
        <v>46573</v>
      </c>
    </row>
    <row r="3808" spans="1:24">
      <c r="A3808">
        <f>HYPERLINK("https://www.philgeps.gov.ph/GEPSNONPILOT/Tender/SplashBidNoticeAbstractUI.aspx?menuIndex=3&amp;refID=7063434&amp;Result=3","7063434")</f>
        <v>0</v>
      </c>
      <c r="B3808" t="s">
        <v>1437</v>
      </c>
      <c r="C3808" t="s">
        <v>7194</v>
      </c>
      <c r="D3808" t="s">
        <v>18785</v>
      </c>
      <c r="E3808" t="s">
        <v>22331</v>
      </c>
      <c r="F3808" t="s">
        <v>32664</v>
      </c>
      <c r="G3808" t="s">
        <v>32674</v>
      </c>
      <c r="H3808" t="s">
        <v>12635</v>
      </c>
      <c r="I3808" t="s">
        <v>6118</v>
      </c>
      <c r="J3808" t="s">
        <v>33121</v>
      </c>
      <c r="K3808" t="s">
        <v>42284</v>
      </c>
      <c r="M3808" t="s">
        <v>44098</v>
      </c>
      <c r="N3808" t="s">
        <v>46569</v>
      </c>
      <c r="O3808" t="s">
        <v>46570</v>
      </c>
      <c r="P3808">
        <v>0</v>
      </c>
      <c r="Q3808">
        <v>0</v>
      </c>
      <c r="R3808" t="s">
        <v>46572</v>
      </c>
      <c r="S3808" t="s">
        <v>46689</v>
      </c>
      <c r="T3808" t="s">
        <v>48267</v>
      </c>
      <c r="U3808" t="s">
        <v>51931</v>
      </c>
      <c r="W3808" t="s">
        <v>44098</v>
      </c>
      <c r="X3808" t="s">
        <v>46573</v>
      </c>
    </row>
    <row r="3809" spans="1:24">
      <c r="A3809">
        <f>HYPERLINK("https://www.philgeps.gov.ph/GEPSNONPILOT/Tender/SplashBidNoticeAbstractUI.aspx?menuIndex=3&amp;refID=7063431&amp;Result=3","7063431")</f>
        <v>0</v>
      </c>
      <c r="B3809" t="s">
        <v>962</v>
      </c>
      <c r="C3809" t="s">
        <v>7195</v>
      </c>
      <c r="D3809" t="s">
        <v>18784</v>
      </c>
      <c r="E3809" t="s">
        <v>22332</v>
      </c>
      <c r="F3809" t="s">
        <v>32664</v>
      </c>
      <c r="G3809" t="s">
        <v>32671</v>
      </c>
      <c r="H3809" t="s">
        <v>32681</v>
      </c>
      <c r="I3809" t="s">
        <v>32681</v>
      </c>
      <c r="J3809" t="s">
        <v>33051</v>
      </c>
      <c r="K3809" t="s">
        <v>42334</v>
      </c>
      <c r="M3809" t="s">
        <v>44074</v>
      </c>
      <c r="N3809" t="s">
        <v>46569</v>
      </c>
      <c r="O3809" t="s">
        <v>46570</v>
      </c>
      <c r="P3809">
        <v>0</v>
      </c>
      <c r="Q3809">
        <v>1</v>
      </c>
      <c r="R3809" t="s">
        <v>46572</v>
      </c>
      <c r="S3809" t="s">
        <v>46689</v>
      </c>
      <c r="T3809" t="s">
        <v>48217</v>
      </c>
      <c r="U3809" t="s">
        <v>51932</v>
      </c>
      <c r="W3809" t="s">
        <v>44074</v>
      </c>
      <c r="X3809" t="s">
        <v>46573</v>
      </c>
    </row>
    <row r="3810" spans="1:24">
      <c r="A3810">
        <f>HYPERLINK("https://www.philgeps.gov.ph/GEPSNONPILOT/Tender/SplashBidNoticeAbstractUI.aspx?menuIndex=3&amp;refID=7063439&amp;Result=3","7063439")</f>
        <v>0</v>
      </c>
      <c r="B3810" t="s">
        <v>231</v>
      </c>
      <c r="C3810" t="s">
        <v>7196</v>
      </c>
      <c r="D3810" t="s">
        <v>18845</v>
      </c>
      <c r="E3810" t="s">
        <v>7196</v>
      </c>
      <c r="F3810" t="s">
        <v>32664</v>
      </c>
      <c r="G3810" t="s">
        <v>32674</v>
      </c>
      <c r="H3810" t="s">
        <v>12635</v>
      </c>
      <c r="I3810" t="s">
        <v>32685</v>
      </c>
      <c r="J3810" t="s">
        <v>35331</v>
      </c>
      <c r="K3810" t="s">
        <v>42281</v>
      </c>
      <c r="M3810" t="s">
        <v>44083</v>
      </c>
      <c r="N3810" t="s">
        <v>46569</v>
      </c>
      <c r="O3810" t="s">
        <v>46570</v>
      </c>
      <c r="P3810">
        <v>0</v>
      </c>
      <c r="Q3810">
        <v>0</v>
      </c>
      <c r="R3810" t="s">
        <v>46572</v>
      </c>
      <c r="S3810" t="s">
        <v>46689</v>
      </c>
      <c r="T3810" t="s">
        <v>48489</v>
      </c>
      <c r="U3810" t="s">
        <v>51933</v>
      </c>
      <c r="W3810" t="s">
        <v>44083</v>
      </c>
      <c r="X3810" t="s">
        <v>46573</v>
      </c>
    </row>
    <row r="3811" spans="1:24">
      <c r="A3811">
        <f>HYPERLINK("https://www.philgeps.gov.ph/GEPSNONPILOT/Tender/SplashBidNoticeAbstractUI.aspx?menuIndex=3&amp;refID=7063440&amp;Result=3","7063440")</f>
        <v>0</v>
      </c>
      <c r="B3811" t="s">
        <v>1430</v>
      </c>
      <c r="C3811" t="s">
        <v>7197</v>
      </c>
      <c r="D3811" t="s">
        <v>18822</v>
      </c>
      <c r="E3811" t="s">
        <v>22333</v>
      </c>
      <c r="F3811" t="s">
        <v>32665</v>
      </c>
      <c r="G3811" t="s">
        <v>32672</v>
      </c>
      <c r="H3811" t="s">
        <v>12635</v>
      </c>
      <c r="I3811" t="s">
        <v>9597</v>
      </c>
      <c r="J3811" t="s">
        <v>35332</v>
      </c>
      <c r="K3811" t="s">
        <v>42290</v>
      </c>
      <c r="M3811" t="s">
        <v>44090</v>
      </c>
      <c r="N3811" t="s">
        <v>46569</v>
      </c>
      <c r="O3811" t="s">
        <v>46570</v>
      </c>
      <c r="P3811">
        <v>0</v>
      </c>
      <c r="Q3811">
        <v>3</v>
      </c>
      <c r="R3811" t="s">
        <v>46572</v>
      </c>
      <c r="S3811" t="s">
        <v>46689</v>
      </c>
      <c r="T3811" t="s">
        <v>48395</v>
      </c>
      <c r="U3811" t="s">
        <v>51934</v>
      </c>
      <c r="V3811" t="s">
        <v>62009</v>
      </c>
      <c r="W3811" t="s">
        <v>44090</v>
      </c>
      <c r="X3811" t="s">
        <v>46573</v>
      </c>
    </row>
    <row r="3812" spans="1:24">
      <c r="A3812">
        <f>HYPERLINK("https://www.philgeps.gov.ph/GEPSNONPILOT/Tender/SplashBidNoticeAbstractUI.aspx?menuIndex=3&amp;refID=7063435&amp;Result=3","7063435")</f>
        <v>0</v>
      </c>
      <c r="B3812" t="s">
        <v>716</v>
      </c>
      <c r="C3812" t="s">
        <v>7198</v>
      </c>
      <c r="D3812" t="s">
        <v>18842</v>
      </c>
      <c r="E3812" t="s">
        <v>22334</v>
      </c>
      <c r="F3812" t="s">
        <v>32664</v>
      </c>
      <c r="G3812" t="s">
        <v>32672</v>
      </c>
      <c r="H3812" t="s">
        <v>32683</v>
      </c>
      <c r="I3812" t="s">
        <v>10627</v>
      </c>
      <c r="J3812" t="s">
        <v>35333</v>
      </c>
      <c r="K3812" t="s">
        <v>42345</v>
      </c>
      <c r="M3812" t="s">
        <v>43303</v>
      </c>
      <c r="N3812" t="s">
        <v>46569</v>
      </c>
      <c r="O3812" t="s">
        <v>46570</v>
      </c>
      <c r="P3812">
        <v>0</v>
      </c>
      <c r="Q3812">
        <v>1</v>
      </c>
      <c r="R3812" t="s">
        <v>46572</v>
      </c>
      <c r="S3812" t="s">
        <v>46689</v>
      </c>
      <c r="T3812" t="s">
        <v>48216</v>
      </c>
      <c r="U3812" t="s">
        <v>51935</v>
      </c>
      <c r="W3812" t="s">
        <v>43303</v>
      </c>
      <c r="X3812" t="s">
        <v>46573</v>
      </c>
    </row>
    <row r="3813" spans="1:24">
      <c r="A3813">
        <f>HYPERLINK("https://www.philgeps.gov.ph/GEPSNONPILOT/Tender/SplashBidNoticeAbstractUI.aspx?menuIndex=3&amp;refID=7063467&amp;Result=3","7063467")</f>
        <v>0</v>
      </c>
      <c r="B3813" t="s">
        <v>1329</v>
      </c>
      <c r="C3813" t="s">
        <v>7199</v>
      </c>
      <c r="D3813" t="s">
        <v>18788</v>
      </c>
      <c r="E3813" t="s">
        <v>22335</v>
      </c>
      <c r="F3813" t="s">
        <v>32664</v>
      </c>
      <c r="G3813" t="s">
        <v>32671</v>
      </c>
      <c r="H3813" t="s">
        <v>12635</v>
      </c>
      <c r="I3813" t="s">
        <v>8730</v>
      </c>
      <c r="J3813" t="s">
        <v>35334</v>
      </c>
      <c r="K3813" t="s">
        <v>42284</v>
      </c>
      <c r="M3813" t="s">
        <v>43978</v>
      </c>
      <c r="N3813" t="s">
        <v>46569</v>
      </c>
      <c r="O3813" t="s">
        <v>46570</v>
      </c>
      <c r="P3813">
        <v>0</v>
      </c>
      <c r="Q3813">
        <v>0</v>
      </c>
      <c r="R3813" t="s">
        <v>46572</v>
      </c>
      <c r="S3813" t="s">
        <v>46689</v>
      </c>
      <c r="T3813" t="s">
        <v>48221</v>
      </c>
      <c r="U3813" t="s">
        <v>51936</v>
      </c>
      <c r="W3813" t="s">
        <v>43978</v>
      </c>
      <c r="X3813" t="s">
        <v>46573</v>
      </c>
    </row>
    <row r="3814" spans="1:24">
      <c r="A3814">
        <f>HYPERLINK("https://www.philgeps.gov.ph/GEPSNONPILOT/Tender/SplashBidNoticeAbstractUI.aspx?menuIndex=3&amp;refID=7063433&amp;Result=3","7063433")</f>
        <v>0</v>
      </c>
      <c r="B3814" t="s">
        <v>1438</v>
      </c>
      <c r="C3814" t="s">
        <v>7200</v>
      </c>
      <c r="D3814" t="s">
        <v>18849</v>
      </c>
      <c r="E3814" t="s">
        <v>22336</v>
      </c>
      <c r="F3814" t="s">
        <v>32664</v>
      </c>
      <c r="G3814" t="s">
        <v>32672</v>
      </c>
      <c r="H3814" t="s">
        <v>32683</v>
      </c>
      <c r="I3814" t="s">
        <v>10627</v>
      </c>
      <c r="J3814" t="s">
        <v>35335</v>
      </c>
      <c r="K3814" t="s">
        <v>42397</v>
      </c>
      <c r="M3814" t="s">
        <v>44099</v>
      </c>
      <c r="N3814" t="s">
        <v>46569</v>
      </c>
      <c r="O3814" t="s">
        <v>46570</v>
      </c>
      <c r="P3814">
        <v>0</v>
      </c>
      <c r="Q3814">
        <v>0</v>
      </c>
      <c r="R3814" t="s">
        <v>46572</v>
      </c>
      <c r="S3814" t="s">
        <v>46689</v>
      </c>
      <c r="T3814" t="s">
        <v>48362</v>
      </c>
      <c r="U3814" t="s">
        <v>51937</v>
      </c>
      <c r="W3814" t="s">
        <v>44099</v>
      </c>
      <c r="X3814" t="s">
        <v>46573</v>
      </c>
    </row>
    <row r="3815" spans="1:24">
      <c r="A3815">
        <f>HYPERLINK("https://www.philgeps.gov.ph/GEPSNONPILOT/Tender/SplashBidNoticeAbstractUI.aspx?menuIndex=3&amp;refID=7063429&amp;Result=3","7063429")</f>
        <v>0</v>
      </c>
      <c r="B3815" t="s">
        <v>402</v>
      </c>
      <c r="C3815" t="s">
        <v>7201</v>
      </c>
      <c r="D3815" t="s">
        <v>18781</v>
      </c>
      <c r="E3815" t="s">
        <v>22337</v>
      </c>
      <c r="F3815" t="s">
        <v>32664</v>
      </c>
      <c r="G3815" t="s">
        <v>32671</v>
      </c>
      <c r="H3815" t="s">
        <v>12635</v>
      </c>
      <c r="I3815" t="s">
        <v>4333</v>
      </c>
      <c r="J3815" t="s">
        <v>35336</v>
      </c>
      <c r="K3815" t="s">
        <v>42283</v>
      </c>
      <c r="M3815" t="s">
        <v>42972</v>
      </c>
      <c r="N3815" t="s">
        <v>46569</v>
      </c>
      <c r="O3815" t="s">
        <v>46570</v>
      </c>
      <c r="P3815">
        <v>0</v>
      </c>
      <c r="Q3815">
        <v>1</v>
      </c>
      <c r="R3815" t="s">
        <v>46572</v>
      </c>
      <c r="S3815" t="s">
        <v>46689</v>
      </c>
      <c r="T3815" t="s">
        <v>48217</v>
      </c>
      <c r="U3815" t="s">
        <v>51938</v>
      </c>
      <c r="W3815" t="s">
        <v>42972</v>
      </c>
      <c r="X3815" t="s">
        <v>46573</v>
      </c>
    </row>
    <row r="3816" spans="1:24">
      <c r="A3816">
        <f>HYPERLINK("https://www.philgeps.gov.ph/GEPSNONPILOT/Tender/SplashBidNoticeAbstractUI.aspx?menuIndex=3&amp;refID=7063432&amp;Result=3","7063432")</f>
        <v>0</v>
      </c>
      <c r="B3816" t="s">
        <v>1374</v>
      </c>
      <c r="C3816" t="s">
        <v>7202</v>
      </c>
      <c r="D3816" t="s">
        <v>18821</v>
      </c>
      <c r="E3816" t="s">
        <v>22338</v>
      </c>
      <c r="F3816" t="s">
        <v>32664</v>
      </c>
      <c r="G3816" t="s">
        <v>32672</v>
      </c>
      <c r="H3816" t="s">
        <v>12635</v>
      </c>
      <c r="I3816" t="s">
        <v>32699</v>
      </c>
      <c r="J3816" t="s">
        <v>33085</v>
      </c>
      <c r="K3816" t="s">
        <v>42297</v>
      </c>
      <c r="M3816" t="s">
        <v>44029</v>
      </c>
      <c r="N3816" t="s">
        <v>46569</v>
      </c>
      <c r="O3816" t="s">
        <v>46570</v>
      </c>
      <c r="P3816">
        <v>0</v>
      </c>
      <c r="Q3816">
        <v>1</v>
      </c>
      <c r="R3816" t="s">
        <v>46572</v>
      </c>
      <c r="S3816" t="s">
        <v>46689</v>
      </c>
      <c r="T3816" t="s">
        <v>48368</v>
      </c>
      <c r="U3816" t="s">
        <v>51939</v>
      </c>
      <c r="W3816" t="s">
        <v>44029</v>
      </c>
      <c r="X3816" t="s">
        <v>46573</v>
      </c>
    </row>
    <row r="3817" spans="1:24">
      <c r="A3817">
        <f>HYPERLINK("https://www.philgeps.gov.ph/GEPSNONPILOT/Tender/SplashBidNoticeAbstractUI.aspx?menuIndex=3&amp;refID=7063466&amp;Result=3","7063466")</f>
        <v>0</v>
      </c>
      <c r="B3817" t="s">
        <v>1428</v>
      </c>
      <c r="C3817" t="s">
        <v>7203</v>
      </c>
      <c r="D3817" t="s">
        <v>18841</v>
      </c>
      <c r="E3817" t="s">
        <v>22339</v>
      </c>
      <c r="F3817" t="s">
        <v>32664</v>
      </c>
      <c r="G3817" t="s">
        <v>32672</v>
      </c>
      <c r="H3817" t="s">
        <v>32683</v>
      </c>
      <c r="I3817" t="s">
        <v>10627</v>
      </c>
      <c r="J3817" t="s">
        <v>35337</v>
      </c>
      <c r="K3817" t="s">
        <v>42281</v>
      </c>
      <c r="M3817" t="s">
        <v>44088</v>
      </c>
      <c r="N3817" t="s">
        <v>46569</v>
      </c>
      <c r="O3817" t="s">
        <v>46570</v>
      </c>
      <c r="P3817">
        <v>0</v>
      </c>
      <c r="Q3817">
        <v>0</v>
      </c>
      <c r="R3817" t="s">
        <v>46572</v>
      </c>
      <c r="S3817" t="s">
        <v>46689</v>
      </c>
      <c r="T3817" t="s">
        <v>48308</v>
      </c>
      <c r="U3817" t="s">
        <v>51940</v>
      </c>
      <c r="W3817" t="s">
        <v>44088</v>
      </c>
      <c r="X3817" t="s">
        <v>46573</v>
      </c>
    </row>
    <row r="3818" spans="1:24">
      <c r="A3818">
        <f>HYPERLINK("https://www.philgeps.gov.ph/GEPSNONPILOT/Tender/SplashBidNoticeAbstractUI.aspx?menuIndex=3&amp;refID=7063461&amp;Result=3","7063461")</f>
        <v>0</v>
      </c>
      <c r="B3818" t="s">
        <v>689</v>
      </c>
      <c r="C3818" t="s">
        <v>7104</v>
      </c>
      <c r="D3818" t="s">
        <v>18800</v>
      </c>
      <c r="E3818" t="s">
        <v>22340</v>
      </c>
      <c r="F3818" t="s">
        <v>32664</v>
      </c>
      <c r="G3818" t="s">
        <v>32672</v>
      </c>
      <c r="H3818" t="s">
        <v>12635</v>
      </c>
      <c r="I3818" t="s">
        <v>11464</v>
      </c>
      <c r="J3818" t="s">
        <v>35338</v>
      </c>
      <c r="K3818" t="s">
        <v>42305</v>
      </c>
      <c r="M3818" t="s">
        <v>43276</v>
      </c>
      <c r="N3818" t="s">
        <v>46569</v>
      </c>
      <c r="O3818" t="s">
        <v>46570</v>
      </c>
      <c r="P3818">
        <v>0</v>
      </c>
      <c r="Q3818">
        <v>2</v>
      </c>
      <c r="R3818" t="s">
        <v>46572</v>
      </c>
      <c r="S3818" t="s">
        <v>46689</v>
      </c>
      <c r="T3818" t="s">
        <v>48274</v>
      </c>
      <c r="U3818" t="s">
        <v>51857</v>
      </c>
      <c r="V3818" t="s">
        <v>61795</v>
      </c>
      <c r="W3818" t="s">
        <v>43276</v>
      </c>
      <c r="X3818" t="s">
        <v>46573</v>
      </c>
    </row>
    <row r="3819" spans="1:24">
      <c r="A3819">
        <f>HYPERLINK("https://www.philgeps.gov.ph/GEPSNONPILOT/Tender/SplashBidNoticeAbstractUI.aspx?menuIndex=3&amp;refID=7063465&amp;Result=3","7063465")</f>
        <v>0</v>
      </c>
      <c r="B3819" t="s">
        <v>135</v>
      </c>
      <c r="C3819" t="s">
        <v>7204</v>
      </c>
      <c r="D3819" t="s">
        <v>18807</v>
      </c>
      <c r="E3819" t="s">
        <v>22341</v>
      </c>
      <c r="F3819" t="s">
        <v>32664</v>
      </c>
      <c r="G3819" t="s">
        <v>32672</v>
      </c>
      <c r="H3819" t="s">
        <v>12635</v>
      </c>
      <c r="I3819" t="s">
        <v>32706</v>
      </c>
      <c r="J3819" t="s">
        <v>35339</v>
      </c>
      <c r="K3819" t="s">
        <v>42281</v>
      </c>
      <c r="M3819" t="s">
        <v>42852</v>
      </c>
      <c r="N3819" t="s">
        <v>46569</v>
      </c>
      <c r="O3819" t="s">
        <v>46570</v>
      </c>
      <c r="P3819">
        <v>0</v>
      </c>
      <c r="Q3819">
        <v>0</v>
      </c>
      <c r="R3819" t="s">
        <v>46572</v>
      </c>
      <c r="S3819" t="s">
        <v>46689</v>
      </c>
      <c r="T3819" t="s">
        <v>48216</v>
      </c>
      <c r="U3819" t="s">
        <v>51941</v>
      </c>
      <c r="V3819" t="s">
        <v>61650</v>
      </c>
      <c r="W3819" t="s">
        <v>42852</v>
      </c>
      <c r="X3819" t="s">
        <v>46573</v>
      </c>
    </row>
    <row r="3820" spans="1:24">
      <c r="A3820">
        <f>HYPERLINK("https://www.philgeps.gov.ph/GEPSNONPILOT/Tender/SplashBidNoticeAbstractUI.aspx?menuIndex=3&amp;refID=7063460&amp;Result=3","7063460")</f>
        <v>0</v>
      </c>
      <c r="B3820" t="s">
        <v>716</v>
      </c>
      <c r="C3820" t="s">
        <v>7205</v>
      </c>
      <c r="D3820" t="s">
        <v>18842</v>
      </c>
      <c r="E3820" t="s">
        <v>22342</v>
      </c>
      <c r="F3820" t="s">
        <v>32664</v>
      </c>
      <c r="G3820" t="s">
        <v>32672</v>
      </c>
      <c r="H3820" t="s">
        <v>32681</v>
      </c>
      <c r="I3820" t="s">
        <v>10627</v>
      </c>
      <c r="J3820" t="s">
        <v>35340</v>
      </c>
      <c r="K3820" t="s">
        <v>42345</v>
      </c>
      <c r="M3820" t="s">
        <v>43303</v>
      </c>
      <c r="N3820" t="s">
        <v>46569</v>
      </c>
      <c r="O3820" t="s">
        <v>46570</v>
      </c>
      <c r="P3820">
        <v>0</v>
      </c>
      <c r="Q3820">
        <v>0</v>
      </c>
      <c r="R3820" t="s">
        <v>46572</v>
      </c>
      <c r="S3820" t="s">
        <v>46689</v>
      </c>
      <c r="T3820" t="s">
        <v>48216</v>
      </c>
      <c r="U3820" t="s">
        <v>51942</v>
      </c>
      <c r="W3820" t="s">
        <v>43303</v>
      </c>
      <c r="X3820" t="s">
        <v>46573</v>
      </c>
    </row>
    <row r="3821" spans="1:24">
      <c r="A3821">
        <f>HYPERLINK("https://www.philgeps.gov.ph/GEPSNONPILOT/Tender/SplashBidNoticeAbstractUI.aspx?menuIndex=3&amp;refID=7063459&amp;Result=3","7063459")</f>
        <v>0</v>
      </c>
      <c r="B3821" t="s">
        <v>231</v>
      </c>
      <c r="C3821" t="s">
        <v>7206</v>
      </c>
      <c r="D3821" t="s">
        <v>18845</v>
      </c>
      <c r="E3821" t="s">
        <v>7206</v>
      </c>
      <c r="F3821" t="s">
        <v>32664</v>
      </c>
      <c r="G3821" t="s">
        <v>32674</v>
      </c>
      <c r="H3821" t="s">
        <v>12635</v>
      </c>
      <c r="I3821" t="s">
        <v>32685</v>
      </c>
      <c r="J3821" t="s">
        <v>35341</v>
      </c>
      <c r="K3821" t="s">
        <v>42281</v>
      </c>
      <c r="M3821" t="s">
        <v>44083</v>
      </c>
      <c r="N3821" t="s">
        <v>46569</v>
      </c>
      <c r="O3821" t="s">
        <v>46570</v>
      </c>
      <c r="P3821">
        <v>0</v>
      </c>
      <c r="Q3821">
        <v>0</v>
      </c>
      <c r="R3821" t="s">
        <v>46572</v>
      </c>
      <c r="S3821" t="s">
        <v>46689</v>
      </c>
      <c r="T3821" t="s">
        <v>48487</v>
      </c>
      <c r="U3821" t="s">
        <v>51943</v>
      </c>
      <c r="W3821" t="s">
        <v>44083</v>
      </c>
      <c r="X3821" t="s">
        <v>46573</v>
      </c>
    </row>
    <row r="3822" spans="1:24">
      <c r="A3822">
        <f>HYPERLINK("https://www.philgeps.gov.ph/GEPSNONPILOT/Tender/SplashBidNoticeAbstractUI.aspx?menuIndex=3&amp;refID=7063457&amp;Result=3","7063457")</f>
        <v>0</v>
      </c>
      <c r="B3822" t="s">
        <v>312</v>
      </c>
      <c r="C3822" t="s">
        <v>7030</v>
      </c>
      <c r="D3822" t="s">
        <v>18805</v>
      </c>
      <c r="E3822" t="s">
        <v>22343</v>
      </c>
      <c r="F3822" t="s">
        <v>32664</v>
      </c>
      <c r="G3822" t="s">
        <v>32671</v>
      </c>
      <c r="H3822" t="s">
        <v>12635</v>
      </c>
      <c r="I3822" t="s">
        <v>4439</v>
      </c>
      <c r="J3822" t="s">
        <v>32853</v>
      </c>
      <c r="K3822" t="s">
        <v>42283</v>
      </c>
      <c r="M3822" t="s">
        <v>42879</v>
      </c>
      <c r="N3822" t="s">
        <v>46569</v>
      </c>
      <c r="O3822" t="s">
        <v>46570</v>
      </c>
      <c r="P3822">
        <v>0</v>
      </c>
      <c r="Q3822">
        <v>0</v>
      </c>
      <c r="R3822" t="s">
        <v>46572</v>
      </c>
      <c r="S3822" t="s">
        <v>46689</v>
      </c>
      <c r="T3822" t="s">
        <v>48299</v>
      </c>
      <c r="U3822" t="s">
        <v>51797</v>
      </c>
      <c r="W3822" t="s">
        <v>42879</v>
      </c>
      <c r="X3822" t="s">
        <v>46573</v>
      </c>
    </row>
    <row r="3823" spans="1:24">
      <c r="A3823">
        <f>HYPERLINK("https://www.philgeps.gov.ph/GEPSNONPILOT/Tender/SplashBidNoticeAbstractUI.aspx?menuIndex=3&amp;refID=7063455&amp;Result=3","7063455")</f>
        <v>0</v>
      </c>
      <c r="B3823" t="s">
        <v>807</v>
      </c>
      <c r="C3823" t="s">
        <v>7207</v>
      </c>
      <c r="D3823" t="s">
        <v>18784</v>
      </c>
      <c r="E3823" t="s">
        <v>22344</v>
      </c>
      <c r="F3823" t="s">
        <v>32664</v>
      </c>
      <c r="G3823" t="s">
        <v>32672</v>
      </c>
      <c r="H3823" t="s">
        <v>12635</v>
      </c>
      <c r="I3823" t="s">
        <v>32712</v>
      </c>
      <c r="J3823" t="s">
        <v>35342</v>
      </c>
      <c r="K3823" t="s">
        <v>42283</v>
      </c>
      <c r="M3823" t="s">
        <v>43817</v>
      </c>
      <c r="N3823" t="s">
        <v>46569</v>
      </c>
      <c r="O3823" t="s">
        <v>46570</v>
      </c>
      <c r="P3823">
        <v>0</v>
      </c>
      <c r="Q3823">
        <v>27</v>
      </c>
      <c r="R3823" t="s">
        <v>46572</v>
      </c>
      <c r="S3823" t="s">
        <v>46689</v>
      </c>
      <c r="T3823" t="s">
        <v>48222</v>
      </c>
      <c r="U3823" t="s">
        <v>51284</v>
      </c>
      <c r="W3823" t="s">
        <v>43817</v>
      </c>
      <c r="X3823" t="s">
        <v>46573</v>
      </c>
    </row>
    <row r="3824" spans="1:24">
      <c r="A3824">
        <f>HYPERLINK("https://www.philgeps.gov.ph/GEPSNONPILOT/Tender/SplashBidNoticeAbstractUI.aspx?menuIndex=3&amp;refID=7063462&amp;Result=3","7063462")</f>
        <v>0</v>
      </c>
      <c r="B3824" t="s">
        <v>1439</v>
      </c>
      <c r="C3824" t="s">
        <v>7208</v>
      </c>
      <c r="D3824" t="s">
        <v>18807</v>
      </c>
      <c r="E3824" t="s">
        <v>22345</v>
      </c>
      <c r="F3824" t="s">
        <v>32664</v>
      </c>
      <c r="G3824" t="s">
        <v>32672</v>
      </c>
      <c r="H3824" t="s">
        <v>32683</v>
      </c>
      <c r="I3824" t="s">
        <v>10627</v>
      </c>
      <c r="J3824" t="s">
        <v>35343</v>
      </c>
      <c r="K3824" t="s">
        <v>42285</v>
      </c>
      <c r="M3824" t="s">
        <v>44100</v>
      </c>
      <c r="N3824" t="s">
        <v>46569</v>
      </c>
      <c r="O3824" t="s">
        <v>46570</v>
      </c>
      <c r="P3824">
        <v>0</v>
      </c>
      <c r="Q3824">
        <v>0</v>
      </c>
      <c r="R3824" t="s">
        <v>46572</v>
      </c>
      <c r="S3824" t="s">
        <v>46689</v>
      </c>
      <c r="T3824" t="s">
        <v>48220</v>
      </c>
      <c r="U3824" t="s">
        <v>51944</v>
      </c>
      <c r="V3824" t="s">
        <v>62010</v>
      </c>
      <c r="W3824" t="s">
        <v>44100</v>
      </c>
      <c r="X3824" t="s">
        <v>46573</v>
      </c>
    </row>
    <row r="3825" spans="1:24">
      <c r="A3825">
        <f>HYPERLINK("https://www.philgeps.gov.ph/GEPSNONPILOT/Tender/SplashBidNoticeAbstractUI.aspx?menuIndex=3&amp;refID=7063454&amp;Result=3","7063454")</f>
        <v>0</v>
      </c>
      <c r="B3825" t="s">
        <v>1342</v>
      </c>
      <c r="C3825" t="s">
        <v>7209</v>
      </c>
      <c r="D3825" t="s">
        <v>18787</v>
      </c>
      <c r="E3825" t="s">
        <v>22346</v>
      </c>
      <c r="F3825" t="s">
        <v>32664</v>
      </c>
      <c r="G3825" t="s">
        <v>32671</v>
      </c>
      <c r="H3825" t="s">
        <v>12635</v>
      </c>
      <c r="I3825" t="s">
        <v>32725</v>
      </c>
      <c r="J3825" t="s">
        <v>32974</v>
      </c>
      <c r="K3825" t="s">
        <v>42283</v>
      </c>
      <c r="M3825" t="s">
        <v>43992</v>
      </c>
      <c r="N3825" t="s">
        <v>46569</v>
      </c>
      <c r="O3825" t="s">
        <v>46570</v>
      </c>
      <c r="P3825">
        <v>0</v>
      </c>
      <c r="Q3825">
        <v>5</v>
      </c>
      <c r="R3825" t="s">
        <v>46572</v>
      </c>
      <c r="S3825" t="s">
        <v>46689</v>
      </c>
      <c r="T3825" t="s">
        <v>48293</v>
      </c>
      <c r="U3825" t="s">
        <v>51749</v>
      </c>
      <c r="W3825" t="s">
        <v>43992</v>
      </c>
      <c r="X3825" t="s">
        <v>46573</v>
      </c>
    </row>
    <row r="3826" spans="1:24">
      <c r="A3826">
        <f>HYPERLINK("https://www.philgeps.gov.ph/GEPSNONPILOT/Tender/SplashBidNoticeAbstractUI.aspx?menuIndex=3&amp;refID=7063351&amp;Result=3","7063351")</f>
        <v>0</v>
      </c>
      <c r="B3826" t="s">
        <v>1387</v>
      </c>
      <c r="C3826" t="s">
        <v>7210</v>
      </c>
      <c r="D3826" t="s">
        <v>18788</v>
      </c>
      <c r="E3826" t="s">
        <v>22347</v>
      </c>
      <c r="F3826" t="s">
        <v>32664</v>
      </c>
      <c r="G3826" t="s">
        <v>32672</v>
      </c>
      <c r="H3826" t="s">
        <v>12635</v>
      </c>
      <c r="I3826" t="s">
        <v>4439</v>
      </c>
      <c r="J3826" t="s">
        <v>32898</v>
      </c>
      <c r="K3826" t="s">
        <v>42289</v>
      </c>
      <c r="M3826" t="s">
        <v>44043</v>
      </c>
      <c r="N3826" t="s">
        <v>46569</v>
      </c>
      <c r="O3826" t="s">
        <v>46570</v>
      </c>
      <c r="P3826">
        <v>0</v>
      </c>
      <c r="Q3826">
        <v>0</v>
      </c>
      <c r="R3826" t="s">
        <v>46572</v>
      </c>
      <c r="S3826" t="s">
        <v>46689</v>
      </c>
      <c r="T3826" t="s">
        <v>48237</v>
      </c>
      <c r="U3826" t="s">
        <v>51945</v>
      </c>
      <c r="W3826" t="s">
        <v>44043</v>
      </c>
      <c r="X3826" t="s">
        <v>46573</v>
      </c>
    </row>
    <row r="3827" spans="1:24">
      <c r="A3827">
        <f>HYPERLINK("https://www.philgeps.gov.ph/GEPSNONPILOT/Tender/SplashBidNoticeAbstractUI.aspx?menuIndex=3&amp;refID=7063493&amp;Result=3","7063493")</f>
        <v>0</v>
      </c>
      <c r="B3827" t="s">
        <v>683</v>
      </c>
      <c r="C3827" t="s">
        <v>7211</v>
      </c>
      <c r="D3827" t="s">
        <v>18842</v>
      </c>
      <c r="E3827" t="s">
        <v>22348</v>
      </c>
      <c r="F3827" t="s">
        <v>32664</v>
      </c>
      <c r="G3827" t="s">
        <v>32674</v>
      </c>
      <c r="H3827" t="s">
        <v>12635</v>
      </c>
      <c r="I3827" t="s">
        <v>10361</v>
      </c>
      <c r="J3827" t="s">
        <v>33078</v>
      </c>
      <c r="K3827" t="s">
        <v>42283</v>
      </c>
      <c r="M3827" t="s">
        <v>43270</v>
      </c>
      <c r="N3827" t="s">
        <v>46569</v>
      </c>
      <c r="O3827" t="s">
        <v>46570</v>
      </c>
      <c r="P3827">
        <v>0</v>
      </c>
      <c r="Q3827">
        <v>0</v>
      </c>
      <c r="R3827" t="s">
        <v>46572</v>
      </c>
      <c r="S3827" t="s">
        <v>46689</v>
      </c>
      <c r="T3827" t="s">
        <v>48256</v>
      </c>
      <c r="U3827" t="s">
        <v>50070</v>
      </c>
      <c r="W3827" t="s">
        <v>43270</v>
      </c>
      <c r="X3827" t="s">
        <v>46573</v>
      </c>
    </row>
    <row r="3828" spans="1:24">
      <c r="A3828">
        <f>HYPERLINK("https://www.philgeps.gov.ph/GEPSNONPILOT/Tender/SplashBidNoticeAbstractUI.aspx?menuIndex=3&amp;refID=7063492&amp;Result=3","7063492")</f>
        <v>0</v>
      </c>
      <c r="B3828" t="s">
        <v>1440</v>
      </c>
      <c r="C3828" t="s">
        <v>7212</v>
      </c>
      <c r="D3828" t="s">
        <v>18785</v>
      </c>
      <c r="E3828" t="s">
        <v>22349</v>
      </c>
      <c r="F3828" t="s">
        <v>32664</v>
      </c>
      <c r="G3828" t="s">
        <v>32671</v>
      </c>
      <c r="H3828" t="s">
        <v>12635</v>
      </c>
      <c r="I3828" t="s">
        <v>32730</v>
      </c>
      <c r="J3828" t="s">
        <v>33706</v>
      </c>
      <c r="K3828" t="s">
        <v>42295</v>
      </c>
      <c r="M3828" t="s">
        <v>44101</v>
      </c>
      <c r="N3828" t="s">
        <v>46569</v>
      </c>
      <c r="O3828" t="s">
        <v>46570</v>
      </c>
      <c r="P3828">
        <v>0</v>
      </c>
      <c r="Q3828">
        <v>0</v>
      </c>
      <c r="R3828" t="s">
        <v>46572</v>
      </c>
      <c r="S3828" t="s">
        <v>46689</v>
      </c>
      <c r="T3828" t="s">
        <v>48249</v>
      </c>
      <c r="U3828" t="s">
        <v>51946</v>
      </c>
      <c r="W3828" t="s">
        <v>44101</v>
      </c>
      <c r="X3828" t="s">
        <v>46573</v>
      </c>
    </row>
    <row r="3829" spans="1:24">
      <c r="A3829">
        <f>HYPERLINK("https://www.philgeps.gov.ph/GEPSNONPILOT/Tender/SplashBidNoticeAbstractUI.aspx?menuIndex=3&amp;refID=7063458&amp;Result=3","7063458")</f>
        <v>0</v>
      </c>
      <c r="B3829" t="s">
        <v>679</v>
      </c>
      <c r="C3829" t="s">
        <v>7213</v>
      </c>
      <c r="D3829" t="s">
        <v>18831</v>
      </c>
      <c r="E3829" t="s">
        <v>22350</v>
      </c>
      <c r="F3829" t="s">
        <v>32664</v>
      </c>
      <c r="G3829" t="s">
        <v>32671</v>
      </c>
      <c r="H3829" t="s">
        <v>12635</v>
      </c>
      <c r="I3829" t="s">
        <v>4439</v>
      </c>
      <c r="J3829" t="s">
        <v>35344</v>
      </c>
      <c r="K3829" t="s">
        <v>42281</v>
      </c>
      <c r="M3829" t="s">
        <v>43266</v>
      </c>
      <c r="N3829" t="s">
        <v>46569</v>
      </c>
      <c r="O3829" t="s">
        <v>46570</v>
      </c>
      <c r="P3829">
        <v>0</v>
      </c>
      <c r="Q3829">
        <v>0</v>
      </c>
      <c r="R3829" t="s">
        <v>46572</v>
      </c>
      <c r="S3829" t="s">
        <v>46689</v>
      </c>
      <c r="T3829" t="s">
        <v>48244</v>
      </c>
      <c r="U3829" t="s">
        <v>51604</v>
      </c>
      <c r="W3829" t="s">
        <v>43266</v>
      </c>
      <c r="X3829" t="s">
        <v>46573</v>
      </c>
    </row>
    <row r="3830" spans="1:24">
      <c r="A3830">
        <f>HYPERLINK("https://www.philgeps.gov.ph/GEPSNONPILOT/Tender/SplashBidNoticeAbstractUI.aspx?menuIndex=3&amp;refID=7063456&amp;Result=3","7063456")</f>
        <v>0</v>
      </c>
      <c r="B3830" t="s">
        <v>833</v>
      </c>
      <c r="C3830" t="s">
        <v>7214</v>
      </c>
      <c r="D3830" t="s">
        <v>18789</v>
      </c>
      <c r="E3830" t="s">
        <v>22351</v>
      </c>
      <c r="F3830" t="s">
        <v>32664</v>
      </c>
      <c r="G3830" t="s">
        <v>32671</v>
      </c>
      <c r="H3830" t="s">
        <v>12635</v>
      </c>
      <c r="I3830" t="s">
        <v>10361</v>
      </c>
      <c r="J3830" t="s">
        <v>35345</v>
      </c>
      <c r="K3830" t="s">
        <v>42297</v>
      </c>
      <c r="M3830" t="s">
        <v>43428</v>
      </c>
      <c r="N3830" t="s">
        <v>46569</v>
      </c>
      <c r="O3830" t="s">
        <v>46570</v>
      </c>
      <c r="P3830">
        <v>0</v>
      </c>
      <c r="Q3830">
        <v>0</v>
      </c>
      <c r="R3830" t="s">
        <v>46572</v>
      </c>
      <c r="S3830" t="s">
        <v>46689</v>
      </c>
      <c r="T3830" t="s">
        <v>48312</v>
      </c>
      <c r="U3830" t="s">
        <v>50377</v>
      </c>
      <c r="V3830" t="s">
        <v>62011</v>
      </c>
      <c r="W3830" t="s">
        <v>43428</v>
      </c>
      <c r="X3830" t="s">
        <v>46573</v>
      </c>
    </row>
    <row r="3831" spans="1:24">
      <c r="A3831">
        <f>HYPERLINK("https://www.philgeps.gov.ph/GEPSNONPILOT/Tender/SplashBidNoticeAbstractUI.aspx?menuIndex=3&amp;refID=7063490&amp;Result=3","7063490")</f>
        <v>0</v>
      </c>
      <c r="B3831" t="s">
        <v>1441</v>
      </c>
      <c r="C3831" t="s">
        <v>5809</v>
      </c>
      <c r="D3831" t="s">
        <v>18784</v>
      </c>
      <c r="E3831" t="s">
        <v>22352</v>
      </c>
      <c r="F3831" t="s">
        <v>32664</v>
      </c>
      <c r="G3831" t="s">
        <v>32674</v>
      </c>
      <c r="H3831" t="s">
        <v>12635</v>
      </c>
      <c r="I3831" t="s">
        <v>4205</v>
      </c>
      <c r="J3831" t="s">
        <v>32959</v>
      </c>
      <c r="K3831" t="s">
        <v>42309</v>
      </c>
      <c r="M3831" t="s">
        <v>44102</v>
      </c>
      <c r="N3831" t="s">
        <v>46569</v>
      </c>
      <c r="O3831" t="s">
        <v>46570</v>
      </c>
      <c r="P3831">
        <v>0</v>
      </c>
      <c r="Q3831">
        <v>3</v>
      </c>
      <c r="R3831" t="s">
        <v>46572</v>
      </c>
      <c r="S3831" t="s">
        <v>46689</v>
      </c>
      <c r="T3831" t="s">
        <v>48290</v>
      </c>
      <c r="U3831" t="s">
        <v>50725</v>
      </c>
      <c r="W3831" t="s">
        <v>44102</v>
      </c>
      <c r="X3831" t="s">
        <v>46573</v>
      </c>
    </row>
    <row r="3832" spans="1:24">
      <c r="A3832">
        <f>HYPERLINK("https://www.philgeps.gov.ph/GEPSNONPILOT/Tender/SplashBidNoticeAbstractUI.aspx?menuIndex=3&amp;refID=7063483&amp;Result=3","7063483")</f>
        <v>0</v>
      </c>
      <c r="B3832" t="s">
        <v>1438</v>
      </c>
      <c r="C3832" t="s">
        <v>7215</v>
      </c>
      <c r="D3832" t="s">
        <v>18849</v>
      </c>
      <c r="E3832" t="s">
        <v>19474</v>
      </c>
      <c r="F3832" t="s">
        <v>32664</v>
      </c>
      <c r="G3832" t="s">
        <v>32672</v>
      </c>
      <c r="H3832" t="s">
        <v>32683</v>
      </c>
      <c r="I3832" t="s">
        <v>10627</v>
      </c>
      <c r="J3832" t="s">
        <v>35346</v>
      </c>
      <c r="K3832" t="s">
        <v>42397</v>
      </c>
      <c r="M3832" t="s">
        <v>44099</v>
      </c>
      <c r="N3832" t="s">
        <v>46569</v>
      </c>
      <c r="O3832" t="s">
        <v>46570</v>
      </c>
      <c r="P3832">
        <v>0</v>
      </c>
      <c r="Q3832">
        <v>0</v>
      </c>
      <c r="R3832" t="s">
        <v>46572</v>
      </c>
      <c r="S3832" t="s">
        <v>46689</v>
      </c>
      <c r="T3832" t="s">
        <v>48362</v>
      </c>
      <c r="U3832" t="s">
        <v>51947</v>
      </c>
      <c r="W3832" t="s">
        <v>44099</v>
      </c>
      <c r="X3832" t="s">
        <v>46573</v>
      </c>
    </row>
    <row r="3833" spans="1:24">
      <c r="A3833">
        <f>HYPERLINK("https://www.philgeps.gov.ph/GEPSNONPILOT/Tender/SplashBidNoticeAbstractUI.aspx?menuIndex=3&amp;refID=7063430&amp;Result=3","7063430")</f>
        <v>0</v>
      </c>
      <c r="B3833" t="s">
        <v>1396</v>
      </c>
      <c r="C3833" t="s">
        <v>7216</v>
      </c>
      <c r="D3833" t="s">
        <v>18866</v>
      </c>
      <c r="E3833" t="s">
        <v>22353</v>
      </c>
      <c r="F3833" t="s">
        <v>32664</v>
      </c>
      <c r="G3833" t="s">
        <v>32671</v>
      </c>
      <c r="H3833" t="s">
        <v>12635</v>
      </c>
      <c r="I3833" t="s">
        <v>32699</v>
      </c>
      <c r="J3833" t="s">
        <v>35347</v>
      </c>
      <c r="K3833" t="s">
        <v>42305</v>
      </c>
      <c r="M3833" t="s">
        <v>44053</v>
      </c>
      <c r="N3833" t="s">
        <v>46569</v>
      </c>
      <c r="O3833" t="s">
        <v>46570</v>
      </c>
      <c r="P3833">
        <v>0</v>
      </c>
      <c r="Q3833">
        <v>1</v>
      </c>
      <c r="R3833" t="s">
        <v>46572</v>
      </c>
      <c r="S3833" t="s">
        <v>46689</v>
      </c>
      <c r="T3833" t="s">
        <v>48285</v>
      </c>
      <c r="U3833" t="s">
        <v>51948</v>
      </c>
      <c r="W3833" t="s">
        <v>44053</v>
      </c>
      <c r="X3833" t="s">
        <v>46573</v>
      </c>
    </row>
    <row r="3834" spans="1:24">
      <c r="A3834">
        <f>HYPERLINK("https://www.philgeps.gov.ph/GEPSNONPILOT/Tender/SplashBidNoticeAbstractUI.aspx?menuIndex=3&amp;refID=7063487&amp;Result=3","7063487")</f>
        <v>0</v>
      </c>
      <c r="B3834" t="s">
        <v>1402</v>
      </c>
      <c r="C3834" t="s">
        <v>7217</v>
      </c>
      <c r="D3834" t="s">
        <v>18789</v>
      </c>
      <c r="E3834" t="s">
        <v>22354</v>
      </c>
      <c r="F3834" t="s">
        <v>32664</v>
      </c>
      <c r="G3834" t="s">
        <v>32671</v>
      </c>
      <c r="H3834" t="s">
        <v>12635</v>
      </c>
      <c r="I3834" t="s">
        <v>32706</v>
      </c>
      <c r="J3834" t="s">
        <v>32842</v>
      </c>
      <c r="K3834" t="s">
        <v>42281</v>
      </c>
      <c r="M3834" t="s">
        <v>44059</v>
      </c>
      <c r="N3834" t="s">
        <v>46569</v>
      </c>
      <c r="O3834" t="s">
        <v>46570</v>
      </c>
      <c r="P3834">
        <v>0</v>
      </c>
      <c r="Q3834">
        <v>0</v>
      </c>
      <c r="R3834" t="s">
        <v>46572</v>
      </c>
      <c r="S3834" t="s">
        <v>46689</v>
      </c>
      <c r="T3834" t="s">
        <v>48256</v>
      </c>
      <c r="U3834" t="s">
        <v>51949</v>
      </c>
      <c r="V3834" t="s">
        <v>61995</v>
      </c>
      <c r="W3834" t="s">
        <v>44059</v>
      </c>
      <c r="X3834" t="s">
        <v>46573</v>
      </c>
    </row>
    <row r="3835" spans="1:24">
      <c r="A3835">
        <f>HYPERLINK("https://www.philgeps.gov.ph/GEPSNONPILOT/Tender/SplashBidNoticeAbstractUI.aspx?menuIndex=3&amp;refID=7063486&amp;Result=3","7063486")</f>
        <v>0</v>
      </c>
      <c r="B3835" t="s">
        <v>819</v>
      </c>
      <c r="C3835" t="s">
        <v>7218</v>
      </c>
      <c r="D3835" t="s">
        <v>18786</v>
      </c>
      <c r="E3835" t="s">
        <v>22355</v>
      </c>
      <c r="F3835" t="s">
        <v>32664</v>
      </c>
      <c r="G3835" t="s">
        <v>32674</v>
      </c>
      <c r="H3835" t="s">
        <v>12635</v>
      </c>
      <c r="I3835" t="s">
        <v>14442</v>
      </c>
      <c r="J3835" t="s">
        <v>35348</v>
      </c>
      <c r="K3835" t="s">
        <v>42306</v>
      </c>
      <c r="M3835" t="s">
        <v>43414</v>
      </c>
      <c r="N3835" t="s">
        <v>46569</v>
      </c>
      <c r="O3835" t="s">
        <v>46570</v>
      </c>
      <c r="P3835">
        <v>0</v>
      </c>
      <c r="Q3835">
        <v>0</v>
      </c>
      <c r="R3835" t="s">
        <v>46572</v>
      </c>
      <c r="S3835" t="s">
        <v>46689</v>
      </c>
      <c r="T3835" t="s">
        <v>48448</v>
      </c>
      <c r="U3835" t="s">
        <v>51950</v>
      </c>
      <c r="W3835" t="s">
        <v>43414</v>
      </c>
      <c r="X3835" t="s">
        <v>46573</v>
      </c>
    </row>
    <row r="3836" spans="1:24">
      <c r="A3836">
        <f>HYPERLINK("https://www.philgeps.gov.ph/GEPSNONPILOT/Tender/SplashBidNoticeAbstractUI.aspx?menuIndex=3&amp;refID=7063479&amp;Result=3","7063479")</f>
        <v>0</v>
      </c>
      <c r="B3836" t="s">
        <v>402</v>
      </c>
      <c r="C3836" t="s">
        <v>7219</v>
      </c>
      <c r="D3836" t="s">
        <v>18781</v>
      </c>
      <c r="E3836" t="s">
        <v>22356</v>
      </c>
      <c r="F3836" t="s">
        <v>32664</v>
      </c>
      <c r="G3836" t="s">
        <v>32671</v>
      </c>
      <c r="H3836" t="s">
        <v>12635</v>
      </c>
      <c r="I3836" t="s">
        <v>32684</v>
      </c>
      <c r="J3836" t="s">
        <v>35349</v>
      </c>
      <c r="K3836" t="s">
        <v>42283</v>
      </c>
      <c r="M3836" t="s">
        <v>42972</v>
      </c>
      <c r="N3836" t="s">
        <v>46569</v>
      </c>
      <c r="O3836" t="s">
        <v>46570</v>
      </c>
      <c r="P3836">
        <v>0</v>
      </c>
      <c r="Q3836">
        <v>3</v>
      </c>
      <c r="R3836" t="s">
        <v>46572</v>
      </c>
      <c r="S3836" t="s">
        <v>46689</v>
      </c>
      <c r="T3836" t="s">
        <v>48217</v>
      </c>
      <c r="U3836" t="s">
        <v>51951</v>
      </c>
      <c r="W3836" t="s">
        <v>42972</v>
      </c>
      <c r="X3836" t="s">
        <v>46573</v>
      </c>
    </row>
    <row r="3837" spans="1:24">
      <c r="A3837">
        <f>HYPERLINK("https://www.philgeps.gov.ph/GEPSNONPILOT/Tender/SplashBidNoticeAbstractUI.aspx?menuIndex=3&amp;refID=7063481&amp;Result=3","7063481")</f>
        <v>0</v>
      </c>
      <c r="B3837" t="s">
        <v>594</v>
      </c>
      <c r="C3837" t="s">
        <v>7220</v>
      </c>
      <c r="D3837" t="s">
        <v>18784</v>
      </c>
      <c r="E3837" t="s">
        <v>22357</v>
      </c>
      <c r="F3837" t="s">
        <v>32664</v>
      </c>
      <c r="G3837" t="s">
        <v>32674</v>
      </c>
      <c r="H3837" t="s">
        <v>12635</v>
      </c>
      <c r="I3837" t="s">
        <v>32758</v>
      </c>
      <c r="J3837" t="s">
        <v>35350</v>
      </c>
      <c r="K3837" t="s">
        <v>42297</v>
      </c>
      <c r="M3837" t="s">
        <v>43793</v>
      </c>
      <c r="N3837" t="s">
        <v>46569</v>
      </c>
      <c r="O3837" t="s">
        <v>46570</v>
      </c>
      <c r="P3837">
        <v>0</v>
      </c>
      <c r="Q3837">
        <v>2</v>
      </c>
      <c r="R3837" t="s">
        <v>46572</v>
      </c>
      <c r="S3837" t="s">
        <v>46689</v>
      </c>
      <c r="T3837" t="s">
        <v>48461</v>
      </c>
      <c r="U3837" t="s">
        <v>51952</v>
      </c>
      <c r="V3837" t="s">
        <v>61909</v>
      </c>
      <c r="W3837" t="s">
        <v>43793</v>
      </c>
      <c r="X3837" t="s">
        <v>46573</v>
      </c>
    </row>
    <row r="3838" spans="1:24">
      <c r="A3838">
        <f>HYPERLINK("https://www.philgeps.gov.ph/GEPSNONPILOT/Tender/SplashBidNoticeAbstractUI.aspx?menuIndex=3&amp;refID=7063463&amp;Result=3","7063463")</f>
        <v>0</v>
      </c>
      <c r="B3838" t="s">
        <v>1385</v>
      </c>
      <c r="C3838" t="s">
        <v>7221</v>
      </c>
      <c r="D3838" t="s">
        <v>18827</v>
      </c>
      <c r="E3838" t="s">
        <v>22358</v>
      </c>
      <c r="F3838" t="s">
        <v>32664</v>
      </c>
      <c r="G3838" t="s">
        <v>32672</v>
      </c>
      <c r="H3838" t="s">
        <v>32683</v>
      </c>
      <c r="I3838" t="s">
        <v>10627</v>
      </c>
      <c r="J3838" t="s">
        <v>32963</v>
      </c>
      <c r="K3838" t="s">
        <v>42290</v>
      </c>
      <c r="L3838" t="s">
        <v>1385</v>
      </c>
      <c r="M3838" t="s">
        <v>44040</v>
      </c>
      <c r="N3838" t="s">
        <v>46569</v>
      </c>
      <c r="O3838" t="s">
        <v>46570</v>
      </c>
      <c r="P3838">
        <v>0</v>
      </c>
      <c r="Q3838">
        <v>0</v>
      </c>
      <c r="R3838" t="s">
        <v>46572</v>
      </c>
      <c r="S3838" t="s">
        <v>46689</v>
      </c>
      <c r="T3838" t="s">
        <v>48270</v>
      </c>
      <c r="U3838" t="s">
        <v>51761</v>
      </c>
      <c r="W3838" t="s">
        <v>44040</v>
      </c>
      <c r="X3838" t="s">
        <v>46573</v>
      </c>
    </row>
    <row r="3839" spans="1:24">
      <c r="A3839">
        <f>HYPERLINK("https://www.philgeps.gov.ph/GEPSNONPILOT/Tender/SplashBidNoticeAbstractUI.aspx?menuIndex=3&amp;refID=7063474&amp;Result=3","7063474")</f>
        <v>0</v>
      </c>
      <c r="B3839" t="s">
        <v>1112</v>
      </c>
      <c r="C3839" t="s">
        <v>7222</v>
      </c>
      <c r="D3839" t="s">
        <v>18842</v>
      </c>
      <c r="E3839" t="s">
        <v>22359</v>
      </c>
      <c r="F3839" t="s">
        <v>32664</v>
      </c>
      <c r="G3839" t="s">
        <v>32674</v>
      </c>
      <c r="H3839" t="s">
        <v>12635</v>
      </c>
      <c r="I3839" t="s">
        <v>6223</v>
      </c>
      <c r="J3839" t="s">
        <v>35351</v>
      </c>
      <c r="K3839" t="s">
        <v>42283</v>
      </c>
      <c r="M3839" t="s">
        <v>43739</v>
      </c>
      <c r="N3839" t="s">
        <v>46569</v>
      </c>
      <c r="O3839" t="s">
        <v>46570</v>
      </c>
      <c r="P3839">
        <v>0</v>
      </c>
      <c r="Q3839">
        <v>0</v>
      </c>
      <c r="R3839" t="s">
        <v>46572</v>
      </c>
      <c r="S3839" t="s">
        <v>46689</v>
      </c>
      <c r="T3839" t="s">
        <v>48312</v>
      </c>
      <c r="U3839" t="s">
        <v>51953</v>
      </c>
      <c r="W3839" t="s">
        <v>43739</v>
      </c>
      <c r="X3839" t="s">
        <v>46573</v>
      </c>
    </row>
    <row r="3840" spans="1:24">
      <c r="A3840">
        <f>HYPERLINK("https://www.philgeps.gov.ph/GEPSNONPILOT/Tender/SplashBidNoticeAbstractUI.aspx?menuIndex=3&amp;refID=7063399&amp;Result=3","7063399")</f>
        <v>0</v>
      </c>
      <c r="B3840" t="s">
        <v>1402</v>
      </c>
      <c r="C3840" t="s">
        <v>7223</v>
      </c>
      <c r="D3840" t="s">
        <v>18789</v>
      </c>
      <c r="E3840" t="s">
        <v>22360</v>
      </c>
      <c r="F3840" t="s">
        <v>32664</v>
      </c>
      <c r="G3840" t="s">
        <v>32674</v>
      </c>
      <c r="H3840" t="s">
        <v>12635</v>
      </c>
      <c r="I3840" t="s">
        <v>8797</v>
      </c>
      <c r="J3840" t="s">
        <v>32853</v>
      </c>
      <c r="K3840" t="s">
        <v>42281</v>
      </c>
      <c r="M3840" t="s">
        <v>44059</v>
      </c>
      <c r="N3840" t="s">
        <v>46569</v>
      </c>
      <c r="O3840" t="s">
        <v>46570</v>
      </c>
      <c r="P3840">
        <v>0</v>
      </c>
      <c r="Q3840">
        <v>1</v>
      </c>
      <c r="R3840" t="s">
        <v>46572</v>
      </c>
      <c r="S3840" t="s">
        <v>46689</v>
      </c>
      <c r="T3840" t="s">
        <v>48256</v>
      </c>
      <c r="U3840" t="s">
        <v>51954</v>
      </c>
      <c r="V3840" t="s">
        <v>62012</v>
      </c>
      <c r="W3840" t="s">
        <v>44059</v>
      </c>
      <c r="X3840" t="s">
        <v>46573</v>
      </c>
    </row>
    <row r="3841" spans="1:24">
      <c r="A3841">
        <f>HYPERLINK("https://www.philgeps.gov.ph/GEPSNONPILOT/Tender/SplashBidNoticeAbstractUI.aspx?menuIndex=3&amp;refID=7063480&amp;Result=3","7063480")</f>
        <v>0</v>
      </c>
      <c r="B3841" t="s">
        <v>1442</v>
      </c>
      <c r="C3841" t="s">
        <v>7224</v>
      </c>
      <c r="D3841" t="s">
        <v>18852</v>
      </c>
      <c r="E3841" t="s">
        <v>7224</v>
      </c>
      <c r="F3841" t="s">
        <v>32664</v>
      </c>
      <c r="G3841" t="s">
        <v>32671</v>
      </c>
      <c r="H3841" t="s">
        <v>12635</v>
      </c>
      <c r="I3841" t="s">
        <v>32754</v>
      </c>
      <c r="J3841" t="s">
        <v>35352</v>
      </c>
      <c r="K3841" t="s">
        <v>42289</v>
      </c>
      <c r="M3841" t="s">
        <v>44103</v>
      </c>
      <c r="N3841" t="s">
        <v>46569</v>
      </c>
      <c r="O3841" t="s">
        <v>46570</v>
      </c>
      <c r="P3841">
        <v>0</v>
      </c>
      <c r="Q3841">
        <v>0</v>
      </c>
      <c r="R3841" t="s">
        <v>46572</v>
      </c>
      <c r="S3841" t="s">
        <v>46689</v>
      </c>
      <c r="T3841" t="s">
        <v>48304</v>
      </c>
      <c r="U3841" t="s">
        <v>51955</v>
      </c>
      <c r="W3841" t="s">
        <v>44103</v>
      </c>
      <c r="X3841" t="s">
        <v>46573</v>
      </c>
    </row>
    <row r="3842" spans="1:24">
      <c r="A3842">
        <f>HYPERLINK("https://www.philgeps.gov.ph/GEPSNONPILOT/Tender/SplashBidNoticeAbstractUI.aspx?menuIndex=3&amp;refID=7063473&amp;Result=3","7063473")</f>
        <v>0</v>
      </c>
      <c r="B3842" t="s">
        <v>231</v>
      </c>
      <c r="C3842" t="s">
        <v>7225</v>
      </c>
      <c r="D3842" t="s">
        <v>18845</v>
      </c>
      <c r="E3842" t="s">
        <v>7225</v>
      </c>
      <c r="F3842" t="s">
        <v>32664</v>
      </c>
      <c r="G3842" t="s">
        <v>32674</v>
      </c>
      <c r="H3842" t="s">
        <v>12635</v>
      </c>
      <c r="I3842" t="s">
        <v>32685</v>
      </c>
      <c r="J3842" t="s">
        <v>35353</v>
      </c>
      <c r="K3842" t="s">
        <v>42281</v>
      </c>
      <c r="M3842" t="s">
        <v>44083</v>
      </c>
      <c r="N3842" t="s">
        <v>46569</v>
      </c>
      <c r="O3842" t="s">
        <v>46570</v>
      </c>
      <c r="P3842">
        <v>0</v>
      </c>
      <c r="Q3842">
        <v>0</v>
      </c>
      <c r="R3842" t="s">
        <v>46572</v>
      </c>
      <c r="S3842" t="s">
        <v>46689</v>
      </c>
      <c r="T3842" t="s">
        <v>48389</v>
      </c>
      <c r="U3842" t="s">
        <v>51956</v>
      </c>
      <c r="W3842" t="s">
        <v>44083</v>
      </c>
      <c r="X3842" t="s">
        <v>46573</v>
      </c>
    </row>
    <row r="3843" spans="1:24">
      <c r="A3843">
        <f>HYPERLINK("https://www.philgeps.gov.ph/GEPSNONPILOT/Tender/SplashBidNoticeAbstractUI.aspx?menuIndex=3&amp;refID=7063472&amp;Result=3","7063472")</f>
        <v>0</v>
      </c>
      <c r="B3843" t="s">
        <v>1443</v>
      </c>
      <c r="C3843" t="s">
        <v>7226</v>
      </c>
      <c r="D3843" t="s">
        <v>18804</v>
      </c>
      <c r="E3843" t="s">
        <v>22361</v>
      </c>
      <c r="F3843" t="s">
        <v>32664</v>
      </c>
      <c r="G3843" t="s">
        <v>32671</v>
      </c>
      <c r="H3843" t="s">
        <v>12635</v>
      </c>
      <c r="I3843" t="s">
        <v>6168</v>
      </c>
      <c r="J3843" t="s">
        <v>32902</v>
      </c>
      <c r="K3843" t="s">
        <v>42309</v>
      </c>
      <c r="M3843" t="s">
        <v>44104</v>
      </c>
      <c r="N3843" t="s">
        <v>46569</v>
      </c>
      <c r="O3843" t="s">
        <v>46570</v>
      </c>
      <c r="P3843">
        <v>0</v>
      </c>
      <c r="Q3843">
        <v>0</v>
      </c>
      <c r="R3843" t="s">
        <v>46572</v>
      </c>
      <c r="S3843" t="s">
        <v>46689</v>
      </c>
      <c r="T3843" t="s">
        <v>48286</v>
      </c>
      <c r="U3843" t="s">
        <v>51957</v>
      </c>
      <c r="W3843" t="s">
        <v>44104</v>
      </c>
      <c r="X3843" t="s">
        <v>46573</v>
      </c>
    </row>
    <row r="3844" spans="1:24">
      <c r="A3844">
        <f>HYPERLINK("https://www.philgeps.gov.ph/GEPSNONPILOT/Tender/SplashBidNoticeAbstractUI.aspx?menuIndex=3&amp;refID=7063478&amp;Result=3","7063478")</f>
        <v>0</v>
      </c>
      <c r="B3844" t="s">
        <v>715</v>
      </c>
      <c r="C3844" t="s">
        <v>7227</v>
      </c>
      <c r="D3844" t="s">
        <v>18807</v>
      </c>
      <c r="E3844" t="s">
        <v>22362</v>
      </c>
      <c r="F3844" t="s">
        <v>32664</v>
      </c>
      <c r="G3844" t="s">
        <v>32672</v>
      </c>
      <c r="H3844" t="s">
        <v>12635</v>
      </c>
      <c r="I3844" t="s">
        <v>4333</v>
      </c>
      <c r="J3844" t="s">
        <v>35111</v>
      </c>
      <c r="K3844" t="s">
        <v>42297</v>
      </c>
      <c r="M3844" t="s">
        <v>43302</v>
      </c>
      <c r="N3844" t="s">
        <v>46569</v>
      </c>
      <c r="O3844" t="s">
        <v>46570</v>
      </c>
      <c r="P3844">
        <v>0</v>
      </c>
      <c r="Q3844">
        <v>0</v>
      </c>
      <c r="R3844" t="s">
        <v>46572</v>
      </c>
      <c r="S3844" t="s">
        <v>46689</v>
      </c>
      <c r="T3844" t="s">
        <v>48487</v>
      </c>
      <c r="U3844" t="s">
        <v>51958</v>
      </c>
      <c r="W3844" t="s">
        <v>43302</v>
      </c>
      <c r="X3844" t="s">
        <v>46573</v>
      </c>
    </row>
    <row r="3845" spans="1:24">
      <c r="A3845">
        <f>HYPERLINK("https://www.philgeps.gov.ph/GEPSNONPILOT/Tender/SplashBidNoticeAbstractUI.aspx?menuIndex=3&amp;refID=7063470&amp;Result=3","7063470")</f>
        <v>0</v>
      </c>
      <c r="B3845" t="s">
        <v>1339</v>
      </c>
      <c r="C3845" t="s">
        <v>7228</v>
      </c>
      <c r="D3845" t="s">
        <v>18822</v>
      </c>
      <c r="E3845" t="s">
        <v>22363</v>
      </c>
      <c r="F3845" t="s">
        <v>32664</v>
      </c>
      <c r="G3845" t="s">
        <v>32675</v>
      </c>
      <c r="H3845" t="s">
        <v>12635</v>
      </c>
      <c r="I3845" t="s">
        <v>6628</v>
      </c>
      <c r="J3845" t="s">
        <v>34331</v>
      </c>
      <c r="K3845" t="s">
        <v>42309</v>
      </c>
      <c r="M3845" t="s">
        <v>43989</v>
      </c>
      <c r="N3845" t="s">
        <v>46569</v>
      </c>
      <c r="O3845" t="s">
        <v>46570</v>
      </c>
      <c r="P3845">
        <v>0</v>
      </c>
      <c r="Q3845">
        <v>2</v>
      </c>
      <c r="R3845" t="s">
        <v>46572</v>
      </c>
      <c r="S3845" t="s">
        <v>46689</v>
      </c>
      <c r="T3845" t="s">
        <v>48246</v>
      </c>
      <c r="U3845" t="s">
        <v>51959</v>
      </c>
      <c r="W3845" t="s">
        <v>43989</v>
      </c>
      <c r="X3845" t="s">
        <v>46573</v>
      </c>
    </row>
    <row r="3846" spans="1:24">
      <c r="A3846">
        <f>HYPERLINK("https://www.philgeps.gov.ph/GEPSNONPILOT/Tender/SplashBidNoticeAbstractUI.aspx?menuIndex=3&amp;refID=7063469&amp;Result=3","7063469")</f>
        <v>0</v>
      </c>
      <c r="B3846" t="s">
        <v>908</v>
      </c>
      <c r="C3846" t="s">
        <v>7229</v>
      </c>
      <c r="D3846" t="s">
        <v>18820</v>
      </c>
      <c r="E3846" t="s">
        <v>22364</v>
      </c>
      <c r="F3846" t="s">
        <v>32664</v>
      </c>
      <c r="G3846" t="s">
        <v>32673</v>
      </c>
      <c r="H3846" t="s">
        <v>12635</v>
      </c>
      <c r="I3846" t="s">
        <v>32696</v>
      </c>
      <c r="J3846" t="s">
        <v>33009</v>
      </c>
      <c r="K3846" t="s">
        <v>42281</v>
      </c>
      <c r="M3846" t="s">
        <v>43514</v>
      </c>
      <c r="N3846" t="s">
        <v>46569</v>
      </c>
      <c r="O3846" t="s">
        <v>46570</v>
      </c>
      <c r="P3846">
        <v>0</v>
      </c>
      <c r="Q3846">
        <v>4</v>
      </c>
      <c r="R3846" t="s">
        <v>46572</v>
      </c>
      <c r="S3846" t="s">
        <v>46689</v>
      </c>
      <c r="T3846" t="s">
        <v>48220</v>
      </c>
      <c r="U3846" t="s">
        <v>51960</v>
      </c>
      <c r="V3846" t="s">
        <v>62013</v>
      </c>
      <c r="W3846" t="s">
        <v>43514</v>
      </c>
      <c r="X3846" t="s">
        <v>46573</v>
      </c>
    </row>
    <row r="3847" spans="1:24">
      <c r="A3847">
        <f>HYPERLINK("https://www.philgeps.gov.ph/GEPSNONPILOT/Tender/SplashBidNoticeAbstractUI.aspx?menuIndex=3&amp;refID=7063518&amp;Result=3","7063518")</f>
        <v>0</v>
      </c>
      <c r="B3847" t="s">
        <v>1444</v>
      </c>
      <c r="C3847" t="s">
        <v>7230</v>
      </c>
      <c r="D3847" t="s">
        <v>18846</v>
      </c>
      <c r="E3847" t="s">
        <v>22365</v>
      </c>
      <c r="F3847" t="s">
        <v>32664</v>
      </c>
      <c r="G3847" t="s">
        <v>32671</v>
      </c>
      <c r="H3847" t="s">
        <v>12635</v>
      </c>
      <c r="I3847" t="s">
        <v>6628</v>
      </c>
      <c r="J3847" t="s">
        <v>32851</v>
      </c>
      <c r="K3847" t="s">
        <v>42281</v>
      </c>
      <c r="M3847" t="s">
        <v>44105</v>
      </c>
      <c r="N3847" t="s">
        <v>46569</v>
      </c>
      <c r="O3847" t="s">
        <v>46570</v>
      </c>
      <c r="P3847">
        <v>0</v>
      </c>
      <c r="Q3847">
        <v>1</v>
      </c>
      <c r="R3847" t="s">
        <v>46572</v>
      </c>
      <c r="S3847" t="s">
        <v>46689</v>
      </c>
      <c r="T3847" t="s">
        <v>48221</v>
      </c>
      <c r="U3847" t="s">
        <v>51961</v>
      </c>
      <c r="W3847" t="s">
        <v>44105</v>
      </c>
      <c r="X3847" t="s">
        <v>46573</v>
      </c>
    </row>
    <row r="3848" spans="1:24">
      <c r="A3848">
        <f>HYPERLINK("https://www.philgeps.gov.ph/GEPSNONPILOT/Tender/SplashBidNoticeAbstractUI.aspx?menuIndex=3&amp;refID=7063482&amp;Result=3","7063482")</f>
        <v>0</v>
      </c>
      <c r="B3848" t="s">
        <v>1445</v>
      </c>
      <c r="C3848" t="s">
        <v>7231</v>
      </c>
      <c r="D3848" t="s">
        <v>18782</v>
      </c>
      <c r="E3848" t="s">
        <v>22366</v>
      </c>
      <c r="F3848" t="s">
        <v>32665</v>
      </c>
      <c r="G3848" t="s">
        <v>32671</v>
      </c>
      <c r="H3848" t="s">
        <v>12635</v>
      </c>
      <c r="I3848" t="s">
        <v>6168</v>
      </c>
      <c r="J3848" t="s">
        <v>35354</v>
      </c>
      <c r="K3848" t="s">
        <v>42284</v>
      </c>
      <c r="M3848" t="s">
        <v>44106</v>
      </c>
      <c r="N3848" t="s">
        <v>46569</v>
      </c>
      <c r="O3848" t="s">
        <v>46570</v>
      </c>
      <c r="P3848">
        <v>0</v>
      </c>
      <c r="Q3848">
        <v>1</v>
      </c>
      <c r="R3848" t="s">
        <v>46572</v>
      </c>
      <c r="S3848" t="s">
        <v>46689</v>
      </c>
      <c r="T3848" t="s">
        <v>48276</v>
      </c>
      <c r="U3848" t="s">
        <v>51962</v>
      </c>
      <c r="W3848" t="s">
        <v>44106</v>
      </c>
      <c r="X3848" t="s">
        <v>46573</v>
      </c>
    </row>
    <row r="3849" spans="1:24">
      <c r="A3849">
        <f>HYPERLINK("https://www.philgeps.gov.ph/GEPSNONPILOT/Tender/SplashBidNoticeAbstractUI.aspx?menuIndex=3&amp;refID=7063476&amp;Result=3","7063476")</f>
        <v>0</v>
      </c>
      <c r="B3849" t="s">
        <v>135</v>
      </c>
      <c r="C3849" t="s">
        <v>7232</v>
      </c>
      <c r="D3849" t="s">
        <v>18807</v>
      </c>
      <c r="E3849" t="s">
        <v>22367</v>
      </c>
      <c r="F3849" t="s">
        <v>32664</v>
      </c>
      <c r="G3849" t="s">
        <v>32672</v>
      </c>
      <c r="H3849" t="s">
        <v>12635</v>
      </c>
      <c r="I3849" t="s">
        <v>9486</v>
      </c>
      <c r="J3849" t="s">
        <v>35355</v>
      </c>
      <c r="K3849" t="s">
        <v>42281</v>
      </c>
      <c r="M3849" t="s">
        <v>42852</v>
      </c>
      <c r="N3849" t="s">
        <v>46569</v>
      </c>
      <c r="O3849" t="s">
        <v>46570</v>
      </c>
      <c r="P3849">
        <v>0</v>
      </c>
      <c r="Q3849">
        <v>2</v>
      </c>
      <c r="R3849" t="s">
        <v>46572</v>
      </c>
      <c r="S3849" t="s">
        <v>46689</v>
      </c>
      <c r="T3849" t="s">
        <v>48216</v>
      </c>
      <c r="U3849" t="s">
        <v>51941</v>
      </c>
      <c r="V3849" t="s">
        <v>61650</v>
      </c>
      <c r="W3849" t="s">
        <v>42852</v>
      </c>
      <c r="X3849" t="s">
        <v>46573</v>
      </c>
    </row>
    <row r="3850" spans="1:24">
      <c r="A3850">
        <f>HYPERLINK("https://www.philgeps.gov.ph/GEPSNONPILOT/Tender/SplashBidNoticeAbstractUI.aspx?menuIndex=3&amp;refID=7063515&amp;Result=3","7063515")</f>
        <v>0</v>
      </c>
      <c r="B3850" t="s">
        <v>908</v>
      </c>
      <c r="C3850" t="s">
        <v>7233</v>
      </c>
      <c r="D3850" t="s">
        <v>18812</v>
      </c>
      <c r="E3850" t="s">
        <v>22368</v>
      </c>
      <c r="F3850" t="s">
        <v>32664</v>
      </c>
      <c r="G3850" t="s">
        <v>32673</v>
      </c>
      <c r="H3850" t="s">
        <v>12635</v>
      </c>
      <c r="I3850" t="s">
        <v>32696</v>
      </c>
      <c r="J3850" t="s">
        <v>33615</v>
      </c>
      <c r="K3850" t="s">
        <v>42281</v>
      </c>
      <c r="M3850" t="s">
        <v>43514</v>
      </c>
      <c r="N3850" t="s">
        <v>46569</v>
      </c>
      <c r="O3850" t="s">
        <v>46570</v>
      </c>
      <c r="P3850">
        <v>0</v>
      </c>
      <c r="Q3850">
        <v>3</v>
      </c>
      <c r="R3850" t="s">
        <v>46572</v>
      </c>
      <c r="S3850" t="s">
        <v>46689</v>
      </c>
      <c r="T3850" t="s">
        <v>48220</v>
      </c>
      <c r="U3850" t="s">
        <v>51963</v>
      </c>
      <c r="V3850" t="s">
        <v>62013</v>
      </c>
      <c r="W3850" t="s">
        <v>43514</v>
      </c>
      <c r="X3850" t="s">
        <v>46573</v>
      </c>
    </row>
    <row r="3851" spans="1:24">
      <c r="A3851">
        <f>HYPERLINK("https://www.philgeps.gov.ph/GEPSNONPILOT/Tender/SplashBidNoticeAbstractUI.aspx?menuIndex=3&amp;refID=7063517&amp;Result=3","7063517")</f>
        <v>0</v>
      </c>
      <c r="B3851" t="s">
        <v>1385</v>
      </c>
      <c r="C3851" t="s">
        <v>7234</v>
      </c>
      <c r="D3851" t="s">
        <v>18827</v>
      </c>
      <c r="E3851" t="s">
        <v>22369</v>
      </c>
      <c r="F3851" t="s">
        <v>32664</v>
      </c>
      <c r="G3851" t="s">
        <v>32672</v>
      </c>
      <c r="H3851" t="s">
        <v>32683</v>
      </c>
      <c r="I3851" t="s">
        <v>10627</v>
      </c>
      <c r="J3851" t="s">
        <v>32963</v>
      </c>
      <c r="K3851" t="s">
        <v>42290</v>
      </c>
      <c r="L3851" t="s">
        <v>1385</v>
      </c>
      <c r="M3851" t="s">
        <v>44040</v>
      </c>
      <c r="N3851" t="s">
        <v>46569</v>
      </c>
      <c r="O3851" t="s">
        <v>46570</v>
      </c>
      <c r="P3851">
        <v>0</v>
      </c>
      <c r="Q3851">
        <v>1</v>
      </c>
      <c r="R3851" t="s">
        <v>46572</v>
      </c>
      <c r="S3851" t="s">
        <v>46689</v>
      </c>
      <c r="T3851" t="s">
        <v>48270</v>
      </c>
      <c r="U3851" t="s">
        <v>51761</v>
      </c>
      <c r="W3851" t="s">
        <v>44040</v>
      </c>
      <c r="X3851" t="s">
        <v>46573</v>
      </c>
    </row>
    <row r="3852" spans="1:24">
      <c r="A3852">
        <f>HYPERLINK("https://www.philgeps.gov.ph/GEPSNONPILOT/Tender/SplashBidNoticeAbstractUI.aspx?menuIndex=3&amp;refID=7063512&amp;Result=3","7063512")</f>
        <v>0</v>
      </c>
      <c r="B3852" t="s">
        <v>1393</v>
      </c>
      <c r="C3852" t="s">
        <v>7235</v>
      </c>
      <c r="D3852" t="s">
        <v>18831</v>
      </c>
      <c r="E3852" t="s">
        <v>22370</v>
      </c>
      <c r="F3852" t="s">
        <v>32664</v>
      </c>
      <c r="G3852" t="s">
        <v>32672</v>
      </c>
      <c r="H3852" t="s">
        <v>32683</v>
      </c>
      <c r="I3852" t="s">
        <v>10627</v>
      </c>
      <c r="J3852" t="s">
        <v>35239</v>
      </c>
      <c r="K3852" t="s">
        <v>42311</v>
      </c>
      <c r="M3852" t="s">
        <v>44049</v>
      </c>
      <c r="N3852" t="s">
        <v>46569</v>
      </c>
      <c r="O3852" t="s">
        <v>46570</v>
      </c>
      <c r="P3852">
        <v>0</v>
      </c>
      <c r="Q3852">
        <v>0</v>
      </c>
      <c r="R3852" t="s">
        <v>46572</v>
      </c>
      <c r="S3852" t="s">
        <v>46689</v>
      </c>
      <c r="T3852" t="s">
        <v>48225</v>
      </c>
      <c r="U3852" t="s">
        <v>51964</v>
      </c>
      <c r="W3852" t="s">
        <v>44049</v>
      </c>
      <c r="X3852" t="s">
        <v>46573</v>
      </c>
    </row>
    <row r="3853" spans="1:24">
      <c r="A3853">
        <f>HYPERLINK("https://www.philgeps.gov.ph/GEPSNONPILOT/Tender/SplashBidNoticeAbstractUI.aspx?menuIndex=3&amp;refID=7063491&amp;Result=3","7063491")</f>
        <v>0</v>
      </c>
      <c r="B3853" t="s">
        <v>1336</v>
      </c>
      <c r="C3853" t="s">
        <v>7236</v>
      </c>
      <c r="D3853" t="s">
        <v>18856</v>
      </c>
      <c r="E3853" t="s">
        <v>22371</v>
      </c>
      <c r="F3853" t="s">
        <v>32664</v>
      </c>
      <c r="G3853" t="s">
        <v>32672</v>
      </c>
      <c r="H3853" t="s">
        <v>32683</v>
      </c>
      <c r="I3853" t="s">
        <v>10627</v>
      </c>
      <c r="J3853" t="s">
        <v>35356</v>
      </c>
      <c r="K3853" t="s">
        <v>42303</v>
      </c>
      <c r="M3853" t="s">
        <v>43986</v>
      </c>
      <c r="N3853" t="s">
        <v>46569</v>
      </c>
      <c r="O3853" t="s">
        <v>46570</v>
      </c>
      <c r="P3853">
        <v>0</v>
      </c>
      <c r="Q3853">
        <v>0</v>
      </c>
      <c r="R3853" t="s">
        <v>46572</v>
      </c>
      <c r="S3853" t="s">
        <v>46689</v>
      </c>
      <c r="T3853" t="s">
        <v>48479</v>
      </c>
      <c r="U3853" t="s">
        <v>51965</v>
      </c>
      <c r="V3853" t="s">
        <v>61974</v>
      </c>
      <c r="W3853" t="s">
        <v>43986</v>
      </c>
      <c r="X3853" t="s">
        <v>46573</v>
      </c>
    </row>
    <row r="3854" spans="1:24">
      <c r="A3854">
        <f>HYPERLINK("https://www.philgeps.gov.ph/GEPSNONPILOT/Tender/SplashBidNoticeAbstractUI.aspx?menuIndex=3&amp;refID=7063511&amp;Result=3","7063511")</f>
        <v>0</v>
      </c>
      <c r="B3854" t="s">
        <v>1446</v>
      </c>
      <c r="C3854" t="s">
        <v>7237</v>
      </c>
      <c r="D3854" t="s">
        <v>18799</v>
      </c>
      <c r="E3854" t="s">
        <v>22372</v>
      </c>
      <c r="F3854" t="s">
        <v>32664</v>
      </c>
      <c r="G3854" t="s">
        <v>32671</v>
      </c>
      <c r="H3854" t="s">
        <v>12635</v>
      </c>
      <c r="I3854" t="s">
        <v>8797</v>
      </c>
      <c r="J3854" t="s">
        <v>35357</v>
      </c>
      <c r="K3854" t="s">
        <v>42297</v>
      </c>
      <c r="L3854" t="s">
        <v>1446</v>
      </c>
      <c r="M3854" t="s">
        <v>44107</v>
      </c>
      <c r="N3854" t="s">
        <v>46569</v>
      </c>
      <c r="O3854" t="s">
        <v>46570</v>
      </c>
      <c r="P3854">
        <v>0</v>
      </c>
      <c r="Q3854">
        <v>2</v>
      </c>
      <c r="R3854" t="s">
        <v>46572</v>
      </c>
      <c r="S3854" t="s">
        <v>46689</v>
      </c>
      <c r="T3854" t="s">
        <v>48211</v>
      </c>
      <c r="U3854" t="s">
        <v>51966</v>
      </c>
      <c r="W3854" t="s">
        <v>44107</v>
      </c>
      <c r="X3854" t="s">
        <v>46573</v>
      </c>
    </row>
    <row r="3855" spans="1:24">
      <c r="A3855">
        <f>HYPERLINK("https://www.philgeps.gov.ph/GEPSNONPILOT/Tender/SplashBidNoticeAbstractUI.aspx?menuIndex=3&amp;refID=7063516&amp;Result=3","7063516")</f>
        <v>0</v>
      </c>
      <c r="B3855" t="s">
        <v>69</v>
      </c>
      <c r="C3855" t="s">
        <v>7238</v>
      </c>
      <c r="D3855" t="s">
        <v>18784</v>
      </c>
      <c r="E3855" t="s">
        <v>22373</v>
      </c>
      <c r="F3855" t="s">
        <v>32664</v>
      </c>
      <c r="G3855" t="s">
        <v>32672</v>
      </c>
      <c r="H3855" t="s">
        <v>12635</v>
      </c>
      <c r="I3855" t="s">
        <v>13883</v>
      </c>
      <c r="J3855" t="s">
        <v>35358</v>
      </c>
      <c r="K3855" t="s">
        <v>42298</v>
      </c>
      <c r="M3855" t="s">
        <v>44041</v>
      </c>
      <c r="N3855" t="s">
        <v>46569</v>
      </c>
      <c r="O3855" t="s">
        <v>46570</v>
      </c>
      <c r="P3855">
        <v>0</v>
      </c>
      <c r="Q3855">
        <v>8</v>
      </c>
      <c r="R3855" t="s">
        <v>46572</v>
      </c>
      <c r="S3855" t="s">
        <v>46689</v>
      </c>
      <c r="T3855" t="s">
        <v>48385</v>
      </c>
      <c r="U3855" t="s">
        <v>51967</v>
      </c>
      <c r="W3855" t="s">
        <v>44041</v>
      </c>
      <c r="X3855" t="s">
        <v>46573</v>
      </c>
    </row>
    <row r="3856" spans="1:24">
      <c r="A3856">
        <f>HYPERLINK("https://www.philgeps.gov.ph/GEPSNONPILOT/Tender/SplashBidNoticeAbstractUI.aspx?menuIndex=3&amp;refID=7063509&amp;Result=3","7063509")</f>
        <v>0</v>
      </c>
      <c r="B3856" t="s">
        <v>527</v>
      </c>
      <c r="C3856" t="s">
        <v>7239</v>
      </c>
      <c r="D3856" t="s">
        <v>18784</v>
      </c>
      <c r="E3856" t="s">
        <v>22374</v>
      </c>
      <c r="F3856" t="s">
        <v>32664</v>
      </c>
      <c r="G3856" t="s">
        <v>32671</v>
      </c>
      <c r="H3856" t="s">
        <v>12635</v>
      </c>
      <c r="I3856" t="s">
        <v>8958</v>
      </c>
      <c r="J3856" t="s">
        <v>35359</v>
      </c>
      <c r="K3856" t="s">
        <v>42284</v>
      </c>
      <c r="M3856" t="s">
        <v>43496</v>
      </c>
      <c r="N3856" t="s">
        <v>46569</v>
      </c>
      <c r="O3856" t="s">
        <v>46570</v>
      </c>
      <c r="P3856">
        <v>0</v>
      </c>
      <c r="Q3856">
        <v>0</v>
      </c>
      <c r="R3856" t="s">
        <v>46572</v>
      </c>
      <c r="S3856" t="s">
        <v>46689</v>
      </c>
      <c r="T3856" t="s">
        <v>48283</v>
      </c>
      <c r="U3856" t="s">
        <v>51968</v>
      </c>
      <c r="W3856" t="s">
        <v>43496</v>
      </c>
      <c r="X3856" t="s">
        <v>46573</v>
      </c>
    </row>
    <row r="3857" spans="1:24">
      <c r="A3857">
        <f>HYPERLINK("https://www.philgeps.gov.ph/GEPSNONPILOT/Tender/SplashBidNoticeAbstractUI.aspx?menuIndex=3&amp;refID=7063506&amp;Result=3","7063506")</f>
        <v>0</v>
      </c>
      <c r="B3857" t="s">
        <v>1021</v>
      </c>
      <c r="C3857" t="s">
        <v>7240</v>
      </c>
      <c r="D3857" t="s">
        <v>18822</v>
      </c>
      <c r="E3857" t="s">
        <v>20470</v>
      </c>
      <c r="F3857" t="s">
        <v>32664</v>
      </c>
      <c r="G3857" t="s">
        <v>32672</v>
      </c>
      <c r="H3857" t="s">
        <v>12635</v>
      </c>
      <c r="I3857" t="s">
        <v>4333</v>
      </c>
      <c r="J3857" t="s">
        <v>33128</v>
      </c>
      <c r="K3857" t="s">
        <v>42297</v>
      </c>
      <c r="M3857" t="s">
        <v>43633</v>
      </c>
      <c r="N3857" t="s">
        <v>46569</v>
      </c>
      <c r="O3857" t="s">
        <v>46570</v>
      </c>
      <c r="P3857">
        <v>0</v>
      </c>
      <c r="Q3857">
        <v>0</v>
      </c>
      <c r="R3857" t="s">
        <v>46572</v>
      </c>
      <c r="S3857" t="s">
        <v>46689</v>
      </c>
      <c r="T3857" t="s">
        <v>48276</v>
      </c>
      <c r="U3857" t="s">
        <v>51969</v>
      </c>
      <c r="W3857" t="s">
        <v>43633</v>
      </c>
      <c r="X3857" t="s">
        <v>46573</v>
      </c>
    </row>
    <row r="3858" spans="1:24">
      <c r="A3858">
        <f>HYPERLINK("https://www.philgeps.gov.ph/GEPSNONPILOT/Tender/SplashBidNoticeAbstractUI.aspx?menuIndex=3&amp;refID=7063513&amp;Result=3","7063513")</f>
        <v>0</v>
      </c>
      <c r="B3858" t="s">
        <v>549</v>
      </c>
      <c r="C3858" t="s">
        <v>7241</v>
      </c>
      <c r="D3858" t="s">
        <v>18781</v>
      </c>
      <c r="E3858" t="s">
        <v>22375</v>
      </c>
      <c r="F3858" t="s">
        <v>32664</v>
      </c>
      <c r="G3858" t="s">
        <v>32671</v>
      </c>
      <c r="H3858" t="s">
        <v>12635</v>
      </c>
      <c r="I3858" t="s">
        <v>6118</v>
      </c>
      <c r="J3858" t="s">
        <v>35360</v>
      </c>
      <c r="K3858" t="s">
        <v>42283</v>
      </c>
      <c r="M3858" t="s">
        <v>43129</v>
      </c>
      <c r="N3858" t="s">
        <v>46569</v>
      </c>
      <c r="O3858" t="s">
        <v>46570</v>
      </c>
      <c r="P3858">
        <v>0</v>
      </c>
      <c r="Q3858">
        <v>1</v>
      </c>
      <c r="R3858" t="s">
        <v>46572</v>
      </c>
      <c r="S3858" t="s">
        <v>46689</v>
      </c>
      <c r="T3858" t="s">
        <v>48249</v>
      </c>
      <c r="U3858" t="s">
        <v>51970</v>
      </c>
      <c r="W3858" t="s">
        <v>43129</v>
      </c>
      <c r="X3858" t="s">
        <v>46573</v>
      </c>
    </row>
    <row r="3859" spans="1:24">
      <c r="A3859">
        <f>HYPERLINK("https://www.philgeps.gov.ph/GEPSNONPILOT/Tender/SplashBidNoticeAbstractUI.aspx?menuIndex=3&amp;refID=7063505&amp;Result=3","7063505")</f>
        <v>0</v>
      </c>
      <c r="B3859" t="s">
        <v>442</v>
      </c>
      <c r="C3859" t="s">
        <v>7242</v>
      </c>
      <c r="D3859" t="s">
        <v>18852</v>
      </c>
      <c r="E3859" t="s">
        <v>19713</v>
      </c>
      <c r="F3859" t="s">
        <v>32664</v>
      </c>
      <c r="G3859" t="s">
        <v>32672</v>
      </c>
      <c r="H3859" t="s">
        <v>32683</v>
      </c>
      <c r="I3859" t="s">
        <v>10627</v>
      </c>
      <c r="J3859" t="s">
        <v>32981</v>
      </c>
      <c r="K3859" t="s">
        <v>42290</v>
      </c>
      <c r="M3859" t="s">
        <v>43014</v>
      </c>
      <c r="N3859" t="s">
        <v>46569</v>
      </c>
      <c r="O3859" t="s">
        <v>46570</v>
      </c>
      <c r="P3859">
        <v>0</v>
      </c>
      <c r="Q3859">
        <v>0</v>
      </c>
      <c r="R3859" t="s">
        <v>46572</v>
      </c>
      <c r="S3859" t="s">
        <v>46689</v>
      </c>
      <c r="T3859" t="s">
        <v>48490</v>
      </c>
      <c r="U3859" t="s">
        <v>51971</v>
      </c>
      <c r="W3859" t="s">
        <v>43014</v>
      </c>
      <c r="X3859" t="s">
        <v>46573</v>
      </c>
    </row>
    <row r="3860" spans="1:24">
      <c r="A3860">
        <f>HYPERLINK("https://www.philgeps.gov.ph/GEPSNONPILOT/Tender/SplashBidNoticeAbstractUI.aspx?menuIndex=3&amp;refID=7063503&amp;Result=3","7063503")</f>
        <v>0</v>
      </c>
      <c r="B3860" t="s">
        <v>1447</v>
      </c>
      <c r="C3860" t="s">
        <v>7243</v>
      </c>
      <c r="D3860" t="s">
        <v>18801</v>
      </c>
      <c r="E3860" t="s">
        <v>19673</v>
      </c>
      <c r="F3860" t="s">
        <v>32664</v>
      </c>
      <c r="G3860" t="s">
        <v>32671</v>
      </c>
      <c r="H3860" t="s">
        <v>12635</v>
      </c>
      <c r="I3860" t="s">
        <v>32692</v>
      </c>
      <c r="J3860" t="s">
        <v>33387</v>
      </c>
      <c r="K3860" t="s">
        <v>42309</v>
      </c>
      <c r="M3860" t="s">
        <v>44108</v>
      </c>
      <c r="N3860" t="s">
        <v>46569</v>
      </c>
      <c r="O3860" t="s">
        <v>46570</v>
      </c>
      <c r="P3860">
        <v>0</v>
      </c>
      <c r="Q3860">
        <v>4</v>
      </c>
      <c r="R3860" t="s">
        <v>46572</v>
      </c>
      <c r="S3860" t="s">
        <v>46689</v>
      </c>
      <c r="T3860" t="s">
        <v>48244</v>
      </c>
      <c r="U3860" t="s">
        <v>51972</v>
      </c>
      <c r="W3860" t="s">
        <v>44108</v>
      </c>
      <c r="X3860" t="s">
        <v>46573</v>
      </c>
    </row>
    <row r="3861" spans="1:24">
      <c r="A3861">
        <f>HYPERLINK("https://www.philgeps.gov.ph/GEPSNONPILOT/Tender/SplashBidNoticeAbstractUI.aspx?menuIndex=3&amp;refID=7063471&amp;Result=3","7063471")</f>
        <v>0</v>
      </c>
      <c r="B3861" t="s">
        <v>1080</v>
      </c>
      <c r="C3861" t="s">
        <v>7244</v>
      </c>
      <c r="D3861" t="s">
        <v>18787</v>
      </c>
      <c r="E3861" t="s">
        <v>19461</v>
      </c>
      <c r="F3861" t="s">
        <v>32664</v>
      </c>
      <c r="G3861" t="s">
        <v>32672</v>
      </c>
      <c r="H3861" t="s">
        <v>32683</v>
      </c>
      <c r="I3861" t="s">
        <v>32733</v>
      </c>
      <c r="J3861" t="s">
        <v>34601</v>
      </c>
      <c r="K3861" t="s">
        <v>42417</v>
      </c>
      <c r="M3861" t="s">
        <v>43703</v>
      </c>
      <c r="N3861" t="s">
        <v>46569</v>
      </c>
      <c r="O3861" t="s">
        <v>46570</v>
      </c>
      <c r="P3861">
        <v>0</v>
      </c>
      <c r="Q3861">
        <v>0</v>
      </c>
      <c r="R3861" t="s">
        <v>46572</v>
      </c>
      <c r="S3861" t="s">
        <v>46689</v>
      </c>
      <c r="T3861" t="s">
        <v>48459</v>
      </c>
      <c r="U3861" t="s">
        <v>51973</v>
      </c>
      <c r="W3861" t="s">
        <v>43703</v>
      </c>
      <c r="X3861" t="s">
        <v>46573</v>
      </c>
    </row>
    <row r="3862" spans="1:24">
      <c r="A3862">
        <f>HYPERLINK("https://www.philgeps.gov.ph/GEPSNONPILOT/Tender/SplashBidNoticeAbstractUI.aspx?menuIndex=3&amp;refID=7063510&amp;Result=3","7063510")</f>
        <v>0</v>
      </c>
      <c r="B3862" t="s">
        <v>1380</v>
      </c>
      <c r="C3862" t="s">
        <v>7245</v>
      </c>
      <c r="D3862" t="s">
        <v>18809</v>
      </c>
      <c r="E3862" t="s">
        <v>22376</v>
      </c>
      <c r="F3862" t="s">
        <v>32664</v>
      </c>
      <c r="G3862" t="s">
        <v>32672</v>
      </c>
      <c r="H3862" t="s">
        <v>12635</v>
      </c>
      <c r="I3862" t="s">
        <v>9486</v>
      </c>
      <c r="J3862" t="s">
        <v>35361</v>
      </c>
      <c r="K3862" t="s">
        <v>42297</v>
      </c>
      <c r="L3862" t="s">
        <v>1380</v>
      </c>
      <c r="M3862" t="s">
        <v>44035</v>
      </c>
      <c r="N3862" t="s">
        <v>46569</v>
      </c>
      <c r="O3862" t="s">
        <v>46570</v>
      </c>
      <c r="P3862">
        <v>0</v>
      </c>
      <c r="Q3862">
        <v>3</v>
      </c>
      <c r="R3862" t="s">
        <v>46572</v>
      </c>
      <c r="S3862" t="s">
        <v>46689</v>
      </c>
      <c r="T3862" t="s">
        <v>48216</v>
      </c>
      <c r="U3862" t="s">
        <v>51849</v>
      </c>
      <c r="V3862" t="s">
        <v>61989</v>
      </c>
      <c r="W3862" t="s">
        <v>44035</v>
      </c>
      <c r="X3862" t="s">
        <v>46573</v>
      </c>
    </row>
    <row r="3863" spans="1:24">
      <c r="A3863">
        <f>HYPERLINK("https://www.philgeps.gov.ph/GEPSNONPILOT/Tender/SplashBidNoticeAbstractUI.aspx?menuIndex=3&amp;refID=7063542&amp;Result=3","7063542")</f>
        <v>0</v>
      </c>
      <c r="B3863" t="s">
        <v>230</v>
      </c>
      <c r="C3863" t="s">
        <v>7246</v>
      </c>
      <c r="D3863" t="s">
        <v>18827</v>
      </c>
      <c r="E3863" t="s">
        <v>22377</v>
      </c>
      <c r="F3863" t="s">
        <v>32664</v>
      </c>
      <c r="G3863" t="s">
        <v>32671</v>
      </c>
      <c r="H3863" t="s">
        <v>12635</v>
      </c>
      <c r="I3863" t="s">
        <v>6118</v>
      </c>
      <c r="J3863" t="s">
        <v>33615</v>
      </c>
      <c r="K3863" t="s">
        <v>42283</v>
      </c>
      <c r="M3863" t="s">
        <v>42794</v>
      </c>
      <c r="N3863" t="s">
        <v>46569</v>
      </c>
      <c r="O3863" t="s">
        <v>46570</v>
      </c>
      <c r="P3863">
        <v>0</v>
      </c>
      <c r="Q3863">
        <v>0</v>
      </c>
      <c r="R3863" t="s">
        <v>46572</v>
      </c>
      <c r="S3863" t="s">
        <v>46689</v>
      </c>
      <c r="T3863" t="s">
        <v>48221</v>
      </c>
      <c r="U3863" t="s">
        <v>51974</v>
      </c>
      <c r="W3863" t="s">
        <v>42794</v>
      </c>
      <c r="X3863" t="s">
        <v>46573</v>
      </c>
    </row>
    <row r="3864" spans="1:24">
      <c r="A3864">
        <f>HYPERLINK("https://www.philgeps.gov.ph/GEPSNONPILOT/Tender/SplashBidNoticeAbstractUI.aspx?menuIndex=3&amp;refID=7063539&amp;Result=3","7063539")</f>
        <v>0</v>
      </c>
      <c r="B3864" t="s">
        <v>1387</v>
      </c>
      <c r="C3864" t="s">
        <v>7247</v>
      </c>
      <c r="D3864" t="s">
        <v>18788</v>
      </c>
      <c r="E3864" t="s">
        <v>22378</v>
      </c>
      <c r="F3864" t="s">
        <v>32664</v>
      </c>
      <c r="G3864" t="s">
        <v>32672</v>
      </c>
      <c r="H3864" t="s">
        <v>12635</v>
      </c>
      <c r="I3864" t="s">
        <v>14442</v>
      </c>
      <c r="J3864" t="s">
        <v>33078</v>
      </c>
      <c r="K3864" t="s">
        <v>42289</v>
      </c>
      <c r="M3864" t="s">
        <v>44043</v>
      </c>
      <c r="N3864" t="s">
        <v>46569</v>
      </c>
      <c r="O3864" t="s">
        <v>46570</v>
      </c>
      <c r="P3864">
        <v>0</v>
      </c>
      <c r="Q3864">
        <v>1</v>
      </c>
      <c r="R3864" t="s">
        <v>46572</v>
      </c>
      <c r="S3864" t="s">
        <v>46689</v>
      </c>
      <c r="T3864" t="s">
        <v>48237</v>
      </c>
      <c r="U3864" t="s">
        <v>51975</v>
      </c>
      <c r="W3864" t="s">
        <v>44043</v>
      </c>
      <c r="X3864" t="s">
        <v>46573</v>
      </c>
    </row>
    <row r="3865" spans="1:24">
      <c r="A3865">
        <f>HYPERLINK("https://www.philgeps.gov.ph/GEPSNONPILOT/Tender/SplashBidNoticeAbstractUI.aspx?menuIndex=3&amp;refID=7063537&amp;Result=3","7063537")</f>
        <v>0</v>
      </c>
      <c r="B3865" t="s">
        <v>1342</v>
      </c>
      <c r="C3865" t="s">
        <v>7248</v>
      </c>
      <c r="D3865" t="s">
        <v>18787</v>
      </c>
      <c r="E3865" t="s">
        <v>22379</v>
      </c>
      <c r="F3865" t="s">
        <v>32664</v>
      </c>
      <c r="G3865" t="s">
        <v>32671</v>
      </c>
      <c r="H3865" t="s">
        <v>12635</v>
      </c>
      <c r="I3865" t="s">
        <v>7429</v>
      </c>
      <c r="J3865" t="s">
        <v>35362</v>
      </c>
      <c r="K3865" t="s">
        <v>42283</v>
      </c>
      <c r="M3865" t="s">
        <v>43992</v>
      </c>
      <c r="N3865" t="s">
        <v>46569</v>
      </c>
      <c r="O3865" t="s">
        <v>46570</v>
      </c>
      <c r="P3865">
        <v>0</v>
      </c>
      <c r="Q3865">
        <v>1</v>
      </c>
      <c r="R3865" t="s">
        <v>46572</v>
      </c>
      <c r="S3865" t="s">
        <v>46689</v>
      </c>
      <c r="T3865" t="s">
        <v>48293</v>
      </c>
      <c r="U3865" t="s">
        <v>51749</v>
      </c>
      <c r="W3865" t="s">
        <v>43992</v>
      </c>
      <c r="X3865" t="s">
        <v>46573</v>
      </c>
    </row>
    <row r="3866" spans="1:24">
      <c r="A3866">
        <f>HYPERLINK("https://www.philgeps.gov.ph/GEPSNONPILOT/Tender/SplashBidNoticeAbstractUI.aspx?menuIndex=3&amp;refID=7063541&amp;Result=3","7063541")</f>
        <v>0</v>
      </c>
      <c r="B3866" t="s">
        <v>1088</v>
      </c>
      <c r="C3866" t="s">
        <v>7249</v>
      </c>
      <c r="D3866" t="s">
        <v>18804</v>
      </c>
      <c r="E3866" t="s">
        <v>22380</v>
      </c>
      <c r="F3866" t="s">
        <v>32664</v>
      </c>
      <c r="G3866" t="s">
        <v>32672</v>
      </c>
      <c r="H3866" t="s">
        <v>32683</v>
      </c>
      <c r="I3866" t="s">
        <v>10627</v>
      </c>
      <c r="J3866" t="s">
        <v>35363</v>
      </c>
      <c r="K3866" t="s">
        <v>42298</v>
      </c>
      <c r="M3866" t="s">
        <v>43714</v>
      </c>
      <c r="N3866" t="s">
        <v>46569</v>
      </c>
      <c r="O3866" t="s">
        <v>46570</v>
      </c>
      <c r="P3866">
        <v>0</v>
      </c>
      <c r="Q3866">
        <v>0</v>
      </c>
      <c r="R3866" t="s">
        <v>46572</v>
      </c>
      <c r="S3866" t="s">
        <v>46689</v>
      </c>
      <c r="T3866" t="s">
        <v>48275</v>
      </c>
      <c r="U3866" t="s">
        <v>51976</v>
      </c>
      <c r="V3866" t="s">
        <v>61896</v>
      </c>
      <c r="W3866" t="s">
        <v>43714</v>
      </c>
      <c r="X3866" t="s">
        <v>46573</v>
      </c>
    </row>
    <row r="3867" spans="1:24">
      <c r="A3867">
        <f>HYPERLINK("https://www.philgeps.gov.ph/GEPSNONPILOT/Tender/SplashBidNoticeAbstractUI.aspx?menuIndex=3&amp;refID=7063514&amp;Result=3","7063514")</f>
        <v>0</v>
      </c>
      <c r="B3867" t="s">
        <v>594</v>
      </c>
      <c r="C3867" t="s">
        <v>7250</v>
      </c>
      <c r="D3867" t="s">
        <v>18784</v>
      </c>
      <c r="E3867" t="s">
        <v>22381</v>
      </c>
      <c r="F3867" t="s">
        <v>32664</v>
      </c>
      <c r="G3867" t="s">
        <v>32674</v>
      </c>
      <c r="H3867" t="s">
        <v>12635</v>
      </c>
      <c r="I3867" t="s">
        <v>32758</v>
      </c>
      <c r="J3867" t="s">
        <v>35364</v>
      </c>
      <c r="K3867" t="s">
        <v>42297</v>
      </c>
      <c r="M3867" t="s">
        <v>43793</v>
      </c>
      <c r="N3867" t="s">
        <v>46569</v>
      </c>
      <c r="O3867" t="s">
        <v>46570</v>
      </c>
      <c r="P3867">
        <v>0</v>
      </c>
      <c r="Q3867">
        <v>3</v>
      </c>
      <c r="R3867" t="s">
        <v>46572</v>
      </c>
      <c r="S3867" t="s">
        <v>46689</v>
      </c>
      <c r="T3867" t="s">
        <v>48461</v>
      </c>
      <c r="U3867" t="s">
        <v>51977</v>
      </c>
      <c r="V3867" t="s">
        <v>61909</v>
      </c>
      <c r="W3867" t="s">
        <v>43793</v>
      </c>
      <c r="X3867" t="s">
        <v>46573</v>
      </c>
    </row>
    <row r="3868" spans="1:24">
      <c r="A3868">
        <f>HYPERLINK("https://www.philgeps.gov.ph/GEPSNONPILOT/Tender/SplashBidNoticeAbstractUI.aspx?menuIndex=3&amp;refID=7063477&amp;Result=3","7063477")</f>
        <v>0</v>
      </c>
      <c r="B3868" t="s">
        <v>1448</v>
      </c>
      <c r="C3868" t="s">
        <v>7251</v>
      </c>
      <c r="D3868" t="s">
        <v>18784</v>
      </c>
      <c r="E3868" t="s">
        <v>22382</v>
      </c>
      <c r="F3868" t="s">
        <v>32665</v>
      </c>
      <c r="G3868" t="s">
        <v>32672</v>
      </c>
      <c r="H3868" t="s">
        <v>12635</v>
      </c>
      <c r="I3868" t="s">
        <v>8730</v>
      </c>
      <c r="J3868" t="s">
        <v>32859</v>
      </c>
      <c r="K3868" t="s">
        <v>42281</v>
      </c>
      <c r="M3868" t="s">
        <v>44109</v>
      </c>
      <c r="N3868" t="s">
        <v>46569</v>
      </c>
      <c r="O3868" t="s">
        <v>46570</v>
      </c>
      <c r="P3868">
        <v>0</v>
      </c>
      <c r="Q3868">
        <v>1</v>
      </c>
      <c r="R3868" t="s">
        <v>46572</v>
      </c>
      <c r="S3868" t="s">
        <v>46689</v>
      </c>
      <c r="T3868" t="s">
        <v>48453</v>
      </c>
      <c r="U3868" t="s">
        <v>51978</v>
      </c>
      <c r="V3868" t="s">
        <v>62014</v>
      </c>
      <c r="W3868" t="s">
        <v>44109</v>
      </c>
      <c r="X3868" t="s">
        <v>46573</v>
      </c>
    </row>
    <row r="3869" spans="1:24">
      <c r="A3869">
        <f>HYPERLINK("https://www.philgeps.gov.ph/GEPSNONPILOT/Tender/SplashBidNoticeAbstractUI.aspx?menuIndex=3&amp;refID=7063536&amp;Result=3","7063536")</f>
        <v>0</v>
      </c>
      <c r="B3869" t="s">
        <v>238</v>
      </c>
      <c r="C3869" t="s">
        <v>7252</v>
      </c>
      <c r="D3869" t="s">
        <v>18798</v>
      </c>
      <c r="E3869" t="s">
        <v>22383</v>
      </c>
      <c r="F3869" t="s">
        <v>32664</v>
      </c>
      <c r="G3869" t="s">
        <v>32675</v>
      </c>
      <c r="H3869" t="s">
        <v>12635</v>
      </c>
      <c r="I3869" t="s">
        <v>8797</v>
      </c>
      <c r="J3869" t="s">
        <v>33338</v>
      </c>
      <c r="K3869" t="s">
        <v>42295</v>
      </c>
      <c r="M3869" t="s">
        <v>42909</v>
      </c>
      <c r="N3869" t="s">
        <v>46569</v>
      </c>
      <c r="O3869" t="s">
        <v>46570</v>
      </c>
      <c r="P3869">
        <v>0</v>
      </c>
      <c r="Q3869">
        <v>5</v>
      </c>
      <c r="R3869" t="s">
        <v>46572</v>
      </c>
      <c r="S3869" t="s">
        <v>46689</v>
      </c>
      <c r="T3869" t="s">
        <v>48219</v>
      </c>
      <c r="U3869" t="s">
        <v>51979</v>
      </c>
      <c r="V3869" t="s">
        <v>62015</v>
      </c>
      <c r="W3869" t="s">
        <v>42909</v>
      </c>
      <c r="X3869" t="s">
        <v>46573</v>
      </c>
    </row>
    <row r="3870" spans="1:24">
      <c r="A3870">
        <f>HYPERLINK("https://www.philgeps.gov.ph/GEPSNONPILOT/Tender/SplashBidNoticeAbstractUI.aspx?menuIndex=3&amp;refID=7063543&amp;Result=3","7063543")</f>
        <v>0</v>
      </c>
      <c r="B3870" t="s">
        <v>1031</v>
      </c>
      <c r="C3870" t="s">
        <v>7253</v>
      </c>
      <c r="D3870" t="s">
        <v>18858</v>
      </c>
      <c r="E3870" t="s">
        <v>22384</v>
      </c>
      <c r="F3870" t="s">
        <v>32665</v>
      </c>
      <c r="G3870" t="s">
        <v>32673</v>
      </c>
      <c r="H3870" t="s">
        <v>12635</v>
      </c>
      <c r="I3870" t="s">
        <v>10370</v>
      </c>
      <c r="J3870" t="s">
        <v>35365</v>
      </c>
      <c r="K3870" t="s">
        <v>42305</v>
      </c>
      <c r="M3870" t="s">
        <v>43644</v>
      </c>
      <c r="N3870" t="s">
        <v>46569</v>
      </c>
      <c r="O3870" t="s">
        <v>46570</v>
      </c>
      <c r="P3870">
        <v>0</v>
      </c>
      <c r="Q3870">
        <v>3</v>
      </c>
      <c r="R3870" t="s">
        <v>46572</v>
      </c>
      <c r="S3870" t="s">
        <v>46689</v>
      </c>
      <c r="T3870" t="s">
        <v>48216</v>
      </c>
      <c r="U3870" t="s">
        <v>51980</v>
      </c>
      <c r="W3870" t="s">
        <v>43644</v>
      </c>
      <c r="X3870" t="s">
        <v>46573</v>
      </c>
    </row>
    <row r="3871" spans="1:24">
      <c r="A3871">
        <f>HYPERLINK("https://www.philgeps.gov.ph/GEPSNONPILOT/Tender/SplashBidNoticeAbstractUI.aspx?menuIndex=3&amp;refID=7063535&amp;Result=3","7063535")</f>
        <v>0</v>
      </c>
      <c r="B3871" t="s">
        <v>1449</v>
      </c>
      <c r="C3871" t="s">
        <v>7254</v>
      </c>
      <c r="D3871" t="s">
        <v>18801</v>
      </c>
      <c r="E3871" t="s">
        <v>22385</v>
      </c>
      <c r="F3871" t="s">
        <v>32664</v>
      </c>
      <c r="G3871" t="s">
        <v>32671</v>
      </c>
      <c r="H3871" t="s">
        <v>12635</v>
      </c>
      <c r="I3871" t="s">
        <v>32727</v>
      </c>
      <c r="J3871" t="s">
        <v>35366</v>
      </c>
      <c r="K3871" t="s">
        <v>42281</v>
      </c>
      <c r="M3871" t="s">
        <v>44110</v>
      </c>
      <c r="N3871" t="s">
        <v>46569</v>
      </c>
      <c r="O3871" t="s">
        <v>46570</v>
      </c>
      <c r="P3871">
        <v>0</v>
      </c>
      <c r="Q3871">
        <v>1</v>
      </c>
      <c r="R3871" t="s">
        <v>46572</v>
      </c>
      <c r="S3871" t="s">
        <v>46689</v>
      </c>
      <c r="T3871" t="s">
        <v>48228</v>
      </c>
      <c r="U3871" t="s">
        <v>51981</v>
      </c>
      <c r="W3871" t="s">
        <v>44110</v>
      </c>
      <c r="X3871" t="s">
        <v>46573</v>
      </c>
    </row>
    <row r="3872" spans="1:24">
      <c r="A3872">
        <f>HYPERLINK("https://www.philgeps.gov.ph/GEPSNONPILOT/Tender/SplashBidNoticeAbstractUI.aspx?menuIndex=3&amp;refID=7063508&amp;Result=3","7063508")</f>
        <v>0</v>
      </c>
      <c r="B3872" t="s">
        <v>1450</v>
      </c>
      <c r="C3872" t="s">
        <v>7255</v>
      </c>
      <c r="D3872" t="s">
        <v>18804</v>
      </c>
      <c r="E3872" t="s">
        <v>22386</v>
      </c>
      <c r="F3872" t="s">
        <v>32664</v>
      </c>
      <c r="G3872" t="s">
        <v>32671</v>
      </c>
      <c r="H3872" t="s">
        <v>32683</v>
      </c>
      <c r="I3872" t="s">
        <v>32694</v>
      </c>
      <c r="J3872" t="s">
        <v>35367</v>
      </c>
      <c r="K3872" t="s">
        <v>42281</v>
      </c>
      <c r="M3872" t="s">
        <v>44111</v>
      </c>
      <c r="N3872" t="s">
        <v>46569</v>
      </c>
      <c r="O3872" t="s">
        <v>46570</v>
      </c>
      <c r="P3872">
        <v>0</v>
      </c>
      <c r="Q3872">
        <v>0</v>
      </c>
      <c r="R3872" t="s">
        <v>46572</v>
      </c>
      <c r="S3872" t="s">
        <v>46689</v>
      </c>
      <c r="T3872" t="s">
        <v>48219</v>
      </c>
      <c r="U3872" t="s">
        <v>51982</v>
      </c>
      <c r="W3872" t="s">
        <v>44111</v>
      </c>
      <c r="X3872" t="s">
        <v>46573</v>
      </c>
    </row>
    <row r="3873" spans="1:24">
      <c r="A3873">
        <f>HYPERLINK("https://www.philgeps.gov.ph/GEPSNONPILOT/Tender/SplashBidNoticeAbstractUI.aspx?menuIndex=3&amp;refID=7063527&amp;Result=3","7063527")</f>
        <v>0</v>
      </c>
      <c r="B3873" t="s">
        <v>1432</v>
      </c>
      <c r="C3873" t="s">
        <v>7256</v>
      </c>
      <c r="D3873" t="s">
        <v>18806</v>
      </c>
      <c r="E3873" t="s">
        <v>22387</v>
      </c>
      <c r="F3873" t="s">
        <v>32664</v>
      </c>
      <c r="G3873" t="s">
        <v>32674</v>
      </c>
      <c r="H3873" t="s">
        <v>12635</v>
      </c>
      <c r="I3873" t="s">
        <v>32694</v>
      </c>
      <c r="J3873" t="s">
        <v>35368</v>
      </c>
      <c r="K3873" t="s">
        <v>42289</v>
      </c>
      <c r="M3873" t="s">
        <v>44092</v>
      </c>
      <c r="N3873" t="s">
        <v>46569</v>
      </c>
      <c r="O3873" t="s">
        <v>46570</v>
      </c>
      <c r="P3873">
        <v>0</v>
      </c>
      <c r="Q3873">
        <v>0</v>
      </c>
      <c r="R3873" t="s">
        <v>46572</v>
      </c>
      <c r="S3873" t="s">
        <v>46689</v>
      </c>
      <c r="T3873" t="s">
        <v>48316</v>
      </c>
      <c r="U3873" t="s">
        <v>51983</v>
      </c>
      <c r="W3873" t="s">
        <v>44092</v>
      </c>
      <c r="X3873" t="s">
        <v>46573</v>
      </c>
    </row>
    <row r="3874" spans="1:24">
      <c r="A3874">
        <f>HYPERLINK("https://www.philgeps.gov.ph/GEPSNONPILOT/Tender/SplashBidNoticeAbstractUI.aspx?menuIndex=3&amp;refID=7063526&amp;Result=3","7063526")</f>
        <v>0</v>
      </c>
      <c r="B3874" t="s">
        <v>1451</v>
      </c>
      <c r="C3874" t="s">
        <v>7257</v>
      </c>
      <c r="D3874" t="s">
        <v>18814</v>
      </c>
      <c r="E3874" t="s">
        <v>22388</v>
      </c>
      <c r="F3874" t="s">
        <v>32664</v>
      </c>
      <c r="G3874" t="s">
        <v>32671</v>
      </c>
      <c r="H3874" t="s">
        <v>12635</v>
      </c>
      <c r="I3874" t="s">
        <v>4439</v>
      </c>
      <c r="J3874" t="s">
        <v>35369</v>
      </c>
      <c r="K3874" t="s">
        <v>42297</v>
      </c>
      <c r="M3874" t="s">
        <v>44112</v>
      </c>
      <c r="N3874" t="s">
        <v>46569</v>
      </c>
      <c r="O3874" t="s">
        <v>46570</v>
      </c>
      <c r="P3874">
        <v>0</v>
      </c>
      <c r="Q3874">
        <v>0</v>
      </c>
      <c r="R3874" t="s">
        <v>46572</v>
      </c>
      <c r="S3874" t="s">
        <v>46689</v>
      </c>
      <c r="T3874" t="s">
        <v>48256</v>
      </c>
      <c r="U3874" t="s">
        <v>51984</v>
      </c>
      <c r="W3874" t="s">
        <v>44112</v>
      </c>
      <c r="X3874" t="s">
        <v>46573</v>
      </c>
    </row>
    <row r="3875" spans="1:24">
      <c r="A3875">
        <f>HYPERLINK("https://www.philgeps.gov.ph/GEPSNONPILOT/Tender/SplashBidNoticeAbstractUI.aspx?menuIndex=3&amp;refID=7063538&amp;Result=3","7063538")</f>
        <v>0</v>
      </c>
      <c r="B3875" t="s">
        <v>800</v>
      </c>
      <c r="C3875" t="s">
        <v>7258</v>
      </c>
      <c r="D3875" t="s">
        <v>18827</v>
      </c>
      <c r="E3875" t="s">
        <v>22389</v>
      </c>
      <c r="F3875" t="s">
        <v>32664</v>
      </c>
      <c r="G3875" t="s">
        <v>32672</v>
      </c>
      <c r="H3875" t="s">
        <v>32683</v>
      </c>
      <c r="I3875" t="s">
        <v>10627</v>
      </c>
      <c r="J3875" t="s">
        <v>33167</v>
      </c>
      <c r="K3875" t="s">
        <v>42281</v>
      </c>
      <c r="M3875" t="s">
        <v>43392</v>
      </c>
      <c r="N3875" t="s">
        <v>46569</v>
      </c>
      <c r="O3875" t="s">
        <v>46570</v>
      </c>
      <c r="P3875">
        <v>0</v>
      </c>
      <c r="Q3875">
        <v>0</v>
      </c>
      <c r="R3875" t="s">
        <v>46572</v>
      </c>
      <c r="S3875" t="s">
        <v>46689</v>
      </c>
      <c r="T3875" t="s">
        <v>48395</v>
      </c>
      <c r="U3875" t="s">
        <v>51985</v>
      </c>
      <c r="W3875" t="s">
        <v>43392</v>
      </c>
      <c r="X3875" t="s">
        <v>46573</v>
      </c>
    </row>
    <row r="3876" spans="1:24">
      <c r="A3876">
        <f>HYPERLINK("https://www.philgeps.gov.ph/GEPSNONPILOT/Tender/SplashBidNoticeAbstractUI.aspx?menuIndex=3&amp;refID=7063523&amp;Result=3","7063523")</f>
        <v>0</v>
      </c>
      <c r="B3876" t="s">
        <v>807</v>
      </c>
      <c r="C3876" t="s">
        <v>7259</v>
      </c>
      <c r="D3876" t="s">
        <v>18784</v>
      </c>
      <c r="E3876" t="s">
        <v>22390</v>
      </c>
      <c r="F3876" t="s">
        <v>32664</v>
      </c>
      <c r="G3876" t="s">
        <v>32672</v>
      </c>
      <c r="H3876" t="s">
        <v>12635</v>
      </c>
      <c r="I3876" t="s">
        <v>32712</v>
      </c>
      <c r="J3876" t="s">
        <v>35370</v>
      </c>
      <c r="K3876" t="s">
        <v>42283</v>
      </c>
      <c r="M3876" t="s">
        <v>43817</v>
      </c>
      <c r="N3876" t="s">
        <v>46569</v>
      </c>
      <c r="O3876" t="s">
        <v>46570</v>
      </c>
      <c r="P3876">
        <v>0</v>
      </c>
      <c r="Q3876">
        <v>36</v>
      </c>
      <c r="R3876" t="s">
        <v>46572</v>
      </c>
      <c r="S3876" t="s">
        <v>46689</v>
      </c>
      <c r="T3876" t="s">
        <v>48222</v>
      </c>
      <c r="U3876" t="s">
        <v>51284</v>
      </c>
      <c r="W3876" t="s">
        <v>43817</v>
      </c>
      <c r="X3876" t="s">
        <v>46573</v>
      </c>
    </row>
    <row r="3877" spans="1:24">
      <c r="A3877">
        <f>HYPERLINK("https://www.philgeps.gov.ph/GEPSNONPILOT/Tender/SplashBidNoticeAbstractUI.aspx?menuIndex=3&amp;refID=7063534&amp;Result=3","7063534")</f>
        <v>0</v>
      </c>
      <c r="B3877" t="s">
        <v>716</v>
      </c>
      <c r="C3877" t="s">
        <v>7260</v>
      </c>
      <c r="D3877" t="s">
        <v>18842</v>
      </c>
      <c r="E3877" t="s">
        <v>22391</v>
      </c>
      <c r="F3877" t="s">
        <v>32664</v>
      </c>
      <c r="G3877" t="s">
        <v>32672</v>
      </c>
      <c r="H3877" t="s">
        <v>32683</v>
      </c>
      <c r="I3877" t="s">
        <v>10627</v>
      </c>
      <c r="J3877" t="s">
        <v>35371</v>
      </c>
      <c r="K3877" t="s">
        <v>42345</v>
      </c>
      <c r="M3877" t="s">
        <v>43303</v>
      </c>
      <c r="N3877" t="s">
        <v>46569</v>
      </c>
      <c r="O3877" t="s">
        <v>46570</v>
      </c>
      <c r="P3877">
        <v>0</v>
      </c>
      <c r="Q3877">
        <v>0</v>
      </c>
      <c r="R3877" t="s">
        <v>46572</v>
      </c>
      <c r="S3877" t="s">
        <v>46689</v>
      </c>
      <c r="T3877" t="s">
        <v>48216</v>
      </c>
      <c r="U3877" t="s">
        <v>51986</v>
      </c>
      <c r="W3877" t="s">
        <v>43303</v>
      </c>
      <c r="X3877" t="s">
        <v>46573</v>
      </c>
    </row>
    <row r="3878" spans="1:24">
      <c r="A3878">
        <f>HYPERLINK("https://www.philgeps.gov.ph/GEPSNONPILOT/Tender/SplashBidNoticeAbstractUI.aspx?menuIndex=3&amp;refID=7063529&amp;Result=3","7063529")</f>
        <v>0</v>
      </c>
      <c r="B3878" t="s">
        <v>231</v>
      </c>
      <c r="C3878" t="s">
        <v>7261</v>
      </c>
      <c r="D3878" t="s">
        <v>18845</v>
      </c>
      <c r="E3878" t="s">
        <v>7261</v>
      </c>
      <c r="F3878" t="s">
        <v>32664</v>
      </c>
      <c r="G3878" t="s">
        <v>32674</v>
      </c>
      <c r="H3878" t="s">
        <v>12635</v>
      </c>
      <c r="I3878" t="s">
        <v>32685</v>
      </c>
      <c r="J3878" t="s">
        <v>35372</v>
      </c>
      <c r="K3878" t="s">
        <v>42281</v>
      </c>
      <c r="M3878" t="s">
        <v>44083</v>
      </c>
      <c r="N3878" t="s">
        <v>46569</v>
      </c>
      <c r="O3878" t="s">
        <v>46570</v>
      </c>
      <c r="P3878">
        <v>0</v>
      </c>
      <c r="Q3878">
        <v>0</v>
      </c>
      <c r="R3878" t="s">
        <v>46572</v>
      </c>
      <c r="S3878" t="s">
        <v>46689</v>
      </c>
      <c r="T3878" t="s">
        <v>48487</v>
      </c>
      <c r="U3878" t="s">
        <v>51987</v>
      </c>
      <c r="W3878" t="s">
        <v>44083</v>
      </c>
      <c r="X3878" t="s">
        <v>46573</v>
      </c>
    </row>
    <row r="3879" spans="1:24">
      <c r="A3879">
        <f>HYPERLINK("https://www.philgeps.gov.ph/GEPSNONPILOT/Tender/SplashBidNoticeAbstractUI.aspx?menuIndex=3&amp;refID=7063519&amp;Result=3","7063519")</f>
        <v>0</v>
      </c>
      <c r="B3879" t="s">
        <v>1449</v>
      </c>
      <c r="C3879" t="s">
        <v>7262</v>
      </c>
      <c r="D3879" t="s">
        <v>18801</v>
      </c>
      <c r="E3879" t="s">
        <v>22392</v>
      </c>
      <c r="F3879" t="s">
        <v>32664</v>
      </c>
      <c r="G3879" t="s">
        <v>32671</v>
      </c>
      <c r="H3879" t="s">
        <v>12635</v>
      </c>
      <c r="I3879" t="s">
        <v>32704</v>
      </c>
      <c r="J3879" t="s">
        <v>35373</v>
      </c>
      <c r="K3879" t="s">
        <v>42281</v>
      </c>
      <c r="M3879" t="s">
        <v>44110</v>
      </c>
      <c r="N3879" t="s">
        <v>46569</v>
      </c>
      <c r="O3879" t="s">
        <v>46570</v>
      </c>
      <c r="P3879">
        <v>0</v>
      </c>
      <c r="Q3879">
        <v>4</v>
      </c>
      <c r="R3879" t="s">
        <v>46572</v>
      </c>
      <c r="S3879" t="s">
        <v>46689</v>
      </c>
      <c r="T3879" t="s">
        <v>48228</v>
      </c>
      <c r="U3879" t="s">
        <v>51988</v>
      </c>
      <c r="W3879" t="s">
        <v>44110</v>
      </c>
      <c r="X3879" t="s">
        <v>46573</v>
      </c>
    </row>
    <row r="3880" spans="1:24">
      <c r="A3880">
        <f>HYPERLINK("https://www.philgeps.gov.ph/GEPSNONPILOT/Tender/SplashBidNoticeAbstractUI.aspx?menuIndex=3&amp;refID=7063524&amp;Result=3","7063524")</f>
        <v>0</v>
      </c>
      <c r="B3880" t="s">
        <v>1452</v>
      </c>
      <c r="C3880" t="s">
        <v>7263</v>
      </c>
      <c r="D3880" t="s">
        <v>18812</v>
      </c>
      <c r="E3880" t="s">
        <v>22393</v>
      </c>
      <c r="F3880" t="s">
        <v>32664</v>
      </c>
      <c r="G3880" t="s">
        <v>32672</v>
      </c>
      <c r="H3880" t="s">
        <v>32683</v>
      </c>
      <c r="I3880" t="s">
        <v>10627</v>
      </c>
      <c r="J3880" t="s">
        <v>34487</v>
      </c>
      <c r="K3880" t="s">
        <v>42311</v>
      </c>
      <c r="M3880" t="s">
        <v>44113</v>
      </c>
      <c r="N3880" t="s">
        <v>46569</v>
      </c>
      <c r="O3880" t="s">
        <v>46570</v>
      </c>
      <c r="P3880">
        <v>0</v>
      </c>
      <c r="Q3880">
        <v>0</v>
      </c>
      <c r="R3880" t="s">
        <v>46572</v>
      </c>
      <c r="S3880" t="s">
        <v>46689</v>
      </c>
      <c r="T3880" t="s">
        <v>48491</v>
      </c>
      <c r="U3880" t="s">
        <v>51989</v>
      </c>
      <c r="V3880" t="s">
        <v>62016</v>
      </c>
      <c r="W3880" t="s">
        <v>44113</v>
      </c>
      <c r="X3880" t="s">
        <v>46573</v>
      </c>
    </row>
    <row r="3881" spans="1:24">
      <c r="A3881">
        <f>HYPERLINK("https://www.philgeps.gov.ph/GEPSNONPILOT/Tender/SplashBidNoticeAbstractUI.aspx?menuIndex=3&amp;refID=7063502&amp;Result=3","7063502")</f>
        <v>0</v>
      </c>
      <c r="B3881" t="s">
        <v>716</v>
      </c>
      <c r="C3881" t="s">
        <v>7264</v>
      </c>
      <c r="D3881" t="s">
        <v>18842</v>
      </c>
      <c r="E3881" t="s">
        <v>22394</v>
      </c>
      <c r="F3881" t="s">
        <v>32664</v>
      </c>
      <c r="G3881" t="s">
        <v>32672</v>
      </c>
      <c r="H3881" t="s">
        <v>32683</v>
      </c>
      <c r="I3881" t="s">
        <v>10627</v>
      </c>
      <c r="J3881" t="s">
        <v>35371</v>
      </c>
      <c r="K3881" t="s">
        <v>42345</v>
      </c>
      <c r="M3881" t="s">
        <v>43303</v>
      </c>
      <c r="N3881" t="s">
        <v>46569</v>
      </c>
      <c r="O3881" t="s">
        <v>46570</v>
      </c>
      <c r="P3881">
        <v>0</v>
      </c>
      <c r="Q3881">
        <v>0</v>
      </c>
      <c r="R3881" t="s">
        <v>46572</v>
      </c>
      <c r="S3881" t="s">
        <v>46689</v>
      </c>
      <c r="T3881" t="s">
        <v>48216</v>
      </c>
      <c r="U3881" t="s">
        <v>51986</v>
      </c>
      <c r="W3881" t="s">
        <v>43303</v>
      </c>
      <c r="X3881" t="s">
        <v>46573</v>
      </c>
    </row>
    <row r="3882" spans="1:24">
      <c r="A3882">
        <f>HYPERLINK("https://www.philgeps.gov.ph/GEPSNONPILOT/Tender/SplashBidNoticeAbstractUI.aspx?menuIndex=3&amp;refID=7063521&amp;Result=3","7063521")</f>
        <v>0</v>
      </c>
      <c r="B3882" t="s">
        <v>402</v>
      </c>
      <c r="C3882" t="s">
        <v>7265</v>
      </c>
      <c r="D3882" t="s">
        <v>18781</v>
      </c>
      <c r="E3882" t="s">
        <v>22395</v>
      </c>
      <c r="F3882" t="s">
        <v>32664</v>
      </c>
      <c r="G3882" t="s">
        <v>32671</v>
      </c>
      <c r="H3882" t="s">
        <v>12635</v>
      </c>
      <c r="I3882" t="s">
        <v>32689</v>
      </c>
      <c r="J3882" t="s">
        <v>32859</v>
      </c>
      <c r="K3882" t="s">
        <v>42283</v>
      </c>
      <c r="M3882" t="s">
        <v>42972</v>
      </c>
      <c r="N3882" t="s">
        <v>46569</v>
      </c>
      <c r="O3882" t="s">
        <v>46570</v>
      </c>
      <c r="P3882">
        <v>0</v>
      </c>
      <c r="Q3882">
        <v>1</v>
      </c>
      <c r="R3882" t="s">
        <v>46572</v>
      </c>
      <c r="S3882" t="s">
        <v>46689</v>
      </c>
      <c r="T3882" t="s">
        <v>48217</v>
      </c>
      <c r="U3882" t="s">
        <v>51990</v>
      </c>
      <c r="W3882" t="s">
        <v>42972</v>
      </c>
      <c r="X3882" t="s">
        <v>46573</v>
      </c>
    </row>
    <row r="3883" spans="1:24">
      <c r="A3883">
        <f>HYPERLINK("https://www.philgeps.gov.ph/GEPSNONPILOT/Tender/SplashBidNoticeAbstractUI.aspx?menuIndex=3&amp;refID=7063566&amp;Result=3","7063566")</f>
        <v>0</v>
      </c>
      <c r="B3883" t="s">
        <v>716</v>
      </c>
      <c r="C3883" t="s">
        <v>7266</v>
      </c>
      <c r="D3883" t="s">
        <v>18842</v>
      </c>
      <c r="E3883" t="s">
        <v>22396</v>
      </c>
      <c r="F3883" t="s">
        <v>32664</v>
      </c>
      <c r="G3883" t="s">
        <v>32672</v>
      </c>
      <c r="H3883" t="s">
        <v>32683</v>
      </c>
      <c r="I3883" t="s">
        <v>10627</v>
      </c>
      <c r="J3883" t="s">
        <v>35374</v>
      </c>
      <c r="K3883" t="s">
        <v>42345</v>
      </c>
      <c r="M3883" t="s">
        <v>43303</v>
      </c>
      <c r="N3883" t="s">
        <v>46569</v>
      </c>
      <c r="O3883" t="s">
        <v>46570</v>
      </c>
      <c r="P3883">
        <v>0</v>
      </c>
      <c r="Q3883">
        <v>0</v>
      </c>
      <c r="R3883" t="s">
        <v>46572</v>
      </c>
      <c r="S3883" t="s">
        <v>46689</v>
      </c>
      <c r="T3883" t="s">
        <v>48216</v>
      </c>
      <c r="U3883" t="s">
        <v>51991</v>
      </c>
      <c r="W3883" t="s">
        <v>43303</v>
      </c>
      <c r="X3883" t="s">
        <v>46573</v>
      </c>
    </row>
    <row r="3884" spans="1:24">
      <c r="A3884">
        <f>HYPERLINK("https://www.philgeps.gov.ph/GEPSNONPILOT/Tender/SplashBidNoticeAbstractUI.aspx?menuIndex=3&amp;refID=7063564&amp;Result=3","7063564")</f>
        <v>0</v>
      </c>
      <c r="B3884" t="s">
        <v>312</v>
      </c>
      <c r="C3884" t="s">
        <v>7030</v>
      </c>
      <c r="D3884" t="s">
        <v>18805</v>
      </c>
      <c r="E3884" t="s">
        <v>22397</v>
      </c>
      <c r="F3884" t="s">
        <v>32664</v>
      </c>
      <c r="G3884" t="s">
        <v>32671</v>
      </c>
      <c r="H3884" t="s">
        <v>12635</v>
      </c>
      <c r="I3884" t="s">
        <v>4439</v>
      </c>
      <c r="J3884" t="s">
        <v>32853</v>
      </c>
      <c r="K3884" t="s">
        <v>42283</v>
      </c>
      <c r="M3884" t="s">
        <v>42879</v>
      </c>
      <c r="N3884" t="s">
        <v>46569</v>
      </c>
      <c r="O3884" t="s">
        <v>46570</v>
      </c>
      <c r="P3884">
        <v>0</v>
      </c>
      <c r="Q3884">
        <v>0</v>
      </c>
      <c r="R3884" t="s">
        <v>46572</v>
      </c>
      <c r="S3884" t="s">
        <v>46689</v>
      </c>
      <c r="T3884" t="s">
        <v>48310</v>
      </c>
      <c r="U3884" t="s">
        <v>51797</v>
      </c>
      <c r="W3884" t="s">
        <v>42879</v>
      </c>
      <c r="X3884" t="s">
        <v>46573</v>
      </c>
    </row>
    <row r="3885" spans="1:24">
      <c r="A3885">
        <f>HYPERLINK("https://www.philgeps.gov.ph/GEPSNONPILOT/Tender/SplashBidNoticeAbstractUI.aspx?menuIndex=3&amp;refID=7063562&amp;Result=3","7063562")</f>
        <v>0</v>
      </c>
      <c r="B3885" t="s">
        <v>1385</v>
      </c>
      <c r="C3885" t="s">
        <v>7267</v>
      </c>
      <c r="D3885" t="s">
        <v>18827</v>
      </c>
      <c r="E3885" t="s">
        <v>22398</v>
      </c>
      <c r="F3885" t="s">
        <v>32664</v>
      </c>
      <c r="G3885" t="s">
        <v>32672</v>
      </c>
      <c r="H3885" t="s">
        <v>32683</v>
      </c>
      <c r="I3885" t="s">
        <v>10627</v>
      </c>
      <c r="J3885" t="s">
        <v>35375</v>
      </c>
      <c r="K3885" t="s">
        <v>42345</v>
      </c>
      <c r="L3885" t="s">
        <v>1385</v>
      </c>
      <c r="M3885" t="s">
        <v>44040</v>
      </c>
      <c r="N3885" t="s">
        <v>46569</v>
      </c>
      <c r="O3885" t="s">
        <v>46570</v>
      </c>
      <c r="P3885">
        <v>0</v>
      </c>
      <c r="Q3885">
        <v>0</v>
      </c>
      <c r="R3885" t="s">
        <v>46572</v>
      </c>
      <c r="S3885" t="s">
        <v>46689</v>
      </c>
      <c r="T3885" t="s">
        <v>48270</v>
      </c>
      <c r="U3885" t="s">
        <v>51761</v>
      </c>
      <c r="W3885" t="s">
        <v>44040</v>
      </c>
      <c r="X3885" t="s">
        <v>46573</v>
      </c>
    </row>
    <row r="3886" spans="1:24">
      <c r="A3886">
        <f>HYPERLINK("https://www.philgeps.gov.ph/GEPSNONPILOT/Tender/SplashBidNoticeAbstractUI.aspx?menuIndex=3&amp;refID=7063561&amp;Result=3","7063561")</f>
        <v>0</v>
      </c>
      <c r="B3886" t="s">
        <v>1453</v>
      </c>
      <c r="C3886" t="s">
        <v>7268</v>
      </c>
      <c r="D3886" t="s">
        <v>18835</v>
      </c>
      <c r="E3886" t="s">
        <v>22399</v>
      </c>
      <c r="F3886" t="s">
        <v>32664</v>
      </c>
      <c r="G3886" t="s">
        <v>32671</v>
      </c>
      <c r="H3886" t="s">
        <v>12635</v>
      </c>
      <c r="I3886" t="s">
        <v>6168</v>
      </c>
      <c r="J3886" t="s">
        <v>35376</v>
      </c>
      <c r="K3886" t="s">
        <v>42303</v>
      </c>
      <c r="M3886" t="s">
        <v>44114</v>
      </c>
      <c r="N3886" t="s">
        <v>46569</v>
      </c>
      <c r="O3886" t="s">
        <v>46570</v>
      </c>
      <c r="P3886">
        <v>0</v>
      </c>
      <c r="Q3886">
        <v>0</v>
      </c>
      <c r="R3886" t="s">
        <v>46572</v>
      </c>
      <c r="S3886" t="s">
        <v>46689</v>
      </c>
      <c r="T3886" t="s">
        <v>48246</v>
      </c>
      <c r="U3886" t="s">
        <v>51992</v>
      </c>
      <c r="W3886" t="s">
        <v>44114</v>
      </c>
      <c r="X3886" t="s">
        <v>46573</v>
      </c>
    </row>
    <row r="3887" spans="1:24">
      <c r="A3887">
        <f>HYPERLINK("https://www.philgeps.gov.ph/GEPSNONPILOT/Tender/SplashBidNoticeAbstractUI.aspx?menuIndex=3&amp;refID=7063525&amp;Result=3","7063525")</f>
        <v>0</v>
      </c>
      <c r="B3887" t="s">
        <v>1454</v>
      </c>
      <c r="C3887" t="s">
        <v>7269</v>
      </c>
      <c r="D3887" t="s">
        <v>18837</v>
      </c>
      <c r="E3887" t="s">
        <v>22400</v>
      </c>
      <c r="F3887" t="s">
        <v>32664</v>
      </c>
      <c r="G3887" t="s">
        <v>32672</v>
      </c>
      <c r="H3887" t="s">
        <v>32683</v>
      </c>
      <c r="I3887" t="s">
        <v>10627</v>
      </c>
      <c r="J3887" t="s">
        <v>35377</v>
      </c>
      <c r="K3887" t="s">
        <v>42303</v>
      </c>
      <c r="M3887" t="s">
        <v>44115</v>
      </c>
      <c r="N3887" t="s">
        <v>46569</v>
      </c>
      <c r="O3887" t="s">
        <v>46570</v>
      </c>
      <c r="P3887">
        <v>0</v>
      </c>
      <c r="Q3887">
        <v>0</v>
      </c>
      <c r="R3887" t="s">
        <v>46572</v>
      </c>
      <c r="S3887" t="s">
        <v>46689</v>
      </c>
      <c r="T3887" t="s">
        <v>48276</v>
      </c>
      <c r="U3887" t="s">
        <v>51993</v>
      </c>
      <c r="W3887" t="s">
        <v>44115</v>
      </c>
      <c r="X3887" t="s">
        <v>46573</v>
      </c>
    </row>
    <row r="3888" spans="1:24">
      <c r="A3888">
        <f>HYPERLINK("https://www.philgeps.gov.ph/GEPSNONPILOT/Tender/SplashBidNoticeAbstractUI.aspx?menuIndex=3&amp;refID=7063557&amp;Result=3","7063557")</f>
        <v>0</v>
      </c>
      <c r="B3888" t="s">
        <v>1455</v>
      </c>
      <c r="C3888" t="s">
        <v>7270</v>
      </c>
      <c r="D3888" t="s">
        <v>18792</v>
      </c>
      <c r="E3888" t="s">
        <v>19771</v>
      </c>
      <c r="F3888" t="s">
        <v>32664</v>
      </c>
      <c r="G3888" t="s">
        <v>32672</v>
      </c>
      <c r="H3888" t="s">
        <v>12635</v>
      </c>
      <c r="I3888" t="s">
        <v>4439</v>
      </c>
      <c r="J3888" t="s">
        <v>35378</v>
      </c>
      <c r="K3888" t="s">
        <v>42281</v>
      </c>
      <c r="M3888" t="s">
        <v>44116</v>
      </c>
      <c r="N3888" t="s">
        <v>46569</v>
      </c>
      <c r="O3888" t="s">
        <v>46570</v>
      </c>
      <c r="P3888">
        <v>0</v>
      </c>
      <c r="Q3888">
        <v>0</v>
      </c>
      <c r="R3888" t="s">
        <v>46572</v>
      </c>
      <c r="S3888" t="s">
        <v>46689</v>
      </c>
      <c r="T3888" t="s">
        <v>48304</v>
      </c>
      <c r="U3888" t="s">
        <v>51994</v>
      </c>
      <c r="W3888" t="s">
        <v>44116</v>
      </c>
      <c r="X3888" t="s">
        <v>46573</v>
      </c>
    </row>
    <row r="3889" spans="1:24">
      <c r="A3889">
        <f>HYPERLINK("https://www.philgeps.gov.ph/GEPSNONPILOT/Tender/SplashBidNoticeAbstractUI.aspx?menuIndex=3&amp;refID=7063559&amp;Result=3","7063559")</f>
        <v>0</v>
      </c>
      <c r="B3889" t="s">
        <v>1456</v>
      </c>
      <c r="C3889" t="s">
        <v>7271</v>
      </c>
      <c r="D3889" t="s">
        <v>18790</v>
      </c>
      <c r="E3889" t="s">
        <v>22401</v>
      </c>
      <c r="F3889" t="s">
        <v>32664</v>
      </c>
      <c r="G3889" t="s">
        <v>32671</v>
      </c>
      <c r="H3889" t="s">
        <v>32682</v>
      </c>
      <c r="I3889" t="s">
        <v>9946</v>
      </c>
      <c r="J3889" t="s">
        <v>35379</v>
      </c>
      <c r="K3889" t="s">
        <v>42334</v>
      </c>
      <c r="M3889" t="s">
        <v>44117</v>
      </c>
      <c r="N3889" t="s">
        <v>46569</v>
      </c>
      <c r="O3889" t="s">
        <v>46570</v>
      </c>
      <c r="P3889">
        <v>0</v>
      </c>
      <c r="Q3889">
        <v>0</v>
      </c>
      <c r="R3889" t="s">
        <v>46572</v>
      </c>
      <c r="S3889" t="s">
        <v>46689</v>
      </c>
      <c r="T3889" t="s">
        <v>48219</v>
      </c>
      <c r="U3889" t="s">
        <v>51995</v>
      </c>
      <c r="W3889" t="s">
        <v>44117</v>
      </c>
      <c r="X3889" t="s">
        <v>46573</v>
      </c>
    </row>
    <row r="3890" spans="1:24">
      <c r="A3890">
        <f>HYPERLINK("https://www.philgeps.gov.ph/GEPSNONPILOT/Tender/SplashBidNoticeAbstractUI.aspx?menuIndex=3&amp;refID=7063556&amp;Result=3","7063556")</f>
        <v>0</v>
      </c>
      <c r="B3890" t="s">
        <v>1342</v>
      </c>
      <c r="C3890" t="s">
        <v>7272</v>
      </c>
      <c r="D3890" t="s">
        <v>18787</v>
      </c>
      <c r="E3890" t="s">
        <v>22402</v>
      </c>
      <c r="F3890" t="s">
        <v>32664</v>
      </c>
      <c r="G3890" t="s">
        <v>32671</v>
      </c>
      <c r="H3890" t="s">
        <v>12635</v>
      </c>
      <c r="I3890" t="s">
        <v>5589</v>
      </c>
      <c r="J3890" t="s">
        <v>35380</v>
      </c>
      <c r="K3890" t="s">
        <v>42283</v>
      </c>
      <c r="M3890" t="s">
        <v>43992</v>
      </c>
      <c r="N3890" t="s">
        <v>46569</v>
      </c>
      <c r="O3890" t="s">
        <v>46570</v>
      </c>
      <c r="P3890">
        <v>0</v>
      </c>
      <c r="Q3890">
        <v>5</v>
      </c>
      <c r="R3890" t="s">
        <v>46572</v>
      </c>
      <c r="S3890" t="s">
        <v>46689</v>
      </c>
      <c r="T3890" t="s">
        <v>48293</v>
      </c>
      <c r="U3890" t="s">
        <v>51749</v>
      </c>
      <c r="W3890" t="s">
        <v>43992</v>
      </c>
      <c r="X3890" t="s">
        <v>46573</v>
      </c>
    </row>
    <row r="3891" spans="1:24">
      <c r="A3891">
        <f>HYPERLINK("https://www.philgeps.gov.ph/GEPSNONPILOT/Tender/SplashBidNoticeAbstractUI.aspx?menuIndex=3&amp;refID=7063520&amp;Result=3","7063520")</f>
        <v>0</v>
      </c>
      <c r="B3891" t="s">
        <v>1437</v>
      </c>
      <c r="C3891" t="s">
        <v>7273</v>
      </c>
      <c r="D3891" t="s">
        <v>18785</v>
      </c>
      <c r="E3891" t="s">
        <v>22403</v>
      </c>
      <c r="F3891" t="s">
        <v>32664</v>
      </c>
      <c r="G3891" t="s">
        <v>32674</v>
      </c>
      <c r="H3891" t="s">
        <v>12635</v>
      </c>
      <c r="I3891" t="s">
        <v>4439</v>
      </c>
      <c r="J3891" t="s">
        <v>35381</v>
      </c>
      <c r="K3891" t="s">
        <v>42284</v>
      </c>
      <c r="M3891" t="s">
        <v>44098</v>
      </c>
      <c r="N3891" t="s">
        <v>46569</v>
      </c>
      <c r="O3891" t="s">
        <v>46570</v>
      </c>
      <c r="P3891">
        <v>0</v>
      </c>
      <c r="Q3891">
        <v>0</v>
      </c>
      <c r="R3891" t="s">
        <v>46572</v>
      </c>
      <c r="S3891" t="s">
        <v>46689</v>
      </c>
      <c r="T3891" t="s">
        <v>48267</v>
      </c>
      <c r="U3891" t="s">
        <v>51996</v>
      </c>
      <c r="W3891" t="s">
        <v>44098</v>
      </c>
      <c r="X3891" t="s">
        <v>46573</v>
      </c>
    </row>
    <row r="3892" spans="1:24">
      <c r="A3892">
        <f>HYPERLINK("https://www.philgeps.gov.ph/GEPSNONPILOT/Tender/SplashBidNoticeAbstractUI.aspx?menuIndex=3&amp;refID=7063530&amp;Result=3","7063530")</f>
        <v>0</v>
      </c>
      <c r="B3892" t="s">
        <v>1457</v>
      </c>
      <c r="C3892" t="s">
        <v>7274</v>
      </c>
      <c r="D3892" t="s">
        <v>18839</v>
      </c>
      <c r="E3892" t="s">
        <v>22404</v>
      </c>
      <c r="F3892" t="s">
        <v>32664</v>
      </c>
      <c r="G3892" t="s">
        <v>32671</v>
      </c>
      <c r="H3892" t="s">
        <v>12635</v>
      </c>
      <c r="I3892" t="s">
        <v>32699</v>
      </c>
      <c r="J3892" t="s">
        <v>33309</v>
      </c>
      <c r="K3892" t="s">
        <v>42289</v>
      </c>
      <c r="M3892" t="s">
        <v>44118</v>
      </c>
      <c r="N3892" t="s">
        <v>46569</v>
      </c>
      <c r="O3892" t="s">
        <v>46570</v>
      </c>
      <c r="P3892">
        <v>0</v>
      </c>
      <c r="Q3892">
        <v>5</v>
      </c>
      <c r="R3892" t="s">
        <v>46572</v>
      </c>
      <c r="S3892" t="s">
        <v>46689</v>
      </c>
      <c r="T3892" t="s">
        <v>48424</v>
      </c>
      <c r="U3892" t="s">
        <v>51997</v>
      </c>
      <c r="W3892" t="s">
        <v>44118</v>
      </c>
      <c r="X3892" t="s">
        <v>46573</v>
      </c>
    </row>
    <row r="3893" spans="1:24">
      <c r="A3893">
        <f>HYPERLINK("https://www.philgeps.gov.ph/GEPSNONPILOT/Tender/SplashBidNoticeAbstractUI.aspx?menuIndex=3&amp;refID=7063552&amp;Result=3","7063552")</f>
        <v>0</v>
      </c>
      <c r="B3893" t="s">
        <v>791</v>
      </c>
      <c r="C3893" t="s">
        <v>7275</v>
      </c>
      <c r="D3893" t="s">
        <v>18785</v>
      </c>
      <c r="E3893" t="s">
        <v>22405</v>
      </c>
      <c r="F3893" t="s">
        <v>32664</v>
      </c>
      <c r="G3893" t="s">
        <v>32672</v>
      </c>
      <c r="H3893" t="s">
        <v>32683</v>
      </c>
      <c r="I3893" t="s">
        <v>10627</v>
      </c>
      <c r="J3893" t="s">
        <v>34379</v>
      </c>
      <c r="K3893" t="s">
        <v>42285</v>
      </c>
      <c r="M3893" t="s">
        <v>43383</v>
      </c>
      <c r="N3893" t="s">
        <v>46569</v>
      </c>
      <c r="O3893" t="s">
        <v>46570</v>
      </c>
      <c r="P3893">
        <v>0</v>
      </c>
      <c r="Q3893">
        <v>12</v>
      </c>
      <c r="R3893" t="s">
        <v>46572</v>
      </c>
      <c r="S3893" t="s">
        <v>46689</v>
      </c>
      <c r="T3893" t="s">
        <v>48253</v>
      </c>
      <c r="U3893" t="s">
        <v>50319</v>
      </c>
      <c r="W3893" t="s">
        <v>43383</v>
      </c>
      <c r="X3893" t="s">
        <v>46573</v>
      </c>
    </row>
    <row r="3894" spans="1:24">
      <c r="A3894">
        <f>HYPERLINK("https://www.philgeps.gov.ph/GEPSNONPILOT/Tender/SplashBidNoticeAbstractUI.aspx?menuIndex=3&amp;refID=7063555&amp;Result=3","7063555")</f>
        <v>0</v>
      </c>
      <c r="B3894" t="s">
        <v>1458</v>
      </c>
      <c r="C3894" t="s">
        <v>7276</v>
      </c>
      <c r="D3894" t="s">
        <v>18848</v>
      </c>
      <c r="E3894" t="s">
        <v>22406</v>
      </c>
      <c r="F3894" t="s">
        <v>32664</v>
      </c>
      <c r="G3894" t="s">
        <v>32672</v>
      </c>
      <c r="H3894" t="s">
        <v>32683</v>
      </c>
      <c r="I3894" t="s">
        <v>10627</v>
      </c>
      <c r="J3894" t="s">
        <v>35382</v>
      </c>
      <c r="K3894" t="s">
        <v>42290</v>
      </c>
      <c r="M3894" t="s">
        <v>44119</v>
      </c>
      <c r="N3894" t="s">
        <v>46569</v>
      </c>
      <c r="O3894" t="s">
        <v>46570</v>
      </c>
      <c r="P3894">
        <v>0</v>
      </c>
      <c r="Q3894">
        <v>0</v>
      </c>
      <c r="R3894" t="s">
        <v>46572</v>
      </c>
      <c r="S3894" t="s">
        <v>46689</v>
      </c>
      <c r="T3894" t="s">
        <v>48392</v>
      </c>
      <c r="U3894" t="s">
        <v>51998</v>
      </c>
      <c r="V3894" t="s">
        <v>61668</v>
      </c>
      <c r="W3894" t="s">
        <v>44119</v>
      </c>
      <c r="X3894" t="s">
        <v>46573</v>
      </c>
    </row>
    <row r="3895" spans="1:24">
      <c r="A3895">
        <f>HYPERLINK("https://www.philgeps.gov.ph/GEPSNONPILOT/Tender/SplashBidNoticeAbstractUI.aspx?menuIndex=3&amp;refID=7063551&amp;Result=3","7063551")</f>
        <v>0</v>
      </c>
      <c r="B3895" t="s">
        <v>1088</v>
      </c>
      <c r="C3895" t="s">
        <v>7277</v>
      </c>
      <c r="D3895" t="s">
        <v>18804</v>
      </c>
      <c r="E3895" t="s">
        <v>22407</v>
      </c>
      <c r="F3895" t="s">
        <v>32664</v>
      </c>
      <c r="G3895" t="s">
        <v>32672</v>
      </c>
      <c r="H3895" t="s">
        <v>32683</v>
      </c>
      <c r="I3895" t="s">
        <v>10627</v>
      </c>
      <c r="J3895" t="s">
        <v>35383</v>
      </c>
      <c r="K3895" t="s">
        <v>42311</v>
      </c>
      <c r="M3895" t="s">
        <v>43714</v>
      </c>
      <c r="N3895" t="s">
        <v>46569</v>
      </c>
      <c r="O3895" t="s">
        <v>46570</v>
      </c>
      <c r="P3895">
        <v>0</v>
      </c>
      <c r="Q3895">
        <v>0</v>
      </c>
      <c r="R3895" t="s">
        <v>46572</v>
      </c>
      <c r="S3895" t="s">
        <v>46689</v>
      </c>
      <c r="T3895" t="s">
        <v>48275</v>
      </c>
      <c r="U3895" t="s">
        <v>51999</v>
      </c>
      <c r="V3895" t="s">
        <v>61896</v>
      </c>
      <c r="W3895" t="s">
        <v>43714</v>
      </c>
      <c r="X3895" t="s">
        <v>46573</v>
      </c>
    </row>
    <row r="3896" spans="1:24">
      <c r="A3896">
        <f>HYPERLINK("https://www.philgeps.gov.ph/GEPSNONPILOT/Tender/SplashBidNoticeAbstractUI.aspx?menuIndex=3&amp;refID=7063553&amp;Result=3","7063553")</f>
        <v>0</v>
      </c>
      <c r="B3896" t="s">
        <v>1380</v>
      </c>
      <c r="C3896" t="s">
        <v>7278</v>
      </c>
      <c r="D3896" t="s">
        <v>18809</v>
      </c>
      <c r="E3896" t="s">
        <v>22408</v>
      </c>
      <c r="F3896" t="s">
        <v>32664</v>
      </c>
      <c r="G3896" t="s">
        <v>32672</v>
      </c>
      <c r="H3896" t="s">
        <v>12635</v>
      </c>
      <c r="I3896" t="s">
        <v>8797</v>
      </c>
      <c r="J3896" t="s">
        <v>35384</v>
      </c>
      <c r="K3896" t="s">
        <v>42297</v>
      </c>
      <c r="L3896" t="s">
        <v>1380</v>
      </c>
      <c r="M3896" t="s">
        <v>44035</v>
      </c>
      <c r="N3896" t="s">
        <v>46569</v>
      </c>
      <c r="O3896" t="s">
        <v>46570</v>
      </c>
      <c r="P3896">
        <v>0</v>
      </c>
      <c r="Q3896">
        <v>10</v>
      </c>
      <c r="R3896" t="s">
        <v>46572</v>
      </c>
      <c r="S3896" t="s">
        <v>46689</v>
      </c>
      <c r="T3896" t="s">
        <v>48216</v>
      </c>
      <c r="U3896" t="s">
        <v>51849</v>
      </c>
      <c r="V3896" t="s">
        <v>61989</v>
      </c>
      <c r="W3896" t="s">
        <v>44035</v>
      </c>
      <c r="X3896" t="s">
        <v>46573</v>
      </c>
    </row>
    <row r="3897" spans="1:24">
      <c r="A3897">
        <f>HYPERLINK("https://www.philgeps.gov.ph/GEPSNONPILOT/Tender/SplashBidNoticeAbstractUI.aspx?menuIndex=3&amp;refID=7063550&amp;Result=3","7063550")</f>
        <v>0</v>
      </c>
      <c r="B3897" t="s">
        <v>402</v>
      </c>
      <c r="C3897" t="s">
        <v>7279</v>
      </c>
      <c r="D3897" t="s">
        <v>18781</v>
      </c>
      <c r="E3897" t="s">
        <v>22409</v>
      </c>
      <c r="F3897" t="s">
        <v>32664</v>
      </c>
      <c r="G3897" t="s">
        <v>32671</v>
      </c>
      <c r="H3897" t="s">
        <v>12635</v>
      </c>
      <c r="I3897" t="s">
        <v>5501</v>
      </c>
      <c r="J3897" t="s">
        <v>35385</v>
      </c>
      <c r="K3897" t="s">
        <v>42283</v>
      </c>
      <c r="M3897" t="s">
        <v>42972</v>
      </c>
      <c r="N3897" t="s">
        <v>46569</v>
      </c>
      <c r="O3897" t="s">
        <v>46570</v>
      </c>
      <c r="P3897">
        <v>0</v>
      </c>
      <c r="Q3897">
        <v>4</v>
      </c>
      <c r="R3897" t="s">
        <v>46572</v>
      </c>
      <c r="S3897" t="s">
        <v>46689</v>
      </c>
      <c r="T3897" t="s">
        <v>48217</v>
      </c>
      <c r="U3897" t="s">
        <v>52000</v>
      </c>
      <c r="W3897" t="s">
        <v>42972</v>
      </c>
      <c r="X3897" t="s">
        <v>46573</v>
      </c>
    </row>
    <row r="3898" spans="1:24">
      <c r="A3898">
        <f>HYPERLINK("https://www.philgeps.gov.ph/GEPSNONPILOT/Tender/SplashBidNoticeAbstractUI.aspx?menuIndex=3&amp;refID=7063548&amp;Result=3","7063548")</f>
        <v>0</v>
      </c>
      <c r="B3898" t="s">
        <v>549</v>
      </c>
      <c r="C3898" t="s">
        <v>7241</v>
      </c>
      <c r="D3898" t="s">
        <v>18781</v>
      </c>
      <c r="E3898" t="s">
        <v>22410</v>
      </c>
      <c r="F3898" t="s">
        <v>32664</v>
      </c>
      <c r="G3898" t="s">
        <v>32671</v>
      </c>
      <c r="H3898" t="s">
        <v>12635</v>
      </c>
      <c r="I3898" t="s">
        <v>6118</v>
      </c>
      <c r="J3898" t="s">
        <v>35386</v>
      </c>
      <c r="K3898" t="s">
        <v>42283</v>
      </c>
      <c r="M3898" t="s">
        <v>43129</v>
      </c>
      <c r="N3898" t="s">
        <v>46569</v>
      </c>
      <c r="O3898" t="s">
        <v>46570</v>
      </c>
      <c r="P3898">
        <v>0</v>
      </c>
      <c r="Q3898">
        <v>1</v>
      </c>
      <c r="R3898" t="s">
        <v>46572</v>
      </c>
      <c r="S3898" t="s">
        <v>46689</v>
      </c>
      <c r="T3898" t="s">
        <v>48249</v>
      </c>
      <c r="U3898" t="s">
        <v>51970</v>
      </c>
      <c r="W3898" t="s">
        <v>43129</v>
      </c>
      <c r="X3898" t="s">
        <v>46573</v>
      </c>
    </row>
    <row r="3899" spans="1:24">
      <c r="A3899">
        <f>HYPERLINK("https://www.philgeps.gov.ph/GEPSNONPILOT/Tender/SplashBidNoticeAbstractUI.aspx?menuIndex=3&amp;refID=7063545&amp;Result=3","7063545")</f>
        <v>0</v>
      </c>
      <c r="B3899" t="s">
        <v>231</v>
      </c>
      <c r="C3899" t="s">
        <v>7280</v>
      </c>
      <c r="D3899" t="s">
        <v>18845</v>
      </c>
      <c r="E3899" t="s">
        <v>7280</v>
      </c>
      <c r="F3899" t="s">
        <v>32664</v>
      </c>
      <c r="G3899" t="s">
        <v>32674</v>
      </c>
      <c r="H3899" t="s">
        <v>12635</v>
      </c>
      <c r="I3899" t="s">
        <v>32685</v>
      </c>
      <c r="J3899" t="s">
        <v>35387</v>
      </c>
      <c r="K3899" t="s">
        <v>42281</v>
      </c>
      <c r="M3899" t="s">
        <v>44083</v>
      </c>
      <c r="N3899" t="s">
        <v>46569</v>
      </c>
      <c r="O3899" t="s">
        <v>46570</v>
      </c>
      <c r="P3899">
        <v>0</v>
      </c>
      <c r="Q3899">
        <v>0</v>
      </c>
      <c r="R3899" t="s">
        <v>46572</v>
      </c>
      <c r="S3899" t="s">
        <v>46689</v>
      </c>
      <c r="T3899" t="s">
        <v>48487</v>
      </c>
      <c r="U3899" t="s">
        <v>52001</v>
      </c>
      <c r="W3899" t="s">
        <v>44083</v>
      </c>
      <c r="X3899" t="s">
        <v>46573</v>
      </c>
    </row>
    <row r="3900" spans="1:24">
      <c r="A3900">
        <f>HYPERLINK("https://www.philgeps.gov.ph/GEPSNONPILOT/Tender/SplashBidNoticeAbstractUI.aspx?menuIndex=3&amp;refID=7063560&amp;Result=3","7063560")</f>
        <v>0</v>
      </c>
      <c r="B3900" t="s">
        <v>1459</v>
      </c>
      <c r="C3900" t="s">
        <v>7281</v>
      </c>
      <c r="D3900" t="s">
        <v>18784</v>
      </c>
      <c r="E3900" t="s">
        <v>22411</v>
      </c>
      <c r="F3900" t="s">
        <v>32664</v>
      </c>
      <c r="G3900" t="s">
        <v>32674</v>
      </c>
      <c r="H3900" t="s">
        <v>12635</v>
      </c>
      <c r="I3900" t="s">
        <v>32685</v>
      </c>
      <c r="J3900" t="s">
        <v>35388</v>
      </c>
      <c r="K3900" t="s">
        <v>42289</v>
      </c>
      <c r="M3900" t="s">
        <v>44120</v>
      </c>
      <c r="N3900" t="s">
        <v>46569</v>
      </c>
      <c r="O3900" t="s">
        <v>46570</v>
      </c>
      <c r="P3900">
        <v>0</v>
      </c>
      <c r="Q3900">
        <v>0</v>
      </c>
      <c r="R3900" t="s">
        <v>46572</v>
      </c>
      <c r="S3900" t="s">
        <v>46689</v>
      </c>
      <c r="T3900" t="s">
        <v>48492</v>
      </c>
      <c r="U3900" t="s">
        <v>52002</v>
      </c>
      <c r="V3900" t="s">
        <v>62017</v>
      </c>
      <c r="W3900" t="s">
        <v>44120</v>
      </c>
      <c r="X3900" t="s">
        <v>46573</v>
      </c>
    </row>
    <row r="3901" spans="1:24">
      <c r="A3901">
        <f>HYPERLINK("https://www.philgeps.gov.ph/GEPSNONPILOT/Tender/SplashBidNoticeAbstractUI.aspx?menuIndex=3&amp;refID=7063544&amp;Result=3","7063544")</f>
        <v>0</v>
      </c>
      <c r="B3901" t="s">
        <v>683</v>
      </c>
      <c r="C3901" t="s">
        <v>7282</v>
      </c>
      <c r="D3901" t="s">
        <v>18842</v>
      </c>
      <c r="E3901" t="s">
        <v>22412</v>
      </c>
      <c r="F3901" t="s">
        <v>32664</v>
      </c>
      <c r="G3901" t="s">
        <v>32674</v>
      </c>
      <c r="H3901" t="s">
        <v>12635</v>
      </c>
      <c r="I3901" t="s">
        <v>10361</v>
      </c>
      <c r="J3901" t="s">
        <v>33078</v>
      </c>
      <c r="K3901" t="s">
        <v>42283</v>
      </c>
      <c r="M3901" t="s">
        <v>43270</v>
      </c>
      <c r="N3901" t="s">
        <v>46569</v>
      </c>
      <c r="O3901" t="s">
        <v>46570</v>
      </c>
      <c r="P3901">
        <v>0</v>
      </c>
      <c r="Q3901">
        <v>0</v>
      </c>
      <c r="R3901" t="s">
        <v>46572</v>
      </c>
      <c r="S3901" t="s">
        <v>46689</v>
      </c>
      <c r="T3901" t="s">
        <v>48256</v>
      </c>
      <c r="U3901" t="s">
        <v>50070</v>
      </c>
      <c r="W3901" t="s">
        <v>43270</v>
      </c>
      <c r="X3901" t="s">
        <v>46573</v>
      </c>
    </row>
    <row r="3902" spans="1:24">
      <c r="A3902">
        <f>HYPERLINK("https://www.philgeps.gov.ph/GEPSNONPILOT/Tender/SplashBidNoticeAbstractUI.aspx?menuIndex=3&amp;refID=7063500&amp;Result=3","7063500")</f>
        <v>0</v>
      </c>
      <c r="B3902" t="s">
        <v>1460</v>
      </c>
      <c r="C3902" t="s">
        <v>7283</v>
      </c>
      <c r="D3902" t="s">
        <v>18838</v>
      </c>
      <c r="E3902" t="s">
        <v>22413</v>
      </c>
      <c r="F3902" t="s">
        <v>32664</v>
      </c>
      <c r="G3902" t="s">
        <v>32671</v>
      </c>
      <c r="H3902" t="s">
        <v>12635</v>
      </c>
      <c r="I3902" t="s">
        <v>6628</v>
      </c>
      <c r="J3902" t="s">
        <v>33069</v>
      </c>
      <c r="K3902" t="s">
        <v>42295</v>
      </c>
      <c r="M3902" t="s">
        <v>44121</v>
      </c>
      <c r="N3902" t="s">
        <v>46569</v>
      </c>
      <c r="O3902" t="s">
        <v>46570</v>
      </c>
      <c r="P3902">
        <v>0</v>
      </c>
      <c r="Q3902">
        <v>0</v>
      </c>
      <c r="R3902" t="s">
        <v>46572</v>
      </c>
      <c r="S3902" t="s">
        <v>46689</v>
      </c>
      <c r="T3902" t="s">
        <v>48256</v>
      </c>
      <c r="U3902" t="s">
        <v>52003</v>
      </c>
      <c r="W3902" t="s">
        <v>44121</v>
      </c>
      <c r="X3902" t="s">
        <v>46573</v>
      </c>
    </row>
    <row r="3903" spans="1:24">
      <c r="A3903">
        <f>HYPERLINK("https://www.philgeps.gov.ph/GEPSNONPILOT/Tender/SplashBidNoticeAbstractUI.aspx?menuIndex=3&amp;refID=7063586&amp;Result=3","7063586")</f>
        <v>0</v>
      </c>
      <c r="B3903" t="s">
        <v>1452</v>
      </c>
      <c r="C3903" t="s">
        <v>7284</v>
      </c>
      <c r="D3903" t="s">
        <v>18812</v>
      </c>
      <c r="E3903" t="s">
        <v>22414</v>
      </c>
      <c r="F3903" t="s">
        <v>32664</v>
      </c>
      <c r="G3903" t="s">
        <v>32671</v>
      </c>
      <c r="H3903" t="s">
        <v>12635</v>
      </c>
      <c r="I3903" t="s">
        <v>4439</v>
      </c>
      <c r="J3903" t="s">
        <v>35389</v>
      </c>
      <c r="K3903" t="s">
        <v>42284</v>
      </c>
      <c r="M3903" t="s">
        <v>44113</v>
      </c>
      <c r="N3903" t="s">
        <v>46569</v>
      </c>
      <c r="O3903" t="s">
        <v>46570</v>
      </c>
      <c r="P3903">
        <v>0</v>
      </c>
      <c r="Q3903">
        <v>0</v>
      </c>
      <c r="R3903" t="s">
        <v>46572</v>
      </c>
      <c r="S3903" t="s">
        <v>46689</v>
      </c>
      <c r="T3903" t="s">
        <v>48282</v>
      </c>
      <c r="U3903" t="s">
        <v>49173</v>
      </c>
      <c r="W3903" t="s">
        <v>44113</v>
      </c>
      <c r="X3903" t="s">
        <v>46573</v>
      </c>
    </row>
    <row r="3904" spans="1:24">
      <c r="A3904">
        <f>HYPERLINK("https://www.philgeps.gov.ph/GEPSNONPILOT/Tender/SplashBidNoticeAbstractUI.aspx?menuIndex=3&amp;refID=7063590&amp;Result=3","7063590")</f>
        <v>0</v>
      </c>
      <c r="B3904" t="s">
        <v>1422</v>
      </c>
      <c r="C3904" t="s">
        <v>7285</v>
      </c>
      <c r="E3904" t="s">
        <v>22415</v>
      </c>
      <c r="F3904" t="s">
        <v>32664</v>
      </c>
      <c r="G3904" t="s">
        <v>32671</v>
      </c>
      <c r="H3904" t="s">
        <v>12635</v>
      </c>
      <c r="I3904" t="s">
        <v>6223</v>
      </c>
      <c r="J3904" t="s">
        <v>35390</v>
      </c>
      <c r="K3904" t="s">
        <v>42283</v>
      </c>
      <c r="M3904" t="s">
        <v>44081</v>
      </c>
      <c r="N3904" t="s">
        <v>46569</v>
      </c>
      <c r="O3904" t="s">
        <v>46570</v>
      </c>
      <c r="P3904">
        <v>0</v>
      </c>
      <c r="Q3904">
        <v>1</v>
      </c>
      <c r="R3904" t="s">
        <v>46572</v>
      </c>
      <c r="S3904" t="s">
        <v>46689</v>
      </c>
      <c r="T3904" t="s">
        <v>48256</v>
      </c>
      <c r="U3904" t="s">
        <v>52004</v>
      </c>
      <c r="W3904" t="s">
        <v>44081</v>
      </c>
      <c r="X3904" t="s">
        <v>46573</v>
      </c>
    </row>
    <row r="3905" spans="1:24">
      <c r="A3905">
        <f>HYPERLINK("https://www.philgeps.gov.ph/GEPSNONPILOT/Tender/SplashBidNoticeAbstractUI.aspx?menuIndex=3&amp;refID=7063549&amp;Result=3","7063549")</f>
        <v>0</v>
      </c>
      <c r="B3905" t="s">
        <v>1461</v>
      </c>
      <c r="C3905" t="s">
        <v>7286</v>
      </c>
      <c r="D3905" t="s">
        <v>18784</v>
      </c>
      <c r="E3905" t="s">
        <v>22416</v>
      </c>
      <c r="F3905" t="s">
        <v>32664</v>
      </c>
      <c r="G3905" t="s">
        <v>32671</v>
      </c>
      <c r="H3905" t="s">
        <v>12635</v>
      </c>
      <c r="I3905" t="s">
        <v>32689</v>
      </c>
      <c r="J3905" t="s">
        <v>34038</v>
      </c>
      <c r="K3905" t="s">
        <v>42283</v>
      </c>
      <c r="M3905" t="s">
        <v>44122</v>
      </c>
      <c r="N3905" t="s">
        <v>46569</v>
      </c>
      <c r="O3905" t="s">
        <v>46570</v>
      </c>
      <c r="P3905">
        <v>0</v>
      </c>
      <c r="Q3905">
        <v>8</v>
      </c>
      <c r="R3905" t="s">
        <v>46572</v>
      </c>
      <c r="S3905" t="s">
        <v>46689</v>
      </c>
      <c r="T3905" t="s">
        <v>48251</v>
      </c>
      <c r="U3905" t="s">
        <v>52005</v>
      </c>
      <c r="V3905" t="s">
        <v>62018</v>
      </c>
      <c r="W3905" t="s">
        <v>44122</v>
      </c>
      <c r="X3905" t="s">
        <v>46573</v>
      </c>
    </row>
    <row r="3906" spans="1:24">
      <c r="A3906">
        <f>HYPERLINK("https://www.philgeps.gov.ph/GEPSNONPILOT/Tender/SplashBidNoticeAbstractUI.aspx?menuIndex=3&amp;refID=7063546&amp;Result=3","7063546")</f>
        <v>0</v>
      </c>
      <c r="B3906" t="s">
        <v>301</v>
      </c>
      <c r="C3906" t="s">
        <v>6223</v>
      </c>
      <c r="D3906" t="s">
        <v>18830</v>
      </c>
      <c r="E3906" t="s">
        <v>22417</v>
      </c>
      <c r="F3906" t="s">
        <v>32664</v>
      </c>
      <c r="G3906" t="s">
        <v>32671</v>
      </c>
      <c r="H3906" t="s">
        <v>12635</v>
      </c>
      <c r="I3906" t="s">
        <v>6223</v>
      </c>
      <c r="J3906" t="s">
        <v>35391</v>
      </c>
      <c r="K3906" t="s">
        <v>42284</v>
      </c>
      <c r="M3906" t="s">
        <v>42868</v>
      </c>
      <c r="N3906" t="s">
        <v>46569</v>
      </c>
      <c r="O3906" t="s">
        <v>46570</v>
      </c>
      <c r="P3906">
        <v>0</v>
      </c>
      <c r="Q3906">
        <v>0</v>
      </c>
      <c r="R3906" t="s">
        <v>46572</v>
      </c>
      <c r="S3906" t="s">
        <v>46689</v>
      </c>
      <c r="T3906" t="s">
        <v>48221</v>
      </c>
      <c r="U3906" t="s">
        <v>52006</v>
      </c>
      <c r="W3906" t="s">
        <v>42868</v>
      </c>
      <c r="X3906" t="s">
        <v>46573</v>
      </c>
    </row>
    <row r="3907" spans="1:24">
      <c r="A3907">
        <f>HYPERLINK("https://www.philgeps.gov.ph/GEPSNONPILOT/Tender/SplashBidNoticeAbstractUI.aspx?menuIndex=3&amp;refID=7063585&amp;Result=3","7063585")</f>
        <v>0</v>
      </c>
      <c r="B3907" t="s">
        <v>1336</v>
      </c>
      <c r="C3907" t="s">
        <v>7287</v>
      </c>
      <c r="D3907" t="s">
        <v>18856</v>
      </c>
      <c r="E3907" t="s">
        <v>22418</v>
      </c>
      <c r="F3907" t="s">
        <v>32664</v>
      </c>
      <c r="G3907" t="s">
        <v>32672</v>
      </c>
      <c r="H3907" t="s">
        <v>32683</v>
      </c>
      <c r="I3907" t="s">
        <v>10627</v>
      </c>
      <c r="J3907" t="s">
        <v>35392</v>
      </c>
      <c r="K3907" t="s">
        <v>42281</v>
      </c>
      <c r="M3907" t="s">
        <v>43986</v>
      </c>
      <c r="N3907" t="s">
        <v>46569</v>
      </c>
      <c r="O3907" t="s">
        <v>46570</v>
      </c>
      <c r="P3907">
        <v>0</v>
      </c>
      <c r="Q3907">
        <v>0</v>
      </c>
      <c r="R3907" t="s">
        <v>46572</v>
      </c>
      <c r="S3907" t="s">
        <v>46689</v>
      </c>
      <c r="T3907" t="s">
        <v>48479</v>
      </c>
      <c r="U3907" t="s">
        <v>52007</v>
      </c>
      <c r="V3907" t="s">
        <v>61974</v>
      </c>
      <c r="W3907" t="s">
        <v>43986</v>
      </c>
      <c r="X3907" t="s">
        <v>46573</v>
      </c>
    </row>
    <row r="3908" spans="1:24">
      <c r="A3908">
        <f>HYPERLINK("https://www.philgeps.gov.ph/GEPSNONPILOT/Tender/SplashBidNoticeAbstractUI.aspx?menuIndex=3&amp;refID=7063584&amp;Result=3","7063584")</f>
        <v>0</v>
      </c>
      <c r="B3908" t="s">
        <v>1454</v>
      </c>
      <c r="C3908" t="s">
        <v>7288</v>
      </c>
      <c r="D3908" t="s">
        <v>18837</v>
      </c>
      <c r="E3908" t="s">
        <v>22419</v>
      </c>
      <c r="F3908" t="s">
        <v>32664</v>
      </c>
      <c r="G3908" t="s">
        <v>32672</v>
      </c>
      <c r="H3908" t="s">
        <v>12635</v>
      </c>
      <c r="I3908" t="s">
        <v>10627</v>
      </c>
      <c r="J3908" t="s">
        <v>35393</v>
      </c>
      <c r="K3908" t="s">
        <v>42294</v>
      </c>
      <c r="M3908" t="s">
        <v>44115</v>
      </c>
      <c r="N3908" t="s">
        <v>46569</v>
      </c>
      <c r="O3908" t="s">
        <v>46570</v>
      </c>
      <c r="P3908">
        <v>0</v>
      </c>
      <c r="Q3908">
        <v>0</v>
      </c>
      <c r="R3908" t="s">
        <v>46572</v>
      </c>
      <c r="S3908" t="s">
        <v>46689</v>
      </c>
      <c r="T3908" t="s">
        <v>48276</v>
      </c>
      <c r="U3908" t="s">
        <v>52008</v>
      </c>
      <c r="W3908" t="s">
        <v>44115</v>
      </c>
      <c r="X3908" t="s">
        <v>46573</v>
      </c>
    </row>
    <row r="3909" spans="1:24">
      <c r="A3909">
        <f>HYPERLINK("https://www.philgeps.gov.ph/GEPSNONPILOT/Tender/SplashBidNoticeAbstractUI.aspx?menuIndex=3&amp;refID=7063583&amp;Result=3","7063583")</f>
        <v>0</v>
      </c>
      <c r="B3909" t="s">
        <v>594</v>
      </c>
      <c r="C3909" t="s">
        <v>7289</v>
      </c>
      <c r="D3909" t="s">
        <v>18784</v>
      </c>
      <c r="E3909" t="s">
        <v>22420</v>
      </c>
      <c r="F3909" t="s">
        <v>32664</v>
      </c>
      <c r="G3909" t="s">
        <v>32674</v>
      </c>
      <c r="H3909" t="s">
        <v>12635</v>
      </c>
      <c r="I3909" t="s">
        <v>32758</v>
      </c>
      <c r="J3909" t="s">
        <v>35394</v>
      </c>
      <c r="K3909" t="s">
        <v>42297</v>
      </c>
      <c r="M3909" t="s">
        <v>43793</v>
      </c>
      <c r="N3909" t="s">
        <v>46569</v>
      </c>
      <c r="O3909" t="s">
        <v>46570</v>
      </c>
      <c r="P3909">
        <v>0</v>
      </c>
      <c r="Q3909">
        <v>3</v>
      </c>
      <c r="R3909" t="s">
        <v>46572</v>
      </c>
      <c r="S3909" t="s">
        <v>46689</v>
      </c>
      <c r="T3909" t="s">
        <v>48461</v>
      </c>
      <c r="U3909" t="s">
        <v>52009</v>
      </c>
      <c r="V3909" t="s">
        <v>61909</v>
      </c>
      <c r="W3909" t="s">
        <v>43793</v>
      </c>
      <c r="X3909" t="s">
        <v>46573</v>
      </c>
    </row>
    <row r="3910" spans="1:24">
      <c r="A3910">
        <f>HYPERLINK("https://www.philgeps.gov.ph/GEPSNONPILOT/Tender/SplashBidNoticeAbstractUI.aspx?menuIndex=3&amp;refID=7063582&amp;Result=3","7063582")</f>
        <v>0</v>
      </c>
      <c r="B3910" t="s">
        <v>527</v>
      </c>
      <c r="C3910" t="s">
        <v>7290</v>
      </c>
      <c r="D3910" t="s">
        <v>18784</v>
      </c>
      <c r="E3910" t="s">
        <v>22421</v>
      </c>
      <c r="F3910" t="s">
        <v>32664</v>
      </c>
      <c r="G3910" t="s">
        <v>32671</v>
      </c>
      <c r="H3910" t="s">
        <v>12635</v>
      </c>
      <c r="I3910" t="s">
        <v>8958</v>
      </c>
      <c r="J3910" t="s">
        <v>35395</v>
      </c>
      <c r="K3910" t="s">
        <v>42284</v>
      </c>
      <c r="M3910" t="s">
        <v>43496</v>
      </c>
      <c r="N3910" t="s">
        <v>46569</v>
      </c>
      <c r="O3910" t="s">
        <v>46570</v>
      </c>
      <c r="P3910">
        <v>0</v>
      </c>
      <c r="Q3910">
        <v>0</v>
      </c>
      <c r="R3910" t="s">
        <v>46572</v>
      </c>
      <c r="S3910" t="s">
        <v>46689</v>
      </c>
      <c r="T3910" t="s">
        <v>48283</v>
      </c>
      <c r="U3910" t="s">
        <v>51968</v>
      </c>
      <c r="W3910" t="s">
        <v>43496</v>
      </c>
      <c r="X3910" t="s">
        <v>46573</v>
      </c>
    </row>
    <row r="3911" spans="1:24">
      <c r="A3911">
        <f>HYPERLINK("https://www.philgeps.gov.ph/GEPSNONPILOT/Tender/SplashBidNoticeAbstractUI.aspx?menuIndex=3&amp;refID=7063581&amp;Result=3","7063581")</f>
        <v>0</v>
      </c>
      <c r="B3911" t="s">
        <v>1339</v>
      </c>
      <c r="C3911" t="s">
        <v>7291</v>
      </c>
      <c r="D3911" t="s">
        <v>18822</v>
      </c>
      <c r="E3911" t="s">
        <v>22422</v>
      </c>
      <c r="F3911" t="s">
        <v>32664</v>
      </c>
      <c r="G3911" t="s">
        <v>32675</v>
      </c>
      <c r="H3911" t="s">
        <v>12635</v>
      </c>
      <c r="I3911" t="s">
        <v>8730</v>
      </c>
      <c r="J3911" t="s">
        <v>35396</v>
      </c>
      <c r="K3911" t="s">
        <v>42309</v>
      </c>
      <c r="M3911" t="s">
        <v>43989</v>
      </c>
      <c r="N3911" t="s">
        <v>46569</v>
      </c>
      <c r="O3911" t="s">
        <v>46570</v>
      </c>
      <c r="P3911">
        <v>0</v>
      </c>
      <c r="Q3911">
        <v>6</v>
      </c>
      <c r="R3911" t="s">
        <v>46572</v>
      </c>
      <c r="S3911" t="s">
        <v>46689</v>
      </c>
      <c r="T3911" t="s">
        <v>48246</v>
      </c>
      <c r="U3911" t="s">
        <v>52010</v>
      </c>
      <c r="W3911" t="s">
        <v>43989</v>
      </c>
      <c r="X3911" t="s">
        <v>46573</v>
      </c>
    </row>
    <row r="3912" spans="1:24">
      <c r="A3912">
        <f>HYPERLINK("https://www.philgeps.gov.ph/GEPSNONPILOT/Tender/SplashBidNoticeAbstractUI.aspx?menuIndex=3&amp;refID=7063580&amp;Result=3","7063580")</f>
        <v>0</v>
      </c>
      <c r="B3912" t="s">
        <v>1140</v>
      </c>
      <c r="C3912" t="s">
        <v>7292</v>
      </c>
      <c r="D3912" t="s">
        <v>18805</v>
      </c>
      <c r="E3912" t="s">
        <v>22423</v>
      </c>
      <c r="F3912" t="s">
        <v>32664</v>
      </c>
      <c r="G3912" t="s">
        <v>32671</v>
      </c>
      <c r="H3912" t="s">
        <v>12635</v>
      </c>
      <c r="I3912" t="s">
        <v>6223</v>
      </c>
      <c r="J3912" t="s">
        <v>35397</v>
      </c>
      <c r="K3912" t="s">
        <v>42303</v>
      </c>
      <c r="L3912" t="s">
        <v>1140</v>
      </c>
      <c r="M3912" t="s">
        <v>43771</v>
      </c>
      <c r="N3912" t="s">
        <v>46569</v>
      </c>
      <c r="O3912" t="s">
        <v>46570</v>
      </c>
      <c r="P3912">
        <v>0</v>
      </c>
      <c r="Q3912">
        <v>4</v>
      </c>
      <c r="R3912" t="s">
        <v>46572</v>
      </c>
      <c r="S3912" t="s">
        <v>46689</v>
      </c>
      <c r="T3912" t="s">
        <v>48466</v>
      </c>
      <c r="U3912" t="s">
        <v>52011</v>
      </c>
      <c r="V3912" t="s">
        <v>62019</v>
      </c>
      <c r="W3912" t="s">
        <v>43771</v>
      </c>
      <c r="X3912" t="s">
        <v>46573</v>
      </c>
    </row>
    <row r="3913" spans="1:24">
      <c r="A3913">
        <f>HYPERLINK("https://www.philgeps.gov.ph/GEPSNONPILOT/Tender/SplashBidNoticeAbstractUI.aspx?menuIndex=3&amp;refID=7063558&amp;Result=3","7063558")</f>
        <v>0</v>
      </c>
      <c r="B3913" t="s">
        <v>1462</v>
      </c>
      <c r="C3913" t="s">
        <v>7293</v>
      </c>
      <c r="E3913" t="s">
        <v>22424</v>
      </c>
      <c r="F3913" t="s">
        <v>32664</v>
      </c>
      <c r="G3913" t="s">
        <v>32671</v>
      </c>
      <c r="H3913" t="s">
        <v>12635</v>
      </c>
      <c r="I3913" t="s">
        <v>32685</v>
      </c>
      <c r="J3913" t="s">
        <v>35398</v>
      </c>
      <c r="K3913" t="s">
        <v>42303</v>
      </c>
      <c r="M3913" t="s">
        <v>44123</v>
      </c>
      <c r="N3913" t="s">
        <v>46569</v>
      </c>
      <c r="O3913" t="s">
        <v>46570</v>
      </c>
      <c r="P3913">
        <v>0</v>
      </c>
      <c r="Q3913">
        <v>2</v>
      </c>
      <c r="R3913" t="s">
        <v>46572</v>
      </c>
      <c r="S3913" t="s">
        <v>46689</v>
      </c>
      <c r="T3913" t="s">
        <v>48246</v>
      </c>
      <c r="U3913" t="s">
        <v>52012</v>
      </c>
      <c r="W3913" t="s">
        <v>44123</v>
      </c>
      <c r="X3913" t="s">
        <v>46573</v>
      </c>
    </row>
    <row r="3914" spans="1:24">
      <c r="A3914">
        <f>HYPERLINK("https://www.philgeps.gov.ph/GEPSNONPILOT/Tender/SplashBidNoticeAbstractUI.aspx?menuIndex=3&amp;refID=7063579&amp;Result=3","7063579")</f>
        <v>0</v>
      </c>
      <c r="B3914" t="s">
        <v>1463</v>
      </c>
      <c r="C3914" t="s">
        <v>7294</v>
      </c>
      <c r="D3914" t="s">
        <v>18784</v>
      </c>
      <c r="E3914" t="s">
        <v>22425</v>
      </c>
      <c r="F3914" t="s">
        <v>32664</v>
      </c>
      <c r="G3914" t="s">
        <v>32671</v>
      </c>
      <c r="H3914" t="s">
        <v>12635</v>
      </c>
      <c r="I3914" t="s">
        <v>5589</v>
      </c>
      <c r="J3914" t="s">
        <v>33952</v>
      </c>
      <c r="K3914" t="s">
        <v>42289</v>
      </c>
      <c r="M3914" t="s">
        <v>44124</v>
      </c>
      <c r="N3914" t="s">
        <v>46569</v>
      </c>
      <c r="O3914" t="s">
        <v>46570</v>
      </c>
      <c r="P3914">
        <v>0</v>
      </c>
      <c r="Q3914">
        <v>5</v>
      </c>
      <c r="R3914" t="s">
        <v>46572</v>
      </c>
      <c r="S3914" t="s">
        <v>46689</v>
      </c>
      <c r="T3914" t="s">
        <v>48285</v>
      </c>
      <c r="U3914" t="s">
        <v>52013</v>
      </c>
      <c r="W3914" t="s">
        <v>44124</v>
      </c>
      <c r="X3914" t="s">
        <v>46573</v>
      </c>
    </row>
    <row r="3915" spans="1:24">
      <c r="A3915">
        <f>HYPERLINK("https://www.philgeps.gov.ph/GEPSNONPILOT/Tender/SplashBidNoticeAbstractUI.aspx?menuIndex=3&amp;refID=7063578&amp;Result=3","7063578")</f>
        <v>0</v>
      </c>
      <c r="B3915" t="s">
        <v>617</v>
      </c>
      <c r="C3915" t="s">
        <v>7295</v>
      </c>
      <c r="D3915" t="s">
        <v>18784</v>
      </c>
      <c r="E3915" t="s">
        <v>22426</v>
      </c>
      <c r="F3915" t="s">
        <v>32664</v>
      </c>
      <c r="G3915" t="s">
        <v>32674</v>
      </c>
      <c r="H3915" t="s">
        <v>12635</v>
      </c>
      <c r="I3915" t="s">
        <v>5589</v>
      </c>
      <c r="J3915" t="s">
        <v>33952</v>
      </c>
      <c r="K3915" t="s">
        <v>42289</v>
      </c>
      <c r="M3915" t="s">
        <v>43197</v>
      </c>
      <c r="N3915" t="s">
        <v>46569</v>
      </c>
      <c r="O3915" t="s">
        <v>46570</v>
      </c>
      <c r="P3915">
        <v>0</v>
      </c>
      <c r="Q3915">
        <v>5</v>
      </c>
      <c r="R3915" t="s">
        <v>46572</v>
      </c>
      <c r="S3915" t="s">
        <v>46689</v>
      </c>
      <c r="T3915" t="s">
        <v>48493</v>
      </c>
      <c r="U3915" t="s">
        <v>52014</v>
      </c>
      <c r="W3915" t="s">
        <v>43197</v>
      </c>
      <c r="X3915" t="s">
        <v>46573</v>
      </c>
    </row>
    <row r="3916" spans="1:24">
      <c r="A3916">
        <f>HYPERLINK("https://www.philgeps.gov.ph/GEPSNONPILOT/Tender/SplashBidNoticeAbstractUI.aspx?menuIndex=3&amp;refID=7063576&amp;Result=3","7063576")</f>
        <v>0</v>
      </c>
      <c r="B3916" t="s">
        <v>629</v>
      </c>
      <c r="C3916" t="s">
        <v>7296</v>
      </c>
      <c r="D3916" t="s">
        <v>18807</v>
      </c>
      <c r="E3916" t="s">
        <v>22427</v>
      </c>
      <c r="F3916" t="s">
        <v>32664</v>
      </c>
      <c r="G3916" t="s">
        <v>32674</v>
      </c>
      <c r="H3916" t="s">
        <v>12635</v>
      </c>
      <c r="I3916" t="s">
        <v>4997</v>
      </c>
      <c r="J3916" t="s">
        <v>34723</v>
      </c>
      <c r="K3916" t="s">
        <v>42283</v>
      </c>
      <c r="M3916" t="s">
        <v>43224</v>
      </c>
      <c r="N3916" t="s">
        <v>46569</v>
      </c>
      <c r="O3916" t="s">
        <v>46570</v>
      </c>
      <c r="P3916">
        <v>0</v>
      </c>
      <c r="Q3916">
        <v>1</v>
      </c>
      <c r="R3916" t="s">
        <v>46572</v>
      </c>
      <c r="S3916" t="s">
        <v>46689</v>
      </c>
      <c r="T3916" t="s">
        <v>48256</v>
      </c>
      <c r="U3916" t="s">
        <v>52015</v>
      </c>
      <c r="W3916" t="s">
        <v>43224</v>
      </c>
      <c r="X3916" t="s">
        <v>46573</v>
      </c>
    </row>
    <row r="3917" spans="1:24">
      <c r="A3917">
        <f>HYPERLINK("https://www.philgeps.gov.ph/GEPSNONPILOT/Tender/SplashBidNoticeAbstractUI.aspx?menuIndex=3&amp;refID=7063575&amp;Result=3","7063575")</f>
        <v>0</v>
      </c>
      <c r="B3917" t="s">
        <v>549</v>
      </c>
      <c r="C3917" t="s">
        <v>7241</v>
      </c>
      <c r="D3917" t="s">
        <v>18781</v>
      </c>
      <c r="E3917" t="s">
        <v>22428</v>
      </c>
      <c r="F3917" t="s">
        <v>32664</v>
      </c>
      <c r="G3917" t="s">
        <v>32671</v>
      </c>
      <c r="H3917" t="s">
        <v>12635</v>
      </c>
      <c r="I3917" t="s">
        <v>7759</v>
      </c>
      <c r="J3917" t="s">
        <v>35399</v>
      </c>
      <c r="K3917" t="s">
        <v>42283</v>
      </c>
      <c r="M3917" t="s">
        <v>43129</v>
      </c>
      <c r="N3917" t="s">
        <v>46569</v>
      </c>
      <c r="O3917" t="s">
        <v>46570</v>
      </c>
      <c r="P3917">
        <v>0</v>
      </c>
      <c r="Q3917">
        <v>1</v>
      </c>
      <c r="R3917" t="s">
        <v>46572</v>
      </c>
      <c r="S3917" t="s">
        <v>46689</v>
      </c>
      <c r="T3917" t="s">
        <v>48249</v>
      </c>
      <c r="U3917" t="s">
        <v>51970</v>
      </c>
      <c r="W3917" t="s">
        <v>43129</v>
      </c>
      <c r="X3917" t="s">
        <v>46573</v>
      </c>
    </row>
    <row r="3918" spans="1:24">
      <c r="A3918">
        <f>HYPERLINK("https://www.philgeps.gov.ph/GEPSNONPILOT/Tender/SplashBidNoticeAbstractUI.aspx?menuIndex=3&amp;refID=7063612&amp;Result=3","7063612")</f>
        <v>0</v>
      </c>
      <c r="B3918" t="s">
        <v>1405</v>
      </c>
      <c r="C3918" t="s">
        <v>5814</v>
      </c>
      <c r="D3918" t="s">
        <v>18784</v>
      </c>
      <c r="E3918" t="s">
        <v>19812</v>
      </c>
      <c r="F3918" t="s">
        <v>32664</v>
      </c>
      <c r="G3918" t="s">
        <v>32671</v>
      </c>
      <c r="H3918" t="s">
        <v>12635</v>
      </c>
      <c r="I3918" t="s">
        <v>4205</v>
      </c>
      <c r="J3918" t="s">
        <v>33387</v>
      </c>
      <c r="K3918" t="s">
        <v>42306</v>
      </c>
      <c r="M3918" t="s">
        <v>44062</v>
      </c>
      <c r="N3918" t="s">
        <v>46569</v>
      </c>
      <c r="O3918" t="s">
        <v>46570</v>
      </c>
      <c r="P3918">
        <v>0</v>
      </c>
      <c r="Q3918">
        <v>6</v>
      </c>
      <c r="R3918" t="s">
        <v>46572</v>
      </c>
      <c r="S3918" t="s">
        <v>46689</v>
      </c>
      <c r="T3918" t="s">
        <v>48219</v>
      </c>
      <c r="U3918" t="s">
        <v>52016</v>
      </c>
      <c r="W3918" t="s">
        <v>44062</v>
      </c>
      <c r="X3918" t="s">
        <v>46573</v>
      </c>
    </row>
    <row r="3919" spans="1:24">
      <c r="A3919">
        <f>HYPERLINK("https://www.philgeps.gov.ph/GEPSNONPILOT/Tender/SplashBidNoticeAbstractUI.aspx?menuIndex=3&amp;refID=7063616&amp;Result=3","7063616")</f>
        <v>0</v>
      </c>
      <c r="B3919" t="s">
        <v>237</v>
      </c>
      <c r="C3919" t="s">
        <v>7297</v>
      </c>
      <c r="D3919" t="s">
        <v>18794</v>
      </c>
      <c r="E3919" t="s">
        <v>22429</v>
      </c>
      <c r="F3919" t="s">
        <v>32664</v>
      </c>
      <c r="G3919" t="s">
        <v>32672</v>
      </c>
      <c r="H3919" t="s">
        <v>12635</v>
      </c>
      <c r="I3919" t="s">
        <v>11464</v>
      </c>
      <c r="J3919" t="s">
        <v>33615</v>
      </c>
      <c r="K3919" t="s">
        <v>42284</v>
      </c>
      <c r="M3919" t="s">
        <v>42802</v>
      </c>
      <c r="N3919" t="s">
        <v>46569</v>
      </c>
      <c r="O3919" t="s">
        <v>46570</v>
      </c>
      <c r="P3919">
        <v>0</v>
      </c>
      <c r="Q3919">
        <v>1</v>
      </c>
      <c r="R3919" t="s">
        <v>46572</v>
      </c>
      <c r="S3919" t="s">
        <v>46689</v>
      </c>
      <c r="T3919" t="s">
        <v>48240</v>
      </c>
      <c r="U3919" t="s">
        <v>52017</v>
      </c>
      <c r="W3919" t="s">
        <v>42802</v>
      </c>
      <c r="X3919" t="s">
        <v>46573</v>
      </c>
    </row>
    <row r="3920" spans="1:24">
      <c r="A3920">
        <f>HYPERLINK("https://www.philgeps.gov.ph/GEPSNONPILOT/Tender/SplashBidNoticeAbstractUI.aspx?menuIndex=3&amp;refID=7063615&amp;Result=3","7063615")</f>
        <v>0</v>
      </c>
      <c r="B3920" t="s">
        <v>1373</v>
      </c>
      <c r="C3920" t="s">
        <v>7298</v>
      </c>
      <c r="D3920" t="s">
        <v>18826</v>
      </c>
      <c r="E3920" t="s">
        <v>22430</v>
      </c>
      <c r="F3920" t="s">
        <v>32664</v>
      </c>
      <c r="G3920" t="s">
        <v>32672</v>
      </c>
      <c r="H3920" t="s">
        <v>12635</v>
      </c>
      <c r="I3920" t="s">
        <v>6223</v>
      </c>
      <c r="J3920" t="s">
        <v>35400</v>
      </c>
      <c r="K3920" t="s">
        <v>42289</v>
      </c>
      <c r="M3920" t="s">
        <v>44028</v>
      </c>
      <c r="N3920" t="s">
        <v>46569</v>
      </c>
      <c r="O3920" t="s">
        <v>46570</v>
      </c>
      <c r="P3920">
        <v>0</v>
      </c>
      <c r="Q3920">
        <v>1</v>
      </c>
      <c r="R3920" t="s">
        <v>46572</v>
      </c>
      <c r="S3920" t="s">
        <v>46689</v>
      </c>
      <c r="T3920" t="s">
        <v>48285</v>
      </c>
      <c r="U3920" t="s">
        <v>52018</v>
      </c>
      <c r="V3920" t="s">
        <v>62020</v>
      </c>
      <c r="W3920" t="s">
        <v>44028</v>
      </c>
      <c r="X3920" t="s">
        <v>46573</v>
      </c>
    </row>
    <row r="3921" spans="1:24">
      <c r="A3921">
        <f>HYPERLINK("https://www.philgeps.gov.ph/GEPSNONPILOT/Tender/SplashBidNoticeAbstractUI.aspx?menuIndex=3&amp;refID=7063611&amp;Result=3","7063611")</f>
        <v>0</v>
      </c>
      <c r="B3921" t="s">
        <v>1088</v>
      </c>
      <c r="C3921" t="s">
        <v>7299</v>
      </c>
      <c r="D3921" t="s">
        <v>18804</v>
      </c>
      <c r="E3921" t="s">
        <v>22431</v>
      </c>
      <c r="F3921" t="s">
        <v>32664</v>
      </c>
      <c r="G3921" t="s">
        <v>32672</v>
      </c>
      <c r="H3921" t="s">
        <v>32683</v>
      </c>
      <c r="I3921" t="s">
        <v>10627</v>
      </c>
      <c r="J3921" t="s">
        <v>35401</v>
      </c>
      <c r="K3921" t="s">
        <v>42281</v>
      </c>
      <c r="M3921" t="s">
        <v>43714</v>
      </c>
      <c r="N3921" t="s">
        <v>46569</v>
      </c>
      <c r="O3921" t="s">
        <v>46570</v>
      </c>
      <c r="P3921">
        <v>0</v>
      </c>
      <c r="Q3921">
        <v>0</v>
      </c>
      <c r="R3921" t="s">
        <v>46572</v>
      </c>
      <c r="S3921" t="s">
        <v>46689</v>
      </c>
      <c r="T3921" t="s">
        <v>48275</v>
      </c>
      <c r="U3921" t="s">
        <v>51999</v>
      </c>
      <c r="V3921" t="s">
        <v>61896</v>
      </c>
      <c r="W3921" t="s">
        <v>43714</v>
      </c>
      <c r="X3921" t="s">
        <v>46573</v>
      </c>
    </row>
    <row r="3922" spans="1:24">
      <c r="A3922">
        <f>HYPERLINK("https://www.philgeps.gov.ph/GEPSNONPILOT/Tender/SplashBidNoticeAbstractUI.aspx?menuIndex=3&amp;refID=7063571&amp;Result=3","7063571")</f>
        <v>0</v>
      </c>
      <c r="B3922" t="s">
        <v>1464</v>
      </c>
      <c r="C3922" t="s">
        <v>7300</v>
      </c>
      <c r="D3922" t="s">
        <v>18851</v>
      </c>
      <c r="E3922" t="s">
        <v>22432</v>
      </c>
      <c r="F3922" t="s">
        <v>32664</v>
      </c>
      <c r="G3922" t="s">
        <v>32671</v>
      </c>
      <c r="H3922" t="s">
        <v>12635</v>
      </c>
      <c r="I3922" t="s">
        <v>32705</v>
      </c>
      <c r="J3922" t="s">
        <v>33831</v>
      </c>
      <c r="K3922" t="s">
        <v>42281</v>
      </c>
      <c r="M3922" t="s">
        <v>44125</v>
      </c>
      <c r="N3922" t="s">
        <v>46569</v>
      </c>
      <c r="O3922" t="s">
        <v>46570</v>
      </c>
      <c r="P3922">
        <v>0</v>
      </c>
      <c r="Q3922">
        <v>2</v>
      </c>
      <c r="R3922" t="s">
        <v>46572</v>
      </c>
      <c r="S3922" t="s">
        <v>46689</v>
      </c>
      <c r="T3922" t="s">
        <v>48331</v>
      </c>
      <c r="U3922" t="s">
        <v>52019</v>
      </c>
      <c r="W3922" t="s">
        <v>44125</v>
      </c>
      <c r="X3922" t="s">
        <v>46573</v>
      </c>
    </row>
    <row r="3923" spans="1:24">
      <c r="A3923">
        <f>HYPERLINK("https://www.philgeps.gov.ph/GEPSNONPILOT/Tender/SplashBidNoticeAbstractUI.aspx?menuIndex=3&amp;refID=7063610&amp;Result=3","7063610")</f>
        <v>0</v>
      </c>
      <c r="B3923" t="s">
        <v>819</v>
      </c>
      <c r="C3923" t="s">
        <v>7301</v>
      </c>
      <c r="D3923" t="s">
        <v>18786</v>
      </c>
      <c r="E3923" t="s">
        <v>22433</v>
      </c>
      <c r="F3923" t="s">
        <v>32664</v>
      </c>
      <c r="G3923" t="s">
        <v>32674</v>
      </c>
      <c r="H3923" t="s">
        <v>12635</v>
      </c>
      <c r="I3923" t="s">
        <v>32717</v>
      </c>
      <c r="J3923" t="s">
        <v>33182</v>
      </c>
      <c r="K3923" t="s">
        <v>42295</v>
      </c>
      <c r="M3923" t="s">
        <v>43414</v>
      </c>
      <c r="N3923" t="s">
        <v>46569</v>
      </c>
      <c r="O3923" t="s">
        <v>46570</v>
      </c>
      <c r="P3923">
        <v>0</v>
      </c>
      <c r="Q3923">
        <v>0</v>
      </c>
      <c r="R3923" t="s">
        <v>46572</v>
      </c>
      <c r="S3923" t="s">
        <v>46689</v>
      </c>
      <c r="T3923" t="s">
        <v>48448</v>
      </c>
      <c r="U3923" t="s">
        <v>52020</v>
      </c>
      <c r="W3923" t="s">
        <v>43414</v>
      </c>
      <c r="X3923" t="s">
        <v>46573</v>
      </c>
    </row>
    <row r="3924" spans="1:24">
      <c r="A3924">
        <f>HYPERLINK("https://www.philgeps.gov.ph/GEPSNONPILOT/Tender/SplashBidNoticeAbstractUI.aspx?menuIndex=3&amp;refID=7063609&amp;Result=3","7063609")</f>
        <v>0</v>
      </c>
      <c r="B3924" t="s">
        <v>984</v>
      </c>
      <c r="C3924" t="s">
        <v>7302</v>
      </c>
      <c r="D3924" t="s">
        <v>18812</v>
      </c>
      <c r="E3924" t="s">
        <v>21755</v>
      </c>
      <c r="F3924" t="s">
        <v>32664</v>
      </c>
      <c r="G3924" t="s">
        <v>32672</v>
      </c>
      <c r="H3924" t="s">
        <v>32683</v>
      </c>
      <c r="I3924" t="s">
        <v>10627</v>
      </c>
      <c r="J3924" t="s">
        <v>35402</v>
      </c>
      <c r="K3924" t="s">
        <v>42342</v>
      </c>
      <c r="M3924" t="s">
        <v>43594</v>
      </c>
      <c r="N3924" t="s">
        <v>46569</v>
      </c>
      <c r="O3924" t="s">
        <v>46570</v>
      </c>
      <c r="P3924">
        <v>0</v>
      </c>
      <c r="Q3924">
        <v>2</v>
      </c>
      <c r="R3924" t="s">
        <v>46572</v>
      </c>
      <c r="S3924" t="s">
        <v>46689</v>
      </c>
      <c r="T3924" t="s">
        <v>48392</v>
      </c>
      <c r="U3924" t="s">
        <v>52021</v>
      </c>
      <c r="W3924" t="s">
        <v>43594</v>
      </c>
      <c r="X3924" t="s">
        <v>46573</v>
      </c>
    </row>
    <row r="3925" spans="1:24">
      <c r="A3925">
        <f>HYPERLINK("https://www.philgeps.gov.ph/GEPSNONPILOT/Tender/SplashBidNoticeAbstractUI.aspx?menuIndex=3&amp;refID=7063607&amp;Result=3","7063607")</f>
        <v>0</v>
      </c>
      <c r="B3925" t="s">
        <v>1465</v>
      </c>
      <c r="C3925" t="s">
        <v>7303</v>
      </c>
      <c r="D3925" t="s">
        <v>18791</v>
      </c>
      <c r="E3925" t="s">
        <v>22434</v>
      </c>
      <c r="F3925" t="s">
        <v>32664</v>
      </c>
      <c r="G3925" t="s">
        <v>32671</v>
      </c>
      <c r="H3925" t="s">
        <v>12635</v>
      </c>
      <c r="I3925" t="s">
        <v>6223</v>
      </c>
      <c r="J3925" t="s">
        <v>35403</v>
      </c>
      <c r="K3925" t="s">
        <v>42297</v>
      </c>
      <c r="M3925" t="s">
        <v>44126</v>
      </c>
      <c r="N3925" t="s">
        <v>46569</v>
      </c>
      <c r="O3925" t="s">
        <v>46570</v>
      </c>
      <c r="P3925">
        <v>0</v>
      </c>
      <c r="Q3925">
        <v>0</v>
      </c>
      <c r="R3925" t="s">
        <v>46572</v>
      </c>
      <c r="S3925" t="s">
        <v>46689</v>
      </c>
      <c r="T3925" t="s">
        <v>48256</v>
      </c>
      <c r="U3925" t="s">
        <v>52022</v>
      </c>
      <c r="V3925" t="s">
        <v>62021</v>
      </c>
      <c r="W3925" t="s">
        <v>44126</v>
      </c>
      <c r="X3925" t="s">
        <v>46573</v>
      </c>
    </row>
    <row r="3926" spans="1:24">
      <c r="A3926">
        <f>HYPERLINK("https://www.philgeps.gov.ph/GEPSNONPILOT/Tender/SplashBidNoticeAbstractUI.aspx?menuIndex=3&amp;refID=7063606&amp;Result=3","7063606")</f>
        <v>0</v>
      </c>
      <c r="B3926" t="s">
        <v>199</v>
      </c>
      <c r="C3926" t="s">
        <v>7304</v>
      </c>
      <c r="D3926" t="s">
        <v>18789</v>
      </c>
      <c r="E3926" t="s">
        <v>22435</v>
      </c>
      <c r="F3926" t="s">
        <v>32664</v>
      </c>
      <c r="G3926" t="s">
        <v>32671</v>
      </c>
      <c r="H3926" t="s">
        <v>12635</v>
      </c>
      <c r="I3926" t="s">
        <v>10590</v>
      </c>
      <c r="J3926" t="s">
        <v>33173</v>
      </c>
      <c r="K3926" t="s">
        <v>42297</v>
      </c>
      <c r="M3926" t="s">
        <v>43810</v>
      </c>
      <c r="N3926" t="s">
        <v>46569</v>
      </c>
      <c r="O3926" t="s">
        <v>46570</v>
      </c>
      <c r="P3926">
        <v>0</v>
      </c>
      <c r="Q3926">
        <v>0</v>
      </c>
      <c r="R3926" t="s">
        <v>46572</v>
      </c>
      <c r="S3926" t="s">
        <v>46689</v>
      </c>
      <c r="T3926" t="s">
        <v>48293</v>
      </c>
      <c r="U3926" t="s">
        <v>52023</v>
      </c>
      <c r="V3926" t="s">
        <v>62022</v>
      </c>
      <c r="W3926" t="s">
        <v>43810</v>
      </c>
      <c r="X3926" t="s">
        <v>46573</v>
      </c>
    </row>
    <row r="3927" spans="1:24">
      <c r="A3927">
        <f>HYPERLINK("https://www.philgeps.gov.ph/GEPSNONPILOT/Tender/SplashBidNoticeAbstractUI.aspx?menuIndex=3&amp;refID=7063589&amp;Result=3","7063589")</f>
        <v>0</v>
      </c>
      <c r="B3927" t="s">
        <v>1259</v>
      </c>
      <c r="C3927" t="s">
        <v>7305</v>
      </c>
      <c r="D3927" t="s">
        <v>18782</v>
      </c>
      <c r="E3927" t="s">
        <v>22436</v>
      </c>
      <c r="F3927" t="s">
        <v>32664</v>
      </c>
      <c r="G3927" t="s">
        <v>32675</v>
      </c>
      <c r="H3927" t="s">
        <v>12635</v>
      </c>
      <c r="I3927" t="s">
        <v>6168</v>
      </c>
      <c r="J3927" t="s">
        <v>32898</v>
      </c>
      <c r="K3927" t="s">
        <v>42284</v>
      </c>
      <c r="M3927" t="s">
        <v>43901</v>
      </c>
      <c r="N3927" t="s">
        <v>46569</v>
      </c>
      <c r="O3927" t="s">
        <v>46570</v>
      </c>
      <c r="P3927">
        <v>0</v>
      </c>
      <c r="Q3927">
        <v>0</v>
      </c>
      <c r="R3927" t="s">
        <v>46572</v>
      </c>
      <c r="S3927" t="s">
        <v>46689</v>
      </c>
      <c r="T3927" t="s">
        <v>48494</v>
      </c>
      <c r="U3927" t="s">
        <v>52024</v>
      </c>
      <c r="W3927" t="s">
        <v>43901</v>
      </c>
      <c r="X3927" t="s">
        <v>46573</v>
      </c>
    </row>
    <row r="3928" spans="1:24">
      <c r="A3928">
        <f>HYPERLINK("https://www.philgeps.gov.ph/GEPSNONPILOT/Tender/SplashBidNoticeAbstractUI.aspx?menuIndex=3&amp;refID=7063605&amp;Result=3","7063605")</f>
        <v>0</v>
      </c>
      <c r="B3928" t="s">
        <v>1248</v>
      </c>
      <c r="C3928" t="s">
        <v>7306</v>
      </c>
      <c r="D3928" t="s">
        <v>18858</v>
      </c>
      <c r="E3928" t="s">
        <v>22437</v>
      </c>
      <c r="F3928" t="s">
        <v>32664</v>
      </c>
      <c r="G3928" t="s">
        <v>32671</v>
      </c>
      <c r="H3928" t="s">
        <v>12635</v>
      </c>
      <c r="I3928" t="s">
        <v>32684</v>
      </c>
      <c r="J3928" t="s">
        <v>35404</v>
      </c>
      <c r="K3928" t="s">
        <v>42303</v>
      </c>
      <c r="M3928" t="s">
        <v>43890</v>
      </c>
      <c r="N3928" t="s">
        <v>46569</v>
      </c>
      <c r="O3928" t="s">
        <v>46570</v>
      </c>
      <c r="P3928">
        <v>0</v>
      </c>
      <c r="Q3928">
        <v>3</v>
      </c>
      <c r="R3928" t="s">
        <v>46572</v>
      </c>
      <c r="S3928" t="s">
        <v>46689</v>
      </c>
      <c r="T3928" t="s">
        <v>48305</v>
      </c>
      <c r="U3928" t="s">
        <v>52025</v>
      </c>
      <c r="W3928" t="s">
        <v>43890</v>
      </c>
      <c r="X3928" t="s">
        <v>46573</v>
      </c>
    </row>
    <row r="3929" spans="1:24">
      <c r="A3929">
        <f>HYPERLINK("https://www.philgeps.gov.ph/GEPSNONPILOT/Tender/SplashBidNoticeAbstractUI.aspx?menuIndex=3&amp;refID=7063587&amp;Result=3","7063587")</f>
        <v>0</v>
      </c>
      <c r="B3929" t="s">
        <v>1411</v>
      </c>
      <c r="C3929" t="s">
        <v>7307</v>
      </c>
      <c r="D3929" t="s">
        <v>18790</v>
      </c>
      <c r="E3929" t="s">
        <v>22438</v>
      </c>
      <c r="F3929" t="s">
        <v>32664</v>
      </c>
      <c r="G3929" t="s">
        <v>32671</v>
      </c>
      <c r="H3929" t="s">
        <v>12635</v>
      </c>
      <c r="I3929" t="s">
        <v>6223</v>
      </c>
      <c r="J3929" t="s">
        <v>35405</v>
      </c>
      <c r="K3929" t="s">
        <v>42289</v>
      </c>
      <c r="M3929" t="s">
        <v>44127</v>
      </c>
      <c r="N3929" t="s">
        <v>46569</v>
      </c>
      <c r="O3929" t="s">
        <v>46570</v>
      </c>
      <c r="P3929">
        <v>0</v>
      </c>
      <c r="Q3929">
        <v>0</v>
      </c>
      <c r="R3929" t="s">
        <v>46572</v>
      </c>
      <c r="S3929" t="s">
        <v>46689</v>
      </c>
      <c r="T3929" t="s">
        <v>48312</v>
      </c>
      <c r="U3929" t="s">
        <v>52026</v>
      </c>
      <c r="W3929" t="s">
        <v>44127</v>
      </c>
      <c r="X3929" t="s">
        <v>46573</v>
      </c>
    </row>
    <row r="3930" spans="1:24">
      <c r="A3930">
        <f>HYPERLINK("https://www.philgeps.gov.ph/GEPSNONPILOT/Tender/SplashBidNoticeAbstractUI.aspx?menuIndex=3&amp;refID=7063602&amp;Result=3","7063602")</f>
        <v>0</v>
      </c>
      <c r="B3930" t="s">
        <v>1459</v>
      </c>
      <c r="C3930" t="s">
        <v>7308</v>
      </c>
      <c r="D3930" t="s">
        <v>18784</v>
      </c>
      <c r="E3930" t="s">
        <v>22439</v>
      </c>
      <c r="F3930" t="s">
        <v>32664</v>
      </c>
      <c r="G3930" t="s">
        <v>32674</v>
      </c>
      <c r="H3930" t="s">
        <v>12635</v>
      </c>
      <c r="I3930" t="s">
        <v>6168</v>
      </c>
      <c r="J3930" t="s">
        <v>35406</v>
      </c>
      <c r="K3930" t="s">
        <v>42289</v>
      </c>
      <c r="M3930" t="s">
        <v>44120</v>
      </c>
      <c r="N3930" t="s">
        <v>46569</v>
      </c>
      <c r="O3930" t="s">
        <v>46570</v>
      </c>
      <c r="P3930">
        <v>0</v>
      </c>
      <c r="Q3930">
        <v>3</v>
      </c>
      <c r="R3930" t="s">
        <v>46572</v>
      </c>
      <c r="S3930" t="s">
        <v>46689</v>
      </c>
      <c r="T3930" t="s">
        <v>48492</v>
      </c>
      <c r="U3930" t="s">
        <v>52027</v>
      </c>
      <c r="V3930" t="s">
        <v>62017</v>
      </c>
      <c r="W3930" t="s">
        <v>44120</v>
      </c>
      <c r="X3930" t="s">
        <v>46573</v>
      </c>
    </row>
    <row r="3931" spans="1:24">
      <c r="A3931">
        <f>HYPERLINK("https://www.philgeps.gov.ph/GEPSNONPILOT/Tender/SplashBidNoticeAbstractUI.aspx?menuIndex=3&amp;refID=7063598&amp;Result=3","7063598")</f>
        <v>0</v>
      </c>
      <c r="B3931" t="s">
        <v>305</v>
      </c>
      <c r="C3931" t="s">
        <v>7309</v>
      </c>
      <c r="D3931" t="s">
        <v>18787</v>
      </c>
      <c r="E3931" t="s">
        <v>19461</v>
      </c>
      <c r="F3931" t="s">
        <v>32664</v>
      </c>
      <c r="G3931" t="s">
        <v>32672</v>
      </c>
      <c r="H3931" t="s">
        <v>32683</v>
      </c>
      <c r="I3931" t="s">
        <v>32733</v>
      </c>
      <c r="J3931" t="s">
        <v>32984</v>
      </c>
      <c r="K3931" t="s">
        <v>42355</v>
      </c>
      <c r="M3931" t="s">
        <v>42872</v>
      </c>
      <c r="N3931" t="s">
        <v>46569</v>
      </c>
      <c r="O3931" t="s">
        <v>46570</v>
      </c>
      <c r="P3931">
        <v>0</v>
      </c>
      <c r="Q3931">
        <v>0</v>
      </c>
      <c r="R3931" t="s">
        <v>46572</v>
      </c>
      <c r="S3931" t="s">
        <v>46689</v>
      </c>
      <c r="T3931" t="s">
        <v>48459</v>
      </c>
      <c r="U3931" t="s">
        <v>52028</v>
      </c>
      <c r="W3931" t="s">
        <v>42872</v>
      </c>
      <c r="X3931" t="s">
        <v>46573</v>
      </c>
    </row>
    <row r="3932" spans="1:24">
      <c r="A3932">
        <f>HYPERLINK("https://www.philgeps.gov.ph/GEPSNONPILOT/Tender/SplashBidNoticeAbstractUI.aspx?menuIndex=3&amp;refID=7063597&amp;Result=3","7063597")</f>
        <v>0</v>
      </c>
      <c r="B3932" t="s">
        <v>683</v>
      </c>
      <c r="C3932" t="s">
        <v>7310</v>
      </c>
      <c r="D3932" t="s">
        <v>18842</v>
      </c>
      <c r="E3932" t="s">
        <v>22440</v>
      </c>
      <c r="F3932" t="s">
        <v>32664</v>
      </c>
      <c r="G3932" t="s">
        <v>32674</v>
      </c>
      <c r="H3932" t="s">
        <v>12635</v>
      </c>
      <c r="I3932" t="s">
        <v>10361</v>
      </c>
      <c r="J3932" t="s">
        <v>32859</v>
      </c>
      <c r="K3932" t="s">
        <v>42283</v>
      </c>
      <c r="M3932" t="s">
        <v>43270</v>
      </c>
      <c r="N3932" t="s">
        <v>46569</v>
      </c>
      <c r="O3932" t="s">
        <v>46570</v>
      </c>
      <c r="P3932">
        <v>0</v>
      </c>
      <c r="Q3932">
        <v>0</v>
      </c>
      <c r="R3932" t="s">
        <v>46572</v>
      </c>
      <c r="S3932" t="s">
        <v>46689</v>
      </c>
      <c r="T3932" t="s">
        <v>48256</v>
      </c>
      <c r="U3932" t="s">
        <v>50070</v>
      </c>
      <c r="W3932" t="s">
        <v>43270</v>
      </c>
      <c r="X3932" t="s">
        <v>46573</v>
      </c>
    </row>
    <row r="3933" spans="1:24">
      <c r="A3933">
        <f>HYPERLINK("https://www.philgeps.gov.ph/GEPSNONPILOT/Tender/SplashBidNoticeAbstractUI.aspx?menuIndex=3&amp;refID=7063593&amp;Result=3","7063593")</f>
        <v>0</v>
      </c>
      <c r="B3933" t="s">
        <v>1132</v>
      </c>
      <c r="C3933" t="s">
        <v>7311</v>
      </c>
      <c r="E3933" t="s">
        <v>22441</v>
      </c>
      <c r="F3933" t="s">
        <v>32664</v>
      </c>
      <c r="G3933" t="s">
        <v>32675</v>
      </c>
      <c r="H3933" t="s">
        <v>12635</v>
      </c>
      <c r="I3933" t="s">
        <v>10370</v>
      </c>
      <c r="J3933" t="s">
        <v>33128</v>
      </c>
      <c r="K3933" t="s">
        <v>42332</v>
      </c>
      <c r="L3933" t="s">
        <v>1132</v>
      </c>
      <c r="M3933" t="s">
        <v>43761</v>
      </c>
      <c r="N3933" t="s">
        <v>46569</v>
      </c>
      <c r="O3933" t="s">
        <v>46570</v>
      </c>
      <c r="P3933">
        <v>0</v>
      </c>
      <c r="Q3933">
        <v>6</v>
      </c>
      <c r="R3933" t="s">
        <v>46572</v>
      </c>
      <c r="S3933" t="s">
        <v>46689</v>
      </c>
      <c r="T3933" t="s">
        <v>48285</v>
      </c>
      <c r="U3933" t="s">
        <v>52029</v>
      </c>
      <c r="W3933" t="s">
        <v>43761</v>
      </c>
      <c r="X3933" t="s">
        <v>46573</v>
      </c>
    </row>
    <row r="3934" spans="1:24">
      <c r="A3934">
        <f>HYPERLINK("https://www.philgeps.gov.ph/GEPSNONPILOT/Tender/SplashBidNoticeAbstractUI.aspx?menuIndex=3&amp;refID=7063547&amp;Result=3","7063547")</f>
        <v>0</v>
      </c>
      <c r="B3934" t="s">
        <v>716</v>
      </c>
      <c r="C3934" t="s">
        <v>7312</v>
      </c>
      <c r="D3934" t="s">
        <v>18842</v>
      </c>
      <c r="E3934" t="s">
        <v>22442</v>
      </c>
      <c r="F3934" t="s">
        <v>32664</v>
      </c>
      <c r="G3934" t="s">
        <v>32672</v>
      </c>
      <c r="H3934" t="s">
        <v>32683</v>
      </c>
      <c r="I3934" t="s">
        <v>10627</v>
      </c>
      <c r="J3934" t="s">
        <v>35407</v>
      </c>
      <c r="K3934" t="s">
        <v>42345</v>
      </c>
      <c r="M3934" t="s">
        <v>43303</v>
      </c>
      <c r="N3934" t="s">
        <v>46569</v>
      </c>
      <c r="O3934" t="s">
        <v>46570</v>
      </c>
      <c r="P3934">
        <v>0</v>
      </c>
      <c r="Q3934">
        <v>0</v>
      </c>
      <c r="R3934" t="s">
        <v>46572</v>
      </c>
      <c r="S3934" t="s">
        <v>46689</v>
      </c>
      <c r="T3934" t="s">
        <v>48216</v>
      </c>
      <c r="U3934" t="s">
        <v>52030</v>
      </c>
      <c r="W3934" t="s">
        <v>43303</v>
      </c>
      <c r="X3934" t="s">
        <v>46573</v>
      </c>
    </row>
    <row r="3935" spans="1:24">
      <c r="A3935">
        <f>HYPERLINK("https://www.philgeps.gov.ph/GEPSNONPILOT/Tender/SplashBidNoticeAbstractUI.aspx?menuIndex=3&amp;refID=7063591&amp;Result=3","7063591")</f>
        <v>0</v>
      </c>
      <c r="B3935" t="s">
        <v>231</v>
      </c>
      <c r="C3935" t="s">
        <v>7313</v>
      </c>
      <c r="D3935" t="s">
        <v>18845</v>
      </c>
      <c r="E3935" t="s">
        <v>7313</v>
      </c>
      <c r="F3935" t="s">
        <v>32664</v>
      </c>
      <c r="G3935" t="s">
        <v>32674</v>
      </c>
      <c r="H3935" t="s">
        <v>12635</v>
      </c>
      <c r="I3935" t="s">
        <v>10590</v>
      </c>
      <c r="J3935" t="s">
        <v>35408</v>
      </c>
      <c r="K3935" t="s">
        <v>42281</v>
      </c>
      <c r="M3935" t="s">
        <v>44083</v>
      </c>
      <c r="N3935" t="s">
        <v>46569</v>
      </c>
      <c r="O3935" t="s">
        <v>46570</v>
      </c>
      <c r="P3935">
        <v>0</v>
      </c>
      <c r="Q3935">
        <v>0</v>
      </c>
      <c r="R3935" t="s">
        <v>46572</v>
      </c>
      <c r="S3935" t="s">
        <v>46689</v>
      </c>
      <c r="T3935" t="s">
        <v>48487</v>
      </c>
      <c r="U3935" t="s">
        <v>52031</v>
      </c>
      <c r="W3935" t="s">
        <v>44083</v>
      </c>
      <c r="X3935" t="s">
        <v>46573</v>
      </c>
    </row>
    <row r="3936" spans="1:24">
      <c r="A3936">
        <f>HYPERLINK("https://www.philgeps.gov.ph/GEPSNONPILOT/Tender/SplashBidNoticeAbstractUI.aspx?menuIndex=3&amp;refID=7063600&amp;Result=3","7063600")</f>
        <v>0</v>
      </c>
      <c r="B3936" t="s">
        <v>1385</v>
      </c>
      <c r="C3936" t="s">
        <v>7314</v>
      </c>
      <c r="D3936" t="s">
        <v>18827</v>
      </c>
      <c r="E3936" t="s">
        <v>22443</v>
      </c>
      <c r="F3936" t="s">
        <v>32664</v>
      </c>
      <c r="G3936" t="s">
        <v>32672</v>
      </c>
      <c r="H3936" t="s">
        <v>32683</v>
      </c>
      <c r="I3936" t="s">
        <v>10627</v>
      </c>
      <c r="J3936" t="s">
        <v>35375</v>
      </c>
      <c r="K3936" t="s">
        <v>42345</v>
      </c>
      <c r="L3936" t="s">
        <v>1385</v>
      </c>
      <c r="M3936" t="s">
        <v>44040</v>
      </c>
      <c r="N3936" t="s">
        <v>46569</v>
      </c>
      <c r="O3936" t="s">
        <v>46570</v>
      </c>
      <c r="P3936">
        <v>0</v>
      </c>
      <c r="Q3936">
        <v>0</v>
      </c>
      <c r="R3936" t="s">
        <v>46572</v>
      </c>
      <c r="S3936" t="s">
        <v>46689</v>
      </c>
      <c r="T3936" t="s">
        <v>48270</v>
      </c>
      <c r="U3936" t="s">
        <v>51761</v>
      </c>
      <c r="W3936" t="s">
        <v>44040</v>
      </c>
      <c r="X3936" t="s">
        <v>46573</v>
      </c>
    </row>
    <row r="3937" spans="1:24">
      <c r="A3937">
        <f>HYPERLINK("https://www.philgeps.gov.ph/GEPSNONPILOT/Tender/SplashBidNoticeAbstractUI.aspx?menuIndex=3&amp;refID=7063596&amp;Result=3","7063596")</f>
        <v>0</v>
      </c>
      <c r="B3937" t="s">
        <v>1088</v>
      </c>
      <c r="C3937" t="s">
        <v>7315</v>
      </c>
      <c r="D3937" t="s">
        <v>18804</v>
      </c>
      <c r="E3937" t="s">
        <v>22444</v>
      </c>
      <c r="F3937" t="s">
        <v>32664</v>
      </c>
      <c r="G3937" t="s">
        <v>32672</v>
      </c>
      <c r="H3937" t="s">
        <v>32683</v>
      </c>
      <c r="I3937" t="s">
        <v>10627</v>
      </c>
      <c r="J3937" t="s">
        <v>35409</v>
      </c>
      <c r="K3937" t="s">
        <v>42298</v>
      </c>
      <c r="M3937" t="s">
        <v>43714</v>
      </c>
      <c r="N3937" t="s">
        <v>46569</v>
      </c>
      <c r="O3937" t="s">
        <v>46570</v>
      </c>
      <c r="P3937">
        <v>0</v>
      </c>
      <c r="Q3937">
        <v>0</v>
      </c>
      <c r="R3937" t="s">
        <v>46572</v>
      </c>
      <c r="S3937" t="s">
        <v>46689</v>
      </c>
      <c r="T3937" t="s">
        <v>48275</v>
      </c>
      <c r="U3937" t="s">
        <v>51999</v>
      </c>
      <c r="V3937" t="s">
        <v>61896</v>
      </c>
      <c r="W3937" t="s">
        <v>43714</v>
      </c>
      <c r="X3937" t="s">
        <v>46573</v>
      </c>
    </row>
    <row r="3938" spans="1:24">
      <c r="A3938">
        <f>HYPERLINK("https://www.philgeps.gov.ph/GEPSNONPILOT/Tender/SplashBidNoticeAbstractUI.aspx?menuIndex=3&amp;refID=7063595&amp;Result=3","7063595")</f>
        <v>0</v>
      </c>
      <c r="B3938" t="s">
        <v>1466</v>
      </c>
      <c r="C3938" t="s">
        <v>7316</v>
      </c>
      <c r="D3938" t="s">
        <v>18781</v>
      </c>
      <c r="E3938" t="s">
        <v>22445</v>
      </c>
      <c r="F3938" t="s">
        <v>32664</v>
      </c>
      <c r="G3938" t="s">
        <v>32671</v>
      </c>
      <c r="H3938" t="s">
        <v>12635</v>
      </c>
      <c r="I3938" t="s">
        <v>10590</v>
      </c>
      <c r="J3938" t="s">
        <v>35410</v>
      </c>
      <c r="K3938" t="s">
        <v>42289</v>
      </c>
      <c r="M3938" t="s">
        <v>44128</v>
      </c>
      <c r="N3938" t="s">
        <v>46569</v>
      </c>
      <c r="O3938" t="s">
        <v>46570</v>
      </c>
      <c r="P3938">
        <v>0</v>
      </c>
      <c r="Q3938">
        <v>0</v>
      </c>
      <c r="R3938" t="s">
        <v>46572</v>
      </c>
      <c r="S3938" t="s">
        <v>46689</v>
      </c>
      <c r="T3938" t="s">
        <v>48221</v>
      </c>
      <c r="U3938" t="s">
        <v>52032</v>
      </c>
      <c r="W3938" t="s">
        <v>63514</v>
      </c>
      <c r="X3938" t="s">
        <v>46573</v>
      </c>
    </row>
    <row r="3939" spans="1:24">
      <c r="A3939">
        <f>HYPERLINK("https://www.philgeps.gov.ph/GEPSNONPILOT/Tender/SplashBidNoticeAbstractUI.aspx?menuIndex=3&amp;refID=7063644&amp;Result=3","7063644")</f>
        <v>0</v>
      </c>
      <c r="B3939" t="s">
        <v>1467</v>
      </c>
      <c r="C3939" t="s">
        <v>7317</v>
      </c>
      <c r="D3939" t="s">
        <v>18809</v>
      </c>
      <c r="E3939" t="s">
        <v>22446</v>
      </c>
      <c r="F3939" t="s">
        <v>32664</v>
      </c>
      <c r="G3939" t="s">
        <v>32671</v>
      </c>
      <c r="H3939" t="s">
        <v>12635</v>
      </c>
      <c r="I3939" t="s">
        <v>32701</v>
      </c>
      <c r="J3939" t="s">
        <v>35411</v>
      </c>
      <c r="K3939" t="s">
        <v>42289</v>
      </c>
      <c r="M3939" t="s">
        <v>44129</v>
      </c>
      <c r="N3939" t="s">
        <v>46569</v>
      </c>
      <c r="O3939" t="s">
        <v>46570</v>
      </c>
      <c r="P3939">
        <v>0</v>
      </c>
      <c r="Q3939">
        <v>0</v>
      </c>
      <c r="R3939" t="s">
        <v>46572</v>
      </c>
      <c r="S3939" t="s">
        <v>46689</v>
      </c>
      <c r="T3939" t="s">
        <v>48304</v>
      </c>
      <c r="U3939" t="s">
        <v>52033</v>
      </c>
      <c r="W3939" t="s">
        <v>44129</v>
      </c>
      <c r="X3939" t="s">
        <v>46573</v>
      </c>
    </row>
    <row r="3940" spans="1:24">
      <c r="A3940">
        <f>HYPERLINK("https://www.philgeps.gov.ph/GEPSNONPILOT/Tender/SplashBidNoticeAbstractUI.aspx?menuIndex=3&amp;refID=7063642&amp;Result=3","7063642")</f>
        <v>0</v>
      </c>
      <c r="B3940" t="s">
        <v>1468</v>
      </c>
      <c r="C3940" t="s">
        <v>7318</v>
      </c>
      <c r="D3940" t="s">
        <v>18806</v>
      </c>
      <c r="E3940" t="s">
        <v>22447</v>
      </c>
      <c r="F3940" t="s">
        <v>32664</v>
      </c>
      <c r="G3940" t="s">
        <v>32672</v>
      </c>
      <c r="H3940" t="s">
        <v>12635</v>
      </c>
      <c r="I3940" t="s">
        <v>11464</v>
      </c>
      <c r="J3940" t="s">
        <v>33273</v>
      </c>
      <c r="K3940" t="s">
        <v>42298</v>
      </c>
      <c r="M3940" t="s">
        <v>44130</v>
      </c>
      <c r="N3940" t="s">
        <v>46569</v>
      </c>
      <c r="O3940" t="s">
        <v>46570</v>
      </c>
      <c r="P3940">
        <v>0</v>
      </c>
      <c r="Q3940">
        <v>1</v>
      </c>
      <c r="R3940" t="s">
        <v>46572</v>
      </c>
      <c r="S3940" t="s">
        <v>46689</v>
      </c>
      <c r="T3940" t="s">
        <v>48495</v>
      </c>
      <c r="U3940" t="s">
        <v>52034</v>
      </c>
      <c r="V3940" t="s">
        <v>62023</v>
      </c>
      <c r="W3940" t="s">
        <v>44130</v>
      </c>
      <c r="X3940" t="s">
        <v>46573</v>
      </c>
    </row>
    <row r="3941" spans="1:24">
      <c r="A3941">
        <f>HYPERLINK("https://www.philgeps.gov.ph/GEPSNONPILOT/Tender/SplashBidNoticeAbstractUI.aspx?menuIndex=3&amp;refID=7063592&amp;Result=3","7063592")</f>
        <v>0</v>
      </c>
      <c r="B3941" t="s">
        <v>327</v>
      </c>
      <c r="C3941" t="s">
        <v>7319</v>
      </c>
      <c r="D3941" t="s">
        <v>18826</v>
      </c>
      <c r="E3941" t="s">
        <v>22448</v>
      </c>
      <c r="F3941" t="s">
        <v>32664</v>
      </c>
      <c r="G3941" t="s">
        <v>32671</v>
      </c>
      <c r="H3941" t="s">
        <v>12635</v>
      </c>
      <c r="I3941" t="s">
        <v>32716</v>
      </c>
      <c r="J3941" t="s">
        <v>32836</v>
      </c>
      <c r="K3941" t="s">
        <v>42281</v>
      </c>
      <c r="M3941" t="s">
        <v>42895</v>
      </c>
      <c r="N3941" t="s">
        <v>46569</v>
      </c>
      <c r="O3941" t="s">
        <v>46570</v>
      </c>
      <c r="P3941">
        <v>0</v>
      </c>
      <c r="Q3941">
        <v>0</v>
      </c>
      <c r="R3941" t="s">
        <v>46572</v>
      </c>
      <c r="S3941" t="s">
        <v>46689</v>
      </c>
      <c r="T3941" t="s">
        <v>48286</v>
      </c>
      <c r="U3941" t="s">
        <v>52035</v>
      </c>
      <c r="W3941" t="s">
        <v>63515</v>
      </c>
      <c r="X3941" t="s">
        <v>46573</v>
      </c>
    </row>
    <row r="3942" spans="1:24">
      <c r="A3942">
        <f>HYPERLINK("https://www.philgeps.gov.ph/GEPSNONPILOT/Tender/SplashBidNoticeAbstractUI.aspx?menuIndex=3&amp;refID=7063641&amp;Result=3","7063641")</f>
        <v>0</v>
      </c>
      <c r="B3942" t="s">
        <v>1469</v>
      </c>
      <c r="C3942" t="s">
        <v>7320</v>
      </c>
      <c r="D3942" t="s">
        <v>18837</v>
      </c>
      <c r="E3942" t="s">
        <v>22449</v>
      </c>
      <c r="F3942" t="s">
        <v>32664</v>
      </c>
      <c r="G3942" t="s">
        <v>32672</v>
      </c>
      <c r="H3942" t="s">
        <v>32683</v>
      </c>
      <c r="I3942" t="s">
        <v>10627</v>
      </c>
      <c r="J3942" t="s">
        <v>35412</v>
      </c>
      <c r="K3942" t="s">
        <v>42383</v>
      </c>
      <c r="M3942" t="s">
        <v>44131</v>
      </c>
      <c r="N3942" t="s">
        <v>46569</v>
      </c>
      <c r="O3942" t="s">
        <v>46570</v>
      </c>
      <c r="P3942">
        <v>0</v>
      </c>
      <c r="Q3942">
        <v>0</v>
      </c>
      <c r="R3942" t="s">
        <v>46572</v>
      </c>
      <c r="S3942" t="s">
        <v>46689</v>
      </c>
      <c r="T3942" t="s">
        <v>48222</v>
      </c>
      <c r="U3942" t="s">
        <v>52036</v>
      </c>
      <c r="W3942" t="s">
        <v>44131</v>
      </c>
      <c r="X3942" t="s">
        <v>46573</v>
      </c>
    </row>
    <row r="3943" spans="1:24">
      <c r="A3943">
        <f>HYPERLINK("https://www.philgeps.gov.ph/GEPSNONPILOT/Tender/SplashBidNoticeAbstractUI.aspx?menuIndex=3&amp;refID=7063639&amp;Result=3","7063639")</f>
        <v>0</v>
      </c>
      <c r="B3943" t="s">
        <v>1470</v>
      </c>
      <c r="C3943" t="s">
        <v>7321</v>
      </c>
      <c r="D3943" t="s">
        <v>18788</v>
      </c>
      <c r="E3943" t="s">
        <v>22450</v>
      </c>
      <c r="F3943" t="s">
        <v>32664</v>
      </c>
      <c r="G3943" t="s">
        <v>32671</v>
      </c>
      <c r="H3943" t="s">
        <v>12635</v>
      </c>
      <c r="I3943" t="s">
        <v>4333</v>
      </c>
      <c r="J3943" t="s">
        <v>35413</v>
      </c>
      <c r="K3943" t="s">
        <v>42284</v>
      </c>
      <c r="M3943" t="s">
        <v>44132</v>
      </c>
      <c r="N3943" t="s">
        <v>46569</v>
      </c>
      <c r="O3943" t="s">
        <v>46570</v>
      </c>
      <c r="P3943">
        <v>0</v>
      </c>
      <c r="Q3943">
        <v>1</v>
      </c>
      <c r="R3943" t="s">
        <v>46572</v>
      </c>
      <c r="S3943" t="s">
        <v>46689</v>
      </c>
      <c r="T3943" t="s">
        <v>48312</v>
      </c>
      <c r="U3943" t="s">
        <v>52037</v>
      </c>
      <c r="W3943" t="s">
        <v>44132</v>
      </c>
      <c r="X3943" t="s">
        <v>46573</v>
      </c>
    </row>
    <row r="3944" spans="1:24">
      <c r="A3944">
        <f>HYPERLINK("https://www.philgeps.gov.ph/GEPSNONPILOT/Tender/SplashBidNoticeAbstractUI.aspx?menuIndex=3&amp;refID=7063637&amp;Result=3","7063637")</f>
        <v>0</v>
      </c>
      <c r="B3944" t="s">
        <v>617</v>
      </c>
      <c r="C3944" t="s">
        <v>7322</v>
      </c>
      <c r="D3944" t="s">
        <v>18784</v>
      </c>
      <c r="E3944" t="s">
        <v>22451</v>
      </c>
      <c r="F3944" t="s">
        <v>32664</v>
      </c>
      <c r="G3944" t="s">
        <v>32674</v>
      </c>
      <c r="H3944" t="s">
        <v>12635</v>
      </c>
      <c r="I3944" t="s">
        <v>5589</v>
      </c>
      <c r="J3944" t="s">
        <v>32961</v>
      </c>
      <c r="K3944" t="s">
        <v>42289</v>
      </c>
      <c r="M3944" t="s">
        <v>43197</v>
      </c>
      <c r="N3944" t="s">
        <v>46569</v>
      </c>
      <c r="O3944" t="s">
        <v>46570</v>
      </c>
      <c r="P3944">
        <v>0</v>
      </c>
      <c r="Q3944">
        <v>5</v>
      </c>
      <c r="R3944" t="s">
        <v>46572</v>
      </c>
      <c r="S3944" t="s">
        <v>46689</v>
      </c>
      <c r="T3944" t="s">
        <v>48376</v>
      </c>
      <c r="U3944" t="s">
        <v>52038</v>
      </c>
      <c r="W3944" t="s">
        <v>43197</v>
      </c>
      <c r="X3944" t="s">
        <v>46573</v>
      </c>
    </row>
    <row r="3945" spans="1:24">
      <c r="A3945">
        <f>HYPERLINK("https://www.philgeps.gov.ph/GEPSNONPILOT/Tender/SplashBidNoticeAbstractUI.aspx?menuIndex=3&amp;refID=7063643&amp;Result=3","7063643")</f>
        <v>0</v>
      </c>
      <c r="B3945" t="s">
        <v>231</v>
      </c>
      <c r="C3945" t="s">
        <v>7323</v>
      </c>
      <c r="D3945" t="s">
        <v>18845</v>
      </c>
      <c r="E3945" t="s">
        <v>7323</v>
      </c>
      <c r="F3945" t="s">
        <v>32664</v>
      </c>
      <c r="G3945" t="s">
        <v>32674</v>
      </c>
      <c r="H3945" t="s">
        <v>12635</v>
      </c>
      <c r="I3945" t="s">
        <v>32685</v>
      </c>
      <c r="J3945" t="s">
        <v>35414</v>
      </c>
      <c r="K3945" t="s">
        <v>42281</v>
      </c>
      <c r="M3945" t="s">
        <v>44083</v>
      </c>
      <c r="N3945" t="s">
        <v>46569</v>
      </c>
      <c r="O3945" t="s">
        <v>46570</v>
      </c>
      <c r="P3945">
        <v>0</v>
      </c>
      <c r="Q3945">
        <v>0</v>
      </c>
      <c r="R3945" t="s">
        <v>46572</v>
      </c>
      <c r="S3945" t="s">
        <v>46689</v>
      </c>
      <c r="T3945" t="s">
        <v>48487</v>
      </c>
      <c r="U3945" t="s">
        <v>51943</v>
      </c>
      <c r="W3945" t="s">
        <v>44083</v>
      </c>
      <c r="X3945" t="s">
        <v>46573</v>
      </c>
    </row>
    <row r="3946" spans="1:24">
      <c r="A3946">
        <f>HYPERLINK("https://www.philgeps.gov.ph/GEPSNONPILOT/Tender/SplashBidNoticeAbstractUI.aspx?menuIndex=3&amp;refID=7063599&amp;Result=3","7063599")</f>
        <v>0</v>
      </c>
      <c r="B3946" t="s">
        <v>1069</v>
      </c>
      <c r="C3946" t="s">
        <v>7324</v>
      </c>
      <c r="D3946" t="s">
        <v>18825</v>
      </c>
      <c r="E3946" t="s">
        <v>22452</v>
      </c>
      <c r="F3946" t="s">
        <v>32664</v>
      </c>
      <c r="G3946" t="s">
        <v>32672</v>
      </c>
      <c r="H3946" t="s">
        <v>12635</v>
      </c>
      <c r="I3946" t="s">
        <v>7324</v>
      </c>
      <c r="J3946" t="s">
        <v>33051</v>
      </c>
      <c r="K3946" t="s">
        <v>42283</v>
      </c>
      <c r="M3946" t="s">
        <v>43687</v>
      </c>
      <c r="N3946" t="s">
        <v>46569</v>
      </c>
      <c r="O3946" t="s">
        <v>46570</v>
      </c>
      <c r="P3946">
        <v>0</v>
      </c>
      <c r="Q3946">
        <v>1</v>
      </c>
      <c r="R3946" t="s">
        <v>46572</v>
      </c>
      <c r="S3946" t="s">
        <v>46689</v>
      </c>
      <c r="T3946" t="s">
        <v>48312</v>
      </c>
      <c r="U3946" t="s">
        <v>52039</v>
      </c>
      <c r="W3946" t="s">
        <v>43687</v>
      </c>
      <c r="X3946" t="s">
        <v>46573</v>
      </c>
    </row>
    <row r="3947" spans="1:24">
      <c r="A3947">
        <f>HYPERLINK("https://www.philgeps.gov.ph/GEPSNONPILOT/Tender/SplashBidNoticeAbstractUI.aspx?menuIndex=3&amp;refID=7063635&amp;Result=3","7063635")</f>
        <v>0</v>
      </c>
      <c r="B3947" t="s">
        <v>1387</v>
      </c>
      <c r="C3947" t="s">
        <v>7247</v>
      </c>
      <c r="D3947" t="s">
        <v>18788</v>
      </c>
      <c r="E3947" t="s">
        <v>22453</v>
      </c>
      <c r="F3947" t="s">
        <v>32664</v>
      </c>
      <c r="G3947" t="s">
        <v>32672</v>
      </c>
      <c r="H3947" t="s">
        <v>12635</v>
      </c>
      <c r="I3947" t="s">
        <v>14442</v>
      </c>
      <c r="J3947" t="s">
        <v>32917</v>
      </c>
      <c r="K3947" t="s">
        <v>42289</v>
      </c>
      <c r="M3947" t="s">
        <v>44043</v>
      </c>
      <c r="N3947" t="s">
        <v>46569</v>
      </c>
      <c r="O3947" t="s">
        <v>46570</v>
      </c>
      <c r="P3947">
        <v>0</v>
      </c>
      <c r="Q3947">
        <v>1</v>
      </c>
      <c r="R3947" t="s">
        <v>46572</v>
      </c>
      <c r="S3947" t="s">
        <v>46689</v>
      </c>
      <c r="T3947" t="s">
        <v>48237</v>
      </c>
      <c r="U3947" t="s">
        <v>52040</v>
      </c>
      <c r="W3947" t="s">
        <v>44043</v>
      </c>
      <c r="X3947" t="s">
        <v>46573</v>
      </c>
    </row>
    <row r="3948" spans="1:24">
      <c r="A3948">
        <f>HYPERLINK("https://www.philgeps.gov.ph/GEPSNONPILOT/Tender/SplashBidNoticeAbstractUI.aspx?menuIndex=3&amp;refID=7063631&amp;Result=3","7063631")</f>
        <v>0</v>
      </c>
      <c r="B3948" t="s">
        <v>1140</v>
      </c>
      <c r="C3948" t="s">
        <v>7325</v>
      </c>
      <c r="D3948" t="s">
        <v>18805</v>
      </c>
      <c r="E3948" t="s">
        <v>22423</v>
      </c>
      <c r="F3948" t="s">
        <v>32664</v>
      </c>
      <c r="G3948" t="s">
        <v>32671</v>
      </c>
      <c r="H3948" t="s">
        <v>12635</v>
      </c>
      <c r="I3948" t="s">
        <v>6223</v>
      </c>
      <c r="J3948" t="s">
        <v>34800</v>
      </c>
      <c r="K3948" t="s">
        <v>42297</v>
      </c>
      <c r="L3948" t="s">
        <v>1140</v>
      </c>
      <c r="M3948" t="s">
        <v>43771</v>
      </c>
      <c r="N3948" t="s">
        <v>46569</v>
      </c>
      <c r="O3948" t="s">
        <v>46570</v>
      </c>
      <c r="P3948">
        <v>0</v>
      </c>
      <c r="Q3948">
        <v>1</v>
      </c>
      <c r="R3948" t="s">
        <v>46572</v>
      </c>
      <c r="S3948" t="s">
        <v>46689</v>
      </c>
      <c r="T3948" t="s">
        <v>48466</v>
      </c>
      <c r="U3948" t="s">
        <v>52041</v>
      </c>
      <c r="V3948" t="s">
        <v>62024</v>
      </c>
      <c r="W3948" t="s">
        <v>43771</v>
      </c>
      <c r="X3948" t="s">
        <v>46573</v>
      </c>
    </row>
    <row r="3949" spans="1:24">
      <c r="A3949">
        <f>HYPERLINK("https://www.philgeps.gov.ph/GEPSNONPILOT/Tender/SplashBidNoticeAbstractUI.aspx?menuIndex=3&amp;refID=7063630&amp;Result=3","7063630")</f>
        <v>0</v>
      </c>
      <c r="B3949" t="s">
        <v>1385</v>
      </c>
      <c r="C3949" t="s">
        <v>7326</v>
      </c>
      <c r="D3949" t="s">
        <v>18827</v>
      </c>
      <c r="E3949" t="s">
        <v>22454</v>
      </c>
      <c r="F3949" t="s">
        <v>32664</v>
      </c>
      <c r="G3949" t="s">
        <v>32672</v>
      </c>
      <c r="H3949" t="s">
        <v>32683</v>
      </c>
      <c r="I3949" t="s">
        <v>10627</v>
      </c>
      <c r="J3949" t="s">
        <v>35415</v>
      </c>
      <c r="K3949" t="s">
        <v>42345</v>
      </c>
      <c r="L3949" t="s">
        <v>1385</v>
      </c>
      <c r="M3949" t="s">
        <v>44040</v>
      </c>
      <c r="N3949" t="s">
        <v>46569</v>
      </c>
      <c r="O3949" t="s">
        <v>46570</v>
      </c>
      <c r="P3949">
        <v>0</v>
      </c>
      <c r="Q3949">
        <v>1</v>
      </c>
      <c r="R3949" t="s">
        <v>46572</v>
      </c>
      <c r="S3949" t="s">
        <v>46689</v>
      </c>
      <c r="T3949" t="s">
        <v>48270</v>
      </c>
      <c r="U3949" t="s">
        <v>51761</v>
      </c>
      <c r="W3949" t="s">
        <v>44040</v>
      </c>
      <c r="X3949" t="s">
        <v>46573</v>
      </c>
    </row>
    <row r="3950" spans="1:24">
      <c r="A3950">
        <f>HYPERLINK("https://www.philgeps.gov.ph/GEPSNONPILOT/Tender/SplashBidNoticeAbstractUI.aspx?menuIndex=3&amp;refID=7063613&amp;Result=3","7063613")</f>
        <v>0</v>
      </c>
      <c r="B3950" t="s">
        <v>1452</v>
      </c>
      <c r="C3950" t="s">
        <v>7327</v>
      </c>
      <c r="E3950" t="s">
        <v>22455</v>
      </c>
      <c r="F3950" t="s">
        <v>32664</v>
      </c>
      <c r="G3950" t="s">
        <v>32671</v>
      </c>
      <c r="H3950" t="s">
        <v>12635</v>
      </c>
      <c r="I3950" t="s">
        <v>4439</v>
      </c>
      <c r="J3950" t="s">
        <v>35416</v>
      </c>
      <c r="K3950" t="s">
        <v>42284</v>
      </c>
      <c r="M3950" t="s">
        <v>44113</v>
      </c>
      <c r="N3950" t="s">
        <v>46569</v>
      </c>
      <c r="O3950" t="s">
        <v>46570</v>
      </c>
      <c r="P3950">
        <v>0</v>
      </c>
      <c r="Q3950">
        <v>0</v>
      </c>
      <c r="R3950" t="s">
        <v>46572</v>
      </c>
      <c r="S3950" t="s">
        <v>46689</v>
      </c>
      <c r="T3950" t="s">
        <v>48282</v>
      </c>
      <c r="U3950" t="s">
        <v>52042</v>
      </c>
      <c r="W3950" t="s">
        <v>44113</v>
      </c>
      <c r="X3950" t="s">
        <v>46573</v>
      </c>
    </row>
    <row r="3951" spans="1:24">
      <c r="A3951">
        <f>HYPERLINK("https://www.philgeps.gov.ph/GEPSNONPILOT/Tender/SplashBidNoticeAbstractUI.aspx?menuIndex=3&amp;refID=7063628&amp;Result=3","7063628")</f>
        <v>0</v>
      </c>
      <c r="B3951" t="s">
        <v>1471</v>
      </c>
      <c r="C3951" t="s">
        <v>7328</v>
      </c>
      <c r="D3951" t="s">
        <v>18827</v>
      </c>
      <c r="E3951" t="s">
        <v>22456</v>
      </c>
      <c r="F3951" t="s">
        <v>32664</v>
      </c>
      <c r="G3951" t="s">
        <v>32671</v>
      </c>
      <c r="H3951" t="s">
        <v>12635</v>
      </c>
      <c r="I3951" t="s">
        <v>32745</v>
      </c>
      <c r="J3951" t="s">
        <v>35417</v>
      </c>
      <c r="K3951" t="s">
        <v>42306</v>
      </c>
      <c r="M3951" t="s">
        <v>44133</v>
      </c>
      <c r="N3951" t="s">
        <v>46569</v>
      </c>
      <c r="O3951" t="s">
        <v>46570</v>
      </c>
      <c r="P3951">
        <v>0</v>
      </c>
      <c r="Q3951">
        <v>0</v>
      </c>
      <c r="R3951" t="s">
        <v>46572</v>
      </c>
      <c r="S3951" t="s">
        <v>46689</v>
      </c>
      <c r="T3951" t="s">
        <v>48256</v>
      </c>
      <c r="U3951" t="s">
        <v>52043</v>
      </c>
      <c r="W3951" t="s">
        <v>44133</v>
      </c>
      <c r="X3951" t="s">
        <v>46573</v>
      </c>
    </row>
    <row r="3952" spans="1:24">
      <c r="A3952">
        <f>HYPERLINK("https://www.philgeps.gov.ph/GEPSNONPILOT/Tender/SplashBidNoticeAbstractUI.aspx?menuIndex=3&amp;refID=7063627&amp;Result=3","7063627")</f>
        <v>0</v>
      </c>
      <c r="B3952" t="s">
        <v>1472</v>
      </c>
      <c r="C3952" t="s">
        <v>7329</v>
      </c>
      <c r="D3952" t="s">
        <v>18785</v>
      </c>
      <c r="E3952" t="s">
        <v>22457</v>
      </c>
      <c r="F3952" t="s">
        <v>32664</v>
      </c>
      <c r="G3952" t="s">
        <v>32674</v>
      </c>
      <c r="H3952" t="s">
        <v>12635</v>
      </c>
      <c r="I3952" t="s">
        <v>32717</v>
      </c>
      <c r="J3952" t="s">
        <v>33688</v>
      </c>
      <c r="K3952" t="s">
        <v>42284</v>
      </c>
      <c r="M3952" t="s">
        <v>44134</v>
      </c>
      <c r="N3952" t="s">
        <v>46569</v>
      </c>
      <c r="O3952" t="s">
        <v>46570</v>
      </c>
      <c r="P3952">
        <v>0</v>
      </c>
      <c r="Q3952">
        <v>2</v>
      </c>
      <c r="R3952" t="s">
        <v>46572</v>
      </c>
      <c r="S3952" t="s">
        <v>46689</v>
      </c>
      <c r="T3952" t="s">
        <v>48316</v>
      </c>
      <c r="U3952" t="s">
        <v>52044</v>
      </c>
      <c r="W3952" t="s">
        <v>44134</v>
      </c>
      <c r="X3952" t="s">
        <v>46573</v>
      </c>
    </row>
    <row r="3953" spans="1:24">
      <c r="A3953">
        <f>HYPERLINK("https://www.philgeps.gov.ph/GEPSNONPILOT/Tender/SplashBidNoticeAbstractUI.aspx?menuIndex=3&amp;refID=7063634&amp;Result=3","7063634")</f>
        <v>0</v>
      </c>
      <c r="B3953" t="s">
        <v>1380</v>
      </c>
      <c r="C3953" t="s">
        <v>7330</v>
      </c>
      <c r="D3953" t="s">
        <v>18809</v>
      </c>
      <c r="E3953" t="s">
        <v>22458</v>
      </c>
      <c r="F3953" t="s">
        <v>32664</v>
      </c>
      <c r="G3953" t="s">
        <v>32671</v>
      </c>
      <c r="H3953" t="s">
        <v>12635</v>
      </c>
      <c r="I3953" t="s">
        <v>8797</v>
      </c>
      <c r="J3953" t="s">
        <v>35418</v>
      </c>
      <c r="K3953" t="s">
        <v>42297</v>
      </c>
      <c r="L3953" t="s">
        <v>1380</v>
      </c>
      <c r="M3953" t="s">
        <v>44035</v>
      </c>
      <c r="N3953" t="s">
        <v>46569</v>
      </c>
      <c r="O3953" t="s">
        <v>46570</v>
      </c>
      <c r="P3953">
        <v>0</v>
      </c>
      <c r="Q3953">
        <v>3</v>
      </c>
      <c r="R3953" t="s">
        <v>46572</v>
      </c>
      <c r="S3953" t="s">
        <v>46689</v>
      </c>
      <c r="T3953" t="s">
        <v>48217</v>
      </c>
      <c r="U3953" t="s">
        <v>51849</v>
      </c>
      <c r="V3953" t="s">
        <v>62025</v>
      </c>
      <c r="W3953" t="s">
        <v>44035</v>
      </c>
      <c r="X3953" t="s">
        <v>46573</v>
      </c>
    </row>
    <row r="3954" spans="1:24">
      <c r="A3954">
        <f>HYPERLINK("https://www.philgeps.gov.ph/GEPSNONPILOT/Tender/SplashBidNoticeAbstractUI.aspx?menuIndex=3&amp;refID=7063668&amp;Result=3","7063668")</f>
        <v>0</v>
      </c>
      <c r="B3954" t="s">
        <v>1444</v>
      </c>
      <c r="C3954" t="s">
        <v>7331</v>
      </c>
      <c r="D3954" t="s">
        <v>18846</v>
      </c>
      <c r="E3954" t="s">
        <v>22459</v>
      </c>
      <c r="F3954" t="s">
        <v>32664</v>
      </c>
      <c r="G3954" t="s">
        <v>32671</v>
      </c>
      <c r="H3954" t="s">
        <v>12635</v>
      </c>
      <c r="I3954" t="s">
        <v>6628</v>
      </c>
      <c r="J3954" t="s">
        <v>33126</v>
      </c>
      <c r="K3954" t="s">
        <v>42281</v>
      </c>
      <c r="M3954" t="s">
        <v>44105</v>
      </c>
      <c r="N3954" t="s">
        <v>46569</v>
      </c>
      <c r="O3954" t="s">
        <v>46570</v>
      </c>
      <c r="P3954">
        <v>0</v>
      </c>
      <c r="Q3954">
        <v>0</v>
      </c>
      <c r="R3954" t="s">
        <v>46572</v>
      </c>
      <c r="S3954" t="s">
        <v>46689</v>
      </c>
      <c r="T3954" t="s">
        <v>48221</v>
      </c>
      <c r="U3954" t="s">
        <v>52045</v>
      </c>
      <c r="W3954" t="s">
        <v>44105</v>
      </c>
      <c r="X3954" t="s">
        <v>46573</v>
      </c>
    </row>
    <row r="3955" spans="1:24">
      <c r="A3955">
        <f>HYPERLINK("https://www.philgeps.gov.ph/GEPSNONPILOT/Tender/SplashBidNoticeAbstractUI.aspx?menuIndex=3&amp;refID=7063636&amp;Result=3","7063636")</f>
        <v>0</v>
      </c>
      <c r="B3955" t="s">
        <v>344</v>
      </c>
      <c r="C3955" t="s">
        <v>3912</v>
      </c>
      <c r="D3955" t="s">
        <v>18787</v>
      </c>
      <c r="E3955" t="s">
        <v>19461</v>
      </c>
      <c r="F3955" t="s">
        <v>32664</v>
      </c>
      <c r="G3955" t="s">
        <v>32671</v>
      </c>
      <c r="H3955" t="s">
        <v>12635</v>
      </c>
      <c r="I3955" t="s">
        <v>6223</v>
      </c>
      <c r="J3955" t="s">
        <v>33311</v>
      </c>
      <c r="K3955" t="s">
        <v>42295</v>
      </c>
      <c r="M3955" t="s">
        <v>42913</v>
      </c>
      <c r="N3955" t="s">
        <v>46569</v>
      </c>
      <c r="O3955" t="s">
        <v>46570</v>
      </c>
      <c r="P3955">
        <v>0</v>
      </c>
      <c r="Q3955">
        <v>1</v>
      </c>
      <c r="R3955" t="s">
        <v>46572</v>
      </c>
      <c r="S3955" t="s">
        <v>46689</v>
      </c>
      <c r="T3955" t="s">
        <v>48459</v>
      </c>
      <c r="U3955" t="s">
        <v>52046</v>
      </c>
      <c r="W3955" t="s">
        <v>42913</v>
      </c>
      <c r="X3955" t="s">
        <v>46573</v>
      </c>
    </row>
    <row r="3956" spans="1:24">
      <c r="A3956">
        <f>HYPERLINK("https://www.philgeps.gov.ph/GEPSNONPILOT/Tender/SplashBidNoticeAbstractUI.aspx?menuIndex=3&amp;refID=7063666&amp;Result=3","7063666")</f>
        <v>0</v>
      </c>
      <c r="B3956" t="s">
        <v>1473</v>
      </c>
      <c r="C3956" t="s">
        <v>7332</v>
      </c>
      <c r="D3956" t="s">
        <v>18793</v>
      </c>
      <c r="E3956" t="s">
        <v>22460</v>
      </c>
      <c r="F3956" t="s">
        <v>32664</v>
      </c>
      <c r="G3956" t="s">
        <v>32671</v>
      </c>
      <c r="H3956" t="s">
        <v>12635</v>
      </c>
      <c r="I3956" t="s">
        <v>8797</v>
      </c>
      <c r="J3956" t="s">
        <v>35419</v>
      </c>
      <c r="K3956" t="s">
        <v>42284</v>
      </c>
      <c r="M3956" t="s">
        <v>44135</v>
      </c>
      <c r="N3956" t="s">
        <v>46569</v>
      </c>
      <c r="O3956" t="s">
        <v>46570</v>
      </c>
      <c r="P3956">
        <v>0</v>
      </c>
      <c r="Q3956">
        <v>1</v>
      </c>
      <c r="R3956" t="s">
        <v>46572</v>
      </c>
      <c r="S3956" t="s">
        <v>46689</v>
      </c>
      <c r="T3956" t="s">
        <v>48221</v>
      </c>
      <c r="U3956" t="s">
        <v>52047</v>
      </c>
      <c r="W3956" t="s">
        <v>44135</v>
      </c>
      <c r="X3956" t="s">
        <v>46573</v>
      </c>
    </row>
    <row r="3957" spans="1:24">
      <c r="A3957">
        <f>HYPERLINK("https://www.philgeps.gov.ph/GEPSNONPILOT/Tender/SplashBidNoticeAbstractUI.aspx?menuIndex=3&amp;refID=7063640&amp;Result=3","7063640")</f>
        <v>0</v>
      </c>
      <c r="B3957" t="s">
        <v>1456</v>
      </c>
      <c r="C3957" t="s">
        <v>7333</v>
      </c>
      <c r="D3957" t="s">
        <v>18790</v>
      </c>
      <c r="E3957" t="s">
        <v>22461</v>
      </c>
      <c r="F3957" t="s">
        <v>32664</v>
      </c>
      <c r="G3957" t="s">
        <v>32671</v>
      </c>
      <c r="H3957" t="s">
        <v>32682</v>
      </c>
      <c r="I3957" t="s">
        <v>32740</v>
      </c>
      <c r="J3957" t="s">
        <v>32917</v>
      </c>
      <c r="K3957" t="s">
        <v>42334</v>
      </c>
      <c r="M3957" t="s">
        <v>44117</v>
      </c>
      <c r="N3957" t="s">
        <v>46569</v>
      </c>
      <c r="O3957" t="s">
        <v>46570</v>
      </c>
      <c r="P3957">
        <v>0</v>
      </c>
      <c r="Q3957">
        <v>0</v>
      </c>
      <c r="R3957" t="s">
        <v>46572</v>
      </c>
      <c r="S3957" t="s">
        <v>46689</v>
      </c>
      <c r="T3957" t="s">
        <v>48219</v>
      </c>
      <c r="U3957" t="s">
        <v>51995</v>
      </c>
      <c r="W3957" t="s">
        <v>44117</v>
      </c>
      <c r="X3957" t="s">
        <v>46573</v>
      </c>
    </row>
    <row r="3958" spans="1:24">
      <c r="A3958">
        <f>HYPERLINK("https://www.philgeps.gov.ph/GEPSNONPILOT/Tender/SplashBidNoticeAbstractUI.aspx?menuIndex=3&amp;refID=7063625&amp;Result=3","7063625")</f>
        <v>0</v>
      </c>
      <c r="B3958" t="s">
        <v>1459</v>
      </c>
      <c r="C3958" t="s">
        <v>7334</v>
      </c>
      <c r="D3958" t="s">
        <v>18784</v>
      </c>
      <c r="E3958" t="s">
        <v>22462</v>
      </c>
      <c r="F3958" t="s">
        <v>32664</v>
      </c>
      <c r="G3958" t="s">
        <v>32674</v>
      </c>
      <c r="H3958" t="s">
        <v>12635</v>
      </c>
      <c r="I3958" t="s">
        <v>4439</v>
      </c>
      <c r="J3958" t="s">
        <v>35420</v>
      </c>
      <c r="K3958" t="s">
        <v>42289</v>
      </c>
      <c r="M3958" t="s">
        <v>44120</v>
      </c>
      <c r="N3958" t="s">
        <v>46569</v>
      </c>
      <c r="O3958" t="s">
        <v>46570</v>
      </c>
      <c r="P3958">
        <v>0</v>
      </c>
      <c r="Q3958">
        <v>0</v>
      </c>
      <c r="R3958" t="s">
        <v>46572</v>
      </c>
      <c r="S3958" t="s">
        <v>46689</v>
      </c>
      <c r="T3958" t="s">
        <v>48492</v>
      </c>
      <c r="U3958" t="s">
        <v>52048</v>
      </c>
      <c r="V3958" t="s">
        <v>62017</v>
      </c>
      <c r="W3958" t="s">
        <v>44120</v>
      </c>
      <c r="X3958" t="s">
        <v>46573</v>
      </c>
    </row>
    <row r="3959" spans="1:24">
      <c r="A3959">
        <f>HYPERLINK("https://www.philgeps.gov.ph/GEPSNONPILOT/Tender/SplashBidNoticeAbstractUI.aspx?menuIndex=3&amp;refID=7063665&amp;Result=3","7063665")</f>
        <v>0</v>
      </c>
      <c r="B3959" t="s">
        <v>527</v>
      </c>
      <c r="C3959" t="s">
        <v>7335</v>
      </c>
      <c r="D3959" t="s">
        <v>18784</v>
      </c>
      <c r="E3959" t="s">
        <v>22463</v>
      </c>
      <c r="F3959" t="s">
        <v>32664</v>
      </c>
      <c r="G3959" t="s">
        <v>32671</v>
      </c>
      <c r="H3959" t="s">
        <v>12635</v>
      </c>
      <c r="I3959" t="s">
        <v>6223</v>
      </c>
      <c r="J3959" t="s">
        <v>35421</v>
      </c>
      <c r="K3959" t="s">
        <v>42284</v>
      </c>
      <c r="M3959" t="s">
        <v>43496</v>
      </c>
      <c r="N3959" t="s">
        <v>46569</v>
      </c>
      <c r="O3959" t="s">
        <v>46570</v>
      </c>
      <c r="P3959">
        <v>0</v>
      </c>
      <c r="Q3959">
        <v>0</v>
      </c>
      <c r="R3959" t="s">
        <v>46572</v>
      </c>
      <c r="S3959" t="s">
        <v>46689</v>
      </c>
      <c r="T3959" t="s">
        <v>48283</v>
      </c>
      <c r="U3959" t="s">
        <v>52049</v>
      </c>
      <c r="W3959" t="s">
        <v>43496</v>
      </c>
      <c r="X3959" t="s">
        <v>46573</v>
      </c>
    </row>
    <row r="3960" spans="1:24">
      <c r="A3960">
        <f>HYPERLINK("https://www.philgeps.gov.ph/GEPSNONPILOT/Tender/SplashBidNoticeAbstractUI.aspx?menuIndex=3&amp;refID=7063664&amp;Result=3","7063664")</f>
        <v>0</v>
      </c>
      <c r="B3960" t="s">
        <v>1380</v>
      </c>
      <c r="C3960" t="s">
        <v>7336</v>
      </c>
      <c r="D3960" t="s">
        <v>18809</v>
      </c>
      <c r="E3960" t="s">
        <v>22464</v>
      </c>
      <c r="F3960" t="s">
        <v>32664</v>
      </c>
      <c r="G3960" t="s">
        <v>32671</v>
      </c>
      <c r="H3960" t="s">
        <v>12635</v>
      </c>
      <c r="I3960" t="s">
        <v>9486</v>
      </c>
      <c r="J3960" t="s">
        <v>35422</v>
      </c>
      <c r="K3960" t="s">
        <v>42297</v>
      </c>
      <c r="L3960" t="s">
        <v>1380</v>
      </c>
      <c r="M3960" t="s">
        <v>44035</v>
      </c>
      <c r="N3960" t="s">
        <v>46569</v>
      </c>
      <c r="O3960" t="s">
        <v>46570</v>
      </c>
      <c r="P3960">
        <v>0</v>
      </c>
      <c r="Q3960">
        <v>1</v>
      </c>
      <c r="R3960" t="s">
        <v>46572</v>
      </c>
      <c r="S3960" t="s">
        <v>46689</v>
      </c>
      <c r="T3960" t="s">
        <v>48217</v>
      </c>
      <c r="U3960" t="s">
        <v>52050</v>
      </c>
      <c r="V3960" t="s">
        <v>62025</v>
      </c>
      <c r="W3960" t="s">
        <v>44035</v>
      </c>
      <c r="X3960" t="s">
        <v>46573</v>
      </c>
    </row>
    <row r="3961" spans="1:24">
      <c r="A3961">
        <f>HYPERLINK("https://www.philgeps.gov.ph/GEPSNONPILOT/Tender/SplashBidNoticeAbstractUI.aspx?menuIndex=3&amp;refID=7063662&amp;Result=3","7063662")</f>
        <v>0</v>
      </c>
      <c r="B3961" t="s">
        <v>1187</v>
      </c>
      <c r="C3961" t="s">
        <v>7337</v>
      </c>
      <c r="D3961" t="s">
        <v>18831</v>
      </c>
      <c r="E3961" t="s">
        <v>22465</v>
      </c>
      <c r="F3961" t="s">
        <v>32664</v>
      </c>
      <c r="G3961" t="s">
        <v>32672</v>
      </c>
      <c r="H3961" t="s">
        <v>12635</v>
      </c>
      <c r="I3961" t="s">
        <v>8797</v>
      </c>
      <c r="J3961" t="s">
        <v>35423</v>
      </c>
      <c r="K3961" t="s">
        <v>42283</v>
      </c>
      <c r="M3961" t="s">
        <v>43823</v>
      </c>
      <c r="N3961" t="s">
        <v>46569</v>
      </c>
      <c r="O3961" t="s">
        <v>46570</v>
      </c>
      <c r="P3961">
        <v>0</v>
      </c>
      <c r="Q3961">
        <v>10</v>
      </c>
      <c r="R3961" t="s">
        <v>46572</v>
      </c>
      <c r="S3961" t="s">
        <v>46689</v>
      </c>
      <c r="T3961" t="s">
        <v>48230</v>
      </c>
      <c r="U3961" t="s">
        <v>52051</v>
      </c>
      <c r="V3961" t="s">
        <v>61922</v>
      </c>
      <c r="W3961" t="s">
        <v>43823</v>
      </c>
      <c r="X3961" t="s">
        <v>46573</v>
      </c>
    </row>
    <row r="3962" spans="1:24">
      <c r="A3962">
        <f>HYPERLINK("https://www.philgeps.gov.ph/GEPSNONPILOT/Tender/SplashBidNoticeAbstractUI.aspx?menuIndex=3&amp;refID=7063659&amp;Result=3","7063659")</f>
        <v>0</v>
      </c>
      <c r="B3962" t="s">
        <v>1474</v>
      </c>
      <c r="C3962" t="s">
        <v>7338</v>
      </c>
      <c r="D3962" t="s">
        <v>18842</v>
      </c>
      <c r="E3962" t="s">
        <v>22466</v>
      </c>
      <c r="F3962" t="s">
        <v>32664</v>
      </c>
      <c r="G3962" t="s">
        <v>32671</v>
      </c>
      <c r="H3962" t="s">
        <v>12635</v>
      </c>
      <c r="I3962" t="s">
        <v>8730</v>
      </c>
      <c r="J3962" t="s">
        <v>35424</v>
      </c>
      <c r="K3962" t="s">
        <v>42306</v>
      </c>
      <c r="M3962" t="s">
        <v>44136</v>
      </c>
      <c r="N3962" t="s">
        <v>46569</v>
      </c>
      <c r="O3962" t="s">
        <v>46570</v>
      </c>
      <c r="P3962">
        <v>0</v>
      </c>
      <c r="Q3962">
        <v>7</v>
      </c>
      <c r="R3962" t="s">
        <v>46572</v>
      </c>
      <c r="S3962" t="s">
        <v>46689</v>
      </c>
      <c r="T3962" t="s">
        <v>48244</v>
      </c>
      <c r="U3962" t="s">
        <v>52052</v>
      </c>
      <c r="W3962" t="s">
        <v>44136</v>
      </c>
      <c r="X3962" t="s">
        <v>46573</v>
      </c>
    </row>
    <row r="3963" spans="1:24">
      <c r="A3963">
        <f>HYPERLINK("https://www.philgeps.gov.ph/GEPSNONPILOT/Tender/SplashBidNoticeAbstractUI.aspx?menuIndex=3&amp;refID=7063657&amp;Result=3","7063657")</f>
        <v>0</v>
      </c>
      <c r="B3963" t="s">
        <v>231</v>
      </c>
      <c r="C3963" t="s">
        <v>7339</v>
      </c>
      <c r="D3963" t="s">
        <v>18845</v>
      </c>
      <c r="E3963" t="s">
        <v>7339</v>
      </c>
      <c r="F3963" t="s">
        <v>32664</v>
      </c>
      <c r="G3963" t="s">
        <v>32674</v>
      </c>
      <c r="H3963" t="s">
        <v>12635</v>
      </c>
      <c r="I3963" t="s">
        <v>32685</v>
      </c>
      <c r="J3963" t="s">
        <v>33295</v>
      </c>
      <c r="K3963" t="s">
        <v>42281</v>
      </c>
      <c r="M3963" t="s">
        <v>44083</v>
      </c>
      <c r="N3963" t="s">
        <v>46569</v>
      </c>
      <c r="O3963" t="s">
        <v>46570</v>
      </c>
      <c r="P3963">
        <v>0</v>
      </c>
      <c r="Q3963">
        <v>0</v>
      </c>
      <c r="R3963" t="s">
        <v>46572</v>
      </c>
      <c r="S3963" t="s">
        <v>46689</v>
      </c>
      <c r="T3963" t="s">
        <v>48487</v>
      </c>
      <c r="U3963" t="s">
        <v>51943</v>
      </c>
      <c r="W3963" t="s">
        <v>44083</v>
      </c>
      <c r="X3963" t="s">
        <v>46573</v>
      </c>
    </row>
    <row r="3964" spans="1:24">
      <c r="A3964">
        <f>HYPERLINK("https://www.philgeps.gov.ph/GEPSNONPILOT/Tender/SplashBidNoticeAbstractUI.aspx?menuIndex=3&amp;refID=7063632&amp;Result=3","7063632")</f>
        <v>0</v>
      </c>
      <c r="B3964" t="s">
        <v>1133</v>
      </c>
      <c r="C3964" t="s">
        <v>7340</v>
      </c>
      <c r="D3964" t="s">
        <v>18858</v>
      </c>
      <c r="E3964" t="s">
        <v>22467</v>
      </c>
      <c r="F3964" t="s">
        <v>32664</v>
      </c>
      <c r="G3964" t="s">
        <v>32671</v>
      </c>
      <c r="H3964" t="s">
        <v>12635</v>
      </c>
      <c r="I3964" t="s">
        <v>32718</v>
      </c>
      <c r="J3964" t="s">
        <v>33893</v>
      </c>
      <c r="K3964" t="s">
        <v>42289</v>
      </c>
      <c r="M3964" t="s">
        <v>43762</v>
      </c>
      <c r="N3964" t="s">
        <v>46569</v>
      </c>
      <c r="O3964" t="s">
        <v>46570</v>
      </c>
      <c r="P3964">
        <v>0</v>
      </c>
      <c r="Q3964">
        <v>1</v>
      </c>
      <c r="R3964" t="s">
        <v>46572</v>
      </c>
      <c r="S3964" t="s">
        <v>46689</v>
      </c>
      <c r="T3964" t="s">
        <v>48293</v>
      </c>
      <c r="U3964" t="s">
        <v>52053</v>
      </c>
      <c r="W3964" t="s">
        <v>43762</v>
      </c>
      <c r="X3964" t="s">
        <v>46573</v>
      </c>
    </row>
    <row r="3965" spans="1:24">
      <c r="A3965">
        <f>HYPERLINK("https://www.philgeps.gov.ph/GEPSNONPILOT/Tender/SplashBidNoticeAbstractUI.aspx?menuIndex=3&amp;refID=7063656&amp;Result=3","7063656")</f>
        <v>0</v>
      </c>
      <c r="B3965" t="s">
        <v>1475</v>
      </c>
      <c r="C3965" t="s">
        <v>7341</v>
      </c>
      <c r="D3965" t="s">
        <v>18783</v>
      </c>
      <c r="E3965" t="s">
        <v>22468</v>
      </c>
      <c r="F3965" t="s">
        <v>32664</v>
      </c>
      <c r="G3965" t="s">
        <v>32671</v>
      </c>
      <c r="H3965" t="s">
        <v>12635</v>
      </c>
      <c r="I3965" t="s">
        <v>32706</v>
      </c>
      <c r="J3965" t="s">
        <v>34102</v>
      </c>
      <c r="K3965" t="s">
        <v>42281</v>
      </c>
      <c r="M3965" t="s">
        <v>44137</v>
      </c>
      <c r="N3965" t="s">
        <v>46569</v>
      </c>
      <c r="O3965" t="s">
        <v>46570</v>
      </c>
      <c r="P3965">
        <v>0</v>
      </c>
      <c r="Q3965">
        <v>0</v>
      </c>
      <c r="R3965" t="s">
        <v>46572</v>
      </c>
      <c r="S3965" t="s">
        <v>46689</v>
      </c>
      <c r="T3965" t="s">
        <v>48219</v>
      </c>
      <c r="U3965" t="s">
        <v>52054</v>
      </c>
      <c r="W3965" t="s">
        <v>44137</v>
      </c>
      <c r="X3965" t="s">
        <v>46573</v>
      </c>
    </row>
    <row r="3966" spans="1:24">
      <c r="A3966">
        <f>HYPERLINK("https://www.philgeps.gov.ph/GEPSNONPILOT/Tender/SplashBidNoticeAbstractUI.aspx?menuIndex=3&amp;refID=7063663&amp;Result=3","7063663")</f>
        <v>0</v>
      </c>
      <c r="B3966" t="s">
        <v>629</v>
      </c>
      <c r="C3966" t="s">
        <v>7342</v>
      </c>
      <c r="D3966" t="s">
        <v>18807</v>
      </c>
      <c r="E3966" t="s">
        <v>22469</v>
      </c>
      <c r="F3966" t="s">
        <v>32664</v>
      </c>
      <c r="G3966" t="s">
        <v>32674</v>
      </c>
      <c r="H3966" t="s">
        <v>12635</v>
      </c>
      <c r="I3966" t="s">
        <v>6118</v>
      </c>
      <c r="J3966" t="s">
        <v>35425</v>
      </c>
      <c r="K3966" t="s">
        <v>42283</v>
      </c>
      <c r="M3966" t="s">
        <v>43224</v>
      </c>
      <c r="N3966" t="s">
        <v>46569</v>
      </c>
      <c r="O3966" t="s">
        <v>46570</v>
      </c>
      <c r="P3966">
        <v>0</v>
      </c>
      <c r="Q3966">
        <v>0</v>
      </c>
      <c r="R3966" t="s">
        <v>46572</v>
      </c>
      <c r="S3966" t="s">
        <v>46689</v>
      </c>
      <c r="T3966" t="s">
        <v>48256</v>
      </c>
      <c r="U3966" t="s">
        <v>52055</v>
      </c>
      <c r="W3966" t="s">
        <v>43224</v>
      </c>
      <c r="X3966" t="s">
        <v>46573</v>
      </c>
    </row>
    <row r="3967" spans="1:24">
      <c r="A3967">
        <f>HYPERLINK("https://www.philgeps.gov.ph/GEPSNONPILOT/Tender/SplashBidNoticeAbstractUI.aspx?menuIndex=3&amp;refID=7063658&amp;Result=3","7063658")</f>
        <v>0</v>
      </c>
      <c r="B3967" t="s">
        <v>564</v>
      </c>
      <c r="C3967" t="s">
        <v>7343</v>
      </c>
      <c r="D3967" t="s">
        <v>18784</v>
      </c>
      <c r="E3967" t="s">
        <v>22470</v>
      </c>
      <c r="F3967" t="s">
        <v>32664</v>
      </c>
      <c r="G3967" t="s">
        <v>32671</v>
      </c>
      <c r="H3967" t="s">
        <v>12635</v>
      </c>
      <c r="I3967" t="s">
        <v>5589</v>
      </c>
      <c r="J3967" t="s">
        <v>34440</v>
      </c>
      <c r="K3967" t="s">
        <v>42281</v>
      </c>
      <c r="M3967" t="s">
        <v>44138</v>
      </c>
      <c r="N3967" t="s">
        <v>46569</v>
      </c>
      <c r="O3967" t="s">
        <v>46570</v>
      </c>
      <c r="P3967">
        <v>0</v>
      </c>
      <c r="Q3967">
        <v>10</v>
      </c>
      <c r="R3967" t="s">
        <v>46572</v>
      </c>
      <c r="S3967" t="s">
        <v>46689</v>
      </c>
      <c r="T3967" t="s">
        <v>48283</v>
      </c>
      <c r="U3967" t="s">
        <v>52056</v>
      </c>
      <c r="W3967" t="s">
        <v>63483</v>
      </c>
      <c r="X3967" t="s">
        <v>46573</v>
      </c>
    </row>
    <row r="3968" spans="1:24">
      <c r="A3968">
        <f>HYPERLINK("https://www.philgeps.gov.ph/GEPSNONPILOT/Tender/SplashBidNoticeAbstractUI.aspx?menuIndex=3&amp;refID=7063651&amp;Result=3","7063651")</f>
        <v>0</v>
      </c>
      <c r="B3968" t="s">
        <v>1088</v>
      </c>
      <c r="C3968" t="s">
        <v>7344</v>
      </c>
      <c r="D3968" t="s">
        <v>18804</v>
      </c>
      <c r="E3968" t="s">
        <v>22471</v>
      </c>
      <c r="F3968" t="s">
        <v>32664</v>
      </c>
      <c r="G3968" t="s">
        <v>32672</v>
      </c>
      <c r="H3968" t="s">
        <v>32683</v>
      </c>
      <c r="I3968" t="s">
        <v>10627</v>
      </c>
      <c r="J3968" t="s">
        <v>35426</v>
      </c>
      <c r="K3968" t="s">
        <v>42298</v>
      </c>
      <c r="M3968" t="s">
        <v>43714</v>
      </c>
      <c r="N3968" t="s">
        <v>46569</v>
      </c>
      <c r="O3968" t="s">
        <v>46570</v>
      </c>
      <c r="P3968">
        <v>0</v>
      </c>
      <c r="Q3968">
        <v>0</v>
      </c>
      <c r="R3968" t="s">
        <v>46572</v>
      </c>
      <c r="S3968" t="s">
        <v>46689</v>
      </c>
      <c r="T3968" t="s">
        <v>48275</v>
      </c>
      <c r="U3968" t="s">
        <v>52057</v>
      </c>
      <c r="V3968" t="s">
        <v>61896</v>
      </c>
      <c r="W3968" t="s">
        <v>43714</v>
      </c>
      <c r="X3968" t="s">
        <v>46573</v>
      </c>
    </row>
    <row r="3969" spans="1:24">
      <c r="A3969">
        <f>HYPERLINK("https://www.philgeps.gov.ph/GEPSNONPILOT/Tender/SplashBidNoticeAbstractUI.aspx?menuIndex=3&amp;refID=7063574&amp;Result=3","7063574")</f>
        <v>0</v>
      </c>
      <c r="B3969" t="s">
        <v>683</v>
      </c>
      <c r="C3969" t="s">
        <v>7345</v>
      </c>
      <c r="D3969" t="s">
        <v>18842</v>
      </c>
      <c r="E3969" t="s">
        <v>22472</v>
      </c>
      <c r="F3969" t="s">
        <v>32664</v>
      </c>
      <c r="G3969" t="s">
        <v>32674</v>
      </c>
      <c r="H3969" t="s">
        <v>12635</v>
      </c>
      <c r="I3969" t="s">
        <v>10361</v>
      </c>
      <c r="J3969" t="s">
        <v>33078</v>
      </c>
      <c r="K3969" t="s">
        <v>42283</v>
      </c>
      <c r="M3969" t="s">
        <v>43270</v>
      </c>
      <c r="N3969" t="s">
        <v>46569</v>
      </c>
      <c r="O3969" t="s">
        <v>46570</v>
      </c>
      <c r="P3969">
        <v>0</v>
      </c>
      <c r="Q3969">
        <v>0</v>
      </c>
      <c r="R3969" t="s">
        <v>46572</v>
      </c>
      <c r="S3969" t="s">
        <v>46689</v>
      </c>
      <c r="T3969" t="s">
        <v>48256</v>
      </c>
      <c r="U3969" t="s">
        <v>50070</v>
      </c>
      <c r="W3969" t="s">
        <v>43270</v>
      </c>
      <c r="X3969" t="s">
        <v>46573</v>
      </c>
    </row>
    <row r="3970" spans="1:24">
      <c r="A3970">
        <f>HYPERLINK("https://www.philgeps.gov.ph/GEPSNONPILOT/Tender/SplashBidNoticeAbstractUI.aspx?menuIndex=3&amp;refID=7063654&amp;Result=3","7063654")</f>
        <v>0</v>
      </c>
      <c r="B3970" t="s">
        <v>344</v>
      </c>
      <c r="C3970" t="s">
        <v>7346</v>
      </c>
      <c r="D3970" t="s">
        <v>18787</v>
      </c>
      <c r="E3970" t="s">
        <v>19461</v>
      </c>
      <c r="F3970" t="s">
        <v>32664</v>
      </c>
      <c r="G3970" t="s">
        <v>32671</v>
      </c>
      <c r="H3970" t="s">
        <v>12635</v>
      </c>
      <c r="I3970" t="s">
        <v>6628</v>
      </c>
      <c r="J3970" t="s">
        <v>33126</v>
      </c>
      <c r="K3970" t="s">
        <v>42295</v>
      </c>
      <c r="M3970" t="s">
        <v>42913</v>
      </c>
      <c r="N3970" t="s">
        <v>46569</v>
      </c>
      <c r="O3970" t="s">
        <v>46570</v>
      </c>
      <c r="P3970">
        <v>0</v>
      </c>
      <c r="Q3970">
        <v>1</v>
      </c>
      <c r="R3970" t="s">
        <v>46572</v>
      </c>
      <c r="S3970" t="s">
        <v>46689</v>
      </c>
      <c r="T3970" t="s">
        <v>48459</v>
      </c>
      <c r="U3970" t="s">
        <v>52058</v>
      </c>
      <c r="W3970" t="s">
        <v>42913</v>
      </c>
      <c r="X3970" t="s">
        <v>46573</v>
      </c>
    </row>
    <row r="3971" spans="1:24">
      <c r="A3971">
        <f>HYPERLINK("https://www.philgeps.gov.ph/GEPSNONPILOT/Tender/SplashBidNoticeAbstractUI.aspx?menuIndex=3&amp;refID=7063649&amp;Result=3","7063649")</f>
        <v>0</v>
      </c>
      <c r="B3971" t="s">
        <v>1476</v>
      </c>
      <c r="C3971" t="s">
        <v>7347</v>
      </c>
      <c r="D3971" t="s">
        <v>18833</v>
      </c>
      <c r="E3971" t="s">
        <v>22473</v>
      </c>
      <c r="F3971" t="s">
        <v>32664</v>
      </c>
      <c r="G3971" t="s">
        <v>32675</v>
      </c>
      <c r="H3971" t="s">
        <v>12635</v>
      </c>
      <c r="I3971" t="s">
        <v>6168</v>
      </c>
      <c r="J3971" t="s">
        <v>35427</v>
      </c>
      <c r="K3971" t="s">
        <v>42295</v>
      </c>
      <c r="M3971" t="s">
        <v>44139</v>
      </c>
      <c r="N3971" t="s">
        <v>46569</v>
      </c>
      <c r="O3971" t="s">
        <v>46570</v>
      </c>
      <c r="P3971">
        <v>0</v>
      </c>
      <c r="Q3971">
        <v>1</v>
      </c>
      <c r="R3971" t="s">
        <v>46572</v>
      </c>
      <c r="S3971" t="s">
        <v>46689</v>
      </c>
      <c r="T3971" t="s">
        <v>48217</v>
      </c>
      <c r="U3971" t="s">
        <v>52059</v>
      </c>
      <c r="W3971" t="s">
        <v>44139</v>
      </c>
      <c r="X3971" t="s">
        <v>46573</v>
      </c>
    </row>
    <row r="3972" spans="1:24">
      <c r="A3972">
        <f>HYPERLINK("https://www.philgeps.gov.ph/GEPSNONPILOT/Tender/SplashBidNoticeAbstractUI.aspx?menuIndex=3&amp;refID=7063650&amp;Result=3","7063650")</f>
        <v>0</v>
      </c>
      <c r="B3972" t="s">
        <v>1471</v>
      </c>
      <c r="C3972" t="s">
        <v>7348</v>
      </c>
      <c r="D3972" t="s">
        <v>18827</v>
      </c>
      <c r="E3972" t="s">
        <v>22474</v>
      </c>
      <c r="F3972" t="s">
        <v>32664</v>
      </c>
      <c r="G3972" t="s">
        <v>32675</v>
      </c>
      <c r="H3972" t="s">
        <v>12635</v>
      </c>
      <c r="I3972" t="s">
        <v>8730</v>
      </c>
      <c r="J3972" t="s">
        <v>35238</v>
      </c>
      <c r="K3972" t="s">
        <v>42306</v>
      </c>
      <c r="M3972" t="s">
        <v>44133</v>
      </c>
      <c r="N3972" t="s">
        <v>46569</v>
      </c>
      <c r="O3972" t="s">
        <v>46570</v>
      </c>
      <c r="P3972">
        <v>0</v>
      </c>
      <c r="Q3972">
        <v>0</v>
      </c>
      <c r="R3972" t="s">
        <v>46572</v>
      </c>
      <c r="S3972" t="s">
        <v>46689</v>
      </c>
      <c r="T3972" t="s">
        <v>48219</v>
      </c>
      <c r="U3972" t="s">
        <v>52043</v>
      </c>
      <c r="W3972" t="s">
        <v>44133</v>
      </c>
      <c r="X3972" t="s">
        <v>46573</v>
      </c>
    </row>
    <row r="3973" spans="1:24">
      <c r="A3973">
        <f>HYPERLINK("https://www.philgeps.gov.ph/GEPSNONPILOT/Tender/SplashBidNoticeAbstractUI.aspx?menuIndex=3&amp;refID=7063648&amp;Result=3","7063648")</f>
        <v>0</v>
      </c>
      <c r="B3973" t="s">
        <v>1094</v>
      </c>
      <c r="C3973" t="s">
        <v>7349</v>
      </c>
      <c r="D3973" t="s">
        <v>18822</v>
      </c>
      <c r="E3973" t="s">
        <v>22475</v>
      </c>
      <c r="F3973" t="s">
        <v>32664</v>
      </c>
      <c r="G3973" t="s">
        <v>32672</v>
      </c>
      <c r="H3973" t="s">
        <v>12635</v>
      </c>
      <c r="I3973" t="s">
        <v>32699</v>
      </c>
      <c r="J3973" t="s">
        <v>34776</v>
      </c>
      <c r="K3973" t="s">
        <v>42284</v>
      </c>
      <c r="M3973" t="s">
        <v>43722</v>
      </c>
      <c r="N3973" t="s">
        <v>46569</v>
      </c>
      <c r="O3973" t="s">
        <v>46570</v>
      </c>
      <c r="P3973">
        <v>0</v>
      </c>
      <c r="Q3973">
        <v>1</v>
      </c>
      <c r="R3973" t="s">
        <v>46572</v>
      </c>
      <c r="S3973" t="s">
        <v>46689</v>
      </c>
      <c r="T3973" t="s">
        <v>48312</v>
      </c>
      <c r="U3973" t="s">
        <v>52060</v>
      </c>
      <c r="W3973" t="s">
        <v>43722</v>
      </c>
      <c r="X3973" t="s">
        <v>46573</v>
      </c>
    </row>
    <row r="3974" spans="1:24">
      <c r="A3974">
        <f>HYPERLINK("https://www.philgeps.gov.ph/GEPSNONPILOT/Tender/SplashBidNoticeAbstractUI.aspx?menuIndex=3&amp;refID=7063623&amp;Result=3","7063623")</f>
        <v>0</v>
      </c>
      <c r="B3974" t="s">
        <v>231</v>
      </c>
      <c r="C3974" t="s">
        <v>7350</v>
      </c>
      <c r="D3974" t="s">
        <v>18845</v>
      </c>
      <c r="E3974" t="s">
        <v>7350</v>
      </c>
      <c r="F3974" t="s">
        <v>32664</v>
      </c>
      <c r="G3974" t="s">
        <v>32674</v>
      </c>
      <c r="H3974" t="s">
        <v>12635</v>
      </c>
      <c r="I3974" t="s">
        <v>32754</v>
      </c>
      <c r="J3974" t="s">
        <v>35428</v>
      </c>
      <c r="K3974" t="s">
        <v>42281</v>
      </c>
      <c r="M3974" t="s">
        <v>44083</v>
      </c>
      <c r="N3974" t="s">
        <v>46569</v>
      </c>
      <c r="O3974" t="s">
        <v>46570</v>
      </c>
      <c r="P3974">
        <v>0</v>
      </c>
      <c r="Q3974">
        <v>1</v>
      </c>
      <c r="R3974" t="s">
        <v>46572</v>
      </c>
      <c r="S3974" t="s">
        <v>46689</v>
      </c>
      <c r="T3974" t="s">
        <v>48487</v>
      </c>
      <c r="U3974" t="s">
        <v>52061</v>
      </c>
      <c r="W3974" t="s">
        <v>44083</v>
      </c>
      <c r="X3974" t="s">
        <v>46573</v>
      </c>
    </row>
    <row r="3975" spans="1:24">
      <c r="A3975">
        <f>HYPERLINK("https://www.philgeps.gov.ph/GEPSNONPILOT/Tender/SplashBidNoticeAbstractUI.aspx?menuIndex=3&amp;refID=7063620&amp;Result=3","7063620")</f>
        <v>0</v>
      </c>
      <c r="B3975" t="s">
        <v>1477</v>
      </c>
      <c r="C3975" t="s">
        <v>7351</v>
      </c>
      <c r="D3975" t="s">
        <v>18810</v>
      </c>
      <c r="E3975" t="s">
        <v>22476</v>
      </c>
      <c r="F3975" t="s">
        <v>32664</v>
      </c>
      <c r="G3975" t="s">
        <v>32675</v>
      </c>
      <c r="H3975" t="s">
        <v>12635</v>
      </c>
      <c r="I3975" t="s">
        <v>6628</v>
      </c>
      <c r="J3975" t="s">
        <v>33051</v>
      </c>
      <c r="K3975" t="s">
        <v>42298</v>
      </c>
      <c r="M3975" t="s">
        <v>44140</v>
      </c>
      <c r="N3975" t="s">
        <v>46569</v>
      </c>
      <c r="O3975" t="s">
        <v>46570</v>
      </c>
      <c r="P3975">
        <v>0</v>
      </c>
      <c r="Q3975">
        <v>1</v>
      </c>
      <c r="R3975" t="s">
        <v>46572</v>
      </c>
      <c r="S3975" t="s">
        <v>46689</v>
      </c>
      <c r="T3975" t="s">
        <v>48225</v>
      </c>
      <c r="U3975" t="s">
        <v>52062</v>
      </c>
      <c r="V3975" t="s">
        <v>62026</v>
      </c>
      <c r="W3975" t="s">
        <v>44140</v>
      </c>
      <c r="X3975" t="s">
        <v>46573</v>
      </c>
    </row>
    <row r="3976" spans="1:24">
      <c r="A3976">
        <f>HYPERLINK("https://www.philgeps.gov.ph/GEPSNONPILOT/Tender/SplashBidNoticeAbstractUI.aspx?menuIndex=3&amp;refID=7063653&amp;Result=3","7063653")</f>
        <v>0</v>
      </c>
      <c r="B3976" t="s">
        <v>1458</v>
      </c>
      <c r="C3976" t="s">
        <v>7352</v>
      </c>
      <c r="D3976" t="s">
        <v>18848</v>
      </c>
      <c r="E3976" t="s">
        <v>22477</v>
      </c>
      <c r="F3976" t="s">
        <v>32664</v>
      </c>
      <c r="G3976" t="s">
        <v>32672</v>
      </c>
      <c r="H3976" t="s">
        <v>32683</v>
      </c>
      <c r="I3976" t="s">
        <v>10627</v>
      </c>
      <c r="J3976" t="s">
        <v>35429</v>
      </c>
      <c r="K3976" t="s">
        <v>42298</v>
      </c>
      <c r="M3976" t="s">
        <v>44119</v>
      </c>
      <c r="N3976" t="s">
        <v>46569</v>
      </c>
      <c r="O3976" t="s">
        <v>46570</v>
      </c>
      <c r="P3976">
        <v>0</v>
      </c>
      <c r="Q3976">
        <v>0</v>
      </c>
      <c r="R3976" t="s">
        <v>46572</v>
      </c>
      <c r="S3976" t="s">
        <v>46689</v>
      </c>
      <c r="T3976" t="s">
        <v>48312</v>
      </c>
      <c r="U3976" t="s">
        <v>52063</v>
      </c>
      <c r="V3976" t="s">
        <v>61668</v>
      </c>
      <c r="W3976" t="s">
        <v>44119</v>
      </c>
      <c r="X3976" t="s">
        <v>46573</v>
      </c>
    </row>
    <row r="3977" spans="1:24">
      <c r="A3977">
        <f>HYPERLINK("https://www.philgeps.gov.ph/GEPSNONPILOT/Tender/SplashBidNoticeAbstractUI.aspx?menuIndex=3&amp;refID=7063646&amp;Result=3","7063646")</f>
        <v>0</v>
      </c>
      <c r="B3977" t="s">
        <v>344</v>
      </c>
      <c r="C3977" t="s">
        <v>7353</v>
      </c>
      <c r="D3977" t="s">
        <v>18787</v>
      </c>
      <c r="E3977" t="s">
        <v>19461</v>
      </c>
      <c r="F3977" t="s">
        <v>32664</v>
      </c>
      <c r="G3977" t="s">
        <v>32671</v>
      </c>
      <c r="H3977" t="s">
        <v>12635</v>
      </c>
      <c r="I3977" t="s">
        <v>6628</v>
      </c>
      <c r="J3977" t="s">
        <v>33311</v>
      </c>
      <c r="K3977" t="s">
        <v>42295</v>
      </c>
      <c r="M3977" t="s">
        <v>42913</v>
      </c>
      <c r="N3977" t="s">
        <v>46569</v>
      </c>
      <c r="O3977" t="s">
        <v>46570</v>
      </c>
      <c r="P3977">
        <v>0</v>
      </c>
      <c r="Q3977">
        <v>1</v>
      </c>
      <c r="R3977" t="s">
        <v>46572</v>
      </c>
      <c r="S3977" t="s">
        <v>46689</v>
      </c>
      <c r="T3977" t="s">
        <v>48276</v>
      </c>
      <c r="U3977" t="s">
        <v>52064</v>
      </c>
      <c r="W3977" t="s">
        <v>42913</v>
      </c>
      <c r="X3977" t="s">
        <v>46573</v>
      </c>
    </row>
    <row r="3978" spans="1:24">
      <c r="A3978">
        <f>HYPERLINK("https://www.philgeps.gov.ph/GEPSNONPILOT/Tender/SplashBidNoticeAbstractUI.aspx?menuIndex=3&amp;refID=7063667&amp;Result=3","7063667")</f>
        <v>0</v>
      </c>
      <c r="B3978" t="s">
        <v>1478</v>
      </c>
      <c r="C3978" t="s">
        <v>7354</v>
      </c>
      <c r="D3978" t="s">
        <v>18853</v>
      </c>
      <c r="E3978" t="s">
        <v>22478</v>
      </c>
      <c r="F3978" t="s">
        <v>32664</v>
      </c>
      <c r="G3978" t="s">
        <v>32672</v>
      </c>
      <c r="H3978" t="s">
        <v>32683</v>
      </c>
      <c r="I3978" t="s">
        <v>10627</v>
      </c>
      <c r="J3978" t="s">
        <v>35430</v>
      </c>
      <c r="K3978" t="s">
        <v>42316</v>
      </c>
      <c r="M3978" t="s">
        <v>44141</v>
      </c>
      <c r="N3978" t="s">
        <v>46569</v>
      </c>
      <c r="O3978" t="s">
        <v>46570</v>
      </c>
      <c r="P3978">
        <v>0</v>
      </c>
      <c r="Q3978">
        <v>0</v>
      </c>
      <c r="R3978" t="s">
        <v>46572</v>
      </c>
      <c r="S3978" t="s">
        <v>46689</v>
      </c>
      <c r="T3978" t="s">
        <v>48270</v>
      </c>
      <c r="U3978" t="s">
        <v>52065</v>
      </c>
      <c r="W3978" t="s">
        <v>44141</v>
      </c>
      <c r="X3978" t="s">
        <v>46573</v>
      </c>
    </row>
    <row r="3979" spans="1:24">
      <c r="A3979">
        <f>HYPERLINK("https://www.philgeps.gov.ph/GEPSNONPILOT/Tender/SplashBidNoticeAbstractUI.aspx?menuIndex=3&amp;refID=7063572&amp;Result=3","7063572")</f>
        <v>0</v>
      </c>
      <c r="B3979" t="s">
        <v>1088</v>
      </c>
      <c r="C3979" t="s">
        <v>7355</v>
      </c>
      <c r="D3979" t="s">
        <v>18804</v>
      </c>
      <c r="E3979" t="s">
        <v>22479</v>
      </c>
      <c r="F3979" t="s">
        <v>32664</v>
      </c>
      <c r="G3979" t="s">
        <v>32672</v>
      </c>
      <c r="H3979" t="s">
        <v>32683</v>
      </c>
      <c r="I3979" t="s">
        <v>10627</v>
      </c>
      <c r="J3979" t="s">
        <v>35431</v>
      </c>
      <c r="K3979" t="s">
        <v>42311</v>
      </c>
      <c r="M3979" t="s">
        <v>43714</v>
      </c>
      <c r="N3979" t="s">
        <v>46569</v>
      </c>
      <c r="O3979" t="s">
        <v>46570</v>
      </c>
      <c r="P3979">
        <v>0</v>
      </c>
      <c r="Q3979">
        <v>0</v>
      </c>
      <c r="R3979" t="s">
        <v>46572</v>
      </c>
      <c r="S3979" t="s">
        <v>46689</v>
      </c>
      <c r="T3979" t="s">
        <v>48275</v>
      </c>
      <c r="U3979" t="s">
        <v>51999</v>
      </c>
      <c r="V3979" t="s">
        <v>61896</v>
      </c>
      <c r="W3979" t="s">
        <v>43714</v>
      </c>
      <c r="X3979" t="s">
        <v>46573</v>
      </c>
    </row>
    <row r="3980" spans="1:24">
      <c r="A3980">
        <f>HYPERLINK("https://www.philgeps.gov.ph/GEPSNONPILOT/Tender/SplashBidNoticeAbstractUI.aspx?menuIndex=3&amp;refID=7063652&amp;Result=3","7063652")</f>
        <v>0</v>
      </c>
      <c r="B3980" t="s">
        <v>307</v>
      </c>
      <c r="C3980" t="s">
        <v>7356</v>
      </c>
      <c r="D3980" t="s">
        <v>18789</v>
      </c>
      <c r="E3980" t="s">
        <v>22480</v>
      </c>
      <c r="F3980" t="s">
        <v>32664</v>
      </c>
      <c r="G3980" t="s">
        <v>32672</v>
      </c>
      <c r="H3980" t="s">
        <v>12635</v>
      </c>
      <c r="I3980" t="s">
        <v>32699</v>
      </c>
      <c r="J3980" t="s">
        <v>32974</v>
      </c>
      <c r="K3980" t="s">
        <v>42289</v>
      </c>
      <c r="M3980" t="s">
        <v>42874</v>
      </c>
      <c r="N3980" t="s">
        <v>46569</v>
      </c>
      <c r="O3980" t="s">
        <v>46570</v>
      </c>
      <c r="P3980">
        <v>0</v>
      </c>
      <c r="Q3980">
        <v>1</v>
      </c>
      <c r="R3980" t="s">
        <v>46572</v>
      </c>
      <c r="S3980" t="s">
        <v>46689</v>
      </c>
      <c r="T3980" t="s">
        <v>48225</v>
      </c>
      <c r="U3980" t="s">
        <v>52066</v>
      </c>
      <c r="V3980" t="s">
        <v>62027</v>
      </c>
      <c r="W3980" t="s">
        <v>42874</v>
      </c>
      <c r="X3980" t="s">
        <v>46573</v>
      </c>
    </row>
    <row r="3981" spans="1:24">
      <c r="A3981">
        <f>HYPERLINK("https://www.philgeps.gov.ph/GEPSNONPILOT/Tender/SplashBidNoticeAbstractUI.aspx?menuIndex=3&amp;refID=7063567&amp;Result=3","7063567")</f>
        <v>0</v>
      </c>
      <c r="B3981" t="s">
        <v>107</v>
      </c>
      <c r="C3981" t="s">
        <v>7357</v>
      </c>
      <c r="D3981" t="s">
        <v>18804</v>
      </c>
      <c r="E3981" t="s">
        <v>22481</v>
      </c>
      <c r="F3981" t="s">
        <v>32664</v>
      </c>
      <c r="G3981" t="s">
        <v>32672</v>
      </c>
      <c r="H3981" t="s">
        <v>32683</v>
      </c>
      <c r="I3981" t="s">
        <v>10627</v>
      </c>
      <c r="J3981" t="s">
        <v>35432</v>
      </c>
      <c r="K3981" t="s">
        <v>42311</v>
      </c>
      <c r="M3981" t="s">
        <v>42671</v>
      </c>
      <c r="N3981" t="s">
        <v>46569</v>
      </c>
      <c r="O3981" t="s">
        <v>46570</v>
      </c>
      <c r="P3981">
        <v>0</v>
      </c>
      <c r="Q3981">
        <v>1</v>
      </c>
      <c r="R3981" t="s">
        <v>46572</v>
      </c>
      <c r="S3981" t="s">
        <v>46689</v>
      </c>
      <c r="T3981" t="s">
        <v>48273</v>
      </c>
      <c r="U3981" t="s">
        <v>48995</v>
      </c>
      <c r="W3981" t="s">
        <v>42671</v>
      </c>
      <c r="X3981" t="s">
        <v>46573</v>
      </c>
    </row>
    <row r="3982" spans="1:24">
      <c r="A3982">
        <f>HYPERLINK("https://www.philgeps.gov.ph/GEPSNONPILOT/Tender/SplashBidNoticeAbstractUI.aspx?menuIndex=3&amp;refID=7063619&amp;Result=3","7063619")</f>
        <v>0</v>
      </c>
      <c r="B3982" t="s">
        <v>301</v>
      </c>
      <c r="C3982" t="s">
        <v>4111</v>
      </c>
      <c r="D3982" t="s">
        <v>18830</v>
      </c>
      <c r="E3982" t="s">
        <v>22482</v>
      </c>
      <c r="F3982" t="s">
        <v>32664</v>
      </c>
      <c r="G3982" t="s">
        <v>32671</v>
      </c>
      <c r="H3982" t="s">
        <v>12635</v>
      </c>
      <c r="I3982" t="s">
        <v>4439</v>
      </c>
      <c r="J3982" t="s">
        <v>35433</v>
      </c>
      <c r="K3982" t="s">
        <v>42284</v>
      </c>
      <c r="M3982" t="s">
        <v>42868</v>
      </c>
      <c r="N3982" t="s">
        <v>46569</v>
      </c>
      <c r="O3982" t="s">
        <v>46570</v>
      </c>
      <c r="P3982">
        <v>0</v>
      </c>
      <c r="Q3982">
        <v>0</v>
      </c>
      <c r="R3982" t="s">
        <v>46572</v>
      </c>
      <c r="S3982" t="s">
        <v>46689</v>
      </c>
      <c r="T3982" t="s">
        <v>48221</v>
      </c>
      <c r="U3982" t="s">
        <v>52067</v>
      </c>
      <c r="W3982" t="s">
        <v>42868</v>
      </c>
      <c r="X3982" t="s">
        <v>46573</v>
      </c>
    </row>
    <row r="3983" spans="1:24">
      <c r="A3983">
        <f>HYPERLINK("https://www.philgeps.gov.ph/GEPSNONPILOT/Tender/SplashBidNoticeAbstractUI.aspx?menuIndex=3&amp;refID=7063688&amp;Result=3","7063688")</f>
        <v>0</v>
      </c>
      <c r="B3983" t="s">
        <v>380</v>
      </c>
      <c r="C3983" t="s">
        <v>7358</v>
      </c>
      <c r="D3983" t="s">
        <v>18809</v>
      </c>
      <c r="E3983" t="s">
        <v>22483</v>
      </c>
      <c r="F3983" t="s">
        <v>32664</v>
      </c>
      <c r="G3983" t="s">
        <v>32671</v>
      </c>
      <c r="H3983" t="s">
        <v>12635</v>
      </c>
      <c r="I3983" t="s">
        <v>10590</v>
      </c>
      <c r="J3983" t="s">
        <v>33051</v>
      </c>
      <c r="K3983" t="s">
        <v>42283</v>
      </c>
      <c r="M3983" t="s">
        <v>42950</v>
      </c>
      <c r="N3983" t="s">
        <v>46569</v>
      </c>
      <c r="O3983" t="s">
        <v>46570</v>
      </c>
      <c r="P3983">
        <v>0</v>
      </c>
      <c r="Q3983">
        <v>0</v>
      </c>
      <c r="R3983" t="s">
        <v>46572</v>
      </c>
      <c r="S3983" t="s">
        <v>46689</v>
      </c>
      <c r="T3983" t="s">
        <v>48301</v>
      </c>
      <c r="U3983" t="s">
        <v>52068</v>
      </c>
      <c r="W3983" t="s">
        <v>42950</v>
      </c>
      <c r="X3983" t="s">
        <v>46573</v>
      </c>
    </row>
    <row r="3984" spans="1:24">
      <c r="A3984">
        <f>HYPERLINK("https://www.philgeps.gov.ph/GEPSNONPILOT/Tender/SplashBidNoticeAbstractUI.aspx?menuIndex=3&amp;refID=7063691&amp;Result=3","7063691")</f>
        <v>0</v>
      </c>
      <c r="B3984" t="s">
        <v>1459</v>
      </c>
      <c r="C3984" t="s">
        <v>7359</v>
      </c>
      <c r="D3984" t="s">
        <v>18784</v>
      </c>
      <c r="E3984" t="s">
        <v>22484</v>
      </c>
      <c r="F3984" t="s">
        <v>32664</v>
      </c>
      <c r="G3984" t="s">
        <v>32674</v>
      </c>
      <c r="H3984" t="s">
        <v>12635</v>
      </c>
      <c r="I3984" t="s">
        <v>4439</v>
      </c>
      <c r="J3984" t="s">
        <v>35434</v>
      </c>
      <c r="K3984" t="s">
        <v>42289</v>
      </c>
      <c r="M3984" t="s">
        <v>44120</v>
      </c>
      <c r="N3984" t="s">
        <v>46569</v>
      </c>
      <c r="O3984" t="s">
        <v>46570</v>
      </c>
      <c r="P3984">
        <v>0</v>
      </c>
      <c r="Q3984">
        <v>0</v>
      </c>
      <c r="R3984" t="s">
        <v>46572</v>
      </c>
      <c r="S3984" t="s">
        <v>46689</v>
      </c>
      <c r="T3984" t="s">
        <v>48492</v>
      </c>
      <c r="U3984" t="s">
        <v>52069</v>
      </c>
      <c r="V3984" t="s">
        <v>62017</v>
      </c>
      <c r="W3984" t="s">
        <v>44120</v>
      </c>
      <c r="X3984" t="s">
        <v>46573</v>
      </c>
    </row>
    <row r="3985" spans="1:24">
      <c r="A3985">
        <f>HYPERLINK("https://www.philgeps.gov.ph/GEPSNONPILOT/Tender/SplashBidNoticeAbstractUI.aspx?menuIndex=3&amp;refID=7063647&amp;Result=3","7063647")</f>
        <v>0</v>
      </c>
      <c r="B3985" t="s">
        <v>1479</v>
      </c>
      <c r="C3985" t="s">
        <v>7360</v>
      </c>
      <c r="D3985" t="s">
        <v>18788</v>
      </c>
      <c r="E3985" t="s">
        <v>22485</v>
      </c>
      <c r="F3985" t="s">
        <v>32664</v>
      </c>
      <c r="G3985" t="s">
        <v>32672</v>
      </c>
      <c r="H3985" t="s">
        <v>12635</v>
      </c>
      <c r="I3985" t="s">
        <v>32717</v>
      </c>
      <c r="J3985" t="s">
        <v>33150</v>
      </c>
      <c r="K3985" t="s">
        <v>42305</v>
      </c>
      <c r="M3985" t="s">
        <v>44142</v>
      </c>
      <c r="N3985" t="s">
        <v>46569</v>
      </c>
      <c r="O3985" t="s">
        <v>46570</v>
      </c>
      <c r="P3985">
        <v>0</v>
      </c>
      <c r="Q3985">
        <v>6</v>
      </c>
      <c r="R3985" t="s">
        <v>46572</v>
      </c>
      <c r="S3985" t="s">
        <v>46689</v>
      </c>
      <c r="T3985" t="s">
        <v>48257</v>
      </c>
      <c r="U3985" t="s">
        <v>52070</v>
      </c>
      <c r="W3985" t="s">
        <v>44142</v>
      </c>
      <c r="X3985" t="s">
        <v>46573</v>
      </c>
    </row>
    <row r="3986" spans="1:24">
      <c r="A3986">
        <f>HYPERLINK("https://www.philgeps.gov.ph/GEPSNONPILOT/Tender/SplashBidNoticeAbstractUI.aspx?menuIndex=3&amp;refID=7063690&amp;Result=3","7063690")</f>
        <v>0</v>
      </c>
      <c r="B3986" t="s">
        <v>1480</v>
      </c>
      <c r="C3986" t="s">
        <v>7361</v>
      </c>
      <c r="D3986" t="s">
        <v>18851</v>
      </c>
      <c r="E3986" t="s">
        <v>22486</v>
      </c>
      <c r="F3986" t="s">
        <v>32664</v>
      </c>
      <c r="G3986" t="s">
        <v>32671</v>
      </c>
      <c r="H3986" t="s">
        <v>12635</v>
      </c>
      <c r="I3986" t="s">
        <v>4439</v>
      </c>
      <c r="J3986" t="s">
        <v>35435</v>
      </c>
      <c r="K3986" t="s">
        <v>42297</v>
      </c>
      <c r="M3986" t="s">
        <v>44143</v>
      </c>
      <c r="N3986" t="s">
        <v>46569</v>
      </c>
      <c r="O3986" t="s">
        <v>46570</v>
      </c>
      <c r="P3986">
        <v>0</v>
      </c>
      <c r="Q3986">
        <v>1</v>
      </c>
      <c r="R3986" t="s">
        <v>46572</v>
      </c>
      <c r="S3986" t="s">
        <v>46689</v>
      </c>
      <c r="T3986" t="s">
        <v>48496</v>
      </c>
      <c r="U3986" t="s">
        <v>52071</v>
      </c>
      <c r="W3986" t="s">
        <v>44143</v>
      </c>
      <c r="X3986" t="s">
        <v>46573</v>
      </c>
    </row>
    <row r="3987" spans="1:24">
      <c r="A3987">
        <f>HYPERLINK("https://www.philgeps.gov.ph/GEPSNONPILOT/Tender/SplashBidNoticeAbstractUI.aspx?menuIndex=3&amp;refID=7063570&amp;Result=3","7063570")</f>
        <v>0</v>
      </c>
      <c r="B3987" t="s">
        <v>1288</v>
      </c>
      <c r="C3987" t="s">
        <v>7362</v>
      </c>
      <c r="D3987" t="s">
        <v>18824</v>
      </c>
      <c r="E3987" t="s">
        <v>21413</v>
      </c>
      <c r="F3987" t="s">
        <v>32664</v>
      </c>
      <c r="G3987" t="s">
        <v>32672</v>
      </c>
      <c r="H3987" t="s">
        <v>32683</v>
      </c>
      <c r="I3987" t="s">
        <v>10627</v>
      </c>
      <c r="J3987" t="s">
        <v>35436</v>
      </c>
      <c r="K3987" t="s">
        <v>42311</v>
      </c>
      <c r="M3987" t="s">
        <v>43931</v>
      </c>
      <c r="N3987" t="s">
        <v>46569</v>
      </c>
      <c r="O3987" t="s">
        <v>46570</v>
      </c>
      <c r="P3987">
        <v>0</v>
      </c>
      <c r="Q3987">
        <v>0</v>
      </c>
      <c r="R3987" t="s">
        <v>46572</v>
      </c>
      <c r="S3987" t="s">
        <v>46689</v>
      </c>
      <c r="T3987" t="s">
        <v>48497</v>
      </c>
      <c r="U3987" t="s">
        <v>52072</v>
      </c>
      <c r="V3987" t="s">
        <v>61987</v>
      </c>
      <c r="W3987" t="s">
        <v>43931</v>
      </c>
      <c r="X3987" t="s">
        <v>46573</v>
      </c>
    </row>
    <row r="3988" spans="1:24">
      <c r="A3988">
        <f>HYPERLINK("https://www.philgeps.gov.ph/GEPSNONPILOT/Tender/SplashBidNoticeAbstractUI.aspx?menuIndex=3&amp;refID=7063685&amp;Result=3","7063685")</f>
        <v>0</v>
      </c>
      <c r="B3988" t="s">
        <v>1088</v>
      </c>
      <c r="C3988" t="s">
        <v>7363</v>
      </c>
      <c r="D3988" t="s">
        <v>18804</v>
      </c>
      <c r="E3988" t="s">
        <v>22487</v>
      </c>
      <c r="F3988" t="s">
        <v>32664</v>
      </c>
      <c r="G3988" t="s">
        <v>32672</v>
      </c>
      <c r="H3988" t="s">
        <v>32683</v>
      </c>
      <c r="I3988" t="s">
        <v>10627</v>
      </c>
      <c r="J3988" t="s">
        <v>35437</v>
      </c>
      <c r="K3988" t="s">
        <v>42305</v>
      </c>
      <c r="M3988" t="s">
        <v>43714</v>
      </c>
      <c r="N3988" t="s">
        <v>46569</v>
      </c>
      <c r="O3988" t="s">
        <v>46570</v>
      </c>
      <c r="P3988">
        <v>0</v>
      </c>
      <c r="Q3988">
        <v>0</v>
      </c>
      <c r="R3988" t="s">
        <v>46572</v>
      </c>
      <c r="S3988" t="s">
        <v>46689</v>
      </c>
      <c r="T3988" t="s">
        <v>48275</v>
      </c>
      <c r="U3988" t="s">
        <v>52057</v>
      </c>
      <c r="V3988" t="s">
        <v>61896</v>
      </c>
      <c r="W3988" t="s">
        <v>43714</v>
      </c>
      <c r="X3988" t="s">
        <v>46573</v>
      </c>
    </row>
    <row r="3989" spans="1:24">
      <c r="A3989">
        <f>HYPERLINK("https://www.philgeps.gov.ph/GEPSNONPILOT/Tender/SplashBidNoticeAbstractUI.aspx?menuIndex=3&amp;refID=7063683&amp;Result=3","7063683")</f>
        <v>0</v>
      </c>
      <c r="B3989" t="s">
        <v>1422</v>
      </c>
      <c r="C3989" t="s">
        <v>7364</v>
      </c>
      <c r="E3989" t="s">
        <v>22488</v>
      </c>
      <c r="F3989" t="s">
        <v>32664</v>
      </c>
      <c r="G3989" t="s">
        <v>32671</v>
      </c>
      <c r="H3989" t="s">
        <v>12635</v>
      </c>
      <c r="I3989" t="s">
        <v>32696</v>
      </c>
      <c r="J3989" t="s">
        <v>34052</v>
      </c>
      <c r="K3989" t="s">
        <v>42283</v>
      </c>
      <c r="M3989" t="s">
        <v>44081</v>
      </c>
      <c r="N3989" t="s">
        <v>46569</v>
      </c>
      <c r="O3989" t="s">
        <v>46570</v>
      </c>
      <c r="P3989">
        <v>0</v>
      </c>
      <c r="Q3989">
        <v>0</v>
      </c>
      <c r="R3989" t="s">
        <v>46572</v>
      </c>
      <c r="S3989" t="s">
        <v>46689</v>
      </c>
      <c r="T3989" t="s">
        <v>48256</v>
      </c>
      <c r="U3989" t="s">
        <v>52073</v>
      </c>
      <c r="W3989" t="s">
        <v>44081</v>
      </c>
      <c r="X3989" t="s">
        <v>46573</v>
      </c>
    </row>
    <row r="3990" spans="1:24">
      <c r="A3990">
        <f>HYPERLINK("https://www.philgeps.gov.ph/GEPSNONPILOT/Tender/SplashBidNoticeAbstractUI.aspx?menuIndex=3&amp;refID=7063617&amp;Result=3","7063617")</f>
        <v>0</v>
      </c>
      <c r="B3990" t="s">
        <v>1459</v>
      </c>
      <c r="C3990" t="s">
        <v>7365</v>
      </c>
      <c r="D3990" t="s">
        <v>18784</v>
      </c>
      <c r="E3990" t="s">
        <v>22489</v>
      </c>
      <c r="F3990" t="s">
        <v>32664</v>
      </c>
      <c r="G3990" t="s">
        <v>32674</v>
      </c>
      <c r="H3990" t="s">
        <v>12635</v>
      </c>
      <c r="I3990" t="s">
        <v>6168</v>
      </c>
      <c r="J3990" t="s">
        <v>35438</v>
      </c>
      <c r="K3990" t="s">
        <v>42289</v>
      </c>
      <c r="M3990" t="s">
        <v>44120</v>
      </c>
      <c r="N3990" t="s">
        <v>46569</v>
      </c>
      <c r="O3990" t="s">
        <v>46570</v>
      </c>
      <c r="P3990">
        <v>0</v>
      </c>
      <c r="Q3990">
        <v>1</v>
      </c>
      <c r="R3990" t="s">
        <v>46572</v>
      </c>
      <c r="S3990" t="s">
        <v>46689</v>
      </c>
      <c r="T3990" t="s">
        <v>48492</v>
      </c>
      <c r="U3990" t="s">
        <v>52074</v>
      </c>
      <c r="V3990" t="s">
        <v>62017</v>
      </c>
      <c r="W3990" t="s">
        <v>44120</v>
      </c>
      <c r="X3990" t="s">
        <v>46573</v>
      </c>
    </row>
    <row r="3991" spans="1:24">
      <c r="A3991">
        <f>HYPERLINK("https://www.philgeps.gov.ph/GEPSNONPILOT/Tender/SplashBidNoticeAbstractUI.aspx?menuIndex=3&amp;refID=7063682&amp;Result=3","7063682")</f>
        <v>0</v>
      </c>
      <c r="B3991" t="s">
        <v>1459</v>
      </c>
      <c r="C3991" t="s">
        <v>7366</v>
      </c>
      <c r="D3991" t="s">
        <v>18784</v>
      </c>
      <c r="E3991" t="s">
        <v>22490</v>
      </c>
      <c r="F3991" t="s">
        <v>32664</v>
      </c>
      <c r="G3991" t="s">
        <v>32674</v>
      </c>
      <c r="H3991" t="s">
        <v>12635</v>
      </c>
      <c r="I3991" t="s">
        <v>4439</v>
      </c>
      <c r="J3991" t="s">
        <v>35439</v>
      </c>
      <c r="K3991" t="s">
        <v>42289</v>
      </c>
      <c r="M3991" t="s">
        <v>44120</v>
      </c>
      <c r="N3991" t="s">
        <v>46569</v>
      </c>
      <c r="O3991" t="s">
        <v>46570</v>
      </c>
      <c r="P3991">
        <v>0</v>
      </c>
      <c r="Q3991">
        <v>0</v>
      </c>
      <c r="R3991" t="s">
        <v>46572</v>
      </c>
      <c r="S3991" t="s">
        <v>46689</v>
      </c>
      <c r="T3991" t="s">
        <v>48492</v>
      </c>
      <c r="U3991" t="s">
        <v>52075</v>
      </c>
      <c r="V3991" t="s">
        <v>62017</v>
      </c>
      <c r="W3991" t="s">
        <v>44120</v>
      </c>
      <c r="X3991" t="s">
        <v>46573</v>
      </c>
    </row>
    <row r="3992" spans="1:24">
      <c r="A3992">
        <f>HYPERLINK("https://www.philgeps.gov.ph/GEPSNONPILOT/Tender/SplashBidNoticeAbstractUI.aspx?menuIndex=3&amp;refID=7063684&amp;Result=3","7063684")</f>
        <v>0</v>
      </c>
      <c r="B3992" t="s">
        <v>1370</v>
      </c>
      <c r="C3992" t="s">
        <v>7367</v>
      </c>
      <c r="D3992" t="s">
        <v>18831</v>
      </c>
      <c r="E3992" t="s">
        <v>22491</v>
      </c>
      <c r="F3992" t="s">
        <v>32664</v>
      </c>
      <c r="G3992" t="s">
        <v>32671</v>
      </c>
      <c r="H3992" t="s">
        <v>12635</v>
      </c>
      <c r="I3992" t="s">
        <v>11464</v>
      </c>
      <c r="J3992" t="s">
        <v>35440</v>
      </c>
      <c r="K3992" t="s">
        <v>42283</v>
      </c>
      <c r="M3992" t="s">
        <v>44025</v>
      </c>
      <c r="N3992" t="s">
        <v>46569</v>
      </c>
      <c r="O3992" t="s">
        <v>46570</v>
      </c>
      <c r="P3992">
        <v>0</v>
      </c>
      <c r="Q3992">
        <v>0</v>
      </c>
      <c r="R3992" t="s">
        <v>46572</v>
      </c>
      <c r="S3992" t="s">
        <v>46689</v>
      </c>
      <c r="T3992" t="s">
        <v>48221</v>
      </c>
      <c r="U3992" t="s">
        <v>52076</v>
      </c>
      <c r="W3992" t="s">
        <v>44025</v>
      </c>
      <c r="X3992" t="s">
        <v>46573</v>
      </c>
    </row>
    <row r="3993" spans="1:24">
      <c r="A3993">
        <f>HYPERLINK("https://www.philgeps.gov.ph/GEPSNONPILOT/Tender/SplashBidNoticeAbstractUI.aspx?menuIndex=3&amp;refID=7063679&amp;Result=3","7063679")</f>
        <v>0</v>
      </c>
      <c r="B3993" t="s">
        <v>1471</v>
      </c>
      <c r="C3993" t="s">
        <v>7368</v>
      </c>
      <c r="D3993" t="s">
        <v>18827</v>
      </c>
      <c r="E3993" t="s">
        <v>22492</v>
      </c>
      <c r="F3993" t="s">
        <v>32664</v>
      </c>
      <c r="G3993" t="s">
        <v>32671</v>
      </c>
      <c r="H3993" t="s">
        <v>12635</v>
      </c>
      <c r="I3993" t="s">
        <v>32690</v>
      </c>
      <c r="J3993" t="s">
        <v>33078</v>
      </c>
      <c r="K3993" t="s">
        <v>42289</v>
      </c>
      <c r="M3993" t="s">
        <v>44133</v>
      </c>
      <c r="N3993" t="s">
        <v>46569</v>
      </c>
      <c r="O3993" t="s">
        <v>46570</v>
      </c>
      <c r="P3993">
        <v>0</v>
      </c>
      <c r="Q3993">
        <v>0</v>
      </c>
      <c r="R3993" t="s">
        <v>46572</v>
      </c>
      <c r="S3993" t="s">
        <v>46689</v>
      </c>
      <c r="T3993" t="s">
        <v>48256</v>
      </c>
      <c r="U3993" t="s">
        <v>52043</v>
      </c>
      <c r="W3993" t="s">
        <v>44133</v>
      </c>
      <c r="X3993" t="s">
        <v>46573</v>
      </c>
    </row>
    <row r="3994" spans="1:24">
      <c r="A3994">
        <f>HYPERLINK("https://www.philgeps.gov.ph/GEPSNONPILOT/Tender/SplashBidNoticeAbstractUI.aspx?menuIndex=3&amp;refID=7063692&amp;Result=3","7063692")</f>
        <v>0</v>
      </c>
      <c r="B3994" t="s">
        <v>617</v>
      </c>
      <c r="C3994" t="s">
        <v>7369</v>
      </c>
      <c r="D3994" t="s">
        <v>18784</v>
      </c>
      <c r="E3994" t="s">
        <v>22493</v>
      </c>
      <c r="F3994" t="s">
        <v>32664</v>
      </c>
      <c r="G3994" t="s">
        <v>32674</v>
      </c>
      <c r="H3994" t="s">
        <v>12635</v>
      </c>
      <c r="I3994" t="s">
        <v>5589</v>
      </c>
      <c r="J3994" t="s">
        <v>33952</v>
      </c>
      <c r="K3994" t="s">
        <v>42289</v>
      </c>
      <c r="M3994" t="s">
        <v>43197</v>
      </c>
      <c r="N3994" t="s">
        <v>46569</v>
      </c>
      <c r="O3994" t="s">
        <v>46570</v>
      </c>
      <c r="P3994">
        <v>0</v>
      </c>
      <c r="Q3994">
        <v>2</v>
      </c>
      <c r="R3994" t="s">
        <v>46572</v>
      </c>
      <c r="S3994" t="s">
        <v>46689</v>
      </c>
      <c r="T3994" t="s">
        <v>48376</v>
      </c>
      <c r="U3994" t="s">
        <v>52077</v>
      </c>
      <c r="W3994" t="s">
        <v>43197</v>
      </c>
      <c r="X3994" t="s">
        <v>46573</v>
      </c>
    </row>
    <row r="3995" spans="1:24">
      <c r="A3995">
        <f>HYPERLINK("https://www.philgeps.gov.ph/GEPSNONPILOT/Tender/SplashBidNoticeAbstractUI.aspx?menuIndex=3&amp;refID=7063678&amp;Result=3","7063678")</f>
        <v>0</v>
      </c>
      <c r="B3995" t="s">
        <v>1410</v>
      </c>
      <c r="C3995" t="s">
        <v>7370</v>
      </c>
      <c r="D3995" t="s">
        <v>18803</v>
      </c>
      <c r="E3995" t="s">
        <v>22494</v>
      </c>
      <c r="F3995" t="s">
        <v>32664</v>
      </c>
      <c r="G3995" t="s">
        <v>32671</v>
      </c>
      <c r="H3995" t="s">
        <v>12635</v>
      </c>
      <c r="I3995" t="s">
        <v>4205</v>
      </c>
      <c r="J3995" t="s">
        <v>35441</v>
      </c>
      <c r="K3995" t="s">
        <v>42283</v>
      </c>
      <c r="M3995" t="s">
        <v>44067</v>
      </c>
      <c r="N3995" t="s">
        <v>46569</v>
      </c>
      <c r="O3995" t="s">
        <v>46570</v>
      </c>
      <c r="P3995">
        <v>0</v>
      </c>
      <c r="Q3995">
        <v>4</v>
      </c>
      <c r="R3995" t="s">
        <v>46572</v>
      </c>
      <c r="S3995" t="s">
        <v>46689</v>
      </c>
      <c r="T3995" t="s">
        <v>48256</v>
      </c>
      <c r="U3995" t="s">
        <v>52078</v>
      </c>
      <c r="V3995" t="s">
        <v>61998</v>
      </c>
      <c r="W3995" t="s">
        <v>44067</v>
      </c>
      <c r="X3995" t="s">
        <v>46573</v>
      </c>
    </row>
    <row r="3996" spans="1:24">
      <c r="A3996">
        <f>HYPERLINK("https://www.philgeps.gov.ph/GEPSNONPILOT/Tender/SplashBidNoticeAbstractUI.aspx?menuIndex=3&amp;refID=7063686&amp;Result=3","7063686")</f>
        <v>0</v>
      </c>
      <c r="B3996" t="s">
        <v>1380</v>
      </c>
      <c r="C3996" t="s">
        <v>7371</v>
      </c>
      <c r="D3996" t="s">
        <v>18809</v>
      </c>
      <c r="E3996" t="s">
        <v>22495</v>
      </c>
      <c r="F3996" t="s">
        <v>32664</v>
      </c>
      <c r="G3996" t="s">
        <v>32671</v>
      </c>
      <c r="H3996" t="s">
        <v>12635</v>
      </c>
      <c r="I3996" t="s">
        <v>32699</v>
      </c>
      <c r="J3996" t="s">
        <v>32984</v>
      </c>
      <c r="K3996" t="s">
        <v>42297</v>
      </c>
      <c r="L3996" t="s">
        <v>1380</v>
      </c>
      <c r="M3996" t="s">
        <v>44035</v>
      </c>
      <c r="N3996" t="s">
        <v>46569</v>
      </c>
      <c r="O3996" t="s">
        <v>46570</v>
      </c>
      <c r="P3996">
        <v>0</v>
      </c>
      <c r="Q3996">
        <v>0</v>
      </c>
      <c r="R3996" t="s">
        <v>46572</v>
      </c>
      <c r="S3996" t="s">
        <v>46689</v>
      </c>
      <c r="T3996" t="s">
        <v>48217</v>
      </c>
      <c r="U3996" t="s">
        <v>52079</v>
      </c>
      <c r="V3996" t="s">
        <v>62025</v>
      </c>
      <c r="W3996" t="s">
        <v>44035</v>
      </c>
      <c r="X3996" t="s">
        <v>46573</v>
      </c>
    </row>
    <row r="3997" spans="1:24">
      <c r="A3997">
        <f>HYPERLINK("https://www.philgeps.gov.ph/GEPSNONPILOT/Tender/SplashBidNoticeAbstractUI.aspx?menuIndex=3&amp;refID=7063677&amp;Result=3","7063677")</f>
        <v>0</v>
      </c>
      <c r="B3997" t="s">
        <v>1481</v>
      </c>
      <c r="C3997" t="s">
        <v>7372</v>
      </c>
      <c r="D3997" t="s">
        <v>18784</v>
      </c>
      <c r="E3997" t="s">
        <v>22496</v>
      </c>
      <c r="F3997" t="s">
        <v>32664</v>
      </c>
      <c r="G3997" t="s">
        <v>32671</v>
      </c>
      <c r="H3997" t="s">
        <v>12635</v>
      </c>
      <c r="I3997" t="s">
        <v>32708</v>
      </c>
      <c r="J3997" t="s">
        <v>32898</v>
      </c>
      <c r="K3997" t="s">
        <v>42289</v>
      </c>
      <c r="M3997" t="s">
        <v>44144</v>
      </c>
      <c r="N3997" t="s">
        <v>46569</v>
      </c>
      <c r="O3997" t="s">
        <v>46570</v>
      </c>
      <c r="P3997">
        <v>0</v>
      </c>
      <c r="Q3997">
        <v>6</v>
      </c>
      <c r="R3997" t="s">
        <v>46572</v>
      </c>
      <c r="S3997" t="s">
        <v>46689</v>
      </c>
      <c r="T3997" t="s">
        <v>48267</v>
      </c>
      <c r="U3997" t="s">
        <v>52080</v>
      </c>
      <c r="W3997" t="s">
        <v>44144</v>
      </c>
      <c r="X3997" t="s">
        <v>46573</v>
      </c>
    </row>
    <row r="3998" spans="1:24">
      <c r="A3998">
        <f>HYPERLINK("https://www.philgeps.gov.ph/GEPSNONPILOT/Tender/SplashBidNoticeAbstractUI.aspx?menuIndex=3&amp;refID=7063675&amp;Result=3","7063675")</f>
        <v>0</v>
      </c>
      <c r="B3998" t="s">
        <v>1140</v>
      </c>
      <c r="C3998" t="s">
        <v>7373</v>
      </c>
      <c r="D3998" t="s">
        <v>18805</v>
      </c>
      <c r="E3998" t="s">
        <v>22423</v>
      </c>
      <c r="F3998" t="s">
        <v>32664</v>
      </c>
      <c r="G3998" t="s">
        <v>32671</v>
      </c>
      <c r="H3998" t="s">
        <v>12635</v>
      </c>
      <c r="I3998" t="s">
        <v>4439</v>
      </c>
      <c r="J3998" t="s">
        <v>35442</v>
      </c>
      <c r="K3998" t="s">
        <v>42297</v>
      </c>
      <c r="L3998" t="s">
        <v>1140</v>
      </c>
      <c r="M3998" t="s">
        <v>43771</v>
      </c>
      <c r="N3998" t="s">
        <v>46569</v>
      </c>
      <c r="O3998" t="s">
        <v>46570</v>
      </c>
      <c r="P3998">
        <v>0</v>
      </c>
      <c r="Q3998">
        <v>1</v>
      </c>
      <c r="R3998" t="s">
        <v>46572</v>
      </c>
      <c r="S3998" t="s">
        <v>46689</v>
      </c>
      <c r="T3998" t="s">
        <v>48466</v>
      </c>
      <c r="U3998" t="s">
        <v>52081</v>
      </c>
      <c r="V3998" t="s">
        <v>62028</v>
      </c>
      <c r="W3998" t="s">
        <v>43771</v>
      </c>
      <c r="X3998" t="s">
        <v>46573</v>
      </c>
    </row>
    <row r="3999" spans="1:24">
      <c r="A3999">
        <f>HYPERLINK("https://www.philgeps.gov.ph/GEPSNONPILOT/Tender/SplashBidNoticeAbstractUI.aspx?menuIndex=3&amp;refID=7063531&amp;Result=3","7063531")</f>
        <v>0</v>
      </c>
      <c r="B3999" t="s">
        <v>508</v>
      </c>
      <c r="C3999" t="s">
        <v>7374</v>
      </c>
      <c r="D3999" t="s">
        <v>18785</v>
      </c>
      <c r="E3999" t="s">
        <v>22497</v>
      </c>
      <c r="F3999" t="s">
        <v>32664</v>
      </c>
      <c r="G3999" t="s">
        <v>32671</v>
      </c>
      <c r="H3999" t="s">
        <v>12635</v>
      </c>
      <c r="I3999" t="s">
        <v>32696</v>
      </c>
      <c r="J3999" t="s">
        <v>33177</v>
      </c>
      <c r="K3999" t="s">
        <v>42289</v>
      </c>
      <c r="M3999" t="s">
        <v>43084</v>
      </c>
      <c r="N3999" t="s">
        <v>46569</v>
      </c>
      <c r="O3999" t="s">
        <v>46570</v>
      </c>
      <c r="P3999">
        <v>0</v>
      </c>
      <c r="Q3999">
        <v>0</v>
      </c>
      <c r="R3999" t="s">
        <v>46572</v>
      </c>
      <c r="S3999" t="s">
        <v>46689</v>
      </c>
      <c r="T3999" t="s">
        <v>48305</v>
      </c>
      <c r="U3999" t="s">
        <v>52082</v>
      </c>
      <c r="W3999" t="s">
        <v>43084</v>
      </c>
      <c r="X3999" t="s">
        <v>46573</v>
      </c>
    </row>
    <row r="4000" spans="1:24">
      <c r="A4000">
        <f>HYPERLINK("https://www.philgeps.gov.ph/GEPSNONPILOT/Tender/SplashBidNoticeAbstractUI.aspx?menuIndex=3&amp;refID=7063670&amp;Result=3","7063670")</f>
        <v>0</v>
      </c>
      <c r="B4000" t="s">
        <v>1088</v>
      </c>
      <c r="C4000" t="s">
        <v>7375</v>
      </c>
      <c r="D4000" t="s">
        <v>18804</v>
      </c>
      <c r="E4000" t="s">
        <v>22498</v>
      </c>
      <c r="F4000" t="s">
        <v>32664</v>
      </c>
      <c r="G4000" t="s">
        <v>32672</v>
      </c>
      <c r="H4000" t="s">
        <v>32683</v>
      </c>
      <c r="I4000" t="s">
        <v>10627</v>
      </c>
      <c r="J4000" t="s">
        <v>35443</v>
      </c>
      <c r="K4000" t="s">
        <v>42298</v>
      </c>
      <c r="M4000" t="s">
        <v>43714</v>
      </c>
      <c r="N4000" t="s">
        <v>46569</v>
      </c>
      <c r="O4000" t="s">
        <v>46570</v>
      </c>
      <c r="P4000">
        <v>0</v>
      </c>
      <c r="Q4000">
        <v>0</v>
      </c>
      <c r="R4000" t="s">
        <v>46572</v>
      </c>
      <c r="S4000" t="s">
        <v>46689</v>
      </c>
      <c r="T4000" t="s">
        <v>48275</v>
      </c>
      <c r="U4000" t="s">
        <v>52057</v>
      </c>
      <c r="V4000" t="s">
        <v>61896</v>
      </c>
      <c r="W4000" t="s">
        <v>43714</v>
      </c>
      <c r="X4000" t="s">
        <v>46573</v>
      </c>
    </row>
    <row r="4001" spans="1:24">
      <c r="A4001">
        <f>HYPERLINK("https://www.philgeps.gov.ph/GEPSNONPILOT/Tender/SplashBidNoticeAbstractUI.aspx?menuIndex=3&amp;refID=7063669&amp;Result=3","7063669")</f>
        <v>0</v>
      </c>
      <c r="B4001" t="s">
        <v>508</v>
      </c>
      <c r="C4001" t="s">
        <v>7376</v>
      </c>
      <c r="D4001" t="s">
        <v>18785</v>
      </c>
      <c r="E4001" t="s">
        <v>22499</v>
      </c>
      <c r="F4001" t="s">
        <v>32664</v>
      </c>
      <c r="G4001" t="s">
        <v>32671</v>
      </c>
      <c r="H4001" t="s">
        <v>12635</v>
      </c>
      <c r="I4001" t="s">
        <v>32704</v>
      </c>
      <c r="J4001" t="s">
        <v>33128</v>
      </c>
      <c r="K4001" t="s">
        <v>42289</v>
      </c>
      <c r="M4001" t="s">
        <v>43084</v>
      </c>
      <c r="N4001" t="s">
        <v>46569</v>
      </c>
      <c r="O4001" t="s">
        <v>46570</v>
      </c>
      <c r="P4001">
        <v>0</v>
      </c>
      <c r="Q4001">
        <v>6</v>
      </c>
      <c r="R4001" t="s">
        <v>46572</v>
      </c>
      <c r="S4001" t="s">
        <v>46689</v>
      </c>
      <c r="T4001" t="s">
        <v>48305</v>
      </c>
      <c r="U4001" t="s">
        <v>52083</v>
      </c>
      <c r="W4001" t="s">
        <v>43084</v>
      </c>
      <c r="X4001" t="s">
        <v>46573</v>
      </c>
    </row>
    <row r="4002" spans="1:24">
      <c r="A4002">
        <f>HYPERLINK("https://www.philgeps.gov.ph/GEPSNONPILOT/Tender/SplashBidNoticeAbstractUI.aspx?menuIndex=3&amp;refID=7063681&amp;Result=3","7063681")</f>
        <v>0</v>
      </c>
      <c r="B4002" t="s">
        <v>1482</v>
      </c>
      <c r="C4002" t="s">
        <v>7377</v>
      </c>
      <c r="D4002" t="s">
        <v>18785</v>
      </c>
      <c r="E4002" t="s">
        <v>22500</v>
      </c>
      <c r="F4002" t="s">
        <v>32664</v>
      </c>
      <c r="G4002" t="s">
        <v>32672</v>
      </c>
      <c r="H4002" t="s">
        <v>32683</v>
      </c>
      <c r="I4002" t="s">
        <v>10627</v>
      </c>
      <c r="J4002" t="s">
        <v>35444</v>
      </c>
      <c r="K4002" t="s">
        <v>42363</v>
      </c>
      <c r="M4002" t="s">
        <v>44145</v>
      </c>
      <c r="N4002" t="s">
        <v>46569</v>
      </c>
      <c r="O4002" t="s">
        <v>46570</v>
      </c>
      <c r="P4002">
        <v>0</v>
      </c>
      <c r="Q4002">
        <v>0</v>
      </c>
      <c r="R4002" t="s">
        <v>46572</v>
      </c>
      <c r="S4002" t="s">
        <v>46689</v>
      </c>
      <c r="T4002" t="s">
        <v>48308</v>
      </c>
      <c r="U4002" t="s">
        <v>52084</v>
      </c>
      <c r="W4002" t="s">
        <v>44145</v>
      </c>
      <c r="X4002" t="s">
        <v>46573</v>
      </c>
    </row>
    <row r="4003" spans="1:24">
      <c r="A4003">
        <f>HYPERLINK("https://www.philgeps.gov.ph/GEPSNONPILOT/Tender/SplashBidNoticeAbstractUI.aspx?menuIndex=3&amp;refID=7063498&amp;Result=3","7063498")</f>
        <v>0</v>
      </c>
      <c r="B4003" t="s">
        <v>231</v>
      </c>
      <c r="C4003" t="s">
        <v>7378</v>
      </c>
      <c r="D4003" t="s">
        <v>18845</v>
      </c>
      <c r="E4003" t="s">
        <v>7378</v>
      </c>
      <c r="F4003" t="s">
        <v>32664</v>
      </c>
      <c r="G4003" t="s">
        <v>32674</v>
      </c>
      <c r="H4003" t="s">
        <v>12635</v>
      </c>
      <c r="I4003" t="s">
        <v>32717</v>
      </c>
      <c r="J4003" t="s">
        <v>35445</v>
      </c>
      <c r="K4003" t="s">
        <v>42281</v>
      </c>
      <c r="M4003" t="s">
        <v>44083</v>
      </c>
      <c r="N4003" t="s">
        <v>46569</v>
      </c>
      <c r="O4003" t="s">
        <v>46570</v>
      </c>
      <c r="P4003">
        <v>0</v>
      </c>
      <c r="Q4003">
        <v>1</v>
      </c>
      <c r="R4003" t="s">
        <v>46572</v>
      </c>
      <c r="S4003" t="s">
        <v>46689</v>
      </c>
      <c r="T4003" t="s">
        <v>48487</v>
      </c>
      <c r="U4003" t="s">
        <v>52085</v>
      </c>
      <c r="W4003" t="s">
        <v>44083</v>
      </c>
      <c r="X4003" t="s">
        <v>46573</v>
      </c>
    </row>
    <row r="4004" spans="1:24">
      <c r="A4004">
        <f>HYPERLINK("https://www.philgeps.gov.ph/GEPSNONPILOT/Tender/SplashBidNoticeAbstractUI.aspx?menuIndex=3&amp;refID=7063676&amp;Result=3","7063676")</f>
        <v>0</v>
      </c>
      <c r="B4004" t="s">
        <v>1133</v>
      </c>
      <c r="C4004" t="s">
        <v>7379</v>
      </c>
      <c r="D4004" t="s">
        <v>18858</v>
      </c>
      <c r="E4004" t="s">
        <v>22501</v>
      </c>
      <c r="F4004" t="s">
        <v>32664</v>
      </c>
      <c r="G4004" t="s">
        <v>32671</v>
      </c>
      <c r="H4004" t="s">
        <v>12635</v>
      </c>
      <c r="I4004" t="s">
        <v>32699</v>
      </c>
      <c r="J4004" t="s">
        <v>33478</v>
      </c>
      <c r="K4004" t="s">
        <v>42289</v>
      </c>
      <c r="M4004" t="s">
        <v>43762</v>
      </c>
      <c r="N4004" t="s">
        <v>46569</v>
      </c>
      <c r="O4004" t="s">
        <v>46570</v>
      </c>
      <c r="P4004">
        <v>0</v>
      </c>
      <c r="Q4004">
        <v>0</v>
      </c>
      <c r="R4004" t="s">
        <v>46572</v>
      </c>
      <c r="S4004" t="s">
        <v>46689</v>
      </c>
      <c r="T4004" t="s">
        <v>48293</v>
      </c>
      <c r="U4004" t="s">
        <v>52086</v>
      </c>
      <c r="W4004" t="s">
        <v>43762</v>
      </c>
      <c r="X4004" t="s">
        <v>46573</v>
      </c>
    </row>
    <row r="4005" spans="1:24">
      <c r="A4005">
        <f>HYPERLINK("https://www.philgeps.gov.ph/GEPSNONPILOT/Tender/SplashBidNoticeAbstractUI.aspx?menuIndex=3&amp;refID=7063495&amp;Result=3","7063495")</f>
        <v>0</v>
      </c>
      <c r="B4005" t="s">
        <v>807</v>
      </c>
      <c r="C4005" t="s">
        <v>7380</v>
      </c>
      <c r="D4005" t="s">
        <v>18784</v>
      </c>
      <c r="E4005" t="s">
        <v>22502</v>
      </c>
      <c r="F4005" t="s">
        <v>32664</v>
      </c>
      <c r="G4005" t="s">
        <v>32672</v>
      </c>
      <c r="H4005" t="s">
        <v>12635</v>
      </c>
      <c r="I4005" t="s">
        <v>32712</v>
      </c>
      <c r="J4005" t="s">
        <v>35446</v>
      </c>
      <c r="K4005" t="s">
        <v>42283</v>
      </c>
      <c r="M4005" t="s">
        <v>43817</v>
      </c>
      <c r="N4005" t="s">
        <v>46569</v>
      </c>
      <c r="O4005" t="s">
        <v>46570</v>
      </c>
      <c r="P4005">
        <v>0</v>
      </c>
      <c r="Q4005">
        <v>32</v>
      </c>
      <c r="R4005" t="s">
        <v>46572</v>
      </c>
      <c r="S4005" t="s">
        <v>46689</v>
      </c>
      <c r="T4005" t="s">
        <v>48222</v>
      </c>
      <c r="U4005" t="s">
        <v>51284</v>
      </c>
      <c r="W4005" t="s">
        <v>43817</v>
      </c>
      <c r="X4005" t="s">
        <v>46573</v>
      </c>
    </row>
    <row r="4006" spans="1:24">
      <c r="A4006">
        <f>HYPERLINK("https://www.philgeps.gov.ph/GEPSNONPILOT/Tender/SplashBidNoticeAbstractUI.aspx?menuIndex=3&amp;refID=7063680&amp;Result=3","7063680")</f>
        <v>0</v>
      </c>
      <c r="B4006" t="s">
        <v>1483</v>
      </c>
      <c r="C4006" t="s">
        <v>7381</v>
      </c>
      <c r="D4006" t="s">
        <v>18785</v>
      </c>
      <c r="E4006" t="s">
        <v>22503</v>
      </c>
      <c r="F4006" t="s">
        <v>32664</v>
      </c>
      <c r="G4006" t="s">
        <v>32671</v>
      </c>
      <c r="H4006" t="s">
        <v>12635</v>
      </c>
      <c r="I4006" t="s">
        <v>4205</v>
      </c>
      <c r="J4006" t="s">
        <v>35447</v>
      </c>
      <c r="K4006" t="s">
        <v>42289</v>
      </c>
      <c r="M4006" t="s">
        <v>44146</v>
      </c>
      <c r="N4006" t="s">
        <v>46569</v>
      </c>
      <c r="O4006" t="s">
        <v>46570</v>
      </c>
      <c r="P4006">
        <v>0</v>
      </c>
      <c r="Q4006">
        <v>9</v>
      </c>
      <c r="R4006" t="s">
        <v>46572</v>
      </c>
      <c r="S4006" t="s">
        <v>46689</v>
      </c>
      <c r="T4006" t="s">
        <v>48221</v>
      </c>
      <c r="U4006" t="s">
        <v>52087</v>
      </c>
      <c r="W4006" t="s">
        <v>44146</v>
      </c>
      <c r="X4006" t="s">
        <v>46573</v>
      </c>
    </row>
    <row r="4007" spans="1:24">
      <c r="A4007">
        <f>HYPERLINK("https://www.philgeps.gov.ph/GEPSNONPILOT/Tender/SplashBidNoticeAbstractUI.aspx?menuIndex=3&amp;refID=7063672&amp;Result=3","7063672")</f>
        <v>0</v>
      </c>
      <c r="B4007" t="s">
        <v>900</v>
      </c>
      <c r="C4007" t="s">
        <v>7382</v>
      </c>
      <c r="E4007" t="s">
        <v>22504</v>
      </c>
      <c r="F4007" t="s">
        <v>32664</v>
      </c>
      <c r="G4007" t="s">
        <v>32674</v>
      </c>
      <c r="H4007" t="s">
        <v>12635</v>
      </c>
      <c r="I4007" t="s">
        <v>6223</v>
      </c>
      <c r="J4007" t="s">
        <v>35448</v>
      </c>
      <c r="K4007" t="s">
        <v>42283</v>
      </c>
      <c r="M4007" t="s">
        <v>43504</v>
      </c>
      <c r="N4007" t="s">
        <v>46569</v>
      </c>
      <c r="O4007" t="s">
        <v>46570</v>
      </c>
      <c r="P4007">
        <v>0</v>
      </c>
      <c r="Q4007">
        <v>0</v>
      </c>
      <c r="R4007" t="s">
        <v>46572</v>
      </c>
      <c r="S4007" t="s">
        <v>46689</v>
      </c>
      <c r="T4007" t="s">
        <v>48244</v>
      </c>
      <c r="U4007" t="s">
        <v>52088</v>
      </c>
      <c r="V4007" t="s">
        <v>61843</v>
      </c>
      <c r="W4007" t="s">
        <v>43504</v>
      </c>
      <c r="X4007" t="s">
        <v>46573</v>
      </c>
    </row>
    <row r="4008" spans="1:24">
      <c r="A4008">
        <f>HYPERLINK("https://www.philgeps.gov.ph/GEPSNONPILOT/Tender/SplashBidNoticeAbstractUI.aspx?menuIndex=3&amp;refID=7063452&amp;Result=3","7063452")</f>
        <v>0</v>
      </c>
      <c r="B4008" t="s">
        <v>1484</v>
      </c>
      <c r="C4008" t="s">
        <v>7383</v>
      </c>
      <c r="E4008" t="s">
        <v>22505</v>
      </c>
      <c r="F4008" t="s">
        <v>32664</v>
      </c>
      <c r="G4008" t="s">
        <v>32671</v>
      </c>
      <c r="H4008" t="s">
        <v>12635</v>
      </c>
      <c r="I4008" t="s">
        <v>8730</v>
      </c>
      <c r="J4008" t="s">
        <v>33272</v>
      </c>
      <c r="K4008" t="s">
        <v>42284</v>
      </c>
      <c r="M4008" t="s">
        <v>44147</v>
      </c>
      <c r="N4008" t="s">
        <v>46569</v>
      </c>
      <c r="O4008" t="s">
        <v>46570</v>
      </c>
      <c r="P4008">
        <v>0</v>
      </c>
      <c r="Q4008">
        <v>11</v>
      </c>
      <c r="R4008" t="s">
        <v>46572</v>
      </c>
      <c r="S4008" t="s">
        <v>46689</v>
      </c>
      <c r="T4008" t="s">
        <v>48249</v>
      </c>
      <c r="U4008" t="s">
        <v>52089</v>
      </c>
      <c r="W4008" t="s">
        <v>44147</v>
      </c>
      <c r="X4008" t="s">
        <v>46573</v>
      </c>
    </row>
    <row r="4009" spans="1:24">
      <c r="A4009">
        <f>HYPERLINK("https://www.philgeps.gov.ph/GEPSNONPILOT/Tender/SplashBidNoticeAbstractUI.aspx?menuIndex=3&amp;refID=7063451&amp;Result=3","7063451")</f>
        <v>0</v>
      </c>
      <c r="B4009" t="s">
        <v>1402</v>
      </c>
      <c r="C4009" t="s">
        <v>7384</v>
      </c>
      <c r="D4009" t="s">
        <v>18789</v>
      </c>
      <c r="E4009" t="s">
        <v>22506</v>
      </c>
      <c r="F4009" t="s">
        <v>32664</v>
      </c>
      <c r="G4009" t="s">
        <v>32671</v>
      </c>
      <c r="H4009" t="s">
        <v>12635</v>
      </c>
      <c r="I4009" t="s">
        <v>6118</v>
      </c>
      <c r="J4009" t="s">
        <v>35449</v>
      </c>
      <c r="K4009" t="s">
        <v>42281</v>
      </c>
      <c r="M4009" t="s">
        <v>44059</v>
      </c>
      <c r="N4009" t="s">
        <v>46569</v>
      </c>
      <c r="O4009" t="s">
        <v>46570</v>
      </c>
      <c r="P4009">
        <v>0</v>
      </c>
      <c r="Q4009">
        <v>0</v>
      </c>
      <c r="R4009" t="s">
        <v>46572</v>
      </c>
      <c r="S4009" t="s">
        <v>46689</v>
      </c>
      <c r="T4009" t="s">
        <v>48256</v>
      </c>
      <c r="U4009" t="s">
        <v>52090</v>
      </c>
      <c r="V4009" t="s">
        <v>61995</v>
      </c>
      <c r="W4009" t="s">
        <v>44059</v>
      </c>
      <c r="X4009" t="s">
        <v>46573</v>
      </c>
    </row>
    <row r="4010" spans="1:24">
      <c r="A4010">
        <f>HYPERLINK("https://www.philgeps.gov.ph/GEPSNONPILOT/Tender/SplashBidNoticeAbstractUI.aspx?menuIndex=3&amp;refID=7063449&amp;Result=3","7063449")</f>
        <v>0</v>
      </c>
      <c r="B4010" t="s">
        <v>1055</v>
      </c>
      <c r="C4010" t="s">
        <v>7385</v>
      </c>
      <c r="E4010" t="s">
        <v>22507</v>
      </c>
      <c r="F4010" t="s">
        <v>32664</v>
      </c>
      <c r="G4010" t="s">
        <v>32671</v>
      </c>
      <c r="H4010" t="s">
        <v>12635</v>
      </c>
      <c r="I4010" t="s">
        <v>32704</v>
      </c>
      <c r="J4010" t="s">
        <v>32853</v>
      </c>
      <c r="K4010" t="s">
        <v>42330</v>
      </c>
      <c r="M4010" t="s">
        <v>44008</v>
      </c>
      <c r="N4010" t="s">
        <v>46569</v>
      </c>
      <c r="O4010" t="s">
        <v>46570</v>
      </c>
      <c r="P4010">
        <v>0</v>
      </c>
      <c r="Q4010">
        <v>10</v>
      </c>
      <c r="R4010" t="s">
        <v>46572</v>
      </c>
      <c r="S4010" t="s">
        <v>46689</v>
      </c>
      <c r="T4010" t="s">
        <v>48305</v>
      </c>
      <c r="U4010" t="s">
        <v>52091</v>
      </c>
      <c r="V4010" t="s">
        <v>61978</v>
      </c>
      <c r="W4010" t="s">
        <v>44008</v>
      </c>
      <c r="X4010" t="s">
        <v>46573</v>
      </c>
    </row>
    <row r="4011" spans="1:24">
      <c r="A4011">
        <f>HYPERLINK("https://www.philgeps.gov.ph/GEPSNONPILOT/Tender/SplashBidNoticeAbstractUI.aspx?menuIndex=3&amp;refID=7063497&amp;Result=3","7063497")</f>
        <v>0</v>
      </c>
      <c r="B4011" t="s">
        <v>870</v>
      </c>
      <c r="C4011" t="s">
        <v>7386</v>
      </c>
      <c r="D4011" t="s">
        <v>18844</v>
      </c>
      <c r="E4011" t="s">
        <v>22508</v>
      </c>
      <c r="F4011" t="s">
        <v>32664</v>
      </c>
      <c r="G4011" t="s">
        <v>32671</v>
      </c>
      <c r="H4011" t="s">
        <v>12635</v>
      </c>
      <c r="I4011" t="s">
        <v>32694</v>
      </c>
      <c r="J4011" t="s">
        <v>35450</v>
      </c>
      <c r="K4011" t="s">
        <v>42297</v>
      </c>
      <c r="M4011" t="s">
        <v>43470</v>
      </c>
      <c r="N4011" t="s">
        <v>46569</v>
      </c>
      <c r="O4011" t="s">
        <v>46570</v>
      </c>
      <c r="P4011">
        <v>0</v>
      </c>
      <c r="Q4011">
        <v>1</v>
      </c>
      <c r="R4011" t="s">
        <v>46572</v>
      </c>
      <c r="S4011" t="s">
        <v>46689</v>
      </c>
      <c r="T4011" t="s">
        <v>48221</v>
      </c>
      <c r="U4011" t="s">
        <v>50477</v>
      </c>
      <c r="V4011" t="s">
        <v>61834</v>
      </c>
      <c r="W4011" t="s">
        <v>43470</v>
      </c>
      <c r="X4011" t="s">
        <v>46573</v>
      </c>
    </row>
    <row r="4012" spans="1:24">
      <c r="A4012">
        <f>HYPERLINK("https://www.philgeps.gov.ph/GEPSNONPILOT/Tender/SplashBidNoticeAbstractUI.aspx?menuIndex=3&amp;refID=7063448&amp;Result=3","7063448")</f>
        <v>0</v>
      </c>
      <c r="B4012" t="s">
        <v>1479</v>
      </c>
      <c r="C4012" t="s">
        <v>7387</v>
      </c>
      <c r="D4012" t="s">
        <v>18788</v>
      </c>
      <c r="E4012" t="s">
        <v>22509</v>
      </c>
      <c r="F4012" t="s">
        <v>32664</v>
      </c>
      <c r="G4012" t="s">
        <v>32671</v>
      </c>
      <c r="H4012" t="s">
        <v>12635</v>
      </c>
      <c r="I4012" t="s">
        <v>4439</v>
      </c>
      <c r="J4012" t="s">
        <v>35451</v>
      </c>
      <c r="K4012" t="s">
        <v>42284</v>
      </c>
      <c r="M4012" t="s">
        <v>44142</v>
      </c>
      <c r="N4012" t="s">
        <v>46569</v>
      </c>
      <c r="O4012" t="s">
        <v>46570</v>
      </c>
      <c r="P4012">
        <v>0</v>
      </c>
      <c r="Q4012">
        <v>0</v>
      </c>
      <c r="R4012" t="s">
        <v>46572</v>
      </c>
      <c r="S4012" t="s">
        <v>46689</v>
      </c>
      <c r="T4012" t="s">
        <v>48246</v>
      </c>
      <c r="U4012" t="s">
        <v>52092</v>
      </c>
      <c r="W4012" t="s">
        <v>44142</v>
      </c>
      <c r="X4012" t="s">
        <v>46573</v>
      </c>
    </row>
    <row r="4013" spans="1:24">
      <c r="A4013">
        <f>HYPERLINK("https://www.philgeps.gov.ph/GEPSNONPILOT/Tender/SplashBidNoticeAbstractUI.aspx?menuIndex=3&amp;refID=7063674&amp;Result=3","7063674")</f>
        <v>0</v>
      </c>
      <c r="B4013" t="s">
        <v>220</v>
      </c>
      <c r="C4013" t="s">
        <v>7388</v>
      </c>
      <c r="D4013" t="s">
        <v>18788</v>
      </c>
      <c r="E4013" t="s">
        <v>22510</v>
      </c>
      <c r="F4013" t="s">
        <v>32664</v>
      </c>
      <c r="G4013" t="s">
        <v>32672</v>
      </c>
      <c r="H4013" t="s">
        <v>12635</v>
      </c>
      <c r="I4013" t="s">
        <v>4439</v>
      </c>
      <c r="J4013" t="s">
        <v>35452</v>
      </c>
      <c r="K4013" t="s">
        <v>42297</v>
      </c>
      <c r="L4013" t="s">
        <v>220</v>
      </c>
      <c r="M4013" t="s">
        <v>42784</v>
      </c>
      <c r="N4013" t="s">
        <v>46569</v>
      </c>
      <c r="O4013" t="s">
        <v>46570</v>
      </c>
      <c r="P4013">
        <v>0</v>
      </c>
      <c r="Q4013">
        <v>0</v>
      </c>
      <c r="R4013" t="s">
        <v>46572</v>
      </c>
      <c r="S4013" t="s">
        <v>46689</v>
      </c>
      <c r="T4013" t="s">
        <v>48308</v>
      </c>
      <c r="U4013" t="s">
        <v>49167</v>
      </c>
      <c r="W4013" t="s">
        <v>42784</v>
      </c>
      <c r="X4013" t="s">
        <v>46573</v>
      </c>
    </row>
    <row r="4014" spans="1:24">
      <c r="A4014">
        <f>HYPERLINK("https://www.philgeps.gov.ph/GEPSNONPILOT/Tender/SplashBidNoticeAbstractUI.aspx?menuIndex=3&amp;refID=7063447&amp;Result=3","7063447")</f>
        <v>0</v>
      </c>
      <c r="B4014" t="s">
        <v>1422</v>
      </c>
      <c r="C4014" t="s">
        <v>5825</v>
      </c>
      <c r="E4014" t="s">
        <v>22511</v>
      </c>
      <c r="F4014" t="s">
        <v>32664</v>
      </c>
      <c r="G4014" t="s">
        <v>32671</v>
      </c>
      <c r="H4014" t="s">
        <v>12635</v>
      </c>
      <c r="I4014" t="s">
        <v>6223</v>
      </c>
      <c r="J4014" t="s">
        <v>35453</v>
      </c>
      <c r="K4014" t="s">
        <v>42283</v>
      </c>
      <c r="M4014" t="s">
        <v>44081</v>
      </c>
      <c r="N4014" t="s">
        <v>46569</v>
      </c>
      <c r="O4014" t="s">
        <v>46570</v>
      </c>
      <c r="P4014">
        <v>0</v>
      </c>
      <c r="Q4014">
        <v>1</v>
      </c>
      <c r="R4014" t="s">
        <v>46572</v>
      </c>
      <c r="S4014" t="s">
        <v>46689</v>
      </c>
      <c r="T4014" t="s">
        <v>48256</v>
      </c>
      <c r="U4014" t="s">
        <v>52093</v>
      </c>
      <c r="W4014" t="s">
        <v>44081</v>
      </c>
      <c r="X4014" t="s">
        <v>46573</v>
      </c>
    </row>
    <row r="4015" spans="1:24">
      <c r="A4015">
        <f>HYPERLINK("https://www.philgeps.gov.ph/GEPSNONPILOT/Tender/SplashBidNoticeAbstractUI.aspx?menuIndex=3&amp;refID=7063453&amp;Result=3","7063453")</f>
        <v>0</v>
      </c>
      <c r="B4015" t="s">
        <v>229</v>
      </c>
      <c r="C4015" t="s">
        <v>7389</v>
      </c>
      <c r="D4015" t="s">
        <v>18838</v>
      </c>
      <c r="E4015" t="s">
        <v>22512</v>
      </c>
      <c r="F4015" t="s">
        <v>32664</v>
      </c>
      <c r="G4015" t="s">
        <v>32671</v>
      </c>
      <c r="H4015" t="s">
        <v>12635</v>
      </c>
      <c r="I4015" t="s">
        <v>6168</v>
      </c>
      <c r="J4015" t="s">
        <v>35454</v>
      </c>
      <c r="K4015" t="s">
        <v>42297</v>
      </c>
      <c r="M4015" t="s">
        <v>42793</v>
      </c>
      <c r="N4015" t="s">
        <v>46569</v>
      </c>
      <c r="O4015" t="s">
        <v>46570</v>
      </c>
      <c r="P4015">
        <v>0</v>
      </c>
      <c r="Q4015">
        <v>0</v>
      </c>
      <c r="R4015" t="s">
        <v>46572</v>
      </c>
      <c r="S4015" t="s">
        <v>46689</v>
      </c>
      <c r="T4015" t="s">
        <v>48221</v>
      </c>
      <c r="U4015" t="s">
        <v>52094</v>
      </c>
      <c r="W4015" t="s">
        <v>42793</v>
      </c>
      <c r="X4015" t="s">
        <v>46573</v>
      </c>
    </row>
    <row r="4016" spans="1:24">
      <c r="A4016">
        <f>HYPERLINK("https://www.philgeps.gov.ph/GEPSNONPILOT/Tender/SplashBidNoticeAbstractUI.aspx?menuIndex=3&amp;refID=7063494&amp;Result=3","7063494")</f>
        <v>0</v>
      </c>
      <c r="B4016" t="s">
        <v>1305</v>
      </c>
      <c r="C4016" t="s">
        <v>7390</v>
      </c>
      <c r="D4016" t="s">
        <v>18822</v>
      </c>
      <c r="E4016" t="s">
        <v>22513</v>
      </c>
      <c r="F4016" t="s">
        <v>32664</v>
      </c>
      <c r="G4016" t="s">
        <v>32671</v>
      </c>
      <c r="H4016" t="s">
        <v>12635</v>
      </c>
      <c r="I4016" t="s">
        <v>32687</v>
      </c>
      <c r="J4016" t="s">
        <v>35455</v>
      </c>
      <c r="K4016" t="s">
        <v>42295</v>
      </c>
      <c r="M4016" t="s">
        <v>44148</v>
      </c>
      <c r="N4016" t="s">
        <v>46569</v>
      </c>
      <c r="O4016" t="s">
        <v>46570</v>
      </c>
      <c r="P4016">
        <v>0</v>
      </c>
      <c r="Q4016">
        <v>1</v>
      </c>
      <c r="R4016" t="s">
        <v>46572</v>
      </c>
      <c r="S4016" t="s">
        <v>46689</v>
      </c>
      <c r="T4016" t="s">
        <v>48304</v>
      </c>
      <c r="U4016" t="s">
        <v>52095</v>
      </c>
      <c r="W4016" t="s">
        <v>44148</v>
      </c>
      <c r="X4016" t="s">
        <v>46573</v>
      </c>
    </row>
    <row r="4017" spans="1:24">
      <c r="A4017">
        <f>HYPERLINK("https://www.philgeps.gov.ph/GEPSNONPILOT/Tender/SplashBidNoticeAbstractUI.aspx?menuIndex=3&amp;refID=7063428&amp;Result=3","7063428")</f>
        <v>0</v>
      </c>
      <c r="B4017" t="s">
        <v>142</v>
      </c>
      <c r="C4017" t="s">
        <v>7391</v>
      </c>
      <c r="D4017" t="s">
        <v>18784</v>
      </c>
      <c r="E4017" t="s">
        <v>19146</v>
      </c>
      <c r="F4017" t="s">
        <v>32664</v>
      </c>
      <c r="G4017" t="s">
        <v>32671</v>
      </c>
      <c r="H4017" t="s">
        <v>12635</v>
      </c>
      <c r="I4017" t="s">
        <v>5501</v>
      </c>
      <c r="J4017" t="s">
        <v>33466</v>
      </c>
      <c r="K4017" t="s">
        <v>42281</v>
      </c>
      <c r="M4017" t="s">
        <v>42706</v>
      </c>
      <c r="N4017" t="s">
        <v>46569</v>
      </c>
      <c r="O4017" t="s">
        <v>46570</v>
      </c>
      <c r="P4017">
        <v>0</v>
      </c>
      <c r="Q4017">
        <v>25</v>
      </c>
      <c r="R4017" t="s">
        <v>46572</v>
      </c>
      <c r="S4017" t="s">
        <v>46689</v>
      </c>
      <c r="T4017" t="s">
        <v>48256</v>
      </c>
      <c r="U4017" t="s">
        <v>52096</v>
      </c>
      <c r="W4017" t="s">
        <v>42706</v>
      </c>
      <c r="X4017" t="s">
        <v>46573</v>
      </c>
    </row>
    <row r="4018" spans="1:24">
      <c r="A4018">
        <f>HYPERLINK("https://www.philgeps.gov.ph/GEPSNONPILOT/Tender/SplashBidNoticeAbstractUI.aspx?menuIndex=3&amp;refID=7063426&amp;Result=3","7063426")</f>
        <v>0</v>
      </c>
      <c r="B4018" t="s">
        <v>683</v>
      </c>
      <c r="C4018" t="s">
        <v>7392</v>
      </c>
      <c r="D4018" t="s">
        <v>18842</v>
      </c>
      <c r="E4018" t="s">
        <v>22514</v>
      </c>
      <c r="F4018" t="s">
        <v>32664</v>
      </c>
      <c r="G4018" t="s">
        <v>32674</v>
      </c>
      <c r="H4018" t="s">
        <v>12635</v>
      </c>
      <c r="I4018" t="s">
        <v>10361</v>
      </c>
      <c r="J4018" t="s">
        <v>32976</v>
      </c>
      <c r="K4018" t="s">
        <v>42283</v>
      </c>
      <c r="M4018" t="s">
        <v>43270</v>
      </c>
      <c r="N4018" t="s">
        <v>46569</v>
      </c>
      <c r="O4018" t="s">
        <v>46570</v>
      </c>
      <c r="P4018">
        <v>0</v>
      </c>
      <c r="Q4018">
        <v>0</v>
      </c>
      <c r="R4018" t="s">
        <v>46572</v>
      </c>
      <c r="S4018" t="s">
        <v>46689</v>
      </c>
      <c r="T4018" t="s">
        <v>48256</v>
      </c>
      <c r="U4018" t="s">
        <v>50070</v>
      </c>
      <c r="W4018" t="s">
        <v>43270</v>
      </c>
      <c r="X4018" t="s">
        <v>46573</v>
      </c>
    </row>
    <row r="4019" spans="1:24">
      <c r="A4019">
        <f>HYPERLINK("https://www.philgeps.gov.ph/GEPSNONPILOT/Tender/SplashBidNoticeAbstractUI.aspx?menuIndex=3&amp;refID=7063419&amp;Result=3","7063419")</f>
        <v>0</v>
      </c>
      <c r="B4019" t="s">
        <v>247</v>
      </c>
      <c r="C4019" t="s">
        <v>7393</v>
      </c>
      <c r="D4019" t="s">
        <v>18786</v>
      </c>
      <c r="E4019" t="s">
        <v>22515</v>
      </c>
      <c r="F4019" t="s">
        <v>32664</v>
      </c>
      <c r="G4019" t="s">
        <v>32671</v>
      </c>
      <c r="H4019" t="s">
        <v>12635</v>
      </c>
      <c r="I4019" t="s">
        <v>6118</v>
      </c>
      <c r="J4019" t="s">
        <v>33888</v>
      </c>
      <c r="K4019" t="s">
        <v>42289</v>
      </c>
      <c r="M4019" t="s">
        <v>42812</v>
      </c>
      <c r="N4019" t="s">
        <v>46569</v>
      </c>
      <c r="O4019" t="s">
        <v>46570</v>
      </c>
      <c r="P4019">
        <v>0</v>
      </c>
      <c r="Q4019">
        <v>1</v>
      </c>
      <c r="R4019" t="s">
        <v>46572</v>
      </c>
      <c r="S4019" t="s">
        <v>46689</v>
      </c>
      <c r="T4019" t="s">
        <v>48276</v>
      </c>
      <c r="U4019" t="s">
        <v>52097</v>
      </c>
      <c r="V4019" t="s">
        <v>62029</v>
      </c>
      <c r="W4019" t="s">
        <v>42812</v>
      </c>
      <c r="X4019" t="s">
        <v>46573</v>
      </c>
    </row>
    <row r="4020" spans="1:24">
      <c r="A4020">
        <f>HYPERLINK("https://www.philgeps.gov.ph/GEPSNONPILOT/Tender/SplashBidNoticeAbstractUI.aspx?menuIndex=3&amp;refID=7063423&amp;Result=3","7063423")</f>
        <v>0</v>
      </c>
      <c r="B4020" t="s">
        <v>508</v>
      </c>
      <c r="C4020" t="s">
        <v>7394</v>
      </c>
      <c r="D4020" t="s">
        <v>18785</v>
      </c>
      <c r="E4020" t="s">
        <v>22516</v>
      </c>
      <c r="F4020" t="s">
        <v>32664</v>
      </c>
      <c r="G4020" t="s">
        <v>32671</v>
      </c>
      <c r="H4020" t="s">
        <v>12635</v>
      </c>
      <c r="I4020" t="s">
        <v>5501</v>
      </c>
      <c r="J4020" t="s">
        <v>35456</v>
      </c>
      <c r="K4020" t="s">
        <v>42289</v>
      </c>
      <c r="M4020" t="s">
        <v>43084</v>
      </c>
      <c r="N4020" t="s">
        <v>46569</v>
      </c>
      <c r="O4020" t="s">
        <v>46570</v>
      </c>
      <c r="P4020">
        <v>0</v>
      </c>
      <c r="Q4020">
        <v>15</v>
      </c>
      <c r="R4020" t="s">
        <v>46572</v>
      </c>
      <c r="S4020" t="s">
        <v>46689</v>
      </c>
      <c r="T4020" t="s">
        <v>48305</v>
      </c>
      <c r="U4020" t="s">
        <v>52098</v>
      </c>
      <c r="W4020" t="s">
        <v>43084</v>
      </c>
      <c r="X4020" t="s">
        <v>46573</v>
      </c>
    </row>
    <row r="4021" spans="1:24">
      <c r="A4021">
        <f>HYPERLINK("https://www.philgeps.gov.ph/GEPSNONPILOT/Tender/SplashBidNoticeAbstractUI.aspx?menuIndex=3&amp;refID=7063398&amp;Result=3","7063398")</f>
        <v>0</v>
      </c>
      <c r="B4021" t="s">
        <v>1485</v>
      </c>
      <c r="C4021" t="s">
        <v>7395</v>
      </c>
      <c r="E4021" t="s">
        <v>22517</v>
      </c>
      <c r="F4021" t="s">
        <v>32664</v>
      </c>
      <c r="G4021" t="s">
        <v>32671</v>
      </c>
      <c r="H4021" t="s">
        <v>12635</v>
      </c>
      <c r="I4021" t="s">
        <v>9486</v>
      </c>
      <c r="J4021" t="s">
        <v>35457</v>
      </c>
      <c r="K4021" t="s">
        <v>42283</v>
      </c>
      <c r="M4021" t="s">
        <v>44149</v>
      </c>
      <c r="N4021" t="s">
        <v>46569</v>
      </c>
      <c r="O4021" t="s">
        <v>46570</v>
      </c>
      <c r="P4021">
        <v>0</v>
      </c>
      <c r="Q4021">
        <v>6</v>
      </c>
      <c r="R4021" t="s">
        <v>46572</v>
      </c>
      <c r="S4021" t="s">
        <v>46689</v>
      </c>
      <c r="T4021" t="s">
        <v>48256</v>
      </c>
      <c r="U4021" t="s">
        <v>52099</v>
      </c>
      <c r="W4021" t="s">
        <v>44149</v>
      </c>
      <c r="X4021" t="s">
        <v>46573</v>
      </c>
    </row>
    <row r="4022" spans="1:24">
      <c r="A4022">
        <f>HYPERLINK("https://www.philgeps.gov.ph/GEPSNONPILOT/Tender/SplashBidNoticeAbstractUI.aspx?menuIndex=3&amp;refID=7063396&amp;Result=3","7063396")</f>
        <v>0</v>
      </c>
      <c r="B4022" t="s">
        <v>1080</v>
      </c>
      <c r="C4022" t="s">
        <v>7396</v>
      </c>
      <c r="D4022" t="s">
        <v>18787</v>
      </c>
      <c r="E4022" t="s">
        <v>19461</v>
      </c>
      <c r="F4022" t="s">
        <v>32664</v>
      </c>
      <c r="G4022" t="s">
        <v>32671</v>
      </c>
      <c r="H4022" t="s">
        <v>32683</v>
      </c>
      <c r="I4022" t="s">
        <v>32733</v>
      </c>
      <c r="J4022" t="s">
        <v>33338</v>
      </c>
      <c r="K4022" t="s">
        <v>42284</v>
      </c>
      <c r="M4022" t="s">
        <v>43703</v>
      </c>
      <c r="N4022" t="s">
        <v>46569</v>
      </c>
      <c r="O4022" t="s">
        <v>46570</v>
      </c>
      <c r="P4022">
        <v>0</v>
      </c>
      <c r="Q4022">
        <v>0</v>
      </c>
      <c r="R4022" t="s">
        <v>46572</v>
      </c>
      <c r="S4022" t="s">
        <v>46689</v>
      </c>
      <c r="T4022" t="s">
        <v>48459</v>
      </c>
      <c r="U4022" t="s">
        <v>52100</v>
      </c>
      <c r="W4022" t="s">
        <v>43703</v>
      </c>
      <c r="X4022" t="s">
        <v>46573</v>
      </c>
    </row>
    <row r="4023" spans="1:24">
      <c r="A4023">
        <f>HYPERLINK("https://www.philgeps.gov.ph/GEPSNONPILOT/Tender/SplashBidNoticeAbstractUI.aspx?menuIndex=3&amp;refID=7063374&amp;Result=3","7063374")</f>
        <v>0</v>
      </c>
      <c r="B4023" t="s">
        <v>402</v>
      </c>
      <c r="C4023" t="s">
        <v>7397</v>
      </c>
      <c r="D4023" t="s">
        <v>18781</v>
      </c>
      <c r="E4023" t="s">
        <v>22518</v>
      </c>
      <c r="F4023" t="s">
        <v>32664</v>
      </c>
      <c r="G4023" t="s">
        <v>32671</v>
      </c>
      <c r="H4023" t="s">
        <v>12635</v>
      </c>
      <c r="I4023" t="s">
        <v>32685</v>
      </c>
      <c r="J4023" t="s">
        <v>35458</v>
      </c>
      <c r="K4023" t="s">
        <v>42283</v>
      </c>
      <c r="M4023" t="s">
        <v>42972</v>
      </c>
      <c r="N4023" t="s">
        <v>46569</v>
      </c>
      <c r="O4023" t="s">
        <v>46570</v>
      </c>
      <c r="P4023">
        <v>0</v>
      </c>
      <c r="Q4023">
        <v>0</v>
      </c>
      <c r="R4023" t="s">
        <v>46572</v>
      </c>
      <c r="S4023" t="s">
        <v>46689</v>
      </c>
      <c r="T4023" t="s">
        <v>48217</v>
      </c>
      <c r="U4023" t="s">
        <v>52101</v>
      </c>
      <c r="W4023" t="s">
        <v>42972</v>
      </c>
      <c r="X4023" t="s">
        <v>46573</v>
      </c>
    </row>
    <row r="4024" spans="1:24">
      <c r="A4024">
        <f>HYPERLINK("https://www.philgeps.gov.ph/GEPSNONPILOT/Tender/SplashBidNoticeAbstractUI.aspx?menuIndex=3&amp;refID=7063373&amp;Result=3","7063373")</f>
        <v>0</v>
      </c>
      <c r="B4024" t="s">
        <v>1486</v>
      </c>
      <c r="C4024" t="s">
        <v>7398</v>
      </c>
      <c r="D4024" t="s">
        <v>18804</v>
      </c>
      <c r="E4024" t="s">
        <v>21755</v>
      </c>
      <c r="F4024" t="s">
        <v>32664</v>
      </c>
      <c r="G4024" t="s">
        <v>32672</v>
      </c>
      <c r="H4024" t="s">
        <v>32683</v>
      </c>
      <c r="I4024" t="s">
        <v>10627</v>
      </c>
      <c r="J4024" t="s">
        <v>33111</v>
      </c>
      <c r="K4024" t="s">
        <v>42283</v>
      </c>
      <c r="M4024" t="s">
        <v>44150</v>
      </c>
      <c r="N4024" t="s">
        <v>46569</v>
      </c>
      <c r="O4024" t="s">
        <v>46570</v>
      </c>
      <c r="P4024">
        <v>0</v>
      </c>
      <c r="Q4024">
        <v>0</v>
      </c>
      <c r="R4024" t="s">
        <v>46572</v>
      </c>
      <c r="S4024" t="s">
        <v>46689</v>
      </c>
      <c r="T4024" t="s">
        <v>48312</v>
      </c>
      <c r="U4024" t="s">
        <v>52102</v>
      </c>
      <c r="W4024" t="s">
        <v>44150</v>
      </c>
      <c r="X4024" t="s">
        <v>46573</v>
      </c>
    </row>
    <row r="4025" spans="1:24">
      <c r="A4025">
        <f>HYPERLINK("https://www.philgeps.gov.ph/GEPSNONPILOT/Tender/SplashBidNoticeAbstractUI.aspx?menuIndex=3&amp;refID=7063421&amp;Result=3","7063421")</f>
        <v>0</v>
      </c>
      <c r="B4025" t="s">
        <v>594</v>
      </c>
      <c r="C4025" t="s">
        <v>7399</v>
      </c>
      <c r="D4025" t="s">
        <v>18784</v>
      </c>
      <c r="E4025" t="s">
        <v>22519</v>
      </c>
      <c r="F4025" t="s">
        <v>32664</v>
      </c>
      <c r="G4025" t="s">
        <v>32674</v>
      </c>
      <c r="H4025" t="s">
        <v>12635</v>
      </c>
      <c r="I4025" t="s">
        <v>32758</v>
      </c>
      <c r="J4025" t="s">
        <v>35459</v>
      </c>
      <c r="K4025" t="s">
        <v>42297</v>
      </c>
      <c r="M4025" t="s">
        <v>43793</v>
      </c>
      <c r="N4025" t="s">
        <v>46569</v>
      </c>
      <c r="O4025" t="s">
        <v>46570</v>
      </c>
      <c r="P4025">
        <v>0</v>
      </c>
      <c r="Q4025">
        <v>2</v>
      </c>
      <c r="R4025" t="s">
        <v>46572</v>
      </c>
      <c r="S4025" t="s">
        <v>46689</v>
      </c>
      <c r="T4025" t="s">
        <v>48341</v>
      </c>
      <c r="U4025" t="s">
        <v>51952</v>
      </c>
      <c r="V4025" t="s">
        <v>61909</v>
      </c>
      <c r="W4025" t="s">
        <v>43793</v>
      </c>
      <c r="X4025" t="s">
        <v>46573</v>
      </c>
    </row>
    <row r="4026" spans="1:24">
      <c r="A4026">
        <f>HYPERLINK("https://www.philgeps.gov.ph/GEPSNONPILOT/Tender/SplashBidNoticeAbstractUI.aspx?menuIndex=3&amp;refID=7063573&amp;Result=3","7063573")</f>
        <v>0</v>
      </c>
      <c r="B4026" t="s">
        <v>1349</v>
      </c>
      <c r="C4026" t="s">
        <v>7400</v>
      </c>
      <c r="D4026" t="s">
        <v>18790</v>
      </c>
      <c r="E4026" t="s">
        <v>22520</v>
      </c>
      <c r="F4026" t="s">
        <v>32664</v>
      </c>
      <c r="G4026" t="s">
        <v>32672</v>
      </c>
      <c r="H4026" t="s">
        <v>12635</v>
      </c>
      <c r="I4026" t="s">
        <v>4333</v>
      </c>
      <c r="J4026" t="s">
        <v>35460</v>
      </c>
      <c r="K4026" t="s">
        <v>42289</v>
      </c>
      <c r="M4026" t="s">
        <v>44001</v>
      </c>
      <c r="N4026" t="s">
        <v>46569</v>
      </c>
      <c r="O4026" t="s">
        <v>46570</v>
      </c>
      <c r="P4026">
        <v>0</v>
      </c>
      <c r="Q4026">
        <v>0</v>
      </c>
      <c r="R4026" t="s">
        <v>46572</v>
      </c>
      <c r="S4026" t="s">
        <v>46689</v>
      </c>
      <c r="T4026" t="s">
        <v>48268</v>
      </c>
      <c r="U4026" t="s">
        <v>52103</v>
      </c>
      <c r="V4026" t="s">
        <v>62030</v>
      </c>
      <c r="W4026" t="s">
        <v>44001</v>
      </c>
      <c r="X4026" t="s">
        <v>46573</v>
      </c>
    </row>
    <row r="4027" spans="1:24">
      <c r="A4027">
        <f>HYPERLINK("https://www.philgeps.gov.ph/GEPSNONPILOT/Tender/SplashBidNoticeAbstractUI.aspx?menuIndex=3&amp;refID=7063695&amp;Result=3","7063695")</f>
        <v>0</v>
      </c>
      <c r="B4027" t="s">
        <v>925</v>
      </c>
      <c r="C4027" t="s">
        <v>7401</v>
      </c>
      <c r="D4027" t="s">
        <v>18836</v>
      </c>
      <c r="E4027" t="s">
        <v>22521</v>
      </c>
      <c r="F4027" t="s">
        <v>32664</v>
      </c>
      <c r="G4027" t="s">
        <v>32671</v>
      </c>
      <c r="H4027" t="s">
        <v>12635</v>
      </c>
      <c r="I4027" t="s">
        <v>32712</v>
      </c>
      <c r="J4027" t="s">
        <v>35461</v>
      </c>
      <c r="K4027" t="s">
        <v>42297</v>
      </c>
      <c r="M4027" t="s">
        <v>43531</v>
      </c>
      <c r="N4027" t="s">
        <v>46569</v>
      </c>
      <c r="O4027" t="s">
        <v>46570</v>
      </c>
      <c r="P4027">
        <v>0</v>
      </c>
      <c r="Q4027">
        <v>3</v>
      </c>
      <c r="R4027" t="s">
        <v>46572</v>
      </c>
      <c r="S4027" t="s">
        <v>46689</v>
      </c>
      <c r="T4027" t="s">
        <v>48256</v>
      </c>
      <c r="U4027" t="s">
        <v>52104</v>
      </c>
      <c r="W4027" t="s">
        <v>43531</v>
      </c>
      <c r="X4027" t="s">
        <v>46573</v>
      </c>
    </row>
    <row r="4028" spans="1:24">
      <c r="A4028">
        <f>HYPERLINK("https://www.philgeps.gov.ph/GEPSNONPILOT/Tender/SplashBidNoticeAbstractUI.aspx?menuIndex=3&amp;refID=7063450&amp;Result=3","7063450")</f>
        <v>0</v>
      </c>
      <c r="B4028" t="s">
        <v>1415</v>
      </c>
      <c r="C4028" t="s">
        <v>7402</v>
      </c>
      <c r="D4028" t="s">
        <v>18794</v>
      </c>
      <c r="E4028" t="s">
        <v>22522</v>
      </c>
      <c r="F4028" t="s">
        <v>32664</v>
      </c>
      <c r="G4028" t="s">
        <v>32671</v>
      </c>
      <c r="H4028" t="s">
        <v>12635</v>
      </c>
      <c r="I4028" t="s">
        <v>8797</v>
      </c>
      <c r="J4028" t="s">
        <v>35462</v>
      </c>
      <c r="K4028" t="s">
        <v>42298</v>
      </c>
      <c r="M4028" t="s">
        <v>44073</v>
      </c>
      <c r="N4028" t="s">
        <v>46569</v>
      </c>
      <c r="O4028" t="s">
        <v>46570</v>
      </c>
      <c r="P4028">
        <v>0</v>
      </c>
      <c r="Q4028">
        <v>0</v>
      </c>
      <c r="R4028" t="s">
        <v>46572</v>
      </c>
      <c r="S4028" t="s">
        <v>46689</v>
      </c>
      <c r="T4028" t="s">
        <v>48293</v>
      </c>
      <c r="U4028" t="s">
        <v>52105</v>
      </c>
      <c r="W4028" t="s">
        <v>63512</v>
      </c>
      <c r="X4028" t="s">
        <v>46573</v>
      </c>
    </row>
    <row r="4029" spans="1:24">
      <c r="A4029">
        <f>HYPERLINK("https://www.philgeps.gov.ph/GEPSNONPILOT/Tender/SplashBidNoticeAbstractUI.aspx?menuIndex=3&amp;refID=7063717&amp;Result=3","7063717")</f>
        <v>0</v>
      </c>
      <c r="B4029" t="s">
        <v>475</v>
      </c>
      <c r="C4029" t="s">
        <v>7403</v>
      </c>
      <c r="D4029" t="s">
        <v>18796</v>
      </c>
      <c r="E4029" t="s">
        <v>22523</v>
      </c>
      <c r="F4029" t="s">
        <v>32664</v>
      </c>
      <c r="G4029" t="s">
        <v>32675</v>
      </c>
      <c r="H4029" t="s">
        <v>12635</v>
      </c>
      <c r="I4029" t="s">
        <v>6168</v>
      </c>
      <c r="J4029" t="s">
        <v>33330</v>
      </c>
      <c r="K4029" t="s">
        <v>42289</v>
      </c>
      <c r="M4029" t="s">
        <v>43050</v>
      </c>
      <c r="N4029" t="s">
        <v>46569</v>
      </c>
      <c r="O4029" t="s">
        <v>46570</v>
      </c>
      <c r="P4029">
        <v>0</v>
      </c>
      <c r="Q4029">
        <v>0</v>
      </c>
      <c r="R4029" t="s">
        <v>46572</v>
      </c>
      <c r="S4029" t="s">
        <v>46689</v>
      </c>
      <c r="T4029" t="s">
        <v>48334</v>
      </c>
      <c r="U4029" t="s">
        <v>52106</v>
      </c>
      <c r="W4029" t="s">
        <v>43050</v>
      </c>
      <c r="X4029" t="s">
        <v>46573</v>
      </c>
    </row>
    <row r="4030" spans="1:24">
      <c r="A4030">
        <f>HYPERLINK("https://www.philgeps.gov.ph/GEPSNONPILOT/Tender/SplashBidNoticeAbstractUI.aspx?menuIndex=3&amp;refID=7063395&amp;Result=3","7063395")</f>
        <v>0</v>
      </c>
      <c r="B4030" t="s">
        <v>231</v>
      </c>
      <c r="C4030" t="s">
        <v>7404</v>
      </c>
      <c r="D4030" t="s">
        <v>18845</v>
      </c>
      <c r="E4030" t="s">
        <v>7404</v>
      </c>
      <c r="F4030" t="s">
        <v>32664</v>
      </c>
      <c r="G4030" t="s">
        <v>32674</v>
      </c>
      <c r="H4030" t="s">
        <v>12635</v>
      </c>
      <c r="I4030" t="s">
        <v>32704</v>
      </c>
      <c r="J4030" t="s">
        <v>35463</v>
      </c>
      <c r="K4030" t="s">
        <v>42281</v>
      </c>
      <c r="M4030" t="s">
        <v>44083</v>
      </c>
      <c r="N4030" t="s">
        <v>46569</v>
      </c>
      <c r="O4030" t="s">
        <v>46570</v>
      </c>
      <c r="P4030">
        <v>0</v>
      </c>
      <c r="Q4030">
        <v>1</v>
      </c>
      <c r="R4030" t="s">
        <v>46572</v>
      </c>
      <c r="S4030" t="s">
        <v>46689</v>
      </c>
      <c r="T4030" t="s">
        <v>48389</v>
      </c>
      <c r="U4030" t="s">
        <v>52107</v>
      </c>
      <c r="W4030" t="s">
        <v>44083</v>
      </c>
      <c r="X4030" t="s">
        <v>46573</v>
      </c>
    </row>
    <row r="4031" spans="1:24">
      <c r="A4031">
        <f>HYPERLINK("https://www.philgeps.gov.ph/GEPSNONPILOT/Tender/SplashBidNoticeAbstractUI.aspx?menuIndex=3&amp;refID=7063716&amp;Result=3","7063716")</f>
        <v>0</v>
      </c>
      <c r="B4031" t="s">
        <v>352</v>
      </c>
      <c r="C4031" t="s">
        <v>7405</v>
      </c>
      <c r="D4031" t="s">
        <v>18836</v>
      </c>
      <c r="E4031" t="s">
        <v>22524</v>
      </c>
      <c r="F4031" t="s">
        <v>32664</v>
      </c>
      <c r="G4031" t="s">
        <v>32671</v>
      </c>
      <c r="H4031" t="s">
        <v>12635</v>
      </c>
      <c r="I4031" t="s">
        <v>7709</v>
      </c>
      <c r="J4031" t="s">
        <v>34273</v>
      </c>
      <c r="K4031" t="s">
        <v>42297</v>
      </c>
      <c r="M4031" t="s">
        <v>43215</v>
      </c>
      <c r="N4031" t="s">
        <v>46569</v>
      </c>
      <c r="O4031" t="s">
        <v>46570</v>
      </c>
      <c r="P4031">
        <v>0</v>
      </c>
      <c r="Q4031">
        <v>0</v>
      </c>
      <c r="R4031" t="s">
        <v>46572</v>
      </c>
      <c r="S4031" t="s">
        <v>46689</v>
      </c>
      <c r="T4031" t="s">
        <v>48256</v>
      </c>
      <c r="U4031" t="s">
        <v>52108</v>
      </c>
      <c r="V4031" t="s">
        <v>61781</v>
      </c>
      <c r="W4031" t="s">
        <v>43215</v>
      </c>
      <c r="X4031" t="s">
        <v>46573</v>
      </c>
    </row>
    <row r="4032" spans="1:24">
      <c r="A4032">
        <f>HYPERLINK("https://www.philgeps.gov.ph/GEPSNONPILOT/Tender/SplashBidNoticeAbstractUI.aspx?menuIndex=3&amp;refID=7063713&amp;Result=3","7063713")</f>
        <v>0</v>
      </c>
      <c r="B4032" t="s">
        <v>1149</v>
      </c>
      <c r="C4032" t="s">
        <v>7406</v>
      </c>
      <c r="D4032" t="s">
        <v>18846</v>
      </c>
      <c r="E4032" t="s">
        <v>22525</v>
      </c>
      <c r="F4032" t="s">
        <v>32664</v>
      </c>
      <c r="G4032" t="s">
        <v>32672</v>
      </c>
      <c r="H4032" t="s">
        <v>12635</v>
      </c>
      <c r="I4032" t="s">
        <v>11464</v>
      </c>
      <c r="J4032" t="s">
        <v>32837</v>
      </c>
      <c r="K4032" t="s">
        <v>42281</v>
      </c>
      <c r="M4032" t="s">
        <v>43780</v>
      </c>
      <c r="N4032" t="s">
        <v>46569</v>
      </c>
      <c r="O4032" t="s">
        <v>46570</v>
      </c>
      <c r="P4032">
        <v>0</v>
      </c>
      <c r="Q4032">
        <v>0</v>
      </c>
      <c r="R4032" t="s">
        <v>46572</v>
      </c>
      <c r="S4032" t="s">
        <v>46689</v>
      </c>
      <c r="T4032" t="s">
        <v>48483</v>
      </c>
      <c r="U4032" t="s">
        <v>52109</v>
      </c>
      <c r="W4032" t="s">
        <v>43780</v>
      </c>
      <c r="X4032" t="s">
        <v>46573</v>
      </c>
    </row>
    <row r="4033" spans="1:24">
      <c r="A4033">
        <f>HYPERLINK("https://www.philgeps.gov.ph/GEPSNONPILOT/Tender/SplashBidNoticeAbstractUI.aspx?menuIndex=3&amp;refID=7063709&amp;Result=3","7063709")</f>
        <v>0</v>
      </c>
      <c r="B4033" t="s">
        <v>231</v>
      </c>
      <c r="C4033" t="s">
        <v>7407</v>
      </c>
      <c r="D4033" t="s">
        <v>18845</v>
      </c>
      <c r="E4033" t="s">
        <v>22526</v>
      </c>
      <c r="F4033" t="s">
        <v>32664</v>
      </c>
      <c r="G4033" t="s">
        <v>32671</v>
      </c>
      <c r="H4033" t="s">
        <v>12635</v>
      </c>
      <c r="I4033" t="s">
        <v>32701</v>
      </c>
      <c r="J4033" t="s">
        <v>32962</v>
      </c>
      <c r="K4033" t="s">
        <v>42413</v>
      </c>
      <c r="M4033" t="s">
        <v>42795</v>
      </c>
      <c r="N4033" t="s">
        <v>46569</v>
      </c>
      <c r="O4033" t="s">
        <v>46570</v>
      </c>
      <c r="P4033">
        <v>0</v>
      </c>
      <c r="Q4033">
        <v>1</v>
      </c>
      <c r="R4033" t="s">
        <v>46572</v>
      </c>
      <c r="S4033" t="s">
        <v>46689</v>
      </c>
      <c r="T4033" t="s">
        <v>48313</v>
      </c>
      <c r="U4033" t="s">
        <v>52110</v>
      </c>
      <c r="W4033" t="s">
        <v>42795</v>
      </c>
      <c r="X4033" t="s">
        <v>46573</v>
      </c>
    </row>
    <row r="4034" spans="1:24">
      <c r="A4034">
        <f>HYPERLINK("https://www.philgeps.gov.ph/GEPSNONPILOT/Tender/SplashBidNoticeAbstractUI.aspx?menuIndex=3&amp;refID=7063711&amp;Result=3","7063711")</f>
        <v>0</v>
      </c>
      <c r="B4034" t="s">
        <v>379</v>
      </c>
      <c r="C4034" t="s">
        <v>7408</v>
      </c>
      <c r="D4034" t="s">
        <v>18837</v>
      </c>
      <c r="E4034" t="s">
        <v>22527</v>
      </c>
      <c r="F4034" t="s">
        <v>32664</v>
      </c>
      <c r="G4034" t="s">
        <v>32672</v>
      </c>
      <c r="H4034" t="s">
        <v>12635</v>
      </c>
      <c r="I4034" t="s">
        <v>32698</v>
      </c>
      <c r="J4034" t="s">
        <v>35464</v>
      </c>
      <c r="K4034" t="s">
        <v>42303</v>
      </c>
      <c r="M4034" t="s">
        <v>42949</v>
      </c>
      <c r="N4034" t="s">
        <v>46569</v>
      </c>
      <c r="O4034" t="s">
        <v>46570</v>
      </c>
      <c r="P4034">
        <v>0</v>
      </c>
      <c r="Q4034">
        <v>1</v>
      </c>
      <c r="R4034" t="s">
        <v>46572</v>
      </c>
      <c r="S4034" t="s">
        <v>46689</v>
      </c>
      <c r="T4034" t="s">
        <v>48498</v>
      </c>
      <c r="U4034" t="s">
        <v>52111</v>
      </c>
      <c r="W4034" t="s">
        <v>42949</v>
      </c>
      <c r="X4034" t="s">
        <v>46573</v>
      </c>
    </row>
    <row r="4035" spans="1:24">
      <c r="A4035">
        <f>HYPERLINK("https://www.philgeps.gov.ph/GEPSNONPILOT/Tender/SplashBidNoticeAbstractUI.aspx?menuIndex=3&amp;refID=7063707&amp;Result=3","7063707")</f>
        <v>0</v>
      </c>
      <c r="B4035" t="s">
        <v>1487</v>
      </c>
      <c r="C4035" t="s">
        <v>7409</v>
      </c>
      <c r="D4035" t="s">
        <v>18819</v>
      </c>
      <c r="E4035" t="s">
        <v>22528</v>
      </c>
      <c r="F4035" t="s">
        <v>32664</v>
      </c>
      <c r="G4035" t="s">
        <v>32672</v>
      </c>
      <c r="H4035" t="s">
        <v>12635</v>
      </c>
      <c r="I4035" t="s">
        <v>8797</v>
      </c>
      <c r="J4035" t="s">
        <v>35465</v>
      </c>
      <c r="K4035" t="s">
        <v>42284</v>
      </c>
      <c r="M4035" t="s">
        <v>44151</v>
      </c>
      <c r="N4035" t="s">
        <v>46569</v>
      </c>
      <c r="O4035" t="s">
        <v>46570</v>
      </c>
      <c r="P4035">
        <v>0</v>
      </c>
      <c r="Q4035">
        <v>4</v>
      </c>
      <c r="R4035" t="s">
        <v>46572</v>
      </c>
      <c r="S4035" t="s">
        <v>46689</v>
      </c>
      <c r="T4035" t="s">
        <v>48274</v>
      </c>
      <c r="U4035" t="s">
        <v>52112</v>
      </c>
      <c r="W4035" t="s">
        <v>44151</v>
      </c>
      <c r="X4035" t="s">
        <v>46573</v>
      </c>
    </row>
    <row r="4036" spans="1:24">
      <c r="A4036">
        <f>HYPERLINK("https://www.philgeps.gov.ph/GEPSNONPILOT/Tender/SplashBidNoticeAbstractUI.aspx?menuIndex=3&amp;refID=7063708&amp;Result=3","7063708")</f>
        <v>0</v>
      </c>
      <c r="B4036" t="s">
        <v>1370</v>
      </c>
      <c r="C4036" t="s">
        <v>7410</v>
      </c>
      <c r="D4036" t="s">
        <v>18831</v>
      </c>
      <c r="E4036" t="s">
        <v>22529</v>
      </c>
      <c r="F4036" t="s">
        <v>32664</v>
      </c>
      <c r="G4036" t="s">
        <v>32674</v>
      </c>
      <c r="H4036" t="s">
        <v>12635</v>
      </c>
      <c r="I4036" t="s">
        <v>6223</v>
      </c>
      <c r="J4036" t="s">
        <v>35466</v>
      </c>
      <c r="K4036" t="s">
        <v>42283</v>
      </c>
      <c r="M4036" t="s">
        <v>44025</v>
      </c>
      <c r="N4036" t="s">
        <v>46569</v>
      </c>
      <c r="O4036" t="s">
        <v>46570</v>
      </c>
      <c r="P4036">
        <v>0</v>
      </c>
      <c r="Q4036">
        <v>0</v>
      </c>
      <c r="R4036" t="s">
        <v>46572</v>
      </c>
      <c r="S4036" t="s">
        <v>46689</v>
      </c>
      <c r="T4036" t="s">
        <v>48287</v>
      </c>
      <c r="U4036" t="s">
        <v>52113</v>
      </c>
      <c r="W4036" t="s">
        <v>44025</v>
      </c>
      <c r="X4036" t="s">
        <v>46573</v>
      </c>
    </row>
    <row r="4037" spans="1:24">
      <c r="A4037">
        <f>HYPERLINK("https://www.philgeps.gov.ph/GEPSNONPILOT/Tender/SplashBidNoticeAbstractUI.aspx?menuIndex=3&amp;refID=7063393&amp;Result=3","7063393")</f>
        <v>0</v>
      </c>
      <c r="B4037" t="s">
        <v>1210</v>
      </c>
      <c r="C4037" t="s">
        <v>7411</v>
      </c>
      <c r="D4037" t="s">
        <v>18788</v>
      </c>
      <c r="E4037" t="s">
        <v>22530</v>
      </c>
      <c r="F4037" t="s">
        <v>32664</v>
      </c>
      <c r="G4037" t="s">
        <v>32672</v>
      </c>
      <c r="H4037" t="s">
        <v>32683</v>
      </c>
      <c r="I4037" t="s">
        <v>10627</v>
      </c>
      <c r="J4037" t="s">
        <v>35467</v>
      </c>
      <c r="K4037" t="s">
        <v>42283</v>
      </c>
      <c r="M4037" t="s">
        <v>43848</v>
      </c>
      <c r="N4037" t="s">
        <v>46569</v>
      </c>
      <c r="O4037" t="s">
        <v>46570</v>
      </c>
      <c r="P4037">
        <v>0</v>
      </c>
      <c r="Q4037">
        <v>0</v>
      </c>
      <c r="R4037" t="s">
        <v>46572</v>
      </c>
      <c r="S4037" t="s">
        <v>46689</v>
      </c>
      <c r="T4037" t="s">
        <v>48226</v>
      </c>
      <c r="U4037" t="s">
        <v>51362</v>
      </c>
      <c r="W4037" t="s">
        <v>43848</v>
      </c>
      <c r="X4037" t="s">
        <v>46573</v>
      </c>
    </row>
    <row r="4038" spans="1:24">
      <c r="A4038">
        <f>HYPERLINK("https://www.philgeps.gov.ph/GEPSNONPILOT/Tender/SplashBidNoticeAbstractUI.aspx?menuIndex=3&amp;refID=7063706&amp;Result=3","7063706")</f>
        <v>0</v>
      </c>
      <c r="B4038" t="s">
        <v>1459</v>
      </c>
      <c r="C4038" t="s">
        <v>7412</v>
      </c>
      <c r="D4038" t="s">
        <v>18784</v>
      </c>
      <c r="E4038" t="s">
        <v>22531</v>
      </c>
      <c r="F4038" t="s">
        <v>32664</v>
      </c>
      <c r="G4038" t="s">
        <v>32674</v>
      </c>
      <c r="H4038" t="s">
        <v>12635</v>
      </c>
      <c r="I4038" t="s">
        <v>6168</v>
      </c>
      <c r="J4038" t="s">
        <v>35468</v>
      </c>
      <c r="K4038" t="s">
        <v>42289</v>
      </c>
      <c r="M4038" t="s">
        <v>44120</v>
      </c>
      <c r="N4038" t="s">
        <v>46569</v>
      </c>
      <c r="O4038" t="s">
        <v>46570</v>
      </c>
      <c r="P4038">
        <v>0</v>
      </c>
      <c r="Q4038">
        <v>3</v>
      </c>
      <c r="R4038" t="s">
        <v>46572</v>
      </c>
      <c r="S4038" t="s">
        <v>46689</v>
      </c>
      <c r="T4038" t="s">
        <v>48492</v>
      </c>
      <c r="U4038" t="s">
        <v>52114</v>
      </c>
      <c r="V4038" t="s">
        <v>62017</v>
      </c>
      <c r="W4038" t="s">
        <v>44120</v>
      </c>
      <c r="X4038" t="s">
        <v>46573</v>
      </c>
    </row>
    <row r="4039" spans="1:24">
      <c r="A4039">
        <f>HYPERLINK("https://www.philgeps.gov.ph/GEPSNONPILOT/Tender/SplashBidNoticeAbstractUI.aspx?menuIndex=3&amp;refID=7063705&amp;Result=3","7063705")</f>
        <v>0</v>
      </c>
      <c r="B4039" t="s">
        <v>1488</v>
      </c>
      <c r="C4039" t="s">
        <v>7413</v>
      </c>
      <c r="D4039" t="s">
        <v>18822</v>
      </c>
      <c r="E4039" t="s">
        <v>22532</v>
      </c>
      <c r="F4039" t="s">
        <v>32664</v>
      </c>
      <c r="G4039" t="s">
        <v>32671</v>
      </c>
      <c r="H4039" t="s">
        <v>12635</v>
      </c>
      <c r="I4039" t="s">
        <v>32696</v>
      </c>
      <c r="J4039" t="s">
        <v>34638</v>
      </c>
      <c r="K4039" t="s">
        <v>42283</v>
      </c>
      <c r="M4039" t="s">
        <v>44152</v>
      </c>
      <c r="N4039" t="s">
        <v>46569</v>
      </c>
      <c r="O4039" t="s">
        <v>46570</v>
      </c>
      <c r="P4039">
        <v>0</v>
      </c>
      <c r="Q4039">
        <v>2</v>
      </c>
      <c r="R4039" t="s">
        <v>46572</v>
      </c>
      <c r="S4039" t="s">
        <v>46689</v>
      </c>
      <c r="T4039" t="s">
        <v>48219</v>
      </c>
      <c r="U4039" t="s">
        <v>52115</v>
      </c>
      <c r="W4039" t="s">
        <v>44152</v>
      </c>
      <c r="X4039" t="s">
        <v>46573</v>
      </c>
    </row>
    <row r="4040" spans="1:24">
      <c r="A4040">
        <f>HYPERLINK("https://www.philgeps.gov.ph/GEPSNONPILOT/Tender/SplashBidNoticeAbstractUI.aspx?menuIndex=3&amp;refID=7063704&amp;Result=3","7063704")</f>
        <v>0</v>
      </c>
      <c r="B4040" t="s">
        <v>493</v>
      </c>
      <c r="C4040" t="s">
        <v>7414</v>
      </c>
      <c r="D4040" t="s">
        <v>18827</v>
      </c>
      <c r="E4040" t="s">
        <v>22533</v>
      </c>
      <c r="F4040" t="s">
        <v>32664</v>
      </c>
      <c r="G4040" t="s">
        <v>32671</v>
      </c>
      <c r="H4040" t="s">
        <v>12635</v>
      </c>
      <c r="I4040" t="s">
        <v>8797</v>
      </c>
      <c r="J4040" t="s">
        <v>35469</v>
      </c>
      <c r="K4040" t="s">
        <v>42289</v>
      </c>
      <c r="M4040" t="s">
        <v>43069</v>
      </c>
      <c r="N4040" t="s">
        <v>46569</v>
      </c>
      <c r="O4040" t="s">
        <v>46570</v>
      </c>
      <c r="P4040">
        <v>0</v>
      </c>
      <c r="Q4040">
        <v>0</v>
      </c>
      <c r="R4040" t="s">
        <v>46572</v>
      </c>
      <c r="S4040" t="s">
        <v>46689</v>
      </c>
      <c r="T4040" t="s">
        <v>48276</v>
      </c>
      <c r="U4040" t="s">
        <v>49658</v>
      </c>
      <c r="W4040" t="s">
        <v>43069</v>
      </c>
      <c r="X4040" t="s">
        <v>46573</v>
      </c>
    </row>
    <row r="4041" spans="1:24">
      <c r="A4041">
        <f>HYPERLINK("https://www.philgeps.gov.ph/GEPSNONPILOT/Tender/SplashBidNoticeAbstractUI.aspx?menuIndex=3&amp;refID=7063701&amp;Result=3","7063701")</f>
        <v>0</v>
      </c>
      <c r="B4041" t="s">
        <v>1459</v>
      </c>
      <c r="C4041" t="s">
        <v>7415</v>
      </c>
      <c r="D4041" t="s">
        <v>18784</v>
      </c>
      <c r="E4041" t="s">
        <v>22534</v>
      </c>
      <c r="F4041" t="s">
        <v>32664</v>
      </c>
      <c r="G4041" t="s">
        <v>32674</v>
      </c>
      <c r="H4041" t="s">
        <v>12635</v>
      </c>
      <c r="I4041" t="s">
        <v>6168</v>
      </c>
      <c r="J4041" t="s">
        <v>32898</v>
      </c>
      <c r="K4041" t="s">
        <v>42289</v>
      </c>
      <c r="M4041" t="s">
        <v>44120</v>
      </c>
      <c r="N4041" t="s">
        <v>46569</v>
      </c>
      <c r="O4041" t="s">
        <v>46570</v>
      </c>
      <c r="P4041">
        <v>0</v>
      </c>
      <c r="Q4041">
        <v>0</v>
      </c>
      <c r="R4041" t="s">
        <v>46572</v>
      </c>
      <c r="S4041" t="s">
        <v>46689</v>
      </c>
      <c r="T4041" t="s">
        <v>48492</v>
      </c>
      <c r="U4041" t="s">
        <v>52116</v>
      </c>
      <c r="V4041" t="s">
        <v>62017</v>
      </c>
      <c r="W4041" t="s">
        <v>44120</v>
      </c>
      <c r="X4041" t="s">
        <v>46573</v>
      </c>
    </row>
    <row r="4042" spans="1:24">
      <c r="A4042">
        <f>HYPERLINK("https://www.philgeps.gov.ph/GEPSNONPILOT/Tender/SplashBidNoticeAbstractUI.aspx?menuIndex=3&amp;refID=7063697&amp;Result=3","7063697")</f>
        <v>0</v>
      </c>
      <c r="B4042" t="s">
        <v>1380</v>
      </c>
      <c r="C4042" t="s">
        <v>7416</v>
      </c>
      <c r="D4042" t="s">
        <v>18809</v>
      </c>
      <c r="E4042" t="s">
        <v>22535</v>
      </c>
      <c r="F4042" t="s">
        <v>32664</v>
      </c>
      <c r="G4042" t="s">
        <v>32671</v>
      </c>
      <c r="H4042" t="s">
        <v>12635</v>
      </c>
      <c r="I4042" t="s">
        <v>32704</v>
      </c>
      <c r="J4042" t="s">
        <v>35470</v>
      </c>
      <c r="K4042" t="s">
        <v>42297</v>
      </c>
      <c r="L4042" t="s">
        <v>1380</v>
      </c>
      <c r="M4042" t="s">
        <v>44035</v>
      </c>
      <c r="N4042" t="s">
        <v>46569</v>
      </c>
      <c r="O4042" t="s">
        <v>46570</v>
      </c>
      <c r="P4042">
        <v>0</v>
      </c>
      <c r="Q4042">
        <v>10</v>
      </c>
      <c r="R4042" t="s">
        <v>46572</v>
      </c>
      <c r="S4042" t="s">
        <v>46689</v>
      </c>
      <c r="T4042" t="s">
        <v>48217</v>
      </c>
      <c r="U4042" t="s">
        <v>52050</v>
      </c>
      <c r="V4042" t="s">
        <v>62025</v>
      </c>
      <c r="W4042" t="s">
        <v>44035</v>
      </c>
      <c r="X4042" t="s">
        <v>46573</v>
      </c>
    </row>
    <row r="4043" spans="1:24">
      <c r="A4043">
        <f>HYPERLINK("https://www.philgeps.gov.ph/GEPSNONPILOT/Tender/SplashBidNoticeAbstractUI.aspx?menuIndex=3&amp;refID=7063702&amp;Result=3","7063702")</f>
        <v>0</v>
      </c>
      <c r="B4043" t="s">
        <v>107</v>
      </c>
      <c r="C4043" t="s">
        <v>7417</v>
      </c>
      <c r="D4043" t="s">
        <v>18804</v>
      </c>
      <c r="E4043" t="s">
        <v>22536</v>
      </c>
      <c r="F4043" t="s">
        <v>32664</v>
      </c>
      <c r="G4043" t="s">
        <v>32672</v>
      </c>
      <c r="H4043" t="s">
        <v>32683</v>
      </c>
      <c r="I4043" t="s">
        <v>10627</v>
      </c>
      <c r="J4043" t="s">
        <v>35471</v>
      </c>
      <c r="K4043" t="s">
        <v>42311</v>
      </c>
      <c r="M4043" t="s">
        <v>42671</v>
      </c>
      <c r="N4043" t="s">
        <v>46569</v>
      </c>
      <c r="O4043" t="s">
        <v>46570</v>
      </c>
      <c r="P4043">
        <v>0</v>
      </c>
      <c r="Q4043">
        <v>2</v>
      </c>
      <c r="R4043" t="s">
        <v>46572</v>
      </c>
      <c r="S4043" t="s">
        <v>46689</v>
      </c>
      <c r="T4043" t="s">
        <v>48273</v>
      </c>
      <c r="U4043" t="s">
        <v>48995</v>
      </c>
      <c r="W4043" t="s">
        <v>42671</v>
      </c>
      <c r="X4043" t="s">
        <v>46573</v>
      </c>
    </row>
    <row r="4044" spans="1:24">
      <c r="A4044">
        <f>HYPERLINK("https://www.philgeps.gov.ph/GEPSNONPILOT/Tender/SplashBidNoticeAbstractUI.aspx?menuIndex=3&amp;refID=7063694&amp;Result=3","7063694")</f>
        <v>0</v>
      </c>
      <c r="B4044" t="s">
        <v>1409</v>
      </c>
      <c r="C4044" t="s">
        <v>7418</v>
      </c>
      <c r="D4044" t="s">
        <v>18782</v>
      </c>
      <c r="E4044" t="s">
        <v>19349</v>
      </c>
      <c r="F4044" t="s">
        <v>32664</v>
      </c>
      <c r="G4044" t="s">
        <v>32671</v>
      </c>
      <c r="H4044" t="s">
        <v>12635</v>
      </c>
      <c r="I4044" t="s">
        <v>8797</v>
      </c>
      <c r="J4044" t="s">
        <v>35472</v>
      </c>
      <c r="K4044" t="s">
        <v>42289</v>
      </c>
      <c r="M4044" t="s">
        <v>44066</v>
      </c>
      <c r="N4044" t="s">
        <v>46569</v>
      </c>
      <c r="O4044" t="s">
        <v>46570</v>
      </c>
      <c r="P4044">
        <v>0</v>
      </c>
      <c r="Q4044">
        <v>7</v>
      </c>
      <c r="R4044" t="s">
        <v>46572</v>
      </c>
      <c r="S4044" t="s">
        <v>46689</v>
      </c>
      <c r="T4044" t="s">
        <v>48228</v>
      </c>
      <c r="U4044" t="s">
        <v>49518</v>
      </c>
      <c r="W4044" t="s">
        <v>44066</v>
      </c>
      <c r="X4044" t="s">
        <v>46573</v>
      </c>
    </row>
    <row r="4045" spans="1:24">
      <c r="A4045">
        <f>HYPERLINK("https://www.philgeps.gov.ph/GEPSNONPILOT/Tender/SplashBidNoticeAbstractUI.aspx?menuIndex=3&amp;refID=7063693&amp;Result=3","7063693")</f>
        <v>0</v>
      </c>
      <c r="B4045" t="s">
        <v>1489</v>
      </c>
      <c r="C4045" t="s">
        <v>7419</v>
      </c>
      <c r="D4045" t="s">
        <v>18818</v>
      </c>
      <c r="E4045" t="s">
        <v>22537</v>
      </c>
      <c r="F4045" t="s">
        <v>32665</v>
      </c>
      <c r="G4045" t="s">
        <v>32672</v>
      </c>
      <c r="H4045" t="s">
        <v>12635</v>
      </c>
      <c r="I4045" t="s">
        <v>32733</v>
      </c>
      <c r="J4045" t="s">
        <v>35473</v>
      </c>
      <c r="K4045" t="s">
        <v>42290</v>
      </c>
      <c r="L4045" t="s">
        <v>1489</v>
      </c>
      <c r="M4045" t="s">
        <v>44153</v>
      </c>
      <c r="N4045" t="s">
        <v>46569</v>
      </c>
      <c r="O4045" t="s">
        <v>46570</v>
      </c>
      <c r="P4045">
        <v>0</v>
      </c>
      <c r="Q4045">
        <v>0</v>
      </c>
      <c r="R4045" t="s">
        <v>46572</v>
      </c>
      <c r="S4045" t="s">
        <v>46689</v>
      </c>
      <c r="T4045" t="s">
        <v>48274</v>
      </c>
      <c r="U4045" t="s">
        <v>52117</v>
      </c>
      <c r="W4045" t="s">
        <v>44153</v>
      </c>
      <c r="X4045" t="s">
        <v>46573</v>
      </c>
    </row>
    <row r="4046" spans="1:24">
      <c r="A4046">
        <f>HYPERLINK("https://www.philgeps.gov.ph/GEPSNONPILOT/Tender/SplashBidNoticeAbstractUI.aspx?menuIndex=3&amp;refID=7063372&amp;Result=3","7063372")</f>
        <v>0</v>
      </c>
      <c r="B4046" t="s">
        <v>908</v>
      </c>
      <c r="C4046" t="s">
        <v>7420</v>
      </c>
      <c r="E4046" t="s">
        <v>22538</v>
      </c>
      <c r="F4046" t="s">
        <v>32664</v>
      </c>
      <c r="G4046" t="s">
        <v>32673</v>
      </c>
      <c r="H4046" t="s">
        <v>12635</v>
      </c>
      <c r="I4046" t="s">
        <v>32736</v>
      </c>
      <c r="J4046" t="s">
        <v>35474</v>
      </c>
      <c r="K4046" t="s">
        <v>42281</v>
      </c>
      <c r="M4046" t="s">
        <v>43514</v>
      </c>
      <c r="N4046" t="s">
        <v>46569</v>
      </c>
      <c r="O4046" t="s">
        <v>46570</v>
      </c>
      <c r="P4046">
        <v>0</v>
      </c>
      <c r="Q4046">
        <v>1</v>
      </c>
      <c r="R4046" t="s">
        <v>46572</v>
      </c>
      <c r="S4046" t="s">
        <v>46689</v>
      </c>
      <c r="T4046" t="s">
        <v>48220</v>
      </c>
      <c r="U4046" t="s">
        <v>52118</v>
      </c>
      <c r="V4046" t="s">
        <v>61845</v>
      </c>
      <c r="W4046" t="s">
        <v>43514</v>
      </c>
      <c r="X4046" t="s">
        <v>46573</v>
      </c>
    </row>
    <row r="4047" spans="1:24">
      <c r="A4047">
        <f>HYPERLINK("https://www.philgeps.gov.ph/GEPSNONPILOT/Tender/SplashBidNoticeAbstractUI.aspx?menuIndex=3&amp;refID=7063368&amp;Result=3","7063368")</f>
        <v>0</v>
      </c>
      <c r="B4047" t="s">
        <v>312</v>
      </c>
      <c r="C4047" t="s">
        <v>7030</v>
      </c>
      <c r="D4047" t="s">
        <v>18805</v>
      </c>
      <c r="E4047" t="s">
        <v>22539</v>
      </c>
      <c r="F4047" t="s">
        <v>32664</v>
      </c>
      <c r="G4047" t="s">
        <v>32676</v>
      </c>
      <c r="H4047" t="s">
        <v>12635</v>
      </c>
      <c r="I4047" t="s">
        <v>4439</v>
      </c>
      <c r="J4047" t="s">
        <v>32853</v>
      </c>
      <c r="K4047" t="s">
        <v>42283</v>
      </c>
      <c r="M4047" t="s">
        <v>42879</v>
      </c>
      <c r="N4047" t="s">
        <v>46569</v>
      </c>
      <c r="O4047" t="s">
        <v>46570</v>
      </c>
      <c r="P4047">
        <v>0</v>
      </c>
      <c r="Q4047">
        <v>0</v>
      </c>
      <c r="R4047" t="s">
        <v>46572</v>
      </c>
      <c r="S4047" t="s">
        <v>46689</v>
      </c>
      <c r="T4047" t="s">
        <v>48230</v>
      </c>
      <c r="U4047" t="s">
        <v>51797</v>
      </c>
      <c r="W4047" t="s">
        <v>42879</v>
      </c>
      <c r="X4047" t="s">
        <v>46573</v>
      </c>
    </row>
    <row r="4048" spans="1:24">
      <c r="A4048">
        <f>HYPERLINK("https://www.philgeps.gov.ph/GEPSNONPILOT/Tender/SplashBidNoticeAbstractUI.aspx?menuIndex=3&amp;refID=7063425&amp;Result=3","7063425")</f>
        <v>0</v>
      </c>
      <c r="B4048" t="s">
        <v>1255</v>
      </c>
      <c r="C4048" t="s">
        <v>7421</v>
      </c>
      <c r="D4048" t="s">
        <v>18791</v>
      </c>
      <c r="E4048" t="s">
        <v>21126</v>
      </c>
      <c r="F4048" t="s">
        <v>32664</v>
      </c>
      <c r="G4048" t="s">
        <v>32675</v>
      </c>
      <c r="H4048" t="s">
        <v>12635</v>
      </c>
      <c r="I4048" t="s">
        <v>6628</v>
      </c>
      <c r="J4048" t="s">
        <v>35475</v>
      </c>
      <c r="K4048" t="s">
        <v>42281</v>
      </c>
      <c r="M4048" t="s">
        <v>43897</v>
      </c>
      <c r="N4048" t="s">
        <v>46569</v>
      </c>
      <c r="O4048" t="s">
        <v>46570</v>
      </c>
      <c r="P4048">
        <v>0</v>
      </c>
      <c r="Q4048">
        <v>1</v>
      </c>
      <c r="R4048" t="s">
        <v>46572</v>
      </c>
      <c r="S4048" t="s">
        <v>46689</v>
      </c>
      <c r="T4048" t="s">
        <v>48219</v>
      </c>
      <c r="U4048" t="s">
        <v>52119</v>
      </c>
      <c r="V4048" t="s">
        <v>62031</v>
      </c>
      <c r="W4048" t="s">
        <v>43897</v>
      </c>
      <c r="X4048" t="s">
        <v>46573</v>
      </c>
    </row>
    <row r="4049" spans="1:24">
      <c r="A4049">
        <f>HYPERLINK("https://www.philgeps.gov.ph/GEPSNONPILOT/Tender/SplashBidNoticeAbstractUI.aspx?menuIndex=3&amp;refID=7063696&amp;Result=3","7063696")</f>
        <v>0</v>
      </c>
      <c r="B4049" t="s">
        <v>689</v>
      </c>
      <c r="C4049" t="s">
        <v>7422</v>
      </c>
      <c r="D4049" t="s">
        <v>18800</v>
      </c>
      <c r="E4049" t="s">
        <v>22540</v>
      </c>
      <c r="F4049" t="s">
        <v>32664</v>
      </c>
      <c r="G4049" t="s">
        <v>32672</v>
      </c>
      <c r="H4049" t="s">
        <v>12635</v>
      </c>
      <c r="I4049" t="s">
        <v>11464</v>
      </c>
      <c r="J4049" t="s">
        <v>35476</v>
      </c>
      <c r="K4049" t="s">
        <v>42305</v>
      </c>
      <c r="M4049" t="s">
        <v>43276</v>
      </c>
      <c r="N4049" t="s">
        <v>46569</v>
      </c>
      <c r="O4049" t="s">
        <v>46570</v>
      </c>
      <c r="P4049">
        <v>0</v>
      </c>
      <c r="Q4049">
        <v>3</v>
      </c>
      <c r="R4049" t="s">
        <v>46572</v>
      </c>
      <c r="S4049" t="s">
        <v>46689</v>
      </c>
      <c r="T4049" t="s">
        <v>48232</v>
      </c>
      <c r="U4049" t="s">
        <v>51857</v>
      </c>
      <c r="V4049" t="s">
        <v>61795</v>
      </c>
      <c r="W4049" t="s">
        <v>43276</v>
      </c>
      <c r="X4049" t="s">
        <v>46573</v>
      </c>
    </row>
    <row r="4050" spans="1:24">
      <c r="A4050">
        <f>HYPERLINK("https://www.philgeps.gov.ph/GEPSNONPILOT/Tender/SplashBidNoticeAbstractUI.aspx?menuIndex=3&amp;refID=7063347&amp;Result=3","7063347")</f>
        <v>0</v>
      </c>
      <c r="B4050" t="s">
        <v>1248</v>
      </c>
      <c r="C4050" t="s">
        <v>7423</v>
      </c>
      <c r="D4050" t="s">
        <v>18858</v>
      </c>
      <c r="E4050" t="s">
        <v>22541</v>
      </c>
      <c r="F4050" t="s">
        <v>32664</v>
      </c>
      <c r="G4050" t="s">
        <v>32671</v>
      </c>
      <c r="H4050" t="s">
        <v>12635</v>
      </c>
      <c r="I4050" t="s">
        <v>4439</v>
      </c>
      <c r="J4050" t="s">
        <v>35477</v>
      </c>
      <c r="K4050" t="s">
        <v>42303</v>
      </c>
      <c r="M4050" t="s">
        <v>43890</v>
      </c>
      <c r="N4050" t="s">
        <v>46569</v>
      </c>
      <c r="O4050" t="s">
        <v>46570</v>
      </c>
      <c r="P4050">
        <v>0</v>
      </c>
      <c r="Q4050">
        <v>0</v>
      </c>
      <c r="R4050" t="s">
        <v>46572</v>
      </c>
      <c r="S4050" t="s">
        <v>46689</v>
      </c>
      <c r="T4050" t="s">
        <v>48305</v>
      </c>
      <c r="U4050" t="s">
        <v>52120</v>
      </c>
      <c r="W4050" t="s">
        <v>43890</v>
      </c>
      <c r="X4050" t="s">
        <v>46573</v>
      </c>
    </row>
    <row r="4051" spans="1:24">
      <c r="A4051">
        <f>HYPERLINK("https://www.philgeps.gov.ph/GEPSNONPILOT/Tender/SplashBidNoticeAbstractUI.aspx?menuIndex=3&amp;refID=7063741&amp;Result=3","7063741")</f>
        <v>0</v>
      </c>
      <c r="B4051" t="s">
        <v>1490</v>
      </c>
      <c r="C4051" t="s">
        <v>7424</v>
      </c>
      <c r="D4051" t="s">
        <v>18858</v>
      </c>
      <c r="E4051" t="s">
        <v>22542</v>
      </c>
      <c r="F4051" t="s">
        <v>32664</v>
      </c>
      <c r="G4051" t="s">
        <v>32671</v>
      </c>
      <c r="H4051" t="s">
        <v>12635</v>
      </c>
      <c r="I4051" t="s">
        <v>14442</v>
      </c>
      <c r="J4051" t="s">
        <v>35478</v>
      </c>
      <c r="K4051" t="s">
        <v>42281</v>
      </c>
      <c r="M4051" t="s">
        <v>44154</v>
      </c>
      <c r="N4051" t="s">
        <v>46569</v>
      </c>
      <c r="O4051" t="s">
        <v>46570</v>
      </c>
      <c r="P4051">
        <v>0</v>
      </c>
      <c r="Q4051">
        <v>7</v>
      </c>
      <c r="R4051" t="s">
        <v>46572</v>
      </c>
      <c r="S4051" t="s">
        <v>46689</v>
      </c>
      <c r="T4051" t="s">
        <v>48312</v>
      </c>
      <c r="U4051" t="s">
        <v>52121</v>
      </c>
      <c r="W4051" t="s">
        <v>44154</v>
      </c>
      <c r="X4051" t="s">
        <v>46573</v>
      </c>
    </row>
    <row r="4052" spans="1:24">
      <c r="A4052">
        <f>HYPERLINK("https://www.philgeps.gov.ph/GEPSNONPILOT/Tender/SplashBidNoticeAbstractUI.aspx?menuIndex=3&amp;refID=7063392&amp;Result=3","7063392")</f>
        <v>0</v>
      </c>
      <c r="B4052" t="s">
        <v>1491</v>
      </c>
      <c r="C4052" t="s">
        <v>7425</v>
      </c>
      <c r="D4052" t="s">
        <v>18842</v>
      </c>
      <c r="E4052" t="s">
        <v>19451</v>
      </c>
      <c r="F4052" t="s">
        <v>32664</v>
      </c>
      <c r="G4052" t="s">
        <v>32672</v>
      </c>
      <c r="H4052" t="s">
        <v>32683</v>
      </c>
      <c r="I4052" t="s">
        <v>10627</v>
      </c>
      <c r="J4052" t="s">
        <v>35479</v>
      </c>
      <c r="K4052" t="s">
        <v>42311</v>
      </c>
      <c r="M4052" t="s">
        <v>44155</v>
      </c>
      <c r="N4052" t="s">
        <v>46569</v>
      </c>
      <c r="O4052" t="s">
        <v>46570</v>
      </c>
      <c r="P4052">
        <v>0</v>
      </c>
      <c r="Q4052">
        <v>0</v>
      </c>
      <c r="R4052" t="s">
        <v>46572</v>
      </c>
      <c r="S4052" t="s">
        <v>46689</v>
      </c>
      <c r="T4052" t="s">
        <v>48270</v>
      </c>
      <c r="U4052" t="s">
        <v>52122</v>
      </c>
      <c r="W4052" t="s">
        <v>44155</v>
      </c>
      <c r="X4052" t="s">
        <v>46573</v>
      </c>
    </row>
    <row r="4053" spans="1:24">
      <c r="A4053">
        <f>HYPERLINK("https://www.philgeps.gov.ph/GEPSNONPILOT/Tender/SplashBidNoticeAbstractUI.aspx?menuIndex=3&amp;refID=7063739&amp;Result=3","7063739")</f>
        <v>0</v>
      </c>
      <c r="B4053" t="s">
        <v>984</v>
      </c>
      <c r="C4053" t="s">
        <v>7426</v>
      </c>
      <c r="D4053" t="s">
        <v>18812</v>
      </c>
      <c r="E4053" t="s">
        <v>22543</v>
      </c>
      <c r="F4053" t="s">
        <v>32664</v>
      </c>
      <c r="G4053" t="s">
        <v>32672</v>
      </c>
      <c r="H4053" t="s">
        <v>32683</v>
      </c>
      <c r="I4053" t="s">
        <v>10627</v>
      </c>
      <c r="J4053" t="s">
        <v>35480</v>
      </c>
      <c r="K4053" t="s">
        <v>42342</v>
      </c>
      <c r="M4053" t="s">
        <v>43594</v>
      </c>
      <c r="N4053" t="s">
        <v>46569</v>
      </c>
      <c r="O4053" t="s">
        <v>46570</v>
      </c>
      <c r="P4053">
        <v>0</v>
      </c>
      <c r="Q4053">
        <v>3</v>
      </c>
      <c r="R4053" t="s">
        <v>46572</v>
      </c>
      <c r="S4053" t="s">
        <v>46689</v>
      </c>
      <c r="T4053" t="s">
        <v>48392</v>
      </c>
      <c r="U4053" t="s">
        <v>52123</v>
      </c>
      <c r="W4053" t="s">
        <v>43594</v>
      </c>
      <c r="X4053" t="s">
        <v>46573</v>
      </c>
    </row>
    <row r="4054" spans="1:24">
      <c r="A4054">
        <f>HYPERLINK("https://www.philgeps.gov.ph/GEPSNONPILOT/Tender/SplashBidNoticeAbstractUI.aspx?menuIndex=3&amp;refID=7063737&amp;Result=3","7063737")</f>
        <v>0</v>
      </c>
      <c r="B4054" t="s">
        <v>1487</v>
      </c>
      <c r="C4054" t="s">
        <v>7427</v>
      </c>
      <c r="D4054" t="s">
        <v>18819</v>
      </c>
      <c r="E4054" t="s">
        <v>22544</v>
      </c>
      <c r="F4054" t="s">
        <v>32664</v>
      </c>
      <c r="G4054" t="s">
        <v>32672</v>
      </c>
      <c r="H4054" t="s">
        <v>12635</v>
      </c>
      <c r="I4054" t="s">
        <v>8797</v>
      </c>
      <c r="J4054" t="s">
        <v>35481</v>
      </c>
      <c r="K4054" t="s">
        <v>42284</v>
      </c>
      <c r="M4054" t="s">
        <v>44151</v>
      </c>
      <c r="N4054" t="s">
        <v>46569</v>
      </c>
      <c r="O4054" t="s">
        <v>46570</v>
      </c>
      <c r="P4054">
        <v>0</v>
      </c>
      <c r="Q4054">
        <v>2</v>
      </c>
      <c r="R4054" t="s">
        <v>46572</v>
      </c>
      <c r="S4054" t="s">
        <v>46689</v>
      </c>
      <c r="T4054" t="s">
        <v>48274</v>
      </c>
      <c r="U4054" t="s">
        <v>52124</v>
      </c>
      <c r="W4054" t="s">
        <v>44151</v>
      </c>
      <c r="X4054" t="s">
        <v>46573</v>
      </c>
    </row>
    <row r="4055" spans="1:24">
      <c r="A4055">
        <f>HYPERLINK("https://www.philgeps.gov.ph/GEPSNONPILOT/Tender/SplashBidNoticeAbstractUI.aspx?menuIndex=3&amp;refID=7063699&amp;Result=3","7063699")</f>
        <v>0</v>
      </c>
      <c r="B4055" t="s">
        <v>900</v>
      </c>
      <c r="C4055" t="s">
        <v>7428</v>
      </c>
      <c r="E4055" t="s">
        <v>22545</v>
      </c>
      <c r="F4055" t="s">
        <v>32664</v>
      </c>
      <c r="G4055" t="s">
        <v>32674</v>
      </c>
      <c r="H4055" t="s">
        <v>12635</v>
      </c>
      <c r="I4055" t="s">
        <v>6223</v>
      </c>
      <c r="J4055" t="s">
        <v>35482</v>
      </c>
      <c r="K4055" t="s">
        <v>42283</v>
      </c>
      <c r="M4055" t="s">
        <v>43504</v>
      </c>
      <c r="N4055" t="s">
        <v>46569</v>
      </c>
      <c r="O4055" t="s">
        <v>46570</v>
      </c>
      <c r="P4055">
        <v>0</v>
      </c>
      <c r="Q4055">
        <v>0</v>
      </c>
      <c r="R4055" t="s">
        <v>46572</v>
      </c>
      <c r="S4055" t="s">
        <v>46689</v>
      </c>
      <c r="T4055" t="s">
        <v>48244</v>
      </c>
      <c r="U4055" t="s">
        <v>52125</v>
      </c>
      <c r="V4055" t="s">
        <v>61843</v>
      </c>
      <c r="W4055" t="s">
        <v>43504</v>
      </c>
      <c r="X4055" t="s">
        <v>46573</v>
      </c>
    </row>
    <row r="4056" spans="1:24">
      <c r="A4056">
        <f>HYPERLINK("https://www.philgeps.gov.ph/GEPSNONPILOT/Tender/SplashBidNoticeAbstractUI.aspx?menuIndex=3&amp;refID=7063736&amp;Result=3","7063736")</f>
        <v>0</v>
      </c>
      <c r="B4056" t="s">
        <v>1394</v>
      </c>
      <c r="C4056" t="s">
        <v>7429</v>
      </c>
      <c r="D4056" t="s">
        <v>18842</v>
      </c>
      <c r="E4056" t="s">
        <v>22546</v>
      </c>
      <c r="F4056" t="s">
        <v>32664</v>
      </c>
      <c r="G4056" t="s">
        <v>32671</v>
      </c>
      <c r="H4056" t="s">
        <v>12635</v>
      </c>
      <c r="I4056" t="s">
        <v>7429</v>
      </c>
      <c r="J4056" t="s">
        <v>35483</v>
      </c>
      <c r="K4056" t="s">
        <v>42284</v>
      </c>
      <c r="M4056" t="s">
        <v>44050</v>
      </c>
      <c r="N4056" t="s">
        <v>46569</v>
      </c>
      <c r="O4056" t="s">
        <v>46570</v>
      </c>
      <c r="P4056">
        <v>0</v>
      </c>
      <c r="Q4056">
        <v>0</v>
      </c>
      <c r="R4056" t="s">
        <v>46572</v>
      </c>
      <c r="S4056" t="s">
        <v>46689</v>
      </c>
      <c r="T4056" t="s">
        <v>48244</v>
      </c>
      <c r="U4056" t="s">
        <v>49881</v>
      </c>
      <c r="W4056" t="s">
        <v>44050</v>
      </c>
      <c r="X4056" t="s">
        <v>46573</v>
      </c>
    </row>
    <row r="4057" spans="1:24">
      <c r="A4057">
        <f>HYPERLINK("https://www.philgeps.gov.ph/GEPSNONPILOT/Tender/SplashBidNoticeAbstractUI.aspx?menuIndex=3&amp;refID=7063735&amp;Result=3","7063735")</f>
        <v>0</v>
      </c>
      <c r="B4057" t="s">
        <v>1175</v>
      </c>
      <c r="C4057" t="s">
        <v>7430</v>
      </c>
      <c r="D4057" t="s">
        <v>18782</v>
      </c>
      <c r="E4057" t="s">
        <v>20123</v>
      </c>
      <c r="F4057" t="s">
        <v>32665</v>
      </c>
      <c r="G4057" t="s">
        <v>32675</v>
      </c>
      <c r="H4057" t="s">
        <v>12635</v>
      </c>
      <c r="I4057" t="s">
        <v>8797</v>
      </c>
      <c r="J4057" t="s">
        <v>33141</v>
      </c>
      <c r="K4057" t="s">
        <v>42418</v>
      </c>
      <c r="M4057" t="s">
        <v>43809</v>
      </c>
      <c r="N4057" t="s">
        <v>46569</v>
      </c>
      <c r="O4057" t="s">
        <v>46570</v>
      </c>
      <c r="P4057">
        <v>0</v>
      </c>
      <c r="Q4057">
        <v>0</v>
      </c>
      <c r="R4057" t="s">
        <v>46572</v>
      </c>
      <c r="S4057" t="s">
        <v>46689</v>
      </c>
      <c r="T4057" t="s">
        <v>48268</v>
      </c>
      <c r="U4057" t="s">
        <v>52126</v>
      </c>
      <c r="V4057" t="s">
        <v>62032</v>
      </c>
      <c r="W4057" t="s">
        <v>43809</v>
      </c>
      <c r="X4057" t="s">
        <v>46573</v>
      </c>
    </row>
    <row r="4058" spans="1:24">
      <c r="A4058">
        <f>HYPERLINK("https://www.philgeps.gov.ph/GEPSNONPILOT/Tender/SplashBidNoticeAbstractUI.aspx?menuIndex=3&amp;refID=7063731&amp;Result=3","7063731")</f>
        <v>0</v>
      </c>
      <c r="B4058" t="s">
        <v>833</v>
      </c>
      <c r="C4058" t="s">
        <v>7431</v>
      </c>
      <c r="D4058" t="s">
        <v>18789</v>
      </c>
      <c r="E4058" t="s">
        <v>22547</v>
      </c>
      <c r="F4058" t="s">
        <v>32664</v>
      </c>
      <c r="G4058" t="s">
        <v>32671</v>
      </c>
      <c r="H4058" t="s">
        <v>12635</v>
      </c>
      <c r="I4058" t="s">
        <v>32707</v>
      </c>
      <c r="J4058" t="s">
        <v>34052</v>
      </c>
      <c r="K4058" t="s">
        <v>42297</v>
      </c>
      <c r="M4058" t="s">
        <v>43428</v>
      </c>
      <c r="N4058" t="s">
        <v>46569</v>
      </c>
      <c r="O4058" t="s">
        <v>46570</v>
      </c>
      <c r="P4058">
        <v>0</v>
      </c>
      <c r="Q4058">
        <v>0</v>
      </c>
      <c r="R4058" t="s">
        <v>46572</v>
      </c>
      <c r="S4058" t="s">
        <v>46689</v>
      </c>
      <c r="T4058" t="s">
        <v>48312</v>
      </c>
      <c r="U4058" t="s">
        <v>50377</v>
      </c>
      <c r="V4058" t="s">
        <v>62033</v>
      </c>
      <c r="W4058" t="s">
        <v>43428</v>
      </c>
      <c r="X4058" t="s">
        <v>46573</v>
      </c>
    </row>
    <row r="4059" spans="1:24">
      <c r="A4059">
        <f>HYPERLINK("https://www.philgeps.gov.ph/GEPSNONPILOT/Tender/SplashBidNoticeAbstractUI.aspx?menuIndex=3&amp;refID=7063738&amp;Result=3","7063738")</f>
        <v>0</v>
      </c>
      <c r="B4059" t="s">
        <v>1492</v>
      </c>
      <c r="C4059" t="s">
        <v>7432</v>
      </c>
      <c r="D4059" t="s">
        <v>18795</v>
      </c>
      <c r="E4059" t="s">
        <v>22548</v>
      </c>
      <c r="F4059" t="s">
        <v>32664</v>
      </c>
      <c r="G4059" t="s">
        <v>32671</v>
      </c>
      <c r="H4059" t="s">
        <v>12635</v>
      </c>
      <c r="I4059" t="s">
        <v>6168</v>
      </c>
      <c r="J4059" t="s">
        <v>35484</v>
      </c>
      <c r="K4059" t="s">
        <v>42297</v>
      </c>
      <c r="M4059" t="s">
        <v>44156</v>
      </c>
      <c r="N4059" t="s">
        <v>46569</v>
      </c>
      <c r="O4059" t="s">
        <v>46570</v>
      </c>
      <c r="P4059">
        <v>0</v>
      </c>
      <c r="Q4059">
        <v>0</v>
      </c>
      <c r="R4059" t="s">
        <v>46572</v>
      </c>
      <c r="S4059" t="s">
        <v>46689</v>
      </c>
      <c r="T4059" t="s">
        <v>48354</v>
      </c>
      <c r="U4059" t="s">
        <v>52127</v>
      </c>
      <c r="W4059" t="s">
        <v>44156</v>
      </c>
      <c r="X4059" t="s">
        <v>46573</v>
      </c>
    </row>
    <row r="4060" spans="1:24">
      <c r="A4060">
        <f>HYPERLINK("https://www.philgeps.gov.ph/GEPSNONPILOT/Tender/SplashBidNoticeAbstractUI.aspx?menuIndex=3&amp;refID=7063730&amp;Result=3","7063730")</f>
        <v>0</v>
      </c>
      <c r="B4060" t="s">
        <v>508</v>
      </c>
      <c r="C4060" t="s">
        <v>7433</v>
      </c>
      <c r="D4060" t="s">
        <v>18785</v>
      </c>
      <c r="E4060" t="s">
        <v>22549</v>
      </c>
      <c r="F4060" t="s">
        <v>32664</v>
      </c>
      <c r="G4060" t="s">
        <v>32671</v>
      </c>
      <c r="H4060" t="s">
        <v>12635</v>
      </c>
      <c r="I4060" t="s">
        <v>32704</v>
      </c>
      <c r="J4060" t="s">
        <v>32830</v>
      </c>
      <c r="K4060" t="s">
        <v>42289</v>
      </c>
      <c r="M4060" t="s">
        <v>43084</v>
      </c>
      <c r="N4060" t="s">
        <v>46569</v>
      </c>
      <c r="O4060" t="s">
        <v>46570</v>
      </c>
      <c r="P4060">
        <v>0</v>
      </c>
      <c r="Q4060">
        <v>15</v>
      </c>
      <c r="R4060" t="s">
        <v>46572</v>
      </c>
      <c r="S4060" t="s">
        <v>46689</v>
      </c>
      <c r="T4060" t="s">
        <v>48305</v>
      </c>
      <c r="U4060" t="s">
        <v>52128</v>
      </c>
      <c r="W4060" t="s">
        <v>43084</v>
      </c>
      <c r="X4060" t="s">
        <v>46573</v>
      </c>
    </row>
    <row r="4061" spans="1:24">
      <c r="A4061">
        <f>HYPERLINK("https://www.philgeps.gov.ph/GEPSNONPILOT/Tender/SplashBidNoticeAbstractUI.aspx?menuIndex=3&amp;refID=7063729&amp;Result=3","7063729")</f>
        <v>0</v>
      </c>
      <c r="B4061" t="s">
        <v>694</v>
      </c>
      <c r="C4061" t="s">
        <v>7434</v>
      </c>
      <c r="D4061" t="s">
        <v>18784</v>
      </c>
      <c r="E4061" t="s">
        <v>21892</v>
      </c>
      <c r="F4061" t="s">
        <v>32664</v>
      </c>
      <c r="G4061" t="s">
        <v>32671</v>
      </c>
      <c r="H4061" t="s">
        <v>12635</v>
      </c>
      <c r="I4061" t="s">
        <v>32704</v>
      </c>
      <c r="J4061" t="s">
        <v>32865</v>
      </c>
      <c r="K4061" t="s">
        <v>42281</v>
      </c>
      <c r="M4061" t="s">
        <v>43281</v>
      </c>
      <c r="N4061" t="s">
        <v>46569</v>
      </c>
      <c r="O4061" t="s">
        <v>46570</v>
      </c>
      <c r="P4061">
        <v>0</v>
      </c>
      <c r="Q4061">
        <v>8</v>
      </c>
      <c r="R4061" t="s">
        <v>46572</v>
      </c>
      <c r="S4061" t="s">
        <v>46689</v>
      </c>
      <c r="T4061" t="s">
        <v>48219</v>
      </c>
      <c r="U4061" t="s">
        <v>50082</v>
      </c>
      <c r="W4061" t="s">
        <v>43281</v>
      </c>
      <c r="X4061" t="s">
        <v>46573</v>
      </c>
    </row>
    <row r="4062" spans="1:24">
      <c r="A4062">
        <f>HYPERLINK("https://www.philgeps.gov.ph/GEPSNONPILOT/Tender/SplashBidNoticeAbstractUI.aspx?menuIndex=3&amp;refID=7063727&amp;Result=3","7063727")</f>
        <v>0</v>
      </c>
      <c r="B4062" t="s">
        <v>1478</v>
      </c>
      <c r="C4062" t="s">
        <v>7435</v>
      </c>
      <c r="D4062" t="s">
        <v>18853</v>
      </c>
      <c r="E4062" t="s">
        <v>22550</v>
      </c>
      <c r="F4062" t="s">
        <v>32664</v>
      </c>
      <c r="G4062" t="s">
        <v>32672</v>
      </c>
      <c r="H4062" t="s">
        <v>32683</v>
      </c>
      <c r="I4062" t="s">
        <v>10627</v>
      </c>
      <c r="J4062" t="s">
        <v>35485</v>
      </c>
      <c r="K4062" t="s">
        <v>42297</v>
      </c>
      <c r="M4062" t="s">
        <v>44141</v>
      </c>
      <c r="N4062" t="s">
        <v>46569</v>
      </c>
      <c r="O4062" t="s">
        <v>46570</v>
      </c>
      <c r="P4062">
        <v>0</v>
      </c>
      <c r="Q4062">
        <v>0</v>
      </c>
      <c r="R4062" t="s">
        <v>46572</v>
      </c>
      <c r="S4062" t="s">
        <v>46689</v>
      </c>
      <c r="T4062" t="s">
        <v>48285</v>
      </c>
      <c r="U4062" t="s">
        <v>52065</v>
      </c>
      <c r="W4062" t="s">
        <v>44141</v>
      </c>
      <c r="X4062" t="s">
        <v>46573</v>
      </c>
    </row>
    <row r="4063" spans="1:24">
      <c r="A4063">
        <f>HYPERLINK("https://www.philgeps.gov.ph/GEPSNONPILOT/Tender/SplashBidNoticeAbstractUI.aspx?menuIndex=3&amp;refID=7063369&amp;Result=3","7063369")</f>
        <v>0</v>
      </c>
      <c r="B4063" t="s">
        <v>534</v>
      </c>
      <c r="C4063" t="s">
        <v>7436</v>
      </c>
      <c r="D4063" t="s">
        <v>18816</v>
      </c>
      <c r="E4063" t="s">
        <v>22551</v>
      </c>
      <c r="F4063" t="s">
        <v>32664</v>
      </c>
      <c r="G4063" t="s">
        <v>32671</v>
      </c>
      <c r="H4063" t="s">
        <v>12635</v>
      </c>
      <c r="I4063" t="s">
        <v>11464</v>
      </c>
      <c r="J4063" t="s">
        <v>33078</v>
      </c>
      <c r="K4063" t="s">
        <v>42289</v>
      </c>
      <c r="M4063" t="s">
        <v>43112</v>
      </c>
      <c r="N4063" t="s">
        <v>46569</v>
      </c>
      <c r="O4063" t="s">
        <v>46570</v>
      </c>
      <c r="P4063">
        <v>0</v>
      </c>
      <c r="Q4063">
        <v>1</v>
      </c>
      <c r="R4063" t="s">
        <v>46572</v>
      </c>
      <c r="S4063" t="s">
        <v>46689</v>
      </c>
      <c r="T4063" t="s">
        <v>48244</v>
      </c>
      <c r="U4063" t="s">
        <v>52129</v>
      </c>
      <c r="W4063" t="s">
        <v>43112</v>
      </c>
      <c r="X4063" t="s">
        <v>46573</v>
      </c>
    </row>
    <row r="4064" spans="1:24">
      <c r="A4064">
        <f>HYPERLINK("https://www.philgeps.gov.ph/GEPSNONPILOT/Tender/SplashBidNoticeAbstractUI.aspx?menuIndex=3&amp;refID=7063733&amp;Result=3","7063733")</f>
        <v>0</v>
      </c>
      <c r="B4064" t="s">
        <v>674</v>
      </c>
      <c r="C4064" t="s">
        <v>7437</v>
      </c>
      <c r="D4064" t="s">
        <v>18821</v>
      </c>
      <c r="E4064" t="s">
        <v>22552</v>
      </c>
      <c r="F4064" t="s">
        <v>32664</v>
      </c>
      <c r="G4064" t="s">
        <v>32671</v>
      </c>
      <c r="H4064" t="s">
        <v>12635</v>
      </c>
      <c r="I4064" t="s">
        <v>32684</v>
      </c>
      <c r="J4064" t="s">
        <v>35486</v>
      </c>
      <c r="K4064" t="s">
        <v>42303</v>
      </c>
      <c r="M4064" t="s">
        <v>43261</v>
      </c>
      <c r="N4064" t="s">
        <v>46569</v>
      </c>
      <c r="O4064" t="s">
        <v>46570</v>
      </c>
      <c r="P4064">
        <v>0</v>
      </c>
      <c r="Q4064">
        <v>3</v>
      </c>
      <c r="R4064" t="s">
        <v>46572</v>
      </c>
      <c r="S4064" t="s">
        <v>46689</v>
      </c>
      <c r="T4064" t="s">
        <v>48293</v>
      </c>
      <c r="U4064" t="s">
        <v>52130</v>
      </c>
      <c r="W4064" t="s">
        <v>43261</v>
      </c>
      <c r="X4064" t="s">
        <v>46573</v>
      </c>
    </row>
    <row r="4065" spans="1:24">
      <c r="A4065">
        <f>HYPERLINK("https://www.philgeps.gov.ph/GEPSNONPILOT/Tender/SplashBidNoticeAbstractUI.aspx?menuIndex=3&amp;refID=7063732&amp;Result=3","7063732")</f>
        <v>0</v>
      </c>
      <c r="B4065" t="s">
        <v>231</v>
      </c>
      <c r="C4065" t="s">
        <v>7438</v>
      </c>
      <c r="D4065" t="s">
        <v>18845</v>
      </c>
      <c r="E4065" t="s">
        <v>22553</v>
      </c>
      <c r="F4065" t="s">
        <v>32664</v>
      </c>
      <c r="G4065" t="s">
        <v>32675</v>
      </c>
      <c r="H4065" t="s">
        <v>12635</v>
      </c>
      <c r="I4065" t="s">
        <v>10370</v>
      </c>
      <c r="J4065" t="s">
        <v>32853</v>
      </c>
      <c r="K4065" t="s">
        <v>42281</v>
      </c>
      <c r="M4065" t="s">
        <v>42795</v>
      </c>
      <c r="N4065" t="s">
        <v>46569</v>
      </c>
      <c r="O4065" t="s">
        <v>46570</v>
      </c>
      <c r="P4065">
        <v>0</v>
      </c>
      <c r="Q4065">
        <v>4</v>
      </c>
      <c r="R4065" t="s">
        <v>46572</v>
      </c>
      <c r="S4065" t="s">
        <v>46689</v>
      </c>
      <c r="T4065" t="s">
        <v>48313</v>
      </c>
      <c r="U4065" t="s">
        <v>52131</v>
      </c>
      <c r="W4065" t="s">
        <v>42795</v>
      </c>
      <c r="X4065" t="s">
        <v>46573</v>
      </c>
    </row>
    <row r="4066" spans="1:24">
      <c r="A4066">
        <f>HYPERLINK("https://www.philgeps.gov.ph/GEPSNONPILOT/Tender/SplashBidNoticeAbstractUI.aspx?menuIndex=3&amp;refID=7063721&amp;Result=3","7063721")</f>
        <v>0</v>
      </c>
      <c r="B4066" t="s">
        <v>527</v>
      </c>
      <c r="C4066" t="s">
        <v>7439</v>
      </c>
      <c r="D4066" t="s">
        <v>18784</v>
      </c>
      <c r="E4066" t="s">
        <v>22554</v>
      </c>
      <c r="F4066" t="s">
        <v>32664</v>
      </c>
      <c r="G4066" t="s">
        <v>32671</v>
      </c>
      <c r="H4066" t="s">
        <v>12635</v>
      </c>
      <c r="I4066" t="s">
        <v>6118</v>
      </c>
      <c r="J4066" t="s">
        <v>35487</v>
      </c>
      <c r="K4066" t="s">
        <v>42284</v>
      </c>
      <c r="M4066" t="s">
        <v>43496</v>
      </c>
      <c r="N4066" t="s">
        <v>46569</v>
      </c>
      <c r="O4066" t="s">
        <v>46570</v>
      </c>
      <c r="P4066">
        <v>0</v>
      </c>
      <c r="Q4066">
        <v>1</v>
      </c>
      <c r="R4066" t="s">
        <v>46572</v>
      </c>
      <c r="S4066" t="s">
        <v>46689</v>
      </c>
      <c r="T4066" t="s">
        <v>48283</v>
      </c>
      <c r="U4066" t="s">
        <v>52049</v>
      </c>
      <c r="W4066" t="s">
        <v>43496</v>
      </c>
      <c r="X4066" t="s">
        <v>46573</v>
      </c>
    </row>
    <row r="4067" spans="1:24">
      <c r="A4067">
        <f>HYPERLINK("https://www.philgeps.gov.ph/GEPSNONPILOT/Tender/SplashBidNoticeAbstractUI.aspx?menuIndex=3&amp;refID=7063726&amp;Result=3","7063726")</f>
        <v>0</v>
      </c>
      <c r="B4067" t="s">
        <v>819</v>
      </c>
      <c r="C4067" t="s">
        <v>7440</v>
      </c>
      <c r="D4067" t="s">
        <v>18786</v>
      </c>
      <c r="E4067" t="s">
        <v>22555</v>
      </c>
      <c r="F4067" t="s">
        <v>32664</v>
      </c>
      <c r="G4067" t="s">
        <v>32674</v>
      </c>
      <c r="H4067" t="s">
        <v>12635</v>
      </c>
      <c r="I4067" t="s">
        <v>32706</v>
      </c>
      <c r="J4067" t="s">
        <v>33466</v>
      </c>
      <c r="K4067" t="s">
        <v>42303</v>
      </c>
      <c r="M4067" t="s">
        <v>43414</v>
      </c>
      <c r="N4067" t="s">
        <v>46569</v>
      </c>
      <c r="O4067" t="s">
        <v>46570</v>
      </c>
      <c r="P4067">
        <v>0</v>
      </c>
      <c r="Q4067">
        <v>0</v>
      </c>
      <c r="R4067" t="s">
        <v>46572</v>
      </c>
      <c r="S4067" t="s">
        <v>46689</v>
      </c>
      <c r="T4067" t="s">
        <v>48448</v>
      </c>
      <c r="U4067" t="s">
        <v>52132</v>
      </c>
      <c r="W4067" t="s">
        <v>43414</v>
      </c>
      <c r="X4067" t="s">
        <v>46573</v>
      </c>
    </row>
    <row r="4068" spans="1:24">
      <c r="A4068">
        <f>HYPERLINK("https://www.philgeps.gov.ph/GEPSNONPILOT/Tender/SplashBidNoticeAbstractUI.aspx?menuIndex=3&amp;refID=7063725&amp;Result=3","7063725")</f>
        <v>0</v>
      </c>
      <c r="B4068" t="s">
        <v>1380</v>
      </c>
      <c r="C4068" t="s">
        <v>7441</v>
      </c>
      <c r="D4068" t="s">
        <v>18809</v>
      </c>
      <c r="E4068" t="s">
        <v>22556</v>
      </c>
      <c r="F4068" t="s">
        <v>32664</v>
      </c>
      <c r="G4068" t="s">
        <v>32671</v>
      </c>
      <c r="H4068" t="s">
        <v>12635</v>
      </c>
      <c r="I4068" t="s">
        <v>10627</v>
      </c>
      <c r="J4068" t="s">
        <v>35488</v>
      </c>
      <c r="K4068" t="s">
        <v>42313</v>
      </c>
      <c r="L4068" t="s">
        <v>1380</v>
      </c>
      <c r="M4068" t="s">
        <v>44035</v>
      </c>
      <c r="N4068" t="s">
        <v>46569</v>
      </c>
      <c r="O4068" t="s">
        <v>46570</v>
      </c>
      <c r="P4068">
        <v>0</v>
      </c>
      <c r="Q4068">
        <v>0</v>
      </c>
      <c r="R4068" t="s">
        <v>46572</v>
      </c>
      <c r="S4068" t="s">
        <v>46689</v>
      </c>
      <c r="T4068" t="s">
        <v>48217</v>
      </c>
      <c r="U4068" t="s">
        <v>52133</v>
      </c>
      <c r="V4068" t="s">
        <v>62025</v>
      </c>
      <c r="W4068" t="s">
        <v>44035</v>
      </c>
      <c r="X4068" t="s">
        <v>46573</v>
      </c>
    </row>
    <row r="4069" spans="1:24">
      <c r="A4069">
        <f>HYPERLINK("https://www.philgeps.gov.ph/GEPSNONPILOT/Tender/SplashBidNoticeAbstractUI.aspx?menuIndex=3&amp;refID=7063720&amp;Result=3","7063720")</f>
        <v>0</v>
      </c>
      <c r="B4069" t="s">
        <v>1459</v>
      </c>
      <c r="C4069" t="s">
        <v>7442</v>
      </c>
      <c r="D4069" t="s">
        <v>18784</v>
      </c>
      <c r="E4069" t="s">
        <v>22557</v>
      </c>
      <c r="F4069" t="s">
        <v>32664</v>
      </c>
      <c r="G4069" t="s">
        <v>32674</v>
      </c>
      <c r="H4069" t="s">
        <v>12635</v>
      </c>
      <c r="I4069" t="s">
        <v>6168</v>
      </c>
      <c r="J4069" t="s">
        <v>35489</v>
      </c>
      <c r="K4069" t="s">
        <v>42289</v>
      </c>
      <c r="M4069" t="s">
        <v>44120</v>
      </c>
      <c r="N4069" t="s">
        <v>46569</v>
      </c>
      <c r="O4069" t="s">
        <v>46570</v>
      </c>
      <c r="P4069">
        <v>0</v>
      </c>
      <c r="Q4069">
        <v>2</v>
      </c>
      <c r="R4069" t="s">
        <v>46572</v>
      </c>
      <c r="S4069" t="s">
        <v>46689</v>
      </c>
      <c r="T4069" t="s">
        <v>48492</v>
      </c>
      <c r="U4069" t="s">
        <v>52134</v>
      </c>
      <c r="V4069" t="s">
        <v>62017</v>
      </c>
      <c r="W4069" t="s">
        <v>44120</v>
      </c>
      <c r="X4069" t="s">
        <v>46573</v>
      </c>
    </row>
    <row r="4070" spans="1:24">
      <c r="A4070">
        <f>HYPERLINK("https://www.philgeps.gov.ph/GEPSNONPILOT/Tender/SplashBidNoticeAbstractUI.aspx?menuIndex=3&amp;refID=7063718&amp;Result=3","7063718")</f>
        <v>0</v>
      </c>
      <c r="B4070" t="s">
        <v>1458</v>
      </c>
      <c r="C4070" t="s">
        <v>7443</v>
      </c>
      <c r="D4070" t="s">
        <v>18848</v>
      </c>
      <c r="E4070" t="s">
        <v>22558</v>
      </c>
      <c r="F4070" t="s">
        <v>32664</v>
      </c>
      <c r="G4070" t="s">
        <v>32672</v>
      </c>
      <c r="H4070" t="s">
        <v>32683</v>
      </c>
      <c r="I4070" t="s">
        <v>10627</v>
      </c>
      <c r="J4070" t="s">
        <v>35490</v>
      </c>
      <c r="K4070" t="s">
        <v>42296</v>
      </c>
      <c r="M4070" t="s">
        <v>44119</v>
      </c>
      <c r="N4070" t="s">
        <v>46569</v>
      </c>
      <c r="O4070" t="s">
        <v>46570</v>
      </c>
      <c r="P4070">
        <v>0</v>
      </c>
      <c r="Q4070">
        <v>0</v>
      </c>
      <c r="R4070" t="s">
        <v>46572</v>
      </c>
      <c r="S4070" t="s">
        <v>46689</v>
      </c>
      <c r="T4070" t="s">
        <v>48312</v>
      </c>
      <c r="U4070" t="s">
        <v>52135</v>
      </c>
      <c r="V4070" t="s">
        <v>61668</v>
      </c>
      <c r="W4070" t="s">
        <v>44119</v>
      </c>
      <c r="X4070" t="s">
        <v>46573</v>
      </c>
    </row>
    <row r="4071" spans="1:24">
      <c r="A4071">
        <f>HYPERLINK("https://www.philgeps.gov.ph/GEPSNONPILOT/Tender/SplashBidNoticeAbstractUI.aspx?menuIndex=3&amp;refID=7063723&amp;Result=3","7063723")</f>
        <v>0</v>
      </c>
      <c r="B4071" t="s">
        <v>1396</v>
      </c>
      <c r="C4071" t="s">
        <v>7444</v>
      </c>
      <c r="D4071" t="s">
        <v>18804</v>
      </c>
      <c r="E4071" t="s">
        <v>22559</v>
      </c>
      <c r="F4071" t="s">
        <v>32664</v>
      </c>
      <c r="G4071" t="s">
        <v>32671</v>
      </c>
      <c r="H4071" t="s">
        <v>12635</v>
      </c>
      <c r="I4071" t="s">
        <v>32704</v>
      </c>
      <c r="J4071" t="s">
        <v>35491</v>
      </c>
      <c r="K4071" t="s">
        <v>42281</v>
      </c>
      <c r="M4071" t="s">
        <v>44053</v>
      </c>
      <c r="N4071" t="s">
        <v>46569</v>
      </c>
      <c r="O4071" t="s">
        <v>46570</v>
      </c>
      <c r="P4071">
        <v>0</v>
      </c>
      <c r="Q4071">
        <v>2</v>
      </c>
      <c r="R4071" t="s">
        <v>46572</v>
      </c>
      <c r="S4071" t="s">
        <v>46689</v>
      </c>
      <c r="T4071" t="s">
        <v>48285</v>
      </c>
      <c r="U4071" t="s">
        <v>52136</v>
      </c>
      <c r="W4071" t="s">
        <v>44053</v>
      </c>
      <c r="X4071" t="s">
        <v>46573</v>
      </c>
    </row>
    <row r="4072" spans="1:24">
      <c r="A4072">
        <f>HYPERLINK("https://www.philgeps.gov.ph/GEPSNONPILOT/Tender/SplashBidNoticeAbstractUI.aspx?menuIndex=3&amp;refID=7063703&amp;Result=3","7063703")</f>
        <v>0</v>
      </c>
      <c r="B4072" t="s">
        <v>478</v>
      </c>
      <c r="C4072" t="s">
        <v>7445</v>
      </c>
      <c r="D4072" t="s">
        <v>18849</v>
      </c>
      <c r="E4072" t="s">
        <v>21239</v>
      </c>
      <c r="F4072" t="s">
        <v>32664</v>
      </c>
      <c r="G4072" t="s">
        <v>32671</v>
      </c>
      <c r="H4072" t="s">
        <v>12635</v>
      </c>
      <c r="I4072" t="s">
        <v>10361</v>
      </c>
      <c r="J4072" t="s">
        <v>33295</v>
      </c>
      <c r="K4072" t="s">
        <v>42306</v>
      </c>
      <c r="M4072" t="s">
        <v>43053</v>
      </c>
      <c r="N4072" t="s">
        <v>46569</v>
      </c>
      <c r="O4072" t="s">
        <v>46570</v>
      </c>
      <c r="P4072">
        <v>0</v>
      </c>
      <c r="Q4072">
        <v>0</v>
      </c>
      <c r="R4072" t="s">
        <v>46572</v>
      </c>
      <c r="S4072" t="s">
        <v>46689</v>
      </c>
      <c r="T4072" t="s">
        <v>48219</v>
      </c>
      <c r="U4072" t="s">
        <v>52137</v>
      </c>
      <c r="W4072" t="s">
        <v>43053</v>
      </c>
      <c r="X4072" t="s">
        <v>46573</v>
      </c>
    </row>
    <row r="4073" spans="1:24">
      <c r="A4073">
        <f>HYPERLINK("https://www.philgeps.gov.ph/GEPSNONPILOT/Tender/SplashBidNoticeAbstractUI.aspx?menuIndex=3&amp;refID=7063345&amp;Result=3","7063345")</f>
        <v>0</v>
      </c>
      <c r="B4073" t="s">
        <v>133</v>
      </c>
      <c r="C4073" t="s">
        <v>7446</v>
      </c>
      <c r="D4073" t="s">
        <v>18832</v>
      </c>
      <c r="E4073" t="s">
        <v>22560</v>
      </c>
      <c r="F4073" t="s">
        <v>32664</v>
      </c>
      <c r="G4073" t="s">
        <v>32671</v>
      </c>
      <c r="H4073" t="s">
        <v>12635</v>
      </c>
      <c r="I4073" t="s">
        <v>10361</v>
      </c>
      <c r="J4073" t="s">
        <v>35034</v>
      </c>
      <c r="K4073" t="s">
        <v>42281</v>
      </c>
      <c r="M4073" t="s">
        <v>42697</v>
      </c>
      <c r="N4073" t="s">
        <v>46569</v>
      </c>
      <c r="O4073" t="s">
        <v>46570</v>
      </c>
      <c r="P4073">
        <v>0</v>
      </c>
      <c r="Q4073">
        <v>0</v>
      </c>
      <c r="R4073" t="s">
        <v>46572</v>
      </c>
      <c r="S4073" t="s">
        <v>46689</v>
      </c>
      <c r="T4073" t="s">
        <v>48293</v>
      </c>
      <c r="U4073" t="s">
        <v>52138</v>
      </c>
      <c r="W4073" t="s">
        <v>42697</v>
      </c>
      <c r="X4073" t="s">
        <v>46573</v>
      </c>
    </row>
    <row r="4074" spans="1:24">
      <c r="A4074">
        <f>HYPERLINK("https://www.philgeps.gov.ph/GEPSNONPILOT/Tender/SplashBidNoticeAbstractUI.aspx?menuIndex=3&amp;refID=7063329&amp;Result=3","7063329")</f>
        <v>0</v>
      </c>
      <c r="B4074" t="s">
        <v>1402</v>
      </c>
      <c r="C4074" t="s">
        <v>7447</v>
      </c>
      <c r="D4074" t="s">
        <v>18789</v>
      </c>
      <c r="E4074" t="s">
        <v>22561</v>
      </c>
      <c r="F4074" t="s">
        <v>32664</v>
      </c>
      <c r="G4074" t="s">
        <v>32674</v>
      </c>
      <c r="H4074" t="s">
        <v>12635</v>
      </c>
      <c r="I4074" t="s">
        <v>8730</v>
      </c>
      <c r="J4074" t="s">
        <v>35492</v>
      </c>
      <c r="K4074" t="s">
        <v>42281</v>
      </c>
      <c r="M4074" t="s">
        <v>44059</v>
      </c>
      <c r="N4074" t="s">
        <v>46569</v>
      </c>
      <c r="O4074" t="s">
        <v>46570</v>
      </c>
      <c r="P4074">
        <v>0</v>
      </c>
      <c r="Q4074">
        <v>0</v>
      </c>
      <c r="R4074" t="s">
        <v>46572</v>
      </c>
      <c r="S4074" t="s">
        <v>46689</v>
      </c>
      <c r="T4074" t="s">
        <v>48256</v>
      </c>
      <c r="U4074" t="s">
        <v>52139</v>
      </c>
      <c r="V4074" t="s">
        <v>62034</v>
      </c>
      <c r="W4074" t="s">
        <v>44059</v>
      </c>
      <c r="X4074" t="s">
        <v>46573</v>
      </c>
    </row>
    <row r="4075" spans="1:24">
      <c r="A4075">
        <f>HYPERLINK("https://www.philgeps.gov.ph/GEPSNONPILOT/Tender/SplashBidNoticeAbstractUI.aspx?menuIndex=3&amp;refID=7063326&amp;Result=3","7063326")</f>
        <v>0</v>
      </c>
      <c r="B4075" t="s">
        <v>1493</v>
      </c>
      <c r="C4075" t="s">
        <v>7448</v>
      </c>
      <c r="D4075" t="s">
        <v>18787</v>
      </c>
      <c r="E4075" t="s">
        <v>19461</v>
      </c>
      <c r="F4075" t="s">
        <v>32664</v>
      </c>
      <c r="G4075" t="s">
        <v>32671</v>
      </c>
      <c r="H4075" t="s">
        <v>12635</v>
      </c>
      <c r="I4075" t="s">
        <v>9486</v>
      </c>
      <c r="J4075" t="s">
        <v>35493</v>
      </c>
      <c r="K4075" t="s">
        <v>42295</v>
      </c>
      <c r="M4075" t="s">
        <v>44157</v>
      </c>
      <c r="N4075" t="s">
        <v>46569</v>
      </c>
      <c r="O4075" t="s">
        <v>46570</v>
      </c>
      <c r="P4075">
        <v>0</v>
      </c>
      <c r="Q4075">
        <v>0</v>
      </c>
      <c r="R4075" t="s">
        <v>46572</v>
      </c>
      <c r="S4075" t="s">
        <v>46689</v>
      </c>
      <c r="T4075" t="s">
        <v>48305</v>
      </c>
      <c r="U4075" t="s">
        <v>52140</v>
      </c>
      <c r="W4075" t="s">
        <v>44157</v>
      </c>
      <c r="X4075" t="s">
        <v>46573</v>
      </c>
    </row>
    <row r="4076" spans="1:24">
      <c r="A4076">
        <f>HYPERLINK("https://www.philgeps.gov.ph/GEPSNONPILOT/Tender/SplashBidNoticeAbstractUI.aspx?menuIndex=3&amp;refID=7063325&amp;Result=3","7063325")</f>
        <v>0</v>
      </c>
      <c r="B4076" t="s">
        <v>328</v>
      </c>
      <c r="C4076" t="s">
        <v>7449</v>
      </c>
      <c r="D4076" t="s">
        <v>18813</v>
      </c>
      <c r="E4076" t="s">
        <v>18889</v>
      </c>
      <c r="F4076" t="s">
        <v>32664</v>
      </c>
      <c r="G4076" t="s">
        <v>32674</v>
      </c>
      <c r="H4076" t="s">
        <v>12635</v>
      </c>
      <c r="I4076" t="s">
        <v>32734</v>
      </c>
      <c r="J4076" t="s">
        <v>35494</v>
      </c>
      <c r="K4076" t="s">
        <v>42295</v>
      </c>
      <c r="M4076" t="s">
        <v>42896</v>
      </c>
      <c r="N4076" t="s">
        <v>46569</v>
      </c>
      <c r="O4076" t="s">
        <v>46570</v>
      </c>
      <c r="P4076">
        <v>0</v>
      </c>
      <c r="Q4076">
        <v>0</v>
      </c>
      <c r="R4076" t="s">
        <v>46572</v>
      </c>
      <c r="S4076" t="s">
        <v>46689</v>
      </c>
      <c r="T4076" t="s">
        <v>48254</v>
      </c>
      <c r="U4076" t="s">
        <v>49375</v>
      </c>
      <c r="W4076" t="s">
        <v>42896</v>
      </c>
      <c r="X4076" t="s">
        <v>46573</v>
      </c>
    </row>
    <row r="4077" spans="1:24">
      <c r="A4077">
        <f>HYPERLINK("https://www.philgeps.gov.ph/GEPSNONPILOT/Tender/SplashBidNoticeAbstractUI.aspx?menuIndex=3&amp;refID=7063323&amp;Result=3","7063323")</f>
        <v>0</v>
      </c>
      <c r="B4077" t="s">
        <v>935</v>
      </c>
      <c r="C4077" t="s">
        <v>7450</v>
      </c>
      <c r="E4077" t="s">
        <v>22562</v>
      </c>
      <c r="F4077" t="s">
        <v>32664</v>
      </c>
      <c r="G4077" t="s">
        <v>32671</v>
      </c>
      <c r="H4077" t="s">
        <v>12635</v>
      </c>
      <c r="I4077" t="s">
        <v>32779</v>
      </c>
      <c r="J4077" t="s">
        <v>35495</v>
      </c>
      <c r="K4077" t="s">
        <v>42283</v>
      </c>
      <c r="M4077" t="s">
        <v>43541</v>
      </c>
      <c r="N4077" t="s">
        <v>46569</v>
      </c>
      <c r="O4077" t="s">
        <v>46570</v>
      </c>
      <c r="P4077">
        <v>0</v>
      </c>
      <c r="Q4077">
        <v>0</v>
      </c>
      <c r="R4077" t="s">
        <v>46572</v>
      </c>
      <c r="S4077" t="s">
        <v>46689</v>
      </c>
      <c r="T4077" t="s">
        <v>48219</v>
      </c>
      <c r="U4077" t="s">
        <v>52141</v>
      </c>
      <c r="W4077" t="s">
        <v>43541</v>
      </c>
      <c r="X4077" t="s">
        <v>46573</v>
      </c>
    </row>
    <row r="4078" spans="1:24">
      <c r="A4078">
        <f>HYPERLINK("https://www.philgeps.gov.ph/GEPSNONPILOT/Tender/SplashBidNoticeAbstractUI.aspx?menuIndex=3&amp;refID=7063320&amp;Result=3","7063320")</f>
        <v>0</v>
      </c>
      <c r="B4078" t="s">
        <v>1088</v>
      </c>
      <c r="C4078" t="s">
        <v>7451</v>
      </c>
      <c r="D4078" t="s">
        <v>18804</v>
      </c>
      <c r="E4078" t="s">
        <v>22563</v>
      </c>
      <c r="F4078" t="s">
        <v>32664</v>
      </c>
      <c r="G4078" t="s">
        <v>32672</v>
      </c>
      <c r="H4078" t="s">
        <v>32683</v>
      </c>
      <c r="I4078" t="s">
        <v>10627</v>
      </c>
      <c r="J4078" t="s">
        <v>35496</v>
      </c>
      <c r="K4078" t="s">
        <v>42311</v>
      </c>
      <c r="M4078" t="s">
        <v>43714</v>
      </c>
      <c r="N4078" t="s">
        <v>46569</v>
      </c>
      <c r="O4078" t="s">
        <v>46570</v>
      </c>
      <c r="P4078">
        <v>0</v>
      </c>
      <c r="Q4078">
        <v>0</v>
      </c>
      <c r="R4078" t="s">
        <v>46572</v>
      </c>
      <c r="S4078" t="s">
        <v>46689</v>
      </c>
      <c r="T4078" t="s">
        <v>48275</v>
      </c>
      <c r="U4078" t="s">
        <v>52142</v>
      </c>
      <c r="V4078" t="s">
        <v>61896</v>
      </c>
      <c r="W4078" t="s">
        <v>43714</v>
      </c>
      <c r="X4078" t="s">
        <v>46573</v>
      </c>
    </row>
    <row r="4079" spans="1:24">
      <c r="A4079">
        <f>HYPERLINK("https://www.philgeps.gov.ph/GEPSNONPILOT/Tender/SplashBidNoticeAbstractUI.aspx?menuIndex=3&amp;refID=7063302&amp;Result=3","7063302")</f>
        <v>0</v>
      </c>
      <c r="B4079" t="s">
        <v>69</v>
      </c>
      <c r="C4079" t="s">
        <v>7452</v>
      </c>
      <c r="D4079" t="s">
        <v>18784</v>
      </c>
      <c r="E4079" t="s">
        <v>22564</v>
      </c>
      <c r="F4079" t="s">
        <v>32664</v>
      </c>
      <c r="G4079" t="s">
        <v>32672</v>
      </c>
      <c r="H4079" t="s">
        <v>12635</v>
      </c>
      <c r="I4079" t="s">
        <v>4439</v>
      </c>
      <c r="J4079" t="s">
        <v>35497</v>
      </c>
      <c r="K4079" t="s">
        <v>42281</v>
      </c>
      <c r="M4079" t="s">
        <v>44041</v>
      </c>
      <c r="N4079" t="s">
        <v>46569</v>
      </c>
      <c r="O4079" t="s">
        <v>46570</v>
      </c>
      <c r="P4079">
        <v>0</v>
      </c>
      <c r="Q4079">
        <v>3</v>
      </c>
      <c r="R4079" t="s">
        <v>46572</v>
      </c>
      <c r="S4079" t="s">
        <v>46689</v>
      </c>
      <c r="T4079" t="s">
        <v>48412</v>
      </c>
      <c r="U4079" t="s">
        <v>52143</v>
      </c>
      <c r="W4079" t="s">
        <v>44041</v>
      </c>
      <c r="X4079" t="s">
        <v>46573</v>
      </c>
    </row>
    <row r="4080" spans="1:24">
      <c r="A4080">
        <f>HYPERLINK("https://www.philgeps.gov.ph/GEPSNONPILOT/Tender/SplashBidNoticeAbstractUI.aspx?menuIndex=3&amp;refID=7063719&amp;Result=3","7063719")</f>
        <v>0</v>
      </c>
      <c r="B4080" t="s">
        <v>1494</v>
      </c>
      <c r="C4080" t="s">
        <v>7453</v>
      </c>
      <c r="D4080" t="s">
        <v>18804</v>
      </c>
      <c r="E4080" t="s">
        <v>21172</v>
      </c>
      <c r="F4080" t="s">
        <v>32664</v>
      </c>
      <c r="G4080" t="s">
        <v>32671</v>
      </c>
      <c r="H4080" t="s">
        <v>12635</v>
      </c>
      <c r="I4080" t="s">
        <v>32685</v>
      </c>
      <c r="J4080" t="s">
        <v>35498</v>
      </c>
      <c r="K4080" t="s">
        <v>42309</v>
      </c>
      <c r="M4080" t="s">
        <v>44158</v>
      </c>
      <c r="N4080" t="s">
        <v>46569</v>
      </c>
      <c r="O4080" t="s">
        <v>46570</v>
      </c>
      <c r="P4080">
        <v>0</v>
      </c>
      <c r="Q4080">
        <v>0</v>
      </c>
      <c r="R4080" t="s">
        <v>46572</v>
      </c>
      <c r="S4080" t="s">
        <v>46689</v>
      </c>
      <c r="T4080" t="s">
        <v>48244</v>
      </c>
      <c r="U4080" t="s">
        <v>52144</v>
      </c>
      <c r="W4080" t="s">
        <v>44158</v>
      </c>
      <c r="X4080" t="s">
        <v>46573</v>
      </c>
    </row>
    <row r="4081" spans="1:24">
      <c r="A4081">
        <f>HYPERLINK("https://www.philgeps.gov.ph/GEPSNONPILOT/Tender/SplashBidNoticeAbstractUI.aspx?menuIndex=3&amp;refID=7063301&amp;Result=3","7063301")</f>
        <v>0</v>
      </c>
      <c r="B4081" t="s">
        <v>1094</v>
      </c>
      <c r="C4081" t="s">
        <v>7454</v>
      </c>
      <c r="D4081" t="s">
        <v>18822</v>
      </c>
      <c r="E4081" t="s">
        <v>22565</v>
      </c>
      <c r="F4081" t="s">
        <v>32664</v>
      </c>
      <c r="G4081" t="s">
        <v>32674</v>
      </c>
      <c r="H4081" t="s">
        <v>12635</v>
      </c>
      <c r="I4081" t="s">
        <v>9486</v>
      </c>
      <c r="J4081" t="s">
        <v>35499</v>
      </c>
      <c r="K4081" t="s">
        <v>42284</v>
      </c>
      <c r="M4081" t="s">
        <v>43722</v>
      </c>
      <c r="N4081" t="s">
        <v>46569</v>
      </c>
      <c r="O4081" t="s">
        <v>46570</v>
      </c>
      <c r="P4081">
        <v>0</v>
      </c>
      <c r="Q4081">
        <v>0</v>
      </c>
      <c r="R4081" t="s">
        <v>46572</v>
      </c>
      <c r="S4081" t="s">
        <v>46689</v>
      </c>
      <c r="T4081" t="s">
        <v>48256</v>
      </c>
      <c r="U4081" t="s">
        <v>52145</v>
      </c>
      <c r="W4081" t="s">
        <v>43722</v>
      </c>
      <c r="X4081" t="s">
        <v>46573</v>
      </c>
    </row>
    <row r="4082" spans="1:24">
      <c r="A4082">
        <f>HYPERLINK("https://www.philgeps.gov.ph/GEPSNONPILOT/Tender/SplashBidNoticeAbstractUI.aspx?menuIndex=3&amp;refID=7063327&amp;Result=3","7063327")</f>
        <v>0</v>
      </c>
      <c r="B4082" t="s">
        <v>1150</v>
      </c>
      <c r="C4082" t="s">
        <v>7455</v>
      </c>
      <c r="D4082" t="s">
        <v>18845</v>
      </c>
      <c r="E4082" t="s">
        <v>22566</v>
      </c>
      <c r="F4082" t="s">
        <v>32664</v>
      </c>
      <c r="G4082" t="s">
        <v>32671</v>
      </c>
      <c r="H4082" t="s">
        <v>12635</v>
      </c>
      <c r="I4082" t="s">
        <v>9486</v>
      </c>
      <c r="J4082" t="s">
        <v>33167</v>
      </c>
      <c r="K4082" t="s">
        <v>42283</v>
      </c>
      <c r="M4082" t="s">
        <v>43781</v>
      </c>
      <c r="N4082" t="s">
        <v>46569</v>
      </c>
      <c r="O4082" t="s">
        <v>46570</v>
      </c>
      <c r="P4082">
        <v>0</v>
      </c>
      <c r="Q4082">
        <v>1</v>
      </c>
      <c r="R4082" t="s">
        <v>46572</v>
      </c>
      <c r="S4082" t="s">
        <v>46689</v>
      </c>
      <c r="T4082" t="s">
        <v>48258</v>
      </c>
      <c r="U4082" t="s">
        <v>52146</v>
      </c>
      <c r="W4082" t="s">
        <v>43781</v>
      </c>
      <c r="X4082" t="s">
        <v>46573</v>
      </c>
    </row>
    <row r="4083" spans="1:24">
      <c r="A4083">
        <f>HYPERLINK("https://www.philgeps.gov.ph/GEPSNONPILOT/Tender/SplashBidNoticeAbstractUI.aspx?menuIndex=3&amp;refID=7063758&amp;Result=3","7063758")</f>
        <v>0</v>
      </c>
      <c r="B4083" t="s">
        <v>1495</v>
      </c>
      <c r="C4083" t="s">
        <v>7456</v>
      </c>
      <c r="D4083" t="s">
        <v>18827</v>
      </c>
      <c r="E4083" t="s">
        <v>20150</v>
      </c>
      <c r="F4083" t="s">
        <v>32664</v>
      </c>
      <c r="G4083" t="s">
        <v>32672</v>
      </c>
      <c r="H4083" t="s">
        <v>12635</v>
      </c>
      <c r="I4083" t="s">
        <v>4439</v>
      </c>
      <c r="J4083" t="s">
        <v>32859</v>
      </c>
      <c r="K4083" t="s">
        <v>42284</v>
      </c>
      <c r="M4083" t="s">
        <v>44159</v>
      </c>
      <c r="N4083" t="s">
        <v>46569</v>
      </c>
      <c r="O4083" t="s">
        <v>46570</v>
      </c>
      <c r="P4083">
        <v>0</v>
      </c>
      <c r="Q4083">
        <v>0</v>
      </c>
      <c r="R4083" t="s">
        <v>46572</v>
      </c>
      <c r="S4083" t="s">
        <v>46689</v>
      </c>
      <c r="T4083" t="s">
        <v>48297</v>
      </c>
      <c r="U4083" t="s">
        <v>52147</v>
      </c>
      <c r="W4083" t="s">
        <v>63516</v>
      </c>
      <c r="X4083" t="s">
        <v>46573</v>
      </c>
    </row>
    <row r="4084" spans="1:24">
      <c r="A4084">
        <f>HYPERLINK("https://www.philgeps.gov.ph/GEPSNONPILOT/Tender/SplashBidNoticeAbstractUI.aspx?menuIndex=3&amp;refID=7063761&amp;Result=3","7063761")</f>
        <v>0</v>
      </c>
      <c r="B4084" t="s">
        <v>352</v>
      </c>
      <c r="C4084" t="s">
        <v>7457</v>
      </c>
      <c r="D4084" t="s">
        <v>18801</v>
      </c>
      <c r="E4084" t="s">
        <v>22567</v>
      </c>
      <c r="F4084" t="s">
        <v>32664</v>
      </c>
      <c r="G4084" t="s">
        <v>32671</v>
      </c>
      <c r="H4084" t="s">
        <v>12635</v>
      </c>
      <c r="I4084" t="s">
        <v>6223</v>
      </c>
      <c r="J4084" t="s">
        <v>35500</v>
      </c>
      <c r="K4084" t="s">
        <v>42297</v>
      </c>
      <c r="M4084" t="s">
        <v>43215</v>
      </c>
      <c r="N4084" t="s">
        <v>46569</v>
      </c>
      <c r="O4084" t="s">
        <v>46570</v>
      </c>
      <c r="P4084">
        <v>0</v>
      </c>
      <c r="Q4084">
        <v>1</v>
      </c>
      <c r="R4084" t="s">
        <v>46572</v>
      </c>
      <c r="S4084" t="s">
        <v>46689</v>
      </c>
      <c r="T4084" t="s">
        <v>48256</v>
      </c>
      <c r="U4084" t="s">
        <v>52148</v>
      </c>
      <c r="V4084" t="s">
        <v>61781</v>
      </c>
      <c r="W4084" t="s">
        <v>43215</v>
      </c>
      <c r="X4084" t="s">
        <v>46573</v>
      </c>
    </row>
    <row r="4085" spans="1:24">
      <c r="A4085">
        <f>HYPERLINK("https://www.philgeps.gov.ph/GEPSNONPILOT/Tender/SplashBidNoticeAbstractUI.aspx?menuIndex=3&amp;refID=7063321&amp;Result=3","7063321")</f>
        <v>0</v>
      </c>
      <c r="B4085" t="s">
        <v>460</v>
      </c>
      <c r="C4085" t="s">
        <v>7458</v>
      </c>
      <c r="D4085" t="s">
        <v>18806</v>
      </c>
      <c r="E4085" t="s">
        <v>22568</v>
      </c>
      <c r="F4085" t="s">
        <v>32664</v>
      </c>
      <c r="G4085" t="s">
        <v>32672</v>
      </c>
      <c r="H4085" t="s">
        <v>12635</v>
      </c>
      <c r="I4085" t="s">
        <v>32712</v>
      </c>
      <c r="J4085" t="s">
        <v>33032</v>
      </c>
      <c r="K4085" t="s">
        <v>42330</v>
      </c>
      <c r="M4085" t="s">
        <v>43035</v>
      </c>
      <c r="N4085" t="s">
        <v>46569</v>
      </c>
      <c r="O4085" t="s">
        <v>46570</v>
      </c>
      <c r="P4085">
        <v>0</v>
      </c>
      <c r="Q4085">
        <v>3</v>
      </c>
      <c r="R4085" t="s">
        <v>46572</v>
      </c>
      <c r="S4085" t="s">
        <v>46689</v>
      </c>
      <c r="T4085" t="s">
        <v>48270</v>
      </c>
      <c r="U4085" t="s">
        <v>52149</v>
      </c>
      <c r="V4085" t="s">
        <v>61876</v>
      </c>
      <c r="W4085" t="s">
        <v>43035</v>
      </c>
      <c r="X4085" t="s">
        <v>46573</v>
      </c>
    </row>
    <row r="4086" spans="1:24">
      <c r="A4086">
        <f>HYPERLINK("https://www.philgeps.gov.ph/GEPSNONPILOT/Tender/SplashBidNoticeAbstractUI.aspx?menuIndex=3&amp;refID=7063331&amp;Result=3","7063331")</f>
        <v>0</v>
      </c>
      <c r="B4086" t="s">
        <v>1496</v>
      </c>
      <c r="C4086" t="s">
        <v>7459</v>
      </c>
      <c r="D4086" t="s">
        <v>18822</v>
      </c>
      <c r="E4086" t="s">
        <v>22569</v>
      </c>
      <c r="F4086" t="s">
        <v>32664</v>
      </c>
      <c r="G4086" t="s">
        <v>32672</v>
      </c>
      <c r="H4086" t="s">
        <v>12635</v>
      </c>
      <c r="I4086" t="s">
        <v>10627</v>
      </c>
      <c r="J4086" t="s">
        <v>33078</v>
      </c>
      <c r="K4086" t="s">
        <v>42281</v>
      </c>
      <c r="M4086" t="s">
        <v>44160</v>
      </c>
      <c r="N4086" t="s">
        <v>46569</v>
      </c>
      <c r="O4086" t="s">
        <v>46570</v>
      </c>
      <c r="P4086">
        <v>0</v>
      </c>
      <c r="Q4086">
        <v>0</v>
      </c>
      <c r="R4086" t="s">
        <v>46572</v>
      </c>
      <c r="S4086" t="s">
        <v>46689</v>
      </c>
      <c r="T4086" t="s">
        <v>48225</v>
      </c>
      <c r="U4086" t="s">
        <v>52150</v>
      </c>
      <c r="W4086" t="s">
        <v>44160</v>
      </c>
      <c r="X4086" t="s">
        <v>46573</v>
      </c>
    </row>
    <row r="4087" spans="1:24">
      <c r="A4087">
        <f>HYPERLINK("https://www.philgeps.gov.ph/GEPSNONPILOT/Tender/SplashBidNoticeAbstractUI.aspx?menuIndex=3&amp;refID=7063724&amp;Result=3","7063724")</f>
        <v>0</v>
      </c>
      <c r="B4087" t="s">
        <v>1497</v>
      </c>
      <c r="C4087" t="s">
        <v>7460</v>
      </c>
      <c r="D4087" t="s">
        <v>18785</v>
      </c>
      <c r="E4087" t="s">
        <v>22570</v>
      </c>
      <c r="F4087" t="s">
        <v>32664</v>
      </c>
      <c r="G4087" t="s">
        <v>32672</v>
      </c>
      <c r="H4087" t="s">
        <v>12635</v>
      </c>
      <c r="I4087" t="s">
        <v>32690</v>
      </c>
      <c r="J4087" t="s">
        <v>33128</v>
      </c>
      <c r="K4087" t="s">
        <v>42284</v>
      </c>
      <c r="M4087" t="s">
        <v>44161</v>
      </c>
      <c r="N4087" t="s">
        <v>46569</v>
      </c>
      <c r="O4087" t="s">
        <v>46570</v>
      </c>
      <c r="P4087">
        <v>0</v>
      </c>
      <c r="Q4087">
        <v>3</v>
      </c>
      <c r="R4087" t="s">
        <v>46572</v>
      </c>
      <c r="S4087" t="s">
        <v>46689</v>
      </c>
      <c r="T4087" t="s">
        <v>48328</v>
      </c>
      <c r="U4087" t="s">
        <v>52151</v>
      </c>
      <c r="W4087" t="s">
        <v>44161</v>
      </c>
      <c r="X4087" t="s">
        <v>46573</v>
      </c>
    </row>
    <row r="4088" spans="1:24">
      <c r="A4088">
        <f>HYPERLINK("https://www.philgeps.gov.ph/GEPSNONPILOT/Tender/SplashBidNoticeAbstractUI.aspx?menuIndex=3&amp;refID=7063759&amp;Result=3","7063759")</f>
        <v>0</v>
      </c>
      <c r="B4088" t="s">
        <v>1380</v>
      </c>
      <c r="C4088" t="s">
        <v>7461</v>
      </c>
      <c r="D4088" t="s">
        <v>18809</v>
      </c>
      <c r="E4088" t="s">
        <v>22571</v>
      </c>
      <c r="F4088" t="s">
        <v>32664</v>
      </c>
      <c r="G4088" t="s">
        <v>32671</v>
      </c>
      <c r="H4088" t="s">
        <v>12635</v>
      </c>
      <c r="I4088" t="s">
        <v>32723</v>
      </c>
      <c r="J4088" t="s">
        <v>35501</v>
      </c>
      <c r="K4088" t="s">
        <v>42297</v>
      </c>
      <c r="L4088" t="s">
        <v>1380</v>
      </c>
      <c r="M4088" t="s">
        <v>44035</v>
      </c>
      <c r="N4088" t="s">
        <v>46569</v>
      </c>
      <c r="O4088" t="s">
        <v>46570</v>
      </c>
      <c r="P4088">
        <v>0</v>
      </c>
      <c r="Q4088">
        <v>0</v>
      </c>
      <c r="R4088" t="s">
        <v>46572</v>
      </c>
      <c r="S4088" t="s">
        <v>46689</v>
      </c>
      <c r="T4088" t="s">
        <v>48217</v>
      </c>
      <c r="U4088" t="s">
        <v>52133</v>
      </c>
      <c r="V4088" t="s">
        <v>62025</v>
      </c>
      <c r="W4088" t="s">
        <v>44035</v>
      </c>
      <c r="X4088" t="s">
        <v>46573</v>
      </c>
    </row>
    <row r="4089" spans="1:24">
      <c r="A4089">
        <f>HYPERLINK("https://www.philgeps.gov.ph/GEPSNONPILOT/Tender/SplashBidNoticeAbstractUI.aspx?menuIndex=3&amp;refID=7063757&amp;Result=3","7063757")</f>
        <v>0</v>
      </c>
      <c r="B4089" t="s">
        <v>1480</v>
      </c>
      <c r="C4089" t="s">
        <v>7462</v>
      </c>
      <c r="D4089" t="s">
        <v>18851</v>
      </c>
      <c r="E4089" t="s">
        <v>22572</v>
      </c>
      <c r="F4089" t="s">
        <v>32664</v>
      </c>
      <c r="G4089" t="s">
        <v>32671</v>
      </c>
      <c r="H4089" t="s">
        <v>12635</v>
      </c>
      <c r="I4089" t="s">
        <v>4439</v>
      </c>
      <c r="J4089" t="s">
        <v>33345</v>
      </c>
      <c r="K4089" t="s">
        <v>42297</v>
      </c>
      <c r="M4089" t="s">
        <v>44143</v>
      </c>
      <c r="N4089" t="s">
        <v>46569</v>
      </c>
      <c r="O4089" t="s">
        <v>46570</v>
      </c>
      <c r="P4089">
        <v>0</v>
      </c>
      <c r="Q4089">
        <v>1</v>
      </c>
      <c r="R4089" t="s">
        <v>46572</v>
      </c>
      <c r="S4089" t="s">
        <v>46689</v>
      </c>
      <c r="T4089" t="s">
        <v>48496</v>
      </c>
      <c r="U4089" t="s">
        <v>52152</v>
      </c>
      <c r="W4089" t="s">
        <v>44143</v>
      </c>
      <c r="X4089" t="s">
        <v>46573</v>
      </c>
    </row>
    <row r="4090" spans="1:24">
      <c r="A4090">
        <f>HYPERLINK("https://www.philgeps.gov.ph/GEPSNONPILOT/Tender/SplashBidNoticeAbstractUI.aspx?menuIndex=3&amp;refID=7063754&amp;Result=3","7063754")</f>
        <v>0</v>
      </c>
      <c r="B4090" t="s">
        <v>1468</v>
      </c>
      <c r="C4090" t="s">
        <v>7463</v>
      </c>
      <c r="D4090" t="s">
        <v>18806</v>
      </c>
      <c r="E4090" t="s">
        <v>22573</v>
      </c>
      <c r="F4090" t="s">
        <v>32664</v>
      </c>
      <c r="G4090" t="s">
        <v>32672</v>
      </c>
      <c r="H4090" t="s">
        <v>32683</v>
      </c>
      <c r="I4090" t="s">
        <v>10627</v>
      </c>
      <c r="J4090" t="s">
        <v>32982</v>
      </c>
      <c r="K4090" t="s">
        <v>42285</v>
      </c>
      <c r="M4090" t="s">
        <v>44130</v>
      </c>
      <c r="N4090" t="s">
        <v>46569</v>
      </c>
      <c r="O4090" t="s">
        <v>46570</v>
      </c>
      <c r="P4090">
        <v>0</v>
      </c>
      <c r="Q4090">
        <v>4</v>
      </c>
      <c r="R4090" t="s">
        <v>46572</v>
      </c>
      <c r="S4090" t="s">
        <v>46689</v>
      </c>
      <c r="T4090" t="s">
        <v>48499</v>
      </c>
      <c r="U4090" t="s">
        <v>52153</v>
      </c>
      <c r="V4090" t="s">
        <v>62035</v>
      </c>
      <c r="W4090" t="s">
        <v>44130</v>
      </c>
      <c r="X4090" t="s">
        <v>46573</v>
      </c>
    </row>
    <row r="4091" spans="1:24">
      <c r="A4091">
        <f>HYPERLINK("https://www.philgeps.gov.ph/GEPSNONPILOT/Tender/SplashBidNoticeAbstractUI.aspx?menuIndex=3&amp;refID=7063753&amp;Result=3","7063753")</f>
        <v>0</v>
      </c>
      <c r="B4091" t="s">
        <v>594</v>
      </c>
      <c r="C4091" t="s">
        <v>7464</v>
      </c>
      <c r="D4091" t="s">
        <v>18784</v>
      </c>
      <c r="E4091" t="s">
        <v>22574</v>
      </c>
      <c r="F4091" t="s">
        <v>32664</v>
      </c>
      <c r="G4091" t="s">
        <v>32671</v>
      </c>
      <c r="H4091" t="s">
        <v>12635</v>
      </c>
      <c r="I4091" t="s">
        <v>7429</v>
      </c>
      <c r="J4091" t="s">
        <v>35502</v>
      </c>
      <c r="K4091" t="s">
        <v>42297</v>
      </c>
      <c r="M4091" t="s">
        <v>43768</v>
      </c>
      <c r="N4091" t="s">
        <v>46569</v>
      </c>
      <c r="O4091" t="s">
        <v>46570</v>
      </c>
      <c r="P4091">
        <v>0</v>
      </c>
      <c r="Q4091">
        <v>3</v>
      </c>
      <c r="R4091" t="s">
        <v>46572</v>
      </c>
      <c r="S4091" t="s">
        <v>46689</v>
      </c>
      <c r="T4091" t="s">
        <v>48341</v>
      </c>
      <c r="U4091" t="s">
        <v>52154</v>
      </c>
      <c r="V4091" t="s">
        <v>61906</v>
      </c>
      <c r="W4091" t="s">
        <v>43768</v>
      </c>
      <c r="X4091" t="s">
        <v>46573</v>
      </c>
    </row>
    <row r="4092" spans="1:24">
      <c r="A4092">
        <f>HYPERLINK("https://www.philgeps.gov.ph/GEPSNONPILOT/Tender/SplashBidNoticeAbstractUI.aspx?menuIndex=3&amp;refID=7063760&amp;Result=3","7063760")</f>
        <v>0</v>
      </c>
      <c r="B4092" t="s">
        <v>817</v>
      </c>
      <c r="C4092" t="s">
        <v>7017</v>
      </c>
      <c r="E4092" t="s">
        <v>22575</v>
      </c>
      <c r="F4092" t="s">
        <v>32664</v>
      </c>
      <c r="G4092" t="s">
        <v>32671</v>
      </c>
      <c r="H4092" t="s">
        <v>12635</v>
      </c>
      <c r="I4092" t="s">
        <v>6628</v>
      </c>
      <c r="J4092" t="s">
        <v>33106</v>
      </c>
      <c r="K4092" t="s">
        <v>42283</v>
      </c>
      <c r="M4092" t="s">
        <v>43412</v>
      </c>
      <c r="N4092" t="s">
        <v>46569</v>
      </c>
      <c r="O4092" t="s">
        <v>46570</v>
      </c>
      <c r="P4092">
        <v>0</v>
      </c>
      <c r="Q4092">
        <v>0</v>
      </c>
      <c r="R4092" t="s">
        <v>46572</v>
      </c>
      <c r="S4092" t="s">
        <v>46689</v>
      </c>
      <c r="T4092" t="s">
        <v>48219</v>
      </c>
      <c r="U4092" t="s">
        <v>51786</v>
      </c>
      <c r="W4092" t="s">
        <v>43412</v>
      </c>
      <c r="X4092" t="s">
        <v>46573</v>
      </c>
    </row>
    <row r="4093" spans="1:24">
      <c r="A4093">
        <f>HYPERLINK("https://www.philgeps.gov.ph/GEPSNONPILOT/Tender/SplashBidNoticeAbstractUI.aspx?menuIndex=3&amp;refID=7063752&amp;Result=3","7063752")</f>
        <v>0</v>
      </c>
      <c r="B4093" t="s">
        <v>1381</v>
      </c>
      <c r="C4093" t="s">
        <v>7465</v>
      </c>
      <c r="D4093" t="s">
        <v>18804</v>
      </c>
      <c r="E4093" t="s">
        <v>22576</v>
      </c>
      <c r="F4093" t="s">
        <v>32664</v>
      </c>
      <c r="G4093" t="s">
        <v>32671</v>
      </c>
      <c r="H4093" t="s">
        <v>12635</v>
      </c>
      <c r="I4093" t="s">
        <v>5501</v>
      </c>
      <c r="J4093" t="s">
        <v>32859</v>
      </c>
      <c r="K4093" t="s">
        <v>42281</v>
      </c>
      <c r="M4093" t="s">
        <v>44036</v>
      </c>
      <c r="N4093" t="s">
        <v>46569</v>
      </c>
      <c r="O4093" t="s">
        <v>46570</v>
      </c>
      <c r="P4093">
        <v>0</v>
      </c>
      <c r="Q4093">
        <v>8</v>
      </c>
      <c r="R4093" t="s">
        <v>46572</v>
      </c>
      <c r="S4093" t="s">
        <v>46689</v>
      </c>
      <c r="T4093" t="s">
        <v>48217</v>
      </c>
      <c r="U4093" t="s">
        <v>51827</v>
      </c>
      <c r="V4093" t="s">
        <v>61990</v>
      </c>
      <c r="W4093" t="s">
        <v>44036</v>
      </c>
      <c r="X4093" t="s">
        <v>46573</v>
      </c>
    </row>
    <row r="4094" spans="1:24">
      <c r="A4094">
        <f>HYPERLINK("https://www.philgeps.gov.ph/GEPSNONPILOT/Tender/SplashBidNoticeAbstractUI.aspx?menuIndex=3&amp;refID=7063750&amp;Result=3","7063750")</f>
        <v>0</v>
      </c>
      <c r="B4094" t="s">
        <v>1422</v>
      </c>
      <c r="C4094" t="s">
        <v>7466</v>
      </c>
      <c r="E4094" t="s">
        <v>22577</v>
      </c>
      <c r="F4094" t="s">
        <v>32664</v>
      </c>
      <c r="G4094" t="s">
        <v>32671</v>
      </c>
      <c r="H4094" t="s">
        <v>12635</v>
      </c>
      <c r="I4094" t="s">
        <v>4439</v>
      </c>
      <c r="J4094" t="s">
        <v>35503</v>
      </c>
      <c r="K4094" t="s">
        <v>42283</v>
      </c>
      <c r="M4094" t="s">
        <v>44081</v>
      </c>
      <c r="N4094" t="s">
        <v>46569</v>
      </c>
      <c r="O4094" t="s">
        <v>46570</v>
      </c>
      <c r="P4094">
        <v>0</v>
      </c>
      <c r="Q4094">
        <v>1</v>
      </c>
      <c r="R4094" t="s">
        <v>46572</v>
      </c>
      <c r="S4094" t="s">
        <v>46689</v>
      </c>
      <c r="T4094" t="s">
        <v>48256</v>
      </c>
      <c r="U4094" t="s">
        <v>52093</v>
      </c>
      <c r="W4094" t="s">
        <v>44081</v>
      </c>
      <c r="X4094" t="s">
        <v>46573</v>
      </c>
    </row>
    <row r="4095" spans="1:24">
      <c r="A4095">
        <f>HYPERLINK("https://www.philgeps.gov.ph/GEPSNONPILOT/Tender/SplashBidNoticeAbstractUI.aspx?menuIndex=3&amp;refID=7063756&amp;Result=3","7063756")</f>
        <v>0</v>
      </c>
      <c r="B4095" t="s">
        <v>1498</v>
      </c>
      <c r="C4095" t="s">
        <v>7467</v>
      </c>
      <c r="D4095" t="s">
        <v>18855</v>
      </c>
      <c r="E4095" t="s">
        <v>22578</v>
      </c>
      <c r="F4095" t="s">
        <v>32664</v>
      </c>
      <c r="G4095" t="s">
        <v>32671</v>
      </c>
      <c r="H4095" t="s">
        <v>12635</v>
      </c>
      <c r="I4095" t="s">
        <v>6223</v>
      </c>
      <c r="J4095" t="s">
        <v>32898</v>
      </c>
      <c r="K4095" t="s">
        <v>42281</v>
      </c>
      <c r="M4095" t="s">
        <v>44162</v>
      </c>
      <c r="N4095" t="s">
        <v>46569</v>
      </c>
      <c r="O4095" t="s">
        <v>46570</v>
      </c>
      <c r="P4095">
        <v>0</v>
      </c>
      <c r="Q4095">
        <v>0</v>
      </c>
      <c r="R4095" t="s">
        <v>46572</v>
      </c>
      <c r="S4095" t="s">
        <v>46689</v>
      </c>
      <c r="T4095" t="s">
        <v>48256</v>
      </c>
      <c r="U4095" t="s">
        <v>52155</v>
      </c>
      <c r="W4095" t="s">
        <v>44162</v>
      </c>
      <c r="X4095" t="s">
        <v>46573</v>
      </c>
    </row>
    <row r="4096" spans="1:24">
      <c r="A4096">
        <f>HYPERLINK("https://www.philgeps.gov.ph/GEPSNONPILOT/Tender/SplashBidNoticeAbstractUI.aspx?menuIndex=3&amp;refID=7063755&amp;Result=3","7063755")</f>
        <v>0</v>
      </c>
      <c r="B4096" t="s">
        <v>107</v>
      </c>
      <c r="C4096" t="s">
        <v>7468</v>
      </c>
      <c r="D4096" t="s">
        <v>18804</v>
      </c>
      <c r="E4096" t="s">
        <v>22579</v>
      </c>
      <c r="F4096" t="s">
        <v>32664</v>
      </c>
      <c r="G4096" t="s">
        <v>32672</v>
      </c>
      <c r="H4096" t="s">
        <v>32683</v>
      </c>
      <c r="I4096" t="s">
        <v>10627</v>
      </c>
      <c r="J4096" t="s">
        <v>35504</v>
      </c>
      <c r="K4096" t="s">
        <v>42298</v>
      </c>
      <c r="M4096" t="s">
        <v>42671</v>
      </c>
      <c r="N4096" t="s">
        <v>46569</v>
      </c>
      <c r="O4096" t="s">
        <v>46570</v>
      </c>
      <c r="P4096">
        <v>0</v>
      </c>
      <c r="Q4096">
        <v>2</v>
      </c>
      <c r="R4096" t="s">
        <v>46572</v>
      </c>
      <c r="S4096" t="s">
        <v>46689</v>
      </c>
      <c r="T4096" t="s">
        <v>48261</v>
      </c>
      <c r="U4096" t="s">
        <v>48995</v>
      </c>
      <c r="W4096" t="s">
        <v>42671</v>
      </c>
      <c r="X4096" t="s">
        <v>46573</v>
      </c>
    </row>
    <row r="4097" spans="1:24">
      <c r="A4097">
        <f>HYPERLINK("https://www.philgeps.gov.ph/GEPSNONPILOT/Tender/SplashBidNoticeAbstractUI.aspx?menuIndex=3&amp;refID=7063749&amp;Result=3","7063749")</f>
        <v>0</v>
      </c>
      <c r="B4097" t="s">
        <v>1499</v>
      </c>
      <c r="C4097" t="s">
        <v>7469</v>
      </c>
      <c r="D4097" t="s">
        <v>18867</v>
      </c>
      <c r="E4097" t="s">
        <v>22580</v>
      </c>
      <c r="F4097" t="s">
        <v>32664</v>
      </c>
      <c r="G4097" t="s">
        <v>32672</v>
      </c>
      <c r="H4097" t="s">
        <v>12635</v>
      </c>
      <c r="I4097" t="s">
        <v>10361</v>
      </c>
      <c r="J4097" t="s">
        <v>35505</v>
      </c>
      <c r="K4097" t="s">
        <v>42419</v>
      </c>
      <c r="M4097" t="s">
        <v>44163</v>
      </c>
      <c r="N4097" t="s">
        <v>46569</v>
      </c>
      <c r="O4097" t="s">
        <v>46570</v>
      </c>
      <c r="P4097">
        <v>0</v>
      </c>
      <c r="Q4097">
        <v>1</v>
      </c>
      <c r="R4097" t="s">
        <v>46572</v>
      </c>
      <c r="S4097" t="s">
        <v>46689</v>
      </c>
      <c r="T4097" t="s">
        <v>48281</v>
      </c>
      <c r="U4097" t="s">
        <v>52156</v>
      </c>
      <c r="V4097" t="s">
        <v>62036</v>
      </c>
      <c r="W4097" t="s">
        <v>63517</v>
      </c>
      <c r="X4097" t="s">
        <v>46573</v>
      </c>
    </row>
    <row r="4098" spans="1:24">
      <c r="A4098">
        <f>HYPERLINK("https://www.philgeps.gov.ph/GEPSNONPILOT/Tender/SplashBidNoticeAbstractUI.aspx?menuIndex=3&amp;refID=7063747&amp;Result=3","7063747")</f>
        <v>0</v>
      </c>
      <c r="B4098" t="s">
        <v>231</v>
      </c>
      <c r="C4098" t="s">
        <v>7470</v>
      </c>
      <c r="D4098" t="s">
        <v>18845</v>
      </c>
      <c r="E4098" t="s">
        <v>22581</v>
      </c>
      <c r="F4098" t="s">
        <v>32664</v>
      </c>
      <c r="G4098" t="s">
        <v>32675</v>
      </c>
      <c r="H4098" t="s">
        <v>12635</v>
      </c>
      <c r="I4098" t="s">
        <v>6223</v>
      </c>
      <c r="J4098" t="s">
        <v>35506</v>
      </c>
      <c r="K4098" t="s">
        <v>42281</v>
      </c>
      <c r="M4098" t="s">
        <v>42795</v>
      </c>
      <c r="N4098" t="s">
        <v>46569</v>
      </c>
      <c r="O4098" t="s">
        <v>46570</v>
      </c>
      <c r="P4098">
        <v>0</v>
      </c>
      <c r="Q4098">
        <v>2</v>
      </c>
      <c r="R4098" t="s">
        <v>46572</v>
      </c>
      <c r="S4098" t="s">
        <v>46689</v>
      </c>
      <c r="T4098" t="s">
        <v>48313</v>
      </c>
      <c r="U4098" t="s">
        <v>49190</v>
      </c>
      <c r="W4098" t="s">
        <v>42795</v>
      </c>
      <c r="X4098" t="s">
        <v>46573</v>
      </c>
    </row>
    <row r="4099" spans="1:24">
      <c r="A4099">
        <f>HYPERLINK("https://www.philgeps.gov.ph/GEPSNONPILOT/Tender/SplashBidNoticeAbstractUI.aspx?menuIndex=3&amp;refID=7063745&amp;Result=3","7063745")</f>
        <v>0</v>
      </c>
      <c r="B4099" t="s">
        <v>1500</v>
      </c>
      <c r="C4099" t="s">
        <v>7471</v>
      </c>
      <c r="E4099" t="s">
        <v>22582</v>
      </c>
      <c r="F4099" t="s">
        <v>32664</v>
      </c>
      <c r="G4099" t="s">
        <v>32672</v>
      </c>
      <c r="H4099" t="s">
        <v>32683</v>
      </c>
      <c r="I4099" t="s">
        <v>10627</v>
      </c>
      <c r="J4099" t="s">
        <v>35507</v>
      </c>
      <c r="K4099" t="s">
        <v>42419</v>
      </c>
      <c r="L4099" t="s">
        <v>1500</v>
      </c>
      <c r="M4099" t="s">
        <v>44164</v>
      </c>
      <c r="N4099" t="s">
        <v>46569</v>
      </c>
      <c r="O4099" t="s">
        <v>46570</v>
      </c>
      <c r="P4099">
        <v>0</v>
      </c>
      <c r="Q4099">
        <v>0</v>
      </c>
      <c r="R4099" t="s">
        <v>46572</v>
      </c>
      <c r="S4099" t="s">
        <v>46689</v>
      </c>
      <c r="T4099" t="s">
        <v>48268</v>
      </c>
      <c r="U4099" t="s">
        <v>52157</v>
      </c>
      <c r="V4099" t="s">
        <v>62037</v>
      </c>
      <c r="W4099" t="s">
        <v>44164</v>
      </c>
      <c r="X4099" t="s">
        <v>46573</v>
      </c>
    </row>
    <row r="4100" spans="1:24">
      <c r="A4100">
        <f>HYPERLINK("https://www.philgeps.gov.ph/GEPSNONPILOT/Tender/SplashBidNoticeAbstractUI.aspx?menuIndex=3&amp;refID=7063744&amp;Result=3","7063744")</f>
        <v>0</v>
      </c>
      <c r="B4100" t="s">
        <v>900</v>
      </c>
      <c r="C4100" t="s">
        <v>7472</v>
      </c>
      <c r="E4100" t="s">
        <v>22583</v>
      </c>
      <c r="F4100" t="s">
        <v>32664</v>
      </c>
      <c r="G4100" t="s">
        <v>32674</v>
      </c>
      <c r="H4100" t="s">
        <v>12635</v>
      </c>
      <c r="I4100" t="s">
        <v>32736</v>
      </c>
      <c r="J4100" t="s">
        <v>34833</v>
      </c>
      <c r="K4100" t="s">
        <v>42283</v>
      </c>
      <c r="M4100" t="s">
        <v>43504</v>
      </c>
      <c r="N4100" t="s">
        <v>46569</v>
      </c>
      <c r="O4100" t="s">
        <v>46570</v>
      </c>
      <c r="P4100">
        <v>0</v>
      </c>
      <c r="Q4100">
        <v>0</v>
      </c>
      <c r="R4100" t="s">
        <v>46572</v>
      </c>
      <c r="S4100" t="s">
        <v>46689</v>
      </c>
      <c r="T4100" t="s">
        <v>48244</v>
      </c>
      <c r="U4100" t="s">
        <v>52158</v>
      </c>
      <c r="V4100" t="s">
        <v>61843</v>
      </c>
      <c r="W4100" t="s">
        <v>43504</v>
      </c>
      <c r="X4100" t="s">
        <v>46573</v>
      </c>
    </row>
    <row r="4101" spans="1:24">
      <c r="A4101">
        <f>HYPERLINK("https://www.philgeps.gov.ph/GEPSNONPILOT/Tender/SplashBidNoticeAbstractUI.aspx?menuIndex=3&amp;refID=7063344&amp;Result=3","7063344")</f>
        <v>0</v>
      </c>
      <c r="B4101" t="s">
        <v>1386</v>
      </c>
      <c r="C4101" t="s">
        <v>7473</v>
      </c>
      <c r="D4101" t="s">
        <v>18819</v>
      </c>
      <c r="E4101" t="s">
        <v>22584</v>
      </c>
      <c r="F4101" t="s">
        <v>32664</v>
      </c>
      <c r="G4101" t="s">
        <v>32672</v>
      </c>
      <c r="H4101" t="s">
        <v>12635</v>
      </c>
      <c r="I4101" t="s">
        <v>6168</v>
      </c>
      <c r="J4101" t="s">
        <v>35508</v>
      </c>
      <c r="K4101" t="s">
        <v>42281</v>
      </c>
      <c r="M4101" t="s">
        <v>44042</v>
      </c>
      <c r="N4101" t="s">
        <v>46569</v>
      </c>
      <c r="O4101" t="s">
        <v>46570</v>
      </c>
      <c r="P4101">
        <v>0</v>
      </c>
      <c r="Q4101">
        <v>0</v>
      </c>
      <c r="R4101" t="s">
        <v>46572</v>
      </c>
      <c r="S4101" t="s">
        <v>46689</v>
      </c>
      <c r="T4101" t="s">
        <v>48310</v>
      </c>
      <c r="U4101" t="s">
        <v>52159</v>
      </c>
      <c r="V4101" t="s">
        <v>61992</v>
      </c>
      <c r="W4101" t="s">
        <v>44042</v>
      </c>
      <c r="X4101" t="s">
        <v>46573</v>
      </c>
    </row>
    <row r="4102" spans="1:24">
      <c r="A4102">
        <f>HYPERLINK("https://www.philgeps.gov.ph/GEPSNONPILOT/Tender/SplashBidNoticeAbstractUI.aspx?menuIndex=3&amp;refID=7063746&amp;Result=3","7063746")</f>
        <v>0</v>
      </c>
      <c r="B4102" t="s">
        <v>1501</v>
      </c>
      <c r="C4102" t="s">
        <v>7474</v>
      </c>
      <c r="D4102" t="s">
        <v>18832</v>
      </c>
      <c r="E4102" t="s">
        <v>22585</v>
      </c>
      <c r="F4102" t="s">
        <v>32664</v>
      </c>
      <c r="G4102" t="s">
        <v>32672</v>
      </c>
      <c r="H4102" t="s">
        <v>12635</v>
      </c>
      <c r="I4102" t="s">
        <v>32726</v>
      </c>
      <c r="J4102" t="s">
        <v>35509</v>
      </c>
      <c r="K4102" t="s">
        <v>42281</v>
      </c>
      <c r="M4102" t="s">
        <v>44165</v>
      </c>
      <c r="N4102" t="s">
        <v>46569</v>
      </c>
      <c r="O4102" t="s">
        <v>46570</v>
      </c>
      <c r="P4102">
        <v>0</v>
      </c>
      <c r="Q4102">
        <v>6</v>
      </c>
      <c r="R4102" t="s">
        <v>46572</v>
      </c>
      <c r="S4102" t="s">
        <v>46689</v>
      </c>
      <c r="T4102" t="s">
        <v>48225</v>
      </c>
      <c r="U4102" t="s">
        <v>52160</v>
      </c>
      <c r="W4102" t="s">
        <v>44165</v>
      </c>
      <c r="X4102" t="s">
        <v>46573</v>
      </c>
    </row>
    <row r="4103" spans="1:24">
      <c r="A4103">
        <f>HYPERLINK("https://www.philgeps.gov.ph/GEPSNONPILOT/Tender/SplashBidNoticeAbstractUI.aspx?menuIndex=3&amp;refID=7063751&amp;Result=3","7063751")</f>
        <v>0</v>
      </c>
      <c r="B4103" t="s">
        <v>1502</v>
      </c>
      <c r="C4103" t="s">
        <v>7475</v>
      </c>
      <c r="D4103" t="s">
        <v>18829</v>
      </c>
      <c r="E4103" t="s">
        <v>22586</v>
      </c>
      <c r="F4103" t="s">
        <v>32664</v>
      </c>
      <c r="G4103" t="s">
        <v>32674</v>
      </c>
      <c r="H4103" t="s">
        <v>12635</v>
      </c>
      <c r="I4103" t="s">
        <v>32688</v>
      </c>
      <c r="J4103" t="s">
        <v>35510</v>
      </c>
      <c r="K4103" t="s">
        <v>42283</v>
      </c>
      <c r="M4103" t="s">
        <v>44166</v>
      </c>
      <c r="N4103" t="s">
        <v>46569</v>
      </c>
      <c r="O4103" t="s">
        <v>46570</v>
      </c>
      <c r="P4103">
        <v>0</v>
      </c>
      <c r="Q4103">
        <v>0</v>
      </c>
      <c r="R4103" t="s">
        <v>46572</v>
      </c>
      <c r="S4103" t="s">
        <v>46689</v>
      </c>
      <c r="T4103" t="s">
        <v>48314</v>
      </c>
      <c r="U4103" t="s">
        <v>52161</v>
      </c>
      <c r="V4103" t="s">
        <v>62038</v>
      </c>
      <c r="W4103" t="s">
        <v>44166</v>
      </c>
      <c r="X4103" t="s">
        <v>46573</v>
      </c>
    </row>
    <row r="4104" spans="1:24">
      <c r="A4104">
        <f>HYPERLINK("https://www.philgeps.gov.ph/GEPSNONPILOT/Tender/SplashBidNoticeAbstractUI.aspx?menuIndex=3&amp;refID=7063299&amp;Result=3","7063299")</f>
        <v>0</v>
      </c>
      <c r="B4104" t="s">
        <v>1119</v>
      </c>
      <c r="C4104" t="s">
        <v>7476</v>
      </c>
      <c r="D4104" t="s">
        <v>18835</v>
      </c>
      <c r="E4104" t="s">
        <v>22587</v>
      </c>
      <c r="F4104" t="s">
        <v>32664</v>
      </c>
      <c r="G4104" t="s">
        <v>32672</v>
      </c>
      <c r="H4104" t="s">
        <v>12635</v>
      </c>
      <c r="I4104" t="s">
        <v>4439</v>
      </c>
      <c r="J4104" t="s">
        <v>35511</v>
      </c>
      <c r="K4104" t="s">
        <v>42289</v>
      </c>
      <c r="M4104" t="s">
        <v>43748</v>
      </c>
      <c r="N4104" t="s">
        <v>46569</v>
      </c>
      <c r="O4104" t="s">
        <v>46570</v>
      </c>
      <c r="P4104">
        <v>0</v>
      </c>
      <c r="Q4104">
        <v>0</v>
      </c>
      <c r="R4104" t="s">
        <v>46572</v>
      </c>
      <c r="S4104" t="s">
        <v>46689</v>
      </c>
      <c r="T4104" t="s">
        <v>48268</v>
      </c>
      <c r="U4104" t="s">
        <v>52162</v>
      </c>
      <c r="W4104" t="s">
        <v>43748</v>
      </c>
      <c r="X4104" t="s">
        <v>46573</v>
      </c>
    </row>
    <row r="4105" spans="1:24">
      <c r="A4105">
        <f>HYPERLINK("https://www.philgeps.gov.ph/GEPSNONPILOT/Tender/SplashBidNoticeAbstractUI.aspx?menuIndex=3&amp;refID=7063298&amp;Result=3","7063298")</f>
        <v>0</v>
      </c>
      <c r="B4105" t="s">
        <v>191</v>
      </c>
      <c r="C4105" t="s">
        <v>7477</v>
      </c>
      <c r="D4105" t="s">
        <v>18827</v>
      </c>
      <c r="E4105" t="s">
        <v>22588</v>
      </c>
      <c r="F4105" t="s">
        <v>32664</v>
      </c>
      <c r="G4105" t="s">
        <v>32672</v>
      </c>
      <c r="H4105" t="s">
        <v>12635</v>
      </c>
      <c r="I4105" t="s">
        <v>32684</v>
      </c>
      <c r="J4105" t="s">
        <v>35512</v>
      </c>
      <c r="K4105" t="s">
        <v>42281</v>
      </c>
      <c r="M4105" t="s">
        <v>42755</v>
      </c>
      <c r="N4105" t="s">
        <v>46569</v>
      </c>
      <c r="O4105" t="s">
        <v>46570</v>
      </c>
      <c r="Q4105">
        <v>9</v>
      </c>
      <c r="R4105" t="s">
        <v>46572</v>
      </c>
      <c r="S4105" t="s">
        <v>46701</v>
      </c>
      <c r="T4105" t="s">
        <v>48312</v>
      </c>
      <c r="U4105" t="s">
        <v>52163</v>
      </c>
      <c r="V4105" t="s">
        <v>62039</v>
      </c>
      <c r="W4105" t="s">
        <v>42755</v>
      </c>
      <c r="X4105" t="s">
        <v>46573</v>
      </c>
    </row>
    <row r="4106" spans="1:24">
      <c r="A4106">
        <f>HYPERLINK("https://www.philgeps.gov.ph/GEPSNONPILOT/Tender/SplashBidNoticeAbstractUI.aspx?menuIndex=3&amp;refID=7063295&amp;Result=3","7063295")</f>
        <v>0</v>
      </c>
      <c r="B4106" t="s">
        <v>231</v>
      </c>
      <c r="C4106" t="s">
        <v>7478</v>
      </c>
      <c r="D4106" t="s">
        <v>18845</v>
      </c>
      <c r="E4106" t="s">
        <v>7478</v>
      </c>
      <c r="F4106" t="s">
        <v>32664</v>
      </c>
      <c r="G4106" t="s">
        <v>32674</v>
      </c>
      <c r="H4106" t="s">
        <v>12635</v>
      </c>
      <c r="I4106" t="s">
        <v>13883</v>
      </c>
      <c r="J4106" t="s">
        <v>35513</v>
      </c>
      <c r="K4106" t="s">
        <v>42281</v>
      </c>
      <c r="M4106" t="s">
        <v>44083</v>
      </c>
      <c r="N4106" t="s">
        <v>46569</v>
      </c>
      <c r="O4106" t="s">
        <v>46570</v>
      </c>
      <c r="P4106">
        <v>0</v>
      </c>
      <c r="Q4106">
        <v>4</v>
      </c>
      <c r="R4106" t="s">
        <v>46572</v>
      </c>
      <c r="S4106" t="s">
        <v>46689</v>
      </c>
      <c r="T4106" t="s">
        <v>48487</v>
      </c>
      <c r="U4106" t="s">
        <v>51930</v>
      </c>
      <c r="W4106" t="s">
        <v>44083</v>
      </c>
      <c r="X4106" t="s">
        <v>46573</v>
      </c>
    </row>
    <row r="4107" spans="1:24">
      <c r="A4107">
        <f>HYPERLINK("https://www.philgeps.gov.ph/GEPSNONPILOT/Tender/SplashBidNoticeAbstractUI.aspx?menuIndex=3&amp;refID=7063742&amp;Result=3","7063742")</f>
        <v>0</v>
      </c>
      <c r="B4107" t="s">
        <v>1503</v>
      </c>
      <c r="C4107" t="s">
        <v>5500</v>
      </c>
      <c r="D4107" t="s">
        <v>18784</v>
      </c>
      <c r="E4107" t="s">
        <v>22589</v>
      </c>
      <c r="F4107" t="s">
        <v>32664</v>
      </c>
      <c r="G4107" t="s">
        <v>32675</v>
      </c>
      <c r="H4107" t="s">
        <v>12635</v>
      </c>
      <c r="I4107" t="s">
        <v>6168</v>
      </c>
      <c r="J4107" t="s">
        <v>35514</v>
      </c>
      <c r="K4107" t="s">
        <v>42284</v>
      </c>
      <c r="M4107" t="s">
        <v>44167</v>
      </c>
      <c r="N4107" t="s">
        <v>46569</v>
      </c>
      <c r="O4107" t="s">
        <v>46570</v>
      </c>
      <c r="P4107">
        <v>0</v>
      </c>
      <c r="Q4107">
        <v>7</v>
      </c>
      <c r="R4107" t="s">
        <v>46572</v>
      </c>
      <c r="S4107" t="s">
        <v>46689</v>
      </c>
      <c r="T4107" t="s">
        <v>48331</v>
      </c>
      <c r="U4107" t="s">
        <v>52164</v>
      </c>
      <c r="W4107" t="s">
        <v>44167</v>
      </c>
      <c r="X4107" t="s">
        <v>46573</v>
      </c>
    </row>
    <row r="4108" spans="1:24">
      <c r="A4108">
        <f>HYPERLINK("https://www.philgeps.gov.ph/GEPSNONPILOT/Tender/SplashBidNoticeAbstractUI.aspx?menuIndex=3&amp;refID=7063300&amp;Result=3","7063300")</f>
        <v>0</v>
      </c>
      <c r="B4108" t="s">
        <v>1088</v>
      </c>
      <c r="C4108" t="s">
        <v>7479</v>
      </c>
      <c r="D4108" t="s">
        <v>18804</v>
      </c>
      <c r="E4108" t="s">
        <v>22590</v>
      </c>
      <c r="F4108" t="s">
        <v>32664</v>
      </c>
      <c r="G4108" t="s">
        <v>32672</v>
      </c>
      <c r="H4108" t="s">
        <v>32683</v>
      </c>
      <c r="I4108" t="s">
        <v>10627</v>
      </c>
      <c r="J4108" t="s">
        <v>35515</v>
      </c>
      <c r="K4108" t="s">
        <v>42311</v>
      </c>
      <c r="M4108" t="s">
        <v>43714</v>
      </c>
      <c r="N4108" t="s">
        <v>46569</v>
      </c>
      <c r="O4108" t="s">
        <v>46570</v>
      </c>
      <c r="P4108">
        <v>0</v>
      </c>
      <c r="Q4108">
        <v>0</v>
      </c>
      <c r="R4108" t="s">
        <v>46572</v>
      </c>
      <c r="S4108" t="s">
        <v>46689</v>
      </c>
      <c r="T4108" t="s">
        <v>48275</v>
      </c>
      <c r="U4108" t="s">
        <v>51833</v>
      </c>
      <c r="V4108" t="s">
        <v>61896</v>
      </c>
      <c r="W4108" t="s">
        <v>43714</v>
      </c>
      <c r="X4108" t="s">
        <v>46573</v>
      </c>
    </row>
    <row r="4109" spans="1:24">
      <c r="A4109">
        <f>HYPERLINK("https://www.philgeps.gov.ph/GEPSNONPILOT/Tender/SplashBidNoticeAbstractUI.aspx?menuIndex=3&amp;refID=7063275&amp;Result=3","7063275")</f>
        <v>0</v>
      </c>
      <c r="B4109" t="s">
        <v>594</v>
      </c>
      <c r="C4109" t="s">
        <v>7480</v>
      </c>
      <c r="D4109" t="s">
        <v>18784</v>
      </c>
      <c r="E4109" t="s">
        <v>22591</v>
      </c>
      <c r="F4109" t="s">
        <v>32664</v>
      </c>
      <c r="G4109" t="s">
        <v>32674</v>
      </c>
      <c r="H4109" t="s">
        <v>12635</v>
      </c>
      <c r="I4109" t="s">
        <v>32758</v>
      </c>
      <c r="J4109" t="s">
        <v>35516</v>
      </c>
      <c r="K4109" t="s">
        <v>42297</v>
      </c>
      <c r="M4109" t="s">
        <v>43793</v>
      </c>
      <c r="N4109" t="s">
        <v>46569</v>
      </c>
      <c r="O4109" t="s">
        <v>46570</v>
      </c>
      <c r="P4109">
        <v>0</v>
      </c>
      <c r="Q4109">
        <v>0</v>
      </c>
      <c r="R4109" t="s">
        <v>46572</v>
      </c>
      <c r="S4109" t="s">
        <v>46689</v>
      </c>
      <c r="T4109" t="s">
        <v>48461</v>
      </c>
      <c r="U4109" t="s">
        <v>52165</v>
      </c>
      <c r="V4109" t="s">
        <v>61909</v>
      </c>
      <c r="W4109" t="s">
        <v>43793</v>
      </c>
      <c r="X4109" t="s">
        <v>46573</v>
      </c>
    </row>
    <row r="4110" spans="1:24">
      <c r="A4110">
        <f>HYPERLINK("https://www.philgeps.gov.ph/GEPSNONPILOT/Tender/SplashBidNoticeAbstractUI.aspx?menuIndex=3&amp;refID=7063296&amp;Result=3","7063296")</f>
        <v>0</v>
      </c>
      <c r="B4110" t="s">
        <v>1496</v>
      </c>
      <c r="C4110" t="s">
        <v>7481</v>
      </c>
      <c r="D4110" t="s">
        <v>18822</v>
      </c>
      <c r="E4110" t="s">
        <v>22592</v>
      </c>
      <c r="F4110" t="s">
        <v>32664</v>
      </c>
      <c r="G4110" t="s">
        <v>32672</v>
      </c>
      <c r="H4110" t="s">
        <v>12635</v>
      </c>
      <c r="I4110" t="s">
        <v>10627</v>
      </c>
      <c r="J4110" t="s">
        <v>35517</v>
      </c>
      <c r="K4110" t="s">
        <v>42305</v>
      </c>
      <c r="M4110" t="s">
        <v>44160</v>
      </c>
      <c r="N4110" t="s">
        <v>46569</v>
      </c>
      <c r="O4110" t="s">
        <v>46570</v>
      </c>
      <c r="P4110">
        <v>0</v>
      </c>
      <c r="Q4110">
        <v>0</v>
      </c>
      <c r="R4110" t="s">
        <v>46572</v>
      </c>
      <c r="S4110" t="s">
        <v>46689</v>
      </c>
      <c r="T4110" t="s">
        <v>48500</v>
      </c>
      <c r="U4110" t="s">
        <v>52166</v>
      </c>
      <c r="W4110" t="s">
        <v>44160</v>
      </c>
      <c r="X4110" t="s">
        <v>46573</v>
      </c>
    </row>
    <row r="4111" spans="1:24">
      <c r="A4111">
        <f>HYPERLINK("https://www.philgeps.gov.ph/GEPSNONPILOT/Tender/SplashBidNoticeAbstractUI.aspx?menuIndex=3&amp;refID=7063748&amp;Result=3","7063748")</f>
        <v>0</v>
      </c>
      <c r="B4111" t="s">
        <v>617</v>
      </c>
      <c r="C4111" t="s">
        <v>7482</v>
      </c>
      <c r="D4111" t="s">
        <v>18784</v>
      </c>
      <c r="E4111" t="s">
        <v>22593</v>
      </c>
      <c r="F4111" t="s">
        <v>32664</v>
      </c>
      <c r="G4111" t="s">
        <v>32674</v>
      </c>
      <c r="H4111" t="s">
        <v>12635</v>
      </c>
      <c r="I4111" t="s">
        <v>5589</v>
      </c>
      <c r="J4111" t="s">
        <v>34436</v>
      </c>
      <c r="K4111" t="s">
        <v>42289</v>
      </c>
      <c r="M4111" t="s">
        <v>43197</v>
      </c>
      <c r="N4111" t="s">
        <v>46569</v>
      </c>
      <c r="O4111" t="s">
        <v>46570</v>
      </c>
      <c r="P4111">
        <v>0</v>
      </c>
      <c r="Q4111">
        <v>9</v>
      </c>
      <c r="R4111" t="s">
        <v>46572</v>
      </c>
      <c r="S4111" t="s">
        <v>46689</v>
      </c>
      <c r="T4111" t="s">
        <v>48376</v>
      </c>
      <c r="U4111" t="s">
        <v>52167</v>
      </c>
      <c r="W4111" t="s">
        <v>43197</v>
      </c>
      <c r="X4111" t="s">
        <v>46573</v>
      </c>
    </row>
    <row r="4112" spans="1:24">
      <c r="A4112">
        <f>HYPERLINK("https://www.philgeps.gov.ph/GEPSNONPILOT/Tender/SplashBidNoticeAbstractUI.aspx?menuIndex=3&amp;refID=7063782&amp;Result=3","7063782")</f>
        <v>0</v>
      </c>
      <c r="B4112" t="s">
        <v>1504</v>
      </c>
      <c r="C4112" t="s">
        <v>7483</v>
      </c>
      <c r="D4112" t="s">
        <v>18838</v>
      </c>
      <c r="E4112" t="s">
        <v>22594</v>
      </c>
      <c r="F4112" t="s">
        <v>32664</v>
      </c>
      <c r="G4112" t="s">
        <v>32671</v>
      </c>
      <c r="H4112" t="s">
        <v>12635</v>
      </c>
      <c r="I4112" t="s">
        <v>32696</v>
      </c>
      <c r="J4112" t="s">
        <v>35003</v>
      </c>
      <c r="K4112" t="s">
        <v>42281</v>
      </c>
      <c r="M4112" t="s">
        <v>44168</v>
      </c>
      <c r="N4112" t="s">
        <v>46569</v>
      </c>
      <c r="O4112" t="s">
        <v>46570</v>
      </c>
      <c r="P4112">
        <v>0</v>
      </c>
      <c r="Q4112">
        <v>1</v>
      </c>
      <c r="R4112" t="s">
        <v>46572</v>
      </c>
      <c r="S4112" t="s">
        <v>46689</v>
      </c>
      <c r="T4112" t="s">
        <v>48219</v>
      </c>
      <c r="U4112" t="s">
        <v>52168</v>
      </c>
      <c r="W4112" t="s">
        <v>44168</v>
      </c>
      <c r="X4112" t="s">
        <v>46573</v>
      </c>
    </row>
    <row r="4113" spans="1:24">
      <c r="A4113">
        <f>HYPERLINK("https://www.philgeps.gov.ph/GEPSNONPILOT/Tender/SplashBidNoticeAbstractUI.aspx?menuIndex=3&amp;refID=7063294&amp;Result=3","7063294")</f>
        <v>0</v>
      </c>
      <c r="B4113" t="s">
        <v>944</v>
      </c>
      <c r="C4113" t="s">
        <v>7484</v>
      </c>
      <c r="D4113" t="s">
        <v>18827</v>
      </c>
      <c r="E4113" t="s">
        <v>19673</v>
      </c>
      <c r="F4113" t="s">
        <v>32664</v>
      </c>
      <c r="G4113" t="s">
        <v>32672</v>
      </c>
      <c r="H4113" t="s">
        <v>12635</v>
      </c>
      <c r="I4113" t="s">
        <v>6168</v>
      </c>
      <c r="J4113" t="s">
        <v>35518</v>
      </c>
      <c r="K4113" t="s">
        <v>42297</v>
      </c>
      <c r="M4113" t="s">
        <v>43550</v>
      </c>
      <c r="N4113" t="s">
        <v>46569</v>
      </c>
      <c r="O4113" t="s">
        <v>46570</v>
      </c>
      <c r="P4113">
        <v>0</v>
      </c>
      <c r="Q4113">
        <v>1</v>
      </c>
      <c r="R4113" t="s">
        <v>46572</v>
      </c>
      <c r="S4113" t="s">
        <v>46689</v>
      </c>
      <c r="T4113" t="s">
        <v>48268</v>
      </c>
      <c r="U4113" t="s">
        <v>52169</v>
      </c>
      <c r="V4113" t="s">
        <v>62040</v>
      </c>
      <c r="W4113" t="s">
        <v>43550</v>
      </c>
      <c r="X4113" t="s">
        <v>46573</v>
      </c>
    </row>
    <row r="4114" spans="1:24">
      <c r="A4114">
        <f>HYPERLINK("https://www.philgeps.gov.ph/GEPSNONPILOT/Tender/SplashBidNoticeAbstractUI.aspx?menuIndex=3&amp;refID=7063780&amp;Result=3","7063780")</f>
        <v>0</v>
      </c>
      <c r="B4114" t="s">
        <v>1505</v>
      </c>
      <c r="C4114" t="s">
        <v>7485</v>
      </c>
      <c r="D4114" t="s">
        <v>18796</v>
      </c>
      <c r="E4114" t="s">
        <v>22595</v>
      </c>
      <c r="F4114" t="s">
        <v>32664</v>
      </c>
      <c r="G4114" t="s">
        <v>32672</v>
      </c>
      <c r="H4114" t="s">
        <v>32683</v>
      </c>
      <c r="I4114" t="s">
        <v>32733</v>
      </c>
      <c r="J4114" t="s">
        <v>35519</v>
      </c>
      <c r="K4114" t="s">
        <v>42283</v>
      </c>
      <c r="M4114" t="s">
        <v>44169</v>
      </c>
      <c r="N4114" t="s">
        <v>46569</v>
      </c>
      <c r="O4114" t="s">
        <v>46570</v>
      </c>
      <c r="P4114">
        <v>0</v>
      </c>
      <c r="Q4114">
        <v>1</v>
      </c>
      <c r="R4114" t="s">
        <v>46572</v>
      </c>
      <c r="S4114" t="s">
        <v>46689</v>
      </c>
      <c r="T4114" t="s">
        <v>48501</v>
      </c>
      <c r="U4114" t="s">
        <v>52170</v>
      </c>
      <c r="V4114" t="s">
        <v>62041</v>
      </c>
      <c r="W4114" t="s">
        <v>63518</v>
      </c>
      <c r="X4114" t="s">
        <v>46573</v>
      </c>
    </row>
    <row r="4115" spans="1:24">
      <c r="A4115">
        <f>HYPERLINK("https://www.philgeps.gov.ph/GEPSNONPILOT/Tender/SplashBidNoticeAbstractUI.aspx?menuIndex=3&amp;refID=7063698&amp;Result=3","7063698")</f>
        <v>0</v>
      </c>
      <c r="B4115" t="s">
        <v>1133</v>
      </c>
      <c r="C4115" t="s">
        <v>7486</v>
      </c>
      <c r="D4115" t="s">
        <v>18858</v>
      </c>
      <c r="E4115" t="s">
        <v>22596</v>
      </c>
      <c r="F4115" t="s">
        <v>32664</v>
      </c>
      <c r="G4115" t="s">
        <v>32671</v>
      </c>
      <c r="H4115" t="s">
        <v>32683</v>
      </c>
      <c r="I4115" t="s">
        <v>10627</v>
      </c>
      <c r="J4115" t="s">
        <v>33320</v>
      </c>
      <c r="K4115" t="s">
        <v>42290</v>
      </c>
      <c r="M4115" t="s">
        <v>43762</v>
      </c>
      <c r="N4115" t="s">
        <v>46569</v>
      </c>
      <c r="O4115" t="s">
        <v>46570</v>
      </c>
      <c r="P4115">
        <v>0</v>
      </c>
      <c r="Q4115">
        <v>0</v>
      </c>
      <c r="R4115" t="s">
        <v>46572</v>
      </c>
      <c r="S4115" t="s">
        <v>46689</v>
      </c>
      <c r="T4115" t="s">
        <v>48293</v>
      </c>
      <c r="U4115" t="s">
        <v>52171</v>
      </c>
      <c r="W4115" t="s">
        <v>43762</v>
      </c>
      <c r="X4115" t="s">
        <v>46573</v>
      </c>
    </row>
    <row r="4116" spans="1:24">
      <c r="A4116">
        <f>HYPERLINK("https://www.philgeps.gov.ph/GEPSNONPILOT/Tender/SplashBidNoticeAbstractUI.aspx?menuIndex=3&amp;refID=7063778&amp;Result=3","7063778")</f>
        <v>0</v>
      </c>
      <c r="B4116" t="s">
        <v>1502</v>
      </c>
      <c r="C4116" t="s">
        <v>7487</v>
      </c>
      <c r="D4116" t="s">
        <v>18829</v>
      </c>
      <c r="E4116" t="s">
        <v>22597</v>
      </c>
      <c r="F4116" t="s">
        <v>32664</v>
      </c>
      <c r="G4116" t="s">
        <v>32674</v>
      </c>
      <c r="H4116" t="s">
        <v>12635</v>
      </c>
      <c r="I4116" t="s">
        <v>8797</v>
      </c>
      <c r="J4116" t="s">
        <v>32959</v>
      </c>
      <c r="K4116" t="s">
        <v>42283</v>
      </c>
      <c r="M4116" t="s">
        <v>44166</v>
      </c>
      <c r="N4116" t="s">
        <v>46569</v>
      </c>
      <c r="O4116" t="s">
        <v>46570</v>
      </c>
      <c r="P4116">
        <v>0</v>
      </c>
      <c r="Q4116">
        <v>2</v>
      </c>
      <c r="R4116" t="s">
        <v>46572</v>
      </c>
      <c r="S4116" t="s">
        <v>46689</v>
      </c>
      <c r="T4116" t="s">
        <v>48314</v>
      </c>
      <c r="U4116" t="s">
        <v>52172</v>
      </c>
      <c r="V4116" t="s">
        <v>62042</v>
      </c>
      <c r="W4116" t="s">
        <v>44166</v>
      </c>
      <c r="X4116" t="s">
        <v>46573</v>
      </c>
    </row>
    <row r="4117" spans="1:24">
      <c r="A4117">
        <f>HYPERLINK("https://www.philgeps.gov.ph/GEPSNONPILOT/Tender/SplashBidNoticeAbstractUI.aspx?menuIndex=3&amp;refID=7063775&amp;Result=3","7063775")</f>
        <v>0</v>
      </c>
      <c r="B4117" t="s">
        <v>1495</v>
      </c>
      <c r="C4117" t="s">
        <v>7488</v>
      </c>
      <c r="D4117" t="s">
        <v>18827</v>
      </c>
      <c r="E4117" t="s">
        <v>22598</v>
      </c>
      <c r="F4117" t="s">
        <v>32664</v>
      </c>
      <c r="G4117" t="s">
        <v>32672</v>
      </c>
      <c r="H4117" t="s">
        <v>12635</v>
      </c>
      <c r="I4117" t="s">
        <v>4439</v>
      </c>
      <c r="J4117" t="s">
        <v>33812</v>
      </c>
      <c r="K4117" t="s">
        <v>42295</v>
      </c>
      <c r="M4117" t="s">
        <v>44159</v>
      </c>
      <c r="N4117" t="s">
        <v>46569</v>
      </c>
      <c r="O4117" t="s">
        <v>46570</v>
      </c>
      <c r="P4117">
        <v>0</v>
      </c>
      <c r="Q4117">
        <v>0</v>
      </c>
      <c r="R4117" t="s">
        <v>46572</v>
      </c>
      <c r="S4117" t="s">
        <v>46689</v>
      </c>
      <c r="T4117" t="s">
        <v>48245</v>
      </c>
      <c r="U4117" t="s">
        <v>52147</v>
      </c>
      <c r="W4117" t="s">
        <v>63516</v>
      </c>
      <c r="X4117" t="s">
        <v>46573</v>
      </c>
    </row>
    <row r="4118" spans="1:24">
      <c r="A4118">
        <f>HYPERLINK("https://www.philgeps.gov.ph/GEPSNONPILOT/Tender/SplashBidNoticeAbstractUI.aspx?menuIndex=3&amp;refID=7063773&amp;Result=3","7063773")</f>
        <v>0</v>
      </c>
      <c r="B4118" t="s">
        <v>834</v>
      </c>
      <c r="C4118" t="s">
        <v>7489</v>
      </c>
      <c r="D4118" t="s">
        <v>18831</v>
      </c>
      <c r="E4118" t="s">
        <v>22599</v>
      </c>
      <c r="F4118" t="s">
        <v>32664</v>
      </c>
      <c r="G4118" t="s">
        <v>32674</v>
      </c>
      <c r="H4118" t="s">
        <v>12635</v>
      </c>
      <c r="I4118" t="s">
        <v>32758</v>
      </c>
      <c r="J4118" t="s">
        <v>33021</v>
      </c>
      <c r="K4118" t="s">
        <v>42283</v>
      </c>
      <c r="M4118" t="s">
        <v>43740</v>
      </c>
      <c r="N4118" t="s">
        <v>46569</v>
      </c>
      <c r="O4118" t="s">
        <v>46570</v>
      </c>
      <c r="P4118">
        <v>0</v>
      </c>
      <c r="Q4118">
        <v>0</v>
      </c>
      <c r="R4118" t="s">
        <v>46572</v>
      </c>
      <c r="S4118" t="s">
        <v>46689</v>
      </c>
      <c r="T4118" t="s">
        <v>48420</v>
      </c>
      <c r="U4118" t="s">
        <v>50379</v>
      </c>
      <c r="V4118" t="s">
        <v>61824</v>
      </c>
      <c r="W4118" t="s">
        <v>43740</v>
      </c>
      <c r="X4118" t="s">
        <v>46573</v>
      </c>
    </row>
    <row r="4119" spans="1:24">
      <c r="A4119">
        <f>HYPERLINK("https://www.philgeps.gov.ph/GEPSNONPILOT/Tender/SplashBidNoticeAbstractUI.aspx?menuIndex=3&amp;refID=7063781&amp;Result=3","7063781")</f>
        <v>0</v>
      </c>
      <c r="B4119" t="s">
        <v>1506</v>
      </c>
      <c r="C4119" t="s">
        <v>7490</v>
      </c>
      <c r="D4119" t="s">
        <v>18790</v>
      </c>
      <c r="E4119" t="s">
        <v>22600</v>
      </c>
      <c r="F4119" t="s">
        <v>32664</v>
      </c>
      <c r="G4119" t="s">
        <v>32674</v>
      </c>
      <c r="H4119" t="s">
        <v>12635</v>
      </c>
      <c r="I4119" t="s">
        <v>5589</v>
      </c>
      <c r="J4119" t="s">
        <v>33126</v>
      </c>
      <c r="K4119" t="s">
        <v>42281</v>
      </c>
      <c r="M4119" t="s">
        <v>44170</v>
      </c>
      <c r="N4119" t="s">
        <v>46569</v>
      </c>
      <c r="O4119" t="s">
        <v>46570</v>
      </c>
      <c r="P4119">
        <v>0</v>
      </c>
      <c r="Q4119">
        <v>0</v>
      </c>
      <c r="R4119" t="s">
        <v>46572</v>
      </c>
      <c r="S4119" t="s">
        <v>46689</v>
      </c>
      <c r="T4119" t="s">
        <v>48502</v>
      </c>
      <c r="U4119" t="s">
        <v>52173</v>
      </c>
      <c r="W4119" t="s">
        <v>44170</v>
      </c>
      <c r="X4119" t="s">
        <v>46573</v>
      </c>
    </row>
    <row r="4120" spans="1:24">
      <c r="A4120">
        <f>HYPERLINK("https://www.philgeps.gov.ph/GEPSNONPILOT/Tender/SplashBidNoticeAbstractUI.aspx?menuIndex=3&amp;refID=7063779&amp;Result=3","7063779")</f>
        <v>0</v>
      </c>
      <c r="B4120" t="s">
        <v>527</v>
      </c>
      <c r="C4120" t="s">
        <v>7491</v>
      </c>
      <c r="D4120" t="s">
        <v>18784</v>
      </c>
      <c r="E4120" t="s">
        <v>22601</v>
      </c>
      <c r="F4120" t="s">
        <v>32664</v>
      </c>
      <c r="G4120" t="s">
        <v>32671</v>
      </c>
      <c r="H4120" t="s">
        <v>12635</v>
      </c>
      <c r="I4120" t="s">
        <v>6118</v>
      </c>
      <c r="J4120" t="s">
        <v>35520</v>
      </c>
      <c r="K4120" t="s">
        <v>42284</v>
      </c>
      <c r="M4120" t="s">
        <v>44171</v>
      </c>
      <c r="N4120" t="s">
        <v>46569</v>
      </c>
      <c r="O4120" t="s">
        <v>46570</v>
      </c>
      <c r="P4120">
        <v>0</v>
      </c>
      <c r="Q4120">
        <v>1</v>
      </c>
      <c r="R4120" t="s">
        <v>46572</v>
      </c>
      <c r="S4120" t="s">
        <v>46689</v>
      </c>
      <c r="T4120" t="s">
        <v>48283</v>
      </c>
      <c r="U4120" t="s">
        <v>52049</v>
      </c>
      <c r="W4120" t="s">
        <v>44171</v>
      </c>
      <c r="X4120" t="s">
        <v>46573</v>
      </c>
    </row>
    <row r="4121" spans="1:24">
      <c r="A4121">
        <f>HYPERLINK("https://www.philgeps.gov.ph/GEPSNONPILOT/Tender/SplashBidNoticeAbstractUI.aspx?menuIndex=3&amp;refID=7063772&amp;Result=3","7063772")</f>
        <v>0</v>
      </c>
      <c r="B4121" t="s">
        <v>617</v>
      </c>
      <c r="C4121" t="s">
        <v>7492</v>
      </c>
      <c r="D4121" t="s">
        <v>18784</v>
      </c>
      <c r="E4121" t="s">
        <v>22602</v>
      </c>
      <c r="F4121" t="s">
        <v>32664</v>
      </c>
      <c r="G4121" t="s">
        <v>32674</v>
      </c>
      <c r="H4121" t="s">
        <v>12635</v>
      </c>
      <c r="I4121" t="s">
        <v>5589</v>
      </c>
      <c r="J4121" t="s">
        <v>34006</v>
      </c>
      <c r="K4121" t="s">
        <v>42289</v>
      </c>
      <c r="M4121" t="s">
        <v>43197</v>
      </c>
      <c r="N4121" t="s">
        <v>46569</v>
      </c>
      <c r="O4121" t="s">
        <v>46570</v>
      </c>
      <c r="P4121">
        <v>0</v>
      </c>
      <c r="Q4121">
        <v>4</v>
      </c>
      <c r="R4121" t="s">
        <v>46572</v>
      </c>
      <c r="S4121" t="s">
        <v>46689</v>
      </c>
      <c r="T4121" t="s">
        <v>48376</v>
      </c>
      <c r="U4121" t="s">
        <v>52174</v>
      </c>
      <c r="W4121" t="s">
        <v>43197</v>
      </c>
      <c r="X4121" t="s">
        <v>46573</v>
      </c>
    </row>
    <row r="4122" spans="1:24">
      <c r="A4122">
        <f>HYPERLINK("https://www.philgeps.gov.ph/GEPSNONPILOT/Tender/SplashBidNoticeAbstractUI.aspx?menuIndex=3&amp;refID=7063770&amp;Result=3","7063770")</f>
        <v>0</v>
      </c>
      <c r="B4122" t="s">
        <v>1347</v>
      </c>
      <c r="C4122" t="s">
        <v>7493</v>
      </c>
      <c r="D4122" t="s">
        <v>18827</v>
      </c>
      <c r="E4122" t="s">
        <v>22603</v>
      </c>
      <c r="F4122" t="s">
        <v>32664</v>
      </c>
      <c r="G4122" t="s">
        <v>32674</v>
      </c>
      <c r="H4122" t="s">
        <v>12635</v>
      </c>
      <c r="I4122" t="s">
        <v>32704</v>
      </c>
      <c r="J4122" t="s">
        <v>33930</v>
      </c>
      <c r="K4122" t="s">
        <v>42283</v>
      </c>
      <c r="M4122" t="s">
        <v>43999</v>
      </c>
      <c r="N4122" t="s">
        <v>46569</v>
      </c>
      <c r="O4122" t="s">
        <v>46570</v>
      </c>
      <c r="P4122">
        <v>0</v>
      </c>
      <c r="Q4122">
        <v>9</v>
      </c>
      <c r="R4122" t="s">
        <v>46572</v>
      </c>
      <c r="S4122" t="s">
        <v>46689</v>
      </c>
      <c r="T4122" t="s">
        <v>48376</v>
      </c>
      <c r="U4122" t="s">
        <v>52175</v>
      </c>
      <c r="W4122" t="s">
        <v>43999</v>
      </c>
      <c r="X4122" t="s">
        <v>46573</v>
      </c>
    </row>
    <row r="4123" spans="1:24">
      <c r="A4123">
        <f>HYPERLINK("https://www.philgeps.gov.ph/GEPSNONPILOT/Tender/SplashBidNoticeAbstractUI.aspx?menuIndex=3&amp;refID=7063774&amp;Result=3","7063774")</f>
        <v>0</v>
      </c>
      <c r="B4123" t="s">
        <v>1507</v>
      </c>
      <c r="C4123" t="s">
        <v>7494</v>
      </c>
      <c r="D4123" t="s">
        <v>18789</v>
      </c>
      <c r="E4123" t="s">
        <v>22604</v>
      </c>
      <c r="F4123" t="s">
        <v>32664</v>
      </c>
      <c r="G4123" t="s">
        <v>32671</v>
      </c>
      <c r="H4123" t="s">
        <v>12635</v>
      </c>
      <c r="I4123" t="s">
        <v>4439</v>
      </c>
      <c r="J4123" t="s">
        <v>35521</v>
      </c>
      <c r="K4123" t="s">
        <v>42283</v>
      </c>
      <c r="M4123" t="s">
        <v>44172</v>
      </c>
      <c r="N4123" t="s">
        <v>46569</v>
      </c>
      <c r="O4123" t="s">
        <v>46570</v>
      </c>
      <c r="P4123">
        <v>0</v>
      </c>
      <c r="Q4123">
        <v>0</v>
      </c>
      <c r="R4123" t="s">
        <v>46572</v>
      </c>
      <c r="S4123" t="s">
        <v>46689</v>
      </c>
      <c r="T4123" t="s">
        <v>48219</v>
      </c>
      <c r="U4123" t="s">
        <v>52176</v>
      </c>
      <c r="V4123" t="s">
        <v>62043</v>
      </c>
      <c r="W4123" t="s">
        <v>44172</v>
      </c>
      <c r="X4123" t="s">
        <v>46573</v>
      </c>
    </row>
    <row r="4124" spans="1:24">
      <c r="A4124">
        <f>HYPERLINK("https://www.philgeps.gov.ph/GEPSNONPILOT/Tender/SplashBidNoticeAbstractUI.aspx?menuIndex=3&amp;refID=7063767&amp;Result=3","7063767")</f>
        <v>0</v>
      </c>
      <c r="B4124" t="s">
        <v>364</v>
      </c>
      <c r="C4124" t="s">
        <v>7495</v>
      </c>
      <c r="E4124" t="s">
        <v>22605</v>
      </c>
      <c r="F4124" t="s">
        <v>32664</v>
      </c>
      <c r="G4124" t="s">
        <v>32674</v>
      </c>
      <c r="H4124" t="s">
        <v>12635</v>
      </c>
      <c r="I4124" t="s">
        <v>4439</v>
      </c>
      <c r="J4124" t="s">
        <v>35522</v>
      </c>
      <c r="K4124" t="s">
        <v>42281</v>
      </c>
      <c r="M4124" t="s">
        <v>42933</v>
      </c>
      <c r="N4124" t="s">
        <v>46569</v>
      </c>
      <c r="O4124" t="s">
        <v>46570</v>
      </c>
      <c r="P4124">
        <v>0</v>
      </c>
      <c r="Q4124">
        <v>0</v>
      </c>
      <c r="R4124" t="s">
        <v>46572</v>
      </c>
      <c r="S4124" t="s">
        <v>46689</v>
      </c>
      <c r="T4124" t="s">
        <v>48256</v>
      </c>
      <c r="U4124" t="s">
        <v>52177</v>
      </c>
      <c r="W4124" t="s">
        <v>42933</v>
      </c>
      <c r="X4124" t="s">
        <v>46573</v>
      </c>
    </row>
    <row r="4125" spans="1:24">
      <c r="A4125">
        <f>HYPERLINK("https://www.philgeps.gov.ph/GEPSNONPILOT/Tender/SplashBidNoticeAbstractUI.aspx?menuIndex=3&amp;refID=7063766&amp;Result=3","7063766")</f>
        <v>0</v>
      </c>
      <c r="B4125" t="s">
        <v>1502</v>
      </c>
      <c r="C4125" t="s">
        <v>7496</v>
      </c>
      <c r="D4125" t="s">
        <v>18829</v>
      </c>
      <c r="E4125" t="s">
        <v>22606</v>
      </c>
      <c r="F4125" t="s">
        <v>32664</v>
      </c>
      <c r="G4125" t="s">
        <v>32671</v>
      </c>
      <c r="H4125" t="s">
        <v>12635</v>
      </c>
      <c r="I4125" t="s">
        <v>6223</v>
      </c>
      <c r="J4125" t="s">
        <v>33970</v>
      </c>
      <c r="K4125" t="s">
        <v>42283</v>
      </c>
      <c r="M4125" t="s">
        <v>44166</v>
      </c>
      <c r="N4125" t="s">
        <v>46569</v>
      </c>
      <c r="O4125" t="s">
        <v>46570</v>
      </c>
      <c r="P4125">
        <v>0</v>
      </c>
      <c r="Q4125">
        <v>2</v>
      </c>
      <c r="R4125" t="s">
        <v>46572</v>
      </c>
      <c r="S4125" t="s">
        <v>46689</v>
      </c>
      <c r="T4125" t="s">
        <v>48314</v>
      </c>
      <c r="U4125" t="s">
        <v>52178</v>
      </c>
      <c r="V4125" t="s">
        <v>62044</v>
      </c>
      <c r="W4125" t="s">
        <v>44166</v>
      </c>
      <c r="X4125" t="s">
        <v>46573</v>
      </c>
    </row>
    <row r="4126" spans="1:24">
      <c r="A4126">
        <f>HYPERLINK("https://www.philgeps.gov.ph/GEPSNONPILOT/Tender/SplashBidNoticeAbstractUI.aspx?menuIndex=3&amp;refID=7063771&amp;Result=3","7063771")</f>
        <v>0</v>
      </c>
      <c r="B4126" t="s">
        <v>865</v>
      </c>
      <c r="C4126" t="s">
        <v>7497</v>
      </c>
      <c r="D4126" t="s">
        <v>18828</v>
      </c>
      <c r="E4126" t="s">
        <v>22607</v>
      </c>
      <c r="F4126" t="s">
        <v>32664</v>
      </c>
      <c r="G4126" t="s">
        <v>32674</v>
      </c>
      <c r="H4126" t="s">
        <v>12635</v>
      </c>
      <c r="I4126" t="s">
        <v>8730</v>
      </c>
      <c r="J4126" t="s">
        <v>34013</v>
      </c>
      <c r="K4126" t="s">
        <v>42295</v>
      </c>
      <c r="M4126" t="s">
        <v>43465</v>
      </c>
      <c r="N4126" t="s">
        <v>46569</v>
      </c>
      <c r="O4126" t="s">
        <v>46570</v>
      </c>
      <c r="P4126">
        <v>0</v>
      </c>
      <c r="Q4126">
        <v>0</v>
      </c>
      <c r="R4126" t="s">
        <v>46572</v>
      </c>
      <c r="S4126" t="s">
        <v>46689</v>
      </c>
      <c r="T4126" t="s">
        <v>48219</v>
      </c>
      <c r="U4126" t="s">
        <v>52179</v>
      </c>
      <c r="W4126" t="s">
        <v>43465</v>
      </c>
      <c r="X4126" t="s">
        <v>46573</v>
      </c>
    </row>
    <row r="4127" spans="1:24">
      <c r="A4127">
        <f>HYPERLINK("https://www.philgeps.gov.ph/GEPSNONPILOT/Tender/SplashBidNoticeAbstractUI.aspx?menuIndex=3&amp;refID=7063769&amp;Result=3","7063769")</f>
        <v>0</v>
      </c>
      <c r="B4127" t="s">
        <v>175</v>
      </c>
      <c r="C4127" t="s">
        <v>7498</v>
      </c>
      <c r="D4127" t="s">
        <v>18786</v>
      </c>
      <c r="E4127" t="s">
        <v>22608</v>
      </c>
      <c r="F4127" t="s">
        <v>32664</v>
      </c>
      <c r="G4127" t="s">
        <v>32671</v>
      </c>
      <c r="H4127" t="s">
        <v>12635</v>
      </c>
      <c r="I4127" t="s">
        <v>7709</v>
      </c>
      <c r="J4127" t="s">
        <v>35523</v>
      </c>
      <c r="K4127" t="s">
        <v>42284</v>
      </c>
      <c r="M4127" t="s">
        <v>44173</v>
      </c>
      <c r="N4127" t="s">
        <v>46569</v>
      </c>
      <c r="O4127" t="s">
        <v>46570</v>
      </c>
      <c r="P4127">
        <v>0</v>
      </c>
      <c r="Q4127">
        <v>0</v>
      </c>
      <c r="R4127" t="s">
        <v>46572</v>
      </c>
      <c r="S4127" t="s">
        <v>46689</v>
      </c>
      <c r="T4127" t="s">
        <v>48258</v>
      </c>
      <c r="U4127" t="s">
        <v>52180</v>
      </c>
      <c r="V4127" t="s">
        <v>61661</v>
      </c>
      <c r="W4127" t="s">
        <v>44173</v>
      </c>
      <c r="X4127" t="s">
        <v>46573</v>
      </c>
    </row>
    <row r="4128" spans="1:24">
      <c r="A4128">
        <f>HYPERLINK("https://www.philgeps.gov.ph/GEPSNONPILOT/Tender/SplashBidNoticeAbstractUI.aspx?menuIndex=3&amp;refID=7063777&amp;Result=3","7063777")</f>
        <v>0</v>
      </c>
      <c r="B4128" t="s">
        <v>1508</v>
      </c>
      <c r="C4128" t="s">
        <v>7499</v>
      </c>
      <c r="D4128" t="s">
        <v>18826</v>
      </c>
      <c r="E4128" t="s">
        <v>22609</v>
      </c>
      <c r="F4128" t="s">
        <v>32664</v>
      </c>
      <c r="G4128" t="s">
        <v>32673</v>
      </c>
      <c r="H4128" t="s">
        <v>32683</v>
      </c>
      <c r="I4128" t="s">
        <v>10627</v>
      </c>
      <c r="J4128" t="s">
        <v>35524</v>
      </c>
      <c r="K4128" t="s">
        <v>42285</v>
      </c>
      <c r="M4128" t="s">
        <v>44174</v>
      </c>
      <c r="N4128" t="s">
        <v>46569</v>
      </c>
      <c r="O4128" t="s">
        <v>46570</v>
      </c>
      <c r="P4128">
        <v>0</v>
      </c>
      <c r="Q4128">
        <v>2</v>
      </c>
      <c r="R4128" t="s">
        <v>46572</v>
      </c>
      <c r="S4128" t="s">
        <v>46689</v>
      </c>
      <c r="T4128" t="s">
        <v>48220</v>
      </c>
      <c r="U4128" t="s">
        <v>52181</v>
      </c>
      <c r="V4128" t="s">
        <v>62045</v>
      </c>
      <c r="W4128" t="s">
        <v>44174</v>
      </c>
      <c r="X4128" t="s">
        <v>46573</v>
      </c>
    </row>
    <row r="4129" spans="1:24">
      <c r="A4129">
        <f>HYPERLINK("https://www.philgeps.gov.ph/GEPSNONPILOT/Tender/SplashBidNoticeAbstractUI.aspx?menuIndex=3&amp;refID=7063810&amp;Result=3","7063810")</f>
        <v>0</v>
      </c>
      <c r="B4129" t="s">
        <v>352</v>
      </c>
      <c r="C4129" t="s">
        <v>7500</v>
      </c>
      <c r="D4129" t="s">
        <v>18839</v>
      </c>
      <c r="E4129" t="s">
        <v>22610</v>
      </c>
      <c r="F4129" t="s">
        <v>32664</v>
      </c>
      <c r="G4129" t="s">
        <v>32671</v>
      </c>
      <c r="H4129" t="s">
        <v>12635</v>
      </c>
      <c r="I4129" t="s">
        <v>32696</v>
      </c>
      <c r="J4129" t="s">
        <v>33959</v>
      </c>
      <c r="K4129" t="s">
        <v>42289</v>
      </c>
      <c r="M4129" t="s">
        <v>43215</v>
      </c>
      <c r="N4129" t="s">
        <v>46569</v>
      </c>
      <c r="O4129" t="s">
        <v>46570</v>
      </c>
      <c r="P4129">
        <v>0</v>
      </c>
      <c r="Q4129">
        <v>2</v>
      </c>
      <c r="R4129" t="s">
        <v>46572</v>
      </c>
      <c r="S4129" t="s">
        <v>46689</v>
      </c>
      <c r="T4129" t="s">
        <v>48256</v>
      </c>
      <c r="U4129" t="s">
        <v>52182</v>
      </c>
      <c r="V4129" t="s">
        <v>61781</v>
      </c>
      <c r="W4129" t="s">
        <v>43215</v>
      </c>
      <c r="X4129" t="s">
        <v>46573</v>
      </c>
    </row>
    <row r="4130" spans="1:24">
      <c r="A4130">
        <f>HYPERLINK("https://www.philgeps.gov.ph/GEPSNONPILOT/Tender/SplashBidNoticeAbstractUI.aspx?menuIndex=3&amp;refID=7063276&amp;Result=3","7063276")</f>
        <v>0</v>
      </c>
      <c r="B4130" t="s">
        <v>1374</v>
      </c>
      <c r="C4130" t="s">
        <v>7501</v>
      </c>
      <c r="D4130" t="s">
        <v>18821</v>
      </c>
      <c r="E4130" t="s">
        <v>22611</v>
      </c>
      <c r="F4130" t="s">
        <v>32664</v>
      </c>
      <c r="G4130" t="s">
        <v>32672</v>
      </c>
      <c r="H4130" t="s">
        <v>12635</v>
      </c>
      <c r="I4130" t="s">
        <v>6168</v>
      </c>
      <c r="J4130" t="s">
        <v>34585</v>
      </c>
      <c r="K4130" t="s">
        <v>42297</v>
      </c>
      <c r="M4130" t="s">
        <v>44029</v>
      </c>
      <c r="N4130" t="s">
        <v>46569</v>
      </c>
      <c r="O4130" t="s">
        <v>46570</v>
      </c>
      <c r="P4130">
        <v>0</v>
      </c>
      <c r="Q4130">
        <v>0</v>
      </c>
      <c r="R4130" t="s">
        <v>46572</v>
      </c>
      <c r="S4130" t="s">
        <v>46689</v>
      </c>
      <c r="T4130" t="s">
        <v>48368</v>
      </c>
      <c r="U4130" t="s">
        <v>49404</v>
      </c>
      <c r="W4130" t="s">
        <v>44029</v>
      </c>
      <c r="X4130" t="s">
        <v>46573</v>
      </c>
    </row>
    <row r="4131" spans="1:24">
      <c r="A4131">
        <f>HYPERLINK("https://www.philgeps.gov.ph/GEPSNONPILOT/Tender/SplashBidNoticeAbstractUI.aspx?menuIndex=3&amp;refID=7063809&amp;Result=3","7063809")</f>
        <v>0</v>
      </c>
      <c r="B4131" t="s">
        <v>1507</v>
      </c>
      <c r="C4131" t="s">
        <v>7502</v>
      </c>
      <c r="D4131" t="s">
        <v>18789</v>
      </c>
      <c r="E4131" t="s">
        <v>22612</v>
      </c>
      <c r="F4131" t="s">
        <v>32664</v>
      </c>
      <c r="G4131" t="s">
        <v>32671</v>
      </c>
      <c r="H4131" t="s">
        <v>12635</v>
      </c>
      <c r="I4131" t="s">
        <v>32706</v>
      </c>
      <c r="J4131" t="s">
        <v>33069</v>
      </c>
      <c r="K4131" t="s">
        <v>42283</v>
      </c>
      <c r="M4131" t="s">
        <v>44172</v>
      </c>
      <c r="N4131" t="s">
        <v>46569</v>
      </c>
      <c r="O4131" t="s">
        <v>46570</v>
      </c>
      <c r="P4131">
        <v>0</v>
      </c>
      <c r="Q4131">
        <v>0</v>
      </c>
      <c r="R4131" t="s">
        <v>46572</v>
      </c>
      <c r="S4131" t="s">
        <v>46689</v>
      </c>
      <c r="T4131" t="s">
        <v>48219</v>
      </c>
      <c r="U4131" t="s">
        <v>52183</v>
      </c>
      <c r="V4131" t="s">
        <v>62043</v>
      </c>
      <c r="W4131" t="s">
        <v>44172</v>
      </c>
      <c r="X4131" t="s">
        <v>46573</v>
      </c>
    </row>
    <row r="4132" spans="1:24">
      <c r="A4132">
        <f>HYPERLINK("https://www.philgeps.gov.ph/GEPSNONPILOT/Tender/SplashBidNoticeAbstractUI.aspx?menuIndex=3&amp;refID=7063807&amp;Result=3","7063807")</f>
        <v>0</v>
      </c>
      <c r="B4132" t="s">
        <v>1509</v>
      </c>
      <c r="C4132" t="s">
        <v>7503</v>
      </c>
      <c r="D4132" t="s">
        <v>18803</v>
      </c>
      <c r="E4132" t="s">
        <v>22613</v>
      </c>
      <c r="F4132" t="s">
        <v>32664</v>
      </c>
      <c r="G4132" t="s">
        <v>32675</v>
      </c>
      <c r="H4132" t="s">
        <v>12635</v>
      </c>
      <c r="I4132" t="s">
        <v>10370</v>
      </c>
      <c r="J4132" t="s">
        <v>35525</v>
      </c>
      <c r="K4132" t="s">
        <v>42283</v>
      </c>
      <c r="M4132" t="s">
        <v>44175</v>
      </c>
      <c r="N4132" t="s">
        <v>46569</v>
      </c>
      <c r="O4132" t="s">
        <v>46570</v>
      </c>
      <c r="P4132">
        <v>0</v>
      </c>
      <c r="Q4132">
        <v>3</v>
      </c>
      <c r="R4132" t="s">
        <v>46572</v>
      </c>
      <c r="S4132" t="s">
        <v>46689</v>
      </c>
      <c r="T4132" t="s">
        <v>48256</v>
      </c>
      <c r="U4132" t="s">
        <v>52184</v>
      </c>
      <c r="W4132" t="s">
        <v>44175</v>
      </c>
      <c r="X4132" t="s">
        <v>46573</v>
      </c>
    </row>
    <row r="4133" spans="1:24">
      <c r="A4133">
        <f>HYPERLINK("https://www.philgeps.gov.ph/GEPSNONPILOT/Tender/SplashBidNoticeAbstractUI.aspx?menuIndex=3&amp;refID=7063805&amp;Result=3","7063805")</f>
        <v>0</v>
      </c>
      <c r="B4133" t="s">
        <v>1510</v>
      </c>
      <c r="C4133" t="s">
        <v>7504</v>
      </c>
      <c r="D4133" t="s">
        <v>18842</v>
      </c>
      <c r="E4133" t="s">
        <v>22614</v>
      </c>
      <c r="F4133" t="s">
        <v>32664</v>
      </c>
      <c r="G4133" t="s">
        <v>32674</v>
      </c>
      <c r="H4133" t="s">
        <v>12635</v>
      </c>
      <c r="I4133" t="s">
        <v>32706</v>
      </c>
      <c r="J4133" t="s">
        <v>33251</v>
      </c>
      <c r="K4133" t="s">
        <v>42295</v>
      </c>
      <c r="M4133" t="s">
        <v>44176</v>
      </c>
      <c r="N4133" t="s">
        <v>46569</v>
      </c>
      <c r="O4133" t="s">
        <v>46570</v>
      </c>
      <c r="P4133">
        <v>0</v>
      </c>
      <c r="Q4133">
        <v>0</v>
      </c>
      <c r="R4133" t="s">
        <v>46572</v>
      </c>
      <c r="S4133" t="s">
        <v>46689</v>
      </c>
      <c r="T4133" t="s">
        <v>48254</v>
      </c>
      <c r="U4133" t="s">
        <v>52185</v>
      </c>
      <c r="W4133" t="s">
        <v>44176</v>
      </c>
      <c r="X4133" t="s">
        <v>46573</v>
      </c>
    </row>
    <row r="4134" spans="1:24">
      <c r="A4134">
        <f>HYPERLINK("https://www.philgeps.gov.ph/GEPSNONPILOT/Tender/SplashBidNoticeAbstractUI.aspx?menuIndex=3&amp;refID=7063802&amp;Result=3","7063802")</f>
        <v>0</v>
      </c>
      <c r="B4134" t="s">
        <v>304</v>
      </c>
      <c r="C4134" t="s">
        <v>7505</v>
      </c>
      <c r="D4134" t="s">
        <v>18792</v>
      </c>
      <c r="E4134" t="s">
        <v>19460</v>
      </c>
      <c r="F4134" t="s">
        <v>32664</v>
      </c>
      <c r="G4134" t="s">
        <v>32671</v>
      </c>
      <c r="H4134" t="s">
        <v>12635</v>
      </c>
      <c r="I4134" t="s">
        <v>4439</v>
      </c>
      <c r="J4134" t="s">
        <v>35526</v>
      </c>
      <c r="K4134" t="s">
        <v>42295</v>
      </c>
      <c r="M4134" t="s">
        <v>42871</v>
      </c>
      <c r="N4134" t="s">
        <v>46569</v>
      </c>
      <c r="O4134" t="s">
        <v>46570</v>
      </c>
      <c r="P4134">
        <v>0</v>
      </c>
      <c r="Q4134">
        <v>0</v>
      </c>
      <c r="R4134" t="s">
        <v>46572</v>
      </c>
      <c r="S4134" t="s">
        <v>46689</v>
      </c>
      <c r="T4134" t="s">
        <v>48221</v>
      </c>
      <c r="U4134" t="s">
        <v>52186</v>
      </c>
      <c r="W4134" t="s">
        <v>42871</v>
      </c>
      <c r="X4134" t="s">
        <v>46573</v>
      </c>
    </row>
    <row r="4135" spans="1:24">
      <c r="A4135">
        <f>HYPERLINK("https://www.philgeps.gov.ph/GEPSNONPILOT/Tender/SplashBidNoticeAbstractUI.aspx?menuIndex=3&amp;refID=7063808&amp;Result=3","7063808")</f>
        <v>0</v>
      </c>
      <c r="B4135" t="s">
        <v>1380</v>
      </c>
      <c r="C4135" t="s">
        <v>7506</v>
      </c>
      <c r="D4135" t="s">
        <v>18809</v>
      </c>
      <c r="E4135" t="s">
        <v>22615</v>
      </c>
      <c r="F4135" t="s">
        <v>32664</v>
      </c>
      <c r="G4135" t="s">
        <v>32671</v>
      </c>
      <c r="H4135" t="s">
        <v>12635</v>
      </c>
      <c r="I4135" t="s">
        <v>32723</v>
      </c>
      <c r="J4135" t="s">
        <v>35501</v>
      </c>
      <c r="K4135" t="s">
        <v>42297</v>
      </c>
      <c r="L4135" t="s">
        <v>1380</v>
      </c>
      <c r="M4135" t="s">
        <v>44035</v>
      </c>
      <c r="N4135" t="s">
        <v>46569</v>
      </c>
      <c r="O4135" t="s">
        <v>46570</v>
      </c>
      <c r="P4135">
        <v>0</v>
      </c>
      <c r="Q4135">
        <v>0</v>
      </c>
      <c r="R4135" t="s">
        <v>46572</v>
      </c>
      <c r="S4135" t="s">
        <v>46689</v>
      </c>
      <c r="T4135" t="s">
        <v>48217</v>
      </c>
      <c r="U4135" t="s">
        <v>52133</v>
      </c>
      <c r="V4135" t="s">
        <v>62025</v>
      </c>
      <c r="W4135" t="s">
        <v>44035</v>
      </c>
      <c r="X4135" t="s">
        <v>46573</v>
      </c>
    </row>
    <row r="4136" spans="1:24">
      <c r="A4136">
        <f>HYPERLINK("https://www.philgeps.gov.ph/GEPSNONPILOT/Tender/SplashBidNoticeAbstractUI.aspx?menuIndex=3&amp;refID=7063800&amp;Result=3","7063800")</f>
        <v>0</v>
      </c>
      <c r="B4136" t="s">
        <v>1511</v>
      </c>
      <c r="C4136" t="s">
        <v>7507</v>
      </c>
      <c r="D4136" t="s">
        <v>18784</v>
      </c>
      <c r="E4136" t="s">
        <v>22616</v>
      </c>
      <c r="F4136" t="s">
        <v>32664</v>
      </c>
      <c r="G4136" t="s">
        <v>32671</v>
      </c>
      <c r="H4136" t="s">
        <v>32681</v>
      </c>
      <c r="I4136" t="s">
        <v>32681</v>
      </c>
      <c r="J4136" t="s">
        <v>35527</v>
      </c>
      <c r="K4136" t="s">
        <v>42283</v>
      </c>
      <c r="M4136" t="s">
        <v>44177</v>
      </c>
      <c r="N4136" t="s">
        <v>46569</v>
      </c>
      <c r="O4136" t="s">
        <v>46570</v>
      </c>
      <c r="P4136">
        <v>0</v>
      </c>
      <c r="Q4136">
        <v>0</v>
      </c>
      <c r="R4136" t="s">
        <v>46572</v>
      </c>
      <c r="S4136" t="s">
        <v>46689</v>
      </c>
      <c r="T4136" t="s">
        <v>48462</v>
      </c>
      <c r="U4136" t="s">
        <v>52187</v>
      </c>
      <c r="V4136" t="s">
        <v>62046</v>
      </c>
      <c r="W4136" t="s">
        <v>44177</v>
      </c>
      <c r="X4136" t="s">
        <v>46573</v>
      </c>
    </row>
    <row r="4137" spans="1:24">
      <c r="A4137">
        <f>HYPERLINK("https://www.philgeps.gov.ph/GEPSNONPILOT/Tender/SplashBidNoticeAbstractUI.aspx?menuIndex=3&amp;refID=7063799&amp;Result=3","7063799")</f>
        <v>0</v>
      </c>
      <c r="B4137" t="s">
        <v>1512</v>
      </c>
      <c r="C4137" t="s">
        <v>7508</v>
      </c>
      <c r="D4137" t="s">
        <v>18802</v>
      </c>
      <c r="E4137" t="s">
        <v>22617</v>
      </c>
      <c r="F4137" t="s">
        <v>32664</v>
      </c>
      <c r="G4137" t="s">
        <v>32671</v>
      </c>
      <c r="H4137" t="s">
        <v>32683</v>
      </c>
      <c r="I4137" t="s">
        <v>10627</v>
      </c>
      <c r="J4137" t="s">
        <v>35528</v>
      </c>
      <c r="K4137" t="s">
        <v>42281</v>
      </c>
      <c r="M4137" t="s">
        <v>44178</v>
      </c>
      <c r="N4137" t="s">
        <v>46569</v>
      </c>
      <c r="O4137" t="s">
        <v>46570</v>
      </c>
      <c r="P4137">
        <v>0</v>
      </c>
      <c r="Q4137">
        <v>0</v>
      </c>
      <c r="R4137" t="s">
        <v>46572</v>
      </c>
      <c r="S4137" t="s">
        <v>46689</v>
      </c>
      <c r="T4137" t="s">
        <v>48219</v>
      </c>
      <c r="U4137" t="s">
        <v>52188</v>
      </c>
      <c r="W4137" t="s">
        <v>44178</v>
      </c>
      <c r="X4137" t="s">
        <v>46573</v>
      </c>
    </row>
    <row r="4138" spans="1:24">
      <c r="A4138">
        <f>HYPERLINK("https://www.philgeps.gov.ph/GEPSNONPILOT/Tender/SplashBidNoticeAbstractUI.aspx?menuIndex=3&amp;refID=7063798&amp;Result=3","7063798")</f>
        <v>0</v>
      </c>
      <c r="B4138" t="s">
        <v>653</v>
      </c>
      <c r="C4138" t="s">
        <v>7509</v>
      </c>
      <c r="D4138" t="s">
        <v>18840</v>
      </c>
      <c r="E4138" t="s">
        <v>22618</v>
      </c>
      <c r="F4138" t="s">
        <v>32664</v>
      </c>
      <c r="G4138" t="s">
        <v>32675</v>
      </c>
      <c r="H4138" t="s">
        <v>12635</v>
      </c>
      <c r="I4138" t="s">
        <v>6168</v>
      </c>
      <c r="J4138" t="s">
        <v>35529</v>
      </c>
      <c r="K4138" t="s">
        <v>42289</v>
      </c>
      <c r="M4138" t="s">
        <v>43239</v>
      </c>
      <c r="N4138" t="s">
        <v>46569</v>
      </c>
      <c r="O4138" t="s">
        <v>46570</v>
      </c>
      <c r="P4138">
        <v>0</v>
      </c>
      <c r="Q4138">
        <v>1</v>
      </c>
      <c r="R4138" t="s">
        <v>46572</v>
      </c>
      <c r="S4138" t="s">
        <v>46689</v>
      </c>
      <c r="T4138" t="s">
        <v>48251</v>
      </c>
      <c r="U4138" t="s">
        <v>52189</v>
      </c>
      <c r="W4138" t="s">
        <v>43239</v>
      </c>
      <c r="X4138" t="s">
        <v>46573</v>
      </c>
    </row>
    <row r="4139" spans="1:24">
      <c r="A4139">
        <f>HYPERLINK("https://www.philgeps.gov.ph/GEPSNONPILOT/Tender/SplashBidNoticeAbstractUI.aspx?menuIndex=3&amp;refID=7063776&amp;Result=3","7063776")</f>
        <v>0</v>
      </c>
      <c r="B4139" t="s">
        <v>1380</v>
      </c>
      <c r="C4139" t="s">
        <v>7510</v>
      </c>
      <c r="D4139" t="s">
        <v>18809</v>
      </c>
      <c r="E4139" t="s">
        <v>22619</v>
      </c>
      <c r="F4139" t="s">
        <v>32664</v>
      </c>
      <c r="G4139" t="s">
        <v>32671</v>
      </c>
      <c r="H4139" t="s">
        <v>12635</v>
      </c>
      <c r="I4139" t="s">
        <v>10627</v>
      </c>
      <c r="J4139" t="s">
        <v>35488</v>
      </c>
      <c r="K4139" t="s">
        <v>42313</v>
      </c>
      <c r="L4139" t="s">
        <v>1380</v>
      </c>
      <c r="M4139" t="s">
        <v>44035</v>
      </c>
      <c r="N4139" t="s">
        <v>46569</v>
      </c>
      <c r="O4139" t="s">
        <v>46570</v>
      </c>
      <c r="P4139">
        <v>0</v>
      </c>
      <c r="Q4139">
        <v>0</v>
      </c>
      <c r="R4139" t="s">
        <v>46572</v>
      </c>
      <c r="S4139" t="s">
        <v>46689</v>
      </c>
      <c r="T4139" t="s">
        <v>48217</v>
      </c>
      <c r="U4139" t="s">
        <v>52133</v>
      </c>
      <c r="V4139" t="s">
        <v>62025</v>
      </c>
      <c r="W4139" t="s">
        <v>44035</v>
      </c>
      <c r="X4139" t="s">
        <v>46573</v>
      </c>
    </row>
    <row r="4140" spans="1:24">
      <c r="A4140">
        <f>HYPERLINK("https://www.philgeps.gov.ph/GEPSNONPILOT/Tender/SplashBidNoticeAbstractUI.aspx?menuIndex=3&amp;refID=7063797&amp;Result=3","7063797")</f>
        <v>0</v>
      </c>
      <c r="B4140" t="s">
        <v>107</v>
      </c>
      <c r="C4140" t="s">
        <v>7511</v>
      </c>
      <c r="D4140" t="s">
        <v>18804</v>
      </c>
      <c r="E4140" t="s">
        <v>22620</v>
      </c>
      <c r="F4140" t="s">
        <v>32664</v>
      </c>
      <c r="G4140" t="s">
        <v>32672</v>
      </c>
      <c r="H4140" t="s">
        <v>32683</v>
      </c>
      <c r="I4140" t="s">
        <v>10627</v>
      </c>
      <c r="J4140" t="s">
        <v>35530</v>
      </c>
      <c r="K4140" t="s">
        <v>42296</v>
      </c>
      <c r="M4140" t="s">
        <v>42671</v>
      </c>
      <c r="N4140" t="s">
        <v>46569</v>
      </c>
      <c r="O4140" t="s">
        <v>46570</v>
      </c>
      <c r="P4140">
        <v>0</v>
      </c>
      <c r="Q4140">
        <v>2</v>
      </c>
      <c r="R4140" t="s">
        <v>46572</v>
      </c>
      <c r="S4140" t="s">
        <v>46689</v>
      </c>
      <c r="T4140" t="s">
        <v>48273</v>
      </c>
      <c r="U4140" t="s">
        <v>48995</v>
      </c>
      <c r="W4140" t="s">
        <v>42671</v>
      </c>
      <c r="X4140" t="s">
        <v>46573</v>
      </c>
    </row>
    <row r="4141" spans="1:24">
      <c r="A4141">
        <f>HYPERLINK("https://www.philgeps.gov.ph/GEPSNONPILOT/Tender/SplashBidNoticeAbstractUI.aspx?menuIndex=3&amp;refID=7063791&amp;Result=3","7063791")</f>
        <v>0</v>
      </c>
      <c r="B4141" t="s">
        <v>1513</v>
      </c>
      <c r="C4141" t="s">
        <v>7512</v>
      </c>
      <c r="D4141" t="s">
        <v>18798</v>
      </c>
      <c r="E4141" t="s">
        <v>18926</v>
      </c>
      <c r="F4141" t="s">
        <v>32664</v>
      </c>
      <c r="G4141" t="s">
        <v>32672</v>
      </c>
      <c r="H4141" t="s">
        <v>32683</v>
      </c>
      <c r="I4141" t="s">
        <v>10627</v>
      </c>
      <c r="J4141" t="s">
        <v>35531</v>
      </c>
      <c r="K4141" t="s">
        <v>42420</v>
      </c>
      <c r="M4141" t="s">
        <v>44179</v>
      </c>
      <c r="N4141" t="s">
        <v>46569</v>
      </c>
      <c r="O4141" t="s">
        <v>46570</v>
      </c>
      <c r="P4141">
        <v>0</v>
      </c>
      <c r="Q4141">
        <v>0</v>
      </c>
      <c r="R4141" t="s">
        <v>46572</v>
      </c>
      <c r="S4141" t="s">
        <v>46689</v>
      </c>
      <c r="T4141" t="s">
        <v>48285</v>
      </c>
      <c r="U4141" t="s">
        <v>52190</v>
      </c>
      <c r="W4141" t="s">
        <v>44179</v>
      </c>
      <c r="X4141" t="s">
        <v>46573</v>
      </c>
    </row>
    <row r="4142" spans="1:24">
      <c r="A4142">
        <f>HYPERLINK("https://www.philgeps.gov.ph/GEPSNONPILOT/Tender/SplashBidNoticeAbstractUI.aspx?menuIndex=3&amp;refID=7063803&amp;Result=3","7063803")</f>
        <v>0</v>
      </c>
      <c r="B4142" t="s">
        <v>1197</v>
      </c>
      <c r="C4142" t="s">
        <v>7513</v>
      </c>
      <c r="D4142" t="s">
        <v>18784</v>
      </c>
      <c r="E4142" t="s">
        <v>22621</v>
      </c>
      <c r="F4142" t="s">
        <v>32664</v>
      </c>
      <c r="G4142" t="s">
        <v>32671</v>
      </c>
      <c r="H4142" t="s">
        <v>32682</v>
      </c>
      <c r="I4142" t="s">
        <v>32701</v>
      </c>
      <c r="J4142" t="s">
        <v>35532</v>
      </c>
      <c r="K4142" t="s">
        <v>42334</v>
      </c>
      <c r="M4142" t="s">
        <v>43834</v>
      </c>
      <c r="N4142" t="s">
        <v>46569</v>
      </c>
      <c r="O4142" t="s">
        <v>46570</v>
      </c>
      <c r="P4142">
        <v>0</v>
      </c>
      <c r="Q4142">
        <v>0</v>
      </c>
      <c r="R4142" t="s">
        <v>46572</v>
      </c>
      <c r="S4142" t="s">
        <v>46689</v>
      </c>
      <c r="T4142" t="s">
        <v>48249</v>
      </c>
      <c r="U4142" t="s">
        <v>52191</v>
      </c>
      <c r="W4142" t="s">
        <v>43834</v>
      </c>
      <c r="X4142" t="s">
        <v>46573</v>
      </c>
    </row>
    <row r="4143" spans="1:24">
      <c r="A4143">
        <f>HYPERLINK("https://www.philgeps.gov.ph/GEPSNONPILOT/Tender/SplashBidNoticeAbstractUI.aspx?menuIndex=3&amp;refID=7063765&amp;Result=3","7063765")</f>
        <v>0</v>
      </c>
      <c r="B4143" t="s">
        <v>594</v>
      </c>
      <c r="C4143" t="s">
        <v>7514</v>
      </c>
      <c r="D4143" t="s">
        <v>18784</v>
      </c>
      <c r="E4143" t="s">
        <v>22622</v>
      </c>
      <c r="F4143" t="s">
        <v>32664</v>
      </c>
      <c r="G4143" t="s">
        <v>32671</v>
      </c>
      <c r="H4143" t="s">
        <v>12635</v>
      </c>
      <c r="I4143" t="s">
        <v>7429</v>
      </c>
      <c r="J4143" t="s">
        <v>33163</v>
      </c>
      <c r="K4143" t="s">
        <v>42297</v>
      </c>
      <c r="M4143" t="s">
        <v>43768</v>
      </c>
      <c r="N4143" t="s">
        <v>46569</v>
      </c>
      <c r="O4143" t="s">
        <v>46570</v>
      </c>
      <c r="P4143">
        <v>0</v>
      </c>
      <c r="Q4143">
        <v>3</v>
      </c>
      <c r="R4143" t="s">
        <v>46572</v>
      </c>
      <c r="S4143" t="s">
        <v>46689</v>
      </c>
      <c r="T4143" t="s">
        <v>48341</v>
      </c>
      <c r="U4143" t="s">
        <v>52192</v>
      </c>
      <c r="V4143" t="s">
        <v>61906</v>
      </c>
      <c r="W4143" t="s">
        <v>43768</v>
      </c>
      <c r="X4143" t="s">
        <v>46573</v>
      </c>
    </row>
    <row r="4144" spans="1:24">
      <c r="A4144">
        <f>HYPERLINK("https://www.philgeps.gov.ph/GEPSNONPILOT/Tender/SplashBidNoticeAbstractUI.aspx?menuIndex=3&amp;refID=7063787&amp;Result=3","7063787")</f>
        <v>0</v>
      </c>
      <c r="B4144" t="s">
        <v>1200</v>
      </c>
      <c r="C4144" t="s">
        <v>7515</v>
      </c>
      <c r="D4144" t="s">
        <v>18813</v>
      </c>
      <c r="E4144" t="s">
        <v>22623</v>
      </c>
      <c r="F4144" t="s">
        <v>32664</v>
      </c>
      <c r="G4144" t="s">
        <v>32674</v>
      </c>
      <c r="H4144" t="s">
        <v>12635</v>
      </c>
      <c r="I4144" t="s">
        <v>4439</v>
      </c>
      <c r="J4144" t="s">
        <v>35533</v>
      </c>
      <c r="K4144" t="s">
        <v>42281</v>
      </c>
      <c r="M4144" t="s">
        <v>43837</v>
      </c>
      <c r="N4144" t="s">
        <v>46569</v>
      </c>
      <c r="O4144" t="s">
        <v>46570</v>
      </c>
      <c r="P4144">
        <v>0</v>
      </c>
      <c r="Q4144">
        <v>0</v>
      </c>
      <c r="R4144" t="s">
        <v>46572</v>
      </c>
      <c r="S4144" t="s">
        <v>46689</v>
      </c>
      <c r="T4144" t="s">
        <v>48221</v>
      </c>
      <c r="U4144" t="s">
        <v>52193</v>
      </c>
      <c r="W4144" t="s">
        <v>43837</v>
      </c>
      <c r="X4144" t="s">
        <v>46573</v>
      </c>
    </row>
    <row r="4145" spans="1:24">
      <c r="A4145">
        <f>HYPERLINK("https://www.philgeps.gov.ph/GEPSNONPILOT/Tender/SplashBidNoticeAbstractUI.aspx?menuIndex=3&amp;refID=7063783&amp;Result=3","7063783")</f>
        <v>0</v>
      </c>
      <c r="B4145" t="s">
        <v>1295</v>
      </c>
      <c r="C4145" t="s">
        <v>7516</v>
      </c>
      <c r="D4145" t="s">
        <v>18799</v>
      </c>
      <c r="E4145" t="s">
        <v>21888</v>
      </c>
      <c r="F4145" t="s">
        <v>32664</v>
      </c>
      <c r="G4145" t="s">
        <v>32674</v>
      </c>
      <c r="H4145" t="s">
        <v>12635</v>
      </c>
      <c r="I4145" t="s">
        <v>6223</v>
      </c>
      <c r="J4145" t="s">
        <v>35534</v>
      </c>
      <c r="K4145" t="s">
        <v>42284</v>
      </c>
      <c r="M4145" t="s">
        <v>43939</v>
      </c>
      <c r="N4145" t="s">
        <v>46569</v>
      </c>
      <c r="O4145" t="s">
        <v>46570</v>
      </c>
      <c r="P4145">
        <v>0</v>
      </c>
      <c r="Q4145">
        <v>0</v>
      </c>
      <c r="R4145" t="s">
        <v>46572</v>
      </c>
      <c r="S4145" t="s">
        <v>46689</v>
      </c>
      <c r="T4145" t="s">
        <v>48473</v>
      </c>
      <c r="U4145" t="s">
        <v>51539</v>
      </c>
      <c r="W4145" t="s">
        <v>43939</v>
      </c>
      <c r="X4145" t="s">
        <v>46573</v>
      </c>
    </row>
    <row r="4146" spans="1:24">
      <c r="A4146">
        <f>HYPERLINK("https://www.philgeps.gov.ph/GEPSNONPILOT/Tender/SplashBidNoticeAbstractUI.aspx?menuIndex=3&amp;refID=7063743&amp;Result=3","7063743")</f>
        <v>0</v>
      </c>
      <c r="B4146" t="s">
        <v>1514</v>
      </c>
      <c r="C4146" t="s">
        <v>7517</v>
      </c>
      <c r="D4146" t="s">
        <v>18829</v>
      </c>
      <c r="E4146" t="s">
        <v>22624</v>
      </c>
      <c r="F4146" t="s">
        <v>32664</v>
      </c>
      <c r="G4146" t="s">
        <v>32672</v>
      </c>
      <c r="H4146" t="s">
        <v>32683</v>
      </c>
      <c r="I4146" t="s">
        <v>10627</v>
      </c>
      <c r="J4146" t="s">
        <v>35535</v>
      </c>
      <c r="K4146" t="s">
        <v>42311</v>
      </c>
      <c r="M4146" t="s">
        <v>44180</v>
      </c>
      <c r="N4146" t="s">
        <v>46569</v>
      </c>
      <c r="O4146" t="s">
        <v>46570</v>
      </c>
      <c r="P4146">
        <v>0</v>
      </c>
      <c r="Q4146">
        <v>0</v>
      </c>
      <c r="R4146" t="s">
        <v>46572</v>
      </c>
      <c r="S4146" t="s">
        <v>46689</v>
      </c>
      <c r="T4146" t="s">
        <v>48346</v>
      </c>
      <c r="U4146" t="s">
        <v>52194</v>
      </c>
      <c r="W4146" t="s">
        <v>44180</v>
      </c>
      <c r="X4146" t="s">
        <v>46573</v>
      </c>
    </row>
    <row r="4147" spans="1:24">
      <c r="A4147">
        <f>HYPERLINK("https://www.philgeps.gov.ph/GEPSNONPILOT/Tender/SplashBidNoticeAbstractUI.aspx?menuIndex=3&amp;refID=7063764&amp;Result=3","7063764")</f>
        <v>0</v>
      </c>
      <c r="B4147" t="s">
        <v>1492</v>
      </c>
      <c r="C4147" t="s">
        <v>7518</v>
      </c>
      <c r="D4147" t="s">
        <v>18795</v>
      </c>
      <c r="E4147" t="s">
        <v>22625</v>
      </c>
      <c r="F4147" t="s">
        <v>32664</v>
      </c>
      <c r="G4147" t="s">
        <v>32671</v>
      </c>
      <c r="H4147" t="s">
        <v>12635</v>
      </c>
      <c r="I4147" t="s">
        <v>4439</v>
      </c>
      <c r="J4147" t="s">
        <v>35536</v>
      </c>
      <c r="K4147" t="s">
        <v>42297</v>
      </c>
      <c r="M4147" t="s">
        <v>44156</v>
      </c>
      <c r="N4147" t="s">
        <v>46569</v>
      </c>
      <c r="O4147" t="s">
        <v>46570</v>
      </c>
      <c r="P4147">
        <v>0</v>
      </c>
      <c r="Q4147">
        <v>0</v>
      </c>
      <c r="R4147" t="s">
        <v>46572</v>
      </c>
      <c r="S4147" t="s">
        <v>46689</v>
      </c>
      <c r="T4147" t="s">
        <v>48354</v>
      </c>
      <c r="U4147" t="s">
        <v>52195</v>
      </c>
      <c r="W4147" t="s">
        <v>44156</v>
      </c>
      <c r="X4147" t="s">
        <v>46573</v>
      </c>
    </row>
    <row r="4148" spans="1:24">
      <c r="A4148">
        <f>HYPERLINK("https://www.philgeps.gov.ph/GEPSNONPILOT/Tender/SplashBidNoticeAbstractUI.aspx?menuIndex=3&amp;refID=7063763&amp;Result=3","7063763")</f>
        <v>0</v>
      </c>
      <c r="B4148" t="s">
        <v>1514</v>
      </c>
      <c r="C4148" t="s">
        <v>7519</v>
      </c>
      <c r="D4148" t="s">
        <v>18829</v>
      </c>
      <c r="E4148" t="s">
        <v>22626</v>
      </c>
      <c r="F4148" t="s">
        <v>32664</v>
      </c>
      <c r="G4148" t="s">
        <v>32672</v>
      </c>
      <c r="H4148" t="s">
        <v>32683</v>
      </c>
      <c r="I4148" t="s">
        <v>10627</v>
      </c>
      <c r="J4148" t="s">
        <v>35537</v>
      </c>
      <c r="K4148" t="s">
        <v>42298</v>
      </c>
      <c r="M4148" t="s">
        <v>44180</v>
      </c>
      <c r="N4148" t="s">
        <v>46569</v>
      </c>
      <c r="O4148" t="s">
        <v>46570</v>
      </c>
      <c r="P4148">
        <v>0</v>
      </c>
      <c r="Q4148">
        <v>0</v>
      </c>
      <c r="R4148" t="s">
        <v>46572</v>
      </c>
      <c r="S4148" t="s">
        <v>46689</v>
      </c>
      <c r="T4148" t="s">
        <v>48346</v>
      </c>
      <c r="U4148" t="s">
        <v>52196</v>
      </c>
      <c r="W4148" t="s">
        <v>44180</v>
      </c>
      <c r="X4148" t="s">
        <v>46573</v>
      </c>
    </row>
    <row r="4149" spans="1:24">
      <c r="A4149">
        <f>HYPERLINK("https://www.philgeps.gov.ph/GEPSNONPILOT/Tender/SplashBidNoticeAbstractUI.aspx?menuIndex=3&amp;refID=7063762&amp;Result=3","7063762")</f>
        <v>0</v>
      </c>
      <c r="B4149" t="s">
        <v>585</v>
      </c>
      <c r="C4149" t="s">
        <v>7520</v>
      </c>
      <c r="D4149" t="s">
        <v>18834</v>
      </c>
      <c r="E4149" t="s">
        <v>22627</v>
      </c>
      <c r="F4149" t="s">
        <v>32664</v>
      </c>
      <c r="G4149" t="s">
        <v>32671</v>
      </c>
      <c r="H4149" t="s">
        <v>12635</v>
      </c>
      <c r="I4149" t="s">
        <v>32757</v>
      </c>
      <c r="J4149" t="s">
        <v>35538</v>
      </c>
      <c r="K4149" t="s">
        <v>42281</v>
      </c>
      <c r="M4149" t="s">
        <v>43165</v>
      </c>
      <c r="N4149" t="s">
        <v>46569</v>
      </c>
      <c r="O4149" t="s">
        <v>46570</v>
      </c>
      <c r="P4149">
        <v>0</v>
      </c>
      <c r="Q4149">
        <v>1</v>
      </c>
      <c r="R4149" t="s">
        <v>46572</v>
      </c>
      <c r="S4149" t="s">
        <v>46689</v>
      </c>
      <c r="T4149" t="s">
        <v>48410</v>
      </c>
      <c r="U4149" t="s">
        <v>52197</v>
      </c>
      <c r="W4149" t="s">
        <v>43165</v>
      </c>
      <c r="X4149" t="s">
        <v>46573</v>
      </c>
    </row>
    <row r="4150" spans="1:24">
      <c r="A4150">
        <f>HYPERLINK("https://www.philgeps.gov.ph/GEPSNONPILOT/Tender/SplashBidNoticeAbstractUI.aspx?menuIndex=3&amp;refID=7063274&amp;Result=3","7063274")</f>
        <v>0</v>
      </c>
      <c r="B4150" t="s">
        <v>915</v>
      </c>
      <c r="C4150" t="s">
        <v>7521</v>
      </c>
      <c r="D4150" t="s">
        <v>18784</v>
      </c>
      <c r="E4150" t="s">
        <v>7521</v>
      </c>
      <c r="F4150" t="s">
        <v>32664</v>
      </c>
      <c r="G4150" t="s">
        <v>32671</v>
      </c>
      <c r="H4150" t="s">
        <v>12635</v>
      </c>
      <c r="I4150" t="s">
        <v>8797</v>
      </c>
      <c r="J4150" t="s">
        <v>35539</v>
      </c>
      <c r="K4150" t="s">
        <v>42283</v>
      </c>
      <c r="M4150" t="s">
        <v>44181</v>
      </c>
      <c r="N4150" t="s">
        <v>46569</v>
      </c>
      <c r="O4150" t="s">
        <v>46570</v>
      </c>
      <c r="P4150">
        <v>0</v>
      </c>
      <c r="Q4150">
        <v>8</v>
      </c>
      <c r="R4150" t="s">
        <v>46572</v>
      </c>
      <c r="S4150" t="s">
        <v>46689</v>
      </c>
      <c r="T4150" t="s">
        <v>48246</v>
      </c>
      <c r="U4150" t="s">
        <v>50592</v>
      </c>
      <c r="W4150" t="s">
        <v>44181</v>
      </c>
      <c r="X4150" t="s">
        <v>46573</v>
      </c>
    </row>
    <row r="4151" spans="1:24">
      <c r="A4151">
        <f>HYPERLINK("https://www.philgeps.gov.ph/GEPSNONPILOT/Tender/SplashBidNoticeAbstractUI.aspx?menuIndex=3&amp;refID=7063812&amp;Result=3","7063812")</f>
        <v>0</v>
      </c>
      <c r="B4151" t="s">
        <v>817</v>
      </c>
      <c r="C4151" t="s">
        <v>7522</v>
      </c>
      <c r="E4151" t="s">
        <v>22628</v>
      </c>
      <c r="F4151" t="s">
        <v>32664</v>
      </c>
      <c r="G4151" t="s">
        <v>32671</v>
      </c>
      <c r="H4151" t="s">
        <v>12635</v>
      </c>
      <c r="I4151" t="s">
        <v>6628</v>
      </c>
      <c r="J4151" t="s">
        <v>33995</v>
      </c>
      <c r="K4151" t="s">
        <v>42283</v>
      </c>
      <c r="M4151" t="s">
        <v>43412</v>
      </c>
      <c r="N4151" t="s">
        <v>46569</v>
      </c>
      <c r="O4151" t="s">
        <v>46570</v>
      </c>
      <c r="P4151">
        <v>0</v>
      </c>
      <c r="Q4151">
        <v>0</v>
      </c>
      <c r="R4151" t="s">
        <v>46572</v>
      </c>
      <c r="S4151" t="s">
        <v>46689</v>
      </c>
      <c r="T4151" t="s">
        <v>48244</v>
      </c>
      <c r="U4151" t="s">
        <v>50349</v>
      </c>
      <c r="W4151" t="s">
        <v>43412</v>
      </c>
      <c r="X4151" t="s">
        <v>46573</v>
      </c>
    </row>
    <row r="4152" spans="1:24">
      <c r="A4152">
        <f>HYPERLINK("https://www.philgeps.gov.ph/GEPSNONPILOT/Tender/SplashBidNoticeAbstractUI.aspx?menuIndex=3&amp;refID=7063834&amp;Result=3","7063834")</f>
        <v>0</v>
      </c>
      <c r="B4152" t="s">
        <v>1515</v>
      </c>
      <c r="C4152" t="s">
        <v>7523</v>
      </c>
      <c r="D4152" t="s">
        <v>18792</v>
      </c>
      <c r="E4152" t="s">
        <v>22629</v>
      </c>
      <c r="F4152" t="s">
        <v>32664</v>
      </c>
      <c r="G4152" t="s">
        <v>32671</v>
      </c>
      <c r="H4152" t="s">
        <v>12635</v>
      </c>
      <c r="I4152" t="s">
        <v>32760</v>
      </c>
      <c r="J4152" t="s">
        <v>35540</v>
      </c>
      <c r="K4152" t="s">
        <v>42295</v>
      </c>
      <c r="M4152" t="s">
        <v>44182</v>
      </c>
      <c r="N4152" t="s">
        <v>46569</v>
      </c>
      <c r="O4152" t="s">
        <v>46570</v>
      </c>
      <c r="P4152">
        <v>0</v>
      </c>
      <c r="Q4152">
        <v>0</v>
      </c>
      <c r="R4152" t="s">
        <v>46572</v>
      </c>
      <c r="S4152" t="s">
        <v>46689</v>
      </c>
      <c r="T4152" t="s">
        <v>48217</v>
      </c>
      <c r="U4152" t="s">
        <v>52198</v>
      </c>
      <c r="W4152" t="s">
        <v>44182</v>
      </c>
      <c r="X4152" t="s">
        <v>46573</v>
      </c>
    </row>
    <row r="4153" spans="1:24">
      <c r="A4153">
        <f>HYPERLINK("https://www.philgeps.gov.ph/GEPSNONPILOT/Tender/SplashBidNoticeAbstractUI.aspx?menuIndex=3&amp;refID=7063833&amp;Result=3","7063833")</f>
        <v>0</v>
      </c>
      <c r="B4153" t="s">
        <v>307</v>
      </c>
      <c r="C4153" t="s">
        <v>7524</v>
      </c>
      <c r="D4153" t="s">
        <v>18789</v>
      </c>
      <c r="E4153" t="s">
        <v>22630</v>
      </c>
      <c r="F4153" t="s">
        <v>32664</v>
      </c>
      <c r="G4153" t="s">
        <v>32672</v>
      </c>
      <c r="H4153" t="s">
        <v>12635</v>
      </c>
      <c r="I4153" t="s">
        <v>32696</v>
      </c>
      <c r="J4153" t="s">
        <v>35541</v>
      </c>
      <c r="K4153" t="s">
        <v>42289</v>
      </c>
      <c r="M4153" t="s">
        <v>42874</v>
      </c>
      <c r="N4153" t="s">
        <v>46569</v>
      </c>
      <c r="O4153" t="s">
        <v>46570</v>
      </c>
      <c r="P4153">
        <v>0</v>
      </c>
      <c r="Q4153">
        <v>0</v>
      </c>
      <c r="R4153" t="s">
        <v>46572</v>
      </c>
      <c r="S4153" t="s">
        <v>46689</v>
      </c>
      <c r="T4153" t="s">
        <v>48225</v>
      </c>
      <c r="U4153" t="s">
        <v>52199</v>
      </c>
      <c r="V4153" t="s">
        <v>62047</v>
      </c>
      <c r="W4153" t="s">
        <v>42874</v>
      </c>
      <c r="X4153" t="s">
        <v>46573</v>
      </c>
    </row>
    <row r="4154" spans="1:24">
      <c r="A4154">
        <f>HYPERLINK("https://www.philgeps.gov.ph/GEPSNONPILOT/Tender/SplashBidNoticeAbstractUI.aspx?menuIndex=3&amp;refID=7063795&amp;Result=3","7063795")</f>
        <v>0</v>
      </c>
      <c r="B4154" t="s">
        <v>1173</v>
      </c>
      <c r="C4154" t="s">
        <v>7525</v>
      </c>
      <c r="E4154" t="s">
        <v>22631</v>
      </c>
      <c r="F4154" t="s">
        <v>32664</v>
      </c>
      <c r="G4154" t="s">
        <v>32671</v>
      </c>
      <c r="H4154" t="s">
        <v>12635</v>
      </c>
      <c r="I4154" t="s">
        <v>6168</v>
      </c>
      <c r="J4154" t="s">
        <v>35542</v>
      </c>
      <c r="K4154" t="s">
        <v>42283</v>
      </c>
      <c r="M4154" t="s">
        <v>43807</v>
      </c>
      <c r="N4154" t="s">
        <v>46569</v>
      </c>
      <c r="O4154" t="s">
        <v>46570</v>
      </c>
      <c r="P4154">
        <v>0</v>
      </c>
      <c r="Q4154">
        <v>1</v>
      </c>
      <c r="R4154" t="s">
        <v>46572</v>
      </c>
      <c r="S4154" t="s">
        <v>46689</v>
      </c>
      <c r="T4154" t="s">
        <v>48217</v>
      </c>
      <c r="U4154" t="s">
        <v>49518</v>
      </c>
      <c r="W4154" t="s">
        <v>43807</v>
      </c>
      <c r="X4154" t="s">
        <v>46573</v>
      </c>
    </row>
    <row r="4155" spans="1:24">
      <c r="A4155">
        <f>HYPERLINK("https://www.philgeps.gov.ph/GEPSNONPILOT/Tender/SplashBidNoticeAbstractUI.aspx?menuIndex=3&amp;refID=7063796&amp;Result=3","7063796")</f>
        <v>0</v>
      </c>
      <c r="B4155" t="s">
        <v>1502</v>
      </c>
      <c r="C4155" t="s">
        <v>7526</v>
      </c>
      <c r="D4155" t="s">
        <v>18829</v>
      </c>
      <c r="E4155" t="s">
        <v>22632</v>
      </c>
      <c r="F4155" t="s">
        <v>32664</v>
      </c>
      <c r="G4155" t="s">
        <v>32671</v>
      </c>
      <c r="H4155" t="s">
        <v>12635</v>
      </c>
      <c r="I4155" t="s">
        <v>32699</v>
      </c>
      <c r="J4155" t="s">
        <v>35543</v>
      </c>
      <c r="K4155" t="s">
        <v>42283</v>
      </c>
      <c r="M4155" t="s">
        <v>44166</v>
      </c>
      <c r="N4155" t="s">
        <v>46569</v>
      </c>
      <c r="O4155" t="s">
        <v>46570</v>
      </c>
      <c r="P4155">
        <v>0</v>
      </c>
      <c r="Q4155">
        <v>1</v>
      </c>
      <c r="R4155" t="s">
        <v>46572</v>
      </c>
      <c r="S4155" t="s">
        <v>46689</v>
      </c>
      <c r="T4155" t="s">
        <v>48314</v>
      </c>
      <c r="U4155" t="s">
        <v>52200</v>
      </c>
      <c r="V4155" t="s">
        <v>62048</v>
      </c>
      <c r="W4155" t="s">
        <v>44166</v>
      </c>
      <c r="X4155" t="s">
        <v>46573</v>
      </c>
    </row>
    <row r="4156" spans="1:24">
      <c r="A4156">
        <f>HYPERLINK("https://www.philgeps.gov.ph/GEPSNONPILOT/Tender/SplashBidNoticeAbstractUI.aspx?menuIndex=3&amp;refID=7063789&amp;Result=3","7063789")</f>
        <v>0</v>
      </c>
      <c r="B4156" t="s">
        <v>1444</v>
      </c>
      <c r="C4156" t="s">
        <v>7527</v>
      </c>
      <c r="D4156" t="s">
        <v>18846</v>
      </c>
      <c r="E4156" t="s">
        <v>22633</v>
      </c>
      <c r="F4156" t="s">
        <v>32664</v>
      </c>
      <c r="G4156" t="s">
        <v>32671</v>
      </c>
      <c r="H4156" t="s">
        <v>12635</v>
      </c>
      <c r="I4156" t="s">
        <v>13883</v>
      </c>
      <c r="J4156" t="s">
        <v>35544</v>
      </c>
      <c r="K4156" t="s">
        <v>42281</v>
      </c>
      <c r="M4156" t="s">
        <v>44105</v>
      </c>
      <c r="N4156" t="s">
        <v>46569</v>
      </c>
      <c r="O4156" t="s">
        <v>46570</v>
      </c>
      <c r="P4156">
        <v>0</v>
      </c>
      <c r="Q4156">
        <v>1</v>
      </c>
      <c r="R4156" t="s">
        <v>46572</v>
      </c>
      <c r="S4156" t="s">
        <v>46689</v>
      </c>
      <c r="T4156" t="s">
        <v>48221</v>
      </c>
      <c r="U4156" t="s">
        <v>52201</v>
      </c>
      <c r="W4156" t="s">
        <v>44105</v>
      </c>
      <c r="X4156" t="s">
        <v>46573</v>
      </c>
    </row>
    <row r="4157" spans="1:24">
      <c r="A4157">
        <f>HYPERLINK("https://www.philgeps.gov.ph/GEPSNONPILOT/Tender/SplashBidNoticeAbstractUI.aspx?menuIndex=3&amp;refID=7063831&amp;Result=3","7063831")</f>
        <v>0</v>
      </c>
      <c r="B4157" t="s">
        <v>1267</v>
      </c>
      <c r="C4157" t="s">
        <v>7528</v>
      </c>
      <c r="D4157" t="s">
        <v>18841</v>
      </c>
      <c r="E4157" t="s">
        <v>22634</v>
      </c>
      <c r="F4157" t="s">
        <v>32664</v>
      </c>
      <c r="G4157" t="s">
        <v>32674</v>
      </c>
      <c r="H4157" t="s">
        <v>12635</v>
      </c>
      <c r="I4157" t="s">
        <v>6628</v>
      </c>
      <c r="J4157" t="s">
        <v>33334</v>
      </c>
      <c r="K4157" t="s">
        <v>42284</v>
      </c>
      <c r="M4157" t="s">
        <v>43910</v>
      </c>
      <c r="N4157" t="s">
        <v>46569</v>
      </c>
      <c r="O4157" t="s">
        <v>46570</v>
      </c>
      <c r="P4157">
        <v>0</v>
      </c>
      <c r="Q4157">
        <v>2</v>
      </c>
      <c r="R4157" t="s">
        <v>46572</v>
      </c>
      <c r="S4157" t="s">
        <v>46689</v>
      </c>
      <c r="T4157" t="s">
        <v>48228</v>
      </c>
      <c r="U4157" t="s">
        <v>52202</v>
      </c>
      <c r="V4157" t="s">
        <v>61947</v>
      </c>
      <c r="W4157" t="s">
        <v>43910</v>
      </c>
      <c r="X4157" t="s">
        <v>46573</v>
      </c>
    </row>
    <row r="4158" spans="1:24">
      <c r="A4158">
        <f>HYPERLINK("https://www.philgeps.gov.ph/GEPSNONPILOT/Tender/SplashBidNoticeAbstractUI.aspx?menuIndex=3&amp;refID=7063786&amp;Result=3","7063786")</f>
        <v>0</v>
      </c>
      <c r="B4158" t="s">
        <v>1180</v>
      </c>
      <c r="C4158" t="s">
        <v>7529</v>
      </c>
      <c r="D4158" t="s">
        <v>18830</v>
      </c>
      <c r="E4158" t="s">
        <v>22635</v>
      </c>
      <c r="F4158" t="s">
        <v>32664</v>
      </c>
      <c r="G4158" t="s">
        <v>32671</v>
      </c>
      <c r="H4158" t="s">
        <v>12635</v>
      </c>
      <c r="I4158" t="s">
        <v>10370</v>
      </c>
      <c r="J4158" t="s">
        <v>35545</v>
      </c>
      <c r="K4158" t="s">
        <v>42281</v>
      </c>
      <c r="M4158" t="s">
        <v>43815</v>
      </c>
      <c r="N4158" t="s">
        <v>46569</v>
      </c>
      <c r="O4158" t="s">
        <v>46570</v>
      </c>
      <c r="P4158">
        <v>0</v>
      </c>
      <c r="Q4158">
        <v>2</v>
      </c>
      <c r="R4158" t="s">
        <v>46572</v>
      </c>
      <c r="S4158" t="s">
        <v>46689</v>
      </c>
      <c r="T4158" t="s">
        <v>48217</v>
      </c>
      <c r="U4158" t="s">
        <v>51280</v>
      </c>
      <c r="V4158" t="s">
        <v>62049</v>
      </c>
      <c r="W4158" t="s">
        <v>43815</v>
      </c>
      <c r="X4158" t="s">
        <v>46573</v>
      </c>
    </row>
    <row r="4159" spans="1:24">
      <c r="A4159">
        <f>HYPERLINK("https://www.philgeps.gov.ph/GEPSNONPILOT/Tender/SplashBidNoticeAbstractUI.aspx?menuIndex=3&amp;refID=7063832&amp;Result=3","7063832")</f>
        <v>0</v>
      </c>
      <c r="B4159" t="s">
        <v>1380</v>
      </c>
      <c r="C4159" t="s">
        <v>7530</v>
      </c>
      <c r="D4159" t="s">
        <v>18809</v>
      </c>
      <c r="E4159" t="s">
        <v>22636</v>
      </c>
      <c r="F4159" t="s">
        <v>32664</v>
      </c>
      <c r="G4159" t="s">
        <v>32671</v>
      </c>
      <c r="H4159" t="s">
        <v>12635</v>
      </c>
      <c r="I4159" t="s">
        <v>32706</v>
      </c>
      <c r="J4159" t="s">
        <v>32836</v>
      </c>
      <c r="K4159" t="s">
        <v>42297</v>
      </c>
      <c r="L4159" t="s">
        <v>1380</v>
      </c>
      <c r="M4159" t="s">
        <v>44035</v>
      </c>
      <c r="N4159" t="s">
        <v>46569</v>
      </c>
      <c r="O4159" t="s">
        <v>46570</v>
      </c>
      <c r="P4159">
        <v>0</v>
      </c>
      <c r="Q4159">
        <v>0</v>
      </c>
      <c r="R4159" t="s">
        <v>46572</v>
      </c>
      <c r="S4159" t="s">
        <v>46689</v>
      </c>
      <c r="T4159" t="s">
        <v>48217</v>
      </c>
      <c r="U4159" t="s">
        <v>51884</v>
      </c>
      <c r="V4159" t="s">
        <v>62025</v>
      </c>
      <c r="W4159" t="s">
        <v>44035</v>
      </c>
      <c r="X4159" t="s">
        <v>46573</v>
      </c>
    </row>
    <row r="4160" spans="1:24">
      <c r="A4160">
        <f>HYPERLINK("https://www.philgeps.gov.ph/GEPSNONPILOT/Tender/SplashBidNoticeAbstractUI.aspx?menuIndex=3&amp;refID=7063824&amp;Result=3","7063824")</f>
        <v>0</v>
      </c>
      <c r="B4160" t="s">
        <v>629</v>
      </c>
      <c r="C4160" t="s">
        <v>7531</v>
      </c>
      <c r="D4160" t="s">
        <v>18807</v>
      </c>
      <c r="E4160" t="s">
        <v>22637</v>
      </c>
      <c r="F4160" t="s">
        <v>32664</v>
      </c>
      <c r="G4160" t="s">
        <v>32674</v>
      </c>
      <c r="H4160" t="s">
        <v>12635</v>
      </c>
      <c r="I4160" t="s">
        <v>8849</v>
      </c>
      <c r="J4160" t="s">
        <v>35546</v>
      </c>
      <c r="K4160" t="s">
        <v>42283</v>
      </c>
      <c r="M4160" t="s">
        <v>43224</v>
      </c>
      <c r="N4160" t="s">
        <v>46569</v>
      </c>
      <c r="O4160" t="s">
        <v>46570</v>
      </c>
      <c r="P4160">
        <v>0</v>
      </c>
      <c r="Q4160">
        <v>1</v>
      </c>
      <c r="R4160" t="s">
        <v>46572</v>
      </c>
      <c r="S4160" t="s">
        <v>46689</v>
      </c>
      <c r="T4160" t="s">
        <v>48256</v>
      </c>
      <c r="U4160" t="s">
        <v>52203</v>
      </c>
      <c r="W4160" t="s">
        <v>43224</v>
      </c>
      <c r="X4160" t="s">
        <v>46573</v>
      </c>
    </row>
    <row r="4161" spans="1:24">
      <c r="A4161">
        <f>HYPERLINK("https://www.philgeps.gov.ph/GEPSNONPILOT/Tender/SplashBidNoticeAbstractUI.aspx?menuIndex=3&amp;refID=7063828&amp;Result=3","7063828")</f>
        <v>0</v>
      </c>
      <c r="B4161" t="s">
        <v>1516</v>
      </c>
      <c r="C4161" t="s">
        <v>7532</v>
      </c>
      <c r="D4161" t="s">
        <v>18837</v>
      </c>
      <c r="E4161" t="s">
        <v>22638</v>
      </c>
      <c r="F4161" t="s">
        <v>32664</v>
      </c>
      <c r="G4161" t="s">
        <v>32672</v>
      </c>
      <c r="H4161" t="s">
        <v>32683</v>
      </c>
      <c r="I4161" t="s">
        <v>10627</v>
      </c>
      <c r="J4161" t="s">
        <v>35547</v>
      </c>
      <c r="K4161" t="s">
        <v>42311</v>
      </c>
      <c r="M4161" t="s">
        <v>44183</v>
      </c>
      <c r="N4161" t="s">
        <v>46569</v>
      </c>
      <c r="O4161" t="s">
        <v>46570</v>
      </c>
      <c r="P4161">
        <v>0</v>
      </c>
      <c r="Q4161">
        <v>1</v>
      </c>
      <c r="R4161" t="s">
        <v>46572</v>
      </c>
      <c r="S4161" t="s">
        <v>46689</v>
      </c>
      <c r="T4161" t="s">
        <v>48503</v>
      </c>
      <c r="U4161" t="s">
        <v>52204</v>
      </c>
      <c r="W4161" t="s">
        <v>44183</v>
      </c>
      <c r="X4161" t="s">
        <v>46573</v>
      </c>
    </row>
    <row r="4162" spans="1:24">
      <c r="A4162">
        <f>HYPERLINK("https://www.philgeps.gov.ph/GEPSNONPILOT/Tender/SplashBidNoticeAbstractUI.aspx?menuIndex=3&amp;refID=7063804&amp;Result=3","7063804")</f>
        <v>0</v>
      </c>
      <c r="B4162" t="s">
        <v>1517</v>
      </c>
      <c r="C4162" t="s">
        <v>7533</v>
      </c>
      <c r="D4162" t="s">
        <v>18816</v>
      </c>
      <c r="E4162" t="s">
        <v>22639</v>
      </c>
      <c r="F4162" t="s">
        <v>32664</v>
      </c>
      <c r="G4162" t="s">
        <v>32671</v>
      </c>
      <c r="H4162" t="s">
        <v>12635</v>
      </c>
      <c r="I4162" t="s">
        <v>32723</v>
      </c>
      <c r="J4162" t="s">
        <v>34210</v>
      </c>
      <c r="K4162" t="s">
        <v>42281</v>
      </c>
      <c r="M4162" t="s">
        <v>44184</v>
      </c>
      <c r="N4162" t="s">
        <v>46569</v>
      </c>
      <c r="O4162" t="s">
        <v>46570</v>
      </c>
      <c r="P4162">
        <v>0</v>
      </c>
      <c r="Q4162">
        <v>1</v>
      </c>
      <c r="R4162" t="s">
        <v>46572</v>
      </c>
      <c r="S4162" t="s">
        <v>46689</v>
      </c>
      <c r="T4162" t="s">
        <v>48344</v>
      </c>
      <c r="U4162" t="s">
        <v>52205</v>
      </c>
      <c r="W4162" t="s">
        <v>44184</v>
      </c>
      <c r="X4162" t="s">
        <v>46573</v>
      </c>
    </row>
    <row r="4163" spans="1:24">
      <c r="A4163">
        <f>HYPERLINK("https://www.philgeps.gov.ph/GEPSNONPILOT/Tender/SplashBidNoticeAbstractUI.aspx?menuIndex=3&amp;refID=7063826&amp;Result=3","7063826")</f>
        <v>0</v>
      </c>
      <c r="B4163" t="s">
        <v>1502</v>
      </c>
      <c r="C4163" t="s">
        <v>3701</v>
      </c>
      <c r="D4163" t="s">
        <v>18829</v>
      </c>
      <c r="E4163" t="s">
        <v>22640</v>
      </c>
      <c r="F4163" t="s">
        <v>32664</v>
      </c>
      <c r="G4163" t="s">
        <v>32674</v>
      </c>
      <c r="H4163" t="s">
        <v>12635</v>
      </c>
      <c r="I4163" t="s">
        <v>32686</v>
      </c>
      <c r="J4163" t="s">
        <v>32898</v>
      </c>
      <c r="K4163" t="s">
        <v>42283</v>
      </c>
      <c r="M4163" t="s">
        <v>44166</v>
      </c>
      <c r="N4163" t="s">
        <v>46569</v>
      </c>
      <c r="O4163" t="s">
        <v>46570</v>
      </c>
      <c r="P4163">
        <v>0</v>
      </c>
      <c r="Q4163">
        <v>3</v>
      </c>
      <c r="R4163" t="s">
        <v>46572</v>
      </c>
      <c r="S4163" t="s">
        <v>46689</v>
      </c>
      <c r="T4163" t="s">
        <v>48314</v>
      </c>
      <c r="U4163" t="s">
        <v>52206</v>
      </c>
      <c r="V4163" t="s">
        <v>62050</v>
      </c>
      <c r="W4163" t="s">
        <v>44166</v>
      </c>
      <c r="X4163" t="s">
        <v>46573</v>
      </c>
    </row>
    <row r="4164" spans="1:24">
      <c r="A4164">
        <f>HYPERLINK("https://www.philgeps.gov.ph/GEPSNONPILOT/Tender/SplashBidNoticeAbstractUI.aspx?menuIndex=3&amp;refID=7063823&amp;Result=3","7063823")</f>
        <v>0</v>
      </c>
      <c r="B4164" t="s">
        <v>1468</v>
      </c>
      <c r="C4164" t="s">
        <v>7534</v>
      </c>
      <c r="D4164" t="s">
        <v>18806</v>
      </c>
      <c r="E4164" t="s">
        <v>22641</v>
      </c>
      <c r="F4164" t="s">
        <v>32664</v>
      </c>
      <c r="G4164" t="s">
        <v>32672</v>
      </c>
      <c r="H4164" t="s">
        <v>32683</v>
      </c>
      <c r="I4164" t="s">
        <v>10627</v>
      </c>
      <c r="J4164" t="s">
        <v>33051</v>
      </c>
      <c r="K4164" t="s">
        <v>42285</v>
      </c>
      <c r="M4164" t="s">
        <v>44130</v>
      </c>
      <c r="N4164" t="s">
        <v>46569</v>
      </c>
      <c r="O4164" t="s">
        <v>46570</v>
      </c>
      <c r="P4164">
        <v>0</v>
      </c>
      <c r="Q4164">
        <v>0</v>
      </c>
      <c r="R4164" t="s">
        <v>46572</v>
      </c>
      <c r="S4164" t="s">
        <v>46689</v>
      </c>
      <c r="T4164" t="s">
        <v>48504</v>
      </c>
      <c r="U4164" t="s">
        <v>52207</v>
      </c>
      <c r="V4164" t="s">
        <v>62035</v>
      </c>
      <c r="W4164" t="s">
        <v>44130</v>
      </c>
      <c r="X4164" t="s">
        <v>46573</v>
      </c>
    </row>
    <row r="4165" spans="1:24">
      <c r="A4165">
        <f>HYPERLINK("https://www.philgeps.gov.ph/GEPSNONPILOT/Tender/SplashBidNoticeAbstractUI.aspx?menuIndex=3&amp;refID=7063819&amp;Result=3","7063819")</f>
        <v>0</v>
      </c>
      <c r="B4165" t="s">
        <v>1247</v>
      </c>
      <c r="C4165" t="s">
        <v>7535</v>
      </c>
      <c r="D4165" t="s">
        <v>18802</v>
      </c>
      <c r="E4165" t="s">
        <v>22642</v>
      </c>
      <c r="F4165" t="s">
        <v>32664</v>
      </c>
      <c r="G4165" t="s">
        <v>32671</v>
      </c>
      <c r="H4165" t="s">
        <v>12635</v>
      </c>
      <c r="I4165" t="s">
        <v>4439</v>
      </c>
      <c r="J4165" t="s">
        <v>35548</v>
      </c>
      <c r="K4165" t="s">
        <v>42297</v>
      </c>
      <c r="M4165" t="s">
        <v>43889</v>
      </c>
      <c r="N4165" t="s">
        <v>46569</v>
      </c>
      <c r="O4165" t="s">
        <v>46570</v>
      </c>
      <c r="P4165">
        <v>0</v>
      </c>
      <c r="Q4165">
        <v>0</v>
      </c>
      <c r="R4165" t="s">
        <v>46572</v>
      </c>
      <c r="S4165" t="s">
        <v>46689</v>
      </c>
      <c r="T4165" t="s">
        <v>48219</v>
      </c>
      <c r="U4165" t="s">
        <v>51438</v>
      </c>
      <c r="W4165" t="s">
        <v>43889</v>
      </c>
      <c r="X4165" t="s">
        <v>46573</v>
      </c>
    </row>
    <row r="4166" spans="1:24">
      <c r="A4166">
        <f>HYPERLINK("https://www.philgeps.gov.ph/GEPSNONPILOT/Tender/SplashBidNoticeAbstractUI.aspx?menuIndex=3&amp;refID=7063816&amp;Result=3","7063816")</f>
        <v>0</v>
      </c>
      <c r="B4166" t="s">
        <v>1381</v>
      </c>
      <c r="C4166" t="s">
        <v>7536</v>
      </c>
      <c r="D4166" t="s">
        <v>18804</v>
      </c>
      <c r="E4166" t="s">
        <v>22643</v>
      </c>
      <c r="F4166" t="s">
        <v>32664</v>
      </c>
      <c r="G4166" t="s">
        <v>32671</v>
      </c>
      <c r="H4166" t="s">
        <v>12635</v>
      </c>
      <c r="I4166" t="s">
        <v>32704</v>
      </c>
      <c r="J4166" t="s">
        <v>33696</v>
      </c>
      <c r="K4166" t="s">
        <v>42289</v>
      </c>
      <c r="M4166" t="s">
        <v>44036</v>
      </c>
      <c r="N4166" t="s">
        <v>46569</v>
      </c>
      <c r="O4166" t="s">
        <v>46570</v>
      </c>
      <c r="P4166">
        <v>0</v>
      </c>
      <c r="Q4166">
        <v>9</v>
      </c>
      <c r="R4166" t="s">
        <v>46572</v>
      </c>
      <c r="S4166" t="s">
        <v>46689</v>
      </c>
      <c r="T4166" t="s">
        <v>48217</v>
      </c>
      <c r="U4166" t="s">
        <v>51827</v>
      </c>
      <c r="V4166" t="s">
        <v>61990</v>
      </c>
      <c r="W4166" t="s">
        <v>44036</v>
      </c>
      <c r="X4166" t="s">
        <v>46573</v>
      </c>
    </row>
    <row r="4167" spans="1:24">
      <c r="A4167">
        <f>HYPERLINK("https://www.philgeps.gov.ph/GEPSNONPILOT/Tender/SplashBidNoticeAbstractUI.aspx?menuIndex=3&amp;refID=7063827&amp;Result=3","7063827")</f>
        <v>0</v>
      </c>
      <c r="B4167" t="s">
        <v>817</v>
      </c>
      <c r="C4167" t="s">
        <v>7537</v>
      </c>
      <c r="E4167" t="s">
        <v>22644</v>
      </c>
      <c r="F4167" t="s">
        <v>32664</v>
      </c>
      <c r="G4167" t="s">
        <v>32671</v>
      </c>
      <c r="H4167" t="s">
        <v>12635</v>
      </c>
      <c r="I4167" t="s">
        <v>11464</v>
      </c>
      <c r="J4167" t="s">
        <v>35549</v>
      </c>
      <c r="K4167" t="s">
        <v>42283</v>
      </c>
      <c r="M4167" t="s">
        <v>43412</v>
      </c>
      <c r="N4167" t="s">
        <v>46569</v>
      </c>
      <c r="O4167" t="s">
        <v>46570</v>
      </c>
      <c r="P4167">
        <v>0</v>
      </c>
      <c r="Q4167">
        <v>0</v>
      </c>
      <c r="R4167" t="s">
        <v>46572</v>
      </c>
      <c r="S4167" t="s">
        <v>46689</v>
      </c>
      <c r="T4167" t="s">
        <v>48244</v>
      </c>
      <c r="U4167" t="s">
        <v>50349</v>
      </c>
      <c r="W4167" t="s">
        <v>43412</v>
      </c>
      <c r="X4167" t="s">
        <v>46573</v>
      </c>
    </row>
    <row r="4168" spans="1:24">
      <c r="A4168">
        <f>HYPERLINK("https://www.philgeps.gov.ph/GEPSNONPILOT/Tender/SplashBidNoticeAbstractUI.aspx?menuIndex=3&amp;refID=7063815&amp;Result=3","7063815")</f>
        <v>0</v>
      </c>
      <c r="B4168" t="s">
        <v>1518</v>
      </c>
      <c r="C4168" t="s">
        <v>7538</v>
      </c>
      <c r="D4168" t="s">
        <v>18824</v>
      </c>
      <c r="E4168" t="s">
        <v>19152</v>
      </c>
      <c r="F4168" t="s">
        <v>32664</v>
      </c>
      <c r="G4168" t="s">
        <v>32672</v>
      </c>
      <c r="H4168" t="s">
        <v>12635</v>
      </c>
      <c r="I4168" t="s">
        <v>4439</v>
      </c>
      <c r="J4168" t="s">
        <v>35550</v>
      </c>
      <c r="K4168" t="s">
        <v>42297</v>
      </c>
      <c r="M4168" t="s">
        <v>44185</v>
      </c>
      <c r="N4168" t="s">
        <v>46569</v>
      </c>
      <c r="O4168" t="s">
        <v>46570</v>
      </c>
      <c r="P4168">
        <v>0</v>
      </c>
      <c r="Q4168">
        <v>0</v>
      </c>
      <c r="R4168" t="s">
        <v>46572</v>
      </c>
      <c r="S4168" t="s">
        <v>46689</v>
      </c>
      <c r="T4168" t="s">
        <v>48225</v>
      </c>
      <c r="U4168" t="s">
        <v>52208</v>
      </c>
      <c r="W4168" t="s">
        <v>44185</v>
      </c>
      <c r="X4168" t="s">
        <v>46573</v>
      </c>
    </row>
    <row r="4169" spans="1:24">
      <c r="A4169">
        <f>HYPERLINK("https://www.philgeps.gov.ph/GEPSNONPILOT/Tender/SplashBidNoticeAbstractUI.aspx?menuIndex=3&amp;refID=7063820&amp;Result=3","7063820")</f>
        <v>0</v>
      </c>
      <c r="B4169" t="s">
        <v>495</v>
      </c>
      <c r="C4169" t="s">
        <v>7539</v>
      </c>
      <c r="D4169" t="s">
        <v>18791</v>
      </c>
      <c r="E4169" t="s">
        <v>22645</v>
      </c>
      <c r="F4169" t="s">
        <v>32664</v>
      </c>
      <c r="G4169" t="s">
        <v>32671</v>
      </c>
      <c r="H4169" t="s">
        <v>12635</v>
      </c>
      <c r="I4169" t="s">
        <v>13883</v>
      </c>
      <c r="J4169" t="s">
        <v>33218</v>
      </c>
      <c r="K4169" t="s">
        <v>42289</v>
      </c>
      <c r="M4169" t="s">
        <v>43071</v>
      </c>
      <c r="N4169" t="s">
        <v>46569</v>
      </c>
      <c r="O4169" t="s">
        <v>46570</v>
      </c>
      <c r="P4169">
        <v>0</v>
      </c>
      <c r="Q4169">
        <v>5</v>
      </c>
      <c r="R4169" t="s">
        <v>46572</v>
      </c>
      <c r="S4169" t="s">
        <v>46689</v>
      </c>
      <c r="T4169" t="s">
        <v>48282</v>
      </c>
      <c r="U4169" t="s">
        <v>52209</v>
      </c>
      <c r="W4169" t="s">
        <v>43071</v>
      </c>
      <c r="X4169" t="s">
        <v>46573</v>
      </c>
    </row>
    <row r="4170" spans="1:24">
      <c r="A4170">
        <f>HYPERLINK("https://www.philgeps.gov.ph/GEPSNONPILOT/Tender/SplashBidNoticeAbstractUI.aspx?menuIndex=3&amp;refID=7063853&amp;Result=3","7063853")</f>
        <v>0</v>
      </c>
      <c r="B4170" t="s">
        <v>1519</v>
      </c>
      <c r="C4170" t="s">
        <v>7540</v>
      </c>
      <c r="D4170" t="s">
        <v>18806</v>
      </c>
      <c r="E4170" t="s">
        <v>22646</v>
      </c>
      <c r="F4170" t="s">
        <v>32664</v>
      </c>
      <c r="G4170" t="s">
        <v>32672</v>
      </c>
      <c r="H4170" t="s">
        <v>12635</v>
      </c>
      <c r="I4170" t="s">
        <v>11464</v>
      </c>
      <c r="J4170" t="s">
        <v>35551</v>
      </c>
      <c r="K4170" t="s">
        <v>42311</v>
      </c>
      <c r="M4170" t="s">
        <v>44186</v>
      </c>
      <c r="N4170" t="s">
        <v>46569</v>
      </c>
      <c r="O4170" t="s">
        <v>46570</v>
      </c>
      <c r="P4170">
        <v>0</v>
      </c>
      <c r="Q4170">
        <v>4</v>
      </c>
      <c r="R4170" t="s">
        <v>46572</v>
      </c>
      <c r="S4170" t="s">
        <v>46689</v>
      </c>
      <c r="T4170" t="s">
        <v>48392</v>
      </c>
      <c r="U4170" t="s">
        <v>52210</v>
      </c>
      <c r="W4170" t="s">
        <v>44186</v>
      </c>
      <c r="X4170" t="s">
        <v>46573</v>
      </c>
    </row>
    <row r="4171" spans="1:24">
      <c r="A4171">
        <f>HYPERLINK("https://www.philgeps.gov.ph/GEPSNONPILOT/Tender/SplashBidNoticeAbstractUI.aspx?menuIndex=3&amp;refID=7063829&amp;Result=3","7063829")</f>
        <v>0</v>
      </c>
      <c r="B4171" t="s">
        <v>1520</v>
      </c>
      <c r="C4171" t="s">
        <v>7541</v>
      </c>
      <c r="D4171" t="s">
        <v>18805</v>
      </c>
      <c r="E4171" t="s">
        <v>22647</v>
      </c>
      <c r="F4171" t="s">
        <v>32664</v>
      </c>
      <c r="G4171" t="s">
        <v>32671</v>
      </c>
      <c r="H4171" t="s">
        <v>12635</v>
      </c>
      <c r="I4171" t="s">
        <v>32712</v>
      </c>
      <c r="J4171" t="s">
        <v>33093</v>
      </c>
      <c r="K4171" t="s">
        <v>42297</v>
      </c>
      <c r="M4171" t="s">
        <v>44187</v>
      </c>
      <c r="N4171" t="s">
        <v>46569</v>
      </c>
      <c r="O4171" t="s">
        <v>46570</v>
      </c>
      <c r="P4171">
        <v>0</v>
      </c>
      <c r="Q4171">
        <v>6</v>
      </c>
      <c r="R4171" t="s">
        <v>46572</v>
      </c>
      <c r="S4171" t="s">
        <v>46689</v>
      </c>
      <c r="T4171" t="s">
        <v>48244</v>
      </c>
      <c r="U4171" t="s">
        <v>52211</v>
      </c>
      <c r="W4171" t="s">
        <v>63519</v>
      </c>
      <c r="X4171" t="s">
        <v>46573</v>
      </c>
    </row>
    <row r="4172" spans="1:24">
      <c r="A4172">
        <f>HYPERLINK("https://www.philgeps.gov.ph/GEPSNONPILOT/Tender/SplashBidNoticeAbstractUI.aspx?menuIndex=3&amp;refID=7063817&amp;Result=3","7063817")</f>
        <v>0</v>
      </c>
      <c r="B4172" t="s">
        <v>791</v>
      </c>
      <c r="C4172" t="s">
        <v>7542</v>
      </c>
      <c r="D4172" t="s">
        <v>18785</v>
      </c>
      <c r="E4172" t="s">
        <v>22648</v>
      </c>
      <c r="F4172" t="s">
        <v>32664</v>
      </c>
      <c r="G4172" t="s">
        <v>32672</v>
      </c>
      <c r="H4172" t="s">
        <v>32683</v>
      </c>
      <c r="I4172" t="s">
        <v>10627</v>
      </c>
      <c r="J4172" t="s">
        <v>33946</v>
      </c>
      <c r="K4172" t="s">
        <v>42349</v>
      </c>
      <c r="M4172" t="s">
        <v>43383</v>
      </c>
      <c r="N4172" t="s">
        <v>46569</v>
      </c>
      <c r="O4172" t="s">
        <v>46570</v>
      </c>
      <c r="P4172">
        <v>0</v>
      </c>
      <c r="Q4172">
        <v>16</v>
      </c>
      <c r="R4172" t="s">
        <v>46572</v>
      </c>
      <c r="S4172" t="s">
        <v>46689</v>
      </c>
      <c r="T4172" t="s">
        <v>48253</v>
      </c>
      <c r="U4172" t="s">
        <v>52212</v>
      </c>
      <c r="W4172" t="s">
        <v>43383</v>
      </c>
      <c r="X4172" t="s">
        <v>46573</v>
      </c>
    </row>
    <row r="4173" spans="1:24">
      <c r="A4173">
        <f>HYPERLINK("https://www.philgeps.gov.ph/GEPSNONPILOT/Tender/SplashBidNoticeAbstractUI.aspx?menuIndex=3&amp;refID=7063825&amp;Result=3","7063825")</f>
        <v>0</v>
      </c>
      <c r="B4173" t="s">
        <v>295</v>
      </c>
      <c r="C4173" t="s">
        <v>7543</v>
      </c>
      <c r="D4173" t="s">
        <v>18848</v>
      </c>
      <c r="E4173" t="s">
        <v>22649</v>
      </c>
      <c r="F4173" t="s">
        <v>32664</v>
      </c>
      <c r="G4173" t="s">
        <v>32672</v>
      </c>
      <c r="H4173" t="s">
        <v>12635</v>
      </c>
      <c r="I4173" t="s">
        <v>32699</v>
      </c>
      <c r="J4173" t="s">
        <v>34182</v>
      </c>
      <c r="K4173" t="s">
        <v>42297</v>
      </c>
      <c r="M4173" t="s">
        <v>42862</v>
      </c>
      <c r="N4173" t="s">
        <v>46569</v>
      </c>
      <c r="O4173" t="s">
        <v>46570</v>
      </c>
      <c r="P4173">
        <v>0</v>
      </c>
      <c r="Q4173">
        <v>0</v>
      </c>
      <c r="R4173" t="s">
        <v>46572</v>
      </c>
      <c r="S4173" t="s">
        <v>46689</v>
      </c>
      <c r="T4173" t="s">
        <v>48322</v>
      </c>
      <c r="U4173" t="s">
        <v>52213</v>
      </c>
      <c r="W4173" t="s">
        <v>42862</v>
      </c>
      <c r="X4173" t="s">
        <v>46573</v>
      </c>
    </row>
    <row r="4174" spans="1:24">
      <c r="A4174">
        <f>HYPERLINK("https://www.philgeps.gov.ph/GEPSNONPILOT/Tender/SplashBidNoticeAbstractUI.aspx?menuIndex=3&amp;refID=7063856&amp;Result=3","7063856")</f>
        <v>0</v>
      </c>
      <c r="B4174" t="s">
        <v>617</v>
      </c>
      <c r="C4174" t="s">
        <v>7544</v>
      </c>
      <c r="D4174" t="s">
        <v>18784</v>
      </c>
      <c r="E4174" t="s">
        <v>22650</v>
      </c>
      <c r="F4174" t="s">
        <v>32664</v>
      </c>
      <c r="G4174" t="s">
        <v>32674</v>
      </c>
      <c r="H4174" t="s">
        <v>12635</v>
      </c>
      <c r="I4174" t="s">
        <v>5589</v>
      </c>
      <c r="J4174" t="s">
        <v>33051</v>
      </c>
      <c r="K4174" t="s">
        <v>42289</v>
      </c>
      <c r="M4174" t="s">
        <v>43197</v>
      </c>
      <c r="N4174" t="s">
        <v>46569</v>
      </c>
      <c r="O4174" t="s">
        <v>46570</v>
      </c>
      <c r="P4174">
        <v>0</v>
      </c>
      <c r="Q4174">
        <v>7</v>
      </c>
      <c r="R4174" t="s">
        <v>46572</v>
      </c>
      <c r="S4174" t="s">
        <v>46689</v>
      </c>
      <c r="T4174" t="s">
        <v>48376</v>
      </c>
      <c r="U4174" t="s">
        <v>52214</v>
      </c>
      <c r="W4174" t="s">
        <v>43197</v>
      </c>
      <c r="X4174" t="s">
        <v>46573</v>
      </c>
    </row>
    <row r="4175" spans="1:24">
      <c r="A4175">
        <f>HYPERLINK("https://www.philgeps.gov.ph/GEPSNONPILOT/Tender/SplashBidNoticeAbstractUI.aspx?menuIndex=3&amp;refID=7063818&amp;Result=3","7063818")</f>
        <v>0</v>
      </c>
      <c r="B4175" t="s">
        <v>1503</v>
      </c>
      <c r="C4175" t="s">
        <v>5471</v>
      </c>
      <c r="D4175" t="s">
        <v>18784</v>
      </c>
      <c r="E4175" t="s">
        <v>22651</v>
      </c>
      <c r="F4175" t="s">
        <v>32664</v>
      </c>
      <c r="G4175" t="s">
        <v>32671</v>
      </c>
      <c r="H4175" t="s">
        <v>12635</v>
      </c>
      <c r="I4175" t="s">
        <v>6628</v>
      </c>
      <c r="J4175" t="s">
        <v>35552</v>
      </c>
      <c r="K4175" t="s">
        <v>42284</v>
      </c>
      <c r="M4175" t="s">
        <v>44167</v>
      </c>
      <c r="N4175" t="s">
        <v>46569</v>
      </c>
      <c r="O4175" t="s">
        <v>46570</v>
      </c>
      <c r="P4175">
        <v>0</v>
      </c>
      <c r="Q4175">
        <v>8</v>
      </c>
      <c r="R4175" t="s">
        <v>46572</v>
      </c>
      <c r="S4175" t="s">
        <v>46689</v>
      </c>
      <c r="T4175" t="s">
        <v>48331</v>
      </c>
      <c r="U4175" t="s">
        <v>52164</v>
      </c>
      <c r="W4175" t="s">
        <v>44167</v>
      </c>
      <c r="X4175" t="s">
        <v>46573</v>
      </c>
    </row>
    <row r="4176" spans="1:24">
      <c r="A4176">
        <f>HYPERLINK("https://www.philgeps.gov.ph/GEPSNONPILOT/Tender/SplashBidNoticeAbstractUI.aspx?menuIndex=3&amp;refID=7063850&amp;Result=3","7063850")</f>
        <v>0</v>
      </c>
      <c r="B4176" t="s">
        <v>1521</v>
      </c>
      <c r="C4176" t="s">
        <v>7545</v>
      </c>
      <c r="D4176" t="s">
        <v>18827</v>
      </c>
      <c r="E4176" t="s">
        <v>21669</v>
      </c>
      <c r="F4176" t="s">
        <v>32664</v>
      </c>
      <c r="G4176" t="s">
        <v>32672</v>
      </c>
      <c r="H4176" t="s">
        <v>12635</v>
      </c>
      <c r="I4176" t="s">
        <v>9486</v>
      </c>
      <c r="J4176" t="s">
        <v>32853</v>
      </c>
      <c r="K4176" t="s">
        <v>42309</v>
      </c>
      <c r="M4176" t="s">
        <v>44188</v>
      </c>
      <c r="N4176" t="s">
        <v>46569</v>
      </c>
      <c r="O4176" t="s">
        <v>46570</v>
      </c>
      <c r="P4176">
        <v>0</v>
      </c>
      <c r="Q4176">
        <v>0</v>
      </c>
      <c r="R4176" t="s">
        <v>46572</v>
      </c>
      <c r="S4176" t="s">
        <v>46689</v>
      </c>
      <c r="T4176" t="s">
        <v>48297</v>
      </c>
      <c r="U4176" t="s">
        <v>52215</v>
      </c>
      <c r="W4176" t="s">
        <v>44188</v>
      </c>
      <c r="X4176" t="s">
        <v>46573</v>
      </c>
    </row>
    <row r="4177" spans="1:24">
      <c r="A4177">
        <f>HYPERLINK("https://www.philgeps.gov.ph/GEPSNONPILOT/Tender/SplashBidNoticeAbstractUI.aspx?menuIndex=3&amp;refID=7063857&amp;Result=3","7063857")</f>
        <v>0</v>
      </c>
      <c r="B4177" t="s">
        <v>225</v>
      </c>
      <c r="C4177" t="s">
        <v>7546</v>
      </c>
      <c r="D4177" t="s">
        <v>18784</v>
      </c>
      <c r="E4177" t="s">
        <v>22652</v>
      </c>
      <c r="F4177" t="s">
        <v>32664</v>
      </c>
      <c r="G4177" t="s">
        <v>32671</v>
      </c>
      <c r="H4177" t="s">
        <v>32681</v>
      </c>
      <c r="I4177" t="s">
        <v>32681</v>
      </c>
      <c r="J4177" t="s">
        <v>35553</v>
      </c>
      <c r="K4177" t="s">
        <v>42298</v>
      </c>
      <c r="M4177" t="s">
        <v>43870</v>
      </c>
      <c r="N4177" t="s">
        <v>46569</v>
      </c>
      <c r="O4177" t="s">
        <v>46570</v>
      </c>
      <c r="P4177">
        <v>0</v>
      </c>
      <c r="Q4177">
        <v>1</v>
      </c>
      <c r="R4177" t="s">
        <v>46572</v>
      </c>
      <c r="S4177" t="s">
        <v>46689</v>
      </c>
      <c r="T4177" t="s">
        <v>48276</v>
      </c>
      <c r="U4177" t="s">
        <v>52216</v>
      </c>
      <c r="V4177" t="s">
        <v>62051</v>
      </c>
      <c r="W4177" t="s">
        <v>43870</v>
      </c>
      <c r="X4177" t="s">
        <v>46573</v>
      </c>
    </row>
    <row r="4178" spans="1:24">
      <c r="A4178">
        <f>HYPERLINK("https://www.philgeps.gov.ph/GEPSNONPILOT/Tender/SplashBidNoticeAbstractUI.aspx?menuIndex=3&amp;refID=7063849&amp;Result=3","7063849")</f>
        <v>0</v>
      </c>
      <c r="B4178" t="s">
        <v>295</v>
      </c>
      <c r="C4178" t="s">
        <v>7547</v>
      </c>
      <c r="D4178" t="s">
        <v>18848</v>
      </c>
      <c r="E4178" t="s">
        <v>22653</v>
      </c>
      <c r="F4178" t="s">
        <v>32664</v>
      </c>
      <c r="G4178" t="s">
        <v>32672</v>
      </c>
      <c r="H4178" t="s">
        <v>12635</v>
      </c>
      <c r="I4178" t="s">
        <v>6118</v>
      </c>
      <c r="J4178" t="s">
        <v>35554</v>
      </c>
      <c r="K4178" t="s">
        <v>42297</v>
      </c>
      <c r="M4178" t="s">
        <v>42862</v>
      </c>
      <c r="N4178" t="s">
        <v>46569</v>
      </c>
      <c r="O4178" t="s">
        <v>46570</v>
      </c>
      <c r="P4178">
        <v>0</v>
      </c>
      <c r="Q4178">
        <v>1</v>
      </c>
      <c r="R4178" t="s">
        <v>46572</v>
      </c>
      <c r="S4178" t="s">
        <v>46689</v>
      </c>
      <c r="T4178" t="s">
        <v>48322</v>
      </c>
      <c r="U4178" t="s">
        <v>52217</v>
      </c>
      <c r="W4178" t="s">
        <v>42862</v>
      </c>
      <c r="X4178" t="s">
        <v>46573</v>
      </c>
    </row>
    <row r="4179" spans="1:24">
      <c r="A4179">
        <f>HYPERLINK("https://www.philgeps.gov.ph/GEPSNONPILOT/Tender/SplashBidNoticeAbstractUI.aspx?menuIndex=3&amp;refID=7063854&amp;Result=3","7063854")</f>
        <v>0</v>
      </c>
      <c r="B4179" t="s">
        <v>1522</v>
      </c>
      <c r="C4179" t="s">
        <v>7548</v>
      </c>
      <c r="D4179" t="s">
        <v>18828</v>
      </c>
      <c r="E4179" t="s">
        <v>22654</v>
      </c>
      <c r="F4179" t="s">
        <v>32665</v>
      </c>
      <c r="G4179" t="s">
        <v>32672</v>
      </c>
      <c r="H4179" t="s">
        <v>32683</v>
      </c>
      <c r="I4179" t="s">
        <v>10627</v>
      </c>
      <c r="J4179" t="s">
        <v>34559</v>
      </c>
      <c r="K4179" t="s">
        <v>42421</v>
      </c>
      <c r="M4179" t="s">
        <v>44189</v>
      </c>
      <c r="N4179" t="s">
        <v>46569</v>
      </c>
      <c r="O4179" t="s">
        <v>46570</v>
      </c>
      <c r="P4179">
        <v>0</v>
      </c>
      <c r="Q4179">
        <v>0</v>
      </c>
      <c r="R4179" t="s">
        <v>46572</v>
      </c>
      <c r="S4179" t="s">
        <v>46689</v>
      </c>
      <c r="T4179" t="s">
        <v>48453</v>
      </c>
      <c r="U4179" t="s">
        <v>52218</v>
      </c>
      <c r="W4179" t="s">
        <v>44189</v>
      </c>
      <c r="X4179" t="s">
        <v>46573</v>
      </c>
    </row>
    <row r="4180" spans="1:24">
      <c r="A4180">
        <f>HYPERLINK("https://www.philgeps.gov.ph/GEPSNONPILOT/Tender/SplashBidNoticeAbstractUI.aspx?menuIndex=3&amp;refID=7063855&amp;Result=3","7063855")</f>
        <v>0</v>
      </c>
      <c r="B4180" t="s">
        <v>1523</v>
      </c>
      <c r="C4180" t="s">
        <v>7549</v>
      </c>
      <c r="D4180" t="s">
        <v>18788</v>
      </c>
      <c r="E4180" t="s">
        <v>22655</v>
      </c>
      <c r="F4180" t="s">
        <v>32664</v>
      </c>
      <c r="G4180" t="s">
        <v>32672</v>
      </c>
      <c r="H4180" t="s">
        <v>12635</v>
      </c>
      <c r="I4180" t="s">
        <v>32769</v>
      </c>
      <c r="J4180" t="s">
        <v>32982</v>
      </c>
      <c r="K4180" t="s">
        <v>42404</v>
      </c>
      <c r="M4180" t="s">
        <v>44190</v>
      </c>
      <c r="N4180" t="s">
        <v>46569</v>
      </c>
      <c r="O4180" t="s">
        <v>46570</v>
      </c>
      <c r="P4180">
        <v>0</v>
      </c>
      <c r="Q4180">
        <v>1</v>
      </c>
      <c r="R4180" t="s">
        <v>46572</v>
      </c>
      <c r="S4180" t="s">
        <v>46689</v>
      </c>
      <c r="T4180" t="s">
        <v>48295</v>
      </c>
      <c r="U4180" t="s">
        <v>52219</v>
      </c>
      <c r="W4180" t="s">
        <v>44190</v>
      </c>
      <c r="X4180" t="s">
        <v>46573</v>
      </c>
    </row>
    <row r="4181" spans="1:24">
      <c r="A4181">
        <f>HYPERLINK("https://www.philgeps.gov.ph/GEPSNONPILOT/Tender/SplashBidNoticeAbstractUI.aspx?menuIndex=3&amp;refID=7063851&amp;Result=3","7063851")</f>
        <v>0</v>
      </c>
      <c r="B4181" t="s">
        <v>1524</v>
      </c>
      <c r="C4181" t="s">
        <v>7550</v>
      </c>
      <c r="D4181" t="s">
        <v>18804</v>
      </c>
      <c r="E4181" t="s">
        <v>22656</v>
      </c>
      <c r="F4181" t="s">
        <v>32664</v>
      </c>
      <c r="G4181" t="s">
        <v>32672</v>
      </c>
      <c r="H4181" t="s">
        <v>12635</v>
      </c>
      <c r="I4181" t="s">
        <v>32699</v>
      </c>
      <c r="J4181" t="s">
        <v>35555</v>
      </c>
      <c r="K4181" t="s">
        <v>42281</v>
      </c>
      <c r="M4181" t="s">
        <v>44191</v>
      </c>
      <c r="N4181" t="s">
        <v>46569</v>
      </c>
      <c r="O4181" t="s">
        <v>46570</v>
      </c>
      <c r="P4181">
        <v>0</v>
      </c>
      <c r="Q4181">
        <v>2</v>
      </c>
      <c r="R4181" t="s">
        <v>46572</v>
      </c>
      <c r="S4181" t="s">
        <v>46689</v>
      </c>
      <c r="T4181" t="s">
        <v>48505</v>
      </c>
      <c r="U4181" t="s">
        <v>52220</v>
      </c>
      <c r="V4181" t="s">
        <v>62052</v>
      </c>
      <c r="W4181" t="s">
        <v>44191</v>
      </c>
      <c r="X4181" t="s">
        <v>46573</v>
      </c>
    </row>
    <row r="4182" spans="1:24">
      <c r="A4182">
        <f>HYPERLINK("https://www.philgeps.gov.ph/GEPSNONPILOT/Tender/SplashBidNoticeAbstractUI.aspx?menuIndex=3&amp;refID=7063845&amp;Result=3","7063845")</f>
        <v>0</v>
      </c>
      <c r="B4182" t="s">
        <v>1525</v>
      </c>
      <c r="C4182" t="s">
        <v>7551</v>
      </c>
      <c r="D4182" t="s">
        <v>18784</v>
      </c>
      <c r="E4182" t="s">
        <v>22657</v>
      </c>
      <c r="F4182" t="s">
        <v>32664</v>
      </c>
      <c r="G4182" t="s">
        <v>32671</v>
      </c>
      <c r="H4182" t="s">
        <v>12635</v>
      </c>
      <c r="I4182" t="s">
        <v>5589</v>
      </c>
      <c r="J4182" t="s">
        <v>33128</v>
      </c>
      <c r="K4182" t="s">
        <v>42284</v>
      </c>
      <c r="M4182" t="s">
        <v>44192</v>
      </c>
      <c r="N4182" t="s">
        <v>46569</v>
      </c>
      <c r="O4182" t="s">
        <v>46570</v>
      </c>
      <c r="P4182">
        <v>0</v>
      </c>
      <c r="Q4182">
        <v>7</v>
      </c>
      <c r="R4182" t="s">
        <v>46572</v>
      </c>
      <c r="S4182" t="s">
        <v>46689</v>
      </c>
      <c r="T4182" t="s">
        <v>48282</v>
      </c>
      <c r="U4182" t="s">
        <v>52221</v>
      </c>
      <c r="V4182" t="s">
        <v>62053</v>
      </c>
      <c r="W4182" t="s">
        <v>44192</v>
      </c>
      <c r="X4182" t="s">
        <v>46573</v>
      </c>
    </row>
    <row r="4183" spans="1:24">
      <c r="A4183">
        <f>HYPERLINK("https://www.philgeps.gov.ph/GEPSNONPILOT/Tender/SplashBidNoticeAbstractUI.aspx?menuIndex=3&amp;refID=7063843&amp;Result=3","7063843")</f>
        <v>0</v>
      </c>
      <c r="B4183" t="s">
        <v>1259</v>
      </c>
      <c r="C4183" t="s">
        <v>7305</v>
      </c>
      <c r="D4183" t="s">
        <v>18782</v>
      </c>
      <c r="E4183" t="s">
        <v>22658</v>
      </c>
      <c r="F4183" t="s">
        <v>32664</v>
      </c>
      <c r="G4183" t="s">
        <v>32671</v>
      </c>
      <c r="H4183" t="s">
        <v>12635</v>
      </c>
      <c r="I4183" t="s">
        <v>6118</v>
      </c>
      <c r="J4183" t="s">
        <v>32898</v>
      </c>
      <c r="K4183" t="s">
        <v>42284</v>
      </c>
      <c r="M4183" t="s">
        <v>43901</v>
      </c>
      <c r="N4183" t="s">
        <v>46569</v>
      </c>
      <c r="O4183" t="s">
        <v>46570</v>
      </c>
      <c r="P4183">
        <v>0</v>
      </c>
      <c r="Q4183">
        <v>0</v>
      </c>
      <c r="R4183" t="s">
        <v>46572</v>
      </c>
      <c r="S4183" t="s">
        <v>46689</v>
      </c>
      <c r="T4183" t="s">
        <v>48293</v>
      </c>
      <c r="U4183" t="s">
        <v>52222</v>
      </c>
      <c r="W4183" t="s">
        <v>43901</v>
      </c>
      <c r="X4183" t="s">
        <v>46573</v>
      </c>
    </row>
    <row r="4184" spans="1:24">
      <c r="A4184">
        <f>HYPERLINK("https://www.philgeps.gov.ph/GEPSNONPILOT/Tender/SplashBidNoticeAbstractUI.aspx?menuIndex=3&amp;refID=7063841&amp;Result=3","7063841")</f>
        <v>0</v>
      </c>
      <c r="B4184" t="s">
        <v>817</v>
      </c>
      <c r="C4184" t="s">
        <v>7552</v>
      </c>
      <c r="E4184" t="s">
        <v>22659</v>
      </c>
      <c r="F4184" t="s">
        <v>32664</v>
      </c>
      <c r="G4184" t="s">
        <v>32671</v>
      </c>
      <c r="H4184" t="s">
        <v>12635</v>
      </c>
      <c r="I4184" t="s">
        <v>32686</v>
      </c>
      <c r="J4184" t="s">
        <v>35556</v>
      </c>
      <c r="K4184" t="s">
        <v>42283</v>
      </c>
      <c r="M4184" t="s">
        <v>43412</v>
      </c>
      <c r="N4184" t="s">
        <v>46569</v>
      </c>
      <c r="O4184" t="s">
        <v>46570</v>
      </c>
      <c r="P4184">
        <v>0</v>
      </c>
      <c r="Q4184">
        <v>0</v>
      </c>
      <c r="R4184" t="s">
        <v>46572</v>
      </c>
      <c r="S4184" t="s">
        <v>46689</v>
      </c>
      <c r="T4184" t="s">
        <v>48244</v>
      </c>
      <c r="U4184" t="s">
        <v>50349</v>
      </c>
      <c r="W4184" t="s">
        <v>43412</v>
      </c>
      <c r="X4184" t="s">
        <v>46573</v>
      </c>
    </row>
    <row r="4185" spans="1:24">
      <c r="A4185">
        <f>HYPERLINK("https://www.philgeps.gov.ph/GEPSNONPILOT/Tender/SplashBidNoticeAbstractUI.aspx?menuIndex=3&amp;refID=7063840&amp;Result=3","7063840")</f>
        <v>0</v>
      </c>
      <c r="B4185" t="s">
        <v>352</v>
      </c>
      <c r="C4185" t="s">
        <v>7553</v>
      </c>
      <c r="D4185" t="s">
        <v>18801</v>
      </c>
      <c r="E4185" t="s">
        <v>22660</v>
      </c>
      <c r="F4185" t="s">
        <v>32664</v>
      </c>
      <c r="G4185" t="s">
        <v>32671</v>
      </c>
      <c r="H4185" t="s">
        <v>12635</v>
      </c>
      <c r="I4185" t="s">
        <v>6223</v>
      </c>
      <c r="J4185" t="s">
        <v>34189</v>
      </c>
      <c r="K4185" t="s">
        <v>42289</v>
      </c>
      <c r="M4185" t="s">
        <v>43215</v>
      </c>
      <c r="N4185" t="s">
        <v>46569</v>
      </c>
      <c r="O4185" t="s">
        <v>46570</v>
      </c>
      <c r="P4185">
        <v>0</v>
      </c>
      <c r="Q4185">
        <v>2</v>
      </c>
      <c r="R4185" t="s">
        <v>46572</v>
      </c>
      <c r="S4185" t="s">
        <v>46689</v>
      </c>
      <c r="T4185" t="s">
        <v>48256</v>
      </c>
      <c r="U4185" t="s">
        <v>52223</v>
      </c>
      <c r="V4185" t="s">
        <v>61781</v>
      </c>
      <c r="W4185" t="s">
        <v>43215</v>
      </c>
      <c r="X4185" t="s">
        <v>46573</v>
      </c>
    </row>
    <row r="4186" spans="1:24">
      <c r="A4186">
        <f>HYPERLINK("https://www.philgeps.gov.ph/GEPSNONPILOT/Tender/SplashBidNoticeAbstractUI.aspx?menuIndex=3&amp;refID=7063848&amp;Result=3","7063848")</f>
        <v>0</v>
      </c>
      <c r="B4186" t="s">
        <v>212</v>
      </c>
      <c r="C4186" t="s">
        <v>7554</v>
      </c>
      <c r="E4186" t="s">
        <v>22661</v>
      </c>
      <c r="F4186" t="s">
        <v>32664</v>
      </c>
      <c r="G4186" t="s">
        <v>32672</v>
      </c>
      <c r="H4186" t="s">
        <v>12635</v>
      </c>
      <c r="I4186" t="s">
        <v>32686</v>
      </c>
      <c r="J4186" t="s">
        <v>35557</v>
      </c>
      <c r="K4186" t="s">
        <v>42289</v>
      </c>
      <c r="M4186" t="s">
        <v>42776</v>
      </c>
      <c r="N4186" t="s">
        <v>46569</v>
      </c>
      <c r="O4186" t="s">
        <v>46570</v>
      </c>
      <c r="P4186">
        <v>0</v>
      </c>
      <c r="Q4186">
        <v>1</v>
      </c>
      <c r="R4186" t="s">
        <v>46572</v>
      </c>
      <c r="S4186" t="s">
        <v>46689</v>
      </c>
      <c r="T4186" t="s">
        <v>48506</v>
      </c>
      <c r="U4186" t="s">
        <v>52224</v>
      </c>
      <c r="V4186" t="s">
        <v>61668</v>
      </c>
      <c r="W4186" t="s">
        <v>42776</v>
      </c>
      <c r="X4186" t="s">
        <v>46573</v>
      </c>
    </row>
    <row r="4187" spans="1:24">
      <c r="A4187">
        <f>HYPERLINK("https://www.philgeps.gov.ph/GEPSNONPILOT/Tender/SplashBidNoticeAbstractUI.aspx?menuIndex=3&amp;refID=7063882&amp;Result=3","7063882")</f>
        <v>0</v>
      </c>
      <c r="B4187" t="s">
        <v>304</v>
      </c>
      <c r="C4187" t="s">
        <v>7555</v>
      </c>
      <c r="D4187" t="s">
        <v>18792</v>
      </c>
      <c r="E4187" t="s">
        <v>19460</v>
      </c>
      <c r="F4187" t="s">
        <v>32664</v>
      </c>
      <c r="G4187" t="s">
        <v>32676</v>
      </c>
      <c r="H4187" t="s">
        <v>12635</v>
      </c>
      <c r="I4187" t="s">
        <v>32736</v>
      </c>
      <c r="J4187" t="s">
        <v>33015</v>
      </c>
      <c r="K4187" t="s">
        <v>42295</v>
      </c>
      <c r="M4187" t="s">
        <v>42871</v>
      </c>
      <c r="N4187" t="s">
        <v>46569</v>
      </c>
      <c r="O4187" t="s">
        <v>46570</v>
      </c>
      <c r="P4187">
        <v>0</v>
      </c>
      <c r="Q4187">
        <v>0</v>
      </c>
      <c r="R4187" t="s">
        <v>46572</v>
      </c>
      <c r="S4187" t="s">
        <v>46689</v>
      </c>
      <c r="T4187" t="s">
        <v>48221</v>
      </c>
      <c r="U4187" t="s">
        <v>52225</v>
      </c>
      <c r="W4187" t="s">
        <v>42871</v>
      </c>
      <c r="X4187" t="s">
        <v>46573</v>
      </c>
    </row>
    <row r="4188" spans="1:24">
      <c r="A4188">
        <f>HYPERLINK("https://www.philgeps.gov.ph/GEPSNONPILOT/Tender/SplashBidNoticeAbstractUI.aspx?menuIndex=3&amp;refID=7063847&amp;Result=3","7063847")</f>
        <v>0</v>
      </c>
      <c r="B4188" t="s">
        <v>1526</v>
      </c>
      <c r="C4188" t="s">
        <v>7556</v>
      </c>
      <c r="D4188" t="s">
        <v>18802</v>
      </c>
      <c r="E4188" t="s">
        <v>22662</v>
      </c>
      <c r="F4188" t="s">
        <v>32664</v>
      </c>
      <c r="G4188" t="s">
        <v>32671</v>
      </c>
      <c r="H4188" t="s">
        <v>12635</v>
      </c>
      <c r="I4188" t="s">
        <v>6223</v>
      </c>
      <c r="J4188" t="s">
        <v>35558</v>
      </c>
      <c r="K4188" t="s">
        <v>42283</v>
      </c>
      <c r="M4188" t="s">
        <v>44193</v>
      </c>
      <c r="N4188" t="s">
        <v>46569</v>
      </c>
      <c r="O4188" t="s">
        <v>46570</v>
      </c>
      <c r="P4188">
        <v>0</v>
      </c>
      <c r="Q4188">
        <v>1</v>
      </c>
      <c r="R4188" t="s">
        <v>46572</v>
      </c>
      <c r="S4188" t="s">
        <v>46689</v>
      </c>
      <c r="T4188" t="s">
        <v>48217</v>
      </c>
      <c r="U4188" t="s">
        <v>52226</v>
      </c>
      <c r="W4188" t="s">
        <v>44193</v>
      </c>
      <c r="X4188" t="s">
        <v>46573</v>
      </c>
    </row>
    <row r="4189" spans="1:24">
      <c r="A4189">
        <f>HYPERLINK("https://www.philgeps.gov.ph/GEPSNONPILOT/Tender/SplashBidNoticeAbstractUI.aspx?menuIndex=3&amp;refID=7063844&amp;Result=3","7063844")</f>
        <v>0</v>
      </c>
      <c r="B4189" t="s">
        <v>689</v>
      </c>
      <c r="C4189" t="s">
        <v>7557</v>
      </c>
      <c r="D4189" t="s">
        <v>18800</v>
      </c>
      <c r="E4189" t="s">
        <v>22663</v>
      </c>
      <c r="F4189" t="s">
        <v>32664</v>
      </c>
      <c r="G4189" t="s">
        <v>32672</v>
      </c>
      <c r="H4189" t="s">
        <v>12635</v>
      </c>
      <c r="I4189" t="s">
        <v>11464</v>
      </c>
      <c r="J4189" t="s">
        <v>32943</v>
      </c>
      <c r="K4189" t="s">
        <v>42305</v>
      </c>
      <c r="M4189" t="s">
        <v>43276</v>
      </c>
      <c r="N4189" t="s">
        <v>46569</v>
      </c>
      <c r="O4189" t="s">
        <v>46570</v>
      </c>
      <c r="P4189">
        <v>0</v>
      </c>
      <c r="Q4189">
        <v>3</v>
      </c>
      <c r="R4189" t="s">
        <v>46572</v>
      </c>
      <c r="S4189" t="s">
        <v>46689</v>
      </c>
      <c r="T4189" t="s">
        <v>48454</v>
      </c>
      <c r="U4189" t="s">
        <v>52227</v>
      </c>
      <c r="V4189" t="s">
        <v>61795</v>
      </c>
      <c r="W4189" t="s">
        <v>43276</v>
      </c>
      <c r="X4189" t="s">
        <v>46573</v>
      </c>
    </row>
    <row r="4190" spans="1:24">
      <c r="A4190">
        <f>HYPERLINK("https://www.philgeps.gov.ph/GEPSNONPILOT/Tender/SplashBidNoticeAbstractUI.aspx?menuIndex=3&amp;refID=7063887&amp;Result=3","7063887")</f>
        <v>0</v>
      </c>
      <c r="B4190" t="s">
        <v>1397</v>
      </c>
      <c r="C4190" t="s">
        <v>7558</v>
      </c>
      <c r="D4190" t="s">
        <v>18803</v>
      </c>
      <c r="E4190" t="s">
        <v>19146</v>
      </c>
      <c r="F4190" t="s">
        <v>32664</v>
      </c>
      <c r="G4190" t="s">
        <v>32678</v>
      </c>
      <c r="H4190" t="s">
        <v>32681</v>
      </c>
      <c r="I4190" t="s">
        <v>32681</v>
      </c>
      <c r="J4190" t="s">
        <v>35559</v>
      </c>
      <c r="K4190" t="s">
        <v>42377</v>
      </c>
      <c r="M4190" t="s">
        <v>44054</v>
      </c>
      <c r="N4190" t="s">
        <v>46569</v>
      </c>
      <c r="O4190" t="s">
        <v>46570</v>
      </c>
      <c r="P4190">
        <v>0</v>
      </c>
      <c r="Q4190">
        <v>0</v>
      </c>
      <c r="R4190" t="s">
        <v>46572</v>
      </c>
      <c r="S4190" t="s">
        <v>46689</v>
      </c>
      <c r="T4190" t="s">
        <v>48315</v>
      </c>
      <c r="U4190" t="s">
        <v>52228</v>
      </c>
      <c r="W4190" t="s">
        <v>44054</v>
      </c>
      <c r="X4190" t="s">
        <v>46573</v>
      </c>
    </row>
    <row r="4191" spans="1:24">
      <c r="A4191">
        <f>HYPERLINK("https://www.philgeps.gov.ph/GEPSNONPILOT/Tender/SplashBidNoticeAbstractUI.aspx?menuIndex=3&amp;refID=7063883&amp;Result=3","7063883")</f>
        <v>0</v>
      </c>
      <c r="B4191" t="s">
        <v>1527</v>
      </c>
      <c r="C4191" t="s">
        <v>7559</v>
      </c>
      <c r="D4191" t="s">
        <v>18826</v>
      </c>
      <c r="E4191" t="s">
        <v>19896</v>
      </c>
      <c r="F4191" t="s">
        <v>32664</v>
      </c>
      <c r="G4191" t="s">
        <v>32672</v>
      </c>
      <c r="H4191" t="s">
        <v>12635</v>
      </c>
      <c r="I4191" t="s">
        <v>4439</v>
      </c>
      <c r="J4191" t="s">
        <v>33102</v>
      </c>
      <c r="K4191" t="s">
        <v>42284</v>
      </c>
      <c r="M4191" t="s">
        <v>44194</v>
      </c>
      <c r="N4191" t="s">
        <v>46569</v>
      </c>
      <c r="O4191" t="s">
        <v>46570</v>
      </c>
      <c r="P4191">
        <v>0</v>
      </c>
      <c r="Q4191">
        <v>0</v>
      </c>
      <c r="R4191" t="s">
        <v>46572</v>
      </c>
      <c r="S4191" t="s">
        <v>46689</v>
      </c>
      <c r="T4191" t="s">
        <v>48373</v>
      </c>
      <c r="U4191" t="s">
        <v>52229</v>
      </c>
      <c r="W4191" t="s">
        <v>44194</v>
      </c>
      <c r="X4191" t="s">
        <v>46573</v>
      </c>
    </row>
    <row r="4192" spans="1:24">
      <c r="A4192">
        <f>HYPERLINK("https://www.philgeps.gov.ph/GEPSNONPILOT/Tender/SplashBidNoticeAbstractUI.aspx?menuIndex=3&amp;refID=7063879&amp;Result=3","7063879")</f>
        <v>0</v>
      </c>
      <c r="B4192" t="s">
        <v>585</v>
      </c>
      <c r="C4192" t="s">
        <v>7560</v>
      </c>
      <c r="D4192" t="s">
        <v>18834</v>
      </c>
      <c r="E4192" t="s">
        <v>22664</v>
      </c>
      <c r="F4192" t="s">
        <v>32664</v>
      </c>
      <c r="G4192" t="s">
        <v>32672</v>
      </c>
      <c r="H4192" t="s">
        <v>32683</v>
      </c>
      <c r="I4192" t="s">
        <v>10627</v>
      </c>
      <c r="J4192" t="s">
        <v>32963</v>
      </c>
      <c r="K4192" t="s">
        <v>42422</v>
      </c>
      <c r="M4192" t="s">
        <v>43165</v>
      </c>
      <c r="N4192" t="s">
        <v>46569</v>
      </c>
      <c r="O4192" t="s">
        <v>46570</v>
      </c>
      <c r="P4192">
        <v>0</v>
      </c>
      <c r="Q4192">
        <v>1</v>
      </c>
      <c r="R4192" t="s">
        <v>46572</v>
      </c>
      <c r="S4192" t="s">
        <v>46689</v>
      </c>
      <c r="T4192" t="s">
        <v>48350</v>
      </c>
      <c r="U4192" t="s">
        <v>52230</v>
      </c>
      <c r="W4192" t="s">
        <v>43165</v>
      </c>
      <c r="X4192" t="s">
        <v>46573</v>
      </c>
    </row>
    <row r="4193" spans="1:24">
      <c r="A4193">
        <f>HYPERLINK("https://www.philgeps.gov.ph/GEPSNONPILOT/Tender/SplashBidNoticeAbstractUI.aspx?menuIndex=3&amp;refID=7063876&amp;Result=3","7063876")</f>
        <v>0</v>
      </c>
      <c r="B4193" t="s">
        <v>1528</v>
      </c>
      <c r="C4193" t="s">
        <v>7561</v>
      </c>
      <c r="D4193" t="s">
        <v>18789</v>
      </c>
      <c r="E4193" t="s">
        <v>22665</v>
      </c>
      <c r="F4193" t="s">
        <v>32664</v>
      </c>
      <c r="G4193" t="s">
        <v>32672</v>
      </c>
      <c r="H4193" t="s">
        <v>32682</v>
      </c>
      <c r="I4193" t="s">
        <v>32685</v>
      </c>
      <c r="J4193" t="s">
        <v>35560</v>
      </c>
      <c r="K4193" t="s">
        <v>42289</v>
      </c>
      <c r="M4193" t="s">
        <v>44195</v>
      </c>
      <c r="N4193" t="s">
        <v>46569</v>
      </c>
      <c r="O4193" t="s">
        <v>46570</v>
      </c>
      <c r="P4193">
        <v>0</v>
      </c>
      <c r="Q4193">
        <v>0</v>
      </c>
      <c r="R4193" t="s">
        <v>46572</v>
      </c>
      <c r="S4193" t="s">
        <v>46689</v>
      </c>
      <c r="T4193" t="s">
        <v>48285</v>
      </c>
      <c r="U4193" t="s">
        <v>52231</v>
      </c>
      <c r="V4193" t="s">
        <v>62054</v>
      </c>
      <c r="W4193" t="s">
        <v>44195</v>
      </c>
      <c r="X4193" t="s">
        <v>46573</v>
      </c>
    </row>
    <row r="4194" spans="1:24">
      <c r="A4194">
        <f>HYPERLINK("https://www.philgeps.gov.ph/GEPSNONPILOT/Tender/SplashBidNoticeAbstractUI.aspx?menuIndex=3&amp;refID=7063814&amp;Result=3","7063814")</f>
        <v>0</v>
      </c>
      <c r="B4194" t="s">
        <v>1502</v>
      </c>
      <c r="C4194" t="s">
        <v>3701</v>
      </c>
      <c r="D4194" t="s">
        <v>18829</v>
      </c>
      <c r="E4194" t="s">
        <v>22666</v>
      </c>
      <c r="F4194" t="s">
        <v>32664</v>
      </c>
      <c r="G4194" t="s">
        <v>32674</v>
      </c>
      <c r="H4194" t="s">
        <v>12635</v>
      </c>
      <c r="I4194" t="s">
        <v>32686</v>
      </c>
      <c r="J4194" t="s">
        <v>35561</v>
      </c>
      <c r="K4194" t="s">
        <v>42283</v>
      </c>
      <c r="M4194" t="s">
        <v>44166</v>
      </c>
      <c r="N4194" t="s">
        <v>46569</v>
      </c>
      <c r="O4194" t="s">
        <v>46570</v>
      </c>
      <c r="P4194">
        <v>0</v>
      </c>
      <c r="Q4194">
        <v>2</v>
      </c>
      <c r="R4194" t="s">
        <v>46572</v>
      </c>
      <c r="S4194" t="s">
        <v>46689</v>
      </c>
      <c r="T4194" t="s">
        <v>48314</v>
      </c>
      <c r="U4194" t="s">
        <v>52232</v>
      </c>
      <c r="V4194" t="s">
        <v>62055</v>
      </c>
      <c r="W4194" t="s">
        <v>44166</v>
      </c>
      <c r="X4194" t="s">
        <v>46573</v>
      </c>
    </row>
    <row r="4195" spans="1:24">
      <c r="A4195">
        <f>HYPERLINK("https://www.philgeps.gov.ph/GEPSNONPILOT/Tender/SplashBidNoticeAbstractUI.aspx?menuIndex=3&amp;refID=7063846&amp;Result=3","7063846")</f>
        <v>0</v>
      </c>
      <c r="B4195" t="s">
        <v>1529</v>
      </c>
      <c r="C4195" t="s">
        <v>7562</v>
      </c>
      <c r="D4195" t="s">
        <v>18809</v>
      </c>
      <c r="E4195" t="s">
        <v>22667</v>
      </c>
      <c r="F4195" t="s">
        <v>32664</v>
      </c>
      <c r="G4195" t="s">
        <v>32672</v>
      </c>
      <c r="H4195" t="s">
        <v>32681</v>
      </c>
      <c r="I4195" t="s">
        <v>32681</v>
      </c>
      <c r="J4195" t="s">
        <v>32930</v>
      </c>
      <c r="K4195" t="s">
        <v>42334</v>
      </c>
      <c r="M4195" t="s">
        <v>44196</v>
      </c>
      <c r="N4195" t="s">
        <v>46569</v>
      </c>
      <c r="O4195" t="s">
        <v>46570</v>
      </c>
      <c r="P4195">
        <v>0</v>
      </c>
      <c r="Q4195">
        <v>5</v>
      </c>
      <c r="R4195" t="s">
        <v>46572</v>
      </c>
      <c r="S4195" t="s">
        <v>46689</v>
      </c>
      <c r="T4195" t="s">
        <v>48255</v>
      </c>
      <c r="U4195" t="s">
        <v>52233</v>
      </c>
      <c r="W4195" t="s">
        <v>44196</v>
      </c>
      <c r="X4195" t="s">
        <v>46573</v>
      </c>
    </row>
    <row r="4196" spans="1:24">
      <c r="A4196">
        <f>HYPERLINK("https://www.philgeps.gov.ph/GEPSNONPILOT/Tender/SplashBidNoticeAbstractUI.aspx?menuIndex=3&amp;refID=7063875&amp;Result=3","7063875")</f>
        <v>0</v>
      </c>
      <c r="B4196" t="s">
        <v>1530</v>
      </c>
      <c r="C4196" t="s">
        <v>7563</v>
      </c>
      <c r="D4196" t="s">
        <v>18827</v>
      </c>
      <c r="E4196" t="s">
        <v>22668</v>
      </c>
      <c r="F4196" t="s">
        <v>32664</v>
      </c>
      <c r="G4196" t="s">
        <v>32672</v>
      </c>
      <c r="H4196" t="s">
        <v>32683</v>
      </c>
      <c r="I4196" t="s">
        <v>10627</v>
      </c>
      <c r="J4196" t="s">
        <v>35562</v>
      </c>
      <c r="K4196" t="s">
        <v>42389</v>
      </c>
      <c r="M4196" t="s">
        <v>44197</v>
      </c>
      <c r="N4196" t="s">
        <v>46569</v>
      </c>
      <c r="O4196" t="s">
        <v>46570</v>
      </c>
      <c r="P4196">
        <v>0</v>
      </c>
      <c r="Q4196">
        <v>0</v>
      </c>
      <c r="R4196" t="s">
        <v>46572</v>
      </c>
      <c r="S4196" t="s">
        <v>46689</v>
      </c>
      <c r="T4196" t="s">
        <v>48220</v>
      </c>
      <c r="U4196" t="s">
        <v>52234</v>
      </c>
      <c r="V4196" t="s">
        <v>62056</v>
      </c>
      <c r="W4196" t="s">
        <v>44197</v>
      </c>
      <c r="X4196" t="s">
        <v>46573</v>
      </c>
    </row>
    <row r="4197" spans="1:24">
      <c r="A4197">
        <f>HYPERLINK("https://www.philgeps.gov.ph/GEPSNONPILOT/Tender/SplashBidNoticeAbstractUI.aspx?menuIndex=3&amp;refID=7063886&amp;Result=3","7063886")</f>
        <v>0</v>
      </c>
      <c r="B4197" t="s">
        <v>817</v>
      </c>
      <c r="C4197" t="s">
        <v>7564</v>
      </c>
      <c r="E4197" t="s">
        <v>22669</v>
      </c>
      <c r="F4197" t="s">
        <v>32664</v>
      </c>
      <c r="G4197" t="s">
        <v>32671</v>
      </c>
      <c r="H4197" t="s">
        <v>12635</v>
      </c>
      <c r="I4197" t="s">
        <v>32685</v>
      </c>
      <c r="J4197" t="s">
        <v>35563</v>
      </c>
      <c r="K4197" t="s">
        <v>42283</v>
      </c>
      <c r="M4197" t="s">
        <v>43412</v>
      </c>
      <c r="N4197" t="s">
        <v>46569</v>
      </c>
      <c r="O4197" t="s">
        <v>46570</v>
      </c>
      <c r="P4197">
        <v>0</v>
      </c>
      <c r="Q4197">
        <v>0</v>
      </c>
      <c r="R4197" t="s">
        <v>46572</v>
      </c>
      <c r="S4197" t="s">
        <v>46689</v>
      </c>
      <c r="T4197" t="s">
        <v>48244</v>
      </c>
      <c r="U4197" t="s">
        <v>50349</v>
      </c>
      <c r="W4197" t="s">
        <v>43412</v>
      </c>
      <c r="X4197" t="s">
        <v>46573</v>
      </c>
    </row>
    <row r="4198" spans="1:24">
      <c r="A4198">
        <f>HYPERLINK("https://www.philgeps.gov.ph/GEPSNONPILOT/Tender/SplashBidNoticeAbstractUI.aspx?menuIndex=3&amp;refID=7063870&amp;Result=3","7063870")</f>
        <v>0</v>
      </c>
      <c r="B4198" t="s">
        <v>1531</v>
      </c>
      <c r="C4198" t="s">
        <v>7565</v>
      </c>
      <c r="D4198" t="s">
        <v>18781</v>
      </c>
      <c r="E4198" t="s">
        <v>22670</v>
      </c>
      <c r="F4198" t="s">
        <v>32664</v>
      </c>
      <c r="G4198" t="s">
        <v>32674</v>
      </c>
      <c r="H4198" t="s">
        <v>12635</v>
      </c>
      <c r="I4198" t="s">
        <v>11464</v>
      </c>
      <c r="J4198" t="s">
        <v>32974</v>
      </c>
      <c r="K4198" t="s">
        <v>42284</v>
      </c>
      <c r="M4198" t="s">
        <v>44198</v>
      </c>
      <c r="N4198" t="s">
        <v>46569</v>
      </c>
      <c r="O4198" t="s">
        <v>46570</v>
      </c>
      <c r="P4198">
        <v>0</v>
      </c>
      <c r="Q4198">
        <v>0</v>
      </c>
      <c r="R4198" t="s">
        <v>46572</v>
      </c>
      <c r="S4198" t="s">
        <v>46689</v>
      </c>
      <c r="T4198" t="s">
        <v>48246</v>
      </c>
      <c r="U4198" t="s">
        <v>52235</v>
      </c>
      <c r="W4198" t="s">
        <v>44198</v>
      </c>
      <c r="X4198" t="s">
        <v>46573</v>
      </c>
    </row>
    <row r="4199" spans="1:24">
      <c r="A4199">
        <f>HYPERLINK("https://www.philgeps.gov.ph/GEPSNONPILOT/Tender/SplashBidNoticeAbstractUI.aspx?menuIndex=3&amp;refID=7063863&amp;Result=3","7063863")</f>
        <v>0</v>
      </c>
      <c r="B4199" t="s">
        <v>1532</v>
      </c>
      <c r="C4199" t="s">
        <v>7566</v>
      </c>
      <c r="D4199" t="s">
        <v>18785</v>
      </c>
      <c r="E4199" t="s">
        <v>22671</v>
      </c>
      <c r="F4199" t="s">
        <v>32664</v>
      </c>
      <c r="G4199" t="s">
        <v>32672</v>
      </c>
      <c r="H4199" t="s">
        <v>32683</v>
      </c>
      <c r="I4199" t="s">
        <v>10627</v>
      </c>
      <c r="J4199" t="s">
        <v>35564</v>
      </c>
      <c r="K4199" t="s">
        <v>42285</v>
      </c>
      <c r="M4199" t="s">
        <v>44199</v>
      </c>
      <c r="N4199" t="s">
        <v>46569</v>
      </c>
      <c r="O4199" t="s">
        <v>46570</v>
      </c>
      <c r="P4199">
        <v>0</v>
      </c>
      <c r="Q4199">
        <v>2</v>
      </c>
      <c r="R4199" t="s">
        <v>46572</v>
      </c>
      <c r="S4199" t="s">
        <v>46689</v>
      </c>
      <c r="T4199" t="s">
        <v>48216</v>
      </c>
      <c r="U4199" t="s">
        <v>52236</v>
      </c>
      <c r="W4199" t="s">
        <v>44199</v>
      </c>
      <c r="X4199" t="s">
        <v>46573</v>
      </c>
    </row>
    <row r="4200" spans="1:24">
      <c r="A4200">
        <f>HYPERLINK("https://www.philgeps.gov.ph/GEPSNONPILOT/Tender/SplashBidNoticeAbstractUI.aspx?menuIndex=3&amp;refID=7063878&amp;Result=3","7063878")</f>
        <v>0</v>
      </c>
      <c r="B4200" t="s">
        <v>1203</v>
      </c>
      <c r="C4200" t="s">
        <v>7567</v>
      </c>
      <c r="D4200" t="s">
        <v>18839</v>
      </c>
      <c r="E4200" t="s">
        <v>22672</v>
      </c>
      <c r="F4200" t="s">
        <v>32664</v>
      </c>
      <c r="G4200" t="s">
        <v>32671</v>
      </c>
      <c r="H4200" t="s">
        <v>12635</v>
      </c>
      <c r="I4200" t="s">
        <v>6223</v>
      </c>
      <c r="J4200" t="s">
        <v>35565</v>
      </c>
      <c r="K4200" t="s">
        <v>42289</v>
      </c>
      <c r="M4200" t="s">
        <v>43840</v>
      </c>
      <c r="N4200" t="s">
        <v>46569</v>
      </c>
      <c r="O4200" t="s">
        <v>46570</v>
      </c>
      <c r="P4200">
        <v>0</v>
      </c>
      <c r="Q4200">
        <v>0</v>
      </c>
      <c r="R4200" t="s">
        <v>46572</v>
      </c>
      <c r="S4200" t="s">
        <v>46689</v>
      </c>
      <c r="T4200" t="s">
        <v>48221</v>
      </c>
      <c r="U4200" t="s">
        <v>52237</v>
      </c>
      <c r="V4200" t="s">
        <v>61927</v>
      </c>
      <c r="W4200" t="s">
        <v>43840</v>
      </c>
      <c r="X4200" t="s">
        <v>46573</v>
      </c>
    </row>
    <row r="4201" spans="1:24">
      <c r="A4201">
        <f>HYPERLINK("https://www.philgeps.gov.ph/GEPSNONPILOT/Tender/SplashBidNoticeAbstractUI.aspx?menuIndex=3&amp;refID=7063785&amp;Result=3","7063785")</f>
        <v>0</v>
      </c>
      <c r="B4201" t="s">
        <v>495</v>
      </c>
      <c r="C4201" t="s">
        <v>7568</v>
      </c>
      <c r="D4201" t="s">
        <v>18791</v>
      </c>
      <c r="E4201" t="s">
        <v>21871</v>
      </c>
      <c r="F4201" t="s">
        <v>32664</v>
      </c>
      <c r="G4201" t="s">
        <v>32671</v>
      </c>
      <c r="H4201" t="s">
        <v>12635</v>
      </c>
      <c r="I4201" t="s">
        <v>4997</v>
      </c>
      <c r="J4201" t="s">
        <v>33304</v>
      </c>
      <c r="K4201" t="s">
        <v>42289</v>
      </c>
      <c r="M4201" t="s">
        <v>43071</v>
      </c>
      <c r="N4201" t="s">
        <v>46569</v>
      </c>
      <c r="O4201" t="s">
        <v>46570</v>
      </c>
      <c r="P4201">
        <v>0</v>
      </c>
      <c r="Q4201">
        <v>3</v>
      </c>
      <c r="R4201" t="s">
        <v>46572</v>
      </c>
      <c r="S4201" t="s">
        <v>46689</v>
      </c>
      <c r="T4201" t="s">
        <v>48282</v>
      </c>
      <c r="U4201" t="s">
        <v>52238</v>
      </c>
      <c r="W4201" t="s">
        <v>43071</v>
      </c>
      <c r="X4201" t="s">
        <v>46573</v>
      </c>
    </row>
    <row r="4202" spans="1:24">
      <c r="A4202">
        <f>HYPERLINK("https://www.philgeps.gov.ph/GEPSNONPILOT/Tender/SplashBidNoticeAbstractUI.aspx?menuIndex=3&amp;refID=7063869&amp;Result=3","7063869")</f>
        <v>0</v>
      </c>
      <c r="B4202" t="s">
        <v>1123</v>
      </c>
      <c r="C4202" t="s">
        <v>7569</v>
      </c>
      <c r="D4202" t="s">
        <v>18814</v>
      </c>
      <c r="E4202" t="s">
        <v>22673</v>
      </c>
      <c r="F4202" t="s">
        <v>32664</v>
      </c>
      <c r="G4202" t="s">
        <v>32672</v>
      </c>
      <c r="H4202" t="s">
        <v>12635</v>
      </c>
      <c r="I4202" t="s">
        <v>32735</v>
      </c>
      <c r="J4202" t="s">
        <v>33008</v>
      </c>
      <c r="K4202" t="s">
        <v>42289</v>
      </c>
      <c r="M4202" t="s">
        <v>43752</v>
      </c>
      <c r="N4202" t="s">
        <v>46569</v>
      </c>
      <c r="O4202" t="s">
        <v>46570</v>
      </c>
      <c r="P4202">
        <v>0</v>
      </c>
      <c r="Q4202">
        <v>2</v>
      </c>
      <c r="R4202" t="s">
        <v>46572</v>
      </c>
      <c r="S4202" t="s">
        <v>46689</v>
      </c>
      <c r="T4202" t="s">
        <v>48381</v>
      </c>
      <c r="U4202" t="s">
        <v>52239</v>
      </c>
      <c r="W4202" t="s">
        <v>43752</v>
      </c>
      <c r="X4202" t="s">
        <v>46573</v>
      </c>
    </row>
    <row r="4203" spans="1:24">
      <c r="A4203">
        <f>HYPERLINK("https://www.philgeps.gov.ph/GEPSNONPILOT/Tender/SplashBidNoticeAbstractUI.aspx?menuIndex=3&amp;refID=7063910&amp;Result=3","7063910")</f>
        <v>0</v>
      </c>
      <c r="B4203" t="s">
        <v>1015</v>
      </c>
      <c r="C4203" t="s">
        <v>7570</v>
      </c>
      <c r="D4203" t="s">
        <v>18804</v>
      </c>
      <c r="E4203" t="s">
        <v>22674</v>
      </c>
      <c r="F4203" t="s">
        <v>32664</v>
      </c>
      <c r="G4203" t="s">
        <v>32671</v>
      </c>
      <c r="H4203" t="s">
        <v>12635</v>
      </c>
      <c r="I4203" t="s">
        <v>10370</v>
      </c>
      <c r="J4203" t="s">
        <v>33250</v>
      </c>
      <c r="K4203" t="s">
        <v>42303</v>
      </c>
      <c r="M4203" t="s">
        <v>43627</v>
      </c>
      <c r="N4203" t="s">
        <v>46569</v>
      </c>
      <c r="O4203" t="s">
        <v>46570</v>
      </c>
      <c r="P4203">
        <v>0</v>
      </c>
      <c r="Q4203">
        <v>0</v>
      </c>
      <c r="R4203" t="s">
        <v>46572</v>
      </c>
      <c r="S4203" t="s">
        <v>46689</v>
      </c>
      <c r="T4203" t="s">
        <v>48256</v>
      </c>
      <c r="U4203" t="s">
        <v>52240</v>
      </c>
      <c r="W4203" t="s">
        <v>43627</v>
      </c>
      <c r="X4203" t="s">
        <v>46573</v>
      </c>
    </row>
    <row r="4204" spans="1:24">
      <c r="A4204">
        <f>HYPERLINK("https://www.philgeps.gov.ph/GEPSNONPILOT/Tender/SplashBidNoticeAbstractUI.aspx?menuIndex=3&amp;refID=7063908&amp;Result=3","7063908")</f>
        <v>0</v>
      </c>
      <c r="B4204" t="s">
        <v>1533</v>
      </c>
      <c r="C4204" t="s">
        <v>7571</v>
      </c>
      <c r="D4204" t="s">
        <v>18809</v>
      </c>
      <c r="E4204" t="s">
        <v>22675</v>
      </c>
      <c r="F4204" t="s">
        <v>32664</v>
      </c>
      <c r="G4204" t="s">
        <v>32671</v>
      </c>
      <c r="H4204" t="s">
        <v>12635</v>
      </c>
      <c r="I4204" t="s">
        <v>10590</v>
      </c>
      <c r="J4204" t="s">
        <v>32976</v>
      </c>
      <c r="K4204" t="s">
        <v>42281</v>
      </c>
      <c r="M4204" t="s">
        <v>44200</v>
      </c>
      <c r="N4204" t="s">
        <v>46569</v>
      </c>
      <c r="O4204" t="s">
        <v>46570</v>
      </c>
      <c r="P4204">
        <v>0</v>
      </c>
      <c r="Q4204">
        <v>0</v>
      </c>
      <c r="R4204" t="s">
        <v>46572</v>
      </c>
      <c r="S4204" t="s">
        <v>46689</v>
      </c>
      <c r="T4204" t="s">
        <v>48286</v>
      </c>
      <c r="U4204" t="s">
        <v>52241</v>
      </c>
      <c r="W4204" t="s">
        <v>44200</v>
      </c>
      <c r="X4204" t="s">
        <v>46573</v>
      </c>
    </row>
    <row r="4205" spans="1:24">
      <c r="A4205">
        <f>HYPERLINK("https://www.philgeps.gov.ph/GEPSNONPILOT/Tender/SplashBidNoticeAbstractUI.aspx?menuIndex=3&amp;refID=7063868&amp;Result=3","7063868")</f>
        <v>0</v>
      </c>
      <c r="B4205" t="s">
        <v>1480</v>
      </c>
      <c r="C4205" t="s">
        <v>7572</v>
      </c>
      <c r="D4205" t="s">
        <v>18851</v>
      </c>
      <c r="E4205" t="s">
        <v>22676</v>
      </c>
      <c r="F4205" t="s">
        <v>32664</v>
      </c>
      <c r="G4205" t="s">
        <v>32671</v>
      </c>
      <c r="H4205" t="s">
        <v>12635</v>
      </c>
      <c r="I4205" t="s">
        <v>4439</v>
      </c>
      <c r="J4205" t="s">
        <v>33345</v>
      </c>
      <c r="K4205" t="s">
        <v>42297</v>
      </c>
      <c r="M4205" t="s">
        <v>44143</v>
      </c>
      <c r="N4205" t="s">
        <v>46569</v>
      </c>
      <c r="O4205" t="s">
        <v>46570</v>
      </c>
      <c r="P4205">
        <v>0</v>
      </c>
      <c r="Q4205">
        <v>1</v>
      </c>
      <c r="R4205" t="s">
        <v>46572</v>
      </c>
      <c r="S4205" t="s">
        <v>46689</v>
      </c>
      <c r="T4205" t="s">
        <v>48496</v>
      </c>
      <c r="U4205" t="s">
        <v>52242</v>
      </c>
      <c r="W4205" t="s">
        <v>44143</v>
      </c>
      <c r="X4205" t="s">
        <v>46573</v>
      </c>
    </row>
    <row r="4206" spans="1:24">
      <c r="A4206">
        <f>HYPERLINK("https://www.philgeps.gov.ph/GEPSNONPILOT/Tender/SplashBidNoticeAbstractUI.aspx?menuIndex=3&amp;refID=7063871&amp;Result=3","7063871")</f>
        <v>0</v>
      </c>
      <c r="B4206" t="s">
        <v>1015</v>
      </c>
      <c r="C4206" t="s">
        <v>7573</v>
      </c>
      <c r="D4206" t="s">
        <v>18804</v>
      </c>
      <c r="E4206" t="s">
        <v>22677</v>
      </c>
      <c r="F4206" t="s">
        <v>32664</v>
      </c>
      <c r="G4206" t="s">
        <v>32671</v>
      </c>
      <c r="H4206" t="s">
        <v>12635</v>
      </c>
      <c r="I4206" t="s">
        <v>10370</v>
      </c>
      <c r="J4206" t="s">
        <v>35566</v>
      </c>
      <c r="K4206" t="s">
        <v>42281</v>
      </c>
      <c r="M4206" t="s">
        <v>43627</v>
      </c>
      <c r="N4206" t="s">
        <v>46569</v>
      </c>
      <c r="O4206" t="s">
        <v>46570</v>
      </c>
      <c r="P4206">
        <v>0</v>
      </c>
      <c r="Q4206">
        <v>0</v>
      </c>
      <c r="R4206" t="s">
        <v>46572</v>
      </c>
      <c r="S4206" t="s">
        <v>46689</v>
      </c>
      <c r="T4206" t="s">
        <v>48256</v>
      </c>
      <c r="U4206" t="s">
        <v>52243</v>
      </c>
      <c r="W4206" t="s">
        <v>43627</v>
      </c>
      <c r="X4206" t="s">
        <v>46573</v>
      </c>
    </row>
    <row r="4207" spans="1:24">
      <c r="A4207">
        <f>HYPERLINK("https://www.philgeps.gov.ph/GEPSNONPILOT/Tender/SplashBidNoticeAbstractUI.aspx?menuIndex=3&amp;refID=7063906&amp;Result=3","7063906")</f>
        <v>0</v>
      </c>
      <c r="B4207" t="s">
        <v>1534</v>
      </c>
      <c r="C4207" t="s">
        <v>7574</v>
      </c>
      <c r="D4207" t="s">
        <v>18853</v>
      </c>
      <c r="E4207" t="s">
        <v>22678</v>
      </c>
      <c r="F4207" t="s">
        <v>32664</v>
      </c>
      <c r="G4207" t="s">
        <v>32672</v>
      </c>
      <c r="H4207" t="s">
        <v>32683</v>
      </c>
      <c r="I4207" t="s">
        <v>10627</v>
      </c>
      <c r="J4207" t="s">
        <v>32898</v>
      </c>
      <c r="K4207" t="s">
        <v>42343</v>
      </c>
      <c r="M4207" t="s">
        <v>44201</v>
      </c>
      <c r="N4207" t="s">
        <v>46569</v>
      </c>
      <c r="O4207" t="s">
        <v>46570</v>
      </c>
      <c r="P4207">
        <v>0</v>
      </c>
      <c r="Q4207">
        <v>0</v>
      </c>
      <c r="R4207" t="s">
        <v>46572</v>
      </c>
      <c r="S4207" t="s">
        <v>46689</v>
      </c>
      <c r="T4207" t="s">
        <v>48315</v>
      </c>
      <c r="U4207" t="s">
        <v>52244</v>
      </c>
      <c r="W4207" t="s">
        <v>44201</v>
      </c>
      <c r="X4207" t="s">
        <v>46573</v>
      </c>
    </row>
    <row r="4208" spans="1:24">
      <c r="A4208">
        <f>HYPERLINK("https://www.philgeps.gov.ph/GEPSNONPILOT/Tender/SplashBidNoticeAbstractUI.aspx?menuIndex=3&amp;refID=7063885&amp;Result=3","7063885")</f>
        <v>0</v>
      </c>
      <c r="B4208" t="s">
        <v>1531</v>
      </c>
      <c r="C4208" t="s">
        <v>7575</v>
      </c>
      <c r="D4208" t="s">
        <v>18781</v>
      </c>
      <c r="E4208" t="s">
        <v>22679</v>
      </c>
      <c r="F4208" t="s">
        <v>32664</v>
      </c>
      <c r="G4208" t="s">
        <v>32672</v>
      </c>
      <c r="H4208" t="s">
        <v>12635</v>
      </c>
      <c r="I4208" t="s">
        <v>32684</v>
      </c>
      <c r="J4208" t="s">
        <v>32853</v>
      </c>
      <c r="K4208" t="s">
        <v>42284</v>
      </c>
      <c r="M4208" t="s">
        <v>44198</v>
      </c>
      <c r="N4208" t="s">
        <v>46569</v>
      </c>
      <c r="O4208" t="s">
        <v>46570</v>
      </c>
      <c r="P4208">
        <v>0</v>
      </c>
      <c r="Q4208">
        <v>2</v>
      </c>
      <c r="R4208" t="s">
        <v>46572</v>
      </c>
      <c r="S4208" t="s">
        <v>46689</v>
      </c>
      <c r="T4208" t="s">
        <v>48296</v>
      </c>
      <c r="U4208" t="s">
        <v>52245</v>
      </c>
      <c r="W4208" t="s">
        <v>44198</v>
      </c>
      <c r="X4208" t="s">
        <v>46573</v>
      </c>
    </row>
    <row r="4209" spans="1:24">
      <c r="A4209">
        <f>HYPERLINK("https://www.philgeps.gov.ph/GEPSNONPILOT/Tender/SplashBidNoticeAbstractUI.aspx?menuIndex=3&amp;refID=7063903&amp;Result=3","7063903")</f>
        <v>0</v>
      </c>
      <c r="B4209" t="s">
        <v>817</v>
      </c>
      <c r="C4209" t="s">
        <v>7564</v>
      </c>
      <c r="E4209" t="s">
        <v>22680</v>
      </c>
      <c r="F4209" t="s">
        <v>32664</v>
      </c>
      <c r="G4209" t="s">
        <v>32671</v>
      </c>
      <c r="H4209" t="s">
        <v>12635</v>
      </c>
      <c r="I4209" t="s">
        <v>32685</v>
      </c>
      <c r="J4209" t="s">
        <v>35567</v>
      </c>
      <c r="K4209" t="s">
        <v>42283</v>
      </c>
      <c r="M4209" t="s">
        <v>43412</v>
      </c>
      <c r="N4209" t="s">
        <v>46569</v>
      </c>
      <c r="O4209" t="s">
        <v>46570</v>
      </c>
      <c r="P4209">
        <v>0</v>
      </c>
      <c r="Q4209">
        <v>0</v>
      </c>
      <c r="R4209" t="s">
        <v>46572</v>
      </c>
      <c r="S4209" t="s">
        <v>46689</v>
      </c>
      <c r="T4209" t="s">
        <v>48244</v>
      </c>
      <c r="U4209" t="s">
        <v>50349</v>
      </c>
      <c r="W4209" t="s">
        <v>43412</v>
      </c>
      <c r="X4209" t="s">
        <v>46573</v>
      </c>
    </row>
    <row r="4210" spans="1:24">
      <c r="A4210">
        <f>HYPERLINK("https://www.philgeps.gov.ph/GEPSNONPILOT/Tender/SplashBidNoticeAbstractUI.aspx?menuIndex=3&amp;refID=7063901&amp;Result=3","7063901")</f>
        <v>0</v>
      </c>
      <c r="B4210" t="s">
        <v>304</v>
      </c>
      <c r="C4210" t="s">
        <v>7576</v>
      </c>
      <c r="D4210" t="s">
        <v>18792</v>
      </c>
      <c r="E4210" t="s">
        <v>19460</v>
      </c>
      <c r="F4210" t="s">
        <v>32664</v>
      </c>
      <c r="G4210" t="s">
        <v>32671</v>
      </c>
      <c r="H4210" t="s">
        <v>12635</v>
      </c>
      <c r="I4210" t="s">
        <v>7759</v>
      </c>
      <c r="J4210" t="s">
        <v>35568</v>
      </c>
      <c r="K4210" t="s">
        <v>42295</v>
      </c>
      <c r="M4210" t="s">
        <v>42871</v>
      </c>
      <c r="N4210" t="s">
        <v>46569</v>
      </c>
      <c r="O4210" t="s">
        <v>46570</v>
      </c>
      <c r="P4210">
        <v>0</v>
      </c>
      <c r="Q4210">
        <v>0</v>
      </c>
      <c r="R4210" t="s">
        <v>46572</v>
      </c>
      <c r="S4210" t="s">
        <v>46689</v>
      </c>
      <c r="T4210" t="s">
        <v>48221</v>
      </c>
      <c r="U4210" t="s">
        <v>52246</v>
      </c>
      <c r="W4210" t="s">
        <v>42871</v>
      </c>
      <c r="X4210" t="s">
        <v>46573</v>
      </c>
    </row>
    <row r="4211" spans="1:24">
      <c r="A4211">
        <f>HYPERLINK("https://www.philgeps.gov.ph/GEPSNONPILOT/Tender/SplashBidNoticeAbstractUI.aspx?menuIndex=3&amp;refID=7063897&amp;Result=3","7063897")</f>
        <v>0</v>
      </c>
      <c r="B4211" t="s">
        <v>1523</v>
      </c>
      <c r="C4211" t="s">
        <v>7577</v>
      </c>
      <c r="D4211" t="s">
        <v>18788</v>
      </c>
      <c r="E4211" t="s">
        <v>22681</v>
      </c>
      <c r="F4211" t="s">
        <v>32664</v>
      </c>
      <c r="G4211" t="s">
        <v>32672</v>
      </c>
      <c r="H4211" t="s">
        <v>12635</v>
      </c>
      <c r="I4211" t="s">
        <v>32684</v>
      </c>
      <c r="J4211" t="s">
        <v>35569</v>
      </c>
      <c r="K4211" t="s">
        <v>42298</v>
      </c>
      <c r="M4211" t="s">
        <v>44190</v>
      </c>
      <c r="N4211" t="s">
        <v>46569</v>
      </c>
      <c r="O4211" t="s">
        <v>46570</v>
      </c>
      <c r="P4211">
        <v>0</v>
      </c>
      <c r="Q4211">
        <v>12</v>
      </c>
      <c r="R4211" t="s">
        <v>46572</v>
      </c>
      <c r="S4211" t="s">
        <v>46689</v>
      </c>
      <c r="T4211" t="s">
        <v>48263</v>
      </c>
      <c r="U4211" t="s">
        <v>52247</v>
      </c>
      <c r="W4211" t="s">
        <v>44190</v>
      </c>
      <c r="X4211" t="s">
        <v>46573</v>
      </c>
    </row>
    <row r="4212" spans="1:24">
      <c r="A4212">
        <f>HYPERLINK("https://www.philgeps.gov.ph/GEPSNONPILOT/Tender/SplashBidNoticeAbstractUI.aspx?menuIndex=3&amp;refID=7063907&amp;Result=3","7063907")</f>
        <v>0</v>
      </c>
      <c r="B4212" t="s">
        <v>318</v>
      </c>
      <c r="C4212" t="s">
        <v>7578</v>
      </c>
      <c r="D4212" t="s">
        <v>18842</v>
      </c>
      <c r="E4212" t="s">
        <v>22682</v>
      </c>
      <c r="F4212" t="s">
        <v>32664</v>
      </c>
      <c r="G4212" t="s">
        <v>32671</v>
      </c>
      <c r="H4212" t="s">
        <v>12635</v>
      </c>
      <c r="I4212" t="s">
        <v>6628</v>
      </c>
      <c r="J4212" t="s">
        <v>33334</v>
      </c>
      <c r="K4212" t="s">
        <v>42289</v>
      </c>
      <c r="M4212" t="s">
        <v>42886</v>
      </c>
      <c r="N4212" t="s">
        <v>46569</v>
      </c>
      <c r="O4212" t="s">
        <v>46570</v>
      </c>
      <c r="P4212">
        <v>0</v>
      </c>
      <c r="Q4212">
        <v>3</v>
      </c>
      <c r="R4212" t="s">
        <v>46572</v>
      </c>
      <c r="S4212" t="s">
        <v>46689</v>
      </c>
      <c r="T4212" t="s">
        <v>48271</v>
      </c>
      <c r="U4212" t="s">
        <v>52248</v>
      </c>
      <c r="W4212" t="s">
        <v>42886</v>
      </c>
      <c r="X4212" t="s">
        <v>46573</v>
      </c>
    </row>
    <row r="4213" spans="1:24">
      <c r="A4213">
        <f>HYPERLINK("https://www.philgeps.gov.ph/GEPSNONPILOT/Tender/SplashBidNoticeAbstractUI.aspx?menuIndex=3&amp;refID=7063896&amp;Result=3","7063896")</f>
        <v>0</v>
      </c>
      <c r="B4213" t="s">
        <v>1444</v>
      </c>
      <c r="C4213" t="s">
        <v>7579</v>
      </c>
      <c r="D4213" t="s">
        <v>18846</v>
      </c>
      <c r="E4213" t="s">
        <v>22683</v>
      </c>
      <c r="F4213" t="s">
        <v>32664</v>
      </c>
      <c r="G4213" t="s">
        <v>32671</v>
      </c>
      <c r="H4213" t="s">
        <v>12635</v>
      </c>
      <c r="I4213" t="s">
        <v>13883</v>
      </c>
      <c r="J4213" t="s">
        <v>35570</v>
      </c>
      <c r="K4213" t="s">
        <v>42281</v>
      </c>
      <c r="M4213" t="s">
        <v>44105</v>
      </c>
      <c r="N4213" t="s">
        <v>46569</v>
      </c>
      <c r="O4213" t="s">
        <v>46570</v>
      </c>
      <c r="P4213">
        <v>0</v>
      </c>
      <c r="Q4213">
        <v>0</v>
      </c>
      <c r="R4213" t="s">
        <v>46572</v>
      </c>
      <c r="S4213" t="s">
        <v>46689</v>
      </c>
      <c r="T4213" t="s">
        <v>48221</v>
      </c>
      <c r="U4213" t="s">
        <v>52249</v>
      </c>
      <c r="W4213" t="s">
        <v>44105</v>
      </c>
      <c r="X4213" t="s">
        <v>46573</v>
      </c>
    </row>
    <row r="4214" spans="1:24">
      <c r="A4214">
        <f>HYPERLINK("https://www.philgeps.gov.ph/GEPSNONPILOT/Tender/SplashBidNoticeAbstractUI.aspx?menuIndex=3&amp;refID=7063902&amp;Result=3","7063902")</f>
        <v>0</v>
      </c>
      <c r="B4214" t="s">
        <v>107</v>
      </c>
      <c r="C4214" t="s">
        <v>7580</v>
      </c>
      <c r="D4214" t="s">
        <v>18804</v>
      </c>
      <c r="E4214" t="s">
        <v>22684</v>
      </c>
      <c r="F4214" t="s">
        <v>32664</v>
      </c>
      <c r="G4214" t="s">
        <v>32672</v>
      </c>
      <c r="H4214" t="s">
        <v>32683</v>
      </c>
      <c r="I4214" t="s">
        <v>10627</v>
      </c>
      <c r="J4214" t="s">
        <v>35571</v>
      </c>
      <c r="K4214" t="s">
        <v>42384</v>
      </c>
      <c r="M4214" t="s">
        <v>42671</v>
      </c>
      <c r="N4214" t="s">
        <v>46569</v>
      </c>
      <c r="O4214" t="s">
        <v>46570</v>
      </c>
      <c r="P4214">
        <v>0</v>
      </c>
      <c r="Q4214">
        <v>2</v>
      </c>
      <c r="R4214" t="s">
        <v>46572</v>
      </c>
      <c r="S4214" t="s">
        <v>46689</v>
      </c>
      <c r="T4214" t="s">
        <v>48273</v>
      </c>
      <c r="U4214" t="s">
        <v>48995</v>
      </c>
      <c r="W4214" t="s">
        <v>42671</v>
      </c>
      <c r="X4214" t="s">
        <v>46573</v>
      </c>
    </row>
    <row r="4215" spans="1:24">
      <c r="A4215">
        <f>HYPERLINK("https://www.philgeps.gov.ph/GEPSNONPILOT/Tender/SplashBidNoticeAbstractUI.aspx?menuIndex=3&amp;refID=7063905&amp;Result=3","7063905")</f>
        <v>0</v>
      </c>
      <c r="B4215" t="s">
        <v>708</v>
      </c>
      <c r="C4215" t="s">
        <v>7581</v>
      </c>
      <c r="D4215" t="s">
        <v>18792</v>
      </c>
      <c r="E4215" t="s">
        <v>22685</v>
      </c>
      <c r="F4215" t="s">
        <v>32664</v>
      </c>
      <c r="G4215" t="s">
        <v>32671</v>
      </c>
      <c r="H4215" t="s">
        <v>12635</v>
      </c>
      <c r="I4215" t="s">
        <v>32684</v>
      </c>
      <c r="J4215" t="s">
        <v>32853</v>
      </c>
      <c r="K4215" t="s">
        <v>42297</v>
      </c>
      <c r="M4215" t="s">
        <v>44202</v>
      </c>
      <c r="N4215" t="s">
        <v>46569</v>
      </c>
      <c r="O4215" t="s">
        <v>46570</v>
      </c>
      <c r="P4215">
        <v>0</v>
      </c>
      <c r="Q4215">
        <v>2</v>
      </c>
      <c r="R4215" t="s">
        <v>46572</v>
      </c>
      <c r="S4215" t="s">
        <v>46689</v>
      </c>
      <c r="T4215" t="s">
        <v>48244</v>
      </c>
      <c r="U4215" t="s">
        <v>52250</v>
      </c>
      <c r="W4215" t="s">
        <v>44202</v>
      </c>
      <c r="X4215" t="s">
        <v>46573</v>
      </c>
    </row>
    <row r="4216" spans="1:24">
      <c r="A4216">
        <f>HYPERLINK("https://www.philgeps.gov.ph/GEPSNONPILOT/Tender/SplashBidNoticeAbstractUI.aspx?menuIndex=3&amp;refID=7063900&amp;Result=3","7063900")</f>
        <v>0</v>
      </c>
      <c r="B4216" t="s">
        <v>352</v>
      </c>
      <c r="C4216" t="s">
        <v>7582</v>
      </c>
      <c r="D4216" t="s">
        <v>18839</v>
      </c>
      <c r="E4216" t="s">
        <v>22686</v>
      </c>
      <c r="F4216" t="s">
        <v>32664</v>
      </c>
      <c r="G4216" t="s">
        <v>32671</v>
      </c>
      <c r="H4216" t="s">
        <v>12635</v>
      </c>
      <c r="I4216" t="s">
        <v>4997</v>
      </c>
      <c r="J4216" t="s">
        <v>33995</v>
      </c>
      <c r="K4216" t="s">
        <v>42283</v>
      </c>
      <c r="M4216" t="s">
        <v>43215</v>
      </c>
      <c r="N4216" t="s">
        <v>46569</v>
      </c>
      <c r="O4216" t="s">
        <v>46570</v>
      </c>
      <c r="P4216">
        <v>0</v>
      </c>
      <c r="Q4216">
        <v>5</v>
      </c>
      <c r="R4216" t="s">
        <v>46572</v>
      </c>
      <c r="S4216" t="s">
        <v>46689</v>
      </c>
      <c r="T4216" t="s">
        <v>48256</v>
      </c>
      <c r="U4216" t="s">
        <v>52251</v>
      </c>
      <c r="V4216" t="s">
        <v>61781</v>
      </c>
      <c r="W4216" t="s">
        <v>43215</v>
      </c>
      <c r="X4216" t="s">
        <v>46573</v>
      </c>
    </row>
    <row r="4217" spans="1:24">
      <c r="A4217">
        <f>HYPERLINK("https://www.philgeps.gov.ph/GEPSNONPILOT/Tender/SplashBidNoticeAbstractUI.aspx?menuIndex=3&amp;refID=7063894&amp;Result=3","7063894")</f>
        <v>0</v>
      </c>
      <c r="B4217" t="s">
        <v>475</v>
      </c>
      <c r="C4217" t="s">
        <v>7583</v>
      </c>
      <c r="D4217" t="s">
        <v>18796</v>
      </c>
      <c r="E4217" t="s">
        <v>22687</v>
      </c>
      <c r="F4217" t="s">
        <v>32664</v>
      </c>
      <c r="G4217" t="s">
        <v>32671</v>
      </c>
      <c r="H4217" t="s">
        <v>12635</v>
      </c>
      <c r="I4217" t="s">
        <v>32707</v>
      </c>
      <c r="J4217" t="s">
        <v>35572</v>
      </c>
      <c r="K4217" t="s">
        <v>42281</v>
      </c>
      <c r="M4217" t="s">
        <v>43050</v>
      </c>
      <c r="N4217" t="s">
        <v>46569</v>
      </c>
      <c r="O4217" t="s">
        <v>46570</v>
      </c>
      <c r="P4217">
        <v>0</v>
      </c>
      <c r="Q4217">
        <v>3</v>
      </c>
      <c r="R4217" t="s">
        <v>46572</v>
      </c>
      <c r="S4217" t="s">
        <v>46689</v>
      </c>
      <c r="T4217" t="s">
        <v>48507</v>
      </c>
      <c r="U4217" t="s">
        <v>52252</v>
      </c>
      <c r="W4217" t="s">
        <v>43050</v>
      </c>
      <c r="X4217" t="s">
        <v>46573</v>
      </c>
    </row>
    <row r="4218" spans="1:24">
      <c r="A4218">
        <f>HYPERLINK("https://www.philgeps.gov.ph/GEPSNONPILOT/Tender/SplashBidNoticeAbstractUI.aspx?menuIndex=3&amp;refID=7063895&amp;Result=3","7063895")</f>
        <v>0</v>
      </c>
      <c r="B4218" t="s">
        <v>1501</v>
      </c>
      <c r="C4218" t="s">
        <v>7584</v>
      </c>
      <c r="D4218" t="s">
        <v>18832</v>
      </c>
      <c r="E4218" t="s">
        <v>22688</v>
      </c>
      <c r="F4218" t="s">
        <v>32664</v>
      </c>
      <c r="G4218" t="s">
        <v>32672</v>
      </c>
      <c r="H4218" t="s">
        <v>12635</v>
      </c>
      <c r="I4218" t="s">
        <v>8730</v>
      </c>
      <c r="J4218" t="s">
        <v>35573</v>
      </c>
      <c r="K4218" t="s">
        <v>42289</v>
      </c>
      <c r="M4218" t="s">
        <v>44165</v>
      </c>
      <c r="N4218" t="s">
        <v>46569</v>
      </c>
      <c r="O4218" t="s">
        <v>46570</v>
      </c>
      <c r="P4218">
        <v>0</v>
      </c>
      <c r="Q4218">
        <v>2</v>
      </c>
      <c r="R4218" t="s">
        <v>46572</v>
      </c>
      <c r="S4218" t="s">
        <v>46689</v>
      </c>
      <c r="T4218" t="s">
        <v>48225</v>
      </c>
      <c r="U4218" t="s">
        <v>52160</v>
      </c>
      <c r="W4218" t="s">
        <v>44165</v>
      </c>
      <c r="X4218" t="s">
        <v>46573</v>
      </c>
    </row>
    <row r="4219" spans="1:24">
      <c r="A4219">
        <f>HYPERLINK("https://www.philgeps.gov.ph/GEPSNONPILOT/Tender/SplashBidNoticeAbstractUI.aspx?menuIndex=3&amp;refID=7063891&amp;Result=3","7063891")</f>
        <v>0</v>
      </c>
      <c r="B4219" t="s">
        <v>617</v>
      </c>
      <c r="C4219" t="s">
        <v>7585</v>
      </c>
      <c r="D4219" t="s">
        <v>18784</v>
      </c>
      <c r="E4219" t="s">
        <v>22689</v>
      </c>
      <c r="F4219" t="s">
        <v>32664</v>
      </c>
      <c r="G4219" t="s">
        <v>32674</v>
      </c>
      <c r="H4219" t="s">
        <v>12635</v>
      </c>
      <c r="I4219" t="s">
        <v>32704</v>
      </c>
      <c r="J4219" t="s">
        <v>35574</v>
      </c>
      <c r="K4219" t="s">
        <v>42289</v>
      </c>
      <c r="M4219" t="s">
        <v>43197</v>
      </c>
      <c r="N4219" t="s">
        <v>46569</v>
      </c>
      <c r="O4219" t="s">
        <v>46570</v>
      </c>
      <c r="P4219">
        <v>0</v>
      </c>
      <c r="Q4219">
        <v>3</v>
      </c>
      <c r="R4219" t="s">
        <v>46572</v>
      </c>
      <c r="S4219" t="s">
        <v>46689</v>
      </c>
      <c r="T4219" t="s">
        <v>48376</v>
      </c>
      <c r="U4219" t="s">
        <v>52253</v>
      </c>
      <c r="W4219" t="s">
        <v>43197</v>
      </c>
      <c r="X4219" t="s">
        <v>46573</v>
      </c>
    </row>
    <row r="4220" spans="1:24">
      <c r="A4220">
        <f>HYPERLINK("https://www.philgeps.gov.ph/GEPSNONPILOT/Tender/SplashBidNoticeAbstractUI.aspx?menuIndex=3&amp;refID=7063931&amp;Result=3","7063931")</f>
        <v>0</v>
      </c>
      <c r="B4220" t="s">
        <v>1535</v>
      </c>
      <c r="C4220" t="s">
        <v>7586</v>
      </c>
      <c r="D4220" t="s">
        <v>18784</v>
      </c>
      <c r="E4220" t="s">
        <v>22690</v>
      </c>
      <c r="F4220" t="s">
        <v>32664</v>
      </c>
      <c r="G4220" t="s">
        <v>32672</v>
      </c>
      <c r="H4220" t="s">
        <v>32682</v>
      </c>
      <c r="I4220" t="s">
        <v>32769</v>
      </c>
      <c r="J4220" t="s">
        <v>32943</v>
      </c>
      <c r="K4220" t="s">
        <v>42355</v>
      </c>
      <c r="M4220" t="s">
        <v>44203</v>
      </c>
      <c r="N4220" t="s">
        <v>46569</v>
      </c>
      <c r="O4220" t="s">
        <v>46570</v>
      </c>
      <c r="P4220">
        <v>0</v>
      </c>
      <c r="Q4220">
        <v>2</v>
      </c>
      <c r="R4220" t="s">
        <v>46572</v>
      </c>
      <c r="S4220" t="s">
        <v>46689</v>
      </c>
      <c r="T4220" t="s">
        <v>48416</v>
      </c>
      <c r="U4220" t="s">
        <v>52254</v>
      </c>
      <c r="W4220" t="s">
        <v>63520</v>
      </c>
      <c r="X4220" t="s">
        <v>46573</v>
      </c>
    </row>
    <row r="4221" spans="1:24">
      <c r="A4221">
        <f>HYPERLINK("https://www.philgeps.gov.ph/GEPSNONPILOT/Tender/SplashBidNoticeAbstractUI.aspx?menuIndex=3&amp;refID=7063929&amp;Result=3","7063929")</f>
        <v>0</v>
      </c>
      <c r="B4221" t="s">
        <v>1134</v>
      </c>
      <c r="C4221" t="s">
        <v>7587</v>
      </c>
      <c r="D4221" t="s">
        <v>18844</v>
      </c>
      <c r="E4221" t="s">
        <v>22691</v>
      </c>
      <c r="F4221" t="s">
        <v>32664</v>
      </c>
      <c r="G4221" t="s">
        <v>32672</v>
      </c>
      <c r="H4221" t="s">
        <v>12635</v>
      </c>
      <c r="I4221" t="s">
        <v>4439</v>
      </c>
      <c r="J4221" t="s">
        <v>35575</v>
      </c>
      <c r="K4221" t="s">
        <v>42303</v>
      </c>
      <c r="M4221" t="s">
        <v>43763</v>
      </c>
      <c r="N4221" t="s">
        <v>46569</v>
      </c>
      <c r="O4221" t="s">
        <v>46570</v>
      </c>
      <c r="P4221">
        <v>0</v>
      </c>
      <c r="Q4221">
        <v>0</v>
      </c>
      <c r="R4221" t="s">
        <v>46572</v>
      </c>
      <c r="S4221" t="s">
        <v>46689</v>
      </c>
      <c r="T4221" t="s">
        <v>48226</v>
      </c>
      <c r="U4221" t="s">
        <v>52255</v>
      </c>
      <c r="W4221" t="s">
        <v>43763</v>
      </c>
      <c r="X4221" t="s">
        <v>46573</v>
      </c>
    </row>
    <row r="4222" spans="1:24">
      <c r="A4222">
        <f>HYPERLINK("https://www.philgeps.gov.ph/GEPSNONPILOT/Tender/SplashBidNoticeAbstractUI.aspx?menuIndex=3&amp;refID=7063927&amp;Result=3","7063927")</f>
        <v>0</v>
      </c>
      <c r="B4222" t="s">
        <v>617</v>
      </c>
      <c r="C4222" t="s">
        <v>7588</v>
      </c>
      <c r="D4222" t="s">
        <v>18784</v>
      </c>
      <c r="E4222" t="s">
        <v>22692</v>
      </c>
      <c r="F4222" t="s">
        <v>32664</v>
      </c>
      <c r="G4222" t="s">
        <v>32674</v>
      </c>
      <c r="H4222" t="s">
        <v>12635</v>
      </c>
      <c r="I4222" t="s">
        <v>32694</v>
      </c>
      <c r="J4222" t="s">
        <v>35576</v>
      </c>
      <c r="K4222" t="s">
        <v>42289</v>
      </c>
      <c r="M4222" t="s">
        <v>43197</v>
      </c>
      <c r="N4222" t="s">
        <v>46569</v>
      </c>
      <c r="O4222" t="s">
        <v>46570</v>
      </c>
      <c r="P4222">
        <v>0</v>
      </c>
      <c r="Q4222">
        <v>1</v>
      </c>
      <c r="R4222" t="s">
        <v>46572</v>
      </c>
      <c r="S4222" t="s">
        <v>46689</v>
      </c>
      <c r="T4222" t="s">
        <v>48376</v>
      </c>
      <c r="U4222" t="s">
        <v>52256</v>
      </c>
      <c r="W4222" t="s">
        <v>43197</v>
      </c>
      <c r="X4222" t="s">
        <v>46573</v>
      </c>
    </row>
    <row r="4223" spans="1:24">
      <c r="A4223">
        <f>HYPERLINK("https://www.philgeps.gov.ph/GEPSNONPILOT/Tender/SplashBidNoticeAbstractUI.aspx?menuIndex=3&amp;refID=7063899&amp;Result=3","7063899")</f>
        <v>0</v>
      </c>
      <c r="B4223" t="s">
        <v>307</v>
      </c>
      <c r="C4223" t="s">
        <v>7589</v>
      </c>
      <c r="D4223" t="s">
        <v>18789</v>
      </c>
      <c r="E4223" t="s">
        <v>22693</v>
      </c>
      <c r="F4223" t="s">
        <v>32664</v>
      </c>
      <c r="G4223" t="s">
        <v>32672</v>
      </c>
      <c r="H4223" t="s">
        <v>12635</v>
      </c>
      <c r="I4223" t="s">
        <v>32696</v>
      </c>
      <c r="J4223" t="s">
        <v>33876</v>
      </c>
      <c r="K4223" t="s">
        <v>42289</v>
      </c>
      <c r="M4223" t="s">
        <v>42874</v>
      </c>
      <c r="N4223" t="s">
        <v>46569</v>
      </c>
      <c r="O4223" t="s">
        <v>46570</v>
      </c>
      <c r="P4223">
        <v>0</v>
      </c>
      <c r="Q4223">
        <v>0</v>
      </c>
      <c r="R4223" t="s">
        <v>46572</v>
      </c>
      <c r="S4223" t="s">
        <v>46689</v>
      </c>
      <c r="T4223" t="s">
        <v>48225</v>
      </c>
      <c r="U4223" t="s">
        <v>52257</v>
      </c>
      <c r="V4223" t="s">
        <v>62057</v>
      </c>
      <c r="W4223" t="s">
        <v>42874</v>
      </c>
      <c r="X4223" t="s">
        <v>46573</v>
      </c>
    </row>
    <row r="4224" spans="1:24">
      <c r="A4224">
        <f>HYPERLINK("https://www.philgeps.gov.ph/GEPSNONPILOT/Tender/SplashBidNoticeAbstractUI.aspx?menuIndex=3&amp;refID=7063926&amp;Result=3","7063926")</f>
        <v>0</v>
      </c>
      <c r="B4224" t="s">
        <v>1536</v>
      </c>
      <c r="C4224" t="s">
        <v>7590</v>
      </c>
      <c r="D4224" t="s">
        <v>18838</v>
      </c>
      <c r="E4224" t="s">
        <v>22694</v>
      </c>
      <c r="F4224" t="s">
        <v>32664</v>
      </c>
      <c r="G4224" t="s">
        <v>32677</v>
      </c>
      <c r="H4224" t="s">
        <v>12635</v>
      </c>
      <c r="I4224" t="s">
        <v>6168</v>
      </c>
      <c r="J4224" t="s">
        <v>35577</v>
      </c>
      <c r="K4224" t="s">
        <v>42295</v>
      </c>
      <c r="M4224" t="s">
        <v>44204</v>
      </c>
      <c r="N4224" t="s">
        <v>46569</v>
      </c>
      <c r="O4224" t="s">
        <v>46570</v>
      </c>
      <c r="P4224">
        <v>0</v>
      </c>
      <c r="Q4224">
        <v>1</v>
      </c>
      <c r="R4224" t="s">
        <v>46572</v>
      </c>
      <c r="S4224" t="s">
        <v>46689</v>
      </c>
      <c r="T4224" t="s">
        <v>48244</v>
      </c>
      <c r="U4224" t="s">
        <v>52258</v>
      </c>
      <c r="W4224" t="s">
        <v>44204</v>
      </c>
      <c r="X4224" t="s">
        <v>46573</v>
      </c>
    </row>
    <row r="4225" spans="1:24">
      <c r="A4225">
        <f>HYPERLINK("https://www.philgeps.gov.ph/GEPSNONPILOT/Tender/SplashBidNoticeAbstractUI.aspx?menuIndex=3&amp;refID=7063925&amp;Result=3","7063925")</f>
        <v>0</v>
      </c>
      <c r="B4225" t="s">
        <v>1517</v>
      </c>
      <c r="C4225" t="s">
        <v>7591</v>
      </c>
      <c r="D4225" t="s">
        <v>18816</v>
      </c>
      <c r="E4225" t="s">
        <v>22639</v>
      </c>
      <c r="F4225" t="s">
        <v>32664</v>
      </c>
      <c r="G4225" t="s">
        <v>32671</v>
      </c>
      <c r="H4225" t="s">
        <v>12635</v>
      </c>
      <c r="I4225" t="s">
        <v>14442</v>
      </c>
      <c r="J4225" t="s">
        <v>32859</v>
      </c>
      <c r="K4225" t="s">
        <v>42281</v>
      </c>
      <c r="M4225" t="s">
        <v>44184</v>
      </c>
      <c r="N4225" t="s">
        <v>46569</v>
      </c>
      <c r="O4225" t="s">
        <v>46570</v>
      </c>
      <c r="P4225">
        <v>0</v>
      </c>
      <c r="Q4225">
        <v>1</v>
      </c>
      <c r="R4225" t="s">
        <v>46572</v>
      </c>
      <c r="S4225" t="s">
        <v>46689</v>
      </c>
      <c r="T4225" t="s">
        <v>48256</v>
      </c>
      <c r="U4225" t="s">
        <v>52205</v>
      </c>
      <c r="W4225" t="s">
        <v>44184</v>
      </c>
      <c r="X4225" t="s">
        <v>46573</v>
      </c>
    </row>
    <row r="4226" spans="1:24">
      <c r="A4226">
        <f>HYPERLINK("https://www.philgeps.gov.ph/GEPSNONPILOT/Tender/SplashBidNoticeAbstractUI.aspx?menuIndex=3&amp;refID=7063924&amp;Result=3","7063924")</f>
        <v>0</v>
      </c>
      <c r="B4226" t="s">
        <v>295</v>
      </c>
      <c r="C4226" t="s">
        <v>7592</v>
      </c>
      <c r="D4226" t="s">
        <v>18848</v>
      </c>
      <c r="E4226" t="s">
        <v>22695</v>
      </c>
      <c r="F4226" t="s">
        <v>32664</v>
      </c>
      <c r="G4226" t="s">
        <v>32672</v>
      </c>
      <c r="H4226" t="s">
        <v>12635</v>
      </c>
      <c r="I4226" t="s">
        <v>6168</v>
      </c>
      <c r="J4226" t="s">
        <v>35578</v>
      </c>
      <c r="K4226" t="s">
        <v>42297</v>
      </c>
      <c r="M4226" t="s">
        <v>42862</v>
      </c>
      <c r="N4226" t="s">
        <v>46569</v>
      </c>
      <c r="O4226" t="s">
        <v>46570</v>
      </c>
      <c r="P4226">
        <v>0</v>
      </c>
      <c r="Q4226">
        <v>0</v>
      </c>
      <c r="R4226" t="s">
        <v>46572</v>
      </c>
      <c r="S4226" t="s">
        <v>46689</v>
      </c>
      <c r="T4226" t="s">
        <v>48322</v>
      </c>
      <c r="U4226" t="s">
        <v>52259</v>
      </c>
      <c r="W4226" t="s">
        <v>42862</v>
      </c>
      <c r="X4226" t="s">
        <v>46573</v>
      </c>
    </row>
    <row r="4227" spans="1:24">
      <c r="A4227">
        <f>HYPERLINK("https://www.philgeps.gov.ph/GEPSNONPILOT/Tender/SplashBidNoticeAbstractUI.aspx?menuIndex=3&amp;refID=7063923&amp;Result=3","7063923")</f>
        <v>0</v>
      </c>
      <c r="B4227" t="s">
        <v>229</v>
      </c>
      <c r="C4227" t="s">
        <v>7593</v>
      </c>
      <c r="D4227" t="s">
        <v>18838</v>
      </c>
      <c r="E4227" t="s">
        <v>22696</v>
      </c>
      <c r="F4227" t="s">
        <v>32664</v>
      </c>
      <c r="G4227" t="s">
        <v>32671</v>
      </c>
      <c r="H4227" t="s">
        <v>12635</v>
      </c>
      <c r="I4227" t="s">
        <v>6223</v>
      </c>
      <c r="J4227" t="s">
        <v>33436</v>
      </c>
      <c r="K4227" t="s">
        <v>42297</v>
      </c>
      <c r="M4227" t="s">
        <v>42793</v>
      </c>
      <c r="N4227" t="s">
        <v>46569</v>
      </c>
      <c r="O4227" t="s">
        <v>46570</v>
      </c>
      <c r="P4227">
        <v>0</v>
      </c>
      <c r="Q4227">
        <v>7</v>
      </c>
      <c r="R4227" t="s">
        <v>46572</v>
      </c>
      <c r="S4227" t="s">
        <v>46689</v>
      </c>
      <c r="T4227" t="s">
        <v>48221</v>
      </c>
      <c r="U4227" t="s">
        <v>52260</v>
      </c>
      <c r="W4227" t="s">
        <v>42793</v>
      </c>
      <c r="X4227" t="s">
        <v>46573</v>
      </c>
    </row>
    <row r="4228" spans="1:24">
      <c r="A4228">
        <f>HYPERLINK("https://www.philgeps.gov.ph/GEPSNONPILOT/Tender/SplashBidNoticeAbstractUI.aspx?menuIndex=3&amp;refID=7063922&amp;Result=3","7063922")</f>
        <v>0</v>
      </c>
      <c r="B4228" t="s">
        <v>721</v>
      </c>
      <c r="C4228" t="s">
        <v>7594</v>
      </c>
      <c r="D4228" t="s">
        <v>18860</v>
      </c>
      <c r="E4228" t="s">
        <v>22697</v>
      </c>
      <c r="F4228" t="s">
        <v>32664</v>
      </c>
      <c r="G4228" t="s">
        <v>32672</v>
      </c>
      <c r="H4228" t="s">
        <v>32683</v>
      </c>
      <c r="I4228" t="s">
        <v>10627</v>
      </c>
      <c r="J4228" t="s">
        <v>34667</v>
      </c>
      <c r="K4228" t="s">
        <v>42290</v>
      </c>
      <c r="M4228" t="s">
        <v>44205</v>
      </c>
      <c r="N4228" t="s">
        <v>46569</v>
      </c>
      <c r="O4228" t="s">
        <v>46570</v>
      </c>
      <c r="P4228">
        <v>0</v>
      </c>
      <c r="Q4228">
        <v>0</v>
      </c>
      <c r="R4228" t="s">
        <v>46572</v>
      </c>
      <c r="S4228" t="s">
        <v>46689</v>
      </c>
      <c r="T4228" t="s">
        <v>48274</v>
      </c>
      <c r="U4228" t="s">
        <v>52261</v>
      </c>
      <c r="W4228" t="s">
        <v>44205</v>
      </c>
      <c r="X4228" t="s">
        <v>46573</v>
      </c>
    </row>
    <row r="4229" spans="1:24">
      <c r="A4229">
        <f>HYPERLINK("https://www.philgeps.gov.ph/GEPSNONPILOT/Tender/SplashBidNoticeAbstractUI.aspx?menuIndex=3&amp;refID=7063920&amp;Result=3","7063920")</f>
        <v>0</v>
      </c>
      <c r="B4229" t="s">
        <v>689</v>
      </c>
      <c r="C4229" t="s">
        <v>7595</v>
      </c>
      <c r="D4229" t="s">
        <v>18800</v>
      </c>
      <c r="E4229" t="s">
        <v>22698</v>
      </c>
      <c r="F4229" t="s">
        <v>32664</v>
      </c>
      <c r="G4229" t="s">
        <v>32672</v>
      </c>
      <c r="H4229" t="s">
        <v>12635</v>
      </c>
      <c r="I4229" t="s">
        <v>32696</v>
      </c>
      <c r="J4229" t="s">
        <v>35579</v>
      </c>
      <c r="K4229" t="s">
        <v>42311</v>
      </c>
      <c r="M4229" t="s">
        <v>43276</v>
      </c>
      <c r="N4229" t="s">
        <v>46569</v>
      </c>
      <c r="O4229" t="s">
        <v>46570</v>
      </c>
      <c r="P4229">
        <v>0</v>
      </c>
      <c r="Q4229">
        <v>6</v>
      </c>
      <c r="R4229" t="s">
        <v>46572</v>
      </c>
      <c r="S4229" t="s">
        <v>46689</v>
      </c>
      <c r="T4229" t="s">
        <v>48508</v>
      </c>
      <c r="U4229" t="s">
        <v>52262</v>
      </c>
      <c r="V4229" t="s">
        <v>61795</v>
      </c>
      <c r="W4229" t="s">
        <v>43276</v>
      </c>
      <c r="X4229" t="s">
        <v>46573</v>
      </c>
    </row>
    <row r="4230" spans="1:24">
      <c r="A4230">
        <f>HYPERLINK("https://www.philgeps.gov.ph/GEPSNONPILOT/Tender/SplashBidNoticeAbstractUI.aspx?menuIndex=3&amp;refID=7063893&amp;Result=3","7063893")</f>
        <v>0</v>
      </c>
      <c r="B4230" t="s">
        <v>1537</v>
      </c>
      <c r="C4230" t="s">
        <v>7596</v>
      </c>
      <c r="D4230" t="s">
        <v>18838</v>
      </c>
      <c r="E4230" t="s">
        <v>22699</v>
      </c>
      <c r="F4230" t="s">
        <v>32664</v>
      </c>
      <c r="G4230" t="s">
        <v>32672</v>
      </c>
      <c r="H4230" t="s">
        <v>12635</v>
      </c>
      <c r="I4230" t="s">
        <v>4439</v>
      </c>
      <c r="J4230" t="s">
        <v>35580</v>
      </c>
      <c r="K4230" t="s">
        <v>42283</v>
      </c>
      <c r="M4230" t="s">
        <v>44206</v>
      </c>
      <c r="N4230" t="s">
        <v>46569</v>
      </c>
      <c r="O4230" t="s">
        <v>46570</v>
      </c>
      <c r="P4230">
        <v>0</v>
      </c>
      <c r="Q4230">
        <v>0</v>
      </c>
      <c r="R4230" t="s">
        <v>46572</v>
      </c>
      <c r="S4230" t="s">
        <v>46689</v>
      </c>
      <c r="T4230" t="s">
        <v>48312</v>
      </c>
      <c r="U4230" t="s">
        <v>52263</v>
      </c>
      <c r="W4230" t="s">
        <v>44206</v>
      </c>
      <c r="X4230" t="s">
        <v>46573</v>
      </c>
    </row>
    <row r="4231" spans="1:24">
      <c r="A4231">
        <f>HYPERLINK("https://www.philgeps.gov.ph/GEPSNONPILOT/Tender/SplashBidNoticeAbstractUI.aspx?menuIndex=3&amp;refID=7063930&amp;Result=3","7063930")</f>
        <v>0</v>
      </c>
      <c r="B4231" t="s">
        <v>817</v>
      </c>
      <c r="C4231" t="s">
        <v>7564</v>
      </c>
      <c r="E4231" t="s">
        <v>22700</v>
      </c>
      <c r="F4231" t="s">
        <v>32664</v>
      </c>
      <c r="G4231" t="s">
        <v>32671</v>
      </c>
      <c r="H4231" t="s">
        <v>12635</v>
      </c>
      <c r="I4231" t="s">
        <v>32685</v>
      </c>
      <c r="J4231" t="s">
        <v>35581</v>
      </c>
      <c r="K4231" t="s">
        <v>42283</v>
      </c>
      <c r="M4231" t="s">
        <v>43412</v>
      </c>
      <c r="N4231" t="s">
        <v>46569</v>
      </c>
      <c r="O4231" t="s">
        <v>46570</v>
      </c>
      <c r="P4231">
        <v>0</v>
      </c>
      <c r="Q4231">
        <v>0</v>
      </c>
      <c r="R4231" t="s">
        <v>46572</v>
      </c>
      <c r="S4231" t="s">
        <v>46689</v>
      </c>
      <c r="T4231" t="s">
        <v>48244</v>
      </c>
      <c r="U4231" t="s">
        <v>50349</v>
      </c>
      <c r="W4231" t="s">
        <v>43412</v>
      </c>
      <c r="X4231" t="s">
        <v>46573</v>
      </c>
    </row>
    <row r="4232" spans="1:24">
      <c r="A4232">
        <f>HYPERLINK("https://www.philgeps.gov.ph/GEPSNONPILOT/Tender/SplashBidNoticeAbstractUI.aspx?menuIndex=3&amp;refID=7063918&amp;Result=3","7063918")</f>
        <v>0</v>
      </c>
      <c r="B4232" t="s">
        <v>1538</v>
      </c>
      <c r="C4232" t="s">
        <v>7597</v>
      </c>
      <c r="D4232" t="s">
        <v>18804</v>
      </c>
      <c r="E4232" t="s">
        <v>22701</v>
      </c>
      <c r="F4232" t="s">
        <v>32664</v>
      </c>
      <c r="G4232" t="s">
        <v>32671</v>
      </c>
      <c r="H4232" t="s">
        <v>12635</v>
      </c>
      <c r="I4232" t="s">
        <v>32716</v>
      </c>
      <c r="J4232" t="s">
        <v>33221</v>
      </c>
      <c r="K4232" t="s">
        <v>42284</v>
      </c>
      <c r="M4232" t="s">
        <v>44207</v>
      </c>
      <c r="N4232" t="s">
        <v>46569</v>
      </c>
      <c r="O4232" t="s">
        <v>46570</v>
      </c>
      <c r="P4232">
        <v>0</v>
      </c>
      <c r="Q4232">
        <v>0</v>
      </c>
      <c r="R4232" t="s">
        <v>46572</v>
      </c>
      <c r="S4232" t="s">
        <v>46689</v>
      </c>
      <c r="T4232" t="s">
        <v>48219</v>
      </c>
      <c r="U4232" t="s">
        <v>52264</v>
      </c>
      <c r="W4232" t="s">
        <v>44207</v>
      </c>
      <c r="X4232" t="s">
        <v>46573</v>
      </c>
    </row>
    <row r="4233" spans="1:24">
      <c r="A4233">
        <f>HYPERLINK("https://www.philgeps.gov.ph/GEPSNONPILOT/Tender/SplashBidNoticeAbstractUI.aspx?menuIndex=3&amp;refID=7063917&amp;Result=3","7063917")</f>
        <v>0</v>
      </c>
      <c r="B4233" t="s">
        <v>1247</v>
      </c>
      <c r="C4233" t="s">
        <v>7598</v>
      </c>
      <c r="D4233" t="s">
        <v>18802</v>
      </c>
      <c r="E4233" t="s">
        <v>22702</v>
      </c>
      <c r="F4233" t="s">
        <v>32664</v>
      </c>
      <c r="G4233" t="s">
        <v>32671</v>
      </c>
      <c r="H4233" t="s">
        <v>32683</v>
      </c>
      <c r="I4233" t="s">
        <v>10627</v>
      </c>
      <c r="J4233" t="s">
        <v>32865</v>
      </c>
      <c r="K4233" t="s">
        <v>42423</v>
      </c>
      <c r="M4233" t="s">
        <v>43889</v>
      </c>
      <c r="N4233" t="s">
        <v>46569</v>
      </c>
      <c r="O4233" t="s">
        <v>46570</v>
      </c>
      <c r="P4233">
        <v>0</v>
      </c>
      <c r="Q4233">
        <v>0</v>
      </c>
      <c r="R4233" t="s">
        <v>46572</v>
      </c>
      <c r="S4233" t="s">
        <v>46689</v>
      </c>
      <c r="T4233" t="s">
        <v>48219</v>
      </c>
      <c r="U4233" t="s">
        <v>51438</v>
      </c>
      <c r="W4233" t="s">
        <v>43889</v>
      </c>
      <c r="X4233" t="s">
        <v>46573</v>
      </c>
    </row>
    <row r="4234" spans="1:24">
      <c r="A4234">
        <f>HYPERLINK("https://www.philgeps.gov.ph/GEPSNONPILOT/Tender/SplashBidNoticeAbstractUI.aspx?menuIndex=3&amp;refID=7063916&amp;Result=3","7063916")</f>
        <v>0</v>
      </c>
      <c r="B4234" t="s">
        <v>166</v>
      </c>
      <c r="C4234" t="s">
        <v>7599</v>
      </c>
      <c r="D4234" t="s">
        <v>18792</v>
      </c>
      <c r="E4234" t="s">
        <v>22703</v>
      </c>
      <c r="F4234" t="s">
        <v>32664</v>
      </c>
      <c r="G4234" t="s">
        <v>32671</v>
      </c>
      <c r="H4234" t="s">
        <v>12635</v>
      </c>
      <c r="I4234" t="s">
        <v>6223</v>
      </c>
      <c r="J4234" t="s">
        <v>33031</v>
      </c>
      <c r="K4234" t="s">
        <v>42283</v>
      </c>
      <c r="M4234" t="s">
        <v>42730</v>
      </c>
      <c r="N4234" t="s">
        <v>46569</v>
      </c>
      <c r="O4234" t="s">
        <v>46570</v>
      </c>
      <c r="P4234">
        <v>0</v>
      </c>
      <c r="Q4234">
        <v>0</v>
      </c>
      <c r="R4234" t="s">
        <v>46572</v>
      </c>
      <c r="S4234" t="s">
        <v>46689</v>
      </c>
      <c r="T4234" t="s">
        <v>48219</v>
      </c>
      <c r="U4234" t="s">
        <v>52265</v>
      </c>
      <c r="W4234" t="s">
        <v>42730</v>
      </c>
      <c r="X4234" t="s">
        <v>46573</v>
      </c>
    </row>
    <row r="4235" spans="1:24">
      <c r="A4235">
        <f>HYPERLINK("https://www.philgeps.gov.ph/GEPSNONPILOT/Tender/SplashBidNoticeAbstractUI.aspx?menuIndex=3&amp;refID=7063915&amp;Result=3","7063915")</f>
        <v>0</v>
      </c>
      <c r="B4235" t="s">
        <v>1539</v>
      </c>
      <c r="C4235" t="s">
        <v>7600</v>
      </c>
      <c r="D4235" t="s">
        <v>18792</v>
      </c>
      <c r="E4235" t="s">
        <v>22704</v>
      </c>
      <c r="F4235" t="s">
        <v>32664</v>
      </c>
      <c r="G4235" t="s">
        <v>32674</v>
      </c>
      <c r="H4235" t="s">
        <v>12635</v>
      </c>
      <c r="I4235" t="s">
        <v>32685</v>
      </c>
      <c r="J4235" t="s">
        <v>35582</v>
      </c>
      <c r="K4235" t="s">
        <v>42281</v>
      </c>
      <c r="M4235" t="s">
        <v>44208</v>
      </c>
      <c r="N4235" t="s">
        <v>46569</v>
      </c>
      <c r="O4235" t="s">
        <v>46570</v>
      </c>
      <c r="P4235">
        <v>0</v>
      </c>
      <c r="Q4235">
        <v>0</v>
      </c>
      <c r="R4235" t="s">
        <v>46572</v>
      </c>
      <c r="S4235" t="s">
        <v>46689</v>
      </c>
      <c r="T4235" t="s">
        <v>48287</v>
      </c>
      <c r="U4235" t="s">
        <v>52266</v>
      </c>
      <c r="W4235" t="s">
        <v>44208</v>
      </c>
      <c r="X4235" t="s">
        <v>46573</v>
      </c>
    </row>
    <row r="4236" spans="1:24">
      <c r="A4236">
        <f>HYPERLINK("https://www.philgeps.gov.ph/GEPSNONPILOT/Tender/SplashBidNoticeAbstractUI.aspx?menuIndex=3&amp;refID=7063914&amp;Result=3","7063914")</f>
        <v>0</v>
      </c>
      <c r="B4236" t="s">
        <v>791</v>
      </c>
      <c r="C4236" t="s">
        <v>7601</v>
      </c>
      <c r="D4236" t="s">
        <v>18785</v>
      </c>
      <c r="E4236" t="s">
        <v>22705</v>
      </c>
      <c r="F4236" t="s">
        <v>32664</v>
      </c>
      <c r="G4236" t="s">
        <v>32672</v>
      </c>
      <c r="H4236" t="s">
        <v>32683</v>
      </c>
      <c r="I4236" t="s">
        <v>10627</v>
      </c>
      <c r="J4236" t="s">
        <v>34379</v>
      </c>
      <c r="K4236" t="s">
        <v>42285</v>
      </c>
      <c r="M4236" t="s">
        <v>43383</v>
      </c>
      <c r="N4236" t="s">
        <v>46569</v>
      </c>
      <c r="O4236" t="s">
        <v>46570</v>
      </c>
      <c r="P4236">
        <v>0</v>
      </c>
      <c r="Q4236">
        <v>12</v>
      </c>
      <c r="R4236" t="s">
        <v>46572</v>
      </c>
      <c r="S4236" t="s">
        <v>46689</v>
      </c>
      <c r="T4236" t="s">
        <v>48253</v>
      </c>
      <c r="U4236" t="s">
        <v>52267</v>
      </c>
      <c r="W4236" t="s">
        <v>43383</v>
      </c>
      <c r="X4236" t="s">
        <v>46573</v>
      </c>
    </row>
    <row r="4237" spans="1:24">
      <c r="A4237">
        <f>HYPERLINK("https://www.philgeps.gov.ph/GEPSNONPILOT/Tender/SplashBidNoticeAbstractUI.aspx?menuIndex=3&amp;refID=7063913&amp;Result=3","7063913")</f>
        <v>0</v>
      </c>
      <c r="B4237" t="s">
        <v>1397</v>
      </c>
      <c r="C4237" t="s">
        <v>7602</v>
      </c>
      <c r="D4237" t="s">
        <v>18803</v>
      </c>
      <c r="E4237" t="s">
        <v>19178</v>
      </c>
      <c r="F4237" t="s">
        <v>32664</v>
      </c>
      <c r="G4237" t="s">
        <v>32678</v>
      </c>
      <c r="H4237" t="s">
        <v>32681</v>
      </c>
      <c r="I4237" t="s">
        <v>32681</v>
      </c>
      <c r="J4237" t="s">
        <v>35583</v>
      </c>
      <c r="K4237" t="s">
        <v>42377</v>
      </c>
      <c r="M4237" t="s">
        <v>44054</v>
      </c>
      <c r="N4237" t="s">
        <v>46569</v>
      </c>
      <c r="O4237" t="s">
        <v>46570</v>
      </c>
      <c r="P4237">
        <v>0</v>
      </c>
      <c r="Q4237">
        <v>0</v>
      </c>
      <c r="R4237" t="s">
        <v>46572</v>
      </c>
      <c r="S4237" t="s">
        <v>46689</v>
      </c>
      <c r="T4237" t="s">
        <v>48315</v>
      </c>
      <c r="U4237" t="s">
        <v>52268</v>
      </c>
      <c r="W4237" t="s">
        <v>44054</v>
      </c>
      <c r="X4237" t="s">
        <v>46573</v>
      </c>
    </row>
    <row r="4238" spans="1:24">
      <c r="A4238">
        <f>HYPERLINK("https://www.philgeps.gov.ph/GEPSNONPILOT/Tender/SplashBidNoticeAbstractUI.aspx?menuIndex=3&amp;refID=7063921&amp;Result=3","7063921")</f>
        <v>0</v>
      </c>
      <c r="B4238" t="s">
        <v>1540</v>
      </c>
      <c r="C4238" t="s">
        <v>7603</v>
      </c>
      <c r="D4238" t="s">
        <v>18838</v>
      </c>
      <c r="E4238" t="s">
        <v>22706</v>
      </c>
      <c r="F4238" t="s">
        <v>32664</v>
      </c>
      <c r="G4238" t="s">
        <v>32671</v>
      </c>
      <c r="H4238" t="s">
        <v>12635</v>
      </c>
      <c r="I4238" t="s">
        <v>9486</v>
      </c>
      <c r="J4238" t="s">
        <v>32898</v>
      </c>
      <c r="K4238" t="s">
        <v>42283</v>
      </c>
      <c r="M4238" t="s">
        <v>44209</v>
      </c>
      <c r="N4238" t="s">
        <v>46569</v>
      </c>
      <c r="O4238" t="s">
        <v>46570</v>
      </c>
      <c r="P4238">
        <v>0</v>
      </c>
      <c r="Q4238">
        <v>1</v>
      </c>
      <c r="R4238" t="s">
        <v>46572</v>
      </c>
      <c r="S4238" t="s">
        <v>46689</v>
      </c>
      <c r="T4238" t="s">
        <v>48312</v>
      </c>
      <c r="U4238" t="s">
        <v>52269</v>
      </c>
      <c r="W4238" t="s">
        <v>44209</v>
      </c>
      <c r="X4238" t="s">
        <v>46573</v>
      </c>
    </row>
    <row r="4239" spans="1:24">
      <c r="A4239">
        <f>HYPERLINK("https://www.philgeps.gov.ph/GEPSNONPILOT/Tender/SplashBidNoticeAbstractUI.aspx?menuIndex=3&amp;refID=7063890&amp;Result=3","7063890")</f>
        <v>0</v>
      </c>
      <c r="B4239" t="s">
        <v>295</v>
      </c>
      <c r="C4239" t="s">
        <v>7604</v>
      </c>
      <c r="D4239" t="s">
        <v>18848</v>
      </c>
      <c r="E4239" t="s">
        <v>22707</v>
      </c>
      <c r="F4239" t="s">
        <v>32664</v>
      </c>
      <c r="G4239" t="s">
        <v>32672</v>
      </c>
      <c r="H4239" t="s">
        <v>12635</v>
      </c>
      <c r="I4239" t="s">
        <v>6118</v>
      </c>
      <c r="J4239" t="s">
        <v>35554</v>
      </c>
      <c r="K4239" t="s">
        <v>42297</v>
      </c>
      <c r="M4239" t="s">
        <v>42862</v>
      </c>
      <c r="N4239" t="s">
        <v>46569</v>
      </c>
      <c r="O4239" t="s">
        <v>46570</v>
      </c>
      <c r="P4239">
        <v>0</v>
      </c>
      <c r="Q4239">
        <v>0</v>
      </c>
      <c r="R4239" t="s">
        <v>46572</v>
      </c>
      <c r="S4239" t="s">
        <v>46689</v>
      </c>
      <c r="T4239" t="s">
        <v>48322</v>
      </c>
      <c r="U4239" t="s">
        <v>52217</v>
      </c>
      <c r="W4239" t="s">
        <v>42862</v>
      </c>
      <c r="X4239" t="s">
        <v>46573</v>
      </c>
    </row>
    <row r="4240" spans="1:24">
      <c r="A4240">
        <f>HYPERLINK("https://www.philgeps.gov.ph/GEPSNONPILOT/Tender/SplashBidNoticeAbstractUI.aspx?menuIndex=3&amp;refID=7063888&amp;Result=3","7063888")</f>
        <v>0</v>
      </c>
      <c r="B4240" t="s">
        <v>1541</v>
      </c>
      <c r="C4240" t="s">
        <v>7605</v>
      </c>
      <c r="D4240" t="s">
        <v>18781</v>
      </c>
      <c r="E4240" t="s">
        <v>22708</v>
      </c>
      <c r="F4240" t="s">
        <v>32664</v>
      </c>
      <c r="G4240" t="s">
        <v>32672</v>
      </c>
      <c r="H4240" t="s">
        <v>12635</v>
      </c>
      <c r="I4240" t="s">
        <v>9486</v>
      </c>
      <c r="J4240" t="s">
        <v>35584</v>
      </c>
      <c r="K4240" t="s">
        <v>42281</v>
      </c>
      <c r="M4240" t="s">
        <v>44210</v>
      </c>
      <c r="N4240" t="s">
        <v>46569</v>
      </c>
      <c r="O4240" t="s">
        <v>46570</v>
      </c>
      <c r="P4240">
        <v>0</v>
      </c>
      <c r="Q4240">
        <v>3</v>
      </c>
      <c r="R4240" t="s">
        <v>46572</v>
      </c>
      <c r="S4240" t="s">
        <v>46689</v>
      </c>
      <c r="T4240" t="s">
        <v>48245</v>
      </c>
      <c r="U4240" t="s">
        <v>52270</v>
      </c>
      <c r="W4240" t="s">
        <v>44210</v>
      </c>
      <c r="X4240" t="s">
        <v>46573</v>
      </c>
    </row>
    <row r="4241" spans="1:24">
      <c r="A4241">
        <f>HYPERLINK("https://www.philgeps.gov.ph/GEPSNONPILOT/Tender/SplashBidNoticeAbstractUI.aspx?menuIndex=3&amp;refID=7063867&amp;Result=3","7063867")</f>
        <v>0</v>
      </c>
      <c r="B4241" t="s">
        <v>1527</v>
      </c>
      <c r="C4241" t="s">
        <v>7606</v>
      </c>
      <c r="E4241" t="s">
        <v>22709</v>
      </c>
      <c r="F4241" t="s">
        <v>32664</v>
      </c>
      <c r="G4241" t="s">
        <v>32672</v>
      </c>
      <c r="H4241" t="s">
        <v>12635</v>
      </c>
      <c r="I4241" t="s">
        <v>4439</v>
      </c>
      <c r="J4241" t="s">
        <v>34076</v>
      </c>
      <c r="K4241" t="s">
        <v>42284</v>
      </c>
      <c r="M4241" t="s">
        <v>44194</v>
      </c>
      <c r="N4241" t="s">
        <v>46569</v>
      </c>
      <c r="O4241" t="s">
        <v>46570</v>
      </c>
      <c r="P4241">
        <v>0</v>
      </c>
      <c r="Q4241">
        <v>0</v>
      </c>
      <c r="R4241" t="s">
        <v>46572</v>
      </c>
      <c r="S4241" t="s">
        <v>46689</v>
      </c>
      <c r="T4241" t="s">
        <v>48373</v>
      </c>
      <c r="U4241" t="s">
        <v>52271</v>
      </c>
      <c r="W4241" t="s">
        <v>44194</v>
      </c>
      <c r="X4241" t="s">
        <v>46573</v>
      </c>
    </row>
    <row r="4242" spans="1:24">
      <c r="A4242">
        <f>HYPERLINK("https://www.philgeps.gov.ph/GEPSNONPILOT/Tender/SplashBidNoticeAbstractUI.aspx?menuIndex=3&amp;refID=7063866&amp;Result=3","7063866")</f>
        <v>0</v>
      </c>
      <c r="B4242" t="s">
        <v>1247</v>
      </c>
      <c r="C4242" t="s">
        <v>7607</v>
      </c>
      <c r="D4242" t="s">
        <v>18802</v>
      </c>
      <c r="E4242" t="s">
        <v>22710</v>
      </c>
      <c r="F4242" t="s">
        <v>32664</v>
      </c>
      <c r="G4242" t="s">
        <v>32671</v>
      </c>
      <c r="H4242" t="s">
        <v>12635</v>
      </c>
      <c r="I4242" t="s">
        <v>4439</v>
      </c>
      <c r="J4242" t="s">
        <v>35585</v>
      </c>
      <c r="K4242" t="s">
        <v>42297</v>
      </c>
      <c r="M4242" t="s">
        <v>43889</v>
      </c>
      <c r="N4242" t="s">
        <v>46569</v>
      </c>
      <c r="O4242" t="s">
        <v>46570</v>
      </c>
      <c r="P4242">
        <v>0</v>
      </c>
      <c r="Q4242">
        <v>2</v>
      </c>
      <c r="R4242" t="s">
        <v>46572</v>
      </c>
      <c r="S4242" t="s">
        <v>46689</v>
      </c>
      <c r="T4242" t="s">
        <v>48219</v>
      </c>
      <c r="U4242" t="s">
        <v>51438</v>
      </c>
      <c r="W4242" t="s">
        <v>43889</v>
      </c>
      <c r="X4242" t="s">
        <v>46573</v>
      </c>
    </row>
    <row r="4243" spans="1:24">
      <c r="A4243">
        <f>HYPERLINK("https://www.philgeps.gov.ph/GEPSNONPILOT/Tender/SplashBidNoticeAbstractUI.aspx?menuIndex=3&amp;refID=7063859&amp;Result=3","7063859")</f>
        <v>0</v>
      </c>
      <c r="B4243" t="s">
        <v>1542</v>
      </c>
      <c r="C4243" t="s">
        <v>5551</v>
      </c>
      <c r="D4243" t="s">
        <v>18788</v>
      </c>
      <c r="E4243" t="s">
        <v>22711</v>
      </c>
      <c r="F4243" t="s">
        <v>32664</v>
      </c>
      <c r="G4243" t="s">
        <v>32674</v>
      </c>
      <c r="H4243" t="s">
        <v>12635</v>
      </c>
      <c r="I4243" t="s">
        <v>4997</v>
      </c>
      <c r="J4243" t="s">
        <v>35586</v>
      </c>
      <c r="K4243" t="s">
        <v>42309</v>
      </c>
      <c r="M4243" t="s">
        <v>44211</v>
      </c>
      <c r="N4243" t="s">
        <v>46569</v>
      </c>
      <c r="O4243" t="s">
        <v>46570</v>
      </c>
      <c r="P4243">
        <v>0</v>
      </c>
      <c r="Q4243">
        <v>1</v>
      </c>
      <c r="R4243" t="s">
        <v>46572</v>
      </c>
      <c r="S4243" t="s">
        <v>46689</v>
      </c>
      <c r="T4243" t="s">
        <v>48287</v>
      </c>
      <c r="U4243" t="s">
        <v>52272</v>
      </c>
      <c r="W4243" t="s">
        <v>44211</v>
      </c>
      <c r="X4243" t="s">
        <v>46573</v>
      </c>
    </row>
    <row r="4244" spans="1:24">
      <c r="A4244">
        <f>HYPERLINK("https://www.philgeps.gov.ph/GEPSNONPILOT/Tender/SplashBidNoticeAbstractUI.aspx?menuIndex=3&amp;refID=7063928&amp;Result=3","7063928")</f>
        <v>0</v>
      </c>
      <c r="B4244" t="s">
        <v>1518</v>
      </c>
      <c r="C4244" t="s">
        <v>7608</v>
      </c>
      <c r="D4244" t="s">
        <v>18824</v>
      </c>
      <c r="E4244" t="s">
        <v>22712</v>
      </c>
      <c r="F4244" t="s">
        <v>32664</v>
      </c>
      <c r="G4244" t="s">
        <v>32672</v>
      </c>
      <c r="H4244" t="s">
        <v>12635</v>
      </c>
      <c r="I4244" t="s">
        <v>8730</v>
      </c>
      <c r="J4244" t="s">
        <v>33625</v>
      </c>
      <c r="K4244" t="s">
        <v>42297</v>
      </c>
      <c r="M4244" t="s">
        <v>44185</v>
      </c>
      <c r="N4244" t="s">
        <v>46569</v>
      </c>
      <c r="O4244" t="s">
        <v>46570</v>
      </c>
      <c r="P4244">
        <v>0</v>
      </c>
      <c r="Q4244">
        <v>2</v>
      </c>
      <c r="R4244" t="s">
        <v>46572</v>
      </c>
      <c r="S4244" t="s">
        <v>46689</v>
      </c>
      <c r="T4244" t="s">
        <v>48225</v>
      </c>
      <c r="U4244" t="s">
        <v>52273</v>
      </c>
      <c r="W4244" t="s">
        <v>44185</v>
      </c>
      <c r="X4244" t="s">
        <v>46573</v>
      </c>
    </row>
    <row r="4245" spans="1:24">
      <c r="A4245">
        <f>HYPERLINK("https://www.philgeps.gov.ph/GEPSNONPILOT/Tender/SplashBidNoticeAbstractUI.aspx?menuIndex=3&amp;refID=7063912&amp;Result=3","7063912")</f>
        <v>0</v>
      </c>
      <c r="B4245" t="s">
        <v>1543</v>
      </c>
      <c r="C4245" t="s">
        <v>7609</v>
      </c>
      <c r="E4245" t="s">
        <v>22713</v>
      </c>
      <c r="F4245" t="s">
        <v>32664</v>
      </c>
      <c r="G4245" t="s">
        <v>32671</v>
      </c>
      <c r="H4245" t="s">
        <v>32683</v>
      </c>
      <c r="I4245" t="s">
        <v>10627</v>
      </c>
      <c r="J4245" t="s">
        <v>32870</v>
      </c>
      <c r="K4245" t="s">
        <v>42283</v>
      </c>
      <c r="M4245" t="s">
        <v>44212</v>
      </c>
      <c r="N4245" t="s">
        <v>46569</v>
      </c>
      <c r="O4245" t="s">
        <v>46570</v>
      </c>
      <c r="P4245">
        <v>0</v>
      </c>
      <c r="Q4245">
        <v>3</v>
      </c>
      <c r="R4245" t="s">
        <v>46572</v>
      </c>
      <c r="S4245" t="s">
        <v>46689</v>
      </c>
      <c r="T4245" t="s">
        <v>48312</v>
      </c>
      <c r="U4245" t="s">
        <v>52274</v>
      </c>
      <c r="V4245" t="s">
        <v>62058</v>
      </c>
      <c r="W4245" t="s">
        <v>44212</v>
      </c>
      <c r="X4245" t="s">
        <v>46573</v>
      </c>
    </row>
    <row r="4246" spans="1:24">
      <c r="A4246">
        <f>HYPERLINK("https://www.philgeps.gov.ph/GEPSNONPILOT/Tender/SplashBidNoticeAbstractUI.aspx?menuIndex=3&amp;refID=7063858&amp;Result=3","7063858")</f>
        <v>0</v>
      </c>
      <c r="B4246" t="s">
        <v>674</v>
      </c>
      <c r="C4246" t="s">
        <v>7610</v>
      </c>
      <c r="D4246" t="s">
        <v>18821</v>
      </c>
      <c r="E4246" t="s">
        <v>22714</v>
      </c>
      <c r="F4246" t="s">
        <v>32664</v>
      </c>
      <c r="G4246" t="s">
        <v>32671</v>
      </c>
      <c r="H4246" t="s">
        <v>12635</v>
      </c>
      <c r="I4246" t="s">
        <v>32685</v>
      </c>
      <c r="J4246" t="s">
        <v>35587</v>
      </c>
      <c r="K4246" t="s">
        <v>42289</v>
      </c>
      <c r="M4246" t="s">
        <v>43261</v>
      </c>
      <c r="N4246" t="s">
        <v>46569</v>
      </c>
      <c r="O4246" t="s">
        <v>46570</v>
      </c>
      <c r="P4246">
        <v>0</v>
      </c>
      <c r="Q4246">
        <v>1</v>
      </c>
      <c r="R4246" t="s">
        <v>46572</v>
      </c>
      <c r="S4246" t="s">
        <v>46689</v>
      </c>
      <c r="T4246" t="s">
        <v>48293</v>
      </c>
      <c r="U4246" t="s">
        <v>52275</v>
      </c>
      <c r="W4246" t="s">
        <v>43261</v>
      </c>
      <c r="X4246" t="s">
        <v>46573</v>
      </c>
    </row>
    <row r="4247" spans="1:24">
      <c r="A4247">
        <f>HYPERLINK("https://www.philgeps.gov.ph/GEPSNONPILOT/Tender/SplashBidNoticeAbstractUI.aspx?menuIndex=3&amp;refID=7063839&amp;Result=3","7063839")</f>
        <v>0</v>
      </c>
      <c r="B4247" t="s">
        <v>1520</v>
      </c>
      <c r="C4247" t="s">
        <v>7611</v>
      </c>
      <c r="D4247" t="s">
        <v>18805</v>
      </c>
      <c r="E4247" t="s">
        <v>22715</v>
      </c>
      <c r="F4247" t="s">
        <v>32664</v>
      </c>
      <c r="G4247" t="s">
        <v>32671</v>
      </c>
      <c r="H4247" t="s">
        <v>12635</v>
      </c>
      <c r="I4247" t="s">
        <v>32704</v>
      </c>
      <c r="J4247" t="s">
        <v>33015</v>
      </c>
      <c r="K4247" t="s">
        <v>42297</v>
      </c>
      <c r="M4247" t="s">
        <v>44187</v>
      </c>
      <c r="N4247" t="s">
        <v>46569</v>
      </c>
      <c r="O4247" t="s">
        <v>46570</v>
      </c>
      <c r="P4247">
        <v>0</v>
      </c>
      <c r="Q4247">
        <v>3</v>
      </c>
      <c r="R4247" t="s">
        <v>46572</v>
      </c>
      <c r="S4247" t="s">
        <v>46689</v>
      </c>
      <c r="T4247" t="s">
        <v>48244</v>
      </c>
      <c r="U4247" t="s">
        <v>52276</v>
      </c>
      <c r="W4247" t="s">
        <v>63519</v>
      </c>
      <c r="X4247" t="s">
        <v>46573</v>
      </c>
    </row>
    <row r="4248" spans="1:24">
      <c r="A4248">
        <f>HYPERLINK("https://www.philgeps.gov.ph/GEPSNONPILOT/Tender/SplashBidNoticeAbstractUI.aspx?menuIndex=3&amp;refID=7063838&amp;Result=3","7063838")</f>
        <v>0</v>
      </c>
      <c r="B4248" t="s">
        <v>1381</v>
      </c>
      <c r="C4248" t="s">
        <v>7612</v>
      </c>
      <c r="D4248" t="s">
        <v>18804</v>
      </c>
      <c r="E4248" t="s">
        <v>22716</v>
      </c>
      <c r="F4248" t="s">
        <v>32664</v>
      </c>
      <c r="G4248" t="s">
        <v>32671</v>
      </c>
      <c r="H4248" t="s">
        <v>12635</v>
      </c>
      <c r="I4248" t="s">
        <v>32684</v>
      </c>
      <c r="J4248" t="s">
        <v>35588</v>
      </c>
      <c r="K4248" t="s">
        <v>42281</v>
      </c>
      <c r="M4248" t="s">
        <v>44036</v>
      </c>
      <c r="N4248" t="s">
        <v>46569</v>
      </c>
      <c r="O4248" t="s">
        <v>46570</v>
      </c>
      <c r="P4248">
        <v>0</v>
      </c>
      <c r="Q4248">
        <v>4</v>
      </c>
      <c r="R4248" t="s">
        <v>46572</v>
      </c>
      <c r="S4248" t="s">
        <v>46689</v>
      </c>
      <c r="T4248" t="s">
        <v>48217</v>
      </c>
      <c r="U4248" t="s">
        <v>52277</v>
      </c>
      <c r="V4248" t="s">
        <v>61990</v>
      </c>
      <c r="W4248" t="s">
        <v>44036</v>
      </c>
      <c r="X4248" t="s">
        <v>46573</v>
      </c>
    </row>
    <row r="4249" spans="1:24">
      <c r="A4249">
        <f>HYPERLINK("https://www.philgeps.gov.ph/GEPSNONPILOT/Tender/SplashBidNoticeAbstractUI.aspx?menuIndex=3&amp;refID=7063933&amp;Result=3","7063933")</f>
        <v>0</v>
      </c>
      <c r="B4249" t="s">
        <v>1492</v>
      </c>
      <c r="C4249" t="s">
        <v>7613</v>
      </c>
      <c r="D4249" t="s">
        <v>18795</v>
      </c>
      <c r="E4249" t="s">
        <v>22717</v>
      </c>
      <c r="F4249" t="s">
        <v>32664</v>
      </c>
      <c r="G4249" t="s">
        <v>32672</v>
      </c>
      <c r="H4249" t="s">
        <v>12635</v>
      </c>
      <c r="I4249" t="s">
        <v>4439</v>
      </c>
      <c r="J4249" t="s">
        <v>35589</v>
      </c>
      <c r="K4249" t="s">
        <v>42281</v>
      </c>
      <c r="M4249" t="s">
        <v>44156</v>
      </c>
      <c r="N4249" t="s">
        <v>46569</v>
      </c>
      <c r="O4249" t="s">
        <v>46570</v>
      </c>
      <c r="P4249">
        <v>0</v>
      </c>
      <c r="Q4249">
        <v>0</v>
      </c>
      <c r="R4249" t="s">
        <v>46572</v>
      </c>
      <c r="S4249" t="s">
        <v>46689</v>
      </c>
      <c r="T4249" t="s">
        <v>48354</v>
      </c>
      <c r="U4249" t="s">
        <v>52278</v>
      </c>
      <c r="W4249" t="s">
        <v>44156</v>
      </c>
      <c r="X4249" t="s">
        <v>46573</v>
      </c>
    </row>
    <row r="4250" spans="1:24">
      <c r="A4250">
        <f>HYPERLINK("https://www.philgeps.gov.ph/GEPSNONPILOT/Tender/SplashBidNoticeAbstractUI.aspx?menuIndex=3&amp;refID=7063959&amp;Result=3","7063959")</f>
        <v>0</v>
      </c>
      <c r="B4250" t="s">
        <v>1397</v>
      </c>
      <c r="C4250" t="s">
        <v>7558</v>
      </c>
      <c r="D4250" t="s">
        <v>18803</v>
      </c>
      <c r="E4250" t="s">
        <v>22718</v>
      </c>
      <c r="F4250" t="s">
        <v>32664</v>
      </c>
      <c r="G4250" t="s">
        <v>32678</v>
      </c>
      <c r="H4250" t="s">
        <v>32681</v>
      </c>
      <c r="I4250" t="s">
        <v>32681</v>
      </c>
      <c r="J4250" t="s">
        <v>35559</v>
      </c>
      <c r="K4250" t="s">
        <v>42377</v>
      </c>
      <c r="M4250" t="s">
        <v>44054</v>
      </c>
      <c r="N4250" t="s">
        <v>46569</v>
      </c>
      <c r="O4250" t="s">
        <v>46570</v>
      </c>
      <c r="P4250">
        <v>0</v>
      </c>
      <c r="Q4250">
        <v>0</v>
      </c>
      <c r="R4250" t="s">
        <v>46572</v>
      </c>
      <c r="S4250" t="s">
        <v>46689</v>
      </c>
      <c r="T4250" t="s">
        <v>48315</v>
      </c>
      <c r="U4250" t="s">
        <v>52228</v>
      </c>
      <c r="W4250" t="s">
        <v>44054</v>
      </c>
      <c r="X4250" t="s">
        <v>46573</v>
      </c>
    </row>
    <row r="4251" spans="1:24">
      <c r="A4251">
        <f>HYPERLINK("https://www.philgeps.gov.ph/GEPSNONPILOT/Tender/SplashBidNoticeAbstractUI.aspx?menuIndex=3&amp;refID=7063956&amp;Result=3","7063956")</f>
        <v>0</v>
      </c>
      <c r="B4251" t="s">
        <v>1509</v>
      </c>
      <c r="C4251" t="s">
        <v>7614</v>
      </c>
      <c r="D4251" t="s">
        <v>18803</v>
      </c>
      <c r="E4251" t="s">
        <v>22719</v>
      </c>
      <c r="F4251" t="s">
        <v>32664</v>
      </c>
      <c r="G4251" t="s">
        <v>32675</v>
      </c>
      <c r="H4251" t="s">
        <v>12635</v>
      </c>
      <c r="I4251" t="s">
        <v>6628</v>
      </c>
      <c r="J4251" t="s">
        <v>33218</v>
      </c>
      <c r="K4251" t="s">
        <v>42283</v>
      </c>
      <c r="M4251" t="s">
        <v>44175</v>
      </c>
      <c r="N4251" t="s">
        <v>46569</v>
      </c>
      <c r="O4251" t="s">
        <v>46570</v>
      </c>
      <c r="P4251">
        <v>0</v>
      </c>
      <c r="Q4251">
        <v>1</v>
      </c>
      <c r="R4251" t="s">
        <v>46572</v>
      </c>
      <c r="S4251" t="s">
        <v>46689</v>
      </c>
      <c r="T4251" t="s">
        <v>48256</v>
      </c>
      <c r="U4251" t="s">
        <v>52279</v>
      </c>
      <c r="W4251" t="s">
        <v>44175</v>
      </c>
      <c r="X4251" t="s">
        <v>46573</v>
      </c>
    </row>
    <row r="4252" spans="1:24">
      <c r="A4252">
        <f>HYPERLINK("https://www.philgeps.gov.ph/GEPSNONPILOT/Tender/SplashBidNoticeAbstractUI.aspx?menuIndex=3&amp;refID=7063958&amp;Result=3","7063958")</f>
        <v>0</v>
      </c>
      <c r="B4252" t="s">
        <v>1542</v>
      </c>
      <c r="C4252" t="s">
        <v>5551</v>
      </c>
      <c r="D4252" t="s">
        <v>18788</v>
      </c>
      <c r="E4252" t="s">
        <v>22720</v>
      </c>
      <c r="F4252" t="s">
        <v>32664</v>
      </c>
      <c r="G4252" t="s">
        <v>32674</v>
      </c>
      <c r="H4252" t="s">
        <v>12635</v>
      </c>
      <c r="I4252" t="s">
        <v>4997</v>
      </c>
      <c r="J4252" t="s">
        <v>35590</v>
      </c>
      <c r="K4252" t="s">
        <v>42309</v>
      </c>
      <c r="M4252" t="s">
        <v>44211</v>
      </c>
      <c r="N4252" t="s">
        <v>46569</v>
      </c>
      <c r="O4252" t="s">
        <v>46570</v>
      </c>
      <c r="P4252">
        <v>0</v>
      </c>
      <c r="Q4252">
        <v>1</v>
      </c>
      <c r="R4252" t="s">
        <v>46572</v>
      </c>
      <c r="S4252" t="s">
        <v>46689</v>
      </c>
      <c r="T4252" t="s">
        <v>48287</v>
      </c>
      <c r="U4252" t="s">
        <v>52280</v>
      </c>
      <c r="W4252" t="s">
        <v>44211</v>
      </c>
      <c r="X4252" t="s">
        <v>46573</v>
      </c>
    </row>
    <row r="4253" spans="1:24">
      <c r="A4253">
        <f>HYPERLINK("https://www.philgeps.gov.ph/GEPSNONPILOT/Tender/SplashBidNoticeAbstractUI.aspx?menuIndex=3&amp;refID=7063954&amp;Result=3","7063954")</f>
        <v>0</v>
      </c>
      <c r="B4253" t="s">
        <v>910</v>
      </c>
      <c r="C4253" t="s">
        <v>7615</v>
      </c>
      <c r="E4253" t="s">
        <v>22721</v>
      </c>
      <c r="F4253" t="s">
        <v>32664</v>
      </c>
      <c r="G4253" t="s">
        <v>32672</v>
      </c>
      <c r="H4253" t="s">
        <v>32683</v>
      </c>
      <c r="I4253" t="s">
        <v>10627</v>
      </c>
      <c r="J4253" t="s">
        <v>35591</v>
      </c>
      <c r="K4253" t="s">
        <v>42283</v>
      </c>
      <c r="M4253" t="s">
        <v>43516</v>
      </c>
      <c r="N4253" t="s">
        <v>46569</v>
      </c>
      <c r="O4253" t="s">
        <v>46570</v>
      </c>
      <c r="P4253">
        <v>0</v>
      </c>
      <c r="Q4253">
        <v>0</v>
      </c>
      <c r="R4253" t="s">
        <v>46572</v>
      </c>
      <c r="S4253" t="s">
        <v>46689</v>
      </c>
      <c r="T4253" t="s">
        <v>48437</v>
      </c>
      <c r="U4253" t="s">
        <v>52281</v>
      </c>
      <c r="W4253" t="s">
        <v>43516</v>
      </c>
      <c r="X4253" t="s">
        <v>46573</v>
      </c>
    </row>
    <row r="4254" spans="1:24">
      <c r="A4254">
        <f>HYPERLINK("https://www.philgeps.gov.ph/GEPSNONPILOT/Tender/SplashBidNoticeAbstractUI.aspx?menuIndex=3&amp;refID=7063865&amp;Result=3","7063865")</f>
        <v>0</v>
      </c>
      <c r="B4254" t="s">
        <v>1503</v>
      </c>
      <c r="C4254" t="s">
        <v>5500</v>
      </c>
      <c r="D4254" t="s">
        <v>18784</v>
      </c>
      <c r="E4254" t="s">
        <v>22722</v>
      </c>
      <c r="F4254" t="s">
        <v>32664</v>
      </c>
      <c r="G4254" t="s">
        <v>32675</v>
      </c>
      <c r="H4254" t="s">
        <v>12635</v>
      </c>
      <c r="I4254" t="s">
        <v>6168</v>
      </c>
      <c r="J4254" t="s">
        <v>35592</v>
      </c>
      <c r="K4254" t="s">
        <v>42284</v>
      </c>
      <c r="M4254" t="s">
        <v>44167</v>
      </c>
      <c r="N4254" t="s">
        <v>46569</v>
      </c>
      <c r="O4254" t="s">
        <v>46570</v>
      </c>
      <c r="P4254">
        <v>0</v>
      </c>
      <c r="Q4254">
        <v>5</v>
      </c>
      <c r="R4254" t="s">
        <v>46572</v>
      </c>
      <c r="S4254" t="s">
        <v>46689</v>
      </c>
      <c r="T4254" t="s">
        <v>48331</v>
      </c>
      <c r="U4254" t="s">
        <v>52164</v>
      </c>
      <c r="W4254" t="s">
        <v>44167</v>
      </c>
      <c r="X4254" t="s">
        <v>46573</v>
      </c>
    </row>
    <row r="4255" spans="1:24">
      <c r="A4255">
        <f>HYPERLINK("https://www.philgeps.gov.ph/GEPSNONPILOT/Tender/SplashBidNoticeAbstractUI.aspx?menuIndex=3&amp;refID=7063953&amp;Result=3","7063953")</f>
        <v>0</v>
      </c>
      <c r="B4255" t="s">
        <v>817</v>
      </c>
      <c r="C4255" t="s">
        <v>7616</v>
      </c>
      <c r="E4255" t="s">
        <v>22723</v>
      </c>
      <c r="F4255" t="s">
        <v>32664</v>
      </c>
      <c r="G4255" t="s">
        <v>32671</v>
      </c>
      <c r="H4255" t="s">
        <v>12635</v>
      </c>
      <c r="I4255" t="s">
        <v>32706</v>
      </c>
      <c r="J4255" t="s">
        <v>35593</v>
      </c>
      <c r="K4255" t="s">
        <v>42283</v>
      </c>
      <c r="M4255" t="s">
        <v>43412</v>
      </c>
      <c r="N4255" t="s">
        <v>46569</v>
      </c>
      <c r="O4255" t="s">
        <v>46570</v>
      </c>
      <c r="P4255">
        <v>0</v>
      </c>
      <c r="Q4255">
        <v>1</v>
      </c>
      <c r="R4255" t="s">
        <v>46572</v>
      </c>
      <c r="S4255" t="s">
        <v>46689</v>
      </c>
      <c r="T4255" t="s">
        <v>48244</v>
      </c>
      <c r="U4255" t="s">
        <v>51786</v>
      </c>
      <c r="W4255" t="s">
        <v>43412</v>
      </c>
      <c r="X4255" t="s">
        <v>46573</v>
      </c>
    </row>
    <row r="4256" spans="1:24">
      <c r="A4256">
        <f>HYPERLINK("https://www.philgeps.gov.ph/GEPSNONPILOT/Tender/SplashBidNoticeAbstractUI.aspx?menuIndex=3&amp;refID=7063952&amp;Result=3","7063952")</f>
        <v>0</v>
      </c>
      <c r="B4256" t="s">
        <v>1544</v>
      </c>
      <c r="C4256" t="s">
        <v>7617</v>
      </c>
      <c r="D4256" t="s">
        <v>18845</v>
      </c>
      <c r="E4256" t="s">
        <v>22724</v>
      </c>
      <c r="F4256" t="s">
        <v>32664</v>
      </c>
      <c r="G4256" t="s">
        <v>32672</v>
      </c>
      <c r="H4256" t="s">
        <v>32683</v>
      </c>
      <c r="I4256" t="s">
        <v>10627</v>
      </c>
      <c r="J4256" t="s">
        <v>35594</v>
      </c>
      <c r="K4256" t="s">
        <v>42285</v>
      </c>
      <c r="M4256" t="s">
        <v>44213</v>
      </c>
      <c r="N4256" t="s">
        <v>46569</v>
      </c>
      <c r="O4256" t="s">
        <v>46570</v>
      </c>
      <c r="P4256">
        <v>0</v>
      </c>
      <c r="Q4256">
        <v>0</v>
      </c>
      <c r="R4256" t="s">
        <v>46572</v>
      </c>
      <c r="S4256" t="s">
        <v>46689</v>
      </c>
      <c r="T4256" t="s">
        <v>48273</v>
      </c>
      <c r="U4256" t="s">
        <v>52282</v>
      </c>
      <c r="W4256" t="s">
        <v>44213</v>
      </c>
      <c r="X4256" t="s">
        <v>46573</v>
      </c>
    </row>
    <row r="4257" spans="1:24">
      <c r="A4257">
        <f>HYPERLINK("https://www.philgeps.gov.ph/GEPSNONPILOT/Tender/SplashBidNoticeAbstractUI.aspx?menuIndex=3&amp;refID=7063951&amp;Result=3","7063951")</f>
        <v>0</v>
      </c>
      <c r="B4257" t="s">
        <v>1015</v>
      </c>
      <c r="C4257" t="s">
        <v>7618</v>
      </c>
      <c r="D4257" t="s">
        <v>18804</v>
      </c>
      <c r="E4257" t="s">
        <v>22725</v>
      </c>
      <c r="F4257" t="s">
        <v>32664</v>
      </c>
      <c r="G4257" t="s">
        <v>32671</v>
      </c>
      <c r="H4257" t="s">
        <v>12635</v>
      </c>
      <c r="I4257" t="s">
        <v>8797</v>
      </c>
      <c r="J4257" t="s">
        <v>33015</v>
      </c>
      <c r="K4257" t="s">
        <v>42281</v>
      </c>
      <c r="M4257" t="s">
        <v>43627</v>
      </c>
      <c r="N4257" t="s">
        <v>46569</v>
      </c>
      <c r="O4257" t="s">
        <v>46570</v>
      </c>
      <c r="P4257">
        <v>0</v>
      </c>
      <c r="Q4257">
        <v>0</v>
      </c>
      <c r="R4257" t="s">
        <v>46572</v>
      </c>
      <c r="S4257" t="s">
        <v>46689</v>
      </c>
      <c r="T4257" t="s">
        <v>48256</v>
      </c>
      <c r="U4257" t="s">
        <v>52283</v>
      </c>
      <c r="W4257" t="s">
        <v>43627</v>
      </c>
      <c r="X4257" t="s">
        <v>46573</v>
      </c>
    </row>
    <row r="4258" spans="1:24">
      <c r="A4258">
        <f>HYPERLINK("https://www.philgeps.gov.ph/GEPSNONPILOT/Tender/SplashBidNoticeAbstractUI.aspx?menuIndex=3&amp;refID=7063948&amp;Result=3","7063948")</f>
        <v>0</v>
      </c>
      <c r="B4258" t="s">
        <v>1540</v>
      </c>
      <c r="C4258" t="s">
        <v>7619</v>
      </c>
      <c r="D4258" t="s">
        <v>18838</v>
      </c>
      <c r="E4258" t="s">
        <v>22726</v>
      </c>
      <c r="F4258" t="s">
        <v>32664</v>
      </c>
      <c r="G4258" t="s">
        <v>32671</v>
      </c>
      <c r="H4258" t="s">
        <v>12635</v>
      </c>
      <c r="I4258" t="s">
        <v>32706</v>
      </c>
      <c r="J4258" t="s">
        <v>33051</v>
      </c>
      <c r="K4258" t="s">
        <v>42283</v>
      </c>
      <c r="M4258" t="s">
        <v>44209</v>
      </c>
      <c r="N4258" t="s">
        <v>46569</v>
      </c>
      <c r="O4258" t="s">
        <v>46570</v>
      </c>
      <c r="P4258">
        <v>0</v>
      </c>
      <c r="Q4258">
        <v>0</v>
      </c>
      <c r="R4258" t="s">
        <v>46572</v>
      </c>
      <c r="S4258" t="s">
        <v>46689</v>
      </c>
      <c r="T4258" t="s">
        <v>48312</v>
      </c>
      <c r="U4258" t="s">
        <v>52284</v>
      </c>
      <c r="W4258" t="s">
        <v>44209</v>
      </c>
      <c r="X4258" t="s">
        <v>46573</v>
      </c>
    </row>
    <row r="4259" spans="1:24">
      <c r="A4259">
        <f>HYPERLINK("https://www.philgeps.gov.ph/GEPSNONPILOT/Tender/SplashBidNoticeAbstractUI.aspx?menuIndex=3&amp;refID=7063947&amp;Result=3","7063947")</f>
        <v>0</v>
      </c>
      <c r="B4259" t="s">
        <v>295</v>
      </c>
      <c r="C4259" t="s">
        <v>7620</v>
      </c>
      <c r="D4259" t="s">
        <v>18848</v>
      </c>
      <c r="E4259" t="s">
        <v>22727</v>
      </c>
      <c r="F4259" t="s">
        <v>32664</v>
      </c>
      <c r="G4259" t="s">
        <v>32672</v>
      </c>
      <c r="H4259" t="s">
        <v>12635</v>
      </c>
      <c r="I4259" t="s">
        <v>6168</v>
      </c>
      <c r="J4259" t="s">
        <v>35595</v>
      </c>
      <c r="K4259" t="s">
        <v>42297</v>
      </c>
      <c r="M4259" t="s">
        <v>42862</v>
      </c>
      <c r="N4259" t="s">
        <v>46569</v>
      </c>
      <c r="O4259" t="s">
        <v>46570</v>
      </c>
      <c r="P4259">
        <v>0</v>
      </c>
      <c r="Q4259">
        <v>0</v>
      </c>
      <c r="R4259" t="s">
        <v>46572</v>
      </c>
      <c r="S4259" t="s">
        <v>46689</v>
      </c>
      <c r="T4259" t="s">
        <v>48322</v>
      </c>
      <c r="U4259" t="s">
        <v>52285</v>
      </c>
      <c r="W4259" t="s">
        <v>42862</v>
      </c>
      <c r="X4259" t="s">
        <v>46573</v>
      </c>
    </row>
    <row r="4260" spans="1:24">
      <c r="A4260">
        <f>HYPERLINK("https://www.philgeps.gov.ph/GEPSNONPILOT/Tender/SplashBidNoticeAbstractUI.aspx?menuIndex=3&amp;refID=7063919&amp;Result=3","7063919")</f>
        <v>0</v>
      </c>
      <c r="B4260" t="s">
        <v>1513</v>
      </c>
      <c r="C4260" t="s">
        <v>7621</v>
      </c>
      <c r="D4260" t="s">
        <v>18798</v>
      </c>
      <c r="E4260" t="s">
        <v>19681</v>
      </c>
      <c r="F4260" t="s">
        <v>32664</v>
      </c>
      <c r="G4260" t="s">
        <v>32672</v>
      </c>
      <c r="H4260" t="s">
        <v>32683</v>
      </c>
      <c r="I4260" t="s">
        <v>10627</v>
      </c>
      <c r="J4260" t="s">
        <v>35596</v>
      </c>
      <c r="K4260" t="s">
        <v>42420</v>
      </c>
      <c r="M4260" t="s">
        <v>44179</v>
      </c>
      <c r="N4260" t="s">
        <v>46569</v>
      </c>
      <c r="O4260" t="s">
        <v>46570</v>
      </c>
      <c r="P4260">
        <v>0</v>
      </c>
      <c r="Q4260">
        <v>0</v>
      </c>
      <c r="R4260" t="s">
        <v>46572</v>
      </c>
      <c r="S4260" t="s">
        <v>46689</v>
      </c>
      <c r="T4260" t="s">
        <v>48285</v>
      </c>
      <c r="U4260" t="s">
        <v>52286</v>
      </c>
      <c r="W4260" t="s">
        <v>44179</v>
      </c>
      <c r="X4260" t="s">
        <v>46573</v>
      </c>
    </row>
    <row r="4261" spans="1:24">
      <c r="A4261">
        <f>HYPERLINK("https://www.philgeps.gov.ph/GEPSNONPILOT/Tender/SplashBidNoticeAbstractUI.aspx?menuIndex=3&amp;refID=7063911&amp;Result=3","7063911")</f>
        <v>0</v>
      </c>
      <c r="B4261" t="s">
        <v>1545</v>
      </c>
      <c r="C4261" t="s">
        <v>7622</v>
      </c>
      <c r="D4261" t="s">
        <v>18834</v>
      </c>
      <c r="E4261" t="s">
        <v>22728</v>
      </c>
      <c r="F4261" t="s">
        <v>32664</v>
      </c>
      <c r="G4261" t="s">
        <v>32674</v>
      </c>
      <c r="H4261" t="s">
        <v>12635</v>
      </c>
      <c r="I4261" t="s">
        <v>32706</v>
      </c>
      <c r="J4261" t="s">
        <v>33466</v>
      </c>
      <c r="K4261" t="s">
        <v>42309</v>
      </c>
      <c r="M4261" t="s">
        <v>44214</v>
      </c>
      <c r="N4261" t="s">
        <v>46569</v>
      </c>
      <c r="O4261" t="s">
        <v>46570</v>
      </c>
      <c r="P4261">
        <v>0</v>
      </c>
      <c r="Q4261">
        <v>0</v>
      </c>
      <c r="R4261" t="s">
        <v>46572</v>
      </c>
      <c r="S4261" t="s">
        <v>46689</v>
      </c>
      <c r="T4261" t="s">
        <v>48258</v>
      </c>
      <c r="U4261" t="s">
        <v>52287</v>
      </c>
      <c r="W4261" t="s">
        <v>44214</v>
      </c>
      <c r="X4261" t="s">
        <v>46573</v>
      </c>
    </row>
    <row r="4262" spans="1:24">
      <c r="A4262">
        <f>HYPERLINK("https://www.philgeps.gov.ph/GEPSNONPILOT/Tender/SplashBidNoticeAbstractUI.aspx?menuIndex=3&amp;refID=7063957&amp;Result=3","7063957")</f>
        <v>0</v>
      </c>
      <c r="B4262" t="s">
        <v>1370</v>
      </c>
      <c r="C4262" t="s">
        <v>7623</v>
      </c>
      <c r="D4262" t="s">
        <v>18831</v>
      </c>
      <c r="E4262" t="s">
        <v>22729</v>
      </c>
      <c r="F4262" t="s">
        <v>32664</v>
      </c>
      <c r="G4262" t="s">
        <v>32672</v>
      </c>
      <c r="H4262" t="s">
        <v>12635</v>
      </c>
      <c r="I4262" t="s">
        <v>10370</v>
      </c>
      <c r="J4262" t="s">
        <v>35597</v>
      </c>
      <c r="K4262" t="s">
        <v>42283</v>
      </c>
      <c r="M4262" t="s">
        <v>44025</v>
      </c>
      <c r="N4262" t="s">
        <v>46569</v>
      </c>
      <c r="O4262" t="s">
        <v>46570</v>
      </c>
      <c r="P4262">
        <v>0</v>
      </c>
      <c r="Q4262">
        <v>2</v>
      </c>
      <c r="R4262" t="s">
        <v>46572</v>
      </c>
      <c r="S4262" t="s">
        <v>46689</v>
      </c>
      <c r="T4262" t="s">
        <v>48308</v>
      </c>
      <c r="U4262" t="s">
        <v>52288</v>
      </c>
      <c r="W4262" t="s">
        <v>44025</v>
      </c>
      <c r="X4262" t="s">
        <v>46573</v>
      </c>
    </row>
    <row r="4263" spans="1:24">
      <c r="A4263">
        <f>HYPERLINK("https://www.philgeps.gov.ph/GEPSNONPILOT/Tender/SplashBidNoticeAbstractUI.aspx?menuIndex=3&amp;refID=7063874&amp;Result=3","7063874")</f>
        <v>0</v>
      </c>
      <c r="B4263" t="s">
        <v>1546</v>
      </c>
      <c r="C4263" t="s">
        <v>7624</v>
      </c>
      <c r="D4263" t="s">
        <v>18801</v>
      </c>
      <c r="E4263" t="s">
        <v>22730</v>
      </c>
      <c r="F4263" t="s">
        <v>32664</v>
      </c>
      <c r="G4263" t="s">
        <v>32671</v>
      </c>
      <c r="H4263" t="s">
        <v>12635</v>
      </c>
      <c r="I4263" t="s">
        <v>32692</v>
      </c>
      <c r="J4263" t="s">
        <v>35598</v>
      </c>
      <c r="K4263" t="s">
        <v>42289</v>
      </c>
      <c r="M4263" t="s">
        <v>44215</v>
      </c>
      <c r="N4263" t="s">
        <v>46569</v>
      </c>
      <c r="O4263" t="s">
        <v>46570</v>
      </c>
      <c r="P4263">
        <v>0</v>
      </c>
      <c r="Q4263">
        <v>2</v>
      </c>
      <c r="R4263" t="s">
        <v>46572</v>
      </c>
      <c r="S4263" t="s">
        <v>46689</v>
      </c>
      <c r="T4263" t="s">
        <v>48221</v>
      </c>
      <c r="U4263" t="s">
        <v>52289</v>
      </c>
      <c r="W4263" t="s">
        <v>44215</v>
      </c>
      <c r="X4263" t="s">
        <v>46573</v>
      </c>
    </row>
    <row r="4264" spans="1:24">
      <c r="A4264">
        <f>HYPERLINK("https://www.philgeps.gov.ph/GEPSNONPILOT/Tender/SplashBidNoticeAbstractUI.aspx?menuIndex=3&amp;refID=7063978&amp;Result=3","7063978")</f>
        <v>0</v>
      </c>
      <c r="B4264" t="s">
        <v>689</v>
      </c>
      <c r="C4264" t="s">
        <v>7625</v>
      </c>
      <c r="D4264" t="s">
        <v>18800</v>
      </c>
      <c r="E4264" t="s">
        <v>22731</v>
      </c>
      <c r="F4264" t="s">
        <v>32664</v>
      </c>
      <c r="G4264" t="s">
        <v>32672</v>
      </c>
      <c r="H4264" t="s">
        <v>12635</v>
      </c>
      <c r="I4264" t="s">
        <v>32711</v>
      </c>
      <c r="J4264" t="s">
        <v>34628</v>
      </c>
      <c r="K4264" t="s">
        <v>42305</v>
      </c>
      <c r="M4264" t="s">
        <v>43276</v>
      </c>
      <c r="N4264" t="s">
        <v>46569</v>
      </c>
      <c r="O4264" t="s">
        <v>46570</v>
      </c>
      <c r="P4264">
        <v>0</v>
      </c>
      <c r="Q4264">
        <v>2</v>
      </c>
      <c r="R4264" t="s">
        <v>46572</v>
      </c>
      <c r="S4264" t="s">
        <v>46689</v>
      </c>
      <c r="T4264" t="s">
        <v>48509</v>
      </c>
      <c r="U4264" t="s">
        <v>52290</v>
      </c>
      <c r="V4264" t="s">
        <v>61795</v>
      </c>
      <c r="W4264" t="s">
        <v>43276</v>
      </c>
      <c r="X4264" t="s">
        <v>46573</v>
      </c>
    </row>
    <row r="4265" spans="1:24">
      <c r="A4265">
        <f>HYPERLINK("https://www.philgeps.gov.ph/GEPSNONPILOT/Tender/SplashBidNoticeAbstractUI.aspx?menuIndex=3&amp;refID=7063984&amp;Result=3","7063984")</f>
        <v>0</v>
      </c>
      <c r="B4265" t="s">
        <v>1538</v>
      </c>
      <c r="C4265" t="s">
        <v>7626</v>
      </c>
      <c r="D4265" t="s">
        <v>18804</v>
      </c>
      <c r="E4265" t="s">
        <v>22732</v>
      </c>
      <c r="F4265" t="s">
        <v>32664</v>
      </c>
      <c r="G4265" t="s">
        <v>32671</v>
      </c>
      <c r="H4265" t="s">
        <v>12635</v>
      </c>
      <c r="I4265" t="s">
        <v>4439</v>
      </c>
      <c r="J4265" t="s">
        <v>35599</v>
      </c>
      <c r="K4265" t="s">
        <v>42284</v>
      </c>
      <c r="M4265" t="s">
        <v>44207</v>
      </c>
      <c r="N4265" t="s">
        <v>46569</v>
      </c>
      <c r="O4265" t="s">
        <v>46570</v>
      </c>
      <c r="P4265">
        <v>0</v>
      </c>
      <c r="Q4265">
        <v>0</v>
      </c>
      <c r="R4265" t="s">
        <v>46572</v>
      </c>
      <c r="S4265" t="s">
        <v>46689</v>
      </c>
      <c r="T4265" t="s">
        <v>48219</v>
      </c>
      <c r="U4265" t="s">
        <v>52264</v>
      </c>
      <c r="W4265" t="s">
        <v>44207</v>
      </c>
      <c r="X4265" t="s">
        <v>46573</v>
      </c>
    </row>
    <row r="4266" spans="1:24">
      <c r="A4266">
        <f>HYPERLINK("https://www.philgeps.gov.ph/GEPSNONPILOT/Tender/SplashBidNoticeAbstractUI.aspx?menuIndex=3&amp;refID=7063985&amp;Result=3","7063985")</f>
        <v>0</v>
      </c>
      <c r="B4266" t="s">
        <v>1397</v>
      </c>
      <c r="C4266" t="s">
        <v>7627</v>
      </c>
      <c r="D4266" t="s">
        <v>18803</v>
      </c>
      <c r="E4266" t="s">
        <v>22733</v>
      </c>
      <c r="F4266" t="s">
        <v>32664</v>
      </c>
      <c r="G4266" t="s">
        <v>32678</v>
      </c>
      <c r="H4266" t="s">
        <v>32681</v>
      </c>
      <c r="I4266" t="s">
        <v>32681</v>
      </c>
      <c r="J4266" t="s">
        <v>35600</v>
      </c>
      <c r="K4266" t="s">
        <v>42377</v>
      </c>
      <c r="M4266" t="s">
        <v>44054</v>
      </c>
      <c r="N4266" t="s">
        <v>46569</v>
      </c>
      <c r="O4266" t="s">
        <v>46570</v>
      </c>
      <c r="P4266">
        <v>0</v>
      </c>
      <c r="Q4266">
        <v>0</v>
      </c>
      <c r="R4266" t="s">
        <v>46572</v>
      </c>
      <c r="S4266" t="s">
        <v>46689</v>
      </c>
      <c r="T4266" t="s">
        <v>48315</v>
      </c>
      <c r="U4266" t="s">
        <v>52291</v>
      </c>
      <c r="W4266" t="s">
        <v>44054</v>
      </c>
      <c r="X4266" t="s">
        <v>46573</v>
      </c>
    </row>
    <row r="4267" spans="1:24">
      <c r="A4267">
        <f>HYPERLINK("https://www.philgeps.gov.ph/GEPSNONPILOT/Tender/SplashBidNoticeAbstractUI.aspx?menuIndex=3&amp;refID=7063977&amp;Result=3","7063977")</f>
        <v>0</v>
      </c>
      <c r="B4267" t="s">
        <v>1397</v>
      </c>
      <c r="C4267" t="s">
        <v>7628</v>
      </c>
      <c r="D4267" t="s">
        <v>18803</v>
      </c>
      <c r="E4267" t="s">
        <v>20061</v>
      </c>
      <c r="F4267" t="s">
        <v>32664</v>
      </c>
      <c r="G4267" t="s">
        <v>32678</v>
      </c>
      <c r="H4267" t="s">
        <v>32681</v>
      </c>
      <c r="I4267" t="s">
        <v>32681</v>
      </c>
      <c r="J4267" t="s">
        <v>35601</v>
      </c>
      <c r="K4267" t="s">
        <v>42377</v>
      </c>
      <c r="M4267" t="s">
        <v>44054</v>
      </c>
      <c r="N4267" t="s">
        <v>46569</v>
      </c>
      <c r="O4267" t="s">
        <v>46570</v>
      </c>
      <c r="P4267">
        <v>0</v>
      </c>
      <c r="Q4267">
        <v>0</v>
      </c>
      <c r="R4267" t="s">
        <v>46572</v>
      </c>
      <c r="S4267" t="s">
        <v>46689</v>
      </c>
      <c r="T4267" t="s">
        <v>48315</v>
      </c>
      <c r="U4267" t="s">
        <v>52292</v>
      </c>
      <c r="W4267" t="s">
        <v>44054</v>
      </c>
      <c r="X4267" t="s">
        <v>46573</v>
      </c>
    </row>
    <row r="4268" spans="1:24">
      <c r="A4268">
        <f>HYPERLINK("https://www.philgeps.gov.ph/GEPSNONPILOT/Tender/SplashBidNoticeAbstractUI.aspx?menuIndex=3&amp;refID=7063981&amp;Result=3","7063981")</f>
        <v>0</v>
      </c>
      <c r="B4268" t="s">
        <v>1015</v>
      </c>
      <c r="C4268" t="s">
        <v>7629</v>
      </c>
      <c r="D4268" t="s">
        <v>18804</v>
      </c>
      <c r="E4268" t="s">
        <v>22734</v>
      </c>
      <c r="F4268" t="s">
        <v>32664</v>
      </c>
      <c r="G4268" t="s">
        <v>32671</v>
      </c>
      <c r="H4268" t="s">
        <v>12635</v>
      </c>
      <c r="I4268" t="s">
        <v>5501</v>
      </c>
      <c r="J4268" t="s">
        <v>35602</v>
      </c>
      <c r="K4268" t="s">
        <v>42289</v>
      </c>
      <c r="M4268" t="s">
        <v>43627</v>
      </c>
      <c r="N4268" t="s">
        <v>46569</v>
      </c>
      <c r="O4268" t="s">
        <v>46570</v>
      </c>
      <c r="P4268">
        <v>0</v>
      </c>
      <c r="Q4268">
        <v>2</v>
      </c>
      <c r="R4268" t="s">
        <v>46572</v>
      </c>
      <c r="S4268" t="s">
        <v>46689</v>
      </c>
      <c r="T4268" t="s">
        <v>48256</v>
      </c>
      <c r="U4268" t="s">
        <v>52293</v>
      </c>
      <c r="W4268" t="s">
        <v>43627</v>
      </c>
      <c r="X4268" t="s">
        <v>46573</v>
      </c>
    </row>
    <row r="4269" spans="1:24">
      <c r="A4269">
        <f>HYPERLINK("https://www.philgeps.gov.ph/GEPSNONPILOT/Tender/SplashBidNoticeAbstractUI.aspx?menuIndex=3&amp;refID=7063946&amp;Result=3","7063946")</f>
        <v>0</v>
      </c>
      <c r="B4269" t="s">
        <v>1397</v>
      </c>
      <c r="C4269" t="s">
        <v>7602</v>
      </c>
      <c r="D4269" t="s">
        <v>18803</v>
      </c>
      <c r="E4269" t="s">
        <v>20253</v>
      </c>
      <c r="F4269" t="s">
        <v>32664</v>
      </c>
      <c r="G4269" t="s">
        <v>32678</v>
      </c>
      <c r="H4269" t="s">
        <v>32681</v>
      </c>
      <c r="I4269" t="s">
        <v>32681</v>
      </c>
      <c r="J4269" t="s">
        <v>35583</v>
      </c>
      <c r="K4269" t="s">
        <v>42377</v>
      </c>
      <c r="M4269" t="s">
        <v>44054</v>
      </c>
      <c r="N4269" t="s">
        <v>46569</v>
      </c>
      <c r="O4269" t="s">
        <v>46570</v>
      </c>
      <c r="P4269">
        <v>0</v>
      </c>
      <c r="Q4269">
        <v>0</v>
      </c>
      <c r="R4269" t="s">
        <v>46572</v>
      </c>
      <c r="S4269" t="s">
        <v>46689</v>
      </c>
      <c r="T4269" t="s">
        <v>48315</v>
      </c>
      <c r="U4269" t="s">
        <v>52268</v>
      </c>
      <c r="W4269" t="s">
        <v>44054</v>
      </c>
      <c r="X4269" t="s">
        <v>46573</v>
      </c>
    </row>
    <row r="4270" spans="1:24">
      <c r="A4270">
        <f>HYPERLINK("https://www.philgeps.gov.ph/GEPSNONPILOT/Tender/SplashBidNoticeAbstractUI.aspx?menuIndex=3&amp;refID=7063974&amp;Result=3","7063974")</f>
        <v>0</v>
      </c>
      <c r="B4270" t="s">
        <v>817</v>
      </c>
      <c r="C4270" t="s">
        <v>7630</v>
      </c>
      <c r="E4270" t="s">
        <v>22735</v>
      </c>
      <c r="F4270" t="s">
        <v>32664</v>
      </c>
      <c r="G4270" t="s">
        <v>32671</v>
      </c>
      <c r="H4270" t="s">
        <v>32683</v>
      </c>
      <c r="I4270" t="s">
        <v>10627</v>
      </c>
      <c r="J4270" t="s">
        <v>33051</v>
      </c>
      <c r="K4270" t="s">
        <v>42283</v>
      </c>
      <c r="M4270" t="s">
        <v>43412</v>
      </c>
      <c r="N4270" t="s">
        <v>46569</v>
      </c>
      <c r="O4270" t="s">
        <v>46570</v>
      </c>
      <c r="P4270">
        <v>0</v>
      </c>
      <c r="Q4270">
        <v>0</v>
      </c>
      <c r="R4270" t="s">
        <v>46572</v>
      </c>
      <c r="S4270" t="s">
        <v>46689</v>
      </c>
      <c r="T4270" t="s">
        <v>48244</v>
      </c>
      <c r="U4270" t="s">
        <v>52294</v>
      </c>
      <c r="W4270" t="s">
        <v>43412</v>
      </c>
      <c r="X4270" t="s">
        <v>46573</v>
      </c>
    </row>
    <row r="4271" spans="1:24">
      <c r="A4271">
        <f>HYPERLINK("https://www.philgeps.gov.ph/GEPSNONPILOT/Tender/SplashBidNoticeAbstractUI.aspx?menuIndex=3&amp;refID=7063973&amp;Result=3","7063973")</f>
        <v>0</v>
      </c>
      <c r="B4271" t="s">
        <v>1547</v>
      </c>
      <c r="C4271" t="s">
        <v>7631</v>
      </c>
      <c r="D4271" t="s">
        <v>18859</v>
      </c>
      <c r="E4271" t="s">
        <v>22736</v>
      </c>
      <c r="F4271" t="s">
        <v>32664</v>
      </c>
      <c r="G4271" t="s">
        <v>32672</v>
      </c>
      <c r="H4271" t="s">
        <v>32683</v>
      </c>
      <c r="I4271" t="s">
        <v>10627</v>
      </c>
      <c r="J4271" t="s">
        <v>35603</v>
      </c>
      <c r="K4271" t="s">
        <v>42308</v>
      </c>
      <c r="M4271" t="s">
        <v>44216</v>
      </c>
      <c r="N4271" t="s">
        <v>46569</v>
      </c>
      <c r="O4271" t="s">
        <v>46570</v>
      </c>
      <c r="P4271">
        <v>0</v>
      </c>
      <c r="Q4271">
        <v>1</v>
      </c>
      <c r="R4271" t="s">
        <v>46572</v>
      </c>
      <c r="S4271" t="s">
        <v>46689</v>
      </c>
      <c r="T4271" t="s">
        <v>48216</v>
      </c>
      <c r="U4271" t="s">
        <v>52295</v>
      </c>
      <c r="W4271" t="s">
        <v>44216</v>
      </c>
      <c r="X4271" t="s">
        <v>46573</v>
      </c>
    </row>
    <row r="4272" spans="1:24">
      <c r="A4272">
        <f>HYPERLINK("https://www.philgeps.gov.ph/GEPSNONPILOT/Tender/SplashBidNoticeAbstractUI.aspx?menuIndex=3&amp;refID=7063889&amp;Result=3","7063889")</f>
        <v>0</v>
      </c>
      <c r="B4272" t="s">
        <v>229</v>
      </c>
      <c r="C4272" t="s">
        <v>7632</v>
      </c>
      <c r="D4272" t="s">
        <v>18838</v>
      </c>
      <c r="E4272" t="s">
        <v>22737</v>
      </c>
      <c r="F4272" t="s">
        <v>32664</v>
      </c>
      <c r="G4272" t="s">
        <v>32671</v>
      </c>
      <c r="H4272" t="s">
        <v>12635</v>
      </c>
      <c r="I4272" t="s">
        <v>5501</v>
      </c>
      <c r="J4272" t="s">
        <v>35604</v>
      </c>
      <c r="K4272" t="s">
        <v>42297</v>
      </c>
      <c r="M4272" t="s">
        <v>42793</v>
      </c>
      <c r="N4272" t="s">
        <v>46569</v>
      </c>
      <c r="O4272" t="s">
        <v>46570</v>
      </c>
      <c r="P4272">
        <v>0</v>
      </c>
      <c r="Q4272">
        <v>1</v>
      </c>
      <c r="R4272" t="s">
        <v>46572</v>
      </c>
      <c r="S4272" t="s">
        <v>46689</v>
      </c>
      <c r="T4272" t="s">
        <v>48221</v>
      </c>
      <c r="U4272" t="s">
        <v>52296</v>
      </c>
      <c r="W4272" t="s">
        <v>42793</v>
      </c>
      <c r="X4272" t="s">
        <v>46573</v>
      </c>
    </row>
    <row r="4273" spans="1:24">
      <c r="A4273">
        <f>HYPERLINK("https://www.philgeps.gov.ph/GEPSNONPILOT/Tender/SplashBidNoticeAbstractUI.aspx?menuIndex=3&amp;refID=7063976&amp;Result=3","7063976")</f>
        <v>0</v>
      </c>
      <c r="B4273" t="s">
        <v>301</v>
      </c>
      <c r="C4273" t="s">
        <v>4111</v>
      </c>
      <c r="D4273" t="s">
        <v>18830</v>
      </c>
      <c r="E4273" t="s">
        <v>22738</v>
      </c>
      <c r="F4273" t="s">
        <v>32664</v>
      </c>
      <c r="G4273" t="s">
        <v>32671</v>
      </c>
      <c r="H4273" t="s">
        <v>12635</v>
      </c>
      <c r="I4273" t="s">
        <v>4439</v>
      </c>
      <c r="J4273" t="s">
        <v>35605</v>
      </c>
      <c r="K4273" t="s">
        <v>42284</v>
      </c>
      <c r="M4273" t="s">
        <v>42868</v>
      </c>
      <c r="N4273" t="s">
        <v>46569</v>
      </c>
      <c r="O4273" t="s">
        <v>46570</v>
      </c>
      <c r="P4273">
        <v>0</v>
      </c>
      <c r="Q4273">
        <v>0</v>
      </c>
      <c r="R4273" t="s">
        <v>46572</v>
      </c>
      <c r="S4273" t="s">
        <v>46689</v>
      </c>
      <c r="T4273" t="s">
        <v>48221</v>
      </c>
      <c r="U4273" t="s">
        <v>52297</v>
      </c>
      <c r="W4273" t="s">
        <v>42868</v>
      </c>
      <c r="X4273" t="s">
        <v>46573</v>
      </c>
    </row>
    <row r="4274" spans="1:24">
      <c r="A4274">
        <f>HYPERLINK("https://www.philgeps.gov.ph/GEPSNONPILOT/Tender/SplashBidNoticeAbstractUI.aspx?menuIndex=3&amp;refID=7063972&amp;Result=3","7063972")</f>
        <v>0</v>
      </c>
      <c r="B4274" t="s">
        <v>215</v>
      </c>
      <c r="C4274" t="s">
        <v>7633</v>
      </c>
      <c r="D4274" t="s">
        <v>18837</v>
      </c>
      <c r="E4274" t="s">
        <v>22739</v>
      </c>
      <c r="F4274" t="s">
        <v>32664</v>
      </c>
      <c r="G4274" t="s">
        <v>32674</v>
      </c>
      <c r="H4274" t="s">
        <v>12635</v>
      </c>
      <c r="I4274" t="s">
        <v>5589</v>
      </c>
      <c r="J4274" t="s">
        <v>32842</v>
      </c>
      <c r="K4274" t="s">
        <v>42289</v>
      </c>
      <c r="M4274" t="s">
        <v>42779</v>
      </c>
      <c r="N4274" t="s">
        <v>46569</v>
      </c>
      <c r="O4274" t="s">
        <v>46570</v>
      </c>
      <c r="P4274">
        <v>0</v>
      </c>
      <c r="Q4274">
        <v>0</v>
      </c>
      <c r="R4274" t="s">
        <v>46572</v>
      </c>
      <c r="S4274" t="s">
        <v>46689</v>
      </c>
      <c r="T4274" t="s">
        <v>48282</v>
      </c>
      <c r="U4274" t="s">
        <v>52298</v>
      </c>
      <c r="W4274" t="s">
        <v>42779</v>
      </c>
      <c r="X4274" t="s">
        <v>46573</v>
      </c>
    </row>
    <row r="4275" spans="1:24">
      <c r="A4275">
        <f>HYPERLINK("https://www.philgeps.gov.ph/GEPSNONPILOT/Tender/SplashBidNoticeAbstractUI.aspx?menuIndex=3&amp;refID=7063949&amp;Result=3","7063949")</f>
        <v>0</v>
      </c>
      <c r="B4275" t="s">
        <v>585</v>
      </c>
      <c r="C4275" t="s">
        <v>7634</v>
      </c>
      <c r="D4275" t="s">
        <v>18834</v>
      </c>
      <c r="E4275" t="s">
        <v>22740</v>
      </c>
      <c r="F4275" t="s">
        <v>32664</v>
      </c>
      <c r="G4275" t="s">
        <v>32672</v>
      </c>
      <c r="H4275" t="s">
        <v>32683</v>
      </c>
      <c r="I4275" t="s">
        <v>10627</v>
      </c>
      <c r="J4275" t="s">
        <v>33051</v>
      </c>
      <c r="K4275" t="s">
        <v>42298</v>
      </c>
      <c r="M4275" t="s">
        <v>43165</v>
      </c>
      <c r="N4275" t="s">
        <v>46569</v>
      </c>
      <c r="O4275" t="s">
        <v>46570</v>
      </c>
      <c r="P4275">
        <v>0</v>
      </c>
      <c r="Q4275">
        <v>0</v>
      </c>
      <c r="R4275" t="s">
        <v>46572</v>
      </c>
      <c r="S4275" t="s">
        <v>46689</v>
      </c>
      <c r="T4275" t="s">
        <v>48350</v>
      </c>
      <c r="U4275" t="s">
        <v>52299</v>
      </c>
      <c r="W4275" t="s">
        <v>43165</v>
      </c>
      <c r="X4275" t="s">
        <v>46573</v>
      </c>
    </row>
    <row r="4276" spans="1:24">
      <c r="A4276">
        <f>HYPERLINK("https://www.philgeps.gov.ph/GEPSNONPILOT/Tender/SplashBidNoticeAbstractUI.aspx?menuIndex=3&amp;refID=7064009&amp;Result=3","7064009")</f>
        <v>0</v>
      </c>
      <c r="B4276" t="s">
        <v>1525</v>
      </c>
      <c r="C4276" t="s">
        <v>7635</v>
      </c>
      <c r="D4276" t="s">
        <v>18784</v>
      </c>
      <c r="E4276" t="s">
        <v>22741</v>
      </c>
      <c r="F4276" t="s">
        <v>32664</v>
      </c>
      <c r="G4276" t="s">
        <v>32671</v>
      </c>
      <c r="H4276" t="s">
        <v>12635</v>
      </c>
      <c r="I4276" t="s">
        <v>32717</v>
      </c>
      <c r="J4276" t="s">
        <v>34041</v>
      </c>
      <c r="K4276" t="s">
        <v>42283</v>
      </c>
      <c r="M4276" t="s">
        <v>44192</v>
      </c>
      <c r="N4276" t="s">
        <v>46569</v>
      </c>
      <c r="O4276" t="s">
        <v>46570</v>
      </c>
      <c r="P4276">
        <v>0</v>
      </c>
      <c r="Q4276">
        <v>3</v>
      </c>
      <c r="R4276" t="s">
        <v>46572</v>
      </c>
      <c r="S4276" t="s">
        <v>46689</v>
      </c>
      <c r="T4276" t="s">
        <v>48282</v>
      </c>
      <c r="U4276" t="s">
        <v>52300</v>
      </c>
      <c r="V4276" t="s">
        <v>62053</v>
      </c>
      <c r="W4276" t="s">
        <v>44192</v>
      </c>
      <c r="X4276" t="s">
        <v>46573</v>
      </c>
    </row>
    <row r="4277" spans="1:24">
      <c r="A4277">
        <f>HYPERLINK("https://www.philgeps.gov.ph/GEPSNONPILOT/Tender/SplashBidNoticeAbstractUI.aspx?menuIndex=3&amp;refID=7064008&amp;Result=3","7064008")</f>
        <v>0</v>
      </c>
      <c r="B4277" t="s">
        <v>1540</v>
      </c>
      <c r="C4277" t="s">
        <v>7636</v>
      </c>
      <c r="D4277" t="s">
        <v>18838</v>
      </c>
      <c r="E4277" t="s">
        <v>22742</v>
      </c>
      <c r="F4277" t="s">
        <v>32664</v>
      </c>
      <c r="G4277" t="s">
        <v>32671</v>
      </c>
      <c r="H4277" t="s">
        <v>12635</v>
      </c>
      <c r="I4277" t="s">
        <v>32706</v>
      </c>
      <c r="J4277" t="s">
        <v>33051</v>
      </c>
      <c r="K4277" t="s">
        <v>42283</v>
      </c>
      <c r="M4277" t="s">
        <v>44209</v>
      </c>
      <c r="N4277" t="s">
        <v>46569</v>
      </c>
      <c r="O4277" t="s">
        <v>46570</v>
      </c>
      <c r="P4277">
        <v>0</v>
      </c>
      <c r="Q4277">
        <v>0</v>
      </c>
      <c r="R4277" t="s">
        <v>46572</v>
      </c>
      <c r="S4277" t="s">
        <v>46689</v>
      </c>
      <c r="T4277" t="s">
        <v>48312</v>
      </c>
      <c r="U4277" t="s">
        <v>52301</v>
      </c>
      <c r="W4277" t="s">
        <v>44209</v>
      </c>
      <c r="X4277" t="s">
        <v>46573</v>
      </c>
    </row>
    <row r="4278" spans="1:24">
      <c r="A4278">
        <f>HYPERLINK("https://www.philgeps.gov.ph/GEPSNONPILOT/Tender/SplashBidNoticeAbstractUI.aspx?menuIndex=3&amp;refID=7064007&amp;Result=3","7064007")</f>
        <v>0</v>
      </c>
      <c r="B4278" t="s">
        <v>1394</v>
      </c>
      <c r="C4278" t="s">
        <v>6628</v>
      </c>
      <c r="D4278" t="s">
        <v>18842</v>
      </c>
      <c r="E4278" t="s">
        <v>22743</v>
      </c>
      <c r="F4278" t="s">
        <v>32664</v>
      </c>
      <c r="G4278" t="s">
        <v>32671</v>
      </c>
      <c r="H4278" t="s">
        <v>12635</v>
      </c>
      <c r="I4278" t="s">
        <v>6628</v>
      </c>
      <c r="J4278" t="s">
        <v>35606</v>
      </c>
      <c r="K4278" t="s">
        <v>42284</v>
      </c>
      <c r="M4278" t="s">
        <v>44050</v>
      </c>
      <c r="N4278" t="s">
        <v>46569</v>
      </c>
      <c r="O4278" t="s">
        <v>46570</v>
      </c>
      <c r="P4278">
        <v>0</v>
      </c>
      <c r="Q4278">
        <v>0</v>
      </c>
      <c r="R4278" t="s">
        <v>46572</v>
      </c>
      <c r="S4278" t="s">
        <v>46689</v>
      </c>
      <c r="T4278" t="s">
        <v>48244</v>
      </c>
      <c r="U4278" t="s">
        <v>49881</v>
      </c>
      <c r="W4278" t="s">
        <v>44050</v>
      </c>
      <c r="X4278" t="s">
        <v>46573</v>
      </c>
    </row>
    <row r="4279" spans="1:24">
      <c r="A4279">
        <f>HYPERLINK("https://www.philgeps.gov.ph/GEPSNONPILOT/Tender/SplashBidNoticeAbstractUI.aspx?menuIndex=3&amp;refID=7064004&amp;Result=3","7064004")</f>
        <v>0</v>
      </c>
      <c r="B4279" t="s">
        <v>1247</v>
      </c>
      <c r="C4279" t="s">
        <v>7637</v>
      </c>
      <c r="D4279" t="s">
        <v>18802</v>
      </c>
      <c r="E4279" t="s">
        <v>22744</v>
      </c>
      <c r="F4279" t="s">
        <v>32664</v>
      </c>
      <c r="G4279" t="s">
        <v>32671</v>
      </c>
      <c r="H4279" t="s">
        <v>32683</v>
      </c>
      <c r="I4279" t="s">
        <v>10627</v>
      </c>
      <c r="J4279" t="s">
        <v>35607</v>
      </c>
      <c r="K4279" t="s">
        <v>42320</v>
      </c>
      <c r="M4279" t="s">
        <v>43889</v>
      </c>
      <c r="N4279" t="s">
        <v>46569</v>
      </c>
      <c r="O4279" t="s">
        <v>46570</v>
      </c>
      <c r="P4279">
        <v>0</v>
      </c>
      <c r="Q4279">
        <v>0</v>
      </c>
      <c r="R4279" t="s">
        <v>46572</v>
      </c>
      <c r="S4279" t="s">
        <v>46689</v>
      </c>
      <c r="T4279" t="s">
        <v>48219</v>
      </c>
      <c r="U4279" t="s">
        <v>51438</v>
      </c>
      <c r="W4279" t="s">
        <v>43889</v>
      </c>
      <c r="X4279" t="s">
        <v>46573</v>
      </c>
    </row>
    <row r="4280" spans="1:24">
      <c r="A4280">
        <f>HYPERLINK("https://www.philgeps.gov.ph/GEPSNONPILOT/Tender/SplashBidNoticeAbstractUI.aspx?menuIndex=3&amp;refID=7064006&amp;Result=3","7064006")</f>
        <v>0</v>
      </c>
      <c r="B4280" t="s">
        <v>1397</v>
      </c>
      <c r="C4280" t="s">
        <v>7628</v>
      </c>
      <c r="D4280" t="s">
        <v>18803</v>
      </c>
      <c r="E4280" t="s">
        <v>22745</v>
      </c>
      <c r="F4280" t="s">
        <v>32664</v>
      </c>
      <c r="G4280" t="s">
        <v>32678</v>
      </c>
      <c r="H4280" t="s">
        <v>32681</v>
      </c>
      <c r="I4280" t="s">
        <v>32681</v>
      </c>
      <c r="J4280" t="s">
        <v>35601</v>
      </c>
      <c r="K4280" t="s">
        <v>42377</v>
      </c>
      <c r="M4280" t="s">
        <v>44054</v>
      </c>
      <c r="N4280" t="s">
        <v>46569</v>
      </c>
      <c r="O4280" t="s">
        <v>46570</v>
      </c>
      <c r="P4280">
        <v>0</v>
      </c>
      <c r="Q4280">
        <v>0</v>
      </c>
      <c r="R4280" t="s">
        <v>46572</v>
      </c>
      <c r="S4280" t="s">
        <v>46689</v>
      </c>
      <c r="T4280" t="s">
        <v>48315</v>
      </c>
      <c r="U4280" t="s">
        <v>52292</v>
      </c>
      <c r="W4280" t="s">
        <v>44054</v>
      </c>
      <c r="X4280" t="s">
        <v>46573</v>
      </c>
    </row>
    <row r="4281" spans="1:24">
      <c r="A4281">
        <f>HYPERLINK("https://www.philgeps.gov.ph/GEPSNONPILOT/Tender/SplashBidNoticeAbstractUI.aspx?menuIndex=3&amp;refID=7064005&amp;Result=3","7064005")</f>
        <v>0</v>
      </c>
      <c r="B4281" t="s">
        <v>497</v>
      </c>
      <c r="C4281" t="s">
        <v>7638</v>
      </c>
      <c r="D4281" t="s">
        <v>18791</v>
      </c>
      <c r="E4281" t="s">
        <v>22746</v>
      </c>
      <c r="F4281" t="s">
        <v>32664</v>
      </c>
      <c r="G4281" t="s">
        <v>32672</v>
      </c>
      <c r="H4281" t="s">
        <v>32683</v>
      </c>
      <c r="I4281" t="s">
        <v>10627</v>
      </c>
      <c r="J4281" t="s">
        <v>35608</v>
      </c>
      <c r="K4281" t="s">
        <v>42311</v>
      </c>
      <c r="M4281" t="s">
        <v>43073</v>
      </c>
      <c r="N4281" t="s">
        <v>46569</v>
      </c>
      <c r="O4281" t="s">
        <v>46570</v>
      </c>
      <c r="P4281">
        <v>0</v>
      </c>
      <c r="Q4281">
        <v>2</v>
      </c>
      <c r="R4281" t="s">
        <v>46572</v>
      </c>
      <c r="S4281" t="s">
        <v>46689</v>
      </c>
      <c r="T4281" t="s">
        <v>48253</v>
      </c>
      <c r="U4281" t="s">
        <v>52302</v>
      </c>
      <c r="W4281" t="s">
        <v>43073</v>
      </c>
      <c r="X4281" t="s">
        <v>46573</v>
      </c>
    </row>
    <row r="4282" spans="1:24">
      <c r="A4282">
        <f>HYPERLINK("https://www.philgeps.gov.ph/GEPSNONPILOT/Tender/SplashBidNoticeAbstractUI.aspx?menuIndex=3&amp;refID=7064002&amp;Result=3","7064002")</f>
        <v>0</v>
      </c>
      <c r="B4282" t="s">
        <v>1548</v>
      </c>
      <c r="C4282" t="s">
        <v>7639</v>
      </c>
      <c r="D4282" t="s">
        <v>18831</v>
      </c>
      <c r="E4282" t="s">
        <v>22747</v>
      </c>
      <c r="F4282" t="s">
        <v>32664</v>
      </c>
      <c r="G4282" t="s">
        <v>32672</v>
      </c>
      <c r="H4282" t="s">
        <v>32683</v>
      </c>
      <c r="I4282" t="s">
        <v>10627</v>
      </c>
      <c r="J4282" t="s">
        <v>35609</v>
      </c>
      <c r="K4282" t="s">
        <v>42290</v>
      </c>
      <c r="M4282" t="s">
        <v>44217</v>
      </c>
      <c r="N4282" t="s">
        <v>46569</v>
      </c>
      <c r="O4282" t="s">
        <v>46570</v>
      </c>
      <c r="P4282">
        <v>0</v>
      </c>
      <c r="Q4282">
        <v>0</v>
      </c>
      <c r="R4282" t="s">
        <v>46572</v>
      </c>
      <c r="S4282" t="s">
        <v>46689</v>
      </c>
      <c r="T4282" t="s">
        <v>48510</v>
      </c>
      <c r="U4282" t="s">
        <v>52303</v>
      </c>
      <c r="W4282" t="s">
        <v>44217</v>
      </c>
      <c r="X4282" t="s">
        <v>46573</v>
      </c>
    </row>
    <row r="4283" spans="1:24">
      <c r="A4283">
        <f>HYPERLINK("https://www.philgeps.gov.ph/GEPSNONPILOT/Tender/SplashBidNoticeAbstractUI.aspx?menuIndex=3&amp;refID=7063969&amp;Result=3","7063969")</f>
        <v>0</v>
      </c>
      <c r="B4283" t="s">
        <v>185</v>
      </c>
      <c r="C4283" t="s">
        <v>7640</v>
      </c>
      <c r="D4283" t="s">
        <v>18805</v>
      </c>
      <c r="E4283" t="s">
        <v>22748</v>
      </c>
      <c r="F4283" t="s">
        <v>32664</v>
      </c>
      <c r="G4283" t="s">
        <v>32671</v>
      </c>
      <c r="H4283" t="s">
        <v>12635</v>
      </c>
      <c r="I4283" t="s">
        <v>4439</v>
      </c>
      <c r="J4283" t="s">
        <v>35610</v>
      </c>
      <c r="K4283" t="s">
        <v>42283</v>
      </c>
      <c r="M4283" t="s">
        <v>42749</v>
      </c>
      <c r="N4283" t="s">
        <v>46569</v>
      </c>
      <c r="O4283" t="s">
        <v>46570</v>
      </c>
      <c r="P4283">
        <v>0</v>
      </c>
      <c r="Q4283">
        <v>0</v>
      </c>
      <c r="R4283" t="s">
        <v>46572</v>
      </c>
      <c r="S4283" t="s">
        <v>46689</v>
      </c>
      <c r="T4283" t="s">
        <v>48219</v>
      </c>
      <c r="U4283" t="s">
        <v>52304</v>
      </c>
      <c r="W4283" t="s">
        <v>42749</v>
      </c>
      <c r="X4283" t="s">
        <v>46573</v>
      </c>
    </row>
    <row r="4284" spans="1:24">
      <c r="A4284">
        <f>HYPERLINK("https://www.philgeps.gov.ph/GEPSNONPILOT/Tender/SplashBidNoticeAbstractUI.aspx?menuIndex=3&amp;refID=7064000&amp;Result=3","7064000")</f>
        <v>0</v>
      </c>
      <c r="B4284" t="s">
        <v>1015</v>
      </c>
      <c r="C4284" t="s">
        <v>7641</v>
      </c>
      <c r="D4284" t="s">
        <v>18804</v>
      </c>
      <c r="E4284" t="s">
        <v>22749</v>
      </c>
      <c r="F4284" t="s">
        <v>32664</v>
      </c>
      <c r="G4284" t="s">
        <v>32671</v>
      </c>
      <c r="H4284" t="s">
        <v>12635</v>
      </c>
      <c r="I4284" t="s">
        <v>32685</v>
      </c>
      <c r="J4284" t="s">
        <v>35611</v>
      </c>
      <c r="K4284" t="s">
        <v>42289</v>
      </c>
      <c r="M4284" t="s">
        <v>43627</v>
      </c>
      <c r="N4284" t="s">
        <v>46569</v>
      </c>
      <c r="O4284" t="s">
        <v>46570</v>
      </c>
      <c r="P4284">
        <v>0</v>
      </c>
      <c r="Q4284">
        <v>1</v>
      </c>
      <c r="R4284" t="s">
        <v>46572</v>
      </c>
      <c r="S4284" t="s">
        <v>46689</v>
      </c>
      <c r="T4284" t="s">
        <v>48256</v>
      </c>
      <c r="U4284" t="s">
        <v>52305</v>
      </c>
      <c r="W4284" t="s">
        <v>43627</v>
      </c>
      <c r="X4284" t="s">
        <v>46573</v>
      </c>
    </row>
    <row r="4285" spans="1:24">
      <c r="A4285">
        <f>HYPERLINK("https://www.philgeps.gov.ph/GEPSNONPILOT/Tender/SplashBidNoticeAbstractUI.aspx?menuIndex=3&amp;refID=7063999&amp;Result=3","7063999")</f>
        <v>0</v>
      </c>
      <c r="B4285" t="s">
        <v>1259</v>
      </c>
      <c r="C4285" t="s">
        <v>7642</v>
      </c>
      <c r="D4285" t="s">
        <v>18782</v>
      </c>
      <c r="E4285" t="s">
        <v>22750</v>
      </c>
      <c r="F4285" t="s">
        <v>32664</v>
      </c>
      <c r="G4285" t="s">
        <v>32671</v>
      </c>
      <c r="H4285" t="s">
        <v>12635</v>
      </c>
      <c r="I4285" t="s">
        <v>32685</v>
      </c>
      <c r="J4285" t="s">
        <v>33974</v>
      </c>
      <c r="K4285" t="s">
        <v>42284</v>
      </c>
      <c r="M4285" t="s">
        <v>43901</v>
      </c>
      <c r="N4285" t="s">
        <v>46569</v>
      </c>
      <c r="O4285" t="s">
        <v>46570</v>
      </c>
      <c r="P4285">
        <v>0</v>
      </c>
      <c r="Q4285">
        <v>0</v>
      </c>
      <c r="R4285" t="s">
        <v>46572</v>
      </c>
      <c r="S4285" t="s">
        <v>46689</v>
      </c>
      <c r="T4285" t="s">
        <v>48511</v>
      </c>
      <c r="U4285" t="s">
        <v>52306</v>
      </c>
      <c r="W4285" t="s">
        <v>43901</v>
      </c>
      <c r="X4285" t="s">
        <v>46573</v>
      </c>
    </row>
    <row r="4286" spans="1:24">
      <c r="A4286">
        <f>HYPERLINK("https://www.philgeps.gov.ph/GEPSNONPILOT/Tender/SplashBidNoticeAbstractUI.aspx?menuIndex=3&amp;refID=7063998&amp;Result=3","7063998")</f>
        <v>0</v>
      </c>
      <c r="B4286" t="s">
        <v>1397</v>
      </c>
      <c r="C4286" t="s">
        <v>7643</v>
      </c>
      <c r="D4286" t="s">
        <v>18803</v>
      </c>
      <c r="E4286" t="s">
        <v>19584</v>
      </c>
      <c r="F4286" t="s">
        <v>32664</v>
      </c>
      <c r="G4286" t="s">
        <v>32678</v>
      </c>
      <c r="H4286" t="s">
        <v>32681</v>
      </c>
      <c r="I4286" t="s">
        <v>32681</v>
      </c>
      <c r="J4286" t="s">
        <v>35612</v>
      </c>
      <c r="K4286" t="s">
        <v>42377</v>
      </c>
      <c r="M4286" t="s">
        <v>44054</v>
      </c>
      <c r="N4286" t="s">
        <v>46569</v>
      </c>
      <c r="O4286" t="s">
        <v>46570</v>
      </c>
      <c r="P4286">
        <v>0</v>
      </c>
      <c r="Q4286">
        <v>0</v>
      </c>
      <c r="R4286" t="s">
        <v>46572</v>
      </c>
      <c r="S4286" t="s">
        <v>46689</v>
      </c>
      <c r="T4286" t="s">
        <v>48315</v>
      </c>
      <c r="U4286" t="s">
        <v>52307</v>
      </c>
      <c r="W4286" t="s">
        <v>44054</v>
      </c>
      <c r="X4286" t="s">
        <v>46573</v>
      </c>
    </row>
    <row r="4287" spans="1:24">
      <c r="A4287">
        <f>HYPERLINK("https://www.philgeps.gov.ph/GEPSNONPILOT/Tender/SplashBidNoticeAbstractUI.aspx?menuIndex=3&amp;refID=7063997&amp;Result=3","7063997")</f>
        <v>0</v>
      </c>
      <c r="B4287" t="s">
        <v>107</v>
      </c>
      <c r="C4287" t="s">
        <v>7644</v>
      </c>
      <c r="D4287" t="s">
        <v>18804</v>
      </c>
      <c r="E4287" t="s">
        <v>22751</v>
      </c>
      <c r="F4287" t="s">
        <v>32664</v>
      </c>
      <c r="G4287" t="s">
        <v>32672</v>
      </c>
      <c r="H4287" t="s">
        <v>32683</v>
      </c>
      <c r="I4287" t="s">
        <v>10627</v>
      </c>
      <c r="J4287" t="s">
        <v>35613</v>
      </c>
      <c r="K4287" t="s">
        <v>42311</v>
      </c>
      <c r="M4287" t="s">
        <v>42671</v>
      </c>
      <c r="N4287" t="s">
        <v>46569</v>
      </c>
      <c r="O4287" t="s">
        <v>46570</v>
      </c>
      <c r="P4287">
        <v>0</v>
      </c>
      <c r="Q4287">
        <v>2</v>
      </c>
      <c r="R4287" t="s">
        <v>46572</v>
      </c>
      <c r="S4287" t="s">
        <v>46689</v>
      </c>
      <c r="T4287" t="s">
        <v>48273</v>
      </c>
      <c r="U4287" t="s">
        <v>48995</v>
      </c>
      <c r="W4287" t="s">
        <v>42671</v>
      </c>
      <c r="X4287" t="s">
        <v>46573</v>
      </c>
    </row>
    <row r="4288" spans="1:24">
      <c r="A4288">
        <f>HYPERLINK("https://www.philgeps.gov.ph/GEPSNONPILOT/Tender/SplashBidNoticeAbstractUI.aspx?menuIndex=3&amp;refID=7063995&amp;Result=3","7063995")</f>
        <v>0</v>
      </c>
      <c r="B4288" t="s">
        <v>725</v>
      </c>
      <c r="C4288" t="s">
        <v>7645</v>
      </c>
      <c r="D4288" t="s">
        <v>18842</v>
      </c>
      <c r="E4288" t="s">
        <v>22752</v>
      </c>
      <c r="F4288" t="s">
        <v>32664</v>
      </c>
      <c r="G4288" t="s">
        <v>32671</v>
      </c>
      <c r="H4288" t="s">
        <v>12635</v>
      </c>
      <c r="I4288" t="s">
        <v>5589</v>
      </c>
      <c r="J4288" t="s">
        <v>33304</v>
      </c>
      <c r="K4288" t="s">
        <v>42297</v>
      </c>
      <c r="M4288" t="s">
        <v>43312</v>
      </c>
      <c r="N4288" t="s">
        <v>46569</v>
      </c>
      <c r="O4288" t="s">
        <v>46570</v>
      </c>
      <c r="P4288">
        <v>0</v>
      </c>
      <c r="Q4288">
        <v>6</v>
      </c>
      <c r="R4288" t="s">
        <v>46572</v>
      </c>
      <c r="S4288" t="s">
        <v>46689</v>
      </c>
      <c r="T4288" t="s">
        <v>48256</v>
      </c>
      <c r="U4288" t="s">
        <v>50140</v>
      </c>
      <c r="W4288" t="s">
        <v>43312</v>
      </c>
      <c r="X4288" t="s">
        <v>46573</v>
      </c>
    </row>
    <row r="4289" spans="1:24">
      <c r="A4289">
        <f>HYPERLINK("https://www.philgeps.gov.ph/GEPSNONPILOT/Tender/SplashBidNoticeAbstractUI.aspx?menuIndex=3&amp;refID=7063993&amp;Result=3","7063993")</f>
        <v>0</v>
      </c>
      <c r="B4289" t="s">
        <v>1549</v>
      </c>
      <c r="C4289" t="s">
        <v>7646</v>
      </c>
      <c r="D4289" t="s">
        <v>18799</v>
      </c>
      <c r="E4289" t="s">
        <v>22753</v>
      </c>
      <c r="F4289" t="s">
        <v>32664</v>
      </c>
      <c r="G4289" t="s">
        <v>32674</v>
      </c>
      <c r="H4289" t="s">
        <v>12635</v>
      </c>
      <c r="I4289" t="s">
        <v>5589</v>
      </c>
      <c r="J4289" t="s">
        <v>34095</v>
      </c>
      <c r="K4289" t="s">
        <v>42281</v>
      </c>
      <c r="M4289" t="s">
        <v>44218</v>
      </c>
      <c r="N4289" t="s">
        <v>46569</v>
      </c>
      <c r="O4289" t="s">
        <v>46570</v>
      </c>
      <c r="P4289">
        <v>0</v>
      </c>
      <c r="Q4289">
        <v>6</v>
      </c>
      <c r="R4289" t="s">
        <v>46572</v>
      </c>
      <c r="S4289" t="s">
        <v>46689</v>
      </c>
      <c r="T4289" t="s">
        <v>48244</v>
      </c>
      <c r="U4289" t="s">
        <v>52308</v>
      </c>
      <c r="W4289" t="s">
        <v>44218</v>
      </c>
      <c r="X4289" t="s">
        <v>46573</v>
      </c>
    </row>
    <row r="4290" spans="1:24">
      <c r="A4290">
        <f>HYPERLINK("https://www.philgeps.gov.ph/GEPSNONPILOT/Tender/SplashBidNoticeAbstractUI.aspx?menuIndex=3&amp;refID=7063992&amp;Result=3","7063992")</f>
        <v>0</v>
      </c>
      <c r="B4290" t="s">
        <v>1547</v>
      </c>
      <c r="C4290" t="s">
        <v>7647</v>
      </c>
      <c r="D4290" t="s">
        <v>18859</v>
      </c>
      <c r="E4290" t="s">
        <v>22754</v>
      </c>
      <c r="F4290" t="s">
        <v>32664</v>
      </c>
      <c r="G4290" t="s">
        <v>32672</v>
      </c>
      <c r="H4290" t="s">
        <v>32683</v>
      </c>
      <c r="I4290" t="s">
        <v>10627</v>
      </c>
      <c r="J4290" t="s">
        <v>35614</v>
      </c>
      <c r="K4290" t="s">
        <v>42308</v>
      </c>
      <c r="M4290" t="s">
        <v>44216</v>
      </c>
      <c r="N4290" t="s">
        <v>46569</v>
      </c>
      <c r="O4290" t="s">
        <v>46570</v>
      </c>
      <c r="P4290">
        <v>0</v>
      </c>
      <c r="Q4290">
        <v>1</v>
      </c>
      <c r="R4290" t="s">
        <v>46572</v>
      </c>
      <c r="S4290" t="s">
        <v>46689</v>
      </c>
      <c r="T4290" t="s">
        <v>48216</v>
      </c>
      <c r="U4290" t="s">
        <v>52309</v>
      </c>
      <c r="W4290" t="s">
        <v>44216</v>
      </c>
      <c r="X4290" t="s">
        <v>46573</v>
      </c>
    </row>
    <row r="4291" spans="1:24">
      <c r="A4291">
        <f>HYPERLINK("https://www.philgeps.gov.ph/GEPSNONPILOT/Tender/SplashBidNoticeAbstractUI.aspx?menuIndex=3&amp;refID=7063991&amp;Result=3","7063991")</f>
        <v>0</v>
      </c>
      <c r="B4291" t="s">
        <v>295</v>
      </c>
      <c r="C4291" t="s">
        <v>7648</v>
      </c>
      <c r="D4291" t="s">
        <v>18848</v>
      </c>
      <c r="E4291" t="s">
        <v>22755</v>
      </c>
      <c r="F4291" t="s">
        <v>32664</v>
      </c>
      <c r="G4291" t="s">
        <v>32672</v>
      </c>
      <c r="H4291" t="s">
        <v>12635</v>
      </c>
      <c r="I4291" t="s">
        <v>4439</v>
      </c>
      <c r="J4291" t="s">
        <v>33727</v>
      </c>
      <c r="K4291" t="s">
        <v>42297</v>
      </c>
      <c r="M4291" t="s">
        <v>42862</v>
      </c>
      <c r="N4291" t="s">
        <v>46569</v>
      </c>
      <c r="O4291" t="s">
        <v>46570</v>
      </c>
      <c r="P4291">
        <v>0</v>
      </c>
      <c r="Q4291">
        <v>1</v>
      </c>
      <c r="R4291" t="s">
        <v>46572</v>
      </c>
      <c r="S4291" t="s">
        <v>46689</v>
      </c>
      <c r="T4291" t="s">
        <v>48322</v>
      </c>
      <c r="U4291" t="s">
        <v>52310</v>
      </c>
      <c r="W4291" t="s">
        <v>42862</v>
      </c>
      <c r="X4291" t="s">
        <v>46573</v>
      </c>
    </row>
    <row r="4292" spans="1:24">
      <c r="A4292">
        <f>HYPERLINK("https://www.philgeps.gov.ph/GEPSNONPILOT/Tender/SplashBidNoticeAbstractUI.aspx?menuIndex=3&amp;refID=7064001&amp;Result=3","7064001")</f>
        <v>0</v>
      </c>
      <c r="B4292" t="s">
        <v>1190</v>
      </c>
      <c r="C4292" t="s">
        <v>7649</v>
      </c>
      <c r="D4292" t="s">
        <v>18855</v>
      </c>
      <c r="E4292" t="s">
        <v>22756</v>
      </c>
      <c r="F4292" t="s">
        <v>32664</v>
      </c>
      <c r="G4292" t="s">
        <v>32675</v>
      </c>
      <c r="H4292" t="s">
        <v>12635</v>
      </c>
      <c r="I4292" t="s">
        <v>8730</v>
      </c>
      <c r="J4292" t="s">
        <v>35615</v>
      </c>
      <c r="K4292" t="s">
        <v>42281</v>
      </c>
      <c r="M4292" t="s">
        <v>43826</v>
      </c>
      <c r="N4292" t="s">
        <v>46569</v>
      </c>
      <c r="O4292" t="s">
        <v>46570</v>
      </c>
      <c r="P4292">
        <v>0</v>
      </c>
      <c r="Q4292">
        <v>0</v>
      </c>
      <c r="R4292" t="s">
        <v>46572</v>
      </c>
      <c r="S4292" t="s">
        <v>46689</v>
      </c>
      <c r="T4292" t="s">
        <v>48256</v>
      </c>
      <c r="U4292" t="s">
        <v>52311</v>
      </c>
      <c r="W4292" t="s">
        <v>43826</v>
      </c>
      <c r="X4292" t="s">
        <v>46573</v>
      </c>
    </row>
    <row r="4293" spans="1:24">
      <c r="A4293">
        <f>HYPERLINK("https://www.philgeps.gov.ph/GEPSNONPILOT/Tender/SplashBidNoticeAbstractUI.aspx?menuIndex=3&amp;refID=7063990&amp;Result=3","7063990")</f>
        <v>0</v>
      </c>
      <c r="B4293" t="s">
        <v>1397</v>
      </c>
      <c r="C4293" t="s">
        <v>7628</v>
      </c>
      <c r="D4293" t="s">
        <v>18803</v>
      </c>
      <c r="E4293" t="s">
        <v>22757</v>
      </c>
      <c r="F4293" t="s">
        <v>32664</v>
      </c>
      <c r="G4293" t="s">
        <v>32678</v>
      </c>
      <c r="H4293" t="s">
        <v>32681</v>
      </c>
      <c r="I4293" t="s">
        <v>32681</v>
      </c>
      <c r="J4293" t="s">
        <v>35601</v>
      </c>
      <c r="K4293" t="s">
        <v>42377</v>
      </c>
      <c r="M4293" t="s">
        <v>44054</v>
      </c>
      <c r="N4293" t="s">
        <v>46569</v>
      </c>
      <c r="O4293" t="s">
        <v>46570</v>
      </c>
      <c r="P4293">
        <v>0</v>
      </c>
      <c r="Q4293">
        <v>0</v>
      </c>
      <c r="R4293" t="s">
        <v>46572</v>
      </c>
      <c r="S4293" t="s">
        <v>46689</v>
      </c>
      <c r="T4293" t="s">
        <v>48315</v>
      </c>
      <c r="U4293" t="s">
        <v>52292</v>
      </c>
      <c r="W4293" t="s">
        <v>44054</v>
      </c>
      <c r="X4293" t="s">
        <v>46573</v>
      </c>
    </row>
    <row r="4294" spans="1:24">
      <c r="A4294">
        <f>HYPERLINK("https://www.philgeps.gov.ph/GEPSNONPILOT/Tender/SplashBidNoticeAbstractUI.aspx?menuIndex=3&amp;refID=7063968&amp;Result=3","7063968")</f>
        <v>0</v>
      </c>
      <c r="B4294" t="s">
        <v>318</v>
      </c>
      <c r="C4294" t="s">
        <v>7650</v>
      </c>
      <c r="D4294" t="s">
        <v>18842</v>
      </c>
      <c r="E4294" t="s">
        <v>22758</v>
      </c>
      <c r="F4294" t="s">
        <v>32664</v>
      </c>
      <c r="G4294" t="s">
        <v>32671</v>
      </c>
      <c r="H4294" t="s">
        <v>12635</v>
      </c>
      <c r="I4294" t="s">
        <v>6628</v>
      </c>
      <c r="J4294" t="s">
        <v>33334</v>
      </c>
      <c r="K4294" t="s">
        <v>42297</v>
      </c>
      <c r="M4294" t="s">
        <v>42886</v>
      </c>
      <c r="N4294" t="s">
        <v>46569</v>
      </c>
      <c r="O4294" t="s">
        <v>46570</v>
      </c>
      <c r="P4294">
        <v>0</v>
      </c>
      <c r="Q4294">
        <v>0</v>
      </c>
      <c r="R4294" t="s">
        <v>46572</v>
      </c>
      <c r="S4294" t="s">
        <v>46689</v>
      </c>
      <c r="T4294" t="s">
        <v>48271</v>
      </c>
      <c r="U4294" t="s">
        <v>52312</v>
      </c>
      <c r="W4294" t="s">
        <v>42886</v>
      </c>
      <c r="X4294" t="s">
        <v>46573</v>
      </c>
    </row>
    <row r="4295" spans="1:24">
      <c r="A4295">
        <f>HYPERLINK("https://www.philgeps.gov.ph/GEPSNONPILOT/Tender/SplashBidNoticeAbstractUI.aspx?menuIndex=3&amp;refID=7063975&amp;Result=3","7063975")</f>
        <v>0</v>
      </c>
      <c r="B4295" t="s">
        <v>1394</v>
      </c>
      <c r="C4295" t="s">
        <v>6628</v>
      </c>
      <c r="D4295" t="s">
        <v>18842</v>
      </c>
      <c r="E4295" t="s">
        <v>19822</v>
      </c>
      <c r="F4295" t="s">
        <v>32664</v>
      </c>
      <c r="G4295" t="s">
        <v>32671</v>
      </c>
      <c r="H4295" t="s">
        <v>12635</v>
      </c>
      <c r="I4295" t="s">
        <v>6628</v>
      </c>
      <c r="J4295" t="s">
        <v>35616</v>
      </c>
      <c r="K4295" t="s">
        <v>42284</v>
      </c>
      <c r="M4295" t="s">
        <v>44050</v>
      </c>
      <c r="N4295" t="s">
        <v>46569</v>
      </c>
      <c r="O4295" t="s">
        <v>46570</v>
      </c>
      <c r="P4295">
        <v>0</v>
      </c>
      <c r="Q4295">
        <v>0</v>
      </c>
      <c r="R4295" t="s">
        <v>46572</v>
      </c>
      <c r="S4295" t="s">
        <v>46689</v>
      </c>
      <c r="T4295" t="s">
        <v>48244</v>
      </c>
      <c r="U4295" t="s">
        <v>49881</v>
      </c>
      <c r="W4295" t="s">
        <v>44050</v>
      </c>
      <c r="X4295" t="s">
        <v>46573</v>
      </c>
    </row>
    <row r="4296" spans="1:24">
      <c r="A4296">
        <f>HYPERLINK("https://www.philgeps.gov.ph/GEPSNONPILOT/Tender/SplashBidNoticeAbstractUI.aspx?menuIndex=3&amp;refID=7063994&amp;Result=3","7063994")</f>
        <v>0</v>
      </c>
      <c r="B4296" t="s">
        <v>585</v>
      </c>
      <c r="C4296" t="s">
        <v>7651</v>
      </c>
      <c r="D4296" t="s">
        <v>18834</v>
      </c>
      <c r="E4296" t="s">
        <v>22759</v>
      </c>
      <c r="F4296" t="s">
        <v>32664</v>
      </c>
      <c r="G4296" t="s">
        <v>32672</v>
      </c>
      <c r="H4296" t="s">
        <v>12635</v>
      </c>
      <c r="I4296" t="s">
        <v>11464</v>
      </c>
      <c r="J4296" t="s">
        <v>35617</v>
      </c>
      <c r="K4296" t="s">
        <v>42281</v>
      </c>
      <c r="M4296" t="s">
        <v>43165</v>
      </c>
      <c r="N4296" t="s">
        <v>46569</v>
      </c>
      <c r="O4296" t="s">
        <v>46570</v>
      </c>
      <c r="P4296">
        <v>0</v>
      </c>
      <c r="Q4296">
        <v>3</v>
      </c>
      <c r="R4296" t="s">
        <v>46572</v>
      </c>
      <c r="S4296" t="s">
        <v>46689</v>
      </c>
      <c r="T4296" t="s">
        <v>48350</v>
      </c>
      <c r="U4296" t="s">
        <v>52313</v>
      </c>
      <c r="W4296" t="s">
        <v>43165</v>
      </c>
      <c r="X4296" t="s">
        <v>46573</v>
      </c>
    </row>
    <row r="4297" spans="1:24">
      <c r="A4297">
        <f>HYPERLINK("https://www.philgeps.gov.ph/GEPSNONPILOT/Tender/SplashBidNoticeAbstractUI.aspx?menuIndex=3&amp;refID=7063964&amp;Result=3","7063964")</f>
        <v>0</v>
      </c>
      <c r="B4297" t="s">
        <v>1550</v>
      </c>
      <c r="C4297" t="s">
        <v>7652</v>
      </c>
      <c r="D4297" t="s">
        <v>18799</v>
      </c>
      <c r="E4297" t="s">
        <v>22760</v>
      </c>
      <c r="F4297" t="s">
        <v>32664</v>
      </c>
      <c r="G4297" t="s">
        <v>32671</v>
      </c>
      <c r="H4297" t="s">
        <v>12635</v>
      </c>
      <c r="I4297" t="s">
        <v>8797</v>
      </c>
      <c r="J4297" t="s">
        <v>33334</v>
      </c>
      <c r="K4297" t="s">
        <v>42309</v>
      </c>
      <c r="M4297" t="s">
        <v>44219</v>
      </c>
      <c r="N4297" t="s">
        <v>46569</v>
      </c>
      <c r="O4297" t="s">
        <v>46570</v>
      </c>
      <c r="P4297">
        <v>0</v>
      </c>
      <c r="Q4297">
        <v>8</v>
      </c>
      <c r="R4297" t="s">
        <v>46572</v>
      </c>
      <c r="S4297" t="s">
        <v>46689</v>
      </c>
      <c r="T4297" t="s">
        <v>48217</v>
      </c>
      <c r="U4297" t="s">
        <v>52314</v>
      </c>
      <c r="W4297" t="s">
        <v>44219</v>
      </c>
      <c r="X4297" t="s">
        <v>46573</v>
      </c>
    </row>
    <row r="4298" spans="1:24">
      <c r="A4298">
        <f>HYPERLINK("https://www.philgeps.gov.ph/GEPSNONPILOT/Tender/SplashBidNoticeAbstractUI.aspx?menuIndex=3&amp;refID=7063989&amp;Result=3","7063989")</f>
        <v>0</v>
      </c>
      <c r="B4298" t="s">
        <v>53</v>
      </c>
      <c r="C4298" t="s">
        <v>7653</v>
      </c>
      <c r="E4298" t="s">
        <v>22761</v>
      </c>
      <c r="F4298" t="s">
        <v>32664</v>
      </c>
      <c r="G4298" t="s">
        <v>32671</v>
      </c>
      <c r="H4298" t="s">
        <v>12635</v>
      </c>
      <c r="I4298" t="s">
        <v>8797</v>
      </c>
      <c r="J4298" t="s">
        <v>35618</v>
      </c>
      <c r="K4298" t="s">
        <v>42284</v>
      </c>
      <c r="M4298" t="s">
        <v>42615</v>
      </c>
      <c r="N4298" t="s">
        <v>46569</v>
      </c>
      <c r="O4298" t="s">
        <v>46570</v>
      </c>
      <c r="P4298">
        <v>0</v>
      </c>
      <c r="Q4298">
        <v>5</v>
      </c>
      <c r="R4298" t="s">
        <v>46572</v>
      </c>
      <c r="S4298" t="s">
        <v>46689</v>
      </c>
      <c r="T4298" t="s">
        <v>48293</v>
      </c>
      <c r="U4298" t="s">
        <v>48853</v>
      </c>
      <c r="W4298" t="s">
        <v>42615</v>
      </c>
      <c r="X4298" t="s">
        <v>46573</v>
      </c>
    </row>
    <row r="4299" spans="1:24">
      <c r="A4299">
        <f>HYPERLINK("https://www.philgeps.gov.ph/GEPSNONPILOT/Tender/SplashBidNoticeAbstractUI.aspx?menuIndex=3&amp;refID=7063980&amp;Result=3","7063980")</f>
        <v>0</v>
      </c>
      <c r="B4299" t="s">
        <v>1551</v>
      </c>
      <c r="C4299" t="s">
        <v>7654</v>
      </c>
      <c r="D4299" t="s">
        <v>18785</v>
      </c>
      <c r="E4299" t="s">
        <v>22762</v>
      </c>
      <c r="F4299" t="s">
        <v>32664</v>
      </c>
      <c r="G4299" t="s">
        <v>32674</v>
      </c>
      <c r="H4299" t="s">
        <v>12635</v>
      </c>
      <c r="I4299" t="s">
        <v>32719</v>
      </c>
      <c r="J4299" t="s">
        <v>32992</v>
      </c>
      <c r="K4299" t="s">
        <v>42303</v>
      </c>
      <c r="M4299" t="s">
        <v>44220</v>
      </c>
      <c r="N4299" t="s">
        <v>46569</v>
      </c>
      <c r="O4299" t="s">
        <v>46570</v>
      </c>
      <c r="P4299">
        <v>0</v>
      </c>
      <c r="Q4299">
        <v>2</v>
      </c>
      <c r="R4299" t="s">
        <v>46572</v>
      </c>
      <c r="S4299" t="s">
        <v>46689</v>
      </c>
      <c r="T4299" t="s">
        <v>48316</v>
      </c>
      <c r="U4299" t="s">
        <v>52315</v>
      </c>
      <c r="W4299" t="s">
        <v>44220</v>
      </c>
      <c r="X4299" t="s">
        <v>46573</v>
      </c>
    </row>
    <row r="4300" spans="1:24">
      <c r="A4300">
        <f>HYPERLINK("https://www.philgeps.gov.ph/GEPSNONPILOT/Tender/SplashBidNoticeAbstractUI.aspx?menuIndex=3&amp;refID=7063961&amp;Result=3","7063961")</f>
        <v>0</v>
      </c>
      <c r="B4300" t="s">
        <v>1247</v>
      </c>
      <c r="C4300" t="s">
        <v>7655</v>
      </c>
      <c r="D4300" t="s">
        <v>18802</v>
      </c>
      <c r="E4300" t="s">
        <v>22763</v>
      </c>
      <c r="F4300" t="s">
        <v>32664</v>
      </c>
      <c r="G4300" t="s">
        <v>32671</v>
      </c>
      <c r="H4300" t="s">
        <v>32683</v>
      </c>
      <c r="I4300" t="s">
        <v>10627</v>
      </c>
      <c r="J4300" t="s">
        <v>33021</v>
      </c>
      <c r="K4300" t="s">
        <v>42281</v>
      </c>
      <c r="M4300" t="s">
        <v>43889</v>
      </c>
      <c r="N4300" t="s">
        <v>46569</v>
      </c>
      <c r="O4300" t="s">
        <v>46570</v>
      </c>
      <c r="P4300">
        <v>0</v>
      </c>
      <c r="Q4300">
        <v>0</v>
      </c>
      <c r="R4300" t="s">
        <v>46572</v>
      </c>
      <c r="S4300" t="s">
        <v>46689</v>
      </c>
      <c r="T4300" t="s">
        <v>48219</v>
      </c>
      <c r="U4300" t="s">
        <v>51438</v>
      </c>
      <c r="W4300" t="s">
        <v>43889</v>
      </c>
      <c r="X4300" t="s">
        <v>46573</v>
      </c>
    </row>
    <row r="4301" spans="1:24">
      <c r="A4301">
        <f>HYPERLINK("https://www.philgeps.gov.ph/GEPSNONPILOT/Tender/SplashBidNoticeAbstractUI.aspx?menuIndex=3&amp;refID=7063965&amp;Result=3","7063965")</f>
        <v>0</v>
      </c>
      <c r="B4301" t="s">
        <v>1552</v>
      </c>
      <c r="C4301" t="s">
        <v>7656</v>
      </c>
      <c r="D4301" t="s">
        <v>18851</v>
      </c>
      <c r="E4301" t="s">
        <v>22764</v>
      </c>
      <c r="F4301" t="s">
        <v>32664</v>
      </c>
      <c r="G4301" t="s">
        <v>32672</v>
      </c>
      <c r="H4301" t="s">
        <v>12635</v>
      </c>
      <c r="I4301" t="s">
        <v>32716</v>
      </c>
      <c r="J4301" t="s">
        <v>35619</v>
      </c>
      <c r="K4301" t="s">
        <v>42305</v>
      </c>
      <c r="M4301" t="s">
        <v>44221</v>
      </c>
      <c r="N4301" t="s">
        <v>46569</v>
      </c>
      <c r="O4301" t="s">
        <v>46570</v>
      </c>
      <c r="P4301">
        <v>0</v>
      </c>
      <c r="Q4301">
        <v>0</v>
      </c>
      <c r="R4301" t="s">
        <v>46572</v>
      </c>
      <c r="S4301" t="s">
        <v>46689</v>
      </c>
      <c r="T4301" t="s">
        <v>48274</v>
      </c>
      <c r="U4301" t="s">
        <v>52316</v>
      </c>
      <c r="W4301" t="s">
        <v>44221</v>
      </c>
      <c r="X4301" t="s">
        <v>46573</v>
      </c>
    </row>
    <row r="4302" spans="1:24">
      <c r="A4302">
        <f>HYPERLINK("https://www.philgeps.gov.ph/GEPSNONPILOT/Tender/SplashBidNoticeAbstractUI.aspx?menuIndex=3&amp;refID=7063963&amp;Result=3","7063963")</f>
        <v>0</v>
      </c>
      <c r="B4302" t="s">
        <v>1553</v>
      </c>
      <c r="C4302" t="s">
        <v>7657</v>
      </c>
      <c r="D4302" t="s">
        <v>18792</v>
      </c>
      <c r="E4302" t="s">
        <v>22765</v>
      </c>
      <c r="F4302" t="s">
        <v>32664</v>
      </c>
      <c r="G4302" t="s">
        <v>32671</v>
      </c>
      <c r="H4302" t="s">
        <v>12635</v>
      </c>
      <c r="I4302" t="s">
        <v>11464</v>
      </c>
      <c r="J4302" t="s">
        <v>35620</v>
      </c>
      <c r="K4302" t="s">
        <v>42297</v>
      </c>
      <c r="M4302" t="s">
        <v>44222</v>
      </c>
      <c r="N4302" t="s">
        <v>46569</v>
      </c>
      <c r="O4302" t="s">
        <v>46570</v>
      </c>
      <c r="P4302">
        <v>0</v>
      </c>
      <c r="Q4302">
        <v>0</v>
      </c>
      <c r="R4302" t="s">
        <v>46572</v>
      </c>
      <c r="S4302" t="s">
        <v>46689</v>
      </c>
      <c r="T4302" t="s">
        <v>48268</v>
      </c>
      <c r="U4302" t="s">
        <v>52317</v>
      </c>
      <c r="W4302" t="s">
        <v>44222</v>
      </c>
      <c r="X4302" t="s">
        <v>46573</v>
      </c>
    </row>
    <row r="4303" spans="1:24">
      <c r="A4303">
        <f>HYPERLINK("https://www.philgeps.gov.ph/GEPSNONPILOT/Tender/SplashBidNoticeAbstractUI.aspx?menuIndex=3&amp;refID=7063962&amp;Result=3","7063962")</f>
        <v>0</v>
      </c>
      <c r="B4303" t="s">
        <v>295</v>
      </c>
      <c r="C4303" t="s">
        <v>7658</v>
      </c>
      <c r="D4303" t="s">
        <v>18848</v>
      </c>
      <c r="E4303" t="s">
        <v>22766</v>
      </c>
      <c r="F4303" t="s">
        <v>32664</v>
      </c>
      <c r="G4303" t="s">
        <v>32672</v>
      </c>
      <c r="H4303" t="s">
        <v>12635</v>
      </c>
      <c r="I4303" t="s">
        <v>6168</v>
      </c>
      <c r="J4303" t="s">
        <v>35621</v>
      </c>
      <c r="K4303" t="s">
        <v>42297</v>
      </c>
      <c r="M4303" t="s">
        <v>42862</v>
      </c>
      <c r="N4303" t="s">
        <v>46569</v>
      </c>
      <c r="O4303" t="s">
        <v>46570</v>
      </c>
      <c r="P4303">
        <v>0</v>
      </c>
      <c r="Q4303">
        <v>0</v>
      </c>
      <c r="R4303" t="s">
        <v>46572</v>
      </c>
      <c r="S4303" t="s">
        <v>46689</v>
      </c>
      <c r="T4303" t="s">
        <v>48322</v>
      </c>
      <c r="U4303" t="s">
        <v>52318</v>
      </c>
      <c r="W4303" t="s">
        <v>42862</v>
      </c>
      <c r="X4303" t="s">
        <v>46573</v>
      </c>
    </row>
    <row r="4304" spans="1:24">
      <c r="A4304">
        <f>HYPERLINK("https://www.philgeps.gov.ph/GEPSNONPILOT/Tender/SplashBidNoticeAbstractUI.aspx?menuIndex=3&amp;refID=7063960&amp;Result=3","7063960")</f>
        <v>0</v>
      </c>
      <c r="B4304" t="s">
        <v>1501</v>
      </c>
      <c r="C4304" t="s">
        <v>7659</v>
      </c>
      <c r="D4304" t="s">
        <v>18832</v>
      </c>
      <c r="E4304" t="s">
        <v>22767</v>
      </c>
      <c r="F4304" t="s">
        <v>32664</v>
      </c>
      <c r="G4304" t="s">
        <v>32672</v>
      </c>
      <c r="H4304" t="s">
        <v>12635</v>
      </c>
      <c r="I4304" t="s">
        <v>4439</v>
      </c>
      <c r="J4304" t="s">
        <v>35622</v>
      </c>
      <c r="K4304" t="s">
        <v>42303</v>
      </c>
      <c r="M4304" t="s">
        <v>44165</v>
      </c>
      <c r="N4304" t="s">
        <v>46569</v>
      </c>
      <c r="O4304" t="s">
        <v>46570</v>
      </c>
      <c r="P4304">
        <v>0</v>
      </c>
      <c r="Q4304">
        <v>0</v>
      </c>
      <c r="R4304" t="s">
        <v>46572</v>
      </c>
      <c r="S4304" t="s">
        <v>46689</v>
      </c>
      <c r="T4304" t="s">
        <v>48225</v>
      </c>
      <c r="U4304" t="s">
        <v>52160</v>
      </c>
      <c r="W4304" t="s">
        <v>44165</v>
      </c>
      <c r="X4304" t="s">
        <v>46573</v>
      </c>
    </row>
    <row r="4305" spans="1:24">
      <c r="A4305">
        <f>HYPERLINK("https://www.philgeps.gov.ph/GEPSNONPILOT/Tender/SplashBidNoticeAbstractUI.aspx?menuIndex=3&amp;refID=7063938&amp;Result=3","7063938")</f>
        <v>0</v>
      </c>
      <c r="B4305" t="s">
        <v>1539</v>
      </c>
      <c r="C4305" t="s">
        <v>7660</v>
      </c>
      <c r="D4305" t="s">
        <v>18792</v>
      </c>
      <c r="E4305" t="s">
        <v>22704</v>
      </c>
      <c r="F4305" t="s">
        <v>32664</v>
      </c>
      <c r="G4305" t="s">
        <v>32674</v>
      </c>
      <c r="H4305" t="s">
        <v>12635</v>
      </c>
      <c r="I4305" t="s">
        <v>32685</v>
      </c>
      <c r="J4305" t="s">
        <v>35582</v>
      </c>
      <c r="K4305" t="s">
        <v>42281</v>
      </c>
      <c r="M4305" t="s">
        <v>44208</v>
      </c>
      <c r="N4305" t="s">
        <v>46569</v>
      </c>
      <c r="O4305" t="s">
        <v>46570</v>
      </c>
      <c r="P4305">
        <v>0</v>
      </c>
      <c r="Q4305">
        <v>0</v>
      </c>
      <c r="R4305" t="s">
        <v>46572</v>
      </c>
      <c r="S4305" t="s">
        <v>46689</v>
      </c>
      <c r="T4305" t="s">
        <v>48254</v>
      </c>
      <c r="U4305" t="s">
        <v>52319</v>
      </c>
      <c r="W4305" t="s">
        <v>44208</v>
      </c>
      <c r="X4305" t="s">
        <v>46573</v>
      </c>
    </row>
    <row r="4306" spans="1:24">
      <c r="A4306">
        <f>HYPERLINK("https://www.philgeps.gov.ph/GEPSNONPILOT/Tender/SplashBidNoticeAbstractUI.aspx?menuIndex=3&amp;refID=7063935&amp;Result=3","7063935")</f>
        <v>0</v>
      </c>
      <c r="B4306" t="s">
        <v>352</v>
      </c>
      <c r="C4306" t="s">
        <v>7661</v>
      </c>
      <c r="D4306" t="s">
        <v>18801</v>
      </c>
      <c r="E4306" t="s">
        <v>22768</v>
      </c>
      <c r="F4306" t="s">
        <v>32664</v>
      </c>
      <c r="G4306" t="s">
        <v>32671</v>
      </c>
      <c r="H4306" t="s">
        <v>12635</v>
      </c>
      <c r="I4306" t="s">
        <v>32711</v>
      </c>
      <c r="J4306" t="s">
        <v>35623</v>
      </c>
      <c r="K4306" t="s">
        <v>42289</v>
      </c>
      <c r="M4306" t="s">
        <v>43404</v>
      </c>
      <c r="N4306" t="s">
        <v>46569</v>
      </c>
      <c r="O4306" t="s">
        <v>46570</v>
      </c>
      <c r="P4306">
        <v>0</v>
      </c>
      <c r="Q4306">
        <v>2</v>
      </c>
      <c r="R4306" t="s">
        <v>46572</v>
      </c>
      <c r="S4306" t="s">
        <v>46689</v>
      </c>
      <c r="T4306" t="s">
        <v>48256</v>
      </c>
      <c r="U4306" t="s">
        <v>52320</v>
      </c>
      <c r="V4306" t="s">
        <v>61800</v>
      </c>
      <c r="W4306" t="s">
        <v>43404</v>
      </c>
      <c r="X4306" t="s">
        <v>46573</v>
      </c>
    </row>
    <row r="4307" spans="1:24">
      <c r="A4307">
        <f>HYPERLINK("https://www.philgeps.gov.ph/GEPSNONPILOT/Tender/SplashBidNoticeAbstractUI.aspx?menuIndex=3&amp;refID=7063937&amp;Result=3","7063937")</f>
        <v>0</v>
      </c>
      <c r="B4307" t="s">
        <v>229</v>
      </c>
      <c r="C4307" t="s">
        <v>7662</v>
      </c>
      <c r="D4307" t="s">
        <v>18838</v>
      </c>
      <c r="E4307" t="s">
        <v>22769</v>
      </c>
      <c r="F4307" t="s">
        <v>32664</v>
      </c>
      <c r="G4307" t="s">
        <v>32671</v>
      </c>
      <c r="H4307" t="s">
        <v>12635</v>
      </c>
      <c r="I4307" t="s">
        <v>6223</v>
      </c>
      <c r="J4307" t="s">
        <v>35624</v>
      </c>
      <c r="K4307" t="s">
        <v>42297</v>
      </c>
      <c r="M4307" t="s">
        <v>42793</v>
      </c>
      <c r="N4307" t="s">
        <v>46569</v>
      </c>
      <c r="O4307" t="s">
        <v>46570</v>
      </c>
      <c r="P4307">
        <v>0</v>
      </c>
      <c r="Q4307">
        <v>0</v>
      </c>
      <c r="R4307" t="s">
        <v>46572</v>
      </c>
      <c r="S4307" t="s">
        <v>46689</v>
      </c>
      <c r="T4307" t="s">
        <v>48221</v>
      </c>
      <c r="U4307" t="s">
        <v>52321</v>
      </c>
      <c r="W4307" t="s">
        <v>42793</v>
      </c>
      <c r="X4307" t="s">
        <v>46573</v>
      </c>
    </row>
    <row r="4308" spans="1:24">
      <c r="A4308">
        <f>HYPERLINK("https://www.philgeps.gov.ph/GEPSNONPILOT/Tender/SplashBidNoticeAbstractUI.aspx?menuIndex=3&amp;refID=7063837&amp;Result=3","7063837")</f>
        <v>0</v>
      </c>
      <c r="B4308" t="s">
        <v>347</v>
      </c>
      <c r="C4308" t="s">
        <v>7663</v>
      </c>
      <c r="D4308" t="s">
        <v>18792</v>
      </c>
      <c r="E4308" t="s">
        <v>22770</v>
      </c>
      <c r="F4308" t="s">
        <v>32664</v>
      </c>
      <c r="G4308" t="s">
        <v>32671</v>
      </c>
      <c r="H4308" t="s">
        <v>12635</v>
      </c>
      <c r="I4308" t="s">
        <v>4439</v>
      </c>
      <c r="J4308" t="s">
        <v>35625</v>
      </c>
      <c r="K4308" t="s">
        <v>42281</v>
      </c>
      <c r="M4308" t="s">
        <v>42916</v>
      </c>
      <c r="N4308" t="s">
        <v>46569</v>
      </c>
      <c r="O4308" t="s">
        <v>46570</v>
      </c>
      <c r="P4308">
        <v>0</v>
      </c>
      <c r="Q4308">
        <v>0</v>
      </c>
      <c r="R4308" t="s">
        <v>46572</v>
      </c>
      <c r="S4308" t="s">
        <v>46689</v>
      </c>
      <c r="T4308" t="s">
        <v>48283</v>
      </c>
      <c r="U4308" t="s">
        <v>52322</v>
      </c>
      <c r="W4308" t="s">
        <v>42916</v>
      </c>
      <c r="X4308" t="s">
        <v>46573</v>
      </c>
    </row>
    <row r="4309" spans="1:24">
      <c r="A4309">
        <f>HYPERLINK("https://www.philgeps.gov.ph/GEPSNONPILOT/Tender/SplashBidNoticeAbstractUI.aspx?menuIndex=3&amp;refID=7063934&amp;Result=3","7063934")</f>
        <v>0</v>
      </c>
      <c r="B4309" t="s">
        <v>234</v>
      </c>
      <c r="C4309" t="s">
        <v>7664</v>
      </c>
      <c r="D4309" t="s">
        <v>18831</v>
      </c>
      <c r="E4309" t="s">
        <v>22771</v>
      </c>
      <c r="F4309" t="s">
        <v>32665</v>
      </c>
      <c r="G4309" t="s">
        <v>32672</v>
      </c>
      <c r="H4309" t="s">
        <v>32683</v>
      </c>
      <c r="I4309" t="s">
        <v>32721</v>
      </c>
      <c r="J4309" t="s">
        <v>33761</v>
      </c>
      <c r="K4309" t="s">
        <v>42308</v>
      </c>
      <c r="M4309" t="s">
        <v>42799</v>
      </c>
      <c r="N4309" t="s">
        <v>46569</v>
      </c>
      <c r="O4309" t="s">
        <v>46570</v>
      </c>
      <c r="P4309">
        <v>0</v>
      </c>
      <c r="Q4309">
        <v>0</v>
      </c>
      <c r="R4309" t="s">
        <v>46572</v>
      </c>
      <c r="S4309" t="s">
        <v>46689</v>
      </c>
      <c r="T4309" t="s">
        <v>48412</v>
      </c>
      <c r="U4309" t="s">
        <v>52323</v>
      </c>
      <c r="V4309" t="s">
        <v>61674</v>
      </c>
      <c r="W4309" t="s">
        <v>42799</v>
      </c>
      <c r="X4309" t="s">
        <v>46573</v>
      </c>
    </row>
    <row r="4310" spans="1:24">
      <c r="A4310">
        <f>HYPERLINK("https://www.philgeps.gov.ph/GEPSNONPILOT/Tender/SplashBidNoticeAbstractUI.aspx?menuIndex=3&amp;refID=7063932&amp;Result=3","7063932")</f>
        <v>0</v>
      </c>
      <c r="B4310" t="s">
        <v>1397</v>
      </c>
      <c r="C4310" t="s">
        <v>7627</v>
      </c>
      <c r="D4310" t="s">
        <v>18803</v>
      </c>
      <c r="E4310" t="s">
        <v>19178</v>
      </c>
      <c r="F4310" t="s">
        <v>32664</v>
      </c>
      <c r="G4310" t="s">
        <v>32678</v>
      </c>
      <c r="H4310" t="s">
        <v>32681</v>
      </c>
      <c r="I4310" t="s">
        <v>32681</v>
      </c>
      <c r="J4310" t="s">
        <v>35600</v>
      </c>
      <c r="K4310" t="s">
        <v>42377</v>
      </c>
      <c r="M4310" t="s">
        <v>44054</v>
      </c>
      <c r="N4310" t="s">
        <v>46569</v>
      </c>
      <c r="O4310" t="s">
        <v>46570</v>
      </c>
      <c r="P4310">
        <v>0</v>
      </c>
      <c r="Q4310">
        <v>0</v>
      </c>
      <c r="R4310" t="s">
        <v>46572</v>
      </c>
      <c r="S4310" t="s">
        <v>46689</v>
      </c>
      <c r="T4310" t="s">
        <v>48315</v>
      </c>
      <c r="U4310" t="s">
        <v>52291</v>
      </c>
      <c r="W4310" t="s">
        <v>44054</v>
      </c>
      <c r="X4310" t="s">
        <v>46573</v>
      </c>
    </row>
    <row r="4311" spans="1:24">
      <c r="A4311">
        <f>HYPERLINK("https://www.philgeps.gov.ph/GEPSNONPILOT/Tender/SplashBidNoticeAbstractUI.aspx?menuIndex=3&amp;refID=7063813&amp;Result=3","7063813")</f>
        <v>0</v>
      </c>
      <c r="B4311" t="s">
        <v>1554</v>
      </c>
      <c r="C4311" t="s">
        <v>7665</v>
      </c>
      <c r="D4311" t="s">
        <v>18835</v>
      </c>
      <c r="E4311" t="s">
        <v>18889</v>
      </c>
      <c r="F4311" t="s">
        <v>32664</v>
      </c>
      <c r="G4311" t="s">
        <v>32672</v>
      </c>
      <c r="H4311" t="s">
        <v>12635</v>
      </c>
      <c r="I4311" t="s">
        <v>4439</v>
      </c>
      <c r="J4311" t="s">
        <v>35626</v>
      </c>
      <c r="K4311" t="s">
        <v>42321</v>
      </c>
      <c r="M4311" t="s">
        <v>44223</v>
      </c>
      <c r="N4311" t="s">
        <v>46569</v>
      </c>
      <c r="O4311" t="s">
        <v>46570</v>
      </c>
      <c r="P4311">
        <v>0</v>
      </c>
      <c r="Q4311">
        <v>0</v>
      </c>
      <c r="R4311" t="s">
        <v>46572</v>
      </c>
      <c r="S4311" t="s">
        <v>46689</v>
      </c>
      <c r="T4311" t="s">
        <v>48268</v>
      </c>
      <c r="U4311" t="s">
        <v>52324</v>
      </c>
      <c r="W4311" t="s">
        <v>44223</v>
      </c>
      <c r="X4311" t="s">
        <v>46573</v>
      </c>
    </row>
    <row r="4312" spans="1:24">
      <c r="A4312">
        <f>HYPERLINK("https://www.philgeps.gov.ph/GEPSNONPILOT/Tender/SplashBidNoticeAbstractUI.aspx?menuIndex=3&amp;refID=7063943&amp;Result=3","7063943")</f>
        <v>0</v>
      </c>
      <c r="B4312" t="s">
        <v>1508</v>
      </c>
      <c r="C4312" t="s">
        <v>7666</v>
      </c>
      <c r="D4312" t="s">
        <v>18826</v>
      </c>
      <c r="E4312" t="s">
        <v>22772</v>
      </c>
      <c r="F4312" t="s">
        <v>32664</v>
      </c>
      <c r="G4312" t="s">
        <v>32673</v>
      </c>
      <c r="H4312" t="s">
        <v>32683</v>
      </c>
      <c r="I4312" t="s">
        <v>10627</v>
      </c>
      <c r="J4312" t="s">
        <v>35627</v>
      </c>
      <c r="K4312" t="s">
        <v>42290</v>
      </c>
      <c r="M4312" t="s">
        <v>44174</v>
      </c>
      <c r="N4312" t="s">
        <v>46569</v>
      </c>
      <c r="O4312" t="s">
        <v>46570</v>
      </c>
      <c r="P4312">
        <v>0</v>
      </c>
      <c r="Q4312">
        <v>2</v>
      </c>
      <c r="R4312" t="s">
        <v>46572</v>
      </c>
      <c r="S4312" t="s">
        <v>46689</v>
      </c>
      <c r="T4312" t="s">
        <v>48220</v>
      </c>
      <c r="U4312" t="s">
        <v>52325</v>
      </c>
      <c r="V4312" t="s">
        <v>62045</v>
      </c>
      <c r="W4312" t="s">
        <v>44174</v>
      </c>
      <c r="X4312" t="s">
        <v>46573</v>
      </c>
    </row>
    <row r="4313" spans="1:24">
      <c r="A4313">
        <f>HYPERLINK("https://www.philgeps.gov.ph/GEPSNONPILOT/Tender/SplashBidNoticeAbstractUI.aspx?menuIndex=3&amp;refID=7063270&amp;Result=3","7063270")</f>
        <v>0</v>
      </c>
      <c r="B4313" t="s">
        <v>1311</v>
      </c>
      <c r="C4313" t="s">
        <v>7667</v>
      </c>
      <c r="D4313" t="s">
        <v>18790</v>
      </c>
      <c r="E4313" t="s">
        <v>22773</v>
      </c>
      <c r="F4313" t="s">
        <v>32664</v>
      </c>
      <c r="G4313" t="s">
        <v>32674</v>
      </c>
      <c r="H4313" t="s">
        <v>12635</v>
      </c>
      <c r="I4313" t="s">
        <v>32770</v>
      </c>
      <c r="J4313" t="s">
        <v>33215</v>
      </c>
      <c r="K4313" t="s">
        <v>42284</v>
      </c>
      <c r="M4313" t="s">
        <v>43957</v>
      </c>
      <c r="N4313" t="s">
        <v>46569</v>
      </c>
      <c r="O4313" t="s">
        <v>46570</v>
      </c>
      <c r="P4313">
        <v>0</v>
      </c>
      <c r="Q4313">
        <v>1</v>
      </c>
      <c r="R4313" t="s">
        <v>46572</v>
      </c>
      <c r="S4313" t="s">
        <v>46689</v>
      </c>
      <c r="T4313" t="s">
        <v>48283</v>
      </c>
      <c r="U4313" t="s">
        <v>52326</v>
      </c>
      <c r="W4313" t="s">
        <v>43957</v>
      </c>
      <c r="X4313" t="s">
        <v>46573</v>
      </c>
    </row>
    <row r="4314" spans="1:24">
      <c r="A4314">
        <f>HYPERLINK("https://www.philgeps.gov.ph/GEPSNONPILOT/Tender/SplashBidNoticeAbstractUI.aspx?menuIndex=3&amp;refID=7063224&amp;Result=3","7063224")</f>
        <v>0</v>
      </c>
      <c r="B4314" t="s">
        <v>1088</v>
      </c>
      <c r="C4314" t="s">
        <v>7668</v>
      </c>
      <c r="D4314" t="s">
        <v>18804</v>
      </c>
      <c r="E4314" t="s">
        <v>22774</v>
      </c>
      <c r="F4314" t="s">
        <v>32664</v>
      </c>
      <c r="G4314" t="s">
        <v>32672</v>
      </c>
      <c r="H4314" t="s">
        <v>32683</v>
      </c>
      <c r="I4314" t="s">
        <v>10627</v>
      </c>
      <c r="J4314" t="s">
        <v>35628</v>
      </c>
      <c r="K4314" t="s">
        <v>42346</v>
      </c>
      <c r="M4314" t="s">
        <v>43714</v>
      </c>
      <c r="N4314" t="s">
        <v>46569</v>
      </c>
      <c r="O4314" t="s">
        <v>46570</v>
      </c>
      <c r="P4314">
        <v>0</v>
      </c>
      <c r="Q4314">
        <v>0</v>
      </c>
      <c r="R4314" t="s">
        <v>46572</v>
      </c>
      <c r="S4314" t="s">
        <v>46689</v>
      </c>
      <c r="T4314" t="s">
        <v>48222</v>
      </c>
      <c r="U4314" t="s">
        <v>52327</v>
      </c>
      <c r="V4314" t="s">
        <v>61896</v>
      </c>
      <c r="W4314" t="s">
        <v>43714</v>
      </c>
      <c r="X4314" t="s">
        <v>46573</v>
      </c>
    </row>
    <row r="4315" spans="1:24">
      <c r="A4315">
        <f>HYPERLINK("https://www.philgeps.gov.ph/GEPSNONPILOT/Tender/SplashBidNoticeAbstractUI.aspx?menuIndex=3&amp;refID=7063223&amp;Result=3","7063223")</f>
        <v>0</v>
      </c>
      <c r="B4315" t="s">
        <v>337</v>
      </c>
      <c r="C4315" t="s">
        <v>7669</v>
      </c>
      <c r="D4315" t="s">
        <v>18842</v>
      </c>
      <c r="E4315" t="s">
        <v>21695</v>
      </c>
      <c r="F4315" t="s">
        <v>32664</v>
      </c>
      <c r="G4315" t="s">
        <v>32671</v>
      </c>
      <c r="H4315" t="s">
        <v>32682</v>
      </c>
      <c r="I4315" t="s">
        <v>32687</v>
      </c>
      <c r="J4315" t="s">
        <v>32898</v>
      </c>
      <c r="K4315" t="s">
        <v>42284</v>
      </c>
      <c r="M4315" t="s">
        <v>42905</v>
      </c>
      <c r="N4315" t="s">
        <v>46569</v>
      </c>
      <c r="O4315" t="s">
        <v>46570</v>
      </c>
      <c r="P4315">
        <v>0</v>
      </c>
      <c r="Q4315">
        <v>1</v>
      </c>
      <c r="R4315" t="s">
        <v>46572</v>
      </c>
      <c r="S4315" t="s">
        <v>46689</v>
      </c>
      <c r="T4315" t="s">
        <v>48256</v>
      </c>
      <c r="U4315" t="s">
        <v>52328</v>
      </c>
      <c r="W4315" t="s">
        <v>42905</v>
      </c>
      <c r="X4315" t="s">
        <v>46573</v>
      </c>
    </row>
    <row r="4316" spans="1:24">
      <c r="A4316">
        <f>HYPERLINK("https://www.philgeps.gov.ph/GEPSNONPILOT/Tender/SplashBidNoticeAbstractUI.aspx?menuIndex=3&amp;refID=7063967&amp;Result=3","7063967")</f>
        <v>0</v>
      </c>
      <c r="B4316" t="s">
        <v>1397</v>
      </c>
      <c r="C4316" t="s">
        <v>7627</v>
      </c>
      <c r="D4316" t="s">
        <v>18803</v>
      </c>
      <c r="E4316" t="s">
        <v>22775</v>
      </c>
      <c r="F4316" t="s">
        <v>32664</v>
      </c>
      <c r="G4316" t="s">
        <v>32678</v>
      </c>
      <c r="H4316" t="s">
        <v>32681</v>
      </c>
      <c r="I4316" t="s">
        <v>32681</v>
      </c>
      <c r="J4316" t="s">
        <v>35600</v>
      </c>
      <c r="K4316" t="s">
        <v>42377</v>
      </c>
      <c r="M4316" t="s">
        <v>44054</v>
      </c>
      <c r="N4316" t="s">
        <v>46569</v>
      </c>
      <c r="O4316" t="s">
        <v>46570</v>
      </c>
      <c r="P4316">
        <v>0</v>
      </c>
      <c r="Q4316">
        <v>0</v>
      </c>
      <c r="R4316" t="s">
        <v>46572</v>
      </c>
      <c r="S4316" t="s">
        <v>46689</v>
      </c>
      <c r="T4316" t="s">
        <v>48315</v>
      </c>
      <c r="U4316" t="s">
        <v>52291</v>
      </c>
      <c r="W4316" t="s">
        <v>44054</v>
      </c>
      <c r="X4316" t="s">
        <v>46573</v>
      </c>
    </row>
    <row r="4317" spans="1:24">
      <c r="A4317">
        <f>HYPERLINK("https://www.philgeps.gov.ph/GEPSNONPILOT/Tender/SplashBidNoticeAbstractUI.aspx?menuIndex=3&amp;refID=7063945&amp;Result=3","7063945")</f>
        <v>0</v>
      </c>
      <c r="B4317" t="s">
        <v>1555</v>
      </c>
      <c r="C4317" t="s">
        <v>7670</v>
      </c>
      <c r="D4317" t="s">
        <v>18827</v>
      </c>
      <c r="E4317" t="s">
        <v>22776</v>
      </c>
      <c r="F4317" t="s">
        <v>32664</v>
      </c>
      <c r="G4317" t="s">
        <v>32677</v>
      </c>
      <c r="H4317" t="s">
        <v>12635</v>
      </c>
      <c r="I4317" t="s">
        <v>8797</v>
      </c>
      <c r="J4317" t="s">
        <v>33338</v>
      </c>
      <c r="K4317" t="s">
        <v>42297</v>
      </c>
      <c r="M4317" t="s">
        <v>44224</v>
      </c>
      <c r="N4317" t="s">
        <v>46569</v>
      </c>
      <c r="O4317" t="s">
        <v>46570</v>
      </c>
      <c r="P4317">
        <v>0</v>
      </c>
      <c r="Q4317">
        <v>5</v>
      </c>
      <c r="R4317" t="s">
        <v>46572</v>
      </c>
      <c r="S4317" t="s">
        <v>46689</v>
      </c>
      <c r="T4317" t="s">
        <v>48219</v>
      </c>
      <c r="U4317" t="s">
        <v>52329</v>
      </c>
      <c r="W4317" t="s">
        <v>44224</v>
      </c>
      <c r="X4317" t="s">
        <v>46573</v>
      </c>
    </row>
    <row r="4318" spans="1:24">
      <c r="A4318">
        <f>HYPERLINK("https://www.philgeps.gov.ph/GEPSNONPILOT/Tender/SplashBidNoticeAbstractUI.aspx?menuIndex=3&amp;refID=7063221&amp;Result=3","7063221")</f>
        <v>0</v>
      </c>
      <c r="B4318" t="s">
        <v>594</v>
      </c>
      <c r="C4318" t="s">
        <v>7671</v>
      </c>
      <c r="D4318" t="s">
        <v>18784</v>
      </c>
      <c r="E4318" t="s">
        <v>22777</v>
      </c>
      <c r="F4318" t="s">
        <v>32664</v>
      </c>
      <c r="G4318" t="s">
        <v>32671</v>
      </c>
      <c r="H4318" t="s">
        <v>12635</v>
      </c>
      <c r="I4318" t="s">
        <v>32701</v>
      </c>
      <c r="J4318" t="s">
        <v>35629</v>
      </c>
      <c r="K4318" t="s">
        <v>42297</v>
      </c>
      <c r="M4318" t="s">
        <v>43793</v>
      </c>
      <c r="N4318" t="s">
        <v>46569</v>
      </c>
      <c r="O4318" t="s">
        <v>46570</v>
      </c>
      <c r="P4318">
        <v>0</v>
      </c>
      <c r="Q4318">
        <v>2</v>
      </c>
      <c r="R4318" t="s">
        <v>46572</v>
      </c>
      <c r="S4318" t="s">
        <v>46689</v>
      </c>
      <c r="T4318" t="s">
        <v>48341</v>
      </c>
      <c r="U4318" t="s">
        <v>52330</v>
      </c>
      <c r="V4318" t="s">
        <v>61909</v>
      </c>
      <c r="W4318" t="s">
        <v>43793</v>
      </c>
      <c r="X4318" t="s">
        <v>46573</v>
      </c>
    </row>
    <row r="4319" spans="1:24">
      <c r="A4319">
        <f>HYPERLINK("https://www.philgeps.gov.ph/GEPSNONPILOT/Tender/SplashBidNoticeAbstractUI.aspx?menuIndex=3&amp;refID=7064011&amp;Result=3","7064011")</f>
        <v>0</v>
      </c>
      <c r="B4319" t="s">
        <v>429</v>
      </c>
      <c r="C4319" t="s">
        <v>7672</v>
      </c>
      <c r="D4319" t="s">
        <v>18833</v>
      </c>
      <c r="E4319" t="s">
        <v>22778</v>
      </c>
      <c r="F4319" t="s">
        <v>32664</v>
      </c>
      <c r="G4319" t="s">
        <v>32672</v>
      </c>
      <c r="H4319" t="s">
        <v>32683</v>
      </c>
      <c r="I4319" t="s">
        <v>10627</v>
      </c>
      <c r="J4319" t="s">
        <v>35630</v>
      </c>
      <c r="K4319" t="s">
        <v>42424</v>
      </c>
      <c r="M4319" t="s">
        <v>43000</v>
      </c>
      <c r="N4319" t="s">
        <v>46569</v>
      </c>
      <c r="O4319" t="s">
        <v>46570</v>
      </c>
      <c r="P4319">
        <v>0</v>
      </c>
      <c r="Q4319">
        <v>0</v>
      </c>
      <c r="R4319" t="s">
        <v>46572</v>
      </c>
      <c r="S4319" t="s">
        <v>46689</v>
      </c>
      <c r="T4319" t="s">
        <v>48275</v>
      </c>
      <c r="U4319" t="s">
        <v>52331</v>
      </c>
      <c r="V4319" t="s">
        <v>62059</v>
      </c>
      <c r="W4319" t="s">
        <v>43000</v>
      </c>
      <c r="X4319" t="s">
        <v>46573</v>
      </c>
    </row>
    <row r="4320" spans="1:24">
      <c r="A4320">
        <f>HYPERLINK("https://www.philgeps.gov.ph/GEPSNONPILOT/Tender/SplashBidNoticeAbstractUI.aspx?menuIndex=3&amp;refID=7063836&amp;Result=3","7063836")</f>
        <v>0</v>
      </c>
      <c r="B4320" t="s">
        <v>1556</v>
      </c>
      <c r="C4320" t="s">
        <v>7673</v>
      </c>
      <c r="D4320" t="s">
        <v>18799</v>
      </c>
      <c r="E4320" t="s">
        <v>22779</v>
      </c>
      <c r="F4320" t="s">
        <v>32664</v>
      </c>
      <c r="G4320" t="s">
        <v>32671</v>
      </c>
      <c r="H4320" t="s">
        <v>12635</v>
      </c>
      <c r="I4320" t="s">
        <v>4439</v>
      </c>
      <c r="J4320" t="s">
        <v>32902</v>
      </c>
      <c r="K4320" t="s">
        <v>42281</v>
      </c>
      <c r="M4320" t="s">
        <v>44225</v>
      </c>
      <c r="N4320" t="s">
        <v>46569</v>
      </c>
      <c r="O4320" t="s">
        <v>46570</v>
      </c>
      <c r="P4320">
        <v>0</v>
      </c>
      <c r="Q4320">
        <v>0</v>
      </c>
      <c r="R4320" t="s">
        <v>46572</v>
      </c>
      <c r="S4320" t="s">
        <v>46689</v>
      </c>
      <c r="T4320" t="s">
        <v>48246</v>
      </c>
      <c r="U4320" t="s">
        <v>52332</v>
      </c>
      <c r="W4320" t="s">
        <v>44225</v>
      </c>
      <c r="X4320" t="s">
        <v>46573</v>
      </c>
    </row>
    <row r="4321" spans="1:24">
      <c r="A4321">
        <f>HYPERLINK("https://www.philgeps.gov.ph/GEPSNONPILOT/Tender/SplashBidNoticeAbstractUI.aspx?menuIndex=3&amp;refID=7063273&amp;Result=3","7063273")</f>
        <v>0</v>
      </c>
      <c r="B4321" t="s">
        <v>858</v>
      </c>
      <c r="C4321" t="s">
        <v>7674</v>
      </c>
      <c r="D4321" t="s">
        <v>18835</v>
      </c>
      <c r="E4321" t="s">
        <v>21319</v>
      </c>
      <c r="F4321" t="s">
        <v>32664</v>
      </c>
      <c r="G4321" t="s">
        <v>32672</v>
      </c>
      <c r="H4321" t="s">
        <v>12635</v>
      </c>
      <c r="I4321" t="s">
        <v>5589</v>
      </c>
      <c r="J4321" t="s">
        <v>33638</v>
      </c>
      <c r="K4321" t="s">
        <v>42314</v>
      </c>
      <c r="M4321" t="s">
        <v>43457</v>
      </c>
      <c r="N4321" t="s">
        <v>46569</v>
      </c>
      <c r="O4321" t="s">
        <v>46570</v>
      </c>
      <c r="P4321">
        <v>0</v>
      </c>
      <c r="Q4321">
        <v>2</v>
      </c>
      <c r="R4321" t="s">
        <v>46572</v>
      </c>
      <c r="S4321" t="s">
        <v>46689</v>
      </c>
      <c r="T4321" t="s">
        <v>48512</v>
      </c>
      <c r="U4321" t="s">
        <v>52333</v>
      </c>
      <c r="W4321" t="s">
        <v>43457</v>
      </c>
      <c r="X4321" t="s">
        <v>46573</v>
      </c>
    </row>
    <row r="4322" spans="1:24">
      <c r="A4322">
        <f>HYPERLINK("https://www.philgeps.gov.ph/GEPSNONPILOT/Tender/SplashBidNoticeAbstractUI.aspx?menuIndex=3&amp;refID=7063987&amp;Result=3","7063987")</f>
        <v>0</v>
      </c>
      <c r="B4322" t="s">
        <v>439</v>
      </c>
      <c r="C4322" t="s">
        <v>7675</v>
      </c>
      <c r="D4322" t="s">
        <v>18792</v>
      </c>
      <c r="E4322" t="s">
        <v>20822</v>
      </c>
      <c r="F4322" t="s">
        <v>32664</v>
      </c>
      <c r="G4322" t="s">
        <v>32674</v>
      </c>
      <c r="H4322" t="s">
        <v>12635</v>
      </c>
      <c r="I4322" t="s">
        <v>10590</v>
      </c>
      <c r="J4322" t="s">
        <v>32898</v>
      </c>
      <c r="K4322" t="s">
        <v>42295</v>
      </c>
      <c r="M4322" t="s">
        <v>43011</v>
      </c>
      <c r="N4322" t="s">
        <v>46569</v>
      </c>
      <c r="O4322" t="s">
        <v>46570</v>
      </c>
      <c r="P4322">
        <v>0</v>
      </c>
      <c r="Q4322">
        <v>0</v>
      </c>
      <c r="R4322" t="s">
        <v>46572</v>
      </c>
      <c r="S4322" t="s">
        <v>46689</v>
      </c>
      <c r="T4322" t="s">
        <v>48307</v>
      </c>
      <c r="U4322" t="s">
        <v>52334</v>
      </c>
      <c r="W4322" t="s">
        <v>43011</v>
      </c>
      <c r="X4322" t="s">
        <v>46573</v>
      </c>
    </row>
    <row r="4323" spans="1:24">
      <c r="A4323">
        <f>HYPERLINK("https://www.philgeps.gov.ph/GEPSNONPILOT/Tender/SplashBidNoticeAbstractUI.aspx?menuIndex=3&amp;refID=7064029&amp;Result=3","7064029")</f>
        <v>0</v>
      </c>
      <c r="B4323" t="s">
        <v>1541</v>
      </c>
      <c r="C4323" t="s">
        <v>3905</v>
      </c>
      <c r="D4323" t="s">
        <v>18781</v>
      </c>
      <c r="E4323" t="s">
        <v>22780</v>
      </c>
      <c r="F4323" t="s">
        <v>32664</v>
      </c>
      <c r="G4323" t="s">
        <v>32671</v>
      </c>
      <c r="H4323" t="s">
        <v>12635</v>
      </c>
      <c r="I4323" t="s">
        <v>8797</v>
      </c>
      <c r="J4323" t="s">
        <v>35631</v>
      </c>
      <c r="K4323" t="s">
        <v>42281</v>
      </c>
      <c r="M4323" t="s">
        <v>44210</v>
      </c>
      <c r="N4323" t="s">
        <v>46569</v>
      </c>
      <c r="O4323" t="s">
        <v>46570</v>
      </c>
      <c r="P4323">
        <v>0</v>
      </c>
      <c r="Q4323">
        <v>4</v>
      </c>
      <c r="R4323" t="s">
        <v>46572</v>
      </c>
      <c r="S4323" t="s">
        <v>46689</v>
      </c>
      <c r="T4323" t="s">
        <v>48221</v>
      </c>
      <c r="U4323" t="s">
        <v>52335</v>
      </c>
      <c r="W4323" t="s">
        <v>44210</v>
      </c>
      <c r="X4323" t="s">
        <v>46573</v>
      </c>
    </row>
    <row r="4324" spans="1:24">
      <c r="A4324">
        <f>HYPERLINK("https://www.philgeps.gov.ph/GEPSNONPILOT/Tender/SplashBidNoticeAbstractUI.aspx?menuIndex=3&amp;refID=7063220&amp;Result=3","7063220")</f>
        <v>0</v>
      </c>
      <c r="B4324" t="s">
        <v>1415</v>
      </c>
      <c r="C4324" t="s">
        <v>7676</v>
      </c>
      <c r="D4324" t="s">
        <v>18794</v>
      </c>
      <c r="E4324" t="s">
        <v>22781</v>
      </c>
      <c r="F4324" t="s">
        <v>32664</v>
      </c>
      <c r="G4324" t="s">
        <v>32672</v>
      </c>
      <c r="H4324" t="s">
        <v>12635</v>
      </c>
      <c r="I4324" t="s">
        <v>32725</v>
      </c>
      <c r="J4324" t="s">
        <v>35632</v>
      </c>
      <c r="K4324" t="s">
        <v>42298</v>
      </c>
      <c r="M4324" t="s">
        <v>44073</v>
      </c>
      <c r="N4324" t="s">
        <v>46569</v>
      </c>
      <c r="O4324" t="s">
        <v>46570</v>
      </c>
      <c r="P4324">
        <v>0</v>
      </c>
      <c r="Q4324">
        <v>1</v>
      </c>
      <c r="R4324" t="s">
        <v>46572</v>
      </c>
      <c r="S4324" t="s">
        <v>46689</v>
      </c>
      <c r="T4324" t="s">
        <v>48236</v>
      </c>
      <c r="U4324" t="s">
        <v>52336</v>
      </c>
      <c r="W4324" t="s">
        <v>63512</v>
      </c>
      <c r="X4324" t="s">
        <v>46573</v>
      </c>
    </row>
    <row r="4325" spans="1:24">
      <c r="A4325">
        <f>HYPERLINK("https://www.philgeps.gov.ph/GEPSNONPILOT/Tender/SplashBidNoticeAbstractUI.aspx?menuIndex=3&amp;refID=7064026&amp;Result=3","7064026")</f>
        <v>0</v>
      </c>
      <c r="B4325" t="s">
        <v>1524</v>
      </c>
      <c r="C4325" t="s">
        <v>7677</v>
      </c>
      <c r="D4325" t="s">
        <v>18804</v>
      </c>
      <c r="E4325" t="s">
        <v>22782</v>
      </c>
      <c r="F4325" t="s">
        <v>32664</v>
      </c>
      <c r="G4325" t="s">
        <v>32672</v>
      </c>
      <c r="H4325" t="s">
        <v>32683</v>
      </c>
      <c r="I4325" t="s">
        <v>10627</v>
      </c>
      <c r="J4325" t="s">
        <v>35633</v>
      </c>
      <c r="K4325" t="s">
        <v>42311</v>
      </c>
      <c r="M4325" t="s">
        <v>44191</v>
      </c>
      <c r="N4325" t="s">
        <v>46569</v>
      </c>
      <c r="O4325" t="s">
        <v>46570</v>
      </c>
      <c r="P4325">
        <v>0</v>
      </c>
      <c r="Q4325">
        <v>1</v>
      </c>
      <c r="R4325" t="s">
        <v>46572</v>
      </c>
      <c r="S4325" t="s">
        <v>46689</v>
      </c>
      <c r="T4325" t="s">
        <v>48513</v>
      </c>
      <c r="U4325" t="s">
        <v>52337</v>
      </c>
      <c r="V4325" t="s">
        <v>62052</v>
      </c>
      <c r="W4325" t="s">
        <v>44191</v>
      </c>
      <c r="X4325" t="s">
        <v>46573</v>
      </c>
    </row>
    <row r="4326" spans="1:24">
      <c r="A4326">
        <f>HYPERLINK("https://www.philgeps.gov.ph/GEPSNONPILOT/Tender/SplashBidNoticeAbstractUI.aspx?menuIndex=3&amp;refID=7064024&amp;Result=3","7064024")</f>
        <v>0</v>
      </c>
      <c r="B4326" t="s">
        <v>107</v>
      </c>
      <c r="C4326" t="s">
        <v>7678</v>
      </c>
      <c r="D4326" t="s">
        <v>18804</v>
      </c>
      <c r="E4326" t="s">
        <v>22783</v>
      </c>
      <c r="F4326" t="s">
        <v>32664</v>
      </c>
      <c r="G4326" t="s">
        <v>32672</v>
      </c>
      <c r="H4326" t="s">
        <v>32683</v>
      </c>
      <c r="I4326" t="s">
        <v>10627</v>
      </c>
      <c r="J4326" t="s">
        <v>35634</v>
      </c>
      <c r="K4326" t="s">
        <v>42298</v>
      </c>
      <c r="M4326" t="s">
        <v>42671</v>
      </c>
      <c r="N4326" t="s">
        <v>46569</v>
      </c>
      <c r="O4326" t="s">
        <v>46570</v>
      </c>
      <c r="P4326">
        <v>0</v>
      </c>
      <c r="Q4326">
        <v>2</v>
      </c>
      <c r="R4326" t="s">
        <v>46572</v>
      </c>
      <c r="S4326" t="s">
        <v>46689</v>
      </c>
      <c r="T4326" t="s">
        <v>48273</v>
      </c>
      <c r="U4326" t="s">
        <v>48995</v>
      </c>
      <c r="W4326" t="s">
        <v>42671</v>
      </c>
      <c r="X4326" t="s">
        <v>46573</v>
      </c>
    </row>
    <row r="4327" spans="1:24">
      <c r="A4327">
        <f>HYPERLINK("https://www.philgeps.gov.ph/GEPSNONPILOT/Tender/SplashBidNoticeAbstractUI.aspx?menuIndex=3&amp;refID=7063203&amp;Result=3","7063203")</f>
        <v>0</v>
      </c>
      <c r="B4327" t="s">
        <v>170</v>
      </c>
      <c r="C4327" t="s">
        <v>7679</v>
      </c>
      <c r="D4327" t="s">
        <v>18812</v>
      </c>
      <c r="E4327" t="s">
        <v>22784</v>
      </c>
      <c r="F4327" t="s">
        <v>32664</v>
      </c>
      <c r="G4327" t="s">
        <v>32671</v>
      </c>
      <c r="H4327" t="s">
        <v>12635</v>
      </c>
      <c r="I4327" t="s">
        <v>32711</v>
      </c>
      <c r="J4327" t="s">
        <v>35635</v>
      </c>
      <c r="K4327" t="s">
        <v>42289</v>
      </c>
      <c r="M4327" t="s">
        <v>42734</v>
      </c>
      <c r="N4327" t="s">
        <v>46569</v>
      </c>
      <c r="O4327" t="s">
        <v>46570</v>
      </c>
      <c r="P4327">
        <v>0</v>
      </c>
      <c r="Q4327">
        <v>0</v>
      </c>
      <c r="R4327" t="s">
        <v>46572</v>
      </c>
      <c r="S4327" t="s">
        <v>46689</v>
      </c>
      <c r="T4327" t="s">
        <v>48312</v>
      </c>
      <c r="U4327" t="s">
        <v>52338</v>
      </c>
      <c r="W4327" t="s">
        <v>42734</v>
      </c>
      <c r="X4327" t="s">
        <v>46573</v>
      </c>
    </row>
    <row r="4328" spans="1:24">
      <c r="A4328">
        <f>HYPERLINK("https://www.philgeps.gov.ph/GEPSNONPILOT/Tender/SplashBidNoticeAbstractUI.aspx?menuIndex=3&amp;refID=7064021&amp;Result=3","7064021")</f>
        <v>0</v>
      </c>
      <c r="B4328" t="s">
        <v>1557</v>
      </c>
      <c r="C4328" t="s">
        <v>7680</v>
      </c>
      <c r="D4328" t="s">
        <v>18834</v>
      </c>
      <c r="E4328" t="s">
        <v>22785</v>
      </c>
      <c r="F4328" t="s">
        <v>32664</v>
      </c>
      <c r="G4328" t="s">
        <v>32671</v>
      </c>
      <c r="H4328" t="s">
        <v>12635</v>
      </c>
      <c r="I4328" t="s">
        <v>32699</v>
      </c>
      <c r="J4328" t="s">
        <v>35636</v>
      </c>
      <c r="K4328" t="s">
        <v>42297</v>
      </c>
      <c r="M4328" t="s">
        <v>44226</v>
      </c>
      <c r="N4328" t="s">
        <v>46569</v>
      </c>
      <c r="O4328" t="s">
        <v>46570</v>
      </c>
      <c r="P4328">
        <v>0</v>
      </c>
      <c r="Q4328">
        <v>2</v>
      </c>
      <c r="R4328" t="s">
        <v>46572</v>
      </c>
      <c r="S4328" t="s">
        <v>46689</v>
      </c>
      <c r="T4328" t="s">
        <v>48244</v>
      </c>
      <c r="U4328" t="s">
        <v>52339</v>
      </c>
      <c r="W4328" t="s">
        <v>63521</v>
      </c>
      <c r="X4328" t="s">
        <v>46573</v>
      </c>
    </row>
    <row r="4329" spans="1:24">
      <c r="A4329">
        <f>HYPERLINK("https://www.philgeps.gov.ph/GEPSNONPILOT/Tender/SplashBidNoticeAbstractUI.aspx?menuIndex=3&amp;refID=7064025&amp;Result=3","7064025")</f>
        <v>0</v>
      </c>
      <c r="B4329" t="s">
        <v>1416</v>
      </c>
      <c r="C4329" t="s">
        <v>7681</v>
      </c>
      <c r="D4329" t="s">
        <v>18784</v>
      </c>
      <c r="E4329" t="s">
        <v>22786</v>
      </c>
      <c r="F4329" t="s">
        <v>32664</v>
      </c>
      <c r="G4329" t="s">
        <v>32671</v>
      </c>
      <c r="H4329" t="s">
        <v>12635</v>
      </c>
      <c r="I4329" t="s">
        <v>32727</v>
      </c>
      <c r="J4329" t="s">
        <v>35637</v>
      </c>
      <c r="K4329" t="s">
        <v>42281</v>
      </c>
      <c r="M4329" t="s">
        <v>44075</v>
      </c>
      <c r="N4329" t="s">
        <v>46569</v>
      </c>
      <c r="O4329" t="s">
        <v>46570</v>
      </c>
      <c r="P4329">
        <v>0</v>
      </c>
      <c r="Q4329">
        <v>3</v>
      </c>
      <c r="R4329" t="s">
        <v>46572</v>
      </c>
      <c r="S4329" t="s">
        <v>46689</v>
      </c>
      <c r="T4329" t="s">
        <v>48312</v>
      </c>
      <c r="U4329" t="s">
        <v>52340</v>
      </c>
      <c r="V4329" t="s">
        <v>62060</v>
      </c>
      <c r="W4329" t="s">
        <v>44075</v>
      </c>
      <c r="X4329" t="s">
        <v>46573</v>
      </c>
    </row>
    <row r="4330" spans="1:24">
      <c r="A4330">
        <f>HYPERLINK("https://www.philgeps.gov.ph/GEPSNONPILOT/Tender/SplashBidNoticeAbstractUI.aspx?menuIndex=3&amp;refID=7064030&amp;Result=3","7064030")</f>
        <v>0</v>
      </c>
      <c r="B4330" t="s">
        <v>1528</v>
      </c>
      <c r="C4330" t="s">
        <v>7682</v>
      </c>
      <c r="D4330" t="s">
        <v>18789</v>
      </c>
      <c r="E4330" t="s">
        <v>18997</v>
      </c>
      <c r="F4330" t="s">
        <v>32664</v>
      </c>
      <c r="G4330" t="s">
        <v>32672</v>
      </c>
      <c r="H4330" t="s">
        <v>32682</v>
      </c>
      <c r="I4330" t="s">
        <v>32701</v>
      </c>
      <c r="J4330" t="s">
        <v>35638</v>
      </c>
      <c r="K4330" t="s">
        <v>42289</v>
      </c>
      <c r="M4330" t="s">
        <v>44195</v>
      </c>
      <c r="N4330" t="s">
        <v>46569</v>
      </c>
      <c r="O4330" t="s">
        <v>46570</v>
      </c>
      <c r="P4330">
        <v>0</v>
      </c>
      <c r="Q4330">
        <v>0</v>
      </c>
      <c r="R4330" t="s">
        <v>46572</v>
      </c>
      <c r="S4330" t="s">
        <v>46689</v>
      </c>
      <c r="T4330" t="s">
        <v>48285</v>
      </c>
      <c r="U4330" t="s">
        <v>52341</v>
      </c>
      <c r="V4330" t="s">
        <v>62054</v>
      </c>
      <c r="W4330" t="s">
        <v>44195</v>
      </c>
      <c r="X4330" t="s">
        <v>46573</v>
      </c>
    </row>
    <row r="4331" spans="1:24">
      <c r="A4331">
        <f>HYPERLINK("https://www.philgeps.gov.ph/GEPSNONPILOT/Tender/SplashBidNoticeAbstractUI.aspx?menuIndex=3&amp;refID=7064031&amp;Result=3","7064031")</f>
        <v>0</v>
      </c>
      <c r="B4331" t="s">
        <v>1397</v>
      </c>
      <c r="C4331" t="s">
        <v>7683</v>
      </c>
      <c r="D4331" t="s">
        <v>18803</v>
      </c>
      <c r="E4331" t="s">
        <v>22787</v>
      </c>
      <c r="F4331" t="s">
        <v>32664</v>
      </c>
      <c r="G4331" t="s">
        <v>32678</v>
      </c>
      <c r="H4331" t="s">
        <v>32681</v>
      </c>
      <c r="I4331" t="s">
        <v>32681</v>
      </c>
      <c r="J4331" t="s">
        <v>35639</v>
      </c>
      <c r="K4331" t="s">
        <v>42377</v>
      </c>
      <c r="M4331" t="s">
        <v>44054</v>
      </c>
      <c r="N4331" t="s">
        <v>46569</v>
      </c>
      <c r="O4331" t="s">
        <v>46570</v>
      </c>
      <c r="P4331">
        <v>0</v>
      </c>
      <c r="Q4331">
        <v>0</v>
      </c>
      <c r="R4331" t="s">
        <v>46572</v>
      </c>
      <c r="S4331" t="s">
        <v>46689</v>
      </c>
      <c r="T4331" t="s">
        <v>48315</v>
      </c>
      <c r="U4331" t="s">
        <v>52342</v>
      </c>
      <c r="W4331" t="s">
        <v>44054</v>
      </c>
      <c r="X4331" t="s">
        <v>46573</v>
      </c>
    </row>
    <row r="4332" spans="1:24">
      <c r="A4332">
        <f>HYPERLINK("https://www.philgeps.gov.ph/GEPSNONPILOT/Tender/SplashBidNoticeAbstractUI.aspx?menuIndex=3&amp;refID=7064027&amp;Result=3","7064027")</f>
        <v>0</v>
      </c>
      <c r="B4332" t="s">
        <v>1427</v>
      </c>
      <c r="C4332" t="s">
        <v>7684</v>
      </c>
      <c r="D4332" t="s">
        <v>18796</v>
      </c>
      <c r="E4332" t="s">
        <v>22788</v>
      </c>
      <c r="F4332" t="s">
        <v>32664</v>
      </c>
      <c r="G4332" t="s">
        <v>32674</v>
      </c>
      <c r="H4332" t="s">
        <v>12635</v>
      </c>
      <c r="I4332" t="s">
        <v>6118</v>
      </c>
      <c r="J4332" t="s">
        <v>35640</v>
      </c>
      <c r="K4332" t="s">
        <v>42284</v>
      </c>
      <c r="M4332" t="s">
        <v>44087</v>
      </c>
      <c r="N4332" t="s">
        <v>46569</v>
      </c>
      <c r="O4332" t="s">
        <v>46570</v>
      </c>
      <c r="P4332">
        <v>0</v>
      </c>
      <c r="Q4332">
        <v>0</v>
      </c>
      <c r="R4332" t="s">
        <v>46572</v>
      </c>
      <c r="S4332" t="s">
        <v>46689</v>
      </c>
      <c r="T4332" t="s">
        <v>48376</v>
      </c>
      <c r="U4332" t="s">
        <v>52343</v>
      </c>
      <c r="W4332" t="s">
        <v>44087</v>
      </c>
      <c r="X4332" t="s">
        <v>46573</v>
      </c>
    </row>
    <row r="4333" spans="1:24">
      <c r="A4333">
        <f>HYPERLINK("https://www.philgeps.gov.ph/GEPSNONPILOT/Tender/SplashBidNoticeAbstractUI.aspx?menuIndex=3&amp;refID=7063219&amp;Result=3","7063219")</f>
        <v>0</v>
      </c>
      <c r="B4333" t="s">
        <v>935</v>
      </c>
      <c r="C4333" t="s">
        <v>7685</v>
      </c>
      <c r="E4333" t="s">
        <v>22562</v>
      </c>
      <c r="F4333" t="s">
        <v>32664</v>
      </c>
      <c r="G4333" t="s">
        <v>32671</v>
      </c>
      <c r="H4333" t="s">
        <v>12635</v>
      </c>
      <c r="I4333" t="s">
        <v>8797</v>
      </c>
      <c r="J4333" t="s">
        <v>34797</v>
      </c>
      <c r="K4333" t="s">
        <v>42283</v>
      </c>
      <c r="M4333" t="s">
        <v>43541</v>
      </c>
      <c r="N4333" t="s">
        <v>46569</v>
      </c>
      <c r="O4333" t="s">
        <v>46570</v>
      </c>
      <c r="P4333">
        <v>0</v>
      </c>
      <c r="Q4333">
        <v>0</v>
      </c>
      <c r="R4333" t="s">
        <v>46572</v>
      </c>
      <c r="S4333" t="s">
        <v>46689</v>
      </c>
      <c r="T4333" t="s">
        <v>48219</v>
      </c>
      <c r="U4333" t="s">
        <v>52344</v>
      </c>
      <c r="W4333" t="s">
        <v>43541</v>
      </c>
      <c r="X4333" t="s">
        <v>46573</v>
      </c>
    </row>
    <row r="4334" spans="1:24">
      <c r="A4334">
        <f>HYPERLINK("https://www.philgeps.gov.ph/GEPSNONPILOT/Tender/SplashBidNoticeAbstractUI.aspx?menuIndex=3&amp;refID=7064016&amp;Result=3","7064016")</f>
        <v>0</v>
      </c>
      <c r="B4334" t="s">
        <v>295</v>
      </c>
      <c r="C4334" t="s">
        <v>7686</v>
      </c>
      <c r="D4334" t="s">
        <v>18848</v>
      </c>
      <c r="E4334" t="s">
        <v>22789</v>
      </c>
      <c r="F4334" t="s">
        <v>32664</v>
      </c>
      <c r="G4334" t="s">
        <v>32672</v>
      </c>
      <c r="H4334" t="s">
        <v>12635</v>
      </c>
      <c r="I4334" t="s">
        <v>4439</v>
      </c>
      <c r="J4334" t="s">
        <v>35641</v>
      </c>
      <c r="K4334" t="s">
        <v>42297</v>
      </c>
      <c r="M4334" t="s">
        <v>42862</v>
      </c>
      <c r="N4334" t="s">
        <v>46569</v>
      </c>
      <c r="O4334" t="s">
        <v>46570</v>
      </c>
      <c r="P4334">
        <v>0</v>
      </c>
      <c r="Q4334">
        <v>1</v>
      </c>
      <c r="R4334" t="s">
        <v>46572</v>
      </c>
      <c r="S4334" t="s">
        <v>46689</v>
      </c>
      <c r="T4334" t="s">
        <v>48322</v>
      </c>
      <c r="U4334" t="s">
        <v>52345</v>
      </c>
      <c r="W4334" t="s">
        <v>42862</v>
      </c>
      <c r="X4334" t="s">
        <v>46573</v>
      </c>
    </row>
    <row r="4335" spans="1:24">
      <c r="A4335">
        <f>HYPERLINK("https://www.philgeps.gov.ph/GEPSNONPILOT/Tender/SplashBidNoticeAbstractUI.aspx?menuIndex=3&amp;refID=7064015&amp;Result=3","7064015")</f>
        <v>0</v>
      </c>
      <c r="B4335" t="s">
        <v>1558</v>
      </c>
      <c r="C4335" t="s">
        <v>7687</v>
      </c>
      <c r="D4335" t="s">
        <v>18801</v>
      </c>
      <c r="E4335" t="s">
        <v>22790</v>
      </c>
      <c r="F4335" t="s">
        <v>32664</v>
      </c>
      <c r="G4335" t="s">
        <v>32671</v>
      </c>
      <c r="H4335" t="s">
        <v>12635</v>
      </c>
      <c r="I4335" t="s">
        <v>10370</v>
      </c>
      <c r="J4335" t="s">
        <v>35379</v>
      </c>
      <c r="K4335" t="s">
        <v>42289</v>
      </c>
      <c r="M4335" t="s">
        <v>44227</v>
      </c>
      <c r="N4335" t="s">
        <v>46569</v>
      </c>
      <c r="O4335" t="s">
        <v>46570</v>
      </c>
      <c r="P4335">
        <v>0</v>
      </c>
      <c r="Q4335">
        <v>11</v>
      </c>
      <c r="R4335" t="s">
        <v>46572</v>
      </c>
      <c r="S4335" t="s">
        <v>46689</v>
      </c>
      <c r="T4335" t="s">
        <v>48246</v>
      </c>
      <c r="U4335" t="s">
        <v>52346</v>
      </c>
      <c r="V4335" t="s">
        <v>62061</v>
      </c>
      <c r="W4335" t="s">
        <v>44227</v>
      </c>
      <c r="X4335" t="s">
        <v>46573</v>
      </c>
    </row>
    <row r="4336" spans="1:24">
      <c r="A4336">
        <f>HYPERLINK("https://www.philgeps.gov.ph/GEPSNONPILOT/Tender/SplashBidNoticeAbstractUI.aspx?menuIndex=3&amp;refID=7064013&amp;Result=3","7064013")</f>
        <v>0</v>
      </c>
      <c r="B4336" t="s">
        <v>1416</v>
      </c>
      <c r="C4336" t="s">
        <v>7688</v>
      </c>
      <c r="D4336" t="s">
        <v>18784</v>
      </c>
      <c r="E4336" t="s">
        <v>22791</v>
      </c>
      <c r="F4336" t="s">
        <v>32664</v>
      </c>
      <c r="G4336" t="s">
        <v>32671</v>
      </c>
      <c r="H4336" t="s">
        <v>12635</v>
      </c>
      <c r="I4336" t="s">
        <v>32704</v>
      </c>
      <c r="J4336" t="s">
        <v>32898</v>
      </c>
      <c r="K4336" t="s">
        <v>42281</v>
      </c>
      <c r="M4336" t="s">
        <v>44075</v>
      </c>
      <c r="N4336" t="s">
        <v>46569</v>
      </c>
      <c r="O4336" t="s">
        <v>46570</v>
      </c>
      <c r="P4336">
        <v>0</v>
      </c>
      <c r="Q4336">
        <v>7</v>
      </c>
      <c r="R4336" t="s">
        <v>46572</v>
      </c>
      <c r="S4336" t="s">
        <v>46689</v>
      </c>
      <c r="T4336" t="s">
        <v>48312</v>
      </c>
      <c r="U4336" t="s">
        <v>52347</v>
      </c>
      <c r="V4336" t="s">
        <v>62060</v>
      </c>
      <c r="W4336" t="s">
        <v>44075</v>
      </c>
      <c r="X4336" t="s">
        <v>46573</v>
      </c>
    </row>
    <row r="4337" spans="1:24">
      <c r="A4337">
        <f>HYPERLINK("https://www.philgeps.gov.ph/GEPSNONPILOT/Tender/SplashBidNoticeAbstractUI.aspx?menuIndex=3&amp;refID=7064020&amp;Result=3","7064020")</f>
        <v>0</v>
      </c>
      <c r="B4337" t="s">
        <v>684</v>
      </c>
      <c r="C4337" t="s">
        <v>5501</v>
      </c>
      <c r="D4337" t="s">
        <v>18809</v>
      </c>
      <c r="E4337" t="s">
        <v>22792</v>
      </c>
      <c r="F4337" t="s">
        <v>32664</v>
      </c>
      <c r="G4337" t="s">
        <v>32674</v>
      </c>
      <c r="H4337" t="s">
        <v>12635</v>
      </c>
      <c r="I4337" t="s">
        <v>5501</v>
      </c>
      <c r="J4337" t="s">
        <v>33995</v>
      </c>
      <c r="K4337" t="s">
        <v>42281</v>
      </c>
      <c r="M4337" t="s">
        <v>43271</v>
      </c>
      <c r="N4337" t="s">
        <v>46569</v>
      </c>
      <c r="O4337" t="s">
        <v>46570</v>
      </c>
      <c r="P4337">
        <v>0</v>
      </c>
      <c r="Q4337">
        <v>6</v>
      </c>
      <c r="R4337" t="s">
        <v>46572</v>
      </c>
      <c r="S4337" t="s">
        <v>46689</v>
      </c>
      <c r="T4337" t="s">
        <v>48420</v>
      </c>
      <c r="U4337" t="s">
        <v>52348</v>
      </c>
      <c r="W4337" t="s">
        <v>43271</v>
      </c>
      <c r="X4337" t="s">
        <v>46573</v>
      </c>
    </row>
    <row r="4338" spans="1:24">
      <c r="A4338">
        <f>HYPERLINK("https://www.philgeps.gov.ph/GEPSNONPILOT/Tender/SplashBidNoticeAbstractUI.aspx?menuIndex=3&amp;refID=7064018&amp;Result=3","7064018")</f>
        <v>0</v>
      </c>
      <c r="B4338" t="s">
        <v>1547</v>
      </c>
      <c r="C4338" t="s">
        <v>7689</v>
      </c>
      <c r="D4338" t="s">
        <v>18859</v>
      </c>
      <c r="E4338" t="s">
        <v>22793</v>
      </c>
      <c r="F4338" t="s">
        <v>32664</v>
      </c>
      <c r="G4338" t="s">
        <v>32672</v>
      </c>
      <c r="H4338" t="s">
        <v>12635</v>
      </c>
      <c r="I4338" t="s">
        <v>14442</v>
      </c>
      <c r="J4338" t="s">
        <v>35642</v>
      </c>
      <c r="K4338" t="s">
        <v>42393</v>
      </c>
      <c r="M4338" t="s">
        <v>44216</v>
      </c>
      <c r="N4338" t="s">
        <v>46569</v>
      </c>
      <c r="O4338" t="s">
        <v>46570</v>
      </c>
      <c r="P4338">
        <v>0</v>
      </c>
      <c r="Q4338">
        <v>0</v>
      </c>
      <c r="R4338" t="s">
        <v>46572</v>
      </c>
      <c r="S4338" t="s">
        <v>46689</v>
      </c>
      <c r="T4338" t="s">
        <v>48216</v>
      </c>
      <c r="U4338" t="s">
        <v>52349</v>
      </c>
      <c r="W4338" t="s">
        <v>44216</v>
      </c>
      <c r="X4338" t="s">
        <v>46573</v>
      </c>
    </row>
    <row r="4339" spans="1:24">
      <c r="A4339">
        <f>HYPERLINK("https://www.philgeps.gov.ph/GEPSNONPILOT/Tender/SplashBidNoticeAbstractUI.aspx?menuIndex=3&amp;refID=7064017&amp;Result=3","7064017")</f>
        <v>0</v>
      </c>
      <c r="B4339" t="s">
        <v>212</v>
      </c>
      <c r="C4339" t="s">
        <v>7690</v>
      </c>
      <c r="D4339" t="s">
        <v>18844</v>
      </c>
      <c r="E4339" t="s">
        <v>22794</v>
      </c>
      <c r="F4339" t="s">
        <v>32664</v>
      </c>
      <c r="G4339" t="s">
        <v>32672</v>
      </c>
      <c r="H4339" t="s">
        <v>12635</v>
      </c>
      <c r="I4339" t="s">
        <v>4439</v>
      </c>
      <c r="J4339" t="s">
        <v>35643</v>
      </c>
      <c r="K4339" t="s">
        <v>42289</v>
      </c>
      <c r="M4339" t="s">
        <v>44228</v>
      </c>
      <c r="N4339" t="s">
        <v>46569</v>
      </c>
      <c r="O4339" t="s">
        <v>46570</v>
      </c>
      <c r="P4339">
        <v>0</v>
      </c>
      <c r="Q4339">
        <v>0</v>
      </c>
      <c r="R4339" t="s">
        <v>46572</v>
      </c>
      <c r="S4339" t="s">
        <v>46689</v>
      </c>
      <c r="T4339" t="s">
        <v>48506</v>
      </c>
      <c r="U4339" t="s">
        <v>52350</v>
      </c>
      <c r="W4339" t="s">
        <v>44228</v>
      </c>
      <c r="X4339" t="s">
        <v>46573</v>
      </c>
    </row>
    <row r="4340" spans="1:24">
      <c r="A4340">
        <f>HYPERLINK("https://www.philgeps.gov.ph/GEPSNONPILOT/Tender/SplashBidNoticeAbstractUI.aspx?menuIndex=3&amp;refID=7064054&amp;Result=3","7064054")</f>
        <v>0</v>
      </c>
      <c r="B4340" t="s">
        <v>1559</v>
      </c>
      <c r="C4340" t="s">
        <v>7691</v>
      </c>
      <c r="D4340" t="s">
        <v>18791</v>
      </c>
      <c r="E4340" t="s">
        <v>19673</v>
      </c>
      <c r="F4340" t="s">
        <v>32664</v>
      </c>
      <c r="G4340" t="s">
        <v>32671</v>
      </c>
      <c r="H4340" t="s">
        <v>12635</v>
      </c>
      <c r="I4340" t="s">
        <v>32692</v>
      </c>
      <c r="J4340" t="s">
        <v>33077</v>
      </c>
      <c r="K4340" t="s">
        <v>42295</v>
      </c>
      <c r="M4340" t="s">
        <v>44229</v>
      </c>
      <c r="N4340" t="s">
        <v>46569</v>
      </c>
      <c r="O4340" t="s">
        <v>46570</v>
      </c>
      <c r="P4340">
        <v>0</v>
      </c>
      <c r="Q4340">
        <v>0</v>
      </c>
      <c r="R4340" t="s">
        <v>46572</v>
      </c>
      <c r="S4340" t="s">
        <v>46689</v>
      </c>
      <c r="T4340" t="s">
        <v>48217</v>
      </c>
      <c r="U4340" t="s">
        <v>52351</v>
      </c>
      <c r="V4340" t="s">
        <v>62062</v>
      </c>
      <c r="W4340" t="s">
        <v>44229</v>
      </c>
      <c r="X4340" t="s">
        <v>46573</v>
      </c>
    </row>
    <row r="4341" spans="1:24">
      <c r="A4341">
        <f>HYPERLINK("https://www.philgeps.gov.ph/GEPSNONPILOT/Tender/SplashBidNoticeAbstractUI.aspx?menuIndex=3&amp;refID=7064022&amp;Result=3","7064022")</f>
        <v>0</v>
      </c>
      <c r="B4341" t="s">
        <v>1397</v>
      </c>
      <c r="C4341" t="s">
        <v>7683</v>
      </c>
      <c r="D4341" t="s">
        <v>18803</v>
      </c>
      <c r="E4341" t="s">
        <v>22795</v>
      </c>
      <c r="F4341" t="s">
        <v>32664</v>
      </c>
      <c r="G4341" t="s">
        <v>32678</v>
      </c>
      <c r="H4341" t="s">
        <v>32681</v>
      </c>
      <c r="I4341" t="s">
        <v>32681</v>
      </c>
      <c r="J4341" t="s">
        <v>35639</v>
      </c>
      <c r="K4341" t="s">
        <v>42377</v>
      </c>
      <c r="M4341" t="s">
        <v>44054</v>
      </c>
      <c r="N4341" t="s">
        <v>46569</v>
      </c>
      <c r="O4341" t="s">
        <v>46570</v>
      </c>
      <c r="P4341">
        <v>0</v>
      </c>
      <c r="Q4341">
        <v>0</v>
      </c>
      <c r="R4341" t="s">
        <v>46572</v>
      </c>
      <c r="S4341" t="s">
        <v>46689</v>
      </c>
      <c r="T4341" t="s">
        <v>48315</v>
      </c>
      <c r="U4341" t="s">
        <v>52342</v>
      </c>
      <c r="W4341" t="s">
        <v>44054</v>
      </c>
      <c r="X4341" t="s">
        <v>46573</v>
      </c>
    </row>
    <row r="4342" spans="1:24">
      <c r="A4342">
        <f>HYPERLINK("https://www.philgeps.gov.ph/GEPSNONPILOT/Tender/SplashBidNoticeAbstractUI.aspx?menuIndex=3&amp;refID=7064023&amp;Result=3","7064023")</f>
        <v>0</v>
      </c>
      <c r="B4342" t="s">
        <v>1560</v>
      </c>
      <c r="C4342" t="s">
        <v>7692</v>
      </c>
      <c r="D4342" t="s">
        <v>18814</v>
      </c>
      <c r="E4342" t="s">
        <v>22796</v>
      </c>
      <c r="F4342" t="s">
        <v>32664</v>
      </c>
      <c r="G4342" t="s">
        <v>32672</v>
      </c>
      <c r="H4342" t="s">
        <v>32683</v>
      </c>
      <c r="I4342" t="s">
        <v>10627</v>
      </c>
      <c r="J4342" t="s">
        <v>35644</v>
      </c>
      <c r="K4342" t="s">
        <v>42289</v>
      </c>
      <c r="M4342" t="s">
        <v>44230</v>
      </c>
      <c r="N4342" t="s">
        <v>46569</v>
      </c>
      <c r="O4342" t="s">
        <v>46570</v>
      </c>
      <c r="P4342">
        <v>0</v>
      </c>
      <c r="Q4342">
        <v>0</v>
      </c>
      <c r="R4342" t="s">
        <v>46572</v>
      </c>
      <c r="S4342" t="s">
        <v>46689</v>
      </c>
      <c r="T4342" t="s">
        <v>48284</v>
      </c>
      <c r="U4342" t="s">
        <v>52352</v>
      </c>
      <c r="W4342" t="s">
        <v>44230</v>
      </c>
      <c r="X4342" t="s">
        <v>46573</v>
      </c>
    </row>
    <row r="4343" spans="1:24">
      <c r="A4343">
        <f>HYPERLINK("https://www.philgeps.gov.ph/GEPSNONPILOT/Tender/SplashBidNoticeAbstractUI.aspx?menuIndex=3&amp;refID=7064012&amp;Result=3","7064012")</f>
        <v>0</v>
      </c>
      <c r="B4343" t="s">
        <v>225</v>
      </c>
      <c r="C4343" t="s">
        <v>7693</v>
      </c>
      <c r="D4343" t="s">
        <v>18784</v>
      </c>
      <c r="E4343" t="s">
        <v>22797</v>
      </c>
      <c r="F4343" t="s">
        <v>32664</v>
      </c>
      <c r="G4343" t="s">
        <v>32671</v>
      </c>
      <c r="H4343" t="s">
        <v>32681</v>
      </c>
      <c r="I4343" t="s">
        <v>32681</v>
      </c>
      <c r="J4343" t="s">
        <v>35645</v>
      </c>
      <c r="K4343" t="s">
        <v>42298</v>
      </c>
      <c r="M4343" t="s">
        <v>43870</v>
      </c>
      <c r="N4343" t="s">
        <v>46569</v>
      </c>
      <c r="O4343" t="s">
        <v>46570</v>
      </c>
      <c r="P4343">
        <v>0</v>
      </c>
      <c r="Q4343">
        <v>1</v>
      </c>
      <c r="R4343" t="s">
        <v>46572</v>
      </c>
      <c r="S4343" t="s">
        <v>46689</v>
      </c>
      <c r="T4343" t="s">
        <v>48276</v>
      </c>
      <c r="U4343" t="s">
        <v>52353</v>
      </c>
      <c r="V4343" t="s">
        <v>62063</v>
      </c>
      <c r="W4343" t="s">
        <v>43870</v>
      </c>
      <c r="X4343" t="s">
        <v>46573</v>
      </c>
    </row>
    <row r="4344" spans="1:24">
      <c r="A4344">
        <f>HYPERLINK("https://www.philgeps.gov.ph/GEPSNONPILOT/Tender/SplashBidNoticeAbstractUI.aspx?menuIndex=3&amp;refID=7064053&amp;Result=3","7064053")</f>
        <v>0</v>
      </c>
      <c r="B4344" t="s">
        <v>1416</v>
      </c>
      <c r="C4344" t="s">
        <v>7694</v>
      </c>
      <c r="D4344" t="s">
        <v>18784</v>
      </c>
      <c r="E4344" t="s">
        <v>22798</v>
      </c>
      <c r="F4344" t="s">
        <v>32664</v>
      </c>
      <c r="G4344" t="s">
        <v>32674</v>
      </c>
      <c r="H4344" t="s">
        <v>12635</v>
      </c>
      <c r="I4344" t="s">
        <v>6628</v>
      </c>
      <c r="J4344" t="s">
        <v>34184</v>
      </c>
      <c r="K4344" t="s">
        <v>42281</v>
      </c>
      <c r="M4344" t="s">
        <v>44075</v>
      </c>
      <c r="N4344" t="s">
        <v>46569</v>
      </c>
      <c r="O4344" t="s">
        <v>46570</v>
      </c>
      <c r="P4344">
        <v>0</v>
      </c>
      <c r="Q4344">
        <v>14</v>
      </c>
      <c r="R4344" t="s">
        <v>46572</v>
      </c>
      <c r="S4344" t="s">
        <v>46689</v>
      </c>
      <c r="T4344" t="s">
        <v>48211</v>
      </c>
      <c r="U4344" t="s">
        <v>52354</v>
      </c>
      <c r="V4344" t="s">
        <v>62060</v>
      </c>
      <c r="W4344" t="s">
        <v>44075</v>
      </c>
      <c r="X4344" t="s">
        <v>46573</v>
      </c>
    </row>
    <row r="4345" spans="1:24">
      <c r="A4345">
        <f>HYPERLINK("https://www.philgeps.gov.ph/GEPSNONPILOT/Tender/SplashBidNoticeAbstractUI.aspx?menuIndex=3&amp;refID=7064036&amp;Result=3","7064036")</f>
        <v>0</v>
      </c>
      <c r="B4345" t="s">
        <v>227</v>
      </c>
      <c r="C4345" t="s">
        <v>7695</v>
      </c>
      <c r="D4345" t="s">
        <v>18784</v>
      </c>
      <c r="E4345" t="s">
        <v>22799</v>
      </c>
      <c r="F4345" t="s">
        <v>32664</v>
      </c>
      <c r="G4345" t="s">
        <v>32671</v>
      </c>
      <c r="H4345" t="s">
        <v>32681</v>
      </c>
      <c r="I4345" t="s">
        <v>32681</v>
      </c>
      <c r="J4345" t="s">
        <v>33069</v>
      </c>
      <c r="K4345" t="s">
        <v>42311</v>
      </c>
      <c r="M4345" t="s">
        <v>44231</v>
      </c>
      <c r="N4345" t="s">
        <v>46569</v>
      </c>
      <c r="O4345" t="s">
        <v>46570</v>
      </c>
      <c r="P4345">
        <v>0</v>
      </c>
      <c r="Q4345">
        <v>0</v>
      </c>
      <c r="R4345" t="s">
        <v>46572</v>
      </c>
      <c r="S4345" t="s">
        <v>46689</v>
      </c>
      <c r="T4345" t="s">
        <v>48256</v>
      </c>
      <c r="U4345" t="s">
        <v>52355</v>
      </c>
      <c r="W4345" t="s">
        <v>44231</v>
      </c>
      <c r="X4345" t="s">
        <v>46573</v>
      </c>
    </row>
    <row r="4346" spans="1:24">
      <c r="A4346">
        <f>HYPERLINK("https://www.philgeps.gov.ph/GEPSNONPILOT/Tender/SplashBidNoticeAbstractUI.aspx?menuIndex=3&amp;refID=7064052&amp;Result=3","7064052")</f>
        <v>0</v>
      </c>
      <c r="B4346" t="s">
        <v>1397</v>
      </c>
      <c r="C4346" t="s">
        <v>7628</v>
      </c>
      <c r="D4346" t="s">
        <v>18803</v>
      </c>
      <c r="E4346" t="s">
        <v>19409</v>
      </c>
      <c r="F4346" t="s">
        <v>32664</v>
      </c>
      <c r="G4346" t="s">
        <v>32678</v>
      </c>
      <c r="H4346" t="s">
        <v>32681</v>
      </c>
      <c r="I4346" t="s">
        <v>32681</v>
      </c>
      <c r="J4346" t="s">
        <v>35601</v>
      </c>
      <c r="K4346" t="s">
        <v>42377</v>
      </c>
      <c r="M4346" t="s">
        <v>44054</v>
      </c>
      <c r="N4346" t="s">
        <v>46569</v>
      </c>
      <c r="O4346" t="s">
        <v>46570</v>
      </c>
      <c r="P4346">
        <v>0</v>
      </c>
      <c r="Q4346">
        <v>0</v>
      </c>
      <c r="R4346" t="s">
        <v>46572</v>
      </c>
      <c r="S4346" t="s">
        <v>46689</v>
      </c>
      <c r="T4346" t="s">
        <v>48315</v>
      </c>
      <c r="U4346" t="s">
        <v>52292</v>
      </c>
      <c r="W4346" t="s">
        <v>44054</v>
      </c>
      <c r="X4346" t="s">
        <v>46573</v>
      </c>
    </row>
    <row r="4347" spans="1:24">
      <c r="A4347">
        <f>HYPERLINK("https://www.philgeps.gov.ph/GEPSNONPILOT/Tender/SplashBidNoticeAbstractUI.aspx?menuIndex=3&amp;refID=7064051&amp;Result=3","7064051")</f>
        <v>0</v>
      </c>
      <c r="B4347" t="s">
        <v>1501</v>
      </c>
      <c r="C4347" t="s">
        <v>7696</v>
      </c>
      <c r="D4347" t="s">
        <v>18832</v>
      </c>
      <c r="E4347" t="s">
        <v>22800</v>
      </c>
      <c r="F4347" t="s">
        <v>32664</v>
      </c>
      <c r="G4347" t="s">
        <v>32671</v>
      </c>
      <c r="H4347" t="s">
        <v>12635</v>
      </c>
      <c r="I4347" t="s">
        <v>32685</v>
      </c>
      <c r="J4347" t="s">
        <v>35646</v>
      </c>
      <c r="K4347" t="s">
        <v>42289</v>
      </c>
      <c r="M4347" t="s">
        <v>44165</v>
      </c>
      <c r="N4347" t="s">
        <v>46569</v>
      </c>
      <c r="O4347" t="s">
        <v>46570</v>
      </c>
      <c r="P4347">
        <v>0</v>
      </c>
      <c r="Q4347">
        <v>0</v>
      </c>
      <c r="R4347" t="s">
        <v>46572</v>
      </c>
      <c r="S4347" t="s">
        <v>46689</v>
      </c>
      <c r="T4347" t="s">
        <v>48305</v>
      </c>
      <c r="U4347" t="s">
        <v>52160</v>
      </c>
      <c r="W4347" t="s">
        <v>44165</v>
      </c>
      <c r="X4347" t="s">
        <v>46573</v>
      </c>
    </row>
    <row r="4348" spans="1:24">
      <c r="A4348">
        <f>HYPERLINK("https://www.philgeps.gov.ph/GEPSNONPILOT/Tender/SplashBidNoticeAbstractUI.aspx?menuIndex=3&amp;refID=7064055&amp;Result=3","7064055")</f>
        <v>0</v>
      </c>
      <c r="B4348" t="s">
        <v>684</v>
      </c>
      <c r="C4348" t="s">
        <v>5492</v>
      </c>
      <c r="D4348" t="s">
        <v>18809</v>
      </c>
      <c r="E4348" t="s">
        <v>22801</v>
      </c>
      <c r="F4348" t="s">
        <v>32664</v>
      </c>
      <c r="G4348" t="s">
        <v>32674</v>
      </c>
      <c r="H4348" t="s">
        <v>12635</v>
      </c>
      <c r="I4348" t="s">
        <v>8797</v>
      </c>
      <c r="J4348" t="s">
        <v>35647</v>
      </c>
      <c r="K4348" t="s">
        <v>42281</v>
      </c>
      <c r="M4348" t="s">
        <v>43271</v>
      </c>
      <c r="N4348" t="s">
        <v>46569</v>
      </c>
      <c r="O4348" t="s">
        <v>46570</v>
      </c>
      <c r="P4348">
        <v>0</v>
      </c>
      <c r="Q4348">
        <v>6</v>
      </c>
      <c r="R4348" t="s">
        <v>46572</v>
      </c>
      <c r="S4348" t="s">
        <v>46689</v>
      </c>
      <c r="T4348" t="s">
        <v>48420</v>
      </c>
      <c r="U4348" t="s">
        <v>52356</v>
      </c>
      <c r="W4348" t="s">
        <v>43271</v>
      </c>
      <c r="X4348" t="s">
        <v>46573</v>
      </c>
    </row>
    <row r="4349" spans="1:24">
      <c r="A4349">
        <f>HYPERLINK("https://www.philgeps.gov.ph/GEPSNONPILOT/Tender/SplashBidNoticeAbstractUI.aspx?menuIndex=3&amp;refID=7064048&amp;Result=3","7064048")</f>
        <v>0</v>
      </c>
      <c r="B4349" t="s">
        <v>229</v>
      </c>
      <c r="C4349" t="s">
        <v>7697</v>
      </c>
      <c r="D4349" t="s">
        <v>18838</v>
      </c>
      <c r="E4349" t="s">
        <v>22802</v>
      </c>
      <c r="F4349" t="s">
        <v>32664</v>
      </c>
      <c r="G4349" t="s">
        <v>32671</v>
      </c>
      <c r="H4349" t="s">
        <v>12635</v>
      </c>
      <c r="I4349" t="s">
        <v>32694</v>
      </c>
      <c r="J4349" t="s">
        <v>33817</v>
      </c>
      <c r="K4349" t="s">
        <v>42297</v>
      </c>
      <c r="M4349" t="s">
        <v>42793</v>
      </c>
      <c r="N4349" t="s">
        <v>46569</v>
      </c>
      <c r="O4349" t="s">
        <v>46570</v>
      </c>
      <c r="P4349">
        <v>0</v>
      </c>
      <c r="Q4349">
        <v>0</v>
      </c>
      <c r="R4349" t="s">
        <v>46572</v>
      </c>
      <c r="S4349" t="s">
        <v>46689</v>
      </c>
      <c r="T4349" t="s">
        <v>48221</v>
      </c>
      <c r="U4349" t="s">
        <v>52357</v>
      </c>
      <c r="W4349" t="s">
        <v>42793</v>
      </c>
      <c r="X4349" t="s">
        <v>46573</v>
      </c>
    </row>
    <row r="4350" spans="1:24">
      <c r="A4350">
        <f>HYPERLINK("https://www.philgeps.gov.ph/GEPSNONPILOT/Tender/SplashBidNoticeAbstractUI.aspx?menuIndex=3&amp;refID=7064046&amp;Result=3","7064046")</f>
        <v>0</v>
      </c>
      <c r="B4350" t="s">
        <v>1397</v>
      </c>
      <c r="C4350" t="s">
        <v>7602</v>
      </c>
      <c r="D4350" t="s">
        <v>18803</v>
      </c>
      <c r="E4350" t="s">
        <v>22803</v>
      </c>
      <c r="F4350" t="s">
        <v>32664</v>
      </c>
      <c r="G4350" t="s">
        <v>32678</v>
      </c>
      <c r="H4350" t="s">
        <v>32681</v>
      </c>
      <c r="I4350" t="s">
        <v>32681</v>
      </c>
      <c r="J4350" t="s">
        <v>35583</v>
      </c>
      <c r="K4350" t="s">
        <v>42377</v>
      </c>
      <c r="M4350" t="s">
        <v>44054</v>
      </c>
      <c r="N4350" t="s">
        <v>46569</v>
      </c>
      <c r="O4350" t="s">
        <v>46570</v>
      </c>
      <c r="P4350">
        <v>0</v>
      </c>
      <c r="Q4350">
        <v>0</v>
      </c>
      <c r="R4350" t="s">
        <v>46572</v>
      </c>
      <c r="S4350" t="s">
        <v>46689</v>
      </c>
      <c r="T4350" t="s">
        <v>48315</v>
      </c>
      <c r="U4350" t="s">
        <v>52268</v>
      </c>
      <c r="W4350" t="s">
        <v>44054</v>
      </c>
      <c r="X4350" t="s">
        <v>46573</v>
      </c>
    </row>
    <row r="4351" spans="1:24">
      <c r="A4351">
        <f>HYPERLINK("https://www.philgeps.gov.ph/GEPSNONPILOT/Tender/SplashBidNoticeAbstractUI.aspx?menuIndex=3&amp;refID=7064042&amp;Result=3","7064042")</f>
        <v>0</v>
      </c>
      <c r="B4351" t="s">
        <v>215</v>
      </c>
      <c r="C4351" t="s">
        <v>7698</v>
      </c>
      <c r="D4351" t="s">
        <v>18837</v>
      </c>
      <c r="E4351" t="s">
        <v>22804</v>
      </c>
      <c r="F4351" t="s">
        <v>32664</v>
      </c>
      <c r="G4351" t="s">
        <v>32674</v>
      </c>
      <c r="H4351" t="s">
        <v>12635</v>
      </c>
      <c r="I4351" t="s">
        <v>6628</v>
      </c>
      <c r="J4351" t="s">
        <v>32842</v>
      </c>
      <c r="K4351" t="s">
        <v>42289</v>
      </c>
      <c r="M4351" t="s">
        <v>42779</v>
      </c>
      <c r="N4351" t="s">
        <v>46569</v>
      </c>
      <c r="O4351" t="s">
        <v>46570</v>
      </c>
      <c r="P4351">
        <v>0</v>
      </c>
      <c r="Q4351">
        <v>4</v>
      </c>
      <c r="R4351" t="s">
        <v>46572</v>
      </c>
      <c r="S4351" t="s">
        <v>46689</v>
      </c>
      <c r="T4351" t="s">
        <v>48282</v>
      </c>
      <c r="U4351" t="s">
        <v>52358</v>
      </c>
      <c r="W4351" t="s">
        <v>42779</v>
      </c>
      <c r="X4351" t="s">
        <v>46573</v>
      </c>
    </row>
    <row r="4352" spans="1:24">
      <c r="A4352">
        <f>HYPERLINK("https://www.philgeps.gov.ph/GEPSNONPILOT/Tender/SplashBidNoticeAbstractUI.aspx?menuIndex=3&amp;refID=7064041&amp;Result=3","7064041")</f>
        <v>0</v>
      </c>
      <c r="B4352" t="s">
        <v>1397</v>
      </c>
      <c r="C4352" t="s">
        <v>7628</v>
      </c>
      <c r="D4352" t="s">
        <v>18803</v>
      </c>
      <c r="E4352" t="s">
        <v>22775</v>
      </c>
      <c r="F4352" t="s">
        <v>32664</v>
      </c>
      <c r="G4352" t="s">
        <v>32678</v>
      </c>
      <c r="H4352" t="s">
        <v>32681</v>
      </c>
      <c r="I4352" t="s">
        <v>32681</v>
      </c>
      <c r="J4352" t="s">
        <v>35601</v>
      </c>
      <c r="K4352" t="s">
        <v>42377</v>
      </c>
      <c r="M4352" t="s">
        <v>44054</v>
      </c>
      <c r="N4352" t="s">
        <v>46569</v>
      </c>
      <c r="O4352" t="s">
        <v>46570</v>
      </c>
      <c r="P4352">
        <v>0</v>
      </c>
      <c r="Q4352">
        <v>0</v>
      </c>
      <c r="R4352" t="s">
        <v>46572</v>
      </c>
      <c r="S4352" t="s">
        <v>46689</v>
      </c>
      <c r="T4352" t="s">
        <v>48315</v>
      </c>
      <c r="U4352" t="s">
        <v>52292</v>
      </c>
      <c r="W4352" t="s">
        <v>44054</v>
      </c>
      <c r="X4352" t="s">
        <v>46573</v>
      </c>
    </row>
    <row r="4353" spans="1:24">
      <c r="A4353">
        <f>HYPERLINK("https://www.philgeps.gov.ph/GEPSNONPILOT/Tender/SplashBidNoticeAbstractUI.aspx?menuIndex=3&amp;refID=7064040&amp;Result=3","7064040")</f>
        <v>0</v>
      </c>
      <c r="B4353" t="s">
        <v>1416</v>
      </c>
      <c r="C4353" t="s">
        <v>7699</v>
      </c>
      <c r="D4353" t="s">
        <v>18784</v>
      </c>
      <c r="E4353" t="s">
        <v>22805</v>
      </c>
      <c r="F4353" t="s">
        <v>32664</v>
      </c>
      <c r="G4353" t="s">
        <v>32671</v>
      </c>
      <c r="H4353" t="s">
        <v>12635</v>
      </c>
      <c r="I4353" t="s">
        <v>6628</v>
      </c>
      <c r="J4353" t="s">
        <v>34247</v>
      </c>
      <c r="K4353" t="s">
        <v>42281</v>
      </c>
      <c r="M4353" t="s">
        <v>44075</v>
      </c>
      <c r="N4353" t="s">
        <v>46569</v>
      </c>
      <c r="O4353" t="s">
        <v>46570</v>
      </c>
      <c r="P4353">
        <v>0</v>
      </c>
      <c r="Q4353">
        <v>8</v>
      </c>
      <c r="R4353" t="s">
        <v>46572</v>
      </c>
      <c r="S4353" t="s">
        <v>46689</v>
      </c>
      <c r="T4353" t="s">
        <v>48312</v>
      </c>
      <c r="U4353" t="s">
        <v>52359</v>
      </c>
      <c r="V4353" t="s">
        <v>62060</v>
      </c>
      <c r="W4353" t="s">
        <v>44075</v>
      </c>
      <c r="X4353" t="s">
        <v>46573</v>
      </c>
    </row>
    <row r="4354" spans="1:24">
      <c r="A4354">
        <f>HYPERLINK("https://www.philgeps.gov.ph/GEPSNONPILOT/Tender/SplashBidNoticeAbstractUI.aspx?menuIndex=3&amp;refID=7064038&amp;Result=3","7064038")</f>
        <v>0</v>
      </c>
      <c r="B4354" t="s">
        <v>1015</v>
      </c>
      <c r="C4354" t="s">
        <v>7700</v>
      </c>
      <c r="D4354" t="s">
        <v>18804</v>
      </c>
      <c r="E4354" t="s">
        <v>22806</v>
      </c>
      <c r="F4354" t="s">
        <v>32664</v>
      </c>
      <c r="G4354" t="s">
        <v>32671</v>
      </c>
      <c r="H4354" t="s">
        <v>12635</v>
      </c>
      <c r="I4354" t="s">
        <v>32736</v>
      </c>
      <c r="J4354" t="s">
        <v>33210</v>
      </c>
      <c r="K4354" t="s">
        <v>42316</v>
      </c>
      <c r="M4354" t="s">
        <v>43627</v>
      </c>
      <c r="N4354" t="s">
        <v>46569</v>
      </c>
      <c r="O4354" t="s">
        <v>46570</v>
      </c>
      <c r="P4354">
        <v>0</v>
      </c>
      <c r="Q4354">
        <v>0</v>
      </c>
      <c r="R4354" t="s">
        <v>46572</v>
      </c>
      <c r="S4354" t="s">
        <v>46689</v>
      </c>
      <c r="T4354" t="s">
        <v>48256</v>
      </c>
      <c r="U4354" t="s">
        <v>52360</v>
      </c>
      <c r="W4354" t="s">
        <v>43627</v>
      </c>
      <c r="X4354" t="s">
        <v>46573</v>
      </c>
    </row>
    <row r="4355" spans="1:24">
      <c r="A4355">
        <f>HYPERLINK("https://www.philgeps.gov.ph/GEPSNONPILOT/Tender/SplashBidNoticeAbstractUI.aspx?menuIndex=3&amp;refID=7064033&amp;Result=3","7064033")</f>
        <v>0</v>
      </c>
      <c r="B4355" t="s">
        <v>1051</v>
      </c>
      <c r="C4355" t="s">
        <v>7701</v>
      </c>
      <c r="D4355" t="s">
        <v>18818</v>
      </c>
      <c r="E4355" t="s">
        <v>19552</v>
      </c>
      <c r="F4355" t="s">
        <v>32664</v>
      </c>
      <c r="G4355" t="s">
        <v>32674</v>
      </c>
      <c r="H4355" t="s">
        <v>12635</v>
      </c>
      <c r="I4355" t="s">
        <v>4439</v>
      </c>
      <c r="J4355" t="s">
        <v>35648</v>
      </c>
      <c r="K4355" t="s">
        <v>42295</v>
      </c>
      <c r="M4355" t="s">
        <v>43669</v>
      </c>
      <c r="N4355" t="s">
        <v>46569</v>
      </c>
      <c r="O4355" t="s">
        <v>46570</v>
      </c>
      <c r="P4355">
        <v>0</v>
      </c>
      <c r="Q4355">
        <v>0</v>
      </c>
      <c r="R4355" t="s">
        <v>46572</v>
      </c>
      <c r="S4355" t="s">
        <v>46689</v>
      </c>
      <c r="T4355" t="s">
        <v>48256</v>
      </c>
      <c r="U4355" t="s">
        <v>52361</v>
      </c>
      <c r="W4355" t="s">
        <v>43669</v>
      </c>
      <c r="X4355" t="s">
        <v>46573</v>
      </c>
    </row>
    <row r="4356" spans="1:24">
      <c r="A4356">
        <f>HYPERLINK("https://www.philgeps.gov.ph/GEPSNONPILOT/Tender/SplashBidNoticeAbstractUI.aspx?menuIndex=3&amp;refID=7064049&amp;Result=3","7064049")</f>
        <v>0</v>
      </c>
      <c r="B4356" t="s">
        <v>1561</v>
      </c>
      <c r="C4356" t="s">
        <v>7702</v>
      </c>
      <c r="E4356" t="s">
        <v>22807</v>
      </c>
      <c r="F4356" t="s">
        <v>32664</v>
      </c>
      <c r="G4356" t="s">
        <v>32671</v>
      </c>
      <c r="H4356" t="s">
        <v>12635</v>
      </c>
      <c r="I4356" t="s">
        <v>8730</v>
      </c>
      <c r="J4356" t="s">
        <v>35649</v>
      </c>
      <c r="K4356" t="s">
        <v>42284</v>
      </c>
      <c r="M4356" t="s">
        <v>44232</v>
      </c>
      <c r="N4356" t="s">
        <v>46569</v>
      </c>
      <c r="O4356" t="s">
        <v>46570</v>
      </c>
      <c r="P4356">
        <v>0</v>
      </c>
      <c r="Q4356">
        <v>0</v>
      </c>
      <c r="R4356" t="s">
        <v>46572</v>
      </c>
      <c r="S4356" t="s">
        <v>46689</v>
      </c>
      <c r="T4356" t="s">
        <v>48256</v>
      </c>
      <c r="U4356" t="s">
        <v>52362</v>
      </c>
      <c r="W4356" t="s">
        <v>44232</v>
      </c>
      <c r="X4356" t="s">
        <v>46573</v>
      </c>
    </row>
    <row r="4357" spans="1:24">
      <c r="A4357">
        <f>HYPERLINK("https://www.philgeps.gov.ph/GEPSNONPILOT/Tender/SplashBidNoticeAbstractUI.aspx?menuIndex=3&amp;refID=7064032&amp;Result=3","7064032")</f>
        <v>0</v>
      </c>
      <c r="B4357" t="s">
        <v>684</v>
      </c>
      <c r="C4357" t="s">
        <v>7703</v>
      </c>
      <c r="D4357" t="s">
        <v>18809</v>
      </c>
      <c r="E4357" t="s">
        <v>22808</v>
      </c>
      <c r="F4357" t="s">
        <v>32664</v>
      </c>
      <c r="G4357" t="s">
        <v>32674</v>
      </c>
      <c r="H4357" t="s">
        <v>12635</v>
      </c>
      <c r="I4357" t="s">
        <v>7703</v>
      </c>
      <c r="J4357" t="s">
        <v>35650</v>
      </c>
      <c r="K4357" t="s">
        <v>42281</v>
      </c>
      <c r="M4357" t="s">
        <v>43271</v>
      </c>
      <c r="N4357" t="s">
        <v>46569</v>
      </c>
      <c r="O4357" t="s">
        <v>46570</v>
      </c>
      <c r="P4357">
        <v>0</v>
      </c>
      <c r="Q4357">
        <v>5</v>
      </c>
      <c r="R4357" t="s">
        <v>46572</v>
      </c>
      <c r="S4357" t="s">
        <v>46689</v>
      </c>
      <c r="T4357" t="s">
        <v>48420</v>
      </c>
      <c r="U4357" t="s">
        <v>52363</v>
      </c>
      <c r="W4357" t="s">
        <v>43271</v>
      </c>
      <c r="X4357" t="s">
        <v>46573</v>
      </c>
    </row>
    <row r="4358" spans="1:24">
      <c r="A4358">
        <f>HYPERLINK("https://www.philgeps.gov.ph/GEPSNONPILOT/Tender/SplashBidNoticeAbstractUI.aspx?menuIndex=3&amp;refID=7064045&amp;Result=3","7064045")</f>
        <v>0</v>
      </c>
      <c r="B4358" t="s">
        <v>1416</v>
      </c>
      <c r="C4358" t="s">
        <v>7704</v>
      </c>
      <c r="D4358" t="s">
        <v>18784</v>
      </c>
      <c r="E4358" t="s">
        <v>22809</v>
      </c>
      <c r="F4358" t="s">
        <v>32664</v>
      </c>
      <c r="G4358" t="s">
        <v>32671</v>
      </c>
      <c r="H4358" t="s">
        <v>12635</v>
      </c>
      <c r="I4358" t="s">
        <v>5589</v>
      </c>
      <c r="J4358" t="s">
        <v>35651</v>
      </c>
      <c r="K4358" t="s">
        <v>42281</v>
      </c>
      <c r="M4358" t="s">
        <v>44075</v>
      </c>
      <c r="N4358" t="s">
        <v>46569</v>
      </c>
      <c r="O4358" t="s">
        <v>46570</v>
      </c>
      <c r="P4358">
        <v>0</v>
      </c>
      <c r="Q4358">
        <v>8</v>
      </c>
      <c r="R4358" t="s">
        <v>46572</v>
      </c>
      <c r="S4358" t="s">
        <v>46689</v>
      </c>
      <c r="T4358" t="s">
        <v>48211</v>
      </c>
      <c r="U4358" t="s">
        <v>52364</v>
      </c>
      <c r="V4358" t="s">
        <v>62060</v>
      </c>
      <c r="W4358" t="s">
        <v>44075</v>
      </c>
      <c r="X4358" t="s">
        <v>46573</v>
      </c>
    </row>
    <row r="4359" spans="1:24">
      <c r="A4359">
        <f>HYPERLINK("https://www.philgeps.gov.ph/GEPSNONPILOT/Tender/SplashBidNoticeAbstractUI.aspx?menuIndex=3&amp;refID=7064044&amp;Result=3","7064044")</f>
        <v>0</v>
      </c>
      <c r="B4359" t="s">
        <v>684</v>
      </c>
      <c r="C4359" t="s">
        <v>7703</v>
      </c>
      <c r="D4359" t="s">
        <v>18809</v>
      </c>
      <c r="E4359" t="s">
        <v>22810</v>
      </c>
      <c r="F4359" t="s">
        <v>32664</v>
      </c>
      <c r="G4359" t="s">
        <v>32674</v>
      </c>
      <c r="H4359" t="s">
        <v>12635</v>
      </c>
      <c r="I4359" t="s">
        <v>7703</v>
      </c>
      <c r="J4359" t="s">
        <v>35652</v>
      </c>
      <c r="K4359" t="s">
        <v>42281</v>
      </c>
      <c r="M4359" t="s">
        <v>43271</v>
      </c>
      <c r="N4359" t="s">
        <v>46569</v>
      </c>
      <c r="O4359" t="s">
        <v>46570</v>
      </c>
      <c r="P4359">
        <v>0</v>
      </c>
      <c r="Q4359">
        <v>5</v>
      </c>
      <c r="R4359" t="s">
        <v>46572</v>
      </c>
      <c r="S4359" t="s">
        <v>46689</v>
      </c>
      <c r="T4359" t="s">
        <v>48420</v>
      </c>
      <c r="U4359" t="s">
        <v>52365</v>
      </c>
      <c r="W4359" t="s">
        <v>43271</v>
      </c>
      <c r="X4359" t="s">
        <v>46573</v>
      </c>
    </row>
    <row r="4360" spans="1:24">
      <c r="A4360">
        <f>HYPERLINK("https://www.philgeps.gov.ph/GEPSNONPILOT/Tender/SplashBidNoticeAbstractUI.aspx?menuIndex=3&amp;refID=7063202&amp;Result=3","7063202")</f>
        <v>0</v>
      </c>
      <c r="B4360" t="s">
        <v>312</v>
      </c>
      <c r="C4360" t="s">
        <v>7030</v>
      </c>
      <c r="D4360" t="s">
        <v>18805</v>
      </c>
      <c r="E4360" t="s">
        <v>22811</v>
      </c>
      <c r="F4360" t="s">
        <v>32664</v>
      </c>
      <c r="G4360" t="s">
        <v>32671</v>
      </c>
      <c r="H4360" t="s">
        <v>12635</v>
      </c>
      <c r="I4360" t="s">
        <v>4439</v>
      </c>
      <c r="J4360" t="s">
        <v>32853</v>
      </c>
      <c r="K4360" t="s">
        <v>42283</v>
      </c>
      <c r="M4360" t="s">
        <v>42879</v>
      </c>
      <c r="N4360" t="s">
        <v>46569</v>
      </c>
      <c r="O4360" t="s">
        <v>46570</v>
      </c>
      <c r="P4360">
        <v>0</v>
      </c>
      <c r="Q4360">
        <v>0</v>
      </c>
      <c r="R4360" t="s">
        <v>46572</v>
      </c>
      <c r="S4360" t="s">
        <v>46689</v>
      </c>
      <c r="T4360" t="s">
        <v>48237</v>
      </c>
      <c r="U4360" t="s">
        <v>51797</v>
      </c>
      <c r="W4360" t="s">
        <v>42879</v>
      </c>
      <c r="X4360" t="s">
        <v>46573</v>
      </c>
    </row>
    <row r="4361" spans="1:24">
      <c r="A4361">
        <f>HYPERLINK("https://www.philgeps.gov.ph/GEPSNONPILOT/Tender/SplashBidNoticeAbstractUI.aspx?menuIndex=3&amp;refID=7064039&amp;Result=3","7064039")</f>
        <v>0</v>
      </c>
      <c r="B4361" t="s">
        <v>402</v>
      </c>
      <c r="C4361" t="s">
        <v>7705</v>
      </c>
      <c r="D4361" t="s">
        <v>18781</v>
      </c>
      <c r="E4361" t="s">
        <v>22812</v>
      </c>
      <c r="F4361" t="s">
        <v>32667</v>
      </c>
      <c r="G4361" t="s">
        <v>32673</v>
      </c>
      <c r="H4361" t="s">
        <v>12635</v>
      </c>
      <c r="I4361" t="s">
        <v>32736</v>
      </c>
      <c r="J4361" t="s">
        <v>33751</v>
      </c>
      <c r="K4361" t="s">
        <v>42283</v>
      </c>
      <c r="M4361" t="s">
        <v>44233</v>
      </c>
      <c r="N4361" t="s">
        <v>46569</v>
      </c>
      <c r="O4361" t="s">
        <v>46570</v>
      </c>
      <c r="P4361">
        <v>0</v>
      </c>
      <c r="Q4361">
        <v>0</v>
      </c>
      <c r="R4361" t="s">
        <v>46572</v>
      </c>
      <c r="S4361" t="s">
        <v>46689</v>
      </c>
      <c r="T4361" t="s">
        <v>48514</v>
      </c>
      <c r="U4361" t="s">
        <v>52366</v>
      </c>
      <c r="W4361" t="s">
        <v>44233</v>
      </c>
      <c r="X4361" t="s">
        <v>46573</v>
      </c>
    </row>
    <row r="4362" spans="1:24">
      <c r="A4362">
        <f>HYPERLINK("https://www.philgeps.gov.ph/GEPSNONPILOT/Tender/SplashBidNoticeAbstractUI.aspx?menuIndex=3&amp;refID=7063200&amp;Result=3","7063200")</f>
        <v>0</v>
      </c>
      <c r="B4362" t="s">
        <v>1150</v>
      </c>
      <c r="C4362" t="s">
        <v>7706</v>
      </c>
      <c r="D4362" t="s">
        <v>18845</v>
      </c>
      <c r="E4362" t="s">
        <v>22813</v>
      </c>
      <c r="F4362" t="s">
        <v>32664</v>
      </c>
      <c r="G4362" t="s">
        <v>32671</v>
      </c>
      <c r="H4362" t="s">
        <v>12635</v>
      </c>
      <c r="I4362" t="s">
        <v>4997</v>
      </c>
      <c r="J4362" t="s">
        <v>35653</v>
      </c>
      <c r="K4362" t="s">
        <v>42283</v>
      </c>
      <c r="M4362" t="s">
        <v>43781</v>
      </c>
      <c r="N4362" t="s">
        <v>46569</v>
      </c>
      <c r="O4362" t="s">
        <v>46570</v>
      </c>
      <c r="P4362">
        <v>0</v>
      </c>
      <c r="Q4362">
        <v>2</v>
      </c>
      <c r="R4362" t="s">
        <v>46572</v>
      </c>
      <c r="S4362" t="s">
        <v>46689</v>
      </c>
      <c r="T4362" t="s">
        <v>48258</v>
      </c>
      <c r="U4362" t="s">
        <v>52367</v>
      </c>
      <c r="W4362" t="s">
        <v>43781</v>
      </c>
      <c r="X4362" t="s">
        <v>46573</v>
      </c>
    </row>
    <row r="4363" spans="1:24">
      <c r="A4363">
        <f>HYPERLINK("https://www.philgeps.gov.ph/GEPSNONPILOT/Tender/SplashBidNoticeAbstractUI.aspx?menuIndex=3&amp;refID=7063198&amp;Result=3","7063198")</f>
        <v>0</v>
      </c>
      <c r="B4363" t="s">
        <v>1102</v>
      </c>
      <c r="C4363" t="s">
        <v>7707</v>
      </c>
      <c r="D4363" t="s">
        <v>18784</v>
      </c>
      <c r="E4363" t="s">
        <v>22814</v>
      </c>
      <c r="F4363" t="s">
        <v>32664</v>
      </c>
      <c r="G4363" t="s">
        <v>32674</v>
      </c>
      <c r="H4363" t="s">
        <v>12635</v>
      </c>
      <c r="I4363" t="s">
        <v>8797</v>
      </c>
      <c r="J4363" t="s">
        <v>33069</v>
      </c>
      <c r="K4363" t="s">
        <v>42283</v>
      </c>
      <c r="M4363" t="s">
        <v>43729</v>
      </c>
      <c r="N4363" t="s">
        <v>46569</v>
      </c>
      <c r="O4363" t="s">
        <v>46570</v>
      </c>
      <c r="P4363">
        <v>0</v>
      </c>
      <c r="Q4363">
        <v>3</v>
      </c>
      <c r="R4363" t="s">
        <v>46572</v>
      </c>
      <c r="S4363" t="s">
        <v>46689</v>
      </c>
      <c r="T4363" t="s">
        <v>48316</v>
      </c>
      <c r="U4363" t="s">
        <v>52368</v>
      </c>
      <c r="W4363" t="s">
        <v>43729</v>
      </c>
      <c r="X4363" t="s">
        <v>46573</v>
      </c>
    </row>
    <row r="4364" spans="1:24">
      <c r="A4364">
        <f>HYPERLINK("https://www.philgeps.gov.ph/GEPSNONPILOT/Tender/SplashBidNoticeAbstractUI.aspx?menuIndex=3&amp;refID=7064077&amp;Result=3","7064077")</f>
        <v>0</v>
      </c>
      <c r="B4364" t="s">
        <v>1416</v>
      </c>
      <c r="C4364" t="s">
        <v>7708</v>
      </c>
      <c r="D4364" t="s">
        <v>18784</v>
      </c>
      <c r="E4364" t="s">
        <v>22815</v>
      </c>
      <c r="F4364" t="s">
        <v>32664</v>
      </c>
      <c r="G4364" t="s">
        <v>32671</v>
      </c>
      <c r="H4364" t="s">
        <v>12635</v>
      </c>
      <c r="I4364" t="s">
        <v>32704</v>
      </c>
      <c r="J4364" t="s">
        <v>35654</v>
      </c>
      <c r="K4364" t="s">
        <v>42281</v>
      </c>
      <c r="M4364" t="s">
        <v>44075</v>
      </c>
      <c r="N4364" t="s">
        <v>46569</v>
      </c>
      <c r="O4364" t="s">
        <v>46570</v>
      </c>
      <c r="P4364">
        <v>0</v>
      </c>
      <c r="Q4364">
        <v>18</v>
      </c>
      <c r="R4364" t="s">
        <v>46572</v>
      </c>
      <c r="S4364" t="s">
        <v>46689</v>
      </c>
      <c r="T4364" t="s">
        <v>48264</v>
      </c>
      <c r="U4364" t="s">
        <v>52369</v>
      </c>
      <c r="V4364" t="s">
        <v>62060</v>
      </c>
      <c r="W4364" t="s">
        <v>44075</v>
      </c>
      <c r="X4364" t="s">
        <v>46573</v>
      </c>
    </row>
    <row r="4365" spans="1:24">
      <c r="A4365">
        <f>HYPERLINK("https://www.philgeps.gov.ph/GEPSNONPILOT/Tender/SplashBidNoticeAbstractUI.aspx?menuIndex=3&amp;refID=7064075&amp;Result=3","7064075")</f>
        <v>0</v>
      </c>
      <c r="B4365" t="s">
        <v>1394</v>
      </c>
      <c r="C4365" t="s">
        <v>7709</v>
      </c>
      <c r="D4365" t="s">
        <v>18842</v>
      </c>
      <c r="E4365" t="s">
        <v>22816</v>
      </c>
      <c r="F4365" t="s">
        <v>32664</v>
      </c>
      <c r="G4365" t="s">
        <v>32671</v>
      </c>
      <c r="H4365" t="s">
        <v>12635</v>
      </c>
      <c r="I4365" t="s">
        <v>7709</v>
      </c>
      <c r="J4365" t="s">
        <v>35655</v>
      </c>
      <c r="K4365" t="s">
        <v>42284</v>
      </c>
      <c r="M4365" t="s">
        <v>44050</v>
      </c>
      <c r="N4365" t="s">
        <v>46569</v>
      </c>
      <c r="O4365" t="s">
        <v>46570</v>
      </c>
      <c r="P4365">
        <v>0</v>
      </c>
      <c r="Q4365">
        <v>0</v>
      </c>
      <c r="R4365" t="s">
        <v>46572</v>
      </c>
      <c r="S4365" t="s">
        <v>46689</v>
      </c>
      <c r="T4365" t="s">
        <v>48217</v>
      </c>
      <c r="U4365" t="s">
        <v>49881</v>
      </c>
      <c r="W4365" t="s">
        <v>44050</v>
      </c>
      <c r="X4365" t="s">
        <v>46573</v>
      </c>
    </row>
    <row r="4366" spans="1:24">
      <c r="A4366">
        <f>HYPERLINK("https://www.philgeps.gov.ph/GEPSNONPILOT/Tender/SplashBidNoticeAbstractUI.aspx?menuIndex=3&amp;refID=7064074&amp;Result=3","7064074")</f>
        <v>0</v>
      </c>
      <c r="B4366" t="s">
        <v>1562</v>
      </c>
      <c r="C4366" t="s">
        <v>5193</v>
      </c>
      <c r="D4366" t="s">
        <v>18805</v>
      </c>
      <c r="E4366" t="s">
        <v>22817</v>
      </c>
      <c r="F4366" t="s">
        <v>32664</v>
      </c>
      <c r="G4366" t="s">
        <v>32672</v>
      </c>
      <c r="H4366" t="s">
        <v>12635</v>
      </c>
      <c r="I4366" t="s">
        <v>8730</v>
      </c>
      <c r="J4366" t="s">
        <v>35656</v>
      </c>
      <c r="K4366" t="s">
        <v>42281</v>
      </c>
      <c r="M4366" t="s">
        <v>44234</v>
      </c>
      <c r="N4366" t="s">
        <v>46569</v>
      </c>
      <c r="O4366" t="s">
        <v>46570</v>
      </c>
      <c r="P4366">
        <v>0</v>
      </c>
      <c r="Q4366">
        <v>0</v>
      </c>
      <c r="R4366" t="s">
        <v>46572</v>
      </c>
      <c r="S4366" t="s">
        <v>46689</v>
      </c>
      <c r="T4366" t="s">
        <v>48304</v>
      </c>
      <c r="U4366" t="s">
        <v>52370</v>
      </c>
      <c r="W4366" t="s">
        <v>44234</v>
      </c>
      <c r="X4366" t="s">
        <v>46573</v>
      </c>
    </row>
    <row r="4367" spans="1:24">
      <c r="A4367">
        <f>HYPERLINK("https://www.philgeps.gov.ph/GEPSNONPILOT/Tender/SplashBidNoticeAbstractUI.aspx?menuIndex=3&amp;refID=7064056&amp;Result=3","7064056")</f>
        <v>0</v>
      </c>
      <c r="B4367" t="s">
        <v>1547</v>
      </c>
      <c r="C4367" t="s">
        <v>7710</v>
      </c>
      <c r="D4367" t="s">
        <v>18859</v>
      </c>
      <c r="E4367" t="s">
        <v>22818</v>
      </c>
      <c r="F4367" t="s">
        <v>32664</v>
      </c>
      <c r="G4367" t="s">
        <v>32672</v>
      </c>
      <c r="H4367" t="s">
        <v>12635</v>
      </c>
      <c r="I4367" t="s">
        <v>32764</v>
      </c>
      <c r="J4367" t="s">
        <v>35657</v>
      </c>
      <c r="K4367" t="s">
        <v>42393</v>
      </c>
      <c r="M4367" t="s">
        <v>44216</v>
      </c>
      <c r="N4367" t="s">
        <v>46569</v>
      </c>
      <c r="O4367" t="s">
        <v>46570</v>
      </c>
      <c r="P4367">
        <v>0</v>
      </c>
      <c r="Q4367">
        <v>1</v>
      </c>
      <c r="R4367" t="s">
        <v>46572</v>
      </c>
      <c r="S4367" t="s">
        <v>46689</v>
      </c>
      <c r="T4367" t="s">
        <v>48216</v>
      </c>
      <c r="U4367" t="s">
        <v>52371</v>
      </c>
      <c r="W4367" t="s">
        <v>44216</v>
      </c>
      <c r="X4367" t="s">
        <v>46573</v>
      </c>
    </row>
    <row r="4368" spans="1:24">
      <c r="A4368">
        <f>HYPERLINK("https://www.philgeps.gov.ph/GEPSNONPILOT/Tender/SplashBidNoticeAbstractUI.aspx?menuIndex=3&amp;refID=7064073&amp;Result=3","7064073")</f>
        <v>0</v>
      </c>
      <c r="B4368" t="s">
        <v>1015</v>
      </c>
      <c r="C4368" t="s">
        <v>7711</v>
      </c>
      <c r="D4368" t="s">
        <v>18804</v>
      </c>
      <c r="E4368" t="s">
        <v>22819</v>
      </c>
      <c r="F4368" t="s">
        <v>32664</v>
      </c>
      <c r="G4368" t="s">
        <v>32671</v>
      </c>
      <c r="H4368" t="s">
        <v>12635</v>
      </c>
      <c r="I4368" t="s">
        <v>32707</v>
      </c>
      <c r="J4368" t="s">
        <v>35658</v>
      </c>
      <c r="K4368" t="s">
        <v>42281</v>
      </c>
      <c r="M4368" t="s">
        <v>43627</v>
      </c>
      <c r="N4368" t="s">
        <v>46569</v>
      </c>
      <c r="O4368" t="s">
        <v>46570</v>
      </c>
      <c r="P4368">
        <v>0</v>
      </c>
      <c r="Q4368">
        <v>1</v>
      </c>
      <c r="R4368" t="s">
        <v>46572</v>
      </c>
      <c r="S4368" t="s">
        <v>46689</v>
      </c>
      <c r="T4368" t="s">
        <v>48256</v>
      </c>
      <c r="U4368" t="s">
        <v>52372</v>
      </c>
      <c r="W4368" t="s">
        <v>43627</v>
      </c>
      <c r="X4368" t="s">
        <v>46573</v>
      </c>
    </row>
    <row r="4369" spans="1:24">
      <c r="A4369">
        <f>HYPERLINK("https://www.philgeps.gov.ph/GEPSNONPILOT/Tender/SplashBidNoticeAbstractUI.aspx?menuIndex=3&amp;refID=7064010&amp;Result=3","7064010")</f>
        <v>0</v>
      </c>
      <c r="B4369" t="s">
        <v>1397</v>
      </c>
      <c r="C4369" t="s">
        <v>7558</v>
      </c>
      <c r="D4369" t="s">
        <v>18803</v>
      </c>
      <c r="E4369" t="s">
        <v>22820</v>
      </c>
      <c r="F4369" t="s">
        <v>32664</v>
      </c>
      <c r="G4369" t="s">
        <v>32678</v>
      </c>
      <c r="H4369" t="s">
        <v>32681</v>
      </c>
      <c r="I4369" t="s">
        <v>32681</v>
      </c>
      <c r="J4369" t="s">
        <v>35559</v>
      </c>
      <c r="K4369" t="s">
        <v>42377</v>
      </c>
      <c r="M4369" t="s">
        <v>44054</v>
      </c>
      <c r="N4369" t="s">
        <v>46569</v>
      </c>
      <c r="O4369" t="s">
        <v>46570</v>
      </c>
      <c r="P4369">
        <v>0</v>
      </c>
      <c r="Q4369">
        <v>0</v>
      </c>
      <c r="R4369" t="s">
        <v>46572</v>
      </c>
      <c r="S4369" t="s">
        <v>46689</v>
      </c>
      <c r="T4369" t="s">
        <v>48315</v>
      </c>
      <c r="U4369" t="s">
        <v>52228</v>
      </c>
      <c r="W4369" t="s">
        <v>44054</v>
      </c>
      <c r="X4369" t="s">
        <v>46573</v>
      </c>
    </row>
    <row r="4370" spans="1:24">
      <c r="A4370">
        <f>HYPERLINK("https://www.philgeps.gov.ph/GEPSNONPILOT/Tender/SplashBidNoticeAbstractUI.aspx?menuIndex=3&amp;refID=7064069&amp;Result=3","7064069")</f>
        <v>0</v>
      </c>
      <c r="B4370" t="s">
        <v>1563</v>
      </c>
      <c r="C4370" t="s">
        <v>7712</v>
      </c>
      <c r="D4370" t="s">
        <v>18822</v>
      </c>
      <c r="E4370" t="s">
        <v>10370</v>
      </c>
      <c r="F4370" t="s">
        <v>32664</v>
      </c>
      <c r="G4370" t="s">
        <v>32674</v>
      </c>
      <c r="H4370" t="s">
        <v>12635</v>
      </c>
      <c r="I4370" t="s">
        <v>10370</v>
      </c>
      <c r="J4370" t="s">
        <v>35659</v>
      </c>
      <c r="K4370" t="s">
        <v>42297</v>
      </c>
      <c r="M4370" t="s">
        <v>44235</v>
      </c>
      <c r="N4370" t="s">
        <v>46569</v>
      </c>
      <c r="O4370" t="s">
        <v>46570</v>
      </c>
      <c r="P4370">
        <v>0</v>
      </c>
      <c r="Q4370">
        <v>1</v>
      </c>
      <c r="R4370" t="s">
        <v>46572</v>
      </c>
      <c r="S4370" t="s">
        <v>46689</v>
      </c>
      <c r="T4370" t="s">
        <v>48251</v>
      </c>
      <c r="U4370" t="s">
        <v>52373</v>
      </c>
      <c r="W4370" t="s">
        <v>44235</v>
      </c>
      <c r="X4370" t="s">
        <v>46573</v>
      </c>
    </row>
    <row r="4371" spans="1:24">
      <c r="A4371">
        <f>HYPERLINK("https://www.philgeps.gov.ph/GEPSNONPILOT/Tender/SplashBidNoticeAbstractUI.aspx?menuIndex=3&amp;refID=7064068&amp;Result=3","7064068")</f>
        <v>0</v>
      </c>
      <c r="B4371" t="s">
        <v>145</v>
      </c>
      <c r="C4371" t="s">
        <v>7713</v>
      </c>
      <c r="D4371" t="s">
        <v>18784</v>
      </c>
      <c r="E4371" t="s">
        <v>22821</v>
      </c>
      <c r="F4371" t="s">
        <v>32664</v>
      </c>
      <c r="G4371" t="s">
        <v>32672</v>
      </c>
      <c r="H4371" t="s">
        <v>12635</v>
      </c>
      <c r="I4371" t="s">
        <v>32707</v>
      </c>
      <c r="J4371" t="s">
        <v>35660</v>
      </c>
      <c r="K4371" t="s">
        <v>42283</v>
      </c>
      <c r="M4371" t="s">
        <v>44236</v>
      </c>
      <c r="N4371" t="s">
        <v>46569</v>
      </c>
      <c r="O4371" t="s">
        <v>46570</v>
      </c>
      <c r="P4371">
        <v>0</v>
      </c>
      <c r="Q4371">
        <v>1</v>
      </c>
      <c r="R4371" t="s">
        <v>46572</v>
      </c>
      <c r="S4371" t="s">
        <v>46689</v>
      </c>
      <c r="T4371" t="s">
        <v>48270</v>
      </c>
      <c r="U4371" t="s">
        <v>52374</v>
      </c>
      <c r="V4371" t="s">
        <v>62064</v>
      </c>
      <c r="W4371" t="s">
        <v>44236</v>
      </c>
      <c r="X4371" t="s">
        <v>46573</v>
      </c>
    </row>
    <row r="4372" spans="1:24">
      <c r="A4372">
        <f>HYPERLINK("https://www.philgeps.gov.ph/GEPSNONPILOT/Tender/SplashBidNoticeAbstractUI.aspx?menuIndex=3&amp;refID=7064067&amp;Result=3","7064067")</f>
        <v>0</v>
      </c>
      <c r="B4372" t="s">
        <v>1416</v>
      </c>
      <c r="C4372" t="s">
        <v>7714</v>
      </c>
      <c r="D4372" t="s">
        <v>18784</v>
      </c>
      <c r="E4372" t="s">
        <v>22822</v>
      </c>
      <c r="F4372" t="s">
        <v>32664</v>
      </c>
      <c r="G4372" t="s">
        <v>32671</v>
      </c>
      <c r="H4372" t="s">
        <v>12635</v>
      </c>
      <c r="I4372" t="s">
        <v>32704</v>
      </c>
      <c r="J4372" t="s">
        <v>33728</v>
      </c>
      <c r="K4372" t="s">
        <v>42281</v>
      </c>
      <c r="M4372" t="s">
        <v>44075</v>
      </c>
      <c r="N4372" t="s">
        <v>46569</v>
      </c>
      <c r="O4372" t="s">
        <v>46570</v>
      </c>
      <c r="P4372">
        <v>0</v>
      </c>
      <c r="Q4372">
        <v>7</v>
      </c>
      <c r="R4372" t="s">
        <v>46572</v>
      </c>
      <c r="S4372" t="s">
        <v>46689</v>
      </c>
      <c r="T4372" t="s">
        <v>48224</v>
      </c>
      <c r="U4372" t="s">
        <v>52375</v>
      </c>
      <c r="V4372" t="s">
        <v>62060</v>
      </c>
      <c r="W4372" t="s">
        <v>44075</v>
      </c>
      <c r="X4372" t="s">
        <v>46573</v>
      </c>
    </row>
    <row r="4373" spans="1:24">
      <c r="A4373">
        <f>HYPERLINK("https://www.philgeps.gov.ph/GEPSNONPILOT/Tender/SplashBidNoticeAbstractUI.aspx?menuIndex=3&amp;refID=7064076&amp;Result=3","7064076")</f>
        <v>0</v>
      </c>
      <c r="B4373" t="s">
        <v>1540</v>
      </c>
      <c r="C4373" t="s">
        <v>7715</v>
      </c>
      <c r="D4373" t="s">
        <v>18838</v>
      </c>
      <c r="E4373" t="s">
        <v>22823</v>
      </c>
      <c r="F4373" t="s">
        <v>32664</v>
      </c>
      <c r="G4373" t="s">
        <v>32671</v>
      </c>
      <c r="H4373" t="s">
        <v>12635</v>
      </c>
      <c r="I4373" t="s">
        <v>6628</v>
      </c>
      <c r="J4373" t="s">
        <v>33299</v>
      </c>
      <c r="K4373" t="s">
        <v>42283</v>
      </c>
      <c r="M4373" t="s">
        <v>44209</v>
      </c>
      <c r="N4373" t="s">
        <v>46569</v>
      </c>
      <c r="O4373" t="s">
        <v>46570</v>
      </c>
      <c r="P4373">
        <v>0</v>
      </c>
      <c r="Q4373">
        <v>1</v>
      </c>
      <c r="R4373" t="s">
        <v>46572</v>
      </c>
      <c r="S4373" t="s">
        <v>46689</v>
      </c>
      <c r="T4373" t="s">
        <v>48312</v>
      </c>
      <c r="U4373" t="s">
        <v>52376</v>
      </c>
      <c r="W4373" t="s">
        <v>44209</v>
      </c>
      <c r="X4373" t="s">
        <v>46573</v>
      </c>
    </row>
    <row r="4374" spans="1:24">
      <c r="A4374">
        <f>HYPERLINK("https://www.philgeps.gov.ph/GEPSNONPILOT/Tender/SplashBidNoticeAbstractUI.aspx?menuIndex=3&amp;refID=7064065&amp;Result=3","7064065")</f>
        <v>0</v>
      </c>
      <c r="B4374" t="s">
        <v>1416</v>
      </c>
      <c r="C4374" t="s">
        <v>7716</v>
      </c>
      <c r="D4374" t="s">
        <v>18784</v>
      </c>
      <c r="E4374" t="s">
        <v>22824</v>
      </c>
      <c r="F4374" t="s">
        <v>32664</v>
      </c>
      <c r="G4374" t="s">
        <v>32671</v>
      </c>
      <c r="H4374" t="s">
        <v>12635</v>
      </c>
      <c r="I4374" t="s">
        <v>32704</v>
      </c>
      <c r="J4374" t="s">
        <v>35661</v>
      </c>
      <c r="K4374" t="s">
        <v>42281</v>
      </c>
      <c r="M4374" t="s">
        <v>44075</v>
      </c>
      <c r="N4374" t="s">
        <v>46569</v>
      </c>
      <c r="O4374" t="s">
        <v>46570</v>
      </c>
      <c r="P4374">
        <v>0</v>
      </c>
      <c r="Q4374">
        <v>11</v>
      </c>
      <c r="R4374" t="s">
        <v>46572</v>
      </c>
      <c r="S4374" t="s">
        <v>46689</v>
      </c>
      <c r="T4374" t="s">
        <v>48211</v>
      </c>
      <c r="U4374" t="s">
        <v>52377</v>
      </c>
      <c r="V4374" t="s">
        <v>62060</v>
      </c>
      <c r="W4374" t="s">
        <v>44075</v>
      </c>
      <c r="X4374" t="s">
        <v>46573</v>
      </c>
    </row>
    <row r="4375" spans="1:24">
      <c r="A4375">
        <f>HYPERLINK("https://www.philgeps.gov.ph/GEPSNONPILOT/Tender/SplashBidNoticeAbstractUI.aspx?menuIndex=3&amp;refID=7064063&amp;Result=3","7064063")</f>
        <v>0</v>
      </c>
      <c r="B4375" t="s">
        <v>946</v>
      </c>
      <c r="C4375" t="s">
        <v>7717</v>
      </c>
      <c r="D4375" t="s">
        <v>18784</v>
      </c>
      <c r="E4375" t="s">
        <v>22825</v>
      </c>
      <c r="F4375" t="s">
        <v>32664</v>
      </c>
      <c r="G4375" t="s">
        <v>32672</v>
      </c>
      <c r="H4375" t="s">
        <v>12635</v>
      </c>
      <c r="I4375" t="s">
        <v>8797</v>
      </c>
      <c r="J4375" t="s">
        <v>35662</v>
      </c>
      <c r="K4375" t="s">
        <v>42284</v>
      </c>
      <c r="M4375" t="s">
        <v>43552</v>
      </c>
      <c r="N4375" t="s">
        <v>46569</v>
      </c>
      <c r="O4375" t="s">
        <v>46570</v>
      </c>
      <c r="P4375">
        <v>0</v>
      </c>
      <c r="Q4375">
        <v>2</v>
      </c>
      <c r="R4375" t="s">
        <v>46572</v>
      </c>
      <c r="S4375" t="s">
        <v>46689</v>
      </c>
      <c r="T4375" t="s">
        <v>48276</v>
      </c>
      <c r="U4375" t="s">
        <v>52378</v>
      </c>
      <c r="W4375" t="s">
        <v>43552</v>
      </c>
      <c r="X4375" t="s">
        <v>46573</v>
      </c>
    </row>
    <row r="4376" spans="1:24">
      <c r="A4376">
        <f>HYPERLINK("https://www.philgeps.gov.ph/GEPSNONPILOT/Tender/SplashBidNoticeAbstractUI.aspx?menuIndex=3&amp;refID=7064061&amp;Result=3","7064061")</f>
        <v>0</v>
      </c>
      <c r="B4376" t="s">
        <v>1397</v>
      </c>
      <c r="C4376" t="s">
        <v>7683</v>
      </c>
      <c r="D4376" t="s">
        <v>18803</v>
      </c>
      <c r="E4376" t="s">
        <v>21061</v>
      </c>
      <c r="F4376" t="s">
        <v>32664</v>
      </c>
      <c r="G4376" t="s">
        <v>32678</v>
      </c>
      <c r="H4376" t="s">
        <v>32681</v>
      </c>
      <c r="I4376" t="s">
        <v>32681</v>
      </c>
      <c r="J4376" t="s">
        <v>35639</v>
      </c>
      <c r="K4376" t="s">
        <v>42377</v>
      </c>
      <c r="M4376" t="s">
        <v>44054</v>
      </c>
      <c r="N4376" t="s">
        <v>46569</v>
      </c>
      <c r="O4376" t="s">
        <v>46570</v>
      </c>
      <c r="P4376">
        <v>0</v>
      </c>
      <c r="Q4376">
        <v>0</v>
      </c>
      <c r="R4376" t="s">
        <v>46572</v>
      </c>
      <c r="S4376" t="s">
        <v>46689</v>
      </c>
      <c r="T4376" t="s">
        <v>48315</v>
      </c>
      <c r="U4376" t="s">
        <v>52342</v>
      </c>
      <c r="W4376" t="s">
        <v>44054</v>
      </c>
      <c r="X4376" t="s">
        <v>46573</v>
      </c>
    </row>
    <row r="4377" spans="1:24">
      <c r="A4377">
        <f>HYPERLINK("https://www.philgeps.gov.ph/GEPSNONPILOT/Tender/SplashBidNoticeAbstractUI.aspx?menuIndex=3&amp;refID=7064064&amp;Result=3","7064064")</f>
        <v>0</v>
      </c>
      <c r="B4377" t="s">
        <v>227</v>
      </c>
      <c r="C4377" t="s">
        <v>7718</v>
      </c>
      <c r="D4377" t="s">
        <v>18784</v>
      </c>
      <c r="E4377" t="s">
        <v>22826</v>
      </c>
      <c r="F4377" t="s">
        <v>32664</v>
      </c>
      <c r="G4377" t="s">
        <v>32671</v>
      </c>
      <c r="H4377" t="s">
        <v>32681</v>
      </c>
      <c r="I4377" t="s">
        <v>32681</v>
      </c>
      <c r="J4377" t="s">
        <v>33069</v>
      </c>
      <c r="K4377" t="s">
        <v>42311</v>
      </c>
      <c r="M4377" t="s">
        <v>44231</v>
      </c>
      <c r="N4377" t="s">
        <v>46569</v>
      </c>
      <c r="O4377" t="s">
        <v>46570</v>
      </c>
      <c r="P4377">
        <v>0</v>
      </c>
      <c r="Q4377">
        <v>0</v>
      </c>
      <c r="R4377" t="s">
        <v>46572</v>
      </c>
      <c r="S4377" t="s">
        <v>46689</v>
      </c>
      <c r="T4377" t="s">
        <v>48256</v>
      </c>
      <c r="U4377" t="s">
        <v>52379</v>
      </c>
      <c r="W4377" t="s">
        <v>44231</v>
      </c>
      <c r="X4377" t="s">
        <v>46573</v>
      </c>
    </row>
    <row r="4378" spans="1:24">
      <c r="A4378">
        <f>HYPERLINK("https://www.philgeps.gov.ph/GEPSNONPILOT/Tender/SplashBidNoticeAbstractUI.aspx?menuIndex=3&amp;refID=7064060&amp;Result=3","7064060")</f>
        <v>0</v>
      </c>
      <c r="B4378" t="s">
        <v>225</v>
      </c>
      <c r="C4378" t="s">
        <v>7719</v>
      </c>
      <c r="D4378" t="s">
        <v>18784</v>
      </c>
      <c r="E4378" t="s">
        <v>22827</v>
      </c>
      <c r="F4378" t="s">
        <v>32664</v>
      </c>
      <c r="G4378" t="s">
        <v>32671</v>
      </c>
      <c r="H4378" t="s">
        <v>32681</v>
      </c>
      <c r="I4378" t="s">
        <v>32681</v>
      </c>
      <c r="J4378" t="s">
        <v>35127</v>
      </c>
      <c r="K4378" t="s">
        <v>42298</v>
      </c>
      <c r="M4378" t="s">
        <v>43870</v>
      </c>
      <c r="N4378" t="s">
        <v>46569</v>
      </c>
      <c r="O4378" t="s">
        <v>46570</v>
      </c>
      <c r="P4378">
        <v>0</v>
      </c>
      <c r="Q4378">
        <v>1</v>
      </c>
      <c r="R4378" t="s">
        <v>46572</v>
      </c>
      <c r="S4378" t="s">
        <v>46689</v>
      </c>
      <c r="T4378" t="s">
        <v>48276</v>
      </c>
      <c r="U4378" t="s">
        <v>52380</v>
      </c>
      <c r="V4378" t="s">
        <v>62065</v>
      </c>
      <c r="W4378" t="s">
        <v>43870</v>
      </c>
      <c r="X4378" t="s">
        <v>46573</v>
      </c>
    </row>
    <row r="4379" spans="1:24">
      <c r="A4379">
        <f>HYPERLINK("https://www.philgeps.gov.ph/GEPSNONPILOT/Tender/SplashBidNoticeAbstractUI.aspx?menuIndex=3&amp;refID=7064058&amp;Result=3","7064058")</f>
        <v>0</v>
      </c>
      <c r="B4379" t="s">
        <v>1015</v>
      </c>
      <c r="C4379" t="s">
        <v>7720</v>
      </c>
      <c r="D4379" t="s">
        <v>18804</v>
      </c>
      <c r="E4379" t="s">
        <v>22828</v>
      </c>
      <c r="F4379" t="s">
        <v>32664</v>
      </c>
      <c r="G4379" t="s">
        <v>32671</v>
      </c>
      <c r="H4379" t="s">
        <v>12635</v>
      </c>
      <c r="I4379" t="s">
        <v>4205</v>
      </c>
      <c r="J4379" t="s">
        <v>35200</v>
      </c>
      <c r="K4379" t="s">
        <v>42289</v>
      </c>
      <c r="M4379" t="s">
        <v>43627</v>
      </c>
      <c r="N4379" t="s">
        <v>46569</v>
      </c>
      <c r="O4379" t="s">
        <v>46570</v>
      </c>
      <c r="P4379">
        <v>0</v>
      </c>
      <c r="Q4379">
        <v>0</v>
      </c>
      <c r="R4379" t="s">
        <v>46572</v>
      </c>
      <c r="S4379" t="s">
        <v>46689</v>
      </c>
      <c r="T4379" t="s">
        <v>48256</v>
      </c>
      <c r="U4379" t="s">
        <v>52381</v>
      </c>
      <c r="W4379" t="s">
        <v>43627</v>
      </c>
      <c r="X4379" t="s">
        <v>46573</v>
      </c>
    </row>
    <row r="4380" spans="1:24">
      <c r="A4380">
        <f>HYPERLINK("https://www.philgeps.gov.ph/GEPSNONPILOT/Tender/SplashBidNoticeAbstractUI.aspx?menuIndex=3&amp;refID=7064057&amp;Result=3","7064057")</f>
        <v>0</v>
      </c>
      <c r="B4380" t="s">
        <v>1564</v>
      </c>
      <c r="C4380" t="s">
        <v>7721</v>
      </c>
      <c r="D4380" t="s">
        <v>18782</v>
      </c>
      <c r="E4380" t="s">
        <v>22829</v>
      </c>
      <c r="F4380" t="s">
        <v>32664</v>
      </c>
      <c r="G4380" t="s">
        <v>32671</v>
      </c>
      <c r="H4380" t="s">
        <v>12635</v>
      </c>
      <c r="I4380" t="s">
        <v>8849</v>
      </c>
      <c r="J4380" t="s">
        <v>33126</v>
      </c>
      <c r="K4380" t="s">
        <v>42289</v>
      </c>
      <c r="M4380" t="s">
        <v>44237</v>
      </c>
      <c r="N4380" t="s">
        <v>46569</v>
      </c>
      <c r="O4380" t="s">
        <v>46570</v>
      </c>
      <c r="P4380">
        <v>0</v>
      </c>
      <c r="Q4380">
        <v>3</v>
      </c>
      <c r="R4380" t="s">
        <v>46572</v>
      </c>
      <c r="S4380" t="s">
        <v>46689</v>
      </c>
      <c r="T4380" t="s">
        <v>48282</v>
      </c>
      <c r="U4380" t="s">
        <v>52382</v>
      </c>
      <c r="W4380" t="s">
        <v>44237</v>
      </c>
      <c r="X4380" t="s">
        <v>46573</v>
      </c>
    </row>
    <row r="4381" spans="1:24">
      <c r="A4381">
        <f>HYPERLINK("https://www.philgeps.gov.ph/GEPSNONPILOT/Tender/SplashBidNoticeAbstractUI.aspx?menuIndex=3&amp;refID=7064062&amp;Result=3","7064062")</f>
        <v>0</v>
      </c>
      <c r="B4381" t="s">
        <v>1528</v>
      </c>
      <c r="C4381" t="s">
        <v>7722</v>
      </c>
      <c r="D4381" t="s">
        <v>18789</v>
      </c>
      <c r="E4381" t="s">
        <v>18999</v>
      </c>
      <c r="F4381" t="s">
        <v>32664</v>
      </c>
      <c r="G4381" t="s">
        <v>32672</v>
      </c>
      <c r="H4381" t="s">
        <v>32682</v>
      </c>
      <c r="I4381" t="s">
        <v>4439</v>
      </c>
      <c r="J4381" t="s">
        <v>35663</v>
      </c>
      <c r="K4381" t="s">
        <v>42289</v>
      </c>
      <c r="M4381" t="s">
        <v>44195</v>
      </c>
      <c r="N4381" t="s">
        <v>46569</v>
      </c>
      <c r="O4381" t="s">
        <v>46570</v>
      </c>
      <c r="P4381">
        <v>0</v>
      </c>
      <c r="Q4381">
        <v>1</v>
      </c>
      <c r="R4381" t="s">
        <v>46572</v>
      </c>
      <c r="S4381" t="s">
        <v>46689</v>
      </c>
      <c r="T4381" t="s">
        <v>48285</v>
      </c>
      <c r="U4381" t="s">
        <v>52383</v>
      </c>
      <c r="V4381" t="s">
        <v>62054</v>
      </c>
      <c r="W4381" t="s">
        <v>44195</v>
      </c>
      <c r="X4381" t="s">
        <v>46573</v>
      </c>
    </row>
    <row r="4382" spans="1:24">
      <c r="A4382">
        <f>HYPERLINK("https://www.philgeps.gov.ph/GEPSNONPILOT/Tender/SplashBidNoticeAbstractUI.aspx?menuIndex=3&amp;refID=7063196&amp;Result=3","7063196")</f>
        <v>0</v>
      </c>
      <c r="B4382" t="s">
        <v>325</v>
      </c>
      <c r="C4382" t="s">
        <v>7723</v>
      </c>
      <c r="D4382" t="s">
        <v>18848</v>
      </c>
      <c r="E4382" t="s">
        <v>22830</v>
      </c>
      <c r="F4382" t="s">
        <v>32664</v>
      </c>
      <c r="G4382" t="s">
        <v>32671</v>
      </c>
      <c r="H4382" t="s">
        <v>12635</v>
      </c>
      <c r="I4382" t="s">
        <v>6223</v>
      </c>
      <c r="J4382" t="s">
        <v>35664</v>
      </c>
      <c r="K4382" t="s">
        <v>42297</v>
      </c>
      <c r="M4382" t="s">
        <v>42893</v>
      </c>
      <c r="N4382" t="s">
        <v>46569</v>
      </c>
      <c r="O4382" t="s">
        <v>46570</v>
      </c>
      <c r="P4382">
        <v>0</v>
      </c>
      <c r="Q4382">
        <v>1</v>
      </c>
      <c r="R4382" t="s">
        <v>46572</v>
      </c>
      <c r="S4382" t="s">
        <v>46689</v>
      </c>
      <c r="T4382" t="s">
        <v>48256</v>
      </c>
      <c r="U4382" t="s">
        <v>52384</v>
      </c>
      <c r="V4382" t="s">
        <v>61996</v>
      </c>
      <c r="W4382" t="s">
        <v>42893</v>
      </c>
      <c r="X4382" t="s">
        <v>46573</v>
      </c>
    </row>
    <row r="4383" spans="1:24">
      <c r="A4383">
        <f>HYPERLINK("https://www.philgeps.gov.ph/GEPSNONPILOT/Tender/SplashBidNoticeAbstractUI.aspx?menuIndex=3&amp;refID=7064019&amp;Result=3","7064019")</f>
        <v>0</v>
      </c>
      <c r="B4383" t="s">
        <v>1565</v>
      </c>
      <c r="C4383" t="s">
        <v>7724</v>
      </c>
      <c r="E4383" t="s">
        <v>22831</v>
      </c>
      <c r="F4383" t="s">
        <v>32664</v>
      </c>
      <c r="G4383" t="s">
        <v>32671</v>
      </c>
      <c r="H4383" t="s">
        <v>12635</v>
      </c>
      <c r="I4383" t="s">
        <v>4439</v>
      </c>
      <c r="J4383" t="s">
        <v>35665</v>
      </c>
      <c r="K4383" t="s">
        <v>42281</v>
      </c>
      <c r="M4383" t="s">
        <v>44238</v>
      </c>
      <c r="N4383" t="s">
        <v>46569</v>
      </c>
      <c r="O4383" t="s">
        <v>46570</v>
      </c>
      <c r="P4383">
        <v>0</v>
      </c>
      <c r="Q4383">
        <v>0</v>
      </c>
      <c r="R4383" t="s">
        <v>46572</v>
      </c>
      <c r="S4383" t="s">
        <v>46689</v>
      </c>
      <c r="T4383" t="s">
        <v>48219</v>
      </c>
      <c r="U4383" t="s">
        <v>52385</v>
      </c>
      <c r="W4383" t="s">
        <v>44238</v>
      </c>
      <c r="X4383" t="s">
        <v>46573</v>
      </c>
    </row>
    <row r="4384" spans="1:24">
      <c r="A4384">
        <f>HYPERLINK("https://www.philgeps.gov.ph/GEPSNONPILOT/Tender/SplashBidNoticeAbstractUI.aspx?menuIndex=3&amp;refID=7063180&amp;Result=3","7063180")</f>
        <v>0</v>
      </c>
      <c r="B4384" t="s">
        <v>1566</v>
      </c>
      <c r="C4384" t="s">
        <v>7725</v>
      </c>
      <c r="E4384" t="s">
        <v>22832</v>
      </c>
      <c r="F4384" t="s">
        <v>32664</v>
      </c>
      <c r="G4384" t="s">
        <v>32672</v>
      </c>
      <c r="H4384" t="s">
        <v>32681</v>
      </c>
      <c r="I4384" t="s">
        <v>32681</v>
      </c>
      <c r="J4384" t="s">
        <v>32859</v>
      </c>
      <c r="K4384" t="s">
        <v>42283</v>
      </c>
      <c r="M4384" t="s">
        <v>44239</v>
      </c>
      <c r="N4384" t="s">
        <v>46569</v>
      </c>
      <c r="O4384" t="s">
        <v>46570</v>
      </c>
      <c r="P4384">
        <v>0</v>
      </c>
      <c r="Q4384">
        <v>0</v>
      </c>
      <c r="R4384" t="s">
        <v>46572</v>
      </c>
      <c r="S4384" t="s">
        <v>46689</v>
      </c>
      <c r="T4384" t="s">
        <v>48330</v>
      </c>
      <c r="U4384" t="s">
        <v>52386</v>
      </c>
      <c r="W4384" t="s">
        <v>44239</v>
      </c>
      <c r="X4384" t="s">
        <v>46573</v>
      </c>
    </row>
    <row r="4385" spans="1:24">
      <c r="A4385">
        <f>HYPERLINK("https://www.philgeps.gov.ph/GEPSNONPILOT/Tender/SplashBidNoticeAbstractUI.aspx?menuIndex=3&amp;refID=7064066&amp;Result=3","7064066")</f>
        <v>0</v>
      </c>
      <c r="B4385" t="s">
        <v>1567</v>
      </c>
      <c r="C4385" t="s">
        <v>7726</v>
      </c>
      <c r="D4385" t="s">
        <v>18817</v>
      </c>
      <c r="E4385" t="s">
        <v>22833</v>
      </c>
      <c r="F4385" t="s">
        <v>32664</v>
      </c>
      <c r="G4385" t="s">
        <v>32672</v>
      </c>
      <c r="H4385" t="s">
        <v>32683</v>
      </c>
      <c r="I4385" t="s">
        <v>10627</v>
      </c>
      <c r="J4385" t="s">
        <v>32962</v>
      </c>
      <c r="K4385" t="s">
        <v>42298</v>
      </c>
      <c r="M4385" t="s">
        <v>44240</v>
      </c>
      <c r="N4385" t="s">
        <v>46569</v>
      </c>
      <c r="O4385" t="s">
        <v>46570</v>
      </c>
      <c r="P4385">
        <v>0</v>
      </c>
      <c r="Q4385">
        <v>0</v>
      </c>
      <c r="R4385" t="s">
        <v>46572</v>
      </c>
      <c r="S4385" t="s">
        <v>46689</v>
      </c>
      <c r="T4385" t="s">
        <v>48412</v>
      </c>
      <c r="U4385" t="s">
        <v>52387</v>
      </c>
      <c r="W4385" t="s">
        <v>44240</v>
      </c>
      <c r="X4385" t="s">
        <v>46573</v>
      </c>
    </row>
    <row r="4386" spans="1:24">
      <c r="A4386">
        <f>HYPERLINK("https://www.philgeps.gov.ph/GEPSNONPILOT/Tender/SplashBidNoticeAbstractUI.aspx?menuIndex=3&amp;refID=7063178&amp;Result=3","7063178")</f>
        <v>0</v>
      </c>
      <c r="B4386" t="s">
        <v>460</v>
      </c>
      <c r="C4386" t="s">
        <v>7727</v>
      </c>
      <c r="D4386" t="s">
        <v>18806</v>
      </c>
      <c r="E4386" t="s">
        <v>22834</v>
      </c>
      <c r="F4386" t="s">
        <v>32664</v>
      </c>
      <c r="G4386" t="s">
        <v>32672</v>
      </c>
      <c r="H4386" t="s">
        <v>12635</v>
      </c>
      <c r="I4386" t="s">
        <v>32704</v>
      </c>
      <c r="J4386" t="s">
        <v>35666</v>
      </c>
      <c r="K4386" t="s">
        <v>42330</v>
      </c>
      <c r="M4386" t="s">
        <v>43035</v>
      </c>
      <c r="N4386" t="s">
        <v>46569</v>
      </c>
      <c r="O4386" t="s">
        <v>46570</v>
      </c>
      <c r="P4386">
        <v>0</v>
      </c>
      <c r="Q4386">
        <v>2</v>
      </c>
      <c r="R4386" t="s">
        <v>46572</v>
      </c>
      <c r="S4386" t="s">
        <v>46689</v>
      </c>
      <c r="T4386" t="s">
        <v>48285</v>
      </c>
      <c r="U4386" t="s">
        <v>52388</v>
      </c>
      <c r="V4386" t="s">
        <v>61876</v>
      </c>
      <c r="W4386" t="s">
        <v>43035</v>
      </c>
      <c r="X4386" t="s">
        <v>46573</v>
      </c>
    </row>
    <row r="4387" spans="1:24">
      <c r="A4387">
        <f>HYPERLINK("https://www.philgeps.gov.ph/GEPSNONPILOT/Tender/SplashBidNoticeAbstractUI.aspx?menuIndex=3&amp;refID=7064101&amp;Result=3","7064101")</f>
        <v>0</v>
      </c>
      <c r="B4387" t="s">
        <v>225</v>
      </c>
      <c r="C4387" t="s">
        <v>7728</v>
      </c>
      <c r="D4387" t="s">
        <v>18784</v>
      </c>
      <c r="E4387" t="s">
        <v>22835</v>
      </c>
      <c r="F4387" t="s">
        <v>32664</v>
      </c>
      <c r="G4387" t="s">
        <v>32671</v>
      </c>
      <c r="H4387" t="s">
        <v>32681</v>
      </c>
      <c r="I4387" t="s">
        <v>32681</v>
      </c>
      <c r="J4387" t="s">
        <v>35667</v>
      </c>
      <c r="K4387" t="s">
        <v>42298</v>
      </c>
      <c r="M4387" t="s">
        <v>43870</v>
      </c>
      <c r="N4387" t="s">
        <v>46569</v>
      </c>
      <c r="O4387" t="s">
        <v>46570</v>
      </c>
      <c r="P4387">
        <v>0</v>
      </c>
      <c r="Q4387">
        <v>1</v>
      </c>
      <c r="R4387" t="s">
        <v>46572</v>
      </c>
      <c r="S4387" t="s">
        <v>46689</v>
      </c>
      <c r="T4387" t="s">
        <v>48276</v>
      </c>
      <c r="U4387" t="s">
        <v>52389</v>
      </c>
      <c r="V4387" t="s">
        <v>62066</v>
      </c>
      <c r="W4387" t="s">
        <v>43870</v>
      </c>
      <c r="X4387" t="s">
        <v>46573</v>
      </c>
    </row>
    <row r="4388" spans="1:24">
      <c r="A4388">
        <f>HYPERLINK("https://www.philgeps.gov.ph/GEPSNONPILOT/Tender/SplashBidNoticeAbstractUI.aspx?menuIndex=3&amp;refID=7064099&amp;Result=3","7064099")</f>
        <v>0</v>
      </c>
      <c r="B4388" t="s">
        <v>1540</v>
      </c>
      <c r="C4388" t="s">
        <v>7729</v>
      </c>
      <c r="D4388" t="s">
        <v>18838</v>
      </c>
      <c r="E4388" t="s">
        <v>22836</v>
      </c>
      <c r="F4388" t="s">
        <v>32664</v>
      </c>
      <c r="G4388" t="s">
        <v>32671</v>
      </c>
      <c r="H4388" t="s">
        <v>12635</v>
      </c>
      <c r="I4388" t="s">
        <v>5589</v>
      </c>
      <c r="J4388" t="s">
        <v>33147</v>
      </c>
      <c r="K4388" t="s">
        <v>42283</v>
      </c>
      <c r="M4388" t="s">
        <v>44209</v>
      </c>
      <c r="N4388" t="s">
        <v>46569</v>
      </c>
      <c r="O4388" t="s">
        <v>46570</v>
      </c>
      <c r="P4388">
        <v>0</v>
      </c>
      <c r="Q4388">
        <v>0</v>
      </c>
      <c r="R4388" t="s">
        <v>46572</v>
      </c>
      <c r="S4388" t="s">
        <v>46689</v>
      </c>
      <c r="T4388" t="s">
        <v>48312</v>
      </c>
      <c r="U4388" t="s">
        <v>52390</v>
      </c>
      <c r="W4388" t="s">
        <v>44209</v>
      </c>
      <c r="X4388" t="s">
        <v>46573</v>
      </c>
    </row>
    <row r="4389" spans="1:24">
      <c r="A4389">
        <f>HYPERLINK("https://www.philgeps.gov.ph/GEPSNONPILOT/Tender/SplashBidNoticeAbstractUI.aspx?menuIndex=3&amp;refID=7064072&amp;Result=3","7064072")</f>
        <v>0</v>
      </c>
      <c r="B4389" t="s">
        <v>1416</v>
      </c>
      <c r="C4389" t="s">
        <v>7730</v>
      </c>
      <c r="D4389" t="s">
        <v>18784</v>
      </c>
      <c r="E4389" t="s">
        <v>22837</v>
      </c>
      <c r="F4389" t="s">
        <v>32664</v>
      </c>
      <c r="G4389" t="s">
        <v>32671</v>
      </c>
      <c r="H4389" t="s">
        <v>12635</v>
      </c>
      <c r="I4389" t="s">
        <v>32704</v>
      </c>
      <c r="J4389" t="s">
        <v>35668</v>
      </c>
      <c r="K4389" t="s">
        <v>42281</v>
      </c>
      <c r="M4389" t="s">
        <v>44075</v>
      </c>
      <c r="N4389" t="s">
        <v>46569</v>
      </c>
      <c r="O4389" t="s">
        <v>46570</v>
      </c>
      <c r="P4389">
        <v>0</v>
      </c>
      <c r="Q4389">
        <v>16</v>
      </c>
      <c r="R4389" t="s">
        <v>46572</v>
      </c>
      <c r="S4389" t="s">
        <v>46689</v>
      </c>
      <c r="T4389" t="s">
        <v>48264</v>
      </c>
      <c r="U4389" t="s">
        <v>52391</v>
      </c>
      <c r="V4389" t="s">
        <v>62060</v>
      </c>
      <c r="W4389" t="s">
        <v>44075</v>
      </c>
      <c r="X4389" t="s">
        <v>46573</v>
      </c>
    </row>
    <row r="4390" spans="1:24">
      <c r="A4390">
        <f>HYPERLINK("https://www.philgeps.gov.ph/GEPSNONPILOT/Tender/SplashBidNoticeAbstractUI.aspx?menuIndex=3&amp;refID=7064096&amp;Result=3","7064096")</f>
        <v>0</v>
      </c>
      <c r="B4390" t="s">
        <v>946</v>
      </c>
      <c r="C4390" t="s">
        <v>7731</v>
      </c>
      <c r="D4390" t="s">
        <v>18784</v>
      </c>
      <c r="E4390" t="s">
        <v>22838</v>
      </c>
      <c r="F4390" t="s">
        <v>32664</v>
      </c>
      <c r="G4390" t="s">
        <v>32672</v>
      </c>
      <c r="H4390" t="s">
        <v>12635</v>
      </c>
      <c r="I4390" t="s">
        <v>6223</v>
      </c>
      <c r="J4390" t="s">
        <v>35669</v>
      </c>
      <c r="K4390" t="s">
        <v>42284</v>
      </c>
      <c r="M4390" t="s">
        <v>43552</v>
      </c>
      <c r="N4390" t="s">
        <v>46569</v>
      </c>
      <c r="O4390" t="s">
        <v>46570</v>
      </c>
      <c r="P4390">
        <v>0</v>
      </c>
      <c r="Q4390">
        <v>3</v>
      </c>
      <c r="R4390" t="s">
        <v>46572</v>
      </c>
      <c r="S4390" t="s">
        <v>46689</v>
      </c>
      <c r="T4390" t="s">
        <v>48276</v>
      </c>
      <c r="U4390" t="s">
        <v>52392</v>
      </c>
      <c r="W4390" t="s">
        <v>43552</v>
      </c>
      <c r="X4390" t="s">
        <v>46573</v>
      </c>
    </row>
    <row r="4391" spans="1:24">
      <c r="A4391">
        <f>HYPERLINK("https://www.philgeps.gov.ph/GEPSNONPILOT/Tender/SplashBidNoticeAbstractUI.aspx?menuIndex=3&amp;refID=7064070&amp;Result=3","7064070")</f>
        <v>0</v>
      </c>
      <c r="B4391" t="s">
        <v>225</v>
      </c>
      <c r="C4391" t="s">
        <v>7732</v>
      </c>
      <c r="D4391" t="s">
        <v>18784</v>
      </c>
      <c r="E4391" t="s">
        <v>22839</v>
      </c>
      <c r="F4391" t="s">
        <v>32664</v>
      </c>
      <c r="G4391" t="s">
        <v>32671</v>
      </c>
      <c r="H4391" t="s">
        <v>32681</v>
      </c>
      <c r="I4391" t="s">
        <v>32681</v>
      </c>
      <c r="J4391" t="s">
        <v>35670</v>
      </c>
      <c r="K4391" t="s">
        <v>42298</v>
      </c>
      <c r="M4391" t="s">
        <v>43870</v>
      </c>
      <c r="N4391" t="s">
        <v>46569</v>
      </c>
      <c r="O4391" t="s">
        <v>46570</v>
      </c>
      <c r="P4391">
        <v>0</v>
      </c>
      <c r="Q4391">
        <v>1</v>
      </c>
      <c r="R4391" t="s">
        <v>46572</v>
      </c>
      <c r="S4391" t="s">
        <v>46689</v>
      </c>
      <c r="T4391" t="s">
        <v>48276</v>
      </c>
      <c r="U4391" t="s">
        <v>52393</v>
      </c>
      <c r="V4391" t="s">
        <v>62067</v>
      </c>
      <c r="W4391" t="s">
        <v>43870</v>
      </c>
      <c r="X4391" t="s">
        <v>46573</v>
      </c>
    </row>
    <row r="4392" spans="1:24">
      <c r="A4392">
        <f>HYPERLINK("https://www.philgeps.gov.ph/GEPSNONPILOT/Tender/SplashBidNoticeAbstractUI.aspx?menuIndex=3&amp;refID=7064093&amp;Result=3","7064093")</f>
        <v>0</v>
      </c>
      <c r="B4392" t="s">
        <v>990</v>
      </c>
      <c r="C4392" t="s">
        <v>7733</v>
      </c>
      <c r="D4392" t="s">
        <v>18784</v>
      </c>
      <c r="E4392" t="s">
        <v>22840</v>
      </c>
      <c r="F4392" t="s">
        <v>32664</v>
      </c>
      <c r="G4392" t="s">
        <v>32672</v>
      </c>
      <c r="H4392" t="s">
        <v>12635</v>
      </c>
      <c r="I4392" t="s">
        <v>32740</v>
      </c>
      <c r="J4392" t="s">
        <v>35671</v>
      </c>
      <c r="K4392" t="s">
        <v>42283</v>
      </c>
      <c r="M4392" t="s">
        <v>44241</v>
      </c>
      <c r="N4392" t="s">
        <v>46569</v>
      </c>
      <c r="O4392" t="s">
        <v>46570</v>
      </c>
      <c r="P4392">
        <v>0</v>
      </c>
      <c r="Q4392">
        <v>2</v>
      </c>
      <c r="R4392" t="s">
        <v>46572</v>
      </c>
      <c r="S4392" t="s">
        <v>46689</v>
      </c>
      <c r="T4392" t="s">
        <v>48220</v>
      </c>
      <c r="U4392" t="s">
        <v>52394</v>
      </c>
      <c r="W4392" t="s">
        <v>44241</v>
      </c>
      <c r="X4392" t="s">
        <v>46573</v>
      </c>
    </row>
    <row r="4393" spans="1:24">
      <c r="A4393">
        <f>HYPERLINK("https://www.philgeps.gov.ph/GEPSNONPILOT/Tender/SplashBidNoticeAbstractUI.aspx?menuIndex=3&amp;refID=7064092&amp;Result=3","7064092")</f>
        <v>0</v>
      </c>
      <c r="B4393" t="s">
        <v>1568</v>
      </c>
      <c r="C4393" t="s">
        <v>7734</v>
      </c>
      <c r="D4393" t="s">
        <v>18830</v>
      </c>
      <c r="E4393" t="s">
        <v>20150</v>
      </c>
      <c r="F4393" t="s">
        <v>32664</v>
      </c>
      <c r="G4393" t="s">
        <v>32671</v>
      </c>
      <c r="H4393" t="s">
        <v>12635</v>
      </c>
      <c r="I4393" t="s">
        <v>32692</v>
      </c>
      <c r="J4393" t="s">
        <v>33107</v>
      </c>
      <c r="K4393" t="s">
        <v>42284</v>
      </c>
      <c r="M4393" t="s">
        <v>44242</v>
      </c>
      <c r="N4393" t="s">
        <v>46569</v>
      </c>
      <c r="O4393" t="s">
        <v>46570</v>
      </c>
      <c r="P4393">
        <v>0</v>
      </c>
      <c r="Q4393">
        <v>1</v>
      </c>
      <c r="R4393" t="s">
        <v>46572</v>
      </c>
      <c r="S4393" t="s">
        <v>46689</v>
      </c>
      <c r="T4393" t="s">
        <v>48256</v>
      </c>
      <c r="U4393" t="s">
        <v>52395</v>
      </c>
      <c r="V4393" t="s">
        <v>62068</v>
      </c>
      <c r="W4393" t="s">
        <v>44242</v>
      </c>
      <c r="X4393" t="s">
        <v>46573</v>
      </c>
    </row>
    <row r="4394" spans="1:24">
      <c r="A4394">
        <f>HYPERLINK("https://www.philgeps.gov.ph/GEPSNONPILOT/Tender/SplashBidNoticeAbstractUI.aspx?menuIndex=3&amp;refID=7064059&amp;Result=3","7064059")</f>
        <v>0</v>
      </c>
      <c r="B4394" t="s">
        <v>428</v>
      </c>
      <c r="C4394" t="s">
        <v>7735</v>
      </c>
      <c r="D4394" t="s">
        <v>18842</v>
      </c>
      <c r="E4394" t="s">
        <v>22841</v>
      </c>
      <c r="F4394" t="s">
        <v>32664</v>
      </c>
      <c r="G4394" t="s">
        <v>32672</v>
      </c>
      <c r="H4394" t="s">
        <v>32681</v>
      </c>
      <c r="I4394" t="s">
        <v>32681</v>
      </c>
      <c r="J4394" t="s">
        <v>32930</v>
      </c>
      <c r="K4394" t="s">
        <v>42401</v>
      </c>
      <c r="M4394" t="s">
        <v>44243</v>
      </c>
      <c r="N4394" t="s">
        <v>46569</v>
      </c>
      <c r="O4394" t="s">
        <v>46570</v>
      </c>
      <c r="Q4394">
        <v>1</v>
      </c>
      <c r="R4394" t="s">
        <v>46572</v>
      </c>
      <c r="S4394" t="s">
        <v>46702</v>
      </c>
      <c r="T4394" t="s">
        <v>48272</v>
      </c>
      <c r="U4394" t="s">
        <v>52396</v>
      </c>
      <c r="W4394" t="s">
        <v>44243</v>
      </c>
      <c r="X4394" t="s">
        <v>46573</v>
      </c>
    </row>
    <row r="4395" spans="1:24">
      <c r="A4395">
        <f>HYPERLINK("https://www.philgeps.gov.ph/GEPSNONPILOT/Tender/SplashBidNoticeAbstractUI.aspx?menuIndex=3&amp;refID=7064095&amp;Result=3","7064095")</f>
        <v>0</v>
      </c>
      <c r="B4395" t="s">
        <v>349</v>
      </c>
      <c r="C4395" t="s">
        <v>7736</v>
      </c>
      <c r="D4395" t="s">
        <v>18834</v>
      </c>
      <c r="E4395" t="s">
        <v>22842</v>
      </c>
      <c r="F4395" t="s">
        <v>32664</v>
      </c>
      <c r="G4395" t="s">
        <v>32671</v>
      </c>
      <c r="H4395" t="s">
        <v>12635</v>
      </c>
      <c r="I4395" t="s">
        <v>32701</v>
      </c>
      <c r="J4395" t="s">
        <v>35672</v>
      </c>
      <c r="K4395" t="s">
        <v>42281</v>
      </c>
      <c r="M4395" t="s">
        <v>42918</v>
      </c>
      <c r="N4395" t="s">
        <v>46569</v>
      </c>
      <c r="O4395" t="s">
        <v>46570</v>
      </c>
      <c r="P4395">
        <v>0</v>
      </c>
      <c r="Q4395">
        <v>2</v>
      </c>
      <c r="R4395" t="s">
        <v>46572</v>
      </c>
      <c r="S4395" t="s">
        <v>46689</v>
      </c>
      <c r="T4395" t="s">
        <v>48256</v>
      </c>
      <c r="U4395" t="s">
        <v>52397</v>
      </c>
      <c r="W4395" t="s">
        <v>63473</v>
      </c>
      <c r="X4395" t="s">
        <v>46573</v>
      </c>
    </row>
    <row r="4396" spans="1:24">
      <c r="A4396">
        <f>HYPERLINK("https://www.philgeps.gov.ph/GEPSNONPILOT/Tender/SplashBidNoticeAbstractUI.aspx?menuIndex=3&amp;refID=7064091&amp;Result=3","7064091")</f>
        <v>0</v>
      </c>
      <c r="B4396" t="s">
        <v>225</v>
      </c>
      <c r="C4396" t="s">
        <v>7737</v>
      </c>
      <c r="D4396" t="s">
        <v>18784</v>
      </c>
      <c r="E4396" t="s">
        <v>22843</v>
      </c>
      <c r="F4396" t="s">
        <v>32664</v>
      </c>
      <c r="G4396" t="s">
        <v>32671</v>
      </c>
      <c r="H4396" t="s">
        <v>32681</v>
      </c>
      <c r="I4396" t="s">
        <v>32681</v>
      </c>
      <c r="J4396" t="s">
        <v>35673</v>
      </c>
      <c r="K4396" t="s">
        <v>42298</v>
      </c>
      <c r="M4396" t="s">
        <v>43870</v>
      </c>
      <c r="N4396" t="s">
        <v>46569</v>
      </c>
      <c r="O4396" t="s">
        <v>46570</v>
      </c>
      <c r="P4396">
        <v>0</v>
      </c>
      <c r="Q4396">
        <v>1</v>
      </c>
      <c r="R4396" t="s">
        <v>46572</v>
      </c>
      <c r="S4396" t="s">
        <v>46689</v>
      </c>
      <c r="T4396" t="s">
        <v>48276</v>
      </c>
      <c r="U4396" t="s">
        <v>52398</v>
      </c>
      <c r="V4396" t="s">
        <v>62069</v>
      </c>
      <c r="W4396" t="s">
        <v>43870</v>
      </c>
      <c r="X4396" t="s">
        <v>46573</v>
      </c>
    </row>
    <row r="4397" spans="1:24">
      <c r="A4397">
        <f>HYPERLINK("https://www.philgeps.gov.ph/GEPSNONPILOT/Tender/SplashBidNoticeAbstractUI.aspx?menuIndex=3&amp;refID=7064090&amp;Result=3","7064090")</f>
        <v>0</v>
      </c>
      <c r="B4397" t="s">
        <v>1569</v>
      </c>
      <c r="C4397" t="s">
        <v>7738</v>
      </c>
      <c r="D4397" t="s">
        <v>18831</v>
      </c>
      <c r="E4397" t="s">
        <v>22844</v>
      </c>
      <c r="F4397" t="s">
        <v>32664</v>
      </c>
      <c r="G4397" t="s">
        <v>32671</v>
      </c>
      <c r="H4397" t="s">
        <v>12635</v>
      </c>
      <c r="I4397" t="s">
        <v>8797</v>
      </c>
      <c r="J4397" t="s">
        <v>33334</v>
      </c>
      <c r="K4397" t="s">
        <v>42289</v>
      </c>
      <c r="M4397" t="s">
        <v>44244</v>
      </c>
      <c r="N4397" t="s">
        <v>46569</v>
      </c>
      <c r="O4397" t="s">
        <v>46570</v>
      </c>
      <c r="P4397">
        <v>0</v>
      </c>
      <c r="Q4397">
        <v>3</v>
      </c>
      <c r="R4397" t="s">
        <v>46572</v>
      </c>
      <c r="S4397" t="s">
        <v>46689</v>
      </c>
      <c r="T4397" t="s">
        <v>48256</v>
      </c>
      <c r="U4397" t="s">
        <v>52399</v>
      </c>
      <c r="W4397" t="s">
        <v>44244</v>
      </c>
      <c r="X4397" t="s">
        <v>46573</v>
      </c>
    </row>
    <row r="4398" spans="1:24">
      <c r="A4398">
        <f>HYPERLINK("https://www.philgeps.gov.ph/GEPSNONPILOT/Tender/SplashBidNoticeAbstractUI.aspx?menuIndex=3&amp;refID=7063181&amp;Result=3","7063181")</f>
        <v>0</v>
      </c>
      <c r="B4398" t="s">
        <v>1088</v>
      </c>
      <c r="C4398" t="s">
        <v>7739</v>
      </c>
      <c r="D4398" t="s">
        <v>18804</v>
      </c>
      <c r="E4398" t="s">
        <v>22845</v>
      </c>
      <c r="F4398" t="s">
        <v>32664</v>
      </c>
      <c r="G4398" t="s">
        <v>32672</v>
      </c>
      <c r="H4398" t="s">
        <v>32683</v>
      </c>
      <c r="I4398" t="s">
        <v>10627</v>
      </c>
      <c r="J4398" t="s">
        <v>35674</v>
      </c>
      <c r="K4398" t="s">
        <v>42369</v>
      </c>
      <c r="M4398" t="s">
        <v>43714</v>
      </c>
      <c r="N4398" t="s">
        <v>46569</v>
      </c>
      <c r="O4398" t="s">
        <v>46570</v>
      </c>
      <c r="P4398">
        <v>0</v>
      </c>
      <c r="Q4398">
        <v>0</v>
      </c>
      <c r="R4398" t="s">
        <v>46572</v>
      </c>
      <c r="S4398" t="s">
        <v>46689</v>
      </c>
      <c r="T4398" t="s">
        <v>48222</v>
      </c>
      <c r="U4398" t="s">
        <v>51746</v>
      </c>
      <c r="V4398" t="s">
        <v>61896</v>
      </c>
      <c r="W4398" t="s">
        <v>43714</v>
      </c>
      <c r="X4398" t="s">
        <v>46573</v>
      </c>
    </row>
    <row r="4399" spans="1:24">
      <c r="A4399">
        <f>HYPERLINK("https://www.philgeps.gov.ph/GEPSNONPILOT/Tender/SplashBidNoticeAbstractUI.aspx?menuIndex=3&amp;refID=7064086&amp;Result=3","7064086")</f>
        <v>0</v>
      </c>
      <c r="B4399" t="s">
        <v>1015</v>
      </c>
      <c r="C4399" t="s">
        <v>7740</v>
      </c>
      <c r="D4399" t="s">
        <v>18804</v>
      </c>
      <c r="E4399" t="s">
        <v>22846</v>
      </c>
      <c r="F4399" t="s">
        <v>32664</v>
      </c>
      <c r="G4399" t="s">
        <v>32671</v>
      </c>
      <c r="H4399" t="s">
        <v>12635</v>
      </c>
      <c r="I4399" t="s">
        <v>8797</v>
      </c>
      <c r="J4399" t="s">
        <v>35675</v>
      </c>
      <c r="K4399" t="s">
        <v>42321</v>
      </c>
      <c r="M4399" t="s">
        <v>43627</v>
      </c>
      <c r="N4399" t="s">
        <v>46569</v>
      </c>
      <c r="O4399" t="s">
        <v>46570</v>
      </c>
      <c r="P4399">
        <v>0</v>
      </c>
      <c r="Q4399">
        <v>0</v>
      </c>
      <c r="R4399" t="s">
        <v>46572</v>
      </c>
      <c r="S4399" t="s">
        <v>46689</v>
      </c>
      <c r="T4399" t="s">
        <v>48256</v>
      </c>
      <c r="U4399" t="s">
        <v>52400</v>
      </c>
      <c r="W4399" t="s">
        <v>43627</v>
      </c>
      <c r="X4399" t="s">
        <v>46573</v>
      </c>
    </row>
    <row r="4400" spans="1:24">
      <c r="A4400">
        <f>HYPERLINK("https://www.philgeps.gov.ph/GEPSNONPILOT/Tender/SplashBidNoticeAbstractUI.aspx?menuIndex=3&amp;refID=7064034&amp;Result=3","7064034")</f>
        <v>0</v>
      </c>
      <c r="B4400" t="s">
        <v>1540</v>
      </c>
      <c r="C4400" t="s">
        <v>7741</v>
      </c>
      <c r="D4400" t="s">
        <v>18838</v>
      </c>
      <c r="E4400" t="s">
        <v>22847</v>
      </c>
      <c r="F4400" t="s">
        <v>32664</v>
      </c>
      <c r="G4400" t="s">
        <v>32671</v>
      </c>
      <c r="H4400" t="s">
        <v>12635</v>
      </c>
      <c r="I4400" t="s">
        <v>32706</v>
      </c>
      <c r="J4400" t="s">
        <v>32853</v>
      </c>
      <c r="K4400" t="s">
        <v>42283</v>
      </c>
      <c r="M4400" t="s">
        <v>44209</v>
      </c>
      <c r="N4400" t="s">
        <v>46569</v>
      </c>
      <c r="O4400" t="s">
        <v>46570</v>
      </c>
      <c r="P4400">
        <v>0</v>
      </c>
      <c r="Q4400">
        <v>1</v>
      </c>
      <c r="R4400" t="s">
        <v>46572</v>
      </c>
      <c r="S4400" t="s">
        <v>46689</v>
      </c>
      <c r="T4400" t="s">
        <v>48312</v>
      </c>
      <c r="U4400" t="s">
        <v>52401</v>
      </c>
      <c r="W4400" t="s">
        <v>44209</v>
      </c>
      <c r="X4400" t="s">
        <v>46573</v>
      </c>
    </row>
    <row r="4401" spans="1:24">
      <c r="A4401">
        <f>HYPERLINK("https://www.philgeps.gov.ph/GEPSNONPILOT/Tender/SplashBidNoticeAbstractUI.aspx?menuIndex=3&amp;refID=7064085&amp;Result=3","7064085")</f>
        <v>0</v>
      </c>
      <c r="B4401" t="s">
        <v>1570</v>
      </c>
      <c r="C4401" t="s">
        <v>7742</v>
      </c>
      <c r="D4401" t="s">
        <v>18808</v>
      </c>
      <c r="E4401" t="s">
        <v>22848</v>
      </c>
      <c r="F4401" t="s">
        <v>32664</v>
      </c>
      <c r="G4401" t="s">
        <v>32672</v>
      </c>
      <c r="H4401" t="s">
        <v>12635</v>
      </c>
      <c r="I4401" t="s">
        <v>6223</v>
      </c>
      <c r="J4401" t="s">
        <v>35676</v>
      </c>
      <c r="K4401" t="s">
        <v>42330</v>
      </c>
      <c r="M4401" t="s">
        <v>44245</v>
      </c>
      <c r="N4401" t="s">
        <v>46569</v>
      </c>
      <c r="O4401" t="s">
        <v>46570</v>
      </c>
      <c r="P4401">
        <v>0</v>
      </c>
      <c r="Q4401">
        <v>2</v>
      </c>
      <c r="R4401" t="s">
        <v>46572</v>
      </c>
      <c r="S4401" t="s">
        <v>46689</v>
      </c>
      <c r="T4401" t="s">
        <v>48377</v>
      </c>
      <c r="U4401" t="s">
        <v>52402</v>
      </c>
      <c r="V4401" t="s">
        <v>62070</v>
      </c>
      <c r="W4401" t="s">
        <v>63522</v>
      </c>
      <c r="X4401" t="s">
        <v>46573</v>
      </c>
    </row>
    <row r="4402" spans="1:24">
      <c r="A4402">
        <f>HYPERLINK("https://www.philgeps.gov.ph/GEPSNONPILOT/Tender/SplashBidNoticeAbstractUI.aspx?menuIndex=3&amp;refID=7064083&amp;Result=3","7064083")</f>
        <v>0</v>
      </c>
      <c r="B4402" t="s">
        <v>1565</v>
      </c>
      <c r="C4402" t="s">
        <v>7743</v>
      </c>
      <c r="E4402" t="s">
        <v>22849</v>
      </c>
      <c r="F4402" t="s">
        <v>32664</v>
      </c>
      <c r="G4402" t="s">
        <v>32671</v>
      </c>
      <c r="H4402" t="s">
        <v>12635</v>
      </c>
      <c r="I4402" t="s">
        <v>4439</v>
      </c>
      <c r="J4402" t="s">
        <v>35677</v>
      </c>
      <c r="K4402" t="s">
        <v>42289</v>
      </c>
      <c r="M4402" t="s">
        <v>44238</v>
      </c>
      <c r="N4402" t="s">
        <v>46569</v>
      </c>
      <c r="O4402" t="s">
        <v>46570</v>
      </c>
      <c r="P4402">
        <v>0</v>
      </c>
      <c r="Q4402">
        <v>0</v>
      </c>
      <c r="R4402" t="s">
        <v>46572</v>
      </c>
      <c r="S4402" t="s">
        <v>46689</v>
      </c>
      <c r="T4402" t="s">
        <v>48219</v>
      </c>
      <c r="U4402" t="s">
        <v>52403</v>
      </c>
      <c r="W4402" t="s">
        <v>44238</v>
      </c>
      <c r="X4402" t="s">
        <v>46573</v>
      </c>
    </row>
    <row r="4403" spans="1:24">
      <c r="A4403">
        <f>HYPERLINK("https://www.philgeps.gov.ph/GEPSNONPILOT/Tender/SplashBidNoticeAbstractUI.aspx?menuIndex=3&amp;refID=7064081&amp;Result=3","7064081")</f>
        <v>0</v>
      </c>
      <c r="B4403" t="s">
        <v>227</v>
      </c>
      <c r="C4403" t="s">
        <v>7744</v>
      </c>
      <c r="D4403" t="s">
        <v>18784</v>
      </c>
      <c r="E4403" t="s">
        <v>22850</v>
      </c>
      <c r="F4403" t="s">
        <v>32664</v>
      </c>
      <c r="G4403" t="s">
        <v>32671</v>
      </c>
      <c r="H4403" t="s">
        <v>12635</v>
      </c>
      <c r="I4403" t="s">
        <v>32681</v>
      </c>
      <c r="J4403" t="s">
        <v>33069</v>
      </c>
      <c r="K4403" t="s">
        <v>42311</v>
      </c>
      <c r="M4403" t="s">
        <v>44231</v>
      </c>
      <c r="N4403" t="s">
        <v>46569</v>
      </c>
      <c r="O4403" t="s">
        <v>46570</v>
      </c>
      <c r="P4403">
        <v>0</v>
      </c>
      <c r="Q4403">
        <v>0</v>
      </c>
      <c r="R4403" t="s">
        <v>46572</v>
      </c>
      <c r="S4403" t="s">
        <v>46689</v>
      </c>
      <c r="T4403" t="s">
        <v>48256</v>
      </c>
      <c r="U4403" t="s">
        <v>52404</v>
      </c>
      <c r="W4403" t="s">
        <v>44231</v>
      </c>
      <c r="X4403" t="s">
        <v>46573</v>
      </c>
    </row>
    <row r="4404" spans="1:24">
      <c r="A4404">
        <f>HYPERLINK("https://www.philgeps.gov.ph/GEPSNONPILOT/Tender/SplashBidNoticeAbstractUI.aspx?menuIndex=3&amp;refID=7064080&amp;Result=3","7064080")</f>
        <v>0</v>
      </c>
      <c r="B4404" t="s">
        <v>946</v>
      </c>
      <c r="C4404" t="s">
        <v>7745</v>
      </c>
      <c r="D4404" t="s">
        <v>18784</v>
      </c>
      <c r="E4404" t="s">
        <v>22851</v>
      </c>
      <c r="F4404" t="s">
        <v>32664</v>
      </c>
      <c r="G4404" t="s">
        <v>32672</v>
      </c>
      <c r="H4404" t="s">
        <v>12635</v>
      </c>
      <c r="I4404" t="s">
        <v>9486</v>
      </c>
      <c r="J4404" t="s">
        <v>35678</v>
      </c>
      <c r="K4404" t="s">
        <v>42284</v>
      </c>
      <c r="M4404" t="s">
        <v>43552</v>
      </c>
      <c r="N4404" t="s">
        <v>46569</v>
      </c>
      <c r="O4404" t="s">
        <v>46570</v>
      </c>
      <c r="P4404">
        <v>0</v>
      </c>
      <c r="Q4404">
        <v>2</v>
      </c>
      <c r="R4404" t="s">
        <v>46572</v>
      </c>
      <c r="S4404" t="s">
        <v>46689</v>
      </c>
      <c r="T4404" t="s">
        <v>48276</v>
      </c>
      <c r="U4404" t="s">
        <v>52405</v>
      </c>
      <c r="W4404" t="s">
        <v>43552</v>
      </c>
      <c r="X4404" t="s">
        <v>46573</v>
      </c>
    </row>
    <row r="4405" spans="1:24">
      <c r="A4405">
        <f>HYPERLINK("https://www.philgeps.gov.ph/GEPSNONPILOT/Tender/SplashBidNoticeAbstractUI.aspx?menuIndex=3&amp;refID=7064078&amp;Result=3","7064078")</f>
        <v>0</v>
      </c>
      <c r="B4405" t="s">
        <v>1571</v>
      </c>
      <c r="C4405" t="s">
        <v>7746</v>
      </c>
      <c r="D4405" t="s">
        <v>18832</v>
      </c>
      <c r="E4405" t="s">
        <v>21695</v>
      </c>
      <c r="F4405" t="s">
        <v>32664</v>
      </c>
      <c r="G4405" t="s">
        <v>32671</v>
      </c>
      <c r="H4405" t="s">
        <v>12635</v>
      </c>
      <c r="I4405" t="s">
        <v>10361</v>
      </c>
      <c r="J4405" t="s">
        <v>35679</v>
      </c>
      <c r="K4405" t="s">
        <v>42289</v>
      </c>
      <c r="M4405" t="s">
        <v>44246</v>
      </c>
      <c r="N4405" t="s">
        <v>46569</v>
      </c>
      <c r="O4405" t="s">
        <v>46570</v>
      </c>
      <c r="P4405">
        <v>0</v>
      </c>
      <c r="Q4405">
        <v>0</v>
      </c>
      <c r="R4405" t="s">
        <v>46572</v>
      </c>
      <c r="S4405" t="s">
        <v>46689</v>
      </c>
      <c r="T4405" t="s">
        <v>48244</v>
      </c>
      <c r="U4405" t="s">
        <v>52406</v>
      </c>
      <c r="W4405" t="s">
        <v>44246</v>
      </c>
      <c r="X4405" t="s">
        <v>46573</v>
      </c>
    </row>
    <row r="4406" spans="1:24">
      <c r="A4406">
        <f>HYPERLINK("https://www.philgeps.gov.ph/GEPSNONPILOT/Tender/SplashBidNoticeAbstractUI.aspx?menuIndex=3&amp;refID=7064124&amp;Result=3","7064124")</f>
        <v>0</v>
      </c>
      <c r="B4406" t="s">
        <v>1572</v>
      </c>
      <c r="C4406" t="s">
        <v>7747</v>
      </c>
      <c r="D4406" t="s">
        <v>18798</v>
      </c>
      <c r="E4406" t="s">
        <v>22852</v>
      </c>
      <c r="F4406" t="s">
        <v>32664</v>
      </c>
      <c r="G4406" t="s">
        <v>32674</v>
      </c>
      <c r="H4406" t="s">
        <v>12635</v>
      </c>
      <c r="I4406" t="s">
        <v>6628</v>
      </c>
      <c r="J4406" t="s">
        <v>32898</v>
      </c>
      <c r="K4406" t="s">
        <v>42289</v>
      </c>
      <c r="M4406" t="s">
        <v>44247</v>
      </c>
      <c r="N4406" t="s">
        <v>46569</v>
      </c>
      <c r="O4406" t="s">
        <v>46570</v>
      </c>
      <c r="P4406">
        <v>0</v>
      </c>
      <c r="Q4406">
        <v>4</v>
      </c>
      <c r="R4406" t="s">
        <v>46572</v>
      </c>
      <c r="S4406" t="s">
        <v>46689</v>
      </c>
      <c r="T4406" t="s">
        <v>48280</v>
      </c>
      <c r="U4406" t="s">
        <v>52407</v>
      </c>
      <c r="V4406" t="s">
        <v>62071</v>
      </c>
      <c r="W4406" t="s">
        <v>44247</v>
      </c>
      <c r="X4406" t="s">
        <v>46573</v>
      </c>
    </row>
    <row r="4407" spans="1:24">
      <c r="A4407">
        <f>HYPERLINK("https://www.philgeps.gov.ph/GEPSNONPILOT/Tender/SplashBidNoticeAbstractUI.aspx?menuIndex=3&amp;refID=7064123&amp;Result=3","7064123")</f>
        <v>0</v>
      </c>
      <c r="B4407" t="s">
        <v>1573</v>
      </c>
      <c r="C4407" t="s">
        <v>7748</v>
      </c>
      <c r="D4407" t="s">
        <v>18787</v>
      </c>
      <c r="E4407" t="s">
        <v>19259</v>
      </c>
      <c r="F4407" t="s">
        <v>32664</v>
      </c>
      <c r="G4407" t="s">
        <v>32674</v>
      </c>
      <c r="H4407" t="s">
        <v>12635</v>
      </c>
      <c r="I4407" t="s">
        <v>32731</v>
      </c>
      <c r="J4407" t="s">
        <v>32842</v>
      </c>
      <c r="K4407" t="s">
        <v>42284</v>
      </c>
      <c r="M4407" t="s">
        <v>44248</v>
      </c>
      <c r="N4407" t="s">
        <v>46569</v>
      </c>
      <c r="O4407" t="s">
        <v>46570</v>
      </c>
      <c r="P4407">
        <v>0</v>
      </c>
      <c r="Q4407">
        <v>0</v>
      </c>
      <c r="R4407" t="s">
        <v>46572</v>
      </c>
      <c r="S4407" t="s">
        <v>46689</v>
      </c>
      <c r="T4407" t="s">
        <v>48305</v>
      </c>
      <c r="U4407" t="s">
        <v>52408</v>
      </c>
      <c r="W4407" t="s">
        <v>44248</v>
      </c>
      <c r="X4407" t="s">
        <v>46573</v>
      </c>
    </row>
    <row r="4408" spans="1:24">
      <c r="A4408">
        <f>HYPERLINK("https://www.philgeps.gov.ph/GEPSNONPILOT/Tender/SplashBidNoticeAbstractUI.aspx?menuIndex=3&amp;refID=7064122&amp;Result=3","7064122")</f>
        <v>0</v>
      </c>
      <c r="B4408" t="s">
        <v>1574</v>
      </c>
      <c r="C4408" t="s">
        <v>7749</v>
      </c>
      <c r="D4408" t="s">
        <v>18830</v>
      </c>
      <c r="E4408" t="s">
        <v>22853</v>
      </c>
      <c r="F4408" t="s">
        <v>32664</v>
      </c>
      <c r="G4408" t="s">
        <v>32672</v>
      </c>
      <c r="H4408" t="s">
        <v>32683</v>
      </c>
      <c r="I4408" t="s">
        <v>10627</v>
      </c>
      <c r="J4408" t="s">
        <v>33021</v>
      </c>
      <c r="K4408" t="s">
        <v>42281</v>
      </c>
      <c r="M4408" t="s">
        <v>44249</v>
      </c>
      <c r="N4408" t="s">
        <v>46569</v>
      </c>
      <c r="O4408" t="s">
        <v>46570</v>
      </c>
      <c r="P4408">
        <v>0</v>
      </c>
      <c r="Q4408">
        <v>0</v>
      </c>
      <c r="R4408" t="s">
        <v>46572</v>
      </c>
      <c r="S4408" t="s">
        <v>46689</v>
      </c>
      <c r="T4408" t="s">
        <v>48220</v>
      </c>
      <c r="U4408" t="s">
        <v>52409</v>
      </c>
      <c r="V4408" t="s">
        <v>62072</v>
      </c>
      <c r="W4408" t="s">
        <v>44249</v>
      </c>
      <c r="X4408" t="s">
        <v>46573</v>
      </c>
    </row>
    <row r="4409" spans="1:24">
      <c r="A4409">
        <f>HYPERLINK("https://www.philgeps.gov.ph/GEPSNONPILOT/Tender/SplashBidNoticeAbstractUI.aspx?menuIndex=3&amp;refID=7064082&amp;Result=3","7064082")</f>
        <v>0</v>
      </c>
      <c r="B4409" t="s">
        <v>215</v>
      </c>
      <c r="C4409" t="s">
        <v>7750</v>
      </c>
      <c r="D4409" t="s">
        <v>18837</v>
      </c>
      <c r="E4409" t="s">
        <v>22854</v>
      </c>
      <c r="F4409" t="s">
        <v>32664</v>
      </c>
      <c r="G4409" t="s">
        <v>32671</v>
      </c>
      <c r="H4409" t="s">
        <v>12635</v>
      </c>
      <c r="I4409" t="s">
        <v>6628</v>
      </c>
      <c r="J4409" t="s">
        <v>32974</v>
      </c>
      <c r="K4409" t="s">
        <v>42289</v>
      </c>
      <c r="M4409" t="s">
        <v>42779</v>
      </c>
      <c r="N4409" t="s">
        <v>46569</v>
      </c>
      <c r="O4409" t="s">
        <v>46570</v>
      </c>
      <c r="P4409">
        <v>0</v>
      </c>
      <c r="Q4409">
        <v>5</v>
      </c>
      <c r="R4409" t="s">
        <v>46572</v>
      </c>
      <c r="S4409" t="s">
        <v>46689</v>
      </c>
      <c r="T4409" t="s">
        <v>48282</v>
      </c>
      <c r="U4409" t="s">
        <v>52410</v>
      </c>
      <c r="W4409" t="s">
        <v>42779</v>
      </c>
      <c r="X4409" t="s">
        <v>46573</v>
      </c>
    </row>
    <row r="4410" spans="1:24">
      <c r="A4410">
        <f>HYPERLINK("https://www.philgeps.gov.ph/GEPSNONPILOT/Tender/SplashBidNoticeAbstractUI.aspx?menuIndex=3&amp;refID=7064121&amp;Result=3","7064121")</f>
        <v>0</v>
      </c>
      <c r="B4410" t="s">
        <v>1562</v>
      </c>
      <c r="C4410" t="s">
        <v>7751</v>
      </c>
      <c r="D4410" t="s">
        <v>18805</v>
      </c>
      <c r="E4410" t="s">
        <v>22855</v>
      </c>
      <c r="F4410" t="s">
        <v>32664</v>
      </c>
      <c r="G4410" t="s">
        <v>32672</v>
      </c>
      <c r="H4410" t="s">
        <v>32682</v>
      </c>
      <c r="I4410" t="s">
        <v>4439</v>
      </c>
      <c r="J4410" t="s">
        <v>33267</v>
      </c>
      <c r="K4410" t="s">
        <v>42281</v>
      </c>
      <c r="M4410" t="s">
        <v>44234</v>
      </c>
      <c r="N4410" t="s">
        <v>46569</v>
      </c>
      <c r="O4410" t="s">
        <v>46570</v>
      </c>
      <c r="P4410">
        <v>0</v>
      </c>
      <c r="Q4410">
        <v>0</v>
      </c>
      <c r="R4410" t="s">
        <v>46572</v>
      </c>
      <c r="S4410" t="s">
        <v>46689</v>
      </c>
      <c r="T4410" t="s">
        <v>48304</v>
      </c>
      <c r="U4410" t="s">
        <v>52411</v>
      </c>
      <c r="W4410" t="s">
        <v>44234</v>
      </c>
      <c r="X4410" t="s">
        <v>46573</v>
      </c>
    </row>
    <row r="4411" spans="1:24">
      <c r="A4411">
        <f>HYPERLINK("https://www.philgeps.gov.ph/GEPSNONPILOT/Tender/SplashBidNoticeAbstractUI.aspx?menuIndex=3&amp;refID=7064088&amp;Result=3","7064088")</f>
        <v>0</v>
      </c>
      <c r="B4411" t="s">
        <v>1575</v>
      </c>
      <c r="C4411" t="s">
        <v>7752</v>
      </c>
      <c r="D4411" t="s">
        <v>18794</v>
      </c>
      <c r="E4411" t="s">
        <v>22856</v>
      </c>
      <c r="F4411" t="s">
        <v>32664</v>
      </c>
      <c r="G4411" t="s">
        <v>32672</v>
      </c>
      <c r="H4411" t="s">
        <v>32682</v>
      </c>
      <c r="I4411" t="s">
        <v>32731</v>
      </c>
      <c r="J4411" t="s">
        <v>35680</v>
      </c>
      <c r="K4411" t="s">
        <v>42348</v>
      </c>
      <c r="M4411" t="s">
        <v>44250</v>
      </c>
      <c r="N4411" t="s">
        <v>46569</v>
      </c>
      <c r="O4411" t="s">
        <v>46570</v>
      </c>
      <c r="P4411">
        <v>0</v>
      </c>
      <c r="Q4411">
        <v>1</v>
      </c>
      <c r="R4411" t="s">
        <v>46572</v>
      </c>
      <c r="S4411" t="s">
        <v>46689</v>
      </c>
      <c r="T4411" t="s">
        <v>48275</v>
      </c>
      <c r="U4411" t="s">
        <v>52412</v>
      </c>
      <c r="W4411" t="s">
        <v>44250</v>
      </c>
      <c r="X4411" t="s">
        <v>46573</v>
      </c>
    </row>
    <row r="4412" spans="1:24">
      <c r="A4412">
        <f>HYPERLINK("https://www.philgeps.gov.ph/GEPSNONPILOT/Tender/SplashBidNoticeAbstractUI.aspx?menuIndex=3&amp;refID=7064117&amp;Result=3","7064117")</f>
        <v>0</v>
      </c>
      <c r="B4412" t="s">
        <v>1565</v>
      </c>
      <c r="C4412" t="s">
        <v>7753</v>
      </c>
      <c r="E4412" t="s">
        <v>22857</v>
      </c>
      <c r="F4412" t="s">
        <v>32664</v>
      </c>
      <c r="G4412" t="s">
        <v>32671</v>
      </c>
      <c r="H4412" t="s">
        <v>12635</v>
      </c>
      <c r="I4412" t="s">
        <v>7324</v>
      </c>
      <c r="J4412" t="s">
        <v>35681</v>
      </c>
      <c r="K4412" t="s">
        <v>42283</v>
      </c>
      <c r="M4412" t="s">
        <v>44238</v>
      </c>
      <c r="N4412" t="s">
        <v>46569</v>
      </c>
      <c r="O4412" t="s">
        <v>46570</v>
      </c>
      <c r="P4412">
        <v>0</v>
      </c>
      <c r="Q4412">
        <v>0</v>
      </c>
      <c r="R4412" t="s">
        <v>46572</v>
      </c>
      <c r="S4412" t="s">
        <v>46689</v>
      </c>
      <c r="T4412" t="s">
        <v>48219</v>
      </c>
      <c r="U4412" t="s">
        <v>52413</v>
      </c>
      <c r="W4412" t="s">
        <v>44238</v>
      </c>
      <c r="X4412" t="s">
        <v>46573</v>
      </c>
    </row>
    <row r="4413" spans="1:24">
      <c r="A4413">
        <f>HYPERLINK("https://www.philgeps.gov.ph/GEPSNONPILOT/Tender/SplashBidNoticeAbstractUI.aspx?menuIndex=3&amp;refID=7064087&amp;Result=3","7064087")</f>
        <v>0</v>
      </c>
      <c r="B4413" t="s">
        <v>946</v>
      </c>
      <c r="C4413" t="s">
        <v>7754</v>
      </c>
      <c r="D4413" t="s">
        <v>18784</v>
      </c>
      <c r="E4413" t="s">
        <v>22858</v>
      </c>
      <c r="F4413" t="s">
        <v>32664</v>
      </c>
      <c r="G4413" t="s">
        <v>32672</v>
      </c>
      <c r="H4413" t="s">
        <v>12635</v>
      </c>
      <c r="I4413" t="s">
        <v>6223</v>
      </c>
      <c r="J4413" t="s">
        <v>35682</v>
      </c>
      <c r="K4413" t="s">
        <v>42284</v>
      </c>
      <c r="M4413" t="s">
        <v>43552</v>
      </c>
      <c r="N4413" t="s">
        <v>46569</v>
      </c>
      <c r="O4413" t="s">
        <v>46570</v>
      </c>
      <c r="P4413">
        <v>0</v>
      </c>
      <c r="Q4413">
        <v>2</v>
      </c>
      <c r="R4413" t="s">
        <v>46572</v>
      </c>
      <c r="S4413" t="s">
        <v>46689</v>
      </c>
      <c r="T4413" t="s">
        <v>48276</v>
      </c>
      <c r="U4413" t="s">
        <v>49890</v>
      </c>
      <c r="W4413" t="s">
        <v>43552</v>
      </c>
      <c r="X4413" t="s">
        <v>46573</v>
      </c>
    </row>
    <row r="4414" spans="1:24">
      <c r="A4414">
        <f>HYPERLINK("https://www.philgeps.gov.ph/GEPSNONPILOT/Tender/SplashBidNoticeAbstractUI.aspx?menuIndex=3&amp;refID=7064116&amp;Result=3","7064116")</f>
        <v>0</v>
      </c>
      <c r="B4414" t="s">
        <v>946</v>
      </c>
      <c r="C4414" t="s">
        <v>7755</v>
      </c>
      <c r="D4414" t="s">
        <v>18784</v>
      </c>
      <c r="E4414" t="s">
        <v>22859</v>
      </c>
      <c r="F4414" t="s">
        <v>32664</v>
      </c>
      <c r="G4414" t="s">
        <v>32672</v>
      </c>
      <c r="H4414" t="s">
        <v>12635</v>
      </c>
      <c r="I4414" t="s">
        <v>32754</v>
      </c>
      <c r="J4414" t="s">
        <v>32981</v>
      </c>
      <c r="K4414" t="s">
        <v>42284</v>
      </c>
      <c r="M4414" t="s">
        <v>43552</v>
      </c>
      <c r="N4414" t="s">
        <v>46569</v>
      </c>
      <c r="O4414" t="s">
        <v>46570</v>
      </c>
      <c r="P4414">
        <v>0</v>
      </c>
      <c r="Q4414">
        <v>2</v>
      </c>
      <c r="R4414" t="s">
        <v>46572</v>
      </c>
      <c r="S4414" t="s">
        <v>46689</v>
      </c>
      <c r="T4414" t="s">
        <v>48276</v>
      </c>
      <c r="U4414" t="s">
        <v>52414</v>
      </c>
      <c r="W4414" t="s">
        <v>43552</v>
      </c>
      <c r="X4414" t="s">
        <v>46573</v>
      </c>
    </row>
    <row r="4415" spans="1:24">
      <c r="A4415">
        <f>HYPERLINK("https://www.philgeps.gov.ph/GEPSNONPILOT/Tender/SplashBidNoticeAbstractUI.aspx?menuIndex=3&amp;refID=7064114&amp;Result=3","7064114")</f>
        <v>0</v>
      </c>
      <c r="B4415" t="s">
        <v>1562</v>
      </c>
      <c r="C4415" t="s">
        <v>7756</v>
      </c>
      <c r="D4415" t="s">
        <v>18805</v>
      </c>
      <c r="E4415" t="s">
        <v>22860</v>
      </c>
      <c r="F4415" t="s">
        <v>32664</v>
      </c>
      <c r="G4415" t="s">
        <v>32672</v>
      </c>
      <c r="H4415" t="s">
        <v>32682</v>
      </c>
      <c r="I4415" t="s">
        <v>4439</v>
      </c>
      <c r="J4415" t="s">
        <v>35683</v>
      </c>
      <c r="K4415" t="s">
        <v>42281</v>
      </c>
      <c r="M4415" t="s">
        <v>44234</v>
      </c>
      <c r="N4415" t="s">
        <v>46569</v>
      </c>
      <c r="O4415" t="s">
        <v>46570</v>
      </c>
      <c r="P4415">
        <v>0</v>
      </c>
      <c r="Q4415">
        <v>0</v>
      </c>
      <c r="R4415" t="s">
        <v>46572</v>
      </c>
      <c r="S4415" t="s">
        <v>46689</v>
      </c>
      <c r="T4415" t="s">
        <v>48304</v>
      </c>
      <c r="U4415" t="s">
        <v>52411</v>
      </c>
      <c r="W4415" t="s">
        <v>44234</v>
      </c>
      <c r="X4415" t="s">
        <v>46573</v>
      </c>
    </row>
    <row r="4416" spans="1:24">
      <c r="A4416">
        <f>HYPERLINK("https://www.philgeps.gov.ph/GEPSNONPILOT/Tender/SplashBidNoticeAbstractUI.aspx?menuIndex=3&amp;refID=7064113&amp;Result=3","7064113")</f>
        <v>0</v>
      </c>
      <c r="B4416" t="s">
        <v>1576</v>
      </c>
      <c r="C4416" t="s">
        <v>7757</v>
      </c>
      <c r="D4416" t="s">
        <v>18823</v>
      </c>
      <c r="E4416" t="s">
        <v>22861</v>
      </c>
      <c r="F4416" t="s">
        <v>32664</v>
      </c>
      <c r="G4416" t="s">
        <v>32672</v>
      </c>
      <c r="H4416" t="s">
        <v>12635</v>
      </c>
      <c r="I4416" t="s">
        <v>10627</v>
      </c>
      <c r="J4416" t="s">
        <v>35684</v>
      </c>
      <c r="K4416" t="s">
        <v>42281</v>
      </c>
      <c r="M4416" t="s">
        <v>44251</v>
      </c>
      <c r="N4416" t="s">
        <v>46569</v>
      </c>
      <c r="O4416" t="s">
        <v>46570</v>
      </c>
      <c r="P4416">
        <v>0</v>
      </c>
      <c r="Q4416">
        <v>1</v>
      </c>
      <c r="R4416" t="s">
        <v>46572</v>
      </c>
      <c r="S4416" t="s">
        <v>46689</v>
      </c>
      <c r="T4416" t="s">
        <v>48237</v>
      </c>
      <c r="U4416" t="s">
        <v>52415</v>
      </c>
      <c r="W4416" t="s">
        <v>44251</v>
      </c>
      <c r="X4416" t="s">
        <v>46573</v>
      </c>
    </row>
    <row r="4417" spans="1:24">
      <c r="A4417">
        <f>HYPERLINK("https://www.philgeps.gov.ph/GEPSNONPILOT/Tender/SplashBidNoticeAbstractUI.aspx?menuIndex=3&amp;refID=7064119&amp;Result=3","7064119")</f>
        <v>0</v>
      </c>
      <c r="B4417" t="s">
        <v>1115</v>
      </c>
      <c r="C4417" t="s">
        <v>7758</v>
      </c>
      <c r="E4417" t="s">
        <v>22862</v>
      </c>
      <c r="F4417" t="s">
        <v>32664</v>
      </c>
      <c r="G4417" t="s">
        <v>32671</v>
      </c>
      <c r="H4417" t="s">
        <v>12635</v>
      </c>
      <c r="I4417" t="s">
        <v>32696</v>
      </c>
      <c r="J4417" t="s">
        <v>35685</v>
      </c>
      <c r="K4417" t="s">
        <v>42283</v>
      </c>
      <c r="M4417" t="s">
        <v>44252</v>
      </c>
      <c r="N4417" t="s">
        <v>46569</v>
      </c>
      <c r="O4417" t="s">
        <v>46570</v>
      </c>
      <c r="P4417">
        <v>0</v>
      </c>
      <c r="Q4417">
        <v>1</v>
      </c>
      <c r="R4417" t="s">
        <v>46572</v>
      </c>
      <c r="S4417" t="s">
        <v>46689</v>
      </c>
      <c r="T4417" t="s">
        <v>48258</v>
      </c>
      <c r="U4417" t="s">
        <v>52416</v>
      </c>
      <c r="W4417" t="s">
        <v>44252</v>
      </c>
      <c r="X4417" t="s">
        <v>46573</v>
      </c>
    </row>
    <row r="4418" spans="1:24">
      <c r="A4418">
        <f>HYPERLINK("https://www.philgeps.gov.ph/GEPSNONPILOT/Tender/SplashBidNoticeAbstractUI.aspx?menuIndex=3&amp;refID=7064100&amp;Result=3","7064100")</f>
        <v>0</v>
      </c>
      <c r="B4418" t="s">
        <v>1394</v>
      </c>
      <c r="C4418" t="s">
        <v>7759</v>
      </c>
      <c r="D4418" t="s">
        <v>18842</v>
      </c>
      <c r="E4418" t="s">
        <v>22863</v>
      </c>
      <c r="F4418" t="s">
        <v>32664</v>
      </c>
      <c r="G4418" t="s">
        <v>32671</v>
      </c>
      <c r="H4418" t="s">
        <v>12635</v>
      </c>
      <c r="I4418" t="s">
        <v>7759</v>
      </c>
      <c r="J4418" t="s">
        <v>33332</v>
      </c>
      <c r="K4418" t="s">
        <v>42284</v>
      </c>
      <c r="M4418" t="s">
        <v>44050</v>
      </c>
      <c r="N4418" t="s">
        <v>46569</v>
      </c>
      <c r="O4418" t="s">
        <v>46570</v>
      </c>
      <c r="P4418">
        <v>0</v>
      </c>
      <c r="Q4418">
        <v>0</v>
      </c>
      <c r="R4418" t="s">
        <v>46572</v>
      </c>
      <c r="S4418" t="s">
        <v>46689</v>
      </c>
      <c r="T4418" t="s">
        <v>48217</v>
      </c>
      <c r="U4418" t="s">
        <v>49881</v>
      </c>
      <c r="W4418" t="s">
        <v>44050</v>
      </c>
      <c r="X4418" t="s">
        <v>46573</v>
      </c>
    </row>
    <row r="4419" spans="1:24">
      <c r="A4419">
        <f>HYPERLINK("https://www.philgeps.gov.ph/GEPSNONPILOT/Tender/SplashBidNoticeAbstractUI.aspx?menuIndex=3&amp;refID=7064118&amp;Result=3","7064118")</f>
        <v>0</v>
      </c>
      <c r="B4419" t="s">
        <v>1540</v>
      </c>
      <c r="C4419" t="s">
        <v>7760</v>
      </c>
      <c r="D4419" t="s">
        <v>18838</v>
      </c>
      <c r="E4419" t="s">
        <v>22864</v>
      </c>
      <c r="F4419" t="s">
        <v>32664</v>
      </c>
      <c r="G4419" t="s">
        <v>32671</v>
      </c>
      <c r="H4419" t="s">
        <v>12635</v>
      </c>
      <c r="I4419" t="s">
        <v>32756</v>
      </c>
      <c r="J4419" t="s">
        <v>33578</v>
      </c>
      <c r="K4419" t="s">
        <v>42283</v>
      </c>
      <c r="M4419" t="s">
        <v>44209</v>
      </c>
      <c r="N4419" t="s">
        <v>46569</v>
      </c>
      <c r="O4419" t="s">
        <v>46570</v>
      </c>
      <c r="P4419">
        <v>0</v>
      </c>
      <c r="Q4419">
        <v>2</v>
      </c>
      <c r="R4419" t="s">
        <v>46572</v>
      </c>
      <c r="S4419" t="s">
        <v>46689</v>
      </c>
      <c r="T4419" t="s">
        <v>48312</v>
      </c>
      <c r="U4419" t="s">
        <v>52417</v>
      </c>
      <c r="W4419" t="s">
        <v>44209</v>
      </c>
      <c r="X4419" t="s">
        <v>46573</v>
      </c>
    </row>
    <row r="4420" spans="1:24">
      <c r="A4420">
        <f>HYPERLINK("https://www.philgeps.gov.ph/GEPSNONPILOT/Tender/SplashBidNoticeAbstractUI.aspx?menuIndex=3&amp;refID=7064126&amp;Result=3","7064126")</f>
        <v>0</v>
      </c>
      <c r="B4420" t="s">
        <v>1540</v>
      </c>
      <c r="C4420" t="s">
        <v>7761</v>
      </c>
      <c r="D4420" t="s">
        <v>18838</v>
      </c>
      <c r="E4420" t="s">
        <v>22865</v>
      </c>
      <c r="F4420" t="s">
        <v>32664</v>
      </c>
      <c r="G4420" t="s">
        <v>32671</v>
      </c>
      <c r="H4420" t="s">
        <v>12635</v>
      </c>
      <c r="I4420" t="s">
        <v>6628</v>
      </c>
      <c r="J4420" t="s">
        <v>33051</v>
      </c>
      <c r="K4420" t="s">
        <v>42283</v>
      </c>
      <c r="M4420" t="s">
        <v>44209</v>
      </c>
      <c r="N4420" t="s">
        <v>46569</v>
      </c>
      <c r="O4420" t="s">
        <v>46570</v>
      </c>
      <c r="P4420">
        <v>0</v>
      </c>
      <c r="Q4420">
        <v>1</v>
      </c>
      <c r="R4420" t="s">
        <v>46572</v>
      </c>
      <c r="S4420" t="s">
        <v>46689</v>
      </c>
      <c r="T4420" t="s">
        <v>48312</v>
      </c>
      <c r="U4420" t="s">
        <v>52418</v>
      </c>
      <c r="W4420" t="s">
        <v>44209</v>
      </c>
      <c r="X4420" t="s">
        <v>46573</v>
      </c>
    </row>
    <row r="4421" spans="1:24">
      <c r="A4421">
        <f>HYPERLINK("https://www.philgeps.gov.ph/GEPSNONPILOT/Tender/SplashBidNoticeAbstractUI.aspx?menuIndex=3&amp;refID=7064115&amp;Result=3","7064115")</f>
        <v>0</v>
      </c>
      <c r="B4421" t="s">
        <v>1444</v>
      </c>
      <c r="C4421" t="s">
        <v>7762</v>
      </c>
      <c r="D4421" t="s">
        <v>18846</v>
      </c>
      <c r="E4421" t="s">
        <v>22866</v>
      </c>
      <c r="F4421" t="s">
        <v>32664</v>
      </c>
      <c r="G4421" t="s">
        <v>32671</v>
      </c>
      <c r="H4421" t="s">
        <v>12635</v>
      </c>
      <c r="I4421" t="s">
        <v>6628</v>
      </c>
      <c r="J4421" t="s">
        <v>35686</v>
      </c>
      <c r="K4421" t="s">
        <v>42281</v>
      </c>
      <c r="M4421" t="s">
        <v>44105</v>
      </c>
      <c r="N4421" t="s">
        <v>46569</v>
      </c>
      <c r="O4421" t="s">
        <v>46570</v>
      </c>
      <c r="P4421">
        <v>0</v>
      </c>
      <c r="Q4421">
        <v>3</v>
      </c>
      <c r="R4421" t="s">
        <v>46572</v>
      </c>
      <c r="S4421" t="s">
        <v>46689</v>
      </c>
      <c r="T4421" t="s">
        <v>48221</v>
      </c>
      <c r="U4421" t="s">
        <v>52419</v>
      </c>
      <c r="W4421" t="s">
        <v>44105</v>
      </c>
      <c r="X4421" t="s">
        <v>46573</v>
      </c>
    </row>
    <row r="4422" spans="1:24">
      <c r="A4422">
        <f>HYPERLINK("https://www.philgeps.gov.ph/GEPSNONPILOT/Tender/SplashBidNoticeAbstractUI.aspx?menuIndex=3&amp;refID=7064143&amp;Result=3","7064143")</f>
        <v>0</v>
      </c>
      <c r="B4422" t="s">
        <v>1540</v>
      </c>
      <c r="C4422" t="s">
        <v>7763</v>
      </c>
      <c r="D4422" t="s">
        <v>18838</v>
      </c>
      <c r="E4422" t="s">
        <v>22867</v>
      </c>
      <c r="F4422" t="s">
        <v>32664</v>
      </c>
      <c r="G4422" t="s">
        <v>32671</v>
      </c>
      <c r="H4422" t="s">
        <v>12635</v>
      </c>
      <c r="I4422" t="s">
        <v>5589</v>
      </c>
      <c r="J4422" t="s">
        <v>33069</v>
      </c>
      <c r="K4422" t="s">
        <v>42283</v>
      </c>
      <c r="M4422" t="s">
        <v>44209</v>
      </c>
      <c r="N4422" t="s">
        <v>46569</v>
      </c>
      <c r="O4422" t="s">
        <v>46570</v>
      </c>
      <c r="P4422">
        <v>0</v>
      </c>
      <c r="Q4422">
        <v>0</v>
      </c>
      <c r="R4422" t="s">
        <v>46572</v>
      </c>
      <c r="S4422" t="s">
        <v>46689</v>
      </c>
      <c r="T4422" t="s">
        <v>48312</v>
      </c>
      <c r="U4422" t="s">
        <v>52420</v>
      </c>
      <c r="W4422" t="s">
        <v>44209</v>
      </c>
      <c r="X4422" t="s">
        <v>46573</v>
      </c>
    </row>
    <row r="4423" spans="1:24">
      <c r="A4423">
        <f>HYPERLINK("https://www.philgeps.gov.ph/GEPSNONPILOT/Tender/SplashBidNoticeAbstractUI.aspx?menuIndex=3&amp;refID=7064111&amp;Result=3","7064111")</f>
        <v>0</v>
      </c>
      <c r="B4423" t="s">
        <v>1572</v>
      </c>
      <c r="C4423" t="s">
        <v>7764</v>
      </c>
      <c r="D4423" t="s">
        <v>18798</v>
      </c>
      <c r="E4423" t="s">
        <v>22868</v>
      </c>
      <c r="F4423" t="s">
        <v>32664</v>
      </c>
      <c r="G4423" t="s">
        <v>32674</v>
      </c>
      <c r="H4423" t="s">
        <v>12635</v>
      </c>
      <c r="I4423" t="s">
        <v>10370</v>
      </c>
      <c r="J4423" t="s">
        <v>35687</v>
      </c>
      <c r="K4423" t="s">
        <v>42289</v>
      </c>
      <c r="M4423" t="s">
        <v>44247</v>
      </c>
      <c r="N4423" t="s">
        <v>46569</v>
      </c>
      <c r="O4423" t="s">
        <v>46570</v>
      </c>
      <c r="P4423">
        <v>0</v>
      </c>
      <c r="Q4423">
        <v>8</v>
      </c>
      <c r="R4423" t="s">
        <v>46572</v>
      </c>
      <c r="S4423" t="s">
        <v>46689</v>
      </c>
      <c r="T4423" t="s">
        <v>48280</v>
      </c>
      <c r="U4423" t="s">
        <v>52421</v>
      </c>
      <c r="V4423" t="s">
        <v>62071</v>
      </c>
      <c r="W4423" t="s">
        <v>44247</v>
      </c>
      <c r="X4423" t="s">
        <v>46573</v>
      </c>
    </row>
    <row r="4424" spans="1:24">
      <c r="A4424">
        <f>HYPERLINK("https://www.philgeps.gov.ph/GEPSNONPILOT/Tender/SplashBidNoticeAbstractUI.aspx?menuIndex=3&amp;refID=7064110&amp;Result=3","7064110")</f>
        <v>0</v>
      </c>
      <c r="B4424" t="s">
        <v>946</v>
      </c>
      <c r="C4424" t="s">
        <v>7765</v>
      </c>
      <c r="D4424" t="s">
        <v>18784</v>
      </c>
      <c r="E4424" t="s">
        <v>22869</v>
      </c>
      <c r="F4424" t="s">
        <v>32664</v>
      </c>
      <c r="G4424" t="s">
        <v>32672</v>
      </c>
      <c r="H4424" t="s">
        <v>12635</v>
      </c>
      <c r="I4424" t="s">
        <v>32685</v>
      </c>
      <c r="J4424" t="s">
        <v>35688</v>
      </c>
      <c r="K4424" t="s">
        <v>42284</v>
      </c>
      <c r="M4424" t="s">
        <v>43552</v>
      </c>
      <c r="N4424" t="s">
        <v>46569</v>
      </c>
      <c r="O4424" t="s">
        <v>46570</v>
      </c>
      <c r="P4424">
        <v>0</v>
      </c>
      <c r="Q4424">
        <v>1</v>
      </c>
      <c r="R4424" t="s">
        <v>46572</v>
      </c>
      <c r="S4424" t="s">
        <v>46689</v>
      </c>
      <c r="T4424" t="s">
        <v>48276</v>
      </c>
      <c r="U4424" t="s">
        <v>52422</v>
      </c>
      <c r="W4424" t="s">
        <v>43552</v>
      </c>
      <c r="X4424" t="s">
        <v>46573</v>
      </c>
    </row>
    <row r="4425" spans="1:24">
      <c r="A4425">
        <f>HYPERLINK("https://www.philgeps.gov.ph/GEPSNONPILOT/Tender/SplashBidNoticeAbstractUI.aspx?menuIndex=3&amp;refID=7064142&amp;Result=3","7064142")</f>
        <v>0</v>
      </c>
      <c r="B4425" t="s">
        <v>1577</v>
      </c>
      <c r="C4425" t="s">
        <v>6902</v>
      </c>
      <c r="D4425" t="s">
        <v>18823</v>
      </c>
      <c r="E4425" t="s">
        <v>22870</v>
      </c>
      <c r="F4425" t="s">
        <v>32664</v>
      </c>
      <c r="G4425" t="s">
        <v>32674</v>
      </c>
      <c r="H4425" t="s">
        <v>12635</v>
      </c>
      <c r="I4425" t="s">
        <v>4439</v>
      </c>
      <c r="J4425" t="s">
        <v>35689</v>
      </c>
      <c r="K4425" t="s">
        <v>42284</v>
      </c>
      <c r="M4425" t="s">
        <v>44253</v>
      </c>
      <c r="N4425" t="s">
        <v>46569</v>
      </c>
      <c r="O4425" t="s">
        <v>46570</v>
      </c>
      <c r="P4425">
        <v>0</v>
      </c>
      <c r="Q4425">
        <v>0</v>
      </c>
      <c r="R4425" t="s">
        <v>46572</v>
      </c>
      <c r="S4425" t="s">
        <v>46689</v>
      </c>
      <c r="T4425" t="s">
        <v>48305</v>
      </c>
      <c r="U4425" t="s">
        <v>52423</v>
      </c>
      <c r="W4425" t="s">
        <v>44253</v>
      </c>
      <c r="X4425" t="s">
        <v>46573</v>
      </c>
    </row>
    <row r="4426" spans="1:24">
      <c r="A4426">
        <f>HYPERLINK("https://www.philgeps.gov.ph/GEPSNONPILOT/Tender/SplashBidNoticeAbstractUI.aspx?menuIndex=3&amp;refID=7064140&amp;Result=3","7064140")</f>
        <v>0</v>
      </c>
      <c r="B4426" t="s">
        <v>1574</v>
      </c>
      <c r="C4426" t="s">
        <v>7766</v>
      </c>
      <c r="D4426" t="s">
        <v>18830</v>
      </c>
      <c r="E4426" t="s">
        <v>22871</v>
      </c>
      <c r="F4426" t="s">
        <v>32664</v>
      </c>
      <c r="G4426" t="s">
        <v>32672</v>
      </c>
      <c r="H4426" t="s">
        <v>32683</v>
      </c>
      <c r="I4426" t="s">
        <v>10627</v>
      </c>
      <c r="J4426" t="s">
        <v>32898</v>
      </c>
      <c r="K4426" t="s">
        <v>42321</v>
      </c>
      <c r="M4426" t="s">
        <v>44249</v>
      </c>
      <c r="N4426" t="s">
        <v>46569</v>
      </c>
      <c r="O4426" t="s">
        <v>46570</v>
      </c>
      <c r="P4426">
        <v>0</v>
      </c>
      <c r="Q4426">
        <v>0</v>
      </c>
      <c r="R4426" t="s">
        <v>46572</v>
      </c>
      <c r="S4426" t="s">
        <v>46689</v>
      </c>
      <c r="T4426" t="s">
        <v>48220</v>
      </c>
      <c r="U4426" t="s">
        <v>52424</v>
      </c>
      <c r="V4426" t="s">
        <v>62072</v>
      </c>
      <c r="W4426" t="s">
        <v>44249</v>
      </c>
      <c r="X4426" t="s">
        <v>46573</v>
      </c>
    </row>
    <row r="4427" spans="1:24">
      <c r="A4427">
        <f>HYPERLINK("https://www.philgeps.gov.ph/GEPSNONPILOT/Tender/SplashBidNoticeAbstractUI.aspx?menuIndex=3&amp;refID=7064139&amp;Result=3","7064139")</f>
        <v>0</v>
      </c>
      <c r="B4427" t="s">
        <v>1578</v>
      </c>
      <c r="C4427" t="s">
        <v>7767</v>
      </c>
      <c r="D4427" t="s">
        <v>18783</v>
      </c>
      <c r="E4427" t="s">
        <v>22872</v>
      </c>
      <c r="F4427" t="s">
        <v>32664</v>
      </c>
      <c r="G4427" t="s">
        <v>32672</v>
      </c>
      <c r="H4427" t="s">
        <v>12635</v>
      </c>
      <c r="I4427" t="s">
        <v>6223</v>
      </c>
      <c r="J4427" t="s">
        <v>33095</v>
      </c>
      <c r="K4427" t="s">
        <v>42281</v>
      </c>
      <c r="M4427" t="s">
        <v>44254</v>
      </c>
      <c r="N4427" t="s">
        <v>46569</v>
      </c>
      <c r="O4427" t="s">
        <v>46570</v>
      </c>
      <c r="P4427">
        <v>0</v>
      </c>
      <c r="Q4427">
        <v>0</v>
      </c>
      <c r="R4427" t="s">
        <v>46572</v>
      </c>
      <c r="S4427" t="s">
        <v>46689</v>
      </c>
      <c r="T4427" t="s">
        <v>48463</v>
      </c>
      <c r="U4427" t="s">
        <v>52425</v>
      </c>
      <c r="W4427" t="s">
        <v>44254</v>
      </c>
      <c r="X4427" t="s">
        <v>46573</v>
      </c>
    </row>
    <row r="4428" spans="1:24">
      <c r="A4428">
        <f>HYPERLINK("https://www.philgeps.gov.ph/GEPSNONPILOT/Tender/SplashBidNoticeAbstractUI.aspx?menuIndex=3&amp;refID=7064138&amp;Result=3","7064138")</f>
        <v>0</v>
      </c>
      <c r="B4428" t="s">
        <v>1572</v>
      </c>
      <c r="C4428" t="s">
        <v>7768</v>
      </c>
      <c r="D4428" t="s">
        <v>18798</v>
      </c>
      <c r="E4428" t="s">
        <v>22873</v>
      </c>
      <c r="F4428" t="s">
        <v>32664</v>
      </c>
      <c r="G4428" t="s">
        <v>32671</v>
      </c>
      <c r="H4428" t="s">
        <v>12635</v>
      </c>
      <c r="I4428" t="s">
        <v>32684</v>
      </c>
      <c r="J4428" t="s">
        <v>32865</v>
      </c>
      <c r="K4428" t="s">
        <v>42281</v>
      </c>
      <c r="M4428" t="s">
        <v>44247</v>
      </c>
      <c r="N4428" t="s">
        <v>46569</v>
      </c>
      <c r="O4428" t="s">
        <v>46570</v>
      </c>
      <c r="P4428">
        <v>0</v>
      </c>
      <c r="Q4428">
        <v>8</v>
      </c>
      <c r="R4428" t="s">
        <v>46572</v>
      </c>
      <c r="S4428" t="s">
        <v>46689</v>
      </c>
      <c r="T4428" t="s">
        <v>48280</v>
      </c>
      <c r="U4428" t="s">
        <v>52426</v>
      </c>
      <c r="V4428" t="s">
        <v>62071</v>
      </c>
      <c r="W4428" t="s">
        <v>44247</v>
      </c>
      <c r="X4428" t="s">
        <v>46573</v>
      </c>
    </row>
    <row r="4429" spans="1:24">
      <c r="A4429">
        <f>HYPERLINK("https://www.philgeps.gov.ph/GEPSNONPILOT/Tender/SplashBidNoticeAbstractUI.aspx?menuIndex=3&amp;refID=7064137&amp;Result=3","7064137")</f>
        <v>0</v>
      </c>
      <c r="B4429" t="s">
        <v>946</v>
      </c>
      <c r="C4429" t="s">
        <v>7769</v>
      </c>
      <c r="D4429" t="s">
        <v>18784</v>
      </c>
      <c r="E4429" t="s">
        <v>22874</v>
      </c>
      <c r="F4429" t="s">
        <v>32664</v>
      </c>
      <c r="G4429" t="s">
        <v>32672</v>
      </c>
      <c r="H4429" t="s">
        <v>12635</v>
      </c>
      <c r="I4429" t="s">
        <v>6223</v>
      </c>
      <c r="J4429" t="s">
        <v>35690</v>
      </c>
      <c r="K4429" t="s">
        <v>42284</v>
      </c>
      <c r="M4429" t="s">
        <v>43552</v>
      </c>
      <c r="N4429" t="s">
        <v>46569</v>
      </c>
      <c r="O4429" t="s">
        <v>46570</v>
      </c>
      <c r="P4429">
        <v>0</v>
      </c>
      <c r="Q4429">
        <v>2</v>
      </c>
      <c r="R4429" t="s">
        <v>46572</v>
      </c>
      <c r="S4429" t="s">
        <v>46689</v>
      </c>
      <c r="T4429" t="s">
        <v>48276</v>
      </c>
      <c r="U4429" t="s">
        <v>52427</v>
      </c>
      <c r="W4429" t="s">
        <v>43552</v>
      </c>
      <c r="X4429" t="s">
        <v>46573</v>
      </c>
    </row>
    <row r="4430" spans="1:24">
      <c r="A4430">
        <f>HYPERLINK("https://www.philgeps.gov.ph/GEPSNONPILOT/Tender/SplashBidNoticeAbstractUI.aspx?menuIndex=3&amp;refID=7064125&amp;Result=3","7064125")</f>
        <v>0</v>
      </c>
      <c r="B4430" t="s">
        <v>1562</v>
      </c>
      <c r="C4430" t="s">
        <v>7770</v>
      </c>
      <c r="D4430" t="s">
        <v>18805</v>
      </c>
      <c r="E4430" t="s">
        <v>22875</v>
      </c>
      <c r="F4430" t="s">
        <v>32664</v>
      </c>
      <c r="G4430" t="s">
        <v>32672</v>
      </c>
      <c r="H4430" t="s">
        <v>12635</v>
      </c>
      <c r="I4430" t="s">
        <v>4439</v>
      </c>
      <c r="J4430" t="s">
        <v>35691</v>
      </c>
      <c r="K4430" t="s">
        <v>42281</v>
      </c>
      <c r="M4430" t="s">
        <v>44234</v>
      </c>
      <c r="N4430" t="s">
        <v>46569</v>
      </c>
      <c r="O4430" t="s">
        <v>46570</v>
      </c>
      <c r="P4430">
        <v>0</v>
      </c>
      <c r="Q4430">
        <v>0</v>
      </c>
      <c r="R4430" t="s">
        <v>46572</v>
      </c>
      <c r="S4430" t="s">
        <v>46689</v>
      </c>
      <c r="T4430" t="s">
        <v>48304</v>
      </c>
      <c r="U4430" t="s">
        <v>52428</v>
      </c>
      <c r="W4430" t="s">
        <v>44234</v>
      </c>
      <c r="X4430" t="s">
        <v>46573</v>
      </c>
    </row>
    <row r="4431" spans="1:24">
      <c r="A4431">
        <f>HYPERLINK("https://www.philgeps.gov.ph/GEPSNONPILOT/Tender/SplashBidNoticeAbstractUI.aspx?menuIndex=3&amp;refID=7064144&amp;Result=3","7064144")</f>
        <v>0</v>
      </c>
      <c r="B4431" t="s">
        <v>1579</v>
      </c>
      <c r="C4431" t="s">
        <v>7771</v>
      </c>
      <c r="D4431" t="s">
        <v>18831</v>
      </c>
      <c r="E4431" t="s">
        <v>22876</v>
      </c>
      <c r="F4431" t="s">
        <v>32664</v>
      </c>
      <c r="G4431" t="s">
        <v>32671</v>
      </c>
      <c r="H4431" t="s">
        <v>12635</v>
      </c>
      <c r="I4431" t="s">
        <v>32694</v>
      </c>
      <c r="J4431" t="s">
        <v>33733</v>
      </c>
      <c r="K4431" t="s">
        <v>42284</v>
      </c>
      <c r="M4431" t="s">
        <v>44255</v>
      </c>
      <c r="N4431" t="s">
        <v>46569</v>
      </c>
      <c r="O4431" t="s">
        <v>46570</v>
      </c>
      <c r="P4431">
        <v>0</v>
      </c>
      <c r="Q4431">
        <v>1</v>
      </c>
      <c r="R4431" t="s">
        <v>46572</v>
      </c>
      <c r="S4431" t="s">
        <v>46689</v>
      </c>
      <c r="T4431" t="s">
        <v>48256</v>
      </c>
      <c r="U4431" t="s">
        <v>52429</v>
      </c>
      <c r="W4431" t="s">
        <v>44255</v>
      </c>
      <c r="X4431" t="s">
        <v>46573</v>
      </c>
    </row>
    <row r="4432" spans="1:24">
      <c r="A4432">
        <f>HYPERLINK("https://www.philgeps.gov.ph/GEPSNONPILOT/Tender/SplashBidNoticeAbstractUI.aspx?menuIndex=3&amp;refID=7064134&amp;Result=3","7064134")</f>
        <v>0</v>
      </c>
      <c r="B4432" t="s">
        <v>1540</v>
      </c>
      <c r="C4432" t="s">
        <v>7772</v>
      </c>
      <c r="D4432" t="s">
        <v>18838</v>
      </c>
      <c r="E4432" t="s">
        <v>22877</v>
      </c>
      <c r="F4432" t="s">
        <v>32664</v>
      </c>
      <c r="G4432" t="s">
        <v>32671</v>
      </c>
      <c r="H4432" t="s">
        <v>12635</v>
      </c>
      <c r="I4432" t="s">
        <v>6223</v>
      </c>
      <c r="J4432" t="s">
        <v>33051</v>
      </c>
      <c r="K4432" t="s">
        <v>42283</v>
      </c>
      <c r="M4432" t="s">
        <v>44209</v>
      </c>
      <c r="N4432" t="s">
        <v>46569</v>
      </c>
      <c r="O4432" t="s">
        <v>46570</v>
      </c>
      <c r="P4432">
        <v>0</v>
      </c>
      <c r="Q4432">
        <v>0</v>
      </c>
      <c r="R4432" t="s">
        <v>46572</v>
      </c>
      <c r="S4432" t="s">
        <v>46689</v>
      </c>
      <c r="T4432" t="s">
        <v>48312</v>
      </c>
      <c r="U4432" t="s">
        <v>52430</v>
      </c>
      <c r="W4432" t="s">
        <v>44209</v>
      </c>
      <c r="X4432" t="s">
        <v>46573</v>
      </c>
    </row>
    <row r="4433" spans="1:24">
      <c r="A4433">
        <f>HYPERLINK("https://www.philgeps.gov.ph/GEPSNONPILOT/Tender/SplashBidNoticeAbstractUI.aspx?menuIndex=3&amp;refID=7064133&amp;Result=3","7064133")</f>
        <v>0</v>
      </c>
      <c r="B4433" t="s">
        <v>1574</v>
      </c>
      <c r="C4433" t="s">
        <v>7773</v>
      </c>
      <c r="D4433" t="s">
        <v>18830</v>
      </c>
      <c r="E4433" t="s">
        <v>22878</v>
      </c>
      <c r="F4433" t="s">
        <v>32664</v>
      </c>
      <c r="G4433" t="s">
        <v>32672</v>
      </c>
      <c r="H4433" t="s">
        <v>32683</v>
      </c>
      <c r="I4433" t="s">
        <v>10627</v>
      </c>
      <c r="J4433" t="s">
        <v>33021</v>
      </c>
      <c r="K4433" t="s">
        <v>42281</v>
      </c>
      <c r="M4433" t="s">
        <v>44249</v>
      </c>
      <c r="N4433" t="s">
        <v>46569</v>
      </c>
      <c r="O4433" t="s">
        <v>46570</v>
      </c>
      <c r="P4433">
        <v>0</v>
      </c>
      <c r="Q4433">
        <v>0</v>
      </c>
      <c r="R4433" t="s">
        <v>46572</v>
      </c>
      <c r="S4433" t="s">
        <v>46689</v>
      </c>
      <c r="T4433" t="s">
        <v>48220</v>
      </c>
      <c r="U4433" t="s">
        <v>52431</v>
      </c>
      <c r="V4433" t="s">
        <v>62072</v>
      </c>
      <c r="W4433" t="s">
        <v>44249</v>
      </c>
      <c r="X4433" t="s">
        <v>46573</v>
      </c>
    </row>
    <row r="4434" spans="1:24">
      <c r="A4434">
        <f>HYPERLINK("https://www.philgeps.gov.ph/GEPSNONPILOT/Tender/SplashBidNoticeAbstractUI.aspx?menuIndex=3&amp;refID=7064089&amp;Result=3","7064089")</f>
        <v>0</v>
      </c>
      <c r="B4434" t="s">
        <v>1540</v>
      </c>
      <c r="C4434" t="s">
        <v>7774</v>
      </c>
      <c r="D4434" t="s">
        <v>18838</v>
      </c>
      <c r="E4434" t="s">
        <v>22879</v>
      </c>
      <c r="F4434" t="s">
        <v>32664</v>
      </c>
      <c r="G4434" t="s">
        <v>32671</v>
      </c>
      <c r="H4434" t="s">
        <v>12635</v>
      </c>
      <c r="I4434" t="s">
        <v>6223</v>
      </c>
      <c r="J4434" t="s">
        <v>32898</v>
      </c>
      <c r="K4434" t="s">
        <v>42283</v>
      </c>
      <c r="M4434" t="s">
        <v>44209</v>
      </c>
      <c r="N4434" t="s">
        <v>46569</v>
      </c>
      <c r="O4434" t="s">
        <v>46570</v>
      </c>
      <c r="P4434">
        <v>0</v>
      </c>
      <c r="Q4434">
        <v>0</v>
      </c>
      <c r="R4434" t="s">
        <v>46572</v>
      </c>
      <c r="S4434" t="s">
        <v>46689</v>
      </c>
      <c r="T4434" t="s">
        <v>48312</v>
      </c>
      <c r="U4434" t="s">
        <v>52432</v>
      </c>
      <c r="W4434" t="s">
        <v>44209</v>
      </c>
      <c r="X4434" t="s">
        <v>46573</v>
      </c>
    </row>
    <row r="4435" spans="1:24">
      <c r="A4435">
        <f>HYPERLINK("https://www.philgeps.gov.ph/GEPSNONPILOT/Tender/SplashBidNoticeAbstractUI.aspx?menuIndex=3&amp;refID=7064132&amp;Result=3","7064132")</f>
        <v>0</v>
      </c>
      <c r="B4435" t="s">
        <v>225</v>
      </c>
      <c r="C4435" t="s">
        <v>7775</v>
      </c>
      <c r="D4435" t="s">
        <v>18784</v>
      </c>
      <c r="E4435" t="s">
        <v>22880</v>
      </c>
      <c r="F4435" t="s">
        <v>32664</v>
      </c>
      <c r="G4435" t="s">
        <v>32671</v>
      </c>
      <c r="H4435" t="s">
        <v>32681</v>
      </c>
      <c r="I4435" t="s">
        <v>32681</v>
      </c>
      <c r="J4435" t="s">
        <v>35692</v>
      </c>
      <c r="K4435" t="s">
        <v>42298</v>
      </c>
      <c r="M4435" t="s">
        <v>43870</v>
      </c>
      <c r="N4435" t="s">
        <v>46569</v>
      </c>
      <c r="O4435" t="s">
        <v>46570</v>
      </c>
      <c r="P4435">
        <v>0</v>
      </c>
      <c r="Q4435">
        <v>1</v>
      </c>
      <c r="R4435" t="s">
        <v>46572</v>
      </c>
      <c r="S4435" t="s">
        <v>46689</v>
      </c>
      <c r="T4435" t="s">
        <v>48276</v>
      </c>
      <c r="U4435" t="s">
        <v>52433</v>
      </c>
      <c r="V4435" t="s">
        <v>62073</v>
      </c>
      <c r="W4435" t="s">
        <v>43870</v>
      </c>
      <c r="X4435" t="s">
        <v>46573</v>
      </c>
    </row>
    <row r="4436" spans="1:24">
      <c r="A4436">
        <f>HYPERLINK("https://www.philgeps.gov.ph/GEPSNONPILOT/Tender/SplashBidNoticeAbstractUI.aspx?menuIndex=3&amp;refID=7064128&amp;Result=3","7064128")</f>
        <v>0</v>
      </c>
      <c r="B4436" t="s">
        <v>225</v>
      </c>
      <c r="C4436" t="s">
        <v>7776</v>
      </c>
      <c r="D4436" t="s">
        <v>18784</v>
      </c>
      <c r="E4436" t="s">
        <v>22881</v>
      </c>
      <c r="F4436" t="s">
        <v>32664</v>
      </c>
      <c r="G4436" t="s">
        <v>32671</v>
      </c>
      <c r="H4436" t="s">
        <v>32681</v>
      </c>
      <c r="I4436" t="s">
        <v>32681</v>
      </c>
      <c r="J4436" t="s">
        <v>35693</v>
      </c>
      <c r="K4436" t="s">
        <v>42298</v>
      </c>
      <c r="M4436" t="s">
        <v>43870</v>
      </c>
      <c r="N4436" t="s">
        <v>46569</v>
      </c>
      <c r="O4436" t="s">
        <v>46570</v>
      </c>
      <c r="P4436">
        <v>0</v>
      </c>
      <c r="Q4436">
        <v>1</v>
      </c>
      <c r="R4436" t="s">
        <v>46572</v>
      </c>
      <c r="S4436" t="s">
        <v>46689</v>
      </c>
      <c r="T4436" t="s">
        <v>48276</v>
      </c>
      <c r="U4436" t="s">
        <v>52434</v>
      </c>
      <c r="V4436" t="s">
        <v>62074</v>
      </c>
      <c r="W4436" t="s">
        <v>43870</v>
      </c>
      <c r="X4436" t="s">
        <v>46573</v>
      </c>
    </row>
    <row r="4437" spans="1:24">
      <c r="A4437">
        <f>HYPERLINK("https://www.philgeps.gov.ph/GEPSNONPILOT/Tender/SplashBidNoticeAbstractUI.aspx?menuIndex=3&amp;refID=7064141&amp;Result=3","7064141")</f>
        <v>0</v>
      </c>
      <c r="B4437" t="s">
        <v>227</v>
      </c>
      <c r="C4437" t="s">
        <v>7777</v>
      </c>
      <c r="D4437" t="s">
        <v>18784</v>
      </c>
      <c r="E4437" t="s">
        <v>19672</v>
      </c>
      <c r="F4437" t="s">
        <v>32664</v>
      </c>
      <c r="G4437" t="s">
        <v>32671</v>
      </c>
      <c r="H4437" t="s">
        <v>12635</v>
      </c>
      <c r="I4437" t="s">
        <v>10374</v>
      </c>
      <c r="J4437" t="s">
        <v>35290</v>
      </c>
      <c r="K4437" t="s">
        <v>42284</v>
      </c>
      <c r="M4437" t="s">
        <v>42791</v>
      </c>
      <c r="N4437" t="s">
        <v>46569</v>
      </c>
      <c r="O4437" t="s">
        <v>46570</v>
      </c>
      <c r="P4437">
        <v>0</v>
      </c>
      <c r="Q4437">
        <v>5</v>
      </c>
      <c r="R4437" t="s">
        <v>46572</v>
      </c>
      <c r="S4437" t="s">
        <v>46689</v>
      </c>
      <c r="T4437" t="s">
        <v>48217</v>
      </c>
      <c r="U4437" t="s">
        <v>52435</v>
      </c>
      <c r="W4437" t="s">
        <v>42791</v>
      </c>
      <c r="X4437" t="s">
        <v>46573</v>
      </c>
    </row>
    <row r="4438" spans="1:24">
      <c r="A4438">
        <f>HYPERLINK("https://www.philgeps.gov.ph/GEPSNONPILOT/Tender/SplashBidNoticeAbstractUI.aspx?menuIndex=3&amp;refID=7064131&amp;Result=3","7064131")</f>
        <v>0</v>
      </c>
      <c r="B4438" t="s">
        <v>134</v>
      </c>
      <c r="C4438" t="s">
        <v>7778</v>
      </c>
      <c r="D4438" t="s">
        <v>18784</v>
      </c>
      <c r="E4438" t="s">
        <v>22882</v>
      </c>
      <c r="F4438" t="s">
        <v>32664</v>
      </c>
      <c r="G4438" t="s">
        <v>32675</v>
      </c>
      <c r="H4438" t="s">
        <v>12635</v>
      </c>
      <c r="I4438" t="s">
        <v>8730</v>
      </c>
      <c r="J4438" t="s">
        <v>35694</v>
      </c>
      <c r="K4438" t="s">
        <v>42284</v>
      </c>
      <c r="M4438" t="s">
        <v>44256</v>
      </c>
      <c r="N4438" t="s">
        <v>46569</v>
      </c>
      <c r="O4438" t="s">
        <v>46570</v>
      </c>
      <c r="P4438">
        <v>0</v>
      </c>
      <c r="Q4438">
        <v>4</v>
      </c>
      <c r="R4438" t="s">
        <v>46572</v>
      </c>
      <c r="S4438" t="s">
        <v>46689</v>
      </c>
      <c r="T4438" t="s">
        <v>48256</v>
      </c>
      <c r="U4438" t="s">
        <v>52436</v>
      </c>
      <c r="W4438" t="s">
        <v>44256</v>
      </c>
      <c r="X4438" t="s">
        <v>46573</v>
      </c>
    </row>
    <row r="4439" spans="1:24">
      <c r="A4439">
        <f>HYPERLINK("https://www.philgeps.gov.ph/GEPSNONPILOT/Tender/SplashBidNoticeAbstractUI.aspx?menuIndex=3&amp;refID=7064129&amp;Result=3","7064129")</f>
        <v>0</v>
      </c>
      <c r="B4439" t="s">
        <v>1580</v>
      </c>
      <c r="C4439" t="s">
        <v>7779</v>
      </c>
      <c r="E4439" t="s">
        <v>22186</v>
      </c>
      <c r="F4439" t="s">
        <v>32664</v>
      </c>
      <c r="G4439" t="s">
        <v>32671</v>
      </c>
      <c r="H4439" t="s">
        <v>12635</v>
      </c>
      <c r="I4439" t="s">
        <v>6118</v>
      </c>
      <c r="J4439" t="s">
        <v>33043</v>
      </c>
      <c r="K4439" t="s">
        <v>42306</v>
      </c>
      <c r="M4439" t="s">
        <v>44257</v>
      </c>
      <c r="N4439" t="s">
        <v>46569</v>
      </c>
      <c r="O4439" t="s">
        <v>46570</v>
      </c>
      <c r="P4439">
        <v>0</v>
      </c>
      <c r="Q4439">
        <v>0</v>
      </c>
      <c r="R4439" t="s">
        <v>46572</v>
      </c>
      <c r="S4439" t="s">
        <v>46689</v>
      </c>
      <c r="T4439" t="s">
        <v>48219</v>
      </c>
      <c r="U4439" t="s">
        <v>52437</v>
      </c>
      <c r="W4439" t="s">
        <v>44257</v>
      </c>
      <c r="X4439" t="s">
        <v>46573</v>
      </c>
    </row>
    <row r="4440" spans="1:24">
      <c r="A4440">
        <f>HYPERLINK("https://www.philgeps.gov.ph/GEPSNONPILOT/Tender/SplashBidNoticeAbstractUI.aspx?menuIndex=3&amp;refID=7064136&amp;Result=3","7064136")</f>
        <v>0</v>
      </c>
      <c r="B4440" t="s">
        <v>1581</v>
      </c>
      <c r="C4440" t="s">
        <v>7780</v>
      </c>
      <c r="D4440" t="s">
        <v>18816</v>
      </c>
      <c r="E4440" t="s">
        <v>22883</v>
      </c>
      <c r="F4440" t="s">
        <v>32664</v>
      </c>
      <c r="G4440" t="s">
        <v>32677</v>
      </c>
      <c r="H4440" t="s">
        <v>32682</v>
      </c>
      <c r="I4440" t="s">
        <v>32708</v>
      </c>
      <c r="J4440" t="s">
        <v>35695</v>
      </c>
      <c r="K4440" t="s">
        <v>42297</v>
      </c>
      <c r="M4440" t="s">
        <v>44258</v>
      </c>
      <c r="N4440" t="s">
        <v>46569</v>
      </c>
      <c r="O4440" t="s">
        <v>46570</v>
      </c>
      <c r="P4440">
        <v>0</v>
      </c>
      <c r="Q4440">
        <v>4</v>
      </c>
      <c r="R4440" t="s">
        <v>46572</v>
      </c>
      <c r="S4440" t="s">
        <v>46689</v>
      </c>
      <c r="T4440" t="s">
        <v>48256</v>
      </c>
      <c r="U4440" t="s">
        <v>52438</v>
      </c>
      <c r="W4440" t="s">
        <v>44258</v>
      </c>
      <c r="X4440" t="s">
        <v>46573</v>
      </c>
    </row>
    <row r="4441" spans="1:24">
      <c r="A4441">
        <f>HYPERLINK("https://www.philgeps.gov.ph/GEPSNONPILOT/Tender/SplashBidNoticeAbstractUI.aspx?menuIndex=3&amp;refID=7064106&amp;Result=3","7064106")</f>
        <v>0</v>
      </c>
      <c r="B4441" t="s">
        <v>1528</v>
      </c>
      <c r="C4441" t="s">
        <v>7781</v>
      </c>
      <c r="D4441" t="s">
        <v>18789</v>
      </c>
      <c r="E4441" t="s">
        <v>22884</v>
      </c>
      <c r="F4441" t="s">
        <v>32664</v>
      </c>
      <c r="G4441" t="s">
        <v>32674</v>
      </c>
      <c r="H4441" t="s">
        <v>32682</v>
      </c>
      <c r="I4441" t="s">
        <v>11464</v>
      </c>
      <c r="J4441" t="s">
        <v>35696</v>
      </c>
      <c r="K4441" t="s">
        <v>42295</v>
      </c>
      <c r="M4441" t="s">
        <v>44195</v>
      </c>
      <c r="N4441" t="s">
        <v>46569</v>
      </c>
      <c r="O4441" t="s">
        <v>46570</v>
      </c>
      <c r="P4441">
        <v>0</v>
      </c>
      <c r="Q4441">
        <v>0</v>
      </c>
      <c r="R4441" t="s">
        <v>46572</v>
      </c>
      <c r="S4441" t="s">
        <v>46689</v>
      </c>
      <c r="T4441" t="s">
        <v>48287</v>
      </c>
      <c r="U4441" t="s">
        <v>52439</v>
      </c>
      <c r="V4441" t="s">
        <v>62054</v>
      </c>
      <c r="W4441" t="s">
        <v>44195</v>
      </c>
      <c r="X4441" t="s">
        <v>46573</v>
      </c>
    </row>
    <row r="4442" spans="1:24">
      <c r="A4442">
        <f>HYPERLINK("https://www.philgeps.gov.ph/GEPSNONPILOT/Tender/SplashBidNoticeAbstractUI.aspx?menuIndex=3&amp;refID=7064105&amp;Result=3","7064105")</f>
        <v>0</v>
      </c>
      <c r="B4442" t="s">
        <v>1582</v>
      </c>
      <c r="C4442" t="s">
        <v>7782</v>
      </c>
      <c r="D4442" t="s">
        <v>18798</v>
      </c>
      <c r="E4442" t="s">
        <v>22885</v>
      </c>
      <c r="F4442" t="s">
        <v>32664</v>
      </c>
      <c r="G4442" t="s">
        <v>32671</v>
      </c>
      <c r="H4442" t="s">
        <v>12635</v>
      </c>
      <c r="I4442" t="s">
        <v>5501</v>
      </c>
      <c r="J4442" t="s">
        <v>35697</v>
      </c>
      <c r="K4442" t="s">
        <v>42283</v>
      </c>
      <c r="M4442" t="s">
        <v>44259</v>
      </c>
      <c r="N4442" t="s">
        <v>46569</v>
      </c>
      <c r="O4442" t="s">
        <v>46570</v>
      </c>
      <c r="P4442">
        <v>0</v>
      </c>
      <c r="Q4442">
        <v>2</v>
      </c>
      <c r="R4442" t="s">
        <v>46572</v>
      </c>
      <c r="S4442" t="s">
        <v>46689</v>
      </c>
      <c r="T4442" t="s">
        <v>48217</v>
      </c>
      <c r="U4442" t="s">
        <v>52440</v>
      </c>
      <c r="W4442" t="s">
        <v>44259</v>
      </c>
      <c r="X4442" t="s">
        <v>46573</v>
      </c>
    </row>
    <row r="4443" spans="1:24">
      <c r="A4443">
        <f>HYPERLINK("https://www.philgeps.gov.ph/GEPSNONPILOT/Tender/SplashBidNoticeAbstractUI.aspx?menuIndex=3&amp;refID=7064109&amp;Result=3","7064109")</f>
        <v>0</v>
      </c>
      <c r="B4443" t="s">
        <v>349</v>
      </c>
      <c r="C4443" t="s">
        <v>7783</v>
      </c>
      <c r="D4443" t="s">
        <v>18834</v>
      </c>
      <c r="E4443" t="s">
        <v>22886</v>
      </c>
      <c r="F4443" t="s">
        <v>32664</v>
      </c>
      <c r="G4443" t="s">
        <v>32674</v>
      </c>
      <c r="H4443" t="s">
        <v>12635</v>
      </c>
      <c r="I4443" t="s">
        <v>7429</v>
      </c>
      <c r="J4443" t="s">
        <v>33578</v>
      </c>
      <c r="K4443" t="s">
        <v>42297</v>
      </c>
      <c r="M4443" t="s">
        <v>42918</v>
      </c>
      <c r="N4443" t="s">
        <v>46569</v>
      </c>
      <c r="O4443" t="s">
        <v>46570</v>
      </c>
      <c r="P4443">
        <v>0</v>
      </c>
      <c r="Q4443">
        <v>0</v>
      </c>
      <c r="R4443" t="s">
        <v>46572</v>
      </c>
      <c r="S4443" t="s">
        <v>46689</v>
      </c>
      <c r="T4443" t="s">
        <v>48316</v>
      </c>
      <c r="U4443" t="s">
        <v>52441</v>
      </c>
      <c r="W4443" t="s">
        <v>63473</v>
      </c>
      <c r="X4443" t="s">
        <v>46573</v>
      </c>
    </row>
    <row r="4444" spans="1:24">
      <c r="A4444">
        <f>HYPERLINK("https://www.philgeps.gov.ph/GEPSNONPILOT/Tender/SplashBidNoticeAbstractUI.aspx?menuIndex=3&amp;refID=7064130&amp;Result=3","7064130")</f>
        <v>0</v>
      </c>
      <c r="B4444" t="s">
        <v>1574</v>
      </c>
      <c r="C4444" t="s">
        <v>7784</v>
      </c>
      <c r="D4444" t="s">
        <v>18830</v>
      </c>
      <c r="E4444" t="s">
        <v>22887</v>
      </c>
      <c r="F4444" t="s">
        <v>32664</v>
      </c>
      <c r="G4444" t="s">
        <v>32672</v>
      </c>
      <c r="H4444" t="s">
        <v>32683</v>
      </c>
      <c r="I4444" t="s">
        <v>10627</v>
      </c>
      <c r="J4444" t="s">
        <v>33345</v>
      </c>
      <c r="K4444" t="s">
        <v>42298</v>
      </c>
      <c r="M4444" t="s">
        <v>44249</v>
      </c>
      <c r="N4444" t="s">
        <v>46569</v>
      </c>
      <c r="O4444" t="s">
        <v>46570</v>
      </c>
      <c r="P4444">
        <v>0</v>
      </c>
      <c r="Q4444">
        <v>0</v>
      </c>
      <c r="R4444" t="s">
        <v>46572</v>
      </c>
      <c r="S4444" t="s">
        <v>46689</v>
      </c>
      <c r="T4444" t="s">
        <v>48220</v>
      </c>
      <c r="U4444" t="s">
        <v>52442</v>
      </c>
      <c r="V4444" t="s">
        <v>62072</v>
      </c>
      <c r="W4444" t="s">
        <v>44249</v>
      </c>
      <c r="X4444" t="s">
        <v>46573</v>
      </c>
    </row>
    <row r="4445" spans="1:24">
      <c r="A4445">
        <f>HYPERLINK("https://www.philgeps.gov.ph/GEPSNONPILOT/Tender/SplashBidNoticeAbstractUI.aspx?menuIndex=3&amp;refID=7064166&amp;Result=3","7064166")</f>
        <v>0</v>
      </c>
      <c r="B4445" t="s">
        <v>629</v>
      </c>
      <c r="C4445" t="s">
        <v>7785</v>
      </c>
      <c r="D4445" t="s">
        <v>18782</v>
      </c>
      <c r="E4445" t="s">
        <v>22888</v>
      </c>
      <c r="F4445" t="s">
        <v>32664</v>
      </c>
      <c r="G4445" t="s">
        <v>32674</v>
      </c>
      <c r="H4445" t="s">
        <v>12635</v>
      </c>
      <c r="I4445" t="s">
        <v>6223</v>
      </c>
      <c r="J4445" t="s">
        <v>35698</v>
      </c>
      <c r="K4445" t="s">
        <v>42283</v>
      </c>
      <c r="M4445" t="s">
        <v>43211</v>
      </c>
      <c r="N4445" t="s">
        <v>46569</v>
      </c>
      <c r="O4445" t="s">
        <v>46570</v>
      </c>
      <c r="P4445">
        <v>0</v>
      </c>
      <c r="Q4445">
        <v>1</v>
      </c>
      <c r="R4445" t="s">
        <v>46572</v>
      </c>
      <c r="S4445" t="s">
        <v>46689</v>
      </c>
      <c r="T4445" t="s">
        <v>48316</v>
      </c>
      <c r="U4445" t="s">
        <v>52443</v>
      </c>
      <c r="W4445" t="s">
        <v>43211</v>
      </c>
      <c r="X4445" t="s">
        <v>46573</v>
      </c>
    </row>
    <row r="4446" spans="1:24">
      <c r="A4446">
        <f>HYPERLINK("https://www.philgeps.gov.ph/GEPSNONPILOT/Tender/SplashBidNoticeAbstractUI.aspx?menuIndex=3&amp;refID=7064107&amp;Result=3","7064107")</f>
        <v>0</v>
      </c>
      <c r="B4446" t="s">
        <v>1540</v>
      </c>
      <c r="C4446" t="s">
        <v>7786</v>
      </c>
      <c r="D4446" t="s">
        <v>18838</v>
      </c>
      <c r="E4446" t="s">
        <v>22889</v>
      </c>
      <c r="F4446" t="s">
        <v>32664</v>
      </c>
      <c r="G4446" t="s">
        <v>32671</v>
      </c>
      <c r="H4446" t="s">
        <v>12635</v>
      </c>
      <c r="I4446" t="s">
        <v>32729</v>
      </c>
      <c r="J4446" t="s">
        <v>32898</v>
      </c>
      <c r="K4446" t="s">
        <v>42283</v>
      </c>
      <c r="M4446" t="s">
        <v>44209</v>
      </c>
      <c r="N4446" t="s">
        <v>46569</v>
      </c>
      <c r="O4446" t="s">
        <v>46570</v>
      </c>
      <c r="P4446">
        <v>0</v>
      </c>
      <c r="Q4446">
        <v>2</v>
      </c>
      <c r="R4446" t="s">
        <v>46572</v>
      </c>
      <c r="S4446" t="s">
        <v>46689</v>
      </c>
      <c r="T4446" t="s">
        <v>48312</v>
      </c>
      <c r="U4446" t="s">
        <v>52444</v>
      </c>
      <c r="W4446" t="s">
        <v>44209</v>
      </c>
      <c r="X4446" t="s">
        <v>46573</v>
      </c>
    </row>
    <row r="4447" spans="1:24">
      <c r="A4447">
        <f>HYPERLINK("https://www.philgeps.gov.ph/GEPSNONPILOT/Tender/SplashBidNoticeAbstractUI.aspx?menuIndex=3&amp;refID=7064104&amp;Result=3","7064104")</f>
        <v>0</v>
      </c>
      <c r="B4447" t="s">
        <v>1574</v>
      </c>
      <c r="C4447" t="s">
        <v>7787</v>
      </c>
      <c r="D4447" t="s">
        <v>18830</v>
      </c>
      <c r="E4447" t="s">
        <v>22890</v>
      </c>
      <c r="F4447" t="s">
        <v>32664</v>
      </c>
      <c r="G4447" t="s">
        <v>32672</v>
      </c>
      <c r="H4447" t="s">
        <v>12635</v>
      </c>
      <c r="I4447" t="s">
        <v>6628</v>
      </c>
      <c r="J4447" t="s">
        <v>35699</v>
      </c>
      <c r="K4447" t="s">
        <v>42303</v>
      </c>
      <c r="M4447" t="s">
        <v>44249</v>
      </c>
      <c r="N4447" t="s">
        <v>46569</v>
      </c>
      <c r="O4447" t="s">
        <v>46570</v>
      </c>
      <c r="P4447">
        <v>0</v>
      </c>
      <c r="Q4447">
        <v>2</v>
      </c>
      <c r="R4447" t="s">
        <v>46572</v>
      </c>
      <c r="S4447" t="s">
        <v>46689</v>
      </c>
      <c r="T4447" t="s">
        <v>48296</v>
      </c>
      <c r="U4447" t="s">
        <v>52445</v>
      </c>
      <c r="V4447" t="s">
        <v>62075</v>
      </c>
      <c r="W4447" t="s">
        <v>44249</v>
      </c>
      <c r="X4447" t="s">
        <v>46573</v>
      </c>
    </row>
    <row r="4448" spans="1:24">
      <c r="A4448">
        <f>HYPERLINK("https://www.philgeps.gov.ph/GEPSNONPILOT/Tender/SplashBidNoticeAbstractUI.aspx?menuIndex=3&amp;refID=7064127&amp;Result=3","7064127")</f>
        <v>0</v>
      </c>
      <c r="B4448" t="s">
        <v>1583</v>
      </c>
      <c r="C4448" t="s">
        <v>7788</v>
      </c>
      <c r="D4448" t="s">
        <v>18831</v>
      </c>
      <c r="E4448" t="s">
        <v>22891</v>
      </c>
      <c r="F4448" t="s">
        <v>32664</v>
      </c>
      <c r="G4448" t="s">
        <v>32671</v>
      </c>
      <c r="H4448" t="s">
        <v>12635</v>
      </c>
      <c r="I4448" t="s">
        <v>6223</v>
      </c>
      <c r="J4448" t="s">
        <v>35700</v>
      </c>
      <c r="K4448" t="s">
        <v>42289</v>
      </c>
      <c r="M4448" t="s">
        <v>44260</v>
      </c>
      <c r="N4448" t="s">
        <v>46569</v>
      </c>
      <c r="O4448" t="s">
        <v>46570</v>
      </c>
      <c r="P4448">
        <v>0</v>
      </c>
      <c r="Q4448">
        <v>0</v>
      </c>
      <c r="R4448" t="s">
        <v>46572</v>
      </c>
      <c r="S4448" t="s">
        <v>46689</v>
      </c>
      <c r="T4448" t="s">
        <v>48219</v>
      </c>
      <c r="U4448" t="s">
        <v>52446</v>
      </c>
      <c r="V4448" t="s">
        <v>62076</v>
      </c>
      <c r="W4448" t="s">
        <v>44260</v>
      </c>
      <c r="X4448" t="s">
        <v>46573</v>
      </c>
    </row>
    <row r="4449" spans="1:24">
      <c r="A4449">
        <f>HYPERLINK("https://www.philgeps.gov.ph/GEPSNONPILOT/Tender/SplashBidNoticeAbstractUI.aspx?menuIndex=3&amp;refID=7064103&amp;Result=3","7064103")</f>
        <v>0</v>
      </c>
      <c r="B4449" t="s">
        <v>1198</v>
      </c>
      <c r="C4449" t="s">
        <v>7789</v>
      </c>
      <c r="D4449" t="s">
        <v>18842</v>
      </c>
      <c r="E4449" t="s">
        <v>22892</v>
      </c>
      <c r="F4449" t="s">
        <v>32664</v>
      </c>
      <c r="G4449" t="s">
        <v>32672</v>
      </c>
      <c r="H4449" t="s">
        <v>12635</v>
      </c>
      <c r="I4449" t="s">
        <v>32764</v>
      </c>
      <c r="J4449" t="s">
        <v>35701</v>
      </c>
      <c r="K4449" t="s">
        <v>42281</v>
      </c>
      <c r="M4449" t="s">
        <v>43835</v>
      </c>
      <c r="N4449" t="s">
        <v>46569</v>
      </c>
      <c r="O4449" t="s">
        <v>46570</v>
      </c>
      <c r="P4449">
        <v>0</v>
      </c>
      <c r="Q4449">
        <v>1</v>
      </c>
      <c r="R4449" t="s">
        <v>46572</v>
      </c>
      <c r="S4449" t="s">
        <v>46689</v>
      </c>
      <c r="T4449" t="s">
        <v>48222</v>
      </c>
      <c r="U4449" t="s">
        <v>52447</v>
      </c>
      <c r="W4449" t="s">
        <v>43835</v>
      </c>
      <c r="X4449" t="s">
        <v>46573</v>
      </c>
    </row>
    <row r="4450" spans="1:24">
      <c r="A4450">
        <f>HYPERLINK("https://www.philgeps.gov.ph/GEPSNONPILOT/Tender/SplashBidNoticeAbstractUI.aspx?menuIndex=3&amp;refID=7064163&amp;Result=3","7064163")</f>
        <v>0</v>
      </c>
      <c r="B4450" t="s">
        <v>1584</v>
      </c>
      <c r="C4450" t="s">
        <v>7790</v>
      </c>
      <c r="D4450" t="s">
        <v>18805</v>
      </c>
      <c r="E4450" t="s">
        <v>19226</v>
      </c>
      <c r="F4450" t="s">
        <v>32664</v>
      </c>
      <c r="G4450" t="s">
        <v>32671</v>
      </c>
      <c r="H4450" t="s">
        <v>12635</v>
      </c>
      <c r="I4450" t="s">
        <v>10374</v>
      </c>
      <c r="J4450" t="s">
        <v>35702</v>
      </c>
      <c r="K4450" t="s">
        <v>42283</v>
      </c>
      <c r="M4450" t="s">
        <v>44261</v>
      </c>
      <c r="N4450" t="s">
        <v>46569</v>
      </c>
      <c r="O4450" t="s">
        <v>46570</v>
      </c>
      <c r="P4450">
        <v>0</v>
      </c>
      <c r="Q4450">
        <v>0</v>
      </c>
      <c r="R4450" t="s">
        <v>46572</v>
      </c>
      <c r="S4450" t="s">
        <v>46689</v>
      </c>
      <c r="T4450" t="s">
        <v>48219</v>
      </c>
      <c r="U4450" t="s">
        <v>52448</v>
      </c>
      <c r="W4450" t="s">
        <v>44261</v>
      </c>
      <c r="X4450" t="s">
        <v>46573</v>
      </c>
    </row>
    <row r="4451" spans="1:24">
      <c r="A4451">
        <f>HYPERLINK("https://www.philgeps.gov.ph/GEPSNONPILOT/Tender/SplashBidNoticeAbstractUI.aspx?menuIndex=3&amp;refID=7064161&amp;Result=3","7064161")</f>
        <v>0</v>
      </c>
      <c r="B4451" t="s">
        <v>1562</v>
      </c>
      <c r="C4451" t="s">
        <v>7791</v>
      </c>
      <c r="D4451" t="s">
        <v>18805</v>
      </c>
      <c r="E4451" t="s">
        <v>22893</v>
      </c>
      <c r="F4451" t="s">
        <v>32664</v>
      </c>
      <c r="G4451" t="s">
        <v>32672</v>
      </c>
      <c r="H4451" t="s">
        <v>12635</v>
      </c>
      <c r="I4451" t="s">
        <v>32782</v>
      </c>
      <c r="J4451" t="s">
        <v>34713</v>
      </c>
      <c r="K4451" t="s">
        <v>42281</v>
      </c>
      <c r="M4451" t="s">
        <v>44234</v>
      </c>
      <c r="N4451" t="s">
        <v>46569</v>
      </c>
      <c r="O4451" t="s">
        <v>46570</v>
      </c>
      <c r="P4451">
        <v>0</v>
      </c>
      <c r="Q4451">
        <v>1</v>
      </c>
      <c r="R4451" t="s">
        <v>46572</v>
      </c>
      <c r="S4451" t="s">
        <v>46689</v>
      </c>
      <c r="T4451" t="s">
        <v>48304</v>
      </c>
      <c r="U4451" t="s">
        <v>52449</v>
      </c>
      <c r="W4451" t="s">
        <v>44234</v>
      </c>
      <c r="X4451" t="s">
        <v>46573</v>
      </c>
    </row>
    <row r="4452" spans="1:24">
      <c r="A4452">
        <f>HYPERLINK("https://www.philgeps.gov.ph/GEPSNONPILOT/Tender/SplashBidNoticeAbstractUI.aspx?menuIndex=3&amp;refID=7064158&amp;Result=3","7064158")</f>
        <v>0</v>
      </c>
      <c r="B4452" t="s">
        <v>1585</v>
      </c>
      <c r="C4452" t="s">
        <v>7792</v>
      </c>
      <c r="D4452" t="s">
        <v>18784</v>
      </c>
      <c r="E4452" t="s">
        <v>22894</v>
      </c>
      <c r="F4452" t="s">
        <v>32664</v>
      </c>
      <c r="G4452" t="s">
        <v>32671</v>
      </c>
      <c r="H4452" t="s">
        <v>12635</v>
      </c>
      <c r="I4452" t="s">
        <v>32755</v>
      </c>
      <c r="J4452" t="s">
        <v>35703</v>
      </c>
      <c r="K4452" t="s">
        <v>42289</v>
      </c>
      <c r="M4452" t="s">
        <v>44262</v>
      </c>
      <c r="N4452" t="s">
        <v>46569</v>
      </c>
      <c r="O4452" t="s">
        <v>46570</v>
      </c>
      <c r="P4452">
        <v>0</v>
      </c>
      <c r="Q4452">
        <v>3</v>
      </c>
      <c r="R4452" t="s">
        <v>46572</v>
      </c>
      <c r="S4452" t="s">
        <v>46689</v>
      </c>
      <c r="T4452" t="s">
        <v>48256</v>
      </c>
      <c r="U4452" t="s">
        <v>52450</v>
      </c>
      <c r="W4452" t="s">
        <v>44262</v>
      </c>
      <c r="X4452" t="s">
        <v>46573</v>
      </c>
    </row>
    <row r="4453" spans="1:24">
      <c r="A4453">
        <f>HYPERLINK("https://www.philgeps.gov.ph/GEPSNONPILOT/Tender/SplashBidNoticeAbstractUI.aspx?menuIndex=3&amp;refID=7064156&amp;Result=3","7064156")</f>
        <v>0</v>
      </c>
      <c r="B4453" t="s">
        <v>1586</v>
      </c>
      <c r="C4453" t="s">
        <v>7793</v>
      </c>
      <c r="D4453" t="s">
        <v>18814</v>
      </c>
      <c r="E4453" t="s">
        <v>22895</v>
      </c>
      <c r="F4453" t="s">
        <v>32664</v>
      </c>
      <c r="G4453" t="s">
        <v>32671</v>
      </c>
      <c r="H4453" t="s">
        <v>12635</v>
      </c>
      <c r="I4453" t="s">
        <v>7759</v>
      </c>
      <c r="J4453" t="s">
        <v>35704</v>
      </c>
      <c r="K4453" t="s">
        <v>42283</v>
      </c>
      <c r="M4453" t="s">
        <v>44263</v>
      </c>
      <c r="N4453" t="s">
        <v>46569</v>
      </c>
      <c r="O4453" t="s">
        <v>46570</v>
      </c>
      <c r="P4453">
        <v>0</v>
      </c>
      <c r="Q4453">
        <v>0</v>
      </c>
      <c r="R4453" t="s">
        <v>46572</v>
      </c>
      <c r="S4453" t="s">
        <v>46689</v>
      </c>
      <c r="T4453" t="s">
        <v>48221</v>
      </c>
      <c r="U4453" t="s">
        <v>52451</v>
      </c>
      <c r="W4453" t="s">
        <v>44263</v>
      </c>
      <c r="X4453" t="s">
        <v>46573</v>
      </c>
    </row>
    <row r="4454" spans="1:24">
      <c r="A4454">
        <f>HYPERLINK("https://www.philgeps.gov.ph/GEPSNONPILOT/Tender/SplashBidNoticeAbstractUI.aspx?menuIndex=3&amp;refID=7064084&amp;Result=3","7064084")</f>
        <v>0</v>
      </c>
      <c r="B4454" t="s">
        <v>1587</v>
      </c>
      <c r="C4454" t="s">
        <v>7794</v>
      </c>
      <c r="D4454" t="s">
        <v>18825</v>
      </c>
      <c r="E4454" t="s">
        <v>22896</v>
      </c>
      <c r="F4454" t="s">
        <v>32664</v>
      </c>
      <c r="G4454" t="s">
        <v>32672</v>
      </c>
      <c r="H4454" t="s">
        <v>12635</v>
      </c>
      <c r="I4454" t="s">
        <v>32748</v>
      </c>
      <c r="J4454" t="s">
        <v>35705</v>
      </c>
      <c r="K4454" t="s">
        <v>42284</v>
      </c>
      <c r="M4454" t="s">
        <v>44264</v>
      </c>
      <c r="N4454" t="s">
        <v>46569</v>
      </c>
      <c r="O4454" t="s">
        <v>46570</v>
      </c>
      <c r="P4454">
        <v>0</v>
      </c>
      <c r="Q4454">
        <v>3</v>
      </c>
      <c r="R4454" t="s">
        <v>46572</v>
      </c>
      <c r="S4454" t="s">
        <v>46689</v>
      </c>
      <c r="T4454" t="s">
        <v>48285</v>
      </c>
      <c r="U4454" t="s">
        <v>52452</v>
      </c>
      <c r="W4454" t="s">
        <v>44264</v>
      </c>
      <c r="X4454" t="s">
        <v>46573</v>
      </c>
    </row>
    <row r="4455" spans="1:24">
      <c r="A4455">
        <f>HYPERLINK("https://www.philgeps.gov.ph/GEPSNONPILOT/Tender/SplashBidNoticeAbstractUI.aspx?menuIndex=3&amp;refID=7064159&amp;Result=3","7064159")</f>
        <v>0</v>
      </c>
      <c r="B4455" t="s">
        <v>1574</v>
      </c>
      <c r="C4455" t="s">
        <v>7795</v>
      </c>
      <c r="D4455" t="s">
        <v>18830</v>
      </c>
      <c r="E4455" t="s">
        <v>22897</v>
      </c>
      <c r="F4455" t="s">
        <v>32664</v>
      </c>
      <c r="G4455" t="s">
        <v>32672</v>
      </c>
      <c r="H4455" t="s">
        <v>32683</v>
      </c>
      <c r="I4455" t="s">
        <v>10627</v>
      </c>
      <c r="J4455" t="s">
        <v>33051</v>
      </c>
      <c r="K4455" t="s">
        <v>42305</v>
      </c>
      <c r="M4455" t="s">
        <v>44249</v>
      </c>
      <c r="N4455" t="s">
        <v>46569</v>
      </c>
      <c r="O4455" t="s">
        <v>46570</v>
      </c>
      <c r="P4455">
        <v>0</v>
      </c>
      <c r="Q4455">
        <v>0</v>
      </c>
      <c r="R4455" t="s">
        <v>46572</v>
      </c>
      <c r="S4455" t="s">
        <v>46689</v>
      </c>
      <c r="T4455" t="s">
        <v>48220</v>
      </c>
      <c r="U4455" t="s">
        <v>52453</v>
      </c>
      <c r="V4455" t="s">
        <v>62072</v>
      </c>
      <c r="W4455" t="s">
        <v>44249</v>
      </c>
      <c r="X4455" t="s">
        <v>46573</v>
      </c>
    </row>
    <row r="4456" spans="1:24">
      <c r="A4456">
        <f>HYPERLINK("https://www.philgeps.gov.ph/GEPSNONPILOT/Tender/SplashBidNoticeAbstractUI.aspx?menuIndex=3&amp;refID=7064154&amp;Result=3","7064154")</f>
        <v>0</v>
      </c>
      <c r="B4456" t="s">
        <v>1572</v>
      </c>
      <c r="C4456" t="s">
        <v>7796</v>
      </c>
      <c r="D4456" t="s">
        <v>18798</v>
      </c>
      <c r="E4456" t="s">
        <v>22898</v>
      </c>
      <c r="F4456" t="s">
        <v>32664</v>
      </c>
      <c r="G4456" t="s">
        <v>32671</v>
      </c>
      <c r="H4456" t="s">
        <v>12635</v>
      </c>
      <c r="I4456" t="s">
        <v>5501</v>
      </c>
      <c r="J4456" t="s">
        <v>32898</v>
      </c>
      <c r="K4456" t="s">
        <v>42289</v>
      </c>
      <c r="M4456" t="s">
        <v>44247</v>
      </c>
      <c r="N4456" t="s">
        <v>46569</v>
      </c>
      <c r="O4456" t="s">
        <v>46570</v>
      </c>
      <c r="P4456">
        <v>0</v>
      </c>
      <c r="Q4456">
        <v>7</v>
      </c>
      <c r="R4456" t="s">
        <v>46572</v>
      </c>
      <c r="S4456" t="s">
        <v>46689</v>
      </c>
      <c r="T4456" t="s">
        <v>48280</v>
      </c>
      <c r="U4456" t="s">
        <v>52454</v>
      </c>
      <c r="V4456" t="s">
        <v>62077</v>
      </c>
      <c r="W4456" t="s">
        <v>44247</v>
      </c>
      <c r="X4456" t="s">
        <v>46573</v>
      </c>
    </row>
    <row r="4457" spans="1:24">
      <c r="A4457">
        <f>HYPERLINK("https://www.philgeps.gov.ph/GEPSNONPILOT/Tender/SplashBidNoticeAbstractUI.aspx?menuIndex=3&amp;refID=7064153&amp;Result=3","7064153")</f>
        <v>0</v>
      </c>
      <c r="B4457" t="s">
        <v>1574</v>
      </c>
      <c r="C4457" t="s">
        <v>7797</v>
      </c>
      <c r="D4457" t="s">
        <v>18830</v>
      </c>
      <c r="E4457" t="s">
        <v>22899</v>
      </c>
      <c r="F4457" t="s">
        <v>32664</v>
      </c>
      <c r="G4457" t="s">
        <v>32672</v>
      </c>
      <c r="H4457" t="s">
        <v>32683</v>
      </c>
      <c r="I4457" t="s">
        <v>10627</v>
      </c>
      <c r="J4457" t="s">
        <v>33051</v>
      </c>
      <c r="K4457" t="s">
        <v>42316</v>
      </c>
      <c r="M4457" t="s">
        <v>44249</v>
      </c>
      <c r="N4457" t="s">
        <v>46569</v>
      </c>
      <c r="O4457" t="s">
        <v>46570</v>
      </c>
      <c r="P4457">
        <v>0</v>
      </c>
      <c r="Q4457">
        <v>0</v>
      </c>
      <c r="R4457" t="s">
        <v>46572</v>
      </c>
      <c r="S4457" t="s">
        <v>46689</v>
      </c>
      <c r="T4457" t="s">
        <v>48220</v>
      </c>
      <c r="U4457" t="s">
        <v>52455</v>
      </c>
      <c r="V4457" t="s">
        <v>62072</v>
      </c>
      <c r="W4457" t="s">
        <v>44249</v>
      </c>
      <c r="X4457" t="s">
        <v>46573</v>
      </c>
    </row>
    <row r="4458" spans="1:24">
      <c r="A4458">
        <f>HYPERLINK("https://www.philgeps.gov.ph/GEPSNONPILOT/Tender/SplashBidNoticeAbstractUI.aspx?menuIndex=3&amp;refID=7064165&amp;Result=3","7064165")</f>
        <v>0</v>
      </c>
      <c r="B4458" t="s">
        <v>1588</v>
      </c>
      <c r="C4458" t="s">
        <v>7798</v>
      </c>
      <c r="D4458" t="s">
        <v>18834</v>
      </c>
      <c r="E4458" t="s">
        <v>22900</v>
      </c>
      <c r="F4458" t="s">
        <v>32664</v>
      </c>
      <c r="G4458" t="s">
        <v>32671</v>
      </c>
      <c r="H4458" t="s">
        <v>12635</v>
      </c>
      <c r="I4458" t="s">
        <v>10590</v>
      </c>
      <c r="J4458" t="s">
        <v>35706</v>
      </c>
      <c r="K4458" t="s">
        <v>42283</v>
      </c>
      <c r="M4458" t="s">
        <v>44265</v>
      </c>
      <c r="N4458" t="s">
        <v>46569</v>
      </c>
      <c r="O4458" t="s">
        <v>46570</v>
      </c>
      <c r="P4458">
        <v>0</v>
      </c>
      <c r="Q4458">
        <v>0</v>
      </c>
      <c r="R4458" t="s">
        <v>46572</v>
      </c>
      <c r="S4458" t="s">
        <v>46689</v>
      </c>
      <c r="T4458" t="s">
        <v>48219</v>
      </c>
      <c r="U4458" t="s">
        <v>52456</v>
      </c>
      <c r="W4458" t="s">
        <v>44265</v>
      </c>
      <c r="X4458" t="s">
        <v>46573</v>
      </c>
    </row>
    <row r="4459" spans="1:24">
      <c r="A4459">
        <f>HYPERLINK("https://www.philgeps.gov.ph/GEPSNONPILOT/Tender/SplashBidNoticeAbstractUI.aspx?menuIndex=3&amp;refID=7064152&amp;Result=3","7064152")</f>
        <v>0</v>
      </c>
      <c r="B4459" t="s">
        <v>946</v>
      </c>
      <c r="C4459" t="s">
        <v>7799</v>
      </c>
      <c r="D4459" t="s">
        <v>18784</v>
      </c>
      <c r="E4459" t="s">
        <v>22901</v>
      </c>
      <c r="F4459" t="s">
        <v>32664</v>
      </c>
      <c r="G4459" t="s">
        <v>32672</v>
      </c>
      <c r="H4459" t="s">
        <v>12635</v>
      </c>
      <c r="I4459" t="s">
        <v>4439</v>
      </c>
      <c r="J4459" t="s">
        <v>33657</v>
      </c>
      <c r="K4459" t="s">
        <v>42284</v>
      </c>
      <c r="M4459" t="s">
        <v>43552</v>
      </c>
      <c r="N4459" t="s">
        <v>46569</v>
      </c>
      <c r="O4459" t="s">
        <v>46570</v>
      </c>
      <c r="P4459">
        <v>0</v>
      </c>
      <c r="Q4459">
        <v>1</v>
      </c>
      <c r="R4459" t="s">
        <v>46572</v>
      </c>
      <c r="S4459" t="s">
        <v>46689</v>
      </c>
      <c r="T4459" t="s">
        <v>48276</v>
      </c>
      <c r="U4459" t="s">
        <v>52457</v>
      </c>
      <c r="W4459" t="s">
        <v>43552</v>
      </c>
      <c r="X4459" t="s">
        <v>46573</v>
      </c>
    </row>
    <row r="4460" spans="1:24">
      <c r="A4460">
        <f>HYPERLINK("https://www.philgeps.gov.ph/GEPSNONPILOT/Tender/SplashBidNoticeAbstractUI.aspx?menuIndex=3&amp;refID=7064151&amp;Result=3","7064151")</f>
        <v>0</v>
      </c>
      <c r="B4460" t="s">
        <v>1589</v>
      </c>
      <c r="C4460" t="s">
        <v>7800</v>
      </c>
      <c r="D4460" t="s">
        <v>18858</v>
      </c>
      <c r="E4460" t="s">
        <v>19484</v>
      </c>
      <c r="F4460" t="s">
        <v>32665</v>
      </c>
      <c r="G4460" t="s">
        <v>32671</v>
      </c>
      <c r="H4460" t="s">
        <v>12635</v>
      </c>
      <c r="I4460" t="s">
        <v>32684</v>
      </c>
      <c r="J4460" t="s">
        <v>35707</v>
      </c>
      <c r="K4460" t="s">
        <v>42340</v>
      </c>
      <c r="M4460" t="s">
        <v>44266</v>
      </c>
      <c r="N4460" t="s">
        <v>46569</v>
      </c>
      <c r="O4460" t="s">
        <v>46570</v>
      </c>
      <c r="P4460">
        <v>0</v>
      </c>
      <c r="Q4460">
        <v>2</v>
      </c>
      <c r="R4460" t="s">
        <v>46572</v>
      </c>
      <c r="S4460" t="s">
        <v>46689</v>
      </c>
      <c r="T4460" t="s">
        <v>48268</v>
      </c>
      <c r="U4460" t="s">
        <v>52458</v>
      </c>
      <c r="V4460" t="s">
        <v>62078</v>
      </c>
      <c r="W4460" t="s">
        <v>44266</v>
      </c>
      <c r="X4460" t="s">
        <v>46573</v>
      </c>
    </row>
    <row r="4461" spans="1:24">
      <c r="A4461">
        <f>HYPERLINK("https://www.philgeps.gov.ph/GEPSNONPILOT/Tender/SplashBidNoticeAbstractUI.aspx?menuIndex=3&amp;refID=7064188&amp;Result=3","7064188")</f>
        <v>0</v>
      </c>
      <c r="B4461" t="s">
        <v>611</v>
      </c>
      <c r="C4461" t="s">
        <v>5825</v>
      </c>
      <c r="D4461" t="s">
        <v>18784</v>
      </c>
      <c r="E4461" t="s">
        <v>22902</v>
      </c>
      <c r="F4461" t="s">
        <v>32664</v>
      </c>
      <c r="G4461" t="s">
        <v>32671</v>
      </c>
      <c r="H4461" t="s">
        <v>12635</v>
      </c>
      <c r="I4461" t="s">
        <v>6223</v>
      </c>
      <c r="J4461" t="s">
        <v>33613</v>
      </c>
      <c r="K4461" t="s">
        <v>42283</v>
      </c>
      <c r="M4461" t="s">
        <v>43191</v>
      </c>
      <c r="N4461" t="s">
        <v>46569</v>
      </c>
      <c r="O4461" t="s">
        <v>46570</v>
      </c>
      <c r="P4461">
        <v>0</v>
      </c>
      <c r="Q4461">
        <v>4</v>
      </c>
      <c r="R4461" t="s">
        <v>46572</v>
      </c>
      <c r="S4461" t="s">
        <v>46689</v>
      </c>
      <c r="T4461" t="s">
        <v>48217</v>
      </c>
      <c r="U4461" t="s">
        <v>52459</v>
      </c>
      <c r="W4461" t="s">
        <v>43191</v>
      </c>
      <c r="X4461" t="s">
        <v>46573</v>
      </c>
    </row>
    <row r="4462" spans="1:24">
      <c r="A4462">
        <f>HYPERLINK("https://www.philgeps.gov.ph/GEPSNONPILOT/Tender/SplashBidNoticeAbstractUI.aspx?menuIndex=3&amp;refID=7064162&amp;Result=3","7064162")</f>
        <v>0</v>
      </c>
      <c r="B4462" t="s">
        <v>1586</v>
      </c>
      <c r="C4462" t="s">
        <v>7801</v>
      </c>
      <c r="D4462" t="s">
        <v>18814</v>
      </c>
      <c r="E4462" t="s">
        <v>22903</v>
      </c>
      <c r="F4462" t="s">
        <v>32664</v>
      </c>
      <c r="G4462" t="s">
        <v>32671</v>
      </c>
      <c r="H4462" t="s">
        <v>12635</v>
      </c>
      <c r="I4462" t="s">
        <v>7759</v>
      </c>
      <c r="J4462" t="s">
        <v>35708</v>
      </c>
      <c r="K4462" t="s">
        <v>42283</v>
      </c>
      <c r="M4462" t="s">
        <v>44263</v>
      </c>
      <c r="N4462" t="s">
        <v>46569</v>
      </c>
      <c r="O4462" t="s">
        <v>46570</v>
      </c>
      <c r="P4462">
        <v>0</v>
      </c>
      <c r="Q4462">
        <v>0</v>
      </c>
      <c r="R4462" t="s">
        <v>46572</v>
      </c>
      <c r="S4462" t="s">
        <v>46689</v>
      </c>
      <c r="T4462" t="s">
        <v>48221</v>
      </c>
      <c r="U4462" t="s">
        <v>52460</v>
      </c>
      <c r="W4462" t="s">
        <v>44263</v>
      </c>
      <c r="X4462" t="s">
        <v>46573</v>
      </c>
    </row>
    <row r="4463" spans="1:24">
      <c r="A4463">
        <f>HYPERLINK("https://www.philgeps.gov.ph/GEPSNONPILOT/Tender/SplashBidNoticeAbstractUI.aspx?menuIndex=3&amp;refID=7064185&amp;Result=3","7064185")</f>
        <v>0</v>
      </c>
      <c r="B4463" t="s">
        <v>1574</v>
      </c>
      <c r="C4463" t="s">
        <v>7802</v>
      </c>
      <c r="D4463" t="s">
        <v>18830</v>
      </c>
      <c r="E4463" t="s">
        <v>22904</v>
      </c>
      <c r="F4463" t="s">
        <v>32664</v>
      </c>
      <c r="G4463" t="s">
        <v>32672</v>
      </c>
      <c r="H4463" t="s">
        <v>32683</v>
      </c>
      <c r="I4463" t="s">
        <v>10627</v>
      </c>
      <c r="J4463" t="s">
        <v>32865</v>
      </c>
      <c r="K4463" t="s">
        <v>42313</v>
      </c>
      <c r="M4463" t="s">
        <v>44249</v>
      </c>
      <c r="N4463" t="s">
        <v>46569</v>
      </c>
      <c r="O4463" t="s">
        <v>46570</v>
      </c>
      <c r="P4463">
        <v>0</v>
      </c>
      <c r="Q4463">
        <v>0</v>
      </c>
      <c r="R4463" t="s">
        <v>46572</v>
      </c>
      <c r="S4463" t="s">
        <v>46689</v>
      </c>
      <c r="T4463" t="s">
        <v>48220</v>
      </c>
      <c r="U4463" t="s">
        <v>52461</v>
      </c>
      <c r="V4463" t="s">
        <v>62072</v>
      </c>
      <c r="W4463" t="s">
        <v>44249</v>
      </c>
      <c r="X4463" t="s">
        <v>46573</v>
      </c>
    </row>
    <row r="4464" spans="1:24">
      <c r="A4464">
        <f>HYPERLINK("https://www.philgeps.gov.ph/GEPSNONPILOT/Tender/SplashBidNoticeAbstractUI.aspx?menuIndex=3&amp;refID=7064164&amp;Result=3","7064164")</f>
        <v>0</v>
      </c>
      <c r="B4464" t="s">
        <v>1590</v>
      </c>
      <c r="C4464" t="s">
        <v>7803</v>
      </c>
      <c r="D4464" t="s">
        <v>18831</v>
      </c>
      <c r="E4464" t="s">
        <v>21598</v>
      </c>
      <c r="F4464" t="s">
        <v>32664</v>
      </c>
      <c r="G4464" t="s">
        <v>32671</v>
      </c>
      <c r="H4464" t="s">
        <v>12635</v>
      </c>
      <c r="I4464" t="s">
        <v>32689</v>
      </c>
      <c r="J4464" t="s">
        <v>35709</v>
      </c>
      <c r="K4464" t="s">
        <v>42297</v>
      </c>
      <c r="M4464" t="s">
        <v>44267</v>
      </c>
      <c r="N4464" t="s">
        <v>46569</v>
      </c>
      <c r="O4464" t="s">
        <v>46570</v>
      </c>
      <c r="P4464">
        <v>0</v>
      </c>
      <c r="Q4464">
        <v>2</v>
      </c>
      <c r="R4464" t="s">
        <v>46572</v>
      </c>
      <c r="S4464" t="s">
        <v>46689</v>
      </c>
      <c r="T4464" t="s">
        <v>48230</v>
      </c>
      <c r="U4464" t="s">
        <v>52462</v>
      </c>
      <c r="V4464" t="s">
        <v>62079</v>
      </c>
      <c r="W4464" t="s">
        <v>44267</v>
      </c>
      <c r="X4464" t="s">
        <v>46573</v>
      </c>
    </row>
    <row r="4465" spans="1:24">
      <c r="A4465">
        <f>HYPERLINK("https://www.philgeps.gov.ph/GEPSNONPILOT/Tender/SplashBidNoticeAbstractUI.aspx?menuIndex=3&amp;refID=7064150&amp;Result=3","7064150")</f>
        <v>0</v>
      </c>
      <c r="B4465" t="s">
        <v>428</v>
      </c>
      <c r="C4465" t="s">
        <v>7804</v>
      </c>
      <c r="D4465" t="s">
        <v>18842</v>
      </c>
      <c r="E4465" t="s">
        <v>22905</v>
      </c>
      <c r="F4465" t="s">
        <v>32664</v>
      </c>
      <c r="G4465" t="s">
        <v>32672</v>
      </c>
      <c r="H4465" t="s">
        <v>32683</v>
      </c>
      <c r="I4465" t="s">
        <v>32783</v>
      </c>
      <c r="J4465" t="s">
        <v>35710</v>
      </c>
      <c r="K4465" t="s">
        <v>42425</v>
      </c>
      <c r="M4465" t="s">
        <v>44243</v>
      </c>
      <c r="N4465" t="s">
        <v>46569</v>
      </c>
      <c r="O4465" t="s">
        <v>46570</v>
      </c>
      <c r="Q4465">
        <v>0</v>
      </c>
      <c r="R4465" t="s">
        <v>46572</v>
      </c>
      <c r="S4465" t="s">
        <v>46703</v>
      </c>
      <c r="T4465" t="s">
        <v>48253</v>
      </c>
      <c r="U4465" t="s">
        <v>52463</v>
      </c>
      <c r="V4465" t="s">
        <v>62080</v>
      </c>
      <c r="W4465" t="s">
        <v>44243</v>
      </c>
      <c r="X4465" t="s">
        <v>46573</v>
      </c>
    </row>
    <row r="4466" spans="1:24">
      <c r="A4466">
        <f>HYPERLINK("https://www.philgeps.gov.ph/GEPSNONPILOT/Tender/SplashBidNoticeAbstractUI.aspx?menuIndex=3&amp;refID=7064155&amp;Result=3","7064155")</f>
        <v>0</v>
      </c>
      <c r="B4466" t="s">
        <v>1574</v>
      </c>
      <c r="C4466" t="s">
        <v>7805</v>
      </c>
      <c r="D4466" t="s">
        <v>18830</v>
      </c>
      <c r="E4466" t="s">
        <v>22906</v>
      </c>
      <c r="F4466" t="s">
        <v>32664</v>
      </c>
      <c r="G4466" t="s">
        <v>32672</v>
      </c>
      <c r="H4466" t="s">
        <v>32683</v>
      </c>
      <c r="I4466" t="s">
        <v>10627</v>
      </c>
      <c r="J4466" t="s">
        <v>32859</v>
      </c>
      <c r="K4466" t="s">
        <v>42316</v>
      </c>
      <c r="M4466" t="s">
        <v>44249</v>
      </c>
      <c r="N4466" t="s">
        <v>46569</v>
      </c>
      <c r="O4466" t="s">
        <v>46570</v>
      </c>
      <c r="P4466">
        <v>0</v>
      </c>
      <c r="Q4466">
        <v>0</v>
      </c>
      <c r="R4466" t="s">
        <v>46572</v>
      </c>
      <c r="S4466" t="s">
        <v>46689</v>
      </c>
      <c r="T4466" t="s">
        <v>48220</v>
      </c>
      <c r="U4466" t="s">
        <v>52464</v>
      </c>
      <c r="V4466" t="s">
        <v>62072</v>
      </c>
      <c r="W4466" t="s">
        <v>44249</v>
      </c>
      <c r="X4466" t="s">
        <v>46573</v>
      </c>
    </row>
    <row r="4467" spans="1:24">
      <c r="A4467">
        <f>HYPERLINK("https://www.philgeps.gov.ph/GEPSNONPILOT/Tender/SplashBidNoticeAbstractUI.aspx?menuIndex=3&amp;refID=7064186&amp;Result=3","7064186")</f>
        <v>0</v>
      </c>
      <c r="B4467" t="s">
        <v>885</v>
      </c>
      <c r="C4467" t="s">
        <v>7806</v>
      </c>
      <c r="D4467" t="s">
        <v>18819</v>
      </c>
      <c r="E4467" t="s">
        <v>22907</v>
      </c>
      <c r="F4467" t="s">
        <v>32664</v>
      </c>
      <c r="G4467" t="s">
        <v>32674</v>
      </c>
      <c r="H4467" t="s">
        <v>12635</v>
      </c>
      <c r="I4467" t="s">
        <v>6223</v>
      </c>
      <c r="J4467" t="s">
        <v>32976</v>
      </c>
      <c r="K4467" t="s">
        <v>42283</v>
      </c>
      <c r="M4467" t="s">
        <v>43486</v>
      </c>
      <c r="N4467" t="s">
        <v>46569</v>
      </c>
      <c r="O4467" t="s">
        <v>46570</v>
      </c>
      <c r="P4467">
        <v>0</v>
      </c>
      <c r="Q4467">
        <v>6</v>
      </c>
      <c r="R4467" t="s">
        <v>46572</v>
      </c>
      <c r="S4467" t="s">
        <v>46689</v>
      </c>
      <c r="T4467" t="s">
        <v>48256</v>
      </c>
      <c r="U4467" t="s">
        <v>52465</v>
      </c>
      <c r="V4467" t="s">
        <v>61836</v>
      </c>
      <c r="W4467" t="s">
        <v>43486</v>
      </c>
      <c r="X4467" t="s">
        <v>46573</v>
      </c>
    </row>
    <row r="4468" spans="1:24">
      <c r="A4468">
        <f>HYPERLINK("https://www.philgeps.gov.ph/GEPSNONPILOT/Tender/SplashBidNoticeAbstractUI.aspx?menuIndex=3&amp;refID=7064181&amp;Result=3","7064181")</f>
        <v>0</v>
      </c>
      <c r="B4468" t="s">
        <v>1586</v>
      </c>
      <c r="C4468" t="s">
        <v>7807</v>
      </c>
      <c r="D4468" t="s">
        <v>18814</v>
      </c>
      <c r="E4468" t="s">
        <v>22908</v>
      </c>
      <c r="F4468" t="s">
        <v>32664</v>
      </c>
      <c r="G4468" t="s">
        <v>32671</v>
      </c>
      <c r="H4468" t="s">
        <v>12635</v>
      </c>
      <c r="I4468" t="s">
        <v>7759</v>
      </c>
      <c r="J4468" t="s">
        <v>35711</v>
      </c>
      <c r="K4468" t="s">
        <v>42283</v>
      </c>
      <c r="M4468" t="s">
        <v>44263</v>
      </c>
      <c r="N4468" t="s">
        <v>46569</v>
      </c>
      <c r="O4468" t="s">
        <v>46570</v>
      </c>
      <c r="P4468">
        <v>0</v>
      </c>
      <c r="Q4468">
        <v>0</v>
      </c>
      <c r="R4468" t="s">
        <v>46572</v>
      </c>
      <c r="S4468" t="s">
        <v>46689</v>
      </c>
      <c r="T4468" t="s">
        <v>48221</v>
      </c>
      <c r="U4468" t="s">
        <v>52466</v>
      </c>
      <c r="W4468" t="s">
        <v>44263</v>
      </c>
      <c r="X4468" t="s">
        <v>46573</v>
      </c>
    </row>
    <row r="4469" spans="1:24">
      <c r="A4469">
        <f>HYPERLINK("https://www.philgeps.gov.ph/GEPSNONPILOT/Tender/SplashBidNoticeAbstractUI.aspx?menuIndex=3&amp;refID=7064180&amp;Result=3","7064180")</f>
        <v>0</v>
      </c>
      <c r="B4469" t="s">
        <v>1572</v>
      </c>
      <c r="C4469" t="s">
        <v>7808</v>
      </c>
      <c r="D4469" t="s">
        <v>18798</v>
      </c>
      <c r="E4469" t="s">
        <v>22909</v>
      </c>
      <c r="F4469" t="s">
        <v>32664</v>
      </c>
      <c r="G4469" t="s">
        <v>32674</v>
      </c>
      <c r="H4469" t="s">
        <v>12635</v>
      </c>
      <c r="I4469" t="s">
        <v>6168</v>
      </c>
      <c r="J4469" t="s">
        <v>35712</v>
      </c>
      <c r="K4469" t="s">
        <v>42289</v>
      </c>
      <c r="M4469" t="s">
        <v>44247</v>
      </c>
      <c r="N4469" t="s">
        <v>46569</v>
      </c>
      <c r="O4469" t="s">
        <v>46570</v>
      </c>
      <c r="P4469">
        <v>0</v>
      </c>
      <c r="Q4469">
        <v>3</v>
      </c>
      <c r="R4469" t="s">
        <v>46572</v>
      </c>
      <c r="S4469" t="s">
        <v>46689</v>
      </c>
      <c r="T4469" t="s">
        <v>48280</v>
      </c>
      <c r="U4469" t="s">
        <v>52467</v>
      </c>
      <c r="V4469" t="s">
        <v>62071</v>
      </c>
      <c r="W4469" t="s">
        <v>44247</v>
      </c>
      <c r="X4469" t="s">
        <v>46573</v>
      </c>
    </row>
    <row r="4470" spans="1:24">
      <c r="A4470">
        <f>HYPERLINK("https://www.philgeps.gov.ph/GEPSNONPILOT/Tender/SplashBidNoticeAbstractUI.aspx?menuIndex=3&amp;refID=7064179&amp;Result=3","7064179")</f>
        <v>0</v>
      </c>
      <c r="B4470" t="s">
        <v>1591</v>
      </c>
      <c r="C4470" t="s">
        <v>7809</v>
      </c>
      <c r="D4470" t="s">
        <v>18786</v>
      </c>
      <c r="E4470" t="s">
        <v>22910</v>
      </c>
      <c r="F4470" t="s">
        <v>32664</v>
      </c>
      <c r="G4470" t="s">
        <v>32671</v>
      </c>
      <c r="H4470" t="s">
        <v>32682</v>
      </c>
      <c r="I4470" t="s">
        <v>6168</v>
      </c>
      <c r="J4470" t="s">
        <v>35713</v>
      </c>
      <c r="K4470" t="s">
        <v>42306</v>
      </c>
      <c r="M4470" t="s">
        <v>44268</v>
      </c>
      <c r="N4470" t="s">
        <v>46569</v>
      </c>
      <c r="O4470" t="s">
        <v>46570</v>
      </c>
      <c r="P4470">
        <v>0</v>
      </c>
      <c r="Q4470">
        <v>0</v>
      </c>
      <c r="R4470" t="s">
        <v>46572</v>
      </c>
      <c r="S4470" t="s">
        <v>46689</v>
      </c>
      <c r="T4470" t="s">
        <v>48225</v>
      </c>
      <c r="U4470" t="s">
        <v>52468</v>
      </c>
      <c r="W4470" t="s">
        <v>44268</v>
      </c>
      <c r="X4470" t="s">
        <v>46573</v>
      </c>
    </row>
    <row r="4471" spans="1:24">
      <c r="A4471">
        <f>HYPERLINK("https://www.philgeps.gov.ph/GEPSNONPILOT/Tender/SplashBidNoticeAbstractUI.aspx?menuIndex=3&amp;refID=7064178&amp;Result=3","7064178")</f>
        <v>0</v>
      </c>
      <c r="B4471" t="s">
        <v>611</v>
      </c>
      <c r="C4471" t="s">
        <v>7810</v>
      </c>
      <c r="D4471" t="s">
        <v>18784</v>
      </c>
      <c r="E4471" t="s">
        <v>22911</v>
      </c>
      <c r="F4471" t="s">
        <v>32664</v>
      </c>
      <c r="G4471" t="s">
        <v>32671</v>
      </c>
      <c r="H4471" t="s">
        <v>12635</v>
      </c>
      <c r="I4471" t="s">
        <v>32704</v>
      </c>
      <c r="J4471" t="s">
        <v>33078</v>
      </c>
      <c r="K4471" t="s">
        <v>42283</v>
      </c>
      <c r="M4471" t="s">
        <v>43191</v>
      </c>
      <c r="N4471" t="s">
        <v>46569</v>
      </c>
      <c r="O4471" t="s">
        <v>46570</v>
      </c>
      <c r="P4471">
        <v>0</v>
      </c>
      <c r="Q4471">
        <v>15</v>
      </c>
      <c r="R4471" t="s">
        <v>46572</v>
      </c>
      <c r="S4471" t="s">
        <v>46689</v>
      </c>
      <c r="T4471" t="s">
        <v>48217</v>
      </c>
      <c r="U4471" t="s">
        <v>52469</v>
      </c>
      <c r="W4471" t="s">
        <v>43191</v>
      </c>
      <c r="X4471" t="s">
        <v>46573</v>
      </c>
    </row>
    <row r="4472" spans="1:24">
      <c r="A4472">
        <f>HYPERLINK("https://www.philgeps.gov.ph/GEPSNONPILOT/Tender/SplashBidNoticeAbstractUI.aspx?menuIndex=3&amp;refID=7064177&amp;Result=3","7064177")</f>
        <v>0</v>
      </c>
      <c r="B4472" t="s">
        <v>1592</v>
      </c>
      <c r="C4472" t="s">
        <v>7811</v>
      </c>
      <c r="D4472" t="s">
        <v>18789</v>
      </c>
      <c r="E4472" t="s">
        <v>22912</v>
      </c>
      <c r="F4472" t="s">
        <v>32664</v>
      </c>
      <c r="G4472" t="s">
        <v>32674</v>
      </c>
      <c r="H4472" t="s">
        <v>12635</v>
      </c>
      <c r="I4472" t="s">
        <v>8730</v>
      </c>
      <c r="J4472" t="s">
        <v>33578</v>
      </c>
      <c r="K4472" t="s">
        <v>42295</v>
      </c>
      <c r="M4472" t="s">
        <v>44269</v>
      </c>
      <c r="N4472" t="s">
        <v>46569</v>
      </c>
      <c r="O4472" t="s">
        <v>46570</v>
      </c>
      <c r="P4472">
        <v>0</v>
      </c>
      <c r="Q4472">
        <v>0</v>
      </c>
      <c r="R4472" t="s">
        <v>46572</v>
      </c>
      <c r="S4472" t="s">
        <v>46689</v>
      </c>
      <c r="T4472" t="s">
        <v>48254</v>
      </c>
      <c r="U4472" t="s">
        <v>52470</v>
      </c>
      <c r="V4472" t="s">
        <v>62081</v>
      </c>
      <c r="W4472" t="s">
        <v>44269</v>
      </c>
      <c r="X4472" t="s">
        <v>46573</v>
      </c>
    </row>
    <row r="4473" spans="1:24">
      <c r="A4473">
        <f>HYPERLINK("https://www.philgeps.gov.ph/GEPSNONPILOT/Tender/SplashBidNoticeAbstractUI.aspx?menuIndex=3&amp;refID=7064190&amp;Result=3","7064190")</f>
        <v>0</v>
      </c>
      <c r="B4473" t="s">
        <v>611</v>
      </c>
      <c r="C4473" t="s">
        <v>7812</v>
      </c>
      <c r="D4473" t="s">
        <v>18784</v>
      </c>
      <c r="E4473" t="s">
        <v>22913</v>
      </c>
      <c r="F4473" t="s">
        <v>32664</v>
      </c>
      <c r="G4473" t="s">
        <v>32671</v>
      </c>
      <c r="H4473" t="s">
        <v>12635</v>
      </c>
      <c r="I4473" t="s">
        <v>32689</v>
      </c>
      <c r="J4473" t="s">
        <v>35096</v>
      </c>
      <c r="K4473" t="s">
        <v>42283</v>
      </c>
      <c r="M4473" t="s">
        <v>43191</v>
      </c>
      <c r="N4473" t="s">
        <v>46569</v>
      </c>
      <c r="O4473" t="s">
        <v>46570</v>
      </c>
      <c r="P4473">
        <v>0</v>
      </c>
      <c r="Q4473">
        <v>8</v>
      </c>
      <c r="R4473" t="s">
        <v>46572</v>
      </c>
      <c r="S4473" t="s">
        <v>46689</v>
      </c>
      <c r="T4473" t="s">
        <v>48217</v>
      </c>
      <c r="U4473" t="s">
        <v>52471</v>
      </c>
      <c r="W4473" t="s">
        <v>43191</v>
      </c>
      <c r="X4473" t="s">
        <v>46573</v>
      </c>
    </row>
    <row r="4474" spans="1:24">
      <c r="A4474">
        <f>HYPERLINK("https://www.philgeps.gov.ph/GEPSNONPILOT/Tender/SplashBidNoticeAbstractUI.aspx?menuIndex=3&amp;refID=7064206&amp;Result=3","7064206")</f>
        <v>0</v>
      </c>
      <c r="B4474" t="s">
        <v>1586</v>
      </c>
      <c r="C4474" t="s">
        <v>7813</v>
      </c>
      <c r="D4474" t="s">
        <v>18814</v>
      </c>
      <c r="E4474" t="s">
        <v>22914</v>
      </c>
      <c r="F4474" t="s">
        <v>32664</v>
      </c>
      <c r="G4474" t="s">
        <v>32671</v>
      </c>
      <c r="H4474" t="s">
        <v>12635</v>
      </c>
      <c r="I4474" t="s">
        <v>6223</v>
      </c>
      <c r="J4474" t="s">
        <v>35714</v>
      </c>
      <c r="K4474" t="s">
        <v>42283</v>
      </c>
      <c r="M4474" t="s">
        <v>44263</v>
      </c>
      <c r="N4474" t="s">
        <v>46569</v>
      </c>
      <c r="O4474" t="s">
        <v>46570</v>
      </c>
      <c r="P4474">
        <v>0</v>
      </c>
      <c r="Q4474">
        <v>1</v>
      </c>
      <c r="R4474" t="s">
        <v>46572</v>
      </c>
      <c r="S4474" t="s">
        <v>46689</v>
      </c>
      <c r="T4474" t="s">
        <v>48221</v>
      </c>
      <c r="U4474" t="s">
        <v>52472</v>
      </c>
      <c r="W4474" t="s">
        <v>44263</v>
      </c>
      <c r="X4474" t="s">
        <v>46573</v>
      </c>
    </row>
    <row r="4475" spans="1:24">
      <c r="A4475">
        <f>HYPERLINK("https://www.philgeps.gov.ph/GEPSNONPILOT/Tender/SplashBidNoticeAbstractUI.aspx?menuIndex=3&amp;refID=7064157&amp;Result=3","7064157")</f>
        <v>0</v>
      </c>
      <c r="B4475" t="s">
        <v>1593</v>
      </c>
      <c r="C4475" t="s">
        <v>7814</v>
      </c>
      <c r="D4475" t="s">
        <v>18784</v>
      </c>
      <c r="E4475" t="s">
        <v>22915</v>
      </c>
      <c r="F4475" t="s">
        <v>32664</v>
      </c>
      <c r="G4475" t="s">
        <v>32672</v>
      </c>
      <c r="H4475" t="s">
        <v>32681</v>
      </c>
      <c r="I4475" t="s">
        <v>32681</v>
      </c>
      <c r="J4475" t="s">
        <v>33150</v>
      </c>
      <c r="K4475" t="s">
        <v>42404</v>
      </c>
      <c r="M4475" t="s">
        <v>44270</v>
      </c>
      <c r="N4475" t="s">
        <v>46569</v>
      </c>
      <c r="O4475" t="s">
        <v>46570</v>
      </c>
      <c r="P4475">
        <v>0</v>
      </c>
      <c r="Q4475">
        <v>1</v>
      </c>
      <c r="R4475" t="s">
        <v>46572</v>
      </c>
      <c r="S4475" t="s">
        <v>46689</v>
      </c>
      <c r="T4475" t="s">
        <v>48515</v>
      </c>
      <c r="U4475" t="s">
        <v>52473</v>
      </c>
      <c r="W4475" t="s">
        <v>44270</v>
      </c>
      <c r="X4475" t="s">
        <v>46573</v>
      </c>
    </row>
    <row r="4476" spans="1:24">
      <c r="A4476">
        <f>HYPERLINK("https://www.philgeps.gov.ph/GEPSNONPILOT/Tender/SplashBidNoticeAbstractUI.aspx?menuIndex=3&amp;refID=7064182&amp;Result=3","7064182")</f>
        <v>0</v>
      </c>
      <c r="B4476" t="s">
        <v>611</v>
      </c>
      <c r="C4476" t="s">
        <v>7815</v>
      </c>
      <c r="D4476" t="s">
        <v>18784</v>
      </c>
      <c r="E4476" t="s">
        <v>22916</v>
      </c>
      <c r="F4476" t="s">
        <v>32664</v>
      </c>
      <c r="G4476" t="s">
        <v>32671</v>
      </c>
      <c r="H4476" t="s">
        <v>12635</v>
      </c>
      <c r="I4476" t="s">
        <v>6223</v>
      </c>
      <c r="J4476" t="s">
        <v>33126</v>
      </c>
      <c r="K4476" t="s">
        <v>42283</v>
      </c>
      <c r="M4476" t="s">
        <v>43191</v>
      </c>
      <c r="N4476" t="s">
        <v>46569</v>
      </c>
      <c r="O4476" t="s">
        <v>46570</v>
      </c>
      <c r="P4476">
        <v>0</v>
      </c>
      <c r="Q4476">
        <v>0</v>
      </c>
      <c r="R4476" t="s">
        <v>46572</v>
      </c>
      <c r="S4476" t="s">
        <v>46689</v>
      </c>
      <c r="T4476" t="s">
        <v>48217</v>
      </c>
      <c r="U4476" t="s">
        <v>52474</v>
      </c>
      <c r="W4476" t="s">
        <v>43191</v>
      </c>
      <c r="X4476" t="s">
        <v>46573</v>
      </c>
    </row>
    <row r="4477" spans="1:24">
      <c r="A4477">
        <f>HYPERLINK("https://www.philgeps.gov.ph/GEPSNONPILOT/Tender/SplashBidNoticeAbstractUI.aspx?menuIndex=3&amp;refID=7064183&amp;Result=3","7064183")</f>
        <v>0</v>
      </c>
      <c r="B4477" t="s">
        <v>1562</v>
      </c>
      <c r="C4477" t="s">
        <v>7816</v>
      </c>
      <c r="D4477" t="s">
        <v>18805</v>
      </c>
      <c r="E4477" t="s">
        <v>22917</v>
      </c>
      <c r="F4477" t="s">
        <v>32664</v>
      </c>
      <c r="G4477" t="s">
        <v>32672</v>
      </c>
      <c r="H4477" t="s">
        <v>12635</v>
      </c>
      <c r="I4477" t="s">
        <v>4439</v>
      </c>
      <c r="J4477" t="s">
        <v>35715</v>
      </c>
      <c r="K4477" t="s">
        <v>42281</v>
      </c>
      <c r="M4477" t="s">
        <v>44234</v>
      </c>
      <c r="N4477" t="s">
        <v>46569</v>
      </c>
      <c r="O4477" t="s">
        <v>46570</v>
      </c>
      <c r="P4477">
        <v>0</v>
      </c>
      <c r="Q4477">
        <v>0</v>
      </c>
      <c r="R4477" t="s">
        <v>46572</v>
      </c>
      <c r="S4477" t="s">
        <v>46689</v>
      </c>
      <c r="T4477" t="s">
        <v>48304</v>
      </c>
      <c r="U4477" t="s">
        <v>52475</v>
      </c>
      <c r="W4477" t="s">
        <v>44234</v>
      </c>
      <c r="X4477" t="s">
        <v>46573</v>
      </c>
    </row>
    <row r="4478" spans="1:24">
      <c r="A4478">
        <f>HYPERLINK("https://www.philgeps.gov.ph/GEPSNONPILOT/Tender/SplashBidNoticeAbstractUI.aspx?menuIndex=3&amp;refID=7064208&amp;Result=3","7064208")</f>
        <v>0</v>
      </c>
      <c r="B4478" t="s">
        <v>1594</v>
      </c>
      <c r="C4478" t="s">
        <v>7817</v>
      </c>
      <c r="D4478" t="s">
        <v>18784</v>
      </c>
      <c r="E4478" t="s">
        <v>19299</v>
      </c>
      <c r="F4478" t="s">
        <v>32664</v>
      </c>
      <c r="G4478" t="s">
        <v>32674</v>
      </c>
      <c r="H4478" t="s">
        <v>12635</v>
      </c>
      <c r="I4478" t="s">
        <v>5501</v>
      </c>
      <c r="J4478" t="s">
        <v>33571</v>
      </c>
      <c r="K4478" t="s">
        <v>42297</v>
      </c>
      <c r="M4478" t="s">
        <v>44271</v>
      </c>
      <c r="N4478" t="s">
        <v>46569</v>
      </c>
      <c r="O4478" t="s">
        <v>46570</v>
      </c>
      <c r="P4478">
        <v>0</v>
      </c>
      <c r="Q4478">
        <v>10</v>
      </c>
      <c r="R4478" t="s">
        <v>46572</v>
      </c>
      <c r="S4478" t="s">
        <v>46689</v>
      </c>
      <c r="T4478" t="s">
        <v>48316</v>
      </c>
      <c r="U4478" t="s">
        <v>52476</v>
      </c>
      <c r="W4478" t="s">
        <v>44271</v>
      </c>
      <c r="X4478" t="s">
        <v>46573</v>
      </c>
    </row>
    <row r="4479" spans="1:24">
      <c r="A4479">
        <f>HYPERLINK("https://www.philgeps.gov.ph/GEPSNONPILOT/Tender/SplashBidNoticeAbstractUI.aspx?menuIndex=3&amp;refID=7064207&amp;Result=3","7064207")</f>
        <v>0</v>
      </c>
      <c r="B4479" t="s">
        <v>1574</v>
      </c>
      <c r="C4479" t="s">
        <v>7818</v>
      </c>
      <c r="D4479" t="s">
        <v>18830</v>
      </c>
      <c r="E4479" t="s">
        <v>22918</v>
      </c>
      <c r="F4479" t="s">
        <v>32664</v>
      </c>
      <c r="G4479" t="s">
        <v>32672</v>
      </c>
      <c r="H4479" t="s">
        <v>32683</v>
      </c>
      <c r="I4479" t="s">
        <v>10627</v>
      </c>
      <c r="J4479" t="s">
        <v>32865</v>
      </c>
      <c r="K4479" t="s">
        <v>42426</v>
      </c>
      <c r="M4479" t="s">
        <v>44249</v>
      </c>
      <c r="N4479" t="s">
        <v>46569</v>
      </c>
      <c r="O4479" t="s">
        <v>46570</v>
      </c>
      <c r="P4479">
        <v>0</v>
      </c>
      <c r="Q4479">
        <v>0</v>
      </c>
      <c r="R4479" t="s">
        <v>46572</v>
      </c>
      <c r="S4479" t="s">
        <v>46689</v>
      </c>
      <c r="T4479" t="s">
        <v>48220</v>
      </c>
      <c r="U4479" t="s">
        <v>52477</v>
      </c>
      <c r="V4479" t="s">
        <v>62072</v>
      </c>
      <c r="W4479" t="s">
        <v>44249</v>
      </c>
      <c r="X4479" t="s">
        <v>46573</v>
      </c>
    </row>
    <row r="4480" spans="1:24">
      <c r="A4480">
        <f>HYPERLINK("https://www.philgeps.gov.ph/GEPSNONPILOT/Tender/SplashBidNoticeAbstractUI.aspx?menuIndex=3&amp;refID=7064187&amp;Result=3","7064187")</f>
        <v>0</v>
      </c>
      <c r="B4480" t="s">
        <v>1595</v>
      </c>
      <c r="C4480" t="s">
        <v>7819</v>
      </c>
      <c r="D4480" t="s">
        <v>18805</v>
      </c>
      <c r="E4480" t="s">
        <v>22919</v>
      </c>
      <c r="F4480" t="s">
        <v>32664</v>
      </c>
      <c r="G4480" t="s">
        <v>32674</v>
      </c>
      <c r="H4480" t="s">
        <v>12635</v>
      </c>
      <c r="I4480" t="s">
        <v>8730</v>
      </c>
      <c r="J4480" t="s">
        <v>35716</v>
      </c>
      <c r="K4480" t="s">
        <v>42281</v>
      </c>
      <c r="M4480" t="s">
        <v>44272</v>
      </c>
      <c r="N4480" t="s">
        <v>46569</v>
      </c>
      <c r="O4480" t="s">
        <v>46570</v>
      </c>
      <c r="P4480">
        <v>0</v>
      </c>
      <c r="Q4480">
        <v>3</v>
      </c>
      <c r="R4480" t="s">
        <v>46572</v>
      </c>
      <c r="S4480" t="s">
        <v>46689</v>
      </c>
      <c r="T4480" t="s">
        <v>48286</v>
      </c>
      <c r="U4480" t="s">
        <v>52478</v>
      </c>
      <c r="W4480" t="s">
        <v>44272</v>
      </c>
      <c r="X4480" t="s">
        <v>46573</v>
      </c>
    </row>
    <row r="4481" spans="1:24">
      <c r="A4481">
        <f>HYPERLINK("https://www.philgeps.gov.ph/GEPSNONPILOT/Tender/SplashBidNoticeAbstractUI.aspx?menuIndex=3&amp;refID=7064205&amp;Result=3","7064205")</f>
        <v>0</v>
      </c>
      <c r="B4481" t="s">
        <v>1562</v>
      </c>
      <c r="C4481" t="s">
        <v>7820</v>
      </c>
      <c r="D4481" t="s">
        <v>18805</v>
      </c>
      <c r="E4481" t="s">
        <v>22920</v>
      </c>
      <c r="F4481" t="s">
        <v>32664</v>
      </c>
      <c r="G4481" t="s">
        <v>32672</v>
      </c>
      <c r="H4481" t="s">
        <v>12635</v>
      </c>
      <c r="I4481" t="s">
        <v>7324</v>
      </c>
      <c r="J4481" t="s">
        <v>32853</v>
      </c>
      <c r="K4481" t="s">
        <v>42281</v>
      </c>
      <c r="M4481" t="s">
        <v>44234</v>
      </c>
      <c r="N4481" t="s">
        <v>46569</v>
      </c>
      <c r="O4481" t="s">
        <v>46570</v>
      </c>
      <c r="P4481">
        <v>0</v>
      </c>
      <c r="Q4481">
        <v>1</v>
      </c>
      <c r="R4481" t="s">
        <v>46572</v>
      </c>
      <c r="S4481" t="s">
        <v>46689</v>
      </c>
      <c r="T4481" t="s">
        <v>48304</v>
      </c>
      <c r="U4481" t="s">
        <v>52479</v>
      </c>
      <c r="W4481" t="s">
        <v>44234</v>
      </c>
      <c r="X4481" t="s">
        <v>46573</v>
      </c>
    </row>
    <row r="4482" spans="1:24">
      <c r="A4482">
        <f>HYPERLINK("https://www.philgeps.gov.ph/GEPSNONPILOT/Tender/SplashBidNoticeAbstractUI.aspx?menuIndex=3&amp;refID=7064204&amp;Result=3","7064204")</f>
        <v>0</v>
      </c>
      <c r="B4482" t="s">
        <v>611</v>
      </c>
      <c r="C4482" t="s">
        <v>7821</v>
      </c>
      <c r="D4482" t="s">
        <v>18784</v>
      </c>
      <c r="E4482" t="s">
        <v>22921</v>
      </c>
      <c r="F4482" t="s">
        <v>32664</v>
      </c>
      <c r="G4482" t="s">
        <v>32671</v>
      </c>
      <c r="H4482" t="s">
        <v>12635</v>
      </c>
      <c r="I4482" t="s">
        <v>8730</v>
      </c>
      <c r="J4482" t="s">
        <v>35717</v>
      </c>
      <c r="K4482" t="s">
        <v>42283</v>
      </c>
      <c r="M4482" t="s">
        <v>43191</v>
      </c>
      <c r="N4482" t="s">
        <v>46569</v>
      </c>
      <c r="O4482" t="s">
        <v>46570</v>
      </c>
      <c r="P4482">
        <v>0</v>
      </c>
      <c r="Q4482">
        <v>6</v>
      </c>
      <c r="R4482" t="s">
        <v>46572</v>
      </c>
      <c r="S4482" t="s">
        <v>46689</v>
      </c>
      <c r="T4482" t="s">
        <v>48217</v>
      </c>
      <c r="U4482" t="s">
        <v>52480</v>
      </c>
      <c r="W4482" t="s">
        <v>43191</v>
      </c>
      <c r="X4482" t="s">
        <v>46573</v>
      </c>
    </row>
    <row r="4483" spans="1:24">
      <c r="A4483">
        <f>HYPERLINK("https://www.philgeps.gov.ph/GEPSNONPILOT/Tender/SplashBidNoticeAbstractUI.aspx?menuIndex=3&amp;refID=7064210&amp;Result=3","7064210")</f>
        <v>0</v>
      </c>
      <c r="B4483" t="s">
        <v>1596</v>
      </c>
      <c r="C4483" t="s">
        <v>7822</v>
      </c>
      <c r="D4483" t="s">
        <v>18794</v>
      </c>
      <c r="E4483" t="s">
        <v>22922</v>
      </c>
      <c r="F4483" t="s">
        <v>32664</v>
      </c>
      <c r="G4483" t="s">
        <v>32672</v>
      </c>
      <c r="H4483" t="s">
        <v>12635</v>
      </c>
      <c r="I4483" t="s">
        <v>32716</v>
      </c>
      <c r="J4483" t="s">
        <v>35718</v>
      </c>
      <c r="K4483" t="s">
        <v>42289</v>
      </c>
      <c r="M4483" t="s">
        <v>44273</v>
      </c>
      <c r="N4483" t="s">
        <v>46569</v>
      </c>
      <c r="O4483" t="s">
        <v>46570</v>
      </c>
      <c r="P4483">
        <v>0</v>
      </c>
      <c r="Q4483">
        <v>0</v>
      </c>
      <c r="R4483" t="s">
        <v>46572</v>
      </c>
      <c r="S4483" t="s">
        <v>46689</v>
      </c>
      <c r="T4483" t="s">
        <v>48516</v>
      </c>
      <c r="U4483" t="s">
        <v>52481</v>
      </c>
      <c r="W4483" t="s">
        <v>44273</v>
      </c>
      <c r="X4483" t="s">
        <v>46573</v>
      </c>
    </row>
    <row r="4484" spans="1:24">
      <c r="A4484">
        <f>HYPERLINK("https://www.philgeps.gov.ph/GEPSNONPILOT/Tender/SplashBidNoticeAbstractUI.aspx?menuIndex=3&amp;refID=7064201&amp;Result=3","7064201")</f>
        <v>0</v>
      </c>
      <c r="B4484" t="s">
        <v>629</v>
      </c>
      <c r="C4484" t="s">
        <v>7823</v>
      </c>
      <c r="D4484" t="s">
        <v>18782</v>
      </c>
      <c r="E4484" t="s">
        <v>22923</v>
      </c>
      <c r="F4484" t="s">
        <v>32664</v>
      </c>
      <c r="G4484" t="s">
        <v>32674</v>
      </c>
      <c r="H4484" t="s">
        <v>12635</v>
      </c>
      <c r="I4484" t="s">
        <v>32746</v>
      </c>
      <c r="J4484" t="s">
        <v>35719</v>
      </c>
      <c r="K4484" t="s">
        <v>42283</v>
      </c>
      <c r="M4484" t="s">
        <v>43211</v>
      </c>
      <c r="N4484" t="s">
        <v>46569</v>
      </c>
      <c r="O4484" t="s">
        <v>46570</v>
      </c>
      <c r="P4484">
        <v>0</v>
      </c>
      <c r="Q4484">
        <v>0</v>
      </c>
      <c r="R4484" t="s">
        <v>46572</v>
      </c>
      <c r="S4484" t="s">
        <v>46689</v>
      </c>
      <c r="T4484" t="s">
        <v>48316</v>
      </c>
      <c r="U4484" t="s">
        <v>52482</v>
      </c>
      <c r="W4484" t="s">
        <v>43211</v>
      </c>
      <c r="X4484" t="s">
        <v>46573</v>
      </c>
    </row>
    <row r="4485" spans="1:24">
      <c r="A4485">
        <f>HYPERLINK("https://www.philgeps.gov.ph/GEPSNONPILOT/Tender/SplashBidNoticeAbstractUI.aspx?menuIndex=3&amp;refID=7064184&amp;Result=3","7064184")</f>
        <v>0</v>
      </c>
      <c r="B4485" t="s">
        <v>1596</v>
      </c>
      <c r="C4485" t="s">
        <v>7824</v>
      </c>
      <c r="D4485" t="s">
        <v>18794</v>
      </c>
      <c r="E4485" t="s">
        <v>22924</v>
      </c>
      <c r="F4485" t="s">
        <v>32664</v>
      </c>
      <c r="G4485" t="s">
        <v>32677</v>
      </c>
      <c r="H4485" t="s">
        <v>12635</v>
      </c>
      <c r="I4485" t="s">
        <v>8730</v>
      </c>
      <c r="J4485" t="s">
        <v>35720</v>
      </c>
      <c r="K4485" t="s">
        <v>42297</v>
      </c>
      <c r="M4485" t="s">
        <v>44273</v>
      </c>
      <c r="N4485" t="s">
        <v>46569</v>
      </c>
      <c r="O4485" t="s">
        <v>46570</v>
      </c>
      <c r="P4485">
        <v>0</v>
      </c>
      <c r="Q4485">
        <v>3</v>
      </c>
      <c r="R4485" t="s">
        <v>46572</v>
      </c>
      <c r="S4485" t="s">
        <v>46689</v>
      </c>
      <c r="T4485" t="s">
        <v>48516</v>
      </c>
      <c r="U4485" t="s">
        <v>52483</v>
      </c>
      <c r="W4485" t="s">
        <v>44273</v>
      </c>
      <c r="X4485" t="s">
        <v>46573</v>
      </c>
    </row>
    <row r="4486" spans="1:24">
      <c r="A4486">
        <f>HYPERLINK("https://www.philgeps.gov.ph/GEPSNONPILOT/Tender/SplashBidNoticeAbstractUI.aspx?menuIndex=3&amp;refID=7064200&amp;Result=3","7064200")</f>
        <v>0</v>
      </c>
      <c r="B4486" t="s">
        <v>1597</v>
      </c>
      <c r="C4486" t="s">
        <v>7825</v>
      </c>
      <c r="D4486" t="s">
        <v>18788</v>
      </c>
      <c r="E4486" t="s">
        <v>22925</v>
      </c>
      <c r="F4486" t="s">
        <v>32664</v>
      </c>
      <c r="G4486" t="s">
        <v>32674</v>
      </c>
      <c r="H4486" t="s">
        <v>12635</v>
      </c>
      <c r="I4486" t="s">
        <v>32690</v>
      </c>
      <c r="J4486" t="s">
        <v>33831</v>
      </c>
      <c r="K4486" t="s">
        <v>42284</v>
      </c>
      <c r="M4486" t="s">
        <v>44274</v>
      </c>
      <c r="N4486" t="s">
        <v>46569</v>
      </c>
      <c r="O4486" t="s">
        <v>46570</v>
      </c>
      <c r="P4486">
        <v>0</v>
      </c>
      <c r="Q4486">
        <v>0</v>
      </c>
      <c r="R4486" t="s">
        <v>46572</v>
      </c>
      <c r="S4486" t="s">
        <v>46689</v>
      </c>
      <c r="T4486" t="s">
        <v>48283</v>
      </c>
      <c r="U4486" t="s">
        <v>52484</v>
      </c>
      <c r="V4486" t="s">
        <v>62082</v>
      </c>
      <c r="W4486" t="s">
        <v>44274</v>
      </c>
      <c r="X4486" t="s">
        <v>46573</v>
      </c>
    </row>
    <row r="4487" spans="1:24">
      <c r="A4487">
        <f>HYPERLINK("https://www.philgeps.gov.ph/GEPSNONPILOT/Tender/SplashBidNoticeAbstractUI.aspx?menuIndex=3&amp;refID=7064198&amp;Result=3","7064198")</f>
        <v>0</v>
      </c>
      <c r="B4487" t="s">
        <v>1598</v>
      </c>
      <c r="C4487" t="s">
        <v>7826</v>
      </c>
      <c r="D4487" t="s">
        <v>18812</v>
      </c>
      <c r="E4487" t="s">
        <v>22926</v>
      </c>
      <c r="F4487" t="s">
        <v>32664</v>
      </c>
      <c r="G4487" t="s">
        <v>32671</v>
      </c>
      <c r="H4487" t="s">
        <v>12635</v>
      </c>
      <c r="I4487" t="s">
        <v>32689</v>
      </c>
      <c r="J4487" t="s">
        <v>34736</v>
      </c>
      <c r="K4487" t="s">
        <v>42281</v>
      </c>
      <c r="M4487" t="s">
        <v>44275</v>
      </c>
      <c r="N4487" t="s">
        <v>46569</v>
      </c>
      <c r="O4487" t="s">
        <v>46570</v>
      </c>
      <c r="P4487">
        <v>0</v>
      </c>
      <c r="Q4487">
        <v>1</v>
      </c>
      <c r="R4487" t="s">
        <v>46572</v>
      </c>
      <c r="S4487" t="s">
        <v>46689</v>
      </c>
      <c r="T4487" t="s">
        <v>48219</v>
      </c>
      <c r="U4487" t="s">
        <v>52485</v>
      </c>
      <c r="W4487" t="s">
        <v>44275</v>
      </c>
      <c r="X4487" t="s">
        <v>46573</v>
      </c>
    </row>
    <row r="4488" spans="1:24">
      <c r="A4488">
        <f>HYPERLINK("https://www.philgeps.gov.ph/GEPSNONPILOT/Tender/SplashBidNoticeAbstractUI.aspx?menuIndex=3&amp;refID=7064209&amp;Result=3","7064209")</f>
        <v>0</v>
      </c>
      <c r="B4488" t="s">
        <v>1016</v>
      </c>
      <c r="C4488" t="s">
        <v>7827</v>
      </c>
      <c r="D4488" t="s">
        <v>18784</v>
      </c>
      <c r="E4488" t="s">
        <v>22927</v>
      </c>
      <c r="F4488" t="s">
        <v>32664</v>
      </c>
      <c r="G4488" t="s">
        <v>32672</v>
      </c>
      <c r="H4488" t="s">
        <v>12635</v>
      </c>
      <c r="I4488" t="s">
        <v>32735</v>
      </c>
      <c r="J4488" t="s">
        <v>32830</v>
      </c>
      <c r="K4488" t="s">
        <v>42281</v>
      </c>
      <c r="M4488" t="s">
        <v>43628</v>
      </c>
      <c r="N4488" t="s">
        <v>46569</v>
      </c>
      <c r="O4488" t="s">
        <v>46570</v>
      </c>
      <c r="P4488">
        <v>0</v>
      </c>
      <c r="Q4488">
        <v>1</v>
      </c>
      <c r="R4488" t="s">
        <v>46572</v>
      </c>
      <c r="S4488" t="s">
        <v>46689</v>
      </c>
      <c r="T4488" t="s">
        <v>48383</v>
      </c>
      <c r="U4488" t="s">
        <v>52486</v>
      </c>
      <c r="W4488" t="s">
        <v>63502</v>
      </c>
      <c r="X4488" t="s">
        <v>46573</v>
      </c>
    </row>
    <row r="4489" spans="1:24">
      <c r="A4489">
        <f>HYPERLINK("https://www.philgeps.gov.ph/GEPSNONPILOT/Tender/SplashBidNoticeAbstractUI.aspx?menuIndex=3&amp;refID=7064195&amp;Result=3","7064195")</f>
        <v>0</v>
      </c>
      <c r="B4489" t="s">
        <v>958</v>
      </c>
      <c r="C4489" t="s">
        <v>7828</v>
      </c>
      <c r="D4489" t="s">
        <v>18784</v>
      </c>
      <c r="E4489" t="s">
        <v>22928</v>
      </c>
      <c r="F4489" t="s">
        <v>32664</v>
      </c>
      <c r="G4489" t="s">
        <v>32675</v>
      </c>
      <c r="H4489" t="s">
        <v>12635</v>
      </c>
      <c r="I4489" t="s">
        <v>6168</v>
      </c>
      <c r="J4489" t="s">
        <v>35721</v>
      </c>
      <c r="K4489" t="s">
        <v>42284</v>
      </c>
      <c r="M4489" t="s">
        <v>43565</v>
      </c>
      <c r="N4489" t="s">
        <v>46569</v>
      </c>
      <c r="O4489" t="s">
        <v>46570</v>
      </c>
      <c r="P4489">
        <v>0</v>
      </c>
      <c r="Q4489">
        <v>5</v>
      </c>
      <c r="R4489" t="s">
        <v>46572</v>
      </c>
      <c r="S4489" t="s">
        <v>46689</v>
      </c>
      <c r="T4489" t="s">
        <v>48280</v>
      </c>
      <c r="U4489" t="s">
        <v>50675</v>
      </c>
      <c r="V4489" t="s">
        <v>61861</v>
      </c>
      <c r="W4489" t="s">
        <v>43565</v>
      </c>
      <c r="X4489" t="s">
        <v>46573</v>
      </c>
    </row>
    <row r="4490" spans="1:24">
      <c r="A4490">
        <f>HYPERLINK("https://www.philgeps.gov.ph/GEPSNONPILOT/Tender/SplashBidNoticeAbstractUI.aspx?menuIndex=3&amp;refID=7064194&amp;Result=3","7064194")</f>
        <v>0</v>
      </c>
      <c r="B4490" t="s">
        <v>1586</v>
      </c>
      <c r="C4490" t="s">
        <v>7829</v>
      </c>
      <c r="D4490" t="s">
        <v>18814</v>
      </c>
      <c r="E4490" t="s">
        <v>22929</v>
      </c>
      <c r="F4490" t="s">
        <v>32664</v>
      </c>
      <c r="G4490" t="s">
        <v>32671</v>
      </c>
      <c r="H4490" t="s">
        <v>12635</v>
      </c>
      <c r="I4490" t="s">
        <v>10361</v>
      </c>
      <c r="J4490" t="s">
        <v>35722</v>
      </c>
      <c r="K4490" t="s">
        <v>42283</v>
      </c>
      <c r="M4490" t="s">
        <v>44263</v>
      </c>
      <c r="N4490" t="s">
        <v>46569</v>
      </c>
      <c r="O4490" t="s">
        <v>46570</v>
      </c>
      <c r="P4490">
        <v>0</v>
      </c>
      <c r="Q4490">
        <v>0</v>
      </c>
      <c r="R4490" t="s">
        <v>46572</v>
      </c>
      <c r="S4490" t="s">
        <v>46689</v>
      </c>
      <c r="T4490" t="s">
        <v>48221</v>
      </c>
      <c r="U4490" t="s">
        <v>52487</v>
      </c>
      <c r="W4490" t="s">
        <v>44263</v>
      </c>
      <c r="X4490" t="s">
        <v>46573</v>
      </c>
    </row>
    <row r="4491" spans="1:24">
      <c r="A4491">
        <f>HYPERLINK("https://www.philgeps.gov.ph/GEPSNONPILOT/Tender/SplashBidNoticeAbstractUI.aspx?menuIndex=3&amp;refID=7064191&amp;Result=3","7064191")</f>
        <v>0</v>
      </c>
      <c r="B4491" t="s">
        <v>1574</v>
      </c>
      <c r="C4491" t="s">
        <v>7830</v>
      </c>
      <c r="D4491" t="s">
        <v>18830</v>
      </c>
      <c r="E4491" t="s">
        <v>22930</v>
      </c>
      <c r="F4491" t="s">
        <v>32664</v>
      </c>
      <c r="G4491" t="s">
        <v>32672</v>
      </c>
      <c r="H4491" t="s">
        <v>32683</v>
      </c>
      <c r="I4491" t="s">
        <v>10627</v>
      </c>
      <c r="J4491" t="s">
        <v>32865</v>
      </c>
      <c r="K4491" t="s">
        <v>42305</v>
      </c>
      <c r="M4491" t="s">
        <v>44249</v>
      </c>
      <c r="N4491" t="s">
        <v>46569</v>
      </c>
      <c r="O4491" t="s">
        <v>46570</v>
      </c>
      <c r="P4491">
        <v>0</v>
      </c>
      <c r="Q4491">
        <v>0</v>
      </c>
      <c r="R4491" t="s">
        <v>46572</v>
      </c>
      <c r="S4491" t="s">
        <v>46689</v>
      </c>
      <c r="T4491" t="s">
        <v>48220</v>
      </c>
      <c r="U4491" t="s">
        <v>52488</v>
      </c>
      <c r="V4491" t="s">
        <v>62072</v>
      </c>
      <c r="W4491" t="s">
        <v>44249</v>
      </c>
      <c r="X4491" t="s">
        <v>46573</v>
      </c>
    </row>
    <row r="4492" spans="1:24">
      <c r="A4492">
        <f>HYPERLINK("https://www.philgeps.gov.ph/GEPSNONPILOT/Tender/SplashBidNoticeAbstractUI.aspx?menuIndex=3&amp;refID=7064199&amp;Result=3","7064199")</f>
        <v>0</v>
      </c>
      <c r="B4492" t="s">
        <v>1574</v>
      </c>
      <c r="C4492" t="s">
        <v>7831</v>
      </c>
      <c r="D4492" t="s">
        <v>18830</v>
      </c>
      <c r="E4492" t="s">
        <v>22931</v>
      </c>
      <c r="F4492" t="s">
        <v>32664</v>
      </c>
      <c r="G4492" t="s">
        <v>32672</v>
      </c>
      <c r="H4492" t="s">
        <v>32683</v>
      </c>
      <c r="I4492" t="s">
        <v>10627</v>
      </c>
      <c r="J4492" t="s">
        <v>32865</v>
      </c>
      <c r="K4492" t="s">
        <v>42313</v>
      </c>
      <c r="M4492" t="s">
        <v>44249</v>
      </c>
      <c r="N4492" t="s">
        <v>46569</v>
      </c>
      <c r="O4492" t="s">
        <v>46570</v>
      </c>
      <c r="P4492">
        <v>0</v>
      </c>
      <c r="Q4492">
        <v>0</v>
      </c>
      <c r="R4492" t="s">
        <v>46572</v>
      </c>
      <c r="S4492" t="s">
        <v>46689</v>
      </c>
      <c r="T4492" t="s">
        <v>48220</v>
      </c>
      <c r="U4492" t="s">
        <v>52489</v>
      </c>
      <c r="V4492" t="s">
        <v>62072</v>
      </c>
      <c r="W4492" t="s">
        <v>44249</v>
      </c>
      <c r="X4492" t="s">
        <v>46573</v>
      </c>
    </row>
    <row r="4493" spans="1:24">
      <c r="A4493">
        <f>HYPERLINK("https://www.philgeps.gov.ph/GEPSNONPILOT/Tender/SplashBidNoticeAbstractUI.aspx?menuIndex=3&amp;refID=7064189&amp;Result=3","7064189")</f>
        <v>0</v>
      </c>
      <c r="B4493" t="s">
        <v>1574</v>
      </c>
      <c r="C4493" t="s">
        <v>7832</v>
      </c>
      <c r="D4493" t="s">
        <v>18830</v>
      </c>
      <c r="E4493" t="s">
        <v>22932</v>
      </c>
      <c r="F4493" t="s">
        <v>32664</v>
      </c>
      <c r="G4493" t="s">
        <v>32672</v>
      </c>
      <c r="H4493" t="s">
        <v>32683</v>
      </c>
      <c r="I4493" t="s">
        <v>10627</v>
      </c>
      <c r="J4493" t="s">
        <v>32865</v>
      </c>
      <c r="K4493" t="s">
        <v>42427</v>
      </c>
      <c r="M4493" t="s">
        <v>44249</v>
      </c>
      <c r="N4493" t="s">
        <v>46569</v>
      </c>
      <c r="O4493" t="s">
        <v>46570</v>
      </c>
      <c r="P4493">
        <v>0</v>
      </c>
      <c r="Q4493">
        <v>0</v>
      </c>
      <c r="R4493" t="s">
        <v>46572</v>
      </c>
      <c r="S4493" t="s">
        <v>46689</v>
      </c>
      <c r="T4493" t="s">
        <v>48220</v>
      </c>
      <c r="U4493" t="s">
        <v>52490</v>
      </c>
      <c r="V4493" t="s">
        <v>62072</v>
      </c>
      <c r="W4493" t="s">
        <v>44249</v>
      </c>
      <c r="X4493" t="s">
        <v>46573</v>
      </c>
    </row>
    <row r="4494" spans="1:24">
      <c r="A4494">
        <f>HYPERLINK("https://www.philgeps.gov.ph/GEPSNONPILOT/Tender/SplashBidNoticeAbstractUI.aspx?menuIndex=3&amp;refID=7064175&amp;Result=3","7064175")</f>
        <v>0</v>
      </c>
      <c r="B4494" t="s">
        <v>1599</v>
      </c>
      <c r="C4494" t="s">
        <v>7833</v>
      </c>
      <c r="D4494" t="s">
        <v>18842</v>
      </c>
      <c r="E4494" t="s">
        <v>22933</v>
      </c>
      <c r="F4494" t="s">
        <v>32664</v>
      </c>
      <c r="G4494" t="s">
        <v>32672</v>
      </c>
      <c r="H4494" t="s">
        <v>32683</v>
      </c>
      <c r="I4494" t="s">
        <v>10627</v>
      </c>
      <c r="J4494" t="s">
        <v>35723</v>
      </c>
      <c r="K4494" t="s">
        <v>42281</v>
      </c>
      <c r="M4494" t="s">
        <v>44276</v>
      </c>
      <c r="N4494" t="s">
        <v>46569</v>
      </c>
      <c r="O4494" t="s">
        <v>46570</v>
      </c>
      <c r="P4494">
        <v>0</v>
      </c>
      <c r="Q4494">
        <v>0</v>
      </c>
      <c r="R4494" t="s">
        <v>46572</v>
      </c>
      <c r="S4494" t="s">
        <v>46689</v>
      </c>
      <c r="T4494" t="s">
        <v>48276</v>
      </c>
      <c r="U4494" t="s">
        <v>52491</v>
      </c>
      <c r="W4494" t="s">
        <v>44276</v>
      </c>
      <c r="X4494" t="s">
        <v>46573</v>
      </c>
    </row>
    <row r="4495" spans="1:24">
      <c r="A4495">
        <f>HYPERLINK("https://www.philgeps.gov.ph/GEPSNONPILOT/Tender/SplashBidNoticeAbstractUI.aspx?menuIndex=3&amp;refID=7064192&amp;Result=3","7064192")</f>
        <v>0</v>
      </c>
      <c r="B4495" t="s">
        <v>1581</v>
      </c>
      <c r="C4495" t="s">
        <v>7834</v>
      </c>
      <c r="D4495" t="s">
        <v>18816</v>
      </c>
      <c r="E4495" t="s">
        <v>22934</v>
      </c>
      <c r="F4495" t="s">
        <v>32664</v>
      </c>
      <c r="G4495" t="s">
        <v>32677</v>
      </c>
      <c r="H4495" t="s">
        <v>32682</v>
      </c>
      <c r="I4495" t="s">
        <v>32708</v>
      </c>
      <c r="J4495" t="s">
        <v>33657</v>
      </c>
      <c r="K4495" t="s">
        <v>42297</v>
      </c>
      <c r="M4495" t="s">
        <v>44258</v>
      </c>
      <c r="N4495" t="s">
        <v>46569</v>
      </c>
      <c r="O4495" t="s">
        <v>46570</v>
      </c>
      <c r="P4495">
        <v>0</v>
      </c>
      <c r="Q4495">
        <v>4</v>
      </c>
      <c r="R4495" t="s">
        <v>46572</v>
      </c>
      <c r="S4495" t="s">
        <v>46689</v>
      </c>
      <c r="T4495" t="s">
        <v>48219</v>
      </c>
      <c r="U4495" t="s">
        <v>52492</v>
      </c>
      <c r="W4495" t="s">
        <v>44258</v>
      </c>
      <c r="X4495" t="s">
        <v>46573</v>
      </c>
    </row>
    <row r="4496" spans="1:24">
      <c r="A4496">
        <f>HYPERLINK("https://www.philgeps.gov.ph/GEPSNONPILOT/Tender/SplashBidNoticeAbstractUI.aspx?menuIndex=3&amp;refID=7064135&amp;Result=3","7064135")</f>
        <v>0</v>
      </c>
      <c r="B4496" t="s">
        <v>881</v>
      </c>
      <c r="C4496" t="s">
        <v>7835</v>
      </c>
      <c r="D4496" t="s">
        <v>18836</v>
      </c>
      <c r="E4496" t="s">
        <v>22935</v>
      </c>
      <c r="F4496" t="s">
        <v>32664</v>
      </c>
      <c r="G4496" t="s">
        <v>32671</v>
      </c>
      <c r="H4496" t="s">
        <v>12635</v>
      </c>
      <c r="I4496" t="s">
        <v>10370</v>
      </c>
      <c r="J4496" t="s">
        <v>35724</v>
      </c>
      <c r="K4496" t="s">
        <v>42284</v>
      </c>
      <c r="M4496" t="s">
        <v>43481</v>
      </c>
      <c r="N4496" t="s">
        <v>46569</v>
      </c>
      <c r="O4496" t="s">
        <v>46570</v>
      </c>
      <c r="P4496">
        <v>0</v>
      </c>
      <c r="Q4496">
        <v>0</v>
      </c>
      <c r="R4496" t="s">
        <v>46572</v>
      </c>
      <c r="S4496" t="s">
        <v>46689</v>
      </c>
      <c r="T4496" t="s">
        <v>48244</v>
      </c>
      <c r="U4496" t="s">
        <v>51596</v>
      </c>
      <c r="W4496" t="s">
        <v>43481</v>
      </c>
      <c r="X4496" t="s">
        <v>46573</v>
      </c>
    </row>
    <row r="4497" spans="1:24">
      <c r="A4497">
        <f>HYPERLINK("https://www.philgeps.gov.ph/GEPSNONPILOT/Tender/SplashBidNoticeAbstractUI.aspx?menuIndex=3&amp;refID=7064171&amp;Result=3","7064171")</f>
        <v>0</v>
      </c>
      <c r="B4497" t="s">
        <v>611</v>
      </c>
      <c r="C4497" t="s">
        <v>7836</v>
      </c>
      <c r="D4497" t="s">
        <v>18849</v>
      </c>
      <c r="E4497" t="s">
        <v>22936</v>
      </c>
      <c r="F4497" t="s">
        <v>32664</v>
      </c>
      <c r="G4497" t="s">
        <v>32671</v>
      </c>
      <c r="H4497" t="s">
        <v>12635</v>
      </c>
      <c r="I4497" t="s">
        <v>6168</v>
      </c>
      <c r="J4497" t="s">
        <v>33696</v>
      </c>
      <c r="K4497" t="s">
        <v>42283</v>
      </c>
      <c r="M4497" t="s">
        <v>43191</v>
      </c>
      <c r="N4497" t="s">
        <v>46569</v>
      </c>
      <c r="O4497" t="s">
        <v>46570</v>
      </c>
      <c r="P4497">
        <v>0</v>
      </c>
      <c r="Q4497">
        <v>9</v>
      </c>
      <c r="R4497" t="s">
        <v>46572</v>
      </c>
      <c r="S4497" t="s">
        <v>46689</v>
      </c>
      <c r="T4497" t="s">
        <v>48217</v>
      </c>
      <c r="U4497" t="s">
        <v>52493</v>
      </c>
      <c r="W4497" t="s">
        <v>43191</v>
      </c>
      <c r="X4497" t="s">
        <v>46573</v>
      </c>
    </row>
    <row r="4498" spans="1:24">
      <c r="A4498">
        <f>HYPERLINK("https://www.philgeps.gov.ph/GEPSNONPILOT/Tender/SplashBidNoticeAbstractUI.aspx?menuIndex=3&amp;refID=7064176&amp;Result=3","7064176")</f>
        <v>0</v>
      </c>
      <c r="B4498" t="s">
        <v>1586</v>
      </c>
      <c r="C4498" t="s">
        <v>7837</v>
      </c>
      <c r="D4498" t="s">
        <v>18814</v>
      </c>
      <c r="E4498" t="s">
        <v>22937</v>
      </c>
      <c r="F4498" t="s">
        <v>32664</v>
      </c>
      <c r="G4498" t="s">
        <v>32671</v>
      </c>
      <c r="H4498" t="s">
        <v>12635</v>
      </c>
      <c r="I4498" t="s">
        <v>32751</v>
      </c>
      <c r="J4498" t="s">
        <v>35725</v>
      </c>
      <c r="K4498" t="s">
        <v>42283</v>
      </c>
      <c r="M4498" t="s">
        <v>44263</v>
      </c>
      <c r="N4498" t="s">
        <v>46569</v>
      </c>
      <c r="O4498" t="s">
        <v>46570</v>
      </c>
      <c r="P4498">
        <v>0</v>
      </c>
      <c r="Q4498">
        <v>0</v>
      </c>
      <c r="R4498" t="s">
        <v>46572</v>
      </c>
      <c r="S4498" t="s">
        <v>46689</v>
      </c>
      <c r="T4498" t="s">
        <v>48221</v>
      </c>
      <c r="U4498" t="s">
        <v>52494</v>
      </c>
      <c r="W4498" t="s">
        <v>44263</v>
      </c>
      <c r="X4498" t="s">
        <v>46573</v>
      </c>
    </row>
    <row r="4499" spans="1:24">
      <c r="A4499">
        <f>HYPERLINK("https://www.philgeps.gov.ph/GEPSNONPILOT/Tender/SplashBidNoticeAbstractUI.aspx?menuIndex=3&amp;refID=7064168&amp;Result=3","7064168")</f>
        <v>0</v>
      </c>
      <c r="B4499" t="s">
        <v>958</v>
      </c>
      <c r="C4499" t="s">
        <v>7838</v>
      </c>
      <c r="E4499" t="s">
        <v>22938</v>
      </c>
      <c r="F4499" t="s">
        <v>32664</v>
      </c>
      <c r="G4499" t="s">
        <v>32671</v>
      </c>
      <c r="H4499" t="s">
        <v>32682</v>
      </c>
      <c r="I4499" t="s">
        <v>32701</v>
      </c>
      <c r="J4499" t="s">
        <v>32831</v>
      </c>
      <c r="K4499" t="s">
        <v>42294</v>
      </c>
      <c r="M4499" t="s">
        <v>43565</v>
      </c>
      <c r="N4499" t="s">
        <v>46569</v>
      </c>
      <c r="O4499" t="s">
        <v>46570</v>
      </c>
      <c r="P4499">
        <v>0</v>
      </c>
      <c r="Q4499">
        <v>0</v>
      </c>
      <c r="R4499" t="s">
        <v>46572</v>
      </c>
      <c r="S4499" t="s">
        <v>46689</v>
      </c>
      <c r="T4499" t="s">
        <v>48280</v>
      </c>
      <c r="U4499" t="s">
        <v>50675</v>
      </c>
      <c r="V4499" t="s">
        <v>61861</v>
      </c>
      <c r="W4499" t="s">
        <v>43565</v>
      </c>
      <c r="X4499" t="s">
        <v>46573</v>
      </c>
    </row>
    <row r="4500" spans="1:24">
      <c r="A4500">
        <f>HYPERLINK("https://www.philgeps.gov.ph/GEPSNONPILOT/Tender/SplashBidNoticeAbstractUI.aspx?menuIndex=3&amp;refID=7064148&amp;Result=3","7064148")</f>
        <v>0</v>
      </c>
      <c r="B4500" t="s">
        <v>225</v>
      </c>
      <c r="C4500" t="s">
        <v>7839</v>
      </c>
      <c r="D4500" t="s">
        <v>18784</v>
      </c>
      <c r="E4500" t="s">
        <v>22939</v>
      </c>
      <c r="F4500" t="s">
        <v>32664</v>
      </c>
      <c r="G4500" t="s">
        <v>32671</v>
      </c>
      <c r="H4500" t="s">
        <v>32681</v>
      </c>
      <c r="I4500" t="s">
        <v>32681</v>
      </c>
      <c r="J4500" t="s">
        <v>35726</v>
      </c>
      <c r="K4500" t="s">
        <v>42298</v>
      </c>
      <c r="M4500" t="s">
        <v>43870</v>
      </c>
      <c r="N4500" t="s">
        <v>46569</v>
      </c>
      <c r="O4500" t="s">
        <v>46570</v>
      </c>
      <c r="P4500">
        <v>0</v>
      </c>
      <c r="Q4500">
        <v>1</v>
      </c>
      <c r="R4500" t="s">
        <v>46572</v>
      </c>
      <c r="S4500" t="s">
        <v>46689</v>
      </c>
      <c r="T4500" t="s">
        <v>48276</v>
      </c>
      <c r="U4500" t="s">
        <v>52495</v>
      </c>
      <c r="V4500" t="s">
        <v>62083</v>
      </c>
      <c r="W4500" t="s">
        <v>43870</v>
      </c>
      <c r="X4500" t="s">
        <v>46573</v>
      </c>
    </row>
    <row r="4501" spans="1:24">
      <c r="A4501">
        <f>HYPERLINK("https://www.philgeps.gov.ph/GEPSNONPILOT/Tender/SplashBidNoticeAbstractUI.aspx?menuIndex=3&amp;refID=7064197&amp;Result=3","7064197")</f>
        <v>0</v>
      </c>
      <c r="B4501" t="s">
        <v>611</v>
      </c>
      <c r="C4501" t="s">
        <v>7840</v>
      </c>
      <c r="D4501" t="s">
        <v>18784</v>
      </c>
      <c r="E4501" t="s">
        <v>22940</v>
      </c>
      <c r="F4501" t="s">
        <v>32664</v>
      </c>
      <c r="G4501" t="s">
        <v>32671</v>
      </c>
      <c r="H4501" t="s">
        <v>12635</v>
      </c>
      <c r="I4501" t="s">
        <v>6628</v>
      </c>
      <c r="J4501" t="s">
        <v>33008</v>
      </c>
      <c r="K4501" t="s">
        <v>42283</v>
      </c>
      <c r="M4501" t="s">
        <v>43191</v>
      </c>
      <c r="N4501" t="s">
        <v>46569</v>
      </c>
      <c r="O4501" t="s">
        <v>46570</v>
      </c>
      <c r="P4501">
        <v>0</v>
      </c>
      <c r="Q4501">
        <v>10</v>
      </c>
      <c r="R4501" t="s">
        <v>46572</v>
      </c>
      <c r="S4501" t="s">
        <v>46689</v>
      </c>
      <c r="T4501" t="s">
        <v>48217</v>
      </c>
      <c r="U4501" t="s">
        <v>52496</v>
      </c>
      <c r="W4501" t="s">
        <v>43191</v>
      </c>
      <c r="X4501" t="s">
        <v>46573</v>
      </c>
    </row>
    <row r="4502" spans="1:24">
      <c r="A4502">
        <f>HYPERLINK("https://www.philgeps.gov.ph/GEPSNONPILOT/Tender/SplashBidNoticeAbstractUI.aspx?menuIndex=3&amp;refID=7064169&amp;Result=3","7064169")</f>
        <v>0</v>
      </c>
      <c r="B4502" t="s">
        <v>1574</v>
      </c>
      <c r="C4502" t="s">
        <v>7841</v>
      </c>
      <c r="D4502" t="s">
        <v>18830</v>
      </c>
      <c r="E4502" t="s">
        <v>22941</v>
      </c>
      <c r="F4502" t="s">
        <v>32664</v>
      </c>
      <c r="G4502" t="s">
        <v>32672</v>
      </c>
      <c r="H4502" t="s">
        <v>32683</v>
      </c>
      <c r="I4502" t="s">
        <v>10627</v>
      </c>
      <c r="J4502" t="s">
        <v>33021</v>
      </c>
      <c r="K4502" t="s">
        <v>42314</v>
      </c>
      <c r="M4502" t="s">
        <v>44249</v>
      </c>
      <c r="N4502" t="s">
        <v>46569</v>
      </c>
      <c r="O4502" t="s">
        <v>46570</v>
      </c>
      <c r="P4502">
        <v>0</v>
      </c>
      <c r="Q4502">
        <v>0</v>
      </c>
      <c r="R4502" t="s">
        <v>46572</v>
      </c>
      <c r="S4502" t="s">
        <v>46689</v>
      </c>
      <c r="T4502" t="s">
        <v>48220</v>
      </c>
      <c r="U4502" t="s">
        <v>52497</v>
      </c>
      <c r="V4502" t="s">
        <v>62072</v>
      </c>
      <c r="W4502" t="s">
        <v>44249</v>
      </c>
      <c r="X4502" t="s">
        <v>46573</v>
      </c>
    </row>
    <row r="4503" spans="1:24">
      <c r="A4503">
        <f>HYPERLINK("https://www.philgeps.gov.ph/GEPSNONPILOT/Tender/SplashBidNoticeAbstractUI.aspx?menuIndex=3&amp;refID=7064146&amp;Result=3","7064146")</f>
        <v>0</v>
      </c>
      <c r="B4503" t="s">
        <v>946</v>
      </c>
      <c r="C4503" t="s">
        <v>7842</v>
      </c>
      <c r="D4503" t="s">
        <v>18784</v>
      </c>
      <c r="E4503" t="s">
        <v>22942</v>
      </c>
      <c r="F4503" t="s">
        <v>32664</v>
      </c>
      <c r="G4503" t="s">
        <v>32672</v>
      </c>
      <c r="H4503" t="s">
        <v>12635</v>
      </c>
      <c r="I4503" t="s">
        <v>6223</v>
      </c>
      <c r="J4503" t="s">
        <v>35727</v>
      </c>
      <c r="K4503" t="s">
        <v>42284</v>
      </c>
      <c r="M4503" t="s">
        <v>43552</v>
      </c>
      <c r="N4503" t="s">
        <v>46569</v>
      </c>
      <c r="O4503" t="s">
        <v>46570</v>
      </c>
      <c r="P4503">
        <v>0</v>
      </c>
      <c r="Q4503">
        <v>2</v>
      </c>
      <c r="R4503" t="s">
        <v>46572</v>
      </c>
      <c r="S4503" t="s">
        <v>46689</v>
      </c>
      <c r="T4503" t="s">
        <v>48276</v>
      </c>
      <c r="U4503" t="s">
        <v>52498</v>
      </c>
      <c r="W4503" t="s">
        <v>43552</v>
      </c>
      <c r="X4503" t="s">
        <v>46573</v>
      </c>
    </row>
    <row r="4504" spans="1:24">
      <c r="A4504">
        <f>HYPERLINK("https://www.philgeps.gov.ph/GEPSNONPILOT/Tender/SplashBidNoticeAbstractUI.aspx?menuIndex=3&amp;refID=7064174&amp;Result=3","7064174")</f>
        <v>0</v>
      </c>
      <c r="B4504" t="s">
        <v>1600</v>
      </c>
      <c r="C4504" t="s">
        <v>7843</v>
      </c>
      <c r="D4504" t="s">
        <v>18835</v>
      </c>
      <c r="E4504" t="s">
        <v>22943</v>
      </c>
      <c r="F4504" t="s">
        <v>32664</v>
      </c>
      <c r="G4504" t="s">
        <v>32671</v>
      </c>
      <c r="H4504" t="s">
        <v>12635</v>
      </c>
      <c r="I4504" t="s">
        <v>32685</v>
      </c>
      <c r="J4504" t="s">
        <v>35728</v>
      </c>
      <c r="K4504" t="s">
        <v>42289</v>
      </c>
      <c r="M4504" t="s">
        <v>44277</v>
      </c>
      <c r="N4504" t="s">
        <v>46569</v>
      </c>
      <c r="O4504" t="s">
        <v>46570</v>
      </c>
      <c r="P4504">
        <v>0</v>
      </c>
      <c r="Q4504">
        <v>0</v>
      </c>
      <c r="R4504" t="s">
        <v>46572</v>
      </c>
      <c r="S4504" t="s">
        <v>46689</v>
      </c>
      <c r="T4504" t="s">
        <v>48221</v>
      </c>
      <c r="U4504" t="s">
        <v>52499</v>
      </c>
      <c r="W4504" t="s">
        <v>44277</v>
      </c>
      <c r="X4504" t="s">
        <v>46573</v>
      </c>
    </row>
    <row r="4505" spans="1:24">
      <c r="A4505">
        <f>HYPERLINK("https://www.philgeps.gov.ph/GEPSNONPILOT/Tender/SplashBidNoticeAbstractUI.aspx?menuIndex=3&amp;refID=7064233&amp;Result=3","7064233")</f>
        <v>0</v>
      </c>
      <c r="B4505" t="s">
        <v>1574</v>
      </c>
      <c r="C4505" t="s">
        <v>7844</v>
      </c>
      <c r="D4505" t="s">
        <v>18830</v>
      </c>
      <c r="E4505" t="s">
        <v>22944</v>
      </c>
      <c r="F4505" t="s">
        <v>32664</v>
      </c>
      <c r="G4505" t="s">
        <v>32672</v>
      </c>
      <c r="H4505" t="s">
        <v>32683</v>
      </c>
      <c r="I4505" t="s">
        <v>10627</v>
      </c>
      <c r="J4505" t="s">
        <v>33051</v>
      </c>
      <c r="K4505" t="s">
        <v>42428</v>
      </c>
      <c r="M4505" t="s">
        <v>44249</v>
      </c>
      <c r="N4505" t="s">
        <v>46569</v>
      </c>
      <c r="O4505" t="s">
        <v>46570</v>
      </c>
      <c r="P4505">
        <v>0</v>
      </c>
      <c r="Q4505">
        <v>0</v>
      </c>
      <c r="R4505" t="s">
        <v>46572</v>
      </c>
      <c r="S4505" t="s">
        <v>46689</v>
      </c>
      <c r="T4505" t="s">
        <v>48220</v>
      </c>
      <c r="U4505" t="s">
        <v>52488</v>
      </c>
      <c r="V4505" t="s">
        <v>62072</v>
      </c>
      <c r="W4505" t="s">
        <v>44249</v>
      </c>
      <c r="X4505" t="s">
        <v>46573</v>
      </c>
    </row>
    <row r="4506" spans="1:24">
      <c r="A4506">
        <f>HYPERLINK("https://www.philgeps.gov.ph/GEPSNONPILOT/Tender/SplashBidNoticeAbstractUI.aspx?menuIndex=3&amp;refID=7064196&amp;Result=3","7064196")</f>
        <v>0</v>
      </c>
      <c r="B4506" t="s">
        <v>1584</v>
      </c>
      <c r="C4506" t="s">
        <v>7845</v>
      </c>
      <c r="D4506" t="s">
        <v>18805</v>
      </c>
      <c r="E4506" t="s">
        <v>19312</v>
      </c>
      <c r="F4506" t="s">
        <v>32664</v>
      </c>
      <c r="G4506" t="s">
        <v>32671</v>
      </c>
      <c r="H4506" t="s">
        <v>12635</v>
      </c>
      <c r="I4506" t="s">
        <v>10374</v>
      </c>
      <c r="J4506" t="s">
        <v>32961</v>
      </c>
      <c r="K4506" t="s">
        <v>42283</v>
      </c>
      <c r="M4506" t="s">
        <v>44261</v>
      </c>
      <c r="N4506" t="s">
        <v>46569</v>
      </c>
      <c r="O4506" t="s">
        <v>46570</v>
      </c>
      <c r="P4506">
        <v>0</v>
      </c>
      <c r="Q4506">
        <v>0</v>
      </c>
      <c r="R4506" t="s">
        <v>46572</v>
      </c>
      <c r="S4506" t="s">
        <v>46689</v>
      </c>
      <c r="T4506" t="s">
        <v>48219</v>
      </c>
      <c r="U4506" t="s">
        <v>52500</v>
      </c>
      <c r="W4506" t="s">
        <v>44261</v>
      </c>
      <c r="X4506" t="s">
        <v>46573</v>
      </c>
    </row>
    <row r="4507" spans="1:24">
      <c r="A4507">
        <f>HYPERLINK("https://www.philgeps.gov.ph/GEPSNONPILOT/Tender/SplashBidNoticeAbstractUI.aspx?menuIndex=3&amp;refID=7064147&amp;Result=3","7064147")</f>
        <v>0</v>
      </c>
      <c r="B4507" t="s">
        <v>1574</v>
      </c>
      <c r="C4507" t="s">
        <v>7846</v>
      </c>
      <c r="D4507" t="s">
        <v>18830</v>
      </c>
      <c r="E4507" t="s">
        <v>22945</v>
      </c>
      <c r="F4507" t="s">
        <v>32664</v>
      </c>
      <c r="G4507" t="s">
        <v>32672</v>
      </c>
      <c r="H4507" t="s">
        <v>32683</v>
      </c>
      <c r="I4507" t="s">
        <v>10627</v>
      </c>
      <c r="J4507" t="s">
        <v>32898</v>
      </c>
      <c r="K4507" t="s">
        <v>42303</v>
      </c>
      <c r="M4507" t="s">
        <v>44249</v>
      </c>
      <c r="N4507" t="s">
        <v>46569</v>
      </c>
      <c r="O4507" t="s">
        <v>46570</v>
      </c>
      <c r="P4507">
        <v>0</v>
      </c>
      <c r="Q4507">
        <v>0</v>
      </c>
      <c r="R4507" t="s">
        <v>46572</v>
      </c>
      <c r="S4507" t="s">
        <v>46689</v>
      </c>
      <c r="T4507" t="s">
        <v>48220</v>
      </c>
      <c r="U4507" t="s">
        <v>52501</v>
      </c>
      <c r="V4507" t="s">
        <v>62072</v>
      </c>
      <c r="W4507" t="s">
        <v>44249</v>
      </c>
      <c r="X4507" t="s">
        <v>46573</v>
      </c>
    </row>
    <row r="4508" spans="1:24">
      <c r="A4508">
        <f>HYPERLINK("https://www.philgeps.gov.ph/GEPSNONPILOT/Tender/SplashBidNoticeAbstractUI.aspx?menuIndex=3&amp;refID=7064172&amp;Result=3","7064172")</f>
        <v>0</v>
      </c>
      <c r="B4508" t="s">
        <v>1574</v>
      </c>
      <c r="C4508" t="s">
        <v>7847</v>
      </c>
      <c r="D4508" t="s">
        <v>18830</v>
      </c>
      <c r="E4508" t="s">
        <v>22946</v>
      </c>
      <c r="F4508" t="s">
        <v>32664</v>
      </c>
      <c r="G4508" t="s">
        <v>32672</v>
      </c>
      <c r="H4508" t="s">
        <v>32683</v>
      </c>
      <c r="I4508" t="s">
        <v>10627</v>
      </c>
      <c r="J4508" t="s">
        <v>33051</v>
      </c>
      <c r="K4508" t="s">
        <v>42281</v>
      </c>
      <c r="M4508" t="s">
        <v>44249</v>
      </c>
      <c r="N4508" t="s">
        <v>46569</v>
      </c>
      <c r="O4508" t="s">
        <v>46570</v>
      </c>
      <c r="P4508">
        <v>0</v>
      </c>
      <c r="Q4508">
        <v>0</v>
      </c>
      <c r="R4508" t="s">
        <v>46572</v>
      </c>
      <c r="S4508" t="s">
        <v>46689</v>
      </c>
      <c r="T4508" t="s">
        <v>48220</v>
      </c>
      <c r="U4508" t="s">
        <v>52502</v>
      </c>
      <c r="V4508" t="s">
        <v>62072</v>
      </c>
      <c r="W4508" t="s">
        <v>44249</v>
      </c>
      <c r="X4508" t="s">
        <v>46573</v>
      </c>
    </row>
    <row r="4509" spans="1:24">
      <c r="A4509">
        <f>HYPERLINK("https://www.philgeps.gov.ph/GEPSNONPILOT/Tender/SplashBidNoticeAbstractUI.aspx?menuIndex=3&amp;refID=7064228&amp;Result=3","7064228")</f>
        <v>0</v>
      </c>
      <c r="B4509" t="s">
        <v>1595</v>
      </c>
      <c r="C4509" t="s">
        <v>7848</v>
      </c>
      <c r="D4509" t="s">
        <v>18805</v>
      </c>
      <c r="E4509" t="s">
        <v>22947</v>
      </c>
      <c r="F4509" t="s">
        <v>32664</v>
      </c>
      <c r="G4509" t="s">
        <v>32671</v>
      </c>
      <c r="H4509" t="s">
        <v>12635</v>
      </c>
      <c r="I4509" t="s">
        <v>32699</v>
      </c>
      <c r="J4509" t="s">
        <v>35729</v>
      </c>
      <c r="K4509" t="s">
        <v>42298</v>
      </c>
      <c r="M4509" t="s">
        <v>44272</v>
      </c>
      <c r="N4509" t="s">
        <v>46569</v>
      </c>
      <c r="O4509" t="s">
        <v>46570</v>
      </c>
      <c r="P4509">
        <v>0</v>
      </c>
      <c r="Q4509">
        <v>0</v>
      </c>
      <c r="R4509" t="s">
        <v>46572</v>
      </c>
      <c r="S4509" t="s">
        <v>46689</v>
      </c>
      <c r="T4509" t="s">
        <v>48293</v>
      </c>
      <c r="U4509" t="s">
        <v>52503</v>
      </c>
      <c r="W4509" t="s">
        <v>44272</v>
      </c>
      <c r="X4509" t="s">
        <v>46573</v>
      </c>
    </row>
    <row r="4510" spans="1:24">
      <c r="A4510">
        <f>HYPERLINK("https://www.philgeps.gov.ph/GEPSNONPILOT/Tender/SplashBidNoticeAbstractUI.aspx?menuIndex=3&amp;refID=7064232&amp;Result=3","7064232")</f>
        <v>0</v>
      </c>
      <c r="B4510" t="s">
        <v>851</v>
      </c>
      <c r="C4510" t="s">
        <v>7849</v>
      </c>
      <c r="D4510" t="s">
        <v>18829</v>
      </c>
      <c r="E4510" t="s">
        <v>22948</v>
      </c>
      <c r="F4510" t="s">
        <v>32664</v>
      </c>
      <c r="G4510" t="s">
        <v>32672</v>
      </c>
      <c r="H4510" t="s">
        <v>12635</v>
      </c>
      <c r="I4510" t="s">
        <v>4439</v>
      </c>
      <c r="J4510" t="s">
        <v>35730</v>
      </c>
      <c r="K4510" t="s">
        <v>42281</v>
      </c>
      <c r="M4510" t="s">
        <v>43447</v>
      </c>
      <c r="N4510" t="s">
        <v>46569</v>
      </c>
      <c r="O4510" t="s">
        <v>46570</v>
      </c>
      <c r="P4510">
        <v>0</v>
      </c>
      <c r="Q4510">
        <v>2</v>
      </c>
      <c r="R4510" t="s">
        <v>46572</v>
      </c>
      <c r="S4510" t="s">
        <v>46689</v>
      </c>
      <c r="T4510" t="s">
        <v>48213</v>
      </c>
      <c r="U4510" t="s">
        <v>50429</v>
      </c>
      <c r="W4510" t="s">
        <v>43447</v>
      </c>
      <c r="X4510" t="s">
        <v>46573</v>
      </c>
    </row>
    <row r="4511" spans="1:24">
      <c r="A4511">
        <f>HYPERLINK("https://www.philgeps.gov.ph/GEPSNONPILOT/Tender/SplashBidNoticeAbstractUI.aspx?menuIndex=3&amp;refID=7064226&amp;Result=3","7064226")</f>
        <v>0</v>
      </c>
      <c r="B4511" t="s">
        <v>145</v>
      </c>
      <c r="C4511" t="s">
        <v>7850</v>
      </c>
      <c r="E4511" t="s">
        <v>22949</v>
      </c>
      <c r="F4511" t="s">
        <v>32664</v>
      </c>
      <c r="G4511" t="s">
        <v>32677</v>
      </c>
      <c r="H4511" t="s">
        <v>12635</v>
      </c>
      <c r="I4511" t="s">
        <v>11464</v>
      </c>
      <c r="J4511" t="s">
        <v>35731</v>
      </c>
      <c r="K4511" t="s">
        <v>42283</v>
      </c>
      <c r="M4511" t="s">
        <v>44278</v>
      </c>
      <c r="N4511" t="s">
        <v>46569</v>
      </c>
      <c r="O4511" t="s">
        <v>46570</v>
      </c>
      <c r="P4511">
        <v>0</v>
      </c>
      <c r="Q4511">
        <v>11</v>
      </c>
      <c r="R4511" t="s">
        <v>46572</v>
      </c>
      <c r="S4511" t="s">
        <v>46689</v>
      </c>
      <c r="T4511" t="s">
        <v>48285</v>
      </c>
      <c r="U4511" t="s">
        <v>52504</v>
      </c>
      <c r="V4511" t="s">
        <v>62084</v>
      </c>
      <c r="W4511" t="s">
        <v>44278</v>
      </c>
      <c r="X4511" t="s">
        <v>46573</v>
      </c>
    </row>
    <row r="4512" spans="1:24">
      <c r="A4512">
        <f>HYPERLINK("https://www.philgeps.gov.ph/GEPSNONPILOT/Tender/SplashBidNoticeAbstractUI.aspx?menuIndex=3&amp;refID=7064170&amp;Result=3","7064170")</f>
        <v>0</v>
      </c>
      <c r="B4512" t="s">
        <v>1586</v>
      </c>
      <c r="C4512" t="s">
        <v>7807</v>
      </c>
      <c r="D4512" t="s">
        <v>18814</v>
      </c>
      <c r="E4512" t="s">
        <v>22950</v>
      </c>
      <c r="F4512" t="s">
        <v>32664</v>
      </c>
      <c r="G4512" t="s">
        <v>32671</v>
      </c>
      <c r="H4512" t="s">
        <v>12635</v>
      </c>
      <c r="I4512" t="s">
        <v>7759</v>
      </c>
      <c r="J4512" t="s">
        <v>35732</v>
      </c>
      <c r="K4512" t="s">
        <v>42283</v>
      </c>
      <c r="M4512" t="s">
        <v>44263</v>
      </c>
      <c r="N4512" t="s">
        <v>46569</v>
      </c>
      <c r="O4512" t="s">
        <v>46570</v>
      </c>
      <c r="P4512">
        <v>0</v>
      </c>
      <c r="Q4512">
        <v>0</v>
      </c>
      <c r="R4512" t="s">
        <v>46572</v>
      </c>
      <c r="S4512" t="s">
        <v>46689</v>
      </c>
      <c r="T4512" t="s">
        <v>48221</v>
      </c>
      <c r="U4512" t="s">
        <v>52505</v>
      </c>
      <c r="W4512" t="s">
        <v>44263</v>
      </c>
      <c r="X4512" t="s">
        <v>46573</v>
      </c>
    </row>
    <row r="4513" spans="1:24">
      <c r="A4513">
        <f>HYPERLINK("https://www.philgeps.gov.ph/GEPSNONPILOT/Tender/SplashBidNoticeAbstractUI.aspx?menuIndex=3&amp;refID=7064202&amp;Result=3","7064202")</f>
        <v>0</v>
      </c>
      <c r="B4513" t="s">
        <v>1601</v>
      </c>
      <c r="C4513" t="s">
        <v>7851</v>
      </c>
      <c r="D4513" t="s">
        <v>18784</v>
      </c>
      <c r="E4513" t="s">
        <v>20023</v>
      </c>
      <c r="F4513" t="s">
        <v>32664</v>
      </c>
      <c r="G4513" t="s">
        <v>32674</v>
      </c>
      <c r="H4513" t="s">
        <v>12635</v>
      </c>
      <c r="I4513" t="s">
        <v>6168</v>
      </c>
      <c r="J4513" t="s">
        <v>32853</v>
      </c>
      <c r="K4513" t="s">
        <v>42332</v>
      </c>
      <c r="M4513" t="s">
        <v>44279</v>
      </c>
      <c r="N4513" t="s">
        <v>46569</v>
      </c>
      <c r="O4513" t="s">
        <v>46570</v>
      </c>
      <c r="P4513">
        <v>0</v>
      </c>
      <c r="Q4513">
        <v>0</v>
      </c>
      <c r="R4513" t="s">
        <v>46572</v>
      </c>
      <c r="S4513" t="s">
        <v>46689</v>
      </c>
      <c r="T4513" t="s">
        <v>48448</v>
      </c>
      <c r="U4513" t="s">
        <v>52506</v>
      </c>
      <c r="W4513" t="s">
        <v>44279</v>
      </c>
      <c r="X4513" t="s">
        <v>46573</v>
      </c>
    </row>
    <row r="4514" spans="1:24">
      <c r="A4514">
        <f>HYPERLINK("https://www.philgeps.gov.ph/GEPSNONPILOT/Tender/SplashBidNoticeAbstractUI.aspx?menuIndex=3&amp;refID=7064222&amp;Result=3","7064222")</f>
        <v>0</v>
      </c>
      <c r="B4514" t="s">
        <v>629</v>
      </c>
      <c r="C4514" t="s">
        <v>7852</v>
      </c>
      <c r="D4514" t="s">
        <v>18782</v>
      </c>
      <c r="E4514" t="s">
        <v>22951</v>
      </c>
      <c r="F4514" t="s">
        <v>32664</v>
      </c>
      <c r="G4514" t="s">
        <v>32674</v>
      </c>
      <c r="H4514" t="s">
        <v>12635</v>
      </c>
      <c r="I4514" t="s">
        <v>32694</v>
      </c>
      <c r="J4514" t="s">
        <v>33706</v>
      </c>
      <c r="K4514" t="s">
        <v>42283</v>
      </c>
      <c r="M4514" t="s">
        <v>43211</v>
      </c>
      <c r="N4514" t="s">
        <v>46569</v>
      </c>
      <c r="O4514" t="s">
        <v>46570</v>
      </c>
      <c r="P4514">
        <v>0</v>
      </c>
      <c r="Q4514">
        <v>0</v>
      </c>
      <c r="R4514" t="s">
        <v>46572</v>
      </c>
      <c r="S4514" t="s">
        <v>46689</v>
      </c>
      <c r="T4514" t="s">
        <v>48316</v>
      </c>
      <c r="U4514" t="s">
        <v>52507</v>
      </c>
      <c r="W4514" t="s">
        <v>43211</v>
      </c>
      <c r="X4514" t="s">
        <v>46573</v>
      </c>
    </row>
    <row r="4515" spans="1:24">
      <c r="A4515">
        <f>HYPERLINK("https://www.philgeps.gov.ph/GEPSNONPILOT/Tender/SplashBidNoticeAbstractUI.aspx?menuIndex=3&amp;refID=7064230&amp;Result=3","7064230")</f>
        <v>0</v>
      </c>
      <c r="B4515" t="s">
        <v>1591</v>
      </c>
      <c r="C4515" t="s">
        <v>7853</v>
      </c>
      <c r="D4515" t="s">
        <v>18786</v>
      </c>
      <c r="E4515" t="s">
        <v>22952</v>
      </c>
      <c r="F4515" t="s">
        <v>32664</v>
      </c>
      <c r="G4515" t="s">
        <v>32671</v>
      </c>
      <c r="H4515" t="s">
        <v>32682</v>
      </c>
      <c r="I4515" t="s">
        <v>4205</v>
      </c>
      <c r="J4515" t="s">
        <v>33015</v>
      </c>
      <c r="K4515" t="s">
        <v>42306</v>
      </c>
      <c r="M4515" t="s">
        <v>44268</v>
      </c>
      <c r="N4515" t="s">
        <v>46569</v>
      </c>
      <c r="O4515" t="s">
        <v>46570</v>
      </c>
      <c r="P4515">
        <v>0</v>
      </c>
      <c r="Q4515">
        <v>0</v>
      </c>
      <c r="R4515" t="s">
        <v>46572</v>
      </c>
      <c r="S4515" t="s">
        <v>46689</v>
      </c>
      <c r="T4515" t="s">
        <v>48225</v>
      </c>
      <c r="U4515" t="s">
        <v>52508</v>
      </c>
      <c r="W4515" t="s">
        <v>44268</v>
      </c>
      <c r="X4515" t="s">
        <v>46573</v>
      </c>
    </row>
    <row r="4516" spans="1:24">
      <c r="A4516">
        <f>HYPERLINK("https://www.philgeps.gov.ph/GEPSNONPILOT/Tender/SplashBidNoticeAbstractUI.aspx?menuIndex=3&amp;refID=7064221&amp;Result=3","7064221")</f>
        <v>0</v>
      </c>
      <c r="B4516" t="s">
        <v>1577</v>
      </c>
      <c r="C4516" t="s">
        <v>6902</v>
      </c>
      <c r="D4516" t="s">
        <v>18823</v>
      </c>
      <c r="E4516" t="s">
        <v>22953</v>
      </c>
      <c r="F4516" t="s">
        <v>32664</v>
      </c>
      <c r="G4516" t="s">
        <v>32674</v>
      </c>
      <c r="H4516" t="s">
        <v>12635</v>
      </c>
      <c r="I4516" t="s">
        <v>8730</v>
      </c>
      <c r="J4516" t="s">
        <v>35733</v>
      </c>
      <c r="K4516" t="s">
        <v>42284</v>
      </c>
      <c r="M4516" t="s">
        <v>44253</v>
      </c>
      <c r="N4516" t="s">
        <v>46569</v>
      </c>
      <c r="O4516" t="s">
        <v>46570</v>
      </c>
      <c r="P4516">
        <v>0</v>
      </c>
      <c r="Q4516">
        <v>0</v>
      </c>
      <c r="R4516" t="s">
        <v>46572</v>
      </c>
      <c r="S4516" t="s">
        <v>46689</v>
      </c>
      <c r="T4516" t="s">
        <v>48305</v>
      </c>
      <c r="U4516" t="s">
        <v>52509</v>
      </c>
      <c r="W4516" t="s">
        <v>44253</v>
      </c>
      <c r="X4516" t="s">
        <v>46573</v>
      </c>
    </row>
    <row r="4517" spans="1:24">
      <c r="A4517">
        <f>HYPERLINK("https://www.philgeps.gov.ph/GEPSNONPILOT/Tender/SplashBidNoticeAbstractUI.aspx?menuIndex=3&amp;refID=7064220&amp;Result=3","7064220")</f>
        <v>0</v>
      </c>
      <c r="B4517" t="s">
        <v>851</v>
      </c>
      <c r="C4517" t="s">
        <v>7854</v>
      </c>
      <c r="D4517" t="s">
        <v>18829</v>
      </c>
      <c r="E4517" t="s">
        <v>22954</v>
      </c>
      <c r="F4517" t="s">
        <v>32664</v>
      </c>
      <c r="G4517" t="s">
        <v>32672</v>
      </c>
      <c r="H4517" t="s">
        <v>12635</v>
      </c>
      <c r="I4517" t="s">
        <v>8958</v>
      </c>
      <c r="J4517" t="s">
        <v>35734</v>
      </c>
      <c r="K4517" t="s">
        <v>42289</v>
      </c>
      <c r="M4517" t="s">
        <v>43447</v>
      </c>
      <c r="N4517" t="s">
        <v>46569</v>
      </c>
      <c r="O4517" t="s">
        <v>46570</v>
      </c>
      <c r="P4517">
        <v>0</v>
      </c>
      <c r="Q4517">
        <v>1</v>
      </c>
      <c r="R4517" t="s">
        <v>46572</v>
      </c>
      <c r="S4517" t="s">
        <v>46689</v>
      </c>
      <c r="T4517" t="s">
        <v>48213</v>
      </c>
      <c r="U4517" t="s">
        <v>50429</v>
      </c>
      <c r="W4517" t="s">
        <v>43447</v>
      </c>
      <c r="X4517" t="s">
        <v>46573</v>
      </c>
    </row>
    <row r="4518" spans="1:24">
      <c r="A4518">
        <f>HYPERLINK("https://www.philgeps.gov.ph/GEPSNONPILOT/Tender/SplashBidNoticeAbstractUI.aspx?menuIndex=3&amp;refID=7064217&amp;Result=3","7064217")</f>
        <v>0</v>
      </c>
      <c r="B4518" t="s">
        <v>1602</v>
      </c>
      <c r="C4518" t="s">
        <v>7855</v>
      </c>
      <c r="D4518" t="s">
        <v>18784</v>
      </c>
      <c r="E4518" t="s">
        <v>22955</v>
      </c>
      <c r="F4518" t="s">
        <v>32664</v>
      </c>
      <c r="G4518" t="s">
        <v>32677</v>
      </c>
      <c r="H4518" t="s">
        <v>12635</v>
      </c>
      <c r="I4518" t="s">
        <v>32692</v>
      </c>
      <c r="J4518" t="s">
        <v>35735</v>
      </c>
      <c r="K4518" t="s">
        <v>42289</v>
      </c>
      <c r="M4518" t="s">
        <v>44280</v>
      </c>
      <c r="N4518" t="s">
        <v>46569</v>
      </c>
      <c r="O4518" t="s">
        <v>46570</v>
      </c>
      <c r="P4518">
        <v>0</v>
      </c>
      <c r="Q4518">
        <v>0</v>
      </c>
      <c r="R4518" t="s">
        <v>46572</v>
      </c>
      <c r="S4518" t="s">
        <v>46689</v>
      </c>
      <c r="T4518" t="s">
        <v>48273</v>
      </c>
      <c r="U4518" t="s">
        <v>52510</v>
      </c>
      <c r="W4518" t="s">
        <v>44280</v>
      </c>
      <c r="X4518" t="s">
        <v>46573</v>
      </c>
    </row>
    <row r="4519" spans="1:24">
      <c r="A4519">
        <f>HYPERLINK("https://www.philgeps.gov.ph/GEPSNONPILOT/Tender/SplashBidNoticeAbstractUI.aspx?menuIndex=3&amp;refID=7064229&amp;Result=3","7064229")</f>
        <v>0</v>
      </c>
      <c r="B4519" t="s">
        <v>1581</v>
      </c>
      <c r="C4519" t="s">
        <v>7856</v>
      </c>
      <c r="D4519" t="s">
        <v>18816</v>
      </c>
      <c r="E4519" t="s">
        <v>22956</v>
      </c>
      <c r="F4519" t="s">
        <v>32664</v>
      </c>
      <c r="G4519" t="s">
        <v>32677</v>
      </c>
      <c r="H4519" t="s">
        <v>32682</v>
      </c>
      <c r="I4519" t="s">
        <v>32708</v>
      </c>
      <c r="J4519" t="s">
        <v>35736</v>
      </c>
      <c r="K4519" t="s">
        <v>42297</v>
      </c>
      <c r="M4519" t="s">
        <v>44258</v>
      </c>
      <c r="N4519" t="s">
        <v>46569</v>
      </c>
      <c r="O4519" t="s">
        <v>46570</v>
      </c>
      <c r="P4519">
        <v>0</v>
      </c>
      <c r="Q4519">
        <v>3</v>
      </c>
      <c r="R4519" t="s">
        <v>46572</v>
      </c>
      <c r="S4519" t="s">
        <v>46689</v>
      </c>
      <c r="T4519" t="s">
        <v>48219</v>
      </c>
      <c r="U4519" t="s">
        <v>52511</v>
      </c>
      <c r="W4519" t="s">
        <v>44258</v>
      </c>
      <c r="X4519" t="s">
        <v>46573</v>
      </c>
    </row>
    <row r="4520" spans="1:24">
      <c r="A4520">
        <f>HYPERLINK("https://www.philgeps.gov.ph/GEPSNONPILOT/Tender/SplashBidNoticeAbstractUI.aspx?menuIndex=3&amp;refID=7064214&amp;Result=3","7064214")</f>
        <v>0</v>
      </c>
      <c r="B4520" t="s">
        <v>1603</v>
      </c>
      <c r="C4520" t="s">
        <v>7857</v>
      </c>
      <c r="D4520" t="s">
        <v>18860</v>
      </c>
      <c r="E4520" t="s">
        <v>22957</v>
      </c>
      <c r="F4520" t="s">
        <v>32664</v>
      </c>
      <c r="G4520" t="s">
        <v>32671</v>
      </c>
      <c r="H4520" t="s">
        <v>12635</v>
      </c>
      <c r="I4520" t="s">
        <v>32685</v>
      </c>
      <c r="J4520" t="s">
        <v>34156</v>
      </c>
      <c r="K4520" t="s">
        <v>42283</v>
      </c>
      <c r="M4520" t="s">
        <v>44281</v>
      </c>
      <c r="N4520" t="s">
        <v>46569</v>
      </c>
      <c r="O4520" t="s">
        <v>46570</v>
      </c>
      <c r="P4520">
        <v>0</v>
      </c>
      <c r="Q4520">
        <v>1</v>
      </c>
      <c r="R4520" t="s">
        <v>46572</v>
      </c>
      <c r="S4520" t="s">
        <v>46689</v>
      </c>
      <c r="T4520" t="s">
        <v>48280</v>
      </c>
      <c r="U4520" t="s">
        <v>52512</v>
      </c>
      <c r="W4520" t="s">
        <v>44281</v>
      </c>
      <c r="X4520" t="s">
        <v>46573</v>
      </c>
    </row>
    <row r="4521" spans="1:24">
      <c r="A4521">
        <f>HYPERLINK("https://www.philgeps.gov.ph/GEPSNONPILOT/Tender/SplashBidNoticeAbstractUI.aspx?menuIndex=3&amp;refID=7064231&amp;Result=3","7064231")</f>
        <v>0</v>
      </c>
      <c r="B4521" t="s">
        <v>1601</v>
      </c>
      <c r="C4521" t="s">
        <v>7858</v>
      </c>
      <c r="D4521" t="s">
        <v>18784</v>
      </c>
      <c r="E4521" t="s">
        <v>20027</v>
      </c>
      <c r="F4521" t="s">
        <v>32664</v>
      </c>
      <c r="G4521" t="s">
        <v>32674</v>
      </c>
      <c r="H4521" t="s">
        <v>12635</v>
      </c>
      <c r="I4521" t="s">
        <v>6168</v>
      </c>
      <c r="J4521" t="s">
        <v>33223</v>
      </c>
      <c r="K4521" t="s">
        <v>42332</v>
      </c>
      <c r="M4521" t="s">
        <v>44279</v>
      </c>
      <c r="N4521" t="s">
        <v>46569</v>
      </c>
      <c r="O4521" t="s">
        <v>46570</v>
      </c>
      <c r="P4521">
        <v>0</v>
      </c>
      <c r="Q4521">
        <v>0</v>
      </c>
      <c r="R4521" t="s">
        <v>46572</v>
      </c>
      <c r="S4521" t="s">
        <v>46689</v>
      </c>
      <c r="T4521" t="s">
        <v>48449</v>
      </c>
      <c r="U4521" t="s">
        <v>52513</v>
      </c>
      <c r="W4521" t="s">
        <v>44279</v>
      </c>
      <c r="X4521" t="s">
        <v>46573</v>
      </c>
    </row>
    <row r="4522" spans="1:24">
      <c r="A4522">
        <f>HYPERLINK("https://www.philgeps.gov.ph/GEPSNONPILOT/Tender/SplashBidNoticeAbstractUI.aspx?menuIndex=3&amp;refID=7064225&amp;Result=3","7064225")</f>
        <v>0</v>
      </c>
      <c r="B4522" t="s">
        <v>1597</v>
      </c>
      <c r="C4522" t="s">
        <v>7859</v>
      </c>
      <c r="D4522" t="s">
        <v>18788</v>
      </c>
      <c r="E4522" t="s">
        <v>22958</v>
      </c>
      <c r="F4522" t="s">
        <v>32664</v>
      </c>
      <c r="G4522" t="s">
        <v>32674</v>
      </c>
      <c r="H4522" t="s">
        <v>12635</v>
      </c>
      <c r="I4522" t="s">
        <v>9486</v>
      </c>
      <c r="J4522" t="s">
        <v>33831</v>
      </c>
      <c r="K4522" t="s">
        <v>42284</v>
      </c>
      <c r="M4522" t="s">
        <v>44274</v>
      </c>
      <c r="N4522" t="s">
        <v>46569</v>
      </c>
      <c r="O4522" t="s">
        <v>46570</v>
      </c>
      <c r="P4522">
        <v>0</v>
      </c>
      <c r="Q4522">
        <v>0</v>
      </c>
      <c r="R4522" t="s">
        <v>46572</v>
      </c>
      <c r="S4522" t="s">
        <v>46689</v>
      </c>
      <c r="T4522" t="s">
        <v>48517</v>
      </c>
      <c r="U4522" t="s">
        <v>52514</v>
      </c>
      <c r="V4522" t="s">
        <v>62082</v>
      </c>
      <c r="W4522" t="s">
        <v>44274</v>
      </c>
      <c r="X4522" t="s">
        <v>46573</v>
      </c>
    </row>
    <row r="4523" spans="1:24">
      <c r="A4523">
        <f>HYPERLINK("https://www.philgeps.gov.ph/GEPSNONPILOT/Tender/SplashBidNoticeAbstractUI.aspx?menuIndex=3&amp;refID=7064212&amp;Result=3","7064212")</f>
        <v>0</v>
      </c>
      <c r="B4523" t="s">
        <v>1574</v>
      </c>
      <c r="C4523" t="s">
        <v>7860</v>
      </c>
      <c r="D4523" t="s">
        <v>18830</v>
      </c>
      <c r="E4523" t="s">
        <v>22959</v>
      </c>
      <c r="F4523" t="s">
        <v>32664</v>
      </c>
      <c r="G4523" t="s">
        <v>32672</v>
      </c>
      <c r="H4523" t="s">
        <v>32683</v>
      </c>
      <c r="I4523" t="s">
        <v>10627</v>
      </c>
      <c r="J4523" t="s">
        <v>32974</v>
      </c>
      <c r="K4523" t="s">
        <v>42414</v>
      </c>
      <c r="M4523" t="s">
        <v>44249</v>
      </c>
      <c r="N4523" t="s">
        <v>46569</v>
      </c>
      <c r="O4523" t="s">
        <v>46570</v>
      </c>
      <c r="P4523">
        <v>0</v>
      </c>
      <c r="Q4523">
        <v>0</v>
      </c>
      <c r="R4523" t="s">
        <v>46572</v>
      </c>
      <c r="S4523" t="s">
        <v>46689</v>
      </c>
      <c r="T4523" t="s">
        <v>48220</v>
      </c>
      <c r="U4523" t="s">
        <v>52488</v>
      </c>
      <c r="V4523" t="s">
        <v>62072</v>
      </c>
      <c r="W4523" t="s">
        <v>44249</v>
      </c>
      <c r="X4523" t="s">
        <v>46573</v>
      </c>
    </row>
    <row r="4524" spans="1:24">
      <c r="A4524">
        <f>HYPERLINK("https://www.philgeps.gov.ph/GEPSNONPILOT/Tender/SplashBidNoticeAbstractUI.aspx?menuIndex=3&amp;refID=7064234&amp;Result=3","7064234")</f>
        <v>0</v>
      </c>
      <c r="B4524" t="s">
        <v>1596</v>
      </c>
      <c r="C4524" t="s">
        <v>7861</v>
      </c>
      <c r="D4524" t="s">
        <v>18794</v>
      </c>
      <c r="E4524" t="s">
        <v>22960</v>
      </c>
      <c r="F4524" t="s">
        <v>32664</v>
      </c>
      <c r="G4524" t="s">
        <v>32672</v>
      </c>
      <c r="H4524" t="s">
        <v>32683</v>
      </c>
      <c r="I4524" t="s">
        <v>10627</v>
      </c>
      <c r="J4524" t="s">
        <v>35737</v>
      </c>
      <c r="K4524" t="s">
        <v>42281</v>
      </c>
      <c r="M4524" t="s">
        <v>44273</v>
      </c>
      <c r="N4524" t="s">
        <v>46569</v>
      </c>
      <c r="O4524" t="s">
        <v>46570</v>
      </c>
      <c r="P4524">
        <v>0</v>
      </c>
      <c r="Q4524">
        <v>0</v>
      </c>
      <c r="R4524" t="s">
        <v>46572</v>
      </c>
      <c r="S4524" t="s">
        <v>46689</v>
      </c>
      <c r="T4524" t="s">
        <v>48516</v>
      </c>
      <c r="U4524" t="s">
        <v>52515</v>
      </c>
      <c r="W4524" t="s">
        <v>44273</v>
      </c>
      <c r="X4524" t="s">
        <v>46573</v>
      </c>
    </row>
    <row r="4525" spans="1:24">
      <c r="A4525">
        <f>HYPERLINK("https://www.philgeps.gov.ph/GEPSNONPILOT/Tender/SplashBidNoticeAbstractUI.aspx?menuIndex=3&amp;refID=7064216&amp;Result=3","7064216")</f>
        <v>0</v>
      </c>
      <c r="B4525" t="s">
        <v>1597</v>
      </c>
      <c r="C4525" t="s">
        <v>7862</v>
      </c>
      <c r="D4525" t="s">
        <v>18788</v>
      </c>
      <c r="E4525" t="s">
        <v>22961</v>
      </c>
      <c r="F4525" t="s">
        <v>32664</v>
      </c>
      <c r="G4525" t="s">
        <v>32672</v>
      </c>
      <c r="H4525" t="s">
        <v>12635</v>
      </c>
      <c r="I4525" t="s">
        <v>11464</v>
      </c>
      <c r="J4525" t="s">
        <v>34487</v>
      </c>
      <c r="K4525" t="s">
        <v>42284</v>
      </c>
      <c r="M4525" t="s">
        <v>44274</v>
      </c>
      <c r="N4525" t="s">
        <v>46569</v>
      </c>
      <c r="O4525" t="s">
        <v>46570</v>
      </c>
      <c r="P4525">
        <v>0</v>
      </c>
      <c r="Q4525">
        <v>2</v>
      </c>
      <c r="R4525" t="s">
        <v>46572</v>
      </c>
      <c r="S4525" t="s">
        <v>46689</v>
      </c>
      <c r="T4525" t="s">
        <v>48313</v>
      </c>
      <c r="U4525" t="s">
        <v>52516</v>
      </c>
      <c r="V4525" t="s">
        <v>62082</v>
      </c>
      <c r="W4525" t="s">
        <v>44274</v>
      </c>
      <c r="X4525" t="s">
        <v>46573</v>
      </c>
    </row>
    <row r="4526" spans="1:24">
      <c r="A4526">
        <f>HYPERLINK("https://www.philgeps.gov.ph/GEPSNONPILOT/Tender/SplashBidNoticeAbstractUI.aspx?menuIndex=3&amp;refID=7064215&amp;Result=3","7064215")</f>
        <v>0</v>
      </c>
      <c r="B4526" t="s">
        <v>1586</v>
      </c>
      <c r="C4526" t="s">
        <v>7863</v>
      </c>
      <c r="D4526" t="s">
        <v>18814</v>
      </c>
      <c r="E4526" t="s">
        <v>22962</v>
      </c>
      <c r="F4526" t="s">
        <v>32664</v>
      </c>
      <c r="G4526" t="s">
        <v>32671</v>
      </c>
      <c r="H4526" t="s">
        <v>12635</v>
      </c>
      <c r="I4526" t="s">
        <v>32704</v>
      </c>
      <c r="J4526" t="s">
        <v>35738</v>
      </c>
      <c r="K4526" t="s">
        <v>42283</v>
      </c>
      <c r="M4526" t="s">
        <v>44263</v>
      </c>
      <c r="N4526" t="s">
        <v>46569</v>
      </c>
      <c r="O4526" t="s">
        <v>46570</v>
      </c>
      <c r="P4526">
        <v>0</v>
      </c>
      <c r="Q4526">
        <v>3</v>
      </c>
      <c r="R4526" t="s">
        <v>46572</v>
      </c>
      <c r="S4526" t="s">
        <v>46689</v>
      </c>
      <c r="T4526" t="s">
        <v>48221</v>
      </c>
      <c r="U4526" t="s">
        <v>52517</v>
      </c>
      <c r="W4526" t="s">
        <v>44263</v>
      </c>
      <c r="X4526" t="s">
        <v>46573</v>
      </c>
    </row>
    <row r="4527" spans="1:24">
      <c r="A4527">
        <f>HYPERLINK("https://www.philgeps.gov.ph/GEPSNONPILOT/Tender/SplashBidNoticeAbstractUI.aspx?menuIndex=3&amp;refID=7064223&amp;Result=3","7064223")</f>
        <v>0</v>
      </c>
      <c r="B4527" t="s">
        <v>1586</v>
      </c>
      <c r="C4527" t="s">
        <v>7864</v>
      </c>
      <c r="D4527" t="s">
        <v>18814</v>
      </c>
      <c r="E4527" t="s">
        <v>22963</v>
      </c>
      <c r="F4527" t="s">
        <v>32664</v>
      </c>
      <c r="G4527" t="s">
        <v>32671</v>
      </c>
      <c r="H4527" t="s">
        <v>12635</v>
      </c>
      <c r="I4527" t="s">
        <v>10361</v>
      </c>
      <c r="J4527" t="s">
        <v>35739</v>
      </c>
      <c r="K4527" t="s">
        <v>42283</v>
      </c>
      <c r="M4527" t="s">
        <v>44263</v>
      </c>
      <c r="N4527" t="s">
        <v>46569</v>
      </c>
      <c r="O4527" t="s">
        <v>46570</v>
      </c>
      <c r="P4527">
        <v>0</v>
      </c>
      <c r="Q4527">
        <v>0</v>
      </c>
      <c r="R4527" t="s">
        <v>46572</v>
      </c>
      <c r="S4527" t="s">
        <v>46689</v>
      </c>
      <c r="T4527" t="s">
        <v>48221</v>
      </c>
      <c r="U4527" t="s">
        <v>52518</v>
      </c>
      <c r="W4527" t="s">
        <v>44263</v>
      </c>
      <c r="X4527" t="s">
        <v>46573</v>
      </c>
    </row>
    <row r="4528" spans="1:24">
      <c r="A4528">
        <f>HYPERLINK("https://www.philgeps.gov.ph/GEPSNONPILOT/Tender/SplashBidNoticeAbstractUI.aspx?menuIndex=3&amp;refID=7064213&amp;Result=3","7064213")</f>
        <v>0</v>
      </c>
      <c r="B4528" t="s">
        <v>1150</v>
      </c>
      <c r="C4528" t="s">
        <v>7865</v>
      </c>
      <c r="D4528" t="s">
        <v>18845</v>
      </c>
      <c r="E4528" t="s">
        <v>22964</v>
      </c>
      <c r="F4528" t="s">
        <v>32664</v>
      </c>
      <c r="G4528" t="s">
        <v>32677</v>
      </c>
      <c r="H4528" t="s">
        <v>12635</v>
      </c>
      <c r="I4528" t="s">
        <v>32704</v>
      </c>
      <c r="J4528" t="s">
        <v>35740</v>
      </c>
      <c r="K4528" t="s">
        <v>42297</v>
      </c>
      <c r="M4528" t="s">
        <v>44282</v>
      </c>
      <c r="N4528" t="s">
        <v>46569</v>
      </c>
      <c r="O4528" t="s">
        <v>46570</v>
      </c>
      <c r="P4528">
        <v>0</v>
      </c>
      <c r="Q4528">
        <v>11</v>
      </c>
      <c r="R4528" t="s">
        <v>46572</v>
      </c>
      <c r="S4528" t="s">
        <v>46689</v>
      </c>
      <c r="T4528" t="s">
        <v>48285</v>
      </c>
      <c r="U4528" t="s">
        <v>52519</v>
      </c>
      <c r="W4528" t="s">
        <v>44282</v>
      </c>
      <c r="X4528" t="s">
        <v>46573</v>
      </c>
    </row>
    <row r="4529" spans="1:24">
      <c r="A4529">
        <f>HYPERLINK("https://www.philgeps.gov.ph/GEPSNONPILOT/Tender/SplashBidNoticeAbstractUI.aspx?menuIndex=3&amp;refID=7064253&amp;Result=3","7064253")</f>
        <v>0</v>
      </c>
      <c r="B4529" t="s">
        <v>851</v>
      </c>
      <c r="C4529" t="s">
        <v>7866</v>
      </c>
      <c r="D4529" t="s">
        <v>18829</v>
      </c>
      <c r="E4529" t="s">
        <v>22965</v>
      </c>
      <c r="F4529" t="s">
        <v>32664</v>
      </c>
      <c r="G4529" t="s">
        <v>32672</v>
      </c>
      <c r="H4529" t="s">
        <v>12635</v>
      </c>
      <c r="I4529" t="s">
        <v>8730</v>
      </c>
      <c r="J4529" t="s">
        <v>35741</v>
      </c>
      <c r="K4529" t="s">
        <v>42289</v>
      </c>
      <c r="M4529" t="s">
        <v>43447</v>
      </c>
      <c r="N4529" t="s">
        <v>46569</v>
      </c>
      <c r="O4529" t="s">
        <v>46570</v>
      </c>
      <c r="P4529">
        <v>0</v>
      </c>
      <c r="Q4529">
        <v>0</v>
      </c>
      <c r="R4529" t="s">
        <v>46572</v>
      </c>
      <c r="S4529" t="s">
        <v>46689</v>
      </c>
      <c r="T4529" t="s">
        <v>48213</v>
      </c>
      <c r="U4529" t="s">
        <v>50429</v>
      </c>
      <c r="W4529" t="s">
        <v>43447</v>
      </c>
      <c r="X4529" t="s">
        <v>46573</v>
      </c>
    </row>
    <row r="4530" spans="1:24">
      <c r="A4530">
        <f>HYPERLINK("https://www.philgeps.gov.ph/GEPSNONPILOT/Tender/SplashBidNoticeAbstractUI.aspx?menuIndex=3&amp;refID=7064145&amp;Result=3","7064145")</f>
        <v>0</v>
      </c>
      <c r="B4530" t="s">
        <v>225</v>
      </c>
      <c r="C4530" t="s">
        <v>7867</v>
      </c>
      <c r="D4530" t="s">
        <v>18784</v>
      </c>
      <c r="E4530" t="s">
        <v>22966</v>
      </c>
      <c r="F4530" t="s">
        <v>32664</v>
      </c>
      <c r="G4530" t="s">
        <v>32671</v>
      </c>
      <c r="H4530" t="s">
        <v>32681</v>
      </c>
      <c r="I4530" t="s">
        <v>32681</v>
      </c>
      <c r="J4530" t="s">
        <v>35742</v>
      </c>
      <c r="K4530" t="s">
        <v>42298</v>
      </c>
      <c r="M4530" t="s">
        <v>43870</v>
      </c>
      <c r="N4530" t="s">
        <v>46569</v>
      </c>
      <c r="O4530" t="s">
        <v>46570</v>
      </c>
      <c r="P4530">
        <v>0</v>
      </c>
      <c r="Q4530">
        <v>1</v>
      </c>
      <c r="R4530" t="s">
        <v>46572</v>
      </c>
      <c r="S4530" t="s">
        <v>46689</v>
      </c>
      <c r="T4530" t="s">
        <v>48276</v>
      </c>
      <c r="U4530" t="s">
        <v>52520</v>
      </c>
      <c r="V4530" t="s">
        <v>62085</v>
      </c>
      <c r="W4530" t="s">
        <v>43870</v>
      </c>
      <c r="X4530" t="s">
        <v>46573</v>
      </c>
    </row>
    <row r="4531" spans="1:24">
      <c r="A4531">
        <f>HYPERLINK("https://www.philgeps.gov.ph/GEPSNONPILOT/Tender/SplashBidNoticeAbstractUI.aspx?menuIndex=3&amp;refID=7064247&amp;Result=3","7064247")</f>
        <v>0</v>
      </c>
      <c r="B4531" t="s">
        <v>1604</v>
      </c>
      <c r="C4531" t="s">
        <v>7868</v>
      </c>
      <c r="D4531" t="s">
        <v>18808</v>
      </c>
      <c r="E4531" t="s">
        <v>20114</v>
      </c>
      <c r="F4531" t="s">
        <v>32664</v>
      </c>
      <c r="G4531" t="s">
        <v>32671</v>
      </c>
      <c r="H4531" t="s">
        <v>12635</v>
      </c>
      <c r="I4531" t="s">
        <v>9597</v>
      </c>
      <c r="J4531" t="s">
        <v>35743</v>
      </c>
      <c r="K4531" t="s">
        <v>42298</v>
      </c>
      <c r="M4531" t="s">
        <v>44283</v>
      </c>
      <c r="N4531" t="s">
        <v>46569</v>
      </c>
      <c r="O4531" t="s">
        <v>46570</v>
      </c>
      <c r="P4531">
        <v>0</v>
      </c>
      <c r="Q4531">
        <v>3</v>
      </c>
      <c r="R4531" t="s">
        <v>46572</v>
      </c>
      <c r="S4531" t="s">
        <v>46689</v>
      </c>
      <c r="T4531" t="s">
        <v>48297</v>
      </c>
      <c r="U4531" t="s">
        <v>52521</v>
      </c>
      <c r="V4531" t="s">
        <v>62086</v>
      </c>
      <c r="W4531" t="s">
        <v>44283</v>
      </c>
      <c r="X4531" t="s">
        <v>46573</v>
      </c>
    </row>
    <row r="4532" spans="1:24">
      <c r="A4532">
        <f>HYPERLINK("https://www.philgeps.gov.ph/GEPSNONPILOT/Tender/SplashBidNoticeAbstractUI.aspx?menuIndex=3&amp;refID=7064250&amp;Result=3","7064250")</f>
        <v>0</v>
      </c>
      <c r="B4532" t="s">
        <v>851</v>
      </c>
      <c r="C4532" t="s">
        <v>7869</v>
      </c>
      <c r="D4532" t="s">
        <v>18829</v>
      </c>
      <c r="E4532" t="s">
        <v>22967</v>
      </c>
      <c r="F4532" t="s">
        <v>32664</v>
      </c>
      <c r="G4532" t="s">
        <v>32672</v>
      </c>
      <c r="H4532" t="s">
        <v>12635</v>
      </c>
      <c r="I4532" t="s">
        <v>4439</v>
      </c>
      <c r="J4532" t="s">
        <v>35744</v>
      </c>
      <c r="K4532" t="s">
        <v>42289</v>
      </c>
      <c r="M4532" t="s">
        <v>43447</v>
      </c>
      <c r="N4532" t="s">
        <v>46569</v>
      </c>
      <c r="O4532" t="s">
        <v>46570</v>
      </c>
      <c r="P4532">
        <v>0</v>
      </c>
      <c r="Q4532">
        <v>1</v>
      </c>
      <c r="R4532" t="s">
        <v>46572</v>
      </c>
      <c r="S4532" t="s">
        <v>46689</v>
      </c>
      <c r="T4532" t="s">
        <v>48213</v>
      </c>
      <c r="U4532" t="s">
        <v>50429</v>
      </c>
      <c r="W4532" t="s">
        <v>43447</v>
      </c>
      <c r="X4532" t="s">
        <v>46573</v>
      </c>
    </row>
    <row r="4533" spans="1:24">
      <c r="A4533">
        <f>HYPERLINK("https://www.philgeps.gov.ph/GEPSNONPILOT/Tender/SplashBidNoticeAbstractUI.aspx?menuIndex=3&amp;refID=7064255&amp;Result=3","7064255")</f>
        <v>0</v>
      </c>
      <c r="B4533" t="s">
        <v>1574</v>
      </c>
      <c r="C4533" t="s">
        <v>7870</v>
      </c>
      <c r="D4533" t="s">
        <v>18830</v>
      </c>
      <c r="E4533" t="s">
        <v>22968</v>
      </c>
      <c r="F4533" t="s">
        <v>32664</v>
      </c>
      <c r="G4533" t="s">
        <v>32672</v>
      </c>
      <c r="H4533" t="s">
        <v>32683</v>
      </c>
      <c r="I4533" t="s">
        <v>10627</v>
      </c>
      <c r="J4533" t="s">
        <v>32859</v>
      </c>
      <c r="K4533" t="s">
        <v>42314</v>
      </c>
      <c r="M4533" t="s">
        <v>44249</v>
      </c>
      <c r="N4533" t="s">
        <v>46569</v>
      </c>
      <c r="O4533" t="s">
        <v>46570</v>
      </c>
      <c r="P4533">
        <v>0</v>
      </c>
      <c r="Q4533">
        <v>0</v>
      </c>
      <c r="R4533" t="s">
        <v>46572</v>
      </c>
      <c r="S4533" t="s">
        <v>46689</v>
      </c>
      <c r="T4533" t="s">
        <v>48220</v>
      </c>
      <c r="U4533" t="s">
        <v>52522</v>
      </c>
      <c r="V4533" t="s">
        <v>62072</v>
      </c>
      <c r="W4533" t="s">
        <v>44249</v>
      </c>
      <c r="X4533" t="s">
        <v>46573</v>
      </c>
    </row>
    <row r="4534" spans="1:24">
      <c r="A4534">
        <f>HYPERLINK("https://www.philgeps.gov.ph/GEPSNONPILOT/Tender/SplashBidNoticeAbstractUI.aspx?menuIndex=3&amp;refID=7064246&amp;Result=3","7064246")</f>
        <v>0</v>
      </c>
      <c r="B4534" t="s">
        <v>314</v>
      </c>
      <c r="C4534" t="s">
        <v>7871</v>
      </c>
      <c r="D4534" t="s">
        <v>18817</v>
      </c>
      <c r="E4534" t="s">
        <v>22276</v>
      </c>
      <c r="F4534" t="s">
        <v>32664</v>
      </c>
      <c r="G4534" t="s">
        <v>32671</v>
      </c>
      <c r="H4534" t="s">
        <v>12635</v>
      </c>
      <c r="I4534" t="s">
        <v>10361</v>
      </c>
      <c r="J4534" t="s">
        <v>35745</v>
      </c>
      <c r="K4534" t="s">
        <v>42297</v>
      </c>
      <c r="M4534" t="s">
        <v>42881</v>
      </c>
      <c r="N4534" t="s">
        <v>46569</v>
      </c>
      <c r="O4534" t="s">
        <v>46570</v>
      </c>
      <c r="P4534">
        <v>0</v>
      </c>
      <c r="Q4534">
        <v>0</v>
      </c>
      <c r="R4534" t="s">
        <v>46572</v>
      </c>
      <c r="S4534" t="s">
        <v>46689</v>
      </c>
      <c r="T4534" t="s">
        <v>48256</v>
      </c>
      <c r="U4534" t="s">
        <v>52523</v>
      </c>
      <c r="W4534" t="s">
        <v>42881</v>
      </c>
      <c r="X4534" t="s">
        <v>46573</v>
      </c>
    </row>
    <row r="4535" spans="1:24">
      <c r="A4535">
        <f>HYPERLINK("https://www.philgeps.gov.ph/GEPSNONPILOT/Tender/SplashBidNoticeAbstractUI.aspx?menuIndex=3&amp;refID=7064218&amp;Result=3","7064218")</f>
        <v>0</v>
      </c>
      <c r="B4535" t="s">
        <v>517</v>
      </c>
      <c r="C4535" t="s">
        <v>7872</v>
      </c>
      <c r="D4535" t="s">
        <v>18788</v>
      </c>
      <c r="E4535" t="s">
        <v>22969</v>
      </c>
      <c r="F4535" t="s">
        <v>32664</v>
      </c>
      <c r="G4535" t="s">
        <v>32671</v>
      </c>
      <c r="H4535" t="s">
        <v>12635</v>
      </c>
      <c r="I4535" t="s">
        <v>6628</v>
      </c>
      <c r="J4535" t="s">
        <v>33069</v>
      </c>
      <c r="K4535" t="s">
        <v>42283</v>
      </c>
      <c r="M4535" t="s">
        <v>43094</v>
      </c>
      <c r="N4535" t="s">
        <v>46569</v>
      </c>
      <c r="O4535" t="s">
        <v>46570</v>
      </c>
      <c r="P4535">
        <v>0</v>
      </c>
      <c r="Q4535">
        <v>0</v>
      </c>
      <c r="R4535" t="s">
        <v>46572</v>
      </c>
      <c r="S4535" t="s">
        <v>46689</v>
      </c>
      <c r="T4535" t="s">
        <v>48221</v>
      </c>
      <c r="U4535" t="s">
        <v>52524</v>
      </c>
      <c r="W4535" t="s">
        <v>43094</v>
      </c>
      <c r="X4535" t="s">
        <v>46573</v>
      </c>
    </row>
    <row r="4536" spans="1:24">
      <c r="A4536">
        <f>HYPERLINK("https://www.philgeps.gov.ph/GEPSNONPILOT/Tender/SplashBidNoticeAbstractUI.aspx?menuIndex=3&amp;refID=7064251&amp;Result=3","7064251")</f>
        <v>0</v>
      </c>
      <c r="B4536" t="s">
        <v>1574</v>
      </c>
      <c r="C4536" t="s">
        <v>7873</v>
      </c>
      <c r="D4536" t="s">
        <v>18830</v>
      </c>
      <c r="E4536" t="s">
        <v>22970</v>
      </c>
      <c r="F4536" t="s">
        <v>32664</v>
      </c>
      <c r="G4536" t="s">
        <v>32672</v>
      </c>
      <c r="H4536" t="s">
        <v>32683</v>
      </c>
      <c r="I4536" t="s">
        <v>10627</v>
      </c>
      <c r="J4536" t="s">
        <v>32974</v>
      </c>
      <c r="K4536" t="s">
        <v>42305</v>
      </c>
      <c r="M4536" t="s">
        <v>44249</v>
      </c>
      <c r="N4536" t="s">
        <v>46569</v>
      </c>
      <c r="O4536" t="s">
        <v>46570</v>
      </c>
      <c r="P4536">
        <v>0</v>
      </c>
      <c r="Q4536">
        <v>0</v>
      </c>
      <c r="R4536" t="s">
        <v>46572</v>
      </c>
      <c r="S4536" t="s">
        <v>46689</v>
      </c>
      <c r="T4536" t="s">
        <v>48220</v>
      </c>
      <c r="U4536" t="s">
        <v>50619</v>
      </c>
      <c r="V4536" t="s">
        <v>62072</v>
      </c>
      <c r="W4536" t="s">
        <v>44249</v>
      </c>
      <c r="X4536" t="s">
        <v>46573</v>
      </c>
    </row>
    <row r="4537" spans="1:24">
      <c r="A4537">
        <f>HYPERLINK("https://www.philgeps.gov.ph/GEPSNONPILOT/Tender/SplashBidNoticeAbstractUI.aspx?menuIndex=3&amp;refID=7064243&amp;Result=3","7064243")</f>
        <v>0</v>
      </c>
      <c r="B4537" t="s">
        <v>1574</v>
      </c>
      <c r="C4537" t="s">
        <v>7874</v>
      </c>
      <c r="D4537" t="s">
        <v>18830</v>
      </c>
      <c r="E4537" t="s">
        <v>22971</v>
      </c>
      <c r="F4537" t="s">
        <v>32664</v>
      </c>
      <c r="G4537" t="s">
        <v>32672</v>
      </c>
      <c r="H4537" t="s">
        <v>32683</v>
      </c>
      <c r="I4537" t="s">
        <v>10627</v>
      </c>
      <c r="J4537" t="s">
        <v>33167</v>
      </c>
      <c r="K4537" t="s">
        <v>42429</v>
      </c>
      <c r="M4537" t="s">
        <v>44249</v>
      </c>
      <c r="N4537" t="s">
        <v>46569</v>
      </c>
      <c r="O4537" t="s">
        <v>46570</v>
      </c>
      <c r="P4537">
        <v>0</v>
      </c>
      <c r="Q4537">
        <v>0</v>
      </c>
      <c r="R4537" t="s">
        <v>46572</v>
      </c>
      <c r="S4537" t="s">
        <v>46689</v>
      </c>
      <c r="T4537" t="s">
        <v>48220</v>
      </c>
      <c r="U4537" t="s">
        <v>52525</v>
      </c>
      <c r="V4537" t="s">
        <v>62072</v>
      </c>
      <c r="W4537" t="s">
        <v>44249</v>
      </c>
      <c r="X4537" t="s">
        <v>46573</v>
      </c>
    </row>
    <row r="4538" spans="1:24">
      <c r="A4538">
        <f>HYPERLINK("https://www.philgeps.gov.ph/GEPSNONPILOT/Tender/SplashBidNoticeAbstractUI.aspx?menuIndex=3&amp;refID=7064248&amp;Result=3","7064248")</f>
        <v>0</v>
      </c>
      <c r="B4538" t="s">
        <v>629</v>
      </c>
      <c r="C4538" t="s">
        <v>7875</v>
      </c>
      <c r="D4538" t="s">
        <v>18782</v>
      </c>
      <c r="E4538" t="s">
        <v>22972</v>
      </c>
      <c r="F4538" t="s">
        <v>32664</v>
      </c>
      <c r="G4538" t="s">
        <v>32674</v>
      </c>
      <c r="H4538" t="s">
        <v>12635</v>
      </c>
      <c r="I4538" t="s">
        <v>32725</v>
      </c>
      <c r="J4538" t="s">
        <v>35746</v>
      </c>
      <c r="K4538" t="s">
        <v>42283</v>
      </c>
      <c r="M4538" t="s">
        <v>43211</v>
      </c>
      <c r="N4538" t="s">
        <v>46569</v>
      </c>
      <c r="O4538" t="s">
        <v>46570</v>
      </c>
      <c r="P4538">
        <v>0</v>
      </c>
      <c r="Q4538">
        <v>1</v>
      </c>
      <c r="R4538" t="s">
        <v>46572</v>
      </c>
      <c r="S4538" t="s">
        <v>46689</v>
      </c>
      <c r="T4538" t="s">
        <v>48246</v>
      </c>
      <c r="U4538" t="s">
        <v>52526</v>
      </c>
      <c r="W4538" t="s">
        <v>43211</v>
      </c>
      <c r="X4538" t="s">
        <v>46573</v>
      </c>
    </row>
    <row r="4539" spans="1:24">
      <c r="A4539">
        <f>HYPERLINK("https://www.philgeps.gov.ph/GEPSNONPILOT/Tender/SplashBidNoticeAbstractUI.aspx?menuIndex=3&amp;refID=7064242&amp;Result=3","7064242")</f>
        <v>0</v>
      </c>
      <c r="B4539" t="s">
        <v>1605</v>
      </c>
      <c r="C4539" t="s">
        <v>7876</v>
      </c>
      <c r="D4539" t="s">
        <v>18818</v>
      </c>
      <c r="E4539" t="s">
        <v>22973</v>
      </c>
      <c r="F4539" t="s">
        <v>32664</v>
      </c>
      <c r="G4539" t="s">
        <v>32672</v>
      </c>
      <c r="H4539" t="s">
        <v>32683</v>
      </c>
      <c r="I4539" t="s">
        <v>10627</v>
      </c>
      <c r="J4539" t="s">
        <v>35747</v>
      </c>
      <c r="K4539" t="s">
        <v>42369</v>
      </c>
      <c r="M4539" t="s">
        <v>44284</v>
      </c>
      <c r="N4539" t="s">
        <v>46569</v>
      </c>
      <c r="O4539" t="s">
        <v>46570</v>
      </c>
      <c r="P4539">
        <v>0</v>
      </c>
      <c r="Q4539">
        <v>0</v>
      </c>
      <c r="R4539" t="s">
        <v>46572</v>
      </c>
      <c r="S4539" t="s">
        <v>46689</v>
      </c>
      <c r="T4539" t="s">
        <v>48273</v>
      </c>
      <c r="U4539" t="s">
        <v>52527</v>
      </c>
      <c r="W4539" t="s">
        <v>44284</v>
      </c>
      <c r="X4539" t="s">
        <v>46573</v>
      </c>
    </row>
    <row r="4540" spans="1:24">
      <c r="A4540">
        <f>HYPERLINK("https://www.philgeps.gov.ph/GEPSNONPILOT/Tender/SplashBidNoticeAbstractUI.aspx?menuIndex=3&amp;refID=7064240&amp;Result=3","7064240")</f>
        <v>0</v>
      </c>
      <c r="B4540" t="s">
        <v>1574</v>
      </c>
      <c r="C4540" t="s">
        <v>7877</v>
      </c>
      <c r="D4540" t="s">
        <v>18830</v>
      </c>
      <c r="E4540" t="s">
        <v>22974</v>
      </c>
      <c r="F4540" t="s">
        <v>32664</v>
      </c>
      <c r="G4540" t="s">
        <v>32672</v>
      </c>
      <c r="H4540" t="s">
        <v>32683</v>
      </c>
      <c r="I4540" t="s">
        <v>10627</v>
      </c>
      <c r="J4540" t="s">
        <v>32853</v>
      </c>
      <c r="K4540" t="s">
        <v>42321</v>
      </c>
      <c r="M4540" t="s">
        <v>44249</v>
      </c>
      <c r="N4540" t="s">
        <v>46569</v>
      </c>
      <c r="O4540" t="s">
        <v>46570</v>
      </c>
      <c r="P4540">
        <v>0</v>
      </c>
      <c r="Q4540">
        <v>0</v>
      </c>
      <c r="R4540" t="s">
        <v>46572</v>
      </c>
      <c r="S4540" t="s">
        <v>46689</v>
      </c>
      <c r="T4540" t="s">
        <v>48220</v>
      </c>
      <c r="U4540" t="s">
        <v>52528</v>
      </c>
      <c r="V4540" t="s">
        <v>62072</v>
      </c>
      <c r="W4540" t="s">
        <v>44249</v>
      </c>
      <c r="X4540" t="s">
        <v>46573</v>
      </c>
    </row>
    <row r="4541" spans="1:24">
      <c r="A4541">
        <f>HYPERLINK("https://www.philgeps.gov.ph/GEPSNONPILOT/Tender/SplashBidNoticeAbstractUI.aspx?menuIndex=3&amp;refID=7064245&amp;Result=3","7064245")</f>
        <v>0</v>
      </c>
      <c r="B4541" t="s">
        <v>1606</v>
      </c>
      <c r="C4541" t="s">
        <v>7878</v>
      </c>
      <c r="D4541" t="s">
        <v>18791</v>
      </c>
      <c r="E4541" t="s">
        <v>22975</v>
      </c>
      <c r="F4541" t="s">
        <v>32664</v>
      </c>
      <c r="G4541" t="s">
        <v>32671</v>
      </c>
      <c r="H4541" t="s">
        <v>12635</v>
      </c>
      <c r="I4541" t="s">
        <v>8730</v>
      </c>
      <c r="J4541" t="s">
        <v>35748</v>
      </c>
      <c r="K4541" t="s">
        <v>42289</v>
      </c>
      <c r="M4541" t="s">
        <v>44285</v>
      </c>
      <c r="N4541" t="s">
        <v>46569</v>
      </c>
      <c r="O4541" t="s">
        <v>46570</v>
      </c>
      <c r="P4541">
        <v>0</v>
      </c>
      <c r="Q4541">
        <v>0</v>
      </c>
      <c r="R4541" t="s">
        <v>46572</v>
      </c>
      <c r="S4541" t="s">
        <v>46689</v>
      </c>
      <c r="T4541" t="s">
        <v>48217</v>
      </c>
      <c r="U4541" t="s">
        <v>52529</v>
      </c>
      <c r="W4541" t="s">
        <v>44285</v>
      </c>
      <c r="X4541" t="s">
        <v>46573</v>
      </c>
    </row>
    <row r="4542" spans="1:24">
      <c r="A4542">
        <f>HYPERLINK("https://www.philgeps.gov.ph/GEPSNONPILOT/Tender/SplashBidNoticeAbstractUI.aspx?menuIndex=3&amp;refID=7064238&amp;Result=3","7064238")</f>
        <v>0</v>
      </c>
      <c r="B4542" t="s">
        <v>851</v>
      </c>
      <c r="C4542" t="s">
        <v>7879</v>
      </c>
      <c r="D4542" t="s">
        <v>18829</v>
      </c>
      <c r="E4542" t="s">
        <v>22976</v>
      </c>
      <c r="F4542" t="s">
        <v>32664</v>
      </c>
      <c r="G4542" t="s">
        <v>32672</v>
      </c>
      <c r="H4542" t="s">
        <v>12635</v>
      </c>
      <c r="I4542" t="s">
        <v>4439</v>
      </c>
      <c r="J4542" t="s">
        <v>35749</v>
      </c>
      <c r="K4542" t="s">
        <v>42289</v>
      </c>
      <c r="M4542" t="s">
        <v>43447</v>
      </c>
      <c r="N4542" t="s">
        <v>46569</v>
      </c>
      <c r="O4542" t="s">
        <v>46570</v>
      </c>
      <c r="P4542">
        <v>0</v>
      </c>
      <c r="Q4542">
        <v>1</v>
      </c>
      <c r="R4542" t="s">
        <v>46572</v>
      </c>
      <c r="S4542" t="s">
        <v>46689</v>
      </c>
      <c r="T4542" t="s">
        <v>48213</v>
      </c>
      <c r="U4542" t="s">
        <v>50429</v>
      </c>
      <c r="W4542" t="s">
        <v>43447</v>
      </c>
      <c r="X4542" t="s">
        <v>46573</v>
      </c>
    </row>
    <row r="4543" spans="1:24">
      <c r="A4543">
        <f>HYPERLINK("https://www.philgeps.gov.ph/GEPSNONPILOT/Tender/SplashBidNoticeAbstractUI.aspx?menuIndex=3&amp;refID=7064237&amp;Result=3","7064237")</f>
        <v>0</v>
      </c>
      <c r="B4543" t="s">
        <v>1607</v>
      </c>
      <c r="C4543" t="s">
        <v>7880</v>
      </c>
      <c r="D4543" t="s">
        <v>18816</v>
      </c>
      <c r="E4543" t="s">
        <v>21695</v>
      </c>
      <c r="F4543" t="s">
        <v>32665</v>
      </c>
      <c r="G4543" t="s">
        <v>32674</v>
      </c>
      <c r="H4543" t="s">
        <v>12635</v>
      </c>
      <c r="I4543" t="s">
        <v>32730</v>
      </c>
      <c r="J4543" t="s">
        <v>33118</v>
      </c>
      <c r="K4543" t="s">
        <v>42289</v>
      </c>
      <c r="L4543" t="s">
        <v>1607</v>
      </c>
      <c r="M4543" t="s">
        <v>44286</v>
      </c>
      <c r="N4543" t="s">
        <v>46569</v>
      </c>
      <c r="O4543" t="s">
        <v>46570</v>
      </c>
      <c r="P4543">
        <v>0</v>
      </c>
      <c r="Q4543">
        <v>1</v>
      </c>
      <c r="R4543" t="s">
        <v>46572</v>
      </c>
      <c r="S4543" t="s">
        <v>46689</v>
      </c>
      <c r="T4543" t="s">
        <v>48287</v>
      </c>
      <c r="U4543" t="s">
        <v>52530</v>
      </c>
      <c r="W4543" t="s">
        <v>44286</v>
      </c>
      <c r="X4543" t="s">
        <v>46573</v>
      </c>
    </row>
    <row r="4544" spans="1:24">
      <c r="A4544">
        <f>HYPERLINK("https://www.philgeps.gov.ph/GEPSNONPILOT/Tender/SplashBidNoticeAbstractUI.aspx?menuIndex=3&amp;refID=7064249&amp;Result=3","7064249")</f>
        <v>0</v>
      </c>
      <c r="B4544" t="s">
        <v>1605</v>
      </c>
      <c r="C4544" t="s">
        <v>7881</v>
      </c>
      <c r="D4544" t="s">
        <v>18818</v>
      </c>
      <c r="E4544" t="s">
        <v>22977</v>
      </c>
      <c r="F4544" t="s">
        <v>32664</v>
      </c>
      <c r="G4544" t="s">
        <v>32672</v>
      </c>
      <c r="H4544" t="s">
        <v>32683</v>
      </c>
      <c r="I4544" t="s">
        <v>10627</v>
      </c>
      <c r="J4544" t="s">
        <v>35750</v>
      </c>
      <c r="K4544" t="s">
        <v>42428</v>
      </c>
      <c r="M4544" t="s">
        <v>44284</v>
      </c>
      <c r="N4544" t="s">
        <v>46569</v>
      </c>
      <c r="O4544" t="s">
        <v>46570</v>
      </c>
      <c r="P4544">
        <v>0</v>
      </c>
      <c r="Q4544">
        <v>0</v>
      </c>
      <c r="R4544" t="s">
        <v>46572</v>
      </c>
      <c r="S4544" t="s">
        <v>46689</v>
      </c>
      <c r="T4544" t="s">
        <v>48273</v>
      </c>
      <c r="U4544" t="s">
        <v>52527</v>
      </c>
      <c r="W4544" t="s">
        <v>44284</v>
      </c>
      <c r="X4544" t="s">
        <v>46573</v>
      </c>
    </row>
    <row r="4545" spans="1:24">
      <c r="A4545">
        <f>HYPERLINK("https://www.philgeps.gov.ph/GEPSNONPILOT/Tender/SplashBidNoticeAbstractUI.aspx?menuIndex=3&amp;refID=7064211&amp;Result=3","7064211")</f>
        <v>0</v>
      </c>
      <c r="B4545" t="s">
        <v>1586</v>
      </c>
      <c r="C4545" t="s">
        <v>7801</v>
      </c>
      <c r="D4545" t="s">
        <v>18814</v>
      </c>
      <c r="E4545" t="s">
        <v>22978</v>
      </c>
      <c r="F4545" t="s">
        <v>32664</v>
      </c>
      <c r="G4545" t="s">
        <v>32671</v>
      </c>
      <c r="H4545" t="s">
        <v>12635</v>
      </c>
      <c r="I4545" t="s">
        <v>7759</v>
      </c>
      <c r="J4545" t="s">
        <v>35751</v>
      </c>
      <c r="K4545" t="s">
        <v>42283</v>
      </c>
      <c r="M4545" t="s">
        <v>44263</v>
      </c>
      <c r="N4545" t="s">
        <v>46569</v>
      </c>
      <c r="O4545" t="s">
        <v>46570</v>
      </c>
      <c r="P4545">
        <v>0</v>
      </c>
      <c r="Q4545">
        <v>1</v>
      </c>
      <c r="R4545" t="s">
        <v>46572</v>
      </c>
      <c r="S4545" t="s">
        <v>46689</v>
      </c>
      <c r="T4545" t="s">
        <v>48221</v>
      </c>
      <c r="U4545" t="s">
        <v>52531</v>
      </c>
      <c r="W4545" t="s">
        <v>44263</v>
      </c>
      <c r="X4545" t="s">
        <v>46573</v>
      </c>
    </row>
    <row r="4546" spans="1:24">
      <c r="A4546">
        <f>HYPERLINK("https://www.philgeps.gov.ph/GEPSNONPILOT/Tender/SplashBidNoticeAbstractUI.aspx?menuIndex=3&amp;refID=7064241&amp;Result=3","7064241")</f>
        <v>0</v>
      </c>
      <c r="B4546" t="s">
        <v>1449</v>
      </c>
      <c r="C4546" t="s">
        <v>7882</v>
      </c>
      <c r="D4546" t="s">
        <v>18801</v>
      </c>
      <c r="E4546" t="s">
        <v>22979</v>
      </c>
      <c r="F4546" t="s">
        <v>32664</v>
      </c>
      <c r="G4546" t="s">
        <v>32671</v>
      </c>
      <c r="H4546" t="s">
        <v>12635</v>
      </c>
      <c r="I4546" t="s">
        <v>4205</v>
      </c>
      <c r="J4546" t="s">
        <v>35752</v>
      </c>
      <c r="K4546" t="s">
        <v>42281</v>
      </c>
      <c r="M4546" t="s">
        <v>44110</v>
      </c>
      <c r="N4546" t="s">
        <v>46569</v>
      </c>
      <c r="O4546" t="s">
        <v>46570</v>
      </c>
      <c r="P4546">
        <v>0</v>
      </c>
      <c r="Q4546">
        <v>3</v>
      </c>
      <c r="R4546" t="s">
        <v>46572</v>
      </c>
      <c r="S4546" t="s">
        <v>46689</v>
      </c>
      <c r="T4546" t="s">
        <v>48228</v>
      </c>
      <c r="U4546" t="s">
        <v>52532</v>
      </c>
      <c r="W4546" t="s">
        <v>44110</v>
      </c>
      <c r="X4546" t="s">
        <v>46573</v>
      </c>
    </row>
    <row r="4547" spans="1:24">
      <c r="A4547">
        <f>HYPERLINK("https://www.philgeps.gov.ph/GEPSNONPILOT/Tender/SplashBidNoticeAbstractUI.aspx?menuIndex=3&amp;refID=7064102&amp;Result=3","7064102")</f>
        <v>0</v>
      </c>
      <c r="B4547" t="s">
        <v>1562</v>
      </c>
      <c r="C4547" t="s">
        <v>7883</v>
      </c>
      <c r="D4547" t="s">
        <v>18805</v>
      </c>
      <c r="E4547" t="s">
        <v>22980</v>
      </c>
      <c r="F4547" t="s">
        <v>32664</v>
      </c>
      <c r="G4547" t="s">
        <v>32672</v>
      </c>
      <c r="H4547" t="s">
        <v>32682</v>
      </c>
      <c r="I4547" t="s">
        <v>4439</v>
      </c>
      <c r="J4547" t="s">
        <v>35753</v>
      </c>
      <c r="K4547" t="s">
        <v>42281</v>
      </c>
      <c r="M4547" t="s">
        <v>44234</v>
      </c>
      <c r="N4547" t="s">
        <v>46569</v>
      </c>
      <c r="O4547" t="s">
        <v>46570</v>
      </c>
      <c r="P4547">
        <v>0</v>
      </c>
      <c r="Q4547">
        <v>0</v>
      </c>
      <c r="R4547" t="s">
        <v>46572</v>
      </c>
      <c r="S4547" t="s">
        <v>46689</v>
      </c>
      <c r="T4547" t="s">
        <v>48304</v>
      </c>
      <c r="U4547" t="s">
        <v>52533</v>
      </c>
      <c r="W4547" t="s">
        <v>44234</v>
      </c>
      <c r="X4547" t="s">
        <v>46573</v>
      </c>
    </row>
    <row r="4548" spans="1:24">
      <c r="A4548">
        <f>HYPERLINK("https://www.philgeps.gov.ph/GEPSNONPILOT/Tender/SplashBidNoticeAbstractUI.aspx?menuIndex=3&amp;refID=7063174&amp;Result=3","7063174")</f>
        <v>0</v>
      </c>
      <c r="B4548" t="s">
        <v>1380</v>
      </c>
      <c r="C4548" t="s">
        <v>7884</v>
      </c>
      <c r="D4548" t="s">
        <v>18809</v>
      </c>
      <c r="E4548" t="s">
        <v>22981</v>
      </c>
      <c r="F4548" t="s">
        <v>32664</v>
      </c>
      <c r="G4548" t="s">
        <v>32672</v>
      </c>
      <c r="H4548" t="s">
        <v>12635</v>
      </c>
      <c r="I4548" t="s">
        <v>6118</v>
      </c>
      <c r="J4548" t="s">
        <v>35754</v>
      </c>
      <c r="K4548" t="s">
        <v>42297</v>
      </c>
      <c r="L4548" t="s">
        <v>1380</v>
      </c>
      <c r="M4548" t="s">
        <v>44035</v>
      </c>
      <c r="N4548" t="s">
        <v>46569</v>
      </c>
      <c r="O4548" t="s">
        <v>46570</v>
      </c>
      <c r="P4548">
        <v>0</v>
      </c>
      <c r="Q4548">
        <v>3</v>
      </c>
      <c r="R4548" t="s">
        <v>46572</v>
      </c>
      <c r="S4548" t="s">
        <v>46689</v>
      </c>
      <c r="T4548" t="s">
        <v>48226</v>
      </c>
      <c r="U4548" t="s">
        <v>52534</v>
      </c>
      <c r="V4548" t="s">
        <v>61989</v>
      </c>
      <c r="W4548" t="s">
        <v>44035</v>
      </c>
      <c r="X4548" t="s">
        <v>46573</v>
      </c>
    </row>
    <row r="4549" spans="1:24">
      <c r="A4549">
        <f>HYPERLINK("https://www.philgeps.gov.ph/GEPSNONPILOT/Tender/SplashBidNoticeAbstractUI.aspx?menuIndex=3&amp;refID=7064239&amp;Result=3","7064239")</f>
        <v>0</v>
      </c>
      <c r="B4549" t="s">
        <v>138</v>
      </c>
      <c r="C4549" t="s">
        <v>7885</v>
      </c>
      <c r="D4549" t="s">
        <v>18792</v>
      </c>
      <c r="E4549" t="s">
        <v>19299</v>
      </c>
      <c r="F4549" t="s">
        <v>32664</v>
      </c>
      <c r="G4549" t="s">
        <v>32672</v>
      </c>
      <c r="H4549" t="s">
        <v>12635</v>
      </c>
      <c r="I4549" t="s">
        <v>32712</v>
      </c>
      <c r="J4549" t="s">
        <v>35755</v>
      </c>
      <c r="K4549" t="s">
        <v>42298</v>
      </c>
      <c r="M4549" t="s">
        <v>42702</v>
      </c>
      <c r="N4549" t="s">
        <v>46569</v>
      </c>
      <c r="O4549" t="s">
        <v>46570</v>
      </c>
      <c r="P4549">
        <v>0</v>
      </c>
      <c r="Q4549">
        <v>15</v>
      </c>
      <c r="R4549" t="s">
        <v>46572</v>
      </c>
      <c r="S4549" t="s">
        <v>46689</v>
      </c>
      <c r="T4549" t="s">
        <v>48253</v>
      </c>
      <c r="U4549" t="s">
        <v>52535</v>
      </c>
      <c r="W4549" t="s">
        <v>42702</v>
      </c>
      <c r="X4549" t="s">
        <v>46573</v>
      </c>
    </row>
    <row r="4550" spans="1:24">
      <c r="A4550">
        <f>HYPERLINK("https://www.philgeps.gov.ph/GEPSNONPILOT/Tender/SplashBidNoticeAbstractUI.aspx?menuIndex=3&amp;refID=7064244&amp;Result=3","7064244")</f>
        <v>0</v>
      </c>
      <c r="B4550" t="s">
        <v>1449</v>
      </c>
      <c r="C4550" t="s">
        <v>7886</v>
      </c>
      <c r="D4550" t="s">
        <v>18801</v>
      </c>
      <c r="E4550" t="s">
        <v>22982</v>
      </c>
      <c r="F4550" t="s">
        <v>32664</v>
      </c>
      <c r="G4550" t="s">
        <v>32671</v>
      </c>
      <c r="H4550" t="s">
        <v>12635</v>
      </c>
      <c r="I4550" t="s">
        <v>4439</v>
      </c>
      <c r="J4550" t="s">
        <v>34650</v>
      </c>
      <c r="K4550" t="s">
        <v>42281</v>
      </c>
      <c r="M4550" t="s">
        <v>44110</v>
      </c>
      <c r="N4550" t="s">
        <v>46569</v>
      </c>
      <c r="O4550" t="s">
        <v>46570</v>
      </c>
      <c r="P4550">
        <v>0</v>
      </c>
      <c r="Q4550">
        <v>2</v>
      </c>
      <c r="R4550" t="s">
        <v>46572</v>
      </c>
      <c r="S4550" t="s">
        <v>46689</v>
      </c>
      <c r="T4550" t="s">
        <v>48228</v>
      </c>
      <c r="U4550" t="s">
        <v>52536</v>
      </c>
      <c r="W4550" t="s">
        <v>44110</v>
      </c>
      <c r="X4550" t="s">
        <v>46573</v>
      </c>
    </row>
    <row r="4551" spans="1:24">
      <c r="A4551">
        <f>HYPERLINK("https://www.philgeps.gov.ph/GEPSNONPILOT/Tender/SplashBidNoticeAbstractUI.aspx?menuIndex=3&amp;refID=7063172&amp;Result=3","7063172")</f>
        <v>0</v>
      </c>
      <c r="B4551" t="s">
        <v>1608</v>
      </c>
      <c r="C4551" t="s">
        <v>7887</v>
      </c>
      <c r="D4551" t="s">
        <v>18804</v>
      </c>
      <c r="E4551" t="s">
        <v>22983</v>
      </c>
      <c r="F4551" t="s">
        <v>32664</v>
      </c>
      <c r="G4551" t="s">
        <v>32674</v>
      </c>
      <c r="H4551" t="s">
        <v>12635</v>
      </c>
      <c r="I4551" t="s">
        <v>4439</v>
      </c>
      <c r="J4551" t="s">
        <v>33107</v>
      </c>
      <c r="K4551" t="s">
        <v>42295</v>
      </c>
      <c r="M4551" t="s">
        <v>44287</v>
      </c>
      <c r="N4551" t="s">
        <v>46569</v>
      </c>
      <c r="O4551" t="s">
        <v>46570</v>
      </c>
      <c r="P4551">
        <v>0</v>
      </c>
      <c r="Q4551">
        <v>0</v>
      </c>
      <c r="R4551" t="s">
        <v>46572</v>
      </c>
      <c r="S4551" t="s">
        <v>46689</v>
      </c>
      <c r="T4551" t="s">
        <v>48254</v>
      </c>
      <c r="U4551" t="s">
        <v>52537</v>
      </c>
      <c r="W4551" t="s">
        <v>44287</v>
      </c>
      <c r="X4551" t="s">
        <v>46573</v>
      </c>
    </row>
    <row r="4552" spans="1:24">
      <c r="A4552">
        <f>HYPERLINK("https://www.philgeps.gov.ph/GEPSNONPILOT/Tender/SplashBidNoticeAbstractUI.aspx?menuIndex=3&amp;refID=7063157&amp;Result=3","7063157")</f>
        <v>0</v>
      </c>
      <c r="B4552" t="s">
        <v>460</v>
      </c>
      <c r="C4552" t="s">
        <v>7888</v>
      </c>
      <c r="D4552" t="s">
        <v>18806</v>
      </c>
      <c r="E4552" t="s">
        <v>22984</v>
      </c>
      <c r="F4552" t="s">
        <v>32664</v>
      </c>
      <c r="G4552" t="s">
        <v>32672</v>
      </c>
      <c r="H4552" t="s">
        <v>12635</v>
      </c>
      <c r="I4552" t="s">
        <v>8797</v>
      </c>
      <c r="J4552" t="s">
        <v>35756</v>
      </c>
      <c r="K4552" t="s">
        <v>42330</v>
      </c>
      <c r="M4552" t="s">
        <v>43035</v>
      </c>
      <c r="N4552" t="s">
        <v>46569</v>
      </c>
      <c r="O4552" t="s">
        <v>46570</v>
      </c>
      <c r="P4552">
        <v>0</v>
      </c>
      <c r="Q4552">
        <v>1</v>
      </c>
      <c r="R4552" t="s">
        <v>46572</v>
      </c>
      <c r="S4552" t="s">
        <v>46689</v>
      </c>
      <c r="T4552" t="s">
        <v>48285</v>
      </c>
      <c r="U4552" t="s">
        <v>52538</v>
      </c>
      <c r="V4552" t="s">
        <v>61876</v>
      </c>
      <c r="W4552" t="s">
        <v>43035</v>
      </c>
      <c r="X4552" t="s">
        <v>46573</v>
      </c>
    </row>
    <row r="4553" spans="1:24">
      <c r="A4553">
        <f>HYPERLINK("https://www.philgeps.gov.ph/GEPSNONPILOT/Tender/SplashBidNoticeAbstractUI.aspx?menuIndex=3&amp;refID=7063177&amp;Result=3","7063177")</f>
        <v>0</v>
      </c>
      <c r="B4553" t="s">
        <v>1374</v>
      </c>
      <c r="C4553" t="s">
        <v>7889</v>
      </c>
      <c r="D4553" t="s">
        <v>18821</v>
      </c>
      <c r="E4553" t="s">
        <v>22985</v>
      </c>
      <c r="F4553" t="s">
        <v>32664</v>
      </c>
      <c r="G4553" t="s">
        <v>32672</v>
      </c>
      <c r="H4553" t="s">
        <v>12635</v>
      </c>
      <c r="I4553" t="s">
        <v>6168</v>
      </c>
      <c r="J4553" t="s">
        <v>35757</v>
      </c>
      <c r="K4553" t="s">
        <v>42297</v>
      </c>
      <c r="M4553" t="s">
        <v>44029</v>
      </c>
      <c r="N4553" t="s">
        <v>46569</v>
      </c>
      <c r="O4553" t="s">
        <v>46570</v>
      </c>
      <c r="P4553">
        <v>0</v>
      </c>
      <c r="Q4553">
        <v>1</v>
      </c>
      <c r="R4553" t="s">
        <v>46572</v>
      </c>
      <c r="S4553" t="s">
        <v>46689</v>
      </c>
      <c r="T4553" t="s">
        <v>48368</v>
      </c>
      <c r="U4553" t="s">
        <v>49404</v>
      </c>
      <c r="W4553" t="s">
        <v>44029</v>
      </c>
      <c r="X4553" t="s">
        <v>46573</v>
      </c>
    </row>
    <row r="4554" spans="1:24">
      <c r="A4554">
        <f>HYPERLINK("https://www.philgeps.gov.ph/GEPSNONPILOT/Tender/SplashBidNoticeAbstractUI.aspx?menuIndex=3&amp;refID=7063175&amp;Result=3","7063175")</f>
        <v>0</v>
      </c>
      <c r="B4554" t="s">
        <v>1389</v>
      </c>
      <c r="C4554" t="s">
        <v>7890</v>
      </c>
      <c r="D4554" t="s">
        <v>18857</v>
      </c>
      <c r="E4554" t="s">
        <v>22986</v>
      </c>
      <c r="F4554" t="s">
        <v>32664</v>
      </c>
      <c r="G4554" t="s">
        <v>32671</v>
      </c>
      <c r="H4554" t="s">
        <v>12635</v>
      </c>
      <c r="I4554" t="s">
        <v>32706</v>
      </c>
      <c r="J4554" t="s">
        <v>35758</v>
      </c>
      <c r="K4554" t="s">
        <v>42289</v>
      </c>
      <c r="M4554" t="s">
        <v>44045</v>
      </c>
      <c r="N4554" t="s">
        <v>46569</v>
      </c>
      <c r="O4554" t="s">
        <v>46570</v>
      </c>
      <c r="P4554">
        <v>0</v>
      </c>
      <c r="Q4554">
        <v>0</v>
      </c>
      <c r="R4554" t="s">
        <v>46572</v>
      </c>
      <c r="S4554" t="s">
        <v>46689</v>
      </c>
      <c r="T4554" t="s">
        <v>48244</v>
      </c>
      <c r="U4554" t="s">
        <v>52539</v>
      </c>
      <c r="V4554" t="s">
        <v>62087</v>
      </c>
      <c r="W4554" t="s">
        <v>44045</v>
      </c>
      <c r="X4554" t="s">
        <v>46573</v>
      </c>
    </row>
    <row r="4555" spans="1:24">
      <c r="A4555">
        <f>HYPERLINK("https://www.philgeps.gov.ph/GEPSNONPILOT/Tender/SplashBidNoticeAbstractUI.aspx?menuIndex=3&amp;refID=7063154&amp;Result=3","7063154")</f>
        <v>0</v>
      </c>
      <c r="B4555" t="s">
        <v>1609</v>
      </c>
      <c r="C4555" t="s">
        <v>7891</v>
      </c>
      <c r="D4555" t="s">
        <v>18782</v>
      </c>
      <c r="E4555" t="s">
        <v>22987</v>
      </c>
      <c r="F4555" t="s">
        <v>32664</v>
      </c>
      <c r="G4555" t="s">
        <v>32672</v>
      </c>
      <c r="H4555" t="s">
        <v>12635</v>
      </c>
      <c r="I4555" t="s">
        <v>32694</v>
      </c>
      <c r="J4555" t="s">
        <v>35759</v>
      </c>
      <c r="K4555" t="s">
        <v>42281</v>
      </c>
      <c r="M4555" t="s">
        <v>44288</v>
      </c>
      <c r="N4555" t="s">
        <v>46569</v>
      </c>
      <c r="O4555" t="s">
        <v>46570</v>
      </c>
      <c r="P4555">
        <v>0</v>
      </c>
      <c r="Q4555">
        <v>0</v>
      </c>
      <c r="R4555" t="s">
        <v>46572</v>
      </c>
      <c r="S4555" t="s">
        <v>46689</v>
      </c>
      <c r="T4555" t="s">
        <v>48275</v>
      </c>
      <c r="U4555" t="s">
        <v>52540</v>
      </c>
      <c r="V4555" t="s">
        <v>62088</v>
      </c>
      <c r="W4555" t="s">
        <v>44288</v>
      </c>
      <c r="X4555" t="s">
        <v>46573</v>
      </c>
    </row>
    <row r="4556" spans="1:24">
      <c r="A4556">
        <f>HYPERLINK("https://www.philgeps.gov.ph/GEPSNONPILOT/Tender/SplashBidNoticeAbstractUI.aspx?menuIndex=3&amp;refID=7063173&amp;Result=3","7063173")</f>
        <v>0</v>
      </c>
      <c r="B4556" t="s">
        <v>1610</v>
      </c>
      <c r="C4556" t="s">
        <v>7892</v>
      </c>
      <c r="E4556" t="s">
        <v>22988</v>
      </c>
      <c r="F4556" t="s">
        <v>32664</v>
      </c>
      <c r="G4556" t="s">
        <v>32671</v>
      </c>
      <c r="H4556" t="s">
        <v>12635</v>
      </c>
      <c r="I4556" t="s">
        <v>4439</v>
      </c>
      <c r="J4556" t="s">
        <v>35760</v>
      </c>
      <c r="K4556" t="s">
        <v>42283</v>
      </c>
      <c r="M4556" t="s">
        <v>44289</v>
      </c>
      <c r="N4556" t="s">
        <v>46569</v>
      </c>
      <c r="O4556" t="s">
        <v>46570</v>
      </c>
      <c r="P4556">
        <v>0</v>
      </c>
      <c r="Q4556">
        <v>0</v>
      </c>
      <c r="R4556" t="s">
        <v>46572</v>
      </c>
      <c r="S4556" t="s">
        <v>46689</v>
      </c>
      <c r="T4556" t="s">
        <v>48221</v>
      </c>
      <c r="U4556" t="s">
        <v>52541</v>
      </c>
      <c r="W4556" t="s">
        <v>44289</v>
      </c>
      <c r="X4556" t="s">
        <v>46573</v>
      </c>
    </row>
    <row r="4557" spans="1:24">
      <c r="A4557">
        <f>HYPERLINK("https://www.philgeps.gov.ph/GEPSNONPILOT/Tender/SplashBidNoticeAbstractUI.aspx?menuIndex=3&amp;refID=7064236&amp;Result=3","7064236")</f>
        <v>0</v>
      </c>
      <c r="B4557" t="s">
        <v>1574</v>
      </c>
      <c r="C4557" t="s">
        <v>7893</v>
      </c>
      <c r="D4557" t="s">
        <v>18830</v>
      </c>
      <c r="E4557" t="s">
        <v>22989</v>
      </c>
      <c r="F4557" t="s">
        <v>32664</v>
      </c>
      <c r="G4557" t="s">
        <v>32672</v>
      </c>
      <c r="H4557" t="s">
        <v>32683</v>
      </c>
      <c r="I4557" t="s">
        <v>10627</v>
      </c>
      <c r="J4557" t="s">
        <v>33128</v>
      </c>
      <c r="K4557" t="s">
        <v>42384</v>
      </c>
      <c r="M4557" t="s">
        <v>44249</v>
      </c>
      <c r="N4557" t="s">
        <v>46569</v>
      </c>
      <c r="O4557" t="s">
        <v>46570</v>
      </c>
      <c r="P4557">
        <v>0</v>
      </c>
      <c r="Q4557">
        <v>0</v>
      </c>
      <c r="R4557" t="s">
        <v>46572</v>
      </c>
      <c r="S4557" t="s">
        <v>46689</v>
      </c>
      <c r="T4557" t="s">
        <v>48220</v>
      </c>
      <c r="U4557" t="s">
        <v>52542</v>
      </c>
      <c r="V4557" t="s">
        <v>62072</v>
      </c>
      <c r="W4557" t="s">
        <v>44249</v>
      </c>
      <c r="X4557" t="s">
        <v>46573</v>
      </c>
    </row>
    <row r="4558" spans="1:24">
      <c r="A4558">
        <f>HYPERLINK("https://www.philgeps.gov.ph/GEPSNONPILOT/Tender/SplashBidNoticeAbstractUI.aspx?menuIndex=3&amp;refID=7063156&amp;Result=3","7063156")</f>
        <v>0</v>
      </c>
      <c r="B4558" t="s">
        <v>660</v>
      </c>
      <c r="C4558" t="s">
        <v>7894</v>
      </c>
      <c r="D4558" t="s">
        <v>18855</v>
      </c>
      <c r="E4558" t="s">
        <v>22990</v>
      </c>
      <c r="F4558" t="s">
        <v>32664</v>
      </c>
      <c r="G4558" t="s">
        <v>32671</v>
      </c>
      <c r="H4558" t="s">
        <v>12635</v>
      </c>
      <c r="I4558" t="s">
        <v>4439</v>
      </c>
      <c r="J4558" t="s">
        <v>35761</v>
      </c>
      <c r="K4558" t="s">
        <v>42283</v>
      </c>
      <c r="M4558" t="s">
        <v>43247</v>
      </c>
      <c r="N4558" t="s">
        <v>46569</v>
      </c>
      <c r="O4558" t="s">
        <v>46570</v>
      </c>
      <c r="P4558">
        <v>0</v>
      </c>
      <c r="Q4558">
        <v>0</v>
      </c>
      <c r="R4558" t="s">
        <v>46572</v>
      </c>
      <c r="S4558" t="s">
        <v>46689</v>
      </c>
      <c r="T4558" t="s">
        <v>48249</v>
      </c>
      <c r="U4558" t="s">
        <v>51768</v>
      </c>
      <c r="W4558" t="s">
        <v>43247</v>
      </c>
      <c r="X4558" t="s">
        <v>46573</v>
      </c>
    </row>
    <row r="4559" spans="1:24">
      <c r="A4559">
        <f>HYPERLINK("https://www.philgeps.gov.ph/GEPSNONPILOT/Tender/SplashBidNoticeAbstractUI.aspx?menuIndex=3&amp;refID=7064235&amp;Result=3","7064235")</f>
        <v>0</v>
      </c>
      <c r="B4559" t="s">
        <v>1602</v>
      </c>
      <c r="C4559" t="s">
        <v>7895</v>
      </c>
      <c r="D4559" t="s">
        <v>18784</v>
      </c>
      <c r="E4559" t="s">
        <v>22991</v>
      </c>
      <c r="F4559" t="s">
        <v>32664</v>
      </c>
      <c r="G4559" t="s">
        <v>32672</v>
      </c>
      <c r="H4559" t="s">
        <v>12635</v>
      </c>
      <c r="I4559" t="s">
        <v>32692</v>
      </c>
      <c r="J4559" t="s">
        <v>35762</v>
      </c>
      <c r="K4559" t="s">
        <v>42281</v>
      </c>
      <c r="M4559" t="s">
        <v>44280</v>
      </c>
      <c r="N4559" t="s">
        <v>46569</v>
      </c>
      <c r="O4559" t="s">
        <v>46570</v>
      </c>
      <c r="P4559">
        <v>0</v>
      </c>
      <c r="Q4559">
        <v>0</v>
      </c>
      <c r="R4559" t="s">
        <v>46572</v>
      </c>
      <c r="S4559" t="s">
        <v>46689</v>
      </c>
      <c r="T4559" t="s">
        <v>48518</v>
      </c>
      <c r="U4559" t="s">
        <v>52543</v>
      </c>
      <c r="W4559" t="s">
        <v>44280</v>
      </c>
      <c r="X4559" t="s">
        <v>46573</v>
      </c>
    </row>
    <row r="4560" spans="1:24">
      <c r="A4560">
        <f>HYPERLINK("https://www.philgeps.gov.ph/GEPSNONPILOT/Tender/SplashBidNoticeAbstractUI.aspx?menuIndex=3&amp;refID=7063059&amp;Result=3","7063059")</f>
        <v>0</v>
      </c>
      <c r="B4560" t="s">
        <v>789</v>
      </c>
      <c r="C4560" t="s">
        <v>7896</v>
      </c>
      <c r="D4560" t="s">
        <v>18805</v>
      </c>
      <c r="E4560" t="s">
        <v>20594</v>
      </c>
      <c r="F4560" t="s">
        <v>32664</v>
      </c>
      <c r="G4560" t="s">
        <v>32671</v>
      </c>
      <c r="H4560" t="s">
        <v>12635</v>
      </c>
      <c r="I4560" t="s">
        <v>32718</v>
      </c>
      <c r="J4560" t="s">
        <v>33893</v>
      </c>
      <c r="K4560" t="s">
        <v>42297</v>
      </c>
      <c r="M4560" t="s">
        <v>43401</v>
      </c>
      <c r="N4560" t="s">
        <v>46569</v>
      </c>
      <c r="O4560" t="s">
        <v>46570</v>
      </c>
      <c r="P4560">
        <v>0</v>
      </c>
      <c r="Q4560">
        <v>1</v>
      </c>
      <c r="R4560" t="s">
        <v>46572</v>
      </c>
      <c r="S4560" t="s">
        <v>46689</v>
      </c>
      <c r="T4560" t="s">
        <v>48219</v>
      </c>
      <c r="U4560" t="s">
        <v>52544</v>
      </c>
      <c r="W4560" t="s">
        <v>43401</v>
      </c>
      <c r="X4560" t="s">
        <v>46573</v>
      </c>
    </row>
    <row r="4561" spans="1:24">
      <c r="A4561">
        <f>HYPERLINK("https://www.philgeps.gov.ph/GEPSNONPILOT/Tender/SplashBidNoticeAbstractUI.aspx?menuIndex=3&amp;refID=7063155&amp;Result=3","7063155")</f>
        <v>0</v>
      </c>
      <c r="B4561" t="s">
        <v>1611</v>
      </c>
      <c r="C4561" t="s">
        <v>7897</v>
      </c>
      <c r="D4561" t="s">
        <v>18800</v>
      </c>
      <c r="E4561" t="s">
        <v>22992</v>
      </c>
      <c r="F4561" t="s">
        <v>32664</v>
      </c>
      <c r="G4561" t="s">
        <v>32671</v>
      </c>
      <c r="H4561" t="s">
        <v>12635</v>
      </c>
      <c r="I4561" t="s">
        <v>32685</v>
      </c>
      <c r="J4561" t="s">
        <v>35763</v>
      </c>
      <c r="K4561" t="s">
        <v>42281</v>
      </c>
      <c r="M4561" t="s">
        <v>44290</v>
      </c>
      <c r="N4561" t="s">
        <v>46569</v>
      </c>
      <c r="O4561" t="s">
        <v>46570</v>
      </c>
      <c r="P4561">
        <v>0</v>
      </c>
      <c r="Q4561">
        <v>0</v>
      </c>
      <c r="R4561" t="s">
        <v>46572</v>
      </c>
      <c r="S4561" t="s">
        <v>46689</v>
      </c>
      <c r="T4561" t="s">
        <v>48221</v>
      </c>
      <c r="U4561" t="s">
        <v>52545</v>
      </c>
      <c r="W4561" t="s">
        <v>44290</v>
      </c>
      <c r="X4561" t="s">
        <v>46573</v>
      </c>
    </row>
    <row r="4562" spans="1:24">
      <c r="A4562">
        <f>HYPERLINK("https://www.philgeps.gov.ph/GEPSNONPILOT/Tender/SplashBidNoticeAbstractUI.aspx?menuIndex=3&amp;refID=7063058&amp;Result=3","7063058")</f>
        <v>0</v>
      </c>
      <c r="B4562" t="s">
        <v>1425</v>
      </c>
      <c r="C4562" t="s">
        <v>7898</v>
      </c>
      <c r="D4562" t="s">
        <v>18791</v>
      </c>
      <c r="E4562" t="s">
        <v>22993</v>
      </c>
      <c r="F4562" t="s">
        <v>32664</v>
      </c>
      <c r="G4562" t="s">
        <v>32671</v>
      </c>
      <c r="H4562" t="s">
        <v>12635</v>
      </c>
      <c r="I4562" t="s">
        <v>32694</v>
      </c>
      <c r="J4562" t="s">
        <v>33078</v>
      </c>
      <c r="K4562" t="s">
        <v>42281</v>
      </c>
      <c r="M4562" t="s">
        <v>44085</v>
      </c>
      <c r="N4562" t="s">
        <v>46569</v>
      </c>
      <c r="O4562" t="s">
        <v>46570</v>
      </c>
      <c r="P4562">
        <v>0</v>
      </c>
      <c r="Q4562">
        <v>1</v>
      </c>
      <c r="R4562" t="s">
        <v>46572</v>
      </c>
      <c r="S4562" t="s">
        <v>46689</v>
      </c>
      <c r="T4562" t="s">
        <v>48217</v>
      </c>
      <c r="U4562" t="s">
        <v>52546</v>
      </c>
      <c r="V4562" t="s">
        <v>62003</v>
      </c>
      <c r="W4562" t="s">
        <v>44085</v>
      </c>
      <c r="X4562" t="s">
        <v>46573</v>
      </c>
    </row>
    <row r="4563" spans="1:24">
      <c r="A4563">
        <f>HYPERLINK("https://www.philgeps.gov.ph/GEPSNONPILOT/Tender/SplashBidNoticeAbstractUI.aspx?menuIndex=3&amp;refID=7063057&amp;Result=3","7063057")</f>
        <v>0</v>
      </c>
      <c r="B4563" t="s">
        <v>1413</v>
      </c>
      <c r="C4563" t="s">
        <v>7899</v>
      </c>
      <c r="D4563" t="s">
        <v>18788</v>
      </c>
      <c r="E4563" t="s">
        <v>22994</v>
      </c>
      <c r="F4563" t="s">
        <v>32664</v>
      </c>
      <c r="G4563" t="s">
        <v>32672</v>
      </c>
      <c r="H4563" t="s">
        <v>32683</v>
      </c>
      <c r="I4563" t="s">
        <v>10627</v>
      </c>
      <c r="J4563" t="s">
        <v>35764</v>
      </c>
      <c r="K4563" t="s">
        <v>42298</v>
      </c>
      <c r="M4563" t="s">
        <v>44070</v>
      </c>
      <c r="N4563" t="s">
        <v>46569</v>
      </c>
      <c r="O4563" t="s">
        <v>46570</v>
      </c>
      <c r="P4563">
        <v>0</v>
      </c>
      <c r="Q4563">
        <v>0</v>
      </c>
      <c r="R4563" t="s">
        <v>46572</v>
      </c>
      <c r="S4563" t="s">
        <v>46689</v>
      </c>
      <c r="T4563" t="s">
        <v>48485</v>
      </c>
      <c r="U4563" t="s">
        <v>52547</v>
      </c>
      <c r="W4563" t="s">
        <v>44070</v>
      </c>
      <c r="X4563" t="s">
        <v>46573</v>
      </c>
    </row>
    <row r="4564" spans="1:24">
      <c r="A4564">
        <f>HYPERLINK("https://www.philgeps.gov.ph/GEPSNONPILOT/Tender/SplashBidNoticeAbstractUI.aspx?menuIndex=3&amp;refID=7063042&amp;Result=3","7063042")</f>
        <v>0</v>
      </c>
      <c r="B4564" t="s">
        <v>1380</v>
      </c>
      <c r="C4564" t="s">
        <v>7900</v>
      </c>
      <c r="D4564" t="s">
        <v>18809</v>
      </c>
      <c r="E4564" t="s">
        <v>22995</v>
      </c>
      <c r="F4564" t="s">
        <v>32664</v>
      </c>
      <c r="G4564" t="s">
        <v>32672</v>
      </c>
      <c r="H4564" t="s">
        <v>12635</v>
      </c>
      <c r="I4564" t="s">
        <v>32685</v>
      </c>
      <c r="J4564" t="s">
        <v>33376</v>
      </c>
      <c r="K4564" t="s">
        <v>42297</v>
      </c>
      <c r="L4564" t="s">
        <v>1380</v>
      </c>
      <c r="M4564" t="s">
        <v>44035</v>
      </c>
      <c r="N4564" t="s">
        <v>46569</v>
      </c>
      <c r="O4564" t="s">
        <v>46570</v>
      </c>
      <c r="P4564">
        <v>0</v>
      </c>
      <c r="Q4564">
        <v>1</v>
      </c>
      <c r="R4564" t="s">
        <v>46572</v>
      </c>
      <c r="S4564" t="s">
        <v>46689</v>
      </c>
      <c r="T4564" t="s">
        <v>48226</v>
      </c>
      <c r="U4564" t="s">
        <v>51779</v>
      </c>
      <c r="V4564" t="s">
        <v>61989</v>
      </c>
      <c r="W4564" t="s">
        <v>44035</v>
      </c>
      <c r="X4564" t="s">
        <v>46573</v>
      </c>
    </row>
    <row r="4565" spans="1:24">
      <c r="A4565">
        <f>HYPERLINK("https://www.philgeps.gov.ph/GEPSNONPILOT/Tender/SplashBidNoticeAbstractUI.aspx?menuIndex=3&amp;refID=7063041&amp;Result=3","7063041")</f>
        <v>0</v>
      </c>
      <c r="B4565" t="s">
        <v>594</v>
      </c>
      <c r="C4565" t="s">
        <v>7901</v>
      </c>
      <c r="D4565" t="s">
        <v>18784</v>
      </c>
      <c r="E4565" t="s">
        <v>22996</v>
      </c>
      <c r="F4565" t="s">
        <v>32664</v>
      </c>
      <c r="G4565" t="s">
        <v>32674</v>
      </c>
      <c r="H4565" t="s">
        <v>12635</v>
      </c>
      <c r="I4565" t="s">
        <v>9486</v>
      </c>
      <c r="J4565" t="s">
        <v>35765</v>
      </c>
      <c r="K4565" t="s">
        <v>42297</v>
      </c>
      <c r="M4565" t="s">
        <v>43721</v>
      </c>
      <c r="N4565" t="s">
        <v>46569</v>
      </c>
      <c r="O4565" t="s">
        <v>46570</v>
      </c>
      <c r="P4565">
        <v>0</v>
      </c>
      <c r="Q4565">
        <v>3</v>
      </c>
      <c r="R4565" t="s">
        <v>46572</v>
      </c>
      <c r="S4565" t="s">
        <v>46689</v>
      </c>
      <c r="T4565" t="s">
        <v>48461</v>
      </c>
      <c r="U4565" t="s">
        <v>52548</v>
      </c>
      <c r="V4565" t="s">
        <v>61897</v>
      </c>
      <c r="W4565" t="s">
        <v>43721</v>
      </c>
      <c r="X4565" t="s">
        <v>46573</v>
      </c>
    </row>
    <row r="4566" spans="1:24">
      <c r="A4566">
        <f>HYPERLINK("https://www.philgeps.gov.ph/GEPSNONPILOT/Tender/SplashBidNoticeAbstractUI.aspx?menuIndex=3&amp;refID=7064273&amp;Result=3","7064273")</f>
        <v>0</v>
      </c>
      <c r="B4566" t="s">
        <v>1574</v>
      </c>
      <c r="C4566" t="s">
        <v>7902</v>
      </c>
      <c r="D4566" t="s">
        <v>18830</v>
      </c>
      <c r="E4566" t="s">
        <v>22997</v>
      </c>
      <c r="F4566" t="s">
        <v>32664</v>
      </c>
      <c r="G4566" t="s">
        <v>32672</v>
      </c>
      <c r="H4566" t="s">
        <v>32683</v>
      </c>
      <c r="I4566" t="s">
        <v>10627</v>
      </c>
      <c r="J4566" t="s">
        <v>32898</v>
      </c>
      <c r="K4566" t="s">
        <v>42321</v>
      </c>
      <c r="M4566" t="s">
        <v>44249</v>
      </c>
      <c r="N4566" t="s">
        <v>46569</v>
      </c>
      <c r="O4566" t="s">
        <v>46570</v>
      </c>
      <c r="P4566">
        <v>0</v>
      </c>
      <c r="Q4566">
        <v>0</v>
      </c>
      <c r="R4566" t="s">
        <v>46572</v>
      </c>
      <c r="S4566" t="s">
        <v>46689</v>
      </c>
      <c r="T4566" t="s">
        <v>48220</v>
      </c>
      <c r="U4566" t="s">
        <v>52549</v>
      </c>
      <c r="V4566" t="s">
        <v>62072</v>
      </c>
      <c r="W4566" t="s">
        <v>44249</v>
      </c>
      <c r="X4566" t="s">
        <v>46573</v>
      </c>
    </row>
    <row r="4567" spans="1:24">
      <c r="A4567">
        <f>HYPERLINK("https://www.philgeps.gov.ph/GEPSNONPILOT/Tender/SplashBidNoticeAbstractUI.aspx?menuIndex=3&amp;refID=7063150&amp;Result=3","7063150")</f>
        <v>0</v>
      </c>
      <c r="B4567" t="s">
        <v>764</v>
      </c>
      <c r="C4567" t="s">
        <v>7903</v>
      </c>
      <c r="D4567" t="s">
        <v>18791</v>
      </c>
      <c r="E4567" t="s">
        <v>22998</v>
      </c>
      <c r="F4567" t="s">
        <v>32664</v>
      </c>
      <c r="G4567" t="s">
        <v>32672</v>
      </c>
      <c r="H4567" t="s">
        <v>12635</v>
      </c>
      <c r="I4567" t="s">
        <v>4439</v>
      </c>
      <c r="J4567" t="s">
        <v>33657</v>
      </c>
      <c r="K4567" t="s">
        <v>42305</v>
      </c>
      <c r="M4567" t="s">
        <v>43355</v>
      </c>
      <c r="N4567" t="s">
        <v>46569</v>
      </c>
      <c r="O4567" t="s">
        <v>46570</v>
      </c>
      <c r="P4567">
        <v>0</v>
      </c>
      <c r="Q4567">
        <v>2</v>
      </c>
      <c r="R4567" t="s">
        <v>46572</v>
      </c>
      <c r="S4567" t="s">
        <v>46689</v>
      </c>
      <c r="T4567" t="s">
        <v>48274</v>
      </c>
      <c r="U4567" t="s">
        <v>52550</v>
      </c>
      <c r="W4567" t="s">
        <v>43355</v>
      </c>
      <c r="X4567" t="s">
        <v>46573</v>
      </c>
    </row>
    <row r="4568" spans="1:24">
      <c r="A4568">
        <f>HYPERLINK("https://www.philgeps.gov.ph/GEPSNONPILOT/Tender/SplashBidNoticeAbstractUI.aspx?menuIndex=3&amp;refID=7064274&amp;Result=3","7064274")</f>
        <v>0</v>
      </c>
      <c r="B4568" t="s">
        <v>1612</v>
      </c>
      <c r="C4568" t="s">
        <v>7904</v>
      </c>
      <c r="D4568" t="s">
        <v>18821</v>
      </c>
      <c r="E4568" t="s">
        <v>22999</v>
      </c>
      <c r="F4568" t="s">
        <v>32664</v>
      </c>
      <c r="G4568" t="s">
        <v>32672</v>
      </c>
      <c r="H4568" t="s">
        <v>12635</v>
      </c>
      <c r="I4568" t="s">
        <v>32753</v>
      </c>
      <c r="J4568" t="s">
        <v>35766</v>
      </c>
      <c r="K4568" t="s">
        <v>42303</v>
      </c>
      <c r="M4568" t="s">
        <v>44291</v>
      </c>
      <c r="N4568" t="s">
        <v>46569</v>
      </c>
      <c r="O4568" t="s">
        <v>46570</v>
      </c>
      <c r="P4568">
        <v>0</v>
      </c>
      <c r="Q4568">
        <v>0</v>
      </c>
      <c r="R4568" t="s">
        <v>46572</v>
      </c>
      <c r="S4568" t="s">
        <v>46689</v>
      </c>
      <c r="T4568" t="s">
        <v>48285</v>
      </c>
      <c r="U4568" t="s">
        <v>52551</v>
      </c>
      <c r="W4568" t="s">
        <v>44291</v>
      </c>
      <c r="X4568" t="s">
        <v>46573</v>
      </c>
    </row>
    <row r="4569" spans="1:24">
      <c r="A4569">
        <f>HYPERLINK("https://www.philgeps.gov.ph/GEPSNONPILOT/Tender/SplashBidNoticeAbstractUI.aspx?menuIndex=3&amp;refID=7063060&amp;Result=3","7063060")</f>
        <v>0</v>
      </c>
      <c r="B4569" t="s">
        <v>320</v>
      </c>
      <c r="C4569" t="s">
        <v>7905</v>
      </c>
      <c r="D4569" t="s">
        <v>18802</v>
      </c>
      <c r="E4569" t="s">
        <v>23000</v>
      </c>
      <c r="F4569" t="s">
        <v>32664</v>
      </c>
      <c r="G4569" t="s">
        <v>32672</v>
      </c>
      <c r="H4569" t="s">
        <v>12635</v>
      </c>
      <c r="I4569" t="s">
        <v>6168</v>
      </c>
      <c r="J4569" t="s">
        <v>35767</v>
      </c>
      <c r="K4569" t="s">
        <v>42289</v>
      </c>
      <c r="M4569" t="s">
        <v>42888</v>
      </c>
      <c r="N4569" t="s">
        <v>46569</v>
      </c>
      <c r="O4569" t="s">
        <v>46570</v>
      </c>
      <c r="P4569">
        <v>0</v>
      </c>
      <c r="Q4569">
        <v>3</v>
      </c>
      <c r="R4569" t="s">
        <v>46572</v>
      </c>
      <c r="S4569" t="s">
        <v>46689</v>
      </c>
      <c r="T4569" t="s">
        <v>48216</v>
      </c>
      <c r="U4569" t="s">
        <v>52552</v>
      </c>
      <c r="W4569" t="s">
        <v>42888</v>
      </c>
      <c r="X4569" t="s">
        <v>46573</v>
      </c>
    </row>
    <row r="4570" spans="1:24">
      <c r="A4570">
        <f>HYPERLINK("https://www.philgeps.gov.ph/GEPSNONPILOT/Tender/SplashBidNoticeAbstractUI.aspx?menuIndex=3&amp;refID=7064270&amp;Result=3","7064270")</f>
        <v>0</v>
      </c>
      <c r="B4570" t="s">
        <v>1595</v>
      </c>
      <c r="C4570" t="s">
        <v>7906</v>
      </c>
      <c r="D4570" t="s">
        <v>18805</v>
      </c>
      <c r="E4570" t="s">
        <v>23001</v>
      </c>
      <c r="F4570" t="s">
        <v>32664</v>
      </c>
      <c r="G4570" t="s">
        <v>32674</v>
      </c>
      <c r="H4570" t="s">
        <v>12635</v>
      </c>
      <c r="I4570" t="s">
        <v>6168</v>
      </c>
      <c r="J4570" t="s">
        <v>35768</v>
      </c>
      <c r="K4570" t="s">
        <v>42281</v>
      </c>
      <c r="M4570" t="s">
        <v>44272</v>
      </c>
      <c r="N4570" t="s">
        <v>46569</v>
      </c>
      <c r="O4570" t="s">
        <v>46570</v>
      </c>
      <c r="P4570">
        <v>0</v>
      </c>
      <c r="Q4570">
        <v>0</v>
      </c>
      <c r="R4570" t="s">
        <v>46572</v>
      </c>
      <c r="S4570" t="s">
        <v>46689</v>
      </c>
      <c r="T4570" t="s">
        <v>48286</v>
      </c>
      <c r="U4570" t="s">
        <v>52553</v>
      </c>
      <c r="W4570" t="s">
        <v>44272</v>
      </c>
      <c r="X4570" t="s">
        <v>46573</v>
      </c>
    </row>
    <row r="4571" spans="1:24">
      <c r="A4571">
        <f>HYPERLINK("https://www.philgeps.gov.ph/GEPSNONPILOT/Tender/SplashBidNoticeAbstractUI.aspx?menuIndex=3&amp;refID=7063153&amp;Result=3","7063153")</f>
        <v>0</v>
      </c>
      <c r="B4571" t="s">
        <v>1389</v>
      </c>
      <c r="C4571" t="s">
        <v>7907</v>
      </c>
      <c r="D4571" t="s">
        <v>18857</v>
      </c>
      <c r="E4571" t="s">
        <v>23002</v>
      </c>
      <c r="F4571" t="s">
        <v>32664</v>
      </c>
      <c r="G4571" t="s">
        <v>32671</v>
      </c>
      <c r="H4571" t="s">
        <v>12635</v>
      </c>
      <c r="I4571" t="s">
        <v>32698</v>
      </c>
      <c r="J4571" t="s">
        <v>35769</v>
      </c>
      <c r="K4571" t="s">
        <v>42289</v>
      </c>
      <c r="M4571" t="s">
        <v>44045</v>
      </c>
      <c r="N4571" t="s">
        <v>46569</v>
      </c>
      <c r="O4571" t="s">
        <v>46570</v>
      </c>
      <c r="P4571">
        <v>0</v>
      </c>
      <c r="Q4571">
        <v>0</v>
      </c>
      <c r="R4571" t="s">
        <v>46572</v>
      </c>
      <c r="S4571" t="s">
        <v>46689</v>
      </c>
      <c r="T4571" t="s">
        <v>48244</v>
      </c>
      <c r="U4571" t="s">
        <v>52554</v>
      </c>
      <c r="V4571" t="s">
        <v>61993</v>
      </c>
      <c r="W4571" t="s">
        <v>44045</v>
      </c>
      <c r="X4571" t="s">
        <v>46573</v>
      </c>
    </row>
    <row r="4572" spans="1:24">
      <c r="A4572">
        <f>HYPERLINK("https://www.philgeps.gov.ph/GEPSNONPILOT/Tender/SplashBidNoticeAbstractUI.aspx?menuIndex=3&amp;refID=7064268&amp;Result=3","7064268")</f>
        <v>0</v>
      </c>
      <c r="B4572" t="s">
        <v>1604</v>
      </c>
      <c r="C4572" t="s">
        <v>7908</v>
      </c>
      <c r="D4572" t="s">
        <v>18808</v>
      </c>
      <c r="E4572" t="s">
        <v>20265</v>
      </c>
      <c r="F4572" t="s">
        <v>32664</v>
      </c>
      <c r="G4572" t="s">
        <v>32672</v>
      </c>
      <c r="H4572" t="s">
        <v>12635</v>
      </c>
      <c r="I4572" t="s">
        <v>32716</v>
      </c>
      <c r="J4572" t="s">
        <v>35770</v>
      </c>
      <c r="K4572" t="s">
        <v>42298</v>
      </c>
      <c r="M4572" t="s">
        <v>44283</v>
      </c>
      <c r="N4572" t="s">
        <v>46569</v>
      </c>
      <c r="O4572" t="s">
        <v>46570</v>
      </c>
      <c r="P4572">
        <v>0</v>
      </c>
      <c r="Q4572">
        <v>1</v>
      </c>
      <c r="R4572" t="s">
        <v>46572</v>
      </c>
      <c r="S4572" t="s">
        <v>46689</v>
      </c>
      <c r="T4572" t="s">
        <v>48297</v>
      </c>
      <c r="U4572" t="s">
        <v>52555</v>
      </c>
      <c r="V4572" t="s">
        <v>62089</v>
      </c>
      <c r="W4572" t="s">
        <v>44283</v>
      </c>
      <c r="X4572" t="s">
        <v>46573</v>
      </c>
    </row>
    <row r="4573" spans="1:24">
      <c r="A4573">
        <f>HYPERLINK("https://www.philgeps.gov.ph/GEPSNONPILOT/Tender/SplashBidNoticeAbstractUI.aspx?menuIndex=3&amp;refID=7063151&amp;Result=3","7063151")</f>
        <v>0</v>
      </c>
      <c r="B4573" t="s">
        <v>1342</v>
      </c>
      <c r="C4573" t="s">
        <v>7909</v>
      </c>
      <c r="D4573" t="s">
        <v>18787</v>
      </c>
      <c r="E4573" t="s">
        <v>23003</v>
      </c>
      <c r="F4573" t="s">
        <v>32664</v>
      </c>
      <c r="G4573" t="s">
        <v>32671</v>
      </c>
      <c r="H4573" t="s">
        <v>12635</v>
      </c>
      <c r="I4573" t="s">
        <v>32710</v>
      </c>
      <c r="J4573" t="s">
        <v>33083</v>
      </c>
      <c r="K4573" t="s">
        <v>42283</v>
      </c>
      <c r="M4573" t="s">
        <v>43992</v>
      </c>
      <c r="N4573" t="s">
        <v>46569</v>
      </c>
      <c r="O4573" t="s">
        <v>46570</v>
      </c>
      <c r="P4573">
        <v>0</v>
      </c>
      <c r="Q4573">
        <v>7</v>
      </c>
      <c r="R4573" t="s">
        <v>46572</v>
      </c>
      <c r="S4573" t="s">
        <v>46689</v>
      </c>
      <c r="T4573" t="s">
        <v>48293</v>
      </c>
      <c r="U4573" t="s">
        <v>51749</v>
      </c>
      <c r="W4573" t="s">
        <v>43992</v>
      </c>
      <c r="X4573" t="s">
        <v>46573</v>
      </c>
    </row>
    <row r="4574" spans="1:24">
      <c r="A4574">
        <f>HYPERLINK("https://www.philgeps.gov.ph/GEPSNONPILOT/Tender/SplashBidNoticeAbstractUI.aspx?menuIndex=3&amp;refID=7064267&amp;Result=3","7064267")</f>
        <v>0</v>
      </c>
      <c r="B4574" t="s">
        <v>1612</v>
      </c>
      <c r="C4574" t="s">
        <v>7910</v>
      </c>
      <c r="D4574" t="s">
        <v>18821</v>
      </c>
      <c r="E4574" t="s">
        <v>23004</v>
      </c>
      <c r="F4574" t="s">
        <v>32664</v>
      </c>
      <c r="G4574" t="s">
        <v>32672</v>
      </c>
      <c r="H4574" t="s">
        <v>12635</v>
      </c>
      <c r="I4574" t="s">
        <v>6553</v>
      </c>
      <c r="J4574" t="s">
        <v>33974</v>
      </c>
      <c r="K4574" t="s">
        <v>42281</v>
      </c>
      <c r="M4574" t="s">
        <v>44291</v>
      </c>
      <c r="N4574" t="s">
        <v>46569</v>
      </c>
      <c r="O4574" t="s">
        <v>46570</v>
      </c>
      <c r="P4574">
        <v>0</v>
      </c>
      <c r="Q4574">
        <v>0</v>
      </c>
      <c r="R4574" t="s">
        <v>46572</v>
      </c>
      <c r="S4574" t="s">
        <v>46689</v>
      </c>
      <c r="T4574" t="s">
        <v>48285</v>
      </c>
      <c r="U4574" t="s">
        <v>52556</v>
      </c>
      <c r="W4574" t="s">
        <v>44291</v>
      </c>
      <c r="X4574" t="s">
        <v>46573</v>
      </c>
    </row>
    <row r="4575" spans="1:24">
      <c r="A4575">
        <f>HYPERLINK("https://www.philgeps.gov.ph/GEPSNONPILOT/Tender/SplashBidNoticeAbstractUI.aspx?menuIndex=3&amp;refID=7064275&amp;Result=3","7064275")</f>
        <v>0</v>
      </c>
      <c r="B4575" t="s">
        <v>1574</v>
      </c>
      <c r="C4575" t="s">
        <v>7911</v>
      </c>
      <c r="D4575" t="s">
        <v>18830</v>
      </c>
      <c r="E4575" t="s">
        <v>23005</v>
      </c>
      <c r="F4575" t="s">
        <v>32664</v>
      </c>
      <c r="G4575" t="s">
        <v>32672</v>
      </c>
      <c r="H4575" t="s">
        <v>32683</v>
      </c>
      <c r="I4575" t="s">
        <v>10627</v>
      </c>
      <c r="J4575" t="s">
        <v>32898</v>
      </c>
      <c r="K4575" t="s">
        <v>42321</v>
      </c>
      <c r="M4575" t="s">
        <v>44249</v>
      </c>
      <c r="N4575" t="s">
        <v>46569</v>
      </c>
      <c r="O4575" t="s">
        <v>46570</v>
      </c>
      <c r="P4575">
        <v>0</v>
      </c>
      <c r="Q4575">
        <v>0</v>
      </c>
      <c r="R4575" t="s">
        <v>46572</v>
      </c>
      <c r="S4575" t="s">
        <v>46689</v>
      </c>
      <c r="T4575" t="s">
        <v>48220</v>
      </c>
      <c r="U4575" t="s">
        <v>52549</v>
      </c>
      <c r="V4575" t="s">
        <v>62072</v>
      </c>
      <c r="W4575" t="s">
        <v>44249</v>
      </c>
      <c r="X4575" t="s">
        <v>46573</v>
      </c>
    </row>
    <row r="4576" spans="1:24">
      <c r="A4576">
        <f>HYPERLINK("https://www.philgeps.gov.ph/GEPSNONPILOT/Tender/SplashBidNoticeAbstractUI.aspx?menuIndex=3&amp;refID=7064272&amp;Result=3","7064272")</f>
        <v>0</v>
      </c>
      <c r="B4576" t="s">
        <v>928</v>
      </c>
      <c r="C4576" t="s">
        <v>7912</v>
      </c>
      <c r="D4576" t="s">
        <v>18783</v>
      </c>
      <c r="E4576" t="s">
        <v>23006</v>
      </c>
      <c r="F4576" t="s">
        <v>32664</v>
      </c>
      <c r="G4576" t="s">
        <v>32671</v>
      </c>
      <c r="H4576" t="s">
        <v>12635</v>
      </c>
      <c r="I4576" t="s">
        <v>32706</v>
      </c>
      <c r="J4576" t="s">
        <v>35771</v>
      </c>
      <c r="K4576" t="s">
        <v>42281</v>
      </c>
      <c r="M4576" t="s">
        <v>43534</v>
      </c>
      <c r="N4576" t="s">
        <v>46569</v>
      </c>
      <c r="O4576" t="s">
        <v>46570</v>
      </c>
      <c r="P4576">
        <v>0</v>
      </c>
      <c r="Q4576">
        <v>0</v>
      </c>
      <c r="R4576" t="s">
        <v>46572</v>
      </c>
      <c r="S4576" t="s">
        <v>46689</v>
      </c>
      <c r="T4576" t="s">
        <v>48244</v>
      </c>
      <c r="U4576" t="s">
        <v>52557</v>
      </c>
      <c r="W4576" t="s">
        <v>43534</v>
      </c>
      <c r="X4576" t="s">
        <v>46573</v>
      </c>
    </row>
    <row r="4577" spans="1:24">
      <c r="A4577">
        <f>HYPERLINK("https://www.philgeps.gov.ph/GEPSNONPILOT/Tender/SplashBidNoticeAbstractUI.aspx?menuIndex=3&amp;refID=7064271&amp;Result=3","7064271")</f>
        <v>0</v>
      </c>
      <c r="B4577" t="s">
        <v>1613</v>
      </c>
      <c r="C4577" t="s">
        <v>7913</v>
      </c>
      <c r="E4577" t="s">
        <v>23007</v>
      </c>
      <c r="F4577" t="s">
        <v>32664</v>
      </c>
      <c r="G4577" t="s">
        <v>32671</v>
      </c>
      <c r="H4577" t="s">
        <v>12635</v>
      </c>
      <c r="I4577" t="s">
        <v>6628</v>
      </c>
      <c r="J4577" t="s">
        <v>35772</v>
      </c>
      <c r="K4577" t="s">
        <v>42283</v>
      </c>
      <c r="M4577" t="s">
        <v>44292</v>
      </c>
      <c r="N4577" t="s">
        <v>46569</v>
      </c>
      <c r="O4577" t="s">
        <v>46570</v>
      </c>
      <c r="P4577">
        <v>0</v>
      </c>
      <c r="Q4577">
        <v>1</v>
      </c>
      <c r="R4577" t="s">
        <v>46572</v>
      </c>
      <c r="S4577" t="s">
        <v>46689</v>
      </c>
      <c r="T4577" t="s">
        <v>48312</v>
      </c>
      <c r="U4577" t="s">
        <v>52558</v>
      </c>
      <c r="W4577" t="s">
        <v>44292</v>
      </c>
      <c r="X4577" t="s">
        <v>46573</v>
      </c>
    </row>
    <row r="4578" spans="1:24">
      <c r="A4578">
        <f>HYPERLINK("https://www.philgeps.gov.ph/GEPSNONPILOT/Tender/SplashBidNoticeAbstractUI.aspx?menuIndex=3&amp;refID=7064264&amp;Result=3","7064264")</f>
        <v>0</v>
      </c>
      <c r="B4578" t="s">
        <v>138</v>
      </c>
      <c r="C4578" t="s">
        <v>7914</v>
      </c>
      <c r="D4578" t="s">
        <v>18792</v>
      </c>
      <c r="E4578" t="s">
        <v>23008</v>
      </c>
      <c r="F4578" t="s">
        <v>32664</v>
      </c>
      <c r="G4578" t="s">
        <v>32671</v>
      </c>
      <c r="H4578" t="s">
        <v>12635</v>
      </c>
      <c r="I4578" t="s">
        <v>8797</v>
      </c>
      <c r="J4578" t="s">
        <v>33409</v>
      </c>
      <c r="K4578" t="s">
        <v>42297</v>
      </c>
      <c r="M4578" t="s">
        <v>42702</v>
      </c>
      <c r="N4578" t="s">
        <v>46569</v>
      </c>
      <c r="O4578" t="s">
        <v>46570</v>
      </c>
      <c r="P4578">
        <v>0</v>
      </c>
      <c r="Q4578">
        <v>2</v>
      </c>
      <c r="R4578" t="s">
        <v>46572</v>
      </c>
      <c r="S4578" t="s">
        <v>46689</v>
      </c>
      <c r="T4578" t="s">
        <v>48219</v>
      </c>
      <c r="U4578" t="s">
        <v>52559</v>
      </c>
      <c r="W4578" t="s">
        <v>42702</v>
      </c>
      <c r="X4578" t="s">
        <v>46573</v>
      </c>
    </row>
    <row r="4579" spans="1:24">
      <c r="A4579">
        <f>HYPERLINK("https://www.philgeps.gov.ph/GEPSNONPILOT/Tender/SplashBidNoticeAbstractUI.aspx?menuIndex=3&amp;refID=7064262&amp;Result=3","7064262")</f>
        <v>0</v>
      </c>
      <c r="B4579" t="s">
        <v>238</v>
      </c>
      <c r="C4579" t="s">
        <v>4138</v>
      </c>
      <c r="D4579" t="s">
        <v>18798</v>
      </c>
      <c r="E4579" t="s">
        <v>23009</v>
      </c>
      <c r="F4579" t="s">
        <v>32664</v>
      </c>
      <c r="G4579" t="s">
        <v>32675</v>
      </c>
      <c r="H4579" t="s">
        <v>12635</v>
      </c>
      <c r="I4579" t="s">
        <v>6168</v>
      </c>
      <c r="J4579" t="s">
        <v>35773</v>
      </c>
      <c r="K4579" t="s">
        <v>42295</v>
      </c>
      <c r="M4579" t="s">
        <v>44293</v>
      </c>
      <c r="N4579" t="s">
        <v>46569</v>
      </c>
      <c r="O4579" t="s">
        <v>46570</v>
      </c>
      <c r="P4579">
        <v>0</v>
      </c>
      <c r="Q4579">
        <v>0</v>
      </c>
      <c r="R4579" t="s">
        <v>46572</v>
      </c>
      <c r="S4579" t="s">
        <v>46689</v>
      </c>
      <c r="T4579" t="s">
        <v>48219</v>
      </c>
      <c r="U4579" t="s">
        <v>52560</v>
      </c>
      <c r="W4579" t="s">
        <v>44293</v>
      </c>
      <c r="X4579" t="s">
        <v>46573</v>
      </c>
    </row>
    <row r="4580" spans="1:24">
      <c r="A4580">
        <f>HYPERLINK("https://www.philgeps.gov.ph/GEPSNONPILOT/Tender/SplashBidNoticeAbstractUI.aspx?menuIndex=3&amp;refID=7064261&amp;Result=3","7064261")</f>
        <v>0</v>
      </c>
      <c r="B4580" t="s">
        <v>1574</v>
      </c>
      <c r="C4580" t="s">
        <v>7915</v>
      </c>
      <c r="D4580" t="s">
        <v>18830</v>
      </c>
      <c r="E4580" t="s">
        <v>23010</v>
      </c>
      <c r="F4580" t="s">
        <v>32664</v>
      </c>
      <c r="G4580" t="s">
        <v>32672</v>
      </c>
      <c r="H4580" t="s">
        <v>32683</v>
      </c>
      <c r="I4580" t="s">
        <v>10627</v>
      </c>
      <c r="J4580" t="s">
        <v>32853</v>
      </c>
      <c r="K4580" t="s">
        <v>42430</v>
      </c>
      <c r="M4580" t="s">
        <v>44249</v>
      </c>
      <c r="N4580" t="s">
        <v>46569</v>
      </c>
      <c r="O4580" t="s">
        <v>46570</v>
      </c>
      <c r="P4580">
        <v>0</v>
      </c>
      <c r="Q4580">
        <v>0</v>
      </c>
      <c r="R4580" t="s">
        <v>46572</v>
      </c>
      <c r="S4580" t="s">
        <v>46689</v>
      </c>
      <c r="T4580" t="s">
        <v>48220</v>
      </c>
      <c r="U4580" t="s">
        <v>52561</v>
      </c>
      <c r="V4580" t="s">
        <v>62072</v>
      </c>
      <c r="W4580" t="s">
        <v>44249</v>
      </c>
      <c r="X4580" t="s">
        <v>46573</v>
      </c>
    </row>
    <row r="4581" spans="1:24">
      <c r="A4581">
        <f>HYPERLINK("https://www.philgeps.gov.ph/GEPSNONPILOT/Tender/SplashBidNoticeAbstractUI.aspx?menuIndex=3&amp;refID=7063055&amp;Result=3","7063055")</f>
        <v>0</v>
      </c>
      <c r="B4581" t="s">
        <v>1614</v>
      </c>
      <c r="C4581" t="s">
        <v>7916</v>
      </c>
      <c r="D4581" t="s">
        <v>18785</v>
      </c>
      <c r="E4581" t="s">
        <v>19645</v>
      </c>
      <c r="F4581" t="s">
        <v>32664</v>
      </c>
      <c r="G4581" t="s">
        <v>32671</v>
      </c>
      <c r="H4581" t="s">
        <v>12635</v>
      </c>
      <c r="I4581" t="s">
        <v>4205</v>
      </c>
      <c r="J4581" t="s">
        <v>33846</v>
      </c>
      <c r="K4581" t="s">
        <v>42295</v>
      </c>
      <c r="M4581" t="s">
        <v>44294</v>
      </c>
      <c r="N4581" t="s">
        <v>46569</v>
      </c>
      <c r="O4581" t="s">
        <v>46570</v>
      </c>
      <c r="P4581">
        <v>0</v>
      </c>
      <c r="Q4581">
        <v>0</v>
      </c>
      <c r="R4581" t="s">
        <v>46572</v>
      </c>
      <c r="S4581" t="s">
        <v>46689</v>
      </c>
      <c r="T4581" t="s">
        <v>48344</v>
      </c>
      <c r="U4581" t="s">
        <v>52562</v>
      </c>
      <c r="W4581" t="s">
        <v>44294</v>
      </c>
      <c r="X4581" t="s">
        <v>46573</v>
      </c>
    </row>
    <row r="4582" spans="1:24">
      <c r="A4582">
        <f>HYPERLINK("https://www.philgeps.gov.ph/GEPSNONPILOT/Tender/SplashBidNoticeAbstractUI.aspx?menuIndex=3&amp;refID=7064295&amp;Result=3","7064295")</f>
        <v>0</v>
      </c>
      <c r="B4582" t="s">
        <v>1574</v>
      </c>
      <c r="C4582" t="s">
        <v>7917</v>
      </c>
      <c r="D4582" t="s">
        <v>18830</v>
      </c>
      <c r="E4582" t="s">
        <v>23011</v>
      </c>
      <c r="F4582" t="s">
        <v>32664</v>
      </c>
      <c r="G4582" t="s">
        <v>32672</v>
      </c>
      <c r="H4582" t="s">
        <v>32683</v>
      </c>
      <c r="I4582" t="s">
        <v>10627</v>
      </c>
      <c r="J4582" t="s">
        <v>33051</v>
      </c>
      <c r="K4582" t="s">
        <v>42281</v>
      </c>
      <c r="M4582" t="s">
        <v>44249</v>
      </c>
      <c r="N4582" t="s">
        <v>46569</v>
      </c>
      <c r="O4582" t="s">
        <v>46570</v>
      </c>
      <c r="P4582">
        <v>0</v>
      </c>
      <c r="Q4582">
        <v>0</v>
      </c>
      <c r="R4582" t="s">
        <v>46572</v>
      </c>
      <c r="S4582" t="s">
        <v>46689</v>
      </c>
      <c r="T4582" t="s">
        <v>48220</v>
      </c>
      <c r="U4582" t="s">
        <v>52563</v>
      </c>
      <c r="V4582" t="s">
        <v>62072</v>
      </c>
      <c r="W4582" t="s">
        <v>44249</v>
      </c>
      <c r="X4582" t="s">
        <v>46573</v>
      </c>
    </row>
    <row r="4583" spans="1:24">
      <c r="A4583">
        <f>HYPERLINK("https://www.philgeps.gov.ph/GEPSNONPILOT/Tender/SplashBidNoticeAbstractUI.aspx?menuIndex=3&amp;refID=7064269&amp;Result=3","7064269")</f>
        <v>0</v>
      </c>
      <c r="B4583" t="s">
        <v>1574</v>
      </c>
      <c r="C4583" t="s">
        <v>7918</v>
      </c>
      <c r="D4583" t="s">
        <v>18830</v>
      </c>
      <c r="E4583" t="s">
        <v>23012</v>
      </c>
      <c r="F4583" t="s">
        <v>32664</v>
      </c>
      <c r="G4583" t="s">
        <v>32672</v>
      </c>
      <c r="H4583" t="s">
        <v>32683</v>
      </c>
      <c r="I4583" t="s">
        <v>10627</v>
      </c>
      <c r="J4583" t="s">
        <v>33051</v>
      </c>
      <c r="K4583" t="s">
        <v>42430</v>
      </c>
      <c r="M4583" t="s">
        <v>44249</v>
      </c>
      <c r="N4583" t="s">
        <v>46569</v>
      </c>
      <c r="O4583" t="s">
        <v>46570</v>
      </c>
      <c r="P4583">
        <v>0</v>
      </c>
      <c r="Q4583">
        <v>0</v>
      </c>
      <c r="R4583" t="s">
        <v>46572</v>
      </c>
      <c r="S4583" t="s">
        <v>46689</v>
      </c>
      <c r="T4583" t="s">
        <v>48220</v>
      </c>
      <c r="U4583" t="s">
        <v>52561</v>
      </c>
      <c r="V4583" t="s">
        <v>62072</v>
      </c>
      <c r="W4583" t="s">
        <v>44249</v>
      </c>
      <c r="X4583" t="s">
        <v>46573</v>
      </c>
    </row>
    <row r="4584" spans="1:24">
      <c r="A4584">
        <f>HYPERLINK("https://www.philgeps.gov.ph/GEPSNONPILOT/Tender/SplashBidNoticeAbstractUI.aspx?menuIndex=3&amp;refID=7064266&amp;Result=3","7064266")</f>
        <v>0</v>
      </c>
      <c r="B4584" t="s">
        <v>1574</v>
      </c>
      <c r="C4584" t="s">
        <v>7919</v>
      </c>
      <c r="D4584" t="s">
        <v>18830</v>
      </c>
      <c r="E4584" t="s">
        <v>23013</v>
      </c>
      <c r="F4584" t="s">
        <v>32664</v>
      </c>
      <c r="G4584" t="s">
        <v>32672</v>
      </c>
      <c r="H4584" t="s">
        <v>32683</v>
      </c>
      <c r="I4584" t="s">
        <v>10627</v>
      </c>
      <c r="J4584" t="s">
        <v>33051</v>
      </c>
      <c r="K4584" t="s">
        <v>42430</v>
      </c>
      <c r="M4584" t="s">
        <v>44249</v>
      </c>
      <c r="N4584" t="s">
        <v>46569</v>
      </c>
      <c r="O4584" t="s">
        <v>46570</v>
      </c>
      <c r="P4584">
        <v>0</v>
      </c>
      <c r="Q4584">
        <v>0</v>
      </c>
      <c r="R4584" t="s">
        <v>46572</v>
      </c>
      <c r="S4584" t="s">
        <v>46689</v>
      </c>
      <c r="T4584" t="s">
        <v>48220</v>
      </c>
      <c r="U4584" t="s">
        <v>52561</v>
      </c>
      <c r="V4584" t="s">
        <v>62072</v>
      </c>
      <c r="W4584" t="s">
        <v>44249</v>
      </c>
      <c r="X4584" t="s">
        <v>46573</v>
      </c>
    </row>
    <row r="4585" spans="1:24">
      <c r="A4585">
        <f>HYPERLINK("https://www.philgeps.gov.ph/GEPSNONPILOT/Tender/SplashBidNoticeAbstractUI.aspx?menuIndex=3&amp;refID=7064293&amp;Result=3","7064293")</f>
        <v>0</v>
      </c>
      <c r="B4585" t="s">
        <v>1016</v>
      </c>
      <c r="C4585" t="s">
        <v>7920</v>
      </c>
      <c r="D4585" t="s">
        <v>18784</v>
      </c>
      <c r="E4585" t="s">
        <v>23014</v>
      </c>
      <c r="F4585" t="s">
        <v>32664</v>
      </c>
      <c r="G4585" t="s">
        <v>32677</v>
      </c>
      <c r="H4585" t="s">
        <v>12635</v>
      </c>
      <c r="I4585" t="s">
        <v>10590</v>
      </c>
      <c r="J4585" t="s">
        <v>33126</v>
      </c>
      <c r="K4585" t="s">
        <v>42289</v>
      </c>
      <c r="M4585" t="s">
        <v>43628</v>
      </c>
      <c r="N4585" t="s">
        <v>46569</v>
      </c>
      <c r="O4585" t="s">
        <v>46570</v>
      </c>
      <c r="P4585">
        <v>0</v>
      </c>
      <c r="Q4585">
        <v>1</v>
      </c>
      <c r="R4585" t="s">
        <v>46572</v>
      </c>
      <c r="S4585" t="s">
        <v>46689</v>
      </c>
      <c r="T4585" t="s">
        <v>48251</v>
      </c>
      <c r="U4585" t="s">
        <v>52564</v>
      </c>
      <c r="W4585" t="s">
        <v>63502</v>
      </c>
      <c r="X4585" t="s">
        <v>46573</v>
      </c>
    </row>
    <row r="4586" spans="1:24">
      <c r="A4586">
        <f>HYPERLINK("https://www.philgeps.gov.ph/GEPSNONPILOT/Tender/SplashBidNoticeAbstractUI.aspx?menuIndex=3&amp;refID=7064291&amp;Result=3","7064291")</f>
        <v>0</v>
      </c>
      <c r="B4586" t="s">
        <v>1067</v>
      </c>
      <c r="C4586" t="s">
        <v>7921</v>
      </c>
      <c r="D4586" t="s">
        <v>18832</v>
      </c>
      <c r="E4586" t="s">
        <v>22136</v>
      </c>
      <c r="F4586" t="s">
        <v>32664</v>
      </c>
      <c r="G4586" t="s">
        <v>32671</v>
      </c>
      <c r="H4586" t="s">
        <v>12635</v>
      </c>
      <c r="I4586" t="s">
        <v>32694</v>
      </c>
      <c r="J4586" t="s">
        <v>35774</v>
      </c>
      <c r="K4586" t="s">
        <v>42309</v>
      </c>
      <c r="M4586" t="s">
        <v>43685</v>
      </c>
      <c r="N4586" t="s">
        <v>46569</v>
      </c>
      <c r="O4586" t="s">
        <v>46570</v>
      </c>
      <c r="P4586">
        <v>0</v>
      </c>
      <c r="Q4586">
        <v>0</v>
      </c>
      <c r="R4586" t="s">
        <v>46572</v>
      </c>
      <c r="S4586" t="s">
        <v>46689</v>
      </c>
      <c r="T4586" t="s">
        <v>48250</v>
      </c>
      <c r="U4586" t="s">
        <v>52565</v>
      </c>
      <c r="W4586" t="s">
        <v>43685</v>
      </c>
      <c r="X4586" t="s">
        <v>46573</v>
      </c>
    </row>
    <row r="4587" spans="1:24">
      <c r="A4587">
        <f>HYPERLINK("https://www.philgeps.gov.ph/GEPSNONPILOT/Tender/SplashBidNoticeAbstractUI.aspx?menuIndex=3&amp;refID=7064289&amp;Result=3","7064289")</f>
        <v>0</v>
      </c>
      <c r="B4587" t="s">
        <v>1612</v>
      </c>
      <c r="C4587" t="s">
        <v>7922</v>
      </c>
      <c r="D4587" t="s">
        <v>18821</v>
      </c>
      <c r="E4587" t="s">
        <v>23015</v>
      </c>
      <c r="F4587" t="s">
        <v>32664</v>
      </c>
      <c r="G4587" t="s">
        <v>32672</v>
      </c>
      <c r="H4587" t="s">
        <v>12635</v>
      </c>
      <c r="I4587" t="s">
        <v>6223</v>
      </c>
      <c r="J4587" t="s">
        <v>35261</v>
      </c>
      <c r="K4587" t="s">
        <v>42281</v>
      </c>
      <c r="M4587" t="s">
        <v>44291</v>
      </c>
      <c r="N4587" t="s">
        <v>46569</v>
      </c>
      <c r="O4587" t="s">
        <v>46570</v>
      </c>
      <c r="P4587">
        <v>0</v>
      </c>
      <c r="Q4587">
        <v>0</v>
      </c>
      <c r="R4587" t="s">
        <v>46572</v>
      </c>
      <c r="S4587" t="s">
        <v>46689</v>
      </c>
      <c r="T4587" t="s">
        <v>48285</v>
      </c>
      <c r="U4587" t="s">
        <v>52566</v>
      </c>
      <c r="W4587" t="s">
        <v>44291</v>
      </c>
      <c r="X4587" t="s">
        <v>46573</v>
      </c>
    </row>
    <row r="4588" spans="1:24">
      <c r="A4588">
        <f>HYPERLINK("https://www.philgeps.gov.ph/GEPSNONPILOT/Tender/SplashBidNoticeAbstractUI.aspx?menuIndex=3&amp;refID=7064288&amp;Result=3","7064288")</f>
        <v>0</v>
      </c>
      <c r="B4588" t="s">
        <v>881</v>
      </c>
      <c r="C4588" t="s">
        <v>4254</v>
      </c>
      <c r="D4588" t="s">
        <v>18836</v>
      </c>
      <c r="E4588" t="s">
        <v>23016</v>
      </c>
      <c r="F4588" t="s">
        <v>32664</v>
      </c>
      <c r="G4588" t="s">
        <v>32671</v>
      </c>
      <c r="H4588" t="s">
        <v>12635</v>
      </c>
      <c r="I4588" t="s">
        <v>6168</v>
      </c>
      <c r="J4588" t="s">
        <v>35775</v>
      </c>
      <c r="K4588" t="s">
        <v>42284</v>
      </c>
      <c r="M4588" t="s">
        <v>43481</v>
      </c>
      <c r="N4588" t="s">
        <v>46569</v>
      </c>
      <c r="O4588" t="s">
        <v>46570</v>
      </c>
      <c r="P4588">
        <v>0</v>
      </c>
      <c r="Q4588">
        <v>0</v>
      </c>
      <c r="R4588" t="s">
        <v>46572</v>
      </c>
      <c r="S4588" t="s">
        <v>46689</v>
      </c>
      <c r="T4588" t="s">
        <v>48244</v>
      </c>
      <c r="U4588" t="s">
        <v>51596</v>
      </c>
      <c r="W4588" t="s">
        <v>43481</v>
      </c>
      <c r="X4588" t="s">
        <v>46573</v>
      </c>
    </row>
    <row r="4589" spans="1:24">
      <c r="A4589">
        <f>HYPERLINK("https://www.philgeps.gov.ph/GEPSNONPILOT/Tender/SplashBidNoticeAbstractUI.aspx?menuIndex=3&amp;refID=7064292&amp;Result=3","7064292")</f>
        <v>0</v>
      </c>
      <c r="B4589" t="s">
        <v>1574</v>
      </c>
      <c r="C4589" t="s">
        <v>7923</v>
      </c>
      <c r="D4589" t="s">
        <v>18830</v>
      </c>
      <c r="E4589" t="s">
        <v>23017</v>
      </c>
      <c r="F4589" t="s">
        <v>32664</v>
      </c>
      <c r="G4589" t="s">
        <v>32672</v>
      </c>
      <c r="H4589" t="s">
        <v>32683</v>
      </c>
      <c r="I4589" t="s">
        <v>10627</v>
      </c>
      <c r="J4589" t="s">
        <v>33051</v>
      </c>
      <c r="K4589" t="s">
        <v>42316</v>
      </c>
      <c r="M4589" t="s">
        <v>44249</v>
      </c>
      <c r="N4589" t="s">
        <v>46569</v>
      </c>
      <c r="O4589" t="s">
        <v>46570</v>
      </c>
      <c r="P4589">
        <v>0</v>
      </c>
      <c r="Q4589">
        <v>0</v>
      </c>
      <c r="R4589" t="s">
        <v>46572</v>
      </c>
      <c r="S4589" t="s">
        <v>46689</v>
      </c>
      <c r="T4589" t="s">
        <v>48220</v>
      </c>
      <c r="U4589" t="s">
        <v>52567</v>
      </c>
      <c r="V4589" t="s">
        <v>62072</v>
      </c>
      <c r="W4589" t="s">
        <v>44249</v>
      </c>
      <c r="X4589" t="s">
        <v>46573</v>
      </c>
    </row>
    <row r="4590" spans="1:24">
      <c r="A4590">
        <f>HYPERLINK("https://www.philgeps.gov.ph/GEPSNONPILOT/Tender/SplashBidNoticeAbstractUI.aspx?menuIndex=3&amp;refID=7064290&amp;Result=3","7064290")</f>
        <v>0</v>
      </c>
      <c r="B4590" t="s">
        <v>1615</v>
      </c>
      <c r="C4590" t="s">
        <v>7924</v>
      </c>
      <c r="D4590" t="s">
        <v>18842</v>
      </c>
      <c r="E4590" t="s">
        <v>23018</v>
      </c>
      <c r="F4590" t="s">
        <v>32664</v>
      </c>
      <c r="G4590" t="s">
        <v>32672</v>
      </c>
      <c r="H4590" t="s">
        <v>32683</v>
      </c>
      <c r="I4590" t="s">
        <v>10627</v>
      </c>
      <c r="J4590" t="s">
        <v>35776</v>
      </c>
      <c r="K4590" t="s">
        <v>42290</v>
      </c>
      <c r="M4590" t="s">
        <v>44295</v>
      </c>
      <c r="N4590" t="s">
        <v>46569</v>
      </c>
      <c r="O4590" t="s">
        <v>46570</v>
      </c>
      <c r="P4590">
        <v>0</v>
      </c>
      <c r="Q4590">
        <v>0</v>
      </c>
      <c r="R4590" t="s">
        <v>46572</v>
      </c>
      <c r="S4590" t="s">
        <v>46689</v>
      </c>
      <c r="T4590" t="s">
        <v>48312</v>
      </c>
      <c r="U4590" t="s">
        <v>52568</v>
      </c>
      <c r="W4590" t="s">
        <v>44295</v>
      </c>
      <c r="X4590" t="s">
        <v>46573</v>
      </c>
    </row>
    <row r="4591" spans="1:24">
      <c r="A4591">
        <f>HYPERLINK("https://www.philgeps.gov.ph/GEPSNONPILOT/Tender/SplashBidNoticeAbstractUI.aspx?menuIndex=3&amp;refID=7064284&amp;Result=3","7064284")</f>
        <v>0</v>
      </c>
      <c r="B4591" t="s">
        <v>1574</v>
      </c>
      <c r="C4591" t="s">
        <v>7925</v>
      </c>
      <c r="D4591" t="s">
        <v>18830</v>
      </c>
      <c r="E4591" t="s">
        <v>23019</v>
      </c>
      <c r="F4591" t="s">
        <v>32664</v>
      </c>
      <c r="G4591" t="s">
        <v>32672</v>
      </c>
      <c r="H4591" t="s">
        <v>32683</v>
      </c>
      <c r="I4591" t="s">
        <v>10627</v>
      </c>
      <c r="J4591" t="s">
        <v>33051</v>
      </c>
      <c r="K4591" t="s">
        <v>42281</v>
      </c>
      <c r="M4591" t="s">
        <v>44249</v>
      </c>
      <c r="N4591" t="s">
        <v>46569</v>
      </c>
      <c r="O4591" t="s">
        <v>46570</v>
      </c>
      <c r="P4591">
        <v>0</v>
      </c>
      <c r="Q4591">
        <v>0</v>
      </c>
      <c r="R4591" t="s">
        <v>46572</v>
      </c>
      <c r="S4591" t="s">
        <v>46689</v>
      </c>
      <c r="T4591" t="s">
        <v>48220</v>
      </c>
      <c r="U4591" t="s">
        <v>52569</v>
      </c>
      <c r="V4591" t="s">
        <v>62072</v>
      </c>
      <c r="W4591" t="s">
        <v>44249</v>
      </c>
      <c r="X4591" t="s">
        <v>46573</v>
      </c>
    </row>
    <row r="4592" spans="1:24">
      <c r="A4592">
        <f>HYPERLINK("https://www.philgeps.gov.ph/GEPSNONPILOT/Tender/SplashBidNoticeAbstractUI.aspx?menuIndex=3&amp;refID=7064279&amp;Result=3","7064279")</f>
        <v>0</v>
      </c>
      <c r="B4592" t="s">
        <v>1574</v>
      </c>
      <c r="C4592" t="s">
        <v>7926</v>
      </c>
      <c r="D4592" t="s">
        <v>18830</v>
      </c>
      <c r="E4592" t="s">
        <v>23020</v>
      </c>
      <c r="F4592" t="s">
        <v>32664</v>
      </c>
      <c r="G4592" t="s">
        <v>32672</v>
      </c>
      <c r="H4592" t="s">
        <v>32683</v>
      </c>
      <c r="I4592" t="s">
        <v>10627</v>
      </c>
      <c r="J4592" t="s">
        <v>33051</v>
      </c>
      <c r="K4592" t="s">
        <v>42400</v>
      </c>
      <c r="M4592" t="s">
        <v>44249</v>
      </c>
      <c r="N4592" t="s">
        <v>46569</v>
      </c>
      <c r="O4592" t="s">
        <v>46570</v>
      </c>
      <c r="P4592">
        <v>0</v>
      </c>
      <c r="Q4592">
        <v>0</v>
      </c>
      <c r="R4592" t="s">
        <v>46572</v>
      </c>
      <c r="S4592" t="s">
        <v>46689</v>
      </c>
      <c r="T4592" t="s">
        <v>48220</v>
      </c>
      <c r="U4592" t="s">
        <v>52570</v>
      </c>
      <c r="V4592" t="s">
        <v>62072</v>
      </c>
      <c r="W4592" t="s">
        <v>44249</v>
      </c>
      <c r="X4592" t="s">
        <v>46573</v>
      </c>
    </row>
    <row r="4593" spans="1:24">
      <c r="A4593">
        <f>HYPERLINK("https://www.philgeps.gov.ph/GEPSNONPILOT/Tender/SplashBidNoticeAbstractUI.aspx?menuIndex=3&amp;refID=7064283&amp;Result=3","7064283")</f>
        <v>0</v>
      </c>
      <c r="B4593" t="s">
        <v>986</v>
      </c>
      <c r="C4593" t="s">
        <v>7927</v>
      </c>
      <c r="D4593" t="s">
        <v>18820</v>
      </c>
      <c r="E4593" t="s">
        <v>23021</v>
      </c>
      <c r="F4593" t="s">
        <v>32664</v>
      </c>
      <c r="G4593" t="s">
        <v>32672</v>
      </c>
      <c r="H4593" t="s">
        <v>12635</v>
      </c>
      <c r="I4593" t="s">
        <v>4439</v>
      </c>
      <c r="J4593" t="s">
        <v>35777</v>
      </c>
      <c r="K4593" t="s">
        <v>42297</v>
      </c>
      <c r="M4593" t="s">
        <v>43597</v>
      </c>
      <c r="N4593" t="s">
        <v>46569</v>
      </c>
      <c r="O4593" t="s">
        <v>46570</v>
      </c>
      <c r="P4593">
        <v>0</v>
      </c>
      <c r="Q4593">
        <v>0</v>
      </c>
      <c r="R4593" t="s">
        <v>46572</v>
      </c>
      <c r="S4593" t="s">
        <v>46689</v>
      </c>
      <c r="T4593" t="s">
        <v>48274</v>
      </c>
      <c r="U4593" t="s">
        <v>52571</v>
      </c>
      <c r="W4593" t="s">
        <v>43597</v>
      </c>
      <c r="X4593" t="s">
        <v>46573</v>
      </c>
    </row>
    <row r="4594" spans="1:24">
      <c r="A4594">
        <f>HYPERLINK("https://www.philgeps.gov.ph/GEPSNONPILOT/Tender/SplashBidNoticeAbstractUI.aspx?menuIndex=3&amp;refID=7064294&amp;Result=3","7064294")</f>
        <v>0</v>
      </c>
      <c r="B4594" t="s">
        <v>1616</v>
      </c>
      <c r="C4594" t="s">
        <v>7928</v>
      </c>
      <c r="D4594" t="s">
        <v>18798</v>
      </c>
      <c r="E4594" t="s">
        <v>23022</v>
      </c>
      <c r="F4594" t="s">
        <v>32664</v>
      </c>
      <c r="G4594" t="s">
        <v>32674</v>
      </c>
      <c r="H4594" t="s">
        <v>12635</v>
      </c>
      <c r="I4594" t="s">
        <v>8849</v>
      </c>
      <c r="J4594" t="s">
        <v>33813</v>
      </c>
      <c r="K4594" t="s">
        <v>42289</v>
      </c>
      <c r="M4594" t="s">
        <v>44296</v>
      </c>
      <c r="N4594" t="s">
        <v>46569</v>
      </c>
      <c r="O4594" t="s">
        <v>46570</v>
      </c>
      <c r="P4594">
        <v>0</v>
      </c>
      <c r="Q4594">
        <v>3</v>
      </c>
      <c r="R4594" t="s">
        <v>46572</v>
      </c>
      <c r="S4594" t="s">
        <v>46689</v>
      </c>
      <c r="T4594" t="s">
        <v>48427</v>
      </c>
      <c r="U4594" t="s">
        <v>52572</v>
      </c>
      <c r="V4594" t="s">
        <v>62090</v>
      </c>
      <c r="W4594" t="s">
        <v>44296</v>
      </c>
      <c r="X4594" t="s">
        <v>46573</v>
      </c>
    </row>
    <row r="4595" spans="1:24">
      <c r="A4595">
        <f>HYPERLINK("https://www.philgeps.gov.ph/GEPSNONPILOT/Tender/SplashBidNoticeAbstractUI.aspx?menuIndex=3&amp;refID=7064282&amp;Result=3","7064282")</f>
        <v>0</v>
      </c>
      <c r="B4595" t="s">
        <v>881</v>
      </c>
      <c r="C4595" t="s">
        <v>7929</v>
      </c>
      <c r="D4595" t="s">
        <v>18836</v>
      </c>
      <c r="E4595" t="s">
        <v>23023</v>
      </c>
      <c r="F4595" t="s">
        <v>32664</v>
      </c>
      <c r="G4595" t="s">
        <v>32671</v>
      </c>
      <c r="H4595" t="s">
        <v>12635</v>
      </c>
      <c r="I4595" t="s">
        <v>6223</v>
      </c>
      <c r="J4595" t="s">
        <v>35778</v>
      </c>
      <c r="K4595" t="s">
        <v>42284</v>
      </c>
      <c r="M4595" t="s">
        <v>43481</v>
      </c>
      <c r="N4595" t="s">
        <v>46569</v>
      </c>
      <c r="O4595" t="s">
        <v>46570</v>
      </c>
      <c r="P4595">
        <v>0</v>
      </c>
      <c r="Q4595">
        <v>0</v>
      </c>
      <c r="R4595" t="s">
        <v>46572</v>
      </c>
      <c r="S4595" t="s">
        <v>46689</v>
      </c>
      <c r="T4595" t="s">
        <v>48244</v>
      </c>
      <c r="U4595" t="s">
        <v>51596</v>
      </c>
      <c r="W4595" t="s">
        <v>43481</v>
      </c>
      <c r="X4595" t="s">
        <v>46573</v>
      </c>
    </row>
    <row r="4596" spans="1:24">
      <c r="A4596">
        <f>HYPERLINK("https://www.philgeps.gov.ph/GEPSNONPILOT/Tender/SplashBidNoticeAbstractUI.aspx?menuIndex=3&amp;refID=7064265&amp;Result=3","7064265")</f>
        <v>0</v>
      </c>
      <c r="B4596" t="s">
        <v>1536</v>
      </c>
      <c r="C4596" t="s">
        <v>7930</v>
      </c>
      <c r="D4596" t="s">
        <v>18838</v>
      </c>
      <c r="E4596" t="s">
        <v>23024</v>
      </c>
      <c r="F4596" t="s">
        <v>32664</v>
      </c>
      <c r="G4596" t="s">
        <v>32671</v>
      </c>
      <c r="H4596" t="s">
        <v>32683</v>
      </c>
      <c r="I4596" t="s">
        <v>10627</v>
      </c>
      <c r="J4596" t="s">
        <v>35779</v>
      </c>
      <c r="K4596" t="s">
        <v>42303</v>
      </c>
      <c r="M4596" t="s">
        <v>44204</v>
      </c>
      <c r="N4596" t="s">
        <v>46569</v>
      </c>
      <c r="O4596" t="s">
        <v>46570</v>
      </c>
      <c r="P4596">
        <v>0</v>
      </c>
      <c r="Q4596">
        <v>1</v>
      </c>
      <c r="R4596" t="s">
        <v>46572</v>
      </c>
      <c r="S4596" t="s">
        <v>46689</v>
      </c>
      <c r="T4596" t="s">
        <v>48244</v>
      </c>
      <c r="U4596" t="s">
        <v>52573</v>
      </c>
      <c r="W4596" t="s">
        <v>44204</v>
      </c>
      <c r="X4596" t="s">
        <v>46573</v>
      </c>
    </row>
    <row r="4597" spans="1:24">
      <c r="A4597">
        <f>HYPERLINK("https://www.philgeps.gov.ph/GEPSNONPILOT/Tender/SplashBidNoticeAbstractUI.aspx?menuIndex=3&amp;refID=7064278&amp;Result=3","7064278")</f>
        <v>0</v>
      </c>
      <c r="B4597" t="s">
        <v>1604</v>
      </c>
      <c r="C4597" t="s">
        <v>7931</v>
      </c>
      <c r="E4597" t="s">
        <v>20195</v>
      </c>
      <c r="F4597" t="s">
        <v>32664</v>
      </c>
      <c r="G4597" t="s">
        <v>32671</v>
      </c>
      <c r="H4597" t="s">
        <v>12635</v>
      </c>
      <c r="I4597" t="s">
        <v>32688</v>
      </c>
      <c r="J4597" t="s">
        <v>35780</v>
      </c>
      <c r="K4597" t="s">
        <v>42298</v>
      </c>
      <c r="M4597" t="s">
        <v>44283</v>
      </c>
      <c r="N4597" t="s">
        <v>46569</v>
      </c>
      <c r="O4597" t="s">
        <v>46570</v>
      </c>
      <c r="P4597">
        <v>0</v>
      </c>
      <c r="Q4597">
        <v>2</v>
      </c>
      <c r="R4597" t="s">
        <v>46572</v>
      </c>
      <c r="S4597" t="s">
        <v>46689</v>
      </c>
      <c r="T4597" t="s">
        <v>48297</v>
      </c>
      <c r="U4597" t="s">
        <v>52574</v>
      </c>
      <c r="V4597" t="s">
        <v>62086</v>
      </c>
      <c r="W4597" t="s">
        <v>44283</v>
      </c>
      <c r="X4597" t="s">
        <v>46573</v>
      </c>
    </row>
    <row r="4598" spans="1:24">
      <c r="A4598">
        <f>HYPERLINK("https://www.philgeps.gov.ph/GEPSNONPILOT/Tender/SplashBidNoticeAbstractUI.aspx?menuIndex=3&amp;refID=7064263&amp;Result=3","7064263")</f>
        <v>0</v>
      </c>
      <c r="B4598" t="s">
        <v>1617</v>
      </c>
      <c r="C4598" t="s">
        <v>7932</v>
      </c>
      <c r="D4598" t="s">
        <v>18799</v>
      </c>
      <c r="E4598" t="s">
        <v>23025</v>
      </c>
      <c r="F4598" t="s">
        <v>32664</v>
      </c>
      <c r="G4598" t="s">
        <v>32671</v>
      </c>
      <c r="H4598" t="s">
        <v>12635</v>
      </c>
      <c r="I4598" t="s">
        <v>7324</v>
      </c>
      <c r="J4598" t="s">
        <v>33752</v>
      </c>
      <c r="K4598" t="s">
        <v>42284</v>
      </c>
      <c r="M4598" t="s">
        <v>44297</v>
      </c>
      <c r="N4598" t="s">
        <v>46569</v>
      </c>
      <c r="O4598" t="s">
        <v>46570</v>
      </c>
      <c r="P4598">
        <v>0</v>
      </c>
      <c r="Q4598">
        <v>1</v>
      </c>
      <c r="R4598" t="s">
        <v>46572</v>
      </c>
      <c r="S4598" t="s">
        <v>46689</v>
      </c>
      <c r="T4598" t="s">
        <v>48519</v>
      </c>
      <c r="U4598" t="s">
        <v>52575</v>
      </c>
      <c r="W4598" t="s">
        <v>44297</v>
      </c>
      <c r="X4598" t="s">
        <v>46573</v>
      </c>
    </row>
    <row r="4599" spans="1:24">
      <c r="A4599">
        <f>HYPERLINK("https://www.philgeps.gov.ph/GEPSNONPILOT/Tender/SplashBidNoticeAbstractUI.aspx?menuIndex=3&amp;refID=7064276&amp;Result=3","7064276")</f>
        <v>0</v>
      </c>
      <c r="B4599" t="s">
        <v>1612</v>
      </c>
      <c r="C4599" t="s">
        <v>7933</v>
      </c>
      <c r="D4599" t="s">
        <v>18821</v>
      </c>
      <c r="E4599" t="s">
        <v>23026</v>
      </c>
      <c r="F4599" t="s">
        <v>32664</v>
      </c>
      <c r="G4599" t="s">
        <v>32672</v>
      </c>
      <c r="H4599" t="s">
        <v>12635</v>
      </c>
      <c r="I4599" t="s">
        <v>32684</v>
      </c>
      <c r="J4599" t="s">
        <v>34127</v>
      </c>
      <c r="K4599" t="s">
        <v>42281</v>
      </c>
      <c r="M4599" t="s">
        <v>44291</v>
      </c>
      <c r="N4599" t="s">
        <v>46569</v>
      </c>
      <c r="O4599" t="s">
        <v>46570</v>
      </c>
      <c r="P4599">
        <v>0</v>
      </c>
      <c r="Q4599">
        <v>1</v>
      </c>
      <c r="R4599" t="s">
        <v>46572</v>
      </c>
      <c r="S4599" t="s">
        <v>46689</v>
      </c>
      <c r="T4599" t="s">
        <v>48285</v>
      </c>
      <c r="U4599" t="s">
        <v>52576</v>
      </c>
      <c r="W4599" t="s">
        <v>44291</v>
      </c>
      <c r="X4599" t="s">
        <v>46573</v>
      </c>
    </row>
    <row r="4600" spans="1:24">
      <c r="A4600">
        <f>HYPERLINK("https://www.philgeps.gov.ph/GEPSNONPILOT/Tender/SplashBidNoticeAbstractUI.aspx?menuIndex=3&amp;refID=7064286&amp;Result=3","7064286")</f>
        <v>0</v>
      </c>
      <c r="B4600" t="s">
        <v>1612</v>
      </c>
      <c r="C4600" t="s">
        <v>7934</v>
      </c>
      <c r="D4600" t="s">
        <v>18821</v>
      </c>
      <c r="E4600" t="s">
        <v>23027</v>
      </c>
      <c r="F4600" t="s">
        <v>32664</v>
      </c>
      <c r="G4600" t="s">
        <v>32672</v>
      </c>
      <c r="H4600" t="s">
        <v>12635</v>
      </c>
      <c r="I4600" t="s">
        <v>32737</v>
      </c>
      <c r="J4600" t="s">
        <v>35781</v>
      </c>
      <c r="K4600" t="s">
        <v>42303</v>
      </c>
      <c r="M4600" t="s">
        <v>44291</v>
      </c>
      <c r="N4600" t="s">
        <v>46569</v>
      </c>
      <c r="O4600" t="s">
        <v>46570</v>
      </c>
      <c r="P4600">
        <v>0</v>
      </c>
      <c r="Q4600">
        <v>0</v>
      </c>
      <c r="R4600" t="s">
        <v>46572</v>
      </c>
      <c r="S4600" t="s">
        <v>46689</v>
      </c>
      <c r="T4600" t="s">
        <v>48285</v>
      </c>
      <c r="U4600" t="s">
        <v>52577</v>
      </c>
      <c r="W4600" t="s">
        <v>44291</v>
      </c>
      <c r="X4600" t="s">
        <v>46573</v>
      </c>
    </row>
    <row r="4601" spans="1:24">
      <c r="A4601">
        <f>HYPERLINK("https://www.philgeps.gov.ph/GEPSNONPILOT/Tender/SplashBidNoticeAbstractUI.aspx?menuIndex=3&amp;refID=7064315&amp;Result=3","7064315")</f>
        <v>0</v>
      </c>
      <c r="B4601" t="s">
        <v>871</v>
      </c>
      <c r="C4601" t="s">
        <v>7935</v>
      </c>
      <c r="D4601" t="s">
        <v>18784</v>
      </c>
      <c r="E4601" t="s">
        <v>23028</v>
      </c>
      <c r="F4601" t="s">
        <v>32664</v>
      </c>
      <c r="G4601" t="s">
        <v>32671</v>
      </c>
      <c r="H4601" t="s">
        <v>12635</v>
      </c>
      <c r="I4601" t="s">
        <v>4205</v>
      </c>
      <c r="J4601" t="s">
        <v>35782</v>
      </c>
      <c r="K4601" t="s">
        <v>42281</v>
      </c>
      <c r="M4601" t="s">
        <v>43471</v>
      </c>
      <c r="N4601" t="s">
        <v>46569</v>
      </c>
      <c r="O4601" t="s">
        <v>46570</v>
      </c>
      <c r="P4601">
        <v>0</v>
      </c>
      <c r="Q4601">
        <v>11</v>
      </c>
      <c r="R4601" t="s">
        <v>46572</v>
      </c>
      <c r="S4601" t="s">
        <v>46689</v>
      </c>
      <c r="T4601" t="s">
        <v>48256</v>
      </c>
      <c r="U4601" t="s">
        <v>52578</v>
      </c>
      <c r="V4601" t="s">
        <v>62091</v>
      </c>
      <c r="W4601" t="s">
        <v>43471</v>
      </c>
      <c r="X4601" t="s">
        <v>46573</v>
      </c>
    </row>
    <row r="4602" spans="1:24">
      <c r="A4602">
        <f>HYPERLINK("https://www.philgeps.gov.ph/GEPSNONPILOT/Tender/SplashBidNoticeAbstractUI.aspx?menuIndex=3&amp;refID=7064314&amp;Result=3","7064314")</f>
        <v>0</v>
      </c>
      <c r="B4602" t="s">
        <v>116</v>
      </c>
      <c r="C4602" t="s">
        <v>7936</v>
      </c>
      <c r="D4602" t="s">
        <v>18805</v>
      </c>
      <c r="E4602" t="s">
        <v>18982</v>
      </c>
      <c r="F4602" t="s">
        <v>32664</v>
      </c>
      <c r="G4602" t="s">
        <v>32671</v>
      </c>
      <c r="H4602" t="s">
        <v>12635</v>
      </c>
      <c r="I4602" t="s">
        <v>5501</v>
      </c>
      <c r="J4602" t="s">
        <v>35188</v>
      </c>
      <c r="K4602" t="s">
        <v>42306</v>
      </c>
      <c r="M4602" t="s">
        <v>42680</v>
      </c>
      <c r="N4602" t="s">
        <v>46569</v>
      </c>
      <c r="O4602" t="s">
        <v>46570</v>
      </c>
      <c r="P4602">
        <v>0</v>
      </c>
      <c r="Q4602">
        <v>0</v>
      </c>
      <c r="R4602" t="s">
        <v>46572</v>
      </c>
      <c r="S4602" t="s">
        <v>46689</v>
      </c>
      <c r="T4602" t="s">
        <v>48244</v>
      </c>
      <c r="U4602" t="s">
        <v>52579</v>
      </c>
      <c r="W4602" t="s">
        <v>42680</v>
      </c>
      <c r="X4602" t="s">
        <v>46573</v>
      </c>
    </row>
    <row r="4603" spans="1:24">
      <c r="A4603">
        <f>HYPERLINK("https://www.philgeps.gov.ph/GEPSNONPILOT/Tender/SplashBidNoticeAbstractUI.aspx?menuIndex=3&amp;refID=7064281&amp;Result=3","7064281")</f>
        <v>0</v>
      </c>
      <c r="B4603" t="s">
        <v>1613</v>
      </c>
      <c r="C4603" t="s">
        <v>7937</v>
      </c>
      <c r="E4603" t="s">
        <v>23029</v>
      </c>
      <c r="F4603" t="s">
        <v>32664</v>
      </c>
      <c r="G4603" t="s">
        <v>32671</v>
      </c>
      <c r="H4603" t="s">
        <v>12635</v>
      </c>
      <c r="I4603" t="s">
        <v>5460</v>
      </c>
      <c r="J4603" t="s">
        <v>33021</v>
      </c>
      <c r="K4603" t="s">
        <v>42283</v>
      </c>
      <c r="M4603" t="s">
        <v>44292</v>
      </c>
      <c r="N4603" t="s">
        <v>46569</v>
      </c>
      <c r="O4603" t="s">
        <v>46570</v>
      </c>
      <c r="P4603">
        <v>0</v>
      </c>
      <c r="Q4603">
        <v>1</v>
      </c>
      <c r="R4603" t="s">
        <v>46572</v>
      </c>
      <c r="S4603" t="s">
        <v>46689</v>
      </c>
      <c r="T4603" t="s">
        <v>48312</v>
      </c>
      <c r="U4603" t="s">
        <v>52580</v>
      </c>
      <c r="W4603" t="s">
        <v>44292</v>
      </c>
      <c r="X4603" t="s">
        <v>46573</v>
      </c>
    </row>
    <row r="4604" spans="1:24">
      <c r="A4604">
        <f>HYPERLINK("https://www.philgeps.gov.ph/GEPSNONPILOT/Tender/SplashBidNoticeAbstractUI.aspx?menuIndex=3&amp;refID=7064313&amp;Result=3","7064313")</f>
        <v>0</v>
      </c>
      <c r="B4604" t="s">
        <v>1574</v>
      </c>
      <c r="C4604" t="s">
        <v>7938</v>
      </c>
      <c r="D4604" t="s">
        <v>18830</v>
      </c>
      <c r="E4604" t="s">
        <v>23030</v>
      </c>
      <c r="F4604" t="s">
        <v>32664</v>
      </c>
      <c r="G4604" t="s">
        <v>32672</v>
      </c>
      <c r="H4604" t="s">
        <v>32683</v>
      </c>
      <c r="I4604" t="s">
        <v>10627</v>
      </c>
      <c r="J4604" t="s">
        <v>32898</v>
      </c>
      <c r="K4604" t="s">
        <v>42321</v>
      </c>
      <c r="M4604" t="s">
        <v>44249</v>
      </c>
      <c r="N4604" t="s">
        <v>46569</v>
      </c>
      <c r="O4604" t="s">
        <v>46570</v>
      </c>
      <c r="P4604">
        <v>0</v>
      </c>
      <c r="Q4604">
        <v>0</v>
      </c>
      <c r="R4604" t="s">
        <v>46572</v>
      </c>
      <c r="S4604" t="s">
        <v>46689</v>
      </c>
      <c r="T4604" t="s">
        <v>48220</v>
      </c>
      <c r="U4604" t="s">
        <v>52581</v>
      </c>
      <c r="V4604" t="s">
        <v>62072</v>
      </c>
      <c r="W4604" t="s">
        <v>44249</v>
      </c>
      <c r="X4604" t="s">
        <v>46573</v>
      </c>
    </row>
    <row r="4605" spans="1:24">
      <c r="A4605">
        <f>HYPERLINK("https://www.philgeps.gov.ph/GEPSNONPILOT/Tender/SplashBidNoticeAbstractUI.aspx?menuIndex=3&amp;refID=7064260&amp;Result=3","7064260")</f>
        <v>0</v>
      </c>
      <c r="B4605" t="s">
        <v>1067</v>
      </c>
      <c r="C4605" t="s">
        <v>4590</v>
      </c>
      <c r="D4605" t="s">
        <v>18832</v>
      </c>
      <c r="E4605" t="s">
        <v>21969</v>
      </c>
      <c r="F4605" t="s">
        <v>32664</v>
      </c>
      <c r="G4605" t="s">
        <v>32675</v>
      </c>
      <c r="H4605" t="s">
        <v>12635</v>
      </c>
      <c r="I4605" t="s">
        <v>6168</v>
      </c>
      <c r="J4605" t="s">
        <v>35783</v>
      </c>
      <c r="K4605" t="s">
        <v>42309</v>
      </c>
      <c r="M4605" t="s">
        <v>43685</v>
      </c>
      <c r="N4605" t="s">
        <v>46569</v>
      </c>
      <c r="O4605" t="s">
        <v>46570</v>
      </c>
      <c r="P4605">
        <v>0</v>
      </c>
      <c r="Q4605">
        <v>0</v>
      </c>
      <c r="R4605" t="s">
        <v>46572</v>
      </c>
      <c r="S4605" t="s">
        <v>46689</v>
      </c>
      <c r="T4605" t="s">
        <v>48244</v>
      </c>
      <c r="U4605" t="s">
        <v>52582</v>
      </c>
      <c r="W4605" t="s">
        <v>43685</v>
      </c>
      <c r="X4605" t="s">
        <v>46573</v>
      </c>
    </row>
    <row r="4606" spans="1:24">
      <c r="A4606">
        <f>HYPERLINK("https://www.philgeps.gov.ph/GEPSNONPILOT/Tender/SplashBidNoticeAbstractUI.aspx?menuIndex=3&amp;refID=7064311&amp;Result=3","7064311")</f>
        <v>0</v>
      </c>
      <c r="B4606" t="s">
        <v>1612</v>
      </c>
      <c r="C4606" t="s">
        <v>7939</v>
      </c>
      <c r="D4606" t="s">
        <v>18821</v>
      </c>
      <c r="E4606" t="s">
        <v>23031</v>
      </c>
      <c r="F4606" t="s">
        <v>32664</v>
      </c>
      <c r="G4606" t="s">
        <v>32672</v>
      </c>
      <c r="H4606" t="s">
        <v>12635</v>
      </c>
      <c r="I4606" t="s">
        <v>6628</v>
      </c>
      <c r="J4606" t="s">
        <v>35124</v>
      </c>
      <c r="K4606" t="s">
        <v>42281</v>
      </c>
      <c r="M4606" t="s">
        <v>44291</v>
      </c>
      <c r="N4606" t="s">
        <v>46569</v>
      </c>
      <c r="O4606" t="s">
        <v>46570</v>
      </c>
      <c r="P4606">
        <v>0</v>
      </c>
      <c r="Q4606">
        <v>1</v>
      </c>
      <c r="R4606" t="s">
        <v>46572</v>
      </c>
      <c r="S4606" t="s">
        <v>46689</v>
      </c>
      <c r="T4606" t="s">
        <v>48285</v>
      </c>
      <c r="U4606" t="s">
        <v>52583</v>
      </c>
      <c r="W4606" t="s">
        <v>44291</v>
      </c>
      <c r="X4606" t="s">
        <v>46573</v>
      </c>
    </row>
    <row r="4607" spans="1:24">
      <c r="A4607">
        <f>HYPERLINK("https://www.philgeps.gov.ph/GEPSNONPILOT/Tender/SplashBidNoticeAbstractUI.aspx?menuIndex=3&amp;refID=7064309&amp;Result=3","7064309")</f>
        <v>0</v>
      </c>
      <c r="B4607" t="s">
        <v>1615</v>
      </c>
      <c r="C4607" t="s">
        <v>7940</v>
      </c>
      <c r="D4607" t="s">
        <v>18842</v>
      </c>
      <c r="E4607" t="s">
        <v>23032</v>
      </c>
      <c r="F4607" t="s">
        <v>32664</v>
      </c>
      <c r="G4607" t="s">
        <v>32672</v>
      </c>
      <c r="H4607" t="s">
        <v>32683</v>
      </c>
      <c r="I4607" t="s">
        <v>10627</v>
      </c>
      <c r="J4607" t="s">
        <v>35784</v>
      </c>
      <c r="K4607" t="s">
        <v>42290</v>
      </c>
      <c r="M4607" t="s">
        <v>44295</v>
      </c>
      <c r="N4607" t="s">
        <v>46569</v>
      </c>
      <c r="O4607" t="s">
        <v>46570</v>
      </c>
      <c r="P4607">
        <v>0</v>
      </c>
      <c r="Q4607">
        <v>0</v>
      </c>
      <c r="R4607" t="s">
        <v>46572</v>
      </c>
      <c r="S4607" t="s">
        <v>46689</v>
      </c>
      <c r="T4607" t="s">
        <v>48312</v>
      </c>
      <c r="U4607" t="s">
        <v>52584</v>
      </c>
      <c r="W4607" t="s">
        <v>44295</v>
      </c>
      <c r="X4607" t="s">
        <v>46573</v>
      </c>
    </row>
    <row r="4608" spans="1:24">
      <c r="A4608">
        <f>HYPERLINK("https://www.philgeps.gov.ph/GEPSNONPILOT/Tender/SplashBidNoticeAbstractUI.aspx?menuIndex=3&amp;refID=7064287&amp;Result=3","7064287")</f>
        <v>0</v>
      </c>
      <c r="B4608" t="s">
        <v>1574</v>
      </c>
      <c r="C4608" t="s">
        <v>7941</v>
      </c>
      <c r="D4608" t="s">
        <v>18830</v>
      </c>
      <c r="E4608" t="s">
        <v>23033</v>
      </c>
      <c r="F4608" t="s">
        <v>32664</v>
      </c>
      <c r="G4608" t="s">
        <v>32672</v>
      </c>
      <c r="H4608" t="s">
        <v>32683</v>
      </c>
      <c r="I4608" t="s">
        <v>10627</v>
      </c>
      <c r="J4608" t="s">
        <v>32865</v>
      </c>
      <c r="K4608" t="s">
        <v>42281</v>
      </c>
      <c r="M4608" t="s">
        <v>44249</v>
      </c>
      <c r="N4608" t="s">
        <v>46569</v>
      </c>
      <c r="O4608" t="s">
        <v>46570</v>
      </c>
      <c r="P4608">
        <v>0</v>
      </c>
      <c r="Q4608">
        <v>0</v>
      </c>
      <c r="R4608" t="s">
        <v>46572</v>
      </c>
      <c r="S4608" t="s">
        <v>46689</v>
      </c>
      <c r="T4608" t="s">
        <v>48220</v>
      </c>
      <c r="U4608" t="s">
        <v>52409</v>
      </c>
      <c r="V4608" t="s">
        <v>62072</v>
      </c>
      <c r="W4608" t="s">
        <v>44249</v>
      </c>
      <c r="X4608" t="s">
        <v>46573</v>
      </c>
    </row>
    <row r="4609" spans="1:24">
      <c r="A4609">
        <f>HYPERLINK("https://www.philgeps.gov.ph/GEPSNONPILOT/Tender/SplashBidNoticeAbstractUI.aspx?menuIndex=3&amp;refID=7064308&amp;Result=3","7064308")</f>
        <v>0</v>
      </c>
      <c r="B4609" t="s">
        <v>1574</v>
      </c>
      <c r="C4609" t="s">
        <v>7942</v>
      </c>
      <c r="D4609" t="s">
        <v>18830</v>
      </c>
      <c r="E4609" t="s">
        <v>23034</v>
      </c>
      <c r="F4609" t="s">
        <v>32664</v>
      </c>
      <c r="G4609" t="s">
        <v>32672</v>
      </c>
      <c r="H4609" t="s">
        <v>32683</v>
      </c>
      <c r="I4609" t="s">
        <v>10627</v>
      </c>
      <c r="J4609" t="s">
        <v>32853</v>
      </c>
      <c r="K4609" t="s">
        <v>42281</v>
      </c>
      <c r="M4609" t="s">
        <v>44249</v>
      </c>
      <c r="N4609" t="s">
        <v>46569</v>
      </c>
      <c r="O4609" t="s">
        <v>46570</v>
      </c>
      <c r="P4609">
        <v>0</v>
      </c>
      <c r="Q4609">
        <v>0</v>
      </c>
      <c r="R4609" t="s">
        <v>46572</v>
      </c>
      <c r="S4609" t="s">
        <v>46689</v>
      </c>
      <c r="T4609" t="s">
        <v>48220</v>
      </c>
      <c r="U4609" t="s">
        <v>52585</v>
      </c>
      <c r="V4609" t="s">
        <v>62072</v>
      </c>
      <c r="W4609" t="s">
        <v>44249</v>
      </c>
      <c r="X4609" t="s">
        <v>46573</v>
      </c>
    </row>
    <row r="4610" spans="1:24">
      <c r="A4610">
        <f>HYPERLINK("https://www.philgeps.gov.ph/GEPSNONPILOT/Tender/SplashBidNoticeAbstractUI.aspx?menuIndex=3&amp;refID=7064307&amp;Result=3","7064307")</f>
        <v>0</v>
      </c>
      <c r="B4610" t="s">
        <v>1618</v>
      </c>
      <c r="C4610" t="s">
        <v>7943</v>
      </c>
      <c r="D4610" t="s">
        <v>18784</v>
      </c>
      <c r="E4610" t="s">
        <v>23035</v>
      </c>
      <c r="F4610" t="s">
        <v>32664</v>
      </c>
      <c r="G4610" t="s">
        <v>32671</v>
      </c>
      <c r="H4610" t="s">
        <v>12635</v>
      </c>
      <c r="I4610" t="s">
        <v>6168</v>
      </c>
      <c r="J4610" t="s">
        <v>35785</v>
      </c>
      <c r="K4610" t="s">
        <v>42283</v>
      </c>
      <c r="M4610" t="s">
        <v>44298</v>
      </c>
      <c r="N4610" t="s">
        <v>46569</v>
      </c>
      <c r="O4610" t="s">
        <v>46570</v>
      </c>
      <c r="P4610">
        <v>0</v>
      </c>
      <c r="Q4610">
        <v>5</v>
      </c>
      <c r="R4610" t="s">
        <v>46572</v>
      </c>
      <c r="S4610" t="s">
        <v>46689</v>
      </c>
      <c r="T4610" t="s">
        <v>48520</v>
      </c>
      <c r="U4610" t="s">
        <v>52586</v>
      </c>
      <c r="W4610" t="s">
        <v>44298</v>
      </c>
      <c r="X4610" t="s">
        <v>46573</v>
      </c>
    </row>
    <row r="4611" spans="1:24">
      <c r="A4611">
        <f>HYPERLINK("https://www.philgeps.gov.ph/GEPSNONPILOT/Tender/SplashBidNoticeAbstractUI.aspx?menuIndex=3&amp;refID=7064285&amp;Result=3","7064285")</f>
        <v>0</v>
      </c>
      <c r="B4611" t="s">
        <v>1605</v>
      </c>
      <c r="C4611" t="s">
        <v>7944</v>
      </c>
      <c r="D4611" t="s">
        <v>18818</v>
      </c>
      <c r="E4611" t="s">
        <v>23036</v>
      </c>
      <c r="F4611" t="s">
        <v>32664</v>
      </c>
      <c r="G4611" t="s">
        <v>32672</v>
      </c>
      <c r="H4611" t="s">
        <v>32683</v>
      </c>
      <c r="I4611" t="s">
        <v>10627</v>
      </c>
      <c r="J4611" t="s">
        <v>35786</v>
      </c>
      <c r="K4611" t="s">
        <v>42431</v>
      </c>
      <c r="M4611" t="s">
        <v>44284</v>
      </c>
      <c r="N4611" t="s">
        <v>46569</v>
      </c>
      <c r="O4611" t="s">
        <v>46570</v>
      </c>
      <c r="P4611">
        <v>0</v>
      </c>
      <c r="Q4611">
        <v>0</v>
      </c>
      <c r="R4611" t="s">
        <v>46572</v>
      </c>
      <c r="S4611" t="s">
        <v>46689</v>
      </c>
      <c r="T4611" t="s">
        <v>48273</v>
      </c>
      <c r="U4611" t="s">
        <v>52527</v>
      </c>
      <c r="W4611" t="s">
        <v>44284</v>
      </c>
      <c r="X4611" t="s">
        <v>46573</v>
      </c>
    </row>
    <row r="4612" spans="1:24">
      <c r="A4612">
        <f>HYPERLINK("https://www.philgeps.gov.ph/GEPSNONPILOT/Tender/SplashBidNoticeAbstractUI.aspx?menuIndex=3&amp;refID=7064304&amp;Result=3","7064304")</f>
        <v>0</v>
      </c>
      <c r="B4612" t="s">
        <v>871</v>
      </c>
      <c r="C4612" t="s">
        <v>7945</v>
      </c>
      <c r="D4612" t="s">
        <v>18784</v>
      </c>
      <c r="E4612" t="s">
        <v>23037</v>
      </c>
      <c r="F4612" t="s">
        <v>32664</v>
      </c>
      <c r="G4612" t="s">
        <v>32671</v>
      </c>
      <c r="H4612" t="s">
        <v>12635</v>
      </c>
      <c r="I4612" t="s">
        <v>10590</v>
      </c>
      <c r="J4612" t="s">
        <v>33688</v>
      </c>
      <c r="K4612" t="s">
        <v>42303</v>
      </c>
      <c r="M4612" t="s">
        <v>43471</v>
      </c>
      <c r="N4612" t="s">
        <v>46569</v>
      </c>
      <c r="O4612" t="s">
        <v>46570</v>
      </c>
      <c r="P4612">
        <v>0</v>
      </c>
      <c r="Q4612">
        <v>4</v>
      </c>
      <c r="R4612" t="s">
        <v>46572</v>
      </c>
      <c r="S4612" t="s">
        <v>46689</v>
      </c>
      <c r="T4612" t="s">
        <v>48256</v>
      </c>
      <c r="U4612" t="s">
        <v>52578</v>
      </c>
      <c r="V4612" t="s">
        <v>62092</v>
      </c>
      <c r="W4612" t="s">
        <v>43471</v>
      </c>
      <c r="X4612" t="s">
        <v>46573</v>
      </c>
    </row>
    <row r="4613" spans="1:24">
      <c r="A4613">
        <f>HYPERLINK("https://www.philgeps.gov.ph/GEPSNONPILOT/Tender/SplashBidNoticeAbstractUI.aspx?menuIndex=3&amp;refID=7064310&amp;Result=3","7064310")</f>
        <v>0</v>
      </c>
      <c r="B4613" t="s">
        <v>1619</v>
      </c>
      <c r="C4613" t="s">
        <v>7946</v>
      </c>
      <c r="D4613" t="s">
        <v>18799</v>
      </c>
      <c r="E4613" t="s">
        <v>23038</v>
      </c>
      <c r="F4613" t="s">
        <v>32664</v>
      </c>
      <c r="G4613" t="s">
        <v>32672</v>
      </c>
      <c r="H4613" t="s">
        <v>12635</v>
      </c>
      <c r="I4613" t="s">
        <v>4439</v>
      </c>
      <c r="J4613" t="s">
        <v>35787</v>
      </c>
      <c r="K4613" t="s">
        <v>42297</v>
      </c>
      <c r="M4613" t="s">
        <v>44299</v>
      </c>
      <c r="N4613" t="s">
        <v>46569</v>
      </c>
      <c r="O4613" t="s">
        <v>46570</v>
      </c>
      <c r="P4613">
        <v>0</v>
      </c>
      <c r="Q4613">
        <v>0</v>
      </c>
      <c r="R4613" t="s">
        <v>46572</v>
      </c>
      <c r="S4613" t="s">
        <v>46689</v>
      </c>
      <c r="T4613" t="s">
        <v>48312</v>
      </c>
      <c r="U4613" t="s">
        <v>52587</v>
      </c>
      <c r="W4613" t="s">
        <v>44299</v>
      </c>
      <c r="X4613" t="s">
        <v>46573</v>
      </c>
    </row>
    <row r="4614" spans="1:24">
      <c r="A4614">
        <f>HYPERLINK("https://www.philgeps.gov.ph/GEPSNONPILOT/Tender/SplashBidNoticeAbstractUI.aspx?menuIndex=3&amp;refID=7064280&amp;Result=3","7064280")</f>
        <v>0</v>
      </c>
      <c r="B4614" t="s">
        <v>1574</v>
      </c>
      <c r="C4614" t="s">
        <v>7947</v>
      </c>
      <c r="D4614" t="s">
        <v>18830</v>
      </c>
      <c r="E4614" t="s">
        <v>23039</v>
      </c>
      <c r="F4614" t="s">
        <v>32664</v>
      </c>
      <c r="G4614" t="s">
        <v>32672</v>
      </c>
      <c r="H4614" t="s">
        <v>32683</v>
      </c>
      <c r="I4614" t="s">
        <v>10627</v>
      </c>
      <c r="J4614" t="s">
        <v>32859</v>
      </c>
      <c r="K4614" t="s">
        <v>42427</v>
      </c>
      <c r="M4614" t="s">
        <v>44249</v>
      </c>
      <c r="N4614" t="s">
        <v>46569</v>
      </c>
      <c r="O4614" t="s">
        <v>46570</v>
      </c>
      <c r="P4614">
        <v>0</v>
      </c>
      <c r="Q4614">
        <v>0</v>
      </c>
      <c r="R4614" t="s">
        <v>46572</v>
      </c>
      <c r="S4614" t="s">
        <v>46689</v>
      </c>
      <c r="T4614" t="s">
        <v>48220</v>
      </c>
      <c r="U4614" t="s">
        <v>52561</v>
      </c>
      <c r="V4614" t="s">
        <v>62072</v>
      </c>
      <c r="W4614" t="s">
        <v>44249</v>
      </c>
      <c r="X4614" t="s">
        <v>46573</v>
      </c>
    </row>
    <row r="4615" spans="1:24">
      <c r="A4615">
        <f>HYPERLINK("https://www.philgeps.gov.ph/GEPSNONPILOT/Tender/SplashBidNoticeAbstractUI.aspx?menuIndex=3&amp;refID=7064312&amp;Result=3","7064312")</f>
        <v>0</v>
      </c>
      <c r="B4615" t="s">
        <v>1617</v>
      </c>
      <c r="C4615" t="s">
        <v>7948</v>
      </c>
      <c r="D4615" t="s">
        <v>18799</v>
      </c>
      <c r="E4615" t="s">
        <v>23040</v>
      </c>
      <c r="F4615" t="s">
        <v>32664</v>
      </c>
      <c r="G4615" t="s">
        <v>32671</v>
      </c>
      <c r="H4615" t="s">
        <v>12635</v>
      </c>
      <c r="I4615" t="s">
        <v>5589</v>
      </c>
      <c r="J4615" t="s">
        <v>35788</v>
      </c>
      <c r="K4615" t="s">
        <v>42284</v>
      </c>
      <c r="M4615" t="s">
        <v>44297</v>
      </c>
      <c r="N4615" t="s">
        <v>46569</v>
      </c>
      <c r="O4615" t="s">
        <v>46570</v>
      </c>
      <c r="P4615">
        <v>0</v>
      </c>
      <c r="Q4615">
        <v>2</v>
      </c>
      <c r="R4615" t="s">
        <v>46572</v>
      </c>
      <c r="S4615" t="s">
        <v>46689</v>
      </c>
      <c r="T4615" t="s">
        <v>48251</v>
      </c>
      <c r="U4615" t="s">
        <v>52588</v>
      </c>
      <c r="W4615" t="s">
        <v>44297</v>
      </c>
      <c r="X4615" t="s">
        <v>46573</v>
      </c>
    </row>
    <row r="4616" spans="1:24">
      <c r="A4616">
        <f>HYPERLINK("https://www.philgeps.gov.ph/GEPSNONPILOT/Tender/SplashBidNoticeAbstractUI.aspx?menuIndex=3&amp;refID=7064306&amp;Result=3","7064306")</f>
        <v>0</v>
      </c>
      <c r="B4616" t="s">
        <v>1620</v>
      </c>
      <c r="C4616" t="s">
        <v>7949</v>
      </c>
      <c r="D4616" t="s">
        <v>18784</v>
      </c>
      <c r="E4616" t="s">
        <v>23041</v>
      </c>
      <c r="F4616" t="s">
        <v>32664</v>
      </c>
      <c r="G4616" t="s">
        <v>32672</v>
      </c>
      <c r="H4616" t="s">
        <v>32683</v>
      </c>
      <c r="I4616" t="s">
        <v>10627</v>
      </c>
      <c r="J4616" t="s">
        <v>35789</v>
      </c>
      <c r="K4616" t="s">
        <v>42397</v>
      </c>
      <c r="M4616" t="s">
        <v>44300</v>
      </c>
      <c r="N4616" t="s">
        <v>46569</v>
      </c>
      <c r="O4616" t="s">
        <v>46570</v>
      </c>
      <c r="P4616">
        <v>0</v>
      </c>
      <c r="Q4616">
        <v>7</v>
      </c>
      <c r="R4616" t="s">
        <v>46572</v>
      </c>
      <c r="S4616" t="s">
        <v>46689</v>
      </c>
      <c r="T4616" t="s">
        <v>48222</v>
      </c>
      <c r="U4616" t="s">
        <v>52589</v>
      </c>
      <c r="W4616" t="s">
        <v>44300</v>
      </c>
      <c r="X4616" t="s">
        <v>46573</v>
      </c>
    </row>
    <row r="4617" spans="1:24">
      <c r="A4617">
        <f>HYPERLINK("https://www.philgeps.gov.ph/GEPSNONPILOT/Tender/SplashBidNoticeAbstractUI.aspx?menuIndex=3&amp;refID=7064305&amp;Result=3","7064305")</f>
        <v>0</v>
      </c>
      <c r="B4617" t="s">
        <v>988</v>
      </c>
      <c r="C4617" t="s">
        <v>7950</v>
      </c>
      <c r="D4617" t="s">
        <v>18784</v>
      </c>
      <c r="E4617" t="s">
        <v>23042</v>
      </c>
      <c r="F4617" t="s">
        <v>32664</v>
      </c>
      <c r="G4617" t="s">
        <v>32671</v>
      </c>
      <c r="H4617" t="s">
        <v>12635</v>
      </c>
      <c r="I4617" t="s">
        <v>32766</v>
      </c>
      <c r="J4617" t="s">
        <v>32974</v>
      </c>
      <c r="K4617" t="s">
        <v>42289</v>
      </c>
      <c r="M4617" t="s">
        <v>44301</v>
      </c>
      <c r="N4617" t="s">
        <v>46569</v>
      </c>
      <c r="O4617" t="s">
        <v>46570</v>
      </c>
      <c r="P4617">
        <v>0</v>
      </c>
      <c r="Q4617">
        <v>1</v>
      </c>
      <c r="R4617" t="s">
        <v>46572</v>
      </c>
      <c r="S4617" t="s">
        <v>46689</v>
      </c>
      <c r="T4617" t="s">
        <v>48221</v>
      </c>
      <c r="U4617" t="s">
        <v>52590</v>
      </c>
      <c r="W4617" t="s">
        <v>44301</v>
      </c>
      <c r="X4617" t="s">
        <v>46573</v>
      </c>
    </row>
    <row r="4618" spans="1:24">
      <c r="A4618">
        <f>HYPERLINK("https://www.philgeps.gov.ph/GEPSNONPILOT/Tender/SplashBidNoticeAbstractUI.aspx?menuIndex=3&amp;refID=7064297&amp;Result=3","7064297")</f>
        <v>0</v>
      </c>
      <c r="B4618" t="s">
        <v>1619</v>
      </c>
      <c r="C4618" t="s">
        <v>7951</v>
      </c>
      <c r="D4618" t="s">
        <v>18799</v>
      </c>
      <c r="E4618" t="s">
        <v>23043</v>
      </c>
      <c r="F4618" t="s">
        <v>32664</v>
      </c>
      <c r="G4618" t="s">
        <v>32672</v>
      </c>
      <c r="H4618" t="s">
        <v>12635</v>
      </c>
      <c r="I4618" t="s">
        <v>4439</v>
      </c>
      <c r="J4618" t="s">
        <v>35790</v>
      </c>
      <c r="K4618" t="s">
        <v>42297</v>
      </c>
      <c r="M4618" t="s">
        <v>44302</v>
      </c>
      <c r="N4618" t="s">
        <v>46569</v>
      </c>
      <c r="O4618" t="s">
        <v>46570</v>
      </c>
      <c r="P4618">
        <v>0</v>
      </c>
      <c r="Q4618">
        <v>0</v>
      </c>
      <c r="R4618" t="s">
        <v>46572</v>
      </c>
      <c r="S4618" t="s">
        <v>46689</v>
      </c>
      <c r="T4618" t="s">
        <v>48521</v>
      </c>
      <c r="U4618" t="s">
        <v>52591</v>
      </c>
      <c r="W4618" t="s">
        <v>44302</v>
      </c>
      <c r="X4618" t="s">
        <v>46573</v>
      </c>
    </row>
    <row r="4619" spans="1:24">
      <c r="A4619">
        <f>HYPERLINK("https://www.philgeps.gov.ph/GEPSNONPILOT/Tender/SplashBidNoticeAbstractUI.aspx?menuIndex=3&amp;refID=7064302&amp;Result=3","7064302")</f>
        <v>0</v>
      </c>
      <c r="B4619" t="s">
        <v>1621</v>
      </c>
      <c r="C4619" t="s">
        <v>7952</v>
      </c>
      <c r="D4619" t="s">
        <v>18810</v>
      </c>
      <c r="E4619" t="s">
        <v>23044</v>
      </c>
      <c r="F4619" t="s">
        <v>32664</v>
      </c>
      <c r="G4619" t="s">
        <v>32672</v>
      </c>
      <c r="H4619" t="s">
        <v>12635</v>
      </c>
      <c r="I4619" t="s">
        <v>32696</v>
      </c>
      <c r="J4619" t="s">
        <v>35791</v>
      </c>
      <c r="K4619" t="s">
        <v>42297</v>
      </c>
      <c r="M4619" t="s">
        <v>44303</v>
      </c>
      <c r="N4619" t="s">
        <v>46569</v>
      </c>
      <c r="O4619" t="s">
        <v>46570</v>
      </c>
      <c r="P4619">
        <v>0</v>
      </c>
      <c r="Q4619">
        <v>1</v>
      </c>
      <c r="R4619" t="s">
        <v>46572</v>
      </c>
      <c r="S4619" t="s">
        <v>46689</v>
      </c>
      <c r="T4619" t="s">
        <v>48248</v>
      </c>
      <c r="U4619" t="s">
        <v>52592</v>
      </c>
      <c r="V4619" t="s">
        <v>62093</v>
      </c>
      <c r="W4619" t="s">
        <v>44303</v>
      </c>
      <c r="X4619" t="s">
        <v>46573</v>
      </c>
    </row>
    <row r="4620" spans="1:24">
      <c r="A4620">
        <f>HYPERLINK("https://www.philgeps.gov.ph/GEPSNONPILOT/Tender/SplashBidNoticeAbstractUI.aspx?menuIndex=3&amp;refID=7064303&amp;Result=3","7064303")</f>
        <v>0</v>
      </c>
      <c r="B4620" t="s">
        <v>1620</v>
      </c>
      <c r="C4620" t="s">
        <v>7953</v>
      </c>
      <c r="D4620" t="s">
        <v>18784</v>
      </c>
      <c r="E4620" t="s">
        <v>23045</v>
      </c>
      <c r="F4620" t="s">
        <v>32664</v>
      </c>
      <c r="G4620" t="s">
        <v>32672</v>
      </c>
      <c r="H4620" t="s">
        <v>32683</v>
      </c>
      <c r="I4620" t="s">
        <v>10627</v>
      </c>
      <c r="J4620" t="s">
        <v>35792</v>
      </c>
      <c r="K4620" t="s">
        <v>42308</v>
      </c>
      <c r="M4620" t="s">
        <v>44300</v>
      </c>
      <c r="N4620" t="s">
        <v>46569</v>
      </c>
      <c r="O4620" t="s">
        <v>46570</v>
      </c>
      <c r="P4620">
        <v>0</v>
      </c>
      <c r="Q4620">
        <v>2</v>
      </c>
      <c r="R4620" t="s">
        <v>46572</v>
      </c>
      <c r="S4620" t="s">
        <v>46689</v>
      </c>
      <c r="T4620" t="s">
        <v>48222</v>
      </c>
      <c r="U4620" t="s">
        <v>52593</v>
      </c>
      <c r="W4620" t="s">
        <v>44300</v>
      </c>
      <c r="X4620" t="s">
        <v>46573</v>
      </c>
    </row>
    <row r="4621" spans="1:24">
      <c r="A4621">
        <f>HYPERLINK("https://www.philgeps.gov.ph/GEPSNONPILOT/Tender/SplashBidNoticeAbstractUI.aspx?menuIndex=3&amp;refID=7064259&amp;Result=3","7064259")</f>
        <v>0</v>
      </c>
      <c r="B4621" t="s">
        <v>1596</v>
      </c>
      <c r="C4621" t="s">
        <v>7954</v>
      </c>
      <c r="D4621" t="s">
        <v>18794</v>
      </c>
      <c r="E4621" t="s">
        <v>23046</v>
      </c>
      <c r="F4621" t="s">
        <v>32664</v>
      </c>
      <c r="G4621" t="s">
        <v>32672</v>
      </c>
      <c r="H4621" t="s">
        <v>12635</v>
      </c>
      <c r="I4621" t="s">
        <v>4439</v>
      </c>
      <c r="J4621" t="s">
        <v>35793</v>
      </c>
      <c r="K4621" t="s">
        <v>42289</v>
      </c>
      <c r="M4621" t="s">
        <v>44273</v>
      </c>
      <c r="N4621" t="s">
        <v>46569</v>
      </c>
      <c r="O4621" t="s">
        <v>46570</v>
      </c>
      <c r="P4621">
        <v>0</v>
      </c>
      <c r="Q4621">
        <v>0</v>
      </c>
      <c r="R4621" t="s">
        <v>46572</v>
      </c>
      <c r="S4621" t="s">
        <v>46689</v>
      </c>
      <c r="T4621" t="s">
        <v>48516</v>
      </c>
      <c r="U4621" t="s">
        <v>52481</v>
      </c>
      <c r="W4621" t="s">
        <v>44273</v>
      </c>
      <c r="X4621" t="s">
        <v>46573</v>
      </c>
    </row>
    <row r="4622" spans="1:24">
      <c r="A4622">
        <f>HYPERLINK("https://www.philgeps.gov.ph/GEPSNONPILOT/Tender/SplashBidNoticeAbstractUI.aspx?menuIndex=3&amp;refID=7064299&amp;Result=3","7064299")</f>
        <v>0</v>
      </c>
      <c r="B4622" t="s">
        <v>584</v>
      </c>
      <c r="C4622" t="s">
        <v>7955</v>
      </c>
      <c r="D4622" t="s">
        <v>18820</v>
      </c>
      <c r="E4622" t="s">
        <v>19815</v>
      </c>
      <c r="F4622" t="s">
        <v>32664</v>
      </c>
      <c r="G4622" t="s">
        <v>32672</v>
      </c>
      <c r="H4622" t="s">
        <v>32683</v>
      </c>
      <c r="I4622" t="s">
        <v>10627</v>
      </c>
      <c r="J4622" t="s">
        <v>32984</v>
      </c>
      <c r="K4622" t="s">
        <v>42325</v>
      </c>
      <c r="M4622" t="s">
        <v>43164</v>
      </c>
      <c r="N4622" t="s">
        <v>46569</v>
      </c>
      <c r="O4622" t="s">
        <v>46570</v>
      </c>
      <c r="P4622">
        <v>0</v>
      </c>
      <c r="Q4622">
        <v>0</v>
      </c>
      <c r="R4622" t="s">
        <v>46572</v>
      </c>
      <c r="S4622" t="s">
        <v>46689</v>
      </c>
      <c r="T4622" t="s">
        <v>48419</v>
      </c>
      <c r="U4622" t="s">
        <v>52594</v>
      </c>
      <c r="V4622" t="s">
        <v>61767</v>
      </c>
      <c r="W4622" t="s">
        <v>43164</v>
      </c>
      <c r="X4622" t="s">
        <v>46573</v>
      </c>
    </row>
    <row r="4623" spans="1:24">
      <c r="A4623">
        <f>HYPERLINK("https://www.philgeps.gov.ph/GEPSNONPILOT/Tender/SplashBidNoticeAbstractUI.aspx?menuIndex=3&amp;refID=7064298&amp;Result=3","7064298")</f>
        <v>0</v>
      </c>
      <c r="B4623" t="s">
        <v>1615</v>
      </c>
      <c r="C4623" t="s">
        <v>7956</v>
      </c>
      <c r="D4623" t="s">
        <v>18842</v>
      </c>
      <c r="E4623" t="s">
        <v>23047</v>
      </c>
      <c r="F4623" t="s">
        <v>32664</v>
      </c>
      <c r="G4623" t="s">
        <v>32672</v>
      </c>
      <c r="H4623" t="s">
        <v>32683</v>
      </c>
      <c r="I4623" t="s">
        <v>10627</v>
      </c>
      <c r="J4623" t="s">
        <v>35776</v>
      </c>
      <c r="K4623" t="s">
        <v>42290</v>
      </c>
      <c r="M4623" t="s">
        <v>44295</v>
      </c>
      <c r="N4623" t="s">
        <v>46569</v>
      </c>
      <c r="O4623" t="s">
        <v>46570</v>
      </c>
      <c r="P4623">
        <v>0</v>
      </c>
      <c r="Q4623">
        <v>0</v>
      </c>
      <c r="R4623" t="s">
        <v>46572</v>
      </c>
      <c r="S4623" t="s">
        <v>46689</v>
      </c>
      <c r="T4623" t="s">
        <v>48312</v>
      </c>
      <c r="U4623" t="s">
        <v>52568</v>
      </c>
      <c r="W4623" t="s">
        <v>44295</v>
      </c>
      <c r="X4623" t="s">
        <v>46573</v>
      </c>
    </row>
    <row r="4624" spans="1:24">
      <c r="A4624">
        <f>HYPERLINK("https://www.philgeps.gov.ph/GEPSNONPILOT/Tender/SplashBidNoticeAbstractUI.aspx?menuIndex=3&amp;refID=7064296&amp;Result=3","7064296")</f>
        <v>0</v>
      </c>
      <c r="B4624" t="s">
        <v>881</v>
      </c>
      <c r="C4624" t="s">
        <v>4254</v>
      </c>
      <c r="D4624" t="s">
        <v>18836</v>
      </c>
      <c r="E4624" t="s">
        <v>23048</v>
      </c>
      <c r="F4624" t="s">
        <v>32664</v>
      </c>
      <c r="G4624" t="s">
        <v>32671</v>
      </c>
      <c r="H4624" t="s">
        <v>12635</v>
      </c>
      <c r="I4624" t="s">
        <v>6168</v>
      </c>
      <c r="J4624" t="s">
        <v>35794</v>
      </c>
      <c r="K4624" t="s">
        <v>42284</v>
      </c>
      <c r="M4624" t="s">
        <v>43481</v>
      </c>
      <c r="N4624" t="s">
        <v>46569</v>
      </c>
      <c r="O4624" t="s">
        <v>46570</v>
      </c>
      <c r="P4624">
        <v>0</v>
      </c>
      <c r="Q4624">
        <v>0</v>
      </c>
      <c r="R4624" t="s">
        <v>46572</v>
      </c>
      <c r="S4624" t="s">
        <v>46689</v>
      </c>
      <c r="T4624" t="s">
        <v>48244</v>
      </c>
      <c r="U4624" t="s">
        <v>51596</v>
      </c>
      <c r="W4624" t="s">
        <v>43481</v>
      </c>
      <c r="X4624" t="s">
        <v>46573</v>
      </c>
    </row>
    <row r="4625" spans="1:24">
      <c r="A4625">
        <f>HYPERLINK("https://www.philgeps.gov.ph/GEPSNONPILOT/Tender/SplashBidNoticeAbstractUI.aspx?menuIndex=3&amp;refID=7064300&amp;Result=3","7064300")</f>
        <v>0</v>
      </c>
      <c r="B4625" t="s">
        <v>1574</v>
      </c>
      <c r="C4625" t="s">
        <v>7957</v>
      </c>
      <c r="D4625" t="s">
        <v>18830</v>
      </c>
      <c r="E4625" t="s">
        <v>23049</v>
      </c>
      <c r="F4625" t="s">
        <v>32664</v>
      </c>
      <c r="G4625" t="s">
        <v>32672</v>
      </c>
      <c r="H4625" t="s">
        <v>32683</v>
      </c>
      <c r="I4625" t="s">
        <v>10627</v>
      </c>
      <c r="J4625" t="s">
        <v>32859</v>
      </c>
      <c r="K4625" t="s">
        <v>42316</v>
      </c>
      <c r="M4625" t="s">
        <v>44249</v>
      </c>
      <c r="N4625" t="s">
        <v>46569</v>
      </c>
      <c r="O4625" t="s">
        <v>46570</v>
      </c>
      <c r="P4625">
        <v>0</v>
      </c>
      <c r="Q4625">
        <v>0</v>
      </c>
      <c r="R4625" t="s">
        <v>46572</v>
      </c>
      <c r="S4625" t="s">
        <v>46689</v>
      </c>
      <c r="T4625" t="s">
        <v>48220</v>
      </c>
      <c r="U4625" t="s">
        <v>52567</v>
      </c>
      <c r="V4625" t="s">
        <v>62072</v>
      </c>
      <c r="W4625" t="s">
        <v>44249</v>
      </c>
      <c r="X4625" t="s">
        <v>46573</v>
      </c>
    </row>
    <row r="4626" spans="1:24">
      <c r="A4626">
        <f>HYPERLINK("https://www.philgeps.gov.ph/GEPSNONPILOT/Tender/SplashBidNoticeAbstractUI.aspx?menuIndex=3&amp;refID=7064335&amp;Result=3","7064335")</f>
        <v>0</v>
      </c>
      <c r="B4626" t="s">
        <v>1574</v>
      </c>
      <c r="C4626" t="s">
        <v>7958</v>
      </c>
      <c r="D4626" t="s">
        <v>18830</v>
      </c>
      <c r="E4626" t="s">
        <v>23050</v>
      </c>
      <c r="F4626" t="s">
        <v>32664</v>
      </c>
      <c r="G4626" t="s">
        <v>32672</v>
      </c>
      <c r="H4626" t="s">
        <v>32683</v>
      </c>
      <c r="I4626" t="s">
        <v>10627</v>
      </c>
      <c r="J4626" t="s">
        <v>32984</v>
      </c>
      <c r="K4626" t="s">
        <v>42303</v>
      </c>
      <c r="M4626" t="s">
        <v>44249</v>
      </c>
      <c r="N4626" t="s">
        <v>46569</v>
      </c>
      <c r="O4626" t="s">
        <v>46570</v>
      </c>
      <c r="P4626">
        <v>0</v>
      </c>
      <c r="Q4626">
        <v>0</v>
      </c>
      <c r="R4626" t="s">
        <v>46572</v>
      </c>
      <c r="S4626" t="s">
        <v>46689</v>
      </c>
      <c r="T4626" t="s">
        <v>48220</v>
      </c>
      <c r="U4626" t="s">
        <v>52595</v>
      </c>
      <c r="V4626" t="s">
        <v>62072</v>
      </c>
      <c r="W4626" t="s">
        <v>44249</v>
      </c>
      <c r="X4626" t="s">
        <v>46573</v>
      </c>
    </row>
    <row r="4627" spans="1:24">
      <c r="A4627">
        <f>HYPERLINK("https://www.philgeps.gov.ph/GEPSNONPILOT/Tender/SplashBidNoticeAbstractUI.aspx?menuIndex=3&amp;refID=7064334&amp;Result=3","7064334")</f>
        <v>0</v>
      </c>
      <c r="B4627" t="s">
        <v>1574</v>
      </c>
      <c r="C4627" t="s">
        <v>7959</v>
      </c>
      <c r="D4627" t="s">
        <v>18830</v>
      </c>
      <c r="E4627" t="s">
        <v>23051</v>
      </c>
      <c r="F4627" t="s">
        <v>32664</v>
      </c>
      <c r="G4627" t="s">
        <v>32672</v>
      </c>
      <c r="H4627" t="s">
        <v>32683</v>
      </c>
      <c r="I4627" t="s">
        <v>10627</v>
      </c>
      <c r="J4627" t="s">
        <v>32984</v>
      </c>
      <c r="K4627" t="s">
        <v>42303</v>
      </c>
      <c r="M4627" t="s">
        <v>44249</v>
      </c>
      <c r="N4627" t="s">
        <v>46569</v>
      </c>
      <c r="O4627" t="s">
        <v>46570</v>
      </c>
      <c r="P4627">
        <v>0</v>
      </c>
      <c r="Q4627">
        <v>0</v>
      </c>
      <c r="R4627" t="s">
        <v>46572</v>
      </c>
      <c r="S4627" t="s">
        <v>46689</v>
      </c>
      <c r="T4627" t="s">
        <v>48220</v>
      </c>
      <c r="U4627" t="s">
        <v>52570</v>
      </c>
      <c r="V4627" t="s">
        <v>62072</v>
      </c>
      <c r="W4627" t="s">
        <v>44249</v>
      </c>
      <c r="X4627" t="s">
        <v>46573</v>
      </c>
    </row>
    <row r="4628" spans="1:24">
      <c r="A4628">
        <f>HYPERLINK("https://www.philgeps.gov.ph/GEPSNONPILOT/Tender/SplashBidNoticeAbstractUI.aspx?menuIndex=3&amp;refID=7064330&amp;Result=3","7064330")</f>
        <v>0</v>
      </c>
      <c r="B4628" t="s">
        <v>1612</v>
      </c>
      <c r="C4628" t="s">
        <v>7960</v>
      </c>
      <c r="D4628" t="s">
        <v>18821</v>
      </c>
      <c r="E4628" t="s">
        <v>23052</v>
      </c>
      <c r="F4628" t="s">
        <v>32664</v>
      </c>
      <c r="G4628" t="s">
        <v>32672</v>
      </c>
      <c r="H4628" t="s">
        <v>12635</v>
      </c>
      <c r="I4628" t="s">
        <v>5589</v>
      </c>
      <c r="J4628" t="s">
        <v>33128</v>
      </c>
      <c r="K4628" t="s">
        <v>42281</v>
      </c>
      <c r="M4628" t="s">
        <v>44291</v>
      </c>
      <c r="N4628" t="s">
        <v>46569</v>
      </c>
      <c r="O4628" t="s">
        <v>46570</v>
      </c>
      <c r="P4628">
        <v>0</v>
      </c>
      <c r="Q4628">
        <v>0</v>
      </c>
      <c r="R4628" t="s">
        <v>46572</v>
      </c>
      <c r="S4628" t="s">
        <v>46689</v>
      </c>
      <c r="T4628" t="s">
        <v>48285</v>
      </c>
      <c r="U4628" t="s">
        <v>52596</v>
      </c>
      <c r="W4628" t="s">
        <v>44291</v>
      </c>
      <c r="X4628" t="s">
        <v>46573</v>
      </c>
    </row>
    <row r="4629" spans="1:24">
      <c r="A4629">
        <f>HYPERLINK("https://www.philgeps.gov.ph/GEPSNONPILOT/Tender/SplashBidNoticeAbstractUI.aspx?menuIndex=3&amp;refID=7064329&amp;Result=3","7064329")</f>
        <v>0</v>
      </c>
      <c r="B4629" t="s">
        <v>1574</v>
      </c>
      <c r="C4629" t="s">
        <v>7961</v>
      </c>
      <c r="D4629" t="s">
        <v>18830</v>
      </c>
      <c r="E4629" t="s">
        <v>23053</v>
      </c>
      <c r="F4629" t="s">
        <v>32664</v>
      </c>
      <c r="G4629" t="s">
        <v>32672</v>
      </c>
      <c r="H4629" t="s">
        <v>32683</v>
      </c>
      <c r="I4629" t="s">
        <v>10627</v>
      </c>
      <c r="J4629" t="s">
        <v>32984</v>
      </c>
      <c r="K4629" t="s">
        <v>42432</v>
      </c>
      <c r="M4629" t="s">
        <v>44249</v>
      </c>
      <c r="N4629" t="s">
        <v>46569</v>
      </c>
      <c r="O4629" t="s">
        <v>46570</v>
      </c>
      <c r="P4629">
        <v>0</v>
      </c>
      <c r="Q4629">
        <v>0</v>
      </c>
      <c r="R4629" t="s">
        <v>46572</v>
      </c>
      <c r="S4629" t="s">
        <v>46689</v>
      </c>
      <c r="T4629" t="s">
        <v>48220</v>
      </c>
      <c r="U4629" t="s">
        <v>52597</v>
      </c>
      <c r="V4629" t="s">
        <v>62072</v>
      </c>
      <c r="W4629" t="s">
        <v>44249</v>
      </c>
      <c r="X4629" t="s">
        <v>46573</v>
      </c>
    </row>
    <row r="4630" spans="1:24">
      <c r="A4630">
        <f>HYPERLINK("https://www.philgeps.gov.ph/GEPSNONPILOT/Tender/SplashBidNoticeAbstractUI.aspx?menuIndex=3&amp;refID=7064332&amp;Result=3","7064332")</f>
        <v>0</v>
      </c>
      <c r="B4630" t="s">
        <v>1622</v>
      </c>
      <c r="C4630" t="s">
        <v>7962</v>
      </c>
      <c r="D4630" t="s">
        <v>18798</v>
      </c>
      <c r="E4630" t="s">
        <v>23054</v>
      </c>
      <c r="F4630" t="s">
        <v>32664</v>
      </c>
      <c r="G4630" t="s">
        <v>32672</v>
      </c>
      <c r="H4630" t="s">
        <v>32683</v>
      </c>
      <c r="I4630" t="s">
        <v>10627</v>
      </c>
      <c r="J4630" t="s">
        <v>35795</v>
      </c>
      <c r="K4630" t="s">
        <v>42297</v>
      </c>
      <c r="M4630" t="s">
        <v>44304</v>
      </c>
      <c r="N4630" t="s">
        <v>46569</v>
      </c>
      <c r="O4630" t="s">
        <v>46570</v>
      </c>
      <c r="P4630">
        <v>0</v>
      </c>
      <c r="Q4630">
        <v>0</v>
      </c>
      <c r="R4630" t="s">
        <v>46572</v>
      </c>
      <c r="S4630" t="s">
        <v>46689</v>
      </c>
      <c r="T4630" t="s">
        <v>48245</v>
      </c>
      <c r="U4630" t="s">
        <v>52598</v>
      </c>
      <c r="W4630" t="s">
        <v>63523</v>
      </c>
      <c r="X4630" t="s">
        <v>46573</v>
      </c>
    </row>
    <row r="4631" spans="1:24">
      <c r="A4631">
        <f>HYPERLINK("https://www.philgeps.gov.ph/GEPSNONPILOT/Tender/SplashBidNoticeAbstractUI.aspx?menuIndex=3&amp;refID=7064327&amp;Result=3","7064327")</f>
        <v>0</v>
      </c>
      <c r="B4631" t="s">
        <v>1622</v>
      </c>
      <c r="C4631" t="s">
        <v>7963</v>
      </c>
      <c r="D4631" t="s">
        <v>18798</v>
      </c>
      <c r="E4631" t="s">
        <v>23055</v>
      </c>
      <c r="F4631" t="s">
        <v>32664</v>
      </c>
      <c r="G4631" t="s">
        <v>32672</v>
      </c>
      <c r="H4631" t="s">
        <v>32683</v>
      </c>
      <c r="I4631" t="s">
        <v>10627</v>
      </c>
      <c r="J4631" t="s">
        <v>35796</v>
      </c>
      <c r="K4631" t="s">
        <v>42297</v>
      </c>
      <c r="M4631" t="s">
        <v>44304</v>
      </c>
      <c r="N4631" t="s">
        <v>46569</v>
      </c>
      <c r="O4631" t="s">
        <v>46570</v>
      </c>
      <c r="P4631">
        <v>0</v>
      </c>
      <c r="Q4631">
        <v>0</v>
      </c>
      <c r="R4631" t="s">
        <v>46572</v>
      </c>
      <c r="S4631" t="s">
        <v>46689</v>
      </c>
      <c r="T4631" t="s">
        <v>48245</v>
      </c>
      <c r="U4631" t="s">
        <v>52598</v>
      </c>
      <c r="W4631" t="s">
        <v>63523</v>
      </c>
      <c r="X4631" t="s">
        <v>46573</v>
      </c>
    </row>
    <row r="4632" spans="1:24">
      <c r="A4632">
        <f>HYPERLINK("https://www.philgeps.gov.ph/GEPSNONPILOT/Tender/SplashBidNoticeAbstractUI.aspx?menuIndex=3&amp;refID=7064326&amp;Result=3","7064326")</f>
        <v>0</v>
      </c>
      <c r="B4632" t="s">
        <v>1574</v>
      </c>
      <c r="C4632" t="s">
        <v>7964</v>
      </c>
      <c r="D4632" t="s">
        <v>18830</v>
      </c>
      <c r="E4632" t="s">
        <v>23056</v>
      </c>
      <c r="F4632" t="s">
        <v>32664</v>
      </c>
      <c r="G4632" t="s">
        <v>32672</v>
      </c>
      <c r="H4632" t="s">
        <v>32683</v>
      </c>
      <c r="I4632" t="s">
        <v>10627</v>
      </c>
      <c r="J4632" t="s">
        <v>35797</v>
      </c>
      <c r="K4632" t="s">
        <v>42281</v>
      </c>
      <c r="M4632" t="s">
        <v>44249</v>
      </c>
      <c r="N4632" t="s">
        <v>46569</v>
      </c>
      <c r="O4632" t="s">
        <v>46570</v>
      </c>
      <c r="P4632">
        <v>0</v>
      </c>
      <c r="Q4632">
        <v>0</v>
      </c>
      <c r="R4632" t="s">
        <v>46572</v>
      </c>
      <c r="S4632" t="s">
        <v>46689</v>
      </c>
      <c r="T4632" t="s">
        <v>48220</v>
      </c>
      <c r="U4632" t="s">
        <v>52599</v>
      </c>
      <c r="V4632" t="s">
        <v>62072</v>
      </c>
      <c r="W4632" t="s">
        <v>44249</v>
      </c>
      <c r="X4632" t="s">
        <v>46573</v>
      </c>
    </row>
    <row r="4633" spans="1:24">
      <c r="A4633">
        <f>HYPERLINK("https://www.philgeps.gov.ph/GEPSNONPILOT/Tender/SplashBidNoticeAbstractUI.aspx?menuIndex=3&amp;refID=7064325&amp;Result=3","7064325")</f>
        <v>0</v>
      </c>
      <c r="B4633" t="s">
        <v>1623</v>
      </c>
      <c r="C4633" t="s">
        <v>7965</v>
      </c>
      <c r="D4633" t="s">
        <v>18835</v>
      </c>
      <c r="E4633" t="s">
        <v>23057</v>
      </c>
      <c r="F4633" t="s">
        <v>32664</v>
      </c>
      <c r="G4633" t="s">
        <v>32674</v>
      </c>
      <c r="H4633" t="s">
        <v>12635</v>
      </c>
      <c r="I4633" t="s">
        <v>6628</v>
      </c>
      <c r="J4633" t="s">
        <v>32898</v>
      </c>
      <c r="K4633" t="s">
        <v>42281</v>
      </c>
      <c r="M4633" t="s">
        <v>44305</v>
      </c>
      <c r="N4633" t="s">
        <v>46569</v>
      </c>
      <c r="O4633" t="s">
        <v>46570</v>
      </c>
      <c r="P4633">
        <v>0</v>
      </c>
      <c r="Q4633">
        <v>2</v>
      </c>
      <c r="R4633" t="s">
        <v>46572</v>
      </c>
      <c r="S4633" t="s">
        <v>46689</v>
      </c>
      <c r="T4633" t="s">
        <v>48228</v>
      </c>
      <c r="U4633" t="s">
        <v>52600</v>
      </c>
      <c r="W4633" t="s">
        <v>44305</v>
      </c>
      <c r="X4633" t="s">
        <v>46573</v>
      </c>
    </row>
    <row r="4634" spans="1:24">
      <c r="A4634">
        <f>HYPERLINK("https://www.philgeps.gov.ph/GEPSNONPILOT/Tender/SplashBidNoticeAbstractUI.aspx?menuIndex=3&amp;refID=7064361&amp;Result=3","7064361")</f>
        <v>0</v>
      </c>
      <c r="B4634" t="s">
        <v>1624</v>
      </c>
      <c r="C4634" t="s">
        <v>7966</v>
      </c>
      <c r="D4634" t="s">
        <v>18822</v>
      </c>
      <c r="E4634" t="s">
        <v>23058</v>
      </c>
      <c r="F4634" t="s">
        <v>32664</v>
      </c>
      <c r="G4634" t="s">
        <v>32672</v>
      </c>
      <c r="H4634" t="s">
        <v>32683</v>
      </c>
      <c r="I4634" t="s">
        <v>32716</v>
      </c>
      <c r="J4634" t="s">
        <v>35798</v>
      </c>
      <c r="K4634" t="s">
        <v>42326</v>
      </c>
      <c r="M4634" t="s">
        <v>44306</v>
      </c>
      <c r="N4634" t="s">
        <v>46569</v>
      </c>
      <c r="O4634" t="s">
        <v>46570</v>
      </c>
      <c r="P4634">
        <v>0</v>
      </c>
      <c r="Q4634">
        <v>1</v>
      </c>
      <c r="R4634" t="s">
        <v>46572</v>
      </c>
      <c r="S4634" t="s">
        <v>46689</v>
      </c>
      <c r="T4634" t="s">
        <v>48276</v>
      </c>
      <c r="U4634" t="s">
        <v>52601</v>
      </c>
      <c r="W4634" t="s">
        <v>63524</v>
      </c>
      <c r="X4634" t="s">
        <v>46573</v>
      </c>
    </row>
    <row r="4635" spans="1:24">
      <c r="A4635">
        <f>HYPERLINK("https://www.philgeps.gov.ph/GEPSNONPILOT/Tender/SplashBidNoticeAbstractUI.aspx?menuIndex=3&amp;refID=7064331&amp;Result=3","7064331")</f>
        <v>0</v>
      </c>
      <c r="B4635" t="s">
        <v>1622</v>
      </c>
      <c r="C4635" t="s">
        <v>7967</v>
      </c>
      <c r="D4635" t="s">
        <v>18798</v>
      </c>
      <c r="E4635" t="s">
        <v>23059</v>
      </c>
      <c r="F4635" t="s">
        <v>32664</v>
      </c>
      <c r="G4635" t="s">
        <v>32672</v>
      </c>
      <c r="H4635" t="s">
        <v>32683</v>
      </c>
      <c r="I4635" t="s">
        <v>10627</v>
      </c>
      <c r="J4635" t="s">
        <v>34142</v>
      </c>
      <c r="K4635" t="s">
        <v>42297</v>
      </c>
      <c r="M4635" t="s">
        <v>44304</v>
      </c>
      <c r="N4635" t="s">
        <v>46569</v>
      </c>
      <c r="O4635" t="s">
        <v>46570</v>
      </c>
      <c r="P4635">
        <v>0</v>
      </c>
      <c r="Q4635">
        <v>0</v>
      </c>
      <c r="R4635" t="s">
        <v>46572</v>
      </c>
      <c r="S4635" t="s">
        <v>46689</v>
      </c>
      <c r="T4635" t="s">
        <v>48245</v>
      </c>
      <c r="U4635" t="s">
        <v>52598</v>
      </c>
      <c r="W4635" t="s">
        <v>63523</v>
      </c>
      <c r="X4635" t="s">
        <v>46573</v>
      </c>
    </row>
    <row r="4636" spans="1:24">
      <c r="A4636">
        <f>HYPERLINK("https://www.philgeps.gov.ph/GEPSNONPILOT/Tender/SplashBidNoticeAbstractUI.aspx?menuIndex=3&amp;refID=7064328&amp;Result=3","7064328")</f>
        <v>0</v>
      </c>
      <c r="B4636" t="s">
        <v>1625</v>
      </c>
      <c r="C4636" t="s">
        <v>5720</v>
      </c>
      <c r="D4636" t="s">
        <v>18788</v>
      </c>
      <c r="E4636" t="s">
        <v>19044</v>
      </c>
      <c r="F4636" t="s">
        <v>32664</v>
      </c>
      <c r="G4636" t="s">
        <v>32672</v>
      </c>
      <c r="H4636" t="s">
        <v>12635</v>
      </c>
      <c r="I4636" t="s">
        <v>4439</v>
      </c>
      <c r="J4636" t="s">
        <v>35799</v>
      </c>
      <c r="K4636" t="s">
        <v>42297</v>
      </c>
      <c r="M4636" t="s">
        <v>44307</v>
      </c>
      <c r="N4636" t="s">
        <v>46569</v>
      </c>
      <c r="O4636" t="s">
        <v>46570</v>
      </c>
      <c r="P4636">
        <v>0</v>
      </c>
      <c r="Q4636">
        <v>0</v>
      </c>
      <c r="R4636" t="s">
        <v>46572</v>
      </c>
      <c r="S4636" t="s">
        <v>46689</v>
      </c>
      <c r="T4636" t="s">
        <v>48230</v>
      </c>
      <c r="U4636" t="s">
        <v>52602</v>
      </c>
      <c r="W4636" t="s">
        <v>44307</v>
      </c>
      <c r="X4636" t="s">
        <v>46573</v>
      </c>
    </row>
    <row r="4637" spans="1:24">
      <c r="A4637">
        <f>HYPERLINK("https://www.philgeps.gov.ph/GEPSNONPILOT/Tender/SplashBidNoticeAbstractUI.aspx?menuIndex=3&amp;refID=7064357&amp;Result=3","7064357")</f>
        <v>0</v>
      </c>
      <c r="B4637" t="s">
        <v>1626</v>
      </c>
      <c r="C4637" t="s">
        <v>7968</v>
      </c>
      <c r="D4637" t="s">
        <v>18852</v>
      </c>
      <c r="E4637" t="s">
        <v>23060</v>
      </c>
      <c r="F4637" t="s">
        <v>32664</v>
      </c>
      <c r="G4637" t="s">
        <v>32672</v>
      </c>
      <c r="H4637" t="s">
        <v>32683</v>
      </c>
      <c r="I4637" t="s">
        <v>10627</v>
      </c>
      <c r="J4637" t="s">
        <v>32962</v>
      </c>
      <c r="K4637" t="s">
        <v>42298</v>
      </c>
      <c r="M4637" t="s">
        <v>44308</v>
      </c>
      <c r="N4637" t="s">
        <v>46569</v>
      </c>
      <c r="O4637" t="s">
        <v>46570</v>
      </c>
      <c r="P4637">
        <v>0</v>
      </c>
      <c r="Q4637">
        <v>0</v>
      </c>
      <c r="R4637" t="s">
        <v>46572</v>
      </c>
      <c r="S4637" t="s">
        <v>46689</v>
      </c>
      <c r="T4637" t="s">
        <v>48276</v>
      </c>
      <c r="U4637" t="s">
        <v>52603</v>
      </c>
      <c r="W4637" t="s">
        <v>44308</v>
      </c>
      <c r="X4637" t="s">
        <v>46573</v>
      </c>
    </row>
    <row r="4638" spans="1:24">
      <c r="A4638">
        <f>HYPERLINK("https://www.philgeps.gov.ph/GEPSNONPILOT/Tender/SplashBidNoticeAbstractUI.aspx?menuIndex=3&amp;refID=7064356&amp;Result=3","7064356")</f>
        <v>0</v>
      </c>
      <c r="B4638" t="s">
        <v>1627</v>
      </c>
      <c r="C4638" t="s">
        <v>7969</v>
      </c>
      <c r="D4638" t="s">
        <v>18785</v>
      </c>
      <c r="E4638" t="s">
        <v>20077</v>
      </c>
      <c r="F4638" t="s">
        <v>32664</v>
      </c>
      <c r="G4638" t="s">
        <v>32672</v>
      </c>
      <c r="H4638" t="s">
        <v>12635</v>
      </c>
      <c r="I4638" t="s">
        <v>6628</v>
      </c>
      <c r="J4638" t="s">
        <v>32917</v>
      </c>
      <c r="K4638" t="s">
        <v>42297</v>
      </c>
      <c r="M4638" t="s">
        <v>44309</v>
      </c>
      <c r="N4638" t="s">
        <v>46569</v>
      </c>
      <c r="O4638" t="s">
        <v>46570</v>
      </c>
      <c r="P4638">
        <v>0</v>
      </c>
      <c r="Q4638">
        <v>0</v>
      </c>
      <c r="R4638" t="s">
        <v>46572</v>
      </c>
      <c r="S4638" t="s">
        <v>46689</v>
      </c>
      <c r="T4638" t="s">
        <v>48225</v>
      </c>
      <c r="U4638" t="s">
        <v>52604</v>
      </c>
      <c r="V4638" t="s">
        <v>62094</v>
      </c>
      <c r="W4638" t="s">
        <v>44309</v>
      </c>
      <c r="X4638" t="s">
        <v>46573</v>
      </c>
    </row>
    <row r="4639" spans="1:24">
      <c r="A4639">
        <f>HYPERLINK("https://www.philgeps.gov.ph/GEPSNONPILOT/Tender/SplashBidNoticeAbstractUI.aspx?menuIndex=3&amp;refID=7064355&amp;Result=3","7064355")</f>
        <v>0</v>
      </c>
      <c r="B4639" t="s">
        <v>212</v>
      </c>
      <c r="C4639" t="s">
        <v>7970</v>
      </c>
      <c r="D4639" t="s">
        <v>18844</v>
      </c>
      <c r="E4639" t="s">
        <v>23061</v>
      </c>
      <c r="F4639" t="s">
        <v>32664</v>
      </c>
      <c r="G4639" t="s">
        <v>32672</v>
      </c>
      <c r="H4639" t="s">
        <v>12635</v>
      </c>
      <c r="I4639" t="s">
        <v>32686</v>
      </c>
      <c r="J4639" t="s">
        <v>35800</v>
      </c>
      <c r="K4639" t="s">
        <v>42289</v>
      </c>
      <c r="M4639" t="s">
        <v>42776</v>
      </c>
      <c r="N4639" t="s">
        <v>46569</v>
      </c>
      <c r="O4639" t="s">
        <v>46570</v>
      </c>
      <c r="P4639">
        <v>0</v>
      </c>
      <c r="Q4639">
        <v>3</v>
      </c>
      <c r="R4639" t="s">
        <v>46572</v>
      </c>
      <c r="S4639" t="s">
        <v>46689</v>
      </c>
      <c r="T4639" t="s">
        <v>48506</v>
      </c>
      <c r="U4639" t="s">
        <v>52605</v>
      </c>
      <c r="V4639" t="s">
        <v>61668</v>
      </c>
      <c r="W4639" t="s">
        <v>42776</v>
      </c>
      <c r="X4639" t="s">
        <v>46573</v>
      </c>
    </row>
    <row r="4640" spans="1:24">
      <c r="A4640">
        <f>HYPERLINK("https://www.philgeps.gov.ph/GEPSNONPILOT/Tender/SplashBidNoticeAbstractUI.aspx?menuIndex=3&amp;refID=7064333&amp;Result=3","7064333")</f>
        <v>0</v>
      </c>
      <c r="B4640" t="s">
        <v>1020</v>
      </c>
      <c r="C4640" t="s">
        <v>7971</v>
      </c>
      <c r="D4640" t="s">
        <v>18784</v>
      </c>
      <c r="E4640" t="s">
        <v>23062</v>
      </c>
      <c r="F4640" t="s">
        <v>32664</v>
      </c>
      <c r="G4640" t="s">
        <v>32671</v>
      </c>
      <c r="H4640" t="s">
        <v>12635</v>
      </c>
      <c r="I4640" t="s">
        <v>32681</v>
      </c>
      <c r="J4640" t="s">
        <v>33167</v>
      </c>
      <c r="K4640" t="s">
        <v>42311</v>
      </c>
      <c r="M4640" t="s">
        <v>43632</v>
      </c>
      <c r="N4640" t="s">
        <v>46569</v>
      </c>
      <c r="O4640" t="s">
        <v>46570</v>
      </c>
      <c r="P4640">
        <v>0</v>
      </c>
      <c r="Q4640">
        <v>6</v>
      </c>
      <c r="R4640" t="s">
        <v>46572</v>
      </c>
      <c r="S4640" t="s">
        <v>46689</v>
      </c>
      <c r="T4640" t="s">
        <v>48280</v>
      </c>
      <c r="U4640" t="s">
        <v>52606</v>
      </c>
      <c r="W4640" t="s">
        <v>43632</v>
      </c>
      <c r="X4640" t="s">
        <v>46573</v>
      </c>
    </row>
    <row r="4641" spans="1:24">
      <c r="A4641">
        <f>HYPERLINK("https://www.philgeps.gov.ph/GEPSNONPILOT/Tender/SplashBidNoticeAbstractUI.aspx?menuIndex=3&amp;refID=7064352&amp;Result=3","7064352")</f>
        <v>0</v>
      </c>
      <c r="B4641" t="s">
        <v>1628</v>
      </c>
      <c r="C4641" t="s">
        <v>7972</v>
      </c>
      <c r="D4641" t="s">
        <v>18818</v>
      </c>
      <c r="E4641" t="s">
        <v>23063</v>
      </c>
      <c r="F4641" t="s">
        <v>32664</v>
      </c>
      <c r="G4641" t="s">
        <v>32671</v>
      </c>
      <c r="H4641" t="s">
        <v>12635</v>
      </c>
      <c r="I4641" t="s">
        <v>32694</v>
      </c>
      <c r="J4641" t="s">
        <v>35801</v>
      </c>
      <c r="K4641" t="s">
        <v>42283</v>
      </c>
      <c r="M4641" t="s">
        <v>44310</v>
      </c>
      <c r="N4641" t="s">
        <v>46569</v>
      </c>
      <c r="O4641" t="s">
        <v>46570</v>
      </c>
      <c r="P4641">
        <v>0</v>
      </c>
      <c r="Q4641">
        <v>0</v>
      </c>
      <c r="R4641" t="s">
        <v>46572</v>
      </c>
      <c r="S4641" t="s">
        <v>46689</v>
      </c>
      <c r="T4641" t="s">
        <v>48219</v>
      </c>
      <c r="U4641" t="s">
        <v>52607</v>
      </c>
      <c r="W4641" t="s">
        <v>44310</v>
      </c>
      <c r="X4641" t="s">
        <v>46573</v>
      </c>
    </row>
    <row r="4642" spans="1:24">
      <c r="A4642">
        <f>HYPERLINK("https://www.philgeps.gov.ph/GEPSNONPILOT/Tender/SplashBidNoticeAbstractUI.aspx?menuIndex=3&amp;refID=7064358&amp;Result=3","7064358")</f>
        <v>0</v>
      </c>
      <c r="B4642" t="s">
        <v>1629</v>
      </c>
      <c r="C4642" t="s">
        <v>7973</v>
      </c>
      <c r="D4642" t="s">
        <v>18786</v>
      </c>
      <c r="E4642" t="s">
        <v>23064</v>
      </c>
      <c r="F4642" t="s">
        <v>32664</v>
      </c>
      <c r="G4642" t="s">
        <v>32671</v>
      </c>
      <c r="H4642" t="s">
        <v>12635</v>
      </c>
      <c r="I4642" t="s">
        <v>32704</v>
      </c>
      <c r="J4642" t="s">
        <v>33078</v>
      </c>
      <c r="K4642" t="s">
        <v>42289</v>
      </c>
      <c r="M4642" t="s">
        <v>44311</v>
      </c>
      <c r="N4642" t="s">
        <v>46569</v>
      </c>
      <c r="O4642" t="s">
        <v>46570</v>
      </c>
      <c r="P4642">
        <v>0</v>
      </c>
      <c r="Q4642">
        <v>2</v>
      </c>
      <c r="R4642" t="s">
        <v>46572</v>
      </c>
      <c r="S4642" t="s">
        <v>46689</v>
      </c>
      <c r="T4642" t="s">
        <v>48334</v>
      </c>
      <c r="U4642" t="s">
        <v>52608</v>
      </c>
      <c r="W4642" t="s">
        <v>44311</v>
      </c>
      <c r="X4642" t="s">
        <v>46573</v>
      </c>
    </row>
    <row r="4643" spans="1:24">
      <c r="A4643">
        <f>HYPERLINK("https://www.philgeps.gov.ph/GEPSNONPILOT/Tender/SplashBidNoticeAbstractUI.aspx?menuIndex=3&amp;refID=7064351&amp;Result=3","7064351")</f>
        <v>0</v>
      </c>
      <c r="B4643" t="s">
        <v>1630</v>
      </c>
      <c r="C4643" t="s">
        <v>7974</v>
      </c>
      <c r="D4643" t="s">
        <v>18801</v>
      </c>
      <c r="E4643" t="s">
        <v>23065</v>
      </c>
      <c r="F4643" t="s">
        <v>32664</v>
      </c>
      <c r="G4643" t="s">
        <v>32674</v>
      </c>
      <c r="H4643" t="s">
        <v>12635</v>
      </c>
      <c r="I4643" t="s">
        <v>9486</v>
      </c>
      <c r="J4643" t="s">
        <v>35802</v>
      </c>
      <c r="K4643" t="s">
        <v>42283</v>
      </c>
      <c r="M4643" t="s">
        <v>44312</v>
      </c>
      <c r="N4643" t="s">
        <v>46569</v>
      </c>
      <c r="O4643" t="s">
        <v>46570</v>
      </c>
      <c r="P4643">
        <v>0</v>
      </c>
      <c r="Q4643">
        <v>9</v>
      </c>
      <c r="R4643" t="s">
        <v>46572</v>
      </c>
      <c r="S4643" t="s">
        <v>46689</v>
      </c>
      <c r="T4643" t="s">
        <v>48373</v>
      </c>
      <c r="U4643" t="s">
        <v>52609</v>
      </c>
      <c r="V4643" t="s">
        <v>62095</v>
      </c>
      <c r="W4643" t="s">
        <v>44312</v>
      </c>
      <c r="X4643" t="s">
        <v>46573</v>
      </c>
    </row>
    <row r="4644" spans="1:24">
      <c r="A4644">
        <f>HYPERLINK("https://www.philgeps.gov.ph/GEPSNONPILOT/Tender/SplashBidNoticeAbstractUI.aspx?menuIndex=3&amp;refID=7064345&amp;Result=3","7064345")</f>
        <v>0</v>
      </c>
      <c r="B4644" t="s">
        <v>1620</v>
      </c>
      <c r="C4644" t="s">
        <v>7975</v>
      </c>
      <c r="D4644" t="s">
        <v>18784</v>
      </c>
      <c r="E4644" t="s">
        <v>23066</v>
      </c>
      <c r="F4644" t="s">
        <v>32664</v>
      </c>
      <c r="G4644" t="s">
        <v>32672</v>
      </c>
      <c r="H4644" t="s">
        <v>32683</v>
      </c>
      <c r="I4644" t="s">
        <v>10627</v>
      </c>
      <c r="J4644" t="s">
        <v>35803</v>
      </c>
      <c r="K4644" t="s">
        <v>42301</v>
      </c>
      <c r="M4644" t="s">
        <v>44300</v>
      </c>
      <c r="N4644" t="s">
        <v>46569</v>
      </c>
      <c r="O4644" t="s">
        <v>46570</v>
      </c>
      <c r="P4644">
        <v>0</v>
      </c>
      <c r="Q4644">
        <v>7</v>
      </c>
      <c r="R4644" t="s">
        <v>46572</v>
      </c>
      <c r="S4644" t="s">
        <v>46689</v>
      </c>
      <c r="T4644" t="s">
        <v>48222</v>
      </c>
      <c r="U4644" t="s">
        <v>52610</v>
      </c>
      <c r="W4644" t="s">
        <v>44300</v>
      </c>
      <c r="X4644" t="s">
        <v>46573</v>
      </c>
    </row>
    <row r="4645" spans="1:24">
      <c r="A4645">
        <f>HYPERLINK("https://www.philgeps.gov.ph/GEPSNONPILOT/Tender/SplashBidNoticeAbstractUI.aspx?menuIndex=3&amp;refID=7064277&amp;Result=3","7064277")</f>
        <v>0</v>
      </c>
      <c r="B4645" t="s">
        <v>1067</v>
      </c>
      <c r="C4645" t="s">
        <v>7976</v>
      </c>
      <c r="D4645" t="s">
        <v>18832</v>
      </c>
      <c r="E4645" t="s">
        <v>22105</v>
      </c>
      <c r="F4645" t="s">
        <v>32664</v>
      </c>
      <c r="G4645" t="s">
        <v>32671</v>
      </c>
      <c r="H4645" t="s">
        <v>12635</v>
      </c>
      <c r="I4645" t="s">
        <v>32706</v>
      </c>
      <c r="J4645" t="s">
        <v>35804</v>
      </c>
      <c r="K4645" t="s">
        <v>42309</v>
      </c>
      <c r="M4645" t="s">
        <v>43685</v>
      </c>
      <c r="N4645" t="s">
        <v>46569</v>
      </c>
      <c r="O4645" t="s">
        <v>46570</v>
      </c>
      <c r="P4645">
        <v>0</v>
      </c>
      <c r="Q4645">
        <v>0</v>
      </c>
      <c r="R4645" t="s">
        <v>46572</v>
      </c>
      <c r="S4645" t="s">
        <v>46689</v>
      </c>
      <c r="T4645" t="s">
        <v>48436</v>
      </c>
      <c r="U4645" t="s">
        <v>52611</v>
      </c>
      <c r="W4645" t="s">
        <v>43685</v>
      </c>
      <c r="X4645" t="s">
        <v>46573</v>
      </c>
    </row>
    <row r="4646" spans="1:24">
      <c r="A4646">
        <f>HYPERLINK("https://www.philgeps.gov.ph/GEPSNONPILOT/Tender/SplashBidNoticeAbstractUI.aspx?menuIndex=3&amp;refID=7064360&amp;Result=3","7064360")</f>
        <v>0</v>
      </c>
      <c r="B4646" t="s">
        <v>1631</v>
      </c>
      <c r="C4646" t="s">
        <v>5720</v>
      </c>
      <c r="D4646" t="s">
        <v>18788</v>
      </c>
      <c r="E4646" t="s">
        <v>19044</v>
      </c>
      <c r="F4646" t="s">
        <v>32664</v>
      </c>
      <c r="G4646" t="s">
        <v>32672</v>
      </c>
      <c r="H4646" t="s">
        <v>12635</v>
      </c>
      <c r="I4646" t="s">
        <v>4439</v>
      </c>
      <c r="J4646" t="s">
        <v>35805</v>
      </c>
      <c r="K4646" t="s">
        <v>42297</v>
      </c>
      <c r="M4646" t="s">
        <v>44313</v>
      </c>
      <c r="N4646" t="s">
        <v>46569</v>
      </c>
      <c r="O4646" t="s">
        <v>46570</v>
      </c>
      <c r="P4646">
        <v>0</v>
      </c>
      <c r="Q4646">
        <v>0</v>
      </c>
      <c r="R4646" t="s">
        <v>46572</v>
      </c>
      <c r="S4646" t="s">
        <v>46689</v>
      </c>
      <c r="T4646" t="s">
        <v>48230</v>
      </c>
      <c r="U4646" t="s">
        <v>52612</v>
      </c>
      <c r="W4646" t="s">
        <v>44313</v>
      </c>
      <c r="X4646" t="s">
        <v>46573</v>
      </c>
    </row>
    <row r="4647" spans="1:24">
      <c r="A4647">
        <f>HYPERLINK("https://www.philgeps.gov.ph/GEPSNONPILOT/Tender/SplashBidNoticeAbstractUI.aspx?menuIndex=3&amp;refID=7064344&amp;Result=3","7064344")</f>
        <v>0</v>
      </c>
      <c r="B4647" t="s">
        <v>1628</v>
      </c>
      <c r="C4647" t="s">
        <v>7977</v>
      </c>
      <c r="D4647" t="s">
        <v>18818</v>
      </c>
      <c r="E4647" t="s">
        <v>23067</v>
      </c>
      <c r="F4647" t="s">
        <v>32664</v>
      </c>
      <c r="G4647" t="s">
        <v>32671</v>
      </c>
      <c r="H4647" t="s">
        <v>12635</v>
      </c>
      <c r="I4647" t="s">
        <v>32694</v>
      </c>
      <c r="J4647" t="s">
        <v>35806</v>
      </c>
      <c r="K4647" t="s">
        <v>42283</v>
      </c>
      <c r="M4647" t="s">
        <v>44310</v>
      </c>
      <c r="N4647" t="s">
        <v>46569</v>
      </c>
      <c r="O4647" t="s">
        <v>46570</v>
      </c>
      <c r="P4647">
        <v>0</v>
      </c>
      <c r="Q4647">
        <v>0</v>
      </c>
      <c r="R4647" t="s">
        <v>46572</v>
      </c>
      <c r="S4647" t="s">
        <v>46689</v>
      </c>
      <c r="T4647" t="s">
        <v>48244</v>
      </c>
      <c r="U4647" t="s">
        <v>52607</v>
      </c>
      <c r="W4647" t="s">
        <v>44310</v>
      </c>
      <c r="X4647" t="s">
        <v>46573</v>
      </c>
    </row>
    <row r="4648" spans="1:24">
      <c r="A4648">
        <f>HYPERLINK("https://www.philgeps.gov.ph/GEPSNONPILOT/Tender/SplashBidNoticeAbstractUI.aspx?menuIndex=3&amp;refID=7064396&amp;Result=3","7064396")</f>
        <v>0</v>
      </c>
      <c r="B4648" t="s">
        <v>944</v>
      </c>
      <c r="C4648" t="s">
        <v>7978</v>
      </c>
      <c r="D4648" t="s">
        <v>18827</v>
      </c>
      <c r="E4648" t="s">
        <v>20248</v>
      </c>
      <c r="F4648" t="s">
        <v>32664</v>
      </c>
      <c r="G4648" t="s">
        <v>32671</v>
      </c>
      <c r="H4648" t="s">
        <v>32683</v>
      </c>
      <c r="I4648" t="s">
        <v>4439</v>
      </c>
      <c r="J4648" t="s">
        <v>32984</v>
      </c>
      <c r="K4648" t="s">
        <v>42297</v>
      </c>
      <c r="M4648" t="s">
        <v>43550</v>
      </c>
      <c r="N4648" t="s">
        <v>46569</v>
      </c>
      <c r="O4648" t="s">
        <v>46570</v>
      </c>
      <c r="P4648">
        <v>0</v>
      </c>
      <c r="Q4648">
        <v>0</v>
      </c>
      <c r="R4648" t="s">
        <v>46572</v>
      </c>
      <c r="S4648" t="s">
        <v>46689</v>
      </c>
      <c r="T4648" t="s">
        <v>48217</v>
      </c>
      <c r="U4648" t="s">
        <v>52613</v>
      </c>
      <c r="V4648" t="s">
        <v>52880</v>
      </c>
      <c r="W4648" t="s">
        <v>43550</v>
      </c>
      <c r="X4648" t="s">
        <v>46573</v>
      </c>
    </row>
    <row r="4649" spans="1:24">
      <c r="A4649">
        <f>HYPERLINK("https://www.philgeps.gov.ph/GEPSNONPILOT/Tender/SplashBidNoticeAbstractUI.aspx?menuIndex=3&amp;refID=7064353&amp;Result=3","7064353")</f>
        <v>0</v>
      </c>
      <c r="B4649" t="s">
        <v>1632</v>
      </c>
      <c r="C4649" t="s">
        <v>7979</v>
      </c>
      <c r="D4649" t="s">
        <v>18841</v>
      </c>
      <c r="E4649" t="s">
        <v>23068</v>
      </c>
      <c r="F4649" t="s">
        <v>32664</v>
      </c>
      <c r="G4649" t="s">
        <v>32671</v>
      </c>
      <c r="H4649" t="s">
        <v>12635</v>
      </c>
      <c r="I4649" t="s">
        <v>4205</v>
      </c>
      <c r="J4649" t="s">
        <v>35807</v>
      </c>
      <c r="K4649" t="s">
        <v>42289</v>
      </c>
      <c r="M4649" t="s">
        <v>44314</v>
      </c>
      <c r="N4649" t="s">
        <v>46569</v>
      </c>
      <c r="O4649" t="s">
        <v>46570</v>
      </c>
      <c r="P4649">
        <v>0</v>
      </c>
      <c r="Q4649">
        <v>0</v>
      </c>
      <c r="R4649" t="s">
        <v>46572</v>
      </c>
      <c r="S4649" t="s">
        <v>46689</v>
      </c>
      <c r="T4649" t="s">
        <v>48251</v>
      </c>
      <c r="U4649" t="s">
        <v>52614</v>
      </c>
      <c r="W4649" t="s">
        <v>44314</v>
      </c>
      <c r="X4649" t="s">
        <v>46573</v>
      </c>
    </row>
    <row r="4650" spans="1:24">
      <c r="A4650">
        <f>HYPERLINK("https://www.philgeps.gov.ph/GEPSNONPILOT/Tender/SplashBidNoticeAbstractUI.aspx?menuIndex=3&amp;refID=7064365&amp;Result=3","7064365")</f>
        <v>0</v>
      </c>
      <c r="B4650" t="s">
        <v>1633</v>
      </c>
      <c r="C4650" t="s">
        <v>7980</v>
      </c>
      <c r="D4650" t="s">
        <v>18784</v>
      </c>
      <c r="E4650" t="s">
        <v>23069</v>
      </c>
      <c r="F4650" t="s">
        <v>32664</v>
      </c>
      <c r="G4650" t="s">
        <v>32671</v>
      </c>
      <c r="H4650" t="s">
        <v>32681</v>
      </c>
      <c r="I4650" t="s">
        <v>5589</v>
      </c>
      <c r="J4650" t="s">
        <v>32865</v>
      </c>
      <c r="K4650" t="s">
        <v>42347</v>
      </c>
      <c r="M4650" t="s">
        <v>44315</v>
      </c>
      <c r="N4650" t="s">
        <v>46569</v>
      </c>
      <c r="O4650" t="s">
        <v>46570</v>
      </c>
      <c r="P4650">
        <v>0</v>
      </c>
      <c r="Q4650">
        <v>6</v>
      </c>
      <c r="R4650" t="s">
        <v>46572</v>
      </c>
      <c r="S4650" t="s">
        <v>46689</v>
      </c>
      <c r="T4650" t="s">
        <v>48305</v>
      </c>
      <c r="U4650" t="s">
        <v>52615</v>
      </c>
      <c r="W4650" t="s">
        <v>44315</v>
      </c>
      <c r="X4650" t="s">
        <v>46573</v>
      </c>
    </row>
    <row r="4651" spans="1:24">
      <c r="A4651">
        <f>HYPERLINK("https://www.philgeps.gov.ph/GEPSNONPILOT/Tender/SplashBidNoticeAbstractUI.aspx?menuIndex=3&amp;refID=7064393&amp;Result=3","7064393")</f>
        <v>0</v>
      </c>
      <c r="B4651" t="s">
        <v>964</v>
      </c>
      <c r="C4651" t="s">
        <v>7981</v>
      </c>
      <c r="D4651" t="s">
        <v>18786</v>
      </c>
      <c r="E4651" t="s">
        <v>23070</v>
      </c>
      <c r="F4651" t="s">
        <v>32664</v>
      </c>
      <c r="G4651" t="s">
        <v>32672</v>
      </c>
      <c r="H4651" t="s">
        <v>12635</v>
      </c>
      <c r="I4651" t="s">
        <v>9486</v>
      </c>
      <c r="J4651" t="s">
        <v>35808</v>
      </c>
      <c r="K4651" t="s">
        <v>42289</v>
      </c>
      <c r="M4651" t="s">
        <v>43572</v>
      </c>
      <c r="N4651" t="s">
        <v>46569</v>
      </c>
      <c r="O4651" t="s">
        <v>46570</v>
      </c>
      <c r="P4651">
        <v>0</v>
      </c>
      <c r="Q4651">
        <v>1</v>
      </c>
      <c r="R4651" t="s">
        <v>46572</v>
      </c>
      <c r="S4651" t="s">
        <v>46689</v>
      </c>
      <c r="T4651" t="s">
        <v>48285</v>
      </c>
      <c r="U4651" t="s">
        <v>52616</v>
      </c>
      <c r="W4651" t="s">
        <v>63499</v>
      </c>
      <c r="X4651" t="s">
        <v>46573</v>
      </c>
    </row>
    <row r="4652" spans="1:24">
      <c r="A4652">
        <f>HYPERLINK("https://www.philgeps.gov.ph/GEPSNONPILOT/Tender/SplashBidNoticeAbstractUI.aspx?menuIndex=3&amp;refID=7064391&amp;Result=3","7064391")</f>
        <v>0</v>
      </c>
      <c r="B4652" t="s">
        <v>945</v>
      </c>
      <c r="C4652" t="s">
        <v>7982</v>
      </c>
      <c r="D4652" t="s">
        <v>18837</v>
      </c>
      <c r="E4652" t="s">
        <v>23071</v>
      </c>
      <c r="F4652" t="s">
        <v>32664</v>
      </c>
      <c r="G4652" t="s">
        <v>32672</v>
      </c>
      <c r="H4652" t="s">
        <v>32683</v>
      </c>
      <c r="I4652" t="s">
        <v>10627</v>
      </c>
      <c r="J4652" t="s">
        <v>35809</v>
      </c>
      <c r="K4652" t="s">
        <v>42281</v>
      </c>
      <c r="M4652" t="s">
        <v>43551</v>
      </c>
      <c r="N4652" t="s">
        <v>46569</v>
      </c>
      <c r="O4652" t="s">
        <v>46570</v>
      </c>
      <c r="P4652">
        <v>0</v>
      </c>
      <c r="Q4652">
        <v>0</v>
      </c>
      <c r="R4652" t="s">
        <v>46572</v>
      </c>
      <c r="S4652" t="s">
        <v>46689</v>
      </c>
      <c r="T4652" t="s">
        <v>48389</v>
      </c>
      <c r="U4652" t="s">
        <v>52617</v>
      </c>
      <c r="W4652" t="s">
        <v>43551</v>
      </c>
      <c r="X4652" t="s">
        <v>46573</v>
      </c>
    </row>
    <row r="4653" spans="1:24">
      <c r="A4653">
        <f>HYPERLINK("https://www.philgeps.gov.ph/GEPSNONPILOT/Tender/SplashBidNoticeAbstractUI.aspx?menuIndex=3&amp;refID=7064387&amp;Result=3","7064387")</f>
        <v>0</v>
      </c>
      <c r="B4653" t="s">
        <v>1634</v>
      </c>
      <c r="C4653" t="s">
        <v>7983</v>
      </c>
      <c r="E4653" t="s">
        <v>21695</v>
      </c>
      <c r="F4653" t="s">
        <v>32664</v>
      </c>
      <c r="G4653" t="s">
        <v>32672</v>
      </c>
      <c r="H4653" t="s">
        <v>32683</v>
      </c>
      <c r="I4653" t="s">
        <v>10627</v>
      </c>
      <c r="J4653" t="s">
        <v>33761</v>
      </c>
      <c r="K4653" t="s">
        <v>42283</v>
      </c>
      <c r="M4653" t="s">
        <v>44316</v>
      </c>
      <c r="N4653" t="s">
        <v>46569</v>
      </c>
      <c r="O4653" t="s">
        <v>46570</v>
      </c>
      <c r="P4653">
        <v>0</v>
      </c>
      <c r="Q4653">
        <v>0</v>
      </c>
      <c r="R4653" t="s">
        <v>46572</v>
      </c>
      <c r="S4653" t="s">
        <v>46689</v>
      </c>
      <c r="T4653" t="s">
        <v>48349</v>
      </c>
      <c r="U4653" t="s">
        <v>52618</v>
      </c>
      <c r="W4653" t="s">
        <v>44316</v>
      </c>
      <c r="X4653" t="s">
        <v>46573</v>
      </c>
    </row>
    <row r="4654" spans="1:24">
      <c r="A4654">
        <f>HYPERLINK("https://www.philgeps.gov.ph/GEPSNONPILOT/Tender/SplashBidNoticeAbstractUI.aspx?menuIndex=3&amp;refID=7064317&amp;Result=3","7064317")</f>
        <v>0</v>
      </c>
      <c r="B4654" t="s">
        <v>1574</v>
      </c>
      <c r="C4654" t="s">
        <v>7984</v>
      </c>
      <c r="D4654" t="s">
        <v>18830</v>
      </c>
      <c r="E4654" t="s">
        <v>23072</v>
      </c>
      <c r="F4654" t="s">
        <v>32664</v>
      </c>
      <c r="G4654" t="s">
        <v>32672</v>
      </c>
      <c r="H4654" t="s">
        <v>32683</v>
      </c>
      <c r="I4654" t="s">
        <v>10627</v>
      </c>
      <c r="J4654" t="s">
        <v>32898</v>
      </c>
      <c r="K4654" t="s">
        <v>42433</v>
      </c>
      <c r="M4654" t="s">
        <v>44249</v>
      </c>
      <c r="N4654" t="s">
        <v>46569</v>
      </c>
      <c r="O4654" t="s">
        <v>46570</v>
      </c>
      <c r="P4654">
        <v>0</v>
      </c>
      <c r="Q4654">
        <v>0</v>
      </c>
      <c r="R4654" t="s">
        <v>46572</v>
      </c>
      <c r="S4654" t="s">
        <v>46689</v>
      </c>
      <c r="T4654" t="s">
        <v>48220</v>
      </c>
      <c r="U4654" t="s">
        <v>52597</v>
      </c>
      <c r="V4654" t="s">
        <v>62072</v>
      </c>
      <c r="W4654" t="s">
        <v>44249</v>
      </c>
      <c r="X4654" t="s">
        <v>46573</v>
      </c>
    </row>
    <row r="4655" spans="1:24">
      <c r="A4655">
        <f>HYPERLINK("https://www.philgeps.gov.ph/GEPSNONPILOT/Tender/SplashBidNoticeAbstractUI.aspx?menuIndex=3&amp;refID=7064385&amp;Result=3","7064385")</f>
        <v>0</v>
      </c>
      <c r="B4655" t="s">
        <v>964</v>
      </c>
      <c r="C4655" t="s">
        <v>7985</v>
      </c>
      <c r="D4655" t="s">
        <v>18786</v>
      </c>
      <c r="E4655" t="s">
        <v>23073</v>
      </c>
      <c r="F4655" t="s">
        <v>32664</v>
      </c>
      <c r="G4655" t="s">
        <v>32672</v>
      </c>
      <c r="H4655" t="s">
        <v>12635</v>
      </c>
      <c r="I4655" t="s">
        <v>8797</v>
      </c>
      <c r="J4655" t="s">
        <v>35810</v>
      </c>
      <c r="K4655" t="s">
        <v>42289</v>
      </c>
      <c r="M4655" t="s">
        <v>43572</v>
      </c>
      <c r="N4655" t="s">
        <v>46569</v>
      </c>
      <c r="O4655" t="s">
        <v>46570</v>
      </c>
      <c r="P4655">
        <v>0</v>
      </c>
      <c r="Q4655">
        <v>6</v>
      </c>
      <c r="R4655" t="s">
        <v>46572</v>
      </c>
      <c r="S4655" t="s">
        <v>46689</v>
      </c>
      <c r="T4655" t="s">
        <v>48285</v>
      </c>
      <c r="U4655" t="s">
        <v>52619</v>
      </c>
      <c r="W4655" t="s">
        <v>63499</v>
      </c>
      <c r="X4655" t="s">
        <v>46573</v>
      </c>
    </row>
    <row r="4656" spans="1:24">
      <c r="A4656">
        <f>HYPERLINK("https://www.philgeps.gov.ph/GEPSNONPILOT/Tender/SplashBidNoticeAbstractUI.aspx?menuIndex=3&amp;refID=7064349&amp;Result=3","7064349")</f>
        <v>0</v>
      </c>
      <c r="B4656" t="s">
        <v>1630</v>
      </c>
      <c r="C4656" t="s">
        <v>7986</v>
      </c>
      <c r="D4656" t="s">
        <v>18801</v>
      </c>
      <c r="E4656" t="s">
        <v>23074</v>
      </c>
      <c r="F4656" t="s">
        <v>32664</v>
      </c>
      <c r="G4656" t="s">
        <v>32674</v>
      </c>
      <c r="H4656" t="s">
        <v>12635</v>
      </c>
      <c r="I4656" t="s">
        <v>8797</v>
      </c>
      <c r="J4656" t="s">
        <v>35811</v>
      </c>
      <c r="K4656" t="s">
        <v>42283</v>
      </c>
      <c r="M4656" t="s">
        <v>44312</v>
      </c>
      <c r="N4656" t="s">
        <v>46569</v>
      </c>
      <c r="O4656" t="s">
        <v>46570</v>
      </c>
      <c r="P4656">
        <v>0</v>
      </c>
      <c r="Q4656">
        <v>14</v>
      </c>
      <c r="R4656" t="s">
        <v>46572</v>
      </c>
      <c r="S4656" t="s">
        <v>46689</v>
      </c>
      <c r="T4656" t="s">
        <v>48373</v>
      </c>
      <c r="U4656" t="s">
        <v>52620</v>
      </c>
      <c r="V4656" t="s">
        <v>62095</v>
      </c>
      <c r="W4656" t="s">
        <v>44312</v>
      </c>
      <c r="X4656" t="s">
        <v>46573</v>
      </c>
    </row>
    <row r="4657" spans="1:24">
      <c r="A4657">
        <f>HYPERLINK("https://www.philgeps.gov.ph/GEPSNONPILOT/Tender/SplashBidNoticeAbstractUI.aspx?menuIndex=3&amp;refID=7064394&amp;Result=3","7064394")</f>
        <v>0</v>
      </c>
      <c r="B4657" t="s">
        <v>1635</v>
      </c>
      <c r="C4657" t="s">
        <v>7987</v>
      </c>
      <c r="D4657" t="s">
        <v>18782</v>
      </c>
      <c r="E4657" t="s">
        <v>23075</v>
      </c>
      <c r="F4657" t="s">
        <v>32665</v>
      </c>
      <c r="G4657" t="s">
        <v>32672</v>
      </c>
      <c r="H4657" t="s">
        <v>12635</v>
      </c>
      <c r="I4657" t="s">
        <v>32684</v>
      </c>
      <c r="J4657" t="s">
        <v>35812</v>
      </c>
      <c r="K4657" t="s">
        <v>42283</v>
      </c>
      <c r="M4657" t="s">
        <v>44317</v>
      </c>
      <c r="N4657" t="s">
        <v>46569</v>
      </c>
      <c r="O4657" t="s">
        <v>46570</v>
      </c>
      <c r="P4657">
        <v>0</v>
      </c>
      <c r="Q4657">
        <v>2</v>
      </c>
      <c r="R4657" t="s">
        <v>46572</v>
      </c>
      <c r="S4657" t="s">
        <v>46689</v>
      </c>
      <c r="T4657" t="s">
        <v>48522</v>
      </c>
      <c r="U4657" t="s">
        <v>52621</v>
      </c>
      <c r="W4657" t="s">
        <v>44317</v>
      </c>
      <c r="X4657" t="s">
        <v>46573</v>
      </c>
    </row>
    <row r="4658" spans="1:24">
      <c r="A4658">
        <f>HYPERLINK("https://www.philgeps.gov.ph/GEPSNONPILOT/Tender/SplashBidNoticeAbstractUI.aspx?menuIndex=3&amp;refID=7064384&amp;Result=3","7064384")</f>
        <v>0</v>
      </c>
      <c r="B4658" t="s">
        <v>1636</v>
      </c>
      <c r="C4658" t="s">
        <v>7988</v>
      </c>
      <c r="D4658" t="s">
        <v>18788</v>
      </c>
      <c r="E4658" t="s">
        <v>21126</v>
      </c>
      <c r="F4658" t="s">
        <v>32664</v>
      </c>
      <c r="G4658" t="s">
        <v>32671</v>
      </c>
      <c r="H4658" t="s">
        <v>12635</v>
      </c>
      <c r="I4658" t="s">
        <v>6118</v>
      </c>
      <c r="J4658" t="s">
        <v>32865</v>
      </c>
      <c r="K4658" t="s">
        <v>42309</v>
      </c>
      <c r="M4658" t="s">
        <v>44318</v>
      </c>
      <c r="N4658" t="s">
        <v>46569</v>
      </c>
      <c r="O4658" t="s">
        <v>46570</v>
      </c>
      <c r="P4658">
        <v>0</v>
      </c>
      <c r="Q4658">
        <v>0</v>
      </c>
      <c r="R4658" t="s">
        <v>46572</v>
      </c>
      <c r="S4658" t="s">
        <v>46689</v>
      </c>
      <c r="T4658" t="s">
        <v>48246</v>
      </c>
      <c r="U4658" t="s">
        <v>52622</v>
      </c>
      <c r="W4658" t="s">
        <v>44318</v>
      </c>
      <c r="X4658" t="s">
        <v>46573</v>
      </c>
    </row>
    <row r="4659" spans="1:24">
      <c r="A4659">
        <f>HYPERLINK("https://www.philgeps.gov.ph/GEPSNONPILOT/Tender/SplashBidNoticeAbstractUI.aspx?menuIndex=3&amp;refID=7064389&amp;Result=3","7064389")</f>
        <v>0</v>
      </c>
      <c r="B4659" t="s">
        <v>1632</v>
      </c>
      <c r="C4659" t="s">
        <v>7979</v>
      </c>
      <c r="D4659" t="s">
        <v>18841</v>
      </c>
      <c r="E4659" t="s">
        <v>23076</v>
      </c>
      <c r="F4659" t="s">
        <v>32664</v>
      </c>
      <c r="G4659" t="s">
        <v>32671</v>
      </c>
      <c r="H4659" t="s">
        <v>12635</v>
      </c>
      <c r="I4659" t="s">
        <v>4205</v>
      </c>
      <c r="J4659" t="s">
        <v>35813</v>
      </c>
      <c r="K4659" t="s">
        <v>42289</v>
      </c>
      <c r="M4659" t="s">
        <v>44314</v>
      </c>
      <c r="N4659" t="s">
        <v>46569</v>
      </c>
      <c r="O4659" t="s">
        <v>46570</v>
      </c>
      <c r="P4659">
        <v>0</v>
      </c>
      <c r="Q4659">
        <v>0</v>
      </c>
      <c r="R4659" t="s">
        <v>46572</v>
      </c>
      <c r="S4659" t="s">
        <v>46689</v>
      </c>
      <c r="T4659" t="s">
        <v>48251</v>
      </c>
      <c r="U4659" t="s">
        <v>52614</v>
      </c>
      <c r="W4659" t="s">
        <v>44314</v>
      </c>
      <c r="X4659" t="s">
        <v>46573</v>
      </c>
    </row>
    <row r="4660" spans="1:24">
      <c r="A4660">
        <f>HYPERLINK("https://www.philgeps.gov.ph/GEPSNONPILOT/Tender/SplashBidNoticeAbstractUI.aspx?menuIndex=3&amp;refID=7064422&amp;Result=3","7064422")</f>
        <v>0</v>
      </c>
      <c r="B4660" t="s">
        <v>1637</v>
      </c>
      <c r="C4660" t="s">
        <v>7989</v>
      </c>
      <c r="D4660" t="s">
        <v>18784</v>
      </c>
      <c r="E4660" t="s">
        <v>7989</v>
      </c>
      <c r="F4660" t="s">
        <v>32664</v>
      </c>
      <c r="G4660" t="s">
        <v>32671</v>
      </c>
      <c r="H4660" t="s">
        <v>12635</v>
      </c>
      <c r="I4660" t="s">
        <v>32689</v>
      </c>
      <c r="J4660" t="s">
        <v>33688</v>
      </c>
      <c r="K4660" t="s">
        <v>42283</v>
      </c>
      <c r="M4660" t="s">
        <v>44319</v>
      </c>
      <c r="N4660" t="s">
        <v>46569</v>
      </c>
      <c r="O4660" t="s">
        <v>46570</v>
      </c>
      <c r="P4660">
        <v>0</v>
      </c>
      <c r="Q4660">
        <v>8</v>
      </c>
      <c r="R4660" t="s">
        <v>46572</v>
      </c>
      <c r="S4660" t="s">
        <v>46689</v>
      </c>
      <c r="T4660" t="s">
        <v>48219</v>
      </c>
      <c r="U4660" t="s">
        <v>52623</v>
      </c>
      <c r="W4660" t="s">
        <v>44319</v>
      </c>
      <c r="X4660" t="s">
        <v>46573</v>
      </c>
    </row>
    <row r="4661" spans="1:24">
      <c r="A4661">
        <f>HYPERLINK("https://www.philgeps.gov.ph/GEPSNONPILOT/Tender/SplashBidNoticeAbstractUI.aspx?menuIndex=3&amp;refID=7064343&amp;Result=3","7064343")</f>
        <v>0</v>
      </c>
      <c r="B4661" t="s">
        <v>1630</v>
      </c>
      <c r="C4661" t="s">
        <v>7990</v>
      </c>
      <c r="D4661" t="s">
        <v>18801</v>
      </c>
      <c r="E4661" t="s">
        <v>23077</v>
      </c>
      <c r="F4661" t="s">
        <v>32664</v>
      </c>
      <c r="G4661" t="s">
        <v>32674</v>
      </c>
      <c r="H4661" t="s">
        <v>12635</v>
      </c>
      <c r="I4661" t="s">
        <v>32704</v>
      </c>
      <c r="J4661" t="s">
        <v>33295</v>
      </c>
      <c r="K4661" t="s">
        <v>42283</v>
      </c>
      <c r="M4661" t="s">
        <v>44312</v>
      </c>
      <c r="N4661" t="s">
        <v>46569</v>
      </c>
      <c r="O4661" t="s">
        <v>46570</v>
      </c>
      <c r="P4661">
        <v>0</v>
      </c>
      <c r="Q4661">
        <v>8</v>
      </c>
      <c r="R4661" t="s">
        <v>46572</v>
      </c>
      <c r="S4661" t="s">
        <v>46689</v>
      </c>
      <c r="T4661" t="s">
        <v>48373</v>
      </c>
      <c r="U4661" t="s">
        <v>52624</v>
      </c>
      <c r="V4661" t="s">
        <v>62095</v>
      </c>
      <c r="W4661" t="s">
        <v>44312</v>
      </c>
      <c r="X4661" t="s">
        <v>46573</v>
      </c>
    </row>
    <row r="4662" spans="1:24">
      <c r="A4662">
        <f>HYPERLINK("https://www.philgeps.gov.ph/GEPSNONPILOT/Tender/SplashBidNoticeAbstractUI.aspx?menuIndex=3&amp;refID=7064425&amp;Result=3","7064425")</f>
        <v>0</v>
      </c>
      <c r="B4662" t="s">
        <v>952</v>
      </c>
      <c r="C4662" t="s">
        <v>7991</v>
      </c>
      <c r="D4662" t="s">
        <v>18786</v>
      </c>
      <c r="E4662" t="s">
        <v>23078</v>
      </c>
      <c r="F4662" t="s">
        <v>32664</v>
      </c>
      <c r="G4662" t="s">
        <v>32671</v>
      </c>
      <c r="H4662" t="s">
        <v>12635</v>
      </c>
      <c r="I4662" t="s">
        <v>32715</v>
      </c>
      <c r="J4662" t="s">
        <v>33349</v>
      </c>
      <c r="K4662" t="s">
        <v>42281</v>
      </c>
      <c r="M4662" t="s">
        <v>43558</v>
      </c>
      <c r="N4662" t="s">
        <v>46569</v>
      </c>
      <c r="O4662" t="s">
        <v>46570</v>
      </c>
      <c r="P4662">
        <v>0</v>
      </c>
      <c r="Q4662">
        <v>0</v>
      </c>
      <c r="R4662" t="s">
        <v>46572</v>
      </c>
      <c r="S4662" t="s">
        <v>46689</v>
      </c>
      <c r="T4662" t="s">
        <v>48293</v>
      </c>
      <c r="U4662" t="s">
        <v>52625</v>
      </c>
      <c r="V4662" t="s">
        <v>62096</v>
      </c>
      <c r="W4662" t="s">
        <v>43558</v>
      </c>
      <c r="X4662" t="s">
        <v>46573</v>
      </c>
    </row>
    <row r="4663" spans="1:24">
      <c r="A4663">
        <f>HYPERLINK("https://www.philgeps.gov.ph/GEPSNONPILOT/Tender/SplashBidNoticeAbstractUI.aspx?menuIndex=3&amp;refID=7064424&amp;Result=3","7064424")</f>
        <v>0</v>
      </c>
      <c r="B4663" t="s">
        <v>1008</v>
      </c>
      <c r="C4663" t="s">
        <v>7992</v>
      </c>
      <c r="D4663" t="s">
        <v>18786</v>
      </c>
      <c r="E4663" t="s">
        <v>23079</v>
      </c>
      <c r="F4663" t="s">
        <v>32664</v>
      </c>
      <c r="G4663" t="s">
        <v>32672</v>
      </c>
      <c r="H4663" t="s">
        <v>12635</v>
      </c>
      <c r="I4663" t="s">
        <v>32721</v>
      </c>
      <c r="J4663" t="s">
        <v>35814</v>
      </c>
      <c r="K4663" t="s">
        <v>42283</v>
      </c>
      <c r="L4663" t="s">
        <v>1008</v>
      </c>
      <c r="M4663" t="s">
        <v>43620</v>
      </c>
      <c r="N4663" t="s">
        <v>46569</v>
      </c>
      <c r="O4663" t="s">
        <v>46570</v>
      </c>
      <c r="P4663">
        <v>0</v>
      </c>
      <c r="Q4663">
        <v>0</v>
      </c>
      <c r="R4663" t="s">
        <v>46572</v>
      </c>
      <c r="S4663" t="s">
        <v>46689</v>
      </c>
      <c r="T4663" t="s">
        <v>48268</v>
      </c>
      <c r="U4663" t="s">
        <v>52626</v>
      </c>
      <c r="W4663" t="s">
        <v>43620</v>
      </c>
      <c r="X4663" t="s">
        <v>46573</v>
      </c>
    </row>
    <row r="4664" spans="1:24">
      <c r="A4664">
        <f>HYPERLINK("https://www.philgeps.gov.ph/GEPSNONPILOT/Tender/SplashBidNoticeAbstractUI.aspx?menuIndex=3&amp;refID=7064386&amp;Result=3","7064386")</f>
        <v>0</v>
      </c>
      <c r="B4664" t="s">
        <v>1094</v>
      </c>
      <c r="C4664" t="s">
        <v>7993</v>
      </c>
      <c r="D4664" t="s">
        <v>18822</v>
      </c>
      <c r="E4664" t="s">
        <v>23080</v>
      </c>
      <c r="F4664" t="s">
        <v>32664</v>
      </c>
      <c r="G4664" t="s">
        <v>32672</v>
      </c>
      <c r="H4664" t="s">
        <v>12635</v>
      </c>
      <c r="I4664" t="s">
        <v>11464</v>
      </c>
      <c r="J4664" t="s">
        <v>33751</v>
      </c>
      <c r="K4664" t="s">
        <v>42284</v>
      </c>
      <c r="M4664" t="s">
        <v>43722</v>
      </c>
      <c r="N4664" t="s">
        <v>46569</v>
      </c>
      <c r="O4664" t="s">
        <v>46570</v>
      </c>
      <c r="P4664">
        <v>0</v>
      </c>
      <c r="Q4664">
        <v>1</v>
      </c>
      <c r="R4664" t="s">
        <v>46572</v>
      </c>
      <c r="S4664" t="s">
        <v>46689</v>
      </c>
      <c r="T4664" t="s">
        <v>48312</v>
      </c>
      <c r="U4664" t="s">
        <v>52627</v>
      </c>
      <c r="W4664" t="s">
        <v>43722</v>
      </c>
      <c r="X4664" t="s">
        <v>46573</v>
      </c>
    </row>
    <row r="4665" spans="1:24">
      <c r="A4665">
        <f>HYPERLINK("https://www.philgeps.gov.ph/GEPSNONPILOT/Tender/SplashBidNoticeAbstractUI.aspx?menuIndex=3&amp;refID=7064418&amp;Result=3","7064418")</f>
        <v>0</v>
      </c>
      <c r="B4665" t="s">
        <v>116</v>
      </c>
      <c r="C4665" t="s">
        <v>5799</v>
      </c>
      <c r="D4665" t="s">
        <v>18805</v>
      </c>
      <c r="E4665" t="s">
        <v>23081</v>
      </c>
      <c r="F4665" t="s">
        <v>32664</v>
      </c>
      <c r="G4665" t="s">
        <v>32672</v>
      </c>
      <c r="H4665" t="s">
        <v>12635</v>
      </c>
      <c r="I4665" t="s">
        <v>32692</v>
      </c>
      <c r="J4665" t="s">
        <v>33621</v>
      </c>
      <c r="K4665" t="s">
        <v>42306</v>
      </c>
      <c r="M4665" t="s">
        <v>42680</v>
      </c>
      <c r="N4665" t="s">
        <v>46569</v>
      </c>
      <c r="O4665" t="s">
        <v>46570</v>
      </c>
      <c r="P4665">
        <v>0</v>
      </c>
      <c r="Q4665">
        <v>0</v>
      </c>
      <c r="R4665" t="s">
        <v>46572</v>
      </c>
      <c r="S4665" t="s">
        <v>46689</v>
      </c>
      <c r="T4665" t="s">
        <v>48321</v>
      </c>
      <c r="U4665" t="s">
        <v>52628</v>
      </c>
      <c r="W4665" t="s">
        <v>42680</v>
      </c>
      <c r="X4665" t="s">
        <v>46573</v>
      </c>
    </row>
    <row r="4666" spans="1:24">
      <c r="A4666">
        <f>HYPERLINK("https://www.philgeps.gov.ph/GEPSNONPILOT/Tender/SplashBidNoticeAbstractUI.aspx?menuIndex=3&amp;refID=7064382&amp;Result=3","7064382")</f>
        <v>0</v>
      </c>
      <c r="B4666" t="s">
        <v>1638</v>
      </c>
      <c r="C4666" t="s">
        <v>7994</v>
      </c>
      <c r="D4666" t="s">
        <v>18784</v>
      </c>
      <c r="E4666" t="s">
        <v>23082</v>
      </c>
      <c r="F4666" t="s">
        <v>32664</v>
      </c>
      <c r="G4666" t="s">
        <v>32671</v>
      </c>
      <c r="H4666" t="s">
        <v>12635</v>
      </c>
      <c r="I4666" t="s">
        <v>5589</v>
      </c>
      <c r="J4666" t="s">
        <v>33196</v>
      </c>
      <c r="K4666" t="s">
        <v>42284</v>
      </c>
      <c r="M4666" t="s">
        <v>44320</v>
      </c>
      <c r="N4666" t="s">
        <v>46569</v>
      </c>
      <c r="O4666" t="s">
        <v>46570</v>
      </c>
      <c r="P4666">
        <v>0</v>
      </c>
      <c r="Q4666">
        <v>5</v>
      </c>
      <c r="R4666" t="s">
        <v>46572</v>
      </c>
      <c r="S4666" t="s">
        <v>46689</v>
      </c>
      <c r="T4666" t="s">
        <v>48368</v>
      </c>
      <c r="U4666" t="s">
        <v>52629</v>
      </c>
      <c r="V4666" t="s">
        <v>62097</v>
      </c>
      <c r="W4666" t="s">
        <v>44320</v>
      </c>
      <c r="X4666" t="s">
        <v>46573</v>
      </c>
    </row>
    <row r="4667" spans="1:24">
      <c r="A4667">
        <f>HYPERLINK("https://www.philgeps.gov.ph/GEPSNONPILOT/Tender/SplashBidNoticeAbstractUI.aspx?menuIndex=3&amp;refID=7064416&amp;Result=3","7064416")</f>
        <v>0</v>
      </c>
      <c r="B4667" t="s">
        <v>1637</v>
      </c>
      <c r="C4667" t="s">
        <v>7995</v>
      </c>
      <c r="D4667" t="s">
        <v>18784</v>
      </c>
      <c r="E4667" t="s">
        <v>23083</v>
      </c>
      <c r="F4667" t="s">
        <v>32664</v>
      </c>
      <c r="G4667" t="s">
        <v>32671</v>
      </c>
      <c r="H4667" t="s">
        <v>12635</v>
      </c>
      <c r="I4667" t="s">
        <v>32694</v>
      </c>
      <c r="J4667" t="s">
        <v>35815</v>
      </c>
      <c r="K4667" t="s">
        <v>42283</v>
      </c>
      <c r="M4667" t="s">
        <v>44319</v>
      </c>
      <c r="N4667" t="s">
        <v>46569</v>
      </c>
      <c r="O4667" t="s">
        <v>46570</v>
      </c>
      <c r="P4667">
        <v>0</v>
      </c>
      <c r="Q4667">
        <v>0</v>
      </c>
      <c r="R4667" t="s">
        <v>46572</v>
      </c>
      <c r="S4667" t="s">
        <v>46689</v>
      </c>
      <c r="T4667" t="s">
        <v>48256</v>
      </c>
      <c r="U4667" t="s">
        <v>52630</v>
      </c>
      <c r="W4667" t="s">
        <v>44319</v>
      </c>
      <c r="X4667" t="s">
        <v>46573</v>
      </c>
    </row>
    <row r="4668" spans="1:24">
      <c r="A4668">
        <f>HYPERLINK("https://www.philgeps.gov.ph/GEPSNONPILOT/Tender/SplashBidNoticeAbstractUI.aspx?menuIndex=3&amp;refID=7064414&amp;Result=3","7064414")</f>
        <v>0</v>
      </c>
      <c r="B4668" t="s">
        <v>1008</v>
      </c>
      <c r="C4668" t="s">
        <v>7996</v>
      </c>
      <c r="D4668" t="s">
        <v>18786</v>
      </c>
      <c r="E4668" t="s">
        <v>23084</v>
      </c>
      <c r="F4668" t="s">
        <v>32664</v>
      </c>
      <c r="G4668" t="s">
        <v>32672</v>
      </c>
      <c r="H4668" t="s">
        <v>12635</v>
      </c>
      <c r="I4668" t="s">
        <v>32721</v>
      </c>
      <c r="J4668" t="s">
        <v>35816</v>
      </c>
      <c r="K4668" t="s">
        <v>42289</v>
      </c>
      <c r="L4668" t="s">
        <v>1008</v>
      </c>
      <c r="M4668" t="s">
        <v>43620</v>
      </c>
      <c r="N4668" t="s">
        <v>46569</v>
      </c>
      <c r="O4668" t="s">
        <v>46570</v>
      </c>
      <c r="P4668">
        <v>0</v>
      </c>
      <c r="Q4668">
        <v>1</v>
      </c>
      <c r="R4668" t="s">
        <v>46572</v>
      </c>
      <c r="S4668" t="s">
        <v>46689</v>
      </c>
      <c r="T4668" t="s">
        <v>48268</v>
      </c>
      <c r="U4668" t="s">
        <v>52631</v>
      </c>
      <c r="W4668" t="s">
        <v>43620</v>
      </c>
      <c r="X4668" t="s">
        <v>46573</v>
      </c>
    </row>
    <row r="4669" spans="1:24">
      <c r="A4669">
        <f>HYPERLINK("https://www.philgeps.gov.ph/GEPSNONPILOT/Tender/SplashBidNoticeAbstractUI.aspx?menuIndex=3&amp;refID=7064301&amp;Result=3","7064301")</f>
        <v>0</v>
      </c>
      <c r="B4669" t="s">
        <v>1612</v>
      </c>
      <c r="C4669" t="s">
        <v>7997</v>
      </c>
      <c r="D4669" t="s">
        <v>18821</v>
      </c>
      <c r="E4669" t="s">
        <v>23085</v>
      </c>
      <c r="F4669" t="s">
        <v>32664</v>
      </c>
      <c r="G4669" t="s">
        <v>32672</v>
      </c>
      <c r="H4669" t="s">
        <v>12635</v>
      </c>
      <c r="I4669" t="s">
        <v>32747</v>
      </c>
      <c r="J4669" t="s">
        <v>33069</v>
      </c>
      <c r="K4669" t="s">
        <v>42303</v>
      </c>
      <c r="M4669" t="s">
        <v>44291</v>
      </c>
      <c r="N4669" t="s">
        <v>46569</v>
      </c>
      <c r="O4669" t="s">
        <v>46570</v>
      </c>
      <c r="P4669">
        <v>0</v>
      </c>
      <c r="Q4669">
        <v>0</v>
      </c>
      <c r="R4669" t="s">
        <v>46572</v>
      </c>
      <c r="S4669" t="s">
        <v>46689</v>
      </c>
      <c r="T4669" t="s">
        <v>48285</v>
      </c>
      <c r="U4669" t="s">
        <v>52632</v>
      </c>
      <c r="W4669" t="s">
        <v>44291</v>
      </c>
      <c r="X4669" t="s">
        <v>46573</v>
      </c>
    </row>
    <row r="4670" spans="1:24">
      <c r="A4670">
        <f>HYPERLINK("https://www.philgeps.gov.ph/GEPSNONPILOT/Tender/SplashBidNoticeAbstractUI.aspx?menuIndex=3&amp;refID=7064411&amp;Result=3","7064411")</f>
        <v>0</v>
      </c>
      <c r="B4670" t="s">
        <v>964</v>
      </c>
      <c r="C4670" t="s">
        <v>7998</v>
      </c>
      <c r="D4670" t="s">
        <v>18786</v>
      </c>
      <c r="E4670" t="s">
        <v>23086</v>
      </c>
      <c r="F4670" t="s">
        <v>32664</v>
      </c>
      <c r="G4670" t="s">
        <v>32672</v>
      </c>
      <c r="H4670" t="s">
        <v>12635</v>
      </c>
      <c r="I4670" t="s">
        <v>5501</v>
      </c>
      <c r="J4670" t="s">
        <v>35817</v>
      </c>
      <c r="K4670" t="s">
        <v>42289</v>
      </c>
      <c r="M4670" t="s">
        <v>43572</v>
      </c>
      <c r="N4670" t="s">
        <v>46569</v>
      </c>
      <c r="O4670" t="s">
        <v>46570</v>
      </c>
      <c r="P4670">
        <v>0</v>
      </c>
      <c r="Q4670">
        <v>0</v>
      </c>
      <c r="R4670" t="s">
        <v>46572</v>
      </c>
      <c r="S4670" t="s">
        <v>46689</v>
      </c>
      <c r="T4670" t="s">
        <v>48285</v>
      </c>
      <c r="U4670" t="s">
        <v>52633</v>
      </c>
      <c r="W4670" t="s">
        <v>63499</v>
      </c>
      <c r="X4670" t="s">
        <v>46573</v>
      </c>
    </row>
    <row r="4671" spans="1:24">
      <c r="A4671">
        <f>HYPERLINK("https://www.philgeps.gov.ph/GEPSNONPILOT/Tender/SplashBidNoticeAbstractUI.aspx?menuIndex=3&amp;refID=7064409&amp;Result=3","7064409")</f>
        <v>0</v>
      </c>
      <c r="B4671" t="s">
        <v>1444</v>
      </c>
      <c r="C4671" t="s">
        <v>7999</v>
      </c>
      <c r="D4671" t="s">
        <v>18846</v>
      </c>
      <c r="E4671" t="s">
        <v>23087</v>
      </c>
      <c r="F4671" t="s">
        <v>32664</v>
      </c>
      <c r="G4671" t="s">
        <v>32672</v>
      </c>
      <c r="H4671" t="s">
        <v>32683</v>
      </c>
      <c r="I4671" t="s">
        <v>10627</v>
      </c>
      <c r="J4671" t="s">
        <v>35818</v>
      </c>
      <c r="K4671" t="s">
        <v>42290</v>
      </c>
      <c r="M4671" t="s">
        <v>44105</v>
      </c>
      <c r="N4671" t="s">
        <v>46569</v>
      </c>
      <c r="O4671" t="s">
        <v>46570</v>
      </c>
      <c r="P4671">
        <v>0</v>
      </c>
      <c r="Q4671">
        <v>0</v>
      </c>
      <c r="R4671" t="s">
        <v>46572</v>
      </c>
      <c r="S4671" t="s">
        <v>46689</v>
      </c>
      <c r="T4671" t="s">
        <v>48220</v>
      </c>
      <c r="U4671" t="s">
        <v>52634</v>
      </c>
      <c r="W4671" t="s">
        <v>44105</v>
      </c>
      <c r="X4671" t="s">
        <v>46573</v>
      </c>
    </row>
    <row r="4672" spans="1:24">
      <c r="A4672">
        <f>HYPERLINK("https://www.philgeps.gov.ph/GEPSNONPILOT/Tender/SplashBidNoticeAbstractUI.aspx?menuIndex=3&amp;refID=7064407&amp;Result=3","7064407")</f>
        <v>0</v>
      </c>
      <c r="B4672" t="s">
        <v>964</v>
      </c>
      <c r="C4672" t="s">
        <v>8000</v>
      </c>
      <c r="D4672" t="s">
        <v>18786</v>
      </c>
      <c r="E4672" t="s">
        <v>23088</v>
      </c>
      <c r="F4672" t="s">
        <v>32664</v>
      </c>
      <c r="G4672" t="s">
        <v>32672</v>
      </c>
      <c r="H4672" t="s">
        <v>12635</v>
      </c>
      <c r="I4672" t="s">
        <v>32696</v>
      </c>
      <c r="J4672" t="s">
        <v>35819</v>
      </c>
      <c r="K4672" t="s">
        <v>42289</v>
      </c>
      <c r="M4672" t="s">
        <v>43572</v>
      </c>
      <c r="N4672" t="s">
        <v>46569</v>
      </c>
      <c r="O4672" t="s">
        <v>46570</v>
      </c>
      <c r="P4672">
        <v>0</v>
      </c>
      <c r="Q4672">
        <v>1</v>
      </c>
      <c r="R4672" t="s">
        <v>46572</v>
      </c>
      <c r="S4672" t="s">
        <v>46689</v>
      </c>
      <c r="T4672" t="s">
        <v>48285</v>
      </c>
      <c r="U4672" t="s">
        <v>52635</v>
      </c>
      <c r="W4672" t="s">
        <v>63499</v>
      </c>
      <c r="X4672" t="s">
        <v>46573</v>
      </c>
    </row>
    <row r="4673" spans="1:24">
      <c r="A4673">
        <f>HYPERLINK("https://www.philgeps.gov.ph/GEPSNONPILOT/Tender/SplashBidNoticeAbstractUI.aspx?menuIndex=3&amp;refID=7064406&amp;Result=3","7064406")</f>
        <v>0</v>
      </c>
      <c r="B4673" t="s">
        <v>1639</v>
      </c>
      <c r="C4673" t="s">
        <v>8001</v>
      </c>
      <c r="D4673" t="s">
        <v>18788</v>
      </c>
      <c r="E4673" t="s">
        <v>19044</v>
      </c>
      <c r="F4673" t="s">
        <v>32664</v>
      </c>
      <c r="G4673" t="s">
        <v>32672</v>
      </c>
      <c r="H4673" t="s">
        <v>12635</v>
      </c>
      <c r="I4673" t="s">
        <v>4439</v>
      </c>
      <c r="J4673" t="s">
        <v>35820</v>
      </c>
      <c r="K4673" t="s">
        <v>42297</v>
      </c>
      <c r="M4673" t="s">
        <v>44321</v>
      </c>
      <c r="N4673" t="s">
        <v>46569</v>
      </c>
      <c r="O4673" t="s">
        <v>46570</v>
      </c>
      <c r="P4673">
        <v>0</v>
      </c>
      <c r="Q4673">
        <v>0</v>
      </c>
      <c r="R4673" t="s">
        <v>46572</v>
      </c>
      <c r="S4673" t="s">
        <v>46689</v>
      </c>
      <c r="T4673" t="s">
        <v>48223</v>
      </c>
      <c r="U4673" t="s">
        <v>52636</v>
      </c>
      <c r="W4673" t="s">
        <v>44321</v>
      </c>
      <c r="X4673" t="s">
        <v>46573</v>
      </c>
    </row>
    <row r="4674" spans="1:24">
      <c r="A4674">
        <f>HYPERLINK("https://www.philgeps.gov.ph/GEPSNONPILOT/Tender/SplashBidNoticeAbstractUI.aspx?menuIndex=3&amp;refID=7064403&amp;Result=3","7064403")</f>
        <v>0</v>
      </c>
      <c r="B4674" t="s">
        <v>964</v>
      </c>
      <c r="C4674" t="s">
        <v>8002</v>
      </c>
      <c r="D4674" t="s">
        <v>18786</v>
      </c>
      <c r="E4674" t="s">
        <v>23089</v>
      </c>
      <c r="F4674" t="s">
        <v>32664</v>
      </c>
      <c r="G4674" t="s">
        <v>32672</v>
      </c>
      <c r="H4674" t="s">
        <v>12635</v>
      </c>
      <c r="I4674" t="s">
        <v>6628</v>
      </c>
      <c r="J4674" t="s">
        <v>35821</v>
      </c>
      <c r="K4674" t="s">
        <v>42289</v>
      </c>
      <c r="M4674" t="s">
        <v>43572</v>
      </c>
      <c r="N4674" t="s">
        <v>46569</v>
      </c>
      <c r="O4674" t="s">
        <v>46570</v>
      </c>
      <c r="P4674">
        <v>0</v>
      </c>
      <c r="Q4674">
        <v>2</v>
      </c>
      <c r="R4674" t="s">
        <v>46572</v>
      </c>
      <c r="S4674" t="s">
        <v>46689</v>
      </c>
      <c r="T4674" t="s">
        <v>48285</v>
      </c>
      <c r="U4674" t="s">
        <v>52637</v>
      </c>
      <c r="W4674" t="s">
        <v>63499</v>
      </c>
      <c r="X4674" t="s">
        <v>46573</v>
      </c>
    </row>
    <row r="4675" spans="1:24">
      <c r="A4675">
        <f>HYPERLINK("https://www.philgeps.gov.ph/GEPSNONPILOT/Tender/SplashBidNoticeAbstractUI.aspx?menuIndex=3&amp;refID=7064415&amp;Result=3","7064415")</f>
        <v>0</v>
      </c>
      <c r="B4675" t="s">
        <v>1633</v>
      </c>
      <c r="C4675" t="s">
        <v>8003</v>
      </c>
      <c r="D4675" t="s">
        <v>18784</v>
      </c>
      <c r="E4675" t="s">
        <v>23090</v>
      </c>
      <c r="F4675" t="s">
        <v>32664</v>
      </c>
      <c r="G4675" t="s">
        <v>32678</v>
      </c>
      <c r="H4675" t="s">
        <v>32681</v>
      </c>
      <c r="I4675" t="s">
        <v>5589</v>
      </c>
      <c r="J4675" t="s">
        <v>32837</v>
      </c>
      <c r="K4675" t="s">
        <v>42347</v>
      </c>
      <c r="M4675" t="s">
        <v>44315</v>
      </c>
      <c r="N4675" t="s">
        <v>46569</v>
      </c>
      <c r="O4675" t="s">
        <v>46570</v>
      </c>
      <c r="P4675">
        <v>0</v>
      </c>
      <c r="Q4675">
        <v>4</v>
      </c>
      <c r="R4675" t="s">
        <v>46572</v>
      </c>
      <c r="S4675" t="s">
        <v>46689</v>
      </c>
      <c r="T4675" t="s">
        <v>48523</v>
      </c>
      <c r="U4675" t="s">
        <v>52638</v>
      </c>
      <c r="W4675" t="s">
        <v>44315</v>
      </c>
      <c r="X4675" t="s">
        <v>46573</v>
      </c>
    </row>
    <row r="4676" spans="1:24">
      <c r="A4676">
        <f>HYPERLINK("https://www.philgeps.gov.ph/GEPSNONPILOT/Tender/SplashBidNoticeAbstractUI.aspx?menuIndex=3&amp;refID=7064402&amp;Result=3","7064402")</f>
        <v>0</v>
      </c>
      <c r="B4676" t="s">
        <v>1008</v>
      </c>
      <c r="C4676" t="s">
        <v>8004</v>
      </c>
      <c r="D4676" t="s">
        <v>18786</v>
      </c>
      <c r="E4676" t="s">
        <v>23091</v>
      </c>
      <c r="F4676" t="s">
        <v>32664</v>
      </c>
      <c r="G4676" t="s">
        <v>32672</v>
      </c>
      <c r="H4676" t="s">
        <v>12635</v>
      </c>
      <c r="I4676" t="s">
        <v>32721</v>
      </c>
      <c r="J4676" t="s">
        <v>35822</v>
      </c>
      <c r="K4676" t="s">
        <v>42289</v>
      </c>
      <c r="L4676" t="s">
        <v>1008</v>
      </c>
      <c r="M4676" t="s">
        <v>43620</v>
      </c>
      <c r="N4676" t="s">
        <v>46569</v>
      </c>
      <c r="O4676" t="s">
        <v>46570</v>
      </c>
      <c r="P4676">
        <v>0</v>
      </c>
      <c r="Q4676">
        <v>0</v>
      </c>
      <c r="R4676" t="s">
        <v>46572</v>
      </c>
      <c r="S4676" t="s">
        <v>46689</v>
      </c>
      <c r="T4676" t="s">
        <v>48268</v>
      </c>
      <c r="U4676" t="s">
        <v>52639</v>
      </c>
      <c r="W4676" t="s">
        <v>43620</v>
      </c>
      <c r="X4676" t="s">
        <v>46573</v>
      </c>
    </row>
    <row r="4677" spans="1:24">
      <c r="A4677">
        <f>HYPERLINK("https://www.philgeps.gov.ph/GEPSNONPILOT/Tender/SplashBidNoticeAbstractUI.aspx?menuIndex=3&amp;refID=7064413&amp;Result=3","7064413")</f>
        <v>0</v>
      </c>
      <c r="B4677" t="s">
        <v>956</v>
      </c>
      <c r="C4677" t="s">
        <v>8005</v>
      </c>
      <c r="D4677" t="s">
        <v>18784</v>
      </c>
      <c r="E4677" t="s">
        <v>23092</v>
      </c>
      <c r="F4677" t="s">
        <v>32664</v>
      </c>
      <c r="G4677" t="s">
        <v>32672</v>
      </c>
      <c r="H4677" t="s">
        <v>12635</v>
      </c>
      <c r="I4677" t="s">
        <v>32704</v>
      </c>
      <c r="J4677" t="s">
        <v>33009</v>
      </c>
      <c r="K4677" t="s">
        <v>42311</v>
      </c>
      <c r="M4677" t="s">
        <v>43563</v>
      </c>
      <c r="N4677" t="s">
        <v>46569</v>
      </c>
      <c r="O4677" t="s">
        <v>46570</v>
      </c>
      <c r="P4677">
        <v>0</v>
      </c>
      <c r="Q4677">
        <v>10</v>
      </c>
      <c r="R4677" t="s">
        <v>46572</v>
      </c>
      <c r="S4677" t="s">
        <v>46689</v>
      </c>
      <c r="T4677" t="s">
        <v>48216</v>
      </c>
      <c r="U4677" t="s">
        <v>52640</v>
      </c>
      <c r="W4677" t="s">
        <v>43563</v>
      </c>
      <c r="X4677" t="s">
        <v>46573</v>
      </c>
    </row>
    <row r="4678" spans="1:24">
      <c r="A4678">
        <f>HYPERLINK("https://www.philgeps.gov.ph/GEPSNONPILOT/Tender/SplashBidNoticeAbstractUI.aspx?menuIndex=3&amp;refID=7064453&amp;Result=3","7064453")</f>
        <v>0</v>
      </c>
      <c r="B4678" t="s">
        <v>1640</v>
      </c>
      <c r="C4678" t="s">
        <v>8006</v>
      </c>
      <c r="D4678" t="s">
        <v>18837</v>
      </c>
      <c r="E4678" t="s">
        <v>23093</v>
      </c>
      <c r="F4678" t="s">
        <v>32664</v>
      </c>
      <c r="G4678" t="s">
        <v>32674</v>
      </c>
      <c r="H4678" t="s">
        <v>12635</v>
      </c>
      <c r="I4678" t="s">
        <v>32706</v>
      </c>
      <c r="J4678" t="s">
        <v>35823</v>
      </c>
      <c r="K4678" t="s">
        <v>42284</v>
      </c>
      <c r="M4678" t="s">
        <v>44322</v>
      </c>
      <c r="N4678" t="s">
        <v>46569</v>
      </c>
      <c r="O4678" t="s">
        <v>46570</v>
      </c>
      <c r="P4678">
        <v>0</v>
      </c>
      <c r="Q4678">
        <v>0</v>
      </c>
      <c r="R4678" t="s">
        <v>46572</v>
      </c>
      <c r="S4678" t="s">
        <v>46689</v>
      </c>
      <c r="T4678" t="s">
        <v>48221</v>
      </c>
      <c r="U4678" t="s">
        <v>52641</v>
      </c>
      <c r="W4678" t="s">
        <v>44322</v>
      </c>
      <c r="X4678" t="s">
        <v>46573</v>
      </c>
    </row>
    <row r="4679" spans="1:24">
      <c r="A4679">
        <f>HYPERLINK("https://www.philgeps.gov.ph/GEPSNONPILOT/Tender/SplashBidNoticeAbstractUI.aspx?menuIndex=3&amp;refID=7064395&amp;Result=3","7064395")</f>
        <v>0</v>
      </c>
      <c r="B4679" t="s">
        <v>1008</v>
      </c>
      <c r="C4679" t="s">
        <v>8007</v>
      </c>
      <c r="D4679" t="s">
        <v>18786</v>
      </c>
      <c r="E4679" t="s">
        <v>23094</v>
      </c>
      <c r="F4679" t="s">
        <v>32664</v>
      </c>
      <c r="G4679" t="s">
        <v>32672</v>
      </c>
      <c r="H4679" t="s">
        <v>12635</v>
      </c>
      <c r="I4679" t="s">
        <v>32721</v>
      </c>
      <c r="J4679" t="s">
        <v>35824</v>
      </c>
      <c r="K4679" t="s">
        <v>42289</v>
      </c>
      <c r="L4679" t="s">
        <v>1008</v>
      </c>
      <c r="M4679" t="s">
        <v>43620</v>
      </c>
      <c r="N4679" t="s">
        <v>46569</v>
      </c>
      <c r="O4679" t="s">
        <v>46570</v>
      </c>
      <c r="P4679">
        <v>0</v>
      </c>
      <c r="Q4679">
        <v>0</v>
      </c>
      <c r="R4679" t="s">
        <v>46572</v>
      </c>
      <c r="S4679" t="s">
        <v>46689</v>
      </c>
      <c r="T4679" t="s">
        <v>48268</v>
      </c>
      <c r="U4679" t="s">
        <v>52642</v>
      </c>
      <c r="W4679" t="s">
        <v>43620</v>
      </c>
      <c r="X4679" t="s">
        <v>46573</v>
      </c>
    </row>
    <row r="4680" spans="1:24">
      <c r="A4680">
        <f>HYPERLINK("https://www.philgeps.gov.ph/GEPSNONPILOT/Tender/SplashBidNoticeAbstractUI.aspx?menuIndex=3&amp;refID=7064408&amp;Result=3","7064408")</f>
        <v>0</v>
      </c>
      <c r="B4680" t="s">
        <v>1094</v>
      </c>
      <c r="C4680" t="s">
        <v>8008</v>
      </c>
      <c r="D4680" t="s">
        <v>18822</v>
      </c>
      <c r="E4680" t="s">
        <v>23095</v>
      </c>
      <c r="F4680" t="s">
        <v>32664</v>
      </c>
      <c r="G4680" t="s">
        <v>32672</v>
      </c>
      <c r="H4680" t="s">
        <v>32683</v>
      </c>
      <c r="I4680" t="s">
        <v>10627</v>
      </c>
      <c r="J4680" t="s">
        <v>32974</v>
      </c>
      <c r="K4680" t="s">
        <v>42298</v>
      </c>
      <c r="M4680" t="s">
        <v>43722</v>
      </c>
      <c r="N4680" t="s">
        <v>46569</v>
      </c>
      <c r="O4680" t="s">
        <v>46570</v>
      </c>
      <c r="P4680">
        <v>0</v>
      </c>
      <c r="Q4680">
        <v>0</v>
      </c>
      <c r="R4680" t="s">
        <v>46572</v>
      </c>
      <c r="S4680" t="s">
        <v>46689</v>
      </c>
      <c r="T4680" t="s">
        <v>48312</v>
      </c>
      <c r="U4680" t="s">
        <v>52643</v>
      </c>
      <c r="W4680" t="s">
        <v>43722</v>
      </c>
      <c r="X4680" t="s">
        <v>46573</v>
      </c>
    </row>
    <row r="4681" spans="1:24">
      <c r="A4681">
        <f>HYPERLINK("https://www.philgeps.gov.ph/GEPSNONPILOT/Tender/SplashBidNoticeAbstractUI.aspx?menuIndex=3&amp;refID=7064450&amp;Result=3","7064450")</f>
        <v>0</v>
      </c>
      <c r="B4681" t="s">
        <v>460</v>
      </c>
      <c r="C4681" t="s">
        <v>8009</v>
      </c>
      <c r="D4681" t="s">
        <v>18806</v>
      </c>
      <c r="E4681" t="s">
        <v>23096</v>
      </c>
      <c r="F4681" t="s">
        <v>32664</v>
      </c>
      <c r="G4681" t="s">
        <v>32672</v>
      </c>
      <c r="H4681" t="s">
        <v>12635</v>
      </c>
      <c r="I4681" t="s">
        <v>4205</v>
      </c>
      <c r="J4681" t="s">
        <v>35825</v>
      </c>
      <c r="K4681" t="s">
        <v>42330</v>
      </c>
      <c r="M4681" t="s">
        <v>44323</v>
      </c>
      <c r="N4681" t="s">
        <v>46569</v>
      </c>
      <c r="O4681" t="s">
        <v>46570</v>
      </c>
      <c r="P4681">
        <v>0</v>
      </c>
      <c r="Q4681">
        <v>0</v>
      </c>
      <c r="R4681" t="s">
        <v>46572</v>
      </c>
      <c r="S4681" t="s">
        <v>46689</v>
      </c>
      <c r="T4681" t="s">
        <v>48285</v>
      </c>
      <c r="U4681" t="s">
        <v>52644</v>
      </c>
      <c r="V4681" t="s">
        <v>61876</v>
      </c>
      <c r="W4681" t="s">
        <v>44323</v>
      </c>
      <c r="X4681" t="s">
        <v>46573</v>
      </c>
    </row>
    <row r="4682" spans="1:24">
      <c r="A4682">
        <f>HYPERLINK("https://www.philgeps.gov.ph/GEPSNONPILOT/Tender/SplashBidNoticeAbstractUI.aspx?menuIndex=3&amp;refID=7064400&amp;Result=3","7064400")</f>
        <v>0</v>
      </c>
      <c r="B4682" t="s">
        <v>1638</v>
      </c>
      <c r="C4682" t="s">
        <v>8010</v>
      </c>
      <c r="D4682" t="s">
        <v>18784</v>
      </c>
      <c r="E4682" t="s">
        <v>23097</v>
      </c>
      <c r="F4682" t="s">
        <v>32664</v>
      </c>
      <c r="G4682" t="s">
        <v>32671</v>
      </c>
      <c r="H4682" t="s">
        <v>12635</v>
      </c>
      <c r="I4682" t="s">
        <v>32704</v>
      </c>
      <c r="J4682" t="s">
        <v>33051</v>
      </c>
      <c r="K4682" t="s">
        <v>42369</v>
      </c>
      <c r="M4682" t="s">
        <v>44320</v>
      </c>
      <c r="N4682" t="s">
        <v>46569</v>
      </c>
      <c r="O4682" t="s">
        <v>46570</v>
      </c>
      <c r="P4682">
        <v>0</v>
      </c>
      <c r="Q4682">
        <v>10</v>
      </c>
      <c r="R4682" t="s">
        <v>46572</v>
      </c>
      <c r="S4682" t="s">
        <v>46689</v>
      </c>
      <c r="T4682" t="s">
        <v>48368</v>
      </c>
      <c r="U4682" t="s">
        <v>52645</v>
      </c>
      <c r="V4682" t="s">
        <v>62098</v>
      </c>
      <c r="W4682" t="s">
        <v>44320</v>
      </c>
      <c r="X4682" t="s">
        <v>46573</v>
      </c>
    </row>
    <row r="4683" spans="1:24">
      <c r="A4683">
        <f>HYPERLINK("https://www.philgeps.gov.ph/GEPSNONPILOT/Tender/SplashBidNoticeAbstractUI.aspx?menuIndex=3&amp;refID=7064446&amp;Result=3","7064446")</f>
        <v>0</v>
      </c>
      <c r="B4683" t="s">
        <v>460</v>
      </c>
      <c r="C4683" t="s">
        <v>8011</v>
      </c>
      <c r="D4683" t="s">
        <v>18806</v>
      </c>
      <c r="E4683" t="s">
        <v>23098</v>
      </c>
      <c r="F4683" t="s">
        <v>32664</v>
      </c>
      <c r="G4683" t="s">
        <v>32672</v>
      </c>
      <c r="H4683" t="s">
        <v>12635</v>
      </c>
      <c r="I4683" t="s">
        <v>32704</v>
      </c>
      <c r="J4683" t="s">
        <v>35826</v>
      </c>
      <c r="K4683" t="s">
        <v>42330</v>
      </c>
      <c r="M4683" t="s">
        <v>44323</v>
      </c>
      <c r="N4683" t="s">
        <v>46569</v>
      </c>
      <c r="O4683" t="s">
        <v>46570</v>
      </c>
      <c r="P4683">
        <v>0</v>
      </c>
      <c r="Q4683">
        <v>4</v>
      </c>
      <c r="R4683" t="s">
        <v>46572</v>
      </c>
      <c r="S4683" t="s">
        <v>46689</v>
      </c>
      <c r="T4683" t="s">
        <v>48285</v>
      </c>
      <c r="U4683" t="s">
        <v>52646</v>
      </c>
      <c r="V4683" t="s">
        <v>61876</v>
      </c>
      <c r="W4683" t="s">
        <v>44323</v>
      </c>
      <c r="X4683" t="s">
        <v>46573</v>
      </c>
    </row>
    <row r="4684" spans="1:24">
      <c r="A4684">
        <f>HYPERLINK("https://www.philgeps.gov.ph/GEPSNONPILOT/Tender/SplashBidNoticeAbstractUI.aspx?menuIndex=3&amp;refID=7064401&amp;Result=3","7064401")</f>
        <v>0</v>
      </c>
      <c r="B4684" t="s">
        <v>1633</v>
      </c>
      <c r="C4684" t="s">
        <v>8012</v>
      </c>
      <c r="D4684" t="s">
        <v>18784</v>
      </c>
      <c r="E4684" t="s">
        <v>23099</v>
      </c>
      <c r="F4684" t="s">
        <v>32664</v>
      </c>
      <c r="G4684" t="s">
        <v>32671</v>
      </c>
      <c r="H4684" t="s">
        <v>32681</v>
      </c>
      <c r="I4684" t="s">
        <v>32681</v>
      </c>
      <c r="J4684" t="s">
        <v>32962</v>
      </c>
      <c r="K4684" t="s">
        <v>42347</v>
      </c>
      <c r="M4684" t="s">
        <v>44315</v>
      </c>
      <c r="N4684" t="s">
        <v>46569</v>
      </c>
      <c r="O4684" t="s">
        <v>46570</v>
      </c>
      <c r="P4684">
        <v>0</v>
      </c>
      <c r="Q4684">
        <v>3</v>
      </c>
      <c r="R4684" t="s">
        <v>46572</v>
      </c>
      <c r="S4684" t="s">
        <v>46689</v>
      </c>
      <c r="T4684" t="s">
        <v>48524</v>
      </c>
      <c r="U4684" t="s">
        <v>52647</v>
      </c>
      <c r="W4684" t="s">
        <v>44315</v>
      </c>
      <c r="X4684" t="s">
        <v>46573</v>
      </c>
    </row>
    <row r="4685" spans="1:24">
      <c r="A4685">
        <f>HYPERLINK("https://www.philgeps.gov.ph/GEPSNONPILOT/Tender/SplashBidNoticeAbstractUI.aspx?menuIndex=3&amp;refID=7064451&amp;Result=3","7064451")</f>
        <v>0</v>
      </c>
      <c r="B4685" t="s">
        <v>1641</v>
      </c>
      <c r="C4685" t="s">
        <v>8013</v>
      </c>
      <c r="D4685" t="s">
        <v>18801</v>
      </c>
      <c r="E4685" t="s">
        <v>22546</v>
      </c>
      <c r="F4685" t="s">
        <v>32664</v>
      </c>
      <c r="G4685" t="s">
        <v>32672</v>
      </c>
      <c r="H4685" t="s">
        <v>12635</v>
      </c>
      <c r="I4685" t="s">
        <v>32685</v>
      </c>
      <c r="J4685" t="s">
        <v>35827</v>
      </c>
      <c r="K4685" t="s">
        <v>42281</v>
      </c>
      <c r="M4685" t="s">
        <v>44324</v>
      </c>
      <c r="N4685" t="s">
        <v>46569</v>
      </c>
      <c r="O4685" t="s">
        <v>46570</v>
      </c>
      <c r="P4685">
        <v>0</v>
      </c>
      <c r="Q4685">
        <v>0</v>
      </c>
      <c r="R4685" t="s">
        <v>46572</v>
      </c>
      <c r="S4685" t="s">
        <v>46689</v>
      </c>
      <c r="T4685" t="s">
        <v>48245</v>
      </c>
      <c r="U4685" t="s">
        <v>52648</v>
      </c>
      <c r="V4685" t="s">
        <v>62099</v>
      </c>
      <c r="W4685" t="s">
        <v>44324</v>
      </c>
      <c r="X4685" t="s">
        <v>46573</v>
      </c>
    </row>
    <row r="4686" spans="1:24">
      <c r="A4686">
        <f>HYPERLINK("https://www.philgeps.gov.ph/GEPSNONPILOT/Tender/SplashBidNoticeAbstractUI.aspx?menuIndex=3&amp;refID=7064445&amp;Result=3","7064445")</f>
        <v>0</v>
      </c>
      <c r="B4686" t="s">
        <v>964</v>
      </c>
      <c r="C4686" t="s">
        <v>8014</v>
      </c>
      <c r="D4686" t="s">
        <v>18786</v>
      </c>
      <c r="E4686" t="s">
        <v>23100</v>
      </c>
      <c r="F4686" t="s">
        <v>32664</v>
      </c>
      <c r="G4686" t="s">
        <v>32672</v>
      </c>
      <c r="H4686" t="s">
        <v>12635</v>
      </c>
      <c r="I4686" t="s">
        <v>6168</v>
      </c>
      <c r="J4686" t="s">
        <v>35828</v>
      </c>
      <c r="K4686" t="s">
        <v>42289</v>
      </c>
      <c r="M4686" t="s">
        <v>43572</v>
      </c>
      <c r="N4686" t="s">
        <v>46569</v>
      </c>
      <c r="O4686" t="s">
        <v>46570</v>
      </c>
      <c r="P4686">
        <v>0</v>
      </c>
      <c r="Q4686">
        <v>0</v>
      </c>
      <c r="R4686" t="s">
        <v>46572</v>
      </c>
      <c r="S4686" t="s">
        <v>46689</v>
      </c>
      <c r="T4686" t="s">
        <v>48285</v>
      </c>
      <c r="U4686" t="s">
        <v>52649</v>
      </c>
      <c r="W4686" t="s">
        <v>63499</v>
      </c>
      <c r="X4686" t="s">
        <v>46573</v>
      </c>
    </row>
    <row r="4687" spans="1:24">
      <c r="A4687">
        <f>HYPERLINK("https://www.philgeps.gov.ph/GEPSNONPILOT/Tender/SplashBidNoticeAbstractUI.aspx?menuIndex=3&amp;refID=7064421&amp;Result=3","7064421")</f>
        <v>0</v>
      </c>
      <c r="B4687" t="s">
        <v>460</v>
      </c>
      <c r="C4687" t="s">
        <v>8015</v>
      </c>
      <c r="D4687" t="s">
        <v>18806</v>
      </c>
      <c r="E4687" t="s">
        <v>23101</v>
      </c>
      <c r="F4687" t="s">
        <v>32664</v>
      </c>
      <c r="G4687" t="s">
        <v>32672</v>
      </c>
      <c r="H4687" t="s">
        <v>12635</v>
      </c>
      <c r="I4687" t="s">
        <v>9486</v>
      </c>
      <c r="J4687" t="s">
        <v>35829</v>
      </c>
      <c r="K4687" t="s">
        <v>42348</v>
      </c>
      <c r="M4687" t="s">
        <v>44323</v>
      </c>
      <c r="N4687" t="s">
        <v>46569</v>
      </c>
      <c r="O4687" t="s">
        <v>46570</v>
      </c>
      <c r="P4687">
        <v>0</v>
      </c>
      <c r="Q4687">
        <v>2</v>
      </c>
      <c r="R4687" t="s">
        <v>46572</v>
      </c>
      <c r="S4687" t="s">
        <v>46689</v>
      </c>
      <c r="T4687" t="s">
        <v>48270</v>
      </c>
      <c r="U4687" t="s">
        <v>52650</v>
      </c>
      <c r="V4687" t="s">
        <v>61876</v>
      </c>
      <c r="W4687" t="s">
        <v>44323</v>
      </c>
      <c r="X4687" t="s">
        <v>46573</v>
      </c>
    </row>
    <row r="4688" spans="1:24">
      <c r="A4688">
        <f>HYPERLINK("https://www.philgeps.gov.ph/GEPSNONPILOT/Tender/SplashBidNoticeAbstractUI.aspx?menuIndex=3&amp;refID=7064381&amp;Result=3","7064381")</f>
        <v>0</v>
      </c>
      <c r="B4688" t="s">
        <v>1444</v>
      </c>
      <c r="C4688" t="s">
        <v>8016</v>
      </c>
      <c r="D4688" t="s">
        <v>18846</v>
      </c>
      <c r="E4688" t="s">
        <v>23102</v>
      </c>
      <c r="F4688" t="s">
        <v>32664</v>
      </c>
      <c r="G4688" t="s">
        <v>32672</v>
      </c>
      <c r="H4688" t="s">
        <v>12635</v>
      </c>
      <c r="I4688" t="s">
        <v>32743</v>
      </c>
      <c r="J4688" t="s">
        <v>34559</v>
      </c>
      <c r="K4688" t="s">
        <v>42281</v>
      </c>
      <c r="M4688" t="s">
        <v>44105</v>
      </c>
      <c r="N4688" t="s">
        <v>46569</v>
      </c>
      <c r="O4688" t="s">
        <v>46570</v>
      </c>
      <c r="P4688">
        <v>0</v>
      </c>
      <c r="Q4688">
        <v>11</v>
      </c>
      <c r="R4688" t="s">
        <v>46572</v>
      </c>
      <c r="S4688" t="s">
        <v>46689</v>
      </c>
      <c r="T4688" t="s">
        <v>48220</v>
      </c>
      <c r="U4688" t="s">
        <v>52651</v>
      </c>
      <c r="W4688" t="s">
        <v>44105</v>
      </c>
      <c r="X4688" t="s">
        <v>46573</v>
      </c>
    </row>
    <row r="4689" spans="1:24">
      <c r="A4689">
        <f>HYPERLINK("https://www.philgeps.gov.ph/GEPSNONPILOT/Tender/SplashBidNoticeAbstractUI.aspx?menuIndex=3&amp;refID=7064448&amp;Result=3","7064448")</f>
        <v>0</v>
      </c>
      <c r="B4689" t="s">
        <v>1640</v>
      </c>
      <c r="C4689" t="s">
        <v>8017</v>
      </c>
      <c r="D4689" t="s">
        <v>18837</v>
      </c>
      <c r="E4689" t="s">
        <v>23103</v>
      </c>
      <c r="F4689" t="s">
        <v>32664</v>
      </c>
      <c r="G4689" t="s">
        <v>32671</v>
      </c>
      <c r="H4689" t="s">
        <v>12635</v>
      </c>
      <c r="I4689" t="s">
        <v>6553</v>
      </c>
      <c r="J4689" t="s">
        <v>35830</v>
      </c>
      <c r="K4689" t="s">
        <v>42303</v>
      </c>
      <c r="M4689" t="s">
        <v>44322</v>
      </c>
      <c r="N4689" t="s">
        <v>46569</v>
      </c>
      <c r="O4689" t="s">
        <v>46570</v>
      </c>
      <c r="P4689">
        <v>0</v>
      </c>
      <c r="Q4689">
        <v>0</v>
      </c>
      <c r="R4689" t="s">
        <v>46572</v>
      </c>
      <c r="S4689" t="s">
        <v>46689</v>
      </c>
      <c r="T4689" t="s">
        <v>48221</v>
      </c>
      <c r="U4689" t="s">
        <v>52652</v>
      </c>
      <c r="W4689" t="s">
        <v>44322</v>
      </c>
      <c r="X4689" t="s">
        <v>46573</v>
      </c>
    </row>
    <row r="4690" spans="1:24">
      <c r="A4690">
        <f>HYPERLINK("https://www.philgeps.gov.ph/GEPSNONPILOT/Tender/SplashBidNoticeAbstractUI.aspx?menuIndex=3&amp;refID=7064447&amp;Result=3","7064447")</f>
        <v>0</v>
      </c>
      <c r="B4690" t="s">
        <v>1642</v>
      </c>
      <c r="C4690" t="s">
        <v>8018</v>
      </c>
      <c r="D4690" t="s">
        <v>18805</v>
      </c>
      <c r="E4690" t="s">
        <v>19484</v>
      </c>
      <c r="F4690" t="s">
        <v>32664</v>
      </c>
      <c r="G4690" t="s">
        <v>32671</v>
      </c>
      <c r="H4690" t="s">
        <v>12635</v>
      </c>
      <c r="I4690" t="s">
        <v>10370</v>
      </c>
      <c r="J4690" t="s">
        <v>35114</v>
      </c>
      <c r="K4690" t="s">
        <v>42283</v>
      </c>
      <c r="M4690" t="s">
        <v>44325</v>
      </c>
      <c r="N4690" t="s">
        <v>46569</v>
      </c>
      <c r="O4690" t="s">
        <v>46570</v>
      </c>
      <c r="P4690">
        <v>0</v>
      </c>
      <c r="Q4690">
        <v>0</v>
      </c>
      <c r="R4690" t="s">
        <v>46572</v>
      </c>
      <c r="S4690" t="s">
        <v>46689</v>
      </c>
      <c r="T4690" t="s">
        <v>48244</v>
      </c>
      <c r="U4690" t="s">
        <v>52653</v>
      </c>
      <c r="W4690" t="s">
        <v>44325</v>
      </c>
      <c r="X4690" t="s">
        <v>46573</v>
      </c>
    </row>
    <row r="4691" spans="1:24">
      <c r="A4691">
        <f>HYPERLINK("https://www.philgeps.gov.ph/GEPSNONPILOT/Tender/SplashBidNoticeAbstractUI.aspx?menuIndex=3&amp;refID=7064455&amp;Result=3","7064455")</f>
        <v>0</v>
      </c>
      <c r="B4691" t="s">
        <v>1048</v>
      </c>
      <c r="C4691" t="s">
        <v>8019</v>
      </c>
      <c r="D4691" t="s">
        <v>18831</v>
      </c>
      <c r="E4691" t="s">
        <v>23104</v>
      </c>
      <c r="F4691" t="s">
        <v>32664</v>
      </c>
      <c r="G4691" t="s">
        <v>32671</v>
      </c>
      <c r="H4691" t="s">
        <v>12635</v>
      </c>
      <c r="I4691" t="s">
        <v>6628</v>
      </c>
      <c r="J4691" t="s">
        <v>35831</v>
      </c>
      <c r="K4691" t="s">
        <v>42281</v>
      </c>
      <c r="M4691" t="s">
        <v>44326</v>
      </c>
      <c r="N4691" t="s">
        <v>46569</v>
      </c>
      <c r="O4691" t="s">
        <v>46570</v>
      </c>
      <c r="P4691">
        <v>0</v>
      </c>
      <c r="Q4691">
        <v>2</v>
      </c>
      <c r="R4691" t="s">
        <v>46572</v>
      </c>
      <c r="S4691" t="s">
        <v>46689</v>
      </c>
      <c r="T4691" t="s">
        <v>48283</v>
      </c>
      <c r="U4691" t="s">
        <v>52654</v>
      </c>
      <c r="W4691" t="s">
        <v>44326</v>
      </c>
      <c r="X4691" t="s">
        <v>46573</v>
      </c>
    </row>
    <row r="4692" spans="1:24">
      <c r="A4692">
        <f>HYPERLINK("https://www.philgeps.gov.ph/GEPSNONPILOT/Tender/SplashBidNoticeAbstractUI.aspx?menuIndex=3&amp;refID=7064474&amp;Result=3","7064474")</f>
        <v>0</v>
      </c>
      <c r="B4692" t="s">
        <v>1643</v>
      </c>
      <c r="C4692" t="s">
        <v>8020</v>
      </c>
      <c r="D4692" t="s">
        <v>18830</v>
      </c>
      <c r="E4692" t="s">
        <v>23105</v>
      </c>
      <c r="F4692" t="s">
        <v>32664</v>
      </c>
      <c r="G4692" t="s">
        <v>32671</v>
      </c>
      <c r="H4692" t="s">
        <v>12635</v>
      </c>
      <c r="I4692" t="s">
        <v>8730</v>
      </c>
      <c r="J4692" t="s">
        <v>35832</v>
      </c>
      <c r="K4692" t="s">
        <v>42309</v>
      </c>
      <c r="M4692" t="s">
        <v>44327</v>
      </c>
      <c r="N4692" t="s">
        <v>46569</v>
      </c>
      <c r="O4692" t="s">
        <v>46570</v>
      </c>
      <c r="P4692">
        <v>0</v>
      </c>
      <c r="Q4692">
        <v>2</v>
      </c>
      <c r="R4692" t="s">
        <v>46572</v>
      </c>
      <c r="S4692" t="s">
        <v>46689</v>
      </c>
      <c r="T4692" t="s">
        <v>48228</v>
      </c>
      <c r="U4692" t="s">
        <v>52655</v>
      </c>
      <c r="W4692" t="s">
        <v>44327</v>
      </c>
      <c r="X4692" t="s">
        <v>46573</v>
      </c>
    </row>
    <row r="4693" spans="1:24">
      <c r="A4693">
        <f>HYPERLINK("https://www.philgeps.gov.ph/GEPSNONPILOT/Tender/SplashBidNoticeAbstractUI.aspx?menuIndex=3&amp;refID=7064471&amp;Result=3","7064471")</f>
        <v>0</v>
      </c>
      <c r="B4693" t="s">
        <v>1642</v>
      </c>
      <c r="C4693" t="s">
        <v>7473</v>
      </c>
      <c r="D4693" t="s">
        <v>18805</v>
      </c>
      <c r="E4693" t="s">
        <v>19259</v>
      </c>
      <c r="F4693" t="s">
        <v>32664</v>
      </c>
      <c r="G4693" t="s">
        <v>32671</v>
      </c>
      <c r="H4693" t="s">
        <v>12635</v>
      </c>
      <c r="I4693" t="s">
        <v>6168</v>
      </c>
      <c r="J4693" t="s">
        <v>35833</v>
      </c>
      <c r="K4693" t="s">
        <v>42283</v>
      </c>
      <c r="M4693" t="s">
        <v>44325</v>
      </c>
      <c r="N4693" t="s">
        <v>46569</v>
      </c>
      <c r="O4693" t="s">
        <v>46570</v>
      </c>
      <c r="P4693">
        <v>0</v>
      </c>
      <c r="Q4693">
        <v>0</v>
      </c>
      <c r="R4693" t="s">
        <v>46572</v>
      </c>
      <c r="S4693" t="s">
        <v>46689</v>
      </c>
      <c r="T4693" t="s">
        <v>48244</v>
      </c>
      <c r="U4693" t="s">
        <v>52656</v>
      </c>
      <c r="W4693" t="s">
        <v>44325</v>
      </c>
      <c r="X4693" t="s">
        <v>46573</v>
      </c>
    </row>
    <row r="4694" spans="1:24">
      <c r="A4694">
        <f>HYPERLINK("https://www.philgeps.gov.ph/GEPSNONPILOT/Tender/SplashBidNoticeAbstractUI.aspx?menuIndex=3&amp;refID=7064449&amp;Result=3","7064449")</f>
        <v>0</v>
      </c>
      <c r="B4694" t="s">
        <v>1644</v>
      </c>
      <c r="C4694" t="s">
        <v>8021</v>
      </c>
      <c r="D4694" t="s">
        <v>18820</v>
      </c>
      <c r="E4694" t="s">
        <v>23106</v>
      </c>
      <c r="F4694" t="s">
        <v>32664</v>
      </c>
      <c r="G4694" t="s">
        <v>32672</v>
      </c>
      <c r="H4694" t="s">
        <v>12635</v>
      </c>
      <c r="I4694" t="s">
        <v>6628</v>
      </c>
      <c r="J4694" t="s">
        <v>33128</v>
      </c>
      <c r="K4694" t="s">
        <v>42303</v>
      </c>
      <c r="M4694" t="s">
        <v>44328</v>
      </c>
      <c r="N4694" t="s">
        <v>46569</v>
      </c>
      <c r="O4694" t="s">
        <v>46570</v>
      </c>
      <c r="P4694">
        <v>0</v>
      </c>
      <c r="Q4694">
        <v>1</v>
      </c>
      <c r="R4694" t="s">
        <v>46572</v>
      </c>
      <c r="S4694" t="s">
        <v>46689</v>
      </c>
      <c r="T4694" t="s">
        <v>48525</v>
      </c>
      <c r="U4694" t="s">
        <v>52657</v>
      </c>
      <c r="V4694" t="s">
        <v>62100</v>
      </c>
      <c r="W4694" t="s">
        <v>44328</v>
      </c>
      <c r="X4694" t="s">
        <v>46573</v>
      </c>
    </row>
    <row r="4695" spans="1:24">
      <c r="A4695">
        <f>HYPERLINK("https://www.philgeps.gov.ph/GEPSNONPILOT/Tender/SplashBidNoticeAbstractUI.aspx?menuIndex=3&amp;refID=7064469&amp;Result=3","7064469")</f>
        <v>0</v>
      </c>
      <c r="B4695" t="s">
        <v>1645</v>
      </c>
      <c r="C4695" t="s">
        <v>8022</v>
      </c>
      <c r="E4695" t="s">
        <v>23107</v>
      </c>
      <c r="F4695" t="s">
        <v>32664</v>
      </c>
      <c r="G4695" t="s">
        <v>32672</v>
      </c>
      <c r="H4695" t="s">
        <v>32683</v>
      </c>
      <c r="I4695" t="s">
        <v>32758</v>
      </c>
      <c r="J4695" t="s">
        <v>33128</v>
      </c>
      <c r="K4695" t="s">
        <v>42289</v>
      </c>
      <c r="M4695" t="s">
        <v>44329</v>
      </c>
      <c r="N4695" t="s">
        <v>46569</v>
      </c>
      <c r="O4695" t="s">
        <v>46570</v>
      </c>
      <c r="P4695">
        <v>0</v>
      </c>
      <c r="Q4695">
        <v>0</v>
      </c>
      <c r="R4695" t="s">
        <v>46572</v>
      </c>
      <c r="S4695" t="s">
        <v>46689</v>
      </c>
      <c r="T4695" t="s">
        <v>48268</v>
      </c>
      <c r="U4695" t="s">
        <v>52658</v>
      </c>
      <c r="W4695" t="s">
        <v>44329</v>
      </c>
      <c r="X4695" t="s">
        <v>46573</v>
      </c>
    </row>
    <row r="4696" spans="1:24">
      <c r="A4696">
        <f>HYPERLINK("https://www.philgeps.gov.ph/GEPSNONPILOT/Tender/SplashBidNoticeAbstractUI.aspx?menuIndex=3&amp;refID=7064468&amp;Result=3","7064468")</f>
        <v>0</v>
      </c>
      <c r="B4696" t="s">
        <v>1646</v>
      </c>
      <c r="C4696" t="s">
        <v>8023</v>
      </c>
      <c r="D4696" t="s">
        <v>18798</v>
      </c>
      <c r="E4696" t="s">
        <v>23108</v>
      </c>
      <c r="F4696" t="s">
        <v>32664</v>
      </c>
      <c r="G4696" t="s">
        <v>32672</v>
      </c>
      <c r="H4696" t="s">
        <v>12635</v>
      </c>
      <c r="I4696" t="s">
        <v>14442</v>
      </c>
      <c r="J4696" t="s">
        <v>35834</v>
      </c>
      <c r="K4696" t="s">
        <v>42281</v>
      </c>
      <c r="M4696" t="s">
        <v>44330</v>
      </c>
      <c r="N4696" t="s">
        <v>46569</v>
      </c>
      <c r="O4696" t="s">
        <v>46570</v>
      </c>
      <c r="P4696">
        <v>0</v>
      </c>
      <c r="Q4696">
        <v>10</v>
      </c>
      <c r="R4696" t="s">
        <v>46572</v>
      </c>
      <c r="S4696" t="s">
        <v>46689</v>
      </c>
      <c r="T4696" t="s">
        <v>48526</v>
      </c>
      <c r="U4696" t="s">
        <v>52659</v>
      </c>
      <c r="W4696" t="s">
        <v>44330</v>
      </c>
      <c r="X4696" t="s">
        <v>46573</v>
      </c>
    </row>
    <row r="4697" spans="1:24">
      <c r="A4697">
        <f>HYPERLINK("https://www.philgeps.gov.ph/GEPSNONPILOT/Tender/SplashBidNoticeAbstractUI.aspx?menuIndex=3&amp;refID=7064466&amp;Result=3","7064466")</f>
        <v>0</v>
      </c>
      <c r="B4697" t="s">
        <v>1647</v>
      </c>
      <c r="C4697" t="s">
        <v>8024</v>
      </c>
      <c r="D4697" t="s">
        <v>18782</v>
      </c>
      <c r="E4697" t="s">
        <v>21047</v>
      </c>
      <c r="F4697" t="s">
        <v>32664</v>
      </c>
      <c r="G4697" t="s">
        <v>32671</v>
      </c>
      <c r="H4697" t="s">
        <v>12635</v>
      </c>
      <c r="I4697" t="s">
        <v>6628</v>
      </c>
      <c r="J4697" t="s">
        <v>35060</v>
      </c>
      <c r="K4697" t="s">
        <v>42289</v>
      </c>
      <c r="M4697" t="s">
        <v>44331</v>
      </c>
      <c r="N4697" t="s">
        <v>46569</v>
      </c>
      <c r="O4697" t="s">
        <v>46570</v>
      </c>
      <c r="P4697">
        <v>0</v>
      </c>
      <c r="Q4697">
        <v>0</v>
      </c>
      <c r="R4697" t="s">
        <v>46572</v>
      </c>
      <c r="S4697" t="s">
        <v>46689</v>
      </c>
      <c r="T4697" t="s">
        <v>48219</v>
      </c>
      <c r="U4697" t="s">
        <v>52660</v>
      </c>
      <c r="W4697" t="s">
        <v>44331</v>
      </c>
      <c r="X4697" t="s">
        <v>46573</v>
      </c>
    </row>
    <row r="4698" spans="1:24">
      <c r="A4698">
        <f>HYPERLINK("https://www.philgeps.gov.ph/GEPSNONPILOT/Tender/SplashBidNoticeAbstractUI.aspx?menuIndex=3&amp;refID=7064475&amp;Result=3","7064475")</f>
        <v>0</v>
      </c>
      <c r="B4698" t="s">
        <v>1643</v>
      </c>
      <c r="C4698" t="s">
        <v>8025</v>
      </c>
      <c r="D4698" t="s">
        <v>18830</v>
      </c>
      <c r="E4698" t="s">
        <v>23109</v>
      </c>
      <c r="F4698" t="s">
        <v>32664</v>
      </c>
      <c r="G4698" t="s">
        <v>32671</v>
      </c>
      <c r="H4698" t="s">
        <v>12635</v>
      </c>
      <c r="I4698" t="s">
        <v>8730</v>
      </c>
      <c r="J4698" t="s">
        <v>35835</v>
      </c>
      <c r="K4698" t="s">
        <v>42295</v>
      </c>
      <c r="M4698" t="s">
        <v>44327</v>
      </c>
      <c r="N4698" t="s">
        <v>46569</v>
      </c>
      <c r="O4698" t="s">
        <v>46570</v>
      </c>
      <c r="P4698">
        <v>0</v>
      </c>
      <c r="Q4698">
        <v>1</v>
      </c>
      <c r="R4698" t="s">
        <v>46572</v>
      </c>
      <c r="S4698" t="s">
        <v>46689</v>
      </c>
      <c r="T4698" t="s">
        <v>48219</v>
      </c>
      <c r="U4698" t="s">
        <v>52661</v>
      </c>
      <c r="W4698" t="s">
        <v>44327</v>
      </c>
      <c r="X4698" t="s">
        <v>46573</v>
      </c>
    </row>
    <row r="4699" spans="1:24">
      <c r="A4699">
        <f>HYPERLINK("https://www.philgeps.gov.ph/GEPSNONPILOT/Tender/SplashBidNoticeAbstractUI.aspx?menuIndex=3&amp;refID=7064473&amp;Result=3","7064473")</f>
        <v>0</v>
      </c>
      <c r="B4699" t="s">
        <v>1648</v>
      </c>
      <c r="C4699" t="s">
        <v>7927</v>
      </c>
      <c r="D4699" t="s">
        <v>18820</v>
      </c>
      <c r="E4699" t="s">
        <v>19226</v>
      </c>
      <c r="F4699" t="s">
        <v>32664</v>
      </c>
      <c r="G4699" t="s">
        <v>32672</v>
      </c>
      <c r="H4699" t="s">
        <v>12635</v>
      </c>
      <c r="I4699" t="s">
        <v>4439</v>
      </c>
      <c r="J4699" t="s">
        <v>35836</v>
      </c>
      <c r="K4699" t="s">
        <v>42297</v>
      </c>
      <c r="M4699" t="s">
        <v>44332</v>
      </c>
      <c r="N4699" t="s">
        <v>46569</v>
      </c>
      <c r="O4699" t="s">
        <v>46570</v>
      </c>
      <c r="P4699">
        <v>0</v>
      </c>
      <c r="Q4699">
        <v>0</v>
      </c>
      <c r="R4699" t="s">
        <v>46572</v>
      </c>
      <c r="S4699" t="s">
        <v>46689</v>
      </c>
      <c r="T4699" t="s">
        <v>48222</v>
      </c>
      <c r="U4699" t="s">
        <v>52662</v>
      </c>
      <c r="W4699" t="s">
        <v>44332</v>
      </c>
      <c r="X4699" t="s">
        <v>46573</v>
      </c>
    </row>
    <row r="4700" spans="1:24">
      <c r="A4700">
        <f>HYPERLINK("https://www.philgeps.gov.ph/GEPSNONPILOT/Tender/SplashBidNoticeAbstractUI.aspx?menuIndex=3&amp;refID=7064465&amp;Result=3","7064465")</f>
        <v>0</v>
      </c>
      <c r="B4700" t="s">
        <v>629</v>
      </c>
      <c r="C4700" t="s">
        <v>8026</v>
      </c>
      <c r="D4700" t="s">
        <v>18782</v>
      </c>
      <c r="E4700" t="s">
        <v>23110</v>
      </c>
      <c r="F4700" t="s">
        <v>32664</v>
      </c>
      <c r="G4700" t="s">
        <v>32674</v>
      </c>
      <c r="H4700" t="s">
        <v>12635</v>
      </c>
      <c r="I4700" t="s">
        <v>32746</v>
      </c>
      <c r="J4700" t="s">
        <v>35837</v>
      </c>
      <c r="K4700" t="s">
        <v>42283</v>
      </c>
      <c r="M4700" t="s">
        <v>43211</v>
      </c>
      <c r="N4700" t="s">
        <v>46569</v>
      </c>
      <c r="O4700" t="s">
        <v>46570</v>
      </c>
      <c r="P4700">
        <v>0</v>
      </c>
      <c r="Q4700">
        <v>0</v>
      </c>
      <c r="R4700" t="s">
        <v>46572</v>
      </c>
      <c r="S4700" t="s">
        <v>46689</v>
      </c>
      <c r="T4700" t="s">
        <v>48217</v>
      </c>
      <c r="U4700" t="s">
        <v>52663</v>
      </c>
      <c r="W4700" t="s">
        <v>43211</v>
      </c>
      <c r="X4700" t="s">
        <v>46573</v>
      </c>
    </row>
    <row r="4701" spans="1:24">
      <c r="A4701">
        <f>HYPERLINK("https://www.philgeps.gov.ph/GEPSNONPILOT/Tender/SplashBidNoticeAbstractUI.aspx?menuIndex=3&amp;refID=7064472&amp;Result=3","7064472")</f>
        <v>0</v>
      </c>
      <c r="B4701" t="s">
        <v>1644</v>
      </c>
      <c r="C4701" t="s">
        <v>8027</v>
      </c>
      <c r="D4701" t="s">
        <v>18820</v>
      </c>
      <c r="E4701" t="s">
        <v>23111</v>
      </c>
      <c r="F4701" t="s">
        <v>32664</v>
      </c>
      <c r="G4701" t="s">
        <v>32672</v>
      </c>
      <c r="H4701" t="s">
        <v>12635</v>
      </c>
      <c r="I4701" t="s">
        <v>6223</v>
      </c>
      <c r="J4701" t="s">
        <v>35838</v>
      </c>
      <c r="K4701" t="s">
        <v>42303</v>
      </c>
      <c r="M4701" t="s">
        <v>44328</v>
      </c>
      <c r="N4701" t="s">
        <v>46569</v>
      </c>
      <c r="O4701" t="s">
        <v>46570</v>
      </c>
      <c r="P4701">
        <v>0</v>
      </c>
      <c r="Q4701">
        <v>0</v>
      </c>
      <c r="R4701" t="s">
        <v>46572</v>
      </c>
      <c r="S4701" t="s">
        <v>46689</v>
      </c>
      <c r="T4701" t="s">
        <v>48525</v>
      </c>
      <c r="U4701" t="s">
        <v>52664</v>
      </c>
      <c r="V4701" t="s">
        <v>62100</v>
      </c>
      <c r="W4701" t="s">
        <v>44328</v>
      </c>
      <c r="X4701" t="s">
        <v>46573</v>
      </c>
    </row>
    <row r="4702" spans="1:24">
      <c r="A4702">
        <f>HYPERLINK("https://www.philgeps.gov.ph/GEPSNONPILOT/Tender/SplashBidNoticeAbstractUI.aspx?menuIndex=3&amp;refID=7064462&amp;Result=3","7064462")</f>
        <v>0</v>
      </c>
      <c r="B4702" t="s">
        <v>1644</v>
      </c>
      <c r="C4702" t="s">
        <v>8028</v>
      </c>
      <c r="D4702" t="s">
        <v>18820</v>
      </c>
      <c r="E4702" t="s">
        <v>23112</v>
      </c>
      <c r="F4702" t="s">
        <v>32664</v>
      </c>
      <c r="G4702" t="s">
        <v>32672</v>
      </c>
      <c r="H4702" t="s">
        <v>12635</v>
      </c>
      <c r="I4702" t="s">
        <v>32688</v>
      </c>
      <c r="J4702" t="s">
        <v>33021</v>
      </c>
      <c r="K4702" t="s">
        <v>42303</v>
      </c>
      <c r="M4702" t="s">
        <v>44328</v>
      </c>
      <c r="N4702" t="s">
        <v>46569</v>
      </c>
      <c r="O4702" t="s">
        <v>46570</v>
      </c>
      <c r="P4702">
        <v>0</v>
      </c>
      <c r="Q4702">
        <v>1</v>
      </c>
      <c r="R4702" t="s">
        <v>46572</v>
      </c>
      <c r="S4702" t="s">
        <v>46689</v>
      </c>
      <c r="T4702" t="s">
        <v>48525</v>
      </c>
      <c r="U4702" t="s">
        <v>52665</v>
      </c>
      <c r="V4702" t="s">
        <v>62100</v>
      </c>
      <c r="W4702" t="s">
        <v>44328</v>
      </c>
      <c r="X4702" t="s">
        <v>46573</v>
      </c>
    </row>
    <row r="4703" spans="1:24">
      <c r="A4703">
        <f>HYPERLINK("https://www.philgeps.gov.ph/GEPSNONPILOT/Tender/SplashBidNoticeAbstractUI.aspx?menuIndex=3&amp;refID=7064476&amp;Result=3","7064476")</f>
        <v>0</v>
      </c>
      <c r="B4703" t="s">
        <v>1649</v>
      </c>
      <c r="C4703" t="s">
        <v>8029</v>
      </c>
      <c r="D4703" t="s">
        <v>18788</v>
      </c>
      <c r="E4703" t="s">
        <v>19044</v>
      </c>
      <c r="F4703" t="s">
        <v>32664</v>
      </c>
      <c r="G4703" t="s">
        <v>32672</v>
      </c>
      <c r="H4703" t="s">
        <v>12635</v>
      </c>
      <c r="I4703" t="s">
        <v>4439</v>
      </c>
      <c r="J4703" t="s">
        <v>35839</v>
      </c>
      <c r="K4703" t="s">
        <v>42297</v>
      </c>
      <c r="M4703" t="s">
        <v>44333</v>
      </c>
      <c r="N4703" t="s">
        <v>46569</v>
      </c>
      <c r="O4703" t="s">
        <v>46570</v>
      </c>
      <c r="P4703">
        <v>0</v>
      </c>
      <c r="Q4703">
        <v>0</v>
      </c>
      <c r="R4703" t="s">
        <v>46572</v>
      </c>
      <c r="S4703" t="s">
        <v>46689</v>
      </c>
      <c r="T4703" t="s">
        <v>48304</v>
      </c>
      <c r="U4703" t="s">
        <v>52666</v>
      </c>
      <c r="W4703" t="s">
        <v>44333</v>
      </c>
      <c r="X4703" t="s">
        <v>46573</v>
      </c>
    </row>
    <row r="4704" spans="1:24">
      <c r="A4704">
        <f>HYPERLINK("https://www.philgeps.gov.ph/GEPSNONPILOT/Tender/SplashBidNoticeAbstractUI.aspx?menuIndex=3&amp;refID=7064467&amp;Result=3","7064467")</f>
        <v>0</v>
      </c>
      <c r="B4704" t="s">
        <v>352</v>
      </c>
      <c r="C4704" t="s">
        <v>8030</v>
      </c>
      <c r="E4704" t="s">
        <v>23113</v>
      </c>
      <c r="F4704" t="s">
        <v>32664</v>
      </c>
      <c r="G4704" t="s">
        <v>32677</v>
      </c>
      <c r="H4704" t="s">
        <v>12635</v>
      </c>
      <c r="I4704" t="s">
        <v>32736</v>
      </c>
      <c r="J4704" t="s">
        <v>35840</v>
      </c>
      <c r="K4704" t="s">
        <v>42283</v>
      </c>
      <c r="M4704" t="s">
        <v>44334</v>
      </c>
      <c r="N4704" t="s">
        <v>46569</v>
      </c>
      <c r="O4704" t="s">
        <v>46570</v>
      </c>
      <c r="Q4704">
        <v>0</v>
      </c>
      <c r="R4704" t="s">
        <v>46572</v>
      </c>
      <c r="S4704" t="s">
        <v>46704</v>
      </c>
      <c r="T4704" t="s">
        <v>48244</v>
      </c>
      <c r="U4704" t="s">
        <v>52667</v>
      </c>
      <c r="V4704" t="s">
        <v>62101</v>
      </c>
      <c r="W4704" t="s">
        <v>44334</v>
      </c>
      <c r="X4704" t="s">
        <v>46573</v>
      </c>
    </row>
    <row r="4705" spans="1:24">
      <c r="A4705">
        <f>HYPERLINK("https://www.philgeps.gov.ph/GEPSNONPILOT/Tender/SplashBidNoticeAbstractUI.aspx?menuIndex=3&amp;refID=7064504&amp;Result=3","7064504")</f>
        <v>0</v>
      </c>
      <c r="B4705" t="s">
        <v>1650</v>
      </c>
      <c r="C4705" t="s">
        <v>8031</v>
      </c>
      <c r="D4705" t="s">
        <v>18796</v>
      </c>
      <c r="E4705" t="s">
        <v>18889</v>
      </c>
      <c r="F4705" t="s">
        <v>32664</v>
      </c>
      <c r="G4705" t="s">
        <v>32672</v>
      </c>
      <c r="H4705" t="s">
        <v>32681</v>
      </c>
      <c r="I4705" t="s">
        <v>32748</v>
      </c>
      <c r="J4705" t="s">
        <v>32870</v>
      </c>
      <c r="K4705" t="s">
        <v>42281</v>
      </c>
      <c r="M4705" t="s">
        <v>44335</v>
      </c>
      <c r="N4705" t="s">
        <v>46569</v>
      </c>
      <c r="O4705" t="s">
        <v>46570</v>
      </c>
      <c r="P4705">
        <v>0</v>
      </c>
      <c r="Q4705">
        <v>1</v>
      </c>
      <c r="R4705" t="s">
        <v>46572</v>
      </c>
      <c r="S4705" t="s">
        <v>46689</v>
      </c>
      <c r="T4705" t="s">
        <v>48501</v>
      </c>
      <c r="U4705" t="s">
        <v>52668</v>
      </c>
      <c r="V4705" t="s">
        <v>61668</v>
      </c>
      <c r="W4705" t="s">
        <v>44335</v>
      </c>
      <c r="X4705" t="s">
        <v>46573</v>
      </c>
    </row>
    <row r="4706" spans="1:24">
      <c r="A4706">
        <f>HYPERLINK("https://www.philgeps.gov.ph/GEPSNONPILOT/Tender/SplashBidNoticeAbstractUI.aspx?menuIndex=3&amp;refID=7064463&amp;Result=3","7064463")</f>
        <v>0</v>
      </c>
      <c r="B4706" t="s">
        <v>1094</v>
      </c>
      <c r="C4706" t="s">
        <v>8032</v>
      </c>
      <c r="D4706" t="s">
        <v>18822</v>
      </c>
      <c r="E4706" t="s">
        <v>23114</v>
      </c>
      <c r="F4706" t="s">
        <v>32664</v>
      </c>
      <c r="G4706" t="s">
        <v>32672</v>
      </c>
      <c r="H4706" t="s">
        <v>32683</v>
      </c>
      <c r="I4706" t="s">
        <v>10627</v>
      </c>
      <c r="J4706" t="s">
        <v>33177</v>
      </c>
      <c r="K4706" t="s">
        <v>42298</v>
      </c>
      <c r="M4706" t="s">
        <v>43722</v>
      </c>
      <c r="N4706" t="s">
        <v>46569</v>
      </c>
      <c r="O4706" t="s">
        <v>46570</v>
      </c>
      <c r="P4706">
        <v>0</v>
      </c>
      <c r="Q4706">
        <v>0</v>
      </c>
      <c r="R4706" t="s">
        <v>46572</v>
      </c>
      <c r="S4706" t="s">
        <v>46689</v>
      </c>
      <c r="T4706" t="s">
        <v>48312</v>
      </c>
      <c r="U4706" t="s">
        <v>52669</v>
      </c>
      <c r="W4706" t="s">
        <v>43722</v>
      </c>
      <c r="X4706" t="s">
        <v>46573</v>
      </c>
    </row>
    <row r="4707" spans="1:24">
      <c r="A4707">
        <f>HYPERLINK("https://www.philgeps.gov.ph/GEPSNONPILOT/Tender/SplashBidNoticeAbstractUI.aspx?menuIndex=3&amp;refID=7064499&amp;Result=3","7064499")</f>
        <v>0</v>
      </c>
      <c r="B4707" t="s">
        <v>1159</v>
      </c>
      <c r="C4707" t="s">
        <v>8033</v>
      </c>
      <c r="E4707" t="s">
        <v>23115</v>
      </c>
      <c r="F4707" t="s">
        <v>32664</v>
      </c>
      <c r="G4707" t="s">
        <v>32671</v>
      </c>
      <c r="H4707" t="s">
        <v>12635</v>
      </c>
      <c r="I4707" t="s">
        <v>10590</v>
      </c>
      <c r="J4707" t="s">
        <v>33095</v>
      </c>
      <c r="K4707" t="s">
        <v>42283</v>
      </c>
      <c r="M4707" t="s">
        <v>43790</v>
      </c>
      <c r="N4707" t="s">
        <v>46569</v>
      </c>
      <c r="O4707" t="s">
        <v>46570</v>
      </c>
      <c r="P4707">
        <v>0</v>
      </c>
      <c r="Q4707">
        <v>1</v>
      </c>
      <c r="R4707" t="s">
        <v>46572</v>
      </c>
      <c r="S4707" t="s">
        <v>46689</v>
      </c>
      <c r="T4707" t="s">
        <v>48246</v>
      </c>
      <c r="U4707" t="s">
        <v>51234</v>
      </c>
      <c r="W4707" t="s">
        <v>43790</v>
      </c>
      <c r="X4707" t="s">
        <v>46573</v>
      </c>
    </row>
    <row r="4708" spans="1:24">
      <c r="A4708">
        <f>HYPERLINK("https://www.philgeps.gov.ph/GEPSNONPILOT/Tender/SplashBidNoticeAbstractUI.aspx?menuIndex=3&amp;refID=7064505&amp;Result=3","7064505")</f>
        <v>0</v>
      </c>
      <c r="B4708" t="s">
        <v>1644</v>
      </c>
      <c r="C4708" t="s">
        <v>8034</v>
      </c>
      <c r="D4708" t="s">
        <v>18820</v>
      </c>
      <c r="E4708" t="s">
        <v>23116</v>
      </c>
      <c r="F4708" t="s">
        <v>32664</v>
      </c>
      <c r="G4708" t="s">
        <v>32672</v>
      </c>
      <c r="H4708" t="s">
        <v>12635</v>
      </c>
      <c r="I4708" t="s">
        <v>11464</v>
      </c>
      <c r="J4708" t="s">
        <v>33001</v>
      </c>
      <c r="K4708" t="s">
        <v>42281</v>
      </c>
      <c r="M4708" t="s">
        <v>44328</v>
      </c>
      <c r="N4708" t="s">
        <v>46569</v>
      </c>
      <c r="O4708" t="s">
        <v>46570</v>
      </c>
      <c r="P4708">
        <v>0</v>
      </c>
      <c r="Q4708">
        <v>1</v>
      </c>
      <c r="R4708" t="s">
        <v>46572</v>
      </c>
      <c r="S4708" t="s">
        <v>46689</v>
      </c>
      <c r="T4708" t="s">
        <v>48506</v>
      </c>
      <c r="U4708" t="s">
        <v>52670</v>
      </c>
      <c r="V4708" t="s">
        <v>62100</v>
      </c>
      <c r="W4708" t="s">
        <v>44328</v>
      </c>
      <c r="X4708" t="s">
        <v>46573</v>
      </c>
    </row>
    <row r="4709" spans="1:24">
      <c r="A4709">
        <f>HYPERLINK("https://www.philgeps.gov.ph/GEPSNONPILOT/Tender/SplashBidNoticeAbstractUI.aspx?menuIndex=3&amp;refID=7064493&amp;Result=3","7064493")</f>
        <v>0</v>
      </c>
      <c r="B4709" t="s">
        <v>1651</v>
      </c>
      <c r="C4709" t="s">
        <v>8035</v>
      </c>
      <c r="D4709" t="s">
        <v>18784</v>
      </c>
      <c r="E4709" t="s">
        <v>23117</v>
      </c>
      <c r="F4709" t="s">
        <v>32664</v>
      </c>
      <c r="G4709" t="s">
        <v>32671</v>
      </c>
      <c r="H4709" t="s">
        <v>12635</v>
      </c>
      <c r="I4709" t="s">
        <v>7324</v>
      </c>
      <c r="J4709" t="s">
        <v>35841</v>
      </c>
      <c r="K4709" t="s">
        <v>42283</v>
      </c>
      <c r="M4709" t="s">
        <v>44336</v>
      </c>
      <c r="N4709" t="s">
        <v>46569</v>
      </c>
      <c r="O4709" t="s">
        <v>46570</v>
      </c>
      <c r="P4709">
        <v>0</v>
      </c>
      <c r="Q4709">
        <v>9</v>
      </c>
      <c r="R4709" t="s">
        <v>46572</v>
      </c>
      <c r="S4709" t="s">
        <v>46689</v>
      </c>
      <c r="T4709" t="s">
        <v>48244</v>
      </c>
      <c r="U4709" t="s">
        <v>52671</v>
      </c>
      <c r="W4709" t="s">
        <v>44336</v>
      </c>
      <c r="X4709" t="s">
        <v>46573</v>
      </c>
    </row>
    <row r="4710" spans="1:24">
      <c r="A4710">
        <f>HYPERLINK("https://www.philgeps.gov.ph/GEPSNONPILOT/Tender/SplashBidNoticeAbstractUI.aspx?menuIndex=3&amp;refID=7064464&amp;Result=3","7064464")</f>
        <v>0</v>
      </c>
      <c r="B4710" t="s">
        <v>1652</v>
      </c>
      <c r="C4710" t="s">
        <v>8036</v>
      </c>
      <c r="D4710" t="s">
        <v>18784</v>
      </c>
      <c r="E4710" t="s">
        <v>23118</v>
      </c>
      <c r="F4710" t="s">
        <v>32664</v>
      </c>
      <c r="G4710" t="s">
        <v>32672</v>
      </c>
      <c r="H4710" t="s">
        <v>12635</v>
      </c>
      <c r="I4710" t="s">
        <v>4439</v>
      </c>
      <c r="J4710" t="s">
        <v>35842</v>
      </c>
      <c r="K4710" t="s">
        <v>42308</v>
      </c>
      <c r="M4710" t="s">
        <v>44337</v>
      </c>
      <c r="N4710" t="s">
        <v>46569</v>
      </c>
      <c r="O4710" t="s">
        <v>46570</v>
      </c>
      <c r="P4710">
        <v>0</v>
      </c>
      <c r="Q4710">
        <v>5</v>
      </c>
      <c r="R4710" t="s">
        <v>46572</v>
      </c>
      <c r="S4710" t="s">
        <v>46689</v>
      </c>
      <c r="T4710" t="s">
        <v>48216</v>
      </c>
      <c r="U4710" t="s">
        <v>52672</v>
      </c>
      <c r="W4710" t="s">
        <v>44337</v>
      </c>
      <c r="X4710" t="s">
        <v>46573</v>
      </c>
    </row>
    <row r="4711" spans="1:24">
      <c r="A4711">
        <f>HYPERLINK("https://www.philgeps.gov.ph/GEPSNONPILOT/Tender/SplashBidNoticeAbstractUI.aspx?menuIndex=3&amp;refID=7064492&amp;Result=3","7064492")</f>
        <v>0</v>
      </c>
      <c r="B4711" t="s">
        <v>1651</v>
      </c>
      <c r="C4711" t="s">
        <v>8037</v>
      </c>
      <c r="D4711" t="s">
        <v>18784</v>
      </c>
      <c r="E4711" t="s">
        <v>23119</v>
      </c>
      <c r="F4711" t="s">
        <v>32664</v>
      </c>
      <c r="G4711" t="s">
        <v>32671</v>
      </c>
      <c r="H4711" t="s">
        <v>12635</v>
      </c>
      <c r="I4711" t="s">
        <v>5589</v>
      </c>
      <c r="J4711" t="s">
        <v>35843</v>
      </c>
      <c r="K4711" t="s">
        <v>42283</v>
      </c>
      <c r="M4711" t="s">
        <v>44336</v>
      </c>
      <c r="N4711" t="s">
        <v>46569</v>
      </c>
      <c r="O4711" t="s">
        <v>46570</v>
      </c>
      <c r="P4711">
        <v>0</v>
      </c>
      <c r="Q4711">
        <v>17</v>
      </c>
      <c r="R4711" t="s">
        <v>46572</v>
      </c>
      <c r="S4711" t="s">
        <v>46689</v>
      </c>
      <c r="T4711" t="s">
        <v>48244</v>
      </c>
      <c r="U4711" t="s">
        <v>52671</v>
      </c>
      <c r="W4711" t="s">
        <v>44336</v>
      </c>
      <c r="X4711" t="s">
        <v>46573</v>
      </c>
    </row>
    <row r="4712" spans="1:24">
      <c r="A4712">
        <f>HYPERLINK("https://www.philgeps.gov.ph/GEPSNONPILOT/Tender/SplashBidNoticeAbstractUI.aspx?menuIndex=3&amp;refID=7064502&amp;Result=3","7064502")</f>
        <v>0</v>
      </c>
      <c r="B4712" t="s">
        <v>809</v>
      </c>
      <c r="C4712" t="s">
        <v>8038</v>
      </c>
      <c r="D4712" t="s">
        <v>18834</v>
      </c>
      <c r="E4712" t="s">
        <v>23120</v>
      </c>
      <c r="F4712" t="s">
        <v>32664</v>
      </c>
      <c r="G4712" t="s">
        <v>32672</v>
      </c>
      <c r="H4712" t="s">
        <v>32683</v>
      </c>
      <c r="I4712" t="s">
        <v>10627</v>
      </c>
      <c r="J4712" t="s">
        <v>33320</v>
      </c>
      <c r="K4712" t="s">
        <v>42311</v>
      </c>
      <c r="M4712" t="s">
        <v>43402</v>
      </c>
      <c r="N4712" t="s">
        <v>46569</v>
      </c>
      <c r="O4712" t="s">
        <v>46570</v>
      </c>
      <c r="P4712">
        <v>0</v>
      </c>
      <c r="Q4712">
        <v>0</v>
      </c>
      <c r="R4712" t="s">
        <v>46572</v>
      </c>
      <c r="S4712" t="s">
        <v>46689</v>
      </c>
      <c r="T4712" t="s">
        <v>48312</v>
      </c>
      <c r="U4712" t="s">
        <v>52673</v>
      </c>
      <c r="W4712" t="s">
        <v>43402</v>
      </c>
      <c r="X4712" t="s">
        <v>46573</v>
      </c>
    </row>
    <row r="4713" spans="1:24">
      <c r="A4713">
        <f>HYPERLINK("https://www.philgeps.gov.ph/GEPSNONPILOT/Tender/SplashBidNoticeAbstractUI.aspx?menuIndex=3&amp;refID=7064491&amp;Result=3","7064491")</f>
        <v>0</v>
      </c>
      <c r="B4713" t="s">
        <v>1651</v>
      </c>
      <c r="C4713" t="s">
        <v>8039</v>
      </c>
      <c r="D4713" t="s">
        <v>18784</v>
      </c>
      <c r="E4713" t="s">
        <v>21729</v>
      </c>
      <c r="F4713" t="s">
        <v>32664</v>
      </c>
      <c r="G4713" t="s">
        <v>32671</v>
      </c>
      <c r="H4713" t="s">
        <v>12635</v>
      </c>
      <c r="I4713" t="s">
        <v>32710</v>
      </c>
      <c r="J4713" t="s">
        <v>35844</v>
      </c>
      <c r="K4713" t="s">
        <v>42283</v>
      </c>
      <c r="M4713" t="s">
        <v>44336</v>
      </c>
      <c r="N4713" t="s">
        <v>46569</v>
      </c>
      <c r="O4713" t="s">
        <v>46570</v>
      </c>
      <c r="P4713">
        <v>0</v>
      </c>
      <c r="Q4713">
        <v>16</v>
      </c>
      <c r="R4713" t="s">
        <v>46572</v>
      </c>
      <c r="S4713" t="s">
        <v>46689</v>
      </c>
      <c r="T4713" t="s">
        <v>48244</v>
      </c>
      <c r="U4713" t="s">
        <v>52671</v>
      </c>
      <c r="W4713" t="s">
        <v>44336</v>
      </c>
      <c r="X4713" t="s">
        <v>46573</v>
      </c>
    </row>
    <row r="4714" spans="1:24">
      <c r="A4714">
        <f>HYPERLINK("https://www.philgeps.gov.ph/GEPSNONPILOT/Tender/SplashBidNoticeAbstractUI.aspx?menuIndex=3&amp;refID=7064440&amp;Result=3","7064440")</f>
        <v>0</v>
      </c>
      <c r="B4714" t="s">
        <v>1653</v>
      </c>
      <c r="C4714" t="s">
        <v>8040</v>
      </c>
      <c r="D4714" t="s">
        <v>18784</v>
      </c>
      <c r="E4714" t="s">
        <v>23121</v>
      </c>
      <c r="F4714" t="s">
        <v>32664</v>
      </c>
      <c r="G4714" t="s">
        <v>32672</v>
      </c>
      <c r="H4714" t="s">
        <v>12635</v>
      </c>
      <c r="I4714" t="s">
        <v>6223</v>
      </c>
      <c r="J4714" t="s">
        <v>35845</v>
      </c>
      <c r="K4714" t="s">
        <v>42309</v>
      </c>
      <c r="M4714" t="s">
        <v>44338</v>
      </c>
      <c r="N4714" t="s">
        <v>46569</v>
      </c>
      <c r="O4714" t="s">
        <v>46570</v>
      </c>
      <c r="P4714">
        <v>0</v>
      </c>
      <c r="Q4714">
        <v>4</v>
      </c>
      <c r="R4714" t="s">
        <v>46572</v>
      </c>
      <c r="S4714" t="s">
        <v>46689</v>
      </c>
      <c r="T4714" t="s">
        <v>48225</v>
      </c>
      <c r="U4714" t="s">
        <v>52674</v>
      </c>
      <c r="V4714" t="s">
        <v>62102</v>
      </c>
      <c r="W4714" t="s">
        <v>44338</v>
      </c>
      <c r="X4714" t="s">
        <v>46573</v>
      </c>
    </row>
    <row r="4715" spans="1:24">
      <c r="A4715">
        <f>HYPERLINK("https://www.philgeps.gov.ph/GEPSNONPILOT/Tender/SplashBidNoticeAbstractUI.aspx?menuIndex=3&amp;refID=7064495&amp;Result=3","7064495")</f>
        <v>0</v>
      </c>
      <c r="B4715" t="s">
        <v>629</v>
      </c>
      <c r="C4715" t="s">
        <v>8041</v>
      </c>
      <c r="D4715" t="s">
        <v>18782</v>
      </c>
      <c r="E4715" t="s">
        <v>23122</v>
      </c>
      <c r="F4715" t="s">
        <v>32664</v>
      </c>
      <c r="G4715" t="s">
        <v>32674</v>
      </c>
      <c r="H4715" t="s">
        <v>12635</v>
      </c>
      <c r="I4715" t="s">
        <v>6118</v>
      </c>
      <c r="J4715" t="s">
        <v>35846</v>
      </c>
      <c r="K4715" t="s">
        <v>42283</v>
      </c>
      <c r="M4715" t="s">
        <v>43211</v>
      </c>
      <c r="N4715" t="s">
        <v>46569</v>
      </c>
      <c r="O4715" t="s">
        <v>46570</v>
      </c>
      <c r="P4715">
        <v>0</v>
      </c>
      <c r="Q4715">
        <v>0</v>
      </c>
      <c r="R4715" t="s">
        <v>46572</v>
      </c>
      <c r="S4715" t="s">
        <v>46689</v>
      </c>
      <c r="T4715" t="s">
        <v>48316</v>
      </c>
      <c r="U4715" t="s">
        <v>52675</v>
      </c>
      <c r="W4715" t="s">
        <v>43211</v>
      </c>
      <c r="X4715" t="s">
        <v>46573</v>
      </c>
    </row>
    <row r="4716" spans="1:24">
      <c r="A4716">
        <f>HYPERLINK("https://www.philgeps.gov.ph/GEPSNONPILOT/Tender/SplashBidNoticeAbstractUI.aspx?menuIndex=3&amp;refID=7064488&amp;Result=3","7064488")</f>
        <v>0</v>
      </c>
      <c r="B4716" t="s">
        <v>1651</v>
      </c>
      <c r="C4716" t="s">
        <v>8042</v>
      </c>
      <c r="D4716" t="s">
        <v>18784</v>
      </c>
      <c r="E4716" t="s">
        <v>20729</v>
      </c>
      <c r="F4716" t="s">
        <v>32664</v>
      </c>
      <c r="G4716" t="s">
        <v>32671</v>
      </c>
      <c r="H4716" t="s">
        <v>12635</v>
      </c>
      <c r="I4716" t="s">
        <v>5589</v>
      </c>
      <c r="J4716" t="s">
        <v>32974</v>
      </c>
      <c r="K4716" t="s">
        <v>42283</v>
      </c>
      <c r="M4716" t="s">
        <v>44336</v>
      </c>
      <c r="N4716" t="s">
        <v>46569</v>
      </c>
      <c r="O4716" t="s">
        <v>46570</v>
      </c>
      <c r="P4716">
        <v>0</v>
      </c>
      <c r="Q4716">
        <v>15</v>
      </c>
      <c r="R4716" t="s">
        <v>46572</v>
      </c>
      <c r="S4716" t="s">
        <v>46689</v>
      </c>
      <c r="T4716" t="s">
        <v>48244</v>
      </c>
      <c r="U4716" t="s">
        <v>52671</v>
      </c>
      <c r="W4716" t="s">
        <v>44336</v>
      </c>
      <c r="X4716" t="s">
        <v>46573</v>
      </c>
    </row>
    <row r="4717" spans="1:24">
      <c r="A4717">
        <f>HYPERLINK("https://www.philgeps.gov.ph/GEPSNONPILOT/Tender/SplashBidNoticeAbstractUI.aspx?menuIndex=3&amp;refID=7064503&amp;Result=3","7064503")</f>
        <v>0</v>
      </c>
      <c r="B4717" t="s">
        <v>1654</v>
      </c>
      <c r="C4717" t="s">
        <v>8043</v>
      </c>
      <c r="D4717" t="s">
        <v>18804</v>
      </c>
      <c r="E4717" t="s">
        <v>23123</v>
      </c>
      <c r="F4717" t="s">
        <v>32664</v>
      </c>
      <c r="G4717" t="s">
        <v>32671</v>
      </c>
      <c r="H4717" t="s">
        <v>12635</v>
      </c>
      <c r="I4717" t="s">
        <v>6118</v>
      </c>
      <c r="J4717" t="s">
        <v>35847</v>
      </c>
      <c r="K4717" t="s">
        <v>42306</v>
      </c>
      <c r="M4717" t="s">
        <v>44339</v>
      </c>
      <c r="N4717" t="s">
        <v>46569</v>
      </c>
      <c r="O4717" t="s">
        <v>46570</v>
      </c>
      <c r="P4717">
        <v>0</v>
      </c>
      <c r="Q4717">
        <v>0</v>
      </c>
      <c r="R4717" t="s">
        <v>46572</v>
      </c>
      <c r="S4717" t="s">
        <v>46689</v>
      </c>
      <c r="T4717" t="s">
        <v>48410</v>
      </c>
      <c r="U4717" t="s">
        <v>52676</v>
      </c>
      <c r="W4717" t="s">
        <v>44339</v>
      </c>
      <c r="X4717" t="s">
        <v>46573</v>
      </c>
    </row>
    <row r="4718" spans="1:24">
      <c r="A4718">
        <f>HYPERLINK("https://www.philgeps.gov.ph/GEPSNONPILOT/Tender/SplashBidNoticeAbstractUI.aspx?menuIndex=3&amp;refID=7064526&amp;Result=3","7064526")</f>
        <v>0</v>
      </c>
      <c r="B4718" t="s">
        <v>1655</v>
      </c>
      <c r="C4718" t="s">
        <v>8044</v>
      </c>
      <c r="D4718" t="s">
        <v>18838</v>
      </c>
      <c r="E4718" t="s">
        <v>23124</v>
      </c>
      <c r="F4718" t="s">
        <v>32664</v>
      </c>
      <c r="G4718" t="s">
        <v>32675</v>
      </c>
      <c r="H4718" t="s">
        <v>12635</v>
      </c>
      <c r="I4718" t="s">
        <v>8730</v>
      </c>
      <c r="J4718" t="s">
        <v>34172</v>
      </c>
      <c r="K4718" t="s">
        <v>42283</v>
      </c>
      <c r="M4718" t="s">
        <v>44340</v>
      </c>
      <c r="N4718" t="s">
        <v>46569</v>
      </c>
      <c r="O4718" t="s">
        <v>46570</v>
      </c>
      <c r="P4718">
        <v>0</v>
      </c>
      <c r="Q4718">
        <v>1</v>
      </c>
      <c r="R4718" t="s">
        <v>46572</v>
      </c>
      <c r="S4718" t="s">
        <v>46689</v>
      </c>
      <c r="T4718" t="s">
        <v>48246</v>
      </c>
      <c r="U4718" t="s">
        <v>52677</v>
      </c>
      <c r="W4718" t="s">
        <v>44340</v>
      </c>
      <c r="X4718" t="s">
        <v>46573</v>
      </c>
    </row>
    <row r="4719" spans="1:24">
      <c r="A4719">
        <f>HYPERLINK("https://www.philgeps.gov.ph/GEPSNONPILOT/Tender/SplashBidNoticeAbstractUI.aspx?menuIndex=3&amp;refID=7064524&amp;Result=3","7064524")</f>
        <v>0</v>
      </c>
      <c r="B4719" t="s">
        <v>117</v>
      </c>
      <c r="C4719" t="s">
        <v>8045</v>
      </c>
      <c r="D4719" t="s">
        <v>18799</v>
      </c>
      <c r="E4719" t="s">
        <v>23125</v>
      </c>
      <c r="F4719" t="s">
        <v>32664</v>
      </c>
      <c r="G4719" t="s">
        <v>32671</v>
      </c>
      <c r="H4719" t="s">
        <v>12635</v>
      </c>
      <c r="I4719" t="s">
        <v>32710</v>
      </c>
      <c r="J4719" t="s">
        <v>35513</v>
      </c>
      <c r="K4719" t="s">
        <v>42283</v>
      </c>
      <c r="M4719" t="s">
        <v>42681</v>
      </c>
      <c r="N4719" t="s">
        <v>46569</v>
      </c>
      <c r="O4719" t="s">
        <v>46570</v>
      </c>
      <c r="P4719">
        <v>0</v>
      </c>
      <c r="Q4719">
        <v>4</v>
      </c>
      <c r="R4719" t="s">
        <v>46572</v>
      </c>
      <c r="S4719" t="s">
        <v>46689</v>
      </c>
      <c r="T4719" t="s">
        <v>48249</v>
      </c>
      <c r="U4719" t="s">
        <v>52678</v>
      </c>
      <c r="W4719" t="s">
        <v>42681</v>
      </c>
      <c r="X4719" t="s">
        <v>46573</v>
      </c>
    </row>
    <row r="4720" spans="1:24">
      <c r="A4720">
        <f>HYPERLINK("https://www.philgeps.gov.ph/GEPSNONPILOT/Tender/SplashBidNoticeAbstractUI.aspx?menuIndex=3&amp;refID=7064523&amp;Result=3","7064523")</f>
        <v>0</v>
      </c>
      <c r="B4720" t="s">
        <v>1656</v>
      </c>
      <c r="C4720" t="s">
        <v>8046</v>
      </c>
      <c r="D4720" t="s">
        <v>18805</v>
      </c>
      <c r="E4720" t="s">
        <v>20738</v>
      </c>
      <c r="F4720" t="s">
        <v>32664</v>
      </c>
      <c r="G4720" t="s">
        <v>32672</v>
      </c>
      <c r="H4720" t="s">
        <v>12635</v>
      </c>
      <c r="I4720" t="s">
        <v>32730</v>
      </c>
      <c r="J4720" t="s">
        <v>33031</v>
      </c>
      <c r="K4720" t="s">
        <v>42306</v>
      </c>
      <c r="M4720" t="s">
        <v>44341</v>
      </c>
      <c r="N4720" t="s">
        <v>46569</v>
      </c>
      <c r="O4720" t="s">
        <v>46570</v>
      </c>
      <c r="P4720">
        <v>0</v>
      </c>
      <c r="Q4720">
        <v>0</v>
      </c>
      <c r="R4720" t="s">
        <v>46572</v>
      </c>
      <c r="S4720" t="s">
        <v>46689</v>
      </c>
      <c r="T4720" t="s">
        <v>48527</v>
      </c>
      <c r="U4720" t="s">
        <v>52679</v>
      </c>
      <c r="W4720" t="s">
        <v>44341</v>
      </c>
      <c r="X4720" t="s">
        <v>46573</v>
      </c>
    </row>
    <row r="4721" spans="1:24">
      <c r="A4721">
        <f>HYPERLINK("https://www.philgeps.gov.ph/GEPSNONPILOT/Tender/SplashBidNoticeAbstractUI.aspx?menuIndex=3&amp;refID=7064490&amp;Result=3","7064490")</f>
        <v>0</v>
      </c>
      <c r="B4721" t="s">
        <v>1644</v>
      </c>
      <c r="C4721" t="s">
        <v>8047</v>
      </c>
      <c r="D4721" t="s">
        <v>18820</v>
      </c>
      <c r="E4721" t="s">
        <v>23126</v>
      </c>
      <c r="F4721" t="s">
        <v>32664</v>
      </c>
      <c r="G4721" t="s">
        <v>32672</v>
      </c>
      <c r="H4721" t="s">
        <v>12635</v>
      </c>
      <c r="I4721" t="s">
        <v>6223</v>
      </c>
      <c r="J4721" t="s">
        <v>35848</v>
      </c>
      <c r="K4721" t="s">
        <v>42303</v>
      </c>
      <c r="M4721" t="s">
        <v>44328</v>
      </c>
      <c r="N4721" t="s">
        <v>46569</v>
      </c>
      <c r="O4721" t="s">
        <v>46570</v>
      </c>
      <c r="P4721">
        <v>0</v>
      </c>
      <c r="Q4721">
        <v>1</v>
      </c>
      <c r="R4721" t="s">
        <v>46572</v>
      </c>
      <c r="S4721" t="s">
        <v>46689</v>
      </c>
      <c r="T4721" t="s">
        <v>48506</v>
      </c>
      <c r="U4721" t="s">
        <v>52680</v>
      </c>
      <c r="V4721" t="s">
        <v>62100</v>
      </c>
      <c r="W4721" t="s">
        <v>44328</v>
      </c>
      <c r="X4721" t="s">
        <v>46573</v>
      </c>
    </row>
    <row r="4722" spans="1:24">
      <c r="A4722">
        <f>HYPERLINK("https://www.philgeps.gov.ph/GEPSNONPILOT/Tender/SplashBidNoticeAbstractUI.aspx?menuIndex=3&amp;refID=7064522&amp;Result=3","7064522")</f>
        <v>0</v>
      </c>
      <c r="B4722" t="s">
        <v>117</v>
      </c>
      <c r="C4722" t="s">
        <v>8048</v>
      </c>
      <c r="D4722" t="s">
        <v>18799</v>
      </c>
      <c r="E4722" t="s">
        <v>23127</v>
      </c>
      <c r="F4722" t="s">
        <v>32664</v>
      </c>
      <c r="G4722" t="s">
        <v>32671</v>
      </c>
      <c r="H4722" t="s">
        <v>12635</v>
      </c>
      <c r="I4722" t="s">
        <v>10370</v>
      </c>
      <c r="J4722" t="s">
        <v>35849</v>
      </c>
      <c r="K4722" t="s">
        <v>42283</v>
      </c>
      <c r="M4722" t="s">
        <v>42681</v>
      </c>
      <c r="N4722" t="s">
        <v>46569</v>
      </c>
      <c r="O4722" t="s">
        <v>46570</v>
      </c>
      <c r="P4722">
        <v>0</v>
      </c>
      <c r="Q4722">
        <v>4</v>
      </c>
      <c r="R4722" t="s">
        <v>46572</v>
      </c>
      <c r="S4722" t="s">
        <v>46689</v>
      </c>
      <c r="T4722" t="s">
        <v>48249</v>
      </c>
      <c r="U4722" t="s">
        <v>52681</v>
      </c>
      <c r="W4722" t="s">
        <v>42681</v>
      </c>
      <c r="X4722" t="s">
        <v>46573</v>
      </c>
    </row>
    <row r="4723" spans="1:24">
      <c r="A4723">
        <f>HYPERLINK("https://www.philgeps.gov.ph/GEPSNONPILOT/Tender/SplashBidNoticeAbstractUI.aspx?menuIndex=3&amp;refID=7064519&amp;Result=3","7064519")</f>
        <v>0</v>
      </c>
      <c r="B4723" t="s">
        <v>1654</v>
      </c>
      <c r="C4723" t="s">
        <v>8049</v>
      </c>
      <c r="D4723" t="s">
        <v>18804</v>
      </c>
      <c r="E4723" t="s">
        <v>23128</v>
      </c>
      <c r="F4723" t="s">
        <v>32665</v>
      </c>
      <c r="G4723" t="s">
        <v>32674</v>
      </c>
      <c r="H4723" t="s">
        <v>12635</v>
      </c>
      <c r="I4723" t="s">
        <v>8730</v>
      </c>
      <c r="J4723" t="s">
        <v>35850</v>
      </c>
      <c r="K4723" t="s">
        <v>42306</v>
      </c>
      <c r="M4723" t="s">
        <v>44339</v>
      </c>
      <c r="N4723" t="s">
        <v>46569</v>
      </c>
      <c r="O4723" t="s">
        <v>46570</v>
      </c>
      <c r="P4723">
        <v>0</v>
      </c>
      <c r="Q4723">
        <v>1</v>
      </c>
      <c r="R4723" t="s">
        <v>46572</v>
      </c>
      <c r="S4723" t="s">
        <v>46689</v>
      </c>
      <c r="T4723" t="s">
        <v>48254</v>
      </c>
      <c r="U4723" t="s">
        <v>52682</v>
      </c>
      <c r="W4723" t="s">
        <v>44339</v>
      </c>
      <c r="X4723" t="s">
        <v>46573</v>
      </c>
    </row>
    <row r="4724" spans="1:24">
      <c r="A4724">
        <f>HYPERLINK("https://www.philgeps.gov.ph/GEPSNONPILOT/Tender/SplashBidNoticeAbstractUI.aspx?menuIndex=3&amp;refID=7064517&amp;Result=3","7064517")</f>
        <v>0</v>
      </c>
      <c r="B4724" t="s">
        <v>1657</v>
      </c>
      <c r="C4724" t="s">
        <v>8050</v>
      </c>
      <c r="D4724" t="s">
        <v>18842</v>
      </c>
      <c r="E4724" t="s">
        <v>23129</v>
      </c>
      <c r="F4724" t="s">
        <v>32664</v>
      </c>
      <c r="G4724" t="s">
        <v>32672</v>
      </c>
      <c r="H4724" t="s">
        <v>32683</v>
      </c>
      <c r="I4724" t="s">
        <v>10627</v>
      </c>
      <c r="J4724" t="s">
        <v>35851</v>
      </c>
      <c r="K4724" t="s">
        <v>42311</v>
      </c>
      <c r="M4724" t="s">
        <v>44342</v>
      </c>
      <c r="N4724" t="s">
        <v>46569</v>
      </c>
      <c r="O4724" t="s">
        <v>46570</v>
      </c>
      <c r="P4724">
        <v>0</v>
      </c>
      <c r="Q4724">
        <v>5</v>
      </c>
      <c r="R4724" t="s">
        <v>46572</v>
      </c>
      <c r="S4724" t="s">
        <v>46689</v>
      </c>
      <c r="T4724" t="s">
        <v>48222</v>
      </c>
      <c r="U4724" t="s">
        <v>52683</v>
      </c>
      <c r="W4724" t="s">
        <v>44342</v>
      </c>
      <c r="X4724" t="s">
        <v>46573</v>
      </c>
    </row>
    <row r="4725" spans="1:24">
      <c r="A4725">
        <f>HYPERLINK("https://www.philgeps.gov.ph/GEPSNONPILOT/Tender/SplashBidNoticeAbstractUI.aspx?menuIndex=3&amp;refID=7064443&amp;Result=3","7064443")</f>
        <v>0</v>
      </c>
      <c r="B4725" t="s">
        <v>1658</v>
      </c>
      <c r="C4725" t="s">
        <v>8051</v>
      </c>
      <c r="D4725" t="s">
        <v>18784</v>
      </c>
      <c r="E4725" t="s">
        <v>23130</v>
      </c>
      <c r="F4725" t="s">
        <v>32664</v>
      </c>
      <c r="G4725" t="s">
        <v>32671</v>
      </c>
      <c r="H4725" t="s">
        <v>12635</v>
      </c>
      <c r="I4725" t="s">
        <v>8797</v>
      </c>
      <c r="J4725" t="s">
        <v>35852</v>
      </c>
      <c r="K4725" t="s">
        <v>42289</v>
      </c>
      <c r="M4725" t="s">
        <v>44343</v>
      </c>
      <c r="N4725" t="s">
        <v>46569</v>
      </c>
      <c r="O4725" t="s">
        <v>46570</v>
      </c>
      <c r="P4725">
        <v>0</v>
      </c>
      <c r="Q4725">
        <v>9</v>
      </c>
      <c r="R4725" t="s">
        <v>46572</v>
      </c>
      <c r="S4725" t="s">
        <v>46689</v>
      </c>
      <c r="T4725" t="s">
        <v>48528</v>
      </c>
      <c r="U4725" t="s">
        <v>52684</v>
      </c>
      <c r="W4725" t="s">
        <v>44343</v>
      </c>
      <c r="X4725" t="s">
        <v>46573</v>
      </c>
    </row>
    <row r="4726" spans="1:24">
      <c r="A4726">
        <f>HYPERLINK("https://www.philgeps.gov.ph/GEPSNONPILOT/Tender/SplashBidNoticeAbstractUI.aspx?menuIndex=3&amp;refID=7064516&amp;Result=3","7064516")</f>
        <v>0</v>
      </c>
      <c r="B4726" t="s">
        <v>1126</v>
      </c>
      <c r="C4726" t="s">
        <v>8052</v>
      </c>
      <c r="D4726" t="s">
        <v>18803</v>
      </c>
      <c r="E4726" t="s">
        <v>19280</v>
      </c>
      <c r="F4726" t="s">
        <v>32664</v>
      </c>
      <c r="G4726" t="s">
        <v>32671</v>
      </c>
      <c r="H4726" t="s">
        <v>12635</v>
      </c>
      <c r="I4726" t="s">
        <v>32699</v>
      </c>
      <c r="J4726" t="s">
        <v>33696</v>
      </c>
      <c r="K4726" t="s">
        <v>42305</v>
      </c>
      <c r="M4726" t="s">
        <v>43755</v>
      </c>
      <c r="N4726" t="s">
        <v>46569</v>
      </c>
      <c r="O4726" t="s">
        <v>46570</v>
      </c>
      <c r="P4726">
        <v>0</v>
      </c>
      <c r="Q4726">
        <v>1</v>
      </c>
      <c r="R4726" t="s">
        <v>46572</v>
      </c>
      <c r="S4726" t="s">
        <v>46689</v>
      </c>
      <c r="T4726" t="s">
        <v>48249</v>
      </c>
      <c r="U4726" t="s">
        <v>52685</v>
      </c>
      <c r="W4726" t="s">
        <v>43755</v>
      </c>
      <c r="X4726" t="s">
        <v>46573</v>
      </c>
    </row>
    <row r="4727" spans="1:24">
      <c r="A4727">
        <f>HYPERLINK("https://www.philgeps.gov.ph/GEPSNONPILOT/Tender/SplashBidNoticeAbstractUI.aspx?menuIndex=3&amp;refID=7064521&amp;Result=3","7064521")</f>
        <v>0</v>
      </c>
      <c r="B4727" t="s">
        <v>1659</v>
      </c>
      <c r="C4727" t="s">
        <v>8053</v>
      </c>
      <c r="D4727" t="s">
        <v>18805</v>
      </c>
      <c r="E4727" t="s">
        <v>23131</v>
      </c>
      <c r="F4727" t="s">
        <v>32664</v>
      </c>
      <c r="G4727" t="s">
        <v>32674</v>
      </c>
      <c r="H4727" t="s">
        <v>12635</v>
      </c>
      <c r="I4727" t="s">
        <v>8730</v>
      </c>
      <c r="J4727" t="s">
        <v>35853</v>
      </c>
      <c r="K4727" t="s">
        <v>42330</v>
      </c>
      <c r="M4727" t="s">
        <v>44344</v>
      </c>
      <c r="N4727" t="s">
        <v>46569</v>
      </c>
      <c r="O4727" t="s">
        <v>46570</v>
      </c>
      <c r="P4727">
        <v>0</v>
      </c>
      <c r="Q4727">
        <v>3</v>
      </c>
      <c r="R4727" t="s">
        <v>46572</v>
      </c>
      <c r="S4727" t="s">
        <v>46689</v>
      </c>
      <c r="T4727" t="s">
        <v>48217</v>
      </c>
      <c r="U4727" t="s">
        <v>52686</v>
      </c>
      <c r="W4727" t="s">
        <v>44344</v>
      </c>
      <c r="X4727" t="s">
        <v>46573</v>
      </c>
    </row>
    <row r="4728" spans="1:24">
      <c r="A4728">
        <f>HYPERLINK("https://www.philgeps.gov.ph/GEPSNONPILOT/Tender/SplashBidNoticeAbstractUI.aspx?menuIndex=3&amp;refID=7064514&amp;Result=3","7064514")</f>
        <v>0</v>
      </c>
      <c r="B4728" t="s">
        <v>117</v>
      </c>
      <c r="C4728" t="s">
        <v>8054</v>
      </c>
      <c r="D4728" t="s">
        <v>18799</v>
      </c>
      <c r="E4728" t="s">
        <v>23132</v>
      </c>
      <c r="F4728" t="s">
        <v>32664</v>
      </c>
      <c r="G4728" t="s">
        <v>32671</v>
      </c>
      <c r="H4728" t="s">
        <v>12635</v>
      </c>
      <c r="I4728" t="s">
        <v>32706</v>
      </c>
      <c r="J4728" t="s">
        <v>35854</v>
      </c>
      <c r="K4728" t="s">
        <v>42283</v>
      </c>
      <c r="M4728" t="s">
        <v>42681</v>
      </c>
      <c r="N4728" t="s">
        <v>46569</v>
      </c>
      <c r="O4728" t="s">
        <v>46570</v>
      </c>
      <c r="P4728">
        <v>0</v>
      </c>
      <c r="Q4728">
        <v>0</v>
      </c>
      <c r="R4728" t="s">
        <v>46572</v>
      </c>
      <c r="S4728" t="s">
        <v>46689</v>
      </c>
      <c r="T4728" t="s">
        <v>48249</v>
      </c>
      <c r="U4728" t="s">
        <v>52687</v>
      </c>
      <c r="W4728" t="s">
        <v>42681</v>
      </c>
      <c r="X4728" t="s">
        <v>46573</v>
      </c>
    </row>
    <row r="4729" spans="1:24">
      <c r="A4729">
        <f>HYPERLINK("https://www.philgeps.gov.ph/GEPSNONPILOT/Tender/SplashBidNoticeAbstractUI.aspx?menuIndex=3&amp;refID=7064550&amp;Result=3","7064550")</f>
        <v>0</v>
      </c>
      <c r="B4729" t="s">
        <v>1660</v>
      </c>
      <c r="C4729" t="s">
        <v>8055</v>
      </c>
      <c r="D4729" t="s">
        <v>18783</v>
      </c>
      <c r="E4729" t="s">
        <v>23133</v>
      </c>
      <c r="F4729" t="s">
        <v>32664</v>
      </c>
      <c r="G4729" t="s">
        <v>32672</v>
      </c>
      <c r="H4729" t="s">
        <v>12635</v>
      </c>
      <c r="I4729" t="s">
        <v>11464</v>
      </c>
      <c r="J4729" t="s">
        <v>35855</v>
      </c>
      <c r="K4729" t="s">
        <v>42311</v>
      </c>
      <c r="M4729" t="s">
        <v>44345</v>
      </c>
      <c r="N4729" t="s">
        <v>46569</v>
      </c>
      <c r="O4729" t="s">
        <v>46570</v>
      </c>
      <c r="P4729">
        <v>0</v>
      </c>
      <c r="Q4729">
        <v>5</v>
      </c>
      <c r="R4729" t="s">
        <v>46572</v>
      </c>
      <c r="S4729" t="s">
        <v>46689</v>
      </c>
      <c r="T4729" t="s">
        <v>48273</v>
      </c>
      <c r="U4729" t="s">
        <v>52688</v>
      </c>
      <c r="W4729" t="s">
        <v>44347</v>
      </c>
      <c r="X4729" t="s">
        <v>46573</v>
      </c>
    </row>
    <row r="4730" spans="1:24">
      <c r="A4730">
        <f>HYPERLINK("https://www.philgeps.gov.ph/GEPSNONPILOT/Tender/SplashBidNoticeAbstractUI.aspx?menuIndex=3&amp;refID=7064489&amp;Result=3","7064489")</f>
        <v>0</v>
      </c>
      <c r="B4730" t="s">
        <v>1661</v>
      </c>
      <c r="C4730" t="s">
        <v>8056</v>
      </c>
      <c r="D4730" t="s">
        <v>18805</v>
      </c>
      <c r="E4730" t="s">
        <v>23134</v>
      </c>
      <c r="F4730" t="s">
        <v>32664</v>
      </c>
      <c r="G4730" t="s">
        <v>32671</v>
      </c>
      <c r="H4730" t="s">
        <v>12635</v>
      </c>
      <c r="I4730" t="s">
        <v>10627</v>
      </c>
      <c r="J4730" t="s">
        <v>33621</v>
      </c>
      <c r="K4730" t="s">
        <v>42306</v>
      </c>
      <c r="M4730" t="s">
        <v>44346</v>
      </c>
      <c r="N4730" t="s">
        <v>46569</v>
      </c>
      <c r="O4730" t="s">
        <v>46570</v>
      </c>
      <c r="P4730">
        <v>0</v>
      </c>
      <c r="Q4730">
        <v>0</v>
      </c>
      <c r="R4730" t="s">
        <v>46572</v>
      </c>
      <c r="S4730" t="s">
        <v>46689</v>
      </c>
      <c r="T4730" t="s">
        <v>48217</v>
      </c>
      <c r="U4730" t="s">
        <v>52689</v>
      </c>
      <c r="W4730" t="s">
        <v>44346</v>
      </c>
      <c r="X4730" t="s">
        <v>46573</v>
      </c>
    </row>
    <row r="4731" spans="1:24">
      <c r="A4731">
        <f>HYPERLINK("https://www.philgeps.gov.ph/GEPSNONPILOT/Tender/SplashBidNoticeAbstractUI.aspx?menuIndex=3&amp;refID=7064515&amp;Result=3","7064515")</f>
        <v>0</v>
      </c>
      <c r="B4731" t="s">
        <v>117</v>
      </c>
      <c r="C4731" t="s">
        <v>8057</v>
      </c>
      <c r="D4731" t="s">
        <v>18799</v>
      </c>
      <c r="E4731" t="s">
        <v>23135</v>
      </c>
      <c r="F4731" t="s">
        <v>32664</v>
      </c>
      <c r="G4731" t="s">
        <v>32671</v>
      </c>
      <c r="H4731" t="s">
        <v>12635</v>
      </c>
      <c r="I4731" t="s">
        <v>32706</v>
      </c>
      <c r="J4731" t="s">
        <v>33269</v>
      </c>
      <c r="K4731" t="s">
        <v>42283</v>
      </c>
      <c r="M4731" t="s">
        <v>42681</v>
      </c>
      <c r="N4731" t="s">
        <v>46569</v>
      </c>
      <c r="O4731" t="s">
        <v>46570</v>
      </c>
      <c r="P4731">
        <v>0</v>
      </c>
      <c r="Q4731">
        <v>0</v>
      </c>
      <c r="R4731" t="s">
        <v>46572</v>
      </c>
      <c r="S4731" t="s">
        <v>46689</v>
      </c>
      <c r="T4731" t="s">
        <v>48249</v>
      </c>
      <c r="U4731" t="s">
        <v>52690</v>
      </c>
      <c r="W4731" t="s">
        <v>42681</v>
      </c>
      <c r="X4731" t="s">
        <v>46573</v>
      </c>
    </row>
    <row r="4732" spans="1:24">
      <c r="A4732">
        <f>HYPERLINK("https://www.philgeps.gov.ph/GEPSNONPILOT/Tender/SplashBidNoticeAbstractUI.aspx?menuIndex=3&amp;refID=7064520&amp;Result=3","7064520")</f>
        <v>0</v>
      </c>
      <c r="B4732" t="s">
        <v>117</v>
      </c>
      <c r="C4732" t="s">
        <v>8058</v>
      </c>
      <c r="D4732" t="s">
        <v>18799</v>
      </c>
      <c r="E4732" t="s">
        <v>23136</v>
      </c>
      <c r="F4732" t="s">
        <v>32664</v>
      </c>
      <c r="G4732" t="s">
        <v>32671</v>
      </c>
      <c r="H4732" t="s">
        <v>12635</v>
      </c>
      <c r="I4732" t="s">
        <v>7429</v>
      </c>
      <c r="J4732" t="s">
        <v>33790</v>
      </c>
      <c r="K4732" t="s">
        <v>42283</v>
      </c>
      <c r="M4732" t="s">
        <v>42681</v>
      </c>
      <c r="N4732" t="s">
        <v>46569</v>
      </c>
      <c r="O4732" t="s">
        <v>46570</v>
      </c>
      <c r="P4732">
        <v>0</v>
      </c>
      <c r="Q4732">
        <v>1</v>
      </c>
      <c r="R4732" t="s">
        <v>46572</v>
      </c>
      <c r="S4732" t="s">
        <v>46689</v>
      </c>
      <c r="T4732" t="s">
        <v>48249</v>
      </c>
      <c r="U4732" t="s">
        <v>52691</v>
      </c>
      <c r="W4732" t="s">
        <v>42681</v>
      </c>
      <c r="X4732" t="s">
        <v>46573</v>
      </c>
    </row>
    <row r="4733" spans="1:24">
      <c r="A4733">
        <f>HYPERLINK("https://www.philgeps.gov.ph/GEPSNONPILOT/Tender/SplashBidNoticeAbstractUI.aspx?menuIndex=3&amp;refID=7064546&amp;Result=3","7064546")</f>
        <v>0</v>
      </c>
      <c r="B4733" t="s">
        <v>1660</v>
      </c>
      <c r="C4733" t="s">
        <v>8059</v>
      </c>
      <c r="D4733" t="s">
        <v>18783</v>
      </c>
      <c r="E4733" t="s">
        <v>23137</v>
      </c>
      <c r="F4733" t="s">
        <v>32664</v>
      </c>
      <c r="G4733" t="s">
        <v>32672</v>
      </c>
      <c r="H4733" t="s">
        <v>12635</v>
      </c>
      <c r="I4733" t="s">
        <v>32696</v>
      </c>
      <c r="J4733" t="s">
        <v>35856</v>
      </c>
      <c r="K4733" t="s">
        <v>42311</v>
      </c>
      <c r="M4733" t="s">
        <v>44345</v>
      </c>
      <c r="N4733" t="s">
        <v>46569</v>
      </c>
      <c r="O4733" t="s">
        <v>46570</v>
      </c>
      <c r="P4733">
        <v>0</v>
      </c>
      <c r="Q4733">
        <v>6</v>
      </c>
      <c r="R4733" t="s">
        <v>46572</v>
      </c>
      <c r="S4733" t="s">
        <v>46689</v>
      </c>
      <c r="T4733" t="s">
        <v>48273</v>
      </c>
      <c r="U4733" t="s">
        <v>52688</v>
      </c>
      <c r="W4733" t="s">
        <v>44347</v>
      </c>
      <c r="X4733" t="s">
        <v>46573</v>
      </c>
    </row>
    <row r="4734" spans="1:24">
      <c r="A4734">
        <f>HYPERLINK("https://www.philgeps.gov.ph/GEPSNONPILOT/Tender/SplashBidNoticeAbstractUI.aspx?menuIndex=3&amp;refID=7064545&amp;Result=3","7064545")</f>
        <v>0</v>
      </c>
      <c r="B4734" t="s">
        <v>117</v>
      </c>
      <c r="C4734" t="s">
        <v>8060</v>
      </c>
      <c r="D4734" t="s">
        <v>18799</v>
      </c>
      <c r="E4734" t="s">
        <v>23138</v>
      </c>
      <c r="F4734" t="s">
        <v>32664</v>
      </c>
      <c r="G4734" t="s">
        <v>32671</v>
      </c>
      <c r="H4734" t="s">
        <v>12635</v>
      </c>
      <c r="I4734" t="s">
        <v>4205</v>
      </c>
      <c r="J4734" t="s">
        <v>33168</v>
      </c>
      <c r="K4734" t="s">
        <v>42283</v>
      </c>
      <c r="M4734" t="s">
        <v>42681</v>
      </c>
      <c r="N4734" t="s">
        <v>46569</v>
      </c>
      <c r="O4734" t="s">
        <v>46570</v>
      </c>
      <c r="P4734">
        <v>0</v>
      </c>
      <c r="Q4734">
        <v>3</v>
      </c>
      <c r="R4734" t="s">
        <v>46572</v>
      </c>
      <c r="S4734" t="s">
        <v>46689</v>
      </c>
      <c r="T4734" t="s">
        <v>48249</v>
      </c>
      <c r="U4734" t="s">
        <v>52692</v>
      </c>
      <c r="W4734" t="s">
        <v>42681</v>
      </c>
      <c r="X4734" t="s">
        <v>46573</v>
      </c>
    </row>
    <row r="4735" spans="1:24">
      <c r="A4735">
        <f>HYPERLINK("https://www.philgeps.gov.ph/GEPSNONPILOT/Tender/SplashBidNoticeAbstractUI.aspx?menuIndex=3&amp;refID=7064544&amp;Result=3","7064544")</f>
        <v>0</v>
      </c>
      <c r="B4735" t="s">
        <v>1660</v>
      </c>
      <c r="C4735" t="s">
        <v>8061</v>
      </c>
      <c r="D4735" t="s">
        <v>18783</v>
      </c>
      <c r="E4735" t="s">
        <v>23139</v>
      </c>
      <c r="F4735" t="s">
        <v>32664</v>
      </c>
      <c r="G4735" t="s">
        <v>32672</v>
      </c>
      <c r="H4735" t="s">
        <v>12635</v>
      </c>
      <c r="I4735" t="s">
        <v>32696</v>
      </c>
      <c r="J4735" t="s">
        <v>33001</v>
      </c>
      <c r="K4735" t="s">
        <v>42311</v>
      </c>
      <c r="M4735" t="s">
        <v>44345</v>
      </c>
      <c r="N4735" t="s">
        <v>46569</v>
      </c>
      <c r="O4735" t="s">
        <v>46570</v>
      </c>
      <c r="P4735">
        <v>0</v>
      </c>
      <c r="Q4735">
        <v>2</v>
      </c>
      <c r="R4735" t="s">
        <v>46572</v>
      </c>
      <c r="S4735" t="s">
        <v>46689</v>
      </c>
      <c r="T4735" t="s">
        <v>48273</v>
      </c>
      <c r="U4735" t="s">
        <v>52688</v>
      </c>
      <c r="W4735" t="s">
        <v>44347</v>
      </c>
      <c r="X4735" t="s">
        <v>46573</v>
      </c>
    </row>
    <row r="4736" spans="1:24">
      <c r="A4736">
        <f>HYPERLINK("https://www.philgeps.gov.ph/GEPSNONPILOT/Tender/SplashBidNoticeAbstractUI.aspx?menuIndex=3&amp;refID=7064543&amp;Result=3","7064543")</f>
        <v>0</v>
      </c>
      <c r="B4736" t="s">
        <v>117</v>
      </c>
      <c r="C4736" t="s">
        <v>8062</v>
      </c>
      <c r="D4736" t="s">
        <v>18799</v>
      </c>
      <c r="E4736" t="s">
        <v>8062</v>
      </c>
      <c r="F4736" t="s">
        <v>32664</v>
      </c>
      <c r="G4736" t="s">
        <v>32671</v>
      </c>
      <c r="H4736" t="s">
        <v>12635</v>
      </c>
      <c r="I4736" t="s">
        <v>7759</v>
      </c>
      <c r="J4736" t="s">
        <v>35857</v>
      </c>
      <c r="K4736" t="s">
        <v>42283</v>
      </c>
      <c r="M4736" t="s">
        <v>42681</v>
      </c>
      <c r="N4736" t="s">
        <v>46569</v>
      </c>
      <c r="O4736" t="s">
        <v>46570</v>
      </c>
      <c r="P4736">
        <v>0</v>
      </c>
      <c r="Q4736">
        <v>1</v>
      </c>
      <c r="R4736" t="s">
        <v>46572</v>
      </c>
      <c r="S4736" t="s">
        <v>46689</v>
      </c>
      <c r="T4736" t="s">
        <v>48249</v>
      </c>
      <c r="U4736" t="s">
        <v>52693</v>
      </c>
      <c r="W4736" t="s">
        <v>42681</v>
      </c>
      <c r="X4736" t="s">
        <v>46573</v>
      </c>
    </row>
    <row r="4737" spans="1:24">
      <c r="A4737">
        <f>HYPERLINK("https://www.philgeps.gov.ph/GEPSNONPILOT/Tender/SplashBidNoticeAbstractUI.aspx?menuIndex=3&amp;refID=7064542&amp;Result=3","7064542")</f>
        <v>0</v>
      </c>
      <c r="B4737" t="s">
        <v>1660</v>
      </c>
      <c r="C4737" t="s">
        <v>8063</v>
      </c>
      <c r="D4737" t="s">
        <v>18783</v>
      </c>
      <c r="E4737" t="s">
        <v>23140</v>
      </c>
      <c r="F4737" t="s">
        <v>32664</v>
      </c>
      <c r="G4737" t="s">
        <v>32672</v>
      </c>
      <c r="H4737" t="s">
        <v>12635</v>
      </c>
      <c r="I4737" t="s">
        <v>32706</v>
      </c>
      <c r="J4737" t="s">
        <v>35858</v>
      </c>
      <c r="K4737" t="s">
        <v>42284</v>
      </c>
      <c r="M4737" t="s">
        <v>44347</v>
      </c>
      <c r="N4737" t="s">
        <v>46569</v>
      </c>
      <c r="O4737" t="s">
        <v>46570</v>
      </c>
      <c r="P4737">
        <v>0</v>
      </c>
      <c r="Q4737">
        <v>0</v>
      </c>
      <c r="R4737" t="s">
        <v>46572</v>
      </c>
      <c r="S4737" t="s">
        <v>46689</v>
      </c>
      <c r="T4737" t="s">
        <v>48273</v>
      </c>
      <c r="U4737" t="s">
        <v>52688</v>
      </c>
      <c r="W4737" t="s">
        <v>44347</v>
      </c>
      <c r="X4737" t="s">
        <v>46573</v>
      </c>
    </row>
    <row r="4738" spans="1:24">
      <c r="A4738">
        <f>HYPERLINK("https://www.philgeps.gov.ph/GEPSNONPILOT/Tender/SplashBidNoticeAbstractUI.aspx?menuIndex=3&amp;refID=7064540&amp;Result=3","7064540")</f>
        <v>0</v>
      </c>
      <c r="B4738" t="s">
        <v>117</v>
      </c>
      <c r="C4738" t="s">
        <v>8064</v>
      </c>
      <c r="D4738" t="s">
        <v>18799</v>
      </c>
      <c r="E4738" t="s">
        <v>8064</v>
      </c>
      <c r="F4738" t="s">
        <v>32664</v>
      </c>
      <c r="G4738" t="s">
        <v>32671</v>
      </c>
      <c r="H4738" t="s">
        <v>12635</v>
      </c>
      <c r="I4738" t="s">
        <v>6628</v>
      </c>
      <c r="J4738" t="s">
        <v>32984</v>
      </c>
      <c r="K4738" t="s">
        <v>42283</v>
      </c>
      <c r="M4738" t="s">
        <v>42681</v>
      </c>
      <c r="N4738" t="s">
        <v>46569</v>
      </c>
      <c r="O4738" t="s">
        <v>46570</v>
      </c>
      <c r="P4738">
        <v>0</v>
      </c>
      <c r="Q4738">
        <v>3</v>
      </c>
      <c r="R4738" t="s">
        <v>46572</v>
      </c>
      <c r="S4738" t="s">
        <v>46689</v>
      </c>
      <c r="T4738" t="s">
        <v>48249</v>
      </c>
      <c r="U4738" t="s">
        <v>52694</v>
      </c>
      <c r="W4738" t="s">
        <v>42681</v>
      </c>
      <c r="X4738" t="s">
        <v>46573</v>
      </c>
    </row>
    <row r="4739" spans="1:24">
      <c r="A4739">
        <f>HYPERLINK("https://www.philgeps.gov.ph/GEPSNONPILOT/Tender/SplashBidNoticeAbstractUI.aspx?menuIndex=3&amp;refID=7064548&amp;Result=3","7064548")</f>
        <v>0</v>
      </c>
      <c r="B4739" t="s">
        <v>117</v>
      </c>
      <c r="C4739" t="s">
        <v>8065</v>
      </c>
      <c r="D4739" t="s">
        <v>18799</v>
      </c>
      <c r="E4739" t="s">
        <v>23141</v>
      </c>
      <c r="F4739" t="s">
        <v>32664</v>
      </c>
      <c r="G4739" t="s">
        <v>32671</v>
      </c>
      <c r="H4739" t="s">
        <v>12635</v>
      </c>
      <c r="I4739" t="s">
        <v>4205</v>
      </c>
      <c r="J4739" t="s">
        <v>35194</v>
      </c>
      <c r="K4739" t="s">
        <v>42283</v>
      </c>
      <c r="M4739" t="s">
        <v>42681</v>
      </c>
      <c r="N4739" t="s">
        <v>46569</v>
      </c>
      <c r="O4739" t="s">
        <v>46570</v>
      </c>
      <c r="P4739">
        <v>0</v>
      </c>
      <c r="Q4739">
        <v>2</v>
      </c>
      <c r="R4739" t="s">
        <v>46572</v>
      </c>
      <c r="S4739" t="s">
        <v>46689</v>
      </c>
      <c r="T4739" t="s">
        <v>48249</v>
      </c>
      <c r="U4739" t="s">
        <v>52695</v>
      </c>
      <c r="W4739" t="s">
        <v>42681</v>
      </c>
      <c r="X4739" t="s">
        <v>46573</v>
      </c>
    </row>
    <row r="4740" spans="1:24">
      <c r="A4740">
        <f>HYPERLINK("https://www.philgeps.gov.ph/GEPSNONPILOT/Tender/SplashBidNoticeAbstractUI.aspx?menuIndex=3&amp;refID=7045717&amp;Result=3","7045717")</f>
        <v>0</v>
      </c>
      <c r="B4740" t="s">
        <v>1662</v>
      </c>
      <c r="C4740" t="s">
        <v>8066</v>
      </c>
      <c r="D4740" t="s">
        <v>18839</v>
      </c>
      <c r="E4740" t="s">
        <v>23142</v>
      </c>
      <c r="F4740" t="s">
        <v>32664</v>
      </c>
      <c r="G4740" t="s">
        <v>32671</v>
      </c>
      <c r="H4740" t="s">
        <v>12635</v>
      </c>
      <c r="I4740" t="s">
        <v>32743</v>
      </c>
      <c r="J4740" t="s">
        <v>35859</v>
      </c>
      <c r="K4740" t="s">
        <v>42281</v>
      </c>
      <c r="M4740" t="s">
        <v>44348</v>
      </c>
      <c r="N4740" t="s">
        <v>46569</v>
      </c>
      <c r="O4740" t="s">
        <v>46570</v>
      </c>
      <c r="P4740">
        <v>0</v>
      </c>
      <c r="Q4740">
        <v>3</v>
      </c>
      <c r="R4740" t="s">
        <v>46573</v>
      </c>
      <c r="S4740" t="s">
        <v>46705</v>
      </c>
      <c r="T4740" t="s">
        <v>48307</v>
      </c>
      <c r="U4740" t="s">
        <v>52696</v>
      </c>
      <c r="W4740" t="s">
        <v>44348</v>
      </c>
      <c r="X4740" t="s">
        <v>46581</v>
      </c>
    </row>
    <row r="4741" spans="1:24">
      <c r="A4741">
        <f>HYPERLINK("https://www.philgeps.gov.ph/GEPSNONPILOT/Tender/SplashBidNoticeAbstractUI.aspx?menuIndex=3&amp;refID=7064496&amp;Result=3","7064496")</f>
        <v>0</v>
      </c>
      <c r="B4741" t="s">
        <v>1663</v>
      </c>
      <c r="C4741" t="s">
        <v>8067</v>
      </c>
      <c r="D4741" t="s">
        <v>18834</v>
      </c>
      <c r="E4741" t="s">
        <v>23143</v>
      </c>
      <c r="F4741" t="s">
        <v>32664</v>
      </c>
      <c r="G4741" t="s">
        <v>32672</v>
      </c>
      <c r="H4741" t="s">
        <v>12635</v>
      </c>
      <c r="I4741" t="s">
        <v>8849</v>
      </c>
      <c r="J4741" t="s">
        <v>32943</v>
      </c>
      <c r="K4741" t="s">
        <v>42289</v>
      </c>
      <c r="M4741" t="s">
        <v>44349</v>
      </c>
      <c r="N4741" t="s">
        <v>46569</v>
      </c>
      <c r="O4741" t="s">
        <v>46570</v>
      </c>
      <c r="P4741">
        <v>0</v>
      </c>
      <c r="Q4741">
        <v>0</v>
      </c>
      <c r="R4741" t="s">
        <v>46572</v>
      </c>
      <c r="S4741" t="s">
        <v>46689</v>
      </c>
      <c r="T4741" t="s">
        <v>48326</v>
      </c>
      <c r="U4741" t="s">
        <v>52697</v>
      </c>
      <c r="W4741" t="s">
        <v>44349</v>
      </c>
      <c r="X4741" t="s">
        <v>46573</v>
      </c>
    </row>
    <row r="4742" spans="1:24">
      <c r="A4742">
        <f>HYPERLINK("https://www.philgeps.gov.ph/GEPSNONPILOT/Tender/SplashBidNoticeAbstractUI.aspx?menuIndex=3&amp;refID=7045606&amp;Result=3","7045606")</f>
        <v>0</v>
      </c>
      <c r="B4742" t="s">
        <v>1662</v>
      </c>
      <c r="C4742" t="s">
        <v>8068</v>
      </c>
      <c r="D4742" t="s">
        <v>18839</v>
      </c>
      <c r="E4742" t="s">
        <v>23144</v>
      </c>
      <c r="F4742" t="s">
        <v>32664</v>
      </c>
      <c r="G4742" t="s">
        <v>32671</v>
      </c>
      <c r="H4742" t="s">
        <v>12635</v>
      </c>
      <c r="I4742" t="s">
        <v>32741</v>
      </c>
      <c r="J4742" t="s">
        <v>35860</v>
      </c>
      <c r="K4742" t="s">
        <v>42281</v>
      </c>
      <c r="M4742" t="s">
        <v>44348</v>
      </c>
      <c r="N4742" t="s">
        <v>46569</v>
      </c>
      <c r="O4742" t="s">
        <v>46570</v>
      </c>
      <c r="P4742">
        <v>0</v>
      </c>
      <c r="Q4742">
        <v>5</v>
      </c>
      <c r="R4742" t="s">
        <v>46573</v>
      </c>
      <c r="S4742" t="s">
        <v>46705</v>
      </c>
      <c r="T4742" t="s">
        <v>48427</v>
      </c>
      <c r="U4742" t="s">
        <v>52698</v>
      </c>
      <c r="W4742" t="s">
        <v>44348</v>
      </c>
      <c r="X4742" t="s">
        <v>46581</v>
      </c>
    </row>
    <row r="4743" spans="1:24">
      <c r="A4743">
        <f>HYPERLINK("https://www.philgeps.gov.ph/GEPSNONPILOT/Tender/SplashBidNoticeAbstractUI.aspx?menuIndex=3&amp;refID=7064549&amp;Result=3","7064549")</f>
        <v>0</v>
      </c>
      <c r="B4743" t="s">
        <v>1660</v>
      </c>
      <c r="C4743" t="s">
        <v>8069</v>
      </c>
      <c r="D4743" t="s">
        <v>18783</v>
      </c>
      <c r="E4743" t="s">
        <v>23145</v>
      </c>
      <c r="F4743" t="s">
        <v>32664</v>
      </c>
      <c r="G4743" t="s">
        <v>32672</v>
      </c>
      <c r="H4743" t="s">
        <v>12635</v>
      </c>
      <c r="I4743" t="s">
        <v>32708</v>
      </c>
      <c r="J4743" t="s">
        <v>33142</v>
      </c>
      <c r="K4743" t="s">
        <v>42311</v>
      </c>
      <c r="M4743" t="s">
        <v>44345</v>
      </c>
      <c r="N4743" t="s">
        <v>46569</v>
      </c>
      <c r="O4743" t="s">
        <v>46570</v>
      </c>
      <c r="P4743">
        <v>0</v>
      </c>
      <c r="Q4743">
        <v>6</v>
      </c>
      <c r="R4743" t="s">
        <v>46572</v>
      </c>
      <c r="S4743" t="s">
        <v>46689</v>
      </c>
      <c r="T4743" t="s">
        <v>48273</v>
      </c>
      <c r="U4743" t="s">
        <v>52688</v>
      </c>
      <c r="W4743" t="s">
        <v>44347</v>
      </c>
      <c r="X4743" t="s">
        <v>46573</v>
      </c>
    </row>
    <row r="4744" spans="1:24">
      <c r="A4744">
        <f>HYPERLINK("https://www.philgeps.gov.ph/GEPSNONPILOT/Tender/SplashBidNoticeAbstractUI.aspx?menuIndex=3&amp;refID=7042247&amp;Result=3","7042247")</f>
        <v>0</v>
      </c>
      <c r="B4744" t="s">
        <v>1664</v>
      </c>
      <c r="C4744" t="s">
        <v>8070</v>
      </c>
      <c r="D4744" t="s">
        <v>18826</v>
      </c>
      <c r="E4744" t="s">
        <v>23146</v>
      </c>
      <c r="F4744" t="s">
        <v>32664</v>
      </c>
      <c r="G4744" t="s">
        <v>32672</v>
      </c>
      <c r="H4744" t="s">
        <v>32683</v>
      </c>
      <c r="I4744" t="s">
        <v>10627</v>
      </c>
      <c r="J4744" t="s">
        <v>35861</v>
      </c>
      <c r="K4744" t="s">
        <v>42434</v>
      </c>
      <c r="M4744" t="s">
        <v>44350</v>
      </c>
      <c r="N4744" t="s">
        <v>46569</v>
      </c>
      <c r="O4744" t="s">
        <v>46570</v>
      </c>
      <c r="P4744">
        <v>0</v>
      </c>
      <c r="Q4744">
        <v>9</v>
      </c>
      <c r="R4744" t="s">
        <v>46573</v>
      </c>
      <c r="S4744" t="s">
        <v>46705</v>
      </c>
      <c r="T4744" t="s">
        <v>48220</v>
      </c>
      <c r="U4744" t="s">
        <v>52699</v>
      </c>
      <c r="V4744" t="s">
        <v>62103</v>
      </c>
      <c r="W4744" t="s">
        <v>44350</v>
      </c>
      <c r="X4744" t="s">
        <v>46585</v>
      </c>
    </row>
    <row r="4745" spans="1:24">
      <c r="A4745">
        <f>HYPERLINK("https://www.philgeps.gov.ph/GEPSNONPILOT/Tender/SplashBidNoticeAbstractUI.aspx?menuIndex=3&amp;refID=7045637&amp;Result=3","7045637")</f>
        <v>0</v>
      </c>
      <c r="B4745" t="s">
        <v>1662</v>
      </c>
      <c r="C4745" t="s">
        <v>8071</v>
      </c>
      <c r="D4745" t="s">
        <v>18839</v>
      </c>
      <c r="E4745" t="s">
        <v>23147</v>
      </c>
      <c r="F4745" t="s">
        <v>32664</v>
      </c>
      <c r="G4745" t="s">
        <v>32671</v>
      </c>
      <c r="H4745" t="s">
        <v>12635</v>
      </c>
      <c r="I4745" t="s">
        <v>32742</v>
      </c>
      <c r="J4745" t="s">
        <v>35862</v>
      </c>
      <c r="K4745" t="s">
        <v>42281</v>
      </c>
      <c r="M4745" t="s">
        <v>44348</v>
      </c>
      <c r="N4745" t="s">
        <v>46569</v>
      </c>
      <c r="O4745" t="s">
        <v>46570</v>
      </c>
      <c r="P4745">
        <v>0</v>
      </c>
      <c r="Q4745">
        <v>3</v>
      </c>
      <c r="R4745" t="s">
        <v>46573</v>
      </c>
      <c r="S4745" t="s">
        <v>46705</v>
      </c>
      <c r="T4745" t="s">
        <v>48307</v>
      </c>
      <c r="U4745" t="s">
        <v>52700</v>
      </c>
      <c r="W4745" t="s">
        <v>44348</v>
      </c>
      <c r="X4745" t="s">
        <v>46581</v>
      </c>
    </row>
    <row r="4746" spans="1:24">
      <c r="A4746">
        <f>HYPERLINK("https://www.philgeps.gov.ph/GEPSNONPILOT/Tender/SplashBidNoticeAbstractUI.aspx?menuIndex=3&amp;refID=7042181&amp;Result=3","7042181")</f>
        <v>0</v>
      </c>
      <c r="B4746" t="s">
        <v>1665</v>
      </c>
      <c r="C4746" t="s">
        <v>8072</v>
      </c>
      <c r="D4746" t="s">
        <v>18830</v>
      </c>
      <c r="E4746" t="s">
        <v>23148</v>
      </c>
      <c r="F4746" t="s">
        <v>32664</v>
      </c>
      <c r="G4746" t="s">
        <v>32671</v>
      </c>
      <c r="H4746" t="s">
        <v>12635</v>
      </c>
      <c r="I4746" t="s">
        <v>4439</v>
      </c>
      <c r="J4746" t="s">
        <v>34267</v>
      </c>
      <c r="K4746" t="s">
        <v>42332</v>
      </c>
      <c r="M4746" t="s">
        <v>44351</v>
      </c>
      <c r="N4746" t="s">
        <v>46569</v>
      </c>
      <c r="O4746" t="s">
        <v>46570</v>
      </c>
      <c r="P4746">
        <v>0</v>
      </c>
      <c r="Q4746">
        <v>0</v>
      </c>
      <c r="R4746" t="s">
        <v>46573</v>
      </c>
      <c r="S4746" t="s">
        <v>46705</v>
      </c>
      <c r="T4746" t="s">
        <v>48316</v>
      </c>
      <c r="U4746" t="s">
        <v>52701</v>
      </c>
      <c r="W4746" t="s">
        <v>44351</v>
      </c>
      <c r="X4746" t="s">
        <v>46585</v>
      </c>
    </row>
    <row r="4747" spans="1:24">
      <c r="A4747">
        <f>HYPERLINK("https://www.philgeps.gov.ph/GEPSNONPILOT/Tender/SplashBidNoticeAbstractUI.aspx?menuIndex=3&amp;refID=7037731-2&amp;Result=3","7037731-2")</f>
        <v>0</v>
      </c>
      <c r="B4747" t="s">
        <v>1666</v>
      </c>
      <c r="C4747" t="s">
        <v>8073</v>
      </c>
      <c r="D4747" t="s">
        <v>18841</v>
      </c>
      <c r="E4747" t="s">
        <v>23149</v>
      </c>
      <c r="F4747" t="s">
        <v>32664</v>
      </c>
      <c r="G4747" t="s">
        <v>32672</v>
      </c>
      <c r="H4747" t="s">
        <v>32681</v>
      </c>
      <c r="I4747" t="s">
        <v>32681</v>
      </c>
      <c r="J4747" t="s">
        <v>35863</v>
      </c>
      <c r="K4747" t="s">
        <v>42298</v>
      </c>
      <c r="M4747" t="s">
        <v>44352</v>
      </c>
      <c r="N4747" t="s">
        <v>46569</v>
      </c>
      <c r="O4747" t="s">
        <v>46570</v>
      </c>
      <c r="P4747">
        <v>0</v>
      </c>
      <c r="Q4747">
        <v>1</v>
      </c>
      <c r="R4747" t="s">
        <v>46573</v>
      </c>
      <c r="S4747" t="s">
        <v>46705</v>
      </c>
      <c r="T4747" t="s">
        <v>48212</v>
      </c>
      <c r="U4747" t="s">
        <v>52702</v>
      </c>
      <c r="W4747" t="s">
        <v>44352</v>
      </c>
      <c r="X4747" t="s">
        <v>46574</v>
      </c>
    </row>
    <row r="4748" spans="1:24">
      <c r="A4748">
        <f>HYPERLINK("https://www.philgeps.gov.ph/GEPSNONPILOT/Tender/SplashBidNoticeAbstractUI.aspx?menuIndex=3&amp;refID=7064527&amp;Result=3","7064527")</f>
        <v>0</v>
      </c>
      <c r="B4748" t="s">
        <v>698</v>
      </c>
      <c r="C4748" t="s">
        <v>8074</v>
      </c>
      <c r="D4748" t="s">
        <v>18784</v>
      </c>
      <c r="E4748" t="s">
        <v>23150</v>
      </c>
      <c r="F4748" t="s">
        <v>32664</v>
      </c>
      <c r="G4748" t="s">
        <v>32671</v>
      </c>
      <c r="H4748" t="s">
        <v>12635</v>
      </c>
      <c r="I4748" t="s">
        <v>32701</v>
      </c>
      <c r="J4748" t="s">
        <v>33578</v>
      </c>
      <c r="K4748" t="s">
        <v>42284</v>
      </c>
      <c r="M4748" t="s">
        <v>44353</v>
      </c>
      <c r="N4748" t="s">
        <v>46569</v>
      </c>
      <c r="O4748" t="s">
        <v>46570</v>
      </c>
      <c r="P4748">
        <v>0</v>
      </c>
      <c r="Q4748">
        <v>1</v>
      </c>
      <c r="R4748" t="s">
        <v>46572</v>
      </c>
      <c r="S4748" t="s">
        <v>46689</v>
      </c>
      <c r="T4748" t="s">
        <v>48256</v>
      </c>
      <c r="U4748" t="s">
        <v>52703</v>
      </c>
      <c r="W4748" t="s">
        <v>43802</v>
      </c>
      <c r="X4748" t="s">
        <v>46573</v>
      </c>
    </row>
    <row r="4749" spans="1:24">
      <c r="A4749">
        <f>HYPERLINK("https://www.philgeps.gov.ph/GEPSNONPILOT/Tender/SplashBidNoticeAbstractUI.aspx?menuIndex=3&amp;refID=7044872&amp;Result=3","7044872")</f>
        <v>0</v>
      </c>
      <c r="B4749" t="s">
        <v>1667</v>
      </c>
      <c r="C4749" t="s">
        <v>8075</v>
      </c>
      <c r="D4749" t="s">
        <v>18784</v>
      </c>
      <c r="E4749" t="s">
        <v>20195</v>
      </c>
      <c r="F4749" t="s">
        <v>32664</v>
      </c>
      <c r="G4749" t="s">
        <v>32671</v>
      </c>
      <c r="H4749" t="s">
        <v>12635</v>
      </c>
      <c r="I4749" t="s">
        <v>32710</v>
      </c>
      <c r="J4749" t="s">
        <v>33069</v>
      </c>
      <c r="K4749" t="s">
        <v>42283</v>
      </c>
      <c r="M4749" t="s">
        <v>44354</v>
      </c>
      <c r="N4749" t="s">
        <v>46569</v>
      </c>
      <c r="O4749" t="s">
        <v>46570</v>
      </c>
      <c r="P4749">
        <v>0</v>
      </c>
      <c r="Q4749">
        <v>10</v>
      </c>
      <c r="R4749" t="s">
        <v>46573</v>
      </c>
      <c r="S4749" t="s">
        <v>46705</v>
      </c>
      <c r="T4749" t="s">
        <v>48450</v>
      </c>
      <c r="U4749" t="s">
        <v>52704</v>
      </c>
      <c r="W4749" t="s">
        <v>44354</v>
      </c>
      <c r="X4749" t="s">
        <v>46581</v>
      </c>
    </row>
    <row r="4750" spans="1:24">
      <c r="A4750">
        <f>HYPERLINK("https://www.philgeps.gov.ph/GEPSNONPILOT/Tender/SplashBidNoticeAbstractUI.aspx?menuIndex=3&amp;refID=7035201&amp;Result=3","7035201")</f>
        <v>0</v>
      </c>
      <c r="B4750" t="s">
        <v>1668</v>
      </c>
      <c r="C4750" t="s">
        <v>8076</v>
      </c>
      <c r="D4750" t="s">
        <v>18788</v>
      </c>
      <c r="E4750" t="s">
        <v>23151</v>
      </c>
      <c r="F4750" t="s">
        <v>32664</v>
      </c>
      <c r="G4750" t="s">
        <v>32672</v>
      </c>
      <c r="H4750" t="s">
        <v>32683</v>
      </c>
      <c r="I4750" t="s">
        <v>4439</v>
      </c>
      <c r="J4750" t="s">
        <v>35864</v>
      </c>
      <c r="K4750" t="s">
        <v>42281</v>
      </c>
      <c r="M4750" t="s">
        <v>44355</v>
      </c>
      <c r="N4750" t="s">
        <v>46569</v>
      </c>
      <c r="O4750" t="s">
        <v>46570</v>
      </c>
      <c r="P4750">
        <v>0</v>
      </c>
      <c r="Q4750">
        <v>0</v>
      </c>
      <c r="R4750" t="s">
        <v>46573</v>
      </c>
      <c r="S4750" t="s">
        <v>46705</v>
      </c>
      <c r="T4750" t="s">
        <v>48306</v>
      </c>
      <c r="U4750" t="s">
        <v>52705</v>
      </c>
      <c r="W4750" t="s">
        <v>44355</v>
      </c>
      <c r="X4750" t="s">
        <v>46588</v>
      </c>
    </row>
    <row r="4751" spans="1:24">
      <c r="A4751">
        <f>HYPERLINK("https://www.philgeps.gov.ph/GEPSNONPILOT/Tender/SplashBidNoticeAbstractUI.aspx?menuIndex=3&amp;refID=7064539&amp;Result=3","7064539")</f>
        <v>0</v>
      </c>
      <c r="B4751" t="s">
        <v>1660</v>
      </c>
      <c r="C4751" t="s">
        <v>8077</v>
      </c>
      <c r="D4751" t="s">
        <v>18783</v>
      </c>
      <c r="E4751" t="s">
        <v>23152</v>
      </c>
      <c r="F4751" t="s">
        <v>32664</v>
      </c>
      <c r="G4751" t="s">
        <v>32672</v>
      </c>
      <c r="H4751" t="s">
        <v>12635</v>
      </c>
      <c r="I4751" t="s">
        <v>32706</v>
      </c>
      <c r="J4751" t="s">
        <v>35865</v>
      </c>
      <c r="K4751" t="s">
        <v>42284</v>
      </c>
      <c r="M4751" t="s">
        <v>44345</v>
      </c>
      <c r="N4751" t="s">
        <v>46569</v>
      </c>
      <c r="O4751" t="s">
        <v>46570</v>
      </c>
      <c r="P4751">
        <v>0</v>
      </c>
      <c r="Q4751">
        <v>0</v>
      </c>
      <c r="R4751" t="s">
        <v>46572</v>
      </c>
      <c r="S4751" t="s">
        <v>46689</v>
      </c>
      <c r="T4751" t="s">
        <v>48273</v>
      </c>
      <c r="U4751" t="s">
        <v>52688</v>
      </c>
      <c r="W4751" t="s">
        <v>44347</v>
      </c>
      <c r="X4751" t="s">
        <v>46573</v>
      </c>
    </row>
    <row r="4752" spans="1:24">
      <c r="A4752">
        <f>HYPERLINK("https://www.philgeps.gov.ph/GEPSNONPILOT/Tender/SplashBidNoticeAbstractUI.aspx?menuIndex=3&amp;refID=7032304-2&amp;Result=3","7032304-2")</f>
        <v>0</v>
      </c>
      <c r="B4752" t="s">
        <v>1669</v>
      </c>
      <c r="C4752" t="s">
        <v>8078</v>
      </c>
      <c r="E4752" t="s">
        <v>23153</v>
      </c>
      <c r="F4752" t="s">
        <v>32664</v>
      </c>
      <c r="G4752" t="s">
        <v>32672</v>
      </c>
      <c r="H4752" t="s">
        <v>32681</v>
      </c>
      <c r="I4752" t="s">
        <v>32681</v>
      </c>
      <c r="J4752" t="s">
        <v>35866</v>
      </c>
      <c r="K4752" t="s">
        <v>42283</v>
      </c>
      <c r="M4752" t="s">
        <v>44356</v>
      </c>
      <c r="N4752" t="s">
        <v>46569</v>
      </c>
      <c r="O4752" t="s">
        <v>46570</v>
      </c>
      <c r="P4752">
        <v>0</v>
      </c>
      <c r="Q4752">
        <v>0</v>
      </c>
      <c r="R4752" t="s">
        <v>46573</v>
      </c>
      <c r="S4752" t="s">
        <v>46705</v>
      </c>
      <c r="T4752" t="s">
        <v>48308</v>
      </c>
      <c r="U4752" t="s">
        <v>52706</v>
      </c>
      <c r="V4752" t="s">
        <v>62104</v>
      </c>
      <c r="W4752" t="s">
        <v>44356</v>
      </c>
      <c r="X4752" t="s">
        <v>46574</v>
      </c>
    </row>
    <row r="4753" spans="1:24">
      <c r="A4753">
        <f>HYPERLINK("https://www.philgeps.gov.ph/GEPSNONPILOT/Tender/SplashBidNoticeAbstractUI.aspx?menuIndex=3&amp;refID=7041634&amp;Result=3","7041634")</f>
        <v>0</v>
      </c>
      <c r="B4753" t="s">
        <v>1670</v>
      </c>
      <c r="C4753" t="s">
        <v>3566</v>
      </c>
      <c r="D4753" t="s">
        <v>18793</v>
      </c>
      <c r="E4753" t="s">
        <v>23154</v>
      </c>
      <c r="F4753" t="s">
        <v>32664</v>
      </c>
      <c r="G4753" t="s">
        <v>32672</v>
      </c>
      <c r="H4753" t="s">
        <v>32683</v>
      </c>
      <c r="I4753" t="s">
        <v>10627</v>
      </c>
      <c r="J4753" t="s">
        <v>32898</v>
      </c>
      <c r="K4753" t="s">
        <v>42320</v>
      </c>
      <c r="M4753" t="s">
        <v>44357</v>
      </c>
      <c r="N4753" t="s">
        <v>46569</v>
      </c>
      <c r="O4753" t="s">
        <v>46570</v>
      </c>
      <c r="P4753">
        <v>0</v>
      </c>
      <c r="Q4753">
        <v>0</v>
      </c>
      <c r="R4753" t="s">
        <v>46573</v>
      </c>
      <c r="S4753" t="s">
        <v>46705</v>
      </c>
      <c r="T4753" t="s">
        <v>48283</v>
      </c>
      <c r="U4753" t="s">
        <v>52707</v>
      </c>
      <c r="W4753" t="s">
        <v>44357</v>
      </c>
      <c r="X4753" t="s">
        <v>46585</v>
      </c>
    </row>
    <row r="4754" spans="1:24">
      <c r="A4754">
        <f>HYPERLINK("https://www.philgeps.gov.ph/GEPSNONPILOT/Tender/SplashBidNoticeAbstractUI.aspx?menuIndex=3&amp;refID=7020441&amp;Result=3","7020441")</f>
        <v>0</v>
      </c>
      <c r="B4754" t="s">
        <v>469</v>
      </c>
      <c r="C4754" t="s">
        <v>8079</v>
      </c>
      <c r="D4754" t="s">
        <v>18784</v>
      </c>
      <c r="E4754" t="s">
        <v>23155</v>
      </c>
      <c r="F4754" t="s">
        <v>32664</v>
      </c>
      <c r="G4754" t="s">
        <v>32674</v>
      </c>
      <c r="H4754" t="s">
        <v>12635</v>
      </c>
      <c r="I4754" t="s">
        <v>4439</v>
      </c>
      <c r="J4754" t="s">
        <v>35867</v>
      </c>
      <c r="K4754" t="s">
        <v>42283</v>
      </c>
      <c r="M4754" t="s">
        <v>44358</v>
      </c>
      <c r="N4754" t="s">
        <v>46569</v>
      </c>
      <c r="O4754" t="s">
        <v>46570</v>
      </c>
      <c r="P4754">
        <v>0</v>
      </c>
      <c r="Q4754">
        <v>7</v>
      </c>
      <c r="R4754" t="s">
        <v>46573</v>
      </c>
      <c r="S4754" t="s">
        <v>46705</v>
      </c>
      <c r="T4754" t="s">
        <v>48316</v>
      </c>
      <c r="U4754" t="s">
        <v>52708</v>
      </c>
      <c r="W4754" t="s">
        <v>44358</v>
      </c>
      <c r="X4754" t="s">
        <v>46598</v>
      </c>
    </row>
    <row r="4755" spans="1:24">
      <c r="A4755">
        <f>HYPERLINK("https://www.philgeps.gov.ph/GEPSNONPILOT/Tender/SplashBidNoticeAbstractUI.aspx?menuIndex=3&amp;refID=7037629-2&amp;Result=3","7037629-2")</f>
        <v>0</v>
      </c>
      <c r="B4755" t="s">
        <v>1666</v>
      </c>
      <c r="C4755" t="s">
        <v>8080</v>
      </c>
      <c r="D4755" t="s">
        <v>18841</v>
      </c>
      <c r="E4755" t="s">
        <v>23156</v>
      </c>
      <c r="F4755" t="s">
        <v>32664</v>
      </c>
      <c r="G4755" t="s">
        <v>32672</v>
      </c>
      <c r="H4755" t="s">
        <v>32681</v>
      </c>
      <c r="I4755" t="s">
        <v>32681</v>
      </c>
      <c r="J4755" t="s">
        <v>35863</v>
      </c>
      <c r="K4755" t="s">
        <v>42298</v>
      </c>
      <c r="M4755" t="s">
        <v>44352</v>
      </c>
      <c r="N4755" t="s">
        <v>46569</v>
      </c>
      <c r="O4755" t="s">
        <v>46570</v>
      </c>
      <c r="P4755">
        <v>0</v>
      </c>
      <c r="Q4755">
        <v>1</v>
      </c>
      <c r="R4755" t="s">
        <v>46573</v>
      </c>
      <c r="S4755" t="s">
        <v>46705</v>
      </c>
      <c r="T4755" t="s">
        <v>48212</v>
      </c>
      <c r="U4755" t="s">
        <v>52709</v>
      </c>
      <c r="W4755" t="s">
        <v>44352</v>
      </c>
      <c r="X4755" t="s">
        <v>46574</v>
      </c>
    </row>
    <row r="4756" spans="1:24">
      <c r="A4756">
        <f>HYPERLINK("https://www.philgeps.gov.ph/GEPSNONPILOT/Tender/SplashBidNoticeAbstractUI.aspx?menuIndex=3&amp;refID=7045953&amp;Result=3","7045953")</f>
        <v>0</v>
      </c>
      <c r="B4756" t="s">
        <v>1671</v>
      </c>
      <c r="C4756" t="s">
        <v>8081</v>
      </c>
      <c r="D4756" t="s">
        <v>18803</v>
      </c>
      <c r="E4756" t="s">
        <v>21565</v>
      </c>
      <c r="F4756" t="s">
        <v>32664</v>
      </c>
      <c r="G4756" t="s">
        <v>32674</v>
      </c>
      <c r="H4756" t="s">
        <v>12635</v>
      </c>
      <c r="I4756" t="s">
        <v>14442</v>
      </c>
      <c r="J4756" t="s">
        <v>35868</v>
      </c>
      <c r="K4756" t="s">
        <v>42289</v>
      </c>
      <c r="M4756" t="s">
        <v>44359</v>
      </c>
      <c r="N4756" t="s">
        <v>46569</v>
      </c>
      <c r="O4756" t="s">
        <v>46570</v>
      </c>
      <c r="P4756">
        <v>0</v>
      </c>
      <c r="Q4756">
        <v>14</v>
      </c>
      <c r="R4756" t="s">
        <v>46573</v>
      </c>
      <c r="S4756" t="s">
        <v>46705</v>
      </c>
      <c r="T4756" t="s">
        <v>48448</v>
      </c>
      <c r="U4756" t="s">
        <v>52710</v>
      </c>
      <c r="W4756" t="s">
        <v>44359</v>
      </c>
      <c r="X4756" t="s">
        <v>46581</v>
      </c>
    </row>
    <row r="4757" spans="1:24">
      <c r="A4757">
        <f>HYPERLINK("https://www.philgeps.gov.ph/GEPSNONPILOT/Tender/SplashBidNoticeAbstractUI.aspx?menuIndex=3&amp;refID=7037236&amp;Result=3","7037236")</f>
        <v>0</v>
      </c>
      <c r="B4757" t="s">
        <v>1672</v>
      </c>
      <c r="C4757" t="s">
        <v>8082</v>
      </c>
      <c r="D4757" t="s">
        <v>18859</v>
      </c>
      <c r="E4757" t="s">
        <v>23157</v>
      </c>
      <c r="F4757" t="s">
        <v>32664</v>
      </c>
      <c r="G4757" t="s">
        <v>32671</v>
      </c>
      <c r="H4757" t="s">
        <v>12635</v>
      </c>
      <c r="I4757" t="s">
        <v>4439</v>
      </c>
      <c r="J4757" t="s">
        <v>35869</v>
      </c>
      <c r="K4757" t="s">
        <v>42309</v>
      </c>
      <c r="M4757" t="s">
        <v>44360</v>
      </c>
      <c r="N4757" t="s">
        <v>46569</v>
      </c>
      <c r="O4757" t="s">
        <v>46570</v>
      </c>
      <c r="P4757">
        <v>0</v>
      </c>
      <c r="Q4757">
        <v>0</v>
      </c>
      <c r="R4757" t="s">
        <v>46573</v>
      </c>
      <c r="S4757" t="s">
        <v>46705</v>
      </c>
      <c r="T4757" t="s">
        <v>48254</v>
      </c>
      <c r="U4757" t="s">
        <v>52711</v>
      </c>
      <c r="V4757" t="s">
        <v>62105</v>
      </c>
      <c r="W4757" t="s">
        <v>44360</v>
      </c>
      <c r="X4757" t="s">
        <v>46587</v>
      </c>
    </row>
    <row r="4758" spans="1:24">
      <c r="A4758">
        <f>HYPERLINK("https://www.philgeps.gov.ph/GEPSNONPILOT/Tender/SplashBidNoticeAbstractUI.aspx?menuIndex=3&amp;refID=7051864&amp;Result=3","7051864")</f>
        <v>0</v>
      </c>
      <c r="B4758" t="s">
        <v>1673</v>
      </c>
      <c r="C4758" t="s">
        <v>8083</v>
      </c>
      <c r="D4758" t="s">
        <v>18806</v>
      </c>
      <c r="E4758" t="s">
        <v>19178</v>
      </c>
      <c r="F4758" t="s">
        <v>32664</v>
      </c>
      <c r="G4758" t="s">
        <v>32672</v>
      </c>
      <c r="H4758" t="s">
        <v>32683</v>
      </c>
      <c r="I4758" t="s">
        <v>10627</v>
      </c>
      <c r="J4758" t="s">
        <v>32981</v>
      </c>
      <c r="K4758" t="s">
        <v>42290</v>
      </c>
      <c r="M4758" t="s">
        <v>44361</v>
      </c>
      <c r="N4758" t="s">
        <v>46569</v>
      </c>
      <c r="O4758" t="s">
        <v>46570</v>
      </c>
      <c r="P4758">
        <v>0</v>
      </c>
      <c r="Q4758">
        <v>0</v>
      </c>
      <c r="R4758" t="s">
        <v>46573</v>
      </c>
      <c r="S4758" t="s">
        <v>46705</v>
      </c>
      <c r="T4758" t="s">
        <v>48392</v>
      </c>
      <c r="U4758" t="s">
        <v>52712</v>
      </c>
      <c r="W4758" t="s">
        <v>44361</v>
      </c>
      <c r="X4758" t="s">
        <v>46579</v>
      </c>
    </row>
    <row r="4759" spans="1:24">
      <c r="A4759">
        <f>HYPERLINK("https://www.philgeps.gov.ph/GEPSNONPILOT/Tender/SplashBidNoticeAbstractUI.aspx?menuIndex=3&amp;refID=7032302-2&amp;Result=3","7032302-2")</f>
        <v>0</v>
      </c>
      <c r="B4759" t="s">
        <v>1669</v>
      </c>
      <c r="C4759" t="s">
        <v>8084</v>
      </c>
      <c r="E4759" t="s">
        <v>23158</v>
      </c>
      <c r="F4759" t="s">
        <v>32664</v>
      </c>
      <c r="G4759" t="s">
        <v>32672</v>
      </c>
      <c r="H4759" t="s">
        <v>32681</v>
      </c>
      <c r="I4759" t="s">
        <v>32681</v>
      </c>
      <c r="J4759" t="s">
        <v>35870</v>
      </c>
      <c r="K4759" t="s">
        <v>42283</v>
      </c>
      <c r="M4759" t="s">
        <v>44356</v>
      </c>
      <c r="N4759" t="s">
        <v>46569</v>
      </c>
      <c r="O4759" t="s">
        <v>46570</v>
      </c>
      <c r="P4759">
        <v>0</v>
      </c>
      <c r="Q4759">
        <v>0</v>
      </c>
      <c r="R4759" t="s">
        <v>46573</v>
      </c>
      <c r="S4759" t="s">
        <v>46705</v>
      </c>
      <c r="T4759" t="s">
        <v>48308</v>
      </c>
      <c r="U4759" t="s">
        <v>52713</v>
      </c>
      <c r="V4759" t="s">
        <v>62106</v>
      </c>
      <c r="W4759" t="s">
        <v>44356</v>
      </c>
      <c r="X4759" t="s">
        <v>46574</v>
      </c>
    </row>
    <row r="4760" spans="1:24">
      <c r="A4760">
        <f>HYPERLINK("https://www.philgeps.gov.ph/GEPSNONPILOT/Tender/SplashBidNoticeAbstractUI.aspx?menuIndex=3&amp;refID=7064528&amp;Result=3","7064528")</f>
        <v>0</v>
      </c>
      <c r="B4760" t="s">
        <v>1656</v>
      </c>
      <c r="C4760" t="s">
        <v>8085</v>
      </c>
      <c r="D4760" t="s">
        <v>18805</v>
      </c>
      <c r="E4760" t="s">
        <v>23159</v>
      </c>
      <c r="F4760" t="s">
        <v>32664</v>
      </c>
      <c r="G4760" t="s">
        <v>32672</v>
      </c>
      <c r="H4760" t="s">
        <v>12635</v>
      </c>
      <c r="I4760" t="s">
        <v>4439</v>
      </c>
      <c r="J4760" t="s">
        <v>34247</v>
      </c>
      <c r="K4760" t="s">
        <v>42306</v>
      </c>
      <c r="M4760" t="s">
        <v>44341</v>
      </c>
      <c r="N4760" t="s">
        <v>46569</v>
      </c>
      <c r="O4760" t="s">
        <v>46570</v>
      </c>
      <c r="P4760">
        <v>0</v>
      </c>
      <c r="Q4760">
        <v>0</v>
      </c>
      <c r="R4760" t="s">
        <v>46572</v>
      </c>
      <c r="S4760" t="s">
        <v>46689</v>
      </c>
      <c r="T4760" t="s">
        <v>48527</v>
      </c>
      <c r="U4760" t="s">
        <v>52714</v>
      </c>
      <c r="W4760" t="s">
        <v>44341</v>
      </c>
      <c r="X4760" t="s">
        <v>46573</v>
      </c>
    </row>
    <row r="4761" spans="1:24">
      <c r="A4761">
        <f>HYPERLINK("https://www.philgeps.gov.ph/GEPSNONPILOT/Tender/SplashBidNoticeAbstractUI.aspx?menuIndex=3&amp;refID=7037492-2&amp;Result=3","7037492-2")</f>
        <v>0</v>
      </c>
      <c r="B4761" t="s">
        <v>1666</v>
      </c>
      <c r="C4761" t="s">
        <v>8086</v>
      </c>
      <c r="D4761" t="s">
        <v>18841</v>
      </c>
      <c r="E4761" t="s">
        <v>23160</v>
      </c>
      <c r="F4761" t="s">
        <v>32664</v>
      </c>
      <c r="G4761" t="s">
        <v>32672</v>
      </c>
      <c r="H4761" t="s">
        <v>32681</v>
      </c>
      <c r="I4761" t="s">
        <v>32681</v>
      </c>
      <c r="J4761" t="s">
        <v>35871</v>
      </c>
      <c r="K4761" t="s">
        <v>42281</v>
      </c>
      <c r="M4761" t="s">
        <v>44352</v>
      </c>
      <c r="N4761" t="s">
        <v>46569</v>
      </c>
      <c r="O4761" t="s">
        <v>46570</v>
      </c>
      <c r="P4761">
        <v>0</v>
      </c>
      <c r="Q4761">
        <v>1</v>
      </c>
      <c r="R4761" t="s">
        <v>46573</v>
      </c>
      <c r="S4761" t="s">
        <v>46705</v>
      </c>
      <c r="T4761" t="s">
        <v>48212</v>
      </c>
      <c r="U4761" t="s">
        <v>52715</v>
      </c>
      <c r="W4761" t="s">
        <v>44352</v>
      </c>
      <c r="X4761" t="s">
        <v>46574</v>
      </c>
    </row>
    <row r="4762" spans="1:24">
      <c r="A4762">
        <f>HYPERLINK("https://www.philgeps.gov.ph/GEPSNONPILOT/Tender/SplashBidNoticeAbstractUI.aspx?menuIndex=3&amp;refID=6919239&amp;Result=3","6919239")</f>
        <v>0</v>
      </c>
      <c r="B4762" t="s">
        <v>1674</v>
      </c>
      <c r="C4762" t="s">
        <v>8087</v>
      </c>
      <c r="D4762" t="s">
        <v>18784</v>
      </c>
      <c r="E4762" t="s">
        <v>19681</v>
      </c>
      <c r="F4762" t="s">
        <v>32664</v>
      </c>
      <c r="G4762" t="s">
        <v>32671</v>
      </c>
      <c r="H4762" t="s">
        <v>32682</v>
      </c>
      <c r="I4762" t="s">
        <v>4439</v>
      </c>
      <c r="J4762" t="s">
        <v>35872</v>
      </c>
      <c r="K4762" t="s">
        <v>42281</v>
      </c>
      <c r="M4762" t="s">
        <v>44362</v>
      </c>
      <c r="N4762" t="s">
        <v>46569</v>
      </c>
      <c r="O4762" t="s">
        <v>46570</v>
      </c>
      <c r="P4762">
        <v>0</v>
      </c>
      <c r="Q4762">
        <v>3</v>
      </c>
      <c r="R4762" t="s">
        <v>46573</v>
      </c>
      <c r="S4762" t="s">
        <v>46705</v>
      </c>
      <c r="T4762" t="s">
        <v>48290</v>
      </c>
      <c r="U4762" t="s">
        <v>52716</v>
      </c>
      <c r="W4762" t="s">
        <v>44362</v>
      </c>
      <c r="X4762" t="s">
        <v>46641</v>
      </c>
    </row>
    <row r="4763" spans="1:24">
      <c r="A4763">
        <f>HYPERLINK("https://www.philgeps.gov.ph/GEPSNONPILOT/Tender/SplashBidNoticeAbstractUI.aspx?menuIndex=3&amp;refID=7050113&amp;Result=3","7050113")</f>
        <v>0</v>
      </c>
      <c r="B4763" t="s">
        <v>717</v>
      </c>
      <c r="C4763" t="s">
        <v>8088</v>
      </c>
      <c r="D4763" t="s">
        <v>18826</v>
      </c>
      <c r="E4763" t="s">
        <v>19681</v>
      </c>
      <c r="F4763" t="s">
        <v>32664</v>
      </c>
      <c r="G4763" t="s">
        <v>32672</v>
      </c>
      <c r="H4763" t="s">
        <v>32683</v>
      </c>
      <c r="I4763" t="s">
        <v>10627</v>
      </c>
      <c r="J4763" t="s">
        <v>35873</v>
      </c>
      <c r="K4763" t="s">
        <v>42298</v>
      </c>
      <c r="M4763" t="s">
        <v>43304</v>
      </c>
      <c r="N4763" t="s">
        <v>46569</v>
      </c>
      <c r="O4763" t="s">
        <v>46570</v>
      </c>
      <c r="P4763">
        <v>0</v>
      </c>
      <c r="Q4763">
        <v>1</v>
      </c>
      <c r="R4763" t="s">
        <v>46573</v>
      </c>
      <c r="S4763" t="s">
        <v>46705</v>
      </c>
      <c r="T4763" t="s">
        <v>48363</v>
      </c>
      <c r="U4763" t="s">
        <v>52717</v>
      </c>
      <c r="W4763" t="s">
        <v>43304</v>
      </c>
      <c r="X4763" t="s">
        <v>46579</v>
      </c>
    </row>
    <row r="4764" spans="1:24">
      <c r="A4764">
        <f>HYPERLINK("https://www.philgeps.gov.ph/GEPSNONPILOT/Tender/SplashBidNoticeAbstractUI.aspx?menuIndex=3&amp;refID=7049313&amp;Result=3","7049313")</f>
        <v>0</v>
      </c>
      <c r="B4764" t="s">
        <v>83</v>
      </c>
      <c r="C4764" t="s">
        <v>8089</v>
      </c>
      <c r="D4764" t="s">
        <v>18784</v>
      </c>
      <c r="E4764" t="s">
        <v>23161</v>
      </c>
      <c r="F4764" t="s">
        <v>32664</v>
      </c>
      <c r="G4764" t="s">
        <v>32672</v>
      </c>
      <c r="H4764" t="s">
        <v>12635</v>
      </c>
      <c r="I4764" t="s">
        <v>32719</v>
      </c>
      <c r="J4764" t="s">
        <v>35874</v>
      </c>
      <c r="K4764" t="s">
        <v>42283</v>
      </c>
      <c r="M4764" t="s">
        <v>44363</v>
      </c>
      <c r="N4764" t="s">
        <v>46569</v>
      </c>
      <c r="O4764" t="s">
        <v>46570</v>
      </c>
      <c r="P4764">
        <v>0</v>
      </c>
      <c r="Q4764">
        <v>2</v>
      </c>
      <c r="R4764" t="s">
        <v>46573</v>
      </c>
      <c r="S4764" t="s">
        <v>46705</v>
      </c>
      <c r="T4764" t="s">
        <v>48302</v>
      </c>
      <c r="U4764" t="s">
        <v>52718</v>
      </c>
      <c r="W4764" t="s">
        <v>44363</v>
      </c>
      <c r="X4764" t="s">
        <v>46580</v>
      </c>
    </row>
    <row r="4765" spans="1:24">
      <c r="A4765">
        <f>HYPERLINK("https://www.philgeps.gov.ph/GEPSNONPILOT/Tender/SplashBidNoticeAbstractUI.aspx?menuIndex=3&amp;refID=7049307&amp;Result=3","7049307")</f>
        <v>0</v>
      </c>
      <c r="B4765" t="s">
        <v>1051</v>
      </c>
      <c r="C4765" t="s">
        <v>8090</v>
      </c>
      <c r="D4765" t="s">
        <v>18818</v>
      </c>
      <c r="E4765" t="s">
        <v>22377</v>
      </c>
      <c r="F4765" t="s">
        <v>32664</v>
      </c>
      <c r="G4765" t="s">
        <v>32674</v>
      </c>
      <c r="H4765" t="s">
        <v>12635</v>
      </c>
      <c r="I4765" t="s">
        <v>32692</v>
      </c>
      <c r="J4765" t="s">
        <v>35875</v>
      </c>
      <c r="K4765" t="s">
        <v>42289</v>
      </c>
      <c r="M4765" t="s">
        <v>43669</v>
      </c>
      <c r="N4765" t="s">
        <v>46569</v>
      </c>
      <c r="O4765" t="s">
        <v>46570</v>
      </c>
      <c r="P4765">
        <v>0</v>
      </c>
      <c r="Q4765">
        <v>2</v>
      </c>
      <c r="R4765" t="s">
        <v>46573</v>
      </c>
      <c r="S4765" t="s">
        <v>46705</v>
      </c>
      <c r="T4765" t="s">
        <v>48420</v>
      </c>
      <c r="U4765" t="s">
        <v>52719</v>
      </c>
      <c r="W4765" t="s">
        <v>43669</v>
      </c>
      <c r="X4765" t="s">
        <v>46580</v>
      </c>
    </row>
    <row r="4766" spans="1:24">
      <c r="A4766">
        <f>HYPERLINK("https://www.philgeps.gov.ph/GEPSNONPILOT/Tender/SplashBidNoticeAbstractUI.aspx?menuIndex=3&amp;refID=7048941&amp;Result=3","7048941")</f>
        <v>0</v>
      </c>
      <c r="B4766" t="s">
        <v>267</v>
      </c>
      <c r="C4766" t="s">
        <v>8091</v>
      </c>
      <c r="D4766" t="s">
        <v>18833</v>
      </c>
      <c r="E4766" t="s">
        <v>23162</v>
      </c>
      <c r="F4766" t="s">
        <v>32664</v>
      </c>
      <c r="G4766" t="s">
        <v>32671</v>
      </c>
      <c r="H4766" t="s">
        <v>12635</v>
      </c>
      <c r="I4766" t="s">
        <v>10361</v>
      </c>
      <c r="J4766" t="s">
        <v>34076</v>
      </c>
      <c r="K4766" t="s">
        <v>42283</v>
      </c>
      <c r="M4766" t="s">
        <v>42832</v>
      </c>
      <c r="N4766" t="s">
        <v>46569</v>
      </c>
      <c r="O4766" t="s">
        <v>46570</v>
      </c>
      <c r="P4766">
        <v>0</v>
      </c>
      <c r="Q4766">
        <v>0</v>
      </c>
      <c r="R4766" t="s">
        <v>46573</v>
      </c>
      <c r="S4766" t="s">
        <v>46705</v>
      </c>
      <c r="T4766" t="s">
        <v>48254</v>
      </c>
      <c r="U4766" t="s">
        <v>52720</v>
      </c>
      <c r="W4766" t="s">
        <v>42832</v>
      </c>
      <c r="X4766" t="s">
        <v>46580</v>
      </c>
    </row>
    <row r="4767" spans="1:24">
      <c r="A4767">
        <f>HYPERLINK("https://www.philgeps.gov.ph/GEPSNONPILOT/Tender/SplashBidNoticeAbstractUI.aspx?menuIndex=3&amp;refID=7050141&amp;Result=3","7050141")</f>
        <v>0</v>
      </c>
      <c r="B4767" t="s">
        <v>1675</v>
      </c>
      <c r="C4767" t="s">
        <v>8092</v>
      </c>
      <c r="D4767" t="s">
        <v>18794</v>
      </c>
      <c r="E4767" t="s">
        <v>23163</v>
      </c>
      <c r="F4767" t="s">
        <v>32664</v>
      </c>
      <c r="G4767" t="s">
        <v>32672</v>
      </c>
      <c r="H4767" t="s">
        <v>12635</v>
      </c>
      <c r="I4767" t="s">
        <v>11464</v>
      </c>
      <c r="J4767" t="s">
        <v>35876</v>
      </c>
      <c r="K4767" t="s">
        <v>42305</v>
      </c>
      <c r="M4767" t="s">
        <v>44364</v>
      </c>
      <c r="N4767" t="s">
        <v>46569</v>
      </c>
      <c r="O4767" t="s">
        <v>46570</v>
      </c>
      <c r="P4767">
        <v>0</v>
      </c>
      <c r="Q4767">
        <v>3</v>
      </c>
      <c r="R4767" t="s">
        <v>46573</v>
      </c>
      <c r="S4767" t="s">
        <v>46705</v>
      </c>
      <c r="T4767" t="s">
        <v>48501</v>
      </c>
      <c r="U4767" t="s">
        <v>52721</v>
      </c>
      <c r="W4767" t="s">
        <v>44364</v>
      </c>
      <c r="X4767" t="s">
        <v>46579</v>
      </c>
    </row>
    <row r="4768" spans="1:24">
      <c r="A4768">
        <f>HYPERLINK("https://www.philgeps.gov.ph/GEPSNONPILOT/Tender/SplashBidNoticeAbstractUI.aspx?menuIndex=3&amp;refID=7049369&amp;Result=3","7049369")</f>
        <v>0</v>
      </c>
      <c r="B4768" t="s">
        <v>83</v>
      </c>
      <c r="C4768" t="s">
        <v>8093</v>
      </c>
      <c r="D4768" t="s">
        <v>18784</v>
      </c>
      <c r="E4768" t="s">
        <v>23164</v>
      </c>
      <c r="F4768" t="s">
        <v>32664</v>
      </c>
      <c r="G4768" t="s">
        <v>32672</v>
      </c>
      <c r="H4768" t="s">
        <v>12635</v>
      </c>
      <c r="I4768" t="s">
        <v>6168</v>
      </c>
      <c r="J4768" t="s">
        <v>35877</v>
      </c>
      <c r="K4768" t="s">
        <v>42283</v>
      </c>
      <c r="M4768" t="s">
        <v>44363</v>
      </c>
      <c r="N4768" t="s">
        <v>46569</v>
      </c>
      <c r="O4768" t="s">
        <v>46570</v>
      </c>
      <c r="P4768">
        <v>0</v>
      </c>
      <c r="Q4768">
        <v>2</v>
      </c>
      <c r="R4768" t="s">
        <v>46573</v>
      </c>
      <c r="S4768" t="s">
        <v>46705</v>
      </c>
      <c r="T4768" t="s">
        <v>48302</v>
      </c>
      <c r="U4768" t="s">
        <v>52722</v>
      </c>
      <c r="W4768" t="s">
        <v>44363</v>
      </c>
      <c r="X4768" t="s">
        <v>46580</v>
      </c>
    </row>
    <row r="4769" spans="1:24">
      <c r="A4769">
        <f>HYPERLINK("https://www.philgeps.gov.ph/GEPSNONPILOT/Tender/SplashBidNoticeAbstractUI.aspx?menuIndex=3&amp;refID=7050983&amp;Result=3","7050983")</f>
        <v>0</v>
      </c>
      <c r="B4769" t="s">
        <v>267</v>
      </c>
      <c r="C4769" t="s">
        <v>8094</v>
      </c>
      <c r="D4769" t="s">
        <v>18791</v>
      </c>
      <c r="E4769" t="s">
        <v>23165</v>
      </c>
      <c r="F4769" t="s">
        <v>32664</v>
      </c>
      <c r="G4769" t="s">
        <v>32671</v>
      </c>
      <c r="H4769" t="s">
        <v>12635</v>
      </c>
      <c r="I4769" t="s">
        <v>5501</v>
      </c>
      <c r="J4769" t="s">
        <v>35878</v>
      </c>
      <c r="K4769" t="s">
        <v>42283</v>
      </c>
      <c r="M4769" t="s">
        <v>42832</v>
      </c>
      <c r="N4769" t="s">
        <v>46569</v>
      </c>
      <c r="O4769" t="s">
        <v>46570</v>
      </c>
      <c r="P4769">
        <v>0</v>
      </c>
      <c r="Q4769">
        <v>5</v>
      </c>
      <c r="R4769" t="s">
        <v>46573</v>
      </c>
      <c r="S4769" t="s">
        <v>46705</v>
      </c>
      <c r="T4769" t="s">
        <v>48254</v>
      </c>
      <c r="U4769" t="s">
        <v>52723</v>
      </c>
      <c r="W4769" t="s">
        <v>42832</v>
      </c>
      <c r="X4769" t="s">
        <v>46579</v>
      </c>
    </row>
    <row r="4770" spans="1:24">
      <c r="A4770">
        <f>HYPERLINK("https://www.philgeps.gov.ph/GEPSNONPILOT/Tender/SplashBidNoticeAbstractUI.aspx?menuIndex=3&amp;refID=6986031&amp;Result=3","6986031")</f>
        <v>0</v>
      </c>
      <c r="B4770" t="s">
        <v>1662</v>
      </c>
      <c r="C4770" t="s">
        <v>8095</v>
      </c>
      <c r="D4770" t="s">
        <v>18839</v>
      </c>
      <c r="E4770" t="s">
        <v>23166</v>
      </c>
      <c r="F4770" t="s">
        <v>32664</v>
      </c>
      <c r="G4770" t="s">
        <v>32671</v>
      </c>
      <c r="H4770" t="s">
        <v>12635</v>
      </c>
      <c r="I4770" t="s">
        <v>4439</v>
      </c>
      <c r="J4770" t="s">
        <v>35879</v>
      </c>
      <c r="K4770" t="s">
        <v>42281</v>
      </c>
      <c r="M4770" t="s">
        <v>44348</v>
      </c>
      <c r="N4770" t="s">
        <v>46569</v>
      </c>
      <c r="O4770" t="s">
        <v>46570</v>
      </c>
      <c r="Q4770">
        <v>2</v>
      </c>
      <c r="R4770" t="s">
        <v>46573</v>
      </c>
      <c r="S4770" t="s">
        <v>46706</v>
      </c>
      <c r="T4770" t="s">
        <v>48427</v>
      </c>
      <c r="U4770" t="s">
        <v>52724</v>
      </c>
      <c r="W4770" t="s">
        <v>44348</v>
      </c>
      <c r="X4770" t="s">
        <v>46616</v>
      </c>
    </row>
    <row r="4771" spans="1:24">
      <c r="A4771">
        <f>HYPERLINK("https://www.philgeps.gov.ph/GEPSNONPILOT/Tender/SplashBidNoticeAbstractUI.aspx?menuIndex=3&amp;refID=7048623&amp;Result=3","7048623")</f>
        <v>0</v>
      </c>
      <c r="B4771" t="s">
        <v>267</v>
      </c>
      <c r="C4771" t="s">
        <v>8091</v>
      </c>
      <c r="D4771" t="s">
        <v>18852</v>
      </c>
      <c r="E4771" t="s">
        <v>23167</v>
      </c>
      <c r="F4771" t="s">
        <v>32664</v>
      </c>
      <c r="G4771" t="s">
        <v>32671</v>
      </c>
      <c r="H4771" t="s">
        <v>12635</v>
      </c>
      <c r="I4771" t="s">
        <v>10361</v>
      </c>
      <c r="J4771" t="s">
        <v>35686</v>
      </c>
      <c r="K4771" t="s">
        <v>42283</v>
      </c>
      <c r="M4771" t="s">
        <v>42832</v>
      </c>
      <c r="N4771" t="s">
        <v>46569</v>
      </c>
      <c r="O4771" t="s">
        <v>46570</v>
      </c>
      <c r="P4771">
        <v>0</v>
      </c>
      <c r="Q4771">
        <v>0</v>
      </c>
      <c r="R4771" t="s">
        <v>46573</v>
      </c>
      <c r="S4771" t="s">
        <v>46705</v>
      </c>
      <c r="T4771" t="s">
        <v>48254</v>
      </c>
      <c r="U4771" t="s">
        <v>52725</v>
      </c>
      <c r="W4771" t="s">
        <v>42832</v>
      </c>
      <c r="X4771" t="s">
        <v>46580</v>
      </c>
    </row>
    <row r="4772" spans="1:24">
      <c r="A4772">
        <f>HYPERLINK("https://www.philgeps.gov.ph/GEPSNONPILOT/Tender/SplashBidNoticeAbstractUI.aspx?menuIndex=3&amp;refID=7048239&amp;Result=3","7048239")</f>
        <v>0</v>
      </c>
      <c r="B4772" t="s">
        <v>777</v>
      </c>
      <c r="C4772" t="s">
        <v>8096</v>
      </c>
      <c r="D4772" t="s">
        <v>18787</v>
      </c>
      <c r="E4772" t="s">
        <v>23168</v>
      </c>
      <c r="F4772" t="s">
        <v>32664</v>
      </c>
      <c r="G4772" t="s">
        <v>32671</v>
      </c>
      <c r="H4772" t="s">
        <v>12635</v>
      </c>
      <c r="I4772" t="s">
        <v>6168</v>
      </c>
      <c r="J4772" t="s">
        <v>35880</v>
      </c>
      <c r="K4772" t="s">
        <v>42289</v>
      </c>
      <c r="M4772" t="s">
        <v>43369</v>
      </c>
      <c r="N4772" t="s">
        <v>46569</v>
      </c>
      <c r="O4772" t="s">
        <v>46570</v>
      </c>
      <c r="P4772">
        <v>0</v>
      </c>
      <c r="Q4772">
        <v>6</v>
      </c>
      <c r="R4772" t="s">
        <v>46573</v>
      </c>
      <c r="S4772" t="s">
        <v>46705</v>
      </c>
      <c r="T4772" t="s">
        <v>48254</v>
      </c>
      <c r="U4772" t="s">
        <v>52726</v>
      </c>
      <c r="W4772" t="s">
        <v>43369</v>
      </c>
      <c r="X4772" t="s">
        <v>46580</v>
      </c>
    </row>
    <row r="4773" spans="1:24">
      <c r="A4773">
        <f>HYPERLINK("https://www.philgeps.gov.ph/GEPSNONPILOT/Tender/SplashBidNoticeAbstractUI.aspx?menuIndex=3&amp;refID=7048183&amp;Result=3","7048183")</f>
        <v>0</v>
      </c>
      <c r="B4773" t="s">
        <v>1676</v>
      </c>
      <c r="C4773" t="s">
        <v>8097</v>
      </c>
      <c r="D4773" t="s">
        <v>18782</v>
      </c>
      <c r="E4773" t="s">
        <v>23169</v>
      </c>
      <c r="F4773" t="s">
        <v>32664</v>
      </c>
      <c r="G4773" t="s">
        <v>32671</v>
      </c>
      <c r="H4773" t="s">
        <v>12635</v>
      </c>
      <c r="I4773" t="s">
        <v>32718</v>
      </c>
      <c r="J4773" t="s">
        <v>33069</v>
      </c>
      <c r="K4773" t="s">
        <v>42334</v>
      </c>
      <c r="M4773" t="s">
        <v>44365</v>
      </c>
      <c r="N4773" t="s">
        <v>46569</v>
      </c>
      <c r="O4773" t="s">
        <v>46570</v>
      </c>
      <c r="P4773">
        <v>0</v>
      </c>
      <c r="Q4773">
        <v>1</v>
      </c>
      <c r="R4773" t="s">
        <v>46573</v>
      </c>
      <c r="S4773" t="s">
        <v>46705</v>
      </c>
      <c r="T4773" t="s">
        <v>48287</v>
      </c>
      <c r="U4773" t="s">
        <v>52727</v>
      </c>
      <c r="V4773" t="s">
        <v>62107</v>
      </c>
      <c r="W4773" t="s">
        <v>44365</v>
      </c>
      <c r="X4773" t="s">
        <v>46580</v>
      </c>
    </row>
    <row r="4774" spans="1:24">
      <c r="A4774">
        <f>HYPERLINK("https://www.philgeps.gov.ph/GEPSNONPILOT/Tender/SplashBidNoticeAbstractUI.aspx?menuIndex=3&amp;refID=7047650&amp;Result=3","7047650")</f>
        <v>0</v>
      </c>
      <c r="B4774" t="s">
        <v>267</v>
      </c>
      <c r="C4774" t="s">
        <v>8091</v>
      </c>
      <c r="D4774" t="s">
        <v>18789</v>
      </c>
      <c r="E4774" t="s">
        <v>23170</v>
      </c>
      <c r="F4774" t="s">
        <v>32664</v>
      </c>
      <c r="G4774" t="s">
        <v>32671</v>
      </c>
      <c r="H4774" t="s">
        <v>12635</v>
      </c>
      <c r="I4774" t="s">
        <v>10361</v>
      </c>
      <c r="J4774" t="s">
        <v>35881</v>
      </c>
      <c r="K4774" t="s">
        <v>42283</v>
      </c>
      <c r="M4774" t="s">
        <v>42832</v>
      </c>
      <c r="N4774" t="s">
        <v>46569</v>
      </c>
      <c r="O4774" t="s">
        <v>46570</v>
      </c>
      <c r="P4774">
        <v>0</v>
      </c>
      <c r="Q4774">
        <v>0</v>
      </c>
      <c r="R4774" t="s">
        <v>46573</v>
      </c>
      <c r="S4774" t="s">
        <v>46705</v>
      </c>
      <c r="T4774" t="s">
        <v>48254</v>
      </c>
      <c r="U4774" t="s">
        <v>52728</v>
      </c>
      <c r="W4774" t="s">
        <v>42832</v>
      </c>
      <c r="X4774" t="s">
        <v>46580</v>
      </c>
    </row>
    <row r="4775" spans="1:24">
      <c r="A4775">
        <f>HYPERLINK("https://www.philgeps.gov.ph/GEPSNONPILOT/Tender/SplashBidNoticeAbstractUI.aspx?menuIndex=3&amp;refID=7047427&amp;Result=3","7047427")</f>
        <v>0</v>
      </c>
      <c r="B4775" t="s">
        <v>267</v>
      </c>
      <c r="C4775" t="s">
        <v>8098</v>
      </c>
      <c r="D4775" t="s">
        <v>18791</v>
      </c>
      <c r="E4775" t="s">
        <v>23171</v>
      </c>
      <c r="F4775" t="s">
        <v>32664</v>
      </c>
      <c r="G4775" t="s">
        <v>32671</v>
      </c>
      <c r="H4775" t="s">
        <v>12635</v>
      </c>
      <c r="I4775" t="s">
        <v>6168</v>
      </c>
      <c r="J4775" t="s">
        <v>33334</v>
      </c>
      <c r="K4775" t="s">
        <v>42283</v>
      </c>
      <c r="M4775" t="s">
        <v>42832</v>
      </c>
      <c r="N4775" t="s">
        <v>46569</v>
      </c>
      <c r="O4775" t="s">
        <v>46570</v>
      </c>
      <c r="P4775">
        <v>0</v>
      </c>
      <c r="Q4775">
        <v>3</v>
      </c>
      <c r="R4775" t="s">
        <v>46573</v>
      </c>
      <c r="S4775" t="s">
        <v>46705</v>
      </c>
      <c r="T4775" t="s">
        <v>48254</v>
      </c>
      <c r="U4775" t="s">
        <v>52729</v>
      </c>
      <c r="W4775" t="s">
        <v>42832</v>
      </c>
      <c r="X4775" t="s">
        <v>46580</v>
      </c>
    </row>
    <row r="4776" spans="1:24">
      <c r="A4776">
        <f>HYPERLINK("https://www.philgeps.gov.ph/GEPSNONPILOT/Tender/SplashBidNoticeAbstractUI.aspx?menuIndex=3&amp;refID=7047101&amp;Result=3","7047101")</f>
        <v>0</v>
      </c>
      <c r="B4776" t="s">
        <v>1629</v>
      </c>
      <c r="C4776" t="s">
        <v>8099</v>
      </c>
      <c r="D4776" t="s">
        <v>18786</v>
      </c>
      <c r="E4776" t="s">
        <v>23172</v>
      </c>
      <c r="F4776" t="s">
        <v>32664</v>
      </c>
      <c r="G4776" t="s">
        <v>32674</v>
      </c>
      <c r="H4776" t="s">
        <v>12635</v>
      </c>
      <c r="I4776" t="s">
        <v>5589</v>
      </c>
      <c r="J4776" t="s">
        <v>35882</v>
      </c>
      <c r="K4776" t="s">
        <v>42281</v>
      </c>
      <c r="M4776" t="s">
        <v>44311</v>
      </c>
      <c r="N4776" t="s">
        <v>46569</v>
      </c>
      <c r="O4776" t="s">
        <v>46570</v>
      </c>
      <c r="P4776">
        <v>0</v>
      </c>
      <c r="Q4776">
        <v>0</v>
      </c>
      <c r="R4776" t="s">
        <v>46573</v>
      </c>
      <c r="S4776" t="s">
        <v>46705</v>
      </c>
      <c r="T4776" t="s">
        <v>48436</v>
      </c>
      <c r="U4776" t="s">
        <v>52730</v>
      </c>
      <c r="W4776" t="s">
        <v>44311</v>
      </c>
      <c r="X4776" t="s">
        <v>46581</v>
      </c>
    </row>
    <row r="4777" spans="1:24">
      <c r="A4777">
        <f>HYPERLINK("https://www.philgeps.gov.ph/GEPSNONPILOT/Tender/SplashBidNoticeAbstractUI.aspx?menuIndex=3&amp;refID=7046436&amp;Result=3","7046436")</f>
        <v>0</v>
      </c>
      <c r="B4777" t="s">
        <v>63</v>
      </c>
      <c r="C4777" t="s">
        <v>8100</v>
      </c>
      <c r="D4777" t="s">
        <v>18811</v>
      </c>
      <c r="E4777" t="s">
        <v>23173</v>
      </c>
      <c r="F4777" t="s">
        <v>32664</v>
      </c>
      <c r="G4777" t="s">
        <v>32671</v>
      </c>
      <c r="H4777" t="s">
        <v>12635</v>
      </c>
      <c r="I4777" t="s">
        <v>32765</v>
      </c>
      <c r="J4777" t="s">
        <v>35883</v>
      </c>
      <c r="K4777" t="s">
        <v>42281</v>
      </c>
      <c r="M4777" t="s">
        <v>42626</v>
      </c>
      <c r="N4777" t="s">
        <v>46569</v>
      </c>
      <c r="O4777" t="s">
        <v>46570</v>
      </c>
      <c r="P4777">
        <v>0</v>
      </c>
      <c r="Q4777">
        <v>4</v>
      </c>
      <c r="R4777" t="s">
        <v>46573</v>
      </c>
      <c r="S4777" t="s">
        <v>46705</v>
      </c>
      <c r="T4777" t="s">
        <v>48529</v>
      </c>
      <c r="U4777" t="s">
        <v>52731</v>
      </c>
      <c r="W4777" t="s">
        <v>63464</v>
      </c>
      <c r="X4777" t="s">
        <v>46581</v>
      </c>
    </row>
    <row r="4778" spans="1:24">
      <c r="A4778">
        <f>HYPERLINK("https://www.philgeps.gov.ph/GEPSNONPILOT/Tender/SplashBidNoticeAbstractUI.aspx?menuIndex=3&amp;refID=6917036&amp;Result=3","6917036")</f>
        <v>0</v>
      </c>
      <c r="B4778" t="s">
        <v>1055</v>
      </c>
      <c r="C4778" t="s">
        <v>8101</v>
      </c>
      <c r="D4778" t="s">
        <v>18784</v>
      </c>
      <c r="E4778" t="s">
        <v>23174</v>
      </c>
      <c r="F4778" t="s">
        <v>32664</v>
      </c>
      <c r="G4778" t="s">
        <v>32671</v>
      </c>
      <c r="H4778" t="s">
        <v>12635</v>
      </c>
      <c r="I4778" t="s">
        <v>10370</v>
      </c>
      <c r="J4778" t="s">
        <v>33015</v>
      </c>
      <c r="K4778" t="s">
        <v>42281</v>
      </c>
      <c r="M4778" t="s">
        <v>44008</v>
      </c>
      <c r="N4778" t="s">
        <v>46569</v>
      </c>
      <c r="O4778" t="s">
        <v>46570</v>
      </c>
      <c r="P4778">
        <v>0</v>
      </c>
      <c r="Q4778">
        <v>7</v>
      </c>
      <c r="R4778" t="s">
        <v>46573</v>
      </c>
      <c r="S4778" t="s">
        <v>46705</v>
      </c>
      <c r="T4778" t="s">
        <v>48356</v>
      </c>
      <c r="U4778" t="s">
        <v>52732</v>
      </c>
      <c r="V4778" t="s">
        <v>62108</v>
      </c>
      <c r="W4778" t="s">
        <v>44008</v>
      </c>
      <c r="X4778" t="s">
        <v>46641</v>
      </c>
    </row>
    <row r="4779" spans="1:24">
      <c r="A4779">
        <f>HYPERLINK("https://www.philgeps.gov.ph/GEPSNONPILOT/Tender/SplashBidNoticeAbstractUI.aspx?menuIndex=3&amp;refID=7043349&amp;Result=3","7043349")</f>
        <v>0</v>
      </c>
      <c r="B4779" t="s">
        <v>777</v>
      </c>
      <c r="C4779" t="s">
        <v>8102</v>
      </c>
      <c r="D4779" t="s">
        <v>18787</v>
      </c>
      <c r="E4779" t="s">
        <v>23175</v>
      </c>
      <c r="F4779" t="s">
        <v>32664</v>
      </c>
      <c r="G4779" t="s">
        <v>32671</v>
      </c>
      <c r="H4779" t="s">
        <v>12635</v>
      </c>
      <c r="I4779" t="s">
        <v>4439</v>
      </c>
      <c r="J4779" t="s">
        <v>35884</v>
      </c>
      <c r="K4779" t="s">
        <v>42289</v>
      </c>
      <c r="M4779" t="s">
        <v>43369</v>
      </c>
      <c r="N4779" t="s">
        <v>46569</v>
      </c>
      <c r="O4779" t="s">
        <v>46570</v>
      </c>
      <c r="P4779">
        <v>0</v>
      </c>
      <c r="Q4779">
        <v>1</v>
      </c>
      <c r="R4779" t="s">
        <v>46573</v>
      </c>
      <c r="S4779" t="s">
        <v>46705</v>
      </c>
      <c r="T4779" t="s">
        <v>48427</v>
      </c>
      <c r="U4779" t="s">
        <v>52733</v>
      </c>
      <c r="W4779" t="s">
        <v>43369</v>
      </c>
      <c r="X4779" t="s">
        <v>46584</v>
      </c>
    </row>
    <row r="4780" spans="1:24">
      <c r="A4780">
        <f>HYPERLINK("https://www.philgeps.gov.ph/GEPSNONPILOT/Tender/SplashBidNoticeAbstractUI.aspx?menuIndex=3&amp;refID=7048815&amp;Result=3","7048815")</f>
        <v>0</v>
      </c>
      <c r="B4780" t="s">
        <v>267</v>
      </c>
      <c r="C4780" t="s">
        <v>8091</v>
      </c>
      <c r="D4780" t="s">
        <v>18791</v>
      </c>
      <c r="E4780" t="s">
        <v>23176</v>
      </c>
      <c r="F4780" t="s">
        <v>32664</v>
      </c>
      <c r="G4780" t="s">
        <v>32671</v>
      </c>
      <c r="H4780" t="s">
        <v>12635</v>
      </c>
      <c r="I4780" t="s">
        <v>10361</v>
      </c>
      <c r="J4780" t="s">
        <v>35403</v>
      </c>
      <c r="K4780" t="s">
        <v>42283</v>
      </c>
      <c r="M4780" t="s">
        <v>42832</v>
      </c>
      <c r="N4780" t="s">
        <v>46569</v>
      </c>
      <c r="O4780" t="s">
        <v>46570</v>
      </c>
      <c r="P4780">
        <v>0</v>
      </c>
      <c r="Q4780">
        <v>0</v>
      </c>
      <c r="R4780" t="s">
        <v>46573</v>
      </c>
      <c r="S4780" t="s">
        <v>46705</v>
      </c>
      <c r="T4780" t="s">
        <v>48254</v>
      </c>
      <c r="U4780" t="s">
        <v>52734</v>
      </c>
      <c r="W4780" t="s">
        <v>42832</v>
      </c>
      <c r="X4780" t="s">
        <v>46580</v>
      </c>
    </row>
    <row r="4781" spans="1:24">
      <c r="A4781">
        <f>HYPERLINK("https://www.philgeps.gov.ph/GEPSNONPILOT/Tender/SplashBidNoticeAbstractUI.aspx?menuIndex=3&amp;refID=7064537&amp;Result=3","7064537")</f>
        <v>0</v>
      </c>
      <c r="B4781" t="s">
        <v>117</v>
      </c>
      <c r="C4781" t="s">
        <v>8103</v>
      </c>
      <c r="D4781" t="s">
        <v>18799</v>
      </c>
      <c r="E4781" t="s">
        <v>8103</v>
      </c>
      <c r="F4781" t="s">
        <v>32664</v>
      </c>
      <c r="G4781" t="s">
        <v>32671</v>
      </c>
      <c r="H4781" t="s">
        <v>12635</v>
      </c>
      <c r="I4781" t="s">
        <v>6628</v>
      </c>
      <c r="J4781" t="s">
        <v>34268</v>
      </c>
      <c r="K4781" t="s">
        <v>42283</v>
      </c>
      <c r="M4781" t="s">
        <v>42681</v>
      </c>
      <c r="N4781" t="s">
        <v>46569</v>
      </c>
      <c r="O4781" t="s">
        <v>46570</v>
      </c>
      <c r="P4781">
        <v>0</v>
      </c>
      <c r="Q4781">
        <v>5</v>
      </c>
      <c r="R4781" t="s">
        <v>46572</v>
      </c>
      <c r="S4781" t="s">
        <v>46689</v>
      </c>
      <c r="T4781" t="s">
        <v>48249</v>
      </c>
      <c r="U4781" t="s">
        <v>52735</v>
      </c>
      <c r="W4781" t="s">
        <v>42681</v>
      </c>
      <c r="X4781" t="s">
        <v>46573</v>
      </c>
    </row>
    <row r="4782" spans="1:24">
      <c r="A4782">
        <f>HYPERLINK("https://www.philgeps.gov.ph/GEPSNONPILOT/Tender/SplashBidNoticeAbstractUI.aspx?menuIndex=3&amp;refID=7064536&amp;Result=3","7064536")</f>
        <v>0</v>
      </c>
      <c r="B4782" t="s">
        <v>1660</v>
      </c>
      <c r="C4782" t="s">
        <v>8104</v>
      </c>
      <c r="D4782" t="s">
        <v>18783</v>
      </c>
      <c r="E4782" t="s">
        <v>23177</v>
      </c>
      <c r="F4782" t="s">
        <v>32664</v>
      </c>
      <c r="G4782" t="s">
        <v>32672</v>
      </c>
      <c r="H4782" t="s">
        <v>12635</v>
      </c>
      <c r="I4782" t="s">
        <v>32706</v>
      </c>
      <c r="J4782" t="s">
        <v>35885</v>
      </c>
      <c r="K4782" t="s">
        <v>42284</v>
      </c>
      <c r="M4782" t="s">
        <v>44345</v>
      </c>
      <c r="N4782" t="s">
        <v>46569</v>
      </c>
      <c r="O4782" t="s">
        <v>46570</v>
      </c>
      <c r="P4782">
        <v>0</v>
      </c>
      <c r="Q4782">
        <v>0</v>
      </c>
      <c r="R4782" t="s">
        <v>46572</v>
      </c>
      <c r="S4782" t="s">
        <v>46689</v>
      </c>
      <c r="T4782" t="s">
        <v>48273</v>
      </c>
      <c r="U4782" t="s">
        <v>52688</v>
      </c>
      <c r="W4782" t="s">
        <v>44347</v>
      </c>
      <c r="X4782" t="s">
        <v>46573</v>
      </c>
    </row>
    <row r="4783" spans="1:24">
      <c r="A4783">
        <f>HYPERLINK("https://www.philgeps.gov.ph/GEPSNONPILOT/Tender/SplashBidNoticeAbstractUI.aspx?menuIndex=3&amp;refID=7064535&amp;Result=3","7064535")</f>
        <v>0</v>
      </c>
      <c r="B4783" t="s">
        <v>117</v>
      </c>
      <c r="C4783" t="s">
        <v>8105</v>
      </c>
      <c r="D4783" t="s">
        <v>18799</v>
      </c>
      <c r="E4783" t="s">
        <v>23178</v>
      </c>
      <c r="F4783" t="s">
        <v>32664</v>
      </c>
      <c r="G4783" t="s">
        <v>32671</v>
      </c>
      <c r="H4783" t="s">
        <v>12635</v>
      </c>
      <c r="I4783" t="s">
        <v>8797</v>
      </c>
      <c r="J4783" t="s">
        <v>34268</v>
      </c>
      <c r="K4783" t="s">
        <v>42283</v>
      </c>
      <c r="M4783" t="s">
        <v>42681</v>
      </c>
      <c r="N4783" t="s">
        <v>46569</v>
      </c>
      <c r="O4783" t="s">
        <v>46570</v>
      </c>
      <c r="P4783">
        <v>0</v>
      </c>
      <c r="Q4783">
        <v>2</v>
      </c>
      <c r="R4783" t="s">
        <v>46572</v>
      </c>
      <c r="S4783" t="s">
        <v>46689</v>
      </c>
      <c r="T4783" t="s">
        <v>48249</v>
      </c>
      <c r="U4783" t="s">
        <v>52736</v>
      </c>
      <c r="W4783" t="s">
        <v>42681</v>
      </c>
      <c r="X4783" t="s">
        <v>46573</v>
      </c>
    </row>
    <row r="4784" spans="1:24">
      <c r="A4784">
        <f>HYPERLINK("https://www.philgeps.gov.ph/GEPSNONPILOT/Tender/SplashBidNoticeAbstractUI.aspx?menuIndex=3&amp;refID=7064533&amp;Result=3","7064533")</f>
        <v>0</v>
      </c>
      <c r="B4784" t="s">
        <v>117</v>
      </c>
      <c r="C4784" t="s">
        <v>8106</v>
      </c>
      <c r="D4784" t="s">
        <v>18799</v>
      </c>
      <c r="E4784" t="s">
        <v>23179</v>
      </c>
      <c r="F4784" t="s">
        <v>32664</v>
      </c>
      <c r="G4784" t="s">
        <v>32671</v>
      </c>
      <c r="H4784" t="s">
        <v>12635</v>
      </c>
      <c r="I4784" t="s">
        <v>5501</v>
      </c>
      <c r="J4784" t="s">
        <v>33752</v>
      </c>
      <c r="K4784" t="s">
        <v>42283</v>
      </c>
      <c r="M4784" t="s">
        <v>42681</v>
      </c>
      <c r="N4784" t="s">
        <v>46569</v>
      </c>
      <c r="O4784" t="s">
        <v>46570</v>
      </c>
      <c r="P4784">
        <v>0</v>
      </c>
      <c r="Q4784">
        <v>5</v>
      </c>
      <c r="R4784" t="s">
        <v>46572</v>
      </c>
      <c r="S4784" t="s">
        <v>46689</v>
      </c>
      <c r="T4784" t="s">
        <v>48249</v>
      </c>
      <c r="U4784" t="s">
        <v>52737</v>
      </c>
      <c r="W4784" t="s">
        <v>42681</v>
      </c>
      <c r="X4784" t="s">
        <v>46573</v>
      </c>
    </row>
    <row r="4785" spans="1:24">
      <c r="A4785">
        <f>HYPERLINK("https://www.philgeps.gov.ph/GEPSNONPILOT/Tender/SplashBidNoticeAbstractUI.aspx?menuIndex=3&amp;refID=7048847&amp;Result=3","7048847")</f>
        <v>0</v>
      </c>
      <c r="B4785" t="s">
        <v>1677</v>
      </c>
      <c r="C4785" t="s">
        <v>8107</v>
      </c>
      <c r="D4785" t="s">
        <v>18801</v>
      </c>
      <c r="E4785" t="s">
        <v>19708</v>
      </c>
      <c r="F4785" t="s">
        <v>32664</v>
      </c>
      <c r="G4785" t="s">
        <v>32671</v>
      </c>
      <c r="H4785" t="s">
        <v>12635</v>
      </c>
      <c r="I4785" t="s">
        <v>8730</v>
      </c>
      <c r="J4785" t="s">
        <v>35886</v>
      </c>
      <c r="K4785" t="s">
        <v>42309</v>
      </c>
      <c r="M4785" t="s">
        <v>44366</v>
      </c>
      <c r="N4785" t="s">
        <v>46569</v>
      </c>
      <c r="O4785" t="s">
        <v>46570</v>
      </c>
      <c r="P4785">
        <v>0</v>
      </c>
      <c r="Q4785">
        <v>6</v>
      </c>
      <c r="R4785" t="s">
        <v>46573</v>
      </c>
      <c r="S4785" t="s">
        <v>46705</v>
      </c>
      <c r="T4785" t="s">
        <v>48217</v>
      </c>
      <c r="U4785" t="s">
        <v>52738</v>
      </c>
      <c r="V4785" t="s">
        <v>49582</v>
      </c>
      <c r="W4785" t="s">
        <v>44366</v>
      </c>
      <c r="X4785" t="s">
        <v>46580</v>
      </c>
    </row>
    <row r="4786" spans="1:24">
      <c r="A4786">
        <f>HYPERLINK("https://www.philgeps.gov.ph/GEPSNONPILOT/Tender/SplashBidNoticeAbstractUI.aspx?menuIndex=3&amp;refID=7064532&amp;Result=3","7064532")</f>
        <v>0</v>
      </c>
      <c r="B4786" t="s">
        <v>117</v>
      </c>
      <c r="C4786" t="s">
        <v>8108</v>
      </c>
      <c r="D4786" t="s">
        <v>18799</v>
      </c>
      <c r="E4786" t="s">
        <v>23180</v>
      </c>
      <c r="F4786" t="s">
        <v>32664</v>
      </c>
      <c r="G4786" t="s">
        <v>32671</v>
      </c>
      <c r="H4786" t="s">
        <v>12635</v>
      </c>
      <c r="I4786" t="s">
        <v>10370</v>
      </c>
      <c r="J4786" t="s">
        <v>33159</v>
      </c>
      <c r="K4786" t="s">
        <v>42283</v>
      </c>
      <c r="M4786" t="s">
        <v>42681</v>
      </c>
      <c r="N4786" t="s">
        <v>46569</v>
      </c>
      <c r="O4786" t="s">
        <v>46570</v>
      </c>
      <c r="P4786">
        <v>0</v>
      </c>
      <c r="Q4786">
        <v>4</v>
      </c>
      <c r="R4786" t="s">
        <v>46572</v>
      </c>
      <c r="S4786" t="s">
        <v>46689</v>
      </c>
      <c r="T4786" t="s">
        <v>48249</v>
      </c>
      <c r="U4786" t="s">
        <v>52739</v>
      </c>
      <c r="W4786" t="s">
        <v>42681</v>
      </c>
      <c r="X4786" t="s">
        <v>46573</v>
      </c>
    </row>
    <row r="4787" spans="1:24">
      <c r="A4787">
        <f>HYPERLINK("https://www.philgeps.gov.ph/GEPSNONPILOT/Tender/SplashBidNoticeAbstractUI.aspx?menuIndex=3&amp;refID=6894118&amp;Result=3","6894118")</f>
        <v>0</v>
      </c>
      <c r="B4787" t="s">
        <v>936</v>
      </c>
      <c r="C4787" t="s">
        <v>8109</v>
      </c>
      <c r="D4787" t="s">
        <v>18806</v>
      </c>
      <c r="E4787" t="s">
        <v>23181</v>
      </c>
      <c r="F4787" t="s">
        <v>32664</v>
      </c>
      <c r="G4787" t="s">
        <v>32671</v>
      </c>
      <c r="H4787" t="s">
        <v>12635</v>
      </c>
      <c r="I4787" t="s">
        <v>10590</v>
      </c>
      <c r="J4787" t="s">
        <v>33095</v>
      </c>
      <c r="K4787" t="s">
        <v>42284</v>
      </c>
      <c r="L4787" t="s">
        <v>936</v>
      </c>
      <c r="M4787" t="s">
        <v>43542</v>
      </c>
      <c r="N4787" t="s">
        <v>46569</v>
      </c>
      <c r="O4787" t="s">
        <v>46570</v>
      </c>
      <c r="P4787">
        <v>0</v>
      </c>
      <c r="Q4787">
        <v>0</v>
      </c>
      <c r="R4787" t="s">
        <v>46573</v>
      </c>
      <c r="S4787" t="s">
        <v>46705</v>
      </c>
      <c r="T4787" t="s">
        <v>48427</v>
      </c>
      <c r="U4787" t="s">
        <v>52740</v>
      </c>
      <c r="W4787" t="s">
        <v>43542</v>
      </c>
      <c r="X4787" t="s">
        <v>46648</v>
      </c>
    </row>
    <row r="4788" spans="1:24">
      <c r="A4788">
        <f>HYPERLINK("https://www.philgeps.gov.ph/GEPSNONPILOT/Tender/SplashBidNoticeAbstractUI.aspx?menuIndex=3&amp;refID=7064531&amp;Result=3","7064531")</f>
        <v>0</v>
      </c>
      <c r="B4788" t="s">
        <v>1659</v>
      </c>
      <c r="C4788" t="s">
        <v>8110</v>
      </c>
      <c r="D4788" t="s">
        <v>18805</v>
      </c>
      <c r="E4788" t="s">
        <v>23182</v>
      </c>
      <c r="F4788" t="s">
        <v>32664</v>
      </c>
      <c r="G4788" t="s">
        <v>32671</v>
      </c>
      <c r="H4788" t="s">
        <v>32683</v>
      </c>
      <c r="I4788" t="s">
        <v>4439</v>
      </c>
      <c r="J4788" t="s">
        <v>32976</v>
      </c>
      <c r="K4788" t="s">
        <v>42284</v>
      </c>
      <c r="M4788" t="s">
        <v>44344</v>
      </c>
      <c r="N4788" t="s">
        <v>46569</v>
      </c>
      <c r="O4788" t="s">
        <v>46570</v>
      </c>
      <c r="P4788">
        <v>0</v>
      </c>
      <c r="Q4788">
        <v>0</v>
      </c>
      <c r="R4788" t="s">
        <v>46572</v>
      </c>
      <c r="S4788" t="s">
        <v>46689</v>
      </c>
      <c r="T4788" t="s">
        <v>48217</v>
      </c>
      <c r="U4788" t="s">
        <v>52741</v>
      </c>
      <c r="W4788" t="s">
        <v>44344</v>
      </c>
      <c r="X4788" t="s">
        <v>46573</v>
      </c>
    </row>
    <row r="4789" spans="1:24">
      <c r="A4789">
        <f>HYPERLINK("https://www.philgeps.gov.ph/GEPSNONPILOT/Tender/SplashBidNoticeAbstractUI.aspx?menuIndex=3&amp;refID=7064530&amp;Result=3","7064530")</f>
        <v>0</v>
      </c>
      <c r="B4789" t="s">
        <v>117</v>
      </c>
      <c r="C4789" t="s">
        <v>8111</v>
      </c>
      <c r="D4789" t="s">
        <v>18799</v>
      </c>
      <c r="E4789" t="s">
        <v>23183</v>
      </c>
      <c r="F4789" t="s">
        <v>32664</v>
      </c>
      <c r="G4789" t="s">
        <v>32671</v>
      </c>
      <c r="H4789" t="s">
        <v>12635</v>
      </c>
      <c r="I4789" t="s">
        <v>10370</v>
      </c>
      <c r="J4789" t="s">
        <v>33790</v>
      </c>
      <c r="K4789" t="s">
        <v>42283</v>
      </c>
      <c r="M4789" t="s">
        <v>42681</v>
      </c>
      <c r="N4789" t="s">
        <v>46569</v>
      </c>
      <c r="O4789" t="s">
        <v>46570</v>
      </c>
      <c r="P4789">
        <v>0</v>
      </c>
      <c r="Q4789">
        <v>4</v>
      </c>
      <c r="R4789" t="s">
        <v>46572</v>
      </c>
      <c r="S4789" t="s">
        <v>46689</v>
      </c>
      <c r="T4789" t="s">
        <v>48249</v>
      </c>
      <c r="U4789" t="s">
        <v>52742</v>
      </c>
      <c r="W4789" t="s">
        <v>42681</v>
      </c>
      <c r="X4789" t="s">
        <v>46573</v>
      </c>
    </row>
    <row r="4790" spans="1:24">
      <c r="A4790">
        <f>HYPERLINK("https://www.philgeps.gov.ph/GEPSNONPILOT/Tender/SplashBidNoticeAbstractUI.aspx?menuIndex=3&amp;refID=7064512&amp;Result=3","7064512")</f>
        <v>0</v>
      </c>
      <c r="B4790" t="s">
        <v>1654</v>
      </c>
      <c r="C4790" t="s">
        <v>3912</v>
      </c>
      <c r="D4790" t="s">
        <v>18804</v>
      </c>
      <c r="E4790" t="s">
        <v>23184</v>
      </c>
      <c r="F4790" t="s">
        <v>32664</v>
      </c>
      <c r="G4790" t="s">
        <v>32675</v>
      </c>
      <c r="H4790" t="s">
        <v>12635</v>
      </c>
      <c r="I4790" t="s">
        <v>6168</v>
      </c>
      <c r="J4790" t="s">
        <v>34488</v>
      </c>
      <c r="K4790" t="s">
        <v>42306</v>
      </c>
      <c r="M4790" t="s">
        <v>44339</v>
      </c>
      <c r="N4790" t="s">
        <v>46569</v>
      </c>
      <c r="O4790" t="s">
        <v>46570</v>
      </c>
      <c r="P4790">
        <v>0</v>
      </c>
      <c r="Q4790">
        <v>0</v>
      </c>
      <c r="R4790" t="s">
        <v>46572</v>
      </c>
      <c r="S4790" t="s">
        <v>46689</v>
      </c>
      <c r="T4790" t="s">
        <v>48217</v>
      </c>
      <c r="U4790" t="s">
        <v>52743</v>
      </c>
      <c r="W4790" t="s">
        <v>44339</v>
      </c>
      <c r="X4790" t="s">
        <v>46573</v>
      </c>
    </row>
    <row r="4791" spans="1:24">
      <c r="A4791">
        <f>HYPERLINK("https://www.philgeps.gov.ph/GEPSNONPILOT/Tender/SplashBidNoticeAbstractUI.aspx?menuIndex=3&amp;refID=7064538&amp;Result=3","7064538")</f>
        <v>0</v>
      </c>
      <c r="B4791" t="s">
        <v>1660</v>
      </c>
      <c r="C4791" t="s">
        <v>8112</v>
      </c>
      <c r="D4791" t="s">
        <v>18783</v>
      </c>
      <c r="E4791" t="s">
        <v>23185</v>
      </c>
      <c r="F4791" t="s">
        <v>32664</v>
      </c>
      <c r="G4791" t="s">
        <v>32672</v>
      </c>
      <c r="H4791" t="s">
        <v>12635</v>
      </c>
      <c r="I4791" t="s">
        <v>6223</v>
      </c>
      <c r="J4791" t="s">
        <v>35887</v>
      </c>
      <c r="K4791" t="s">
        <v>42330</v>
      </c>
      <c r="M4791" t="s">
        <v>44345</v>
      </c>
      <c r="N4791" t="s">
        <v>46569</v>
      </c>
      <c r="O4791" t="s">
        <v>46570</v>
      </c>
      <c r="P4791">
        <v>0</v>
      </c>
      <c r="Q4791">
        <v>2</v>
      </c>
      <c r="R4791" t="s">
        <v>46572</v>
      </c>
      <c r="S4791" t="s">
        <v>46689</v>
      </c>
      <c r="T4791" t="s">
        <v>48273</v>
      </c>
      <c r="U4791" t="s">
        <v>52688</v>
      </c>
      <c r="W4791" t="s">
        <v>44347</v>
      </c>
      <c r="X4791" t="s">
        <v>46573</v>
      </c>
    </row>
    <row r="4792" spans="1:24">
      <c r="A4792">
        <f>HYPERLINK("https://www.philgeps.gov.ph/GEPSNONPILOT/Tender/SplashBidNoticeAbstractUI.aspx?menuIndex=3&amp;refID=7064511&amp;Result=3","7064511")</f>
        <v>0</v>
      </c>
      <c r="B4792" t="s">
        <v>1656</v>
      </c>
      <c r="C4792" t="s">
        <v>8113</v>
      </c>
      <c r="D4792" t="s">
        <v>18805</v>
      </c>
      <c r="E4792" t="s">
        <v>23186</v>
      </c>
      <c r="F4792" t="s">
        <v>32664</v>
      </c>
      <c r="G4792" t="s">
        <v>32672</v>
      </c>
      <c r="H4792" t="s">
        <v>12635</v>
      </c>
      <c r="I4792" t="s">
        <v>8797</v>
      </c>
      <c r="J4792" t="s">
        <v>34207</v>
      </c>
      <c r="K4792" t="s">
        <v>42306</v>
      </c>
      <c r="M4792" t="s">
        <v>44341</v>
      </c>
      <c r="N4792" t="s">
        <v>46569</v>
      </c>
      <c r="O4792" t="s">
        <v>46570</v>
      </c>
      <c r="P4792">
        <v>0</v>
      </c>
      <c r="Q4792">
        <v>1</v>
      </c>
      <c r="R4792" t="s">
        <v>46572</v>
      </c>
      <c r="S4792" t="s">
        <v>46689</v>
      </c>
      <c r="T4792" t="s">
        <v>48527</v>
      </c>
      <c r="U4792" t="s">
        <v>52744</v>
      </c>
      <c r="W4792" t="s">
        <v>44341</v>
      </c>
      <c r="X4792" t="s">
        <v>46573</v>
      </c>
    </row>
    <row r="4793" spans="1:24">
      <c r="A4793">
        <f>HYPERLINK("https://www.philgeps.gov.ph/GEPSNONPILOT/Tender/SplashBidNoticeAbstractUI.aspx?menuIndex=3&amp;refID=7064509&amp;Result=3","7064509")</f>
        <v>0</v>
      </c>
      <c r="B4793" t="s">
        <v>629</v>
      </c>
      <c r="C4793" t="s">
        <v>8114</v>
      </c>
      <c r="D4793" t="s">
        <v>18782</v>
      </c>
      <c r="E4793" t="s">
        <v>23187</v>
      </c>
      <c r="F4793" t="s">
        <v>32664</v>
      </c>
      <c r="G4793" t="s">
        <v>32674</v>
      </c>
      <c r="H4793" t="s">
        <v>12635</v>
      </c>
      <c r="I4793" t="s">
        <v>6118</v>
      </c>
      <c r="J4793" t="s">
        <v>35888</v>
      </c>
      <c r="K4793" t="s">
        <v>42283</v>
      </c>
      <c r="M4793" t="s">
        <v>43211</v>
      </c>
      <c r="N4793" t="s">
        <v>46569</v>
      </c>
      <c r="O4793" t="s">
        <v>46570</v>
      </c>
      <c r="P4793">
        <v>0</v>
      </c>
      <c r="Q4793">
        <v>0</v>
      </c>
      <c r="R4793" t="s">
        <v>46572</v>
      </c>
      <c r="S4793" t="s">
        <v>46689</v>
      </c>
      <c r="T4793" t="s">
        <v>48316</v>
      </c>
      <c r="U4793" t="s">
        <v>52745</v>
      </c>
      <c r="W4793" t="s">
        <v>43211</v>
      </c>
      <c r="X4793" t="s">
        <v>46573</v>
      </c>
    </row>
    <row r="4794" spans="1:24">
      <c r="A4794">
        <f>HYPERLINK("https://www.philgeps.gov.ph/GEPSNONPILOT/Tender/SplashBidNoticeAbstractUI.aspx?menuIndex=3&amp;refID=7064513&amp;Result=3","7064513")</f>
        <v>0</v>
      </c>
      <c r="B4794" t="s">
        <v>117</v>
      </c>
      <c r="C4794" t="s">
        <v>8115</v>
      </c>
      <c r="D4794" t="s">
        <v>18799</v>
      </c>
      <c r="E4794" t="s">
        <v>8115</v>
      </c>
      <c r="F4794" t="s">
        <v>32664</v>
      </c>
      <c r="G4794" t="s">
        <v>32671</v>
      </c>
      <c r="H4794" t="s">
        <v>12635</v>
      </c>
      <c r="I4794" t="s">
        <v>4439</v>
      </c>
      <c r="J4794" t="s">
        <v>35889</v>
      </c>
      <c r="K4794" t="s">
        <v>42283</v>
      </c>
      <c r="M4794" t="s">
        <v>42681</v>
      </c>
      <c r="N4794" t="s">
        <v>46569</v>
      </c>
      <c r="O4794" t="s">
        <v>46570</v>
      </c>
      <c r="P4794">
        <v>0</v>
      </c>
      <c r="Q4794">
        <v>0</v>
      </c>
      <c r="R4794" t="s">
        <v>46572</v>
      </c>
      <c r="S4794" t="s">
        <v>46689</v>
      </c>
      <c r="T4794" t="s">
        <v>48249</v>
      </c>
      <c r="U4794" t="s">
        <v>52746</v>
      </c>
      <c r="W4794" t="s">
        <v>42681</v>
      </c>
      <c r="X4794" t="s">
        <v>46573</v>
      </c>
    </row>
    <row r="4795" spans="1:24">
      <c r="A4795">
        <f>HYPERLINK("https://www.philgeps.gov.ph/GEPSNONPILOT/Tender/SplashBidNoticeAbstractUI.aspx?menuIndex=3&amp;refID=7064507&amp;Result=3","7064507")</f>
        <v>0</v>
      </c>
      <c r="B4795" t="s">
        <v>1659</v>
      </c>
      <c r="C4795" t="s">
        <v>8116</v>
      </c>
      <c r="D4795" t="s">
        <v>18805</v>
      </c>
      <c r="E4795" t="s">
        <v>23188</v>
      </c>
      <c r="F4795" t="s">
        <v>32664</v>
      </c>
      <c r="G4795" t="s">
        <v>32671</v>
      </c>
      <c r="H4795" t="s">
        <v>12635</v>
      </c>
      <c r="I4795" t="s">
        <v>32760</v>
      </c>
      <c r="J4795" t="s">
        <v>33632</v>
      </c>
      <c r="K4795" t="s">
        <v>42333</v>
      </c>
      <c r="M4795" t="s">
        <v>44344</v>
      </c>
      <c r="N4795" t="s">
        <v>46569</v>
      </c>
      <c r="O4795" t="s">
        <v>46570</v>
      </c>
      <c r="P4795">
        <v>0</v>
      </c>
      <c r="Q4795">
        <v>0</v>
      </c>
      <c r="R4795" t="s">
        <v>46572</v>
      </c>
      <c r="S4795" t="s">
        <v>46689</v>
      </c>
      <c r="T4795" t="s">
        <v>48217</v>
      </c>
      <c r="U4795" t="s">
        <v>50974</v>
      </c>
      <c r="W4795" t="s">
        <v>44344</v>
      </c>
      <c r="X4795" t="s">
        <v>46573</v>
      </c>
    </row>
    <row r="4796" spans="1:24">
      <c r="A4796">
        <f>HYPERLINK("https://www.philgeps.gov.ph/GEPSNONPILOT/Tender/SplashBidNoticeAbstractUI.aspx?menuIndex=3&amp;refID=7064534&amp;Result=3","7064534")</f>
        <v>0</v>
      </c>
      <c r="B4796" t="s">
        <v>1660</v>
      </c>
      <c r="C4796" t="s">
        <v>8117</v>
      </c>
      <c r="D4796" t="s">
        <v>18783</v>
      </c>
      <c r="E4796" t="s">
        <v>23189</v>
      </c>
      <c r="F4796" t="s">
        <v>32664</v>
      </c>
      <c r="G4796" t="s">
        <v>32672</v>
      </c>
      <c r="H4796" t="s">
        <v>12635</v>
      </c>
      <c r="I4796" t="s">
        <v>32706</v>
      </c>
      <c r="J4796" t="s">
        <v>35890</v>
      </c>
      <c r="K4796" t="s">
        <v>42284</v>
      </c>
      <c r="M4796" t="s">
        <v>44345</v>
      </c>
      <c r="N4796" t="s">
        <v>46569</v>
      </c>
      <c r="O4796" t="s">
        <v>46570</v>
      </c>
      <c r="P4796">
        <v>0</v>
      </c>
      <c r="Q4796">
        <v>0</v>
      </c>
      <c r="R4796" t="s">
        <v>46572</v>
      </c>
      <c r="S4796" t="s">
        <v>46689</v>
      </c>
      <c r="T4796" t="s">
        <v>48273</v>
      </c>
      <c r="U4796" t="s">
        <v>52688</v>
      </c>
      <c r="W4796" t="s">
        <v>44347</v>
      </c>
      <c r="X4796" t="s">
        <v>46573</v>
      </c>
    </row>
    <row r="4797" spans="1:24">
      <c r="A4797">
        <f>HYPERLINK("https://www.philgeps.gov.ph/GEPSNONPILOT/Tender/SplashBidNoticeAbstractUI.aspx?menuIndex=3&amp;refID=7064484&amp;Result=3","7064484")</f>
        <v>0</v>
      </c>
      <c r="B4797" t="s">
        <v>1678</v>
      </c>
      <c r="C4797" t="s">
        <v>8118</v>
      </c>
      <c r="D4797" t="s">
        <v>18785</v>
      </c>
      <c r="E4797" t="s">
        <v>23190</v>
      </c>
      <c r="F4797" t="s">
        <v>32664</v>
      </c>
      <c r="G4797" t="s">
        <v>32672</v>
      </c>
      <c r="H4797" t="s">
        <v>12635</v>
      </c>
      <c r="I4797" t="s">
        <v>32784</v>
      </c>
      <c r="J4797" t="s">
        <v>32853</v>
      </c>
      <c r="K4797" t="s">
        <v>42332</v>
      </c>
      <c r="M4797" t="s">
        <v>44367</v>
      </c>
      <c r="N4797" t="s">
        <v>46569</v>
      </c>
      <c r="O4797" t="s">
        <v>46570</v>
      </c>
      <c r="P4797">
        <v>0</v>
      </c>
      <c r="Q4797">
        <v>1</v>
      </c>
      <c r="R4797" t="s">
        <v>46572</v>
      </c>
      <c r="S4797" t="s">
        <v>46689</v>
      </c>
      <c r="T4797" t="s">
        <v>48276</v>
      </c>
      <c r="U4797" t="s">
        <v>52747</v>
      </c>
      <c r="W4797" t="s">
        <v>44367</v>
      </c>
      <c r="X4797" t="s">
        <v>46573</v>
      </c>
    </row>
    <row r="4798" spans="1:24">
      <c r="A4798">
        <f>HYPERLINK("https://www.philgeps.gov.ph/GEPSNONPILOT/Tender/SplashBidNoticeAbstractUI.aspx?menuIndex=3&amp;refID=7064510&amp;Result=3","7064510")</f>
        <v>0</v>
      </c>
      <c r="B4798" t="s">
        <v>117</v>
      </c>
      <c r="C4798" t="s">
        <v>8119</v>
      </c>
      <c r="D4798" t="s">
        <v>18799</v>
      </c>
      <c r="E4798" t="s">
        <v>23191</v>
      </c>
      <c r="F4798" t="s">
        <v>32664</v>
      </c>
      <c r="G4798" t="s">
        <v>32671</v>
      </c>
      <c r="H4798" t="s">
        <v>12635</v>
      </c>
      <c r="I4798" t="s">
        <v>10374</v>
      </c>
      <c r="J4798" t="s">
        <v>33250</v>
      </c>
      <c r="K4798" t="s">
        <v>42283</v>
      </c>
      <c r="M4798" t="s">
        <v>42681</v>
      </c>
      <c r="N4798" t="s">
        <v>46569</v>
      </c>
      <c r="O4798" t="s">
        <v>46570</v>
      </c>
      <c r="P4798">
        <v>0</v>
      </c>
      <c r="Q4798">
        <v>2</v>
      </c>
      <c r="R4798" t="s">
        <v>46572</v>
      </c>
      <c r="S4798" t="s">
        <v>46689</v>
      </c>
      <c r="T4798" t="s">
        <v>48249</v>
      </c>
      <c r="U4798" t="s">
        <v>52748</v>
      </c>
      <c r="W4798" t="s">
        <v>42681</v>
      </c>
      <c r="X4798" t="s">
        <v>46573</v>
      </c>
    </row>
    <row r="4799" spans="1:24">
      <c r="A4799">
        <f>HYPERLINK("https://www.philgeps.gov.ph/GEPSNONPILOT/Tender/SplashBidNoticeAbstractUI.aspx?menuIndex=3&amp;refID=7048053&amp;Result=3","7048053")</f>
        <v>0</v>
      </c>
      <c r="B4799" t="s">
        <v>267</v>
      </c>
      <c r="C4799" t="s">
        <v>8091</v>
      </c>
      <c r="D4799" t="s">
        <v>18845</v>
      </c>
      <c r="E4799" t="s">
        <v>23192</v>
      </c>
      <c r="F4799" t="s">
        <v>32664</v>
      </c>
      <c r="G4799" t="s">
        <v>32671</v>
      </c>
      <c r="H4799" t="s">
        <v>12635</v>
      </c>
      <c r="I4799" t="s">
        <v>10361</v>
      </c>
      <c r="J4799" t="s">
        <v>34076</v>
      </c>
      <c r="K4799" t="s">
        <v>42283</v>
      </c>
      <c r="M4799" t="s">
        <v>42832</v>
      </c>
      <c r="N4799" t="s">
        <v>46569</v>
      </c>
      <c r="O4799" t="s">
        <v>46570</v>
      </c>
      <c r="P4799">
        <v>0</v>
      </c>
      <c r="Q4799">
        <v>0</v>
      </c>
      <c r="R4799" t="s">
        <v>46573</v>
      </c>
      <c r="S4799" t="s">
        <v>46705</v>
      </c>
      <c r="T4799" t="s">
        <v>48254</v>
      </c>
      <c r="U4799" t="s">
        <v>52720</v>
      </c>
      <c r="W4799" t="s">
        <v>42832</v>
      </c>
      <c r="X4799" t="s">
        <v>46580</v>
      </c>
    </row>
    <row r="4800" spans="1:24">
      <c r="A4800">
        <f>HYPERLINK("https://www.philgeps.gov.ph/GEPSNONPILOT/Tender/SplashBidNoticeAbstractUI.aspx?menuIndex=3&amp;refID=7064483&amp;Result=3","7064483")</f>
        <v>0</v>
      </c>
      <c r="B4800" t="s">
        <v>1679</v>
      </c>
      <c r="C4800" t="s">
        <v>8120</v>
      </c>
      <c r="D4800" t="s">
        <v>18817</v>
      </c>
      <c r="E4800" t="s">
        <v>23193</v>
      </c>
      <c r="F4800" t="s">
        <v>32664</v>
      </c>
      <c r="G4800" t="s">
        <v>32671</v>
      </c>
      <c r="H4800" t="s">
        <v>12635</v>
      </c>
      <c r="I4800" t="s">
        <v>32712</v>
      </c>
      <c r="J4800" t="s">
        <v>35891</v>
      </c>
      <c r="K4800" t="s">
        <v>42284</v>
      </c>
      <c r="M4800" t="s">
        <v>44368</v>
      </c>
      <c r="N4800" t="s">
        <v>46569</v>
      </c>
      <c r="O4800" t="s">
        <v>46570</v>
      </c>
      <c r="P4800">
        <v>0</v>
      </c>
      <c r="Q4800">
        <v>1</v>
      </c>
      <c r="R4800" t="s">
        <v>46572</v>
      </c>
      <c r="S4800" t="s">
        <v>46689</v>
      </c>
      <c r="T4800" t="s">
        <v>48211</v>
      </c>
      <c r="U4800" t="s">
        <v>52749</v>
      </c>
      <c r="W4800" t="s">
        <v>63525</v>
      </c>
      <c r="X4800" t="s">
        <v>46573</v>
      </c>
    </row>
    <row r="4801" spans="1:24">
      <c r="A4801">
        <f>HYPERLINK("https://www.philgeps.gov.ph/GEPSNONPILOT/Tender/SplashBidNoticeAbstractUI.aspx?menuIndex=3&amp;refID=7064482&amp;Result=3","7064482")</f>
        <v>0</v>
      </c>
      <c r="B4801" t="s">
        <v>1644</v>
      </c>
      <c r="C4801" t="s">
        <v>8121</v>
      </c>
      <c r="D4801" t="s">
        <v>18820</v>
      </c>
      <c r="E4801" t="s">
        <v>23194</v>
      </c>
      <c r="F4801" t="s">
        <v>32664</v>
      </c>
      <c r="G4801" t="s">
        <v>32672</v>
      </c>
      <c r="H4801" t="s">
        <v>12635</v>
      </c>
      <c r="I4801" t="s">
        <v>32743</v>
      </c>
      <c r="J4801" t="s">
        <v>32865</v>
      </c>
      <c r="K4801" t="s">
        <v>42303</v>
      </c>
      <c r="M4801" t="s">
        <v>44328</v>
      </c>
      <c r="N4801" t="s">
        <v>46569</v>
      </c>
      <c r="O4801" t="s">
        <v>46570</v>
      </c>
      <c r="P4801">
        <v>0</v>
      </c>
      <c r="Q4801">
        <v>4</v>
      </c>
      <c r="R4801" t="s">
        <v>46572</v>
      </c>
      <c r="S4801" t="s">
        <v>46689</v>
      </c>
      <c r="T4801" t="s">
        <v>48525</v>
      </c>
      <c r="U4801" t="s">
        <v>52750</v>
      </c>
      <c r="V4801" t="s">
        <v>62100</v>
      </c>
      <c r="W4801" t="s">
        <v>44328</v>
      </c>
      <c r="X4801" t="s">
        <v>46573</v>
      </c>
    </row>
    <row r="4802" spans="1:24">
      <c r="A4802">
        <f>HYPERLINK("https://www.philgeps.gov.ph/GEPSNONPILOT/Tender/SplashBidNoticeAbstractUI.aspx?menuIndex=3&amp;refID=7064529&amp;Result=3","7064529")</f>
        <v>0</v>
      </c>
      <c r="B4802" t="s">
        <v>1680</v>
      </c>
      <c r="C4802" t="s">
        <v>8122</v>
      </c>
      <c r="D4802" t="s">
        <v>18832</v>
      </c>
      <c r="E4802" t="s">
        <v>23195</v>
      </c>
      <c r="F4802" t="s">
        <v>32664</v>
      </c>
      <c r="G4802" t="s">
        <v>32671</v>
      </c>
      <c r="H4802" t="s">
        <v>12635</v>
      </c>
      <c r="I4802" t="s">
        <v>32690</v>
      </c>
      <c r="J4802" t="s">
        <v>35892</v>
      </c>
      <c r="K4802" t="s">
        <v>42284</v>
      </c>
      <c r="M4802" t="s">
        <v>44369</v>
      </c>
      <c r="N4802" t="s">
        <v>46569</v>
      </c>
      <c r="O4802" t="s">
        <v>46570</v>
      </c>
      <c r="P4802">
        <v>0</v>
      </c>
      <c r="Q4802">
        <v>1</v>
      </c>
      <c r="R4802" t="s">
        <v>46572</v>
      </c>
      <c r="S4802" t="s">
        <v>46689</v>
      </c>
      <c r="T4802" t="s">
        <v>48221</v>
      </c>
      <c r="U4802" t="s">
        <v>52751</v>
      </c>
      <c r="W4802" t="s">
        <v>44369</v>
      </c>
      <c r="X4802" t="s">
        <v>46573</v>
      </c>
    </row>
    <row r="4803" spans="1:24">
      <c r="A4803">
        <f>HYPERLINK("https://www.philgeps.gov.ph/GEPSNONPILOT/Tender/SplashBidNoticeAbstractUI.aspx?menuIndex=3&amp;refID=7064508&amp;Result=3","7064508")</f>
        <v>0</v>
      </c>
      <c r="B4803" t="s">
        <v>1654</v>
      </c>
      <c r="C4803" t="s">
        <v>8123</v>
      </c>
      <c r="D4803" t="s">
        <v>18804</v>
      </c>
      <c r="E4803" t="s">
        <v>23196</v>
      </c>
      <c r="F4803" t="s">
        <v>32664</v>
      </c>
      <c r="G4803" t="s">
        <v>32671</v>
      </c>
      <c r="H4803" t="s">
        <v>12635</v>
      </c>
      <c r="I4803" t="s">
        <v>32712</v>
      </c>
      <c r="J4803" t="s">
        <v>35893</v>
      </c>
      <c r="K4803" t="s">
        <v>42306</v>
      </c>
      <c r="M4803" t="s">
        <v>44339</v>
      </c>
      <c r="N4803" t="s">
        <v>46569</v>
      </c>
      <c r="O4803" t="s">
        <v>46570</v>
      </c>
      <c r="P4803">
        <v>0</v>
      </c>
      <c r="Q4803">
        <v>4</v>
      </c>
      <c r="R4803" t="s">
        <v>46572</v>
      </c>
      <c r="S4803" t="s">
        <v>46689</v>
      </c>
      <c r="T4803" t="s">
        <v>48217</v>
      </c>
      <c r="U4803" t="s">
        <v>52752</v>
      </c>
      <c r="W4803" t="s">
        <v>44339</v>
      </c>
      <c r="X4803" t="s">
        <v>46573</v>
      </c>
    </row>
    <row r="4804" spans="1:24">
      <c r="A4804">
        <f>HYPERLINK("https://www.philgeps.gov.ph/GEPSNONPILOT/Tender/SplashBidNoticeAbstractUI.aspx?menuIndex=3&amp;refID=7064477&amp;Result=3","7064477")</f>
        <v>0</v>
      </c>
      <c r="B4804" t="s">
        <v>1641</v>
      </c>
      <c r="C4804" t="s">
        <v>8124</v>
      </c>
      <c r="D4804" t="s">
        <v>18783</v>
      </c>
      <c r="E4804" t="s">
        <v>23197</v>
      </c>
      <c r="F4804" t="s">
        <v>32664</v>
      </c>
      <c r="G4804" t="s">
        <v>32672</v>
      </c>
      <c r="H4804" t="s">
        <v>12635</v>
      </c>
      <c r="I4804" t="s">
        <v>32685</v>
      </c>
      <c r="J4804" t="s">
        <v>34127</v>
      </c>
      <c r="K4804" t="s">
        <v>42281</v>
      </c>
      <c r="M4804" t="s">
        <v>44324</v>
      </c>
      <c r="N4804" t="s">
        <v>46569</v>
      </c>
      <c r="O4804" t="s">
        <v>46570</v>
      </c>
      <c r="P4804">
        <v>0</v>
      </c>
      <c r="Q4804">
        <v>0</v>
      </c>
      <c r="R4804" t="s">
        <v>46572</v>
      </c>
      <c r="S4804" t="s">
        <v>46689</v>
      </c>
      <c r="T4804" t="s">
        <v>48245</v>
      </c>
      <c r="U4804" t="s">
        <v>52648</v>
      </c>
      <c r="V4804" t="s">
        <v>62109</v>
      </c>
      <c r="W4804" t="s">
        <v>44324</v>
      </c>
      <c r="X4804" t="s">
        <v>46573</v>
      </c>
    </row>
    <row r="4805" spans="1:24">
      <c r="A4805">
        <f>HYPERLINK("https://www.philgeps.gov.ph/GEPSNONPILOT/Tender/SplashBidNoticeAbstractUI.aspx?menuIndex=3&amp;refID=7064461&amp;Result=3","7064461")</f>
        <v>0</v>
      </c>
      <c r="B4805" t="s">
        <v>1681</v>
      </c>
      <c r="C4805" t="s">
        <v>5720</v>
      </c>
      <c r="D4805" t="s">
        <v>18788</v>
      </c>
      <c r="E4805" t="s">
        <v>19044</v>
      </c>
      <c r="F4805" t="s">
        <v>32664</v>
      </c>
      <c r="G4805" t="s">
        <v>32672</v>
      </c>
      <c r="H4805" t="s">
        <v>12635</v>
      </c>
      <c r="I4805" t="s">
        <v>4439</v>
      </c>
      <c r="J4805" t="s">
        <v>35894</v>
      </c>
      <c r="K4805" t="s">
        <v>42297</v>
      </c>
      <c r="M4805" t="s">
        <v>44370</v>
      </c>
      <c r="N4805" t="s">
        <v>46569</v>
      </c>
      <c r="O4805" t="s">
        <v>46570</v>
      </c>
      <c r="P4805">
        <v>0</v>
      </c>
      <c r="Q4805">
        <v>0</v>
      </c>
      <c r="R4805" t="s">
        <v>46572</v>
      </c>
      <c r="S4805" t="s">
        <v>46689</v>
      </c>
      <c r="T4805" t="s">
        <v>48223</v>
      </c>
      <c r="U4805" t="s">
        <v>52753</v>
      </c>
      <c r="W4805" t="s">
        <v>44370</v>
      </c>
      <c r="X4805" t="s">
        <v>46573</v>
      </c>
    </row>
    <row r="4806" spans="1:24">
      <c r="A4806">
        <f>HYPERLINK("https://www.philgeps.gov.ph/GEPSNONPILOT/Tender/SplashBidNoticeAbstractUI.aspx?menuIndex=3&amp;refID=7064459&amp;Result=3","7064459")</f>
        <v>0</v>
      </c>
      <c r="B4806" t="s">
        <v>1682</v>
      </c>
      <c r="C4806" t="s">
        <v>8125</v>
      </c>
      <c r="D4806" t="s">
        <v>18784</v>
      </c>
      <c r="E4806" t="s">
        <v>23198</v>
      </c>
      <c r="F4806" t="s">
        <v>32664</v>
      </c>
      <c r="G4806" t="s">
        <v>32672</v>
      </c>
      <c r="H4806" t="s">
        <v>12635</v>
      </c>
      <c r="I4806" t="s">
        <v>6223</v>
      </c>
      <c r="J4806" t="s">
        <v>35895</v>
      </c>
      <c r="K4806" t="s">
        <v>42309</v>
      </c>
      <c r="M4806" t="s">
        <v>44371</v>
      </c>
      <c r="N4806" t="s">
        <v>46569</v>
      </c>
      <c r="O4806" t="s">
        <v>46570</v>
      </c>
      <c r="P4806">
        <v>0</v>
      </c>
      <c r="Q4806">
        <v>3</v>
      </c>
      <c r="R4806" t="s">
        <v>46572</v>
      </c>
      <c r="S4806" t="s">
        <v>46689</v>
      </c>
      <c r="T4806" t="s">
        <v>48225</v>
      </c>
      <c r="U4806" t="s">
        <v>52754</v>
      </c>
      <c r="V4806" t="s">
        <v>62110</v>
      </c>
      <c r="W4806" t="s">
        <v>44371</v>
      </c>
      <c r="X4806" t="s">
        <v>46573</v>
      </c>
    </row>
    <row r="4807" spans="1:24">
      <c r="A4807">
        <f>HYPERLINK("https://www.philgeps.gov.ph/GEPSNONPILOT/Tender/SplashBidNoticeAbstractUI.aspx?menuIndex=3&amp;refID=7064458&amp;Result=3","7064458")</f>
        <v>0</v>
      </c>
      <c r="B4807" t="s">
        <v>460</v>
      </c>
      <c r="C4807" t="s">
        <v>8126</v>
      </c>
      <c r="D4807" t="s">
        <v>18806</v>
      </c>
      <c r="E4807" t="s">
        <v>23199</v>
      </c>
      <c r="F4807" t="s">
        <v>32664</v>
      </c>
      <c r="G4807" t="s">
        <v>32672</v>
      </c>
      <c r="H4807" t="s">
        <v>12635</v>
      </c>
      <c r="I4807" t="s">
        <v>6168</v>
      </c>
      <c r="J4807" t="s">
        <v>35896</v>
      </c>
      <c r="K4807" t="s">
        <v>42330</v>
      </c>
      <c r="M4807" t="s">
        <v>44323</v>
      </c>
      <c r="N4807" t="s">
        <v>46569</v>
      </c>
      <c r="O4807" t="s">
        <v>46570</v>
      </c>
      <c r="P4807">
        <v>0</v>
      </c>
      <c r="Q4807">
        <v>1</v>
      </c>
      <c r="R4807" t="s">
        <v>46572</v>
      </c>
      <c r="S4807" t="s">
        <v>46689</v>
      </c>
      <c r="T4807" t="s">
        <v>48285</v>
      </c>
      <c r="U4807" t="s">
        <v>52755</v>
      </c>
      <c r="V4807" t="s">
        <v>61876</v>
      </c>
      <c r="W4807" t="s">
        <v>44323</v>
      </c>
      <c r="X4807" t="s">
        <v>46573</v>
      </c>
    </row>
    <row r="4808" spans="1:24">
      <c r="A4808">
        <f>HYPERLINK("https://www.philgeps.gov.ph/GEPSNONPILOT/Tender/SplashBidNoticeAbstractUI.aspx?menuIndex=3&amp;refID=7064439&amp;Result=3","7064439")</f>
        <v>0</v>
      </c>
      <c r="B4808" t="s">
        <v>1683</v>
      </c>
      <c r="C4808" t="s">
        <v>8127</v>
      </c>
      <c r="D4808" t="s">
        <v>18784</v>
      </c>
      <c r="E4808" t="s">
        <v>23200</v>
      </c>
      <c r="F4808" t="s">
        <v>32664</v>
      </c>
      <c r="G4808" t="s">
        <v>32672</v>
      </c>
      <c r="H4808" t="s">
        <v>32683</v>
      </c>
      <c r="I4808" t="s">
        <v>10627</v>
      </c>
      <c r="J4808" t="s">
        <v>35897</v>
      </c>
      <c r="K4808" t="s">
        <v>42290</v>
      </c>
      <c r="M4808" t="s">
        <v>44372</v>
      </c>
      <c r="N4808" t="s">
        <v>46569</v>
      </c>
      <c r="O4808" t="s">
        <v>46570</v>
      </c>
      <c r="P4808">
        <v>0</v>
      </c>
      <c r="Q4808">
        <v>2</v>
      </c>
      <c r="R4808" t="s">
        <v>46572</v>
      </c>
      <c r="S4808" t="s">
        <v>46689</v>
      </c>
      <c r="T4808" t="s">
        <v>48253</v>
      </c>
      <c r="U4808" t="s">
        <v>52756</v>
      </c>
      <c r="W4808" t="s">
        <v>44372</v>
      </c>
      <c r="X4808" t="s">
        <v>46573</v>
      </c>
    </row>
    <row r="4809" spans="1:24">
      <c r="A4809">
        <f>HYPERLINK("https://www.philgeps.gov.ph/GEPSNONPILOT/Tender/SplashBidNoticeAbstractUI.aspx?menuIndex=3&amp;refID=7064437&amp;Result=3","7064437")</f>
        <v>0</v>
      </c>
      <c r="B4809" t="s">
        <v>1656</v>
      </c>
      <c r="C4809" t="s">
        <v>8128</v>
      </c>
      <c r="D4809" t="s">
        <v>18805</v>
      </c>
      <c r="E4809" t="s">
        <v>20325</v>
      </c>
      <c r="F4809" t="s">
        <v>32664</v>
      </c>
      <c r="G4809" t="s">
        <v>32672</v>
      </c>
      <c r="H4809" t="s">
        <v>12635</v>
      </c>
      <c r="I4809" t="s">
        <v>6168</v>
      </c>
      <c r="J4809" t="s">
        <v>34824</v>
      </c>
      <c r="K4809" t="s">
        <v>42306</v>
      </c>
      <c r="M4809" t="s">
        <v>44341</v>
      </c>
      <c r="N4809" t="s">
        <v>46569</v>
      </c>
      <c r="O4809" t="s">
        <v>46570</v>
      </c>
      <c r="P4809">
        <v>0</v>
      </c>
      <c r="Q4809">
        <v>0</v>
      </c>
      <c r="R4809" t="s">
        <v>46572</v>
      </c>
      <c r="S4809" t="s">
        <v>46689</v>
      </c>
      <c r="T4809" t="s">
        <v>48527</v>
      </c>
      <c r="U4809" t="s">
        <v>52757</v>
      </c>
      <c r="W4809" t="s">
        <v>44341</v>
      </c>
      <c r="X4809" t="s">
        <v>46573</v>
      </c>
    </row>
    <row r="4810" spans="1:24">
      <c r="A4810">
        <f>HYPERLINK("https://www.philgeps.gov.ph/GEPSNONPILOT/Tender/SplashBidNoticeAbstractUI.aspx?menuIndex=3&amp;refID=7064436&amp;Result=3","7064436")</f>
        <v>0</v>
      </c>
      <c r="B4810" t="s">
        <v>1684</v>
      </c>
      <c r="C4810" t="s">
        <v>8129</v>
      </c>
      <c r="D4810" t="s">
        <v>18805</v>
      </c>
      <c r="E4810" t="s">
        <v>23201</v>
      </c>
      <c r="F4810" t="s">
        <v>32664</v>
      </c>
      <c r="G4810" t="s">
        <v>32671</v>
      </c>
      <c r="H4810" t="s">
        <v>12635</v>
      </c>
      <c r="I4810" t="s">
        <v>32689</v>
      </c>
      <c r="J4810" t="s">
        <v>35898</v>
      </c>
      <c r="K4810" t="s">
        <v>42284</v>
      </c>
      <c r="M4810" t="s">
        <v>44373</v>
      </c>
      <c r="N4810" t="s">
        <v>46569</v>
      </c>
      <c r="O4810" t="s">
        <v>46570</v>
      </c>
      <c r="P4810">
        <v>0</v>
      </c>
      <c r="Q4810">
        <v>0</v>
      </c>
      <c r="R4810" t="s">
        <v>46572</v>
      </c>
      <c r="S4810" t="s">
        <v>46689</v>
      </c>
      <c r="T4810" t="s">
        <v>48221</v>
      </c>
      <c r="U4810" t="s">
        <v>52758</v>
      </c>
      <c r="W4810" t="s">
        <v>44373</v>
      </c>
      <c r="X4810" t="s">
        <v>46573</v>
      </c>
    </row>
    <row r="4811" spans="1:24">
      <c r="A4811">
        <f>HYPERLINK("https://www.philgeps.gov.ph/GEPSNONPILOT/Tender/SplashBidNoticeAbstractUI.aspx?menuIndex=3&amp;refID=7064460&amp;Result=3","7064460")</f>
        <v>0</v>
      </c>
      <c r="B4811" t="s">
        <v>460</v>
      </c>
      <c r="C4811" t="s">
        <v>8130</v>
      </c>
      <c r="D4811" t="s">
        <v>18806</v>
      </c>
      <c r="E4811" t="s">
        <v>23202</v>
      </c>
      <c r="F4811" t="s">
        <v>32664</v>
      </c>
      <c r="G4811" t="s">
        <v>32672</v>
      </c>
      <c r="H4811" t="s">
        <v>12635</v>
      </c>
      <c r="I4811" t="s">
        <v>9486</v>
      </c>
      <c r="J4811" t="s">
        <v>35899</v>
      </c>
      <c r="K4811" t="s">
        <v>42330</v>
      </c>
      <c r="M4811" t="s">
        <v>44323</v>
      </c>
      <c r="N4811" t="s">
        <v>46569</v>
      </c>
      <c r="O4811" t="s">
        <v>46570</v>
      </c>
      <c r="P4811">
        <v>0</v>
      </c>
      <c r="Q4811">
        <v>1</v>
      </c>
      <c r="R4811" t="s">
        <v>46572</v>
      </c>
      <c r="S4811" t="s">
        <v>46689</v>
      </c>
      <c r="T4811" t="s">
        <v>48285</v>
      </c>
      <c r="U4811" t="s">
        <v>52759</v>
      </c>
      <c r="V4811" t="s">
        <v>61876</v>
      </c>
      <c r="W4811" t="s">
        <v>44323</v>
      </c>
      <c r="X4811" t="s">
        <v>46573</v>
      </c>
    </row>
    <row r="4812" spans="1:24">
      <c r="A4812">
        <f>HYPERLINK("https://www.philgeps.gov.ph/GEPSNONPILOT/Tender/SplashBidNoticeAbstractUI.aspx?menuIndex=3&amp;refID=7064454&amp;Result=3","7064454")</f>
        <v>0</v>
      </c>
      <c r="B4812" t="s">
        <v>1645</v>
      </c>
      <c r="C4812" t="s">
        <v>8131</v>
      </c>
      <c r="E4812" t="s">
        <v>23107</v>
      </c>
      <c r="F4812" t="s">
        <v>32664</v>
      </c>
      <c r="G4812" t="s">
        <v>32672</v>
      </c>
      <c r="H4812" t="s">
        <v>32683</v>
      </c>
      <c r="I4812" t="s">
        <v>32758</v>
      </c>
      <c r="J4812" t="s">
        <v>33051</v>
      </c>
      <c r="K4812" t="s">
        <v>42289</v>
      </c>
      <c r="M4812" t="s">
        <v>44329</v>
      </c>
      <c r="N4812" t="s">
        <v>46569</v>
      </c>
      <c r="O4812" t="s">
        <v>46570</v>
      </c>
      <c r="P4812">
        <v>0</v>
      </c>
      <c r="Q4812">
        <v>0</v>
      </c>
      <c r="R4812" t="s">
        <v>46572</v>
      </c>
      <c r="S4812" t="s">
        <v>46689</v>
      </c>
      <c r="T4812" t="s">
        <v>48268</v>
      </c>
      <c r="U4812" t="s">
        <v>52658</v>
      </c>
      <c r="W4812" t="s">
        <v>44329</v>
      </c>
      <c r="X4812" t="s">
        <v>46573</v>
      </c>
    </row>
    <row r="4813" spans="1:24">
      <c r="A4813">
        <f>HYPERLINK("https://www.philgeps.gov.ph/GEPSNONPILOT/Tender/SplashBidNoticeAbstractUI.aspx?menuIndex=3&amp;refID=7064434&amp;Result=3","7064434")</f>
        <v>0</v>
      </c>
      <c r="B4813" t="s">
        <v>1685</v>
      </c>
      <c r="C4813" t="s">
        <v>8132</v>
      </c>
      <c r="D4813" t="s">
        <v>18805</v>
      </c>
      <c r="E4813" t="s">
        <v>23203</v>
      </c>
      <c r="F4813" t="s">
        <v>32664</v>
      </c>
      <c r="G4813" t="s">
        <v>32672</v>
      </c>
      <c r="H4813" t="s">
        <v>32683</v>
      </c>
      <c r="I4813" t="s">
        <v>10627</v>
      </c>
      <c r="J4813" t="s">
        <v>35900</v>
      </c>
      <c r="K4813" t="s">
        <v>42290</v>
      </c>
      <c r="M4813" t="s">
        <v>44374</v>
      </c>
      <c r="N4813" t="s">
        <v>46569</v>
      </c>
      <c r="O4813" t="s">
        <v>46570</v>
      </c>
      <c r="P4813">
        <v>0</v>
      </c>
      <c r="Q4813">
        <v>0</v>
      </c>
      <c r="R4813" t="s">
        <v>46572</v>
      </c>
      <c r="S4813" t="s">
        <v>46689</v>
      </c>
      <c r="T4813" t="s">
        <v>48530</v>
      </c>
      <c r="U4813" t="s">
        <v>52760</v>
      </c>
      <c r="V4813" t="s">
        <v>62111</v>
      </c>
      <c r="W4813" t="s">
        <v>63526</v>
      </c>
      <c r="X4813" t="s">
        <v>46573</v>
      </c>
    </row>
    <row r="4814" spans="1:24">
      <c r="A4814">
        <f>HYPERLINK("https://www.philgeps.gov.ph/GEPSNONPILOT/Tender/SplashBidNoticeAbstractUI.aspx?menuIndex=3&amp;refID=7064481&amp;Result=3","7064481")</f>
        <v>0</v>
      </c>
      <c r="B4814" t="s">
        <v>1661</v>
      </c>
      <c r="C4814" t="s">
        <v>8133</v>
      </c>
      <c r="D4814" t="s">
        <v>18805</v>
      </c>
      <c r="E4814" t="s">
        <v>23204</v>
      </c>
      <c r="F4814" t="s">
        <v>32664</v>
      </c>
      <c r="G4814" t="s">
        <v>32671</v>
      </c>
      <c r="H4814" t="s">
        <v>12635</v>
      </c>
      <c r="I4814" t="s">
        <v>32716</v>
      </c>
      <c r="J4814" t="s">
        <v>35901</v>
      </c>
      <c r="K4814" t="s">
        <v>42306</v>
      </c>
      <c r="M4814" t="s">
        <v>44346</v>
      </c>
      <c r="N4814" t="s">
        <v>46569</v>
      </c>
      <c r="O4814" t="s">
        <v>46570</v>
      </c>
      <c r="P4814">
        <v>0</v>
      </c>
      <c r="Q4814">
        <v>0</v>
      </c>
      <c r="R4814" t="s">
        <v>46572</v>
      </c>
      <c r="S4814" t="s">
        <v>46689</v>
      </c>
      <c r="T4814" t="s">
        <v>48217</v>
      </c>
      <c r="U4814" t="s">
        <v>52761</v>
      </c>
      <c r="W4814" t="s">
        <v>44346</v>
      </c>
      <c r="X4814" t="s">
        <v>46573</v>
      </c>
    </row>
    <row r="4815" spans="1:24">
      <c r="A4815">
        <f>HYPERLINK("https://www.philgeps.gov.ph/GEPSNONPILOT/Tender/SplashBidNoticeAbstractUI.aspx?menuIndex=3&amp;refID=7064431&amp;Result=3","7064431")</f>
        <v>0</v>
      </c>
      <c r="B4815" t="s">
        <v>1663</v>
      </c>
      <c r="C4815" t="s">
        <v>8134</v>
      </c>
      <c r="D4815" t="s">
        <v>18834</v>
      </c>
      <c r="E4815" t="s">
        <v>23205</v>
      </c>
      <c r="F4815" t="s">
        <v>32664</v>
      </c>
      <c r="G4815" t="s">
        <v>32672</v>
      </c>
      <c r="H4815" t="s">
        <v>12635</v>
      </c>
      <c r="I4815" t="s">
        <v>32724</v>
      </c>
      <c r="J4815" t="s">
        <v>35902</v>
      </c>
      <c r="K4815" t="s">
        <v>42281</v>
      </c>
      <c r="M4815" t="s">
        <v>44349</v>
      </c>
      <c r="N4815" t="s">
        <v>46569</v>
      </c>
      <c r="O4815" t="s">
        <v>46570</v>
      </c>
      <c r="P4815">
        <v>0</v>
      </c>
      <c r="Q4815">
        <v>4</v>
      </c>
      <c r="R4815" t="s">
        <v>46572</v>
      </c>
      <c r="S4815" t="s">
        <v>46689</v>
      </c>
      <c r="T4815" t="s">
        <v>48326</v>
      </c>
      <c r="U4815" t="s">
        <v>52762</v>
      </c>
      <c r="W4815" t="s">
        <v>44349</v>
      </c>
      <c r="X4815" t="s">
        <v>46573</v>
      </c>
    </row>
    <row r="4816" spans="1:24">
      <c r="A4816">
        <f>HYPERLINK("https://www.philgeps.gov.ph/GEPSNONPILOT/Tender/SplashBidNoticeAbstractUI.aspx?menuIndex=3&amp;refID=7064430&amp;Result=3","7064430")</f>
        <v>0</v>
      </c>
      <c r="B4816" t="s">
        <v>1686</v>
      </c>
      <c r="C4816" t="s">
        <v>8135</v>
      </c>
      <c r="D4816" t="s">
        <v>18784</v>
      </c>
      <c r="E4816" t="s">
        <v>19380</v>
      </c>
      <c r="F4816" t="s">
        <v>32664</v>
      </c>
      <c r="G4816" t="s">
        <v>32671</v>
      </c>
      <c r="H4816" t="s">
        <v>12635</v>
      </c>
      <c r="I4816" t="s">
        <v>6553</v>
      </c>
      <c r="J4816" t="s">
        <v>32853</v>
      </c>
      <c r="K4816" t="s">
        <v>42283</v>
      </c>
      <c r="M4816" t="s">
        <v>44375</v>
      </c>
      <c r="N4816" t="s">
        <v>46569</v>
      </c>
      <c r="O4816" t="s">
        <v>46570</v>
      </c>
      <c r="P4816">
        <v>0</v>
      </c>
      <c r="Q4816">
        <v>2</v>
      </c>
      <c r="R4816" t="s">
        <v>46572</v>
      </c>
      <c r="S4816" t="s">
        <v>46689</v>
      </c>
      <c r="T4816" t="s">
        <v>48249</v>
      </c>
      <c r="U4816" t="s">
        <v>52763</v>
      </c>
      <c r="W4816" t="s">
        <v>44375</v>
      </c>
      <c r="X4816" t="s">
        <v>46573</v>
      </c>
    </row>
    <row r="4817" spans="1:24">
      <c r="A4817">
        <f>HYPERLINK("https://www.philgeps.gov.ph/GEPSNONPILOT/Tender/SplashBidNoticeAbstractUI.aspx?menuIndex=3&amp;refID=7064426&amp;Result=3","7064426")</f>
        <v>0</v>
      </c>
      <c r="B4817" t="s">
        <v>460</v>
      </c>
      <c r="C4817" t="s">
        <v>8136</v>
      </c>
      <c r="D4817" t="s">
        <v>18806</v>
      </c>
      <c r="E4817" t="s">
        <v>23206</v>
      </c>
      <c r="F4817" t="s">
        <v>32664</v>
      </c>
      <c r="G4817" t="s">
        <v>32672</v>
      </c>
      <c r="H4817" t="s">
        <v>12635</v>
      </c>
      <c r="I4817" t="s">
        <v>8797</v>
      </c>
      <c r="J4817" t="s">
        <v>35903</v>
      </c>
      <c r="K4817" t="s">
        <v>42330</v>
      </c>
      <c r="M4817" t="s">
        <v>44323</v>
      </c>
      <c r="N4817" t="s">
        <v>46569</v>
      </c>
      <c r="O4817" t="s">
        <v>46570</v>
      </c>
      <c r="P4817">
        <v>0</v>
      </c>
      <c r="Q4817">
        <v>1</v>
      </c>
      <c r="R4817" t="s">
        <v>46572</v>
      </c>
      <c r="S4817" t="s">
        <v>46689</v>
      </c>
      <c r="T4817" t="s">
        <v>48285</v>
      </c>
      <c r="U4817" t="s">
        <v>52764</v>
      </c>
      <c r="V4817" t="s">
        <v>61876</v>
      </c>
      <c r="W4817" t="s">
        <v>44323</v>
      </c>
      <c r="X4817" t="s">
        <v>46573</v>
      </c>
    </row>
    <row r="4818" spans="1:24">
      <c r="A4818">
        <f>HYPERLINK("https://www.philgeps.gov.ph/GEPSNONPILOT/Tender/SplashBidNoticeAbstractUI.aspx?menuIndex=3&amp;refID=7064398&amp;Result=3","7064398")</f>
        <v>0</v>
      </c>
      <c r="B4818" t="s">
        <v>964</v>
      </c>
      <c r="C4818" t="s">
        <v>8137</v>
      </c>
      <c r="D4818" t="s">
        <v>18786</v>
      </c>
      <c r="E4818" t="s">
        <v>23207</v>
      </c>
      <c r="F4818" t="s">
        <v>32664</v>
      </c>
      <c r="G4818" t="s">
        <v>32672</v>
      </c>
      <c r="H4818" t="s">
        <v>12635</v>
      </c>
      <c r="I4818" t="s">
        <v>32686</v>
      </c>
      <c r="J4818" t="s">
        <v>35702</v>
      </c>
      <c r="K4818" t="s">
        <v>42289</v>
      </c>
      <c r="M4818" t="s">
        <v>43572</v>
      </c>
      <c r="N4818" t="s">
        <v>46569</v>
      </c>
      <c r="O4818" t="s">
        <v>46570</v>
      </c>
      <c r="P4818">
        <v>0</v>
      </c>
      <c r="Q4818">
        <v>2</v>
      </c>
      <c r="R4818" t="s">
        <v>46572</v>
      </c>
      <c r="S4818" t="s">
        <v>46689</v>
      </c>
      <c r="T4818" t="s">
        <v>48285</v>
      </c>
      <c r="U4818" t="s">
        <v>52765</v>
      </c>
      <c r="W4818" t="s">
        <v>63499</v>
      </c>
      <c r="X4818" t="s">
        <v>46573</v>
      </c>
    </row>
    <row r="4819" spans="1:24">
      <c r="A4819">
        <f>HYPERLINK("https://www.philgeps.gov.ph/GEPSNONPILOT/Tender/SplashBidNoticeAbstractUI.aspx?menuIndex=3&amp;refID=7064397&amp;Result=3","7064397")</f>
        <v>0</v>
      </c>
      <c r="B4819" t="s">
        <v>1094</v>
      </c>
      <c r="C4819" t="s">
        <v>8138</v>
      </c>
      <c r="D4819" t="s">
        <v>18822</v>
      </c>
      <c r="E4819" t="s">
        <v>23208</v>
      </c>
      <c r="F4819" t="s">
        <v>32664</v>
      </c>
      <c r="G4819" t="s">
        <v>32672</v>
      </c>
      <c r="H4819" t="s">
        <v>12635</v>
      </c>
      <c r="I4819" t="s">
        <v>32685</v>
      </c>
      <c r="J4819" t="s">
        <v>35904</v>
      </c>
      <c r="K4819" t="s">
        <v>42284</v>
      </c>
      <c r="M4819" t="s">
        <v>43722</v>
      </c>
      <c r="N4819" t="s">
        <v>46569</v>
      </c>
      <c r="O4819" t="s">
        <v>46570</v>
      </c>
      <c r="P4819">
        <v>0</v>
      </c>
      <c r="Q4819">
        <v>1</v>
      </c>
      <c r="R4819" t="s">
        <v>46572</v>
      </c>
      <c r="S4819" t="s">
        <v>46689</v>
      </c>
      <c r="T4819" t="s">
        <v>48312</v>
      </c>
      <c r="U4819" t="s">
        <v>52766</v>
      </c>
      <c r="W4819" t="s">
        <v>43722</v>
      </c>
      <c r="X4819" t="s">
        <v>46573</v>
      </c>
    </row>
    <row r="4820" spans="1:24">
      <c r="A4820">
        <f>HYPERLINK("https://www.philgeps.gov.ph/GEPSNONPILOT/Tender/SplashBidNoticeAbstractUI.aspx?menuIndex=3&amp;refID=7064432&amp;Result=3","7064432")</f>
        <v>0</v>
      </c>
      <c r="B4820" t="s">
        <v>460</v>
      </c>
      <c r="C4820" t="s">
        <v>8139</v>
      </c>
      <c r="D4820" t="s">
        <v>18806</v>
      </c>
      <c r="E4820" t="s">
        <v>23209</v>
      </c>
      <c r="F4820" t="s">
        <v>32664</v>
      </c>
      <c r="G4820" t="s">
        <v>32672</v>
      </c>
      <c r="H4820" t="s">
        <v>12635</v>
      </c>
      <c r="I4820" t="s">
        <v>32704</v>
      </c>
      <c r="J4820" t="s">
        <v>35905</v>
      </c>
      <c r="K4820" t="s">
        <v>42330</v>
      </c>
      <c r="M4820" t="s">
        <v>44323</v>
      </c>
      <c r="N4820" t="s">
        <v>46569</v>
      </c>
      <c r="O4820" t="s">
        <v>46570</v>
      </c>
      <c r="P4820">
        <v>0</v>
      </c>
      <c r="Q4820">
        <v>2</v>
      </c>
      <c r="R4820" t="s">
        <v>46572</v>
      </c>
      <c r="S4820" t="s">
        <v>46689</v>
      </c>
      <c r="T4820" t="s">
        <v>48285</v>
      </c>
      <c r="U4820" t="s">
        <v>52767</v>
      </c>
      <c r="V4820" t="s">
        <v>61876</v>
      </c>
      <c r="W4820" t="s">
        <v>44323</v>
      </c>
      <c r="X4820" t="s">
        <v>46573</v>
      </c>
    </row>
    <row r="4821" spans="1:24">
      <c r="A4821">
        <f>HYPERLINK("https://www.philgeps.gov.ph/GEPSNONPILOT/Tender/SplashBidNoticeAbstractUI.aspx?menuIndex=3&amp;refID=7064380&amp;Result=3","7064380")</f>
        <v>0</v>
      </c>
      <c r="B4821" t="s">
        <v>1647</v>
      </c>
      <c r="C4821" t="s">
        <v>8140</v>
      </c>
      <c r="D4821" t="s">
        <v>18782</v>
      </c>
      <c r="E4821" t="s">
        <v>19681</v>
      </c>
      <c r="F4821" t="s">
        <v>32664</v>
      </c>
      <c r="G4821" t="s">
        <v>32671</v>
      </c>
      <c r="H4821" t="s">
        <v>12635</v>
      </c>
      <c r="I4821" t="s">
        <v>6628</v>
      </c>
      <c r="J4821" t="s">
        <v>35906</v>
      </c>
      <c r="K4821" t="s">
        <v>42289</v>
      </c>
      <c r="M4821" t="s">
        <v>44331</v>
      </c>
      <c r="N4821" t="s">
        <v>46569</v>
      </c>
      <c r="O4821" t="s">
        <v>46570</v>
      </c>
      <c r="P4821">
        <v>0</v>
      </c>
      <c r="Q4821">
        <v>0</v>
      </c>
      <c r="R4821" t="s">
        <v>46572</v>
      </c>
      <c r="S4821" t="s">
        <v>46689</v>
      </c>
      <c r="T4821" t="s">
        <v>48219</v>
      </c>
      <c r="U4821" t="s">
        <v>52768</v>
      </c>
      <c r="W4821" t="s">
        <v>44331</v>
      </c>
      <c r="X4821" t="s">
        <v>46573</v>
      </c>
    </row>
    <row r="4822" spans="1:24">
      <c r="A4822">
        <f>HYPERLINK("https://www.philgeps.gov.ph/GEPSNONPILOT/Tender/SplashBidNoticeAbstractUI.aspx?menuIndex=3&amp;refID=7064429&amp;Result=3","7064429")</f>
        <v>0</v>
      </c>
      <c r="B4822" t="s">
        <v>945</v>
      </c>
      <c r="C4822" t="s">
        <v>8141</v>
      </c>
      <c r="D4822" t="s">
        <v>18837</v>
      </c>
      <c r="E4822" t="s">
        <v>8141</v>
      </c>
      <c r="F4822" t="s">
        <v>32664</v>
      </c>
      <c r="G4822" t="s">
        <v>32672</v>
      </c>
      <c r="H4822" t="s">
        <v>32683</v>
      </c>
      <c r="I4822" t="s">
        <v>10627</v>
      </c>
      <c r="J4822" t="s">
        <v>35907</v>
      </c>
      <c r="K4822" t="s">
        <v>42303</v>
      </c>
      <c r="M4822" t="s">
        <v>43551</v>
      </c>
      <c r="N4822" t="s">
        <v>46569</v>
      </c>
      <c r="O4822" t="s">
        <v>46570</v>
      </c>
      <c r="P4822">
        <v>0</v>
      </c>
      <c r="Q4822">
        <v>0</v>
      </c>
      <c r="R4822" t="s">
        <v>46572</v>
      </c>
      <c r="S4822" t="s">
        <v>46689</v>
      </c>
      <c r="T4822" t="s">
        <v>48212</v>
      </c>
      <c r="U4822" t="s">
        <v>52769</v>
      </c>
      <c r="W4822" t="s">
        <v>43551</v>
      </c>
      <c r="X4822" t="s">
        <v>46573</v>
      </c>
    </row>
    <row r="4823" spans="1:24">
      <c r="A4823">
        <f>HYPERLINK("https://www.philgeps.gov.ph/GEPSNONPILOT/Tender/SplashBidNoticeAbstractUI.aspx?menuIndex=3&amp;refID=7064435&amp;Result=3","7064435")</f>
        <v>0</v>
      </c>
      <c r="B4823" t="s">
        <v>145</v>
      </c>
      <c r="C4823" t="s">
        <v>8142</v>
      </c>
      <c r="E4823" t="s">
        <v>23210</v>
      </c>
      <c r="F4823" t="s">
        <v>32664</v>
      </c>
      <c r="G4823" t="s">
        <v>32673</v>
      </c>
      <c r="H4823" t="s">
        <v>12635</v>
      </c>
      <c r="I4823" t="s">
        <v>5460</v>
      </c>
      <c r="J4823" t="s">
        <v>35908</v>
      </c>
      <c r="K4823" t="s">
        <v>42283</v>
      </c>
      <c r="M4823" t="s">
        <v>44376</v>
      </c>
      <c r="N4823" t="s">
        <v>46569</v>
      </c>
      <c r="O4823" t="s">
        <v>46570</v>
      </c>
      <c r="P4823">
        <v>0</v>
      </c>
      <c r="Q4823">
        <v>4</v>
      </c>
      <c r="R4823" t="s">
        <v>46572</v>
      </c>
      <c r="S4823" t="s">
        <v>46689</v>
      </c>
      <c r="T4823" t="s">
        <v>48270</v>
      </c>
      <c r="U4823" t="s">
        <v>52770</v>
      </c>
      <c r="V4823" t="s">
        <v>62112</v>
      </c>
      <c r="W4823" t="s">
        <v>44376</v>
      </c>
      <c r="X4823" t="s">
        <v>46573</v>
      </c>
    </row>
    <row r="4824" spans="1:24">
      <c r="A4824">
        <f>HYPERLINK("https://www.philgeps.gov.ph/GEPSNONPILOT/Tender/SplashBidNoticeAbstractUI.aspx?menuIndex=3&amp;refID=7064478&amp;Result=3","7064478")</f>
        <v>0</v>
      </c>
      <c r="B4824" t="s">
        <v>352</v>
      </c>
      <c r="C4824" t="s">
        <v>8143</v>
      </c>
      <c r="E4824" t="s">
        <v>23211</v>
      </c>
      <c r="F4824" t="s">
        <v>32664</v>
      </c>
      <c r="G4824" t="s">
        <v>32671</v>
      </c>
      <c r="H4824" t="s">
        <v>12635</v>
      </c>
      <c r="I4824" t="s">
        <v>6168</v>
      </c>
      <c r="J4824" t="s">
        <v>35909</v>
      </c>
      <c r="K4824" t="s">
        <v>42283</v>
      </c>
      <c r="M4824" t="s">
        <v>44334</v>
      </c>
      <c r="N4824" t="s">
        <v>46569</v>
      </c>
      <c r="O4824" t="s">
        <v>46570</v>
      </c>
      <c r="P4824">
        <v>0</v>
      </c>
      <c r="Q4824">
        <v>2</v>
      </c>
      <c r="R4824" t="s">
        <v>46572</v>
      </c>
      <c r="S4824" t="s">
        <v>46689</v>
      </c>
      <c r="T4824" t="s">
        <v>48256</v>
      </c>
      <c r="U4824" t="s">
        <v>52771</v>
      </c>
      <c r="V4824" t="s">
        <v>61800</v>
      </c>
      <c r="W4824" t="s">
        <v>44334</v>
      </c>
      <c r="X4824" t="s">
        <v>46573</v>
      </c>
    </row>
    <row r="4825" spans="1:24">
      <c r="A4825">
        <f>HYPERLINK("https://www.philgeps.gov.ph/GEPSNONPILOT/Tender/SplashBidNoticeAbstractUI.aspx?menuIndex=3&amp;refID=7064372&amp;Result=3","7064372")</f>
        <v>0</v>
      </c>
      <c r="B4825" t="s">
        <v>1663</v>
      </c>
      <c r="C4825" t="s">
        <v>8144</v>
      </c>
      <c r="D4825" t="s">
        <v>18834</v>
      </c>
      <c r="E4825" t="s">
        <v>23212</v>
      </c>
      <c r="F4825" t="s">
        <v>32664</v>
      </c>
      <c r="G4825" t="s">
        <v>32672</v>
      </c>
      <c r="H4825" t="s">
        <v>12635</v>
      </c>
      <c r="I4825" t="s">
        <v>32716</v>
      </c>
      <c r="J4825" t="s">
        <v>35910</v>
      </c>
      <c r="K4825" t="s">
        <v>42298</v>
      </c>
      <c r="M4825" t="s">
        <v>44349</v>
      </c>
      <c r="N4825" t="s">
        <v>46569</v>
      </c>
      <c r="O4825" t="s">
        <v>46570</v>
      </c>
      <c r="P4825">
        <v>0</v>
      </c>
      <c r="Q4825">
        <v>3</v>
      </c>
      <c r="R4825" t="s">
        <v>46572</v>
      </c>
      <c r="S4825" t="s">
        <v>46689</v>
      </c>
      <c r="T4825" t="s">
        <v>48326</v>
      </c>
      <c r="U4825" t="s">
        <v>52772</v>
      </c>
      <c r="W4825" t="s">
        <v>44349</v>
      </c>
      <c r="X4825" t="s">
        <v>46573</v>
      </c>
    </row>
    <row r="4826" spans="1:24">
      <c r="A4826">
        <f>HYPERLINK("https://www.philgeps.gov.ph/GEPSNONPILOT/Tender/SplashBidNoticeAbstractUI.aspx?menuIndex=3&amp;refID=7064369&amp;Result=3","7064369")</f>
        <v>0</v>
      </c>
      <c r="B4826" t="s">
        <v>1628</v>
      </c>
      <c r="C4826" t="s">
        <v>8145</v>
      </c>
      <c r="D4826" t="s">
        <v>18818</v>
      </c>
      <c r="E4826" t="s">
        <v>23213</v>
      </c>
      <c r="F4826" t="s">
        <v>32664</v>
      </c>
      <c r="G4826" t="s">
        <v>32671</v>
      </c>
      <c r="H4826" t="s">
        <v>12635</v>
      </c>
      <c r="I4826" t="s">
        <v>32694</v>
      </c>
      <c r="J4826" t="s">
        <v>35911</v>
      </c>
      <c r="K4826" t="s">
        <v>42283</v>
      </c>
      <c r="M4826" t="s">
        <v>44310</v>
      </c>
      <c r="N4826" t="s">
        <v>46569</v>
      </c>
      <c r="O4826" t="s">
        <v>46570</v>
      </c>
      <c r="P4826">
        <v>0</v>
      </c>
      <c r="Q4826">
        <v>0</v>
      </c>
      <c r="R4826" t="s">
        <v>46572</v>
      </c>
      <c r="S4826" t="s">
        <v>46689</v>
      </c>
      <c r="T4826" t="s">
        <v>48244</v>
      </c>
      <c r="U4826" t="s">
        <v>52607</v>
      </c>
      <c r="W4826" t="s">
        <v>44310</v>
      </c>
      <c r="X4826" t="s">
        <v>46573</v>
      </c>
    </row>
    <row r="4827" spans="1:24">
      <c r="A4827">
        <f>HYPERLINK("https://www.philgeps.gov.ph/GEPSNONPILOT/Tender/SplashBidNoticeAbstractUI.aspx?menuIndex=3&amp;refID=7064377&amp;Result=3","7064377")</f>
        <v>0</v>
      </c>
      <c r="B4827" t="s">
        <v>945</v>
      </c>
      <c r="C4827" t="s">
        <v>8146</v>
      </c>
      <c r="D4827" t="s">
        <v>18837</v>
      </c>
      <c r="E4827" t="s">
        <v>23214</v>
      </c>
      <c r="F4827" t="s">
        <v>32664</v>
      </c>
      <c r="G4827" t="s">
        <v>32672</v>
      </c>
      <c r="H4827" t="s">
        <v>32683</v>
      </c>
      <c r="I4827" t="s">
        <v>10627</v>
      </c>
      <c r="J4827" t="s">
        <v>35912</v>
      </c>
      <c r="K4827" t="s">
        <v>42289</v>
      </c>
      <c r="M4827" t="s">
        <v>43551</v>
      </c>
      <c r="N4827" t="s">
        <v>46569</v>
      </c>
      <c r="O4827" t="s">
        <v>46570</v>
      </c>
      <c r="P4827">
        <v>0</v>
      </c>
      <c r="Q4827">
        <v>0</v>
      </c>
      <c r="R4827" t="s">
        <v>46572</v>
      </c>
      <c r="S4827" t="s">
        <v>46689</v>
      </c>
      <c r="T4827" t="s">
        <v>48212</v>
      </c>
      <c r="U4827" t="s">
        <v>52773</v>
      </c>
      <c r="W4827" t="s">
        <v>43551</v>
      </c>
      <c r="X4827" t="s">
        <v>46573</v>
      </c>
    </row>
    <row r="4828" spans="1:24">
      <c r="A4828">
        <f>HYPERLINK("https://www.philgeps.gov.ph/GEPSNONPILOT/Tender/SplashBidNoticeAbstractUI.aspx?menuIndex=3&amp;refID=7064362&amp;Result=3","7064362")</f>
        <v>0</v>
      </c>
      <c r="B4828" t="s">
        <v>1687</v>
      </c>
      <c r="C4828" t="s">
        <v>8147</v>
      </c>
      <c r="E4828" t="s">
        <v>23215</v>
      </c>
      <c r="F4828" t="s">
        <v>32664</v>
      </c>
      <c r="G4828" t="s">
        <v>32671</v>
      </c>
      <c r="H4828" t="s">
        <v>32683</v>
      </c>
      <c r="I4828" t="s">
        <v>32785</v>
      </c>
      <c r="J4828" t="s">
        <v>32853</v>
      </c>
      <c r="K4828" t="s">
        <v>42283</v>
      </c>
      <c r="M4828" t="s">
        <v>44377</v>
      </c>
      <c r="N4828" t="s">
        <v>46569</v>
      </c>
      <c r="O4828" t="s">
        <v>46570</v>
      </c>
      <c r="P4828">
        <v>0</v>
      </c>
      <c r="Q4828">
        <v>2</v>
      </c>
      <c r="R4828" t="s">
        <v>46572</v>
      </c>
      <c r="S4828" t="s">
        <v>46689</v>
      </c>
      <c r="T4828" t="s">
        <v>48221</v>
      </c>
      <c r="U4828" t="s">
        <v>52774</v>
      </c>
      <c r="W4828" t="s">
        <v>44377</v>
      </c>
      <c r="X4828" t="s">
        <v>46573</v>
      </c>
    </row>
    <row r="4829" spans="1:24">
      <c r="A4829">
        <f>HYPERLINK("https://www.philgeps.gov.ph/GEPSNONPILOT/Tender/SplashBidNoticeAbstractUI.aspx?menuIndex=3&amp;refID=7064342&amp;Result=3","7064342")</f>
        <v>0</v>
      </c>
      <c r="B4829" t="s">
        <v>212</v>
      </c>
      <c r="C4829" t="s">
        <v>8148</v>
      </c>
      <c r="D4829" t="s">
        <v>18844</v>
      </c>
      <c r="E4829" t="s">
        <v>23216</v>
      </c>
      <c r="F4829" t="s">
        <v>32664</v>
      </c>
      <c r="G4829" t="s">
        <v>32672</v>
      </c>
      <c r="H4829" t="s">
        <v>12635</v>
      </c>
      <c r="I4829" t="s">
        <v>5589</v>
      </c>
      <c r="J4829" t="s">
        <v>34797</v>
      </c>
      <c r="K4829" t="s">
        <v>42289</v>
      </c>
      <c r="M4829" t="s">
        <v>42776</v>
      </c>
      <c r="N4829" t="s">
        <v>46569</v>
      </c>
      <c r="O4829" t="s">
        <v>46570</v>
      </c>
      <c r="P4829">
        <v>0</v>
      </c>
      <c r="Q4829">
        <v>0</v>
      </c>
      <c r="R4829" t="s">
        <v>46572</v>
      </c>
      <c r="S4829" t="s">
        <v>46689</v>
      </c>
      <c r="T4829" t="s">
        <v>48506</v>
      </c>
      <c r="U4829" t="s">
        <v>52775</v>
      </c>
      <c r="V4829" t="s">
        <v>61668</v>
      </c>
      <c r="W4829" t="s">
        <v>42776</v>
      </c>
      <c r="X4829" t="s">
        <v>46573</v>
      </c>
    </row>
    <row r="4830" spans="1:24">
      <c r="A4830">
        <f>HYPERLINK("https://www.philgeps.gov.ph/GEPSNONPILOT/Tender/SplashBidNoticeAbstractUI.aspx?menuIndex=3&amp;refID=7064375&amp;Result=3","7064375")</f>
        <v>0</v>
      </c>
      <c r="B4830" t="s">
        <v>1688</v>
      </c>
      <c r="C4830" t="s">
        <v>8149</v>
      </c>
      <c r="D4830" t="s">
        <v>18838</v>
      </c>
      <c r="E4830" t="s">
        <v>23217</v>
      </c>
      <c r="F4830" t="s">
        <v>32664</v>
      </c>
      <c r="G4830" t="s">
        <v>32671</v>
      </c>
      <c r="H4830" t="s">
        <v>32683</v>
      </c>
      <c r="I4830" t="s">
        <v>32737</v>
      </c>
      <c r="J4830" t="s">
        <v>32853</v>
      </c>
      <c r="K4830" t="s">
        <v>42281</v>
      </c>
      <c r="M4830" t="s">
        <v>44378</v>
      </c>
      <c r="N4830" t="s">
        <v>46569</v>
      </c>
      <c r="O4830" t="s">
        <v>46570</v>
      </c>
      <c r="P4830">
        <v>0</v>
      </c>
      <c r="Q4830">
        <v>3</v>
      </c>
      <c r="R4830" t="s">
        <v>46572</v>
      </c>
      <c r="S4830" t="s">
        <v>46689</v>
      </c>
      <c r="T4830" t="s">
        <v>48305</v>
      </c>
      <c r="U4830" t="s">
        <v>52776</v>
      </c>
      <c r="W4830" t="s">
        <v>44378</v>
      </c>
      <c r="X4830" t="s">
        <v>46573</v>
      </c>
    </row>
    <row r="4831" spans="1:24">
      <c r="A4831">
        <f>HYPERLINK("https://www.philgeps.gov.ph/GEPSNONPILOT/Tender/SplashBidNoticeAbstractUI.aspx?menuIndex=3&amp;refID=7064340&amp;Result=3","7064340")</f>
        <v>0</v>
      </c>
      <c r="B4831" t="s">
        <v>1620</v>
      </c>
      <c r="C4831" t="s">
        <v>8150</v>
      </c>
      <c r="D4831" t="s">
        <v>18784</v>
      </c>
      <c r="E4831" t="s">
        <v>23218</v>
      </c>
      <c r="F4831" t="s">
        <v>32664</v>
      </c>
      <c r="G4831" t="s">
        <v>32672</v>
      </c>
      <c r="H4831" t="s">
        <v>32683</v>
      </c>
      <c r="I4831" t="s">
        <v>10627</v>
      </c>
      <c r="J4831" t="s">
        <v>35913</v>
      </c>
      <c r="K4831" t="s">
        <v>42397</v>
      </c>
      <c r="M4831" t="s">
        <v>44300</v>
      </c>
      <c r="N4831" t="s">
        <v>46569</v>
      </c>
      <c r="O4831" t="s">
        <v>46570</v>
      </c>
      <c r="P4831">
        <v>0</v>
      </c>
      <c r="Q4831">
        <v>7</v>
      </c>
      <c r="R4831" t="s">
        <v>46572</v>
      </c>
      <c r="S4831" t="s">
        <v>46689</v>
      </c>
      <c r="T4831" t="s">
        <v>48222</v>
      </c>
      <c r="U4831" t="s">
        <v>52777</v>
      </c>
      <c r="W4831" t="s">
        <v>44300</v>
      </c>
      <c r="X4831" t="s">
        <v>46573</v>
      </c>
    </row>
    <row r="4832" spans="1:24">
      <c r="A4832">
        <f>HYPERLINK("https://www.philgeps.gov.ph/GEPSNONPILOT/Tender/SplashBidNoticeAbstractUI.aspx?menuIndex=3&amp;refID=7064339&amp;Result=3","7064339")</f>
        <v>0</v>
      </c>
      <c r="B4832" t="s">
        <v>1574</v>
      </c>
      <c r="C4832" t="s">
        <v>8151</v>
      </c>
      <c r="D4832" t="s">
        <v>18830</v>
      </c>
      <c r="E4832" t="s">
        <v>23219</v>
      </c>
      <c r="F4832" t="s">
        <v>32664</v>
      </c>
      <c r="G4832" t="s">
        <v>32672</v>
      </c>
      <c r="H4832" t="s">
        <v>32683</v>
      </c>
      <c r="I4832" t="s">
        <v>10627</v>
      </c>
      <c r="J4832" t="s">
        <v>32984</v>
      </c>
      <c r="K4832" t="s">
        <v>42303</v>
      </c>
      <c r="M4832" t="s">
        <v>44249</v>
      </c>
      <c r="N4832" t="s">
        <v>46569</v>
      </c>
      <c r="O4832" t="s">
        <v>46570</v>
      </c>
      <c r="P4832">
        <v>0</v>
      </c>
      <c r="Q4832">
        <v>0</v>
      </c>
      <c r="R4832" t="s">
        <v>46572</v>
      </c>
      <c r="S4832" t="s">
        <v>46689</v>
      </c>
      <c r="T4832" t="s">
        <v>48220</v>
      </c>
      <c r="U4832" t="s">
        <v>52595</v>
      </c>
      <c r="V4832" t="s">
        <v>62072</v>
      </c>
      <c r="W4832" t="s">
        <v>44249</v>
      </c>
      <c r="X4832" t="s">
        <v>46573</v>
      </c>
    </row>
    <row r="4833" spans="1:24">
      <c r="A4833">
        <f>HYPERLINK("https://www.philgeps.gov.ph/GEPSNONPILOT/Tender/SplashBidNoticeAbstractUI.aspx?menuIndex=3&amp;refID=7064336&amp;Result=3","7064336")</f>
        <v>0</v>
      </c>
      <c r="B4833" t="s">
        <v>1663</v>
      </c>
      <c r="C4833" t="s">
        <v>8152</v>
      </c>
      <c r="D4833" t="s">
        <v>18834</v>
      </c>
      <c r="E4833" t="s">
        <v>23220</v>
      </c>
      <c r="F4833" t="s">
        <v>32664</v>
      </c>
      <c r="G4833" t="s">
        <v>32672</v>
      </c>
      <c r="H4833" t="s">
        <v>12635</v>
      </c>
      <c r="I4833" t="s">
        <v>32685</v>
      </c>
      <c r="J4833" t="s">
        <v>35914</v>
      </c>
      <c r="K4833" t="s">
        <v>42284</v>
      </c>
      <c r="M4833" t="s">
        <v>44349</v>
      </c>
      <c r="N4833" t="s">
        <v>46569</v>
      </c>
      <c r="O4833" t="s">
        <v>46570</v>
      </c>
      <c r="P4833">
        <v>0</v>
      </c>
      <c r="Q4833">
        <v>3</v>
      </c>
      <c r="R4833" t="s">
        <v>46572</v>
      </c>
      <c r="S4833" t="s">
        <v>46689</v>
      </c>
      <c r="T4833" t="s">
        <v>48326</v>
      </c>
      <c r="U4833" t="s">
        <v>52778</v>
      </c>
      <c r="W4833" t="s">
        <v>44349</v>
      </c>
      <c r="X4833" t="s">
        <v>46573</v>
      </c>
    </row>
    <row r="4834" spans="1:24">
      <c r="A4834">
        <f>HYPERLINK("https://www.philgeps.gov.ph/GEPSNONPILOT/Tender/SplashBidNoticeAbstractUI.aspx?menuIndex=3&amp;refID=7064374&amp;Result=3","7064374")</f>
        <v>0</v>
      </c>
      <c r="B4834" t="s">
        <v>1689</v>
      </c>
      <c r="C4834" t="s">
        <v>8153</v>
      </c>
      <c r="D4834" t="s">
        <v>18814</v>
      </c>
      <c r="E4834" t="s">
        <v>19612</v>
      </c>
      <c r="F4834" t="s">
        <v>32665</v>
      </c>
      <c r="G4834" t="s">
        <v>32674</v>
      </c>
      <c r="H4834" t="s">
        <v>12635</v>
      </c>
      <c r="I4834" t="s">
        <v>32690</v>
      </c>
      <c r="J4834" t="s">
        <v>35915</v>
      </c>
      <c r="K4834" t="s">
        <v>42284</v>
      </c>
      <c r="M4834" t="s">
        <v>44379</v>
      </c>
      <c r="N4834" t="s">
        <v>46569</v>
      </c>
      <c r="O4834" t="s">
        <v>46570</v>
      </c>
      <c r="P4834">
        <v>0</v>
      </c>
      <c r="Q4834">
        <v>1</v>
      </c>
      <c r="R4834" t="s">
        <v>46572</v>
      </c>
      <c r="S4834" t="s">
        <v>46689</v>
      </c>
      <c r="T4834" t="s">
        <v>48283</v>
      </c>
      <c r="U4834" t="s">
        <v>52779</v>
      </c>
      <c r="W4834" t="s">
        <v>44379</v>
      </c>
      <c r="X4834" t="s">
        <v>46573</v>
      </c>
    </row>
    <row r="4835" spans="1:24">
      <c r="A4835">
        <f>HYPERLINK("https://www.philgeps.gov.ph/GEPSNONPILOT/Tender/SplashBidNoticeAbstractUI.aspx?menuIndex=3&amp;refID=7064479&amp;Result=3","7064479")</f>
        <v>0</v>
      </c>
      <c r="B4835" t="s">
        <v>945</v>
      </c>
      <c r="C4835" t="s">
        <v>8154</v>
      </c>
      <c r="E4835" t="s">
        <v>23221</v>
      </c>
      <c r="F4835" t="s">
        <v>32664</v>
      </c>
      <c r="G4835" t="s">
        <v>32672</v>
      </c>
      <c r="H4835" t="s">
        <v>12635</v>
      </c>
      <c r="I4835" t="s">
        <v>10627</v>
      </c>
      <c r="J4835" t="s">
        <v>32930</v>
      </c>
      <c r="K4835" t="s">
        <v>42281</v>
      </c>
      <c r="M4835" t="s">
        <v>43551</v>
      </c>
      <c r="N4835" t="s">
        <v>46569</v>
      </c>
      <c r="O4835" t="s">
        <v>46570</v>
      </c>
      <c r="P4835">
        <v>0</v>
      </c>
      <c r="Q4835">
        <v>2</v>
      </c>
      <c r="R4835" t="s">
        <v>46572</v>
      </c>
      <c r="S4835" t="s">
        <v>46689</v>
      </c>
      <c r="T4835" t="s">
        <v>48261</v>
      </c>
      <c r="U4835" t="s">
        <v>52780</v>
      </c>
      <c r="W4835" t="s">
        <v>43551</v>
      </c>
      <c r="X4835" t="s">
        <v>46573</v>
      </c>
    </row>
    <row r="4836" spans="1:24">
      <c r="A4836">
        <f>HYPERLINK("https://www.philgeps.gov.ph/GEPSNONPILOT/Tender/SplashBidNoticeAbstractUI.aspx?menuIndex=3&amp;refID=7064337&amp;Result=3","7064337")</f>
        <v>0</v>
      </c>
      <c r="B4836" t="s">
        <v>1628</v>
      </c>
      <c r="C4836" t="s">
        <v>8155</v>
      </c>
      <c r="D4836" t="s">
        <v>18818</v>
      </c>
      <c r="E4836" t="s">
        <v>23222</v>
      </c>
      <c r="F4836" t="s">
        <v>32664</v>
      </c>
      <c r="G4836" t="s">
        <v>32671</v>
      </c>
      <c r="H4836" t="s">
        <v>12635</v>
      </c>
      <c r="I4836" t="s">
        <v>32685</v>
      </c>
      <c r="J4836" t="s">
        <v>33959</v>
      </c>
      <c r="K4836" t="s">
        <v>42283</v>
      </c>
      <c r="M4836" t="s">
        <v>44310</v>
      </c>
      <c r="N4836" t="s">
        <v>46569</v>
      </c>
      <c r="O4836" t="s">
        <v>46570</v>
      </c>
      <c r="P4836">
        <v>0</v>
      </c>
      <c r="Q4836">
        <v>0</v>
      </c>
      <c r="R4836" t="s">
        <v>46572</v>
      </c>
      <c r="S4836" t="s">
        <v>46689</v>
      </c>
      <c r="T4836" t="s">
        <v>48244</v>
      </c>
      <c r="U4836" t="s">
        <v>52607</v>
      </c>
      <c r="W4836" t="s">
        <v>44310</v>
      </c>
      <c r="X4836" t="s">
        <v>46573</v>
      </c>
    </row>
    <row r="4837" spans="1:24">
      <c r="A4837">
        <f>HYPERLINK("https://www.philgeps.gov.ph/GEPSNONPILOT/Tender/SplashBidNoticeAbstractUI.aspx?menuIndex=3&amp;refID=7064338&amp;Result=3","7064338")</f>
        <v>0</v>
      </c>
      <c r="B4837" t="s">
        <v>1633</v>
      </c>
      <c r="C4837" t="s">
        <v>8156</v>
      </c>
      <c r="D4837" t="s">
        <v>18784</v>
      </c>
      <c r="E4837" t="s">
        <v>23223</v>
      </c>
      <c r="F4837" t="s">
        <v>32664</v>
      </c>
      <c r="G4837" t="s">
        <v>32674</v>
      </c>
      <c r="H4837" t="s">
        <v>12635</v>
      </c>
      <c r="I4837" t="s">
        <v>5589</v>
      </c>
      <c r="J4837" t="s">
        <v>33008</v>
      </c>
      <c r="K4837" t="s">
        <v>42284</v>
      </c>
      <c r="M4837" t="s">
        <v>44315</v>
      </c>
      <c r="N4837" t="s">
        <v>46569</v>
      </c>
      <c r="O4837" t="s">
        <v>46570</v>
      </c>
      <c r="P4837">
        <v>0</v>
      </c>
      <c r="Q4837">
        <v>13</v>
      </c>
      <c r="R4837" t="s">
        <v>46572</v>
      </c>
      <c r="S4837" t="s">
        <v>46689</v>
      </c>
      <c r="T4837" t="s">
        <v>48524</v>
      </c>
      <c r="U4837" t="s">
        <v>52781</v>
      </c>
      <c r="V4837" t="s">
        <v>62113</v>
      </c>
      <c r="W4837" t="s">
        <v>44315</v>
      </c>
      <c r="X4837" t="s">
        <v>46573</v>
      </c>
    </row>
    <row r="4838" spans="1:24">
      <c r="A4838">
        <f>HYPERLINK("https://www.philgeps.gov.ph/GEPSNONPILOT/Tender/SplashBidNoticeAbstractUI.aspx?menuIndex=3&amp;refID=7064322&amp;Result=3","7064322")</f>
        <v>0</v>
      </c>
      <c r="B4838" t="s">
        <v>1612</v>
      </c>
      <c r="C4838" t="s">
        <v>8157</v>
      </c>
      <c r="D4838" t="s">
        <v>18821</v>
      </c>
      <c r="E4838" t="s">
        <v>23224</v>
      </c>
      <c r="F4838" t="s">
        <v>32664</v>
      </c>
      <c r="G4838" t="s">
        <v>32672</v>
      </c>
      <c r="H4838" t="s">
        <v>12635</v>
      </c>
      <c r="I4838" t="s">
        <v>4333</v>
      </c>
      <c r="J4838" t="s">
        <v>35916</v>
      </c>
      <c r="K4838" t="s">
        <v>42281</v>
      </c>
      <c r="M4838" t="s">
        <v>44291</v>
      </c>
      <c r="N4838" t="s">
        <v>46569</v>
      </c>
      <c r="O4838" t="s">
        <v>46570</v>
      </c>
      <c r="P4838">
        <v>0</v>
      </c>
      <c r="Q4838">
        <v>0</v>
      </c>
      <c r="R4838" t="s">
        <v>46572</v>
      </c>
      <c r="S4838" t="s">
        <v>46689</v>
      </c>
      <c r="T4838" t="s">
        <v>48285</v>
      </c>
      <c r="U4838" t="s">
        <v>52782</v>
      </c>
      <c r="W4838" t="s">
        <v>44291</v>
      </c>
      <c r="X4838" t="s">
        <v>46573</v>
      </c>
    </row>
    <row r="4839" spans="1:24">
      <c r="A4839">
        <f>HYPERLINK("https://www.philgeps.gov.ph/GEPSNONPILOT/Tender/SplashBidNoticeAbstractUI.aspx?menuIndex=3&amp;refID=7064320&amp;Result=3","7064320")</f>
        <v>0</v>
      </c>
      <c r="B4839" t="s">
        <v>1690</v>
      </c>
      <c r="C4839" t="s">
        <v>8158</v>
      </c>
      <c r="D4839" t="s">
        <v>18832</v>
      </c>
      <c r="E4839" t="s">
        <v>23225</v>
      </c>
      <c r="F4839" t="s">
        <v>32664</v>
      </c>
      <c r="G4839" t="s">
        <v>32672</v>
      </c>
      <c r="H4839" t="s">
        <v>32683</v>
      </c>
      <c r="I4839" t="s">
        <v>10627</v>
      </c>
      <c r="J4839" t="s">
        <v>35917</v>
      </c>
      <c r="K4839" t="s">
        <v>42435</v>
      </c>
      <c r="L4839" t="s">
        <v>1690</v>
      </c>
      <c r="M4839" t="s">
        <v>44380</v>
      </c>
      <c r="N4839" t="s">
        <v>46569</v>
      </c>
      <c r="O4839" t="s">
        <v>46570</v>
      </c>
      <c r="P4839">
        <v>0</v>
      </c>
      <c r="Q4839">
        <v>0</v>
      </c>
      <c r="R4839" t="s">
        <v>46572</v>
      </c>
      <c r="S4839" t="s">
        <v>46689</v>
      </c>
      <c r="T4839" t="s">
        <v>48222</v>
      </c>
      <c r="U4839" t="s">
        <v>52783</v>
      </c>
      <c r="W4839" t="s">
        <v>44380</v>
      </c>
      <c r="X4839" t="s">
        <v>46573</v>
      </c>
    </row>
    <row r="4840" spans="1:24">
      <c r="A4840">
        <f>HYPERLINK("https://www.philgeps.gov.ph/GEPSNONPILOT/Tender/SplashBidNoticeAbstractUI.aspx?menuIndex=3&amp;refID=7064319&amp;Result=3","7064319")</f>
        <v>0</v>
      </c>
      <c r="B4840" t="s">
        <v>1574</v>
      </c>
      <c r="C4840" t="s">
        <v>8159</v>
      </c>
      <c r="D4840" t="s">
        <v>18830</v>
      </c>
      <c r="E4840" t="s">
        <v>23226</v>
      </c>
      <c r="F4840" t="s">
        <v>32664</v>
      </c>
      <c r="G4840" t="s">
        <v>32672</v>
      </c>
      <c r="H4840" t="s">
        <v>32683</v>
      </c>
      <c r="I4840" t="s">
        <v>10627</v>
      </c>
      <c r="J4840" t="s">
        <v>33051</v>
      </c>
      <c r="K4840" t="s">
        <v>42281</v>
      </c>
      <c r="M4840" t="s">
        <v>44249</v>
      </c>
      <c r="N4840" t="s">
        <v>46569</v>
      </c>
      <c r="O4840" t="s">
        <v>46570</v>
      </c>
      <c r="P4840">
        <v>0</v>
      </c>
      <c r="Q4840">
        <v>0</v>
      </c>
      <c r="R4840" t="s">
        <v>46572</v>
      </c>
      <c r="S4840" t="s">
        <v>46689</v>
      </c>
      <c r="T4840" t="s">
        <v>48220</v>
      </c>
      <c r="U4840" t="s">
        <v>52784</v>
      </c>
      <c r="V4840" t="s">
        <v>62072</v>
      </c>
      <c r="W4840" t="s">
        <v>44249</v>
      </c>
      <c r="X4840" t="s">
        <v>46573</v>
      </c>
    </row>
    <row r="4841" spans="1:24">
      <c r="A4841">
        <f>HYPERLINK("https://www.philgeps.gov.ph/GEPSNONPILOT/Tender/SplashBidNoticeAbstractUI.aspx?menuIndex=3&amp;refID=7064316&amp;Result=3","7064316")</f>
        <v>0</v>
      </c>
      <c r="B4841" t="s">
        <v>1617</v>
      </c>
      <c r="C4841" t="s">
        <v>8160</v>
      </c>
      <c r="D4841" t="s">
        <v>18799</v>
      </c>
      <c r="E4841" t="s">
        <v>23227</v>
      </c>
      <c r="F4841" t="s">
        <v>32664</v>
      </c>
      <c r="G4841" t="s">
        <v>32671</v>
      </c>
      <c r="H4841" t="s">
        <v>12635</v>
      </c>
      <c r="I4841" t="s">
        <v>5589</v>
      </c>
      <c r="J4841" t="s">
        <v>35918</v>
      </c>
      <c r="K4841" t="s">
        <v>42284</v>
      </c>
      <c r="M4841" t="s">
        <v>44297</v>
      </c>
      <c r="N4841" t="s">
        <v>46569</v>
      </c>
      <c r="O4841" t="s">
        <v>46570</v>
      </c>
      <c r="P4841">
        <v>0</v>
      </c>
      <c r="Q4841">
        <v>2</v>
      </c>
      <c r="R4841" t="s">
        <v>46572</v>
      </c>
      <c r="S4841" t="s">
        <v>46689</v>
      </c>
      <c r="T4841" t="s">
        <v>48251</v>
      </c>
      <c r="U4841" t="s">
        <v>52785</v>
      </c>
      <c r="W4841" t="s">
        <v>44297</v>
      </c>
      <c r="X4841" t="s">
        <v>46573</v>
      </c>
    </row>
    <row r="4842" spans="1:24">
      <c r="A4842">
        <f>HYPERLINK("https://www.philgeps.gov.ph/GEPSNONPILOT/Tender/SplashBidNoticeAbstractUI.aspx?menuIndex=3&amp;refID=7048687&amp;Result=3","7048687")</f>
        <v>0</v>
      </c>
      <c r="B4842" t="s">
        <v>182</v>
      </c>
      <c r="C4842" t="s">
        <v>8161</v>
      </c>
      <c r="D4842" t="s">
        <v>18818</v>
      </c>
      <c r="E4842" t="s">
        <v>23228</v>
      </c>
      <c r="F4842" t="s">
        <v>32664</v>
      </c>
      <c r="G4842" t="s">
        <v>32672</v>
      </c>
      <c r="H4842" t="s">
        <v>32683</v>
      </c>
      <c r="I4842" t="s">
        <v>10627</v>
      </c>
      <c r="J4842" t="s">
        <v>34487</v>
      </c>
      <c r="K4842" t="s">
        <v>42290</v>
      </c>
      <c r="M4842" t="s">
        <v>42746</v>
      </c>
      <c r="N4842" t="s">
        <v>46569</v>
      </c>
      <c r="O4842" t="s">
        <v>46570</v>
      </c>
      <c r="P4842">
        <v>0</v>
      </c>
      <c r="Q4842">
        <v>0</v>
      </c>
      <c r="R4842" t="s">
        <v>46573</v>
      </c>
      <c r="S4842" t="s">
        <v>46705</v>
      </c>
      <c r="T4842" t="s">
        <v>48216</v>
      </c>
      <c r="U4842" t="s">
        <v>52786</v>
      </c>
      <c r="W4842" t="s">
        <v>42746</v>
      </c>
      <c r="X4842" t="s">
        <v>46580</v>
      </c>
    </row>
    <row r="4843" spans="1:24">
      <c r="A4843">
        <f>HYPERLINK("https://www.philgeps.gov.ph/GEPSNONPILOT/Tender/SplashBidNoticeAbstractUI.aspx?menuIndex=3&amp;refID=7064258&amp;Result=3","7064258")</f>
        <v>0</v>
      </c>
      <c r="B4843" t="s">
        <v>1613</v>
      </c>
      <c r="C4843" t="s">
        <v>8162</v>
      </c>
      <c r="E4843" t="s">
        <v>23229</v>
      </c>
      <c r="F4843" t="s">
        <v>32664</v>
      </c>
      <c r="G4843" t="s">
        <v>32671</v>
      </c>
      <c r="H4843" t="s">
        <v>12635</v>
      </c>
      <c r="I4843" t="s">
        <v>32694</v>
      </c>
      <c r="J4843" t="s">
        <v>35919</v>
      </c>
      <c r="K4843" t="s">
        <v>42283</v>
      </c>
      <c r="M4843" t="s">
        <v>44292</v>
      </c>
      <c r="N4843" t="s">
        <v>46569</v>
      </c>
      <c r="O4843" t="s">
        <v>46570</v>
      </c>
      <c r="P4843">
        <v>0</v>
      </c>
      <c r="Q4843">
        <v>0</v>
      </c>
      <c r="R4843" t="s">
        <v>46572</v>
      </c>
      <c r="S4843" t="s">
        <v>46689</v>
      </c>
      <c r="T4843" t="s">
        <v>48531</v>
      </c>
      <c r="U4843" t="s">
        <v>52787</v>
      </c>
      <c r="W4843" t="s">
        <v>44292</v>
      </c>
      <c r="X4843" t="s">
        <v>46573</v>
      </c>
    </row>
    <row r="4844" spans="1:24">
      <c r="A4844">
        <f>HYPERLINK("https://www.philgeps.gov.ph/GEPSNONPILOT/Tender/SplashBidNoticeAbstractUI.aspx?menuIndex=3&amp;refID=7064323&amp;Result=3","7064323")</f>
        <v>0</v>
      </c>
      <c r="B4844" t="s">
        <v>116</v>
      </c>
      <c r="C4844" t="s">
        <v>8163</v>
      </c>
      <c r="D4844" t="s">
        <v>18805</v>
      </c>
      <c r="E4844" t="s">
        <v>23230</v>
      </c>
      <c r="F4844" t="s">
        <v>32664</v>
      </c>
      <c r="G4844" t="s">
        <v>32671</v>
      </c>
      <c r="H4844" t="s">
        <v>12635</v>
      </c>
      <c r="I4844" t="s">
        <v>32681</v>
      </c>
      <c r="J4844" t="s">
        <v>33793</v>
      </c>
      <c r="K4844" t="s">
        <v>42306</v>
      </c>
      <c r="M4844" t="s">
        <v>42680</v>
      </c>
      <c r="N4844" t="s">
        <v>46569</v>
      </c>
      <c r="O4844" t="s">
        <v>46570</v>
      </c>
      <c r="P4844">
        <v>0</v>
      </c>
      <c r="Q4844">
        <v>0</v>
      </c>
      <c r="R4844" t="s">
        <v>46572</v>
      </c>
      <c r="S4844" t="s">
        <v>46689</v>
      </c>
      <c r="T4844" t="s">
        <v>48244</v>
      </c>
      <c r="U4844" t="s">
        <v>52788</v>
      </c>
      <c r="W4844" t="s">
        <v>42680</v>
      </c>
      <c r="X4844" t="s">
        <v>46573</v>
      </c>
    </row>
    <row r="4845" spans="1:24">
      <c r="A4845">
        <f>HYPERLINK("https://www.philgeps.gov.ph/GEPSNONPILOT/Tender/SplashBidNoticeAbstractUI.aspx?menuIndex=3&amp;refID=7064257&amp;Result=3","7064257")</f>
        <v>0</v>
      </c>
      <c r="B4845" t="s">
        <v>1150</v>
      </c>
      <c r="C4845" t="s">
        <v>4928</v>
      </c>
      <c r="D4845" t="s">
        <v>18845</v>
      </c>
      <c r="E4845" t="s">
        <v>23231</v>
      </c>
      <c r="F4845" t="s">
        <v>32664</v>
      </c>
      <c r="G4845" t="s">
        <v>32677</v>
      </c>
      <c r="H4845" t="s">
        <v>12635</v>
      </c>
      <c r="I4845" t="s">
        <v>6628</v>
      </c>
      <c r="J4845" t="s">
        <v>32859</v>
      </c>
      <c r="K4845" t="s">
        <v>42297</v>
      </c>
      <c r="M4845" t="s">
        <v>44282</v>
      </c>
      <c r="N4845" t="s">
        <v>46569</v>
      </c>
      <c r="O4845" t="s">
        <v>46570</v>
      </c>
      <c r="P4845">
        <v>0</v>
      </c>
      <c r="Q4845">
        <v>2</v>
      </c>
      <c r="R4845" t="s">
        <v>46572</v>
      </c>
      <c r="S4845" t="s">
        <v>46689</v>
      </c>
      <c r="T4845" t="s">
        <v>48285</v>
      </c>
      <c r="U4845" t="s">
        <v>52789</v>
      </c>
      <c r="W4845" t="s">
        <v>44282</v>
      </c>
      <c r="X4845" t="s">
        <v>46573</v>
      </c>
    </row>
    <row r="4846" spans="1:24">
      <c r="A4846">
        <f>HYPERLINK("https://www.philgeps.gov.ph/GEPSNONPILOT/Tender/SplashBidNoticeAbstractUI.aspx?menuIndex=3&amp;refID=7063039&amp;Result=3","7063039")</f>
        <v>0</v>
      </c>
      <c r="B4846" t="s">
        <v>1088</v>
      </c>
      <c r="C4846" t="s">
        <v>8164</v>
      </c>
      <c r="D4846" t="s">
        <v>18804</v>
      </c>
      <c r="E4846" t="s">
        <v>23232</v>
      </c>
      <c r="F4846" t="s">
        <v>32664</v>
      </c>
      <c r="G4846" t="s">
        <v>32672</v>
      </c>
      <c r="H4846" t="s">
        <v>32683</v>
      </c>
      <c r="I4846" t="s">
        <v>10627</v>
      </c>
      <c r="J4846" t="s">
        <v>35920</v>
      </c>
      <c r="K4846" t="s">
        <v>42369</v>
      </c>
      <c r="M4846" t="s">
        <v>43714</v>
      </c>
      <c r="N4846" t="s">
        <v>46569</v>
      </c>
      <c r="O4846" t="s">
        <v>46570</v>
      </c>
      <c r="P4846">
        <v>0</v>
      </c>
      <c r="Q4846">
        <v>0</v>
      </c>
      <c r="R4846" t="s">
        <v>46572</v>
      </c>
      <c r="S4846" t="s">
        <v>46689</v>
      </c>
      <c r="T4846" t="s">
        <v>48222</v>
      </c>
      <c r="U4846" t="s">
        <v>51746</v>
      </c>
      <c r="V4846" t="s">
        <v>61896</v>
      </c>
      <c r="W4846" t="s">
        <v>43714</v>
      </c>
      <c r="X4846" t="s">
        <v>46573</v>
      </c>
    </row>
    <row r="4847" spans="1:24">
      <c r="A4847">
        <f>HYPERLINK("https://www.philgeps.gov.ph/GEPSNONPILOT/Tender/SplashBidNoticeAbstractUI.aspx?menuIndex=3&amp;refID=7064321&amp;Result=3","7064321")</f>
        <v>0</v>
      </c>
      <c r="B4847" t="s">
        <v>1574</v>
      </c>
      <c r="C4847" t="s">
        <v>8165</v>
      </c>
      <c r="D4847" t="s">
        <v>18830</v>
      </c>
      <c r="E4847" t="s">
        <v>23233</v>
      </c>
      <c r="F4847" t="s">
        <v>32664</v>
      </c>
      <c r="G4847" t="s">
        <v>32672</v>
      </c>
      <c r="H4847" t="s">
        <v>32683</v>
      </c>
      <c r="I4847" t="s">
        <v>10627</v>
      </c>
      <c r="J4847" t="s">
        <v>33051</v>
      </c>
      <c r="K4847" t="s">
        <v>42430</v>
      </c>
      <c r="M4847" t="s">
        <v>44249</v>
      </c>
      <c r="N4847" t="s">
        <v>46569</v>
      </c>
      <c r="O4847" t="s">
        <v>46570</v>
      </c>
      <c r="P4847">
        <v>0</v>
      </c>
      <c r="Q4847">
        <v>0</v>
      </c>
      <c r="R4847" t="s">
        <v>46572</v>
      </c>
      <c r="S4847" t="s">
        <v>46689</v>
      </c>
      <c r="T4847" t="s">
        <v>48220</v>
      </c>
      <c r="U4847" t="s">
        <v>52790</v>
      </c>
      <c r="V4847" t="s">
        <v>62072</v>
      </c>
      <c r="W4847" t="s">
        <v>44249</v>
      </c>
      <c r="X4847" t="s">
        <v>46573</v>
      </c>
    </row>
    <row r="4848" spans="1:24">
      <c r="A4848">
        <f>HYPERLINK("https://www.philgeps.gov.ph/GEPSNONPILOT/Tender/SplashBidNoticeAbstractUI.aspx?menuIndex=3&amp;refID=7064324&amp;Result=3","7064324")</f>
        <v>0</v>
      </c>
      <c r="B4848" t="s">
        <v>1691</v>
      </c>
      <c r="C4848" t="s">
        <v>8166</v>
      </c>
      <c r="D4848" t="s">
        <v>18798</v>
      </c>
      <c r="E4848" t="s">
        <v>23234</v>
      </c>
      <c r="F4848" t="s">
        <v>32664</v>
      </c>
      <c r="G4848" t="s">
        <v>32672</v>
      </c>
      <c r="H4848" t="s">
        <v>12635</v>
      </c>
      <c r="I4848" t="s">
        <v>11464</v>
      </c>
      <c r="J4848" t="s">
        <v>32859</v>
      </c>
      <c r="K4848" t="s">
        <v>42284</v>
      </c>
      <c r="L4848" t="s">
        <v>1691</v>
      </c>
      <c r="M4848" t="s">
        <v>44381</v>
      </c>
      <c r="N4848" t="s">
        <v>46569</v>
      </c>
      <c r="O4848" t="s">
        <v>46570</v>
      </c>
      <c r="P4848">
        <v>0</v>
      </c>
      <c r="Q4848">
        <v>0</v>
      </c>
      <c r="R4848" t="s">
        <v>46572</v>
      </c>
      <c r="S4848" t="s">
        <v>46689</v>
      </c>
      <c r="T4848" t="s">
        <v>48276</v>
      </c>
      <c r="U4848" t="s">
        <v>52791</v>
      </c>
      <c r="W4848" t="s">
        <v>44381</v>
      </c>
      <c r="X4848" t="s">
        <v>46573</v>
      </c>
    </row>
    <row r="4849" spans="1:24">
      <c r="A4849">
        <f>HYPERLINK("https://www.philgeps.gov.ph/GEPSNONPILOT/Tender/SplashBidNoticeAbstractUI.aspx?menuIndex=3&amp;refID=7064318&amp;Result=3","7064318")</f>
        <v>0</v>
      </c>
      <c r="B4849" t="s">
        <v>1612</v>
      </c>
      <c r="C4849" t="s">
        <v>8167</v>
      </c>
      <c r="D4849" t="s">
        <v>18821</v>
      </c>
      <c r="E4849" t="s">
        <v>23235</v>
      </c>
      <c r="F4849" t="s">
        <v>32664</v>
      </c>
      <c r="G4849" t="s">
        <v>32672</v>
      </c>
      <c r="H4849" t="s">
        <v>12635</v>
      </c>
      <c r="I4849" t="s">
        <v>14442</v>
      </c>
      <c r="J4849" t="s">
        <v>32842</v>
      </c>
      <c r="K4849" t="s">
        <v>42303</v>
      </c>
      <c r="M4849" t="s">
        <v>44291</v>
      </c>
      <c r="N4849" t="s">
        <v>46569</v>
      </c>
      <c r="O4849" t="s">
        <v>46570</v>
      </c>
      <c r="P4849">
        <v>0</v>
      </c>
      <c r="Q4849">
        <v>0</v>
      </c>
      <c r="R4849" t="s">
        <v>46572</v>
      </c>
      <c r="S4849" t="s">
        <v>46689</v>
      </c>
      <c r="T4849" t="s">
        <v>48285</v>
      </c>
      <c r="U4849" t="s">
        <v>52792</v>
      </c>
      <c r="W4849" t="s">
        <v>44291</v>
      </c>
      <c r="X4849" t="s">
        <v>46573</v>
      </c>
    </row>
    <row r="4850" spans="1:24">
      <c r="A4850">
        <f>HYPERLINK("https://www.philgeps.gov.ph/GEPSNONPILOT/Tender/SplashBidNoticeAbstractUI.aspx?menuIndex=3&amp;refID=7063037&amp;Result=3","7063037")</f>
        <v>0</v>
      </c>
      <c r="B4850" t="s">
        <v>1378</v>
      </c>
      <c r="C4850" t="s">
        <v>8168</v>
      </c>
      <c r="E4850" t="s">
        <v>23236</v>
      </c>
      <c r="F4850" t="s">
        <v>32664</v>
      </c>
      <c r="G4850" t="s">
        <v>32672</v>
      </c>
      <c r="H4850" t="s">
        <v>32683</v>
      </c>
      <c r="I4850" t="s">
        <v>10627</v>
      </c>
      <c r="J4850" t="s">
        <v>35921</v>
      </c>
      <c r="K4850" t="s">
        <v>42283</v>
      </c>
      <c r="M4850" t="s">
        <v>44033</v>
      </c>
      <c r="N4850" t="s">
        <v>46569</v>
      </c>
      <c r="O4850" t="s">
        <v>46570</v>
      </c>
      <c r="P4850">
        <v>0</v>
      </c>
      <c r="Q4850">
        <v>0</v>
      </c>
      <c r="R4850" t="s">
        <v>46572</v>
      </c>
      <c r="S4850" t="s">
        <v>46689</v>
      </c>
      <c r="T4850" t="s">
        <v>48224</v>
      </c>
      <c r="U4850" t="s">
        <v>52793</v>
      </c>
      <c r="W4850" t="s">
        <v>44033</v>
      </c>
      <c r="X4850" t="s">
        <v>46573</v>
      </c>
    </row>
    <row r="4851" spans="1:24">
      <c r="A4851">
        <f>HYPERLINK("https://www.philgeps.gov.ph/GEPSNONPILOT/Tender/SplashBidNoticeAbstractUI.aspx?menuIndex=3&amp;refID=7063035&amp;Result=3","7063035")</f>
        <v>0</v>
      </c>
      <c r="B4851" t="s">
        <v>162</v>
      </c>
      <c r="C4851" t="s">
        <v>8169</v>
      </c>
      <c r="D4851" t="s">
        <v>18788</v>
      </c>
      <c r="E4851" t="s">
        <v>23237</v>
      </c>
      <c r="F4851" t="s">
        <v>32664</v>
      </c>
      <c r="G4851" t="s">
        <v>32671</v>
      </c>
      <c r="H4851" t="s">
        <v>12635</v>
      </c>
      <c r="I4851" t="s">
        <v>6223</v>
      </c>
      <c r="J4851" t="s">
        <v>33069</v>
      </c>
      <c r="K4851" t="s">
        <v>42289</v>
      </c>
      <c r="M4851" t="s">
        <v>42726</v>
      </c>
      <c r="N4851" t="s">
        <v>46569</v>
      </c>
      <c r="O4851" t="s">
        <v>46570</v>
      </c>
      <c r="P4851">
        <v>0</v>
      </c>
      <c r="Q4851">
        <v>1</v>
      </c>
      <c r="R4851" t="s">
        <v>46572</v>
      </c>
      <c r="S4851" t="s">
        <v>46689</v>
      </c>
      <c r="T4851" t="s">
        <v>48293</v>
      </c>
      <c r="U4851" t="s">
        <v>52794</v>
      </c>
      <c r="W4851" t="s">
        <v>42726</v>
      </c>
      <c r="X4851" t="s">
        <v>46573</v>
      </c>
    </row>
    <row r="4852" spans="1:24">
      <c r="A4852">
        <f>HYPERLINK("https://www.philgeps.gov.ph/GEPSNONPILOT/Tender/SplashBidNoticeAbstractUI.aspx?menuIndex=3&amp;refID=7063018&amp;Result=3","7063018")</f>
        <v>0</v>
      </c>
      <c r="B4852" t="s">
        <v>917</v>
      </c>
      <c r="C4852" t="s">
        <v>8170</v>
      </c>
      <c r="D4852" t="s">
        <v>18781</v>
      </c>
      <c r="E4852" t="s">
        <v>20931</v>
      </c>
      <c r="F4852" t="s">
        <v>32664</v>
      </c>
      <c r="G4852" t="s">
        <v>32674</v>
      </c>
      <c r="H4852" t="s">
        <v>12635</v>
      </c>
      <c r="I4852" t="s">
        <v>4997</v>
      </c>
      <c r="J4852" t="s">
        <v>33338</v>
      </c>
      <c r="K4852" t="s">
        <v>42283</v>
      </c>
      <c r="M4852" t="s">
        <v>43523</v>
      </c>
      <c r="N4852" t="s">
        <v>46569</v>
      </c>
      <c r="O4852" t="s">
        <v>46570</v>
      </c>
      <c r="P4852">
        <v>0</v>
      </c>
      <c r="Q4852">
        <v>2</v>
      </c>
      <c r="R4852" t="s">
        <v>46572</v>
      </c>
      <c r="S4852" t="s">
        <v>46689</v>
      </c>
      <c r="T4852" t="s">
        <v>48287</v>
      </c>
      <c r="U4852" t="s">
        <v>52795</v>
      </c>
      <c r="W4852" t="s">
        <v>43523</v>
      </c>
      <c r="X4852" t="s">
        <v>46573</v>
      </c>
    </row>
    <row r="4853" spans="1:24">
      <c r="A4853">
        <f>HYPERLINK("https://www.philgeps.gov.ph/GEPSNONPILOT/Tender/SplashBidNoticeAbstractUI.aspx?menuIndex=3&amp;refID=7063015&amp;Result=3","7063015")</f>
        <v>0</v>
      </c>
      <c r="B4853" t="s">
        <v>1219</v>
      </c>
      <c r="C4853" t="s">
        <v>8171</v>
      </c>
      <c r="D4853" t="s">
        <v>18791</v>
      </c>
      <c r="E4853" t="s">
        <v>23238</v>
      </c>
      <c r="F4853" t="s">
        <v>32664</v>
      </c>
      <c r="G4853" t="s">
        <v>32671</v>
      </c>
      <c r="H4853" t="s">
        <v>12635</v>
      </c>
      <c r="I4853" t="s">
        <v>32754</v>
      </c>
      <c r="J4853" t="s">
        <v>32898</v>
      </c>
      <c r="K4853" t="s">
        <v>42305</v>
      </c>
      <c r="M4853" t="s">
        <v>43857</v>
      </c>
      <c r="N4853" t="s">
        <v>46569</v>
      </c>
      <c r="O4853" t="s">
        <v>46570</v>
      </c>
      <c r="P4853">
        <v>0</v>
      </c>
      <c r="Q4853">
        <v>2</v>
      </c>
      <c r="R4853" t="s">
        <v>46572</v>
      </c>
      <c r="S4853" t="s">
        <v>46689</v>
      </c>
      <c r="T4853" t="s">
        <v>48305</v>
      </c>
      <c r="U4853" t="s">
        <v>52796</v>
      </c>
      <c r="W4853" t="s">
        <v>43857</v>
      </c>
      <c r="X4853" t="s">
        <v>46573</v>
      </c>
    </row>
    <row r="4854" spans="1:24">
      <c r="A4854">
        <f>HYPERLINK("https://www.philgeps.gov.ph/GEPSNONPILOT/Tender/SplashBidNoticeAbstractUI.aspx?menuIndex=3&amp;refID=7064256&amp;Result=3","7064256")</f>
        <v>0</v>
      </c>
      <c r="B4854" t="s">
        <v>1606</v>
      </c>
      <c r="C4854" t="s">
        <v>8172</v>
      </c>
      <c r="D4854" t="s">
        <v>18791</v>
      </c>
      <c r="E4854" t="s">
        <v>23239</v>
      </c>
      <c r="F4854" t="s">
        <v>32664</v>
      </c>
      <c r="G4854" t="s">
        <v>32671</v>
      </c>
      <c r="H4854" t="s">
        <v>12635</v>
      </c>
      <c r="I4854" t="s">
        <v>32681</v>
      </c>
      <c r="J4854" t="s">
        <v>33177</v>
      </c>
      <c r="K4854" t="s">
        <v>42334</v>
      </c>
      <c r="M4854" t="s">
        <v>44285</v>
      </c>
      <c r="N4854" t="s">
        <v>46569</v>
      </c>
      <c r="O4854" t="s">
        <v>46570</v>
      </c>
      <c r="P4854">
        <v>0</v>
      </c>
      <c r="Q4854">
        <v>0</v>
      </c>
      <c r="R4854" t="s">
        <v>46572</v>
      </c>
      <c r="S4854" t="s">
        <v>46689</v>
      </c>
      <c r="T4854" t="s">
        <v>48256</v>
      </c>
      <c r="U4854" t="s">
        <v>52797</v>
      </c>
      <c r="W4854" t="s">
        <v>44285</v>
      </c>
      <c r="X4854" t="s">
        <v>46573</v>
      </c>
    </row>
    <row r="4855" spans="1:24">
      <c r="A4855">
        <f>HYPERLINK("https://www.philgeps.gov.ph/GEPSNONPILOT/Tender/SplashBidNoticeAbstractUI.aspx?menuIndex=3&amp;refID=7064341&amp;Result=3","7064341")</f>
        <v>0</v>
      </c>
      <c r="B4855" t="s">
        <v>1620</v>
      </c>
      <c r="C4855" t="s">
        <v>8173</v>
      </c>
      <c r="D4855" t="s">
        <v>18784</v>
      </c>
      <c r="E4855" t="s">
        <v>23240</v>
      </c>
      <c r="F4855" t="s">
        <v>32664</v>
      </c>
      <c r="G4855" t="s">
        <v>32672</v>
      </c>
      <c r="H4855" t="s">
        <v>32683</v>
      </c>
      <c r="I4855" t="s">
        <v>10627</v>
      </c>
      <c r="J4855" t="s">
        <v>35922</v>
      </c>
      <c r="K4855" t="s">
        <v>42301</v>
      </c>
      <c r="M4855" t="s">
        <v>44300</v>
      </c>
      <c r="N4855" t="s">
        <v>46569</v>
      </c>
      <c r="O4855" t="s">
        <v>46570</v>
      </c>
      <c r="P4855">
        <v>0</v>
      </c>
      <c r="Q4855">
        <v>6</v>
      </c>
      <c r="R4855" t="s">
        <v>46572</v>
      </c>
      <c r="S4855" t="s">
        <v>46689</v>
      </c>
      <c r="T4855" t="s">
        <v>48222</v>
      </c>
      <c r="U4855" t="s">
        <v>52798</v>
      </c>
      <c r="W4855" t="s">
        <v>44300</v>
      </c>
      <c r="X4855" t="s">
        <v>46573</v>
      </c>
    </row>
    <row r="4856" spans="1:24">
      <c r="A4856">
        <f>HYPERLINK("https://www.philgeps.gov.ph/GEPSNONPILOT/Tender/SplashBidNoticeAbstractUI.aspx?menuIndex=3&amp;refID=7063038&amp;Result=3","7063038")</f>
        <v>0</v>
      </c>
      <c r="B4856" t="s">
        <v>1356</v>
      </c>
      <c r="C4856" t="s">
        <v>8174</v>
      </c>
      <c r="D4856" t="s">
        <v>18805</v>
      </c>
      <c r="E4856" t="s">
        <v>22042</v>
      </c>
      <c r="F4856" t="s">
        <v>32664</v>
      </c>
      <c r="G4856" t="s">
        <v>32671</v>
      </c>
      <c r="H4856" t="s">
        <v>12635</v>
      </c>
      <c r="I4856" t="s">
        <v>6223</v>
      </c>
      <c r="J4856" t="s">
        <v>35157</v>
      </c>
      <c r="K4856" t="s">
        <v>42306</v>
      </c>
      <c r="M4856" t="s">
        <v>44009</v>
      </c>
      <c r="N4856" t="s">
        <v>46569</v>
      </c>
      <c r="O4856" t="s">
        <v>46570</v>
      </c>
      <c r="P4856">
        <v>0</v>
      </c>
      <c r="Q4856">
        <v>1</v>
      </c>
      <c r="R4856" t="s">
        <v>46572</v>
      </c>
      <c r="S4856" t="s">
        <v>46689</v>
      </c>
      <c r="T4856" t="s">
        <v>48219</v>
      </c>
      <c r="U4856" t="s">
        <v>52799</v>
      </c>
      <c r="V4856" t="s">
        <v>62114</v>
      </c>
      <c r="W4856" t="s">
        <v>44009</v>
      </c>
      <c r="X4856" t="s">
        <v>46573</v>
      </c>
    </row>
    <row r="4857" spans="1:24">
      <c r="A4857">
        <f>HYPERLINK("https://www.philgeps.gov.ph/GEPSNONPILOT/Tender/SplashBidNoticeAbstractUI.aspx?menuIndex=3&amp;refID=7063011&amp;Result=3","7063011")</f>
        <v>0</v>
      </c>
      <c r="B4857" t="s">
        <v>220</v>
      </c>
      <c r="C4857" t="s">
        <v>8175</v>
      </c>
      <c r="D4857" t="s">
        <v>18788</v>
      </c>
      <c r="E4857" t="s">
        <v>23241</v>
      </c>
      <c r="F4857" t="s">
        <v>32664</v>
      </c>
      <c r="G4857" t="s">
        <v>32672</v>
      </c>
      <c r="H4857" t="s">
        <v>12635</v>
      </c>
      <c r="I4857" t="s">
        <v>4439</v>
      </c>
      <c r="J4857" t="s">
        <v>35923</v>
      </c>
      <c r="K4857" t="s">
        <v>42297</v>
      </c>
      <c r="L4857" t="s">
        <v>220</v>
      </c>
      <c r="M4857" t="s">
        <v>42784</v>
      </c>
      <c r="N4857" t="s">
        <v>46569</v>
      </c>
      <c r="O4857" t="s">
        <v>46570</v>
      </c>
      <c r="P4857">
        <v>0</v>
      </c>
      <c r="Q4857">
        <v>0</v>
      </c>
      <c r="R4857" t="s">
        <v>46572</v>
      </c>
      <c r="S4857" t="s">
        <v>46689</v>
      </c>
      <c r="T4857" t="s">
        <v>48308</v>
      </c>
      <c r="U4857" t="s">
        <v>49167</v>
      </c>
      <c r="W4857" t="s">
        <v>42784</v>
      </c>
      <c r="X4857" t="s">
        <v>46573</v>
      </c>
    </row>
    <row r="4858" spans="1:24">
      <c r="A4858">
        <f>HYPERLINK("https://www.philgeps.gov.ph/GEPSNONPILOT/Tender/SplashBidNoticeAbstractUI.aspx?menuIndex=3&amp;refID=7063036&amp;Result=3","7063036")</f>
        <v>0</v>
      </c>
      <c r="B4858" t="s">
        <v>1342</v>
      </c>
      <c r="C4858" t="s">
        <v>8176</v>
      </c>
      <c r="D4858" t="s">
        <v>18787</v>
      </c>
      <c r="E4858" t="s">
        <v>23242</v>
      </c>
      <c r="F4858" t="s">
        <v>32664</v>
      </c>
      <c r="G4858" t="s">
        <v>32671</v>
      </c>
      <c r="H4858" t="s">
        <v>12635</v>
      </c>
      <c r="I4858" t="s">
        <v>5589</v>
      </c>
      <c r="J4858" t="s">
        <v>33215</v>
      </c>
      <c r="K4858" t="s">
        <v>42283</v>
      </c>
      <c r="M4858" t="s">
        <v>43992</v>
      </c>
      <c r="N4858" t="s">
        <v>46569</v>
      </c>
      <c r="O4858" t="s">
        <v>46570</v>
      </c>
      <c r="P4858">
        <v>0</v>
      </c>
      <c r="Q4858">
        <v>0</v>
      </c>
      <c r="R4858" t="s">
        <v>46572</v>
      </c>
      <c r="S4858" t="s">
        <v>46689</v>
      </c>
      <c r="T4858" t="s">
        <v>48293</v>
      </c>
      <c r="U4858" t="s">
        <v>51749</v>
      </c>
      <c r="W4858" t="s">
        <v>43992</v>
      </c>
      <c r="X4858" t="s">
        <v>46573</v>
      </c>
    </row>
    <row r="4859" spans="1:24">
      <c r="A4859">
        <f>HYPERLINK("https://www.philgeps.gov.ph/GEPSNONPILOT/Tender/SplashBidNoticeAbstractUI.aspx?menuIndex=3&amp;refID=7063009&amp;Result=3","7063009")</f>
        <v>0</v>
      </c>
      <c r="B4859" t="s">
        <v>1088</v>
      </c>
      <c r="C4859" t="s">
        <v>8177</v>
      </c>
      <c r="D4859" t="s">
        <v>18804</v>
      </c>
      <c r="E4859" t="s">
        <v>23243</v>
      </c>
      <c r="F4859" t="s">
        <v>32664</v>
      </c>
      <c r="G4859" t="s">
        <v>32672</v>
      </c>
      <c r="H4859" t="s">
        <v>32683</v>
      </c>
      <c r="I4859" t="s">
        <v>10627</v>
      </c>
      <c r="J4859" t="s">
        <v>35924</v>
      </c>
      <c r="K4859" t="s">
        <v>42296</v>
      </c>
      <c r="M4859" t="s">
        <v>43714</v>
      </c>
      <c r="N4859" t="s">
        <v>46569</v>
      </c>
      <c r="O4859" t="s">
        <v>46570</v>
      </c>
      <c r="P4859">
        <v>0</v>
      </c>
      <c r="Q4859">
        <v>0</v>
      </c>
      <c r="R4859" t="s">
        <v>46572</v>
      </c>
      <c r="S4859" t="s">
        <v>46689</v>
      </c>
      <c r="T4859" t="s">
        <v>48222</v>
      </c>
      <c r="U4859" t="s">
        <v>51670</v>
      </c>
      <c r="V4859" t="s">
        <v>61896</v>
      </c>
      <c r="W4859" t="s">
        <v>43714</v>
      </c>
      <c r="X4859" t="s">
        <v>46573</v>
      </c>
    </row>
    <row r="4860" spans="1:24">
      <c r="A4860">
        <f>HYPERLINK("https://www.philgeps.gov.ph/GEPSNONPILOT/Tender/SplashBidNoticeAbstractUI.aspx?menuIndex=3&amp;refID=7063040&amp;Result=3","7063040")</f>
        <v>0</v>
      </c>
      <c r="B4860" t="s">
        <v>915</v>
      </c>
      <c r="C4860" t="s">
        <v>8178</v>
      </c>
      <c r="D4860" t="s">
        <v>18784</v>
      </c>
      <c r="E4860" t="s">
        <v>23244</v>
      </c>
      <c r="F4860" t="s">
        <v>32664</v>
      </c>
      <c r="G4860" t="s">
        <v>32671</v>
      </c>
      <c r="H4860" t="s">
        <v>12635</v>
      </c>
      <c r="I4860" t="s">
        <v>8797</v>
      </c>
      <c r="J4860" t="s">
        <v>33015</v>
      </c>
      <c r="K4860" t="s">
        <v>42283</v>
      </c>
      <c r="M4860" t="s">
        <v>44181</v>
      </c>
      <c r="N4860" t="s">
        <v>46569</v>
      </c>
      <c r="O4860" t="s">
        <v>46570</v>
      </c>
      <c r="P4860">
        <v>0</v>
      </c>
      <c r="Q4860">
        <v>5</v>
      </c>
      <c r="R4860" t="s">
        <v>46572</v>
      </c>
      <c r="S4860" t="s">
        <v>46689</v>
      </c>
      <c r="T4860" t="s">
        <v>48246</v>
      </c>
      <c r="U4860" t="s">
        <v>50592</v>
      </c>
      <c r="W4860" t="s">
        <v>44181</v>
      </c>
      <c r="X4860" t="s">
        <v>46573</v>
      </c>
    </row>
    <row r="4861" spans="1:24">
      <c r="A4861">
        <f>HYPERLINK("https://www.philgeps.gov.ph/GEPSNONPILOT/Tender/SplashBidNoticeAbstractUI.aspx?menuIndex=3&amp;refID=7062814&amp;Result=3","7062814")</f>
        <v>0</v>
      </c>
      <c r="B4861" t="s">
        <v>1263</v>
      </c>
      <c r="C4861" t="s">
        <v>8179</v>
      </c>
      <c r="D4861" t="s">
        <v>18807</v>
      </c>
      <c r="E4861" t="s">
        <v>23245</v>
      </c>
      <c r="F4861" t="s">
        <v>32664</v>
      </c>
      <c r="G4861" t="s">
        <v>32671</v>
      </c>
      <c r="H4861" t="s">
        <v>12635</v>
      </c>
      <c r="I4861" t="s">
        <v>6118</v>
      </c>
      <c r="J4861" t="s">
        <v>35925</v>
      </c>
      <c r="K4861" t="s">
        <v>42283</v>
      </c>
      <c r="M4861" t="s">
        <v>43906</v>
      </c>
      <c r="N4861" t="s">
        <v>46569</v>
      </c>
      <c r="O4861" t="s">
        <v>46570</v>
      </c>
      <c r="P4861">
        <v>0</v>
      </c>
      <c r="Q4861">
        <v>0</v>
      </c>
      <c r="R4861" t="s">
        <v>46572</v>
      </c>
      <c r="S4861" t="s">
        <v>46689</v>
      </c>
      <c r="T4861" t="s">
        <v>48411</v>
      </c>
      <c r="U4861" t="s">
        <v>51469</v>
      </c>
      <c r="W4861" t="s">
        <v>43906</v>
      </c>
      <c r="X4861" t="s">
        <v>46573</v>
      </c>
    </row>
    <row r="4862" spans="1:24">
      <c r="A4862">
        <f>HYPERLINK("https://www.philgeps.gov.ph/GEPSNONPILOT/Tender/SplashBidNoticeAbstractUI.aspx?menuIndex=3&amp;refID=7062811&amp;Result=3","7062811")</f>
        <v>0</v>
      </c>
      <c r="B4862" t="s">
        <v>491</v>
      </c>
      <c r="C4862" t="s">
        <v>8180</v>
      </c>
      <c r="E4862" t="s">
        <v>23246</v>
      </c>
      <c r="F4862" t="s">
        <v>32664</v>
      </c>
      <c r="G4862" t="s">
        <v>32671</v>
      </c>
      <c r="H4862" t="s">
        <v>12635</v>
      </c>
      <c r="I4862" t="s">
        <v>6223</v>
      </c>
      <c r="J4862" t="s">
        <v>35926</v>
      </c>
      <c r="K4862" t="s">
        <v>42283</v>
      </c>
      <c r="M4862" t="s">
        <v>43067</v>
      </c>
      <c r="N4862" t="s">
        <v>46569</v>
      </c>
      <c r="O4862" t="s">
        <v>46570</v>
      </c>
      <c r="P4862">
        <v>0</v>
      </c>
      <c r="Q4862">
        <v>2</v>
      </c>
      <c r="R4862" t="s">
        <v>46572</v>
      </c>
      <c r="S4862" t="s">
        <v>46689</v>
      </c>
      <c r="T4862" t="s">
        <v>48249</v>
      </c>
      <c r="U4862" t="s">
        <v>52800</v>
      </c>
      <c r="W4862" t="s">
        <v>43067</v>
      </c>
      <c r="X4862" t="s">
        <v>46573</v>
      </c>
    </row>
    <row r="4863" spans="1:24">
      <c r="A4863">
        <f>HYPERLINK("https://www.philgeps.gov.ph/GEPSNONPILOT/Tender/SplashBidNoticeAbstractUI.aspx?menuIndex=3&amp;refID=7062810&amp;Result=3","7062810")</f>
        <v>0</v>
      </c>
      <c r="B4863" t="s">
        <v>1310</v>
      </c>
      <c r="C4863" t="s">
        <v>6762</v>
      </c>
      <c r="D4863" t="s">
        <v>18790</v>
      </c>
      <c r="E4863" t="s">
        <v>23247</v>
      </c>
      <c r="F4863" t="s">
        <v>32664</v>
      </c>
      <c r="G4863" t="s">
        <v>32672</v>
      </c>
      <c r="H4863" t="s">
        <v>12635</v>
      </c>
      <c r="I4863" t="s">
        <v>4439</v>
      </c>
      <c r="J4863" t="s">
        <v>35927</v>
      </c>
      <c r="K4863" t="s">
        <v>42283</v>
      </c>
      <c r="M4863" t="s">
        <v>43956</v>
      </c>
      <c r="N4863" t="s">
        <v>46569</v>
      </c>
      <c r="O4863" t="s">
        <v>46570</v>
      </c>
      <c r="P4863">
        <v>0</v>
      </c>
      <c r="Q4863">
        <v>0</v>
      </c>
      <c r="R4863" t="s">
        <v>46572</v>
      </c>
      <c r="S4863" t="s">
        <v>46689</v>
      </c>
      <c r="T4863" t="s">
        <v>48230</v>
      </c>
      <c r="U4863" t="s">
        <v>51578</v>
      </c>
      <c r="W4863" t="s">
        <v>43956</v>
      </c>
      <c r="X4863" t="s">
        <v>46573</v>
      </c>
    </row>
    <row r="4864" spans="1:24">
      <c r="A4864">
        <f>HYPERLINK("https://www.philgeps.gov.ph/GEPSNONPILOT/Tender/SplashBidNoticeAbstractUI.aspx?menuIndex=3&amp;refID=7062809&amp;Result=3","7062809")</f>
        <v>0</v>
      </c>
      <c r="B4864" t="s">
        <v>1316</v>
      </c>
      <c r="C4864" t="s">
        <v>8181</v>
      </c>
      <c r="D4864" t="s">
        <v>18784</v>
      </c>
      <c r="E4864" t="s">
        <v>23248</v>
      </c>
      <c r="F4864" t="s">
        <v>32664</v>
      </c>
      <c r="G4864" t="s">
        <v>32672</v>
      </c>
      <c r="H4864" t="s">
        <v>32682</v>
      </c>
      <c r="I4864" t="s">
        <v>6223</v>
      </c>
      <c r="J4864" t="s">
        <v>32898</v>
      </c>
      <c r="K4864" t="s">
        <v>42284</v>
      </c>
      <c r="M4864" t="s">
        <v>43965</v>
      </c>
      <c r="N4864" t="s">
        <v>46569</v>
      </c>
      <c r="O4864" t="s">
        <v>46570</v>
      </c>
      <c r="P4864">
        <v>0</v>
      </c>
      <c r="Q4864">
        <v>2</v>
      </c>
      <c r="R4864" t="s">
        <v>46572</v>
      </c>
      <c r="S4864" t="s">
        <v>46689</v>
      </c>
      <c r="T4864" t="s">
        <v>48321</v>
      </c>
      <c r="U4864" t="s">
        <v>52801</v>
      </c>
      <c r="V4864" t="s">
        <v>61965</v>
      </c>
      <c r="W4864" t="s">
        <v>43965</v>
      </c>
      <c r="X4864" t="s">
        <v>46573</v>
      </c>
    </row>
    <row r="4865" spans="1:24">
      <c r="A4865">
        <f>HYPERLINK("https://www.philgeps.gov.ph/GEPSNONPILOT/Tender/SplashBidNoticeAbstractUI.aspx?menuIndex=3&amp;refID=7062787&amp;Result=3","7062787")</f>
        <v>0</v>
      </c>
      <c r="B4865" t="s">
        <v>1311</v>
      </c>
      <c r="C4865" t="s">
        <v>8182</v>
      </c>
      <c r="D4865" t="s">
        <v>18790</v>
      </c>
      <c r="E4865" t="s">
        <v>23249</v>
      </c>
      <c r="F4865" t="s">
        <v>32664</v>
      </c>
      <c r="G4865" t="s">
        <v>32674</v>
      </c>
      <c r="H4865" t="s">
        <v>12635</v>
      </c>
      <c r="I4865" t="s">
        <v>32699</v>
      </c>
      <c r="J4865" t="s">
        <v>35928</v>
      </c>
      <c r="K4865" t="s">
        <v>42284</v>
      </c>
      <c r="M4865" t="s">
        <v>43957</v>
      </c>
      <c r="N4865" t="s">
        <v>46569</v>
      </c>
      <c r="O4865" t="s">
        <v>46570</v>
      </c>
      <c r="P4865">
        <v>0</v>
      </c>
      <c r="Q4865">
        <v>0</v>
      </c>
      <c r="R4865" t="s">
        <v>46572</v>
      </c>
      <c r="S4865" t="s">
        <v>46689</v>
      </c>
      <c r="T4865" t="s">
        <v>48283</v>
      </c>
      <c r="U4865" t="s">
        <v>52802</v>
      </c>
      <c r="W4865" t="s">
        <v>43957</v>
      </c>
      <c r="X4865" t="s">
        <v>46573</v>
      </c>
    </row>
    <row r="4866" spans="1:24">
      <c r="A4866">
        <f>HYPERLINK("https://www.philgeps.gov.ph/GEPSNONPILOT/Tender/SplashBidNoticeAbstractUI.aspx?menuIndex=3&amp;refID=7063017&amp;Result=3","7063017")</f>
        <v>0</v>
      </c>
      <c r="B4866" t="s">
        <v>1360</v>
      </c>
      <c r="C4866" t="s">
        <v>8183</v>
      </c>
      <c r="D4866" t="s">
        <v>18806</v>
      </c>
      <c r="E4866" t="s">
        <v>20949</v>
      </c>
      <c r="F4866" t="s">
        <v>32664</v>
      </c>
      <c r="G4866" t="s">
        <v>32674</v>
      </c>
      <c r="H4866" t="s">
        <v>12635</v>
      </c>
      <c r="I4866" t="s">
        <v>6628</v>
      </c>
      <c r="J4866" t="s">
        <v>33334</v>
      </c>
      <c r="K4866" t="s">
        <v>42284</v>
      </c>
      <c r="M4866" t="s">
        <v>44014</v>
      </c>
      <c r="N4866" t="s">
        <v>46569</v>
      </c>
      <c r="O4866" t="s">
        <v>46570</v>
      </c>
      <c r="P4866">
        <v>0</v>
      </c>
      <c r="Q4866">
        <v>7</v>
      </c>
      <c r="R4866" t="s">
        <v>46572</v>
      </c>
      <c r="S4866" t="s">
        <v>46689</v>
      </c>
      <c r="T4866" t="s">
        <v>48228</v>
      </c>
      <c r="U4866" t="s">
        <v>51687</v>
      </c>
      <c r="W4866" t="s">
        <v>44014</v>
      </c>
      <c r="X4866" t="s">
        <v>46573</v>
      </c>
    </row>
    <row r="4867" spans="1:24">
      <c r="A4867">
        <f>HYPERLINK("https://www.philgeps.gov.ph/GEPSNONPILOT/Tender/SplashBidNoticeAbstractUI.aspx?menuIndex=3&amp;refID=7062815&amp;Result=3","7062815")</f>
        <v>0</v>
      </c>
      <c r="B4867" t="s">
        <v>459</v>
      </c>
      <c r="C4867" t="s">
        <v>8184</v>
      </c>
      <c r="D4867" t="s">
        <v>18857</v>
      </c>
      <c r="E4867" t="s">
        <v>23250</v>
      </c>
      <c r="F4867" t="s">
        <v>32664</v>
      </c>
      <c r="G4867" t="s">
        <v>32671</v>
      </c>
      <c r="H4867" t="s">
        <v>12635</v>
      </c>
      <c r="I4867" t="s">
        <v>32685</v>
      </c>
      <c r="J4867" t="s">
        <v>35929</v>
      </c>
      <c r="K4867" t="s">
        <v>42289</v>
      </c>
      <c r="M4867" t="s">
        <v>43032</v>
      </c>
      <c r="N4867" t="s">
        <v>46569</v>
      </c>
      <c r="O4867" t="s">
        <v>46570</v>
      </c>
      <c r="P4867">
        <v>0</v>
      </c>
      <c r="Q4867">
        <v>0</v>
      </c>
      <c r="R4867" t="s">
        <v>46572</v>
      </c>
      <c r="S4867" t="s">
        <v>46689</v>
      </c>
      <c r="T4867" t="s">
        <v>48228</v>
      </c>
      <c r="U4867" t="s">
        <v>52803</v>
      </c>
      <c r="W4867" t="s">
        <v>43032</v>
      </c>
      <c r="X4867" t="s">
        <v>46573</v>
      </c>
    </row>
    <row r="4868" spans="1:24">
      <c r="A4868">
        <f>HYPERLINK("https://www.philgeps.gov.ph/GEPSNONPILOT/Tender/SplashBidNoticeAbstractUI.aspx?menuIndex=3&amp;refID=7062784&amp;Result=3","7062784")</f>
        <v>0</v>
      </c>
      <c r="B4868" t="s">
        <v>1103</v>
      </c>
      <c r="C4868" t="s">
        <v>8185</v>
      </c>
      <c r="D4868" t="s">
        <v>18790</v>
      </c>
      <c r="E4868" t="s">
        <v>23251</v>
      </c>
      <c r="F4868" t="s">
        <v>32664</v>
      </c>
      <c r="G4868" t="s">
        <v>32672</v>
      </c>
      <c r="H4868" t="s">
        <v>32683</v>
      </c>
      <c r="I4868" t="s">
        <v>10627</v>
      </c>
      <c r="J4868" t="s">
        <v>32943</v>
      </c>
      <c r="K4868" t="s">
        <v>42290</v>
      </c>
      <c r="M4868" t="s">
        <v>43730</v>
      </c>
      <c r="N4868" t="s">
        <v>46569</v>
      </c>
      <c r="O4868" t="s">
        <v>46570</v>
      </c>
      <c r="P4868">
        <v>0</v>
      </c>
      <c r="Q4868">
        <v>0</v>
      </c>
      <c r="R4868" t="s">
        <v>46572</v>
      </c>
      <c r="S4868" t="s">
        <v>46689</v>
      </c>
      <c r="T4868" t="s">
        <v>48216</v>
      </c>
      <c r="U4868" t="s">
        <v>52804</v>
      </c>
      <c r="W4868" t="s">
        <v>43730</v>
      </c>
      <c r="X4868" t="s">
        <v>46573</v>
      </c>
    </row>
    <row r="4869" spans="1:24">
      <c r="A4869">
        <f>HYPERLINK("https://www.philgeps.gov.ph/GEPSNONPILOT/Tender/SplashBidNoticeAbstractUI.aspx?menuIndex=3&amp;refID=7063010&amp;Result=3","7063010")</f>
        <v>0</v>
      </c>
      <c r="B4869" t="s">
        <v>1353</v>
      </c>
      <c r="C4869" t="s">
        <v>8186</v>
      </c>
      <c r="D4869" t="s">
        <v>18815</v>
      </c>
      <c r="E4869" t="s">
        <v>23252</v>
      </c>
      <c r="F4869" t="s">
        <v>32664</v>
      </c>
      <c r="G4869" t="s">
        <v>32674</v>
      </c>
      <c r="H4869" t="s">
        <v>12635</v>
      </c>
      <c r="I4869" t="s">
        <v>8730</v>
      </c>
      <c r="J4869" t="s">
        <v>35930</v>
      </c>
      <c r="K4869" t="s">
        <v>42297</v>
      </c>
      <c r="M4869" t="s">
        <v>44005</v>
      </c>
      <c r="N4869" t="s">
        <v>46569</v>
      </c>
      <c r="O4869" t="s">
        <v>46570</v>
      </c>
      <c r="P4869">
        <v>0</v>
      </c>
      <c r="Q4869">
        <v>0</v>
      </c>
      <c r="R4869" t="s">
        <v>46572</v>
      </c>
      <c r="S4869" t="s">
        <v>46689</v>
      </c>
      <c r="T4869" t="s">
        <v>48427</v>
      </c>
      <c r="U4869" t="s">
        <v>52805</v>
      </c>
      <c r="W4869" t="s">
        <v>44005</v>
      </c>
      <c r="X4869" t="s">
        <v>46573</v>
      </c>
    </row>
    <row r="4870" spans="1:24">
      <c r="A4870">
        <f>HYPERLINK("https://www.philgeps.gov.ph/GEPSNONPILOT/Tender/SplashBidNoticeAbstractUI.aspx?menuIndex=3&amp;refID=7062788&amp;Result=3","7062788")</f>
        <v>0</v>
      </c>
      <c r="B4870" t="s">
        <v>1692</v>
      </c>
      <c r="C4870" t="s">
        <v>8187</v>
      </c>
      <c r="D4870" t="s">
        <v>18817</v>
      </c>
      <c r="E4870" t="s">
        <v>23253</v>
      </c>
      <c r="F4870" t="s">
        <v>32664</v>
      </c>
      <c r="G4870" t="s">
        <v>32671</v>
      </c>
      <c r="H4870" t="s">
        <v>12635</v>
      </c>
      <c r="I4870" t="s">
        <v>8730</v>
      </c>
      <c r="J4870" t="s">
        <v>33173</v>
      </c>
      <c r="K4870" t="s">
        <v>42289</v>
      </c>
      <c r="M4870" t="s">
        <v>44382</v>
      </c>
      <c r="N4870" t="s">
        <v>46569</v>
      </c>
      <c r="O4870" t="s">
        <v>46570</v>
      </c>
      <c r="P4870">
        <v>0</v>
      </c>
      <c r="Q4870">
        <v>0</v>
      </c>
      <c r="R4870" t="s">
        <v>46572</v>
      </c>
      <c r="S4870" t="s">
        <v>46689</v>
      </c>
      <c r="T4870" t="s">
        <v>48249</v>
      </c>
      <c r="U4870" t="s">
        <v>52806</v>
      </c>
      <c r="W4870" t="s">
        <v>44382</v>
      </c>
      <c r="X4870" t="s">
        <v>46573</v>
      </c>
    </row>
    <row r="4871" spans="1:24">
      <c r="A4871">
        <f>HYPERLINK("https://www.philgeps.gov.ph/GEPSNONPILOT/Tender/SplashBidNoticeAbstractUI.aspx?menuIndex=3&amp;refID=7062761&amp;Result=3","7062761")</f>
        <v>0</v>
      </c>
      <c r="B4871" t="s">
        <v>500</v>
      </c>
      <c r="C4871" t="s">
        <v>8188</v>
      </c>
      <c r="D4871" t="s">
        <v>18805</v>
      </c>
      <c r="E4871" t="s">
        <v>23254</v>
      </c>
      <c r="F4871" t="s">
        <v>32664</v>
      </c>
      <c r="G4871" t="s">
        <v>32672</v>
      </c>
      <c r="H4871" t="s">
        <v>32683</v>
      </c>
      <c r="I4871" t="s">
        <v>10627</v>
      </c>
      <c r="J4871" t="s">
        <v>35931</v>
      </c>
      <c r="K4871" t="s">
        <v>42283</v>
      </c>
      <c r="M4871" t="s">
        <v>44383</v>
      </c>
      <c r="N4871" t="s">
        <v>46569</v>
      </c>
      <c r="O4871" t="s">
        <v>46570</v>
      </c>
      <c r="P4871">
        <v>0</v>
      </c>
      <c r="Q4871">
        <v>0</v>
      </c>
      <c r="R4871" t="s">
        <v>46572</v>
      </c>
      <c r="S4871" t="s">
        <v>46689</v>
      </c>
      <c r="T4871" t="s">
        <v>48225</v>
      </c>
      <c r="U4871" t="s">
        <v>52807</v>
      </c>
      <c r="W4871" t="s">
        <v>44383</v>
      </c>
      <c r="X4871" t="s">
        <v>46573</v>
      </c>
    </row>
    <row r="4872" spans="1:24">
      <c r="A4872">
        <f>HYPERLINK("https://www.philgeps.gov.ph/GEPSNONPILOT/Tender/SplashBidNoticeAbstractUI.aspx?menuIndex=3&amp;refID=7062759&amp;Result=3","7062759")</f>
        <v>0</v>
      </c>
      <c r="B4872" t="s">
        <v>1693</v>
      </c>
      <c r="C4872" t="s">
        <v>8189</v>
      </c>
      <c r="D4872" t="s">
        <v>18784</v>
      </c>
      <c r="E4872" t="s">
        <v>23255</v>
      </c>
      <c r="F4872" t="s">
        <v>32664</v>
      </c>
      <c r="G4872" t="s">
        <v>32672</v>
      </c>
      <c r="H4872" t="s">
        <v>12635</v>
      </c>
      <c r="I4872" t="s">
        <v>6223</v>
      </c>
      <c r="J4872" t="s">
        <v>35932</v>
      </c>
      <c r="K4872" t="s">
        <v>42309</v>
      </c>
      <c r="M4872" t="s">
        <v>44384</v>
      </c>
      <c r="N4872" t="s">
        <v>46569</v>
      </c>
      <c r="O4872" t="s">
        <v>46570</v>
      </c>
      <c r="P4872">
        <v>0</v>
      </c>
      <c r="Q4872">
        <v>3</v>
      </c>
      <c r="R4872" t="s">
        <v>46572</v>
      </c>
      <c r="S4872" t="s">
        <v>46689</v>
      </c>
      <c r="T4872" t="s">
        <v>48268</v>
      </c>
      <c r="U4872" t="s">
        <v>52808</v>
      </c>
      <c r="W4872" t="s">
        <v>44384</v>
      </c>
      <c r="X4872" t="s">
        <v>46573</v>
      </c>
    </row>
    <row r="4873" spans="1:24">
      <c r="A4873">
        <f>HYPERLINK("https://www.philgeps.gov.ph/GEPSNONPILOT/Tender/SplashBidNoticeAbstractUI.aspx?menuIndex=3&amp;refID=7062758&amp;Result=3","7062758")</f>
        <v>0</v>
      </c>
      <c r="B4873" t="s">
        <v>960</v>
      </c>
      <c r="C4873" t="s">
        <v>8190</v>
      </c>
      <c r="D4873" t="s">
        <v>18799</v>
      </c>
      <c r="E4873" t="s">
        <v>23256</v>
      </c>
      <c r="F4873" t="s">
        <v>32664</v>
      </c>
      <c r="G4873" t="s">
        <v>32671</v>
      </c>
      <c r="H4873" t="s">
        <v>12635</v>
      </c>
      <c r="I4873" t="s">
        <v>5589</v>
      </c>
      <c r="J4873" t="s">
        <v>32898</v>
      </c>
      <c r="K4873" t="s">
        <v>42284</v>
      </c>
      <c r="M4873" t="s">
        <v>43567</v>
      </c>
      <c r="N4873" t="s">
        <v>46569</v>
      </c>
      <c r="O4873" t="s">
        <v>46570</v>
      </c>
      <c r="P4873">
        <v>0</v>
      </c>
      <c r="Q4873">
        <v>4</v>
      </c>
      <c r="R4873" t="s">
        <v>46572</v>
      </c>
      <c r="S4873" t="s">
        <v>46689</v>
      </c>
      <c r="T4873" t="s">
        <v>48217</v>
      </c>
      <c r="U4873" t="s">
        <v>52809</v>
      </c>
      <c r="W4873" t="s">
        <v>43567</v>
      </c>
      <c r="X4873" t="s">
        <v>46573</v>
      </c>
    </row>
    <row r="4874" spans="1:24">
      <c r="A4874">
        <f>HYPERLINK("https://www.philgeps.gov.ph/GEPSNONPILOT/Tender/SplashBidNoticeAbstractUI.aspx?menuIndex=3&amp;refID=7062781&amp;Result=3","7062781")</f>
        <v>0</v>
      </c>
      <c r="B4874" t="s">
        <v>594</v>
      </c>
      <c r="C4874" t="s">
        <v>8191</v>
      </c>
      <c r="D4874" t="s">
        <v>18784</v>
      </c>
      <c r="E4874" t="s">
        <v>23257</v>
      </c>
      <c r="F4874" t="s">
        <v>32664</v>
      </c>
      <c r="G4874" t="s">
        <v>32674</v>
      </c>
      <c r="H4874" t="s">
        <v>12635</v>
      </c>
      <c r="I4874" t="s">
        <v>6223</v>
      </c>
      <c r="J4874" t="s">
        <v>35933</v>
      </c>
      <c r="K4874" t="s">
        <v>42297</v>
      </c>
      <c r="M4874" t="s">
        <v>44385</v>
      </c>
      <c r="N4874" t="s">
        <v>46569</v>
      </c>
      <c r="O4874" t="s">
        <v>46570</v>
      </c>
      <c r="P4874">
        <v>0</v>
      </c>
      <c r="Q4874">
        <v>0</v>
      </c>
      <c r="R4874" t="s">
        <v>46572</v>
      </c>
      <c r="S4874" t="s">
        <v>46689</v>
      </c>
      <c r="T4874" t="s">
        <v>48461</v>
      </c>
      <c r="U4874" t="s">
        <v>52810</v>
      </c>
      <c r="V4874" t="s">
        <v>62115</v>
      </c>
      <c r="W4874" t="s">
        <v>44385</v>
      </c>
      <c r="X4874" t="s">
        <v>46573</v>
      </c>
    </row>
    <row r="4875" spans="1:24">
      <c r="A4875">
        <f>HYPERLINK("https://www.philgeps.gov.ph/GEPSNONPILOT/Tender/SplashBidNoticeAbstractUI.aspx?menuIndex=3&amp;refID=7062785&amp;Result=3","7062785")</f>
        <v>0</v>
      </c>
      <c r="B4875" t="s">
        <v>1366</v>
      </c>
      <c r="C4875" t="s">
        <v>8192</v>
      </c>
      <c r="D4875" t="s">
        <v>18784</v>
      </c>
      <c r="E4875" t="s">
        <v>23258</v>
      </c>
      <c r="F4875" t="s">
        <v>32664</v>
      </c>
      <c r="G4875" t="s">
        <v>32674</v>
      </c>
      <c r="H4875" t="s">
        <v>12635</v>
      </c>
      <c r="I4875" t="s">
        <v>13883</v>
      </c>
      <c r="J4875" t="s">
        <v>35934</v>
      </c>
      <c r="K4875" t="s">
        <v>42281</v>
      </c>
      <c r="M4875" t="s">
        <v>44020</v>
      </c>
      <c r="N4875" t="s">
        <v>46569</v>
      </c>
      <c r="O4875" t="s">
        <v>46570</v>
      </c>
      <c r="P4875">
        <v>0</v>
      </c>
      <c r="Q4875">
        <v>7</v>
      </c>
      <c r="R4875" t="s">
        <v>46572</v>
      </c>
      <c r="S4875" t="s">
        <v>46689</v>
      </c>
      <c r="T4875" t="s">
        <v>48290</v>
      </c>
      <c r="U4875" t="s">
        <v>52811</v>
      </c>
      <c r="W4875" t="s">
        <v>44020</v>
      </c>
      <c r="X4875" t="s">
        <v>46573</v>
      </c>
    </row>
    <row r="4876" spans="1:24">
      <c r="A4876">
        <f>HYPERLINK("https://www.philgeps.gov.ph/GEPSNONPILOT/Tender/SplashBidNoticeAbstractUI.aspx?menuIndex=3&amp;refID=7062760&amp;Result=3","7062760")</f>
        <v>0</v>
      </c>
      <c r="B4876" t="s">
        <v>1694</v>
      </c>
      <c r="C4876" t="s">
        <v>8193</v>
      </c>
      <c r="D4876" t="s">
        <v>18821</v>
      </c>
      <c r="E4876" t="s">
        <v>19815</v>
      </c>
      <c r="F4876" t="s">
        <v>32664</v>
      </c>
      <c r="G4876" t="s">
        <v>32672</v>
      </c>
      <c r="H4876" t="s">
        <v>12635</v>
      </c>
      <c r="I4876" t="s">
        <v>32706</v>
      </c>
      <c r="J4876" t="s">
        <v>33051</v>
      </c>
      <c r="K4876" t="s">
        <v>42289</v>
      </c>
      <c r="M4876" t="s">
        <v>44386</v>
      </c>
      <c r="N4876" t="s">
        <v>46569</v>
      </c>
      <c r="O4876" t="s">
        <v>46570</v>
      </c>
      <c r="P4876">
        <v>0</v>
      </c>
      <c r="Q4876">
        <v>1</v>
      </c>
      <c r="R4876" t="s">
        <v>46572</v>
      </c>
      <c r="S4876" t="s">
        <v>46689</v>
      </c>
      <c r="T4876" t="s">
        <v>48285</v>
      </c>
      <c r="U4876" t="s">
        <v>52812</v>
      </c>
      <c r="W4876" t="s">
        <v>44386</v>
      </c>
      <c r="X4876" t="s">
        <v>46573</v>
      </c>
    </row>
    <row r="4877" spans="1:24">
      <c r="A4877">
        <f>HYPERLINK("https://www.philgeps.gov.ph/GEPSNONPILOT/Tender/SplashBidNoticeAbstractUI.aspx?menuIndex=3&amp;refID=7062752&amp;Result=3","7062752")</f>
        <v>0</v>
      </c>
      <c r="B4877" t="s">
        <v>1316</v>
      </c>
      <c r="C4877" t="s">
        <v>8194</v>
      </c>
      <c r="D4877" t="s">
        <v>18784</v>
      </c>
      <c r="E4877" t="s">
        <v>23259</v>
      </c>
      <c r="F4877" t="s">
        <v>32664</v>
      </c>
      <c r="G4877" t="s">
        <v>32672</v>
      </c>
      <c r="H4877" t="s">
        <v>32682</v>
      </c>
      <c r="I4877" t="s">
        <v>6223</v>
      </c>
      <c r="J4877" t="s">
        <v>32998</v>
      </c>
      <c r="K4877" t="s">
        <v>42289</v>
      </c>
      <c r="M4877" t="s">
        <v>43965</v>
      </c>
      <c r="N4877" t="s">
        <v>46569</v>
      </c>
      <c r="O4877" t="s">
        <v>46570</v>
      </c>
      <c r="P4877">
        <v>0</v>
      </c>
      <c r="Q4877">
        <v>1</v>
      </c>
      <c r="R4877" t="s">
        <v>46572</v>
      </c>
      <c r="S4877" t="s">
        <v>46689</v>
      </c>
      <c r="T4877" t="s">
        <v>48384</v>
      </c>
      <c r="U4877" t="s">
        <v>52813</v>
      </c>
      <c r="V4877" t="s">
        <v>61965</v>
      </c>
      <c r="W4877" t="s">
        <v>43965</v>
      </c>
      <c r="X4877" t="s">
        <v>46573</v>
      </c>
    </row>
    <row r="4878" spans="1:24">
      <c r="A4878">
        <f>HYPERLINK("https://www.philgeps.gov.ph/GEPSNONPILOT/Tender/SplashBidNoticeAbstractUI.aspx?menuIndex=3&amp;refID=7053227&amp;Result=3","7053227")</f>
        <v>0</v>
      </c>
      <c r="B4878" t="s">
        <v>1695</v>
      </c>
      <c r="C4878" t="s">
        <v>8195</v>
      </c>
      <c r="D4878" t="s">
        <v>18846</v>
      </c>
      <c r="E4878" t="s">
        <v>23260</v>
      </c>
      <c r="F4878" t="s">
        <v>32664</v>
      </c>
      <c r="G4878" t="s">
        <v>32672</v>
      </c>
      <c r="H4878" t="s">
        <v>12635</v>
      </c>
      <c r="I4878" t="s">
        <v>5589</v>
      </c>
      <c r="J4878" t="s">
        <v>33578</v>
      </c>
      <c r="K4878" t="s">
        <v>42283</v>
      </c>
      <c r="M4878" t="s">
        <v>44387</v>
      </c>
      <c r="N4878" t="s">
        <v>46569</v>
      </c>
      <c r="O4878" t="s">
        <v>46570</v>
      </c>
      <c r="P4878">
        <v>0</v>
      </c>
      <c r="Q4878">
        <v>0</v>
      </c>
      <c r="R4878" t="s">
        <v>46573</v>
      </c>
      <c r="S4878" t="s">
        <v>46705</v>
      </c>
      <c r="T4878" t="s">
        <v>48411</v>
      </c>
      <c r="U4878" t="s">
        <v>52814</v>
      </c>
      <c r="W4878" t="s">
        <v>63527</v>
      </c>
      <c r="X4878" t="s">
        <v>46578</v>
      </c>
    </row>
    <row r="4879" spans="1:24">
      <c r="A4879">
        <f>HYPERLINK("https://www.philgeps.gov.ph/GEPSNONPILOT/Tender/SplashBidNoticeAbstractUI.aspx?menuIndex=3&amp;refID=7062786&amp;Result=3","7062786")</f>
        <v>0</v>
      </c>
      <c r="B4879" t="s">
        <v>1123</v>
      </c>
      <c r="C4879" t="s">
        <v>8196</v>
      </c>
      <c r="D4879" t="s">
        <v>18814</v>
      </c>
      <c r="E4879" t="s">
        <v>23261</v>
      </c>
      <c r="F4879" t="s">
        <v>32664</v>
      </c>
      <c r="G4879" t="s">
        <v>32672</v>
      </c>
      <c r="H4879" t="s">
        <v>32683</v>
      </c>
      <c r="I4879" t="s">
        <v>10627</v>
      </c>
      <c r="J4879" t="s">
        <v>35935</v>
      </c>
      <c r="K4879" t="s">
        <v>42305</v>
      </c>
      <c r="M4879" t="s">
        <v>43752</v>
      </c>
      <c r="N4879" t="s">
        <v>46569</v>
      </c>
      <c r="O4879" t="s">
        <v>46570</v>
      </c>
      <c r="P4879">
        <v>0</v>
      </c>
      <c r="Q4879">
        <v>0</v>
      </c>
      <c r="R4879" t="s">
        <v>46572</v>
      </c>
      <c r="S4879" t="s">
        <v>46689</v>
      </c>
      <c r="T4879" t="s">
        <v>48381</v>
      </c>
      <c r="U4879" t="s">
        <v>52815</v>
      </c>
      <c r="W4879" t="s">
        <v>43752</v>
      </c>
      <c r="X4879" t="s">
        <v>46573</v>
      </c>
    </row>
    <row r="4880" spans="1:24">
      <c r="A4880">
        <f>HYPERLINK("https://www.philgeps.gov.ph/GEPSNONPILOT/Tender/SplashBidNoticeAbstractUI.aspx?menuIndex=3&amp;refID=7053309&amp;Result=3","7053309")</f>
        <v>0</v>
      </c>
      <c r="B4880" t="s">
        <v>1695</v>
      </c>
      <c r="C4880" t="s">
        <v>8197</v>
      </c>
      <c r="D4880" t="s">
        <v>18846</v>
      </c>
      <c r="E4880" t="s">
        <v>23262</v>
      </c>
      <c r="F4880" t="s">
        <v>32664</v>
      </c>
      <c r="G4880" t="s">
        <v>32672</v>
      </c>
      <c r="H4880" t="s">
        <v>12635</v>
      </c>
      <c r="I4880" t="s">
        <v>8797</v>
      </c>
      <c r="J4880" t="s">
        <v>35936</v>
      </c>
      <c r="K4880" t="s">
        <v>42283</v>
      </c>
      <c r="M4880" t="s">
        <v>44387</v>
      </c>
      <c r="N4880" t="s">
        <v>46569</v>
      </c>
      <c r="O4880" t="s">
        <v>46570</v>
      </c>
      <c r="P4880">
        <v>0</v>
      </c>
      <c r="Q4880">
        <v>0</v>
      </c>
      <c r="R4880" t="s">
        <v>46573</v>
      </c>
      <c r="S4880" t="s">
        <v>46705</v>
      </c>
      <c r="T4880" t="s">
        <v>48411</v>
      </c>
      <c r="U4880" t="s">
        <v>52816</v>
      </c>
      <c r="W4880" t="s">
        <v>63527</v>
      </c>
      <c r="X4880" t="s">
        <v>46578</v>
      </c>
    </row>
    <row r="4881" spans="1:24">
      <c r="A4881">
        <f>HYPERLINK("https://www.philgeps.gov.ph/GEPSNONPILOT/Tender/SplashBidNoticeAbstractUI.aspx?menuIndex=3&amp;refID=7062751&amp;Result=3","7062751")</f>
        <v>0</v>
      </c>
      <c r="B4881" t="s">
        <v>1310</v>
      </c>
      <c r="C4881" t="s">
        <v>6762</v>
      </c>
      <c r="D4881" t="s">
        <v>18790</v>
      </c>
      <c r="E4881" t="s">
        <v>23263</v>
      </c>
      <c r="F4881" t="s">
        <v>32664</v>
      </c>
      <c r="G4881" t="s">
        <v>32672</v>
      </c>
      <c r="H4881" t="s">
        <v>12635</v>
      </c>
      <c r="I4881" t="s">
        <v>4439</v>
      </c>
      <c r="J4881" t="s">
        <v>33520</v>
      </c>
      <c r="K4881" t="s">
        <v>42283</v>
      </c>
      <c r="M4881" t="s">
        <v>43956</v>
      </c>
      <c r="N4881" t="s">
        <v>46569</v>
      </c>
      <c r="O4881" t="s">
        <v>46570</v>
      </c>
      <c r="P4881">
        <v>0</v>
      </c>
      <c r="Q4881">
        <v>0</v>
      </c>
      <c r="R4881" t="s">
        <v>46572</v>
      </c>
      <c r="S4881" t="s">
        <v>46689</v>
      </c>
      <c r="T4881" t="s">
        <v>48230</v>
      </c>
      <c r="U4881" t="s">
        <v>51578</v>
      </c>
      <c r="W4881" t="s">
        <v>43956</v>
      </c>
      <c r="X4881" t="s">
        <v>46573</v>
      </c>
    </row>
    <row r="4882" spans="1:24">
      <c r="A4882">
        <f>HYPERLINK("https://www.philgeps.gov.ph/GEPSNONPILOT/Tender/SplashBidNoticeAbstractUI.aspx?menuIndex=3&amp;refID=7053259&amp;Result=3","7053259")</f>
        <v>0</v>
      </c>
      <c r="B4882" t="s">
        <v>267</v>
      </c>
      <c r="C4882" t="s">
        <v>8198</v>
      </c>
      <c r="D4882" t="s">
        <v>18791</v>
      </c>
      <c r="E4882" t="s">
        <v>23264</v>
      </c>
      <c r="F4882" t="s">
        <v>32664</v>
      </c>
      <c r="G4882" t="s">
        <v>32671</v>
      </c>
      <c r="H4882" t="s">
        <v>12635</v>
      </c>
      <c r="I4882" t="s">
        <v>32699</v>
      </c>
      <c r="J4882" t="s">
        <v>35937</v>
      </c>
      <c r="K4882" t="s">
        <v>42283</v>
      </c>
      <c r="M4882" t="s">
        <v>42832</v>
      </c>
      <c r="N4882" t="s">
        <v>46569</v>
      </c>
      <c r="O4882" t="s">
        <v>46570</v>
      </c>
      <c r="P4882">
        <v>0</v>
      </c>
      <c r="Q4882">
        <v>1</v>
      </c>
      <c r="R4882" t="s">
        <v>46573</v>
      </c>
      <c r="S4882" t="s">
        <v>46705</v>
      </c>
      <c r="T4882" t="s">
        <v>48254</v>
      </c>
      <c r="U4882" t="s">
        <v>52817</v>
      </c>
      <c r="W4882" t="s">
        <v>42832</v>
      </c>
      <c r="X4882" t="s">
        <v>46578</v>
      </c>
    </row>
    <row r="4883" spans="1:24">
      <c r="A4883">
        <f>HYPERLINK("https://www.philgeps.gov.ph/GEPSNONPILOT/Tender/SplashBidNoticeAbstractUI.aspx?menuIndex=3&amp;refID=7063012&amp;Result=3","7063012")</f>
        <v>0</v>
      </c>
      <c r="B4883" t="s">
        <v>690</v>
      </c>
      <c r="C4883" t="s">
        <v>8199</v>
      </c>
      <c r="D4883" t="s">
        <v>18781</v>
      </c>
      <c r="E4883" t="s">
        <v>23265</v>
      </c>
      <c r="F4883" t="s">
        <v>32664</v>
      </c>
      <c r="G4883" t="s">
        <v>32672</v>
      </c>
      <c r="H4883" t="s">
        <v>32683</v>
      </c>
      <c r="I4883" t="s">
        <v>10627</v>
      </c>
      <c r="J4883" t="s">
        <v>34379</v>
      </c>
      <c r="K4883" t="s">
        <v>42369</v>
      </c>
      <c r="L4883" t="s">
        <v>690</v>
      </c>
      <c r="M4883" t="s">
        <v>43277</v>
      </c>
      <c r="N4883" t="s">
        <v>46569</v>
      </c>
      <c r="O4883" t="s">
        <v>46570</v>
      </c>
      <c r="P4883">
        <v>0</v>
      </c>
      <c r="Q4883">
        <v>0</v>
      </c>
      <c r="R4883" t="s">
        <v>46572</v>
      </c>
      <c r="S4883" t="s">
        <v>46689</v>
      </c>
      <c r="T4883" t="s">
        <v>48362</v>
      </c>
      <c r="U4883" t="s">
        <v>51586</v>
      </c>
      <c r="W4883" t="s">
        <v>43277</v>
      </c>
      <c r="X4883" t="s">
        <v>46573</v>
      </c>
    </row>
    <row r="4884" spans="1:24">
      <c r="A4884">
        <f>HYPERLINK("https://www.philgeps.gov.ph/GEPSNONPILOT/Tender/SplashBidNoticeAbstractUI.aspx?menuIndex=3&amp;refID=7053249&amp;Result=3","7053249")</f>
        <v>0</v>
      </c>
      <c r="B4884" t="s">
        <v>1695</v>
      </c>
      <c r="C4884" t="s">
        <v>8200</v>
      </c>
      <c r="D4884" t="s">
        <v>18846</v>
      </c>
      <c r="E4884" t="s">
        <v>23266</v>
      </c>
      <c r="F4884" t="s">
        <v>32664</v>
      </c>
      <c r="G4884" t="s">
        <v>32672</v>
      </c>
      <c r="H4884" t="s">
        <v>12635</v>
      </c>
      <c r="I4884" t="s">
        <v>8797</v>
      </c>
      <c r="J4884" t="s">
        <v>35938</v>
      </c>
      <c r="K4884" t="s">
        <v>42283</v>
      </c>
      <c r="M4884" t="s">
        <v>44387</v>
      </c>
      <c r="N4884" t="s">
        <v>46569</v>
      </c>
      <c r="O4884" t="s">
        <v>46570</v>
      </c>
      <c r="P4884">
        <v>0</v>
      </c>
      <c r="Q4884">
        <v>1</v>
      </c>
      <c r="R4884" t="s">
        <v>46573</v>
      </c>
      <c r="S4884" t="s">
        <v>46705</v>
      </c>
      <c r="T4884" t="s">
        <v>48411</v>
      </c>
      <c r="U4884" t="s">
        <v>52818</v>
      </c>
      <c r="W4884" t="s">
        <v>63527</v>
      </c>
      <c r="X4884" t="s">
        <v>46578</v>
      </c>
    </row>
    <row r="4885" spans="1:24">
      <c r="A4885">
        <f>HYPERLINK("https://www.philgeps.gov.ph/GEPSNONPILOT/Tender/SplashBidNoticeAbstractUI.aspx?menuIndex=3&amp;refID=7062782&amp;Result=3","7062782")</f>
        <v>0</v>
      </c>
      <c r="B4885" t="s">
        <v>1696</v>
      </c>
      <c r="C4885" t="s">
        <v>8201</v>
      </c>
      <c r="D4885" t="s">
        <v>18799</v>
      </c>
      <c r="E4885" t="s">
        <v>23267</v>
      </c>
      <c r="F4885" t="s">
        <v>32664</v>
      </c>
      <c r="G4885" t="s">
        <v>32674</v>
      </c>
      <c r="H4885" t="s">
        <v>12635</v>
      </c>
      <c r="I4885" t="s">
        <v>32719</v>
      </c>
      <c r="J4885" t="s">
        <v>35939</v>
      </c>
      <c r="K4885" t="s">
        <v>42283</v>
      </c>
      <c r="M4885" t="s">
        <v>44388</v>
      </c>
      <c r="N4885" t="s">
        <v>46569</v>
      </c>
      <c r="O4885" t="s">
        <v>46570</v>
      </c>
      <c r="P4885">
        <v>0</v>
      </c>
      <c r="Q4885">
        <v>5</v>
      </c>
      <c r="R4885" t="s">
        <v>46572</v>
      </c>
      <c r="S4885" t="s">
        <v>46689</v>
      </c>
      <c r="T4885" t="s">
        <v>48221</v>
      </c>
      <c r="U4885" t="s">
        <v>52819</v>
      </c>
      <c r="W4885" t="s">
        <v>44388</v>
      </c>
      <c r="X4885" t="s">
        <v>46573</v>
      </c>
    </row>
    <row r="4886" spans="1:24">
      <c r="A4886">
        <f>HYPERLINK("https://www.philgeps.gov.ph/GEPSNONPILOT/Tender/SplashBidNoticeAbstractUI.aspx?menuIndex=3&amp;refID=7063014&amp;Result=3","7063014")</f>
        <v>0</v>
      </c>
      <c r="B4886" t="s">
        <v>1381</v>
      </c>
      <c r="C4886" t="s">
        <v>8202</v>
      </c>
      <c r="D4886" t="s">
        <v>18804</v>
      </c>
      <c r="E4886" t="s">
        <v>23268</v>
      </c>
      <c r="F4886" t="s">
        <v>32664</v>
      </c>
      <c r="G4886" t="s">
        <v>32671</v>
      </c>
      <c r="H4886" t="s">
        <v>12635</v>
      </c>
      <c r="I4886" t="s">
        <v>4205</v>
      </c>
      <c r="J4886" t="s">
        <v>35940</v>
      </c>
      <c r="K4886" t="s">
        <v>42281</v>
      </c>
      <c r="M4886" t="s">
        <v>44036</v>
      </c>
      <c r="N4886" t="s">
        <v>46569</v>
      </c>
      <c r="O4886" t="s">
        <v>46570</v>
      </c>
      <c r="P4886">
        <v>0</v>
      </c>
      <c r="Q4886">
        <v>0</v>
      </c>
      <c r="R4886" t="s">
        <v>46572</v>
      </c>
      <c r="S4886" t="s">
        <v>46689</v>
      </c>
      <c r="T4886" t="s">
        <v>48217</v>
      </c>
      <c r="U4886" t="s">
        <v>51827</v>
      </c>
      <c r="V4886" t="s">
        <v>61990</v>
      </c>
      <c r="W4886" t="s">
        <v>44036</v>
      </c>
      <c r="X4886" t="s">
        <v>46573</v>
      </c>
    </row>
    <row r="4887" spans="1:24">
      <c r="A4887">
        <f>HYPERLINK("https://www.philgeps.gov.ph/GEPSNONPILOT/Tender/SplashBidNoticeAbstractUI.aspx?menuIndex=3&amp;refID=7053253&amp;Result=3","7053253")</f>
        <v>0</v>
      </c>
      <c r="B4887" t="s">
        <v>53</v>
      </c>
      <c r="C4887" t="s">
        <v>8203</v>
      </c>
      <c r="E4887" t="s">
        <v>23269</v>
      </c>
      <c r="F4887" t="s">
        <v>32664</v>
      </c>
      <c r="G4887" t="s">
        <v>32671</v>
      </c>
      <c r="H4887" t="s">
        <v>12635</v>
      </c>
      <c r="I4887" t="s">
        <v>5501</v>
      </c>
      <c r="J4887" t="s">
        <v>35941</v>
      </c>
      <c r="K4887" t="s">
        <v>42283</v>
      </c>
      <c r="M4887" t="s">
        <v>42615</v>
      </c>
      <c r="N4887" t="s">
        <v>46569</v>
      </c>
      <c r="O4887" t="s">
        <v>46570</v>
      </c>
      <c r="P4887">
        <v>0</v>
      </c>
      <c r="Q4887">
        <v>2</v>
      </c>
      <c r="R4887" t="s">
        <v>46573</v>
      </c>
      <c r="S4887" t="s">
        <v>46705</v>
      </c>
      <c r="T4887" t="s">
        <v>48282</v>
      </c>
      <c r="U4887" t="s">
        <v>48853</v>
      </c>
      <c r="W4887" t="s">
        <v>42615</v>
      </c>
      <c r="X4887" t="s">
        <v>46578</v>
      </c>
    </row>
    <row r="4888" spans="1:24">
      <c r="A4888">
        <f>HYPERLINK("https://www.philgeps.gov.ph/GEPSNONPILOT/Tender/SplashBidNoticeAbstractUI.aspx?menuIndex=3&amp;refID=7053166&amp;Result=3","7053166")</f>
        <v>0</v>
      </c>
      <c r="B4888" t="s">
        <v>1695</v>
      </c>
      <c r="C4888" t="s">
        <v>8204</v>
      </c>
      <c r="D4888" t="s">
        <v>18846</v>
      </c>
      <c r="E4888" t="s">
        <v>23270</v>
      </c>
      <c r="F4888" t="s">
        <v>32664</v>
      </c>
      <c r="G4888" t="s">
        <v>32672</v>
      </c>
      <c r="H4888" t="s">
        <v>12635</v>
      </c>
      <c r="I4888" t="s">
        <v>5589</v>
      </c>
      <c r="J4888" t="s">
        <v>33015</v>
      </c>
      <c r="K4888" t="s">
        <v>42283</v>
      </c>
      <c r="M4888" t="s">
        <v>44387</v>
      </c>
      <c r="N4888" t="s">
        <v>46569</v>
      </c>
      <c r="O4888" t="s">
        <v>46570</v>
      </c>
      <c r="P4888">
        <v>0</v>
      </c>
      <c r="Q4888">
        <v>1</v>
      </c>
      <c r="R4888" t="s">
        <v>46573</v>
      </c>
      <c r="S4888" t="s">
        <v>46705</v>
      </c>
      <c r="T4888" t="s">
        <v>48411</v>
      </c>
      <c r="U4888" t="s">
        <v>52820</v>
      </c>
      <c r="W4888" t="s">
        <v>63527</v>
      </c>
      <c r="X4888" t="s">
        <v>46578</v>
      </c>
    </row>
    <row r="4889" spans="1:24">
      <c r="A4889">
        <f>HYPERLINK("https://www.philgeps.gov.ph/GEPSNONPILOT/Tender/SplashBidNoticeAbstractUI.aspx?menuIndex=3&amp;refID=7053063&amp;Result=3","7053063")</f>
        <v>0</v>
      </c>
      <c r="B4889" t="s">
        <v>53</v>
      </c>
      <c r="C4889" t="s">
        <v>8205</v>
      </c>
      <c r="E4889" t="s">
        <v>23271</v>
      </c>
      <c r="F4889" t="s">
        <v>32664</v>
      </c>
      <c r="G4889" t="s">
        <v>32671</v>
      </c>
      <c r="H4889" t="s">
        <v>12635</v>
      </c>
      <c r="I4889" t="s">
        <v>32714</v>
      </c>
      <c r="J4889" t="s">
        <v>35942</v>
      </c>
      <c r="K4889" t="s">
        <v>42283</v>
      </c>
      <c r="M4889" t="s">
        <v>42615</v>
      </c>
      <c r="N4889" t="s">
        <v>46569</v>
      </c>
      <c r="O4889" t="s">
        <v>46570</v>
      </c>
      <c r="P4889">
        <v>0</v>
      </c>
      <c r="Q4889">
        <v>0</v>
      </c>
      <c r="R4889" t="s">
        <v>46573</v>
      </c>
      <c r="S4889" t="s">
        <v>46705</v>
      </c>
      <c r="T4889" t="s">
        <v>48282</v>
      </c>
      <c r="U4889" t="s">
        <v>48853</v>
      </c>
      <c r="W4889" t="s">
        <v>42615</v>
      </c>
      <c r="X4889" t="s">
        <v>46578</v>
      </c>
    </row>
    <row r="4890" spans="1:24">
      <c r="A4890">
        <f>HYPERLINK("https://www.philgeps.gov.ph/GEPSNONPILOT/Tender/SplashBidNoticeAbstractUI.aspx?menuIndex=3&amp;refID=7053189&amp;Result=3","7053189")</f>
        <v>0</v>
      </c>
      <c r="B4890" t="s">
        <v>1695</v>
      </c>
      <c r="C4890" t="s">
        <v>8206</v>
      </c>
      <c r="D4890" t="s">
        <v>18846</v>
      </c>
      <c r="E4890" t="s">
        <v>23272</v>
      </c>
      <c r="F4890" t="s">
        <v>32664</v>
      </c>
      <c r="G4890" t="s">
        <v>32672</v>
      </c>
      <c r="H4890" t="s">
        <v>12635</v>
      </c>
      <c r="I4890" t="s">
        <v>32708</v>
      </c>
      <c r="J4890" t="s">
        <v>35943</v>
      </c>
      <c r="K4890" t="s">
        <v>42283</v>
      </c>
      <c r="M4890" t="s">
        <v>44387</v>
      </c>
      <c r="N4890" t="s">
        <v>46569</v>
      </c>
      <c r="O4890" t="s">
        <v>46570</v>
      </c>
      <c r="P4890">
        <v>0</v>
      </c>
      <c r="Q4890">
        <v>4</v>
      </c>
      <c r="R4890" t="s">
        <v>46573</v>
      </c>
      <c r="S4890" t="s">
        <v>46705</v>
      </c>
      <c r="T4890" t="s">
        <v>48411</v>
      </c>
      <c r="U4890" t="s">
        <v>52821</v>
      </c>
      <c r="W4890" t="s">
        <v>63527</v>
      </c>
      <c r="X4890" t="s">
        <v>46578</v>
      </c>
    </row>
    <row r="4891" spans="1:24">
      <c r="A4891">
        <f>HYPERLINK("https://www.philgeps.gov.ph/GEPSNONPILOT/Tender/SplashBidNoticeAbstractUI.aspx?menuIndex=3&amp;refID=7052165&amp;Result=3","7052165")</f>
        <v>0</v>
      </c>
      <c r="B4891" t="s">
        <v>95</v>
      </c>
      <c r="C4891" t="s">
        <v>8207</v>
      </c>
      <c r="D4891" t="s">
        <v>18807</v>
      </c>
      <c r="E4891" t="s">
        <v>23273</v>
      </c>
      <c r="F4891" t="s">
        <v>32664</v>
      </c>
      <c r="G4891" t="s">
        <v>32672</v>
      </c>
      <c r="H4891" t="s">
        <v>12635</v>
      </c>
      <c r="I4891" t="s">
        <v>32685</v>
      </c>
      <c r="J4891" t="s">
        <v>35944</v>
      </c>
      <c r="K4891" t="s">
        <v>42281</v>
      </c>
      <c r="M4891" t="s">
        <v>42658</v>
      </c>
      <c r="N4891" t="s">
        <v>46569</v>
      </c>
      <c r="O4891" t="s">
        <v>46570</v>
      </c>
      <c r="P4891">
        <v>0</v>
      </c>
      <c r="Q4891">
        <v>0</v>
      </c>
      <c r="R4891" t="s">
        <v>46573</v>
      </c>
      <c r="S4891" t="s">
        <v>46705</v>
      </c>
      <c r="T4891" t="s">
        <v>48282</v>
      </c>
      <c r="U4891" t="s">
        <v>52822</v>
      </c>
      <c r="W4891" t="s">
        <v>42658</v>
      </c>
      <c r="X4891" t="s">
        <v>46579</v>
      </c>
    </row>
    <row r="4892" spans="1:24">
      <c r="A4892">
        <f>HYPERLINK("https://www.philgeps.gov.ph/GEPSNONPILOT/Tender/SplashBidNoticeAbstractUI.aspx?menuIndex=3&amp;refID=7053115&amp;Result=3","7053115")</f>
        <v>0</v>
      </c>
      <c r="B4892" t="s">
        <v>53</v>
      </c>
      <c r="C4892" t="s">
        <v>8208</v>
      </c>
      <c r="E4892" t="s">
        <v>23274</v>
      </c>
      <c r="F4892" t="s">
        <v>32664</v>
      </c>
      <c r="G4892" t="s">
        <v>32671</v>
      </c>
      <c r="H4892" t="s">
        <v>12635</v>
      </c>
      <c r="I4892" t="s">
        <v>32714</v>
      </c>
      <c r="J4892" t="s">
        <v>35945</v>
      </c>
      <c r="K4892" t="s">
        <v>42283</v>
      </c>
      <c r="M4892" t="s">
        <v>42615</v>
      </c>
      <c r="N4892" t="s">
        <v>46569</v>
      </c>
      <c r="O4892" t="s">
        <v>46570</v>
      </c>
      <c r="P4892">
        <v>0</v>
      </c>
      <c r="Q4892">
        <v>0</v>
      </c>
      <c r="R4892" t="s">
        <v>46573</v>
      </c>
      <c r="S4892" t="s">
        <v>46705</v>
      </c>
      <c r="T4892" t="s">
        <v>48282</v>
      </c>
      <c r="U4892" t="s">
        <v>48853</v>
      </c>
      <c r="W4892" t="s">
        <v>42615</v>
      </c>
      <c r="X4892" t="s">
        <v>46578</v>
      </c>
    </row>
    <row r="4893" spans="1:24">
      <c r="A4893">
        <f>HYPERLINK("https://www.philgeps.gov.ph/GEPSNONPILOT/Tender/SplashBidNoticeAbstractUI.aspx?menuIndex=3&amp;refID=7052148&amp;Result=3","7052148")</f>
        <v>0</v>
      </c>
      <c r="B4893" t="s">
        <v>1697</v>
      </c>
      <c r="C4893" t="s">
        <v>8209</v>
      </c>
      <c r="D4893" t="s">
        <v>18840</v>
      </c>
      <c r="E4893" t="s">
        <v>23275</v>
      </c>
      <c r="F4893" t="s">
        <v>32664</v>
      </c>
      <c r="G4893" t="s">
        <v>32672</v>
      </c>
      <c r="H4893" t="s">
        <v>12635</v>
      </c>
      <c r="I4893" t="s">
        <v>4439</v>
      </c>
      <c r="J4893" t="s">
        <v>35946</v>
      </c>
      <c r="K4893" t="s">
        <v>42289</v>
      </c>
      <c r="M4893" t="s">
        <v>44389</v>
      </c>
      <c r="N4893" t="s">
        <v>46569</v>
      </c>
      <c r="O4893" t="s">
        <v>46570</v>
      </c>
      <c r="P4893">
        <v>0</v>
      </c>
      <c r="Q4893">
        <v>0</v>
      </c>
      <c r="R4893" t="s">
        <v>46573</v>
      </c>
      <c r="S4893" t="s">
        <v>46705</v>
      </c>
      <c r="T4893" t="s">
        <v>48220</v>
      </c>
      <c r="U4893" t="s">
        <v>52823</v>
      </c>
      <c r="W4893" t="s">
        <v>44389</v>
      </c>
      <c r="X4893" t="s">
        <v>46579</v>
      </c>
    </row>
    <row r="4894" spans="1:24">
      <c r="A4894">
        <f>HYPERLINK("https://www.philgeps.gov.ph/GEPSNONPILOT/Tender/SplashBidNoticeAbstractUI.aspx?menuIndex=3&amp;refID=7053201&amp;Result=3","7053201")</f>
        <v>0</v>
      </c>
      <c r="B4894" t="s">
        <v>53</v>
      </c>
      <c r="C4894" t="s">
        <v>8210</v>
      </c>
      <c r="E4894" t="s">
        <v>23276</v>
      </c>
      <c r="F4894" t="s">
        <v>32664</v>
      </c>
      <c r="G4894" t="s">
        <v>32671</v>
      </c>
      <c r="H4894" t="s">
        <v>12635</v>
      </c>
      <c r="I4894" t="s">
        <v>5501</v>
      </c>
      <c r="J4894" t="s">
        <v>35947</v>
      </c>
      <c r="K4894" t="s">
        <v>42283</v>
      </c>
      <c r="M4894" t="s">
        <v>42615</v>
      </c>
      <c r="N4894" t="s">
        <v>46569</v>
      </c>
      <c r="O4894" t="s">
        <v>46570</v>
      </c>
      <c r="P4894">
        <v>0</v>
      </c>
      <c r="Q4894">
        <v>2</v>
      </c>
      <c r="R4894" t="s">
        <v>46573</v>
      </c>
      <c r="S4894" t="s">
        <v>46705</v>
      </c>
      <c r="T4894" t="s">
        <v>48282</v>
      </c>
      <c r="U4894" t="s">
        <v>48853</v>
      </c>
      <c r="W4894" t="s">
        <v>42615</v>
      </c>
      <c r="X4894" t="s">
        <v>46578</v>
      </c>
    </row>
    <row r="4895" spans="1:24">
      <c r="A4895">
        <f>HYPERLINK("https://www.philgeps.gov.ph/GEPSNONPILOT/Tender/SplashBidNoticeAbstractUI.aspx?menuIndex=3&amp;refID=7052101&amp;Result=3","7052101")</f>
        <v>0</v>
      </c>
      <c r="B4895" t="s">
        <v>95</v>
      </c>
      <c r="C4895" t="s">
        <v>8211</v>
      </c>
      <c r="D4895" t="s">
        <v>18807</v>
      </c>
      <c r="E4895" t="s">
        <v>23277</v>
      </c>
      <c r="F4895" t="s">
        <v>32664</v>
      </c>
      <c r="G4895" t="s">
        <v>32672</v>
      </c>
      <c r="H4895" t="s">
        <v>12635</v>
      </c>
      <c r="I4895" t="s">
        <v>32684</v>
      </c>
      <c r="J4895" t="s">
        <v>33032</v>
      </c>
      <c r="K4895" t="s">
        <v>42281</v>
      </c>
      <c r="M4895" t="s">
        <v>42658</v>
      </c>
      <c r="N4895" t="s">
        <v>46569</v>
      </c>
      <c r="O4895" t="s">
        <v>46570</v>
      </c>
      <c r="P4895">
        <v>0</v>
      </c>
      <c r="Q4895">
        <v>2</v>
      </c>
      <c r="R4895" t="s">
        <v>46573</v>
      </c>
      <c r="S4895" t="s">
        <v>46705</v>
      </c>
      <c r="T4895" t="s">
        <v>48282</v>
      </c>
      <c r="U4895" t="s">
        <v>52824</v>
      </c>
      <c r="W4895" t="s">
        <v>42658</v>
      </c>
      <c r="X4895" t="s">
        <v>46579</v>
      </c>
    </row>
    <row r="4896" spans="1:24">
      <c r="A4896">
        <f>HYPERLINK("https://www.philgeps.gov.ph/GEPSNONPILOT/Tender/SplashBidNoticeAbstractUI.aspx?menuIndex=3&amp;refID=7062756&amp;Result=3","7062756")</f>
        <v>0</v>
      </c>
      <c r="B4896" t="s">
        <v>1311</v>
      </c>
      <c r="C4896" t="s">
        <v>8212</v>
      </c>
      <c r="D4896" t="s">
        <v>18790</v>
      </c>
      <c r="E4896" t="s">
        <v>23278</v>
      </c>
      <c r="F4896" t="s">
        <v>32664</v>
      </c>
      <c r="G4896" t="s">
        <v>32674</v>
      </c>
      <c r="H4896" t="s">
        <v>12635</v>
      </c>
      <c r="I4896" t="s">
        <v>6628</v>
      </c>
      <c r="J4896" t="s">
        <v>34025</v>
      </c>
      <c r="K4896" t="s">
        <v>42284</v>
      </c>
      <c r="M4896" t="s">
        <v>43957</v>
      </c>
      <c r="N4896" t="s">
        <v>46569</v>
      </c>
      <c r="O4896" t="s">
        <v>46570</v>
      </c>
      <c r="P4896">
        <v>0</v>
      </c>
      <c r="Q4896">
        <v>0</v>
      </c>
      <c r="R4896" t="s">
        <v>46572</v>
      </c>
      <c r="S4896" t="s">
        <v>46689</v>
      </c>
      <c r="T4896" t="s">
        <v>48283</v>
      </c>
      <c r="U4896" t="s">
        <v>52825</v>
      </c>
      <c r="W4896" t="s">
        <v>43957</v>
      </c>
      <c r="X4896" t="s">
        <v>46573</v>
      </c>
    </row>
    <row r="4897" spans="1:24">
      <c r="A4897">
        <f>HYPERLINK("https://www.philgeps.gov.ph/GEPSNONPILOT/Tender/SplashBidNoticeAbstractUI.aspx?menuIndex=3&amp;refID=7053185&amp;Result=3","7053185")</f>
        <v>0</v>
      </c>
      <c r="B4897" t="s">
        <v>53</v>
      </c>
      <c r="C4897" t="s">
        <v>8213</v>
      </c>
      <c r="E4897" t="s">
        <v>23279</v>
      </c>
      <c r="F4897" t="s">
        <v>32664</v>
      </c>
      <c r="G4897" t="s">
        <v>32671</v>
      </c>
      <c r="H4897" t="s">
        <v>12635</v>
      </c>
      <c r="I4897" t="s">
        <v>8730</v>
      </c>
      <c r="J4897" t="s">
        <v>35948</v>
      </c>
      <c r="K4897" t="s">
        <v>42284</v>
      </c>
      <c r="M4897" t="s">
        <v>44390</v>
      </c>
      <c r="N4897" t="s">
        <v>46569</v>
      </c>
      <c r="O4897" t="s">
        <v>46570</v>
      </c>
      <c r="P4897">
        <v>0</v>
      </c>
      <c r="Q4897">
        <v>12</v>
      </c>
      <c r="R4897" t="s">
        <v>46573</v>
      </c>
      <c r="S4897" t="s">
        <v>46705</v>
      </c>
      <c r="T4897" t="s">
        <v>48282</v>
      </c>
      <c r="U4897" t="s">
        <v>52826</v>
      </c>
      <c r="W4897" t="s">
        <v>44390</v>
      </c>
      <c r="X4897" t="s">
        <v>46578</v>
      </c>
    </row>
    <row r="4898" spans="1:24">
      <c r="A4898">
        <f>HYPERLINK("https://www.philgeps.gov.ph/GEPSNONPILOT/Tender/SplashBidNoticeAbstractUI.aspx?menuIndex=3&amp;refID=7052126&amp;Result=3","7052126")</f>
        <v>0</v>
      </c>
      <c r="B4898" t="s">
        <v>95</v>
      </c>
      <c r="C4898" t="s">
        <v>8214</v>
      </c>
      <c r="D4898" t="s">
        <v>18807</v>
      </c>
      <c r="E4898" t="s">
        <v>23280</v>
      </c>
      <c r="F4898" t="s">
        <v>32664</v>
      </c>
      <c r="G4898" t="s">
        <v>32672</v>
      </c>
      <c r="H4898" t="s">
        <v>12635</v>
      </c>
      <c r="I4898" t="s">
        <v>4439</v>
      </c>
      <c r="J4898" t="s">
        <v>35949</v>
      </c>
      <c r="K4898" t="s">
        <v>42281</v>
      </c>
      <c r="M4898" t="s">
        <v>42658</v>
      </c>
      <c r="N4898" t="s">
        <v>46569</v>
      </c>
      <c r="O4898" t="s">
        <v>46570</v>
      </c>
      <c r="P4898">
        <v>0</v>
      </c>
      <c r="Q4898">
        <v>0</v>
      </c>
      <c r="R4898" t="s">
        <v>46573</v>
      </c>
      <c r="S4898" t="s">
        <v>46705</v>
      </c>
      <c r="T4898" t="s">
        <v>48282</v>
      </c>
      <c r="U4898" t="s">
        <v>52827</v>
      </c>
      <c r="W4898" t="s">
        <v>42658</v>
      </c>
      <c r="X4898" t="s">
        <v>46579</v>
      </c>
    </row>
    <row r="4899" spans="1:24">
      <c r="A4899">
        <f>HYPERLINK("https://www.philgeps.gov.ph/GEPSNONPILOT/Tender/SplashBidNoticeAbstractUI.aspx?menuIndex=3&amp;refID=7054380&amp;Result=3","7054380")</f>
        <v>0</v>
      </c>
      <c r="B4899" t="s">
        <v>1007</v>
      </c>
      <c r="C4899" t="s">
        <v>8215</v>
      </c>
      <c r="D4899" t="s">
        <v>18812</v>
      </c>
      <c r="E4899" t="s">
        <v>23281</v>
      </c>
      <c r="F4899" t="s">
        <v>32664</v>
      </c>
      <c r="G4899" t="s">
        <v>32672</v>
      </c>
      <c r="H4899" t="s">
        <v>12635</v>
      </c>
      <c r="I4899" t="s">
        <v>4439</v>
      </c>
      <c r="J4899" t="s">
        <v>35950</v>
      </c>
      <c r="K4899" t="s">
        <v>42284</v>
      </c>
      <c r="M4899" t="s">
        <v>44391</v>
      </c>
      <c r="N4899" t="s">
        <v>46569</v>
      </c>
      <c r="O4899" t="s">
        <v>46570</v>
      </c>
      <c r="P4899">
        <v>0</v>
      </c>
      <c r="Q4899">
        <v>0</v>
      </c>
      <c r="R4899" t="s">
        <v>46573</v>
      </c>
      <c r="S4899" t="s">
        <v>46705</v>
      </c>
      <c r="T4899" t="s">
        <v>48334</v>
      </c>
      <c r="U4899" t="s">
        <v>52828</v>
      </c>
      <c r="W4899" t="s">
        <v>44391</v>
      </c>
      <c r="X4899" t="s">
        <v>46578</v>
      </c>
    </row>
    <row r="4900" spans="1:24">
      <c r="A4900">
        <f>HYPERLINK("https://www.philgeps.gov.ph/GEPSNONPILOT/Tender/SplashBidNoticeAbstractUI.aspx?menuIndex=3&amp;refID=7054375&amp;Result=3","7054375")</f>
        <v>0</v>
      </c>
      <c r="B4900" t="s">
        <v>182</v>
      </c>
      <c r="C4900" t="s">
        <v>8216</v>
      </c>
      <c r="D4900" t="s">
        <v>18818</v>
      </c>
      <c r="E4900" t="s">
        <v>23282</v>
      </c>
      <c r="F4900" t="s">
        <v>32664</v>
      </c>
      <c r="G4900" t="s">
        <v>32672</v>
      </c>
      <c r="H4900" t="s">
        <v>12635</v>
      </c>
      <c r="I4900" t="s">
        <v>11464</v>
      </c>
      <c r="J4900" t="s">
        <v>33302</v>
      </c>
      <c r="K4900" t="s">
        <v>42347</v>
      </c>
      <c r="M4900" t="s">
        <v>42746</v>
      </c>
      <c r="N4900" t="s">
        <v>46569</v>
      </c>
      <c r="O4900" t="s">
        <v>46570</v>
      </c>
      <c r="P4900">
        <v>0</v>
      </c>
      <c r="Q4900">
        <v>3</v>
      </c>
      <c r="R4900" t="s">
        <v>46573</v>
      </c>
      <c r="S4900" t="s">
        <v>46705</v>
      </c>
      <c r="T4900" t="s">
        <v>48216</v>
      </c>
      <c r="U4900" t="s">
        <v>52829</v>
      </c>
      <c r="W4900" t="s">
        <v>42746</v>
      </c>
      <c r="X4900" t="s">
        <v>46578</v>
      </c>
    </row>
    <row r="4901" spans="1:24">
      <c r="A4901">
        <f>HYPERLINK("https://www.philgeps.gov.ph/GEPSNONPILOT/Tender/SplashBidNoticeAbstractUI.aspx?menuIndex=3&amp;refID=7054337&amp;Result=3","7054337")</f>
        <v>0</v>
      </c>
      <c r="B4901" t="s">
        <v>1007</v>
      </c>
      <c r="C4901" t="s">
        <v>8217</v>
      </c>
      <c r="D4901" t="s">
        <v>18812</v>
      </c>
      <c r="E4901" t="s">
        <v>23283</v>
      </c>
      <c r="F4901" t="s">
        <v>32664</v>
      </c>
      <c r="G4901" t="s">
        <v>32672</v>
      </c>
      <c r="H4901" t="s">
        <v>12635</v>
      </c>
      <c r="I4901" t="s">
        <v>8797</v>
      </c>
      <c r="J4901" t="s">
        <v>35951</v>
      </c>
      <c r="K4901" t="s">
        <v>42284</v>
      </c>
      <c r="M4901" t="s">
        <v>44391</v>
      </c>
      <c r="N4901" t="s">
        <v>46569</v>
      </c>
      <c r="O4901" t="s">
        <v>46570</v>
      </c>
      <c r="P4901">
        <v>0</v>
      </c>
      <c r="Q4901">
        <v>3</v>
      </c>
      <c r="R4901" t="s">
        <v>46573</v>
      </c>
      <c r="S4901" t="s">
        <v>46705</v>
      </c>
      <c r="T4901" t="s">
        <v>48334</v>
      </c>
      <c r="U4901" t="s">
        <v>52830</v>
      </c>
      <c r="W4901" t="s">
        <v>44391</v>
      </c>
      <c r="X4901" t="s">
        <v>46578</v>
      </c>
    </row>
    <row r="4902" spans="1:24">
      <c r="A4902">
        <f>HYPERLINK("https://www.philgeps.gov.ph/GEPSNONPILOT/Tender/SplashBidNoticeAbstractUI.aspx?menuIndex=3&amp;refID=7054304&amp;Result=3","7054304")</f>
        <v>0</v>
      </c>
      <c r="B4902" t="s">
        <v>1007</v>
      </c>
      <c r="C4902" t="s">
        <v>8218</v>
      </c>
      <c r="D4902" t="s">
        <v>18812</v>
      </c>
      <c r="E4902" t="s">
        <v>23284</v>
      </c>
      <c r="F4902" t="s">
        <v>32664</v>
      </c>
      <c r="G4902" t="s">
        <v>32672</v>
      </c>
      <c r="H4902" t="s">
        <v>12635</v>
      </c>
      <c r="I4902" t="s">
        <v>5589</v>
      </c>
      <c r="J4902" t="s">
        <v>35952</v>
      </c>
      <c r="K4902" t="s">
        <v>42284</v>
      </c>
      <c r="M4902" t="s">
        <v>44391</v>
      </c>
      <c r="N4902" t="s">
        <v>46569</v>
      </c>
      <c r="O4902" t="s">
        <v>46570</v>
      </c>
      <c r="P4902">
        <v>0</v>
      </c>
      <c r="Q4902">
        <v>1</v>
      </c>
      <c r="R4902" t="s">
        <v>46573</v>
      </c>
      <c r="S4902" t="s">
        <v>46705</v>
      </c>
      <c r="T4902" t="s">
        <v>48334</v>
      </c>
      <c r="U4902" t="s">
        <v>52831</v>
      </c>
      <c r="W4902" t="s">
        <v>44391</v>
      </c>
      <c r="X4902" t="s">
        <v>46578</v>
      </c>
    </row>
    <row r="4903" spans="1:24">
      <c r="A4903">
        <f>HYPERLINK("https://www.philgeps.gov.ph/GEPSNONPILOT/Tender/SplashBidNoticeAbstractUI.aspx?menuIndex=3&amp;refID=7054267&amp;Result=3","7054267")</f>
        <v>0</v>
      </c>
      <c r="B4903" t="s">
        <v>1007</v>
      </c>
      <c r="C4903" t="s">
        <v>8219</v>
      </c>
      <c r="D4903" t="s">
        <v>18812</v>
      </c>
      <c r="E4903" t="s">
        <v>23285</v>
      </c>
      <c r="F4903" t="s">
        <v>32664</v>
      </c>
      <c r="G4903" t="s">
        <v>32672</v>
      </c>
      <c r="H4903" t="s">
        <v>12635</v>
      </c>
      <c r="I4903" t="s">
        <v>32689</v>
      </c>
      <c r="J4903" t="s">
        <v>34340</v>
      </c>
      <c r="K4903" t="s">
        <v>42284</v>
      </c>
      <c r="M4903" t="s">
        <v>44391</v>
      </c>
      <c r="N4903" t="s">
        <v>46569</v>
      </c>
      <c r="O4903" t="s">
        <v>46570</v>
      </c>
      <c r="P4903">
        <v>0</v>
      </c>
      <c r="Q4903">
        <v>1</v>
      </c>
      <c r="R4903" t="s">
        <v>46573</v>
      </c>
      <c r="S4903" t="s">
        <v>46705</v>
      </c>
      <c r="T4903" t="s">
        <v>48334</v>
      </c>
      <c r="U4903" t="s">
        <v>52832</v>
      </c>
      <c r="W4903" t="s">
        <v>44391</v>
      </c>
      <c r="X4903" t="s">
        <v>46578</v>
      </c>
    </row>
    <row r="4904" spans="1:24">
      <c r="A4904">
        <f>HYPERLINK("https://www.philgeps.gov.ph/GEPSNONPILOT/Tender/SplashBidNoticeAbstractUI.aspx?menuIndex=3&amp;refID=7052984&amp;Result=3","7052984")</f>
        <v>0</v>
      </c>
      <c r="B4904" t="s">
        <v>53</v>
      </c>
      <c r="C4904" t="s">
        <v>8220</v>
      </c>
      <c r="E4904" t="s">
        <v>23286</v>
      </c>
      <c r="F4904" t="s">
        <v>32664</v>
      </c>
      <c r="G4904" t="s">
        <v>32671</v>
      </c>
      <c r="H4904" t="s">
        <v>12635</v>
      </c>
      <c r="I4904" t="s">
        <v>7759</v>
      </c>
      <c r="J4904" t="s">
        <v>33117</v>
      </c>
      <c r="K4904" t="s">
        <v>42284</v>
      </c>
      <c r="M4904" t="s">
        <v>42615</v>
      </c>
      <c r="N4904" t="s">
        <v>46569</v>
      </c>
      <c r="O4904" t="s">
        <v>46570</v>
      </c>
      <c r="P4904">
        <v>0</v>
      </c>
      <c r="Q4904">
        <v>1</v>
      </c>
      <c r="R4904" t="s">
        <v>46573</v>
      </c>
      <c r="S4904" t="s">
        <v>46705</v>
      </c>
      <c r="T4904" t="s">
        <v>48282</v>
      </c>
      <c r="U4904" t="s">
        <v>48853</v>
      </c>
      <c r="W4904" t="s">
        <v>42615</v>
      </c>
      <c r="X4904" t="s">
        <v>46578</v>
      </c>
    </row>
    <row r="4905" spans="1:24">
      <c r="A4905">
        <f>HYPERLINK("https://www.philgeps.gov.ph/GEPSNONPILOT/Tender/SplashBidNoticeAbstractUI.aspx?menuIndex=3&amp;refID=7054212&amp;Result=3","7054212")</f>
        <v>0</v>
      </c>
      <c r="B4905" t="s">
        <v>1007</v>
      </c>
      <c r="C4905" t="s">
        <v>8221</v>
      </c>
      <c r="D4905" t="s">
        <v>18812</v>
      </c>
      <c r="E4905" t="s">
        <v>23287</v>
      </c>
      <c r="F4905" t="s">
        <v>32664</v>
      </c>
      <c r="G4905" t="s">
        <v>32672</v>
      </c>
      <c r="H4905" t="s">
        <v>12635</v>
      </c>
      <c r="I4905" t="s">
        <v>32698</v>
      </c>
      <c r="J4905" t="s">
        <v>35953</v>
      </c>
      <c r="K4905" t="s">
        <v>42284</v>
      </c>
      <c r="M4905" t="s">
        <v>44391</v>
      </c>
      <c r="N4905" t="s">
        <v>46569</v>
      </c>
      <c r="O4905" t="s">
        <v>46570</v>
      </c>
      <c r="P4905">
        <v>0</v>
      </c>
      <c r="Q4905">
        <v>0</v>
      </c>
      <c r="R4905" t="s">
        <v>46573</v>
      </c>
      <c r="S4905" t="s">
        <v>46705</v>
      </c>
      <c r="T4905" t="s">
        <v>48334</v>
      </c>
      <c r="U4905" t="s">
        <v>52833</v>
      </c>
      <c r="W4905" t="s">
        <v>44391</v>
      </c>
      <c r="X4905" t="s">
        <v>46578</v>
      </c>
    </row>
    <row r="4906" spans="1:24">
      <c r="A4906">
        <f>HYPERLINK("https://www.philgeps.gov.ph/GEPSNONPILOT/Tender/SplashBidNoticeAbstractUI.aspx?menuIndex=3&amp;refID=7052099&amp;Result=3","7052099")</f>
        <v>0</v>
      </c>
      <c r="B4906" t="s">
        <v>1697</v>
      </c>
      <c r="C4906" t="s">
        <v>8222</v>
      </c>
      <c r="D4906" t="s">
        <v>18840</v>
      </c>
      <c r="E4906" t="s">
        <v>23288</v>
      </c>
      <c r="F4906" t="s">
        <v>32664</v>
      </c>
      <c r="G4906" t="s">
        <v>32672</v>
      </c>
      <c r="H4906" t="s">
        <v>12635</v>
      </c>
      <c r="I4906" t="s">
        <v>32716</v>
      </c>
      <c r="J4906" t="s">
        <v>35954</v>
      </c>
      <c r="K4906" t="s">
        <v>42289</v>
      </c>
      <c r="M4906" t="s">
        <v>44389</v>
      </c>
      <c r="N4906" t="s">
        <v>46569</v>
      </c>
      <c r="O4906" t="s">
        <v>46570</v>
      </c>
      <c r="P4906">
        <v>0</v>
      </c>
      <c r="Q4906">
        <v>1</v>
      </c>
      <c r="R4906" t="s">
        <v>46573</v>
      </c>
      <c r="S4906" t="s">
        <v>46705</v>
      </c>
      <c r="T4906" t="s">
        <v>48220</v>
      </c>
      <c r="U4906" t="s">
        <v>52823</v>
      </c>
      <c r="W4906" t="s">
        <v>44389</v>
      </c>
      <c r="X4906" t="s">
        <v>46579</v>
      </c>
    </row>
    <row r="4907" spans="1:24">
      <c r="A4907">
        <f>HYPERLINK("https://www.philgeps.gov.ph/GEPSNONPILOT/Tender/SplashBidNoticeAbstractUI.aspx?menuIndex=3&amp;refID=7054211&amp;Result=3","7054211")</f>
        <v>0</v>
      </c>
      <c r="B4907" t="s">
        <v>95</v>
      </c>
      <c r="C4907" t="s">
        <v>8223</v>
      </c>
      <c r="D4907" t="s">
        <v>18807</v>
      </c>
      <c r="E4907" t="s">
        <v>23289</v>
      </c>
      <c r="F4907" t="s">
        <v>32664</v>
      </c>
      <c r="G4907" t="s">
        <v>32672</v>
      </c>
      <c r="H4907" t="s">
        <v>32683</v>
      </c>
      <c r="I4907" t="s">
        <v>10627</v>
      </c>
      <c r="J4907" t="s">
        <v>33009</v>
      </c>
      <c r="K4907" t="s">
        <v>42312</v>
      </c>
      <c r="M4907" t="s">
        <v>42658</v>
      </c>
      <c r="N4907" t="s">
        <v>46569</v>
      </c>
      <c r="O4907" t="s">
        <v>46570</v>
      </c>
      <c r="P4907">
        <v>0</v>
      </c>
      <c r="Q4907">
        <v>0</v>
      </c>
      <c r="R4907" t="s">
        <v>46573</v>
      </c>
      <c r="S4907" t="s">
        <v>46705</v>
      </c>
      <c r="T4907" t="s">
        <v>48274</v>
      </c>
      <c r="U4907" t="s">
        <v>52834</v>
      </c>
      <c r="W4907" t="s">
        <v>42658</v>
      </c>
      <c r="X4907" t="s">
        <v>46578</v>
      </c>
    </row>
    <row r="4908" spans="1:24">
      <c r="A4908">
        <f>HYPERLINK("https://www.philgeps.gov.ph/GEPSNONPILOT/Tender/SplashBidNoticeAbstractUI.aspx?menuIndex=3&amp;refID=7054233&amp;Result=3","7054233")</f>
        <v>0</v>
      </c>
      <c r="B4908" t="s">
        <v>1007</v>
      </c>
      <c r="C4908" t="s">
        <v>8224</v>
      </c>
      <c r="D4908" t="s">
        <v>18812</v>
      </c>
      <c r="E4908" t="s">
        <v>23290</v>
      </c>
      <c r="F4908" t="s">
        <v>32664</v>
      </c>
      <c r="G4908" t="s">
        <v>32672</v>
      </c>
      <c r="H4908" t="s">
        <v>12635</v>
      </c>
      <c r="I4908" t="s">
        <v>32712</v>
      </c>
      <c r="J4908" t="s">
        <v>34932</v>
      </c>
      <c r="K4908" t="s">
        <v>42284</v>
      </c>
      <c r="M4908" t="s">
        <v>44391</v>
      </c>
      <c r="N4908" t="s">
        <v>46569</v>
      </c>
      <c r="O4908" t="s">
        <v>46570</v>
      </c>
      <c r="P4908">
        <v>0</v>
      </c>
      <c r="Q4908">
        <v>3</v>
      </c>
      <c r="R4908" t="s">
        <v>46573</v>
      </c>
      <c r="S4908" t="s">
        <v>46705</v>
      </c>
      <c r="T4908" t="s">
        <v>48334</v>
      </c>
      <c r="U4908" t="s">
        <v>52835</v>
      </c>
      <c r="W4908" t="s">
        <v>44391</v>
      </c>
      <c r="X4908" t="s">
        <v>46578</v>
      </c>
    </row>
    <row r="4909" spans="1:24">
      <c r="A4909">
        <f>HYPERLINK("https://www.philgeps.gov.ph/GEPSNONPILOT/Tender/SplashBidNoticeAbstractUI.aspx?menuIndex=3&amp;refID=7052053&amp;Result=3","7052053")</f>
        <v>0</v>
      </c>
      <c r="B4909" t="s">
        <v>1698</v>
      </c>
      <c r="C4909" t="s">
        <v>8225</v>
      </c>
      <c r="D4909" t="s">
        <v>18840</v>
      </c>
      <c r="E4909" t="s">
        <v>23291</v>
      </c>
      <c r="F4909" t="s">
        <v>32664</v>
      </c>
      <c r="G4909" t="s">
        <v>32672</v>
      </c>
      <c r="H4909" t="s">
        <v>32683</v>
      </c>
      <c r="I4909" t="s">
        <v>10627</v>
      </c>
      <c r="J4909" t="s">
        <v>33128</v>
      </c>
      <c r="K4909" t="s">
        <v>42281</v>
      </c>
      <c r="M4909" t="s">
        <v>44392</v>
      </c>
      <c r="N4909" t="s">
        <v>46569</v>
      </c>
      <c r="O4909" t="s">
        <v>46570</v>
      </c>
      <c r="P4909">
        <v>0</v>
      </c>
      <c r="Q4909">
        <v>0</v>
      </c>
      <c r="R4909" t="s">
        <v>46573</v>
      </c>
      <c r="S4909" t="s">
        <v>46705</v>
      </c>
      <c r="T4909" t="s">
        <v>48220</v>
      </c>
      <c r="U4909" t="s">
        <v>52836</v>
      </c>
      <c r="W4909" t="s">
        <v>44392</v>
      </c>
      <c r="X4909" t="s">
        <v>46579</v>
      </c>
    </row>
    <row r="4910" spans="1:24">
      <c r="A4910">
        <f>HYPERLINK("https://www.philgeps.gov.ph/GEPSNONPILOT/Tender/SplashBidNoticeAbstractUI.aspx?menuIndex=3&amp;refID=7054361&amp;Result=3","7054361")</f>
        <v>0</v>
      </c>
      <c r="B4910" t="s">
        <v>1007</v>
      </c>
      <c r="C4910" t="s">
        <v>8226</v>
      </c>
      <c r="D4910" t="s">
        <v>18812</v>
      </c>
      <c r="E4910" t="s">
        <v>23292</v>
      </c>
      <c r="F4910" t="s">
        <v>32664</v>
      </c>
      <c r="G4910" t="s">
        <v>32672</v>
      </c>
      <c r="H4910" t="s">
        <v>12635</v>
      </c>
      <c r="I4910" t="s">
        <v>4439</v>
      </c>
      <c r="J4910" t="s">
        <v>35955</v>
      </c>
      <c r="K4910" t="s">
        <v>42284</v>
      </c>
      <c r="M4910" t="s">
        <v>44391</v>
      </c>
      <c r="N4910" t="s">
        <v>46569</v>
      </c>
      <c r="O4910" t="s">
        <v>46570</v>
      </c>
      <c r="P4910">
        <v>0</v>
      </c>
      <c r="Q4910">
        <v>0</v>
      </c>
      <c r="R4910" t="s">
        <v>46573</v>
      </c>
      <c r="S4910" t="s">
        <v>46705</v>
      </c>
      <c r="T4910" t="s">
        <v>48334</v>
      </c>
      <c r="U4910" t="s">
        <v>52837</v>
      </c>
      <c r="W4910" t="s">
        <v>44391</v>
      </c>
      <c r="X4910" t="s">
        <v>46578</v>
      </c>
    </row>
    <row r="4911" spans="1:24">
      <c r="A4911">
        <f>HYPERLINK("https://www.philgeps.gov.ph/GEPSNONPILOT/Tender/SplashBidNoticeAbstractUI.aspx?menuIndex=3&amp;refID=7054109&amp;Result=3","7054109")</f>
        <v>0</v>
      </c>
      <c r="B4911" t="s">
        <v>1007</v>
      </c>
      <c r="C4911" t="s">
        <v>8227</v>
      </c>
      <c r="D4911" t="s">
        <v>18812</v>
      </c>
      <c r="E4911" t="s">
        <v>23293</v>
      </c>
      <c r="F4911" t="s">
        <v>32664</v>
      </c>
      <c r="G4911" t="s">
        <v>32672</v>
      </c>
      <c r="H4911" t="s">
        <v>12635</v>
      </c>
      <c r="I4911" t="s">
        <v>32699</v>
      </c>
      <c r="J4911" t="s">
        <v>34651</v>
      </c>
      <c r="K4911" t="s">
        <v>42284</v>
      </c>
      <c r="M4911" t="s">
        <v>44391</v>
      </c>
      <c r="N4911" t="s">
        <v>46569</v>
      </c>
      <c r="O4911" t="s">
        <v>46570</v>
      </c>
      <c r="P4911">
        <v>0</v>
      </c>
      <c r="Q4911">
        <v>1</v>
      </c>
      <c r="R4911" t="s">
        <v>46573</v>
      </c>
      <c r="S4911" t="s">
        <v>46705</v>
      </c>
      <c r="T4911" t="s">
        <v>48305</v>
      </c>
      <c r="U4911" t="s">
        <v>52838</v>
      </c>
      <c r="W4911" t="s">
        <v>44391</v>
      </c>
      <c r="X4911" t="s">
        <v>46578</v>
      </c>
    </row>
    <row r="4912" spans="1:24">
      <c r="A4912">
        <f>HYPERLINK("https://www.philgeps.gov.ph/GEPSNONPILOT/Tender/SplashBidNoticeAbstractUI.aspx?menuIndex=3&amp;refID=7054149&amp;Result=3","7054149")</f>
        <v>0</v>
      </c>
      <c r="B4912" t="s">
        <v>1007</v>
      </c>
      <c r="C4912" t="s">
        <v>8228</v>
      </c>
      <c r="D4912" t="s">
        <v>18812</v>
      </c>
      <c r="E4912" t="s">
        <v>23294</v>
      </c>
      <c r="F4912" t="s">
        <v>32664</v>
      </c>
      <c r="G4912" t="s">
        <v>32672</v>
      </c>
      <c r="H4912" t="s">
        <v>12635</v>
      </c>
      <c r="I4912" t="s">
        <v>32736</v>
      </c>
      <c r="J4912" t="s">
        <v>34851</v>
      </c>
      <c r="K4912" t="s">
        <v>42284</v>
      </c>
      <c r="M4912" t="s">
        <v>44391</v>
      </c>
      <c r="N4912" t="s">
        <v>46569</v>
      </c>
      <c r="O4912" t="s">
        <v>46570</v>
      </c>
      <c r="P4912">
        <v>0</v>
      </c>
      <c r="Q4912">
        <v>0</v>
      </c>
      <c r="R4912" t="s">
        <v>46573</v>
      </c>
      <c r="S4912" t="s">
        <v>46705</v>
      </c>
      <c r="T4912" t="s">
        <v>48334</v>
      </c>
      <c r="U4912" t="s">
        <v>52839</v>
      </c>
      <c r="W4912" t="s">
        <v>44391</v>
      </c>
      <c r="X4912" t="s">
        <v>46578</v>
      </c>
    </row>
    <row r="4913" spans="1:24">
      <c r="A4913">
        <f>HYPERLINK("https://www.philgeps.gov.ph/GEPSNONPILOT/Tender/SplashBidNoticeAbstractUI.aspx?menuIndex=3&amp;refID=7054086&amp;Result=3","7054086")</f>
        <v>0</v>
      </c>
      <c r="B4913" t="s">
        <v>1007</v>
      </c>
      <c r="C4913" t="s">
        <v>8229</v>
      </c>
      <c r="D4913" t="s">
        <v>18812</v>
      </c>
      <c r="E4913" t="s">
        <v>23295</v>
      </c>
      <c r="F4913" t="s">
        <v>32664</v>
      </c>
      <c r="G4913" t="s">
        <v>32672</v>
      </c>
      <c r="H4913" t="s">
        <v>12635</v>
      </c>
      <c r="I4913" t="s">
        <v>32699</v>
      </c>
      <c r="J4913" t="s">
        <v>35956</v>
      </c>
      <c r="K4913" t="s">
        <v>42284</v>
      </c>
      <c r="M4913" t="s">
        <v>44391</v>
      </c>
      <c r="N4913" t="s">
        <v>46569</v>
      </c>
      <c r="O4913" t="s">
        <v>46570</v>
      </c>
      <c r="P4913">
        <v>0</v>
      </c>
      <c r="Q4913">
        <v>0</v>
      </c>
      <c r="R4913" t="s">
        <v>46573</v>
      </c>
      <c r="S4913" t="s">
        <v>46705</v>
      </c>
      <c r="T4913" t="s">
        <v>48334</v>
      </c>
      <c r="U4913" t="s">
        <v>52840</v>
      </c>
      <c r="W4913" t="s">
        <v>44391</v>
      </c>
      <c r="X4913" t="s">
        <v>46578</v>
      </c>
    </row>
    <row r="4914" spans="1:24">
      <c r="A4914">
        <f>HYPERLINK("https://www.philgeps.gov.ph/GEPSNONPILOT/Tender/SplashBidNoticeAbstractUI.aspx?menuIndex=3&amp;refID=7054034&amp;Result=3","7054034")</f>
        <v>0</v>
      </c>
      <c r="B4914" t="s">
        <v>1699</v>
      </c>
      <c r="C4914" t="s">
        <v>8230</v>
      </c>
      <c r="D4914" t="s">
        <v>18789</v>
      </c>
      <c r="E4914" t="s">
        <v>23296</v>
      </c>
      <c r="F4914" t="s">
        <v>32664</v>
      </c>
      <c r="G4914" t="s">
        <v>32671</v>
      </c>
      <c r="H4914" t="s">
        <v>32681</v>
      </c>
      <c r="I4914" t="s">
        <v>32681</v>
      </c>
      <c r="J4914" t="s">
        <v>35957</v>
      </c>
      <c r="K4914" t="s">
        <v>42283</v>
      </c>
      <c r="L4914" t="s">
        <v>1699</v>
      </c>
      <c r="M4914" t="s">
        <v>44393</v>
      </c>
      <c r="N4914" t="s">
        <v>46569</v>
      </c>
      <c r="O4914" t="s">
        <v>46570</v>
      </c>
      <c r="P4914">
        <v>0</v>
      </c>
      <c r="Q4914">
        <v>4</v>
      </c>
      <c r="R4914" t="s">
        <v>46573</v>
      </c>
      <c r="S4914" t="s">
        <v>46705</v>
      </c>
      <c r="T4914" t="s">
        <v>48282</v>
      </c>
      <c r="U4914" t="s">
        <v>52841</v>
      </c>
      <c r="W4914" t="s">
        <v>44393</v>
      </c>
      <c r="X4914" t="s">
        <v>46578</v>
      </c>
    </row>
    <row r="4915" spans="1:24">
      <c r="A4915">
        <f>HYPERLINK("https://www.philgeps.gov.ph/GEPSNONPILOT/Tender/SplashBidNoticeAbstractUI.aspx?menuIndex=3&amp;refID=7062754&amp;Result=3","7062754")</f>
        <v>0</v>
      </c>
      <c r="B4915" t="s">
        <v>1700</v>
      </c>
      <c r="C4915" t="s">
        <v>8231</v>
      </c>
      <c r="D4915" t="s">
        <v>18784</v>
      </c>
      <c r="E4915" t="s">
        <v>23297</v>
      </c>
      <c r="F4915" t="s">
        <v>32664</v>
      </c>
      <c r="G4915" t="s">
        <v>32671</v>
      </c>
      <c r="H4915" t="s">
        <v>12635</v>
      </c>
      <c r="I4915" t="s">
        <v>10370</v>
      </c>
      <c r="J4915" t="s">
        <v>35958</v>
      </c>
      <c r="K4915" t="s">
        <v>42295</v>
      </c>
      <c r="M4915" t="s">
        <v>44394</v>
      </c>
      <c r="N4915" t="s">
        <v>46569</v>
      </c>
      <c r="O4915" t="s">
        <v>46570</v>
      </c>
      <c r="P4915">
        <v>0</v>
      </c>
      <c r="Q4915">
        <v>3</v>
      </c>
      <c r="R4915" t="s">
        <v>46572</v>
      </c>
      <c r="S4915" t="s">
        <v>46689</v>
      </c>
      <c r="T4915" t="s">
        <v>48219</v>
      </c>
      <c r="U4915" t="s">
        <v>52842</v>
      </c>
      <c r="W4915" t="s">
        <v>44394</v>
      </c>
      <c r="X4915" t="s">
        <v>46573</v>
      </c>
    </row>
    <row r="4916" spans="1:24">
      <c r="A4916">
        <f>HYPERLINK("https://www.philgeps.gov.ph/GEPSNONPILOT/Tender/SplashBidNoticeAbstractUI.aspx?menuIndex=3&amp;refID=7053895&amp;Result=3","7053895")</f>
        <v>0</v>
      </c>
      <c r="B4916" t="s">
        <v>267</v>
      </c>
      <c r="C4916" t="s">
        <v>8232</v>
      </c>
      <c r="D4916" t="s">
        <v>18791</v>
      </c>
      <c r="E4916" t="s">
        <v>23298</v>
      </c>
      <c r="F4916" t="s">
        <v>32664</v>
      </c>
      <c r="G4916" t="s">
        <v>32671</v>
      </c>
      <c r="H4916" t="s">
        <v>12635</v>
      </c>
      <c r="I4916" t="s">
        <v>10361</v>
      </c>
      <c r="J4916" t="s">
        <v>34049</v>
      </c>
      <c r="K4916" t="s">
        <v>42283</v>
      </c>
      <c r="M4916" t="s">
        <v>42832</v>
      </c>
      <c r="N4916" t="s">
        <v>46569</v>
      </c>
      <c r="O4916" t="s">
        <v>46570</v>
      </c>
      <c r="P4916">
        <v>0</v>
      </c>
      <c r="Q4916">
        <v>0</v>
      </c>
      <c r="R4916" t="s">
        <v>46573</v>
      </c>
      <c r="S4916" t="s">
        <v>46705</v>
      </c>
      <c r="T4916" t="s">
        <v>48254</v>
      </c>
      <c r="U4916" t="s">
        <v>52843</v>
      </c>
      <c r="W4916" t="s">
        <v>42832</v>
      </c>
      <c r="X4916" t="s">
        <v>46578</v>
      </c>
    </row>
    <row r="4917" spans="1:24">
      <c r="A4917">
        <f>HYPERLINK("https://www.philgeps.gov.ph/GEPSNONPILOT/Tender/SplashBidNoticeAbstractUI.aspx?menuIndex=3&amp;refID=7054130&amp;Result=3","7054130")</f>
        <v>0</v>
      </c>
      <c r="B4917" t="s">
        <v>1007</v>
      </c>
      <c r="C4917" t="s">
        <v>8233</v>
      </c>
      <c r="D4917" t="s">
        <v>18812</v>
      </c>
      <c r="E4917" t="s">
        <v>23299</v>
      </c>
      <c r="F4917" t="s">
        <v>32664</v>
      </c>
      <c r="G4917" t="s">
        <v>32672</v>
      </c>
      <c r="H4917" t="s">
        <v>12635</v>
      </c>
      <c r="I4917" t="s">
        <v>32698</v>
      </c>
      <c r="J4917" t="s">
        <v>34391</v>
      </c>
      <c r="K4917" t="s">
        <v>42284</v>
      </c>
      <c r="M4917" t="s">
        <v>44391</v>
      </c>
      <c r="N4917" t="s">
        <v>46569</v>
      </c>
      <c r="O4917" t="s">
        <v>46570</v>
      </c>
      <c r="P4917">
        <v>0</v>
      </c>
      <c r="Q4917">
        <v>1</v>
      </c>
      <c r="R4917" t="s">
        <v>46573</v>
      </c>
      <c r="S4917" t="s">
        <v>46705</v>
      </c>
      <c r="T4917" t="s">
        <v>48334</v>
      </c>
      <c r="U4917" t="s">
        <v>52844</v>
      </c>
      <c r="W4917" t="s">
        <v>44391</v>
      </c>
      <c r="X4917" t="s">
        <v>46578</v>
      </c>
    </row>
    <row r="4918" spans="1:24">
      <c r="A4918">
        <f>HYPERLINK("https://www.philgeps.gov.ph/GEPSNONPILOT/Tender/SplashBidNoticeAbstractUI.aspx?menuIndex=3&amp;refID=7053544&amp;Result=3","7053544")</f>
        <v>0</v>
      </c>
      <c r="B4918" t="s">
        <v>1695</v>
      </c>
      <c r="C4918" t="s">
        <v>8234</v>
      </c>
      <c r="D4918" t="s">
        <v>18846</v>
      </c>
      <c r="E4918" t="s">
        <v>23300</v>
      </c>
      <c r="F4918" t="s">
        <v>32664</v>
      </c>
      <c r="G4918" t="s">
        <v>32672</v>
      </c>
      <c r="H4918" t="s">
        <v>12635</v>
      </c>
      <c r="I4918" t="s">
        <v>4205</v>
      </c>
      <c r="J4918" t="s">
        <v>35959</v>
      </c>
      <c r="K4918" t="s">
        <v>42283</v>
      </c>
      <c r="M4918" t="s">
        <v>44387</v>
      </c>
      <c r="N4918" t="s">
        <v>46569</v>
      </c>
      <c r="O4918" t="s">
        <v>46570</v>
      </c>
      <c r="P4918">
        <v>0</v>
      </c>
      <c r="Q4918">
        <v>0</v>
      </c>
      <c r="R4918" t="s">
        <v>46573</v>
      </c>
      <c r="S4918" t="s">
        <v>46705</v>
      </c>
      <c r="T4918" t="s">
        <v>48411</v>
      </c>
      <c r="U4918" t="s">
        <v>52845</v>
      </c>
      <c r="W4918" t="s">
        <v>63527</v>
      </c>
      <c r="X4918" t="s">
        <v>46578</v>
      </c>
    </row>
    <row r="4919" spans="1:24">
      <c r="A4919">
        <f>HYPERLINK("https://www.philgeps.gov.ph/GEPSNONPILOT/Tender/SplashBidNoticeAbstractUI.aspx?menuIndex=3&amp;refID=7051891&amp;Result=3","7051891")</f>
        <v>0</v>
      </c>
      <c r="B4919" t="s">
        <v>725</v>
      </c>
      <c r="C4919" t="s">
        <v>8235</v>
      </c>
      <c r="D4919" t="s">
        <v>18842</v>
      </c>
      <c r="E4919" t="s">
        <v>23301</v>
      </c>
      <c r="F4919" t="s">
        <v>32664</v>
      </c>
      <c r="G4919" t="s">
        <v>32671</v>
      </c>
      <c r="H4919" t="s">
        <v>12635</v>
      </c>
      <c r="I4919" t="s">
        <v>32704</v>
      </c>
      <c r="J4919" t="s">
        <v>35960</v>
      </c>
      <c r="K4919" t="s">
        <v>42297</v>
      </c>
      <c r="M4919" t="s">
        <v>43312</v>
      </c>
      <c r="N4919" t="s">
        <v>46569</v>
      </c>
      <c r="O4919" t="s">
        <v>46570</v>
      </c>
      <c r="P4919">
        <v>0</v>
      </c>
      <c r="Q4919">
        <v>21</v>
      </c>
      <c r="R4919" t="s">
        <v>46573</v>
      </c>
      <c r="S4919" t="s">
        <v>46705</v>
      </c>
      <c r="T4919" t="s">
        <v>48316</v>
      </c>
      <c r="U4919" t="s">
        <v>50140</v>
      </c>
      <c r="W4919" t="s">
        <v>43312</v>
      </c>
      <c r="X4919" t="s">
        <v>46579</v>
      </c>
    </row>
    <row r="4920" spans="1:24">
      <c r="A4920">
        <f>HYPERLINK("https://www.philgeps.gov.ph/GEPSNONPILOT/Tender/SplashBidNoticeAbstractUI.aspx?menuIndex=3&amp;refID=7062721&amp;Result=3","7062721")</f>
        <v>0</v>
      </c>
      <c r="B4920" t="s">
        <v>438</v>
      </c>
      <c r="C4920" t="s">
        <v>8236</v>
      </c>
      <c r="D4920" t="s">
        <v>18855</v>
      </c>
      <c r="E4920" t="s">
        <v>23302</v>
      </c>
      <c r="F4920" t="s">
        <v>32664</v>
      </c>
      <c r="G4920" t="s">
        <v>32672</v>
      </c>
      <c r="H4920" t="s">
        <v>32683</v>
      </c>
      <c r="I4920" t="s">
        <v>10627</v>
      </c>
      <c r="J4920" t="s">
        <v>35067</v>
      </c>
      <c r="K4920" t="s">
        <v>42406</v>
      </c>
      <c r="M4920" t="s">
        <v>43010</v>
      </c>
      <c r="N4920" t="s">
        <v>46569</v>
      </c>
      <c r="O4920" t="s">
        <v>46570</v>
      </c>
      <c r="P4920">
        <v>0</v>
      </c>
      <c r="Q4920">
        <v>5</v>
      </c>
      <c r="R4920" t="s">
        <v>46572</v>
      </c>
      <c r="S4920" t="s">
        <v>46689</v>
      </c>
      <c r="T4920" t="s">
        <v>48308</v>
      </c>
      <c r="U4920" t="s">
        <v>52846</v>
      </c>
      <c r="W4920" t="s">
        <v>43010</v>
      </c>
      <c r="X4920" t="s">
        <v>46573</v>
      </c>
    </row>
    <row r="4921" spans="1:24">
      <c r="A4921">
        <f>HYPERLINK("https://www.philgeps.gov.ph/GEPSNONPILOT/Tender/SplashBidNoticeAbstractUI.aspx?menuIndex=3&amp;refID=7062719&amp;Result=3","7062719")</f>
        <v>0</v>
      </c>
      <c r="B4921" t="s">
        <v>1701</v>
      </c>
      <c r="C4921" t="s">
        <v>8237</v>
      </c>
      <c r="D4921" t="s">
        <v>18784</v>
      </c>
      <c r="E4921" t="s">
        <v>20602</v>
      </c>
      <c r="F4921" t="s">
        <v>32664</v>
      </c>
      <c r="G4921" t="s">
        <v>32671</v>
      </c>
      <c r="H4921" t="s">
        <v>32683</v>
      </c>
      <c r="I4921" t="s">
        <v>10627</v>
      </c>
      <c r="J4921" t="s">
        <v>35961</v>
      </c>
      <c r="K4921" t="s">
        <v>42284</v>
      </c>
      <c r="M4921" t="s">
        <v>44395</v>
      </c>
      <c r="N4921" t="s">
        <v>46569</v>
      </c>
      <c r="O4921" t="s">
        <v>46570</v>
      </c>
      <c r="P4921">
        <v>0</v>
      </c>
      <c r="Q4921">
        <v>0</v>
      </c>
      <c r="R4921" t="s">
        <v>46572</v>
      </c>
      <c r="S4921" t="s">
        <v>46689</v>
      </c>
      <c r="T4921" t="s">
        <v>48410</v>
      </c>
      <c r="U4921" t="s">
        <v>52847</v>
      </c>
      <c r="W4921" t="s">
        <v>44395</v>
      </c>
      <c r="X4921" t="s">
        <v>46573</v>
      </c>
    </row>
    <row r="4922" spans="1:24">
      <c r="A4922">
        <f>HYPERLINK("https://www.philgeps.gov.ph/GEPSNONPILOT/Tender/SplashBidNoticeAbstractUI.aspx?menuIndex=3&amp;refID=7053371&amp;Result=3","7053371")</f>
        <v>0</v>
      </c>
      <c r="B4922" t="s">
        <v>1695</v>
      </c>
      <c r="C4922" t="s">
        <v>8238</v>
      </c>
      <c r="D4922" t="s">
        <v>18846</v>
      </c>
      <c r="E4922" t="s">
        <v>23303</v>
      </c>
      <c r="F4922" t="s">
        <v>32664</v>
      </c>
      <c r="G4922" t="s">
        <v>32672</v>
      </c>
      <c r="H4922" t="s">
        <v>12635</v>
      </c>
      <c r="I4922" t="s">
        <v>6168</v>
      </c>
      <c r="J4922" t="s">
        <v>35962</v>
      </c>
      <c r="K4922" t="s">
        <v>42283</v>
      </c>
      <c r="M4922" t="s">
        <v>44387</v>
      </c>
      <c r="N4922" t="s">
        <v>46569</v>
      </c>
      <c r="O4922" t="s">
        <v>46570</v>
      </c>
      <c r="P4922">
        <v>0</v>
      </c>
      <c r="Q4922">
        <v>0</v>
      </c>
      <c r="R4922" t="s">
        <v>46573</v>
      </c>
      <c r="S4922" t="s">
        <v>46705</v>
      </c>
      <c r="T4922" t="s">
        <v>48411</v>
      </c>
      <c r="U4922" t="s">
        <v>52848</v>
      </c>
      <c r="W4922" t="s">
        <v>63527</v>
      </c>
      <c r="X4922" t="s">
        <v>46578</v>
      </c>
    </row>
    <row r="4923" spans="1:24">
      <c r="A4923">
        <f>HYPERLINK("https://www.philgeps.gov.ph/GEPSNONPILOT/Tender/SplashBidNoticeAbstractUI.aspx?menuIndex=3&amp;refID=7062718&amp;Result=3","7062718")</f>
        <v>0</v>
      </c>
      <c r="B4923" t="s">
        <v>1702</v>
      </c>
      <c r="C4923" t="s">
        <v>8239</v>
      </c>
      <c r="D4923" t="s">
        <v>18838</v>
      </c>
      <c r="E4923" t="s">
        <v>19283</v>
      </c>
      <c r="F4923" t="s">
        <v>32664</v>
      </c>
      <c r="G4923" t="s">
        <v>32674</v>
      </c>
      <c r="H4923" t="s">
        <v>32683</v>
      </c>
      <c r="I4923" t="s">
        <v>10627</v>
      </c>
      <c r="J4923" t="s">
        <v>35963</v>
      </c>
      <c r="K4923" t="s">
        <v>42281</v>
      </c>
      <c r="M4923" t="s">
        <v>44396</v>
      </c>
      <c r="N4923" t="s">
        <v>46569</v>
      </c>
      <c r="O4923" t="s">
        <v>46570</v>
      </c>
      <c r="P4923">
        <v>0</v>
      </c>
      <c r="Q4923">
        <v>1</v>
      </c>
      <c r="R4923" t="s">
        <v>46572</v>
      </c>
      <c r="S4923" t="s">
        <v>46689</v>
      </c>
      <c r="T4923" t="s">
        <v>48307</v>
      </c>
      <c r="U4923" t="s">
        <v>52849</v>
      </c>
      <c r="W4923" t="s">
        <v>44396</v>
      </c>
      <c r="X4923" t="s">
        <v>46573</v>
      </c>
    </row>
    <row r="4924" spans="1:24">
      <c r="A4924">
        <f>HYPERLINK("https://www.philgeps.gov.ph/GEPSNONPILOT/Tender/SplashBidNoticeAbstractUI.aspx?menuIndex=3&amp;refID=7062716&amp;Result=3","7062716")</f>
        <v>0</v>
      </c>
      <c r="B4924" t="s">
        <v>1300</v>
      </c>
      <c r="C4924" t="s">
        <v>8240</v>
      </c>
      <c r="D4924" t="s">
        <v>18782</v>
      </c>
      <c r="E4924" t="s">
        <v>23304</v>
      </c>
      <c r="F4924" t="s">
        <v>32664</v>
      </c>
      <c r="G4924" t="s">
        <v>32672</v>
      </c>
      <c r="H4924" t="s">
        <v>12635</v>
      </c>
      <c r="I4924" t="s">
        <v>32706</v>
      </c>
      <c r="J4924" t="s">
        <v>35964</v>
      </c>
      <c r="K4924" t="s">
        <v>42283</v>
      </c>
      <c r="M4924" t="s">
        <v>43944</v>
      </c>
      <c r="N4924" t="s">
        <v>46569</v>
      </c>
      <c r="O4924" t="s">
        <v>46570</v>
      </c>
      <c r="P4924">
        <v>0</v>
      </c>
      <c r="Q4924">
        <v>0</v>
      </c>
      <c r="R4924" t="s">
        <v>46572</v>
      </c>
      <c r="S4924" t="s">
        <v>46689</v>
      </c>
      <c r="T4924" t="s">
        <v>48268</v>
      </c>
      <c r="U4924" t="s">
        <v>52850</v>
      </c>
      <c r="V4924" t="s">
        <v>61960</v>
      </c>
      <c r="W4924" t="s">
        <v>43944</v>
      </c>
      <c r="X4924" t="s">
        <v>46573</v>
      </c>
    </row>
    <row r="4925" spans="1:24">
      <c r="A4925">
        <f>HYPERLINK("https://www.philgeps.gov.ph/GEPSNONPILOT/Tender/SplashBidNoticeAbstractUI.aspx?menuIndex=3&amp;refID=7062619&amp;Result=3","7062619")</f>
        <v>0</v>
      </c>
      <c r="B4925" t="s">
        <v>1197</v>
      </c>
      <c r="C4925" t="s">
        <v>8241</v>
      </c>
      <c r="D4925" t="s">
        <v>18784</v>
      </c>
      <c r="E4925" t="s">
        <v>23305</v>
      </c>
      <c r="F4925" t="s">
        <v>32664</v>
      </c>
      <c r="G4925" t="s">
        <v>32671</v>
      </c>
      <c r="H4925" t="s">
        <v>12635</v>
      </c>
      <c r="I4925" t="s">
        <v>4439</v>
      </c>
      <c r="J4925" t="s">
        <v>35965</v>
      </c>
      <c r="K4925" t="s">
        <v>42289</v>
      </c>
      <c r="M4925" t="s">
        <v>43834</v>
      </c>
      <c r="N4925" t="s">
        <v>46569</v>
      </c>
      <c r="O4925" t="s">
        <v>46570</v>
      </c>
      <c r="P4925">
        <v>0</v>
      </c>
      <c r="Q4925">
        <v>5</v>
      </c>
      <c r="R4925" t="s">
        <v>46572</v>
      </c>
      <c r="S4925" t="s">
        <v>46689</v>
      </c>
      <c r="T4925" t="s">
        <v>48356</v>
      </c>
      <c r="U4925" t="s">
        <v>52851</v>
      </c>
      <c r="W4925" t="s">
        <v>43834</v>
      </c>
      <c r="X4925" t="s">
        <v>46573</v>
      </c>
    </row>
    <row r="4926" spans="1:24">
      <c r="A4926">
        <f>HYPERLINK("https://www.philgeps.gov.ph/GEPSNONPILOT/Tender/SplashBidNoticeAbstractUI.aspx?menuIndex=3&amp;refID=7062618&amp;Result=3","7062618")</f>
        <v>0</v>
      </c>
      <c r="B4926" t="s">
        <v>1257</v>
      </c>
      <c r="C4926" t="s">
        <v>8242</v>
      </c>
      <c r="E4926" t="s">
        <v>23306</v>
      </c>
      <c r="F4926" t="s">
        <v>32664</v>
      </c>
      <c r="G4926" t="s">
        <v>32672</v>
      </c>
      <c r="H4926" t="s">
        <v>12635</v>
      </c>
      <c r="I4926" t="s">
        <v>32686</v>
      </c>
      <c r="J4926" t="s">
        <v>33069</v>
      </c>
      <c r="K4926" t="s">
        <v>42283</v>
      </c>
      <c r="M4926" t="s">
        <v>43899</v>
      </c>
      <c r="N4926" t="s">
        <v>46569</v>
      </c>
      <c r="O4926" t="s">
        <v>46570</v>
      </c>
      <c r="P4926">
        <v>0</v>
      </c>
      <c r="Q4926">
        <v>1</v>
      </c>
      <c r="R4926" t="s">
        <v>46572</v>
      </c>
      <c r="S4926" t="s">
        <v>46689</v>
      </c>
      <c r="T4926" t="s">
        <v>48434</v>
      </c>
      <c r="U4926" t="s">
        <v>52852</v>
      </c>
      <c r="W4926" t="s">
        <v>43899</v>
      </c>
      <c r="X4926" t="s">
        <v>46573</v>
      </c>
    </row>
    <row r="4927" spans="1:24">
      <c r="A4927">
        <f>HYPERLINK("https://www.philgeps.gov.ph/GEPSNONPILOT/Tender/SplashBidNoticeAbstractUI.aspx?menuIndex=3&amp;refID=7062617&amp;Result=3","7062617")</f>
        <v>0</v>
      </c>
      <c r="B4927" t="s">
        <v>438</v>
      </c>
      <c r="C4927" t="s">
        <v>8243</v>
      </c>
      <c r="D4927" t="s">
        <v>18855</v>
      </c>
      <c r="E4927" t="s">
        <v>23307</v>
      </c>
      <c r="F4927" t="s">
        <v>32664</v>
      </c>
      <c r="G4927" t="s">
        <v>32672</v>
      </c>
      <c r="H4927" t="s">
        <v>32683</v>
      </c>
      <c r="I4927" t="s">
        <v>10627</v>
      </c>
      <c r="J4927" t="s">
        <v>34930</v>
      </c>
      <c r="K4927" t="s">
        <v>42352</v>
      </c>
      <c r="M4927" t="s">
        <v>43010</v>
      </c>
      <c r="N4927" t="s">
        <v>46569</v>
      </c>
      <c r="O4927" t="s">
        <v>46570</v>
      </c>
      <c r="P4927">
        <v>0</v>
      </c>
      <c r="Q4927">
        <v>5</v>
      </c>
      <c r="R4927" t="s">
        <v>46572</v>
      </c>
      <c r="S4927" t="s">
        <v>46689</v>
      </c>
      <c r="T4927" t="s">
        <v>48308</v>
      </c>
      <c r="U4927" t="s">
        <v>52853</v>
      </c>
      <c r="V4927" t="s">
        <v>62116</v>
      </c>
      <c r="W4927" t="s">
        <v>43010</v>
      </c>
      <c r="X4927" t="s">
        <v>46573</v>
      </c>
    </row>
    <row r="4928" spans="1:24">
      <c r="A4928">
        <f>HYPERLINK("https://www.philgeps.gov.ph/GEPSNONPILOT/Tender/SplashBidNoticeAbstractUI.aspx?menuIndex=3&amp;refID=7062602&amp;Result=3","7062602")</f>
        <v>0</v>
      </c>
      <c r="B4928" t="s">
        <v>1255</v>
      </c>
      <c r="C4928" t="s">
        <v>8244</v>
      </c>
      <c r="D4928" t="s">
        <v>18791</v>
      </c>
      <c r="E4928" t="s">
        <v>19650</v>
      </c>
      <c r="F4928" t="s">
        <v>32664</v>
      </c>
      <c r="G4928" t="s">
        <v>32674</v>
      </c>
      <c r="H4928" t="s">
        <v>12635</v>
      </c>
      <c r="I4928" t="s">
        <v>32684</v>
      </c>
      <c r="J4928" t="s">
        <v>33050</v>
      </c>
      <c r="K4928" t="s">
        <v>42281</v>
      </c>
      <c r="M4928" t="s">
        <v>43897</v>
      </c>
      <c r="N4928" t="s">
        <v>46569</v>
      </c>
      <c r="O4928" t="s">
        <v>46570</v>
      </c>
      <c r="P4928">
        <v>0</v>
      </c>
      <c r="Q4928">
        <v>4</v>
      </c>
      <c r="R4928" t="s">
        <v>46572</v>
      </c>
      <c r="S4928" t="s">
        <v>46689</v>
      </c>
      <c r="T4928" t="s">
        <v>48258</v>
      </c>
      <c r="U4928" t="s">
        <v>52854</v>
      </c>
      <c r="V4928" t="s">
        <v>62117</v>
      </c>
      <c r="W4928" t="s">
        <v>43897</v>
      </c>
      <c r="X4928" t="s">
        <v>46573</v>
      </c>
    </row>
    <row r="4929" spans="1:24">
      <c r="A4929">
        <f>HYPERLINK("https://www.philgeps.gov.ph/GEPSNONPILOT/Tender/SplashBidNoticeAbstractUI.aspx?menuIndex=3&amp;refID=7062597&amp;Result=3","7062597")</f>
        <v>0</v>
      </c>
      <c r="B4929" t="s">
        <v>1703</v>
      </c>
      <c r="C4929" t="s">
        <v>8245</v>
      </c>
      <c r="D4929" t="s">
        <v>18788</v>
      </c>
      <c r="E4929" t="s">
        <v>23308</v>
      </c>
      <c r="F4929" t="s">
        <v>32664</v>
      </c>
      <c r="G4929" t="s">
        <v>32671</v>
      </c>
      <c r="H4929" t="s">
        <v>12635</v>
      </c>
      <c r="I4929" t="s">
        <v>4439</v>
      </c>
      <c r="J4929" t="s">
        <v>35966</v>
      </c>
      <c r="K4929" t="s">
        <v>42283</v>
      </c>
      <c r="M4929" t="s">
        <v>44397</v>
      </c>
      <c r="N4929" t="s">
        <v>46569</v>
      </c>
      <c r="O4929" t="s">
        <v>46570</v>
      </c>
      <c r="P4929">
        <v>0</v>
      </c>
      <c r="Q4929">
        <v>0</v>
      </c>
      <c r="R4929" t="s">
        <v>46572</v>
      </c>
      <c r="S4929" t="s">
        <v>46689</v>
      </c>
      <c r="T4929" t="s">
        <v>48268</v>
      </c>
      <c r="U4929" t="s">
        <v>52855</v>
      </c>
      <c r="W4929" t="s">
        <v>44397</v>
      </c>
      <c r="X4929" t="s">
        <v>46573</v>
      </c>
    </row>
    <row r="4930" spans="1:24">
      <c r="A4930">
        <f>HYPERLINK("https://www.philgeps.gov.ph/GEPSNONPILOT/Tender/SplashBidNoticeAbstractUI.aspx?menuIndex=3&amp;refID=7062596&amp;Result=3","7062596")</f>
        <v>0</v>
      </c>
      <c r="B4930" t="s">
        <v>1088</v>
      </c>
      <c r="C4930" t="s">
        <v>8246</v>
      </c>
      <c r="D4930" t="s">
        <v>18804</v>
      </c>
      <c r="E4930" t="s">
        <v>23309</v>
      </c>
      <c r="F4930" t="s">
        <v>32664</v>
      </c>
      <c r="G4930" t="s">
        <v>32672</v>
      </c>
      <c r="H4930" t="s">
        <v>32683</v>
      </c>
      <c r="I4930" t="s">
        <v>10627</v>
      </c>
      <c r="J4930" t="s">
        <v>35967</v>
      </c>
      <c r="K4930" t="s">
        <v>42296</v>
      </c>
      <c r="M4930" t="s">
        <v>43714</v>
      </c>
      <c r="N4930" t="s">
        <v>46569</v>
      </c>
      <c r="O4930" t="s">
        <v>46570</v>
      </c>
      <c r="Q4930">
        <v>0</v>
      </c>
      <c r="R4930" t="s">
        <v>46572</v>
      </c>
      <c r="S4930" t="s">
        <v>46707</v>
      </c>
      <c r="T4930" t="s">
        <v>48222</v>
      </c>
      <c r="U4930" t="s">
        <v>52856</v>
      </c>
      <c r="V4930" t="s">
        <v>61896</v>
      </c>
      <c r="W4930" t="s">
        <v>43714</v>
      </c>
      <c r="X4930" t="s">
        <v>46573</v>
      </c>
    </row>
    <row r="4931" spans="1:24">
      <c r="A4931">
        <f>HYPERLINK("https://www.philgeps.gov.ph/GEPSNONPILOT/Tender/SplashBidNoticeAbstractUI.aspx?menuIndex=3&amp;refID=7062595&amp;Result=3","7062595")</f>
        <v>0</v>
      </c>
      <c r="B4931" t="s">
        <v>304</v>
      </c>
      <c r="C4931" t="s">
        <v>8247</v>
      </c>
      <c r="D4931" t="s">
        <v>18792</v>
      </c>
      <c r="E4931" t="s">
        <v>19460</v>
      </c>
      <c r="F4931" t="s">
        <v>32664</v>
      </c>
      <c r="G4931" t="s">
        <v>32671</v>
      </c>
      <c r="H4931" t="s">
        <v>12635</v>
      </c>
      <c r="I4931" t="s">
        <v>4439</v>
      </c>
      <c r="J4931" t="s">
        <v>35968</v>
      </c>
      <c r="K4931" t="s">
        <v>42295</v>
      </c>
      <c r="M4931" t="s">
        <v>42871</v>
      </c>
      <c r="N4931" t="s">
        <v>46569</v>
      </c>
      <c r="O4931" t="s">
        <v>46570</v>
      </c>
      <c r="P4931">
        <v>0</v>
      </c>
      <c r="Q4931">
        <v>0</v>
      </c>
      <c r="R4931" t="s">
        <v>46572</v>
      </c>
      <c r="S4931" t="s">
        <v>46689</v>
      </c>
      <c r="T4931" t="s">
        <v>48221</v>
      </c>
      <c r="U4931" t="s">
        <v>52857</v>
      </c>
      <c r="W4931" t="s">
        <v>42871</v>
      </c>
      <c r="X4931" t="s">
        <v>46573</v>
      </c>
    </row>
    <row r="4932" spans="1:24">
      <c r="A4932">
        <f>HYPERLINK("https://www.philgeps.gov.ph/GEPSNONPILOT/Tender/SplashBidNoticeAbstractUI.aspx?menuIndex=3&amp;refID=7062594&amp;Result=3","7062594")</f>
        <v>0</v>
      </c>
      <c r="B4932" t="s">
        <v>1294</v>
      </c>
      <c r="C4932" t="s">
        <v>8248</v>
      </c>
      <c r="D4932" t="s">
        <v>18825</v>
      </c>
      <c r="E4932" t="s">
        <v>23310</v>
      </c>
      <c r="F4932" t="s">
        <v>32664</v>
      </c>
      <c r="G4932" t="s">
        <v>32672</v>
      </c>
      <c r="H4932" t="s">
        <v>12635</v>
      </c>
      <c r="I4932" t="s">
        <v>6223</v>
      </c>
      <c r="J4932" t="s">
        <v>35969</v>
      </c>
      <c r="K4932" t="s">
        <v>42297</v>
      </c>
      <c r="M4932" t="s">
        <v>43938</v>
      </c>
      <c r="N4932" t="s">
        <v>46569</v>
      </c>
      <c r="O4932" t="s">
        <v>46570</v>
      </c>
      <c r="P4932">
        <v>0</v>
      </c>
      <c r="Q4932">
        <v>1</v>
      </c>
      <c r="R4932" t="s">
        <v>46572</v>
      </c>
      <c r="S4932" t="s">
        <v>46689</v>
      </c>
      <c r="T4932" t="s">
        <v>48312</v>
      </c>
      <c r="U4932" t="s">
        <v>52858</v>
      </c>
      <c r="W4932" t="s">
        <v>43938</v>
      </c>
      <c r="X4932" t="s">
        <v>46573</v>
      </c>
    </row>
    <row r="4933" spans="1:24">
      <c r="A4933">
        <f>HYPERLINK("https://www.philgeps.gov.ph/GEPSNONPILOT/Tender/SplashBidNoticeAbstractUI.aspx?menuIndex=3&amp;refID=7062593&amp;Result=3","7062593")</f>
        <v>0</v>
      </c>
      <c r="B4933" t="s">
        <v>1266</v>
      </c>
      <c r="C4933" t="s">
        <v>8249</v>
      </c>
      <c r="D4933" t="s">
        <v>18838</v>
      </c>
      <c r="E4933" t="s">
        <v>23311</v>
      </c>
      <c r="F4933" t="s">
        <v>32664</v>
      </c>
      <c r="G4933" t="s">
        <v>32671</v>
      </c>
      <c r="H4933" t="s">
        <v>12635</v>
      </c>
      <c r="I4933" t="s">
        <v>4439</v>
      </c>
      <c r="J4933" t="s">
        <v>35970</v>
      </c>
      <c r="K4933" t="s">
        <v>42283</v>
      </c>
      <c r="M4933" t="s">
        <v>43909</v>
      </c>
      <c r="N4933" t="s">
        <v>46569</v>
      </c>
      <c r="O4933" t="s">
        <v>46570</v>
      </c>
      <c r="P4933">
        <v>0</v>
      </c>
      <c r="Q4933">
        <v>1</v>
      </c>
      <c r="R4933" t="s">
        <v>46572</v>
      </c>
      <c r="S4933" t="s">
        <v>46689</v>
      </c>
      <c r="T4933" t="s">
        <v>48244</v>
      </c>
      <c r="U4933" t="s">
        <v>52859</v>
      </c>
      <c r="W4933" t="s">
        <v>43909</v>
      </c>
      <c r="X4933" t="s">
        <v>46573</v>
      </c>
    </row>
    <row r="4934" spans="1:24">
      <c r="A4934">
        <f>HYPERLINK("https://www.philgeps.gov.ph/GEPSNONPILOT/Tender/SplashBidNoticeAbstractUI.aspx?menuIndex=3&amp;refID=7062576&amp;Result=3","7062576")</f>
        <v>0</v>
      </c>
      <c r="B4934" t="s">
        <v>640</v>
      </c>
      <c r="C4934" t="s">
        <v>8250</v>
      </c>
      <c r="D4934" t="s">
        <v>18785</v>
      </c>
      <c r="E4934" t="s">
        <v>23312</v>
      </c>
      <c r="F4934" t="s">
        <v>32664</v>
      </c>
      <c r="G4934" t="s">
        <v>32671</v>
      </c>
      <c r="H4934" t="s">
        <v>12635</v>
      </c>
      <c r="I4934" t="s">
        <v>5501</v>
      </c>
      <c r="J4934" t="s">
        <v>35971</v>
      </c>
      <c r="K4934" t="s">
        <v>42283</v>
      </c>
      <c r="M4934" t="s">
        <v>43223</v>
      </c>
      <c r="N4934" t="s">
        <v>46569</v>
      </c>
      <c r="O4934" t="s">
        <v>46570</v>
      </c>
      <c r="P4934">
        <v>0</v>
      </c>
      <c r="Q4934">
        <v>7</v>
      </c>
      <c r="R4934" t="s">
        <v>46572</v>
      </c>
      <c r="S4934" t="s">
        <v>46689</v>
      </c>
      <c r="T4934" t="s">
        <v>48383</v>
      </c>
      <c r="U4934" t="s">
        <v>49985</v>
      </c>
      <c r="W4934" t="s">
        <v>43223</v>
      </c>
      <c r="X4934" t="s">
        <v>46573</v>
      </c>
    </row>
    <row r="4935" spans="1:24">
      <c r="A4935">
        <f>HYPERLINK("https://www.philgeps.gov.ph/GEPSNONPILOT/Tender/SplashBidNoticeAbstractUI.aspx?menuIndex=3&amp;refID=7062599&amp;Result=3","7062599")</f>
        <v>0</v>
      </c>
      <c r="B4935" t="s">
        <v>1274</v>
      </c>
      <c r="C4935" t="s">
        <v>8251</v>
      </c>
      <c r="D4935" t="s">
        <v>18784</v>
      </c>
      <c r="E4935" t="s">
        <v>23313</v>
      </c>
      <c r="F4935" t="s">
        <v>32664</v>
      </c>
      <c r="G4935" t="s">
        <v>32671</v>
      </c>
      <c r="H4935" t="s">
        <v>12635</v>
      </c>
      <c r="I4935" t="s">
        <v>5589</v>
      </c>
      <c r="J4935" t="s">
        <v>35972</v>
      </c>
      <c r="K4935" t="s">
        <v>42284</v>
      </c>
      <c r="M4935" t="s">
        <v>43917</v>
      </c>
      <c r="N4935" t="s">
        <v>46569</v>
      </c>
      <c r="O4935" t="s">
        <v>46570</v>
      </c>
      <c r="P4935">
        <v>0</v>
      </c>
      <c r="Q4935">
        <v>4</v>
      </c>
      <c r="R4935" t="s">
        <v>46572</v>
      </c>
      <c r="S4935" t="s">
        <v>46689</v>
      </c>
      <c r="T4935" t="s">
        <v>48280</v>
      </c>
      <c r="U4935" t="s">
        <v>52860</v>
      </c>
      <c r="V4935" t="s">
        <v>62118</v>
      </c>
      <c r="W4935" t="s">
        <v>43917</v>
      </c>
      <c r="X4935" t="s">
        <v>46573</v>
      </c>
    </row>
    <row r="4936" spans="1:24">
      <c r="A4936">
        <f>HYPERLINK("https://www.philgeps.gov.ph/GEPSNONPILOT/Tender/SplashBidNoticeAbstractUI.aspx?menuIndex=3&amp;refID=7062724&amp;Result=3","7062724")</f>
        <v>0</v>
      </c>
      <c r="B4936" t="s">
        <v>1232</v>
      </c>
      <c r="C4936" t="s">
        <v>8252</v>
      </c>
      <c r="D4936" t="s">
        <v>18838</v>
      </c>
      <c r="E4936" t="s">
        <v>23314</v>
      </c>
      <c r="F4936" t="s">
        <v>32664</v>
      </c>
      <c r="G4936" t="s">
        <v>32671</v>
      </c>
      <c r="H4936" t="s">
        <v>12635</v>
      </c>
      <c r="I4936" t="s">
        <v>5589</v>
      </c>
      <c r="J4936" t="s">
        <v>34006</v>
      </c>
      <c r="K4936" t="s">
        <v>42283</v>
      </c>
      <c r="L4936" t="s">
        <v>1232</v>
      </c>
      <c r="M4936" t="s">
        <v>43873</v>
      </c>
      <c r="N4936" t="s">
        <v>46569</v>
      </c>
      <c r="O4936" t="s">
        <v>46570</v>
      </c>
      <c r="P4936">
        <v>0</v>
      </c>
      <c r="Q4936">
        <v>2</v>
      </c>
      <c r="R4936" t="s">
        <v>46572</v>
      </c>
      <c r="S4936" t="s">
        <v>46689</v>
      </c>
      <c r="T4936" t="s">
        <v>48256</v>
      </c>
      <c r="U4936" t="s">
        <v>51411</v>
      </c>
      <c r="W4936" t="s">
        <v>43873</v>
      </c>
      <c r="X4936" t="s">
        <v>46573</v>
      </c>
    </row>
    <row r="4937" spans="1:24">
      <c r="A4937">
        <f>HYPERLINK("https://www.philgeps.gov.ph/GEPSNONPILOT/Tender/SplashBidNoticeAbstractUI.aspx?menuIndex=3&amp;refID=7062573&amp;Result=3","7062573")</f>
        <v>0</v>
      </c>
      <c r="B4937" t="s">
        <v>1219</v>
      </c>
      <c r="C4937" t="s">
        <v>8253</v>
      </c>
      <c r="D4937" t="s">
        <v>18791</v>
      </c>
      <c r="E4937" t="s">
        <v>23315</v>
      </c>
      <c r="F4937" t="s">
        <v>32664</v>
      </c>
      <c r="G4937" t="s">
        <v>32671</v>
      </c>
      <c r="H4937" t="s">
        <v>12635</v>
      </c>
      <c r="I4937" t="s">
        <v>5589</v>
      </c>
      <c r="J4937" t="s">
        <v>33106</v>
      </c>
      <c r="K4937" t="s">
        <v>42305</v>
      </c>
      <c r="M4937" t="s">
        <v>43857</v>
      </c>
      <c r="N4937" t="s">
        <v>46569</v>
      </c>
      <c r="O4937" t="s">
        <v>46570</v>
      </c>
      <c r="P4937">
        <v>0</v>
      </c>
      <c r="Q4937">
        <v>0</v>
      </c>
      <c r="R4937" t="s">
        <v>46572</v>
      </c>
      <c r="S4937" t="s">
        <v>46689</v>
      </c>
      <c r="T4937" t="s">
        <v>48305</v>
      </c>
      <c r="U4937" t="s">
        <v>51377</v>
      </c>
      <c r="W4937" t="s">
        <v>43857</v>
      </c>
      <c r="X4937" t="s">
        <v>46573</v>
      </c>
    </row>
    <row r="4938" spans="1:24">
      <c r="A4938">
        <f>HYPERLINK("https://www.philgeps.gov.ph/GEPSNONPILOT/Tender/SplashBidNoticeAbstractUI.aspx?menuIndex=3&amp;refID=7054137&amp;Result=3","7054137")</f>
        <v>0</v>
      </c>
      <c r="B4938" t="s">
        <v>267</v>
      </c>
      <c r="C4938" t="s">
        <v>8254</v>
      </c>
      <c r="D4938" t="s">
        <v>18791</v>
      </c>
      <c r="E4938" t="s">
        <v>23316</v>
      </c>
      <c r="F4938" t="s">
        <v>32664</v>
      </c>
      <c r="G4938" t="s">
        <v>32671</v>
      </c>
      <c r="H4938" t="s">
        <v>12635</v>
      </c>
      <c r="I4938" t="s">
        <v>32731</v>
      </c>
      <c r="J4938" t="s">
        <v>34713</v>
      </c>
      <c r="K4938" t="s">
        <v>42283</v>
      </c>
      <c r="M4938" t="s">
        <v>42832</v>
      </c>
      <c r="N4938" t="s">
        <v>46569</v>
      </c>
      <c r="O4938" t="s">
        <v>46570</v>
      </c>
      <c r="P4938">
        <v>0</v>
      </c>
      <c r="Q4938">
        <v>1</v>
      </c>
      <c r="R4938" t="s">
        <v>46573</v>
      </c>
      <c r="S4938" t="s">
        <v>46705</v>
      </c>
      <c r="T4938" t="s">
        <v>48254</v>
      </c>
      <c r="U4938" t="s">
        <v>52861</v>
      </c>
      <c r="W4938" t="s">
        <v>42832</v>
      </c>
      <c r="X4938" t="s">
        <v>46578</v>
      </c>
    </row>
    <row r="4939" spans="1:24">
      <c r="A4939">
        <f>HYPERLINK("https://www.philgeps.gov.ph/GEPSNONPILOT/Tender/SplashBidNoticeAbstractUI.aspx?menuIndex=3&amp;refID=7053927&amp;Result=3","7053927")</f>
        <v>0</v>
      </c>
      <c r="B4939" t="s">
        <v>182</v>
      </c>
      <c r="C4939" t="s">
        <v>8255</v>
      </c>
      <c r="D4939" t="s">
        <v>18818</v>
      </c>
      <c r="E4939" t="s">
        <v>23317</v>
      </c>
      <c r="F4939" t="s">
        <v>32664</v>
      </c>
      <c r="G4939" t="s">
        <v>32672</v>
      </c>
      <c r="H4939" t="s">
        <v>12635</v>
      </c>
      <c r="I4939" t="s">
        <v>7759</v>
      </c>
      <c r="J4939" t="s">
        <v>35973</v>
      </c>
      <c r="K4939" t="s">
        <v>42281</v>
      </c>
      <c r="M4939" t="s">
        <v>42746</v>
      </c>
      <c r="N4939" t="s">
        <v>46569</v>
      </c>
      <c r="O4939" t="s">
        <v>46570</v>
      </c>
      <c r="P4939">
        <v>0</v>
      </c>
      <c r="Q4939">
        <v>0</v>
      </c>
      <c r="R4939" t="s">
        <v>46573</v>
      </c>
      <c r="S4939" t="s">
        <v>46705</v>
      </c>
      <c r="T4939" t="s">
        <v>48228</v>
      </c>
      <c r="U4939" t="s">
        <v>52862</v>
      </c>
      <c r="W4939" t="s">
        <v>42746</v>
      </c>
      <c r="X4939" t="s">
        <v>46578</v>
      </c>
    </row>
    <row r="4940" spans="1:24">
      <c r="A4940">
        <f>HYPERLINK("https://www.philgeps.gov.ph/GEPSNONPILOT/Tender/SplashBidNoticeAbstractUI.aspx?menuIndex=3&amp;refID=7062570&amp;Result=3","7062570")</f>
        <v>0</v>
      </c>
      <c r="B4940" t="s">
        <v>707</v>
      </c>
      <c r="C4940" t="s">
        <v>8256</v>
      </c>
      <c r="E4940" t="s">
        <v>23318</v>
      </c>
      <c r="F4940" t="s">
        <v>32664</v>
      </c>
      <c r="G4940" t="s">
        <v>32674</v>
      </c>
      <c r="H4940" t="s">
        <v>12635</v>
      </c>
      <c r="I4940" t="s">
        <v>4439</v>
      </c>
      <c r="J4940" t="s">
        <v>35974</v>
      </c>
      <c r="K4940" t="s">
        <v>42283</v>
      </c>
      <c r="M4940" t="s">
        <v>43294</v>
      </c>
      <c r="N4940" t="s">
        <v>46569</v>
      </c>
      <c r="O4940" t="s">
        <v>46570</v>
      </c>
      <c r="P4940">
        <v>0</v>
      </c>
      <c r="Q4940">
        <v>0</v>
      </c>
      <c r="R4940" t="s">
        <v>46572</v>
      </c>
      <c r="S4940" t="s">
        <v>46689</v>
      </c>
      <c r="T4940" t="s">
        <v>48219</v>
      </c>
      <c r="U4940" t="s">
        <v>52863</v>
      </c>
      <c r="W4940" t="s">
        <v>43294</v>
      </c>
      <c r="X4940" t="s">
        <v>46573</v>
      </c>
    </row>
    <row r="4941" spans="1:24">
      <c r="A4941">
        <f>HYPERLINK("https://www.philgeps.gov.ph/GEPSNONPILOT/Tender/SplashBidNoticeAbstractUI.aspx?menuIndex=3&amp;refID=7062592&amp;Result=3","7062592")</f>
        <v>0</v>
      </c>
      <c r="B4941" t="s">
        <v>1282</v>
      </c>
      <c r="C4941" t="s">
        <v>8257</v>
      </c>
      <c r="D4941" t="s">
        <v>18823</v>
      </c>
      <c r="E4941" t="s">
        <v>23319</v>
      </c>
      <c r="F4941" t="s">
        <v>32664</v>
      </c>
      <c r="G4941" t="s">
        <v>32671</v>
      </c>
      <c r="H4941" t="s">
        <v>12635</v>
      </c>
      <c r="I4941" t="s">
        <v>8797</v>
      </c>
      <c r="J4941" t="s">
        <v>35975</v>
      </c>
      <c r="K4941" t="s">
        <v>42283</v>
      </c>
      <c r="M4941" t="s">
        <v>43925</v>
      </c>
      <c r="N4941" t="s">
        <v>46569</v>
      </c>
      <c r="O4941" t="s">
        <v>46570</v>
      </c>
      <c r="P4941">
        <v>0</v>
      </c>
      <c r="Q4941">
        <v>1</v>
      </c>
      <c r="R4941" t="s">
        <v>46572</v>
      </c>
      <c r="S4941" t="s">
        <v>46689</v>
      </c>
      <c r="T4941" t="s">
        <v>48256</v>
      </c>
      <c r="U4941" t="s">
        <v>51510</v>
      </c>
      <c r="W4941" t="s">
        <v>63508</v>
      </c>
      <c r="X4941" t="s">
        <v>46573</v>
      </c>
    </row>
    <row r="4942" spans="1:24">
      <c r="A4942">
        <f>HYPERLINK("https://www.philgeps.gov.ph/GEPSNONPILOT/Tender/SplashBidNoticeAbstractUI.aspx?menuIndex=3&amp;refID=7062574&amp;Result=3","7062574")</f>
        <v>0</v>
      </c>
      <c r="B4942" t="s">
        <v>1704</v>
      </c>
      <c r="C4942" t="s">
        <v>8258</v>
      </c>
      <c r="E4942" t="s">
        <v>23320</v>
      </c>
      <c r="F4942" t="s">
        <v>32664</v>
      </c>
      <c r="G4942" t="s">
        <v>32674</v>
      </c>
      <c r="H4942" t="s">
        <v>12635</v>
      </c>
      <c r="I4942" t="s">
        <v>6168</v>
      </c>
      <c r="J4942" t="s">
        <v>35976</v>
      </c>
      <c r="K4942" t="s">
        <v>42283</v>
      </c>
      <c r="M4942" t="s">
        <v>44398</v>
      </c>
      <c r="N4942" t="s">
        <v>46569</v>
      </c>
      <c r="O4942" t="s">
        <v>46570</v>
      </c>
      <c r="P4942">
        <v>0</v>
      </c>
      <c r="Q4942">
        <v>9</v>
      </c>
      <c r="R4942" t="s">
        <v>46572</v>
      </c>
      <c r="S4942" t="s">
        <v>46689</v>
      </c>
      <c r="T4942" t="s">
        <v>48244</v>
      </c>
      <c r="U4942" t="s">
        <v>52864</v>
      </c>
      <c r="W4942" t="s">
        <v>44398</v>
      </c>
      <c r="X4942" t="s">
        <v>46573</v>
      </c>
    </row>
    <row r="4943" spans="1:24">
      <c r="A4943">
        <f>HYPERLINK("https://www.philgeps.gov.ph/GEPSNONPILOT/Tender/SplashBidNoticeAbstractUI.aspx?menuIndex=3&amp;refID=7055081&amp;Result=3","7055081")</f>
        <v>0</v>
      </c>
      <c r="B4943" t="s">
        <v>1502</v>
      </c>
      <c r="C4943" t="s">
        <v>4018</v>
      </c>
      <c r="D4943" t="s">
        <v>18829</v>
      </c>
      <c r="E4943" t="s">
        <v>23321</v>
      </c>
      <c r="F4943" t="s">
        <v>32664</v>
      </c>
      <c r="G4943" t="s">
        <v>32671</v>
      </c>
      <c r="H4943" t="s">
        <v>12635</v>
      </c>
      <c r="I4943" t="s">
        <v>32704</v>
      </c>
      <c r="J4943" t="s">
        <v>35977</v>
      </c>
      <c r="K4943" t="s">
        <v>42283</v>
      </c>
      <c r="M4943" t="s">
        <v>44166</v>
      </c>
      <c r="N4943" t="s">
        <v>46569</v>
      </c>
      <c r="O4943" t="s">
        <v>46570</v>
      </c>
      <c r="P4943">
        <v>0</v>
      </c>
      <c r="Q4943">
        <v>4</v>
      </c>
      <c r="R4943" t="s">
        <v>46573</v>
      </c>
      <c r="S4943" t="s">
        <v>46705</v>
      </c>
      <c r="T4943" t="s">
        <v>48532</v>
      </c>
      <c r="U4943" t="s">
        <v>52865</v>
      </c>
      <c r="V4943" t="s">
        <v>62119</v>
      </c>
      <c r="W4943" t="s">
        <v>44166</v>
      </c>
      <c r="X4943" t="s">
        <v>46578</v>
      </c>
    </row>
    <row r="4944" spans="1:24">
      <c r="A4944">
        <f>HYPERLINK("https://www.philgeps.gov.ph/GEPSNONPILOT/Tender/SplashBidNoticeAbstractUI.aspx?menuIndex=3&amp;refID=7062571&amp;Result=3","7062571")</f>
        <v>0</v>
      </c>
      <c r="B4944" t="s">
        <v>1282</v>
      </c>
      <c r="C4944" t="s">
        <v>8259</v>
      </c>
      <c r="D4944" t="s">
        <v>18823</v>
      </c>
      <c r="E4944" t="s">
        <v>23322</v>
      </c>
      <c r="F4944" t="s">
        <v>32664</v>
      </c>
      <c r="G4944" t="s">
        <v>32671</v>
      </c>
      <c r="H4944" t="s">
        <v>12635</v>
      </c>
      <c r="I4944" t="s">
        <v>6118</v>
      </c>
      <c r="J4944" t="s">
        <v>35978</v>
      </c>
      <c r="K4944" t="s">
        <v>42283</v>
      </c>
      <c r="M4944" t="s">
        <v>43925</v>
      </c>
      <c r="N4944" t="s">
        <v>46569</v>
      </c>
      <c r="O4944" t="s">
        <v>46570</v>
      </c>
      <c r="P4944">
        <v>0</v>
      </c>
      <c r="Q4944">
        <v>1</v>
      </c>
      <c r="R4944" t="s">
        <v>46572</v>
      </c>
      <c r="S4944" t="s">
        <v>46689</v>
      </c>
      <c r="T4944" t="s">
        <v>48256</v>
      </c>
      <c r="U4944" t="s">
        <v>51510</v>
      </c>
      <c r="W4944" t="s">
        <v>63508</v>
      </c>
      <c r="X4944" t="s">
        <v>46573</v>
      </c>
    </row>
    <row r="4945" spans="1:24">
      <c r="A4945">
        <f>HYPERLINK("https://www.philgeps.gov.ph/GEPSNONPILOT/Tender/SplashBidNoticeAbstractUI.aspx?menuIndex=3&amp;refID=7055059&amp;Result=3","7055059")</f>
        <v>0</v>
      </c>
      <c r="B4945" t="s">
        <v>1502</v>
      </c>
      <c r="C4945" t="s">
        <v>4874</v>
      </c>
      <c r="D4945" t="s">
        <v>18829</v>
      </c>
      <c r="E4945" t="s">
        <v>23323</v>
      </c>
      <c r="F4945" t="s">
        <v>32664</v>
      </c>
      <c r="G4945" t="s">
        <v>32674</v>
      </c>
      <c r="H4945" t="s">
        <v>12635</v>
      </c>
      <c r="I4945" t="s">
        <v>6168</v>
      </c>
      <c r="J4945" t="s">
        <v>35979</v>
      </c>
      <c r="K4945" t="s">
        <v>42283</v>
      </c>
      <c r="M4945" t="s">
        <v>44166</v>
      </c>
      <c r="N4945" t="s">
        <v>46569</v>
      </c>
      <c r="O4945" t="s">
        <v>46570</v>
      </c>
      <c r="P4945">
        <v>0</v>
      </c>
      <c r="Q4945">
        <v>1</v>
      </c>
      <c r="R4945" t="s">
        <v>46573</v>
      </c>
      <c r="S4945" t="s">
        <v>46705</v>
      </c>
      <c r="T4945" t="s">
        <v>48532</v>
      </c>
      <c r="U4945" t="s">
        <v>52866</v>
      </c>
      <c r="V4945" t="s">
        <v>62120</v>
      </c>
      <c r="W4945" t="s">
        <v>44166</v>
      </c>
      <c r="X4945" t="s">
        <v>46578</v>
      </c>
    </row>
    <row r="4946" spans="1:24">
      <c r="A4946">
        <f>HYPERLINK("https://www.philgeps.gov.ph/GEPSNONPILOT/Tender/SplashBidNoticeAbstractUI.aspx?menuIndex=3&amp;refID=7052816&amp;Result=3","7052816")</f>
        <v>0</v>
      </c>
      <c r="B4946" t="s">
        <v>1705</v>
      </c>
      <c r="C4946" t="s">
        <v>8260</v>
      </c>
      <c r="D4946" t="s">
        <v>18831</v>
      </c>
      <c r="E4946" t="s">
        <v>23324</v>
      </c>
      <c r="F4946" t="s">
        <v>32664</v>
      </c>
      <c r="G4946" t="s">
        <v>32671</v>
      </c>
      <c r="H4946" t="s">
        <v>12635</v>
      </c>
      <c r="I4946" t="s">
        <v>6118</v>
      </c>
      <c r="J4946" t="s">
        <v>35980</v>
      </c>
      <c r="K4946" t="s">
        <v>42295</v>
      </c>
      <c r="M4946" t="s">
        <v>44399</v>
      </c>
      <c r="N4946" t="s">
        <v>46569</v>
      </c>
      <c r="O4946" t="s">
        <v>46570</v>
      </c>
      <c r="P4946">
        <v>0</v>
      </c>
      <c r="Q4946">
        <v>0</v>
      </c>
      <c r="R4946" t="s">
        <v>46573</v>
      </c>
      <c r="S4946" t="s">
        <v>46705</v>
      </c>
      <c r="T4946" t="s">
        <v>48427</v>
      </c>
      <c r="U4946" t="s">
        <v>52867</v>
      </c>
      <c r="W4946" t="s">
        <v>44399</v>
      </c>
      <c r="X4946" t="s">
        <v>46578</v>
      </c>
    </row>
    <row r="4947" spans="1:24">
      <c r="A4947">
        <f>HYPERLINK("https://www.philgeps.gov.ph/GEPSNONPILOT/Tender/SplashBidNoticeAbstractUI.aspx?menuIndex=3&amp;refID=7055018&amp;Result=3","7055018")</f>
        <v>0</v>
      </c>
      <c r="B4947" t="s">
        <v>1502</v>
      </c>
      <c r="C4947" t="s">
        <v>8261</v>
      </c>
      <c r="D4947" t="s">
        <v>18829</v>
      </c>
      <c r="E4947" t="s">
        <v>23325</v>
      </c>
      <c r="F4947" t="s">
        <v>32664</v>
      </c>
      <c r="G4947" t="s">
        <v>32671</v>
      </c>
      <c r="H4947" t="s">
        <v>12635</v>
      </c>
      <c r="I4947" t="s">
        <v>32694</v>
      </c>
      <c r="J4947" t="s">
        <v>32859</v>
      </c>
      <c r="K4947" t="s">
        <v>42283</v>
      </c>
      <c r="M4947" t="s">
        <v>44166</v>
      </c>
      <c r="N4947" t="s">
        <v>46569</v>
      </c>
      <c r="O4947" t="s">
        <v>46570</v>
      </c>
      <c r="P4947">
        <v>0</v>
      </c>
      <c r="Q4947">
        <v>0</v>
      </c>
      <c r="R4947" t="s">
        <v>46573</v>
      </c>
      <c r="S4947" t="s">
        <v>46705</v>
      </c>
      <c r="T4947" t="s">
        <v>48532</v>
      </c>
      <c r="U4947" t="s">
        <v>52868</v>
      </c>
      <c r="V4947" t="s">
        <v>62121</v>
      </c>
      <c r="W4947" t="s">
        <v>44166</v>
      </c>
      <c r="X4947" t="s">
        <v>46578</v>
      </c>
    </row>
    <row r="4948" spans="1:24">
      <c r="A4948">
        <f>HYPERLINK("https://www.philgeps.gov.ph/GEPSNONPILOT/Tender/SplashBidNoticeAbstractUI.aspx?menuIndex=3&amp;refID=7054900&amp;Result=3","7054900")</f>
        <v>0</v>
      </c>
      <c r="B4948" t="s">
        <v>175</v>
      </c>
      <c r="C4948" t="s">
        <v>4018</v>
      </c>
      <c r="D4948" t="s">
        <v>18784</v>
      </c>
      <c r="E4948" t="s">
        <v>23326</v>
      </c>
      <c r="F4948" t="s">
        <v>32664</v>
      </c>
      <c r="G4948" t="s">
        <v>32671</v>
      </c>
      <c r="H4948" t="s">
        <v>12635</v>
      </c>
      <c r="I4948" t="s">
        <v>32704</v>
      </c>
      <c r="J4948" t="s">
        <v>34833</v>
      </c>
      <c r="K4948" t="s">
        <v>42284</v>
      </c>
      <c r="M4948" t="s">
        <v>42739</v>
      </c>
      <c r="N4948" t="s">
        <v>46569</v>
      </c>
      <c r="O4948" t="s">
        <v>46570</v>
      </c>
      <c r="P4948">
        <v>0</v>
      </c>
      <c r="Q4948">
        <v>5</v>
      </c>
      <c r="R4948" t="s">
        <v>46573</v>
      </c>
      <c r="S4948" t="s">
        <v>46705</v>
      </c>
      <c r="T4948" t="s">
        <v>48290</v>
      </c>
      <c r="U4948" t="s">
        <v>52869</v>
      </c>
      <c r="V4948" t="s">
        <v>61661</v>
      </c>
      <c r="W4948" t="s">
        <v>42739</v>
      </c>
      <c r="X4948" t="s">
        <v>46578</v>
      </c>
    </row>
    <row r="4949" spans="1:24">
      <c r="A4949">
        <f>HYPERLINK("https://www.philgeps.gov.ph/GEPSNONPILOT/Tender/SplashBidNoticeAbstractUI.aspx?menuIndex=3&amp;refID=7055093&amp;Result=3","7055093")</f>
        <v>0</v>
      </c>
      <c r="B4949" t="s">
        <v>1502</v>
      </c>
      <c r="C4949" t="s">
        <v>8262</v>
      </c>
      <c r="D4949" t="s">
        <v>18829</v>
      </c>
      <c r="E4949" t="s">
        <v>23327</v>
      </c>
      <c r="F4949" t="s">
        <v>32664</v>
      </c>
      <c r="G4949" t="s">
        <v>32671</v>
      </c>
      <c r="H4949" t="s">
        <v>12635</v>
      </c>
      <c r="I4949" t="s">
        <v>10361</v>
      </c>
      <c r="J4949" t="s">
        <v>35981</v>
      </c>
      <c r="K4949" t="s">
        <v>42283</v>
      </c>
      <c r="M4949" t="s">
        <v>44166</v>
      </c>
      <c r="N4949" t="s">
        <v>46569</v>
      </c>
      <c r="O4949" t="s">
        <v>46570</v>
      </c>
      <c r="P4949">
        <v>0</v>
      </c>
      <c r="Q4949">
        <v>0</v>
      </c>
      <c r="R4949" t="s">
        <v>46573</v>
      </c>
      <c r="S4949" t="s">
        <v>46705</v>
      </c>
      <c r="T4949" t="s">
        <v>48532</v>
      </c>
      <c r="U4949" t="s">
        <v>52870</v>
      </c>
      <c r="V4949" t="s">
        <v>62122</v>
      </c>
      <c r="W4949" t="s">
        <v>44166</v>
      </c>
      <c r="X4949" t="s">
        <v>46578</v>
      </c>
    </row>
    <row r="4950" spans="1:24">
      <c r="A4950">
        <f>HYPERLINK("https://www.philgeps.gov.ph/GEPSNONPILOT/Tender/SplashBidNoticeAbstractUI.aspx?menuIndex=3&amp;refID=7054629&amp;Result=3","7054629")</f>
        <v>0</v>
      </c>
      <c r="B4950" t="s">
        <v>95</v>
      </c>
      <c r="C4950" t="s">
        <v>8263</v>
      </c>
      <c r="D4950" t="s">
        <v>18807</v>
      </c>
      <c r="E4950" t="s">
        <v>23328</v>
      </c>
      <c r="F4950" t="s">
        <v>32664</v>
      </c>
      <c r="G4950" t="s">
        <v>32672</v>
      </c>
      <c r="H4950" t="s">
        <v>12635</v>
      </c>
      <c r="I4950" t="s">
        <v>4439</v>
      </c>
      <c r="J4950" t="s">
        <v>35982</v>
      </c>
      <c r="K4950" t="s">
        <v>42281</v>
      </c>
      <c r="M4950" t="s">
        <v>42658</v>
      </c>
      <c r="N4950" t="s">
        <v>46569</v>
      </c>
      <c r="O4950" t="s">
        <v>46570</v>
      </c>
      <c r="P4950">
        <v>0</v>
      </c>
      <c r="Q4950">
        <v>0</v>
      </c>
      <c r="R4950" t="s">
        <v>46573</v>
      </c>
      <c r="S4950" t="s">
        <v>46705</v>
      </c>
      <c r="T4950" t="s">
        <v>48282</v>
      </c>
      <c r="U4950" t="s">
        <v>52871</v>
      </c>
      <c r="W4950" t="s">
        <v>42658</v>
      </c>
      <c r="X4950" t="s">
        <v>46578</v>
      </c>
    </row>
    <row r="4951" spans="1:24">
      <c r="A4951">
        <f>HYPERLINK("https://www.philgeps.gov.ph/GEPSNONPILOT/Tender/SplashBidNoticeAbstractUI.aspx?menuIndex=3&amp;refID=7062572&amp;Result=3","7062572")</f>
        <v>0</v>
      </c>
      <c r="B4951" t="s">
        <v>1247</v>
      </c>
      <c r="C4951" t="s">
        <v>8264</v>
      </c>
      <c r="D4951" t="s">
        <v>18802</v>
      </c>
      <c r="E4951" t="s">
        <v>23329</v>
      </c>
      <c r="F4951" t="s">
        <v>32664</v>
      </c>
      <c r="G4951" t="s">
        <v>32671</v>
      </c>
      <c r="H4951" t="s">
        <v>32681</v>
      </c>
      <c r="I4951" t="s">
        <v>32681</v>
      </c>
      <c r="J4951" t="s">
        <v>35983</v>
      </c>
      <c r="K4951" t="s">
        <v>42298</v>
      </c>
      <c r="M4951" t="s">
        <v>43889</v>
      </c>
      <c r="N4951" t="s">
        <v>46569</v>
      </c>
      <c r="O4951" t="s">
        <v>46570</v>
      </c>
      <c r="P4951">
        <v>0</v>
      </c>
      <c r="Q4951">
        <v>3</v>
      </c>
      <c r="R4951" t="s">
        <v>46572</v>
      </c>
      <c r="S4951" t="s">
        <v>46689</v>
      </c>
      <c r="T4951" t="s">
        <v>48219</v>
      </c>
      <c r="U4951" t="s">
        <v>51438</v>
      </c>
      <c r="W4951" t="s">
        <v>43889</v>
      </c>
      <c r="X4951" t="s">
        <v>46573</v>
      </c>
    </row>
    <row r="4952" spans="1:24">
      <c r="A4952">
        <f>HYPERLINK("https://www.philgeps.gov.ph/GEPSNONPILOT/Tender/SplashBidNoticeAbstractUI.aspx?menuIndex=3&amp;refID=7054606&amp;Result=3","7054606")</f>
        <v>0</v>
      </c>
      <c r="B4952" t="s">
        <v>267</v>
      </c>
      <c r="C4952" t="s">
        <v>8265</v>
      </c>
      <c r="D4952" t="s">
        <v>18791</v>
      </c>
      <c r="E4952" t="s">
        <v>23330</v>
      </c>
      <c r="F4952" t="s">
        <v>32664</v>
      </c>
      <c r="G4952" t="s">
        <v>32671</v>
      </c>
      <c r="H4952" t="s">
        <v>12635</v>
      </c>
      <c r="I4952" t="s">
        <v>32752</v>
      </c>
      <c r="J4952" t="s">
        <v>35984</v>
      </c>
      <c r="K4952" t="s">
        <v>42283</v>
      </c>
      <c r="M4952" t="s">
        <v>42832</v>
      </c>
      <c r="N4952" t="s">
        <v>46569</v>
      </c>
      <c r="O4952" t="s">
        <v>46570</v>
      </c>
      <c r="P4952">
        <v>0</v>
      </c>
      <c r="Q4952">
        <v>1</v>
      </c>
      <c r="R4952" t="s">
        <v>46573</v>
      </c>
      <c r="S4952" t="s">
        <v>46705</v>
      </c>
      <c r="T4952" t="s">
        <v>48254</v>
      </c>
      <c r="U4952" t="s">
        <v>52872</v>
      </c>
      <c r="W4952" t="s">
        <v>42832</v>
      </c>
      <c r="X4952" t="s">
        <v>46578</v>
      </c>
    </row>
    <row r="4953" spans="1:24">
      <c r="A4953">
        <f>HYPERLINK("https://www.philgeps.gov.ph/GEPSNONPILOT/Tender/SplashBidNoticeAbstractUI.aspx?menuIndex=3&amp;refID=7054987&amp;Result=3","7054987")</f>
        <v>0</v>
      </c>
      <c r="B4953" t="s">
        <v>1502</v>
      </c>
      <c r="C4953" t="s">
        <v>8266</v>
      </c>
      <c r="D4953" t="s">
        <v>18829</v>
      </c>
      <c r="E4953" t="s">
        <v>23331</v>
      </c>
      <c r="F4953" t="s">
        <v>32664</v>
      </c>
      <c r="G4953" t="s">
        <v>32671</v>
      </c>
      <c r="H4953" t="s">
        <v>12635</v>
      </c>
      <c r="I4953" t="s">
        <v>6118</v>
      </c>
      <c r="J4953" t="s">
        <v>35985</v>
      </c>
      <c r="K4953" t="s">
        <v>42283</v>
      </c>
      <c r="M4953" t="s">
        <v>44166</v>
      </c>
      <c r="N4953" t="s">
        <v>46569</v>
      </c>
      <c r="O4953" t="s">
        <v>46570</v>
      </c>
      <c r="P4953">
        <v>0</v>
      </c>
      <c r="Q4953">
        <v>0</v>
      </c>
      <c r="R4953" t="s">
        <v>46573</v>
      </c>
      <c r="S4953" t="s">
        <v>46705</v>
      </c>
      <c r="T4953" t="s">
        <v>48532</v>
      </c>
      <c r="U4953" t="s">
        <v>52873</v>
      </c>
      <c r="V4953" t="s">
        <v>62123</v>
      </c>
      <c r="W4953" t="s">
        <v>44166</v>
      </c>
      <c r="X4953" t="s">
        <v>46578</v>
      </c>
    </row>
    <row r="4954" spans="1:24">
      <c r="A4954">
        <f>HYPERLINK("https://www.philgeps.gov.ph/GEPSNONPILOT/Tender/SplashBidNoticeAbstractUI.aspx?menuIndex=3&amp;refID=7054577&amp;Result=3","7054577")</f>
        <v>0</v>
      </c>
      <c r="B4954" t="s">
        <v>95</v>
      </c>
      <c r="C4954" t="s">
        <v>8267</v>
      </c>
      <c r="D4954" t="s">
        <v>18807</v>
      </c>
      <c r="E4954" t="s">
        <v>23332</v>
      </c>
      <c r="F4954" t="s">
        <v>32664</v>
      </c>
      <c r="G4954" t="s">
        <v>32672</v>
      </c>
      <c r="H4954" t="s">
        <v>12635</v>
      </c>
      <c r="I4954" t="s">
        <v>4439</v>
      </c>
      <c r="J4954" t="s">
        <v>35986</v>
      </c>
      <c r="K4954" t="s">
        <v>42281</v>
      </c>
      <c r="M4954" t="s">
        <v>42658</v>
      </c>
      <c r="N4954" t="s">
        <v>46569</v>
      </c>
      <c r="O4954" t="s">
        <v>46570</v>
      </c>
      <c r="P4954">
        <v>0</v>
      </c>
      <c r="Q4954">
        <v>1</v>
      </c>
      <c r="R4954" t="s">
        <v>46573</v>
      </c>
      <c r="S4954" t="s">
        <v>46705</v>
      </c>
      <c r="T4954" t="s">
        <v>48282</v>
      </c>
      <c r="U4954" t="s">
        <v>52874</v>
      </c>
      <c r="W4954" t="s">
        <v>42658</v>
      </c>
      <c r="X4954" t="s">
        <v>46578</v>
      </c>
    </row>
    <row r="4955" spans="1:24">
      <c r="A4955">
        <f>HYPERLINK("https://www.philgeps.gov.ph/GEPSNONPILOT/Tender/SplashBidNoticeAbstractUI.aspx?menuIndex=3&amp;refID=7055051&amp;Result=3","7055051")</f>
        <v>0</v>
      </c>
      <c r="B4955" t="s">
        <v>1502</v>
      </c>
      <c r="C4955" t="s">
        <v>8268</v>
      </c>
      <c r="D4955" t="s">
        <v>18829</v>
      </c>
      <c r="E4955" t="s">
        <v>23333</v>
      </c>
      <c r="F4955" t="s">
        <v>32664</v>
      </c>
      <c r="G4955" t="s">
        <v>32674</v>
      </c>
      <c r="H4955" t="s">
        <v>12635</v>
      </c>
      <c r="I4955" t="s">
        <v>6118</v>
      </c>
      <c r="J4955" t="s">
        <v>34997</v>
      </c>
      <c r="K4955" t="s">
        <v>42283</v>
      </c>
      <c r="M4955" t="s">
        <v>44166</v>
      </c>
      <c r="N4955" t="s">
        <v>46569</v>
      </c>
      <c r="O4955" t="s">
        <v>46570</v>
      </c>
      <c r="P4955">
        <v>0</v>
      </c>
      <c r="Q4955">
        <v>0</v>
      </c>
      <c r="R4955" t="s">
        <v>46573</v>
      </c>
      <c r="S4955" t="s">
        <v>46705</v>
      </c>
      <c r="T4955" t="s">
        <v>48532</v>
      </c>
      <c r="U4955" t="s">
        <v>52875</v>
      </c>
      <c r="V4955" t="s">
        <v>62124</v>
      </c>
      <c r="W4955" t="s">
        <v>44166</v>
      </c>
      <c r="X4955" t="s">
        <v>46578</v>
      </c>
    </row>
    <row r="4956" spans="1:24">
      <c r="A4956">
        <f>HYPERLINK("https://www.philgeps.gov.ph/GEPSNONPILOT/Tender/SplashBidNoticeAbstractUI.aspx?menuIndex=3&amp;refID=7056350&amp;Result=3","7056350")</f>
        <v>0</v>
      </c>
      <c r="B4956" t="s">
        <v>175</v>
      </c>
      <c r="C4956" t="s">
        <v>8269</v>
      </c>
      <c r="D4956" t="s">
        <v>18788</v>
      </c>
      <c r="E4956" t="s">
        <v>23334</v>
      </c>
      <c r="F4956" t="s">
        <v>32664</v>
      </c>
      <c r="G4956" t="s">
        <v>32671</v>
      </c>
      <c r="H4956" t="s">
        <v>12635</v>
      </c>
      <c r="I4956" t="s">
        <v>32696</v>
      </c>
      <c r="J4956" t="s">
        <v>34329</v>
      </c>
      <c r="K4956" t="s">
        <v>42284</v>
      </c>
      <c r="M4956" t="s">
        <v>44173</v>
      </c>
      <c r="N4956" t="s">
        <v>46569</v>
      </c>
      <c r="O4956" t="s">
        <v>46570</v>
      </c>
      <c r="P4956">
        <v>0</v>
      </c>
      <c r="Q4956">
        <v>1</v>
      </c>
      <c r="R4956" t="s">
        <v>46573</v>
      </c>
      <c r="S4956" t="s">
        <v>46705</v>
      </c>
      <c r="T4956" t="s">
        <v>48290</v>
      </c>
      <c r="U4956" t="s">
        <v>52876</v>
      </c>
      <c r="V4956" t="s">
        <v>61661</v>
      </c>
      <c r="W4956" t="s">
        <v>44173</v>
      </c>
      <c r="X4956" t="s">
        <v>46577</v>
      </c>
    </row>
    <row r="4957" spans="1:24">
      <c r="A4957">
        <f>HYPERLINK("https://www.philgeps.gov.ph/GEPSNONPILOT/Tender/SplashBidNoticeAbstractUI.aspx?menuIndex=3&amp;refID=7056341&amp;Result=3","7056341")</f>
        <v>0</v>
      </c>
      <c r="B4957" t="s">
        <v>1706</v>
      </c>
      <c r="C4957" t="s">
        <v>8270</v>
      </c>
      <c r="D4957" t="s">
        <v>18793</v>
      </c>
      <c r="E4957" t="s">
        <v>23335</v>
      </c>
      <c r="F4957" t="s">
        <v>32664</v>
      </c>
      <c r="G4957" t="s">
        <v>32672</v>
      </c>
      <c r="H4957" t="s">
        <v>12635</v>
      </c>
      <c r="I4957" t="s">
        <v>6223</v>
      </c>
      <c r="J4957" t="s">
        <v>35987</v>
      </c>
      <c r="K4957" t="s">
        <v>42298</v>
      </c>
      <c r="M4957" t="s">
        <v>44400</v>
      </c>
      <c r="N4957" t="s">
        <v>46569</v>
      </c>
      <c r="O4957" t="s">
        <v>46570</v>
      </c>
      <c r="P4957">
        <v>0</v>
      </c>
      <c r="Q4957">
        <v>0</v>
      </c>
      <c r="R4957" t="s">
        <v>46573</v>
      </c>
      <c r="S4957" t="s">
        <v>46705</v>
      </c>
      <c r="T4957" t="s">
        <v>48349</v>
      </c>
      <c r="U4957" t="s">
        <v>52877</v>
      </c>
      <c r="W4957" t="s">
        <v>44400</v>
      </c>
      <c r="X4957" t="s">
        <v>46577</v>
      </c>
    </row>
    <row r="4958" spans="1:24">
      <c r="A4958">
        <f>HYPERLINK("https://www.philgeps.gov.ph/GEPSNONPILOT/Tender/SplashBidNoticeAbstractUI.aspx?menuIndex=3&amp;refID=7054185&amp;Result=3","7054185")</f>
        <v>0</v>
      </c>
      <c r="B4958" t="s">
        <v>1007</v>
      </c>
      <c r="C4958" t="s">
        <v>8271</v>
      </c>
      <c r="D4958" t="s">
        <v>18812</v>
      </c>
      <c r="E4958" t="s">
        <v>23336</v>
      </c>
      <c r="F4958" t="s">
        <v>32664</v>
      </c>
      <c r="G4958" t="s">
        <v>32672</v>
      </c>
      <c r="H4958" t="s">
        <v>12635</v>
      </c>
      <c r="I4958" t="s">
        <v>32699</v>
      </c>
      <c r="J4958" t="s">
        <v>35988</v>
      </c>
      <c r="K4958" t="s">
        <v>42284</v>
      </c>
      <c r="M4958" t="s">
        <v>44391</v>
      </c>
      <c r="N4958" t="s">
        <v>46569</v>
      </c>
      <c r="O4958" t="s">
        <v>46570</v>
      </c>
      <c r="P4958">
        <v>0</v>
      </c>
      <c r="Q4958">
        <v>0</v>
      </c>
      <c r="R4958" t="s">
        <v>46573</v>
      </c>
      <c r="S4958" t="s">
        <v>46705</v>
      </c>
      <c r="T4958" t="s">
        <v>48334</v>
      </c>
      <c r="U4958" t="s">
        <v>52878</v>
      </c>
      <c r="W4958" t="s">
        <v>44391</v>
      </c>
      <c r="X4958" t="s">
        <v>46578</v>
      </c>
    </row>
    <row r="4959" spans="1:24">
      <c r="A4959">
        <f>HYPERLINK("https://www.philgeps.gov.ph/GEPSNONPILOT/Tender/SplashBidNoticeAbstractUI.aspx?menuIndex=3&amp;refID=7056337&amp;Result=3","7056337")</f>
        <v>0</v>
      </c>
      <c r="B4959" t="s">
        <v>590</v>
      </c>
      <c r="C4959" t="s">
        <v>8272</v>
      </c>
      <c r="D4959" t="s">
        <v>18809</v>
      </c>
      <c r="E4959" t="s">
        <v>23337</v>
      </c>
      <c r="F4959" t="s">
        <v>32664</v>
      </c>
      <c r="G4959" t="s">
        <v>32674</v>
      </c>
      <c r="H4959" t="s">
        <v>12635</v>
      </c>
      <c r="I4959" t="s">
        <v>32730</v>
      </c>
      <c r="J4959" t="s">
        <v>33069</v>
      </c>
      <c r="K4959" t="s">
        <v>42297</v>
      </c>
      <c r="M4959" t="s">
        <v>43170</v>
      </c>
      <c r="N4959" t="s">
        <v>46569</v>
      </c>
      <c r="O4959" t="s">
        <v>46570</v>
      </c>
      <c r="P4959">
        <v>0</v>
      </c>
      <c r="Q4959">
        <v>0</v>
      </c>
      <c r="R4959" t="s">
        <v>46573</v>
      </c>
      <c r="S4959" t="s">
        <v>46705</v>
      </c>
      <c r="T4959" t="s">
        <v>48287</v>
      </c>
      <c r="U4959" t="s">
        <v>52879</v>
      </c>
      <c r="V4959" t="s">
        <v>62125</v>
      </c>
      <c r="W4959" t="s">
        <v>43170</v>
      </c>
      <c r="X4959" t="s">
        <v>46577</v>
      </c>
    </row>
    <row r="4960" spans="1:24">
      <c r="A4960">
        <f>HYPERLINK("https://www.philgeps.gov.ph/GEPSNONPILOT/Tender/SplashBidNoticeAbstractUI.aspx?menuIndex=3&amp;refID=7056331&amp;Result=3","7056331")</f>
        <v>0</v>
      </c>
      <c r="B4960" t="s">
        <v>1420</v>
      </c>
      <c r="C4960" t="s">
        <v>8273</v>
      </c>
      <c r="D4960" t="s">
        <v>18860</v>
      </c>
      <c r="E4960" t="s">
        <v>23338</v>
      </c>
      <c r="F4960" t="s">
        <v>32664</v>
      </c>
      <c r="G4960" t="s">
        <v>32674</v>
      </c>
      <c r="H4960" t="s">
        <v>12635</v>
      </c>
      <c r="I4960" t="s">
        <v>5589</v>
      </c>
      <c r="J4960" t="s">
        <v>33461</v>
      </c>
      <c r="K4960" t="s">
        <v>42289</v>
      </c>
      <c r="M4960" t="s">
        <v>44079</v>
      </c>
      <c r="N4960" t="s">
        <v>46569</v>
      </c>
      <c r="O4960" t="s">
        <v>46570</v>
      </c>
      <c r="P4960">
        <v>0</v>
      </c>
      <c r="Q4960">
        <v>5</v>
      </c>
      <c r="R4960" t="s">
        <v>46573</v>
      </c>
      <c r="S4960" t="s">
        <v>46705</v>
      </c>
      <c r="T4960" t="s">
        <v>48473</v>
      </c>
      <c r="U4960" t="s">
        <v>52880</v>
      </c>
      <c r="W4960" t="s">
        <v>44079</v>
      </c>
      <c r="X4960" t="s">
        <v>46577</v>
      </c>
    </row>
    <row r="4961" spans="1:24">
      <c r="A4961">
        <f>HYPERLINK("https://www.philgeps.gov.ph/GEPSNONPILOT/Tender/SplashBidNoticeAbstractUI.aspx?menuIndex=3&amp;refID=7056176&amp;Result=3","7056176")</f>
        <v>0</v>
      </c>
      <c r="B4961" t="s">
        <v>1707</v>
      </c>
      <c r="C4961" t="s">
        <v>8274</v>
      </c>
      <c r="E4961" t="s">
        <v>23339</v>
      </c>
      <c r="F4961" t="s">
        <v>32664</v>
      </c>
      <c r="G4961" t="s">
        <v>32672</v>
      </c>
      <c r="H4961" t="s">
        <v>12635</v>
      </c>
      <c r="I4961" t="s">
        <v>10374</v>
      </c>
      <c r="J4961" t="s">
        <v>35989</v>
      </c>
      <c r="K4961" t="s">
        <v>42283</v>
      </c>
      <c r="M4961" t="s">
        <v>44401</v>
      </c>
      <c r="N4961" t="s">
        <v>46569</v>
      </c>
      <c r="O4961" t="s">
        <v>46570</v>
      </c>
      <c r="P4961">
        <v>0</v>
      </c>
      <c r="Q4961">
        <v>1</v>
      </c>
      <c r="R4961" t="s">
        <v>46573</v>
      </c>
      <c r="S4961" t="s">
        <v>46705</v>
      </c>
      <c r="T4961" t="s">
        <v>48222</v>
      </c>
      <c r="U4961" t="s">
        <v>52881</v>
      </c>
      <c r="W4961" t="s">
        <v>44401</v>
      </c>
      <c r="X4961" t="s">
        <v>46577</v>
      </c>
    </row>
    <row r="4962" spans="1:24">
      <c r="A4962">
        <f>HYPERLINK("https://www.philgeps.gov.ph/GEPSNONPILOT/Tender/SplashBidNoticeAbstractUI.aspx?menuIndex=3&amp;refID=7054532&amp;Result=3","7054532")</f>
        <v>0</v>
      </c>
      <c r="B4962" t="s">
        <v>471</v>
      </c>
      <c r="C4962" t="s">
        <v>8275</v>
      </c>
      <c r="D4962" t="s">
        <v>18785</v>
      </c>
      <c r="E4962" t="s">
        <v>23340</v>
      </c>
      <c r="F4962" t="s">
        <v>32664</v>
      </c>
      <c r="G4962" t="s">
        <v>32672</v>
      </c>
      <c r="H4962" t="s">
        <v>12635</v>
      </c>
      <c r="I4962" t="s">
        <v>11464</v>
      </c>
      <c r="J4962" t="s">
        <v>35216</v>
      </c>
      <c r="K4962" t="s">
        <v>42283</v>
      </c>
      <c r="M4962" t="s">
        <v>43046</v>
      </c>
      <c r="N4962" t="s">
        <v>46569</v>
      </c>
      <c r="O4962" t="s">
        <v>46570</v>
      </c>
      <c r="P4962">
        <v>0</v>
      </c>
      <c r="Q4962">
        <v>8</v>
      </c>
      <c r="R4962" t="s">
        <v>46573</v>
      </c>
      <c r="S4962" t="s">
        <v>46705</v>
      </c>
      <c r="T4962" t="s">
        <v>48412</v>
      </c>
      <c r="U4962" t="s">
        <v>52882</v>
      </c>
      <c r="W4962" t="s">
        <v>43046</v>
      </c>
      <c r="X4962" t="s">
        <v>46578</v>
      </c>
    </row>
    <row r="4963" spans="1:24">
      <c r="A4963">
        <f>HYPERLINK("https://www.philgeps.gov.ph/GEPSNONPILOT/Tender/SplashBidNoticeAbstractUI.aspx?menuIndex=3&amp;refID=7054857&amp;Result=3","7054857")</f>
        <v>0</v>
      </c>
      <c r="B4963" t="s">
        <v>1706</v>
      </c>
      <c r="C4963" t="s">
        <v>8276</v>
      </c>
      <c r="D4963" t="s">
        <v>18793</v>
      </c>
      <c r="E4963" t="s">
        <v>23341</v>
      </c>
      <c r="F4963" t="s">
        <v>32664</v>
      </c>
      <c r="G4963" t="s">
        <v>32672</v>
      </c>
      <c r="H4963" t="s">
        <v>12635</v>
      </c>
      <c r="I4963" t="s">
        <v>9486</v>
      </c>
      <c r="J4963" t="s">
        <v>32943</v>
      </c>
      <c r="K4963" t="s">
        <v>42298</v>
      </c>
      <c r="M4963" t="s">
        <v>44400</v>
      </c>
      <c r="N4963" t="s">
        <v>46569</v>
      </c>
      <c r="O4963" t="s">
        <v>46570</v>
      </c>
      <c r="P4963">
        <v>0</v>
      </c>
      <c r="Q4963">
        <v>1</v>
      </c>
      <c r="R4963" t="s">
        <v>46573</v>
      </c>
      <c r="S4963" t="s">
        <v>46705</v>
      </c>
      <c r="T4963" t="s">
        <v>48349</v>
      </c>
      <c r="U4963" t="s">
        <v>52883</v>
      </c>
      <c r="W4963" t="s">
        <v>44400</v>
      </c>
      <c r="X4963" t="s">
        <v>46578</v>
      </c>
    </row>
    <row r="4964" spans="1:24">
      <c r="A4964">
        <f>HYPERLINK("https://www.philgeps.gov.ph/GEPSNONPILOT/Tender/SplashBidNoticeAbstractUI.aspx?menuIndex=3&amp;refID=7056135&amp;Result=3","7056135")</f>
        <v>0</v>
      </c>
      <c r="B4964" t="s">
        <v>1708</v>
      </c>
      <c r="C4964" t="s">
        <v>8277</v>
      </c>
      <c r="D4964" t="s">
        <v>18827</v>
      </c>
      <c r="E4964" t="s">
        <v>23342</v>
      </c>
      <c r="F4964" t="s">
        <v>32664</v>
      </c>
      <c r="G4964" t="s">
        <v>32671</v>
      </c>
      <c r="H4964" t="s">
        <v>12635</v>
      </c>
      <c r="I4964" t="s">
        <v>32685</v>
      </c>
      <c r="J4964" t="s">
        <v>35990</v>
      </c>
      <c r="K4964" t="s">
        <v>42284</v>
      </c>
      <c r="M4964" t="s">
        <v>44402</v>
      </c>
      <c r="N4964" t="s">
        <v>46569</v>
      </c>
      <c r="O4964" t="s">
        <v>46570</v>
      </c>
      <c r="P4964">
        <v>0</v>
      </c>
      <c r="Q4964">
        <v>0</v>
      </c>
      <c r="R4964" t="s">
        <v>46573</v>
      </c>
      <c r="S4964" t="s">
        <v>46705</v>
      </c>
      <c r="T4964" t="s">
        <v>48287</v>
      </c>
      <c r="U4964" t="s">
        <v>52884</v>
      </c>
      <c r="W4964" t="s">
        <v>44402</v>
      </c>
      <c r="X4964" t="s">
        <v>46577</v>
      </c>
    </row>
    <row r="4965" spans="1:24">
      <c r="A4965">
        <f>HYPERLINK("https://www.philgeps.gov.ph/GEPSNONPILOT/Tender/SplashBidNoticeAbstractUI.aspx?menuIndex=3&amp;refID=7054457&amp;Result=3","7054457")</f>
        <v>0</v>
      </c>
      <c r="B4965" t="s">
        <v>95</v>
      </c>
      <c r="C4965" t="s">
        <v>8278</v>
      </c>
      <c r="D4965" t="s">
        <v>18807</v>
      </c>
      <c r="E4965" t="s">
        <v>23343</v>
      </c>
      <c r="F4965" t="s">
        <v>32664</v>
      </c>
      <c r="G4965" t="s">
        <v>32672</v>
      </c>
      <c r="H4965" t="s">
        <v>12635</v>
      </c>
      <c r="I4965" t="s">
        <v>4439</v>
      </c>
      <c r="J4965" t="s">
        <v>35991</v>
      </c>
      <c r="K4965" t="s">
        <v>42281</v>
      </c>
      <c r="M4965" t="s">
        <v>42658</v>
      </c>
      <c r="N4965" t="s">
        <v>46569</v>
      </c>
      <c r="O4965" t="s">
        <v>46570</v>
      </c>
      <c r="P4965">
        <v>0</v>
      </c>
      <c r="Q4965">
        <v>0</v>
      </c>
      <c r="R4965" t="s">
        <v>46573</v>
      </c>
      <c r="S4965" t="s">
        <v>46705</v>
      </c>
      <c r="T4965" t="s">
        <v>48282</v>
      </c>
      <c r="U4965" t="s">
        <v>52885</v>
      </c>
      <c r="W4965" t="s">
        <v>42658</v>
      </c>
      <c r="X4965" t="s">
        <v>46578</v>
      </c>
    </row>
    <row r="4966" spans="1:24">
      <c r="A4966">
        <f>HYPERLINK("https://www.philgeps.gov.ph/GEPSNONPILOT/Tender/SplashBidNoticeAbstractUI.aspx?menuIndex=3&amp;refID=7056058&amp;Result=3","7056058")</f>
        <v>0</v>
      </c>
      <c r="B4966" t="s">
        <v>1709</v>
      </c>
      <c r="C4966" t="s">
        <v>8279</v>
      </c>
      <c r="D4966" t="s">
        <v>18834</v>
      </c>
      <c r="E4966" t="s">
        <v>23344</v>
      </c>
      <c r="F4966" t="s">
        <v>32664</v>
      </c>
      <c r="G4966" t="s">
        <v>32672</v>
      </c>
      <c r="H4966" t="s">
        <v>32683</v>
      </c>
      <c r="I4966" t="s">
        <v>6553</v>
      </c>
      <c r="J4966" t="s">
        <v>35992</v>
      </c>
      <c r="K4966" t="s">
        <v>42290</v>
      </c>
      <c r="M4966" t="s">
        <v>44403</v>
      </c>
      <c r="N4966" t="s">
        <v>46569</v>
      </c>
      <c r="O4966" t="s">
        <v>46570</v>
      </c>
      <c r="P4966">
        <v>0</v>
      </c>
      <c r="Q4966">
        <v>3</v>
      </c>
      <c r="R4966" t="s">
        <v>46573</v>
      </c>
      <c r="S4966" t="s">
        <v>46705</v>
      </c>
      <c r="T4966" t="s">
        <v>48392</v>
      </c>
      <c r="U4966" t="s">
        <v>52886</v>
      </c>
      <c r="W4966" t="s">
        <v>44403</v>
      </c>
      <c r="X4966" t="s">
        <v>46577</v>
      </c>
    </row>
    <row r="4967" spans="1:24">
      <c r="A4967">
        <f>HYPERLINK("https://www.philgeps.gov.ph/GEPSNONPILOT/Tender/SplashBidNoticeAbstractUI.aspx?menuIndex=3&amp;refID=7055789&amp;Result=3","7055789")</f>
        <v>0</v>
      </c>
      <c r="B4967" t="s">
        <v>1710</v>
      </c>
      <c r="C4967" t="s">
        <v>8280</v>
      </c>
      <c r="D4967" t="s">
        <v>18805</v>
      </c>
      <c r="E4967" t="s">
        <v>23345</v>
      </c>
      <c r="F4967" t="s">
        <v>32664</v>
      </c>
      <c r="G4967" t="s">
        <v>32672</v>
      </c>
      <c r="H4967" t="s">
        <v>32683</v>
      </c>
      <c r="I4967" t="s">
        <v>10627</v>
      </c>
      <c r="J4967" t="s">
        <v>35993</v>
      </c>
      <c r="K4967" t="s">
        <v>42436</v>
      </c>
      <c r="M4967" t="s">
        <v>44404</v>
      </c>
      <c r="N4967" t="s">
        <v>46569</v>
      </c>
      <c r="O4967" t="s">
        <v>46570</v>
      </c>
      <c r="P4967">
        <v>0</v>
      </c>
      <c r="Q4967">
        <v>1</v>
      </c>
      <c r="R4967" t="s">
        <v>46573</v>
      </c>
      <c r="S4967" t="s">
        <v>46705</v>
      </c>
      <c r="T4967" t="s">
        <v>48216</v>
      </c>
      <c r="U4967" t="s">
        <v>52887</v>
      </c>
      <c r="W4967" t="s">
        <v>44404</v>
      </c>
      <c r="X4967" t="s">
        <v>46577</v>
      </c>
    </row>
    <row r="4968" spans="1:24">
      <c r="A4968">
        <f>HYPERLINK("https://www.philgeps.gov.ph/GEPSNONPILOT/Tender/SplashBidNoticeAbstractUI.aspx?menuIndex=3&amp;refID=7055760&amp;Result=3","7055760")</f>
        <v>0</v>
      </c>
      <c r="B4968" t="s">
        <v>822</v>
      </c>
      <c r="C4968" t="s">
        <v>8281</v>
      </c>
      <c r="E4968" t="s">
        <v>23346</v>
      </c>
      <c r="F4968" t="s">
        <v>32664</v>
      </c>
      <c r="G4968" t="s">
        <v>32672</v>
      </c>
      <c r="H4968" t="s">
        <v>12635</v>
      </c>
      <c r="I4968" t="s">
        <v>32704</v>
      </c>
      <c r="J4968" t="s">
        <v>35994</v>
      </c>
      <c r="K4968" t="s">
        <v>42283</v>
      </c>
      <c r="M4968" t="s">
        <v>43695</v>
      </c>
      <c r="N4968" t="s">
        <v>46569</v>
      </c>
      <c r="O4968" t="s">
        <v>46570</v>
      </c>
      <c r="P4968">
        <v>0</v>
      </c>
      <c r="Q4968">
        <v>11</v>
      </c>
      <c r="R4968" t="s">
        <v>46573</v>
      </c>
      <c r="S4968" t="s">
        <v>46705</v>
      </c>
      <c r="T4968" t="s">
        <v>48467</v>
      </c>
      <c r="U4968" t="s">
        <v>52888</v>
      </c>
      <c r="W4968" t="s">
        <v>43695</v>
      </c>
      <c r="X4968" t="s">
        <v>46577</v>
      </c>
    </row>
    <row r="4969" spans="1:24">
      <c r="A4969">
        <f>HYPERLINK("https://www.philgeps.gov.ph/GEPSNONPILOT/Tender/SplashBidNoticeAbstractUI.aspx?menuIndex=3&amp;refID=7056163&amp;Result=3","7056163")</f>
        <v>0</v>
      </c>
      <c r="B4969" t="s">
        <v>1708</v>
      </c>
      <c r="C4969" t="s">
        <v>8282</v>
      </c>
      <c r="D4969" t="s">
        <v>18827</v>
      </c>
      <c r="E4969" t="s">
        <v>23347</v>
      </c>
      <c r="F4969" t="s">
        <v>32664</v>
      </c>
      <c r="G4969" t="s">
        <v>32671</v>
      </c>
      <c r="H4969" t="s">
        <v>12635</v>
      </c>
      <c r="I4969" t="s">
        <v>32685</v>
      </c>
      <c r="J4969" t="s">
        <v>35995</v>
      </c>
      <c r="K4969" t="s">
        <v>42284</v>
      </c>
      <c r="M4969" t="s">
        <v>44402</v>
      </c>
      <c r="N4969" t="s">
        <v>46569</v>
      </c>
      <c r="O4969" t="s">
        <v>46570</v>
      </c>
      <c r="P4969">
        <v>0</v>
      </c>
      <c r="Q4969">
        <v>0</v>
      </c>
      <c r="R4969" t="s">
        <v>46573</v>
      </c>
      <c r="S4969" t="s">
        <v>46705</v>
      </c>
      <c r="T4969" t="s">
        <v>48287</v>
      </c>
      <c r="U4969" t="s">
        <v>52889</v>
      </c>
      <c r="W4969" t="s">
        <v>44402</v>
      </c>
      <c r="X4969" t="s">
        <v>46577</v>
      </c>
    </row>
    <row r="4970" spans="1:24">
      <c r="A4970">
        <f>HYPERLINK("https://www.philgeps.gov.ph/GEPSNONPILOT/Tender/SplashBidNoticeAbstractUI.aspx?menuIndex=3&amp;refID=7055405&amp;Result=3","7055405")</f>
        <v>0</v>
      </c>
      <c r="B4970" t="s">
        <v>1711</v>
      </c>
      <c r="C4970" t="s">
        <v>8283</v>
      </c>
      <c r="D4970" t="s">
        <v>18838</v>
      </c>
      <c r="E4970" t="s">
        <v>19193</v>
      </c>
      <c r="F4970" t="s">
        <v>32664</v>
      </c>
      <c r="G4970" t="s">
        <v>32678</v>
      </c>
      <c r="H4970" t="s">
        <v>12635</v>
      </c>
      <c r="I4970" t="s">
        <v>9946</v>
      </c>
      <c r="J4970" t="s">
        <v>33175</v>
      </c>
      <c r="K4970" t="s">
        <v>42297</v>
      </c>
      <c r="M4970" t="s">
        <v>44405</v>
      </c>
      <c r="N4970" t="s">
        <v>46569</v>
      </c>
      <c r="O4970" t="s">
        <v>46570</v>
      </c>
      <c r="P4970">
        <v>0</v>
      </c>
      <c r="Q4970">
        <v>0</v>
      </c>
      <c r="R4970" t="s">
        <v>46573</v>
      </c>
      <c r="S4970" t="s">
        <v>46705</v>
      </c>
      <c r="T4970" t="s">
        <v>48415</v>
      </c>
      <c r="U4970" t="s">
        <v>52890</v>
      </c>
      <c r="V4970" t="s">
        <v>62126</v>
      </c>
      <c r="W4970" t="s">
        <v>44405</v>
      </c>
      <c r="X4970" t="s">
        <v>46578</v>
      </c>
    </row>
    <row r="4971" spans="1:24">
      <c r="A4971">
        <f>HYPERLINK("https://www.philgeps.gov.ph/GEPSNONPILOT/Tender/SplashBidNoticeAbstractUI.aspx?menuIndex=3&amp;refID=7055374&amp;Result=3","7055374")</f>
        <v>0</v>
      </c>
      <c r="B4971" t="s">
        <v>1668</v>
      </c>
      <c r="C4971" t="s">
        <v>8284</v>
      </c>
      <c r="D4971" t="s">
        <v>18788</v>
      </c>
      <c r="E4971" t="s">
        <v>23348</v>
      </c>
      <c r="F4971" t="s">
        <v>32664</v>
      </c>
      <c r="G4971" t="s">
        <v>32672</v>
      </c>
      <c r="H4971" t="s">
        <v>32683</v>
      </c>
      <c r="I4971" t="s">
        <v>10627</v>
      </c>
      <c r="J4971" t="s">
        <v>35996</v>
      </c>
      <c r="K4971" t="s">
        <v>42313</v>
      </c>
      <c r="M4971" t="s">
        <v>44355</v>
      </c>
      <c r="N4971" t="s">
        <v>46569</v>
      </c>
      <c r="O4971" t="s">
        <v>46570</v>
      </c>
      <c r="P4971">
        <v>0</v>
      </c>
      <c r="Q4971">
        <v>1</v>
      </c>
      <c r="R4971" t="s">
        <v>46573</v>
      </c>
      <c r="S4971" t="s">
        <v>46705</v>
      </c>
      <c r="T4971" t="s">
        <v>48306</v>
      </c>
      <c r="U4971" t="s">
        <v>52891</v>
      </c>
      <c r="W4971" t="s">
        <v>44355</v>
      </c>
      <c r="X4971" t="s">
        <v>46578</v>
      </c>
    </row>
    <row r="4972" spans="1:24">
      <c r="A4972">
        <f>HYPERLINK("https://www.philgeps.gov.ph/GEPSNONPILOT/Tender/SplashBidNoticeAbstractUI.aspx?menuIndex=3&amp;refID=7056314&amp;Result=3","7056314")</f>
        <v>0</v>
      </c>
      <c r="B4972" t="s">
        <v>175</v>
      </c>
      <c r="C4972" t="s">
        <v>8285</v>
      </c>
      <c r="D4972" t="s">
        <v>18788</v>
      </c>
      <c r="E4972" t="s">
        <v>23349</v>
      </c>
      <c r="F4972" t="s">
        <v>32664</v>
      </c>
      <c r="G4972" t="s">
        <v>32671</v>
      </c>
      <c r="H4972" t="s">
        <v>12635</v>
      </c>
      <c r="I4972" t="s">
        <v>32736</v>
      </c>
      <c r="J4972" t="s">
        <v>33008</v>
      </c>
      <c r="K4972" t="s">
        <v>42284</v>
      </c>
      <c r="M4972" t="s">
        <v>44173</v>
      </c>
      <c r="N4972" t="s">
        <v>46569</v>
      </c>
      <c r="O4972" t="s">
        <v>46570</v>
      </c>
      <c r="P4972">
        <v>0</v>
      </c>
      <c r="Q4972">
        <v>0</v>
      </c>
      <c r="R4972" t="s">
        <v>46573</v>
      </c>
      <c r="S4972" t="s">
        <v>46705</v>
      </c>
      <c r="T4972" t="s">
        <v>48290</v>
      </c>
      <c r="U4972" t="s">
        <v>52892</v>
      </c>
      <c r="V4972" t="s">
        <v>61661</v>
      </c>
      <c r="W4972" t="s">
        <v>44173</v>
      </c>
      <c r="X4972" t="s">
        <v>46577</v>
      </c>
    </row>
    <row r="4973" spans="1:24">
      <c r="A4973">
        <f>HYPERLINK("https://www.philgeps.gov.ph/GEPSNONPILOT/Tender/SplashBidNoticeAbstractUI.aspx?menuIndex=3&amp;refID=7055776&amp;Result=3","7055776")</f>
        <v>0</v>
      </c>
      <c r="B4973" t="s">
        <v>1710</v>
      </c>
      <c r="C4973" t="s">
        <v>8286</v>
      </c>
      <c r="D4973" t="s">
        <v>18805</v>
      </c>
      <c r="E4973" t="s">
        <v>23350</v>
      </c>
      <c r="F4973" t="s">
        <v>32664</v>
      </c>
      <c r="G4973" t="s">
        <v>32672</v>
      </c>
      <c r="H4973" t="s">
        <v>32683</v>
      </c>
      <c r="I4973" t="s">
        <v>10627</v>
      </c>
      <c r="J4973" t="s">
        <v>35997</v>
      </c>
      <c r="K4973" t="s">
        <v>42436</v>
      </c>
      <c r="M4973" t="s">
        <v>44404</v>
      </c>
      <c r="N4973" t="s">
        <v>46569</v>
      </c>
      <c r="O4973" t="s">
        <v>46570</v>
      </c>
      <c r="P4973">
        <v>0</v>
      </c>
      <c r="Q4973">
        <v>1</v>
      </c>
      <c r="R4973" t="s">
        <v>46573</v>
      </c>
      <c r="S4973" t="s">
        <v>46705</v>
      </c>
      <c r="T4973" t="s">
        <v>48216</v>
      </c>
      <c r="U4973" t="s">
        <v>52887</v>
      </c>
      <c r="W4973" t="s">
        <v>44404</v>
      </c>
      <c r="X4973" t="s">
        <v>46577</v>
      </c>
    </row>
    <row r="4974" spans="1:24">
      <c r="A4974">
        <f>HYPERLINK("https://www.philgeps.gov.ph/GEPSNONPILOT/Tender/SplashBidNoticeAbstractUI.aspx?menuIndex=3&amp;refID=7055715&amp;Result=3","7055715")</f>
        <v>0</v>
      </c>
      <c r="B4974" t="s">
        <v>822</v>
      </c>
      <c r="C4974" t="s">
        <v>8287</v>
      </c>
      <c r="E4974" t="s">
        <v>23351</v>
      </c>
      <c r="F4974" t="s">
        <v>32664</v>
      </c>
      <c r="G4974" t="s">
        <v>32672</v>
      </c>
      <c r="H4974" t="s">
        <v>12635</v>
      </c>
      <c r="I4974" t="s">
        <v>32685</v>
      </c>
      <c r="J4974" t="s">
        <v>35998</v>
      </c>
      <c r="K4974" t="s">
        <v>42283</v>
      </c>
      <c r="M4974" t="s">
        <v>43695</v>
      </c>
      <c r="N4974" t="s">
        <v>46569</v>
      </c>
      <c r="O4974" t="s">
        <v>46570</v>
      </c>
      <c r="P4974">
        <v>0</v>
      </c>
      <c r="Q4974">
        <v>1</v>
      </c>
      <c r="R4974" t="s">
        <v>46573</v>
      </c>
      <c r="S4974" t="s">
        <v>46705</v>
      </c>
      <c r="T4974" t="s">
        <v>48467</v>
      </c>
      <c r="U4974" t="s">
        <v>52893</v>
      </c>
      <c r="W4974" t="s">
        <v>43695</v>
      </c>
      <c r="X4974" t="s">
        <v>46577</v>
      </c>
    </row>
    <row r="4975" spans="1:24">
      <c r="A4975">
        <f>HYPERLINK("https://www.philgeps.gov.ph/GEPSNONPILOT/Tender/SplashBidNoticeAbstractUI.aspx?menuIndex=3&amp;refID=7055804&amp;Result=3","7055804")</f>
        <v>0</v>
      </c>
      <c r="B4975" t="s">
        <v>1712</v>
      </c>
      <c r="C4975" t="s">
        <v>8288</v>
      </c>
      <c r="D4975" t="s">
        <v>18792</v>
      </c>
      <c r="E4975" t="s">
        <v>23352</v>
      </c>
      <c r="F4975" t="s">
        <v>32665</v>
      </c>
      <c r="G4975" t="s">
        <v>32674</v>
      </c>
      <c r="H4975" t="s">
        <v>12635</v>
      </c>
      <c r="I4975" t="s">
        <v>6118</v>
      </c>
      <c r="J4975" t="s">
        <v>35999</v>
      </c>
      <c r="K4975" t="s">
        <v>42297</v>
      </c>
      <c r="M4975" t="s">
        <v>44406</v>
      </c>
      <c r="N4975" t="s">
        <v>46569</v>
      </c>
      <c r="O4975" t="s">
        <v>46570</v>
      </c>
      <c r="P4975">
        <v>0</v>
      </c>
      <c r="Q4975">
        <v>0</v>
      </c>
      <c r="R4975" t="s">
        <v>46573</v>
      </c>
      <c r="S4975" t="s">
        <v>46705</v>
      </c>
      <c r="T4975" t="s">
        <v>48212</v>
      </c>
      <c r="U4975" t="s">
        <v>52894</v>
      </c>
      <c r="W4975" t="s">
        <v>44406</v>
      </c>
      <c r="X4975" t="s">
        <v>46577</v>
      </c>
    </row>
    <row r="4976" spans="1:24">
      <c r="A4976">
        <f>HYPERLINK("https://www.philgeps.gov.ph/GEPSNONPILOT/Tender/SplashBidNoticeAbstractUI.aspx?menuIndex=3&amp;refID=7055349&amp;Result=3","7055349")</f>
        <v>0</v>
      </c>
      <c r="B4976" t="s">
        <v>1668</v>
      </c>
      <c r="C4976" t="s">
        <v>8289</v>
      </c>
      <c r="D4976" t="s">
        <v>18788</v>
      </c>
      <c r="E4976" t="s">
        <v>23353</v>
      </c>
      <c r="F4976" t="s">
        <v>32664</v>
      </c>
      <c r="G4976" t="s">
        <v>32672</v>
      </c>
      <c r="H4976" t="s">
        <v>32683</v>
      </c>
      <c r="I4976" t="s">
        <v>10627</v>
      </c>
      <c r="J4976" t="s">
        <v>36000</v>
      </c>
      <c r="K4976" t="s">
        <v>42298</v>
      </c>
      <c r="M4976" t="s">
        <v>44355</v>
      </c>
      <c r="N4976" t="s">
        <v>46569</v>
      </c>
      <c r="O4976" t="s">
        <v>46570</v>
      </c>
      <c r="P4976">
        <v>0</v>
      </c>
      <c r="Q4976">
        <v>1</v>
      </c>
      <c r="R4976" t="s">
        <v>46573</v>
      </c>
      <c r="S4976" t="s">
        <v>46705</v>
      </c>
      <c r="T4976" t="s">
        <v>48306</v>
      </c>
      <c r="U4976" t="s">
        <v>52895</v>
      </c>
      <c r="W4976" t="s">
        <v>44355</v>
      </c>
      <c r="X4976" t="s">
        <v>46578</v>
      </c>
    </row>
    <row r="4977" spans="1:24">
      <c r="A4977">
        <f>HYPERLINK("https://www.philgeps.gov.ph/GEPSNONPILOT/Tender/SplashBidNoticeAbstractUI.aspx?menuIndex=3&amp;refID=7056926&amp;Result=3","7056926")</f>
        <v>0</v>
      </c>
      <c r="B4977" t="s">
        <v>1143</v>
      </c>
      <c r="C4977" t="s">
        <v>8290</v>
      </c>
      <c r="D4977" t="s">
        <v>18831</v>
      </c>
      <c r="E4977" t="s">
        <v>23354</v>
      </c>
      <c r="F4977" t="s">
        <v>32664</v>
      </c>
      <c r="G4977" t="s">
        <v>32672</v>
      </c>
      <c r="H4977" t="s">
        <v>32683</v>
      </c>
      <c r="I4977" t="s">
        <v>10627</v>
      </c>
      <c r="J4977" t="s">
        <v>36001</v>
      </c>
      <c r="K4977" t="s">
        <v>42295</v>
      </c>
      <c r="M4977" t="s">
        <v>43774</v>
      </c>
      <c r="N4977" t="s">
        <v>46569</v>
      </c>
      <c r="O4977" t="s">
        <v>46570</v>
      </c>
      <c r="P4977">
        <v>0</v>
      </c>
      <c r="Q4977">
        <v>2</v>
      </c>
      <c r="R4977" t="s">
        <v>46573</v>
      </c>
      <c r="S4977" t="s">
        <v>46705</v>
      </c>
      <c r="T4977" t="s">
        <v>48216</v>
      </c>
      <c r="U4977" t="s">
        <v>52896</v>
      </c>
      <c r="W4977" t="s">
        <v>43774</v>
      </c>
      <c r="X4977" t="s">
        <v>46577</v>
      </c>
    </row>
    <row r="4978" spans="1:24">
      <c r="A4978">
        <f>HYPERLINK("https://www.philgeps.gov.ph/GEPSNONPILOT/Tender/SplashBidNoticeAbstractUI.aspx?menuIndex=3&amp;refID=7056914&amp;Result=3","7056914")</f>
        <v>0</v>
      </c>
      <c r="B4978" t="s">
        <v>1706</v>
      </c>
      <c r="C4978" t="s">
        <v>8291</v>
      </c>
      <c r="D4978" t="s">
        <v>18793</v>
      </c>
      <c r="E4978" t="s">
        <v>23355</v>
      </c>
      <c r="F4978" t="s">
        <v>32664</v>
      </c>
      <c r="G4978" t="s">
        <v>32672</v>
      </c>
      <c r="H4978" t="s">
        <v>32682</v>
      </c>
      <c r="I4978" t="s">
        <v>32783</v>
      </c>
      <c r="J4978" t="s">
        <v>33128</v>
      </c>
      <c r="K4978" t="s">
        <v>42298</v>
      </c>
      <c r="M4978" t="s">
        <v>44400</v>
      </c>
      <c r="N4978" t="s">
        <v>46569</v>
      </c>
      <c r="O4978" t="s">
        <v>46570</v>
      </c>
      <c r="P4978">
        <v>0</v>
      </c>
      <c r="Q4978">
        <v>0</v>
      </c>
      <c r="R4978" t="s">
        <v>46573</v>
      </c>
      <c r="S4978" t="s">
        <v>46705</v>
      </c>
      <c r="T4978" t="s">
        <v>48349</v>
      </c>
      <c r="U4978" t="s">
        <v>52897</v>
      </c>
      <c r="W4978" t="s">
        <v>44400</v>
      </c>
      <c r="X4978" t="s">
        <v>46577</v>
      </c>
    </row>
    <row r="4979" spans="1:24">
      <c r="A4979">
        <f>HYPERLINK("https://www.philgeps.gov.ph/GEPSNONPILOT/Tender/SplashBidNoticeAbstractUI.aspx?menuIndex=3&amp;refID=7056867&amp;Result=3","7056867")</f>
        <v>0</v>
      </c>
      <c r="B4979" t="s">
        <v>1709</v>
      </c>
      <c r="C4979" t="s">
        <v>8292</v>
      </c>
      <c r="D4979" t="s">
        <v>18834</v>
      </c>
      <c r="E4979" t="s">
        <v>21505</v>
      </c>
      <c r="F4979" t="s">
        <v>32664</v>
      </c>
      <c r="G4979" t="s">
        <v>32671</v>
      </c>
      <c r="H4979" t="s">
        <v>12635</v>
      </c>
      <c r="I4979" t="s">
        <v>32701</v>
      </c>
      <c r="J4979" t="s">
        <v>33078</v>
      </c>
      <c r="K4979" t="s">
        <v>42404</v>
      </c>
      <c r="M4979" t="s">
        <v>44407</v>
      </c>
      <c r="N4979" t="s">
        <v>46569</v>
      </c>
      <c r="O4979" t="s">
        <v>46570</v>
      </c>
      <c r="P4979">
        <v>0</v>
      </c>
      <c r="Q4979">
        <v>1</v>
      </c>
      <c r="R4979" t="s">
        <v>46573</v>
      </c>
      <c r="S4979" t="s">
        <v>46705</v>
      </c>
      <c r="T4979" t="s">
        <v>48316</v>
      </c>
      <c r="U4979" t="s">
        <v>52898</v>
      </c>
      <c r="V4979" t="s">
        <v>62127</v>
      </c>
      <c r="W4979" t="s">
        <v>44407</v>
      </c>
      <c r="X4979" t="s">
        <v>46577</v>
      </c>
    </row>
    <row r="4980" spans="1:24">
      <c r="A4980">
        <f>HYPERLINK("https://www.philgeps.gov.ph/GEPSNONPILOT/Tender/SplashBidNoticeAbstractUI.aspx?menuIndex=3&amp;refID=7055113&amp;Result=3","7055113")</f>
        <v>0</v>
      </c>
      <c r="B4980" t="s">
        <v>1706</v>
      </c>
      <c r="C4980" t="s">
        <v>8293</v>
      </c>
      <c r="D4980" t="s">
        <v>18793</v>
      </c>
      <c r="E4980" t="s">
        <v>23356</v>
      </c>
      <c r="F4980" t="s">
        <v>32664</v>
      </c>
      <c r="G4980" t="s">
        <v>32672</v>
      </c>
      <c r="H4980" t="s">
        <v>12635</v>
      </c>
      <c r="I4980" t="s">
        <v>8797</v>
      </c>
      <c r="J4980" t="s">
        <v>36002</v>
      </c>
      <c r="K4980" t="s">
        <v>42298</v>
      </c>
      <c r="M4980" t="s">
        <v>44400</v>
      </c>
      <c r="N4980" t="s">
        <v>46569</v>
      </c>
      <c r="O4980" t="s">
        <v>46570</v>
      </c>
      <c r="P4980">
        <v>0</v>
      </c>
      <c r="Q4980">
        <v>2</v>
      </c>
      <c r="R4980" t="s">
        <v>46573</v>
      </c>
      <c r="S4980" t="s">
        <v>46705</v>
      </c>
      <c r="T4980" t="s">
        <v>48349</v>
      </c>
      <c r="U4980" t="s">
        <v>52899</v>
      </c>
      <c r="W4980" t="s">
        <v>44400</v>
      </c>
      <c r="X4980" t="s">
        <v>46578</v>
      </c>
    </row>
    <row r="4981" spans="1:24">
      <c r="A4981">
        <f>HYPERLINK("https://www.philgeps.gov.ph/GEPSNONPILOT/Tender/SplashBidNoticeAbstractUI.aspx?menuIndex=3&amp;refID=7056862&amp;Result=3","7056862")</f>
        <v>0</v>
      </c>
      <c r="B4981" t="s">
        <v>1502</v>
      </c>
      <c r="C4981" t="s">
        <v>8294</v>
      </c>
      <c r="D4981" t="s">
        <v>18829</v>
      </c>
      <c r="E4981" t="s">
        <v>23357</v>
      </c>
      <c r="F4981" t="s">
        <v>32664</v>
      </c>
      <c r="G4981" t="s">
        <v>32674</v>
      </c>
      <c r="H4981" t="s">
        <v>12635</v>
      </c>
      <c r="I4981" t="s">
        <v>32694</v>
      </c>
      <c r="J4981" t="s">
        <v>36003</v>
      </c>
      <c r="K4981" t="s">
        <v>42283</v>
      </c>
      <c r="M4981" t="s">
        <v>44166</v>
      </c>
      <c r="N4981" t="s">
        <v>46569</v>
      </c>
      <c r="O4981" t="s">
        <v>46570</v>
      </c>
      <c r="P4981">
        <v>0</v>
      </c>
      <c r="Q4981">
        <v>1</v>
      </c>
      <c r="R4981" t="s">
        <v>46573</v>
      </c>
      <c r="S4981" t="s">
        <v>46705</v>
      </c>
      <c r="T4981" t="s">
        <v>48532</v>
      </c>
      <c r="U4981" t="s">
        <v>52900</v>
      </c>
      <c r="V4981" t="s">
        <v>62128</v>
      </c>
      <c r="W4981" t="s">
        <v>44166</v>
      </c>
      <c r="X4981" t="s">
        <v>46577</v>
      </c>
    </row>
    <row r="4982" spans="1:24">
      <c r="A4982">
        <f>HYPERLINK("https://www.philgeps.gov.ph/GEPSNONPILOT/Tender/SplashBidNoticeAbstractUI.aspx?menuIndex=3&amp;refID=7056835&amp;Result=3","7056835")</f>
        <v>0</v>
      </c>
      <c r="B4982" t="s">
        <v>1502</v>
      </c>
      <c r="C4982" t="s">
        <v>8295</v>
      </c>
      <c r="D4982" t="s">
        <v>18829</v>
      </c>
      <c r="E4982" t="s">
        <v>23358</v>
      </c>
      <c r="F4982" t="s">
        <v>32664</v>
      </c>
      <c r="G4982" t="s">
        <v>32671</v>
      </c>
      <c r="H4982" t="s">
        <v>12635</v>
      </c>
      <c r="I4982" t="s">
        <v>32685</v>
      </c>
      <c r="J4982" t="s">
        <v>36004</v>
      </c>
      <c r="K4982" t="s">
        <v>42283</v>
      </c>
      <c r="M4982" t="s">
        <v>44166</v>
      </c>
      <c r="N4982" t="s">
        <v>46569</v>
      </c>
      <c r="O4982" t="s">
        <v>46570</v>
      </c>
      <c r="P4982">
        <v>0</v>
      </c>
      <c r="Q4982">
        <v>0</v>
      </c>
      <c r="R4982" t="s">
        <v>46573</v>
      </c>
      <c r="S4982" t="s">
        <v>46705</v>
      </c>
      <c r="T4982" t="s">
        <v>48532</v>
      </c>
      <c r="U4982" t="s">
        <v>52901</v>
      </c>
      <c r="V4982" t="s">
        <v>62129</v>
      </c>
      <c r="W4982" t="s">
        <v>44166</v>
      </c>
      <c r="X4982" t="s">
        <v>46577</v>
      </c>
    </row>
    <row r="4983" spans="1:24">
      <c r="A4983">
        <f>HYPERLINK("https://www.philgeps.gov.ph/GEPSNONPILOT/Tender/SplashBidNoticeAbstractUI.aspx?menuIndex=3&amp;refID=7056823&amp;Result=3","7056823")</f>
        <v>0</v>
      </c>
      <c r="B4983" t="s">
        <v>1502</v>
      </c>
      <c r="C4983" t="s">
        <v>4018</v>
      </c>
      <c r="D4983" t="s">
        <v>18829</v>
      </c>
      <c r="E4983" t="s">
        <v>23359</v>
      </c>
      <c r="F4983" t="s">
        <v>32664</v>
      </c>
      <c r="G4983" t="s">
        <v>32674</v>
      </c>
      <c r="H4983" t="s">
        <v>12635</v>
      </c>
      <c r="I4983" t="s">
        <v>32704</v>
      </c>
      <c r="J4983" t="s">
        <v>36005</v>
      </c>
      <c r="K4983" t="s">
        <v>42283</v>
      </c>
      <c r="M4983" t="s">
        <v>44166</v>
      </c>
      <c r="N4983" t="s">
        <v>46569</v>
      </c>
      <c r="O4983" t="s">
        <v>46570</v>
      </c>
      <c r="P4983">
        <v>0</v>
      </c>
      <c r="Q4983">
        <v>6</v>
      </c>
      <c r="R4983" t="s">
        <v>46573</v>
      </c>
      <c r="S4983" t="s">
        <v>46705</v>
      </c>
      <c r="T4983" t="s">
        <v>48532</v>
      </c>
      <c r="U4983" t="s">
        <v>52902</v>
      </c>
      <c r="V4983" t="s">
        <v>62130</v>
      </c>
      <c r="W4983" t="s">
        <v>44166</v>
      </c>
      <c r="X4983" t="s">
        <v>46577</v>
      </c>
    </row>
    <row r="4984" spans="1:24">
      <c r="A4984">
        <f>HYPERLINK("https://www.philgeps.gov.ph/GEPSNONPILOT/Tender/SplashBidNoticeAbstractUI.aspx?menuIndex=3&amp;refID=7056817&amp;Result=3","7056817")</f>
        <v>0</v>
      </c>
      <c r="B4984" t="s">
        <v>252</v>
      </c>
      <c r="C4984" t="s">
        <v>4253</v>
      </c>
      <c r="D4984" t="s">
        <v>18802</v>
      </c>
      <c r="E4984" t="s">
        <v>23360</v>
      </c>
      <c r="F4984" t="s">
        <v>32664</v>
      </c>
      <c r="G4984" t="s">
        <v>32671</v>
      </c>
      <c r="H4984" t="s">
        <v>12635</v>
      </c>
      <c r="I4984" t="s">
        <v>8797</v>
      </c>
      <c r="J4984" t="s">
        <v>36006</v>
      </c>
      <c r="K4984" t="s">
        <v>42283</v>
      </c>
      <c r="L4984" t="s">
        <v>252</v>
      </c>
      <c r="M4984" t="s">
        <v>42817</v>
      </c>
      <c r="N4984" t="s">
        <v>46569</v>
      </c>
      <c r="O4984" t="s">
        <v>46570</v>
      </c>
      <c r="P4984">
        <v>0</v>
      </c>
      <c r="Q4984">
        <v>15</v>
      </c>
      <c r="R4984" t="s">
        <v>46573</v>
      </c>
      <c r="S4984" t="s">
        <v>46705</v>
      </c>
      <c r="T4984" t="s">
        <v>48244</v>
      </c>
      <c r="U4984" t="s">
        <v>49436</v>
      </c>
      <c r="W4984" t="s">
        <v>42817</v>
      </c>
      <c r="X4984" t="s">
        <v>46577</v>
      </c>
    </row>
    <row r="4985" spans="1:24">
      <c r="A4985">
        <f>HYPERLINK("https://www.philgeps.gov.ph/GEPSNONPILOT/Tender/SplashBidNoticeAbstractUI.aspx?menuIndex=3&amp;refID=7055334&amp;Result=3","7055334")</f>
        <v>0</v>
      </c>
      <c r="B4985" t="s">
        <v>784</v>
      </c>
      <c r="C4985" t="s">
        <v>8296</v>
      </c>
      <c r="D4985" t="s">
        <v>18785</v>
      </c>
      <c r="E4985" t="s">
        <v>23361</v>
      </c>
      <c r="F4985" t="s">
        <v>32664</v>
      </c>
      <c r="G4985" t="s">
        <v>32672</v>
      </c>
      <c r="H4985" t="s">
        <v>12635</v>
      </c>
      <c r="I4985" t="s">
        <v>32688</v>
      </c>
      <c r="J4985" t="s">
        <v>34251</v>
      </c>
      <c r="K4985" t="s">
        <v>42311</v>
      </c>
      <c r="M4985" t="s">
        <v>43376</v>
      </c>
      <c r="N4985" t="s">
        <v>46569</v>
      </c>
      <c r="O4985" t="s">
        <v>46570</v>
      </c>
      <c r="P4985">
        <v>0</v>
      </c>
      <c r="Q4985">
        <v>14</v>
      </c>
      <c r="R4985" t="s">
        <v>46573</v>
      </c>
      <c r="S4985" t="s">
        <v>46705</v>
      </c>
      <c r="T4985" t="s">
        <v>48222</v>
      </c>
      <c r="U4985" t="s">
        <v>52903</v>
      </c>
      <c r="W4985" t="s">
        <v>63528</v>
      </c>
      <c r="X4985" t="s">
        <v>46578</v>
      </c>
    </row>
    <row r="4986" spans="1:24">
      <c r="A4986">
        <f>HYPERLINK("https://www.philgeps.gov.ph/GEPSNONPILOT/Tender/SplashBidNoticeAbstractUI.aspx?menuIndex=3&amp;refID=7056808&amp;Result=3","7056808")</f>
        <v>0</v>
      </c>
      <c r="B4986" t="s">
        <v>1502</v>
      </c>
      <c r="C4986" t="s">
        <v>8297</v>
      </c>
      <c r="D4986" t="s">
        <v>18829</v>
      </c>
      <c r="E4986" t="s">
        <v>23362</v>
      </c>
      <c r="F4986" t="s">
        <v>32664</v>
      </c>
      <c r="G4986" t="s">
        <v>32671</v>
      </c>
      <c r="H4986" t="s">
        <v>12635</v>
      </c>
      <c r="I4986" t="s">
        <v>32685</v>
      </c>
      <c r="J4986" t="s">
        <v>36007</v>
      </c>
      <c r="K4986" t="s">
        <v>42283</v>
      </c>
      <c r="M4986" t="s">
        <v>44166</v>
      </c>
      <c r="N4986" t="s">
        <v>46569</v>
      </c>
      <c r="O4986" t="s">
        <v>46570</v>
      </c>
      <c r="P4986">
        <v>0</v>
      </c>
      <c r="Q4986">
        <v>0</v>
      </c>
      <c r="R4986" t="s">
        <v>46573</v>
      </c>
      <c r="S4986" t="s">
        <v>46705</v>
      </c>
      <c r="T4986" t="s">
        <v>48532</v>
      </c>
      <c r="U4986" t="s">
        <v>52904</v>
      </c>
      <c r="V4986" t="s">
        <v>62131</v>
      </c>
      <c r="W4986" t="s">
        <v>44166</v>
      </c>
      <c r="X4986" t="s">
        <v>46577</v>
      </c>
    </row>
    <row r="4987" spans="1:24">
      <c r="A4987">
        <f>HYPERLINK("https://www.philgeps.gov.ph/GEPSNONPILOT/Tender/SplashBidNoticeAbstractUI.aspx?menuIndex=3&amp;refID=7056801&amp;Result=3","7056801")</f>
        <v>0</v>
      </c>
      <c r="B4987" t="s">
        <v>252</v>
      </c>
      <c r="C4987" t="s">
        <v>8298</v>
      </c>
      <c r="D4987" t="s">
        <v>18802</v>
      </c>
      <c r="E4987" t="s">
        <v>23363</v>
      </c>
      <c r="F4987" t="s">
        <v>32664</v>
      </c>
      <c r="G4987" t="s">
        <v>32671</v>
      </c>
      <c r="H4987" t="s">
        <v>12635</v>
      </c>
      <c r="I4987" t="s">
        <v>8797</v>
      </c>
      <c r="J4987" t="s">
        <v>36008</v>
      </c>
      <c r="K4987" t="s">
        <v>42283</v>
      </c>
      <c r="L4987" t="s">
        <v>252</v>
      </c>
      <c r="M4987" t="s">
        <v>42817</v>
      </c>
      <c r="N4987" t="s">
        <v>46569</v>
      </c>
      <c r="O4987" t="s">
        <v>46570</v>
      </c>
      <c r="P4987">
        <v>0</v>
      </c>
      <c r="Q4987">
        <v>13</v>
      </c>
      <c r="R4987" t="s">
        <v>46573</v>
      </c>
      <c r="S4987" t="s">
        <v>46705</v>
      </c>
      <c r="T4987" t="s">
        <v>48244</v>
      </c>
      <c r="U4987" t="s">
        <v>49436</v>
      </c>
      <c r="W4987" t="s">
        <v>42817</v>
      </c>
      <c r="X4987" t="s">
        <v>46577</v>
      </c>
    </row>
    <row r="4988" spans="1:24">
      <c r="A4988">
        <f>HYPERLINK("https://www.philgeps.gov.ph/GEPSNONPILOT/Tender/SplashBidNoticeAbstractUI.aspx?menuIndex=3&amp;refID=7056781&amp;Result=3","7056781")</f>
        <v>0</v>
      </c>
      <c r="B4988" t="s">
        <v>252</v>
      </c>
      <c r="C4988" t="s">
        <v>8299</v>
      </c>
      <c r="D4988" t="s">
        <v>18802</v>
      </c>
      <c r="E4988" t="s">
        <v>23364</v>
      </c>
      <c r="F4988" t="s">
        <v>32664</v>
      </c>
      <c r="G4988" t="s">
        <v>32671</v>
      </c>
      <c r="H4988" t="s">
        <v>12635</v>
      </c>
      <c r="I4988" t="s">
        <v>32718</v>
      </c>
      <c r="J4988" t="s">
        <v>36009</v>
      </c>
      <c r="K4988" t="s">
        <v>42283</v>
      </c>
      <c r="L4988" t="s">
        <v>252</v>
      </c>
      <c r="M4988" t="s">
        <v>42817</v>
      </c>
      <c r="N4988" t="s">
        <v>46569</v>
      </c>
      <c r="O4988" t="s">
        <v>46570</v>
      </c>
      <c r="P4988">
        <v>0</v>
      </c>
      <c r="Q4988">
        <v>3</v>
      </c>
      <c r="R4988" t="s">
        <v>46573</v>
      </c>
      <c r="S4988" t="s">
        <v>46705</v>
      </c>
      <c r="T4988" t="s">
        <v>48244</v>
      </c>
      <c r="U4988" t="s">
        <v>49436</v>
      </c>
      <c r="W4988" t="s">
        <v>42817</v>
      </c>
      <c r="X4988" t="s">
        <v>46577</v>
      </c>
    </row>
    <row r="4989" spans="1:24">
      <c r="A4989">
        <f>HYPERLINK("https://www.philgeps.gov.ph/GEPSNONPILOT/Tender/SplashBidNoticeAbstractUI.aspx?menuIndex=3&amp;refID=7056775&amp;Result=3","7056775")</f>
        <v>0</v>
      </c>
      <c r="B4989" t="s">
        <v>1713</v>
      </c>
      <c r="C4989" t="s">
        <v>8300</v>
      </c>
      <c r="D4989" t="s">
        <v>18799</v>
      </c>
      <c r="E4989" t="s">
        <v>23365</v>
      </c>
      <c r="F4989" t="s">
        <v>32664</v>
      </c>
      <c r="G4989" t="s">
        <v>32677</v>
      </c>
      <c r="H4989" t="s">
        <v>12635</v>
      </c>
      <c r="I4989" t="s">
        <v>9486</v>
      </c>
      <c r="J4989" t="s">
        <v>36010</v>
      </c>
      <c r="K4989" t="s">
        <v>42284</v>
      </c>
      <c r="M4989" t="s">
        <v>44408</v>
      </c>
      <c r="N4989" t="s">
        <v>46569</v>
      </c>
      <c r="O4989" t="s">
        <v>46570</v>
      </c>
      <c r="P4989">
        <v>0</v>
      </c>
      <c r="Q4989">
        <v>2</v>
      </c>
      <c r="R4989" t="s">
        <v>46573</v>
      </c>
      <c r="S4989" t="s">
        <v>46705</v>
      </c>
      <c r="T4989" t="s">
        <v>48287</v>
      </c>
      <c r="U4989" t="s">
        <v>52905</v>
      </c>
      <c r="W4989" t="s">
        <v>63529</v>
      </c>
      <c r="X4989" t="s">
        <v>46577</v>
      </c>
    </row>
    <row r="4990" spans="1:24">
      <c r="A4990">
        <f>HYPERLINK("https://www.philgeps.gov.ph/GEPSNONPILOT/Tender/SplashBidNoticeAbstractUI.aspx?menuIndex=3&amp;refID=7057129&amp;Result=3","7057129")</f>
        <v>0</v>
      </c>
      <c r="B4990" t="s">
        <v>1502</v>
      </c>
      <c r="C4990" t="s">
        <v>5003</v>
      </c>
      <c r="D4990" t="s">
        <v>18829</v>
      </c>
      <c r="E4990" t="s">
        <v>23366</v>
      </c>
      <c r="F4990" t="s">
        <v>32664</v>
      </c>
      <c r="G4990" t="s">
        <v>32674</v>
      </c>
      <c r="H4990" t="s">
        <v>12635</v>
      </c>
      <c r="I4990" t="s">
        <v>4205</v>
      </c>
      <c r="J4990" t="s">
        <v>36011</v>
      </c>
      <c r="K4990" t="s">
        <v>42283</v>
      </c>
      <c r="M4990" t="s">
        <v>44166</v>
      </c>
      <c r="N4990" t="s">
        <v>46569</v>
      </c>
      <c r="O4990" t="s">
        <v>46570</v>
      </c>
      <c r="P4990">
        <v>0</v>
      </c>
      <c r="Q4990">
        <v>1</v>
      </c>
      <c r="R4990" t="s">
        <v>46573</v>
      </c>
      <c r="S4990" t="s">
        <v>46705</v>
      </c>
      <c r="T4990" t="s">
        <v>48532</v>
      </c>
      <c r="U4990" t="s">
        <v>52906</v>
      </c>
      <c r="V4990" t="s">
        <v>62132</v>
      </c>
      <c r="W4990" t="s">
        <v>44166</v>
      </c>
      <c r="X4990" t="s">
        <v>46577</v>
      </c>
    </row>
    <row r="4991" spans="1:24">
      <c r="A4991">
        <f>HYPERLINK("https://www.philgeps.gov.ph/GEPSNONPILOT/Tender/SplashBidNoticeAbstractUI.aspx?menuIndex=3&amp;refID=7056827&amp;Result=3","7056827")</f>
        <v>0</v>
      </c>
      <c r="B4991" t="s">
        <v>1298</v>
      </c>
      <c r="C4991" t="s">
        <v>8301</v>
      </c>
      <c r="D4991" t="s">
        <v>18848</v>
      </c>
      <c r="E4991" t="s">
        <v>23367</v>
      </c>
      <c r="F4991" t="s">
        <v>32664</v>
      </c>
      <c r="G4991" t="s">
        <v>32674</v>
      </c>
      <c r="H4991" t="s">
        <v>12635</v>
      </c>
      <c r="I4991" t="s">
        <v>10374</v>
      </c>
      <c r="J4991" t="s">
        <v>33015</v>
      </c>
      <c r="K4991" t="s">
        <v>42295</v>
      </c>
      <c r="M4991" t="s">
        <v>43942</v>
      </c>
      <c r="N4991" t="s">
        <v>46569</v>
      </c>
      <c r="O4991" t="s">
        <v>46570</v>
      </c>
      <c r="P4991">
        <v>0</v>
      </c>
      <c r="Q4991">
        <v>2</v>
      </c>
      <c r="R4991" t="s">
        <v>46573</v>
      </c>
      <c r="S4991" t="s">
        <v>46705</v>
      </c>
      <c r="T4991" t="s">
        <v>48287</v>
      </c>
      <c r="U4991" t="s">
        <v>52907</v>
      </c>
      <c r="W4991" t="s">
        <v>43942</v>
      </c>
      <c r="X4991" t="s">
        <v>46577</v>
      </c>
    </row>
    <row r="4992" spans="1:24">
      <c r="A4992">
        <f>HYPERLINK("https://www.philgeps.gov.ph/GEPSNONPILOT/Tender/SplashBidNoticeAbstractUI.aspx?menuIndex=3&amp;refID=7057369&amp;Result=3","7057369")</f>
        <v>0</v>
      </c>
      <c r="B4992" t="s">
        <v>1009</v>
      </c>
      <c r="C4992" t="s">
        <v>8302</v>
      </c>
      <c r="D4992" t="s">
        <v>18783</v>
      </c>
      <c r="E4992" t="s">
        <v>23368</v>
      </c>
      <c r="F4992" t="s">
        <v>32664</v>
      </c>
      <c r="G4992" t="s">
        <v>32672</v>
      </c>
      <c r="H4992" t="s">
        <v>12635</v>
      </c>
      <c r="I4992" t="s">
        <v>11464</v>
      </c>
      <c r="J4992" t="s">
        <v>33302</v>
      </c>
      <c r="K4992" t="s">
        <v>42281</v>
      </c>
      <c r="M4992" t="s">
        <v>43621</v>
      </c>
      <c r="N4992" t="s">
        <v>46569</v>
      </c>
      <c r="O4992" t="s">
        <v>46570</v>
      </c>
      <c r="P4992">
        <v>0</v>
      </c>
      <c r="Q4992">
        <v>2</v>
      </c>
      <c r="R4992" t="s">
        <v>46573</v>
      </c>
      <c r="S4992" t="s">
        <v>46705</v>
      </c>
      <c r="T4992" t="s">
        <v>48360</v>
      </c>
      <c r="U4992" t="s">
        <v>52908</v>
      </c>
      <c r="V4992" t="s">
        <v>62133</v>
      </c>
      <c r="W4992" t="s">
        <v>43621</v>
      </c>
      <c r="X4992" t="s">
        <v>46577</v>
      </c>
    </row>
    <row r="4993" spans="1:24">
      <c r="A4993">
        <f>HYPERLINK("https://www.philgeps.gov.ph/GEPSNONPILOT/Tender/SplashBidNoticeAbstractUI.aspx?menuIndex=3&amp;refID=7054602&amp;Result=3","7054602")</f>
        <v>0</v>
      </c>
      <c r="B4993" t="s">
        <v>95</v>
      </c>
      <c r="C4993" t="s">
        <v>8303</v>
      </c>
      <c r="D4993" t="s">
        <v>18807</v>
      </c>
      <c r="E4993" t="s">
        <v>23369</v>
      </c>
      <c r="F4993" t="s">
        <v>32664</v>
      </c>
      <c r="G4993" t="s">
        <v>32672</v>
      </c>
      <c r="H4993" t="s">
        <v>12635</v>
      </c>
      <c r="I4993" t="s">
        <v>4439</v>
      </c>
      <c r="J4993" t="s">
        <v>36012</v>
      </c>
      <c r="K4993" t="s">
        <v>42281</v>
      </c>
      <c r="M4993" t="s">
        <v>42658</v>
      </c>
      <c r="N4993" t="s">
        <v>46569</v>
      </c>
      <c r="O4993" t="s">
        <v>46570</v>
      </c>
      <c r="P4993">
        <v>0</v>
      </c>
      <c r="Q4993">
        <v>0</v>
      </c>
      <c r="R4993" t="s">
        <v>46573</v>
      </c>
      <c r="S4993" t="s">
        <v>46705</v>
      </c>
      <c r="T4993" t="s">
        <v>48282</v>
      </c>
      <c r="U4993" t="s">
        <v>52909</v>
      </c>
      <c r="W4993" t="s">
        <v>42658</v>
      </c>
      <c r="X4993" t="s">
        <v>46578</v>
      </c>
    </row>
    <row r="4994" spans="1:24">
      <c r="A4994">
        <f>HYPERLINK("https://www.philgeps.gov.ph/GEPSNONPILOT/Tender/SplashBidNoticeAbstractUI.aspx?menuIndex=3&amp;refID=7056852&amp;Result=3","7056852")</f>
        <v>0</v>
      </c>
      <c r="B4994" t="s">
        <v>1502</v>
      </c>
      <c r="C4994" t="s">
        <v>4874</v>
      </c>
      <c r="D4994" t="s">
        <v>18829</v>
      </c>
      <c r="E4994" t="s">
        <v>23370</v>
      </c>
      <c r="F4994" t="s">
        <v>32664</v>
      </c>
      <c r="G4994" t="s">
        <v>32671</v>
      </c>
      <c r="H4994" t="s">
        <v>12635</v>
      </c>
      <c r="I4994" t="s">
        <v>6168</v>
      </c>
      <c r="J4994" t="s">
        <v>36013</v>
      </c>
      <c r="K4994" t="s">
        <v>42283</v>
      </c>
      <c r="M4994" t="s">
        <v>44166</v>
      </c>
      <c r="N4994" t="s">
        <v>46569</v>
      </c>
      <c r="O4994" t="s">
        <v>46570</v>
      </c>
      <c r="P4994">
        <v>0</v>
      </c>
      <c r="Q4994">
        <v>1</v>
      </c>
      <c r="R4994" t="s">
        <v>46573</v>
      </c>
      <c r="S4994" t="s">
        <v>46705</v>
      </c>
      <c r="T4994" t="s">
        <v>48532</v>
      </c>
      <c r="U4994" t="s">
        <v>52910</v>
      </c>
      <c r="V4994" t="s">
        <v>62134</v>
      </c>
      <c r="W4994" t="s">
        <v>44166</v>
      </c>
      <c r="X4994" t="s">
        <v>46577</v>
      </c>
    </row>
    <row r="4995" spans="1:24">
      <c r="A4995">
        <f>HYPERLINK("https://www.philgeps.gov.ph/GEPSNONPILOT/Tender/SplashBidNoticeAbstractUI.aspx?menuIndex=3&amp;refID=7056760&amp;Result=3","7056760")</f>
        <v>0</v>
      </c>
      <c r="B4995" t="s">
        <v>252</v>
      </c>
      <c r="C4995" t="s">
        <v>8304</v>
      </c>
      <c r="D4995" t="s">
        <v>18802</v>
      </c>
      <c r="E4995" t="s">
        <v>23371</v>
      </c>
      <c r="F4995" t="s">
        <v>32664</v>
      </c>
      <c r="G4995" t="s">
        <v>32674</v>
      </c>
      <c r="H4995" t="s">
        <v>12635</v>
      </c>
      <c r="I4995" t="s">
        <v>6223</v>
      </c>
      <c r="J4995" t="s">
        <v>36014</v>
      </c>
      <c r="K4995" t="s">
        <v>42283</v>
      </c>
      <c r="L4995" t="s">
        <v>252</v>
      </c>
      <c r="M4995" t="s">
        <v>42817</v>
      </c>
      <c r="N4995" t="s">
        <v>46569</v>
      </c>
      <c r="O4995" t="s">
        <v>46570</v>
      </c>
      <c r="P4995">
        <v>0</v>
      </c>
      <c r="Q4995">
        <v>1</v>
      </c>
      <c r="R4995" t="s">
        <v>46573</v>
      </c>
      <c r="S4995" t="s">
        <v>46705</v>
      </c>
      <c r="T4995" t="s">
        <v>48244</v>
      </c>
      <c r="U4995" t="s">
        <v>49436</v>
      </c>
      <c r="W4995" t="s">
        <v>42817</v>
      </c>
      <c r="X4995" t="s">
        <v>46577</v>
      </c>
    </row>
    <row r="4996" spans="1:24">
      <c r="A4996">
        <f>HYPERLINK("https://www.philgeps.gov.ph/GEPSNONPILOT/Tender/SplashBidNoticeAbstractUI.aspx?menuIndex=3&amp;refID=7057159&amp;Result=3","7057159")</f>
        <v>0</v>
      </c>
      <c r="B4996" t="s">
        <v>1502</v>
      </c>
      <c r="C4996" t="s">
        <v>8305</v>
      </c>
      <c r="D4996" t="s">
        <v>18829</v>
      </c>
      <c r="E4996" t="s">
        <v>23372</v>
      </c>
      <c r="F4996" t="s">
        <v>32664</v>
      </c>
      <c r="G4996" t="s">
        <v>32671</v>
      </c>
      <c r="H4996" t="s">
        <v>12635</v>
      </c>
      <c r="I4996" t="s">
        <v>9486</v>
      </c>
      <c r="J4996" t="s">
        <v>33371</v>
      </c>
      <c r="K4996" t="s">
        <v>42283</v>
      </c>
      <c r="M4996" t="s">
        <v>44166</v>
      </c>
      <c r="N4996" t="s">
        <v>46569</v>
      </c>
      <c r="O4996" t="s">
        <v>46570</v>
      </c>
      <c r="P4996">
        <v>0</v>
      </c>
      <c r="Q4996">
        <v>0</v>
      </c>
      <c r="R4996" t="s">
        <v>46573</v>
      </c>
      <c r="S4996" t="s">
        <v>46705</v>
      </c>
      <c r="T4996" t="s">
        <v>48532</v>
      </c>
      <c r="U4996" t="s">
        <v>52911</v>
      </c>
      <c r="V4996" t="s">
        <v>62135</v>
      </c>
      <c r="W4996" t="s">
        <v>44166</v>
      </c>
      <c r="X4996" t="s">
        <v>46577</v>
      </c>
    </row>
    <row r="4997" spans="1:24">
      <c r="A4997">
        <f>HYPERLINK("https://www.philgeps.gov.ph/GEPSNONPILOT/Tender/SplashBidNoticeAbstractUI.aspx?menuIndex=3&amp;refID=7057152&amp;Result=3","7057152")</f>
        <v>0</v>
      </c>
      <c r="B4997" t="s">
        <v>1143</v>
      </c>
      <c r="C4997" t="s">
        <v>8306</v>
      </c>
      <c r="D4997" t="s">
        <v>18831</v>
      </c>
      <c r="E4997" t="s">
        <v>23373</v>
      </c>
      <c r="F4997" t="s">
        <v>32664</v>
      </c>
      <c r="G4997" t="s">
        <v>32672</v>
      </c>
      <c r="H4997" t="s">
        <v>12635</v>
      </c>
      <c r="I4997" t="s">
        <v>4439</v>
      </c>
      <c r="J4997" t="s">
        <v>36015</v>
      </c>
      <c r="K4997" t="s">
        <v>42284</v>
      </c>
      <c r="M4997" t="s">
        <v>43774</v>
      </c>
      <c r="N4997" t="s">
        <v>46569</v>
      </c>
      <c r="O4997" t="s">
        <v>46570</v>
      </c>
      <c r="P4997">
        <v>0</v>
      </c>
      <c r="Q4997">
        <v>3</v>
      </c>
      <c r="R4997" t="s">
        <v>46573</v>
      </c>
      <c r="S4997" t="s">
        <v>46705</v>
      </c>
      <c r="T4997" t="s">
        <v>48216</v>
      </c>
      <c r="U4997" t="s">
        <v>52912</v>
      </c>
      <c r="W4997" t="s">
        <v>43774</v>
      </c>
      <c r="X4997" t="s">
        <v>46577</v>
      </c>
    </row>
    <row r="4998" spans="1:24">
      <c r="A4998">
        <f>HYPERLINK("https://www.philgeps.gov.ph/GEPSNONPILOT/Tender/SplashBidNoticeAbstractUI.aspx?menuIndex=3&amp;refID=7056150&amp;Result=3","7056150")</f>
        <v>0</v>
      </c>
      <c r="B4998" t="s">
        <v>1708</v>
      </c>
      <c r="C4998" t="s">
        <v>8307</v>
      </c>
      <c r="D4998" t="s">
        <v>18827</v>
      </c>
      <c r="E4998" t="s">
        <v>23374</v>
      </c>
      <c r="F4998" t="s">
        <v>32664</v>
      </c>
      <c r="G4998" t="s">
        <v>32671</v>
      </c>
      <c r="H4998" t="s">
        <v>12635</v>
      </c>
      <c r="I4998" t="s">
        <v>32685</v>
      </c>
      <c r="J4998" t="s">
        <v>36016</v>
      </c>
      <c r="K4998" t="s">
        <v>42284</v>
      </c>
      <c r="M4998" t="s">
        <v>44402</v>
      </c>
      <c r="N4998" t="s">
        <v>46569</v>
      </c>
      <c r="O4998" t="s">
        <v>46570</v>
      </c>
      <c r="P4998">
        <v>0</v>
      </c>
      <c r="Q4998">
        <v>0</v>
      </c>
      <c r="R4998" t="s">
        <v>46573</v>
      </c>
      <c r="S4998" t="s">
        <v>46705</v>
      </c>
      <c r="T4998" t="s">
        <v>48287</v>
      </c>
      <c r="U4998" t="s">
        <v>52913</v>
      </c>
      <c r="W4998" t="s">
        <v>44402</v>
      </c>
      <c r="X4998" t="s">
        <v>46577</v>
      </c>
    </row>
    <row r="4999" spans="1:24">
      <c r="A4999">
        <f>HYPERLINK("https://www.philgeps.gov.ph/GEPSNONPILOT/Tender/SplashBidNoticeAbstractUI.aspx?menuIndex=3&amp;refID=7057140&amp;Result=3","7057140")</f>
        <v>0</v>
      </c>
      <c r="B4999" t="s">
        <v>1502</v>
      </c>
      <c r="C4999" t="s">
        <v>8262</v>
      </c>
      <c r="D4999" t="s">
        <v>18829</v>
      </c>
      <c r="E4999" t="s">
        <v>23375</v>
      </c>
      <c r="F4999" t="s">
        <v>32664</v>
      </c>
      <c r="G4999" t="s">
        <v>32671</v>
      </c>
      <c r="H4999" t="s">
        <v>12635</v>
      </c>
      <c r="I4999" t="s">
        <v>10361</v>
      </c>
      <c r="J4999" t="s">
        <v>34269</v>
      </c>
      <c r="K4999" t="s">
        <v>42283</v>
      </c>
      <c r="M4999" t="s">
        <v>44166</v>
      </c>
      <c r="N4999" t="s">
        <v>46569</v>
      </c>
      <c r="O4999" t="s">
        <v>46570</v>
      </c>
      <c r="P4999">
        <v>0</v>
      </c>
      <c r="Q4999">
        <v>0</v>
      </c>
      <c r="R4999" t="s">
        <v>46573</v>
      </c>
      <c r="S4999" t="s">
        <v>46705</v>
      </c>
      <c r="T4999" t="s">
        <v>48532</v>
      </c>
      <c r="U4999" t="s">
        <v>52914</v>
      </c>
      <c r="V4999" t="s">
        <v>62136</v>
      </c>
      <c r="W4999" t="s">
        <v>44166</v>
      </c>
      <c r="X4999" t="s">
        <v>46577</v>
      </c>
    </row>
    <row r="5000" spans="1:24">
      <c r="A5000">
        <f>HYPERLINK("https://www.philgeps.gov.ph/GEPSNONPILOT/Tender/SplashBidNoticeAbstractUI.aspx?menuIndex=3&amp;refID=7056798&amp;Result=3","7056798")</f>
        <v>0</v>
      </c>
      <c r="B5000" t="s">
        <v>1706</v>
      </c>
      <c r="C5000" t="s">
        <v>8308</v>
      </c>
      <c r="D5000" t="s">
        <v>18793</v>
      </c>
      <c r="E5000" t="s">
        <v>23376</v>
      </c>
      <c r="F5000" t="s">
        <v>32664</v>
      </c>
      <c r="G5000" t="s">
        <v>32672</v>
      </c>
      <c r="H5000" t="s">
        <v>12635</v>
      </c>
      <c r="I5000" t="s">
        <v>7759</v>
      </c>
      <c r="J5000" t="s">
        <v>33141</v>
      </c>
      <c r="K5000" t="s">
        <v>42298</v>
      </c>
      <c r="M5000" t="s">
        <v>44400</v>
      </c>
      <c r="N5000" t="s">
        <v>46569</v>
      </c>
      <c r="O5000" t="s">
        <v>46570</v>
      </c>
      <c r="P5000">
        <v>0</v>
      </c>
      <c r="Q5000">
        <v>0</v>
      </c>
      <c r="R5000" t="s">
        <v>46573</v>
      </c>
      <c r="S5000" t="s">
        <v>46705</v>
      </c>
      <c r="T5000" t="s">
        <v>48349</v>
      </c>
      <c r="U5000" t="s">
        <v>52915</v>
      </c>
      <c r="W5000" t="s">
        <v>44400</v>
      </c>
      <c r="X5000" t="s">
        <v>46577</v>
      </c>
    </row>
    <row r="5001" spans="1:24">
      <c r="A5001">
        <f>HYPERLINK("https://www.philgeps.gov.ph/GEPSNONPILOT/Tender/SplashBidNoticeAbstractUI.aspx?menuIndex=3&amp;refID=7057088&amp;Result=3","7057088")</f>
        <v>0</v>
      </c>
      <c r="B5001" t="s">
        <v>1502</v>
      </c>
      <c r="C5001" t="s">
        <v>8309</v>
      </c>
      <c r="D5001" t="s">
        <v>18829</v>
      </c>
      <c r="E5001" t="s">
        <v>23377</v>
      </c>
      <c r="F5001" t="s">
        <v>32664</v>
      </c>
      <c r="G5001" t="s">
        <v>32671</v>
      </c>
      <c r="H5001" t="s">
        <v>12635</v>
      </c>
      <c r="I5001" t="s">
        <v>5501</v>
      </c>
      <c r="J5001" t="s">
        <v>34851</v>
      </c>
      <c r="K5001" t="s">
        <v>42283</v>
      </c>
      <c r="M5001" t="s">
        <v>44166</v>
      </c>
      <c r="N5001" t="s">
        <v>46569</v>
      </c>
      <c r="O5001" t="s">
        <v>46570</v>
      </c>
      <c r="P5001">
        <v>0</v>
      </c>
      <c r="Q5001">
        <v>13</v>
      </c>
      <c r="R5001" t="s">
        <v>46573</v>
      </c>
      <c r="S5001" t="s">
        <v>46705</v>
      </c>
      <c r="T5001" t="s">
        <v>48532</v>
      </c>
      <c r="U5001" t="s">
        <v>52916</v>
      </c>
      <c r="V5001" t="s">
        <v>62137</v>
      </c>
      <c r="W5001" t="s">
        <v>44166</v>
      </c>
      <c r="X5001" t="s">
        <v>46577</v>
      </c>
    </row>
    <row r="5002" spans="1:24">
      <c r="A5002">
        <f>HYPERLINK("https://www.philgeps.gov.ph/GEPSNONPILOT/Tender/SplashBidNoticeAbstractUI.aspx?menuIndex=3&amp;refID=7057288&amp;Result=3","7057288")</f>
        <v>0</v>
      </c>
      <c r="B5002" t="s">
        <v>1143</v>
      </c>
      <c r="C5002" t="s">
        <v>8310</v>
      </c>
      <c r="D5002" t="s">
        <v>18831</v>
      </c>
      <c r="E5002" t="s">
        <v>23378</v>
      </c>
      <c r="F5002" t="s">
        <v>32664</v>
      </c>
      <c r="G5002" t="s">
        <v>32672</v>
      </c>
      <c r="H5002" t="s">
        <v>12635</v>
      </c>
      <c r="I5002" t="s">
        <v>14442</v>
      </c>
      <c r="J5002" t="s">
        <v>36017</v>
      </c>
      <c r="K5002" t="s">
        <v>42284</v>
      </c>
      <c r="M5002" t="s">
        <v>43774</v>
      </c>
      <c r="N5002" t="s">
        <v>46569</v>
      </c>
      <c r="O5002" t="s">
        <v>46570</v>
      </c>
      <c r="P5002">
        <v>0</v>
      </c>
      <c r="Q5002">
        <v>4</v>
      </c>
      <c r="R5002" t="s">
        <v>46573</v>
      </c>
      <c r="S5002" t="s">
        <v>46705</v>
      </c>
      <c r="T5002" t="s">
        <v>48216</v>
      </c>
      <c r="U5002" t="s">
        <v>52917</v>
      </c>
      <c r="W5002" t="s">
        <v>43774</v>
      </c>
      <c r="X5002" t="s">
        <v>46577</v>
      </c>
    </row>
    <row r="5003" spans="1:24">
      <c r="A5003">
        <f>HYPERLINK("https://www.philgeps.gov.ph/GEPSNONPILOT/Tender/SplashBidNoticeAbstractUI.aspx?menuIndex=3&amp;refID=7057081&amp;Result=3","7057081")</f>
        <v>0</v>
      </c>
      <c r="B5003" t="s">
        <v>1502</v>
      </c>
      <c r="C5003" t="s">
        <v>8311</v>
      </c>
      <c r="D5003" t="s">
        <v>18829</v>
      </c>
      <c r="E5003" t="s">
        <v>23379</v>
      </c>
      <c r="F5003" t="s">
        <v>32664</v>
      </c>
      <c r="G5003" t="s">
        <v>32671</v>
      </c>
      <c r="H5003" t="s">
        <v>12635</v>
      </c>
      <c r="I5003" t="s">
        <v>32706</v>
      </c>
      <c r="J5003" t="s">
        <v>36018</v>
      </c>
      <c r="K5003" t="s">
        <v>42283</v>
      </c>
      <c r="M5003" t="s">
        <v>44166</v>
      </c>
      <c r="N5003" t="s">
        <v>46569</v>
      </c>
      <c r="O5003" t="s">
        <v>46570</v>
      </c>
      <c r="P5003">
        <v>0</v>
      </c>
      <c r="Q5003">
        <v>0</v>
      </c>
      <c r="R5003" t="s">
        <v>46573</v>
      </c>
      <c r="S5003" t="s">
        <v>46705</v>
      </c>
      <c r="T5003" t="s">
        <v>48532</v>
      </c>
      <c r="U5003" t="s">
        <v>52918</v>
      </c>
      <c r="V5003" t="s">
        <v>62138</v>
      </c>
      <c r="W5003" t="s">
        <v>44166</v>
      </c>
      <c r="X5003" t="s">
        <v>46577</v>
      </c>
    </row>
    <row r="5004" spans="1:24">
      <c r="A5004">
        <f>HYPERLINK("https://www.philgeps.gov.ph/GEPSNONPILOT/Tender/SplashBidNoticeAbstractUI.aspx?menuIndex=3&amp;refID=7057397&amp;Result=3","7057397")</f>
        <v>0</v>
      </c>
      <c r="B5004" t="s">
        <v>1143</v>
      </c>
      <c r="C5004" t="s">
        <v>8312</v>
      </c>
      <c r="D5004" t="s">
        <v>18831</v>
      </c>
      <c r="E5004" t="s">
        <v>21535</v>
      </c>
      <c r="F5004" t="s">
        <v>32664</v>
      </c>
      <c r="G5004" t="s">
        <v>32672</v>
      </c>
      <c r="H5004" t="s">
        <v>12635</v>
      </c>
      <c r="I5004" t="s">
        <v>4439</v>
      </c>
      <c r="J5004" t="s">
        <v>36019</v>
      </c>
      <c r="K5004" t="s">
        <v>42284</v>
      </c>
      <c r="M5004" t="s">
        <v>43774</v>
      </c>
      <c r="N5004" t="s">
        <v>46569</v>
      </c>
      <c r="O5004" t="s">
        <v>46570</v>
      </c>
      <c r="P5004">
        <v>0</v>
      </c>
      <c r="Q5004">
        <v>3</v>
      </c>
      <c r="R5004" t="s">
        <v>46573</v>
      </c>
      <c r="S5004" t="s">
        <v>46705</v>
      </c>
      <c r="T5004" t="s">
        <v>48216</v>
      </c>
      <c r="U5004" t="s">
        <v>52919</v>
      </c>
      <c r="W5004" t="s">
        <v>43774</v>
      </c>
      <c r="X5004" t="s">
        <v>46577</v>
      </c>
    </row>
    <row r="5005" spans="1:24">
      <c r="A5005">
        <f>HYPERLINK("https://www.philgeps.gov.ph/GEPSNONPILOT/Tender/SplashBidNoticeAbstractUI.aspx?menuIndex=3&amp;refID=7057147&amp;Result=3","7057147")</f>
        <v>0</v>
      </c>
      <c r="B5005" t="s">
        <v>1502</v>
      </c>
      <c r="C5005" t="s">
        <v>8313</v>
      </c>
      <c r="D5005" t="s">
        <v>18829</v>
      </c>
      <c r="E5005" t="s">
        <v>23380</v>
      </c>
      <c r="F5005" t="s">
        <v>32664</v>
      </c>
      <c r="G5005" t="s">
        <v>32674</v>
      </c>
      <c r="H5005" t="s">
        <v>12635</v>
      </c>
      <c r="I5005" t="s">
        <v>9486</v>
      </c>
      <c r="J5005" t="s">
        <v>33334</v>
      </c>
      <c r="K5005" t="s">
        <v>42283</v>
      </c>
      <c r="M5005" t="s">
        <v>44166</v>
      </c>
      <c r="N5005" t="s">
        <v>46569</v>
      </c>
      <c r="O5005" t="s">
        <v>46570</v>
      </c>
      <c r="P5005">
        <v>0</v>
      </c>
      <c r="Q5005">
        <v>0</v>
      </c>
      <c r="R5005" t="s">
        <v>46573</v>
      </c>
      <c r="S5005" t="s">
        <v>46705</v>
      </c>
      <c r="T5005" t="s">
        <v>48532</v>
      </c>
      <c r="U5005" t="s">
        <v>52920</v>
      </c>
      <c r="V5005" t="s">
        <v>62135</v>
      </c>
      <c r="W5005" t="s">
        <v>44166</v>
      </c>
      <c r="X5005" t="s">
        <v>46577</v>
      </c>
    </row>
    <row r="5006" spans="1:24">
      <c r="A5006">
        <f>HYPERLINK("https://www.philgeps.gov.ph/GEPSNONPILOT/Tender/SplashBidNoticeAbstractUI.aspx?menuIndex=3&amp;refID=7058131&amp;Result=3","7058131")</f>
        <v>0</v>
      </c>
      <c r="B5006" t="s">
        <v>130</v>
      </c>
      <c r="C5006" t="s">
        <v>8314</v>
      </c>
      <c r="D5006" t="s">
        <v>18826</v>
      </c>
      <c r="E5006" t="s">
        <v>23381</v>
      </c>
      <c r="F5006" t="s">
        <v>32664</v>
      </c>
      <c r="G5006" t="s">
        <v>32672</v>
      </c>
      <c r="H5006" t="s">
        <v>12635</v>
      </c>
      <c r="I5006" t="s">
        <v>32708</v>
      </c>
      <c r="J5006" t="s">
        <v>36020</v>
      </c>
      <c r="K5006" t="s">
        <v>42283</v>
      </c>
      <c r="M5006" t="s">
        <v>42694</v>
      </c>
      <c r="N5006" t="s">
        <v>46569</v>
      </c>
      <c r="O5006" t="s">
        <v>46570</v>
      </c>
      <c r="P5006">
        <v>0</v>
      </c>
      <c r="Q5006">
        <v>15</v>
      </c>
      <c r="R5006" t="s">
        <v>46573</v>
      </c>
      <c r="S5006" t="s">
        <v>46705</v>
      </c>
      <c r="T5006" t="s">
        <v>48434</v>
      </c>
      <c r="U5006" t="s">
        <v>52921</v>
      </c>
      <c r="V5006" t="s">
        <v>62139</v>
      </c>
      <c r="W5006" t="s">
        <v>42694</v>
      </c>
      <c r="X5006" t="s">
        <v>46576</v>
      </c>
    </row>
    <row r="5007" spans="1:24">
      <c r="A5007">
        <f>HYPERLINK("https://www.philgeps.gov.ph/GEPSNONPILOT/Tender/SplashBidNoticeAbstractUI.aspx?menuIndex=3&amp;refID=7057347&amp;Result=3","7057347")</f>
        <v>0</v>
      </c>
      <c r="B5007" t="s">
        <v>1143</v>
      </c>
      <c r="C5007" t="s">
        <v>8315</v>
      </c>
      <c r="D5007" t="s">
        <v>18831</v>
      </c>
      <c r="E5007" t="s">
        <v>23382</v>
      </c>
      <c r="F5007" t="s">
        <v>32664</v>
      </c>
      <c r="G5007" t="s">
        <v>32672</v>
      </c>
      <c r="H5007" t="s">
        <v>12635</v>
      </c>
      <c r="I5007" t="s">
        <v>4439</v>
      </c>
      <c r="J5007" t="s">
        <v>36021</v>
      </c>
      <c r="K5007" t="s">
        <v>42284</v>
      </c>
      <c r="M5007" t="s">
        <v>43774</v>
      </c>
      <c r="N5007" t="s">
        <v>46569</v>
      </c>
      <c r="O5007" t="s">
        <v>46570</v>
      </c>
      <c r="P5007">
        <v>0</v>
      </c>
      <c r="Q5007">
        <v>3</v>
      </c>
      <c r="R5007" t="s">
        <v>46573</v>
      </c>
      <c r="S5007" t="s">
        <v>46705</v>
      </c>
      <c r="T5007" t="s">
        <v>48216</v>
      </c>
      <c r="U5007" t="s">
        <v>52922</v>
      </c>
      <c r="W5007" t="s">
        <v>43774</v>
      </c>
      <c r="X5007" t="s">
        <v>46577</v>
      </c>
    </row>
    <row r="5008" spans="1:24">
      <c r="A5008">
        <f>HYPERLINK("https://www.philgeps.gov.ph/GEPSNONPILOT/Tender/SplashBidNoticeAbstractUI.aspx?menuIndex=3&amp;refID=7058015&amp;Result=3","7058015")</f>
        <v>0</v>
      </c>
      <c r="B5008" t="s">
        <v>990</v>
      </c>
      <c r="C5008" t="s">
        <v>8316</v>
      </c>
      <c r="E5008" t="s">
        <v>23383</v>
      </c>
      <c r="F5008" t="s">
        <v>32664</v>
      </c>
      <c r="G5008" t="s">
        <v>32671</v>
      </c>
      <c r="H5008" t="s">
        <v>12635</v>
      </c>
      <c r="I5008" t="s">
        <v>10370</v>
      </c>
      <c r="J5008" t="s">
        <v>34006</v>
      </c>
      <c r="K5008" t="s">
        <v>42283</v>
      </c>
      <c r="M5008" t="s">
        <v>44051</v>
      </c>
      <c r="N5008" t="s">
        <v>46569</v>
      </c>
      <c r="O5008" t="s">
        <v>46570</v>
      </c>
      <c r="P5008">
        <v>0</v>
      </c>
      <c r="Q5008">
        <v>18</v>
      </c>
      <c r="R5008" t="s">
        <v>46573</v>
      </c>
      <c r="S5008" t="s">
        <v>46705</v>
      </c>
      <c r="T5008" t="s">
        <v>48450</v>
      </c>
      <c r="U5008" t="s">
        <v>52923</v>
      </c>
      <c r="V5008" t="s">
        <v>62140</v>
      </c>
      <c r="W5008" t="s">
        <v>44051</v>
      </c>
      <c r="X5008" t="s">
        <v>46577</v>
      </c>
    </row>
    <row r="5009" spans="1:24">
      <c r="A5009">
        <f>HYPERLINK("https://www.philgeps.gov.ph/GEPSNONPILOT/Tender/SplashBidNoticeAbstractUI.aspx?menuIndex=3&amp;refID=7057884&amp;Result=3","7057884")</f>
        <v>0</v>
      </c>
      <c r="B5009" t="s">
        <v>1714</v>
      </c>
      <c r="C5009" t="s">
        <v>8317</v>
      </c>
      <c r="D5009" t="s">
        <v>18827</v>
      </c>
      <c r="E5009" t="s">
        <v>23384</v>
      </c>
      <c r="F5009" t="s">
        <v>32664</v>
      </c>
      <c r="G5009" t="s">
        <v>32672</v>
      </c>
      <c r="H5009" t="s">
        <v>12635</v>
      </c>
      <c r="I5009" t="s">
        <v>6223</v>
      </c>
      <c r="J5009" t="s">
        <v>32853</v>
      </c>
      <c r="K5009" t="s">
        <v>42309</v>
      </c>
      <c r="L5009" t="s">
        <v>1714</v>
      </c>
      <c r="M5009" t="s">
        <v>44409</v>
      </c>
      <c r="N5009" t="s">
        <v>46569</v>
      </c>
      <c r="O5009" t="s">
        <v>46570</v>
      </c>
      <c r="P5009">
        <v>0</v>
      </c>
      <c r="Q5009">
        <v>1</v>
      </c>
      <c r="R5009" t="s">
        <v>46573</v>
      </c>
      <c r="S5009" t="s">
        <v>46705</v>
      </c>
      <c r="T5009" t="s">
        <v>48308</v>
      </c>
      <c r="U5009" t="s">
        <v>52924</v>
      </c>
      <c r="W5009" t="s">
        <v>44409</v>
      </c>
      <c r="X5009" t="s">
        <v>46577</v>
      </c>
    </row>
    <row r="5010" spans="1:24">
      <c r="A5010">
        <f>HYPERLINK("https://www.philgeps.gov.ph/GEPSNONPILOT/Tender/SplashBidNoticeAbstractUI.aspx?menuIndex=3&amp;refID=7055006&amp;Result=3","7055006")</f>
        <v>0</v>
      </c>
      <c r="B5010" t="s">
        <v>1502</v>
      </c>
      <c r="C5010" t="s">
        <v>8318</v>
      </c>
      <c r="D5010" t="s">
        <v>18829</v>
      </c>
      <c r="E5010" t="s">
        <v>23385</v>
      </c>
      <c r="F5010" t="s">
        <v>32664</v>
      </c>
      <c r="G5010" t="s">
        <v>32671</v>
      </c>
      <c r="H5010" t="s">
        <v>12635</v>
      </c>
      <c r="I5010" t="s">
        <v>6118</v>
      </c>
      <c r="J5010" t="s">
        <v>32841</v>
      </c>
      <c r="K5010" t="s">
        <v>42283</v>
      </c>
      <c r="M5010" t="s">
        <v>44166</v>
      </c>
      <c r="N5010" t="s">
        <v>46569</v>
      </c>
      <c r="O5010" t="s">
        <v>46570</v>
      </c>
      <c r="P5010">
        <v>0</v>
      </c>
      <c r="Q5010">
        <v>0</v>
      </c>
      <c r="R5010" t="s">
        <v>46573</v>
      </c>
      <c r="S5010" t="s">
        <v>46705</v>
      </c>
      <c r="T5010" t="s">
        <v>48532</v>
      </c>
      <c r="U5010" t="s">
        <v>52925</v>
      </c>
      <c r="V5010" t="s">
        <v>62141</v>
      </c>
      <c r="W5010" t="s">
        <v>44166</v>
      </c>
      <c r="X5010" t="s">
        <v>46578</v>
      </c>
    </row>
    <row r="5011" spans="1:24">
      <c r="A5011">
        <f>HYPERLINK("https://www.philgeps.gov.ph/GEPSNONPILOT/Tender/SplashBidNoticeAbstractUI.aspx?menuIndex=3&amp;refID=7057750&amp;Result=3","7057750")</f>
        <v>0</v>
      </c>
      <c r="B5011" t="s">
        <v>145</v>
      </c>
      <c r="C5011" t="s">
        <v>8319</v>
      </c>
      <c r="D5011" t="s">
        <v>18784</v>
      </c>
      <c r="E5011" t="s">
        <v>23386</v>
      </c>
      <c r="F5011" t="s">
        <v>32664</v>
      </c>
      <c r="G5011" t="s">
        <v>32671</v>
      </c>
      <c r="H5011" t="s">
        <v>12635</v>
      </c>
      <c r="I5011" t="s">
        <v>4333</v>
      </c>
      <c r="J5011" t="s">
        <v>34095</v>
      </c>
      <c r="K5011" t="s">
        <v>42283</v>
      </c>
      <c r="M5011" t="s">
        <v>44410</v>
      </c>
      <c r="N5011" t="s">
        <v>46569</v>
      </c>
      <c r="O5011" t="s">
        <v>46570</v>
      </c>
      <c r="P5011">
        <v>0</v>
      </c>
      <c r="Q5011">
        <v>14</v>
      </c>
      <c r="R5011" t="s">
        <v>46573</v>
      </c>
      <c r="S5011" t="s">
        <v>46705</v>
      </c>
      <c r="T5011" t="s">
        <v>48290</v>
      </c>
      <c r="U5011" t="s">
        <v>52926</v>
      </c>
      <c r="W5011" t="s">
        <v>44410</v>
      </c>
      <c r="X5011" t="s">
        <v>46577</v>
      </c>
    </row>
    <row r="5012" spans="1:24">
      <c r="A5012">
        <f>HYPERLINK("https://www.philgeps.gov.ph/GEPSNONPILOT/Tender/SplashBidNoticeAbstractUI.aspx?menuIndex=3&amp;refID=7057729&amp;Result=3","7057729")</f>
        <v>0</v>
      </c>
      <c r="B5012" t="s">
        <v>1715</v>
      </c>
      <c r="C5012" t="s">
        <v>8320</v>
      </c>
      <c r="D5012" t="s">
        <v>18842</v>
      </c>
      <c r="E5012" t="s">
        <v>19713</v>
      </c>
      <c r="F5012" t="s">
        <v>32664</v>
      </c>
      <c r="G5012" t="s">
        <v>32671</v>
      </c>
      <c r="H5012" t="s">
        <v>12635</v>
      </c>
      <c r="I5012" t="s">
        <v>32718</v>
      </c>
      <c r="J5012" t="s">
        <v>36022</v>
      </c>
      <c r="K5012" t="s">
        <v>42309</v>
      </c>
      <c r="L5012" t="s">
        <v>1715</v>
      </c>
      <c r="M5012" t="s">
        <v>44411</v>
      </c>
      <c r="N5012" t="s">
        <v>46569</v>
      </c>
      <c r="O5012" t="s">
        <v>46570</v>
      </c>
      <c r="P5012">
        <v>0</v>
      </c>
      <c r="Q5012">
        <v>1</v>
      </c>
      <c r="R5012" t="s">
        <v>46573</v>
      </c>
      <c r="S5012" t="s">
        <v>46705</v>
      </c>
      <c r="T5012" t="s">
        <v>48316</v>
      </c>
      <c r="U5012" t="s">
        <v>52927</v>
      </c>
      <c r="V5012" t="s">
        <v>62142</v>
      </c>
      <c r="W5012" t="s">
        <v>44411</v>
      </c>
      <c r="X5012" t="s">
        <v>46577</v>
      </c>
    </row>
    <row r="5013" spans="1:24">
      <c r="A5013">
        <f>HYPERLINK("https://www.philgeps.gov.ph/GEPSNONPILOT/Tender/SplashBidNoticeAbstractUI.aspx?menuIndex=3&amp;refID=7057712&amp;Result=3","7057712")</f>
        <v>0</v>
      </c>
      <c r="B5013" t="s">
        <v>590</v>
      </c>
      <c r="C5013" t="s">
        <v>8321</v>
      </c>
      <c r="D5013" t="s">
        <v>18809</v>
      </c>
      <c r="E5013" t="s">
        <v>23387</v>
      </c>
      <c r="F5013" t="s">
        <v>32664</v>
      </c>
      <c r="G5013" t="s">
        <v>32674</v>
      </c>
      <c r="H5013" t="s">
        <v>12635</v>
      </c>
      <c r="I5013" t="s">
        <v>5589</v>
      </c>
      <c r="J5013" t="s">
        <v>34216</v>
      </c>
      <c r="K5013" t="s">
        <v>42297</v>
      </c>
      <c r="M5013" t="s">
        <v>43170</v>
      </c>
      <c r="N5013" t="s">
        <v>46569</v>
      </c>
      <c r="O5013" t="s">
        <v>46570</v>
      </c>
      <c r="P5013">
        <v>0</v>
      </c>
      <c r="Q5013">
        <v>3</v>
      </c>
      <c r="R5013" t="s">
        <v>46573</v>
      </c>
      <c r="S5013" t="s">
        <v>46705</v>
      </c>
      <c r="T5013" t="s">
        <v>48287</v>
      </c>
      <c r="U5013" t="s">
        <v>52928</v>
      </c>
      <c r="V5013" t="s">
        <v>62143</v>
      </c>
      <c r="W5013" t="s">
        <v>43170</v>
      </c>
      <c r="X5013" t="s">
        <v>46577</v>
      </c>
    </row>
    <row r="5014" spans="1:24">
      <c r="A5014">
        <f>HYPERLINK("https://www.philgeps.gov.ph/GEPSNONPILOT/Tender/SplashBidNoticeAbstractUI.aspx?menuIndex=3&amp;refID=7057117&amp;Result=3","7057117")</f>
        <v>0</v>
      </c>
      <c r="B5014" t="s">
        <v>1502</v>
      </c>
      <c r="C5014" t="s">
        <v>4874</v>
      </c>
      <c r="D5014" t="s">
        <v>18829</v>
      </c>
      <c r="E5014" t="s">
        <v>23388</v>
      </c>
      <c r="F5014" t="s">
        <v>32664</v>
      </c>
      <c r="G5014" t="s">
        <v>32674</v>
      </c>
      <c r="H5014" t="s">
        <v>12635</v>
      </c>
      <c r="I5014" t="s">
        <v>6168</v>
      </c>
      <c r="J5014" t="s">
        <v>36023</v>
      </c>
      <c r="K5014" t="s">
        <v>42283</v>
      </c>
      <c r="M5014" t="s">
        <v>44166</v>
      </c>
      <c r="N5014" t="s">
        <v>46569</v>
      </c>
      <c r="O5014" t="s">
        <v>46570</v>
      </c>
      <c r="P5014">
        <v>0</v>
      </c>
      <c r="Q5014">
        <v>3</v>
      </c>
      <c r="R5014" t="s">
        <v>46573</v>
      </c>
      <c r="S5014" t="s">
        <v>46705</v>
      </c>
      <c r="T5014" t="s">
        <v>48532</v>
      </c>
      <c r="U5014" t="s">
        <v>52929</v>
      </c>
      <c r="V5014" t="s">
        <v>62134</v>
      </c>
      <c r="W5014" t="s">
        <v>44166</v>
      </c>
      <c r="X5014" t="s">
        <v>46577</v>
      </c>
    </row>
    <row r="5015" spans="1:24">
      <c r="A5015">
        <f>HYPERLINK("https://www.philgeps.gov.ph/GEPSNONPILOT/Tender/SplashBidNoticeAbstractUI.aspx?menuIndex=3&amp;refID=7057670&amp;Result=3","7057670")</f>
        <v>0</v>
      </c>
      <c r="B5015" t="s">
        <v>1716</v>
      </c>
      <c r="C5015" t="s">
        <v>8322</v>
      </c>
      <c r="D5015" t="s">
        <v>18842</v>
      </c>
      <c r="E5015" t="s">
        <v>23389</v>
      </c>
      <c r="F5015" t="s">
        <v>32664</v>
      </c>
      <c r="G5015" t="s">
        <v>32672</v>
      </c>
      <c r="H5015" t="s">
        <v>12635</v>
      </c>
      <c r="I5015" t="s">
        <v>4439</v>
      </c>
      <c r="J5015" t="s">
        <v>36024</v>
      </c>
      <c r="K5015" t="s">
        <v>42289</v>
      </c>
      <c r="M5015" t="s">
        <v>44412</v>
      </c>
      <c r="N5015" t="s">
        <v>46569</v>
      </c>
      <c r="O5015" t="s">
        <v>46570</v>
      </c>
      <c r="P5015">
        <v>0</v>
      </c>
      <c r="Q5015">
        <v>0</v>
      </c>
      <c r="R5015" t="s">
        <v>46573</v>
      </c>
      <c r="S5015" t="s">
        <v>46705</v>
      </c>
      <c r="T5015" t="s">
        <v>48228</v>
      </c>
      <c r="U5015" t="s">
        <v>52930</v>
      </c>
      <c r="W5015" t="s">
        <v>44412</v>
      </c>
      <c r="X5015" t="s">
        <v>46577</v>
      </c>
    </row>
    <row r="5016" spans="1:24">
      <c r="A5016">
        <f>HYPERLINK("https://www.philgeps.gov.ph/GEPSNONPILOT/Tender/SplashBidNoticeAbstractUI.aspx?menuIndex=3&amp;refID=7057744&amp;Result=3","7057744")</f>
        <v>0</v>
      </c>
      <c r="B5016" t="s">
        <v>175</v>
      </c>
      <c r="C5016" t="s">
        <v>8323</v>
      </c>
      <c r="D5016" t="s">
        <v>18788</v>
      </c>
      <c r="E5016" t="s">
        <v>23390</v>
      </c>
      <c r="F5016" t="s">
        <v>32664</v>
      </c>
      <c r="G5016" t="s">
        <v>32671</v>
      </c>
      <c r="H5016" t="s">
        <v>12635</v>
      </c>
      <c r="I5016" t="s">
        <v>32696</v>
      </c>
      <c r="J5016" t="s">
        <v>36025</v>
      </c>
      <c r="K5016" t="s">
        <v>42284</v>
      </c>
      <c r="M5016" t="s">
        <v>44173</v>
      </c>
      <c r="N5016" t="s">
        <v>46569</v>
      </c>
      <c r="O5016" t="s">
        <v>46570</v>
      </c>
      <c r="P5016">
        <v>0</v>
      </c>
      <c r="Q5016">
        <v>0</v>
      </c>
      <c r="R5016" t="s">
        <v>46573</v>
      </c>
      <c r="S5016" t="s">
        <v>46705</v>
      </c>
      <c r="T5016" t="s">
        <v>48290</v>
      </c>
      <c r="U5016" t="s">
        <v>52931</v>
      </c>
      <c r="V5016" t="s">
        <v>61661</v>
      </c>
      <c r="W5016" t="s">
        <v>44173</v>
      </c>
      <c r="X5016" t="s">
        <v>46577</v>
      </c>
    </row>
    <row r="5017" spans="1:24">
      <c r="A5017">
        <f>HYPERLINK("https://www.philgeps.gov.ph/GEPSNONPILOT/Tender/SplashBidNoticeAbstractUI.aspx?menuIndex=3&amp;refID=7057661&amp;Result=3","7057661")</f>
        <v>0</v>
      </c>
      <c r="B5017" t="s">
        <v>1009</v>
      </c>
      <c r="C5017" t="s">
        <v>8324</v>
      </c>
      <c r="D5017" t="s">
        <v>18783</v>
      </c>
      <c r="E5017" t="s">
        <v>23391</v>
      </c>
      <c r="F5017" t="s">
        <v>32664</v>
      </c>
      <c r="G5017" t="s">
        <v>32672</v>
      </c>
      <c r="H5017" t="s">
        <v>32683</v>
      </c>
      <c r="I5017" t="s">
        <v>10627</v>
      </c>
      <c r="J5017" t="s">
        <v>36026</v>
      </c>
      <c r="K5017" t="s">
        <v>42311</v>
      </c>
      <c r="M5017" t="s">
        <v>44413</v>
      </c>
      <c r="N5017" t="s">
        <v>46569</v>
      </c>
      <c r="O5017" t="s">
        <v>46570</v>
      </c>
      <c r="P5017">
        <v>0</v>
      </c>
      <c r="Q5017">
        <v>0</v>
      </c>
      <c r="R5017" t="s">
        <v>46573</v>
      </c>
      <c r="S5017" t="s">
        <v>46705</v>
      </c>
      <c r="T5017" t="s">
        <v>48257</v>
      </c>
      <c r="U5017" t="s">
        <v>52932</v>
      </c>
      <c r="W5017" t="s">
        <v>44413</v>
      </c>
      <c r="X5017" t="s">
        <v>46577</v>
      </c>
    </row>
    <row r="5018" spans="1:24">
      <c r="A5018">
        <f>HYPERLINK("https://www.philgeps.gov.ph/GEPSNONPILOT/Tender/SplashBidNoticeAbstractUI.aspx?menuIndex=3&amp;refID=7057697&amp;Result=3","7057697")</f>
        <v>0</v>
      </c>
      <c r="B5018" t="s">
        <v>1717</v>
      </c>
      <c r="C5018" t="s">
        <v>8325</v>
      </c>
      <c r="D5018" t="s">
        <v>18790</v>
      </c>
      <c r="E5018" t="s">
        <v>23392</v>
      </c>
      <c r="F5018" t="s">
        <v>32664</v>
      </c>
      <c r="G5018" t="s">
        <v>32671</v>
      </c>
      <c r="H5018" t="s">
        <v>12635</v>
      </c>
      <c r="I5018" t="s">
        <v>8797</v>
      </c>
      <c r="J5018" t="s">
        <v>34833</v>
      </c>
      <c r="K5018" t="s">
        <v>42283</v>
      </c>
      <c r="M5018" t="s">
        <v>44414</v>
      </c>
      <c r="N5018" t="s">
        <v>46569</v>
      </c>
      <c r="O5018" t="s">
        <v>46570</v>
      </c>
      <c r="P5018">
        <v>0</v>
      </c>
      <c r="Q5018">
        <v>4</v>
      </c>
      <c r="R5018" t="s">
        <v>46573</v>
      </c>
      <c r="S5018" t="s">
        <v>46705</v>
      </c>
      <c r="T5018" t="s">
        <v>48282</v>
      </c>
      <c r="U5018" t="s">
        <v>52933</v>
      </c>
      <c r="W5018" t="s">
        <v>63530</v>
      </c>
      <c r="X5018" t="s">
        <v>46577</v>
      </c>
    </row>
    <row r="5019" spans="1:24">
      <c r="A5019">
        <f>HYPERLINK("https://www.philgeps.gov.ph/GEPSNONPILOT/Tender/SplashBidNoticeAbstractUI.aspx?menuIndex=3&amp;refID=7058725&amp;Result=3","7058725")</f>
        <v>0</v>
      </c>
      <c r="B5019" t="s">
        <v>1677</v>
      </c>
      <c r="C5019" t="s">
        <v>8326</v>
      </c>
      <c r="D5019" t="s">
        <v>18801</v>
      </c>
      <c r="E5019" t="s">
        <v>21832</v>
      </c>
      <c r="F5019" t="s">
        <v>32664</v>
      </c>
      <c r="G5019" t="s">
        <v>32671</v>
      </c>
      <c r="H5019" t="s">
        <v>12635</v>
      </c>
      <c r="I5019" t="s">
        <v>32786</v>
      </c>
      <c r="J5019" t="s">
        <v>34408</v>
      </c>
      <c r="K5019" t="s">
        <v>42295</v>
      </c>
      <c r="M5019" t="s">
        <v>44366</v>
      </c>
      <c r="N5019" t="s">
        <v>46569</v>
      </c>
      <c r="O5019" t="s">
        <v>46570</v>
      </c>
      <c r="P5019">
        <v>0</v>
      </c>
      <c r="Q5019">
        <v>0</v>
      </c>
      <c r="R5019" t="s">
        <v>46573</v>
      </c>
      <c r="S5019" t="s">
        <v>46705</v>
      </c>
      <c r="T5019" t="s">
        <v>48378</v>
      </c>
      <c r="U5019" t="s">
        <v>52934</v>
      </c>
      <c r="V5019" t="s">
        <v>62144</v>
      </c>
      <c r="W5019" t="s">
        <v>44366</v>
      </c>
      <c r="X5019" t="s">
        <v>46575</v>
      </c>
    </row>
    <row r="5020" spans="1:24">
      <c r="A5020">
        <f>HYPERLINK("https://www.philgeps.gov.ph/GEPSNONPILOT/Tender/SplashBidNoticeAbstractUI.aspx?menuIndex=3&amp;refID=7058720&amp;Result=3","7058720")</f>
        <v>0</v>
      </c>
      <c r="B5020" t="s">
        <v>1718</v>
      </c>
      <c r="C5020" t="s">
        <v>8327</v>
      </c>
      <c r="D5020" t="s">
        <v>18783</v>
      </c>
      <c r="E5020" t="s">
        <v>23393</v>
      </c>
      <c r="F5020" t="s">
        <v>32664</v>
      </c>
      <c r="G5020" t="s">
        <v>32672</v>
      </c>
      <c r="H5020" t="s">
        <v>12635</v>
      </c>
      <c r="I5020" t="s">
        <v>14442</v>
      </c>
      <c r="J5020" t="s">
        <v>34258</v>
      </c>
      <c r="K5020" t="s">
        <v>42297</v>
      </c>
      <c r="M5020" t="s">
        <v>44415</v>
      </c>
      <c r="N5020" t="s">
        <v>46569</v>
      </c>
      <c r="O5020" t="s">
        <v>46570</v>
      </c>
      <c r="P5020">
        <v>0</v>
      </c>
      <c r="Q5020">
        <v>3</v>
      </c>
      <c r="R5020" t="s">
        <v>46573</v>
      </c>
      <c r="S5020" t="s">
        <v>46705</v>
      </c>
      <c r="T5020" t="s">
        <v>48467</v>
      </c>
      <c r="U5020" t="s">
        <v>52935</v>
      </c>
      <c r="W5020" t="s">
        <v>44415</v>
      </c>
      <c r="X5020" t="s">
        <v>46575</v>
      </c>
    </row>
    <row r="5021" spans="1:24">
      <c r="A5021">
        <f>HYPERLINK("https://www.philgeps.gov.ph/GEPSNONPILOT/Tender/SplashBidNoticeAbstractUI.aspx?menuIndex=3&amp;refID=7058693&amp;Result=3","7058693")</f>
        <v>0</v>
      </c>
      <c r="B5021" t="s">
        <v>1719</v>
      </c>
      <c r="C5021" t="s">
        <v>8328</v>
      </c>
      <c r="E5021" t="s">
        <v>23394</v>
      </c>
      <c r="F5021" t="s">
        <v>32664</v>
      </c>
      <c r="G5021" t="s">
        <v>32672</v>
      </c>
      <c r="H5021" t="s">
        <v>12635</v>
      </c>
      <c r="I5021" t="s">
        <v>5501</v>
      </c>
      <c r="J5021" t="s">
        <v>36027</v>
      </c>
      <c r="K5021" t="s">
        <v>42283</v>
      </c>
      <c r="M5021" t="s">
        <v>44416</v>
      </c>
      <c r="N5021" t="s">
        <v>46569</v>
      </c>
      <c r="O5021" t="s">
        <v>46570</v>
      </c>
      <c r="P5021">
        <v>0</v>
      </c>
      <c r="Q5021">
        <v>11</v>
      </c>
      <c r="R5021" t="s">
        <v>46573</v>
      </c>
      <c r="S5021" t="s">
        <v>46705</v>
      </c>
      <c r="T5021" t="s">
        <v>48261</v>
      </c>
      <c r="U5021" t="s">
        <v>52936</v>
      </c>
      <c r="W5021" t="s">
        <v>44416</v>
      </c>
      <c r="X5021" t="s">
        <v>46575</v>
      </c>
    </row>
    <row r="5022" spans="1:24">
      <c r="A5022">
        <f>HYPERLINK("https://www.philgeps.gov.ph/GEPSNONPILOT/Tender/SplashBidNoticeAbstractUI.aspx?menuIndex=3&amp;refID=7058670&amp;Result=3","7058670")</f>
        <v>0</v>
      </c>
      <c r="B5022" t="s">
        <v>1720</v>
      </c>
      <c r="C5022" t="s">
        <v>8329</v>
      </c>
      <c r="D5022" t="s">
        <v>18784</v>
      </c>
      <c r="E5022" t="s">
        <v>18926</v>
      </c>
      <c r="F5022" t="s">
        <v>32665</v>
      </c>
      <c r="G5022" t="s">
        <v>32672</v>
      </c>
      <c r="H5022" t="s">
        <v>12635</v>
      </c>
      <c r="I5022" t="s">
        <v>32708</v>
      </c>
      <c r="J5022" t="s">
        <v>36028</v>
      </c>
      <c r="K5022" t="s">
        <v>42309</v>
      </c>
      <c r="M5022" t="s">
        <v>44417</v>
      </c>
      <c r="N5022" t="s">
        <v>46569</v>
      </c>
      <c r="O5022" t="s">
        <v>46570</v>
      </c>
      <c r="P5022">
        <v>0</v>
      </c>
      <c r="Q5022">
        <v>4</v>
      </c>
      <c r="R5022" t="s">
        <v>46573</v>
      </c>
      <c r="S5022" t="s">
        <v>46705</v>
      </c>
      <c r="T5022" t="s">
        <v>48363</v>
      </c>
      <c r="U5022" t="s">
        <v>52937</v>
      </c>
      <c r="W5022" t="s">
        <v>44417</v>
      </c>
      <c r="X5022" t="s">
        <v>46575</v>
      </c>
    </row>
    <row r="5023" spans="1:24">
      <c r="A5023">
        <f>HYPERLINK("https://www.philgeps.gov.ph/GEPSNONPILOT/Tender/SplashBidNoticeAbstractUI.aspx?menuIndex=3&amp;refID=7058684&amp;Result=3","7058684")</f>
        <v>0</v>
      </c>
      <c r="B5023" t="s">
        <v>1719</v>
      </c>
      <c r="C5023" t="s">
        <v>8330</v>
      </c>
      <c r="E5023" t="s">
        <v>23395</v>
      </c>
      <c r="F5023" t="s">
        <v>32664</v>
      </c>
      <c r="G5023" t="s">
        <v>32672</v>
      </c>
      <c r="H5023" t="s">
        <v>12635</v>
      </c>
      <c r="I5023" t="s">
        <v>9486</v>
      </c>
      <c r="J5023" t="s">
        <v>36029</v>
      </c>
      <c r="K5023" t="s">
        <v>42283</v>
      </c>
      <c r="M5023" t="s">
        <v>44416</v>
      </c>
      <c r="N5023" t="s">
        <v>46569</v>
      </c>
      <c r="O5023" t="s">
        <v>46570</v>
      </c>
      <c r="P5023">
        <v>0</v>
      </c>
      <c r="Q5023">
        <v>13</v>
      </c>
      <c r="R5023" t="s">
        <v>46573</v>
      </c>
      <c r="S5023" t="s">
        <v>46705</v>
      </c>
      <c r="T5023" t="s">
        <v>48261</v>
      </c>
      <c r="U5023" t="s">
        <v>52936</v>
      </c>
      <c r="W5023" t="s">
        <v>44416</v>
      </c>
      <c r="X5023" t="s">
        <v>46575</v>
      </c>
    </row>
    <row r="5024" spans="1:24">
      <c r="A5024">
        <f>HYPERLINK("https://www.philgeps.gov.ph/GEPSNONPILOT/Tender/SplashBidNoticeAbstractUI.aspx?menuIndex=3&amp;refID=7058050&amp;Result=3","7058050")</f>
        <v>0</v>
      </c>
      <c r="B5024" t="s">
        <v>1721</v>
      </c>
      <c r="C5024" t="s">
        <v>8331</v>
      </c>
      <c r="D5024" t="s">
        <v>18799</v>
      </c>
      <c r="E5024" t="s">
        <v>21823</v>
      </c>
      <c r="F5024" t="s">
        <v>32664</v>
      </c>
      <c r="G5024" t="s">
        <v>32672</v>
      </c>
      <c r="H5024" t="s">
        <v>12635</v>
      </c>
      <c r="I5024" t="s">
        <v>9946</v>
      </c>
      <c r="J5024" t="s">
        <v>36030</v>
      </c>
      <c r="K5024" t="s">
        <v>42283</v>
      </c>
      <c r="M5024" t="s">
        <v>44418</v>
      </c>
      <c r="N5024" t="s">
        <v>46569</v>
      </c>
      <c r="O5024" t="s">
        <v>46570</v>
      </c>
      <c r="P5024">
        <v>0</v>
      </c>
      <c r="Q5024">
        <v>2</v>
      </c>
      <c r="R5024" t="s">
        <v>46573</v>
      </c>
      <c r="S5024" t="s">
        <v>46705</v>
      </c>
      <c r="T5024" t="s">
        <v>48483</v>
      </c>
      <c r="U5024" t="s">
        <v>52938</v>
      </c>
      <c r="W5024" t="s">
        <v>44418</v>
      </c>
      <c r="X5024" t="s">
        <v>46577</v>
      </c>
    </row>
    <row r="5025" spans="1:24">
      <c r="A5025">
        <f>HYPERLINK("https://www.philgeps.gov.ph/GEPSNONPILOT/Tender/SplashBidNoticeAbstractUI.aspx?menuIndex=3&amp;refID=7058661&amp;Result=3","7058661")</f>
        <v>0</v>
      </c>
      <c r="B5025" t="s">
        <v>609</v>
      </c>
      <c r="C5025" t="s">
        <v>8332</v>
      </c>
      <c r="D5025" t="s">
        <v>18792</v>
      </c>
      <c r="E5025" t="s">
        <v>23396</v>
      </c>
      <c r="F5025" t="s">
        <v>32664</v>
      </c>
      <c r="G5025" t="s">
        <v>32672</v>
      </c>
      <c r="H5025" t="s">
        <v>32683</v>
      </c>
      <c r="I5025" t="s">
        <v>10627</v>
      </c>
      <c r="J5025" t="s">
        <v>36031</v>
      </c>
      <c r="K5025" t="s">
        <v>42285</v>
      </c>
      <c r="M5025" t="s">
        <v>43189</v>
      </c>
      <c r="N5025" t="s">
        <v>46569</v>
      </c>
      <c r="O5025" t="s">
        <v>46570</v>
      </c>
      <c r="P5025">
        <v>0</v>
      </c>
      <c r="Q5025">
        <v>0</v>
      </c>
      <c r="R5025" t="s">
        <v>46573</v>
      </c>
      <c r="S5025" t="s">
        <v>46705</v>
      </c>
      <c r="T5025" t="s">
        <v>48308</v>
      </c>
      <c r="U5025" t="s">
        <v>52939</v>
      </c>
      <c r="W5025" t="s">
        <v>43189</v>
      </c>
      <c r="X5025" t="s">
        <v>46575</v>
      </c>
    </row>
    <row r="5026" spans="1:24">
      <c r="A5026">
        <f>HYPERLINK("https://www.philgeps.gov.ph/GEPSNONPILOT/Tender/SplashBidNoticeAbstractUI.aspx?menuIndex=3&amp;refID=7058528&amp;Result=3","7058528")</f>
        <v>0</v>
      </c>
      <c r="B5026" t="s">
        <v>1722</v>
      </c>
      <c r="C5026" t="s">
        <v>8333</v>
      </c>
      <c r="D5026" t="s">
        <v>18834</v>
      </c>
      <c r="E5026" t="s">
        <v>23397</v>
      </c>
      <c r="F5026" t="s">
        <v>32664</v>
      </c>
      <c r="G5026" t="s">
        <v>32672</v>
      </c>
      <c r="H5026" t="s">
        <v>32683</v>
      </c>
      <c r="I5026" t="s">
        <v>10627</v>
      </c>
      <c r="J5026" t="s">
        <v>36032</v>
      </c>
      <c r="K5026" t="s">
        <v>42289</v>
      </c>
      <c r="M5026" t="s">
        <v>44419</v>
      </c>
      <c r="N5026" t="s">
        <v>46569</v>
      </c>
      <c r="O5026" t="s">
        <v>46570</v>
      </c>
      <c r="P5026">
        <v>0</v>
      </c>
      <c r="Q5026">
        <v>0</v>
      </c>
      <c r="R5026" t="s">
        <v>46573</v>
      </c>
      <c r="S5026" t="s">
        <v>46705</v>
      </c>
      <c r="T5026" t="s">
        <v>48282</v>
      </c>
      <c r="U5026" t="s">
        <v>52940</v>
      </c>
      <c r="W5026" t="s">
        <v>44419</v>
      </c>
      <c r="X5026" t="s">
        <v>46575</v>
      </c>
    </row>
    <row r="5027" spans="1:24">
      <c r="A5027">
        <f>HYPERLINK("https://www.philgeps.gov.ph/GEPSNONPILOT/Tender/SplashBidNoticeAbstractUI.aspx?menuIndex=3&amp;refID=7058507&amp;Result=3","7058507")</f>
        <v>0</v>
      </c>
      <c r="B5027" t="s">
        <v>1009</v>
      </c>
      <c r="C5027" t="s">
        <v>8334</v>
      </c>
      <c r="D5027" t="s">
        <v>18783</v>
      </c>
      <c r="E5027" t="s">
        <v>23398</v>
      </c>
      <c r="F5027" t="s">
        <v>32664</v>
      </c>
      <c r="G5027" t="s">
        <v>32672</v>
      </c>
      <c r="H5027" t="s">
        <v>32683</v>
      </c>
      <c r="I5027" t="s">
        <v>10627</v>
      </c>
      <c r="J5027" t="s">
        <v>34253</v>
      </c>
      <c r="K5027" t="s">
        <v>42298</v>
      </c>
      <c r="M5027" t="s">
        <v>44413</v>
      </c>
      <c r="N5027" t="s">
        <v>46569</v>
      </c>
      <c r="O5027" t="s">
        <v>46570</v>
      </c>
      <c r="P5027">
        <v>0</v>
      </c>
      <c r="Q5027">
        <v>1</v>
      </c>
      <c r="R5027" t="s">
        <v>46573</v>
      </c>
      <c r="S5027" t="s">
        <v>46705</v>
      </c>
      <c r="T5027" t="s">
        <v>48257</v>
      </c>
      <c r="U5027" t="s">
        <v>52941</v>
      </c>
      <c r="W5027" t="s">
        <v>44413</v>
      </c>
      <c r="X5027" t="s">
        <v>46576</v>
      </c>
    </row>
    <row r="5028" spans="1:24">
      <c r="A5028">
        <f>HYPERLINK("https://www.philgeps.gov.ph/GEPSNONPILOT/Tender/SplashBidNoticeAbstractUI.aspx?menuIndex=3&amp;refID=7058680&amp;Result=3","7058680")</f>
        <v>0</v>
      </c>
      <c r="B5028" t="s">
        <v>1719</v>
      </c>
      <c r="C5028" t="s">
        <v>8335</v>
      </c>
      <c r="E5028" t="s">
        <v>23399</v>
      </c>
      <c r="F5028" t="s">
        <v>32664</v>
      </c>
      <c r="G5028" t="s">
        <v>32672</v>
      </c>
      <c r="H5028" t="s">
        <v>12635</v>
      </c>
      <c r="I5028" t="s">
        <v>9486</v>
      </c>
      <c r="J5028" t="s">
        <v>36033</v>
      </c>
      <c r="K5028" t="s">
        <v>42283</v>
      </c>
      <c r="M5028" t="s">
        <v>44416</v>
      </c>
      <c r="N5028" t="s">
        <v>46569</v>
      </c>
      <c r="O5028" t="s">
        <v>46570</v>
      </c>
      <c r="P5028">
        <v>0</v>
      </c>
      <c r="Q5028">
        <v>7</v>
      </c>
      <c r="R5028" t="s">
        <v>46573</v>
      </c>
      <c r="S5028" t="s">
        <v>46705</v>
      </c>
      <c r="T5028" t="s">
        <v>48261</v>
      </c>
      <c r="U5028" t="s">
        <v>52936</v>
      </c>
      <c r="W5028" t="s">
        <v>44416</v>
      </c>
      <c r="X5028" t="s">
        <v>46575</v>
      </c>
    </row>
    <row r="5029" spans="1:24">
      <c r="A5029">
        <f>HYPERLINK("https://www.philgeps.gov.ph/GEPSNONPILOT/Tender/SplashBidNoticeAbstractUI.aspx?menuIndex=3&amp;refID=7058516&amp;Result=3","7058516")</f>
        <v>0</v>
      </c>
      <c r="B5029" t="s">
        <v>1009</v>
      </c>
      <c r="C5029" t="s">
        <v>8336</v>
      </c>
      <c r="D5029" t="s">
        <v>18783</v>
      </c>
      <c r="E5029" t="s">
        <v>23400</v>
      </c>
      <c r="F5029" t="s">
        <v>32664</v>
      </c>
      <c r="G5029" t="s">
        <v>32672</v>
      </c>
      <c r="H5029" t="s">
        <v>32683</v>
      </c>
      <c r="I5029" t="s">
        <v>10627</v>
      </c>
      <c r="J5029" t="s">
        <v>34253</v>
      </c>
      <c r="K5029" t="s">
        <v>42298</v>
      </c>
      <c r="M5029" t="s">
        <v>44413</v>
      </c>
      <c r="N5029" t="s">
        <v>46569</v>
      </c>
      <c r="O5029" t="s">
        <v>46570</v>
      </c>
      <c r="P5029">
        <v>0</v>
      </c>
      <c r="Q5029">
        <v>1</v>
      </c>
      <c r="R5029" t="s">
        <v>46573</v>
      </c>
      <c r="S5029" t="s">
        <v>46705</v>
      </c>
      <c r="T5029" t="s">
        <v>48257</v>
      </c>
      <c r="U5029" t="s">
        <v>52942</v>
      </c>
      <c r="W5029" t="s">
        <v>44413</v>
      </c>
      <c r="X5029" t="s">
        <v>46575</v>
      </c>
    </row>
    <row r="5030" spans="1:24">
      <c r="A5030">
        <f>HYPERLINK("https://www.philgeps.gov.ph/GEPSNONPILOT/Tender/SplashBidNoticeAbstractUI.aspx?menuIndex=3&amp;refID=7058483&amp;Result=3","7058483")</f>
        <v>0</v>
      </c>
      <c r="B5030" t="s">
        <v>1009</v>
      </c>
      <c r="C5030" t="s">
        <v>8337</v>
      </c>
      <c r="D5030" t="s">
        <v>18783</v>
      </c>
      <c r="E5030" t="s">
        <v>23401</v>
      </c>
      <c r="F5030" t="s">
        <v>32664</v>
      </c>
      <c r="G5030" t="s">
        <v>32672</v>
      </c>
      <c r="H5030" t="s">
        <v>32683</v>
      </c>
      <c r="I5030" t="s">
        <v>10627</v>
      </c>
      <c r="J5030" t="s">
        <v>34253</v>
      </c>
      <c r="K5030" t="s">
        <v>42298</v>
      </c>
      <c r="M5030" t="s">
        <v>44413</v>
      </c>
      <c r="N5030" t="s">
        <v>46569</v>
      </c>
      <c r="O5030" t="s">
        <v>46570</v>
      </c>
      <c r="P5030">
        <v>0</v>
      </c>
      <c r="Q5030">
        <v>2</v>
      </c>
      <c r="R5030" t="s">
        <v>46573</v>
      </c>
      <c r="S5030" t="s">
        <v>46705</v>
      </c>
      <c r="T5030" t="s">
        <v>48257</v>
      </c>
      <c r="U5030" t="s">
        <v>52943</v>
      </c>
      <c r="W5030" t="s">
        <v>44413</v>
      </c>
      <c r="X5030" t="s">
        <v>46576</v>
      </c>
    </row>
    <row r="5031" spans="1:24">
      <c r="A5031">
        <f>HYPERLINK("https://www.philgeps.gov.ph/GEPSNONPILOT/Tender/SplashBidNoticeAbstractUI.aspx?menuIndex=3&amp;refID=7058175&amp;Result=3","7058175")</f>
        <v>0</v>
      </c>
      <c r="B5031" t="s">
        <v>1723</v>
      </c>
      <c r="C5031" t="s">
        <v>8338</v>
      </c>
      <c r="D5031" t="s">
        <v>18790</v>
      </c>
      <c r="E5031" t="s">
        <v>23402</v>
      </c>
      <c r="F5031" t="s">
        <v>32664</v>
      </c>
      <c r="G5031" t="s">
        <v>32674</v>
      </c>
      <c r="H5031" t="s">
        <v>12635</v>
      </c>
      <c r="I5031" t="s">
        <v>32706</v>
      </c>
      <c r="J5031" t="s">
        <v>33096</v>
      </c>
      <c r="K5031" t="s">
        <v>42281</v>
      </c>
      <c r="M5031" t="s">
        <v>44420</v>
      </c>
      <c r="N5031" t="s">
        <v>46569</v>
      </c>
      <c r="O5031" t="s">
        <v>46570</v>
      </c>
      <c r="P5031">
        <v>0</v>
      </c>
      <c r="Q5031">
        <v>0</v>
      </c>
      <c r="R5031" t="s">
        <v>46573</v>
      </c>
      <c r="S5031" t="s">
        <v>46705</v>
      </c>
      <c r="T5031" t="s">
        <v>48228</v>
      </c>
      <c r="U5031" t="s">
        <v>52944</v>
      </c>
      <c r="W5031" t="s">
        <v>44420</v>
      </c>
      <c r="X5031" t="s">
        <v>46576</v>
      </c>
    </row>
    <row r="5032" spans="1:24">
      <c r="A5032">
        <f>HYPERLINK("https://www.philgeps.gov.ph/GEPSNONPILOT/Tender/SplashBidNoticeAbstractUI.aspx?menuIndex=3&amp;refID=7058173&amp;Result=3","7058173")</f>
        <v>0</v>
      </c>
      <c r="B5032" t="s">
        <v>1723</v>
      </c>
      <c r="C5032" t="s">
        <v>8339</v>
      </c>
      <c r="D5032" t="s">
        <v>18790</v>
      </c>
      <c r="E5032" t="s">
        <v>23403</v>
      </c>
      <c r="F5032" t="s">
        <v>32664</v>
      </c>
      <c r="G5032" t="s">
        <v>32674</v>
      </c>
      <c r="H5032" t="s">
        <v>12635</v>
      </c>
      <c r="I5032" t="s">
        <v>32706</v>
      </c>
      <c r="J5032" t="s">
        <v>33696</v>
      </c>
      <c r="K5032" t="s">
        <v>42281</v>
      </c>
      <c r="M5032" t="s">
        <v>44420</v>
      </c>
      <c r="N5032" t="s">
        <v>46569</v>
      </c>
      <c r="O5032" t="s">
        <v>46570</v>
      </c>
      <c r="P5032">
        <v>0</v>
      </c>
      <c r="Q5032">
        <v>0</v>
      </c>
      <c r="R5032" t="s">
        <v>46573</v>
      </c>
      <c r="S5032" t="s">
        <v>46705</v>
      </c>
      <c r="T5032" t="s">
        <v>48228</v>
      </c>
      <c r="U5032" t="s">
        <v>52945</v>
      </c>
      <c r="W5032" t="s">
        <v>44420</v>
      </c>
      <c r="X5032" t="s">
        <v>46576</v>
      </c>
    </row>
    <row r="5033" spans="1:24">
      <c r="A5033">
        <f>HYPERLINK("https://www.philgeps.gov.ph/GEPSNONPILOT/Tender/SplashBidNoticeAbstractUI.aspx?menuIndex=3&amp;refID=7058170&amp;Result=3","7058170")</f>
        <v>0</v>
      </c>
      <c r="B5033" t="s">
        <v>518</v>
      </c>
      <c r="C5033" t="s">
        <v>8340</v>
      </c>
      <c r="D5033" t="s">
        <v>18814</v>
      </c>
      <c r="E5033" t="s">
        <v>23404</v>
      </c>
      <c r="F5033" t="s">
        <v>32664</v>
      </c>
      <c r="G5033" t="s">
        <v>32672</v>
      </c>
      <c r="H5033" t="s">
        <v>12635</v>
      </c>
      <c r="I5033" t="s">
        <v>5589</v>
      </c>
      <c r="J5033" t="s">
        <v>36034</v>
      </c>
      <c r="K5033" t="s">
        <v>42311</v>
      </c>
      <c r="M5033" t="s">
        <v>44421</v>
      </c>
      <c r="N5033" t="s">
        <v>46569</v>
      </c>
      <c r="O5033" t="s">
        <v>46570</v>
      </c>
      <c r="P5033">
        <v>0</v>
      </c>
      <c r="Q5033">
        <v>14</v>
      </c>
      <c r="R5033" t="s">
        <v>46573</v>
      </c>
      <c r="S5033" t="s">
        <v>46705</v>
      </c>
      <c r="T5033" t="s">
        <v>48216</v>
      </c>
      <c r="U5033" t="s">
        <v>52946</v>
      </c>
      <c r="W5033" t="s">
        <v>44421</v>
      </c>
      <c r="X5033" t="s">
        <v>46576</v>
      </c>
    </row>
    <row r="5034" spans="1:24">
      <c r="A5034">
        <f>HYPERLINK("https://www.philgeps.gov.ph/GEPSNONPILOT/Tender/SplashBidNoticeAbstractUI.aspx?menuIndex=3&amp;refID=7058179&amp;Result=3","7058179")</f>
        <v>0</v>
      </c>
      <c r="B5034" t="s">
        <v>1723</v>
      </c>
      <c r="C5034" t="s">
        <v>8341</v>
      </c>
      <c r="D5034" t="s">
        <v>18790</v>
      </c>
      <c r="E5034" t="s">
        <v>23405</v>
      </c>
      <c r="F5034" t="s">
        <v>32664</v>
      </c>
      <c r="G5034" t="s">
        <v>32674</v>
      </c>
      <c r="H5034" t="s">
        <v>12635</v>
      </c>
      <c r="I5034" t="s">
        <v>32706</v>
      </c>
      <c r="J5034" t="s">
        <v>32842</v>
      </c>
      <c r="K5034" t="s">
        <v>42281</v>
      </c>
      <c r="M5034" t="s">
        <v>44420</v>
      </c>
      <c r="N5034" t="s">
        <v>46569</v>
      </c>
      <c r="O5034" t="s">
        <v>46570</v>
      </c>
      <c r="P5034">
        <v>0</v>
      </c>
      <c r="Q5034">
        <v>0</v>
      </c>
      <c r="R5034" t="s">
        <v>46573</v>
      </c>
      <c r="S5034" t="s">
        <v>46705</v>
      </c>
      <c r="T5034" t="s">
        <v>48228</v>
      </c>
      <c r="U5034" t="s">
        <v>52947</v>
      </c>
      <c r="W5034" t="s">
        <v>44420</v>
      </c>
      <c r="X5034" t="s">
        <v>46576</v>
      </c>
    </row>
    <row r="5035" spans="1:24">
      <c r="A5035">
        <f>HYPERLINK("https://www.philgeps.gov.ph/GEPSNONPILOT/Tender/SplashBidNoticeAbstractUI.aspx?menuIndex=3&amp;refID=7058161&amp;Result=3","7058161")</f>
        <v>0</v>
      </c>
      <c r="B5035" t="s">
        <v>1723</v>
      </c>
      <c r="C5035" t="s">
        <v>8342</v>
      </c>
      <c r="D5035" t="s">
        <v>18790</v>
      </c>
      <c r="E5035" t="s">
        <v>23406</v>
      </c>
      <c r="F5035" t="s">
        <v>32664</v>
      </c>
      <c r="G5035" t="s">
        <v>32671</v>
      </c>
      <c r="H5035" t="s">
        <v>12635</v>
      </c>
      <c r="I5035" t="s">
        <v>4997</v>
      </c>
      <c r="J5035" t="s">
        <v>36035</v>
      </c>
      <c r="K5035" t="s">
        <v>42321</v>
      </c>
      <c r="M5035" t="s">
        <v>44420</v>
      </c>
      <c r="N5035" t="s">
        <v>46569</v>
      </c>
      <c r="O5035" t="s">
        <v>46570</v>
      </c>
      <c r="P5035">
        <v>0</v>
      </c>
      <c r="Q5035">
        <v>4</v>
      </c>
      <c r="R5035" t="s">
        <v>46573</v>
      </c>
      <c r="S5035" t="s">
        <v>46705</v>
      </c>
      <c r="T5035" t="s">
        <v>48228</v>
      </c>
      <c r="U5035" t="s">
        <v>52948</v>
      </c>
      <c r="W5035" t="s">
        <v>44420</v>
      </c>
      <c r="X5035" t="s">
        <v>46576</v>
      </c>
    </row>
    <row r="5036" spans="1:24">
      <c r="A5036">
        <f>HYPERLINK("https://www.philgeps.gov.ph/GEPSNONPILOT/Tender/SplashBidNoticeAbstractUI.aspx?menuIndex=3&amp;refID=7058155&amp;Result=3","7058155")</f>
        <v>0</v>
      </c>
      <c r="B5036" t="s">
        <v>1723</v>
      </c>
      <c r="C5036" t="s">
        <v>8343</v>
      </c>
      <c r="D5036" t="s">
        <v>18790</v>
      </c>
      <c r="E5036" t="s">
        <v>23407</v>
      </c>
      <c r="F5036" t="s">
        <v>32664</v>
      </c>
      <c r="G5036" t="s">
        <v>32671</v>
      </c>
      <c r="H5036" t="s">
        <v>12635</v>
      </c>
      <c r="I5036" t="s">
        <v>4439</v>
      </c>
      <c r="J5036" t="s">
        <v>36036</v>
      </c>
      <c r="K5036" t="s">
        <v>42289</v>
      </c>
      <c r="M5036" t="s">
        <v>44420</v>
      </c>
      <c r="N5036" t="s">
        <v>46569</v>
      </c>
      <c r="O5036" t="s">
        <v>46570</v>
      </c>
      <c r="P5036">
        <v>0</v>
      </c>
      <c r="Q5036">
        <v>2</v>
      </c>
      <c r="R5036" t="s">
        <v>46573</v>
      </c>
      <c r="S5036" t="s">
        <v>46705</v>
      </c>
      <c r="T5036" t="s">
        <v>48228</v>
      </c>
      <c r="U5036" t="s">
        <v>52949</v>
      </c>
      <c r="W5036" t="s">
        <v>44420</v>
      </c>
      <c r="X5036" t="s">
        <v>46576</v>
      </c>
    </row>
    <row r="5037" spans="1:24">
      <c r="A5037">
        <f>HYPERLINK("https://www.philgeps.gov.ph/GEPSNONPILOT/Tender/SplashBidNoticeAbstractUI.aspx?menuIndex=3&amp;refID=7058186&amp;Result=3","7058186")</f>
        <v>0</v>
      </c>
      <c r="B5037" t="s">
        <v>1723</v>
      </c>
      <c r="C5037" t="s">
        <v>8344</v>
      </c>
      <c r="D5037" t="s">
        <v>18790</v>
      </c>
      <c r="E5037" t="s">
        <v>23408</v>
      </c>
      <c r="F5037" t="s">
        <v>32664</v>
      </c>
      <c r="G5037" t="s">
        <v>32674</v>
      </c>
      <c r="H5037" t="s">
        <v>12635</v>
      </c>
      <c r="I5037" t="s">
        <v>10590</v>
      </c>
      <c r="J5037" t="s">
        <v>36037</v>
      </c>
      <c r="K5037" t="s">
        <v>42321</v>
      </c>
      <c r="M5037" t="s">
        <v>44420</v>
      </c>
      <c r="N5037" t="s">
        <v>46569</v>
      </c>
      <c r="O5037" t="s">
        <v>46570</v>
      </c>
      <c r="P5037">
        <v>0</v>
      </c>
      <c r="Q5037">
        <v>0</v>
      </c>
      <c r="R5037" t="s">
        <v>46573</v>
      </c>
      <c r="S5037" t="s">
        <v>46705</v>
      </c>
      <c r="T5037" t="s">
        <v>48228</v>
      </c>
      <c r="U5037" t="s">
        <v>52950</v>
      </c>
      <c r="W5037" t="s">
        <v>44420</v>
      </c>
      <c r="X5037" t="s">
        <v>46576</v>
      </c>
    </row>
    <row r="5038" spans="1:24">
      <c r="A5038">
        <f>HYPERLINK("https://www.philgeps.gov.ph/GEPSNONPILOT/Tender/SplashBidNoticeAbstractUI.aspx?menuIndex=3&amp;refID=7058947&amp;Result=3","7058947")</f>
        <v>0</v>
      </c>
      <c r="B5038" t="s">
        <v>926</v>
      </c>
      <c r="C5038" t="s">
        <v>8345</v>
      </c>
      <c r="D5038" t="s">
        <v>18847</v>
      </c>
      <c r="E5038" t="s">
        <v>23409</v>
      </c>
      <c r="F5038" t="s">
        <v>32664</v>
      </c>
      <c r="G5038" t="s">
        <v>32677</v>
      </c>
      <c r="H5038" t="s">
        <v>32683</v>
      </c>
      <c r="I5038" t="s">
        <v>10627</v>
      </c>
      <c r="J5038" t="s">
        <v>36038</v>
      </c>
      <c r="K5038" t="s">
        <v>42359</v>
      </c>
      <c r="M5038" t="s">
        <v>43532</v>
      </c>
      <c r="N5038" t="s">
        <v>46569</v>
      </c>
      <c r="O5038" t="s">
        <v>46570</v>
      </c>
      <c r="P5038">
        <v>0</v>
      </c>
      <c r="Q5038">
        <v>0</v>
      </c>
      <c r="R5038" t="s">
        <v>46573</v>
      </c>
      <c r="S5038" t="s">
        <v>46705</v>
      </c>
      <c r="T5038" t="s">
        <v>48282</v>
      </c>
      <c r="U5038" t="s">
        <v>52951</v>
      </c>
      <c r="W5038" t="s">
        <v>43532</v>
      </c>
      <c r="X5038" t="s">
        <v>46574</v>
      </c>
    </row>
    <row r="5039" spans="1:24">
      <c r="A5039">
        <f>HYPERLINK("https://www.philgeps.gov.ph/GEPSNONPILOT/Tender/SplashBidNoticeAbstractUI.aspx?menuIndex=3&amp;refID=7058168&amp;Result=3","7058168")</f>
        <v>0</v>
      </c>
      <c r="B5039" t="s">
        <v>1723</v>
      </c>
      <c r="C5039" t="s">
        <v>8346</v>
      </c>
      <c r="D5039" t="s">
        <v>18790</v>
      </c>
      <c r="E5039" t="s">
        <v>23410</v>
      </c>
      <c r="F5039" t="s">
        <v>32664</v>
      </c>
      <c r="G5039" t="s">
        <v>32674</v>
      </c>
      <c r="H5039" t="s">
        <v>12635</v>
      </c>
      <c r="I5039" t="s">
        <v>32706</v>
      </c>
      <c r="J5039" t="s">
        <v>33077</v>
      </c>
      <c r="K5039" t="s">
        <v>42281</v>
      </c>
      <c r="M5039" t="s">
        <v>44420</v>
      </c>
      <c r="N5039" t="s">
        <v>46569</v>
      </c>
      <c r="O5039" t="s">
        <v>46570</v>
      </c>
      <c r="P5039">
        <v>0</v>
      </c>
      <c r="Q5039">
        <v>0</v>
      </c>
      <c r="R5039" t="s">
        <v>46573</v>
      </c>
      <c r="S5039" t="s">
        <v>46705</v>
      </c>
      <c r="T5039" t="s">
        <v>48228</v>
      </c>
      <c r="U5039" t="s">
        <v>52952</v>
      </c>
      <c r="W5039" t="s">
        <v>44420</v>
      </c>
      <c r="X5039" t="s">
        <v>46576</v>
      </c>
    </row>
    <row r="5040" spans="1:24">
      <c r="A5040">
        <f>HYPERLINK("https://www.philgeps.gov.ph/GEPSNONPILOT/Tender/SplashBidNoticeAbstractUI.aspx?menuIndex=3&amp;refID=7058944&amp;Result=3","7058944")</f>
        <v>0</v>
      </c>
      <c r="B5040" t="s">
        <v>926</v>
      </c>
      <c r="C5040" t="s">
        <v>8347</v>
      </c>
      <c r="D5040" t="s">
        <v>18847</v>
      </c>
      <c r="E5040" t="s">
        <v>23411</v>
      </c>
      <c r="F5040" t="s">
        <v>32664</v>
      </c>
      <c r="G5040" t="s">
        <v>32677</v>
      </c>
      <c r="H5040" t="s">
        <v>32683</v>
      </c>
      <c r="I5040" t="s">
        <v>10627</v>
      </c>
      <c r="J5040" t="s">
        <v>36039</v>
      </c>
      <c r="K5040" t="s">
        <v>42321</v>
      </c>
      <c r="M5040" t="s">
        <v>43532</v>
      </c>
      <c r="N5040" t="s">
        <v>46569</v>
      </c>
      <c r="O5040" t="s">
        <v>46570</v>
      </c>
      <c r="P5040">
        <v>0</v>
      </c>
      <c r="Q5040">
        <v>0</v>
      </c>
      <c r="R5040" t="s">
        <v>46573</v>
      </c>
      <c r="S5040" t="s">
        <v>46705</v>
      </c>
      <c r="T5040" t="s">
        <v>48282</v>
      </c>
      <c r="U5040" t="s">
        <v>52953</v>
      </c>
      <c r="W5040" t="s">
        <v>43532</v>
      </c>
      <c r="X5040" t="s">
        <v>46574</v>
      </c>
    </row>
    <row r="5041" spans="1:24">
      <c r="A5041">
        <f>HYPERLINK("https://www.philgeps.gov.ph/GEPSNONPILOT/Tender/SplashBidNoticeAbstractUI.aspx?menuIndex=3&amp;refID=7058943&amp;Result=3","7058943")</f>
        <v>0</v>
      </c>
      <c r="B5041" t="s">
        <v>926</v>
      </c>
      <c r="C5041" t="s">
        <v>8348</v>
      </c>
      <c r="D5041" t="s">
        <v>18847</v>
      </c>
      <c r="E5041" t="s">
        <v>23412</v>
      </c>
      <c r="F5041" t="s">
        <v>32664</v>
      </c>
      <c r="G5041" t="s">
        <v>32677</v>
      </c>
      <c r="H5041" t="s">
        <v>32683</v>
      </c>
      <c r="I5041" t="s">
        <v>10627</v>
      </c>
      <c r="J5041" t="s">
        <v>36040</v>
      </c>
      <c r="K5041" t="s">
        <v>42289</v>
      </c>
      <c r="M5041" t="s">
        <v>43532</v>
      </c>
      <c r="N5041" t="s">
        <v>46569</v>
      </c>
      <c r="O5041" t="s">
        <v>46570</v>
      </c>
      <c r="P5041">
        <v>0</v>
      </c>
      <c r="Q5041">
        <v>0</v>
      </c>
      <c r="R5041" t="s">
        <v>46573</v>
      </c>
      <c r="S5041" t="s">
        <v>46705</v>
      </c>
      <c r="T5041" t="s">
        <v>48282</v>
      </c>
      <c r="U5041" t="s">
        <v>52954</v>
      </c>
      <c r="W5041" t="s">
        <v>43532</v>
      </c>
      <c r="X5041" t="s">
        <v>46574</v>
      </c>
    </row>
    <row r="5042" spans="1:24">
      <c r="A5042">
        <f>HYPERLINK("https://www.philgeps.gov.ph/GEPSNONPILOT/Tender/SplashBidNoticeAbstractUI.aspx?menuIndex=3&amp;refID=7058117&amp;Result=3","7058117")</f>
        <v>0</v>
      </c>
      <c r="B5042" t="s">
        <v>1724</v>
      </c>
      <c r="C5042" t="s">
        <v>8349</v>
      </c>
      <c r="E5042" t="s">
        <v>23413</v>
      </c>
      <c r="F5042" t="s">
        <v>32664</v>
      </c>
      <c r="G5042" t="s">
        <v>32672</v>
      </c>
      <c r="H5042" t="s">
        <v>12635</v>
      </c>
      <c r="I5042" t="s">
        <v>11464</v>
      </c>
      <c r="J5042" t="s">
        <v>36041</v>
      </c>
      <c r="K5042" t="s">
        <v>42281</v>
      </c>
      <c r="M5042" t="s">
        <v>44422</v>
      </c>
      <c r="N5042" t="s">
        <v>46569</v>
      </c>
      <c r="O5042" t="s">
        <v>46570</v>
      </c>
      <c r="P5042">
        <v>0</v>
      </c>
      <c r="Q5042">
        <v>2</v>
      </c>
      <c r="R5042" t="s">
        <v>46573</v>
      </c>
      <c r="S5042" t="s">
        <v>46705</v>
      </c>
      <c r="T5042" t="s">
        <v>48283</v>
      </c>
      <c r="U5042" t="s">
        <v>52955</v>
      </c>
      <c r="W5042" t="s">
        <v>44422</v>
      </c>
      <c r="X5042" t="s">
        <v>46576</v>
      </c>
    </row>
    <row r="5043" spans="1:24">
      <c r="A5043">
        <f>HYPERLINK("https://www.philgeps.gov.ph/GEPSNONPILOT/Tender/SplashBidNoticeAbstractUI.aspx?menuIndex=3&amp;refID=7058942&amp;Result=3","7058942")</f>
        <v>0</v>
      </c>
      <c r="B5043" t="s">
        <v>926</v>
      </c>
      <c r="C5043" t="s">
        <v>8350</v>
      </c>
      <c r="D5043" t="s">
        <v>18847</v>
      </c>
      <c r="E5043" t="s">
        <v>23414</v>
      </c>
      <c r="F5043" t="s">
        <v>32664</v>
      </c>
      <c r="G5043" t="s">
        <v>32677</v>
      </c>
      <c r="H5043" t="s">
        <v>32683</v>
      </c>
      <c r="I5043" t="s">
        <v>10627</v>
      </c>
      <c r="J5043" t="s">
        <v>36042</v>
      </c>
      <c r="K5043" t="s">
        <v>42281</v>
      </c>
      <c r="M5043" t="s">
        <v>43532</v>
      </c>
      <c r="N5043" t="s">
        <v>46569</v>
      </c>
      <c r="O5043" t="s">
        <v>46570</v>
      </c>
      <c r="P5043">
        <v>0</v>
      </c>
      <c r="Q5043">
        <v>0</v>
      </c>
      <c r="R5043" t="s">
        <v>46573</v>
      </c>
      <c r="S5043" t="s">
        <v>46705</v>
      </c>
      <c r="T5043" t="s">
        <v>48271</v>
      </c>
      <c r="U5043" t="s">
        <v>52956</v>
      </c>
      <c r="W5043" t="s">
        <v>43532</v>
      </c>
      <c r="X5043" t="s">
        <v>46574</v>
      </c>
    </row>
    <row r="5044" spans="1:24">
      <c r="A5044">
        <f>HYPERLINK("https://www.philgeps.gov.ph/GEPSNONPILOT/Tender/SplashBidNoticeAbstractUI.aspx?menuIndex=3&amp;refID=7058937&amp;Result=3","7058937")</f>
        <v>0</v>
      </c>
      <c r="B5044" t="s">
        <v>1725</v>
      </c>
      <c r="C5044" t="s">
        <v>8351</v>
      </c>
      <c r="D5044" t="s">
        <v>18822</v>
      </c>
      <c r="E5044" t="s">
        <v>23415</v>
      </c>
      <c r="F5044" t="s">
        <v>32664</v>
      </c>
      <c r="G5044" t="s">
        <v>32674</v>
      </c>
      <c r="H5044" t="s">
        <v>12635</v>
      </c>
      <c r="I5044" t="s">
        <v>6223</v>
      </c>
      <c r="J5044" t="s">
        <v>36043</v>
      </c>
      <c r="K5044" t="s">
        <v>42284</v>
      </c>
      <c r="M5044" t="s">
        <v>44423</v>
      </c>
      <c r="N5044" t="s">
        <v>46569</v>
      </c>
      <c r="O5044" t="s">
        <v>46570</v>
      </c>
      <c r="P5044">
        <v>0</v>
      </c>
      <c r="Q5044">
        <v>0</v>
      </c>
      <c r="R5044" t="s">
        <v>46573</v>
      </c>
      <c r="S5044" t="s">
        <v>46705</v>
      </c>
      <c r="T5044" t="s">
        <v>48254</v>
      </c>
      <c r="U5044" t="s">
        <v>52957</v>
      </c>
      <c r="W5044" t="s">
        <v>44423</v>
      </c>
      <c r="X5044" t="s">
        <v>46574</v>
      </c>
    </row>
    <row r="5045" spans="1:24">
      <c r="A5045">
        <f>HYPERLINK("https://www.philgeps.gov.ph/GEPSNONPILOT/Tender/SplashBidNoticeAbstractUI.aspx?menuIndex=3&amp;refID=7058934&amp;Result=3","7058934")</f>
        <v>0</v>
      </c>
      <c r="B5045" t="s">
        <v>1725</v>
      </c>
      <c r="C5045" t="s">
        <v>8352</v>
      </c>
      <c r="D5045" t="s">
        <v>18822</v>
      </c>
      <c r="E5045" t="s">
        <v>23416</v>
      </c>
      <c r="F5045" t="s">
        <v>32664</v>
      </c>
      <c r="G5045" t="s">
        <v>32671</v>
      </c>
      <c r="H5045" t="s">
        <v>12635</v>
      </c>
      <c r="I5045" t="s">
        <v>14442</v>
      </c>
      <c r="J5045" t="s">
        <v>33177</v>
      </c>
      <c r="K5045" t="s">
        <v>42284</v>
      </c>
      <c r="M5045" t="s">
        <v>44423</v>
      </c>
      <c r="N5045" t="s">
        <v>46569</v>
      </c>
      <c r="O5045" t="s">
        <v>46570</v>
      </c>
      <c r="P5045">
        <v>0</v>
      </c>
      <c r="Q5045">
        <v>0</v>
      </c>
      <c r="R5045" t="s">
        <v>46573</v>
      </c>
      <c r="S5045" t="s">
        <v>46705</v>
      </c>
      <c r="T5045" t="s">
        <v>48254</v>
      </c>
      <c r="U5045" t="s">
        <v>52958</v>
      </c>
      <c r="W5045" t="s">
        <v>44423</v>
      </c>
      <c r="X5045" t="s">
        <v>46575</v>
      </c>
    </row>
    <row r="5046" spans="1:24">
      <c r="A5046">
        <f>HYPERLINK("https://www.philgeps.gov.ph/GEPSNONPILOT/Tender/SplashBidNoticeAbstractUI.aspx?menuIndex=3&amp;refID=7058886&amp;Result=3","7058886")</f>
        <v>0</v>
      </c>
      <c r="B5046" t="s">
        <v>1122</v>
      </c>
      <c r="C5046" t="s">
        <v>8353</v>
      </c>
      <c r="D5046" t="s">
        <v>18858</v>
      </c>
      <c r="E5046" t="s">
        <v>23417</v>
      </c>
      <c r="F5046" t="s">
        <v>32664</v>
      </c>
      <c r="G5046" t="s">
        <v>32672</v>
      </c>
      <c r="H5046" t="s">
        <v>12635</v>
      </c>
      <c r="I5046" t="s">
        <v>32783</v>
      </c>
      <c r="J5046" t="s">
        <v>34487</v>
      </c>
      <c r="K5046" t="s">
        <v>42281</v>
      </c>
      <c r="M5046" t="s">
        <v>44424</v>
      </c>
      <c r="N5046" t="s">
        <v>46569</v>
      </c>
      <c r="O5046" t="s">
        <v>46570</v>
      </c>
      <c r="P5046">
        <v>0</v>
      </c>
      <c r="Q5046">
        <v>1</v>
      </c>
      <c r="R5046" t="s">
        <v>46573</v>
      </c>
      <c r="S5046" t="s">
        <v>46705</v>
      </c>
      <c r="T5046" t="s">
        <v>48253</v>
      </c>
      <c r="U5046" t="s">
        <v>52959</v>
      </c>
      <c r="W5046" t="s">
        <v>44424</v>
      </c>
      <c r="X5046" t="s">
        <v>46575</v>
      </c>
    </row>
    <row r="5047" spans="1:24">
      <c r="A5047">
        <f>HYPERLINK("https://www.philgeps.gov.ph/GEPSNONPILOT/Tender/SplashBidNoticeAbstractUI.aspx?menuIndex=3&amp;refID=7058877&amp;Result=3","7058877")</f>
        <v>0</v>
      </c>
      <c r="B5047" t="s">
        <v>629</v>
      </c>
      <c r="C5047" t="s">
        <v>8354</v>
      </c>
      <c r="D5047" t="s">
        <v>18782</v>
      </c>
      <c r="E5047" t="s">
        <v>23418</v>
      </c>
      <c r="F5047" t="s">
        <v>32664</v>
      </c>
      <c r="G5047" t="s">
        <v>32674</v>
      </c>
      <c r="H5047" t="s">
        <v>12635</v>
      </c>
      <c r="I5047" t="s">
        <v>8797</v>
      </c>
      <c r="J5047" t="s">
        <v>36044</v>
      </c>
      <c r="K5047" t="s">
        <v>42283</v>
      </c>
      <c r="M5047" t="s">
        <v>43211</v>
      </c>
      <c r="N5047" t="s">
        <v>46569</v>
      </c>
      <c r="O5047" t="s">
        <v>46570</v>
      </c>
      <c r="P5047">
        <v>0</v>
      </c>
      <c r="Q5047">
        <v>4</v>
      </c>
      <c r="R5047" t="s">
        <v>46573</v>
      </c>
      <c r="S5047" t="s">
        <v>46705</v>
      </c>
      <c r="T5047" t="s">
        <v>48290</v>
      </c>
      <c r="U5047" t="s">
        <v>52960</v>
      </c>
      <c r="W5047" t="s">
        <v>43211</v>
      </c>
      <c r="X5047" t="s">
        <v>46575</v>
      </c>
    </row>
    <row r="5048" spans="1:24">
      <c r="A5048">
        <f>HYPERLINK("https://www.philgeps.gov.ph/GEPSNONPILOT/Tender/SplashBidNoticeAbstractUI.aspx?menuIndex=3&amp;refID=7058946&amp;Result=3","7058946")</f>
        <v>0</v>
      </c>
      <c r="B5048" t="s">
        <v>926</v>
      </c>
      <c r="C5048" t="s">
        <v>8355</v>
      </c>
      <c r="D5048" t="s">
        <v>18847</v>
      </c>
      <c r="E5048" t="s">
        <v>23419</v>
      </c>
      <c r="F5048" t="s">
        <v>32664</v>
      </c>
      <c r="G5048" t="s">
        <v>32677</v>
      </c>
      <c r="H5048" t="s">
        <v>32683</v>
      </c>
      <c r="I5048" t="s">
        <v>10627</v>
      </c>
      <c r="J5048" t="s">
        <v>36045</v>
      </c>
      <c r="K5048" t="s">
        <v>42303</v>
      </c>
      <c r="M5048" t="s">
        <v>43532</v>
      </c>
      <c r="N5048" t="s">
        <v>46569</v>
      </c>
      <c r="O5048" t="s">
        <v>46570</v>
      </c>
      <c r="P5048">
        <v>0</v>
      </c>
      <c r="Q5048">
        <v>0</v>
      </c>
      <c r="R5048" t="s">
        <v>46573</v>
      </c>
      <c r="S5048" t="s">
        <v>46705</v>
      </c>
      <c r="T5048" t="s">
        <v>48282</v>
      </c>
      <c r="U5048" t="s">
        <v>52961</v>
      </c>
      <c r="W5048" t="s">
        <v>43532</v>
      </c>
      <c r="X5048" t="s">
        <v>46574</v>
      </c>
    </row>
    <row r="5049" spans="1:24">
      <c r="A5049">
        <f>HYPERLINK("https://www.philgeps.gov.ph/GEPSNONPILOT/Tender/SplashBidNoticeAbstractUI.aspx?menuIndex=3&amp;refID=7058924&amp;Result=3","7058924")</f>
        <v>0</v>
      </c>
      <c r="B5049" t="s">
        <v>1726</v>
      </c>
      <c r="C5049" t="s">
        <v>8356</v>
      </c>
      <c r="D5049" t="s">
        <v>18837</v>
      </c>
      <c r="E5049" t="s">
        <v>23420</v>
      </c>
      <c r="F5049" t="s">
        <v>32664</v>
      </c>
      <c r="G5049" t="s">
        <v>32672</v>
      </c>
      <c r="H5049" t="s">
        <v>12635</v>
      </c>
      <c r="I5049" t="s">
        <v>32717</v>
      </c>
      <c r="J5049" t="s">
        <v>34543</v>
      </c>
      <c r="K5049" t="s">
        <v>42297</v>
      </c>
      <c r="M5049" t="s">
        <v>44425</v>
      </c>
      <c r="N5049" t="s">
        <v>46569</v>
      </c>
      <c r="O5049" t="s">
        <v>46570</v>
      </c>
      <c r="P5049">
        <v>0</v>
      </c>
      <c r="Q5049">
        <v>2</v>
      </c>
      <c r="R5049" t="s">
        <v>46573</v>
      </c>
      <c r="S5049" t="s">
        <v>46705</v>
      </c>
      <c r="T5049" t="s">
        <v>48349</v>
      </c>
      <c r="U5049" t="s">
        <v>52962</v>
      </c>
      <c r="V5049" t="s">
        <v>62145</v>
      </c>
      <c r="W5049" t="s">
        <v>44425</v>
      </c>
      <c r="X5049" t="s">
        <v>46575</v>
      </c>
    </row>
    <row r="5050" spans="1:24">
      <c r="A5050">
        <f>HYPERLINK("https://www.philgeps.gov.ph/GEPSNONPILOT/Tender/SplashBidNoticeAbstractUI.aspx?menuIndex=3&amp;refID=7058093&amp;Result=3","7058093")</f>
        <v>0</v>
      </c>
      <c r="B5050" t="s">
        <v>130</v>
      </c>
      <c r="C5050" t="s">
        <v>8357</v>
      </c>
      <c r="D5050" t="s">
        <v>18826</v>
      </c>
      <c r="E5050" t="s">
        <v>23421</v>
      </c>
      <c r="F5050" t="s">
        <v>32664</v>
      </c>
      <c r="G5050" t="s">
        <v>32672</v>
      </c>
      <c r="H5050" t="s">
        <v>12635</v>
      </c>
      <c r="I5050" t="s">
        <v>32708</v>
      </c>
      <c r="J5050" t="s">
        <v>34481</v>
      </c>
      <c r="K5050" t="s">
        <v>42283</v>
      </c>
      <c r="M5050" t="s">
        <v>42694</v>
      </c>
      <c r="N5050" t="s">
        <v>46569</v>
      </c>
      <c r="O5050" t="s">
        <v>46570</v>
      </c>
      <c r="P5050">
        <v>0</v>
      </c>
      <c r="Q5050">
        <v>20</v>
      </c>
      <c r="R5050" t="s">
        <v>46573</v>
      </c>
      <c r="S5050" t="s">
        <v>46705</v>
      </c>
      <c r="T5050" t="s">
        <v>48347</v>
      </c>
      <c r="U5050" t="s">
        <v>52963</v>
      </c>
      <c r="V5050" t="s">
        <v>62146</v>
      </c>
      <c r="W5050" t="s">
        <v>42694</v>
      </c>
      <c r="X5050" t="s">
        <v>46576</v>
      </c>
    </row>
    <row r="5051" spans="1:24">
      <c r="A5051">
        <f>HYPERLINK("https://www.philgeps.gov.ph/GEPSNONPILOT/Tender/SplashBidNoticeAbstractUI.aspx?menuIndex=3&amp;refID=7058804&amp;Result=3","7058804")</f>
        <v>0</v>
      </c>
      <c r="B5051" t="s">
        <v>689</v>
      </c>
      <c r="C5051" t="s">
        <v>8358</v>
      </c>
      <c r="D5051" t="s">
        <v>18800</v>
      </c>
      <c r="E5051" t="s">
        <v>23422</v>
      </c>
      <c r="F5051" t="s">
        <v>32664</v>
      </c>
      <c r="G5051" t="s">
        <v>32672</v>
      </c>
      <c r="H5051" t="s">
        <v>32683</v>
      </c>
      <c r="I5051" t="s">
        <v>10627</v>
      </c>
      <c r="J5051" t="s">
        <v>36046</v>
      </c>
      <c r="K5051" t="s">
        <v>42308</v>
      </c>
      <c r="M5051" t="s">
        <v>43276</v>
      </c>
      <c r="N5051" t="s">
        <v>46569</v>
      </c>
      <c r="O5051" t="s">
        <v>46570</v>
      </c>
      <c r="P5051">
        <v>0</v>
      </c>
      <c r="Q5051">
        <v>0</v>
      </c>
      <c r="R5051" t="s">
        <v>46573</v>
      </c>
      <c r="S5051" t="s">
        <v>46705</v>
      </c>
      <c r="T5051" t="s">
        <v>48257</v>
      </c>
      <c r="U5051" t="s">
        <v>52964</v>
      </c>
      <c r="V5051" t="s">
        <v>61795</v>
      </c>
      <c r="W5051" t="s">
        <v>43276</v>
      </c>
      <c r="X5051" t="s">
        <v>46575</v>
      </c>
    </row>
    <row r="5052" spans="1:24">
      <c r="A5052">
        <f>HYPERLINK("https://www.philgeps.gov.ph/GEPSNONPILOT/Tender/SplashBidNoticeAbstractUI.aspx?menuIndex=3&amp;refID=7058838&amp;Result=3","7058838")</f>
        <v>0</v>
      </c>
      <c r="B5052" t="s">
        <v>689</v>
      </c>
      <c r="C5052" t="s">
        <v>8359</v>
      </c>
      <c r="D5052" t="s">
        <v>18800</v>
      </c>
      <c r="E5052" t="s">
        <v>23423</v>
      </c>
      <c r="F5052" t="s">
        <v>32664</v>
      </c>
      <c r="G5052" t="s">
        <v>32672</v>
      </c>
      <c r="H5052" t="s">
        <v>32683</v>
      </c>
      <c r="I5052" t="s">
        <v>10627</v>
      </c>
      <c r="J5052" t="s">
        <v>36047</v>
      </c>
      <c r="K5052" t="s">
        <v>42437</v>
      </c>
      <c r="M5052" t="s">
        <v>43276</v>
      </c>
      <c r="N5052" t="s">
        <v>46569</v>
      </c>
      <c r="O5052" t="s">
        <v>46570</v>
      </c>
      <c r="P5052">
        <v>0</v>
      </c>
      <c r="Q5052">
        <v>0</v>
      </c>
      <c r="R5052" t="s">
        <v>46573</v>
      </c>
      <c r="S5052" t="s">
        <v>46705</v>
      </c>
      <c r="T5052" t="s">
        <v>48257</v>
      </c>
      <c r="U5052" t="s">
        <v>52965</v>
      </c>
      <c r="V5052" t="s">
        <v>61795</v>
      </c>
      <c r="W5052" t="s">
        <v>43276</v>
      </c>
      <c r="X5052" t="s">
        <v>46575</v>
      </c>
    </row>
    <row r="5053" spans="1:24">
      <c r="A5053">
        <f>HYPERLINK("https://www.philgeps.gov.ph/GEPSNONPILOT/Tender/SplashBidNoticeAbstractUI.aspx?menuIndex=3&amp;refID=7058945&amp;Result=3","7058945")</f>
        <v>0</v>
      </c>
      <c r="B5053" t="s">
        <v>926</v>
      </c>
      <c r="C5053" t="s">
        <v>8360</v>
      </c>
      <c r="D5053" t="s">
        <v>18847</v>
      </c>
      <c r="E5053" t="s">
        <v>23424</v>
      </c>
      <c r="F5053" t="s">
        <v>32664</v>
      </c>
      <c r="G5053" t="s">
        <v>32677</v>
      </c>
      <c r="H5053" t="s">
        <v>32683</v>
      </c>
      <c r="I5053" t="s">
        <v>32681</v>
      </c>
      <c r="J5053" t="s">
        <v>36048</v>
      </c>
      <c r="K5053" t="s">
        <v>42303</v>
      </c>
      <c r="M5053" t="s">
        <v>43532</v>
      </c>
      <c r="N5053" t="s">
        <v>46569</v>
      </c>
      <c r="O5053" t="s">
        <v>46570</v>
      </c>
      <c r="P5053">
        <v>0</v>
      </c>
      <c r="Q5053">
        <v>0</v>
      </c>
      <c r="R5053" t="s">
        <v>46573</v>
      </c>
      <c r="S5053" t="s">
        <v>46705</v>
      </c>
      <c r="T5053" t="s">
        <v>48282</v>
      </c>
      <c r="U5053" t="s">
        <v>52954</v>
      </c>
      <c r="W5053" t="s">
        <v>43532</v>
      </c>
      <c r="X5053" t="s">
        <v>46574</v>
      </c>
    </row>
    <row r="5054" spans="1:24">
      <c r="A5054">
        <f>HYPERLINK("https://www.philgeps.gov.ph/GEPSNONPILOT/Tender/SplashBidNoticeAbstractUI.aspx?menuIndex=3&amp;refID=7058764&amp;Result=3","7058764")</f>
        <v>0</v>
      </c>
      <c r="B5054" t="s">
        <v>689</v>
      </c>
      <c r="C5054" t="s">
        <v>8361</v>
      </c>
      <c r="D5054" t="s">
        <v>18800</v>
      </c>
      <c r="E5054" t="s">
        <v>23425</v>
      </c>
      <c r="F5054" t="s">
        <v>32664</v>
      </c>
      <c r="G5054" t="s">
        <v>32672</v>
      </c>
      <c r="H5054" t="s">
        <v>32683</v>
      </c>
      <c r="I5054" t="s">
        <v>10627</v>
      </c>
      <c r="J5054" t="s">
        <v>36049</v>
      </c>
      <c r="K5054" t="s">
        <v>42438</v>
      </c>
      <c r="M5054" t="s">
        <v>43276</v>
      </c>
      <c r="N5054" t="s">
        <v>46569</v>
      </c>
      <c r="O5054" t="s">
        <v>46570</v>
      </c>
      <c r="P5054">
        <v>0</v>
      </c>
      <c r="Q5054">
        <v>1</v>
      </c>
      <c r="R5054" t="s">
        <v>46573</v>
      </c>
      <c r="S5054" t="s">
        <v>46705</v>
      </c>
      <c r="T5054" t="s">
        <v>48257</v>
      </c>
      <c r="U5054" t="s">
        <v>52966</v>
      </c>
      <c r="V5054" t="s">
        <v>61795</v>
      </c>
      <c r="W5054" t="s">
        <v>43276</v>
      </c>
      <c r="X5054" t="s">
        <v>46575</v>
      </c>
    </row>
    <row r="5055" spans="1:24">
      <c r="A5055">
        <f>HYPERLINK("https://www.philgeps.gov.ph/GEPSNONPILOT/Tender/SplashBidNoticeAbstractUI.aspx?menuIndex=3&amp;refID=7057105&amp;Result=3","7057105")</f>
        <v>0</v>
      </c>
      <c r="B5055" t="s">
        <v>1502</v>
      </c>
      <c r="C5055" t="s">
        <v>8362</v>
      </c>
      <c r="D5055" t="s">
        <v>18829</v>
      </c>
      <c r="E5055" t="s">
        <v>23426</v>
      </c>
      <c r="F5055" t="s">
        <v>32664</v>
      </c>
      <c r="G5055" t="s">
        <v>32671</v>
      </c>
      <c r="H5055" t="s">
        <v>12635</v>
      </c>
      <c r="I5055" t="s">
        <v>4997</v>
      </c>
      <c r="J5055" t="s">
        <v>33199</v>
      </c>
      <c r="K5055" t="s">
        <v>42283</v>
      </c>
      <c r="M5055" t="s">
        <v>44166</v>
      </c>
      <c r="N5055" t="s">
        <v>46569</v>
      </c>
      <c r="O5055" t="s">
        <v>46570</v>
      </c>
      <c r="P5055">
        <v>0</v>
      </c>
      <c r="Q5055">
        <v>4</v>
      </c>
      <c r="R5055" t="s">
        <v>46573</v>
      </c>
      <c r="S5055" t="s">
        <v>46705</v>
      </c>
      <c r="T5055" t="s">
        <v>48532</v>
      </c>
      <c r="U5055" t="s">
        <v>52967</v>
      </c>
      <c r="V5055" t="s">
        <v>62147</v>
      </c>
      <c r="W5055" t="s">
        <v>44166</v>
      </c>
      <c r="X5055" t="s">
        <v>46577</v>
      </c>
    </row>
    <row r="5056" spans="1:24">
      <c r="A5056">
        <f>HYPERLINK("https://www.philgeps.gov.ph/GEPSNONPILOT/Tender/SplashBidNoticeAbstractUI.aspx?menuIndex=3&amp;refID=7058978&amp;Result=3","7058978")</f>
        <v>0</v>
      </c>
      <c r="B5056" t="s">
        <v>1727</v>
      </c>
      <c r="C5056" t="s">
        <v>8363</v>
      </c>
      <c r="D5056" t="s">
        <v>18851</v>
      </c>
      <c r="E5056" t="s">
        <v>18889</v>
      </c>
      <c r="F5056" t="s">
        <v>32664</v>
      </c>
      <c r="G5056" t="s">
        <v>32674</v>
      </c>
      <c r="H5056" t="s">
        <v>12635</v>
      </c>
      <c r="I5056" t="s">
        <v>32699</v>
      </c>
      <c r="J5056" t="s">
        <v>34474</v>
      </c>
      <c r="K5056" t="s">
        <v>42309</v>
      </c>
      <c r="M5056" t="s">
        <v>44426</v>
      </c>
      <c r="N5056" t="s">
        <v>46569</v>
      </c>
      <c r="O5056" t="s">
        <v>46570</v>
      </c>
      <c r="P5056">
        <v>0</v>
      </c>
      <c r="Q5056">
        <v>0</v>
      </c>
      <c r="R5056" t="s">
        <v>46573</v>
      </c>
      <c r="S5056" t="s">
        <v>46705</v>
      </c>
      <c r="T5056" t="s">
        <v>48244</v>
      </c>
      <c r="U5056" t="s">
        <v>52968</v>
      </c>
      <c r="W5056" t="s">
        <v>44426</v>
      </c>
      <c r="X5056" t="s">
        <v>46574</v>
      </c>
    </row>
    <row r="5057" spans="1:24">
      <c r="A5057">
        <f>HYPERLINK("https://www.philgeps.gov.ph/GEPSNONPILOT/Tender/SplashBidNoticeAbstractUI.aspx?menuIndex=3&amp;refID=7058777&amp;Result=3","7058777")</f>
        <v>0</v>
      </c>
      <c r="B5057" t="s">
        <v>689</v>
      </c>
      <c r="C5057" t="s">
        <v>8364</v>
      </c>
      <c r="D5057" t="s">
        <v>18800</v>
      </c>
      <c r="E5057" t="s">
        <v>23427</v>
      </c>
      <c r="F5057" t="s">
        <v>32664</v>
      </c>
      <c r="G5057" t="s">
        <v>32672</v>
      </c>
      <c r="H5057" t="s">
        <v>32683</v>
      </c>
      <c r="I5057" t="s">
        <v>10627</v>
      </c>
      <c r="J5057" t="s">
        <v>36050</v>
      </c>
      <c r="K5057" t="s">
        <v>42421</v>
      </c>
      <c r="M5057" t="s">
        <v>43276</v>
      </c>
      <c r="N5057" t="s">
        <v>46569</v>
      </c>
      <c r="O5057" t="s">
        <v>46570</v>
      </c>
      <c r="P5057">
        <v>0</v>
      </c>
      <c r="Q5057">
        <v>0</v>
      </c>
      <c r="R5057" t="s">
        <v>46573</v>
      </c>
      <c r="S5057" t="s">
        <v>46705</v>
      </c>
      <c r="T5057" t="s">
        <v>48257</v>
      </c>
      <c r="U5057" t="s">
        <v>52969</v>
      </c>
      <c r="V5057" t="s">
        <v>61795</v>
      </c>
      <c r="W5057" t="s">
        <v>43276</v>
      </c>
      <c r="X5057" t="s">
        <v>46575</v>
      </c>
    </row>
    <row r="5058" spans="1:24">
      <c r="A5058">
        <f>HYPERLINK("https://www.philgeps.gov.ph/GEPSNONPILOT/Tender/SplashBidNoticeAbstractUI.aspx?menuIndex=3&amp;refID=7058975&amp;Result=3","7058975")</f>
        <v>0</v>
      </c>
      <c r="B5058" t="s">
        <v>1728</v>
      </c>
      <c r="C5058" t="s">
        <v>8365</v>
      </c>
      <c r="D5058" t="s">
        <v>18810</v>
      </c>
      <c r="E5058" t="s">
        <v>19673</v>
      </c>
      <c r="F5058" t="s">
        <v>32664</v>
      </c>
      <c r="G5058" t="s">
        <v>32672</v>
      </c>
      <c r="H5058" t="s">
        <v>32683</v>
      </c>
      <c r="I5058" t="s">
        <v>10627</v>
      </c>
      <c r="J5058" t="s">
        <v>36051</v>
      </c>
      <c r="K5058" t="s">
        <v>42281</v>
      </c>
      <c r="M5058" t="s">
        <v>44427</v>
      </c>
      <c r="N5058" t="s">
        <v>46569</v>
      </c>
      <c r="O5058" t="s">
        <v>46570</v>
      </c>
      <c r="P5058">
        <v>0</v>
      </c>
      <c r="Q5058">
        <v>0</v>
      </c>
      <c r="R5058" t="s">
        <v>46573</v>
      </c>
      <c r="S5058" t="s">
        <v>46705</v>
      </c>
      <c r="T5058" t="s">
        <v>48228</v>
      </c>
      <c r="U5058" t="s">
        <v>52970</v>
      </c>
      <c r="W5058" t="s">
        <v>44427</v>
      </c>
      <c r="X5058" t="s">
        <v>46574</v>
      </c>
    </row>
    <row r="5059" spans="1:24">
      <c r="A5059">
        <f>HYPERLINK("https://www.philgeps.gov.ph/GEPSNONPILOT/Tender/SplashBidNoticeAbstractUI.aspx?menuIndex=3&amp;refID=7058881&amp;Result=3","7058881")</f>
        <v>0</v>
      </c>
      <c r="B5059" t="s">
        <v>1729</v>
      </c>
      <c r="C5059" t="s">
        <v>7473</v>
      </c>
      <c r="D5059" t="s">
        <v>18789</v>
      </c>
      <c r="E5059" t="s">
        <v>19193</v>
      </c>
      <c r="F5059" t="s">
        <v>32664</v>
      </c>
      <c r="G5059" t="s">
        <v>32675</v>
      </c>
      <c r="H5059" t="s">
        <v>12635</v>
      </c>
      <c r="I5059" t="s">
        <v>8730</v>
      </c>
      <c r="J5059" t="s">
        <v>36052</v>
      </c>
      <c r="K5059" t="s">
        <v>42306</v>
      </c>
      <c r="M5059" t="s">
        <v>44428</v>
      </c>
      <c r="N5059" t="s">
        <v>46569</v>
      </c>
      <c r="O5059" t="s">
        <v>46570</v>
      </c>
      <c r="P5059">
        <v>0</v>
      </c>
      <c r="Q5059">
        <v>0</v>
      </c>
      <c r="R5059" t="s">
        <v>46573</v>
      </c>
      <c r="S5059" t="s">
        <v>46705</v>
      </c>
      <c r="T5059" t="s">
        <v>48254</v>
      </c>
      <c r="U5059" t="s">
        <v>52971</v>
      </c>
      <c r="W5059" t="s">
        <v>44428</v>
      </c>
      <c r="X5059" t="s">
        <v>46575</v>
      </c>
    </row>
    <row r="5060" spans="1:24">
      <c r="A5060">
        <f>HYPERLINK("https://www.philgeps.gov.ph/GEPSNONPILOT/Tender/SplashBidNoticeAbstractUI.aspx?menuIndex=3&amp;refID=7058822&amp;Result=3","7058822")</f>
        <v>0</v>
      </c>
      <c r="B5060" t="s">
        <v>689</v>
      </c>
      <c r="C5060" t="s">
        <v>8366</v>
      </c>
      <c r="D5060" t="s">
        <v>18800</v>
      </c>
      <c r="E5060" t="s">
        <v>23428</v>
      </c>
      <c r="F5060" t="s">
        <v>32664</v>
      </c>
      <c r="G5060" t="s">
        <v>32672</v>
      </c>
      <c r="H5060" t="s">
        <v>32683</v>
      </c>
      <c r="I5060" t="s">
        <v>10627</v>
      </c>
      <c r="J5060" t="s">
        <v>36053</v>
      </c>
      <c r="K5060" t="s">
        <v>42308</v>
      </c>
      <c r="M5060" t="s">
        <v>43276</v>
      </c>
      <c r="N5060" t="s">
        <v>46569</v>
      </c>
      <c r="O5060" t="s">
        <v>46570</v>
      </c>
      <c r="P5060">
        <v>0</v>
      </c>
      <c r="Q5060">
        <v>0</v>
      </c>
      <c r="R5060" t="s">
        <v>46573</v>
      </c>
      <c r="S5060" t="s">
        <v>46705</v>
      </c>
      <c r="T5060" t="s">
        <v>48257</v>
      </c>
      <c r="U5060" t="s">
        <v>52972</v>
      </c>
      <c r="V5060" t="s">
        <v>61795</v>
      </c>
      <c r="W5060" t="s">
        <v>43276</v>
      </c>
      <c r="X5060" t="s">
        <v>46575</v>
      </c>
    </row>
    <row r="5061" spans="1:24">
      <c r="A5061">
        <f>HYPERLINK("https://www.philgeps.gov.ph/GEPSNONPILOT/Tender/SplashBidNoticeAbstractUI.aspx?menuIndex=3&amp;refID=7058970&amp;Result=3","7058970")</f>
        <v>0</v>
      </c>
      <c r="B5061" t="s">
        <v>1730</v>
      </c>
      <c r="C5061" t="s">
        <v>8367</v>
      </c>
      <c r="D5061" t="s">
        <v>18813</v>
      </c>
      <c r="E5061" t="s">
        <v>23429</v>
      </c>
      <c r="F5061" t="s">
        <v>32664</v>
      </c>
      <c r="G5061" t="s">
        <v>32671</v>
      </c>
      <c r="H5061" t="s">
        <v>12635</v>
      </c>
      <c r="I5061" t="s">
        <v>32760</v>
      </c>
      <c r="J5061" t="s">
        <v>32859</v>
      </c>
      <c r="K5061" t="s">
        <v>42281</v>
      </c>
      <c r="M5061" t="s">
        <v>44429</v>
      </c>
      <c r="N5061" t="s">
        <v>46569</v>
      </c>
      <c r="O5061" t="s">
        <v>46570</v>
      </c>
      <c r="P5061">
        <v>0</v>
      </c>
      <c r="Q5061">
        <v>0</v>
      </c>
      <c r="R5061" t="s">
        <v>46573</v>
      </c>
      <c r="S5061" t="s">
        <v>46705</v>
      </c>
      <c r="T5061" t="s">
        <v>48316</v>
      </c>
      <c r="U5061" t="s">
        <v>49722</v>
      </c>
      <c r="W5061" t="s">
        <v>44429</v>
      </c>
      <c r="X5061" t="s">
        <v>46574</v>
      </c>
    </row>
    <row r="5062" spans="1:24">
      <c r="A5062">
        <f>HYPERLINK("https://www.philgeps.gov.ph/GEPSNONPILOT/Tender/SplashBidNoticeAbstractUI.aspx?menuIndex=3&amp;refID=7058971&amp;Result=3","7058971")</f>
        <v>0</v>
      </c>
      <c r="B5062" t="s">
        <v>1676</v>
      </c>
      <c r="C5062" t="s">
        <v>8368</v>
      </c>
      <c r="D5062" t="s">
        <v>18782</v>
      </c>
      <c r="E5062" t="s">
        <v>23430</v>
      </c>
      <c r="F5062" t="s">
        <v>32664</v>
      </c>
      <c r="G5062" t="s">
        <v>32671</v>
      </c>
      <c r="H5062" t="s">
        <v>32681</v>
      </c>
      <c r="I5062" t="s">
        <v>32681</v>
      </c>
      <c r="J5062" t="s">
        <v>34041</v>
      </c>
      <c r="K5062" t="s">
        <v>42347</v>
      </c>
      <c r="M5062" t="s">
        <v>44365</v>
      </c>
      <c r="N5062" t="s">
        <v>46569</v>
      </c>
      <c r="O5062" t="s">
        <v>46570</v>
      </c>
      <c r="P5062">
        <v>0</v>
      </c>
      <c r="Q5062">
        <v>2</v>
      </c>
      <c r="R5062" t="s">
        <v>46573</v>
      </c>
      <c r="S5062" t="s">
        <v>46705</v>
      </c>
      <c r="T5062" t="s">
        <v>48287</v>
      </c>
      <c r="U5062" t="s">
        <v>52973</v>
      </c>
      <c r="W5062" t="s">
        <v>44365</v>
      </c>
      <c r="X5062" t="s">
        <v>46574</v>
      </c>
    </row>
    <row r="5063" spans="1:24">
      <c r="A5063">
        <f>HYPERLINK("https://www.philgeps.gov.ph/GEPSNONPILOT/Tender/SplashBidNoticeAbstractUI.aspx?menuIndex=3&amp;refID=7058969&amp;Result=3","7058969")</f>
        <v>0</v>
      </c>
      <c r="B5063" t="s">
        <v>1731</v>
      </c>
      <c r="C5063" t="s">
        <v>8369</v>
      </c>
      <c r="D5063" t="s">
        <v>18803</v>
      </c>
      <c r="E5063" t="s">
        <v>23431</v>
      </c>
      <c r="F5063" t="s">
        <v>32664</v>
      </c>
      <c r="G5063" t="s">
        <v>32672</v>
      </c>
      <c r="H5063" t="s">
        <v>12635</v>
      </c>
      <c r="I5063" t="s">
        <v>14442</v>
      </c>
      <c r="J5063" t="s">
        <v>34882</v>
      </c>
      <c r="K5063" t="s">
        <v>42289</v>
      </c>
      <c r="M5063" t="s">
        <v>44430</v>
      </c>
      <c r="N5063" t="s">
        <v>46569</v>
      </c>
      <c r="O5063" t="s">
        <v>46570</v>
      </c>
      <c r="P5063">
        <v>0</v>
      </c>
      <c r="Q5063">
        <v>9</v>
      </c>
      <c r="R5063" t="s">
        <v>46573</v>
      </c>
      <c r="S5063" t="s">
        <v>46705</v>
      </c>
      <c r="T5063" t="s">
        <v>48308</v>
      </c>
      <c r="U5063" t="s">
        <v>52974</v>
      </c>
      <c r="W5063" t="s">
        <v>44430</v>
      </c>
      <c r="X5063" t="s">
        <v>46574</v>
      </c>
    </row>
    <row r="5064" spans="1:24">
      <c r="A5064">
        <f>HYPERLINK("https://www.philgeps.gov.ph/GEPSNONPILOT/Tender/SplashBidNoticeAbstractUI.aspx?menuIndex=3&amp;refID=7058787&amp;Result=3","7058787")</f>
        <v>0</v>
      </c>
      <c r="B5064" t="s">
        <v>689</v>
      </c>
      <c r="C5064" t="s">
        <v>8370</v>
      </c>
      <c r="D5064" t="s">
        <v>18800</v>
      </c>
      <c r="E5064" t="s">
        <v>23432</v>
      </c>
      <c r="F5064" t="s">
        <v>32664</v>
      </c>
      <c r="G5064" t="s">
        <v>32672</v>
      </c>
      <c r="H5064" t="s">
        <v>32683</v>
      </c>
      <c r="I5064" t="s">
        <v>10627</v>
      </c>
      <c r="J5064" t="s">
        <v>36054</v>
      </c>
      <c r="K5064" t="s">
        <v>42439</v>
      </c>
      <c r="M5064" t="s">
        <v>43276</v>
      </c>
      <c r="N5064" t="s">
        <v>46569</v>
      </c>
      <c r="O5064" t="s">
        <v>46570</v>
      </c>
      <c r="P5064">
        <v>0</v>
      </c>
      <c r="Q5064">
        <v>0</v>
      </c>
      <c r="R5064" t="s">
        <v>46573</v>
      </c>
      <c r="S5064" t="s">
        <v>46705</v>
      </c>
      <c r="T5064" t="s">
        <v>48257</v>
      </c>
      <c r="U5064" t="s">
        <v>52975</v>
      </c>
      <c r="V5064" t="s">
        <v>61795</v>
      </c>
      <c r="W5064" t="s">
        <v>43276</v>
      </c>
      <c r="X5064" t="s">
        <v>46575</v>
      </c>
    </row>
    <row r="5065" spans="1:24">
      <c r="A5065">
        <f>HYPERLINK("https://www.philgeps.gov.ph/GEPSNONPILOT/Tender/SplashBidNoticeAbstractUI.aspx?menuIndex=3&amp;refID=7058973&amp;Result=3","7058973")</f>
        <v>0</v>
      </c>
      <c r="B5065" t="s">
        <v>1732</v>
      </c>
      <c r="C5065" t="s">
        <v>8371</v>
      </c>
      <c r="D5065" t="s">
        <v>18784</v>
      </c>
      <c r="E5065" t="s">
        <v>23433</v>
      </c>
      <c r="F5065" t="s">
        <v>32664</v>
      </c>
      <c r="G5065" t="s">
        <v>32671</v>
      </c>
      <c r="H5065" t="s">
        <v>12635</v>
      </c>
      <c r="I5065" t="s">
        <v>6168</v>
      </c>
      <c r="J5065" t="s">
        <v>35466</v>
      </c>
      <c r="K5065" t="s">
        <v>42297</v>
      </c>
      <c r="M5065" t="s">
        <v>44431</v>
      </c>
      <c r="N5065" t="s">
        <v>46569</v>
      </c>
      <c r="O5065" t="s">
        <v>46570</v>
      </c>
      <c r="P5065">
        <v>0</v>
      </c>
      <c r="Q5065">
        <v>2</v>
      </c>
      <c r="R5065" t="s">
        <v>46573</v>
      </c>
      <c r="S5065" t="s">
        <v>46705</v>
      </c>
      <c r="T5065" t="s">
        <v>48228</v>
      </c>
      <c r="U5065" t="s">
        <v>52976</v>
      </c>
      <c r="W5065" t="s">
        <v>44431</v>
      </c>
      <c r="X5065" t="s">
        <v>46574</v>
      </c>
    </row>
    <row r="5066" spans="1:24">
      <c r="A5066">
        <f>HYPERLINK("https://www.philgeps.gov.ph/GEPSNONPILOT/Tender/SplashBidNoticeAbstractUI.aspx?menuIndex=3&amp;refID=7058966&amp;Result=3","7058966")</f>
        <v>0</v>
      </c>
      <c r="B5066" t="s">
        <v>1210</v>
      </c>
      <c r="C5066" t="s">
        <v>8372</v>
      </c>
      <c r="D5066" t="s">
        <v>18788</v>
      </c>
      <c r="E5066" t="s">
        <v>23434</v>
      </c>
      <c r="F5066" t="s">
        <v>32664</v>
      </c>
      <c r="G5066" t="s">
        <v>32671</v>
      </c>
      <c r="H5066" t="s">
        <v>12635</v>
      </c>
      <c r="I5066" t="s">
        <v>32706</v>
      </c>
      <c r="J5066" t="s">
        <v>36055</v>
      </c>
      <c r="K5066" t="s">
        <v>42283</v>
      </c>
      <c r="M5066" t="s">
        <v>43848</v>
      </c>
      <c r="N5066" t="s">
        <v>46569</v>
      </c>
      <c r="O5066" t="s">
        <v>46570</v>
      </c>
      <c r="P5066">
        <v>0</v>
      </c>
      <c r="Q5066">
        <v>1</v>
      </c>
      <c r="R5066" t="s">
        <v>46573</v>
      </c>
      <c r="S5066" t="s">
        <v>46705</v>
      </c>
      <c r="T5066" t="s">
        <v>48307</v>
      </c>
      <c r="U5066" t="s">
        <v>51362</v>
      </c>
      <c r="W5066" t="s">
        <v>43848</v>
      </c>
      <c r="X5066" t="s">
        <v>46574</v>
      </c>
    </row>
    <row r="5067" spans="1:24">
      <c r="A5067">
        <f>HYPERLINK("https://www.philgeps.gov.ph/GEPSNONPILOT/Tender/SplashBidNoticeAbstractUI.aspx?menuIndex=3&amp;refID=7058733&amp;Result=3","7058733")</f>
        <v>0</v>
      </c>
      <c r="B5067" t="s">
        <v>1733</v>
      </c>
      <c r="C5067" t="s">
        <v>8373</v>
      </c>
      <c r="E5067" t="s">
        <v>23435</v>
      </c>
      <c r="F5067" t="s">
        <v>32664</v>
      </c>
      <c r="G5067" t="s">
        <v>32671</v>
      </c>
      <c r="H5067" t="s">
        <v>12635</v>
      </c>
      <c r="I5067" t="s">
        <v>32685</v>
      </c>
      <c r="J5067" t="s">
        <v>34408</v>
      </c>
      <c r="K5067" t="s">
        <v>42289</v>
      </c>
      <c r="M5067" t="s">
        <v>44432</v>
      </c>
      <c r="N5067" t="s">
        <v>46569</v>
      </c>
      <c r="O5067" t="s">
        <v>46570</v>
      </c>
      <c r="P5067">
        <v>0</v>
      </c>
      <c r="Q5067">
        <v>0</v>
      </c>
      <c r="R5067" t="s">
        <v>46573</v>
      </c>
      <c r="S5067" t="s">
        <v>46705</v>
      </c>
      <c r="T5067" t="s">
        <v>48307</v>
      </c>
      <c r="U5067" t="s">
        <v>52977</v>
      </c>
      <c r="W5067" t="s">
        <v>44432</v>
      </c>
      <c r="X5067" t="s">
        <v>46575</v>
      </c>
    </row>
    <row r="5068" spans="1:24">
      <c r="A5068">
        <f>HYPERLINK("https://www.philgeps.gov.ph/GEPSNONPILOT/Tender/SplashBidNoticeAbstractUI.aspx?menuIndex=3&amp;refID=7058967&amp;Result=3","7058967")</f>
        <v>0</v>
      </c>
      <c r="B5068" t="s">
        <v>101</v>
      </c>
      <c r="C5068" t="s">
        <v>8374</v>
      </c>
      <c r="D5068" t="s">
        <v>18784</v>
      </c>
      <c r="E5068" t="s">
        <v>23436</v>
      </c>
      <c r="F5068" t="s">
        <v>32664</v>
      </c>
      <c r="G5068" t="s">
        <v>32671</v>
      </c>
      <c r="H5068" t="s">
        <v>12635</v>
      </c>
      <c r="I5068" t="s">
        <v>32689</v>
      </c>
      <c r="J5068" t="s">
        <v>36056</v>
      </c>
      <c r="K5068" t="s">
        <v>42281</v>
      </c>
      <c r="M5068" t="s">
        <v>43719</v>
      </c>
      <c r="N5068" t="s">
        <v>46569</v>
      </c>
      <c r="O5068" t="s">
        <v>46570</v>
      </c>
      <c r="P5068">
        <v>0</v>
      </c>
      <c r="Q5068">
        <v>8</v>
      </c>
      <c r="R5068" t="s">
        <v>46573</v>
      </c>
      <c r="S5068" t="s">
        <v>46705</v>
      </c>
      <c r="T5068" t="s">
        <v>48251</v>
      </c>
      <c r="U5068" t="s">
        <v>52978</v>
      </c>
      <c r="W5068" t="s">
        <v>43719</v>
      </c>
      <c r="X5068" t="s">
        <v>46574</v>
      </c>
    </row>
    <row r="5069" spans="1:24">
      <c r="A5069">
        <f>HYPERLINK("https://www.philgeps.gov.ph/GEPSNONPILOT/Tender/SplashBidNoticeAbstractUI.aspx?menuIndex=3&amp;refID=7058961&amp;Result=3","7058961")</f>
        <v>0</v>
      </c>
      <c r="B5069" t="s">
        <v>1734</v>
      </c>
      <c r="C5069" t="s">
        <v>8375</v>
      </c>
      <c r="D5069" t="s">
        <v>18789</v>
      </c>
      <c r="E5069" t="s">
        <v>23437</v>
      </c>
      <c r="F5069" t="s">
        <v>32664</v>
      </c>
      <c r="G5069" t="s">
        <v>32671</v>
      </c>
      <c r="H5069" t="s">
        <v>12635</v>
      </c>
      <c r="I5069" t="s">
        <v>32721</v>
      </c>
      <c r="J5069" t="s">
        <v>33831</v>
      </c>
      <c r="K5069" t="s">
        <v>42289</v>
      </c>
      <c r="M5069" t="s">
        <v>44433</v>
      </c>
      <c r="N5069" t="s">
        <v>46569</v>
      </c>
      <c r="O5069" t="s">
        <v>46570</v>
      </c>
      <c r="P5069">
        <v>0</v>
      </c>
      <c r="Q5069">
        <v>1</v>
      </c>
      <c r="R5069" t="s">
        <v>46573</v>
      </c>
      <c r="S5069" t="s">
        <v>46705</v>
      </c>
      <c r="T5069" t="s">
        <v>48280</v>
      </c>
      <c r="U5069" t="s">
        <v>52979</v>
      </c>
      <c r="W5069" t="s">
        <v>44433</v>
      </c>
      <c r="X5069" t="s">
        <v>46574</v>
      </c>
    </row>
    <row r="5070" spans="1:24">
      <c r="A5070">
        <f>HYPERLINK("https://www.philgeps.gov.ph/GEPSNONPILOT/Tender/SplashBidNoticeAbstractUI.aspx?menuIndex=3&amp;refID=7057234&amp;Result=3","7057234")</f>
        <v>0</v>
      </c>
      <c r="B5070" t="s">
        <v>1143</v>
      </c>
      <c r="C5070" t="s">
        <v>8306</v>
      </c>
      <c r="D5070" t="s">
        <v>18831</v>
      </c>
      <c r="E5070" t="s">
        <v>23438</v>
      </c>
      <c r="F5070" t="s">
        <v>32664</v>
      </c>
      <c r="G5070" t="s">
        <v>32672</v>
      </c>
      <c r="H5070" t="s">
        <v>12635</v>
      </c>
      <c r="I5070" t="s">
        <v>4439</v>
      </c>
      <c r="J5070" t="s">
        <v>36057</v>
      </c>
      <c r="K5070" t="s">
        <v>42284</v>
      </c>
      <c r="M5070" t="s">
        <v>43774</v>
      </c>
      <c r="N5070" t="s">
        <v>46569</v>
      </c>
      <c r="O5070" t="s">
        <v>46570</v>
      </c>
      <c r="P5070">
        <v>0</v>
      </c>
      <c r="Q5070">
        <v>3</v>
      </c>
      <c r="R5070" t="s">
        <v>46573</v>
      </c>
      <c r="S5070" t="s">
        <v>46705</v>
      </c>
      <c r="T5070" t="s">
        <v>48216</v>
      </c>
      <c r="U5070" t="s">
        <v>52980</v>
      </c>
      <c r="W5070" t="s">
        <v>43774</v>
      </c>
      <c r="X5070" t="s">
        <v>46577</v>
      </c>
    </row>
    <row r="5071" spans="1:24">
      <c r="A5071">
        <f>HYPERLINK("https://www.philgeps.gov.ph/GEPSNONPILOT/Tender/SplashBidNoticeAbstractUI.aspx?menuIndex=3&amp;refID=7058960&amp;Result=3","7058960")</f>
        <v>0</v>
      </c>
      <c r="B5071" t="s">
        <v>1735</v>
      </c>
      <c r="C5071" t="s">
        <v>8376</v>
      </c>
      <c r="E5071" t="s">
        <v>23439</v>
      </c>
      <c r="F5071" t="s">
        <v>32664</v>
      </c>
      <c r="G5071" t="s">
        <v>32672</v>
      </c>
      <c r="H5071" t="s">
        <v>12635</v>
      </c>
      <c r="I5071" t="s">
        <v>4333</v>
      </c>
      <c r="J5071" t="s">
        <v>36058</v>
      </c>
      <c r="K5071" t="s">
        <v>42283</v>
      </c>
      <c r="M5071" t="s">
        <v>44434</v>
      </c>
      <c r="N5071" t="s">
        <v>46569</v>
      </c>
      <c r="O5071" t="s">
        <v>46570</v>
      </c>
      <c r="P5071">
        <v>0</v>
      </c>
      <c r="Q5071">
        <v>1</v>
      </c>
      <c r="R5071" t="s">
        <v>46573</v>
      </c>
      <c r="S5071" t="s">
        <v>46705</v>
      </c>
      <c r="T5071" t="s">
        <v>48283</v>
      </c>
      <c r="U5071" t="s">
        <v>52981</v>
      </c>
      <c r="W5071" t="s">
        <v>44434</v>
      </c>
      <c r="X5071" t="s">
        <v>46574</v>
      </c>
    </row>
    <row r="5072" spans="1:24">
      <c r="A5072">
        <f>HYPERLINK("https://www.philgeps.gov.ph/GEPSNONPILOT/Tender/SplashBidNoticeAbstractUI.aspx?menuIndex=3&amp;refID=7058958&amp;Result=3","7058958")</f>
        <v>0</v>
      </c>
      <c r="B5072" t="s">
        <v>1736</v>
      </c>
      <c r="C5072" t="s">
        <v>8377</v>
      </c>
      <c r="D5072" t="s">
        <v>18809</v>
      </c>
      <c r="E5072" t="s">
        <v>23440</v>
      </c>
      <c r="F5072" t="s">
        <v>32664</v>
      </c>
      <c r="G5072" t="s">
        <v>32671</v>
      </c>
      <c r="H5072" t="s">
        <v>12635</v>
      </c>
      <c r="I5072" t="s">
        <v>32692</v>
      </c>
      <c r="J5072" t="s">
        <v>36059</v>
      </c>
      <c r="K5072" t="s">
        <v>42309</v>
      </c>
      <c r="M5072" t="s">
        <v>44435</v>
      </c>
      <c r="N5072" t="s">
        <v>46569</v>
      </c>
      <c r="O5072" t="s">
        <v>46570</v>
      </c>
      <c r="P5072">
        <v>0</v>
      </c>
      <c r="Q5072">
        <v>1</v>
      </c>
      <c r="R5072" t="s">
        <v>46573</v>
      </c>
      <c r="S5072" t="s">
        <v>46705</v>
      </c>
      <c r="T5072" t="s">
        <v>48254</v>
      </c>
      <c r="U5072" t="s">
        <v>52982</v>
      </c>
      <c r="V5072" t="s">
        <v>62148</v>
      </c>
      <c r="W5072" t="s">
        <v>44435</v>
      </c>
      <c r="X5072" t="s">
        <v>46574</v>
      </c>
    </row>
    <row r="5073" spans="1:24">
      <c r="A5073">
        <f>HYPERLINK("https://www.philgeps.gov.ph/GEPSNONPILOT/Tender/SplashBidNoticeAbstractUI.aspx?menuIndex=3&amp;refID=7058956&amp;Result=3","7058956")</f>
        <v>0</v>
      </c>
      <c r="B5073" t="s">
        <v>1737</v>
      </c>
      <c r="C5073" t="s">
        <v>8378</v>
      </c>
      <c r="D5073" t="s">
        <v>18827</v>
      </c>
      <c r="E5073" t="s">
        <v>23441</v>
      </c>
      <c r="F5073" t="s">
        <v>32664</v>
      </c>
      <c r="G5073" t="s">
        <v>32672</v>
      </c>
      <c r="H5073" t="s">
        <v>32683</v>
      </c>
      <c r="I5073" t="s">
        <v>10627</v>
      </c>
      <c r="J5073" t="s">
        <v>36060</v>
      </c>
      <c r="K5073" t="s">
        <v>42316</v>
      </c>
      <c r="M5073" t="s">
        <v>44436</v>
      </c>
      <c r="N5073" t="s">
        <v>46569</v>
      </c>
      <c r="O5073" t="s">
        <v>46570</v>
      </c>
      <c r="P5073">
        <v>0</v>
      </c>
      <c r="Q5073">
        <v>1</v>
      </c>
      <c r="R5073" t="s">
        <v>46573</v>
      </c>
      <c r="S5073" t="s">
        <v>46705</v>
      </c>
      <c r="T5073" t="s">
        <v>48258</v>
      </c>
      <c r="U5073" t="s">
        <v>52983</v>
      </c>
      <c r="W5073" t="s">
        <v>44436</v>
      </c>
      <c r="X5073" t="s">
        <v>46574</v>
      </c>
    </row>
    <row r="5074" spans="1:24">
      <c r="A5074">
        <f>HYPERLINK("https://www.philgeps.gov.ph/GEPSNONPILOT/Tender/SplashBidNoticeAbstractUI.aspx?menuIndex=3&amp;refID=7058954&amp;Result=3","7058954")</f>
        <v>0</v>
      </c>
      <c r="B5074" t="s">
        <v>1738</v>
      </c>
      <c r="C5074" t="s">
        <v>8379</v>
      </c>
      <c r="D5074" t="s">
        <v>18785</v>
      </c>
      <c r="E5074" t="s">
        <v>19601</v>
      </c>
      <c r="F5074" t="s">
        <v>32664</v>
      </c>
      <c r="G5074" t="s">
        <v>32671</v>
      </c>
      <c r="H5074" t="s">
        <v>12635</v>
      </c>
      <c r="I5074" t="s">
        <v>32738</v>
      </c>
      <c r="J5074" t="s">
        <v>33069</v>
      </c>
      <c r="K5074" t="s">
        <v>42285</v>
      </c>
      <c r="L5074" t="s">
        <v>1738</v>
      </c>
      <c r="M5074" t="s">
        <v>44437</v>
      </c>
      <c r="N5074" t="s">
        <v>46569</v>
      </c>
      <c r="O5074" t="s">
        <v>46570</v>
      </c>
      <c r="P5074">
        <v>0</v>
      </c>
      <c r="Q5074">
        <v>1</v>
      </c>
      <c r="R5074" t="s">
        <v>46573</v>
      </c>
      <c r="S5074" t="s">
        <v>46705</v>
      </c>
      <c r="T5074" t="s">
        <v>48256</v>
      </c>
      <c r="U5074" t="s">
        <v>52984</v>
      </c>
      <c r="W5074" t="s">
        <v>44437</v>
      </c>
      <c r="X5074" t="s">
        <v>46574</v>
      </c>
    </row>
    <row r="5075" spans="1:24">
      <c r="A5075">
        <f>HYPERLINK("https://www.philgeps.gov.ph/GEPSNONPILOT/Tender/SplashBidNoticeAbstractUI.aspx?menuIndex=3&amp;refID=7058965&amp;Result=3","7058965")</f>
        <v>0</v>
      </c>
      <c r="B5075" t="s">
        <v>1739</v>
      </c>
      <c r="C5075" t="s">
        <v>8380</v>
      </c>
      <c r="D5075" t="s">
        <v>18809</v>
      </c>
      <c r="E5075" t="s">
        <v>19327</v>
      </c>
      <c r="F5075" t="s">
        <v>32664</v>
      </c>
      <c r="G5075" t="s">
        <v>32672</v>
      </c>
      <c r="H5075" t="s">
        <v>12635</v>
      </c>
      <c r="I5075" t="s">
        <v>6223</v>
      </c>
      <c r="J5075" t="s">
        <v>36061</v>
      </c>
      <c r="K5075" t="s">
        <v>42284</v>
      </c>
      <c r="M5075" t="s">
        <v>44438</v>
      </c>
      <c r="N5075" t="s">
        <v>46569</v>
      </c>
      <c r="O5075" t="s">
        <v>46570</v>
      </c>
      <c r="P5075">
        <v>0</v>
      </c>
      <c r="Q5075">
        <v>0</v>
      </c>
      <c r="R5075" t="s">
        <v>46573</v>
      </c>
      <c r="S5075" t="s">
        <v>46705</v>
      </c>
      <c r="T5075" t="s">
        <v>48410</v>
      </c>
      <c r="U5075" t="s">
        <v>52985</v>
      </c>
      <c r="W5075" t="s">
        <v>44438</v>
      </c>
      <c r="X5075" t="s">
        <v>46574</v>
      </c>
    </row>
    <row r="5076" spans="1:24">
      <c r="A5076">
        <f>HYPERLINK("https://www.philgeps.gov.ph/GEPSNONPILOT/Tender/SplashBidNoticeAbstractUI.aspx?menuIndex=3&amp;refID=7058151&amp;Result=3","7058151")</f>
        <v>0</v>
      </c>
      <c r="B5076" t="s">
        <v>518</v>
      </c>
      <c r="C5076" t="s">
        <v>8381</v>
      </c>
      <c r="D5076" t="s">
        <v>18814</v>
      </c>
      <c r="E5076" t="s">
        <v>23442</v>
      </c>
      <c r="F5076" t="s">
        <v>32664</v>
      </c>
      <c r="G5076" t="s">
        <v>32672</v>
      </c>
      <c r="H5076" t="s">
        <v>32683</v>
      </c>
      <c r="I5076" t="s">
        <v>32716</v>
      </c>
      <c r="J5076" t="s">
        <v>36062</v>
      </c>
      <c r="K5076" t="s">
        <v>42285</v>
      </c>
      <c r="M5076" t="s">
        <v>44421</v>
      </c>
      <c r="N5076" t="s">
        <v>46569</v>
      </c>
      <c r="O5076" t="s">
        <v>46570</v>
      </c>
      <c r="P5076">
        <v>0</v>
      </c>
      <c r="Q5076">
        <v>4</v>
      </c>
      <c r="R5076" t="s">
        <v>46573</v>
      </c>
      <c r="S5076" t="s">
        <v>46705</v>
      </c>
      <c r="T5076" t="s">
        <v>48216</v>
      </c>
      <c r="U5076" t="s">
        <v>52946</v>
      </c>
      <c r="W5076" t="s">
        <v>44421</v>
      </c>
      <c r="X5076" t="s">
        <v>46576</v>
      </c>
    </row>
    <row r="5077" spans="1:24">
      <c r="A5077">
        <f>HYPERLINK("https://www.philgeps.gov.ph/GEPSNONPILOT/Tender/SplashBidNoticeAbstractUI.aspx?menuIndex=3&amp;refID=7058957&amp;Result=3","7058957")</f>
        <v>0</v>
      </c>
      <c r="B5077" t="s">
        <v>1740</v>
      </c>
      <c r="C5077" t="s">
        <v>8382</v>
      </c>
      <c r="D5077" t="s">
        <v>18799</v>
      </c>
      <c r="E5077" t="s">
        <v>19615</v>
      </c>
      <c r="F5077" t="s">
        <v>32664</v>
      </c>
      <c r="G5077" t="s">
        <v>32674</v>
      </c>
      <c r="H5077" t="s">
        <v>12635</v>
      </c>
      <c r="I5077" t="s">
        <v>32692</v>
      </c>
      <c r="J5077" t="s">
        <v>36063</v>
      </c>
      <c r="K5077" t="s">
        <v>42309</v>
      </c>
      <c r="M5077" t="s">
        <v>44439</v>
      </c>
      <c r="N5077" t="s">
        <v>46569</v>
      </c>
      <c r="O5077" t="s">
        <v>46570</v>
      </c>
      <c r="P5077">
        <v>0</v>
      </c>
      <c r="Q5077">
        <v>0</v>
      </c>
      <c r="R5077" t="s">
        <v>46573</v>
      </c>
      <c r="S5077" t="s">
        <v>46705</v>
      </c>
      <c r="T5077" t="s">
        <v>48280</v>
      </c>
      <c r="U5077" t="s">
        <v>49565</v>
      </c>
      <c r="W5077" t="s">
        <v>44439</v>
      </c>
      <c r="X5077" t="s">
        <v>46574</v>
      </c>
    </row>
    <row r="5078" spans="1:24">
      <c r="A5078">
        <f>HYPERLINK("https://www.philgeps.gov.ph/GEPSNONPILOT/Tender/SplashBidNoticeAbstractUI.aspx?menuIndex=3&amp;refID=7058955&amp;Result=3","7058955")</f>
        <v>0</v>
      </c>
      <c r="B5078" t="s">
        <v>1741</v>
      </c>
      <c r="C5078" t="s">
        <v>8383</v>
      </c>
      <c r="E5078" t="s">
        <v>21888</v>
      </c>
      <c r="F5078" t="s">
        <v>32664</v>
      </c>
      <c r="G5078" t="s">
        <v>32674</v>
      </c>
      <c r="H5078" t="s">
        <v>12635</v>
      </c>
      <c r="I5078" t="s">
        <v>8730</v>
      </c>
      <c r="J5078" t="s">
        <v>36064</v>
      </c>
      <c r="K5078" t="s">
        <v>42309</v>
      </c>
      <c r="M5078" t="s">
        <v>44440</v>
      </c>
      <c r="N5078" t="s">
        <v>46569</v>
      </c>
      <c r="O5078" t="s">
        <v>46570</v>
      </c>
      <c r="P5078">
        <v>0</v>
      </c>
      <c r="Q5078">
        <v>2</v>
      </c>
      <c r="R5078" t="s">
        <v>46573</v>
      </c>
      <c r="S5078" t="s">
        <v>46705</v>
      </c>
      <c r="T5078" t="s">
        <v>48219</v>
      </c>
      <c r="U5078" t="s">
        <v>52151</v>
      </c>
      <c r="W5078" t="s">
        <v>44440</v>
      </c>
      <c r="X5078" t="s">
        <v>46574</v>
      </c>
    </row>
    <row r="5079" spans="1:24">
      <c r="A5079">
        <f>HYPERLINK("https://www.philgeps.gov.ph/GEPSNONPILOT/Tender/SplashBidNoticeAbstractUI.aspx?menuIndex=3&amp;refID=7057557&amp;Result=3","7057557")</f>
        <v>0</v>
      </c>
      <c r="B5079" t="s">
        <v>1009</v>
      </c>
      <c r="C5079" t="s">
        <v>8384</v>
      </c>
      <c r="D5079" t="s">
        <v>18783</v>
      </c>
      <c r="E5079" t="s">
        <v>23443</v>
      </c>
      <c r="F5079" t="s">
        <v>32664</v>
      </c>
      <c r="G5079" t="s">
        <v>32672</v>
      </c>
      <c r="H5079" t="s">
        <v>32683</v>
      </c>
      <c r="I5079" t="s">
        <v>10627</v>
      </c>
      <c r="J5079" t="s">
        <v>36065</v>
      </c>
      <c r="K5079" t="s">
        <v>42290</v>
      </c>
      <c r="M5079" t="s">
        <v>44413</v>
      </c>
      <c r="N5079" t="s">
        <v>46569</v>
      </c>
      <c r="O5079" t="s">
        <v>46570</v>
      </c>
      <c r="P5079">
        <v>0</v>
      </c>
      <c r="Q5079">
        <v>2</v>
      </c>
      <c r="R5079" t="s">
        <v>46573</v>
      </c>
      <c r="S5079" t="s">
        <v>46705</v>
      </c>
      <c r="T5079" t="s">
        <v>48257</v>
      </c>
      <c r="U5079" t="s">
        <v>52986</v>
      </c>
      <c r="W5079" t="s">
        <v>44413</v>
      </c>
      <c r="X5079" t="s">
        <v>46577</v>
      </c>
    </row>
    <row r="5080" spans="1:24">
      <c r="A5080">
        <f>HYPERLINK("https://www.philgeps.gov.ph/GEPSNONPILOT/Tender/SplashBidNoticeAbstractUI.aspx?menuIndex=3&amp;refID=7058974&amp;Result=3","7058974")</f>
        <v>0</v>
      </c>
      <c r="B5080" t="s">
        <v>1738</v>
      </c>
      <c r="C5080" t="s">
        <v>8385</v>
      </c>
      <c r="D5080" t="s">
        <v>18785</v>
      </c>
      <c r="E5080" t="s">
        <v>23444</v>
      </c>
      <c r="F5080" t="s">
        <v>32664</v>
      </c>
      <c r="G5080" t="s">
        <v>32671</v>
      </c>
      <c r="H5080" t="s">
        <v>32682</v>
      </c>
      <c r="I5080" t="s">
        <v>5460</v>
      </c>
      <c r="J5080" t="s">
        <v>32898</v>
      </c>
      <c r="K5080" t="s">
        <v>42285</v>
      </c>
      <c r="L5080" t="s">
        <v>1738</v>
      </c>
      <c r="M5080" t="s">
        <v>44437</v>
      </c>
      <c r="N5080" t="s">
        <v>46569</v>
      </c>
      <c r="O5080" t="s">
        <v>46570</v>
      </c>
      <c r="P5080">
        <v>0</v>
      </c>
      <c r="Q5080">
        <v>1</v>
      </c>
      <c r="R5080" t="s">
        <v>46573</v>
      </c>
      <c r="S5080" t="s">
        <v>46705</v>
      </c>
      <c r="T5080" t="s">
        <v>48256</v>
      </c>
      <c r="U5080" t="s">
        <v>52987</v>
      </c>
      <c r="W5080" t="s">
        <v>44437</v>
      </c>
      <c r="X5080" t="s">
        <v>46574</v>
      </c>
    </row>
    <row r="5081" spans="1:24">
      <c r="A5081">
        <f>HYPERLINK("https://www.philgeps.gov.ph/GEPSNONPILOT/Tender/SplashBidNoticeAbstractUI.aspx?menuIndex=3&amp;refID=7058732&amp;Result=3","7058732")</f>
        <v>0</v>
      </c>
      <c r="B5081" t="s">
        <v>1742</v>
      </c>
      <c r="C5081" t="s">
        <v>8386</v>
      </c>
      <c r="D5081" t="s">
        <v>18782</v>
      </c>
      <c r="E5081" t="s">
        <v>23445</v>
      </c>
      <c r="F5081" t="s">
        <v>32664</v>
      </c>
      <c r="G5081" t="s">
        <v>32672</v>
      </c>
      <c r="H5081" t="s">
        <v>12635</v>
      </c>
      <c r="I5081" t="s">
        <v>4439</v>
      </c>
      <c r="J5081" t="s">
        <v>36066</v>
      </c>
      <c r="K5081" t="s">
        <v>42289</v>
      </c>
      <c r="M5081" t="s">
        <v>44441</v>
      </c>
      <c r="N5081" t="s">
        <v>46569</v>
      </c>
      <c r="O5081" t="s">
        <v>46570</v>
      </c>
      <c r="P5081">
        <v>0</v>
      </c>
      <c r="Q5081">
        <v>0</v>
      </c>
      <c r="R5081" t="s">
        <v>46573</v>
      </c>
      <c r="S5081" t="s">
        <v>46705</v>
      </c>
      <c r="T5081" t="s">
        <v>48479</v>
      </c>
      <c r="U5081" t="s">
        <v>52988</v>
      </c>
      <c r="V5081" t="s">
        <v>62149</v>
      </c>
      <c r="W5081" t="s">
        <v>44441</v>
      </c>
      <c r="X5081" t="s">
        <v>46575</v>
      </c>
    </row>
    <row r="5082" spans="1:24">
      <c r="A5082">
        <f>HYPERLINK("https://www.philgeps.gov.ph/GEPSNONPILOT/Tender/SplashBidNoticeAbstractUI.aspx?menuIndex=3&amp;refID=7059001&amp;Result=3","7059001")</f>
        <v>0</v>
      </c>
      <c r="B5082" t="s">
        <v>1732</v>
      </c>
      <c r="C5082" t="s">
        <v>8387</v>
      </c>
      <c r="D5082" t="s">
        <v>18784</v>
      </c>
      <c r="E5082" t="s">
        <v>23433</v>
      </c>
      <c r="F5082" t="s">
        <v>32664</v>
      </c>
      <c r="G5082" t="s">
        <v>32671</v>
      </c>
      <c r="H5082" t="s">
        <v>12635</v>
      </c>
      <c r="I5082" t="s">
        <v>7759</v>
      </c>
      <c r="J5082" t="s">
        <v>36067</v>
      </c>
      <c r="K5082" t="s">
        <v>42297</v>
      </c>
      <c r="M5082" t="s">
        <v>44431</v>
      </c>
      <c r="N5082" t="s">
        <v>46569</v>
      </c>
      <c r="O5082" t="s">
        <v>46570</v>
      </c>
      <c r="P5082">
        <v>0</v>
      </c>
      <c r="Q5082">
        <v>0</v>
      </c>
      <c r="R5082" t="s">
        <v>46573</v>
      </c>
      <c r="S5082" t="s">
        <v>46705</v>
      </c>
      <c r="T5082" t="s">
        <v>48228</v>
      </c>
      <c r="U5082" t="s">
        <v>52989</v>
      </c>
      <c r="W5082" t="s">
        <v>44431</v>
      </c>
      <c r="X5082" t="s">
        <v>46574</v>
      </c>
    </row>
    <row r="5083" spans="1:24">
      <c r="A5083">
        <f>HYPERLINK("https://www.philgeps.gov.ph/GEPSNONPILOT/Tender/SplashBidNoticeAbstractUI.aspx?menuIndex=3&amp;refID=7058979&amp;Result=3","7058979")</f>
        <v>0</v>
      </c>
      <c r="B5083" t="s">
        <v>1743</v>
      </c>
      <c r="C5083" t="s">
        <v>8388</v>
      </c>
      <c r="D5083" t="s">
        <v>18826</v>
      </c>
      <c r="E5083" t="s">
        <v>23446</v>
      </c>
      <c r="F5083" t="s">
        <v>32664</v>
      </c>
      <c r="G5083" t="s">
        <v>32672</v>
      </c>
      <c r="H5083" t="s">
        <v>32683</v>
      </c>
      <c r="I5083" t="s">
        <v>10627</v>
      </c>
      <c r="J5083" t="s">
        <v>36068</v>
      </c>
      <c r="K5083" t="s">
        <v>42290</v>
      </c>
      <c r="M5083" t="s">
        <v>44442</v>
      </c>
      <c r="N5083" t="s">
        <v>46569</v>
      </c>
      <c r="O5083" t="s">
        <v>46570</v>
      </c>
      <c r="P5083">
        <v>0</v>
      </c>
      <c r="Q5083">
        <v>7</v>
      </c>
      <c r="R5083" t="s">
        <v>46573</v>
      </c>
      <c r="S5083" t="s">
        <v>46705</v>
      </c>
      <c r="T5083" t="s">
        <v>48533</v>
      </c>
      <c r="U5083" t="s">
        <v>52990</v>
      </c>
      <c r="W5083" t="s">
        <v>44442</v>
      </c>
      <c r="X5083" t="s">
        <v>46574</v>
      </c>
    </row>
    <row r="5084" spans="1:24">
      <c r="A5084">
        <f>HYPERLINK("https://www.philgeps.gov.ph/GEPSNONPILOT/Tender/SplashBidNoticeAbstractUI.aspx?menuIndex=3&amp;refID=7058994&amp;Result=3","7058994")</f>
        <v>0</v>
      </c>
      <c r="B5084" t="s">
        <v>1744</v>
      </c>
      <c r="C5084" t="s">
        <v>8389</v>
      </c>
      <c r="D5084" t="s">
        <v>18788</v>
      </c>
      <c r="E5084" t="s">
        <v>23447</v>
      </c>
      <c r="F5084" t="s">
        <v>32664</v>
      </c>
      <c r="G5084" t="s">
        <v>32672</v>
      </c>
      <c r="H5084" t="s">
        <v>32683</v>
      </c>
      <c r="I5084" t="s">
        <v>10627</v>
      </c>
      <c r="J5084" t="s">
        <v>36069</v>
      </c>
      <c r="K5084" t="s">
        <v>42283</v>
      </c>
      <c r="M5084" t="s">
        <v>44443</v>
      </c>
      <c r="N5084" t="s">
        <v>46569</v>
      </c>
      <c r="O5084" t="s">
        <v>46570</v>
      </c>
      <c r="P5084">
        <v>0</v>
      </c>
      <c r="Q5084">
        <v>0</v>
      </c>
      <c r="R5084" t="s">
        <v>46573</v>
      </c>
      <c r="S5084" t="s">
        <v>46705</v>
      </c>
      <c r="T5084" t="s">
        <v>48305</v>
      </c>
      <c r="U5084" t="s">
        <v>51540</v>
      </c>
      <c r="W5084" t="s">
        <v>44443</v>
      </c>
      <c r="X5084" t="s">
        <v>46574</v>
      </c>
    </row>
    <row r="5085" spans="1:24">
      <c r="A5085">
        <f>HYPERLINK("https://www.philgeps.gov.ph/GEPSNONPILOT/Tender/SplashBidNoticeAbstractUI.aspx?menuIndex=3&amp;refID=7058995&amp;Result=3","7058995")</f>
        <v>0</v>
      </c>
      <c r="B5085" t="s">
        <v>577</v>
      </c>
      <c r="C5085" t="s">
        <v>8390</v>
      </c>
      <c r="D5085" t="s">
        <v>18859</v>
      </c>
      <c r="E5085" t="s">
        <v>23448</v>
      </c>
      <c r="F5085" t="s">
        <v>32664</v>
      </c>
      <c r="G5085" t="s">
        <v>32671</v>
      </c>
      <c r="H5085" t="s">
        <v>12635</v>
      </c>
      <c r="I5085" t="s">
        <v>32716</v>
      </c>
      <c r="J5085" t="s">
        <v>33128</v>
      </c>
      <c r="K5085" t="s">
        <v>42281</v>
      </c>
      <c r="M5085" t="s">
        <v>43157</v>
      </c>
      <c r="N5085" t="s">
        <v>46569</v>
      </c>
      <c r="O5085" t="s">
        <v>46570</v>
      </c>
      <c r="P5085">
        <v>0</v>
      </c>
      <c r="Q5085">
        <v>1</v>
      </c>
      <c r="R5085" t="s">
        <v>46573</v>
      </c>
      <c r="S5085" t="s">
        <v>46705</v>
      </c>
      <c r="T5085" t="s">
        <v>48287</v>
      </c>
      <c r="U5085" t="s">
        <v>52991</v>
      </c>
      <c r="W5085" t="s">
        <v>43157</v>
      </c>
      <c r="X5085" t="s">
        <v>46574</v>
      </c>
    </row>
    <row r="5086" spans="1:24">
      <c r="A5086">
        <f>HYPERLINK("https://www.philgeps.gov.ph/GEPSNONPILOT/Tender/SplashBidNoticeAbstractUI.aspx?menuIndex=3&amp;refID=7058992&amp;Result=3","7058992")</f>
        <v>0</v>
      </c>
      <c r="B5086" t="s">
        <v>1745</v>
      </c>
      <c r="C5086" t="s">
        <v>8391</v>
      </c>
      <c r="D5086" t="s">
        <v>18822</v>
      </c>
      <c r="E5086" t="s">
        <v>23449</v>
      </c>
      <c r="F5086" t="s">
        <v>32664</v>
      </c>
      <c r="G5086" t="s">
        <v>32672</v>
      </c>
      <c r="H5086" t="s">
        <v>12635</v>
      </c>
      <c r="I5086" t="s">
        <v>4439</v>
      </c>
      <c r="J5086" t="s">
        <v>36070</v>
      </c>
      <c r="K5086" t="s">
        <v>42289</v>
      </c>
      <c r="M5086" t="s">
        <v>44444</v>
      </c>
      <c r="N5086" t="s">
        <v>46569</v>
      </c>
      <c r="O5086" t="s">
        <v>46570</v>
      </c>
      <c r="P5086">
        <v>0</v>
      </c>
      <c r="Q5086">
        <v>1</v>
      </c>
      <c r="R5086" t="s">
        <v>46573</v>
      </c>
      <c r="S5086" t="s">
        <v>46705</v>
      </c>
      <c r="T5086" t="s">
        <v>48258</v>
      </c>
      <c r="U5086" t="s">
        <v>52992</v>
      </c>
      <c r="W5086" t="s">
        <v>44444</v>
      </c>
      <c r="X5086" t="s">
        <v>46574</v>
      </c>
    </row>
    <row r="5087" spans="1:24">
      <c r="A5087">
        <f>HYPERLINK("https://www.philgeps.gov.ph/GEPSNONPILOT/Tender/SplashBidNoticeAbstractUI.aspx?menuIndex=3&amp;refID=7059000&amp;Result=3","7059000")</f>
        <v>0</v>
      </c>
      <c r="B5087" t="s">
        <v>1746</v>
      </c>
      <c r="C5087" t="s">
        <v>8392</v>
      </c>
      <c r="D5087" t="s">
        <v>18790</v>
      </c>
      <c r="E5087" t="s">
        <v>20076</v>
      </c>
      <c r="F5087" t="s">
        <v>32664</v>
      </c>
      <c r="G5087" t="s">
        <v>32672</v>
      </c>
      <c r="H5087" t="s">
        <v>12635</v>
      </c>
      <c r="I5087" t="s">
        <v>32690</v>
      </c>
      <c r="J5087" t="s">
        <v>36071</v>
      </c>
      <c r="K5087" t="s">
        <v>42283</v>
      </c>
      <c r="M5087" t="s">
        <v>44445</v>
      </c>
      <c r="N5087" t="s">
        <v>46569</v>
      </c>
      <c r="O5087" t="s">
        <v>46570</v>
      </c>
      <c r="P5087">
        <v>0</v>
      </c>
      <c r="Q5087">
        <v>1</v>
      </c>
      <c r="R5087" t="s">
        <v>46573</v>
      </c>
      <c r="S5087" t="s">
        <v>46705</v>
      </c>
      <c r="T5087" t="s">
        <v>48253</v>
      </c>
      <c r="U5087" t="s">
        <v>52993</v>
      </c>
      <c r="W5087" t="s">
        <v>44445</v>
      </c>
      <c r="X5087" t="s">
        <v>46574</v>
      </c>
    </row>
    <row r="5088" spans="1:24">
      <c r="A5088">
        <f>HYPERLINK("https://www.philgeps.gov.ph/GEPSNONPILOT/Tender/SplashBidNoticeAbstractUI.aspx?menuIndex=3&amp;refID=7058991&amp;Result=3","7058991")</f>
        <v>0</v>
      </c>
      <c r="B5088" t="s">
        <v>1732</v>
      </c>
      <c r="C5088" t="s">
        <v>8393</v>
      </c>
      <c r="D5088" t="s">
        <v>18784</v>
      </c>
      <c r="E5088" t="s">
        <v>23433</v>
      </c>
      <c r="F5088" t="s">
        <v>32664</v>
      </c>
      <c r="G5088" t="s">
        <v>32671</v>
      </c>
      <c r="H5088" t="s">
        <v>12635</v>
      </c>
      <c r="I5088" t="s">
        <v>6168</v>
      </c>
      <c r="J5088" t="s">
        <v>33128</v>
      </c>
      <c r="K5088" t="s">
        <v>42297</v>
      </c>
      <c r="M5088" t="s">
        <v>44431</v>
      </c>
      <c r="N5088" t="s">
        <v>46569</v>
      </c>
      <c r="O5088" t="s">
        <v>46570</v>
      </c>
      <c r="P5088">
        <v>0</v>
      </c>
      <c r="Q5088">
        <v>1</v>
      </c>
      <c r="R5088" t="s">
        <v>46573</v>
      </c>
      <c r="S5088" t="s">
        <v>46705</v>
      </c>
      <c r="T5088" t="s">
        <v>48228</v>
      </c>
      <c r="U5088" t="s">
        <v>52994</v>
      </c>
      <c r="W5088" t="s">
        <v>44431</v>
      </c>
      <c r="X5088" t="s">
        <v>46574</v>
      </c>
    </row>
    <row r="5089" spans="1:24">
      <c r="A5089">
        <f>HYPERLINK("https://www.philgeps.gov.ph/GEPSNONPILOT/Tender/SplashBidNoticeAbstractUI.aspx?menuIndex=3&amp;refID=7058998&amp;Result=3","7058998")</f>
        <v>0</v>
      </c>
      <c r="B5089" t="s">
        <v>690</v>
      </c>
      <c r="C5089" t="s">
        <v>8394</v>
      </c>
      <c r="D5089" t="s">
        <v>18781</v>
      </c>
      <c r="E5089" t="s">
        <v>23450</v>
      </c>
      <c r="F5089" t="s">
        <v>32664</v>
      </c>
      <c r="G5089" t="s">
        <v>32674</v>
      </c>
      <c r="H5089" t="s">
        <v>12635</v>
      </c>
      <c r="I5089" t="s">
        <v>32706</v>
      </c>
      <c r="J5089" t="s">
        <v>36072</v>
      </c>
      <c r="K5089" t="s">
        <v>42311</v>
      </c>
      <c r="L5089" t="s">
        <v>690</v>
      </c>
      <c r="M5089" t="s">
        <v>44446</v>
      </c>
      <c r="N5089" t="s">
        <v>46569</v>
      </c>
      <c r="O5089" t="s">
        <v>46570</v>
      </c>
      <c r="P5089">
        <v>0</v>
      </c>
      <c r="Q5089">
        <v>0</v>
      </c>
      <c r="R5089" t="s">
        <v>46573</v>
      </c>
      <c r="S5089" t="s">
        <v>46705</v>
      </c>
      <c r="T5089" t="s">
        <v>48221</v>
      </c>
      <c r="U5089" t="s">
        <v>52995</v>
      </c>
      <c r="W5089" t="s">
        <v>44446</v>
      </c>
      <c r="X5089" t="s">
        <v>46574</v>
      </c>
    </row>
    <row r="5090" spans="1:24">
      <c r="A5090">
        <f>HYPERLINK("https://www.philgeps.gov.ph/GEPSNONPILOT/Tender/SplashBidNoticeAbstractUI.aspx?menuIndex=3&amp;refID=7058990&amp;Result=3","7058990")</f>
        <v>0</v>
      </c>
      <c r="B5090" t="s">
        <v>1747</v>
      </c>
      <c r="C5090" t="s">
        <v>8395</v>
      </c>
      <c r="D5090" t="s">
        <v>18804</v>
      </c>
      <c r="E5090" t="s">
        <v>23451</v>
      </c>
      <c r="F5090" t="s">
        <v>32664</v>
      </c>
      <c r="G5090" t="s">
        <v>32671</v>
      </c>
      <c r="H5090" t="s">
        <v>12635</v>
      </c>
      <c r="I5090" t="s">
        <v>32706</v>
      </c>
      <c r="J5090" t="s">
        <v>35522</v>
      </c>
      <c r="K5090" t="s">
        <v>42295</v>
      </c>
      <c r="M5090" t="s">
        <v>44447</v>
      </c>
      <c r="N5090" t="s">
        <v>46569</v>
      </c>
      <c r="O5090" t="s">
        <v>46570</v>
      </c>
      <c r="P5090">
        <v>0</v>
      </c>
      <c r="Q5090">
        <v>0</v>
      </c>
      <c r="R5090" t="s">
        <v>46573</v>
      </c>
      <c r="S5090" t="s">
        <v>46705</v>
      </c>
      <c r="T5090" t="s">
        <v>48316</v>
      </c>
      <c r="U5090" t="s">
        <v>52996</v>
      </c>
      <c r="V5090" t="s">
        <v>62150</v>
      </c>
      <c r="W5090" t="s">
        <v>44447</v>
      </c>
      <c r="X5090" t="s">
        <v>46574</v>
      </c>
    </row>
    <row r="5091" spans="1:24">
      <c r="A5091">
        <f>HYPERLINK("https://www.philgeps.gov.ph/GEPSNONPILOT/Tender/SplashBidNoticeAbstractUI.aspx?menuIndex=3&amp;refID=7058989&amp;Result=3","7058989")</f>
        <v>0</v>
      </c>
      <c r="B5091" t="s">
        <v>1748</v>
      </c>
      <c r="C5091" t="s">
        <v>8396</v>
      </c>
      <c r="D5091" t="s">
        <v>18782</v>
      </c>
      <c r="E5091" t="s">
        <v>23452</v>
      </c>
      <c r="F5091" t="s">
        <v>32664</v>
      </c>
      <c r="G5091" t="s">
        <v>32671</v>
      </c>
      <c r="H5091" t="s">
        <v>12635</v>
      </c>
      <c r="I5091" t="s">
        <v>6223</v>
      </c>
      <c r="J5091" t="s">
        <v>32830</v>
      </c>
      <c r="K5091" t="s">
        <v>42284</v>
      </c>
      <c r="M5091" t="s">
        <v>44448</v>
      </c>
      <c r="N5091" t="s">
        <v>46569</v>
      </c>
      <c r="O5091" t="s">
        <v>46570</v>
      </c>
      <c r="P5091">
        <v>0</v>
      </c>
      <c r="Q5091">
        <v>0</v>
      </c>
      <c r="R5091" t="s">
        <v>46573</v>
      </c>
      <c r="S5091" t="s">
        <v>46705</v>
      </c>
      <c r="T5091" t="s">
        <v>48244</v>
      </c>
      <c r="U5091" t="s">
        <v>52997</v>
      </c>
      <c r="W5091" t="s">
        <v>44448</v>
      </c>
      <c r="X5091" t="s">
        <v>46574</v>
      </c>
    </row>
    <row r="5092" spans="1:24">
      <c r="A5092">
        <f>HYPERLINK("https://www.philgeps.gov.ph/GEPSNONPILOT/Tender/SplashBidNoticeAbstractUI.aspx?menuIndex=3&amp;refID=7058993&amp;Result=3","7058993")</f>
        <v>0</v>
      </c>
      <c r="B5092" t="s">
        <v>773</v>
      </c>
      <c r="C5092" t="s">
        <v>8397</v>
      </c>
      <c r="D5092" t="s">
        <v>18821</v>
      </c>
      <c r="E5092" t="s">
        <v>23453</v>
      </c>
      <c r="F5092" t="s">
        <v>32664</v>
      </c>
      <c r="G5092" t="s">
        <v>32671</v>
      </c>
      <c r="H5092" t="s">
        <v>12635</v>
      </c>
      <c r="I5092" t="s">
        <v>8730</v>
      </c>
      <c r="J5092" t="s">
        <v>36073</v>
      </c>
      <c r="K5092" t="s">
        <v>42284</v>
      </c>
      <c r="M5092" t="s">
        <v>43364</v>
      </c>
      <c r="N5092" t="s">
        <v>46569</v>
      </c>
      <c r="O5092" t="s">
        <v>46570</v>
      </c>
      <c r="P5092">
        <v>0</v>
      </c>
      <c r="Q5092">
        <v>0</v>
      </c>
      <c r="R5092" t="s">
        <v>46573</v>
      </c>
      <c r="S5092" t="s">
        <v>46705</v>
      </c>
      <c r="T5092" t="s">
        <v>48532</v>
      </c>
      <c r="U5092" t="s">
        <v>52998</v>
      </c>
      <c r="W5092" t="s">
        <v>43364</v>
      </c>
      <c r="X5092" t="s">
        <v>46574</v>
      </c>
    </row>
    <row r="5093" spans="1:24">
      <c r="A5093">
        <f>HYPERLINK("https://www.philgeps.gov.ph/GEPSNONPILOT/Tender/SplashBidNoticeAbstractUI.aspx?menuIndex=3&amp;refID=7059025&amp;Result=3","7059025")</f>
        <v>0</v>
      </c>
      <c r="B5093" t="s">
        <v>1219</v>
      </c>
      <c r="C5093" t="s">
        <v>8398</v>
      </c>
      <c r="D5093" t="s">
        <v>18784</v>
      </c>
      <c r="E5093" t="s">
        <v>23454</v>
      </c>
      <c r="F5093" t="s">
        <v>32664</v>
      </c>
      <c r="G5093" t="s">
        <v>32671</v>
      </c>
      <c r="H5093" t="s">
        <v>12635</v>
      </c>
      <c r="I5093" t="s">
        <v>4333</v>
      </c>
      <c r="J5093" t="s">
        <v>36074</v>
      </c>
      <c r="K5093" t="s">
        <v>42289</v>
      </c>
      <c r="M5093" t="s">
        <v>43857</v>
      </c>
      <c r="N5093" t="s">
        <v>46569</v>
      </c>
      <c r="O5093" t="s">
        <v>46570</v>
      </c>
      <c r="P5093">
        <v>0</v>
      </c>
      <c r="Q5093">
        <v>5</v>
      </c>
      <c r="R5093" t="s">
        <v>46573</v>
      </c>
      <c r="S5093" t="s">
        <v>46705</v>
      </c>
      <c r="T5093" t="s">
        <v>48305</v>
      </c>
      <c r="U5093" t="s">
        <v>52999</v>
      </c>
      <c r="W5093" t="s">
        <v>43857</v>
      </c>
      <c r="X5093" t="s">
        <v>46574</v>
      </c>
    </row>
    <row r="5094" spans="1:24">
      <c r="A5094">
        <f>HYPERLINK("https://www.philgeps.gov.ph/GEPSNONPILOT/Tender/SplashBidNoticeAbstractUI.aspx?menuIndex=3&amp;refID=7059024&amp;Result=3","7059024")</f>
        <v>0</v>
      </c>
      <c r="B5094" t="s">
        <v>1747</v>
      </c>
      <c r="C5094" t="s">
        <v>8399</v>
      </c>
      <c r="D5094" t="s">
        <v>18804</v>
      </c>
      <c r="E5094" t="s">
        <v>23455</v>
      </c>
      <c r="F5094" t="s">
        <v>32664</v>
      </c>
      <c r="G5094" t="s">
        <v>32671</v>
      </c>
      <c r="H5094" t="s">
        <v>12635</v>
      </c>
      <c r="I5094" t="s">
        <v>32706</v>
      </c>
      <c r="J5094" t="s">
        <v>35522</v>
      </c>
      <c r="K5094" t="s">
        <v>42295</v>
      </c>
      <c r="M5094" t="s">
        <v>44447</v>
      </c>
      <c r="N5094" t="s">
        <v>46569</v>
      </c>
      <c r="O5094" t="s">
        <v>46570</v>
      </c>
      <c r="P5094">
        <v>0</v>
      </c>
      <c r="Q5094">
        <v>0</v>
      </c>
      <c r="R5094" t="s">
        <v>46573</v>
      </c>
      <c r="S5094" t="s">
        <v>46705</v>
      </c>
      <c r="T5094" t="s">
        <v>48316</v>
      </c>
      <c r="U5094" t="s">
        <v>53000</v>
      </c>
      <c r="V5094" t="s">
        <v>62150</v>
      </c>
      <c r="W5094" t="s">
        <v>44447</v>
      </c>
      <c r="X5094" t="s">
        <v>46574</v>
      </c>
    </row>
    <row r="5095" spans="1:24">
      <c r="A5095">
        <f>HYPERLINK("https://www.philgeps.gov.ph/GEPSNONPILOT/Tender/SplashBidNoticeAbstractUI.aspx?menuIndex=3&amp;refID=7058987&amp;Result=3","7058987")</f>
        <v>0</v>
      </c>
      <c r="B5095" t="s">
        <v>1749</v>
      </c>
      <c r="C5095" t="s">
        <v>8400</v>
      </c>
      <c r="D5095" t="s">
        <v>18794</v>
      </c>
      <c r="E5095" t="s">
        <v>23456</v>
      </c>
      <c r="F5095" t="s">
        <v>32664</v>
      </c>
      <c r="G5095" t="s">
        <v>32674</v>
      </c>
      <c r="H5095" t="s">
        <v>12635</v>
      </c>
      <c r="I5095" t="s">
        <v>32710</v>
      </c>
      <c r="J5095" t="s">
        <v>33182</v>
      </c>
      <c r="K5095" t="s">
        <v>42281</v>
      </c>
      <c r="M5095" t="s">
        <v>44449</v>
      </c>
      <c r="N5095" t="s">
        <v>46569</v>
      </c>
      <c r="O5095" t="s">
        <v>46570</v>
      </c>
      <c r="P5095">
        <v>0</v>
      </c>
      <c r="Q5095">
        <v>0</v>
      </c>
      <c r="R5095" t="s">
        <v>46573</v>
      </c>
      <c r="S5095" t="s">
        <v>46705</v>
      </c>
      <c r="T5095" t="s">
        <v>48249</v>
      </c>
      <c r="U5095" t="s">
        <v>53001</v>
      </c>
      <c r="W5095" t="s">
        <v>44449</v>
      </c>
      <c r="X5095" t="s">
        <v>46574</v>
      </c>
    </row>
    <row r="5096" spans="1:24">
      <c r="A5096">
        <f>HYPERLINK("https://www.philgeps.gov.ph/GEPSNONPILOT/Tender/SplashBidNoticeAbstractUI.aspx?menuIndex=3&amp;refID=7059023&amp;Result=3","7059023")</f>
        <v>0</v>
      </c>
      <c r="B5096" t="s">
        <v>1732</v>
      </c>
      <c r="C5096" t="s">
        <v>8401</v>
      </c>
      <c r="D5096" t="s">
        <v>18784</v>
      </c>
      <c r="E5096" t="s">
        <v>23433</v>
      </c>
      <c r="F5096" t="s">
        <v>32664</v>
      </c>
      <c r="G5096" t="s">
        <v>32671</v>
      </c>
      <c r="H5096" t="s">
        <v>12635</v>
      </c>
      <c r="I5096" t="s">
        <v>5501</v>
      </c>
      <c r="J5096" t="s">
        <v>33051</v>
      </c>
      <c r="K5096" t="s">
        <v>42297</v>
      </c>
      <c r="M5096" t="s">
        <v>44431</v>
      </c>
      <c r="N5096" t="s">
        <v>46569</v>
      </c>
      <c r="O5096" t="s">
        <v>46570</v>
      </c>
      <c r="P5096">
        <v>0</v>
      </c>
      <c r="Q5096">
        <v>8</v>
      </c>
      <c r="R5096" t="s">
        <v>46573</v>
      </c>
      <c r="S5096" t="s">
        <v>46705</v>
      </c>
      <c r="T5096" t="s">
        <v>48228</v>
      </c>
      <c r="U5096" t="s">
        <v>53002</v>
      </c>
      <c r="W5096" t="s">
        <v>44431</v>
      </c>
      <c r="X5096" t="s">
        <v>46574</v>
      </c>
    </row>
    <row r="5097" spans="1:24">
      <c r="A5097">
        <f>HYPERLINK("https://www.philgeps.gov.ph/GEPSNONPILOT/Tender/SplashBidNoticeAbstractUI.aspx?menuIndex=3&amp;refID=7059022&amp;Result=3","7059022")</f>
        <v>0</v>
      </c>
      <c r="B5097" t="s">
        <v>1750</v>
      </c>
      <c r="C5097" t="s">
        <v>8402</v>
      </c>
      <c r="D5097" t="s">
        <v>18781</v>
      </c>
      <c r="E5097" t="s">
        <v>23457</v>
      </c>
      <c r="F5097" t="s">
        <v>32664</v>
      </c>
      <c r="G5097" t="s">
        <v>32672</v>
      </c>
      <c r="H5097" t="s">
        <v>32683</v>
      </c>
      <c r="I5097" t="s">
        <v>4439</v>
      </c>
      <c r="J5097" t="s">
        <v>32943</v>
      </c>
      <c r="K5097" t="s">
        <v>42290</v>
      </c>
      <c r="M5097" t="s">
        <v>44450</v>
      </c>
      <c r="N5097" t="s">
        <v>46569</v>
      </c>
      <c r="O5097" t="s">
        <v>46570</v>
      </c>
      <c r="P5097">
        <v>0</v>
      </c>
      <c r="Q5097">
        <v>0</v>
      </c>
      <c r="R5097" t="s">
        <v>46573</v>
      </c>
      <c r="S5097" t="s">
        <v>46705</v>
      </c>
      <c r="T5097" t="s">
        <v>48424</v>
      </c>
      <c r="U5097" t="s">
        <v>53003</v>
      </c>
      <c r="V5097" t="s">
        <v>49667</v>
      </c>
      <c r="W5097" t="s">
        <v>44450</v>
      </c>
      <c r="X5097" t="s">
        <v>46574</v>
      </c>
    </row>
    <row r="5098" spans="1:24">
      <c r="A5098">
        <f>HYPERLINK("https://www.philgeps.gov.ph/GEPSNONPILOT/Tender/SplashBidNoticeAbstractUI.aspx?menuIndex=3&amp;refID=7059020&amp;Result=3","7059020")</f>
        <v>0</v>
      </c>
      <c r="B5098" t="s">
        <v>1751</v>
      </c>
      <c r="C5098" t="s">
        <v>8403</v>
      </c>
      <c r="D5098" t="s">
        <v>18803</v>
      </c>
      <c r="E5098" t="s">
        <v>23458</v>
      </c>
      <c r="F5098" t="s">
        <v>32664</v>
      </c>
      <c r="G5098" t="s">
        <v>32672</v>
      </c>
      <c r="H5098" t="s">
        <v>32683</v>
      </c>
      <c r="I5098" t="s">
        <v>10627</v>
      </c>
      <c r="J5098" t="s">
        <v>33345</v>
      </c>
      <c r="K5098" t="s">
        <v>42283</v>
      </c>
      <c r="M5098" t="s">
        <v>44451</v>
      </c>
      <c r="N5098" t="s">
        <v>46569</v>
      </c>
      <c r="O5098" t="s">
        <v>46570</v>
      </c>
      <c r="P5098">
        <v>0</v>
      </c>
      <c r="Q5098">
        <v>0</v>
      </c>
      <c r="R5098" t="s">
        <v>46573</v>
      </c>
      <c r="S5098" t="s">
        <v>46705</v>
      </c>
      <c r="T5098" t="s">
        <v>48283</v>
      </c>
      <c r="U5098" t="s">
        <v>53004</v>
      </c>
      <c r="W5098" t="s">
        <v>44451</v>
      </c>
      <c r="X5098" t="s">
        <v>46574</v>
      </c>
    </row>
    <row r="5099" spans="1:24">
      <c r="A5099">
        <f>HYPERLINK("https://www.philgeps.gov.ph/GEPSNONPILOT/Tender/SplashBidNoticeAbstractUI.aspx?menuIndex=3&amp;refID=7059018&amp;Result=3","7059018")</f>
        <v>0</v>
      </c>
      <c r="B5099" t="s">
        <v>1752</v>
      </c>
      <c r="C5099" t="s">
        <v>8404</v>
      </c>
      <c r="D5099" t="s">
        <v>18791</v>
      </c>
      <c r="E5099" t="s">
        <v>23459</v>
      </c>
      <c r="F5099" t="s">
        <v>32664</v>
      </c>
      <c r="G5099" t="s">
        <v>32677</v>
      </c>
      <c r="H5099" t="s">
        <v>12635</v>
      </c>
      <c r="I5099" t="s">
        <v>32690</v>
      </c>
      <c r="J5099" t="s">
        <v>33304</v>
      </c>
      <c r="K5099" t="s">
        <v>42281</v>
      </c>
      <c r="M5099" t="s">
        <v>44452</v>
      </c>
      <c r="N5099" t="s">
        <v>46569</v>
      </c>
      <c r="O5099" t="s">
        <v>46570</v>
      </c>
      <c r="P5099">
        <v>0</v>
      </c>
      <c r="Q5099">
        <v>2</v>
      </c>
      <c r="R5099" t="s">
        <v>46573</v>
      </c>
      <c r="S5099" t="s">
        <v>46705</v>
      </c>
      <c r="T5099" t="s">
        <v>48316</v>
      </c>
      <c r="U5099" t="s">
        <v>53005</v>
      </c>
      <c r="V5099" t="s">
        <v>62151</v>
      </c>
      <c r="W5099" t="s">
        <v>44452</v>
      </c>
      <c r="X5099" t="s">
        <v>46574</v>
      </c>
    </row>
    <row r="5100" spans="1:24">
      <c r="A5100">
        <f>HYPERLINK("https://www.philgeps.gov.ph/GEPSNONPILOT/Tender/SplashBidNoticeAbstractUI.aspx?menuIndex=3&amp;refID=7059015&amp;Result=3","7059015")</f>
        <v>0</v>
      </c>
      <c r="B5100" t="s">
        <v>1731</v>
      </c>
      <c r="C5100" t="s">
        <v>8405</v>
      </c>
      <c r="D5100" t="s">
        <v>18803</v>
      </c>
      <c r="E5100" t="s">
        <v>23460</v>
      </c>
      <c r="F5100" t="s">
        <v>32664</v>
      </c>
      <c r="G5100" t="s">
        <v>32672</v>
      </c>
      <c r="H5100" t="s">
        <v>12635</v>
      </c>
      <c r="I5100" t="s">
        <v>14442</v>
      </c>
      <c r="J5100" t="s">
        <v>36075</v>
      </c>
      <c r="K5100" t="s">
        <v>42289</v>
      </c>
      <c r="M5100" t="s">
        <v>44430</v>
      </c>
      <c r="N5100" t="s">
        <v>46569</v>
      </c>
      <c r="O5100" t="s">
        <v>46570</v>
      </c>
      <c r="P5100">
        <v>0</v>
      </c>
      <c r="Q5100">
        <v>7</v>
      </c>
      <c r="R5100" t="s">
        <v>46573</v>
      </c>
      <c r="S5100" t="s">
        <v>46705</v>
      </c>
      <c r="T5100" t="s">
        <v>48416</v>
      </c>
      <c r="U5100" t="s">
        <v>53006</v>
      </c>
      <c r="W5100" t="s">
        <v>44430</v>
      </c>
      <c r="X5100" t="s">
        <v>46574</v>
      </c>
    </row>
    <row r="5101" spans="1:24">
      <c r="A5101">
        <f>HYPERLINK("https://www.philgeps.gov.ph/GEPSNONPILOT/Tender/SplashBidNoticeAbstractUI.aspx?menuIndex=3&amp;refID=7058988&amp;Result=3","7058988")</f>
        <v>0</v>
      </c>
      <c r="B5101" t="s">
        <v>1753</v>
      </c>
      <c r="C5101" t="s">
        <v>8406</v>
      </c>
      <c r="D5101" t="s">
        <v>18784</v>
      </c>
      <c r="E5101" t="s">
        <v>23461</v>
      </c>
      <c r="F5101" t="s">
        <v>32664</v>
      </c>
      <c r="G5101" t="s">
        <v>32671</v>
      </c>
      <c r="H5101" t="s">
        <v>12635</v>
      </c>
      <c r="I5101" t="s">
        <v>14442</v>
      </c>
      <c r="J5101" t="s">
        <v>33578</v>
      </c>
      <c r="K5101" t="s">
        <v>42281</v>
      </c>
      <c r="M5101" t="s">
        <v>44453</v>
      </c>
      <c r="N5101" t="s">
        <v>46569</v>
      </c>
      <c r="O5101" t="s">
        <v>46570</v>
      </c>
      <c r="P5101">
        <v>0</v>
      </c>
      <c r="Q5101">
        <v>0</v>
      </c>
      <c r="R5101" t="s">
        <v>46573</v>
      </c>
      <c r="S5101" t="s">
        <v>46705</v>
      </c>
      <c r="T5101" t="s">
        <v>48244</v>
      </c>
      <c r="U5101" t="s">
        <v>53007</v>
      </c>
      <c r="W5101" t="s">
        <v>44453</v>
      </c>
      <c r="X5101" t="s">
        <v>46574</v>
      </c>
    </row>
    <row r="5102" spans="1:24">
      <c r="A5102">
        <f>HYPERLINK("https://www.philgeps.gov.ph/GEPSNONPILOT/Tender/SplashBidNoticeAbstractUI.aspx?menuIndex=3&amp;refID=7058964&amp;Result=3","7058964")</f>
        <v>0</v>
      </c>
      <c r="B5102" t="s">
        <v>1210</v>
      </c>
      <c r="C5102" t="s">
        <v>8407</v>
      </c>
      <c r="D5102" t="s">
        <v>18788</v>
      </c>
      <c r="E5102" t="s">
        <v>23462</v>
      </c>
      <c r="F5102" t="s">
        <v>32664</v>
      </c>
      <c r="G5102" t="s">
        <v>32671</v>
      </c>
      <c r="H5102" t="s">
        <v>12635</v>
      </c>
      <c r="I5102" t="s">
        <v>32706</v>
      </c>
      <c r="J5102" t="s">
        <v>33466</v>
      </c>
      <c r="K5102" t="s">
        <v>42283</v>
      </c>
      <c r="M5102" t="s">
        <v>43848</v>
      </c>
      <c r="N5102" t="s">
        <v>46569</v>
      </c>
      <c r="O5102" t="s">
        <v>46570</v>
      </c>
      <c r="P5102">
        <v>0</v>
      </c>
      <c r="Q5102">
        <v>0</v>
      </c>
      <c r="R5102" t="s">
        <v>46573</v>
      </c>
      <c r="S5102" t="s">
        <v>46705</v>
      </c>
      <c r="T5102" t="s">
        <v>48307</v>
      </c>
      <c r="U5102" t="s">
        <v>51362</v>
      </c>
      <c r="W5102" t="s">
        <v>43848</v>
      </c>
      <c r="X5102" t="s">
        <v>46574</v>
      </c>
    </row>
    <row r="5103" spans="1:24">
      <c r="A5103">
        <f>HYPERLINK("https://www.philgeps.gov.ph/GEPSNONPILOT/Tender/SplashBidNoticeAbstractUI.aspx?menuIndex=3&amp;refID=7059014&amp;Result=3","7059014")</f>
        <v>0</v>
      </c>
      <c r="B5103" t="s">
        <v>1754</v>
      </c>
      <c r="C5103" t="s">
        <v>8408</v>
      </c>
      <c r="E5103" t="s">
        <v>23463</v>
      </c>
      <c r="F5103" t="s">
        <v>32664</v>
      </c>
      <c r="G5103" t="s">
        <v>32675</v>
      </c>
      <c r="H5103" t="s">
        <v>12635</v>
      </c>
      <c r="I5103" t="s">
        <v>32685</v>
      </c>
      <c r="J5103" t="s">
        <v>33683</v>
      </c>
      <c r="K5103" t="s">
        <v>42284</v>
      </c>
      <c r="M5103" t="s">
        <v>44454</v>
      </c>
      <c r="N5103" t="s">
        <v>46569</v>
      </c>
      <c r="O5103" t="s">
        <v>46570</v>
      </c>
      <c r="P5103">
        <v>0</v>
      </c>
      <c r="Q5103">
        <v>2</v>
      </c>
      <c r="R5103" t="s">
        <v>46573</v>
      </c>
      <c r="S5103" t="s">
        <v>46705</v>
      </c>
      <c r="T5103" t="s">
        <v>48254</v>
      </c>
      <c r="U5103" t="s">
        <v>53008</v>
      </c>
      <c r="W5103" t="s">
        <v>44454</v>
      </c>
      <c r="X5103" t="s">
        <v>46574</v>
      </c>
    </row>
    <row r="5104" spans="1:24">
      <c r="A5104">
        <f>HYPERLINK("https://www.philgeps.gov.ph/GEPSNONPILOT/Tender/SplashBidNoticeAbstractUI.aspx?menuIndex=3&amp;refID=7059013&amp;Result=3","7059013")</f>
        <v>0</v>
      </c>
      <c r="B5104" t="s">
        <v>1746</v>
      </c>
      <c r="C5104" t="s">
        <v>8409</v>
      </c>
      <c r="D5104" t="s">
        <v>18790</v>
      </c>
      <c r="E5104" t="s">
        <v>23397</v>
      </c>
      <c r="F5104" t="s">
        <v>32664</v>
      </c>
      <c r="G5104" t="s">
        <v>32672</v>
      </c>
      <c r="H5104" t="s">
        <v>12635</v>
      </c>
      <c r="I5104" t="s">
        <v>4333</v>
      </c>
      <c r="J5104" t="s">
        <v>36076</v>
      </c>
      <c r="K5104" t="s">
        <v>42283</v>
      </c>
      <c r="M5104" t="s">
        <v>44445</v>
      </c>
      <c r="N5104" t="s">
        <v>46569</v>
      </c>
      <c r="O5104" t="s">
        <v>46570</v>
      </c>
      <c r="P5104">
        <v>0</v>
      </c>
      <c r="Q5104">
        <v>1</v>
      </c>
      <c r="R5104" t="s">
        <v>46573</v>
      </c>
      <c r="S5104" t="s">
        <v>46705</v>
      </c>
      <c r="T5104" t="s">
        <v>48228</v>
      </c>
      <c r="U5104" t="s">
        <v>52993</v>
      </c>
      <c r="W5104" t="s">
        <v>44445</v>
      </c>
      <c r="X5104" t="s">
        <v>46574</v>
      </c>
    </row>
    <row r="5105" spans="1:24">
      <c r="A5105">
        <f>HYPERLINK("https://www.philgeps.gov.ph/GEPSNONPILOT/Tender/SplashBidNoticeAbstractUI.aspx?menuIndex=3&amp;refID=7059009&amp;Result=3","7059009")</f>
        <v>0</v>
      </c>
      <c r="B5105" t="s">
        <v>1755</v>
      </c>
      <c r="C5105" t="s">
        <v>8410</v>
      </c>
      <c r="D5105" t="s">
        <v>18784</v>
      </c>
      <c r="E5105" t="s">
        <v>23464</v>
      </c>
      <c r="F5105" t="s">
        <v>32664</v>
      </c>
      <c r="G5105" t="s">
        <v>32671</v>
      </c>
      <c r="H5105" t="s">
        <v>32682</v>
      </c>
      <c r="I5105" t="s">
        <v>10590</v>
      </c>
      <c r="J5105" t="s">
        <v>33311</v>
      </c>
      <c r="K5105" t="s">
        <v>42297</v>
      </c>
      <c r="M5105" t="s">
        <v>44455</v>
      </c>
      <c r="N5105" t="s">
        <v>46569</v>
      </c>
      <c r="O5105" t="s">
        <v>46570</v>
      </c>
      <c r="P5105">
        <v>0</v>
      </c>
      <c r="Q5105">
        <v>1</v>
      </c>
      <c r="R5105" t="s">
        <v>46573</v>
      </c>
      <c r="S5105" t="s">
        <v>46705</v>
      </c>
      <c r="T5105" t="s">
        <v>48461</v>
      </c>
      <c r="U5105" t="s">
        <v>53009</v>
      </c>
      <c r="W5105" t="s">
        <v>44455</v>
      </c>
      <c r="X5105" t="s">
        <v>46574</v>
      </c>
    </row>
    <row r="5106" spans="1:24">
      <c r="A5106">
        <f>HYPERLINK("https://www.philgeps.gov.ph/GEPSNONPILOT/Tender/SplashBidNoticeAbstractUI.aspx?menuIndex=3&amp;refID=7058999&amp;Result=3","7058999")</f>
        <v>0</v>
      </c>
      <c r="B5106" t="s">
        <v>1744</v>
      </c>
      <c r="C5106" t="s">
        <v>8411</v>
      </c>
      <c r="D5106" t="s">
        <v>18788</v>
      </c>
      <c r="E5106" t="s">
        <v>23465</v>
      </c>
      <c r="F5106" t="s">
        <v>32664</v>
      </c>
      <c r="G5106" t="s">
        <v>32672</v>
      </c>
      <c r="H5106" t="s">
        <v>32683</v>
      </c>
      <c r="I5106" t="s">
        <v>10627</v>
      </c>
      <c r="J5106" t="s">
        <v>36077</v>
      </c>
      <c r="K5106" t="s">
        <v>42283</v>
      </c>
      <c r="M5106" t="s">
        <v>44443</v>
      </c>
      <c r="N5106" t="s">
        <v>46569</v>
      </c>
      <c r="O5106" t="s">
        <v>46570</v>
      </c>
      <c r="P5106">
        <v>0</v>
      </c>
      <c r="Q5106">
        <v>0</v>
      </c>
      <c r="R5106" t="s">
        <v>46573</v>
      </c>
      <c r="S5106" t="s">
        <v>46705</v>
      </c>
      <c r="T5106" t="s">
        <v>48305</v>
      </c>
      <c r="U5106" t="s">
        <v>51540</v>
      </c>
      <c r="W5106" t="s">
        <v>44443</v>
      </c>
      <c r="X5106" t="s">
        <v>46574</v>
      </c>
    </row>
    <row r="5107" spans="1:24">
      <c r="A5107">
        <f>HYPERLINK("https://www.philgeps.gov.ph/GEPSNONPILOT/Tender/SplashBidNoticeAbstractUI.aspx?menuIndex=3&amp;refID=7059008&amp;Result=3","7059008")</f>
        <v>0</v>
      </c>
      <c r="B5107" t="s">
        <v>1505</v>
      </c>
      <c r="C5107" t="s">
        <v>8412</v>
      </c>
      <c r="D5107" t="s">
        <v>18796</v>
      </c>
      <c r="E5107" t="s">
        <v>23466</v>
      </c>
      <c r="F5107" t="s">
        <v>32664</v>
      </c>
      <c r="G5107" t="s">
        <v>32672</v>
      </c>
      <c r="H5107" t="s">
        <v>12635</v>
      </c>
      <c r="I5107" t="s">
        <v>11464</v>
      </c>
      <c r="J5107" t="s">
        <v>36078</v>
      </c>
      <c r="K5107" t="s">
        <v>42283</v>
      </c>
      <c r="M5107" t="s">
        <v>44169</v>
      </c>
      <c r="N5107" t="s">
        <v>46569</v>
      </c>
      <c r="O5107" t="s">
        <v>46570</v>
      </c>
      <c r="P5107">
        <v>0</v>
      </c>
      <c r="Q5107">
        <v>0</v>
      </c>
      <c r="R5107" t="s">
        <v>46573</v>
      </c>
      <c r="S5107" t="s">
        <v>46705</v>
      </c>
      <c r="T5107" t="s">
        <v>48228</v>
      </c>
      <c r="U5107" t="s">
        <v>53010</v>
      </c>
      <c r="V5107" t="s">
        <v>62152</v>
      </c>
      <c r="W5107" t="s">
        <v>63518</v>
      </c>
      <c r="X5107" t="s">
        <v>46574</v>
      </c>
    </row>
    <row r="5108" spans="1:24">
      <c r="A5108">
        <f>HYPERLINK("https://www.philgeps.gov.ph/GEPSNONPILOT/Tender/SplashBidNoticeAbstractUI.aspx?menuIndex=3&amp;refID=7059007&amp;Result=3","7059007")</f>
        <v>0</v>
      </c>
      <c r="B5108" t="s">
        <v>100</v>
      </c>
      <c r="C5108" t="s">
        <v>8413</v>
      </c>
      <c r="D5108" t="s">
        <v>18784</v>
      </c>
      <c r="E5108" t="s">
        <v>8413</v>
      </c>
      <c r="F5108" t="s">
        <v>32664</v>
      </c>
      <c r="G5108" t="s">
        <v>32671</v>
      </c>
      <c r="H5108" t="s">
        <v>12635</v>
      </c>
      <c r="I5108" t="s">
        <v>32708</v>
      </c>
      <c r="J5108" t="s">
        <v>33478</v>
      </c>
      <c r="K5108" t="s">
        <v>42289</v>
      </c>
      <c r="M5108" t="s">
        <v>43463</v>
      </c>
      <c r="N5108" t="s">
        <v>46569</v>
      </c>
      <c r="O5108" t="s">
        <v>46570</v>
      </c>
      <c r="P5108">
        <v>0</v>
      </c>
      <c r="Q5108">
        <v>2</v>
      </c>
      <c r="R5108" t="s">
        <v>46573</v>
      </c>
      <c r="S5108" t="s">
        <v>46705</v>
      </c>
      <c r="T5108" t="s">
        <v>48287</v>
      </c>
      <c r="U5108" t="s">
        <v>53011</v>
      </c>
      <c r="W5108" t="s">
        <v>43463</v>
      </c>
      <c r="X5108" t="s">
        <v>46574</v>
      </c>
    </row>
    <row r="5109" spans="1:24">
      <c r="A5109">
        <f>HYPERLINK("https://www.philgeps.gov.ph/GEPSNONPILOT/Tender/SplashBidNoticeAbstractUI.aspx?menuIndex=3&amp;refID=7059016&amp;Result=3","7059016")</f>
        <v>0</v>
      </c>
      <c r="B5109" t="s">
        <v>642</v>
      </c>
      <c r="C5109" t="s">
        <v>3806</v>
      </c>
      <c r="D5109" t="s">
        <v>18819</v>
      </c>
      <c r="E5109" t="s">
        <v>23467</v>
      </c>
      <c r="F5109" t="s">
        <v>32664</v>
      </c>
      <c r="G5109" t="s">
        <v>32671</v>
      </c>
      <c r="H5109" t="s">
        <v>12635</v>
      </c>
      <c r="I5109" t="s">
        <v>6223</v>
      </c>
      <c r="J5109" t="s">
        <v>33696</v>
      </c>
      <c r="K5109" t="s">
        <v>42289</v>
      </c>
      <c r="M5109" t="s">
        <v>43227</v>
      </c>
      <c r="N5109" t="s">
        <v>46569</v>
      </c>
      <c r="O5109" t="s">
        <v>46570</v>
      </c>
      <c r="P5109">
        <v>0</v>
      </c>
      <c r="Q5109">
        <v>0</v>
      </c>
      <c r="R5109" t="s">
        <v>46573</v>
      </c>
      <c r="S5109" t="s">
        <v>46705</v>
      </c>
      <c r="T5109" t="s">
        <v>48287</v>
      </c>
      <c r="U5109" t="s">
        <v>53012</v>
      </c>
      <c r="V5109" t="s">
        <v>62153</v>
      </c>
      <c r="W5109" t="s">
        <v>43227</v>
      </c>
      <c r="X5109" t="s">
        <v>46574</v>
      </c>
    </row>
    <row r="5110" spans="1:24">
      <c r="A5110">
        <f>HYPERLINK("https://www.philgeps.gov.ph/GEPSNONPILOT/Tender/SplashBidNoticeAbstractUI.aspx?menuIndex=3&amp;refID=7059027&amp;Result=3","7059027")</f>
        <v>0</v>
      </c>
      <c r="B5110" t="s">
        <v>319</v>
      </c>
      <c r="C5110" t="s">
        <v>8414</v>
      </c>
      <c r="D5110" t="s">
        <v>18784</v>
      </c>
      <c r="E5110" t="s">
        <v>23468</v>
      </c>
      <c r="F5110" t="s">
        <v>32664</v>
      </c>
      <c r="G5110" t="s">
        <v>32671</v>
      </c>
      <c r="H5110" t="s">
        <v>12635</v>
      </c>
      <c r="I5110" t="s">
        <v>6628</v>
      </c>
      <c r="J5110" t="s">
        <v>36079</v>
      </c>
      <c r="K5110" t="s">
        <v>42283</v>
      </c>
      <c r="M5110" t="s">
        <v>42887</v>
      </c>
      <c r="N5110" t="s">
        <v>46569</v>
      </c>
      <c r="O5110" t="s">
        <v>46570</v>
      </c>
      <c r="P5110">
        <v>0</v>
      </c>
      <c r="Q5110">
        <v>4</v>
      </c>
      <c r="R5110" t="s">
        <v>46573</v>
      </c>
      <c r="S5110" t="s">
        <v>46705</v>
      </c>
      <c r="T5110" t="s">
        <v>48316</v>
      </c>
      <c r="U5110" t="s">
        <v>53013</v>
      </c>
      <c r="W5110" t="s">
        <v>42887</v>
      </c>
      <c r="X5110" t="s">
        <v>46574</v>
      </c>
    </row>
    <row r="5111" spans="1:24">
      <c r="A5111">
        <f>HYPERLINK("https://www.philgeps.gov.ph/GEPSNONPILOT/Tender/SplashBidNoticeAbstractUI.aspx?menuIndex=3&amp;refID=7059057&amp;Result=3","7059057")</f>
        <v>0</v>
      </c>
      <c r="B5111" t="s">
        <v>470</v>
      </c>
      <c r="C5111" t="s">
        <v>8415</v>
      </c>
      <c r="D5111" t="s">
        <v>18816</v>
      </c>
      <c r="E5111" t="s">
        <v>23469</v>
      </c>
      <c r="F5111" t="s">
        <v>32664</v>
      </c>
      <c r="G5111" t="s">
        <v>32671</v>
      </c>
      <c r="H5111" t="s">
        <v>32683</v>
      </c>
      <c r="I5111" t="s">
        <v>10627</v>
      </c>
      <c r="J5111" t="s">
        <v>36080</v>
      </c>
      <c r="K5111" t="s">
        <v>42309</v>
      </c>
      <c r="M5111" t="s">
        <v>43045</v>
      </c>
      <c r="N5111" t="s">
        <v>46569</v>
      </c>
      <c r="O5111" t="s">
        <v>46570</v>
      </c>
      <c r="P5111">
        <v>0</v>
      </c>
      <c r="Q5111">
        <v>0</v>
      </c>
      <c r="R5111" t="s">
        <v>46573</v>
      </c>
      <c r="S5111" t="s">
        <v>46705</v>
      </c>
      <c r="T5111" t="s">
        <v>48287</v>
      </c>
      <c r="U5111" t="s">
        <v>53014</v>
      </c>
      <c r="W5111" t="s">
        <v>43045</v>
      </c>
      <c r="X5111" t="s">
        <v>46574</v>
      </c>
    </row>
    <row r="5112" spans="1:24">
      <c r="A5112">
        <f>HYPERLINK("https://www.philgeps.gov.ph/GEPSNONPILOT/Tender/SplashBidNoticeAbstractUI.aspx?menuIndex=3&amp;refID=7059010&amp;Result=3","7059010")</f>
        <v>0</v>
      </c>
      <c r="B5112" t="s">
        <v>1744</v>
      </c>
      <c r="C5112" t="s">
        <v>8416</v>
      </c>
      <c r="D5112" t="s">
        <v>18788</v>
      </c>
      <c r="E5112" t="s">
        <v>23470</v>
      </c>
      <c r="F5112" t="s">
        <v>32664</v>
      </c>
      <c r="G5112" t="s">
        <v>32672</v>
      </c>
      <c r="H5112" t="s">
        <v>32683</v>
      </c>
      <c r="I5112" t="s">
        <v>10627</v>
      </c>
      <c r="J5112" t="s">
        <v>36081</v>
      </c>
      <c r="K5112" t="s">
        <v>42283</v>
      </c>
      <c r="M5112" t="s">
        <v>44443</v>
      </c>
      <c r="N5112" t="s">
        <v>46569</v>
      </c>
      <c r="O5112" t="s">
        <v>46570</v>
      </c>
      <c r="P5112">
        <v>0</v>
      </c>
      <c r="Q5112">
        <v>0</v>
      </c>
      <c r="R5112" t="s">
        <v>46573</v>
      </c>
      <c r="S5112" t="s">
        <v>46705</v>
      </c>
      <c r="T5112" t="s">
        <v>48305</v>
      </c>
      <c r="U5112" t="s">
        <v>51540</v>
      </c>
      <c r="W5112" t="s">
        <v>44443</v>
      </c>
      <c r="X5112" t="s">
        <v>46574</v>
      </c>
    </row>
    <row r="5113" spans="1:24">
      <c r="A5113">
        <f>HYPERLINK("https://www.philgeps.gov.ph/GEPSNONPILOT/Tender/SplashBidNoticeAbstractUI.aspx?menuIndex=3&amp;refID=7058963&amp;Result=3","7058963")</f>
        <v>0</v>
      </c>
      <c r="B5113" t="s">
        <v>1734</v>
      </c>
      <c r="C5113" t="s">
        <v>8417</v>
      </c>
      <c r="D5113" t="s">
        <v>18789</v>
      </c>
      <c r="E5113" t="s">
        <v>23471</v>
      </c>
      <c r="F5113" t="s">
        <v>32664</v>
      </c>
      <c r="G5113" t="s">
        <v>32671</v>
      </c>
      <c r="H5113" t="s">
        <v>12635</v>
      </c>
      <c r="I5113" t="s">
        <v>32696</v>
      </c>
      <c r="J5113" t="s">
        <v>32898</v>
      </c>
      <c r="K5113" t="s">
        <v>42281</v>
      </c>
      <c r="M5113" t="s">
        <v>44433</v>
      </c>
      <c r="N5113" t="s">
        <v>46569</v>
      </c>
      <c r="O5113" t="s">
        <v>46570</v>
      </c>
      <c r="P5113">
        <v>0</v>
      </c>
      <c r="Q5113">
        <v>3</v>
      </c>
      <c r="R5113" t="s">
        <v>46573</v>
      </c>
      <c r="S5113" t="s">
        <v>46705</v>
      </c>
      <c r="T5113" t="s">
        <v>48280</v>
      </c>
      <c r="U5113" t="s">
        <v>53015</v>
      </c>
      <c r="W5113" t="s">
        <v>44433</v>
      </c>
      <c r="X5113" t="s">
        <v>46574</v>
      </c>
    </row>
    <row r="5114" spans="1:24">
      <c r="A5114">
        <f>HYPERLINK("https://www.philgeps.gov.ph/GEPSNONPILOT/Tender/SplashBidNoticeAbstractUI.aspx?menuIndex=3&amp;refID=7059006&amp;Result=3","7059006")</f>
        <v>0</v>
      </c>
      <c r="B5114" t="s">
        <v>24</v>
      </c>
      <c r="C5114" t="s">
        <v>8418</v>
      </c>
      <c r="D5114" t="s">
        <v>18781</v>
      </c>
      <c r="E5114" t="s">
        <v>23472</v>
      </c>
      <c r="F5114" t="s">
        <v>32664</v>
      </c>
      <c r="G5114" t="s">
        <v>32671</v>
      </c>
      <c r="H5114" t="s">
        <v>12635</v>
      </c>
      <c r="I5114" t="s">
        <v>32755</v>
      </c>
      <c r="J5114" t="s">
        <v>36082</v>
      </c>
      <c r="K5114" t="s">
        <v>42281</v>
      </c>
      <c r="M5114" t="s">
        <v>42586</v>
      </c>
      <c r="N5114" t="s">
        <v>46569</v>
      </c>
      <c r="O5114" t="s">
        <v>46570</v>
      </c>
      <c r="P5114">
        <v>0</v>
      </c>
      <c r="Q5114">
        <v>4</v>
      </c>
      <c r="R5114" t="s">
        <v>46573</v>
      </c>
      <c r="S5114" t="s">
        <v>46705</v>
      </c>
      <c r="T5114" t="s">
        <v>48280</v>
      </c>
      <c r="U5114" t="s">
        <v>53016</v>
      </c>
      <c r="W5114" t="s">
        <v>42586</v>
      </c>
      <c r="X5114" t="s">
        <v>46574</v>
      </c>
    </row>
    <row r="5115" spans="1:24">
      <c r="A5115">
        <f>HYPERLINK("https://www.philgeps.gov.ph/GEPSNONPILOT/Tender/SplashBidNoticeAbstractUI.aspx?menuIndex=3&amp;refID=7059019&amp;Result=3","7059019")</f>
        <v>0</v>
      </c>
      <c r="B5115" t="s">
        <v>1744</v>
      </c>
      <c r="C5115" t="s">
        <v>8419</v>
      </c>
      <c r="D5115" t="s">
        <v>18788</v>
      </c>
      <c r="E5115" t="s">
        <v>23473</v>
      </c>
      <c r="F5115" t="s">
        <v>32664</v>
      </c>
      <c r="G5115" t="s">
        <v>32672</v>
      </c>
      <c r="H5115" t="s">
        <v>32683</v>
      </c>
      <c r="I5115" t="s">
        <v>10627</v>
      </c>
      <c r="J5115" t="s">
        <v>36083</v>
      </c>
      <c r="K5115" t="s">
        <v>42283</v>
      </c>
      <c r="M5115" t="s">
        <v>44443</v>
      </c>
      <c r="N5115" t="s">
        <v>46569</v>
      </c>
      <c r="O5115" t="s">
        <v>46570</v>
      </c>
      <c r="P5115">
        <v>0</v>
      </c>
      <c r="Q5115">
        <v>0</v>
      </c>
      <c r="R5115" t="s">
        <v>46573</v>
      </c>
      <c r="S5115" t="s">
        <v>46705</v>
      </c>
      <c r="T5115" t="s">
        <v>48305</v>
      </c>
      <c r="U5115" t="s">
        <v>51540</v>
      </c>
      <c r="W5115" t="s">
        <v>44443</v>
      </c>
      <c r="X5115" t="s">
        <v>46574</v>
      </c>
    </row>
    <row r="5116" spans="1:24">
      <c r="A5116">
        <f>HYPERLINK("https://www.philgeps.gov.ph/GEPSNONPILOT/Tender/SplashBidNoticeAbstractUI.aspx?menuIndex=3&amp;refID=7059050&amp;Result=3","7059050")</f>
        <v>0</v>
      </c>
      <c r="B5116" t="s">
        <v>1750</v>
      </c>
      <c r="C5116" t="s">
        <v>8420</v>
      </c>
      <c r="D5116" t="s">
        <v>18781</v>
      </c>
      <c r="E5116" t="s">
        <v>23474</v>
      </c>
      <c r="F5116" t="s">
        <v>32664</v>
      </c>
      <c r="G5116" t="s">
        <v>32672</v>
      </c>
      <c r="H5116" t="s">
        <v>32683</v>
      </c>
      <c r="I5116" t="s">
        <v>4439</v>
      </c>
      <c r="J5116" t="s">
        <v>32837</v>
      </c>
      <c r="K5116" t="s">
        <v>42290</v>
      </c>
      <c r="M5116" t="s">
        <v>44450</v>
      </c>
      <c r="N5116" t="s">
        <v>46569</v>
      </c>
      <c r="O5116" t="s">
        <v>46570</v>
      </c>
      <c r="P5116">
        <v>0</v>
      </c>
      <c r="Q5116">
        <v>0</v>
      </c>
      <c r="R5116" t="s">
        <v>46573</v>
      </c>
      <c r="S5116" t="s">
        <v>46705</v>
      </c>
      <c r="T5116" t="s">
        <v>48424</v>
      </c>
      <c r="U5116" t="s">
        <v>53003</v>
      </c>
      <c r="V5116" t="s">
        <v>49667</v>
      </c>
      <c r="W5116" t="s">
        <v>44450</v>
      </c>
      <c r="X5116" t="s">
        <v>46574</v>
      </c>
    </row>
    <row r="5117" spans="1:24">
      <c r="A5117">
        <f>HYPERLINK("https://www.philgeps.gov.ph/GEPSNONPILOT/Tender/SplashBidNoticeAbstractUI.aspx?menuIndex=3&amp;refID=7059043&amp;Result=3","7059043")</f>
        <v>0</v>
      </c>
      <c r="B5117" t="s">
        <v>459</v>
      </c>
      <c r="C5117" t="s">
        <v>8421</v>
      </c>
      <c r="D5117" t="s">
        <v>18857</v>
      </c>
      <c r="E5117" t="s">
        <v>23475</v>
      </c>
      <c r="F5117" t="s">
        <v>32664</v>
      </c>
      <c r="G5117" t="s">
        <v>32672</v>
      </c>
      <c r="H5117" t="s">
        <v>12635</v>
      </c>
      <c r="I5117" t="s">
        <v>11464</v>
      </c>
      <c r="J5117" t="s">
        <v>36084</v>
      </c>
      <c r="K5117" t="s">
        <v>42281</v>
      </c>
      <c r="M5117" t="s">
        <v>43032</v>
      </c>
      <c r="N5117" t="s">
        <v>46569</v>
      </c>
      <c r="O5117" t="s">
        <v>46570</v>
      </c>
      <c r="P5117">
        <v>0</v>
      </c>
      <c r="Q5117">
        <v>2</v>
      </c>
      <c r="R5117" t="s">
        <v>46573</v>
      </c>
      <c r="S5117" t="s">
        <v>46705</v>
      </c>
      <c r="T5117" t="s">
        <v>48216</v>
      </c>
      <c r="U5117" t="s">
        <v>53017</v>
      </c>
      <c r="W5117" t="s">
        <v>43032</v>
      </c>
      <c r="X5117" t="s">
        <v>46574</v>
      </c>
    </row>
    <row r="5118" spans="1:24">
      <c r="A5118">
        <f>HYPERLINK("https://www.philgeps.gov.ph/GEPSNONPILOT/Tender/SplashBidNoticeAbstractUI.aspx?menuIndex=3&amp;refID=7058962&amp;Result=3","7058962")</f>
        <v>0</v>
      </c>
      <c r="B5118" t="s">
        <v>1753</v>
      </c>
      <c r="C5118" t="s">
        <v>8422</v>
      </c>
      <c r="D5118" t="s">
        <v>18784</v>
      </c>
      <c r="E5118" t="s">
        <v>23476</v>
      </c>
      <c r="F5118" t="s">
        <v>32664</v>
      </c>
      <c r="G5118" t="s">
        <v>32671</v>
      </c>
      <c r="H5118" t="s">
        <v>12635</v>
      </c>
      <c r="I5118" t="s">
        <v>4439</v>
      </c>
      <c r="J5118" t="s">
        <v>36085</v>
      </c>
      <c r="K5118" t="s">
        <v>42281</v>
      </c>
      <c r="M5118" t="s">
        <v>44453</v>
      </c>
      <c r="N5118" t="s">
        <v>46569</v>
      </c>
      <c r="O5118" t="s">
        <v>46570</v>
      </c>
      <c r="P5118">
        <v>0</v>
      </c>
      <c r="Q5118">
        <v>2</v>
      </c>
      <c r="R5118" t="s">
        <v>46573</v>
      </c>
      <c r="S5118" t="s">
        <v>46705</v>
      </c>
      <c r="T5118" t="s">
        <v>48219</v>
      </c>
      <c r="U5118" t="s">
        <v>53018</v>
      </c>
      <c r="W5118" t="s">
        <v>44453</v>
      </c>
      <c r="X5118" t="s">
        <v>46574</v>
      </c>
    </row>
    <row r="5119" spans="1:24">
      <c r="A5119">
        <f>HYPERLINK("https://www.philgeps.gov.ph/GEPSNONPILOT/Tender/SplashBidNoticeAbstractUI.aspx?menuIndex=3&amp;refID=7059039&amp;Result=3","7059039")</f>
        <v>0</v>
      </c>
      <c r="B5119" t="s">
        <v>1750</v>
      </c>
      <c r="C5119" t="s">
        <v>8423</v>
      </c>
      <c r="D5119" t="s">
        <v>18781</v>
      </c>
      <c r="E5119" t="s">
        <v>23477</v>
      </c>
      <c r="F5119" t="s">
        <v>32664</v>
      </c>
      <c r="G5119" t="s">
        <v>32672</v>
      </c>
      <c r="H5119" t="s">
        <v>32683</v>
      </c>
      <c r="I5119" t="s">
        <v>4439</v>
      </c>
      <c r="J5119" t="s">
        <v>33150</v>
      </c>
      <c r="K5119" t="s">
        <v>42308</v>
      </c>
      <c r="M5119" t="s">
        <v>44450</v>
      </c>
      <c r="N5119" t="s">
        <v>46569</v>
      </c>
      <c r="O5119" t="s">
        <v>46570</v>
      </c>
      <c r="P5119">
        <v>0</v>
      </c>
      <c r="Q5119">
        <v>0</v>
      </c>
      <c r="R5119" t="s">
        <v>46573</v>
      </c>
      <c r="S5119" t="s">
        <v>46705</v>
      </c>
      <c r="T5119" t="s">
        <v>48424</v>
      </c>
      <c r="U5119" t="s">
        <v>53003</v>
      </c>
      <c r="V5119" t="s">
        <v>49667</v>
      </c>
      <c r="W5119" t="s">
        <v>44450</v>
      </c>
      <c r="X5119" t="s">
        <v>46574</v>
      </c>
    </row>
    <row r="5120" spans="1:24">
      <c r="A5120">
        <f>HYPERLINK("https://www.philgeps.gov.ph/GEPSNONPILOT/Tender/SplashBidNoticeAbstractUI.aspx?menuIndex=3&amp;refID=7059056&amp;Result=3","7059056")</f>
        <v>0</v>
      </c>
      <c r="B5120" t="s">
        <v>366</v>
      </c>
      <c r="C5120" t="s">
        <v>8424</v>
      </c>
      <c r="D5120" t="s">
        <v>18785</v>
      </c>
      <c r="E5120" t="s">
        <v>23478</v>
      </c>
      <c r="F5120" t="s">
        <v>32664</v>
      </c>
      <c r="G5120" t="s">
        <v>32675</v>
      </c>
      <c r="H5120" t="s">
        <v>12635</v>
      </c>
      <c r="I5120" t="s">
        <v>32685</v>
      </c>
      <c r="J5120" t="s">
        <v>36086</v>
      </c>
      <c r="K5120" t="s">
        <v>42283</v>
      </c>
      <c r="M5120" t="s">
        <v>44456</v>
      </c>
      <c r="N5120" t="s">
        <v>46569</v>
      </c>
      <c r="O5120" t="s">
        <v>46570</v>
      </c>
      <c r="P5120">
        <v>0</v>
      </c>
      <c r="Q5120">
        <v>2</v>
      </c>
      <c r="R5120" t="s">
        <v>46573</v>
      </c>
      <c r="S5120" t="s">
        <v>46705</v>
      </c>
      <c r="T5120" t="s">
        <v>48285</v>
      </c>
      <c r="U5120" t="s">
        <v>53019</v>
      </c>
      <c r="W5120" t="s">
        <v>44456</v>
      </c>
      <c r="X5120" t="s">
        <v>46574</v>
      </c>
    </row>
    <row r="5121" spans="1:24">
      <c r="A5121">
        <f>HYPERLINK("https://www.philgeps.gov.ph/GEPSNONPILOT/Tender/SplashBidNoticeAbstractUI.aspx?menuIndex=3&amp;refID=7059038&amp;Result=3","7059038")</f>
        <v>0</v>
      </c>
      <c r="B5121" t="s">
        <v>204</v>
      </c>
      <c r="C5121" t="s">
        <v>8425</v>
      </c>
      <c r="D5121" t="s">
        <v>18816</v>
      </c>
      <c r="E5121" t="s">
        <v>23479</v>
      </c>
      <c r="F5121" t="s">
        <v>32664</v>
      </c>
      <c r="G5121" t="s">
        <v>32674</v>
      </c>
      <c r="H5121" t="s">
        <v>12635</v>
      </c>
      <c r="I5121" t="s">
        <v>32745</v>
      </c>
      <c r="J5121" t="s">
        <v>36087</v>
      </c>
      <c r="K5121" t="s">
        <v>42284</v>
      </c>
      <c r="M5121" t="s">
        <v>42768</v>
      </c>
      <c r="N5121" t="s">
        <v>46569</v>
      </c>
      <c r="O5121" t="s">
        <v>46570</v>
      </c>
      <c r="P5121">
        <v>0</v>
      </c>
      <c r="Q5121">
        <v>0</v>
      </c>
      <c r="R5121" t="s">
        <v>46573</v>
      </c>
      <c r="S5121" t="s">
        <v>46705</v>
      </c>
      <c r="T5121" t="s">
        <v>48473</v>
      </c>
      <c r="U5121" t="s">
        <v>49145</v>
      </c>
      <c r="W5121" t="s">
        <v>42768</v>
      </c>
      <c r="X5121" t="s">
        <v>46574</v>
      </c>
    </row>
    <row r="5122" spans="1:24">
      <c r="A5122">
        <f>HYPERLINK("https://www.philgeps.gov.ph/GEPSNONPILOT/Tender/SplashBidNoticeAbstractUI.aspx?menuIndex=3&amp;refID=7059036&amp;Result=3","7059036")</f>
        <v>0</v>
      </c>
      <c r="B5122" t="s">
        <v>1692</v>
      </c>
      <c r="C5122" t="s">
        <v>8426</v>
      </c>
      <c r="D5122" t="s">
        <v>18817</v>
      </c>
      <c r="E5122" t="s">
        <v>23480</v>
      </c>
      <c r="F5122" t="s">
        <v>32664</v>
      </c>
      <c r="G5122" t="s">
        <v>32671</v>
      </c>
      <c r="H5122" t="s">
        <v>12635</v>
      </c>
      <c r="I5122" t="s">
        <v>10361</v>
      </c>
      <c r="J5122" t="s">
        <v>36088</v>
      </c>
      <c r="K5122" t="s">
        <v>42309</v>
      </c>
      <c r="M5122" t="s">
        <v>44382</v>
      </c>
      <c r="N5122" t="s">
        <v>46569</v>
      </c>
      <c r="O5122" t="s">
        <v>46570</v>
      </c>
      <c r="P5122">
        <v>0</v>
      </c>
      <c r="Q5122">
        <v>1</v>
      </c>
      <c r="R5122" t="s">
        <v>46573</v>
      </c>
      <c r="S5122" t="s">
        <v>46705</v>
      </c>
      <c r="T5122" t="s">
        <v>48249</v>
      </c>
      <c r="U5122" t="s">
        <v>53020</v>
      </c>
      <c r="W5122" t="s">
        <v>44382</v>
      </c>
      <c r="X5122" t="s">
        <v>46574</v>
      </c>
    </row>
    <row r="5123" spans="1:24">
      <c r="A5123">
        <f>HYPERLINK("https://www.philgeps.gov.ph/GEPSNONPILOT/Tender/SplashBidNoticeAbstractUI.aspx?menuIndex=3&amp;refID=7059005&amp;Result=3","7059005")</f>
        <v>0</v>
      </c>
      <c r="B5123" t="s">
        <v>1163</v>
      </c>
      <c r="C5123" t="s">
        <v>6344</v>
      </c>
      <c r="D5123" t="s">
        <v>18847</v>
      </c>
      <c r="E5123" t="s">
        <v>23481</v>
      </c>
      <c r="F5123" t="s">
        <v>32664</v>
      </c>
      <c r="G5123" t="s">
        <v>32675</v>
      </c>
      <c r="H5123" t="s">
        <v>12635</v>
      </c>
      <c r="I5123" t="s">
        <v>6223</v>
      </c>
      <c r="J5123" t="s">
        <v>36089</v>
      </c>
      <c r="K5123" t="s">
        <v>42284</v>
      </c>
      <c r="M5123" t="s">
        <v>43796</v>
      </c>
      <c r="N5123" t="s">
        <v>46569</v>
      </c>
      <c r="O5123" t="s">
        <v>46570</v>
      </c>
      <c r="P5123">
        <v>0</v>
      </c>
      <c r="Q5123">
        <v>0</v>
      </c>
      <c r="R5123" t="s">
        <v>46573</v>
      </c>
      <c r="S5123" t="s">
        <v>46705</v>
      </c>
      <c r="T5123" t="s">
        <v>48316</v>
      </c>
      <c r="U5123" t="s">
        <v>53021</v>
      </c>
      <c r="W5123" t="s">
        <v>43796</v>
      </c>
      <c r="X5123" t="s">
        <v>46574</v>
      </c>
    </row>
    <row r="5124" spans="1:24">
      <c r="A5124">
        <f>HYPERLINK("https://www.philgeps.gov.ph/GEPSNONPILOT/Tender/SplashBidNoticeAbstractUI.aspx?menuIndex=3&amp;refID=7059049&amp;Result=3","7059049")</f>
        <v>0</v>
      </c>
      <c r="B5124" t="s">
        <v>1756</v>
      </c>
      <c r="C5124" t="s">
        <v>8427</v>
      </c>
      <c r="D5124" t="s">
        <v>18806</v>
      </c>
      <c r="E5124" t="s">
        <v>23482</v>
      </c>
      <c r="F5124" t="s">
        <v>32664</v>
      </c>
      <c r="G5124" t="s">
        <v>32671</v>
      </c>
      <c r="H5124" t="s">
        <v>32683</v>
      </c>
      <c r="I5124" t="s">
        <v>32701</v>
      </c>
      <c r="J5124" t="s">
        <v>36090</v>
      </c>
      <c r="K5124" t="s">
        <v>42398</v>
      </c>
      <c r="M5124" t="s">
        <v>44457</v>
      </c>
      <c r="N5124" t="s">
        <v>46569</v>
      </c>
      <c r="O5124" t="s">
        <v>46570</v>
      </c>
      <c r="P5124">
        <v>0</v>
      </c>
      <c r="Q5124">
        <v>0</v>
      </c>
      <c r="R5124" t="s">
        <v>46573</v>
      </c>
      <c r="S5124" t="s">
        <v>46705</v>
      </c>
      <c r="T5124" t="s">
        <v>48316</v>
      </c>
      <c r="U5124" t="s">
        <v>53022</v>
      </c>
      <c r="W5124" t="s">
        <v>44457</v>
      </c>
      <c r="X5124" t="s">
        <v>46574</v>
      </c>
    </row>
    <row r="5125" spans="1:24">
      <c r="A5125">
        <f>HYPERLINK("https://www.philgeps.gov.ph/GEPSNONPILOT/Tender/SplashBidNoticeAbstractUI.aspx?menuIndex=3&amp;refID=7059033&amp;Result=3","7059033")</f>
        <v>0</v>
      </c>
      <c r="B5125" t="s">
        <v>577</v>
      </c>
      <c r="C5125" t="s">
        <v>8428</v>
      </c>
      <c r="D5125" t="s">
        <v>18859</v>
      </c>
      <c r="E5125" t="s">
        <v>23483</v>
      </c>
      <c r="F5125" t="s">
        <v>32664</v>
      </c>
      <c r="G5125" t="s">
        <v>32674</v>
      </c>
      <c r="H5125" t="s">
        <v>12635</v>
      </c>
      <c r="I5125" t="s">
        <v>32712</v>
      </c>
      <c r="J5125" t="s">
        <v>32842</v>
      </c>
      <c r="K5125" t="s">
        <v>42281</v>
      </c>
      <c r="M5125" t="s">
        <v>43157</v>
      </c>
      <c r="N5125" t="s">
        <v>46569</v>
      </c>
      <c r="O5125" t="s">
        <v>46570</v>
      </c>
      <c r="P5125">
        <v>0</v>
      </c>
      <c r="Q5125">
        <v>3</v>
      </c>
      <c r="R5125" t="s">
        <v>46573</v>
      </c>
      <c r="S5125" t="s">
        <v>46705</v>
      </c>
      <c r="T5125" t="s">
        <v>48534</v>
      </c>
      <c r="U5125" t="s">
        <v>53023</v>
      </c>
      <c r="W5125" t="s">
        <v>43157</v>
      </c>
      <c r="X5125" t="s">
        <v>46574</v>
      </c>
    </row>
    <row r="5126" spans="1:24">
      <c r="A5126">
        <f>HYPERLINK("https://www.philgeps.gov.ph/GEPSNONPILOT/Tender/SplashBidNoticeAbstractUI.aspx?menuIndex=3&amp;refID=7059030&amp;Result=3","7059030")</f>
        <v>0</v>
      </c>
      <c r="B5126" t="s">
        <v>1757</v>
      </c>
      <c r="C5126" t="s">
        <v>8429</v>
      </c>
      <c r="D5126" t="s">
        <v>18806</v>
      </c>
      <c r="E5126" t="s">
        <v>23484</v>
      </c>
      <c r="F5126" t="s">
        <v>32664</v>
      </c>
      <c r="G5126" t="s">
        <v>32671</v>
      </c>
      <c r="H5126" t="s">
        <v>12635</v>
      </c>
      <c r="I5126" t="s">
        <v>5589</v>
      </c>
      <c r="J5126" t="s">
        <v>33147</v>
      </c>
      <c r="K5126" t="s">
        <v>42306</v>
      </c>
      <c r="M5126" t="s">
        <v>44458</v>
      </c>
      <c r="N5126" t="s">
        <v>46569</v>
      </c>
      <c r="O5126" t="s">
        <v>46570</v>
      </c>
      <c r="P5126">
        <v>0</v>
      </c>
      <c r="Q5126">
        <v>2</v>
      </c>
      <c r="R5126" t="s">
        <v>46573</v>
      </c>
      <c r="S5126" t="s">
        <v>46705</v>
      </c>
      <c r="T5126" t="s">
        <v>48535</v>
      </c>
      <c r="U5126" t="s">
        <v>53024</v>
      </c>
      <c r="W5126" t="s">
        <v>63531</v>
      </c>
      <c r="X5126" t="s">
        <v>46574</v>
      </c>
    </row>
    <row r="5127" spans="1:24">
      <c r="A5127">
        <f>HYPERLINK("https://www.philgeps.gov.ph/GEPSNONPILOT/Tender/SplashBidNoticeAbstractUI.aspx?menuIndex=3&amp;refID=7059053&amp;Result=3","7059053")</f>
        <v>0</v>
      </c>
      <c r="B5127" t="s">
        <v>577</v>
      </c>
      <c r="C5127" t="s">
        <v>8430</v>
      </c>
      <c r="D5127" t="s">
        <v>18859</v>
      </c>
      <c r="E5127" t="s">
        <v>23485</v>
      </c>
      <c r="F5127" t="s">
        <v>32664</v>
      </c>
      <c r="G5127" t="s">
        <v>32674</v>
      </c>
      <c r="H5127" t="s">
        <v>12635</v>
      </c>
      <c r="I5127" t="s">
        <v>32712</v>
      </c>
      <c r="J5127" t="s">
        <v>34408</v>
      </c>
      <c r="K5127" t="s">
        <v>42281</v>
      </c>
      <c r="M5127" t="s">
        <v>43157</v>
      </c>
      <c r="N5127" t="s">
        <v>46569</v>
      </c>
      <c r="O5127" t="s">
        <v>46570</v>
      </c>
      <c r="P5127">
        <v>0</v>
      </c>
      <c r="Q5127">
        <v>1</v>
      </c>
      <c r="R5127" t="s">
        <v>46573</v>
      </c>
      <c r="S5127" t="s">
        <v>46705</v>
      </c>
      <c r="T5127" t="s">
        <v>48536</v>
      </c>
      <c r="U5127" t="s">
        <v>53025</v>
      </c>
      <c r="W5127" t="s">
        <v>43157</v>
      </c>
      <c r="X5127" t="s">
        <v>46574</v>
      </c>
    </row>
    <row r="5128" spans="1:24">
      <c r="A5128">
        <f>HYPERLINK("https://www.philgeps.gov.ph/GEPSNONPILOT/Tender/SplashBidNoticeAbstractUI.aspx?menuIndex=3&amp;refID=7059037&amp;Result=3","7059037")</f>
        <v>0</v>
      </c>
      <c r="B5128" t="s">
        <v>1708</v>
      </c>
      <c r="C5128" t="s">
        <v>8431</v>
      </c>
      <c r="D5128" t="s">
        <v>18827</v>
      </c>
      <c r="E5128" t="s">
        <v>23486</v>
      </c>
      <c r="F5128" t="s">
        <v>32664</v>
      </c>
      <c r="G5128" t="s">
        <v>32672</v>
      </c>
      <c r="H5128" t="s">
        <v>12635</v>
      </c>
      <c r="I5128" t="s">
        <v>14442</v>
      </c>
      <c r="J5128" t="s">
        <v>36091</v>
      </c>
      <c r="K5128" t="s">
        <v>42284</v>
      </c>
      <c r="M5128" t="s">
        <v>44402</v>
      </c>
      <c r="N5128" t="s">
        <v>46569</v>
      </c>
      <c r="O5128" t="s">
        <v>46570</v>
      </c>
      <c r="P5128">
        <v>0</v>
      </c>
      <c r="Q5128">
        <v>7</v>
      </c>
      <c r="R5128" t="s">
        <v>46573</v>
      </c>
      <c r="S5128" t="s">
        <v>46705</v>
      </c>
      <c r="T5128" t="s">
        <v>48416</v>
      </c>
      <c r="U5128" t="s">
        <v>53026</v>
      </c>
      <c r="W5128" t="s">
        <v>44402</v>
      </c>
      <c r="X5128" t="s">
        <v>46574</v>
      </c>
    </row>
    <row r="5129" spans="1:24">
      <c r="A5129">
        <f>HYPERLINK("https://www.philgeps.gov.ph/GEPSNONPILOT/Tender/SplashBidNoticeAbstractUI.aspx?menuIndex=3&amp;refID=7059084&amp;Result=3","7059084")</f>
        <v>0</v>
      </c>
      <c r="B5129" t="s">
        <v>577</v>
      </c>
      <c r="C5129" t="s">
        <v>8432</v>
      </c>
      <c r="D5129" t="s">
        <v>18859</v>
      </c>
      <c r="E5129" t="s">
        <v>23487</v>
      </c>
      <c r="F5129" t="s">
        <v>32664</v>
      </c>
      <c r="G5129" t="s">
        <v>32671</v>
      </c>
      <c r="H5129" t="s">
        <v>12635</v>
      </c>
      <c r="I5129" t="s">
        <v>32706</v>
      </c>
      <c r="J5129" t="s">
        <v>36092</v>
      </c>
      <c r="K5129" t="s">
        <v>42281</v>
      </c>
      <c r="M5129" t="s">
        <v>43157</v>
      </c>
      <c r="N5129" t="s">
        <v>46569</v>
      </c>
      <c r="O5129" t="s">
        <v>46570</v>
      </c>
      <c r="P5129">
        <v>0</v>
      </c>
      <c r="Q5129">
        <v>0</v>
      </c>
      <c r="R5129" t="s">
        <v>46573</v>
      </c>
      <c r="S5129" t="s">
        <v>46705</v>
      </c>
      <c r="T5129" t="s">
        <v>48537</v>
      </c>
      <c r="U5129" t="s">
        <v>53027</v>
      </c>
      <c r="W5129" t="s">
        <v>43157</v>
      </c>
      <c r="X5129" t="s">
        <v>46574</v>
      </c>
    </row>
    <row r="5130" spans="1:24">
      <c r="A5130">
        <f>HYPERLINK("https://www.philgeps.gov.ph/GEPSNONPILOT/Tender/SplashBidNoticeAbstractUI.aspx?menuIndex=3&amp;refID=7059083&amp;Result=3","7059083")</f>
        <v>0</v>
      </c>
      <c r="B5130" t="s">
        <v>366</v>
      </c>
      <c r="C5130" t="s">
        <v>8433</v>
      </c>
      <c r="D5130" t="s">
        <v>18785</v>
      </c>
      <c r="E5130" t="s">
        <v>23488</v>
      </c>
      <c r="F5130" t="s">
        <v>32664</v>
      </c>
      <c r="G5130" t="s">
        <v>32671</v>
      </c>
      <c r="H5130" t="s">
        <v>12635</v>
      </c>
      <c r="I5130" t="s">
        <v>32704</v>
      </c>
      <c r="J5130" t="s">
        <v>32984</v>
      </c>
      <c r="K5130" t="s">
        <v>42283</v>
      </c>
      <c r="M5130" t="s">
        <v>44456</v>
      </c>
      <c r="N5130" t="s">
        <v>46569</v>
      </c>
      <c r="O5130" t="s">
        <v>46570</v>
      </c>
      <c r="P5130">
        <v>0</v>
      </c>
      <c r="Q5130">
        <v>25</v>
      </c>
      <c r="R5130" t="s">
        <v>46573</v>
      </c>
      <c r="S5130" t="s">
        <v>46705</v>
      </c>
      <c r="T5130" t="s">
        <v>48244</v>
      </c>
      <c r="U5130" t="s">
        <v>53028</v>
      </c>
      <c r="W5130" t="s">
        <v>44456</v>
      </c>
      <c r="X5130" t="s">
        <v>46574</v>
      </c>
    </row>
    <row r="5131" spans="1:24">
      <c r="A5131">
        <f>HYPERLINK("https://www.philgeps.gov.ph/GEPSNONPILOT/Tender/SplashBidNoticeAbstractUI.aspx?menuIndex=3&amp;refID=7059081&amp;Result=3","7059081")</f>
        <v>0</v>
      </c>
      <c r="B5131" t="s">
        <v>1758</v>
      </c>
      <c r="C5131" t="s">
        <v>8434</v>
      </c>
      <c r="D5131" t="s">
        <v>18813</v>
      </c>
      <c r="E5131" t="s">
        <v>23489</v>
      </c>
      <c r="F5131" t="s">
        <v>32665</v>
      </c>
      <c r="G5131" t="s">
        <v>32674</v>
      </c>
      <c r="H5131" t="s">
        <v>12635</v>
      </c>
      <c r="I5131" t="s">
        <v>6628</v>
      </c>
      <c r="J5131" t="s">
        <v>33461</v>
      </c>
      <c r="K5131" t="s">
        <v>42297</v>
      </c>
      <c r="M5131" t="s">
        <v>44459</v>
      </c>
      <c r="N5131" t="s">
        <v>46569</v>
      </c>
      <c r="O5131" t="s">
        <v>46570</v>
      </c>
      <c r="P5131">
        <v>0</v>
      </c>
      <c r="Q5131">
        <v>2</v>
      </c>
      <c r="R5131" t="s">
        <v>46573</v>
      </c>
      <c r="S5131" t="s">
        <v>46705</v>
      </c>
      <c r="T5131" t="s">
        <v>48287</v>
      </c>
      <c r="U5131" t="s">
        <v>53029</v>
      </c>
      <c r="V5131" t="s">
        <v>62154</v>
      </c>
      <c r="W5131" t="s">
        <v>44459</v>
      </c>
      <c r="X5131" t="s">
        <v>46574</v>
      </c>
    </row>
    <row r="5132" spans="1:24">
      <c r="A5132">
        <f>HYPERLINK("https://www.philgeps.gov.ph/GEPSNONPILOT/Tender/SplashBidNoticeAbstractUI.aspx?menuIndex=3&amp;refID=7059054&amp;Result=3","7059054")</f>
        <v>0</v>
      </c>
      <c r="B5132" t="s">
        <v>431</v>
      </c>
      <c r="C5132" t="s">
        <v>8435</v>
      </c>
      <c r="D5132" t="s">
        <v>18786</v>
      </c>
      <c r="E5132" t="s">
        <v>23490</v>
      </c>
      <c r="F5132" t="s">
        <v>32664</v>
      </c>
      <c r="G5132" t="s">
        <v>32671</v>
      </c>
      <c r="H5132" t="s">
        <v>12635</v>
      </c>
      <c r="I5132" t="s">
        <v>4439</v>
      </c>
      <c r="J5132" t="s">
        <v>36093</v>
      </c>
      <c r="K5132" t="s">
        <v>42284</v>
      </c>
      <c r="M5132" t="s">
        <v>43002</v>
      </c>
      <c r="N5132" t="s">
        <v>46569</v>
      </c>
      <c r="O5132" t="s">
        <v>46570</v>
      </c>
      <c r="P5132">
        <v>0</v>
      </c>
      <c r="Q5132">
        <v>0</v>
      </c>
      <c r="R5132" t="s">
        <v>46573</v>
      </c>
      <c r="S5132" t="s">
        <v>46705</v>
      </c>
      <c r="T5132" t="s">
        <v>48307</v>
      </c>
      <c r="U5132" t="s">
        <v>49544</v>
      </c>
      <c r="W5132" t="s">
        <v>63476</v>
      </c>
      <c r="X5132" t="s">
        <v>46574</v>
      </c>
    </row>
    <row r="5133" spans="1:24">
      <c r="A5133">
        <f>HYPERLINK("https://www.philgeps.gov.ph/GEPSNONPILOT/Tender/SplashBidNoticeAbstractUI.aspx?menuIndex=3&amp;refID=7059080&amp;Result=3","7059080")</f>
        <v>0</v>
      </c>
      <c r="B5133" t="s">
        <v>1759</v>
      </c>
      <c r="C5133" t="s">
        <v>8436</v>
      </c>
      <c r="D5133" t="s">
        <v>18788</v>
      </c>
      <c r="E5133" t="s">
        <v>23491</v>
      </c>
      <c r="F5133" t="s">
        <v>32664</v>
      </c>
      <c r="G5133" t="s">
        <v>32671</v>
      </c>
      <c r="H5133" t="s">
        <v>12635</v>
      </c>
      <c r="I5133" t="s">
        <v>6168</v>
      </c>
      <c r="J5133" t="s">
        <v>36094</v>
      </c>
      <c r="K5133" t="s">
        <v>42289</v>
      </c>
      <c r="M5133" t="s">
        <v>44460</v>
      </c>
      <c r="N5133" t="s">
        <v>46569</v>
      </c>
      <c r="O5133" t="s">
        <v>46570</v>
      </c>
      <c r="P5133">
        <v>0</v>
      </c>
      <c r="Q5133">
        <v>1</v>
      </c>
      <c r="R5133" t="s">
        <v>46573</v>
      </c>
      <c r="S5133" t="s">
        <v>46705</v>
      </c>
      <c r="T5133" t="s">
        <v>48287</v>
      </c>
      <c r="U5133" t="s">
        <v>53030</v>
      </c>
      <c r="W5133" t="s">
        <v>44460</v>
      </c>
      <c r="X5133" t="s">
        <v>46574</v>
      </c>
    </row>
    <row r="5134" spans="1:24">
      <c r="A5134">
        <f>HYPERLINK("https://www.philgeps.gov.ph/GEPSNONPILOT/Tender/SplashBidNoticeAbstractUI.aspx?menuIndex=3&amp;refID=7059079&amp;Result=3","7059079")</f>
        <v>0</v>
      </c>
      <c r="B5134" t="s">
        <v>1760</v>
      </c>
      <c r="C5134" t="s">
        <v>8437</v>
      </c>
      <c r="D5134" t="s">
        <v>18791</v>
      </c>
      <c r="E5134" t="s">
        <v>23492</v>
      </c>
      <c r="F5134" t="s">
        <v>32664</v>
      </c>
      <c r="G5134" t="s">
        <v>32674</v>
      </c>
      <c r="H5134" t="s">
        <v>12635</v>
      </c>
      <c r="I5134" t="s">
        <v>32727</v>
      </c>
      <c r="J5134" t="s">
        <v>33102</v>
      </c>
      <c r="K5134" t="s">
        <v>42289</v>
      </c>
      <c r="M5134" t="s">
        <v>44461</v>
      </c>
      <c r="N5134" t="s">
        <v>46569</v>
      </c>
      <c r="O5134" t="s">
        <v>46570</v>
      </c>
      <c r="P5134">
        <v>0</v>
      </c>
      <c r="Q5134">
        <v>1</v>
      </c>
      <c r="R5134" t="s">
        <v>46573</v>
      </c>
      <c r="S5134" t="s">
        <v>46705</v>
      </c>
      <c r="T5134" t="s">
        <v>48305</v>
      </c>
      <c r="U5134" t="s">
        <v>53031</v>
      </c>
      <c r="V5134" t="s">
        <v>62155</v>
      </c>
      <c r="W5134" t="s">
        <v>44461</v>
      </c>
      <c r="X5134" t="s">
        <v>46574</v>
      </c>
    </row>
    <row r="5135" spans="1:24">
      <c r="A5135">
        <f>HYPERLINK("https://www.philgeps.gov.ph/GEPSNONPILOT/Tender/SplashBidNoticeAbstractUI.aspx?menuIndex=3&amp;refID=7059035&amp;Result=3","7059035")</f>
        <v>0</v>
      </c>
      <c r="B5135" t="s">
        <v>1314</v>
      </c>
      <c r="C5135" t="s">
        <v>8438</v>
      </c>
      <c r="D5135" t="s">
        <v>18811</v>
      </c>
      <c r="E5135" t="s">
        <v>23493</v>
      </c>
      <c r="F5135" t="s">
        <v>32664</v>
      </c>
      <c r="G5135" t="s">
        <v>32672</v>
      </c>
      <c r="H5135" t="s">
        <v>32683</v>
      </c>
      <c r="I5135" t="s">
        <v>4439</v>
      </c>
      <c r="J5135" t="s">
        <v>36095</v>
      </c>
      <c r="K5135" t="s">
        <v>42311</v>
      </c>
      <c r="M5135" t="s">
        <v>43963</v>
      </c>
      <c r="N5135" t="s">
        <v>46569</v>
      </c>
      <c r="O5135" t="s">
        <v>46570</v>
      </c>
      <c r="P5135">
        <v>0</v>
      </c>
      <c r="Q5135">
        <v>3</v>
      </c>
      <c r="R5135" t="s">
        <v>46573</v>
      </c>
      <c r="S5135" t="s">
        <v>46705</v>
      </c>
      <c r="T5135" t="s">
        <v>48270</v>
      </c>
      <c r="U5135" t="s">
        <v>51587</v>
      </c>
      <c r="V5135" t="s">
        <v>62156</v>
      </c>
      <c r="W5135" t="s">
        <v>43963</v>
      </c>
      <c r="X5135" t="s">
        <v>46574</v>
      </c>
    </row>
    <row r="5136" spans="1:24">
      <c r="A5136">
        <f>HYPERLINK("https://www.philgeps.gov.ph/GEPSNONPILOT/Tender/SplashBidNoticeAbstractUI.aspx?menuIndex=3&amp;refID=7059082&amp;Result=3","7059082")</f>
        <v>0</v>
      </c>
      <c r="B5136" t="s">
        <v>1761</v>
      </c>
      <c r="C5136" t="s">
        <v>8439</v>
      </c>
      <c r="D5136" t="s">
        <v>18788</v>
      </c>
      <c r="E5136" t="s">
        <v>18889</v>
      </c>
      <c r="F5136" t="s">
        <v>32664</v>
      </c>
      <c r="G5136" t="s">
        <v>32672</v>
      </c>
      <c r="H5136" t="s">
        <v>12635</v>
      </c>
      <c r="I5136" t="s">
        <v>4439</v>
      </c>
      <c r="J5136" t="s">
        <v>36096</v>
      </c>
      <c r="K5136" t="s">
        <v>42289</v>
      </c>
      <c r="M5136" t="s">
        <v>44462</v>
      </c>
      <c r="N5136" t="s">
        <v>46569</v>
      </c>
      <c r="O5136" t="s">
        <v>46570</v>
      </c>
      <c r="P5136">
        <v>0</v>
      </c>
      <c r="Q5136">
        <v>0</v>
      </c>
      <c r="R5136" t="s">
        <v>46573</v>
      </c>
      <c r="S5136" t="s">
        <v>46705</v>
      </c>
      <c r="T5136" t="s">
        <v>48302</v>
      </c>
      <c r="U5136" t="s">
        <v>53032</v>
      </c>
      <c r="W5136" t="s">
        <v>44462</v>
      </c>
      <c r="X5136" t="s">
        <v>46574</v>
      </c>
    </row>
    <row r="5137" spans="1:24">
      <c r="A5137">
        <f>HYPERLINK("https://www.philgeps.gov.ph/GEPSNONPILOT/Tender/SplashBidNoticeAbstractUI.aspx?menuIndex=3&amp;refID=7059076&amp;Result=3","7059076")</f>
        <v>0</v>
      </c>
      <c r="B5137" t="s">
        <v>912</v>
      </c>
      <c r="C5137" t="s">
        <v>8440</v>
      </c>
      <c r="D5137" t="s">
        <v>18784</v>
      </c>
      <c r="E5137" t="s">
        <v>23494</v>
      </c>
      <c r="F5137" t="s">
        <v>32664</v>
      </c>
      <c r="G5137" t="s">
        <v>32671</v>
      </c>
      <c r="H5137" t="s">
        <v>32682</v>
      </c>
      <c r="I5137" t="s">
        <v>32758</v>
      </c>
      <c r="J5137" t="s">
        <v>33163</v>
      </c>
      <c r="K5137" t="s">
        <v>42284</v>
      </c>
      <c r="M5137" t="s">
        <v>43518</v>
      </c>
      <c r="N5137" t="s">
        <v>46569</v>
      </c>
      <c r="O5137" t="s">
        <v>46570</v>
      </c>
      <c r="P5137">
        <v>0</v>
      </c>
      <c r="Q5137">
        <v>0</v>
      </c>
      <c r="R5137" t="s">
        <v>46573</v>
      </c>
      <c r="S5137" t="s">
        <v>46705</v>
      </c>
      <c r="T5137" t="s">
        <v>48287</v>
      </c>
      <c r="U5137" t="s">
        <v>53033</v>
      </c>
      <c r="W5137" t="s">
        <v>43518</v>
      </c>
      <c r="X5137" t="s">
        <v>46574</v>
      </c>
    </row>
    <row r="5138" spans="1:24">
      <c r="A5138">
        <f>HYPERLINK("https://www.philgeps.gov.ph/GEPSNONPILOT/Tender/SplashBidNoticeAbstractUI.aspx?menuIndex=3&amp;refID=7059032&amp;Result=3","7059032")</f>
        <v>0</v>
      </c>
      <c r="B5138" t="s">
        <v>903</v>
      </c>
      <c r="C5138" t="s">
        <v>8441</v>
      </c>
      <c r="D5138" t="s">
        <v>18786</v>
      </c>
      <c r="E5138" t="s">
        <v>23495</v>
      </c>
      <c r="F5138" t="s">
        <v>32664</v>
      </c>
      <c r="G5138" t="s">
        <v>32671</v>
      </c>
      <c r="H5138" t="s">
        <v>12635</v>
      </c>
      <c r="I5138" t="s">
        <v>32694</v>
      </c>
      <c r="J5138" t="s">
        <v>33196</v>
      </c>
      <c r="K5138" t="s">
        <v>42440</v>
      </c>
      <c r="M5138" t="s">
        <v>43507</v>
      </c>
      <c r="N5138" t="s">
        <v>46569</v>
      </c>
      <c r="O5138" t="s">
        <v>46570</v>
      </c>
      <c r="P5138">
        <v>0</v>
      </c>
      <c r="Q5138">
        <v>1</v>
      </c>
      <c r="R5138" t="s">
        <v>46573</v>
      </c>
      <c r="S5138" t="s">
        <v>46705</v>
      </c>
      <c r="T5138" t="s">
        <v>48287</v>
      </c>
      <c r="U5138" t="s">
        <v>53034</v>
      </c>
      <c r="W5138" t="s">
        <v>43507</v>
      </c>
      <c r="X5138" t="s">
        <v>46574</v>
      </c>
    </row>
    <row r="5139" spans="1:24">
      <c r="A5139">
        <f>HYPERLINK("https://www.philgeps.gov.ph/GEPSNONPILOT/Tender/SplashBidNoticeAbstractUI.aspx?menuIndex=3&amp;refID=7059075&amp;Result=3","7059075")</f>
        <v>0</v>
      </c>
      <c r="B5139" t="s">
        <v>1762</v>
      </c>
      <c r="C5139" t="s">
        <v>8442</v>
      </c>
      <c r="D5139" t="s">
        <v>18805</v>
      </c>
      <c r="E5139" t="s">
        <v>21294</v>
      </c>
      <c r="F5139" t="s">
        <v>32664</v>
      </c>
      <c r="G5139" t="s">
        <v>32674</v>
      </c>
      <c r="H5139" t="s">
        <v>12635</v>
      </c>
      <c r="I5139" t="s">
        <v>5589</v>
      </c>
      <c r="J5139" t="s">
        <v>32898</v>
      </c>
      <c r="K5139" t="s">
        <v>42284</v>
      </c>
      <c r="M5139" t="s">
        <v>44463</v>
      </c>
      <c r="N5139" t="s">
        <v>46569</v>
      </c>
      <c r="O5139" t="s">
        <v>46570</v>
      </c>
      <c r="P5139">
        <v>0</v>
      </c>
      <c r="Q5139">
        <v>2</v>
      </c>
      <c r="R5139" t="s">
        <v>46573</v>
      </c>
      <c r="S5139" t="s">
        <v>46705</v>
      </c>
      <c r="T5139" t="s">
        <v>48254</v>
      </c>
      <c r="U5139" t="s">
        <v>53035</v>
      </c>
      <c r="W5139" t="s">
        <v>44463</v>
      </c>
      <c r="X5139" t="s">
        <v>46574</v>
      </c>
    </row>
    <row r="5140" spans="1:24">
      <c r="A5140">
        <f>HYPERLINK("https://www.philgeps.gov.ph/GEPSNONPILOT/Tender/SplashBidNoticeAbstractUI.aspx?menuIndex=3&amp;refID=7059071&amp;Result=3","7059071")</f>
        <v>0</v>
      </c>
      <c r="B5140" t="s">
        <v>74</v>
      </c>
      <c r="C5140" t="s">
        <v>8443</v>
      </c>
      <c r="D5140" t="s">
        <v>18816</v>
      </c>
      <c r="E5140" t="s">
        <v>23496</v>
      </c>
      <c r="F5140" t="s">
        <v>32664</v>
      </c>
      <c r="G5140" t="s">
        <v>32671</v>
      </c>
      <c r="H5140" t="s">
        <v>12635</v>
      </c>
      <c r="I5140" t="s">
        <v>4439</v>
      </c>
      <c r="J5140" t="s">
        <v>33899</v>
      </c>
      <c r="K5140" t="s">
        <v>42303</v>
      </c>
      <c r="M5140" t="s">
        <v>42637</v>
      </c>
      <c r="N5140" t="s">
        <v>46569</v>
      </c>
      <c r="O5140" t="s">
        <v>46570</v>
      </c>
      <c r="P5140">
        <v>0</v>
      </c>
      <c r="Q5140">
        <v>0</v>
      </c>
      <c r="R5140" t="s">
        <v>46573</v>
      </c>
      <c r="S5140" t="s">
        <v>46705</v>
      </c>
      <c r="T5140" t="s">
        <v>48316</v>
      </c>
      <c r="U5140" t="s">
        <v>53036</v>
      </c>
      <c r="W5140" t="s">
        <v>42637</v>
      </c>
      <c r="X5140" t="s">
        <v>46574</v>
      </c>
    </row>
    <row r="5141" spans="1:24">
      <c r="A5141">
        <f>HYPERLINK("https://www.philgeps.gov.ph/GEPSNONPILOT/Tender/SplashBidNoticeAbstractUI.aspx?menuIndex=3&amp;refID=7059069&amp;Result=3","7059069")</f>
        <v>0</v>
      </c>
      <c r="B5141" t="s">
        <v>1763</v>
      </c>
      <c r="C5141" t="s">
        <v>5075</v>
      </c>
      <c r="D5141" t="s">
        <v>18826</v>
      </c>
      <c r="E5141" t="s">
        <v>23497</v>
      </c>
      <c r="F5141" t="s">
        <v>32664</v>
      </c>
      <c r="G5141" t="s">
        <v>32671</v>
      </c>
      <c r="H5141" t="s">
        <v>12635</v>
      </c>
      <c r="I5141" t="s">
        <v>6628</v>
      </c>
      <c r="J5141" t="s">
        <v>32959</v>
      </c>
      <c r="K5141" t="s">
        <v>42289</v>
      </c>
      <c r="M5141" t="s">
        <v>44464</v>
      </c>
      <c r="N5141" t="s">
        <v>46569</v>
      </c>
      <c r="O5141" t="s">
        <v>46570</v>
      </c>
      <c r="P5141">
        <v>0</v>
      </c>
      <c r="Q5141">
        <v>0</v>
      </c>
      <c r="R5141" t="s">
        <v>46573</v>
      </c>
      <c r="S5141" t="s">
        <v>46705</v>
      </c>
      <c r="T5141" t="s">
        <v>48410</v>
      </c>
      <c r="U5141" t="s">
        <v>53037</v>
      </c>
      <c r="W5141" t="s">
        <v>44464</v>
      </c>
      <c r="X5141" t="s">
        <v>46574</v>
      </c>
    </row>
    <row r="5142" spans="1:24">
      <c r="A5142">
        <f>HYPERLINK("https://www.philgeps.gov.ph/GEPSNONPILOT/Tender/SplashBidNoticeAbstractUI.aspx?menuIndex=3&amp;refID=7059066&amp;Result=3","7059066")</f>
        <v>0</v>
      </c>
      <c r="B5142" t="s">
        <v>1764</v>
      </c>
      <c r="C5142" t="s">
        <v>8444</v>
      </c>
      <c r="D5142" t="s">
        <v>18784</v>
      </c>
      <c r="E5142" t="s">
        <v>23498</v>
      </c>
      <c r="F5142" t="s">
        <v>32664</v>
      </c>
      <c r="G5142" t="s">
        <v>32672</v>
      </c>
      <c r="H5142" t="s">
        <v>32682</v>
      </c>
      <c r="I5142" t="s">
        <v>5589</v>
      </c>
      <c r="J5142" t="s">
        <v>36097</v>
      </c>
      <c r="K5142" t="s">
        <v>42284</v>
      </c>
      <c r="M5142" t="s">
        <v>44465</v>
      </c>
      <c r="N5142" t="s">
        <v>46569</v>
      </c>
      <c r="O5142" t="s">
        <v>46570</v>
      </c>
      <c r="P5142">
        <v>0</v>
      </c>
      <c r="Q5142">
        <v>15</v>
      </c>
      <c r="R5142" t="s">
        <v>46573</v>
      </c>
      <c r="S5142" t="s">
        <v>46705</v>
      </c>
      <c r="T5142" t="s">
        <v>48538</v>
      </c>
      <c r="U5142" t="s">
        <v>53038</v>
      </c>
      <c r="W5142" t="s">
        <v>44465</v>
      </c>
      <c r="X5142" t="s">
        <v>46574</v>
      </c>
    </row>
    <row r="5143" spans="1:24">
      <c r="A5143">
        <f>HYPERLINK("https://www.philgeps.gov.ph/GEPSNONPILOT/Tender/SplashBidNoticeAbstractUI.aspx?menuIndex=3&amp;refID=7059055&amp;Result=3","7059055")</f>
        <v>0</v>
      </c>
      <c r="B5143" t="s">
        <v>617</v>
      </c>
      <c r="C5143" t="s">
        <v>8445</v>
      </c>
      <c r="D5143" t="s">
        <v>18784</v>
      </c>
      <c r="E5143" t="s">
        <v>23499</v>
      </c>
      <c r="F5143" t="s">
        <v>32664</v>
      </c>
      <c r="G5143" t="s">
        <v>32674</v>
      </c>
      <c r="H5143" t="s">
        <v>12635</v>
      </c>
      <c r="I5143" t="s">
        <v>6168</v>
      </c>
      <c r="J5143" t="s">
        <v>33831</v>
      </c>
      <c r="K5143" t="s">
        <v>42289</v>
      </c>
      <c r="M5143" t="s">
        <v>43197</v>
      </c>
      <c r="N5143" t="s">
        <v>46569</v>
      </c>
      <c r="O5143" t="s">
        <v>46570</v>
      </c>
      <c r="P5143">
        <v>0</v>
      </c>
      <c r="Q5143">
        <v>2</v>
      </c>
      <c r="R5143" t="s">
        <v>46573</v>
      </c>
      <c r="S5143" t="s">
        <v>46705</v>
      </c>
      <c r="T5143" t="s">
        <v>48448</v>
      </c>
      <c r="U5143" t="s">
        <v>53039</v>
      </c>
      <c r="W5143" t="s">
        <v>43197</v>
      </c>
      <c r="X5143" t="s">
        <v>46574</v>
      </c>
    </row>
    <row r="5144" spans="1:24">
      <c r="A5144">
        <f>HYPERLINK("https://www.philgeps.gov.ph/GEPSNONPILOT/Tender/SplashBidNoticeAbstractUI.aspx?menuIndex=3&amp;refID=7059064&amp;Result=3","7059064")</f>
        <v>0</v>
      </c>
      <c r="B5144" t="s">
        <v>1750</v>
      </c>
      <c r="C5144" t="s">
        <v>8446</v>
      </c>
      <c r="D5144" t="s">
        <v>18781</v>
      </c>
      <c r="E5144" t="s">
        <v>23500</v>
      </c>
      <c r="F5144" t="s">
        <v>32664</v>
      </c>
      <c r="G5144" t="s">
        <v>32672</v>
      </c>
      <c r="H5144" t="s">
        <v>32683</v>
      </c>
      <c r="I5144" t="s">
        <v>4439</v>
      </c>
      <c r="J5144" t="s">
        <v>33150</v>
      </c>
      <c r="K5144" t="s">
        <v>42308</v>
      </c>
      <c r="M5144" t="s">
        <v>44450</v>
      </c>
      <c r="N5144" t="s">
        <v>46569</v>
      </c>
      <c r="O5144" t="s">
        <v>46570</v>
      </c>
      <c r="P5144">
        <v>0</v>
      </c>
      <c r="Q5144">
        <v>0</v>
      </c>
      <c r="R5144" t="s">
        <v>46573</v>
      </c>
      <c r="S5144" t="s">
        <v>46705</v>
      </c>
      <c r="T5144" t="s">
        <v>48424</v>
      </c>
      <c r="U5144" t="s">
        <v>53003</v>
      </c>
      <c r="V5144" t="s">
        <v>49667</v>
      </c>
      <c r="W5144" t="s">
        <v>44450</v>
      </c>
      <c r="X5144" t="s">
        <v>46574</v>
      </c>
    </row>
    <row r="5145" spans="1:24">
      <c r="A5145">
        <f>HYPERLINK("https://www.philgeps.gov.ph/GEPSNONPILOT/Tender/SplashBidNoticeAbstractUI.aspx?menuIndex=3&amp;refID=7059061&amp;Result=3","7059061")</f>
        <v>0</v>
      </c>
      <c r="B5145" t="s">
        <v>138</v>
      </c>
      <c r="C5145" t="s">
        <v>8447</v>
      </c>
      <c r="D5145" t="s">
        <v>18792</v>
      </c>
      <c r="E5145" t="s">
        <v>23501</v>
      </c>
      <c r="F5145" t="s">
        <v>32664</v>
      </c>
      <c r="G5145" t="s">
        <v>32671</v>
      </c>
      <c r="H5145" t="s">
        <v>12635</v>
      </c>
      <c r="I5145" t="s">
        <v>6223</v>
      </c>
      <c r="J5145" t="s">
        <v>33706</v>
      </c>
      <c r="K5145" t="s">
        <v>42297</v>
      </c>
      <c r="M5145" t="s">
        <v>42702</v>
      </c>
      <c r="N5145" t="s">
        <v>46569</v>
      </c>
      <c r="O5145" t="s">
        <v>46570</v>
      </c>
      <c r="P5145">
        <v>0</v>
      </c>
      <c r="Q5145">
        <v>5</v>
      </c>
      <c r="R5145" t="s">
        <v>46573</v>
      </c>
      <c r="S5145" t="s">
        <v>46705</v>
      </c>
      <c r="T5145" t="s">
        <v>48254</v>
      </c>
      <c r="U5145" t="s">
        <v>53040</v>
      </c>
      <c r="W5145" t="s">
        <v>42702</v>
      </c>
      <c r="X5145" t="s">
        <v>46574</v>
      </c>
    </row>
    <row r="5146" spans="1:24">
      <c r="A5146">
        <f>HYPERLINK("https://www.philgeps.gov.ph/GEPSNONPILOT/Tender/SplashBidNoticeAbstractUI.aspx?menuIndex=3&amp;refID=7059058&amp;Result=3","7059058")</f>
        <v>0</v>
      </c>
      <c r="B5146" t="s">
        <v>459</v>
      </c>
      <c r="C5146" t="s">
        <v>8448</v>
      </c>
      <c r="D5146" t="s">
        <v>18857</v>
      </c>
      <c r="E5146" t="s">
        <v>23502</v>
      </c>
      <c r="F5146" t="s">
        <v>32664</v>
      </c>
      <c r="G5146" t="s">
        <v>32672</v>
      </c>
      <c r="H5146" t="s">
        <v>12635</v>
      </c>
      <c r="I5146" t="s">
        <v>11464</v>
      </c>
      <c r="J5146" t="s">
        <v>33858</v>
      </c>
      <c r="K5146" t="s">
        <v>42281</v>
      </c>
      <c r="M5146" t="s">
        <v>43032</v>
      </c>
      <c r="N5146" t="s">
        <v>46569</v>
      </c>
      <c r="O5146" t="s">
        <v>46570</v>
      </c>
      <c r="P5146">
        <v>0</v>
      </c>
      <c r="Q5146">
        <v>3</v>
      </c>
      <c r="R5146" t="s">
        <v>46573</v>
      </c>
      <c r="S5146" t="s">
        <v>46705</v>
      </c>
      <c r="T5146" t="s">
        <v>48216</v>
      </c>
      <c r="U5146" t="s">
        <v>53041</v>
      </c>
      <c r="W5146" t="s">
        <v>43032</v>
      </c>
      <c r="X5146" t="s">
        <v>46574</v>
      </c>
    </row>
    <row r="5147" spans="1:24">
      <c r="A5147">
        <f>HYPERLINK("https://www.philgeps.gov.ph/GEPSNONPILOT/Tender/SplashBidNoticeAbstractUI.aspx?menuIndex=3&amp;refID=7059073&amp;Result=3","7059073")</f>
        <v>0</v>
      </c>
      <c r="B5147" t="s">
        <v>459</v>
      </c>
      <c r="C5147" t="s">
        <v>8449</v>
      </c>
      <c r="D5147" t="s">
        <v>18857</v>
      </c>
      <c r="E5147" t="s">
        <v>23503</v>
      </c>
      <c r="F5147" t="s">
        <v>32664</v>
      </c>
      <c r="G5147" t="s">
        <v>32672</v>
      </c>
      <c r="H5147" t="s">
        <v>12635</v>
      </c>
      <c r="I5147" t="s">
        <v>11464</v>
      </c>
      <c r="J5147" t="s">
        <v>36084</v>
      </c>
      <c r="K5147" t="s">
        <v>42281</v>
      </c>
      <c r="M5147" t="s">
        <v>43032</v>
      </c>
      <c r="N5147" t="s">
        <v>46569</v>
      </c>
      <c r="O5147" t="s">
        <v>46570</v>
      </c>
      <c r="P5147">
        <v>0</v>
      </c>
      <c r="Q5147">
        <v>2</v>
      </c>
      <c r="R5147" t="s">
        <v>46573</v>
      </c>
      <c r="S5147" t="s">
        <v>46705</v>
      </c>
      <c r="T5147" t="s">
        <v>48216</v>
      </c>
      <c r="U5147" t="s">
        <v>53042</v>
      </c>
      <c r="W5147" t="s">
        <v>43032</v>
      </c>
      <c r="X5147" t="s">
        <v>46574</v>
      </c>
    </row>
    <row r="5148" spans="1:24">
      <c r="A5148">
        <f>HYPERLINK("https://www.philgeps.gov.ph/GEPSNONPILOT/Tender/SplashBidNoticeAbstractUI.aspx?menuIndex=3&amp;refID=7059029&amp;Result=3","7059029")</f>
        <v>0</v>
      </c>
      <c r="B5148" t="s">
        <v>1266</v>
      </c>
      <c r="C5148" t="s">
        <v>8450</v>
      </c>
      <c r="D5148" t="s">
        <v>18838</v>
      </c>
      <c r="E5148" t="s">
        <v>23504</v>
      </c>
      <c r="F5148" t="s">
        <v>32664</v>
      </c>
      <c r="G5148" t="s">
        <v>32675</v>
      </c>
      <c r="H5148" t="s">
        <v>12635</v>
      </c>
      <c r="I5148" t="s">
        <v>6168</v>
      </c>
      <c r="J5148" t="s">
        <v>36098</v>
      </c>
      <c r="K5148" t="s">
        <v>42283</v>
      </c>
      <c r="M5148" t="s">
        <v>43909</v>
      </c>
      <c r="N5148" t="s">
        <v>46569</v>
      </c>
      <c r="O5148" t="s">
        <v>46570</v>
      </c>
      <c r="P5148">
        <v>0</v>
      </c>
      <c r="Q5148">
        <v>2</v>
      </c>
      <c r="R5148" t="s">
        <v>46573</v>
      </c>
      <c r="S5148" t="s">
        <v>46705</v>
      </c>
      <c r="T5148" t="s">
        <v>48307</v>
      </c>
      <c r="U5148" t="s">
        <v>53043</v>
      </c>
      <c r="W5148" t="s">
        <v>43909</v>
      </c>
      <c r="X5148" t="s">
        <v>46574</v>
      </c>
    </row>
    <row r="5149" spans="1:24">
      <c r="A5149">
        <f>HYPERLINK("https://www.philgeps.gov.ph/GEPSNONPILOT/Tender/SplashBidNoticeAbstractUI.aspx?menuIndex=3&amp;refID=7059070&amp;Result=3","7059070")</f>
        <v>0</v>
      </c>
      <c r="B5149" t="s">
        <v>822</v>
      </c>
      <c r="C5149" t="s">
        <v>8451</v>
      </c>
      <c r="E5149" t="s">
        <v>23505</v>
      </c>
      <c r="F5149" t="s">
        <v>32664</v>
      </c>
      <c r="G5149" t="s">
        <v>32671</v>
      </c>
      <c r="H5149" t="s">
        <v>12635</v>
      </c>
      <c r="I5149" t="s">
        <v>32719</v>
      </c>
      <c r="J5149" t="s">
        <v>32842</v>
      </c>
      <c r="K5149" t="s">
        <v>42283</v>
      </c>
      <c r="M5149" t="s">
        <v>44466</v>
      </c>
      <c r="N5149" t="s">
        <v>46569</v>
      </c>
      <c r="O5149" t="s">
        <v>46570</v>
      </c>
      <c r="P5149">
        <v>0</v>
      </c>
      <c r="Q5149">
        <v>9</v>
      </c>
      <c r="R5149" t="s">
        <v>46573</v>
      </c>
      <c r="S5149" t="s">
        <v>46705</v>
      </c>
      <c r="T5149" t="s">
        <v>48228</v>
      </c>
      <c r="U5149" t="s">
        <v>53044</v>
      </c>
      <c r="W5149" t="s">
        <v>44466</v>
      </c>
      <c r="X5149" t="s">
        <v>46574</v>
      </c>
    </row>
    <row r="5150" spans="1:24">
      <c r="A5150">
        <f>HYPERLINK("https://www.philgeps.gov.ph/GEPSNONPILOT/Tender/SplashBidNoticeAbstractUI.aspx?menuIndex=3&amp;refID=7059067&amp;Result=3","7059067")</f>
        <v>0</v>
      </c>
      <c r="B5150" t="s">
        <v>267</v>
      </c>
      <c r="C5150" t="s">
        <v>8452</v>
      </c>
      <c r="E5150" t="s">
        <v>23506</v>
      </c>
      <c r="F5150" t="s">
        <v>32664</v>
      </c>
      <c r="G5150" t="s">
        <v>32671</v>
      </c>
      <c r="H5150" t="s">
        <v>12635</v>
      </c>
      <c r="I5150" t="s">
        <v>32731</v>
      </c>
      <c r="J5150" t="s">
        <v>34433</v>
      </c>
      <c r="K5150" t="s">
        <v>42283</v>
      </c>
      <c r="M5150" t="s">
        <v>42832</v>
      </c>
      <c r="N5150" t="s">
        <v>46569</v>
      </c>
      <c r="O5150" t="s">
        <v>46570</v>
      </c>
      <c r="P5150">
        <v>0</v>
      </c>
      <c r="Q5150">
        <v>1</v>
      </c>
      <c r="R5150" t="s">
        <v>46573</v>
      </c>
      <c r="S5150" t="s">
        <v>46705</v>
      </c>
      <c r="T5150" t="s">
        <v>48254</v>
      </c>
      <c r="U5150" t="s">
        <v>53045</v>
      </c>
      <c r="W5150" t="s">
        <v>42832</v>
      </c>
      <c r="X5150" t="s">
        <v>46574</v>
      </c>
    </row>
    <row r="5151" spans="1:24">
      <c r="A5151">
        <f>HYPERLINK("https://www.philgeps.gov.ph/GEPSNONPILOT/Tender/SplashBidNoticeAbstractUI.aspx?menuIndex=3&amp;refID=7059026&amp;Result=3","7059026")</f>
        <v>0</v>
      </c>
      <c r="B5151" t="s">
        <v>1764</v>
      </c>
      <c r="C5151" t="s">
        <v>8453</v>
      </c>
      <c r="D5151" t="s">
        <v>18784</v>
      </c>
      <c r="E5151" t="s">
        <v>23507</v>
      </c>
      <c r="F5151" t="s">
        <v>32664</v>
      </c>
      <c r="G5151" t="s">
        <v>32672</v>
      </c>
      <c r="H5151" t="s">
        <v>12635</v>
      </c>
      <c r="I5151" t="s">
        <v>5460</v>
      </c>
      <c r="J5151" t="s">
        <v>36099</v>
      </c>
      <c r="K5151" t="s">
        <v>42284</v>
      </c>
      <c r="M5151" t="s">
        <v>44465</v>
      </c>
      <c r="N5151" t="s">
        <v>46569</v>
      </c>
      <c r="O5151" t="s">
        <v>46570</v>
      </c>
      <c r="P5151">
        <v>0</v>
      </c>
      <c r="Q5151">
        <v>7</v>
      </c>
      <c r="R5151" t="s">
        <v>46573</v>
      </c>
      <c r="S5151" t="s">
        <v>46705</v>
      </c>
      <c r="T5151" t="s">
        <v>48538</v>
      </c>
      <c r="U5151" t="s">
        <v>53046</v>
      </c>
      <c r="W5151" t="s">
        <v>44465</v>
      </c>
      <c r="X5151" t="s">
        <v>46574</v>
      </c>
    </row>
    <row r="5152" spans="1:24">
      <c r="A5152">
        <f>HYPERLINK("https://www.philgeps.gov.ph/GEPSNONPILOT/Tender/SplashBidNoticeAbstractUI.aspx?menuIndex=3&amp;refID=7059077&amp;Result=3","7059077")</f>
        <v>0</v>
      </c>
      <c r="B5152" t="s">
        <v>1765</v>
      </c>
      <c r="C5152" t="s">
        <v>8454</v>
      </c>
      <c r="D5152" t="s">
        <v>18783</v>
      </c>
      <c r="E5152" t="s">
        <v>23508</v>
      </c>
      <c r="F5152" t="s">
        <v>32664</v>
      </c>
      <c r="G5152" t="s">
        <v>32671</v>
      </c>
      <c r="H5152" t="s">
        <v>12635</v>
      </c>
      <c r="I5152" t="s">
        <v>10361</v>
      </c>
      <c r="J5152" t="s">
        <v>36100</v>
      </c>
      <c r="K5152" t="s">
        <v>42309</v>
      </c>
      <c r="M5152" t="s">
        <v>44467</v>
      </c>
      <c r="N5152" t="s">
        <v>46569</v>
      </c>
      <c r="O5152" t="s">
        <v>46570</v>
      </c>
      <c r="P5152">
        <v>0</v>
      </c>
      <c r="Q5152">
        <v>0</v>
      </c>
      <c r="R5152" t="s">
        <v>46573</v>
      </c>
      <c r="S5152" t="s">
        <v>46705</v>
      </c>
      <c r="T5152" t="s">
        <v>48249</v>
      </c>
      <c r="U5152" t="s">
        <v>51729</v>
      </c>
      <c r="W5152" t="s">
        <v>44467</v>
      </c>
      <c r="X5152" t="s">
        <v>46574</v>
      </c>
    </row>
    <row r="5153" spans="1:24">
      <c r="A5153">
        <f>HYPERLINK("https://www.philgeps.gov.ph/GEPSNONPILOT/Tender/SplashBidNoticeAbstractUI.aspx?menuIndex=3&amp;refID=7059003&amp;Result=3","7059003")</f>
        <v>0</v>
      </c>
      <c r="B5153" t="s">
        <v>1744</v>
      </c>
      <c r="C5153" t="s">
        <v>8455</v>
      </c>
      <c r="D5153" t="s">
        <v>18788</v>
      </c>
      <c r="E5153" t="s">
        <v>23509</v>
      </c>
      <c r="F5153" t="s">
        <v>32664</v>
      </c>
      <c r="G5153" t="s">
        <v>32672</v>
      </c>
      <c r="H5153" t="s">
        <v>32683</v>
      </c>
      <c r="I5153" t="s">
        <v>10627</v>
      </c>
      <c r="J5153" t="s">
        <v>36101</v>
      </c>
      <c r="K5153" t="s">
        <v>42283</v>
      </c>
      <c r="M5153" t="s">
        <v>44443</v>
      </c>
      <c r="N5153" t="s">
        <v>46569</v>
      </c>
      <c r="O5153" t="s">
        <v>46570</v>
      </c>
      <c r="P5153">
        <v>0</v>
      </c>
      <c r="Q5153">
        <v>0</v>
      </c>
      <c r="R5153" t="s">
        <v>46573</v>
      </c>
      <c r="S5153" t="s">
        <v>46705</v>
      </c>
      <c r="T5153" t="s">
        <v>48305</v>
      </c>
      <c r="U5153" t="s">
        <v>51540</v>
      </c>
      <c r="W5153" t="s">
        <v>44443</v>
      </c>
      <c r="X5153" t="s">
        <v>46574</v>
      </c>
    </row>
    <row r="5154" spans="1:24">
      <c r="A5154">
        <f>HYPERLINK("https://www.philgeps.gov.ph/GEPSNONPILOT/Tender/SplashBidNoticeAbstractUI.aspx?menuIndex=3&amp;refID=7059002&amp;Result=3","7059002")</f>
        <v>0</v>
      </c>
      <c r="B5154" t="s">
        <v>182</v>
      </c>
      <c r="C5154" t="s">
        <v>8456</v>
      </c>
      <c r="D5154" t="s">
        <v>18818</v>
      </c>
      <c r="E5154" t="s">
        <v>23510</v>
      </c>
      <c r="F5154" t="s">
        <v>32664</v>
      </c>
      <c r="G5154" t="s">
        <v>32672</v>
      </c>
      <c r="H5154" t="s">
        <v>12635</v>
      </c>
      <c r="I5154" t="s">
        <v>32685</v>
      </c>
      <c r="J5154" t="s">
        <v>36102</v>
      </c>
      <c r="K5154" t="s">
        <v>42281</v>
      </c>
      <c r="M5154" t="s">
        <v>42746</v>
      </c>
      <c r="N5154" t="s">
        <v>46569</v>
      </c>
      <c r="O5154" t="s">
        <v>46570</v>
      </c>
      <c r="P5154">
        <v>0</v>
      </c>
      <c r="Q5154">
        <v>0</v>
      </c>
      <c r="R5154" t="s">
        <v>46573</v>
      </c>
      <c r="S5154" t="s">
        <v>46705</v>
      </c>
      <c r="T5154" t="s">
        <v>48228</v>
      </c>
      <c r="U5154" t="s">
        <v>53047</v>
      </c>
      <c r="W5154" t="s">
        <v>42746</v>
      </c>
      <c r="X5154" t="s">
        <v>46574</v>
      </c>
    </row>
    <row r="5155" spans="1:24">
      <c r="A5155">
        <f>HYPERLINK("https://www.philgeps.gov.ph/GEPSNONPILOT/Tender/SplashBidNoticeAbstractUI.aspx?menuIndex=3&amp;refID=7058984&amp;Result=3","7058984")</f>
        <v>0</v>
      </c>
      <c r="B5155" t="s">
        <v>1744</v>
      </c>
      <c r="C5155" t="s">
        <v>8457</v>
      </c>
      <c r="D5155" t="s">
        <v>18788</v>
      </c>
      <c r="E5155" t="s">
        <v>23511</v>
      </c>
      <c r="F5155" t="s">
        <v>32664</v>
      </c>
      <c r="G5155" t="s">
        <v>32672</v>
      </c>
      <c r="H5155" t="s">
        <v>32683</v>
      </c>
      <c r="I5155" t="s">
        <v>10627</v>
      </c>
      <c r="J5155" t="s">
        <v>36103</v>
      </c>
      <c r="K5155" t="s">
        <v>42283</v>
      </c>
      <c r="M5155" t="s">
        <v>44443</v>
      </c>
      <c r="N5155" t="s">
        <v>46569</v>
      </c>
      <c r="O5155" t="s">
        <v>46570</v>
      </c>
      <c r="P5155">
        <v>0</v>
      </c>
      <c r="Q5155">
        <v>0</v>
      </c>
      <c r="R5155" t="s">
        <v>46573</v>
      </c>
      <c r="S5155" t="s">
        <v>46705</v>
      </c>
      <c r="T5155" t="s">
        <v>48305</v>
      </c>
      <c r="U5155" t="s">
        <v>51540</v>
      </c>
      <c r="W5155" t="s">
        <v>44443</v>
      </c>
      <c r="X5155" t="s">
        <v>46574</v>
      </c>
    </row>
    <row r="5156" spans="1:24">
      <c r="A5156">
        <f>HYPERLINK("https://www.philgeps.gov.ph/GEPSNONPILOT/Tender/SplashBidNoticeAbstractUI.aspx?menuIndex=3&amp;refID=7058983&amp;Result=3","7058983")</f>
        <v>0</v>
      </c>
      <c r="B5156" t="s">
        <v>690</v>
      </c>
      <c r="C5156" t="s">
        <v>8458</v>
      </c>
      <c r="D5156" t="s">
        <v>18781</v>
      </c>
      <c r="E5156" t="s">
        <v>23512</v>
      </c>
      <c r="F5156" t="s">
        <v>32664</v>
      </c>
      <c r="G5156" t="s">
        <v>32674</v>
      </c>
      <c r="H5156" t="s">
        <v>12635</v>
      </c>
      <c r="I5156" t="s">
        <v>8958</v>
      </c>
      <c r="J5156" t="s">
        <v>36104</v>
      </c>
      <c r="K5156" t="s">
        <v>42289</v>
      </c>
      <c r="L5156" t="s">
        <v>690</v>
      </c>
      <c r="M5156" t="s">
        <v>44446</v>
      </c>
      <c r="N5156" t="s">
        <v>46569</v>
      </c>
      <c r="O5156" t="s">
        <v>46570</v>
      </c>
      <c r="P5156">
        <v>0</v>
      </c>
      <c r="Q5156">
        <v>0</v>
      </c>
      <c r="R5156" t="s">
        <v>46573</v>
      </c>
      <c r="S5156" t="s">
        <v>46705</v>
      </c>
      <c r="T5156" t="s">
        <v>48221</v>
      </c>
      <c r="U5156" t="s">
        <v>53048</v>
      </c>
      <c r="W5156" t="s">
        <v>44446</v>
      </c>
      <c r="X5156" t="s">
        <v>46574</v>
      </c>
    </row>
    <row r="5157" spans="1:24">
      <c r="A5157">
        <f>HYPERLINK("https://www.philgeps.gov.ph/GEPSNONPILOT/Tender/SplashBidNoticeAbstractUI.aspx?menuIndex=3&amp;refID=7059059&amp;Result=3","7059059")</f>
        <v>0</v>
      </c>
      <c r="B5157" t="s">
        <v>1311</v>
      </c>
      <c r="C5157" t="s">
        <v>6957</v>
      </c>
      <c r="D5157" t="s">
        <v>18790</v>
      </c>
      <c r="E5157" t="s">
        <v>23513</v>
      </c>
      <c r="F5157" t="s">
        <v>32664</v>
      </c>
      <c r="G5157" t="s">
        <v>32674</v>
      </c>
      <c r="H5157" t="s">
        <v>12635</v>
      </c>
      <c r="I5157" t="s">
        <v>6628</v>
      </c>
      <c r="J5157" t="s">
        <v>34578</v>
      </c>
      <c r="K5157" t="s">
        <v>42284</v>
      </c>
      <c r="M5157" t="s">
        <v>43957</v>
      </c>
      <c r="N5157" t="s">
        <v>46569</v>
      </c>
      <c r="O5157" t="s">
        <v>46570</v>
      </c>
      <c r="P5157">
        <v>0</v>
      </c>
      <c r="Q5157">
        <v>0</v>
      </c>
      <c r="R5157" t="s">
        <v>46573</v>
      </c>
      <c r="S5157" t="s">
        <v>46705</v>
      </c>
      <c r="T5157" t="s">
        <v>48283</v>
      </c>
      <c r="U5157" t="s">
        <v>53049</v>
      </c>
      <c r="W5157" t="s">
        <v>43957</v>
      </c>
      <c r="X5157" t="s">
        <v>46574</v>
      </c>
    </row>
    <row r="5158" spans="1:24">
      <c r="A5158">
        <f>HYPERLINK("https://www.philgeps.gov.ph/GEPSNONPILOT/Tender/SplashBidNoticeAbstractUI.aspx?menuIndex=3&amp;refID=7059028&amp;Result=3","7059028")</f>
        <v>0</v>
      </c>
      <c r="B5158" t="s">
        <v>1734</v>
      </c>
      <c r="C5158" t="s">
        <v>8459</v>
      </c>
      <c r="D5158" t="s">
        <v>18789</v>
      </c>
      <c r="E5158" t="s">
        <v>23514</v>
      </c>
      <c r="F5158" t="s">
        <v>32664</v>
      </c>
      <c r="G5158" t="s">
        <v>32671</v>
      </c>
      <c r="H5158" t="s">
        <v>12635</v>
      </c>
      <c r="I5158" t="s">
        <v>32696</v>
      </c>
      <c r="J5158" t="s">
        <v>36105</v>
      </c>
      <c r="K5158" t="s">
        <v>42289</v>
      </c>
      <c r="M5158" t="s">
        <v>44433</v>
      </c>
      <c r="N5158" t="s">
        <v>46569</v>
      </c>
      <c r="O5158" t="s">
        <v>46570</v>
      </c>
      <c r="P5158">
        <v>0</v>
      </c>
      <c r="Q5158">
        <v>0</v>
      </c>
      <c r="R5158" t="s">
        <v>46573</v>
      </c>
      <c r="S5158" t="s">
        <v>46705</v>
      </c>
      <c r="T5158" t="s">
        <v>48280</v>
      </c>
      <c r="U5158" t="s">
        <v>53050</v>
      </c>
      <c r="V5158" t="s">
        <v>62157</v>
      </c>
      <c r="W5158" t="s">
        <v>44433</v>
      </c>
      <c r="X5158" t="s">
        <v>46574</v>
      </c>
    </row>
    <row r="5159" spans="1:24">
      <c r="A5159">
        <f>HYPERLINK("https://www.philgeps.gov.ph/GEPSNONPILOT/Tender/SplashBidNoticeAbstractUI.aspx?menuIndex=3&amp;refID=7059004&amp;Result=3","7059004")</f>
        <v>0</v>
      </c>
      <c r="B5159" t="s">
        <v>1766</v>
      </c>
      <c r="C5159" t="s">
        <v>8460</v>
      </c>
      <c r="D5159" t="s">
        <v>18830</v>
      </c>
      <c r="E5159" t="s">
        <v>23515</v>
      </c>
      <c r="F5159" t="s">
        <v>32664</v>
      </c>
      <c r="G5159" t="s">
        <v>32672</v>
      </c>
      <c r="H5159" t="s">
        <v>12635</v>
      </c>
      <c r="I5159" t="s">
        <v>32727</v>
      </c>
      <c r="J5159" t="s">
        <v>36106</v>
      </c>
      <c r="K5159" t="s">
        <v>42281</v>
      </c>
      <c r="M5159" t="s">
        <v>44468</v>
      </c>
      <c r="N5159" t="s">
        <v>46569</v>
      </c>
      <c r="O5159" t="s">
        <v>46570</v>
      </c>
      <c r="P5159">
        <v>0</v>
      </c>
      <c r="Q5159">
        <v>5</v>
      </c>
      <c r="R5159" t="s">
        <v>46573</v>
      </c>
      <c r="S5159" t="s">
        <v>46705</v>
      </c>
      <c r="T5159" t="s">
        <v>48276</v>
      </c>
      <c r="U5159" t="s">
        <v>53051</v>
      </c>
      <c r="W5159" t="s">
        <v>44468</v>
      </c>
      <c r="X5159" t="s">
        <v>46574</v>
      </c>
    </row>
    <row r="5160" spans="1:24">
      <c r="A5160">
        <f>HYPERLINK("https://www.philgeps.gov.ph/GEPSNONPILOT/Tender/SplashBidNoticeAbstractUI.aspx?menuIndex=3&amp;refID=7059094&amp;Result=3","7059094")</f>
        <v>0</v>
      </c>
      <c r="B5160" t="s">
        <v>1676</v>
      </c>
      <c r="C5160" t="s">
        <v>8461</v>
      </c>
      <c r="D5160" t="s">
        <v>18782</v>
      </c>
      <c r="E5160" t="s">
        <v>23516</v>
      </c>
      <c r="F5160" t="s">
        <v>32664</v>
      </c>
      <c r="G5160" t="s">
        <v>32671</v>
      </c>
      <c r="H5160" t="s">
        <v>32681</v>
      </c>
      <c r="I5160" t="s">
        <v>32681</v>
      </c>
      <c r="J5160" t="s">
        <v>34041</v>
      </c>
      <c r="K5160" t="s">
        <v>42347</v>
      </c>
      <c r="M5160" t="s">
        <v>44365</v>
      </c>
      <c r="N5160" t="s">
        <v>46569</v>
      </c>
      <c r="O5160" t="s">
        <v>46570</v>
      </c>
      <c r="P5160">
        <v>0</v>
      </c>
      <c r="Q5160">
        <v>2</v>
      </c>
      <c r="R5160" t="s">
        <v>46573</v>
      </c>
      <c r="S5160" t="s">
        <v>46705</v>
      </c>
      <c r="T5160" t="s">
        <v>48287</v>
      </c>
      <c r="U5160" t="s">
        <v>53052</v>
      </c>
      <c r="W5160" t="s">
        <v>44365</v>
      </c>
      <c r="X5160" t="s">
        <v>46574</v>
      </c>
    </row>
    <row r="5161" spans="1:24">
      <c r="A5161">
        <f>HYPERLINK("https://www.philgeps.gov.ph/GEPSNONPILOT/Tender/SplashBidNoticeAbstractUI.aspx?menuIndex=3&amp;refID=7059106&amp;Result=3","7059106")</f>
        <v>0</v>
      </c>
      <c r="B5161" t="s">
        <v>1767</v>
      </c>
      <c r="C5161" t="s">
        <v>8462</v>
      </c>
      <c r="D5161" t="s">
        <v>18787</v>
      </c>
      <c r="E5161" t="s">
        <v>23517</v>
      </c>
      <c r="F5161" t="s">
        <v>32664</v>
      </c>
      <c r="G5161" t="s">
        <v>32671</v>
      </c>
      <c r="H5161" t="s">
        <v>12635</v>
      </c>
      <c r="I5161" t="s">
        <v>8730</v>
      </c>
      <c r="J5161" t="s">
        <v>36012</v>
      </c>
      <c r="K5161" t="s">
        <v>42330</v>
      </c>
      <c r="M5161" t="s">
        <v>44469</v>
      </c>
      <c r="N5161" t="s">
        <v>46569</v>
      </c>
      <c r="O5161" t="s">
        <v>46570</v>
      </c>
      <c r="P5161">
        <v>0</v>
      </c>
      <c r="Q5161">
        <v>1</v>
      </c>
      <c r="R5161" t="s">
        <v>46573</v>
      </c>
      <c r="S5161" t="s">
        <v>46705</v>
      </c>
      <c r="T5161" t="s">
        <v>48539</v>
      </c>
      <c r="U5161" t="s">
        <v>53053</v>
      </c>
      <c r="W5161" t="s">
        <v>44469</v>
      </c>
      <c r="X5161" t="s">
        <v>46574</v>
      </c>
    </row>
    <row r="5162" spans="1:24">
      <c r="A5162">
        <f>HYPERLINK("https://www.philgeps.gov.ph/GEPSNONPILOT/Tender/SplashBidNoticeAbstractUI.aspx?menuIndex=3&amp;refID=7059105&amp;Result=3","7059105")</f>
        <v>0</v>
      </c>
      <c r="B5162" t="s">
        <v>1768</v>
      </c>
      <c r="C5162" t="s">
        <v>8463</v>
      </c>
      <c r="D5162" t="s">
        <v>18784</v>
      </c>
      <c r="E5162" t="s">
        <v>23518</v>
      </c>
      <c r="F5162" t="s">
        <v>32664</v>
      </c>
      <c r="G5162" t="s">
        <v>32671</v>
      </c>
      <c r="H5162" t="s">
        <v>12635</v>
      </c>
      <c r="I5162" t="s">
        <v>32694</v>
      </c>
      <c r="J5162" t="s">
        <v>33657</v>
      </c>
      <c r="K5162" t="s">
        <v>42281</v>
      </c>
      <c r="M5162" t="s">
        <v>44470</v>
      </c>
      <c r="N5162" t="s">
        <v>46569</v>
      </c>
      <c r="O5162" t="s">
        <v>46570</v>
      </c>
      <c r="P5162">
        <v>0</v>
      </c>
      <c r="Q5162">
        <v>8</v>
      </c>
      <c r="R5162" t="s">
        <v>46573</v>
      </c>
      <c r="S5162" t="s">
        <v>46705</v>
      </c>
      <c r="T5162" t="s">
        <v>48316</v>
      </c>
      <c r="U5162" t="s">
        <v>53054</v>
      </c>
      <c r="V5162" t="s">
        <v>62158</v>
      </c>
      <c r="W5162" t="s">
        <v>44470</v>
      </c>
      <c r="X5162" t="s">
        <v>46574</v>
      </c>
    </row>
    <row r="5163" spans="1:24">
      <c r="A5163">
        <f>HYPERLINK("https://www.philgeps.gov.ph/GEPSNONPILOT/Tender/SplashBidNoticeAbstractUI.aspx?menuIndex=3&amp;refID=7058985&amp;Result=3","7058985")</f>
        <v>0</v>
      </c>
      <c r="B5163" t="s">
        <v>138</v>
      </c>
      <c r="C5163" t="s">
        <v>8464</v>
      </c>
      <c r="D5163" t="s">
        <v>18792</v>
      </c>
      <c r="E5163" t="s">
        <v>23519</v>
      </c>
      <c r="F5163" t="s">
        <v>32664</v>
      </c>
      <c r="G5163" t="s">
        <v>32671</v>
      </c>
      <c r="H5163" t="s">
        <v>12635</v>
      </c>
      <c r="I5163" t="s">
        <v>32694</v>
      </c>
      <c r="J5163" t="s">
        <v>36107</v>
      </c>
      <c r="K5163" t="s">
        <v>42297</v>
      </c>
      <c r="M5163" t="s">
        <v>42702</v>
      </c>
      <c r="N5163" t="s">
        <v>46569</v>
      </c>
      <c r="O5163" t="s">
        <v>46570</v>
      </c>
      <c r="P5163">
        <v>0</v>
      </c>
      <c r="Q5163">
        <v>0</v>
      </c>
      <c r="R5163" t="s">
        <v>46573</v>
      </c>
      <c r="S5163" t="s">
        <v>46705</v>
      </c>
      <c r="T5163" t="s">
        <v>48254</v>
      </c>
      <c r="U5163" t="s">
        <v>53055</v>
      </c>
      <c r="W5163" t="s">
        <v>42702</v>
      </c>
      <c r="X5163" t="s">
        <v>46574</v>
      </c>
    </row>
    <row r="5164" spans="1:24">
      <c r="A5164">
        <f>HYPERLINK("https://www.philgeps.gov.ph/GEPSNONPILOT/Tender/SplashBidNoticeAbstractUI.aspx?menuIndex=3&amp;refID=7059101&amp;Result=3","7059101")</f>
        <v>0</v>
      </c>
      <c r="B5164" t="s">
        <v>1211</v>
      </c>
      <c r="C5164" t="s">
        <v>8465</v>
      </c>
      <c r="D5164" t="s">
        <v>18784</v>
      </c>
      <c r="E5164" t="s">
        <v>23520</v>
      </c>
      <c r="F5164" t="s">
        <v>32664</v>
      </c>
      <c r="G5164" t="s">
        <v>32675</v>
      </c>
      <c r="H5164" t="s">
        <v>12635</v>
      </c>
      <c r="I5164" t="s">
        <v>10370</v>
      </c>
      <c r="J5164" t="s">
        <v>36108</v>
      </c>
      <c r="K5164" t="s">
        <v>42309</v>
      </c>
      <c r="M5164" t="s">
        <v>43849</v>
      </c>
      <c r="N5164" t="s">
        <v>46569</v>
      </c>
      <c r="O5164" t="s">
        <v>46570</v>
      </c>
      <c r="P5164">
        <v>0</v>
      </c>
      <c r="Q5164">
        <v>2</v>
      </c>
      <c r="R5164" t="s">
        <v>46573</v>
      </c>
      <c r="S5164" t="s">
        <v>46705</v>
      </c>
      <c r="T5164" t="s">
        <v>48287</v>
      </c>
      <c r="U5164" t="s">
        <v>53056</v>
      </c>
      <c r="W5164" t="s">
        <v>43849</v>
      </c>
      <c r="X5164" t="s">
        <v>46574</v>
      </c>
    </row>
    <row r="5165" spans="1:24">
      <c r="A5165">
        <f>HYPERLINK("https://www.philgeps.gov.ph/GEPSNONPILOT/Tender/SplashBidNoticeAbstractUI.aspx?menuIndex=3&amp;refID=7059100&amp;Result=3","7059100")</f>
        <v>0</v>
      </c>
      <c r="B5165" t="s">
        <v>1769</v>
      </c>
      <c r="C5165" t="s">
        <v>8466</v>
      </c>
      <c r="D5165" t="s">
        <v>18784</v>
      </c>
      <c r="E5165" t="s">
        <v>23521</v>
      </c>
      <c r="F5165" t="s">
        <v>32664</v>
      </c>
      <c r="G5165" t="s">
        <v>32675</v>
      </c>
      <c r="H5165" t="s">
        <v>12635</v>
      </c>
      <c r="I5165" t="s">
        <v>32685</v>
      </c>
      <c r="J5165" t="s">
        <v>34386</v>
      </c>
      <c r="K5165" t="s">
        <v>42284</v>
      </c>
      <c r="M5165" t="s">
        <v>44471</v>
      </c>
      <c r="N5165" t="s">
        <v>46569</v>
      </c>
      <c r="O5165" t="s">
        <v>46570</v>
      </c>
      <c r="P5165">
        <v>0</v>
      </c>
      <c r="Q5165">
        <v>1</v>
      </c>
      <c r="R5165" t="s">
        <v>46573</v>
      </c>
      <c r="S5165" t="s">
        <v>46705</v>
      </c>
      <c r="T5165" t="s">
        <v>48376</v>
      </c>
      <c r="U5165" t="s">
        <v>53057</v>
      </c>
      <c r="W5165" t="s">
        <v>63532</v>
      </c>
      <c r="X5165" t="s">
        <v>46574</v>
      </c>
    </row>
    <row r="5166" spans="1:24">
      <c r="A5166">
        <f>HYPERLINK("https://www.philgeps.gov.ph/GEPSNONPILOT/Tender/SplashBidNoticeAbstractUI.aspx?menuIndex=3&amp;refID=7059099&amp;Result=3","7059099")</f>
        <v>0</v>
      </c>
      <c r="B5166" t="s">
        <v>1752</v>
      </c>
      <c r="C5166" t="s">
        <v>8467</v>
      </c>
      <c r="D5166" t="s">
        <v>18791</v>
      </c>
      <c r="E5166" t="s">
        <v>23522</v>
      </c>
      <c r="F5166" t="s">
        <v>32664</v>
      </c>
      <c r="G5166" t="s">
        <v>32672</v>
      </c>
      <c r="H5166" t="s">
        <v>12635</v>
      </c>
      <c r="I5166" t="s">
        <v>32706</v>
      </c>
      <c r="J5166" t="s">
        <v>36109</v>
      </c>
      <c r="K5166" t="s">
        <v>42281</v>
      </c>
      <c r="M5166" t="s">
        <v>44452</v>
      </c>
      <c r="N5166" t="s">
        <v>46569</v>
      </c>
      <c r="O5166" t="s">
        <v>46570</v>
      </c>
      <c r="P5166">
        <v>0</v>
      </c>
      <c r="Q5166">
        <v>0</v>
      </c>
      <c r="R5166" t="s">
        <v>46573</v>
      </c>
      <c r="S5166" t="s">
        <v>46705</v>
      </c>
      <c r="T5166" t="s">
        <v>48228</v>
      </c>
      <c r="U5166" t="s">
        <v>53058</v>
      </c>
      <c r="V5166" t="s">
        <v>62159</v>
      </c>
      <c r="W5166" t="s">
        <v>44452</v>
      </c>
      <c r="X5166" t="s">
        <v>46574</v>
      </c>
    </row>
    <row r="5167" spans="1:24">
      <c r="A5167">
        <f>HYPERLINK("https://www.philgeps.gov.ph/GEPSNONPILOT/Tender/SplashBidNoticeAbstractUI.aspx?menuIndex=3&amp;refID=7059098&amp;Result=3","7059098")</f>
        <v>0</v>
      </c>
      <c r="B5167" t="s">
        <v>702</v>
      </c>
      <c r="C5167" t="s">
        <v>8468</v>
      </c>
      <c r="D5167" t="s">
        <v>18781</v>
      </c>
      <c r="E5167" t="s">
        <v>23523</v>
      </c>
      <c r="F5167" t="s">
        <v>32664</v>
      </c>
      <c r="G5167" t="s">
        <v>32671</v>
      </c>
      <c r="H5167" t="s">
        <v>12635</v>
      </c>
      <c r="I5167" t="s">
        <v>8797</v>
      </c>
      <c r="J5167" t="s">
        <v>33688</v>
      </c>
      <c r="K5167" t="s">
        <v>42332</v>
      </c>
      <c r="M5167" t="s">
        <v>43289</v>
      </c>
      <c r="N5167" t="s">
        <v>46569</v>
      </c>
      <c r="O5167" t="s">
        <v>46570</v>
      </c>
      <c r="P5167">
        <v>0</v>
      </c>
      <c r="Q5167">
        <v>5</v>
      </c>
      <c r="R5167" t="s">
        <v>46573</v>
      </c>
      <c r="S5167" t="s">
        <v>46705</v>
      </c>
      <c r="T5167" t="s">
        <v>48420</v>
      </c>
      <c r="U5167" t="s">
        <v>53059</v>
      </c>
      <c r="W5167" t="s">
        <v>43289</v>
      </c>
      <c r="X5167" t="s">
        <v>46574</v>
      </c>
    </row>
    <row r="5168" spans="1:24">
      <c r="A5168">
        <f>HYPERLINK("https://www.philgeps.gov.ph/GEPSNONPILOT/Tender/SplashBidNoticeAbstractUI.aspx?menuIndex=3&amp;refID=7059102&amp;Result=3","7059102")</f>
        <v>0</v>
      </c>
      <c r="B5168" t="s">
        <v>1770</v>
      </c>
      <c r="C5168" t="s">
        <v>8469</v>
      </c>
      <c r="D5168" t="s">
        <v>18848</v>
      </c>
      <c r="E5168" t="s">
        <v>23524</v>
      </c>
      <c r="F5168" t="s">
        <v>32664</v>
      </c>
      <c r="G5168" t="s">
        <v>32672</v>
      </c>
      <c r="H5168" t="s">
        <v>12635</v>
      </c>
      <c r="I5168" t="s">
        <v>32685</v>
      </c>
      <c r="J5168" t="s">
        <v>36110</v>
      </c>
      <c r="K5168" t="s">
        <v>42290</v>
      </c>
      <c r="M5168" t="s">
        <v>44472</v>
      </c>
      <c r="N5168" t="s">
        <v>46569</v>
      </c>
      <c r="O5168" t="s">
        <v>46570</v>
      </c>
      <c r="P5168">
        <v>0</v>
      </c>
      <c r="Q5168">
        <v>2</v>
      </c>
      <c r="R5168" t="s">
        <v>46573</v>
      </c>
      <c r="S5168" t="s">
        <v>46705</v>
      </c>
      <c r="T5168" t="s">
        <v>48506</v>
      </c>
      <c r="U5168" t="s">
        <v>53060</v>
      </c>
      <c r="W5168" t="s">
        <v>63533</v>
      </c>
      <c r="X5168" t="s">
        <v>46574</v>
      </c>
    </row>
    <row r="5169" spans="1:24">
      <c r="A5169">
        <f>HYPERLINK("https://www.philgeps.gov.ph/GEPSNONPILOT/Tender/SplashBidNoticeAbstractUI.aspx?menuIndex=3&amp;refID=7059093&amp;Result=3","7059093")</f>
        <v>0</v>
      </c>
      <c r="B5169" t="s">
        <v>1771</v>
      </c>
      <c r="C5169" t="s">
        <v>8470</v>
      </c>
      <c r="D5169" t="s">
        <v>18810</v>
      </c>
      <c r="E5169" t="s">
        <v>23525</v>
      </c>
      <c r="F5169" t="s">
        <v>32664</v>
      </c>
      <c r="G5169" t="s">
        <v>32672</v>
      </c>
      <c r="H5169" t="s">
        <v>12635</v>
      </c>
      <c r="I5169" t="s">
        <v>32685</v>
      </c>
      <c r="J5169" t="s">
        <v>33078</v>
      </c>
      <c r="K5169" t="s">
        <v>42283</v>
      </c>
      <c r="M5169" t="s">
        <v>44473</v>
      </c>
      <c r="N5169" t="s">
        <v>46569</v>
      </c>
      <c r="O5169" t="s">
        <v>46570</v>
      </c>
      <c r="P5169">
        <v>0</v>
      </c>
      <c r="Q5169">
        <v>0</v>
      </c>
      <c r="R5169" t="s">
        <v>46573</v>
      </c>
      <c r="S5169" t="s">
        <v>46705</v>
      </c>
      <c r="T5169" t="s">
        <v>48228</v>
      </c>
      <c r="U5169" t="s">
        <v>53061</v>
      </c>
      <c r="V5169" t="s">
        <v>62160</v>
      </c>
      <c r="W5169" t="s">
        <v>44473</v>
      </c>
      <c r="X5169" t="s">
        <v>46574</v>
      </c>
    </row>
    <row r="5170" spans="1:24">
      <c r="A5170">
        <f>HYPERLINK("https://www.philgeps.gov.ph/GEPSNONPILOT/Tender/SplashBidNoticeAbstractUI.aspx?menuIndex=3&amp;refID=7059092&amp;Result=3","7059092")</f>
        <v>0</v>
      </c>
      <c r="B5170" t="s">
        <v>1772</v>
      </c>
      <c r="C5170" t="s">
        <v>8471</v>
      </c>
      <c r="D5170" t="s">
        <v>18792</v>
      </c>
      <c r="E5170" t="s">
        <v>19137</v>
      </c>
      <c r="F5170" t="s">
        <v>32664</v>
      </c>
      <c r="G5170" t="s">
        <v>32672</v>
      </c>
      <c r="H5170" t="s">
        <v>12635</v>
      </c>
      <c r="I5170" t="s">
        <v>4439</v>
      </c>
      <c r="J5170" t="s">
        <v>36111</v>
      </c>
      <c r="K5170" t="s">
        <v>42284</v>
      </c>
      <c r="L5170" t="s">
        <v>1772</v>
      </c>
      <c r="M5170" t="s">
        <v>44474</v>
      </c>
      <c r="N5170" t="s">
        <v>46569</v>
      </c>
      <c r="O5170" t="s">
        <v>46570</v>
      </c>
      <c r="P5170">
        <v>0</v>
      </c>
      <c r="Q5170">
        <v>0</v>
      </c>
      <c r="R5170" t="s">
        <v>46573</v>
      </c>
      <c r="S5170" t="s">
        <v>46705</v>
      </c>
      <c r="T5170" t="s">
        <v>48280</v>
      </c>
      <c r="U5170" t="s">
        <v>53062</v>
      </c>
      <c r="W5170" t="s">
        <v>44474</v>
      </c>
      <c r="X5170" t="s">
        <v>46574</v>
      </c>
    </row>
    <row r="5171" spans="1:24">
      <c r="A5171">
        <f>HYPERLINK("https://www.philgeps.gov.ph/GEPSNONPILOT/Tender/SplashBidNoticeAbstractUI.aspx?menuIndex=3&amp;refID=7059095&amp;Result=3","7059095")</f>
        <v>0</v>
      </c>
      <c r="B5171" t="s">
        <v>902</v>
      </c>
      <c r="C5171" t="s">
        <v>8472</v>
      </c>
      <c r="D5171" t="s">
        <v>18785</v>
      </c>
      <c r="E5171" t="s">
        <v>23526</v>
      </c>
      <c r="F5171" t="s">
        <v>32664</v>
      </c>
      <c r="G5171" t="s">
        <v>32674</v>
      </c>
      <c r="H5171" t="s">
        <v>12635</v>
      </c>
      <c r="I5171" t="s">
        <v>6168</v>
      </c>
      <c r="J5171" t="s">
        <v>36112</v>
      </c>
      <c r="K5171" t="s">
        <v>42311</v>
      </c>
      <c r="M5171" t="s">
        <v>43506</v>
      </c>
      <c r="N5171" t="s">
        <v>46569</v>
      </c>
      <c r="O5171" t="s">
        <v>46570</v>
      </c>
      <c r="P5171">
        <v>0</v>
      </c>
      <c r="Q5171">
        <v>1</v>
      </c>
      <c r="R5171" t="s">
        <v>46573</v>
      </c>
      <c r="S5171" t="s">
        <v>46705</v>
      </c>
      <c r="T5171" t="s">
        <v>48316</v>
      </c>
      <c r="U5171" t="s">
        <v>53063</v>
      </c>
      <c r="W5171" t="s">
        <v>63494</v>
      </c>
      <c r="X5171" t="s">
        <v>46574</v>
      </c>
    </row>
    <row r="5172" spans="1:24">
      <c r="A5172">
        <f>HYPERLINK("https://www.philgeps.gov.ph/GEPSNONPILOT/Tender/SplashBidNoticeAbstractUI.aspx?menuIndex=3&amp;refID=7059091&amp;Result=3","7059091")</f>
        <v>0</v>
      </c>
      <c r="B5172" t="s">
        <v>1773</v>
      </c>
      <c r="C5172" t="s">
        <v>8473</v>
      </c>
      <c r="D5172" t="s">
        <v>18834</v>
      </c>
      <c r="E5172" t="s">
        <v>23527</v>
      </c>
      <c r="F5172" t="s">
        <v>32664</v>
      </c>
      <c r="G5172" t="s">
        <v>32672</v>
      </c>
      <c r="H5172" t="s">
        <v>12635</v>
      </c>
      <c r="I5172" t="s">
        <v>8797</v>
      </c>
      <c r="J5172" t="s">
        <v>36113</v>
      </c>
      <c r="K5172" t="s">
        <v>42289</v>
      </c>
      <c r="M5172" t="s">
        <v>44475</v>
      </c>
      <c r="N5172" t="s">
        <v>46569</v>
      </c>
      <c r="O5172" t="s">
        <v>46570</v>
      </c>
      <c r="P5172">
        <v>0</v>
      </c>
      <c r="Q5172">
        <v>2</v>
      </c>
      <c r="R5172" t="s">
        <v>46573</v>
      </c>
      <c r="S5172" t="s">
        <v>46705</v>
      </c>
      <c r="T5172" t="s">
        <v>48305</v>
      </c>
      <c r="U5172" t="s">
        <v>53064</v>
      </c>
      <c r="W5172" t="s">
        <v>44475</v>
      </c>
      <c r="X5172" t="s">
        <v>46574</v>
      </c>
    </row>
    <row r="5173" spans="1:24">
      <c r="A5173">
        <f>HYPERLINK("https://www.philgeps.gov.ph/GEPSNONPILOT/Tender/SplashBidNoticeAbstractUI.aspx?menuIndex=3&amp;refID=7059089&amp;Result=3","7059089")</f>
        <v>0</v>
      </c>
      <c r="B5173" t="s">
        <v>1774</v>
      </c>
      <c r="C5173" t="s">
        <v>8474</v>
      </c>
      <c r="D5173" t="s">
        <v>18848</v>
      </c>
      <c r="E5173" t="s">
        <v>23528</v>
      </c>
      <c r="F5173" t="s">
        <v>32664</v>
      </c>
      <c r="G5173" t="s">
        <v>32671</v>
      </c>
      <c r="H5173" t="s">
        <v>12635</v>
      </c>
      <c r="I5173" t="s">
        <v>8730</v>
      </c>
      <c r="J5173" t="s">
        <v>36114</v>
      </c>
      <c r="K5173" t="s">
        <v>42297</v>
      </c>
      <c r="M5173" t="s">
        <v>44476</v>
      </c>
      <c r="N5173" t="s">
        <v>46569</v>
      </c>
      <c r="O5173" t="s">
        <v>46570</v>
      </c>
      <c r="P5173">
        <v>0</v>
      </c>
      <c r="Q5173">
        <v>8</v>
      </c>
      <c r="R5173" t="s">
        <v>46573</v>
      </c>
      <c r="S5173" t="s">
        <v>46705</v>
      </c>
      <c r="T5173" t="s">
        <v>48427</v>
      </c>
      <c r="U5173" t="s">
        <v>53065</v>
      </c>
      <c r="W5173" t="s">
        <v>44476</v>
      </c>
      <c r="X5173" t="s">
        <v>46574</v>
      </c>
    </row>
    <row r="5174" spans="1:24">
      <c r="A5174">
        <f>HYPERLINK("https://www.philgeps.gov.ph/GEPSNONPILOT/Tender/SplashBidNoticeAbstractUI.aspx?menuIndex=3&amp;refID=7059096&amp;Result=3","7059096")</f>
        <v>0</v>
      </c>
      <c r="B5174" t="s">
        <v>1610</v>
      </c>
      <c r="C5174" t="s">
        <v>8475</v>
      </c>
      <c r="E5174" t="s">
        <v>23529</v>
      </c>
      <c r="F5174" t="s">
        <v>32664</v>
      </c>
      <c r="G5174" t="s">
        <v>32671</v>
      </c>
      <c r="H5174" t="s">
        <v>12635</v>
      </c>
      <c r="I5174" t="s">
        <v>8797</v>
      </c>
      <c r="J5174" t="s">
        <v>36115</v>
      </c>
      <c r="K5174" t="s">
        <v>42283</v>
      </c>
      <c r="M5174" t="s">
        <v>44289</v>
      </c>
      <c r="N5174" t="s">
        <v>46569</v>
      </c>
      <c r="O5174" t="s">
        <v>46570</v>
      </c>
      <c r="P5174">
        <v>0</v>
      </c>
      <c r="Q5174">
        <v>1</v>
      </c>
      <c r="R5174" t="s">
        <v>46573</v>
      </c>
      <c r="S5174" t="s">
        <v>46705</v>
      </c>
      <c r="T5174" t="s">
        <v>48287</v>
      </c>
      <c r="U5174" t="s">
        <v>53066</v>
      </c>
      <c r="W5174" t="s">
        <v>44289</v>
      </c>
      <c r="X5174" t="s">
        <v>46574</v>
      </c>
    </row>
    <row r="5175" spans="1:24">
      <c r="A5175">
        <f>HYPERLINK("https://www.philgeps.gov.ph/GEPSNONPILOT/Tender/SplashBidNoticeAbstractUI.aspx?menuIndex=3&amp;refID=7059086&amp;Result=3","7059086")</f>
        <v>0</v>
      </c>
      <c r="B5175" t="s">
        <v>1775</v>
      </c>
      <c r="C5175" t="s">
        <v>8476</v>
      </c>
      <c r="D5175" t="s">
        <v>18792</v>
      </c>
      <c r="E5175" t="s">
        <v>23530</v>
      </c>
      <c r="F5175" t="s">
        <v>32664</v>
      </c>
      <c r="G5175" t="s">
        <v>32671</v>
      </c>
      <c r="H5175" t="s">
        <v>32683</v>
      </c>
      <c r="I5175" t="s">
        <v>32721</v>
      </c>
      <c r="J5175" t="s">
        <v>33891</v>
      </c>
      <c r="K5175" t="s">
        <v>42308</v>
      </c>
      <c r="L5175" t="s">
        <v>1775</v>
      </c>
      <c r="M5175" t="s">
        <v>44477</v>
      </c>
      <c r="N5175" t="s">
        <v>46569</v>
      </c>
      <c r="O5175" t="s">
        <v>46570</v>
      </c>
      <c r="P5175">
        <v>0</v>
      </c>
      <c r="Q5175">
        <v>0</v>
      </c>
      <c r="R5175" t="s">
        <v>46573</v>
      </c>
      <c r="S5175" t="s">
        <v>46705</v>
      </c>
      <c r="T5175" t="s">
        <v>48468</v>
      </c>
      <c r="U5175" t="s">
        <v>53067</v>
      </c>
      <c r="W5175" t="s">
        <v>44477</v>
      </c>
      <c r="X5175" t="s">
        <v>46574</v>
      </c>
    </row>
    <row r="5176" spans="1:24">
      <c r="A5176">
        <f>HYPERLINK("https://www.philgeps.gov.ph/GEPSNONPILOT/Tender/SplashBidNoticeAbstractUI.aspx?menuIndex=3&amp;refID=7058986&amp;Result=3","7058986")</f>
        <v>0</v>
      </c>
      <c r="B5176" t="s">
        <v>1776</v>
      </c>
      <c r="C5176" t="s">
        <v>8477</v>
      </c>
      <c r="D5176" t="s">
        <v>18838</v>
      </c>
      <c r="E5176" t="s">
        <v>23531</v>
      </c>
      <c r="F5176" t="s">
        <v>32664</v>
      </c>
      <c r="G5176" t="s">
        <v>32674</v>
      </c>
      <c r="H5176" t="s">
        <v>12635</v>
      </c>
      <c r="I5176" t="s">
        <v>6628</v>
      </c>
      <c r="J5176" t="s">
        <v>33368</v>
      </c>
      <c r="K5176" t="s">
        <v>42289</v>
      </c>
      <c r="M5176" t="s">
        <v>44478</v>
      </c>
      <c r="N5176" t="s">
        <v>46569</v>
      </c>
      <c r="O5176" t="s">
        <v>46570</v>
      </c>
      <c r="P5176">
        <v>0</v>
      </c>
      <c r="Q5176">
        <v>1</v>
      </c>
      <c r="R5176" t="s">
        <v>46573</v>
      </c>
      <c r="S5176" t="s">
        <v>46705</v>
      </c>
      <c r="T5176" t="s">
        <v>48448</v>
      </c>
      <c r="U5176" t="s">
        <v>53068</v>
      </c>
      <c r="W5176" t="s">
        <v>44478</v>
      </c>
      <c r="X5176" t="s">
        <v>46574</v>
      </c>
    </row>
    <row r="5177" spans="1:24">
      <c r="A5177">
        <f>HYPERLINK("https://www.philgeps.gov.ph/GEPSNONPILOT/Tender/SplashBidNoticeAbstractUI.aspx?menuIndex=3&amp;refID=7059085&amp;Result=3","7059085")</f>
        <v>0</v>
      </c>
      <c r="B5177" t="s">
        <v>1777</v>
      </c>
      <c r="C5177" t="s">
        <v>3967</v>
      </c>
      <c r="D5177" t="s">
        <v>18790</v>
      </c>
      <c r="E5177" t="s">
        <v>22733</v>
      </c>
      <c r="F5177" t="s">
        <v>32664</v>
      </c>
      <c r="G5177" t="s">
        <v>32672</v>
      </c>
      <c r="H5177" t="s">
        <v>12635</v>
      </c>
      <c r="I5177" t="s">
        <v>4439</v>
      </c>
      <c r="J5177" t="s">
        <v>32917</v>
      </c>
      <c r="K5177" t="s">
        <v>42283</v>
      </c>
      <c r="M5177" t="s">
        <v>44479</v>
      </c>
      <c r="N5177" t="s">
        <v>46569</v>
      </c>
      <c r="O5177" t="s">
        <v>46570</v>
      </c>
      <c r="P5177">
        <v>0</v>
      </c>
      <c r="Q5177">
        <v>0</v>
      </c>
      <c r="R5177" t="s">
        <v>46573</v>
      </c>
      <c r="S5177" t="s">
        <v>46705</v>
      </c>
      <c r="T5177" t="s">
        <v>48267</v>
      </c>
      <c r="U5177" t="s">
        <v>53069</v>
      </c>
      <c r="W5177" t="s">
        <v>44479</v>
      </c>
      <c r="X5177" t="s">
        <v>46574</v>
      </c>
    </row>
    <row r="5178" spans="1:24">
      <c r="A5178">
        <f>HYPERLINK("https://www.philgeps.gov.ph/GEPSNONPILOT/Tender/SplashBidNoticeAbstractUI.aspx?menuIndex=3&amp;refID=7058981&amp;Result=3","7058981")</f>
        <v>0</v>
      </c>
      <c r="B5178" t="s">
        <v>1732</v>
      </c>
      <c r="C5178" t="s">
        <v>8478</v>
      </c>
      <c r="D5178" t="s">
        <v>18784</v>
      </c>
      <c r="E5178" t="s">
        <v>23433</v>
      </c>
      <c r="F5178" t="s">
        <v>32664</v>
      </c>
      <c r="G5178" t="s">
        <v>32671</v>
      </c>
      <c r="H5178" t="s">
        <v>12635</v>
      </c>
      <c r="I5178" t="s">
        <v>7759</v>
      </c>
      <c r="J5178" t="s">
        <v>36116</v>
      </c>
      <c r="K5178" t="s">
        <v>42297</v>
      </c>
      <c r="M5178" t="s">
        <v>44431</v>
      </c>
      <c r="N5178" t="s">
        <v>46569</v>
      </c>
      <c r="O5178" t="s">
        <v>46570</v>
      </c>
      <c r="P5178">
        <v>0</v>
      </c>
      <c r="Q5178">
        <v>1</v>
      </c>
      <c r="R5178" t="s">
        <v>46573</v>
      </c>
      <c r="S5178" t="s">
        <v>46705</v>
      </c>
      <c r="T5178" t="s">
        <v>48228</v>
      </c>
      <c r="U5178" t="s">
        <v>53070</v>
      </c>
      <c r="W5178" t="s">
        <v>44431</v>
      </c>
      <c r="X5178" t="s">
        <v>46574</v>
      </c>
    </row>
    <row r="5179" spans="1:24">
      <c r="A5179">
        <f>HYPERLINK("https://www.philgeps.gov.ph/GEPSNONPILOT/Tender/SplashBidNoticeAbstractUI.aspx?menuIndex=3&amp;refID=7057477&amp;Result=3","7057477")</f>
        <v>0</v>
      </c>
      <c r="B5179" t="s">
        <v>1778</v>
      </c>
      <c r="C5179" t="s">
        <v>8479</v>
      </c>
      <c r="D5179" t="s">
        <v>18837</v>
      </c>
      <c r="E5179" t="s">
        <v>23532</v>
      </c>
      <c r="F5179" t="s">
        <v>32664</v>
      </c>
      <c r="G5179" t="s">
        <v>32674</v>
      </c>
      <c r="H5179" t="s">
        <v>12635</v>
      </c>
      <c r="I5179" t="s">
        <v>8797</v>
      </c>
      <c r="J5179" t="s">
        <v>34993</v>
      </c>
      <c r="K5179" t="s">
        <v>42283</v>
      </c>
      <c r="M5179" t="s">
        <v>44480</v>
      </c>
      <c r="N5179" t="s">
        <v>46569</v>
      </c>
      <c r="O5179" t="s">
        <v>46570</v>
      </c>
      <c r="P5179">
        <v>0</v>
      </c>
      <c r="Q5179">
        <v>0</v>
      </c>
      <c r="R5179" t="s">
        <v>46573</v>
      </c>
      <c r="S5179" t="s">
        <v>46705</v>
      </c>
      <c r="T5179" t="s">
        <v>48280</v>
      </c>
      <c r="U5179" t="s">
        <v>53071</v>
      </c>
      <c r="W5179" t="s">
        <v>44480</v>
      </c>
      <c r="X5179" t="s">
        <v>46577</v>
      </c>
    </row>
    <row r="5180" spans="1:24">
      <c r="A5180">
        <f>HYPERLINK("https://www.philgeps.gov.ph/GEPSNONPILOT/Tender/SplashBidNoticeAbstractUI.aspx?menuIndex=3&amp;refID=7057431&amp;Result=3","7057431")</f>
        <v>0</v>
      </c>
      <c r="B5180" t="s">
        <v>1778</v>
      </c>
      <c r="C5180" t="s">
        <v>8480</v>
      </c>
      <c r="D5180" t="s">
        <v>18837</v>
      </c>
      <c r="E5180" t="s">
        <v>23533</v>
      </c>
      <c r="F5180" t="s">
        <v>32664</v>
      </c>
      <c r="G5180" t="s">
        <v>32674</v>
      </c>
      <c r="H5180" t="s">
        <v>12635</v>
      </c>
      <c r="I5180" t="s">
        <v>8797</v>
      </c>
      <c r="J5180" t="s">
        <v>33478</v>
      </c>
      <c r="K5180" t="s">
        <v>42283</v>
      </c>
      <c r="M5180" t="s">
        <v>44480</v>
      </c>
      <c r="N5180" t="s">
        <v>46569</v>
      </c>
      <c r="O5180" t="s">
        <v>46570</v>
      </c>
      <c r="P5180">
        <v>0</v>
      </c>
      <c r="Q5180">
        <v>1</v>
      </c>
      <c r="R5180" t="s">
        <v>46573</v>
      </c>
      <c r="S5180" t="s">
        <v>46705</v>
      </c>
      <c r="T5180" t="s">
        <v>48280</v>
      </c>
      <c r="U5180" t="s">
        <v>53072</v>
      </c>
      <c r="W5180" t="s">
        <v>44480</v>
      </c>
      <c r="X5180" t="s">
        <v>46577</v>
      </c>
    </row>
    <row r="5181" spans="1:24">
      <c r="A5181">
        <f>HYPERLINK("https://www.philgeps.gov.ph/GEPSNONPILOT/Tender/SplashBidNoticeAbstractUI.aspx?menuIndex=3&amp;refID=7059097&amp;Result=3","7059097")</f>
        <v>0</v>
      </c>
      <c r="B5181" t="s">
        <v>1684</v>
      </c>
      <c r="C5181" t="s">
        <v>8481</v>
      </c>
      <c r="D5181" t="s">
        <v>18805</v>
      </c>
      <c r="E5181" t="s">
        <v>23534</v>
      </c>
      <c r="F5181" t="s">
        <v>32664</v>
      </c>
      <c r="G5181" t="s">
        <v>32671</v>
      </c>
      <c r="H5181" t="s">
        <v>12635</v>
      </c>
      <c r="I5181" t="s">
        <v>8730</v>
      </c>
      <c r="J5181" t="s">
        <v>36117</v>
      </c>
      <c r="K5181" t="s">
        <v>42284</v>
      </c>
      <c r="M5181" t="s">
        <v>44373</v>
      </c>
      <c r="N5181" t="s">
        <v>46569</v>
      </c>
      <c r="O5181" t="s">
        <v>46570</v>
      </c>
      <c r="P5181">
        <v>0</v>
      </c>
      <c r="Q5181">
        <v>0</v>
      </c>
      <c r="R5181" t="s">
        <v>46573</v>
      </c>
      <c r="S5181" t="s">
        <v>46705</v>
      </c>
      <c r="T5181" t="s">
        <v>48287</v>
      </c>
      <c r="U5181" t="s">
        <v>53073</v>
      </c>
      <c r="W5181" t="s">
        <v>44373</v>
      </c>
      <c r="X5181" t="s">
        <v>46574</v>
      </c>
    </row>
    <row r="5182" spans="1:24">
      <c r="A5182">
        <f>HYPERLINK("https://www.philgeps.gov.ph/GEPSNONPILOT/Tender/SplashBidNoticeAbstractUI.aspx?menuIndex=3&amp;refID=7059139&amp;Result=3","7059139")</f>
        <v>0</v>
      </c>
      <c r="B5182" t="s">
        <v>1732</v>
      </c>
      <c r="C5182" t="s">
        <v>8482</v>
      </c>
      <c r="D5182" t="s">
        <v>18784</v>
      </c>
      <c r="E5182" t="s">
        <v>23433</v>
      </c>
      <c r="F5182" t="s">
        <v>32664</v>
      </c>
      <c r="G5182" t="s">
        <v>32671</v>
      </c>
      <c r="H5182" t="s">
        <v>12635</v>
      </c>
      <c r="I5182" t="s">
        <v>6168</v>
      </c>
      <c r="J5182" t="s">
        <v>36118</v>
      </c>
      <c r="K5182" t="s">
        <v>42297</v>
      </c>
      <c r="M5182" t="s">
        <v>44431</v>
      </c>
      <c r="N5182" t="s">
        <v>46569</v>
      </c>
      <c r="O5182" t="s">
        <v>46570</v>
      </c>
      <c r="P5182">
        <v>0</v>
      </c>
      <c r="Q5182">
        <v>3</v>
      </c>
      <c r="R5182" t="s">
        <v>46573</v>
      </c>
      <c r="S5182" t="s">
        <v>46705</v>
      </c>
      <c r="T5182" t="s">
        <v>48228</v>
      </c>
      <c r="U5182" t="s">
        <v>53074</v>
      </c>
      <c r="W5182" t="s">
        <v>44431</v>
      </c>
      <c r="X5182" t="s">
        <v>46574</v>
      </c>
    </row>
    <row r="5183" spans="1:24">
      <c r="A5183">
        <f>HYPERLINK("https://www.philgeps.gov.ph/GEPSNONPILOT/Tender/SplashBidNoticeAbstractUI.aspx?menuIndex=3&amp;refID=7059088&amp;Result=3","7059088")</f>
        <v>0</v>
      </c>
      <c r="B5183" t="s">
        <v>1779</v>
      </c>
      <c r="C5183" t="s">
        <v>8483</v>
      </c>
      <c r="E5183" t="s">
        <v>23535</v>
      </c>
      <c r="F5183" t="s">
        <v>32664</v>
      </c>
      <c r="G5183" t="s">
        <v>32674</v>
      </c>
      <c r="H5183" t="s">
        <v>12635</v>
      </c>
      <c r="I5183" t="s">
        <v>6628</v>
      </c>
      <c r="J5183" t="s">
        <v>33078</v>
      </c>
      <c r="K5183" t="s">
        <v>42289</v>
      </c>
      <c r="M5183" t="s">
        <v>44481</v>
      </c>
      <c r="N5183" t="s">
        <v>46569</v>
      </c>
      <c r="O5183" t="s">
        <v>46570</v>
      </c>
      <c r="P5183">
        <v>0</v>
      </c>
      <c r="Q5183">
        <v>1</v>
      </c>
      <c r="R5183" t="s">
        <v>46573</v>
      </c>
      <c r="S5183" t="s">
        <v>46705</v>
      </c>
      <c r="T5183" t="s">
        <v>48293</v>
      </c>
      <c r="U5183" t="s">
        <v>53075</v>
      </c>
      <c r="V5183" t="s">
        <v>62161</v>
      </c>
      <c r="W5183" t="s">
        <v>44481</v>
      </c>
      <c r="X5183" t="s">
        <v>46574</v>
      </c>
    </row>
    <row r="5184" spans="1:24">
      <c r="A5184">
        <f>HYPERLINK("https://www.philgeps.gov.ph/GEPSNONPILOT/Tender/SplashBidNoticeAbstractUI.aspx?menuIndex=3&amp;refID=7059135&amp;Result=3","7059135")</f>
        <v>0</v>
      </c>
      <c r="B5184" t="s">
        <v>1780</v>
      </c>
      <c r="C5184" t="s">
        <v>8484</v>
      </c>
      <c r="D5184" t="s">
        <v>18845</v>
      </c>
      <c r="E5184" t="s">
        <v>19673</v>
      </c>
      <c r="F5184" t="s">
        <v>32664</v>
      </c>
      <c r="G5184" t="s">
        <v>32674</v>
      </c>
      <c r="H5184" t="s">
        <v>12635</v>
      </c>
      <c r="I5184" t="s">
        <v>14442</v>
      </c>
      <c r="J5184" t="s">
        <v>33089</v>
      </c>
      <c r="K5184" t="s">
        <v>42303</v>
      </c>
      <c r="M5184" t="s">
        <v>44482</v>
      </c>
      <c r="N5184" t="s">
        <v>46569</v>
      </c>
      <c r="O5184" t="s">
        <v>46570</v>
      </c>
      <c r="P5184">
        <v>0</v>
      </c>
      <c r="Q5184">
        <v>7</v>
      </c>
      <c r="R5184" t="s">
        <v>46573</v>
      </c>
      <c r="S5184" t="s">
        <v>46705</v>
      </c>
      <c r="T5184" t="s">
        <v>48283</v>
      </c>
      <c r="U5184" t="s">
        <v>53076</v>
      </c>
      <c r="W5184" t="s">
        <v>44482</v>
      </c>
      <c r="X5184" t="s">
        <v>46574</v>
      </c>
    </row>
    <row r="5185" spans="1:24">
      <c r="A5185">
        <f>HYPERLINK("https://www.philgeps.gov.ph/GEPSNONPILOT/Tender/SplashBidNoticeAbstractUI.aspx?menuIndex=3&amp;refID=7059132&amp;Result=3","7059132")</f>
        <v>0</v>
      </c>
      <c r="B5185" t="s">
        <v>1771</v>
      </c>
      <c r="C5185" t="s">
        <v>8485</v>
      </c>
      <c r="D5185" t="s">
        <v>18810</v>
      </c>
      <c r="E5185" t="s">
        <v>23536</v>
      </c>
      <c r="F5185" t="s">
        <v>32664</v>
      </c>
      <c r="G5185" t="s">
        <v>32672</v>
      </c>
      <c r="H5185" t="s">
        <v>12635</v>
      </c>
      <c r="I5185" t="s">
        <v>32698</v>
      </c>
      <c r="J5185" t="s">
        <v>36119</v>
      </c>
      <c r="K5185" t="s">
        <v>42283</v>
      </c>
      <c r="M5185" t="s">
        <v>44473</v>
      </c>
      <c r="N5185" t="s">
        <v>46569</v>
      </c>
      <c r="O5185" t="s">
        <v>46570</v>
      </c>
      <c r="P5185">
        <v>0</v>
      </c>
      <c r="Q5185">
        <v>0</v>
      </c>
      <c r="R5185" t="s">
        <v>46573</v>
      </c>
      <c r="S5185" t="s">
        <v>46705</v>
      </c>
      <c r="T5185" t="s">
        <v>48334</v>
      </c>
      <c r="U5185" t="s">
        <v>53077</v>
      </c>
      <c r="V5185" t="s">
        <v>62160</v>
      </c>
      <c r="W5185" t="s">
        <v>44473</v>
      </c>
      <c r="X5185" t="s">
        <v>46574</v>
      </c>
    </row>
    <row r="5186" spans="1:24">
      <c r="A5186">
        <f>HYPERLINK("https://www.philgeps.gov.ph/GEPSNONPILOT/Tender/SplashBidNoticeAbstractUI.aspx?menuIndex=3&amp;refID=7059131&amp;Result=3","7059131")</f>
        <v>0</v>
      </c>
      <c r="B5186" t="s">
        <v>525</v>
      </c>
      <c r="C5186" t="s">
        <v>8486</v>
      </c>
      <c r="E5186" t="s">
        <v>23537</v>
      </c>
      <c r="F5186" t="s">
        <v>32664</v>
      </c>
      <c r="G5186" t="s">
        <v>32671</v>
      </c>
      <c r="H5186" t="s">
        <v>12635</v>
      </c>
      <c r="I5186" t="s">
        <v>6223</v>
      </c>
      <c r="J5186" t="s">
        <v>33069</v>
      </c>
      <c r="K5186" t="s">
        <v>42283</v>
      </c>
      <c r="M5186" t="s">
        <v>43102</v>
      </c>
      <c r="N5186" t="s">
        <v>46569</v>
      </c>
      <c r="O5186" t="s">
        <v>46570</v>
      </c>
      <c r="P5186">
        <v>0</v>
      </c>
      <c r="Q5186">
        <v>0</v>
      </c>
      <c r="R5186" t="s">
        <v>46573</v>
      </c>
      <c r="S5186" t="s">
        <v>46705</v>
      </c>
      <c r="T5186" t="s">
        <v>48307</v>
      </c>
      <c r="U5186" t="s">
        <v>53078</v>
      </c>
      <c r="W5186" t="s">
        <v>43102</v>
      </c>
      <c r="X5186" t="s">
        <v>46574</v>
      </c>
    </row>
    <row r="5187" spans="1:24">
      <c r="A5187">
        <f>HYPERLINK("https://www.philgeps.gov.ph/GEPSNONPILOT/Tender/SplashBidNoticeAbstractUI.aspx?menuIndex=3&amp;refID=7059129&amp;Result=3","7059129")</f>
        <v>0</v>
      </c>
      <c r="B5187" t="s">
        <v>355</v>
      </c>
      <c r="C5187" t="s">
        <v>8487</v>
      </c>
      <c r="D5187" t="s">
        <v>18816</v>
      </c>
      <c r="E5187" t="s">
        <v>23538</v>
      </c>
      <c r="F5187" t="s">
        <v>32664</v>
      </c>
      <c r="G5187" t="s">
        <v>32671</v>
      </c>
      <c r="H5187" t="s">
        <v>12635</v>
      </c>
      <c r="I5187" t="s">
        <v>32685</v>
      </c>
      <c r="J5187" t="s">
        <v>33102</v>
      </c>
      <c r="K5187" t="s">
        <v>42330</v>
      </c>
      <c r="M5187" t="s">
        <v>42924</v>
      </c>
      <c r="N5187" t="s">
        <v>46569</v>
      </c>
      <c r="O5187" t="s">
        <v>46570</v>
      </c>
      <c r="P5187">
        <v>0</v>
      </c>
      <c r="Q5187">
        <v>0</v>
      </c>
      <c r="R5187" t="s">
        <v>46573</v>
      </c>
      <c r="S5187" t="s">
        <v>46705</v>
      </c>
      <c r="T5187" t="s">
        <v>48307</v>
      </c>
      <c r="U5187" t="s">
        <v>53079</v>
      </c>
      <c r="W5187" t="s">
        <v>42924</v>
      </c>
      <c r="X5187" t="s">
        <v>46574</v>
      </c>
    </row>
    <row r="5188" spans="1:24">
      <c r="A5188">
        <f>HYPERLINK("https://www.philgeps.gov.ph/GEPSNONPILOT/Tender/SplashBidNoticeAbstractUI.aspx?menuIndex=3&amp;refID=7059141&amp;Result=3","7059141")</f>
        <v>0</v>
      </c>
      <c r="B5188" t="s">
        <v>209</v>
      </c>
      <c r="C5188" t="s">
        <v>8488</v>
      </c>
      <c r="D5188" t="s">
        <v>18789</v>
      </c>
      <c r="E5188" t="s">
        <v>23539</v>
      </c>
      <c r="F5188" t="s">
        <v>32664</v>
      </c>
      <c r="G5188" t="s">
        <v>32671</v>
      </c>
      <c r="H5188" t="s">
        <v>12635</v>
      </c>
      <c r="I5188" t="s">
        <v>10627</v>
      </c>
      <c r="J5188" t="s">
        <v>36120</v>
      </c>
      <c r="K5188" t="s">
        <v>42330</v>
      </c>
      <c r="M5188" t="s">
        <v>42773</v>
      </c>
      <c r="N5188" t="s">
        <v>46569</v>
      </c>
      <c r="O5188" t="s">
        <v>46570</v>
      </c>
      <c r="P5188">
        <v>0</v>
      </c>
      <c r="Q5188">
        <v>1</v>
      </c>
      <c r="R5188" t="s">
        <v>46573</v>
      </c>
      <c r="S5188" t="s">
        <v>46705</v>
      </c>
      <c r="T5188" t="s">
        <v>48282</v>
      </c>
      <c r="U5188" t="s">
        <v>53080</v>
      </c>
      <c r="W5188" t="s">
        <v>42773</v>
      </c>
      <c r="X5188" t="s">
        <v>46574</v>
      </c>
    </row>
    <row r="5189" spans="1:24">
      <c r="A5189">
        <f>HYPERLINK("https://www.philgeps.gov.ph/GEPSNONPILOT/Tender/SplashBidNoticeAbstractUI.aspx?menuIndex=3&amp;refID=7059128&amp;Result=3","7059128")</f>
        <v>0</v>
      </c>
      <c r="B5189" t="s">
        <v>201</v>
      </c>
      <c r="C5189" t="s">
        <v>8489</v>
      </c>
      <c r="D5189" t="s">
        <v>18831</v>
      </c>
      <c r="E5189" t="s">
        <v>23540</v>
      </c>
      <c r="F5189" t="s">
        <v>32664</v>
      </c>
      <c r="G5189" t="s">
        <v>32672</v>
      </c>
      <c r="H5189" t="s">
        <v>12635</v>
      </c>
      <c r="I5189" t="s">
        <v>11464</v>
      </c>
      <c r="J5189" t="s">
        <v>32943</v>
      </c>
      <c r="K5189" t="s">
        <v>42289</v>
      </c>
      <c r="M5189" t="s">
        <v>42765</v>
      </c>
      <c r="N5189" t="s">
        <v>46569</v>
      </c>
      <c r="O5189" t="s">
        <v>46570</v>
      </c>
      <c r="P5189">
        <v>0</v>
      </c>
      <c r="Q5189">
        <v>6</v>
      </c>
      <c r="R5189" t="s">
        <v>46573</v>
      </c>
      <c r="S5189" t="s">
        <v>46705</v>
      </c>
      <c r="T5189" t="s">
        <v>48540</v>
      </c>
      <c r="U5189" t="s">
        <v>53081</v>
      </c>
      <c r="W5189" t="s">
        <v>42765</v>
      </c>
      <c r="X5189" t="s">
        <v>46574</v>
      </c>
    </row>
    <row r="5190" spans="1:24">
      <c r="A5190">
        <f>HYPERLINK("https://www.philgeps.gov.ph/GEPSNONPILOT/Tender/SplashBidNoticeAbstractUI.aspx?menuIndex=3&amp;refID=7059126&amp;Result=3","7059126")</f>
        <v>0</v>
      </c>
      <c r="B5190" t="s">
        <v>1190</v>
      </c>
      <c r="C5190" t="s">
        <v>8490</v>
      </c>
      <c r="D5190" t="s">
        <v>18855</v>
      </c>
      <c r="E5190" t="s">
        <v>23541</v>
      </c>
      <c r="F5190" t="s">
        <v>32664</v>
      </c>
      <c r="G5190" t="s">
        <v>32672</v>
      </c>
      <c r="H5190" t="s">
        <v>32683</v>
      </c>
      <c r="I5190" t="s">
        <v>10627</v>
      </c>
      <c r="J5190" t="s">
        <v>32962</v>
      </c>
      <c r="K5190" t="s">
        <v>42298</v>
      </c>
      <c r="M5190" t="s">
        <v>43826</v>
      </c>
      <c r="N5190" t="s">
        <v>46569</v>
      </c>
      <c r="O5190" t="s">
        <v>46570</v>
      </c>
      <c r="P5190">
        <v>0</v>
      </c>
      <c r="Q5190">
        <v>0</v>
      </c>
      <c r="R5190" t="s">
        <v>46573</v>
      </c>
      <c r="S5190" t="s">
        <v>46705</v>
      </c>
      <c r="T5190" t="s">
        <v>48280</v>
      </c>
      <c r="U5190" t="s">
        <v>53082</v>
      </c>
      <c r="W5190" t="s">
        <v>43826</v>
      </c>
      <c r="X5190" t="s">
        <v>46574</v>
      </c>
    </row>
    <row r="5191" spans="1:24">
      <c r="A5191">
        <f>HYPERLINK("https://www.philgeps.gov.ph/GEPSNONPILOT/Tender/SplashBidNoticeAbstractUI.aspx?menuIndex=3&amp;refID=7058982&amp;Result=3","7058982")</f>
        <v>0</v>
      </c>
      <c r="B5191" t="s">
        <v>1781</v>
      </c>
      <c r="C5191" t="s">
        <v>8491</v>
      </c>
      <c r="D5191" t="s">
        <v>18807</v>
      </c>
      <c r="E5191" t="s">
        <v>23542</v>
      </c>
      <c r="F5191" t="s">
        <v>32664</v>
      </c>
      <c r="G5191" t="s">
        <v>32672</v>
      </c>
      <c r="H5191" t="s">
        <v>12635</v>
      </c>
      <c r="I5191" t="s">
        <v>8797</v>
      </c>
      <c r="J5191" t="s">
        <v>35060</v>
      </c>
      <c r="K5191" t="s">
        <v>42281</v>
      </c>
      <c r="M5191" t="s">
        <v>44483</v>
      </c>
      <c r="N5191" t="s">
        <v>46569</v>
      </c>
      <c r="O5191" t="s">
        <v>46570</v>
      </c>
      <c r="P5191">
        <v>0</v>
      </c>
      <c r="Q5191">
        <v>1</v>
      </c>
      <c r="R5191" t="s">
        <v>46573</v>
      </c>
      <c r="S5191" t="s">
        <v>46705</v>
      </c>
      <c r="T5191" t="s">
        <v>48305</v>
      </c>
      <c r="U5191" t="s">
        <v>53083</v>
      </c>
      <c r="V5191" t="s">
        <v>62162</v>
      </c>
      <c r="W5191" t="s">
        <v>44483</v>
      </c>
      <c r="X5191" t="s">
        <v>46574</v>
      </c>
    </row>
    <row r="5192" spans="1:24">
      <c r="A5192">
        <f>HYPERLINK("https://www.philgeps.gov.ph/GEPSNONPILOT/Tender/SplashBidNoticeAbstractUI.aspx?menuIndex=3&amp;refID=7059124&amp;Result=3","7059124")</f>
        <v>0</v>
      </c>
      <c r="B5192" t="s">
        <v>1782</v>
      </c>
      <c r="C5192" t="s">
        <v>8492</v>
      </c>
      <c r="D5192" t="s">
        <v>18831</v>
      </c>
      <c r="E5192" t="s">
        <v>23543</v>
      </c>
      <c r="F5192" t="s">
        <v>32664</v>
      </c>
      <c r="G5192" t="s">
        <v>32671</v>
      </c>
      <c r="H5192" t="s">
        <v>12635</v>
      </c>
      <c r="I5192" t="s">
        <v>6168</v>
      </c>
      <c r="J5192" t="s">
        <v>33310</v>
      </c>
      <c r="K5192" t="s">
        <v>42283</v>
      </c>
      <c r="M5192" t="s">
        <v>44484</v>
      </c>
      <c r="N5192" t="s">
        <v>46569</v>
      </c>
      <c r="O5192" t="s">
        <v>46570</v>
      </c>
      <c r="P5192">
        <v>0</v>
      </c>
      <c r="Q5192">
        <v>2</v>
      </c>
      <c r="R5192" t="s">
        <v>46573</v>
      </c>
      <c r="S5192" t="s">
        <v>46705</v>
      </c>
      <c r="T5192" t="s">
        <v>48254</v>
      </c>
      <c r="U5192" t="s">
        <v>53084</v>
      </c>
      <c r="W5192" t="s">
        <v>44484</v>
      </c>
      <c r="X5192" t="s">
        <v>46574</v>
      </c>
    </row>
    <row r="5193" spans="1:24">
      <c r="A5193">
        <f>HYPERLINK("https://www.philgeps.gov.ph/GEPSNONPILOT/Tender/SplashBidNoticeAbstractUI.aspx?menuIndex=3&amp;refID=7059123&amp;Result=3","7059123")</f>
        <v>0</v>
      </c>
      <c r="B5193" t="s">
        <v>1706</v>
      </c>
      <c r="C5193" t="s">
        <v>8493</v>
      </c>
      <c r="D5193" t="s">
        <v>18793</v>
      </c>
      <c r="E5193" t="s">
        <v>23544</v>
      </c>
      <c r="F5193" t="s">
        <v>32664</v>
      </c>
      <c r="G5193" t="s">
        <v>32672</v>
      </c>
      <c r="H5193" t="s">
        <v>12635</v>
      </c>
      <c r="I5193" t="s">
        <v>6118</v>
      </c>
      <c r="J5193" t="s">
        <v>36121</v>
      </c>
      <c r="K5193" t="s">
        <v>42298</v>
      </c>
      <c r="M5193" t="s">
        <v>44400</v>
      </c>
      <c r="N5193" t="s">
        <v>46569</v>
      </c>
      <c r="O5193" t="s">
        <v>46570</v>
      </c>
      <c r="P5193">
        <v>0</v>
      </c>
      <c r="Q5193">
        <v>0</v>
      </c>
      <c r="R5193" t="s">
        <v>46573</v>
      </c>
      <c r="S5193" t="s">
        <v>46705</v>
      </c>
      <c r="T5193" t="s">
        <v>48349</v>
      </c>
      <c r="U5193" t="s">
        <v>53085</v>
      </c>
      <c r="W5193" t="s">
        <v>44400</v>
      </c>
      <c r="X5193" t="s">
        <v>46574</v>
      </c>
    </row>
    <row r="5194" spans="1:24">
      <c r="A5194">
        <f>HYPERLINK("https://www.philgeps.gov.ph/GEPSNONPILOT/Tender/SplashBidNoticeAbstractUI.aspx?menuIndex=3&amp;refID=7059087&amp;Result=3","7059087")</f>
        <v>0</v>
      </c>
      <c r="B5194" t="s">
        <v>1646</v>
      </c>
      <c r="C5194" t="s">
        <v>8494</v>
      </c>
      <c r="D5194" t="s">
        <v>18798</v>
      </c>
      <c r="E5194" t="s">
        <v>23545</v>
      </c>
      <c r="F5194" t="s">
        <v>32664</v>
      </c>
      <c r="G5194" t="s">
        <v>32671</v>
      </c>
      <c r="H5194" t="s">
        <v>12635</v>
      </c>
      <c r="I5194" t="s">
        <v>14442</v>
      </c>
      <c r="J5194" t="s">
        <v>34543</v>
      </c>
      <c r="K5194" t="s">
        <v>42283</v>
      </c>
      <c r="M5194" t="s">
        <v>44330</v>
      </c>
      <c r="N5194" t="s">
        <v>46569</v>
      </c>
      <c r="O5194" t="s">
        <v>46570</v>
      </c>
      <c r="P5194">
        <v>0</v>
      </c>
      <c r="Q5194">
        <v>12</v>
      </c>
      <c r="R5194" t="s">
        <v>46573</v>
      </c>
      <c r="S5194" t="s">
        <v>46705</v>
      </c>
      <c r="T5194" t="s">
        <v>48283</v>
      </c>
      <c r="U5194" t="s">
        <v>53086</v>
      </c>
      <c r="W5194" t="s">
        <v>44330</v>
      </c>
      <c r="X5194" t="s">
        <v>46574</v>
      </c>
    </row>
    <row r="5195" spans="1:24">
      <c r="A5195">
        <f>HYPERLINK("https://www.philgeps.gov.ph/GEPSNONPILOT/Tender/SplashBidNoticeAbstractUI.aspx?menuIndex=3&amp;refID=7059118&amp;Result=3","7059118")</f>
        <v>0</v>
      </c>
      <c r="B5195" t="s">
        <v>319</v>
      </c>
      <c r="C5195" t="s">
        <v>8495</v>
      </c>
      <c r="D5195" t="s">
        <v>18784</v>
      </c>
      <c r="E5195" t="s">
        <v>23546</v>
      </c>
      <c r="F5195" t="s">
        <v>32664</v>
      </c>
      <c r="G5195" t="s">
        <v>32671</v>
      </c>
      <c r="H5195" t="s">
        <v>12635</v>
      </c>
      <c r="I5195" t="s">
        <v>32744</v>
      </c>
      <c r="J5195" t="s">
        <v>36122</v>
      </c>
      <c r="K5195" t="s">
        <v>42283</v>
      </c>
      <c r="M5195" t="s">
        <v>42887</v>
      </c>
      <c r="N5195" t="s">
        <v>46569</v>
      </c>
      <c r="O5195" t="s">
        <v>46570</v>
      </c>
      <c r="P5195">
        <v>0</v>
      </c>
      <c r="Q5195">
        <v>3</v>
      </c>
      <c r="R5195" t="s">
        <v>46573</v>
      </c>
      <c r="S5195" t="s">
        <v>46705</v>
      </c>
      <c r="T5195" t="s">
        <v>48316</v>
      </c>
      <c r="U5195" t="s">
        <v>53087</v>
      </c>
      <c r="W5195" t="s">
        <v>42887</v>
      </c>
      <c r="X5195" t="s">
        <v>46574</v>
      </c>
    </row>
    <row r="5196" spans="1:24">
      <c r="A5196">
        <f>HYPERLINK("https://www.philgeps.gov.ph/GEPSNONPILOT/Tender/SplashBidNoticeAbstractUI.aspx?menuIndex=3&amp;refID=7059060&amp;Result=3","7059060")</f>
        <v>0</v>
      </c>
      <c r="B5196" t="s">
        <v>1767</v>
      </c>
      <c r="C5196" t="s">
        <v>5215</v>
      </c>
      <c r="D5196" t="s">
        <v>18787</v>
      </c>
      <c r="E5196" t="s">
        <v>23547</v>
      </c>
      <c r="F5196" t="s">
        <v>32664</v>
      </c>
      <c r="G5196" t="s">
        <v>32671</v>
      </c>
      <c r="H5196" t="s">
        <v>12635</v>
      </c>
      <c r="I5196" t="s">
        <v>8797</v>
      </c>
      <c r="J5196" t="s">
        <v>36123</v>
      </c>
      <c r="K5196" t="s">
        <v>42284</v>
      </c>
      <c r="M5196" t="s">
        <v>44469</v>
      </c>
      <c r="N5196" t="s">
        <v>46569</v>
      </c>
      <c r="O5196" t="s">
        <v>46570</v>
      </c>
      <c r="P5196">
        <v>0</v>
      </c>
      <c r="Q5196">
        <v>7</v>
      </c>
      <c r="R5196" t="s">
        <v>46573</v>
      </c>
      <c r="S5196" t="s">
        <v>46705</v>
      </c>
      <c r="T5196" t="s">
        <v>48316</v>
      </c>
      <c r="U5196" t="s">
        <v>53088</v>
      </c>
      <c r="W5196" t="s">
        <v>44469</v>
      </c>
      <c r="X5196" t="s">
        <v>46574</v>
      </c>
    </row>
    <row r="5197" spans="1:24">
      <c r="A5197">
        <f>HYPERLINK("https://www.philgeps.gov.ph/GEPSNONPILOT/Tender/SplashBidNoticeAbstractUI.aspx?menuIndex=3&amp;refID=7059116&amp;Result=3","7059116")</f>
        <v>0</v>
      </c>
      <c r="B5197" t="s">
        <v>1734</v>
      </c>
      <c r="C5197" t="s">
        <v>8496</v>
      </c>
      <c r="D5197" t="s">
        <v>18789</v>
      </c>
      <c r="E5197" t="s">
        <v>23548</v>
      </c>
      <c r="F5197" t="s">
        <v>32664</v>
      </c>
      <c r="G5197" t="s">
        <v>32671</v>
      </c>
      <c r="H5197" t="s">
        <v>12635</v>
      </c>
      <c r="I5197" t="s">
        <v>6223</v>
      </c>
      <c r="J5197" t="s">
        <v>36124</v>
      </c>
      <c r="K5197" t="s">
        <v>42289</v>
      </c>
      <c r="M5197" t="s">
        <v>44433</v>
      </c>
      <c r="N5197" t="s">
        <v>46569</v>
      </c>
      <c r="O5197" t="s">
        <v>46570</v>
      </c>
      <c r="P5197">
        <v>0</v>
      </c>
      <c r="Q5197">
        <v>0</v>
      </c>
      <c r="R5197" t="s">
        <v>46573</v>
      </c>
      <c r="S5197" t="s">
        <v>46705</v>
      </c>
      <c r="T5197" t="s">
        <v>48280</v>
      </c>
      <c r="U5197" t="s">
        <v>53089</v>
      </c>
      <c r="W5197" t="s">
        <v>44433</v>
      </c>
      <c r="X5197" t="s">
        <v>46574</v>
      </c>
    </row>
    <row r="5198" spans="1:24">
      <c r="A5198">
        <f>HYPERLINK("https://www.philgeps.gov.ph/GEPSNONPILOT/Tender/SplashBidNoticeAbstractUI.aspx?menuIndex=3&amp;refID=7059111&amp;Result=3","7059111")</f>
        <v>0</v>
      </c>
      <c r="B5198" t="s">
        <v>577</v>
      </c>
      <c r="C5198" t="s">
        <v>8497</v>
      </c>
      <c r="D5198" t="s">
        <v>18859</v>
      </c>
      <c r="E5198" t="s">
        <v>23549</v>
      </c>
      <c r="F5198" t="s">
        <v>32664</v>
      </c>
      <c r="G5198" t="s">
        <v>32674</v>
      </c>
      <c r="H5198" t="s">
        <v>12635</v>
      </c>
      <c r="I5198" t="s">
        <v>8797</v>
      </c>
      <c r="J5198" t="s">
        <v>33106</v>
      </c>
      <c r="K5198" t="s">
        <v>42281</v>
      </c>
      <c r="M5198" t="s">
        <v>43157</v>
      </c>
      <c r="N5198" t="s">
        <v>46569</v>
      </c>
      <c r="O5198" t="s">
        <v>46570</v>
      </c>
      <c r="P5198">
        <v>0</v>
      </c>
      <c r="Q5198">
        <v>1</v>
      </c>
      <c r="R5198" t="s">
        <v>46573</v>
      </c>
      <c r="S5198" t="s">
        <v>46705</v>
      </c>
      <c r="T5198" t="s">
        <v>48502</v>
      </c>
      <c r="U5198" t="s">
        <v>53090</v>
      </c>
      <c r="W5198" t="s">
        <v>43157</v>
      </c>
      <c r="X5198" t="s">
        <v>46574</v>
      </c>
    </row>
    <row r="5199" spans="1:24">
      <c r="A5199">
        <f>HYPERLINK("https://www.philgeps.gov.ph/GEPSNONPILOT/Tender/SplashBidNoticeAbstractUI.aspx?menuIndex=3&amp;refID=7059108&amp;Result=3","7059108")</f>
        <v>0</v>
      </c>
      <c r="B5199" t="s">
        <v>1314</v>
      </c>
      <c r="C5199" t="s">
        <v>8498</v>
      </c>
      <c r="D5199" t="s">
        <v>18782</v>
      </c>
      <c r="E5199" t="s">
        <v>23550</v>
      </c>
      <c r="F5199" t="s">
        <v>32664</v>
      </c>
      <c r="G5199" t="s">
        <v>32672</v>
      </c>
      <c r="H5199" t="s">
        <v>32683</v>
      </c>
      <c r="I5199" t="s">
        <v>4439</v>
      </c>
      <c r="J5199" t="s">
        <v>36125</v>
      </c>
      <c r="K5199" t="s">
        <v>42311</v>
      </c>
      <c r="M5199" t="s">
        <v>43963</v>
      </c>
      <c r="N5199" t="s">
        <v>46569</v>
      </c>
      <c r="O5199" t="s">
        <v>46570</v>
      </c>
      <c r="P5199">
        <v>0</v>
      </c>
      <c r="Q5199">
        <v>5</v>
      </c>
      <c r="R5199" t="s">
        <v>46573</v>
      </c>
      <c r="S5199" t="s">
        <v>46705</v>
      </c>
      <c r="T5199" t="s">
        <v>48270</v>
      </c>
      <c r="U5199" t="s">
        <v>51587</v>
      </c>
      <c r="V5199" t="s">
        <v>62163</v>
      </c>
      <c r="W5199" t="s">
        <v>43963</v>
      </c>
      <c r="X5199" t="s">
        <v>46574</v>
      </c>
    </row>
    <row r="5200" spans="1:24">
      <c r="A5200">
        <f>HYPERLINK("https://www.philgeps.gov.ph/GEPSNONPILOT/Tender/SplashBidNoticeAbstractUI.aspx?menuIndex=3&amp;refID=7059127&amp;Result=3","7059127")</f>
        <v>0</v>
      </c>
      <c r="B5200" t="s">
        <v>1783</v>
      </c>
      <c r="C5200" t="s">
        <v>8499</v>
      </c>
      <c r="D5200" t="s">
        <v>18784</v>
      </c>
      <c r="E5200" t="s">
        <v>19371</v>
      </c>
      <c r="F5200" t="s">
        <v>32665</v>
      </c>
      <c r="G5200" t="s">
        <v>32674</v>
      </c>
      <c r="H5200" t="s">
        <v>12635</v>
      </c>
      <c r="I5200" t="s">
        <v>32684</v>
      </c>
      <c r="J5200" t="s">
        <v>32842</v>
      </c>
      <c r="K5200" t="s">
        <v>42283</v>
      </c>
      <c r="M5200" t="s">
        <v>44485</v>
      </c>
      <c r="N5200" t="s">
        <v>46569</v>
      </c>
      <c r="O5200" t="s">
        <v>46570</v>
      </c>
      <c r="P5200">
        <v>0</v>
      </c>
      <c r="Q5200">
        <v>8</v>
      </c>
      <c r="R5200" t="s">
        <v>46573</v>
      </c>
      <c r="S5200" t="s">
        <v>46705</v>
      </c>
      <c r="T5200" t="s">
        <v>48449</v>
      </c>
      <c r="U5200" t="s">
        <v>53091</v>
      </c>
      <c r="V5200" t="s">
        <v>62164</v>
      </c>
      <c r="W5200" t="s">
        <v>44485</v>
      </c>
      <c r="X5200" t="s">
        <v>46574</v>
      </c>
    </row>
    <row r="5201" spans="1:24">
      <c r="A5201">
        <f>HYPERLINK("https://www.philgeps.gov.ph/GEPSNONPILOT/Tender/SplashBidNoticeAbstractUI.aspx?menuIndex=3&amp;refID=7059112&amp;Result=3","7059112")</f>
        <v>0</v>
      </c>
      <c r="B5201" t="s">
        <v>386</v>
      </c>
      <c r="C5201" t="s">
        <v>8500</v>
      </c>
      <c r="D5201" t="s">
        <v>18816</v>
      </c>
      <c r="E5201" t="s">
        <v>23551</v>
      </c>
      <c r="F5201" t="s">
        <v>32665</v>
      </c>
      <c r="G5201" t="s">
        <v>32674</v>
      </c>
      <c r="H5201" t="s">
        <v>12635</v>
      </c>
      <c r="I5201" t="s">
        <v>32723</v>
      </c>
      <c r="J5201" t="s">
        <v>36126</v>
      </c>
      <c r="K5201" t="s">
        <v>42289</v>
      </c>
      <c r="M5201" t="s">
        <v>42956</v>
      </c>
      <c r="N5201" t="s">
        <v>46569</v>
      </c>
      <c r="O5201" t="s">
        <v>46570</v>
      </c>
      <c r="P5201">
        <v>0</v>
      </c>
      <c r="Q5201">
        <v>0</v>
      </c>
      <c r="R5201" t="s">
        <v>46573</v>
      </c>
      <c r="S5201" t="s">
        <v>46705</v>
      </c>
      <c r="T5201" t="s">
        <v>48473</v>
      </c>
      <c r="U5201" t="s">
        <v>53092</v>
      </c>
      <c r="V5201" t="s">
        <v>62165</v>
      </c>
      <c r="W5201" t="s">
        <v>42956</v>
      </c>
      <c r="X5201" t="s">
        <v>46574</v>
      </c>
    </row>
    <row r="5202" spans="1:24">
      <c r="A5202">
        <f>HYPERLINK("https://www.philgeps.gov.ph/GEPSNONPILOT/Tender/SplashBidNoticeAbstractUI.aspx?menuIndex=3&amp;refID=7057409&amp;Result=3","7057409")</f>
        <v>0</v>
      </c>
      <c r="B5202" t="s">
        <v>1009</v>
      </c>
      <c r="C5202" t="s">
        <v>8302</v>
      </c>
      <c r="D5202" t="s">
        <v>18783</v>
      </c>
      <c r="E5202" t="s">
        <v>23552</v>
      </c>
      <c r="F5202" t="s">
        <v>32664</v>
      </c>
      <c r="G5202" t="s">
        <v>32672</v>
      </c>
      <c r="H5202" t="s">
        <v>12635</v>
      </c>
      <c r="I5202" t="s">
        <v>11464</v>
      </c>
      <c r="J5202" t="s">
        <v>36127</v>
      </c>
      <c r="K5202" t="s">
        <v>42281</v>
      </c>
      <c r="M5202" t="s">
        <v>43621</v>
      </c>
      <c r="N5202" t="s">
        <v>46569</v>
      </c>
      <c r="O5202" t="s">
        <v>46570</v>
      </c>
      <c r="P5202">
        <v>0</v>
      </c>
      <c r="Q5202">
        <v>3</v>
      </c>
      <c r="R5202" t="s">
        <v>46573</v>
      </c>
      <c r="S5202" t="s">
        <v>46705</v>
      </c>
      <c r="T5202" t="s">
        <v>48360</v>
      </c>
      <c r="U5202" t="s">
        <v>50851</v>
      </c>
      <c r="V5202" t="s">
        <v>62166</v>
      </c>
      <c r="W5202" t="s">
        <v>43621</v>
      </c>
      <c r="X5202" t="s">
        <v>46577</v>
      </c>
    </row>
    <row r="5203" spans="1:24">
      <c r="A5203">
        <f>HYPERLINK("https://www.philgeps.gov.ph/GEPSNONPILOT/Tender/SplashBidNoticeAbstractUI.aspx?menuIndex=3&amp;refID=7057383&amp;Result=3","7057383")</f>
        <v>0</v>
      </c>
      <c r="B5203" t="s">
        <v>95</v>
      </c>
      <c r="C5203" t="s">
        <v>8501</v>
      </c>
      <c r="D5203" t="s">
        <v>18807</v>
      </c>
      <c r="E5203" t="s">
        <v>23553</v>
      </c>
      <c r="F5203" t="s">
        <v>32664</v>
      </c>
      <c r="G5203" t="s">
        <v>32672</v>
      </c>
      <c r="H5203" t="s">
        <v>12635</v>
      </c>
      <c r="I5203" t="s">
        <v>11464</v>
      </c>
      <c r="J5203" t="s">
        <v>32943</v>
      </c>
      <c r="K5203" t="s">
        <v>42281</v>
      </c>
      <c r="M5203" t="s">
        <v>42658</v>
      </c>
      <c r="N5203" t="s">
        <v>46569</v>
      </c>
      <c r="O5203" t="s">
        <v>46570</v>
      </c>
      <c r="P5203">
        <v>0</v>
      </c>
      <c r="Q5203">
        <v>3</v>
      </c>
      <c r="R5203" t="s">
        <v>46573</v>
      </c>
      <c r="S5203" t="s">
        <v>46705</v>
      </c>
      <c r="T5203" t="s">
        <v>48274</v>
      </c>
      <c r="U5203" t="s">
        <v>53093</v>
      </c>
      <c r="W5203" t="s">
        <v>42658</v>
      </c>
      <c r="X5203" t="s">
        <v>46577</v>
      </c>
    </row>
    <row r="5204" spans="1:24">
      <c r="A5204">
        <f>HYPERLINK("https://www.philgeps.gov.ph/GEPSNONPILOT/Tender/SplashBidNoticeAbstractUI.aspx?menuIndex=3&amp;refID=7057073&amp;Result=3","7057073")</f>
        <v>0</v>
      </c>
      <c r="B5204" t="s">
        <v>1502</v>
      </c>
      <c r="C5204" t="s">
        <v>8311</v>
      </c>
      <c r="D5204" t="s">
        <v>18829</v>
      </c>
      <c r="E5204" t="s">
        <v>23554</v>
      </c>
      <c r="F5204" t="s">
        <v>32664</v>
      </c>
      <c r="G5204" t="s">
        <v>32671</v>
      </c>
      <c r="H5204" t="s">
        <v>12635</v>
      </c>
      <c r="I5204" t="s">
        <v>32706</v>
      </c>
      <c r="J5204" t="s">
        <v>36128</v>
      </c>
      <c r="K5204" t="s">
        <v>42283</v>
      </c>
      <c r="M5204" t="s">
        <v>44166</v>
      </c>
      <c r="N5204" t="s">
        <v>46569</v>
      </c>
      <c r="O5204" t="s">
        <v>46570</v>
      </c>
      <c r="P5204">
        <v>0</v>
      </c>
      <c r="Q5204">
        <v>0</v>
      </c>
      <c r="R5204" t="s">
        <v>46573</v>
      </c>
      <c r="S5204" t="s">
        <v>46705</v>
      </c>
      <c r="T5204" t="s">
        <v>48532</v>
      </c>
      <c r="U5204" t="s">
        <v>53094</v>
      </c>
      <c r="V5204" t="s">
        <v>62167</v>
      </c>
      <c r="W5204" t="s">
        <v>44166</v>
      </c>
      <c r="X5204" t="s">
        <v>46577</v>
      </c>
    </row>
    <row r="5205" spans="1:24">
      <c r="A5205">
        <f>HYPERLINK("https://www.philgeps.gov.ph/GEPSNONPILOT/Tender/SplashBidNoticeAbstractUI.aspx?menuIndex=3&amp;refID=7059122&amp;Result=3","7059122")</f>
        <v>0</v>
      </c>
      <c r="B5205" t="s">
        <v>1775</v>
      </c>
      <c r="C5205" t="s">
        <v>8502</v>
      </c>
      <c r="D5205" t="s">
        <v>18792</v>
      </c>
      <c r="E5205" t="s">
        <v>23555</v>
      </c>
      <c r="F5205" t="s">
        <v>32664</v>
      </c>
      <c r="G5205" t="s">
        <v>32677</v>
      </c>
      <c r="H5205" t="s">
        <v>12635</v>
      </c>
      <c r="I5205" t="s">
        <v>32699</v>
      </c>
      <c r="J5205" t="s">
        <v>33128</v>
      </c>
      <c r="K5205" t="s">
        <v>42297</v>
      </c>
      <c r="L5205" t="s">
        <v>1775</v>
      </c>
      <c r="M5205" t="s">
        <v>44477</v>
      </c>
      <c r="N5205" t="s">
        <v>46569</v>
      </c>
      <c r="O5205" t="s">
        <v>46570</v>
      </c>
      <c r="P5205">
        <v>0</v>
      </c>
      <c r="Q5205">
        <v>1</v>
      </c>
      <c r="R5205" t="s">
        <v>46573</v>
      </c>
      <c r="S5205" t="s">
        <v>46705</v>
      </c>
      <c r="T5205" t="s">
        <v>48376</v>
      </c>
      <c r="U5205" t="s">
        <v>50281</v>
      </c>
      <c r="W5205" t="s">
        <v>44477</v>
      </c>
      <c r="X5205" t="s">
        <v>46574</v>
      </c>
    </row>
    <row r="5206" spans="1:24">
      <c r="A5206">
        <f>HYPERLINK("https://www.philgeps.gov.ph/GEPSNONPILOT/Tender/SplashBidNoticeAbstractUI.aspx?menuIndex=3&amp;refID=7059107&amp;Result=3","7059107")</f>
        <v>0</v>
      </c>
      <c r="B5206" t="s">
        <v>1782</v>
      </c>
      <c r="C5206" t="s">
        <v>8503</v>
      </c>
      <c r="D5206" t="s">
        <v>18831</v>
      </c>
      <c r="E5206" t="s">
        <v>23556</v>
      </c>
      <c r="F5206" t="s">
        <v>32664</v>
      </c>
      <c r="G5206" t="s">
        <v>32671</v>
      </c>
      <c r="H5206" t="s">
        <v>12635</v>
      </c>
      <c r="I5206" t="s">
        <v>7429</v>
      </c>
      <c r="J5206" t="s">
        <v>36129</v>
      </c>
      <c r="K5206" t="s">
        <v>42283</v>
      </c>
      <c r="M5206" t="s">
        <v>44484</v>
      </c>
      <c r="N5206" t="s">
        <v>46569</v>
      </c>
      <c r="O5206" t="s">
        <v>46570</v>
      </c>
      <c r="P5206">
        <v>0</v>
      </c>
      <c r="Q5206">
        <v>1</v>
      </c>
      <c r="R5206" t="s">
        <v>46573</v>
      </c>
      <c r="S5206" t="s">
        <v>46705</v>
      </c>
      <c r="T5206" t="s">
        <v>48254</v>
      </c>
      <c r="U5206" t="s">
        <v>53095</v>
      </c>
      <c r="W5206" t="s">
        <v>44484</v>
      </c>
      <c r="X5206" t="s">
        <v>46574</v>
      </c>
    </row>
    <row r="5207" spans="1:24">
      <c r="A5207">
        <f>HYPERLINK("https://www.philgeps.gov.ph/GEPSNONPILOT/Tender/SplashBidNoticeAbstractUI.aspx?menuIndex=3&amp;refID=7057062&amp;Result=3","7057062")</f>
        <v>0</v>
      </c>
      <c r="B5207" t="s">
        <v>1502</v>
      </c>
      <c r="C5207" t="s">
        <v>4928</v>
      </c>
      <c r="D5207" t="s">
        <v>18829</v>
      </c>
      <c r="E5207" t="s">
        <v>23557</v>
      </c>
      <c r="F5207" t="s">
        <v>32664</v>
      </c>
      <c r="G5207" t="s">
        <v>32671</v>
      </c>
      <c r="H5207" t="s">
        <v>12635</v>
      </c>
      <c r="I5207" t="s">
        <v>6628</v>
      </c>
      <c r="J5207" t="s">
        <v>36130</v>
      </c>
      <c r="K5207" t="s">
        <v>42283</v>
      </c>
      <c r="M5207" t="s">
        <v>44166</v>
      </c>
      <c r="N5207" t="s">
        <v>46569</v>
      </c>
      <c r="O5207" t="s">
        <v>46570</v>
      </c>
      <c r="P5207">
        <v>0</v>
      </c>
      <c r="Q5207">
        <v>3</v>
      </c>
      <c r="R5207" t="s">
        <v>46573</v>
      </c>
      <c r="S5207" t="s">
        <v>46705</v>
      </c>
      <c r="T5207" t="s">
        <v>48532</v>
      </c>
      <c r="U5207" t="s">
        <v>53096</v>
      </c>
      <c r="V5207" t="s">
        <v>62134</v>
      </c>
      <c r="W5207" t="s">
        <v>44166</v>
      </c>
      <c r="X5207" t="s">
        <v>46577</v>
      </c>
    </row>
    <row r="5208" spans="1:24">
      <c r="A5208">
        <f>HYPERLINK("https://www.philgeps.gov.ph/GEPSNONPILOT/Tender/SplashBidNoticeAbstractUI.aspx?menuIndex=3&amp;refID=7057044&amp;Result=3","7057044")</f>
        <v>0</v>
      </c>
      <c r="B5208" t="s">
        <v>1502</v>
      </c>
      <c r="C5208" t="s">
        <v>8504</v>
      </c>
      <c r="D5208" t="s">
        <v>18829</v>
      </c>
      <c r="E5208" t="s">
        <v>23558</v>
      </c>
      <c r="F5208" t="s">
        <v>32664</v>
      </c>
      <c r="G5208" t="s">
        <v>32671</v>
      </c>
      <c r="H5208" t="s">
        <v>12635</v>
      </c>
      <c r="I5208" t="s">
        <v>7429</v>
      </c>
      <c r="J5208" t="s">
        <v>36131</v>
      </c>
      <c r="K5208" t="s">
        <v>42283</v>
      </c>
      <c r="M5208" t="s">
        <v>44166</v>
      </c>
      <c r="N5208" t="s">
        <v>46569</v>
      </c>
      <c r="O5208" t="s">
        <v>46570</v>
      </c>
      <c r="P5208">
        <v>0</v>
      </c>
      <c r="Q5208">
        <v>3</v>
      </c>
      <c r="R5208" t="s">
        <v>46573</v>
      </c>
      <c r="S5208" t="s">
        <v>46705</v>
      </c>
      <c r="T5208" t="s">
        <v>48532</v>
      </c>
      <c r="U5208" t="s">
        <v>53097</v>
      </c>
      <c r="V5208" t="s">
        <v>62134</v>
      </c>
      <c r="W5208" t="s">
        <v>44166</v>
      </c>
      <c r="X5208" t="s">
        <v>46577</v>
      </c>
    </row>
    <row r="5209" spans="1:24">
      <c r="A5209">
        <f>HYPERLINK("https://www.philgeps.gov.ph/GEPSNONPILOT/Tender/SplashBidNoticeAbstractUI.aspx?menuIndex=3&amp;refID=7057381&amp;Result=3","7057381")</f>
        <v>0</v>
      </c>
      <c r="B5209" t="s">
        <v>1009</v>
      </c>
      <c r="C5209" t="s">
        <v>8505</v>
      </c>
      <c r="D5209" t="s">
        <v>18783</v>
      </c>
      <c r="E5209" t="s">
        <v>23559</v>
      </c>
      <c r="F5209" t="s">
        <v>32664</v>
      </c>
      <c r="G5209" t="s">
        <v>32672</v>
      </c>
      <c r="H5209" t="s">
        <v>12635</v>
      </c>
      <c r="I5209" t="s">
        <v>9946</v>
      </c>
      <c r="J5209" t="s">
        <v>34518</v>
      </c>
      <c r="K5209" t="s">
        <v>42284</v>
      </c>
      <c r="M5209" t="s">
        <v>43621</v>
      </c>
      <c r="N5209" t="s">
        <v>46569</v>
      </c>
      <c r="O5209" t="s">
        <v>46570</v>
      </c>
      <c r="P5209">
        <v>0</v>
      </c>
      <c r="Q5209">
        <v>0</v>
      </c>
      <c r="R5209" t="s">
        <v>46573</v>
      </c>
      <c r="S5209" t="s">
        <v>46705</v>
      </c>
      <c r="T5209" t="s">
        <v>48360</v>
      </c>
      <c r="U5209" t="s">
        <v>52908</v>
      </c>
      <c r="V5209" t="s">
        <v>62168</v>
      </c>
      <c r="W5209" t="s">
        <v>43621</v>
      </c>
      <c r="X5209" t="s">
        <v>46577</v>
      </c>
    </row>
    <row r="5210" spans="1:24">
      <c r="A5210">
        <f>HYPERLINK("https://www.philgeps.gov.ph/GEPSNONPILOT/Tender/SplashBidNoticeAbstractUI.aspx?menuIndex=3&amp;refID=7057001&amp;Result=3","7057001")</f>
        <v>0</v>
      </c>
      <c r="B5210" t="s">
        <v>1502</v>
      </c>
      <c r="C5210" t="s">
        <v>8506</v>
      </c>
      <c r="D5210" t="s">
        <v>18829</v>
      </c>
      <c r="E5210" t="s">
        <v>23560</v>
      </c>
      <c r="F5210" t="s">
        <v>32664</v>
      </c>
      <c r="G5210" t="s">
        <v>32671</v>
      </c>
      <c r="H5210" t="s">
        <v>12635</v>
      </c>
      <c r="I5210" t="s">
        <v>32684</v>
      </c>
      <c r="J5210" t="s">
        <v>36132</v>
      </c>
      <c r="K5210" t="s">
        <v>42283</v>
      </c>
      <c r="M5210" t="s">
        <v>44166</v>
      </c>
      <c r="N5210" t="s">
        <v>46569</v>
      </c>
      <c r="O5210" t="s">
        <v>46570</v>
      </c>
      <c r="P5210">
        <v>0</v>
      </c>
      <c r="Q5210">
        <v>6</v>
      </c>
      <c r="R5210" t="s">
        <v>46573</v>
      </c>
      <c r="S5210" t="s">
        <v>46705</v>
      </c>
      <c r="T5210" t="s">
        <v>48532</v>
      </c>
      <c r="U5210" t="s">
        <v>53098</v>
      </c>
      <c r="V5210" t="s">
        <v>62134</v>
      </c>
      <c r="W5210" t="s">
        <v>44166</v>
      </c>
      <c r="X5210" t="s">
        <v>46577</v>
      </c>
    </row>
    <row r="5211" spans="1:24">
      <c r="A5211">
        <f>HYPERLINK("https://www.philgeps.gov.ph/GEPSNONPILOT/Tender/SplashBidNoticeAbstractUI.aspx?menuIndex=3&amp;refID=7057046&amp;Result=3","7057046")</f>
        <v>0</v>
      </c>
      <c r="B5211" t="s">
        <v>1143</v>
      </c>
      <c r="C5211" t="s">
        <v>8507</v>
      </c>
      <c r="D5211" t="s">
        <v>18831</v>
      </c>
      <c r="E5211" t="s">
        <v>23561</v>
      </c>
      <c r="F5211" t="s">
        <v>32664</v>
      </c>
      <c r="G5211" t="s">
        <v>32672</v>
      </c>
      <c r="H5211" t="s">
        <v>12635</v>
      </c>
      <c r="I5211" t="s">
        <v>4439</v>
      </c>
      <c r="J5211" t="s">
        <v>36133</v>
      </c>
      <c r="K5211" t="s">
        <v>42284</v>
      </c>
      <c r="M5211" t="s">
        <v>43774</v>
      </c>
      <c r="N5211" t="s">
        <v>46569</v>
      </c>
      <c r="O5211" t="s">
        <v>46570</v>
      </c>
      <c r="P5211">
        <v>0</v>
      </c>
      <c r="Q5211">
        <v>3</v>
      </c>
      <c r="R5211" t="s">
        <v>46573</v>
      </c>
      <c r="S5211" t="s">
        <v>46705</v>
      </c>
      <c r="T5211" t="s">
        <v>48216</v>
      </c>
      <c r="U5211" t="s">
        <v>53099</v>
      </c>
      <c r="W5211" t="s">
        <v>43774</v>
      </c>
      <c r="X5211" t="s">
        <v>46577</v>
      </c>
    </row>
    <row r="5212" spans="1:24">
      <c r="A5212">
        <f>HYPERLINK("https://www.philgeps.gov.ph/GEPSNONPILOT/Tender/SplashBidNoticeAbstractUI.aspx?menuIndex=3&amp;refID=7056520&amp;Result=3","7056520")</f>
        <v>0</v>
      </c>
      <c r="B5212" t="s">
        <v>1478</v>
      </c>
      <c r="C5212" t="s">
        <v>8508</v>
      </c>
      <c r="D5212" t="s">
        <v>18853</v>
      </c>
      <c r="E5212" t="s">
        <v>23562</v>
      </c>
      <c r="F5212" t="s">
        <v>32664</v>
      </c>
      <c r="G5212" t="s">
        <v>32672</v>
      </c>
      <c r="H5212" t="s">
        <v>32683</v>
      </c>
      <c r="I5212" t="s">
        <v>10627</v>
      </c>
      <c r="J5212" t="s">
        <v>36134</v>
      </c>
      <c r="K5212" t="s">
        <v>42297</v>
      </c>
      <c r="M5212" t="s">
        <v>44141</v>
      </c>
      <c r="N5212" t="s">
        <v>46569</v>
      </c>
      <c r="O5212" t="s">
        <v>46570</v>
      </c>
      <c r="P5212">
        <v>0</v>
      </c>
      <c r="Q5212">
        <v>0</v>
      </c>
      <c r="R5212" t="s">
        <v>46573</v>
      </c>
      <c r="S5212" t="s">
        <v>46705</v>
      </c>
      <c r="T5212" t="s">
        <v>48285</v>
      </c>
      <c r="U5212" t="s">
        <v>52065</v>
      </c>
      <c r="W5212" t="s">
        <v>44141</v>
      </c>
      <c r="X5212" t="s">
        <v>46577</v>
      </c>
    </row>
    <row r="5213" spans="1:24">
      <c r="A5213">
        <f>HYPERLINK("https://www.philgeps.gov.ph/GEPSNONPILOT/Tender/SplashBidNoticeAbstractUI.aspx?menuIndex=3&amp;refID=7057026&amp;Result=3","7057026")</f>
        <v>0</v>
      </c>
      <c r="B5213" t="s">
        <v>1723</v>
      </c>
      <c r="C5213" t="s">
        <v>8509</v>
      </c>
      <c r="D5213" t="s">
        <v>18790</v>
      </c>
      <c r="E5213" t="s">
        <v>23563</v>
      </c>
      <c r="F5213" t="s">
        <v>32664</v>
      </c>
      <c r="G5213" t="s">
        <v>32672</v>
      </c>
      <c r="H5213" t="s">
        <v>32681</v>
      </c>
      <c r="I5213" t="s">
        <v>32681</v>
      </c>
      <c r="J5213" t="s">
        <v>36135</v>
      </c>
      <c r="K5213" t="s">
        <v>42441</v>
      </c>
      <c r="M5213" t="s">
        <v>44420</v>
      </c>
      <c r="N5213" t="s">
        <v>46569</v>
      </c>
      <c r="O5213" t="s">
        <v>46570</v>
      </c>
      <c r="P5213">
        <v>0</v>
      </c>
      <c r="Q5213">
        <v>4</v>
      </c>
      <c r="R5213" t="s">
        <v>46573</v>
      </c>
      <c r="S5213" t="s">
        <v>46705</v>
      </c>
      <c r="T5213" t="s">
        <v>48369</v>
      </c>
      <c r="U5213" t="s">
        <v>53100</v>
      </c>
      <c r="W5213" t="s">
        <v>44420</v>
      </c>
      <c r="X5213" t="s">
        <v>46577</v>
      </c>
    </row>
    <row r="5214" spans="1:24">
      <c r="A5214">
        <f>HYPERLINK("https://www.philgeps.gov.ph/GEPSNONPILOT/Tender/SplashBidNoticeAbstractUI.aspx?menuIndex=3&amp;refID=7056512&amp;Result=3","7056512")</f>
        <v>0</v>
      </c>
      <c r="B5214" t="s">
        <v>1784</v>
      </c>
      <c r="C5214" t="s">
        <v>8510</v>
      </c>
      <c r="D5214" t="s">
        <v>18810</v>
      </c>
      <c r="E5214" t="s">
        <v>23564</v>
      </c>
      <c r="F5214" t="s">
        <v>32664</v>
      </c>
      <c r="G5214" t="s">
        <v>32671</v>
      </c>
      <c r="H5214" t="s">
        <v>12635</v>
      </c>
      <c r="I5214" t="s">
        <v>32685</v>
      </c>
      <c r="J5214" t="s">
        <v>33812</v>
      </c>
      <c r="K5214" t="s">
        <v>42281</v>
      </c>
      <c r="M5214" t="s">
        <v>44486</v>
      </c>
      <c r="N5214" t="s">
        <v>46569</v>
      </c>
      <c r="O5214" t="s">
        <v>46570</v>
      </c>
      <c r="P5214">
        <v>0</v>
      </c>
      <c r="Q5214">
        <v>2</v>
      </c>
      <c r="R5214" t="s">
        <v>46573</v>
      </c>
      <c r="S5214" t="s">
        <v>46705</v>
      </c>
      <c r="T5214" t="s">
        <v>48221</v>
      </c>
      <c r="U5214" t="s">
        <v>53101</v>
      </c>
      <c r="W5214" t="s">
        <v>44486</v>
      </c>
      <c r="X5214" t="s">
        <v>46577</v>
      </c>
    </row>
    <row r="5215" spans="1:24">
      <c r="A5215">
        <f>HYPERLINK("https://www.philgeps.gov.ph/GEPSNONPILOT/Tender/SplashBidNoticeAbstractUI.aspx?menuIndex=3&amp;refID=7056447&amp;Result=3","7056447")</f>
        <v>0</v>
      </c>
      <c r="B5215" t="s">
        <v>1785</v>
      </c>
      <c r="C5215" t="s">
        <v>8511</v>
      </c>
      <c r="D5215" t="s">
        <v>18805</v>
      </c>
      <c r="E5215" t="s">
        <v>23565</v>
      </c>
      <c r="F5215" t="s">
        <v>32664</v>
      </c>
      <c r="G5215" t="s">
        <v>32672</v>
      </c>
      <c r="H5215" t="s">
        <v>32683</v>
      </c>
      <c r="I5215" t="s">
        <v>10627</v>
      </c>
      <c r="J5215" t="s">
        <v>36136</v>
      </c>
      <c r="K5215" t="s">
        <v>42305</v>
      </c>
      <c r="M5215" t="s">
        <v>44487</v>
      </c>
      <c r="N5215" t="s">
        <v>46569</v>
      </c>
      <c r="O5215" t="s">
        <v>46570</v>
      </c>
      <c r="P5215">
        <v>0</v>
      </c>
      <c r="Q5215">
        <v>0</v>
      </c>
      <c r="R5215" t="s">
        <v>46573</v>
      </c>
      <c r="S5215" t="s">
        <v>46705</v>
      </c>
      <c r="T5215" t="s">
        <v>48302</v>
      </c>
      <c r="U5215" t="s">
        <v>53102</v>
      </c>
      <c r="W5215" t="s">
        <v>44487</v>
      </c>
      <c r="X5215" t="s">
        <v>46577</v>
      </c>
    </row>
    <row r="5216" spans="1:24">
      <c r="A5216">
        <f>HYPERLINK("https://www.philgeps.gov.ph/GEPSNONPILOT/Tender/SplashBidNoticeAbstractUI.aspx?menuIndex=3&amp;refID=7059104&amp;Result=3","7059104")</f>
        <v>0</v>
      </c>
      <c r="B5216" t="s">
        <v>1610</v>
      </c>
      <c r="C5216" t="s">
        <v>8512</v>
      </c>
      <c r="E5216" t="s">
        <v>23566</v>
      </c>
      <c r="F5216" t="s">
        <v>32664</v>
      </c>
      <c r="G5216" t="s">
        <v>32671</v>
      </c>
      <c r="H5216" t="s">
        <v>12635</v>
      </c>
      <c r="I5216" t="s">
        <v>8797</v>
      </c>
      <c r="J5216" t="s">
        <v>34385</v>
      </c>
      <c r="K5216" t="s">
        <v>42283</v>
      </c>
      <c r="M5216" t="s">
        <v>44289</v>
      </c>
      <c r="N5216" t="s">
        <v>46569</v>
      </c>
      <c r="O5216" t="s">
        <v>46570</v>
      </c>
      <c r="P5216">
        <v>0</v>
      </c>
      <c r="Q5216">
        <v>0</v>
      </c>
      <c r="R5216" t="s">
        <v>46573</v>
      </c>
      <c r="S5216" t="s">
        <v>46705</v>
      </c>
      <c r="T5216" t="s">
        <v>48287</v>
      </c>
      <c r="U5216" t="s">
        <v>53103</v>
      </c>
      <c r="W5216" t="s">
        <v>44289</v>
      </c>
      <c r="X5216" t="s">
        <v>46574</v>
      </c>
    </row>
    <row r="5217" spans="1:24">
      <c r="A5217">
        <f>HYPERLINK("https://www.philgeps.gov.ph/GEPSNONPILOT/Tender/SplashBidNoticeAbstractUI.aspx?menuIndex=3&amp;refID=7054516&amp;Result=3","7054516")</f>
        <v>0</v>
      </c>
      <c r="B5217" t="s">
        <v>95</v>
      </c>
      <c r="C5217" t="s">
        <v>8513</v>
      </c>
      <c r="D5217" t="s">
        <v>18807</v>
      </c>
      <c r="E5217" t="s">
        <v>23567</v>
      </c>
      <c r="F5217" t="s">
        <v>32664</v>
      </c>
      <c r="G5217" t="s">
        <v>32672</v>
      </c>
      <c r="H5217" t="s">
        <v>12635</v>
      </c>
      <c r="I5217" t="s">
        <v>4439</v>
      </c>
      <c r="J5217" t="s">
        <v>33461</v>
      </c>
      <c r="K5217" t="s">
        <v>42281</v>
      </c>
      <c r="M5217" t="s">
        <v>42658</v>
      </c>
      <c r="N5217" t="s">
        <v>46569</v>
      </c>
      <c r="O5217" t="s">
        <v>46570</v>
      </c>
      <c r="P5217">
        <v>0</v>
      </c>
      <c r="Q5217">
        <v>0</v>
      </c>
      <c r="R5217" t="s">
        <v>46573</v>
      </c>
      <c r="S5217" t="s">
        <v>46705</v>
      </c>
      <c r="T5217" t="s">
        <v>48282</v>
      </c>
      <c r="U5217" t="s">
        <v>53104</v>
      </c>
      <c r="W5217" t="s">
        <v>42658</v>
      </c>
      <c r="X5217" t="s">
        <v>46578</v>
      </c>
    </row>
    <row r="5218" spans="1:24">
      <c r="A5218">
        <f>HYPERLINK("https://www.philgeps.gov.ph/GEPSNONPILOT/Tender/SplashBidNoticeAbstractUI.aspx?menuIndex=3&amp;refID=7054458&amp;Result=3","7054458")</f>
        <v>0</v>
      </c>
      <c r="B5218" t="s">
        <v>471</v>
      </c>
      <c r="C5218" t="s">
        <v>8514</v>
      </c>
      <c r="D5218" t="s">
        <v>18785</v>
      </c>
      <c r="E5218" t="s">
        <v>23568</v>
      </c>
      <c r="F5218" t="s">
        <v>32664</v>
      </c>
      <c r="G5218" t="s">
        <v>32672</v>
      </c>
      <c r="H5218" t="s">
        <v>32683</v>
      </c>
      <c r="I5218" t="s">
        <v>10627</v>
      </c>
      <c r="J5218" t="s">
        <v>33761</v>
      </c>
      <c r="K5218" t="s">
        <v>42308</v>
      </c>
      <c r="M5218" t="s">
        <v>43046</v>
      </c>
      <c r="N5218" t="s">
        <v>46569</v>
      </c>
      <c r="O5218" t="s">
        <v>46570</v>
      </c>
      <c r="P5218">
        <v>0</v>
      </c>
      <c r="Q5218">
        <v>1</v>
      </c>
      <c r="R5218" t="s">
        <v>46573</v>
      </c>
      <c r="S5218" t="s">
        <v>46705</v>
      </c>
      <c r="T5218" t="s">
        <v>48308</v>
      </c>
      <c r="U5218" t="s">
        <v>53105</v>
      </c>
      <c r="W5218" t="s">
        <v>43046</v>
      </c>
      <c r="X5218" t="s">
        <v>46578</v>
      </c>
    </row>
    <row r="5219" spans="1:24">
      <c r="A5219">
        <f>HYPERLINK("https://www.philgeps.gov.ph/GEPSNONPILOT/Tender/SplashBidNoticeAbstractUI.aspx?menuIndex=3&amp;refID=7054399&amp;Result=3","7054399")</f>
        <v>0</v>
      </c>
      <c r="B5219" t="s">
        <v>1007</v>
      </c>
      <c r="C5219" t="s">
        <v>8515</v>
      </c>
      <c r="D5219" t="s">
        <v>18812</v>
      </c>
      <c r="E5219" t="s">
        <v>23569</v>
      </c>
      <c r="F5219" t="s">
        <v>32664</v>
      </c>
      <c r="G5219" t="s">
        <v>32672</v>
      </c>
      <c r="H5219" t="s">
        <v>12635</v>
      </c>
      <c r="I5219" t="s">
        <v>4439</v>
      </c>
      <c r="J5219" t="s">
        <v>36137</v>
      </c>
      <c r="K5219" t="s">
        <v>42284</v>
      </c>
      <c r="M5219" t="s">
        <v>44391</v>
      </c>
      <c r="N5219" t="s">
        <v>46569</v>
      </c>
      <c r="O5219" t="s">
        <v>46570</v>
      </c>
      <c r="P5219">
        <v>0</v>
      </c>
      <c r="Q5219">
        <v>0</v>
      </c>
      <c r="R5219" t="s">
        <v>46573</v>
      </c>
      <c r="S5219" t="s">
        <v>46705</v>
      </c>
      <c r="T5219" t="s">
        <v>48334</v>
      </c>
      <c r="U5219" t="s">
        <v>53106</v>
      </c>
      <c r="W5219" t="s">
        <v>44391</v>
      </c>
      <c r="X5219" t="s">
        <v>46578</v>
      </c>
    </row>
    <row r="5220" spans="1:24">
      <c r="A5220">
        <f>HYPERLINK("https://www.philgeps.gov.ph/GEPSNONPILOT/Tender/SplashBidNoticeAbstractUI.aspx?menuIndex=3&amp;refID=7062568&amp;Result=3","7062568")</f>
        <v>0</v>
      </c>
      <c r="B5220" t="s">
        <v>1257</v>
      </c>
      <c r="C5220" t="s">
        <v>4254</v>
      </c>
      <c r="E5220" t="s">
        <v>23570</v>
      </c>
      <c r="F5220" t="s">
        <v>32664</v>
      </c>
      <c r="G5220" t="s">
        <v>32677</v>
      </c>
      <c r="H5220" t="s">
        <v>12635</v>
      </c>
      <c r="I5220" t="s">
        <v>6168</v>
      </c>
      <c r="J5220" t="s">
        <v>36138</v>
      </c>
      <c r="K5220" t="s">
        <v>42283</v>
      </c>
      <c r="M5220" t="s">
        <v>43899</v>
      </c>
      <c r="N5220" t="s">
        <v>46569</v>
      </c>
      <c r="O5220" t="s">
        <v>46570</v>
      </c>
      <c r="P5220">
        <v>0</v>
      </c>
      <c r="Q5220">
        <v>1</v>
      </c>
      <c r="R5220" t="s">
        <v>46572</v>
      </c>
      <c r="S5220" t="s">
        <v>46689</v>
      </c>
      <c r="T5220" t="s">
        <v>48250</v>
      </c>
      <c r="U5220" t="s">
        <v>49404</v>
      </c>
      <c r="W5220" t="s">
        <v>43899</v>
      </c>
      <c r="X5220" t="s">
        <v>46573</v>
      </c>
    </row>
    <row r="5221" spans="1:24">
      <c r="A5221">
        <f>HYPERLINK("https://www.philgeps.gov.ph/GEPSNONPILOT/Tender/SplashBidNoticeAbstractUI.aspx?menuIndex=3&amp;refID=7056419&amp;Result=3","7056419")</f>
        <v>0</v>
      </c>
      <c r="B5221" t="s">
        <v>1706</v>
      </c>
      <c r="C5221" t="s">
        <v>8516</v>
      </c>
      <c r="D5221" t="s">
        <v>18793</v>
      </c>
      <c r="E5221" t="s">
        <v>23571</v>
      </c>
      <c r="F5221" t="s">
        <v>32664</v>
      </c>
      <c r="G5221" t="s">
        <v>32672</v>
      </c>
      <c r="H5221" t="s">
        <v>12635</v>
      </c>
      <c r="I5221" t="s">
        <v>6118</v>
      </c>
      <c r="J5221" t="s">
        <v>36139</v>
      </c>
      <c r="K5221" t="s">
        <v>42298</v>
      </c>
      <c r="M5221" t="s">
        <v>44400</v>
      </c>
      <c r="N5221" t="s">
        <v>46569</v>
      </c>
      <c r="O5221" t="s">
        <v>46570</v>
      </c>
      <c r="P5221">
        <v>0</v>
      </c>
      <c r="Q5221">
        <v>0</v>
      </c>
      <c r="R5221" t="s">
        <v>46573</v>
      </c>
      <c r="S5221" t="s">
        <v>46705</v>
      </c>
      <c r="T5221" t="s">
        <v>48349</v>
      </c>
      <c r="U5221" t="s">
        <v>53107</v>
      </c>
      <c r="W5221" t="s">
        <v>44400</v>
      </c>
      <c r="X5221" t="s">
        <v>46577</v>
      </c>
    </row>
    <row r="5222" spans="1:24">
      <c r="A5222">
        <f>HYPERLINK("https://www.philgeps.gov.ph/GEPSNONPILOT/Tender/SplashBidNoticeAbstractUI.aspx?menuIndex=3&amp;refID=7062565&amp;Result=3","7062565")</f>
        <v>0</v>
      </c>
      <c r="B5222" t="s">
        <v>1261</v>
      </c>
      <c r="C5222" t="s">
        <v>6694</v>
      </c>
      <c r="D5222" t="s">
        <v>18804</v>
      </c>
      <c r="E5222" t="s">
        <v>21815</v>
      </c>
      <c r="F5222" t="s">
        <v>32664</v>
      </c>
      <c r="G5222" t="s">
        <v>32671</v>
      </c>
      <c r="H5222" t="s">
        <v>12635</v>
      </c>
      <c r="I5222" t="s">
        <v>6628</v>
      </c>
      <c r="J5222" t="s">
        <v>36140</v>
      </c>
      <c r="K5222" t="s">
        <v>42295</v>
      </c>
      <c r="M5222" t="s">
        <v>43904</v>
      </c>
      <c r="N5222" t="s">
        <v>46569</v>
      </c>
      <c r="O5222" t="s">
        <v>46570</v>
      </c>
      <c r="P5222">
        <v>0</v>
      </c>
      <c r="Q5222">
        <v>1</v>
      </c>
      <c r="R5222" t="s">
        <v>46572</v>
      </c>
      <c r="S5222" t="s">
        <v>46689</v>
      </c>
      <c r="T5222" t="s">
        <v>48221</v>
      </c>
      <c r="U5222" t="s">
        <v>53108</v>
      </c>
      <c r="W5222" t="s">
        <v>43904</v>
      </c>
      <c r="X5222" t="s">
        <v>46573</v>
      </c>
    </row>
    <row r="5223" spans="1:24">
      <c r="A5223">
        <f>HYPERLINK("https://www.philgeps.gov.ph/GEPSNONPILOT/Tender/SplashBidNoticeAbstractUI.aspx?menuIndex=3&amp;refID=7059114&amp;Result=3","7059114")</f>
        <v>0</v>
      </c>
      <c r="B5223" t="s">
        <v>902</v>
      </c>
      <c r="C5223" t="s">
        <v>8517</v>
      </c>
      <c r="D5223" t="s">
        <v>18785</v>
      </c>
      <c r="E5223" t="s">
        <v>23572</v>
      </c>
      <c r="F5223" t="s">
        <v>32664</v>
      </c>
      <c r="G5223" t="s">
        <v>32674</v>
      </c>
      <c r="H5223" t="s">
        <v>12635</v>
      </c>
      <c r="I5223" t="s">
        <v>6628</v>
      </c>
      <c r="J5223" t="s">
        <v>34329</v>
      </c>
      <c r="K5223" t="s">
        <v>42311</v>
      </c>
      <c r="M5223" t="s">
        <v>43506</v>
      </c>
      <c r="N5223" t="s">
        <v>46569</v>
      </c>
      <c r="O5223" t="s">
        <v>46570</v>
      </c>
      <c r="P5223">
        <v>0</v>
      </c>
      <c r="Q5223">
        <v>1</v>
      </c>
      <c r="R5223" t="s">
        <v>46573</v>
      </c>
      <c r="S5223" t="s">
        <v>46705</v>
      </c>
      <c r="T5223" t="s">
        <v>48316</v>
      </c>
      <c r="U5223" t="s">
        <v>53109</v>
      </c>
      <c r="W5223" t="s">
        <v>63494</v>
      </c>
      <c r="X5223" t="s">
        <v>46574</v>
      </c>
    </row>
    <row r="5224" spans="1:24">
      <c r="A5224">
        <f>HYPERLINK("https://www.philgeps.gov.ph/GEPSNONPILOT/Tender/SplashBidNoticeAbstractUI.aspx?menuIndex=3&amp;refID=7059148&amp;Result=3","7059148")</f>
        <v>0</v>
      </c>
      <c r="B5224" t="s">
        <v>1786</v>
      </c>
      <c r="C5224" t="s">
        <v>8518</v>
      </c>
      <c r="D5224" t="s">
        <v>18814</v>
      </c>
      <c r="E5224" t="s">
        <v>23573</v>
      </c>
      <c r="F5224" t="s">
        <v>32665</v>
      </c>
      <c r="G5224" t="s">
        <v>32674</v>
      </c>
      <c r="H5224" t="s">
        <v>12635</v>
      </c>
      <c r="I5224" t="s">
        <v>8849</v>
      </c>
      <c r="J5224" t="s">
        <v>36141</v>
      </c>
      <c r="K5224" t="s">
        <v>42284</v>
      </c>
      <c r="M5224" t="s">
        <v>44488</v>
      </c>
      <c r="N5224" t="s">
        <v>46569</v>
      </c>
      <c r="O5224" t="s">
        <v>46570</v>
      </c>
      <c r="P5224">
        <v>0</v>
      </c>
      <c r="Q5224">
        <v>2</v>
      </c>
      <c r="R5224" t="s">
        <v>46573</v>
      </c>
      <c r="S5224" t="s">
        <v>46705</v>
      </c>
      <c r="T5224" t="s">
        <v>48378</v>
      </c>
      <c r="U5224" t="s">
        <v>53110</v>
      </c>
      <c r="W5224" t="s">
        <v>44488</v>
      </c>
      <c r="X5224" t="s">
        <v>46574</v>
      </c>
    </row>
    <row r="5225" spans="1:24">
      <c r="A5225">
        <f>HYPERLINK("https://www.philgeps.gov.ph/GEPSNONPILOT/Tender/SplashBidNoticeAbstractUI.aspx?menuIndex=3&amp;refID=7059174&amp;Result=3","7059174")</f>
        <v>0</v>
      </c>
      <c r="B5225" t="s">
        <v>1787</v>
      </c>
      <c r="C5225" t="s">
        <v>8262</v>
      </c>
      <c r="D5225" t="s">
        <v>18794</v>
      </c>
      <c r="E5225" t="s">
        <v>23574</v>
      </c>
      <c r="F5225" t="s">
        <v>32664</v>
      </c>
      <c r="G5225" t="s">
        <v>32671</v>
      </c>
      <c r="H5225" t="s">
        <v>12635</v>
      </c>
      <c r="I5225" t="s">
        <v>10361</v>
      </c>
      <c r="J5225" t="s">
        <v>36142</v>
      </c>
      <c r="K5225" t="s">
        <v>42295</v>
      </c>
      <c r="M5225" t="s">
        <v>44489</v>
      </c>
      <c r="N5225" t="s">
        <v>46569</v>
      </c>
      <c r="O5225" t="s">
        <v>46570</v>
      </c>
      <c r="P5225">
        <v>0</v>
      </c>
      <c r="Q5225">
        <v>1</v>
      </c>
      <c r="R5225" t="s">
        <v>46573</v>
      </c>
      <c r="S5225" t="s">
        <v>46705</v>
      </c>
      <c r="T5225" t="s">
        <v>48287</v>
      </c>
      <c r="U5225" t="s">
        <v>53111</v>
      </c>
      <c r="W5225" t="s">
        <v>44489</v>
      </c>
      <c r="X5225" t="s">
        <v>46574</v>
      </c>
    </row>
    <row r="5226" spans="1:24">
      <c r="A5226">
        <f>HYPERLINK("https://www.philgeps.gov.ph/GEPSNONPILOT/Tender/SplashBidNoticeAbstractUI.aspx?menuIndex=3&amp;refID=7056940&amp;Result=3","7056940")</f>
        <v>0</v>
      </c>
      <c r="B5226" t="s">
        <v>1788</v>
      </c>
      <c r="C5226" t="s">
        <v>8519</v>
      </c>
      <c r="D5226" t="s">
        <v>18802</v>
      </c>
      <c r="E5226" t="s">
        <v>23575</v>
      </c>
      <c r="F5226" t="s">
        <v>32664</v>
      </c>
      <c r="G5226" t="s">
        <v>32672</v>
      </c>
      <c r="H5226" t="s">
        <v>12635</v>
      </c>
      <c r="I5226" t="s">
        <v>32710</v>
      </c>
      <c r="J5226" t="s">
        <v>34559</v>
      </c>
      <c r="K5226" t="s">
        <v>42281</v>
      </c>
      <c r="M5226" t="s">
        <v>44490</v>
      </c>
      <c r="N5226" t="s">
        <v>46569</v>
      </c>
      <c r="O5226" t="s">
        <v>46570</v>
      </c>
      <c r="P5226">
        <v>0</v>
      </c>
      <c r="Q5226">
        <v>4</v>
      </c>
      <c r="R5226" t="s">
        <v>46573</v>
      </c>
      <c r="S5226" t="s">
        <v>46705</v>
      </c>
      <c r="T5226" t="s">
        <v>48349</v>
      </c>
      <c r="U5226" t="s">
        <v>53112</v>
      </c>
      <c r="W5226" t="s">
        <v>44490</v>
      </c>
      <c r="X5226" t="s">
        <v>46577</v>
      </c>
    </row>
    <row r="5227" spans="1:24">
      <c r="A5227">
        <f>HYPERLINK("https://www.philgeps.gov.ph/GEPSNONPILOT/Tender/SplashBidNoticeAbstractUI.aspx?menuIndex=3&amp;refID=7059125&amp;Result=3","7059125")</f>
        <v>0</v>
      </c>
      <c r="B5227" t="s">
        <v>1789</v>
      </c>
      <c r="C5227" t="s">
        <v>8520</v>
      </c>
      <c r="D5227" t="s">
        <v>18803</v>
      </c>
      <c r="E5227" t="s">
        <v>19380</v>
      </c>
      <c r="F5227" t="s">
        <v>32664</v>
      </c>
      <c r="G5227" t="s">
        <v>32672</v>
      </c>
      <c r="H5227" t="s">
        <v>12635</v>
      </c>
      <c r="I5227" t="s">
        <v>6168</v>
      </c>
      <c r="J5227" t="s">
        <v>33625</v>
      </c>
      <c r="K5227" t="s">
        <v>42309</v>
      </c>
      <c r="M5227" t="s">
        <v>44491</v>
      </c>
      <c r="N5227" t="s">
        <v>46569</v>
      </c>
      <c r="O5227" t="s">
        <v>46570</v>
      </c>
      <c r="P5227">
        <v>0</v>
      </c>
      <c r="Q5227">
        <v>4</v>
      </c>
      <c r="R5227" t="s">
        <v>46573</v>
      </c>
      <c r="S5227" t="s">
        <v>46705</v>
      </c>
      <c r="T5227" t="s">
        <v>48356</v>
      </c>
      <c r="U5227" t="s">
        <v>53113</v>
      </c>
      <c r="W5227" t="s">
        <v>44491</v>
      </c>
      <c r="X5227" t="s">
        <v>46574</v>
      </c>
    </row>
    <row r="5228" spans="1:24">
      <c r="A5228">
        <f>HYPERLINK("https://www.philgeps.gov.ph/GEPSNONPILOT/Tender/SplashBidNoticeAbstractUI.aspx?menuIndex=3&amp;refID=7059172&amp;Result=3","7059172")</f>
        <v>0</v>
      </c>
      <c r="B5228" t="s">
        <v>1790</v>
      </c>
      <c r="C5228" t="s">
        <v>8521</v>
      </c>
      <c r="D5228" t="s">
        <v>18787</v>
      </c>
      <c r="E5228" t="s">
        <v>23576</v>
      </c>
      <c r="F5228" t="s">
        <v>32664</v>
      </c>
      <c r="G5228" t="s">
        <v>32672</v>
      </c>
      <c r="H5228" t="s">
        <v>12635</v>
      </c>
      <c r="I5228" t="s">
        <v>32787</v>
      </c>
      <c r="J5228" t="s">
        <v>33688</v>
      </c>
      <c r="K5228" t="s">
        <v>42289</v>
      </c>
      <c r="M5228" t="s">
        <v>44492</v>
      </c>
      <c r="N5228" t="s">
        <v>46569</v>
      </c>
      <c r="O5228" t="s">
        <v>46570</v>
      </c>
      <c r="P5228">
        <v>0</v>
      </c>
      <c r="Q5228">
        <v>0</v>
      </c>
      <c r="R5228" t="s">
        <v>46573</v>
      </c>
      <c r="S5228" t="s">
        <v>46705</v>
      </c>
      <c r="T5228" t="s">
        <v>48283</v>
      </c>
      <c r="U5228" t="s">
        <v>53114</v>
      </c>
      <c r="W5228" t="s">
        <v>44492</v>
      </c>
      <c r="X5228" t="s">
        <v>46574</v>
      </c>
    </row>
    <row r="5229" spans="1:24">
      <c r="A5229">
        <f>HYPERLINK("https://www.philgeps.gov.ph/GEPSNONPILOT/Tender/SplashBidNoticeAbstractUI.aspx?menuIndex=3&amp;refID=7059171&amp;Result=3","7059171")</f>
        <v>0</v>
      </c>
      <c r="B5229" t="s">
        <v>209</v>
      </c>
      <c r="C5229" t="s">
        <v>8522</v>
      </c>
      <c r="D5229" t="s">
        <v>18789</v>
      </c>
      <c r="E5229" t="s">
        <v>23577</v>
      </c>
      <c r="F5229" t="s">
        <v>32664</v>
      </c>
      <c r="G5229" t="s">
        <v>32671</v>
      </c>
      <c r="H5229" t="s">
        <v>12635</v>
      </c>
      <c r="I5229" t="s">
        <v>4439</v>
      </c>
      <c r="J5229" t="s">
        <v>33069</v>
      </c>
      <c r="K5229" t="s">
        <v>42330</v>
      </c>
      <c r="M5229" t="s">
        <v>42773</v>
      </c>
      <c r="N5229" t="s">
        <v>46569</v>
      </c>
      <c r="O5229" t="s">
        <v>46570</v>
      </c>
      <c r="P5229">
        <v>0</v>
      </c>
      <c r="Q5229">
        <v>0</v>
      </c>
      <c r="R5229" t="s">
        <v>46573</v>
      </c>
      <c r="S5229" t="s">
        <v>46705</v>
      </c>
      <c r="T5229" t="s">
        <v>48282</v>
      </c>
      <c r="U5229" t="s">
        <v>53115</v>
      </c>
      <c r="W5229" t="s">
        <v>42773</v>
      </c>
      <c r="X5229" t="s">
        <v>46574</v>
      </c>
    </row>
    <row r="5230" spans="1:24">
      <c r="A5230">
        <f>HYPERLINK("https://www.philgeps.gov.ph/GEPSNONPILOT/Tender/SplashBidNoticeAbstractUI.aspx?menuIndex=3&amp;refID=7059169&amp;Result=3","7059169")</f>
        <v>0</v>
      </c>
      <c r="B5230" t="s">
        <v>1298</v>
      </c>
      <c r="C5230" t="s">
        <v>8523</v>
      </c>
      <c r="D5230" t="s">
        <v>18848</v>
      </c>
      <c r="E5230" t="s">
        <v>23578</v>
      </c>
      <c r="F5230" t="s">
        <v>32664</v>
      </c>
      <c r="G5230" t="s">
        <v>32671</v>
      </c>
      <c r="H5230" t="s">
        <v>12635</v>
      </c>
      <c r="I5230" t="s">
        <v>32711</v>
      </c>
      <c r="J5230" t="s">
        <v>33126</v>
      </c>
      <c r="K5230" t="s">
        <v>42295</v>
      </c>
      <c r="M5230" t="s">
        <v>43942</v>
      </c>
      <c r="N5230" t="s">
        <v>46569</v>
      </c>
      <c r="O5230" t="s">
        <v>46570</v>
      </c>
      <c r="P5230">
        <v>0</v>
      </c>
      <c r="Q5230">
        <v>0</v>
      </c>
      <c r="R5230" t="s">
        <v>46573</v>
      </c>
      <c r="S5230" t="s">
        <v>46705</v>
      </c>
      <c r="T5230" t="s">
        <v>48287</v>
      </c>
      <c r="U5230" t="s">
        <v>53116</v>
      </c>
      <c r="W5230" t="s">
        <v>43942</v>
      </c>
      <c r="X5230" t="s">
        <v>46574</v>
      </c>
    </row>
    <row r="5231" spans="1:24">
      <c r="A5231">
        <f>HYPERLINK("https://www.philgeps.gov.ph/GEPSNONPILOT/Tender/SplashBidNoticeAbstractUI.aspx?menuIndex=3&amp;refID=7059165&amp;Result=3","7059165")</f>
        <v>0</v>
      </c>
      <c r="B5231" t="s">
        <v>419</v>
      </c>
      <c r="C5231" t="s">
        <v>8524</v>
      </c>
      <c r="D5231" t="s">
        <v>18784</v>
      </c>
      <c r="E5231" t="s">
        <v>23579</v>
      </c>
      <c r="F5231" t="s">
        <v>32664</v>
      </c>
      <c r="G5231" t="s">
        <v>32674</v>
      </c>
      <c r="H5231" t="s">
        <v>12635</v>
      </c>
      <c r="I5231" t="s">
        <v>32704</v>
      </c>
      <c r="J5231" t="s">
        <v>36143</v>
      </c>
      <c r="K5231" t="s">
        <v>42283</v>
      </c>
      <c r="M5231" t="s">
        <v>42990</v>
      </c>
      <c r="N5231" t="s">
        <v>46569</v>
      </c>
      <c r="O5231" t="s">
        <v>46570</v>
      </c>
      <c r="P5231">
        <v>0</v>
      </c>
      <c r="Q5231">
        <v>13</v>
      </c>
      <c r="R5231" t="s">
        <v>46573</v>
      </c>
      <c r="S5231" t="s">
        <v>46705</v>
      </c>
      <c r="T5231" t="s">
        <v>48251</v>
      </c>
      <c r="U5231" t="s">
        <v>53117</v>
      </c>
      <c r="W5231" t="s">
        <v>42990</v>
      </c>
      <c r="X5231" t="s">
        <v>46574</v>
      </c>
    </row>
    <row r="5232" spans="1:24">
      <c r="A5232">
        <f>HYPERLINK("https://www.philgeps.gov.ph/GEPSNONPILOT/Tender/SplashBidNoticeAbstractUI.aspx?menuIndex=3&amp;refID=7059162&amp;Result=3","7059162")</f>
        <v>0</v>
      </c>
      <c r="B5232" t="s">
        <v>276</v>
      </c>
      <c r="C5232" t="s">
        <v>8525</v>
      </c>
      <c r="D5232" t="s">
        <v>18806</v>
      </c>
      <c r="E5232" t="s">
        <v>23580</v>
      </c>
      <c r="F5232" t="s">
        <v>32664</v>
      </c>
      <c r="G5232" t="s">
        <v>32674</v>
      </c>
      <c r="H5232" t="s">
        <v>12635</v>
      </c>
      <c r="I5232" t="s">
        <v>32704</v>
      </c>
      <c r="J5232" t="s">
        <v>33106</v>
      </c>
      <c r="K5232" t="s">
        <v>42309</v>
      </c>
      <c r="M5232" t="s">
        <v>42841</v>
      </c>
      <c r="N5232" t="s">
        <v>46569</v>
      </c>
      <c r="O5232" t="s">
        <v>46570</v>
      </c>
      <c r="P5232">
        <v>0</v>
      </c>
      <c r="Q5232">
        <v>5</v>
      </c>
      <c r="R5232" t="s">
        <v>46573</v>
      </c>
      <c r="S5232" t="s">
        <v>46705</v>
      </c>
      <c r="T5232" t="s">
        <v>48316</v>
      </c>
      <c r="U5232" t="s">
        <v>53118</v>
      </c>
      <c r="V5232" t="s">
        <v>62169</v>
      </c>
      <c r="W5232" t="s">
        <v>42841</v>
      </c>
      <c r="X5232" t="s">
        <v>46574</v>
      </c>
    </row>
    <row r="5233" spans="1:24">
      <c r="A5233">
        <f>HYPERLINK("https://www.philgeps.gov.ph/GEPSNONPILOT/Tender/SplashBidNoticeAbstractUI.aspx?menuIndex=3&amp;refID=7062567&amp;Result=3","7062567")</f>
        <v>0</v>
      </c>
      <c r="B5233" t="s">
        <v>527</v>
      </c>
      <c r="C5233" t="s">
        <v>8526</v>
      </c>
      <c r="D5233" t="s">
        <v>18784</v>
      </c>
      <c r="E5233" t="s">
        <v>23581</v>
      </c>
      <c r="F5233" t="s">
        <v>32664</v>
      </c>
      <c r="G5233" t="s">
        <v>32671</v>
      </c>
      <c r="H5233" t="s">
        <v>12635</v>
      </c>
      <c r="I5233" t="s">
        <v>6223</v>
      </c>
      <c r="J5233" t="s">
        <v>36144</v>
      </c>
      <c r="K5233" t="s">
        <v>42284</v>
      </c>
      <c r="M5233" t="s">
        <v>43104</v>
      </c>
      <c r="N5233" t="s">
        <v>46569</v>
      </c>
      <c r="O5233" t="s">
        <v>46570</v>
      </c>
      <c r="P5233">
        <v>0</v>
      </c>
      <c r="Q5233">
        <v>0</v>
      </c>
      <c r="R5233" t="s">
        <v>46572</v>
      </c>
      <c r="S5233" t="s">
        <v>46689</v>
      </c>
      <c r="T5233" t="s">
        <v>48283</v>
      </c>
      <c r="U5233" t="s">
        <v>50582</v>
      </c>
      <c r="W5233" t="s">
        <v>43104</v>
      </c>
      <c r="X5233" t="s">
        <v>46573</v>
      </c>
    </row>
    <row r="5234" spans="1:24">
      <c r="A5234">
        <f>HYPERLINK("https://www.philgeps.gov.ph/GEPSNONPILOT/Tender/SplashBidNoticeAbstractUI.aspx?menuIndex=3&amp;refID=7059159&amp;Result=3","7059159")</f>
        <v>0</v>
      </c>
      <c r="B5234" t="s">
        <v>1357</v>
      </c>
      <c r="C5234" t="s">
        <v>8527</v>
      </c>
      <c r="D5234" t="s">
        <v>18831</v>
      </c>
      <c r="E5234" t="s">
        <v>22044</v>
      </c>
      <c r="F5234" t="s">
        <v>32664</v>
      </c>
      <c r="G5234" t="s">
        <v>32672</v>
      </c>
      <c r="H5234" t="s">
        <v>12635</v>
      </c>
      <c r="I5234" t="s">
        <v>4439</v>
      </c>
      <c r="J5234" t="s">
        <v>36145</v>
      </c>
      <c r="K5234" t="s">
        <v>42281</v>
      </c>
      <c r="M5234" t="s">
        <v>44011</v>
      </c>
      <c r="N5234" t="s">
        <v>46569</v>
      </c>
      <c r="O5234" t="s">
        <v>46570</v>
      </c>
      <c r="P5234">
        <v>0</v>
      </c>
      <c r="Q5234">
        <v>0</v>
      </c>
      <c r="R5234" t="s">
        <v>46573</v>
      </c>
      <c r="S5234" t="s">
        <v>46705</v>
      </c>
      <c r="T5234" t="s">
        <v>48373</v>
      </c>
      <c r="U5234" t="s">
        <v>53119</v>
      </c>
      <c r="V5234" t="s">
        <v>62170</v>
      </c>
      <c r="W5234" t="s">
        <v>44011</v>
      </c>
      <c r="X5234" t="s">
        <v>46574</v>
      </c>
    </row>
    <row r="5235" spans="1:24">
      <c r="A5235">
        <f>HYPERLINK("https://www.philgeps.gov.ph/GEPSNONPILOT/Tender/SplashBidNoticeAbstractUI.aspx?menuIndex=3&amp;refID=7059158&amp;Result=3","7059158")</f>
        <v>0</v>
      </c>
      <c r="B5235" t="s">
        <v>1791</v>
      </c>
      <c r="C5235" t="s">
        <v>8528</v>
      </c>
      <c r="D5235" t="s">
        <v>18791</v>
      </c>
      <c r="E5235" t="s">
        <v>23582</v>
      </c>
      <c r="F5235" t="s">
        <v>32664</v>
      </c>
      <c r="G5235" t="s">
        <v>32671</v>
      </c>
      <c r="H5235" t="s">
        <v>32682</v>
      </c>
      <c r="I5235" t="s">
        <v>9946</v>
      </c>
      <c r="J5235" t="s">
        <v>33148</v>
      </c>
      <c r="K5235" t="s">
        <v>42334</v>
      </c>
      <c r="M5235" t="s">
        <v>44493</v>
      </c>
      <c r="N5235" t="s">
        <v>46569</v>
      </c>
      <c r="O5235" t="s">
        <v>46570</v>
      </c>
      <c r="P5235">
        <v>0</v>
      </c>
      <c r="Q5235">
        <v>0</v>
      </c>
      <c r="R5235" t="s">
        <v>46573</v>
      </c>
      <c r="S5235" t="s">
        <v>46705</v>
      </c>
      <c r="T5235" t="s">
        <v>48287</v>
      </c>
      <c r="U5235" t="s">
        <v>53120</v>
      </c>
      <c r="W5235" t="s">
        <v>44493</v>
      </c>
      <c r="X5235" t="s">
        <v>46574</v>
      </c>
    </row>
    <row r="5236" spans="1:24">
      <c r="A5236">
        <f>HYPERLINK("https://www.philgeps.gov.ph/GEPSNONPILOT/Tender/SplashBidNoticeAbstractUI.aspx?menuIndex=3&amp;refID=7059154&amp;Result=3","7059154")</f>
        <v>0</v>
      </c>
      <c r="B5236" t="s">
        <v>476</v>
      </c>
      <c r="C5236" t="s">
        <v>8529</v>
      </c>
      <c r="D5236" t="s">
        <v>18788</v>
      </c>
      <c r="E5236" t="s">
        <v>20822</v>
      </c>
      <c r="F5236" t="s">
        <v>32664</v>
      </c>
      <c r="G5236" t="s">
        <v>32675</v>
      </c>
      <c r="H5236" t="s">
        <v>32683</v>
      </c>
      <c r="I5236" t="s">
        <v>10627</v>
      </c>
      <c r="J5236" t="s">
        <v>33461</v>
      </c>
      <c r="K5236" t="s">
        <v>42281</v>
      </c>
      <c r="M5236" t="s">
        <v>43051</v>
      </c>
      <c r="N5236" t="s">
        <v>46569</v>
      </c>
      <c r="O5236" t="s">
        <v>46570</v>
      </c>
      <c r="P5236">
        <v>0</v>
      </c>
      <c r="Q5236">
        <v>0</v>
      </c>
      <c r="R5236" t="s">
        <v>46573</v>
      </c>
      <c r="S5236" t="s">
        <v>46705</v>
      </c>
      <c r="T5236" t="s">
        <v>48221</v>
      </c>
      <c r="U5236" t="s">
        <v>53121</v>
      </c>
      <c r="W5236" t="s">
        <v>43051</v>
      </c>
      <c r="X5236" t="s">
        <v>46574</v>
      </c>
    </row>
    <row r="5237" spans="1:24">
      <c r="A5237">
        <f>HYPERLINK("https://www.philgeps.gov.ph/GEPSNONPILOT/Tender/SplashBidNoticeAbstractUI.aspx?menuIndex=3&amp;refID=7059166&amp;Result=3","7059166")</f>
        <v>0</v>
      </c>
      <c r="B5237" t="s">
        <v>355</v>
      </c>
      <c r="C5237" t="s">
        <v>4436</v>
      </c>
      <c r="D5237" t="s">
        <v>18816</v>
      </c>
      <c r="E5237" t="s">
        <v>23583</v>
      </c>
      <c r="F5237" t="s">
        <v>32664</v>
      </c>
      <c r="G5237" t="s">
        <v>32671</v>
      </c>
      <c r="H5237" t="s">
        <v>12635</v>
      </c>
      <c r="I5237" t="s">
        <v>32685</v>
      </c>
      <c r="J5237" t="s">
        <v>35141</v>
      </c>
      <c r="K5237" t="s">
        <v>42330</v>
      </c>
      <c r="M5237" t="s">
        <v>42924</v>
      </c>
      <c r="N5237" t="s">
        <v>46569</v>
      </c>
      <c r="O5237" t="s">
        <v>46570</v>
      </c>
      <c r="P5237">
        <v>0</v>
      </c>
      <c r="Q5237">
        <v>0</v>
      </c>
      <c r="R5237" t="s">
        <v>46573</v>
      </c>
      <c r="S5237" t="s">
        <v>46705</v>
      </c>
      <c r="T5237" t="s">
        <v>48307</v>
      </c>
      <c r="U5237" t="s">
        <v>53122</v>
      </c>
      <c r="W5237" t="s">
        <v>42924</v>
      </c>
      <c r="X5237" t="s">
        <v>46574</v>
      </c>
    </row>
    <row r="5238" spans="1:24">
      <c r="A5238">
        <f>HYPERLINK("https://www.philgeps.gov.ph/GEPSNONPILOT/Tender/SplashBidNoticeAbstractUI.aspx?menuIndex=3&amp;refID=7059161&amp;Result=3","7059161")</f>
        <v>0</v>
      </c>
      <c r="B5238" t="s">
        <v>1095</v>
      </c>
      <c r="C5238" t="s">
        <v>6223</v>
      </c>
      <c r="D5238" t="s">
        <v>18798</v>
      </c>
      <c r="E5238" t="s">
        <v>23584</v>
      </c>
      <c r="F5238" t="s">
        <v>32664</v>
      </c>
      <c r="G5238" t="s">
        <v>32671</v>
      </c>
      <c r="H5238" t="s">
        <v>12635</v>
      </c>
      <c r="I5238" t="s">
        <v>6223</v>
      </c>
      <c r="J5238" t="s">
        <v>36146</v>
      </c>
      <c r="K5238" t="s">
        <v>42281</v>
      </c>
      <c r="M5238" t="s">
        <v>42640</v>
      </c>
      <c r="N5238" t="s">
        <v>46569</v>
      </c>
      <c r="O5238" t="s">
        <v>46570</v>
      </c>
      <c r="P5238">
        <v>0</v>
      </c>
      <c r="Q5238">
        <v>0</v>
      </c>
      <c r="R5238" t="s">
        <v>46573</v>
      </c>
      <c r="S5238" t="s">
        <v>46705</v>
      </c>
      <c r="T5238" t="s">
        <v>48290</v>
      </c>
      <c r="U5238" t="s">
        <v>53123</v>
      </c>
      <c r="W5238" t="s">
        <v>42640</v>
      </c>
      <c r="X5238" t="s">
        <v>46574</v>
      </c>
    </row>
    <row r="5239" spans="1:24">
      <c r="A5239">
        <f>HYPERLINK("https://www.philgeps.gov.ph/GEPSNONPILOT/Tender/SplashBidNoticeAbstractUI.aspx?menuIndex=3&amp;refID=7059152&amp;Result=3","7059152")</f>
        <v>0</v>
      </c>
      <c r="B5239" t="s">
        <v>1152</v>
      </c>
      <c r="C5239" t="s">
        <v>8530</v>
      </c>
      <c r="D5239" t="s">
        <v>18804</v>
      </c>
      <c r="E5239" t="s">
        <v>23585</v>
      </c>
      <c r="F5239" t="s">
        <v>32664</v>
      </c>
      <c r="G5239" t="s">
        <v>32671</v>
      </c>
      <c r="H5239" t="s">
        <v>12635</v>
      </c>
      <c r="I5239" t="s">
        <v>7759</v>
      </c>
      <c r="J5239" t="s">
        <v>34824</v>
      </c>
      <c r="K5239" t="s">
        <v>42297</v>
      </c>
      <c r="M5239" t="s">
        <v>44494</v>
      </c>
      <c r="N5239" t="s">
        <v>46569</v>
      </c>
      <c r="O5239" t="s">
        <v>46570</v>
      </c>
      <c r="P5239">
        <v>0</v>
      </c>
      <c r="Q5239">
        <v>0</v>
      </c>
      <c r="R5239" t="s">
        <v>46573</v>
      </c>
      <c r="S5239" t="s">
        <v>46705</v>
      </c>
      <c r="T5239" t="s">
        <v>48376</v>
      </c>
      <c r="U5239" t="s">
        <v>53124</v>
      </c>
      <c r="W5239" t="s">
        <v>44494</v>
      </c>
      <c r="X5239" t="s">
        <v>46574</v>
      </c>
    </row>
    <row r="5240" spans="1:24">
      <c r="A5240">
        <f>HYPERLINK("https://www.philgeps.gov.ph/GEPSNONPILOT/Tender/SplashBidNoticeAbstractUI.aspx?menuIndex=3&amp;refID=7059150&amp;Result=3","7059150")</f>
        <v>0</v>
      </c>
      <c r="B5240" t="s">
        <v>189</v>
      </c>
      <c r="C5240" t="s">
        <v>8531</v>
      </c>
      <c r="E5240" t="s">
        <v>23586</v>
      </c>
      <c r="F5240" t="s">
        <v>32664</v>
      </c>
      <c r="G5240" t="s">
        <v>32671</v>
      </c>
      <c r="H5240" t="s">
        <v>32682</v>
      </c>
      <c r="I5240" t="s">
        <v>32727</v>
      </c>
      <c r="J5240" t="s">
        <v>34268</v>
      </c>
      <c r="K5240" t="s">
        <v>42297</v>
      </c>
      <c r="M5240" t="s">
        <v>42753</v>
      </c>
      <c r="N5240" t="s">
        <v>46569</v>
      </c>
      <c r="O5240" t="s">
        <v>46570</v>
      </c>
      <c r="P5240">
        <v>0</v>
      </c>
      <c r="Q5240">
        <v>0</v>
      </c>
      <c r="R5240" t="s">
        <v>46573</v>
      </c>
      <c r="S5240" t="s">
        <v>46705</v>
      </c>
      <c r="T5240" t="s">
        <v>48246</v>
      </c>
      <c r="U5240" t="s">
        <v>53125</v>
      </c>
      <c r="W5240" t="s">
        <v>42753</v>
      </c>
      <c r="X5240" t="s">
        <v>46574</v>
      </c>
    </row>
    <row r="5241" spans="1:24">
      <c r="A5241">
        <f>HYPERLINK("https://www.philgeps.gov.ph/GEPSNONPILOT/Tender/SplashBidNoticeAbstractUI.aspx?menuIndex=3&amp;refID=7054430&amp;Result=3","7054430")</f>
        <v>0</v>
      </c>
      <c r="B5241" t="s">
        <v>95</v>
      </c>
      <c r="C5241" t="s">
        <v>8532</v>
      </c>
      <c r="D5241" t="s">
        <v>18807</v>
      </c>
      <c r="E5241" t="s">
        <v>23587</v>
      </c>
      <c r="F5241" t="s">
        <v>32664</v>
      </c>
      <c r="G5241" t="s">
        <v>32672</v>
      </c>
      <c r="H5241" t="s">
        <v>12635</v>
      </c>
      <c r="I5241" t="s">
        <v>4439</v>
      </c>
      <c r="J5241" t="s">
        <v>36147</v>
      </c>
      <c r="K5241" t="s">
        <v>42281</v>
      </c>
      <c r="M5241" t="s">
        <v>42658</v>
      </c>
      <c r="N5241" t="s">
        <v>46569</v>
      </c>
      <c r="O5241" t="s">
        <v>46570</v>
      </c>
      <c r="P5241">
        <v>0</v>
      </c>
      <c r="Q5241">
        <v>0</v>
      </c>
      <c r="R5241" t="s">
        <v>46573</v>
      </c>
      <c r="S5241" t="s">
        <v>46705</v>
      </c>
      <c r="T5241" t="s">
        <v>48282</v>
      </c>
      <c r="U5241" t="s">
        <v>53126</v>
      </c>
      <c r="W5241" t="s">
        <v>42658</v>
      </c>
      <c r="X5241" t="s">
        <v>46578</v>
      </c>
    </row>
    <row r="5242" spans="1:24">
      <c r="A5242">
        <f>HYPERLINK("https://www.philgeps.gov.ph/GEPSNONPILOT/Tender/SplashBidNoticeAbstractUI.aspx?menuIndex=3&amp;refID=7059157&amp;Result=3","7059157")</f>
        <v>0</v>
      </c>
      <c r="B5242" t="s">
        <v>1792</v>
      </c>
      <c r="C5242" t="s">
        <v>8533</v>
      </c>
      <c r="D5242" t="s">
        <v>18794</v>
      </c>
      <c r="E5242" t="s">
        <v>23588</v>
      </c>
      <c r="F5242" t="s">
        <v>32668</v>
      </c>
      <c r="G5242" t="s">
        <v>32674</v>
      </c>
      <c r="H5242" t="s">
        <v>12635</v>
      </c>
      <c r="I5242" t="s">
        <v>32694</v>
      </c>
      <c r="J5242" t="s">
        <v>36148</v>
      </c>
      <c r="K5242" t="s">
        <v>42289</v>
      </c>
      <c r="M5242" t="s">
        <v>44495</v>
      </c>
      <c r="N5242" t="s">
        <v>46569</v>
      </c>
      <c r="O5242" t="s">
        <v>46570</v>
      </c>
      <c r="P5242">
        <v>0</v>
      </c>
      <c r="Q5242">
        <v>0</v>
      </c>
      <c r="R5242" t="s">
        <v>46573</v>
      </c>
      <c r="S5242" t="s">
        <v>46705</v>
      </c>
      <c r="T5242" t="s">
        <v>48254</v>
      </c>
      <c r="U5242" t="s">
        <v>53127</v>
      </c>
      <c r="W5242" t="s">
        <v>44495</v>
      </c>
      <c r="X5242" t="s">
        <v>46574</v>
      </c>
    </row>
    <row r="5243" spans="1:24">
      <c r="A5243">
        <f>HYPERLINK("https://www.philgeps.gov.ph/GEPSNONPILOT/Tender/SplashBidNoticeAbstractUI.aspx?menuIndex=3&amp;refID=7059142&amp;Result=3","7059142")</f>
        <v>0</v>
      </c>
      <c r="B5243" t="s">
        <v>1095</v>
      </c>
      <c r="C5243" t="s">
        <v>6223</v>
      </c>
      <c r="D5243" t="s">
        <v>18798</v>
      </c>
      <c r="E5243" t="s">
        <v>23589</v>
      </c>
      <c r="F5243" t="s">
        <v>32664</v>
      </c>
      <c r="G5243" t="s">
        <v>32671</v>
      </c>
      <c r="H5243" t="s">
        <v>12635</v>
      </c>
      <c r="I5243" t="s">
        <v>6223</v>
      </c>
      <c r="J5243" t="s">
        <v>36149</v>
      </c>
      <c r="K5243" t="s">
        <v>42305</v>
      </c>
      <c r="M5243" t="s">
        <v>42640</v>
      </c>
      <c r="N5243" t="s">
        <v>46569</v>
      </c>
      <c r="O5243" t="s">
        <v>46570</v>
      </c>
      <c r="P5243">
        <v>0</v>
      </c>
      <c r="Q5243">
        <v>0</v>
      </c>
      <c r="R5243" t="s">
        <v>46573</v>
      </c>
      <c r="S5243" t="s">
        <v>46705</v>
      </c>
      <c r="T5243" t="s">
        <v>48290</v>
      </c>
      <c r="U5243" t="s">
        <v>53128</v>
      </c>
      <c r="W5243" t="s">
        <v>42640</v>
      </c>
      <c r="X5243" t="s">
        <v>46574</v>
      </c>
    </row>
    <row r="5244" spans="1:24">
      <c r="A5244">
        <f>HYPERLINK("https://www.philgeps.gov.ph/GEPSNONPILOT/Tender/SplashBidNoticeAbstractUI.aspx?menuIndex=3&amp;refID=7062547&amp;Result=3","7062547")</f>
        <v>0</v>
      </c>
      <c r="B5244" t="s">
        <v>1247</v>
      </c>
      <c r="C5244" t="s">
        <v>8534</v>
      </c>
      <c r="D5244" t="s">
        <v>18802</v>
      </c>
      <c r="E5244" t="s">
        <v>23590</v>
      </c>
      <c r="F5244" t="s">
        <v>32664</v>
      </c>
      <c r="G5244" t="s">
        <v>32671</v>
      </c>
      <c r="H5244" t="s">
        <v>32681</v>
      </c>
      <c r="I5244" t="s">
        <v>32681</v>
      </c>
      <c r="J5244" t="s">
        <v>36150</v>
      </c>
      <c r="K5244" t="s">
        <v>42298</v>
      </c>
      <c r="M5244" t="s">
        <v>43889</v>
      </c>
      <c r="N5244" t="s">
        <v>46569</v>
      </c>
      <c r="O5244" t="s">
        <v>46570</v>
      </c>
      <c r="P5244">
        <v>0</v>
      </c>
      <c r="Q5244">
        <v>3</v>
      </c>
      <c r="R5244" t="s">
        <v>46572</v>
      </c>
      <c r="S5244" t="s">
        <v>46689</v>
      </c>
      <c r="T5244" t="s">
        <v>48219</v>
      </c>
      <c r="U5244" t="s">
        <v>51438</v>
      </c>
      <c r="W5244" t="s">
        <v>43889</v>
      </c>
      <c r="X5244" t="s">
        <v>46573</v>
      </c>
    </row>
    <row r="5245" spans="1:24">
      <c r="A5245">
        <f>HYPERLINK("https://www.philgeps.gov.ph/GEPSNONPILOT/Tender/SplashBidNoticeAbstractUI.aspx?menuIndex=3&amp;refID=7059153&amp;Result=3","7059153")</f>
        <v>0</v>
      </c>
      <c r="B5245" t="s">
        <v>358</v>
      </c>
      <c r="C5245" t="s">
        <v>8535</v>
      </c>
      <c r="D5245" t="s">
        <v>18824</v>
      </c>
      <c r="E5245" t="s">
        <v>23591</v>
      </c>
      <c r="F5245" t="s">
        <v>32664</v>
      </c>
      <c r="G5245" t="s">
        <v>32671</v>
      </c>
      <c r="H5245" t="s">
        <v>12635</v>
      </c>
      <c r="I5245" t="s">
        <v>4439</v>
      </c>
      <c r="J5245" t="s">
        <v>36151</v>
      </c>
      <c r="K5245" t="s">
        <v>42284</v>
      </c>
      <c r="M5245" t="s">
        <v>42927</v>
      </c>
      <c r="N5245" t="s">
        <v>46569</v>
      </c>
      <c r="O5245" t="s">
        <v>46570</v>
      </c>
      <c r="P5245">
        <v>0</v>
      </c>
      <c r="Q5245">
        <v>0</v>
      </c>
      <c r="R5245" t="s">
        <v>46573</v>
      </c>
      <c r="S5245" t="s">
        <v>46705</v>
      </c>
      <c r="T5245" t="s">
        <v>48376</v>
      </c>
      <c r="U5245" t="s">
        <v>53129</v>
      </c>
      <c r="W5245" t="s">
        <v>42927</v>
      </c>
      <c r="X5245" t="s">
        <v>46574</v>
      </c>
    </row>
    <row r="5246" spans="1:24">
      <c r="A5246">
        <f>HYPERLINK("https://www.philgeps.gov.ph/GEPSNONPILOT/Tender/SplashBidNoticeAbstractUI.aspx?menuIndex=3&amp;refID=7059176&amp;Result=3","7059176")</f>
        <v>0</v>
      </c>
      <c r="B5246" t="s">
        <v>1792</v>
      </c>
      <c r="C5246" t="s">
        <v>8536</v>
      </c>
      <c r="D5246" t="s">
        <v>18794</v>
      </c>
      <c r="E5246" t="s">
        <v>23592</v>
      </c>
      <c r="F5246" t="s">
        <v>32664</v>
      </c>
      <c r="G5246" t="s">
        <v>32674</v>
      </c>
      <c r="H5246" t="s">
        <v>12635</v>
      </c>
      <c r="I5246" t="s">
        <v>32691</v>
      </c>
      <c r="J5246" t="s">
        <v>36152</v>
      </c>
      <c r="K5246" t="s">
        <v>42289</v>
      </c>
      <c r="M5246" t="s">
        <v>44495</v>
      </c>
      <c r="N5246" t="s">
        <v>46569</v>
      </c>
      <c r="O5246" t="s">
        <v>46570</v>
      </c>
      <c r="P5246">
        <v>0</v>
      </c>
      <c r="Q5246">
        <v>1</v>
      </c>
      <c r="R5246" t="s">
        <v>46573</v>
      </c>
      <c r="S5246" t="s">
        <v>46705</v>
      </c>
      <c r="T5246" t="s">
        <v>48254</v>
      </c>
      <c r="U5246" t="s">
        <v>53130</v>
      </c>
      <c r="W5246" t="s">
        <v>44495</v>
      </c>
      <c r="X5246" t="s">
        <v>46574</v>
      </c>
    </row>
    <row r="5247" spans="1:24">
      <c r="A5247">
        <f>HYPERLINK("https://www.philgeps.gov.ph/GEPSNONPILOT/Tender/SplashBidNoticeAbstractUI.aspx?menuIndex=3&amp;refID=7059194&amp;Result=3","7059194")</f>
        <v>0</v>
      </c>
      <c r="B5247" t="s">
        <v>1793</v>
      </c>
      <c r="C5247" t="s">
        <v>8537</v>
      </c>
      <c r="D5247" t="s">
        <v>18812</v>
      </c>
      <c r="E5247" t="s">
        <v>23593</v>
      </c>
      <c r="F5247" t="s">
        <v>32664</v>
      </c>
      <c r="G5247" t="s">
        <v>32671</v>
      </c>
      <c r="H5247" t="s">
        <v>12635</v>
      </c>
      <c r="I5247" t="s">
        <v>4439</v>
      </c>
      <c r="J5247" t="s">
        <v>36153</v>
      </c>
      <c r="K5247" t="s">
        <v>42283</v>
      </c>
      <c r="M5247" t="s">
        <v>44496</v>
      </c>
      <c r="N5247" t="s">
        <v>46569</v>
      </c>
      <c r="O5247" t="s">
        <v>46570</v>
      </c>
      <c r="P5247">
        <v>0</v>
      </c>
      <c r="Q5247">
        <v>1</v>
      </c>
      <c r="R5247" t="s">
        <v>46573</v>
      </c>
      <c r="S5247" t="s">
        <v>46705</v>
      </c>
      <c r="T5247" t="s">
        <v>48290</v>
      </c>
      <c r="U5247" t="s">
        <v>53131</v>
      </c>
      <c r="W5247" t="s">
        <v>44496</v>
      </c>
      <c r="X5247" t="s">
        <v>46574</v>
      </c>
    </row>
    <row r="5248" spans="1:24">
      <c r="A5248">
        <f>HYPERLINK("https://www.philgeps.gov.ph/GEPSNONPILOT/Tender/SplashBidNoticeAbstractUI.aspx?menuIndex=3&amp;refID=7059143&amp;Result=3","7059143")</f>
        <v>0</v>
      </c>
      <c r="B5248" t="s">
        <v>1747</v>
      </c>
      <c r="C5248" t="s">
        <v>8538</v>
      </c>
      <c r="D5248" t="s">
        <v>18804</v>
      </c>
      <c r="E5248" t="s">
        <v>23594</v>
      </c>
      <c r="F5248" t="s">
        <v>32664</v>
      </c>
      <c r="G5248" t="s">
        <v>32671</v>
      </c>
      <c r="H5248" t="s">
        <v>12635</v>
      </c>
      <c r="I5248" t="s">
        <v>8797</v>
      </c>
      <c r="J5248" t="s">
        <v>32898</v>
      </c>
      <c r="K5248" t="s">
        <v>42295</v>
      </c>
      <c r="M5248" t="s">
        <v>44447</v>
      </c>
      <c r="N5248" t="s">
        <v>46569</v>
      </c>
      <c r="O5248" t="s">
        <v>46570</v>
      </c>
      <c r="P5248">
        <v>0</v>
      </c>
      <c r="Q5248">
        <v>4</v>
      </c>
      <c r="R5248" t="s">
        <v>46573</v>
      </c>
      <c r="S5248" t="s">
        <v>46705</v>
      </c>
      <c r="T5248" t="s">
        <v>48316</v>
      </c>
      <c r="U5248" t="s">
        <v>53132</v>
      </c>
      <c r="V5248" t="s">
        <v>62150</v>
      </c>
      <c r="W5248" t="s">
        <v>44447</v>
      </c>
      <c r="X5248" t="s">
        <v>46574</v>
      </c>
    </row>
    <row r="5249" spans="1:24">
      <c r="A5249">
        <f>HYPERLINK("https://www.philgeps.gov.ph/GEPSNONPILOT/Tender/SplashBidNoticeAbstractUI.aspx?menuIndex=3&amp;refID=7062544&amp;Result=3","7062544")</f>
        <v>0</v>
      </c>
      <c r="B5249" t="s">
        <v>1263</v>
      </c>
      <c r="C5249" t="s">
        <v>8539</v>
      </c>
      <c r="D5249" t="s">
        <v>18807</v>
      </c>
      <c r="E5249" t="s">
        <v>23595</v>
      </c>
      <c r="F5249" t="s">
        <v>32664</v>
      </c>
      <c r="G5249" t="s">
        <v>32671</v>
      </c>
      <c r="H5249" t="s">
        <v>12635</v>
      </c>
      <c r="I5249" t="s">
        <v>6223</v>
      </c>
      <c r="J5249" t="s">
        <v>33051</v>
      </c>
      <c r="K5249" t="s">
        <v>42283</v>
      </c>
      <c r="M5249" t="s">
        <v>43906</v>
      </c>
      <c r="N5249" t="s">
        <v>46569</v>
      </c>
      <c r="O5249" t="s">
        <v>46570</v>
      </c>
      <c r="P5249">
        <v>0</v>
      </c>
      <c r="Q5249">
        <v>0</v>
      </c>
      <c r="R5249" t="s">
        <v>46572</v>
      </c>
      <c r="S5249" t="s">
        <v>46689</v>
      </c>
      <c r="T5249" t="s">
        <v>48411</v>
      </c>
      <c r="U5249" t="s">
        <v>53133</v>
      </c>
      <c r="W5249" t="s">
        <v>43906</v>
      </c>
      <c r="X5249" t="s">
        <v>46573</v>
      </c>
    </row>
    <row r="5250" spans="1:24">
      <c r="A5250">
        <f>HYPERLINK("https://www.philgeps.gov.ph/GEPSNONPILOT/Tender/SplashBidNoticeAbstractUI.aspx?menuIndex=3&amp;refID=7059197&amp;Result=3","7059197")</f>
        <v>0</v>
      </c>
      <c r="B5250" t="s">
        <v>1794</v>
      </c>
      <c r="C5250" t="s">
        <v>8540</v>
      </c>
      <c r="D5250" t="s">
        <v>18781</v>
      </c>
      <c r="E5250" t="s">
        <v>23596</v>
      </c>
      <c r="F5250" t="s">
        <v>32664</v>
      </c>
      <c r="G5250" t="s">
        <v>32672</v>
      </c>
      <c r="H5250" t="s">
        <v>12635</v>
      </c>
      <c r="I5250" t="s">
        <v>32738</v>
      </c>
      <c r="J5250" t="s">
        <v>32853</v>
      </c>
      <c r="K5250" t="s">
        <v>42281</v>
      </c>
      <c r="M5250" t="s">
        <v>44497</v>
      </c>
      <c r="N5250" t="s">
        <v>46569</v>
      </c>
      <c r="O5250" t="s">
        <v>46570</v>
      </c>
      <c r="P5250">
        <v>0</v>
      </c>
      <c r="Q5250">
        <v>4</v>
      </c>
      <c r="R5250" t="s">
        <v>46573</v>
      </c>
      <c r="S5250" t="s">
        <v>46705</v>
      </c>
      <c r="T5250" t="s">
        <v>48283</v>
      </c>
      <c r="U5250" t="s">
        <v>53134</v>
      </c>
      <c r="V5250" t="s">
        <v>62171</v>
      </c>
      <c r="W5250" t="s">
        <v>44497</v>
      </c>
      <c r="X5250" t="s">
        <v>46574</v>
      </c>
    </row>
    <row r="5251" spans="1:24">
      <c r="A5251">
        <f>HYPERLINK("https://www.philgeps.gov.ph/GEPSNONPILOT/Tender/SplashBidNoticeAbstractUI.aspx?menuIndex=3&amp;refID=7059193&amp;Result=3","7059193")</f>
        <v>0</v>
      </c>
      <c r="B5251" t="s">
        <v>1792</v>
      </c>
      <c r="C5251" t="s">
        <v>8541</v>
      </c>
      <c r="D5251" t="s">
        <v>18794</v>
      </c>
      <c r="E5251" t="s">
        <v>23597</v>
      </c>
      <c r="F5251" t="s">
        <v>32664</v>
      </c>
      <c r="G5251" t="s">
        <v>32674</v>
      </c>
      <c r="H5251" t="s">
        <v>12635</v>
      </c>
      <c r="I5251" t="s">
        <v>32727</v>
      </c>
      <c r="J5251" t="s">
        <v>36154</v>
      </c>
      <c r="K5251" t="s">
        <v>42289</v>
      </c>
      <c r="M5251" t="s">
        <v>44495</v>
      </c>
      <c r="N5251" t="s">
        <v>46569</v>
      </c>
      <c r="O5251" t="s">
        <v>46570</v>
      </c>
      <c r="P5251">
        <v>0</v>
      </c>
      <c r="Q5251">
        <v>2</v>
      </c>
      <c r="R5251" t="s">
        <v>46573</v>
      </c>
      <c r="S5251" t="s">
        <v>46705</v>
      </c>
      <c r="T5251" t="s">
        <v>48254</v>
      </c>
      <c r="U5251" t="s">
        <v>53135</v>
      </c>
      <c r="W5251" t="s">
        <v>44495</v>
      </c>
      <c r="X5251" t="s">
        <v>46574</v>
      </c>
    </row>
    <row r="5252" spans="1:24">
      <c r="A5252">
        <f>HYPERLINK("https://www.philgeps.gov.ph/GEPSNONPILOT/Tender/SplashBidNoticeAbstractUI.aspx?menuIndex=3&amp;refID=7059191&amp;Result=3","7059191")</f>
        <v>0</v>
      </c>
      <c r="B5252" t="s">
        <v>1795</v>
      </c>
      <c r="C5252" t="s">
        <v>8542</v>
      </c>
      <c r="D5252" t="s">
        <v>18782</v>
      </c>
      <c r="E5252" t="s">
        <v>23598</v>
      </c>
      <c r="F5252" t="s">
        <v>32664</v>
      </c>
      <c r="G5252" t="s">
        <v>32671</v>
      </c>
      <c r="H5252" t="s">
        <v>12635</v>
      </c>
      <c r="I5252" t="s">
        <v>8730</v>
      </c>
      <c r="J5252" t="s">
        <v>36155</v>
      </c>
      <c r="K5252" t="s">
        <v>42283</v>
      </c>
      <c r="M5252" t="s">
        <v>44498</v>
      </c>
      <c r="N5252" t="s">
        <v>46569</v>
      </c>
      <c r="O5252" t="s">
        <v>46570</v>
      </c>
      <c r="P5252">
        <v>0</v>
      </c>
      <c r="Q5252">
        <v>0</v>
      </c>
      <c r="R5252" t="s">
        <v>46573</v>
      </c>
      <c r="S5252" t="s">
        <v>46705</v>
      </c>
      <c r="T5252" t="s">
        <v>48287</v>
      </c>
      <c r="U5252" t="s">
        <v>53136</v>
      </c>
      <c r="W5252" t="s">
        <v>44498</v>
      </c>
      <c r="X5252" t="s">
        <v>46574</v>
      </c>
    </row>
    <row r="5253" spans="1:24">
      <c r="A5253">
        <f>HYPERLINK("https://www.philgeps.gov.ph/GEPSNONPILOT/Tender/SplashBidNoticeAbstractUI.aspx?menuIndex=3&amp;refID=7059156&amp;Result=3","7059156")</f>
        <v>0</v>
      </c>
      <c r="B5253" t="s">
        <v>1796</v>
      </c>
      <c r="C5253" t="s">
        <v>8543</v>
      </c>
      <c r="D5253" t="s">
        <v>18784</v>
      </c>
      <c r="E5253" t="s">
        <v>23599</v>
      </c>
      <c r="F5253" t="s">
        <v>32664</v>
      </c>
      <c r="G5253" t="s">
        <v>32671</v>
      </c>
      <c r="H5253" t="s">
        <v>12635</v>
      </c>
      <c r="I5253" t="s">
        <v>8797</v>
      </c>
      <c r="J5253" t="s">
        <v>36156</v>
      </c>
      <c r="K5253" t="s">
        <v>42295</v>
      </c>
      <c r="M5253" t="s">
        <v>44499</v>
      </c>
      <c r="N5253" t="s">
        <v>46569</v>
      </c>
      <c r="O5253" t="s">
        <v>46570</v>
      </c>
      <c r="P5253">
        <v>0</v>
      </c>
      <c r="Q5253">
        <v>2</v>
      </c>
      <c r="R5253" t="s">
        <v>46573</v>
      </c>
      <c r="S5253" t="s">
        <v>46705</v>
      </c>
      <c r="T5253" t="s">
        <v>48254</v>
      </c>
      <c r="U5253" t="s">
        <v>51726</v>
      </c>
      <c r="W5253" t="s">
        <v>44499</v>
      </c>
      <c r="X5253" t="s">
        <v>46574</v>
      </c>
    </row>
    <row r="5254" spans="1:24">
      <c r="A5254">
        <f>HYPERLINK("https://www.philgeps.gov.ph/GEPSNONPILOT/Tender/SplashBidNoticeAbstractUI.aspx?menuIndex=3&amp;refID=7059189&amp;Result=3","7059189")</f>
        <v>0</v>
      </c>
      <c r="B5254" t="s">
        <v>312</v>
      </c>
      <c r="C5254" t="s">
        <v>4254</v>
      </c>
      <c r="D5254" t="s">
        <v>18805</v>
      </c>
      <c r="E5254" t="s">
        <v>23600</v>
      </c>
      <c r="F5254" t="s">
        <v>32664</v>
      </c>
      <c r="G5254" t="s">
        <v>32674</v>
      </c>
      <c r="H5254" t="s">
        <v>12635</v>
      </c>
      <c r="I5254" t="s">
        <v>6168</v>
      </c>
      <c r="J5254" t="s">
        <v>36157</v>
      </c>
      <c r="K5254" t="s">
        <v>42283</v>
      </c>
      <c r="M5254" t="s">
        <v>42879</v>
      </c>
      <c r="N5254" t="s">
        <v>46569</v>
      </c>
      <c r="O5254" t="s">
        <v>46570</v>
      </c>
      <c r="P5254">
        <v>0</v>
      </c>
      <c r="Q5254">
        <v>0</v>
      </c>
      <c r="R5254" t="s">
        <v>46573</v>
      </c>
      <c r="S5254" t="s">
        <v>46705</v>
      </c>
      <c r="T5254" t="s">
        <v>48267</v>
      </c>
      <c r="U5254" t="s">
        <v>49337</v>
      </c>
      <c r="W5254" t="s">
        <v>42879</v>
      </c>
      <c r="X5254" t="s">
        <v>46574</v>
      </c>
    </row>
    <row r="5255" spans="1:24">
      <c r="A5255">
        <f>HYPERLINK("https://www.philgeps.gov.ph/GEPSNONPILOT/Tender/SplashBidNoticeAbstractUI.aspx?menuIndex=3&amp;refID=7059188&amp;Result=3","7059188")</f>
        <v>0</v>
      </c>
      <c r="B5255" t="s">
        <v>1797</v>
      </c>
      <c r="C5255" t="s">
        <v>8544</v>
      </c>
      <c r="D5255" t="s">
        <v>18831</v>
      </c>
      <c r="E5255" t="s">
        <v>23601</v>
      </c>
      <c r="F5255" t="s">
        <v>32664</v>
      </c>
      <c r="G5255" t="s">
        <v>32672</v>
      </c>
      <c r="H5255" t="s">
        <v>32683</v>
      </c>
      <c r="I5255" t="s">
        <v>10627</v>
      </c>
      <c r="J5255" t="s">
        <v>36158</v>
      </c>
      <c r="K5255" t="s">
        <v>42328</v>
      </c>
      <c r="M5255" t="s">
        <v>44500</v>
      </c>
      <c r="N5255" t="s">
        <v>46569</v>
      </c>
      <c r="O5255" t="s">
        <v>46570</v>
      </c>
      <c r="P5255">
        <v>0</v>
      </c>
      <c r="Q5255">
        <v>3</v>
      </c>
      <c r="R5255" t="s">
        <v>46573</v>
      </c>
      <c r="S5255" t="s">
        <v>46705</v>
      </c>
      <c r="T5255" t="s">
        <v>48222</v>
      </c>
      <c r="U5255" t="s">
        <v>53137</v>
      </c>
      <c r="V5255" t="s">
        <v>62172</v>
      </c>
      <c r="W5255" t="s">
        <v>44500</v>
      </c>
      <c r="X5255" t="s">
        <v>46574</v>
      </c>
    </row>
    <row r="5256" spans="1:24">
      <c r="A5256">
        <f>HYPERLINK("https://www.philgeps.gov.ph/GEPSNONPILOT/Tender/SplashBidNoticeAbstractUI.aspx?menuIndex=3&amp;refID=7056736&amp;Result=3","7056736")</f>
        <v>0</v>
      </c>
      <c r="B5256" t="s">
        <v>252</v>
      </c>
      <c r="C5256" t="s">
        <v>8545</v>
      </c>
      <c r="D5256" t="s">
        <v>18802</v>
      </c>
      <c r="E5256" t="s">
        <v>23602</v>
      </c>
      <c r="F5256" t="s">
        <v>32664</v>
      </c>
      <c r="G5256" t="s">
        <v>32674</v>
      </c>
      <c r="H5256" t="s">
        <v>12635</v>
      </c>
      <c r="I5256" t="s">
        <v>8730</v>
      </c>
      <c r="J5256" t="s">
        <v>36159</v>
      </c>
      <c r="K5256" t="s">
        <v>42283</v>
      </c>
      <c r="L5256" t="s">
        <v>252</v>
      </c>
      <c r="M5256" t="s">
        <v>42817</v>
      </c>
      <c r="N5256" t="s">
        <v>46569</v>
      </c>
      <c r="O5256" t="s">
        <v>46570</v>
      </c>
      <c r="P5256">
        <v>0</v>
      </c>
      <c r="Q5256">
        <v>5</v>
      </c>
      <c r="R5256" t="s">
        <v>46573</v>
      </c>
      <c r="S5256" t="s">
        <v>46705</v>
      </c>
      <c r="T5256" t="s">
        <v>48244</v>
      </c>
      <c r="U5256" t="s">
        <v>49436</v>
      </c>
      <c r="W5256" t="s">
        <v>42817</v>
      </c>
      <c r="X5256" t="s">
        <v>46577</v>
      </c>
    </row>
    <row r="5257" spans="1:24">
      <c r="A5257">
        <f>HYPERLINK("https://www.philgeps.gov.ph/GEPSNONPILOT/Tender/SplashBidNoticeAbstractUI.aspx?menuIndex=3&amp;refID=7059186&amp;Result=3","7059186")</f>
        <v>0</v>
      </c>
      <c r="B5257" t="s">
        <v>1732</v>
      </c>
      <c r="C5257" t="s">
        <v>8546</v>
      </c>
      <c r="D5257" t="s">
        <v>18784</v>
      </c>
      <c r="E5257" t="s">
        <v>23433</v>
      </c>
      <c r="F5257" t="s">
        <v>32664</v>
      </c>
      <c r="G5257" t="s">
        <v>32671</v>
      </c>
      <c r="H5257" t="s">
        <v>12635</v>
      </c>
      <c r="I5257" t="s">
        <v>7759</v>
      </c>
      <c r="J5257" t="s">
        <v>36160</v>
      </c>
      <c r="K5257" t="s">
        <v>42297</v>
      </c>
      <c r="M5257" t="s">
        <v>44431</v>
      </c>
      <c r="N5257" t="s">
        <v>46569</v>
      </c>
      <c r="O5257" t="s">
        <v>46570</v>
      </c>
      <c r="P5257">
        <v>0</v>
      </c>
      <c r="Q5257">
        <v>1</v>
      </c>
      <c r="R5257" t="s">
        <v>46573</v>
      </c>
      <c r="S5257" t="s">
        <v>46705</v>
      </c>
      <c r="T5257" t="s">
        <v>48228</v>
      </c>
      <c r="U5257" t="s">
        <v>53138</v>
      </c>
      <c r="W5257" t="s">
        <v>44431</v>
      </c>
      <c r="X5257" t="s">
        <v>46574</v>
      </c>
    </row>
    <row r="5258" spans="1:24">
      <c r="A5258">
        <f>HYPERLINK("https://www.philgeps.gov.ph/GEPSNONPILOT/Tender/SplashBidNoticeAbstractUI.aspx?menuIndex=3&amp;refID=7059144&amp;Result=3","7059144")</f>
        <v>0</v>
      </c>
      <c r="B5258" t="s">
        <v>1102</v>
      </c>
      <c r="C5258" t="s">
        <v>8547</v>
      </c>
      <c r="D5258" t="s">
        <v>18784</v>
      </c>
      <c r="E5258" t="s">
        <v>23603</v>
      </c>
      <c r="F5258" t="s">
        <v>32664</v>
      </c>
      <c r="G5258" t="s">
        <v>32674</v>
      </c>
      <c r="H5258" t="s">
        <v>12635</v>
      </c>
      <c r="I5258" t="s">
        <v>8730</v>
      </c>
      <c r="J5258" t="s">
        <v>36161</v>
      </c>
      <c r="K5258" t="s">
        <v>42283</v>
      </c>
      <c r="M5258" t="s">
        <v>43729</v>
      </c>
      <c r="N5258" t="s">
        <v>46569</v>
      </c>
      <c r="O5258" t="s">
        <v>46570</v>
      </c>
      <c r="P5258">
        <v>0</v>
      </c>
      <c r="Q5258">
        <v>11</v>
      </c>
      <c r="R5258" t="s">
        <v>46573</v>
      </c>
      <c r="S5258" t="s">
        <v>46705</v>
      </c>
      <c r="T5258" t="s">
        <v>48473</v>
      </c>
      <c r="U5258" t="s">
        <v>53139</v>
      </c>
      <c r="W5258" t="s">
        <v>43729</v>
      </c>
      <c r="X5258" t="s">
        <v>46574</v>
      </c>
    </row>
    <row r="5259" spans="1:24">
      <c r="A5259">
        <f>HYPERLINK("https://www.philgeps.gov.ph/GEPSNONPILOT/Tender/SplashBidNoticeAbstractUI.aspx?menuIndex=3&amp;refID=7059184&amp;Result=3","7059184")</f>
        <v>0</v>
      </c>
      <c r="B5259" t="s">
        <v>1798</v>
      </c>
      <c r="C5259" t="s">
        <v>8548</v>
      </c>
      <c r="D5259" t="s">
        <v>18858</v>
      </c>
      <c r="E5259" t="s">
        <v>23604</v>
      </c>
      <c r="F5259" t="s">
        <v>32664</v>
      </c>
      <c r="G5259" t="s">
        <v>32672</v>
      </c>
      <c r="H5259" t="s">
        <v>32683</v>
      </c>
      <c r="I5259" t="s">
        <v>10627</v>
      </c>
      <c r="J5259" t="s">
        <v>36162</v>
      </c>
      <c r="K5259" t="s">
        <v>42298</v>
      </c>
      <c r="M5259" t="s">
        <v>44501</v>
      </c>
      <c r="N5259" t="s">
        <v>46569</v>
      </c>
      <c r="O5259" t="s">
        <v>46570</v>
      </c>
      <c r="P5259">
        <v>0</v>
      </c>
      <c r="Q5259">
        <v>0</v>
      </c>
      <c r="R5259" t="s">
        <v>46573</v>
      </c>
      <c r="S5259" t="s">
        <v>46705</v>
      </c>
      <c r="T5259" t="s">
        <v>48220</v>
      </c>
      <c r="U5259" t="s">
        <v>53140</v>
      </c>
      <c r="W5259" t="s">
        <v>44501</v>
      </c>
      <c r="X5259" t="s">
        <v>46574</v>
      </c>
    </row>
    <row r="5260" spans="1:24">
      <c r="A5260">
        <f>HYPERLINK("https://www.philgeps.gov.ph/GEPSNONPILOT/Tender/SplashBidNoticeAbstractUI.aspx?menuIndex=3&amp;refID=7059190&amp;Result=3","7059190")</f>
        <v>0</v>
      </c>
      <c r="B5260" t="s">
        <v>1790</v>
      </c>
      <c r="C5260" t="s">
        <v>8549</v>
      </c>
      <c r="D5260" t="s">
        <v>18787</v>
      </c>
      <c r="E5260" t="s">
        <v>23605</v>
      </c>
      <c r="F5260" t="s">
        <v>32664</v>
      </c>
      <c r="G5260" t="s">
        <v>32672</v>
      </c>
      <c r="H5260" t="s">
        <v>32683</v>
      </c>
      <c r="I5260" t="s">
        <v>10627</v>
      </c>
      <c r="J5260" t="s">
        <v>32917</v>
      </c>
      <c r="K5260" t="s">
        <v>42289</v>
      </c>
      <c r="M5260" t="s">
        <v>44492</v>
      </c>
      <c r="N5260" t="s">
        <v>46569</v>
      </c>
      <c r="O5260" t="s">
        <v>46570</v>
      </c>
      <c r="P5260">
        <v>0</v>
      </c>
      <c r="Q5260">
        <v>0</v>
      </c>
      <c r="R5260" t="s">
        <v>46573</v>
      </c>
      <c r="S5260" t="s">
        <v>46705</v>
      </c>
      <c r="T5260" t="s">
        <v>48283</v>
      </c>
      <c r="U5260" t="s">
        <v>53141</v>
      </c>
      <c r="W5260" t="s">
        <v>44492</v>
      </c>
      <c r="X5260" t="s">
        <v>46574</v>
      </c>
    </row>
    <row r="5261" spans="1:24">
      <c r="A5261">
        <f>HYPERLINK("https://www.philgeps.gov.ph/GEPSNONPILOT/Tender/SplashBidNoticeAbstractUI.aspx?menuIndex=3&amp;refID=7059227&amp;Result=3","7059227")</f>
        <v>0</v>
      </c>
      <c r="B5261" t="s">
        <v>1792</v>
      </c>
      <c r="C5261" t="s">
        <v>8550</v>
      </c>
      <c r="D5261" t="s">
        <v>18794</v>
      </c>
      <c r="E5261" t="s">
        <v>23606</v>
      </c>
      <c r="F5261" t="s">
        <v>32664</v>
      </c>
      <c r="G5261" t="s">
        <v>32674</v>
      </c>
      <c r="H5261" t="s">
        <v>12635</v>
      </c>
      <c r="I5261" t="s">
        <v>8797</v>
      </c>
      <c r="J5261" t="s">
        <v>36163</v>
      </c>
      <c r="K5261" t="s">
        <v>42289</v>
      </c>
      <c r="M5261" t="s">
        <v>44495</v>
      </c>
      <c r="N5261" t="s">
        <v>46569</v>
      </c>
      <c r="O5261" t="s">
        <v>46570</v>
      </c>
      <c r="P5261">
        <v>0</v>
      </c>
      <c r="Q5261">
        <v>3</v>
      </c>
      <c r="R5261" t="s">
        <v>46573</v>
      </c>
      <c r="S5261" t="s">
        <v>46705</v>
      </c>
      <c r="T5261" t="s">
        <v>48254</v>
      </c>
      <c r="U5261" t="s">
        <v>53142</v>
      </c>
      <c r="W5261" t="s">
        <v>44495</v>
      </c>
      <c r="X5261" t="s">
        <v>46574</v>
      </c>
    </row>
    <row r="5262" spans="1:24">
      <c r="A5262">
        <f>HYPERLINK("https://www.philgeps.gov.ph/GEPSNONPILOT/Tender/SplashBidNoticeAbstractUI.aspx?menuIndex=3&amp;refID=7059225&amp;Result=3","7059225")</f>
        <v>0</v>
      </c>
      <c r="B5262" t="s">
        <v>1799</v>
      </c>
      <c r="C5262" t="s">
        <v>8551</v>
      </c>
      <c r="D5262" t="s">
        <v>18784</v>
      </c>
      <c r="E5262" t="s">
        <v>23607</v>
      </c>
      <c r="F5262" t="s">
        <v>32664</v>
      </c>
      <c r="G5262" t="s">
        <v>32672</v>
      </c>
      <c r="H5262" t="s">
        <v>32683</v>
      </c>
      <c r="I5262" t="s">
        <v>10627</v>
      </c>
      <c r="J5262" t="s">
        <v>36164</v>
      </c>
      <c r="K5262" t="s">
        <v>42281</v>
      </c>
      <c r="M5262" t="s">
        <v>44502</v>
      </c>
      <c r="N5262" t="s">
        <v>46569</v>
      </c>
      <c r="O5262" t="s">
        <v>46570</v>
      </c>
      <c r="P5262">
        <v>0</v>
      </c>
      <c r="Q5262">
        <v>4</v>
      </c>
      <c r="R5262" t="s">
        <v>46573</v>
      </c>
      <c r="S5262" t="s">
        <v>46705</v>
      </c>
      <c r="T5262" t="s">
        <v>48213</v>
      </c>
      <c r="U5262" t="s">
        <v>53143</v>
      </c>
      <c r="W5262" t="s">
        <v>63534</v>
      </c>
      <c r="X5262" t="s">
        <v>46574</v>
      </c>
    </row>
    <row r="5263" spans="1:24">
      <c r="A5263">
        <f>HYPERLINK("https://www.philgeps.gov.ph/GEPSNONPILOT/Tender/SplashBidNoticeAbstractUI.aspx?menuIndex=3&amp;refID=7059195&amp;Result=3","7059195")</f>
        <v>0</v>
      </c>
      <c r="B5263" t="s">
        <v>1095</v>
      </c>
      <c r="C5263" t="s">
        <v>6223</v>
      </c>
      <c r="D5263" t="s">
        <v>18798</v>
      </c>
      <c r="E5263" t="s">
        <v>23608</v>
      </c>
      <c r="F5263" t="s">
        <v>32664</v>
      </c>
      <c r="G5263" t="s">
        <v>32674</v>
      </c>
      <c r="H5263" t="s">
        <v>12635</v>
      </c>
      <c r="I5263" t="s">
        <v>6223</v>
      </c>
      <c r="J5263" t="s">
        <v>36165</v>
      </c>
      <c r="K5263" t="s">
        <v>42289</v>
      </c>
      <c r="M5263" t="s">
        <v>42640</v>
      </c>
      <c r="N5263" t="s">
        <v>46569</v>
      </c>
      <c r="O5263" t="s">
        <v>46570</v>
      </c>
      <c r="P5263">
        <v>0</v>
      </c>
      <c r="Q5263">
        <v>0</v>
      </c>
      <c r="R5263" t="s">
        <v>46573</v>
      </c>
      <c r="S5263" t="s">
        <v>46705</v>
      </c>
      <c r="T5263" t="s">
        <v>48290</v>
      </c>
      <c r="U5263" t="s">
        <v>53144</v>
      </c>
      <c r="W5263" t="s">
        <v>42640</v>
      </c>
      <c r="X5263" t="s">
        <v>46574</v>
      </c>
    </row>
    <row r="5264" spans="1:24">
      <c r="A5264">
        <f>HYPERLINK("https://www.philgeps.gov.ph/GEPSNONPILOT/Tender/SplashBidNoticeAbstractUI.aspx?menuIndex=3&amp;refID=7059223&amp;Result=3","7059223")</f>
        <v>0</v>
      </c>
      <c r="B5264" t="s">
        <v>145</v>
      </c>
      <c r="C5264" t="s">
        <v>8552</v>
      </c>
      <c r="D5264" t="s">
        <v>18784</v>
      </c>
      <c r="E5264" t="s">
        <v>23609</v>
      </c>
      <c r="F5264" t="s">
        <v>32664</v>
      </c>
      <c r="G5264" t="s">
        <v>32671</v>
      </c>
      <c r="H5264" t="s">
        <v>12635</v>
      </c>
      <c r="I5264" t="s">
        <v>32788</v>
      </c>
      <c r="J5264" t="s">
        <v>33126</v>
      </c>
      <c r="K5264" t="s">
        <v>42283</v>
      </c>
      <c r="M5264" t="s">
        <v>44503</v>
      </c>
      <c r="N5264" t="s">
        <v>46569</v>
      </c>
      <c r="O5264" t="s">
        <v>46570</v>
      </c>
      <c r="P5264">
        <v>0</v>
      </c>
      <c r="Q5264">
        <v>3</v>
      </c>
      <c r="R5264" t="s">
        <v>46573</v>
      </c>
      <c r="S5264" t="s">
        <v>46705</v>
      </c>
      <c r="T5264" t="s">
        <v>48315</v>
      </c>
      <c r="U5264" t="s">
        <v>49062</v>
      </c>
      <c r="V5264" t="s">
        <v>62173</v>
      </c>
      <c r="W5264" t="s">
        <v>44503</v>
      </c>
      <c r="X5264" t="s">
        <v>46574</v>
      </c>
    </row>
    <row r="5265" spans="1:24">
      <c r="A5265">
        <f>HYPERLINK("https://www.philgeps.gov.ph/GEPSNONPILOT/Tender/SplashBidNoticeAbstractUI.aspx?menuIndex=3&amp;refID=7059222&amp;Result=3","7059222")</f>
        <v>0</v>
      </c>
      <c r="B5265" t="s">
        <v>1793</v>
      </c>
      <c r="C5265" t="s">
        <v>8553</v>
      </c>
      <c r="D5265" t="s">
        <v>18784</v>
      </c>
      <c r="E5265" t="s">
        <v>23610</v>
      </c>
      <c r="F5265" t="s">
        <v>32664</v>
      </c>
      <c r="G5265" t="s">
        <v>32671</v>
      </c>
      <c r="H5265" t="s">
        <v>32682</v>
      </c>
      <c r="I5265" t="s">
        <v>32745</v>
      </c>
      <c r="J5265" t="s">
        <v>36166</v>
      </c>
      <c r="K5265" t="s">
        <v>42347</v>
      </c>
      <c r="M5265" t="s">
        <v>44496</v>
      </c>
      <c r="N5265" t="s">
        <v>46569</v>
      </c>
      <c r="O5265" t="s">
        <v>46570</v>
      </c>
      <c r="P5265">
        <v>0</v>
      </c>
      <c r="Q5265">
        <v>2</v>
      </c>
      <c r="R5265" t="s">
        <v>46573</v>
      </c>
      <c r="S5265" t="s">
        <v>46705</v>
      </c>
      <c r="T5265" t="s">
        <v>48290</v>
      </c>
      <c r="U5265" t="s">
        <v>53145</v>
      </c>
      <c r="W5265" t="s">
        <v>44496</v>
      </c>
      <c r="X5265" t="s">
        <v>46574</v>
      </c>
    </row>
    <row r="5266" spans="1:24">
      <c r="A5266">
        <f>HYPERLINK("https://www.philgeps.gov.ph/GEPSNONPILOT/Tender/SplashBidNoticeAbstractUI.aspx?menuIndex=3&amp;refID=7059182&amp;Result=3","7059182")</f>
        <v>0</v>
      </c>
      <c r="B5266" t="s">
        <v>1745</v>
      </c>
      <c r="C5266" t="s">
        <v>8554</v>
      </c>
      <c r="D5266" t="s">
        <v>18822</v>
      </c>
      <c r="E5266" t="s">
        <v>23449</v>
      </c>
      <c r="F5266" t="s">
        <v>32664</v>
      </c>
      <c r="G5266" t="s">
        <v>32672</v>
      </c>
      <c r="H5266" t="s">
        <v>12635</v>
      </c>
      <c r="I5266" t="s">
        <v>4439</v>
      </c>
      <c r="J5266" t="s">
        <v>36167</v>
      </c>
      <c r="K5266" t="s">
        <v>42289</v>
      </c>
      <c r="M5266" t="s">
        <v>44444</v>
      </c>
      <c r="N5266" t="s">
        <v>46569</v>
      </c>
      <c r="O5266" t="s">
        <v>46570</v>
      </c>
      <c r="P5266">
        <v>0</v>
      </c>
      <c r="Q5266">
        <v>1</v>
      </c>
      <c r="R5266" t="s">
        <v>46573</v>
      </c>
      <c r="S5266" t="s">
        <v>46705</v>
      </c>
      <c r="T5266" t="s">
        <v>48258</v>
      </c>
      <c r="U5266" t="s">
        <v>52992</v>
      </c>
      <c r="W5266" t="s">
        <v>44444</v>
      </c>
      <c r="X5266" t="s">
        <v>46574</v>
      </c>
    </row>
    <row r="5267" spans="1:24">
      <c r="A5267">
        <f>HYPERLINK("https://www.philgeps.gov.ph/GEPSNONPILOT/Tender/SplashBidNoticeAbstractUI.aspx?menuIndex=3&amp;refID=7059220&amp;Result=3","7059220")</f>
        <v>0</v>
      </c>
      <c r="B5267" t="s">
        <v>1800</v>
      </c>
      <c r="C5267" t="s">
        <v>8555</v>
      </c>
      <c r="D5267" t="s">
        <v>18842</v>
      </c>
      <c r="E5267" t="s">
        <v>23611</v>
      </c>
      <c r="F5267" t="s">
        <v>32664</v>
      </c>
      <c r="G5267" t="s">
        <v>32675</v>
      </c>
      <c r="H5267" t="s">
        <v>12635</v>
      </c>
      <c r="I5267" t="s">
        <v>7324</v>
      </c>
      <c r="J5267" t="s">
        <v>33338</v>
      </c>
      <c r="K5267" t="s">
        <v>42295</v>
      </c>
      <c r="M5267" t="s">
        <v>44504</v>
      </c>
      <c r="N5267" t="s">
        <v>46569</v>
      </c>
      <c r="O5267" t="s">
        <v>46570</v>
      </c>
      <c r="P5267">
        <v>0</v>
      </c>
      <c r="Q5267">
        <v>0</v>
      </c>
      <c r="R5267" t="s">
        <v>46573</v>
      </c>
      <c r="S5267" t="s">
        <v>46705</v>
      </c>
      <c r="T5267" t="s">
        <v>48307</v>
      </c>
      <c r="U5267" t="s">
        <v>53146</v>
      </c>
      <c r="W5267" t="s">
        <v>44504</v>
      </c>
      <c r="X5267" t="s">
        <v>46574</v>
      </c>
    </row>
    <row r="5268" spans="1:24">
      <c r="A5268">
        <f>HYPERLINK("https://www.philgeps.gov.ph/GEPSNONPILOT/Tender/SplashBidNoticeAbstractUI.aspx?menuIndex=3&amp;refID=7059219&amp;Result=3","7059219")</f>
        <v>0</v>
      </c>
      <c r="B5268" t="s">
        <v>935</v>
      </c>
      <c r="C5268" t="s">
        <v>8556</v>
      </c>
      <c r="D5268" t="s">
        <v>18781</v>
      </c>
      <c r="E5268" t="s">
        <v>23612</v>
      </c>
      <c r="F5268" t="s">
        <v>32664</v>
      </c>
      <c r="G5268" t="s">
        <v>32672</v>
      </c>
      <c r="H5268" t="s">
        <v>12635</v>
      </c>
      <c r="I5268" t="s">
        <v>32779</v>
      </c>
      <c r="J5268" t="s">
        <v>36168</v>
      </c>
      <c r="K5268" t="s">
        <v>42283</v>
      </c>
      <c r="M5268" t="s">
        <v>44505</v>
      </c>
      <c r="N5268" t="s">
        <v>46569</v>
      </c>
      <c r="O5268" t="s">
        <v>46570</v>
      </c>
      <c r="P5268">
        <v>0</v>
      </c>
      <c r="Q5268">
        <v>4</v>
      </c>
      <c r="R5268" t="s">
        <v>46573</v>
      </c>
      <c r="S5268" t="s">
        <v>46705</v>
      </c>
      <c r="T5268" t="s">
        <v>48305</v>
      </c>
      <c r="U5268" t="s">
        <v>53147</v>
      </c>
      <c r="W5268" t="s">
        <v>44505</v>
      </c>
      <c r="X5268" t="s">
        <v>46574</v>
      </c>
    </row>
    <row r="5269" spans="1:24">
      <c r="A5269">
        <f>HYPERLINK("https://www.philgeps.gov.ph/GEPSNONPILOT/Tender/SplashBidNoticeAbstractUI.aspx?menuIndex=3&amp;refID=7059214&amp;Result=3","7059214")</f>
        <v>0</v>
      </c>
      <c r="B5269" t="s">
        <v>1801</v>
      </c>
      <c r="C5269" t="s">
        <v>8557</v>
      </c>
      <c r="D5269" t="s">
        <v>18805</v>
      </c>
      <c r="E5269" t="s">
        <v>23613</v>
      </c>
      <c r="F5269" t="s">
        <v>32664</v>
      </c>
      <c r="G5269" t="s">
        <v>32674</v>
      </c>
      <c r="H5269" t="s">
        <v>12635</v>
      </c>
      <c r="I5269" t="s">
        <v>8730</v>
      </c>
      <c r="J5269" t="s">
        <v>36169</v>
      </c>
      <c r="K5269" t="s">
        <v>42295</v>
      </c>
      <c r="M5269" t="s">
        <v>44506</v>
      </c>
      <c r="N5269" t="s">
        <v>46569</v>
      </c>
      <c r="O5269" t="s">
        <v>46570</v>
      </c>
      <c r="P5269">
        <v>0</v>
      </c>
      <c r="Q5269">
        <v>8</v>
      </c>
      <c r="R5269" t="s">
        <v>46573</v>
      </c>
      <c r="S5269" t="s">
        <v>46705</v>
      </c>
      <c r="T5269" t="s">
        <v>48287</v>
      </c>
      <c r="U5269" t="s">
        <v>53148</v>
      </c>
      <c r="W5269" t="s">
        <v>44506</v>
      </c>
      <c r="X5269" t="s">
        <v>46574</v>
      </c>
    </row>
    <row r="5270" spans="1:24">
      <c r="A5270">
        <f>HYPERLINK("https://www.philgeps.gov.ph/GEPSNONPILOT/Tender/SplashBidNoticeAbstractUI.aspx?menuIndex=3&amp;refID=7059226&amp;Result=3","7059226")</f>
        <v>0</v>
      </c>
      <c r="B5270" t="s">
        <v>1802</v>
      </c>
      <c r="C5270" t="s">
        <v>8558</v>
      </c>
      <c r="D5270" t="s">
        <v>18827</v>
      </c>
      <c r="E5270" t="s">
        <v>19645</v>
      </c>
      <c r="F5270" t="s">
        <v>32664</v>
      </c>
      <c r="G5270" t="s">
        <v>32671</v>
      </c>
      <c r="H5270" t="s">
        <v>12635</v>
      </c>
      <c r="I5270" t="s">
        <v>5589</v>
      </c>
      <c r="J5270" t="s">
        <v>36170</v>
      </c>
      <c r="K5270" t="s">
        <v>42309</v>
      </c>
      <c r="M5270" t="s">
        <v>44507</v>
      </c>
      <c r="N5270" t="s">
        <v>46569</v>
      </c>
      <c r="O5270" t="s">
        <v>46570</v>
      </c>
      <c r="P5270">
        <v>0</v>
      </c>
      <c r="Q5270">
        <v>11</v>
      </c>
      <c r="R5270" t="s">
        <v>46573</v>
      </c>
      <c r="S5270" t="s">
        <v>46705</v>
      </c>
      <c r="T5270" t="s">
        <v>48427</v>
      </c>
      <c r="U5270" t="s">
        <v>53149</v>
      </c>
      <c r="W5270" t="s">
        <v>44507</v>
      </c>
      <c r="X5270" t="s">
        <v>46574</v>
      </c>
    </row>
    <row r="5271" spans="1:24">
      <c r="A5271">
        <f>HYPERLINK("https://www.philgeps.gov.ph/GEPSNONPILOT/Tender/SplashBidNoticeAbstractUI.aspx?menuIndex=3&amp;refID=7059212&amp;Result=3","7059212")</f>
        <v>0</v>
      </c>
      <c r="B5271" t="s">
        <v>209</v>
      </c>
      <c r="C5271" t="s">
        <v>8559</v>
      </c>
      <c r="D5271" t="s">
        <v>18789</v>
      </c>
      <c r="E5271" t="s">
        <v>23614</v>
      </c>
      <c r="F5271" t="s">
        <v>32664</v>
      </c>
      <c r="G5271" t="s">
        <v>32671</v>
      </c>
      <c r="H5271" t="s">
        <v>12635</v>
      </c>
      <c r="I5271" t="s">
        <v>10370</v>
      </c>
      <c r="J5271" t="s">
        <v>36171</v>
      </c>
      <c r="K5271" t="s">
        <v>42330</v>
      </c>
      <c r="M5271" t="s">
        <v>42773</v>
      </c>
      <c r="N5271" t="s">
        <v>46569</v>
      </c>
      <c r="O5271" t="s">
        <v>46570</v>
      </c>
      <c r="P5271">
        <v>0</v>
      </c>
      <c r="Q5271">
        <v>1</v>
      </c>
      <c r="R5271" t="s">
        <v>46573</v>
      </c>
      <c r="S5271" t="s">
        <v>46705</v>
      </c>
      <c r="T5271" t="s">
        <v>48282</v>
      </c>
      <c r="U5271" t="s">
        <v>53150</v>
      </c>
      <c r="W5271" t="s">
        <v>42773</v>
      </c>
      <c r="X5271" t="s">
        <v>46574</v>
      </c>
    </row>
    <row r="5272" spans="1:24">
      <c r="A5272">
        <f>HYPERLINK("https://www.philgeps.gov.ph/GEPSNONPILOT/Tender/SplashBidNoticeAbstractUI.aspx?menuIndex=3&amp;refID=7059211&amp;Result=3","7059211")</f>
        <v>0</v>
      </c>
      <c r="B5272" t="s">
        <v>1269</v>
      </c>
      <c r="C5272" t="s">
        <v>8560</v>
      </c>
      <c r="D5272" t="s">
        <v>18851</v>
      </c>
      <c r="E5272" t="s">
        <v>23615</v>
      </c>
      <c r="F5272" t="s">
        <v>32664</v>
      </c>
      <c r="G5272" t="s">
        <v>32672</v>
      </c>
      <c r="H5272" t="s">
        <v>12635</v>
      </c>
      <c r="I5272" t="s">
        <v>9486</v>
      </c>
      <c r="J5272" t="s">
        <v>36172</v>
      </c>
      <c r="K5272" t="s">
        <v>42281</v>
      </c>
      <c r="M5272" t="s">
        <v>43912</v>
      </c>
      <c r="N5272" t="s">
        <v>46569</v>
      </c>
      <c r="O5272" t="s">
        <v>46570</v>
      </c>
      <c r="P5272">
        <v>0</v>
      </c>
      <c r="Q5272">
        <v>1</v>
      </c>
      <c r="R5272" t="s">
        <v>46573</v>
      </c>
      <c r="S5272" t="s">
        <v>46705</v>
      </c>
      <c r="T5272" t="s">
        <v>48302</v>
      </c>
      <c r="U5272" t="s">
        <v>53151</v>
      </c>
      <c r="W5272" t="s">
        <v>43912</v>
      </c>
      <c r="X5272" t="s">
        <v>46574</v>
      </c>
    </row>
    <row r="5273" spans="1:24">
      <c r="A5273">
        <f>HYPERLINK("https://www.philgeps.gov.ph/GEPSNONPILOT/Tender/SplashBidNoticeAbstractUI.aspx?menuIndex=3&amp;refID=7059208&amp;Result=3","7059208")</f>
        <v>0</v>
      </c>
      <c r="B5273" t="s">
        <v>1792</v>
      </c>
      <c r="C5273" t="s">
        <v>8561</v>
      </c>
      <c r="D5273" t="s">
        <v>18794</v>
      </c>
      <c r="E5273" t="s">
        <v>23616</v>
      </c>
      <c r="F5273" t="s">
        <v>32664</v>
      </c>
      <c r="G5273" t="s">
        <v>32674</v>
      </c>
      <c r="H5273" t="s">
        <v>12635</v>
      </c>
      <c r="I5273" t="s">
        <v>8797</v>
      </c>
      <c r="J5273" t="s">
        <v>36173</v>
      </c>
      <c r="K5273" t="s">
        <v>42289</v>
      </c>
      <c r="M5273" t="s">
        <v>44495</v>
      </c>
      <c r="N5273" t="s">
        <v>46569</v>
      </c>
      <c r="O5273" t="s">
        <v>46570</v>
      </c>
      <c r="P5273">
        <v>0</v>
      </c>
      <c r="Q5273">
        <v>4</v>
      </c>
      <c r="R5273" t="s">
        <v>46573</v>
      </c>
      <c r="S5273" t="s">
        <v>46705</v>
      </c>
      <c r="T5273" t="s">
        <v>48254</v>
      </c>
      <c r="U5273" t="s">
        <v>53152</v>
      </c>
      <c r="W5273" t="s">
        <v>44495</v>
      </c>
      <c r="X5273" t="s">
        <v>46574</v>
      </c>
    </row>
    <row r="5274" spans="1:24">
      <c r="A5274">
        <f>HYPERLINK("https://www.philgeps.gov.ph/GEPSNONPILOT/Tender/SplashBidNoticeAbstractUI.aspx?menuIndex=3&amp;refID=7054420&amp;Result=3","7054420")</f>
        <v>0</v>
      </c>
      <c r="B5274" t="s">
        <v>1007</v>
      </c>
      <c r="C5274" t="s">
        <v>8562</v>
      </c>
      <c r="D5274" t="s">
        <v>18812</v>
      </c>
      <c r="E5274" t="s">
        <v>23617</v>
      </c>
      <c r="F5274" t="s">
        <v>32664</v>
      </c>
      <c r="G5274" t="s">
        <v>32672</v>
      </c>
      <c r="H5274" t="s">
        <v>12635</v>
      </c>
      <c r="I5274" t="s">
        <v>4439</v>
      </c>
      <c r="J5274" t="s">
        <v>36174</v>
      </c>
      <c r="K5274" t="s">
        <v>42284</v>
      </c>
      <c r="M5274" t="s">
        <v>44391</v>
      </c>
      <c r="N5274" t="s">
        <v>46569</v>
      </c>
      <c r="O5274" t="s">
        <v>46570</v>
      </c>
      <c r="P5274">
        <v>0</v>
      </c>
      <c r="Q5274">
        <v>0</v>
      </c>
      <c r="R5274" t="s">
        <v>46573</v>
      </c>
      <c r="S5274" t="s">
        <v>46705</v>
      </c>
      <c r="T5274" t="s">
        <v>48334</v>
      </c>
      <c r="U5274" t="s">
        <v>53153</v>
      </c>
      <c r="W5274" t="s">
        <v>44391</v>
      </c>
      <c r="X5274" t="s">
        <v>46578</v>
      </c>
    </row>
    <row r="5275" spans="1:24">
      <c r="A5275">
        <f>HYPERLINK("https://www.philgeps.gov.ph/GEPSNONPILOT/Tender/SplashBidNoticeAbstractUI.aspx?menuIndex=3&amp;refID=7059206&amp;Result=3","7059206")</f>
        <v>0</v>
      </c>
      <c r="B5275" t="s">
        <v>1803</v>
      </c>
      <c r="C5275" t="s">
        <v>7471</v>
      </c>
      <c r="D5275" t="s">
        <v>18814</v>
      </c>
      <c r="E5275" t="s">
        <v>23618</v>
      </c>
      <c r="F5275" t="s">
        <v>32664</v>
      </c>
      <c r="G5275" t="s">
        <v>32672</v>
      </c>
      <c r="H5275" t="s">
        <v>32683</v>
      </c>
      <c r="I5275" t="s">
        <v>10627</v>
      </c>
      <c r="J5275" t="s">
        <v>36175</v>
      </c>
      <c r="K5275" t="s">
        <v>42293</v>
      </c>
      <c r="L5275" t="s">
        <v>1803</v>
      </c>
      <c r="M5275" t="s">
        <v>44508</v>
      </c>
      <c r="N5275" t="s">
        <v>46569</v>
      </c>
      <c r="O5275" t="s">
        <v>46570</v>
      </c>
      <c r="P5275">
        <v>0</v>
      </c>
      <c r="Q5275">
        <v>0</v>
      </c>
      <c r="R5275" t="s">
        <v>46573</v>
      </c>
      <c r="S5275" t="s">
        <v>46705</v>
      </c>
      <c r="T5275" t="s">
        <v>48283</v>
      </c>
      <c r="U5275" t="s">
        <v>53154</v>
      </c>
      <c r="V5275" t="s">
        <v>62174</v>
      </c>
      <c r="W5275" t="s">
        <v>44508</v>
      </c>
      <c r="X5275" t="s">
        <v>46574</v>
      </c>
    </row>
    <row r="5276" spans="1:24">
      <c r="A5276">
        <f>HYPERLINK("https://www.philgeps.gov.ph/GEPSNONPILOT/Tender/SplashBidNoticeAbstractUI.aspx?menuIndex=3&amp;refID=7059205&amp;Result=3","7059205")</f>
        <v>0</v>
      </c>
      <c r="B5276" t="s">
        <v>874</v>
      </c>
      <c r="C5276" t="s">
        <v>8563</v>
      </c>
      <c r="D5276" t="s">
        <v>18821</v>
      </c>
      <c r="E5276" t="s">
        <v>23619</v>
      </c>
      <c r="F5276" t="s">
        <v>32667</v>
      </c>
      <c r="G5276" t="s">
        <v>32672</v>
      </c>
      <c r="H5276" t="s">
        <v>12635</v>
      </c>
      <c r="I5276" t="s">
        <v>11464</v>
      </c>
      <c r="J5276" t="s">
        <v>32981</v>
      </c>
      <c r="K5276" t="s">
        <v>42289</v>
      </c>
      <c r="M5276" t="s">
        <v>43474</v>
      </c>
      <c r="N5276" t="s">
        <v>46569</v>
      </c>
      <c r="O5276" t="s">
        <v>46570</v>
      </c>
      <c r="P5276">
        <v>0</v>
      </c>
      <c r="Q5276">
        <v>3</v>
      </c>
      <c r="R5276" t="s">
        <v>46573</v>
      </c>
      <c r="S5276" t="s">
        <v>46705</v>
      </c>
      <c r="T5276" t="s">
        <v>48273</v>
      </c>
      <c r="U5276" t="s">
        <v>53155</v>
      </c>
      <c r="W5276" t="s">
        <v>43474</v>
      </c>
      <c r="X5276" t="s">
        <v>46574</v>
      </c>
    </row>
    <row r="5277" spans="1:24">
      <c r="A5277">
        <f>HYPERLINK("https://www.philgeps.gov.ph/GEPSNONPILOT/Tender/SplashBidNoticeAbstractUI.aspx?menuIndex=3&amp;refID=7059203&amp;Result=3","7059203")</f>
        <v>0</v>
      </c>
      <c r="B5277" t="s">
        <v>1190</v>
      </c>
      <c r="C5277" t="s">
        <v>8564</v>
      </c>
      <c r="D5277" t="s">
        <v>18855</v>
      </c>
      <c r="E5277" t="s">
        <v>23620</v>
      </c>
      <c r="F5277" t="s">
        <v>32664</v>
      </c>
      <c r="G5277" t="s">
        <v>32672</v>
      </c>
      <c r="H5277" t="s">
        <v>32683</v>
      </c>
      <c r="I5277" t="s">
        <v>10627</v>
      </c>
      <c r="J5277" t="s">
        <v>32962</v>
      </c>
      <c r="K5277" t="s">
        <v>42298</v>
      </c>
      <c r="M5277" t="s">
        <v>43826</v>
      </c>
      <c r="N5277" t="s">
        <v>46569</v>
      </c>
      <c r="O5277" t="s">
        <v>46570</v>
      </c>
      <c r="P5277">
        <v>0</v>
      </c>
      <c r="Q5277">
        <v>0</v>
      </c>
      <c r="R5277" t="s">
        <v>46573</v>
      </c>
      <c r="S5277" t="s">
        <v>46705</v>
      </c>
      <c r="T5277" t="s">
        <v>48280</v>
      </c>
      <c r="U5277" t="s">
        <v>53082</v>
      </c>
      <c r="W5277" t="s">
        <v>43826</v>
      </c>
      <c r="X5277" t="s">
        <v>46574</v>
      </c>
    </row>
    <row r="5278" spans="1:24">
      <c r="A5278">
        <f>HYPERLINK("https://www.philgeps.gov.ph/GEPSNONPILOT/Tender/SplashBidNoticeAbstractUI.aspx?menuIndex=3&amp;refID=7059202&amp;Result=3","7059202")</f>
        <v>0</v>
      </c>
      <c r="B5278" t="s">
        <v>1796</v>
      </c>
      <c r="C5278" t="s">
        <v>8565</v>
      </c>
      <c r="D5278" t="s">
        <v>18784</v>
      </c>
      <c r="E5278" t="s">
        <v>23621</v>
      </c>
      <c r="F5278" t="s">
        <v>32664</v>
      </c>
      <c r="G5278" t="s">
        <v>32674</v>
      </c>
      <c r="H5278" t="s">
        <v>12635</v>
      </c>
      <c r="I5278" t="s">
        <v>6168</v>
      </c>
      <c r="J5278" t="s">
        <v>36176</v>
      </c>
      <c r="K5278" t="s">
        <v>42295</v>
      </c>
      <c r="M5278" t="s">
        <v>44499</v>
      </c>
      <c r="N5278" t="s">
        <v>46569</v>
      </c>
      <c r="O5278" t="s">
        <v>46570</v>
      </c>
      <c r="P5278">
        <v>0</v>
      </c>
      <c r="Q5278">
        <v>1</v>
      </c>
      <c r="R5278" t="s">
        <v>46573</v>
      </c>
      <c r="S5278" t="s">
        <v>46705</v>
      </c>
      <c r="T5278" t="s">
        <v>48219</v>
      </c>
      <c r="U5278" t="s">
        <v>53156</v>
      </c>
      <c r="W5278" t="s">
        <v>44499</v>
      </c>
      <c r="X5278" t="s">
        <v>46574</v>
      </c>
    </row>
    <row r="5279" spans="1:24">
      <c r="A5279">
        <f>HYPERLINK("https://www.philgeps.gov.ph/GEPSNONPILOT/Tender/SplashBidNoticeAbstractUI.aspx?menuIndex=3&amp;refID=7059201&amp;Result=3","7059201")</f>
        <v>0</v>
      </c>
      <c r="B5279" t="s">
        <v>267</v>
      </c>
      <c r="C5279" t="s">
        <v>8566</v>
      </c>
      <c r="E5279" t="s">
        <v>23622</v>
      </c>
      <c r="F5279" t="s">
        <v>32664</v>
      </c>
      <c r="G5279" t="s">
        <v>32671</v>
      </c>
      <c r="H5279" t="s">
        <v>12635</v>
      </c>
      <c r="I5279" t="s">
        <v>32731</v>
      </c>
      <c r="J5279" t="s">
        <v>36177</v>
      </c>
      <c r="K5279" t="s">
        <v>42283</v>
      </c>
      <c r="M5279" t="s">
        <v>42832</v>
      </c>
      <c r="N5279" t="s">
        <v>46569</v>
      </c>
      <c r="O5279" t="s">
        <v>46570</v>
      </c>
      <c r="P5279">
        <v>0</v>
      </c>
      <c r="Q5279">
        <v>1</v>
      </c>
      <c r="R5279" t="s">
        <v>46573</v>
      </c>
      <c r="S5279" t="s">
        <v>46705</v>
      </c>
      <c r="T5279" t="s">
        <v>48254</v>
      </c>
      <c r="U5279" t="s">
        <v>53157</v>
      </c>
      <c r="W5279" t="s">
        <v>42832</v>
      </c>
      <c r="X5279" t="s">
        <v>46574</v>
      </c>
    </row>
    <row r="5280" spans="1:24">
      <c r="A5280">
        <f>HYPERLINK("https://www.philgeps.gov.ph/GEPSNONPILOT/Tender/SplashBidNoticeAbstractUI.aspx?menuIndex=3&amp;refID=7059181&amp;Result=3","7059181")</f>
        <v>0</v>
      </c>
      <c r="B5280" t="s">
        <v>204</v>
      </c>
      <c r="C5280" t="s">
        <v>8567</v>
      </c>
      <c r="D5280" t="s">
        <v>18816</v>
      </c>
      <c r="E5280" t="s">
        <v>23545</v>
      </c>
      <c r="F5280" t="s">
        <v>32664</v>
      </c>
      <c r="G5280" t="s">
        <v>32674</v>
      </c>
      <c r="H5280" t="s">
        <v>12635</v>
      </c>
      <c r="I5280" t="s">
        <v>32745</v>
      </c>
      <c r="J5280" t="s">
        <v>35097</v>
      </c>
      <c r="K5280" t="s">
        <v>42284</v>
      </c>
      <c r="M5280" t="s">
        <v>42768</v>
      </c>
      <c r="N5280" t="s">
        <v>46569</v>
      </c>
      <c r="O5280" t="s">
        <v>46570</v>
      </c>
      <c r="P5280">
        <v>0</v>
      </c>
      <c r="Q5280">
        <v>0</v>
      </c>
      <c r="R5280" t="s">
        <v>46573</v>
      </c>
      <c r="S5280" t="s">
        <v>46705</v>
      </c>
      <c r="T5280" t="s">
        <v>48473</v>
      </c>
      <c r="U5280" t="s">
        <v>49145</v>
      </c>
      <c r="W5280" t="s">
        <v>42768</v>
      </c>
      <c r="X5280" t="s">
        <v>46574</v>
      </c>
    </row>
    <row r="5281" spans="1:24">
      <c r="A5281">
        <f>HYPERLINK("https://www.philgeps.gov.ph/GEPSNONPILOT/Tender/SplashBidNoticeAbstractUI.aspx?menuIndex=3&amp;refID=7059185&amp;Result=3","7059185")</f>
        <v>0</v>
      </c>
      <c r="B5281" t="s">
        <v>902</v>
      </c>
      <c r="C5281" t="s">
        <v>8568</v>
      </c>
      <c r="D5281" t="s">
        <v>18785</v>
      </c>
      <c r="E5281" t="s">
        <v>23623</v>
      </c>
      <c r="F5281" t="s">
        <v>32664</v>
      </c>
      <c r="G5281" t="s">
        <v>32674</v>
      </c>
      <c r="H5281" t="s">
        <v>12635</v>
      </c>
      <c r="I5281" t="s">
        <v>4439</v>
      </c>
      <c r="J5281" t="s">
        <v>36178</v>
      </c>
      <c r="K5281" t="s">
        <v>42281</v>
      </c>
      <c r="M5281" t="s">
        <v>43506</v>
      </c>
      <c r="N5281" t="s">
        <v>46569</v>
      </c>
      <c r="O5281" t="s">
        <v>46570</v>
      </c>
      <c r="P5281">
        <v>0</v>
      </c>
      <c r="Q5281">
        <v>0</v>
      </c>
      <c r="R5281" t="s">
        <v>46573</v>
      </c>
      <c r="S5281" t="s">
        <v>46705</v>
      </c>
      <c r="T5281" t="s">
        <v>48316</v>
      </c>
      <c r="U5281" t="s">
        <v>53158</v>
      </c>
      <c r="W5281" t="s">
        <v>63494</v>
      </c>
      <c r="X5281" t="s">
        <v>46574</v>
      </c>
    </row>
    <row r="5282" spans="1:24">
      <c r="A5282">
        <f>HYPERLINK("https://www.philgeps.gov.ph/GEPSNONPILOT/Tender/SplashBidNoticeAbstractUI.aspx?menuIndex=3&amp;refID=7059204&amp;Result=3","7059204")</f>
        <v>0</v>
      </c>
      <c r="B5282" t="s">
        <v>822</v>
      </c>
      <c r="C5282" t="s">
        <v>8569</v>
      </c>
      <c r="E5282" t="s">
        <v>23624</v>
      </c>
      <c r="F5282" t="s">
        <v>32664</v>
      </c>
      <c r="G5282" t="s">
        <v>32671</v>
      </c>
      <c r="H5282" t="s">
        <v>12635</v>
      </c>
      <c r="I5282" t="s">
        <v>6628</v>
      </c>
      <c r="J5282" t="s">
        <v>33119</v>
      </c>
      <c r="K5282" t="s">
        <v>42283</v>
      </c>
      <c r="M5282" t="s">
        <v>44466</v>
      </c>
      <c r="N5282" t="s">
        <v>46569</v>
      </c>
      <c r="O5282" t="s">
        <v>46570</v>
      </c>
      <c r="P5282">
        <v>0</v>
      </c>
      <c r="Q5282">
        <v>3</v>
      </c>
      <c r="R5282" t="s">
        <v>46573</v>
      </c>
      <c r="S5282" t="s">
        <v>46705</v>
      </c>
      <c r="T5282" t="s">
        <v>48305</v>
      </c>
      <c r="U5282" t="s">
        <v>53159</v>
      </c>
      <c r="W5282" t="s">
        <v>44466</v>
      </c>
      <c r="X5282" t="s">
        <v>46574</v>
      </c>
    </row>
    <row r="5283" spans="1:24">
      <c r="A5283">
        <f>HYPERLINK("https://www.philgeps.gov.ph/GEPSNONPILOT/Tender/SplashBidNoticeAbstractUI.aspx?menuIndex=3&amp;refID=7059179&amp;Result=3","7059179")</f>
        <v>0</v>
      </c>
      <c r="B5283" t="s">
        <v>822</v>
      </c>
      <c r="C5283" t="s">
        <v>8570</v>
      </c>
      <c r="E5283" t="s">
        <v>23625</v>
      </c>
      <c r="F5283" t="s">
        <v>32664</v>
      </c>
      <c r="G5283" t="s">
        <v>32671</v>
      </c>
      <c r="H5283" t="s">
        <v>12635</v>
      </c>
      <c r="I5283" t="s">
        <v>6628</v>
      </c>
      <c r="J5283" t="s">
        <v>36179</v>
      </c>
      <c r="K5283" t="s">
        <v>42283</v>
      </c>
      <c r="M5283" t="s">
        <v>44466</v>
      </c>
      <c r="N5283" t="s">
        <v>46569</v>
      </c>
      <c r="O5283" t="s">
        <v>46570</v>
      </c>
      <c r="P5283">
        <v>0</v>
      </c>
      <c r="Q5283">
        <v>0</v>
      </c>
      <c r="R5283" t="s">
        <v>46573</v>
      </c>
      <c r="S5283" t="s">
        <v>46705</v>
      </c>
      <c r="T5283" t="s">
        <v>48228</v>
      </c>
      <c r="U5283" t="s">
        <v>53160</v>
      </c>
      <c r="W5283" t="s">
        <v>44466</v>
      </c>
      <c r="X5283" t="s">
        <v>46574</v>
      </c>
    </row>
    <row r="5284" spans="1:24">
      <c r="A5284">
        <f>HYPERLINK("https://www.philgeps.gov.ph/GEPSNONPILOT/Tender/SplashBidNoticeAbstractUI.aspx?menuIndex=3&amp;refID=7059215&amp;Result=3","7059215")</f>
        <v>0</v>
      </c>
      <c r="B5284" t="s">
        <v>837</v>
      </c>
      <c r="C5284" t="s">
        <v>8571</v>
      </c>
      <c r="D5284" t="s">
        <v>18831</v>
      </c>
      <c r="E5284" t="s">
        <v>23626</v>
      </c>
      <c r="F5284" t="s">
        <v>32664</v>
      </c>
      <c r="G5284" t="s">
        <v>32674</v>
      </c>
      <c r="H5284" t="s">
        <v>12635</v>
      </c>
      <c r="I5284" t="s">
        <v>8797</v>
      </c>
      <c r="J5284" t="s">
        <v>32842</v>
      </c>
      <c r="K5284" t="s">
        <v>42303</v>
      </c>
      <c r="M5284" t="s">
        <v>43432</v>
      </c>
      <c r="N5284" t="s">
        <v>46569</v>
      </c>
      <c r="O5284" t="s">
        <v>46570</v>
      </c>
      <c r="P5284">
        <v>0</v>
      </c>
      <c r="Q5284">
        <v>1</v>
      </c>
      <c r="R5284" t="s">
        <v>46573</v>
      </c>
      <c r="S5284" t="s">
        <v>46705</v>
      </c>
      <c r="T5284" t="s">
        <v>48287</v>
      </c>
      <c r="U5284" t="s">
        <v>53161</v>
      </c>
      <c r="W5284" t="s">
        <v>43432</v>
      </c>
      <c r="X5284" t="s">
        <v>46574</v>
      </c>
    </row>
    <row r="5285" spans="1:24">
      <c r="A5285">
        <f>HYPERLINK("https://www.philgeps.gov.ph/GEPSNONPILOT/Tender/SplashBidNoticeAbstractUI.aspx?menuIndex=3&amp;refID=7059178&amp;Result=3","7059178")</f>
        <v>0</v>
      </c>
      <c r="B5285" t="s">
        <v>1378</v>
      </c>
      <c r="C5285" t="s">
        <v>8572</v>
      </c>
      <c r="E5285" t="s">
        <v>23627</v>
      </c>
      <c r="F5285" t="s">
        <v>32664</v>
      </c>
      <c r="G5285" t="s">
        <v>32672</v>
      </c>
      <c r="H5285" t="s">
        <v>12635</v>
      </c>
      <c r="I5285" t="s">
        <v>11464</v>
      </c>
      <c r="J5285" t="s">
        <v>33150</v>
      </c>
      <c r="K5285" t="s">
        <v>42283</v>
      </c>
      <c r="M5285" t="s">
        <v>44033</v>
      </c>
      <c r="N5285" t="s">
        <v>46569</v>
      </c>
      <c r="O5285" t="s">
        <v>46570</v>
      </c>
      <c r="P5285">
        <v>0</v>
      </c>
      <c r="Q5285">
        <v>5</v>
      </c>
      <c r="R5285" t="s">
        <v>46573</v>
      </c>
      <c r="S5285" t="s">
        <v>46705</v>
      </c>
      <c r="T5285" t="s">
        <v>48280</v>
      </c>
      <c r="U5285" t="s">
        <v>53162</v>
      </c>
      <c r="W5285" t="s">
        <v>44033</v>
      </c>
      <c r="X5285" t="s">
        <v>46574</v>
      </c>
    </row>
    <row r="5286" spans="1:24">
      <c r="A5286">
        <f>HYPERLINK("https://www.philgeps.gov.ph/GEPSNONPILOT/Tender/SplashBidNoticeAbstractUI.aspx?menuIndex=3&amp;refID=7062543&amp;Result=3","7062543")</f>
        <v>0</v>
      </c>
      <c r="B5286" t="s">
        <v>708</v>
      </c>
      <c r="C5286" t="s">
        <v>8573</v>
      </c>
      <c r="D5286" t="s">
        <v>18792</v>
      </c>
      <c r="E5286" t="s">
        <v>23628</v>
      </c>
      <c r="F5286" t="s">
        <v>32664</v>
      </c>
      <c r="G5286" t="s">
        <v>32672</v>
      </c>
      <c r="H5286" t="s">
        <v>12635</v>
      </c>
      <c r="I5286" t="s">
        <v>32706</v>
      </c>
      <c r="J5286" t="s">
        <v>36180</v>
      </c>
      <c r="K5286" t="s">
        <v>42283</v>
      </c>
      <c r="M5286" t="s">
        <v>43295</v>
      </c>
      <c r="N5286" t="s">
        <v>46569</v>
      </c>
      <c r="O5286" t="s">
        <v>46570</v>
      </c>
      <c r="Q5286">
        <v>0</v>
      </c>
      <c r="R5286" t="s">
        <v>46572</v>
      </c>
      <c r="S5286" t="s">
        <v>46708</v>
      </c>
      <c r="T5286" t="s">
        <v>48279</v>
      </c>
      <c r="U5286" t="s">
        <v>53163</v>
      </c>
      <c r="W5286" t="s">
        <v>43295</v>
      </c>
      <c r="X5286" t="s">
        <v>46573</v>
      </c>
    </row>
    <row r="5287" spans="1:24">
      <c r="A5287">
        <f>HYPERLINK("https://www.philgeps.gov.ph/GEPSNONPILOT/Tender/SplashBidNoticeAbstractUI.aspx?menuIndex=3&amp;refID=7059200&amp;Result=3","7059200")</f>
        <v>0</v>
      </c>
      <c r="B5287" t="s">
        <v>1726</v>
      </c>
      <c r="C5287" t="s">
        <v>8574</v>
      </c>
      <c r="D5287" t="s">
        <v>18837</v>
      </c>
      <c r="E5287" t="s">
        <v>23629</v>
      </c>
      <c r="F5287" t="s">
        <v>32664</v>
      </c>
      <c r="G5287" t="s">
        <v>32672</v>
      </c>
      <c r="H5287" t="s">
        <v>12635</v>
      </c>
      <c r="I5287" t="s">
        <v>5589</v>
      </c>
      <c r="J5287" t="s">
        <v>36181</v>
      </c>
      <c r="K5287" t="s">
        <v>42297</v>
      </c>
      <c r="M5287" t="s">
        <v>44425</v>
      </c>
      <c r="N5287" t="s">
        <v>46569</v>
      </c>
      <c r="O5287" t="s">
        <v>46570</v>
      </c>
      <c r="P5287">
        <v>0</v>
      </c>
      <c r="Q5287">
        <v>5</v>
      </c>
      <c r="R5287" t="s">
        <v>46573</v>
      </c>
      <c r="S5287" t="s">
        <v>46705</v>
      </c>
      <c r="T5287" t="s">
        <v>48349</v>
      </c>
      <c r="U5287" t="s">
        <v>53164</v>
      </c>
      <c r="V5287" t="s">
        <v>62145</v>
      </c>
      <c r="W5287" t="s">
        <v>44425</v>
      </c>
      <c r="X5287" t="s">
        <v>46574</v>
      </c>
    </row>
    <row r="5288" spans="1:24">
      <c r="A5288">
        <f>HYPERLINK("https://www.philgeps.gov.ph/GEPSNONPILOT/Tender/SplashBidNoticeAbstractUI.aspx?menuIndex=3&amp;refID=7059180&amp;Result=3","7059180")</f>
        <v>0</v>
      </c>
      <c r="B5288" t="s">
        <v>1799</v>
      </c>
      <c r="C5288" t="s">
        <v>8575</v>
      </c>
      <c r="D5288" t="s">
        <v>18784</v>
      </c>
      <c r="E5288" t="s">
        <v>23630</v>
      </c>
      <c r="F5288" t="s">
        <v>32664</v>
      </c>
      <c r="G5288" t="s">
        <v>32672</v>
      </c>
      <c r="H5288" t="s">
        <v>32683</v>
      </c>
      <c r="I5288" t="s">
        <v>10627</v>
      </c>
      <c r="J5288" t="s">
        <v>36164</v>
      </c>
      <c r="K5288" t="s">
        <v>42281</v>
      </c>
      <c r="M5288" t="s">
        <v>44502</v>
      </c>
      <c r="N5288" t="s">
        <v>46569</v>
      </c>
      <c r="O5288" t="s">
        <v>46570</v>
      </c>
      <c r="P5288">
        <v>0</v>
      </c>
      <c r="Q5288">
        <v>4</v>
      </c>
      <c r="R5288" t="s">
        <v>46573</v>
      </c>
      <c r="S5288" t="s">
        <v>46705</v>
      </c>
      <c r="T5288" t="s">
        <v>48213</v>
      </c>
      <c r="U5288" t="s">
        <v>53143</v>
      </c>
      <c r="W5288" t="s">
        <v>63534</v>
      </c>
      <c r="X5288" t="s">
        <v>46574</v>
      </c>
    </row>
    <row r="5289" spans="1:24">
      <c r="A5289">
        <f>HYPERLINK("https://www.philgeps.gov.ph/GEPSNONPILOT/Tender/SplashBidNoticeAbstractUI.aspx?menuIndex=3&amp;refID=7062542&amp;Result=3","7062542")</f>
        <v>0</v>
      </c>
      <c r="B5289" t="s">
        <v>653</v>
      </c>
      <c r="C5289" t="s">
        <v>8576</v>
      </c>
      <c r="D5289" t="s">
        <v>18840</v>
      </c>
      <c r="E5289" t="s">
        <v>23631</v>
      </c>
      <c r="F5289" t="s">
        <v>32664</v>
      </c>
      <c r="G5289" t="s">
        <v>32671</v>
      </c>
      <c r="H5289" t="s">
        <v>12635</v>
      </c>
      <c r="I5289" t="s">
        <v>32707</v>
      </c>
      <c r="J5289" t="s">
        <v>33334</v>
      </c>
      <c r="K5289" t="s">
        <v>42289</v>
      </c>
      <c r="M5289" t="s">
        <v>43239</v>
      </c>
      <c r="N5289" t="s">
        <v>46569</v>
      </c>
      <c r="O5289" t="s">
        <v>46570</v>
      </c>
      <c r="P5289">
        <v>0</v>
      </c>
      <c r="Q5289">
        <v>0</v>
      </c>
      <c r="R5289" t="s">
        <v>46572</v>
      </c>
      <c r="S5289" t="s">
        <v>46689</v>
      </c>
      <c r="T5289" t="s">
        <v>48251</v>
      </c>
      <c r="U5289" t="s">
        <v>53165</v>
      </c>
      <c r="W5289" t="s">
        <v>43239</v>
      </c>
      <c r="X5289" t="s">
        <v>46573</v>
      </c>
    </row>
    <row r="5290" spans="1:24">
      <c r="A5290">
        <f>HYPERLINK("https://www.philgeps.gov.ph/GEPSNONPILOT/Tender/SplashBidNoticeAbstractUI.aspx?menuIndex=3&amp;refID=7059177&amp;Result=3","7059177")</f>
        <v>0</v>
      </c>
      <c r="B5290" t="s">
        <v>1095</v>
      </c>
      <c r="C5290" t="s">
        <v>6223</v>
      </c>
      <c r="D5290" t="s">
        <v>18798</v>
      </c>
      <c r="E5290" t="s">
        <v>23632</v>
      </c>
      <c r="F5290" t="s">
        <v>32664</v>
      </c>
      <c r="G5290" t="s">
        <v>32671</v>
      </c>
      <c r="H5290" t="s">
        <v>12635</v>
      </c>
      <c r="I5290" t="s">
        <v>6223</v>
      </c>
      <c r="J5290" t="s">
        <v>36182</v>
      </c>
      <c r="K5290" t="s">
        <v>42281</v>
      </c>
      <c r="M5290" t="s">
        <v>42640</v>
      </c>
      <c r="N5290" t="s">
        <v>46569</v>
      </c>
      <c r="O5290" t="s">
        <v>46570</v>
      </c>
      <c r="P5290">
        <v>0</v>
      </c>
      <c r="Q5290">
        <v>0</v>
      </c>
      <c r="R5290" t="s">
        <v>46573</v>
      </c>
      <c r="S5290" t="s">
        <v>46705</v>
      </c>
      <c r="T5290" t="s">
        <v>48290</v>
      </c>
      <c r="U5290" t="s">
        <v>53166</v>
      </c>
      <c r="W5290" t="s">
        <v>42640</v>
      </c>
      <c r="X5290" t="s">
        <v>46574</v>
      </c>
    </row>
    <row r="5291" spans="1:24">
      <c r="A5291">
        <f>HYPERLINK("https://www.philgeps.gov.ph/GEPSNONPILOT/Tender/SplashBidNoticeAbstractUI.aspx?menuIndex=3&amp;refID=7062410&amp;Result=3","7062410")</f>
        <v>0</v>
      </c>
      <c r="B5291" t="s">
        <v>1804</v>
      </c>
      <c r="C5291" t="s">
        <v>8577</v>
      </c>
      <c r="D5291" t="s">
        <v>18822</v>
      </c>
      <c r="E5291" t="s">
        <v>23633</v>
      </c>
      <c r="F5291" t="s">
        <v>32665</v>
      </c>
      <c r="G5291" t="s">
        <v>32672</v>
      </c>
      <c r="H5291" t="s">
        <v>12635</v>
      </c>
      <c r="I5291" t="s">
        <v>10627</v>
      </c>
      <c r="J5291" t="s">
        <v>32898</v>
      </c>
      <c r="K5291" t="s">
        <v>42321</v>
      </c>
      <c r="M5291" t="s">
        <v>44509</v>
      </c>
      <c r="N5291" t="s">
        <v>46569</v>
      </c>
      <c r="O5291" t="s">
        <v>46570</v>
      </c>
      <c r="P5291">
        <v>0</v>
      </c>
      <c r="Q5291">
        <v>0</v>
      </c>
      <c r="R5291" t="s">
        <v>46572</v>
      </c>
      <c r="S5291" t="s">
        <v>46689</v>
      </c>
      <c r="T5291" t="s">
        <v>48468</v>
      </c>
      <c r="U5291" t="s">
        <v>53167</v>
      </c>
      <c r="W5291" t="s">
        <v>44509</v>
      </c>
      <c r="X5291" t="s">
        <v>46573</v>
      </c>
    </row>
    <row r="5292" spans="1:24">
      <c r="A5292">
        <f>HYPERLINK("https://www.philgeps.gov.ph/GEPSNONPILOT/Tender/SplashBidNoticeAbstractUI.aspx?menuIndex=3&amp;refID=7059175&amp;Result=3","7059175")</f>
        <v>0</v>
      </c>
      <c r="B5292" t="s">
        <v>1805</v>
      </c>
      <c r="C5292" t="s">
        <v>8578</v>
      </c>
      <c r="D5292" t="s">
        <v>18837</v>
      </c>
      <c r="E5292" t="s">
        <v>23634</v>
      </c>
      <c r="F5292" t="s">
        <v>32664</v>
      </c>
      <c r="G5292" t="s">
        <v>32672</v>
      </c>
      <c r="H5292" t="s">
        <v>32683</v>
      </c>
      <c r="I5292" t="s">
        <v>10627</v>
      </c>
      <c r="J5292" t="s">
        <v>33128</v>
      </c>
      <c r="K5292" t="s">
        <v>42281</v>
      </c>
      <c r="M5292" t="s">
        <v>44510</v>
      </c>
      <c r="N5292" t="s">
        <v>46569</v>
      </c>
      <c r="O5292" t="s">
        <v>46570</v>
      </c>
      <c r="P5292">
        <v>0</v>
      </c>
      <c r="Q5292">
        <v>1</v>
      </c>
      <c r="R5292" t="s">
        <v>46573</v>
      </c>
      <c r="S5292" t="s">
        <v>46705</v>
      </c>
      <c r="T5292" t="s">
        <v>48283</v>
      </c>
      <c r="U5292" t="s">
        <v>53168</v>
      </c>
      <c r="W5292" t="s">
        <v>44510</v>
      </c>
      <c r="X5292" t="s">
        <v>46574</v>
      </c>
    </row>
    <row r="5293" spans="1:24">
      <c r="A5293">
        <f>HYPERLINK("https://www.philgeps.gov.ph/GEPSNONPILOT/Tender/SplashBidNoticeAbstractUI.aspx?menuIndex=3&amp;refID=7062407&amp;Result=3","7062407")</f>
        <v>0</v>
      </c>
      <c r="B5293" t="s">
        <v>438</v>
      </c>
      <c r="C5293" t="s">
        <v>8579</v>
      </c>
      <c r="D5293" t="s">
        <v>18855</v>
      </c>
      <c r="E5293" t="s">
        <v>23635</v>
      </c>
      <c r="F5293" t="s">
        <v>32664</v>
      </c>
      <c r="G5293" t="s">
        <v>32672</v>
      </c>
      <c r="H5293" t="s">
        <v>32683</v>
      </c>
      <c r="I5293" t="s">
        <v>10627</v>
      </c>
      <c r="J5293" t="s">
        <v>34930</v>
      </c>
      <c r="K5293" t="s">
        <v>42352</v>
      </c>
      <c r="M5293" t="s">
        <v>43010</v>
      </c>
      <c r="N5293" t="s">
        <v>46569</v>
      </c>
      <c r="O5293" t="s">
        <v>46570</v>
      </c>
      <c r="P5293">
        <v>0</v>
      </c>
      <c r="Q5293">
        <v>3</v>
      </c>
      <c r="R5293" t="s">
        <v>46572</v>
      </c>
      <c r="S5293" t="s">
        <v>46689</v>
      </c>
      <c r="T5293" t="s">
        <v>48308</v>
      </c>
      <c r="U5293" t="s">
        <v>53169</v>
      </c>
      <c r="W5293" t="s">
        <v>43010</v>
      </c>
      <c r="X5293" t="s">
        <v>46573</v>
      </c>
    </row>
    <row r="5294" spans="1:24">
      <c r="A5294">
        <f>HYPERLINK("https://www.philgeps.gov.ph/GEPSNONPILOT/Tender/SplashBidNoticeAbstractUI.aspx?menuIndex=3&amp;refID=7062406&amp;Result=3","7062406")</f>
        <v>0</v>
      </c>
      <c r="B5294" t="s">
        <v>1166</v>
      </c>
      <c r="C5294" t="s">
        <v>6223</v>
      </c>
      <c r="E5294" t="s">
        <v>23636</v>
      </c>
      <c r="F5294" t="s">
        <v>32664</v>
      </c>
      <c r="G5294" t="s">
        <v>32671</v>
      </c>
      <c r="H5294" t="s">
        <v>12635</v>
      </c>
      <c r="I5294" t="s">
        <v>6223</v>
      </c>
      <c r="J5294" t="s">
        <v>36183</v>
      </c>
      <c r="K5294" t="s">
        <v>42283</v>
      </c>
      <c r="M5294" t="s">
        <v>43799</v>
      </c>
      <c r="N5294" t="s">
        <v>46569</v>
      </c>
      <c r="O5294" t="s">
        <v>46570</v>
      </c>
      <c r="P5294">
        <v>0</v>
      </c>
      <c r="Q5294">
        <v>0</v>
      </c>
      <c r="R5294" t="s">
        <v>46572</v>
      </c>
      <c r="S5294" t="s">
        <v>46689</v>
      </c>
      <c r="T5294" t="s">
        <v>48541</v>
      </c>
      <c r="U5294" t="s">
        <v>51351</v>
      </c>
      <c r="W5294" t="s">
        <v>43799</v>
      </c>
      <c r="X5294" t="s">
        <v>46573</v>
      </c>
    </row>
    <row r="5295" spans="1:24">
      <c r="A5295">
        <f>HYPERLINK("https://www.philgeps.gov.ph/GEPSNONPILOT/Tender/SplashBidNoticeAbstractUI.aspx?menuIndex=3&amp;refID=7062386&amp;Result=3","7062386")</f>
        <v>0</v>
      </c>
      <c r="B5295" t="s">
        <v>1806</v>
      </c>
      <c r="C5295" t="s">
        <v>8580</v>
      </c>
      <c r="D5295" t="s">
        <v>18799</v>
      </c>
      <c r="E5295" t="s">
        <v>23637</v>
      </c>
      <c r="F5295" t="s">
        <v>32664</v>
      </c>
      <c r="G5295" t="s">
        <v>32672</v>
      </c>
      <c r="H5295" t="s">
        <v>12635</v>
      </c>
      <c r="I5295" t="s">
        <v>32706</v>
      </c>
      <c r="J5295" t="s">
        <v>36184</v>
      </c>
      <c r="K5295" t="s">
        <v>42289</v>
      </c>
      <c r="M5295" t="s">
        <v>44511</v>
      </c>
      <c r="N5295" t="s">
        <v>46569</v>
      </c>
      <c r="O5295" t="s">
        <v>46570</v>
      </c>
      <c r="P5295">
        <v>0</v>
      </c>
      <c r="Q5295">
        <v>0</v>
      </c>
      <c r="R5295" t="s">
        <v>46572</v>
      </c>
      <c r="S5295" t="s">
        <v>46689</v>
      </c>
      <c r="T5295" t="s">
        <v>48330</v>
      </c>
      <c r="U5295" t="s">
        <v>53170</v>
      </c>
      <c r="W5295" t="s">
        <v>44511</v>
      </c>
      <c r="X5295" t="s">
        <v>46573</v>
      </c>
    </row>
    <row r="5296" spans="1:24">
      <c r="A5296">
        <f>HYPERLINK("https://www.philgeps.gov.ph/GEPSNONPILOT/Tender/SplashBidNoticeAbstractUI.aspx?menuIndex=3&amp;refID=7062383&amp;Result=3","7062383")</f>
        <v>0</v>
      </c>
      <c r="B5296" t="s">
        <v>1185</v>
      </c>
      <c r="C5296" t="s">
        <v>8581</v>
      </c>
      <c r="D5296" t="s">
        <v>18807</v>
      </c>
      <c r="E5296" t="s">
        <v>23638</v>
      </c>
      <c r="F5296" t="s">
        <v>32664</v>
      </c>
      <c r="G5296" t="s">
        <v>32672</v>
      </c>
      <c r="H5296" t="s">
        <v>12635</v>
      </c>
      <c r="I5296" t="s">
        <v>4439</v>
      </c>
      <c r="J5296" t="s">
        <v>34944</v>
      </c>
      <c r="K5296" t="s">
        <v>42297</v>
      </c>
      <c r="M5296" t="s">
        <v>43821</v>
      </c>
      <c r="N5296" t="s">
        <v>46569</v>
      </c>
      <c r="O5296" t="s">
        <v>46570</v>
      </c>
      <c r="P5296">
        <v>0</v>
      </c>
      <c r="Q5296">
        <v>0</v>
      </c>
      <c r="R5296" t="s">
        <v>46572</v>
      </c>
      <c r="S5296" t="s">
        <v>46689</v>
      </c>
      <c r="T5296" t="s">
        <v>48230</v>
      </c>
      <c r="U5296" t="s">
        <v>51358</v>
      </c>
      <c r="W5296" t="s">
        <v>43821</v>
      </c>
      <c r="X5296" t="s">
        <v>46573</v>
      </c>
    </row>
    <row r="5297" spans="1:24">
      <c r="A5297">
        <f>HYPERLINK("https://www.philgeps.gov.ph/GEPSNONPILOT/Tender/SplashBidNoticeAbstractUI.aspx?menuIndex=3&amp;refID=7062411&amp;Result=3","7062411")</f>
        <v>0</v>
      </c>
      <c r="B5297" t="s">
        <v>529</v>
      </c>
      <c r="C5297" t="s">
        <v>8582</v>
      </c>
      <c r="D5297" t="s">
        <v>18788</v>
      </c>
      <c r="E5297" t="s">
        <v>23639</v>
      </c>
      <c r="F5297" t="s">
        <v>32664</v>
      </c>
      <c r="G5297" t="s">
        <v>32671</v>
      </c>
      <c r="H5297" t="s">
        <v>12635</v>
      </c>
      <c r="I5297" t="s">
        <v>6553</v>
      </c>
      <c r="J5297" t="s">
        <v>32859</v>
      </c>
      <c r="K5297" t="s">
        <v>42283</v>
      </c>
      <c r="M5297" t="s">
        <v>43116</v>
      </c>
      <c r="N5297" t="s">
        <v>46569</v>
      </c>
      <c r="O5297" t="s">
        <v>46570</v>
      </c>
      <c r="P5297">
        <v>0</v>
      </c>
      <c r="Q5297">
        <v>1</v>
      </c>
      <c r="R5297" t="s">
        <v>46572</v>
      </c>
      <c r="S5297" t="s">
        <v>46689</v>
      </c>
      <c r="T5297" t="s">
        <v>48251</v>
      </c>
      <c r="U5297" t="s">
        <v>53171</v>
      </c>
      <c r="V5297" t="s">
        <v>61748</v>
      </c>
      <c r="W5297" t="s">
        <v>43116</v>
      </c>
      <c r="X5297" t="s">
        <v>46573</v>
      </c>
    </row>
    <row r="5298" spans="1:24">
      <c r="A5298">
        <f>HYPERLINK("https://www.philgeps.gov.ph/GEPSNONPILOT/Tender/SplashBidNoticeAbstractUI.aspx?menuIndex=3&amp;refID=7062405&amp;Result=3","7062405")</f>
        <v>0</v>
      </c>
      <c r="B5298" t="s">
        <v>1219</v>
      </c>
      <c r="C5298" t="s">
        <v>8583</v>
      </c>
      <c r="D5298" t="s">
        <v>18791</v>
      </c>
      <c r="E5298" t="s">
        <v>21715</v>
      </c>
      <c r="F5298" t="s">
        <v>32664</v>
      </c>
      <c r="G5298" t="s">
        <v>32671</v>
      </c>
      <c r="H5298" t="s">
        <v>12635</v>
      </c>
      <c r="I5298" t="s">
        <v>5589</v>
      </c>
      <c r="J5298" t="s">
        <v>35124</v>
      </c>
      <c r="K5298" t="s">
        <v>42305</v>
      </c>
      <c r="M5298" t="s">
        <v>43857</v>
      </c>
      <c r="N5298" t="s">
        <v>46569</v>
      </c>
      <c r="O5298" t="s">
        <v>46570</v>
      </c>
      <c r="P5298">
        <v>0</v>
      </c>
      <c r="Q5298">
        <v>0</v>
      </c>
      <c r="R5298" t="s">
        <v>46572</v>
      </c>
      <c r="S5298" t="s">
        <v>46689</v>
      </c>
      <c r="T5298" t="s">
        <v>48305</v>
      </c>
      <c r="U5298" t="s">
        <v>51629</v>
      </c>
      <c r="W5298" t="s">
        <v>43857</v>
      </c>
      <c r="X5298" t="s">
        <v>46573</v>
      </c>
    </row>
    <row r="5299" spans="1:24">
      <c r="A5299">
        <f>HYPERLINK("https://www.philgeps.gov.ph/GEPSNONPILOT/Tender/SplashBidNoticeAbstractUI.aspx?menuIndex=3&amp;refID=7062408&amp;Result=3","7062408")</f>
        <v>0</v>
      </c>
      <c r="B5299" t="s">
        <v>1094</v>
      </c>
      <c r="C5299" t="s">
        <v>8584</v>
      </c>
      <c r="D5299" t="s">
        <v>18822</v>
      </c>
      <c r="E5299" t="s">
        <v>23640</v>
      </c>
      <c r="F5299" t="s">
        <v>32664</v>
      </c>
      <c r="G5299" t="s">
        <v>32674</v>
      </c>
      <c r="H5299" t="s">
        <v>12635</v>
      </c>
      <c r="I5299" t="s">
        <v>6628</v>
      </c>
      <c r="J5299" t="s">
        <v>36185</v>
      </c>
      <c r="K5299" t="s">
        <v>42284</v>
      </c>
      <c r="M5299" t="s">
        <v>43722</v>
      </c>
      <c r="N5299" t="s">
        <v>46569</v>
      </c>
      <c r="O5299" t="s">
        <v>46570</v>
      </c>
      <c r="P5299">
        <v>0</v>
      </c>
      <c r="Q5299">
        <v>3</v>
      </c>
      <c r="R5299" t="s">
        <v>46572</v>
      </c>
      <c r="S5299" t="s">
        <v>46689</v>
      </c>
      <c r="T5299" t="s">
        <v>48256</v>
      </c>
      <c r="U5299" t="s">
        <v>53172</v>
      </c>
      <c r="W5299" t="s">
        <v>43722</v>
      </c>
      <c r="X5299" t="s">
        <v>46573</v>
      </c>
    </row>
    <row r="5300" spans="1:24">
      <c r="A5300">
        <f>HYPERLINK("https://www.philgeps.gov.ph/GEPSNONPILOT/Tender/SplashBidNoticeAbstractUI.aspx?menuIndex=3&amp;refID=7059198&amp;Result=3","7059198")</f>
        <v>0</v>
      </c>
      <c r="B5300" t="s">
        <v>1734</v>
      </c>
      <c r="C5300" t="s">
        <v>8585</v>
      </c>
      <c r="D5300" t="s">
        <v>18789</v>
      </c>
      <c r="E5300" t="s">
        <v>23641</v>
      </c>
      <c r="F5300" t="s">
        <v>32664</v>
      </c>
      <c r="G5300" t="s">
        <v>32671</v>
      </c>
      <c r="H5300" t="s">
        <v>12635</v>
      </c>
      <c r="I5300" t="s">
        <v>8730</v>
      </c>
      <c r="J5300" t="s">
        <v>36186</v>
      </c>
      <c r="K5300" t="s">
        <v>42289</v>
      </c>
      <c r="M5300" t="s">
        <v>44433</v>
      </c>
      <c r="N5300" t="s">
        <v>46569</v>
      </c>
      <c r="O5300" t="s">
        <v>46570</v>
      </c>
      <c r="P5300">
        <v>0</v>
      </c>
      <c r="Q5300">
        <v>0</v>
      </c>
      <c r="R5300" t="s">
        <v>46573</v>
      </c>
      <c r="S5300" t="s">
        <v>46705</v>
      </c>
      <c r="T5300" t="s">
        <v>48280</v>
      </c>
      <c r="U5300" t="s">
        <v>53173</v>
      </c>
      <c r="W5300" t="s">
        <v>44433</v>
      </c>
      <c r="X5300" t="s">
        <v>46574</v>
      </c>
    </row>
    <row r="5301" spans="1:24">
      <c r="A5301">
        <f>HYPERLINK("https://www.philgeps.gov.ph/GEPSNONPILOT/Tender/SplashBidNoticeAbstractUI.aspx?menuIndex=3&amp;refID=7062378&amp;Result=3","7062378")</f>
        <v>0</v>
      </c>
      <c r="B5301" t="s">
        <v>502</v>
      </c>
      <c r="C5301" t="s">
        <v>8586</v>
      </c>
      <c r="D5301" t="s">
        <v>18782</v>
      </c>
      <c r="E5301" t="s">
        <v>23642</v>
      </c>
      <c r="F5301" t="s">
        <v>32664</v>
      </c>
      <c r="G5301" t="s">
        <v>32672</v>
      </c>
      <c r="H5301" t="s">
        <v>12635</v>
      </c>
      <c r="I5301" t="s">
        <v>32698</v>
      </c>
      <c r="J5301" t="s">
        <v>36187</v>
      </c>
      <c r="K5301" t="s">
        <v>42281</v>
      </c>
      <c r="M5301" t="s">
        <v>43078</v>
      </c>
      <c r="N5301" t="s">
        <v>46569</v>
      </c>
      <c r="O5301" t="s">
        <v>46570</v>
      </c>
      <c r="P5301">
        <v>0</v>
      </c>
      <c r="Q5301">
        <v>1</v>
      </c>
      <c r="R5301" t="s">
        <v>46572</v>
      </c>
      <c r="S5301" t="s">
        <v>46689</v>
      </c>
      <c r="T5301" t="s">
        <v>48226</v>
      </c>
      <c r="U5301" t="s">
        <v>53174</v>
      </c>
      <c r="W5301" t="s">
        <v>43078</v>
      </c>
      <c r="X5301" t="s">
        <v>46573</v>
      </c>
    </row>
    <row r="5302" spans="1:24">
      <c r="A5302">
        <f>HYPERLINK("https://www.philgeps.gov.ph/GEPSNONPILOT/Tender/SplashBidNoticeAbstractUI.aspx?menuIndex=3&amp;refID=7062381&amp;Result=3","7062381")</f>
        <v>0</v>
      </c>
      <c r="B5302" t="s">
        <v>1807</v>
      </c>
      <c r="C5302" t="s">
        <v>8587</v>
      </c>
      <c r="E5302" t="s">
        <v>19444</v>
      </c>
      <c r="F5302" t="s">
        <v>32664</v>
      </c>
      <c r="G5302" t="s">
        <v>32671</v>
      </c>
      <c r="H5302" t="s">
        <v>32683</v>
      </c>
      <c r="I5302" t="s">
        <v>32694</v>
      </c>
      <c r="J5302" t="s">
        <v>36188</v>
      </c>
      <c r="K5302" t="s">
        <v>42283</v>
      </c>
      <c r="M5302" t="s">
        <v>44512</v>
      </c>
      <c r="N5302" t="s">
        <v>46569</v>
      </c>
      <c r="O5302" t="s">
        <v>46570</v>
      </c>
      <c r="P5302">
        <v>0</v>
      </c>
      <c r="Q5302">
        <v>0</v>
      </c>
      <c r="R5302" t="s">
        <v>46572</v>
      </c>
      <c r="S5302" t="s">
        <v>46689</v>
      </c>
      <c r="T5302" t="s">
        <v>48283</v>
      </c>
      <c r="U5302" t="s">
        <v>53175</v>
      </c>
      <c r="W5302" t="s">
        <v>44512</v>
      </c>
      <c r="X5302" t="s">
        <v>46573</v>
      </c>
    </row>
    <row r="5303" spans="1:24">
      <c r="A5303">
        <f>HYPERLINK("https://www.philgeps.gov.ph/GEPSNONPILOT/Tender/SplashBidNoticeAbstractUI.aspx?menuIndex=3&amp;refID=7062409&amp;Result=3","7062409")</f>
        <v>0</v>
      </c>
      <c r="B5303" t="s">
        <v>1808</v>
      </c>
      <c r="C5303" t="s">
        <v>8588</v>
      </c>
      <c r="E5303" t="s">
        <v>23643</v>
      </c>
      <c r="F5303" t="s">
        <v>32664</v>
      </c>
      <c r="G5303" t="s">
        <v>32671</v>
      </c>
      <c r="H5303" t="s">
        <v>12635</v>
      </c>
      <c r="I5303" t="s">
        <v>9946</v>
      </c>
      <c r="J5303" t="s">
        <v>35852</v>
      </c>
      <c r="K5303" t="s">
        <v>42283</v>
      </c>
      <c r="M5303" t="s">
        <v>44513</v>
      </c>
      <c r="N5303" t="s">
        <v>46569</v>
      </c>
      <c r="O5303" t="s">
        <v>46570</v>
      </c>
      <c r="P5303">
        <v>0</v>
      </c>
      <c r="Q5303">
        <v>1</v>
      </c>
      <c r="R5303" t="s">
        <v>46572</v>
      </c>
      <c r="S5303" t="s">
        <v>46689</v>
      </c>
      <c r="T5303" t="s">
        <v>48221</v>
      </c>
      <c r="U5303" t="s">
        <v>53176</v>
      </c>
      <c r="W5303" t="s">
        <v>44513</v>
      </c>
      <c r="X5303" t="s">
        <v>46573</v>
      </c>
    </row>
    <row r="5304" spans="1:24">
      <c r="A5304">
        <f>HYPERLINK("https://www.philgeps.gov.ph/GEPSNONPILOT/Tender/SplashBidNoticeAbstractUI.aspx?menuIndex=3&amp;refID=7062541&amp;Result=3","7062541")</f>
        <v>0</v>
      </c>
      <c r="B5304" t="s">
        <v>1809</v>
      </c>
      <c r="C5304" t="s">
        <v>8589</v>
      </c>
      <c r="D5304" t="s">
        <v>18842</v>
      </c>
      <c r="E5304" t="s">
        <v>23644</v>
      </c>
      <c r="F5304" t="s">
        <v>32665</v>
      </c>
      <c r="G5304" t="s">
        <v>32672</v>
      </c>
      <c r="H5304" t="s">
        <v>12635</v>
      </c>
      <c r="I5304" t="s">
        <v>4439</v>
      </c>
      <c r="J5304" t="s">
        <v>32898</v>
      </c>
      <c r="K5304" t="s">
        <v>42330</v>
      </c>
      <c r="M5304" t="s">
        <v>44514</v>
      </c>
      <c r="N5304" t="s">
        <v>46569</v>
      </c>
      <c r="O5304" t="s">
        <v>46570</v>
      </c>
      <c r="P5304">
        <v>0</v>
      </c>
      <c r="Q5304">
        <v>0</v>
      </c>
      <c r="R5304" t="s">
        <v>46572</v>
      </c>
      <c r="S5304" t="s">
        <v>46689</v>
      </c>
      <c r="T5304" t="s">
        <v>48213</v>
      </c>
      <c r="U5304" t="s">
        <v>53177</v>
      </c>
      <c r="W5304" t="s">
        <v>44514</v>
      </c>
      <c r="X5304" t="s">
        <v>46573</v>
      </c>
    </row>
    <row r="5305" spans="1:24">
      <c r="A5305">
        <f>HYPERLINK("https://www.philgeps.gov.ph/GEPSNONPILOT/Tender/SplashBidNoticeAbstractUI.aspx?menuIndex=3&amp;refID=7062382&amp;Result=3","7062382")</f>
        <v>0</v>
      </c>
      <c r="B5305" t="s">
        <v>1224</v>
      </c>
      <c r="C5305" t="s">
        <v>8590</v>
      </c>
      <c r="D5305" t="s">
        <v>18818</v>
      </c>
      <c r="E5305" t="s">
        <v>23119</v>
      </c>
      <c r="F5305" t="s">
        <v>32664</v>
      </c>
      <c r="G5305" t="s">
        <v>32674</v>
      </c>
      <c r="H5305" t="s">
        <v>12635</v>
      </c>
      <c r="I5305" t="s">
        <v>32694</v>
      </c>
      <c r="J5305" t="s">
        <v>35703</v>
      </c>
      <c r="K5305" t="s">
        <v>42295</v>
      </c>
      <c r="M5305" t="s">
        <v>43863</v>
      </c>
      <c r="N5305" t="s">
        <v>46569</v>
      </c>
      <c r="O5305" t="s">
        <v>46570</v>
      </c>
      <c r="P5305">
        <v>0</v>
      </c>
      <c r="Q5305">
        <v>0</v>
      </c>
      <c r="R5305" t="s">
        <v>46572</v>
      </c>
      <c r="S5305" t="s">
        <v>46689</v>
      </c>
      <c r="T5305" t="s">
        <v>48219</v>
      </c>
      <c r="U5305" t="s">
        <v>53178</v>
      </c>
      <c r="W5305" t="s">
        <v>43863</v>
      </c>
      <c r="X5305" t="s">
        <v>46573</v>
      </c>
    </row>
    <row r="5306" spans="1:24">
      <c r="A5306">
        <f>HYPERLINK("https://www.philgeps.gov.ph/GEPSNONPILOT/Tender/SplashBidNoticeAbstractUI.aspx?menuIndex=3&amp;refID=7059259&amp;Result=3","7059259")</f>
        <v>0</v>
      </c>
      <c r="B5306" t="s">
        <v>1790</v>
      </c>
      <c r="C5306" t="s">
        <v>8591</v>
      </c>
      <c r="D5306" t="s">
        <v>18787</v>
      </c>
      <c r="E5306" t="s">
        <v>23645</v>
      </c>
      <c r="F5306" t="s">
        <v>32664</v>
      </c>
      <c r="G5306" t="s">
        <v>32672</v>
      </c>
      <c r="H5306" t="s">
        <v>32683</v>
      </c>
      <c r="I5306" t="s">
        <v>32690</v>
      </c>
      <c r="J5306" t="s">
        <v>36189</v>
      </c>
      <c r="K5306" t="s">
        <v>42289</v>
      </c>
      <c r="M5306" t="s">
        <v>44492</v>
      </c>
      <c r="N5306" t="s">
        <v>46569</v>
      </c>
      <c r="O5306" t="s">
        <v>46570</v>
      </c>
      <c r="P5306">
        <v>0</v>
      </c>
      <c r="Q5306">
        <v>0</v>
      </c>
      <c r="R5306" t="s">
        <v>46573</v>
      </c>
      <c r="S5306" t="s">
        <v>46705</v>
      </c>
      <c r="T5306" t="s">
        <v>48283</v>
      </c>
      <c r="U5306" t="s">
        <v>53179</v>
      </c>
      <c r="W5306" t="s">
        <v>44492</v>
      </c>
      <c r="X5306" t="s">
        <v>46574</v>
      </c>
    </row>
    <row r="5307" spans="1:24">
      <c r="A5307">
        <f>HYPERLINK("https://www.philgeps.gov.ph/GEPSNONPILOT/Tender/SplashBidNoticeAbstractUI.aspx?menuIndex=3&amp;refID=7062379&amp;Result=3","7062379")</f>
        <v>0</v>
      </c>
      <c r="B5307" t="s">
        <v>438</v>
      </c>
      <c r="C5307" t="s">
        <v>8592</v>
      </c>
      <c r="D5307" t="s">
        <v>18855</v>
      </c>
      <c r="E5307" t="s">
        <v>23646</v>
      </c>
      <c r="F5307" t="s">
        <v>32664</v>
      </c>
      <c r="G5307" t="s">
        <v>32672</v>
      </c>
      <c r="H5307" t="s">
        <v>32683</v>
      </c>
      <c r="I5307" t="s">
        <v>10627</v>
      </c>
      <c r="J5307" t="s">
        <v>34930</v>
      </c>
      <c r="K5307" t="s">
        <v>42352</v>
      </c>
      <c r="M5307" t="s">
        <v>43010</v>
      </c>
      <c r="N5307" t="s">
        <v>46569</v>
      </c>
      <c r="O5307" t="s">
        <v>46570</v>
      </c>
      <c r="P5307">
        <v>0</v>
      </c>
      <c r="Q5307">
        <v>3</v>
      </c>
      <c r="R5307" t="s">
        <v>46572</v>
      </c>
      <c r="S5307" t="s">
        <v>46689</v>
      </c>
      <c r="T5307" t="s">
        <v>48308</v>
      </c>
      <c r="U5307" t="s">
        <v>53180</v>
      </c>
      <c r="W5307" t="s">
        <v>43010</v>
      </c>
      <c r="X5307" t="s">
        <v>46573</v>
      </c>
    </row>
    <row r="5308" spans="1:24">
      <c r="A5308">
        <f>HYPERLINK("https://www.philgeps.gov.ph/GEPSNONPILOT/Tender/SplashBidNoticeAbstractUI.aspx?menuIndex=3&amp;refID=7059251&amp;Result=3","7059251")</f>
        <v>0</v>
      </c>
      <c r="B5308" t="s">
        <v>1378</v>
      </c>
      <c r="C5308" t="s">
        <v>8593</v>
      </c>
      <c r="E5308" t="s">
        <v>23647</v>
      </c>
      <c r="F5308" t="s">
        <v>32664</v>
      </c>
      <c r="G5308" t="s">
        <v>32672</v>
      </c>
      <c r="H5308" t="s">
        <v>32683</v>
      </c>
      <c r="I5308" t="s">
        <v>10627</v>
      </c>
      <c r="J5308" t="s">
        <v>32943</v>
      </c>
      <c r="K5308" t="s">
        <v>42283</v>
      </c>
      <c r="M5308" t="s">
        <v>44033</v>
      </c>
      <c r="N5308" t="s">
        <v>46569</v>
      </c>
      <c r="O5308" t="s">
        <v>46570</v>
      </c>
      <c r="P5308">
        <v>0</v>
      </c>
      <c r="Q5308">
        <v>0</v>
      </c>
      <c r="R5308" t="s">
        <v>46573</v>
      </c>
      <c r="S5308" t="s">
        <v>46705</v>
      </c>
      <c r="T5308" t="s">
        <v>48280</v>
      </c>
      <c r="U5308" t="s">
        <v>53181</v>
      </c>
      <c r="W5308" t="s">
        <v>44033</v>
      </c>
      <c r="X5308" t="s">
        <v>46574</v>
      </c>
    </row>
    <row r="5309" spans="1:24">
      <c r="A5309">
        <f>HYPERLINK("https://www.philgeps.gov.ph/GEPSNONPILOT/Tender/SplashBidNoticeAbstractUI.aspx?menuIndex=3&amp;refID=7059248&amp;Result=3","7059248")</f>
        <v>0</v>
      </c>
      <c r="B5309" t="s">
        <v>559</v>
      </c>
      <c r="C5309" t="s">
        <v>8594</v>
      </c>
      <c r="E5309" t="s">
        <v>23648</v>
      </c>
      <c r="F5309" t="s">
        <v>32664</v>
      </c>
      <c r="G5309" t="s">
        <v>32671</v>
      </c>
      <c r="H5309" t="s">
        <v>12635</v>
      </c>
      <c r="I5309" t="s">
        <v>32762</v>
      </c>
      <c r="J5309" t="s">
        <v>33131</v>
      </c>
      <c r="K5309" t="s">
        <v>42283</v>
      </c>
      <c r="M5309" t="s">
        <v>43139</v>
      </c>
      <c r="N5309" t="s">
        <v>46569</v>
      </c>
      <c r="O5309" t="s">
        <v>46570</v>
      </c>
      <c r="P5309">
        <v>0</v>
      </c>
      <c r="Q5309">
        <v>2</v>
      </c>
      <c r="R5309" t="s">
        <v>46573</v>
      </c>
      <c r="S5309" t="s">
        <v>46705</v>
      </c>
      <c r="T5309" t="s">
        <v>48287</v>
      </c>
      <c r="U5309" t="s">
        <v>53182</v>
      </c>
      <c r="V5309" t="s">
        <v>61757</v>
      </c>
      <c r="W5309" t="s">
        <v>43139</v>
      </c>
      <c r="X5309" t="s">
        <v>46574</v>
      </c>
    </row>
    <row r="5310" spans="1:24">
      <c r="A5310">
        <f>HYPERLINK("https://www.philgeps.gov.ph/GEPSNONPILOT/Tender/SplashBidNoticeAbstractUI.aspx?menuIndex=3&amp;refID=7059256&amp;Result=3","7059256")</f>
        <v>0</v>
      </c>
      <c r="B5310" t="s">
        <v>1706</v>
      </c>
      <c r="C5310" t="s">
        <v>8595</v>
      </c>
      <c r="D5310" t="s">
        <v>18793</v>
      </c>
      <c r="E5310" t="s">
        <v>23649</v>
      </c>
      <c r="F5310" t="s">
        <v>32664</v>
      </c>
      <c r="G5310" t="s">
        <v>32672</v>
      </c>
      <c r="H5310" t="s">
        <v>12635</v>
      </c>
      <c r="I5310" t="s">
        <v>6118</v>
      </c>
      <c r="J5310" t="s">
        <v>36190</v>
      </c>
      <c r="K5310" t="s">
        <v>42298</v>
      </c>
      <c r="M5310" t="s">
        <v>44400</v>
      </c>
      <c r="N5310" t="s">
        <v>46569</v>
      </c>
      <c r="O5310" t="s">
        <v>46570</v>
      </c>
      <c r="P5310">
        <v>0</v>
      </c>
      <c r="Q5310">
        <v>0</v>
      </c>
      <c r="R5310" t="s">
        <v>46573</v>
      </c>
      <c r="S5310" t="s">
        <v>46705</v>
      </c>
      <c r="T5310" t="s">
        <v>48349</v>
      </c>
      <c r="U5310" t="s">
        <v>53183</v>
      </c>
      <c r="W5310" t="s">
        <v>44400</v>
      </c>
      <c r="X5310" t="s">
        <v>46574</v>
      </c>
    </row>
    <row r="5311" spans="1:24">
      <c r="A5311">
        <f>HYPERLINK("https://www.philgeps.gov.ph/GEPSNONPILOT/Tender/SplashBidNoticeAbstractUI.aspx?menuIndex=3&amp;refID=7059260&amp;Result=3","7059260")</f>
        <v>0</v>
      </c>
      <c r="B5311" t="s">
        <v>592</v>
      </c>
      <c r="C5311" t="s">
        <v>8596</v>
      </c>
      <c r="D5311" t="s">
        <v>18854</v>
      </c>
      <c r="E5311" t="s">
        <v>23650</v>
      </c>
      <c r="F5311" t="s">
        <v>32664</v>
      </c>
      <c r="G5311" t="s">
        <v>32671</v>
      </c>
      <c r="H5311" t="s">
        <v>12635</v>
      </c>
      <c r="I5311" t="s">
        <v>32701</v>
      </c>
      <c r="J5311" t="s">
        <v>34391</v>
      </c>
      <c r="K5311" t="s">
        <v>42283</v>
      </c>
      <c r="M5311" t="s">
        <v>43766</v>
      </c>
      <c r="N5311" t="s">
        <v>46569</v>
      </c>
      <c r="O5311" t="s">
        <v>46570</v>
      </c>
      <c r="P5311">
        <v>0</v>
      </c>
      <c r="Q5311">
        <v>1</v>
      </c>
      <c r="R5311" t="s">
        <v>46573</v>
      </c>
      <c r="S5311" t="s">
        <v>46705</v>
      </c>
      <c r="T5311" t="s">
        <v>48282</v>
      </c>
      <c r="U5311" t="s">
        <v>49886</v>
      </c>
      <c r="V5311" t="s">
        <v>62175</v>
      </c>
      <c r="W5311" t="s">
        <v>43766</v>
      </c>
      <c r="X5311" t="s">
        <v>46574</v>
      </c>
    </row>
    <row r="5312" spans="1:24">
      <c r="A5312">
        <f>HYPERLINK("https://www.philgeps.gov.ph/GEPSNONPILOT/Tender/SplashBidNoticeAbstractUI.aspx?menuIndex=3&amp;refID=7059254&amp;Result=3","7059254")</f>
        <v>0</v>
      </c>
      <c r="B5312" t="s">
        <v>556</v>
      </c>
      <c r="C5312" t="s">
        <v>8597</v>
      </c>
      <c r="D5312" t="s">
        <v>18843</v>
      </c>
      <c r="E5312" t="s">
        <v>23651</v>
      </c>
      <c r="F5312" t="s">
        <v>32664</v>
      </c>
      <c r="G5312" t="s">
        <v>32672</v>
      </c>
      <c r="H5312" t="s">
        <v>12635</v>
      </c>
      <c r="I5312" t="s">
        <v>8797</v>
      </c>
      <c r="J5312" t="s">
        <v>36191</v>
      </c>
      <c r="K5312" t="s">
        <v>42284</v>
      </c>
      <c r="M5312" t="s">
        <v>43136</v>
      </c>
      <c r="N5312" t="s">
        <v>46569</v>
      </c>
      <c r="O5312" t="s">
        <v>46570</v>
      </c>
      <c r="P5312">
        <v>0</v>
      </c>
      <c r="Q5312">
        <v>4</v>
      </c>
      <c r="R5312" t="s">
        <v>46573</v>
      </c>
      <c r="S5312" t="s">
        <v>46705</v>
      </c>
      <c r="T5312" t="s">
        <v>48236</v>
      </c>
      <c r="U5312" t="s">
        <v>53184</v>
      </c>
      <c r="V5312" t="s">
        <v>62176</v>
      </c>
      <c r="W5312" t="s">
        <v>43136</v>
      </c>
      <c r="X5312" t="s">
        <v>46574</v>
      </c>
    </row>
    <row r="5313" spans="1:24">
      <c r="A5313">
        <f>HYPERLINK("https://www.philgeps.gov.ph/GEPSNONPILOT/Tender/SplashBidNoticeAbstractUI.aspx?menuIndex=3&amp;refID=7059253&amp;Result=3","7059253")</f>
        <v>0</v>
      </c>
      <c r="B5313" t="s">
        <v>1810</v>
      </c>
      <c r="C5313" t="s">
        <v>8598</v>
      </c>
      <c r="D5313" t="s">
        <v>18794</v>
      </c>
      <c r="E5313" t="s">
        <v>23652</v>
      </c>
      <c r="F5313" t="s">
        <v>32664</v>
      </c>
      <c r="G5313" t="s">
        <v>32672</v>
      </c>
      <c r="H5313" t="s">
        <v>32683</v>
      </c>
      <c r="I5313" t="s">
        <v>10627</v>
      </c>
      <c r="J5313" t="s">
        <v>32865</v>
      </c>
      <c r="K5313" t="s">
        <v>42281</v>
      </c>
      <c r="M5313" t="s">
        <v>44515</v>
      </c>
      <c r="N5313" t="s">
        <v>46569</v>
      </c>
      <c r="O5313" t="s">
        <v>46570</v>
      </c>
      <c r="P5313">
        <v>0</v>
      </c>
      <c r="Q5313">
        <v>0</v>
      </c>
      <c r="R5313" t="s">
        <v>46573</v>
      </c>
      <c r="S5313" t="s">
        <v>46705</v>
      </c>
      <c r="T5313" t="s">
        <v>48349</v>
      </c>
      <c r="U5313" t="s">
        <v>53185</v>
      </c>
      <c r="W5313" t="s">
        <v>44515</v>
      </c>
      <c r="X5313" t="s">
        <v>46574</v>
      </c>
    </row>
    <row r="5314" spans="1:24">
      <c r="A5314">
        <f>HYPERLINK("https://www.philgeps.gov.ph/GEPSNONPILOT/Tender/SplashBidNoticeAbstractUI.aspx?menuIndex=3&amp;refID=7059288&amp;Result=3","7059288")</f>
        <v>0</v>
      </c>
      <c r="B5314" t="s">
        <v>1485</v>
      </c>
      <c r="C5314" t="s">
        <v>8599</v>
      </c>
      <c r="D5314" t="s">
        <v>18784</v>
      </c>
      <c r="E5314" t="s">
        <v>23653</v>
      </c>
      <c r="F5314" t="s">
        <v>32664</v>
      </c>
      <c r="G5314" t="s">
        <v>32671</v>
      </c>
      <c r="H5314" t="s">
        <v>12635</v>
      </c>
      <c r="I5314" t="s">
        <v>6223</v>
      </c>
      <c r="J5314" t="s">
        <v>33126</v>
      </c>
      <c r="K5314" t="s">
        <v>42283</v>
      </c>
      <c r="M5314" t="s">
        <v>44516</v>
      </c>
      <c r="N5314" t="s">
        <v>46569</v>
      </c>
      <c r="O5314" t="s">
        <v>46570</v>
      </c>
      <c r="P5314">
        <v>0</v>
      </c>
      <c r="Q5314">
        <v>2</v>
      </c>
      <c r="R5314" t="s">
        <v>46573</v>
      </c>
      <c r="S5314" t="s">
        <v>46705</v>
      </c>
      <c r="T5314" t="s">
        <v>48316</v>
      </c>
      <c r="U5314" t="s">
        <v>53186</v>
      </c>
      <c r="W5314" t="s">
        <v>44516</v>
      </c>
      <c r="X5314" t="s">
        <v>46574</v>
      </c>
    </row>
    <row r="5315" spans="1:24">
      <c r="A5315">
        <f>HYPERLINK("https://www.philgeps.gov.ph/GEPSNONPILOT/Tender/SplashBidNoticeAbstractUI.aspx?menuIndex=3&amp;refID=7059252&amp;Result=3","7059252")</f>
        <v>0</v>
      </c>
      <c r="B5315" t="s">
        <v>1811</v>
      </c>
      <c r="C5315" t="s">
        <v>8600</v>
      </c>
      <c r="D5315" t="s">
        <v>18805</v>
      </c>
      <c r="E5315" t="s">
        <v>23654</v>
      </c>
      <c r="F5315" t="s">
        <v>32664</v>
      </c>
      <c r="G5315" t="s">
        <v>32672</v>
      </c>
      <c r="H5315" t="s">
        <v>12635</v>
      </c>
      <c r="I5315" t="s">
        <v>5589</v>
      </c>
      <c r="J5315" t="s">
        <v>33380</v>
      </c>
      <c r="K5315" t="s">
        <v>42283</v>
      </c>
      <c r="M5315" t="s">
        <v>44517</v>
      </c>
      <c r="N5315" t="s">
        <v>46569</v>
      </c>
      <c r="O5315" t="s">
        <v>46570</v>
      </c>
      <c r="P5315">
        <v>0</v>
      </c>
      <c r="Q5315">
        <v>0</v>
      </c>
      <c r="R5315" t="s">
        <v>46573</v>
      </c>
      <c r="S5315" t="s">
        <v>46705</v>
      </c>
      <c r="T5315" t="s">
        <v>48411</v>
      </c>
      <c r="U5315" t="s">
        <v>53187</v>
      </c>
      <c r="V5315" t="s">
        <v>62177</v>
      </c>
      <c r="W5315" t="s">
        <v>44517</v>
      </c>
      <c r="X5315" t="s">
        <v>46574</v>
      </c>
    </row>
    <row r="5316" spans="1:24">
      <c r="A5316">
        <f>HYPERLINK("https://www.philgeps.gov.ph/GEPSNONPILOT/Tender/SplashBidNoticeAbstractUI.aspx?menuIndex=3&amp;refID=7059287&amp;Result=3","7059287")</f>
        <v>0</v>
      </c>
      <c r="B5316" t="s">
        <v>1811</v>
      </c>
      <c r="C5316" t="s">
        <v>8601</v>
      </c>
      <c r="D5316" t="s">
        <v>18805</v>
      </c>
      <c r="E5316" t="s">
        <v>23655</v>
      </c>
      <c r="F5316" t="s">
        <v>32664</v>
      </c>
      <c r="G5316" t="s">
        <v>32672</v>
      </c>
      <c r="H5316" t="s">
        <v>12635</v>
      </c>
      <c r="I5316" t="s">
        <v>11464</v>
      </c>
      <c r="J5316" t="s">
        <v>33021</v>
      </c>
      <c r="K5316" t="s">
        <v>42283</v>
      </c>
      <c r="M5316" t="s">
        <v>44517</v>
      </c>
      <c r="N5316" t="s">
        <v>46569</v>
      </c>
      <c r="O5316" t="s">
        <v>46570</v>
      </c>
      <c r="P5316">
        <v>0</v>
      </c>
      <c r="Q5316">
        <v>1</v>
      </c>
      <c r="R5316" t="s">
        <v>46573</v>
      </c>
      <c r="S5316" t="s">
        <v>46705</v>
      </c>
      <c r="T5316" t="s">
        <v>48411</v>
      </c>
      <c r="U5316" t="s">
        <v>53188</v>
      </c>
      <c r="V5316" t="s">
        <v>62177</v>
      </c>
      <c r="W5316" t="s">
        <v>44517</v>
      </c>
      <c r="X5316" t="s">
        <v>46574</v>
      </c>
    </row>
    <row r="5317" spans="1:24">
      <c r="A5317">
        <f>HYPERLINK("https://www.philgeps.gov.ph/GEPSNONPILOT/Tender/SplashBidNoticeAbstractUI.aspx?menuIndex=3&amp;refID=7059286&amp;Result=3","7059286")</f>
        <v>0</v>
      </c>
      <c r="B5317" t="s">
        <v>1426</v>
      </c>
      <c r="C5317" t="s">
        <v>8602</v>
      </c>
      <c r="D5317" t="s">
        <v>18821</v>
      </c>
      <c r="E5317" t="s">
        <v>23656</v>
      </c>
      <c r="F5317" t="s">
        <v>32664</v>
      </c>
      <c r="G5317" t="s">
        <v>32671</v>
      </c>
      <c r="H5317" t="s">
        <v>12635</v>
      </c>
      <c r="I5317" t="s">
        <v>6168</v>
      </c>
      <c r="J5317" t="s">
        <v>36192</v>
      </c>
      <c r="K5317" t="s">
        <v>42311</v>
      </c>
      <c r="M5317" t="s">
        <v>44086</v>
      </c>
      <c r="N5317" t="s">
        <v>46569</v>
      </c>
      <c r="O5317" t="s">
        <v>46570</v>
      </c>
      <c r="P5317">
        <v>0</v>
      </c>
      <c r="Q5317">
        <v>0</v>
      </c>
      <c r="R5317" t="s">
        <v>46573</v>
      </c>
      <c r="S5317" t="s">
        <v>46705</v>
      </c>
      <c r="T5317" t="s">
        <v>48221</v>
      </c>
      <c r="U5317" t="s">
        <v>53189</v>
      </c>
      <c r="W5317" t="s">
        <v>44086</v>
      </c>
      <c r="X5317" t="s">
        <v>46574</v>
      </c>
    </row>
    <row r="5318" spans="1:24">
      <c r="A5318">
        <f>HYPERLINK("https://www.philgeps.gov.ph/GEPSNONPILOT/Tender/SplashBidNoticeAbstractUI.aspx?menuIndex=3&amp;refID=7059249&amp;Result=3","7059249")</f>
        <v>0</v>
      </c>
      <c r="B5318" t="s">
        <v>1812</v>
      </c>
      <c r="C5318" t="s">
        <v>8603</v>
      </c>
      <c r="D5318" t="s">
        <v>18844</v>
      </c>
      <c r="E5318" t="s">
        <v>23657</v>
      </c>
      <c r="F5318" t="s">
        <v>32664</v>
      </c>
      <c r="G5318" t="s">
        <v>32675</v>
      </c>
      <c r="H5318" t="s">
        <v>12635</v>
      </c>
      <c r="I5318" t="s">
        <v>6168</v>
      </c>
      <c r="J5318" t="s">
        <v>35953</v>
      </c>
      <c r="K5318" t="s">
        <v>42297</v>
      </c>
      <c r="M5318" t="s">
        <v>44518</v>
      </c>
      <c r="N5318" t="s">
        <v>46569</v>
      </c>
      <c r="O5318" t="s">
        <v>46570</v>
      </c>
      <c r="P5318">
        <v>0</v>
      </c>
      <c r="Q5318">
        <v>4</v>
      </c>
      <c r="R5318" t="s">
        <v>46573</v>
      </c>
      <c r="S5318" t="s">
        <v>46705</v>
      </c>
      <c r="T5318" t="s">
        <v>48313</v>
      </c>
      <c r="U5318" t="s">
        <v>53190</v>
      </c>
      <c r="W5318" t="s">
        <v>44518</v>
      </c>
      <c r="X5318" t="s">
        <v>46574</v>
      </c>
    </row>
    <row r="5319" spans="1:24">
      <c r="A5319">
        <f>HYPERLINK("https://www.philgeps.gov.ph/GEPSNONPILOT/Tender/SplashBidNoticeAbstractUI.aspx?menuIndex=3&amp;refID=7059284&amp;Result=3","7059284")</f>
        <v>0</v>
      </c>
      <c r="B5319" t="s">
        <v>611</v>
      </c>
      <c r="C5319" t="s">
        <v>8604</v>
      </c>
      <c r="D5319" t="s">
        <v>18784</v>
      </c>
      <c r="E5319" t="s">
        <v>23658</v>
      </c>
      <c r="F5319" t="s">
        <v>32664</v>
      </c>
      <c r="G5319" t="s">
        <v>32671</v>
      </c>
      <c r="H5319" t="s">
        <v>32683</v>
      </c>
      <c r="I5319" t="s">
        <v>10627</v>
      </c>
      <c r="J5319" t="s">
        <v>35206</v>
      </c>
      <c r="K5319" t="s">
        <v>42281</v>
      </c>
      <c r="M5319" t="s">
        <v>43191</v>
      </c>
      <c r="N5319" t="s">
        <v>46569</v>
      </c>
      <c r="O5319" t="s">
        <v>46570</v>
      </c>
      <c r="P5319">
        <v>0</v>
      </c>
      <c r="Q5319">
        <v>1</v>
      </c>
      <c r="R5319" t="s">
        <v>46573</v>
      </c>
      <c r="S5319" t="s">
        <v>46705</v>
      </c>
      <c r="T5319" t="s">
        <v>48217</v>
      </c>
      <c r="U5319" t="s">
        <v>53191</v>
      </c>
      <c r="W5319" t="s">
        <v>43191</v>
      </c>
      <c r="X5319" t="s">
        <v>46574</v>
      </c>
    </row>
    <row r="5320" spans="1:24">
      <c r="A5320">
        <f>HYPERLINK("https://www.philgeps.gov.ph/GEPSNONPILOT/Tender/SplashBidNoticeAbstractUI.aspx?menuIndex=3&amp;refID=7059282&amp;Result=3","7059282")</f>
        <v>0</v>
      </c>
      <c r="B5320" t="s">
        <v>652</v>
      </c>
      <c r="C5320" t="s">
        <v>8605</v>
      </c>
      <c r="D5320" t="s">
        <v>18786</v>
      </c>
      <c r="E5320" t="s">
        <v>23659</v>
      </c>
      <c r="F5320" t="s">
        <v>32664</v>
      </c>
      <c r="G5320" t="s">
        <v>32671</v>
      </c>
      <c r="H5320" t="s">
        <v>12635</v>
      </c>
      <c r="I5320" t="s">
        <v>32699</v>
      </c>
      <c r="J5320" t="s">
        <v>36193</v>
      </c>
      <c r="K5320" t="s">
        <v>42442</v>
      </c>
      <c r="M5320" t="s">
        <v>43238</v>
      </c>
      <c r="N5320" t="s">
        <v>46569</v>
      </c>
      <c r="O5320" t="s">
        <v>46570</v>
      </c>
      <c r="P5320">
        <v>0</v>
      </c>
      <c r="Q5320">
        <v>2</v>
      </c>
      <c r="R5320" t="s">
        <v>46573</v>
      </c>
      <c r="S5320" t="s">
        <v>46705</v>
      </c>
      <c r="T5320" t="s">
        <v>48244</v>
      </c>
      <c r="U5320" t="s">
        <v>50011</v>
      </c>
      <c r="W5320" t="s">
        <v>43238</v>
      </c>
      <c r="X5320" t="s">
        <v>46574</v>
      </c>
    </row>
    <row r="5321" spans="1:24">
      <c r="A5321">
        <f>HYPERLINK("https://www.philgeps.gov.ph/GEPSNONPILOT/Tender/SplashBidNoticeAbstractUI.aspx?menuIndex=3&amp;refID=7059247&amp;Result=3","7059247")</f>
        <v>0</v>
      </c>
      <c r="B5321" t="s">
        <v>1734</v>
      </c>
      <c r="C5321" t="s">
        <v>8606</v>
      </c>
      <c r="D5321" t="s">
        <v>18789</v>
      </c>
      <c r="E5321" t="s">
        <v>23660</v>
      </c>
      <c r="F5321" t="s">
        <v>32664</v>
      </c>
      <c r="G5321" t="s">
        <v>32671</v>
      </c>
      <c r="H5321" t="s">
        <v>12635</v>
      </c>
      <c r="I5321" t="s">
        <v>4439</v>
      </c>
      <c r="J5321" t="s">
        <v>34193</v>
      </c>
      <c r="K5321" t="s">
        <v>42289</v>
      </c>
      <c r="M5321" t="s">
        <v>44433</v>
      </c>
      <c r="N5321" t="s">
        <v>46569</v>
      </c>
      <c r="O5321" t="s">
        <v>46570</v>
      </c>
      <c r="P5321">
        <v>0</v>
      </c>
      <c r="Q5321">
        <v>0</v>
      </c>
      <c r="R5321" t="s">
        <v>46573</v>
      </c>
      <c r="S5321" t="s">
        <v>46705</v>
      </c>
      <c r="T5321" t="s">
        <v>48280</v>
      </c>
      <c r="U5321" t="s">
        <v>53192</v>
      </c>
      <c r="W5321" t="s">
        <v>44433</v>
      </c>
      <c r="X5321" t="s">
        <v>46574</v>
      </c>
    </row>
    <row r="5322" spans="1:24">
      <c r="A5322">
        <f>HYPERLINK("https://www.philgeps.gov.ph/GEPSNONPILOT/Tender/SplashBidNoticeAbstractUI.aspx?menuIndex=3&amp;refID=7059276&amp;Result=3","7059276")</f>
        <v>0</v>
      </c>
      <c r="B5322" t="s">
        <v>1799</v>
      </c>
      <c r="C5322" t="s">
        <v>8607</v>
      </c>
      <c r="D5322" t="s">
        <v>18784</v>
      </c>
      <c r="E5322" t="s">
        <v>23661</v>
      </c>
      <c r="F5322" t="s">
        <v>32664</v>
      </c>
      <c r="G5322" t="s">
        <v>32672</v>
      </c>
      <c r="H5322" t="s">
        <v>32683</v>
      </c>
      <c r="I5322" t="s">
        <v>10627</v>
      </c>
      <c r="J5322" t="s">
        <v>36194</v>
      </c>
      <c r="K5322" t="s">
        <v>42281</v>
      </c>
      <c r="M5322" t="s">
        <v>44502</v>
      </c>
      <c r="N5322" t="s">
        <v>46569</v>
      </c>
      <c r="O5322" t="s">
        <v>46570</v>
      </c>
      <c r="P5322">
        <v>0</v>
      </c>
      <c r="Q5322">
        <v>5</v>
      </c>
      <c r="R5322" t="s">
        <v>46573</v>
      </c>
      <c r="S5322" t="s">
        <v>46705</v>
      </c>
      <c r="T5322" t="s">
        <v>48213</v>
      </c>
      <c r="U5322" t="s">
        <v>53193</v>
      </c>
      <c r="W5322" t="s">
        <v>63534</v>
      </c>
      <c r="X5322" t="s">
        <v>46574</v>
      </c>
    </row>
    <row r="5323" spans="1:24">
      <c r="A5323">
        <f>HYPERLINK("https://www.philgeps.gov.ph/GEPSNONPILOT/Tender/SplashBidNoticeAbstractUI.aspx?menuIndex=3&amp;refID=7059245&amp;Result=3","7059245")</f>
        <v>0</v>
      </c>
      <c r="B5323" t="s">
        <v>1813</v>
      </c>
      <c r="C5323" t="s">
        <v>8608</v>
      </c>
      <c r="D5323" t="s">
        <v>18797</v>
      </c>
      <c r="E5323" t="s">
        <v>19409</v>
      </c>
      <c r="F5323" t="s">
        <v>32666</v>
      </c>
      <c r="G5323" t="s">
        <v>32672</v>
      </c>
      <c r="H5323" t="s">
        <v>12635</v>
      </c>
      <c r="I5323" t="s">
        <v>4439</v>
      </c>
      <c r="J5323" t="s">
        <v>36195</v>
      </c>
      <c r="K5323" t="s">
        <v>42289</v>
      </c>
      <c r="M5323" t="s">
        <v>44519</v>
      </c>
      <c r="N5323" t="s">
        <v>46569</v>
      </c>
      <c r="O5323" t="s">
        <v>46570</v>
      </c>
      <c r="P5323">
        <v>0</v>
      </c>
      <c r="Q5323">
        <v>0</v>
      </c>
      <c r="R5323" t="s">
        <v>46573</v>
      </c>
      <c r="S5323" t="s">
        <v>46705</v>
      </c>
      <c r="T5323" t="s">
        <v>48384</v>
      </c>
      <c r="U5323" t="s">
        <v>53194</v>
      </c>
      <c r="V5323" t="s">
        <v>62178</v>
      </c>
      <c r="W5323" t="s">
        <v>44519</v>
      </c>
      <c r="X5323" t="s">
        <v>46574</v>
      </c>
    </row>
    <row r="5324" spans="1:24">
      <c r="A5324">
        <f>HYPERLINK("https://www.philgeps.gov.ph/GEPSNONPILOT/Tender/SplashBidNoticeAbstractUI.aspx?menuIndex=3&amp;refID=7059274&amp;Result=3","7059274")</f>
        <v>0</v>
      </c>
      <c r="B5324" t="s">
        <v>440</v>
      </c>
      <c r="C5324" t="s">
        <v>8609</v>
      </c>
      <c r="D5324" t="s">
        <v>18798</v>
      </c>
      <c r="E5324" t="s">
        <v>19928</v>
      </c>
      <c r="F5324" t="s">
        <v>32664</v>
      </c>
      <c r="G5324" t="s">
        <v>32671</v>
      </c>
      <c r="H5324" t="s">
        <v>12635</v>
      </c>
      <c r="I5324" t="s">
        <v>10590</v>
      </c>
      <c r="J5324" t="s">
        <v>36196</v>
      </c>
      <c r="K5324" t="s">
        <v>42295</v>
      </c>
      <c r="M5324" t="s">
        <v>43012</v>
      </c>
      <c r="N5324" t="s">
        <v>46569</v>
      </c>
      <c r="O5324" t="s">
        <v>46570</v>
      </c>
      <c r="P5324">
        <v>0</v>
      </c>
      <c r="Q5324">
        <v>0</v>
      </c>
      <c r="R5324" t="s">
        <v>46573</v>
      </c>
      <c r="S5324" t="s">
        <v>46705</v>
      </c>
      <c r="T5324" t="s">
        <v>48427</v>
      </c>
      <c r="U5324" t="s">
        <v>53195</v>
      </c>
      <c r="W5324" t="s">
        <v>43012</v>
      </c>
      <c r="X5324" t="s">
        <v>46574</v>
      </c>
    </row>
    <row r="5325" spans="1:24">
      <c r="A5325">
        <f>HYPERLINK("https://www.philgeps.gov.ph/GEPSNONPILOT/Tender/SplashBidNoticeAbstractUI.aspx?menuIndex=3&amp;refID=7059285&amp;Result=3","7059285")</f>
        <v>0</v>
      </c>
      <c r="B5325" t="s">
        <v>926</v>
      </c>
      <c r="C5325" t="s">
        <v>8610</v>
      </c>
      <c r="D5325" t="s">
        <v>18847</v>
      </c>
      <c r="E5325" t="s">
        <v>23662</v>
      </c>
      <c r="F5325" t="s">
        <v>32664</v>
      </c>
      <c r="G5325" t="s">
        <v>32672</v>
      </c>
      <c r="H5325" t="s">
        <v>12635</v>
      </c>
      <c r="I5325" t="s">
        <v>11464</v>
      </c>
      <c r="J5325" t="s">
        <v>33015</v>
      </c>
      <c r="K5325" t="s">
        <v>42297</v>
      </c>
      <c r="M5325" t="s">
        <v>43532</v>
      </c>
      <c r="N5325" t="s">
        <v>46569</v>
      </c>
      <c r="O5325" t="s">
        <v>46570</v>
      </c>
      <c r="P5325">
        <v>0</v>
      </c>
      <c r="Q5325">
        <v>0</v>
      </c>
      <c r="R5325" t="s">
        <v>46573</v>
      </c>
      <c r="S5325" t="s">
        <v>46705</v>
      </c>
      <c r="T5325" t="s">
        <v>48282</v>
      </c>
      <c r="U5325" t="s">
        <v>53196</v>
      </c>
      <c r="W5325" t="s">
        <v>43532</v>
      </c>
      <c r="X5325" t="s">
        <v>46574</v>
      </c>
    </row>
    <row r="5326" spans="1:24">
      <c r="A5326">
        <f>HYPERLINK("https://www.philgeps.gov.ph/GEPSNONPILOT/Tender/SplashBidNoticeAbstractUI.aspx?menuIndex=3&amp;refID=7059272&amp;Result=3","7059272")</f>
        <v>0</v>
      </c>
      <c r="B5326" t="s">
        <v>70</v>
      </c>
      <c r="C5326" t="s">
        <v>8611</v>
      </c>
      <c r="D5326" t="s">
        <v>18782</v>
      </c>
      <c r="E5326" t="s">
        <v>23663</v>
      </c>
      <c r="F5326" t="s">
        <v>32664</v>
      </c>
      <c r="G5326" t="s">
        <v>32672</v>
      </c>
      <c r="H5326" t="s">
        <v>12635</v>
      </c>
      <c r="I5326" t="s">
        <v>32706</v>
      </c>
      <c r="J5326" t="s">
        <v>36197</v>
      </c>
      <c r="K5326" t="s">
        <v>42281</v>
      </c>
      <c r="M5326" t="s">
        <v>42633</v>
      </c>
      <c r="N5326" t="s">
        <v>46569</v>
      </c>
      <c r="O5326" t="s">
        <v>46570</v>
      </c>
      <c r="P5326">
        <v>0</v>
      </c>
      <c r="Q5326">
        <v>0</v>
      </c>
      <c r="R5326" t="s">
        <v>46573</v>
      </c>
      <c r="S5326" t="s">
        <v>46705</v>
      </c>
      <c r="T5326" t="s">
        <v>48305</v>
      </c>
      <c r="U5326" t="s">
        <v>53197</v>
      </c>
      <c r="W5326" t="s">
        <v>42633</v>
      </c>
      <c r="X5326" t="s">
        <v>46574</v>
      </c>
    </row>
    <row r="5327" spans="1:24">
      <c r="A5327">
        <f>HYPERLINK("https://www.philgeps.gov.ph/GEPSNONPILOT/Tender/SplashBidNoticeAbstractUI.aspx?menuIndex=3&amp;refID=7059271&amp;Result=3","7059271")</f>
        <v>0</v>
      </c>
      <c r="B5327" t="s">
        <v>592</v>
      </c>
      <c r="C5327" t="s">
        <v>8612</v>
      </c>
      <c r="D5327" t="s">
        <v>18784</v>
      </c>
      <c r="E5327" t="s">
        <v>23664</v>
      </c>
      <c r="F5327" t="s">
        <v>32664</v>
      </c>
      <c r="G5327" t="s">
        <v>32671</v>
      </c>
      <c r="H5327" t="s">
        <v>12635</v>
      </c>
      <c r="I5327" t="s">
        <v>32701</v>
      </c>
      <c r="J5327" t="s">
        <v>33299</v>
      </c>
      <c r="K5327" t="s">
        <v>42281</v>
      </c>
      <c r="M5327" t="s">
        <v>43766</v>
      </c>
      <c r="N5327" t="s">
        <v>46569</v>
      </c>
      <c r="O5327" t="s">
        <v>46570</v>
      </c>
      <c r="P5327">
        <v>0</v>
      </c>
      <c r="Q5327">
        <v>0</v>
      </c>
      <c r="R5327" t="s">
        <v>46573</v>
      </c>
      <c r="S5327" t="s">
        <v>46705</v>
      </c>
      <c r="T5327" t="s">
        <v>48282</v>
      </c>
      <c r="U5327" t="s">
        <v>49886</v>
      </c>
      <c r="V5327" t="s">
        <v>62179</v>
      </c>
      <c r="W5327" t="s">
        <v>43766</v>
      </c>
      <c r="X5327" t="s">
        <v>46574</v>
      </c>
    </row>
    <row r="5328" spans="1:24">
      <c r="A5328">
        <f>HYPERLINK("https://www.philgeps.gov.ph/GEPSNONPILOT/Tender/SplashBidNoticeAbstractUI.aspx?menuIndex=3&amp;refID=7059279&amp;Result=3","7059279")</f>
        <v>0</v>
      </c>
      <c r="B5328" t="s">
        <v>556</v>
      </c>
      <c r="C5328" t="s">
        <v>8613</v>
      </c>
      <c r="D5328" t="s">
        <v>18843</v>
      </c>
      <c r="E5328" t="s">
        <v>23665</v>
      </c>
      <c r="F5328" t="s">
        <v>32664</v>
      </c>
      <c r="G5328" t="s">
        <v>32672</v>
      </c>
      <c r="H5328" t="s">
        <v>12635</v>
      </c>
      <c r="I5328" t="s">
        <v>6628</v>
      </c>
      <c r="J5328" t="s">
        <v>34618</v>
      </c>
      <c r="K5328" t="s">
        <v>42284</v>
      </c>
      <c r="M5328" t="s">
        <v>43136</v>
      </c>
      <c r="N5328" t="s">
        <v>46569</v>
      </c>
      <c r="O5328" t="s">
        <v>46570</v>
      </c>
      <c r="P5328">
        <v>0</v>
      </c>
      <c r="Q5328">
        <v>1</v>
      </c>
      <c r="R5328" t="s">
        <v>46573</v>
      </c>
      <c r="S5328" t="s">
        <v>46705</v>
      </c>
      <c r="T5328" t="s">
        <v>48236</v>
      </c>
      <c r="U5328" t="s">
        <v>53198</v>
      </c>
      <c r="V5328" t="s">
        <v>62180</v>
      </c>
      <c r="W5328" t="s">
        <v>43136</v>
      </c>
      <c r="X5328" t="s">
        <v>46574</v>
      </c>
    </row>
    <row r="5329" spans="1:24">
      <c r="A5329">
        <f>HYPERLINK("https://www.philgeps.gov.ph/GEPSNONPILOT/Tender/SplashBidNoticeAbstractUI.aspx?menuIndex=3&amp;refID=7059268&amp;Result=3","7059268")</f>
        <v>0</v>
      </c>
      <c r="B5329" t="s">
        <v>1347</v>
      </c>
      <c r="C5329" t="s">
        <v>8614</v>
      </c>
      <c r="D5329" t="s">
        <v>18827</v>
      </c>
      <c r="E5329" t="s">
        <v>23666</v>
      </c>
      <c r="F5329" t="s">
        <v>32664</v>
      </c>
      <c r="G5329" t="s">
        <v>32674</v>
      </c>
      <c r="H5329" t="s">
        <v>12635</v>
      </c>
      <c r="I5329" t="s">
        <v>32706</v>
      </c>
      <c r="J5329" t="s">
        <v>36198</v>
      </c>
      <c r="K5329" t="s">
        <v>42283</v>
      </c>
      <c r="M5329" t="s">
        <v>43999</v>
      </c>
      <c r="N5329" t="s">
        <v>46569</v>
      </c>
      <c r="O5329" t="s">
        <v>46570</v>
      </c>
      <c r="P5329">
        <v>0</v>
      </c>
      <c r="Q5329">
        <v>0</v>
      </c>
      <c r="R5329" t="s">
        <v>46573</v>
      </c>
      <c r="S5329" t="s">
        <v>46705</v>
      </c>
      <c r="T5329" t="s">
        <v>48448</v>
      </c>
      <c r="U5329" t="s">
        <v>53199</v>
      </c>
      <c r="W5329" t="s">
        <v>43999</v>
      </c>
      <c r="X5329" t="s">
        <v>46574</v>
      </c>
    </row>
    <row r="5330" spans="1:24">
      <c r="A5330">
        <f>HYPERLINK("https://www.philgeps.gov.ph/GEPSNONPILOT/Tender/SplashBidNoticeAbstractUI.aspx?menuIndex=3&amp;refID=7059266&amp;Result=3","7059266")</f>
        <v>0</v>
      </c>
      <c r="B5330" t="s">
        <v>1814</v>
      </c>
      <c r="C5330" t="s">
        <v>8615</v>
      </c>
      <c r="D5330" t="s">
        <v>18837</v>
      </c>
      <c r="E5330" t="s">
        <v>23667</v>
      </c>
      <c r="F5330" t="s">
        <v>32664</v>
      </c>
      <c r="G5330" t="s">
        <v>32672</v>
      </c>
      <c r="H5330" t="s">
        <v>32683</v>
      </c>
      <c r="I5330" t="s">
        <v>10627</v>
      </c>
      <c r="J5330" t="s">
        <v>36199</v>
      </c>
      <c r="K5330" t="s">
        <v>42325</v>
      </c>
      <c r="M5330" t="s">
        <v>44520</v>
      </c>
      <c r="N5330" t="s">
        <v>46569</v>
      </c>
      <c r="O5330" t="s">
        <v>46570</v>
      </c>
      <c r="P5330">
        <v>0</v>
      </c>
      <c r="Q5330">
        <v>0</v>
      </c>
      <c r="R5330" t="s">
        <v>46573</v>
      </c>
      <c r="S5330" t="s">
        <v>46705</v>
      </c>
      <c r="T5330" t="s">
        <v>48283</v>
      </c>
      <c r="U5330" t="s">
        <v>53200</v>
      </c>
      <c r="W5330" t="s">
        <v>44520</v>
      </c>
      <c r="X5330" t="s">
        <v>46574</v>
      </c>
    </row>
    <row r="5331" spans="1:24">
      <c r="A5331">
        <f>HYPERLINK("https://www.philgeps.gov.ph/GEPSNONPILOT/Tender/SplashBidNoticeAbstractUI.aspx?menuIndex=3&amp;refID=7059263&amp;Result=3","7059263")</f>
        <v>0</v>
      </c>
      <c r="B5331" t="s">
        <v>1765</v>
      </c>
      <c r="C5331" t="s">
        <v>8616</v>
      </c>
      <c r="D5331" t="s">
        <v>18783</v>
      </c>
      <c r="E5331" t="s">
        <v>23668</v>
      </c>
      <c r="F5331" t="s">
        <v>32664</v>
      </c>
      <c r="G5331" t="s">
        <v>32671</v>
      </c>
      <c r="H5331" t="s">
        <v>12635</v>
      </c>
      <c r="I5331" t="s">
        <v>32685</v>
      </c>
      <c r="J5331" t="s">
        <v>36200</v>
      </c>
      <c r="K5331" t="s">
        <v>42309</v>
      </c>
      <c r="M5331" t="s">
        <v>44467</v>
      </c>
      <c r="N5331" t="s">
        <v>46569</v>
      </c>
      <c r="O5331" t="s">
        <v>46570</v>
      </c>
      <c r="P5331">
        <v>0</v>
      </c>
      <c r="Q5331">
        <v>0</v>
      </c>
      <c r="R5331" t="s">
        <v>46573</v>
      </c>
      <c r="S5331" t="s">
        <v>46705</v>
      </c>
      <c r="T5331" t="s">
        <v>48249</v>
      </c>
      <c r="U5331" t="s">
        <v>53201</v>
      </c>
      <c r="W5331" t="s">
        <v>44467</v>
      </c>
      <c r="X5331" t="s">
        <v>46574</v>
      </c>
    </row>
    <row r="5332" spans="1:24">
      <c r="A5332">
        <f>HYPERLINK("https://www.philgeps.gov.ph/GEPSNONPILOT/Tender/SplashBidNoticeAbstractUI.aspx?menuIndex=3&amp;refID=7059261&amp;Result=3","7059261")</f>
        <v>0</v>
      </c>
      <c r="B5332" t="s">
        <v>1815</v>
      </c>
      <c r="C5332" t="s">
        <v>8617</v>
      </c>
      <c r="D5332" t="s">
        <v>18804</v>
      </c>
      <c r="E5332" t="s">
        <v>23669</v>
      </c>
      <c r="F5332" t="s">
        <v>32664</v>
      </c>
      <c r="G5332" t="s">
        <v>32671</v>
      </c>
      <c r="H5332" t="s">
        <v>12635</v>
      </c>
      <c r="I5332" t="s">
        <v>10627</v>
      </c>
      <c r="J5332" t="s">
        <v>36201</v>
      </c>
      <c r="K5332" t="s">
        <v>42284</v>
      </c>
      <c r="L5332" t="s">
        <v>1815</v>
      </c>
      <c r="M5332" t="s">
        <v>44521</v>
      </c>
      <c r="N5332" t="s">
        <v>46569</v>
      </c>
      <c r="O5332" t="s">
        <v>46570</v>
      </c>
      <c r="P5332">
        <v>0</v>
      </c>
      <c r="Q5332">
        <v>0</v>
      </c>
      <c r="R5332" t="s">
        <v>46573</v>
      </c>
      <c r="S5332" t="s">
        <v>46705</v>
      </c>
      <c r="T5332" t="s">
        <v>48258</v>
      </c>
      <c r="U5332" t="s">
        <v>53202</v>
      </c>
      <c r="W5332" t="s">
        <v>44521</v>
      </c>
      <c r="X5332" t="s">
        <v>46574</v>
      </c>
    </row>
    <row r="5333" spans="1:24">
      <c r="A5333">
        <f>HYPERLINK("https://www.philgeps.gov.ph/GEPSNONPILOT/Tender/SplashBidNoticeAbstractUI.aspx?menuIndex=3&amp;refID=7059281&amp;Result=3","7059281")</f>
        <v>0</v>
      </c>
      <c r="B5333" t="s">
        <v>1816</v>
      </c>
      <c r="C5333" t="s">
        <v>8618</v>
      </c>
      <c r="D5333" t="s">
        <v>18800</v>
      </c>
      <c r="E5333" t="s">
        <v>23670</v>
      </c>
      <c r="F5333" t="s">
        <v>32664</v>
      </c>
      <c r="G5333" t="s">
        <v>32672</v>
      </c>
      <c r="H5333" t="s">
        <v>32683</v>
      </c>
      <c r="I5333" t="s">
        <v>10627</v>
      </c>
      <c r="J5333" t="s">
        <v>32865</v>
      </c>
      <c r="K5333" t="s">
        <v>42283</v>
      </c>
      <c r="M5333" t="s">
        <v>44522</v>
      </c>
      <c r="N5333" t="s">
        <v>46569</v>
      </c>
      <c r="O5333" t="s">
        <v>46570</v>
      </c>
      <c r="P5333">
        <v>0</v>
      </c>
      <c r="Q5333">
        <v>0</v>
      </c>
      <c r="R5333" t="s">
        <v>46573</v>
      </c>
      <c r="S5333" t="s">
        <v>46705</v>
      </c>
      <c r="T5333" t="s">
        <v>48305</v>
      </c>
      <c r="U5333" t="s">
        <v>53203</v>
      </c>
      <c r="W5333" t="s">
        <v>44522</v>
      </c>
      <c r="X5333" t="s">
        <v>46574</v>
      </c>
    </row>
    <row r="5334" spans="1:24">
      <c r="A5334">
        <f>HYPERLINK("https://www.philgeps.gov.ph/GEPSNONPILOT/Tender/SplashBidNoticeAbstractUI.aspx?menuIndex=3&amp;refID=7059242&amp;Result=3","7059242")</f>
        <v>0</v>
      </c>
      <c r="B5334" t="s">
        <v>1790</v>
      </c>
      <c r="C5334" t="s">
        <v>8619</v>
      </c>
      <c r="D5334" t="s">
        <v>18787</v>
      </c>
      <c r="E5334" t="s">
        <v>23671</v>
      </c>
      <c r="F5334" t="s">
        <v>32664</v>
      </c>
      <c r="G5334" t="s">
        <v>32672</v>
      </c>
      <c r="H5334" t="s">
        <v>12635</v>
      </c>
      <c r="I5334" t="s">
        <v>14442</v>
      </c>
      <c r="J5334" t="s">
        <v>33126</v>
      </c>
      <c r="K5334" t="s">
        <v>42289</v>
      </c>
      <c r="M5334" t="s">
        <v>44492</v>
      </c>
      <c r="N5334" t="s">
        <v>46569</v>
      </c>
      <c r="O5334" t="s">
        <v>46570</v>
      </c>
      <c r="P5334">
        <v>0</v>
      </c>
      <c r="Q5334">
        <v>0</v>
      </c>
      <c r="R5334" t="s">
        <v>46573</v>
      </c>
      <c r="S5334" t="s">
        <v>46705</v>
      </c>
      <c r="T5334" t="s">
        <v>48283</v>
      </c>
      <c r="U5334" t="s">
        <v>53204</v>
      </c>
      <c r="W5334" t="s">
        <v>44492</v>
      </c>
      <c r="X5334" t="s">
        <v>46574</v>
      </c>
    </row>
    <row r="5335" spans="1:24">
      <c r="A5335">
        <f>HYPERLINK("https://www.philgeps.gov.ph/GEPSNONPILOT/Tender/SplashBidNoticeAbstractUI.aspx?menuIndex=3&amp;refID=7059264&amp;Result=3","7059264")</f>
        <v>0</v>
      </c>
      <c r="B5335" t="s">
        <v>129</v>
      </c>
      <c r="C5335" t="s">
        <v>8620</v>
      </c>
      <c r="D5335" t="s">
        <v>18792</v>
      </c>
      <c r="E5335" t="s">
        <v>19159</v>
      </c>
      <c r="F5335" t="s">
        <v>32664</v>
      </c>
      <c r="G5335" t="s">
        <v>32671</v>
      </c>
      <c r="H5335" t="s">
        <v>12635</v>
      </c>
      <c r="I5335" t="s">
        <v>10370</v>
      </c>
      <c r="J5335" t="s">
        <v>33368</v>
      </c>
      <c r="K5335" t="s">
        <v>42289</v>
      </c>
      <c r="M5335" t="s">
        <v>42693</v>
      </c>
      <c r="N5335" t="s">
        <v>46569</v>
      </c>
      <c r="O5335" t="s">
        <v>46570</v>
      </c>
      <c r="P5335">
        <v>0</v>
      </c>
      <c r="Q5335">
        <v>0</v>
      </c>
      <c r="R5335" t="s">
        <v>46573</v>
      </c>
      <c r="S5335" t="s">
        <v>46705</v>
      </c>
      <c r="T5335" t="s">
        <v>48287</v>
      </c>
      <c r="U5335" t="s">
        <v>53205</v>
      </c>
      <c r="W5335" t="s">
        <v>42693</v>
      </c>
      <c r="X5335" t="s">
        <v>46574</v>
      </c>
    </row>
    <row r="5336" spans="1:24">
      <c r="A5336">
        <f>HYPERLINK("https://www.philgeps.gov.ph/GEPSNONPILOT/Tender/SplashBidNoticeAbstractUI.aspx?menuIndex=3&amp;refID=7059273&amp;Result=3","7059273")</f>
        <v>0</v>
      </c>
      <c r="B5336" t="s">
        <v>1811</v>
      </c>
      <c r="C5336" t="s">
        <v>8621</v>
      </c>
      <c r="D5336" t="s">
        <v>18805</v>
      </c>
      <c r="E5336" t="s">
        <v>23672</v>
      </c>
      <c r="F5336" t="s">
        <v>32664</v>
      </c>
      <c r="G5336" t="s">
        <v>32672</v>
      </c>
      <c r="H5336" t="s">
        <v>12635</v>
      </c>
      <c r="I5336" t="s">
        <v>8797</v>
      </c>
      <c r="J5336" t="s">
        <v>36202</v>
      </c>
      <c r="K5336" t="s">
        <v>42283</v>
      </c>
      <c r="M5336" t="s">
        <v>44517</v>
      </c>
      <c r="N5336" t="s">
        <v>46569</v>
      </c>
      <c r="O5336" t="s">
        <v>46570</v>
      </c>
      <c r="P5336">
        <v>0</v>
      </c>
      <c r="Q5336">
        <v>0</v>
      </c>
      <c r="R5336" t="s">
        <v>46573</v>
      </c>
      <c r="S5336" t="s">
        <v>46705</v>
      </c>
      <c r="T5336" t="s">
        <v>48411</v>
      </c>
      <c r="U5336" t="s">
        <v>53206</v>
      </c>
      <c r="V5336" t="s">
        <v>62181</v>
      </c>
      <c r="W5336" t="s">
        <v>44517</v>
      </c>
      <c r="X5336" t="s">
        <v>46574</v>
      </c>
    </row>
    <row r="5337" spans="1:24">
      <c r="A5337">
        <f>HYPERLINK("https://www.philgeps.gov.ph/GEPSNONPILOT/Tender/SplashBidNoticeAbstractUI.aspx?menuIndex=3&amp;refID=7059239&amp;Result=3","7059239")</f>
        <v>0</v>
      </c>
      <c r="B5337" t="s">
        <v>1190</v>
      </c>
      <c r="C5337" t="s">
        <v>8622</v>
      </c>
      <c r="D5337" t="s">
        <v>18855</v>
      </c>
      <c r="E5337" t="s">
        <v>23673</v>
      </c>
      <c r="F5337" t="s">
        <v>32664</v>
      </c>
      <c r="G5337" t="s">
        <v>32672</v>
      </c>
      <c r="H5337" t="s">
        <v>32683</v>
      </c>
      <c r="I5337" t="s">
        <v>10627</v>
      </c>
      <c r="J5337" t="s">
        <v>32962</v>
      </c>
      <c r="K5337" t="s">
        <v>42298</v>
      </c>
      <c r="M5337" t="s">
        <v>43826</v>
      </c>
      <c r="N5337" t="s">
        <v>46569</v>
      </c>
      <c r="O5337" t="s">
        <v>46570</v>
      </c>
      <c r="P5337">
        <v>0</v>
      </c>
      <c r="Q5337">
        <v>0</v>
      </c>
      <c r="R5337" t="s">
        <v>46573</v>
      </c>
      <c r="S5337" t="s">
        <v>46705</v>
      </c>
      <c r="T5337" t="s">
        <v>48280</v>
      </c>
      <c r="U5337" t="s">
        <v>53082</v>
      </c>
      <c r="W5337" t="s">
        <v>43826</v>
      </c>
      <c r="X5337" t="s">
        <v>46574</v>
      </c>
    </row>
    <row r="5338" spans="1:24">
      <c r="A5338">
        <f>HYPERLINK("https://www.philgeps.gov.ph/GEPSNONPILOT/Tender/SplashBidNoticeAbstractUI.aspx?menuIndex=3&amp;refID=7059244&amp;Result=3","7059244")</f>
        <v>0</v>
      </c>
      <c r="B5338" t="s">
        <v>1817</v>
      </c>
      <c r="C5338" t="s">
        <v>8623</v>
      </c>
      <c r="D5338" t="s">
        <v>18827</v>
      </c>
      <c r="E5338" t="s">
        <v>23674</v>
      </c>
      <c r="F5338" t="s">
        <v>32664</v>
      </c>
      <c r="G5338" t="s">
        <v>32674</v>
      </c>
      <c r="H5338" t="s">
        <v>12635</v>
      </c>
      <c r="I5338" t="s">
        <v>6168</v>
      </c>
      <c r="J5338" t="s">
        <v>36203</v>
      </c>
      <c r="K5338" t="s">
        <v>42295</v>
      </c>
      <c r="M5338" t="s">
        <v>44523</v>
      </c>
      <c r="N5338" t="s">
        <v>46569</v>
      </c>
      <c r="O5338" t="s">
        <v>46570</v>
      </c>
      <c r="P5338">
        <v>0</v>
      </c>
      <c r="Q5338">
        <v>0</v>
      </c>
      <c r="R5338" t="s">
        <v>46573</v>
      </c>
      <c r="S5338" t="s">
        <v>46705</v>
      </c>
      <c r="T5338" t="s">
        <v>48287</v>
      </c>
      <c r="U5338" t="s">
        <v>53207</v>
      </c>
      <c r="W5338" t="s">
        <v>44523</v>
      </c>
      <c r="X5338" t="s">
        <v>46574</v>
      </c>
    </row>
    <row r="5339" spans="1:24">
      <c r="A5339">
        <f>HYPERLINK("https://www.philgeps.gov.ph/GEPSNONPILOT/Tender/SplashBidNoticeAbstractUI.aspx?menuIndex=3&amp;refID=7059280&amp;Result=3","7059280")</f>
        <v>0</v>
      </c>
      <c r="B5339" t="s">
        <v>1378</v>
      </c>
      <c r="C5339" t="s">
        <v>8624</v>
      </c>
      <c r="E5339" t="s">
        <v>23675</v>
      </c>
      <c r="F5339" t="s">
        <v>32664</v>
      </c>
      <c r="G5339" t="s">
        <v>32672</v>
      </c>
      <c r="H5339" t="s">
        <v>32683</v>
      </c>
      <c r="I5339" t="s">
        <v>10627</v>
      </c>
      <c r="J5339" t="s">
        <v>34862</v>
      </c>
      <c r="K5339" t="s">
        <v>42283</v>
      </c>
      <c r="M5339" t="s">
        <v>44033</v>
      </c>
      <c r="N5339" t="s">
        <v>46569</v>
      </c>
      <c r="O5339" t="s">
        <v>46570</v>
      </c>
      <c r="P5339">
        <v>0</v>
      </c>
      <c r="Q5339">
        <v>0</v>
      </c>
      <c r="R5339" t="s">
        <v>46573</v>
      </c>
      <c r="S5339" t="s">
        <v>46705</v>
      </c>
      <c r="T5339" t="s">
        <v>48280</v>
      </c>
      <c r="U5339" t="s">
        <v>53208</v>
      </c>
      <c r="W5339" t="s">
        <v>44033</v>
      </c>
      <c r="X5339" t="s">
        <v>46574</v>
      </c>
    </row>
    <row r="5340" spans="1:24">
      <c r="A5340">
        <f>HYPERLINK("https://www.philgeps.gov.ph/GEPSNONPILOT/Tender/SplashBidNoticeAbstractUI.aspx?menuIndex=3&amp;refID=7059243&amp;Result=3","7059243")</f>
        <v>0</v>
      </c>
      <c r="B5340" t="s">
        <v>189</v>
      </c>
      <c r="C5340" t="s">
        <v>4250</v>
      </c>
      <c r="E5340" t="s">
        <v>23676</v>
      </c>
      <c r="F5340" t="s">
        <v>32664</v>
      </c>
      <c r="G5340" t="s">
        <v>32671</v>
      </c>
      <c r="H5340" t="s">
        <v>12635</v>
      </c>
      <c r="I5340" t="s">
        <v>4439</v>
      </c>
      <c r="J5340" t="s">
        <v>36204</v>
      </c>
      <c r="K5340" t="s">
        <v>42297</v>
      </c>
      <c r="M5340" t="s">
        <v>42753</v>
      </c>
      <c r="N5340" t="s">
        <v>46569</v>
      </c>
      <c r="O5340" t="s">
        <v>46570</v>
      </c>
      <c r="P5340">
        <v>0</v>
      </c>
      <c r="Q5340">
        <v>0</v>
      </c>
      <c r="R5340" t="s">
        <v>46573</v>
      </c>
      <c r="S5340" t="s">
        <v>46705</v>
      </c>
      <c r="T5340" t="s">
        <v>48246</v>
      </c>
      <c r="U5340" t="s">
        <v>53209</v>
      </c>
      <c r="W5340" t="s">
        <v>42753</v>
      </c>
      <c r="X5340" t="s">
        <v>46574</v>
      </c>
    </row>
    <row r="5341" spans="1:24">
      <c r="A5341">
        <f>HYPERLINK("https://www.philgeps.gov.ph/GEPSNONPILOT/Tender/SplashBidNoticeAbstractUI.aspx?menuIndex=3&amp;refID=7059324&amp;Result=3","7059324")</f>
        <v>0</v>
      </c>
      <c r="B5341" t="s">
        <v>295</v>
      </c>
      <c r="C5341" t="s">
        <v>8625</v>
      </c>
      <c r="D5341" t="s">
        <v>18848</v>
      </c>
      <c r="E5341" t="s">
        <v>23677</v>
      </c>
      <c r="F5341" t="s">
        <v>32664</v>
      </c>
      <c r="G5341" t="s">
        <v>32672</v>
      </c>
      <c r="H5341" t="s">
        <v>12635</v>
      </c>
      <c r="I5341" t="s">
        <v>11464</v>
      </c>
      <c r="J5341" t="s">
        <v>33302</v>
      </c>
      <c r="K5341" t="s">
        <v>42297</v>
      </c>
      <c r="M5341" t="s">
        <v>42862</v>
      </c>
      <c r="N5341" t="s">
        <v>46569</v>
      </c>
      <c r="O5341" t="s">
        <v>46570</v>
      </c>
      <c r="P5341">
        <v>0</v>
      </c>
      <c r="Q5341">
        <v>3</v>
      </c>
      <c r="R5341" t="s">
        <v>46573</v>
      </c>
      <c r="S5341" t="s">
        <v>46705</v>
      </c>
      <c r="T5341" t="s">
        <v>48542</v>
      </c>
      <c r="U5341" t="s">
        <v>53210</v>
      </c>
      <c r="W5341" t="s">
        <v>42862</v>
      </c>
      <c r="X5341" t="s">
        <v>46574</v>
      </c>
    </row>
    <row r="5342" spans="1:24">
      <c r="A5342">
        <f>HYPERLINK("https://www.philgeps.gov.ph/GEPSNONPILOT/Tender/SplashBidNoticeAbstractUI.aspx?menuIndex=3&amp;refID=7059322&amp;Result=3","7059322")</f>
        <v>0</v>
      </c>
      <c r="B5342" t="s">
        <v>1799</v>
      </c>
      <c r="C5342" t="s">
        <v>8626</v>
      </c>
      <c r="D5342" t="s">
        <v>18784</v>
      </c>
      <c r="E5342" t="s">
        <v>23678</v>
      </c>
      <c r="F5342" t="s">
        <v>32664</v>
      </c>
      <c r="G5342" t="s">
        <v>32672</v>
      </c>
      <c r="H5342" t="s">
        <v>32683</v>
      </c>
      <c r="I5342" t="s">
        <v>10627</v>
      </c>
      <c r="J5342" t="s">
        <v>36205</v>
      </c>
      <c r="K5342" t="s">
        <v>42290</v>
      </c>
      <c r="M5342" t="s">
        <v>44502</v>
      </c>
      <c r="N5342" t="s">
        <v>46569</v>
      </c>
      <c r="O5342" t="s">
        <v>46570</v>
      </c>
      <c r="P5342">
        <v>0</v>
      </c>
      <c r="Q5342">
        <v>5</v>
      </c>
      <c r="R5342" t="s">
        <v>46573</v>
      </c>
      <c r="S5342" t="s">
        <v>46705</v>
      </c>
      <c r="T5342" t="s">
        <v>48213</v>
      </c>
      <c r="U5342" t="s">
        <v>53211</v>
      </c>
      <c r="W5342" t="s">
        <v>63534</v>
      </c>
      <c r="X5342" t="s">
        <v>46574</v>
      </c>
    </row>
    <row r="5343" spans="1:24">
      <c r="A5343">
        <f>HYPERLINK("https://www.philgeps.gov.ph/GEPSNONPILOT/Tender/SplashBidNoticeAbstractUI.aspx?menuIndex=3&amp;refID=7059319&amp;Result=3","7059319")</f>
        <v>0</v>
      </c>
      <c r="B5343" t="s">
        <v>1426</v>
      </c>
      <c r="C5343" t="s">
        <v>8627</v>
      </c>
      <c r="D5343" t="s">
        <v>18821</v>
      </c>
      <c r="E5343" t="s">
        <v>23679</v>
      </c>
      <c r="F5343" t="s">
        <v>32664</v>
      </c>
      <c r="G5343" t="s">
        <v>32671</v>
      </c>
      <c r="H5343" t="s">
        <v>12635</v>
      </c>
      <c r="I5343" t="s">
        <v>6168</v>
      </c>
      <c r="J5343" t="s">
        <v>34247</v>
      </c>
      <c r="K5343" t="s">
        <v>42311</v>
      </c>
      <c r="M5343" t="s">
        <v>44086</v>
      </c>
      <c r="N5343" t="s">
        <v>46569</v>
      </c>
      <c r="O5343" t="s">
        <v>46570</v>
      </c>
      <c r="P5343">
        <v>0</v>
      </c>
      <c r="Q5343">
        <v>0</v>
      </c>
      <c r="R5343" t="s">
        <v>46573</v>
      </c>
      <c r="S5343" t="s">
        <v>46705</v>
      </c>
      <c r="T5343" t="s">
        <v>48543</v>
      </c>
      <c r="U5343" t="s">
        <v>53189</v>
      </c>
      <c r="W5343" t="s">
        <v>44086</v>
      </c>
      <c r="X5343" t="s">
        <v>46574</v>
      </c>
    </row>
    <row r="5344" spans="1:24">
      <c r="A5344">
        <f>HYPERLINK("https://www.philgeps.gov.ph/GEPSNONPILOT/Tender/SplashBidNoticeAbstractUI.aspx?menuIndex=3&amp;refID=7059316&amp;Result=3","7059316")</f>
        <v>0</v>
      </c>
      <c r="B5344" t="s">
        <v>525</v>
      </c>
      <c r="C5344" t="s">
        <v>8628</v>
      </c>
      <c r="E5344" t="s">
        <v>23680</v>
      </c>
      <c r="F5344" t="s">
        <v>32664</v>
      </c>
      <c r="G5344" t="s">
        <v>32671</v>
      </c>
      <c r="H5344" t="s">
        <v>12635</v>
      </c>
      <c r="I5344" t="s">
        <v>32691</v>
      </c>
      <c r="J5344" t="s">
        <v>33478</v>
      </c>
      <c r="K5344" t="s">
        <v>42283</v>
      </c>
      <c r="M5344" t="s">
        <v>43102</v>
      </c>
      <c r="N5344" t="s">
        <v>46569</v>
      </c>
      <c r="O5344" t="s">
        <v>46570</v>
      </c>
      <c r="P5344">
        <v>0</v>
      </c>
      <c r="Q5344">
        <v>0</v>
      </c>
      <c r="R5344" t="s">
        <v>46573</v>
      </c>
      <c r="S5344" t="s">
        <v>46705</v>
      </c>
      <c r="T5344" t="s">
        <v>48307</v>
      </c>
      <c r="U5344" t="s">
        <v>53212</v>
      </c>
      <c r="W5344" t="s">
        <v>43102</v>
      </c>
      <c r="X5344" t="s">
        <v>46574</v>
      </c>
    </row>
    <row r="5345" spans="1:24">
      <c r="A5345">
        <f>HYPERLINK("https://www.philgeps.gov.ph/GEPSNONPILOT/Tender/SplashBidNoticeAbstractUI.aspx?menuIndex=3&amp;refID=7059240&amp;Result=3","7059240")</f>
        <v>0</v>
      </c>
      <c r="B5345" t="s">
        <v>1792</v>
      </c>
      <c r="C5345" t="s">
        <v>8629</v>
      </c>
      <c r="D5345" t="s">
        <v>18794</v>
      </c>
      <c r="E5345" t="s">
        <v>23681</v>
      </c>
      <c r="F5345" t="s">
        <v>32664</v>
      </c>
      <c r="G5345" t="s">
        <v>32674</v>
      </c>
      <c r="H5345" t="s">
        <v>12635</v>
      </c>
      <c r="I5345" t="s">
        <v>32727</v>
      </c>
      <c r="J5345" t="s">
        <v>36206</v>
      </c>
      <c r="K5345" t="s">
        <v>42289</v>
      </c>
      <c r="M5345" t="s">
        <v>44495</v>
      </c>
      <c r="N5345" t="s">
        <v>46569</v>
      </c>
      <c r="O5345" t="s">
        <v>46570</v>
      </c>
      <c r="P5345">
        <v>0</v>
      </c>
      <c r="Q5345">
        <v>2</v>
      </c>
      <c r="R5345" t="s">
        <v>46573</v>
      </c>
      <c r="S5345" t="s">
        <v>46705</v>
      </c>
      <c r="T5345" t="s">
        <v>48254</v>
      </c>
      <c r="U5345" t="s">
        <v>53213</v>
      </c>
      <c r="W5345" t="s">
        <v>44495</v>
      </c>
      <c r="X5345" t="s">
        <v>46574</v>
      </c>
    </row>
    <row r="5346" spans="1:24">
      <c r="A5346">
        <f>HYPERLINK("https://www.philgeps.gov.ph/GEPSNONPILOT/Tender/SplashBidNoticeAbstractUI.aspx?menuIndex=3&amp;refID=7059310&amp;Result=3","7059310")</f>
        <v>0</v>
      </c>
      <c r="B5346" t="s">
        <v>1818</v>
      </c>
      <c r="C5346" t="s">
        <v>8630</v>
      </c>
      <c r="D5346" t="s">
        <v>18798</v>
      </c>
      <c r="E5346" t="s">
        <v>19708</v>
      </c>
      <c r="F5346" t="s">
        <v>32664</v>
      </c>
      <c r="G5346" t="s">
        <v>32671</v>
      </c>
      <c r="H5346" t="s">
        <v>12635</v>
      </c>
      <c r="I5346" t="s">
        <v>4997</v>
      </c>
      <c r="J5346" t="s">
        <v>33846</v>
      </c>
      <c r="K5346" t="s">
        <v>42295</v>
      </c>
      <c r="M5346" t="s">
        <v>44524</v>
      </c>
      <c r="N5346" t="s">
        <v>46569</v>
      </c>
      <c r="O5346" t="s">
        <v>46570</v>
      </c>
      <c r="P5346">
        <v>0</v>
      </c>
      <c r="Q5346">
        <v>2</v>
      </c>
      <c r="R5346" t="s">
        <v>46573</v>
      </c>
      <c r="S5346" t="s">
        <v>46705</v>
      </c>
      <c r="T5346" t="s">
        <v>48254</v>
      </c>
      <c r="U5346" t="s">
        <v>53214</v>
      </c>
      <c r="W5346" t="s">
        <v>44524</v>
      </c>
      <c r="X5346" t="s">
        <v>46574</v>
      </c>
    </row>
    <row r="5347" spans="1:24">
      <c r="A5347">
        <f>HYPERLINK("https://www.philgeps.gov.ph/GEPSNONPILOT/Tender/SplashBidNoticeAbstractUI.aspx?menuIndex=3&amp;refID=7059315&amp;Result=3","7059315")</f>
        <v>0</v>
      </c>
      <c r="B5347" t="s">
        <v>773</v>
      </c>
      <c r="C5347" t="s">
        <v>8631</v>
      </c>
      <c r="D5347" t="s">
        <v>18821</v>
      </c>
      <c r="E5347" t="s">
        <v>23453</v>
      </c>
      <c r="F5347" t="s">
        <v>32664</v>
      </c>
      <c r="G5347" t="s">
        <v>32671</v>
      </c>
      <c r="H5347" t="s">
        <v>32683</v>
      </c>
      <c r="I5347" t="s">
        <v>4439</v>
      </c>
      <c r="J5347" t="s">
        <v>33126</v>
      </c>
      <c r="K5347" t="s">
        <v>42284</v>
      </c>
      <c r="M5347" t="s">
        <v>43364</v>
      </c>
      <c r="N5347" t="s">
        <v>46569</v>
      </c>
      <c r="O5347" t="s">
        <v>46570</v>
      </c>
      <c r="P5347">
        <v>0</v>
      </c>
      <c r="Q5347">
        <v>0</v>
      </c>
      <c r="R5347" t="s">
        <v>46573</v>
      </c>
      <c r="S5347" t="s">
        <v>46705</v>
      </c>
      <c r="T5347" t="s">
        <v>48314</v>
      </c>
      <c r="U5347" t="s">
        <v>53215</v>
      </c>
      <c r="W5347" t="s">
        <v>43364</v>
      </c>
      <c r="X5347" t="s">
        <v>46574</v>
      </c>
    </row>
    <row r="5348" spans="1:24">
      <c r="A5348">
        <f>HYPERLINK("https://www.philgeps.gov.ph/GEPSNONPILOT/Tender/SplashBidNoticeAbstractUI.aspx?menuIndex=3&amp;refID=7059304&amp;Result=3","7059304")</f>
        <v>0</v>
      </c>
      <c r="B5348" t="s">
        <v>1810</v>
      </c>
      <c r="C5348" t="s">
        <v>8632</v>
      </c>
      <c r="D5348" t="s">
        <v>18794</v>
      </c>
      <c r="E5348" t="s">
        <v>23682</v>
      </c>
      <c r="F5348" t="s">
        <v>32664</v>
      </c>
      <c r="G5348" t="s">
        <v>32672</v>
      </c>
      <c r="H5348" t="s">
        <v>32683</v>
      </c>
      <c r="I5348" t="s">
        <v>10627</v>
      </c>
      <c r="J5348" t="s">
        <v>32837</v>
      </c>
      <c r="K5348" t="s">
        <v>42311</v>
      </c>
      <c r="M5348" t="s">
        <v>44515</v>
      </c>
      <c r="N5348" t="s">
        <v>46569</v>
      </c>
      <c r="O5348" t="s">
        <v>46570</v>
      </c>
      <c r="P5348">
        <v>0</v>
      </c>
      <c r="Q5348">
        <v>0</v>
      </c>
      <c r="R5348" t="s">
        <v>46573</v>
      </c>
      <c r="S5348" t="s">
        <v>46705</v>
      </c>
      <c r="T5348" t="s">
        <v>48349</v>
      </c>
      <c r="U5348" t="s">
        <v>53216</v>
      </c>
      <c r="W5348" t="s">
        <v>44515</v>
      </c>
      <c r="X5348" t="s">
        <v>46574</v>
      </c>
    </row>
    <row r="5349" spans="1:24">
      <c r="A5349">
        <f>HYPERLINK("https://www.philgeps.gov.ph/GEPSNONPILOT/Tender/SplashBidNoticeAbstractUI.aspx?menuIndex=3&amp;refID=7059210&amp;Result=3","7059210")</f>
        <v>0</v>
      </c>
      <c r="B5349" t="s">
        <v>1819</v>
      </c>
      <c r="C5349" t="s">
        <v>8633</v>
      </c>
      <c r="D5349" t="s">
        <v>18797</v>
      </c>
      <c r="E5349" t="s">
        <v>23683</v>
      </c>
      <c r="F5349" t="s">
        <v>32664</v>
      </c>
      <c r="G5349" t="s">
        <v>32675</v>
      </c>
      <c r="H5349" t="s">
        <v>12635</v>
      </c>
      <c r="I5349" t="s">
        <v>8730</v>
      </c>
      <c r="J5349" t="s">
        <v>36207</v>
      </c>
      <c r="K5349" t="s">
        <v>42289</v>
      </c>
      <c r="M5349" t="s">
        <v>44525</v>
      </c>
      <c r="N5349" t="s">
        <v>46569</v>
      </c>
      <c r="O5349" t="s">
        <v>46570</v>
      </c>
      <c r="P5349">
        <v>0</v>
      </c>
      <c r="Q5349">
        <v>1</v>
      </c>
      <c r="R5349" t="s">
        <v>46573</v>
      </c>
      <c r="S5349" t="s">
        <v>46705</v>
      </c>
      <c r="T5349" t="s">
        <v>48285</v>
      </c>
      <c r="U5349" t="s">
        <v>53217</v>
      </c>
      <c r="W5349" t="s">
        <v>44525</v>
      </c>
      <c r="X5349" t="s">
        <v>46574</v>
      </c>
    </row>
    <row r="5350" spans="1:24">
      <c r="A5350">
        <f>HYPERLINK("https://www.philgeps.gov.ph/GEPSNONPILOT/Tender/SplashBidNoticeAbstractUI.aspx?menuIndex=3&amp;refID=7059302&amp;Result=3","7059302")</f>
        <v>0</v>
      </c>
      <c r="B5350" t="s">
        <v>1734</v>
      </c>
      <c r="C5350" t="s">
        <v>8634</v>
      </c>
      <c r="D5350" t="s">
        <v>18789</v>
      </c>
      <c r="E5350" t="s">
        <v>23684</v>
      </c>
      <c r="F5350" t="s">
        <v>32664</v>
      </c>
      <c r="G5350" t="s">
        <v>32671</v>
      </c>
      <c r="H5350" t="s">
        <v>12635</v>
      </c>
      <c r="I5350" t="s">
        <v>32752</v>
      </c>
      <c r="J5350" t="s">
        <v>33311</v>
      </c>
      <c r="K5350" t="s">
        <v>42289</v>
      </c>
      <c r="M5350" t="s">
        <v>44433</v>
      </c>
      <c r="N5350" t="s">
        <v>46569</v>
      </c>
      <c r="O5350" t="s">
        <v>46570</v>
      </c>
      <c r="P5350">
        <v>0</v>
      </c>
      <c r="Q5350">
        <v>0</v>
      </c>
      <c r="R5350" t="s">
        <v>46573</v>
      </c>
      <c r="S5350" t="s">
        <v>46705</v>
      </c>
      <c r="T5350" t="s">
        <v>48258</v>
      </c>
      <c r="U5350" t="s">
        <v>53218</v>
      </c>
      <c r="W5350" t="s">
        <v>44433</v>
      </c>
      <c r="X5350" t="s">
        <v>46574</v>
      </c>
    </row>
    <row r="5351" spans="1:24">
      <c r="A5351">
        <f>HYPERLINK("https://www.philgeps.gov.ph/GEPSNONPILOT/Tender/SplashBidNoticeAbstractUI.aspx?menuIndex=3&amp;refID=7059313&amp;Result=3","7059313")</f>
        <v>0</v>
      </c>
      <c r="B5351" t="s">
        <v>1820</v>
      </c>
      <c r="C5351" t="s">
        <v>8635</v>
      </c>
      <c r="D5351" t="s">
        <v>18791</v>
      </c>
      <c r="E5351" t="s">
        <v>23685</v>
      </c>
      <c r="F5351" t="s">
        <v>32664</v>
      </c>
      <c r="G5351" t="s">
        <v>32672</v>
      </c>
      <c r="H5351" t="s">
        <v>12635</v>
      </c>
      <c r="I5351" t="s">
        <v>4439</v>
      </c>
      <c r="J5351" t="s">
        <v>36208</v>
      </c>
      <c r="K5351" t="s">
        <v>42330</v>
      </c>
      <c r="M5351" t="s">
        <v>44526</v>
      </c>
      <c r="N5351" t="s">
        <v>46569</v>
      </c>
      <c r="O5351" t="s">
        <v>46570</v>
      </c>
      <c r="P5351">
        <v>0</v>
      </c>
      <c r="Q5351">
        <v>2</v>
      </c>
      <c r="R5351" t="s">
        <v>46573</v>
      </c>
      <c r="S5351" t="s">
        <v>46705</v>
      </c>
      <c r="T5351" t="s">
        <v>48216</v>
      </c>
      <c r="U5351" t="s">
        <v>53219</v>
      </c>
      <c r="V5351" t="s">
        <v>62182</v>
      </c>
      <c r="W5351" t="s">
        <v>44526</v>
      </c>
      <c r="X5351" t="s">
        <v>46574</v>
      </c>
    </row>
    <row r="5352" spans="1:24">
      <c r="A5352">
        <f>HYPERLINK("https://www.philgeps.gov.ph/GEPSNONPILOT/Tender/SplashBidNoticeAbstractUI.aspx?menuIndex=3&amp;refID=7059301&amp;Result=3","7059301")</f>
        <v>0</v>
      </c>
      <c r="B5352" t="s">
        <v>1811</v>
      </c>
      <c r="C5352" t="s">
        <v>8636</v>
      </c>
      <c r="D5352" t="s">
        <v>18805</v>
      </c>
      <c r="E5352" t="s">
        <v>23686</v>
      </c>
      <c r="F5352" t="s">
        <v>32664</v>
      </c>
      <c r="G5352" t="s">
        <v>32672</v>
      </c>
      <c r="H5352" t="s">
        <v>12635</v>
      </c>
      <c r="I5352" t="s">
        <v>4439</v>
      </c>
      <c r="J5352" t="s">
        <v>36209</v>
      </c>
      <c r="K5352" t="s">
        <v>42283</v>
      </c>
      <c r="M5352" t="s">
        <v>44517</v>
      </c>
      <c r="N5352" t="s">
        <v>46569</v>
      </c>
      <c r="O5352" t="s">
        <v>46570</v>
      </c>
      <c r="P5352">
        <v>0</v>
      </c>
      <c r="Q5352">
        <v>0</v>
      </c>
      <c r="R5352" t="s">
        <v>46573</v>
      </c>
      <c r="S5352" t="s">
        <v>46705</v>
      </c>
      <c r="T5352" t="s">
        <v>48411</v>
      </c>
      <c r="U5352" t="s">
        <v>53220</v>
      </c>
      <c r="V5352" t="s">
        <v>62177</v>
      </c>
      <c r="W5352" t="s">
        <v>44517</v>
      </c>
      <c r="X5352" t="s">
        <v>46574</v>
      </c>
    </row>
    <row r="5353" spans="1:24">
      <c r="A5353">
        <f>HYPERLINK("https://www.philgeps.gov.ph/GEPSNONPILOT/Tender/SplashBidNoticeAbstractUI.aspx?menuIndex=3&amp;refID=7059296&amp;Result=3","7059296")</f>
        <v>0</v>
      </c>
      <c r="B5353" t="s">
        <v>592</v>
      </c>
      <c r="C5353" t="s">
        <v>8637</v>
      </c>
      <c r="D5353" t="s">
        <v>18784</v>
      </c>
      <c r="E5353" t="s">
        <v>23687</v>
      </c>
      <c r="F5353" t="s">
        <v>32664</v>
      </c>
      <c r="G5353" t="s">
        <v>32671</v>
      </c>
      <c r="H5353" t="s">
        <v>12635</v>
      </c>
      <c r="I5353" t="s">
        <v>32701</v>
      </c>
      <c r="J5353" t="s">
        <v>33118</v>
      </c>
      <c r="K5353" t="s">
        <v>42281</v>
      </c>
      <c r="M5353" t="s">
        <v>43766</v>
      </c>
      <c r="N5353" t="s">
        <v>46569</v>
      </c>
      <c r="O5353" t="s">
        <v>46570</v>
      </c>
      <c r="P5353">
        <v>0</v>
      </c>
      <c r="Q5353">
        <v>0</v>
      </c>
      <c r="R5353" t="s">
        <v>46573</v>
      </c>
      <c r="S5353" t="s">
        <v>46705</v>
      </c>
      <c r="T5353" t="s">
        <v>48282</v>
      </c>
      <c r="U5353" t="s">
        <v>49886</v>
      </c>
      <c r="V5353" t="s">
        <v>62183</v>
      </c>
      <c r="W5353" t="s">
        <v>43766</v>
      </c>
      <c r="X5353" t="s">
        <v>46574</v>
      </c>
    </row>
    <row r="5354" spans="1:24">
      <c r="A5354">
        <f>HYPERLINK("https://www.philgeps.gov.ph/GEPSNONPILOT/Tender/SplashBidNoticeAbstractUI.aspx?menuIndex=3&amp;refID=7059308&amp;Result=3","7059308")</f>
        <v>0</v>
      </c>
      <c r="B5354" t="s">
        <v>1821</v>
      </c>
      <c r="C5354" t="s">
        <v>8638</v>
      </c>
      <c r="D5354" t="s">
        <v>18800</v>
      </c>
      <c r="E5354" t="s">
        <v>18889</v>
      </c>
      <c r="F5354" t="s">
        <v>32664</v>
      </c>
      <c r="G5354" t="s">
        <v>32672</v>
      </c>
      <c r="H5354" t="s">
        <v>12635</v>
      </c>
      <c r="I5354" t="s">
        <v>4439</v>
      </c>
      <c r="J5354" t="s">
        <v>32853</v>
      </c>
      <c r="K5354" t="s">
        <v>42289</v>
      </c>
      <c r="M5354" t="s">
        <v>44527</v>
      </c>
      <c r="N5354" t="s">
        <v>46569</v>
      </c>
      <c r="O5354" t="s">
        <v>46570</v>
      </c>
      <c r="P5354">
        <v>0</v>
      </c>
      <c r="Q5354">
        <v>0</v>
      </c>
      <c r="R5354" t="s">
        <v>46573</v>
      </c>
      <c r="S5354" t="s">
        <v>46705</v>
      </c>
      <c r="T5354" t="s">
        <v>48280</v>
      </c>
      <c r="U5354" t="s">
        <v>53221</v>
      </c>
      <c r="W5354" t="s">
        <v>44527</v>
      </c>
      <c r="X5354" t="s">
        <v>46574</v>
      </c>
    </row>
    <row r="5355" spans="1:24">
      <c r="A5355">
        <f>HYPERLINK("https://www.philgeps.gov.ph/GEPSNONPILOT/Tender/SplashBidNoticeAbstractUI.aspx?menuIndex=3&amp;refID=7059294&amp;Result=3","7059294")</f>
        <v>0</v>
      </c>
      <c r="B5355" t="s">
        <v>1822</v>
      </c>
      <c r="C5355" t="s">
        <v>8639</v>
      </c>
      <c r="D5355" t="s">
        <v>18810</v>
      </c>
      <c r="E5355" t="s">
        <v>19380</v>
      </c>
      <c r="F5355" t="s">
        <v>32664</v>
      </c>
      <c r="G5355" t="s">
        <v>32672</v>
      </c>
      <c r="H5355" t="s">
        <v>12635</v>
      </c>
      <c r="I5355" t="s">
        <v>6223</v>
      </c>
      <c r="J5355" t="s">
        <v>36210</v>
      </c>
      <c r="K5355" t="s">
        <v>42284</v>
      </c>
      <c r="M5355" t="s">
        <v>44528</v>
      </c>
      <c r="N5355" t="s">
        <v>46569</v>
      </c>
      <c r="O5355" t="s">
        <v>46570</v>
      </c>
      <c r="P5355">
        <v>0</v>
      </c>
      <c r="Q5355">
        <v>0</v>
      </c>
      <c r="R5355" t="s">
        <v>46573</v>
      </c>
      <c r="S5355" t="s">
        <v>46705</v>
      </c>
      <c r="T5355" t="s">
        <v>48228</v>
      </c>
      <c r="U5355" t="s">
        <v>53222</v>
      </c>
      <c r="W5355" t="s">
        <v>44528</v>
      </c>
      <c r="X5355" t="s">
        <v>46574</v>
      </c>
    </row>
    <row r="5356" spans="1:24">
      <c r="A5356">
        <f>HYPERLINK("https://www.philgeps.gov.ph/GEPSNONPILOT/Tender/SplashBidNoticeAbstractUI.aspx?menuIndex=3&amp;refID=7059317&amp;Result=3","7059317")</f>
        <v>0</v>
      </c>
      <c r="B5356" t="s">
        <v>592</v>
      </c>
      <c r="C5356" t="s">
        <v>8640</v>
      </c>
      <c r="D5356" t="s">
        <v>18784</v>
      </c>
      <c r="E5356" t="s">
        <v>23688</v>
      </c>
      <c r="F5356" t="s">
        <v>32664</v>
      </c>
      <c r="G5356" t="s">
        <v>32671</v>
      </c>
      <c r="H5356" t="s">
        <v>12635</v>
      </c>
      <c r="I5356" t="s">
        <v>32701</v>
      </c>
      <c r="J5356" t="s">
        <v>35588</v>
      </c>
      <c r="K5356" t="s">
        <v>42283</v>
      </c>
      <c r="M5356" t="s">
        <v>43766</v>
      </c>
      <c r="N5356" t="s">
        <v>46569</v>
      </c>
      <c r="O5356" t="s">
        <v>46570</v>
      </c>
      <c r="P5356">
        <v>0</v>
      </c>
      <c r="Q5356">
        <v>0</v>
      </c>
      <c r="R5356" t="s">
        <v>46573</v>
      </c>
      <c r="S5356" t="s">
        <v>46705</v>
      </c>
      <c r="T5356" t="s">
        <v>48282</v>
      </c>
      <c r="U5356" t="s">
        <v>49886</v>
      </c>
      <c r="V5356" t="s">
        <v>62183</v>
      </c>
      <c r="W5356" t="s">
        <v>43766</v>
      </c>
      <c r="X5356" t="s">
        <v>46574</v>
      </c>
    </row>
    <row r="5357" spans="1:24">
      <c r="A5357">
        <f>HYPERLINK("https://www.philgeps.gov.ph/GEPSNONPILOT/Tender/SplashBidNoticeAbstractUI.aspx?menuIndex=3&amp;refID=7059289&amp;Result=3","7059289")</f>
        <v>0</v>
      </c>
      <c r="B5357" t="s">
        <v>1823</v>
      </c>
      <c r="C5357" t="s">
        <v>8641</v>
      </c>
      <c r="D5357" t="s">
        <v>18827</v>
      </c>
      <c r="E5357" t="s">
        <v>21126</v>
      </c>
      <c r="F5357" t="s">
        <v>32664</v>
      </c>
      <c r="G5357" t="s">
        <v>32672</v>
      </c>
      <c r="H5357" t="s">
        <v>12635</v>
      </c>
      <c r="I5357" t="s">
        <v>14442</v>
      </c>
      <c r="J5357" t="s">
        <v>32931</v>
      </c>
      <c r="K5357" t="s">
        <v>42289</v>
      </c>
      <c r="M5357" t="s">
        <v>44529</v>
      </c>
      <c r="N5357" t="s">
        <v>46569</v>
      </c>
      <c r="O5357" t="s">
        <v>46570</v>
      </c>
      <c r="P5357">
        <v>0</v>
      </c>
      <c r="Q5357">
        <v>10</v>
      </c>
      <c r="R5357" t="s">
        <v>46573</v>
      </c>
      <c r="S5357" t="s">
        <v>46705</v>
      </c>
      <c r="T5357" t="s">
        <v>48544</v>
      </c>
      <c r="U5357" t="s">
        <v>53223</v>
      </c>
      <c r="W5357" t="s">
        <v>44529</v>
      </c>
      <c r="X5357" t="s">
        <v>46574</v>
      </c>
    </row>
    <row r="5358" spans="1:24">
      <c r="A5358">
        <f>HYPERLINK("https://www.philgeps.gov.ph/GEPSNONPILOT/Tender/SplashBidNoticeAbstractUI.aspx?menuIndex=3&amp;refID=7059300&amp;Result=3","7059300")</f>
        <v>0</v>
      </c>
      <c r="B5358" t="s">
        <v>1824</v>
      </c>
      <c r="C5358" t="s">
        <v>8642</v>
      </c>
      <c r="D5358" t="s">
        <v>18782</v>
      </c>
      <c r="E5358" t="s">
        <v>23689</v>
      </c>
      <c r="F5358" t="s">
        <v>32664</v>
      </c>
      <c r="G5358" t="s">
        <v>32671</v>
      </c>
      <c r="H5358" t="s">
        <v>12635</v>
      </c>
      <c r="I5358" t="s">
        <v>8797</v>
      </c>
      <c r="J5358" t="s">
        <v>32929</v>
      </c>
      <c r="K5358" t="s">
        <v>42283</v>
      </c>
      <c r="M5358" t="s">
        <v>44530</v>
      </c>
      <c r="N5358" t="s">
        <v>46569</v>
      </c>
      <c r="O5358" t="s">
        <v>46570</v>
      </c>
      <c r="P5358">
        <v>0</v>
      </c>
      <c r="Q5358">
        <v>4</v>
      </c>
      <c r="R5358" t="s">
        <v>46573</v>
      </c>
      <c r="S5358" t="s">
        <v>46705</v>
      </c>
      <c r="T5358" t="s">
        <v>48287</v>
      </c>
      <c r="U5358" t="s">
        <v>52880</v>
      </c>
      <c r="W5358" t="s">
        <v>44530</v>
      </c>
      <c r="X5358" t="s">
        <v>46574</v>
      </c>
    </row>
    <row r="5359" spans="1:24">
      <c r="A5359">
        <f>HYPERLINK("https://www.philgeps.gov.ph/GEPSNONPILOT/Tender/SplashBidNoticeAbstractUI.aspx?menuIndex=3&amp;refID=7059267&amp;Result=3","7059267")</f>
        <v>0</v>
      </c>
      <c r="B5359" t="s">
        <v>1825</v>
      </c>
      <c r="C5359" t="s">
        <v>8643</v>
      </c>
      <c r="D5359" t="s">
        <v>18784</v>
      </c>
      <c r="E5359" t="s">
        <v>23690</v>
      </c>
      <c r="F5359" t="s">
        <v>32664</v>
      </c>
      <c r="G5359" t="s">
        <v>32671</v>
      </c>
      <c r="H5359" t="s">
        <v>12635</v>
      </c>
      <c r="I5359" t="s">
        <v>6168</v>
      </c>
      <c r="J5359" t="s">
        <v>36211</v>
      </c>
      <c r="K5359" t="s">
        <v>42289</v>
      </c>
      <c r="M5359" t="s">
        <v>44531</v>
      </c>
      <c r="N5359" t="s">
        <v>46569</v>
      </c>
      <c r="O5359" t="s">
        <v>46570</v>
      </c>
      <c r="P5359">
        <v>0</v>
      </c>
      <c r="Q5359">
        <v>7</v>
      </c>
      <c r="R5359" t="s">
        <v>46573</v>
      </c>
      <c r="S5359" t="s">
        <v>46705</v>
      </c>
      <c r="T5359" t="s">
        <v>48287</v>
      </c>
      <c r="U5359" t="s">
        <v>53224</v>
      </c>
      <c r="W5359" t="s">
        <v>44531</v>
      </c>
      <c r="X5359" t="s">
        <v>46574</v>
      </c>
    </row>
    <row r="5360" spans="1:24">
      <c r="A5360">
        <f>HYPERLINK("https://www.philgeps.gov.ph/GEPSNONPILOT/Tender/SplashBidNoticeAbstractUI.aspx?menuIndex=3&amp;refID=7059235&amp;Result=3","7059235")</f>
        <v>0</v>
      </c>
      <c r="B5360" t="s">
        <v>490</v>
      </c>
      <c r="C5360" t="s">
        <v>8644</v>
      </c>
      <c r="D5360" t="s">
        <v>18805</v>
      </c>
      <c r="E5360" t="s">
        <v>23691</v>
      </c>
      <c r="F5360" t="s">
        <v>32664</v>
      </c>
      <c r="G5360" t="s">
        <v>32671</v>
      </c>
      <c r="H5360" t="s">
        <v>12635</v>
      </c>
      <c r="I5360" t="s">
        <v>32694</v>
      </c>
      <c r="J5360" t="s">
        <v>34640</v>
      </c>
      <c r="K5360" t="s">
        <v>42283</v>
      </c>
      <c r="M5360" t="s">
        <v>43066</v>
      </c>
      <c r="N5360" t="s">
        <v>46569</v>
      </c>
      <c r="O5360" t="s">
        <v>46570</v>
      </c>
      <c r="P5360">
        <v>0</v>
      </c>
      <c r="Q5360">
        <v>0</v>
      </c>
      <c r="R5360" t="s">
        <v>46573</v>
      </c>
      <c r="S5360" t="s">
        <v>46705</v>
      </c>
      <c r="T5360" t="s">
        <v>48436</v>
      </c>
      <c r="U5360" t="s">
        <v>53225</v>
      </c>
      <c r="V5360" t="s">
        <v>62184</v>
      </c>
      <c r="W5360" t="s">
        <v>43066</v>
      </c>
      <c r="X5360" t="s">
        <v>46574</v>
      </c>
    </row>
    <row r="5361" spans="1:24">
      <c r="A5361">
        <f>HYPERLINK("https://www.philgeps.gov.ph/GEPSNONPILOT/Tender/SplashBidNoticeAbstractUI.aspx?menuIndex=3&amp;refID=7059326&amp;Result=3","7059326")</f>
        <v>0</v>
      </c>
      <c r="B5361" t="s">
        <v>817</v>
      </c>
      <c r="C5361" t="s">
        <v>8645</v>
      </c>
      <c r="E5361" t="s">
        <v>23692</v>
      </c>
      <c r="F5361" t="s">
        <v>32664</v>
      </c>
      <c r="G5361" t="s">
        <v>32671</v>
      </c>
      <c r="H5361" t="s">
        <v>12635</v>
      </c>
      <c r="I5361" t="s">
        <v>4439</v>
      </c>
      <c r="J5361" t="s">
        <v>36212</v>
      </c>
      <c r="K5361" t="s">
        <v>42283</v>
      </c>
      <c r="M5361" t="s">
        <v>43412</v>
      </c>
      <c r="N5361" t="s">
        <v>46569</v>
      </c>
      <c r="O5361" t="s">
        <v>46570</v>
      </c>
      <c r="P5361">
        <v>0</v>
      </c>
      <c r="Q5361">
        <v>0</v>
      </c>
      <c r="R5361" t="s">
        <v>46573</v>
      </c>
      <c r="S5361" t="s">
        <v>46705</v>
      </c>
      <c r="T5361" t="s">
        <v>48244</v>
      </c>
      <c r="U5361" t="s">
        <v>50349</v>
      </c>
      <c r="W5361" t="s">
        <v>43412</v>
      </c>
      <c r="X5361" t="s">
        <v>46574</v>
      </c>
    </row>
    <row r="5362" spans="1:24">
      <c r="A5362">
        <f>HYPERLINK("https://www.philgeps.gov.ph/GEPSNONPILOT/Tender/SplashBidNoticeAbstractUI.aspx?menuIndex=3&amp;refID=7059291&amp;Result=3","7059291")</f>
        <v>0</v>
      </c>
      <c r="B5362" t="s">
        <v>1190</v>
      </c>
      <c r="C5362" t="s">
        <v>8646</v>
      </c>
      <c r="D5362" t="s">
        <v>18855</v>
      </c>
      <c r="E5362" t="s">
        <v>23693</v>
      </c>
      <c r="F5362" t="s">
        <v>32664</v>
      </c>
      <c r="G5362" t="s">
        <v>32672</v>
      </c>
      <c r="H5362" t="s">
        <v>32683</v>
      </c>
      <c r="I5362" t="s">
        <v>10627</v>
      </c>
      <c r="J5362" t="s">
        <v>32962</v>
      </c>
      <c r="K5362" t="s">
        <v>42298</v>
      </c>
      <c r="M5362" t="s">
        <v>43826</v>
      </c>
      <c r="N5362" t="s">
        <v>46569</v>
      </c>
      <c r="O5362" t="s">
        <v>46570</v>
      </c>
      <c r="P5362">
        <v>0</v>
      </c>
      <c r="Q5362">
        <v>0</v>
      </c>
      <c r="R5362" t="s">
        <v>46573</v>
      </c>
      <c r="S5362" t="s">
        <v>46705</v>
      </c>
      <c r="T5362" t="s">
        <v>48280</v>
      </c>
      <c r="U5362" t="s">
        <v>53082</v>
      </c>
      <c r="W5362" t="s">
        <v>43826</v>
      </c>
      <c r="X5362" t="s">
        <v>46574</v>
      </c>
    </row>
    <row r="5363" spans="1:24">
      <c r="A5363">
        <f>HYPERLINK("https://www.philgeps.gov.ph/GEPSNONPILOT/Tender/SplashBidNoticeAbstractUI.aspx?menuIndex=3&amp;refID=7059290&amp;Result=3","7059290")</f>
        <v>0</v>
      </c>
      <c r="B5363" t="s">
        <v>129</v>
      </c>
      <c r="C5363" t="s">
        <v>8647</v>
      </c>
      <c r="D5363" t="s">
        <v>18792</v>
      </c>
      <c r="E5363" t="s">
        <v>19159</v>
      </c>
      <c r="F5363" t="s">
        <v>32664</v>
      </c>
      <c r="G5363" t="s">
        <v>32671</v>
      </c>
      <c r="H5363" t="s">
        <v>12635</v>
      </c>
      <c r="I5363" t="s">
        <v>32706</v>
      </c>
      <c r="J5363" t="s">
        <v>34674</v>
      </c>
      <c r="K5363" t="s">
        <v>42281</v>
      </c>
      <c r="M5363" t="s">
        <v>42693</v>
      </c>
      <c r="N5363" t="s">
        <v>46569</v>
      </c>
      <c r="O5363" t="s">
        <v>46570</v>
      </c>
      <c r="P5363">
        <v>0</v>
      </c>
      <c r="Q5363">
        <v>0</v>
      </c>
      <c r="R5363" t="s">
        <v>46573</v>
      </c>
      <c r="S5363" t="s">
        <v>46705</v>
      </c>
      <c r="T5363" t="s">
        <v>48287</v>
      </c>
      <c r="U5363" t="s">
        <v>53226</v>
      </c>
      <c r="W5363" t="s">
        <v>42693</v>
      </c>
      <c r="X5363" t="s">
        <v>46574</v>
      </c>
    </row>
    <row r="5364" spans="1:24">
      <c r="A5364">
        <f>HYPERLINK("https://www.philgeps.gov.ph/GEPSNONPILOT/Tender/SplashBidNoticeAbstractUI.aspx?menuIndex=3&amp;refID=7059351&amp;Result=3","7059351")</f>
        <v>0</v>
      </c>
      <c r="B5364" t="s">
        <v>1795</v>
      </c>
      <c r="C5364" t="s">
        <v>8648</v>
      </c>
      <c r="D5364" t="s">
        <v>18807</v>
      </c>
      <c r="E5364" t="s">
        <v>23694</v>
      </c>
      <c r="F5364" t="s">
        <v>32664</v>
      </c>
      <c r="G5364" t="s">
        <v>32671</v>
      </c>
      <c r="H5364" t="s">
        <v>12635</v>
      </c>
      <c r="I5364" t="s">
        <v>32694</v>
      </c>
      <c r="J5364" t="s">
        <v>32845</v>
      </c>
      <c r="K5364" t="s">
        <v>42283</v>
      </c>
      <c r="M5364" t="s">
        <v>44498</v>
      </c>
      <c r="N5364" t="s">
        <v>46569</v>
      </c>
      <c r="O5364" t="s">
        <v>46570</v>
      </c>
      <c r="P5364">
        <v>0</v>
      </c>
      <c r="Q5364">
        <v>0</v>
      </c>
      <c r="R5364" t="s">
        <v>46573</v>
      </c>
      <c r="S5364" t="s">
        <v>46705</v>
      </c>
      <c r="T5364" t="s">
        <v>48287</v>
      </c>
      <c r="U5364" t="s">
        <v>53227</v>
      </c>
      <c r="W5364" t="s">
        <v>44498</v>
      </c>
      <c r="X5364" t="s">
        <v>46574</v>
      </c>
    </row>
    <row r="5365" spans="1:24">
      <c r="A5365">
        <f>HYPERLINK("https://www.philgeps.gov.ph/GEPSNONPILOT/Tender/SplashBidNoticeAbstractUI.aspx?menuIndex=3&amp;refID=7059349&amp;Result=3","7059349")</f>
        <v>0</v>
      </c>
      <c r="B5365" t="s">
        <v>1799</v>
      </c>
      <c r="C5365" t="s">
        <v>8649</v>
      </c>
      <c r="D5365" t="s">
        <v>18784</v>
      </c>
      <c r="E5365" t="s">
        <v>23695</v>
      </c>
      <c r="F5365" t="s">
        <v>32664</v>
      </c>
      <c r="G5365" t="s">
        <v>32672</v>
      </c>
      <c r="H5365" t="s">
        <v>32683</v>
      </c>
      <c r="I5365" t="s">
        <v>10627</v>
      </c>
      <c r="J5365" t="s">
        <v>36213</v>
      </c>
      <c r="K5365" t="s">
        <v>42311</v>
      </c>
      <c r="M5365" t="s">
        <v>44502</v>
      </c>
      <c r="N5365" t="s">
        <v>46569</v>
      </c>
      <c r="O5365" t="s">
        <v>46570</v>
      </c>
      <c r="P5365">
        <v>0</v>
      </c>
      <c r="Q5365">
        <v>4</v>
      </c>
      <c r="R5365" t="s">
        <v>46573</v>
      </c>
      <c r="S5365" t="s">
        <v>46705</v>
      </c>
      <c r="T5365" t="s">
        <v>48213</v>
      </c>
      <c r="U5365" t="s">
        <v>53143</v>
      </c>
      <c r="W5365" t="s">
        <v>63534</v>
      </c>
      <c r="X5365" t="s">
        <v>46574</v>
      </c>
    </row>
    <row r="5366" spans="1:24">
      <c r="A5366">
        <f>HYPERLINK("https://www.philgeps.gov.ph/GEPSNONPILOT/Tender/SplashBidNoticeAbstractUI.aspx?menuIndex=3&amp;refID=7059347&amp;Result=3","7059347")</f>
        <v>0</v>
      </c>
      <c r="B5366" t="s">
        <v>817</v>
      </c>
      <c r="C5366" t="s">
        <v>8650</v>
      </c>
      <c r="E5366" t="s">
        <v>23696</v>
      </c>
      <c r="F5366" t="s">
        <v>32664</v>
      </c>
      <c r="G5366" t="s">
        <v>32671</v>
      </c>
      <c r="H5366" t="s">
        <v>12635</v>
      </c>
      <c r="I5366" t="s">
        <v>4439</v>
      </c>
      <c r="J5366" t="s">
        <v>36214</v>
      </c>
      <c r="K5366" t="s">
        <v>42283</v>
      </c>
      <c r="M5366" t="s">
        <v>43412</v>
      </c>
      <c r="N5366" t="s">
        <v>46569</v>
      </c>
      <c r="O5366" t="s">
        <v>46570</v>
      </c>
      <c r="P5366">
        <v>0</v>
      </c>
      <c r="Q5366">
        <v>0</v>
      </c>
      <c r="R5366" t="s">
        <v>46573</v>
      </c>
      <c r="S5366" t="s">
        <v>46705</v>
      </c>
      <c r="T5366" t="s">
        <v>48244</v>
      </c>
      <c r="U5366" t="s">
        <v>53228</v>
      </c>
      <c r="W5366" t="s">
        <v>43412</v>
      </c>
      <c r="X5366" t="s">
        <v>46574</v>
      </c>
    </row>
    <row r="5367" spans="1:24">
      <c r="A5367">
        <f>HYPERLINK("https://www.philgeps.gov.ph/GEPSNONPILOT/Tender/SplashBidNoticeAbstractUI.aspx?menuIndex=3&amp;refID=7059344&amp;Result=3","7059344")</f>
        <v>0</v>
      </c>
      <c r="B5367" t="s">
        <v>168</v>
      </c>
      <c r="C5367" t="s">
        <v>8651</v>
      </c>
      <c r="D5367" t="s">
        <v>18790</v>
      </c>
      <c r="E5367" t="s">
        <v>23697</v>
      </c>
      <c r="F5367" t="s">
        <v>32664</v>
      </c>
      <c r="G5367" t="s">
        <v>32672</v>
      </c>
      <c r="H5367" t="s">
        <v>12635</v>
      </c>
      <c r="I5367" t="s">
        <v>11464</v>
      </c>
      <c r="J5367" t="s">
        <v>35589</v>
      </c>
      <c r="K5367" t="s">
        <v>42284</v>
      </c>
      <c r="M5367" t="s">
        <v>42732</v>
      </c>
      <c r="N5367" t="s">
        <v>46569</v>
      </c>
      <c r="O5367" t="s">
        <v>46570</v>
      </c>
      <c r="P5367">
        <v>0</v>
      </c>
      <c r="Q5367">
        <v>5</v>
      </c>
      <c r="R5367" t="s">
        <v>46573</v>
      </c>
      <c r="S5367" t="s">
        <v>46705</v>
      </c>
      <c r="T5367" t="s">
        <v>48263</v>
      </c>
      <c r="U5367" t="s">
        <v>53229</v>
      </c>
      <c r="W5367" t="s">
        <v>42732</v>
      </c>
      <c r="X5367" t="s">
        <v>46574</v>
      </c>
    </row>
    <row r="5368" spans="1:24">
      <c r="A5368">
        <f>HYPERLINK("https://www.philgeps.gov.ph/GEPSNONPILOT/Tender/SplashBidNoticeAbstractUI.aspx?menuIndex=3&amp;refID=7059343&amp;Result=3","7059343")</f>
        <v>0</v>
      </c>
      <c r="B5368" t="s">
        <v>671</v>
      </c>
      <c r="C5368" t="s">
        <v>8652</v>
      </c>
      <c r="D5368" t="s">
        <v>18836</v>
      </c>
      <c r="E5368" t="s">
        <v>23698</v>
      </c>
      <c r="F5368" t="s">
        <v>32664</v>
      </c>
      <c r="G5368" t="s">
        <v>32672</v>
      </c>
      <c r="H5368" t="s">
        <v>12635</v>
      </c>
      <c r="I5368" t="s">
        <v>8730</v>
      </c>
      <c r="J5368" t="s">
        <v>36215</v>
      </c>
      <c r="K5368" t="s">
        <v>42281</v>
      </c>
      <c r="M5368" t="s">
        <v>44532</v>
      </c>
      <c r="N5368" t="s">
        <v>46569</v>
      </c>
      <c r="O5368" t="s">
        <v>46570</v>
      </c>
      <c r="P5368">
        <v>0</v>
      </c>
      <c r="Q5368">
        <v>5</v>
      </c>
      <c r="R5368" t="s">
        <v>46573</v>
      </c>
      <c r="S5368" t="s">
        <v>46705</v>
      </c>
      <c r="T5368" t="s">
        <v>48257</v>
      </c>
      <c r="U5368" t="s">
        <v>53230</v>
      </c>
      <c r="W5368" t="s">
        <v>63535</v>
      </c>
      <c r="X5368" t="s">
        <v>46574</v>
      </c>
    </row>
    <row r="5369" spans="1:24">
      <c r="A5369">
        <f>HYPERLINK("https://www.philgeps.gov.ph/GEPSNONPILOT/Tender/SplashBidNoticeAbstractUI.aspx?menuIndex=3&amp;refID=7059341&amp;Result=3","7059341")</f>
        <v>0</v>
      </c>
      <c r="B5369" t="s">
        <v>1009</v>
      </c>
      <c r="C5369" t="s">
        <v>8653</v>
      </c>
      <c r="D5369" t="s">
        <v>18783</v>
      </c>
      <c r="E5369" t="s">
        <v>23699</v>
      </c>
      <c r="F5369" t="s">
        <v>32664</v>
      </c>
      <c r="G5369" t="s">
        <v>32672</v>
      </c>
      <c r="H5369" t="s">
        <v>32683</v>
      </c>
      <c r="I5369" t="s">
        <v>10627</v>
      </c>
      <c r="J5369" t="s">
        <v>34559</v>
      </c>
      <c r="K5369" t="s">
        <v>42290</v>
      </c>
      <c r="M5369" t="s">
        <v>44413</v>
      </c>
      <c r="N5369" t="s">
        <v>46569</v>
      </c>
      <c r="O5369" t="s">
        <v>46570</v>
      </c>
      <c r="P5369">
        <v>0</v>
      </c>
      <c r="Q5369">
        <v>1</v>
      </c>
      <c r="R5369" t="s">
        <v>46573</v>
      </c>
      <c r="S5369" t="s">
        <v>46705</v>
      </c>
      <c r="T5369" t="s">
        <v>48257</v>
      </c>
      <c r="U5369" t="s">
        <v>53231</v>
      </c>
      <c r="W5369" t="s">
        <v>44413</v>
      </c>
      <c r="X5369" t="s">
        <v>46574</v>
      </c>
    </row>
    <row r="5370" spans="1:24">
      <c r="A5370">
        <f>HYPERLINK("https://www.philgeps.gov.ph/GEPSNONPILOT/Tender/SplashBidNoticeAbstractUI.aspx?menuIndex=3&amp;refID=7059340&amp;Result=3","7059340")</f>
        <v>0</v>
      </c>
      <c r="B5370" t="s">
        <v>1732</v>
      </c>
      <c r="C5370" t="s">
        <v>8654</v>
      </c>
      <c r="D5370" t="s">
        <v>18784</v>
      </c>
      <c r="E5370" t="s">
        <v>23433</v>
      </c>
      <c r="F5370" t="s">
        <v>32664</v>
      </c>
      <c r="G5370" t="s">
        <v>32671</v>
      </c>
      <c r="H5370" t="s">
        <v>12635</v>
      </c>
      <c r="I5370" t="s">
        <v>6118</v>
      </c>
      <c r="J5370" t="s">
        <v>36216</v>
      </c>
      <c r="K5370" t="s">
        <v>42297</v>
      </c>
      <c r="M5370" t="s">
        <v>44431</v>
      </c>
      <c r="N5370" t="s">
        <v>46569</v>
      </c>
      <c r="O5370" t="s">
        <v>46570</v>
      </c>
      <c r="P5370">
        <v>0</v>
      </c>
      <c r="Q5370">
        <v>1</v>
      </c>
      <c r="R5370" t="s">
        <v>46573</v>
      </c>
      <c r="S5370" t="s">
        <v>46705</v>
      </c>
      <c r="T5370" t="s">
        <v>48228</v>
      </c>
      <c r="U5370" t="s">
        <v>53232</v>
      </c>
      <c r="W5370" t="s">
        <v>44431</v>
      </c>
      <c r="X5370" t="s">
        <v>46574</v>
      </c>
    </row>
    <row r="5371" spans="1:24">
      <c r="A5371">
        <f>HYPERLINK("https://www.philgeps.gov.ph/GEPSNONPILOT/Tender/SplashBidNoticeAbstractUI.aspx?menuIndex=3&amp;refID=7059338&amp;Result=3","7059338")</f>
        <v>0</v>
      </c>
      <c r="B5371" t="s">
        <v>1706</v>
      </c>
      <c r="C5371" t="s">
        <v>8655</v>
      </c>
      <c r="D5371" t="s">
        <v>18793</v>
      </c>
      <c r="E5371" t="s">
        <v>23700</v>
      </c>
      <c r="F5371" t="s">
        <v>32664</v>
      </c>
      <c r="G5371" t="s">
        <v>32672</v>
      </c>
      <c r="H5371" t="s">
        <v>12635</v>
      </c>
      <c r="I5371" t="s">
        <v>6118</v>
      </c>
      <c r="J5371" t="s">
        <v>34102</v>
      </c>
      <c r="K5371" t="s">
        <v>42298</v>
      </c>
      <c r="M5371" t="s">
        <v>44400</v>
      </c>
      <c r="N5371" t="s">
        <v>46569</v>
      </c>
      <c r="O5371" t="s">
        <v>46570</v>
      </c>
      <c r="P5371">
        <v>0</v>
      </c>
      <c r="Q5371">
        <v>0</v>
      </c>
      <c r="R5371" t="s">
        <v>46573</v>
      </c>
      <c r="S5371" t="s">
        <v>46705</v>
      </c>
      <c r="T5371" t="s">
        <v>48349</v>
      </c>
      <c r="U5371" t="s">
        <v>53233</v>
      </c>
      <c r="W5371" t="s">
        <v>44400</v>
      </c>
      <c r="X5371" t="s">
        <v>46574</v>
      </c>
    </row>
    <row r="5372" spans="1:24">
      <c r="A5372">
        <f>HYPERLINK("https://www.philgeps.gov.ph/GEPSNONPILOT/Tender/SplashBidNoticeAbstractUI.aspx?menuIndex=3&amp;refID=7059337&amp;Result=3","7059337")</f>
        <v>0</v>
      </c>
      <c r="B5372" t="s">
        <v>1396</v>
      </c>
      <c r="C5372" t="s">
        <v>8656</v>
      </c>
      <c r="D5372" t="s">
        <v>18804</v>
      </c>
      <c r="E5372" t="s">
        <v>23701</v>
      </c>
      <c r="F5372" t="s">
        <v>32664</v>
      </c>
      <c r="G5372" t="s">
        <v>32671</v>
      </c>
      <c r="H5372" t="s">
        <v>12635</v>
      </c>
      <c r="I5372" t="s">
        <v>10370</v>
      </c>
      <c r="J5372" t="s">
        <v>36217</v>
      </c>
      <c r="K5372" t="s">
        <v>42297</v>
      </c>
      <c r="M5372" t="s">
        <v>44053</v>
      </c>
      <c r="N5372" t="s">
        <v>46569</v>
      </c>
      <c r="O5372" t="s">
        <v>46570</v>
      </c>
      <c r="P5372">
        <v>0</v>
      </c>
      <c r="Q5372">
        <v>5</v>
      </c>
      <c r="R5372" t="s">
        <v>46573</v>
      </c>
      <c r="S5372" t="s">
        <v>46705</v>
      </c>
      <c r="T5372" t="s">
        <v>48307</v>
      </c>
      <c r="U5372" t="s">
        <v>53234</v>
      </c>
      <c r="W5372" t="s">
        <v>44053</v>
      </c>
      <c r="X5372" t="s">
        <v>46574</v>
      </c>
    </row>
    <row r="5373" spans="1:24">
      <c r="A5373">
        <f>HYPERLINK("https://www.philgeps.gov.ph/GEPSNONPILOT/Tender/SplashBidNoticeAbstractUI.aspx?menuIndex=3&amp;refID=7059353&amp;Result=3","7059353")</f>
        <v>0</v>
      </c>
      <c r="B5373" t="s">
        <v>1211</v>
      </c>
      <c r="C5373" t="s">
        <v>8657</v>
      </c>
      <c r="D5373" t="s">
        <v>18784</v>
      </c>
      <c r="E5373" t="s">
        <v>23702</v>
      </c>
      <c r="F5373" t="s">
        <v>32664</v>
      </c>
      <c r="G5373" t="s">
        <v>32671</v>
      </c>
      <c r="H5373" t="s">
        <v>12635</v>
      </c>
      <c r="I5373" t="s">
        <v>4439</v>
      </c>
      <c r="J5373" t="s">
        <v>36218</v>
      </c>
      <c r="K5373" t="s">
        <v>42309</v>
      </c>
      <c r="M5373" t="s">
        <v>43849</v>
      </c>
      <c r="N5373" t="s">
        <v>46569</v>
      </c>
      <c r="O5373" t="s">
        <v>46570</v>
      </c>
      <c r="P5373">
        <v>0</v>
      </c>
      <c r="Q5373">
        <v>0</v>
      </c>
      <c r="R5373" t="s">
        <v>46573</v>
      </c>
      <c r="S5373" t="s">
        <v>46705</v>
      </c>
      <c r="T5373" t="s">
        <v>48287</v>
      </c>
      <c r="U5373" t="s">
        <v>53235</v>
      </c>
      <c r="W5373" t="s">
        <v>43849</v>
      </c>
      <c r="X5373" t="s">
        <v>46574</v>
      </c>
    </row>
    <row r="5374" spans="1:24">
      <c r="A5374">
        <f>HYPERLINK("https://www.philgeps.gov.ph/GEPSNONPILOT/Tender/SplashBidNoticeAbstractUI.aspx?menuIndex=3&amp;refID=7059303&amp;Result=3","7059303")</f>
        <v>0</v>
      </c>
      <c r="B5374" t="s">
        <v>1534</v>
      </c>
      <c r="C5374" t="s">
        <v>8658</v>
      </c>
      <c r="D5374" t="s">
        <v>18853</v>
      </c>
      <c r="E5374" t="s">
        <v>23703</v>
      </c>
      <c r="F5374" t="s">
        <v>32664</v>
      </c>
      <c r="G5374" t="s">
        <v>32672</v>
      </c>
      <c r="H5374" t="s">
        <v>32683</v>
      </c>
      <c r="I5374" t="s">
        <v>10627</v>
      </c>
      <c r="J5374" t="s">
        <v>32962</v>
      </c>
      <c r="K5374" t="s">
        <v>42311</v>
      </c>
      <c r="M5374" t="s">
        <v>44201</v>
      </c>
      <c r="N5374" t="s">
        <v>46569</v>
      </c>
      <c r="O5374" t="s">
        <v>46570</v>
      </c>
      <c r="P5374">
        <v>0</v>
      </c>
      <c r="Q5374">
        <v>0</v>
      </c>
      <c r="R5374" t="s">
        <v>46573</v>
      </c>
      <c r="S5374" t="s">
        <v>46705</v>
      </c>
      <c r="T5374" t="s">
        <v>48377</v>
      </c>
      <c r="U5374" t="s">
        <v>53236</v>
      </c>
      <c r="W5374" t="s">
        <v>44201</v>
      </c>
      <c r="X5374" t="s">
        <v>46574</v>
      </c>
    </row>
    <row r="5375" spans="1:24">
      <c r="A5375">
        <f>HYPERLINK("https://www.philgeps.gov.ph/GEPSNONPILOT/Tender/SplashBidNoticeAbstractUI.aspx?menuIndex=3&amp;refID=7059238&amp;Result=3","7059238")</f>
        <v>0</v>
      </c>
      <c r="B5375" t="s">
        <v>312</v>
      </c>
      <c r="C5375" t="s">
        <v>4254</v>
      </c>
      <c r="D5375" t="s">
        <v>18805</v>
      </c>
      <c r="E5375" t="s">
        <v>23704</v>
      </c>
      <c r="F5375" t="s">
        <v>32664</v>
      </c>
      <c r="G5375" t="s">
        <v>32674</v>
      </c>
      <c r="H5375" t="s">
        <v>12635</v>
      </c>
      <c r="I5375" t="s">
        <v>6168</v>
      </c>
      <c r="J5375" t="s">
        <v>36219</v>
      </c>
      <c r="K5375" t="s">
        <v>42283</v>
      </c>
      <c r="M5375" t="s">
        <v>42879</v>
      </c>
      <c r="N5375" t="s">
        <v>46569</v>
      </c>
      <c r="O5375" t="s">
        <v>46570</v>
      </c>
      <c r="P5375">
        <v>0</v>
      </c>
      <c r="Q5375">
        <v>0</v>
      </c>
      <c r="R5375" t="s">
        <v>46573</v>
      </c>
      <c r="S5375" t="s">
        <v>46705</v>
      </c>
      <c r="T5375" t="s">
        <v>48258</v>
      </c>
      <c r="U5375" t="s">
        <v>49337</v>
      </c>
      <c r="W5375" t="s">
        <v>42879</v>
      </c>
      <c r="X5375" t="s">
        <v>46574</v>
      </c>
    </row>
    <row r="5376" spans="1:24">
      <c r="A5376">
        <f>HYPERLINK("https://www.philgeps.gov.ph/GEPSNONPILOT/Tender/SplashBidNoticeAbstractUI.aspx?menuIndex=3&amp;refID=7059333&amp;Result=3","7059333")</f>
        <v>0</v>
      </c>
      <c r="B5376" t="s">
        <v>1826</v>
      </c>
      <c r="C5376" t="s">
        <v>8659</v>
      </c>
      <c r="D5376" t="s">
        <v>18799</v>
      </c>
      <c r="E5376" t="s">
        <v>23705</v>
      </c>
      <c r="F5376" t="s">
        <v>32664</v>
      </c>
      <c r="G5376" t="s">
        <v>32671</v>
      </c>
      <c r="H5376" t="s">
        <v>12635</v>
      </c>
      <c r="I5376" t="s">
        <v>32684</v>
      </c>
      <c r="J5376" t="s">
        <v>33111</v>
      </c>
      <c r="K5376" t="s">
        <v>42283</v>
      </c>
      <c r="M5376" t="s">
        <v>44533</v>
      </c>
      <c r="N5376" t="s">
        <v>46569</v>
      </c>
      <c r="O5376" t="s">
        <v>46570</v>
      </c>
      <c r="P5376">
        <v>0</v>
      </c>
      <c r="Q5376">
        <v>6</v>
      </c>
      <c r="R5376" t="s">
        <v>46573</v>
      </c>
      <c r="S5376" t="s">
        <v>46705</v>
      </c>
      <c r="T5376" t="s">
        <v>48283</v>
      </c>
      <c r="U5376" t="s">
        <v>49273</v>
      </c>
      <c r="W5376" t="s">
        <v>44533</v>
      </c>
      <c r="X5376" t="s">
        <v>46574</v>
      </c>
    </row>
    <row r="5377" spans="1:24">
      <c r="A5377">
        <f>HYPERLINK("https://www.philgeps.gov.ph/GEPSNONPILOT/Tender/SplashBidNoticeAbstractUI.aspx?menuIndex=3&amp;refID=7059331&amp;Result=3","7059331")</f>
        <v>0</v>
      </c>
      <c r="B5377" t="s">
        <v>1827</v>
      </c>
      <c r="C5377" t="s">
        <v>8660</v>
      </c>
      <c r="D5377" t="s">
        <v>18799</v>
      </c>
      <c r="E5377" t="s">
        <v>19137</v>
      </c>
      <c r="F5377" t="s">
        <v>32664</v>
      </c>
      <c r="G5377" t="s">
        <v>32674</v>
      </c>
      <c r="H5377" t="s">
        <v>12635</v>
      </c>
      <c r="I5377" t="s">
        <v>6223</v>
      </c>
      <c r="J5377" t="s">
        <v>36220</v>
      </c>
      <c r="K5377" t="s">
        <v>42294</v>
      </c>
      <c r="M5377" t="s">
        <v>44534</v>
      </c>
      <c r="N5377" t="s">
        <v>46569</v>
      </c>
      <c r="O5377" t="s">
        <v>46570</v>
      </c>
      <c r="P5377">
        <v>0</v>
      </c>
      <c r="Q5377">
        <v>1</v>
      </c>
      <c r="R5377" t="s">
        <v>46573</v>
      </c>
      <c r="S5377" t="s">
        <v>46705</v>
      </c>
      <c r="T5377" t="s">
        <v>48305</v>
      </c>
      <c r="U5377" t="s">
        <v>53237</v>
      </c>
      <c r="W5377" t="s">
        <v>44534</v>
      </c>
      <c r="X5377" t="s">
        <v>46574</v>
      </c>
    </row>
    <row r="5378" spans="1:24">
      <c r="A5378">
        <f>HYPERLINK("https://www.philgeps.gov.ph/GEPSNONPILOT/Tender/SplashBidNoticeAbstractUI.aspx?menuIndex=3&amp;refID=7059352&amp;Result=3","7059352")</f>
        <v>0</v>
      </c>
      <c r="B5378" t="s">
        <v>1811</v>
      </c>
      <c r="C5378" t="s">
        <v>8661</v>
      </c>
      <c r="D5378" t="s">
        <v>18805</v>
      </c>
      <c r="E5378" t="s">
        <v>23706</v>
      </c>
      <c r="F5378" t="s">
        <v>32664</v>
      </c>
      <c r="G5378" t="s">
        <v>32672</v>
      </c>
      <c r="H5378" t="s">
        <v>12635</v>
      </c>
      <c r="I5378" t="s">
        <v>6628</v>
      </c>
      <c r="J5378" t="s">
        <v>36221</v>
      </c>
      <c r="K5378" t="s">
        <v>42283</v>
      </c>
      <c r="M5378" t="s">
        <v>44517</v>
      </c>
      <c r="N5378" t="s">
        <v>46569</v>
      </c>
      <c r="O5378" t="s">
        <v>46570</v>
      </c>
      <c r="P5378">
        <v>0</v>
      </c>
      <c r="Q5378">
        <v>0</v>
      </c>
      <c r="R5378" t="s">
        <v>46573</v>
      </c>
      <c r="S5378" t="s">
        <v>46705</v>
      </c>
      <c r="T5378" t="s">
        <v>48411</v>
      </c>
      <c r="U5378" t="s">
        <v>53238</v>
      </c>
      <c r="V5378" t="s">
        <v>62185</v>
      </c>
      <c r="W5378" t="s">
        <v>44517</v>
      </c>
      <c r="X5378" t="s">
        <v>46574</v>
      </c>
    </row>
    <row r="5379" spans="1:24">
      <c r="A5379">
        <f>HYPERLINK("https://www.philgeps.gov.ph/GEPSNONPILOT/Tender/SplashBidNoticeAbstractUI.aspx?menuIndex=3&amp;refID=7059329&amp;Result=3","7059329")</f>
        <v>0</v>
      </c>
      <c r="B5379" t="s">
        <v>1828</v>
      </c>
      <c r="C5379" t="s">
        <v>8662</v>
      </c>
      <c r="D5379" t="s">
        <v>18791</v>
      </c>
      <c r="E5379" t="s">
        <v>23707</v>
      </c>
      <c r="F5379" t="s">
        <v>32664</v>
      </c>
      <c r="G5379" t="s">
        <v>32671</v>
      </c>
      <c r="H5379" t="s">
        <v>12635</v>
      </c>
      <c r="I5379" t="s">
        <v>4439</v>
      </c>
      <c r="J5379" t="s">
        <v>33987</v>
      </c>
      <c r="K5379" t="s">
        <v>42295</v>
      </c>
      <c r="M5379" t="s">
        <v>44535</v>
      </c>
      <c r="N5379" t="s">
        <v>46569</v>
      </c>
      <c r="O5379" t="s">
        <v>46570</v>
      </c>
      <c r="P5379">
        <v>0</v>
      </c>
      <c r="Q5379">
        <v>0</v>
      </c>
      <c r="R5379" t="s">
        <v>46573</v>
      </c>
      <c r="S5379" t="s">
        <v>46705</v>
      </c>
      <c r="T5379" t="s">
        <v>48316</v>
      </c>
      <c r="U5379" t="s">
        <v>53239</v>
      </c>
      <c r="W5379" t="s">
        <v>44535</v>
      </c>
      <c r="X5379" t="s">
        <v>46574</v>
      </c>
    </row>
    <row r="5380" spans="1:24">
      <c r="A5380">
        <f>HYPERLINK("https://www.philgeps.gov.ph/GEPSNONPILOT/Tender/SplashBidNoticeAbstractUI.aspx?menuIndex=3&amp;refID=7059325&amp;Result=3","7059325")</f>
        <v>0</v>
      </c>
      <c r="B5380" t="s">
        <v>1829</v>
      </c>
      <c r="C5380" t="s">
        <v>8663</v>
      </c>
      <c r="D5380" t="s">
        <v>18847</v>
      </c>
      <c r="E5380" t="s">
        <v>23708</v>
      </c>
      <c r="F5380" t="s">
        <v>32664</v>
      </c>
      <c r="G5380" t="s">
        <v>32671</v>
      </c>
      <c r="H5380" t="s">
        <v>12635</v>
      </c>
      <c r="I5380" t="s">
        <v>10590</v>
      </c>
      <c r="J5380" t="s">
        <v>33095</v>
      </c>
      <c r="K5380" t="s">
        <v>42295</v>
      </c>
      <c r="M5380" t="s">
        <v>44536</v>
      </c>
      <c r="N5380" t="s">
        <v>46569</v>
      </c>
      <c r="O5380" t="s">
        <v>46570</v>
      </c>
      <c r="P5380">
        <v>0</v>
      </c>
      <c r="Q5380">
        <v>0</v>
      </c>
      <c r="R5380" t="s">
        <v>46573</v>
      </c>
      <c r="S5380" t="s">
        <v>46705</v>
      </c>
      <c r="T5380" t="s">
        <v>48307</v>
      </c>
      <c r="U5380" t="s">
        <v>53240</v>
      </c>
      <c r="V5380" t="s">
        <v>62186</v>
      </c>
      <c r="W5380" t="s">
        <v>44536</v>
      </c>
      <c r="X5380" t="s">
        <v>46574</v>
      </c>
    </row>
    <row r="5381" spans="1:24">
      <c r="A5381">
        <f>HYPERLINK("https://www.philgeps.gov.ph/GEPSNONPILOT/Tender/SplashBidNoticeAbstractUI.aspx?menuIndex=3&amp;refID=7059228&amp;Result=3","7059228")</f>
        <v>0</v>
      </c>
      <c r="B5381" t="s">
        <v>1812</v>
      </c>
      <c r="C5381" t="s">
        <v>8664</v>
      </c>
      <c r="D5381" t="s">
        <v>18844</v>
      </c>
      <c r="E5381" t="s">
        <v>23709</v>
      </c>
      <c r="F5381" t="s">
        <v>32664</v>
      </c>
      <c r="G5381" t="s">
        <v>32675</v>
      </c>
      <c r="H5381" t="s">
        <v>12635</v>
      </c>
      <c r="I5381" t="s">
        <v>6168</v>
      </c>
      <c r="J5381" t="s">
        <v>32917</v>
      </c>
      <c r="K5381" t="s">
        <v>42297</v>
      </c>
      <c r="M5381" t="s">
        <v>44518</v>
      </c>
      <c r="N5381" t="s">
        <v>46569</v>
      </c>
      <c r="O5381" t="s">
        <v>46570</v>
      </c>
      <c r="P5381">
        <v>0</v>
      </c>
      <c r="Q5381">
        <v>0</v>
      </c>
      <c r="R5381" t="s">
        <v>46573</v>
      </c>
      <c r="S5381" t="s">
        <v>46705</v>
      </c>
      <c r="T5381" t="s">
        <v>48313</v>
      </c>
      <c r="U5381" t="s">
        <v>53241</v>
      </c>
      <c r="W5381" t="s">
        <v>44518</v>
      </c>
      <c r="X5381" t="s">
        <v>46574</v>
      </c>
    </row>
    <row r="5382" spans="1:24">
      <c r="A5382">
        <f>HYPERLINK("https://www.philgeps.gov.ph/GEPSNONPILOT/Tender/SplashBidNoticeAbstractUI.aspx?menuIndex=3&amp;refID=7062354&amp;Result=3","7062354")</f>
        <v>0</v>
      </c>
      <c r="B5382" t="s">
        <v>1194</v>
      </c>
      <c r="C5382" t="s">
        <v>6566</v>
      </c>
      <c r="D5382" t="s">
        <v>18782</v>
      </c>
      <c r="E5382" t="s">
        <v>23710</v>
      </c>
      <c r="F5382" t="s">
        <v>32664</v>
      </c>
      <c r="G5382" t="s">
        <v>32672</v>
      </c>
      <c r="H5382" t="s">
        <v>12635</v>
      </c>
      <c r="I5382" t="s">
        <v>32706</v>
      </c>
      <c r="J5382" t="s">
        <v>36222</v>
      </c>
      <c r="K5382" t="s">
        <v>42283</v>
      </c>
      <c r="M5382" t="s">
        <v>43830</v>
      </c>
      <c r="N5382" t="s">
        <v>46569</v>
      </c>
      <c r="O5382" t="s">
        <v>46570</v>
      </c>
      <c r="P5382">
        <v>0</v>
      </c>
      <c r="Q5382">
        <v>0</v>
      </c>
      <c r="R5382" t="s">
        <v>46572</v>
      </c>
      <c r="S5382" t="s">
        <v>46689</v>
      </c>
      <c r="T5382" t="s">
        <v>48225</v>
      </c>
      <c r="U5382" t="s">
        <v>51310</v>
      </c>
      <c r="W5382" t="s">
        <v>43830</v>
      </c>
      <c r="X5382" t="s">
        <v>46573</v>
      </c>
    </row>
    <row r="5383" spans="1:24">
      <c r="A5383">
        <f>HYPERLINK("https://www.philgeps.gov.ph/GEPSNONPILOT/Tender/SplashBidNoticeAbstractUI.aspx?menuIndex=3&amp;refID=7062256&amp;Result=3","7062256")</f>
        <v>0</v>
      </c>
      <c r="B5383" t="s">
        <v>653</v>
      </c>
      <c r="C5383" t="s">
        <v>5354</v>
      </c>
      <c r="D5383" t="s">
        <v>18840</v>
      </c>
      <c r="E5383" t="s">
        <v>23711</v>
      </c>
      <c r="F5383" t="s">
        <v>32664</v>
      </c>
      <c r="G5383" t="s">
        <v>32671</v>
      </c>
      <c r="H5383" t="s">
        <v>12635</v>
      </c>
      <c r="I5383" t="s">
        <v>4439</v>
      </c>
      <c r="J5383" t="s">
        <v>36223</v>
      </c>
      <c r="K5383" t="s">
        <v>42289</v>
      </c>
      <c r="M5383" t="s">
        <v>43239</v>
      </c>
      <c r="N5383" t="s">
        <v>46569</v>
      </c>
      <c r="O5383" t="s">
        <v>46570</v>
      </c>
      <c r="P5383">
        <v>0</v>
      </c>
      <c r="Q5383">
        <v>0</v>
      </c>
      <c r="R5383" t="s">
        <v>46572</v>
      </c>
      <c r="S5383" t="s">
        <v>46689</v>
      </c>
      <c r="T5383" t="s">
        <v>48251</v>
      </c>
      <c r="U5383" t="s">
        <v>53242</v>
      </c>
      <c r="W5383" t="s">
        <v>43239</v>
      </c>
      <c r="X5383" t="s">
        <v>46573</v>
      </c>
    </row>
    <row r="5384" spans="1:24">
      <c r="A5384">
        <f>HYPERLINK("https://www.philgeps.gov.ph/GEPSNONPILOT/Tender/SplashBidNoticeAbstractUI.aspx?menuIndex=3&amp;refID=7062255&amp;Result=3","7062255")</f>
        <v>0</v>
      </c>
      <c r="B5384" t="s">
        <v>1118</v>
      </c>
      <c r="C5384" t="s">
        <v>8665</v>
      </c>
      <c r="D5384" t="s">
        <v>18837</v>
      </c>
      <c r="E5384" t="s">
        <v>23712</v>
      </c>
      <c r="F5384" t="s">
        <v>32664</v>
      </c>
      <c r="G5384" t="s">
        <v>32671</v>
      </c>
      <c r="H5384" t="s">
        <v>12635</v>
      </c>
      <c r="I5384" t="s">
        <v>10361</v>
      </c>
      <c r="J5384" t="s">
        <v>33987</v>
      </c>
      <c r="K5384" t="s">
        <v>42295</v>
      </c>
      <c r="M5384" t="s">
        <v>43746</v>
      </c>
      <c r="N5384" t="s">
        <v>46569</v>
      </c>
      <c r="O5384" t="s">
        <v>46570</v>
      </c>
      <c r="P5384">
        <v>0</v>
      </c>
      <c r="Q5384">
        <v>0</v>
      </c>
      <c r="R5384" t="s">
        <v>46572</v>
      </c>
      <c r="S5384" t="s">
        <v>46689</v>
      </c>
      <c r="T5384" t="s">
        <v>48276</v>
      </c>
      <c r="U5384" t="s">
        <v>53243</v>
      </c>
      <c r="W5384" t="s">
        <v>43746</v>
      </c>
      <c r="X5384" t="s">
        <v>46573</v>
      </c>
    </row>
    <row r="5385" spans="1:24">
      <c r="A5385">
        <f>HYPERLINK("https://www.philgeps.gov.ph/GEPSNONPILOT/Tender/SplashBidNoticeAbstractUI.aspx?menuIndex=3&amp;refID=7062254&amp;Result=3","7062254")</f>
        <v>0</v>
      </c>
      <c r="B5385" t="s">
        <v>1133</v>
      </c>
      <c r="C5385" t="s">
        <v>8666</v>
      </c>
      <c r="D5385" t="s">
        <v>18858</v>
      </c>
      <c r="E5385" t="s">
        <v>23713</v>
      </c>
      <c r="F5385" t="s">
        <v>32667</v>
      </c>
      <c r="G5385" t="s">
        <v>32674</v>
      </c>
      <c r="H5385" t="s">
        <v>32683</v>
      </c>
      <c r="I5385" t="s">
        <v>10627</v>
      </c>
      <c r="J5385" t="s">
        <v>34148</v>
      </c>
      <c r="K5385" t="s">
        <v>42388</v>
      </c>
      <c r="M5385" t="s">
        <v>43762</v>
      </c>
      <c r="N5385" t="s">
        <v>46569</v>
      </c>
      <c r="O5385" t="s">
        <v>46570</v>
      </c>
      <c r="P5385">
        <v>0</v>
      </c>
      <c r="Q5385">
        <v>0</v>
      </c>
      <c r="R5385" t="s">
        <v>46572</v>
      </c>
      <c r="S5385" t="s">
        <v>46689</v>
      </c>
      <c r="T5385" t="s">
        <v>48468</v>
      </c>
      <c r="U5385" t="s">
        <v>53244</v>
      </c>
      <c r="V5385" t="s">
        <v>62187</v>
      </c>
      <c r="W5385" t="s">
        <v>43762</v>
      </c>
      <c r="X5385" t="s">
        <v>46573</v>
      </c>
    </row>
    <row r="5386" spans="1:24">
      <c r="A5386">
        <f>HYPERLINK("https://www.philgeps.gov.ph/GEPSNONPILOT/Tender/SplashBidNoticeAbstractUI.aspx?menuIndex=3&amp;refID=7062253&amp;Result=3","7062253")</f>
        <v>0</v>
      </c>
      <c r="B5386" t="s">
        <v>1174</v>
      </c>
      <c r="C5386" t="s">
        <v>8667</v>
      </c>
      <c r="E5386" t="s">
        <v>23714</v>
      </c>
      <c r="F5386" t="s">
        <v>32664</v>
      </c>
      <c r="G5386" t="s">
        <v>32671</v>
      </c>
      <c r="H5386" t="s">
        <v>12635</v>
      </c>
      <c r="I5386" t="s">
        <v>32748</v>
      </c>
      <c r="J5386" t="s">
        <v>33021</v>
      </c>
      <c r="K5386" t="s">
        <v>42283</v>
      </c>
      <c r="M5386" t="s">
        <v>43808</v>
      </c>
      <c r="N5386" t="s">
        <v>46569</v>
      </c>
      <c r="O5386" t="s">
        <v>46570</v>
      </c>
      <c r="P5386">
        <v>0</v>
      </c>
      <c r="Q5386">
        <v>3</v>
      </c>
      <c r="R5386" t="s">
        <v>46572</v>
      </c>
      <c r="S5386" t="s">
        <v>46689</v>
      </c>
      <c r="T5386" t="s">
        <v>48221</v>
      </c>
      <c r="U5386" t="s">
        <v>53245</v>
      </c>
      <c r="V5386" t="s">
        <v>61916</v>
      </c>
      <c r="W5386" t="s">
        <v>43808</v>
      </c>
      <c r="X5386" t="s">
        <v>46573</v>
      </c>
    </row>
    <row r="5387" spans="1:24">
      <c r="A5387">
        <f>HYPERLINK("https://www.philgeps.gov.ph/GEPSNONPILOT/Tender/SplashBidNoticeAbstractUI.aspx?menuIndex=3&amp;refID=7061839&amp;Result=3","7061839")</f>
        <v>0</v>
      </c>
      <c r="B5387" t="s">
        <v>1830</v>
      </c>
      <c r="C5387" t="s">
        <v>8668</v>
      </c>
      <c r="D5387" t="s">
        <v>18798</v>
      </c>
      <c r="E5387" t="s">
        <v>23715</v>
      </c>
      <c r="F5387" t="s">
        <v>32664</v>
      </c>
      <c r="G5387" t="s">
        <v>32672</v>
      </c>
      <c r="H5387" t="s">
        <v>32683</v>
      </c>
      <c r="I5387" t="s">
        <v>10627</v>
      </c>
      <c r="J5387" t="s">
        <v>34326</v>
      </c>
      <c r="K5387" t="s">
        <v>42289</v>
      </c>
      <c r="M5387" t="s">
        <v>44537</v>
      </c>
      <c r="N5387" t="s">
        <v>46569</v>
      </c>
      <c r="O5387" t="s">
        <v>46570</v>
      </c>
      <c r="P5387">
        <v>0</v>
      </c>
      <c r="Q5387">
        <v>0</v>
      </c>
      <c r="R5387" t="s">
        <v>46572</v>
      </c>
      <c r="S5387" t="s">
        <v>46689</v>
      </c>
      <c r="T5387" t="s">
        <v>48276</v>
      </c>
      <c r="U5387" t="s">
        <v>53246</v>
      </c>
      <c r="W5387" t="s">
        <v>44537</v>
      </c>
      <c r="X5387" t="s">
        <v>46573</v>
      </c>
    </row>
    <row r="5388" spans="1:24">
      <c r="A5388">
        <f>HYPERLINK("https://www.philgeps.gov.ph/GEPSNONPILOT/Tender/SplashBidNoticeAbstractUI.aspx?menuIndex=3&amp;refID=7059234&amp;Result=3","7059234")</f>
        <v>0</v>
      </c>
      <c r="B5388" t="s">
        <v>1805</v>
      </c>
      <c r="C5388" t="s">
        <v>8669</v>
      </c>
      <c r="D5388" t="s">
        <v>18837</v>
      </c>
      <c r="E5388" t="s">
        <v>23716</v>
      </c>
      <c r="F5388" t="s">
        <v>32664</v>
      </c>
      <c r="G5388" t="s">
        <v>32672</v>
      </c>
      <c r="H5388" t="s">
        <v>32683</v>
      </c>
      <c r="I5388" t="s">
        <v>10627</v>
      </c>
      <c r="J5388" t="s">
        <v>33309</v>
      </c>
      <c r="K5388" t="s">
        <v>42297</v>
      </c>
      <c r="M5388" t="s">
        <v>44510</v>
      </c>
      <c r="N5388" t="s">
        <v>46569</v>
      </c>
      <c r="O5388" t="s">
        <v>46570</v>
      </c>
      <c r="P5388">
        <v>0</v>
      </c>
      <c r="Q5388">
        <v>1</v>
      </c>
      <c r="R5388" t="s">
        <v>46573</v>
      </c>
      <c r="S5388" t="s">
        <v>46705</v>
      </c>
      <c r="T5388" t="s">
        <v>48283</v>
      </c>
      <c r="U5388" t="s">
        <v>53247</v>
      </c>
      <c r="W5388" t="s">
        <v>44510</v>
      </c>
      <c r="X5388" t="s">
        <v>46574</v>
      </c>
    </row>
    <row r="5389" spans="1:24">
      <c r="A5389">
        <f>HYPERLINK("https://www.philgeps.gov.ph/GEPSNONPILOT/Tender/SplashBidNoticeAbstractUI.aspx?menuIndex=3&amp;refID=7059334&amp;Result=3","7059334")</f>
        <v>0</v>
      </c>
      <c r="B5389" t="s">
        <v>1811</v>
      </c>
      <c r="C5389" t="s">
        <v>8670</v>
      </c>
      <c r="D5389" t="s">
        <v>18805</v>
      </c>
      <c r="E5389" t="s">
        <v>23717</v>
      </c>
      <c r="F5389" t="s">
        <v>32664</v>
      </c>
      <c r="G5389" t="s">
        <v>32672</v>
      </c>
      <c r="H5389" t="s">
        <v>12635</v>
      </c>
      <c r="I5389" t="s">
        <v>10370</v>
      </c>
      <c r="J5389" t="s">
        <v>33119</v>
      </c>
      <c r="K5389" t="s">
        <v>42283</v>
      </c>
      <c r="M5389" t="s">
        <v>44517</v>
      </c>
      <c r="N5389" t="s">
        <v>46569</v>
      </c>
      <c r="O5389" t="s">
        <v>46570</v>
      </c>
      <c r="P5389">
        <v>0</v>
      </c>
      <c r="Q5389">
        <v>1</v>
      </c>
      <c r="R5389" t="s">
        <v>46573</v>
      </c>
      <c r="S5389" t="s">
        <v>46705</v>
      </c>
      <c r="T5389" t="s">
        <v>48411</v>
      </c>
      <c r="U5389" t="s">
        <v>53248</v>
      </c>
      <c r="V5389" t="s">
        <v>62185</v>
      </c>
      <c r="W5389" t="s">
        <v>44517</v>
      </c>
      <c r="X5389" t="s">
        <v>46574</v>
      </c>
    </row>
    <row r="5390" spans="1:24">
      <c r="A5390">
        <f>HYPERLINK("https://www.philgeps.gov.ph/GEPSNONPILOT/Tender/SplashBidNoticeAbstractUI.aspx?menuIndex=3&amp;refID=7059378&amp;Result=3","7059378")</f>
        <v>0</v>
      </c>
      <c r="B5390" t="s">
        <v>1831</v>
      </c>
      <c r="C5390" t="s">
        <v>8671</v>
      </c>
      <c r="D5390" t="s">
        <v>18845</v>
      </c>
      <c r="E5390" t="s">
        <v>23718</v>
      </c>
      <c r="F5390" t="s">
        <v>32664</v>
      </c>
      <c r="G5390" t="s">
        <v>32671</v>
      </c>
      <c r="H5390" t="s">
        <v>12635</v>
      </c>
      <c r="I5390" t="s">
        <v>6628</v>
      </c>
      <c r="J5390" t="s">
        <v>34409</v>
      </c>
      <c r="K5390" t="s">
        <v>42284</v>
      </c>
      <c r="L5390" t="s">
        <v>1831</v>
      </c>
      <c r="M5390" t="s">
        <v>44538</v>
      </c>
      <c r="N5390" t="s">
        <v>46569</v>
      </c>
      <c r="O5390" t="s">
        <v>46570</v>
      </c>
      <c r="P5390">
        <v>0</v>
      </c>
      <c r="Q5390">
        <v>1</v>
      </c>
      <c r="R5390" t="s">
        <v>46573</v>
      </c>
      <c r="S5390" t="s">
        <v>46705</v>
      </c>
      <c r="T5390" t="s">
        <v>48282</v>
      </c>
      <c r="U5390" t="s">
        <v>53249</v>
      </c>
      <c r="V5390" t="s">
        <v>62188</v>
      </c>
      <c r="W5390" t="s">
        <v>44538</v>
      </c>
      <c r="X5390" t="s">
        <v>46574</v>
      </c>
    </row>
    <row r="5391" spans="1:24">
      <c r="A5391">
        <f>HYPERLINK("https://www.philgeps.gov.ph/GEPSNONPILOT/Tender/SplashBidNoticeAbstractUI.aspx?menuIndex=3&amp;refID=7059330&amp;Result=3","7059330")</f>
        <v>0</v>
      </c>
      <c r="B5391" t="s">
        <v>873</v>
      </c>
      <c r="C5391" t="s">
        <v>8672</v>
      </c>
      <c r="D5391" t="s">
        <v>18798</v>
      </c>
      <c r="E5391" t="s">
        <v>23719</v>
      </c>
      <c r="F5391" t="s">
        <v>32664</v>
      </c>
      <c r="G5391" t="s">
        <v>32674</v>
      </c>
      <c r="H5391" t="s">
        <v>12635</v>
      </c>
      <c r="I5391" t="s">
        <v>6223</v>
      </c>
      <c r="J5391" t="s">
        <v>34977</v>
      </c>
      <c r="K5391" t="s">
        <v>42306</v>
      </c>
      <c r="M5391" t="s">
        <v>43473</v>
      </c>
      <c r="N5391" t="s">
        <v>46569</v>
      </c>
      <c r="O5391" t="s">
        <v>46570</v>
      </c>
      <c r="P5391">
        <v>0</v>
      </c>
      <c r="Q5391">
        <v>2</v>
      </c>
      <c r="R5391" t="s">
        <v>46573</v>
      </c>
      <c r="S5391" t="s">
        <v>46705</v>
      </c>
      <c r="T5391" t="s">
        <v>48492</v>
      </c>
      <c r="U5391" t="s">
        <v>50477</v>
      </c>
      <c r="W5391" t="s">
        <v>43473</v>
      </c>
      <c r="X5391" t="s">
        <v>46574</v>
      </c>
    </row>
    <row r="5392" spans="1:24">
      <c r="A5392">
        <f>HYPERLINK("https://www.philgeps.gov.ph/GEPSNONPILOT/Tender/SplashBidNoticeAbstractUI.aspx?menuIndex=3&amp;refID=7061838&amp;Result=3","7061838")</f>
        <v>0</v>
      </c>
      <c r="B5392" t="s">
        <v>392</v>
      </c>
      <c r="C5392" t="s">
        <v>8673</v>
      </c>
      <c r="D5392" t="s">
        <v>18801</v>
      </c>
      <c r="E5392" t="s">
        <v>22020</v>
      </c>
      <c r="F5392" t="s">
        <v>32664</v>
      </c>
      <c r="G5392" t="s">
        <v>32671</v>
      </c>
      <c r="H5392" t="s">
        <v>12635</v>
      </c>
      <c r="I5392" t="s">
        <v>6168</v>
      </c>
      <c r="J5392" t="s">
        <v>32831</v>
      </c>
      <c r="K5392" t="s">
        <v>42284</v>
      </c>
      <c r="M5392" t="s">
        <v>42962</v>
      </c>
      <c r="N5392" t="s">
        <v>46569</v>
      </c>
      <c r="O5392" t="s">
        <v>46570</v>
      </c>
      <c r="P5392">
        <v>0</v>
      </c>
      <c r="Q5392">
        <v>1</v>
      </c>
      <c r="R5392" t="s">
        <v>46572</v>
      </c>
      <c r="S5392" t="s">
        <v>46689</v>
      </c>
      <c r="T5392" t="s">
        <v>48217</v>
      </c>
      <c r="U5392" t="s">
        <v>53250</v>
      </c>
      <c r="V5392" t="s">
        <v>62189</v>
      </c>
      <c r="W5392" t="s">
        <v>42962</v>
      </c>
      <c r="X5392" t="s">
        <v>46573</v>
      </c>
    </row>
    <row r="5393" spans="1:24">
      <c r="A5393">
        <f>HYPERLINK("https://www.philgeps.gov.ph/GEPSNONPILOT/Tender/SplashBidNoticeAbstractUI.aspx?menuIndex=3&amp;refID=7061837&amp;Result=3","7061837")</f>
        <v>0</v>
      </c>
      <c r="B5393" t="s">
        <v>1102</v>
      </c>
      <c r="C5393" t="s">
        <v>8674</v>
      </c>
      <c r="D5393" t="s">
        <v>18784</v>
      </c>
      <c r="E5393" t="s">
        <v>23720</v>
      </c>
      <c r="F5393" t="s">
        <v>32664</v>
      </c>
      <c r="G5393" t="s">
        <v>32674</v>
      </c>
      <c r="H5393" t="s">
        <v>12635</v>
      </c>
      <c r="I5393" t="s">
        <v>32684</v>
      </c>
      <c r="J5393" t="s">
        <v>33621</v>
      </c>
      <c r="K5393" t="s">
        <v>42283</v>
      </c>
      <c r="M5393" t="s">
        <v>43729</v>
      </c>
      <c r="N5393" t="s">
        <v>46569</v>
      </c>
      <c r="O5393" t="s">
        <v>46570</v>
      </c>
      <c r="P5393">
        <v>0</v>
      </c>
      <c r="Q5393">
        <v>8</v>
      </c>
      <c r="R5393" t="s">
        <v>46572</v>
      </c>
      <c r="S5393" t="s">
        <v>46689</v>
      </c>
      <c r="T5393" t="s">
        <v>48316</v>
      </c>
      <c r="U5393" t="s">
        <v>53251</v>
      </c>
      <c r="W5393" t="s">
        <v>43729</v>
      </c>
      <c r="X5393" t="s">
        <v>46573</v>
      </c>
    </row>
    <row r="5394" spans="1:24">
      <c r="A5394">
        <f>HYPERLINK("https://www.philgeps.gov.ph/GEPSNONPILOT/Tender/SplashBidNoticeAbstractUI.aspx?menuIndex=3&amp;refID=7059380&amp;Result=3","7059380")</f>
        <v>0</v>
      </c>
      <c r="B5394" t="s">
        <v>215</v>
      </c>
      <c r="C5394" t="s">
        <v>8675</v>
      </c>
      <c r="D5394" t="s">
        <v>18837</v>
      </c>
      <c r="E5394" t="s">
        <v>23721</v>
      </c>
      <c r="F5394" t="s">
        <v>32664</v>
      </c>
      <c r="G5394" t="s">
        <v>32671</v>
      </c>
      <c r="H5394" t="s">
        <v>12635</v>
      </c>
      <c r="I5394" t="s">
        <v>32782</v>
      </c>
      <c r="J5394" t="s">
        <v>36224</v>
      </c>
      <c r="K5394" t="s">
        <v>42289</v>
      </c>
      <c r="M5394" t="s">
        <v>42779</v>
      </c>
      <c r="N5394" t="s">
        <v>46569</v>
      </c>
      <c r="O5394" t="s">
        <v>46570</v>
      </c>
      <c r="P5394">
        <v>0</v>
      </c>
      <c r="Q5394">
        <v>1</v>
      </c>
      <c r="R5394" t="s">
        <v>46573</v>
      </c>
      <c r="S5394" t="s">
        <v>46705</v>
      </c>
      <c r="T5394" t="s">
        <v>48293</v>
      </c>
      <c r="U5394" t="s">
        <v>53252</v>
      </c>
      <c r="W5394" t="s">
        <v>42779</v>
      </c>
      <c r="X5394" t="s">
        <v>46574</v>
      </c>
    </row>
    <row r="5395" spans="1:24">
      <c r="A5395">
        <f>HYPERLINK("https://www.philgeps.gov.ph/GEPSNONPILOT/Tender/SplashBidNoticeAbstractUI.aspx?menuIndex=3&amp;refID=7059379&amp;Result=3","7059379")</f>
        <v>0</v>
      </c>
      <c r="B5395" t="s">
        <v>1832</v>
      </c>
      <c r="C5395" t="s">
        <v>8676</v>
      </c>
      <c r="D5395" t="s">
        <v>18812</v>
      </c>
      <c r="E5395" t="s">
        <v>23722</v>
      </c>
      <c r="F5395" t="s">
        <v>32664</v>
      </c>
      <c r="G5395" t="s">
        <v>32672</v>
      </c>
      <c r="H5395" t="s">
        <v>12635</v>
      </c>
      <c r="I5395" t="s">
        <v>4439</v>
      </c>
      <c r="J5395" t="s">
        <v>36225</v>
      </c>
      <c r="K5395" t="s">
        <v>42414</v>
      </c>
      <c r="M5395" t="s">
        <v>44539</v>
      </c>
      <c r="N5395" t="s">
        <v>46569</v>
      </c>
      <c r="O5395" t="s">
        <v>46570</v>
      </c>
      <c r="P5395">
        <v>0</v>
      </c>
      <c r="Q5395">
        <v>1</v>
      </c>
      <c r="R5395" t="s">
        <v>46573</v>
      </c>
      <c r="S5395" t="s">
        <v>46705</v>
      </c>
      <c r="T5395" t="s">
        <v>48394</v>
      </c>
      <c r="U5395" t="s">
        <v>53253</v>
      </c>
      <c r="W5395" t="s">
        <v>63536</v>
      </c>
      <c r="X5395" t="s">
        <v>46574</v>
      </c>
    </row>
    <row r="5396" spans="1:24">
      <c r="A5396">
        <f>HYPERLINK("https://www.philgeps.gov.ph/GEPSNONPILOT/Tender/SplashBidNoticeAbstractUI.aspx?menuIndex=3&amp;refID=7059375&amp;Result=3","7059375")</f>
        <v>0</v>
      </c>
      <c r="B5396" t="s">
        <v>1833</v>
      </c>
      <c r="C5396" t="s">
        <v>8677</v>
      </c>
      <c r="D5396" t="s">
        <v>18801</v>
      </c>
      <c r="E5396" t="s">
        <v>19896</v>
      </c>
      <c r="F5396" t="s">
        <v>32669</v>
      </c>
      <c r="G5396" t="s">
        <v>32672</v>
      </c>
      <c r="H5396" t="s">
        <v>12635</v>
      </c>
      <c r="I5396" t="s">
        <v>32689</v>
      </c>
      <c r="J5396" t="s">
        <v>34932</v>
      </c>
      <c r="K5396" t="s">
        <v>42281</v>
      </c>
      <c r="M5396" t="s">
        <v>44540</v>
      </c>
      <c r="N5396" t="s">
        <v>46569</v>
      </c>
      <c r="O5396" t="s">
        <v>46570</v>
      </c>
      <c r="P5396">
        <v>0</v>
      </c>
      <c r="Q5396">
        <v>3</v>
      </c>
      <c r="R5396" t="s">
        <v>46573</v>
      </c>
      <c r="S5396" t="s">
        <v>46705</v>
      </c>
      <c r="T5396" t="s">
        <v>48317</v>
      </c>
      <c r="U5396" t="s">
        <v>53254</v>
      </c>
      <c r="W5396" t="s">
        <v>44540</v>
      </c>
      <c r="X5396" t="s">
        <v>46574</v>
      </c>
    </row>
    <row r="5397" spans="1:24">
      <c r="A5397">
        <f>HYPERLINK("https://www.philgeps.gov.ph/GEPSNONPILOT/Tender/SplashBidNoticeAbstractUI.aspx?menuIndex=3&amp;refID=7059384&amp;Result=3","7059384")</f>
        <v>0</v>
      </c>
      <c r="B5397" t="s">
        <v>1795</v>
      </c>
      <c r="C5397" t="s">
        <v>8678</v>
      </c>
      <c r="D5397" t="s">
        <v>18821</v>
      </c>
      <c r="E5397" t="s">
        <v>23723</v>
      </c>
      <c r="F5397" t="s">
        <v>32664</v>
      </c>
      <c r="G5397" t="s">
        <v>32671</v>
      </c>
      <c r="H5397" t="s">
        <v>12635</v>
      </c>
      <c r="I5397" t="s">
        <v>10361</v>
      </c>
      <c r="J5397" t="s">
        <v>32842</v>
      </c>
      <c r="K5397" t="s">
        <v>42283</v>
      </c>
      <c r="M5397" t="s">
        <v>44498</v>
      </c>
      <c r="N5397" t="s">
        <v>46569</v>
      </c>
      <c r="O5397" t="s">
        <v>46570</v>
      </c>
      <c r="P5397">
        <v>0</v>
      </c>
      <c r="Q5397">
        <v>0</v>
      </c>
      <c r="R5397" t="s">
        <v>46573</v>
      </c>
      <c r="S5397" t="s">
        <v>46705</v>
      </c>
      <c r="T5397" t="s">
        <v>48287</v>
      </c>
      <c r="U5397" t="s">
        <v>53255</v>
      </c>
      <c r="W5397" t="s">
        <v>44498</v>
      </c>
      <c r="X5397" t="s">
        <v>46574</v>
      </c>
    </row>
    <row r="5398" spans="1:24">
      <c r="A5398">
        <f>HYPERLINK("https://www.philgeps.gov.ph/GEPSNONPILOT/Tender/SplashBidNoticeAbstractUI.aspx?menuIndex=3&amp;refID=7059298&amp;Result=3","7059298")</f>
        <v>0</v>
      </c>
      <c r="B5398" t="s">
        <v>1834</v>
      </c>
      <c r="C5398" t="s">
        <v>8679</v>
      </c>
      <c r="D5398" t="s">
        <v>18784</v>
      </c>
      <c r="E5398" t="s">
        <v>23724</v>
      </c>
      <c r="F5398" t="s">
        <v>32665</v>
      </c>
      <c r="G5398" t="s">
        <v>32671</v>
      </c>
      <c r="H5398" t="s">
        <v>12635</v>
      </c>
      <c r="I5398" t="s">
        <v>10627</v>
      </c>
      <c r="J5398" t="s">
        <v>36226</v>
      </c>
      <c r="K5398" t="s">
        <v>42281</v>
      </c>
      <c r="M5398" t="s">
        <v>44541</v>
      </c>
      <c r="N5398" t="s">
        <v>46569</v>
      </c>
      <c r="O5398" t="s">
        <v>46570</v>
      </c>
      <c r="P5398">
        <v>0</v>
      </c>
      <c r="Q5398">
        <v>2</v>
      </c>
      <c r="R5398" t="s">
        <v>46573</v>
      </c>
      <c r="S5398" t="s">
        <v>46705</v>
      </c>
      <c r="T5398" t="s">
        <v>48368</v>
      </c>
      <c r="U5398" t="s">
        <v>53256</v>
      </c>
      <c r="W5398" t="s">
        <v>44541</v>
      </c>
      <c r="X5398" t="s">
        <v>46574</v>
      </c>
    </row>
    <row r="5399" spans="1:24">
      <c r="A5399">
        <f>HYPERLINK("https://www.philgeps.gov.ph/GEPSNONPILOT/Tender/SplashBidNoticeAbstractUI.aspx?menuIndex=3&amp;refID=7059371&amp;Result=3","7059371")</f>
        <v>0</v>
      </c>
      <c r="B5399" t="s">
        <v>696</v>
      </c>
      <c r="C5399" t="s">
        <v>8680</v>
      </c>
      <c r="D5399" t="s">
        <v>18839</v>
      </c>
      <c r="E5399" t="s">
        <v>23725</v>
      </c>
      <c r="F5399" t="s">
        <v>32664</v>
      </c>
      <c r="G5399" t="s">
        <v>32674</v>
      </c>
      <c r="H5399" t="s">
        <v>12635</v>
      </c>
      <c r="I5399" t="s">
        <v>32685</v>
      </c>
      <c r="J5399" t="s">
        <v>36227</v>
      </c>
      <c r="K5399" t="s">
        <v>42284</v>
      </c>
      <c r="M5399" t="s">
        <v>43283</v>
      </c>
      <c r="N5399" t="s">
        <v>46569</v>
      </c>
      <c r="O5399" t="s">
        <v>46570</v>
      </c>
      <c r="P5399">
        <v>0</v>
      </c>
      <c r="Q5399">
        <v>0</v>
      </c>
      <c r="R5399" t="s">
        <v>46573</v>
      </c>
      <c r="S5399" t="s">
        <v>46705</v>
      </c>
      <c r="T5399" t="s">
        <v>48473</v>
      </c>
      <c r="U5399" t="s">
        <v>53257</v>
      </c>
      <c r="V5399" t="s">
        <v>61796</v>
      </c>
      <c r="W5399" t="s">
        <v>43283</v>
      </c>
      <c r="X5399" t="s">
        <v>46574</v>
      </c>
    </row>
    <row r="5400" spans="1:24">
      <c r="A5400">
        <f>HYPERLINK("https://www.philgeps.gov.ph/GEPSNONPILOT/Tender/SplashBidNoticeAbstractUI.aspx?menuIndex=3&amp;refID=7059365&amp;Result=3","7059365")</f>
        <v>0</v>
      </c>
      <c r="B5400" t="s">
        <v>1811</v>
      </c>
      <c r="C5400" t="s">
        <v>8681</v>
      </c>
      <c r="D5400" t="s">
        <v>18805</v>
      </c>
      <c r="E5400" t="s">
        <v>23726</v>
      </c>
      <c r="F5400" t="s">
        <v>32664</v>
      </c>
      <c r="G5400" t="s">
        <v>32672</v>
      </c>
      <c r="H5400" t="s">
        <v>12635</v>
      </c>
      <c r="I5400" t="s">
        <v>5589</v>
      </c>
      <c r="J5400" t="s">
        <v>33478</v>
      </c>
      <c r="K5400" t="s">
        <v>42283</v>
      </c>
      <c r="M5400" t="s">
        <v>44517</v>
      </c>
      <c r="N5400" t="s">
        <v>46569</v>
      </c>
      <c r="O5400" t="s">
        <v>46570</v>
      </c>
      <c r="P5400">
        <v>0</v>
      </c>
      <c r="Q5400">
        <v>1</v>
      </c>
      <c r="R5400" t="s">
        <v>46573</v>
      </c>
      <c r="S5400" t="s">
        <v>46705</v>
      </c>
      <c r="T5400" t="s">
        <v>48411</v>
      </c>
      <c r="U5400" t="s">
        <v>53258</v>
      </c>
      <c r="V5400" t="s">
        <v>62185</v>
      </c>
      <c r="W5400" t="s">
        <v>44517</v>
      </c>
      <c r="X5400" t="s">
        <v>46574</v>
      </c>
    </row>
    <row r="5401" spans="1:24">
      <c r="A5401">
        <f>HYPERLINK("https://www.philgeps.gov.ph/GEPSNONPILOT/Tender/SplashBidNoticeAbstractUI.aspx?menuIndex=3&amp;refID=7059335&amp;Result=3","7059335")</f>
        <v>0</v>
      </c>
      <c r="B5401" t="s">
        <v>1713</v>
      </c>
      <c r="C5401" t="s">
        <v>8682</v>
      </c>
      <c r="D5401" t="s">
        <v>18799</v>
      </c>
      <c r="E5401" t="s">
        <v>23727</v>
      </c>
      <c r="F5401" t="s">
        <v>32664</v>
      </c>
      <c r="G5401" t="s">
        <v>32671</v>
      </c>
      <c r="H5401" t="s">
        <v>12635</v>
      </c>
      <c r="I5401" t="s">
        <v>32750</v>
      </c>
      <c r="J5401" t="s">
        <v>33078</v>
      </c>
      <c r="K5401" t="s">
        <v>42284</v>
      </c>
      <c r="M5401" t="s">
        <v>44408</v>
      </c>
      <c r="N5401" t="s">
        <v>46569</v>
      </c>
      <c r="O5401" t="s">
        <v>46570</v>
      </c>
      <c r="P5401">
        <v>0</v>
      </c>
      <c r="Q5401">
        <v>1</v>
      </c>
      <c r="R5401" t="s">
        <v>46573</v>
      </c>
      <c r="S5401" t="s">
        <v>46705</v>
      </c>
      <c r="T5401" t="s">
        <v>48287</v>
      </c>
      <c r="U5401" t="s">
        <v>53259</v>
      </c>
      <c r="W5401" t="s">
        <v>63529</v>
      </c>
      <c r="X5401" t="s">
        <v>46574</v>
      </c>
    </row>
    <row r="5402" spans="1:24">
      <c r="A5402">
        <f>HYPERLINK("https://www.philgeps.gov.ph/GEPSNONPILOT/Tender/SplashBidNoticeAbstractUI.aspx?menuIndex=3&amp;refID=7059364&amp;Result=3","7059364")</f>
        <v>0</v>
      </c>
      <c r="B5402" t="s">
        <v>529</v>
      </c>
      <c r="C5402" t="s">
        <v>8683</v>
      </c>
      <c r="D5402" t="s">
        <v>18784</v>
      </c>
      <c r="E5402" t="s">
        <v>23728</v>
      </c>
      <c r="F5402" t="s">
        <v>32664</v>
      </c>
      <c r="G5402" t="s">
        <v>32671</v>
      </c>
      <c r="H5402" t="s">
        <v>12635</v>
      </c>
      <c r="I5402" t="s">
        <v>6168</v>
      </c>
      <c r="J5402" t="s">
        <v>36228</v>
      </c>
      <c r="K5402" t="s">
        <v>42283</v>
      </c>
      <c r="M5402" t="s">
        <v>43107</v>
      </c>
      <c r="N5402" t="s">
        <v>46569</v>
      </c>
      <c r="O5402" t="s">
        <v>46570</v>
      </c>
      <c r="P5402">
        <v>0</v>
      </c>
      <c r="Q5402">
        <v>7</v>
      </c>
      <c r="R5402" t="s">
        <v>46573</v>
      </c>
      <c r="S5402" t="s">
        <v>46705</v>
      </c>
      <c r="T5402" t="s">
        <v>48450</v>
      </c>
      <c r="U5402" t="s">
        <v>53260</v>
      </c>
      <c r="V5402" t="s">
        <v>61747</v>
      </c>
      <c r="W5402" t="s">
        <v>43107</v>
      </c>
      <c r="X5402" t="s">
        <v>46574</v>
      </c>
    </row>
    <row r="5403" spans="1:24">
      <c r="A5403">
        <f>HYPERLINK("https://www.philgeps.gov.ph/GEPSNONPILOT/Tender/SplashBidNoticeAbstractUI.aspx?menuIndex=3&amp;refID=7059373&amp;Result=3","7059373")</f>
        <v>0</v>
      </c>
      <c r="B5403" t="s">
        <v>1122</v>
      </c>
      <c r="C5403" t="s">
        <v>8684</v>
      </c>
      <c r="D5403" t="s">
        <v>18858</v>
      </c>
      <c r="E5403" t="s">
        <v>23729</v>
      </c>
      <c r="F5403" t="s">
        <v>32664</v>
      </c>
      <c r="G5403" t="s">
        <v>32674</v>
      </c>
      <c r="H5403" t="s">
        <v>12635</v>
      </c>
      <c r="I5403" t="s">
        <v>8797</v>
      </c>
      <c r="J5403" t="s">
        <v>32917</v>
      </c>
      <c r="K5403" t="s">
        <v>42281</v>
      </c>
      <c r="M5403" t="s">
        <v>43751</v>
      </c>
      <c r="N5403" t="s">
        <v>46569</v>
      </c>
      <c r="O5403" t="s">
        <v>46570</v>
      </c>
      <c r="P5403">
        <v>0</v>
      </c>
      <c r="Q5403">
        <v>1</v>
      </c>
      <c r="R5403" t="s">
        <v>46573</v>
      </c>
      <c r="S5403" t="s">
        <v>46705</v>
      </c>
      <c r="T5403" t="s">
        <v>48307</v>
      </c>
      <c r="U5403" t="s">
        <v>53261</v>
      </c>
      <c r="W5403" t="s">
        <v>43751</v>
      </c>
      <c r="X5403" t="s">
        <v>46574</v>
      </c>
    </row>
    <row r="5404" spans="1:24">
      <c r="A5404">
        <f>HYPERLINK("https://www.philgeps.gov.ph/GEPSNONPILOT/Tender/SplashBidNoticeAbstractUI.aspx?menuIndex=3&amp;refID=7059407&amp;Result=3","7059407")</f>
        <v>0</v>
      </c>
      <c r="B5404" t="s">
        <v>642</v>
      </c>
      <c r="C5404" t="s">
        <v>3806</v>
      </c>
      <c r="D5404" t="s">
        <v>18819</v>
      </c>
      <c r="E5404" t="s">
        <v>23730</v>
      </c>
      <c r="F5404" t="s">
        <v>32664</v>
      </c>
      <c r="G5404" t="s">
        <v>32671</v>
      </c>
      <c r="H5404" t="s">
        <v>12635</v>
      </c>
      <c r="I5404" t="s">
        <v>6223</v>
      </c>
      <c r="J5404" t="s">
        <v>34759</v>
      </c>
      <c r="K5404" t="s">
        <v>42289</v>
      </c>
      <c r="M5404" t="s">
        <v>43227</v>
      </c>
      <c r="N5404" t="s">
        <v>46569</v>
      </c>
      <c r="O5404" t="s">
        <v>46570</v>
      </c>
      <c r="P5404">
        <v>0</v>
      </c>
      <c r="Q5404">
        <v>1</v>
      </c>
      <c r="R5404" t="s">
        <v>46573</v>
      </c>
      <c r="S5404" t="s">
        <v>46705</v>
      </c>
      <c r="T5404" t="s">
        <v>48287</v>
      </c>
      <c r="U5404" t="s">
        <v>53262</v>
      </c>
      <c r="V5404" t="s">
        <v>62190</v>
      </c>
      <c r="W5404" t="s">
        <v>43227</v>
      </c>
      <c r="X5404" t="s">
        <v>46574</v>
      </c>
    </row>
    <row r="5405" spans="1:24">
      <c r="A5405">
        <f>HYPERLINK("https://www.philgeps.gov.ph/GEPSNONPILOT/Tender/SplashBidNoticeAbstractUI.aspx?menuIndex=3&amp;refID=7059327&amp;Result=3","7059327")</f>
        <v>0</v>
      </c>
      <c r="B5405" t="s">
        <v>1835</v>
      </c>
      <c r="C5405" t="s">
        <v>8685</v>
      </c>
      <c r="D5405" t="s">
        <v>18806</v>
      </c>
      <c r="E5405" t="s">
        <v>23731</v>
      </c>
      <c r="F5405" t="s">
        <v>32664</v>
      </c>
      <c r="G5405" t="s">
        <v>32671</v>
      </c>
      <c r="H5405" t="s">
        <v>12635</v>
      </c>
      <c r="I5405" t="s">
        <v>32719</v>
      </c>
      <c r="J5405" t="s">
        <v>36229</v>
      </c>
      <c r="K5405" t="s">
        <v>42283</v>
      </c>
      <c r="M5405" t="s">
        <v>44542</v>
      </c>
      <c r="N5405" t="s">
        <v>46569</v>
      </c>
      <c r="O5405" t="s">
        <v>46570</v>
      </c>
      <c r="P5405">
        <v>0</v>
      </c>
      <c r="Q5405">
        <v>3</v>
      </c>
      <c r="R5405" t="s">
        <v>46573</v>
      </c>
      <c r="S5405" t="s">
        <v>46705</v>
      </c>
      <c r="T5405" t="s">
        <v>48287</v>
      </c>
      <c r="U5405" t="s">
        <v>53263</v>
      </c>
      <c r="W5405" t="s">
        <v>44542</v>
      </c>
      <c r="X5405" t="s">
        <v>46574</v>
      </c>
    </row>
    <row r="5406" spans="1:24">
      <c r="A5406">
        <f>HYPERLINK("https://www.philgeps.gov.ph/GEPSNONPILOT/Tender/SplashBidNoticeAbstractUI.aspx?menuIndex=3&amp;refID=7059367&amp;Result=3","7059367")</f>
        <v>0</v>
      </c>
      <c r="B5406" t="s">
        <v>1825</v>
      </c>
      <c r="C5406" t="s">
        <v>8686</v>
      </c>
      <c r="D5406" t="s">
        <v>18784</v>
      </c>
      <c r="E5406" t="s">
        <v>23732</v>
      </c>
      <c r="F5406" t="s">
        <v>32664</v>
      </c>
      <c r="G5406" t="s">
        <v>32671</v>
      </c>
      <c r="H5406" t="s">
        <v>12635</v>
      </c>
      <c r="I5406" t="s">
        <v>7429</v>
      </c>
      <c r="J5406" t="s">
        <v>36230</v>
      </c>
      <c r="K5406" t="s">
        <v>42281</v>
      </c>
      <c r="M5406" t="s">
        <v>44543</v>
      </c>
      <c r="N5406" t="s">
        <v>46569</v>
      </c>
      <c r="O5406" t="s">
        <v>46570</v>
      </c>
      <c r="P5406">
        <v>0</v>
      </c>
      <c r="Q5406">
        <v>7</v>
      </c>
      <c r="R5406" t="s">
        <v>46573</v>
      </c>
      <c r="S5406" t="s">
        <v>46705</v>
      </c>
      <c r="T5406" t="s">
        <v>48287</v>
      </c>
      <c r="U5406" t="s">
        <v>53264</v>
      </c>
      <c r="W5406" t="s">
        <v>44543</v>
      </c>
      <c r="X5406" t="s">
        <v>46574</v>
      </c>
    </row>
    <row r="5407" spans="1:24">
      <c r="A5407">
        <f>HYPERLINK("https://www.philgeps.gov.ph/GEPSNONPILOT/Tender/SplashBidNoticeAbstractUI.aspx?menuIndex=3&amp;refID=7059366&amp;Result=3","7059366")</f>
        <v>0</v>
      </c>
      <c r="B5407" t="s">
        <v>304</v>
      </c>
      <c r="C5407" t="s">
        <v>8687</v>
      </c>
      <c r="D5407" t="s">
        <v>18792</v>
      </c>
      <c r="E5407" t="s">
        <v>19460</v>
      </c>
      <c r="F5407" t="s">
        <v>32664</v>
      </c>
      <c r="G5407" t="s">
        <v>32671</v>
      </c>
      <c r="H5407" t="s">
        <v>12635</v>
      </c>
      <c r="I5407" t="s">
        <v>32732</v>
      </c>
      <c r="J5407" t="s">
        <v>35188</v>
      </c>
      <c r="K5407" t="s">
        <v>42295</v>
      </c>
      <c r="M5407" t="s">
        <v>42871</v>
      </c>
      <c r="N5407" t="s">
        <v>46569</v>
      </c>
      <c r="O5407" t="s">
        <v>46570</v>
      </c>
      <c r="P5407">
        <v>0</v>
      </c>
      <c r="Q5407">
        <v>0</v>
      </c>
      <c r="R5407" t="s">
        <v>46573</v>
      </c>
      <c r="S5407" t="s">
        <v>46705</v>
      </c>
      <c r="T5407" t="s">
        <v>48221</v>
      </c>
      <c r="U5407" t="s">
        <v>53265</v>
      </c>
      <c r="V5407" t="s">
        <v>62191</v>
      </c>
      <c r="W5407" t="s">
        <v>42871</v>
      </c>
      <c r="X5407" t="s">
        <v>46574</v>
      </c>
    </row>
    <row r="5408" spans="1:24">
      <c r="A5408">
        <f>HYPERLINK("https://www.philgeps.gov.ph/GEPSNONPILOT/Tender/SplashBidNoticeAbstractUI.aspx?menuIndex=3&amp;refID=7059410&amp;Result=3","7059410")</f>
        <v>0</v>
      </c>
      <c r="B5408" t="s">
        <v>1836</v>
      </c>
      <c r="C5408" t="s">
        <v>8688</v>
      </c>
      <c r="D5408" t="s">
        <v>18813</v>
      </c>
      <c r="E5408" t="s">
        <v>23733</v>
      </c>
      <c r="F5408" t="s">
        <v>32664</v>
      </c>
      <c r="G5408" t="s">
        <v>32675</v>
      </c>
      <c r="H5408" t="s">
        <v>12635</v>
      </c>
      <c r="I5408" t="s">
        <v>4439</v>
      </c>
      <c r="J5408" t="s">
        <v>36231</v>
      </c>
      <c r="K5408" t="s">
        <v>42281</v>
      </c>
      <c r="M5408" t="s">
        <v>44544</v>
      </c>
      <c r="N5408" t="s">
        <v>46569</v>
      </c>
      <c r="O5408" t="s">
        <v>46570</v>
      </c>
      <c r="P5408">
        <v>0</v>
      </c>
      <c r="Q5408">
        <v>0</v>
      </c>
      <c r="R5408" t="s">
        <v>46573</v>
      </c>
      <c r="S5408" t="s">
        <v>46705</v>
      </c>
      <c r="T5408" t="s">
        <v>48287</v>
      </c>
      <c r="U5408" t="s">
        <v>53266</v>
      </c>
      <c r="W5408" t="s">
        <v>44544</v>
      </c>
      <c r="X5408" t="s">
        <v>46574</v>
      </c>
    </row>
    <row r="5409" spans="1:24">
      <c r="A5409">
        <f>HYPERLINK("https://www.philgeps.gov.ph/GEPSNONPILOT/Tender/SplashBidNoticeAbstractUI.aspx?menuIndex=3&amp;refID=7059406&amp;Result=3","7059406")</f>
        <v>0</v>
      </c>
      <c r="B5409" t="s">
        <v>926</v>
      </c>
      <c r="C5409" t="s">
        <v>8689</v>
      </c>
      <c r="D5409" t="s">
        <v>18847</v>
      </c>
      <c r="E5409" t="s">
        <v>23734</v>
      </c>
      <c r="F5409" t="s">
        <v>32664</v>
      </c>
      <c r="G5409" t="s">
        <v>32672</v>
      </c>
      <c r="H5409" t="s">
        <v>12635</v>
      </c>
      <c r="I5409" t="s">
        <v>11464</v>
      </c>
      <c r="J5409" t="s">
        <v>32917</v>
      </c>
      <c r="K5409" t="s">
        <v>42297</v>
      </c>
      <c r="M5409" t="s">
        <v>43532</v>
      </c>
      <c r="N5409" t="s">
        <v>46569</v>
      </c>
      <c r="O5409" t="s">
        <v>46570</v>
      </c>
      <c r="P5409">
        <v>0</v>
      </c>
      <c r="Q5409">
        <v>0</v>
      </c>
      <c r="R5409" t="s">
        <v>46573</v>
      </c>
      <c r="S5409" t="s">
        <v>46705</v>
      </c>
      <c r="T5409" t="s">
        <v>48528</v>
      </c>
      <c r="U5409" t="s">
        <v>53267</v>
      </c>
      <c r="W5409" t="s">
        <v>43532</v>
      </c>
      <c r="X5409" t="s">
        <v>46574</v>
      </c>
    </row>
    <row r="5410" spans="1:24">
      <c r="A5410">
        <f>HYPERLINK("https://www.philgeps.gov.ph/GEPSNONPILOT/Tender/SplashBidNoticeAbstractUI.aspx?menuIndex=3&amp;refID=7059405&amp;Result=3","7059405")</f>
        <v>0</v>
      </c>
      <c r="B5410" t="s">
        <v>1093</v>
      </c>
      <c r="C5410" t="s">
        <v>8690</v>
      </c>
      <c r="D5410" t="s">
        <v>18784</v>
      </c>
      <c r="E5410" t="s">
        <v>23735</v>
      </c>
      <c r="F5410" t="s">
        <v>32664</v>
      </c>
      <c r="G5410" t="s">
        <v>32671</v>
      </c>
      <c r="H5410" t="s">
        <v>12635</v>
      </c>
      <c r="I5410" t="s">
        <v>4439</v>
      </c>
      <c r="J5410" t="s">
        <v>36232</v>
      </c>
      <c r="K5410" t="s">
        <v>42289</v>
      </c>
      <c r="M5410" t="s">
        <v>43720</v>
      </c>
      <c r="N5410" t="s">
        <v>46569</v>
      </c>
      <c r="O5410" t="s">
        <v>46570</v>
      </c>
      <c r="P5410">
        <v>0</v>
      </c>
      <c r="Q5410">
        <v>1</v>
      </c>
      <c r="R5410" t="s">
        <v>46573</v>
      </c>
      <c r="S5410" t="s">
        <v>46705</v>
      </c>
      <c r="T5410" t="s">
        <v>48307</v>
      </c>
      <c r="U5410" t="s">
        <v>53268</v>
      </c>
      <c r="V5410" t="s">
        <v>61652</v>
      </c>
      <c r="W5410" t="s">
        <v>43720</v>
      </c>
      <c r="X5410" t="s">
        <v>46574</v>
      </c>
    </row>
    <row r="5411" spans="1:24">
      <c r="A5411">
        <f>HYPERLINK("https://www.philgeps.gov.ph/GEPSNONPILOT/Tender/SplashBidNoticeAbstractUI.aspx?menuIndex=3&amp;refID=7059404&amp;Result=3","7059404")</f>
        <v>0</v>
      </c>
      <c r="B5411" t="s">
        <v>1672</v>
      </c>
      <c r="C5411" t="s">
        <v>8691</v>
      </c>
      <c r="D5411" t="s">
        <v>18859</v>
      </c>
      <c r="E5411" t="s">
        <v>23736</v>
      </c>
      <c r="F5411" t="s">
        <v>32664</v>
      </c>
      <c r="G5411" t="s">
        <v>32671</v>
      </c>
      <c r="H5411" t="s">
        <v>12635</v>
      </c>
      <c r="I5411" t="s">
        <v>4439</v>
      </c>
      <c r="J5411" t="s">
        <v>35869</v>
      </c>
      <c r="K5411" t="s">
        <v>42309</v>
      </c>
      <c r="M5411" t="s">
        <v>44360</v>
      </c>
      <c r="N5411" t="s">
        <v>46569</v>
      </c>
      <c r="O5411" t="s">
        <v>46570</v>
      </c>
      <c r="P5411">
        <v>0</v>
      </c>
      <c r="Q5411">
        <v>0</v>
      </c>
      <c r="R5411" t="s">
        <v>46573</v>
      </c>
      <c r="S5411" t="s">
        <v>46705</v>
      </c>
      <c r="T5411" t="s">
        <v>48254</v>
      </c>
      <c r="U5411" t="s">
        <v>53269</v>
      </c>
      <c r="V5411" t="s">
        <v>62105</v>
      </c>
      <c r="W5411" t="s">
        <v>44360</v>
      </c>
      <c r="X5411" t="s">
        <v>46574</v>
      </c>
    </row>
    <row r="5412" spans="1:24">
      <c r="A5412">
        <f>HYPERLINK("https://www.philgeps.gov.ph/GEPSNONPILOT/Tender/SplashBidNoticeAbstractUI.aspx?menuIndex=3&amp;refID=7059388&amp;Result=3","7059388")</f>
        <v>0</v>
      </c>
      <c r="B5412" t="s">
        <v>1494</v>
      </c>
      <c r="C5412" t="s">
        <v>8692</v>
      </c>
      <c r="D5412" t="s">
        <v>18804</v>
      </c>
      <c r="E5412" t="s">
        <v>23737</v>
      </c>
      <c r="F5412" t="s">
        <v>32664</v>
      </c>
      <c r="G5412" t="s">
        <v>32674</v>
      </c>
      <c r="H5412" t="s">
        <v>12635</v>
      </c>
      <c r="I5412" t="s">
        <v>6223</v>
      </c>
      <c r="J5412" t="s">
        <v>36233</v>
      </c>
      <c r="K5412" t="s">
        <v>42309</v>
      </c>
      <c r="M5412" t="s">
        <v>44158</v>
      </c>
      <c r="N5412" t="s">
        <v>46569</v>
      </c>
      <c r="O5412" t="s">
        <v>46570</v>
      </c>
      <c r="P5412">
        <v>0</v>
      </c>
      <c r="Q5412">
        <v>0</v>
      </c>
      <c r="R5412" t="s">
        <v>46573</v>
      </c>
      <c r="S5412" t="s">
        <v>46705</v>
      </c>
      <c r="T5412" t="s">
        <v>48307</v>
      </c>
      <c r="U5412" t="s">
        <v>53270</v>
      </c>
      <c r="W5412" t="s">
        <v>44158</v>
      </c>
      <c r="X5412" t="s">
        <v>46574</v>
      </c>
    </row>
    <row r="5413" spans="1:24">
      <c r="A5413">
        <f>HYPERLINK("https://www.philgeps.gov.ph/GEPSNONPILOT/Tender/SplashBidNoticeAbstractUI.aspx?menuIndex=3&amp;refID=7059369&amp;Result=3","7059369")</f>
        <v>0</v>
      </c>
      <c r="B5413" t="s">
        <v>570</v>
      </c>
      <c r="C5413" t="s">
        <v>8693</v>
      </c>
      <c r="E5413" t="s">
        <v>23738</v>
      </c>
      <c r="F5413" t="s">
        <v>32664</v>
      </c>
      <c r="G5413" t="s">
        <v>32677</v>
      </c>
      <c r="H5413" t="s">
        <v>12635</v>
      </c>
      <c r="I5413" t="s">
        <v>4439</v>
      </c>
      <c r="J5413" t="s">
        <v>36234</v>
      </c>
      <c r="K5413" t="s">
        <v>42283</v>
      </c>
      <c r="M5413" t="s">
        <v>43150</v>
      </c>
      <c r="N5413" t="s">
        <v>46569</v>
      </c>
      <c r="O5413" t="s">
        <v>46570</v>
      </c>
      <c r="P5413">
        <v>0</v>
      </c>
      <c r="Q5413">
        <v>0</v>
      </c>
      <c r="R5413" t="s">
        <v>46573</v>
      </c>
      <c r="S5413" t="s">
        <v>46705</v>
      </c>
      <c r="T5413" t="s">
        <v>48282</v>
      </c>
      <c r="U5413" t="s">
        <v>53271</v>
      </c>
      <c r="W5413" t="s">
        <v>43150</v>
      </c>
      <c r="X5413" t="s">
        <v>46574</v>
      </c>
    </row>
    <row r="5414" spans="1:24">
      <c r="A5414">
        <f>HYPERLINK("https://www.philgeps.gov.ph/GEPSNONPILOT/Tender/SplashBidNoticeAbstractUI.aspx?menuIndex=3&amp;refID=7059411&amp;Result=3","7059411")</f>
        <v>0</v>
      </c>
      <c r="B5414" t="s">
        <v>1820</v>
      </c>
      <c r="C5414" t="s">
        <v>8694</v>
      </c>
      <c r="D5414" t="s">
        <v>18791</v>
      </c>
      <c r="E5414" t="s">
        <v>23739</v>
      </c>
      <c r="F5414" t="s">
        <v>32664</v>
      </c>
      <c r="G5414" t="s">
        <v>32672</v>
      </c>
      <c r="H5414" t="s">
        <v>12635</v>
      </c>
      <c r="I5414" t="s">
        <v>4439</v>
      </c>
      <c r="J5414" t="s">
        <v>36235</v>
      </c>
      <c r="K5414" t="s">
        <v>42330</v>
      </c>
      <c r="M5414" t="s">
        <v>44526</v>
      </c>
      <c r="N5414" t="s">
        <v>46569</v>
      </c>
      <c r="O5414" t="s">
        <v>46570</v>
      </c>
      <c r="P5414">
        <v>0</v>
      </c>
      <c r="Q5414">
        <v>2</v>
      </c>
      <c r="R5414" t="s">
        <v>46573</v>
      </c>
      <c r="S5414" t="s">
        <v>46705</v>
      </c>
      <c r="T5414" t="s">
        <v>48216</v>
      </c>
      <c r="U5414" t="s">
        <v>53272</v>
      </c>
      <c r="W5414" t="s">
        <v>44526</v>
      </c>
      <c r="X5414" t="s">
        <v>46574</v>
      </c>
    </row>
    <row r="5415" spans="1:24">
      <c r="A5415">
        <f>HYPERLINK("https://www.philgeps.gov.ph/GEPSNONPILOT/Tender/SplashBidNoticeAbstractUI.aspx?menuIndex=3&amp;refID=7059400&amp;Result=3","7059400")</f>
        <v>0</v>
      </c>
      <c r="B5415" t="s">
        <v>1837</v>
      </c>
      <c r="C5415" t="s">
        <v>8695</v>
      </c>
      <c r="D5415" t="s">
        <v>18806</v>
      </c>
      <c r="E5415" t="s">
        <v>20822</v>
      </c>
      <c r="F5415" t="s">
        <v>32664</v>
      </c>
      <c r="G5415" t="s">
        <v>32672</v>
      </c>
      <c r="H5415" t="s">
        <v>12635</v>
      </c>
      <c r="I5415" t="s">
        <v>32731</v>
      </c>
      <c r="J5415" t="s">
        <v>35589</v>
      </c>
      <c r="K5415" t="s">
        <v>42305</v>
      </c>
      <c r="M5415" t="s">
        <v>44545</v>
      </c>
      <c r="N5415" t="s">
        <v>46569</v>
      </c>
      <c r="O5415" t="s">
        <v>46570</v>
      </c>
      <c r="P5415">
        <v>0</v>
      </c>
      <c r="Q5415">
        <v>1</v>
      </c>
      <c r="R5415" t="s">
        <v>46573</v>
      </c>
      <c r="S5415" t="s">
        <v>46705</v>
      </c>
      <c r="T5415" t="s">
        <v>48392</v>
      </c>
      <c r="U5415" t="s">
        <v>53273</v>
      </c>
      <c r="W5415" t="s">
        <v>44545</v>
      </c>
      <c r="X5415" t="s">
        <v>46574</v>
      </c>
    </row>
    <row r="5416" spans="1:24">
      <c r="A5416">
        <f>HYPERLINK("https://www.philgeps.gov.ph/GEPSNONPILOT/Tender/SplashBidNoticeAbstractUI.aspx?menuIndex=3&amp;refID=7059394&amp;Result=3","7059394")</f>
        <v>0</v>
      </c>
      <c r="B5416" t="s">
        <v>295</v>
      </c>
      <c r="C5416" t="s">
        <v>8696</v>
      </c>
      <c r="D5416" t="s">
        <v>18848</v>
      </c>
      <c r="E5416" t="s">
        <v>23740</v>
      </c>
      <c r="F5416" t="s">
        <v>32664</v>
      </c>
      <c r="G5416" t="s">
        <v>32672</v>
      </c>
      <c r="H5416" t="s">
        <v>12635</v>
      </c>
      <c r="I5416" t="s">
        <v>6628</v>
      </c>
      <c r="J5416" t="s">
        <v>33114</v>
      </c>
      <c r="K5416" t="s">
        <v>42297</v>
      </c>
      <c r="M5416" t="s">
        <v>42862</v>
      </c>
      <c r="N5416" t="s">
        <v>46569</v>
      </c>
      <c r="O5416" t="s">
        <v>46570</v>
      </c>
      <c r="P5416">
        <v>0</v>
      </c>
      <c r="Q5416">
        <v>0</v>
      </c>
      <c r="R5416" t="s">
        <v>46573</v>
      </c>
      <c r="S5416" t="s">
        <v>46705</v>
      </c>
      <c r="T5416" t="s">
        <v>48322</v>
      </c>
      <c r="U5416" t="s">
        <v>53274</v>
      </c>
      <c r="W5416" t="s">
        <v>42862</v>
      </c>
      <c r="X5416" t="s">
        <v>46574</v>
      </c>
    </row>
    <row r="5417" spans="1:24">
      <c r="A5417">
        <f>HYPERLINK("https://www.philgeps.gov.ph/GEPSNONPILOT/Tender/SplashBidNoticeAbstractUI.aspx?menuIndex=3&amp;refID=7059393&amp;Result=3","7059393")</f>
        <v>0</v>
      </c>
      <c r="B5417" t="s">
        <v>1832</v>
      </c>
      <c r="C5417" t="s">
        <v>8697</v>
      </c>
      <c r="D5417" t="s">
        <v>18812</v>
      </c>
      <c r="E5417" t="s">
        <v>23741</v>
      </c>
      <c r="F5417" t="s">
        <v>32664</v>
      </c>
      <c r="G5417" t="s">
        <v>32672</v>
      </c>
      <c r="H5417" t="s">
        <v>12635</v>
      </c>
      <c r="I5417" t="s">
        <v>4439</v>
      </c>
      <c r="J5417" t="s">
        <v>36236</v>
      </c>
      <c r="K5417" t="s">
        <v>42328</v>
      </c>
      <c r="M5417" t="s">
        <v>44539</v>
      </c>
      <c r="N5417" t="s">
        <v>46569</v>
      </c>
      <c r="O5417" t="s">
        <v>46570</v>
      </c>
      <c r="P5417">
        <v>0</v>
      </c>
      <c r="Q5417">
        <v>0</v>
      </c>
      <c r="R5417" t="s">
        <v>46573</v>
      </c>
      <c r="S5417" t="s">
        <v>46705</v>
      </c>
      <c r="T5417" t="s">
        <v>48213</v>
      </c>
      <c r="U5417" t="s">
        <v>53275</v>
      </c>
      <c r="W5417" t="s">
        <v>63536</v>
      </c>
      <c r="X5417" t="s">
        <v>46574</v>
      </c>
    </row>
    <row r="5418" spans="1:24">
      <c r="A5418">
        <f>HYPERLINK("https://www.philgeps.gov.ph/GEPSNONPILOT/Tender/SplashBidNoticeAbstractUI.aspx?menuIndex=3&amp;refID=7059403&amp;Result=3","7059403")</f>
        <v>0</v>
      </c>
      <c r="B5418" t="s">
        <v>1832</v>
      </c>
      <c r="C5418" t="s">
        <v>8698</v>
      </c>
      <c r="D5418" t="s">
        <v>18812</v>
      </c>
      <c r="E5418" t="s">
        <v>23742</v>
      </c>
      <c r="F5418" t="s">
        <v>32664</v>
      </c>
      <c r="G5418" t="s">
        <v>32672</v>
      </c>
      <c r="H5418" t="s">
        <v>12635</v>
      </c>
      <c r="I5418" t="s">
        <v>4439</v>
      </c>
      <c r="J5418" t="s">
        <v>36237</v>
      </c>
      <c r="K5418" t="s">
        <v>42313</v>
      </c>
      <c r="M5418" t="s">
        <v>44539</v>
      </c>
      <c r="N5418" t="s">
        <v>46569</v>
      </c>
      <c r="O5418" t="s">
        <v>46570</v>
      </c>
      <c r="P5418">
        <v>0</v>
      </c>
      <c r="Q5418">
        <v>0</v>
      </c>
      <c r="R5418" t="s">
        <v>46573</v>
      </c>
      <c r="S5418" t="s">
        <v>46705</v>
      </c>
      <c r="T5418" t="s">
        <v>48478</v>
      </c>
      <c r="U5418" t="s">
        <v>53276</v>
      </c>
      <c r="W5418" t="s">
        <v>63536</v>
      </c>
      <c r="X5418" t="s">
        <v>46574</v>
      </c>
    </row>
    <row r="5419" spans="1:24">
      <c r="A5419">
        <f>HYPERLINK("https://www.philgeps.gov.ph/GEPSNONPILOT/Tender/SplashBidNoticeAbstractUI.aspx?menuIndex=3&amp;refID=7059390&amp;Result=3","7059390")</f>
        <v>0</v>
      </c>
      <c r="B5419" t="s">
        <v>258</v>
      </c>
      <c r="C5419" t="s">
        <v>8699</v>
      </c>
      <c r="D5419" t="s">
        <v>18782</v>
      </c>
      <c r="E5419" t="s">
        <v>23743</v>
      </c>
      <c r="F5419" t="s">
        <v>32664</v>
      </c>
      <c r="G5419" t="s">
        <v>32671</v>
      </c>
      <c r="H5419" t="s">
        <v>12635</v>
      </c>
      <c r="I5419" t="s">
        <v>32685</v>
      </c>
      <c r="J5419" t="s">
        <v>36238</v>
      </c>
      <c r="K5419" t="s">
        <v>42284</v>
      </c>
      <c r="M5419" t="s">
        <v>42823</v>
      </c>
      <c r="N5419" t="s">
        <v>46569</v>
      </c>
      <c r="O5419" t="s">
        <v>46570</v>
      </c>
      <c r="P5419">
        <v>0</v>
      </c>
      <c r="Q5419">
        <v>0</v>
      </c>
      <c r="R5419" t="s">
        <v>46573</v>
      </c>
      <c r="S5419" t="s">
        <v>46705</v>
      </c>
      <c r="T5419" t="s">
        <v>48492</v>
      </c>
      <c r="U5419" t="s">
        <v>53277</v>
      </c>
      <c r="V5419" t="s">
        <v>62192</v>
      </c>
      <c r="W5419" t="s">
        <v>42823</v>
      </c>
      <c r="X5419" t="s">
        <v>46574</v>
      </c>
    </row>
    <row r="5420" spans="1:24">
      <c r="A5420">
        <f>HYPERLINK("https://www.philgeps.gov.ph/GEPSNONPILOT/Tender/SplashBidNoticeAbstractUI.aspx?menuIndex=3&amp;refID=7059402&amp;Result=3","7059402")</f>
        <v>0</v>
      </c>
      <c r="B5420" t="s">
        <v>1838</v>
      </c>
      <c r="C5420" t="s">
        <v>8700</v>
      </c>
      <c r="D5420" t="s">
        <v>18799</v>
      </c>
      <c r="E5420" t="s">
        <v>23744</v>
      </c>
      <c r="F5420" t="s">
        <v>32664</v>
      </c>
      <c r="G5420" t="s">
        <v>32674</v>
      </c>
      <c r="H5420" t="s">
        <v>12635</v>
      </c>
      <c r="I5420" t="s">
        <v>32704</v>
      </c>
      <c r="J5420" t="s">
        <v>36239</v>
      </c>
      <c r="K5420" t="s">
        <v>42305</v>
      </c>
      <c r="M5420" t="s">
        <v>44546</v>
      </c>
      <c r="N5420" t="s">
        <v>46569</v>
      </c>
      <c r="O5420" t="s">
        <v>46570</v>
      </c>
      <c r="P5420">
        <v>0</v>
      </c>
      <c r="Q5420">
        <v>15</v>
      </c>
      <c r="R5420" t="s">
        <v>46573</v>
      </c>
      <c r="S5420" t="s">
        <v>46705</v>
      </c>
      <c r="T5420" t="s">
        <v>48316</v>
      </c>
      <c r="U5420" t="s">
        <v>49565</v>
      </c>
      <c r="W5420" t="s">
        <v>44546</v>
      </c>
      <c r="X5420" t="s">
        <v>46574</v>
      </c>
    </row>
    <row r="5421" spans="1:24">
      <c r="A5421">
        <f>HYPERLINK("https://www.philgeps.gov.ph/GEPSNONPILOT/Tender/SplashBidNoticeAbstractUI.aspx?menuIndex=3&amp;refID=7059401&amp;Result=3","7059401")</f>
        <v>0</v>
      </c>
      <c r="B5421" t="s">
        <v>617</v>
      </c>
      <c r="C5421" t="s">
        <v>8701</v>
      </c>
      <c r="D5421" t="s">
        <v>18784</v>
      </c>
      <c r="E5421" t="s">
        <v>23745</v>
      </c>
      <c r="F5421" t="s">
        <v>32664</v>
      </c>
      <c r="G5421" t="s">
        <v>32674</v>
      </c>
      <c r="H5421" t="s">
        <v>12635</v>
      </c>
      <c r="I5421" t="s">
        <v>7324</v>
      </c>
      <c r="J5421" t="s">
        <v>33621</v>
      </c>
      <c r="K5421" t="s">
        <v>42289</v>
      </c>
      <c r="M5421" t="s">
        <v>43197</v>
      </c>
      <c r="N5421" t="s">
        <v>46569</v>
      </c>
      <c r="O5421" t="s">
        <v>46570</v>
      </c>
      <c r="P5421">
        <v>0</v>
      </c>
      <c r="Q5421">
        <v>2</v>
      </c>
      <c r="R5421" t="s">
        <v>46573</v>
      </c>
      <c r="S5421" t="s">
        <v>46705</v>
      </c>
      <c r="T5421" t="s">
        <v>48448</v>
      </c>
      <c r="U5421" t="s">
        <v>53278</v>
      </c>
      <c r="W5421" t="s">
        <v>43197</v>
      </c>
      <c r="X5421" t="s">
        <v>46574</v>
      </c>
    </row>
    <row r="5422" spans="1:24">
      <c r="A5422">
        <f>HYPERLINK("https://www.philgeps.gov.ph/GEPSNONPILOT/Tender/SplashBidNoticeAbstractUI.aspx?menuIndex=3&amp;refID=7059396&amp;Result=3","7059396")</f>
        <v>0</v>
      </c>
      <c r="B5422" t="s">
        <v>1640</v>
      </c>
      <c r="C5422" t="s">
        <v>8702</v>
      </c>
      <c r="D5422" t="s">
        <v>18837</v>
      </c>
      <c r="E5422" t="s">
        <v>23746</v>
      </c>
      <c r="F5422" t="s">
        <v>32664</v>
      </c>
      <c r="G5422" t="s">
        <v>32672</v>
      </c>
      <c r="H5422" t="s">
        <v>32683</v>
      </c>
      <c r="I5422" t="s">
        <v>10627</v>
      </c>
      <c r="J5422" t="s">
        <v>36240</v>
      </c>
      <c r="K5422" t="s">
        <v>42431</v>
      </c>
      <c r="M5422" t="s">
        <v>44322</v>
      </c>
      <c r="N5422" t="s">
        <v>46569</v>
      </c>
      <c r="O5422" t="s">
        <v>46570</v>
      </c>
      <c r="P5422">
        <v>0</v>
      </c>
      <c r="Q5422">
        <v>1</v>
      </c>
      <c r="R5422" t="s">
        <v>46573</v>
      </c>
      <c r="S5422" t="s">
        <v>46705</v>
      </c>
      <c r="T5422" t="s">
        <v>48308</v>
      </c>
      <c r="U5422" t="s">
        <v>53279</v>
      </c>
      <c r="W5422" t="s">
        <v>44322</v>
      </c>
      <c r="X5422" t="s">
        <v>46574</v>
      </c>
    </row>
    <row r="5423" spans="1:24">
      <c r="A5423">
        <f>HYPERLINK("https://www.philgeps.gov.ph/GEPSNONPILOT/Tender/SplashBidNoticeAbstractUI.aspx?menuIndex=3&amp;refID=7059441&amp;Result=3","7059441")</f>
        <v>0</v>
      </c>
      <c r="B5423" t="s">
        <v>295</v>
      </c>
      <c r="C5423" t="s">
        <v>8703</v>
      </c>
      <c r="D5423" t="s">
        <v>18848</v>
      </c>
      <c r="E5423" t="s">
        <v>23747</v>
      </c>
      <c r="F5423" t="s">
        <v>32664</v>
      </c>
      <c r="G5423" t="s">
        <v>32672</v>
      </c>
      <c r="H5423" t="s">
        <v>12635</v>
      </c>
      <c r="I5423" t="s">
        <v>32699</v>
      </c>
      <c r="J5423" t="s">
        <v>32853</v>
      </c>
      <c r="K5423" t="s">
        <v>42297</v>
      </c>
      <c r="M5423" t="s">
        <v>42862</v>
      </c>
      <c r="N5423" t="s">
        <v>46569</v>
      </c>
      <c r="O5423" t="s">
        <v>46570</v>
      </c>
      <c r="P5423">
        <v>0</v>
      </c>
      <c r="Q5423">
        <v>0</v>
      </c>
      <c r="R5423" t="s">
        <v>46573</v>
      </c>
      <c r="S5423" t="s">
        <v>46705</v>
      </c>
      <c r="T5423" t="s">
        <v>48322</v>
      </c>
      <c r="U5423" t="s">
        <v>53280</v>
      </c>
      <c r="W5423" t="s">
        <v>42862</v>
      </c>
      <c r="X5423" t="s">
        <v>46574</v>
      </c>
    </row>
    <row r="5424" spans="1:24">
      <c r="A5424">
        <f>HYPERLINK("https://www.philgeps.gov.ph/GEPSNONPILOT/Tender/SplashBidNoticeAbstractUI.aspx?menuIndex=3&amp;refID=7059437&amp;Result=3","7059437")</f>
        <v>0</v>
      </c>
      <c r="B5424" t="s">
        <v>1811</v>
      </c>
      <c r="C5424" t="s">
        <v>8704</v>
      </c>
      <c r="D5424" t="s">
        <v>18805</v>
      </c>
      <c r="E5424" t="s">
        <v>23748</v>
      </c>
      <c r="F5424" t="s">
        <v>32664</v>
      </c>
      <c r="G5424" t="s">
        <v>32672</v>
      </c>
      <c r="H5424" t="s">
        <v>12635</v>
      </c>
      <c r="I5424" t="s">
        <v>32694</v>
      </c>
      <c r="J5424" t="s">
        <v>36241</v>
      </c>
      <c r="K5424" t="s">
        <v>42283</v>
      </c>
      <c r="M5424" t="s">
        <v>44517</v>
      </c>
      <c r="N5424" t="s">
        <v>46569</v>
      </c>
      <c r="O5424" t="s">
        <v>46570</v>
      </c>
      <c r="P5424">
        <v>0</v>
      </c>
      <c r="Q5424">
        <v>0</v>
      </c>
      <c r="R5424" t="s">
        <v>46573</v>
      </c>
      <c r="S5424" t="s">
        <v>46705</v>
      </c>
      <c r="T5424" t="s">
        <v>48411</v>
      </c>
      <c r="U5424" t="s">
        <v>53281</v>
      </c>
      <c r="V5424" t="s">
        <v>62193</v>
      </c>
      <c r="W5424" t="s">
        <v>44517</v>
      </c>
      <c r="X5424" t="s">
        <v>46574</v>
      </c>
    </row>
    <row r="5425" spans="1:24">
      <c r="A5425">
        <f>HYPERLINK("https://www.philgeps.gov.ph/GEPSNONPILOT/Tender/SplashBidNoticeAbstractUI.aspx?menuIndex=3&amp;refID=7059391&amp;Result=3","7059391")</f>
        <v>0</v>
      </c>
      <c r="B5425" t="s">
        <v>1074</v>
      </c>
      <c r="C5425" t="s">
        <v>8705</v>
      </c>
      <c r="D5425" t="s">
        <v>18786</v>
      </c>
      <c r="E5425" t="s">
        <v>19681</v>
      </c>
      <c r="F5425" t="s">
        <v>32664</v>
      </c>
      <c r="G5425" t="s">
        <v>32677</v>
      </c>
      <c r="H5425" t="s">
        <v>12635</v>
      </c>
      <c r="I5425" t="s">
        <v>7759</v>
      </c>
      <c r="J5425" t="s">
        <v>36242</v>
      </c>
      <c r="K5425" t="s">
        <v>42281</v>
      </c>
      <c r="M5425" t="s">
        <v>43694</v>
      </c>
      <c r="N5425" t="s">
        <v>46569</v>
      </c>
      <c r="O5425" t="s">
        <v>46570</v>
      </c>
      <c r="P5425">
        <v>0</v>
      </c>
      <c r="Q5425">
        <v>0</v>
      </c>
      <c r="R5425" t="s">
        <v>46573</v>
      </c>
      <c r="S5425" t="s">
        <v>46705</v>
      </c>
      <c r="T5425" t="s">
        <v>48304</v>
      </c>
      <c r="U5425" t="s">
        <v>53282</v>
      </c>
      <c r="V5425" t="s">
        <v>62194</v>
      </c>
      <c r="W5425" t="s">
        <v>43694</v>
      </c>
      <c r="X5425" t="s">
        <v>46574</v>
      </c>
    </row>
    <row r="5426" spans="1:24">
      <c r="A5426">
        <f>HYPERLINK("https://www.philgeps.gov.ph/GEPSNONPILOT/Tender/SplashBidNoticeAbstractUI.aspx?menuIndex=3&amp;refID=7059434&amp;Result=3","7059434")</f>
        <v>0</v>
      </c>
      <c r="B5426" t="s">
        <v>1839</v>
      </c>
      <c r="C5426" t="s">
        <v>8706</v>
      </c>
      <c r="D5426" t="s">
        <v>18782</v>
      </c>
      <c r="E5426" t="s">
        <v>23749</v>
      </c>
      <c r="F5426" t="s">
        <v>32664</v>
      </c>
      <c r="G5426" t="s">
        <v>32671</v>
      </c>
      <c r="H5426" t="s">
        <v>12635</v>
      </c>
      <c r="I5426" t="s">
        <v>32727</v>
      </c>
      <c r="J5426" t="s">
        <v>33128</v>
      </c>
      <c r="K5426" t="s">
        <v>42281</v>
      </c>
      <c r="M5426" t="s">
        <v>44547</v>
      </c>
      <c r="N5426" t="s">
        <v>46569</v>
      </c>
      <c r="O5426" t="s">
        <v>46570</v>
      </c>
      <c r="P5426">
        <v>0</v>
      </c>
      <c r="Q5426">
        <v>1</v>
      </c>
      <c r="R5426" t="s">
        <v>46573</v>
      </c>
      <c r="S5426" t="s">
        <v>46705</v>
      </c>
      <c r="T5426" t="s">
        <v>48502</v>
      </c>
      <c r="U5426" t="s">
        <v>53283</v>
      </c>
      <c r="W5426" t="s">
        <v>44547</v>
      </c>
      <c r="X5426" t="s">
        <v>46574</v>
      </c>
    </row>
    <row r="5427" spans="1:24">
      <c r="A5427">
        <f>HYPERLINK("https://www.philgeps.gov.ph/GEPSNONPILOT/Tender/SplashBidNoticeAbstractUI.aspx?menuIndex=3&amp;refID=7059382&amp;Result=3","7059382")</f>
        <v>0</v>
      </c>
      <c r="B5427" t="s">
        <v>1732</v>
      </c>
      <c r="C5427" t="s">
        <v>8707</v>
      </c>
      <c r="D5427" t="s">
        <v>18784</v>
      </c>
      <c r="E5427" t="s">
        <v>23433</v>
      </c>
      <c r="F5427" t="s">
        <v>32664</v>
      </c>
      <c r="G5427" t="s">
        <v>32671</v>
      </c>
      <c r="H5427" t="s">
        <v>12635</v>
      </c>
      <c r="I5427" t="s">
        <v>6168</v>
      </c>
      <c r="J5427" t="s">
        <v>36243</v>
      </c>
      <c r="K5427" t="s">
        <v>42297</v>
      </c>
      <c r="M5427" t="s">
        <v>44431</v>
      </c>
      <c r="N5427" t="s">
        <v>46569</v>
      </c>
      <c r="O5427" t="s">
        <v>46570</v>
      </c>
      <c r="P5427">
        <v>0</v>
      </c>
      <c r="Q5427">
        <v>1</v>
      </c>
      <c r="R5427" t="s">
        <v>46573</v>
      </c>
      <c r="S5427" t="s">
        <v>46705</v>
      </c>
      <c r="T5427" t="s">
        <v>48228</v>
      </c>
      <c r="U5427" t="s">
        <v>53284</v>
      </c>
      <c r="W5427" t="s">
        <v>44431</v>
      </c>
      <c r="X5427" t="s">
        <v>46574</v>
      </c>
    </row>
    <row r="5428" spans="1:24">
      <c r="A5428">
        <f>HYPERLINK("https://www.philgeps.gov.ph/GEPSNONPILOT/Tender/SplashBidNoticeAbstractUI.aspx?menuIndex=3&amp;refID=7059414&amp;Result=3","7059414")</f>
        <v>0</v>
      </c>
      <c r="B5428" t="s">
        <v>1840</v>
      </c>
      <c r="C5428" t="s">
        <v>8708</v>
      </c>
      <c r="D5428" t="s">
        <v>18785</v>
      </c>
      <c r="E5428" t="s">
        <v>23750</v>
      </c>
      <c r="F5428" t="s">
        <v>32664</v>
      </c>
      <c r="G5428" t="s">
        <v>32672</v>
      </c>
      <c r="H5428" t="s">
        <v>12635</v>
      </c>
      <c r="I5428" t="s">
        <v>6168</v>
      </c>
      <c r="J5428" t="s">
        <v>36244</v>
      </c>
      <c r="K5428" t="s">
        <v>42289</v>
      </c>
      <c r="M5428" t="s">
        <v>44548</v>
      </c>
      <c r="N5428" t="s">
        <v>46569</v>
      </c>
      <c r="O5428" t="s">
        <v>46570</v>
      </c>
      <c r="P5428">
        <v>0</v>
      </c>
      <c r="Q5428">
        <v>4</v>
      </c>
      <c r="R5428" t="s">
        <v>46573</v>
      </c>
      <c r="S5428" t="s">
        <v>46705</v>
      </c>
      <c r="T5428" t="s">
        <v>48268</v>
      </c>
      <c r="U5428" t="s">
        <v>53285</v>
      </c>
      <c r="W5428" t="s">
        <v>63537</v>
      </c>
      <c r="X5428" t="s">
        <v>46574</v>
      </c>
    </row>
    <row r="5429" spans="1:24">
      <c r="A5429">
        <f>HYPERLINK("https://www.philgeps.gov.ph/GEPSNONPILOT/Tender/SplashBidNoticeAbstractUI.aspx?menuIndex=3&amp;refID=7059427&amp;Result=3","7059427")</f>
        <v>0</v>
      </c>
      <c r="B5429" t="s">
        <v>1829</v>
      </c>
      <c r="C5429" t="s">
        <v>8709</v>
      </c>
      <c r="D5429" t="s">
        <v>18847</v>
      </c>
      <c r="E5429" t="s">
        <v>23751</v>
      </c>
      <c r="F5429" t="s">
        <v>32664</v>
      </c>
      <c r="G5429" t="s">
        <v>32671</v>
      </c>
      <c r="H5429" t="s">
        <v>12635</v>
      </c>
      <c r="I5429" t="s">
        <v>32704</v>
      </c>
      <c r="J5429" t="s">
        <v>32898</v>
      </c>
      <c r="K5429" t="s">
        <v>42295</v>
      </c>
      <c r="M5429" t="s">
        <v>44536</v>
      </c>
      <c r="N5429" t="s">
        <v>46569</v>
      </c>
      <c r="O5429" t="s">
        <v>46570</v>
      </c>
      <c r="P5429">
        <v>0</v>
      </c>
      <c r="Q5429">
        <v>10</v>
      </c>
      <c r="R5429" t="s">
        <v>46573</v>
      </c>
      <c r="S5429" t="s">
        <v>46705</v>
      </c>
      <c r="T5429" t="s">
        <v>48307</v>
      </c>
      <c r="U5429" t="s">
        <v>53240</v>
      </c>
      <c r="V5429" t="s">
        <v>62186</v>
      </c>
      <c r="W5429" t="s">
        <v>44536</v>
      </c>
      <c r="X5429" t="s">
        <v>46574</v>
      </c>
    </row>
    <row r="5430" spans="1:24">
      <c r="A5430">
        <f>HYPERLINK("https://www.philgeps.gov.ph/GEPSNONPILOT/Tender/SplashBidNoticeAbstractUI.aspx?menuIndex=3&amp;refID=7059408&amp;Result=3","7059408")</f>
        <v>0</v>
      </c>
      <c r="B5430" t="s">
        <v>1841</v>
      </c>
      <c r="C5430" t="s">
        <v>4840</v>
      </c>
      <c r="D5430" t="s">
        <v>18797</v>
      </c>
      <c r="E5430" t="s">
        <v>23752</v>
      </c>
      <c r="F5430" t="s">
        <v>32664</v>
      </c>
      <c r="G5430" t="s">
        <v>32671</v>
      </c>
      <c r="H5430" t="s">
        <v>32682</v>
      </c>
      <c r="I5430" t="s">
        <v>10361</v>
      </c>
      <c r="J5430" t="s">
        <v>33309</v>
      </c>
      <c r="K5430" t="s">
        <v>42281</v>
      </c>
      <c r="M5430" t="s">
        <v>44549</v>
      </c>
      <c r="N5430" t="s">
        <v>46569</v>
      </c>
      <c r="O5430" t="s">
        <v>46570</v>
      </c>
      <c r="P5430">
        <v>0</v>
      </c>
      <c r="Q5430">
        <v>0</v>
      </c>
      <c r="R5430" t="s">
        <v>46573</v>
      </c>
      <c r="S5430" t="s">
        <v>46705</v>
      </c>
      <c r="T5430" t="s">
        <v>48254</v>
      </c>
      <c r="U5430" t="s">
        <v>53286</v>
      </c>
      <c r="W5430" t="s">
        <v>44549</v>
      </c>
      <c r="X5430" t="s">
        <v>46574</v>
      </c>
    </row>
    <row r="5431" spans="1:24">
      <c r="A5431">
        <f>HYPERLINK("https://www.philgeps.gov.ph/GEPSNONPILOT/Tender/SplashBidNoticeAbstractUI.aspx?menuIndex=3&amp;refID=7059425&amp;Result=3","7059425")</f>
        <v>0</v>
      </c>
      <c r="B5431" t="s">
        <v>550</v>
      </c>
      <c r="C5431" t="s">
        <v>8710</v>
      </c>
      <c r="D5431" t="s">
        <v>18792</v>
      </c>
      <c r="E5431" t="s">
        <v>23753</v>
      </c>
      <c r="F5431" t="s">
        <v>32664</v>
      </c>
      <c r="G5431" t="s">
        <v>32672</v>
      </c>
      <c r="H5431" t="s">
        <v>12635</v>
      </c>
      <c r="I5431" t="s">
        <v>32684</v>
      </c>
      <c r="J5431" t="s">
        <v>36245</v>
      </c>
      <c r="K5431" t="s">
        <v>42281</v>
      </c>
      <c r="M5431" t="s">
        <v>43130</v>
      </c>
      <c r="N5431" t="s">
        <v>46569</v>
      </c>
      <c r="O5431" t="s">
        <v>46570</v>
      </c>
      <c r="P5431">
        <v>0</v>
      </c>
      <c r="Q5431">
        <v>1</v>
      </c>
      <c r="R5431" t="s">
        <v>46573</v>
      </c>
      <c r="S5431" t="s">
        <v>46705</v>
      </c>
      <c r="T5431" t="s">
        <v>48229</v>
      </c>
      <c r="U5431" t="s">
        <v>53287</v>
      </c>
      <c r="W5431" t="s">
        <v>43130</v>
      </c>
      <c r="X5431" t="s">
        <v>46574</v>
      </c>
    </row>
    <row r="5432" spans="1:24">
      <c r="A5432">
        <f>HYPERLINK("https://www.philgeps.gov.ph/GEPSNONPILOT/Tender/SplashBidNoticeAbstractUI.aspx?menuIndex=3&amp;refID=7059436&amp;Result=3","7059436")</f>
        <v>0</v>
      </c>
      <c r="B5432" t="s">
        <v>168</v>
      </c>
      <c r="C5432" t="s">
        <v>8711</v>
      </c>
      <c r="D5432" t="s">
        <v>18790</v>
      </c>
      <c r="E5432" t="s">
        <v>23754</v>
      </c>
      <c r="F5432" t="s">
        <v>32664</v>
      </c>
      <c r="G5432" t="s">
        <v>32672</v>
      </c>
      <c r="H5432" t="s">
        <v>12635</v>
      </c>
      <c r="I5432" t="s">
        <v>4439</v>
      </c>
      <c r="J5432" t="s">
        <v>36246</v>
      </c>
      <c r="K5432" t="s">
        <v>42284</v>
      </c>
      <c r="M5432" t="s">
        <v>42732</v>
      </c>
      <c r="N5432" t="s">
        <v>46569</v>
      </c>
      <c r="O5432" t="s">
        <v>46570</v>
      </c>
      <c r="P5432">
        <v>0</v>
      </c>
      <c r="Q5432">
        <v>0</v>
      </c>
      <c r="R5432" t="s">
        <v>46573</v>
      </c>
      <c r="S5432" t="s">
        <v>46705</v>
      </c>
      <c r="T5432" t="s">
        <v>48263</v>
      </c>
      <c r="U5432" t="s">
        <v>53288</v>
      </c>
      <c r="W5432" t="s">
        <v>42732</v>
      </c>
      <c r="X5432" t="s">
        <v>46574</v>
      </c>
    </row>
    <row r="5433" spans="1:24">
      <c r="A5433">
        <f>HYPERLINK("https://www.philgeps.gov.ph/GEPSNONPILOT/Tender/SplashBidNoticeAbstractUI.aspx?menuIndex=3&amp;refID=7059423&amp;Result=3","7059423")</f>
        <v>0</v>
      </c>
      <c r="B5433" t="s">
        <v>1842</v>
      </c>
      <c r="C5433" t="s">
        <v>8712</v>
      </c>
      <c r="D5433" t="s">
        <v>18838</v>
      </c>
      <c r="E5433" t="s">
        <v>23755</v>
      </c>
      <c r="F5433" t="s">
        <v>32664</v>
      </c>
      <c r="G5433" t="s">
        <v>32672</v>
      </c>
      <c r="H5433" t="s">
        <v>12635</v>
      </c>
      <c r="I5433" t="s">
        <v>14442</v>
      </c>
      <c r="J5433" t="s">
        <v>36247</v>
      </c>
      <c r="K5433" t="s">
        <v>42289</v>
      </c>
      <c r="M5433" t="s">
        <v>44550</v>
      </c>
      <c r="N5433" t="s">
        <v>46569</v>
      </c>
      <c r="O5433" t="s">
        <v>46570</v>
      </c>
      <c r="P5433">
        <v>0</v>
      </c>
      <c r="Q5433">
        <v>5</v>
      </c>
      <c r="R5433" t="s">
        <v>46573</v>
      </c>
      <c r="S5433" t="s">
        <v>46705</v>
      </c>
      <c r="T5433" t="s">
        <v>48304</v>
      </c>
      <c r="U5433" t="s">
        <v>53289</v>
      </c>
      <c r="V5433" t="s">
        <v>62195</v>
      </c>
      <c r="W5433" t="s">
        <v>44550</v>
      </c>
      <c r="X5433" t="s">
        <v>46574</v>
      </c>
    </row>
    <row r="5434" spans="1:24">
      <c r="A5434">
        <f>HYPERLINK("https://www.philgeps.gov.ph/GEPSNONPILOT/Tender/SplashBidNoticeAbstractUI.aspx?menuIndex=3&amp;refID=7059431&amp;Result=3","7059431")</f>
        <v>0</v>
      </c>
      <c r="B5434" t="s">
        <v>1093</v>
      </c>
      <c r="C5434" t="s">
        <v>8713</v>
      </c>
      <c r="D5434" t="s">
        <v>18784</v>
      </c>
      <c r="E5434" t="s">
        <v>23756</v>
      </c>
      <c r="F5434" t="s">
        <v>32664</v>
      </c>
      <c r="G5434" t="s">
        <v>32671</v>
      </c>
      <c r="H5434" t="s">
        <v>12635</v>
      </c>
      <c r="I5434" t="s">
        <v>32775</v>
      </c>
      <c r="J5434" t="s">
        <v>33008</v>
      </c>
      <c r="K5434" t="s">
        <v>42289</v>
      </c>
      <c r="M5434" t="s">
        <v>43720</v>
      </c>
      <c r="N5434" t="s">
        <v>46569</v>
      </c>
      <c r="O5434" t="s">
        <v>46570</v>
      </c>
      <c r="P5434">
        <v>0</v>
      </c>
      <c r="Q5434">
        <v>2</v>
      </c>
      <c r="R5434" t="s">
        <v>46573</v>
      </c>
      <c r="S5434" t="s">
        <v>46705</v>
      </c>
      <c r="T5434" t="s">
        <v>48307</v>
      </c>
      <c r="U5434" t="s">
        <v>53290</v>
      </c>
      <c r="V5434" t="s">
        <v>61652</v>
      </c>
      <c r="W5434" t="s">
        <v>43720</v>
      </c>
      <c r="X5434" t="s">
        <v>46574</v>
      </c>
    </row>
    <row r="5435" spans="1:24">
      <c r="A5435">
        <f>HYPERLINK("https://www.philgeps.gov.ph/GEPSNONPILOT/Tender/SplashBidNoticeAbstractUI.aspx?menuIndex=3&amp;refID=7059422&amp;Result=3","7059422")</f>
        <v>0</v>
      </c>
      <c r="B5435" t="s">
        <v>1074</v>
      </c>
      <c r="C5435" t="s">
        <v>8714</v>
      </c>
      <c r="D5435" t="s">
        <v>18786</v>
      </c>
      <c r="E5435" t="s">
        <v>21047</v>
      </c>
      <c r="F5435" t="s">
        <v>32664</v>
      </c>
      <c r="G5435" t="s">
        <v>32677</v>
      </c>
      <c r="H5435" t="s">
        <v>12635</v>
      </c>
      <c r="I5435" t="s">
        <v>32696</v>
      </c>
      <c r="J5435" t="s">
        <v>36248</v>
      </c>
      <c r="K5435" t="s">
        <v>42281</v>
      </c>
      <c r="M5435" t="s">
        <v>43694</v>
      </c>
      <c r="N5435" t="s">
        <v>46569</v>
      </c>
      <c r="O5435" t="s">
        <v>46570</v>
      </c>
      <c r="P5435">
        <v>0</v>
      </c>
      <c r="Q5435">
        <v>2</v>
      </c>
      <c r="R5435" t="s">
        <v>46573</v>
      </c>
      <c r="S5435" t="s">
        <v>46705</v>
      </c>
      <c r="T5435" t="s">
        <v>48304</v>
      </c>
      <c r="U5435" t="s">
        <v>53291</v>
      </c>
      <c r="V5435" t="s">
        <v>62196</v>
      </c>
      <c r="W5435" t="s">
        <v>43694</v>
      </c>
      <c r="X5435" t="s">
        <v>46574</v>
      </c>
    </row>
    <row r="5436" spans="1:24">
      <c r="A5436">
        <f>HYPERLINK("https://www.philgeps.gov.ph/GEPSNONPILOT/Tender/SplashBidNoticeAbstractUI.aspx?menuIndex=3&amp;refID=7059433&amp;Result=3","7059433")</f>
        <v>0</v>
      </c>
      <c r="B5436" t="s">
        <v>1843</v>
      </c>
      <c r="C5436" t="s">
        <v>8715</v>
      </c>
      <c r="D5436" t="s">
        <v>18842</v>
      </c>
      <c r="E5436" t="s">
        <v>23757</v>
      </c>
      <c r="F5436" t="s">
        <v>32664</v>
      </c>
      <c r="G5436" t="s">
        <v>32672</v>
      </c>
      <c r="H5436" t="s">
        <v>12635</v>
      </c>
      <c r="I5436" t="s">
        <v>5589</v>
      </c>
      <c r="J5436" t="s">
        <v>36249</v>
      </c>
      <c r="K5436" t="s">
        <v>42305</v>
      </c>
      <c r="M5436" t="s">
        <v>44551</v>
      </c>
      <c r="N5436" t="s">
        <v>46569</v>
      </c>
      <c r="O5436" t="s">
        <v>46570</v>
      </c>
      <c r="P5436">
        <v>0</v>
      </c>
      <c r="Q5436">
        <v>3</v>
      </c>
      <c r="R5436" t="s">
        <v>46573</v>
      </c>
      <c r="S5436" t="s">
        <v>46705</v>
      </c>
      <c r="T5436" t="s">
        <v>48234</v>
      </c>
      <c r="U5436" t="s">
        <v>53292</v>
      </c>
      <c r="V5436" t="s">
        <v>53292</v>
      </c>
      <c r="W5436" t="s">
        <v>44551</v>
      </c>
      <c r="X5436" t="s">
        <v>46574</v>
      </c>
    </row>
    <row r="5437" spans="1:24">
      <c r="A5437">
        <f>HYPERLINK("https://www.philgeps.gov.ph/GEPSNONPILOT/Tender/SplashBidNoticeAbstractUI.aspx?menuIndex=3&amp;refID=7059421&amp;Result=3","7059421")</f>
        <v>0</v>
      </c>
      <c r="B5437" t="s">
        <v>1232</v>
      </c>
      <c r="C5437" t="s">
        <v>8716</v>
      </c>
      <c r="D5437" t="s">
        <v>18838</v>
      </c>
      <c r="E5437" t="s">
        <v>23758</v>
      </c>
      <c r="F5437" t="s">
        <v>32664</v>
      </c>
      <c r="G5437" t="s">
        <v>32671</v>
      </c>
      <c r="H5437" t="s">
        <v>12635</v>
      </c>
      <c r="I5437" t="s">
        <v>4439</v>
      </c>
      <c r="J5437" t="s">
        <v>36250</v>
      </c>
      <c r="K5437" t="s">
        <v>42283</v>
      </c>
      <c r="L5437" t="s">
        <v>1232</v>
      </c>
      <c r="M5437" t="s">
        <v>43873</v>
      </c>
      <c r="N5437" t="s">
        <v>46569</v>
      </c>
      <c r="O5437" t="s">
        <v>46570</v>
      </c>
      <c r="P5437">
        <v>0</v>
      </c>
      <c r="Q5437">
        <v>2</v>
      </c>
      <c r="R5437" t="s">
        <v>46573</v>
      </c>
      <c r="S5437" t="s">
        <v>46705</v>
      </c>
      <c r="T5437" t="s">
        <v>48316</v>
      </c>
      <c r="U5437" t="s">
        <v>51252</v>
      </c>
      <c r="W5437" t="s">
        <v>43873</v>
      </c>
      <c r="X5437" t="s">
        <v>46574</v>
      </c>
    </row>
    <row r="5438" spans="1:24">
      <c r="A5438">
        <f>HYPERLINK("https://www.philgeps.gov.ph/GEPSNONPILOT/Tender/SplashBidNoticeAbstractUI.aspx?menuIndex=3&amp;refID=7059419&amp;Result=3","7059419")</f>
        <v>0</v>
      </c>
      <c r="B5438" t="s">
        <v>1811</v>
      </c>
      <c r="C5438" t="s">
        <v>8717</v>
      </c>
      <c r="D5438" t="s">
        <v>18805</v>
      </c>
      <c r="E5438" t="s">
        <v>23759</v>
      </c>
      <c r="F5438" t="s">
        <v>32664</v>
      </c>
      <c r="G5438" t="s">
        <v>32672</v>
      </c>
      <c r="H5438" t="s">
        <v>12635</v>
      </c>
      <c r="I5438" t="s">
        <v>32710</v>
      </c>
      <c r="J5438" t="s">
        <v>33311</v>
      </c>
      <c r="K5438" t="s">
        <v>42283</v>
      </c>
      <c r="M5438" t="s">
        <v>44517</v>
      </c>
      <c r="N5438" t="s">
        <v>46569</v>
      </c>
      <c r="O5438" t="s">
        <v>46570</v>
      </c>
      <c r="P5438">
        <v>0</v>
      </c>
      <c r="Q5438">
        <v>0</v>
      </c>
      <c r="R5438" t="s">
        <v>46573</v>
      </c>
      <c r="S5438" t="s">
        <v>46705</v>
      </c>
      <c r="T5438" t="s">
        <v>48411</v>
      </c>
      <c r="U5438" t="s">
        <v>53293</v>
      </c>
      <c r="V5438" t="s">
        <v>62177</v>
      </c>
      <c r="W5438" t="s">
        <v>44517</v>
      </c>
      <c r="X5438" t="s">
        <v>46574</v>
      </c>
    </row>
    <row r="5439" spans="1:24">
      <c r="A5439">
        <f>HYPERLINK("https://www.philgeps.gov.ph/GEPSNONPILOT/Tender/SplashBidNoticeAbstractUI.aspx?menuIndex=3&amp;refID=7059418&amp;Result=3","7059418")</f>
        <v>0</v>
      </c>
      <c r="B5439" t="s">
        <v>1844</v>
      </c>
      <c r="C5439" t="s">
        <v>8718</v>
      </c>
      <c r="D5439" t="s">
        <v>18781</v>
      </c>
      <c r="E5439" t="s">
        <v>20150</v>
      </c>
      <c r="F5439" t="s">
        <v>32664</v>
      </c>
      <c r="G5439" t="s">
        <v>32672</v>
      </c>
      <c r="H5439" t="s">
        <v>12635</v>
      </c>
      <c r="I5439" t="s">
        <v>6223</v>
      </c>
      <c r="J5439" t="s">
        <v>32898</v>
      </c>
      <c r="K5439" t="s">
        <v>42289</v>
      </c>
      <c r="M5439" t="s">
        <v>44552</v>
      </c>
      <c r="N5439" t="s">
        <v>46569</v>
      </c>
      <c r="O5439" t="s">
        <v>46570</v>
      </c>
      <c r="P5439">
        <v>0</v>
      </c>
      <c r="Q5439">
        <v>2</v>
      </c>
      <c r="R5439" t="s">
        <v>46573</v>
      </c>
      <c r="S5439" t="s">
        <v>46705</v>
      </c>
      <c r="T5439" t="s">
        <v>48282</v>
      </c>
      <c r="U5439" t="s">
        <v>53294</v>
      </c>
      <c r="W5439" t="s">
        <v>44552</v>
      </c>
      <c r="X5439" t="s">
        <v>46574</v>
      </c>
    </row>
    <row r="5440" spans="1:24">
      <c r="A5440">
        <f>HYPERLINK("https://www.philgeps.gov.ph/GEPSNONPILOT/Tender/SplashBidNoticeAbstractUI.aspx?menuIndex=3&amp;refID=7059413&amp;Result=3","7059413")</f>
        <v>0</v>
      </c>
      <c r="B5440" t="s">
        <v>1122</v>
      </c>
      <c r="C5440" t="s">
        <v>8719</v>
      </c>
      <c r="D5440" t="s">
        <v>18858</v>
      </c>
      <c r="E5440" t="s">
        <v>23760</v>
      </c>
      <c r="F5440" t="s">
        <v>32664</v>
      </c>
      <c r="G5440" t="s">
        <v>32674</v>
      </c>
      <c r="H5440" t="s">
        <v>12635</v>
      </c>
      <c r="I5440" t="s">
        <v>32712</v>
      </c>
      <c r="J5440" t="s">
        <v>33069</v>
      </c>
      <c r="K5440" t="s">
        <v>42281</v>
      </c>
      <c r="M5440" t="s">
        <v>43751</v>
      </c>
      <c r="N5440" t="s">
        <v>46569</v>
      </c>
      <c r="O5440" t="s">
        <v>46570</v>
      </c>
      <c r="P5440">
        <v>0</v>
      </c>
      <c r="Q5440">
        <v>4</v>
      </c>
      <c r="R5440" t="s">
        <v>46573</v>
      </c>
      <c r="S5440" t="s">
        <v>46705</v>
      </c>
      <c r="T5440" t="s">
        <v>48307</v>
      </c>
      <c r="U5440" t="s">
        <v>53295</v>
      </c>
      <c r="W5440" t="s">
        <v>43751</v>
      </c>
      <c r="X5440" t="s">
        <v>46574</v>
      </c>
    </row>
    <row r="5441" spans="1:24">
      <c r="A5441">
        <f>HYPERLINK("https://www.philgeps.gov.ph/GEPSNONPILOT/Tender/SplashBidNoticeAbstractUI.aspx?menuIndex=3&amp;refID=7059389&amp;Result=3","7059389")</f>
        <v>0</v>
      </c>
      <c r="B5441" t="s">
        <v>1845</v>
      </c>
      <c r="C5441" t="s">
        <v>8720</v>
      </c>
      <c r="D5441" t="s">
        <v>18781</v>
      </c>
      <c r="E5441" t="s">
        <v>23761</v>
      </c>
      <c r="F5441" t="s">
        <v>32664</v>
      </c>
      <c r="G5441" t="s">
        <v>32672</v>
      </c>
      <c r="H5441" t="s">
        <v>12635</v>
      </c>
      <c r="I5441" t="s">
        <v>10627</v>
      </c>
      <c r="J5441" t="s">
        <v>36251</v>
      </c>
      <c r="K5441" t="s">
        <v>42284</v>
      </c>
      <c r="M5441" t="s">
        <v>44553</v>
      </c>
      <c r="N5441" t="s">
        <v>46569</v>
      </c>
      <c r="O5441" t="s">
        <v>46570</v>
      </c>
      <c r="P5441">
        <v>0</v>
      </c>
      <c r="Q5441">
        <v>0</v>
      </c>
      <c r="R5441" t="s">
        <v>46573</v>
      </c>
      <c r="S5441" t="s">
        <v>46705</v>
      </c>
      <c r="T5441" t="s">
        <v>48545</v>
      </c>
      <c r="U5441" t="s">
        <v>53296</v>
      </c>
      <c r="W5441" t="s">
        <v>44553</v>
      </c>
      <c r="X5441" t="s">
        <v>46574</v>
      </c>
    </row>
    <row r="5442" spans="1:24">
      <c r="A5442">
        <f>HYPERLINK("https://www.philgeps.gov.ph/GEPSNONPILOT/Tender/SplashBidNoticeAbstractUI.aspx?menuIndex=3&amp;refID=7059385&amp;Result=3","7059385")</f>
        <v>0</v>
      </c>
      <c r="B5442" t="s">
        <v>1846</v>
      </c>
      <c r="C5442" t="s">
        <v>8721</v>
      </c>
      <c r="D5442" t="s">
        <v>18799</v>
      </c>
      <c r="E5442" t="s">
        <v>19137</v>
      </c>
      <c r="F5442" t="s">
        <v>32664</v>
      </c>
      <c r="G5442" t="s">
        <v>32674</v>
      </c>
      <c r="H5442" t="s">
        <v>12635</v>
      </c>
      <c r="I5442" t="s">
        <v>6223</v>
      </c>
      <c r="J5442" t="s">
        <v>36252</v>
      </c>
      <c r="K5442" t="s">
        <v>42297</v>
      </c>
      <c r="M5442" t="s">
        <v>44554</v>
      </c>
      <c r="N5442" t="s">
        <v>46569</v>
      </c>
      <c r="O5442" t="s">
        <v>46570</v>
      </c>
      <c r="P5442">
        <v>0</v>
      </c>
      <c r="Q5442">
        <v>0</v>
      </c>
      <c r="R5442" t="s">
        <v>46573</v>
      </c>
      <c r="S5442" t="s">
        <v>46705</v>
      </c>
      <c r="T5442" t="s">
        <v>48211</v>
      </c>
      <c r="U5442" t="s">
        <v>53297</v>
      </c>
      <c r="W5442" t="s">
        <v>44554</v>
      </c>
      <c r="X5442" t="s">
        <v>46574</v>
      </c>
    </row>
    <row r="5443" spans="1:24">
      <c r="A5443">
        <f>HYPERLINK("https://www.philgeps.gov.ph/GEPSNONPILOT/Tender/SplashBidNoticeAbstractUI.aspx?menuIndex=3&amp;refID=7059363&amp;Result=3","7059363")</f>
        <v>0</v>
      </c>
      <c r="B5443" t="s">
        <v>507</v>
      </c>
      <c r="C5443" t="s">
        <v>8722</v>
      </c>
      <c r="D5443" t="s">
        <v>18799</v>
      </c>
      <c r="E5443" t="s">
        <v>19137</v>
      </c>
      <c r="F5443" t="s">
        <v>32664</v>
      </c>
      <c r="G5443" t="s">
        <v>32674</v>
      </c>
      <c r="H5443" t="s">
        <v>12635</v>
      </c>
      <c r="I5443" t="s">
        <v>32692</v>
      </c>
      <c r="J5443" t="s">
        <v>36253</v>
      </c>
      <c r="K5443" t="s">
        <v>42284</v>
      </c>
      <c r="M5443" t="s">
        <v>43083</v>
      </c>
      <c r="N5443" t="s">
        <v>46569</v>
      </c>
      <c r="O5443" t="s">
        <v>46570</v>
      </c>
      <c r="P5443">
        <v>0</v>
      </c>
      <c r="Q5443">
        <v>0</v>
      </c>
      <c r="R5443" t="s">
        <v>46573</v>
      </c>
      <c r="S5443" t="s">
        <v>46705</v>
      </c>
      <c r="T5443" t="s">
        <v>48305</v>
      </c>
      <c r="U5443" t="s">
        <v>53298</v>
      </c>
      <c r="V5443" t="s">
        <v>50505</v>
      </c>
      <c r="W5443" t="s">
        <v>43083</v>
      </c>
      <c r="X5443" t="s">
        <v>46574</v>
      </c>
    </row>
    <row r="5444" spans="1:24">
      <c r="A5444">
        <f>HYPERLINK("https://www.philgeps.gov.ph/GEPSNONPILOT/Tender/SplashBidNoticeAbstractUI.aspx?menuIndex=3&amp;refID=7059464&amp;Result=3","7059464")</f>
        <v>0</v>
      </c>
      <c r="B5444" t="s">
        <v>527</v>
      </c>
      <c r="C5444" t="s">
        <v>8723</v>
      </c>
      <c r="D5444" t="s">
        <v>18784</v>
      </c>
      <c r="E5444" t="s">
        <v>23762</v>
      </c>
      <c r="F5444" t="s">
        <v>32664</v>
      </c>
      <c r="G5444" t="s">
        <v>32671</v>
      </c>
      <c r="H5444" t="s">
        <v>12635</v>
      </c>
      <c r="I5444" t="s">
        <v>6118</v>
      </c>
      <c r="J5444" t="s">
        <v>35200</v>
      </c>
      <c r="K5444" t="s">
        <v>42284</v>
      </c>
      <c r="M5444" t="s">
        <v>44555</v>
      </c>
      <c r="N5444" t="s">
        <v>46569</v>
      </c>
      <c r="O5444" t="s">
        <v>46570</v>
      </c>
      <c r="P5444">
        <v>0</v>
      </c>
      <c r="Q5444">
        <v>1</v>
      </c>
      <c r="R5444" t="s">
        <v>46573</v>
      </c>
      <c r="S5444" t="s">
        <v>46705</v>
      </c>
      <c r="T5444" t="s">
        <v>48287</v>
      </c>
      <c r="U5444" t="s">
        <v>49720</v>
      </c>
      <c r="W5444" t="s">
        <v>44555</v>
      </c>
      <c r="X5444" t="s">
        <v>46574</v>
      </c>
    </row>
    <row r="5445" spans="1:24">
      <c r="A5445">
        <f>HYPERLINK("https://www.philgeps.gov.ph/GEPSNONPILOT/Tender/SplashBidNoticeAbstractUI.aspx?menuIndex=3&amp;refID=7059420&amp;Result=3","7059420")</f>
        <v>0</v>
      </c>
      <c r="B5445" t="s">
        <v>1190</v>
      </c>
      <c r="C5445" t="s">
        <v>8724</v>
      </c>
      <c r="D5445" t="s">
        <v>18855</v>
      </c>
      <c r="E5445" t="s">
        <v>23763</v>
      </c>
      <c r="F5445" t="s">
        <v>32664</v>
      </c>
      <c r="G5445" t="s">
        <v>32672</v>
      </c>
      <c r="H5445" t="s">
        <v>32683</v>
      </c>
      <c r="I5445" t="s">
        <v>10627</v>
      </c>
      <c r="J5445" t="s">
        <v>32962</v>
      </c>
      <c r="K5445" t="s">
        <v>42298</v>
      </c>
      <c r="M5445" t="s">
        <v>43826</v>
      </c>
      <c r="N5445" t="s">
        <v>46569</v>
      </c>
      <c r="O5445" t="s">
        <v>46570</v>
      </c>
      <c r="P5445">
        <v>0</v>
      </c>
      <c r="Q5445">
        <v>0</v>
      </c>
      <c r="R5445" t="s">
        <v>46573</v>
      </c>
      <c r="S5445" t="s">
        <v>46705</v>
      </c>
      <c r="T5445" t="s">
        <v>48280</v>
      </c>
      <c r="U5445" t="s">
        <v>53082</v>
      </c>
      <c r="W5445" t="s">
        <v>43826</v>
      </c>
      <c r="X5445" t="s">
        <v>46574</v>
      </c>
    </row>
    <row r="5446" spans="1:24">
      <c r="A5446">
        <f>HYPERLINK("https://www.philgeps.gov.ph/GEPSNONPILOT/Tender/SplashBidNoticeAbstractUI.aspx?menuIndex=3&amp;refID=7059466&amp;Result=3","7059466")</f>
        <v>0</v>
      </c>
      <c r="B5446" t="s">
        <v>168</v>
      </c>
      <c r="C5446" t="s">
        <v>8725</v>
      </c>
      <c r="D5446" t="s">
        <v>18790</v>
      </c>
      <c r="E5446" t="s">
        <v>23764</v>
      </c>
      <c r="F5446" t="s">
        <v>32664</v>
      </c>
      <c r="G5446" t="s">
        <v>32672</v>
      </c>
      <c r="H5446" t="s">
        <v>12635</v>
      </c>
      <c r="I5446" t="s">
        <v>32710</v>
      </c>
      <c r="J5446" t="s">
        <v>34049</v>
      </c>
      <c r="K5446" t="s">
        <v>42284</v>
      </c>
      <c r="M5446" t="s">
        <v>42732</v>
      </c>
      <c r="N5446" t="s">
        <v>46569</v>
      </c>
      <c r="O5446" t="s">
        <v>46570</v>
      </c>
      <c r="P5446">
        <v>0</v>
      </c>
      <c r="Q5446">
        <v>0</v>
      </c>
      <c r="R5446" t="s">
        <v>46573</v>
      </c>
      <c r="S5446" t="s">
        <v>46705</v>
      </c>
      <c r="T5446" t="s">
        <v>48263</v>
      </c>
      <c r="U5446" t="s">
        <v>53299</v>
      </c>
      <c r="W5446" t="s">
        <v>42732</v>
      </c>
      <c r="X5446" t="s">
        <v>46574</v>
      </c>
    </row>
    <row r="5447" spans="1:24">
      <c r="A5447">
        <f>HYPERLINK("https://www.philgeps.gov.ph/GEPSNONPILOT/Tender/SplashBidNoticeAbstractUI.aspx?menuIndex=3&amp;refID=7059428&amp;Result=3","7059428")</f>
        <v>0</v>
      </c>
      <c r="B5447" t="s">
        <v>1847</v>
      </c>
      <c r="C5447" t="s">
        <v>8726</v>
      </c>
      <c r="D5447" t="s">
        <v>18837</v>
      </c>
      <c r="E5447" t="s">
        <v>20112</v>
      </c>
      <c r="F5447" t="s">
        <v>32664</v>
      </c>
      <c r="G5447" t="s">
        <v>32671</v>
      </c>
      <c r="H5447" t="s">
        <v>12635</v>
      </c>
      <c r="I5447" t="s">
        <v>6628</v>
      </c>
      <c r="J5447" t="s">
        <v>33215</v>
      </c>
      <c r="K5447" t="s">
        <v>42281</v>
      </c>
      <c r="M5447" t="s">
        <v>44556</v>
      </c>
      <c r="N5447" t="s">
        <v>46569</v>
      </c>
      <c r="O5447" t="s">
        <v>46570</v>
      </c>
      <c r="P5447">
        <v>0</v>
      </c>
      <c r="Q5447">
        <v>1</v>
      </c>
      <c r="R5447" t="s">
        <v>46573</v>
      </c>
      <c r="S5447" t="s">
        <v>46705</v>
      </c>
      <c r="T5447" t="s">
        <v>48293</v>
      </c>
      <c r="U5447" t="s">
        <v>53300</v>
      </c>
      <c r="W5447" t="s">
        <v>44556</v>
      </c>
      <c r="X5447" t="s">
        <v>46574</v>
      </c>
    </row>
    <row r="5448" spans="1:24">
      <c r="A5448">
        <f>HYPERLINK("https://www.philgeps.gov.ph/GEPSNONPILOT/Tender/SplashBidNoticeAbstractUI.aspx?menuIndex=3&amp;refID=7059426&amp;Result=3","7059426")</f>
        <v>0</v>
      </c>
      <c r="B5448" t="s">
        <v>1838</v>
      </c>
      <c r="C5448" t="s">
        <v>8727</v>
      </c>
      <c r="D5448" t="s">
        <v>18799</v>
      </c>
      <c r="E5448" t="s">
        <v>23765</v>
      </c>
      <c r="F5448" t="s">
        <v>32664</v>
      </c>
      <c r="G5448" t="s">
        <v>32674</v>
      </c>
      <c r="H5448" t="s">
        <v>12635</v>
      </c>
      <c r="I5448" t="s">
        <v>32704</v>
      </c>
      <c r="J5448" t="s">
        <v>36254</v>
      </c>
      <c r="K5448" t="s">
        <v>42305</v>
      </c>
      <c r="M5448" t="s">
        <v>44546</v>
      </c>
      <c r="N5448" t="s">
        <v>46569</v>
      </c>
      <c r="O5448" t="s">
        <v>46570</v>
      </c>
      <c r="P5448">
        <v>0</v>
      </c>
      <c r="Q5448">
        <v>22</v>
      </c>
      <c r="R5448" t="s">
        <v>46573</v>
      </c>
      <c r="S5448" t="s">
        <v>46705</v>
      </c>
      <c r="T5448" t="s">
        <v>48316</v>
      </c>
      <c r="U5448" t="s">
        <v>49460</v>
      </c>
      <c r="W5448" t="s">
        <v>44546</v>
      </c>
      <c r="X5448" t="s">
        <v>46574</v>
      </c>
    </row>
    <row r="5449" spans="1:24">
      <c r="A5449">
        <f>HYPERLINK("https://www.philgeps.gov.ph/GEPSNONPILOT/Tender/SplashBidNoticeAbstractUI.aspx?menuIndex=3&amp;refID=7059460&amp;Result=3","7059460")</f>
        <v>0</v>
      </c>
      <c r="B5449" t="s">
        <v>1848</v>
      </c>
      <c r="C5449" t="s">
        <v>8728</v>
      </c>
      <c r="D5449" t="s">
        <v>18830</v>
      </c>
      <c r="E5449" t="s">
        <v>23766</v>
      </c>
      <c r="F5449" t="s">
        <v>32664</v>
      </c>
      <c r="G5449" t="s">
        <v>32674</v>
      </c>
      <c r="H5449" t="s">
        <v>12635</v>
      </c>
      <c r="I5449" t="s">
        <v>5589</v>
      </c>
      <c r="J5449" t="s">
        <v>33118</v>
      </c>
      <c r="K5449" t="s">
        <v>42289</v>
      </c>
      <c r="M5449" t="s">
        <v>44557</v>
      </c>
      <c r="N5449" t="s">
        <v>46569</v>
      </c>
      <c r="O5449" t="s">
        <v>46570</v>
      </c>
      <c r="P5449">
        <v>0</v>
      </c>
      <c r="Q5449">
        <v>10</v>
      </c>
      <c r="R5449" t="s">
        <v>46573</v>
      </c>
      <c r="S5449" t="s">
        <v>46705</v>
      </c>
      <c r="T5449" t="s">
        <v>48316</v>
      </c>
      <c r="U5449" t="s">
        <v>53301</v>
      </c>
      <c r="W5449" t="s">
        <v>63538</v>
      </c>
      <c r="X5449" t="s">
        <v>46574</v>
      </c>
    </row>
    <row r="5450" spans="1:24">
      <c r="A5450">
        <f>HYPERLINK("https://www.philgeps.gov.ph/GEPSNONPILOT/Tender/SplashBidNoticeAbstractUI.aspx?menuIndex=3&amp;refID=7059424&amp;Result=3","7059424")</f>
        <v>0</v>
      </c>
      <c r="B5450" t="s">
        <v>1732</v>
      </c>
      <c r="C5450" t="s">
        <v>8729</v>
      </c>
      <c r="D5450" t="s">
        <v>18784</v>
      </c>
      <c r="E5450" t="s">
        <v>23433</v>
      </c>
      <c r="F5450" t="s">
        <v>32664</v>
      </c>
      <c r="G5450" t="s">
        <v>32671</v>
      </c>
      <c r="H5450" t="s">
        <v>12635</v>
      </c>
      <c r="I5450" t="s">
        <v>7759</v>
      </c>
      <c r="J5450" t="s">
        <v>36255</v>
      </c>
      <c r="K5450" t="s">
        <v>42297</v>
      </c>
      <c r="M5450" t="s">
        <v>44431</v>
      </c>
      <c r="N5450" t="s">
        <v>46569</v>
      </c>
      <c r="O5450" t="s">
        <v>46570</v>
      </c>
      <c r="P5450">
        <v>0</v>
      </c>
      <c r="Q5450">
        <v>0</v>
      </c>
      <c r="R5450" t="s">
        <v>46573</v>
      </c>
      <c r="S5450" t="s">
        <v>46705</v>
      </c>
      <c r="T5450" t="s">
        <v>48228</v>
      </c>
      <c r="U5450" t="s">
        <v>53302</v>
      </c>
      <c r="W5450" t="s">
        <v>44431</v>
      </c>
      <c r="X5450" t="s">
        <v>46574</v>
      </c>
    </row>
    <row r="5451" spans="1:24">
      <c r="A5451">
        <f>HYPERLINK("https://www.philgeps.gov.ph/GEPSNONPILOT/Tender/SplashBidNoticeAbstractUI.aspx?menuIndex=3&amp;refID=7059386&amp;Result=3","7059386")</f>
        <v>0</v>
      </c>
      <c r="B5451" t="s">
        <v>529</v>
      </c>
      <c r="C5451" t="s">
        <v>8730</v>
      </c>
      <c r="D5451" t="s">
        <v>18784</v>
      </c>
      <c r="E5451" t="s">
        <v>23767</v>
      </c>
      <c r="F5451" t="s">
        <v>32664</v>
      </c>
      <c r="G5451" t="s">
        <v>32671</v>
      </c>
      <c r="H5451" t="s">
        <v>12635</v>
      </c>
      <c r="I5451" t="s">
        <v>8730</v>
      </c>
      <c r="J5451" t="s">
        <v>36256</v>
      </c>
      <c r="K5451" t="s">
        <v>42283</v>
      </c>
      <c r="M5451" t="s">
        <v>43116</v>
      </c>
      <c r="N5451" t="s">
        <v>46569</v>
      </c>
      <c r="O5451" t="s">
        <v>46570</v>
      </c>
      <c r="P5451">
        <v>0</v>
      </c>
      <c r="Q5451">
        <v>12</v>
      </c>
      <c r="R5451" t="s">
        <v>46573</v>
      </c>
      <c r="S5451" t="s">
        <v>46705</v>
      </c>
      <c r="T5451" t="s">
        <v>48450</v>
      </c>
      <c r="U5451" t="s">
        <v>53303</v>
      </c>
      <c r="V5451" t="s">
        <v>61748</v>
      </c>
      <c r="W5451" t="s">
        <v>43116</v>
      </c>
      <c r="X5451" t="s">
        <v>46574</v>
      </c>
    </row>
    <row r="5452" spans="1:24">
      <c r="A5452">
        <f>HYPERLINK("https://www.philgeps.gov.ph/GEPSNONPILOT/Tender/SplashBidNoticeAbstractUI.aspx?menuIndex=3&amp;refID=7059459&amp;Result=3","7059459")</f>
        <v>0</v>
      </c>
      <c r="B5452" t="s">
        <v>1672</v>
      </c>
      <c r="C5452" t="s">
        <v>8731</v>
      </c>
      <c r="D5452" t="s">
        <v>18859</v>
      </c>
      <c r="E5452" t="s">
        <v>23768</v>
      </c>
      <c r="F5452" t="s">
        <v>32664</v>
      </c>
      <c r="G5452" t="s">
        <v>32671</v>
      </c>
      <c r="H5452" t="s">
        <v>12635</v>
      </c>
      <c r="I5452" t="s">
        <v>6223</v>
      </c>
      <c r="J5452" t="s">
        <v>36257</v>
      </c>
      <c r="K5452" t="s">
        <v>42309</v>
      </c>
      <c r="M5452" t="s">
        <v>44360</v>
      </c>
      <c r="N5452" t="s">
        <v>46569</v>
      </c>
      <c r="O5452" t="s">
        <v>46570</v>
      </c>
      <c r="P5452">
        <v>0</v>
      </c>
      <c r="Q5452">
        <v>1</v>
      </c>
      <c r="R5452" t="s">
        <v>46573</v>
      </c>
      <c r="S5452" t="s">
        <v>46705</v>
      </c>
      <c r="T5452" t="s">
        <v>48254</v>
      </c>
      <c r="U5452" t="s">
        <v>53304</v>
      </c>
      <c r="V5452" t="s">
        <v>62105</v>
      </c>
      <c r="W5452" t="s">
        <v>44360</v>
      </c>
      <c r="X5452" t="s">
        <v>46574</v>
      </c>
    </row>
    <row r="5453" spans="1:24">
      <c r="A5453">
        <f>HYPERLINK("https://www.philgeps.gov.ph/GEPSNONPILOT/Tender/SplashBidNoticeAbstractUI.aspx?menuIndex=3&amp;refID=7059458&amp;Result=3","7059458")</f>
        <v>0</v>
      </c>
      <c r="B5453" t="s">
        <v>1732</v>
      </c>
      <c r="C5453" t="s">
        <v>8732</v>
      </c>
      <c r="D5453" t="s">
        <v>18784</v>
      </c>
      <c r="E5453" t="s">
        <v>23433</v>
      </c>
      <c r="F5453" t="s">
        <v>32664</v>
      </c>
      <c r="G5453" t="s">
        <v>32671</v>
      </c>
      <c r="H5453" t="s">
        <v>12635</v>
      </c>
      <c r="I5453" t="s">
        <v>5501</v>
      </c>
      <c r="J5453" t="s">
        <v>36258</v>
      </c>
      <c r="K5453" t="s">
        <v>42297</v>
      </c>
      <c r="M5453" t="s">
        <v>44431</v>
      </c>
      <c r="N5453" t="s">
        <v>46569</v>
      </c>
      <c r="O5453" t="s">
        <v>46570</v>
      </c>
      <c r="P5453">
        <v>0</v>
      </c>
      <c r="Q5453">
        <v>7</v>
      </c>
      <c r="R5453" t="s">
        <v>46573</v>
      </c>
      <c r="S5453" t="s">
        <v>46705</v>
      </c>
      <c r="T5453" t="s">
        <v>48228</v>
      </c>
      <c r="U5453" t="s">
        <v>53305</v>
      </c>
      <c r="W5453" t="s">
        <v>44431</v>
      </c>
      <c r="X5453" t="s">
        <v>46574</v>
      </c>
    </row>
    <row r="5454" spans="1:24">
      <c r="A5454">
        <f>HYPERLINK("https://www.philgeps.gov.ph/GEPSNONPILOT/Tender/SplashBidNoticeAbstractUI.aspx?menuIndex=3&amp;refID=7059454&amp;Result=3","7059454")</f>
        <v>0</v>
      </c>
      <c r="B5454" t="s">
        <v>1849</v>
      </c>
      <c r="C5454" t="s">
        <v>8733</v>
      </c>
      <c r="D5454" t="s">
        <v>18826</v>
      </c>
      <c r="E5454" t="s">
        <v>23769</v>
      </c>
      <c r="F5454" t="s">
        <v>32664</v>
      </c>
      <c r="G5454" t="s">
        <v>32671</v>
      </c>
      <c r="H5454" t="s">
        <v>12635</v>
      </c>
      <c r="I5454" t="s">
        <v>6168</v>
      </c>
      <c r="J5454" t="s">
        <v>36259</v>
      </c>
      <c r="K5454" t="s">
        <v>42281</v>
      </c>
      <c r="M5454" t="s">
        <v>44558</v>
      </c>
      <c r="N5454" t="s">
        <v>46569</v>
      </c>
      <c r="O5454" t="s">
        <v>46570</v>
      </c>
      <c r="P5454">
        <v>0</v>
      </c>
      <c r="Q5454">
        <v>6</v>
      </c>
      <c r="R5454" t="s">
        <v>46573</v>
      </c>
      <c r="S5454" t="s">
        <v>46705</v>
      </c>
      <c r="T5454" t="s">
        <v>48316</v>
      </c>
      <c r="U5454" t="s">
        <v>53306</v>
      </c>
      <c r="W5454" t="s">
        <v>46012</v>
      </c>
      <c r="X5454" t="s">
        <v>46574</v>
      </c>
    </row>
    <row r="5455" spans="1:24">
      <c r="A5455">
        <f>HYPERLINK("https://www.philgeps.gov.ph/GEPSNONPILOT/Tender/SplashBidNoticeAbstractUI.aspx?menuIndex=3&amp;refID=7059465&amp;Result=3","7059465")</f>
        <v>0</v>
      </c>
      <c r="B5455" t="s">
        <v>1820</v>
      </c>
      <c r="C5455" t="s">
        <v>8734</v>
      </c>
      <c r="D5455" t="s">
        <v>18791</v>
      </c>
      <c r="E5455" t="s">
        <v>23770</v>
      </c>
      <c r="F5455" t="s">
        <v>32664</v>
      </c>
      <c r="G5455" t="s">
        <v>32672</v>
      </c>
      <c r="H5455" t="s">
        <v>12635</v>
      </c>
      <c r="I5455" t="s">
        <v>4439</v>
      </c>
      <c r="J5455" t="s">
        <v>36260</v>
      </c>
      <c r="K5455" t="s">
        <v>42330</v>
      </c>
      <c r="M5455" t="s">
        <v>44526</v>
      </c>
      <c r="N5455" t="s">
        <v>46569</v>
      </c>
      <c r="O5455" t="s">
        <v>46570</v>
      </c>
      <c r="P5455">
        <v>0</v>
      </c>
      <c r="Q5455">
        <v>2</v>
      </c>
      <c r="R5455" t="s">
        <v>46573</v>
      </c>
      <c r="S5455" t="s">
        <v>46705</v>
      </c>
      <c r="T5455" t="s">
        <v>48216</v>
      </c>
      <c r="U5455" t="s">
        <v>53307</v>
      </c>
      <c r="V5455" t="s">
        <v>62182</v>
      </c>
      <c r="W5455" t="s">
        <v>44526</v>
      </c>
      <c r="X5455" t="s">
        <v>46574</v>
      </c>
    </row>
    <row r="5456" spans="1:24">
      <c r="A5456">
        <f>HYPERLINK("https://www.philgeps.gov.ph/GEPSNONPILOT/Tender/SplashBidNoticeAbstractUI.aspx?menuIndex=3&amp;refID=7059448&amp;Result=3","7059448")</f>
        <v>0</v>
      </c>
      <c r="B5456" t="s">
        <v>1850</v>
      </c>
      <c r="C5456" t="s">
        <v>8735</v>
      </c>
      <c r="D5456" t="s">
        <v>18842</v>
      </c>
      <c r="E5456" t="s">
        <v>23771</v>
      </c>
      <c r="F5456" t="s">
        <v>32664</v>
      </c>
      <c r="G5456" t="s">
        <v>32671</v>
      </c>
      <c r="H5456" t="s">
        <v>12635</v>
      </c>
      <c r="I5456" t="s">
        <v>32701</v>
      </c>
      <c r="J5456" t="s">
        <v>36261</v>
      </c>
      <c r="K5456" t="s">
        <v>42297</v>
      </c>
      <c r="M5456" t="s">
        <v>44559</v>
      </c>
      <c r="N5456" t="s">
        <v>46569</v>
      </c>
      <c r="O5456" t="s">
        <v>46570</v>
      </c>
      <c r="P5456">
        <v>0</v>
      </c>
      <c r="Q5456">
        <v>0</v>
      </c>
      <c r="R5456" t="s">
        <v>46573</v>
      </c>
      <c r="S5456" t="s">
        <v>46705</v>
      </c>
      <c r="T5456" t="s">
        <v>48254</v>
      </c>
      <c r="U5456" t="s">
        <v>53308</v>
      </c>
      <c r="W5456" t="s">
        <v>44559</v>
      </c>
      <c r="X5456" t="s">
        <v>46574</v>
      </c>
    </row>
    <row r="5457" spans="1:24">
      <c r="A5457">
        <f>HYPERLINK("https://www.philgeps.gov.ph/GEPSNONPILOT/Tender/SplashBidNoticeAbstractUI.aspx?menuIndex=3&amp;refID=7059461&amp;Result=3","7059461")</f>
        <v>0</v>
      </c>
      <c r="B5457" t="s">
        <v>1549</v>
      </c>
      <c r="C5457" t="s">
        <v>8736</v>
      </c>
      <c r="D5457" t="s">
        <v>18799</v>
      </c>
      <c r="E5457" t="s">
        <v>23772</v>
      </c>
      <c r="F5457" t="s">
        <v>32664</v>
      </c>
      <c r="G5457" t="s">
        <v>32674</v>
      </c>
      <c r="H5457" t="s">
        <v>12635</v>
      </c>
      <c r="I5457" t="s">
        <v>5589</v>
      </c>
      <c r="J5457" t="s">
        <v>36262</v>
      </c>
      <c r="K5457" t="s">
        <v>42281</v>
      </c>
      <c r="M5457" t="s">
        <v>44218</v>
      </c>
      <c r="N5457" t="s">
        <v>46569</v>
      </c>
      <c r="O5457" t="s">
        <v>46570</v>
      </c>
      <c r="P5457">
        <v>0</v>
      </c>
      <c r="Q5457">
        <v>4</v>
      </c>
      <c r="R5457" t="s">
        <v>46573</v>
      </c>
      <c r="S5457" t="s">
        <v>46705</v>
      </c>
      <c r="T5457" t="s">
        <v>48307</v>
      </c>
      <c r="U5457" t="s">
        <v>53309</v>
      </c>
      <c r="W5457" t="s">
        <v>44218</v>
      </c>
      <c r="X5457" t="s">
        <v>46574</v>
      </c>
    </row>
    <row r="5458" spans="1:24">
      <c r="A5458">
        <f>HYPERLINK("https://www.philgeps.gov.ph/GEPSNONPILOT/Tender/SplashBidNoticeAbstractUI.aspx?menuIndex=3&amp;refID=7059446&amp;Result=3","7059446")</f>
        <v>0</v>
      </c>
      <c r="B5458" t="s">
        <v>258</v>
      </c>
      <c r="C5458" t="s">
        <v>8737</v>
      </c>
      <c r="D5458" t="s">
        <v>18782</v>
      </c>
      <c r="E5458" t="s">
        <v>23773</v>
      </c>
      <c r="F5458" t="s">
        <v>32664</v>
      </c>
      <c r="G5458" t="s">
        <v>32671</v>
      </c>
      <c r="H5458" t="s">
        <v>12635</v>
      </c>
      <c r="I5458" t="s">
        <v>4439</v>
      </c>
      <c r="J5458" t="s">
        <v>36263</v>
      </c>
      <c r="K5458" t="s">
        <v>42284</v>
      </c>
      <c r="M5458" t="s">
        <v>42823</v>
      </c>
      <c r="N5458" t="s">
        <v>46569</v>
      </c>
      <c r="O5458" t="s">
        <v>46570</v>
      </c>
      <c r="P5458">
        <v>0</v>
      </c>
      <c r="Q5458">
        <v>0</v>
      </c>
      <c r="R5458" t="s">
        <v>46573</v>
      </c>
      <c r="S5458" t="s">
        <v>46705</v>
      </c>
      <c r="T5458" t="s">
        <v>48492</v>
      </c>
      <c r="U5458" t="s">
        <v>53310</v>
      </c>
      <c r="V5458" t="s">
        <v>62192</v>
      </c>
      <c r="W5458" t="s">
        <v>42823</v>
      </c>
      <c r="X5458" t="s">
        <v>46574</v>
      </c>
    </row>
    <row r="5459" spans="1:24">
      <c r="A5459">
        <f>HYPERLINK("https://www.philgeps.gov.ph/GEPSNONPILOT/Tender/SplashBidNoticeAbstractUI.aspx?menuIndex=3&amp;refID=7059456&amp;Result=3","7059456")</f>
        <v>0</v>
      </c>
      <c r="B5459" t="s">
        <v>1093</v>
      </c>
      <c r="C5459" t="s">
        <v>8738</v>
      </c>
      <c r="D5459" t="s">
        <v>18784</v>
      </c>
      <c r="E5459" t="s">
        <v>23774</v>
      </c>
      <c r="F5459" t="s">
        <v>32664</v>
      </c>
      <c r="G5459" t="s">
        <v>32671</v>
      </c>
      <c r="H5459" t="s">
        <v>12635</v>
      </c>
      <c r="I5459" t="s">
        <v>10361</v>
      </c>
      <c r="J5459" t="s">
        <v>36264</v>
      </c>
      <c r="K5459" t="s">
        <v>42290</v>
      </c>
      <c r="M5459" t="s">
        <v>43720</v>
      </c>
      <c r="N5459" t="s">
        <v>46569</v>
      </c>
      <c r="O5459" t="s">
        <v>46570</v>
      </c>
      <c r="P5459">
        <v>0</v>
      </c>
      <c r="Q5459">
        <v>0</v>
      </c>
      <c r="R5459" t="s">
        <v>46573</v>
      </c>
      <c r="S5459" t="s">
        <v>46705</v>
      </c>
      <c r="T5459" t="s">
        <v>48307</v>
      </c>
      <c r="U5459" t="s">
        <v>53311</v>
      </c>
      <c r="V5459" t="s">
        <v>61652</v>
      </c>
      <c r="W5459" t="s">
        <v>43720</v>
      </c>
      <c r="X5459" t="s">
        <v>46574</v>
      </c>
    </row>
    <row r="5460" spans="1:24">
      <c r="A5460">
        <f>HYPERLINK("https://www.philgeps.gov.ph/GEPSNONPILOT/Tender/SplashBidNoticeAbstractUI.aspx?menuIndex=3&amp;refID=7059415&amp;Result=3","7059415")</f>
        <v>0</v>
      </c>
      <c r="B5460" t="s">
        <v>1851</v>
      </c>
      <c r="C5460" t="s">
        <v>8739</v>
      </c>
      <c r="D5460" t="s">
        <v>18858</v>
      </c>
      <c r="E5460" t="s">
        <v>19380</v>
      </c>
      <c r="F5460" t="s">
        <v>32664</v>
      </c>
      <c r="G5460" t="s">
        <v>32674</v>
      </c>
      <c r="H5460" t="s">
        <v>12635</v>
      </c>
      <c r="I5460" t="s">
        <v>14442</v>
      </c>
      <c r="J5460" t="s">
        <v>36265</v>
      </c>
      <c r="K5460" t="s">
        <v>42281</v>
      </c>
      <c r="M5460" t="s">
        <v>44560</v>
      </c>
      <c r="N5460" t="s">
        <v>46569</v>
      </c>
      <c r="O5460" t="s">
        <v>46570</v>
      </c>
      <c r="P5460">
        <v>0</v>
      </c>
      <c r="Q5460">
        <v>5</v>
      </c>
      <c r="R5460" t="s">
        <v>46573</v>
      </c>
      <c r="S5460" t="s">
        <v>46705</v>
      </c>
      <c r="T5460" t="s">
        <v>48244</v>
      </c>
      <c r="U5460" t="s">
        <v>53312</v>
      </c>
      <c r="W5460" t="s">
        <v>44560</v>
      </c>
      <c r="X5460" t="s">
        <v>46574</v>
      </c>
    </row>
    <row r="5461" spans="1:24">
      <c r="A5461">
        <f>HYPERLINK("https://www.philgeps.gov.ph/GEPSNONPILOT/Tender/SplashBidNoticeAbstractUI.aspx?menuIndex=3&amp;refID=7059463&amp;Result=3","7059463")</f>
        <v>0</v>
      </c>
      <c r="B5461" t="s">
        <v>1852</v>
      </c>
      <c r="C5461" t="s">
        <v>8740</v>
      </c>
      <c r="D5461" t="s">
        <v>18832</v>
      </c>
      <c r="E5461" t="s">
        <v>23775</v>
      </c>
      <c r="F5461" t="s">
        <v>32664</v>
      </c>
      <c r="G5461" t="s">
        <v>32672</v>
      </c>
      <c r="H5461" t="s">
        <v>12635</v>
      </c>
      <c r="I5461" t="s">
        <v>4439</v>
      </c>
      <c r="J5461" t="s">
        <v>36266</v>
      </c>
      <c r="K5461" t="s">
        <v>42325</v>
      </c>
      <c r="L5461" t="s">
        <v>1852</v>
      </c>
      <c r="M5461" t="s">
        <v>44561</v>
      </c>
      <c r="N5461" t="s">
        <v>46569</v>
      </c>
      <c r="O5461" t="s">
        <v>46570</v>
      </c>
      <c r="P5461">
        <v>0</v>
      </c>
      <c r="Q5461">
        <v>0</v>
      </c>
      <c r="R5461" t="s">
        <v>46573</v>
      </c>
      <c r="S5461" t="s">
        <v>46705</v>
      </c>
      <c r="T5461" t="s">
        <v>48469</v>
      </c>
      <c r="U5461" t="s">
        <v>53313</v>
      </c>
      <c r="W5461" t="s">
        <v>44561</v>
      </c>
      <c r="X5461" t="s">
        <v>46574</v>
      </c>
    </row>
    <row r="5462" spans="1:24">
      <c r="A5462">
        <f>HYPERLINK("https://www.philgeps.gov.ph/GEPSNONPILOT/Tender/SplashBidNoticeAbstractUI.aspx?menuIndex=3&amp;refID=7059488&amp;Result=3","7059488")</f>
        <v>0</v>
      </c>
      <c r="B5462" t="s">
        <v>1248</v>
      </c>
      <c r="C5462" t="s">
        <v>8741</v>
      </c>
      <c r="D5462" t="s">
        <v>18858</v>
      </c>
      <c r="E5462" t="s">
        <v>23776</v>
      </c>
      <c r="F5462" t="s">
        <v>32664</v>
      </c>
      <c r="G5462" t="s">
        <v>32671</v>
      </c>
      <c r="H5462" t="s">
        <v>12635</v>
      </c>
      <c r="I5462" t="s">
        <v>32708</v>
      </c>
      <c r="J5462" t="s">
        <v>33159</v>
      </c>
      <c r="K5462" t="s">
        <v>42303</v>
      </c>
      <c r="M5462" t="s">
        <v>43890</v>
      </c>
      <c r="N5462" t="s">
        <v>46569</v>
      </c>
      <c r="O5462" t="s">
        <v>46570</v>
      </c>
      <c r="P5462">
        <v>0</v>
      </c>
      <c r="Q5462">
        <v>2</v>
      </c>
      <c r="R5462" t="s">
        <v>46573</v>
      </c>
      <c r="S5462" t="s">
        <v>46705</v>
      </c>
      <c r="T5462" t="s">
        <v>48254</v>
      </c>
      <c r="U5462" t="s">
        <v>53314</v>
      </c>
      <c r="W5462" t="s">
        <v>43890</v>
      </c>
      <c r="X5462" t="s">
        <v>46574</v>
      </c>
    </row>
    <row r="5463" spans="1:24">
      <c r="A5463">
        <f>HYPERLINK("https://www.philgeps.gov.ph/GEPSNONPILOT/Tender/SplashBidNoticeAbstractUI.aspx?menuIndex=3&amp;refID=7059452&amp;Result=3","7059452")</f>
        <v>0</v>
      </c>
      <c r="B5463" t="s">
        <v>1811</v>
      </c>
      <c r="C5463" t="s">
        <v>8742</v>
      </c>
      <c r="D5463" t="s">
        <v>18805</v>
      </c>
      <c r="E5463" t="s">
        <v>23777</v>
      </c>
      <c r="F5463" t="s">
        <v>32664</v>
      </c>
      <c r="G5463" t="s">
        <v>32672</v>
      </c>
      <c r="H5463" t="s">
        <v>12635</v>
      </c>
      <c r="I5463" t="s">
        <v>5589</v>
      </c>
      <c r="J5463" t="s">
        <v>33078</v>
      </c>
      <c r="K5463" t="s">
        <v>42283</v>
      </c>
      <c r="M5463" t="s">
        <v>44517</v>
      </c>
      <c r="N5463" t="s">
        <v>46569</v>
      </c>
      <c r="O5463" t="s">
        <v>46570</v>
      </c>
      <c r="P5463">
        <v>0</v>
      </c>
      <c r="Q5463">
        <v>1</v>
      </c>
      <c r="R5463" t="s">
        <v>46573</v>
      </c>
      <c r="S5463" t="s">
        <v>46705</v>
      </c>
      <c r="T5463" t="s">
        <v>48411</v>
      </c>
      <c r="U5463" t="s">
        <v>53315</v>
      </c>
      <c r="V5463" t="s">
        <v>62185</v>
      </c>
      <c r="W5463" t="s">
        <v>44517</v>
      </c>
      <c r="X5463" t="s">
        <v>46574</v>
      </c>
    </row>
    <row r="5464" spans="1:24">
      <c r="A5464">
        <f>HYPERLINK("https://www.philgeps.gov.ph/GEPSNONPILOT/Tender/SplashBidNoticeAbstractUI.aspx?menuIndex=3&amp;refID=7059447&amp;Result=3","7059447")</f>
        <v>0</v>
      </c>
      <c r="B5464" t="s">
        <v>1706</v>
      </c>
      <c r="C5464" t="s">
        <v>8743</v>
      </c>
      <c r="D5464" t="s">
        <v>18793</v>
      </c>
      <c r="E5464" t="s">
        <v>23778</v>
      </c>
      <c r="F5464" t="s">
        <v>32664</v>
      </c>
      <c r="G5464" t="s">
        <v>32672</v>
      </c>
      <c r="H5464" t="s">
        <v>12635</v>
      </c>
      <c r="I5464" t="s">
        <v>6118</v>
      </c>
      <c r="J5464" t="s">
        <v>33905</v>
      </c>
      <c r="K5464" t="s">
        <v>42298</v>
      </c>
      <c r="M5464" t="s">
        <v>44400</v>
      </c>
      <c r="N5464" t="s">
        <v>46569</v>
      </c>
      <c r="O5464" t="s">
        <v>46570</v>
      </c>
      <c r="P5464">
        <v>0</v>
      </c>
      <c r="Q5464">
        <v>0</v>
      </c>
      <c r="R5464" t="s">
        <v>46573</v>
      </c>
      <c r="S5464" t="s">
        <v>46705</v>
      </c>
      <c r="T5464" t="s">
        <v>48349</v>
      </c>
      <c r="U5464" t="s">
        <v>53316</v>
      </c>
      <c r="W5464" t="s">
        <v>44400</v>
      </c>
      <c r="X5464" t="s">
        <v>46574</v>
      </c>
    </row>
    <row r="5465" spans="1:24">
      <c r="A5465">
        <f>HYPERLINK("https://www.philgeps.gov.ph/GEPSNONPILOT/Tender/SplashBidNoticeAbstractUI.aspx?menuIndex=3&amp;refID=7059487&amp;Result=3","7059487")</f>
        <v>0</v>
      </c>
      <c r="B5465" t="s">
        <v>1811</v>
      </c>
      <c r="C5465" t="s">
        <v>8744</v>
      </c>
      <c r="D5465" t="s">
        <v>18805</v>
      </c>
      <c r="E5465" t="s">
        <v>23779</v>
      </c>
      <c r="F5465" t="s">
        <v>32664</v>
      </c>
      <c r="G5465" t="s">
        <v>32672</v>
      </c>
      <c r="H5465" t="s">
        <v>12635</v>
      </c>
      <c r="I5465" t="s">
        <v>32706</v>
      </c>
      <c r="J5465" t="s">
        <v>34439</v>
      </c>
      <c r="K5465" t="s">
        <v>42283</v>
      </c>
      <c r="M5465" t="s">
        <v>44517</v>
      </c>
      <c r="N5465" t="s">
        <v>46569</v>
      </c>
      <c r="O5465" t="s">
        <v>46570</v>
      </c>
      <c r="P5465">
        <v>0</v>
      </c>
      <c r="Q5465">
        <v>0</v>
      </c>
      <c r="R5465" t="s">
        <v>46573</v>
      </c>
      <c r="S5465" t="s">
        <v>46705</v>
      </c>
      <c r="T5465" t="s">
        <v>48411</v>
      </c>
      <c r="U5465" t="s">
        <v>53317</v>
      </c>
      <c r="V5465" t="s">
        <v>62197</v>
      </c>
      <c r="W5465" t="s">
        <v>44517</v>
      </c>
      <c r="X5465" t="s">
        <v>46574</v>
      </c>
    </row>
    <row r="5466" spans="1:24">
      <c r="A5466">
        <f>HYPERLINK("https://www.philgeps.gov.ph/GEPSNONPILOT/Tender/SplashBidNoticeAbstractUI.aspx?menuIndex=3&amp;refID=7059486&amp;Result=3","7059486")</f>
        <v>0</v>
      </c>
      <c r="B5466" t="s">
        <v>1396</v>
      </c>
      <c r="C5466" t="s">
        <v>8745</v>
      </c>
      <c r="D5466" t="s">
        <v>18793</v>
      </c>
      <c r="E5466" t="s">
        <v>23780</v>
      </c>
      <c r="F5466" t="s">
        <v>32664</v>
      </c>
      <c r="G5466" t="s">
        <v>32671</v>
      </c>
      <c r="H5466" t="s">
        <v>12635</v>
      </c>
      <c r="I5466" t="s">
        <v>32779</v>
      </c>
      <c r="J5466" t="s">
        <v>33165</v>
      </c>
      <c r="K5466" t="s">
        <v>42289</v>
      </c>
      <c r="M5466" t="s">
        <v>44053</v>
      </c>
      <c r="N5466" t="s">
        <v>46569</v>
      </c>
      <c r="O5466" t="s">
        <v>46570</v>
      </c>
      <c r="P5466">
        <v>0</v>
      </c>
      <c r="Q5466">
        <v>0</v>
      </c>
      <c r="R5466" t="s">
        <v>46573</v>
      </c>
      <c r="S5466" t="s">
        <v>46705</v>
      </c>
      <c r="T5466" t="s">
        <v>48307</v>
      </c>
      <c r="U5466" t="s">
        <v>53318</v>
      </c>
      <c r="W5466" t="s">
        <v>44053</v>
      </c>
      <c r="X5466" t="s">
        <v>46574</v>
      </c>
    </row>
    <row r="5467" spans="1:24">
      <c r="A5467">
        <f>HYPERLINK("https://www.philgeps.gov.ph/GEPSNONPILOT/Tender/SplashBidNoticeAbstractUI.aspx?menuIndex=3&amp;refID=7059484&amp;Result=3","7059484")</f>
        <v>0</v>
      </c>
      <c r="B5467" t="s">
        <v>201</v>
      </c>
      <c r="C5467" t="s">
        <v>5075</v>
      </c>
      <c r="D5467" t="s">
        <v>18831</v>
      </c>
      <c r="E5467" t="s">
        <v>23781</v>
      </c>
      <c r="F5467" t="s">
        <v>32664</v>
      </c>
      <c r="G5467" t="s">
        <v>32671</v>
      </c>
      <c r="H5467" t="s">
        <v>12635</v>
      </c>
      <c r="I5467" t="s">
        <v>6628</v>
      </c>
      <c r="J5467" t="s">
        <v>33418</v>
      </c>
      <c r="K5467" t="s">
        <v>42289</v>
      </c>
      <c r="M5467" t="s">
        <v>42765</v>
      </c>
      <c r="N5467" t="s">
        <v>46569</v>
      </c>
      <c r="O5467" t="s">
        <v>46570</v>
      </c>
      <c r="P5467">
        <v>0</v>
      </c>
      <c r="Q5467">
        <v>4</v>
      </c>
      <c r="R5467" t="s">
        <v>46573</v>
      </c>
      <c r="S5467" t="s">
        <v>46705</v>
      </c>
      <c r="T5467" t="s">
        <v>48280</v>
      </c>
      <c r="U5467" t="s">
        <v>53319</v>
      </c>
      <c r="W5467" t="s">
        <v>42765</v>
      </c>
      <c r="X5467" t="s">
        <v>46574</v>
      </c>
    </row>
    <row r="5468" spans="1:24">
      <c r="A5468">
        <f>HYPERLINK("https://www.philgeps.gov.ph/GEPSNONPILOT/Tender/SplashBidNoticeAbstractUI.aspx?menuIndex=3&amp;refID=7059483&amp;Result=3","7059483")</f>
        <v>0</v>
      </c>
      <c r="B5468" t="s">
        <v>1848</v>
      </c>
      <c r="C5468" t="s">
        <v>8746</v>
      </c>
      <c r="D5468" t="s">
        <v>18830</v>
      </c>
      <c r="E5468" t="s">
        <v>23782</v>
      </c>
      <c r="F5468" t="s">
        <v>32664</v>
      </c>
      <c r="G5468" t="s">
        <v>32674</v>
      </c>
      <c r="H5468" t="s">
        <v>12635</v>
      </c>
      <c r="I5468" t="s">
        <v>5589</v>
      </c>
      <c r="J5468" t="s">
        <v>33177</v>
      </c>
      <c r="K5468" t="s">
        <v>42289</v>
      </c>
      <c r="M5468" t="s">
        <v>44557</v>
      </c>
      <c r="N5468" t="s">
        <v>46569</v>
      </c>
      <c r="O5468" t="s">
        <v>46570</v>
      </c>
      <c r="P5468">
        <v>0</v>
      </c>
      <c r="Q5468">
        <v>5</v>
      </c>
      <c r="R5468" t="s">
        <v>46573</v>
      </c>
      <c r="S5468" t="s">
        <v>46705</v>
      </c>
      <c r="T5468" t="s">
        <v>48316</v>
      </c>
      <c r="U5468" t="s">
        <v>53320</v>
      </c>
      <c r="W5468" t="s">
        <v>63538</v>
      </c>
      <c r="X5468" t="s">
        <v>46574</v>
      </c>
    </row>
    <row r="5469" spans="1:24">
      <c r="A5469">
        <f>HYPERLINK("https://www.philgeps.gov.ph/GEPSNONPILOT/Tender/SplashBidNoticeAbstractUI.aspx?menuIndex=3&amp;refID=7059479&amp;Result=3","7059479")</f>
        <v>0</v>
      </c>
      <c r="B5469" t="s">
        <v>1821</v>
      </c>
      <c r="C5469" t="s">
        <v>8747</v>
      </c>
      <c r="D5469" t="s">
        <v>18800</v>
      </c>
      <c r="E5469" t="s">
        <v>23783</v>
      </c>
      <c r="F5469" t="s">
        <v>32664</v>
      </c>
      <c r="G5469" t="s">
        <v>32672</v>
      </c>
      <c r="H5469" t="s">
        <v>12635</v>
      </c>
      <c r="I5469" t="s">
        <v>4439</v>
      </c>
      <c r="J5469" t="s">
        <v>32898</v>
      </c>
      <c r="K5469" t="s">
        <v>42289</v>
      </c>
      <c r="M5469" t="s">
        <v>44527</v>
      </c>
      <c r="N5469" t="s">
        <v>46569</v>
      </c>
      <c r="O5469" t="s">
        <v>46570</v>
      </c>
      <c r="P5469">
        <v>0</v>
      </c>
      <c r="Q5469">
        <v>0</v>
      </c>
      <c r="R5469" t="s">
        <v>46573</v>
      </c>
      <c r="S5469" t="s">
        <v>46705</v>
      </c>
      <c r="T5469" t="s">
        <v>48280</v>
      </c>
      <c r="U5469" t="s">
        <v>53321</v>
      </c>
      <c r="W5469" t="s">
        <v>44527</v>
      </c>
      <c r="X5469" t="s">
        <v>46574</v>
      </c>
    </row>
    <row r="5470" spans="1:24">
      <c r="A5470">
        <f>HYPERLINK("https://www.philgeps.gov.ph/GEPSNONPILOT/Tender/SplashBidNoticeAbstractUI.aspx?menuIndex=3&amp;refID=7059455&amp;Result=3","7059455")</f>
        <v>0</v>
      </c>
      <c r="B5470" t="s">
        <v>1825</v>
      </c>
      <c r="C5470" t="s">
        <v>8748</v>
      </c>
      <c r="D5470" t="s">
        <v>18784</v>
      </c>
      <c r="E5470" t="s">
        <v>23784</v>
      </c>
      <c r="F5470" t="s">
        <v>32664</v>
      </c>
      <c r="G5470" t="s">
        <v>32671</v>
      </c>
      <c r="H5470" t="s">
        <v>12635</v>
      </c>
      <c r="I5470" t="s">
        <v>32684</v>
      </c>
      <c r="J5470" t="s">
        <v>36267</v>
      </c>
      <c r="K5470" t="s">
        <v>42281</v>
      </c>
      <c r="M5470" t="s">
        <v>44562</v>
      </c>
      <c r="N5470" t="s">
        <v>46569</v>
      </c>
      <c r="O5470" t="s">
        <v>46570</v>
      </c>
      <c r="P5470">
        <v>0</v>
      </c>
      <c r="Q5470">
        <v>14</v>
      </c>
      <c r="R5470" t="s">
        <v>46573</v>
      </c>
      <c r="S5470" t="s">
        <v>46705</v>
      </c>
      <c r="T5470" t="s">
        <v>48287</v>
      </c>
      <c r="U5470" t="s">
        <v>53264</v>
      </c>
      <c r="W5470" t="s">
        <v>44562</v>
      </c>
      <c r="X5470" t="s">
        <v>46574</v>
      </c>
    </row>
    <row r="5471" spans="1:24">
      <c r="A5471">
        <f>HYPERLINK("https://www.philgeps.gov.ph/GEPSNONPILOT/Tender/SplashBidNoticeAbstractUI.aspx?menuIndex=3&amp;refID=7059477&amp;Result=3","7059477")</f>
        <v>0</v>
      </c>
      <c r="B5471" t="s">
        <v>1811</v>
      </c>
      <c r="C5471" t="s">
        <v>8749</v>
      </c>
      <c r="D5471" t="s">
        <v>18805</v>
      </c>
      <c r="E5471" t="s">
        <v>23785</v>
      </c>
      <c r="F5471" t="s">
        <v>32664</v>
      </c>
      <c r="G5471" t="s">
        <v>32672</v>
      </c>
      <c r="H5471" t="s">
        <v>12635</v>
      </c>
      <c r="I5471" t="s">
        <v>32706</v>
      </c>
      <c r="J5471" t="s">
        <v>36268</v>
      </c>
      <c r="K5471" t="s">
        <v>42283</v>
      </c>
      <c r="M5471" t="s">
        <v>44517</v>
      </c>
      <c r="N5471" t="s">
        <v>46569</v>
      </c>
      <c r="O5471" t="s">
        <v>46570</v>
      </c>
      <c r="P5471">
        <v>0</v>
      </c>
      <c r="Q5471">
        <v>0</v>
      </c>
      <c r="R5471" t="s">
        <v>46573</v>
      </c>
      <c r="S5471" t="s">
        <v>46705</v>
      </c>
      <c r="T5471" t="s">
        <v>48411</v>
      </c>
      <c r="U5471" t="s">
        <v>53322</v>
      </c>
      <c r="V5471" t="s">
        <v>62197</v>
      </c>
      <c r="W5471" t="s">
        <v>44517</v>
      </c>
      <c r="X5471" t="s">
        <v>46574</v>
      </c>
    </row>
    <row r="5472" spans="1:24">
      <c r="A5472">
        <f>HYPERLINK("https://www.philgeps.gov.ph/GEPSNONPILOT/Tender/SplashBidNoticeAbstractUI.aspx?menuIndex=3&amp;refID=7059444&amp;Result=3","7059444")</f>
        <v>0</v>
      </c>
      <c r="B5472" t="s">
        <v>476</v>
      </c>
      <c r="C5472" t="s">
        <v>8750</v>
      </c>
      <c r="D5472" t="s">
        <v>18788</v>
      </c>
      <c r="E5472" t="s">
        <v>19708</v>
      </c>
      <c r="F5472" t="s">
        <v>32664</v>
      </c>
      <c r="G5472" t="s">
        <v>32675</v>
      </c>
      <c r="H5472" t="s">
        <v>32682</v>
      </c>
      <c r="I5472" t="s">
        <v>6628</v>
      </c>
      <c r="J5472" t="s">
        <v>33126</v>
      </c>
      <c r="K5472" t="s">
        <v>42297</v>
      </c>
      <c r="M5472" t="s">
        <v>43051</v>
      </c>
      <c r="N5472" t="s">
        <v>46569</v>
      </c>
      <c r="O5472" t="s">
        <v>46570</v>
      </c>
      <c r="P5472">
        <v>0</v>
      </c>
      <c r="Q5472">
        <v>1</v>
      </c>
      <c r="R5472" t="s">
        <v>46573</v>
      </c>
      <c r="S5472" t="s">
        <v>46705</v>
      </c>
      <c r="T5472" t="s">
        <v>48221</v>
      </c>
      <c r="U5472" t="s">
        <v>53323</v>
      </c>
      <c r="W5472" t="s">
        <v>43051</v>
      </c>
      <c r="X5472" t="s">
        <v>46574</v>
      </c>
    </row>
    <row r="5473" spans="1:24">
      <c r="A5473">
        <f>HYPERLINK("https://www.philgeps.gov.ph/GEPSNONPILOT/Tender/SplashBidNoticeAbstractUI.aspx?menuIndex=3&amp;refID=7059485&amp;Result=3","7059485")</f>
        <v>0</v>
      </c>
      <c r="B5473" t="s">
        <v>1211</v>
      </c>
      <c r="C5473" t="s">
        <v>8751</v>
      </c>
      <c r="D5473" t="s">
        <v>18784</v>
      </c>
      <c r="E5473" t="s">
        <v>23786</v>
      </c>
      <c r="F5473" t="s">
        <v>32664</v>
      </c>
      <c r="G5473" t="s">
        <v>32671</v>
      </c>
      <c r="H5473" t="s">
        <v>12635</v>
      </c>
      <c r="I5473" t="s">
        <v>6553</v>
      </c>
      <c r="J5473" t="s">
        <v>36269</v>
      </c>
      <c r="K5473" t="s">
        <v>42309</v>
      </c>
      <c r="M5473" t="s">
        <v>44563</v>
      </c>
      <c r="N5473" t="s">
        <v>46569</v>
      </c>
      <c r="O5473" t="s">
        <v>46570</v>
      </c>
      <c r="P5473">
        <v>0</v>
      </c>
      <c r="Q5473">
        <v>0</v>
      </c>
      <c r="R5473" t="s">
        <v>46573</v>
      </c>
      <c r="S5473" t="s">
        <v>46705</v>
      </c>
      <c r="T5473" t="s">
        <v>48287</v>
      </c>
      <c r="U5473" t="s">
        <v>53324</v>
      </c>
      <c r="W5473" t="s">
        <v>44563</v>
      </c>
      <c r="X5473" t="s">
        <v>46574</v>
      </c>
    </row>
    <row r="5474" spans="1:24">
      <c r="A5474">
        <f>HYPERLINK("https://www.philgeps.gov.ph/GEPSNONPILOT/Tender/SplashBidNoticeAbstractUI.aspx?menuIndex=3&amp;refID=7059476&amp;Result=3","7059476")</f>
        <v>0</v>
      </c>
      <c r="B5474" t="s">
        <v>1853</v>
      </c>
      <c r="C5474" t="s">
        <v>8752</v>
      </c>
      <c r="D5474" t="s">
        <v>18785</v>
      </c>
      <c r="E5474" t="s">
        <v>23787</v>
      </c>
      <c r="F5474" t="s">
        <v>32664</v>
      </c>
      <c r="G5474" t="s">
        <v>32671</v>
      </c>
      <c r="H5474" t="s">
        <v>12635</v>
      </c>
      <c r="I5474" t="s">
        <v>10361</v>
      </c>
      <c r="J5474" t="s">
        <v>33177</v>
      </c>
      <c r="K5474" t="s">
        <v>42420</v>
      </c>
      <c r="M5474" t="s">
        <v>44564</v>
      </c>
      <c r="N5474" t="s">
        <v>46569</v>
      </c>
      <c r="O5474" t="s">
        <v>46570</v>
      </c>
      <c r="P5474">
        <v>0</v>
      </c>
      <c r="Q5474">
        <v>2</v>
      </c>
      <c r="R5474" t="s">
        <v>46573</v>
      </c>
      <c r="S5474" t="s">
        <v>46705</v>
      </c>
      <c r="T5474" t="s">
        <v>48287</v>
      </c>
      <c r="U5474" t="s">
        <v>53325</v>
      </c>
      <c r="W5474" t="s">
        <v>44564</v>
      </c>
      <c r="X5474" t="s">
        <v>46574</v>
      </c>
    </row>
    <row r="5475" spans="1:24">
      <c r="A5475">
        <f>HYPERLINK("https://www.philgeps.gov.ph/GEPSNONPILOT/Tender/SplashBidNoticeAbstractUI.aspx?menuIndex=3&amp;refID=7059474&amp;Result=3","7059474")</f>
        <v>0</v>
      </c>
      <c r="B5475" t="s">
        <v>312</v>
      </c>
      <c r="C5475" t="s">
        <v>8753</v>
      </c>
      <c r="D5475" t="s">
        <v>18805</v>
      </c>
      <c r="E5475" t="s">
        <v>23788</v>
      </c>
      <c r="F5475" t="s">
        <v>32664</v>
      </c>
      <c r="G5475" t="s">
        <v>32676</v>
      </c>
      <c r="H5475" t="s">
        <v>12635</v>
      </c>
      <c r="I5475" t="s">
        <v>6628</v>
      </c>
      <c r="J5475" t="s">
        <v>33578</v>
      </c>
      <c r="K5475" t="s">
        <v>42283</v>
      </c>
      <c r="M5475" t="s">
        <v>42879</v>
      </c>
      <c r="N5475" t="s">
        <v>46569</v>
      </c>
      <c r="O5475" t="s">
        <v>46570</v>
      </c>
      <c r="P5475">
        <v>0</v>
      </c>
      <c r="Q5475">
        <v>5</v>
      </c>
      <c r="R5475" t="s">
        <v>46573</v>
      </c>
      <c r="S5475" t="s">
        <v>46705</v>
      </c>
      <c r="T5475" t="s">
        <v>48282</v>
      </c>
      <c r="U5475" t="s">
        <v>49353</v>
      </c>
      <c r="W5475" t="s">
        <v>42879</v>
      </c>
      <c r="X5475" t="s">
        <v>46574</v>
      </c>
    </row>
    <row r="5476" spans="1:24">
      <c r="A5476">
        <f>HYPERLINK("https://www.philgeps.gov.ph/GEPSNONPILOT/Tender/SplashBidNoticeAbstractUI.aspx?menuIndex=3&amp;refID=7059473&amp;Result=3","7059473")</f>
        <v>0</v>
      </c>
      <c r="B5476" t="s">
        <v>1854</v>
      </c>
      <c r="C5476" t="s">
        <v>8754</v>
      </c>
      <c r="D5476" t="s">
        <v>18816</v>
      </c>
      <c r="E5476" t="s">
        <v>23148</v>
      </c>
      <c r="F5476" t="s">
        <v>32664</v>
      </c>
      <c r="G5476" t="s">
        <v>32674</v>
      </c>
      <c r="H5476" t="s">
        <v>12635</v>
      </c>
      <c r="I5476" t="s">
        <v>10590</v>
      </c>
      <c r="J5476" t="s">
        <v>35587</v>
      </c>
      <c r="K5476" t="s">
        <v>42309</v>
      </c>
      <c r="M5476" t="s">
        <v>44565</v>
      </c>
      <c r="N5476" t="s">
        <v>46569</v>
      </c>
      <c r="O5476" t="s">
        <v>46570</v>
      </c>
      <c r="P5476">
        <v>0</v>
      </c>
      <c r="Q5476">
        <v>0</v>
      </c>
      <c r="R5476" t="s">
        <v>46573</v>
      </c>
      <c r="S5476" t="s">
        <v>46705</v>
      </c>
      <c r="T5476" t="s">
        <v>48258</v>
      </c>
      <c r="U5476" t="s">
        <v>53326</v>
      </c>
      <c r="W5476" t="s">
        <v>44565</v>
      </c>
      <c r="X5476" t="s">
        <v>46574</v>
      </c>
    </row>
    <row r="5477" spans="1:24">
      <c r="A5477">
        <f>HYPERLINK("https://www.philgeps.gov.ph/GEPSNONPILOT/Tender/SplashBidNoticeAbstractUI.aspx?menuIndex=3&amp;refID=7059472&amp;Result=3","7059472")</f>
        <v>0</v>
      </c>
      <c r="B5477" t="s">
        <v>1855</v>
      </c>
      <c r="C5477" t="s">
        <v>8755</v>
      </c>
      <c r="D5477" t="s">
        <v>18792</v>
      </c>
      <c r="E5477" t="s">
        <v>23397</v>
      </c>
      <c r="F5477" t="s">
        <v>32664</v>
      </c>
      <c r="G5477" t="s">
        <v>32674</v>
      </c>
      <c r="H5477" t="s">
        <v>12635</v>
      </c>
      <c r="I5477" t="s">
        <v>32706</v>
      </c>
      <c r="J5477" t="s">
        <v>36270</v>
      </c>
      <c r="K5477" t="s">
        <v>42284</v>
      </c>
      <c r="M5477" t="s">
        <v>44566</v>
      </c>
      <c r="N5477" t="s">
        <v>46569</v>
      </c>
      <c r="O5477" t="s">
        <v>46570</v>
      </c>
      <c r="P5477">
        <v>0</v>
      </c>
      <c r="Q5477">
        <v>0</v>
      </c>
      <c r="R5477" t="s">
        <v>46573</v>
      </c>
      <c r="S5477" t="s">
        <v>46705</v>
      </c>
      <c r="T5477" t="s">
        <v>48221</v>
      </c>
      <c r="U5477" t="s">
        <v>53327</v>
      </c>
      <c r="W5477" t="s">
        <v>44566</v>
      </c>
      <c r="X5477" t="s">
        <v>46574</v>
      </c>
    </row>
    <row r="5478" spans="1:24">
      <c r="A5478">
        <f>HYPERLINK("https://www.philgeps.gov.ph/GEPSNONPILOT/Tender/SplashBidNoticeAbstractUI.aspx?menuIndex=3&amp;refID=7059478&amp;Result=3","7059478")</f>
        <v>0</v>
      </c>
      <c r="B5478" t="s">
        <v>1074</v>
      </c>
      <c r="C5478" t="s">
        <v>8756</v>
      </c>
      <c r="D5478" t="s">
        <v>18786</v>
      </c>
      <c r="E5478" t="s">
        <v>20991</v>
      </c>
      <c r="F5478" t="s">
        <v>32664</v>
      </c>
      <c r="G5478" t="s">
        <v>32672</v>
      </c>
      <c r="H5478" t="s">
        <v>12635</v>
      </c>
      <c r="I5478" t="s">
        <v>32706</v>
      </c>
      <c r="J5478" t="s">
        <v>36271</v>
      </c>
      <c r="K5478" t="s">
        <v>42281</v>
      </c>
      <c r="M5478" t="s">
        <v>43694</v>
      </c>
      <c r="N5478" t="s">
        <v>46569</v>
      </c>
      <c r="O5478" t="s">
        <v>46570</v>
      </c>
      <c r="P5478">
        <v>0</v>
      </c>
      <c r="Q5478">
        <v>0</v>
      </c>
      <c r="R5478" t="s">
        <v>46573</v>
      </c>
      <c r="S5478" t="s">
        <v>46705</v>
      </c>
      <c r="T5478" t="s">
        <v>48276</v>
      </c>
      <c r="U5478" t="s">
        <v>53328</v>
      </c>
      <c r="W5478" t="s">
        <v>43694</v>
      </c>
      <c r="X5478" t="s">
        <v>46574</v>
      </c>
    </row>
    <row r="5479" spans="1:24">
      <c r="A5479">
        <f>HYPERLINK("https://www.philgeps.gov.ph/GEPSNONPILOT/Tender/SplashBidNoticeAbstractUI.aspx?menuIndex=3&amp;refID=7059475&amp;Result=3","7059475")</f>
        <v>0</v>
      </c>
      <c r="B5479" t="s">
        <v>158</v>
      </c>
      <c r="C5479" t="s">
        <v>8757</v>
      </c>
      <c r="D5479" t="s">
        <v>18784</v>
      </c>
      <c r="E5479" t="s">
        <v>23789</v>
      </c>
      <c r="F5479" t="s">
        <v>32664</v>
      </c>
      <c r="G5479" t="s">
        <v>32671</v>
      </c>
      <c r="H5479" t="s">
        <v>12635</v>
      </c>
      <c r="I5479" t="s">
        <v>4439</v>
      </c>
      <c r="J5479" t="s">
        <v>34070</v>
      </c>
      <c r="K5479" t="s">
        <v>42298</v>
      </c>
      <c r="M5479" t="s">
        <v>42722</v>
      </c>
      <c r="N5479" t="s">
        <v>46569</v>
      </c>
      <c r="O5479" t="s">
        <v>46570</v>
      </c>
      <c r="P5479">
        <v>0</v>
      </c>
      <c r="Q5479">
        <v>3</v>
      </c>
      <c r="R5479" t="s">
        <v>46573</v>
      </c>
      <c r="S5479" t="s">
        <v>46705</v>
      </c>
      <c r="T5479" t="s">
        <v>48290</v>
      </c>
      <c r="U5479" t="s">
        <v>53329</v>
      </c>
      <c r="W5479" t="s">
        <v>42722</v>
      </c>
      <c r="X5479" t="s">
        <v>46574</v>
      </c>
    </row>
    <row r="5480" spans="1:24">
      <c r="A5480">
        <f>HYPERLINK("https://www.philgeps.gov.ph/GEPSNONPILOT/Tender/SplashBidNoticeAbstractUI.aspx?menuIndex=3&amp;refID=7059518&amp;Result=3","7059518")</f>
        <v>0</v>
      </c>
      <c r="B5480" t="s">
        <v>158</v>
      </c>
      <c r="C5480" t="s">
        <v>8758</v>
      </c>
      <c r="D5480" t="s">
        <v>18784</v>
      </c>
      <c r="E5480" t="s">
        <v>23790</v>
      </c>
      <c r="F5480" t="s">
        <v>32664</v>
      </c>
      <c r="G5480" t="s">
        <v>32671</v>
      </c>
      <c r="H5480" t="s">
        <v>12635</v>
      </c>
      <c r="I5480" t="s">
        <v>6553</v>
      </c>
      <c r="J5480" t="s">
        <v>36272</v>
      </c>
      <c r="K5480" t="s">
        <v>42298</v>
      </c>
      <c r="M5480" t="s">
        <v>42722</v>
      </c>
      <c r="N5480" t="s">
        <v>46569</v>
      </c>
      <c r="O5480" t="s">
        <v>46570</v>
      </c>
      <c r="P5480">
        <v>0</v>
      </c>
      <c r="Q5480">
        <v>0</v>
      </c>
      <c r="R5480" t="s">
        <v>46573</v>
      </c>
      <c r="S5480" t="s">
        <v>46705</v>
      </c>
      <c r="T5480" t="s">
        <v>48258</v>
      </c>
      <c r="U5480" t="s">
        <v>53330</v>
      </c>
      <c r="V5480" t="s">
        <v>62198</v>
      </c>
      <c r="W5480" t="s">
        <v>42722</v>
      </c>
      <c r="X5480" t="s">
        <v>46574</v>
      </c>
    </row>
    <row r="5481" spans="1:24">
      <c r="A5481">
        <f>HYPERLINK("https://www.philgeps.gov.ph/GEPSNONPILOT/Tender/SplashBidNoticeAbstractUI.aspx?menuIndex=3&amp;refID=7059517&amp;Result=3","7059517")</f>
        <v>0</v>
      </c>
      <c r="B5481" t="s">
        <v>555</v>
      </c>
      <c r="C5481" t="s">
        <v>8759</v>
      </c>
      <c r="D5481" t="s">
        <v>18841</v>
      </c>
      <c r="E5481" t="s">
        <v>23791</v>
      </c>
      <c r="F5481" t="s">
        <v>32664</v>
      </c>
      <c r="G5481" t="s">
        <v>32671</v>
      </c>
      <c r="H5481" t="s">
        <v>12635</v>
      </c>
      <c r="I5481" t="s">
        <v>32706</v>
      </c>
      <c r="J5481" t="s">
        <v>36273</v>
      </c>
      <c r="K5481" t="s">
        <v>42289</v>
      </c>
      <c r="M5481" t="s">
        <v>43135</v>
      </c>
      <c r="N5481" t="s">
        <v>46569</v>
      </c>
      <c r="O5481" t="s">
        <v>46570</v>
      </c>
      <c r="P5481">
        <v>0</v>
      </c>
      <c r="Q5481">
        <v>0</v>
      </c>
      <c r="R5481" t="s">
        <v>46573</v>
      </c>
      <c r="S5481" t="s">
        <v>46705</v>
      </c>
      <c r="T5481" t="s">
        <v>48293</v>
      </c>
      <c r="U5481" t="s">
        <v>53331</v>
      </c>
      <c r="W5481" t="s">
        <v>43135</v>
      </c>
      <c r="X5481" t="s">
        <v>46574</v>
      </c>
    </row>
    <row r="5482" spans="1:24">
      <c r="A5482">
        <f>HYPERLINK("https://www.philgeps.gov.ph/GEPSNONPILOT/Tender/SplashBidNoticeAbstractUI.aspx?menuIndex=3&amp;refID=7059514&amp;Result=3","7059514")</f>
        <v>0</v>
      </c>
      <c r="B5482" t="s">
        <v>1811</v>
      </c>
      <c r="C5482" t="s">
        <v>8760</v>
      </c>
      <c r="D5482" t="s">
        <v>18805</v>
      </c>
      <c r="E5482" t="s">
        <v>23792</v>
      </c>
      <c r="F5482" t="s">
        <v>32664</v>
      </c>
      <c r="G5482" t="s">
        <v>32672</v>
      </c>
      <c r="H5482" t="s">
        <v>12635</v>
      </c>
      <c r="I5482" t="s">
        <v>5589</v>
      </c>
      <c r="J5482" t="s">
        <v>33466</v>
      </c>
      <c r="K5482" t="s">
        <v>42283</v>
      </c>
      <c r="M5482" t="s">
        <v>44517</v>
      </c>
      <c r="N5482" t="s">
        <v>46569</v>
      </c>
      <c r="O5482" t="s">
        <v>46570</v>
      </c>
      <c r="P5482">
        <v>0</v>
      </c>
      <c r="Q5482">
        <v>1</v>
      </c>
      <c r="R5482" t="s">
        <v>46573</v>
      </c>
      <c r="S5482" t="s">
        <v>46705</v>
      </c>
      <c r="T5482" t="s">
        <v>48411</v>
      </c>
      <c r="U5482" t="s">
        <v>53332</v>
      </c>
      <c r="V5482" t="s">
        <v>62197</v>
      </c>
      <c r="W5482" t="s">
        <v>44517</v>
      </c>
      <c r="X5482" t="s">
        <v>46574</v>
      </c>
    </row>
    <row r="5483" spans="1:24">
      <c r="A5483">
        <f>HYPERLINK("https://www.philgeps.gov.ph/GEPSNONPILOT/Tender/SplashBidNoticeAbstractUI.aspx?menuIndex=3&amp;refID=7059510&amp;Result=3","7059510")</f>
        <v>0</v>
      </c>
      <c r="B5483" t="s">
        <v>1836</v>
      </c>
      <c r="C5483" t="s">
        <v>8761</v>
      </c>
      <c r="D5483" t="s">
        <v>18813</v>
      </c>
      <c r="E5483" t="s">
        <v>23793</v>
      </c>
      <c r="F5483" t="s">
        <v>32664</v>
      </c>
      <c r="G5483" t="s">
        <v>32671</v>
      </c>
      <c r="H5483" t="s">
        <v>12635</v>
      </c>
      <c r="I5483" t="s">
        <v>4205</v>
      </c>
      <c r="J5483" t="s">
        <v>36274</v>
      </c>
      <c r="K5483" t="s">
        <v>42281</v>
      </c>
      <c r="M5483" t="s">
        <v>44544</v>
      </c>
      <c r="N5483" t="s">
        <v>46569</v>
      </c>
      <c r="O5483" t="s">
        <v>46570</v>
      </c>
      <c r="P5483">
        <v>0</v>
      </c>
      <c r="Q5483">
        <v>0</v>
      </c>
      <c r="R5483" t="s">
        <v>46573</v>
      </c>
      <c r="S5483" t="s">
        <v>46705</v>
      </c>
      <c r="T5483" t="s">
        <v>48287</v>
      </c>
      <c r="U5483" t="s">
        <v>53333</v>
      </c>
      <c r="W5483" t="s">
        <v>44544</v>
      </c>
      <c r="X5483" t="s">
        <v>46574</v>
      </c>
    </row>
    <row r="5484" spans="1:24">
      <c r="A5484">
        <f>HYPERLINK("https://www.philgeps.gov.ph/GEPSNONPILOT/Tender/SplashBidNoticeAbstractUI.aspx?menuIndex=3&amp;refID=7059520&amp;Result=3","7059520")</f>
        <v>0</v>
      </c>
      <c r="B5484" t="s">
        <v>1856</v>
      </c>
      <c r="C5484" t="s">
        <v>8762</v>
      </c>
      <c r="D5484" t="s">
        <v>18781</v>
      </c>
      <c r="E5484" t="s">
        <v>21583</v>
      </c>
      <c r="F5484" t="s">
        <v>32664</v>
      </c>
      <c r="G5484" t="s">
        <v>32672</v>
      </c>
      <c r="H5484" t="s">
        <v>12635</v>
      </c>
      <c r="I5484" t="s">
        <v>6223</v>
      </c>
      <c r="J5484" t="s">
        <v>36275</v>
      </c>
      <c r="K5484" t="s">
        <v>42283</v>
      </c>
      <c r="M5484" t="s">
        <v>44567</v>
      </c>
      <c r="N5484" t="s">
        <v>46569</v>
      </c>
      <c r="O5484" t="s">
        <v>46570</v>
      </c>
      <c r="P5484">
        <v>0</v>
      </c>
      <c r="Q5484">
        <v>0</v>
      </c>
      <c r="R5484" t="s">
        <v>46573</v>
      </c>
      <c r="S5484" t="s">
        <v>46705</v>
      </c>
      <c r="T5484" t="s">
        <v>48521</v>
      </c>
      <c r="U5484" t="s">
        <v>53334</v>
      </c>
      <c r="W5484" t="s">
        <v>44567</v>
      </c>
      <c r="X5484" t="s">
        <v>46574</v>
      </c>
    </row>
    <row r="5485" spans="1:24">
      <c r="A5485">
        <f>HYPERLINK("https://www.philgeps.gov.ph/GEPSNONPILOT/Tender/SplashBidNoticeAbstractUI.aspx?menuIndex=3&amp;refID=7059449&amp;Result=3","7059449")</f>
        <v>0</v>
      </c>
      <c r="B5485" t="s">
        <v>1122</v>
      </c>
      <c r="C5485" t="s">
        <v>8763</v>
      </c>
      <c r="D5485" t="s">
        <v>18858</v>
      </c>
      <c r="E5485" t="s">
        <v>23794</v>
      </c>
      <c r="F5485" t="s">
        <v>32664</v>
      </c>
      <c r="G5485" t="s">
        <v>32671</v>
      </c>
      <c r="H5485" t="s">
        <v>12635</v>
      </c>
      <c r="I5485" t="s">
        <v>9486</v>
      </c>
      <c r="J5485" t="s">
        <v>36276</v>
      </c>
      <c r="K5485" t="s">
        <v>42281</v>
      </c>
      <c r="M5485" t="s">
        <v>43751</v>
      </c>
      <c r="N5485" t="s">
        <v>46569</v>
      </c>
      <c r="O5485" t="s">
        <v>46570</v>
      </c>
      <c r="P5485">
        <v>0</v>
      </c>
      <c r="Q5485">
        <v>3</v>
      </c>
      <c r="R5485" t="s">
        <v>46573</v>
      </c>
      <c r="S5485" t="s">
        <v>46705</v>
      </c>
      <c r="T5485" t="s">
        <v>48307</v>
      </c>
      <c r="U5485" t="s">
        <v>53335</v>
      </c>
      <c r="W5485" t="s">
        <v>43751</v>
      </c>
      <c r="X5485" t="s">
        <v>46574</v>
      </c>
    </row>
    <row r="5486" spans="1:24">
      <c r="A5486">
        <f>HYPERLINK("https://www.philgeps.gov.ph/GEPSNONPILOT/Tender/SplashBidNoticeAbstractUI.aspx?menuIndex=3&amp;refID=7059507&amp;Result=3","7059507")</f>
        <v>0</v>
      </c>
      <c r="B5486" t="s">
        <v>1093</v>
      </c>
      <c r="C5486" t="s">
        <v>8764</v>
      </c>
      <c r="D5486" t="s">
        <v>18784</v>
      </c>
      <c r="E5486" t="s">
        <v>23795</v>
      </c>
      <c r="F5486" t="s">
        <v>32664</v>
      </c>
      <c r="G5486" t="s">
        <v>32671</v>
      </c>
      <c r="H5486" t="s">
        <v>12635</v>
      </c>
      <c r="I5486" t="s">
        <v>7324</v>
      </c>
      <c r="J5486" t="s">
        <v>36277</v>
      </c>
      <c r="K5486" t="s">
        <v>42289</v>
      </c>
      <c r="M5486" t="s">
        <v>43720</v>
      </c>
      <c r="N5486" t="s">
        <v>46569</v>
      </c>
      <c r="O5486" t="s">
        <v>46570</v>
      </c>
      <c r="P5486">
        <v>0</v>
      </c>
      <c r="Q5486">
        <v>0</v>
      </c>
      <c r="R5486" t="s">
        <v>46573</v>
      </c>
      <c r="S5486" t="s">
        <v>46705</v>
      </c>
      <c r="T5486" t="s">
        <v>48307</v>
      </c>
      <c r="U5486" t="s">
        <v>53336</v>
      </c>
      <c r="V5486" t="s">
        <v>61652</v>
      </c>
      <c r="W5486" t="s">
        <v>43720</v>
      </c>
      <c r="X5486" t="s">
        <v>46574</v>
      </c>
    </row>
    <row r="5487" spans="1:24">
      <c r="A5487">
        <f>HYPERLINK("https://www.philgeps.gov.ph/GEPSNONPILOT/Tender/SplashBidNoticeAbstractUI.aspx?menuIndex=3&amp;refID=7059482&amp;Result=3","7059482")</f>
        <v>0</v>
      </c>
      <c r="B5487" t="s">
        <v>617</v>
      </c>
      <c r="C5487" t="s">
        <v>8765</v>
      </c>
      <c r="D5487" t="s">
        <v>18784</v>
      </c>
      <c r="E5487" t="s">
        <v>23796</v>
      </c>
      <c r="F5487" t="s">
        <v>32664</v>
      </c>
      <c r="G5487" t="s">
        <v>32674</v>
      </c>
      <c r="H5487" t="s">
        <v>12635</v>
      </c>
      <c r="I5487" t="s">
        <v>5589</v>
      </c>
      <c r="J5487" t="s">
        <v>36278</v>
      </c>
      <c r="K5487" t="s">
        <v>42289</v>
      </c>
      <c r="M5487" t="s">
        <v>43197</v>
      </c>
      <c r="N5487" t="s">
        <v>46569</v>
      </c>
      <c r="O5487" t="s">
        <v>46570</v>
      </c>
      <c r="P5487">
        <v>0</v>
      </c>
      <c r="Q5487">
        <v>6</v>
      </c>
      <c r="R5487" t="s">
        <v>46573</v>
      </c>
      <c r="S5487" t="s">
        <v>46705</v>
      </c>
      <c r="T5487" t="s">
        <v>48448</v>
      </c>
      <c r="U5487" t="s">
        <v>53337</v>
      </c>
      <c r="W5487" t="s">
        <v>43197</v>
      </c>
      <c r="X5487" t="s">
        <v>46574</v>
      </c>
    </row>
    <row r="5488" spans="1:24">
      <c r="A5488">
        <f>HYPERLINK("https://www.philgeps.gov.ph/GEPSNONPILOT/Tender/SplashBidNoticeAbstractUI.aspx?menuIndex=3&amp;refID=7059503&amp;Result=3","7059503")</f>
        <v>0</v>
      </c>
      <c r="B5488" t="s">
        <v>1787</v>
      </c>
      <c r="C5488" t="s">
        <v>8766</v>
      </c>
      <c r="D5488" t="s">
        <v>18794</v>
      </c>
      <c r="E5488" t="s">
        <v>23797</v>
      </c>
      <c r="F5488" t="s">
        <v>32664</v>
      </c>
      <c r="G5488" t="s">
        <v>32671</v>
      </c>
      <c r="H5488" t="s">
        <v>12635</v>
      </c>
      <c r="I5488" t="s">
        <v>9486</v>
      </c>
      <c r="J5488" t="s">
        <v>36279</v>
      </c>
      <c r="K5488" t="s">
        <v>42284</v>
      </c>
      <c r="M5488" t="s">
        <v>44489</v>
      </c>
      <c r="N5488" t="s">
        <v>46569</v>
      </c>
      <c r="O5488" t="s">
        <v>46570</v>
      </c>
      <c r="P5488">
        <v>0</v>
      </c>
      <c r="Q5488">
        <v>1</v>
      </c>
      <c r="R5488" t="s">
        <v>46573</v>
      </c>
      <c r="S5488" t="s">
        <v>46705</v>
      </c>
      <c r="T5488" t="s">
        <v>48290</v>
      </c>
      <c r="U5488" t="s">
        <v>53338</v>
      </c>
      <c r="W5488" t="s">
        <v>44489</v>
      </c>
      <c r="X5488" t="s">
        <v>46574</v>
      </c>
    </row>
    <row r="5489" spans="1:24">
      <c r="A5489">
        <f>HYPERLINK("https://www.philgeps.gov.ph/GEPSNONPILOT/Tender/SplashBidNoticeAbstractUI.aspx?menuIndex=3&amp;refID=7059502&amp;Result=3","7059502")</f>
        <v>0</v>
      </c>
      <c r="B5489" t="s">
        <v>1851</v>
      </c>
      <c r="C5489" t="s">
        <v>8767</v>
      </c>
      <c r="D5489" t="s">
        <v>18858</v>
      </c>
      <c r="E5489" t="s">
        <v>19010</v>
      </c>
      <c r="F5489" t="s">
        <v>32664</v>
      </c>
      <c r="G5489" t="s">
        <v>32674</v>
      </c>
      <c r="H5489" t="s">
        <v>12635</v>
      </c>
      <c r="I5489" t="s">
        <v>32783</v>
      </c>
      <c r="J5489" t="s">
        <v>36280</v>
      </c>
      <c r="K5489" t="s">
        <v>42281</v>
      </c>
      <c r="M5489" t="s">
        <v>44560</v>
      </c>
      <c r="N5489" t="s">
        <v>46569</v>
      </c>
      <c r="O5489" t="s">
        <v>46570</v>
      </c>
      <c r="P5489">
        <v>0</v>
      </c>
      <c r="Q5489">
        <v>2</v>
      </c>
      <c r="R5489" t="s">
        <v>46573</v>
      </c>
      <c r="S5489" t="s">
        <v>46705</v>
      </c>
      <c r="T5489" t="s">
        <v>48244</v>
      </c>
      <c r="U5489" t="s">
        <v>53312</v>
      </c>
      <c r="W5489" t="s">
        <v>44560</v>
      </c>
      <c r="X5489" t="s">
        <v>46574</v>
      </c>
    </row>
    <row r="5490" spans="1:24">
      <c r="A5490">
        <f>HYPERLINK("https://www.philgeps.gov.ph/GEPSNONPILOT/Tender/SplashBidNoticeAbstractUI.aspx?menuIndex=3&amp;refID=7059524&amp;Result=3","7059524")</f>
        <v>0</v>
      </c>
      <c r="B5490" t="s">
        <v>175</v>
      </c>
      <c r="C5490" t="s">
        <v>8768</v>
      </c>
      <c r="D5490" t="s">
        <v>18784</v>
      </c>
      <c r="E5490" t="s">
        <v>23798</v>
      </c>
      <c r="F5490" t="s">
        <v>32664</v>
      </c>
      <c r="G5490" t="s">
        <v>32671</v>
      </c>
      <c r="H5490" t="s">
        <v>12635</v>
      </c>
      <c r="I5490" t="s">
        <v>6223</v>
      </c>
      <c r="J5490" t="s">
        <v>36281</v>
      </c>
      <c r="K5490" t="s">
        <v>42284</v>
      </c>
      <c r="M5490" t="s">
        <v>42739</v>
      </c>
      <c r="N5490" t="s">
        <v>46569</v>
      </c>
      <c r="O5490" t="s">
        <v>46570</v>
      </c>
      <c r="P5490">
        <v>0</v>
      </c>
      <c r="Q5490">
        <v>0</v>
      </c>
      <c r="R5490" t="s">
        <v>46573</v>
      </c>
      <c r="S5490" t="s">
        <v>46705</v>
      </c>
      <c r="T5490" t="s">
        <v>48290</v>
      </c>
      <c r="U5490" t="s">
        <v>53339</v>
      </c>
      <c r="V5490" t="s">
        <v>61661</v>
      </c>
      <c r="W5490" t="s">
        <v>42739</v>
      </c>
      <c r="X5490" t="s">
        <v>46574</v>
      </c>
    </row>
    <row r="5491" spans="1:24">
      <c r="A5491">
        <f>HYPERLINK("https://www.philgeps.gov.ph/GEPSNONPILOT/Tender/SplashBidNoticeAbstractUI.aspx?menuIndex=3&amp;refID=7059509&amp;Result=3","7059509")</f>
        <v>0</v>
      </c>
      <c r="B5491" t="s">
        <v>1028</v>
      </c>
      <c r="C5491" t="s">
        <v>8769</v>
      </c>
      <c r="D5491" t="s">
        <v>18805</v>
      </c>
      <c r="E5491" t="s">
        <v>23799</v>
      </c>
      <c r="F5491" t="s">
        <v>32664</v>
      </c>
      <c r="G5491" t="s">
        <v>32672</v>
      </c>
      <c r="H5491" t="s">
        <v>32683</v>
      </c>
      <c r="I5491" t="s">
        <v>10627</v>
      </c>
      <c r="J5491" t="s">
        <v>36282</v>
      </c>
      <c r="K5491" t="s">
        <v>42308</v>
      </c>
      <c r="M5491" t="s">
        <v>43640</v>
      </c>
      <c r="N5491" t="s">
        <v>46569</v>
      </c>
      <c r="O5491" t="s">
        <v>46570</v>
      </c>
      <c r="P5491">
        <v>0</v>
      </c>
      <c r="Q5491">
        <v>2</v>
      </c>
      <c r="R5491" t="s">
        <v>46573</v>
      </c>
      <c r="S5491" t="s">
        <v>46705</v>
      </c>
      <c r="T5491" t="s">
        <v>48349</v>
      </c>
      <c r="U5491" t="s">
        <v>53340</v>
      </c>
      <c r="W5491" t="s">
        <v>63539</v>
      </c>
      <c r="X5491" t="s">
        <v>46574</v>
      </c>
    </row>
    <row r="5492" spans="1:24">
      <c r="A5492">
        <f>HYPERLINK("https://www.philgeps.gov.ph/GEPSNONPILOT/Tender/SplashBidNoticeAbstractUI.aspx?menuIndex=3&amp;refID=7059549&amp;Result=3","7059549")</f>
        <v>0</v>
      </c>
      <c r="B5492" t="s">
        <v>1857</v>
      </c>
      <c r="C5492" t="s">
        <v>8770</v>
      </c>
      <c r="D5492" t="s">
        <v>18851</v>
      </c>
      <c r="E5492" t="s">
        <v>23800</v>
      </c>
      <c r="F5492" t="s">
        <v>32664</v>
      </c>
      <c r="G5492" t="s">
        <v>32672</v>
      </c>
      <c r="H5492" t="s">
        <v>32683</v>
      </c>
      <c r="I5492" t="s">
        <v>10627</v>
      </c>
      <c r="J5492" t="s">
        <v>34148</v>
      </c>
      <c r="K5492" t="s">
        <v>42327</v>
      </c>
      <c r="L5492" t="s">
        <v>1857</v>
      </c>
      <c r="M5492" t="s">
        <v>44568</v>
      </c>
      <c r="N5492" t="s">
        <v>46569</v>
      </c>
      <c r="O5492" t="s">
        <v>46570</v>
      </c>
      <c r="P5492">
        <v>0</v>
      </c>
      <c r="Q5492">
        <v>1</v>
      </c>
      <c r="R5492" t="s">
        <v>46573</v>
      </c>
      <c r="S5492" t="s">
        <v>46705</v>
      </c>
      <c r="T5492" t="s">
        <v>48228</v>
      </c>
      <c r="U5492" t="s">
        <v>53341</v>
      </c>
      <c r="W5492" t="s">
        <v>44568</v>
      </c>
      <c r="X5492" t="s">
        <v>46574</v>
      </c>
    </row>
    <row r="5493" spans="1:24">
      <c r="A5493">
        <f>HYPERLINK("https://www.philgeps.gov.ph/GEPSNONPILOT/Tender/SplashBidNoticeAbstractUI.aspx?menuIndex=3&amp;refID=7059548&amp;Result=3","7059548")</f>
        <v>0</v>
      </c>
      <c r="B5493" t="s">
        <v>1858</v>
      </c>
      <c r="C5493" t="s">
        <v>8771</v>
      </c>
      <c r="D5493" t="s">
        <v>18821</v>
      </c>
      <c r="E5493" t="s">
        <v>19673</v>
      </c>
      <c r="F5493" t="s">
        <v>32664</v>
      </c>
      <c r="G5493" t="s">
        <v>32672</v>
      </c>
      <c r="H5493" t="s">
        <v>12635</v>
      </c>
      <c r="I5493" t="s">
        <v>32706</v>
      </c>
      <c r="J5493" t="s">
        <v>32853</v>
      </c>
      <c r="K5493" t="s">
        <v>42283</v>
      </c>
      <c r="M5493" t="s">
        <v>44569</v>
      </c>
      <c r="N5493" t="s">
        <v>46569</v>
      </c>
      <c r="O5493" t="s">
        <v>46570</v>
      </c>
      <c r="P5493">
        <v>0</v>
      </c>
      <c r="Q5493">
        <v>0</v>
      </c>
      <c r="R5493" t="s">
        <v>46573</v>
      </c>
      <c r="S5493" t="s">
        <v>46705</v>
      </c>
      <c r="T5493" t="s">
        <v>48228</v>
      </c>
      <c r="U5493" t="s">
        <v>53342</v>
      </c>
      <c r="W5493" t="s">
        <v>44569</v>
      </c>
      <c r="X5493" t="s">
        <v>46574</v>
      </c>
    </row>
    <row r="5494" spans="1:24">
      <c r="A5494">
        <f>HYPERLINK("https://www.philgeps.gov.ph/GEPSNONPILOT/Tender/SplashBidNoticeAbstractUI.aspx?menuIndex=3&amp;refID=7059547&amp;Result=3","7059547")</f>
        <v>0</v>
      </c>
      <c r="B5494" t="s">
        <v>1854</v>
      </c>
      <c r="C5494" t="s">
        <v>8772</v>
      </c>
      <c r="D5494" t="s">
        <v>18816</v>
      </c>
      <c r="E5494" t="s">
        <v>23801</v>
      </c>
      <c r="F5494" t="s">
        <v>32664</v>
      </c>
      <c r="G5494" t="s">
        <v>32672</v>
      </c>
      <c r="H5494" t="s">
        <v>12635</v>
      </c>
      <c r="I5494" t="s">
        <v>8797</v>
      </c>
      <c r="J5494" t="s">
        <v>36283</v>
      </c>
      <c r="K5494" t="s">
        <v>42281</v>
      </c>
      <c r="M5494" t="s">
        <v>44565</v>
      </c>
      <c r="N5494" t="s">
        <v>46569</v>
      </c>
      <c r="O5494" t="s">
        <v>46570</v>
      </c>
      <c r="P5494">
        <v>0</v>
      </c>
      <c r="Q5494">
        <v>8</v>
      </c>
      <c r="R5494" t="s">
        <v>46573</v>
      </c>
      <c r="S5494" t="s">
        <v>46705</v>
      </c>
      <c r="T5494" t="s">
        <v>48452</v>
      </c>
      <c r="U5494" t="s">
        <v>53343</v>
      </c>
      <c r="W5494" t="s">
        <v>44565</v>
      </c>
      <c r="X5494" t="s">
        <v>46574</v>
      </c>
    </row>
    <row r="5495" spans="1:24">
      <c r="A5495">
        <f>HYPERLINK("https://www.philgeps.gov.ph/GEPSNONPILOT/Tender/SplashBidNoticeAbstractUI.aspx?menuIndex=3&amp;refID=7059546&amp;Result=3","7059546")</f>
        <v>0</v>
      </c>
      <c r="B5495" t="s">
        <v>1726</v>
      </c>
      <c r="C5495" t="s">
        <v>8773</v>
      </c>
      <c r="D5495" t="s">
        <v>18837</v>
      </c>
      <c r="E5495" t="s">
        <v>23802</v>
      </c>
      <c r="F5495" t="s">
        <v>32664</v>
      </c>
      <c r="G5495" t="s">
        <v>32672</v>
      </c>
      <c r="H5495" t="s">
        <v>12635</v>
      </c>
      <c r="I5495" t="s">
        <v>5589</v>
      </c>
      <c r="J5495" t="s">
        <v>36284</v>
      </c>
      <c r="K5495" t="s">
        <v>42297</v>
      </c>
      <c r="M5495" t="s">
        <v>44425</v>
      </c>
      <c r="N5495" t="s">
        <v>46569</v>
      </c>
      <c r="O5495" t="s">
        <v>46570</v>
      </c>
      <c r="P5495">
        <v>0</v>
      </c>
      <c r="Q5495">
        <v>3</v>
      </c>
      <c r="R5495" t="s">
        <v>46573</v>
      </c>
      <c r="S5495" t="s">
        <v>46705</v>
      </c>
      <c r="T5495" t="s">
        <v>48349</v>
      </c>
      <c r="U5495" t="s">
        <v>53344</v>
      </c>
      <c r="V5495" t="s">
        <v>62145</v>
      </c>
      <c r="W5495" t="s">
        <v>44425</v>
      </c>
      <c r="X5495" t="s">
        <v>46574</v>
      </c>
    </row>
    <row r="5496" spans="1:24">
      <c r="A5496">
        <f>HYPERLINK("https://www.philgeps.gov.ph/GEPSNONPILOT/Tender/SplashBidNoticeAbstractUI.aspx?menuIndex=3&amp;refID=7059541&amp;Result=3","7059541")</f>
        <v>0</v>
      </c>
      <c r="B5496" t="s">
        <v>243</v>
      </c>
      <c r="C5496" t="s">
        <v>8774</v>
      </c>
      <c r="D5496" t="s">
        <v>18841</v>
      </c>
      <c r="E5496" t="s">
        <v>23803</v>
      </c>
      <c r="F5496" t="s">
        <v>32664</v>
      </c>
      <c r="G5496" t="s">
        <v>32672</v>
      </c>
      <c r="H5496" t="s">
        <v>12635</v>
      </c>
      <c r="I5496" t="s">
        <v>32685</v>
      </c>
      <c r="J5496" t="s">
        <v>36285</v>
      </c>
      <c r="K5496" t="s">
        <v>42289</v>
      </c>
      <c r="L5496" t="s">
        <v>243</v>
      </c>
      <c r="M5496" t="s">
        <v>42808</v>
      </c>
      <c r="N5496" t="s">
        <v>46569</v>
      </c>
      <c r="O5496" t="s">
        <v>46570</v>
      </c>
      <c r="P5496">
        <v>0</v>
      </c>
      <c r="Q5496">
        <v>0</v>
      </c>
      <c r="R5496" t="s">
        <v>46573</v>
      </c>
      <c r="S5496" t="s">
        <v>46705</v>
      </c>
      <c r="T5496" t="s">
        <v>48411</v>
      </c>
      <c r="U5496" t="s">
        <v>53345</v>
      </c>
      <c r="V5496" t="s">
        <v>62199</v>
      </c>
      <c r="W5496" t="s">
        <v>42808</v>
      </c>
      <c r="X5496" t="s">
        <v>46574</v>
      </c>
    </row>
    <row r="5497" spans="1:24">
      <c r="A5497">
        <f>HYPERLINK("https://www.philgeps.gov.ph/GEPSNONPILOT/Tender/SplashBidNoticeAbstractUI.aspx?menuIndex=3&amp;refID=7059550&amp;Result=3","7059550")</f>
        <v>0</v>
      </c>
      <c r="B5497" t="s">
        <v>312</v>
      </c>
      <c r="C5497" t="s">
        <v>6714</v>
      </c>
      <c r="D5497" t="s">
        <v>18805</v>
      </c>
      <c r="E5497" t="s">
        <v>23804</v>
      </c>
      <c r="F5497" t="s">
        <v>32664</v>
      </c>
      <c r="G5497" t="s">
        <v>32671</v>
      </c>
      <c r="H5497" t="s">
        <v>12635</v>
      </c>
      <c r="I5497" t="s">
        <v>6628</v>
      </c>
      <c r="J5497" t="s">
        <v>32984</v>
      </c>
      <c r="K5497" t="s">
        <v>42283</v>
      </c>
      <c r="M5497" t="s">
        <v>42879</v>
      </c>
      <c r="N5497" t="s">
        <v>46569</v>
      </c>
      <c r="O5497" t="s">
        <v>46570</v>
      </c>
      <c r="P5497">
        <v>0</v>
      </c>
      <c r="Q5497">
        <v>0</v>
      </c>
      <c r="R5497" t="s">
        <v>46573</v>
      </c>
      <c r="S5497" t="s">
        <v>46705</v>
      </c>
      <c r="T5497" t="s">
        <v>48282</v>
      </c>
      <c r="U5497" t="s">
        <v>49353</v>
      </c>
      <c r="W5497" t="s">
        <v>42879</v>
      </c>
      <c r="X5497" t="s">
        <v>46574</v>
      </c>
    </row>
    <row r="5498" spans="1:24">
      <c r="A5498">
        <f>HYPERLINK("https://www.philgeps.gov.ph/GEPSNONPILOT/Tender/SplashBidNoticeAbstractUI.aspx?menuIndex=3&amp;refID=7059539&amp;Result=3","7059539")</f>
        <v>0</v>
      </c>
      <c r="B5498" t="s">
        <v>1853</v>
      </c>
      <c r="C5498" t="s">
        <v>8775</v>
      </c>
      <c r="D5498" t="s">
        <v>18785</v>
      </c>
      <c r="E5498" t="s">
        <v>23805</v>
      </c>
      <c r="F5498" t="s">
        <v>32664</v>
      </c>
      <c r="G5498" t="s">
        <v>32675</v>
      </c>
      <c r="H5498" t="s">
        <v>12635</v>
      </c>
      <c r="I5498" t="s">
        <v>4205</v>
      </c>
      <c r="J5498" t="s">
        <v>36286</v>
      </c>
      <c r="K5498" t="s">
        <v>42325</v>
      </c>
      <c r="M5498" t="s">
        <v>44564</v>
      </c>
      <c r="N5498" t="s">
        <v>46569</v>
      </c>
      <c r="O5498" t="s">
        <v>46570</v>
      </c>
      <c r="P5498">
        <v>0</v>
      </c>
      <c r="Q5498">
        <v>6</v>
      </c>
      <c r="R5498" t="s">
        <v>46573</v>
      </c>
      <c r="S5498" t="s">
        <v>46705</v>
      </c>
      <c r="T5498" t="s">
        <v>48287</v>
      </c>
      <c r="U5498" t="s">
        <v>53346</v>
      </c>
      <c r="W5498" t="s">
        <v>44564</v>
      </c>
      <c r="X5498" t="s">
        <v>46574</v>
      </c>
    </row>
    <row r="5499" spans="1:24">
      <c r="A5499">
        <f>HYPERLINK("https://www.philgeps.gov.ph/GEPSNONPILOT/Tender/SplashBidNoticeAbstractUI.aspx?menuIndex=3&amp;refID=7059538&amp;Result=3","7059538")</f>
        <v>0</v>
      </c>
      <c r="B5499" t="s">
        <v>527</v>
      </c>
      <c r="C5499" t="s">
        <v>8776</v>
      </c>
      <c r="D5499" t="s">
        <v>18784</v>
      </c>
      <c r="E5499" t="s">
        <v>23806</v>
      </c>
      <c r="F5499" t="s">
        <v>32664</v>
      </c>
      <c r="G5499" t="s">
        <v>32671</v>
      </c>
      <c r="H5499" t="s">
        <v>12635</v>
      </c>
      <c r="I5499" t="s">
        <v>9486</v>
      </c>
      <c r="J5499" t="s">
        <v>36287</v>
      </c>
      <c r="K5499" t="s">
        <v>42284</v>
      </c>
      <c r="M5499" t="s">
        <v>44555</v>
      </c>
      <c r="N5499" t="s">
        <v>46569</v>
      </c>
      <c r="O5499" t="s">
        <v>46570</v>
      </c>
      <c r="P5499">
        <v>0</v>
      </c>
      <c r="Q5499">
        <v>3</v>
      </c>
      <c r="R5499" t="s">
        <v>46573</v>
      </c>
      <c r="S5499" t="s">
        <v>46705</v>
      </c>
      <c r="T5499" t="s">
        <v>48287</v>
      </c>
      <c r="U5499" t="s">
        <v>53347</v>
      </c>
      <c r="W5499" t="s">
        <v>44555</v>
      </c>
      <c r="X5499" t="s">
        <v>46574</v>
      </c>
    </row>
    <row r="5500" spans="1:24">
      <c r="A5500">
        <f>HYPERLINK("https://www.philgeps.gov.ph/GEPSNONPILOT/Tender/SplashBidNoticeAbstractUI.aspx?menuIndex=3&amp;refID=7059536&amp;Result=3","7059536")</f>
        <v>0</v>
      </c>
      <c r="B5500" t="s">
        <v>1859</v>
      </c>
      <c r="C5500" t="s">
        <v>8777</v>
      </c>
      <c r="D5500" t="s">
        <v>18846</v>
      </c>
      <c r="E5500" t="s">
        <v>21636</v>
      </c>
      <c r="F5500" t="s">
        <v>32664</v>
      </c>
      <c r="G5500" t="s">
        <v>32672</v>
      </c>
      <c r="H5500" t="s">
        <v>12635</v>
      </c>
      <c r="I5500" t="s">
        <v>32716</v>
      </c>
      <c r="J5500" t="s">
        <v>36288</v>
      </c>
      <c r="K5500" t="s">
        <v>42289</v>
      </c>
      <c r="M5500" t="s">
        <v>44570</v>
      </c>
      <c r="N5500" t="s">
        <v>46569</v>
      </c>
      <c r="O5500" t="s">
        <v>46570</v>
      </c>
      <c r="P5500">
        <v>0</v>
      </c>
      <c r="Q5500">
        <v>1</v>
      </c>
      <c r="R5500" t="s">
        <v>46573</v>
      </c>
      <c r="S5500" t="s">
        <v>46705</v>
      </c>
      <c r="T5500" t="s">
        <v>48410</v>
      </c>
      <c r="U5500" t="s">
        <v>53348</v>
      </c>
      <c r="W5500" t="s">
        <v>44570</v>
      </c>
      <c r="X5500" t="s">
        <v>46574</v>
      </c>
    </row>
    <row r="5501" spans="1:24">
      <c r="A5501">
        <f>HYPERLINK("https://www.philgeps.gov.ph/GEPSNONPILOT/Tender/SplashBidNoticeAbstractUI.aspx?menuIndex=3&amp;refID=7059534&amp;Result=3","7059534")</f>
        <v>0</v>
      </c>
      <c r="B5501" t="s">
        <v>1093</v>
      </c>
      <c r="C5501" t="s">
        <v>8778</v>
      </c>
      <c r="D5501" t="s">
        <v>18784</v>
      </c>
      <c r="E5501" t="s">
        <v>23807</v>
      </c>
      <c r="F5501" t="s">
        <v>32664</v>
      </c>
      <c r="G5501" t="s">
        <v>32671</v>
      </c>
      <c r="H5501" t="s">
        <v>12635</v>
      </c>
      <c r="I5501" t="s">
        <v>32775</v>
      </c>
      <c r="J5501" t="s">
        <v>33069</v>
      </c>
      <c r="K5501" t="s">
        <v>42289</v>
      </c>
      <c r="M5501" t="s">
        <v>43720</v>
      </c>
      <c r="N5501" t="s">
        <v>46569</v>
      </c>
      <c r="O5501" t="s">
        <v>46570</v>
      </c>
      <c r="P5501">
        <v>0</v>
      </c>
      <c r="Q5501">
        <v>0</v>
      </c>
      <c r="R5501" t="s">
        <v>46573</v>
      </c>
      <c r="S5501" t="s">
        <v>46705</v>
      </c>
      <c r="T5501" t="s">
        <v>48307</v>
      </c>
      <c r="U5501" t="s">
        <v>53349</v>
      </c>
      <c r="V5501" t="s">
        <v>61652</v>
      </c>
      <c r="W5501" t="s">
        <v>43720</v>
      </c>
      <c r="X5501" t="s">
        <v>46574</v>
      </c>
    </row>
    <row r="5502" spans="1:24">
      <c r="A5502">
        <f>HYPERLINK("https://www.philgeps.gov.ph/GEPSNONPILOT/Tender/SplashBidNoticeAbstractUI.aspx?menuIndex=3&amp;refID=7059513&amp;Result=3","7059513")</f>
        <v>0</v>
      </c>
      <c r="B5502" t="s">
        <v>1731</v>
      </c>
      <c r="C5502" t="s">
        <v>8779</v>
      </c>
      <c r="D5502" t="s">
        <v>18803</v>
      </c>
      <c r="E5502" t="s">
        <v>23808</v>
      </c>
      <c r="F5502" t="s">
        <v>32664</v>
      </c>
      <c r="G5502" t="s">
        <v>32672</v>
      </c>
      <c r="H5502" t="s">
        <v>12635</v>
      </c>
      <c r="I5502" t="s">
        <v>14442</v>
      </c>
      <c r="J5502" t="s">
        <v>36289</v>
      </c>
      <c r="K5502" t="s">
        <v>42289</v>
      </c>
      <c r="M5502" t="s">
        <v>44430</v>
      </c>
      <c r="N5502" t="s">
        <v>46569</v>
      </c>
      <c r="O5502" t="s">
        <v>46570</v>
      </c>
      <c r="P5502">
        <v>0</v>
      </c>
      <c r="Q5502">
        <v>8</v>
      </c>
      <c r="R5502" t="s">
        <v>46573</v>
      </c>
      <c r="S5502" t="s">
        <v>46705</v>
      </c>
      <c r="T5502" t="s">
        <v>48412</v>
      </c>
      <c r="U5502" t="s">
        <v>53350</v>
      </c>
      <c r="W5502" t="s">
        <v>44430</v>
      </c>
      <c r="X5502" t="s">
        <v>46574</v>
      </c>
    </row>
    <row r="5503" spans="1:24">
      <c r="A5503">
        <f>HYPERLINK("https://www.philgeps.gov.ph/GEPSNONPILOT/Tender/SplashBidNoticeAbstractUI.aspx?menuIndex=3&amp;refID=7059508&amp;Result=3","7059508")</f>
        <v>0</v>
      </c>
      <c r="B5503" t="s">
        <v>1848</v>
      </c>
      <c r="C5503" t="s">
        <v>8780</v>
      </c>
      <c r="D5503" t="s">
        <v>18830</v>
      </c>
      <c r="E5503" t="s">
        <v>23809</v>
      </c>
      <c r="F5503" t="s">
        <v>32664</v>
      </c>
      <c r="G5503" t="s">
        <v>32674</v>
      </c>
      <c r="H5503" t="s">
        <v>12635</v>
      </c>
      <c r="I5503" t="s">
        <v>5589</v>
      </c>
      <c r="J5503" t="s">
        <v>34732</v>
      </c>
      <c r="K5503" t="s">
        <v>42289</v>
      </c>
      <c r="M5503" t="s">
        <v>44557</v>
      </c>
      <c r="N5503" t="s">
        <v>46569</v>
      </c>
      <c r="O5503" t="s">
        <v>46570</v>
      </c>
      <c r="P5503">
        <v>0</v>
      </c>
      <c r="Q5503">
        <v>4</v>
      </c>
      <c r="R5503" t="s">
        <v>46573</v>
      </c>
      <c r="S5503" t="s">
        <v>46705</v>
      </c>
      <c r="T5503" t="s">
        <v>48316</v>
      </c>
      <c r="U5503" t="s">
        <v>53351</v>
      </c>
      <c r="W5503" t="s">
        <v>63538</v>
      </c>
      <c r="X5503" t="s">
        <v>46574</v>
      </c>
    </row>
    <row r="5504" spans="1:24">
      <c r="A5504">
        <f>HYPERLINK("https://www.philgeps.gov.ph/GEPSNONPILOT/Tender/SplashBidNoticeAbstractUI.aspx?menuIndex=3&amp;refID=7059445&amp;Result=3","7059445")</f>
        <v>0</v>
      </c>
      <c r="B5504" t="s">
        <v>596</v>
      </c>
      <c r="C5504" t="s">
        <v>8781</v>
      </c>
      <c r="D5504" t="s">
        <v>18837</v>
      </c>
      <c r="E5504" t="s">
        <v>23810</v>
      </c>
      <c r="F5504" t="s">
        <v>32664</v>
      </c>
      <c r="G5504" t="s">
        <v>32671</v>
      </c>
      <c r="H5504" t="s">
        <v>32682</v>
      </c>
      <c r="I5504" t="s">
        <v>5501</v>
      </c>
      <c r="J5504" t="s">
        <v>33051</v>
      </c>
      <c r="K5504" t="s">
        <v>42289</v>
      </c>
      <c r="M5504" t="s">
        <v>43176</v>
      </c>
      <c r="N5504" t="s">
        <v>46569</v>
      </c>
      <c r="O5504" t="s">
        <v>46570</v>
      </c>
      <c r="P5504">
        <v>0</v>
      </c>
      <c r="Q5504">
        <v>8</v>
      </c>
      <c r="R5504" t="s">
        <v>46573</v>
      </c>
      <c r="S5504" t="s">
        <v>46705</v>
      </c>
      <c r="T5504" t="s">
        <v>48534</v>
      </c>
      <c r="U5504" t="s">
        <v>53352</v>
      </c>
      <c r="V5504" t="s">
        <v>61772</v>
      </c>
      <c r="W5504" t="s">
        <v>43176</v>
      </c>
      <c r="X5504" t="s">
        <v>46574</v>
      </c>
    </row>
    <row r="5505" spans="1:24">
      <c r="A5505">
        <f>HYPERLINK("https://www.philgeps.gov.ph/GEPSNONPILOT/Tender/SplashBidNoticeAbstractUI.aspx?menuIndex=3&amp;refID=7059582&amp;Result=3","7059582")</f>
        <v>0</v>
      </c>
      <c r="B5505" t="s">
        <v>396</v>
      </c>
      <c r="C5505" t="s">
        <v>8782</v>
      </c>
      <c r="D5505" t="s">
        <v>18790</v>
      </c>
      <c r="E5505" t="s">
        <v>23811</v>
      </c>
      <c r="F5505" t="s">
        <v>32664</v>
      </c>
      <c r="G5505" t="s">
        <v>32671</v>
      </c>
      <c r="H5505" t="s">
        <v>12635</v>
      </c>
      <c r="I5505" t="s">
        <v>32716</v>
      </c>
      <c r="J5505" t="s">
        <v>36290</v>
      </c>
      <c r="K5505" t="s">
        <v>42284</v>
      </c>
      <c r="M5505" t="s">
        <v>42966</v>
      </c>
      <c r="N5505" t="s">
        <v>46569</v>
      </c>
      <c r="O5505" t="s">
        <v>46570</v>
      </c>
      <c r="P5505">
        <v>0</v>
      </c>
      <c r="Q5505">
        <v>0</v>
      </c>
      <c r="R5505" t="s">
        <v>46573</v>
      </c>
      <c r="S5505" t="s">
        <v>46705</v>
      </c>
      <c r="T5505" t="s">
        <v>48283</v>
      </c>
      <c r="U5505" t="s">
        <v>53353</v>
      </c>
      <c r="W5505" t="s">
        <v>42966</v>
      </c>
      <c r="X5505" t="s">
        <v>46574</v>
      </c>
    </row>
    <row r="5506" spans="1:24">
      <c r="A5506">
        <f>HYPERLINK("https://www.philgeps.gov.ph/GEPSNONPILOT/Tender/SplashBidNoticeAbstractUI.aspx?menuIndex=3&amp;refID=7059519&amp;Result=3","7059519")</f>
        <v>0</v>
      </c>
      <c r="B5506" t="s">
        <v>1102</v>
      </c>
      <c r="C5506" t="s">
        <v>4254</v>
      </c>
      <c r="D5506" t="s">
        <v>18784</v>
      </c>
      <c r="E5506" t="s">
        <v>23812</v>
      </c>
      <c r="F5506" t="s">
        <v>32664</v>
      </c>
      <c r="G5506" t="s">
        <v>32674</v>
      </c>
      <c r="H5506" t="s">
        <v>12635</v>
      </c>
      <c r="I5506" t="s">
        <v>8730</v>
      </c>
      <c r="J5506" t="s">
        <v>36291</v>
      </c>
      <c r="K5506" t="s">
        <v>42283</v>
      </c>
      <c r="M5506" t="s">
        <v>43729</v>
      </c>
      <c r="N5506" t="s">
        <v>46569</v>
      </c>
      <c r="O5506" t="s">
        <v>46570</v>
      </c>
      <c r="P5506">
        <v>0</v>
      </c>
      <c r="Q5506">
        <v>8</v>
      </c>
      <c r="R5506" t="s">
        <v>46573</v>
      </c>
      <c r="S5506" t="s">
        <v>46705</v>
      </c>
      <c r="T5506" t="s">
        <v>48473</v>
      </c>
      <c r="U5506" t="s">
        <v>53354</v>
      </c>
      <c r="W5506" t="s">
        <v>43729</v>
      </c>
      <c r="X5506" t="s">
        <v>46574</v>
      </c>
    </row>
    <row r="5507" spans="1:24">
      <c r="A5507">
        <f>HYPERLINK("https://www.philgeps.gov.ph/GEPSNONPILOT/Tender/SplashBidNoticeAbstractUI.aspx?menuIndex=3&amp;refID=7059581&amp;Result=3","7059581")</f>
        <v>0</v>
      </c>
      <c r="B5507" t="s">
        <v>1586</v>
      </c>
      <c r="C5507" t="s">
        <v>8783</v>
      </c>
      <c r="D5507" t="s">
        <v>18814</v>
      </c>
      <c r="E5507" t="s">
        <v>23813</v>
      </c>
      <c r="F5507" t="s">
        <v>32664</v>
      </c>
      <c r="G5507" t="s">
        <v>32671</v>
      </c>
      <c r="H5507" t="s">
        <v>12635</v>
      </c>
      <c r="I5507" t="s">
        <v>7429</v>
      </c>
      <c r="J5507" t="s">
        <v>33688</v>
      </c>
      <c r="K5507" t="s">
        <v>42283</v>
      </c>
      <c r="M5507" t="s">
        <v>44263</v>
      </c>
      <c r="N5507" t="s">
        <v>46569</v>
      </c>
      <c r="O5507" t="s">
        <v>46570</v>
      </c>
      <c r="P5507">
        <v>0</v>
      </c>
      <c r="Q5507">
        <v>0</v>
      </c>
      <c r="R5507" t="s">
        <v>46573</v>
      </c>
      <c r="S5507" t="s">
        <v>46705</v>
      </c>
      <c r="T5507" t="s">
        <v>48287</v>
      </c>
      <c r="U5507" t="s">
        <v>53355</v>
      </c>
      <c r="W5507" t="s">
        <v>44263</v>
      </c>
      <c r="X5507" t="s">
        <v>46574</v>
      </c>
    </row>
    <row r="5508" spans="1:24">
      <c r="A5508">
        <f>HYPERLINK("https://www.philgeps.gov.ph/GEPSNONPILOT/Tender/SplashBidNoticeAbstractUI.aspx?menuIndex=3&amp;refID=7059577&amp;Result=3","7059577")</f>
        <v>0</v>
      </c>
      <c r="B5508" t="s">
        <v>1726</v>
      </c>
      <c r="C5508" t="s">
        <v>8784</v>
      </c>
      <c r="D5508" t="s">
        <v>18837</v>
      </c>
      <c r="E5508" t="s">
        <v>23814</v>
      </c>
      <c r="F5508" t="s">
        <v>32664</v>
      </c>
      <c r="G5508" t="s">
        <v>32672</v>
      </c>
      <c r="H5508" t="s">
        <v>12635</v>
      </c>
      <c r="I5508" t="s">
        <v>5589</v>
      </c>
      <c r="J5508" t="s">
        <v>32984</v>
      </c>
      <c r="K5508" t="s">
        <v>42297</v>
      </c>
      <c r="M5508" t="s">
        <v>44425</v>
      </c>
      <c r="N5508" t="s">
        <v>46569</v>
      </c>
      <c r="O5508" t="s">
        <v>46570</v>
      </c>
      <c r="P5508">
        <v>0</v>
      </c>
      <c r="Q5508">
        <v>1</v>
      </c>
      <c r="R5508" t="s">
        <v>46573</v>
      </c>
      <c r="S5508" t="s">
        <v>46705</v>
      </c>
      <c r="T5508" t="s">
        <v>48349</v>
      </c>
      <c r="U5508" t="s">
        <v>53356</v>
      </c>
      <c r="V5508" t="s">
        <v>62145</v>
      </c>
      <c r="W5508" t="s">
        <v>44425</v>
      </c>
      <c r="X5508" t="s">
        <v>46574</v>
      </c>
    </row>
    <row r="5509" spans="1:24">
      <c r="A5509">
        <f>HYPERLINK("https://www.philgeps.gov.ph/GEPSNONPILOT/Tender/SplashBidNoticeAbstractUI.aspx?menuIndex=3&amp;refID=7059583&amp;Result=3","7059583")</f>
        <v>0</v>
      </c>
      <c r="B5509" t="s">
        <v>460</v>
      </c>
      <c r="C5509" t="s">
        <v>8785</v>
      </c>
      <c r="D5509" t="s">
        <v>18806</v>
      </c>
      <c r="E5509" t="s">
        <v>23815</v>
      </c>
      <c r="F5509" t="s">
        <v>32664</v>
      </c>
      <c r="G5509" t="s">
        <v>32672</v>
      </c>
      <c r="H5509" t="s">
        <v>12635</v>
      </c>
      <c r="I5509" t="s">
        <v>32706</v>
      </c>
      <c r="J5509" t="s">
        <v>36292</v>
      </c>
      <c r="K5509" t="s">
        <v>42330</v>
      </c>
      <c r="M5509" t="s">
        <v>44571</v>
      </c>
      <c r="N5509" t="s">
        <v>46569</v>
      </c>
      <c r="O5509" t="s">
        <v>46570</v>
      </c>
      <c r="P5509">
        <v>0</v>
      </c>
      <c r="Q5509">
        <v>0</v>
      </c>
      <c r="R5509" t="s">
        <v>46573</v>
      </c>
      <c r="S5509" t="s">
        <v>46705</v>
      </c>
      <c r="T5509" t="s">
        <v>48228</v>
      </c>
      <c r="U5509" t="s">
        <v>53357</v>
      </c>
      <c r="V5509" t="s">
        <v>61668</v>
      </c>
      <c r="W5509" t="s">
        <v>44571</v>
      </c>
      <c r="X5509" t="s">
        <v>46574</v>
      </c>
    </row>
    <row r="5510" spans="1:24">
      <c r="A5510">
        <f>HYPERLINK("https://www.philgeps.gov.ph/GEPSNONPILOT/Tender/SplashBidNoticeAbstractUI.aspx?menuIndex=3&amp;refID=7059535&amp;Result=3","7059535")</f>
        <v>0</v>
      </c>
      <c r="B5510" t="s">
        <v>1860</v>
      </c>
      <c r="C5510" t="s">
        <v>8786</v>
      </c>
      <c r="E5510" t="s">
        <v>23816</v>
      </c>
      <c r="F5510" t="s">
        <v>32664</v>
      </c>
      <c r="G5510" t="s">
        <v>32674</v>
      </c>
      <c r="H5510" t="s">
        <v>32682</v>
      </c>
      <c r="I5510" t="s">
        <v>9946</v>
      </c>
      <c r="J5510" t="s">
        <v>33338</v>
      </c>
      <c r="K5510" t="s">
        <v>42297</v>
      </c>
      <c r="M5510" t="s">
        <v>44572</v>
      </c>
      <c r="N5510" t="s">
        <v>46569</v>
      </c>
      <c r="O5510" t="s">
        <v>46570</v>
      </c>
      <c r="P5510">
        <v>0</v>
      </c>
      <c r="Q5510">
        <v>0</v>
      </c>
      <c r="R5510" t="s">
        <v>46573</v>
      </c>
      <c r="S5510" t="s">
        <v>46705</v>
      </c>
      <c r="T5510" t="s">
        <v>48363</v>
      </c>
      <c r="U5510" t="s">
        <v>53358</v>
      </c>
      <c r="W5510" t="s">
        <v>44572</v>
      </c>
      <c r="X5510" t="s">
        <v>46574</v>
      </c>
    </row>
    <row r="5511" spans="1:24">
      <c r="A5511">
        <f>HYPERLINK("https://www.philgeps.gov.ph/GEPSNONPILOT/Tender/SplashBidNoticeAbstractUI.aspx?menuIndex=3&amp;refID=7059480&amp;Result=3","7059480")</f>
        <v>0</v>
      </c>
      <c r="B5511" t="s">
        <v>1102</v>
      </c>
      <c r="C5511" t="s">
        <v>8787</v>
      </c>
      <c r="D5511" t="s">
        <v>18784</v>
      </c>
      <c r="E5511" t="s">
        <v>23817</v>
      </c>
      <c r="F5511" t="s">
        <v>32664</v>
      </c>
      <c r="G5511" t="s">
        <v>32674</v>
      </c>
      <c r="H5511" t="s">
        <v>12635</v>
      </c>
      <c r="I5511" t="s">
        <v>8730</v>
      </c>
      <c r="J5511" t="s">
        <v>36293</v>
      </c>
      <c r="K5511" t="s">
        <v>42283</v>
      </c>
      <c r="M5511" t="s">
        <v>43729</v>
      </c>
      <c r="N5511" t="s">
        <v>46569</v>
      </c>
      <c r="O5511" t="s">
        <v>46570</v>
      </c>
      <c r="P5511">
        <v>0</v>
      </c>
      <c r="Q5511">
        <v>18</v>
      </c>
      <c r="R5511" t="s">
        <v>46573</v>
      </c>
      <c r="S5511" t="s">
        <v>46705</v>
      </c>
      <c r="T5511" t="s">
        <v>48473</v>
      </c>
      <c r="U5511" t="s">
        <v>53359</v>
      </c>
      <c r="W5511" t="s">
        <v>43729</v>
      </c>
      <c r="X5511" t="s">
        <v>46574</v>
      </c>
    </row>
    <row r="5512" spans="1:24">
      <c r="A5512">
        <f>HYPERLINK("https://www.philgeps.gov.ph/GEPSNONPILOT/Tender/SplashBidNoticeAbstractUI.aspx?menuIndex=3&amp;refID=7059578&amp;Result=3","7059578")</f>
        <v>0</v>
      </c>
      <c r="B5512" t="s">
        <v>1095</v>
      </c>
      <c r="C5512" t="s">
        <v>6223</v>
      </c>
      <c r="D5512" t="s">
        <v>18798</v>
      </c>
      <c r="E5512" t="s">
        <v>23818</v>
      </c>
      <c r="F5512" t="s">
        <v>32664</v>
      </c>
      <c r="G5512" t="s">
        <v>32671</v>
      </c>
      <c r="H5512" t="s">
        <v>12635</v>
      </c>
      <c r="I5512" t="s">
        <v>6223</v>
      </c>
      <c r="J5512" t="s">
        <v>36294</v>
      </c>
      <c r="K5512" t="s">
        <v>42281</v>
      </c>
      <c r="M5512" t="s">
        <v>42640</v>
      </c>
      <c r="N5512" t="s">
        <v>46569</v>
      </c>
      <c r="O5512" t="s">
        <v>46570</v>
      </c>
      <c r="P5512">
        <v>0</v>
      </c>
      <c r="Q5512">
        <v>0</v>
      </c>
      <c r="R5512" t="s">
        <v>46573</v>
      </c>
      <c r="S5512" t="s">
        <v>46705</v>
      </c>
      <c r="T5512" t="s">
        <v>48290</v>
      </c>
      <c r="U5512" t="s">
        <v>53360</v>
      </c>
      <c r="W5512" t="s">
        <v>42640</v>
      </c>
      <c r="X5512" t="s">
        <v>46574</v>
      </c>
    </row>
    <row r="5513" spans="1:24">
      <c r="A5513">
        <f>HYPERLINK("https://www.philgeps.gov.ph/GEPSNONPILOT/Tender/SplashBidNoticeAbstractUI.aspx?menuIndex=3&amp;refID=7059576&amp;Result=3","7059576")</f>
        <v>0</v>
      </c>
      <c r="B5513" t="s">
        <v>592</v>
      </c>
      <c r="C5513" t="s">
        <v>8788</v>
      </c>
      <c r="D5513" t="s">
        <v>18784</v>
      </c>
      <c r="E5513" t="s">
        <v>23819</v>
      </c>
      <c r="F5513" t="s">
        <v>32664</v>
      </c>
      <c r="G5513" t="s">
        <v>32675</v>
      </c>
      <c r="H5513" t="s">
        <v>12635</v>
      </c>
      <c r="I5513" t="s">
        <v>8730</v>
      </c>
      <c r="J5513" t="s">
        <v>36295</v>
      </c>
      <c r="K5513" t="s">
        <v>42289</v>
      </c>
      <c r="M5513" t="s">
        <v>43172</v>
      </c>
      <c r="N5513" t="s">
        <v>46569</v>
      </c>
      <c r="O5513" t="s">
        <v>46570</v>
      </c>
      <c r="P5513">
        <v>0</v>
      </c>
      <c r="Q5513">
        <v>8</v>
      </c>
      <c r="R5513" t="s">
        <v>46573</v>
      </c>
      <c r="S5513" t="s">
        <v>46705</v>
      </c>
      <c r="T5513" t="s">
        <v>48236</v>
      </c>
      <c r="U5513" t="s">
        <v>49886</v>
      </c>
      <c r="V5513" t="s">
        <v>62175</v>
      </c>
      <c r="W5513" t="s">
        <v>43172</v>
      </c>
      <c r="X5513" t="s">
        <v>46574</v>
      </c>
    </row>
    <row r="5514" spans="1:24">
      <c r="A5514">
        <f>HYPERLINK("https://www.philgeps.gov.ph/GEPSNONPILOT/Tender/SplashBidNoticeAbstractUI.aspx?menuIndex=3&amp;refID=7059574&amp;Result=3","7059574")</f>
        <v>0</v>
      </c>
      <c r="B5514" t="s">
        <v>1672</v>
      </c>
      <c r="C5514" t="s">
        <v>8789</v>
      </c>
      <c r="D5514" t="s">
        <v>18859</v>
      </c>
      <c r="E5514" t="s">
        <v>23820</v>
      </c>
      <c r="F5514" t="s">
        <v>32664</v>
      </c>
      <c r="G5514" t="s">
        <v>32671</v>
      </c>
      <c r="H5514" t="s">
        <v>12635</v>
      </c>
      <c r="I5514" t="s">
        <v>6223</v>
      </c>
      <c r="J5514" t="s">
        <v>33626</v>
      </c>
      <c r="K5514" t="s">
        <v>42309</v>
      </c>
      <c r="M5514" t="s">
        <v>44360</v>
      </c>
      <c r="N5514" t="s">
        <v>46569</v>
      </c>
      <c r="O5514" t="s">
        <v>46570</v>
      </c>
      <c r="P5514">
        <v>0</v>
      </c>
      <c r="Q5514">
        <v>1</v>
      </c>
      <c r="R5514" t="s">
        <v>46573</v>
      </c>
      <c r="S5514" t="s">
        <v>46705</v>
      </c>
      <c r="T5514" t="s">
        <v>48254</v>
      </c>
      <c r="U5514" t="s">
        <v>53361</v>
      </c>
      <c r="V5514" t="s">
        <v>62105</v>
      </c>
      <c r="W5514" t="s">
        <v>44360</v>
      </c>
      <c r="X5514" t="s">
        <v>46574</v>
      </c>
    </row>
    <row r="5515" spans="1:24">
      <c r="A5515">
        <f>HYPERLINK("https://www.philgeps.gov.ph/GEPSNONPILOT/Tender/SplashBidNoticeAbstractUI.aspx?menuIndex=3&amp;refID=7059558&amp;Result=3","7059558")</f>
        <v>0</v>
      </c>
      <c r="B5515" t="s">
        <v>1861</v>
      </c>
      <c r="C5515" t="s">
        <v>8790</v>
      </c>
      <c r="D5515" t="s">
        <v>18816</v>
      </c>
      <c r="E5515" t="s">
        <v>21346</v>
      </c>
      <c r="F5515" t="s">
        <v>32664</v>
      </c>
      <c r="G5515" t="s">
        <v>32672</v>
      </c>
      <c r="H5515" t="s">
        <v>12635</v>
      </c>
      <c r="I5515" t="s">
        <v>14442</v>
      </c>
      <c r="J5515" t="s">
        <v>34862</v>
      </c>
      <c r="K5515" t="s">
        <v>42348</v>
      </c>
      <c r="M5515" t="s">
        <v>44573</v>
      </c>
      <c r="N5515" t="s">
        <v>46569</v>
      </c>
      <c r="O5515" t="s">
        <v>46570</v>
      </c>
      <c r="Q5515">
        <v>8</v>
      </c>
      <c r="R5515" t="s">
        <v>46573</v>
      </c>
      <c r="S5515" t="s">
        <v>46709</v>
      </c>
      <c r="T5515" t="s">
        <v>48291</v>
      </c>
      <c r="U5515" t="s">
        <v>53362</v>
      </c>
      <c r="V5515" t="s">
        <v>62200</v>
      </c>
      <c r="W5515" t="s">
        <v>44573</v>
      </c>
      <c r="X5515" t="s">
        <v>46574</v>
      </c>
    </row>
    <row r="5516" spans="1:24">
      <c r="A5516">
        <f>HYPERLINK("https://www.philgeps.gov.ph/GEPSNONPILOT/Tender/SplashBidNoticeAbstractUI.aspx?menuIndex=3&amp;refID=7059573&amp;Result=3","7059573")</f>
        <v>0</v>
      </c>
      <c r="B5516" t="s">
        <v>1862</v>
      </c>
      <c r="C5516" t="s">
        <v>4928</v>
      </c>
      <c r="D5516" t="s">
        <v>18816</v>
      </c>
      <c r="E5516" t="s">
        <v>23821</v>
      </c>
      <c r="F5516" t="s">
        <v>32664</v>
      </c>
      <c r="G5516" t="s">
        <v>32675</v>
      </c>
      <c r="H5516" t="s">
        <v>12635</v>
      </c>
      <c r="I5516" t="s">
        <v>6628</v>
      </c>
      <c r="J5516" t="s">
        <v>36296</v>
      </c>
      <c r="K5516" t="s">
        <v>42281</v>
      </c>
      <c r="M5516" t="s">
        <v>44574</v>
      </c>
      <c r="N5516" t="s">
        <v>46569</v>
      </c>
      <c r="O5516" t="s">
        <v>46570</v>
      </c>
      <c r="P5516">
        <v>0</v>
      </c>
      <c r="Q5516">
        <v>2</v>
      </c>
      <c r="R5516" t="s">
        <v>46573</v>
      </c>
      <c r="S5516" t="s">
        <v>46705</v>
      </c>
      <c r="T5516" t="s">
        <v>48254</v>
      </c>
      <c r="U5516" t="s">
        <v>53363</v>
      </c>
      <c r="W5516" t="s">
        <v>44574</v>
      </c>
      <c r="X5516" t="s">
        <v>46574</v>
      </c>
    </row>
    <row r="5517" spans="1:24">
      <c r="A5517">
        <f>HYPERLINK("https://www.philgeps.gov.ph/GEPSNONPILOT/Tender/SplashBidNoticeAbstractUI.aspx?menuIndex=3&amp;refID=7059619&amp;Result=3","7059619")</f>
        <v>0</v>
      </c>
      <c r="B5517" t="s">
        <v>1115</v>
      </c>
      <c r="C5517" t="s">
        <v>8791</v>
      </c>
      <c r="D5517" t="s">
        <v>18804</v>
      </c>
      <c r="E5517" t="s">
        <v>23822</v>
      </c>
      <c r="F5517" t="s">
        <v>32664</v>
      </c>
      <c r="G5517" t="s">
        <v>32671</v>
      </c>
      <c r="H5517" t="s">
        <v>12635</v>
      </c>
      <c r="I5517" t="s">
        <v>4439</v>
      </c>
      <c r="J5517" t="s">
        <v>36297</v>
      </c>
      <c r="K5517" t="s">
        <v>42297</v>
      </c>
      <c r="M5517" t="s">
        <v>44575</v>
      </c>
      <c r="N5517" t="s">
        <v>46569</v>
      </c>
      <c r="O5517" t="s">
        <v>46570</v>
      </c>
      <c r="P5517">
        <v>0</v>
      </c>
      <c r="Q5517">
        <v>1</v>
      </c>
      <c r="R5517" t="s">
        <v>46573</v>
      </c>
      <c r="S5517" t="s">
        <v>46705</v>
      </c>
      <c r="T5517" t="s">
        <v>48307</v>
      </c>
      <c r="U5517" t="s">
        <v>53364</v>
      </c>
      <c r="V5517" t="s">
        <v>62201</v>
      </c>
      <c r="W5517" t="s">
        <v>44575</v>
      </c>
      <c r="X5517" t="s">
        <v>46574</v>
      </c>
    </row>
    <row r="5518" spans="1:24">
      <c r="A5518">
        <f>HYPERLINK("https://www.philgeps.gov.ph/GEPSNONPILOT/Tender/SplashBidNoticeAbstractUI.aspx?menuIndex=3&amp;refID=7059569&amp;Result=3","7059569")</f>
        <v>0</v>
      </c>
      <c r="B5518" t="s">
        <v>1610</v>
      </c>
      <c r="C5518" t="s">
        <v>8792</v>
      </c>
      <c r="E5518" t="s">
        <v>23823</v>
      </c>
      <c r="F5518" t="s">
        <v>32664</v>
      </c>
      <c r="G5518" t="s">
        <v>32672</v>
      </c>
      <c r="H5518" t="s">
        <v>12635</v>
      </c>
      <c r="I5518" t="s">
        <v>6628</v>
      </c>
      <c r="J5518" t="s">
        <v>36298</v>
      </c>
      <c r="K5518" t="s">
        <v>42283</v>
      </c>
      <c r="M5518" t="s">
        <v>44289</v>
      </c>
      <c r="N5518" t="s">
        <v>46569</v>
      </c>
      <c r="O5518" t="s">
        <v>46570</v>
      </c>
      <c r="P5518">
        <v>0</v>
      </c>
      <c r="Q5518">
        <v>3</v>
      </c>
      <c r="R5518" t="s">
        <v>46573</v>
      </c>
      <c r="S5518" t="s">
        <v>46705</v>
      </c>
      <c r="T5518" t="s">
        <v>48268</v>
      </c>
      <c r="U5518" t="s">
        <v>53365</v>
      </c>
      <c r="V5518" t="s">
        <v>62202</v>
      </c>
      <c r="W5518" t="s">
        <v>44289</v>
      </c>
      <c r="X5518" t="s">
        <v>46574</v>
      </c>
    </row>
    <row r="5519" spans="1:24">
      <c r="A5519">
        <f>HYPERLINK("https://www.philgeps.gov.ph/GEPSNONPILOT/Tender/SplashBidNoticeAbstractUI.aspx?menuIndex=3&amp;refID=7059618&amp;Result=3","7059618")</f>
        <v>0</v>
      </c>
      <c r="B5519" t="s">
        <v>490</v>
      </c>
      <c r="C5519" t="s">
        <v>8793</v>
      </c>
      <c r="D5519" t="s">
        <v>18805</v>
      </c>
      <c r="E5519" t="s">
        <v>23824</v>
      </c>
      <c r="F5519" t="s">
        <v>32664</v>
      </c>
      <c r="G5519" t="s">
        <v>32671</v>
      </c>
      <c r="H5519" t="s">
        <v>12635</v>
      </c>
      <c r="I5519" t="s">
        <v>5589</v>
      </c>
      <c r="J5519" t="s">
        <v>32853</v>
      </c>
      <c r="K5519" t="s">
        <v>42283</v>
      </c>
      <c r="M5519" t="s">
        <v>43066</v>
      </c>
      <c r="N5519" t="s">
        <v>46569</v>
      </c>
      <c r="O5519" t="s">
        <v>46570</v>
      </c>
      <c r="P5519">
        <v>0</v>
      </c>
      <c r="Q5519">
        <v>0</v>
      </c>
      <c r="R5519" t="s">
        <v>46573</v>
      </c>
      <c r="S5519" t="s">
        <v>46705</v>
      </c>
      <c r="T5519" t="s">
        <v>48436</v>
      </c>
      <c r="U5519" t="s">
        <v>53366</v>
      </c>
      <c r="V5519" t="s">
        <v>62184</v>
      </c>
      <c r="W5519" t="s">
        <v>43066</v>
      </c>
      <c r="X5519" t="s">
        <v>46574</v>
      </c>
    </row>
    <row r="5520" spans="1:24">
      <c r="A5520">
        <f>HYPERLINK("https://www.philgeps.gov.ph/GEPSNONPILOT/Tender/SplashBidNoticeAbstractUI.aspx?menuIndex=3&amp;refID=7059614&amp;Result=3","7059614")</f>
        <v>0</v>
      </c>
      <c r="B5520" t="s">
        <v>398</v>
      </c>
      <c r="C5520" t="s">
        <v>8794</v>
      </c>
      <c r="D5520" t="s">
        <v>18784</v>
      </c>
      <c r="E5520" t="s">
        <v>22542</v>
      </c>
      <c r="F5520" t="s">
        <v>32664</v>
      </c>
      <c r="G5520" t="s">
        <v>32671</v>
      </c>
      <c r="H5520" t="s">
        <v>12635</v>
      </c>
      <c r="I5520" t="s">
        <v>32688</v>
      </c>
      <c r="J5520" t="s">
        <v>33051</v>
      </c>
      <c r="K5520" t="s">
        <v>42289</v>
      </c>
      <c r="M5520" t="s">
        <v>42968</v>
      </c>
      <c r="N5520" t="s">
        <v>46569</v>
      </c>
      <c r="O5520" t="s">
        <v>46570</v>
      </c>
      <c r="P5520">
        <v>0</v>
      </c>
      <c r="Q5520">
        <v>9</v>
      </c>
      <c r="R5520" t="s">
        <v>46573</v>
      </c>
      <c r="S5520" t="s">
        <v>46705</v>
      </c>
      <c r="T5520" t="s">
        <v>48228</v>
      </c>
      <c r="U5520" t="s">
        <v>49491</v>
      </c>
      <c r="W5520" t="s">
        <v>63474</v>
      </c>
      <c r="X5520" t="s">
        <v>46574</v>
      </c>
    </row>
    <row r="5521" spans="1:24">
      <c r="A5521">
        <f>HYPERLINK("https://www.philgeps.gov.ph/GEPSNONPILOT/Tender/SplashBidNoticeAbstractUI.aspx?menuIndex=3&amp;refID=7059571&amp;Result=3","7059571")</f>
        <v>0</v>
      </c>
      <c r="B5521" t="s">
        <v>1839</v>
      </c>
      <c r="C5521" t="s">
        <v>8795</v>
      </c>
      <c r="D5521" t="s">
        <v>18782</v>
      </c>
      <c r="E5521" t="s">
        <v>23825</v>
      </c>
      <c r="F5521" t="s">
        <v>32664</v>
      </c>
      <c r="G5521" t="s">
        <v>32671</v>
      </c>
      <c r="H5521" t="s">
        <v>12635</v>
      </c>
      <c r="I5521" t="s">
        <v>32701</v>
      </c>
      <c r="J5521" t="s">
        <v>36299</v>
      </c>
      <c r="K5521" t="s">
        <v>42281</v>
      </c>
      <c r="M5521" t="s">
        <v>44547</v>
      </c>
      <c r="N5521" t="s">
        <v>46569</v>
      </c>
      <c r="O5521" t="s">
        <v>46570</v>
      </c>
      <c r="P5521">
        <v>0</v>
      </c>
      <c r="Q5521">
        <v>0</v>
      </c>
      <c r="R5521" t="s">
        <v>46573</v>
      </c>
      <c r="S5521" t="s">
        <v>46705</v>
      </c>
      <c r="T5521" t="s">
        <v>48323</v>
      </c>
      <c r="U5521" t="s">
        <v>53367</v>
      </c>
      <c r="W5521" t="s">
        <v>44547</v>
      </c>
      <c r="X5521" t="s">
        <v>46574</v>
      </c>
    </row>
    <row r="5522" spans="1:24">
      <c r="A5522">
        <f>HYPERLINK("https://www.philgeps.gov.ph/GEPSNONPILOT/Tender/SplashBidNoticeAbstractUI.aspx?menuIndex=3&amp;refID=7059605&amp;Result=3","7059605")</f>
        <v>0</v>
      </c>
      <c r="B5522" t="s">
        <v>1726</v>
      </c>
      <c r="C5522" t="s">
        <v>8796</v>
      </c>
      <c r="D5522" t="s">
        <v>18837</v>
      </c>
      <c r="E5522" t="s">
        <v>23826</v>
      </c>
      <c r="F5522" t="s">
        <v>32664</v>
      </c>
      <c r="G5522" t="s">
        <v>32672</v>
      </c>
      <c r="H5522" t="s">
        <v>12635</v>
      </c>
      <c r="I5522" t="s">
        <v>5589</v>
      </c>
      <c r="J5522" t="s">
        <v>36300</v>
      </c>
      <c r="K5522" t="s">
        <v>42297</v>
      </c>
      <c r="M5522" t="s">
        <v>44425</v>
      </c>
      <c r="N5522" t="s">
        <v>46569</v>
      </c>
      <c r="O5522" t="s">
        <v>46570</v>
      </c>
      <c r="P5522">
        <v>0</v>
      </c>
      <c r="Q5522">
        <v>2</v>
      </c>
      <c r="R5522" t="s">
        <v>46573</v>
      </c>
      <c r="S5522" t="s">
        <v>46705</v>
      </c>
      <c r="T5522" t="s">
        <v>48349</v>
      </c>
      <c r="U5522" t="s">
        <v>53368</v>
      </c>
      <c r="V5522" t="s">
        <v>62145</v>
      </c>
      <c r="W5522" t="s">
        <v>44425</v>
      </c>
      <c r="X5522" t="s">
        <v>46574</v>
      </c>
    </row>
    <row r="5523" spans="1:24">
      <c r="A5523">
        <f>HYPERLINK("https://www.philgeps.gov.ph/GEPSNONPILOT/Tender/SplashBidNoticeAbstractUI.aspx?menuIndex=3&amp;refID=7059604&amp;Result=3","7059604")</f>
        <v>0</v>
      </c>
      <c r="B5523" t="s">
        <v>1863</v>
      </c>
      <c r="C5523" t="s">
        <v>8797</v>
      </c>
      <c r="D5523" t="s">
        <v>18783</v>
      </c>
      <c r="E5523" t="s">
        <v>23827</v>
      </c>
      <c r="F5523" t="s">
        <v>32664</v>
      </c>
      <c r="G5523" t="s">
        <v>32671</v>
      </c>
      <c r="H5523" t="s">
        <v>12635</v>
      </c>
      <c r="I5523" t="s">
        <v>8797</v>
      </c>
      <c r="J5523" t="s">
        <v>36301</v>
      </c>
      <c r="K5523" t="s">
        <v>42378</v>
      </c>
      <c r="M5523" t="s">
        <v>44576</v>
      </c>
      <c r="N5523" t="s">
        <v>46569</v>
      </c>
      <c r="O5523" t="s">
        <v>46570</v>
      </c>
      <c r="P5523">
        <v>0</v>
      </c>
      <c r="Q5523">
        <v>1</v>
      </c>
      <c r="R5523" t="s">
        <v>46573</v>
      </c>
      <c r="S5523" t="s">
        <v>46705</v>
      </c>
      <c r="T5523" t="s">
        <v>48307</v>
      </c>
      <c r="U5523" t="s">
        <v>53369</v>
      </c>
      <c r="V5523" t="s">
        <v>62203</v>
      </c>
      <c r="W5523" t="s">
        <v>44576</v>
      </c>
      <c r="X5523" t="s">
        <v>46574</v>
      </c>
    </row>
    <row r="5524" spans="1:24">
      <c r="A5524">
        <f>HYPERLINK("https://www.philgeps.gov.ph/GEPSNONPILOT/Tender/SplashBidNoticeAbstractUI.aspx?menuIndex=3&amp;refID=7059602&amp;Result=3","7059602")</f>
        <v>0</v>
      </c>
      <c r="B5524" t="s">
        <v>1864</v>
      </c>
      <c r="C5524" t="s">
        <v>8762</v>
      </c>
      <c r="D5524" t="s">
        <v>18781</v>
      </c>
      <c r="E5524" t="s">
        <v>21583</v>
      </c>
      <c r="F5524" t="s">
        <v>32664</v>
      </c>
      <c r="G5524" t="s">
        <v>32672</v>
      </c>
      <c r="H5524" t="s">
        <v>12635</v>
      </c>
      <c r="I5524" t="s">
        <v>6223</v>
      </c>
      <c r="J5524" t="s">
        <v>33078</v>
      </c>
      <c r="K5524" t="s">
        <v>42283</v>
      </c>
      <c r="M5524" t="s">
        <v>44577</v>
      </c>
      <c r="N5524" t="s">
        <v>46569</v>
      </c>
      <c r="O5524" t="s">
        <v>46570</v>
      </c>
      <c r="P5524">
        <v>0</v>
      </c>
      <c r="Q5524">
        <v>0</v>
      </c>
      <c r="R5524" t="s">
        <v>46573</v>
      </c>
      <c r="S5524" t="s">
        <v>46705</v>
      </c>
      <c r="T5524" t="s">
        <v>48230</v>
      </c>
      <c r="U5524" t="s">
        <v>53370</v>
      </c>
      <c r="W5524" t="s">
        <v>44577</v>
      </c>
      <c r="X5524" t="s">
        <v>46574</v>
      </c>
    </row>
    <row r="5525" spans="1:24">
      <c r="A5525">
        <f>HYPERLINK("https://www.philgeps.gov.ph/GEPSNONPILOT/Tender/SplashBidNoticeAbstractUI.aspx?menuIndex=3&amp;refID=7059600&amp;Result=3","7059600")</f>
        <v>0</v>
      </c>
      <c r="B5525" t="s">
        <v>1865</v>
      </c>
      <c r="C5525" t="s">
        <v>8798</v>
      </c>
      <c r="D5525" t="s">
        <v>18841</v>
      </c>
      <c r="E5525" t="s">
        <v>23828</v>
      </c>
      <c r="F5525" t="s">
        <v>32664</v>
      </c>
      <c r="G5525" t="s">
        <v>32674</v>
      </c>
      <c r="H5525" t="s">
        <v>12635</v>
      </c>
      <c r="I5525" t="s">
        <v>32706</v>
      </c>
      <c r="J5525" t="s">
        <v>36302</v>
      </c>
      <c r="K5525" t="s">
        <v>42298</v>
      </c>
      <c r="M5525" t="s">
        <v>44578</v>
      </c>
      <c r="N5525" t="s">
        <v>46569</v>
      </c>
      <c r="O5525" t="s">
        <v>46570</v>
      </c>
      <c r="P5525">
        <v>0</v>
      </c>
      <c r="Q5525">
        <v>0</v>
      </c>
      <c r="R5525" t="s">
        <v>46573</v>
      </c>
      <c r="S5525" t="s">
        <v>46705</v>
      </c>
      <c r="T5525" t="s">
        <v>48448</v>
      </c>
      <c r="U5525" t="s">
        <v>53371</v>
      </c>
      <c r="W5525" t="s">
        <v>44578</v>
      </c>
      <c r="X5525" t="s">
        <v>46574</v>
      </c>
    </row>
    <row r="5526" spans="1:24">
      <c r="A5526">
        <f>HYPERLINK("https://www.philgeps.gov.ph/GEPSNONPILOT/Tender/SplashBidNoticeAbstractUI.aspx?menuIndex=3&amp;refID=7059596&amp;Result=3","7059596")</f>
        <v>0</v>
      </c>
      <c r="B5526" t="s">
        <v>1706</v>
      </c>
      <c r="C5526" t="s">
        <v>8799</v>
      </c>
      <c r="D5526" t="s">
        <v>18793</v>
      </c>
      <c r="E5526" t="s">
        <v>23778</v>
      </c>
      <c r="F5526" t="s">
        <v>32664</v>
      </c>
      <c r="G5526" t="s">
        <v>32672</v>
      </c>
      <c r="H5526" t="s">
        <v>12635</v>
      </c>
      <c r="I5526" t="s">
        <v>9486</v>
      </c>
      <c r="J5526" t="s">
        <v>36303</v>
      </c>
      <c r="K5526" t="s">
        <v>42298</v>
      </c>
      <c r="M5526" t="s">
        <v>44400</v>
      </c>
      <c r="N5526" t="s">
        <v>46569</v>
      </c>
      <c r="O5526" t="s">
        <v>46570</v>
      </c>
      <c r="P5526">
        <v>0</v>
      </c>
      <c r="Q5526">
        <v>0</v>
      </c>
      <c r="R5526" t="s">
        <v>46573</v>
      </c>
      <c r="S5526" t="s">
        <v>46705</v>
      </c>
      <c r="T5526" t="s">
        <v>48349</v>
      </c>
      <c r="U5526" t="s">
        <v>53372</v>
      </c>
      <c r="W5526" t="s">
        <v>44400</v>
      </c>
      <c r="X5526" t="s">
        <v>46574</v>
      </c>
    </row>
    <row r="5527" spans="1:24">
      <c r="A5527">
        <f>HYPERLINK("https://www.philgeps.gov.ph/GEPSNONPILOT/Tender/SplashBidNoticeAbstractUI.aspx?menuIndex=3&amp;refID=7059594&amp;Result=3","7059594")</f>
        <v>0</v>
      </c>
      <c r="B5527" t="s">
        <v>1810</v>
      </c>
      <c r="C5527" t="s">
        <v>8800</v>
      </c>
      <c r="D5527" t="s">
        <v>18794</v>
      </c>
      <c r="E5527" t="s">
        <v>23829</v>
      </c>
      <c r="F5527" t="s">
        <v>32664</v>
      </c>
      <c r="G5527" t="s">
        <v>32672</v>
      </c>
      <c r="H5527" t="s">
        <v>12635</v>
      </c>
      <c r="I5527" t="s">
        <v>4333</v>
      </c>
      <c r="J5527" t="s">
        <v>36304</v>
      </c>
      <c r="K5527" t="s">
        <v>42303</v>
      </c>
      <c r="M5527" t="s">
        <v>44515</v>
      </c>
      <c r="N5527" t="s">
        <v>46569</v>
      </c>
      <c r="O5527" t="s">
        <v>46570</v>
      </c>
      <c r="P5527">
        <v>0</v>
      </c>
      <c r="Q5527">
        <v>1</v>
      </c>
      <c r="R5527" t="s">
        <v>46573</v>
      </c>
      <c r="S5527" t="s">
        <v>46705</v>
      </c>
      <c r="T5527" t="s">
        <v>48349</v>
      </c>
      <c r="U5527" t="s">
        <v>53373</v>
      </c>
      <c r="W5527" t="s">
        <v>44515</v>
      </c>
      <c r="X5527" t="s">
        <v>46574</v>
      </c>
    </row>
    <row r="5528" spans="1:24">
      <c r="A5528">
        <f>HYPERLINK("https://www.philgeps.gov.ph/GEPSNONPILOT/Tender/SplashBidNoticeAbstractUI.aspx?menuIndex=3&amp;refID=7059593&amp;Result=3","7059593")</f>
        <v>0</v>
      </c>
      <c r="B5528" t="s">
        <v>1794</v>
      </c>
      <c r="C5528" t="s">
        <v>8801</v>
      </c>
      <c r="D5528" t="s">
        <v>18781</v>
      </c>
      <c r="E5528" t="s">
        <v>23830</v>
      </c>
      <c r="F5528" t="s">
        <v>32664</v>
      </c>
      <c r="G5528" t="s">
        <v>32672</v>
      </c>
      <c r="H5528" t="s">
        <v>32683</v>
      </c>
      <c r="I5528" t="s">
        <v>10627</v>
      </c>
      <c r="J5528" t="s">
        <v>36305</v>
      </c>
      <c r="K5528" t="s">
        <v>42290</v>
      </c>
      <c r="M5528" t="s">
        <v>44579</v>
      </c>
      <c r="N5528" t="s">
        <v>46569</v>
      </c>
      <c r="O5528" t="s">
        <v>46570</v>
      </c>
      <c r="P5528">
        <v>0</v>
      </c>
      <c r="Q5528">
        <v>0</v>
      </c>
      <c r="R5528" t="s">
        <v>46573</v>
      </c>
      <c r="S5528" t="s">
        <v>46705</v>
      </c>
      <c r="T5528" t="s">
        <v>48308</v>
      </c>
      <c r="U5528" t="s">
        <v>53374</v>
      </c>
      <c r="V5528" t="s">
        <v>62204</v>
      </c>
      <c r="W5528" t="s">
        <v>44579</v>
      </c>
      <c r="X5528" t="s">
        <v>46574</v>
      </c>
    </row>
    <row r="5529" spans="1:24">
      <c r="A5529">
        <f>HYPERLINK("https://www.philgeps.gov.ph/GEPSNONPILOT/Tender/SplashBidNoticeAbstractUI.aspx?menuIndex=3&amp;refID=7059612&amp;Result=3","7059612")</f>
        <v>0</v>
      </c>
      <c r="B5529" t="s">
        <v>1866</v>
      </c>
      <c r="C5529" t="s">
        <v>5492</v>
      </c>
      <c r="D5529" t="s">
        <v>18785</v>
      </c>
      <c r="E5529" t="s">
        <v>23831</v>
      </c>
      <c r="F5529" t="s">
        <v>32664</v>
      </c>
      <c r="G5529" t="s">
        <v>32674</v>
      </c>
      <c r="H5529" t="s">
        <v>12635</v>
      </c>
      <c r="I5529" t="s">
        <v>8797</v>
      </c>
      <c r="J5529" t="s">
        <v>36306</v>
      </c>
      <c r="K5529" t="s">
        <v>42284</v>
      </c>
      <c r="M5529" t="s">
        <v>44580</v>
      </c>
      <c r="N5529" t="s">
        <v>46569</v>
      </c>
      <c r="O5529" t="s">
        <v>46570</v>
      </c>
      <c r="P5529">
        <v>0</v>
      </c>
      <c r="Q5529">
        <v>6</v>
      </c>
      <c r="R5529" t="s">
        <v>46573</v>
      </c>
      <c r="S5529" t="s">
        <v>46705</v>
      </c>
      <c r="T5529" t="s">
        <v>48378</v>
      </c>
      <c r="U5529" t="s">
        <v>53375</v>
      </c>
      <c r="W5529" t="s">
        <v>44580</v>
      </c>
      <c r="X5529" t="s">
        <v>46574</v>
      </c>
    </row>
    <row r="5530" spans="1:24">
      <c r="A5530">
        <f>HYPERLINK("https://www.philgeps.gov.ph/GEPSNONPILOT/Tender/SplashBidNoticeAbstractUI.aspx?menuIndex=3&amp;refID=7059651&amp;Result=3","7059651")</f>
        <v>0</v>
      </c>
      <c r="B5530" t="s">
        <v>1867</v>
      </c>
      <c r="C5530" t="s">
        <v>8802</v>
      </c>
      <c r="D5530" t="s">
        <v>18785</v>
      </c>
      <c r="E5530" t="s">
        <v>23832</v>
      </c>
      <c r="F5530" t="s">
        <v>32664</v>
      </c>
      <c r="G5530" t="s">
        <v>32672</v>
      </c>
      <c r="H5530" t="s">
        <v>32683</v>
      </c>
      <c r="I5530" t="s">
        <v>10627</v>
      </c>
      <c r="J5530" t="s">
        <v>32898</v>
      </c>
      <c r="K5530" t="s">
        <v>42283</v>
      </c>
      <c r="M5530" t="s">
        <v>44581</v>
      </c>
      <c r="N5530" t="s">
        <v>46569</v>
      </c>
      <c r="O5530" t="s">
        <v>46570</v>
      </c>
      <c r="P5530">
        <v>0</v>
      </c>
      <c r="Q5530">
        <v>0</v>
      </c>
      <c r="R5530" t="s">
        <v>46573</v>
      </c>
      <c r="S5530" t="s">
        <v>46705</v>
      </c>
      <c r="T5530" t="s">
        <v>48283</v>
      </c>
      <c r="U5530" t="s">
        <v>53376</v>
      </c>
      <c r="W5530" t="s">
        <v>44581</v>
      </c>
      <c r="X5530" t="s">
        <v>46574</v>
      </c>
    </row>
    <row r="5531" spans="1:24">
      <c r="A5531">
        <f>HYPERLINK("https://www.philgeps.gov.ph/GEPSNONPILOT/Tender/SplashBidNoticeAbstractUI.aspx?menuIndex=3&amp;refID=7059649&amp;Result=3","7059649")</f>
        <v>0</v>
      </c>
      <c r="B5531" t="s">
        <v>194</v>
      </c>
      <c r="C5531" t="s">
        <v>8803</v>
      </c>
      <c r="D5531" t="s">
        <v>18791</v>
      </c>
      <c r="E5531" t="s">
        <v>23833</v>
      </c>
      <c r="F5531" t="s">
        <v>32664</v>
      </c>
      <c r="G5531" t="s">
        <v>32671</v>
      </c>
      <c r="H5531" t="s">
        <v>12635</v>
      </c>
      <c r="I5531" t="s">
        <v>7429</v>
      </c>
      <c r="J5531" t="s">
        <v>36307</v>
      </c>
      <c r="K5531" t="s">
        <v>42295</v>
      </c>
      <c r="M5531" t="s">
        <v>42758</v>
      </c>
      <c r="N5531" t="s">
        <v>46569</v>
      </c>
      <c r="O5531" t="s">
        <v>46570</v>
      </c>
      <c r="P5531">
        <v>0</v>
      </c>
      <c r="Q5531">
        <v>0</v>
      </c>
      <c r="R5531" t="s">
        <v>46573</v>
      </c>
      <c r="S5531" t="s">
        <v>46705</v>
      </c>
      <c r="T5531" t="s">
        <v>48290</v>
      </c>
      <c r="U5531" t="s">
        <v>53377</v>
      </c>
      <c r="W5531" t="s">
        <v>42758</v>
      </c>
      <c r="X5531" t="s">
        <v>46574</v>
      </c>
    </row>
    <row r="5532" spans="1:24">
      <c r="A5532">
        <f>HYPERLINK("https://www.philgeps.gov.ph/GEPSNONPILOT/Tender/SplashBidNoticeAbstractUI.aspx?menuIndex=3&amp;refID=7059616&amp;Result=3","7059616")</f>
        <v>0</v>
      </c>
      <c r="B5532" t="s">
        <v>1868</v>
      </c>
      <c r="C5532" t="s">
        <v>8804</v>
      </c>
      <c r="D5532" t="s">
        <v>18817</v>
      </c>
      <c r="E5532" t="s">
        <v>19928</v>
      </c>
      <c r="F5532" t="s">
        <v>32664</v>
      </c>
      <c r="G5532" t="s">
        <v>32672</v>
      </c>
      <c r="H5532" t="s">
        <v>12635</v>
      </c>
      <c r="I5532" t="s">
        <v>4439</v>
      </c>
      <c r="J5532" t="s">
        <v>36308</v>
      </c>
      <c r="K5532" t="s">
        <v>42320</v>
      </c>
      <c r="M5532" t="s">
        <v>44582</v>
      </c>
      <c r="N5532" t="s">
        <v>46569</v>
      </c>
      <c r="O5532" t="s">
        <v>46570</v>
      </c>
      <c r="P5532">
        <v>0</v>
      </c>
      <c r="Q5532">
        <v>0</v>
      </c>
      <c r="R5532" t="s">
        <v>46573</v>
      </c>
      <c r="S5532" t="s">
        <v>46705</v>
      </c>
      <c r="T5532" t="s">
        <v>48410</v>
      </c>
      <c r="U5532" t="s">
        <v>53378</v>
      </c>
      <c r="W5532" t="s">
        <v>44582</v>
      </c>
      <c r="X5532" t="s">
        <v>46574</v>
      </c>
    </row>
    <row r="5533" spans="1:24">
      <c r="A5533">
        <f>HYPERLINK("https://www.philgeps.gov.ph/GEPSNONPILOT/Tender/SplashBidNoticeAbstractUI.aspx?menuIndex=3&amp;refID=7059648&amp;Result=3","7059648")</f>
        <v>0</v>
      </c>
      <c r="B5533" t="s">
        <v>570</v>
      </c>
      <c r="C5533" t="s">
        <v>8805</v>
      </c>
      <c r="E5533" t="s">
        <v>23834</v>
      </c>
      <c r="F5533" t="s">
        <v>32664</v>
      </c>
      <c r="G5533" t="s">
        <v>32676</v>
      </c>
      <c r="H5533" t="s">
        <v>12635</v>
      </c>
      <c r="I5533" t="s">
        <v>4439</v>
      </c>
      <c r="J5533" t="s">
        <v>36309</v>
      </c>
      <c r="K5533" t="s">
        <v>42283</v>
      </c>
      <c r="M5533" t="s">
        <v>43150</v>
      </c>
      <c r="N5533" t="s">
        <v>46569</v>
      </c>
      <c r="O5533" t="s">
        <v>46570</v>
      </c>
      <c r="P5533">
        <v>0</v>
      </c>
      <c r="Q5533">
        <v>0</v>
      </c>
      <c r="R5533" t="s">
        <v>46573</v>
      </c>
      <c r="S5533" t="s">
        <v>46705</v>
      </c>
      <c r="T5533" t="s">
        <v>48282</v>
      </c>
      <c r="U5533" t="s">
        <v>53379</v>
      </c>
      <c r="W5533" t="s">
        <v>43150</v>
      </c>
      <c r="X5533" t="s">
        <v>46574</v>
      </c>
    </row>
    <row r="5534" spans="1:24">
      <c r="A5534">
        <f>HYPERLINK("https://www.philgeps.gov.ph/GEPSNONPILOT/Tender/SplashBidNoticeAbstractUI.aspx?menuIndex=3&amp;refID=7059646&amp;Result=3","7059646")</f>
        <v>0</v>
      </c>
      <c r="B5534" t="s">
        <v>549</v>
      </c>
      <c r="C5534" t="s">
        <v>8806</v>
      </c>
      <c r="D5534" t="s">
        <v>18781</v>
      </c>
      <c r="E5534" t="s">
        <v>23835</v>
      </c>
      <c r="F5534" t="s">
        <v>32664</v>
      </c>
      <c r="G5534" t="s">
        <v>32671</v>
      </c>
      <c r="H5534" t="s">
        <v>12635</v>
      </c>
      <c r="I5534" t="s">
        <v>9486</v>
      </c>
      <c r="J5534" t="s">
        <v>36310</v>
      </c>
      <c r="K5534" t="s">
        <v>42283</v>
      </c>
      <c r="M5534" t="s">
        <v>43129</v>
      </c>
      <c r="N5534" t="s">
        <v>46569</v>
      </c>
      <c r="O5534" t="s">
        <v>46570</v>
      </c>
      <c r="P5534">
        <v>0</v>
      </c>
      <c r="Q5534">
        <v>2</v>
      </c>
      <c r="R5534" t="s">
        <v>46573</v>
      </c>
      <c r="S5534" t="s">
        <v>46705</v>
      </c>
      <c r="T5534" t="s">
        <v>48492</v>
      </c>
      <c r="U5534" t="s">
        <v>53380</v>
      </c>
      <c r="W5534" t="s">
        <v>43129</v>
      </c>
      <c r="X5534" t="s">
        <v>46574</v>
      </c>
    </row>
    <row r="5535" spans="1:24">
      <c r="A5535">
        <f>HYPERLINK("https://www.philgeps.gov.ph/GEPSNONPILOT/Tender/SplashBidNoticeAbstractUI.aspx?menuIndex=3&amp;refID=7059620&amp;Result=3","7059620")</f>
        <v>0</v>
      </c>
      <c r="B5535" t="s">
        <v>55</v>
      </c>
      <c r="C5535" t="s">
        <v>6168</v>
      </c>
      <c r="D5535" t="s">
        <v>18804</v>
      </c>
      <c r="E5535" t="s">
        <v>23836</v>
      </c>
      <c r="F5535" t="s">
        <v>32664</v>
      </c>
      <c r="G5535" t="s">
        <v>32675</v>
      </c>
      <c r="H5535" t="s">
        <v>12635</v>
      </c>
      <c r="I5535" t="s">
        <v>6168</v>
      </c>
      <c r="J5535" t="s">
        <v>36311</v>
      </c>
      <c r="K5535" t="s">
        <v>42281</v>
      </c>
      <c r="M5535" t="s">
        <v>44583</v>
      </c>
      <c r="N5535" t="s">
        <v>46569</v>
      </c>
      <c r="O5535" t="s">
        <v>46570</v>
      </c>
      <c r="P5535">
        <v>0</v>
      </c>
      <c r="Q5535">
        <v>3</v>
      </c>
      <c r="R5535" t="s">
        <v>46573</v>
      </c>
      <c r="S5535" t="s">
        <v>46705</v>
      </c>
      <c r="T5535" t="s">
        <v>48285</v>
      </c>
      <c r="U5535" t="s">
        <v>53381</v>
      </c>
      <c r="W5535" t="s">
        <v>44583</v>
      </c>
      <c r="X5535" t="s">
        <v>46574</v>
      </c>
    </row>
    <row r="5536" spans="1:24">
      <c r="A5536">
        <f>HYPERLINK("https://www.philgeps.gov.ph/GEPSNONPILOT/Tender/SplashBidNoticeAbstractUI.aspx?menuIndex=3&amp;refID=7059645&amp;Result=3","7059645")</f>
        <v>0</v>
      </c>
      <c r="B5536" t="s">
        <v>189</v>
      </c>
      <c r="C5536" t="s">
        <v>8807</v>
      </c>
      <c r="E5536" t="s">
        <v>23837</v>
      </c>
      <c r="F5536" t="s">
        <v>32664</v>
      </c>
      <c r="G5536" t="s">
        <v>32671</v>
      </c>
      <c r="H5536" t="s">
        <v>12635</v>
      </c>
      <c r="I5536" t="s">
        <v>32746</v>
      </c>
      <c r="J5536" t="s">
        <v>34340</v>
      </c>
      <c r="K5536" t="s">
        <v>42289</v>
      </c>
      <c r="M5536" t="s">
        <v>42753</v>
      </c>
      <c r="N5536" t="s">
        <v>46569</v>
      </c>
      <c r="O5536" t="s">
        <v>46570</v>
      </c>
      <c r="P5536">
        <v>0</v>
      </c>
      <c r="Q5536">
        <v>3</v>
      </c>
      <c r="R5536" t="s">
        <v>46573</v>
      </c>
      <c r="S5536" t="s">
        <v>46705</v>
      </c>
      <c r="T5536" t="s">
        <v>48246</v>
      </c>
      <c r="U5536" t="s">
        <v>53382</v>
      </c>
      <c r="W5536" t="s">
        <v>42753</v>
      </c>
      <c r="X5536" t="s">
        <v>46574</v>
      </c>
    </row>
    <row r="5537" spans="1:24">
      <c r="A5537">
        <f>HYPERLINK("https://www.philgeps.gov.ph/GEPSNONPILOT/Tender/SplashBidNoticeAbstractUI.aspx?menuIndex=3&amp;refID=7059643&amp;Result=3","7059643")</f>
        <v>0</v>
      </c>
      <c r="B5537" t="s">
        <v>1869</v>
      </c>
      <c r="C5537" t="s">
        <v>8808</v>
      </c>
      <c r="D5537" t="s">
        <v>18784</v>
      </c>
      <c r="E5537" t="s">
        <v>23838</v>
      </c>
      <c r="F5537" t="s">
        <v>32664</v>
      </c>
      <c r="G5537" t="s">
        <v>32671</v>
      </c>
      <c r="H5537" t="s">
        <v>32682</v>
      </c>
      <c r="I5537" t="s">
        <v>5589</v>
      </c>
      <c r="J5537" t="s">
        <v>33657</v>
      </c>
      <c r="K5537" t="s">
        <v>42289</v>
      </c>
      <c r="M5537" t="s">
        <v>44584</v>
      </c>
      <c r="N5537" t="s">
        <v>46569</v>
      </c>
      <c r="O5537" t="s">
        <v>46570</v>
      </c>
      <c r="P5537">
        <v>0</v>
      </c>
      <c r="Q5537">
        <v>1</v>
      </c>
      <c r="R5537" t="s">
        <v>46573</v>
      </c>
      <c r="S5537" t="s">
        <v>46705</v>
      </c>
      <c r="T5537" t="s">
        <v>48492</v>
      </c>
      <c r="U5537" t="s">
        <v>53383</v>
      </c>
      <c r="W5537" t="s">
        <v>44584</v>
      </c>
      <c r="X5537" t="s">
        <v>46574</v>
      </c>
    </row>
    <row r="5538" spans="1:24">
      <c r="A5538">
        <f>HYPERLINK("https://www.philgeps.gov.ph/GEPSNONPILOT/Tender/SplashBidNoticeAbstractUI.aspx?menuIndex=3&amp;refID=7059638&amp;Result=3","7059638")</f>
        <v>0</v>
      </c>
      <c r="B5538" t="s">
        <v>1852</v>
      </c>
      <c r="C5538" t="s">
        <v>8809</v>
      </c>
      <c r="D5538" t="s">
        <v>18832</v>
      </c>
      <c r="E5538" t="s">
        <v>23839</v>
      </c>
      <c r="F5538" t="s">
        <v>32664</v>
      </c>
      <c r="G5538" t="s">
        <v>32672</v>
      </c>
      <c r="H5538" t="s">
        <v>32683</v>
      </c>
      <c r="I5538" t="s">
        <v>10627</v>
      </c>
      <c r="J5538" t="s">
        <v>36312</v>
      </c>
      <c r="K5538" t="s">
        <v>42298</v>
      </c>
      <c r="L5538" t="s">
        <v>1852</v>
      </c>
      <c r="M5538" t="s">
        <v>44561</v>
      </c>
      <c r="N5538" t="s">
        <v>46569</v>
      </c>
      <c r="O5538" t="s">
        <v>46570</v>
      </c>
      <c r="P5538">
        <v>0</v>
      </c>
      <c r="Q5538">
        <v>1</v>
      </c>
      <c r="R5538" t="s">
        <v>46573</v>
      </c>
      <c r="S5538" t="s">
        <v>46705</v>
      </c>
      <c r="T5538" t="s">
        <v>48546</v>
      </c>
      <c r="U5538" t="s">
        <v>53313</v>
      </c>
      <c r="W5538" t="s">
        <v>44561</v>
      </c>
      <c r="X5538" t="s">
        <v>46574</v>
      </c>
    </row>
    <row r="5539" spans="1:24">
      <c r="A5539">
        <f>HYPERLINK("https://www.philgeps.gov.ph/GEPSNONPILOT/Tender/SplashBidNoticeAbstractUI.aspx?menuIndex=3&amp;refID=7059647&amp;Result=3","7059647")</f>
        <v>0</v>
      </c>
      <c r="B5539" t="s">
        <v>844</v>
      </c>
      <c r="C5539" t="s">
        <v>8810</v>
      </c>
      <c r="D5539" t="s">
        <v>18805</v>
      </c>
      <c r="E5539" t="s">
        <v>23840</v>
      </c>
      <c r="F5539" t="s">
        <v>32664</v>
      </c>
      <c r="G5539" t="s">
        <v>32677</v>
      </c>
      <c r="H5539" t="s">
        <v>12635</v>
      </c>
      <c r="I5539" t="s">
        <v>10374</v>
      </c>
      <c r="J5539" t="s">
        <v>36313</v>
      </c>
      <c r="K5539" t="s">
        <v>42306</v>
      </c>
      <c r="M5539" t="s">
        <v>43439</v>
      </c>
      <c r="N5539" t="s">
        <v>46569</v>
      </c>
      <c r="O5539" t="s">
        <v>46570</v>
      </c>
      <c r="P5539">
        <v>0</v>
      </c>
      <c r="Q5539">
        <v>1</v>
      </c>
      <c r="R5539" t="s">
        <v>46573</v>
      </c>
      <c r="S5539" t="s">
        <v>46705</v>
      </c>
      <c r="T5539" t="s">
        <v>48443</v>
      </c>
      <c r="U5539" t="s">
        <v>53384</v>
      </c>
      <c r="W5539" t="s">
        <v>43439</v>
      </c>
      <c r="X5539" t="s">
        <v>46574</v>
      </c>
    </row>
    <row r="5540" spans="1:24">
      <c r="A5540">
        <f>HYPERLINK("https://www.philgeps.gov.ph/GEPSNONPILOT/Tender/SplashBidNoticeAbstractUI.aspx?menuIndex=3&amp;refID=7059637&amp;Result=3","7059637")</f>
        <v>0</v>
      </c>
      <c r="B5540" t="s">
        <v>175</v>
      </c>
      <c r="C5540" t="s">
        <v>8811</v>
      </c>
      <c r="D5540" t="s">
        <v>18784</v>
      </c>
      <c r="E5540" t="s">
        <v>23841</v>
      </c>
      <c r="F5540" t="s">
        <v>32664</v>
      </c>
      <c r="G5540" t="s">
        <v>32675</v>
      </c>
      <c r="H5540" t="s">
        <v>12635</v>
      </c>
      <c r="I5540" t="s">
        <v>8730</v>
      </c>
      <c r="J5540" t="s">
        <v>36314</v>
      </c>
      <c r="K5540" t="s">
        <v>42284</v>
      </c>
      <c r="M5540" t="s">
        <v>42739</v>
      </c>
      <c r="N5540" t="s">
        <v>46569</v>
      </c>
      <c r="O5540" t="s">
        <v>46570</v>
      </c>
      <c r="P5540">
        <v>0</v>
      </c>
      <c r="Q5540">
        <v>11</v>
      </c>
      <c r="R5540" t="s">
        <v>46573</v>
      </c>
      <c r="S5540" t="s">
        <v>46705</v>
      </c>
      <c r="T5540" t="s">
        <v>48290</v>
      </c>
      <c r="U5540" t="s">
        <v>53385</v>
      </c>
      <c r="V5540" t="s">
        <v>61661</v>
      </c>
      <c r="W5540" t="s">
        <v>42739</v>
      </c>
      <c r="X5540" t="s">
        <v>46574</v>
      </c>
    </row>
    <row r="5541" spans="1:24">
      <c r="A5541">
        <f>HYPERLINK("https://www.philgeps.gov.ph/GEPSNONPILOT/Tender/SplashBidNoticeAbstractUI.aspx?menuIndex=3&amp;refID=7059632&amp;Result=3","7059632")</f>
        <v>0</v>
      </c>
      <c r="B5541" t="s">
        <v>1870</v>
      </c>
      <c r="C5541" t="s">
        <v>8812</v>
      </c>
      <c r="E5541" t="s">
        <v>23842</v>
      </c>
      <c r="F5541" t="s">
        <v>32664</v>
      </c>
      <c r="G5541" t="s">
        <v>32672</v>
      </c>
      <c r="H5541" t="s">
        <v>12635</v>
      </c>
      <c r="I5541" t="s">
        <v>4439</v>
      </c>
      <c r="J5541" t="s">
        <v>36315</v>
      </c>
      <c r="K5541" t="s">
        <v>42283</v>
      </c>
      <c r="M5541" t="s">
        <v>44585</v>
      </c>
      <c r="N5541" t="s">
        <v>46569</v>
      </c>
      <c r="O5541" t="s">
        <v>46570</v>
      </c>
      <c r="P5541">
        <v>0</v>
      </c>
      <c r="Q5541">
        <v>0</v>
      </c>
      <c r="R5541" t="s">
        <v>46573</v>
      </c>
      <c r="S5541" t="s">
        <v>46705</v>
      </c>
      <c r="T5541" t="s">
        <v>48305</v>
      </c>
      <c r="U5541" t="s">
        <v>53386</v>
      </c>
      <c r="W5541" t="s">
        <v>44585</v>
      </c>
      <c r="X5541" t="s">
        <v>46574</v>
      </c>
    </row>
    <row r="5542" spans="1:24">
      <c r="A5542">
        <f>HYPERLINK("https://www.philgeps.gov.ph/GEPSNONPILOT/Tender/SplashBidNoticeAbstractUI.aspx?menuIndex=3&amp;refID=7059644&amp;Result=3","7059644")</f>
        <v>0</v>
      </c>
      <c r="B5542" t="s">
        <v>1870</v>
      </c>
      <c r="C5542" t="s">
        <v>8813</v>
      </c>
      <c r="E5542" t="s">
        <v>23843</v>
      </c>
      <c r="F5542" t="s">
        <v>32664</v>
      </c>
      <c r="G5542" t="s">
        <v>32672</v>
      </c>
      <c r="H5542" t="s">
        <v>12635</v>
      </c>
      <c r="I5542" t="s">
        <v>4439</v>
      </c>
      <c r="J5542" t="s">
        <v>36316</v>
      </c>
      <c r="K5542" t="s">
        <v>42283</v>
      </c>
      <c r="M5542" t="s">
        <v>44585</v>
      </c>
      <c r="N5542" t="s">
        <v>46569</v>
      </c>
      <c r="O5542" t="s">
        <v>46570</v>
      </c>
      <c r="P5542">
        <v>0</v>
      </c>
      <c r="Q5542">
        <v>0</v>
      </c>
      <c r="R5542" t="s">
        <v>46573</v>
      </c>
      <c r="S5542" t="s">
        <v>46705</v>
      </c>
      <c r="T5542" t="s">
        <v>48305</v>
      </c>
      <c r="U5542" t="s">
        <v>53387</v>
      </c>
      <c r="W5542" t="s">
        <v>44585</v>
      </c>
      <c r="X5542" t="s">
        <v>46574</v>
      </c>
    </row>
    <row r="5543" spans="1:24">
      <c r="A5543">
        <f>HYPERLINK("https://www.philgeps.gov.ph/GEPSNONPILOT/Tender/SplashBidNoticeAbstractUI.aspx?menuIndex=3&amp;refID=7059641&amp;Result=3","7059641")</f>
        <v>0</v>
      </c>
      <c r="B5543" t="s">
        <v>1871</v>
      </c>
      <c r="C5543" t="s">
        <v>8814</v>
      </c>
      <c r="D5543" t="s">
        <v>18826</v>
      </c>
      <c r="E5543" t="s">
        <v>23844</v>
      </c>
      <c r="F5543" t="s">
        <v>32664</v>
      </c>
      <c r="G5543" t="s">
        <v>32671</v>
      </c>
      <c r="H5543" t="s">
        <v>32683</v>
      </c>
      <c r="I5543" t="s">
        <v>10627</v>
      </c>
      <c r="J5543" t="s">
        <v>36317</v>
      </c>
      <c r="K5543" t="s">
        <v>42281</v>
      </c>
      <c r="M5543" t="s">
        <v>44586</v>
      </c>
      <c r="N5543" t="s">
        <v>46569</v>
      </c>
      <c r="O5543" t="s">
        <v>46570</v>
      </c>
      <c r="P5543">
        <v>0</v>
      </c>
      <c r="Q5543">
        <v>0</v>
      </c>
      <c r="R5543" t="s">
        <v>46573</v>
      </c>
      <c r="S5543" t="s">
        <v>46705</v>
      </c>
      <c r="T5543" t="s">
        <v>48316</v>
      </c>
      <c r="U5543" t="s">
        <v>53388</v>
      </c>
      <c r="V5543" t="s">
        <v>62205</v>
      </c>
      <c r="W5543" t="s">
        <v>44586</v>
      </c>
      <c r="X5543" t="s">
        <v>46574</v>
      </c>
    </row>
    <row r="5544" spans="1:24">
      <c r="A5544">
        <f>HYPERLINK("https://www.philgeps.gov.ph/GEPSNONPILOT/Tender/SplashBidNoticeAbstractUI.aspx?menuIndex=3&amp;refID=7059631&amp;Result=3","7059631")</f>
        <v>0</v>
      </c>
      <c r="B5544" t="s">
        <v>1811</v>
      </c>
      <c r="C5544" t="s">
        <v>8815</v>
      </c>
      <c r="D5544" t="s">
        <v>18805</v>
      </c>
      <c r="E5544" t="s">
        <v>23845</v>
      </c>
      <c r="F5544" t="s">
        <v>32664</v>
      </c>
      <c r="G5544" t="s">
        <v>32672</v>
      </c>
      <c r="H5544" t="s">
        <v>12635</v>
      </c>
      <c r="I5544" t="s">
        <v>32694</v>
      </c>
      <c r="J5544" t="s">
        <v>33824</v>
      </c>
      <c r="K5544" t="s">
        <v>42283</v>
      </c>
      <c r="M5544" t="s">
        <v>44517</v>
      </c>
      <c r="N5544" t="s">
        <v>46569</v>
      </c>
      <c r="O5544" t="s">
        <v>46570</v>
      </c>
      <c r="P5544">
        <v>0</v>
      </c>
      <c r="Q5544">
        <v>0</v>
      </c>
      <c r="R5544" t="s">
        <v>46573</v>
      </c>
      <c r="S5544" t="s">
        <v>46705</v>
      </c>
      <c r="T5544" t="s">
        <v>48411</v>
      </c>
      <c r="U5544" t="s">
        <v>53389</v>
      </c>
      <c r="V5544" t="s">
        <v>62197</v>
      </c>
      <c r="W5544" t="s">
        <v>44517</v>
      </c>
      <c r="X5544" t="s">
        <v>46574</v>
      </c>
    </row>
    <row r="5545" spans="1:24">
      <c r="A5545">
        <f>HYPERLINK("https://www.philgeps.gov.ph/GEPSNONPILOT/Tender/SplashBidNoticeAbstractUI.aspx?menuIndex=3&amp;refID=7059629&amp;Result=3","7059629")</f>
        <v>0</v>
      </c>
      <c r="B5545" t="s">
        <v>1093</v>
      </c>
      <c r="C5545" t="s">
        <v>8816</v>
      </c>
      <c r="D5545" t="s">
        <v>18784</v>
      </c>
      <c r="E5545" t="s">
        <v>23846</v>
      </c>
      <c r="F5545" t="s">
        <v>32664</v>
      </c>
      <c r="G5545" t="s">
        <v>32671</v>
      </c>
      <c r="H5545" t="s">
        <v>12635</v>
      </c>
      <c r="I5545" t="s">
        <v>32775</v>
      </c>
      <c r="J5545" t="s">
        <v>32974</v>
      </c>
      <c r="K5545" t="s">
        <v>42289</v>
      </c>
      <c r="M5545" t="s">
        <v>43720</v>
      </c>
      <c r="N5545" t="s">
        <v>46569</v>
      </c>
      <c r="O5545" t="s">
        <v>46570</v>
      </c>
      <c r="P5545">
        <v>0</v>
      </c>
      <c r="Q5545">
        <v>2</v>
      </c>
      <c r="R5545" t="s">
        <v>46573</v>
      </c>
      <c r="S5545" t="s">
        <v>46705</v>
      </c>
      <c r="T5545" t="s">
        <v>48307</v>
      </c>
      <c r="U5545" t="s">
        <v>53390</v>
      </c>
      <c r="V5545" t="s">
        <v>61652</v>
      </c>
      <c r="W5545" t="s">
        <v>43720</v>
      </c>
      <c r="X5545" t="s">
        <v>46574</v>
      </c>
    </row>
    <row r="5546" spans="1:24">
      <c r="A5546">
        <f>HYPERLINK("https://www.philgeps.gov.ph/GEPSNONPILOT/Tender/SplashBidNoticeAbstractUI.aspx?menuIndex=3&amp;refID=7059624&amp;Result=3","7059624")</f>
        <v>0</v>
      </c>
      <c r="B5546" t="s">
        <v>951</v>
      </c>
      <c r="C5546" t="s">
        <v>8817</v>
      </c>
      <c r="D5546" t="s">
        <v>18787</v>
      </c>
      <c r="E5546" t="s">
        <v>23847</v>
      </c>
      <c r="F5546" t="s">
        <v>32664</v>
      </c>
      <c r="G5546" t="s">
        <v>32672</v>
      </c>
      <c r="H5546" t="s">
        <v>12635</v>
      </c>
      <c r="I5546" t="s">
        <v>32708</v>
      </c>
      <c r="J5546" t="s">
        <v>36318</v>
      </c>
      <c r="K5546" t="s">
        <v>42283</v>
      </c>
      <c r="M5546" t="s">
        <v>44587</v>
      </c>
      <c r="N5546" t="s">
        <v>46569</v>
      </c>
      <c r="O5546" t="s">
        <v>46570</v>
      </c>
      <c r="P5546">
        <v>0</v>
      </c>
      <c r="Q5546">
        <v>40</v>
      </c>
      <c r="R5546" t="s">
        <v>46573</v>
      </c>
      <c r="S5546" t="s">
        <v>46705</v>
      </c>
      <c r="T5546" t="s">
        <v>48302</v>
      </c>
      <c r="U5546" t="s">
        <v>53391</v>
      </c>
      <c r="W5546" t="s">
        <v>44587</v>
      </c>
      <c r="X5546" t="s">
        <v>46574</v>
      </c>
    </row>
    <row r="5547" spans="1:24">
      <c r="A5547">
        <f>HYPERLINK("https://www.philgeps.gov.ph/GEPSNONPILOT/Tender/SplashBidNoticeAbstractUI.aspx?menuIndex=3&amp;refID=7059630&amp;Result=3","7059630")</f>
        <v>0</v>
      </c>
      <c r="B5547" t="s">
        <v>1794</v>
      </c>
      <c r="C5547" t="s">
        <v>8818</v>
      </c>
      <c r="D5547" t="s">
        <v>18781</v>
      </c>
      <c r="E5547" t="s">
        <v>23848</v>
      </c>
      <c r="F5547" t="s">
        <v>32664</v>
      </c>
      <c r="G5547" t="s">
        <v>32676</v>
      </c>
      <c r="H5547" t="s">
        <v>32683</v>
      </c>
      <c r="I5547" t="s">
        <v>10627</v>
      </c>
      <c r="J5547" t="s">
        <v>32984</v>
      </c>
      <c r="K5547" t="s">
        <v>42297</v>
      </c>
      <c r="M5547" t="s">
        <v>44579</v>
      </c>
      <c r="N5547" t="s">
        <v>46569</v>
      </c>
      <c r="O5547" t="s">
        <v>46570</v>
      </c>
      <c r="P5547">
        <v>0</v>
      </c>
      <c r="Q5547">
        <v>3</v>
      </c>
      <c r="R5547" t="s">
        <v>46573</v>
      </c>
      <c r="S5547" t="s">
        <v>46705</v>
      </c>
      <c r="T5547" t="s">
        <v>48450</v>
      </c>
      <c r="U5547" t="s">
        <v>53392</v>
      </c>
      <c r="V5547" t="s">
        <v>62206</v>
      </c>
      <c r="W5547" t="s">
        <v>44579</v>
      </c>
      <c r="X5547" t="s">
        <v>46574</v>
      </c>
    </row>
    <row r="5548" spans="1:24">
      <c r="A5548">
        <f>HYPERLINK("https://www.philgeps.gov.ph/GEPSNONPILOT/Tender/SplashBidNoticeAbstractUI.aspx?menuIndex=3&amp;refID=7059540&amp;Result=3","7059540")</f>
        <v>0</v>
      </c>
      <c r="B5548" t="s">
        <v>570</v>
      </c>
      <c r="C5548" t="s">
        <v>8819</v>
      </c>
      <c r="E5548" t="s">
        <v>23849</v>
      </c>
      <c r="F5548" t="s">
        <v>32664</v>
      </c>
      <c r="G5548" t="s">
        <v>32672</v>
      </c>
      <c r="H5548" t="s">
        <v>32683</v>
      </c>
      <c r="I5548" t="s">
        <v>10627</v>
      </c>
      <c r="J5548" t="s">
        <v>32981</v>
      </c>
      <c r="K5548" t="s">
        <v>42311</v>
      </c>
      <c r="M5548" t="s">
        <v>43150</v>
      </c>
      <c r="N5548" t="s">
        <v>46569</v>
      </c>
      <c r="O5548" t="s">
        <v>46570</v>
      </c>
      <c r="P5548">
        <v>0</v>
      </c>
      <c r="Q5548">
        <v>0</v>
      </c>
      <c r="R5548" t="s">
        <v>46573</v>
      </c>
      <c r="S5548" t="s">
        <v>46705</v>
      </c>
      <c r="T5548" t="s">
        <v>48274</v>
      </c>
      <c r="U5548" t="s">
        <v>53393</v>
      </c>
      <c r="W5548" t="s">
        <v>43150</v>
      </c>
      <c r="X5548" t="s">
        <v>46574</v>
      </c>
    </row>
    <row r="5549" spans="1:24">
      <c r="A5549">
        <f>HYPERLINK("https://www.philgeps.gov.ph/GEPSNONPILOT/Tender/SplashBidNoticeAbstractUI.aspx?menuIndex=3&amp;refID=7059686&amp;Result=3","7059686")</f>
        <v>0</v>
      </c>
      <c r="B5549" t="s">
        <v>687</v>
      </c>
      <c r="C5549" t="s">
        <v>8820</v>
      </c>
      <c r="D5549" t="s">
        <v>18805</v>
      </c>
      <c r="E5549" t="s">
        <v>23850</v>
      </c>
      <c r="F5549" t="s">
        <v>32664</v>
      </c>
      <c r="G5549" t="s">
        <v>32678</v>
      </c>
      <c r="H5549" t="s">
        <v>32681</v>
      </c>
      <c r="I5549" t="s">
        <v>32681</v>
      </c>
      <c r="J5549" t="s">
        <v>33551</v>
      </c>
      <c r="K5549" t="s">
        <v>42283</v>
      </c>
      <c r="M5549" t="s">
        <v>43274</v>
      </c>
      <c r="N5549" t="s">
        <v>46569</v>
      </c>
      <c r="O5549" t="s">
        <v>46570</v>
      </c>
      <c r="P5549">
        <v>0</v>
      </c>
      <c r="Q5549">
        <v>0</v>
      </c>
      <c r="R5549" t="s">
        <v>46573</v>
      </c>
      <c r="S5549" t="s">
        <v>46705</v>
      </c>
      <c r="T5549" t="s">
        <v>48228</v>
      </c>
      <c r="U5549" t="s">
        <v>53394</v>
      </c>
      <c r="W5549" t="s">
        <v>43274</v>
      </c>
      <c r="X5549" t="s">
        <v>46574</v>
      </c>
    </row>
    <row r="5550" spans="1:24">
      <c r="A5550">
        <f>HYPERLINK("https://www.philgeps.gov.ph/GEPSNONPILOT/Tender/SplashBidNoticeAbstractUI.aspx?menuIndex=3&amp;refID=7059683&amp;Result=3","7059683")</f>
        <v>0</v>
      </c>
      <c r="B5550" t="s">
        <v>536</v>
      </c>
      <c r="C5550" t="s">
        <v>6154</v>
      </c>
      <c r="D5550" t="s">
        <v>18786</v>
      </c>
      <c r="E5550" t="s">
        <v>23851</v>
      </c>
      <c r="F5550" t="s">
        <v>32664</v>
      </c>
      <c r="G5550" t="s">
        <v>32671</v>
      </c>
      <c r="H5550" t="s">
        <v>12635</v>
      </c>
      <c r="I5550" t="s">
        <v>32719</v>
      </c>
      <c r="J5550" t="s">
        <v>36319</v>
      </c>
      <c r="K5550" t="s">
        <v>42297</v>
      </c>
      <c r="M5550" t="s">
        <v>43114</v>
      </c>
      <c r="N5550" t="s">
        <v>46569</v>
      </c>
      <c r="O5550" t="s">
        <v>46570</v>
      </c>
      <c r="P5550">
        <v>0</v>
      </c>
      <c r="Q5550">
        <v>2</v>
      </c>
      <c r="R5550" t="s">
        <v>46573</v>
      </c>
      <c r="S5550" t="s">
        <v>46705</v>
      </c>
      <c r="T5550" t="s">
        <v>48268</v>
      </c>
      <c r="U5550" t="s">
        <v>53395</v>
      </c>
      <c r="W5550" t="s">
        <v>43114</v>
      </c>
      <c r="X5550" t="s">
        <v>46574</v>
      </c>
    </row>
    <row r="5551" spans="1:24">
      <c r="A5551">
        <f>HYPERLINK("https://www.philgeps.gov.ph/GEPSNONPILOT/Tender/SplashBidNoticeAbstractUI.aspx?menuIndex=3&amp;refID=7059679&amp;Result=3","7059679")</f>
        <v>0</v>
      </c>
      <c r="B5551" t="s">
        <v>1475</v>
      </c>
      <c r="C5551" t="s">
        <v>8821</v>
      </c>
      <c r="D5551" t="s">
        <v>18783</v>
      </c>
      <c r="E5551" t="s">
        <v>23852</v>
      </c>
      <c r="F5551" t="s">
        <v>32664</v>
      </c>
      <c r="G5551" t="s">
        <v>32672</v>
      </c>
      <c r="H5551" t="s">
        <v>12635</v>
      </c>
      <c r="I5551" t="s">
        <v>32706</v>
      </c>
      <c r="J5551" t="s">
        <v>36320</v>
      </c>
      <c r="K5551" t="s">
        <v>42281</v>
      </c>
      <c r="M5551" t="s">
        <v>44137</v>
      </c>
      <c r="N5551" t="s">
        <v>46569</v>
      </c>
      <c r="O5551" t="s">
        <v>46570</v>
      </c>
      <c r="P5551">
        <v>0</v>
      </c>
      <c r="Q5551">
        <v>1</v>
      </c>
      <c r="R5551" t="s">
        <v>46573</v>
      </c>
      <c r="S5551" t="s">
        <v>46705</v>
      </c>
      <c r="T5551" t="s">
        <v>48349</v>
      </c>
      <c r="U5551" t="s">
        <v>53396</v>
      </c>
      <c r="W5551" t="s">
        <v>44137</v>
      </c>
      <c r="X5551" t="s">
        <v>46574</v>
      </c>
    </row>
    <row r="5552" spans="1:24">
      <c r="A5552">
        <f>HYPERLINK("https://www.philgeps.gov.ph/GEPSNONPILOT/Tender/SplashBidNoticeAbstractUI.aspx?menuIndex=3&amp;refID=7059676&amp;Result=3","7059676")</f>
        <v>0</v>
      </c>
      <c r="B5552" t="s">
        <v>1872</v>
      </c>
      <c r="C5552" t="s">
        <v>8822</v>
      </c>
      <c r="D5552" t="s">
        <v>18850</v>
      </c>
      <c r="E5552" t="s">
        <v>23853</v>
      </c>
      <c r="F5552" t="s">
        <v>32664</v>
      </c>
      <c r="G5552" t="s">
        <v>32672</v>
      </c>
      <c r="H5552" t="s">
        <v>12635</v>
      </c>
      <c r="I5552" t="s">
        <v>6168</v>
      </c>
      <c r="J5552" t="s">
        <v>36321</v>
      </c>
      <c r="K5552" t="s">
        <v>42281</v>
      </c>
      <c r="M5552" t="s">
        <v>44588</v>
      </c>
      <c r="N5552" t="s">
        <v>46569</v>
      </c>
      <c r="O5552" t="s">
        <v>46570</v>
      </c>
      <c r="P5552">
        <v>0</v>
      </c>
      <c r="Q5552">
        <v>0</v>
      </c>
      <c r="R5552" t="s">
        <v>46573</v>
      </c>
      <c r="S5552" t="s">
        <v>46705</v>
      </c>
      <c r="T5552" t="s">
        <v>48315</v>
      </c>
      <c r="U5552" t="s">
        <v>53397</v>
      </c>
      <c r="W5552" t="s">
        <v>44588</v>
      </c>
      <c r="X5552" t="s">
        <v>46574</v>
      </c>
    </row>
    <row r="5553" spans="1:24">
      <c r="A5553">
        <f>HYPERLINK("https://www.philgeps.gov.ph/GEPSNONPILOT/Tender/SplashBidNoticeAbstractUI.aspx?menuIndex=3&amp;refID=7059673&amp;Result=3","7059673")</f>
        <v>0</v>
      </c>
      <c r="B5553" t="s">
        <v>1873</v>
      </c>
      <c r="C5553" t="s">
        <v>8823</v>
      </c>
      <c r="D5553" t="s">
        <v>18787</v>
      </c>
      <c r="E5553" t="s">
        <v>23854</v>
      </c>
      <c r="F5553" t="s">
        <v>32664</v>
      </c>
      <c r="G5553" t="s">
        <v>32671</v>
      </c>
      <c r="H5553" t="s">
        <v>12635</v>
      </c>
      <c r="I5553" t="s">
        <v>4439</v>
      </c>
      <c r="J5553" t="s">
        <v>32898</v>
      </c>
      <c r="K5553" t="s">
        <v>42297</v>
      </c>
      <c r="M5553" t="s">
        <v>44589</v>
      </c>
      <c r="N5553" t="s">
        <v>46569</v>
      </c>
      <c r="O5553" t="s">
        <v>46570</v>
      </c>
      <c r="P5553">
        <v>0</v>
      </c>
      <c r="Q5553">
        <v>0</v>
      </c>
      <c r="R5553" t="s">
        <v>46573</v>
      </c>
      <c r="S5553" t="s">
        <v>46705</v>
      </c>
      <c r="T5553" t="s">
        <v>48217</v>
      </c>
      <c r="U5553" t="s">
        <v>53398</v>
      </c>
      <c r="W5553" t="s">
        <v>44589</v>
      </c>
      <c r="X5553" t="s">
        <v>46574</v>
      </c>
    </row>
    <row r="5554" spans="1:24">
      <c r="A5554">
        <f>HYPERLINK("https://www.philgeps.gov.ph/GEPSNONPILOT/Tender/SplashBidNoticeAbstractUI.aspx?menuIndex=3&amp;refID=7059670&amp;Result=3","7059670")</f>
        <v>0</v>
      </c>
      <c r="B5554" t="s">
        <v>559</v>
      </c>
      <c r="C5554" t="s">
        <v>8824</v>
      </c>
      <c r="E5554" t="s">
        <v>23855</v>
      </c>
      <c r="F5554" t="s">
        <v>32664</v>
      </c>
      <c r="G5554" t="s">
        <v>32671</v>
      </c>
      <c r="H5554" t="s">
        <v>12635</v>
      </c>
      <c r="I5554" t="s">
        <v>5589</v>
      </c>
      <c r="J5554" t="s">
        <v>36322</v>
      </c>
      <c r="K5554" t="s">
        <v>42283</v>
      </c>
      <c r="M5554" t="s">
        <v>43139</v>
      </c>
      <c r="N5554" t="s">
        <v>46569</v>
      </c>
      <c r="O5554" t="s">
        <v>46570</v>
      </c>
      <c r="P5554">
        <v>0</v>
      </c>
      <c r="Q5554">
        <v>1</v>
      </c>
      <c r="R5554" t="s">
        <v>46573</v>
      </c>
      <c r="S5554" t="s">
        <v>46705</v>
      </c>
      <c r="T5554" t="s">
        <v>48287</v>
      </c>
      <c r="U5554" t="s">
        <v>53399</v>
      </c>
      <c r="V5554" t="s">
        <v>61757</v>
      </c>
      <c r="W5554" t="s">
        <v>43139</v>
      </c>
      <c r="X5554" t="s">
        <v>46574</v>
      </c>
    </row>
    <row r="5555" spans="1:24">
      <c r="A5555">
        <f>HYPERLINK("https://www.philgeps.gov.ph/GEPSNONPILOT/Tender/SplashBidNoticeAbstractUI.aspx?menuIndex=3&amp;refID=7059599&amp;Result=3","7059599")</f>
        <v>0</v>
      </c>
      <c r="B5555" t="s">
        <v>563</v>
      </c>
      <c r="C5555" t="s">
        <v>8825</v>
      </c>
      <c r="D5555" t="s">
        <v>18835</v>
      </c>
      <c r="E5555" t="s">
        <v>22226</v>
      </c>
      <c r="F5555" t="s">
        <v>32664</v>
      </c>
      <c r="G5555" t="s">
        <v>32677</v>
      </c>
      <c r="H5555" t="s">
        <v>12635</v>
      </c>
      <c r="I5555" t="s">
        <v>32696</v>
      </c>
      <c r="J5555" t="s">
        <v>35908</v>
      </c>
      <c r="K5555" t="s">
        <v>42290</v>
      </c>
      <c r="M5555" t="s">
        <v>43143</v>
      </c>
      <c r="N5555" t="s">
        <v>46569</v>
      </c>
      <c r="O5555" t="s">
        <v>46570</v>
      </c>
      <c r="P5555">
        <v>0</v>
      </c>
      <c r="Q5555">
        <v>3</v>
      </c>
      <c r="R5555" t="s">
        <v>46573</v>
      </c>
      <c r="S5555" t="s">
        <v>46705</v>
      </c>
      <c r="T5555" t="s">
        <v>48244</v>
      </c>
      <c r="U5555" t="s">
        <v>53400</v>
      </c>
      <c r="V5555" t="s">
        <v>62207</v>
      </c>
      <c r="W5555" t="s">
        <v>43143</v>
      </c>
      <c r="X5555" t="s">
        <v>46574</v>
      </c>
    </row>
    <row r="5556" spans="1:24">
      <c r="A5556">
        <f>HYPERLINK("https://www.philgeps.gov.ph/GEPSNONPILOT/Tender/SplashBidNoticeAbstractUI.aspx?menuIndex=3&amp;refID=7059669&amp;Result=3","7059669")</f>
        <v>0</v>
      </c>
      <c r="B5556" t="s">
        <v>570</v>
      </c>
      <c r="C5556" t="s">
        <v>8826</v>
      </c>
      <c r="E5556" t="s">
        <v>23856</v>
      </c>
      <c r="F5556" t="s">
        <v>32664</v>
      </c>
      <c r="G5556" t="s">
        <v>32671</v>
      </c>
      <c r="H5556" t="s">
        <v>12635</v>
      </c>
      <c r="I5556" t="s">
        <v>4439</v>
      </c>
      <c r="J5556" t="s">
        <v>36323</v>
      </c>
      <c r="K5556" t="s">
        <v>42283</v>
      </c>
      <c r="M5556" t="s">
        <v>43150</v>
      </c>
      <c r="N5556" t="s">
        <v>46569</v>
      </c>
      <c r="O5556" t="s">
        <v>46570</v>
      </c>
      <c r="P5556">
        <v>0</v>
      </c>
      <c r="Q5556">
        <v>0</v>
      </c>
      <c r="R5556" t="s">
        <v>46573</v>
      </c>
      <c r="S5556" t="s">
        <v>46705</v>
      </c>
      <c r="T5556" t="s">
        <v>48282</v>
      </c>
      <c r="U5556" t="s">
        <v>53401</v>
      </c>
      <c r="W5556" t="s">
        <v>43150</v>
      </c>
      <c r="X5556" t="s">
        <v>46574</v>
      </c>
    </row>
    <row r="5557" spans="1:24">
      <c r="A5557">
        <f>HYPERLINK("https://www.philgeps.gov.ph/GEPSNONPILOT/Tender/SplashBidNoticeAbstractUI.aspx?menuIndex=3&amp;refID=7059668&amp;Result=3","7059668")</f>
        <v>0</v>
      </c>
      <c r="B5557" t="s">
        <v>1211</v>
      </c>
      <c r="C5557" t="s">
        <v>8827</v>
      </c>
      <c r="D5557" t="s">
        <v>18784</v>
      </c>
      <c r="E5557" t="s">
        <v>23857</v>
      </c>
      <c r="F5557" t="s">
        <v>32664</v>
      </c>
      <c r="G5557" t="s">
        <v>32671</v>
      </c>
      <c r="H5557" t="s">
        <v>12635</v>
      </c>
      <c r="I5557" t="s">
        <v>4439</v>
      </c>
      <c r="J5557" t="s">
        <v>36324</v>
      </c>
      <c r="K5557" t="s">
        <v>42309</v>
      </c>
      <c r="M5557" t="s">
        <v>44563</v>
      </c>
      <c r="N5557" t="s">
        <v>46569</v>
      </c>
      <c r="O5557" t="s">
        <v>46570</v>
      </c>
      <c r="P5557">
        <v>0</v>
      </c>
      <c r="Q5557">
        <v>0</v>
      </c>
      <c r="R5557" t="s">
        <v>46573</v>
      </c>
      <c r="S5557" t="s">
        <v>46705</v>
      </c>
      <c r="T5557" t="s">
        <v>48287</v>
      </c>
      <c r="U5557" t="s">
        <v>53402</v>
      </c>
      <c r="W5557" t="s">
        <v>44563</v>
      </c>
      <c r="X5557" t="s">
        <v>46574</v>
      </c>
    </row>
    <row r="5558" spans="1:24">
      <c r="A5558">
        <f>HYPERLINK("https://www.philgeps.gov.ph/GEPSNONPILOT/Tender/SplashBidNoticeAbstractUI.aspx?menuIndex=3&amp;refID=7059681&amp;Result=3","7059681")</f>
        <v>0</v>
      </c>
      <c r="B5558" t="s">
        <v>77</v>
      </c>
      <c r="C5558" t="s">
        <v>8828</v>
      </c>
      <c r="D5558" t="s">
        <v>18784</v>
      </c>
      <c r="E5558" t="s">
        <v>23858</v>
      </c>
      <c r="F5558" t="s">
        <v>32664</v>
      </c>
      <c r="G5558" t="s">
        <v>32674</v>
      </c>
      <c r="H5558" t="s">
        <v>12635</v>
      </c>
      <c r="I5558" t="s">
        <v>7759</v>
      </c>
      <c r="J5558" t="s">
        <v>33387</v>
      </c>
      <c r="K5558" t="s">
        <v>42284</v>
      </c>
      <c r="M5558" t="s">
        <v>44590</v>
      </c>
      <c r="N5558" t="s">
        <v>46569</v>
      </c>
      <c r="O5558" t="s">
        <v>46570</v>
      </c>
      <c r="P5558">
        <v>0</v>
      </c>
      <c r="Q5558">
        <v>0</v>
      </c>
      <c r="R5558" t="s">
        <v>46573</v>
      </c>
      <c r="S5558" t="s">
        <v>46705</v>
      </c>
      <c r="T5558" t="s">
        <v>48534</v>
      </c>
      <c r="U5558" t="s">
        <v>53403</v>
      </c>
      <c r="V5558" t="s">
        <v>61629</v>
      </c>
      <c r="W5558" t="s">
        <v>44590</v>
      </c>
      <c r="X5558" t="s">
        <v>46574</v>
      </c>
    </row>
    <row r="5559" spans="1:24">
      <c r="A5559">
        <f>HYPERLINK("https://www.philgeps.gov.ph/GEPSNONPILOT/Tender/SplashBidNoticeAbstractUI.aspx?menuIndex=3&amp;refID=7059665&amp;Result=3","7059665")</f>
        <v>0</v>
      </c>
      <c r="B5559" t="s">
        <v>287</v>
      </c>
      <c r="C5559" t="s">
        <v>8829</v>
      </c>
      <c r="D5559" t="s">
        <v>18847</v>
      </c>
      <c r="E5559" t="s">
        <v>23859</v>
      </c>
      <c r="F5559" t="s">
        <v>32664</v>
      </c>
      <c r="G5559" t="s">
        <v>32674</v>
      </c>
      <c r="H5559" t="s">
        <v>12635</v>
      </c>
      <c r="I5559" t="s">
        <v>8797</v>
      </c>
      <c r="J5559" t="s">
        <v>33265</v>
      </c>
      <c r="K5559" t="s">
        <v>42289</v>
      </c>
      <c r="M5559" t="s">
        <v>42854</v>
      </c>
      <c r="N5559" t="s">
        <v>46569</v>
      </c>
      <c r="O5559" t="s">
        <v>46570</v>
      </c>
      <c r="P5559">
        <v>0</v>
      </c>
      <c r="Q5559">
        <v>4</v>
      </c>
      <c r="R5559" t="s">
        <v>46573</v>
      </c>
      <c r="S5559" t="s">
        <v>46705</v>
      </c>
      <c r="T5559" t="s">
        <v>48221</v>
      </c>
      <c r="U5559" t="s">
        <v>53404</v>
      </c>
      <c r="V5559" t="s">
        <v>62208</v>
      </c>
      <c r="W5559" t="s">
        <v>42854</v>
      </c>
      <c r="X5559" t="s">
        <v>46574</v>
      </c>
    </row>
    <row r="5560" spans="1:24">
      <c r="A5560">
        <f>HYPERLINK("https://www.philgeps.gov.ph/GEPSNONPILOT/Tender/SplashBidNoticeAbstractUI.aspx?menuIndex=3&amp;refID=7059684&amp;Result=3","7059684")</f>
        <v>0</v>
      </c>
      <c r="B5560" t="s">
        <v>1838</v>
      </c>
      <c r="C5560" t="s">
        <v>8830</v>
      </c>
      <c r="D5560" t="s">
        <v>18799</v>
      </c>
      <c r="E5560" t="s">
        <v>23860</v>
      </c>
      <c r="F5560" t="s">
        <v>32664</v>
      </c>
      <c r="G5560" t="s">
        <v>32674</v>
      </c>
      <c r="H5560" t="s">
        <v>12635</v>
      </c>
      <c r="I5560" t="s">
        <v>32717</v>
      </c>
      <c r="J5560" t="s">
        <v>33179</v>
      </c>
      <c r="K5560" t="s">
        <v>42305</v>
      </c>
      <c r="M5560" t="s">
        <v>44546</v>
      </c>
      <c r="N5560" t="s">
        <v>46569</v>
      </c>
      <c r="O5560" t="s">
        <v>46570</v>
      </c>
      <c r="P5560">
        <v>0</v>
      </c>
      <c r="Q5560">
        <v>4</v>
      </c>
      <c r="R5560" t="s">
        <v>46573</v>
      </c>
      <c r="S5560" t="s">
        <v>46705</v>
      </c>
      <c r="T5560" t="s">
        <v>48316</v>
      </c>
      <c r="U5560" t="s">
        <v>49565</v>
      </c>
      <c r="W5560" t="s">
        <v>44546</v>
      </c>
      <c r="X5560" t="s">
        <v>46574</v>
      </c>
    </row>
    <row r="5561" spans="1:24">
      <c r="A5561">
        <f>HYPERLINK("https://www.philgeps.gov.ph/GEPSNONPILOT/Tender/SplashBidNoticeAbstractUI.aspx?menuIndex=3&amp;refID=7059716&amp;Result=3","7059716")</f>
        <v>0</v>
      </c>
      <c r="B5561" t="s">
        <v>289</v>
      </c>
      <c r="C5561" t="s">
        <v>8831</v>
      </c>
      <c r="D5561" t="s">
        <v>18791</v>
      </c>
      <c r="E5561" t="s">
        <v>23861</v>
      </c>
      <c r="F5561" t="s">
        <v>32664</v>
      </c>
      <c r="G5561" t="s">
        <v>32671</v>
      </c>
      <c r="H5561" t="s">
        <v>12635</v>
      </c>
      <c r="I5561" t="s">
        <v>32697</v>
      </c>
      <c r="J5561" t="s">
        <v>32830</v>
      </c>
      <c r="K5561" t="s">
        <v>42297</v>
      </c>
      <c r="M5561" t="s">
        <v>42856</v>
      </c>
      <c r="N5561" t="s">
        <v>46569</v>
      </c>
      <c r="O5561" t="s">
        <v>46570</v>
      </c>
      <c r="P5561">
        <v>0</v>
      </c>
      <c r="Q5561">
        <v>1</v>
      </c>
      <c r="R5561" t="s">
        <v>46573</v>
      </c>
      <c r="S5561" t="s">
        <v>46705</v>
      </c>
      <c r="T5561" t="s">
        <v>48331</v>
      </c>
      <c r="U5561" t="s">
        <v>53405</v>
      </c>
      <c r="W5561" t="s">
        <v>42856</v>
      </c>
      <c r="X5561" t="s">
        <v>46574</v>
      </c>
    </row>
    <row r="5562" spans="1:24">
      <c r="A5562">
        <f>HYPERLINK("https://www.philgeps.gov.ph/GEPSNONPILOT/Tender/SplashBidNoticeAbstractUI.aspx?menuIndex=3&amp;refID=7059606&amp;Result=3","7059606")</f>
        <v>0</v>
      </c>
      <c r="B5562" t="s">
        <v>1093</v>
      </c>
      <c r="C5562" t="s">
        <v>8832</v>
      </c>
      <c r="D5562" t="s">
        <v>18784</v>
      </c>
      <c r="E5562" t="s">
        <v>23862</v>
      </c>
      <c r="F5562" t="s">
        <v>32664</v>
      </c>
      <c r="G5562" t="s">
        <v>32671</v>
      </c>
      <c r="H5562" t="s">
        <v>12635</v>
      </c>
      <c r="I5562" t="s">
        <v>32775</v>
      </c>
      <c r="J5562" t="s">
        <v>36325</v>
      </c>
      <c r="K5562" t="s">
        <v>42289</v>
      </c>
      <c r="M5562" t="s">
        <v>43720</v>
      </c>
      <c r="N5562" t="s">
        <v>46569</v>
      </c>
      <c r="O5562" t="s">
        <v>46570</v>
      </c>
      <c r="P5562">
        <v>0</v>
      </c>
      <c r="Q5562">
        <v>0</v>
      </c>
      <c r="R5562" t="s">
        <v>46573</v>
      </c>
      <c r="S5562" t="s">
        <v>46705</v>
      </c>
      <c r="T5562" t="s">
        <v>48307</v>
      </c>
      <c r="U5562" t="s">
        <v>53406</v>
      </c>
      <c r="V5562" t="s">
        <v>61652</v>
      </c>
      <c r="W5562" t="s">
        <v>43720</v>
      </c>
      <c r="X5562" t="s">
        <v>46574</v>
      </c>
    </row>
    <row r="5563" spans="1:24">
      <c r="A5563">
        <f>HYPERLINK("https://www.philgeps.gov.ph/GEPSNONPILOT/Tender/SplashBidNoticeAbstractUI.aspx?menuIndex=3&amp;refID=7059713&amp;Result=3","7059713")</f>
        <v>0</v>
      </c>
      <c r="B5563" t="s">
        <v>549</v>
      </c>
      <c r="C5563" t="s">
        <v>8833</v>
      </c>
      <c r="D5563" t="s">
        <v>18781</v>
      </c>
      <c r="E5563" t="s">
        <v>23863</v>
      </c>
      <c r="F5563" t="s">
        <v>32664</v>
      </c>
      <c r="G5563" t="s">
        <v>32671</v>
      </c>
      <c r="H5563" t="s">
        <v>12635</v>
      </c>
      <c r="I5563" t="s">
        <v>9486</v>
      </c>
      <c r="J5563" t="s">
        <v>36326</v>
      </c>
      <c r="K5563" t="s">
        <v>42283</v>
      </c>
      <c r="M5563" t="s">
        <v>43129</v>
      </c>
      <c r="N5563" t="s">
        <v>46569</v>
      </c>
      <c r="O5563" t="s">
        <v>46570</v>
      </c>
      <c r="P5563">
        <v>0</v>
      </c>
      <c r="Q5563">
        <v>2</v>
      </c>
      <c r="R5563" t="s">
        <v>46573</v>
      </c>
      <c r="S5563" t="s">
        <v>46705</v>
      </c>
      <c r="T5563" t="s">
        <v>48492</v>
      </c>
      <c r="U5563" t="s">
        <v>53407</v>
      </c>
      <c r="W5563" t="s">
        <v>43129</v>
      </c>
      <c r="X5563" t="s">
        <v>46574</v>
      </c>
    </row>
    <row r="5564" spans="1:24">
      <c r="A5564">
        <f>HYPERLINK("https://www.philgeps.gov.ph/GEPSNONPILOT/Tender/SplashBidNoticeAbstractUI.aspx?menuIndex=3&amp;refID=7059666&amp;Result=3","7059666")</f>
        <v>0</v>
      </c>
      <c r="B5564" t="s">
        <v>1874</v>
      </c>
      <c r="C5564" t="s">
        <v>8834</v>
      </c>
      <c r="E5564" t="s">
        <v>19051</v>
      </c>
      <c r="F5564" t="s">
        <v>32664</v>
      </c>
      <c r="G5564" t="s">
        <v>32671</v>
      </c>
      <c r="H5564" t="s">
        <v>12635</v>
      </c>
      <c r="I5564" t="s">
        <v>32692</v>
      </c>
      <c r="J5564" t="s">
        <v>36327</v>
      </c>
      <c r="K5564" t="s">
        <v>42283</v>
      </c>
      <c r="M5564" t="s">
        <v>44591</v>
      </c>
      <c r="N5564" t="s">
        <v>46569</v>
      </c>
      <c r="O5564" t="s">
        <v>46570</v>
      </c>
      <c r="P5564">
        <v>0</v>
      </c>
      <c r="Q5564">
        <v>1</v>
      </c>
      <c r="R5564" t="s">
        <v>46573</v>
      </c>
      <c r="S5564" t="s">
        <v>46705</v>
      </c>
      <c r="T5564" t="s">
        <v>48221</v>
      </c>
      <c r="U5564" t="s">
        <v>48815</v>
      </c>
      <c r="W5564" t="s">
        <v>44591</v>
      </c>
      <c r="X5564" t="s">
        <v>46574</v>
      </c>
    </row>
    <row r="5565" spans="1:24">
      <c r="A5565">
        <f>HYPERLINK("https://www.philgeps.gov.ph/GEPSNONPILOT/Tender/SplashBidNoticeAbstractUI.aspx?menuIndex=3&amp;refID=7059710&amp;Result=3","7059710")</f>
        <v>0</v>
      </c>
      <c r="B5565" t="s">
        <v>436</v>
      </c>
      <c r="C5565" t="s">
        <v>8835</v>
      </c>
      <c r="D5565" t="s">
        <v>18831</v>
      </c>
      <c r="E5565" t="s">
        <v>23864</v>
      </c>
      <c r="F5565" t="s">
        <v>32666</v>
      </c>
      <c r="G5565" t="s">
        <v>32677</v>
      </c>
      <c r="H5565" t="s">
        <v>12635</v>
      </c>
      <c r="I5565" t="s">
        <v>4439</v>
      </c>
      <c r="J5565" t="s">
        <v>36328</v>
      </c>
      <c r="K5565" t="s">
        <v>42284</v>
      </c>
      <c r="M5565" t="s">
        <v>43008</v>
      </c>
      <c r="N5565" t="s">
        <v>46569</v>
      </c>
      <c r="O5565" t="s">
        <v>46570</v>
      </c>
      <c r="P5565">
        <v>0</v>
      </c>
      <c r="Q5565">
        <v>0</v>
      </c>
      <c r="R5565" t="s">
        <v>46573</v>
      </c>
      <c r="S5565" t="s">
        <v>46705</v>
      </c>
      <c r="T5565" t="s">
        <v>48271</v>
      </c>
      <c r="U5565" t="s">
        <v>53408</v>
      </c>
      <c r="W5565" t="s">
        <v>43008</v>
      </c>
      <c r="X5565" t="s">
        <v>46574</v>
      </c>
    </row>
    <row r="5566" spans="1:24">
      <c r="A5566">
        <f>HYPERLINK("https://www.philgeps.gov.ph/GEPSNONPILOT/Tender/SplashBidNoticeAbstractUI.aspx?menuIndex=3&amp;refID=7059718&amp;Result=3","7059718")</f>
        <v>0</v>
      </c>
      <c r="B5566" t="s">
        <v>1875</v>
      </c>
      <c r="C5566" t="s">
        <v>8836</v>
      </c>
      <c r="D5566" t="s">
        <v>18816</v>
      </c>
      <c r="E5566" t="s">
        <v>23865</v>
      </c>
      <c r="F5566" t="s">
        <v>32664</v>
      </c>
      <c r="G5566" t="s">
        <v>32672</v>
      </c>
      <c r="H5566" t="s">
        <v>12635</v>
      </c>
      <c r="I5566" t="s">
        <v>6118</v>
      </c>
      <c r="J5566" t="s">
        <v>32963</v>
      </c>
      <c r="K5566" t="s">
        <v>42333</v>
      </c>
      <c r="M5566" t="s">
        <v>44592</v>
      </c>
      <c r="N5566" t="s">
        <v>46569</v>
      </c>
      <c r="O5566" t="s">
        <v>46570</v>
      </c>
      <c r="P5566">
        <v>0</v>
      </c>
      <c r="Q5566">
        <v>0</v>
      </c>
      <c r="R5566" t="s">
        <v>46573</v>
      </c>
      <c r="S5566" t="s">
        <v>46705</v>
      </c>
      <c r="T5566" t="s">
        <v>48547</v>
      </c>
      <c r="U5566" t="s">
        <v>53409</v>
      </c>
      <c r="W5566" t="s">
        <v>44592</v>
      </c>
      <c r="X5566" t="s">
        <v>46574</v>
      </c>
    </row>
    <row r="5567" spans="1:24">
      <c r="A5567">
        <f>HYPERLINK("https://www.philgeps.gov.ph/GEPSNONPILOT/Tender/SplashBidNoticeAbstractUI.aspx?menuIndex=3&amp;refID=7059712&amp;Result=3","7059712")</f>
        <v>0</v>
      </c>
      <c r="B5567" t="s">
        <v>209</v>
      </c>
      <c r="C5567" t="s">
        <v>8837</v>
      </c>
      <c r="D5567" t="s">
        <v>18789</v>
      </c>
      <c r="E5567" t="s">
        <v>23866</v>
      </c>
      <c r="F5567" t="s">
        <v>32664</v>
      </c>
      <c r="G5567" t="s">
        <v>32671</v>
      </c>
      <c r="H5567" t="s">
        <v>12635</v>
      </c>
      <c r="I5567" t="s">
        <v>4333</v>
      </c>
      <c r="J5567" t="s">
        <v>36329</v>
      </c>
      <c r="K5567" t="s">
        <v>42330</v>
      </c>
      <c r="M5567" t="s">
        <v>42773</v>
      </c>
      <c r="N5567" t="s">
        <v>46569</v>
      </c>
      <c r="O5567" t="s">
        <v>46570</v>
      </c>
      <c r="P5567">
        <v>0</v>
      </c>
      <c r="Q5567">
        <v>0</v>
      </c>
      <c r="R5567" t="s">
        <v>46573</v>
      </c>
      <c r="S5567" t="s">
        <v>46705</v>
      </c>
      <c r="T5567" t="s">
        <v>48282</v>
      </c>
      <c r="U5567" t="s">
        <v>53410</v>
      </c>
      <c r="W5567" t="s">
        <v>42773</v>
      </c>
      <c r="X5567" t="s">
        <v>46574</v>
      </c>
    </row>
    <row r="5568" spans="1:24">
      <c r="A5568">
        <f>HYPERLINK("https://www.philgeps.gov.ph/GEPSNONPILOT/Tender/SplashBidNoticeAbstractUI.aspx?menuIndex=3&amp;refID=7059711&amp;Result=3","7059711")</f>
        <v>0</v>
      </c>
      <c r="B5568" t="s">
        <v>646</v>
      </c>
      <c r="C5568" t="s">
        <v>8838</v>
      </c>
      <c r="E5568" t="s">
        <v>23867</v>
      </c>
      <c r="F5568" t="s">
        <v>32664</v>
      </c>
      <c r="G5568" t="s">
        <v>32672</v>
      </c>
      <c r="H5568" t="s">
        <v>32683</v>
      </c>
      <c r="I5568" t="s">
        <v>10627</v>
      </c>
      <c r="J5568" t="s">
        <v>36330</v>
      </c>
      <c r="K5568" t="s">
        <v>42298</v>
      </c>
      <c r="M5568" t="s">
        <v>43232</v>
      </c>
      <c r="N5568" t="s">
        <v>46569</v>
      </c>
      <c r="O5568" t="s">
        <v>46570</v>
      </c>
      <c r="P5568">
        <v>0</v>
      </c>
      <c r="Q5568">
        <v>0</v>
      </c>
      <c r="R5568" t="s">
        <v>46573</v>
      </c>
      <c r="S5568" t="s">
        <v>46705</v>
      </c>
      <c r="T5568" t="s">
        <v>48270</v>
      </c>
      <c r="U5568" t="s">
        <v>53411</v>
      </c>
      <c r="W5568" t="s">
        <v>43232</v>
      </c>
      <c r="X5568" t="s">
        <v>46574</v>
      </c>
    </row>
    <row r="5569" spans="1:24">
      <c r="A5569">
        <f>HYPERLINK("https://www.philgeps.gov.ph/GEPSNONPILOT/Tender/SplashBidNoticeAbstractUI.aspx?menuIndex=3&amp;refID=7059613&amp;Result=3","7059613")</f>
        <v>0</v>
      </c>
      <c r="B5569" t="s">
        <v>1074</v>
      </c>
      <c r="C5569" t="s">
        <v>8839</v>
      </c>
      <c r="D5569" t="s">
        <v>18786</v>
      </c>
      <c r="E5569" t="s">
        <v>19202</v>
      </c>
      <c r="F5569" t="s">
        <v>32664</v>
      </c>
      <c r="G5569" t="s">
        <v>32672</v>
      </c>
      <c r="H5569" t="s">
        <v>12635</v>
      </c>
      <c r="I5569" t="s">
        <v>7759</v>
      </c>
      <c r="J5569" t="s">
        <v>36331</v>
      </c>
      <c r="K5569" t="s">
        <v>42281</v>
      </c>
      <c r="M5569" t="s">
        <v>43694</v>
      </c>
      <c r="N5569" t="s">
        <v>46569</v>
      </c>
      <c r="O5569" t="s">
        <v>46570</v>
      </c>
      <c r="P5569">
        <v>0</v>
      </c>
      <c r="Q5569">
        <v>0</v>
      </c>
      <c r="R5569" t="s">
        <v>46573</v>
      </c>
      <c r="S5569" t="s">
        <v>46705</v>
      </c>
      <c r="T5569" t="s">
        <v>48304</v>
      </c>
      <c r="U5569" t="s">
        <v>53412</v>
      </c>
      <c r="V5569" t="s">
        <v>62209</v>
      </c>
      <c r="W5569" t="s">
        <v>43694</v>
      </c>
      <c r="X5569" t="s">
        <v>46574</v>
      </c>
    </row>
    <row r="5570" spans="1:24">
      <c r="A5570">
        <f>HYPERLINK("https://www.philgeps.gov.ph/GEPSNONPILOT/Tender/SplashBidNoticeAbstractUI.aspx?menuIndex=3&amp;refID=7059705&amp;Result=3","7059705")</f>
        <v>0</v>
      </c>
      <c r="B5570" t="s">
        <v>1088</v>
      </c>
      <c r="C5570" t="s">
        <v>8840</v>
      </c>
      <c r="D5570" t="s">
        <v>18804</v>
      </c>
      <c r="E5570" t="s">
        <v>23868</v>
      </c>
      <c r="F5570" t="s">
        <v>32664</v>
      </c>
      <c r="G5570" t="s">
        <v>32671</v>
      </c>
      <c r="H5570" t="s">
        <v>12635</v>
      </c>
      <c r="I5570" t="s">
        <v>9486</v>
      </c>
      <c r="J5570" t="s">
        <v>36332</v>
      </c>
      <c r="K5570" t="s">
        <v>42303</v>
      </c>
      <c r="M5570" t="s">
        <v>44593</v>
      </c>
      <c r="N5570" t="s">
        <v>46569</v>
      </c>
      <c r="O5570" t="s">
        <v>46570</v>
      </c>
      <c r="P5570">
        <v>0</v>
      </c>
      <c r="Q5570">
        <v>0</v>
      </c>
      <c r="R5570" t="s">
        <v>46573</v>
      </c>
      <c r="S5570" t="s">
        <v>46705</v>
      </c>
      <c r="T5570" t="s">
        <v>48268</v>
      </c>
      <c r="U5570" t="s">
        <v>53413</v>
      </c>
      <c r="W5570" t="s">
        <v>44593</v>
      </c>
      <c r="X5570" t="s">
        <v>46574</v>
      </c>
    </row>
    <row r="5571" spans="1:24">
      <c r="A5571">
        <f>HYPERLINK("https://www.philgeps.gov.ph/GEPSNONPILOT/Tender/SplashBidNoticeAbstractUI.aspx?menuIndex=3&amp;refID=7059703&amp;Result=3","7059703")</f>
        <v>0</v>
      </c>
      <c r="B5571" t="s">
        <v>1876</v>
      </c>
      <c r="C5571" t="s">
        <v>8841</v>
      </c>
      <c r="D5571" t="s">
        <v>18799</v>
      </c>
      <c r="E5571" t="s">
        <v>23869</v>
      </c>
      <c r="F5571" t="s">
        <v>32665</v>
      </c>
      <c r="G5571" t="s">
        <v>32671</v>
      </c>
      <c r="H5571" t="s">
        <v>12635</v>
      </c>
      <c r="I5571" t="s">
        <v>32681</v>
      </c>
      <c r="J5571" t="s">
        <v>32859</v>
      </c>
      <c r="K5571" t="s">
        <v>42283</v>
      </c>
      <c r="M5571" t="s">
        <v>44594</v>
      </c>
      <c r="N5571" t="s">
        <v>46569</v>
      </c>
      <c r="O5571" t="s">
        <v>46570</v>
      </c>
      <c r="P5571">
        <v>0</v>
      </c>
      <c r="Q5571">
        <v>4</v>
      </c>
      <c r="R5571" t="s">
        <v>46573</v>
      </c>
      <c r="S5571" t="s">
        <v>46705</v>
      </c>
      <c r="T5571" t="s">
        <v>48305</v>
      </c>
      <c r="U5571" t="s">
        <v>53414</v>
      </c>
      <c r="W5571" t="s">
        <v>44594</v>
      </c>
      <c r="X5571" t="s">
        <v>46574</v>
      </c>
    </row>
    <row r="5572" spans="1:24">
      <c r="A5572">
        <f>HYPERLINK("https://www.philgeps.gov.ph/GEPSNONPILOT/Tender/SplashBidNoticeAbstractUI.aspx?menuIndex=3&amp;refID=7059707&amp;Result=3","7059707")</f>
        <v>0</v>
      </c>
      <c r="B5572" t="s">
        <v>347</v>
      </c>
      <c r="C5572" t="s">
        <v>8842</v>
      </c>
      <c r="D5572" t="s">
        <v>18792</v>
      </c>
      <c r="E5572" t="s">
        <v>23870</v>
      </c>
      <c r="F5572" t="s">
        <v>32664</v>
      </c>
      <c r="G5572" t="s">
        <v>32671</v>
      </c>
      <c r="H5572" t="s">
        <v>12635</v>
      </c>
      <c r="I5572" t="s">
        <v>32685</v>
      </c>
      <c r="J5572" t="s">
        <v>36333</v>
      </c>
      <c r="K5572" t="s">
        <v>42281</v>
      </c>
      <c r="M5572" t="s">
        <v>42916</v>
      </c>
      <c r="N5572" t="s">
        <v>46569</v>
      </c>
      <c r="O5572" t="s">
        <v>46570</v>
      </c>
      <c r="P5572">
        <v>0</v>
      </c>
      <c r="Q5572">
        <v>0</v>
      </c>
      <c r="R5572" t="s">
        <v>46573</v>
      </c>
      <c r="S5572" t="s">
        <v>46705</v>
      </c>
      <c r="T5572" t="s">
        <v>48283</v>
      </c>
      <c r="U5572" t="s">
        <v>52322</v>
      </c>
      <c r="W5572" t="s">
        <v>42916</v>
      </c>
      <c r="X5572" t="s">
        <v>46574</v>
      </c>
    </row>
    <row r="5573" spans="1:24">
      <c r="A5573">
        <f>HYPERLINK("https://www.philgeps.gov.ph/GEPSNONPILOT/Tender/SplashBidNoticeAbstractUI.aspx?menuIndex=3&amp;refID=7059697&amp;Result=3","7059697")</f>
        <v>0</v>
      </c>
      <c r="B5573" t="s">
        <v>1877</v>
      </c>
      <c r="C5573" t="s">
        <v>8843</v>
      </c>
      <c r="D5573" t="s">
        <v>18802</v>
      </c>
      <c r="E5573" t="s">
        <v>23871</v>
      </c>
      <c r="F5573" t="s">
        <v>32664</v>
      </c>
      <c r="G5573" t="s">
        <v>32672</v>
      </c>
      <c r="H5573" t="s">
        <v>12635</v>
      </c>
      <c r="I5573" t="s">
        <v>32694</v>
      </c>
      <c r="J5573" t="s">
        <v>36334</v>
      </c>
      <c r="K5573" t="s">
        <v>42284</v>
      </c>
      <c r="M5573" t="s">
        <v>44595</v>
      </c>
      <c r="N5573" t="s">
        <v>46569</v>
      </c>
      <c r="O5573" t="s">
        <v>46570</v>
      </c>
      <c r="P5573">
        <v>0</v>
      </c>
      <c r="Q5573">
        <v>0</v>
      </c>
      <c r="R5573" t="s">
        <v>46573</v>
      </c>
      <c r="S5573" t="s">
        <v>46705</v>
      </c>
      <c r="T5573" t="s">
        <v>48228</v>
      </c>
      <c r="U5573" t="s">
        <v>53415</v>
      </c>
      <c r="W5573" t="s">
        <v>44595</v>
      </c>
      <c r="X5573" t="s">
        <v>46574</v>
      </c>
    </row>
    <row r="5574" spans="1:24">
      <c r="A5574">
        <f>HYPERLINK("https://www.philgeps.gov.ph/GEPSNONPILOT/Tender/SplashBidNoticeAbstractUI.aspx?menuIndex=3&amp;refID=7059702&amp;Result=3","7059702")</f>
        <v>0</v>
      </c>
      <c r="B5574" t="s">
        <v>1878</v>
      </c>
      <c r="C5574" t="s">
        <v>8844</v>
      </c>
      <c r="D5574" t="s">
        <v>18789</v>
      </c>
      <c r="E5574" t="s">
        <v>23872</v>
      </c>
      <c r="F5574" t="s">
        <v>32664</v>
      </c>
      <c r="G5574" t="s">
        <v>32671</v>
      </c>
      <c r="H5574" t="s">
        <v>12635</v>
      </c>
      <c r="I5574" t="s">
        <v>14442</v>
      </c>
      <c r="J5574" t="s">
        <v>36335</v>
      </c>
      <c r="K5574" t="s">
        <v>42297</v>
      </c>
      <c r="M5574" t="s">
        <v>44596</v>
      </c>
      <c r="N5574" t="s">
        <v>46569</v>
      </c>
      <c r="O5574" t="s">
        <v>46570</v>
      </c>
      <c r="P5574">
        <v>0</v>
      </c>
      <c r="Q5574">
        <v>7</v>
      </c>
      <c r="R5574" t="s">
        <v>46573</v>
      </c>
      <c r="S5574" t="s">
        <v>46705</v>
      </c>
      <c r="T5574" t="s">
        <v>48316</v>
      </c>
      <c r="U5574" t="s">
        <v>53416</v>
      </c>
      <c r="V5574" t="s">
        <v>62210</v>
      </c>
      <c r="W5574" t="s">
        <v>44596</v>
      </c>
      <c r="X5574" t="s">
        <v>46574</v>
      </c>
    </row>
    <row r="5575" spans="1:24">
      <c r="A5575">
        <f>HYPERLINK("https://www.philgeps.gov.ph/GEPSNONPILOT/Tender/SplashBidNoticeAbstractUI.aspx?menuIndex=3&amp;refID=7059694&amp;Result=3","7059694")</f>
        <v>0</v>
      </c>
      <c r="B5575" t="s">
        <v>1879</v>
      </c>
      <c r="C5575" t="s">
        <v>8845</v>
      </c>
      <c r="D5575" t="s">
        <v>18784</v>
      </c>
      <c r="E5575" t="s">
        <v>23873</v>
      </c>
      <c r="F5575" t="s">
        <v>32664</v>
      </c>
      <c r="G5575" t="s">
        <v>32672</v>
      </c>
      <c r="H5575" t="s">
        <v>12635</v>
      </c>
      <c r="I5575" t="s">
        <v>6223</v>
      </c>
      <c r="J5575" t="s">
        <v>33043</v>
      </c>
      <c r="K5575" t="s">
        <v>42284</v>
      </c>
      <c r="M5575" t="s">
        <v>44597</v>
      </c>
      <c r="N5575" t="s">
        <v>46569</v>
      </c>
      <c r="O5575" t="s">
        <v>46570</v>
      </c>
      <c r="P5575">
        <v>0</v>
      </c>
      <c r="Q5575">
        <v>0</v>
      </c>
      <c r="R5575" t="s">
        <v>46573</v>
      </c>
      <c r="S5575" t="s">
        <v>46705</v>
      </c>
      <c r="T5575" t="s">
        <v>48228</v>
      </c>
      <c r="U5575" t="s">
        <v>53417</v>
      </c>
      <c r="W5575" t="s">
        <v>44597</v>
      </c>
      <c r="X5575" t="s">
        <v>46574</v>
      </c>
    </row>
    <row r="5576" spans="1:24">
      <c r="A5576">
        <f>HYPERLINK("https://www.philgeps.gov.ph/GEPSNONPILOT/Tender/SplashBidNoticeAbstractUI.aspx?menuIndex=3&amp;refID=7059691&amp;Result=3","7059691")</f>
        <v>0</v>
      </c>
      <c r="B5576" t="s">
        <v>1480</v>
      </c>
      <c r="C5576" t="s">
        <v>8846</v>
      </c>
      <c r="D5576" t="s">
        <v>18851</v>
      </c>
      <c r="E5576" t="s">
        <v>23874</v>
      </c>
      <c r="F5576" t="s">
        <v>32664</v>
      </c>
      <c r="G5576" t="s">
        <v>32671</v>
      </c>
      <c r="H5576" t="s">
        <v>12635</v>
      </c>
      <c r="I5576" t="s">
        <v>4439</v>
      </c>
      <c r="J5576" t="s">
        <v>36336</v>
      </c>
      <c r="K5576" t="s">
        <v>42297</v>
      </c>
      <c r="M5576" t="s">
        <v>44143</v>
      </c>
      <c r="N5576" t="s">
        <v>46569</v>
      </c>
      <c r="O5576" t="s">
        <v>46570</v>
      </c>
      <c r="P5576">
        <v>0</v>
      </c>
      <c r="Q5576">
        <v>0</v>
      </c>
      <c r="R5576" t="s">
        <v>46573</v>
      </c>
      <c r="S5576" t="s">
        <v>46705</v>
      </c>
      <c r="T5576" t="s">
        <v>48548</v>
      </c>
      <c r="U5576" t="s">
        <v>53418</v>
      </c>
      <c r="W5576" t="s">
        <v>44143</v>
      </c>
      <c r="X5576" t="s">
        <v>46574</v>
      </c>
    </row>
    <row r="5577" spans="1:24">
      <c r="A5577">
        <f>HYPERLINK("https://www.philgeps.gov.ph/GEPSNONPILOT/Tender/SplashBidNoticeAbstractUI.aspx?menuIndex=3&amp;refID=7059688&amp;Result=3","7059688")</f>
        <v>0</v>
      </c>
      <c r="B5577" t="s">
        <v>1713</v>
      </c>
      <c r="C5577" t="s">
        <v>8847</v>
      </c>
      <c r="D5577" t="s">
        <v>18799</v>
      </c>
      <c r="E5577" t="s">
        <v>23875</v>
      </c>
      <c r="F5577" t="s">
        <v>32664</v>
      </c>
      <c r="G5577" t="s">
        <v>32675</v>
      </c>
      <c r="H5577" t="s">
        <v>12635</v>
      </c>
      <c r="I5577" t="s">
        <v>8730</v>
      </c>
      <c r="J5577" t="s">
        <v>36337</v>
      </c>
      <c r="K5577" t="s">
        <v>42284</v>
      </c>
      <c r="M5577" t="s">
        <v>44408</v>
      </c>
      <c r="N5577" t="s">
        <v>46569</v>
      </c>
      <c r="O5577" t="s">
        <v>46570</v>
      </c>
      <c r="P5577">
        <v>0</v>
      </c>
      <c r="Q5577">
        <v>0</v>
      </c>
      <c r="R5577" t="s">
        <v>46573</v>
      </c>
      <c r="S5577" t="s">
        <v>46705</v>
      </c>
      <c r="T5577" t="s">
        <v>48287</v>
      </c>
      <c r="U5577" t="s">
        <v>53419</v>
      </c>
      <c r="W5577" t="s">
        <v>63529</v>
      </c>
      <c r="X5577" t="s">
        <v>46574</v>
      </c>
    </row>
    <row r="5578" spans="1:24">
      <c r="A5578">
        <f>HYPERLINK("https://www.philgeps.gov.ph/GEPSNONPILOT/Tender/SplashBidNoticeAbstractUI.aspx?menuIndex=3&amp;refID=7059708&amp;Result=3","7059708")</f>
        <v>0</v>
      </c>
      <c r="B5578" t="s">
        <v>1880</v>
      </c>
      <c r="C5578" t="s">
        <v>8848</v>
      </c>
      <c r="D5578" t="s">
        <v>18812</v>
      </c>
      <c r="E5578" t="s">
        <v>23876</v>
      </c>
      <c r="F5578" t="s">
        <v>32664</v>
      </c>
      <c r="G5578" t="s">
        <v>32674</v>
      </c>
      <c r="H5578" t="s">
        <v>32682</v>
      </c>
      <c r="I5578" t="s">
        <v>32745</v>
      </c>
      <c r="J5578" t="s">
        <v>32842</v>
      </c>
      <c r="K5578" t="s">
        <v>42289</v>
      </c>
      <c r="M5578" t="s">
        <v>44598</v>
      </c>
      <c r="N5578" t="s">
        <v>46569</v>
      </c>
      <c r="O5578" t="s">
        <v>46570</v>
      </c>
      <c r="P5578">
        <v>0</v>
      </c>
      <c r="Q5578">
        <v>0</v>
      </c>
      <c r="R5578" t="s">
        <v>46573</v>
      </c>
      <c r="S5578" t="s">
        <v>46705</v>
      </c>
      <c r="T5578" t="s">
        <v>48356</v>
      </c>
      <c r="U5578" t="s">
        <v>53420</v>
      </c>
      <c r="W5578" t="s">
        <v>44598</v>
      </c>
      <c r="X5578" t="s">
        <v>46574</v>
      </c>
    </row>
    <row r="5579" spans="1:24">
      <c r="A5579">
        <f>HYPERLINK("https://www.philgeps.gov.ph/GEPSNONPILOT/Tender/SplashBidNoticeAbstractUI.aspx?menuIndex=3&amp;refID=7059696&amp;Result=3","7059696")</f>
        <v>0</v>
      </c>
      <c r="B5579" t="s">
        <v>1873</v>
      </c>
      <c r="C5579" t="s">
        <v>8849</v>
      </c>
      <c r="D5579" t="s">
        <v>18787</v>
      </c>
      <c r="E5579" t="s">
        <v>23877</v>
      </c>
      <c r="F5579" t="s">
        <v>32664</v>
      </c>
      <c r="G5579" t="s">
        <v>32671</v>
      </c>
      <c r="H5579" t="s">
        <v>12635</v>
      </c>
      <c r="I5579" t="s">
        <v>8849</v>
      </c>
      <c r="J5579" t="s">
        <v>32984</v>
      </c>
      <c r="K5579" t="s">
        <v>42297</v>
      </c>
      <c r="M5579" t="s">
        <v>44589</v>
      </c>
      <c r="N5579" t="s">
        <v>46569</v>
      </c>
      <c r="O5579" t="s">
        <v>46570</v>
      </c>
      <c r="P5579">
        <v>0</v>
      </c>
      <c r="Q5579">
        <v>1</v>
      </c>
      <c r="R5579" t="s">
        <v>46573</v>
      </c>
      <c r="S5579" t="s">
        <v>46705</v>
      </c>
      <c r="T5579" t="s">
        <v>48219</v>
      </c>
      <c r="U5579" t="s">
        <v>53421</v>
      </c>
      <c r="W5579" t="s">
        <v>44589</v>
      </c>
      <c r="X5579" t="s">
        <v>46574</v>
      </c>
    </row>
    <row r="5580" spans="1:24">
      <c r="A5580">
        <f>HYPERLINK("https://www.philgeps.gov.ph/GEPSNONPILOT/Tender/SplashBidNoticeAbstractUI.aspx?menuIndex=3&amp;refID=7059701&amp;Result=3","7059701")</f>
        <v>0</v>
      </c>
      <c r="B5580" t="s">
        <v>1881</v>
      </c>
      <c r="C5580" t="s">
        <v>8850</v>
      </c>
      <c r="D5580" t="s">
        <v>18788</v>
      </c>
      <c r="E5580" t="s">
        <v>20248</v>
      </c>
      <c r="F5580" t="s">
        <v>32664</v>
      </c>
      <c r="G5580" t="s">
        <v>32671</v>
      </c>
      <c r="H5580" t="s">
        <v>12635</v>
      </c>
      <c r="I5580" t="s">
        <v>6223</v>
      </c>
      <c r="J5580" t="s">
        <v>36338</v>
      </c>
      <c r="K5580" t="s">
        <v>42283</v>
      </c>
      <c r="M5580" t="s">
        <v>44599</v>
      </c>
      <c r="N5580" t="s">
        <v>46569</v>
      </c>
      <c r="O5580" t="s">
        <v>46570</v>
      </c>
      <c r="P5580">
        <v>0</v>
      </c>
      <c r="Q5580">
        <v>1</v>
      </c>
      <c r="R5580" t="s">
        <v>46573</v>
      </c>
      <c r="S5580" t="s">
        <v>46705</v>
      </c>
      <c r="T5580" t="s">
        <v>48427</v>
      </c>
      <c r="U5580" t="s">
        <v>53422</v>
      </c>
      <c r="W5580" t="s">
        <v>44599</v>
      </c>
      <c r="X5580" t="s">
        <v>46574</v>
      </c>
    </row>
    <row r="5581" spans="1:24">
      <c r="A5581">
        <f>HYPERLINK("https://www.philgeps.gov.ph/GEPSNONPILOT/Tender/SplashBidNoticeAbstractUI.aspx?menuIndex=3&amp;refID=7059664&amp;Result=3","7059664")</f>
        <v>0</v>
      </c>
      <c r="B5581" t="s">
        <v>1882</v>
      </c>
      <c r="C5581" t="s">
        <v>8851</v>
      </c>
      <c r="E5581" t="s">
        <v>23878</v>
      </c>
      <c r="F5581" t="s">
        <v>32664</v>
      </c>
      <c r="G5581" t="s">
        <v>32672</v>
      </c>
      <c r="H5581" t="s">
        <v>12635</v>
      </c>
      <c r="I5581" t="s">
        <v>32689</v>
      </c>
      <c r="J5581" t="s">
        <v>34435</v>
      </c>
      <c r="K5581" t="s">
        <v>42284</v>
      </c>
      <c r="M5581" t="s">
        <v>44600</v>
      </c>
      <c r="N5581" t="s">
        <v>46569</v>
      </c>
      <c r="O5581" t="s">
        <v>46570</v>
      </c>
      <c r="P5581">
        <v>0</v>
      </c>
      <c r="Q5581">
        <v>1</v>
      </c>
      <c r="R5581" t="s">
        <v>46573</v>
      </c>
      <c r="S5581" t="s">
        <v>46705</v>
      </c>
      <c r="T5581" t="s">
        <v>48305</v>
      </c>
      <c r="U5581" t="s">
        <v>53423</v>
      </c>
      <c r="W5581" t="s">
        <v>44600</v>
      </c>
      <c r="X5581" t="s">
        <v>46574</v>
      </c>
    </row>
    <row r="5582" spans="1:24">
      <c r="A5582">
        <f>HYPERLINK("https://www.philgeps.gov.ph/GEPSNONPILOT/Tender/SplashBidNoticeAbstractUI.aspx?menuIndex=3&amp;refID=7059689&amp;Result=3","7059689")</f>
        <v>0</v>
      </c>
      <c r="B5582" t="s">
        <v>1115</v>
      </c>
      <c r="C5582" t="s">
        <v>8852</v>
      </c>
      <c r="D5582" t="s">
        <v>18799</v>
      </c>
      <c r="E5582" t="s">
        <v>19226</v>
      </c>
      <c r="F5582" t="s">
        <v>32664</v>
      </c>
      <c r="G5582" t="s">
        <v>32671</v>
      </c>
      <c r="H5582" t="s">
        <v>12635</v>
      </c>
      <c r="I5582" t="s">
        <v>7709</v>
      </c>
      <c r="J5582" t="s">
        <v>33089</v>
      </c>
      <c r="K5582" t="s">
        <v>42284</v>
      </c>
      <c r="M5582" t="s">
        <v>44601</v>
      </c>
      <c r="N5582" t="s">
        <v>46569</v>
      </c>
      <c r="O5582" t="s">
        <v>46570</v>
      </c>
      <c r="P5582">
        <v>0</v>
      </c>
      <c r="Q5582">
        <v>0</v>
      </c>
      <c r="R5582" t="s">
        <v>46573</v>
      </c>
      <c r="S5582" t="s">
        <v>46705</v>
      </c>
      <c r="T5582" t="s">
        <v>48427</v>
      </c>
      <c r="U5582" t="s">
        <v>53424</v>
      </c>
      <c r="W5582" t="s">
        <v>44601</v>
      </c>
      <c r="X5582" t="s">
        <v>46574</v>
      </c>
    </row>
    <row r="5583" spans="1:24">
      <c r="A5583">
        <f>HYPERLINK("https://www.philgeps.gov.ph/GEPSNONPILOT/Tender/SplashBidNoticeAbstractUI.aspx?menuIndex=3&amp;refID=7059662&amp;Result=3","7059662")</f>
        <v>0</v>
      </c>
      <c r="B5583" t="s">
        <v>1883</v>
      </c>
      <c r="C5583" t="s">
        <v>8853</v>
      </c>
      <c r="D5583" t="s">
        <v>18797</v>
      </c>
      <c r="E5583" t="s">
        <v>23879</v>
      </c>
      <c r="F5583" t="s">
        <v>32664</v>
      </c>
      <c r="G5583" t="s">
        <v>32671</v>
      </c>
      <c r="H5583" t="s">
        <v>12635</v>
      </c>
      <c r="I5583" t="s">
        <v>8730</v>
      </c>
      <c r="J5583" t="s">
        <v>36339</v>
      </c>
      <c r="K5583" t="s">
        <v>42284</v>
      </c>
      <c r="M5583" t="s">
        <v>44602</v>
      </c>
      <c r="N5583" t="s">
        <v>46569</v>
      </c>
      <c r="O5583" t="s">
        <v>46570</v>
      </c>
      <c r="P5583">
        <v>0</v>
      </c>
      <c r="Q5583">
        <v>1</v>
      </c>
      <c r="R5583" t="s">
        <v>46573</v>
      </c>
      <c r="S5583" t="s">
        <v>46705</v>
      </c>
      <c r="T5583" t="s">
        <v>48219</v>
      </c>
      <c r="U5583" t="s">
        <v>53425</v>
      </c>
      <c r="V5583" t="s">
        <v>62211</v>
      </c>
      <c r="W5583" t="s">
        <v>44602</v>
      </c>
      <c r="X5583" t="s">
        <v>46574</v>
      </c>
    </row>
    <row r="5584" spans="1:24">
      <c r="A5584">
        <f>HYPERLINK("https://www.philgeps.gov.ph/GEPSNONPILOT/Tender/SplashBidNoticeAbstractUI.aspx?menuIndex=3&amp;refID=7059709&amp;Result=3","7059709")</f>
        <v>0</v>
      </c>
      <c r="B5584" t="s">
        <v>527</v>
      </c>
      <c r="C5584" t="s">
        <v>8854</v>
      </c>
      <c r="D5584" t="s">
        <v>18784</v>
      </c>
      <c r="E5584" t="s">
        <v>23880</v>
      </c>
      <c r="F5584" t="s">
        <v>32664</v>
      </c>
      <c r="G5584" t="s">
        <v>32671</v>
      </c>
      <c r="H5584" t="s">
        <v>12635</v>
      </c>
      <c r="I5584" t="s">
        <v>32688</v>
      </c>
      <c r="J5584" t="s">
        <v>33931</v>
      </c>
      <c r="K5584" t="s">
        <v>42284</v>
      </c>
      <c r="M5584" t="s">
        <v>43496</v>
      </c>
      <c r="N5584" t="s">
        <v>46569</v>
      </c>
      <c r="O5584" t="s">
        <v>46570</v>
      </c>
      <c r="P5584">
        <v>0</v>
      </c>
      <c r="Q5584">
        <v>2</v>
      </c>
      <c r="R5584" t="s">
        <v>46573</v>
      </c>
      <c r="S5584" t="s">
        <v>46705</v>
      </c>
      <c r="T5584" t="s">
        <v>48287</v>
      </c>
      <c r="U5584" t="s">
        <v>53426</v>
      </c>
      <c r="W5584" t="s">
        <v>43496</v>
      </c>
      <c r="X5584" t="s">
        <v>46574</v>
      </c>
    </row>
    <row r="5585" spans="1:24">
      <c r="A5585">
        <f>HYPERLINK("https://www.philgeps.gov.ph/GEPSNONPILOT/Tender/SplashBidNoticeAbstractUI.aspx?menuIndex=3&amp;refID=7059745&amp;Result=3","7059745")</f>
        <v>0</v>
      </c>
      <c r="B5585" t="s">
        <v>1009</v>
      </c>
      <c r="C5585" t="s">
        <v>8855</v>
      </c>
      <c r="D5585" t="s">
        <v>18783</v>
      </c>
      <c r="E5585" t="s">
        <v>23881</v>
      </c>
      <c r="F5585" t="s">
        <v>32664</v>
      </c>
      <c r="G5585" t="s">
        <v>32672</v>
      </c>
      <c r="H5585" t="s">
        <v>32683</v>
      </c>
      <c r="I5585" t="s">
        <v>10627</v>
      </c>
      <c r="J5585" t="s">
        <v>34424</v>
      </c>
      <c r="K5585" t="s">
        <v>42443</v>
      </c>
      <c r="M5585" t="s">
        <v>44413</v>
      </c>
      <c r="N5585" t="s">
        <v>46569</v>
      </c>
      <c r="O5585" t="s">
        <v>46570</v>
      </c>
      <c r="P5585">
        <v>0</v>
      </c>
      <c r="Q5585">
        <v>1</v>
      </c>
      <c r="R5585" t="s">
        <v>46573</v>
      </c>
      <c r="S5585" t="s">
        <v>46705</v>
      </c>
      <c r="T5585" t="s">
        <v>48257</v>
      </c>
      <c r="U5585" t="s">
        <v>53427</v>
      </c>
      <c r="W5585" t="s">
        <v>44413</v>
      </c>
      <c r="X5585" t="s">
        <v>46574</v>
      </c>
    </row>
    <row r="5586" spans="1:24">
      <c r="A5586">
        <f>HYPERLINK("https://www.philgeps.gov.ph/GEPSNONPILOT/Tender/SplashBidNoticeAbstractUI.aspx?menuIndex=3&amp;refID=7059744&amp;Result=3","7059744")</f>
        <v>0</v>
      </c>
      <c r="B5586" t="s">
        <v>1884</v>
      </c>
      <c r="C5586" t="s">
        <v>8856</v>
      </c>
      <c r="D5586" t="s">
        <v>18784</v>
      </c>
      <c r="E5586" t="s">
        <v>23882</v>
      </c>
      <c r="F5586" t="s">
        <v>32664</v>
      </c>
      <c r="G5586" t="s">
        <v>32671</v>
      </c>
      <c r="H5586" t="s">
        <v>12635</v>
      </c>
      <c r="I5586" t="s">
        <v>8797</v>
      </c>
      <c r="J5586" t="s">
        <v>33163</v>
      </c>
      <c r="K5586" t="s">
        <v>42284</v>
      </c>
      <c r="M5586" t="s">
        <v>44603</v>
      </c>
      <c r="N5586" t="s">
        <v>46569</v>
      </c>
      <c r="O5586" t="s">
        <v>46570</v>
      </c>
      <c r="P5586">
        <v>0</v>
      </c>
      <c r="Q5586">
        <v>2</v>
      </c>
      <c r="R5586" t="s">
        <v>46573</v>
      </c>
      <c r="S5586" t="s">
        <v>46705</v>
      </c>
      <c r="T5586" t="s">
        <v>48219</v>
      </c>
      <c r="U5586" t="s">
        <v>53428</v>
      </c>
      <c r="V5586" t="s">
        <v>62212</v>
      </c>
      <c r="W5586" t="s">
        <v>44603</v>
      </c>
      <c r="X5586" t="s">
        <v>46574</v>
      </c>
    </row>
    <row r="5587" spans="1:24">
      <c r="A5587">
        <f>HYPERLINK("https://www.philgeps.gov.ph/GEPSNONPILOT/Tender/SplashBidNoticeAbstractUI.aspx?menuIndex=3&amp;refID=7059663&amp;Result=3","7059663")</f>
        <v>0</v>
      </c>
      <c r="B5587" t="s">
        <v>1875</v>
      </c>
      <c r="C5587" t="s">
        <v>8857</v>
      </c>
      <c r="D5587" t="s">
        <v>18816</v>
      </c>
      <c r="E5587" t="s">
        <v>23883</v>
      </c>
      <c r="F5587" t="s">
        <v>32664</v>
      </c>
      <c r="G5587" t="s">
        <v>32672</v>
      </c>
      <c r="H5587" t="s">
        <v>12635</v>
      </c>
      <c r="I5587" t="s">
        <v>6118</v>
      </c>
      <c r="J5587" t="s">
        <v>34293</v>
      </c>
      <c r="K5587" t="s">
        <v>42349</v>
      </c>
      <c r="M5587" t="s">
        <v>44592</v>
      </c>
      <c r="N5587" t="s">
        <v>46569</v>
      </c>
      <c r="O5587" t="s">
        <v>46570</v>
      </c>
      <c r="P5587">
        <v>0</v>
      </c>
      <c r="Q5587">
        <v>0</v>
      </c>
      <c r="R5587" t="s">
        <v>46573</v>
      </c>
      <c r="S5587" t="s">
        <v>46705</v>
      </c>
      <c r="T5587" t="s">
        <v>48349</v>
      </c>
      <c r="U5587" t="s">
        <v>53429</v>
      </c>
      <c r="W5587" t="s">
        <v>44592</v>
      </c>
      <c r="X5587" t="s">
        <v>46574</v>
      </c>
    </row>
    <row r="5588" spans="1:24">
      <c r="A5588">
        <f>HYPERLINK("https://www.philgeps.gov.ph/GEPSNONPILOT/Tender/SplashBidNoticeAbstractUI.aspx?menuIndex=3&amp;refID=7059748&amp;Result=3","7059748")</f>
        <v>0</v>
      </c>
      <c r="B5588" t="s">
        <v>1088</v>
      </c>
      <c r="C5588" t="s">
        <v>8858</v>
      </c>
      <c r="D5588" t="s">
        <v>18804</v>
      </c>
      <c r="E5588" t="s">
        <v>23884</v>
      </c>
      <c r="F5588" t="s">
        <v>32664</v>
      </c>
      <c r="G5588" t="s">
        <v>32671</v>
      </c>
      <c r="H5588" t="s">
        <v>12635</v>
      </c>
      <c r="I5588" t="s">
        <v>9486</v>
      </c>
      <c r="J5588" t="s">
        <v>33138</v>
      </c>
      <c r="K5588" t="s">
        <v>42303</v>
      </c>
      <c r="M5588" t="s">
        <v>44593</v>
      </c>
      <c r="N5588" t="s">
        <v>46569</v>
      </c>
      <c r="O5588" t="s">
        <v>46570</v>
      </c>
      <c r="P5588">
        <v>0</v>
      </c>
      <c r="Q5588">
        <v>0</v>
      </c>
      <c r="R5588" t="s">
        <v>46573</v>
      </c>
      <c r="S5588" t="s">
        <v>46705</v>
      </c>
      <c r="T5588" t="s">
        <v>48268</v>
      </c>
      <c r="U5588" t="s">
        <v>53430</v>
      </c>
      <c r="W5588" t="s">
        <v>44593</v>
      </c>
      <c r="X5588" t="s">
        <v>46574</v>
      </c>
    </row>
    <row r="5589" spans="1:24">
      <c r="A5589">
        <f>HYPERLINK("https://www.philgeps.gov.ph/GEPSNONPILOT/Tender/SplashBidNoticeAbstractUI.aspx?menuIndex=3&amp;refID=7059747&amp;Result=3","7059747")</f>
        <v>0</v>
      </c>
      <c r="B5589" t="s">
        <v>1885</v>
      </c>
      <c r="C5589" t="s">
        <v>8859</v>
      </c>
      <c r="D5589" t="s">
        <v>18805</v>
      </c>
      <c r="E5589" t="s">
        <v>19146</v>
      </c>
      <c r="F5589" t="s">
        <v>32665</v>
      </c>
      <c r="G5589" t="s">
        <v>32674</v>
      </c>
      <c r="H5589" t="s">
        <v>12635</v>
      </c>
      <c r="I5589" t="s">
        <v>6168</v>
      </c>
      <c r="J5589" t="s">
        <v>33038</v>
      </c>
      <c r="K5589" t="s">
        <v>42297</v>
      </c>
      <c r="M5589" t="s">
        <v>44604</v>
      </c>
      <c r="N5589" t="s">
        <v>46569</v>
      </c>
      <c r="O5589" t="s">
        <v>46570</v>
      </c>
      <c r="P5589">
        <v>0</v>
      </c>
      <c r="Q5589">
        <v>2</v>
      </c>
      <c r="R5589" t="s">
        <v>46573</v>
      </c>
      <c r="S5589" t="s">
        <v>46705</v>
      </c>
      <c r="T5589" t="s">
        <v>48549</v>
      </c>
      <c r="U5589" t="s">
        <v>53431</v>
      </c>
      <c r="W5589" t="s">
        <v>44604</v>
      </c>
      <c r="X5589" t="s">
        <v>46574</v>
      </c>
    </row>
    <row r="5590" spans="1:24">
      <c r="A5590">
        <f>HYPERLINK("https://www.philgeps.gov.ph/GEPSNONPILOT/Tender/SplashBidNoticeAbstractUI.aspx?menuIndex=3&amp;refID=7059739&amp;Result=3","7059739")</f>
        <v>0</v>
      </c>
      <c r="B5590" t="s">
        <v>646</v>
      </c>
      <c r="C5590" t="s">
        <v>8860</v>
      </c>
      <c r="E5590" t="s">
        <v>23885</v>
      </c>
      <c r="F5590" t="s">
        <v>32664</v>
      </c>
      <c r="G5590" t="s">
        <v>32672</v>
      </c>
      <c r="H5590" t="s">
        <v>32683</v>
      </c>
      <c r="I5590" t="s">
        <v>10627</v>
      </c>
      <c r="J5590" t="s">
        <v>36340</v>
      </c>
      <c r="K5590" t="s">
        <v>42298</v>
      </c>
      <c r="M5590" t="s">
        <v>43232</v>
      </c>
      <c r="N5590" t="s">
        <v>46569</v>
      </c>
      <c r="O5590" t="s">
        <v>46570</v>
      </c>
      <c r="P5590">
        <v>0</v>
      </c>
      <c r="Q5590">
        <v>1</v>
      </c>
      <c r="R5590" t="s">
        <v>46573</v>
      </c>
      <c r="S5590" t="s">
        <v>46705</v>
      </c>
      <c r="T5590" t="s">
        <v>48222</v>
      </c>
      <c r="U5590" t="s">
        <v>53432</v>
      </c>
      <c r="W5590" t="s">
        <v>43232</v>
      </c>
      <c r="X5590" t="s">
        <v>46574</v>
      </c>
    </row>
    <row r="5591" spans="1:24">
      <c r="A5591">
        <f>HYPERLINK("https://www.philgeps.gov.ph/GEPSNONPILOT/Tender/SplashBidNoticeAbstractUI.aspx?menuIndex=3&amp;refID=7059737&amp;Result=3","7059737")</f>
        <v>0</v>
      </c>
      <c r="B5591" t="s">
        <v>1835</v>
      </c>
      <c r="C5591" t="s">
        <v>8861</v>
      </c>
      <c r="D5591" t="s">
        <v>18806</v>
      </c>
      <c r="E5591" t="s">
        <v>23886</v>
      </c>
      <c r="F5591" t="s">
        <v>32664</v>
      </c>
      <c r="G5591" t="s">
        <v>32671</v>
      </c>
      <c r="H5591" t="s">
        <v>12635</v>
      </c>
      <c r="I5591" t="s">
        <v>5501</v>
      </c>
      <c r="J5591" t="s">
        <v>32959</v>
      </c>
      <c r="K5591" t="s">
        <v>42283</v>
      </c>
      <c r="M5591" t="s">
        <v>44542</v>
      </c>
      <c r="N5591" t="s">
        <v>46569</v>
      </c>
      <c r="O5591" t="s">
        <v>46570</v>
      </c>
      <c r="P5591">
        <v>0</v>
      </c>
      <c r="Q5591">
        <v>7</v>
      </c>
      <c r="R5591" t="s">
        <v>46573</v>
      </c>
      <c r="S5591" t="s">
        <v>46705</v>
      </c>
      <c r="T5591" t="s">
        <v>48287</v>
      </c>
      <c r="U5591" t="s">
        <v>53433</v>
      </c>
      <c r="W5591" t="s">
        <v>44542</v>
      </c>
      <c r="X5591" t="s">
        <v>46574</v>
      </c>
    </row>
    <row r="5592" spans="1:24">
      <c r="A5592">
        <f>HYPERLINK("https://www.philgeps.gov.ph/GEPSNONPILOT/Tender/SplashBidNoticeAbstractUI.aspx?menuIndex=3&amp;refID=7059736&amp;Result=3","7059736")</f>
        <v>0</v>
      </c>
      <c r="B5592" t="s">
        <v>1881</v>
      </c>
      <c r="C5592" t="s">
        <v>8862</v>
      </c>
      <c r="D5592" t="s">
        <v>18788</v>
      </c>
      <c r="E5592" t="s">
        <v>20724</v>
      </c>
      <c r="F5592" t="s">
        <v>32664</v>
      </c>
      <c r="G5592" t="s">
        <v>32671</v>
      </c>
      <c r="H5592" t="s">
        <v>12635</v>
      </c>
      <c r="I5592" t="s">
        <v>7759</v>
      </c>
      <c r="J5592" t="s">
        <v>36341</v>
      </c>
      <c r="K5592" t="s">
        <v>42283</v>
      </c>
      <c r="M5592" t="s">
        <v>44599</v>
      </c>
      <c r="N5592" t="s">
        <v>46569</v>
      </c>
      <c r="O5592" t="s">
        <v>46570</v>
      </c>
      <c r="P5592">
        <v>0</v>
      </c>
      <c r="Q5592">
        <v>0</v>
      </c>
      <c r="R5592" t="s">
        <v>46573</v>
      </c>
      <c r="S5592" t="s">
        <v>46705</v>
      </c>
      <c r="T5592" t="s">
        <v>48427</v>
      </c>
      <c r="U5592" t="s">
        <v>53434</v>
      </c>
      <c r="W5592" t="s">
        <v>44599</v>
      </c>
      <c r="X5592" t="s">
        <v>46574</v>
      </c>
    </row>
    <row r="5593" spans="1:24">
      <c r="A5593">
        <f>HYPERLINK("https://www.philgeps.gov.ph/GEPSNONPILOT/Tender/SplashBidNoticeAbstractUI.aspx?menuIndex=3&amp;refID=7059734&amp;Result=3","7059734")</f>
        <v>0</v>
      </c>
      <c r="B5593" t="s">
        <v>1886</v>
      </c>
      <c r="C5593" t="s">
        <v>8863</v>
      </c>
      <c r="D5593" t="s">
        <v>18785</v>
      </c>
      <c r="E5593" t="s">
        <v>23887</v>
      </c>
      <c r="F5593" t="s">
        <v>32664</v>
      </c>
      <c r="G5593" t="s">
        <v>32671</v>
      </c>
      <c r="H5593" t="s">
        <v>12635</v>
      </c>
      <c r="I5593" t="s">
        <v>8797</v>
      </c>
      <c r="J5593" t="s">
        <v>36342</v>
      </c>
      <c r="K5593" t="s">
        <v>42295</v>
      </c>
      <c r="M5593" t="s">
        <v>44605</v>
      </c>
      <c r="N5593" t="s">
        <v>46569</v>
      </c>
      <c r="O5593" t="s">
        <v>46570</v>
      </c>
      <c r="P5593">
        <v>0</v>
      </c>
      <c r="Q5593">
        <v>9</v>
      </c>
      <c r="R5593" t="s">
        <v>46573</v>
      </c>
      <c r="S5593" t="s">
        <v>46705</v>
      </c>
      <c r="T5593" t="s">
        <v>48290</v>
      </c>
      <c r="U5593" t="s">
        <v>53435</v>
      </c>
      <c r="W5593" t="s">
        <v>44605</v>
      </c>
      <c r="X5593" t="s">
        <v>46574</v>
      </c>
    </row>
    <row r="5594" spans="1:24">
      <c r="A5594">
        <f>HYPERLINK("https://www.philgeps.gov.ph/GEPSNONPILOT/Tender/SplashBidNoticeAbstractUI.aspx?menuIndex=3&amp;refID=7059733&amp;Result=3","7059733")</f>
        <v>0</v>
      </c>
      <c r="B5594" t="s">
        <v>611</v>
      </c>
      <c r="C5594" t="s">
        <v>8864</v>
      </c>
      <c r="D5594" t="s">
        <v>18784</v>
      </c>
      <c r="E5594" t="s">
        <v>23888</v>
      </c>
      <c r="F5594" t="s">
        <v>32664</v>
      </c>
      <c r="G5594" t="s">
        <v>32671</v>
      </c>
      <c r="H5594" t="s">
        <v>12635</v>
      </c>
      <c r="I5594" t="s">
        <v>6223</v>
      </c>
      <c r="J5594" t="s">
        <v>36343</v>
      </c>
      <c r="K5594" t="s">
        <v>42283</v>
      </c>
      <c r="M5594" t="s">
        <v>43191</v>
      </c>
      <c r="N5594" t="s">
        <v>46569</v>
      </c>
      <c r="O5594" t="s">
        <v>46570</v>
      </c>
      <c r="P5594">
        <v>0</v>
      </c>
      <c r="Q5594">
        <v>7</v>
      </c>
      <c r="R5594" t="s">
        <v>46573</v>
      </c>
      <c r="S5594" t="s">
        <v>46705</v>
      </c>
      <c r="T5594" t="s">
        <v>48217</v>
      </c>
      <c r="U5594" t="s">
        <v>53191</v>
      </c>
      <c r="W5594" t="s">
        <v>43191</v>
      </c>
      <c r="X5594" t="s">
        <v>46574</v>
      </c>
    </row>
    <row r="5595" spans="1:24">
      <c r="A5595">
        <f>HYPERLINK("https://www.philgeps.gov.ph/GEPSNONPILOT/Tender/SplashBidNoticeAbstractUI.aspx?menuIndex=3&amp;refID=7059730&amp;Result=3","7059730")</f>
        <v>0</v>
      </c>
      <c r="B5595" t="s">
        <v>1713</v>
      </c>
      <c r="C5595" t="s">
        <v>8865</v>
      </c>
      <c r="D5595" t="s">
        <v>18799</v>
      </c>
      <c r="E5595" t="s">
        <v>23889</v>
      </c>
      <c r="F5595" t="s">
        <v>32664</v>
      </c>
      <c r="G5595" t="s">
        <v>32675</v>
      </c>
      <c r="H5595" t="s">
        <v>12635</v>
      </c>
      <c r="I5595" t="s">
        <v>4205</v>
      </c>
      <c r="J5595" t="s">
        <v>36344</v>
      </c>
      <c r="K5595" t="s">
        <v>42284</v>
      </c>
      <c r="M5595" t="s">
        <v>44408</v>
      </c>
      <c r="N5595" t="s">
        <v>46569</v>
      </c>
      <c r="O5595" t="s">
        <v>46570</v>
      </c>
      <c r="P5595">
        <v>0</v>
      </c>
      <c r="Q5595">
        <v>2</v>
      </c>
      <c r="R5595" t="s">
        <v>46573</v>
      </c>
      <c r="S5595" t="s">
        <v>46705</v>
      </c>
      <c r="T5595" t="s">
        <v>48287</v>
      </c>
      <c r="U5595" t="s">
        <v>53419</v>
      </c>
      <c r="W5595" t="s">
        <v>63529</v>
      </c>
      <c r="X5595" t="s">
        <v>46574</v>
      </c>
    </row>
    <row r="5596" spans="1:24">
      <c r="A5596">
        <f>HYPERLINK("https://www.philgeps.gov.ph/GEPSNONPILOT/Tender/SplashBidNoticeAbstractUI.aspx?menuIndex=3&amp;refID=7059628&amp;Result=3","7059628")</f>
        <v>0</v>
      </c>
      <c r="B5596" t="s">
        <v>1088</v>
      </c>
      <c r="C5596" t="s">
        <v>8866</v>
      </c>
      <c r="D5596" t="s">
        <v>18804</v>
      </c>
      <c r="E5596" t="s">
        <v>23890</v>
      </c>
      <c r="F5596" t="s">
        <v>32664</v>
      </c>
      <c r="G5596" t="s">
        <v>32671</v>
      </c>
      <c r="H5596" t="s">
        <v>12635</v>
      </c>
      <c r="I5596" t="s">
        <v>9486</v>
      </c>
      <c r="J5596" t="s">
        <v>36345</v>
      </c>
      <c r="K5596" t="s">
        <v>42303</v>
      </c>
      <c r="M5596" t="s">
        <v>44593</v>
      </c>
      <c r="N5596" t="s">
        <v>46569</v>
      </c>
      <c r="O5596" t="s">
        <v>46570</v>
      </c>
      <c r="P5596">
        <v>0</v>
      </c>
      <c r="Q5596">
        <v>0</v>
      </c>
      <c r="R5596" t="s">
        <v>46573</v>
      </c>
      <c r="S5596" t="s">
        <v>46705</v>
      </c>
      <c r="T5596" t="s">
        <v>48268</v>
      </c>
      <c r="U5596" t="s">
        <v>53436</v>
      </c>
      <c r="W5596" t="s">
        <v>44593</v>
      </c>
      <c r="X5596" t="s">
        <v>46574</v>
      </c>
    </row>
    <row r="5597" spans="1:24">
      <c r="A5597">
        <f>HYPERLINK("https://www.philgeps.gov.ph/GEPSNONPILOT/Tender/SplashBidNoticeAbstractUI.aspx?menuIndex=3&amp;refID=7059732&amp;Result=3","7059732")</f>
        <v>0</v>
      </c>
      <c r="B5597" t="s">
        <v>1884</v>
      </c>
      <c r="C5597" t="s">
        <v>8867</v>
      </c>
      <c r="D5597" t="s">
        <v>18784</v>
      </c>
      <c r="E5597" t="s">
        <v>23891</v>
      </c>
      <c r="F5597" t="s">
        <v>32664</v>
      </c>
      <c r="G5597" t="s">
        <v>32671</v>
      </c>
      <c r="H5597" t="s">
        <v>12635</v>
      </c>
      <c r="I5597" t="s">
        <v>8797</v>
      </c>
      <c r="J5597" t="s">
        <v>34207</v>
      </c>
      <c r="K5597" t="s">
        <v>42284</v>
      </c>
      <c r="M5597" t="s">
        <v>44603</v>
      </c>
      <c r="N5597" t="s">
        <v>46569</v>
      </c>
      <c r="O5597" t="s">
        <v>46570</v>
      </c>
      <c r="P5597">
        <v>0</v>
      </c>
      <c r="Q5597">
        <v>3</v>
      </c>
      <c r="R5597" t="s">
        <v>46573</v>
      </c>
      <c r="S5597" t="s">
        <v>46705</v>
      </c>
      <c r="T5597" t="s">
        <v>48219</v>
      </c>
      <c r="U5597" t="s">
        <v>53437</v>
      </c>
      <c r="V5597" t="s">
        <v>62212</v>
      </c>
      <c r="W5597" t="s">
        <v>44603</v>
      </c>
      <c r="X5597" t="s">
        <v>46574</v>
      </c>
    </row>
    <row r="5598" spans="1:24">
      <c r="A5598">
        <f>HYPERLINK("https://www.philgeps.gov.ph/GEPSNONPILOT/Tender/SplashBidNoticeAbstractUI.aspx?menuIndex=3&amp;refID=7059725&amp;Result=3","7059725")</f>
        <v>0</v>
      </c>
      <c r="B5598" t="s">
        <v>287</v>
      </c>
      <c r="C5598" t="s">
        <v>8868</v>
      </c>
      <c r="D5598" t="s">
        <v>18847</v>
      </c>
      <c r="E5598" t="s">
        <v>23892</v>
      </c>
      <c r="F5598" t="s">
        <v>32664</v>
      </c>
      <c r="G5598" t="s">
        <v>32674</v>
      </c>
      <c r="H5598" t="s">
        <v>12635</v>
      </c>
      <c r="I5598" t="s">
        <v>8797</v>
      </c>
      <c r="J5598" t="s">
        <v>36346</v>
      </c>
      <c r="K5598" t="s">
        <v>42289</v>
      </c>
      <c r="M5598" t="s">
        <v>42854</v>
      </c>
      <c r="N5598" t="s">
        <v>46569</v>
      </c>
      <c r="O5598" t="s">
        <v>46570</v>
      </c>
      <c r="P5598">
        <v>0</v>
      </c>
      <c r="Q5598">
        <v>6</v>
      </c>
      <c r="R5598" t="s">
        <v>46573</v>
      </c>
      <c r="S5598" t="s">
        <v>46705</v>
      </c>
      <c r="T5598" t="s">
        <v>48221</v>
      </c>
      <c r="U5598" t="s">
        <v>53438</v>
      </c>
      <c r="V5598" t="s">
        <v>61688</v>
      </c>
      <c r="W5598" t="s">
        <v>42854</v>
      </c>
      <c r="X5598" t="s">
        <v>46574</v>
      </c>
    </row>
    <row r="5599" spans="1:24">
      <c r="A5599">
        <f>HYPERLINK("https://www.philgeps.gov.ph/GEPSNONPILOT/Tender/SplashBidNoticeAbstractUI.aspx?menuIndex=3&amp;refID=7059727&amp;Result=3","7059727")</f>
        <v>0</v>
      </c>
      <c r="B5599" t="s">
        <v>617</v>
      </c>
      <c r="C5599" t="s">
        <v>8869</v>
      </c>
      <c r="D5599" t="s">
        <v>18784</v>
      </c>
      <c r="E5599" t="s">
        <v>23893</v>
      </c>
      <c r="F5599" t="s">
        <v>32664</v>
      </c>
      <c r="G5599" t="s">
        <v>32674</v>
      </c>
      <c r="H5599" t="s">
        <v>12635</v>
      </c>
      <c r="I5599" t="s">
        <v>8730</v>
      </c>
      <c r="J5599" t="s">
        <v>34182</v>
      </c>
      <c r="K5599" t="s">
        <v>42289</v>
      </c>
      <c r="M5599" t="s">
        <v>43197</v>
      </c>
      <c r="N5599" t="s">
        <v>46569</v>
      </c>
      <c r="O5599" t="s">
        <v>46570</v>
      </c>
      <c r="P5599">
        <v>0</v>
      </c>
      <c r="Q5599">
        <v>2</v>
      </c>
      <c r="R5599" t="s">
        <v>46573</v>
      </c>
      <c r="S5599" t="s">
        <v>46705</v>
      </c>
      <c r="T5599" t="s">
        <v>48448</v>
      </c>
      <c r="U5599" t="s">
        <v>53439</v>
      </c>
      <c r="W5599" t="s">
        <v>43197</v>
      </c>
      <c r="X5599" t="s">
        <v>46574</v>
      </c>
    </row>
    <row r="5600" spans="1:24">
      <c r="A5600">
        <f>HYPERLINK("https://www.philgeps.gov.ph/GEPSNONPILOT/Tender/SplashBidNoticeAbstractUI.aspx?menuIndex=3&amp;refID=7059724&amp;Result=3","7059724")</f>
        <v>0</v>
      </c>
      <c r="B5600" t="s">
        <v>1887</v>
      </c>
      <c r="C5600" t="s">
        <v>8870</v>
      </c>
      <c r="D5600" t="s">
        <v>18781</v>
      </c>
      <c r="E5600" t="s">
        <v>23894</v>
      </c>
      <c r="F5600" t="s">
        <v>32664</v>
      </c>
      <c r="G5600" t="s">
        <v>32671</v>
      </c>
      <c r="H5600" t="s">
        <v>12635</v>
      </c>
      <c r="I5600" t="s">
        <v>32685</v>
      </c>
      <c r="J5600" t="s">
        <v>33126</v>
      </c>
      <c r="K5600" t="s">
        <v>42283</v>
      </c>
      <c r="M5600" t="s">
        <v>44606</v>
      </c>
      <c r="N5600" t="s">
        <v>46569</v>
      </c>
      <c r="O5600" t="s">
        <v>46570</v>
      </c>
      <c r="P5600">
        <v>0</v>
      </c>
      <c r="Q5600">
        <v>2</v>
      </c>
      <c r="R5600" t="s">
        <v>46573</v>
      </c>
      <c r="S5600" t="s">
        <v>46705</v>
      </c>
      <c r="T5600" t="s">
        <v>48254</v>
      </c>
      <c r="U5600" t="s">
        <v>53440</v>
      </c>
      <c r="W5600" t="s">
        <v>44606</v>
      </c>
      <c r="X5600" t="s">
        <v>46574</v>
      </c>
    </row>
    <row r="5601" spans="1:24">
      <c r="A5601">
        <f>HYPERLINK("https://www.philgeps.gov.ph/GEPSNONPILOT/Tender/SplashBidNoticeAbstractUI.aspx?menuIndex=3&amp;refID=7059728&amp;Result=3","7059728")</f>
        <v>0</v>
      </c>
      <c r="B5601" t="s">
        <v>1853</v>
      </c>
      <c r="C5601" t="s">
        <v>8871</v>
      </c>
      <c r="D5601" t="s">
        <v>18785</v>
      </c>
      <c r="E5601" t="s">
        <v>23895</v>
      </c>
      <c r="F5601" t="s">
        <v>32664</v>
      </c>
      <c r="G5601" t="s">
        <v>32671</v>
      </c>
      <c r="H5601" t="s">
        <v>12635</v>
      </c>
      <c r="I5601" t="s">
        <v>6223</v>
      </c>
      <c r="J5601" t="s">
        <v>36347</v>
      </c>
      <c r="K5601" t="s">
        <v>42284</v>
      </c>
      <c r="M5601" t="s">
        <v>44564</v>
      </c>
      <c r="N5601" t="s">
        <v>46569</v>
      </c>
      <c r="O5601" t="s">
        <v>46570</v>
      </c>
      <c r="P5601">
        <v>0</v>
      </c>
      <c r="Q5601">
        <v>1</v>
      </c>
      <c r="R5601" t="s">
        <v>46573</v>
      </c>
      <c r="S5601" t="s">
        <v>46705</v>
      </c>
      <c r="T5601" t="s">
        <v>48287</v>
      </c>
      <c r="U5601" t="s">
        <v>53441</v>
      </c>
      <c r="W5601" t="s">
        <v>44564</v>
      </c>
      <c r="X5601" t="s">
        <v>46574</v>
      </c>
    </row>
    <row r="5602" spans="1:24">
      <c r="A5602">
        <f>HYPERLINK("https://www.philgeps.gov.ph/GEPSNONPILOT/Tender/SplashBidNoticeAbstractUI.aspx?menuIndex=3&amp;refID=7059721&amp;Result=3","7059721")</f>
        <v>0</v>
      </c>
      <c r="B5602" t="s">
        <v>1838</v>
      </c>
      <c r="C5602" t="s">
        <v>8872</v>
      </c>
      <c r="D5602" t="s">
        <v>18799</v>
      </c>
      <c r="E5602" t="s">
        <v>23896</v>
      </c>
      <c r="F5602" t="s">
        <v>32664</v>
      </c>
      <c r="G5602" t="s">
        <v>32674</v>
      </c>
      <c r="H5602" t="s">
        <v>12635</v>
      </c>
      <c r="I5602" t="s">
        <v>14442</v>
      </c>
      <c r="J5602" t="s">
        <v>33147</v>
      </c>
      <c r="K5602" t="s">
        <v>42305</v>
      </c>
      <c r="M5602" t="s">
        <v>44546</v>
      </c>
      <c r="N5602" t="s">
        <v>46569</v>
      </c>
      <c r="O5602" t="s">
        <v>46570</v>
      </c>
      <c r="P5602">
        <v>0</v>
      </c>
      <c r="Q5602">
        <v>1</v>
      </c>
      <c r="R5602" t="s">
        <v>46573</v>
      </c>
      <c r="S5602" t="s">
        <v>46705</v>
      </c>
      <c r="T5602" t="s">
        <v>48316</v>
      </c>
      <c r="U5602" t="s">
        <v>49565</v>
      </c>
      <c r="W5602" t="s">
        <v>44546</v>
      </c>
      <c r="X5602" t="s">
        <v>46574</v>
      </c>
    </row>
    <row r="5603" spans="1:24">
      <c r="A5603">
        <f>HYPERLINK("https://www.philgeps.gov.ph/GEPSNONPILOT/Tender/SplashBidNoticeAbstractUI.aspx?menuIndex=3&amp;refID=7059687&amp;Result=3","7059687")</f>
        <v>0</v>
      </c>
      <c r="B5603" t="s">
        <v>347</v>
      </c>
      <c r="C5603" t="s">
        <v>8873</v>
      </c>
      <c r="D5603" t="s">
        <v>18792</v>
      </c>
      <c r="E5603" t="s">
        <v>23897</v>
      </c>
      <c r="F5603" t="s">
        <v>32664</v>
      </c>
      <c r="G5603" t="s">
        <v>32671</v>
      </c>
      <c r="H5603" t="s">
        <v>12635</v>
      </c>
      <c r="I5603" t="s">
        <v>10370</v>
      </c>
      <c r="J5603" t="s">
        <v>33706</v>
      </c>
      <c r="K5603" t="s">
        <v>42281</v>
      </c>
      <c r="M5603" t="s">
        <v>42916</v>
      </c>
      <c r="N5603" t="s">
        <v>46569</v>
      </c>
      <c r="O5603" t="s">
        <v>46570</v>
      </c>
      <c r="P5603">
        <v>0</v>
      </c>
      <c r="Q5603">
        <v>0</v>
      </c>
      <c r="R5603" t="s">
        <v>46573</v>
      </c>
      <c r="S5603" t="s">
        <v>46705</v>
      </c>
      <c r="T5603" t="s">
        <v>48283</v>
      </c>
      <c r="U5603" t="s">
        <v>52322</v>
      </c>
      <c r="W5603" t="s">
        <v>42916</v>
      </c>
      <c r="X5603" t="s">
        <v>46574</v>
      </c>
    </row>
    <row r="5604" spans="1:24">
      <c r="A5604">
        <f>HYPERLINK("https://www.philgeps.gov.ph/GEPSNONPILOT/Tender/SplashBidNoticeAbstractUI.aspx?menuIndex=3&amp;refID=7059657&amp;Result=3","7059657")</f>
        <v>0</v>
      </c>
      <c r="B5604" t="s">
        <v>1888</v>
      </c>
      <c r="C5604" t="s">
        <v>8874</v>
      </c>
      <c r="D5604" t="s">
        <v>18799</v>
      </c>
      <c r="E5604" t="s">
        <v>23898</v>
      </c>
      <c r="F5604" t="s">
        <v>32664</v>
      </c>
      <c r="G5604" t="s">
        <v>32671</v>
      </c>
      <c r="H5604" t="s">
        <v>12635</v>
      </c>
      <c r="I5604" t="s">
        <v>6628</v>
      </c>
      <c r="J5604" t="s">
        <v>36348</v>
      </c>
      <c r="K5604" t="s">
        <v>42283</v>
      </c>
      <c r="M5604" t="s">
        <v>44607</v>
      </c>
      <c r="N5604" t="s">
        <v>46569</v>
      </c>
      <c r="O5604" t="s">
        <v>46570</v>
      </c>
      <c r="P5604">
        <v>0</v>
      </c>
      <c r="Q5604">
        <v>4</v>
      </c>
      <c r="R5604" t="s">
        <v>46573</v>
      </c>
      <c r="S5604" t="s">
        <v>46705</v>
      </c>
      <c r="T5604" t="s">
        <v>48427</v>
      </c>
      <c r="U5604" t="s">
        <v>53442</v>
      </c>
      <c r="W5604" t="s">
        <v>44607</v>
      </c>
      <c r="X5604" t="s">
        <v>46574</v>
      </c>
    </row>
    <row r="5605" spans="1:24">
      <c r="A5605">
        <f>HYPERLINK("https://www.philgeps.gov.ph/GEPSNONPILOT/Tender/SplashBidNoticeAbstractUI.aspx?menuIndex=3&amp;refID=7059723&amp;Result=3","7059723")</f>
        <v>0</v>
      </c>
      <c r="B5605" t="s">
        <v>1871</v>
      </c>
      <c r="C5605" t="s">
        <v>8875</v>
      </c>
      <c r="D5605" t="s">
        <v>18826</v>
      </c>
      <c r="E5605" t="s">
        <v>23899</v>
      </c>
      <c r="F5605" t="s">
        <v>32664</v>
      </c>
      <c r="G5605" t="s">
        <v>32671</v>
      </c>
      <c r="H5605" t="s">
        <v>32683</v>
      </c>
      <c r="I5605" t="s">
        <v>10627</v>
      </c>
      <c r="J5605" t="s">
        <v>33128</v>
      </c>
      <c r="K5605" t="s">
        <v>42289</v>
      </c>
      <c r="M5605" t="s">
        <v>44586</v>
      </c>
      <c r="N5605" t="s">
        <v>46569</v>
      </c>
      <c r="O5605" t="s">
        <v>46570</v>
      </c>
      <c r="P5605">
        <v>0</v>
      </c>
      <c r="Q5605">
        <v>0</v>
      </c>
      <c r="R5605" t="s">
        <v>46573</v>
      </c>
      <c r="S5605" t="s">
        <v>46705</v>
      </c>
      <c r="T5605" t="s">
        <v>48316</v>
      </c>
      <c r="U5605" t="s">
        <v>53443</v>
      </c>
      <c r="V5605" t="s">
        <v>62213</v>
      </c>
      <c r="W5605" t="s">
        <v>44586</v>
      </c>
      <c r="X5605" t="s">
        <v>46574</v>
      </c>
    </row>
    <row r="5606" spans="1:24">
      <c r="A5606">
        <f>HYPERLINK("https://www.philgeps.gov.ph/GEPSNONPILOT/Tender/SplashBidNoticeAbstractUI.aspx?menuIndex=3&amp;refID=7059635&amp;Result=3","7059635")</f>
        <v>0</v>
      </c>
      <c r="B5606" t="s">
        <v>1838</v>
      </c>
      <c r="C5606" t="s">
        <v>8876</v>
      </c>
      <c r="D5606" t="s">
        <v>18799</v>
      </c>
      <c r="E5606" t="s">
        <v>23900</v>
      </c>
      <c r="F5606" t="s">
        <v>32664</v>
      </c>
      <c r="G5606" t="s">
        <v>32674</v>
      </c>
      <c r="H5606" t="s">
        <v>12635</v>
      </c>
      <c r="I5606" t="s">
        <v>32704</v>
      </c>
      <c r="J5606" t="s">
        <v>36349</v>
      </c>
      <c r="K5606" t="s">
        <v>42305</v>
      </c>
      <c r="M5606" t="s">
        <v>44546</v>
      </c>
      <c r="N5606" t="s">
        <v>46569</v>
      </c>
      <c r="O5606" t="s">
        <v>46570</v>
      </c>
      <c r="P5606">
        <v>0</v>
      </c>
      <c r="Q5606">
        <v>19</v>
      </c>
      <c r="R5606" t="s">
        <v>46573</v>
      </c>
      <c r="S5606" t="s">
        <v>46705</v>
      </c>
      <c r="T5606" t="s">
        <v>48316</v>
      </c>
      <c r="U5606" t="s">
        <v>49565</v>
      </c>
      <c r="W5606" t="s">
        <v>44546</v>
      </c>
      <c r="X5606" t="s">
        <v>46574</v>
      </c>
    </row>
    <row r="5607" spans="1:24">
      <c r="A5607">
        <f>HYPERLINK("https://www.philgeps.gov.ph/GEPSNONPILOT/Tender/SplashBidNoticeAbstractUI.aspx?menuIndex=3&amp;refID=7059655&amp;Result=3","7059655")</f>
        <v>0</v>
      </c>
      <c r="B5607" t="s">
        <v>1889</v>
      </c>
      <c r="C5607" t="s">
        <v>8877</v>
      </c>
      <c r="D5607" t="s">
        <v>18837</v>
      </c>
      <c r="E5607" t="s">
        <v>23901</v>
      </c>
      <c r="F5607" t="s">
        <v>32664</v>
      </c>
      <c r="G5607" t="s">
        <v>32672</v>
      </c>
      <c r="H5607" t="s">
        <v>32683</v>
      </c>
      <c r="I5607" t="s">
        <v>10627</v>
      </c>
      <c r="J5607" t="s">
        <v>33021</v>
      </c>
      <c r="K5607" t="s">
        <v>42298</v>
      </c>
      <c r="M5607" t="s">
        <v>44608</v>
      </c>
      <c r="N5607" t="s">
        <v>46569</v>
      </c>
      <c r="O5607" t="s">
        <v>46570</v>
      </c>
      <c r="P5607">
        <v>0</v>
      </c>
      <c r="Q5607">
        <v>1</v>
      </c>
      <c r="R5607" t="s">
        <v>46573</v>
      </c>
      <c r="S5607" t="s">
        <v>46705</v>
      </c>
      <c r="T5607" t="s">
        <v>48283</v>
      </c>
      <c r="U5607" t="s">
        <v>53444</v>
      </c>
      <c r="W5607" t="s">
        <v>44608</v>
      </c>
      <c r="X5607" t="s">
        <v>46574</v>
      </c>
    </row>
    <row r="5608" spans="1:24">
      <c r="A5608">
        <f>HYPERLINK("https://www.philgeps.gov.ph/GEPSNONPILOT/Tender/SplashBidNoticeAbstractUI.aspx?menuIndex=3&amp;refID=7059652&amp;Result=3","7059652")</f>
        <v>0</v>
      </c>
      <c r="B5608" t="s">
        <v>1549</v>
      </c>
      <c r="C5608" t="s">
        <v>8878</v>
      </c>
      <c r="D5608" t="s">
        <v>18799</v>
      </c>
      <c r="E5608" t="s">
        <v>23902</v>
      </c>
      <c r="F5608" t="s">
        <v>32664</v>
      </c>
      <c r="G5608" t="s">
        <v>32674</v>
      </c>
      <c r="H5608" t="s">
        <v>12635</v>
      </c>
      <c r="I5608" t="s">
        <v>5589</v>
      </c>
      <c r="J5608" t="s">
        <v>34073</v>
      </c>
      <c r="K5608" t="s">
        <v>42281</v>
      </c>
      <c r="M5608" t="s">
        <v>44218</v>
      </c>
      <c r="N5608" t="s">
        <v>46569</v>
      </c>
      <c r="O5608" t="s">
        <v>46570</v>
      </c>
      <c r="P5608">
        <v>0</v>
      </c>
      <c r="Q5608">
        <v>6</v>
      </c>
      <c r="R5608" t="s">
        <v>46573</v>
      </c>
      <c r="S5608" t="s">
        <v>46705</v>
      </c>
      <c r="T5608" t="s">
        <v>48307</v>
      </c>
      <c r="U5608" t="s">
        <v>53445</v>
      </c>
      <c r="W5608" t="s">
        <v>44218</v>
      </c>
      <c r="X5608" t="s">
        <v>46574</v>
      </c>
    </row>
    <row r="5609" spans="1:24">
      <c r="A5609">
        <f>HYPERLINK("https://www.philgeps.gov.ph/GEPSNONPILOT/Tender/SplashBidNoticeAbstractUI.aspx?menuIndex=3&amp;refID=7059661&amp;Result=3","7059661")</f>
        <v>0</v>
      </c>
      <c r="B5609" t="s">
        <v>1862</v>
      </c>
      <c r="C5609" t="s">
        <v>8879</v>
      </c>
      <c r="D5609" t="s">
        <v>18816</v>
      </c>
      <c r="E5609" t="s">
        <v>23903</v>
      </c>
      <c r="F5609" t="s">
        <v>32664</v>
      </c>
      <c r="G5609" t="s">
        <v>32675</v>
      </c>
      <c r="H5609" t="s">
        <v>12635</v>
      </c>
      <c r="I5609" t="s">
        <v>32685</v>
      </c>
      <c r="J5609" t="s">
        <v>32842</v>
      </c>
      <c r="K5609" t="s">
        <v>42281</v>
      </c>
      <c r="M5609" t="s">
        <v>44574</v>
      </c>
      <c r="N5609" t="s">
        <v>46569</v>
      </c>
      <c r="O5609" t="s">
        <v>46570</v>
      </c>
      <c r="P5609">
        <v>0</v>
      </c>
      <c r="Q5609">
        <v>1</v>
      </c>
      <c r="R5609" t="s">
        <v>46573</v>
      </c>
      <c r="S5609" t="s">
        <v>46705</v>
      </c>
      <c r="T5609" t="s">
        <v>48316</v>
      </c>
      <c r="U5609" t="s">
        <v>53446</v>
      </c>
      <c r="W5609" t="s">
        <v>44574</v>
      </c>
      <c r="X5609" t="s">
        <v>46574</v>
      </c>
    </row>
    <row r="5610" spans="1:24">
      <c r="A5610">
        <f>HYPERLINK("https://www.philgeps.gov.ph/GEPSNONPILOT/Tender/SplashBidNoticeAbstractUI.aspx?menuIndex=3&amp;refID=7059623&amp;Result=3","7059623")</f>
        <v>0</v>
      </c>
      <c r="B5610" t="s">
        <v>1811</v>
      </c>
      <c r="C5610" t="s">
        <v>8880</v>
      </c>
      <c r="D5610" t="s">
        <v>18805</v>
      </c>
      <c r="E5610" t="s">
        <v>23904</v>
      </c>
      <c r="F5610" t="s">
        <v>32664</v>
      </c>
      <c r="G5610" t="s">
        <v>32672</v>
      </c>
      <c r="H5610" t="s">
        <v>12635</v>
      </c>
      <c r="I5610" t="s">
        <v>5589</v>
      </c>
      <c r="J5610" t="s">
        <v>33294</v>
      </c>
      <c r="K5610" t="s">
        <v>42283</v>
      </c>
      <c r="M5610" t="s">
        <v>44517</v>
      </c>
      <c r="N5610" t="s">
        <v>46569</v>
      </c>
      <c r="O5610" t="s">
        <v>46570</v>
      </c>
      <c r="P5610">
        <v>0</v>
      </c>
      <c r="Q5610">
        <v>1</v>
      </c>
      <c r="R5610" t="s">
        <v>46573</v>
      </c>
      <c r="S5610" t="s">
        <v>46705</v>
      </c>
      <c r="T5610" t="s">
        <v>48411</v>
      </c>
      <c r="U5610" t="s">
        <v>53447</v>
      </c>
      <c r="V5610" t="s">
        <v>62197</v>
      </c>
      <c r="W5610" t="s">
        <v>44517</v>
      </c>
      <c r="X5610" t="s">
        <v>46574</v>
      </c>
    </row>
    <row r="5611" spans="1:24">
      <c r="A5611">
        <f>HYPERLINK("https://www.philgeps.gov.ph/GEPSNONPILOT/Tender/SplashBidNoticeAbstractUI.aspx?menuIndex=3&amp;refID=7059621&amp;Result=3","7059621")</f>
        <v>0</v>
      </c>
      <c r="B5611" t="s">
        <v>1890</v>
      </c>
      <c r="C5611" t="s">
        <v>8881</v>
      </c>
      <c r="D5611" t="s">
        <v>18855</v>
      </c>
      <c r="E5611" t="s">
        <v>23905</v>
      </c>
      <c r="F5611" t="s">
        <v>32664</v>
      </c>
      <c r="G5611" t="s">
        <v>32671</v>
      </c>
      <c r="H5611" t="s">
        <v>12635</v>
      </c>
      <c r="I5611" t="s">
        <v>6223</v>
      </c>
      <c r="J5611" t="s">
        <v>36350</v>
      </c>
      <c r="K5611" t="s">
        <v>42283</v>
      </c>
      <c r="M5611" t="s">
        <v>44609</v>
      </c>
      <c r="N5611" t="s">
        <v>46569</v>
      </c>
      <c r="O5611" t="s">
        <v>46570</v>
      </c>
      <c r="P5611">
        <v>0</v>
      </c>
      <c r="Q5611">
        <v>1</v>
      </c>
      <c r="R5611" t="s">
        <v>46573</v>
      </c>
      <c r="S5611" t="s">
        <v>46705</v>
      </c>
      <c r="T5611" t="s">
        <v>48550</v>
      </c>
      <c r="U5611" t="s">
        <v>53448</v>
      </c>
      <c r="W5611" t="s">
        <v>44609</v>
      </c>
      <c r="X5611" t="s">
        <v>46574</v>
      </c>
    </row>
    <row r="5612" spans="1:24">
      <c r="A5612">
        <f>HYPERLINK("https://www.philgeps.gov.ph/GEPSNONPILOT/Tender/SplashBidNoticeAbstractUI.aspx?menuIndex=3&amp;refID=7059590&amp;Result=3","7059590")</f>
        <v>0</v>
      </c>
      <c r="B5612" t="s">
        <v>490</v>
      </c>
      <c r="C5612" t="s">
        <v>8882</v>
      </c>
      <c r="D5612" t="s">
        <v>18805</v>
      </c>
      <c r="E5612" t="s">
        <v>23906</v>
      </c>
      <c r="F5612" t="s">
        <v>32664</v>
      </c>
      <c r="G5612" t="s">
        <v>32671</v>
      </c>
      <c r="H5612" t="s">
        <v>12635</v>
      </c>
      <c r="I5612" t="s">
        <v>5589</v>
      </c>
      <c r="J5612" t="s">
        <v>32842</v>
      </c>
      <c r="K5612" t="s">
        <v>42283</v>
      </c>
      <c r="M5612" t="s">
        <v>43066</v>
      </c>
      <c r="N5612" t="s">
        <v>46569</v>
      </c>
      <c r="O5612" t="s">
        <v>46570</v>
      </c>
      <c r="P5612">
        <v>0</v>
      </c>
      <c r="Q5612">
        <v>1</v>
      </c>
      <c r="R5612" t="s">
        <v>46573</v>
      </c>
      <c r="S5612" t="s">
        <v>46705</v>
      </c>
      <c r="T5612" t="s">
        <v>48436</v>
      </c>
      <c r="U5612" t="s">
        <v>53449</v>
      </c>
      <c r="V5612" t="s">
        <v>62184</v>
      </c>
      <c r="W5612" t="s">
        <v>43066</v>
      </c>
      <c r="X5612" t="s">
        <v>46574</v>
      </c>
    </row>
    <row r="5613" spans="1:24">
      <c r="A5613">
        <f>HYPERLINK("https://www.philgeps.gov.ph/GEPSNONPILOT/Tender/SplashBidNoticeAbstractUI.aspx?menuIndex=3&amp;refID=7059740&amp;Result=3","7059740")</f>
        <v>0</v>
      </c>
      <c r="B5613" t="s">
        <v>336</v>
      </c>
      <c r="C5613" t="s">
        <v>8883</v>
      </c>
      <c r="D5613" t="s">
        <v>18808</v>
      </c>
      <c r="E5613" t="s">
        <v>23907</v>
      </c>
      <c r="F5613" t="s">
        <v>32664</v>
      </c>
      <c r="G5613" t="s">
        <v>32674</v>
      </c>
      <c r="H5613" t="s">
        <v>12635</v>
      </c>
      <c r="I5613" t="s">
        <v>6628</v>
      </c>
      <c r="J5613" t="s">
        <v>33621</v>
      </c>
      <c r="K5613" t="s">
        <v>42283</v>
      </c>
      <c r="M5613" t="s">
        <v>42904</v>
      </c>
      <c r="N5613" t="s">
        <v>46569</v>
      </c>
      <c r="O5613" t="s">
        <v>46570</v>
      </c>
      <c r="P5613">
        <v>0</v>
      </c>
      <c r="Q5613">
        <v>1</v>
      </c>
      <c r="R5613" t="s">
        <v>46573</v>
      </c>
      <c r="S5613" t="s">
        <v>46705</v>
      </c>
      <c r="T5613" t="s">
        <v>48415</v>
      </c>
      <c r="U5613" t="s">
        <v>49394</v>
      </c>
      <c r="W5613" t="s">
        <v>42904</v>
      </c>
      <c r="X5613" t="s">
        <v>46574</v>
      </c>
    </row>
    <row r="5614" spans="1:24">
      <c r="A5614">
        <f>HYPERLINK("https://www.philgeps.gov.ph/GEPSNONPILOT/Tender/SplashBidNoticeAbstractUI.aspx?menuIndex=3&amp;refID=7059585&amp;Result=3","7059585")</f>
        <v>0</v>
      </c>
      <c r="B5614" t="s">
        <v>55</v>
      </c>
      <c r="C5614" t="s">
        <v>8730</v>
      </c>
      <c r="D5614" t="s">
        <v>18804</v>
      </c>
      <c r="E5614" t="s">
        <v>23908</v>
      </c>
      <c r="F5614" t="s">
        <v>32664</v>
      </c>
      <c r="G5614" t="s">
        <v>32675</v>
      </c>
      <c r="H5614" t="s">
        <v>12635</v>
      </c>
      <c r="I5614" t="s">
        <v>8730</v>
      </c>
      <c r="J5614" t="s">
        <v>36351</v>
      </c>
      <c r="K5614" t="s">
        <v>42281</v>
      </c>
      <c r="M5614" t="s">
        <v>44583</v>
      </c>
      <c r="N5614" t="s">
        <v>46569</v>
      </c>
      <c r="O5614" t="s">
        <v>46570</v>
      </c>
      <c r="P5614">
        <v>0</v>
      </c>
      <c r="Q5614">
        <v>3</v>
      </c>
      <c r="R5614" t="s">
        <v>46573</v>
      </c>
      <c r="S5614" t="s">
        <v>46705</v>
      </c>
      <c r="T5614" t="s">
        <v>48285</v>
      </c>
      <c r="U5614" t="s">
        <v>53450</v>
      </c>
      <c r="W5614" t="s">
        <v>44583</v>
      </c>
      <c r="X5614" t="s">
        <v>46574</v>
      </c>
    </row>
    <row r="5615" spans="1:24">
      <c r="A5615">
        <f>HYPERLINK("https://www.philgeps.gov.ph/GEPSNONPILOT/Tender/SplashBidNoticeAbstractUI.aspx?menuIndex=3&amp;refID=7059568&amp;Result=3","7059568")</f>
        <v>0</v>
      </c>
      <c r="B5615" t="s">
        <v>175</v>
      </c>
      <c r="C5615" t="s">
        <v>5501</v>
      </c>
      <c r="D5615" t="s">
        <v>18784</v>
      </c>
      <c r="E5615" t="s">
        <v>23909</v>
      </c>
      <c r="F5615" t="s">
        <v>32664</v>
      </c>
      <c r="G5615" t="s">
        <v>32671</v>
      </c>
      <c r="H5615" t="s">
        <v>12635</v>
      </c>
      <c r="I5615" t="s">
        <v>5501</v>
      </c>
      <c r="J5615" t="s">
        <v>33159</v>
      </c>
      <c r="K5615" t="s">
        <v>42284</v>
      </c>
      <c r="M5615" t="s">
        <v>42739</v>
      </c>
      <c r="N5615" t="s">
        <v>46569</v>
      </c>
      <c r="O5615" t="s">
        <v>46570</v>
      </c>
      <c r="P5615">
        <v>0</v>
      </c>
      <c r="Q5615">
        <v>26</v>
      </c>
      <c r="R5615" t="s">
        <v>46573</v>
      </c>
      <c r="S5615" t="s">
        <v>46705</v>
      </c>
      <c r="T5615" t="s">
        <v>48290</v>
      </c>
      <c r="U5615" t="s">
        <v>53451</v>
      </c>
      <c r="V5615" t="s">
        <v>61661</v>
      </c>
      <c r="W5615" t="s">
        <v>42739</v>
      </c>
      <c r="X5615" t="s">
        <v>46574</v>
      </c>
    </row>
    <row r="5616" spans="1:24">
      <c r="A5616">
        <f>HYPERLINK("https://www.philgeps.gov.ph/GEPSNONPILOT/Tender/SplashBidNoticeAbstractUI.aspx?menuIndex=3&amp;refID=7059656&amp;Result=3","7059656")</f>
        <v>0</v>
      </c>
      <c r="B5616" t="s">
        <v>902</v>
      </c>
      <c r="C5616" t="s">
        <v>8884</v>
      </c>
      <c r="D5616" t="s">
        <v>18785</v>
      </c>
      <c r="E5616" t="s">
        <v>23910</v>
      </c>
      <c r="F5616" t="s">
        <v>32664</v>
      </c>
      <c r="G5616" t="s">
        <v>32674</v>
      </c>
      <c r="H5616" t="s">
        <v>12635</v>
      </c>
      <c r="I5616" t="s">
        <v>6168</v>
      </c>
      <c r="J5616" t="s">
        <v>36352</v>
      </c>
      <c r="K5616" t="s">
        <v>42281</v>
      </c>
      <c r="M5616" t="s">
        <v>43506</v>
      </c>
      <c r="N5616" t="s">
        <v>46569</v>
      </c>
      <c r="O5616" t="s">
        <v>46570</v>
      </c>
      <c r="P5616">
        <v>0</v>
      </c>
      <c r="Q5616">
        <v>0</v>
      </c>
      <c r="R5616" t="s">
        <v>46573</v>
      </c>
      <c r="S5616" t="s">
        <v>46705</v>
      </c>
      <c r="T5616" t="s">
        <v>48316</v>
      </c>
      <c r="U5616" t="s">
        <v>53452</v>
      </c>
      <c r="W5616" t="s">
        <v>63494</v>
      </c>
      <c r="X5616" t="s">
        <v>46574</v>
      </c>
    </row>
    <row r="5617" spans="1:24">
      <c r="A5617">
        <f>HYPERLINK("https://www.philgeps.gov.ph/GEPSNONPILOT/Tender/SplashBidNoticeAbstractUI.aspx?menuIndex=3&amp;refID=7059566&amp;Result=3","7059566")</f>
        <v>0</v>
      </c>
      <c r="B5617" t="s">
        <v>555</v>
      </c>
      <c r="C5617" t="s">
        <v>8885</v>
      </c>
      <c r="D5617" t="s">
        <v>18841</v>
      </c>
      <c r="E5617" t="s">
        <v>23911</v>
      </c>
      <c r="F5617" t="s">
        <v>32664</v>
      </c>
      <c r="G5617" t="s">
        <v>32671</v>
      </c>
      <c r="H5617" t="s">
        <v>12635</v>
      </c>
      <c r="I5617" t="s">
        <v>32706</v>
      </c>
      <c r="J5617" t="s">
        <v>32842</v>
      </c>
      <c r="K5617" t="s">
        <v>42289</v>
      </c>
      <c r="M5617" t="s">
        <v>43135</v>
      </c>
      <c r="N5617" t="s">
        <v>46569</v>
      </c>
      <c r="O5617" t="s">
        <v>46570</v>
      </c>
      <c r="P5617">
        <v>0</v>
      </c>
      <c r="Q5617">
        <v>0</v>
      </c>
      <c r="R5617" t="s">
        <v>46573</v>
      </c>
      <c r="S5617" t="s">
        <v>46705</v>
      </c>
      <c r="T5617" t="s">
        <v>48293</v>
      </c>
      <c r="U5617" t="s">
        <v>53453</v>
      </c>
      <c r="W5617" t="s">
        <v>43135</v>
      </c>
      <c r="X5617" t="s">
        <v>46574</v>
      </c>
    </row>
    <row r="5618" spans="1:24">
      <c r="A5618">
        <f>HYPERLINK("https://www.philgeps.gov.ph/GEPSNONPILOT/Tender/SplashBidNoticeAbstractUI.aspx?menuIndex=3&amp;refID=7059587&amp;Result=3","7059587")</f>
        <v>0</v>
      </c>
      <c r="B5618" t="s">
        <v>1889</v>
      </c>
      <c r="C5618" t="s">
        <v>8886</v>
      </c>
      <c r="D5618" t="s">
        <v>18828</v>
      </c>
      <c r="E5618" t="s">
        <v>23912</v>
      </c>
      <c r="F5618" t="s">
        <v>32664</v>
      </c>
      <c r="G5618" t="s">
        <v>32672</v>
      </c>
      <c r="H5618" t="s">
        <v>12635</v>
      </c>
      <c r="I5618" t="s">
        <v>4439</v>
      </c>
      <c r="J5618" t="s">
        <v>36353</v>
      </c>
      <c r="K5618" t="s">
        <v>42289</v>
      </c>
      <c r="M5618" t="s">
        <v>44608</v>
      </c>
      <c r="N5618" t="s">
        <v>46569</v>
      </c>
      <c r="O5618" t="s">
        <v>46570</v>
      </c>
      <c r="P5618">
        <v>0</v>
      </c>
      <c r="Q5618">
        <v>2</v>
      </c>
      <c r="R5618" t="s">
        <v>46573</v>
      </c>
      <c r="S5618" t="s">
        <v>46705</v>
      </c>
      <c r="T5618" t="s">
        <v>48268</v>
      </c>
      <c r="U5618" t="s">
        <v>53454</v>
      </c>
      <c r="W5618" t="s">
        <v>44608</v>
      </c>
      <c r="X5618" t="s">
        <v>46574</v>
      </c>
    </row>
    <row r="5619" spans="1:24">
      <c r="A5619">
        <f>HYPERLINK("https://www.philgeps.gov.ph/GEPSNONPILOT/Tender/SplashBidNoticeAbstractUI.aspx?menuIndex=3&amp;refID=7059561&amp;Result=3","7059561")</f>
        <v>0</v>
      </c>
      <c r="B5619" t="s">
        <v>1794</v>
      </c>
      <c r="C5619" t="s">
        <v>8887</v>
      </c>
      <c r="D5619" t="s">
        <v>18781</v>
      </c>
      <c r="E5619" t="s">
        <v>23913</v>
      </c>
      <c r="F5619" t="s">
        <v>32664</v>
      </c>
      <c r="G5619" t="s">
        <v>32672</v>
      </c>
      <c r="H5619" t="s">
        <v>32683</v>
      </c>
      <c r="I5619" t="s">
        <v>10627</v>
      </c>
      <c r="J5619" t="s">
        <v>33267</v>
      </c>
      <c r="K5619" t="s">
        <v>42289</v>
      </c>
      <c r="M5619" t="s">
        <v>44579</v>
      </c>
      <c r="N5619" t="s">
        <v>46569</v>
      </c>
      <c r="O5619" t="s">
        <v>46570</v>
      </c>
      <c r="P5619">
        <v>0</v>
      </c>
      <c r="Q5619">
        <v>0</v>
      </c>
      <c r="R5619" t="s">
        <v>46573</v>
      </c>
      <c r="S5619" t="s">
        <v>46705</v>
      </c>
      <c r="T5619" t="s">
        <v>48283</v>
      </c>
      <c r="U5619" t="s">
        <v>53455</v>
      </c>
      <c r="V5619" t="s">
        <v>62204</v>
      </c>
      <c r="W5619" t="s">
        <v>44579</v>
      </c>
      <c r="X5619" t="s">
        <v>46574</v>
      </c>
    </row>
    <row r="5620" spans="1:24">
      <c r="A5620">
        <f>HYPERLINK("https://www.philgeps.gov.ph/GEPSNONPILOT/Tender/SplashBidNoticeAbstractUI.aspx?menuIndex=3&amp;refID=7059560&amp;Result=3","7059560")</f>
        <v>0</v>
      </c>
      <c r="B5620" t="s">
        <v>1093</v>
      </c>
      <c r="C5620" t="s">
        <v>8888</v>
      </c>
      <c r="D5620" t="s">
        <v>18784</v>
      </c>
      <c r="E5620" t="s">
        <v>23914</v>
      </c>
      <c r="F5620" t="s">
        <v>32664</v>
      </c>
      <c r="G5620" t="s">
        <v>32671</v>
      </c>
      <c r="H5620" t="s">
        <v>12635</v>
      </c>
      <c r="I5620" t="s">
        <v>10361</v>
      </c>
      <c r="J5620" t="s">
        <v>36354</v>
      </c>
      <c r="K5620" t="s">
        <v>42289</v>
      </c>
      <c r="M5620" t="s">
        <v>43720</v>
      </c>
      <c r="N5620" t="s">
        <v>46569</v>
      </c>
      <c r="O5620" t="s">
        <v>46570</v>
      </c>
      <c r="P5620">
        <v>0</v>
      </c>
      <c r="Q5620">
        <v>0</v>
      </c>
      <c r="R5620" t="s">
        <v>46573</v>
      </c>
      <c r="S5620" t="s">
        <v>46705</v>
      </c>
      <c r="T5620" t="s">
        <v>48254</v>
      </c>
      <c r="U5620" t="s">
        <v>53456</v>
      </c>
      <c r="V5620" t="s">
        <v>61652</v>
      </c>
      <c r="W5620" t="s">
        <v>43720</v>
      </c>
      <c r="X5620" t="s">
        <v>46574</v>
      </c>
    </row>
    <row r="5621" spans="1:24">
      <c r="A5621">
        <f>HYPERLINK("https://www.philgeps.gov.ph/GEPSNONPILOT/Tender/SplashBidNoticeAbstractUI.aspx?menuIndex=3&amp;refID=7059722&amp;Result=3","7059722")</f>
        <v>0</v>
      </c>
      <c r="B5621" t="s">
        <v>1872</v>
      </c>
      <c r="C5621" t="s">
        <v>8889</v>
      </c>
      <c r="D5621" t="s">
        <v>18850</v>
      </c>
      <c r="E5621" t="s">
        <v>23915</v>
      </c>
      <c r="F5621" t="s">
        <v>32664</v>
      </c>
      <c r="G5621" t="s">
        <v>32672</v>
      </c>
      <c r="H5621" t="s">
        <v>12635</v>
      </c>
      <c r="I5621" t="s">
        <v>4439</v>
      </c>
      <c r="J5621" t="s">
        <v>36355</v>
      </c>
      <c r="K5621" t="s">
        <v>42298</v>
      </c>
      <c r="M5621" t="s">
        <v>44588</v>
      </c>
      <c r="N5621" t="s">
        <v>46569</v>
      </c>
      <c r="O5621" t="s">
        <v>46570</v>
      </c>
      <c r="P5621">
        <v>0</v>
      </c>
      <c r="Q5621">
        <v>0</v>
      </c>
      <c r="R5621" t="s">
        <v>46573</v>
      </c>
      <c r="S5621" t="s">
        <v>46705</v>
      </c>
      <c r="T5621" t="s">
        <v>48315</v>
      </c>
      <c r="U5621" t="s">
        <v>53457</v>
      </c>
      <c r="W5621" t="s">
        <v>44588</v>
      </c>
      <c r="X5621" t="s">
        <v>46574</v>
      </c>
    </row>
    <row r="5622" spans="1:24">
      <c r="A5622">
        <f>HYPERLINK("https://www.philgeps.gov.ph/GEPSNONPILOT/Tender/SplashBidNoticeAbstractUI.aspx?menuIndex=3&amp;refID=7059559&amp;Result=3","7059559")</f>
        <v>0</v>
      </c>
      <c r="B5622" t="s">
        <v>1851</v>
      </c>
      <c r="C5622" t="s">
        <v>8890</v>
      </c>
      <c r="D5622" t="s">
        <v>18858</v>
      </c>
      <c r="E5622" t="s">
        <v>19380</v>
      </c>
      <c r="F5622" t="s">
        <v>32664</v>
      </c>
      <c r="G5622" t="s">
        <v>32674</v>
      </c>
      <c r="H5622" t="s">
        <v>12635</v>
      </c>
      <c r="I5622" t="s">
        <v>32783</v>
      </c>
      <c r="J5622" t="s">
        <v>36356</v>
      </c>
      <c r="K5622" t="s">
        <v>42281</v>
      </c>
      <c r="M5622" t="s">
        <v>44560</v>
      </c>
      <c r="N5622" t="s">
        <v>46569</v>
      </c>
      <c r="O5622" t="s">
        <v>46570</v>
      </c>
      <c r="P5622">
        <v>0</v>
      </c>
      <c r="Q5622">
        <v>1</v>
      </c>
      <c r="R5622" t="s">
        <v>46573</v>
      </c>
      <c r="S5622" t="s">
        <v>46705</v>
      </c>
      <c r="T5622" t="s">
        <v>48244</v>
      </c>
      <c r="U5622" t="s">
        <v>53312</v>
      </c>
      <c r="W5622" t="s">
        <v>44560</v>
      </c>
      <c r="X5622" t="s">
        <v>46574</v>
      </c>
    </row>
    <row r="5623" spans="1:24">
      <c r="A5623">
        <f>HYPERLINK("https://www.philgeps.gov.ph/GEPSNONPILOT/Tender/SplashBidNoticeAbstractUI.aspx?menuIndex=3&amp;refID=7059556&amp;Result=3","7059556")</f>
        <v>0</v>
      </c>
      <c r="B5623" t="s">
        <v>1095</v>
      </c>
      <c r="C5623" t="s">
        <v>6223</v>
      </c>
      <c r="D5623" t="s">
        <v>18798</v>
      </c>
      <c r="E5623" t="s">
        <v>23916</v>
      </c>
      <c r="F5623" t="s">
        <v>32664</v>
      </c>
      <c r="G5623" t="s">
        <v>32671</v>
      </c>
      <c r="H5623" t="s">
        <v>12635</v>
      </c>
      <c r="I5623" t="s">
        <v>6223</v>
      </c>
      <c r="J5623" t="s">
        <v>36357</v>
      </c>
      <c r="K5623" t="s">
        <v>42281</v>
      </c>
      <c r="M5623" t="s">
        <v>42640</v>
      </c>
      <c r="N5623" t="s">
        <v>46569</v>
      </c>
      <c r="O5623" t="s">
        <v>46570</v>
      </c>
      <c r="P5623">
        <v>0</v>
      </c>
      <c r="Q5623">
        <v>0</v>
      </c>
      <c r="R5623" t="s">
        <v>46573</v>
      </c>
      <c r="S5623" t="s">
        <v>46705</v>
      </c>
      <c r="T5623" t="s">
        <v>48290</v>
      </c>
      <c r="U5623" t="s">
        <v>53458</v>
      </c>
      <c r="W5623" t="s">
        <v>42640</v>
      </c>
      <c r="X5623" t="s">
        <v>46574</v>
      </c>
    </row>
    <row r="5624" spans="1:24">
      <c r="A5624">
        <f>HYPERLINK("https://www.philgeps.gov.ph/GEPSNONPILOT/Tender/SplashBidNoticeAbstractUI.aspx?menuIndex=3&amp;refID=7059555&amp;Result=3","7059555")</f>
        <v>0</v>
      </c>
      <c r="B5624" t="s">
        <v>1765</v>
      </c>
      <c r="C5624" t="s">
        <v>8891</v>
      </c>
      <c r="D5624" t="s">
        <v>18783</v>
      </c>
      <c r="E5624" t="s">
        <v>23917</v>
      </c>
      <c r="F5624" t="s">
        <v>32664</v>
      </c>
      <c r="G5624" t="s">
        <v>32671</v>
      </c>
      <c r="H5624" t="s">
        <v>12635</v>
      </c>
      <c r="I5624" t="s">
        <v>32707</v>
      </c>
      <c r="J5624" t="s">
        <v>36358</v>
      </c>
      <c r="K5624" t="s">
        <v>42289</v>
      </c>
      <c r="M5624" t="s">
        <v>44467</v>
      </c>
      <c r="N5624" t="s">
        <v>46569</v>
      </c>
      <c r="O5624" t="s">
        <v>46570</v>
      </c>
      <c r="P5624">
        <v>0</v>
      </c>
      <c r="Q5624">
        <v>1</v>
      </c>
      <c r="R5624" t="s">
        <v>46573</v>
      </c>
      <c r="S5624" t="s">
        <v>46705</v>
      </c>
      <c r="T5624" t="s">
        <v>48249</v>
      </c>
      <c r="U5624" t="s">
        <v>53459</v>
      </c>
      <c r="W5624" t="s">
        <v>44467</v>
      </c>
      <c r="X5624" t="s">
        <v>46574</v>
      </c>
    </row>
    <row r="5625" spans="1:24">
      <c r="A5625">
        <f>HYPERLINK("https://www.philgeps.gov.ph/GEPSNONPILOT/Tender/SplashBidNoticeAbstractUI.aspx?menuIndex=3&amp;refID=7059530&amp;Result=3","7059530")</f>
        <v>0</v>
      </c>
      <c r="B5625" t="s">
        <v>1891</v>
      </c>
      <c r="C5625" t="s">
        <v>8892</v>
      </c>
      <c r="D5625" t="s">
        <v>18791</v>
      </c>
      <c r="E5625" t="s">
        <v>23918</v>
      </c>
      <c r="F5625" t="s">
        <v>32664</v>
      </c>
      <c r="G5625" t="s">
        <v>32671</v>
      </c>
      <c r="H5625" t="s">
        <v>12635</v>
      </c>
      <c r="I5625" t="s">
        <v>32689</v>
      </c>
      <c r="J5625" t="s">
        <v>36359</v>
      </c>
      <c r="K5625" t="s">
        <v>42297</v>
      </c>
      <c r="M5625" t="s">
        <v>44610</v>
      </c>
      <c r="N5625" t="s">
        <v>46569</v>
      </c>
      <c r="O5625" t="s">
        <v>46570</v>
      </c>
      <c r="P5625">
        <v>0</v>
      </c>
      <c r="Q5625">
        <v>0</v>
      </c>
      <c r="R5625" t="s">
        <v>46573</v>
      </c>
      <c r="S5625" t="s">
        <v>46705</v>
      </c>
      <c r="T5625" t="s">
        <v>48502</v>
      </c>
      <c r="U5625" t="s">
        <v>53460</v>
      </c>
      <c r="W5625" t="s">
        <v>44610</v>
      </c>
      <c r="X5625" t="s">
        <v>46574</v>
      </c>
    </row>
    <row r="5626" spans="1:24">
      <c r="A5626">
        <f>HYPERLINK("https://www.philgeps.gov.ph/GEPSNONPILOT/Tender/SplashBidNoticeAbstractUI.aspx?menuIndex=3&amp;refID=7059528&amp;Result=3","7059528")</f>
        <v>0</v>
      </c>
      <c r="B5626" t="s">
        <v>1146</v>
      </c>
      <c r="C5626" t="s">
        <v>8893</v>
      </c>
      <c r="D5626" t="s">
        <v>18791</v>
      </c>
      <c r="E5626" t="s">
        <v>23919</v>
      </c>
      <c r="F5626" t="s">
        <v>32664</v>
      </c>
      <c r="G5626" t="s">
        <v>32671</v>
      </c>
      <c r="H5626" t="s">
        <v>12635</v>
      </c>
      <c r="I5626" t="s">
        <v>32705</v>
      </c>
      <c r="J5626" t="s">
        <v>33250</v>
      </c>
      <c r="K5626" t="s">
        <v>42289</v>
      </c>
      <c r="M5626" t="s">
        <v>43777</v>
      </c>
      <c r="N5626" t="s">
        <v>46569</v>
      </c>
      <c r="O5626" t="s">
        <v>46570</v>
      </c>
      <c r="P5626">
        <v>0</v>
      </c>
      <c r="Q5626">
        <v>0</v>
      </c>
      <c r="R5626" t="s">
        <v>46573</v>
      </c>
      <c r="S5626" t="s">
        <v>46705</v>
      </c>
      <c r="T5626" t="s">
        <v>48287</v>
      </c>
      <c r="U5626" t="s">
        <v>53461</v>
      </c>
      <c r="W5626" t="s">
        <v>43777</v>
      </c>
      <c r="X5626" t="s">
        <v>46574</v>
      </c>
    </row>
    <row r="5627" spans="1:24">
      <c r="A5627">
        <f>HYPERLINK("https://www.philgeps.gov.ph/GEPSNONPILOT/Tender/SplashBidNoticeAbstractUI.aspx?menuIndex=3&amp;refID=7059527&amp;Result=3","7059527")</f>
        <v>0</v>
      </c>
      <c r="B5627" t="s">
        <v>244</v>
      </c>
      <c r="C5627" t="s">
        <v>8894</v>
      </c>
      <c r="D5627" t="s">
        <v>18804</v>
      </c>
      <c r="E5627" t="s">
        <v>23920</v>
      </c>
      <c r="F5627" t="s">
        <v>32664</v>
      </c>
      <c r="G5627" t="s">
        <v>32671</v>
      </c>
      <c r="H5627" t="s">
        <v>12635</v>
      </c>
      <c r="I5627" t="s">
        <v>8958</v>
      </c>
      <c r="J5627" t="s">
        <v>33117</v>
      </c>
      <c r="K5627" t="s">
        <v>42284</v>
      </c>
      <c r="M5627" t="s">
        <v>42809</v>
      </c>
      <c r="N5627" t="s">
        <v>46569</v>
      </c>
      <c r="O5627" t="s">
        <v>46570</v>
      </c>
      <c r="P5627">
        <v>0</v>
      </c>
      <c r="Q5627">
        <v>2</v>
      </c>
      <c r="R5627" t="s">
        <v>46573</v>
      </c>
      <c r="S5627" t="s">
        <v>46705</v>
      </c>
      <c r="T5627" t="s">
        <v>48427</v>
      </c>
      <c r="U5627" t="s">
        <v>49371</v>
      </c>
      <c r="W5627" t="s">
        <v>42809</v>
      </c>
      <c r="X5627" t="s">
        <v>46574</v>
      </c>
    </row>
    <row r="5628" spans="1:24">
      <c r="A5628">
        <f>HYPERLINK("https://www.philgeps.gov.ph/GEPSNONPILOT/Tender/SplashBidNoticeAbstractUI.aspx?menuIndex=3&amp;refID=7059526&amp;Result=3","7059526")</f>
        <v>0</v>
      </c>
      <c r="B5628" t="s">
        <v>536</v>
      </c>
      <c r="C5628" t="s">
        <v>4589</v>
      </c>
      <c r="D5628" t="s">
        <v>18786</v>
      </c>
      <c r="E5628" t="s">
        <v>23921</v>
      </c>
      <c r="F5628" t="s">
        <v>32664</v>
      </c>
      <c r="G5628" t="s">
        <v>32671</v>
      </c>
      <c r="H5628" t="s">
        <v>12635</v>
      </c>
      <c r="I5628" t="s">
        <v>32694</v>
      </c>
      <c r="J5628" t="s">
        <v>36360</v>
      </c>
      <c r="K5628" t="s">
        <v>42297</v>
      </c>
      <c r="M5628" t="s">
        <v>43114</v>
      </c>
      <c r="N5628" t="s">
        <v>46569</v>
      </c>
      <c r="O5628" t="s">
        <v>46570</v>
      </c>
      <c r="P5628">
        <v>0</v>
      </c>
      <c r="Q5628">
        <v>2</v>
      </c>
      <c r="R5628" t="s">
        <v>46573</v>
      </c>
      <c r="S5628" t="s">
        <v>46705</v>
      </c>
      <c r="T5628" t="s">
        <v>48268</v>
      </c>
      <c r="U5628" t="s">
        <v>53462</v>
      </c>
      <c r="W5628" t="s">
        <v>43114</v>
      </c>
      <c r="X5628" t="s">
        <v>46574</v>
      </c>
    </row>
    <row r="5629" spans="1:24">
      <c r="A5629">
        <f>HYPERLINK("https://www.philgeps.gov.ph/GEPSNONPILOT/Tender/SplashBidNoticeAbstractUI.aspx?menuIndex=3&amp;refID=7059525&amp;Result=3","7059525")</f>
        <v>0</v>
      </c>
      <c r="B5629" t="s">
        <v>1074</v>
      </c>
      <c r="C5629" t="s">
        <v>8895</v>
      </c>
      <c r="D5629" t="s">
        <v>18786</v>
      </c>
      <c r="E5629" t="s">
        <v>19484</v>
      </c>
      <c r="F5629" t="s">
        <v>32664</v>
      </c>
      <c r="G5629" t="s">
        <v>32672</v>
      </c>
      <c r="H5629" t="s">
        <v>32683</v>
      </c>
      <c r="I5629" t="s">
        <v>10627</v>
      </c>
      <c r="J5629" t="s">
        <v>32865</v>
      </c>
      <c r="K5629" t="s">
        <v>42312</v>
      </c>
      <c r="M5629" t="s">
        <v>43694</v>
      </c>
      <c r="N5629" t="s">
        <v>46569</v>
      </c>
      <c r="O5629" t="s">
        <v>46570</v>
      </c>
      <c r="P5629">
        <v>0</v>
      </c>
      <c r="Q5629">
        <v>0</v>
      </c>
      <c r="R5629" t="s">
        <v>46573</v>
      </c>
      <c r="S5629" t="s">
        <v>46705</v>
      </c>
      <c r="T5629" t="s">
        <v>48304</v>
      </c>
      <c r="U5629" t="s">
        <v>53463</v>
      </c>
      <c r="W5629" t="s">
        <v>43694</v>
      </c>
      <c r="X5629" t="s">
        <v>46574</v>
      </c>
    </row>
    <row r="5630" spans="1:24">
      <c r="A5630">
        <f>HYPERLINK("https://www.philgeps.gov.ph/GEPSNONPILOT/Tender/SplashBidNoticeAbstractUI.aspx?menuIndex=3&amp;refID=7059521&amp;Result=3","7059521")</f>
        <v>0</v>
      </c>
      <c r="B5630" t="s">
        <v>594</v>
      </c>
      <c r="C5630" t="s">
        <v>8896</v>
      </c>
      <c r="D5630" t="s">
        <v>18784</v>
      </c>
      <c r="E5630" t="s">
        <v>23922</v>
      </c>
      <c r="F5630" t="s">
        <v>32664</v>
      </c>
      <c r="G5630" t="s">
        <v>32674</v>
      </c>
      <c r="H5630" t="s">
        <v>12635</v>
      </c>
      <c r="I5630" t="s">
        <v>32706</v>
      </c>
      <c r="J5630" t="s">
        <v>33657</v>
      </c>
      <c r="K5630" t="s">
        <v>42297</v>
      </c>
      <c r="M5630" t="s">
        <v>43793</v>
      </c>
      <c r="N5630" t="s">
        <v>46569</v>
      </c>
      <c r="O5630" t="s">
        <v>46570</v>
      </c>
      <c r="P5630">
        <v>0</v>
      </c>
      <c r="Q5630">
        <v>3</v>
      </c>
      <c r="R5630" t="s">
        <v>46573</v>
      </c>
      <c r="S5630" t="s">
        <v>46705</v>
      </c>
      <c r="T5630" t="s">
        <v>48551</v>
      </c>
      <c r="U5630" t="s">
        <v>53464</v>
      </c>
      <c r="V5630" t="s">
        <v>61909</v>
      </c>
      <c r="W5630" t="s">
        <v>43793</v>
      </c>
      <c r="X5630" t="s">
        <v>46574</v>
      </c>
    </row>
    <row r="5631" spans="1:24">
      <c r="A5631">
        <f>HYPERLINK("https://www.philgeps.gov.ph/GEPSNONPILOT/Tender/SplashBidNoticeAbstractUI.aspx?menuIndex=3&amp;refID=7059501&amp;Result=3","7059501")</f>
        <v>0</v>
      </c>
      <c r="B5631" t="s">
        <v>1892</v>
      </c>
      <c r="C5631" t="s">
        <v>8897</v>
      </c>
      <c r="D5631" t="s">
        <v>18788</v>
      </c>
      <c r="E5631" t="s">
        <v>19681</v>
      </c>
      <c r="F5631" t="s">
        <v>32665</v>
      </c>
      <c r="G5631" t="s">
        <v>32674</v>
      </c>
      <c r="H5631" t="s">
        <v>12635</v>
      </c>
      <c r="I5631" t="s">
        <v>6223</v>
      </c>
      <c r="J5631" t="s">
        <v>34038</v>
      </c>
      <c r="K5631" t="s">
        <v>42303</v>
      </c>
      <c r="M5631" t="s">
        <v>44611</v>
      </c>
      <c r="N5631" t="s">
        <v>46569</v>
      </c>
      <c r="O5631" t="s">
        <v>46570</v>
      </c>
      <c r="P5631">
        <v>0</v>
      </c>
      <c r="Q5631">
        <v>1</v>
      </c>
      <c r="R5631" t="s">
        <v>46573</v>
      </c>
      <c r="S5631" t="s">
        <v>46705</v>
      </c>
      <c r="T5631" t="s">
        <v>48448</v>
      </c>
      <c r="U5631" t="s">
        <v>53465</v>
      </c>
      <c r="W5631" t="s">
        <v>44611</v>
      </c>
      <c r="X5631" t="s">
        <v>46574</v>
      </c>
    </row>
    <row r="5632" spans="1:24">
      <c r="A5632">
        <f>HYPERLINK("https://www.philgeps.gov.ph/GEPSNONPILOT/Tender/SplashBidNoticeAbstractUI.aspx?menuIndex=3&amp;refID=7059499&amp;Result=3","7059499")</f>
        <v>0</v>
      </c>
      <c r="B5632" t="s">
        <v>1857</v>
      </c>
      <c r="C5632" t="s">
        <v>4928</v>
      </c>
      <c r="D5632" t="s">
        <v>18851</v>
      </c>
      <c r="E5632" t="s">
        <v>23923</v>
      </c>
      <c r="F5632" t="s">
        <v>32664</v>
      </c>
      <c r="G5632" t="s">
        <v>32672</v>
      </c>
      <c r="H5632" t="s">
        <v>12635</v>
      </c>
      <c r="I5632" t="s">
        <v>6628</v>
      </c>
      <c r="J5632" t="s">
        <v>36361</v>
      </c>
      <c r="K5632" t="s">
        <v>42289</v>
      </c>
      <c r="L5632" t="s">
        <v>1857</v>
      </c>
      <c r="M5632" t="s">
        <v>44568</v>
      </c>
      <c r="N5632" t="s">
        <v>46569</v>
      </c>
      <c r="O5632" t="s">
        <v>46570</v>
      </c>
      <c r="P5632">
        <v>0</v>
      </c>
      <c r="Q5632">
        <v>5</v>
      </c>
      <c r="R5632" t="s">
        <v>46573</v>
      </c>
      <c r="S5632" t="s">
        <v>46705</v>
      </c>
      <c r="T5632" t="s">
        <v>48228</v>
      </c>
      <c r="U5632" t="s">
        <v>53466</v>
      </c>
      <c r="W5632" t="s">
        <v>44568</v>
      </c>
      <c r="X5632" t="s">
        <v>46574</v>
      </c>
    </row>
    <row r="5633" spans="1:24">
      <c r="A5633">
        <f>HYPERLINK("https://www.philgeps.gov.ph/GEPSNONPILOT/Tender/SplashBidNoticeAbstractUI.aspx?menuIndex=3&amp;refID=7059531&amp;Result=3","7059531")</f>
        <v>0</v>
      </c>
      <c r="B5633" t="s">
        <v>1713</v>
      </c>
      <c r="C5633" t="s">
        <v>8898</v>
      </c>
      <c r="D5633" t="s">
        <v>18799</v>
      </c>
      <c r="E5633" t="s">
        <v>23924</v>
      </c>
      <c r="F5633" t="s">
        <v>32664</v>
      </c>
      <c r="G5633" t="s">
        <v>32671</v>
      </c>
      <c r="H5633" t="s">
        <v>12635</v>
      </c>
      <c r="I5633" t="s">
        <v>32694</v>
      </c>
      <c r="J5633" t="s">
        <v>36362</v>
      </c>
      <c r="K5633" t="s">
        <v>42284</v>
      </c>
      <c r="M5633" t="s">
        <v>44408</v>
      </c>
      <c r="N5633" t="s">
        <v>46569</v>
      </c>
      <c r="O5633" t="s">
        <v>46570</v>
      </c>
      <c r="P5633">
        <v>0</v>
      </c>
      <c r="Q5633">
        <v>0</v>
      </c>
      <c r="R5633" t="s">
        <v>46573</v>
      </c>
      <c r="S5633" t="s">
        <v>46705</v>
      </c>
      <c r="T5633" t="s">
        <v>48287</v>
      </c>
      <c r="U5633" t="s">
        <v>53259</v>
      </c>
      <c r="W5633" t="s">
        <v>63529</v>
      </c>
      <c r="X5633" t="s">
        <v>46574</v>
      </c>
    </row>
    <row r="5634" spans="1:24">
      <c r="A5634">
        <f>HYPERLINK("https://www.philgeps.gov.ph/GEPSNONPILOT/Tender/SplashBidNoticeAbstractUI.aspx?menuIndex=3&amp;refID=7059496&amp;Result=3","7059496")</f>
        <v>0</v>
      </c>
      <c r="B5634" t="s">
        <v>231</v>
      </c>
      <c r="C5634" t="s">
        <v>8899</v>
      </c>
      <c r="D5634" t="s">
        <v>18845</v>
      </c>
      <c r="E5634" t="s">
        <v>23925</v>
      </c>
      <c r="F5634" t="s">
        <v>32664</v>
      </c>
      <c r="G5634" t="s">
        <v>32671</v>
      </c>
      <c r="H5634" t="s">
        <v>12635</v>
      </c>
      <c r="I5634" t="s">
        <v>32701</v>
      </c>
      <c r="J5634" t="s">
        <v>32898</v>
      </c>
      <c r="K5634" t="s">
        <v>42303</v>
      </c>
      <c r="M5634" t="s">
        <v>42795</v>
      </c>
      <c r="N5634" t="s">
        <v>46569</v>
      </c>
      <c r="O5634" t="s">
        <v>46570</v>
      </c>
      <c r="P5634">
        <v>0</v>
      </c>
      <c r="Q5634">
        <v>1</v>
      </c>
      <c r="R5634" t="s">
        <v>46573</v>
      </c>
      <c r="S5634" t="s">
        <v>46705</v>
      </c>
      <c r="T5634" t="s">
        <v>48268</v>
      </c>
      <c r="U5634" t="s">
        <v>53467</v>
      </c>
      <c r="W5634" t="s">
        <v>42795</v>
      </c>
      <c r="X5634" t="s">
        <v>46574</v>
      </c>
    </row>
    <row r="5635" spans="1:24">
      <c r="A5635">
        <f>HYPERLINK("https://www.philgeps.gov.ph/GEPSNONPILOT/Tender/SplashBidNoticeAbstractUI.aspx?menuIndex=3&amp;refID=7059562&amp;Result=3","7059562")</f>
        <v>0</v>
      </c>
      <c r="B5635" t="s">
        <v>1859</v>
      </c>
      <c r="C5635" t="s">
        <v>8900</v>
      </c>
      <c r="D5635" t="s">
        <v>18846</v>
      </c>
      <c r="E5635" t="s">
        <v>19688</v>
      </c>
      <c r="F5635" t="s">
        <v>32664</v>
      </c>
      <c r="G5635" t="s">
        <v>32672</v>
      </c>
      <c r="H5635" t="s">
        <v>12635</v>
      </c>
      <c r="I5635" t="s">
        <v>4439</v>
      </c>
      <c r="J5635" t="s">
        <v>36363</v>
      </c>
      <c r="K5635" t="s">
        <v>42289</v>
      </c>
      <c r="M5635" t="s">
        <v>44570</v>
      </c>
      <c r="N5635" t="s">
        <v>46569</v>
      </c>
      <c r="O5635" t="s">
        <v>46570</v>
      </c>
      <c r="P5635">
        <v>0</v>
      </c>
      <c r="Q5635">
        <v>0</v>
      </c>
      <c r="R5635" t="s">
        <v>46573</v>
      </c>
      <c r="S5635" t="s">
        <v>46705</v>
      </c>
      <c r="T5635" t="s">
        <v>48410</v>
      </c>
      <c r="U5635" t="s">
        <v>53468</v>
      </c>
      <c r="W5635" t="s">
        <v>44570</v>
      </c>
      <c r="X5635" t="s">
        <v>46574</v>
      </c>
    </row>
    <row r="5636" spans="1:24">
      <c r="A5636">
        <f>HYPERLINK("https://www.philgeps.gov.ph/GEPSNONPILOT/Tender/SplashBidNoticeAbstractUI.aspx?menuIndex=3&amp;refID=7059494&amp;Result=3","7059494")</f>
        <v>0</v>
      </c>
      <c r="B5636" t="s">
        <v>1893</v>
      </c>
      <c r="C5636" t="s">
        <v>8901</v>
      </c>
      <c r="D5636" t="s">
        <v>18829</v>
      </c>
      <c r="E5636" t="s">
        <v>23926</v>
      </c>
      <c r="F5636" t="s">
        <v>32664</v>
      </c>
      <c r="G5636" t="s">
        <v>32672</v>
      </c>
      <c r="H5636" t="s">
        <v>12635</v>
      </c>
      <c r="I5636" t="s">
        <v>11464</v>
      </c>
      <c r="J5636" t="s">
        <v>34797</v>
      </c>
      <c r="K5636" t="s">
        <v>42281</v>
      </c>
      <c r="M5636" t="s">
        <v>44612</v>
      </c>
      <c r="N5636" t="s">
        <v>46569</v>
      </c>
      <c r="O5636" t="s">
        <v>46570</v>
      </c>
      <c r="P5636">
        <v>0</v>
      </c>
      <c r="Q5636">
        <v>2</v>
      </c>
      <c r="R5636" t="s">
        <v>46573</v>
      </c>
      <c r="S5636" t="s">
        <v>46705</v>
      </c>
      <c r="T5636" t="s">
        <v>48283</v>
      </c>
      <c r="U5636" t="s">
        <v>53469</v>
      </c>
      <c r="W5636" t="s">
        <v>44612</v>
      </c>
      <c r="X5636" t="s">
        <v>46574</v>
      </c>
    </row>
    <row r="5637" spans="1:24">
      <c r="A5637">
        <f>HYPERLINK("https://www.philgeps.gov.ph/GEPSNONPILOT/Tender/SplashBidNoticeAbstractUI.aspx?menuIndex=3&amp;refID=7059493&amp;Result=3","7059493")</f>
        <v>0</v>
      </c>
      <c r="B5637" t="s">
        <v>1794</v>
      </c>
      <c r="C5637" t="s">
        <v>8902</v>
      </c>
      <c r="D5637" t="s">
        <v>18781</v>
      </c>
      <c r="E5637" t="s">
        <v>23927</v>
      </c>
      <c r="F5637" t="s">
        <v>32664</v>
      </c>
      <c r="G5637" t="s">
        <v>32672</v>
      </c>
      <c r="H5637" t="s">
        <v>12635</v>
      </c>
      <c r="I5637" t="s">
        <v>32692</v>
      </c>
      <c r="J5637" t="s">
        <v>36364</v>
      </c>
      <c r="K5637" t="s">
        <v>42281</v>
      </c>
      <c r="M5637" t="s">
        <v>44579</v>
      </c>
      <c r="N5637" t="s">
        <v>46569</v>
      </c>
      <c r="O5637" t="s">
        <v>46570</v>
      </c>
      <c r="P5637">
        <v>0</v>
      </c>
      <c r="Q5637">
        <v>1</v>
      </c>
      <c r="R5637" t="s">
        <v>46573</v>
      </c>
      <c r="S5637" t="s">
        <v>46705</v>
      </c>
      <c r="T5637" t="s">
        <v>48283</v>
      </c>
      <c r="U5637" t="s">
        <v>53470</v>
      </c>
      <c r="V5637" t="s">
        <v>62204</v>
      </c>
      <c r="W5637" t="s">
        <v>44579</v>
      </c>
      <c r="X5637" t="s">
        <v>46574</v>
      </c>
    </row>
    <row r="5638" spans="1:24">
      <c r="A5638">
        <f>HYPERLINK("https://www.philgeps.gov.ph/GEPSNONPILOT/Tender/SplashBidNoticeAbstractUI.aspx?menuIndex=3&amp;refID=7059470&amp;Result=3","7059470")</f>
        <v>0</v>
      </c>
      <c r="B5638" t="s">
        <v>1726</v>
      </c>
      <c r="C5638" t="s">
        <v>8903</v>
      </c>
      <c r="D5638" t="s">
        <v>18837</v>
      </c>
      <c r="E5638" t="s">
        <v>23928</v>
      </c>
      <c r="F5638" t="s">
        <v>32664</v>
      </c>
      <c r="G5638" t="s">
        <v>32672</v>
      </c>
      <c r="H5638" t="s">
        <v>12635</v>
      </c>
      <c r="I5638" t="s">
        <v>32750</v>
      </c>
      <c r="J5638" t="s">
        <v>36365</v>
      </c>
      <c r="K5638" t="s">
        <v>42297</v>
      </c>
      <c r="M5638" t="s">
        <v>44425</v>
      </c>
      <c r="N5638" t="s">
        <v>46569</v>
      </c>
      <c r="O5638" t="s">
        <v>46570</v>
      </c>
      <c r="P5638">
        <v>0</v>
      </c>
      <c r="Q5638">
        <v>1</v>
      </c>
      <c r="R5638" t="s">
        <v>46573</v>
      </c>
      <c r="S5638" t="s">
        <v>46705</v>
      </c>
      <c r="T5638" t="s">
        <v>48349</v>
      </c>
      <c r="U5638" t="s">
        <v>53471</v>
      </c>
      <c r="V5638" t="s">
        <v>62145</v>
      </c>
      <c r="W5638" t="s">
        <v>44425</v>
      </c>
      <c r="X5638" t="s">
        <v>46574</v>
      </c>
    </row>
    <row r="5639" spans="1:24">
      <c r="A5639">
        <f>HYPERLINK("https://www.philgeps.gov.ph/GEPSNONPILOT/Tender/SplashBidNoticeAbstractUI.aspx?menuIndex=3&amp;refID=7059469&amp;Result=3","7059469")</f>
        <v>0</v>
      </c>
      <c r="B5639" t="s">
        <v>1890</v>
      </c>
      <c r="C5639" t="s">
        <v>8881</v>
      </c>
      <c r="D5639" t="s">
        <v>18855</v>
      </c>
      <c r="E5639" t="s">
        <v>23929</v>
      </c>
      <c r="F5639" t="s">
        <v>32664</v>
      </c>
      <c r="G5639" t="s">
        <v>32671</v>
      </c>
      <c r="H5639" t="s">
        <v>12635</v>
      </c>
      <c r="I5639" t="s">
        <v>4439</v>
      </c>
      <c r="J5639" t="s">
        <v>36274</v>
      </c>
      <c r="K5639" t="s">
        <v>42283</v>
      </c>
      <c r="M5639" t="s">
        <v>44609</v>
      </c>
      <c r="N5639" t="s">
        <v>46569</v>
      </c>
      <c r="O5639" t="s">
        <v>46570</v>
      </c>
      <c r="P5639">
        <v>0</v>
      </c>
      <c r="Q5639">
        <v>0</v>
      </c>
      <c r="R5639" t="s">
        <v>46573</v>
      </c>
      <c r="S5639" t="s">
        <v>46705</v>
      </c>
      <c r="T5639" t="s">
        <v>48316</v>
      </c>
      <c r="U5639" t="s">
        <v>53472</v>
      </c>
      <c r="W5639" t="s">
        <v>44609</v>
      </c>
      <c r="X5639" t="s">
        <v>46574</v>
      </c>
    </row>
    <row r="5640" spans="1:24">
      <c r="A5640">
        <f>HYPERLINK("https://www.philgeps.gov.ph/GEPSNONPILOT/Tender/SplashBidNoticeAbstractUI.aspx?menuIndex=3&amp;refID=7059567&amp;Result=3","7059567")</f>
        <v>0</v>
      </c>
      <c r="B5640" t="s">
        <v>1480</v>
      </c>
      <c r="C5640" t="s">
        <v>8904</v>
      </c>
      <c r="D5640" t="s">
        <v>18851</v>
      </c>
      <c r="E5640" t="s">
        <v>23930</v>
      </c>
      <c r="F5640" t="s">
        <v>32664</v>
      </c>
      <c r="G5640" t="s">
        <v>32671</v>
      </c>
      <c r="H5640" t="s">
        <v>12635</v>
      </c>
      <c r="I5640" t="s">
        <v>32789</v>
      </c>
      <c r="J5640" t="s">
        <v>36358</v>
      </c>
      <c r="K5640" t="s">
        <v>42297</v>
      </c>
      <c r="M5640" t="s">
        <v>44143</v>
      </c>
      <c r="N5640" t="s">
        <v>46569</v>
      </c>
      <c r="O5640" t="s">
        <v>46570</v>
      </c>
      <c r="P5640">
        <v>0</v>
      </c>
      <c r="Q5640">
        <v>0</v>
      </c>
      <c r="R5640" t="s">
        <v>46573</v>
      </c>
      <c r="S5640" t="s">
        <v>46705</v>
      </c>
      <c r="T5640" t="s">
        <v>48548</v>
      </c>
      <c r="U5640" t="s">
        <v>53473</v>
      </c>
      <c r="W5640" t="s">
        <v>44143</v>
      </c>
      <c r="X5640" t="s">
        <v>46574</v>
      </c>
    </row>
    <row r="5641" spans="1:24">
      <c r="A5641">
        <f>HYPERLINK("https://www.philgeps.gov.ph/GEPSNONPILOT/Tender/SplashBidNoticeAbstractUI.aspx?menuIndex=3&amp;refID=7059500&amp;Result=3","7059500")</f>
        <v>0</v>
      </c>
      <c r="B5641" t="s">
        <v>1894</v>
      </c>
      <c r="C5641" t="s">
        <v>8905</v>
      </c>
      <c r="D5641" t="s">
        <v>18781</v>
      </c>
      <c r="E5641" t="s">
        <v>21583</v>
      </c>
      <c r="F5641" t="s">
        <v>32664</v>
      </c>
      <c r="G5641" t="s">
        <v>32672</v>
      </c>
      <c r="H5641" t="s">
        <v>12635</v>
      </c>
      <c r="I5641" t="s">
        <v>6223</v>
      </c>
      <c r="J5641" t="s">
        <v>32859</v>
      </c>
      <c r="K5641" t="s">
        <v>42283</v>
      </c>
      <c r="M5641" t="s">
        <v>44613</v>
      </c>
      <c r="N5641" t="s">
        <v>46569</v>
      </c>
      <c r="O5641" t="s">
        <v>46570</v>
      </c>
      <c r="P5641">
        <v>0</v>
      </c>
      <c r="Q5641">
        <v>1</v>
      </c>
      <c r="R5641" t="s">
        <v>46573</v>
      </c>
      <c r="S5641" t="s">
        <v>46705</v>
      </c>
      <c r="T5641" t="s">
        <v>48304</v>
      </c>
      <c r="U5641" t="s">
        <v>53474</v>
      </c>
      <c r="W5641" t="s">
        <v>44613</v>
      </c>
      <c r="X5641" t="s">
        <v>46574</v>
      </c>
    </row>
    <row r="5642" spans="1:24">
      <c r="A5642">
        <f>HYPERLINK("https://www.philgeps.gov.ph/GEPSNONPILOT/Tender/SplashBidNoticeAbstractUI.aspx?menuIndex=3&amp;refID=7059742&amp;Result=3","7059742")</f>
        <v>0</v>
      </c>
      <c r="B5642" t="s">
        <v>549</v>
      </c>
      <c r="C5642" t="s">
        <v>8906</v>
      </c>
      <c r="D5642" t="s">
        <v>18781</v>
      </c>
      <c r="E5642" t="s">
        <v>23931</v>
      </c>
      <c r="F5642" t="s">
        <v>32664</v>
      </c>
      <c r="G5642" t="s">
        <v>32671</v>
      </c>
      <c r="H5642" t="s">
        <v>12635</v>
      </c>
      <c r="I5642" t="s">
        <v>9486</v>
      </c>
      <c r="J5642" t="s">
        <v>36366</v>
      </c>
      <c r="K5642" t="s">
        <v>42283</v>
      </c>
      <c r="M5642" t="s">
        <v>43129</v>
      </c>
      <c r="N5642" t="s">
        <v>46569</v>
      </c>
      <c r="O5642" t="s">
        <v>46570</v>
      </c>
      <c r="P5642">
        <v>0</v>
      </c>
      <c r="Q5642">
        <v>2</v>
      </c>
      <c r="R5642" t="s">
        <v>46573</v>
      </c>
      <c r="S5642" t="s">
        <v>46705</v>
      </c>
      <c r="T5642" t="s">
        <v>48492</v>
      </c>
      <c r="U5642" t="s">
        <v>53475</v>
      </c>
      <c r="W5642" t="s">
        <v>43129</v>
      </c>
      <c r="X5642" t="s">
        <v>46574</v>
      </c>
    </row>
    <row r="5643" spans="1:24">
      <c r="A5643">
        <f>HYPERLINK("https://www.philgeps.gov.ph/GEPSNONPILOT/Tender/SplashBidNoticeAbstractUI.aspx?menuIndex=3&amp;refID=7059495&amp;Result=3","7059495")</f>
        <v>0</v>
      </c>
      <c r="B5643" t="s">
        <v>1009</v>
      </c>
      <c r="C5643" t="s">
        <v>8907</v>
      </c>
      <c r="D5643" t="s">
        <v>18783</v>
      </c>
      <c r="E5643" t="s">
        <v>23932</v>
      </c>
      <c r="F5643" t="s">
        <v>32664</v>
      </c>
      <c r="G5643" t="s">
        <v>32672</v>
      </c>
      <c r="H5643" t="s">
        <v>32683</v>
      </c>
      <c r="I5643" t="s">
        <v>10627</v>
      </c>
      <c r="J5643" t="s">
        <v>34559</v>
      </c>
      <c r="K5643" t="s">
        <v>42290</v>
      </c>
      <c r="M5643" t="s">
        <v>44413</v>
      </c>
      <c r="N5643" t="s">
        <v>46569</v>
      </c>
      <c r="O5643" t="s">
        <v>46570</v>
      </c>
      <c r="P5643">
        <v>0</v>
      </c>
      <c r="Q5643">
        <v>1</v>
      </c>
      <c r="R5643" t="s">
        <v>46573</v>
      </c>
      <c r="S5643" t="s">
        <v>46705</v>
      </c>
      <c r="T5643" t="s">
        <v>48257</v>
      </c>
      <c r="U5643" t="s">
        <v>53476</v>
      </c>
      <c r="W5643" t="s">
        <v>44413</v>
      </c>
      <c r="X5643" t="s">
        <v>46574</v>
      </c>
    </row>
    <row r="5644" spans="1:24">
      <c r="A5644">
        <f>HYPERLINK("https://www.philgeps.gov.ph/GEPSNONPILOT/Tender/SplashBidNoticeAbstractUI.aspx?menuIndex=3&amp;refID=7059442&amp;Result=3","7059442")</f>
        <v>0</v>
      </c>
      <c r="B5644" t="s">
        <v>1674</v>
      </c>
      <c r="C5644" t="s">
        <v>8908</v>
      </c>
      <c r="D5644" t="s">
        <v>18784</v>
      </c>
      <c r="E5644" t="s">
        <v>21047</v>
      </c>
      <c r="F5644" t="s">
        <v>32664</v>
      </c>
      <c r="G5644" t="s">
        <v>32675</v>
      </c>
      <c r="H5644" t="s">
        <v>12635</v>
      </c>
      <c r="I5644" t="s">
        <v>6223</v>
      </c>
      <c r="J5644" t="s">
        <v>33015</v>
      </c>
      <c r="K5644" t="s">
        <v>42289</v>
      </c>
      <c r="M5644" t="s">
        <v>44362</v>
      </c>
      <c r="N5644" t="s">
        <v>46569</v>
      </c>
      <c r="O5644" t="s">
        <v>46570</v>
      </c>
      <c r="P5644">
        <v>0</v>
      </c>
      <c r="Q5644">
        <v>7</v>
      </c>
      <c r="R5644" t="s">
        <v>46573</v>
      </c>
      <c r="S5644" t="s">
        <v>46705</v>
      </c>
      <c r="T5644" t="s">
        <v>48254</v>
      </c>
      <c r="U5644" t="s">
        <v>53477</v>
      </c>
      <c r="W5644" t="s">
        <v>44362</v>
      </c>
      <c r="X5644" t="s">
        <v>46574</v>
      </c>
    </row>
    <row r="5645" spans="1:24">
      <c r="A5645">
        <f>HYPERLINK("https://www.philgeps.gov.ph/GEPSNONPILOT/Tender/SplashBidNoticeAbstractUI.aspx?menuIndex=3&amp;refID=7059359&amp;Result=3","7059359")</f>
        <v>0</v>
      </c>
      <c r="B5645" t="s">
        <v>319</v>
      </c>
      <c r="C5645" t="s">
        <v>8909</v>
      </c>
      <c r="D5645" t="s">
        <v>18784</v>
      </c>
      <c r="E5645" t="s">
        <v>23468</v>
      </c>
      <c r="F5645" t="s">
        <v>32664</v>
      </c>
      <c r="G5645" t="s">
        <v>32671</v>
      </c>
      <c r="H5645" t="s">
        <v>12635</v>
      </c>
      <c r="I5645" t="s">
        <v>6168</v>
      </c>
      <c r="J5645" t="s">
        <v>36367</v>
      </c>
      <c r="K5645" t="s">
        <v>42283</v>
      </c>
      <c r="M5645" t="s">
        <v>42887</v>
      </c>
      <c r="N5645" t="s">
        <v>46569</v>
      </c>
      <c r="O5645" t="s">
        <v>46570</v>
      </c>
      <c r="P5645">
        <v>0</v>
      </c>
      <c r="Q5645">
        <v>7</v>
      </c>
      <c r="R5645" t="s">
        <v>46573</v>
      </c>
      <c r="S5645" t="s">
        <v>46705</v>
      </c>
      <c r="T5645" t="s">
        <v>48316</v>
      </c>
      <c r="U5645" t="s">
        <v>53478</v>
      </c>
      <c r="W5645" t="s">
        <v>42887</v>
      </c>
      <c r="X5645" t="s">
        <v>46574</v>
      </c>
    </row>
    <row r="5646" spans="1:24">
      <c r="A5646">
        <f>HYPERLINK("https://www.philgeps.gov.ph/GEPSNONPILOT/Tender/SplashBidNoticeAbstractUI.aspx?menuIndex=3&amp;refID=7059356&amp;Result=3","7059356")</f>
        <v>0</v>
      </c>
      <c r="B5646" t="s">
        <v>1895</v>
      </c>
      <c r="C5646" t="s">
        <v>8910</v>
      </c>
      <c r="D5646" t="s">
        <v>18794</v>
      </c>
      <c r="E5646" t="s">
        <v>23933</v>
      </c>
      <c r="F5646" t="s">
        <v>32664</v>
      </c>
      <c r="G5646" t="s">
        <v>32671</v>
      </c>
      <c r="H5646" t="s">
        <v>12635</v>
      </c>
      <c r="I5646" t="s">
        <v>10590</v>
      </c>
      <c r="J5646" t="s">
        <v>36368</v>
      </c>
      <c r="K5646" t="s">
        <v>42295</v>
      </c>
      <c r="M5646" t="s">
        <v>44614</v>
      </c>
      <c r="N5646" t="s">
        <v>46569</v>
      </c>
      <c r="O5646" t="s">
        <v>46570</v>
      </c>
      <c r="P5646">
        <v>0</v>
      </c>
      <c r="Q5646">
        <v>0</v>
      </c>
      <c r="R5646" t="s">
        <v>46573</v>
      </c>
      <c r="S5646" t="s">
        <v>46705</v>
      </c>
      <c r="T5646" t="s">
        <v>48287</v>
      </c>
      <c r="U5646" t="s">
        <v>53479</v>
      </c>
      <c r="V5646" t="s">
        <v>62214</v>
      </c>
      <c r="W5646" t="s">
        <v>44614</v>
      </c>
      <c r="X5646" t="s">
        <v>46574</v>
      </c>
    </row>
    <row r="5647" spans="1:24">
      <c r="A5647">
        <f>HYPERLINK("https://www.philgeps.gov.ph/GEPSNONPILOT/Tender/SplashBidNoticeAbstractUI.aspx?menuIndex=3&amp;refID=7059591&amp;Result=3","7059591")</f>
        <v>0</v>
      </c>
      <c r="B5647" t="s">
        <v>1838</v>
      </c>
      <c r="C5647" t="s">
        <v>8911</v>
      </c>
      <c r="D5647" t="s">
        <v>18799</v>
      </c>
      <c r="E5647" t="s">
        <v>23934</v>
      </c>
      <c r="F5647" t="s">
        <v>32664</v>
      </c>
      <c r="G5647" t="s">
        <v>32674</v>
      </c>
      <c r="H5647" t="s">
        <v>12635</v>
      </c>
      <c r="I5647" t="s">
        <v>32704</v>
      </c>
      <c r="J5647" t="s">
        <v>36369</v>
      </c>
      <c r="K5647" t="s">
        <v>42298</v>
      </c>
      <c r="M5647" t="s">
        <v>44546</v>
      </c>
      <c r="N5647" t="s">
        <v>46569</v>
      </c>
      <c r="O5647" t="s">
        <v>46570</v>
      </c>
      <c r="P5647">
        <v>0</v>
      </c>
      <c r="Q5647">
        <v>28</v>
      </c>
      <c r="R5647" t="s">
        <v>46573</v>
      </c>
      <c r="S5647" t="s">
        <v>46705</v>
      </c>
      <c r="T5647" t="s">
        <v>48316</v>
      </c>
      <c r="U5647" t="s">
        <v>49565</v>
      </c>
      <c r="W5647" t="s">
        <v>44546</v>
      </c>
      <c r="X5647" t="s">
        <v>46574</v>
      </c>
    </row>
    <row r="5648" spans="1:24">
      <c r="A5648">
        <f>HYPERLINK("https://www.philgeps.gov.ph/GEPSNONPILOT/Tender/SplashBidNoticeAbstractUI.aspx?menuIndex=3&amp;refID=7059355&amp;Result=3","7059355")</f>
        <v>0</v>
      </c>
      <c r="B5648" t="s">
        <v>1832</v>
      </c>
      <c r="C5648" t="s">
        <v>8912</v>
      </c>
      <c r="D5648" t="s">
        <v>18812</v>
      </c>
      <c r="E5648" t="s">
        <v>23935</v>
      </c>
      <c r="F5648" t="s">
        <v>32664</v>
      </c>
      <c r="G5648" t="s">
        <v>32672</v>
      </c>
      <c r="H5648" t="s">
        <v>32683</v>
      </c>
      <c r="I5648" t="s">
        <v>10627</v>
      </c>
      <c r="J5648" t="s">
        <v>36370</v>
      </c>
      <c r="K5648" t="s">
        <v>42395</v>
      </c>
      <c r="M5648" t="s">
        <v>44539</v>
      </c>
      <c r="N5648" t="s">
        <v>46569</v>
      </c>
      <c r="O5648" t="s">
        <v>46570</v>
      </c>
      <c r="P5648">
        <v>0</v>
      </c>
      <c r="Q5648">
        <v>1</v>
      </c>
      <c r="R5648" t="s">
        <v>46573</v>
      </c>
      <c r="S5648" t="s">
        <v>46705</v>
      </c>
      <c r="T5648" t="s">
        <v>48552</v>
      </c>
      <c r="U5648" t="s">
        <v>53480</v>
      </c>
      <c r="W5648" t="s">
        <v>63536</v>
      </c>
      <c r="X5648" t="s">
        <v>46574</v>
      </c>
    </row>
    <row r="5649" spans="1:24">
      <c r="A5649">
        <f>HYPERLINK("https://www.philgeps.gov.ph/GEPSNONPILOT/Tender/SplashBidNoticeAbstractUI.aspx?menuIndex=3&amp;refID=7059467&amp;Result=3","7059467")</f>
        <v>0</v>
      </c>
      <c r="B5649" t="s">
        <v>525</v>
      </c>
      <c r="C5649" t="s">
        <v>8913</v>
      </c>
      <c r="E5649" t="s">
        <v>23936</v>
      </c>
      <c r="F5649" t="s">
        <v>32664</v>
      </c>
      <c r="G5649" t="s">
        <v>32671</v>
      </c>
      <c r="H5649" t="s">
        <v>12635</v>
      </c>
      <c r="I5649" t="s">
        <v>4997</v>
      </c>
      <c r="J5649" t="s">
        <v>36371</v>
      </c>
      <c r="K5649" t="s">
        <v>42283</v>
      </c>
      <c r="M5649" t="s">
        <v>43102</v>
      </c>
      <c r="N5649" t="s">
        <v>46569</v>
      </c>
      <c r="O5649" t="s">
        <v>46570</v>
      </c>
      <c r="P5649">
        <v>0</v>
      </c>
      <c r="Q5649">
        <v>1</v>
      </c>
      <c r="R5649" t="s">
        <v>46573</v>
      </c>
      <c r="S5649" t="s">
        <v>46705</v>
      </c>
      <c r="T5649" t="s">
        <v>48307</v>
      </c>
      <c r="U5649" t="s">
        <v>53481</v>
      </c>
      <c r="W5649" t="s">
        <v>43102</v>
      </c>
      <c r="X5649" t="s">
        <v>46574</v>
      </c>
    </row>
    <row r="5650" spans="1:24">
      <c r="A5650">
        <f>HYPERLINK("https://www.philgeps.gov.ph/GEPSNONPILOT/Tender/SplashBidNoticeAbstractUI.aspx?menuIndex=3&amp;refID=7059443&amp;Result=3","7059443")</f>
        <v>0</v>
      </c>
      <c r="B5650" t="s">
        <v>1848</v>
      </c>
      <c r="C5650" t="s">
        <v>8914</v>
      </c>
      <c r="D5650" t="s">
        <v>18830</v>
      </c>
      <c r="E5650" t="s">
        <v>23937</v>
      </c>
      <c r="F5650" t="s">
        <v>32664</v>
      </c>
      <c r="G5650" t="s">
        <v>32674</v>
      </c>
      <c r="H5650" t="s">
        <v>12635</v>
      </c>
      <c r="I5650" t="s">
        <v>10370</v>
      </c>
      <c r="J5650" t="s">
        <v>34268</v>
      </c>
      <c r="K5650" t="s">
        <v>42289</v>
      </c>
      <c r="M5650" t="s">
        <v>44557</v>
      </c>
      <c r="N5650" t="s">
        <v>46569</v>
      </c>
      <c r="O5650" t="s">
        <v>46570</v>
      </c>
      <c r="P5650">
        <v>0</v>
      </c>
      <c r="Q5650">
        <v>4</v>
      </c>
      <c r="R5650" t="s">
        <v>46573</v>
      </c>
      <c r="S5650" t="s">
        <v>46705</v>
      </c>
      <c r="T5650" t="s">
        <v>48316</v>
      </c>
      <c r="U5650" t="s">
        <v>53482</v>
      </c>
      <c r="W5650" t="s">
        <v>63538</v>
      </c>
      <c r="X5650" t="s">
        <v>46574</v>
      </c>
    </row>
    <row r="5651" spans="1:24">
      <c r="A5651">
        <f>HYPERLINK("https://www.philgeps.gov.ph/GEPSNONPILOT/Tender/SplashBidNoticeAbstractUI.aspx?menuIndex=3&amp;refID=7061833&amp;Result=3","7061833")</f>
        <v>0</v>
      </c>
      <c r="B5651" t="s">
        <v>1420</v>
      </c>
      <c r="C5651" t="s">
        <v>8915</v>
      </c>
      <c r="D5651" t="s">
        <v>18860</v>
      </c>
      <c r="E5651" t="s">
        <v>23938</v>
      </c>
      <c r="F5651" t="s">
        <v>32664</v>
      </c>
      <c r="G5651" t="s">
        <v>32674</v>
      </c>
      <c r="H5651" t="s">
        <v>12635</v>
      </c>
      <c r="I5651" t="s">
        <v>8730</v>
      </c>
      <c r="J5651" t="s">
        <v>36372</v>
      </c>
      <c r="K5651" t="s">
        <v>42283</v>
      </c>
      <c r="M5651" t="s">
        <v>44079</v>
      </c>
      <c r="N5651" t="s">
        <v>46569</v>
      </c>
      <c r="O5651" t="s">
        <v>46570</v>
      </c>
      <c r="P5651">
        <v>0</v>
      </c>
      <c r="Q5651">
        <v>0</v>
      </c>
      <c r="R5651" t="s">
        <v>46572</v>
      </c>
      <c r="S5651" t="s">
        <v>46689</v>
      </c>
      <c r="T5651" t="s">
        <v>48254</v>
      </c>
      <c r="U5651" t="s">
        <v>53483</v>
      </c>
      <c r="W5651" t="s">
        <v>44079</v>
      </c>
      <c r="X5651" t="s">
        <v>46573</v>
      </c>
    </row>
    <row r="5652" spans="1:24">
      <c r="A5652">
        <f>HYPERLINK("https://www.philgeps.gov.ph/GEPSNONPILOT/Tender/SplashBidNoticeAbstractUI.aspx?menuIndex=3&amp;refID=7059361&amp;Result=3","7059361")</f>
        <v>0</v>
      </c>
      <c r="B5652" t="s">
        <v>525</v>
      </c>
      <c r="C5652" t="s">
        <v>8916</v>
      </c>
      <c r="E5652" t="s">
        <v>23939</v>
      </c>
      <c r="F5652" t="s">
        <v>32664</v>
      </c>
      <c r="G5652" t="s">
        <v>32671</v>
      </c>
      <c r="H5652" t="s">
        <v>12635</v>
      </c>
      <c r="I5652" t="s">
        <v>6223</v>
      </c>
      <c r="J5652" t="s">
        <v>33069</v>
      </c>
      <c r="K5652" t="s">
        <v>42283</v>
      </c>
      <c r="M5652" t="s">
        <v>43102</v>
      </c>
      <c r="N5652" t="s">
        <v>46569</v>
      </c>
      <c r="O5652" t="s">
        <v>46570</v>
      </c>
      <c r="P5652">
        <v>0</v>
      </c>
      <c r="Q5652">
        <v>0</v>
      </c>
      <c r="R5652" t="s">
        <v>46573</v>
      </c>
      <c r="S5652" t="s">
        <v>46705</v>
      </c>
      <c r="T5652" t="s">
        <v>48307</v>
      </c>
      <c r="U5652" t="s">
        <v>53078</v>
      </c>
      <c r="W5652" t="s">
        <v>43102</v>
      </c>
      <c r="X5652" t="s">
        <v>46574</v>
      </c>
    </row>
    <row r="5653" spans="1:24">
      <c r="A5653">
        <f>HYPERLINK("https://www.philgeps.gov.ph/GEPSNONPILOT/Tender/SplashBidNoticeAbstractUI.aspx?menuIndex=3&amp;refID=7059358&amp;Result=3","7059358")</f>
        <v>0</v>
      </c>
      <c r="B5653" t="s">
        <v>1093</v>
      </c>
      <c r="C5653" t="s">
        <v>8917</v>
      </c>
      <c r="D5653" t="s">
        <v>18784</v>
      </c>
      <c r="E5653" t="s">
        <v>23940</v>
      </c>
      <c r="F5653" t="s">
        <v>32664</v>
      </c>
      <c r="G5653" t="s">
        <v>32671</v>
      </c>
      <c r="H5653" t="s">
        <v>12635</v>
      </c>
      <c r="I5653" t="s">
        <v>32775</v>
      </c>
      <c r="J5653" t="s">
        <v>36373</v>
      </c>
      <c r="K5653" t="s">
        <v>42289</v>
      </c>
      <c r="M5653" t="s">
        <v>43720</v>
      </c>
      <c r="N5653" t="s">
        <v>46569</v>
      </c>
      <c r="O5653" t="s">
        <v>46570</v>
      </c>
      <c r="P5653">
        <v>0</v>
      </c>
      <c r="Q5653">
        <v>1</v>
      </c>
      <c r="R5653" t="s">
        <v>46573</v>
      </c>
      <c r="S5653" t="s">
        <v>46705</v>
      </c>
      <c r="T5653" t="s">
        <v>48307</v>
      </c>
      <c r="U5653" t="s">
        <v>53484</v>
      </c>
      <c r="V5653" t="s">
        <v>61652</v>
      </c>
      <c r="W5653" t="s">
        <v>43720</v>
      </c>
      <c r="X5653" t="s">
        <v>46574</v>
      </c>
    </row>
    <row r="5654" spans="1:24">
      <c r="A5654">
        <f>HYPERLINK("https://www.philgeps.gov.ph/GEPSNONPILOT/Tender/SplashBidNoticeAbstractUI.aspx?menuIndex=3&amp;refID=7059468&amp;Result=3","7059468")</f>
        <v>0</v>
      </c>
      <c r="B5654" t="s">
        <v>1838</v>
      </c>
      <c r="C5654" t="s">
        <v>8918</v>
      </c>
      <c r="D5654" t="s">
        <v>18799</v>
      </c>
      <c r="E5654" t="s">
        <v>23941</v>
      </c>
      <c r="F5654" t="s">
        <v>32664</v>
      </c>
      <c r="G5654" t="s">
        <v>32674</v>
      </c>
      <c r="H5654" t="s">
        <v>12635</v>
      </c>
      <c r="I5654" t="s">
        <v>32704</v>
      </c>
      <c r="J5654" t="s">
        <v>32959</v>
      </c>
      <c r="K5654" t="s">
        <v>42298</v>
      </c>
      <c r="M5654" t="s">
        <v>44546</v>
      </c>
      <c r="N5654" t="s">
        <v>46569</v>
      </c>
      <c r="O5654" t="s">
        <v>46570</v>
      </c>
      <c r="P5654">
        <v>0</v>
      </c>
      <c r="Q5654">
        <v>22</v>
      </c>
      <c r="R5654" t="s">
        <v>46573</v>
      </c>
      <c r="S5654" t="s">
        <v>46705</v>
      </c>
      <c r="T5654" t="s">
        <v>48316</v>
      </c>
      <c r="U5654" t="s">
        <v>49565</v>
      </c>
      <c r="W5654" t="s">
        <v>44546</v>
      </c>
      <c r="X5654" t="s">
        <v>46574</v>
      </c>
    </row>
    <row r="5655" spans="1:24">
      <c r="A5655">
        <f>HYPERLINK("https://www.philgeps.gov.ph/GEPSNONPILOT/Tender/SplashBidNoticeAbstractUI.aspx?menuIndex=3&amp;refID=7059775&amp;Result=3","7059775")</f>
        <v>0</v>
      </c>
      <c r="B5655" t="s">
        <v>1443</v>
      </c>
      <c r="C5655" t="s">
        <v>8919</v>
      </c>
      <c r="D5655" t="s">
        <v>18804</v>
      </c>
      <c r="E5655" t="s">
        <v>23942</v>
      </c>
      <c r="F5655" t="s">
        <v>32664</v>
      </c>
      <c r="G5655" t="s">
        <v>32671</v>
      </c>
      <c r="H5655" t="s">
        <v>12635</v>
      </c>
      <c r="I5655" t="s">
        <v>32729</v>
      </c>
      <c r="J5655" t="s">
        <v>33426</v>
      </c>
      <c r="K5655" t="s">
        <v>42281</v>
      </c>
      <c r="M5655" t="s">
        <v>44104</v>
      </c>
      <c r="N5655" t="s">
        <v>46569</v>
      </c>
      <c r="O5655" t="s">
        <v>46570</v>
      </c>
      <c r="P5655">
        <v>0</v>
      </c>
      <c r="Q5655">
        <v>1</v>
      </c>
      <c r="R5655" t="s">
        <v>46573</v>
      </c>
      <c r="S5655" t="s">
        <v>46705</v>
      </c>
      <c r="T5655" t="s">
        <v>48420</v>
      </c>
      <c r="U5655" t="s">
        <v>53485</v>
      </c>
      <c r="W5655" t="s">
        <v>44104</v>
      </c>
      <c r="X5655" t="s">
        <v>46574</v>
      </c>
    </row>
    <row r="5656" spans="1:24">
      <c r="A5656">
        <f>HYPERLINK("https://www.philgeps.gov.ph/GEPSNONPILOT/Tender/SplashBidNoticeAbstractUI.aspx?menuIndex=3&amp;refID=7061836&amp;Result=3","7061836")</f>
        <v>0</v>
      </c>
      <c r="B5656" t="s">
        <v>1896</v>
      </c>
      <c r="C5656" t="s">
        <v>8920</v>
      </c>
      <c r="D5656" t="s">
        <v>18794</v>
      </c>
      <c r="E5656" t="s">
        <v>20724</v>
      </c>
      <c r="F5656" t="s">
        <v>32664</v>
      </c>
      <c r="G5656" t="s">
        <v>32671</v>
      </c>
      <c r="H5656" t="s">
        <v>12635</v>
      </c>
      <c r="I5656" t="s">
        <v>32725</v>
      </c>
      <c r="J5656" t="s">
        <v>36374</v>
      </c>
      <c r="K5656" t="s">
        <v>42289</v>
      </c>
      <c r="M5656" t="s">
        <v>44615</v>
      </c>
      <c r="N5656" t="s">
        <v>46569</v>
      </c>
      <c r="O5656" t="s">
        <v>46570</v>
      </c>
      <c r="P5656">
        <v>0</v>
      </c>
      <c r="Q5656">
        <v>1</v>
      </c>
      <c r="R5656" t="s">
        <v>46572</v>
      </c>
      <c r="S5656" t="s">
        <v>46689</v>
      </c>
      <c r="T5656" t="s">
        <v>48221</v>
      </c>
      <c r="U5656" t="s">
        <v>53486</v>
      </c>
      <c r="W5656" t="s">
        <v>44615</v>
      </c>
      <c r="X5656" t="s">
        <v>46573</v>
      </c>
    </row>
    <row r="5657" spans="1:24">
      <c r="A5657">
        <f>HYPERLINK("https://www.philgeps.gov.ph/GEPSNONPILOT/Tender/SplashBidNoticeAbstractUI.aspx?menuIndex=3&amp;refID=7059772&amp;Result=3","7059772")</f>
        <v>0</v>
      </c>
      <c r="B5657" t="s">
        <v>325</v>
      </c>
      <c r="C5657" t="s">
        <v>8921</v>
      </c>
      <c r="D5657" t="s">
        <v>18848</v>
      </c>
      <c r="E5657" t="s">
        <v>23943</v>
      </c>
      <c r="F5657" t="s">
        <v>32664</v>
      </c>
      <c r="G5657" t="s">
        <v>32672</v>
      </c>
      <c r="H5657" t="s">
        <v>12635</v>
      </c>
      <c r="I5657" t="s">
        <v>32688</v>
      </c>
      <c r="J5657" t="s">
        <v>36375</v>
      </c>
      <c r="K5657" t="s">
        <v>42297</v>
      </c>
      <c r="M5657" t="s">
        <v>42893</v>
      </c>
      <c r="N5657" t="s">
        <v>46569</v>
      </c>
      <c r="O5657" t="s">
        <v>46570</v>
      </c>
      <c r="P5657">
        <v>0</v>
      </c>
      <c r="Q5657">
        <v>2</v>
      </c>
      <c r="R5657" t="s">
        <v>46573</v>
      </c>
      <c r="S5657" t="s">
        <v>46705</v>
      </c>
      <c r="T5657" t="s">
        <v>48280</v>
      </c>
      <c r="U5657" t="s">
        <v>53487</v>
      </c>
      <c r="V5657" t="s">
        <v>61699</v>
      </c>
      <c r="W5657" t="s">
        <v>42893</v>
      </c>
      <c r="X5657" t="s">
        <v>46574</v>
      </c>
    </row>
    <row r="5658" spans="1:24">
      <c r="A5658">
        <f>HYPERLINK("https://www.philgeps.gov.ph/GEPSNONPILOT/Tender/SplashBidNoticeAbstractUI.aspx?menuIndex=3&amp;refID=7059491&amp;Result=3","7059491")</f>
        <v>0</v>
      </c>
      <c r="B5658" t="s">
        <v>671</v>
      </c>
      <c r="C5658" t="s">
        <v>8922</v>
      </c>
      <c r="D5658" t="s">
        <v>18836</v>
      </c>
      <c r="E5658" t="s">
        <v>23944</v>
      </c>
      <c r="F5658" t="s">
        <v>32664</v>
      </c>
      <c r="G5658" t="s">
        <v>32672</v>
      </c>
      <c r="H5658" t="s">
        <v>12635</v>
      </c>
      <c r="I5658" t="s">
        <v>8958</v>
      </c>
      <c r="J5658" t="s">
        <v>33009</v>
      </c>
      <c r="K5658" t="s">
        <v>42298</v>
      </c>
      <c r="M5658" t="s">
        <v>44532</v>
      </c>
      <c r="N5658" t="s">
        <v>46569</v>
      </c>
      <c r="O5658" t="s">
        <v>46570</v>
      </c>
      <c r="P5658">
        <v>0</v>
      </c>
      <c r="Q5658">
        <v>5</v>
      </c>
      <c r="R5658" t="s">
        <v>46573</v>
      </c>
      <c r="S5658" t="s">
        <v>46705</v>
      </c>
      <c r="T5658" t="s">
        <v>48257</v>
      </c>
      <c r="U5658" t="s">
        <v>53488</v>
      </c>
      <c r="W5658" t="s">
        <v>63535</v>
      </c>
      <c r="X5658" t="s">
        <v>46574</v>
      </c>
    </row>
    <row r="5659" spans="1:24">
      <c r="A5659">
        <f>HYPERLINK("https://www.philgeps.gov.ph/GEPSNONPILOT/Tender/SplashBidNoticeAbstractUI.aspx?menuIndex=3&amp;refID=7061815&amp;Result=3","7061815")</f>
        <v>0</v>
      </c>
      <c r="B5659" t="s">
        <v>1442</v>
      </c>
      <c r="C5659" t="s">
        <v>8923</v>
      </c>
      <c r="D5659" t="s">
        <v>18852</v>
      </c>
      <c r="E5659" t="s">
        <v>8923</v>
      </c>
      <c r="F5659" t="s">
        <v>32664</v>
      </c>
      <c r="G5659" t="s">
        <v>32671</v>
      </c>
      <c r="H5659" t="s">
        <v>12635</v>
      </c>
      <c r="I5659" t="s">
        <v>8797</v>
      </c>
      <c r="J5659" t="s">
        <v>36376</v>
      </c>
      <c r="K5659" t="s">
        <v>42289</v>
      </c>
      <c r="M5659" t="s">
        <v>44103</v>
      </c>
      <c r="N5659" t="s">
        <v>46569</v>
      </c>
      <c r="O5659" t="s">
        <v>46570</v>
      </c>
      <c r="P5659">
        <v>0</v>
      </c>
      <c r="Q5659">
        <v>2</v>
      </c>
      <c r="R5659" t="s">
        <v>46572</v>
      </c>
      <c r="S5659" t="s">
        <v>46689</v>
      </c>
      <c r="T5659" t="s">
        <v>48304</v>
      </c>
      <c r="U5659" t="s">
        <v>51955</v>
      </c>
      <c r="W5659" t="s">
        <v>44103</v>
      </c>
      <c r="X5659" t="s">
        <v>46573</v>
      </c>
    </row>
    <row r="5660" spans="1:24">
      <c r="A5660">
        <f>HYPERLINK("https://www.philgeps.gov.ph/GEPSNONPILOT/Tender/SplashBidNoticeAbstractUI.aspx?menuIndex=3&amp;refID=7059771&amp;Result=3","7059771")</f>
        <v>0</v>
      </c>
      <c r="B5660" t="s">
        <v>1810</v>
      </c>
      <c r="C5660" t="s">
        <v>8924</v>
      </c>
      <c r="D5660" t="s">
        <v>18794</v>
      </c>
      <c r="E5660" t="s">
        <v>23945</v>
      </c>
      <c r="F5660" t="s">
        <v>32664</v>
      </c>
      <c r="G5660" t="s">
        <v>32672</v>
      </c>
      <c r="H5660" t="s">
        <v>12635</v>
      </c>
      <c r="I5660" t="s">
        <v>4439</v>
      </c>
      <c r="J5660" t="s">
        <v>36377</v>
      </c>
      <c r="K5660" t="s">
        <v>42303</v>
      </c>
      <c r="M5660" t="s">
        <v>44515</v>
      </c>
      <c r="N5660" t="s">
        <v>46569</v>
      </c>
      <c r="O5660" t="s">
        <v>46570</v>
      </c>
      <c r="P5660">
        <v>0</v>
      </c>
      <c r="Q5660">
        <v>1</v>
      </c>
      <c r="R5660" t="s">
        <v>46573</v>
      </c>
      <c r="S5660" t="s">
        <v>46705</v>
      </c>
      <c r="T5660" t="s">
        <v>48349</v>
      </c>
      <c r="U5660" t="s">
        <v>53489</v>
      </c>
      <c r="W5660" t="s">
        <v>44515</v>
      </c>
      <c r="X5660" t="s">
        <v>46574</v>
      </c>
    </row>
    <row r="5661" spans="1:24">
      <c r="A5661">
        <f>HYPERLINK("https://www.philgeps.gov.ph/GEPSNONPILOT/Tender/SplashBidNoticeAbstractUI.aspx?menuIndex=3&amp;refID=7059770&amp;Result=3","7059770")</f>
        <v>0</v>
      </c>
      <c r="B5661" t="s">
        <v>1055</v>
      </c>
      <c r="C5661" t="s">
        <v>8925</v>
      </c>
      <c r="D5661" t="s">
        <v>18784</v>
      </c>
      <c r="E5661" t="s">
        <v>23946</v>
      </c>
      <c r="F5661" t="s">
        <v>32665</v>
      </c>
      <c r="G5661" t="s">
        <v>32671</v>
      </c>
      <c r="H5661" t="s">
        <v>12635</v>
      </c>
      <c r="I5661" t="s">
        <v>10370</v>
      </c>
      <c r="J5661" t="s">
        <v>32859</v>
      </c>
      <c r="K5661" t="s">
        <v>42289</v>
      </c>
      <c r="M5661" t="s">
        <v>44008</v>
      </c>
      <c r="N5661" t="s">
        <v>46569</v>
      </c>
      <c r="O5661" t="s">
        <v>46570</v>
      </c>
      <c r="P5661">
        <v>0</v>
      </c>
      <c r="Q5661">
        <v>4</v>
      </c>
      <c r="R5661" t="s">
        <v>46573</v>
      </c>
      <c r="S5661" t="s">
        <v>46705</v>
      </c>
      <c r="T5661" t="s">
        <v>48356</v>
      </c>
      <c r="U5661" t="s">
        <v>53490</v>
      </c>
      <c r="V5661" t="s">
        <v>62215</v>
      </c>
      <c r="W5661" t="s">
        <v>44008</v>
      </c>
      <c r="X5661" t="s">
        <v>46574</v>
      </c>
    </row>
    <row r="5662" spans="1:24">
      <c r="A5662">
        <f>HYPERLINK("https://www.philgeps.gov.ph/GEPSNONPILOT/Tender/SplashBidNoticeAbstractUI.aspx?menuIndex=3&amp;refID=7059768&amp;Result=3","7059768")</f>
        <v>0</v>
      </c>
      <c r="B5662" t="s">
        <v>646</v>
      </c>
      <c r="C5662" t="s">
        <v>8926</v>
      </c>
      <c r="E5662" t="s">
        <v>23947</v>
      </c>
      <c r="F5662" t="s">
        <v>32664</v>
      </c>
      <c r="G5662" t="s">
        <v>32672</v>
      </c>
      <c r="H5662" t="s">
        <v>32683</v>
      </c>
      <c r="I5662" t="s">
        <v>10627</v>
      </c>
      <c r="J5662" t="s">
        <v>36378</v>
      </c>
      <c r="K5662" t="s">
        <v>42298</v>
      </c>
      <c r="M5662" t="s">
        <v>43232</v>
      </c>
      <c r="N5662" t="s">
        <v>46569</v>
      </c>
      <c r="O5662" t="s">
        <v>46570</v>
      </c>
      <c r="P5662">
        <v>0</v>
      </c>
      <c r="Q5662">
        <v>1</v>
      </c>
      <c r="R5662" t="s">
        <v>46573</v>
      </c>
      <c r="S5662" t="s">
        <v>46705</v>
      </c>
      <c r="T5662" t="s">
        <v>48339</v>
      </c>
      <c r="U5662" t="s">
        <v>53491</v>
      </c>
      <c r="W5662" t="s">
        <v>43232</v>
      </c>
      <c r="X5662" t="s">
        <v>46574</v>
      </c>
    </row>
    <row r="5663" spans="1:24">
      <c r="A5663">
        <f>HYPERLINK("https://www.philgeps.gov.ph/GEPSNONPILOT/Tender/SplashBidNoticeAbstractUI.aspx?menuIndex=3&amp;refID=7059767&amp;Result=3","7059767")</f>
        <v>0</v>
      </c>
      <c r="B5663" t="s">
        <v>1897</v>
      </c>
      <c r="C5663" t="s">
        <v>8927</v>
      </c>
      <c r="D5663" t="s">
        <v>18802</v>
      </c>
      <c r="E5663" t="s">
        <v>23948</v>
      </c>
      <c r="F5663" t="s">
        <v>32664</v>
      </c>
      <c r="G5663" t="s">
        <v>32672</v>
      </c>
      <c r="H5663" t="s">
        <v>12635</v>
      </c>
      <c r="I5663" t="s">
        <v>4439</v>
      </c>
      <c r="J5663" t="s">
        <v>33299</v>
      </c>
      <c r="K5663" t="s">
        <v>42281</v>
      </c>
      <c r="M5663" t="s">
        <v>44616</v>
      </c>
      <c r="N5663" t="s">
        <v>46569</v>
      </c>
      <c r="O5663" t="s">
        <v>46570</v>
      </c>
      <c r="P5663">
        <v>0</v>
      </c>
      <c r="Q5663">
        <v>0</v>
      </c>
      <c r="R5663" t="s">
        <v>46573</v>
      </c>
      <c r="S5663" t="s">
        <v>46705</v>
      </c>
      <c r="T5663" t="s">
        <v>48385</v>
      </c>
      <c r="U5663" t="s">
        <v>53492</v>
      </c>
      <c r="W5663" t="s">
        <v>44616</v>
      </c>
      <c r="X5663" t="s">
        <v>46574</v>
      </c>
    </row>
    <row r="5664" spans="1:24">
      <c r="A5664">
        <f>HYPERLINK("https://www.philgeps.gov.ph/GEPSNONPILOT/Tender/SplashBidNoticeAbstractUI.aspx?menuIndex=3&amp;refID=7059765&amp;Result=3","7059765")</f>
        <v>0</v>
      </c>
      <c r="B5664" t="s">
        <v>917</v>
      </c>
      <c r="C5664" t="s">
        <v>8928</v>
      </c>
      <c r="D5664" t="s">
        <v>18781</v>
      </c>
      <c r="E5664" t="s">
        <v>22050</v>
      </c>
      <c r="F5664" t="s">
        <v>32664</v>
      </c>
      <c r="G5664" t="s">
        <v>32672</v>
      </c>
      <c r="H5664" t="s">
        <v>12635</v>
      </c>
      <c r="I5664" t="s">
        <v>32694</v>
      </c>
      <c r="J5664" t="s">
        <v>32853</v>
      </c>
      <c r="K5664" t="s">
        <v>42283</v>
      </c>
      <c r="M5664" t="s">
        <v>43523</v>
      </c>
      <c r="N5664" t="s">
        <v>46569</v>
      </c>
      <c r="O5664" t="s">
        <v>46570</v>
      </c>
      <c r="P5664">
        <v>0</v>
      </c>
      <c r="Q5664">
        <v>0</v>
      </c>
      <c r="R5664" t="s">
        <v>46573</v>
      </c>
      <c r="S5664" t="s">
        <v>46705</v>
      </c>
      <c r="T5664" t="s">
        <v>48283</v>
      </c>
      <c r="U5664" t="s">
        <v>53493</v>
      </c>
      <c r="W5664" t="s">
        <v>43523</v>
      </c>
      <c r="X5664" t="s">
        <v>46574</v>
      </c>
    </row>
    <row r="5665" spans="1:24">
      <c r="A5665">
        <f>HYPERLINK("https://www.philgeps.gov.ph/GEPSNONPILOT/Tender/SplashBidNoticeAbstractUI.aspx?menuIndex=3&amp;refID=7059764&amp;Result=3","7059764")</f>
        <v>0</v>
      </c>
      <c r="B5665" t="s">
        <v>1088</v>
      </c>
      <c r="C5665" t="s">
        <v>8929</v>
      </c>
      <c r="D5665" t="s">
        <v>18804</v>
      </c>
      <c r="E5665" t="s">
        <v>23949</v>
      </c>
      <c r="F5665" t="s">
        <v>32664</v>
      </c>
      <c r="G5665" t="s">
        <v>32671</v>
      </c>
      <c r="H5665" t="s">
        <v>12635</v>
      </c>
      <c r="I5665" t="s">
        <v>7429</v>
      </c>
      <c r="J5665" t="s">
        <v>36379</v>
      </c>
      <c r="K5665" t="s">
        <v>42303</v>
      </c>
      <c r="M5665" t="s">
        <v>44593</v>
      </c>
      <c r="N5665" t="s">
        <v>46569</v>
      </c>
      <c r="O5665" t="s">
        <v>46570</v>
      </c>
      <c r="P5665">
        <v>0</v>
      </c>
      <c r="Q5665">
        <v>1</v>
      </c>
      <c r="R5665" t="s">
        <v>46573</v>
      </c>
      <c r="S5665" t="s">
        <v>46705</v>
      </c>
      <c r="T5665" t="s">
        <v>48268</v>
      </c>
      <c r="U5665" t="s">
        <v>53494</v>
      </c>
      <c r="W5665" t="s">
        <v>44593</v>
      </c>
      <c r="X5665" t="s">
        <v>46574</v>
      </c>
    </row>
    <row r="5666" spans="1:24">
      <c r="A5666">
        <f>HYPERLINK("https://www.philgeps.gov.ph/GEPSNONPILOT/Tender/SplashBidNoticeAbstractUI.aspx?menuIndex=3&amp;refID=7059766&amp;Result=3","7059766")</f>
        <v>0</v>
      </c>
      <c r="B5666" t="s">
        <v>1838</v>
      </c>
      <c r="C5666" t="s">
        <v>8930</v>
      </c>
      <c r="D5666" t="s">
        <v>18799</v>
      </c>
      <c r="E5666" t="s">
        <v>23950</v>
      </c>
      <c r="F5666" t="s">
        <v>32664</v>
      </c>
      <c r="G5666" t="s">
        <v>32674</v>
      </c>
      <c r="H5666" t="s">
        <v>12635</v>
      </c>
      <c r="I5666" t="s">
        <v>14442</v>
      </c>
      <c r="J5666" t="s">
        <v>33118</v>
      </c>
      <c r="K5666" t="s">
        <v>42305</v>
      </c>
      <c r="M5666" t="s">
        <v>44546</v>
      </c>
      <c r="N5666" t="s">
        <v>46569</v>
      </c>
      <c r="O5666" t="s">
        <v>46570</v>
      </c>
      <c r="P5666">
        <v>0</v>
      </c>
      <c r="Q5666">
        <v>1</v>
      </c>
      <c r="R5666" t="s">
        <v>46573</v>
      </c>
      <c r="S5666" t="s">
        <v>46705</v>
      </c>
      <c r="T5666" t="s">
        <v>48316</v>
      </c>
      <c r="U5666" t="s">
        <v>49565</v>
      </c>
      <c r="W5666" t="s">
        <v>44546</v>
      </c>
      <c r="X5666" t="s">
        <v>46574</v>
      </c>
    </row>
    <row r="5667" spans="1:24">
      <c r="A5667">
        <f>HYPERLINK("https://www.philgeps.gov.ph/GEPSNONPILOT/Tender/SplashBidNoticeAbstractUI.aspx?menuIndex=3&amp;refID=7059762&amp;Result=3","7059762")</f>
        <v>0</v>
      </c>
      <c r="B5667" t="s">
        <v>1853</v>
      </c>
      <c r="C5667" t="s">
        <v>8931</v>
      </c>
      <c r="D5667" t="s">
        <v>18785</v>
      </c>
      <c r="E5667" t="s">
        <v>23951</v>
      </c>
      <c r="F5667" t="s">
        <v>32664</v>
      </c>
      <c r="G5667" t="s">
        <v>32675</v>
      </c>
      <c r="H5667" t="s">
        <v>12635</v>
      </c>
      <c r="I5667" t="s">
        <v>4205</v>
      </c>
      <c r="J5667" t="s">
        <v>36380</v>
      </c>
      <c r="K5667" t="s">
        <v>42325</v>
      </c>
      <c r="M5667" t="s">
        <v>44564</v>
      </c>
      <c r="N5667" t="s">
        <v>46569</v>
      </c>
      <c r="O5667" t="s">
        <v>46570</v>
      </c>
      <c r="P5667">
        <v>0</v>
      </c>
      <c r="Q5667">
        <v>4</v>
      </c>
      <c r="R5667" t="s">
        <v>46573</v>
      </c>
      <c r="S5667" t="s">
        <v>46705</v>
      </c>
      <c r="T5667" t="s">
        <v>48287</v>
      </c>
      <c r="U5667" t="s">
        <v>53495</v>
      </c>
      <c r="W5667" t="s">
        <v>44564</v>
      </c>
      <c r="X5667" t="s">
        <v>46574</v>
      </c>
    </row>
    <row r="5668" spans="1:24">
      <c r="A5668">
        <f>HYPERLINK("https://www.philgeps.gov.ph/GEPSNONPILOT/Tender/SplashBidNoticeAbstractUI.aspx?menuIndex=3&amp;refID=7061832&amp;Result=3","7061832")</f>
        <v>0</v>
      </c>
      <c r="B5668" t="s">
        <v>145</v>
      </c>
      <c r="C5668" t="s">
        <v>8932</v>
      </c>
      <c r="D5668" t="s">
        <v>18784</v>
      </c>
      <c r="E5668" t="s">
        <v>23952</v>
      </c>
      <c r="F5668" t="s">
        <v>32664</v>
      </c>
      <c r="G5668" t="s">
        <v>32671</v>
      </c>
      <c r="H5668" t="s">
        <v>12635</v>
      </c>
      <c r="I5668" t="s">
        <v>32756</v>
      </c>
      <c r="J5668" t="s">
        <v>33334</v>
      </c>
      <c r="K5668" t="s">
        <v>42283</v>
      </c>
      <c r="M5668" t="s">
        <v>44617</v>
      </c>
      <c r="N5668" t="s">
        <v>46569</v>
      </c>
      <c r="O5668" t="s">
        <v>46570</v>
      </c>
      <c r="P5668">
        <v>0</v>
      </c>
      <c r="Q5668">
        <v>3</v>
      </c>
      <c r="R5668" t="s">
        <v>46572</v>
      </c>
      <c r="S5668" t="s">
        <v>46689</v>
      </c>
      <c r="T5668" t="s">
        <v>48246</v>
      </c>
      <c r="U5668" t="s">
        <v>53496</v>
      </c>
      <c r="V5668" t="s">
        <v>62173</v>
      </c>
      <c r="W5668" t="s">
        <v>44617</v>
      </c>
      <c r="X5668" t="s">
        <v>46573</v>
      </c>
    </row>
    <row r="5669" spans="1:24">
      <c r="A5669">
        <f>HYPERLINK("https://www.philgeps.gov.ph/GEPSNONPILOT/Tender/SplashBidNoticeAbstractUI.aspx?menuIndex=3&amp;refID=7059760&amp;Result=3","7059760")</f>
        <v>0</v>
      </c>
      <c r="B5669" t="s">
        <v>1898</v>
      </c>
      <c r="C5669" t="s">
        <v>8933</v>
      </c>
      <c r="D5669" t="s">
        <v>18827</v>
      </c>
      <c r="E5669" t="s">
        <v>23953</v>
      </c>
      <c r="F5669" t="s">
        <v>32664</v>
      </c>
      <c r="G5669" t="s">
        <v>32675</v>
      </c>
      <c r="H5669" t="s">
        <v>12635</v>
      </c>
      <c r="I5669" t="s">
        <v>8730</v>
      </c>
      <c r="J5669" t="s">
        <v>33051</v>
      </c>
      <c r="K5669" t="s">
        <v>42284</v>
      </c>
      <c r="M5669" t="s">
        <v>44618</v>
      </c>
      <c r="N5669" t="s">
        <v>46569</v>
      </c>
      <c r="O5669" t="s">
        <v>46570</v>
      </c>
      <c r="P5669">
        <v>0</v>
      </c>
      <c r="Q5669">
        <v>1</v>
      </c>
      <c r="R5669" t="s">
        <v>46573</v>
      </c>
      <c r="S5669" t="s">
        <v>46705</v>
      </c>
      <c r="T5669" t="s">
        <v>48316</v>
      </c>
      <c r="U5669" t="s">
        <v>53497</v>
      </c>
      <c r="W5669" t="s">
        <v>44618</v>
      </c>
      <c r="X5669" t="s">
        <v>46574</v>
      </c>
    </row>
    <row r="5670" spans="1:24">
      <c r="A5670">
        <f>HYPERLINK("https://www.philgeps.gov.ph/GEPSNONPILOT/Tender/SplashBidNoticeAbstractUI.aspx?menuIndex=3&amp;refID=7059756&amp;Result=3","7059756")</f>
        <v>0</v>
      </c>
      <c r="B5670" t="s">
        <v>1102</v>
      </c>
      <c r="C5670" t="s">
        <v>8934</v>
      </c>
      <c r="D5670" t="s">
        <v>18784</v>
      </c>
      <c r="E5670" t="s">
        <v>23954</v>
      </c>
      <c r="F5670" t="s">
        <v>32664</v>
      </c>
      <c r="G5670" t="s">
        <v>32674</v>
      </c>
      <c r="H5670" t="s">
        <v>12635</v>
      </c>
      <c r="I5670" t="s">
        <v>8730</v>
      </c>
      <c r="J5670" t="s">
        <v>36381</v>
      </c>
      <c r="K5670" t="s">
        <v>42283</v>
      </c>
      <c r="M5670" t="s">
        <v>43729</v>
      </c>
      <c r="N5670" t="s">
        <v>46569</v>
      </c>
      <c r="O5670" t="s">
        <v>46570</v>
      </c>
      <c r="P5670">
        <v>0</v>
      </c>
      <c r="Q5670">
        <v>6</v>
      </c>
      <c r="R5670" t="s">
        <v>46573</v>
      </c>
      <c r="S5670" t="s">
        <v>46705</v>
      </c>
      <c r="T5670" t="s">
        <v>48473</v>
      </c>
      <c r="U5670" t="s">
        <v>53498</v>
      </c>
      <c r="W5670" t="s">
        <v>43729</v>
      </c>
      <c r="X5670" t="s">
        <v>46574</v>
      </c>
    </row>
    <row r="5671" spans="1:24">
      <c r="A5671">
        <f>HYPERLINK("https://www.philgeps.gov.ph/GEPSNONPILOT/Tender/SplashBidNoticeAbstractUI.aspx?menuIndex=3&amp;refID=7059354&amp;Result=3","7059354")</f>
        <v>0</v>
      </c>
      <c r="B5671" t="s">
        <v>822</v>
      </c>
      <c r="C5671" t="s">
        <v>8935</v>
      </c>
      <c r="E5671" t="s">
        <v>23955</v>
      </c>
      <c r="F5671" t="s">
        <v>32664</v>
      </c>
      <c r="G5671" t="s">
        <v>32672</v>
      </c>
      <c r="H5671" t="s">
        <v>12635</v>
      </c>
      <c r="I5671" t="s">
        <v>32694</v>
      </c>
      <c r="J5671" t="s">
        <v>36382</v>
      </c>
      <c r="K5671" t="s">
        <v>42283</v>
      </c>
      <c r="M5671" t="s">
        <v>44619</v>
      </c>
      <c r="N5671" t="s">
        <v>46569</v>
      </c>
      <c r="O5671" t="s">
        <v>46570</v>
      </c>
      <c r="P5671">
        <v>0</v>
      </c>
      <c r="Q5671">
        <v>1</v>
      </c>
      <c r="R5671" t="s">
        <v>46573</v>
      </c>
      <c r="S5671" t="s">
        <v>46705</v>
      </c>
      <c r="T5671" t="s">
        <v>48467</v>
      </c>
      <c r="U5671" t="s">
        <v>53499</v>
      </c>
      <c r="W5671" t="s">
        <v>44619</v>
      </c>
      <c r="X5671" t="s">
        <v>46574</v>
      </c>
    </row>
    <row r="5672" spans="1:24">
      <c r="A5672">
        <f>HYPERLINK("https://www.philgeps.gov.ph/GEPSNONPILOT/Tender/SplashBidNoticeAbstractUI.aspx?menuIndex=3&amp;refID=7059769&amp;Result=3","7059769")</f>
        <v>0</v>
      </c>
      <c r="B5672" t="s">
        <v>549</v>
      </c>
      <c r="C5672" t="s">
        <v>8936</v>
      </c>
      <c r="D5672" t="s">
        <v>18781</v>
      </c>
      <c r="E5672" t="s">
        <v>23956</v>
      </c>
      <c r="F5672" t="s">
        <v>32664</v>
      </c>
      <c r="G5672" t="s">
        <v>32671</v>
      </c>
      <c r="H5672" t="s">
        <v>12635</v>
      </c>
      <c r="I5672" t="s">
        <v>9486</v>
      </c>
      <c r="J5672" t="s">
        <v>35500</v>
      </c>
      <c r="K5672" t="s">
        <v>42283</v>
      </c>
      <c r="M5672" t="s">
        <v>43129</v>
      </c>
      <c r="N5672" t="s">
        <v>46569</v>
      </c>
      <c r="O5672" t="s">
        <v>46570</v>
      </c>
      <c r="P5672">
        <v>0</v>
      </c>
      <c r="Q5672">
        <v>3</v>
      </c>
      <c r="R5672" t="s">
        <v>46573</v>
      </c>
      <c r="S5672" t="s">
        <v>46705</v>
      </c>
      <c r="T5672" t="s">
        <v>48492</v>
      </c>
      <c r="U5672" t="s">
        <v>53500</v>
      </c>
      <c r="W5672" t="s">
        <v>43129</v>
      </c>
      <c r="X5672" t="s">
        <v>46574</v>
      </c>
    </row>
    <row r="5673" spans="1:24">
      <c r="A5673">
        <f>HYPERLINK("https://www.philgeps.gov.ph/GEPSNONPILOT/Tender/SplashBidNoticeAbstractUI.aspx?menuIndex=3&amp;refID=7059773&amp;Result=3","7059773")</f>
        <v>0</v>
      </c>
      <c r="B5673" t="s">
        <v>1899</v>
      </c>
      <c r="C5673" t="s">
        <v>8937</v>
      </c>
      <c r="D5673" t="s">
        <v>18831</v>
      </c>
      <c r="E5673" t="s">
        <v>23957</v>
      </c>
      <c r="F5673" t="s">
        <v>32664</v>
      </c>
      <c r="G5673" t="s">
        <v>32672</v>
      </c>
      <c r="H5673" t="s">
        <v>12635</v>
      </c>
      <c r="I5673" t="s">
        <v>7324</v>
      </c>
      <c r="J5673" t="s">
        <v>36383</v>
      </c>
      <c r="K5673" t="s">
        <v>42281</v>
      </c>
      <c r="M5673" t="s">
        <v>44620</v>
      </c>
      <c r="N5673" t="s">
        <v>46569</v>
      </c>
      <c r="O5673" t="s">
        <v>46570</v>
      </c>
      <c r="P5673">
        <v>0</v>
      </c>
      <c r="Q5673">
        <v>2</v>
      </c>
      <c r="R5673" t="s">
        <v>46573</v>
      </c>
      <c r="S5673" t="s">
        <v>46705</v>
      </c>
      <c r="T5673" t="s">
        <v>48308</v>
      </c>
      <c r="U5673" t="s">
        <v>53501</v>
      </c>
      <c r="W5673" t="s">
        <v>44620</v>
      </c>
      <c r="X5673" t="s">
        <v>46574</v>
      </c>
    </row>
    <row r="5674" spans="1:24">
      <c r="A5674">
        <f>HYPERLINK("https://www.philgeps.gov.ph/GEPSNONPILOT/Tender/SplashBidNoticeAbstractUI.aspx?menuIndex=3&amp;refID=7059751&amp;Result=3","7059751")</f>
        <v>0</v>
      </c>
      <c r="B5674" t="s">
        <v>1900</v>
      </c>
      <c r="C5674" t="s">
        <v>8938</v>
      </c>
      <c r="E5674" t="s">
        <v>23958</v>
      </c>
      <c r="F5674" t="s">
        <v>32664</v>
      </c>
      <c r="G5674" t="s">
        <v>32671</v>
      </c>
      <c r="H5674" t="s">
        <v>12635</v>
      </c>
      <c r="I5674" t="s">
        <v>32730</v>
      </c>
      <c r="J5674" t="s">
        <v>33015</v>
      </c>
      <c r="K5674" t="s">
        <v>42283</v>
      </c>
      <c r="M5674" t="s">
        <v>44621</v>
      </c>
      <c r="N5674" t="s">
        <v>46569</v>
      </c>
      <c r="O5674" t="s">
        <v>46570</v>
      </c>
      <c r="P5674">
        <v>0</v>
      </c>
      <c r="Q5674">
        <v>0</v>
      </c>
      <c r="R5674" t="s">
        <v>46573</v>
      </c>
      <c r="S5674" t="s">
        <v>46705</v>
      </c>
      <c r="T5674" t="s">
        <v>48307</v>
      </c>
      <c r="U5674" t="s">
        <v>53502</v>
      </c>
      <c r="W5674" t="s">
        <v>44621</v>
      </c>
      <c r="X5674" t="s">
        <v>46574</v>
      </c>
    </row>
    <row r="5675" spans="1:24">
      <c r="A5675">
        <f>HYPERLINK("https://www.philgeps.gov.ph/GEPSNONPILOT/Tender/SplashBidNoticeAbstractUI.aspx?menuIndex=3&amp;refID=7059749&amp;Result=3","7059749")</f>
        <v>0</v>
      </c>
      <c r="B5675" t="s">
        <v>1853</v>
      </c>
      <c r="C5675" t="s">
        <v>8939</v>
      </c>
      <c r="D5675" t="s">
        <v>18785</v>
      </c>
      <c r="E5675" t="s">
        <v>23959</v>
      </c>
      <c r="F5675" t="s">
        <v>32664</v>
      </c>
      <c r="G5675" t="s">
        <v>32675</v>
      </c>
      <c r="H5675" t="s">
        <v>12635</v>
      </c>
      <c r="I5675" t="s">
        <v>6168</v>
      </c>
      <c r="J5675" t="s">
        <v>36384</v>
      </c>
      <c r="K5675" t="s">
        <v>42325</v>
      </c>
      <c r="M5675" t="s">
        <v>44564</v>
      </c>
      <c r="N5675" t="s">
        <v>46569</v>
      </c>
      <c r="O5675" t="s">
        <v>46570</v>
      </c>
      <c r="P5675">
        <v>0</v>
      </c>
      <c r="Q5675">
        <v>4</v>
      </c>
      <c r="R5675" t="s">
        <v>46573</v>
      </c>
      <c r="S5675" t="s">
        <v>46705</v>
      </c>
      <c r="T5675" t="s">
        <v>48287</v>
      </c>
      <c r="U5675" t="s">
        <v>53503</v>
      </c>
      <c r="W5675" t="s">
        <v>44564</v>
      </c>
      <c r="X5675" t="s">
        <v>46574</v>
      </c>
    </row>
    <row r="5676" spans="1:24">
      <c r="A5676">
        <f>HYPERLINK("https://www.philgeps.gov.ph/GEPSNONPILOT/Tender/SplashBidNoticeAbstractUI.aspx?menuIndex=3&amp;refID=7061811&amp;Result=3","7061811")</f>
        <v>0</v>
      </c>
      <c r="B5676" t="s">
        <v>1082</v>
      </c>
      <c r="C5676" t="s">
        <v>8940</v>
      </c>
      <c r="D5676" t="s">
        <v>18827</v>
      </c>
      <c r="E5676" t="s">
        <v>23960</v>
      </c>
      <c r="F5676" t="s">
        <v>32664</v>
      </c>
      <c r="G5676" t="s">
        <v>32672</v>
      </c>
      <c r="H5676" t="s">
        <v>32683</v>
      </c>
      <c r="I5676" t="s">
        <v>10627</v>
      </c>
      <c r="J5676" t="s">
        <v>34559</v>
      </c>
      <c r="K5676" t="s">
        <v>42384</v>
      </c>
      <c r="M5676" t="s">
        <v>43706</v>
      </c>
      <c r="N5676" t="s">
        <v>46569</v>
      </c>
      <c r="O5676" t="s">
        <v>46570</v>
      </c>
      <c r="P5676">
        <v>0</v>
      </c>
      <c r="Q5676">
        <v>0</v>
      </c>
      <c r="R5676" t="s">
        <v>46572</v>
      </c>
      <c r="S5676" t="s">
        <v>46689</v>
      </c>
      <c r="T5676" t="s">
        <v>48220</v>
      </c>
      <c r="U5676" t="s">
        <v>53504</v>
      </c>
      <c r="W5676" t="s">
        <v>43706</v>
      </c>
      <c r="X5676" t="s">
        <v>46573</v>
      </c>
    </row>
    <row r="5677" spans="1:24">
      <c r="A5677">
        <f>HYPERLINK("https://www.philgeps.gov.ph/GEPSNONPILOT/Tender/SplashBidNoticeAbstractUI.aspx?menuIndex=3&amp;refID=7061810&amp;Result=3","7061810")</f>
        <v>0</v>
      </c>
      <c r="B5677" t="s">
        <v>529</v>
      </c>
      <c r="C5677" t="s">
        <v>8730</v>
      </c>
      <c r="D5677" t="s">
        <v>18784</v>
      </c>
      <c r="E5677" t="s">
        <v>23961</v>
      </c>
      <c r="F5677" t="s">
        <v>32664</v>
      </c>
      <c r="G5677" t="s">
        <v>32671</v>
      </c>
      <c r="H5677" t="s">
        <v>12635</v>
      </c>
      <c r="I5677" t="s">
        <v>8730</v>
      </c>
      <c r="J5677" t="s">
        <v>32845</v>
      </c>
      <c r="K5677" t="s">
        <v>42283</v>
      </c>
      <c r="M5677" t="s">
        <v>43116</v>
      </c>
      <c r="N5677" t="s">
        <v>46569</v>
      </c>
      <c r="O5677" t="s">
        <v>46570</v>
      </c>
      <c r="P5677">
        <v>0</v>
      </c>
      <c r="Q5677">
        <v>8</v>
      </c>
      <c r="R5677" t="s">
        <v>46572</v>
      </c>
      <c r="S5677" t="s">
        <v>46689</v>
      </c>
      <c r="T5677" t="s">
        <v>48251</v>
      </c>
      <c r="U5677" t="s">
        <v>53505</v>
      </c>
      <c r="V5677" t="s">
        <v>61748</v>
      </c>
      <c r="W5677" t="s">
        <v>43116</v>
      </c>
      <c r="X5677" t="s">
        <v>46573</v>
      </c>
    </row>
    <row r="5678" spans="1:24">
      <c r="A5678">
        <f>HYPERLINK("https://www.philgeps.gov.ph/GEPSNONPILOT/Tender/SplashBidNoticeAbstractUI.aspx?menuIndex=3&amp;refID=7059754&amp;Result=3","7059754")</f>
        <v>0</v>
      </c>
      <c r="B5678" t="s">
        <v>336</v>
      </c>
      <c r="C5678" t="s">
        <v>8941</v>
      </c>
      <c r="D5678" t="s">
        <v>18808</v>
      </c>
      <c r="E5678" t="s">
        <v>23962</v>
      </c>
      <c r="F5678" t="s">
        <v>32664</v>
      </c>
      <c r="G5678" t="s">
        <v>32674</v>
      </c>
      <c r="H5678" t="s">
        <v>12635</v>
      </c>
      <c r="I5678" t="s">
        <v>6628</v>
      </c>
      <c r="J5678" t="s">
        <v>33621</v>
      </c>
      <c r="K5678" t="s">
        <v>42283</v>
      </c>
      <c r="M5678" t="s">
        <v>42904</v>
      </c>
      <c r="N5678" t="s">
        <v>46569</v>
      </c>
      <c r="O5678" t="s">
        <v>46570</v>
      </c>
      <c r="P5678">
        <v>0</v>
      </c>
      <c r="Q5678">
        <v>0</v>
      </c>
      <c r="R5678" t="s">
        <v>46573</v>
      </c>
      <c r="S5678" t="s">
        <v>46705</v>
      </c>
      <c r="T5678" t="s">
        <v>48415</v>
      </c>
      <c r="U5678" t="s">
        <v>49394</v>
      </c>
      <c r="W5678" t="s">
        <v>42904</v>
      </c>
      <c r="X5678" t="s">
        <v>46574</v>
      </c>
    </row>
    <row r="5679" spans="1:24">
      <c r="A5679">
        <f>HYPERLINK("https://www.philgeps.gov.ph/GEPSNONPILOT/Tender/SplashBidNoticeAbstractUI.aspx?menuIndex=3&amp;refID=7061778&amp;Result=3","7061778")</f>
        <v>0</v>
      </c>
      <c r="B5679" t="s">
        <v>822</v>
      </c>
      <c r="C5679" t="s">
        <v>8942</v>
      </c>
      <c r="E5679" t="s">
        <v>23963</v>
      </c>
      <c r="F5679" t="s">
        <v>32664</v>
      </c>
      <c r="G5679" t="s">
        <v>32671</v>
      </c>
      <c r="H5679" t="s">
        <v>12635</v>
      </c>
      <c r="I5679" t="s">
        <v>32701</v>
      </c>
      <c r="J5679" t="s">
        <v>33415</v>
      </c>
      <c r="K5679" t="s">
        <v>42283</v>
      </c>
      <c r="M5679" t="s">
        <v>43695</v>
      </c>
      <c r="N5679" t="s">
        <v>46569</v>
      </c>
      <c r="O5679" t="s">
        <v>46570</v>
      </c>
      <c r="P5679">
        <v>0</v>
      </c>
      <c r="Q5679">
        <v>0</v>
      </c>
      <c r="R5679" t="s">
        <v>46572</v>
      </c>
      <c r="S5679" t="s">
        <v>46689</v>
      </c>
      <c r="T5679" t="s">
        <v>48226</v>
      </c>
      <c r="U5679" t="s">
        <v>53506</v>
      </c>
      <c r="W5679" t="s">
        <v>43695</v>
      </c>
      <c r="X5679" t="s">
        <v>46573</v>
      </c>
    </row>
    <row r="5680" spans="1:24">
      <c r="A5680">
        <f>HYPERLINK("https://www.philgeps.gov.ph/GEPSNONPILOT/Tender/SplashBidNoticeAbstractUI.aspx?menuIndex=3&amp;refID=7059761&amp;Result=3","7059761")</f>
        <v>0</v>
      </c>
      <c r="B5680" t="s">
        <v>671</v>
      </c>
      <c r="C5680" t="s">
        <v>8943</v>
      </c>
      <c r="D5680" t="s">
        <v>18836</v>
      </c>
      <c r="E5680" t="s">
        <v>23964</v>
      </c>
      <c r="F5680" t="s">
        <v>32664</v>
      </c>
      <c r="G5680" t="s">
        <v>32672</v>
      </c>
      <c r="H5680" t="s">
        <v>12635</v>
      </c>
      <c r="I5680" t="s">
        <v>32710</v>
      </c>
      <c r="J5680" t="s">
        <v>33097</v>
      </c>
      <c r="K5680" t="s">
        <v>42298</v>
      </c>
      <c r="M5680" t="s">
        <v>44532</v>
      </c>
      <c r="N5680" t="s">
        <v>46569</v>
      </c>
      <c r="O5680" t="s">
        <v>46570</v>
      </c>
      <c r="P5680">
        <v>0</v>
      </c>
      <c r="Q5680">
        <v>9</v>
      </c>
      <c r="R5680" t="s">
        <v>46573</v>
      </c>
      <c r="S5680" t="s">
        <v>46705</v>
      </c>
      <c r="T5680" t="s">
        <v>48257</v>
      </c>
      <c r="U5680" t="s">
        <v>53507</v>
      </c>
      <c r="W5680" t="s">
        <v>63535</v>
      </c>
      <c r="X5680" t="s">
        <v>46574</v>
      </c>
    </row>
    <row r="5681" spans="1:24">
      <c r="A5681">
        <f>HYPERLINK("https://www.philgeps.gov.ph/GEPSNONPILOT/Tender/SplashBidNoticeAbstractUI.aspx?menuIndex=3&amp;refID=7061774&amp;Result=3","7061774")</f>
        <v>0</v>
      </c>
      <c r="B5681" t="s">
        <v>822</v>
      </c>
      <c r="C5681" t="s">
        <v>8944</v>
      </c>
      <c r="E5681" t="s">
        <v>23965</v>
      </c>
      <c r="F5681" t="s">
        <v>32664</v>
      </c>
      <c r="G5681" t="s">
        <v>32671</v>
      </c>
      <c r="H5681" t="s">
        <v>12635</v>
      </c>
      <c r="I5681" t="s">
        <v>32701</v>
      </c>
      <c r="J5681" t="s">
        <v>33893</v>
      </c>
      <c r="K5681" t="s">
        <v>42283</v>
      </c>
      <c r="M5681" t="s">
        <v>43695</v>
      </c>
      <c r="N5681" t="s">
        <v>46569</v>
      </c>
      <c r="O5681" t="s">
        <v>46570</v>
      </c>
      <c r="P5681">
        <v>0</v>
      </c>
      <c r="Q5681">
        <v>0</v>
      </c>
      <c r="R5681" t="s">
        <v>46572</v>
      </c>
      <c r="S5681" t="s">
        <v>46689</v>
      </c>
      <c r="T5681" t="s">
        <v>48226</v>
      </c>
      <c r="U5681" t="s">
        <v>53508</v>
      </c>
      <c r="W5681" t="s">
        <v>43695</v>
      </c>
      <c r="X5681" t="s">
        <v>46573</v>
      </c>
    </row>
    <row r="5682" spans="1:24">
      <c r="A5682">
        <f>HYPERLINK("https://www.philgeps.gov.ph/GEPSNONPILOT/Tender/SplashBidNoticeAbstractUI.aspx?menuIndex=3&amp;refID=7059758&amp;Result=3","7059758")</f>
        <v>0</v>
      </c>
      <c r="B5682" t="s">
        <v>1869</v>
      </c>
      <c r="C5682" t="s">
        <v>8945</v>
      </c>
      <c r="D5682" t="s">
        <v>18784</v>
      </c>
      <c r="E5682" t="s">
        <v>23966</v>
      </c>
      <c r="F5682" t="s">
        <v>32664</v>
      </c>
      <c r="G5682" t="s">
        <v>32671</v>
      </c>
      <c r="H5682" t="s">
        <v>32682</v>
      </c>
      <c r="I5682" t="s">
        <v>5589</v>
      </c>
      <c r="J5682" t="s">
        <v>36385</v>
      </c>
      <c r="K5682" t="s">
        <v>42291</v>
      </c>
      <c r="M5682" t="s">
        <v>44584</v>
      </c>
      <c r="N5682" t="s">
        <v>46569</v>
      </c>
      <c r="O5682" t="s">
        <v>46570</v>
      </c>
      <c r="P5682">
        <v>0</v>
      </c>
      <c r="Q5682">
        <v>3</v>
      </c>
      <c r="R5682" t="s">
        <v>46573</v>
      </c>
      <c r="S5682" t="s">
        <v>46705</v>
      </c>
      <c r="T5682" t="s">
        <v>48492</v>
      </c>
      <c r="U5682" t="s">
        <v>53509</v>
      </c>
      <c r="W5682" t="s">
        <v>44584</v>
      </c>
      <c r="X5682" t="s">
        <v>46574</v>
      </c>
    </row>
    <row r="5683" spans="1:24">
      <c r="A5683">
        <f>HYPERLINK("https://www.philgeps.gov.ph/GEPSNONPILOT/Tender/SplashBidNoticeAbstractUI.aspx?menuIndex=3&amp;refID=7061755&amp;Result=3","7061755")</f>
        <v>0</v>
      </c>
      <c r="B5683" t="s">
        <v>822</v>
      </c>
      <c r="C5683" t="s">
        <v>8946</v>
      </c>
      <c r="E5683" t="s">
        <v>23967</v>
      </c>
      <c r="F5683" t="s">
        <v>32664</v>
      </c>
      <c r="G5683" t="s">
        <v>32671</v>
      </c>
      <c r="H5683" t="s">
        <v>12635</v>
      </c>
      <c r="I5683" t="s">
        <v>32701</v>
      </c>
      <c r="J5683" t="s">
        <v>33415</v>
      </c>
      <c r="K5683" t="s">
        <v>42283</v>
      </c>
      <c r="M5683" t="s">
        <v>43695</v>
      </c>
      <c r="N5683" t="s">
        <v>46569</v>
      </c>
      <c r="O5683" t="s">
        <v>46570</v>
      </c>
      <c r="P5683">
        <v>0</v>
      </c>
      <c r="Q5683">
        <v>0</v>
      </c>
      <c r="R5683" t="s">
        <v>46572</v>
      </c>
      <c r="S5683" t="s">
        <v>46689</v>
      </c>
      <c r="T5683" t="s">
        <v>48226</v>
      </c>
      <c r="U5683" t="s">
        <v>53510</v>
      </c>
      <c r="W5683" t="s">
        <v>43695</v>
      </c>
      <c r="X5683" t="s">
        <v>46573</v>
      </c>
    </row>
    <row r="5684" spans="1:24">
      <c r="A5684">
        <f>HYPERLINK("https://www.philgeps.gov.ph/GEPSNONPILOT/Tender/SplashBidNoticeAbstractUI.aspx?menuIndex=3&amp;refID=7059753&amp;Result=3","7059753")</f>
        <v>0</v>
      </c>
      <c r="B5684" t="s">
        <v>1901</v>
      </c>
      <c r="C5684" t="s">
        <v>8947</v>
      </c>
      <c r="D5684" t="s">
        <v>18787</v>
      </c>
      <c r="E5684" t="s">
        <v>23968</v>
      </c>
      <c r="F5684" t="s">
        <v>32664</v>
      </c>
      <c r="G5684" t="s">
        <v>32671</v>
      </c>
      <c r="H5684" t="s">
        <v>12635</v>
      </c>
      <c r="I5684" t="s">
        <v>7759</v>
      </c>
      <c r="J5684" t="s">
        <v>36386</v>
      </c>
      <c r="K5684" t="s">
        <v>42284</v>
      </c>
      <c r="L5684" t="s">
        <v>1901</v>
      </c>
      <c r="M5684" t="s">
        <v>44622</v>
      </c>
      <c r="N5684" t="s">
        <v>46569</v>
      </c>
      <c r="O5684" t="s">
        <v>46570</v>
      </c>
      <c r="P5684">
        <v>0</v>
      </c>
      <c r="Q5684">
        <v>2</v>
      </c>
      <c r="R5684" t="s">
        <v>46573</v>
      </c>
      <c r="S5684" t="s">
        <v>46705</v>
      </c>
      <c r="T5684" t="s">
        <v>48420</v>
      </c>
      <c r="U5684" t="s">
        <v>53511</v>
      </c>
      <c r="W5684" t="s">
        <v>44622</v>
      </c>
      <c r="X5684" t="s">
        <v>46574</v>
      </c>
    </row>
    <row r="5685" spans="1:24">
      <c r="A5685">
        <f>HYPERLINK("https://www.philgeps.gov.ph/GEPSNONPILOT/Tender/SplashBidNoticeAbstractUI.aspx?menuIndex=3&amp;refID=7061776&amp;Result=3","7061776")</f>
        <v>0</v>
      </c>
      <c r="B5685" t="s">
        <v>1902</v>
      </c>
      <c r="C5685" t="s">
        <v>8948</v>
      </c>
      <c r="D5685" t="s">
        <v>18838</v>
      </c>
      <c r="E5685" t="s">
        <v>23969</v>
      </c>
      <c r="F5685" t="s">
        <v>32664</v>
      </c>
      <c r="G5685" t="s">
        <v>32671</v>
      </c>
      <c r="H5685" t="s">
        <v>12635</v>
      </c>
      <c r="I5685" t="s">
        <v>8730</v>
      </c>
      <c r="J5685" t="s">
        <v>34494</v>
      </c>
      <c r="K5685" t="s">
        <v>42283</v>
      </c>
      <c r="M5685" t="s">
        <v>44623</v>
      </c>
      <c r="N5685" t="s">
        <v>46569</v>
      </c>
      <c r="O5685" t="s">
        <v>46570</v>
      </c>
      <c r="P5685">
        <v>0</v>
      </c>
      <c r="Q5685">
        <v>6</v>
      </c>
      <c r="R5685" t="s">
        <v>46572</v>
      </c>
      <c r="S5685" t="s">
        <v>46689</v>
      </c>
      <c r="T5685" t="s">
        <v>48244</v>
      </c>
      <c r="U5685" t="s">
        <v>49273</v>
      </c>
      <c r="W5685" t="s">
        <v>44623</v>
      </c>
      <c r="X5685" t="s">
        <v>46573</v>
      </c>
    </row>
    <row r="5686" spans="1:24">
      <c r="A5686">
        <f>HYPERLINK("https://www.philgeps.gov.ph/GEPSNONPILOT/Tender/SplashBidNoticeAbstractUI.aspx?menuIndex=3&amp;refID=7061814&amp;Result=3","7061814")</f>
        <v>0</v>
      </c>
      <c r="B5686" t="s">
        <v>1085</v>
      </c>
      <c r="C5686" t="s">
        <v>8949</v>
      </c>
      <c r="D5686" t="s">
        <v>18851</v>
      </c>
      <c r="E5686" t="s">
        <v>23970</v>
      </c>
      <c r="F5686" t="s">
        <v>32664</v>
      </c>
      <c r="G5686" t="s">
        <v>32672</v>
      </c>
      <c r="H5686" t="s">
        <v>12635</v>
      </c>
      <c r="I5686" t="s">
        <v>32699</v>
      </c>
      <c r="J5686" t="s">
        <v>33871</v>
      </c>
      <c r="K5686" t="s">
        <v>42281</v>
      </c>
      <c r="M5686" t="s">
        <v>43711</v>
      </c>
      <c r="N5686" t="s">
        <v>46569</v>
      </c>
      <c r="O5686" t="s">
        <v>46570</v>
      </c>
      <c r="P5686">
        <v>0</v>
      </c>
      <c r="Q5686">
        <v>0</v>
      </c>
      <c r="R5686" t="s">
        <v>46572</v>
      </c>
      <c r="S5686" t="s">
        <v>46689</v>
      </c>
      <c r="T5686" t="s">
        <v>48230</v>
      </c>
      <c r="U5686" t="s">
        <v>53512</v>
      </c>
      <c r="W5686" t="s">
        <v>43711</v>
      </c>
      <c r="X5686" t="s">
        <v>46573</v>
      </c>
    </row>
    <row r="5687" spans="1:24">
      <c r="A5687">
        <f>HYPERLINK("https://www.philgeps.gov.ph/GEPSNONPILOT/Tender/SplashBidNoticeAbstractUI.aspx?menuIndex=3&amp;refID=7061775&amp;Result=3","7061775")</f>
        <v>0</v>
      </c>
      <c r="B5687" t="s">
        <v>195</v>
      </c>
      <c r="C5687" t="s">
        <v>8950</v>
      </c>
      <c r="D5687" t="s">
        <v>18824</v>
      </c>
      <c r="E5687" t="s">
        <v>23186</v>
      </c>
      <c r="F5687" t="s">
        <v>32664</v>
      </c>
      <c r="G5687" t="s">
        <v>32672</v>
      </c>
      <c r="H5687" t="s">
        <v>32683</v>
      </c>
      <c r="I5687" t="s">
        <v>10627</v>
      </c>
      <c r="J5687" t="s">
        <v>36387</v>
      </c>
      <c r="K5687" t="s">
        <v>42311</v>
      </c>
      <c r="M5687" t="s">
        <v>42759</v>
      </c>
      <c r="N5687" t="s">
        <v>46569</v>
      </c>
      <c r="O5687" t="s">
        <v>46570</v>
      </c>
      <c r="P5687">
        <v>0</v>
      </c>
      <c r="Q5687">
        <v>0</v>
      </c>
      <c r="R5687" t="s">
        <v>46572</v>
      </c>
      <c r="S5687" t="s">
        <v>46689</v>
      </c>
      <c r="T5687" t="s">
        <v>48285</v>
      </c>
      <c r="U5687" t="s">
        <v>53513</v>
      </c>
      <c r="W5687" t="s">
        <v>42759</v>
      </c>
      <c r="X5687" t="s">
        <v>46573</v>
      </c>
    </row>
    <row r="5688" spans="1:24">
      <c r="A5688">
        <f>HYPERLINK("https://www.philgeps.gov.ph/GEPSNONPILOT/Tender/SplashBidNoticeAbstractUI.aspx?menuIndex=3&amp;refID=7061751&amp;Result=3","7061751")</f>
        <v>0</v>
      </c>
      <c r="B5688" t="s">
        <v>1903</v>
      </c>
      <c r="C5688" t="s">
        <v>8951</v>
      </c>
      <c r="D5688" t="s">
        <v>18819</v>
      </c>
      <c r="E5688" t="s">
        <v>19632</v>
      </c>
      <c r="F5688" t="s">
        <v>32665</v>
      </c>
      <c r="G5688" t="s">
        <v>32674</v>
      </c>
      <c r="H5688" t="s">
        <v>12635</v>
      </c>
      <c r="I5688" t="s">
        <v>6223</v>
      </c>
      <c r="J5688" t="s">
        <v>36388</v>
      </c>
      <c r="K5688" t="s">
        <v>42295</v>
      </c>
      <c r="M5688" t="s">
        <v>44624</v>
      </c>
      <c r="N5688" t="s">
        <v>46569</v>
      </c>
      <c r="O5688" t="s">
        <v>46570</v>
      </c>
      <c r="P5688">
        <v>0</v>
      </c>
      <c r="Q5688">
        <v>0</v>
      </c>
      <c r="R5688" t="s">
        <v>46572</v>
      </c>
      <c r="S5688" t="s">
        <v>46689</v>
      </c>
      <c r="T5688" t="s">
        <v>48287</v>
      </c>
      <c r="U5688" t="s">
        <v>53514</v>
      </c>
      <c r="W5688" t="s">
        <v>44624</v>
      </c>
      <c r="X5688" t="s">
        <v>46573</v>
      </c>
    </row>
    <row r="5689" spans="1:24">
      <c r="A5689">
        <f>HYPERLINK("https://www.philgeps.gov.ph/GEPSNONPILOT/Tender/SplashBidNoticeAbstractUI.aspx?menuIndex=3&amp;refID=7061750&amp;Result=3","7061750")</f>
        <v>0</v>
      </c>
      <c r="B5689" t="s">
        <v>1904</v>
      </c>
      <c r="C5689" t="s">
        <v>8952</v>
      </c>
      <c r="D5689" t="s">
        <v>18831</v>
      </c>
      <c r="E5689" t="s">
        <v>23971</v>
      </c>
      <c r="F5689" t="s">
        <v>32664</v>
      </c>
      <c r="G5689" t="s">
        <v>32674</v>
      </c>
      <c r="H5689" t="s">
        <v>12635</v>
      </c>
      <c r="I5689" t="s">
        <v>6628</v>
      </c>
      <c r="J5689" t="s">
        <v>33131</v>
      </c>
      <c r="K5689" t="s">
        <v>42284</v>
      </c>
      <c r="M5689" t="s">
        <v>44625</v>
      </c>
      <c r="N5689" t="s">
        <v>46569</v>
      </c>
      <c r="O5689" t="s">
        <v>46570</v>
      </c>
      <c r="P5689">
        <v>0</v>
      </c>
      <c r="Q5689">
        <v>0</v>
      </c>
      <c r="R5689" t="s">
        <v>46572</v>
      </c>
      <c r="S5689" t="s">
        <v>46689</v>
      </c>
      <c r="T5689" t="s">
        <v>48316</v>
      </c>
      <c r="U5689" t="s">
        <v>53515</v>
      </c>
      <c r="W5689" t="s">
        <v>44625</v>
      </c>
      <c r="X5689" t="s">
        <v>46573</v>
      </c>
    </row>
    <row r="5690" spans="1:24">
      <c r="A5690">
        <f>HYPERLINK("https://www.philgeps.gov.ph/GEPSNONPILOT/Tender/SplashBidNoticeAbstractUI.aspx?menuIndex=3&amp;refID=7059802&amp;Result=3","7059802")</f>
        <v>0</v>
      </c>
      <c r="B5690" t="s">
        <v>917</v>
      </c>
      <c r="C5690" t="s">
        <v>8953</v>
      </c>
      <c r="D5690" t="s">
        <v>18781</v>
      </c>
      <c r="E5690" t="s">
        <v>23972</v>
      </c>
      <c r="F5690" t="s">
        <v>32664</v>
      </c>
      <c r="G5690" t="s">
        <v>32674</v>
      </c>
      <c r="H5690" t="s">
        <v>12635</v>
      </c>
      <c r="I5690" t="s">
        <v>9486</v>
      </c>
      <c r="J5690" t="s">
        <v>36389</v>
      </c>
      <c r="K5690" t="s">
        <v>42283</v>
      </c>
      <c r="M5690" t="s">
        <v>43523</v>
      </c>
      <c r="N5690" t="s">
        <v>46569</v>
      </c>
      <c r="O5690" t="s">
        <v>46570</v>
      </c>
      <c r="P5690">
        <v>0</v>
      </c>
      <c r="Q5690">
        <v>0</v>
      </c>
      <c r="R5690" t="s">
        <v>46573</v>
      </c>
      <c r="S5690" t="s">
        <v>46705</v>
      </c>
      <c r="T5690" t="s">
        <v>48287</v>
      </c>
      <c r="U5690" t="s">
        <v>53516</v>
      </c>
      <c r="W5690" t="s">
        <v>43523</v>
      </c>
      <c r="X5690" t="s">
        <v>46574</v>
      </c>
    </row>
    <row r="5691" spans="1:24">
      <c r="A5691">
        <f>HYPERLINK("https://www.philgeps.gov.ph/GEPSNONPILOT/Tender/SplashBidNoticeAbstractUI.aspx?menuIndex=3&amp;refID=7061773&amp;Result=3","7061773")</f>
        <v>0</v>
      </c>
      <c r="B5691" t="s">
        <v>1905</v>
      </c>
      <c r="C5691" t="s">
        <v>8954</v>
      </c>
      <c r="D5691" t="s">
        <v>18785</v>
      </c>
      <c r="E5691" t="s">
        <v>23973</v>
      </c>
      <c r="F5691" t="s">
        <v>32664</v>
      </c>
      <c r="G5691" t="s">
        <v>32674</v>
      </c>
      <c r="H5691" t="s">
        <v>12635</v>
      </c>
      <c r="I5691" t="s">
        <v>4205</v>
      </c>
      <c r="J5691" t="s">
        <v>36390</v>
      </c>
      <c r="K5691" t="s">
        <v>42284</v>
      </c>
      <c r="M5691" t="s">
        <v>44626</v>
      </c>
      <c r="N5691" t="s">
        <v>46569</v>
      </c>
      <c r="O5691" t="s">
        <v>46570</v>
      </c>
      <c r="P5691">
        <v>0</v>
      </c>
      <c r="Q5691">
        <v>2</v>
      </c>
      <c r="R5691" t="s">
        <v>46572</v>
      </c>
      <c r="S5691" t="s">
        <v>46689</v>
      </c>
      <c r="T5691" t="s">
        <v>48293</v>
      </c>
      <c r="U5691" t="s">
        <v>53517</v>
      </c>
      <c r="W5691" t="s">
        <v>44626</v>
      </c>
      <c r="X5691" t="s">
        <v>46573</v>
      </c>
    </row>
    <row r="5692" spans="1:24">
      <c r="A5692">
        <f>HYPERLINK("https://www.philgeps.gov.ph/GEPSNONPILOT/Tender/SplashBidNoticeAbstractUI.aspx?menuIndex=3&amp;refID=7059801&amp;Result=3","7059801")</f>
        <v>0</v>
      </c>
      <c r="B5692" t="s">
        <v>1838</v>
      </c>
      <c r="C5692" t="s">
        <v>8955</v>
      </c>
      <c r="D5692" t="s">
        <v>18799</v>
      </c>
      <c r="E5692" t="s">
        <v>23974</v>
      </c>
      <c r="F5692" t="s">
        <v>32664</v>
      </c>
      <c r="G5692" t="s">
        <v>32674</v>
      </c>
      <c r="H5692" t="s">
        <v>12635</v>
      </c>
      <c r="I5692" t="s">
        <v>32728</v>
      </c>
      <c r="J5692" t="s">
        <v>33147</v>
      </c>
      <c r="K5692" t="s">
        <v>42283</v>
      </c>
      <c r="M5692" t="s">
        <v>44546</v>
      </c>
      <c r="N5692" t="s">
        <v>46569</v>
      </c>
      <c r="O5692" t="s">
        <v>46570</v>
      </c>
      <c r="P5692">
        <v>0</v>
      </c>
      <c r="Q5692">
        <v>2</v>
      </c>
      <c r="R5692" t="s">
        <v>46573</v>
      </c>
      <c r="S5692" t="s">
        <v>46705</v>
      </c>
      <c r="T5692" t="s">
        <v>48316</v>
      </c>
      <c r="U5692" t="s">
        <v>49565</v>
      </c>
      <c r="W5692" t="s">
        <v>44546</v>
      </c>
      <c r="X5692" t="s">
        <v>46574</v>
      </c>
    </row>
    <row r="5693" spans="1:24">
      <c r="A5693">
        <f>HYPERLINK("https://www.philgeps.gov.ph/GEPSNONPILOT/Tender/SplashBidNoticeAbstractUI.aspx?menuIndex=3&amp;refID=7059799&amp;Result=3","7059799")</f>
        <v>0</v>
      </c>
      <c r="B5693" t="s">
        <v>1899</v>
      </c>
      <c r="C5693" t="s">
        <v>4928</v>
      </c>
      <c r="D5693" t="s">
        <v>18831</v>
      </c>
      <c r="E5693" t="s">
        <v>23975</v>
      </c>
      <c r="F5693" t="s">
        <v>32664</v>
      </c>
      <c r="G5693" t="s">
        <v>32672</v>
      </c>
      <c r="H5693" t="s">
        <v>12635</v>
      </c>
      <c r="I5693" t="s">
        <v>6628</v>
      </c>
      <c r="J5693" t="s">
        <v>32984</v>
      </c>
      <c r="K5693" t="s">
        <v>42281</v>
      </c>
      <c r="M5693" t="s">
        <v>44620</v>
      </c>
      <c r="N5693" t="s">
        <v>46569</v>
      </c>
      <c r="O5693" t="s">
        <v>46570</v>
      </c>
      <c r="P5693">
        <v>0</v>
      </c>
      <c r="Q5693">
        <v>3</v>
      </c>
      <c r="R5693" t="s">
        <v>46573</v>
      </c>
      <c r="S5693" t="s">
        <v>46705</v>
      </c>
      <c r="T5693" t="s">
        <v>48308</v>
      </c>
      <c r="U5693" t="s">
        <v>53518</v>
      </c>
      <c r="W5693" t="s">
        <v>44620</v>
      </c>
      <c r="X5693" t="s">
        <v>46574</v>
      </c>
    </row>
    <row r="5694" spans="1:24">
      <c r="A5694">
        <f>HYPERLINK("https://www.philgeps.gov.ph/GEPSNONPILOT/Tender/SplashBidNoticeAbstractUI.aspx?menuIndex=3&amp;refID=7059795&amp;Result=3","7059795")</f>
        <v>0</v>
      </c>
      <c r="B5694" t="s">
        <v>202</v>
      </c>
      <c r="C5694" t="s">
        <v>8956</v>
      </c>
      <c r="D5694" t="s">
        <v>18805</v>
      </c>
      <c r="E5694" t="s">
        <v>23976</v>
      </c>
      <c r="F5694" t="s">
        <v>32664</v>
      </c>
      <c r="G5694" t="s">
        <v>32671</v>
      </c>
      <c r="H5694" t="s">
        <v>12635</v>
      </c>
      <c r="I5694" t="s">
        <v>6628</v>
      </c>
      <c r="J5694" t="s">
        <v>33359</v>
      </c>
      <c r="K5694" t="s">
        <v>42332</v>
      </c>
      <c r="M5694" t="s">
        <v>42766</v>
      </c>
      <c r="N5694" t="s">
        <v>46569</v>
      </c>
      <c r="O5694" t="s">
        <v>46570</v>
      </c>
      <c r="P5694">
        <v>0</v>
      </c>
      <c r="Q5694">
        <v>0</v>
      </c>
      <c r="R5694" t="s">
        <v>46573</v>
      </c>
      <c r="S5694" t="s">
        <v>46705</v>
      </c>
      <c r="T5694" t="s">
        <v>48316</v>
      </c>
      <c r="U5694" t="s">
        <v>53519</v>
      </c>
      <c r="W5694" t="s">
        <v>42766</v>
      </c>
      <c r="X5694" t="s">
        <v>46574</v>
      </c>
    </row>
    <row r="5695" spans="1:24">
      <c r="A5695">
        <f>HYPERLINK("https://www.philgeps.gov.ph/GEPSNONPILOT/Tender/SplashBidNoticeAbstractUI.aspx?menuIndex=3&amp;refID=7059800&amp;Result=3","7059800")</f>
        <v>0</v>
      </c>
      <c r="B5695" t="s">
        <v>1009</v>
      </c>
      <c r="C5695" t="s">
        <v>8957</v>
      </c>
      <c r="D5695" t="s">
        <v>18783</v>
      </c>
      <c r="E5695" t="s">
        <v>23977</v>
      </c>
      <c r="F5695" t="s">
        <v>32664</v>
      </c>
      <c r="G5695" t="s">
        <v>32672</v>
      </c>
      <c r="H5695" t="s">
        <v>32683</v>
      </c>
      <c r="I5695" t="s">
        <v>10627</v>
      </c>
      <c r="J5695" t="s">
        <v>36391</v>
      </c>
      <c r="K5695" t="s">
        <v>42290</v>
      </c>
      <c r="M5695" t="s">
        <v>44413</v>
      </c>
      <c r="N5695" t="s">
        <v>46569</v>
      </c>
      <c r="O5695" t="s">
        <v>46570</v>
      </c>
      <c r="P5695">
        <v>0</v>
      </c>
      <c r="Q5695">
        <v>1</v>
      </c>
      <c r="R5695" t="s">
        <v>46573</v>
      </c>
      <c r="S5695" t="s">
        <v>46705</v>
      </c>
      <c r="T5695" t="s">
        <v>48257</v>
      </c>
      <c r="U5695" t="s">
        <v>53520</v>
      </c>
      <c r="W5695" t="s">
        <v>44413</v>
      </c>
      <c r="X5695" t="s">
        <v>46574</v>
      </c>
    </row>
    <row r="5696" spans="1:24">
      <c r="A5696">
        <f>HYPERLINK("https://www.philgeps.gov.ph/GEPSNONPILOT/Tender/SplashBidNoticeAbstractUI.aspx?menuIndex=3&amp;refID=7059791&amp;Result=3","7059791")</f>
        <v>0</v>
      </c>
      <c r="B5696" t="s">
        <v>1906</v>
      </c>
      <c r="C5696" t="s">
        <v>8958</v>
      </c>
      <c r="D5696" t="s">
        <v>18783</v>
      </c>
      <c r="E5696" t="s">
        <v>23978</v>
      </c>
      <c r="F5696" t="s">
        <v>32664</v>
      </c>
      <c r="G5696" t="s">
        <v>32671</v>
      </c>
      <c r="H5696" t="s">
        <v>12635</v>
      </c>
      <c r="I5696" t="s">
        <v>8958</v>
      </c>
      <c r="J5696" t="s">
        <v>33069</v>
      </c>
      <c r="K5696" t="s">
        <v>42295</v>
      </c>
      <c r="M5696" t="s">
        <v>44627</v>
      </c>
      <c r="N5696" t="s">
        <v>46569</v>
      </c>
      <c r="O5696" t="s">
        <v>46570</v>
      </c>
      <c r="P5696">
        <v>0</v>
      </c>
      <c r="Q5696">
        <v>0</v>
      </c>
      <c r="R5696" t="s">
        <v>46573</v>
      </c>
      <c r="S5696" t="s">
        <v>46705</v>
      </c>
      <c r="T5696" t="s">
        <v>48307</v>
      </c>
      <c r="U5696" t="s">
        <v>53521</v>
      </c>
      <c r="V5696" t="s">
        <v>62216</v>
      </c>
      <c r="W5696" t="s">
        <v>44627</v>
      </c>
      <c r="X5696" t="s">
        <v>46574</v>
      </c>
    </row>
    <row r="5697" spans="1:24">
      <c r="A5697">
        <f>HYPERLINK("https://www.philgeps.gov.ph/GEPSNONPILOT/Tender/SplashBidNoticeAbstractUI.aspx?menuIndex=3&amp;refID=7059790&amp;Result=3","7059790")</f>
        <v>0</v>
      </c>
      <c r="B5697" t="s">
        <v>1228</v>
      </c>
      <c r="C5697" t="s">
        <v>5155</v>
      </c>
      <c r="D5697" t="s">
        <v>18783</v>
      </c>
      <c r="E5697" t="s">
        <v>23979</v>
      </c>
      <c r="F5697" t="s">
        <v>32664</v>
      </c>
      <c r="G5697" t="s">
        <v>32674</v>
      </c>
      <c r="H5697" t="s">
        <v>12635</v>
      </c>
      <c r="I5697" t="s">
        <v>6168</v>
      </c>
      <c r="J5697" t="s">
        <v>36392</v>
      </c>
      <c r="K5697" t="s">
        <v>42284</v>
      </c>
      <c r="M5697" t="s">
        <v>43867</v>
      </c>
      <c r="N5697" t="s">
        <v>46569</v>
      </c>
      <c r="O5697" t="s">
        <v>46570</v>
      </c>
      <c r="P5697">
        <v>0</v>
      </c>
      <c r="Q5697">
        <v>0</v>
      </c>
      <c r="R5697" t="s">
        <v>46573</v>
      </c>
      <c r="S5697" t="s">
        <v>46705</v>
      </c>
      <c r="T5697" t="s">
        <v>48448</v>
      </c>
      <c r="U5697" t="s">
        <v>53522</v>
      </c>
      <c r="W5697" t="s">
        <v>43867</v>
      </c>
      <c r="X5697" t="s">
        <v>46574</v>
      </c>
    </row>
    <row r="5698" spans="1:24">
      <c r="A5698">
        <f>HYPERLINK("https://www.philgeps.gov.ph/GEPSNONPILOT/Tender/SplashBidNoticeAbstractUI.aspx?menuIndex=3&amp;refID=7059789&amp;Result=3","7059789")</f>
        <v>0</v>
      </c>
      <c r="B5698" t="s">
        <v>917</v>
      </c>
      <c r="C5698" t="s">
        <v>8959</v>
      </c>
      <c r="D5698" t="s">
        <v>18781</v>
      </c>
      <c r="E5698" t="s">
        <v>23980</v>
      </c>
      <c r="F5698" t="s">
        <v>32664</v>
      </c>
      <c r="G5698" t="s">
        <v>32674</v>
      </c>
      <c r="H5698" t="s">
        <v>12635</v>
      </c>
      <c r="I5698" t="s">
        <v>4333</v>
      </c>
      <c r="J5698" t="s">
        <v>33175</v>
      </c>
      <c r="K5698" t="s">
        <v>42283</v>
      </c>
      <c r="M5698" t="s">
        <v>43523</v>
      </c>
      <c r="N5698" t="s">
        <v>46569</v>
      </c>
      <c r="O5698" t="s">
        <v>46570</v>
      </c>
      <c r="P5698">
        <v>0</v>
      </c>
      <c r="Q5698">
        <v>0</v>
      </c>
      <c r="R5698" t="s">
        <v>46573</v>
      </c>
      <c r="S5698" t="s">
        <v>46705</v>
      </c>
      <c r="T5698" t="s">
        <v>48287</v>
      </c>
      <c r="U5698" t="s">
        <v>53523</v>
      </c>
      <c r="W5698" t="s">
        <v>43523</v>
      </c>
      <c r="X5698" t="s">
        <v>46574</v>
      </c>
    </row>
    <row r="5699" spans="1:24">
      <c r="A5699">
        <f>HYPERLINK("https://www.philgeps.gov.ph/GEPSNONPILOT/Tender/SplashBidNoticeAbstractUI.aspx?menuIndex=3&amp;refID=7059798&amp;Result=3","7059798")</f>
        <v>0</v>
      </c>
      <c r="B5699" t="s">
        <v>1907</v>
      </c>
      <c r="C5699" t="s">
        <v>8960</v>
      </c>
      <c r="D5699" t="s">
        <v>18791</v>
      </c>
      <c r="E5699" t="s">
        <v>19010</v>
      </c>
      <c r="F5699" t="s">
        <v>32664</v>
      </c>
      <c r="G5699" t="s">
        <v>32675</v>
      </c>
      <c r="H5699" t="s">
        <v>12635</v>
      </c>
      <c r="I5699" t="s">
        <v>5589</v>
      </c>
      <c r="J5699" t="s">
        <v>36393</v>
      </c>
      <c r="K5699" t="s">
        <v>42284</v>
      </c>
      <c r="M5699" t="s">
        <v>44628</v>
      </c>
      <c r="N5699" t="s">
        <v>46569</v>
      </c>
      <c r="O5699" t="s">
        <v>46570</v>
      </c>
      <c r="P5699">
        <v>0</v>
      </c>
      <c r="Q5699">
        <v>7</v>
      </c>
      <c r="R5699" t="s">
        <v>46573</v>
      </c>
      <c r="S5699" t="s">
        <v>46705</v>
      </c>
      <c r="T5699" t="s">
        <v>48316</v>
      </c>
      <c r="U5699" t="s">
        <v>53524</v>
      </c>
      <c r="W5699" t="s">
        <v>44628</v>
      </c>
      <c r="X5699" t="s">
        <v>46574</v>
      </c>
    </row>
    <row r="5700" spans="1:24">
      <c r="A5700">
        <f>HYPERLINK("https://www.philgeps.gov.ph/GEPSNONPILOT/Tender/SplashBidNoticeAbstractUI.aspx?menuIndex=3&amp;refID=7061808&amp;Result=3","7061808")</f>
        <v>0</v>
      </c>
      <c r="B5700" t="s">
        <v>1905</v>
      </c>
      <c r="C5700" t="s">
        <v>8961</v>
      </c>
      <c r="D5700" t="s">
        <v>18785</v>
      </c>
      <c r="E5700" t="s">
        <v>23981</v>
      </c>
      <c r="F5700" t="s">
        <v>32664</v>
      </c>
      <c r="G5700" t="s">
        <v>32674</v>
      </c>
      <c r="H5700" t="s">
        <v>12635</v>
      </c>
      <c r="I5700" t="s">
        <v>6168</v>
      </c>
      <c r="J5700" t="s">
        <v>36394</v>
      </c>
      <c r="K5700" t="s">
        <v>42284</v>
      </c>
      <c r="M5700" t="s">
        <v>44626</v>
      </c>
      <c r="N5700" t="s">
        <v>46569</v>
      </c>
      <c r="O5700" t="s">
        <v>46570</v>
      </c>
      <c r="P5700">
        <v>0</v>
      </c>
      <c r="Q5700">
        <v>5</v>
      </c>
      <c r="R5700" t="s">
        <v>46572</v>
      </c>
      <c r="S5700" t="s">
        <v>46689</v>
      </c>
      <c r="T5700" t="s">
        <v>48293</v>
      </c>
      <c r="U5700" t="s">
        <v>53525</v>
      </c>
      <c r="W5700" t="s">
        <v>44626</v>
      </c>
      <c r="X5700" t="s">
        <v>46573</v>
      </c>
    </row>
    <row r="5701" spans="1:24">
      <c r="A5701">
        <f>HYPERLINK("https://www.philgeps.gov.ph/GEPSNONPILOT/Tender/SplashBidNoticeAbstractUI.aspx?menuIndex=3&amp;refID=7059787&amp;Result=3","7059787")</f>
        <v>0</v>
      </c>
      <c r="B5701" t="s">
        <v>1421</v>
      </c>
      <c r="C5701" t="s">
        <v>8962</v>
      </c>
      <c r="D5701" t="s">
        <v>18826</v>
      </c>
      <c r="E5701" t="s">
        <v>23982</v>
      </c>
      <c r="F5701" t="s">
        <v>32664</v>
      </c>
      <c r="G5701" t="s">
        <v>32672</v>
      </c>
      <c r="H5701" t="s">
        <v>12635</v>
      </c>
      <c r="I5701" t="s">
        <v>6628</v>
      </c>
      <c r="J5701" t="s">
        <v>36395</v>
      </c>
      <c r="K5701" t="s">
        <v>42281</v>
      </c>
      <c r="M5701" t="s">
        <v>44080</v>
      </c>
      <c r="N5701" t="s">
        <v>46569</v>
      </c>
      <c r="O5701" t="s">
        <v>46570</v>
      </c>
      <c r="P5701">
        <v>0</v>
      </c>
      <c r="Q5701">
        <v>1</v>
      </c>
      <c r="R5701" t="s">
        <v>46573</v>
      </c>
      <c r="S5701" t="s">
        <v>46705</v>
      </c>
      <c r="T5701" t="s">
        <v>48258</v>
      </c>
      <c r="U5701" t="s">
        <v>53526</v>
      </c>
      <c r="W5701" t="s">
        <v>44080</v>
      </c>
      <c r="X5701" t="s">
        <v>46574</v>
      </c>
    </row>
    <row r="5702" spans="1:24">
      <c r="A5702">
        <f>HYPERLINK("https://www.philgeps.gov.ph/GEPSNONPILOT/Tender/SplashBidNoticeAbstractUI.aspx?menuIndex=3&amp;refID=7061754&amp;Result=3","7061754")</f>
        <v>0</v>
      </c>
      <c r="B5702" t="s">
        <v>238</v>
      </c>
      <c r="C5702" t="s">
        <v>8963</v>
      </c>
      <c r="D5702" t="s">
        <v>18798</v>
      </c>
      <c r="E5702" t="s">
        <v>23983</v>
      </c>
      <c r="F5702" t="s">
        <v>32664</v>
      </c>
      <c r="G5702" t="s">
        <v>32675</v>
      </c>
      <c r="H5702" t="s">
        <v>32682</v>
      </c>
      <c r="I5702" t="s">
        <v>6223</v>
      </c>
      <c r="J5702" t="s">
        <v>33215</v>
      </c>
      <c r="K5702" t="s">
        <v>42295</v>
      </c>
      <c r="M5702" t="s">
        <v>43698</v>
      </c>
      <c r="N5702" t="s">
        <v>46569</v>
      </c>
      <c r="O5702" t="s">
        <v>46570</v>
      </c>
      <c r="P5702">
        <v>0</v>
      </c>
      <c r="Q5702">
        <v>2</v>
      </c>
      <c r="R5702" t="s">
        <v>46572</v>
      </c>
      <c r="S5702" t="s">
        <v>46689</v>
      </c>
      <c r="T5702" t="s">
        <v>48219</v>
      </c>
      <c r="U5702" t="s">
        <v>53527</v>
      </c>
      <c r="W5702" t="s">
        <v>43698</v>
      </c>
      <c r="X5702" t="s">
        <v>46573</v>
      </c>
    </row>
    <row r="5703" spans="1:24">
      <c r="A5703">
        <f>HYPERLINK("https://www.philgeps.gov.ph/GEPSNONPILOT/Tender/SplashBidNoticeAbstractUI.aspx?menuIndex=3&amp;refID=7059786&amp;Result=3","7059786")</f>
        <v>0</v>
      </c>
      <c r="B5703" t="s">
        <v>1897</v>
      </c>
      <c r="C5703" t="s">
        <v>8964</v>
      </c>
      <c r="D5703" t="s">
        <v>18802</v>
      </c>
      <c r="E5703" t="s">
        <v>23984</v>
      </c>
      <c r="F5703" t="s">
        <v>32664</v>
      </c>
      <c r="G5703" t="s">
        <v>32672</v>
      </c>
      <c r="H5703" t="s">
        <v>12635</v>
      </c>
      <c r="I5703" t="s">
        <v>6118</v>
      </c>
      <c r="J5703" t="s">
        <v>36396</v>
      </c>
      <c r="K5703" t="s">
        <v>42281</v>
      </c>
      <c r="M5703" t="s">
        <v>44616</v>
      </c>
      <c r="N5703" t="s">
        <v>46569</v>
      </c>
      <c r="O5703" t="s">
        <v>46570</v>
      </c>
      <c r="P5703">
        <v>0</v>
      </c>
      <c r="Q5703">
        <v>0</v>
      </c>
      <c r="R5703" t="s">
        <v>46573</v>
      </c>
      <c r="S5703" t="s">
        <v>46705</v>
      </c>
      <c r="T5703" t="s">
        <v>48415</v>
      </c>
      <c r="U5703" t="s">
        <v>53528</v>
      </c>
      <c r="W5703" t="s">
        <v>44616</v>
      </c>
      <c r="X5703" t="s">
        <v>46574</v>
      </c>
    </row>
    <row r="5704" spans="1:24">
      <c r="A5704">
        <f>HYPERLINK("https://www.philgeps.gov.ph/GEPSNONPILOT/Tender/SplashBidNoticeAbstractUI.aspx?menuIndex=3&amp;refID=7059785&amp;Result=3","7059785")</f>
        <v>0</v>
      </c>
      <c r="B5704" t="s">
        <v>1862</v>
      </c>
      <c r="C5704" t="s">
        <v>8879</v>
      </c>
      <c r="D5704" t="s">
        <v>18816</v>
      </c>
      <c r="E5704" t="s">
        <v>23985</v>
      </c>
      <c r="F5704" t="s">
        <v>32664</v>
      </c>
      <c r="G5704" t="s">
        <v>32675</v>
      </c>
      <c r="H5704" t="s">
        <v>12635</v>
      </c>
      <c r="I5704" t="s">
        <v>32685</v>
      </c>
      <c r="J5704" t="s">
        <v>33893</v>
      </c>
      <c r="K5704" t="s">
        <v>42281</v>
      </c>
      <c r="M5704" t="s">
        <v>44574</v>
      </c>
      <c r="N5704" t="s">
        <v>46569</v>
      </c>
      <c r="O5704" t="s">
        <v>46570</v>
      </c>
      <c r="P5704">
        <v>0</v>
      </c>
      <c r="Q5704">
        <v>2</v>
      </c>
      <c r="R5704" t="s">
        <v>46573</v>
      </c>
      <c r="S5704" t="s">
        <v>46705</v>
      </c>
      <c r="T5704" t="s">
        <v>48316</v>
      </c>
      <c r="U5704" t="s">
        <v>53529</v>
      </c>
      <c r="W5704" t="s">
        <v>44574</v>
      </c>
      <c r="X5704" t="s">
        <v>46574</v>
      </c>
    </row>
    <row r="5705" spans="1:24">
      <c r="A5705">
        <f>HYPERLINK("https://www.philgeps.gov.ph/GEPSNONPILOT/Tender/SplashBidNoticeAbstractUI.aspx?menuIndex=3&amp;refID=7059833&amp;Result=3","7059833")</f>
        <v>0</v>
      </c>
      <c r="B5705" t="s">
        <v>1871</v>
      </c>
      <c r="C5705" t="s">
        <v>8965</v>
      </c>
      <c r="D5705" t="s">
        <v>18826</v>
      </c>
      <c r="E5705" t="s">
        <v>23986</v>
      </c>
      <c r="F5705" t="s">
        <v>32664</v>
      </c>
      <c r="G5705" t="s">
        <v>32671</v>
      </c>
      <c r="H5705" t="s">
        <v>32683</v>
      </c>
      <c r="I5705" t="s">
        <v>6553</v>
      </c>
      <c r="J5705" t="s">
        <v>36397</v>
      </c>
      <c r="K5705" t="s">
        <v>42297</v>
      </c>
      <c r="M5705" t="s">
        <v>44586</v>
      </c>
      <c r="N5705" t="s">
        <v>46569</v>
      </c>
      <c r="O5705" t="s">
        <v>46570</v>
      </c>
      <c r="P5705">
        <v>0</v>
      </c>
      <c r="Q5705">
        <v>0</v>
      </c>
      <c r="R5705" t="s">
        <v>46573</v>
      </c>
      <c r="S5705" t="s">
        <v>46705</v>
      </c>
      <c r="T5705" t="s">
        <v>48316</v>
      </c>
      <c r="U5705" t="s">
        <v>53530</v>
      </c>
      <c r="V5705" t="s">
        <v>62213</v>
      </c>
      <c r="W5705" t="s">
        <v>44586</v>
      </c>
      <c r="X5705" t="s">
        <v>46574</v>
      </c>
    </row>
    <row r="5706" spans="1:24">
      <c r="A5706">
        <f>HYPERLINK("https://www.philgeps.gov.ph/GEPSNONPILOT/Tender/SplashBidNoticeAbstractUI.aspx?menuIndex=3&amp;refID=7061812&amp;Result=3","7061812")</f>
        <v>0</v>
      </c>
      <c r="B5706" t="s">
        <v>199</v>
      </c>
      <c r="C5706" t="s">
        <v>6154</v>
      </c>
      <c r="D5706" t="s">
        <v>18789</v>
      </c>
      <c r="E5706" t="s">
        <v>23987</v>
      </c>
      <c r="F5706" t="s">
        <v>32664</v>
      </c>
      <c r="G5706" t="s">
        <v>32671</v>
      </c>
      <c r="H5706" t="s">
        <v>12635</v>
      </c>
      <c r="I5706" t="s">
        <v>32719</v>
      </c>
      <c r="J5706" t="s">
        <v>36398</v>
      </c>
      <c r="K5706" t="s">
        <v>42303</v>
      </c>
      <c r="M5706" t="s">
        <v>43702</v>
      </c>
      <c r="N5706" t="s">
        <v>46569</v>
      </c>
      <c r="O5706" t="s">
        <v>46570</v>
      </c>
      <c r="P5706">
        <v>0</v>
      </c>
      <c r="Q5706">
        <v>1</v>
      </c>
      <c r="R5706" t="s">
        <v>46572</v>
      </c>
      <c r="S5706" t="s">
        <v>46689</v>
      </c>
      <c r="T5706" t="s">
        <v>48217</v>
      </c>
      <c r="U5706" t="s">
        <v>53531</v>
      </c>
      <c r="W5706" t="s">
        <v>43702</v>
      </c>
      <c r="X5706" t="s">
        <v>46573</v>
      </c>
    </row>
    <row r="5707" spans="1:24">
      <c r="A5707">
        <f>HYPERLINK("https://www.philgeps.gov.ph/GEPSNONPILOT/Tender/SplashBidNoticeAbstractUI.aspx?menuIndex=3&amp;refID=7059784&amp;Result=3","7059784")</f>
        <v>0</v>
      </c>
      <c r="B5707" t="s">
        <v>1899</v>
      </c>
      <c r="C5707" t="s">
        <v>8937</v>
      </c>
      <c r="D5707" t="s">
        <v>18831</v>
      </c>
      <c r="E5707" t="s">
        <v>23988</v>
      </c>
      <c r="F5707" t="s">
        <v>32664</v>
      </c>
      <c r="G5707" t="s">
        <v>32672</v>
      </c>
      <c r="H5707" t="s">
        <v>12635</v>
      </c>
      <c r="I5707" t="s">
        <v>7324</v>
      </c>
      <c r="J5707" t="s">
        <v>32859</v>
      </c>
      <c r="K5707" t="s">
        <v>42281</v>
      </c>
      <c r="M5707" t="s">
        <v>44620</v>
      </c>
      <c r="N5707" t="s">
        <v>46569</v>
      </c>
      <c r="O5707" t="s">
        <v>46570</v>
      </c>
      <c r="P5707">
        <v>0</v>
      </c>
      <c r="Q5707">
        <v>2</v>
      </c>
      <c r="R5707" t="s">
        <v>46573</v>
      </c>
      <c r="S5707" t="s">
        <v>46705</v>
      </c>
      <c r="T5707" t="s">
        <v>48308</v>
      </c>
      <c r="U5707" t="s">
        <v>53532</v>
      </c>
      <c r="W5707" t="s">
        <v>44620</v>
      </c>
      <c r="X5707" t="s">
        <v>46574</v>
      </c>
    </row>
    <row r="5708" spans="1:24">
      <c r="A5708">
        <f>HYPERLINK("https://www.philgeps.gov.ph/GEPSNONPILOT/Tender/SplashBidNoticeAbstractUI.aspx?menuIndex=3&amp;refID=7059829&amp;Result=3","7059829")</f>
        <v>0</v>
      </c>
      <c r="B5708" t="s">
        <v>1088</v>
      </c>
      <c r="C5708" t="s">
        <v>8966</v>
      </c>
      <c r="D5708" t="s">
        <v>18804</v>
      </c>
      <c r="E5708" t="s">
        <v>23989</v>
      </c>
      <c r="F5708" t="s">
        <v>32664</v>
      </c>
      <c r="G5708" t="s">
        <v>32671</v>
      </c>
      <c r="H5708" t="s">
        <v>12635</v>
      </c>
      <c r="I5708" t="s">
        <v>9486</v>
      </c>
      <c r="J5708" t="s">
        <v>36399</v>
      </c>
      <c r="K5708" t="s">
        <v>42303</v>
      </c>
      <c r="M5708" t="s">
        <v>44593</v>
      </c>
      <c r="N5708" t="s">
        <v>46569</v>
      </c>
      <c r="O5708" t="s">
        <v>46570</v>
      </c>
      <c r="P5708">
        <v>0</v>
      </c>
      <c r="Q5708">
        <v>0</v>
      </c>
      <c r="R5708" t="s">
        <v>46573</v>
      </c>
      <c r="S5708" t="s">
        <v>46705</v>
      </c>
      <c r="T5708" t="s">
        <v>48268</v>
      </c>
      <c r="U5708" t="s">
        <v>53533</v>
      </c>
      <c r="W5708" t="s">
        <v>44593</v>
      </c>
      <c r="X5708" t="s">
        <v>46574</v>
      </c>
    </row>
    <row r="5709" spans="1:24">
      <c r="A5709">
        <f>HYPERLINK("https://www.philgeps.gov.ph/GEPSNONPILOT/Tender/SplashBidNoticeAbstractUI.aspx?menuIndex=3&amp;refID=7059831&amp;Result=3","7059831")</f>
        <v>0</v>
      </c>
      <c r="B5709" t="s">
        <v>1825</v>
      </c>
      <c r="C5709" t="s">
        <v>8967</v>
      </c>
      <c r="D5709" t="s">
        <v>18784</v>
      </c>
      <c r="E5709" t="s">
        <v>23990</v>
      </c>
      <c r="F5709" t="s">
        <v>32664</v>
      </c>
      <c r="G5709" t="s">
        <v>32671</v>
      </c>
      <c r="H5709" t="s">
        <v>12635</v>
      </c>
      <c r="I5709" t="s">
        <v>5501</v>
      </c>
      <c r="J5709" t="s">
        <v>34127</v>
      </c>
      <c r="K5709" t="s">
        <v>42289</v>
      </c>
      <c r="M5709" t="s">
        <v>44562</v>
      </c>
      <c r="N5709" t="s">
        <v>46569</v>
      </c>
      <c r="O5709" t="s">
        <v>46570</v>
      </c>
      <c r="P5709">
        <v>0</v>
      </c>
      <c r="Q5709">
        <v>11</v>
      </c>
      <c r="R5709" t="s">
        <v>46573</v>
      </c>
      <c r="S5709" t="s">
        <v>46705</v>
      </c>
      <c r="T5709" t="s">
        <v>48287</v>
      </c>
      <c r="U5709" t="s">
        <v>53264</v>
      </c>
      <c r="W5709" t="s">
        <v>44562</v>
      </c>
      <c r="X5709" t="s">
        <v>46574</v>
      </c>
    </row>
    <row r="5710" spans="1:24">
      <c r="A5710">
        <f>HYPERLINK("https://www.philgeps.gov.ph/GEPSNONPILOT/Tender/SplashBidNoticeAbstractUI.aspx?menuIndex=3&amp;refID=7059826&amp;Result=3","7059826")</f>
        <v>0</v>
      </c>
      <c r="B5710" t="s">
        <v>1908</v>
      </c>
      <c r="C5710" t="s">
        <v>8968</v>
      </c>
      <c r="D5710" t="s">
        <v>18784</v>
      </c>
      <c r="E5710" t="s">
        <v>20045</v>
      </c>
      <c r="F5710" t="s">
        <v>32664</v>
      </c>
      <c r="G5710" t="s">
        <v>32672</v>
      </c>
      <c r="H5710" t="s">
        <v>12635</v>
      </c>
      <c r="I5710" t="s">
        <v>6628</v>
      </c>
      <c r="J5710" t="s">
        <v>36400</v>
      </c>
      <c r="K5710" t="s">
        <v>42289</v>
      </c>
      <c r="M5710" t="s">
        <v>44629</v>
      </c>
      <c r="N5710" t="s">
        <v>46569</v>
      </c>
      <c r="O5710" t="s">
        <v>46570</v>
      </c>
      <c r="P5710">
        <v>0</v>
      </c>
      <c r="Q5710">
        <v>6</v>
      </c>
      <c r="R5710" t="s">
        <v>46573</v>
      </c>
      <c r="S5710" t="s">
        <v>46705</v>
      </c>
      <c r="T5710" t="s">
        <v>48362</v>
      </c>
      <c r="U5710" t="s">
        <v>53534</v>
      </c>
      <c r="W5710" t="s">
        <v>44629</v>
      </c>
      <c r="X5710" t="s">
        <v>46574</v>
      </c>
    </row>
    <row r="5711" spans="1:24">
      <c r="A5711">
        <f>HYPERLINK("https://www.philgeps.gov.ph/GEPSNONPILOT/Tender/SplashBidNoticeAbstractUI.aspx?menuIndex=3&amp;refID=7059824&amp;Result=3","7059824")</f>
        <v>0</v>
      </c>
      <c r="B5711" t="s">
        <v>1909</v>
      </c>
      <c r="C5711" t="s">
        <v>8969</v>
      </c>
      <c r="D5711" t="s">
        <v>18831</v>
      </c>
      <c r="E5711" t="s">
        <v>23991</v>
      </c>
      <c r="F5711" t="s">
        <v>32664</v>
      </c>
      <c r="G5711" t="s">
        <v>32671</v>
      </c>
      <c r="H5711" t="s">
        <v>12635</v>
      </c>
      <c r="I5711" t="s">
        <v>32685</v>
      </c>
      <c r="J5711" t="s">
        <v>36401</v>
      </c>
      <c r="K5711" t="s">
        <v>42283</v>
      </c>
      <c r="M5711" t="s">
        <v>44630</v>
      </c>
      <c r="N5711" t="s">
        <v>46569</v>
      </c>
      <c r="O5711" t="s">
        <v>46570</v>
      </c>
      <c r="P5711">
        <v>0</v>
      </c>
      <c r="Q5711">
        <v>1</v>
      </c>
      <c r="R5711" t="s">
        <v>46573</v>
      </c>
      <c r="S5711" t="s">
        <v>46705</v>
      </c>
      <c r="T5711" t="s">
        <v>48254</v>
      </c>
      <c r="U5711" t="s">
        <v>53535</v>
      </c>
      <c r="W5711" t="s">
        <v>63540</v>
      </c>
      <c r="X5711" t="s">
        <v>46574</v>
      </c>
    </row>
    <row r="5712" spans="1:24">
      <c r="A5712">
        <f>HYPERLINK("https://www.philgeps.gov.ph/GEPSNONPILOT/Tender/SplashBidNoticeAbstractUI.aspx?menuIndex=3&amp;refID=7059830&amp;Result=3","7059830")</f>
        <v>0</v>
      </c>
      <c r="B5712" t="s">
        <v>1910</v>
      </c>
      <c r="C5712" t="s">
        <v>8970</v>
      </c>
      <c r="D5712" t="s">
        <v>18798</v>
      </c>
      <c r="E5712" t="s">
        <v>19928</v>
      </c>
      <c r="F5712" t="s">
        <v>32664</v>
      </c>
      <c r="G5712" t="s">
        <v>32671</v>
      </c>
      <c r="H5712" t="s">
        <v>12635</v>
      </c>
      <c r="I5712" t="s">
        <v>4997</v>
      </c>
      <c r="J5712" t="s">
        <v>36402</v>
      </c>
      <c r="K5712" t="s">
        <v>42295</v>
      </c>
      <c r="M5712" t="s">
        <v>44631</v>
      </c>
      <c r="N5712" t="s">
        <v>46569</v>
      </c>
      <c r="O5712" t="s">
        <v>46570</v>
      </c>
      <c r="P5712">
        <v>0</v>
      </c>
      <c r="Q5712">
        <v>2</v>
      </c>
      <c r="R5712" t="s">
        <v>46573</v>
      </c>
      <c r="S5712" t="s">
        <v>46705</v>
      </c>
      <c r="T5712" t="s">
        <v>48427</v>
      </c>
      <c r="U5712" t="s">
        <v>53536</v>
      </c>
      <c r="W5712" t="s">
        <v>44631</v>
      </c>
      <c r="X5712" t="s">
        <v>46574</v>
      </c>
    </row>
    <row r="5713" spans="1:24">
      <c r="A5713">
        <f>HYPERLINK("https://www.philgeps.gov.ph/GEPSNONPILOT/Tender/SplashBidNoticeAbstractUI.aspx?menuIndex=3&amp;refID=7059821&amp;Result=3","7059821")</f>
        <v>0</v>
      </c>
      <c r="B5713" t="s">
        <v>1911</v>
      </c>
      <c r="C5713" t="s">
        <v>8971</v>
      </c>
      <c r="D5713" t="s">
        <v>18844</v>
      </c>
      <c r="E5713" t="s">
        <v>23992</v>
      </c>
      <c r="F5713" t="s">
        <v>32664</v>
      </c>
      <c r="G5713" t="s">
        <v>32672</v>
      </c>
      <c r="H5713" t="s">
        <v>12635</v>
      </c>
      <c r="I5713" t="s">
        <v>6223</v>
      </c>
      <c r="J5713" t="s">
        <v>33461</v>
      </c>
      <c r="K5713" t="s">
        <v>42309</v>
      </c>
      <c r="M5713" t="s">
        <v>44632</v>
      </c>
      <c r="N5713" t="s">
        <v>46569</v>
      </c>
      <c r="O5713" t="s">
        <v>46570</v>
      </c>
      <c r="P5713">
        <v>0</v>
      </c>
      <c r="Q5713">
        <v>2</v>
      </c>
      <c r="R5713" t="s">
        <v>46573</v>
      </c>
      <c r="S5713" t="s">
        <v>46705</v>
      </c>
      <c r="T5713" t="s">
        <v>48308</v>
      </c>
      <c r="U5713" t="s">
        <v>53537</v>
      </c>
      <c r="W5713" t="s">
        <v>44632</v>
      </c>
      <c r="X5713" t="s">
        <v>46574</v>
      </c>
    </row>
    <row r="5714" spans="1:24">
      <c r="A5714">
        <f>HYPERLINK("https://www.philgeps.gov.ph/GEPSNONPILOT/Tender/SplashBidNoticeAbstractUI.aspx?menuIndex=3&amp;refID=7059793&amp;Result=3","7059793")</f>
        <v>0</v>
      </c>
      <c r="B5714" t="s">
        <v>310</v>
      </c>
      <c r="C5714" t="s">
        <v>8972</v>
      </c>
      <c r="D5714" t="s">
        <v>18789</v>
      </c>
      <c r="E5714" t="s">
        <v>23993</v>
      </c>
      <c r="F5714" t="s">
        <v>32664</v>
      </c>
      <c r="G5714" t="s">
        <v>32671</v>
      </c>
      <c r="H5714" t="s">
        <v>12635</v>
      </c>
      <c r="I5714" t="s">
        <v>32685</v>
      </c>
      <c r="J5714" t="s">
        <v>36403</v>
      </c>
      <c r="K5714" t="s">
        <v>42289</v>
      </c>
      <c r="M5714" t="s">
        <v>42877</v>
      </c>
      <c r="N5714" t="s">
        <v>46569</v>
      </c>
      <c r="O5714" t="s">
        <v>46570</v>
      </c>
      <c r="P5714">
        <v>0</v>
      </c>
      <c r="Q5714">
        <v>0</v>
      </c>
      <c r="R5714" t="s">
        <v>46573</v>
      </c>
      <c r="S5714" t="s">
        <v>46705</v>
      </c>
      <c r="T5714" t="s">
        <v>48296</v>
      </c>
      <c r="U5714" t="s">
        <v>49333</v>
      </c>
      <c r="V5714" t="s">
        <v>62217</v>
      </c>
      <c r="W5714" t="s">
        <v>42877</v>
      </c>
      <c r="X5714" t="s">
        <v>46574</v>
      </c>
    </row>
    <row r="5715" spans="1:24">
      <c r="A5715">
        <f>HYPERLINK("https://www.philgeps.gov.ph/GEPSNONPILOT/Tender/SplashBidNoticeAbstractUI.aspx?menuIndex=3&amp;refID=7059828&amp;Result=3","7059828")</f>
        <v>0</v>
      </c>
      <c r="B5715" t="s">
        <v>808</v>
      </c>
      <c r="C5715" t="s">
        <v>8973</v>
      </c>
      <c r="D5715" t="s">
        <v>18846</v>
      </c>
      <c r="E5715" t="s">
        <v>23994</v>
      </c>
      <c r="F5715" t="s">
        <v>32664</v>
      </c>
      <c r="G5715" t="s">
        <v>32671</v>
      </c>
      <c r="H5715" t="s">
        <v>12635</v>
      </c>
      <c r="I5715" t="s">
        <v>32706</v>
      </c>
      <c r="J5715" t="s">
        <v>36404</v>
      </c>
      <c r="K5715" t="s">
        <v>42309</v>
      </c>
      <c r="M5715" t="s">
        <v>43400</v>
      </c>
      <c r="N5715" t="s">
        <v>46569</v>
      </c>
      <c r="O5715" t="s">
        <v>46570</v>
      </c>
      <c r="P5715">
        <v>0</v>
      </c>
      <c r="Q5715">
        <v>0</v>
      </c>
      <c r="R5715" t="s">
        <v>46573</v>
      </c>
      <c r="S5715" t="s">
        <v>46705</v>
      </c>
      <c r="T5715" t="s">
        <v>48376</v>
      </c>
      <c r="U5715" t="s">
        <v>53538</v>
      </c>
      <c r="W5715" t="s">
        <v>43400</v>
      </c>
      <c r="X5715" t="s">
        <v>46574</v>
      </c>
    </row>
    <row r="5716" spans="1:24">
      <c r="A5716">
        <f>HYPERLINK("https://www.philgeps.gov.ph/GEPSNONPILOT/Tender/SplashBidNoticeAbstractUI.aspx?menuIndex=3&amp;refID=7059792&amp;Result=3","7059792")</f>
        <v>0</v>
      </c>
      <c r="B5716" t="s">
        <v>1912</v>
      </c>
      <c r="C5716" t="s">
        <v>5193</v>
      </c>
      <c r="D5716" t="s">
        <v>18802</v>
      </c>
      <c r="E5716" t="s">
        <v>23995</v>
      </c>
      <c r="F5716" t="s">
        <v>32664</v>
      </c>
      <c r="G5716" t="s">
        <v>32671</v>
      </c>
      <c r="H5716" t="s">
        <v>12635</v>
      </c>
      <c r="I5716" t="s">
        <v>8730</v>
      </c>
      <c r="J5716" t="s">
        <v>36405</v>
      </c>
      <c r="K5716" t="s">
        <v>42297</v>
      </c>
      <c r="M5716" t="s">
        <v>44633</v>
      </c>
      <c r="N5716" t="s">
        <v>46569</v>
      </c>
      <c r="O5716" t="s">
        <v>46570</v>
      </c>
      <c r="P5716">
        <v>0</v>
      </c>
      <c r="Q5716">
        <v>1</v>
      </c>
      <c r="R5716" t="s">
        <v>46573</v>
      </c>
      <c r="S5716" t="s">
        <v>46705</v>
      </c>
      <c r="T5716" t="s">
        <v>48311</v>
      </c>
      <c r="U5716" t="s">
        <v>53539</v>
      </c>
      <c r="W5716" t="s">
        <v>44633</v>
      </c>
      <c r="X5716" t="s">
        <v>46574</v>
      </c>
    </row>
    <row r="5717" spans="1:24">
      <c r="A5717">
        <f>HYPERLINK("https://www.philgeps.gov.ph/GEPSNONPILOT/Tender/SplashBidNoticeAbstractUI.aspx?menuIndex=3&amp;refID=7061753&amp;Result=3","7061753")</f>
        <v>0</v>
      </c>
      <c r="B5717" t="s">
        <v>335</v>
      </c>
      <c r="C5717" t="s">
        <v>8974</v>
      </c>
      <c r="D5717" t="s">
        <v>18784</v>
      </c>
      <c r="E5717" t="s">
        <v>23996</v>
      </c>
      <c r="F5717" t="s">
        <v>32664</v>
      </c>
      <c r="G5717" t="s">
        <v>32671</v>
      </c>
      <c r="H5717" t="s">
        <v>12635</v>
      </c>
      <c r="I5717" t="s">
        <v>32704</v>
      </c>
      <c r="J5717" t="s">
        <v>36406</v>
      </c>
      <c r="K5717" t="s">
        <v>42281</v>
      </c>
      <c r="M5717" t="s">
        <v>42903</v>
      </c>
      <c r="N5717" t="s">
        <v>46569</v>
      </c>
      <c r="O5717" t="s">
        <v>46570</v>
      </c>
      <c r="P5717">
        <v>0</v>
      </c>
      <c r="Q5717">
        <v>5</v>
      </c>
      <c r="R5717" t="s">
        <v>46572</v>
      </c>
      <c r="S5717" t="s">
        <v>46689</v>
      </c>
      <c r="T5717" t="s">
        <v>48249</v>
      </c>
      <c r="U5717" t="s">
        <v>53540</v>
      </c>
      <c r="W5717" t="s">
        <v>42903</v>
      </c>
      <c r="X5717" t="s">
        <v>46573</v>
      </c>
    </row>
    <row r="5718" spans="1:24">
      <c r="A5718">
        <f>HYPERLINK("https://www.philgeps.gov.ph/GEPSNONPILOT/Tender/SplashBidNoticeAbstractUI.aspx?menuIndex=3&amp;refID=7059815&amp;Result=3","7059815")</f>
        <v>0</v>
      </c>
      <c r="B5718" t="s">
        <v>1909</v>
      </c>
      <c r="C5718" t="s">
        <v>6033</v>
      </c>
      <c r="D5718" t="s">
        <v>18831</v>
      </c>
      <c r="E5718" t="s">
        <v>23997</v>
      </c>
      <c r="F5718" t="s">
        <v>32664</v>
      </c>
      <c r="G5718" t="s">
        <v>32671</v>
      </c>
      <c r="H5718" t="s">
        <v>12635</v>
      </c>
      <c r="I5718" t="s">
        <v>32704</v>
      </c>
      <c r="J5718" t="s">
        <v>33863</v>
      </c>
      <c r="K5718" t="s">
        <v>42283</v>
      </c>
      <c r="M5718" t="s">
        <v>44630</v>
      </c>
      <c r="N5718" t="s">
        <v>46569</v>
      </c>
      <c r="O5718" t="s">
        <v>46570</v>
      </c>
      <c r="P5718">
        <v>0</v>
      </c>
      <c r="Q5718">
        <v>5</v>
      </c>
      <c r="R5718" t="s">
        <v>46573</v>
      </c>
      <c r="S5718" t="s">
        <v>46705</v>
      </c>
      <c r="T5718" t="s">
        <v>48254</v>
      </c>
      <c r="U5718" t="s">
        <v>53535</v>
      </c>
      <c r="W5718" t="s">
        <v>63540</v>
      </c>
      <c r="X5718" t="s">
        <v>46574</v>
      </c>
    </row>
    <row r="5719" spans="1:24">
      <c r="A5719">
        <f>HYPERLINK("https://www.philgeps.gov.ph/GEPSNONPILOT/Tender/SplashBidNoticeAbstractUI.aspx?menuIndex=3&amp;refID=7059823&amp;Result=3","7059823")</f>
        <v>0</v>
      </c>
      <c r="B5719" t="s">
        <v>594</v>
      </c>
      <c r="C5719" t="s">
        <v>8975</v>
      </c>
      <c r="D5719" t="s">
        <v>18784</v>
      </c>
      <c r="E5719" t="s">
        <v>23998</v>
      </c>
      <c r="F5719" t="s">
        <v>32664</v>
      </c>
      <c r="G5719" t="s">
        <v>32674</v>
      </c>
      <c r="H5719" t="s">
        <v>12635</v>
      </c>
      <c r="I5719" t="s">
        <v>9486</v>
      </c>
      <c r="J5719" t="s">
        <v>36407</v>
      </c>
      <c r="K5719" t="s">
        <v>42297</v>
      </c>
      <c r="M5719" t="s">
        <v>43721</v>
      </c>
      <c r="N5719" t="s">
        <v>46569</v>
      </c>
      <c r="O5719" t="s">
        <v>46570</v>
      </c>
      <c r="P5719">
        <v>0</v>
      </c>
      <c r="Q5719">
        <v>3</v>
      </c>
      <c r="R5719" t="s">
        <v>46573</v>
      </c>
      <c r="S5719" t="s">
        <v>46705</v>
      </c>
      <c r="T5719" t="s">
        <v>48551</v>
      </c>
      <c r="U5719" t="s">
        <v>53541</v>
      </c>
      <c r="V5719" t="s">
        <v>62115</v>
      </c>
      <c r="W5719" t="s">
        <v>43721</v>
      </c>
      <c r="X5719" t="s">
        <v>46574</v>
      </c>
    </row>
    <row r="5720" spans="1:24">
      <c r="A5720">
        <f>HYPERLINK("https://www.philgeps.gov.ph/GEPSNONPILOT/Tender/SplashBidNoticeAbstractUI.aspx?menuIndex=3&amp;refID=7059812&amp;Result=3","7059812")</f>
        <v>0</v>
      </c>
      <c r="B5720" t="s">
        <v>114</v>
      </c>
      <c r="C5720" t="s">
        <v>8976</v>
      </c>
      <c r="D5720" t="s">
        <v>18788</v>
      </c>
      <c r="E5720" t="s">
        <v>23999</v>
      </c>
      <c r="F5720" t="s">
        <v>32664</v>
      </c>
      <c r="G5720" t="s">
        <v>32671</v>
      </c>
      <c r="H5720" t="s">
        <v>12635</v>
      </c>
      <c r="I5720" t="s">
        <v>32696</v>
      </c>
      <c r="J5720" t="s">
        <v>32865</v>
      </c>
      <c r="K5720" t="s">
        <v>42289</v>
      </c>
      <c r="M5720" t="s">
        <v>42678</v>
      </c>
      <c r="N5720" t="s">
        <v>46569</v>
      </c>
      <c r="O5720" t="s">
        <v>46570</v>
      </c>
      <c r="P5720">
        <v>0</v>
      </c>
      <c r="Q5720">
        <v>2</v>
      </c>
      <c r="R5720" t="s">
        <v>46573</v>
      </c>
      <c r="S5720" t="s">
        <v>46705</v>
      </c>
      <c r="T5720" t="s">
        <v>48316</v>
      </c>
      <c r="U5720" t="s">
        <v>53542</v>
      </c>
      <c r="W5720" t="s">
        <v>42678</v>
      </c>
      <c r="X5720" t="s">
        <v>46574</v>
      </c>
    </row>
    <row r="5721" spans="1:24">
      <c r="A5721">
        <f>HYPERLINK("https://www.philgeps.gov.ph/GEPSNONPILOT/Tender/SplashBidNoticeAbstractUI.aspx?menuIndex=3&amp;refID=7059811&amp;Result=3","7059811")</f>
        <v>0</v>
      </c>
      <c r="B5721" t="s">
        <v>1884</v>
      </c>
      <c r="C5721" t="s">
        <v>8977</v>
      </c>
      <c r="D5721" t="s">
        <v>18784</v>
      </c>
      <c r="E5721" t="s">
        <v>24000</v>
      </c>
      <c r="F5721" t="s">
        <v>32664</v>
      </c>
      <c r="G5721" t="s">
        <v>32671</v>
      </c>
      <c r="H5721" t="s">
        <v>12635</v>
      </c>
      <c r="I5721" t="s">
        <v>32708</v>
      </c>
      <c r="J5721" t="s">
        <v>32917</v>
      </c>
      <c r="K5721" t="s">
        <v>42284</v>
      </c>
      <c r="M5721" t="s">
        <v>44603</v>
      </c>
      <c r="N5721" t="s">
        <v>46569</v>
      </c>
      <c r="O5721" t="s">
        <v>46570</v>
      </c>
      <c r="P5721">
        <v>0</v>
      </c>
      <c r="Q5721">
        <v>5</v>
      </c>
      <c r="R5721" t="s">
        <v>46573</v>
      </c>
      <c r="S5721" t="s">
        <v>46705</v>
      </c>
      <c r="T5721" t="s">
        <v>48219</v>
      </c>
      <c r="U5721" t="s">
        <v>53543</v>
      </c>
      <c r="V5721" t="s">
        <v>62212</v>
      </c>
      <c r="W5721" t="s">
        <v>44603</v>
      </c>
      <c r="X5721" t="s">
        <v>46574</v>
      </c>
    </row>
    <row r="5722" spans="1:24">
      <c r="A5722">
        <f>HYPERLINK("https://www.philgeps.gov.ph/GEPSNONPILOT/Tender/SplashBidNoticeAbstractUI.aspx?menuIndex=3&amp;refID=7059810&amp;Result=3","7059810")</f>
        <v>0</v>
      </c>
      <c r="B5722" t="s">
        <v>1913</v>
      </c>
      <c r="C5722" t="s">
        <v>8978</v>
      </c>
      <c r="D5722" t="s">
        <v>18831</v>
      </c>
      <c r="E5722" t="s">
        <v>24001</v>
      </c>
      <c r="F5722" t="s">
        <v>32664</v>
      </c>
      <c r="G5722" t="s">
        <v>32672</v>
      </c>
      <c r="H5722" t="s">
        <v>12635</v>
      </c>
      <c r="I5722" t="s">
        <v>11464</v>
      </c>
      <c r="J5722" t="s">
        <v>36408</v>
      </c>
      <c r="K5722" t="s">
        <v>42298</v>
      </c>
      <c r="M5722" t="s">
        <v>44634</v>
      </c>
      <c r="N5722" t="s">
        <v>46569</v>
      </c>
      <c r="O5722" t="s">
        <v>46570</v>
      </c>
      <c r="P5722">
        <v>0</v>
      </c>
      <c r="Q5722">
        <v>2</v>
      </c>
      <c r="R5722" t="s">
        <v>46573</v>
      </c>
      <c r="S5722" t="s">
        <v>46705</v>
      </c>
      <c r="T5722" t="s">
        <v>48225</v>
      </c>
      <c r="U5722" t="s">
        <v>53544</v>
      </c>
      <c r="W5722" t="s">
        <v>44634</v>
      </c>
      <c r="X5722" t="s">
        <v>46574</v>
      </c>
    </row>
    <row r="5723" spans="1:24">
      <c r="A5723">
        <f>HYPERLINK("https://www.philgeps.gov.ph/GEPSNONPILOT/Tender/SplashBidNoticeAbstractUI.aspx?menuIndex=3&amp;refID=7059808&amp;Result=3","7059808")</f>
        <v>0</v>
      </c>
      <c r="B5723" t="s">
        <v>1899</v>
      </c>
      <c r="C5723" t="s">
        <v>8979</v>
      </c>
      <c r="D5723" t="s">
        <v>18831</v>
      </c>
      <c r="E5723" t="s">
        <v>24002</v>
      </c>
      <c r="F5723" t="s">
        <v>32664</v>
      </c>
      <c r="G5723" t="s">
        <v>32672</v>
      </c>
      <c r="H5723" t="s">
        <v>12635</v>
      </c>
      <c r="I5723" t="s">
        <v>9597</v>
      </c>
      <c r="J5723" t="s">
        <v>36409</v>
      </c>
      <c r="K5723" t="s">
        <v>42281</v>
      </c>
      <c r="M5723" t="s">
        <v>44620</v>
      </c>
      <c r="N5723" t="s">
        <v>46569</v>
      </c>
      <c r="O5723" t="s">
        <v>46570</v>
      </c>
      <c r="P5723">
        <v>0</v>
      </c>
      <c r="Q5723">
        <v>3</v>
      </c>
      <c r="R5723" t="s">
        <v>46573</v>
      </c>
      <c r="S5723" t="s">
        <v>46705</v>
      </c>
      <c r="T5723" t="s">
        <v>48308</v>
      </c>
      <c r="U5723" t="s">
        <v>53545</v>
      </c>
      <c r="W5723" t="s">
        <v>44620</v>
      </c>
      <c r="X5723" t="s">
        <v>46574</v>
      </c>
    </row>
    <row r="5724" spans="1:24">
      <c r="A5724">
        <f>HYPERLINK("https://www.philgeps.gov.ph/GEPSNONPILOT/Tender/SplashBidNoticeAbstractUI.aspx?menuIndex=3&amp;refID=7059857&amp;Result=3","7059857")</f>
        <v>0</v>
      </c>
      <c r="B5724" t="s">
        <v>1914</v>
      </c>
      <c r="C5724" t="s">
        <v>8980</v>
      </c>
      <c r="D5724" t="s">
        <v>18799</v>
      </c>
      <c r="E5724" t="s">
        <v>19615</v>
      </c>
      <c r="F5724" t="s">
        <v>32664</v>
      </c>
      <c r="G5724" t="s">
        <v>32674</v>
      </c>
      <c r="H5724" t="s">
        <v>12635</v>
      </c>
      <c r="I5724" t="s">
        <v>8730</v>
      </c>
      <c r="J5724" t="s">
        <v>36410</v>
      </c>
      <c r="K5724" t="s">
        <v>42295</v>
      </c>
      <c r="M5724" t="s">
        <v>44635</v>
      </c>
      <c r="N5724" t="s">
        <v>46569</v>
      </c>
      <c r="O5724" t="s">
        <v>46570</v>
      </c>
      <c r="P5724">
        <v>0</v>
      </c>
      <c r="Q5724">
        <v>3</v>
      </c>
      <c r="R5724" t="s">
        <v>46573</v>
      </c>
      <c r="S5724" t="s">
        <v>46705</v>
      </c>
      <c r="T5724" t="s">
        <v>48553</v>
      </c>
      <c r="U5724" t="s">
        <v>53546</v>
      </c>
      <c r="V5724" t="s">
        <v>62218</v>
      </c>
      <c r="W5724" t="s">
        <v>44635</v>
      </c>
      <c r="X5724" t="s">
        <v>46574</v>
      </c>
    </row>
    <row r="5725" spans="1:24">
      <c r="A5725">
        <f>HYPERLINK("https://www.philgeps.gov.ph/GEPSNONPILOT/Tender/SplashBidNoticeAbstractUI.aspx?menuIndex=3&amp;refID=7059854&amp;Result=3","7059854")</f>
        <v>0</v>
      </c>
      <c r="B5725" t="s">
        <v>617</v>
      </c>
      <c r="C5725" t="s">
        <v>8981</v>
      </c>
      <c r="D5725" t="s">
        <v>18784</v>
      </c>
      <c r="E5725" t="s">
        <v>24003</v>
      </c>
      <c r="F5725" t="s">
        <v>32664</v>
      </c>
      <c r="G5725" t="s">
        <v>32674</v>
      </c>
      <c r="H5725" t="s">
        <v>12635</v>
      </c>
      <c r="I5725" t="s">
        <v>5589</v>
      </c>
      <c r="J5725" t="s">
        <v>36411</v>
      </c>
      <c r="K5725" t="s">
        <v>42289</v>
      </c>
      <c r="M5725" t="s">
        <v>43197</v>
      </c>
      <c r="N5725" t="s">
        <v>46569</v>
      </c>
      <c r="O5725" t="s">
        <v>46570</v>
      </c>
      <c r="P5725">
        <v>0</v>
      </c>
      <c r="Q5725">
        <v>1</v>
      </c>
      <c r="R5725" t="s">
        <v>46573</v>
      </c>
      <c r="S5725" t="s">
        <v>46705</v>
      </c>
      <c r="T5725" t="s">
        <v>48448</v>
      </c>
      <c r="U5725" t="s">
        <v>53547</v>
      </c>
      <c r="W5725" t="s">
        <v>43197</v>
      </c>
      <c r="X5725" t="s">
        <v>46574</v>
      </c>
    </row>
    <row r="5726" spans="1:24">
      <c r="A5726">
        <f>HYPERLINK("https://www.philgeps.gov.ph/GEPSNONPILOT/Tender/SplashBidNoticeAbstractUI.aspx?menuIndex=3&amp;refID=7059852&amp;Result=3","7059852")</f>
        <v>0</v>
      </c>
      <c r="B5726" t="s">
        <v>1811</v>
      </c>
      <c r="C5726" t="s">
        <v>8982</v>
      </c>
      <c r="D5726" t="s">
        <v>18805</v>
      </c>
      <c r="E5726" t="s">
        <v>24004</v>
      </c>
      <c r="F5726" t="s">
        <v>32664</v>
      </c>
      <c r="G5726" t="s">
        <v>32672</v>
      </c>
      <c r="H5726" t="s">
        <v>12635</v>
      </c>
      <c r="I5726" t="s">
        <v>5589</v>
      </c>
      <c r="J5726" t="s">
        <v>34829</v>
      </c>
      <c r="K5726" t="s">
        <v>42283</v>
      </c>
      <c r="M5726" t="s">
        <v>44517</v>
      </c>
      <c r="N5726" t="s">
        <v>46569</v>
      </c>
      <c r="O5726" t="s">
        <v>46570</v>
      </c>
      <c r="P5726">
        <v>0</v>
      </c>
      <c r="Q5726">
        <v>1</v>
      </c>
      <c r="R5726" t="s">
        <v>46573</v>
      </c>
      <c r="S5726" t="s">
        <v>46705</v>
      </c>
      <c r="T5726" t="s">
        <v>48411</v>
      </c>
      <c r="U5726" t="s">
        <v>53548</v>
      </c>
      <c r="V5726" t="s">
        <v>62185</v>
      </c>
      <c r="W5726" t="s">
        <v>44517</v>
      </c>
      <c r="X5726" t="s">
        <v>46574</v>
      </c>
    </row>
    <row r="5727" spans="1:24">
      <c r="A5727">
        <f>HYPERLINK("https://www.philgeps.gov.ph/GEPSNONPILOT/Tender/SplashBidNoticeAbstractUI.aspx?menuIndex=3&amp;refID=7059820&amp;Result=3","7059820")</f>
        <v>0</v>
      </c>
      <c r="B5727" t="s">
        <v>1915</v>
      </c>
      <c r="C5727" t="s">
        <v>8983</v>
      </c>
      <c r="D5727" t="s">
        <v>18791</v>
      </c>
      <c r="E5727" t="s">
        <v>20540</v>
      </c>
      <c r="F5727" t="s">
        <v>32664</v>
      </c>
      <c r="G5727" t="s">
        <v>32675</v>
      </c>
      <c r="H5727" t="s">
        <v>12635</v>
      </c>
      <c r="I5727" t="s">
        <v>8958</v>
      </c>
      <c r="J5727" t="s">
        <v>36412</v>
      </c>
      <c r="K5727" t="s">
        <v>42281</v>
      </c>
      <c r="M5727" t="s">
        <v>44636</v>
      </c>
      <c r="N5727" t="s">
        <v>46569</v>
      </c>
      <c r="O5727" t="s">
        <v>46570</v>
      </c>
      <c r="P5727">
        <v>0</v>
      </c>
      <c r="Q5727">
        <v>0</v>
      </c>
      <c r="R5727" t="s">
        <v>46573</v>
      </c>
      <c r="S5727" t="s">
        <v>46705</v>
      </c>
      <c r="T5727" t="s">
        <v>48254</v>
      </c>
      <c r="U5727" t="s">
        <v>53549</v>
      </c>
      <c r="V5727" t="s">
        <v>62219</v>
      </c>
      <c r="W5727" t="s">
        <v>44636</v>
      </c>
      <c r="X5727" t="s">
        <v>46574</v>
      </c>
    </row>
    <row r="5728" spans="1:24">
      <c r="A5728">
        <f>HYPERLINK("https://www.philgeps.gov.ph/GEPSNONPILOT/Tender/SplashBidNoticeAbstractUI.aspx?menuIndex=3&amp;refID=7059806&amp;Result=3","7059806")</f>
        <v>0</v>
      </c>
      <c r="B5728" t="s">
        <v>1909</v>
      </c>
      <c r="C5728" t="s">
        <v>8984</v>
      </c>
      <c r="D5728" t="s">
        <v>18831</v>
      </c>
      <c r="E5728" t="s">
        <v>24005</v>
      </c>
      <c r="F5728" t="s">
        <v>32664</v>
      </c>
      <c r="G5728" t="s">
        <v>32671</v>
      </c>
      <c r="H5728" t="s">
        <v>12635</v>
      </c>
      <c r="I5728" t="s">
        <v>32740</v>
      </c>
      <c r="J5728" t="s">
        <v>33644</v>
      </c>
      <c r="K5728" t="s">
        <v>42283</v>
      </c>
      <c r="M5728" t="s">
        <v>44630</v>
      </c>
      <c r="N5728" t="s">
        <v>46569</v>
      </c>
      <c r="O5728" t="s">
        <v>46570</v>
      </c>
      <c r="P5728">
        <v>0</v>
      </c>
      <c r="Q5728">
        <v>0</v>
      </c>
      <c r="R5728" t="s">
        <v>46573</v>
      </c>
      <c r="S5728" t="s">
        <v>46705</v>
      </c>
      <c r="T5728" t="s">
        <v>48254</v>
      </c>
      <c r="U5728" t="s">
        <v>53535</v>
      </c>
      <c r="W5728" t="s">
        <v>63540</v>
      </c>
      <c r="X5728" t="s">
        <v>46574</v>
      </c>
    </row>
    <row r="5729" spans="1:24">
      <c r="A5729">
        <f>HYPERLINK("https://www.philgeps.gov.ph/GEPSNONPILOT/Tender/SplashBidNoticeAbstractUI.aspx?menuIndex=3&amp;refID=7059856&amp;Result=3","7059856")</f>
        <v>0</v>
      </c>
      <c r="B5729" t="s">
        <v>1811</v>
      </c>
      <c r="C5729" t="s">
        <v>8985</v>
      </c>
      <c r="D5729" t="s">
        <v>18805</v>
      </c>
      <c r="E5729" t="s">
        <v>24006</v>
      </c>
      <c r="F5729" t="s">
        <v>32664</v>
      </c>
      <c r="G5729" t="s">
        <v>32672</v>
      </c>
      <c r="H5729" t="s">
        <v>12635</v>
      </c>
      <c r="I5729" t="s">
        <v>32706</v>
      </c>
      <c r="J5729" t="s">
        <v>36413</v>
      </c>
      <c r="K5729" t="s">
        <v>42283</v>
      </c>
      <c r="M5729" t="s">
        <v>44517</v>
      </c>
      <c r="N5729" t="s">
        <v>46569</v>
      </c>
      <c r="O5729" t="s">
        <v>46570</v>
      </c>
      <c r="P5729">
        <v>0</v>
      </c>
      <c r="Q5729">
        <v>0</v>
      </c>
      <c r="R5729" t="s">
        <v>46573</v>
      </c>
      <c r="S5729" t="s">
        <v>46705</v>
      </c>
      <c r="T5729" t="s">
        <v>48411</v>
      </c>
      <c r="U5729" t="s">
        <v>53550</v>
      </c>
      <c r="V5729" t="s">
        <v>62197</v>
      </c>
      <c r="W5729" t="s">
        <v>44517</v>
      </c>
      <c r="X5729" t="s">
        <v>46574</v>
      </c>
    </row>
    <row r="5730" spans="1:24">
      <c r="A5730">
        <f>HYPERLINK("https://www.philgeps.gov.ph/GEPSNONPILOT/Tender/SplashBidNoticeAbstractUI.aspx?menuIndex=3&amp;refID=7059816&amp;Result=3","7059816")</f>
        <v>0</v>
      </c>
      <c r="B5730" t="s">
        <v>1811</v>
      </c>
      <c r="C5730" t="s">
        <v>8986</v>
      </c>
      <c r="D5730" t="s">
        <v>18805</v>
      </c>
      <c r="E5730" t="s">
        <v>24007</v>
      </c>
      <c r="F5730" t="s">
        <v>32664</v>
      </c>
      <c r="G5730" t="s">
        <v>32672</v>
      </c>
      <c r="H5730" t="s">
        <v>12635</v>
      </c>
      <c r="I5730" t="s">
        <v>32685</v>
      </c>
      <c r="J5730" t="s">
        <v>36414</v>
      </c>
      <c r="K5730" t="s">
        <v>42283</v>
      </c>
      <c r="M5730" t="s">
        <v>44517</v>
      </c>
      <c r="N5730" t="s">
        <v>46569</v>
      </c>
      <c r="O5730" t="s">
        <v>46570</v>
      </c>
      <c r="P5730">
        <v>0</v>
      </c>
      <c r="Q5730">
        <v>0</v>
      </c>
      <c r="R5730" t="s">
        <v>46573</v>
      </c>
      <c r="S5730" t="s">
        <v>46705</v>
      </c>
      <c r="T5730" t="s">
        <v>48411</v>
      </c>
      <c r="U5730" t="s">
        <v>53551</v>
      </c>
      <c r="V5730" t="s">
        <v>62185</v>
      </c>
      <c r="W5730" t="s">
        <v>44517</v>
      </c>
      <c r="X5730" t="s">
        <v>46574</v>
      </c>
    </row>
    <row r="5731" spans="1:24">
      <c r="A5731">
        <f>HYPERLINK("https://www.philgeps.gov.ph/GEPSNONPILOT/Tender/SplashBidNoticeAbstractUI.aspx?menuIndex=3&amp;refID=7059847&amp;Result=3","7059847")</f>
        <v>0</v>
      </c>
      <c r="B5731" t="s">
        <v>1884</v>
      </c>
      <c r="C5731" t="s">
        <v>8987</v>
      </c>
      <c r="D5731" t="s">
        <v>18784</v>
      </c>
      <c r="E5731" t="s">
        <v>24008</v>
      </c>
      <c r="F5731" t="s">
        <v>32664</v>
      </c>
      <c r="G5731" t="s">
        <v>32671</v>
      </c>
      <c r="H5731" t="s">
        <v>12635</v>
      </c>
      <c r="I5731" t="s">
        <v>32708</v>
      </c>
      <c r="J5731" t="s">
        <v>33334</v>
      </c>
      <c r="K5731" t="s">
        <v>42284</v>
      </c>
      <c r="M5731" t="s">
        <v>44603</v>
      </c>
      <c r="N5731" t="s">
        <v>46569</v>
      </c>
      <c r="O5731" t="s">
        <v>46570</v>
      </c>
      <c r="P5731">
        <v>0</v>
      </c>
      <c r="Q5731">
        <v>12</v>
      </c>
      <c r="R5731" t="s">
        <v>46573</v>
      </c>
      <c r="S5731" t="s">
        <v>46705</v>
      </c>
      <c r="T5731" t="s">
        <v>48219</v>
      </c>
      <c r="U5731" t="s">
        <v>53552</v>
      </c>
      <c r="V5731" t="s">
        <v>62212</v>
      </c>
      <c r="W5731" t="s">
        <v>44603</v>
      </c>
      <c r="X5731" t="s">
        <v>46574</v>
      </c>
    </row>
    <row r="5732" spans="1:24">
      <c r="A5732">
        <f>HYPERLINK("https://www.philgeps.gov.ph/GEPSNONPILOT/Tender/SplashBidNoticeAbstractUI.aspx?menuIndex=3&amp;refID=7059845&amp;Result=3","7059845")</f>
        <v>0</v>
      </c>
      <c r="B5732" t="s">
        <v>1916</v>
      </c>
      <c r="C5732" t="s">
        <v>8988</v>
      </c>
      <c r="D5732" t="s">
        <v>18853</v>
      </c>
      <c r="E5732" t="s">
        <v>19782</v>
      </c>
      <c r="F5732" t="s">
        <v>32664</v>
      </c>
      <c r="G5732" t="s">
        <v>32672</v>
      </c>
      <c r="H5732" t="s">
        <v>12635</v>
      </c>
      <c r="I5732" t="s">
        <v>11464</v>
      </c>
      <c r="J5732" t="s">
        <v>36415</v>
      </c>
      <c r="K5732" t="s">
        <v>42303</v>
      </c>
      <c r="M5732" t="s">
        <v>44637</v>
      </c>
      <c r="N5732" t="s">
        <v>46569</v>
      </c>
      <c r="O5732" t="s">
        <v>46570</v>
      </c>
      <c r="P5732">
        <v>0</v>
      </c>
      <c r="Q5732">
        <v>3</v>
      </c>
      <c r="R5732" t="s">
        <v>46573</v>
      </c>
      <c r="S5732" t="s">
        <v>46705</v>
      </c>
      <c r="T5732" t="s">
        <v>48212</v>
      </c>
      <c r="U5732" t="s">
        <v>53553</v>
      </c>
      <c r="V5732" t="s">
        <v>62220</v>
      </c>
      <c r="W5732" t="s">
        <v>44637</v>
      </c>
      <c r="X5732" t="s">
        <v>46574</v>
      </c>
    </row>
    <row r="5733" spans="1:24">
      <c r="A5733">
        <f>HYPERLINK("https://www.philgeps.gov.ph/GEPSNONPILOT/Tender/SplashBidNoticeAbstractUI.aspx?menuIndex=3&amp;refID=7059818&amp;Result=3","7059818")</f>
        <v>0</v>
      </c>
      <c r="B5733" t="s">
        <v>1917</v>
      </c>
      <c r="C5733" t="s">
        <v>8989</v>
      </c>
      <c r="D5733" t="s">
        <v>18814</v>
      </c>
      <c r="E5733" t="s">
        <v>19010</v>
      </c>
      <c r="F5733" t="s">
        <v>32665</v>
      </c>
      <c r="G5733" t="s">
        <v>32674</v>
      </c>
      <c r="H5733" t="s">
        <v>12635</v>
      </c>
      <c r="I5733" t="s">
        <v>8797</v>
      </c>
      <c r="J5733" t="s">
        <v>36416</v>
      </c>
      <c r="K5733" t="s">
        <v>42295</v>
      </c>
      <c r="M5733" t="s">
        <v>44638</v>
      </c>
      <c r="N5733" t="s">
        <v>46569</v>
      </c>
      <c r="O5733" t="s">
        <v>46570</v>
      </c>
      <c r="P5733">
        <v>0</v>
      </c>
      <c r="Q5733">
        <v>2</v>
      </c>
      <c r="R5733" t="s">
        <v>46573</v>
      </c>
      <c r="S5733" t="s">
        <v>46705</v>
      </c>
      <c r="T5733" t="s">
        <v>48254</v>
      </c>
      <c r="U5733" t="s">
        <v>53554</v>
      </c>
      <c r="W5733" t="s">
        <v>44638</v>
      </c>
      <c r="X5733" t="s">
        <v>46574</v>
      </c>
    </row>
    <row r="5734" spans="1:24">
      <c r="A5734">
        <f>HYPERLINK("https://www.philgeps.gov.ph/GEPSNONPILOT/Tender/SplashBidNoticeAbstractUI.aspx?menuIndex=3&amp;refID=7059850&amp;Result=3","7059850")</f>
        <v>0</v>
      </c>
      <c r="B5734" t="s">
        <v>1918</v>
      </c>
      <c r="C5734" t="s">
        <v>8990</v>
      </c>
      <c r="D5734" t="s">
        <v>18823</v>
      </c>
      <c r="E5734" t="s">
        <v>24009</v>
      </c>
      <c r="F5734" t="s">
        <v>32664</v>
      </c>
      <c r="G5734" t="s">
        <v>32672</v>
      </c>
      <c r="H5734" t="s">
        <v>12635</v>
      </c>
      <c r="I5734" t="s">
        <v>4439</v>
      </c>
      <c r="J5734" t="s">
        <v>36417</v>
      </c>
      <c r="K5734" t="s">
        <v>42281</v>
      </c>
      <c r="M5734" t="s">
        <v>44639</v>
      </c>
      <c r="N5734" t="s">
        <v>46569</v>
      </c>
      <c r="O5734" t="s">
        <v>46570</v>
      </c>
      <c r="P5734">
        <v>0</v>
      </c>
      <c r="Q5734">
        <v>2</v>
      </c>
      <c r="R5734" t="s">
        <v>46573</v>
      </c>
      <c r="S5734" t="s">
        <v>46705</v>
      </c>
      <c r="T5734" t="s">
        <v>48410</v>
      </c>
      <c r="U5734" t="s">
        <v>53555</v>
      </c>
      <c r="V5734" t="s">
        <v>53555</v>
      </c>
      <c r="W5734" t="s">
        <v>44639</v>
      </c>
      <c r="X5734" t="s">
        <v>46574</v>
      </c>
    </row>
    <row r="5735" spans="1:24">
      <c r="A5735">
        <f>HYPERLINK("https://www.philgeps.gov.ph/GEPSNONPILOT/Tender/SplashBidNoticeAbstractUI.aspx?menuIndex=3&amp;refID=7059817&amp;Result=3","7059817")</f>
        <v>0</v>
      </c>
      <c r="B5735" t="s">
        <v>717</v>
      </c>
      <c r="C5735" t="s">
        <v>8991</v>
      </c>
      <c r="D5735" t="s">
        <v>18826</v>
      </c>
      <c r="E5735" t="s">
        <v>21047</v>
      </c>
      <c r="F5735" t="s">
        <v>32664</v>
      </c>
      <c r="G5735" t="s">
        <v>32672</v>
      </c>
      <c r="H5735" t="s">
        <v>32682</v>
      </c>
      <c r="I5735" t="s">
        <v>9597</v>
      </c>
      <c r="J5735" t="s">
        <v>32842</v>
      </c>
      <c r="K5735" t="s">
        <v>42281</v>
      </c>
      <c r="M5735" t="s">
        <v>43304</v>
      </c>
      <c r="N5735" t="s">
        <v>46569</v>
      </c>
      <c r="O5735" t="s">
        <v>46570</v>
      </c>
      <c r="P5735">
        <v>0</v>
      </c>
      <c r="Q5735">
        <v>0</v>
      </c>
      <c r="R5735" t="s">
        <v>46573</v>
      </c>
      <c r="S5735" t="s">
        <v>46705</v>
      </c>
      <c r="T5735" t="s">
        <v>48363</v>
      </c>
      <c r="U5735" t="s">
        <v>53556</v>
      </c>
      <c r="W5735" t="s">
        <v>43304</v>
      </c>
      <c r="X5735" t="s">
        <v>46574</v>
      </c>
    </row>
    <row r="5736" spans="1:24">
      <c r="A5736">
        <f>HYPERLINK("https://www.philgeps.gov.ph/GEPSNONPILOT/Tender/SplashBidNoticeAbstractUI.aspx?menuIndex=3&amp;refID=7059849&amp;Result=3","7059849")</f>
        <v>0</v>
      </c>
      <c r="B5736" t="s">
        <v>1919</v>
      </c>
      <c r="C5736" t="s">
        <v>8555</v>
      </c>
      <c r="D5736" t="s">
        <v>18842</v>
      </c>
      <c r="E5736" t="s">
        <v>23611</v>
      </c>
      <c r="F5736" t="s">
        <v>32664</v>
      </c>
      <c r="G5736" t="s">
        <v>32675</v>
      </c>
      <c r="H5736" t="s">
        <v>12635</v>
      </c>
      <c r="I5736" t="s">
        <v>7324</v>
      </c>
      <c r="J5736" t="s">
        <v>33126</v>
      </c>
      <c r="K5736" t="s">
        <v>42295</v>
      </c>
      <c r="M5736" t="s">
        <v>44640</v>
      </c>
      <c r="N5736" t="s">
        <v>46569</v>
      </c>
      <c r="O5736" t="s">
        <v>46570</v>
      </c>
      <c r="P5736">
        <v>0</v>
      </c>
      <c r="Q5736">
        <v>0</v>
      </c>
      <c r="R5736" t="s">
        <v>46573</v>
      </c>
      <c r="S5736" t="s">
        <v>46705</v>
      </c>
      <c r="T5736" t="s">
        <v>48307</v>
      </c>
      <c r="U5736" t="s">
        <v>53557</v>
      </c>
      <c r="W5736" t="s">
        <v>44640</v>
      </c>
      <c r="X5736" t="s">
        <v>46574</v>
      </c>
    </row>
    <row r="5737" spans="1:24">
      <c r="A5737">
        <f>HYPERLINK("https://www.philgeps.gov.ph/GEPSNONPILOT/Tender/SplashBidNoticeAbstractUI.aspx?menuIndex=3&amp;refID=7059848&amp;Result=3","7059848")</f>
        <v>0</v>
      </c>
      <c r="B5737" t="s">
        <v>1920</v>
      </c>
      <c r="C5737" t="s">
        <v>8992</v>
      </c>
      <c r="D5737" t="s">
        <v>18789</v>
      </c>
      <c r="E5737" t="s">
        <v>24010</v>
      </c>
      <c r="F5737" t="s">
        <v>32664</v>
      </c>
      <c r="G5737" t="s">
        <v>32671</v>
      </c>
      <c r="H5737" t="s">
        <v>12635</v>
      </c>
      <c r="I5737" t="s">
        <v>10374</v>
      </c>
      <c r="J5737" t="s">
        <v>32917</v>
      </c>
      <c r="K5737" t="s">
        <v>42309</v>
      </c>
      <c r="M5737" t="s">
        <v>44641</v>
      </c>
      <c r="N5737" t="s">
        <v>46569</v>
      </c>
      <c r="O5737" t="s">
        <v>46570</v>
      </c>
      <c r="P5737">
        <v>0</v>
      </c>
      <c r="Q5737">
        <v>1</v>
      </c>
      <c r="R5737" t="s">
        <v>46573</v>
      </c>
      <c r="S5737" t="s">
        <v>46705</v>
      </c>
      <c r="T5737" t="s">
        <v>48287</v>
      </c>
      <c r="U5737" t="s">
        <v>53558</v>
      </c>
      <c r="W5737" t="s">
        <v>44641</v>
      </c>
      <c r="X5737" t="s">
        <v>46574</v>
      </c>
    </row>
    <row r="5738" spans="1:24">
      <c r="A5738">
        <f>HYPERLINK("https://www.philgeps.gov.ph/GEPSNONPILOT/Tender/SplashBidNoticeAbstractUI.aspx?menuIndex=3&amp;refID=7059892&amp;Result=3","7059892")</f>
        <v>0</v>
      </c>
      <c r="B5738" t="s">
        <v>1825</v>
      </c>
      <c r="C5738" t="s">
        <v>8993</v>
      </c>
      <c r="D5738" t="s">
        <v>18784</v>
      </c>
      <c r="E5738" t="s">
        <v>24011</v>
      </c>
      <c r="F5738" t="s">
        <v>32664</v>
      </c>
      <c r="G5738" t="s">
        <v>32671</v>
      </c>
      <c r="H5738" t="s">
        <v>12635</v>
      </c>
      <c r="I5738" t="s">
        <v>32699</v>
      </c>
      <c r="J5738" t="s">
        <v>36418</v>
      </c>
      <c r="K5738" t="s">
        <v>42281</v>
      </c>
      <c r="M5738" t="s">
        <v>44642</v>
      </c>
      <c r="N5738" t="s">
        <v>46569</v>
      </c>
      <c r="O5738" t="s">
        <v>46570</v>
      </c>
      <c r="P5738">
        <v>0</v>
      </c>
      <c r="Q5738">
        <v>9</v>
      </c>
      <c r="R5738" t="s">
        <v>46573</v>
      </c>
      <c r="S5738" t="s">
        <v>46705</v>
      </c>
      <c r="T5738" t="s">
        <v>48287</v>
      </c>
      <c r="U5738" t="s">
        <v>53559</v>
      </c>
      <c r="W5738" t="s">
        <v>44642</v>
      </c>
      <c r="X5738" t="s">
        <v>46574</v>
      </c>
    </row>
    <row r="5739" spans="1:24">
      <c r="A5739">
        <f>HYPERLINK("https://www.philgeps.gov.ph/GEPSNONPILOT/Tender/SplashBidNoticeAbstractUI.aspx?menuIndex=3&amp;refID=7059889&amp;Result=3","7059889")</f>
        <v>0</v>
      </c>
      <c r="B5739" t="s">
        <v>1921</v>
      </c>
      <c r="C5739" t="s">
        <v>8994</v>
      </c>
      <c r="D5739" t="s">
        <v>18857</v>
      </c>
      <c r="E5739" t="s">
        <v>24012</v>
      </c>
      <c r="F5739" t="s">
        <v>32664</v>
      </c>
      <c r="G5739" t="s">
        <v>32672</v>
      </c>
      <c r="H5739" t="s">
        <v>12635</v>
      </c>
      <c r="I5739" t="s">
        <v>5589</v>
      </c>
      <c r="J5739" t="s">
        <v>32853</v>
      </c>
      <c r="K5739" t="s">
        <v>42281</v>
      </c>
      <c r="M5739" t="s">
        <v>44643</v>
      </c>
      <c r="N5739" t="s">
        <v>46569</v>
      </c>
      <c r="O5739" t="s">
        <v>46570</v>
      </c>
      <c r="P5739">
        <v>0</v>
      </c>
      <c r="Q5739">
        <v>3</v>
      </c>
      <c r="R5739" t="s">
        <v>46573</v>
      </c>
      <c r="S5739" t="s">
        <v>46705</v>
      </c>
      <c r="T5739" t="s">
        <v>48279</v>
      </c>
      <c r="U5739" t="s">
        <v>53560</v>
      </c>
      <c r="W5739" t="s">
        <v>44643</v>
      </c>
      <c r="X5739" t="s">
        <v>46574</v>
      </c>
    </row>
    <row r="5740" spans="1:24">
      <c r="A5740">
        <f>HYPERLINK("https://www.philgeps.gov.ph/GEPSNONPILOT/Tender/SplashBidNoticeAbstractUI.aspx?menuIndex=3&amp;refID=7059887&amp;Result=3","7059887")</f>
        <v>0</v>
      </c>
      <c r="B5740" t="s">
        <v>1922</v>
      </c>
      <c r="C5740" t="s">
        <v>8995</v>
      </c>
      <c r="D5740" t="s">
        <v>18827</v>
      </c>
      <c r="E5740" t="s">
        <v>24013</v>
      </c>
      <c r="F5740" t="s">
        <v>32664</v>
      </c>
      <c r="G5740" t="s">
        <v>32672</v>
      </c>
      <c r="H5740" t="s">
        <v>32683</v>
      </c>
      <c r="I5740" t="s">
        <v>10627</v>
      </c>
      <c r="J5740" t="s">
        <v>33886</v>
      </c>
      <c r="K5740" t="s">
        <v>42285</v>
      </c>
      <c r="M5740" t="s">
        <v>44644</v>
      </c>
      <c r="N5740" t="s">
        <v>46569</v>
      </c>
      <c r="O5740" t="s">
        <v>46570</v>
      </c>
      <c r="P5740">
        <v>0</v>
      </c>
      <c r="Q5740">
        <v>0</v>
      </c>
      <c r="R5740" t="s">
        <v>46573</v>
      </c>
      <c r="S5740" t="s">
        <v>46705</v>
      </c>
      <c r="T5740" t="s">
        <v>48362</v>
      </c>
      <c r="U5740" t="s">
        <v>53561</v>
      </c>
      <c r="W5740" t="s">
        <v>44644</v>
      </c>
      <c r="X5740" t="s">
        <v>46574</v>
      </c>
    </row>
    <row r="5741" spans="1:24">
      <c r="A5741">
        <f>HYPERLINK("https://www.philgeps.gov.ph/GEPSNONPILOT/Tender/SplashBidNoticeAbstractUI.aspx?menuIndex=3&amp;refID=7059846&amp;Result=3","7059846")</f>
        <v>0</v>
      </c>
      <c r="B5741" t="s">
        <v>1825</v>
      </c>
      <c r="C5741" t="s">
        <v>8996</v>
      </c>
      <c r="D5741" t="s">
        <v>18784</v>
      </c>
      <c r="E5741" t="s">
        <v>24014</v>
      </c>
      <c r="F5741" t="s">
        <v>32664</v>
      </c>
      <c r="G5741" t="s">
        <v>32671</v>
      </c>
      <c r="H5741" t="s">
        <v>12635</v>
      </c>
      <c r="I5741" t="s">
        <v>10361</v>
      </c>
      <c r="J5741" t="s">
        <v>36419</v>
      </c>
      <c r="K5741" t="s">
        <v>42334</v>
      </c>
      <c r="M5741" t="s">
        <v>44562</v>
      </c>
      <c r="N5741" t="s">
        <v>46569</v>
      </c>
      <c r="O5741" t="s">
        <v>46570</v>
      </c>
      <c r="P5741">
        <v>0</v>
      </c>
      <c r="Q5741">
        <v>3</v>
      </c>
      <c r="R5741" t="s">
        <v>46573</v>
      </c>
      <c r="S5741" t="s">
        <v>46705</v>
      </c>
      <c r="T5741" t="s">
        <v>48287</v>
      </c>
      <c r="U5741" t="s">
        <v>53264</v>
      </c>
      <c r="W5741" t="s">
        <v>44562</v>
      </c>
      <c r="X5741" t="s">
        <v>46574</v>
      </c>
    </row>
    <row r="5742" spans="1:24">
      <c r="A5742">
        <f>HYPERLINK("https://www.philgeps.gov.ph/GEPSNONPILOT/Tender/SplashBidNoticeAbstractUI.aspx?menuIndex=3&amp;refID=7059885&amp;Result=3","7059885")</f>
        <v>0</v>
      </c>
      <c r="B5742" t="s">
        <v>1150</v>
      </c>
      <c r="C5742" t="s">
        <v>5443</v>
      </c>
      <c r="D5742" t="s">
        <v>18845</v>
      </c>
      <c r="E5742" t="s">
        <v>24015</v>
      </c>
      <c r="F5742" t="s">
        <v>32664</v>
      </c>
      <c r="G5742" t="s">
        <v>32671</v>
      </c>
      <c r="H5742" t="s">
        <v>12635</v>
      </c>
      <c r="I5742" t="s">
        <v>8797</v>
      </c>
      <c r="J5742" t="s">
        <v>33051</v>
      </c>
      <c r="K5742" t="s">
        <v>42283</v>
      </c>
      <c r="M5742" t="s">
        <v>43781</v>
      </c>
      <c r="N5742" t="s">
        <v>46569</v>
      </c>
      <c r="O5742" t="s">
        <v>46570</v>
      </c>
      <c r="P5742">
        <v>0</v>
      </c>
      <c r="Q5742">
        <v>2</v>
      </c>
      <c r="R5742" t="s">
        <v>46573</v>
      </c>
      <c r="S5742" t="s">
        <v>46705</v>
      </c>
      <c r="T5742" t="s">
        <v>48246</v>
      </c>
      <c r="U5742" t="s">
        <v>53562</v>
      </c>
      <c r="W5742" t="s">
        <v>43781</v>
      </c>
      <c r="X5742" t="s">
        <v>46574</v>
      </c>
    </row>
    <row r="5743" spans="1:24">
      <c r="A5743">
        <f>HYPERLINK("https://www.philgeps.gov.ph/GEPSNONPILOT/Tender/SplashBidNoticeAbstractUI.aspx?menuIndex=3&amp;refID=7059844&amp;Result=3","7059844")</f>
        <v>0</v>
      </c>
      <c r="B5743" t="s">
        <v>1910</v>
      </c>
      <c r="C5743" t="s">
        <v>8997</v>
      </c>
      <c r="D5743" t="s">
        <v>18798</v>
      </c>
      <c r="E5743" t="s">
        <v>19280</v>
      </c>
      <c r="F5743" t="s">
        <v>32664</v>
      </c>
      <c r="G5743" t="s">
        <v>32671</v>
      </c>
      <c r="H5743" t="s">
        <v>12635</v>
      </c>
      <c r="I5743" t="s">
        <v>32699</v>
      </c>
      <c r="J5743" t="s">
        <v>33215</v>
      </c>
      <c r="K5743" t="s">
        <v>42295</v>
      </c>
      <c r="M5743" t="s">
        <v>44631</v>
      </c>
      <c r="N5743" t="s">
        <v>46569</v>
      </c>
      <c r="O5743" t="s">
        <v>46570</v>
      </c>
      <c r="P5743">
        <v>0</v>
      </c>
      <c r="Q5743">
        <v>0</v>
      </c>
      <c r="R5743" t="s">
        <v>46573</v>
      </c>
      <c r="S5743" t="s">
        <v>46705</v>
      </c>
      <c r="T5743" t="s">
        <v>48427</v>
      </c>
      <c r="U5743" t="s">
        <v>53563</v>
      </c>
      <c r="W5743" t="s">
        <v>44631</v>
      </c>
      <c r="X5743" t="s">
        <v>46574</v>
      </c>
    </row>
    <row r="5744" spans="1:24">
      <c r="A5744">
        <f>HYPERLINK("https://www.philgeps.gov.ph/GEPSNONPILOT/Tender/SplashBidNoticeAbstractUI.aspx?menuIndex=3&amp;refID=7059883&amp;Result=3","7059883")</f>
        <v>0</v>
      </c>
      <c r="B5744" t="s">
        <v>1923</v>
      </c>
      <c r="C5744" t="s">
        <v>5335</v>
      </c>
      <c r="D5744" t="s">
        <v>18781</v>
      </c>
      <c r="E5744" t="s">
        <v>24016</v>
      </c>
      <c r="F5744" t="s">
        <v>32664</v>
      </c>
      <c r="G5744" t="s">
        <v>32674</v>
      </c>
      <c r="H5744" t="s">
        <v>32682</v>
      </c>
      <c r="I5744" t="s">
        <v>10370</v>
      </c>
      <c r="J5744" t="s">
        <v>34279</v>
      </c>
      <c r="K5744" t="s">
        <v>42289</v>
      </c>
      <c r="M5744" t="s">
        <v>44645</v>
      </c>
      <c r="N5744" t="s">
        <v>46569</v>
      </c>
      <c r="O5744" t="s">
        <v>46570</v>
      </c>
      <c r="P5744">
        <v>0</v>
      </c>
      <c r="Q5744">
        <v>0</v>
      </c>
      <c r="R5744" t="s">
        <v>46573</v>
      </c>
      <c r="S5744" t="s">
        <v>46705</v>
      </c>
      <c r="T5744" t="s">
        <v>48228</v>
      </c>
      <c r="U5744" t="s">
        <v>50340</v>
      </c>
      <c r="W5744" t="s">
        <v>44645</v>
      </c>
      <c r="X5744" t="s">
        <v>46574</v>
      </c>
    </row>
    <row r="5745" spans="1:24">
      <c r="A5745">
        <f>HYPERLINK("https://www.philgeps.gov.ph/GEPSNONPILOT/Tender/SplashBidNoticeAbstractUI.aspx?menuIndex=3&amp;refID=7059880&amp;Result=3","7059880")</f>
        <v>0</v>
      </c>
      <c r="B5745" t="s">
        <v>1924</v>
      </c>
      <c r="C5745" t="s">
        <v>8998</v>
      </c>
      <c r="D5745" t="s">
        <v>18830</v>
      </c>
      <c r="E5745" t="s">
        <v>24017</v>
      </c>
      <c r="F5745" t="s">
        <v>32664</v>
      </c>
      <c r="G5745" t="s">
        <v>32672</v>
      </c>
      <c r="H5745" t="s">
        <v>32683</v>
      </c>
      <c r="I5745" t="s">
        <v>10627</v>
      </c>
      <c r="J5745" t="s">
        <v>36420</v>
      </c>
      <c r="K5745" t="s">
        <v>42290</v>
      </c>
      <c r="M5745" t="s">
        <v>44646</v>
      </c>
      <c r="N5745" t="s">
        <v>46569</v>
      </c>
      <c r="O5745" t="s">
        <v>46570</v>
      </c>
      <c r="P5745">
        <v>0</v>
      </c>
      <c r="Q5745">
        <v>0</v>
      </c>
      <c r="R5745" t="s">
        <v>46573</v>
      </c>
      <c r="S5745" t="s">
        <v>46705</v>
      </c>
      <c r="T5745" t="s">
        <v>48308</v>
      </c>
      <c r="U5745" t="s">
        <v>53564</v>
      </c>
      <c r="W5745" t="s">
        <v>44646</v>
      </c>
      <c r="X5745" t="s">
        <v>46574</v>
      </c>
    </row>
    <row r="5746" spans="1:24">
      <c r="A5746">
        <f>HYPERLINK("https://www.philgeps.gov.ph/GEPSNONPILOT/Tender/SplashBidNoticeAbstractUI.aspx?menuIndex=3&amp;refID=7059877&amp;Result=3","7059877")</f>
        <v>0</v>
      </c>
      <c r="B5746" t="s">
        <v>1404</v>
      </c>
      <c r="C5746" t="s">
        <v>8999</v>
      </c>
      <c r="D5746" t="s">
        <v>18834</v>
      </c>
      <c r="E5746" t="s">
        <v>24018</v>
      </c>
      <c r="F5746" t="s">
        <v>32664</v>
      </c>
      <c r="G5746" t="s">
        <v>32671</v>
      </c>
      <c r="H5746" t="s">
        <v>12635</v>
      </c>
      <c r="I5746" t="s">
        <v>6628</v>
      </c>
      <c r="J5746" t="s">
        <v>33015</v>
      </c>
      <c r="K5746" t="s">
        <v>42283</v>
      </c>
      <c r="M5746" t="s">
        <v>44061</v>
      </c>
      <c r="N5746" t="s">
        <v>46569</v>
      </c>
      <c r="O5746" t="s">
        <v>46570</v>
      </c>
      <c r="P5746">
        <v>0</v>
      </c>
      <c r="Q5746">
        <v>2</v>
      </c>
      <c r="R5746" t="s">
        <v>46573</v>
      </c>
      <c r="S5746" t="s">
        <v>46705</v>
      </c>
      <c r="T5746" t="s">
        <v>48316</v>
      </c>
      <c r="U5746" t="s">
        <v>53565</v>
      </c>
      <c r="W5746" t="s">
        <v>44061</v>
      </c>
      <c r="X5746" t="s">
        <v>46574</v>
      </c>
    </row>
    <row r="5747" spans="1:24">
      <c r="A5747">
        <f>HYPERLINK("https://www.philgeps.gov.ph/GEPSNONPILOT/Tender/SplashBidNoticeAbstractUI.aspx?menuIndex=3&amp;refID=7059875&amp;Result=3","7059875")</f>
        <v>0</v>
      </c>
      <c r="B5747" t="s">
        <v>1925</v>
      </c>
      <c r="C5747" t="s">
        <v>9000</v>
      </c>
      <c r="D5747" t="s">
        <v>18805</v>
      </c>
      <c r="E5747" t="s">
        <v>24019</v>
      </c>
      <c r="F5747" t="s">
        <v>32666</v>
      </c>
      <c r="G5747" t="s">
        <v>32671</v>
      </c>
      <c r="H5747" t="s">
        <v>12635</v>
      </c>
      <c r="I5747" t="s">
        <v>8797</v>
      </c>
      <c r="J5747" t="s">
        <v>35542</v>
      </c>
      <c r="K5747" t="s">
        <v>42295</v>
      </c>
      <c r="M5747" t="s">
        <v>44647</v>
      </c>
      <c r="N5747" t="s">
        <v>46569</v>
      </c>
      <c r="O5747" t="s">
        <v>46570</v>
      </c>
      <c r="P5747">
        <v>0</v>
      </c>
      <c r="Q5747">
        <v>0</v>
      </c>
      <c r="R5747" t="s">
        <v>46573</v>
      </c>
      <c r="S5747" t="s">
        <v>46705</v>
      </c>
      <c r="T5747" t="s">
        <v>48305</v>
      </c>
      <c r="U5747" t="s">
        <v>53566</v>
      </c>
      <c r="W5747" t="s">
        <v>44647</v>
      </c>
      <c r="X5747" t="s">
        <v>46574</v>
      </c>
    </row>
    <row r="5748" spans="1:24">
      <c r="A5748">
        <f>HYPERLINK("https://www.philgeps.gov.ph/GEPSNONPILOT/Tender/SplashBidNoticeAbstractUI.aspx?menuIndex=3&amp;refID=7059871&amp;Result=3","7059871")</f>
        <v>0</v>
      </c>
      <c r="B5748" t="s">
        <v>1875</v>
      </c>
      <c r="C5748" t="s">
        <v>9001</v>
      </c>
      <c r="D5748" t="s">
        <v>18816</v>
      </c>
      <c r="E5748" t="s">
        <v>24020</v>
      </c>
      <c r="F5748" t="s">
        <v>32664</v>
      </c>
      <c r="G5748" t="s">
        <v>32672</v>
      </c>
      <c r="H5748" t="s">
        <v>12635</v>
      </c>
      <c r="I5748" t="s">
        <v>8797</v>
      </c>
      <c r="J5748" t="s">
        <v>33566</v>
      </c>
      <c r="K5748" t="s">
        <v>42281</v>
      </c>
      <c r="M5748" t="s">
        <v>44592</v>
      </c>
      <c r="N5748" t="s">
        <v>46569</v>
      </c>
      <c r="O5748" t="s">
        <v>46570</v>
      </c>
      <c r="P5748">
        <v>0</v>
      </c>
      <c r="Q5748">
        <v>6</v>
      </c>
      <c r="R5748" t="s">
        <v>46573</v>
      </c>
      <c r="S5748" t="s">
        <v>46705</v>
      </c>
      <c r="T5748" t="s">
        <v>48271</v>
      </c>
      <c r="U5748" t="s">
        <v>53567</v>
      </c>
      <c r="W5748" t="s">
        <v>44592</v>
      </c>
      <c r="X5748" t="s">
        <v>46574</v>
      </c>
    </row>
    <row r="5749" spans="1:24">
      <c r="A5749">
        <f>HYPERLINK("https://www.philgeps.gov.ph/GEPSNONPILOT/Tender/SplashBidNoticeAbstractUI.aspx?menuIndex=3&amp;refID=7059879&amp;Result=3","7059879")</f>
        <v>0</v>
      </c>
      <c r="B5749" t="s">
        <v>1922</v>
      </c>
      <c r="C5749" t="s">
        <v>9002</v>
      </c>
      <c r="D5749" t="s">
        <v>18827</v>
      </c>
      <c r="E5749" t="s">
        <v>24021</v>
      </c>
      <c r="F5749" t="s">
        <v>32664</v>
      </c>
      <c r="G5749" t="s">
        <v>32672</v>
      </c>
      <c r="H5749" t="s">
        <v>32683</v>
      </c>
      <c r="I5749" t="s">
        <v>10627</v>
      </c>
      <c r="J5749" t="s">
        <v>33886</v>
      </c>
      <c r="K5749" t="s">
        <v>42285</v>
      </c>
      <c r="M5749" t="s">
        <v>44644</v>
      </c>
      <c r="N5749" t="s">
        <v>46569</v>
      </c>
      <c r="O5749" t="s">
        <v>46570</v>
      </c>
      <c r="P5749">
        <v>0</v>
      </c>
      <c r="Q5749">
        <v>0</v>
      </c>
      <c r="R5749" t="s">
        <v>46573</v>
      </c>
      <c r="S5749" t="s">
        <v>46705</v>
      </c>
      <c r="T5749" t="s">
        <v>48362</v>
      </c>
      <c r="U5749" t="s">
        <v>53568</v>
      </c>
      <c r="W5749" t="s">
        <v>44644</v>
      </c>
      <c r="X5749" t="s">
        <v>46574</v>
      </c>
    </row>
    <row r="5750" spans="1:24">
      <c r="A5750">
        <f>HYPERLINK("https://www.philgeps.gov.ph/GEPSNONPILOT/Tender/SplashBidNoticeAbstractUI.aspx?menuIndex=3&amp;refID=7059868&amp;Result=3","7059868")</f>
        <v>0</v>
      </c>
      <c r="B5750" t="s">
        <v>1926</v>
      </c>
      <c r="C5750" t="s">
        <v>9003</v>
      </c>
      <c r="D5750" t="s">
        <v>18787</v>
      </c>
      <c r="E5750" t="s">
        <v>24022</v>
      </c>
      <c r="F5750" t="s">
        <v>32664</v>
      </c>
      <c r="G5750" t="s">
        <v>32672</v>
      </c>
      <c r="H5750" t="s">
        <v>32683</v>
      </c>
      <c r="I5750" t="s">
        <v>10627</v>
      </c>
      <c r="J5750" t="s">
        <v>36421</v>
      </c>
      <c r="K5750" t="s">
        <v>42290</v>
      </c>
      <c r="M5750" t="s">
        <v>44648</v>
      </c>
      <c r="N5750" t="s">
        <v>46569</v>
      </c>
      <c r="O5750" t="s">
        <v>46570</v>
      </c>
      <c r="P5750">
        <v>0</v>
      </c>
      <c r="Q5750">
        <v>0</v>
      </c>
      <c r="R5750" t="s">
        <v>46573</v>
      </c>
      <c r="S5750" t="s">
        <v>46705</v>
      </c>
      <c r="T5750" t="s">
        <v>48308</v>
      </c>
      <c r="U5750" t="s">
        <v>53569</v>
      </c>
      <c r="W5750" t="s">
        <v>44648</v>
      </c>
      <c r="X5750" t="s">
        <v>46574</v>
      </c>
    </row>
    <row r="5751" spans="1:24">
      <c r="A5751">
        <f>HYPERLINK("https://www.philgeps.gov.ph/GEPSNONPILOT/Tender/SplashBidNoticeAbstractUI.aspx?menuIndex=3&amp;refID=7059867&amp;Result=3","7059867")</f>
        <v>0</v>
      </c>
      <c r="B5751" t="s">
        <v>615</v>
      </c>
      <c r="C5751" t="s">
        <v>9004</v>
      </c>
      <c r="D5751" t="s">
        <v>18837</v>
      </c>
      <c r="E5751" t="s">
        <v>24023</v>
      </c>
      <c r="F5751" t="s">
        <v>32664</v>
      </c>
      <c r="G5751" t="s">
        <v>32671</v>
      </c>
      <c r="H5751" t="s">
        <v>12635</v>
      </c>
      <c r="I5751" t="s">
        <v>10361</v>
      </c>
      <c r="J5751" t="s">
        <v>35023</v>
      </c>
      <c r="K5751" t="s">
        <v>42283</v>
      </c>
      <c r="M5751" t="s">
        <v>43195</v>
      </c>
      <c r="N5751" t="s">
        <v>46569</v>
      </c>
      <c r="O5751" t="s">
        <v>46570</v>
      </c>
      <c r="P5751">
        <v>0</v>
      </c>
      <c r="Q5751">
        <v>1</v>
      </c>
      <c r="R5751" t="s">
        <v>46573</v>
      </c>
      <c r="S5751" t="s">
        <v>46705</v>
      </c>
      <c r="T5751" t="s">
        <v>48287</v>
      </c>
      <c r="U5751" t="s">
        <v>49258</v>
      </c>
      <c r="V5751" t="s">
        <v>61775</v>
      </c>
      <c r="W5751" t="s">
        <v>43195</v>
      </c>
      <c r="X5751" t="s">
        <v>46574</v>
      </c>
    </row>
    <row r="5752" spans="1:24">
      <c r="A5752">
        <f>HYPERLINK("https://www.philgeps.gov.ph/GEPSNONPILOT/Tender/SplashBidNoticeAbstractUI.aspx?menuIndex=3&amp;refID=7059865&amp;Result=3","7059865")</f>
        <v>0</v>
      </c>
      <c r="B5752" t="s">
        <v>1811</v>
      </c>
      <c r="C5752" t="s">
        <v>9005</v>
      </c>
      <c r="D5752" t="s">
        <v>18805</v>
      </c>
      <c r="E5752" t="s">
        <v>24024</v>
      </c>
      <c r="F5752" t="s">
        <v>32664</v>
      </c>
      <c r="G5752" t="s">
        <v>32672</v>
      </c>
      <c r="H5752" t="s">
        <v>12635</v>
      </c>
      <c r="I5752" t="s">
        <v>9486</v>
      </c>
      <c r="J5752" t="s">
        <v>36422</v>
      </c>
      <c r="K5752" t="s">
        <v>42283</v>
      </c>
      <c r="M5752" t="s">
        <v>44517</v>
      </c>
      <c r="N5752" t="s">
        <v>46569</v>
      </c>
      <c r="O5752" t="s">
        <v>46570</v>
      </c>
      <c r="P5752">
        <v>0</v>
      </c>
      <c r="Q5752">
        <v>2</v>
      </c>
      <c r="R5752" t="s">
        <v>46573</v>
      </c>
      <c r="S5752" t="s">
        <v>46705</v>
      </c>
      <c r="T5752" t="s">
        <v>48411</v>
      </c>
      <c r="U5752" t="s">
        <v>53570</v>
      </c>
      <c r="V5752" t="s">
        <v>62185</v>
      </c>
      <c r="W5752" t="s">
        <v>44517</v>
      </c>
      <c r="X5752" t="s">
        <v>46574</v>
      </c>
    </row>
    <row r="5753" spans="1:24">
      <c r="A5753">
        <f>HYPERLINK("https://www.philgeps.gov.ph/GEPSNONPILOT/Tender/SplashBidNoticeAbstractUI.aspx?menuIndex=3&amp;refID=7059864&amp;Result=3","7059864")</f>
        <v>0</v>
      </c>
      <c r="B5753" t="s">
        <v>1404</v>
      </c>
      <c r="C5753" t="s">
        <v>9006</v>
      </c>
      <c r="D5753" t="s">
        <v>18834</v>
      </c>
      <c r="E5753" t="s">
        <v>24025</v>
      </c>
      <c r="F5753" t="s">
        <v>32664</v>
      </c>
      <c r="G5753" t="s">
        <v>32671</v>
      </c>
      <c r="H5753" t="s">
        <v>12635</v>
      </c>
      <c r="I5753" t="s">
        <v>6628</v>
      </c>
      <c r="J5753" t="s">
        <v>36423</v>
      </c>
      <c r="K5753" t="s">
        <v>42283</v>
      </c>
      <c r="M5753" t="s">
        <v>44061</v>
      </c>
      <c r="N5753" t="s">
        <v>46569</v>
      </c>
      <c r="O5753" t="s">
        <v>46570</v>
      </c>
      <c r="Q5753">
        <v>0</v>
      </c>
      <c r="R5753" t="s">
        <v>46573</v>
      </c>
      <c r="S5753" t="s">
        <v>46710</v>
      </c>
      <c r="T5753" t="s">
        <v>48316</v>
      </c>
      <c r="U5753" t="s">
        <v>53571</v>
      </c>
      <c r="W5753" t="s">
        <v>44061</v>
      </c>
      <c r="X5753" t="s">
        <v>46574</v>
      </c>
    </row>
    <row r="5754" spans="1:24">
      <c r="A5754">
        <f>HYPERLINK("https://www.philgeps.gov.ph/GEPSNONPILOT/Tender/SplashBidNoticeAbstractUI.aspx?menuIndex=3&amp;refID=7059870&amp;Result=3","7059870")</f>
        <v>0</v>
      </c>
      <c r="B5754" t="s">
        <v>1811</v>
      </c>
      <c r="C5754" t="s">
        <v>9007</v>
      </c>
      <c r="D5754" t="s">
        <v>18805</v>
      </c>
      <c r="E5754" t="s">
        <v>24026</v>
      </c>
      <c r="F5754" t="s">
        <v>32664</v>
      </c>
      <c r="G5754" t="s">
        <v>32672</v>
      </c>
      <c r="H5754" t="s">
        <v>12635</v>
      </c>
      <c r="I5754" t="s">
        <v>6168</v>
      </c>
      <c r="J5754" t="s">
        <v>33126</v>
      </c>
      <c r="K5754" t="s">
        <v>42283</v>
      </c>
      <c r="M5754" t="s">
        <v>44517</v>
      </c>
      <c r="N5754" t="s">
        <v>46569</v>
      </c>
      <c r="O5754" t="s">
        <v>46570</v>
      </c>
      <c r="P5754">
        <v>0</v>
      </c>
      <c r="Q5754">
        <v>0</v>
      </c>
      <c r="R5754" t="s">
        <v>46573</v>
      </c>
      <c r="S5754" t="s">
        <v>46705</v>
      </c>
      <c r="T5754" t="s">
        <v>48411</v>
      </c>
      <c r="U5754" t="s">
        <v>53572</v>
      </c>
      <c r="V5754" t="s">
        <v>62197</v>
      </c>
      <c r="W5754" t="s">
        <v>44517</v>
      </c>
      <c r="X5754" t="s">
        <v>46574</v>
      </c>
    </row>
    <row r="5755" spans="1:24">
      <c r="A5755">
        <f>HYPERLINK("https://www.philgeps.gov.ph/GEPSNONPILOT/Tender/SplashBidNoticeAbstractUI.aspx?menuIndex=3&amp;refID=7059863&amp;Result=3","7059863")</f>
        <v>0</v>
      </c>
      <c r="B5755" t="s">
        <v>1927</v>
      </c>
      <c r="C5755" t="s">
        <v>9008</v>
      </c>
      <c r="D5755" t="s">
        <v>18781</v>
      </c>
      <c r="E5755" t="s">
        <v>24027</v>
      </c>
      <c r="F5755" t="s">
        <v>32664</v>
      </c>
      <c r="G5755" t="s">
        <v>32672</v>
      </c>
      <c r="H5755" t="s">
        <v>12635</v>
      </c>
      <c r="I5755" t="s">
        <v>32723</v>
      </c>
      <c r="J5755" t="s">
        <v>36424</v>
      </c>
      <c r="K5755" t="s">
        <v>42311</v>
      </c>
      <c r="M5755" t="s">
        <v>44649</v>
      </c>
      <c r="N5755" t="s">
        <v>46569</v>
      </c>
      <c r="O5755" t="s">
        <v>46570</v>
      </c>
      <c r="P5755">
        <v>0</v>
      </c>
      <c r="Q5755">
        <v>0</v>
      </c>
      <c r="R5755" t="s">
        <v>46573</v>
      </c>
      <c r="S5755" t="s">
        <v>46705</v>
      </c>
      <c r="T5755" t="s">
        <v>48385</v>
      </c>
      <c r="U5755" t="s">
        <v>53573</v>
      </c>
      <c r="W5755" t="s">
        <v>44649</v>
      </c>
      <c r="X5755" t="s">
        <v>46574</v>
      </c>
    </row>
    <row r="5756" spans="1:24">
      <c r="A5756">
        <f>HYPERLINK("https://www.philgeps.gov.ph/GEPSNONPILOT/Tender/SplashBidNoticeAbstractUI.aspx?menuIndex=3&amp;refID=7059872&amp;Result=3","7059872")</f>
        <v>0</v>
      </c>
      <c r="B5756" t="s">
        <v>1807</v>
      </c>
      <c r="C5756" t="s">
        <v>9009</v>
      </c>
      <c r="E5756" t="s">
        <v>19356</v>
      </c>
      <c r="F5756" t="s">
        <v>32664</v>
      </c>
      <c r="G5756" t="s">
        <v>32671</v>
      </c>
      <c r="H5756" t="s">
        <v>12635</v>
      </c>
      <c r="I5756" t="s">
        <v>7324</v>
      </c>
      <c r="J5756" t="s">
        <v>36425</v>
      </c>
      <c r="K5756" t="s">
        <v>42283</v>
      </c>
      <c r="M5756" t="s">
        <v>44512</v>
      </c>
      <c r="N5756" t="s">
        <v>46569</v>
      </c>
      <c r="O5756" t="s">
        <v>46570</v>
      </c>
      <c r="P5756">
        <v>0</v>
      </c>
      <c r="Q5756">
        <v>0</v>
      </c>
      <c r="R5756" t="s">
        <v>46573</v>
      </c>
      <c r="S5756" t="s">
        <v>46705</v>
      </c>
      <c r="T5756" t="s">
        <v>48283</v>
      </c>
      <c r="U5756" t="s">
        <v>53574</v>
      </c>
      <c r="W5756" t="s">
        <v>44512</v>
      </c>
      <c r="X5756" t="s">
        <v>46574</v>
      </c>
    </row>
    <row r="5757" spans="1:24">
      <c r="A5757">
        <f>HYPERLINK("https://www.philgeps.gov.ph/GEPSNONPILOT/Tender/SplashBidNoticeAbstractUI.aspx?menuIndex=3&amp;refID=7059866&amp;Result=3","7059866")</f>
        <v>0</v>
      </c>
      <c r="B5757" t="s">
        <v>1921</v>
      </c>
      <c r="C5757" t="s">
        <v>9010</v>
      </c>
      <c r="D5757" t="s">
        <v>18857</v>
      </c>
      <c r="E5757" t="s">
        <v>24028</v>
      </c>
      <c r="F5757" t="s">
        <v>32664</v>
      </c>
      <c r="G5757" t="s">
        <v>32672</v>
      </c>
      <c r="H5757" t="s">
        <v>12635</v>
      </c>
      <c r="I5757" t="s">
        <v>5589</v>
      </c>
      <c r="J5757" t="s">
        <v>32853</v>
      </c>
      <c r="K5757" t="s">
        <v>42281</v>
      </c>
      <c r="M5757" t="s">
        <v>44643</v>
      </c>
      <c r="N5757" t="s">
        <v>46569</v>
      </c>
      <c r="O5757" t="s">
        <v>46570</v>
      </c>
      <c r="P5757">
        <v>0</v>
      </c>
      <c r="Q5757">
        <v>5</v>
      </c>
      <c r="R5757" t="s">
        <v>46573</v>
      </c>
      <c r="S5757" t="s">
        <v>46705</v>
      </c>
      <c r="T5757" t="s">
        <v>48279</v>
      </c>
      <c r="U5757" t="s">
        <v>53560</v>
      </c>
      <c r="W5757" t="s">
        <v>44643</v>
      </c>
      <c r="X5757" t="s">
        <v>46574</v>
      </c>
    </row>
    <row r="5758" spans="1:24">
      <c r="A5758">
        <f>HYPERLINK("https://www.philgeps.gov.ph/GEPSNONPILOT/Tender/SplashBidNoticeAbstractUI.aspx?menuIndex=3&amp;refID=7059843&amp;Result=3","7059843")</f>
        <v>0</v>
      </c>
      <c r="B5758" t="s">
        <v>1928</v>
      </c>
      <c r="C5758" t="s">
        <v>9011</v>
      </c>
      <c r="D5758" t="s">
        <v>18831</v>
      </c>
      <c r="E5758" t="s">
        <v>24029</v>
      </c>
      <c r="F5758" t="s">
        <v>32664</v>
      </c>
      <c r="G5758" t="s">
        <v>32671</v>
      </c>
      <c r="H5758" t="s">
        <v>12635</v>
      </c>
      <c r="I5758" t="s">
        <v>6223</v>
      </c>
      <c r="J5758" t="s">
        <v>36426</v>
      </c>
      <c r="K5758" t="s">
        <v>42289</v>
      </c>
      <c r="M5758" t="s">
        <v>44650</v>
      </c>
      <c r="N5758" t="s">
        <v>46569</v>
      </c>
      <c r="O5758" t="s">
        <v>46570</v>
      </c>
      <c r="P5758">
        <v>0</v>
      </c>
      <c r="Q5758">
        <v>1</v>
      </c>
      <c r="R5758" t="s">
        <v>46573</v>
      </c>
      <c r="S5758" t="s">
        <v>46705</v>
      </c>
      <c r="T5758" t="s">
        <v>48307</v>
      </c>
      <c r="U5758" t="s">
        <v>53575</v>
      </c>
      <c r="V5758" t="s">
        <v>62221</v>
      </c>
      <c r="W5758" t="s">
        <v>44650</v>
      </c>
      <c r="X5758" t="s">
        <v>46574</v>
      </c>
    </row>
    <row r="5759" spans="1:24">
      <c r="A5759">
        <f>HYPERLINK("https://www.philgeps.gov.ph/GEPSNONPILOT/Tender/SplashBidNoticeAbstractUI.aspx?menuIndex=3&amp;refID=7059839&amp;Result=3","7059839")</f>
        <v>0</v>
      </c>
      <c r="B5759" t="s">
        <v>1878</v>
      </c>
      <c r="C5759" t="s">
        <v>9012</v>
      </c>
      <c r="D5759" t="s">
        <v>18789</v>
      </c>
      <c r="E5759" t="s">
        <v>24030</v>
      </c>
      <c r="F5759" t="s">
        <v>32664</v>
      </c>
      <c r="G5759" t="s">
        <v>32671</v>
      </c>
      <c r="H5759" t="s">
        <v>12635</v>
      </c>
      <c r="I5759" t="s">
        <v>14442</v>
      </c>
      <c r="J5759" t="s">
        <v>35072</v>
      </c>
      <c r="K5759" t="s">
        <v>42281</v>
      </c>
      <c r="M5759" t="s">
        <v>44596</v>
      </c>
      <c r="N5759" t="s">
        <v>46569</v>
      </c>
      <c r="O5759" t="s">
        <v>46570</v>
      </c>
      <c r="P5759">
        <v>0</v>
      </c>
      <c r="Q5759">
        <v>8</v>
      </c>
      <c r="R5759" t="s">
        <v>46573</v>
      </c>
      <c r="S5759" t="s">
        <v>46705</v>
      </c>
      <c r="T5759" t="s">
        <v>48280</v>
      </c>
      <c r="U5759" t="s">
        <v>53416</v>
      </c>
      <c r="V5759" t="s">
        <v>62210</v>
      </c>
      <c r="W5759" t="s">
        <v>44596</v>
      </c>
      <c r="X5759" t="s">
        <v>46574</v>
      </c>
    </row>
    <row r="5760" spans="1:24">
      <c r="A5760">
        <f>HYPERLINK("https://www.philgeps.gov.ph/GEPSNONPILOT/Tender/SplashBidNoticeAbstractUI.aspx?menuIndex=3&amp;refID=7059851&amp;Result=3","7059851")</f>
        <v>0</v>
      </c>
      <c r="B5760" t="s">
        <v>1929</v>
      </c>
      <c r="C5760" t="s">
        <v>9013</v>
      </c>
      <c r="D5760" t="s">
        <v>18845</v>
      </c>
      <c r="E5760" t="s">
        <v>24031</v>
      </c>
      <c r="F5760" t="s">
        <v>32664</v>
      </c>
      <c r="G5760" t="s">
        <v>32671</v>
      </c>
      <c r="H5760" t="s">
        <v>12635</v>
      </c>
      <c r="I5760" t="s">
        <v>32728</v>
      </c>
      <c r="J5760" t="s">
        <v>33466</v>
      </c>
      <c r="K5760" t="s">
        <v>42284</v>
      </c>
      <c r="M5760" t="s">
        <v>44651</v>
      </c>
      <c r="N5760" t="s">
        <v>46569</v>
      </c>
      <c r="O5760" t="s">
        <v>46570</v>
      </c>
      <c r="P5760">
        <v>0</v>
      </c>
      <c r="Q5760">
        <v>1</v>
      </c>
      <c r="R5760" t="s">
        <v>46573</v>
      </c>
      <c r="S5760" t="s">
        <v>46705</v>
      </c>
      <c r="T5760" t="s">
        <v>48420</v>
      </c>
      <c r="U5760" t="s">
        <v>53576</v>
      </c>
      <c r="W5760" t="s">
        <v>44651</v>
      </c>
      <c r="X5760" t="s">
        <v>46574</v>
      </c>
    </row>
    <row r="5761" spans="1:24">
      <c r="A5761">
        <f>HYPERLINK("https://www.philgeps.gov.ph/GEPSNONPILOT/Tender/SplashBidNoticeAbstractUI.aspx?menuIndex=3&amp;refID=7059920&amp;Result=3","7059920")</f>
        <v>0</v>
      </c>
      <c r="B5761" t="s">
        <v>1930</v>
      </c>
      <c r="C5761" t="s">
        <v>9014</v>
      </c>
      <c r="D5761" t="s">
        <v>18786</v>
      </c>
      <c r="E5761" t="s">
        <v>19769</v>
      </c>
      <c r="F5761" t="s">
        <v>32664</v>
      </c>
      <c r="G5761" t="s">
        <v>32677</v>
      </c>
      <c r="H5761" t="s">
        <v>12635</v>
      </c>
      <c r="I5761" t="s">
        <v>5501</v>
      </c>
      <c r="J5761" t="s">
        <v>33466</v>
      </c>
      <c r="K5761" t="s">
        <v>42289</v>
      </c>
      <c r="M5761" t="s">
        <v>44652</v>
      </c>
      <c r="N5761" t="s">
        <v>46569</v>
      </c>
      <c r="O5761" t="s">
        <v>46570</v>
      </c>
      <c r="P5761">
        <v>0</v>
      </c>
      <c r="Q5761">
        <v>1</v>
      </c>
      <c r="R5761" t="s">
        <v>46573</v>
      </c>
      <c r="S5761" t="s">
        <v>46705</v>
      </c>
      <c r="T5761" t="s">
        <v>48283</v>
      </c>
      <c r="U5761" t="s">
        <v>53577</v>
      </c>
      <c r="W5761" t="s">
        <v>44652</v>
      </c>
      <c r="X5761" t="s">
        <v>46574</v>
      </c>
    </row>
    <row r="5762" spans="1:24">
      <c r="A5762">
        <f>HYPERLINK("https://www.philgeps.gov.ph/GEPSNONPILOT/Tender/SplashBidNoticeAbstractUI.aspx?menuIndex=3&amp;refID=7059862&amp;Result=3","7059862")</f>
        <v>0</v>
      </c>
      <c r="B5762" t="s">
        <v>1811</v>
      </c>
      <c r="C5762" t="s">
        <v>9015</v>
      </c>
      <c r="D5762" t="s">
        <v>18805</v>
      </c>
      <c r="E5762" t="s">
        <v>24032</v>
      </c>
      <c r="F5762" t="s">
        <v>32664</v>
      </c>
      <c r="G5762" t="s">
        <v>32672</v>
      </c>
      <c r="H5762" t="s">
        <v>12635</v>
      </c>
      <c r="I5762" t="s">
        <v>5589</v>
      </c>
      <c r="J5762" t="s">
        <v>33069</v>
      </c>
      <c r="K5762" t="s">
        <v>42283</v>
      </c>
      <c r="M5762" t="s">
        <v>44517</v>
      </c>
      <c r="N5762" t="s">
        <v>46569</v>
      </c>
      <c r="O5762" t="s">
        <v>46570</v>
      </c>
      <c r="P5762">
        <v>0</v>
      </c>
      <c r="Q5762">
        <v>1</v>
      </c>
      <c r="R5762" t="s">
        <v>46573</v>
      </c>
      <c r="S5762" t="s">
        <v>46705</v>
      </c>
      <c r="T5762" t="s">
        <v>48411</v>
      </c>
      <c r="U5762" t="s">
        <v>53578</v>
      </c>
      <c r="V5762" t="s">
        <v>62197</v>
      </c>
      <c r="W5762" t="s">
        <v>44517</v>
      </c>
      <c r="X5762" t="s">
        <v>46574</v>
      </c>
    </row>
    <row r="5763" spans="1:24">
      <c r="A5763">
        <f>HYPERLINK("https://www.philgeps.gov.ph/GEPSNONPILOT/Tender/SplashBidNoticeAbstractUI.aspx?menuIndex=3&amp;refID=7059917&amp;Result=3","7059917")</f>
        <v>0</v>
      </c>
      <c r="B5763" t="s">
        <v>1574</v>
      </c>
      <c r="C5763" t="s">
        <v>9016</v>
      </c>
      <c r="D5763" t="s">
        <v>18830</v>
      </c>
      <c r="E5763" t="s">
        <v>24033</v>
      </c>
      <c r="F5763" t="s">
        <v>32664</v>
      </c>
      <c r="G5763" t="s">
        <v>32672</v>
      </c>
      <c r="H5763" t="s">
        <v>32683</v>
      </c>
      <c r="I5763" t="s">
        <v>10627</v>
      </c>
      <c r="J5763" t="s">
        <v>32962</v>
      </c>
      <c r="K5763" t="s">
        <v>42298</v>
      </c>
      <c r="M5763" t="s">
        <v>44249</v>
      </c>
      <c r="N5763" t="s">
        <v>46569</v>
      </c>
      <c r="O5763" t="s">
        <v>46570</v>
      </c>
      <c r="P5763">
        <v>0</v>
      </c>
      <c r="Q5763">
        <v>0</v>
      </c>
      <c r="R5763" t="s">
        <v>46573</v>
      </c>
      <c r="S5763" t="s">
        <v>46705</v>
      </c>
      <c r="T5763" t="s">
        <v>48220</v>
      </c>
      <c r="U5763" t="s">
        <v>53579</v>
      </c>
      <c r="V5763" t="s">
        <v>62072</v>
      </c>
      <c r="W5763" t="s">
        <v>44249</v>
      </c>
      <c r="X5763" t="s">
        <v>46574</v>
      </c>
    </row>
    <row r="5764" spans="1:24">
      <c r="A5764">
        <f>HYPERLINK("https://www.philgeps.gov.ph/GEPSNONPILOT/Tender/SplashBidNoticeAbstractUI.aspx?menuIndex=3&amp;refID=7059840&amp;Result=3","7059840")</f>
        <v>0</v>
      </c>
      <c r="B5764" t="s">
        <v>1931</v>
      </c>
      <c r="C5764" t="s">
        <v>9017</v>
      </c>
      <c r="D5764" t="s">
        <v>18856</v>
      </c>
      <c r="E5764" t="s">
        <v>18926</v>
      </c>
      <c r="F5764" t="s">
        <v>32664</v>
      </c>
      <c r="G5764" t="s">
        <v>32674</v>
      </c>
      <c r="H5764" t="s">
        <v>12635</v>
      </c>
      <c r="I5764" t="s">
        <v>4439</v>
      </c>
      <c r="J5764" t="s">
        <v>36427</v>
      </c>
      <c r="K5764" t="s">
        <v>42330</v>
      </c>
      <c r="M5764" t="s">
        <v>44653</v>
      </c>
      <c r="N5764" t="s">
        <v>46569</v>
      </c>
      <c r="O5764" t="s">
        <v>46570</v>
      </c>
      <c r="P5764">
        <v>0</v>
      </c>
      <c r="Q5764">
        <v>0</v>
      </c>
      <c r="R5764" t="s">
        <v>46573</v>
      </c>
      <c r="S5764" t="s">
        <v>46705</v>
      </c>
      <c r="T5764" t="s">
        <v>48254</v>
      </c>
      <c r="U5764" t="s">
        <v>53580</v>
      </c>
      <c r="W5764" t="s">
        <v>44653</v>
      </c>
      <c r="X5764" t="s">
        <v>46574</v>
      </c>
    </row>
    <row r="5765" spans="1:24">
      <c r="A5765">
        <f>HYPERLINK("https://www.philgeps.gov.ph/GEPSNONPILOT/Tender/SplashBidNoticeAbstractUI.aspx?menuIndex=3&amp;refID=7059926&amp;Result=3","7059926")</f>
        <v>0</v>
      </c>
      <c r="B5765" t="s">
        <v>171</v>
      </c>
      <c r="C5765" t="s">
        <v>9018</v>
      </c>
      <c r="D5765" t="s">
        <v>18838</v>
      </c>
      <c r="E5765" t="s">
        <v>24034</v>
      </c>
      <c r="F5765" t="s">
        <v>32664</v>
      </c>
      <c r="G5765" t="s">
        <v>32671</v>
      </c>
      <c r="H5765" t="s">
        <v>12635</v>
      </c>
      <c r="I5765" t="s">
        <v>32684</v>
      </c>
      <c r="J5765" t="s">
        <v>36428</v>
      </c>
      <c r="K5765" t="s">
        <v>42303</v>
      </c>
      <c r="M5765" t="s">
        <v>42735</v>
      </c>
      <c r="N5765" t="s">
        <v>46569</v>
      </c>
      <c r="O5765" t="s">
        <v>46570</v>
      </c>
      <c r="P5765">
        <v>0</v>
      </c>
      <c r="Q5765">
        <v>8</v>
      </c>
      <c r="R5765" t="s">
        <v>46573</v>
      </c>
      <c r="S5765" t="s">
        <v>46705</v>
      </c>
      <c r="T5765" t="s">
        <v>48230</v>
      </c>
      <c r="U5765" t="s">
        <v>53581</v>
      </c>
      <c r="V5765" t="s">
        <v>61660</v>
      </c>
      <c r="W5765" t="s">
        <v>42735</v>
      </c>
      <c r="X5765" t="s">
        <v>46574</v>
      </c>
    </row>
    <row r="5766" spans="1:24">
      <c r="A5766">
        <f>HYPERLINK("https://www.philgeps.gov.ph/GEPSNONPILOT/Tender/SplashBidNoticeAbstractUI.aspx?menuIndex=3&amp;refID=7059888&amp;Result=3","7059888")</f>
        <v>0</v>
      </c>
      <c r="B5766" t="s">
        <v>1875</v>
      </c>
      <c r="C5766" t="s">
        <v>9019</v>
      </c>
      <c r="D5766" t="s">
        <v>18816</v>
      </c>
      <c r="E5766" t="s">
        <v>20729</v>
      </c>
      <c r="F5766" t="s">
        <v>32664</v>
      </c>
      <c r="G5766" t="s">
        <v>32672</v>
      </c>
      <c r="H5766" t="s">
        <v>32683</v>
      </c>
      <c r="I5766" t="s">
        <v>10627</v>
      </c>
      <c r="J5766" t="s">
        <v>32962</v>
      </c>
      <c r="K5766" t="s">
        <v>42311</v>
      </c>
      <c r="M5766" t="s">
        <v>44592</v>
      </c>
      <c r="N5766" t="s">
        <v>46569</v>
      </c>
      <c r="O5766" t="s">
        <v>46570</v>
      </c>
      <c r="P5766">
        <v>0</v>
      </c>
      <c r="Q5766">
        <v>0</v>
      </c>
      <c r="R5766" t="s">
        <v>46573</v>
      </c>
      <c r="S5766" t="s">
        <v>46705</v>
      </c>
      <c r="T5766" t="s">
        <v>48554</v>
      </c>
      <c r="U5766" t="s">
        <v>53582</v>
      </c>
      <c r="W5766" t="s">
        <v>44592</v>
      </c>
      <c r="X5766" t="s">
        <v>46574</v>
      </c>
    </row>
    <row r="5767" spans="1:24">
      <c r="A5767">
        <f>HYPERLINK("https://www.philgeps.gov.ph/GEPSNONPILOT/Tender/SplashBidNoticeAbstractUI.aspx?menuIndex=3&amp;refID=7059911&amp;Result=3","7059911")</f>
        <v>0</v>
      </c>
      <c r="B5767" t="s">
        <v>1932</v>
      </c>
      <c r="C5767" t="s">
        <v>9020</v>
      </c>
      <c r="D5767" t="s">
        <v>18803</v>
      </c>
      <c r="E5767" t="s">
        <v>19312</v>
      </c>
      <c r="F5767" t="s">
        <v>32664</v>
      </c>
      <c r="G5767" t="s">
        <v>32675</v>
      </c>
      <c r="H5767" t="s">
        <v>12635</v>
      </c>
      <c r="I5767" t="s">
        <v>6628</v>
      </c>
      <c r="J5767" t="s">
        <v>36429</v>
      </c>
      <c r="K5767" t="s">
        <v>42284</v>
      </c>
      <c r="M5767" t="s">
        <v>44654</v>
      </c>
      <c r="N5767" t="s">
        <v>46569</v>
      </c>
      <c r="O5767" t="s">
        <v>46570</v>
      </c>
      <c r="P5767">
        <v>0</v>
      </c>
      <c r="Q5767">
        <v>4</v>
      </c>
      <c r="R5767" t="s">
        <v>46573</v>
      </c>
      <c r="S5767" t="s">
        <v>46705</v>
      </c>
      <c r="T5767" t="s">
        <v>48450</v>
      </c>
      <c r="U5767" t="s">
        <v>53583</v>
      </c>
      <c r="W5767" t="s">
        <v>44654</v>
      </c>
      <c r="X5767" t="s">
        <v>46574</v>
      </c>
    </row>
    <row r="5768" spans="1:24">
      <c r="A5768">
        <f>HYPERLINK("https://www.philgeps.gov.ph/GEPSNONPILOT/Tender/SplashBidNoticeAbstractUI.aspx?menuIndex=3&amp;refID=7059916&amp;Result=3","7059916")</f>
        <v>0</v>
      </c>
      <c r="B5768" t="s">
        <v>945</v>
      </c>
      <c r="C5768" t="s">
        <v>9021</v>
      </c>
      <c r="D5768" t="s">
        <v>18837</v>
      </c>
      <c r="E5768" t="s">
        <v>24035</v>
      </c>
      <c r="F5768" t="s">
        <v>32664</v>
      </c>
      <c r="G5768" t="s">
        <v>32674</v>
      </c>
      <c r="H5768" t="s">
        <v>12635</v>
      </c>
      <c r="I5768" t="s">
        <v>5589</v>
      </c>
      <c r="J5768" t="s">
        <v>33089</v>
      </c>
      <c r="K5768" t="s">
        <v>42297</v>
      </c>
      <c r="M5768" t="s">
        <v>43551</v>
      </c>
      <c r="N5768" t="s">
        <v>46569</v>
      </c>
      <c r="O5768" t="s">
        <v>46570</v>
      </c>
      <c r="P5768">
        <v>0</v>
      </c>
      <c r="Q5768">
        <v>2</v>
      </c>
      <c r="R5768" t="s">
        <v>46573</v>
      </c>
      <c r="S5768" t="s">
        <v>46705</v>
      </c>
      <c r="T5768" t="s">
        <v>48283</v>
      </c>
      <c r="U5768" t="s">
        <v>53584</v>
      </c>
      <c r="W5768" t="s">
        <v>43551</v>
      </c>
      <c r="X5768" t="s">
        <v>46574</v>
      </c>
    </row>
    <row r="5769" spans="1:24">
      <c r="A5769">
        <f>HYPERLINK("https://www.philgeps.gov.ph/GEPSNONPILOT/Tender/SplashBidNoticeAbstractUI.aspx?menuIndex=3&amp;refID=7059922&amp;Result=3","7059922")</f>
        <v>0</v>
      </c>
      <c r="B5769" t="s">
        <v>1933</v>
      </c>
      <c r="C5769" t="s">
        <v>9022</v>
      </c>
      <c r="D5769" t="s">
        <v>18811</v>
      </c>
      <c r="E5769" t="s">
        <v>24036</v>
      </c>
      <c r="F5769" t="s">
        <v>32664</v>
      </c>
      <c r="G5769" t="s">
        <v>32671</v>
      </c>
      <c r="H5769" t="s">
        <v>12635</v>
      </c>
      <c r="I5769" t="s">
        <v>5589</v>
      </c>
      <c r="J5769" t="s">
        <v>36430</v>
      </c>
      <c r="K5769" t="s">
        <v>42289</v>
      </c>
      <c r="M5769" t="s">
        <v>44655</v>
      </c>
      <c r="N5769" t="s">
        <v>46569</v>
      </c>
      <c r="O5769" t="s">
        <v>46570</v>
      </c>
      <c r="P5769">
        <v>0</v>
      </c>
      <c r="Q5769">
        <v>3</v>
      </c>
      <c r="R5769" t="s">
        <v>46573</v>
      </c>
      <c r="S5769" t="s">
        <v>46705</v>
      </c>
      <c r="T5769" t="s">
        <v>48427</v>
      </c>
      <c r="U5769" t="s">
        <v>53585</v>
      </c>
      <c r="W5769" t="s">
        <v>44655</v>
      </c>
      <c r="X5769" t="s">
        <v>46574</v>
      </c>
    </row>
    <row r="5770" spans="1:24">
      <c r="A5770">
        <f>HYPERLINK("https://www.philgeps.gov.ph/GEPSNONPILOT/Tender/SplashBidNoticeAbstractUI.aspx?menuIndex=3&amp;refID=7059906&amp;Result=3","7059906")</f>
        <v>0</v>
      </c>
      <c r="B5770" t="s">
        <v>643</v>
      </c>
      <c r="C5770" t="s">
        <v>9023</v>
      </c>
      <c r="D5770" t="s">
        <v>18784</v>
      </c>
      <c r="E5770" t="s">
        <v>24037</v>
      </c>
      <c r="F5770" t="s">
        <v>32664</v>
      </c>
      <c r="G5770" t="s">
        <v>32672</v>
      </c>
      <c r="H5770" t="s">
        <v>12635</v>
      </c>
      <c r="I5770" t="s">
        <v>5589</v>
      </c>
      <c r="J5770" t="s">
        <v>36431</v>
      </c>
      <c r="K5770" t="s">
        <v>42285</v>
      </c>
      <c r="M5770" t="s">
        <v>44656</v>
      </c>
      <c r="N5770" t="s">
        <v>46569</v>
      </c>
      <c r="O5770" t="s">
        <v>46570</v>
      </c>
      <c r="P5770">
        <v>0</v>
      </c>
      <c r="Q5770">
        <v>20</v>
      </c>
      <c r="R5770" t="s">
        <v>46573</v>
      </c>
      <c r="S5770" t="s">
        <v>46705</v>
      </c>
      <c r="T5770" t="s">
        <v>48240</v>
      </c>
      <c r="U5770" t="s">
        <v>53586</v>
      </c>
      <c r="W5770" t="s">
        <v>44656</v>
      </c>
      <c r="X5770" t="s">
        <v>46574</v>
      </c>
    </row>
    <row r="5771" spans="1:24">
      <c r="A5771">
        <f>HYPERLINK("https://www.philgeps.gov.ph/GEPSNONPILOT/Tender/SplashBidNoticeAbstractUI.aspx?menuIndex=3&amp;refID=7059905&amp;Result=3","7059905")</f>
        <v>0</v>
      </c>
      <c r="B5771" t="s">
        <v>1581</v>
      </c>
      <c r="C5771" t="s">
        <v>9024</v>
      </c>
      <c r="D5771" t="s">
        <v>18816</v>
      </c>
      <c r="E5771" t="s">
        <v>24038</v>
      </c>
      <c r="F5771" t="s">
        <v>32664</v>
      </c>
      <c r="G5771" t="s">
        <v>32677</v>
      </c>
      <c r="H5771" t="s">
        <v>32682</v>
      </c>
      <c r="I5771" t="s">
        <v>32708</v>
      </c>
      <c r="J5771" t="s">
        <v>32837</v>
      </c>
      <c r="K5771" t="s">
        <v>42297</v>
      </c>
      <c r="M5771" t="s">
        <v>44657</v>
      </c>
      <c r="N5771" t="s">
        <v>46569</v>
      </c>
      <c r="O5771" t="s">
        <v>46570</v>
      </c>
      <c r="P5771">
        <v>0</v>
      </c>
      <c r="Q5771">
        <v>8</v>
      </c>
      <c r="R5771" t="s">
        <v>46573</v>
      </c>
      <c r="S5771" t="s">
        <v>46705</v>
      </c>
      <c r="T5771" t="s">
        <v>48316</v>
      </c>
      <c r="U5771" t="s">
        <v>53587</v>
      </c>
      <c r="W5771" t="s">
        <v>44657</v>
      </c>
      <c r="X5771" t="s">
        <v>46574</v>
      </c>
    </row>
    <row r="5772" spans="1:24">
      <c r="A5772">
        <f>HYPERLINK("https://www.philgeps.gov.ph/GEPSNONPILOT/Tender/SplashBidNoticeAbstractUI.aspx?menuIndex=3&amp;refID=7059841&amp;Result=3","7059841")</f>
        <v>0</v>
      </c>
      <c r="B5772" t="s">
        <v>808</v>
      </c>
      <c r="C5772" t="s">
        <v>9025</v>
      </c>
      <c r="D5772" t="s">
        <v>18846</v>
      </c>
      <c r="E5772" t="s">
        <v>24039</v>
      </c>
      <c r="F5772" t="s">
        <v>32664</v>
      </c>
      <c r="G5772" t="s">
        <v>32671</v>
      </c>
      <c r="H5772" t="s">
        <v>12635</v>
      </c>
      <c r="I5772" t="s">
        <v>10361</v>
      </c>
      <c r="J5772" t="s">
        <v>32917</v>
      </c>
      <c r="K5772" t="s">
        <v>42309</v>
      </c>
      <c r="M5772" t="s">
        <v>43400</v>
      </c>
      <c r="N5772" t="s">
        <v>46569</v>
      </c>
      <c r="O5772" t="s">
        <v>46570</v>
      </c>
      <c r="P5772">
        <v>0</v>
      </c>
      <c r="Q5772">
        <v>2</v>
      </c>
      <c r="R5772" t="s">
        <v>46573</v>
      </c>
      <c r="S5772" t="s">
        <v>46705</v>
      </c>
      <c r="T5772" t="s">
        <v>48376</v>
      </c>
      <c r="U5772" t="s">
        <v>53588</v>
      </c>
      <c r="W5772" t="s">
        <v>43400</v>
      </c>
      <c r="X5772" t="s">
        <v>46574</v>
      </c>
    </row>
    <row r="5773" spans="1:24">
      <c r="A5773">
        <f>HYPERLINK("https://www.philgeps.gov.ph/GEPSNONPILOT/Tender/SplashBidNoticeAbstractUI.aspx?menuIndex=3&amp;refID=7059910&amp;Result=3","7059910")</f>
        <v>0</v>
      </c>
      <c r="B5773" t="s">
        <v>1934</v>
      </c>
      <c r="C5773" t="s">
        <v>9026</v>
      </c>
      <c r="D5773" t="s">
        <v>18806</v>
      </c>
      <c r="E5773" t="s">
        <v>24040</v>
      </c>
      <c r="F5773" t="s">
        <v>32664</v>
      </c>
      <c r="G5773" t="s">
        <v>32672</v>
      </c>
      <c r="H5773" t="s">
        <v>12635</v>
      </c>
      <c r="I5773" t="s">
        <v>10627</v>
      </c>
      <c r="J5773" t="s">
        <v>32974</v>
      </c>
      <c r="K5773" t="s">
        <v>42281</v>
      </c>
      <c r="M5773" t="s">
        <v>44658</v>
      </c>
      <c r="N5773" t="s">
        <v>46569</v>
      </c>
      <c r="O5773" t="s">
        <v>46570</v>
      </c>
      <c r="P5773">
        <v>0</v>
      </c>
      <c r="Q5773">
        <v>0</v>
      </c>
      <c r="R5773" t="s">
        <v>46573</v>
      </c>
      <c r="S5773" t="s">
        <v>46705</v>
      </c>
      <c r="T5773" t="s">
        <v>48225</v>
      </c>
      <c r="U5773" t="s">
        <v>52836</v>
      </c>
      <c r="V5773" t="s">
        <v>62222</v>
      </c>
      <c r="W5773" t="s">
        <v>44658</v>
      </c>
      <c r="X5773" t="s">
        <v>46574</v>
      </c>
    </row>
    <row r="5774" spans="1:24">
      <c r="A5774">
        <f>HYPERLINK("https://www.philgeps.gov.ph/GEPSNONPILOT/Tender/SplashBidNoticeAbstractUI.aspx?menuIndex=3&amp;refID=7059908&amp;Result=3","7059908")</f>
        <v>0</v>
      </c>
      <c r="B5774" t="s">
        <v>1232</v>
      </c>
      <c r="C5774" t="s">
        <v>9027</v>
      </c>
      <c r="D5774" t="s">
        <v>18838</v>
      </c>
      <c r="E5774" t="s">
        <v>24041</v>
      </c>
      <c r="F5774" t="s">
        <v>32664</v>
      </c>
      <c r="G5774" t="s">
        <v>32671</v>
      </c>
      <c r="H5774" t="s">
        <v>12635</v>
      </c>
      <c r="I5774" t="s">
        <v>10590</v>
      </c>
      <c r="J5774" t="s">
        <v>36432</v>
      </c>
      <c r="K5774" t="s">
        <v>42283</v>
      </c>
      <c r="L5774" t="s">
        <v>1232</v>
      </c>
      <c r="M5774" t="s">
        <v>44659</v>
      </c>
      <c r="N5774" t="s">
        <v>46569</v>
      </c>
      <c r="O5774" t="s">
        <v>46570</v>
      </c>
      <c r="P5774">
        <v>0</v>
      </c>
      <c r="Q5774">
        <v>0</v>
      </c>
      <c r="R5774" t="s">
        <v>46573</v>
      </c>
      <c r="S5774" t="s">
        <v>46705</v>
      </c>
      <c r="T5774" t="s">
        <v>48316</v>
      </c>
      <c r="U5774" t="s">
        <v>51411</v>
      </c>
      <c r="W5774" t="s">
        <v>44659</v>
      </c>
      <c r="X5774" t="s">
        <v>46574</v>
      </c>
    </row>
    <row r="5775" spans="1:24">
      <c r="A5775">
        <f>HYPERLINK("https://www.philgeps.gov.ph/GEPSNONPILOT/Tender/SplashBidNoticeAbstractUI.aspx?menuIndex=3&amp;refID=7059953&amp;Result=3","7059953")</f>
        <v>0</v>
      </c>
      <c r="B5775" t="s">
        <v>1935</v>
      </c>
      <c r="C5775" t="s">
        <v>9028</v>
      </c>
      <c r="D5775" t="s">
        <v>18824</v>
      </c>
      <c r="E5775" t="s">
        <v>24042</v>
      </c>
      <c r="F5775" t="s">
        <v>32664</v>
      </c>
      <c r="G5775" t="s">
        <v>32671</v>
      </c>
      <c r="H5775" t="s">
        <v>12635</v>
      </c>
      <c r="I5775" t="s">
        <v>4439</v>
      </c>
      <c r="J5775" t="s">
        <v>36433</v>
      </c>
      <c r="K5775" t="s">
        <v>42321</v>
      </c>
      <c r="M5775" t="s">
        <v>44660</v>
      </c>
      <c r="N5775" t="s">
        <v>46569</v>
      </c>
      <c r="O5775" t="s">
        <v>46570</v>
      </c>
      <c r="P5775">
        <v>0</v>
      </c>
      <c r="Q5775">
        <v>4</v>
      </c>
      <c r="R5775" t="s">
        <v>46573</v>
      </c>
      <c r="S5775" t="s">
        <v>46705</v>
      </c>
      <c r="T5775" t="s">
        <v>48254</v>
      </c>
      <c r="U5775" t="s">
        <v>53589</v>
      </c>
      <c r="W5775" t="s">
        <v>44660</v>
      </c>
      <c r="X5775" t="s">
        <v>46574</v>
      </c>
    </row>
    <row r="5776" spans="1:24">
      <c r="A5776">
        <f>HYPERLINK("https://www.philgeps.gov.ph/GEPSNONPILOT/Tender/SplashBidNoticeAbstractUI.aspx?menuIndex=3&amp;refID=7059951&amp;Result=3","7059951")</f>
        <v>0</v>
      </c>
      <c r="B5776" t="s">
        <v>1936</v>
      </c>
      <c r="C5776" t="s">
        <v>9029</v>
      </c>
      <c r="D5776" t="s">
        <v>18799</v>
      </c>
      <c r="E5776" t="s">
        <v>19632</v>
      </c>
      <c r="F5776" t="s">
        <v>32664</v>
      </c>
      <c r="G5776" t="s">
        <v>32674</v>
      </c>
      <c r="H5776" t="s">
        <v>12635</v>
      </c>
      <c r="I5776" t="s">
        <v>32692</v>
      </c>
      <c r="J5776" t="s">
        <v>36434</v>
      </c>
      <c r="K5776" t="s">
        <v>42309</v>
      </c>
      <c r="M5776" t="s">
        <v>44661</v>
      </c>
      <c r="N5776" t="s">
        <v>46569</v>
      </c>
      <c r="O5776" t="s">
        <v>46570</v>
      </c>
      <c r="P5776">
        <v>0</v>
      </c>
      <c r="Q5776">
        <v>0</v>
      </c>
      <c r="R5776" t="s">
        <v>46573</v>
      </c>
      <c r="S5776" t="s">
        <v>46705</v>
      </c>
      <c r="T5776" t="s">
        <v>48254</v>
      </c>
      <c r="U5776" t="s">
        <v>53590</v>
      </c>
      <c r="W5776" t="s">
        <v>44661</v>
      </c>
      <c r="X5776" t="s">
        <v>46574</v>
      </c>
    </row>
    <row r="5777" spans="1:24">
      <c r="A5777">
        <f>HYPERLINK("https://www.philgeps.gov.ph/GEPSNONPILOT/Tender/SplashBidNoticeAbstractUI.aspx?menuIndex=3&amp;refID=7059950&amp;Result=3","7059950")</f>
        <v>0</v>
      </c>
      <c r="B5777" t="s">
        <v>1937</v>
      </c>
      <c r="C5777" t="s">
        <v>9030</v>
      </c>
      <c r="D5777" t="s">
        <v>18782</v>
      </c>
      <c r="E5777" t="s">
        <v>24043</v>
      </c>
      <c r="F5777" t="s">
        <v>32664</v>
      </c>
      <c r="G5777" t="s">
        <v>32672</v>
      </c>
      <c r="H5777" t="s">
        <v>32683</v>
      </c>
      <c r="I5777" t="s">
        <v>10627</v>
      </c>
      <c r="J5777" t="s">
        <v>36435</v>
      </c>
      <c r="K5777" t="s">
        <v>42425</v>
      </c>
      <c r="M5777" t="s">
        <v>44662</v>
      </c>
      <c r="N5777" t="s">
        <v>46569</v>
      </c>
      <c r="O5777" t="s">
        <v>46570</v>
      </c>
      <c r="P5777">
        <v>0</v>
      </c>
      <c r="Q5777">
        <v>0</v>
      </c>
      <c r="R5777" t="s">
        <v>46573</v>
      </c>
      <c r="S5777" t="s">
        <v>46705</v>
      </c>
      <c r="T5777" t="s">
        <v>48283</v>
      </c>
      <c r="U5777" t="s">
        <v>53591</v>
      </c>
      <c r="W5777" t="s">
        <v>44662</v>
      </c>
      <c r="X5777" t="s">
        <v>46574</v>
      </c>
    </row>
    <row r="5778" spans="1:24">
      <c r="A5778">
        <f>HYPERLINK("https://www.philgeps.gov.ph/GEPSNONPILOT/Tender/SplashBidNoticeAbstractUI.aspx?menuIndex=3&amp;refID=7059949&amp;Result=3","7059949")</f>
        <v>0</v>
      </c>
      <c r="B5778" t="s">
        <v>1574</v>
      </c>
      <c r="C5778" t="s">
        <v>9031</v>
      </c>
      <c r="D5778" t="s">
        <v>18830</v>
      </c>
      <c r="E5778" t="s">
        <v>24044</v>
      </c>
      <c r="F5778" t="s">
        <v>32664</v>
      </c>
      <c r="G5778" t="s">
        <v>32672</v>
      </c>
      <c r="H5778" t="s">
        <v>32683</v>
      </c>
      <c r="I5778" t="s">
        <v>10627</v>
      </c>
      <c r="J5778" t="s">
        <v>32837</v>
      </c>
      <c r="K5778" t="s">
        <v>42357</v>
      </c>
      <c r="M5778" t="s">
        <v>44249</v>
      </c>
      <c r="N5778" t="s">
        <v>46569</v>
      </c>
      <c r="O5778" t="s">
        <v>46570</v>
      </c>
      <c r="P5778">
        <v>0</v>
      </c>
      <c r="Q5778">
        <v>0</v>
      </c>
      <c r="R5778" t="s">
        <v>46573</v>
      </c>
      <c r="S5778" t="s">
        <v>46705</v>
      </c>
      <c r="T5778" t="s">
        <v>48220</v>
      </c>
      <c r="U5778" t="s">
        <v>53592</v>
      </c>
      <c r="V5778" t="s">
        <v>62072</v>
      </c>
      <c r="W5778" t="s">
        <v>44249</v>
      </c>
      <c r="X5778" t="s">
        <v>46574</v>
      </c>
    </row>
    <row r="5779" spans="1:24">
      <c r="A5779">
        <f>HYPERLINK("https://www.philgeps.gov.ph/GEPSNONPILOT/Tender/SplashBidNoticeAbstractUI.aspx?menuIndex=3&amp;refID=7059947&amp;Result=3","7059947")</f>
        <v>0</v>
      </c>
      <c r="B5779" t="s">
        <v>1938</v>
      </c>
      <c r="C5779" t="s">
        <v>9032</v>
      </c>
      <c r="D5779" t="s">
        <v>18798</v>
      </c>
      <c r="E5779" t="s">
        <v>24045</v>
      </c>
      <c r="F5779" t="s">
        <v>32664</v>
      </c>
      <c r="G5779" t="s">
        <v>32672</v>
      </c>
      <c r="H5779" t="s">
        <v>32683</v>
      </c>
      <c r="I5779" t="s">
        <v>32716</v>
      </c>
      <c r="J5779" t="s">
        <v>36436</v>
      </c>
      <c r="K5779" t="s">
        <v>42283</v>
      </c>
      <c r="M5779" t="s">
        <v>44663</v>
      </c>
      <c r="N5779" t="s">
        <v>46569</v>
      </c>
      <c r="O5779" t="s">
        <v>46570</v>
      </c>
      <c r="P5779">
        <v>0</v>
      </c>
      <c r="Q5779">
        <v>1</v>
      </c>
      <c r="R5779" t="s">
        <v>46573</v>
      </c>
      <c r="S5779" t="s">
        <v>46705</v>
      </c>
      <c r="T5779" t="s">
        <v>48305</v>
      </c>
      <c r="U5779" t="s">
        <v>53593</v>
      </c>
      <c r="V5779" t="s">
        <v>62223</v>
      </c>
      <c r="W5779" t="s">
        <v>44663</v>
      </c>
      <c r="X5779" t="s">
        <v>46574</v>
      </c>
    </row>
    <row r="5780" spans="1:24">
      <c r="A5780">
        <f>HYPERLINK("https://www.philgeps.gov.ph/GEPSNONPILOT/Tender/SplashBidNoticeAbstractUI.aspx?menuIndex=3&amp;refID=7059946&amp;Result=3","7059946")</f>
        <v>0</v>
      </c>
      <c r="B5780" t="s">
        <v>1939</v>
      </c>
      <c r="C5780" t="s">
        <v>9033</v>
      </c>
      <c r="D5780" t="s">
        <v>18782</v>
      </c>
      <c r="E5780" t="s">
        <v>24046</v>
      </c>
      <c r="F5780" t="s">
        <v>32664</v>
      </c>
      <c r="G5780" t="s">
        <v>32672</v>
      </c>
      <c r="H5780" t="s">
        <v>32683</v>
      </c>
      <c r="I5780" t="s">
        <v>10627</v>
      </c>
      <c r="J5780" t="s">
        <v>36437</v>
      </c>
      <c r="K5780" t="s">
        <v>42290</v>
      </c>
      <c r="L5780" t="s">
        <v>1939</v>
      </c>
      <c r="M5780" t="s">
        <v>44664</v>
      </c>
      <c r="N5780" t="s">
        <v>46569</v>
      </c>
      <c r="O5780" t="s">
        <v>46570</v>
      </c>
      <c r="P5780">
        <v>0</v>
      </c>
      <c r="Q5780">
        <v>0</v>
      </c>
      <c r="R5780" t="s">
        <v>46573</v>
      </c>
      <c r="S5780" t="s">
        <v>46705</v>
      </c>
      <c r="T5780" t="s">
        <v>48453</v>
      </c>
      <c r="U5780" t="s">
        <v>53594</v>
      </c>
      <c r="W5780" t="s">
        <v>44664</v>
      </c>
      <c r="X5780" t="s">
        <v>46574</v>
      </c>
    </row>
    <row r="5781" spans="1:24">
      <c r="A5781">
        <f>HYPERLINK("https://www.philgeps.gov.ph/GEPSNONPILOT/Tender/SplashBidNoticeAbstractUI.aspx?menuIndex=3&amp;refID=7059904&amp;Result=3","7059904")</f>
        <v>0</v>
      </c>
      <c r="B5781" t="s">
        <v>945</v>
      </c>
      <c r="C5781" t="s">
        <v>9034</v>
      </c>
      <c r="D5781" t="s">
        <v>18837</v>
      </c>
      <c r="E5781" t="s">
        <v>24047</v>
      </c>
      <c r="F5781" t="s">
        <v>32664</v>
      </c>
      <c r="G5781" t="s">
        <v>32674</v>
      </c>
      <c r="H5781" t="s">
        <v>12635</v>
      </c>
      <c r="I5781" t="s">
        <v>5589</v>
      </c>
      <c r="J5781" t="s">
        <v>32959</v>
      </c>
      <c r="K5781" t="s">
        <v>42297</v>
      </c>
      <c r="M5781" t="s">
        <v>43551</v>
      </c>
      <c r="N5781" t="s">
        <v>46569</v>
      </c>
      <c r="O5781" t="s">
        <v>46570</v>
      </c>
      <c r="P5781">
        <v>0</v>
      </c>
      <c r="Q5781">
        <v>1</v>
      </c>
      <c r="R5781" t="s">
        <v>46573</v>
      </c>
      <c r="S5781" t="s">
        <v>46705</v>
      </c>
      <c r="T5781" t="s">
        <v>48283</v>
      </c>
      <c r="U5781" t="s">
        <v>53584</v>
      </c>
      <c r="W5781" t="s">
        <v>43551</v>
      </c>
      <c r="X5781" t="s">
        <v>46574</v>
      </c>
    </row>
    <row r="5782" spans="1:24">
      <c r="A5782">
        <f>HYPERLINK("https://www.philgeps.gov.ph/GEPSNONPILOT/Tender/SplashBidNoticeAbstractUI.aspx?menuIndex=3&amp;refID=7059944&amp;Result=3","7059944")</f>
        <v>0</v>
      </c>
      <c r="B5782" t="s">
        <v>1745</v>
      </c>
      <c r="C5782" t="s">
        <v>9035</v>
      </c>
      <c r="D5782" t="s">
        <v>18822</v>
      </c>
      <c r="E5782" t="s">
        <v>24048</v>
      </c>
      <c r="F5782" t="s">
        <v>32664</v>
      </c>
      <c r="G5782" t="s">
        <v>32672</v>
      </c>
      <c r="H5782" t="s">
        <v>12635</v>
      </c>
      <c r="I5782" t="s">
        <v>32684</v>
      </c>
      <c r="J5782" t="s">
        <v>32962</v>
      </c>
      <c r="K5782" t="s">
        <v>42289</v>
      </c>
      <c r="M5782" t="s">
        <v>44444</v>
      </c>
      <c r="N5782" t="s">
        <v>46569</v>
      </c>
      <c r="O5782" t="s">
        <v>46570</v>
      </c>
      <c r="P5782">
        <v>0</v>
      </c>
      <c r="Q5782">
        <v>8</v>
      </c>
      <c r="R5782" t="s">
        <v>46573</v>
      </c>
      <c r="S5782" t="s">
        <v>46705</v>
      </c>
      <c r="T5782" t="s">
        <v>48273</v>
      </c>
      <c r="U5782" t="s">
        <v>53595</v>
      </c>
      <c r="W5782" t="s">
        <v>44444</v>
      </c>
      <c r="X5782" t="s">
        <v>46574</v>
      </c>
    </row>
    <row r="5783" spans="1:24">
      <c r="A5783">
        <f>HYPERLINK("https://www.philgeps.gov.ph/GEPSNONPILOT/Tender/SplashBidNoticeAbstractUI.aspx?menuIndex=3&amp;refID=7059930&amp;Result=3","7059930")</f>
        <v>0</v>
      </c>
      <c r="B5783" t="s">
        <v>1088</v>
      </c>
      <c r="C5783" t="s">
        <v>9036</v>
      </c>
      <c r="D5783" t="s">
        <v>18804</v>
      </c>
      <c r="E5783" t="s">
        <v>24049</v>
      </c>
      <c r="F5783" t="s">
        <v>32664</v>
      </c>
      <c r="G5783" t="s">
        <v>32671</v>
      </c>
      <c r="H5783" t="s">
        <v>12635</v>
      </c>
      <c r="I5783" t="s">
        <v>5589</v>
      </c>
      <c r="J5783" t="s">
        <v>33038</v>
      </c>
      <c r="K5783" t="s">
        <v>42303</v>
      </c>
      <c r="M5783" t="s">
        <v>44593</v>
      </c>
      <c r="N5783" t="s">
        <v>46569</v>
      </c>
      <c r="O5783" t="s">
        <v>46570</v>
      </c>
      <c r="P5783">
        <v>0</v>
      </c>
      <c r="Q5783">
        <v>1</v>
      </c>
      <c r="R5783" t="s">
        <v>46573</v>
      </c>
      <c r="S5783" t="s">
        <v>46705</v>
      </c>
      <c r="T5783" t="s">
        <v>48268</v>
      </c>
      <c r="U5783" t="s">
        <v>53596</v>
      </c>
      <c r="W5783" t="s">
        <v>44593</v>
      </c>
      <c r="X5783" t="s">
        <v>46574</v>
      </c>
    </row>
    <row r="5784" spans="1:24">
      <c r="A5784">
        <f>HYPERLINK("https://www.philgeps.gov.ph/GEPSNONPILOT/Tender/SplashBidNoticeAbstractUI.aspx?menuIndex=3&amp;refID=7059929&amp;Result=3","7059929")</f>
        <v>0</v>
      </c>
      <c r="B5784" t="s">
        <v>1940</v>
      </c>
      <c r="C5784" t="s">
        <v>9037</v>
      </c>
      <c r="D5784" t="s">
        <v>18787</v>
      </c>
      <c r="E5784" t="s">
        <v>24050</v>
      </c>
      <c r="F5784" t="s">
        <v>32664</v>
      </c>
      <c r="G5784" t="s">
        <v>32671</v>
      </c>
      <c r="H5784" t="s">
        <v>12635</v>
      </c>
      <c r="I5784" t="s">
        <v>6118</v>
      </c>
      <c r="J5784" t="s">
        <v>32853</v>
      </c>
      <c r="K5784" t="s">
        <v>42283</v>
      </c>
      <c r="M5784" t="s">
        <v>44665</v>
      </c>
      <c r="N5784" t="s">
        <v>46569</v>
      </c>
      <c r="O5784" t="s">
        <v>46570</v>
      </c>
      <c r="P5784">
        <v>0</v>
      </c>
      <c r="Q5784">
        <v>0</v>
      </c>
      <c r="R5784" t="s">
        <v>46573</v>
      </c>
      <c r="S5784" t="s">
        <v>46705</v>
      </c>
      <c r="T5784" t="s">
        <v>48287</v>
      </c>
      <c r="U5784" t="s">
        <v>53597</v>
      </c>
      <c r="W5784" t="s">
        <v>63541</v>
      </c>
      <c r="X5784" t="s">
        <v>46574</v>
      </c>
    </row>
    <row r="5785" spans="1:24">
      <c r="A5785">
        <f>HYPERLINK("https://www.philgeps.gov.ph/GEPSNONPILOT/Tender/SplashBidNoticeAbstractUI.aspx?menuIndex=3&amp;refID=7059943&amp;Result=3","7059943")</f>
        <v>0</v>
      </c>
      <c r="B5785" t="s">
        <v>1941</v>
      </c>
      <c r="C5785" t="s">
        <v>9038</v>
      </c>
      <c r="E5785" t="s">
        <v>24051</v>
      </c>
      <c r="F5785" t="s">
        <v>32664</v>
      </c>
      <c r="G5785" t="s">
        <v>32671</v>
      </c>
      <c r="H5785" t="s">
        <v>12635</v>
      </c>
      <c r="I5785" t="s">
        <v>32689</v>
      </c>
      <c r="J5785" t="s">
        <v>33299</v>
      </c>
      <c r="K5785" t="s">
        <v>42283</v>
      </c>
      <c r="M5785" t="s">
        <v>44666</v>
      </c>
      <c r="N5785" t="s">
        <v>46569</v>
      </c>
      <c r="O5785" t="s">
        <v>46570</v>
      </c>
      <c r="P5785">
        <v>0</v>
      </c>
      <c r="Q5785">
        <v>3</v>
      </c>
      <c r="R5785" t="s">
        <v>46573</v>
      </c>
      <c r="S5785" t="s">
        <v>46705</v>
      </c>
      <c r="T5785" t="s">
        <v>48219</v>
      </c>
      <c r="U5785" t="s">
        <v>53598</v>
      </c>
      <c r="W5785" t="s">
        <v>44666</v>
      </c>
      <c r="X5785" t="s">
        <v>46574</v>
      </c>
    </row>
    <row r="5786" spans="1:24">
      <c r="A5786">
        <f>HYPERLINK("https://www.philgeps.gov.ph/GEPSNONPILOT/Tender/SplashBidNoticeAbstractUI.aspx?menuIndex=3&amp;refID=7059940&amp;Result=3","7059940")</f>
        <v>0</v>
      </c>
      <c r="B5786" t="s">
        <v>1930</v>
      </c>
      <c r="C5786" t="s">
        <v>9039</v>
      </c>
      <c r="D5786" t="s">
        <v>18786</v>
      </c>
      <c r="E5786" t="s">
        <v>24052</v>
      </c>
      <c r="F5786" t="s">
        <v>32664</v>
      </c>
      <c r="G5786" t="s">
        <v>32671</v>
      </c>
      <c r="H5786" t="s">
        <v>12635</v>
      </c>
      <c r="I5786" t="s">
        <v>8730</v>
      </c>
      <c r="J5786" t="s">
        <v>36438</v>
      </c>
      <c r="K5786" t="s">
        <v>42289</v>
      </c>
      <c r="M5786" t="s">
        <v>44652</v>
      </c>
      <c r="N5786" t="s">
        <v>46569</v>
      </c>
      <c r="O5786" t="s">
        <v>46570</v>
      </c>
      <c r="P5786">
        <v>0</v>
      </c>
      <c r="Q5786">
        <v>6</v>
      </c>
      <c r="R5786" t="s">
        <v>46573</v>
      </c>
      <c r="S5786" t="s">
        <v>46705</v>
      </c>
      <c r="T5786" t="s">
        <v>48283</v>
      </c>
      <c r="U5786" t="s">
        <v>53599</v>
      </c>
      <c r="W5786" t="s">
        <v>44652</v>
      </c>
      <c r="X5786" t="s">
        <v>46574</v>
      </c>
    </row>
    <row r="5787" spans="1:24">
      <c r="A5787">
        <f>HYPERLINK("https://www.philgeps.gov.ph/GEPSNONPILOT/Tender/SplashBidNoticeAbstractUI.aspx?menuIndex=3&amp;refID=7059945&amp;Result=3","7059945")</f>
        <v>0</v>
      </c>
      <c r="B5787" t="s">
        <v>858</v>
      </c>
      <c r="C5787" t="s">
        <v>9040</v>
      </c>
      <c r="D5787" t="s">
        <v>18835</v>
      </c>
      <c r="E5787" t="s">
        <v>20325</v>
      </c>
      <c r="F5787" t="s">
        <v>32664</v>
      </c>
      <c r="G5787" t="s">
        <v>32672</v>
      </c>
      <c r="H5787" t="s">
        <v>12635</v>
      </c>
      <c r="I5787" t="s">
        <v>32694</v>
      </c>
      <c r="J5787" t="s">
        <v>33177</v>
      </c>
      <c r="K5787" t="s">
        <v>42281</v>
      </c>
      <c r="M5787" t="s">
        <v>43457</v>
      </c>
      <c r="N5787" t="s">
        <v>46569</v>
      </c>
      <c r="O5787" t="s">
        <v>46570</v>
      </c>
      <c r="P5787">
        <v>0</v>
      </c>
      <c r="Q5787">
        <v>1</v>
      </c>
      <c r="R5787" t="s">
        <v>46573</v>
      </c>
      <c r="S5787" t="s">
        <v>46705</v>
      </c>
      <c r="T5787" t="s">
        <v>48302</v>
      </c>
      <c r="U5787" t="s">
        <v>53600</v>
      </c>
      <c r="W5787" t="s">
        <v>43457</v>
      </c>
      <c r="X5787" t="s">
        <v>46574</v>
      </c>
    </row>
    <row r="5788" spans="1:24">
      <c r="A5788">
        <f>HYPERLINK("https://www.philgeps.gov.ph/GEPSNONPILOT/Tender/SplashBidNoticeAbstractUI.aspx?menuIndex=3&amp;refID=7059919&amp;Result=3","7059919")</f>
        <v>0</v>
      </c>
      <c r="B5788" t="s">
        <v>1853</v>
      </c>
      <c r="C5788" t="s">
        <v>9041</v>
      </c>
      <c r="D5788" t="s">
        <v>18785</v>
      </c>
      <c r="E5788" t="s">
        <v>24053</v>
      </c>
      <c r="F5788" t="s">
        <v>32664</v>
      </c>
      <c r="G5788" t="s">
        <v>32675</v>
      </c>
      <c r="H5788" t="s">
        <v>12635</v>
      </c>
      <c r="I5788" t="s">
        <v>4205</v>
      </c>
      <c r="J5788" t="s">
        <v>36439</v>
      </c>
      <c r="K5788" t="s">
        <v>42284</v>
      </c>
      <c r="M5788" t="s">
        <v>44564</v>
      </c>
      <c r="N5788" t="s">
        <v>46569</v>
      </c>
      <c r="O5788" t="s">
        <v>46570</v>
      </c>
      <c r="P5788">
        <v>0</v>
      </c>
      <c r="Q5788">
        <v>4</v>
      </c>
      <c r="R5788" t="s">
        <v>46573</v>
      </c>
      <c r="S5788" t="s">
        <v>46705</v>
      </c>
      <c r="T5788" t="s">
        <v>48287</v>
      </c>
      <c r="U5788" t="s">
        <v>53601</v>
      </c>
      <c r="W5788" t="s">
        <v>44564</v>
      </c>
      <c r="X5788" t="s">
        <v>46574</v>
      </c>
    </row>
    <row r="5789" spans="1:24">
      <c r="A5789">
        <f>HYPERLINK("https://www.philgeps.gov.ph/GEPSNONPILOT/Tender/SplashBidNoticeAbstractUI.aspx?menuIndex=3&amp;refID=7059948&amp;Result=3","7059948")</f>
        <v>0</v>
      </c>
      <c r="B5789" t="s">
        <v>629</v>
      </c>
      <c r="C5789" t="s">
        <v>9042</v>
      </c>
      <c r="D5789" t="s">
        <v>18807</v>
      </c>
      <c r="E5789" t="s">
        <v>24054</v>
      </c>
      <c r="F5789" t="s">
        <v>32664</v>
      </c>
      <c r="G5789" t="s">
        <v>32674</v>
      </c>
      <c r="H5789" t="s">
        <v>12635</v>
      </c>
      <c r="I5789" t="s">
        <v>32703</v>
      </c>
      <c r="J5789" t="s">
        <v>36440</v>
      </c>
      <c r="K5789" t="s">
        <v>42283</v>
      </c>
      <c r="M5789" t="s">
        <v>43224</v>
      </c>
      <c r="N5789" t="s">
        <v>46569</v>
      </c>
      <c r="O5789" t="s">
        <v>46570</v>
      </c>
      <c r="P5789">
        <v>0</v>
      </c>
      <c r="Q5789">
        <v>2</v>
      </c>
      <c r="R5789" t="s">
        <v>46573</v>
      </c>
      <c r="S5789" t="s">
        <v>46705</v>
      </c>
      <c r="T5789" t="s">
        <v>48316</v>
      </c>
      <c r="U5789" t="s">
        <v>53602</v>
      </c>
      <c r="W5789" t="s">
        <v>43224</v>
      </c>
      <c r="X5789" t="s">
        <v>46574</v>
      </c>
    </row>
    <row r="5790" spans="1:24">
      <c r="A5790">
        <f>HYPERLINK("https://www.philgeps.gov.ph/GEPSNONPILOT/Tender/SplashBidNoticeAbstractUI.aspx?menuIndex=3&amp;refID=7059979&amp;Result=3","7059979")</f>
        <v>0</v>
      </c>
      <c r="B5790" t="s">
        <v>1935</v>
      </c>
      <c r="C5790" t="s">
        <v>9043</v>
      </c>
      <c r="D5790" t="s">
        <v>18824</v>
      </c>
      <c r="E5790" t="s">
        <v>24055</v>
      </c>
      <c r="F5790" t="s">
        <v>32664</v>
      </c>
      <c r="G5790" t="s">
        <v>32671</v>
      </c>
      <c r="H5790" t="s">
        <v>12635</v>
      </c>
      <c r="I5790" t="s">
        <v>4997</v>
      </c>
      <c r="J5790" t="s">
        <v>32859</v>
      </c>
      <c r="K5790" t="s">
        <v>42289</v>
      </c>
      <c r="M5790" t="s">
        <v>44660</v>
      </c>
      <c r="N5790" t="s">
        <v>46569</v>
      </c>
      <c r="O5790" t="s">
        <v>46570</v>
      </c>
      <c r="P5790">
        <v>0</v>
      </c>
      <c r="Q5790">
        <v>5</v>
      </c>
      <c r="R5790" t="s">
        <v>46573</v>
      </c>
      <c r="S5790" t="s">
        <v>46705</v>
      </c>
      <c r="T5790" t="s">
        <v>48307</v>
      </c>
      <c r="U5790" t="s">
        <v>53589</v>
      </c>
      <c r="W5790" t="s">
        <v>44660</v>
      </c>
      <c r="X5790" t="s">
        <v>46574</v>
      </c>
    </row>
    <row r="5791" spans="1:24">
      <c r="A5791">
        <f>HYPERLINK("https://www.philgeps.gov.ph/GEPSNONPILOT/Tender/SplashBidNoticeAbstractUI.aspx?menuIndex=3&amp;refID=7059942&amp;Result=3","7059942")</f>
        <v>0</v>
      </c>
      <c r="B5791" t="s">
        <v>419</v>
      </c>
      <c r="C5791" t="s">
        <v>9044</v>
      </c>
      <c r="D5791" t="s">
        <v>18784</v>
      </c>
      <c r="E5791" t="s">
        <v>24056</v>
      </c>
      <c r="F5791" t="s">
        <v>32664</v>
      </c>
      <c r="G5791" t="s">
        <v>32674</v>
      </c>
      <c r="H5791" t="s">
        <v>12635</v>
      </c>
      <c r="I5791" t="s">
        <v>6223</v>
      </c>
      <c r="J5791" t="s">
        <v>32898</v>
      </c>
      <c r="K5791" t="s">
        <v>42283</v>
      </c>
      <c r="M5791" t="s">
        <v>42990</v>
      </c>
      <c r="N5791" t="s">
        <v>46569</v>
      </c>
      <c r="O5791" t="s">
        <v>46570</v>
      </c>
      <c r="P5791">
        <v>0</v>
      </c>
      <c r="Q5791">
        <v>2</v>
      </c>
      <c r="R5791" t="s">
        <v>46573</v>
      </c>
      <c r="S5791" t="s">
        <v>46705</v>
      </c>
      <c r="T5791" t="s">
        <v>48555</v>
      </c>
      <c r="U5791" t="s">
        <v>53603</v>
      </c>
      <c r="W5791" t="s">
        <v>42990</v>
      </c>
      <c r="X5791" t="s">
        <v>46574</v>
      </c>
    </row>
    <row r="5792" spans="1:24">
      <c r="A5792">
        <f>HYPERLINK("https://www.philgeps.gov.ph/GEPSNONPILOT/Tender/SplashBidNoticeAbstractUI.aspx?menuIndex=3&amp;refID=7059978&amp;Result=3","7059978")</f>
        <v>0</v>
      </c>
      <c r="B5792" t="s">
        <v>215</v>
      </c>
      <c r="C5792" t="s">
        <v>9045</v>
      </c>
      <c r="D5792" t="s">
        <v>18837</v>
      </c>
      <c r="E5792" t="s">
        <v>24057</v>
      </c>
      <c r="F5792" t="s">
        <v>32664</v>
      </c>
      <c r="G5792" t="s">
        <v>32674</v>
      </c>
      <c r="H5792" t="s">
        <v>12635</v>
      </c>
      <c r="I5792" t="s">
        <v>32762</v>
      </c>
      <c r="J5792" t="s">
        <v>36441</v>
      </c>
      <c r="K5792" t="s">
        <v>42289</v>
      </c>
      <c r="M5792" t="s">
        <v>42779</v>
      </c>
      <c r="N5792" t="s">
        <v>46569</v>
      </c>
      <c r="O5792" t="s">
        <v>46570</v>
      </c>
      <c r="P5792">
        <v>0</v>
      </c>
      <c r="Q5792">
        <v>4</v>
      </c>
      <c r="R5792" t="s">
        <v>46573</v>
      </c>
      <c r="S5792" t="s">
        <v>46705</v>
      </c>
      <c r="T5792" t="s">
        <v>48293</v>
      </c>
      <c r="U5792" t="s">
        <v>53604</v>
      </c>
      <c r="W5792" t="s">
        <v>42779</v>
      </c>
      <c r="X5792" t="s">
        <v>46574</v>
      </c>
    </row>
    <row r="5793" spans="1:24">
      <c r="A5793">
        <f>HYPERLINK("https://www.philgeps.gov.ph/GEPSNONPILOT/Tender/SplashBidNoticeAbstractUI.aspx?menuIndex=3&amp;refID=7059972&amp;Result=3","7059972")</f>
        <v>0</v>
      </c>
      <c r="B5793" t="s">
        <v>1942</v>
      </c>
      <c r="C5793" t="s">
        <v>9046</v>
      </c>
      <c r="E5793" t="s">
        <v>24058</v>
      </c>
      <c r="F5793" t="s">
        <v>32664</v>
      </c>
      <c r="G5793" t="s">
        <v>32671</v>
      </c>
      <c r="H5793" t="s">
        <v>12635</v>
      </c>
      <c r="I5793" t="s">
        <v>10361</v>
      </c>
      <c r="J5793" t="s">
        <v>33824</v>
      </c>
      <c r="K5793" t="s">
        <v>42283</v>
      </c>
      <c r="M5793" t="s">
        <v>44667</v>
      </c>
      <c r="N5793" t="s">
        <v>46569</v>
      </c>
      <c r="O5793" t="s">
        <v>46570</v>
      </c>
      <c r="P5793">
        <v>0</v>
      </c>
      <c r="Q5793">
        <v>4</v>
      </c>
      <c r="R5793" t="s">
        <v>46573</v>
      </c>
      <c r="S5793" t="s">
        <v>46705</v>
      </c>
      <c r="T5793" t="s">
        <v>48376</v>
      </c>
      <c r="U5793" t="s">
        <v>53605</v>
      </c>
      <c r="W5793" t="s">
        <v>44667</v>
      </c>
      <c r="X5793" t="s">
        <v>46574</v>
      </c>
    </row>
    <row r="5794" spans="1:24">
      <c r="A5794">
        <f>HYPERLINK("https://www.philgeps.gov.ph/GEPSNONPILOT/Tender/SplashBidNoticeAbstractUI.aspx?menuIndex=3&amp;refID=7059971&amp;Result=3","7059971")</f>
        <v>0</v>
      </c>
      <c r="B5794" t="s">
        <v>1939</v>
      </c>
      <c r="C5794" t="s">
        <v>9047</v>
      </c>
      <c r="E5794" t="s">
        <v>24059</v>
      </c>
      <c r="F5794" t="s">
        <v>32664</v>
      </c>
      <c r="G5794" t="s">
        <v>32672</v>
      </c>
      <c r="H5794" t="s">
        <v>12635</v>
      </c>
      <c r="I5794" t="s">
        <v>7324</v>
      </c>
      <c r="J5794" t="s">
        <v>33051</v>
      </c>
      <c r="K5794" t="s">
        <v>42298</v>
      </c>
      <c r="L5794" t="s">
        <v>1939</v>
      </c>
      <c r="M5794" t="s">
        <v>44664</v>
      </c>
      <c r="N5794" t="s">
        <v>46569</v>
      </c>
      <c r="O5794" t="s">
        <v>46570</v>
      </c>
      <c r="P5794">
        <v>0</v>
      </c>
      <c r="Q5794">
        <v>0</v>
      </c>
      <c r="R5794" t="s">
        <v>46573</v>
      </c>
      <c r="S5794" t="s">
        <v>46705</v>
      </c>
      <c r="T5794" t="s">
        <v>48453</v>
      </c>
      <c r="U5794" t="s">
        <v>53606</v>
      </c>
      <c r="W5794" t="s">
        <v>44664</v>
      </c>
      <c r="X5794" t="s">
        <v>46574</v>
      </c>
    </row>
    <row r="5795" spans="1:24">
      <c r="A5795">
        <f>HYPERLINK("https://www.philgeps.gov.ph/GEPSNONPILOT/Tender/SplashBidNoticeAbstractUI.aspx?menuIndex=3&amp;refID=7059981&amp;Result=3","7059981")</f>
        <v>0</v>
      </c>
      <c r="B5795" t="s">
        <v>1943</v>
      </c>
      <c r="C5795" t="s">
        <v>9048</v>
      </c>
      <c r="D5795" t="s">
        <v>18842</v>
      </c>
      <c r="E5795" t="s">
        <v>24060</v>
      </c>
      <c r="F5795" t="s">
        <v>32664</v>
      </c>
      <c r="G5795" t="s">
        <v>32672</v>
      </c>
      <c r="H5795" t="s">
        <v>12635</v>
      </c>
      <c r="I5795" t="s">
        <v>8730</v>
      </c>
      <c r="J5795" t="s">
        <v>36442</v>
      </c>
      <c r="K5795" t="s">
        <v>42289</v>
      </c>
      <c r="M5795" t="s">
        <v>44668</v>
      </c>
      <c r="N5795" t="s">
        <v>46569</v>
      </c>
      <c r="O5795" t="s">
        <v>46570</v>
      </c>
      <c r="P5795">
        <v>0</v>
      </c>
      <c r="Q5795">
        <v>2</v>
      </c>
      <c r="R5795" t="s">
        <v>46573</v>
      </c>
      <c r="S5795" t="s">
        <v>46705</v>
      </c>
      <c r="T5795" t="s">
        <v>48212</v>
      </c>
      <c r="U5795" t="s">
        <v>53607</v>
      </c>
      <c r="W5795" t="s">
        <v>44668</v>
      </c>
      <c r="X5795" t="s">
        <v>46574</v>
      </c>
    </row>
    <row r="5796" spans="1:24">
      <c r="A5796">
        <f>HYPERLINK("https://www.philgeps.gov.ph/GEPSNONPILOT/Tender/SplashBidNoticeAbstractUI.aspx?menuIndex=3&amp;refID=7059968&amp;Result=3","7059968")</f>
        <v>0</v>
      </c>
      <c r="B5796" t="s">
        <v>1028</v>
      </c>
      <c r="C5796" t="s">
        <v>9049</v>
      </c>
      <c r="D5796" t="s">
        <v>18805</v>
      </c>
      <c r="E5796" t="s">
        <v>24061</v>
      </c>
      <c r="F5796" t="s">
        <v>32664</v>
      </c>
      <c r="G5796" t="s">
        <v>32672</v>
      </c>
      <c r="H5796" t="s">
        <v>32683</v>
      </c>
      <c r="I5796" t="s">
        <v>10627</v>
      </c>
      <c r="J5796" t="s">
        <v>34481</v>
      </c>
      <c r="K5796" t="s">
        <v>42444</v>
      </c>
      <c r="M5796" t="s">
        <v>43640</v>
      </c>
      <c r="N5796" t="s">
        <v>46569</v>
      </c>
      <c r="O5796" t="s">
        <v>46570</v>
      </c>
      <c r="P5796">
        <v>0</v>
      </c>
      <c r="Q5796">
        <v>4</v>
      </c>
      <c r="R5796" t="s">
        <v>46573</v>
      </c>
      <c r="S5796" t="s">
        <v>46705</v>
      </c>
      <c r="T5796" t="s">
        <v>48349</v>
      </c>
      <c r="U5796" t="s">
        <v>53608</v>
      </c>
      <c r="W5796" t="s">
        <v>63539</v>
      </c>
      <c r="X5796" t="s">
        <v>46574</v>
      </c>
    </row>
    <row r="5797" spans="1:24">
      <c r="A5797">
        <f>HYPERLINK("https://www.philgeps.gov.ph/GEPSNONPILOT/Tender/SplashBidNoticeAbstractUI.aspx?menuIndex=3&amp;refID=7059954&amp;Result=3","7059954")</f>
        <v>0</v>
      </c>
      <c r="B5797" t="s">
        <v>1944</v>
      </c>
      <c r="C5797" t="s">
        <v>9050</v>
      </c>
      <c r="D5797" t="s">
        <v>18806</v>
      </c>
      <c r="E5797" t="s">
        <v>24062</v>
      </c>
      <c r="F5797" t="s">
        <v>32664</v>
      </c>
      <c r="G5797" t="s">
        <v>32672</v>
      </c>
      <c r="H5797" t="s">
        <v>12635</v>
      </c>
      <c r="I5797" t="s">
        <v>4439</v>
      </c>
      <c r="J5797" t="s">
        <v>36443</v>
      </c>
      <c r="K5797" t="s">
        <v>42297</v>
      </c>
      <c r="M5797" t="s">
        <v>44669</v>
      </c>
      <c r="N5797" t="s">
        <v>46569</v>
      </c>
      <c r="O5797" t="s">
        <v>46570</v>
      </c>
      <c r="P5797">
        <v>0</v>
      </c>
      <c r="Q5797">
        <v>0</v>
      </c>
      <c r="R5797" t="s">
        <v>46573</v>
      </c>
      <c r="S5797" t="s">
        <v>46705</v>
      </c>
      <c r="T5797" t="s">
        <v>48308</v>
      </c>
      <c r="U5797" t="s">
        <v>53609</v>
      </c>
      <c r="V5797" t="s">
        <v>62224</v>
      </c>
      <c r="W5797" t="s">
        <v>44669</v>
      </c>
      <c r="X5797" t="s">
        <v>46574</v>
      </c>
    </row>
    <row r="5798" spans="1:24">
      <c r="A5798">
        <f>HYPERLINK("https://www.philgeps.gov.ph/GEPSNONPILOT/Tender/SplashBidNoticeAbstractUI.aspx?menuIndex=3&amp;refID=7059966&amp;Result=3","7059966")</f>
        <v>0</v>
      </c>
      <c r="B5798" t="s">
        <v>1825</v>
      </c>
      <c r="C5798" t="s">
        <v>9051</v>
      </c>
      <c r="D5798" t="s">
        <v>18784</v>
      </c>
      <c r="E5798" t="s">
        <v>24063</v>
      </c>
      <c r="F5798" t="s">
        <v>32664</v>
      </c>
      <c r="G5798" t="s">
        <v>32671</v>
      </c>
      <c r="H5798" t="s">
        <v>12635</v>
      </c>
      <c r="I5798" t="s">
        <v>10361</v>
      </c>
      <c r="J5798" t="s">
        <v>36444</v>
      </c>
      <c r="K5798" t="s">
        <v>42334</v>
      </c>
      <c r="M5798" t="s">
        <v>44670</v>
      </c>
      <c r="N5798" t="s">
        <v>46569</v>
      </c>
      <c r="O5798" t="s">
        <v>46570</v>
      </c>
      <c r="P5798">
        <v>0</v>
      </c>
      <c r="Q5798">
        <v>5</v>
      </c>
      <c r="R5798" t="s">
        <v>46573</v>
      </c>
      <c r="S5798" t="s">
        <v>46705</v>
      </c>
      <c r="T5798" t="s">
        <v>48287</v>
      </c>
      <c r="U5798" t="s">
        <v>53610</v>
      </c>
      <c r="W5798" t="s">
        <v>44670</v>
      </c>
      <c r="X5798" t="s">
        <v>46574</v>
      </c>
    </row>
    <row r="5799" spans="1:24">
      <c r="A5799">
        <f>HYPERLINK("https://www.philgeps.gov.ph/GEPSNONPILOT/Tender/SplashBidNoticeAbstractUI.aspx?menuIndex=3&amp;refID=7059914&amp;Result=3","7059914")</f>
        <v>0</v>
      </c>
      <c r="B5799" t="s">
        <v>1884</v>
      </c>
      <c r="C5799" t="s">
        <v>9052</v>
      </c>
      <c r="D5799" t="s">
        <v>18784</v>
      </c>
      <c r="E5799" t="s">
        <v>24064</v>
      </c>
      <c r="F5799" t="s">
        <v>32664</v>
      </c>
      <c r="G5799" t="s">
        <v>32671</v>
      </c>
      <c r="H5799" t="s">
        <v>12635</v>
      </c>
      <c r="I5799" t="s">
        <v>8797</v>
      </c>
      <c r="J5799" t="s">
        <v>33096</v>
      </c>
      <c r="K5799" t="s">
        <v>42284</v>
      </c>
      <c r="M5799" t="s">
        <v>44603</v>
      </c>
      <c r="N5799" t="s">
        <v>46569</v>
      </c>
      <c r="O5799" t="s">
        <v>46570</v>
      </c>
      <c r="P5799">
        <v>0</v>
      </c>
      <c r="Q5799">
        <v>4</v>
      </c>
      <c r="R5799" t="s">
        <v>46573</v>
      </c>
      <c r="S5799" t="s">
        <v>46705</v>
      </c>
      <c r="T5799" t="s">
        <v>48219</v>
      </c>
      <c r="U5799" t="s">
        <v>53611</v>
      </c>
      <c r="V5799" t="s">
        <v>62212</v>
      </c>
      <c r="W5799" t="s">
        <v>44603</v>
      </c>
      <c r="X5799" t="s">
        <v>46574</v>
      </c>
    </row>
    <row r="5800" spans="1:24">
      <c r="A5800">
        <f>HYPERLINK("https://www.philgeps.gov.ph/GEPSNONPILOT/Tender/SplashBidNoticeAbstractUI.aspx?menuIndex=3&amp;refID=7059965&amp;Result=3","7059965")</f>
        <v>0</v>
      </c>
      <c r="B5800" t="s">
        <v>1563</v>
      </c>
      <c r="C5800" t="s">
        <v>9053</v>
      </c>
      <c r="D5800" t="s">
        <v>18822</v>
      </c>
      <c r="E5800" t="s">
        <v>24065</v>
      </c>
      <c r="F5800" t="s">
        <v>32664</v>
      </c>
      <c r="G5800" t="s">
        <v>32674</v>
      </c>
      <c r="H5800" t="s">
        <v>12635</v>
      </c>
      <c r="I5800" t="s">
        <v>32689</v>
      </c>
      <c r="J5800" t="s">
        <v>36445</v>
      </c>
      <c r="K5800" t="s">
        <v>42297</v>
      </c>
      <c r="M5800" t="s">
        <v>44235</v>
      </c>
      <c r="N5800" t="s">
        <v>46569</v>
      </c>
      <c r="O5800" t="s">
        <v>46570</v>
      </c>
      <c r="P5800">
        <v>0</v>
      </c>
      <c r="Q5800">
        <v>2</v>
      </c>
      <c r="R5800" t="s">
        <v>46573</v>
      </c>
      <c r="S5800" t="s">
        <v>46705</v>
      </c>
      <c r="T5800" t="s">
        <v>48251</v>
      </c>
      <c r="U5800" t="s">
        <v>53612</v>
      </c>
      <c r="W5800" t="s">
        <v>44235</v>
      </c>
      <c r="X5800" t="s">
        <v>46574</v>
      </c>
    </row>
    <row r="5801" spans="1:24">
      <c r="A5801">
        <f>HYPERLINK("https://www.philgeps.gov.ph/GEPSNONPILOT/Tender/SplashBidNoticeAbstractUI.aspx?menuIndex=3&amp;refID=7059963&amp;Result=3","7059963")</f>
        <v>0</v>
      </c>
      <c r="B5801" t="s">
        <v>117</v>
      </c>
      <c r="C5801" t="s">
        <v>9054</v>
      </c>
      <c r="D5801" t="s">
        <v>18799</v>
      </c>
      <c r="E5801" t="s">
        <v>24066</v>
      </c>
      <c r="F5801" t="s">
        <v>32664</v>
      </c>
      <c r="G5801" t="s">
        <v>32672</v>
      </c>
      <c r="H5801" t="s">
        <v>12635</v>
      </c>
      <c r="I5801" t="s">
        <v>32687</v>
      </c>
      <c r="J5801" t="s">
        <v>32963</v>
      </c>
      <c r="K5801" t="s">
        <v>42283</v>
      </c>
      <c r="M5801" t="s">
        <v>44671</v>
      </c>
      <c r="N5801" t="s">
        <v>46569</v>
      </c>
      <c r="O5801" t="s">
        <v>46570</v>
      </c>
      <c r="P5801">
        <v>0</v>
      </c>
      <c r="Q5801">
        <v>7</v>
      </c>
      <c r="R5801" t="s">
        <v>46573</v>
      </c>
      <c r="S5801" t="s">
        <v>46705</v>
      </c>
      <c r="T5801" t="s">
        <v>48272</v>
      </c>
      <c r="U5801" t="s">
        <v>53613</v>
      </c>
      <c r="W5801" t="s">
        <v>44671</v>
      </c>
      <c r="X5801" t="s">
        <v>46574</v>
      </c>
    </row>
    <row r="5802" spans="1:24">
      <c r="A5802">
        <f>HYPERLINK("https://www.philgeps.gov.ph/GEPSNONPILOT/Tender/SplashBidNoticeAbstractUI.aspx?menuIndex=3&amp;refID=7060011&amp;Result=3","7060011")</f>
        <v>0</v>
      </c>
      <c r="B5802" t="s">
        <v>1838</v>
      </c>
      <c r="C5802" t="s">
        <v>9055</v>
      </c>
      <c r="D5802" t="s">
        <v>18799</v>
      </c>
      <c r="E5802" t="s">
        <v>24067</v>
      </c>
      <c r="F5802" t="s">
        <v>32664</v>
      </c>
      <c r="G5802" t="s">
        <v>32674</v>
      </c>
      <c r="H5802" t="s">
        <v>12635</v>
      </c>
      <c r="I5802" t="s">
        <v>5589</v>
      </c>
      <c r="J5802" t="s">
        <v>34062</v>
      </c>
      <c r="K5802" t="s">
        <v>42281</v>
      </c>
      <c r="M5802" t="s">
        <v>44546</v>
      </c>
      <c r="N5802" t="s">
        <v>46569</v>
      </c>
      <c r="O5802" t="s">
        <v>46570</v>
      </c>
      <c r="P5802">
        <v>0</v>
      </c>
      <c r="Q5802">
        <v>7</v>
      </c>
      <c r="R5802" t="s">
        <v>46573</v>
      </c>
      <c r="S5802" t="s">
        <v>46705</v>
      </c>
      <c r="T5802" t="s">
        <v>48316</v>
      </c>
      <c r="U5802" t="s">
        <v>49565</v>
      </c>
      <c r="W5802" t="s">
        <v>44546</v>
      </c>
      <c r="X5802" t="s">
        <v>46574</v>
      </c>
    </row>
    <row r="5803" spans="1:24">
      <c r="A5803">
        <f>HYPERLINK("https://www.philgeps.gov.ph/GEPSNONPILOT/Tender/SplashBidNoticeAbstractUI.aspx?menuIndex=3&amp;refID=7059976&amp;Result=3","7059976")</f>
        <v>0</v>
      </c>
      <c r="B5803" t="s">
        <v>1945</v>
      </c>
      <c r="C5803" t="s">
        <v>9056</v>
      </c>
      <c r="D5803" t="s">
        <v>18792</v>
      </c>
      <c r="E5803" t="s">
        <v>18926</v>
      </c>
      <c r="F5803" t="s">
        <v>32664</v>
      </c>
      <c r="G5803" t="s">
        <v>32672</v>
      </c>
      <c r="H5803" t="s">
        <v>32682</v>
      </c>
      <c r="I5803" t="s">
        <v>4439</v>
      </c>
      <c r="J5803" t="s">
        <v>33659</v>
      </c>
      <c r="K5803" t="s">
        <v>42289</v>
      </c>
      <c r="M5803" t="s">
        <v>44672</v>
      </c>
      <c r="N5803" t="s">
        <v>46569</v>
      </c>
      <c r="O5803" t="s">
        <v>46570</v>
      </c>
      <c r="P5803">
        <v>0</v>
      </c>
      <c r="Q5803">
        <v>0</v>
      </c>
      <c r="R5803" t="s">
        <v>46573</v>
      </c>
      <c r="S5803" t="s">
        <v>46705</v>
      </c>
      <c r="T5803" t="s">
        <v>48328</v>
      </c>
      <c r="U5803" t="s">
        <v>53614</v>
      </c>
      <c r="W5803" t="s">
        <v>44672</v>
      </c>
      <c r="X5803" t="s">
        <v>46574</v>
      </c>
    </row>
    <row r="5804" spans="1:24">
      <c r="A5804">
        <f>HYPERLINK("https://www.philgeps.gov.ph/GEPSNONPILOT/Tender/SplashBidNoticeAbstractUI.aspx?menuIndex=3&amp;refID=7060008&amp;Result=3","7060008")</f>
        <v>0</v>
      </c>
      <c r="B5804" t="s">
        <v>1259</v>
      </c>
      <c r="C5804" t="s">
        <v>9057</v>
      </c>
      <c r="D5804" t="s">
        <v>18782</v>
      </c>
      <c r="E5804" t="s">
        <v>24068</v>
      </c>
      <c r="F5804" t="s">
        <v>32664</v>
      </c>
      <c r="G5804" t="s">
        <v>32671</v>
      </c>
      <c r="H5804" t="s">
        <v>12635</v>
      </c>
      <c r="I5804" t="s">
        <v>10361</v>
      </c>
      <c r="J5804" t="s">
        <v>36446</v>
      </c>
      <c r="K5804" t="s">
        <v>42284</v>
      </c>
      <c r="M5804" t="s">
        <v>43901</v>
      </c>
      <c r="N5804" t="s">
        <v>46569</v>
      </c>
      <c r="O5804" t="s">
        <v>46570</v>
      </c>
      <c r="P5804">
        <v>0</v>
      </c>
      <c r="Q5804">
        <v>0</v>
      </c>
      <c r="R5804" t="s">
        <v>46573</v>
      </c>
      <c r="S5804" t="s">
        <v>46705</v>
      </c>
      <c r="T5804" t="s">
        <v>48556</v>
      </c>
      <c r="U5804" t="s">
        <v>53615</v>
      </c>
      <c r="W5804" t="s">
        <v>43901</v>
      </c>
      <c r="X5804" t="s">
        <v>46574</v>
      </c>
    </row>
    <row r="5805" spans="1:24">
      <c r="A5805">
        <f>HYPERLINK("https://www.philgeps.gov.ph/GEPSNONPILOT/Tender/SplashBidNoticeAbstractUI.aspx?menuIndex=3&amp;refID=7060005&amp;Result=3","7060005")</f>
        <v>0</v>
      </c>
      <c r="B5805" t="s">
        <v>1946</v>
      </c>
      <c r="C5805" t="s">
        <v>9058</v>
      </c>
      <c r="D5805" t="s">
        <v>18843</v>
      </c>
      <c r="E5805" t="s">
        <v>24069</v>
      </c>
      <c r="F5805" t="s">
        <v>32664</v>
      </c>
      <c r="G5805" t="s">
        <v>32671</v>
      </c>
      <c r="H5805" t="s">
        <v>32683</v>
      </c>
      <c r="I5805" t="s">
        <v>10627</v>
      </c>
      <c r="J5805" t="s">
        <v>33051</v>
      </c>
      <c r="K5805" t="s">
        <v>42321</v>
      </c>
      <c r="M5805" t="s">
        <v>44673</v>
      </c>
      <c r="N5805" t="s">
        <v>46569</v>
      </c>
      <c r="O5805" t="s">
        <v>46570</v>
      </c>
      <c r="P5805">
        <v>0</v>
      </c>
      <c r="Q5805">
        <v>0</v>
      </c>
      <c r="R5805" t="s">
        <v>46573</v>
      </c>
      <c r="S5805" t="s">
        <v>46705</v>
      </c>
      <c r="T5805" t="s">
        <v>48254</v>
      </c>
      <c r="U5805" t="s">
        <v>53616</v>
      </c>
      <c r="W5805" t="s">
        <v>44673</v>
      </c>
      <c r="X5805" t="s">
        <v>46574</v>
      </c>
    </row>
    <row r="5806" spans="1:24">
      <c r="A5806">
        <f>HYPERLINK("https://www.philgeps.gov.ph/GEPSNONPILOT/Tender/SplashBidNoticeAbstractUI.aspx?menuIndex=3&amp;refID=7060004&amp;Result=3","7060004")</f>
        <v>0</v>
      </c>
      <c r="B5806" t="s">
        <v>331</v>
      </c>
      <c r="C5806" t="s">
        <v>9059</v>
      </c>
      <c r="D5806" t="s">
        <v>18807</v>
      </c>
      <c r="E5806" t="s">
        <v>24070</v>
      </c>
      <c r="F5806" t="s">
        <v>32664</v>
      </c>
      <c r="G5806" t="s">
        <v>32671</v>
      </c>
      <c r="H5806" t="s">
        <v>12635</v>
      </c>
      <c r="I5806" t="s">
        <v>9486</v>
      </c>
      <c r="J5806" t="s">
        <v>32853</v>
      </c>
      <c r="K5806" t="s">
        <v>42289</v>
      </c>
      <c r="L5806" t="s">
        <v>331</v>
      </c>
      <c r="M5806" t="s">
        <v>42899</v>
      </c>
      <c r="N5806" t="s">
        <v>46569</v>
      </c>
      <c r="O5806" t="s">
        <v>46570</v>
      </c>
      <c r="P5806">
        <v>0</v>
      </c>
      <c r="Q5806">
        <v>2</v>
      </c>
      <c r="R5806" t="s">
        <v>46573</v>
      </c>
      <c r="S5806" t="s">
        <v>46705</v>
      </c>
      <c r="T5806" t="s">
        <v>48450</v>
      </c>
      <c r="U5806" t="s">
        <v>49385</v>
      </c>
      <c r="V5806" t="s">
        <v>62225</v>
      </c>
      <c r="W5806" t="s">
        <v>42899</v>
      </c>
      <c r="X5806" t="s">
        <v>46574</v>
      </c>
    </row>
    <row r="5807" spans="1:24">
      <c r="A5807">
        <f>HYPERLINK("https://www.philgeps.gov.ph/GEPSNONPILOT/Tender/SplashBidNoticeAbstractUI.aspx?menuIndex=3&amp;refID=7060001&amp;Result=3","7060001")</f>
        <v>0</v>
      </c>
      <c r="B5807" t="s">
        <v>1944</v>
      </c>
      <c r="C5807" t="s">
        <v>9060</v>
      </c>
      <c r="D5807" t="s">
        <v>18806</v>
      </c>
      <c r="E5807" t="s">
        <v>24071</v>
      </c>
      <c r="F5807" t="s">
        <v>32664</v>
      </c>
      <c r="G5807" t="s">
        <v>32672</v>
      </c>
      <c r="H5807" t="s">
        <v>12635</v>
      </c>
      <c r="I5807" t="s">
        <v>4439</v>
      </c>
      <c r="J5807" t="s">
        <v>36447</v>
      </c>
      <c r="K5807" t="s">
        <v>42297</v>
      </c>
      <c r="M5807" t="s">
        <v>44669</v>
      </c>
      <c r="N5807" t="s">
        <v>46569</v>
      </c>
      <c r="O5807" t="s">
        <v>46570</v>
      </c>
      <c r="P5807">
        <v>0</v>
      </c>
      <c r="Q5807">
        <v>0</v>
      </c>
      <c r="R5807" t="s">
        <v>46573</v>
      </c>
      <c r="S5807" t="s">
        <v>46705</v>
      </c>
      <c r="T5807" t="s">
        <v>48308</v>
      </c>
      <c r="U5807" t="s">
        <v>53617</v>
      </c>
      <c r="V5807" t="s">
        <v>62224</v>
      </c>
      <c r="W5807" t="s">
        <v>44669</v>
      </c>
      <c r="X5807" t="s">
        <v>46574</v>
      </c>
    </row>
    <row r="5808" spans="1:24">
      <c r="A5808">
        <f>HYPERLINK("https://www.philgeps.gov.ph/GEPSNONPILOT/Tender/SplashBidNoticeAbstractUI.aspx?menuIndex=3&amp;refID=7059967&amp;Result=3","7059967")</f>
        <v>0</v>
      </c>
      <c r="B5808" t="s">
        <v>1947</v>
      </c>
      <c r="C5808" t="s">
        <v>9061</v>
      </c>
      <c r="D5808" t="s">
        <v>18784</v>
      </c>
      <c r="E5808" t="s">
        <v>24072</v>
      </c>
      <c r="F5808" t="s">
        <v>32664</v>
      </c>
      <c r="G5808" t="s">
        <v>32671</v>
      </c>
      <c r="H5808" t="s">
        <v>12635</v>
      </c>
      <c r="I5808" t="s">
        <v>10370</v>
      </c>
      <c r="J5808" t="s">
        <v>33107</v>
      </c>
      <c r="K5808" t="s">
        <v>42281</v>
      </c>
      <c r="M5808" t="s">
        <v>44674</v>
      </c>
      <c r="N5808" t="s">
        <v>46569</v>
      </c>
      <c r="O5808" t="s">
        <v>46570</v>
      </c>
      <c r="P5808">
        <v>0</v>
      </c>
      <c r="Q5808">
        <v>15</v>
      </c>
      <c r="R5808" t="s">
        <v>46573</v>
      </c>
      <c r="S5808" t="s">
        <v>46705</v>
      </c>
      <c r="T5808" t="s">
        <v>48329</v>
      </c>
      <c r="U5808" t="s">
        <v>53618</v>
      </c>
      <c r="W5808" t="s">
        <v>44674</v>
      </c>
      <c r="X5808" t="s">
        <v>46574</v>
      </c>
    </row>
    <row r="5809" spans="1:24">
      <c r="A5809">
        <f>HYPERLINK("https://www.philgeps.gov.ph/GEPSNONPILOT/Tender/SplashBidNoticeAbstractUI.aspx?menuIndex=3&amp;refID=7059913&amp;Result=3","7059913")</f>
        <v>0</v>
      </c>
      <c r="B5809" t="s">
        <v>1948</v>
      </c>
      <c r="C5809" t="s">
        <v>9062</v>
      </c>
      <c r="D5809" t="s">
        <v>18838</v>
      </c>
      <c r="E5809" t="s">
        <v>24073</v>
      </c>
      <c r="F5809" t="s">
        <v>32664</v>
      </c>
      <c r="G5809" t="s">
        <v>32672</v>
      </c>
      <c r="H5809" t="s">
        <v>12635</v>
      </c>
      <c r="I5809" t="s">
        <v>4439</v>
      </c>
      <c r="J5809" t="s">
        <v>36448</v>
      </c>
      <c r="K5809" t="s">
        <v>42330</v>
      </c>
      <c r="M5809" t="s">
        <v>44675</v>
      </c>
      <c r="N5809" t="s">
        <v>46569</v>
      </c>
      <c r="O5809" t="s">
        <v>46570</v>
      </c>
      <c r="P5809">
        <v>0</v>
      </c>
      <c r="Q5809">
        <v>1</v>
      </c>
      <c r="R5809" t="s">
        <v>46573</v>
      </c>
      <c r="S5809" t="s">
        <v>46705</v>
      </c>
      <c r="T5809" t="s">
        <v>48305</v>
      </c>
      <c r="U5809" t="s">
        <v>51308</v>
      </c>
      <c r="W5809" t="s">
        <v>44675</v>
      </c>
      <c r="X5809" t="s">
        <v>46574</v>
      </c>
    </row>
    <row r="5810" spans="1:24">
      <c r="A5810">
        <f>HYPERLINK("https://www.philgeps.gov.ph/GEPSNONPILOT/Tender/SplashBidNoticeAbstractUI.aspx?menuIndex=3&amp;refID=7060002&amp;Result=3","7060002")</f>
        <v>0</v>
      </c>
      <c r="B5810" t="s">
        <v>1734</v>
      </c>
      <c r="C5810" t="s">
        <v>9063</v>
      </c>
      <c r="D5810" t="s">
        <v>18868</v>
      </c>
      <c r="E5810" t="s">
        <v>24074</v>
      </c>
      <c r="F5810" t="s">
        <v>32664</v>
      </c>
      <c r="G5810" t="s">
        <v>32671</v>
      </c>
      <c r="H5810" t="s">
        <v>12635</v>
      </c>
      <c r="I5810" t="s">
        <v>4439</v>
      </c>
      <c r="J5810" t="s">
        <v>36449</v>
      </c>
      <c r="K5810" t="s">
        <v>42289</v>
      </c>
      <c r="M5810" t="s">
        <v>44433</v>
      </c>
      <c r="N5810" t="s">
        <v>46569</v>
      </c>
      <c r="O5810" t="s">
        <v>46570</v>
      </c>
      <c r="P5810">
        <v>0</v>
      </c>
      <c r="Q5810">
        <v>0</v>
      </c>
      <c r="R5810" t="s">
        <v>46573</v>
      </c>
      <c r="S5810" t="s">
        <v>46705</v>
      </c>
      <c r="T5810" t="s">
        <v>48280</v>
      </c>
      <c r="U5810" t="s">
        <v>53619</v>
      </c>
      <c r="W5810" t="s">
        <v>44433</v>
      </c>
      <c r="X5810" t="s">
        <v>46574</v>
      </c>
    </row>
    <row r="5811" spans="1:24">
      <c r="A5811">
        <f>HYPERLINK("https://www.philgeps.gov.ph/GEPSNONPILOT/Tender/SplashBidNoticeAbstractUI.aspx?menuIndex=3&amp;refID=7059996&amp;Result=3","7059996")</f>
        <v>0</v>
      </c>
      <c r="B5811" t="s">
        <v>1881</v>
      </c>
      <c r="C5811" t="s">
        <v>9064</v>
      </c>
      <c r="D5811" t="s">
        <v>18798</v>
      </c>
      <c r="E5811" t="s">
        <v>20540</v>
      </c>
      <c r="F5811" t="s">
        <v>32664</v>
      </c>
      <c r="G5811" t="s">
        <v>32671</v>
      </c>
      <c r="H5811" t="s">
        <v>12635</v>
      </c>
      <c r="I5811" t="s">
        <v>4997</v>
      </c>
      <c r="J5811" t="s">
        <v>36450</v>
      </c>
      <c r="K5811" t="s">
        <v>42283</v>
      </c>
      <c r="M5811" t="s">
        <v>44599</v>
      </c>
      <c r="N5811" t="s">
        <v>46569</v>
      </c>
      <c r="O5811" t="s">
        <v>46570</v>
      </c>
      <c r="P5811">
        <v>0</v>
      </c>
      <c r="Q5811">
        <v>4</v>
      </c>
      <c r="R5811" t="s">
        <v>46573</v>
      </c>
      <c r="S5811" t="s">
        <v>46705</v>
      </c>
      <c r="T5811" t="s">
        <v>48427</v>
      </c>
      <c r="U5811" t="s">
        <v>53620</v>
      </c>
      <c r="W5811" t="s">
        <v>44599</v>
      </c>
      <c r="X5811" t="s">
        <v>46574</v>
      </c>
    </row>
    <row r="5812" spans="1:24">
      <c r="A5812">
        <f>HYPERLINK("https://www.philgeps.gov.ph/GEPSNONPILOT/Tender/SplashBidNoticeAbstractUI.aspx?menuIndex=3&amp;refID=7059995&amp;Result=3","7059995")</f>
        <v>0</v>
      </c>
      <c r="B5812" t="s">
        <v>844</v>
      </c>
      <c r="C5812" t="s">
        <v>9065</v>
      </c>
      <c r="D5812" t="s">
        <v>18805</v>
      </c>
      <c r="E5812" t="s">
        <v>24075</v>
      </c>
      <c r="F5812" t="s">
        <v>32664</v>
      </c>
      <c r="G5812" t="s">
        <v>32672</v>
      </c>
      <c r="H5812" t="s">
        <v>12635</v>
      </c>
      <c r="I5812" t="s">
        <v>6168</v>
      </c>
      <c r="J5812" t="s">
        <v>33338</v>
      </c>
      <c r="K5812" t="s">
        <v>42306</v>
      </c>
      <c r="M5812" t="s">
        <v>43439</v>
      </c>
      <c r="N5812" t="s">
        <v>46569</v>
      </c>
      <c r="O5812" t="s">
        <v>46570</v>
      </c>
      <c r="P5812">
        <v>0</v>
      </c>
      <c r="Q5812">
        <v>1</v>
      </c>
      <c r="R5812" t="s">
        <v>46573</v>
      </c>
      <c r="S5812" t="s">
        <v>46705</v>
      </c>
      <c r="T5812" t="s">
        <v>48443</v>
      </c>
      <c r="U5812" t="s">
        <v>53621</v>
      </c>
      <c r="W5812" t="s">
        <v>43439</v>
      </c>
      <c r="X5812" t="s">
        <v>46574</v>
      </c>
    </row>
    <row r="5813" spans="1:24">
      <c r="A5813">
        <f>HYPERLINK("https://www.philgeps.gov.ph/GEPSNONPILOT/Tender/SplashBidNoticeAbstractUI.aspx?menuIndex=3&amp;refID=7059994&amp;Result=3","7059994")</f>
        <v>0</v>
      </c>
      <c r="B5813" t="s">
        <v>1937</v>
      </c>
      <c r="C5813" t="s">
        <v>9066</v>
      </c>
      <c r="D5813" t="s">
        <v>18782</v>
      </c>
      <c r="E5813" t="s">
        <v>24076</v>
      </c>
      <c r="F5813" t="s">
        <v>32664</v>
      </c>
      <c r="G5813" t="s">
        <v>32672</v>
      </c>
      <c r="H5813" t="s">
        <v>32683</v>
      </c>
      <c r="I5813" t="s">
        <v>10627</v>
      </c>
      <c r="J5813" t="s">
        <v>36451</v>
      </c>
      <c r="K5813" t="s">
        <v>42337</v>
      </c>
      <c r="M5813" t="s">
        <v>44662</v>
      </c>
      <c r="N5813" t="s">
        <v>46569</v>
      </c>
      <c r="O5813" t="s">
        <v>46570</v>
      </c>
      <c r="P5813">
        <v>0</v>
      </c>
      <c r="Q5813">
        <v>2</v>
      </c>
      <c r="R5813" t="s">
        <v>46573</v>
      </c>
      <c r="S5813" t="s">
        <v>46705</v>
      </c>
      <c r="T5813" t="s">
        <v>48283</v>
      </c>
      <c r="U5813" t="s">
        <v>53591</v>
      </c>
      <c r="W5813" t="s">
        <v>44662</v>
      </c>
      <c r="X5813" t="s">
        <v>46574</v>
      </c>
    </row>
    <row r="5814" spans="1:24">
      <c r="A5814">
        <f>HYPERLINK("https://www.philgeps.gov.ph/GEPSNONPILOT/Tender/SplashBidNoticeAbstractUI.aspx?menuIndex=3&amp;refID=7059992&amp;Result=3","7059992")</f>
        <v>0</v>
      </c>
      <c r="B5814" t="s">
        <v>1852</v>
      </c>
      <c r="C5814" t="s">
        <v>9067</v>
      </c>
      <c r="D5814" t="s">
        <v>18832</v>
      </c>
      <c r="E5814" t="s">
        <v>24077</v>
      </c>
      <c r="F5814" t="s">
        <v>32664</v>
      </c>
      <c r="G5814" t="s">
        <v>32672</v>
      </c>
      <c r="H5814" t="s">
        <v>32683</v>
      </c>
      <c r="I5814" t="s">
        <v>10627</v>
      </c>
      <c r="J5814" t="s">
        <v>36452</v>
      </c>
      <c r="K5814" t="s">
        <v>42281</v>
      </c>
      <c r="L5814" t="s">
        <v>1852</v>
      </c>
      <c r="M5814" t="s">
        <v>44561</v>
      </c>
      <c r="N5814" t="s">
        <v>46569</v>
      </c>
      <c r="O5814" t="s">
        <v>46570</v>
      </c>
      <c r="P5814">
        <v>0</v>
      </c>
      <c r="Q5814">
        <v>0</v>
      </c>
      <c r="R5814" t="s">
        <v>46573</v>
      </c>
      <c r="S5814" t="s">
        <v>46705</v>
      </c>
      <c r="T5814" t="s">
        <v>48557</v>
      </c>
      <c r="U5814" t="s">
        <v>53313</v>
      </c>
      <c r="W5814" t="s">
        <v>44561</v>
      </c>
      <c r="X5814" t="s">
        <v>46574</v>
      </c>
    </row>
    <row r="5815" spans="1:24">
      <c r="A5815">
        <f>HYPERLINK("https://www.philgeps.gov.ph/GEPSNONPILOT/Tender/SplashBidNoticeAbstractUI.aspx?menuIndex=3&amp;refID=7059964&amp;Result=3","7059964")</f>
        <v>0</v>
      </c>
      <c r="B5815" t="s">
        <v>619</v>
      </c>
      <c r="C5815" t="s">
        <v>9068</v>
      </c>
      <c r="D5815" t="s">
        <v>18784</v>
      </c>
      <c r="E5815" t="s">
        <v>18937</v>
      </c>
      <c r="F5815" t="s">
        <v>32664</v>
      </c>
      <c r="G5815" t="s">
        <v>32672</v>
      </c>
      <c r="H5815" t="s">
        <v>32683</v>
      </c>
      <c r="I5815" t="s">
        <v>10374</v>
      </c>
      <c r="J5815" t="s">
        <v>33138</v>
      </c>
      <c r="K5815" t="s">
        <v>42283</v>
      </c>
      <c r="M5815" t="s">
        <v>43199</v>
      </c>
      <c r="N5815" t="s">
        <v>46569</v>
      </c>
      <c r="O5815" t="s">
        <v>46570</v>
      </c>
      <c r="P5815">
        <v>0</v>
      </c>
      <c r="Q5815">
        <v>1</v>
      </c>
      <c r="R5815" t="s">
        <v>46573</v>
      </c>
      <c r="S5815" t="s">
        <v>46705</v>
      </c>
      <c r="T5815" t="s">
        <v>48305</v>
      </c>
      <c r="U5815" t="s">
        <v>53622</v>
      </c>
      <c r="W5815" t="s">
        <v>43199</v>
      </c>
      <c r="X5815" t="s">
        <v>46574</v>
      </c>
    </row>
    <row r="5816" spans="1:24">
      <c r="A5816">
        <f>HYPERLINK("https://www.philgeps.gov.ph/GEPSNONPILOT/Tender/SplashBidNoticeAbstractUI.aspx?menuIndex=3&amp;refID=7059991&amp;Result=3","7059991")</f>
        <v>0</v>
      </c>
      <c r="B5816" t="s">
        <v>1949</v>
      </c>
      <c r="C5816" t="s">
        <v>9069</v>
      </c>
      <c r="D5816" t="s">
        <v>18781</v>
      </c>
      <c r="E5816" t="s">
        <v>24078</v>
      </c>
      <c r="F5816" t="s">
        <v>32664</v>
      </c>
      <c r="G5816" t="s">
        <v>32671</v>
      </c>
      <c r="H5816" t="s">
        <v>12635</v>
      </c>
      <c r="I5816" t="s">
        <v>32688</v>
      </c>
      <c r="J5816" t="s">
        <v>36453</v>
      </c>
      <c r="K5816" t="s">
        <v>42289</v>
      </c>
      <c r="M5816" t="s">
        <v>44676</v>
      </c>
      <c r="N5816" t="s">
        <v>46569</v>
      </c>
      <c r="O5816" t="s">
        <v>46570</v>
      </c>
      <c r="P5816">
        <v>0</v>
      </c>
      <c r="Q5816">
        <v>2</v>
      </c>
      <c r="R5816" t="s">
        <v>46573</v>
      </c>
      <c r="S5816" t="s">
        <v>46705</v>
      </c>
      <c r="T5816" t="s">
        <v>48287</v>
      </c>
      <c r="U5816" t="s">
        <v>53623</v>
      </c>
      <c r="V5816" t="s">
        <v>62226</v>
      </c>
      <c r="W5816" t="s">
        <v>44676</v>
      </c>
      <c r="X5816" t="s">
        <v>46574</v>
      </c>
    </row>
    <row r="5817" spans="1:24">
      <c r="A5817">
        <f>HYPERLINK("https://www.philgeps.gov.ph/GEPSNONPILOT/Tender/SplashBidNoticeAbstractUI.aspx?menuIndex=3&amp;refID=7060041&amp;Result=3","7060041")</f>
        <v>0</v>
      </c>
      <c r="B5817" t="s">
        <v>1944</v>
      </c>
      <c r="C5817" t="s">
        <v>9070</v>
      </c>
      <c r="D5817" t="s">
        <v>18806</v>
      </c>
      <c r="E5817" t="s">
        <v>24079</v>
      </c>
      <c r="F5817" t="s">
        <v>32664</v>
      </c>
      <c r="G5817" t="s">
        <v>32672</v>
      </c>
      <c r="H5817" t="s">
        <v>12635</v>
      </c>
      <c r="I5817" t="s">
        <v>4439</v>
      </c>
      <c r="J5817" t="s">
        <v>36454</v>
      </c>
      <c r="K5817" t="s">
        <v>42297</v>
      </c>
      <c r="M5817" t="s">
        <v>44669</v>
      </c>
      <c r="N5817" t="s">
        <v>46569</v>
      </c>
      <c r="O5817" t="s">
        <v>46570</v>
      </c>
      <c r="P5817">
        <v>0</v>
      </c>
      <c r="Q5817">
        <v>0</v>
      </c>
      <c r="R5817" t="s">
        <v>46573</v>
      </c>
      <c r="S5817" t="s">
        <v>46705</v>
      </c>
      <c r="T5817" t="s">
        <v>48308</v>
      </c>
      <c r="U5817" t="s">
        <v>53624</v>
      </c>
      <c r="V5817" t="s">
        <v>62224</v>
      </c>
      <c r="W5817" t="s">
        <v>44669</v>
      </c>
      <c r="X5817" t="s">
        <v>46574</v>
      </c>
    </row>
    <row r="5818" spans="1:24">
      <c r="A5818">
        <f>HYPERLINK("https://www.philgeps.gov.ph/GEPSNONPILOT/Tender/SplashBidNoticeAbstractUI.aspx?menuIndex=3&amp;refID=7060037&amp;Result=3","7060037")</f>
        <v>0</v>
      </c>
      <c r="B5818" t="s">
        <v>1134</v>
      </c>
      <c r="C5818" t="s">
        <v>9071</v>
      </c>
      <c r="D5818" t="s">
        <v>18844</v>
      </c>
      <c r="E5818" t="s">
        <v>24080</v>
      </c>
      <c r="F5818" t="s">
        <v>32664</v>
      </c>
      <c r="G5818" t="s">
        <v>32672</v>
      </c>
      <c r="H5818" t="s">
        <v>12635</v>
      </c>
      <c r="I5818" t="s">
        <v>4439</v>
      </c>
      <c r="J5818" t="s">
        <v>36455</v>
      </c>
      <c r="K5818" t="s">
        <v>42303</v>
      </c>
      <c r="M5818" t="s">
        <v>43763</v>
      </c>
      <c r="N5818" t="s">
        <v>46569</v>
      </c>
      <c r="O5818" t="s">
        <v>46570</v>
      </c>
      <c r="P5818">
        <v>0</v>
      </c>
      <c r="Q5818">
        <v>0</v>
      </c>
      <c r="R5818" t="s">
        <v>46573</v>
      </c>
      <c r="S5818" t="s">
        <v>46705</v>
      </c>
      <c r="T5818" t="s">
        <v>48226</v>
      </c>
      <c r="U5818" t="s">
        <v>53625</v>
      </c>
      <c r="W5818" t="s">
        <v>43763</v>
      </c>
      <c r="X5818" t="s">
        <v>46574</v>
      </c>
    </row>
    <row r="5819" spans="1:24">
      <c r="A5819">
        <f>HYPERLINK("https://www.philgeps.gov.ph/GEPSNONPILOT/Tender/SplashBidNoticeAbstractUI.aspx?menuIndex=3&amp;refID=7060039&amp;Result=3","7060039")</f>
        <v>0</v>
      </c>
      <c r="B5819" t="s">
        <v>1950</v>
      </c>
      <c r="C5819" t="s">
        <v>9072</v>
      </c>
      <c r="D5819" t="s">
        <v>18784</v>
      </c>
      <c r="E5819" t="s">
        <v>19380</v>
      </c>
      <c r="F5819" t="s">
        <v>32664</v>
      </c>
      <c r="G5819" t="s">
        <v>32671</v>
      </c>
      <c r="H5819" t="s">
        <v>32683</v>
      </c>
      <c r="I5819" t="s">
        <v>32681</v>
      </c>
      <c r="J5819" t="s">
        <v>36456</v>
      </c>
      <c r="K5819" t="s">
        <v>42284</v>
      </c>
      <c r="M5819" t="s">
        <v>44677</v>
      </c>
      <c r="N5819" t="s">
        <v>46569</v>
      </c>
      <c r="O5819" t="s">
        <v>46570</v>
      </c>
      <c r="P5819">
        <v>0</v>
      </c>
      <c r="Q5819">
        <v>1</v>
      </c>
      <c r="R5819" t="s">
        <v>46573</v>
      </c>
      <c r="S5819" t="s">
        <v>46705</v>
      </c>
      <c r="T5819" t="s">
        <v>48305</v>
      </c>
      <c r="U5819" t="s">
        <v>53626</v>
      </c>
      <c r="W5819" t="s">
        <v>44677</v>
      </c>
      <c r="X5819" t="s">
        <v>46574</v>
      </c>
    </row>
    <row r="5820" spans="1:24">
      <c r="A5820">
        <f>HYPERLINK("https://www.philgeps.gov.ph/GEPSNONPILOT/Tender/SplashBidNoticeAbstractUI.aspx?menuIndex=3&amp;refID=7060036&amp;Result=3","7060036")</f>
        <v>0</v>
      </c>
      <c r="B5820" t="s">
        <v>1374</v>
      </c>
      <c r="C5820" t="s">
        <v>9073</v>
      </c>
      <c r="D5820" t="s">
        <v>18821</v>
      </c>
      <c r="E5820" t="s">
        <v>24081</v>
      </c>
      <c r="F5820" t="s">
        <v>32664</v>
      </c>
      <c r="G5820" t="s">
        <v>32672</v>
      </c>
      <c r="H5820" t="s">
        <v>12635</v>
      </c>
      <c r="I5820" t="s">
        <v>10361</v>
      </c>
      <c r="J5820" t="s">
        <v>33311</v>
      </c>
      <c r="K5820" t="s">
        <v>42297</v>
      </c>
      <c r="M5820" t="s">
        <v>44029</v>
      </c>
      <c r="N5820" t="s">
        <v>46569</v>
      </c>
      <c r="O5820" t="s">
        <v>46570</v>
      </c>
      <c r="P5820">
        <v>0</v>
      </c>
      <c r="Q5820">
        <v>0</v>
      </c>
      <c r="R5820" t="s">
        <v>46573</v>
      </c>
      <c r="S5820" t="s">
        <v>46705</v>
      </c>
      <c r="T5820" t="s">
        <v>48368</v>
      </c>
      <c r="U5820" t="s">
        <v>51729</v>
      </c>
      <c r="W5820" t="s">
        <v>44029</v>
      </c>
      <c r="X5820" t="s">
        <v>46574</v>
      </c>
    </row>
    <row r="5821" spans="1:24">
      <c r="A5821">
        <f>HYPERLINK("https://www.philgeps.gov.ph/GEPSNONPILOT/Tender/SplashBidNoticeAbstractUI.aspx?menuIndex=3&amp;refID=7059999&amp;Result=3","7059999")</f>
        <v>0</v>
      </c>
      <c r="B5821" t="s">
        <v>1853</v>
      </c>
      <c r="C5821" t="s">
        <v>9074</v>
      </c>
      <c r="D5821" t="s">
        <v>18785</v>
      </c>
      <c r="E5821" t="s">
        <v>24082</v>
      </c>
      <c r="F5821" t="s">
        <v>32664</v>
      </c>
      <c r="G5821" t="s">
        <v>32671</v>
      </c>
      <c r="H5821" t="s">
        <v>12635</v>
      </c>
      <c r="I5821" t="s">
        <v>32699</v>
      </c>
      <c r="J5821" t="s">
        <v>36457</v>
      </c>
      <c r="K5821" t="s">
        <v>42330</v>
      </c>
      <c r="M5821" t="s">
        <v>44564</v>
      </c>
      <c r="N5821" t="s">
        <v>46569</v>
      </c>
      <c r="O5821" t="s">
        <v>46570</v>
      </c>
      <c r="P5821">
        <v>0</v>
      </c>
      <c r="Q5821">
        <v>1</v>
      </c>
      <c r="R5821" t="s">
        <v>46573</v>
      </c>
      <c r="S5821" t="s">
        <v>46705</v>
      </c>
      <c r="T5821" t="s">
        <v>48287</v>
      </c>
      <c r="U5821" t="s">
        <v>53627</v>
      </c>
      <c r="W5821" t="s">
        <v>44564</v>
      </c>
      <c r="X5821" t="s">
        <v>46574</v>
      </c>
    </row>
    <row r="5822" spans="1:24">
      <c r="A5822">
        <f>HYPERLINK("https://www.philgeps.gov.ph/GEPSNONPILOT/Tender/SplashBidNoticeAbstractUI.aspx?menuIndex=3&amp;refID=7060031&amp;Result=3","7060031")</f>
        <v>0</v>
      </c>
      <c r="B5822" t="s">
        <v>1936</v>
      </c>
      <c r="C5822" t="s">
        <v>9075</v>
      </c>
      <c r="D5822" t="s">
        <v>18799</v>
      </c>
      <c r="E5822" t="s">
        <v>20061</v>
      </c>
      <c r="F5822" t="s">
        <v>32664</v>
      </c>
      <c r="G5822" t="s">
        <v>32674</v>
      </c>
      <c r="H5822" t="s">
        <v>12635</v>
      </c>
      <c r="I5822" t="s">
        <v>32692</v>
      </c>
      <c r="J5822" t="s">
        <v>36458</v>
      </c>
      <c r="K5822" t="s">
        <v>42339</v>
      </c>
      <c r="M5822" t="s">
        <v>44661</v>
      </c>
      <c r="N5822" t="s">
        <v>46569</v>
      </c>
      <c r="O5822" t="s">
        <v>46570</v>
      </c>
      <c r="P5822">
        <v>0</v>
      </c>
      <c r="Q5822">
        <v>0</v>
      </c>
      <c r="R5822" t="s">
        <v>46573</v>
      </c>
      <c r="S5822" t="s">
        <v>46705</v>
      </c>
      <c r="T5822" t="s">
        <v>48254</v>
      </c>
      <c r="U5822" t="s">
        <v>49258</v>
      </c>
      <c r="W5822" t="s">
        <v>44661</v>
      </c>
      <c r="X5822" t="s">
        <v>46574</v>
      </c>
    </row>
    <row r="5823" spans="1:24">
      <c r="A5823">
        <f>HYPERLINK("https://www.philgeps.gov.ph/GEPSNONPILOT/Tender/SplashBidNoticeAbstractUI.aspx?menuIndex=3&amp;refID=7060029&amp;Result=3","7060029")</f>
        <v>0</v>
      </c>
      <c r="B5823" t="s">
        <v>940</v>
      </c>
      <c r="C5823" t="s">
        <v>9076</v>
      </c>
      <c r="D5823" t="s">
        <v>18784</v>
      </c>
      <c r="E5823" t="s">
        <v>24083</v>
      </c>
      <c r="F5823" t="s">
        <v>32664</v>
      </c>
      <c r="G5823" t="s">
        <v>32671</v>
      </c>
      <c r="H5823" t="s">
        <v>12635</v>
      </c>
      <c r="I5823" t="s">
        <v>32725</v>
      </c>
      <c r="J5823" t="s">
        <v>36459</v>
      </c>
      <c r="K5823" t="s">
        <v>42334</v>
      </c>
      <c r="M5823" t="s">
        <v>44678</v>
      </c>
      <c r="N5823" t="s">
        <v>46569</v>
      </c>
      <c r="O5823" t="s">
        <v>46570</v>
      </c>
      <c r="P5823">
        <v>0</v>
      </c>
      <c r="Q5823">
        <v>6</v>
      </c>
      <c r="R5823" t="s">
        <v>46573</v>
      </c>
      <c r="S5823" t="s">
        <v>46705</v>
      </c>
      <c r="T5823" t="s">
        <v>48306</v>
      </c>
      <c r="U5823" t="s">
        <v>53628</v>
      </c>
      <c r="V5823" t="s">
        <v>62227</v>
      </c>
      <c r="W5823" t="s">
        <v>44678</v>
      </c>
      <c r="X5823" t="s">
        <v>46574</v>
      </c>
    </row>
    <row r="5824" spans="1:24">
      <c r="A5824">
        <f>HYPERLINK("https://www.philgeps.gov.ph/GEPSNONPILOT/Tender/SplashBidNoticeAbstractUI.aspx?menuIndex=3&amp;refID=7060000&amp;Result=3","7060000")</f>
        <v>0</v>
      </c>
      <c r="B5824" t="s">
        <v>1374</v>
      </c>
      <c r="C5824" t="s">
        <v>9077</v>
      </c>
      <c r="D5824" t="s">
        <v>18821</v>
      </c>
      <c r="E5824" t="s">
        <v>24084</v>
      </c>
      <c r="F5824" t="s">
        <v>32664</v>
      </c>
      <c r="G5824" t="s">
        <v>32672</v>
      </c>
      <c r="H5824" t="s">
        <v>12635</v>
      </c>
      <c r="I5824" t="s">
        <v>4205</v>
      </c>
      <c r="J5824" t="s">
        <v>36460</v>
      </c>
      <c r="K5824" t="s">
        <v>42297</v>
      </c>
      <c r="M5824" t="s">
        <v>44029</v>
      </c>
      <c r="N5824" t="s">
        <v>46569</v>
      </c>
      <c r="O5824" t="s">
        <v>46570</v>
      </c>
      <c r="P5824">
        <v>0</v>
      </c>
      <c r="Q5824">
        <v>0</v>
      </c>
      <c r="R5824" t="s">
        <v>46573</v>
      </c>
      <c r="S5824" t="s">
        <v>46705</v>
      </c>
      <c r="T5824" t="s">
        <v>48368</v>
      </c>
      <c r="U5824" t="s">
        <v>53629</v>
      </c>
      <c r="W5824" t="s">
        <v>44029</v>
      </c>
      <c r="X5824" t="s">
        <v>46574</v>
      </c>
    </row>
    <row r="5825" spans="1:24">
      <c r="A5825">
        <f>HYPERLINK("https://www.philgeps.gov.ph/GEPSNONPILOT/Tender/SplashBidNoticeAbstractUI.aspx?menuIndex=3&amp;refID=7060026&amp;Result=3","7060026")</f>
        <v>0</v>
      </c>
      <c r="B5825" t="s">
        <v>1951</v>
      </c>
      <c r="C5825" t="s">
        <v>9078</v>
      </c>
      <c r="D5825" t="s">
        <v>18827</v>
      </c>
      <c r="E5825" t="s">
        <v>20540</v>
      </c>
      <c r="F5825" t="s">
        <v>32664</v>
      </c>
      <c r="G5825" t="s">
        <v>32671</v>
      </c>
      <c r="H5825" t="s">
        <v>12635</v>
      </c>
      <c r="I5825" t="s">
        <v>32727</v>
      </c>
      <c r="J5825" t="s">
        <v>36461</v>
      </c>
      <c r="K5825" t="s">
        <v>42289</v>
      </c>
      <c r="M5825" t="s">
        <v>44679</v>
      </c>
      <c r="N5825" t="s">
        <v>46569</v>
      </c>
      <c r="O5825" t="s">
        <v>46570</v>
      </c>
      <c r="P5825">
        <v>0</v>
      </c>
      <c r="Q5825">
        <v>1</v>
      </c>
      <c r="R5825" t="s">
        <v>46573</v>
      </c>
      <c r="S5825" t="s">
        <v>46705</v>
      </c>
      <c r="T5825" t="s">
        <v>48254</v>
      </c>
      <c r="U5825" t="s">
        <v>53630</v>
      </c>
      <c r="W5825" t="s">
        <v>44679</v>
      </c>
      <c r="X5825" t="s">
        <v>46574</v>
      </c>
    </row>
    <row r="5826" spans="1:24">
      <c r="A5826">
        <f>HYPERLINK("https://www.philgeps.gov.ph/GEPSNONPILOT/Tender/SplashBidNoticeAbstractUI.aspx?menuIndex=3&amp;refID=7060033&amp;Result=3","7060033")</f>
        <v>0</v>
      </c>
      <c r="B5826" t="s">
        <v>117</v>
      </c>
      <c r="C5826" t="s">
        <v>9079</v>
      </c>
      <c r="D5826" t="s">
        <v>18799</v>
      </c>
      <c r="E5826" t="s">
        <v>24085</v>
      </c>
      <c r="F5826" t="s">
        <v>32664</v>
      </c>
      <c r="G5826" t="s">
        <v>32672</v>
      </c>
      <c r="H5826" t="s">
        <v>12635</v>
      </c>
      <c r="I5826" t="s">
        <v>32721</v>
      </c>
      <c r="J5826" t="s">
        <v>36462</v>
      </c>
      <c r="K5826" t="s">
        <v>42283</v>
      </c>
      <c r="M5826" t="s">
        <v>44671</v>
      </c>
      <c r="N5826" t="s">
        <v>46569</v>
      </c>
      <c r="O5826" t="s">
        <v>46570</v>
      </c>
      <c r="P5826">
        <v>0</v>
      </c>
      <c r="Q5826">
        <v>4</v>
      </c>
      <c r="R5826" t="s">
        <v>46573</v>
      </c>
      <c r="S5826" t="s">
        <v>46705</v>
      </c>
      <c r="T5826" t="s">
        <v>48272</v>
      </c>
      <c r="U5826" t="s">
        <v>53631</v>
      </c>
      <c r="W5826" t="s">
        <v>44671</v>
      </c>
      <c r="X5826" t="s">
        <v>46574</v>
      </c>
    </row>
    <row r="5827" spans="1:24">
      <c r="A5827">
        <f>HYPERLINK("https://www.philgeps.gov.ph/GEPSNONPILOT/Tender/SplashBidNoticeAbstractUI.aspx?menuIndex=3&amp;refID=7059998&amp;Result=3","7059998")</f>
        <v>0</v>
      </c>
      <c r="B5827" t="s">
        <v>1935</v>
      </c>
      <c r="C5827" t="s">
        <v>9080</v>
      </c>
      <c r="D5827" t="s">
        <v>18824</v>
      </c>
      <c r="E5827" t="s">
        <v>24086</v>
      </c>
      <c r="F5827" t="s">
        <v>32664</v>
      </c>
      <c r="G5827" t="s">
        <v>32671</v>
      </c>
      <c r="H5827" t="s">
        <v>12635</v>
      </c>
      <c r="I5827" t="s">
        <v>32685</v>
      </c>
      <c r="J5827" t="s">
        <v>36463</v>
      </c>
      <c r="K5827" t="s">
        <v>42289</v>
      </c>
      <c r="M5827" t="s">
        <v>44660</v>
      </c>
      <c r="N5827" t="s">
        <v>46569</v>
      </c>
      <c r="O5827" t="s">
        <v>46570</v>
      </c>
      <c r="P5827">
        <v>0</v>
      </c>
      <c r="Q5827">
        <v>1</v>
      </c>
      <c r="R5827" t="s">
        <v>46573</v>
      </c>
      <c r="S5827" t="s">
        <v>46705</v>
      </c>
      <c r="T5827" t="s">
        <v>48307</v>
      </c>
      <c r="U5827" t="s">
        <v>53589</v>
      </c>
      <c r="W5827" t="s">
        <v>44660</v>
      </c>
      <c r="X5827" t="s">
        <v>46574</v>
      </c>
    </row>
    <row r="5828" spans="1:24">
      <c r="A5828">
        <f>HYPERLINK("https://www.philgeps.gov.ph/GEPSNONPILOT/Tender/SplashBidNoticeAbstractUI.aspx?menuIndex=3&amp;refID=7060025&amp;Result=3","7060025")</f>
        <v>0</v>
      </c>
      <c r="B5828" t="s">
        <v>1946</v>
      </c>
      <c r="C5828" t="s">
        <v>9081</v>
      </c>
      <c r="D5828" t="s">
        <v>18843</v>
      </c>
      <c r="E5828" t="s">
        <v>24087</v>
      </c>
      <c r="F5828" t="s">
        <v>32664</v>
      </c>
      <c r="G5828" t="s">
        <v>32671</v>
      </c>
      <c r="H5828" t="s">
        <v>32683</v>
      </c>
      <c r="I5828" t="s">
        <v>10627</v>
      </c>
      <c r="J5828" t="s">
        <v>33051</v>
      </c>
      <c r="K5828" t="s">
        <v>42322</v>
      </c>
      <c r="M5828" t="s">
        <v>44673</v>
      </c>
      <c r="N5828" t="s">
        <v>46569</v>
      </c>
      <c r="O5828" t="s">
        <v>46570</v>
      </c>
      <c r="P5828">
        <v>0</v>
      </c>
      <c r="Q5828">
        <v>0</v>
      </c>
      <c r="R5828" t="s">
        <v>46573</v>
      </c>
      <c r="S5828" t="s">
        <v>46705</v>
      </c>
      <c r="T5828" t="s">
        <v>48254</v>
      </c>
      <c r="U5828" t="s">
        <v>53632</v>
      </c>
      <c r="W5828" t="s">
        <v>44673</v>
      </c>
      <c r="X5828" t="s">
        <v>46574</v>
      </c>
    </row>
    <row r="5829" spans="1:24">
      <c r="A5829">
        <f>HYPERLINK("https://www.philgeps.gov.ph/GEPSNONPILOT/Tender/SplashBidNoticeAbstractUI.aspx?menuIndex=3&amp;refID=7060068&amp;Result=3","7060068")</f>
        <v>0</v>
      </c>
      <c r="B5829" t="s">
        <v>1950</v>
      </c>
      <c r="C5829" t="s">
        <v>9082</v>
      </c>
      <c r="D5829" t="s">
        <v>18784</v>
      </c>
      <c r="E5829" t="s">
        <v>19673</v>
      </c>
      <c r="F5829" t="s">
        <v>32664</v>
      </c>
      <c r="G5829" t="s">
        <v>32671</v>
      </c>
      <c r="H5829" t="s">
        <v>32683</v>
      </c>
      <c r="I5829" t="s">
        <v>10627</v>
      </c>
      <c r="J5829" t="s">
        <v>36464</v>
      </c>
      <c r="K5829" t="s">
        <v>42284</v>
      </c>
      <c r="M5829" t="s">
        <v>44677</v>
      </c>
      <c r="N5829" t="s">
        <v>46569</v>
      </c>
      <c r="O5829" t="s">
        <v>46570</v>
      </c>
      <c r="P5829">
        <v>0</v>
      </c>
      <c r="Q5829">
        <v>0</v>
      </c>
      <c r="R5829" t="s">
        <v>46573</v>
      </c>
      <c r="S5829" t="s">
        <v>46705</v>
      </c>
      <c r="T5829" t="s">
        <v>48305</v>
      </c>
      <c r="U5829" t="s">
        <v>53626</v>
      </c>
      <c r="W5829" t="s">
        <v>44677</v>
      </c>
      <c r="X5829" t="s">
        <v>46574</v>
      </c>
    </row>
    <row r="5830" spans="1:24">
      <c r="A5830">
        <f>HYPERLINK("https://www.philgeps.gov.ph/GEPSNONPILOT/Tender/SplashBidNoticeAbstractUI.aspx?menuIndex=3&amp;refID=7060040&amp;Result=3","7060040")</f>
        <v>0</v>
      </c>
      <c r="B5830" t="s">
        <v>1853</v>
      </c>
      <c r="C5830" t="s">
        <v>9083</v>
      </c>
      <c r="D5830" t="s">
        <v>18785</v>
      </c>
      <c r="E5830" t="s">
        <v>24088</v>
      </c>
      <c r="F5830" t="s">
        <v>32664</v>
      </c>
      <c r="G5830" t="s">
        <v>32671</v>
      </c>
      <c r="H5830" t="s">
        <v>12635</v>
      </c>
      <c r="I5830" t="s">
        <v>6553</v>
      </c>
      <c r="J5830" t="s">
        <v>36465</v>
      </c>
      <c r="K5830" t="s">
        <v>42325</v>
      </c>
      <c r="M5830" t="s">
        <v>44564</v>
      </c>
      <c r="N5830" t="s">
        <v>46569</v>
      </c>
      <c r="O5830" t="s">
        <v>46570</v>
      </c>
      <c r="P5830">
        <v>0</v>
      </c>
      <c r="Q5830">
        <v>2</v>
      </c>
      <c r="R5830" t="s">
        <v>46573</v>
      </c>
      <c r="S5830" t="s">
        <v>46705</v>
      </c>
      <c r="T5830" t="s">
        <v>48287</v>
      </c>
      <c r="U5830" t="s">
        <v>53633</v>
      </c>
      <c r="W5830" t="s">
        <v>44564</v>
      </c>
      <c r="X5830" t="s">
        <v>46574</v>
      </c>
    </row>
    <row r="5831" spans="1:24">
      <c r="A5831">
        <f>HYPERLINK("https://www.philgeps.gov.ph/GEPSNONPILOT/Tender/SplashBidNoticeAbstractUI.aspx?menuIndex=3&amp;refID=7060028&amp;Result=3","7060028")</f>
        <v>0</v>
      </c>
      <c r="B5831" t="s">
        <v>1952</v>
      </c>
      <c r="C5831" t="s">
        <v>9084</v>
      </c>
      <c r="D5831" t="s">
        <v>18792</v>
      </c>
      <c r="E5831" t="s">
        <v>24089</v>
      </c>
      <c r="F5831" t="s">
        <v>32664</v>
      </c>
      <c r="G5831" t="s">
        <v>32671</v>
      </c>
      <c r="H5831" t="s">
        <v>12635</v>
      </c>
      <c r="I5831" t="s">
        <v>8797</v>
      </c>
      <c r="J5831" t="s">
        <v>32859</v>
      </c>
      <c r="K5831" t="s">
        <v>42283</v>
      </c>
      <c r="M5831" t="s">
        <v>44680</v>
      </c>
      <c r="N5831" t="s">
        <v>46569</v>
      </c>
      <c r="O5831" t="s">
        <v>46570</v>
      </c>
      <c r="P5831">
        <v>0</v>
      </c>
      <c r="Q5831">
        <v>4</v>
      </c>
      <c r="R5831" t="s">
        <v>46573</v>
      </c>
      <c r="S5831" t="s">
        <v>46705</v>
      </c>
      <c r="T5831" t="s">
        <v>48254</v>
      </c>
      <c r="U5831" t="s">
        <v>53634</v>
      </c>
      <c r="W5831" t="s">
        <v>44680</v>
      </c>
      <c r="X5831" t="s">
        <v>46574</v>
      </c>
    </row>
    <row r="5832" spans="1:24">
      <c r="A5832">
        <f>HYPERLINK("https://www.philgeps.gov.ph/GEPSNONPILOT/Tender/SplashBidNoticeAbstractUI.aspx?menuIndex=3&amp;refID=7060067&amp;Result=3","7060067")</f>
        <v>0</v>
      </c>
      <c r="B5832" t="s">
        <v>1783</v>
      </c>
      <c r="C5832" t="s">
        <v>9085</v>
      </c>
      <c r="D5832" t="s">
        <v>18784</v>
      </c>
      <c r="E5832" t="s">
        <v>19371</v>
      </c>
      <c r="F5832" t="s">
        <v>32665</v>
      </c>
      <c r="G5832" t="s">
        <v>32674</v>
      </c>
      <c r="H5832" t="s">
        <v>12635</v>
      </c>
      <c r="I5832" t="s">
        <v>32781</v>
      </c>
      <c r="J5832" t="s">
        <v>32898</v>
      </c>
      <c r="K5832" t="s">
        <v>42283</v>
      </c>
      <c r="M5832" t="s">
        <v>44485</v>
      </c>
      <c r="N5832" t="s">
        <v>46569</v>
      </c>
      <c r="O5832" t="s">
        <v>46570</v>
      </c>
      <c r="P5832">
        <v>0</v>
      </c>
      <c r="Q5832">
        <v>3</v>
      </c>
      <c r="R5832" t="s">
        <v>46573</v>
      </c>
      <c r="S5832" t="s">
        <v>46705</v>
      </c>
      <c r="T5832" t="s">
        <v>48449</v>
      </c>
      <c r="U5832" t="s">
        <v>53091</v>
      </c>
      <c r="V5832" t="s">
        <v>62164</v>
      </c>
      <c r="W5832" t="s">
        <v>44485</v>
      </c>
      <c r="X5832" t="s">
        <v>46574</v>
      </c>
    </row>
    <row r="5833" spans="1:24">
      <c r="A5833">
        <f>HYPERLINK("https://www.philgeps.gov.ph/GEPSNONPILOT/Tender/SplashBidNoticeAbstractUI.aspx?menuIndex=3&amp;refID=7060066&amp;Result=3","7060066")</f>
        <v>0</v>
      </c>
      <c r="B5833" t="s">
        <v>419</v>
      </c>
      <c r="C5833" t="s">
        <v>9086</v>
      </c>
      <c r="D5833" t="s">
        <v>18784</v>
      </c>
      <c r="E5833" t="s">
        <v>24090</v>
      </c>
      <c r="F5833" t="s">
        <v>32664</v>
      </c>
      <c r="G5833" t="s">
        <v>32674</v>
      </c>
      <c r="H5833" t="s">
        <v>12635</v>
      </c>
      <c r="I5833" t="s">
        <v>10374</v>
      </c>
      <c r="J5833" t="s">
        <v>32917</v>
      </c>
      <c r="K5833" t="s">
        <v>42283</v>
      </c>
      <c r="M5833" t="s">
        <v>42990</v>
      </c>
      <c r="N5833" t="s">
        <v>46569</v>
      </c>
      <c r="O5833" t="s">
        <v>46570</v>
      </c>
      <c r="P5833">
        <v>0</v>
      </c>
      <c r="Q5833">
        <v>5</v>
      </c>
      <c r="R5833" t="s">
        <v>46573</v>
      </c>
      <c r="S5833" t="s">
        <v>46705</v>
      </c>
      <c r="T5833" t="s">
        <v>48251</v>
      </c>
      <c r="U5833" t="s">
        <v>53635</v>
      </c>
      <c r="W5833" t="s">
        <v>42990</v>
      </c>
      <c r="X5833" t="s">
        <v>46574</v>
      </c>
    </row>
    <row r="5834" spans="1:24">
      <c r="A5834">
        <f>HYPERLINK("https://www.philgeps.gov.ph/GEPSNONPILOT/Tender/SplashBidNoticeAbstractUI.aspx?menuIndex=3&amp;refID=7060065&amp;Result=3","7060065")</f>
        <v>0</v>
      </c>
      <c r="B5834" t="s">
        <v>1953</v>
      </c>
      <c r="C5834" t="s">
        <v>9087</v>
      </c>
      <c r="D5834" t="s">
        <v>18782</v>
      </c>
      <c r="E5834" t="s">
        <v>24091</v>
      </c>
      <c r="F5834" t="s">
        <v>32664</v>
      </c>
      <c r="G5834" t="s">
        <v>32674</v>
      </c>
      <c r="H5834" t="s">
        <v>12635</v>
      </c>
      <c r="I5834" t="s">
        <v>4439</v>
      </c>
      <c r="J5834" t="s">
        <v>33500</v>
      </c>
      <c r="K5834" t="s">
        <v>42284</v>
      </c>
      <c r="M5834" t="s">
        <v>44681</v>
      </c>
      <c r="N5834" t="s">
        <v>46569</v>
      </c>
      <c r="O5834" t="s">
        <v>46570</v>
      </c>
      <c r="P5834">
        <v>0</v>
      </c>
      <c r="Q5834">
        <v>0</v>
      </c>
      <c r="R5834" t="s">
        <v>46573</v>
      </c>
      <c r="S5834" t="s">
        <v>46705</v>
      </c>
      <c r="T5834" t="s">
        <v>48283</v>
      </c>
      <c r="U5834" t="s">
        <v>53636</v>
      </c>
      <c r="W5834" t="s">
        <v>44681</v>
      </c>
      <c r="X5834" t="s">
        <v>46574</v>
      </c>
    </row>
    <row r="5835" spans="1:24">
      <c r="A5835">
        <f>HYPERLINK("https://www.philgeps.gov.ph/GEPSNONPILOT/Tender/SplashBidNoticeAbstractUI.aspx?menuIndex=3&amp;refID=7060061&amp;Result=3","7060061")</f>
        <v>0</v>
      </c>
      <c r="B5835" t="s">
        <v>1842</v>
      </c>
      <c r="C5835" t="s">
        <v>9088</v>
      </c>
      <c r="D5835" t="s">
        <v>18838</v>
      </c>
      <c r="E5835" t="s">
        <v>24092</v>
      </c>
      <c r="F5835" t="s">
        <v>32664</v>
      </c>
      <c r="G5835" t="s">
        <v>32672</v>
      </c>
      <c r="H5835" t="s">
        <v>12635</v>
      </c>
      <c r="I5835" t="s">
        <v>4439</v>
      </c>
      <c r="J5835" t="s">
        <v>36466</v>
      </c>
      <c r="K5835" t="s">
        <v>42289</v>
      </c>
      <c r="M5835" t="s">
        <v>44550</v>
      </c>
      <c r="N5835" t="s">
        <v>46569</v>
      </c>
      <c r="O5835" t="s">
        <v>46570</v>
      </c>
      <c r="P5835">
        <v>0</v>
      </c>
      <c r="Q5835">
        <v>1</v>
      </c>
      <c r="R5835" t="s">
        <v>46573</v>
      </c>
      <c r="S5835" t="s">
        <v>46705</v>
      </c>
      <c r="T5835" t="s">
        <v>48304</v>
      </c>
      <c r="U5835" t="s">
        <v>53637</v>
      </c>
      <c r="V5835" t="s">
        <v>62195</v>
      </c>
      <c r="W5835" t="s">
        <v>44550</v>
      </c>
      <c r="X5835" t="s">
        <v>46574</v>
      </c>
    </row>
    <row r="5836" spans="1:24">
      <c r="A5836">
        <f>HYPERLINK("https://www.philgeps.gov.ph/GEPSNONPILOT/Tender/SplashBidNoticeAbstractUI.aspx?menuIndex=3&amp;refID=7060058&amp;Result=3","7060058")</f>
        <v>0</v>
      </c>
      <c r="B5836" t="s">
        <v>743</v>
      </c>
      <c r="C5836" t="s">
        <v>9089</v>
      </c>
      <c r="D5836" t="s">
        <v>18790</v>
      </c>
      <c r="E5836" t="s">
        <v>24093</v>
      </c>
      <c r="F5836" t="s">
        <v>32664</v>
      </c>
      <c r="G5836" t="s">
        <v>32671</v>
      </c>
      <c r="H5836" t="s">
        <v>32682</v>
      </c>
      <c r="I5836" t="s">
        <v>6553</v>
      </c>
      <c r="J5836" t="s">
        <v>36467</v>
      </c>
      <c r="K5836" t="s">
        <v>42314</v>
      </c>
      <c r="M5836" t="s">
        <v>43333</v>
      </c>
      <c r="N5836" t="s">
        <v>46569</v>
      </c>
      <c r="O5836" t="s">
        <v>46570</v>
      </c>
      <c r="P5836">
        <v>0</v>
      </c>
      <c r="Q5836">
        <v>0</v>
      </c>
      <c r="R5836" t="s">
        <v>46573</v>
      </c>
      <c r="S5836" t="s">
        <v>46705</v>
      </c>
      <c r="T5836" t="s">
        <v>48420</v>
      </c>
      <c r="U5836" t="s">
        <v>53638</v>
      </c>
      <c r="W5836" t="s">
        <v>43333</v>
      </c>
      <c r="X5836" t="s">
        <v>46574</v>
      </c>
    </row>
    <row r="5837" spans="1:24">
      <c r="A5837">
        <f>HYPERLINK("https://www.philgeps.gov.ph/GEPSNONPILOT/Tender/SplashBidNoticeAbstractUI.aspx?menuIndex=3&amp;refID=7060069&amp;Result=3","7060069")</f>
        <v>0</v>
      </c>
      <c r="B5837" t="s">
        <v>1954</v>
      </c>
      <c r="C5837" t="s">
        <v>9090</v>
      </c>
      <c r="E5837" t="s">
        <v>24094</v>
      </c>
      <c r="F5837" t="s">
        <v>32664</v>
      </c>
      <c r="G5837" t="s">
        <v>32672</v>
      </c>
      <c r="H5837" t="s">
        <v>12635</v>
      </c>
      <c r="I5837" t="s">
        <v>9486</v>
      </c>
      <c r="J5837" t="s">
        <v>36468</v>
      </c>
      <c r="K5837" t="s">
        <v>42283</v>
      </c>
      <c r="M5837" t="s">
        <v>44682</v>
      </c>
      <c r="N5837" t="s">
        <v>46569</v>
      </c>
      <c r="O5837" t="s">
        <v>46570</v>
      </c>
      <c r="P5837">
        <v>0</v>
      </c>
      <c r="Q5837">
        <v>6</v>
      </c>
      <c r="R5837" t="s">
        <v>46573</v>
      </c>
      <c r="S5837" t="s">
        <v>46705</v>
      </c>
      <c r="T5837" t="s">
        <v>48558</v>
      </c>
      <c r="U5837" t="s">
        <v>53639</v>
      </c>
      <c r="V5837" t="s">
        <v>62228</v>
      </c>
      <c r="W5837" t="s">
        <v>44682</v>
      </c>
      <c r="X5837" t="s">
        <v>46574</v>
      </c>
    </row>
    <row r="5838" spans="1:24">
      <c r="A5838">
        <f>HYPERLINK("https://www.philgeps.gov.ph/GEPSNONPILOT/Tender/SplashBidNoticeAbstractUI.aspx?menuIndex=3&amp;refID=7060057&amp;Result=3","7060057")</f>
        <v>0</v>
      </c>
      <c r="B5838" t="s">
        <v>1128</v>
      </c>
      <c r="C5838" t="s">
        <v>9091</v>
      </c>
      <c r="D5838" t="s">
        <v>18805</v>
      </c>
      <c r="E5838" t="s">
        <v>24095</v>
      </c>
      <c r="F5838" t="s">
        <v>32664</v>
      </c>
      <c r="G5838" t="s">
        <v>32674</v>
      </c>
      <c r="H5838" t="s">
        <v>12635</v>
      </c>
      <c r="I5838" t="s">
        <v>6118</v>
      </c>
      <c r="J5838" t="s">
        <v>32984</v>
      </c>
      <c r="K5838" t="s">
        <v>42295</v>
      </c>
      <c r="M5838" t="s">
        <v>43757</v>
      </c>
      <c r="N5838" t="s">
        <v>46569</v>
      </c>
      <c r="O5838" t="s">
        <v>46570</v>
      </c>
      <c r="P5838">
        <v>0</v>
      </c>
      <c r="Q5838">
        <v>0</v>
      </c>
      <c r="R5838" t="s">
        <v>46573</v>
      </c>
      <c r="S5838" t="s">
        <v>46705</v>
      </c>
      <c r="T5838" t="s">
        <v>48287</v>
      </c>
      <c r="U5838" t="s">
        <v>53640</v>
      </c>
      <c r="W5838" t="s">
        <v>43757</v>
      </c>
      <c r="X5838" t="s">
        <v>46574</v>
      </c>
    </row>
    <row r="5839" spans="1:24">
      <c r="A5839">
        <f>HYPERLINK("https://www.philgeps.gov.ph/GEPSNONPILOT/Tender/SplashBidNoticeAbstractUI.aspx?menuIndex=3&amp;refID=7059973&amp;Result=3","7059973")</f>
        <v>0</v>
      </c>
      <c r="B5839" t="s">
        <v>1955</v>
      </c>
      <c r="C5839" t="s">
        <v>9092</v>
      </c>
      <c r="D5839" t="s">
        <v>18838</v>
      </c>
      <c r="E5839" t="s">
        <v>19110</v>
      </c>
      <c r="F5839" t="s">
        <v>32664</v>
      </c>
      <c r="G5839" t="s">
        <v>32671</v>
      </c>
      <c r="H5839" t="s">
        <v>12635</v>
      </c>
      <c r="I5839" t="s">
        <v>32745</v>
      </c>
      <c r="J5839" t="s">
        <v>32845</v>
      </c>
      <c r="K5839" t="s">
        <v>42283</v>
      </c>
      <c r="M5839" t="s">
        <v>44683</v>
      </c>
      <c r="N5839" t="s">
        <v>46569</v>
      </c>
      <c r="O5839" t="s">
        <v>46570</v>
      </c>
      <c r="P5839">
        <v>0</v>
      </c>
      <c r="Q5839">
        <v>0</v>
      </c>
      <c r="R5839" t="s">
        <v>46573</v>
      </c>
      <c r="S5839" t="s">
        <v>46705</v>
      </c>
      <c r="T5839" t="s">
        <v>48287</v>
      </c>
      <c r="U5839" t="s">
        <v>53641</v>
      </c>
      <c r="W5839" t="s">
        <v>63542</v>
      </c>
      <c r="X5839" t="s">
        <v>46574</v>
      </c>
    </row>
    <row r="5840" spans="1:24">
      <c r="A5840">
        <f>HYPERLINK("https://www.philgeps.gov.ph/GEPSNONPILOT/Tender/SplashBidNoticeAbstractUI.aspx?menuIndex=3&amp;refID=7060055&amp;Result=3","7060055")</f>
        <v>0</v>
      </c>
      <c r="B5840" t="s">
        <v>594</v>
      </c>
      <c r="C5840" t="s">
        <v>9093</v>
      </c>
      <c r="D5840" t="s">
        <v>18784</v>
      </c>
      <c r="E5840" t="s">
        <v>24096</v>
      </c>
      <c r="F5840" t="s">
        <v>32664</v>
      </c>
      <c r="G5840" t="s">
        <v>32674</v>
      </c>
      <c r="H5840" t="s">
        <v>12635</v>
      </c>
      <c r="I5840" t="s">
        <v>9486</v>
      </c>
      <c r="J5840" t="s">
        <v>35023</v>
      </c>
      <c r="K5840" t="s">
        <v>42297</v>
      </c>
      <c r="M5840" t="s">
        <v>43721</v>
      </c>
      <c r="N5840" t="s">
        <v>46569</v>
      </c>
      <c r="O5840" t="s">
        <v>46570</v>
      </c>
      <c r="P5840">
        <v>0</v>
      </c>
      <c r="Q5840">
        <v>5</v>
      </c>
      <c r="R5840" t="s">
        <v>46573</v>
      </c>
      <c r="S5840" t="s">
        <v>46705</v>
      </c>
      <c r="T5840" t="s">
        <v>48551</v>
      </c>
      <c r="U5840" t="s">
        <v>53642</v>
      </c>
      <c r="V5840" t="s">
        <v>62115</v>
      </c>
      <c r="W5840" t="s">
        <v>43721</v>
      </c>
      <c r="X5840" t="s">
        <v>46574</v>
      </c>
    </row>
    <row r="5841" spans="1:24">
      <c r="A5841">
        <f>HYPERLINK("https://www.philgeps.gov.ph/GEPSNONPILOT/Tender/SplashBidNoticeAbstractUI.aspx?menuIndex=3&amp;refID=7060054&amp;Result=3","7060054")</f>
        <v>0</v>
      </c>
      <c r="B5841" t="s">
        <v>442</v>
      </c>
      <c r="C5841" t="s">
        <v>9094</v>
      </c>
      <c r="D5841" t="s">
        <v>18852</v>
      </c>
      <c r="E5841" t="s">
        <v>19253</v>
      </c>
      <c r="F5841" t="s">
        <v>32664</v>
      </c>
      <c r="G5841" t="s">
        <v>32672</v>
      </c>
      <c r="H5841" t="s">
        <v>12635</v>
      </c>
      <c r="I5841" t="s">
        <v>32699</v>
      </c>
      <c r="J5841" t="s">
        <v>33657</v>
      </c>
      <c r="K5841" t="s">
        <v>42281</v>
      </c>
      <c r="M5841" t="s">
        <v>43014</v>
      </c>
      <c r="N5841" t="s">
        <v>46569</v>
      </c>
      <c r="O5841" t="s">
        <v>46570</v>
      </c>
      <c r="P5841">
        <v>0</v>
      </c>
      <c r="Q5841">
        <v>3</v>
      </c>
      <c r="R5841" t="s">
        <v>46573</v>
      </c>
      <c r="S5841" t="s">
        <v>46705</v>
      </c>
      <c r="T5841" t="s">
        <v>48559</v>
      </c>
      <c r="U5841" t="s">
        <v>53643</v>
      </c>
      <c r="W5841" t="s">
        <v>43014</v>
      </c>
      <c r="X5841" t="s">
        <v>46574</v>
      </c>
    </row>
    <row r="5842" spans="1:24">
      <c r="A5842">
        <f>HYPERLINK("https://www.philgeps.gov.ph/GEPSNONPILOT/Tender/SplashBidNoticeAbstractUI.aspx?menuIndex=3&amp;refID=7060052&amp;Result=3","7060052")</f>
        <v>0</v>
      </c>
      <c r="B5842" t="s">
        <v>1201</v>
      </c>
      <c r="C5842" t="s">
        <v>9095</v>
      </c>
      <c r="D5842" t="s">
        <v>18855</v>
      </c>
      <c r="E5842" t="s">
        <v>24097</v>
      </c>
      <c r="F5842" t="s">
        <v>32664</v>
      </c>
      <c r="G5842" t="s">
        <v>32672</v>
      </c>
      <c r="H5842" t="s">
        <v>32683</v>
      </c>
      <c r="I5842" t="s">
        <v>10627</v>
      </c>
      <c r="J5842" t="s">
        <v>32865</v>
      </c>
      <c r="K5842" t="s">
        <v>42281</v>
      </c>
      <c r="M5842" t="s">
        <v>43838</v>
      </c>
      <c r="N5842" t="s">
        <v>46569</v>
      </c>
      <c r="O5842" t="s">
        <v>46570</v>
      </c>
      <c r="P5842">
        <v>0</v>
      </c>
      <c r="Q5842">
        <v>1</v>
      </c>
      <c r="R5842" t="s">
        <v>46573</v>
      </c>
      <c r="S5842" t="s">
        <v>46705</v>
      </c>
      <c r="T5842" t="s">
        <v>48380</v>
      </c>
      <c r="U5842" t="s">
        <v>53644</v>
      </c>
      <c r="W5842" t="s">
        <v>43838</v>
      </c>
      <c r="X5842" t="s">
        <v>46574</v>
      </c>
    </row>
    <row r="5843" spans="1:24">
      <c r="A5843">
        <f>HYPERLINK("https://www.philgeps.gov.ph/GEPSNONPILOT/Tender/SplashBidNoticeAbstractUI.aspx?menuIndex=3&amp;refID=7060051&amp;Result=3","7060051")</f>
        <v>0</v>
      </c>
      <c r="B5843" t="s">
        <v>1956</v>
      </c>
      <c r="C5843" t="s">
        <v>9096</v>
      </c>
      <c r="D5843" t="s">
        <v>18838</v>
      </c>
      <c r="E5843" t="s">
        <v>24098</v>
      </c>
      <c r="F5843" t="s">
        <v>32664</v>
      </c>
      <c r="G5843" t="s">
        <v>32672</v>
      </c>
      <c r="H5843" t="s">
        <v>12635</v>
      </c>
      <c r="I5843" t="s">
        <v>4439</v>
      </c>
      <c r="J5843" t="s">
        <v>36469</v>
      </c>
      <c r="K5843" t="s">
        <v>42330</v>
      </c>
      <c r="M5843" t="s">
        <v>44684</v>
      </c>
      <c r="N5843" t="s">
        <v>46569</v>
      </c>
      <c r="O5843" t="s">
        <v>46570</v>
      </c>
      <c r="P5843">
        <v>0</v>
      </c>
      <c r="Q5843">
        <v>0</v>
      </c>
      <c r="R5843" t="s">
        <v>46573</v>
      </c>
      <c r="S5843" t="s">
        <v>46705</v>
      </c>
      <c r="T5843" t="s">
        <v>48305</v>
      </c>
      <c r="U5843" t="s">
        <v>51308</v>
      </c>
      <c r="W5843" t="s">
        <v>44684</v>
      </c>
      <c r="X5843" t="s">
        <v>46574</v>
      </c>
    </row>
    <row r="5844" spans="1:24">
      <c r="A5844">
        <f>HYPERLINK("https://www.philgeps.gov.ph/GEPSNONPILOT/Tender/SplashBidNoticeAbstractUI.aspx?menuIndex=3&amp;refID=7059975&amp;Result=3","7059975")</f>
        <v>0</v>
      </c>
      <c r="B5844" t="s">
        <v>937</v>
      </c>
      <c r="C5844" t="s">
        <v>9097</v>
      </c>
      <c r="D5844" t="s">
        <v>18791</v>
      </c>
      <c r="E5844" t="s">
        <v>24099</v>
      </c>
      <c r="F5844" t="s">
        <v>32664</v>
      </c>
      <c r="G5844" t="s">
        <v>32671</v>
      </c>
      <c r="H5844" t="s">
        <v>12635</v>
      </c>
      <c r="I5844" t="s">
        <v>7759</v>
      </c>
      <c r="J5844" t="s">
        <v>32917</v>
      </c>
      <c r="K5844" t="s">
        <v>42309</v>
      </c>
      <c r="M5844" t="s">
        <v>43543</v>
      </c>
      <c r="N5844" t="s">
        <v>46569</v>
      </c>
      <c r="O5844" t="s">
        <v>46570</v>
      </c>
      <c r="P5844">
        <v>0</v>
      </c>
      <c r="Q5844">
        <v>0</v>
      </c>
      <c r="R5844" t="s">
        <v>46573</v>
      </c>
      <c r="S5844" t="s">
        <v>46705</v>
      </c>
      <c r="T5844" t="s">
        <v>48287</v>
      </c>
      <c r="U5844" t="s">
        <v>53645</v>
      </c>
      <c r="V5844" t="s">
        <v>61855</v>
      </c>
      <c r="W5844" t="s">
        <v>43543</v>
      </c>
      <c r="X5844" t="s">
        <v>46574</v>
      </c>
    </row>
    <row r="5845" spans="1:24">
      <c r="A5845">
        <f>HYPERLINK("https://www.philgeps.gov.ph/GEPSNONPILOT/Tender/SplashBidNoticeAbstractUI.aspx?menuIndex=3&amp;refID=7060092&amp;Result=3","7060092")</f>
        <v>0</v>
      </c>
      <c r="B5845" t="s">
        <v>885</v>
      </c>
      <c r="C5845" t="s">
        <v>9098</v>
      </c>
      <c r="D5845" t="s">
        <v>18819</v>
      </c>
      <c r="E5845" t="s">
        <v>24100</v>
      </c>
      <c r="F5845" t="s">
        <v>32664</v>
      </c>
      <c r="G5845" t="s">
        <v>32674</v>
      </c>
      <c r="H5845" t="s">
        <v>12635</v>
      </c>
      <c r="I5845" t="s">
        <v>5589</v>
      </c>
      <c r="J5845" t="s">
        <v>33414</v>
      </c>
      <c r="K5845" t="s">
        <v>42283</v>
      </c>
      <c r="M5845" t="s">
        <v>43486</v>
      </c>
      <c r="N5845" t="s">
        <v>46569</v>
      </c>
      <c r="O5845" t="s">
        <v>46570</v>
      </c>
      <c r="P5845">
        <v>0</v>
      </c>
      <c r="Q5845">
        <v>4</v>
      </c>
      <c r="R5845" t="s">
        <v>46573</v>
      </c>
      <c r="S5845" t="s">
        <v>46705</v>
      </c>
      <c r="T5845" t="s">
        <v>48316</v>
      </c>
      <c r="U5845" t="s">
        <v>53646</v>
      </c>
      <c r="V5845" t="s">
        <v>61836</v>
      </c>
      <c r="W5845" t="s">
        <v>43486</v>
      </c>
      <c r="X5845" t="s">
        <v>46574</v>
      </c>
    </row>
    <row r="5846" spans="1:24">
      <c r="A5846">
        <f>HYPERLINK("https://www.philgeps.gov.ph/GEPSNONPILOT/Tender/SplashBidNoticeAbstractUI.aspx?menuIndex=3&amp;refID=7060063&amp;Result=3","7060063")</f>
        <v>0</v>
      </c>
      <c r="B5846" t="s">
        <v>1134</v>
      </c>
      <c r="C5846" t="s">
        <v>9099</v>
      </c>
      <c r="D5846" t="s">
        <v>18844</v>
      </c>
      <c r="E5846" t="s">
        <v>24101</v>
      </c>
      <c r="F5846" t="s">
        <v>32664</v>
      </c>
      <c r="G5846" t="s">
        <v>32672</v>
      </c>
      <c r="H5846" t="s">
        <v>12635</v>
      </c>
      <c r="I5846" t="s">
        <v>4439</v>
      </c>
      <c r="J5846" t="s">
        <v>36470</v>
      </c>
      <c r="K5846" t="s">
        <v>42303</v>
      </c>
      <c r="M5846" t="s">
        <v>43763</v>
      </c>
      <c r="N5846" t="s">
        <v>46569</v>
      </c>
      <c r="O5846" t="s">
        <v>46570</v>
      </c>
      <c r="P5846">
        <v>0</v>
      </c>
      <c r="Q5846">
        <v>0</v>
      </c>
      <c r="R5846" t="s">
        <v>46573</v>
      </c>
      <c r="S5846" t="s">
        <v>46705</v>
      </c>
      <c r="T5846" t="s">
        <v>48226</v>
      </c>
      <c r="U5846" t="s">
        <v>53647</v>
      </c>
      <c r="W5846" t="s">
        <v>43763</v>
      </c>
      <c r="X5846" t="s">
        <v>46574</v>
      </c>
    </row>
    <row r="5847" spans="1:24">
      <c r="A5847">
        <f>HYPERLINK("https://www.philgeps.gov.ph/GEPSNONPILOT/Tender/SplashBidNoticeAbstractUI.aspx?menuIndex=3&amp;refID=7060094&amp;Result=3","7060094")</f>
        <v>0</v>
      </c>
      <c r="B5847" t="s">
        <v>158</v>
      </c>
      <c r="C5847" t="s">
        <v>9100</v>
      </c>
      <c r="D5847" t="s">
        <v>18784</v>
      </c>
      <c r="E5847" t="s">
        <v>24102</v>
      </c>
      <c r="F5847" t="s">
        <v>32664</v>
      </c>
      <c r="G5847" t="s">
        <v>32671</v>
      </c>
      <c r="H5847" t="s">
        <v>12635</v>
      </c>
      <c r="I5847" t="s">
        <v>8797</v>
      </c>
      <c r="J5847" t="s">
        <v>36471</v>
      </c>
      <c r="K5847" t="s">
        <v>42298</v>
      </c>
      <c r="M5847" t="s">
        <v>44685</v>
      </c>
      <c r="N5847" t="s">
        <v>46569</v>
      </c>
      <c r="O5847" t="s">
        <v>46570</v>
      </c>
      <c r="P5847">
        <v>0</v>
      </c>
      <c r="Q5847">
        <v>15</v>
      </c>
      <c r="R5847" t="s">
        <v>46573</v>
      </c>
      <c r="S5847" t="s">
        <v>46705</v>
      </c>
      <c r="T5847" t="s">
        <v>48246</v>
      </c>
      <c r="U5847" t="s">
        <v>53648</v>
      </c>
      <c r="V5847" t="s">
        <v>62229</v>
      </c>
      <c r="W5847" t="s">
        <v>44685</v>
      </c>
      <c r="X5847" t="s">
        <v>46574</v>
      </c>
    </row>
    <row r="5848" spans="1:24">
      <c r="A5848">
        <f>HYPERLINK("https://www.philgeps.gov.ph/GEPSNONPILOT/Tender/SplashBidNoticeAbstractUI.aspx?menuIndex=3&amp;refID=7060059&amp;Result=3","7060059")</f>
        <v>0</v>
      </c>
      <c r="B5848" t="s">
        <v>1950</v>
      </c>
      <c r="C5848" t="s">
        <v>9101</v>
      </c>
      <c r="D5848" t="s">
        <v>18784</v>
      </c>
      <c r="E5848" t="s">
        <v>19010</v>
      </c>
      <c r="F5848" t="s">
        <v>32664</v>
      </c>
      <c r="G5848" t="s">
        <v>32671</v>
      </c>
      <c r="H5848" t="s">
        <v>32683</v>
      </c>
      <c r="I5848" t="s">
        <v>10627</v>
      </c>
      <c r="J5848" t="s">
        <v>36472</v>
      </c>
      <c r="K5848" t="s">
        <v>42284</v>
      </c>
      <c r="M5848" t="s">
        <v>44677</v>
      </c>
      <c r="N5848" t="s">
        <v>46569</v>
      </c>
      <c r="O5848" t="s">
        <v>46570</v>
      </c>
      <c r="P5848">
        <v>0</v>
      </c>
      <c r="Q5848">
        <v>0</v>
      </c>
      <c r="R5848" t="s">
        <v>46573</v>
      </c>
      <c r="S5848" t="s">
        <v>46705</v>
      </c>
      <c r="T5848" t="s">
        <v>48305</v>
      </c>
      <c r="U5848" t="s">
        <v>53626</v>
      </c>
      <c r="W5848" t="s">
        <v>44677</v>
      </c>
      <c r="X5848" t="s">
        <v>46574</v>
      </c>
    </row>
    <row r="5849" spans="1:24">
      <c r="A5849">
        <f>HYPERLINK("https://www.philgeps.gov.ph/GEPSNONPILOT/Tender/SplashBidNoticeAbstractUI.aspx?menuIndex=3&amp;refID=7060049&amp;Result=3","7060049")</f>
        <v>0</v>
      </c>
      <c r="B5849" t="s">
        <v>1957</v>
      </c>
      <c r="C5849" t="s">
        <v>9102</v>
      </c>
      <c r="D5849" t="s">
        <v>18787</v>
      </c>
      <c r="E5849" t="s">
        <v>24103</v>
      </c>
      <c r="F5849" t="s">
        <v>32664</v>
      </c>
      <c r="G5849" t="s">
        <v>32672</v>
      </c>
      <c r="H5849" t="s">
        <v>32683</v>
      </c>
      <c r="I5849" t="s">
        <v>10627</v>
      </c>
      <c r="J5849" t="s">
        <v>36473</v>
      </c>
      <c r="K5849" t="s">
        <v>42283</v>
      </c>
      <c r="M5849" t="s">
        <v>44686</v>
      </c>
      <c r="N5849" t="s">
        <v>46569</v>
      </c>
      <c r="O5849" t="s">
        <v>46570</v>
      </c>
      <c r="P5849">
        <v>0</v>
      </c>
      <c r="Q5849">
        <v>0</v>
      </c>
      <c r="R5849" t="s">
        <v>46573</v>
      </c>
      <c r="S5849" t="s">
        <v>46705</v>
      </c>
      <c r="T5849" t="s">
        <v>48220</v>
      </c>
      <c r="U5849" t="s">
        <v>53649</v>
      </c>
      <c r="W5849" t="s">
        <v>44686</v>
      </c>
      <c r="X5849" t="s">
        <v>46574</v>
      </c>
    </row>
    <row r="5850" spans="1:24">
      <c r="A5850">
        <f>HYPERLINK("https://www.philgeps.gov.ph/GEPSNONPILOT/Tender/SplashBidNoticeAbstractUI.aspx?menuIndex=3&amp;refID=7060086&amp;Result=3","7060086")</f>
        <v>0</v>
      </c>
      <c r="B5850" t="s">
        <v>1958</v>
      </c>
      <c r="C5850" t="s">
        <v>9103</v>
      </c>
      <c r="D5850" t="s">
        <v>18841</v>
      </c>
      <c r="E5850" t="s">
        <v>24104</v>
      </c>
      <c r="F5850" t="s">
        <v>32665</v>
      </c>
      <c r="G5850" t="s">
        <v>32672</v>
      </c>
      <c r="H5850" t="s">
        <v>12635</v>
      </c>
      <c r="I5850" t="s">
        <v>4439</v>
      </c>
      <c r="J5850" t="s">
        <v>36474</v>
      </c>
      <c r="K5850" t="s">
        <v>42289</v>
      </c>
      <c r="M5850" t="s">
        <v>44687</v>
      </c>
      <c r="N5850" t="s">
        <v>46569</v>
      </c>
      <c r="O5850" t="s">
        <v>46570</v>
      </c>
      <c r="P5850">
        <v>0</v>
      </c>
      <c r="Q5850">
        <v>0</v>
      </c>
      <c r="R5850" t="s">
        <v>46573</v>
      </c>
      <c r="S5850" t="s">
        <v>46705</v>
      </c>
      <c r="T5850" t="s">
        <v>48389</v>
      </c>
      <c r="U5850" t="s">
        <v>53650</v>
      </c>
      <c r="W5850" t="s">
        <v>44687</v>
      </c>
      <c r="X5850" t="s">
        <v>46574</v>
      </c>
    </row>
    <row r="5851" spans="1:24">
      <c r="A5851">
        <f>HYPERLINK("https://www.philgeps.gov.ph/GEPSNONPILOT/Tender/SplashBidNoticeAbstractUI.aspx?menuIndex=3&amp;refID=7060053&amp;Result=3","7060053")</f>
        <v>0</v>
      </c>
      <c r="B5851" t="s">
        <v>1709</v>
      </c>
      <c r="C5851" t="s">
        <v>9104</v>
      </c>
      <c r="D5851" t="s">
        <v>18834</v>
      </c>
      <c r="E5851" t="s">
        <v>24105</v>
      </c>
      <c r="F5851" t="s">
        <v>32664</v>
      </c>
      <c r="G5851" t="s">
        <v>32671</v>
      </c>
      <c r="H5851" t="s">
        <v>12635</v>
      </c>
      <c r="I5851" t="s">
        <v>32704</v>
      </c>
      <c r="J5851" t="s">
        <v>32898</v>
      </c>
      <c r="K5851" t="s">
        <v>42281</v>
      </c>
      <c r="M5851" t="s">
        <v>44688</v>
      </c>
      <c r="N5851" t="s">
        <v>46569</v>
      </c>
      <c r="O5851" t="s">
        <v>46570</v>
      </c>
      <c r="P5851">
        <v>0</v>
      </c>
      <c r="Q5851">
        <v>18</v>
      </c>
      <c r="R5851" t="s">
        <v>46573</v>
      </c>
      <c r="S5851" t="s">
        <v>46705</v>
      </c>
      <c r="T5851" t="s">
        <v>48427</v>
      </c>
      <c r="U5851" t="s">
        <v>53651</v>
      </c>
      <c r="W5851" t="s">
        <v>44688</v>
      </c>
      <c r="X5851" t="s">
        <v>46574</v>
      </c>
    </row>
    <row r="5852" spans="1:24">
      <c r="A5852">
        <f>HYPERLINK("https://www.philgeps.gov.ph/GEPSNONPILOT/Tender/SplashBidNoticeAbstractUI.aspx?menuIndex=3&amp;refID=7060087&amp;Result=3","7060087")</f>
        <v>0</v>
      </c>
      <c r="B5852" t="s">
        <v>1055</v>
      </c>
      <c r="C5852" t="s">
        <v>9105</v>
      </c>
      <c r="D5852" t="s">
        <v>18784</v>
      </c>
      <c r="E5852" t="s">
        <v>24106</v>
      </c>
      <c r="F5852" t="s">
        <v>32664</v>
      </c>
      <c r="G5852" t="s">
        <v>32671</v>
      </c>
      <c r="H5852" t="s">
        <v>12635</v>
      </c>
      <c r="I5852" t="s">
        <v>32745</v>
      </c>
      <c r="J5852" t="s">
        <v>36475</v>
      </c>
      <c r="K5852" t="s">
        <v>42281</v>
      </c>
      <c r="M5852" t="s">
        <v>44689</v>
      </c>
      <c r="N5852" t="s">
        <v>46569</v>
      </c>
      <c r="O5852" t="s">
        <v>46570</v>
      </c>
      <c r="P5852">
        <v>0</v>
      </c>
      <c r="Q5852">
        <v>5</v>
      </c>
      <c r="R5852" t="s">
        <v>46573</v>
      </c>
      <c r="S5852" t="s">
        <v>46705</v>
      </c>
      <c r="T5852" t="s">
        <v>48271</v>
      </c>
      <c r="U5852" t="s">
        <v>53652</v>
      </c>
      <c r="V5852" t="s">
        <v>62230</v>
      </c>
      <c r="W5852" t="s">
        <v>44689</v>
      </c>
      <c r="X5852" t="s">
        <v>46574</v>
      </c>
    </row>
    <row r="5853" spans="1:24">
      <c r="A5853">
        <f>HYPERLINK("https://www.philgeps.gov.ph/GEPSNONPILOT/Tender/SplashBidNoticeAbstractUI.aspx?menuIndex=3&amp;refID=7060090&amp;Result=3","7060090")</f>
        <v>0</v>
      </c>
      <c r="B5853" t="s">
        <v>586</v>
      </c>
      <c r="C5853" t="s">
        <v>9106</v>
      </c>
      <c r="D5853" t="s">
        <v>18794</v>
      </c>
      <c r="E5853" t="s">
        <v>9106</v>
      </c>
      <c r="F5853" t="s">
        <v>32664</v>
      </c>
      <c r="G5853" t="s">
        <v>32672</v>
      </c>
      <c r="H5853" t="s">
        <v>12635</v>
      </c>
      <c r="I5853" t="s">
        <v>32706</v>
      </c>
      <c r="J5853" t="s">
        <v>36476</v>
      </c>
      <c r="K5853" t="s">
        <v>42281</v>
      </c>
      <c r="M5853" t="s">
        <v>43166</v>
      </c>
      <c r="N5853" t="s">
        <v>46569</v>
      </c>
      <c r="O5853" t="s">
        <v>46570</v>
      </c>
      <c r="P5853">
        <v>0</v>
      </c>
      <c r="Q5853">
        <v>0</v>
      </c>
      <c r="R5853" t="s">
        <v>46573</v>
      </c>
      <c r="S5853" t="s">
        <v>46705</v>
      </c>
      <c r="T5853" t="s">
        <v>48306</v>
      </c>
      <c r="U5853" t="s">
        <v>53653</v>
      </c>
      <c r="W5853" t="s">
        <v>43166</v>
      </c>
      <c r="X5853" t="s">
        <v>46574</v>
      </c>
    </row>
    <row r="5854" spans="1:24">
      <c r="A5854">
        <f>HYPERLINK("https://www.philgeps.gov.ph/GEPSNONPILOT/Tender/SplashBidNoticeAbstractUI.aspx?menuIndex=3&amp;refID=7060085&amp;Result=3","7060085")</f>
        <v>0</v>
      </c>
      <c r="B5854" t="s">
        <v>1959</v>
      </c>
      <c r="C5854" t="s">
        <v>9107</v>
      </c>
      <c r="D5854" t="s">
        <v>18824</v>
      </c>
      <c r="E5854" t="s">
        <v>24107</v>
      </c>
      <c r="F5854" t="s">
        <v>32664</v>
      </c>
      <c r="G5854" t="s">
        <v>32672</v>
      </c>
      <c r="H5854" t="s">
        <v>12635</v>
      </c>
      <c r="I5854" t="s">
        <v>4439</v>
      </c>
      <c r="J5854" t="s">
        <v>36477</v>
      </c>
      <c r="K5854" t="s">
        <v>42297</v>
      </c>
      <c r="M5854" t="s">
        <v>44690</v>
      </c>
      <c r="N5854" t="s">
        <v>46569</v>
      </c>
      <c r="O5854" t="s">
        <v>46570</v>
      </c>
      <c r="P5854">
        <v>0</v>
      </c>
      <c r="Q5854">
        <v>0</v>
      </c>
      <c r="R5854" t="s">
        <v>46573</v>
      </c>
      <c r="S5854" t="s">
        <v>46705</v>
      </c>
      <c r="T5854" t="s">
        <v>48297</v>
      </c>
      <c r="U5854" t="s">
        <v>53654</v>
      </c>
      <c r="W5854" t="s">
        <v>44690</v>
      </c>
      <c r="X5854" t="s">
        <v>46574</v>
      </c>
    </row>
    <row r="5855" spans="1:24">
      <c r="A5855">
        <f>HYPERLINK("https://www.philgeps.gov.ph/GEPSNONPILOT/Tender/SplashBidNoticeAbstractUI.aspx?menuIndex=3&amp;refID=7060062&amp;Result=3","7060062")</f>
        <v>0</v>
      </c>
      <c r="B5855" t="s">
        <v>559</v>
      </c>
      <c r="C5855" t="s">
        <v>9108</v>
      </c>
      <c r="E5855" t="s">
        <v>24108</v>
      </c>
      <c r="F5855" t="s">
        <v>32664</v>
      </c>
      <c r="G5855" t="s">
        <v>32671</v>
      </c>
      <c r="H5855" t="s">
        <v>12635</v>
      </c>
      <c r="I5855" t="s">
        <v>32694</v>
      </c>
      <c r="J5855" t="s">
        <v>36478</v>
      </c>
      <c r="K5855" t="s">
        <v>42283</v>
      </c>
      <c r="M5855" t="s">
        <v>43139</v>
      </c>
      <c r="N5855" t="s">
        <v>46569</v>
      </c>
      <c r="O5855" t="s">
        <v>46570</v>
      </c>
      <c r="P5855">
        <v>0</v>
      </c>
      <c r="Q5855">
        <v>0</v>
      </c>
      <c r="R5855" t="s">
        <v>46573</v>
      </c>
      <c r="S5855" t="s">
        <v>46705</v>
      </c>
      <c r="T5855" t="s">
        <v>48287</v>
      </c>
      <c r="U5855" t="s">
        <v>53655</v>
      </c>
      <c r="V5855" t="s">
        <v>61757</v>
      </c>
      <c r="W5855" t="s">
        <v>43139</v>
      </c>
      <c r="X5855" t="s">
        <v>46574</v>
      </c>
    </row>
    <row r="5856" spans="1:24">
      <c r="A5856">
        <f>HYPERLINK("https://www.philgeps.gov.ph/GEPSNONPILOT/Tender/SplashBidNoticeAbstractUI.aspx?menuIndex=3&amp;refID=7060030&amp;Result=3","7060030")</f>
        <v>0</v>
      </c>
      <c r="B5856" t="s">
        <v>1960</v>
      </c>
      <c r="C5856" t="s">
        <v>9109</v>
      </c>
      <c r="D5856" t="s">
        <v>18802</v>
      </c>
      <c r="E5856" t="s">
        <v>24109</v>
      </c>
      <c r="F5856" t="s">
        <v>32664</v>
      </c>
      <c r="G5856" t="s">
        <v>32671</v>
      </c>
      <c r="H5856" t="s">
        <v>12635</v>
      </c>
      <c r="I5856" t="s">
        <v>4333</v>
      </c>
      <c r="J5856" t="s">
        <v>36479</v>
      </c>
      <c r="K5856" t="s">
        <v>42284</v>
      </c>
      <c r="M5856" t="s">
        <v>44691</v>
      </c>
      <c r="N5856" t="s">
        <v>46569</v>
      </c>
      <c r="O5856" t="s">
        <v>46570</v>
      </c>
      <c r="P5856">
        <v>0</v>
      </c>
      <c r="Q5856">
        <v>1</v>
      </c>
      <c r="R5856" t="s">
        <v>46573</v>
      </c>
      <c r="S5856" t="s">
        <v>46705</v>
      </c>
      <c r="T5856" t="s">
        <v>48287</v>
      </c>
      <c r="U5856" t="s">
        <v>53656</v>
      </c>
      <c r="W5856" t="s">
        <v>44691</v>
      </c>
      <c r="X5856" t="s">
        <v>46574</v>
      </c>
    </row>
    <row r="5857" spans="1:24">
      <c r="A5857">
        <f>HYPERLINK("https://www.philgeps.gov.ph/GEPSNONPILOT/Tender/SplashBidNoticeAbstractUI.aspx?menuIndex=3&amp;refID=7060116&amp;Result=3","7060116")</f>
        <v>0</v>
      </c>
      <c r="B5857" t="s">
        <v>1201</v>
      </c>
      <c r="C5857" t="s">
        <v>9110</v>
      </c>
      <c r="D5857" t="s">
        <v>18855</v>
      </c>
      <c r="E5857" t="s">
        <v>24110</v>
      </c>
      <c r="F5857" t="s">
        <v>32664</v>
      </c>
      <c r="G5857" t="s">
        <v>32672</v>
      </c>
      <c r="H5857" t="s">
        <v>32683</v>
      </c>
      <c r="I5857" t="s">
        <v>10627</v>
      </c>
      <c r="J5857" t="s">
        <v>32865</v>
      </c>
      <c r="K5857" t="s">
        <v>42281</v>
      </c>
      <c r="M5857" t="s">
        <v>43838</v>
      </c>
      <c r="N5857" t="s">
        <v>46569</v>
      </c>
      <c r="O5857" t="s">
        <v>46570</v>
      </c>
      <c r="P5857">
        <v>0</v>
      </c>
      <c r="Q5857">
        <v>0</v>
      </c>
      <c r="R5857" t="s">
        <v>46573</v>
      </c>
      <c r="S5857" t="s">
        <v>46705</v>
      </c>
      <c r="T5857" t="s">
        <v>48380</v>
      </c>
      <c r="U5857" t="s">
        <v>53644</v>
      </c>
      <c r="W5857" t="s">
        <v>43838</v>
      </c>
      <c r="X5857" t="s">
        <v>46574</v>
      </c>
    </row>
    <row r="5858" spans="1:24">
      <c r="A5858">
        <f>HYPERLINK("https://www.philgeps.gov.ph/GEPSNONPILOT/Tender/SplashBidNoticeAbstractUI.aspx?menuIndex=3&amp;refID=7060119&amp;Result=3","7060119")</f>
        <v>0</v>
      </c>
      <c r="B5858" t="s">
        <v>1863</v>
      </c>
      <c r="C5858" t="s">
        <v>7759</v>
      </c>
      <c r="D5858" t="s">
        <v>18783</v>
      </c>
      <c r="E5858" t="s">
        <v>24111</v>
      </c>
      <c r="F5858" t="s">
        <v>32664</v>
      </c>
      <c r="G5858" t="s">
        <v>32671</v>
      </c>
      <c r="H5858" t="s">
        <v>12635</v>
      </c>
      <c r="I5858" t="s">
        <v>7759</v>
      </c>
      <c r="J5858" t="s">
        <v>33995</v>
      </c>
      <c r="K5858" t="s">
        <v>42289</v>
      </c>
      <c r="M5858" t="s">
        <v>44576</v>
      </c>
      <c r="N5858" t="s">
        <v>46569</v>
      </c>
      <c r="O5858" t="s">
        <v>46570</v>
      </c>
      <c r="P5858">
        <v>0</v>
      </c>
      <c r="Q5858">
        <v>0</v>
      </c>
      <c r="R5858" t="s">
        <v>46573</v>
      </c>
      <c r="S5858" t="s">
        <v>46705</v>
      </c>
      <c r="T5858" t="s">
        <v>48307</v>
      </c>
      <c r="U5858" t="s">
        <v>53369</v>
      </c>
      <c r="V5858" t="s">
        <v>62203</v>
      </c>
      <c r="W5858" t="s">
        <v>44576</v>
      </c>
      <c r="X5858" t="s">
        <v>46574</v>
      </c>
    </row>
    <row r="5859" spans="1:24">
      <c r="A5859">
        <f>HYPERLINK("https://www.philgeps.gov.ph/GEPSNONPILOT/Tender/SplashBidNoticeAbstractUI.aspx?menuIndex=3&amp;refID=7060112&amp;Result=3","7060112")</f>
        <v>0</v>
      </c>
      <c r="B5859" t="s">
        <v>1480</v>
      </c>
      <c r="C5859" t="s">
        <v>9111</v>
      </c>
      <c r="D5859" t="s">
        <v>18851</v>
      </c>
      <c r="E5859" t="s">
        <v>24112</v>
      </c>
      <c r="F5859" t="s">
        <v>32664</v>
      </c>
      <c r="G5859" t="s">
        <v>32671</v>
      </c>
      <c r="H5859" t="s">
        <v>12635</v>
      </c>
      <c r="I5859" t="s">
        <v>32706</v>
      </c>
      <c r="J5859" t="s">
        <v>36480</v>
      </c>
      <c r="K5859" t="s">
        <v>42297</v>
      </c>
      <c r="M5859" t="s">
        <v>44143</v>
      </c>
      <c r="N5859" t="s">
        <v>46569</v>
      </c>
      <c r="O5859" t="s">
        <v>46570</v>
      </c>
      <c r="P5859">
        <v>0</v>
      </c>
      <c r="Q5859">
        <v>0</v>
      </c>
      <c r="R5859" t="s">
        <v>46573</v>
      </c>
      <c r="S5859" t="s">
        <v>46705</v>
      </c>
      <c r="T5859" t="s">
        <v>48548</v>
      </c>
      <c r="U5859" t="s">
        <v>53657</v>
      </c>
      <c r="W5859" t="s">
        <v>44143</v>
      </c>
      <c r="X5859" t="s">
        <v>46574</v>
      </c>
    </row>
    <row r="5860" spans="1:24">
      <c r="A5860">
        <f>HYPERLINK("https://www.philgeps.gov.ph/GEPSNONPILOT/Tender/SplashBidNoticeAbstractUI.aspx?menuIndex=3&amp;refID=7060082&amp;Result=3","7060082")</f>
        <v>0</v>
      </c>
      <c r="B5860" t="s">
        <v>112</v>
      </c>
      <c r="C5860" t="s">
        <v>9112</v>
      </c>
      <c r="D5860" t="s">
        <v>18813</v>
      </c>
      <c r="E5860" t="s">
        <v>24113</v>
      </c>
      <c r="F5860" t="s">
        <v>32664</v>
      </c>
      <c r="G5860" t="s">
        <v>32671</v>
      </c>
      <c r="H5860" t="s">
        <v>12635</v>
      </c>
      <c r="I5860" t="s">
        <v>32704</v>
      </c>
      <c r="J5860" t="s">
        <v>36481</v>
      </c>
      <c r="K5860" t="s">
        <v>42281</v>
      </c>
      <c r="M5860" t="s">
        <v>42676</v>
      </c>
      <c r="N5860" t="s">
        <v>46569</v>
      </c>
      <c r="O5860" t="s">
        <v>46570</v>
      </c>
      <c r="P5860">
        <v>0</v>
      </c>
      <c r="Q5860">
        <v>4</v>
      </c>
      <c r="R5860" t="s">
        <v>46573</v>
      </c>
      <c r="S5860" t="s">
        <v>46705</v>
      </c>
      <c r="T5860" t="s">
        <v>48287</v>
      </c>
      <c r="U5860" t="s">
        <v>53658</v>
      </c>
      <c r="W5860" t="s">
        <v>42676</v>
      </c>
      <c r="X5860" t="s">
        <v>46574</v>
      </c>
    </row>
    <row r="5861" spans="1:24">
      <c r="A5861">
        <f>HYPERLINK("https://www.philgeps.gov.ph/GEPSNONPILOT/Tender/SplashBidNoticeAbstractUI.aspx?menuIndex=3&amp;refID=7060110&amp;Result=3","7060110")</f>
        <v>0</v>
      </c>
      <c r="B5861" t="s">
        <v>673</v>
      </c>
      <c r="C5861" t="s">
        <v>9113</v>
      </c>
      <c r="D5861" t="s">
        <v>18799</v>
      </c>
      <c r="E5861" t="s">
        <v>24114</v>
      </c>
      <c r="F5861" t="s">
        <v>32664</v>
      </c>
      <c r="G5861" t="s">
        <v>32675</v>
      </c>
      <c r="H5861" t="s">
        <v>12635</v>
      </c>
      <c r="I5861" t="s">
        <v>10370</v>
      </c>
      <c r="J5861" t="s">
        <v>36482</v>
      </c>
      <c r="K5861" t="s">
        <v>42283</v>
      </c>
      <c r="M5861" t="s">
        <v>43260</v>
      </c>
      <c r="N5861" t="s">
        <v>46569</v>
      </c>
      <c r="O5861" t="s">
        <v>46570</v>
      </c>
      <c r="P5861">
        <v>0</v>
      </c>
      <c r="Q5861">
        <v>2</v>
      </c>
      <c r="R5861" t="s">
        <v>46573</v>
      </c>
      <c r="S5861" t="s">
        <v>46705</v>
      </c>
      <c r="T5861" t="s">
        <v>48334</v>
      </c>
      <c r="U5861" t="s">
        <v>53659</v>
      </c>
      <c r="W5861" t="s">
        <v>43260</v>
      </c>
      <c r="X5861" t="s">
        <v>46574</v>
      </c>
    </row>
    <row r="5862" spans="1:24">
      <c r="A5862">
        <f>HYPERLINK("https://www.philgeps.gov.ph/GEPSNONPILOT/Tender/SplashBidNoticeAbstractUI.aspx?menuIndex=3&amp;refID=7060084&amp;Result=3","7060084")</f>
        <v>0</v>
      </c>
      <c r="B5862" t="s">
        <v>1961</v>
      </c>
      <c r="C5862" t="s">
        <v>9114</v>
      </c>
      <c r="D5862" t="s">
        <v>18788</v>
      </c>
      <c r="E5862" t="s">
        <v>24115</v>
      </c>
      <c r="F5862" t="s">
        <v>32664</v>
      </c>
      <c r="G5862" t="s">
        <v>32672</v>
      </c>
      <c r="H5862" t="s">
        <v>12635</v>
      </c>
      <c r="I5862" t="s">
        <v>32694</v>
      </c>
      <c r="J5862" t="s">
        <v>33177</v>
      </c>
      <c r="K5862" t="s">
        <v>42297</v>
      </c>
      <c r="M5862" t="s">
        <v>44692</v>
      </c>
      <c r="N5862" t="s">
        <v>46569</v>
      </c>
      <c r="O5862" t="s">
        <v>46570</v>
      </c>
      <c r="P5862">
        <v>0</v>
      </c>
      <c r="Q5862">
        <v>1</v>
      </c>
      <c r="R5862" t="s">
        <v>46573</v>
      </c>
      <c r="S5862" t="s">
        <v>46705</v>
      </c>
      <c r="T5862" t="s">
        <v>48304</v>
      </c>
      <c r="U5862" t="s">
        <v>53660</v>
      </c>
      <c r="V5862" t="s">
        <v>62231</v>
      </c>
      <c r="W5862" t="s">
        <v>44692</v>
      </c>
      <c r="X5862" t="s">
        <v>46574</v>
      </c>
    </row>
    <row r="5863" spans="1:24">
      <c r="A5863">
        <f>HYPERLINK("https://www.philgeps.gov.ph/GEPSNONPILOT/Tender/SplashBidNoticeAbstractUI.aspx?menuIndex=3&amp;refID=7060118&amp;Result=3","7060118")</f>
        <v>0</v>
      </c>
      <c r="B5863" t="s">
        <v>754</v>
      </c>
      <c r="C5863" t="s">
        <v>9115</v>
      </c>
      <c r="D5863" t="s">
        <v>18838</v>
      </c>
      <c r="E5863" t="s">
        <v>24116</v>
      </c>
      <c r="F5863" t="s">
        <v>32664</v>
      </c>
      <c r="G5863" t="s">
        <v>32674</v>
      </c>
      <c r="H5863" t="s">
        <v>12635</v>
      </c>
      <c r="I5863" t="s">
        <v>32766</v>
      </c>
      <c r="J5863" t="s">
        <v>33334</v>
      </c>
      <c r="K5863" t="s">
        <v>42285</v>
      </c>
      <c r="M5863" t="s">
        <v>44693</v>
      </c>
      <c r="N5863" t="s">
        <v>46569</v>
      </c>
      <c r="O5863" t="s">
        <v>46570</v>
      </c>
      <c r="P5863">
        <v>0</v>
      </c>
      <c r="Q5863">
        <v>0</v>
      </c>
      <c r="R5863" t="s">
        <v>46573</v>
      </c>
      <c r="S5863" t="s">
        <v>46705</v>
      </c>
      <c r="T5863" t="s">
        <v>48449</v>
      </c>
      <c r="U5863" t="s">
        <v>53661</v>
      </c>
      <c r="W5863" t="s">
        <v>44693</v>
      </c>
      <c r="X5863" t="s">
        <v>46574</v>
      </c>
    </row>
    <row r="5864" spans="1:24">
      <c r="A5864">
        <f>HYPERLINK("https://www.philgeps.gov.ph/GEPSNONPILOT/Tender/SplashBidNoticeAbstractUI.aspx?menuIndex=3&amp;refID=7060115&amp;Result=3","7060115")</f>
        <v>0</v>
      </c>
      <c r="B5864" t="s">
        <v>1947</v>
      </c>
      <c r="C5864" t="s">
        <v>9116</v>
      </c>
      <c r="D5864" t="s">
        <v>18784</v>
      </c>
      <c r="E5864" t="s">
        <v>24117</v>
      </c>
      <c r="F5864" t="s">
        <v>32664</v>
      </c>
      <c r="G5864" t="s">
        <v>32671</v>
      </c>
      <c r="H5864" t="s">
        <v>12635</v>
      </c>
      <c r="I5864" t="s">
        <v>10370</v>
      </c>
      <c r="J5864" t="s">
        <v>36221</v>
      </c>
      <c r="K5864" t="s">
        <v>42281</v>
      </c>
      <c r="M5864" t="s">
        <v>44674</v>
      </c>
      <c r="N5864" t="s">
        <v>46569</v>
      </c>
      <c r="O5864" t="s">
        <v>46570</v>
      </c>
      <c r="P5864">
        <v>0</v>
      </c>
      <c r="Q5864">
        <v>10</v>
      </c>
      <c r="R5864" t="s">
        <v>46573</v>
      </c>
      <c r="S5864" t="s">
        <v>46705</v>
      </c>
      <c r="T5864" t="s">
        <v>48329</v>
      </c>
      <c r="U5864" t="s">
        <v>53618</v>
      </c>
      <c r="W5864" t="s">
        <v>44674</v>
      </c>
      <c r="X5864" t="s">
        <v>46574</v>
      </c>
    </row>
    <row r="5865" spans="1:24">
      <c r="A5865">
        <f>HYPERLINK("https://www.philgeps.gov.ph/GEPSNONPILOT/Tender/SplashBidNoticeAbstractUI.aspx?menuIndex=3&amp;refID=7060114&amp;Result=3","7060114")</f>
        <v>0</v>
      </c>
      <c r="B5865" t="s">
        <v>135</v>
      </c>
      <c r="C5865" t="s">
        <v>9117</v>
      </c>
      <c r="D5865" t="s">
        <v>18807</v>
      </c>
      <c r="E5865" t="s">
        <v>24118</v>
      </c>
      <c r="F5865" t="s">
        <v>32664</v>
      </c>
      <c r="G5865" t="s">
        <v>32672</v>
      </c>
      <c r="H5865" t="s">
        <v>12635</v>
      </c>
      <c r="I5865" t="s">
        <v>10361</v>
      </c>
      <c r="J5865" t="s">
        <v>36483</v>
      </c>
      <c r="K5865" t="s">
        <v>42294</v>
      </c>
      <c r="M5865" t="s">
        <v>42852</v>
      </c>
      <c r="N5865" t="s">
        <v>46569</v>
      </c>
      <c r="O5865" t="s">
        <v>46570</v>
      </c>
      <c r="P5865">
        <v>0</v>
      </c>
      <c r="Q5865">
        <v>0</v>
      </c>
      <c r="R5865" t="s">
        <v>46573</v>
      </c>
      <c r="S5865" t="s">
        <v>46705</v>
      </c>
      <c r="T5865" t="s">
        <v>48228</v>
      </c>
      <c r="U5865" t="s">
        <v>49052</v>
      </c>
      <c r="V5865" t="s">
        <v>61650</v>
      </c>
      <c r="W5865" t="s">
        <v>42852</v>
      </c>
      <c r="X5865" t="s">
        <v>46574</v>
      </c>
    </row>
    <row r="5866" spans="1:24">
      <c r="A5866">
        <f>HYPERLINK("https://www.philgeps.gov.ph/GEPSNONPILOT/Tender/SplashBidNoticeAbstractUI.aspx?menuIndex=3&amp;refID=7060083&amp;Result=3","7060083")</f>
        <v>0</v>
      </c>
      <c r="B5866" t="s">
        <v>1962</v>
      </c>
      <c r="C5866" t="s">
        <v>9118</v>
      </c>
      <c r="D5866" t="s">
        <v>18824</v>
      </c>
      <c r="E5866" t="s">
        <v>24119</v>
      </c>
      <c r="F5866" t="s">
        <v>32664</v>
      </c>
      <c r="G5866" t="s">
        <v>32672</v>
      </c>
      <c r="H5866" t="s">
        <v>12635</v>
      </c>
      <c r="I5866" t="s">
        <v>4439</v>
      </c>
      <c r="J5866" t="s">
        <v>36484</v>
      </c>
      <c r="K5866" t="s">
        <v>42305</v>
      </c>
      <c r="M5866" t="s">
        <v>44694</v>
      </c>
      <c r="N5866" t="s">
        <v>46569</v>
      </c>
      <c r="O5866" t="s">
        <v>46570</v>
      </c>
      <c r="P5866">
        <v>0</v>
      </c>
      <c r="Q5866">
        <v>1</v>
      </c>
      <c r="R5866" t="s">
        <v>46573</v>
      </c>
      <c r="S5866" t="s">
        <v>46705</v>
      </c>
      <c r="T5866" t="s">
        <v>48279</v>
      </c>
      <c r="U5866" t="s">
        <v>53662</v>
      </c>
      <c r="W5866" t="s">
        <v>44694</v>
      </c>
      <c r="X5866" t="s">
        <v>46574</v>
      </c>
    </row>
    <row r="5867" spans="1:24">
      <c r="A5867">
        <f>HYPERLINK("https://www.philgeps.gov.ph/GEPSNONPILOT/Tender/SplashBidNoticeAbstractUI.aspx?menuIndex=3&amp;refID=7060107&amp;Result=3","7060107")</f>
        <v>0</v>
      </c>
      <c r="B5867" t="s">
        <v>112</v>
      </c>
      <c r="C5867" t="s">
        <v>9119</v>
      </c>
      <c r="D5867" t="s">
        <v>18813</v>
      </c>
      <c r="E5867" t="s">
        <v>24120</v>
      </c>
      <c r="F5867" t="s">
        <v>32664</v>
      </c>
      <c r="G5867" t="s">
        <v>32671</v>
      </c>
      <c r="H5867" t="s">
        <v>12635</v>
      </c>
      <c r="I5867" t="s">
        <v>7759</v>
      </c>
      <c r="J5867" t="s">
        <v>36485</v>
      </c>
      <c r="K5867" t="s">
        <v>42281</v>
      </c>
      <c r="M5867" t="s">
        <v>42676</v>
      </c>
      <c r="N5867" t="s">
        <v>46569</v>
      </c>
      <c r="O5867" t="s">
        <v>46570</v>
      </c>
      <c r="P5867">
        <v>0</v>
      </c>
      <c r="Q5867">
        <v>0</v>
      </c>
      <c r="R5867" t="s">
        <v>46573</v>
      </c>
      <c r="S5867" t="s">
        <v>46705</v>
      </c>
      <c r="T5867" t="s">
        <v>48287</v>
      </c>
      <c r="U5867" t="s">
        <v>53663</v>
      </c>
      <c r="W5867" t="s">
        <v>42676</v>
      </c>
      <c r="X5867" t="s">
        <v>46574</v>
      </c>
    </row>
    <row r="5868" spans="1:24">
      <c r="A5868">
        <f>HYPERLINK("https://www.philgeps.gov.ph/GEPSNONPILOT/Tender/SplashBidNoticeAbstractUI.aspx?menuIndex=3&amp;refID=7060147&amp;Result=3","7060147")</f>
        <v>0</v>
      </c>
      <c r="B5868" t="s">
        <v>336</v>
      </c>
      <c r="C5868" t="s">
        <v>9120</v>
      </c>
      <c r="D5868" t="s">
        <v>18808</v>
      </c>
      <c r="E5868" t="s">
        <v>24121</v>
      </c>
      <c r="F5868" t="s">
        <v>32664</v>
      </c>
      <c r="G5868" t="s">
        <v>32672</v>
      </c>
      <c r="H5868" t="s">
        <v>12635</v>
      </c>
      <c r="I5868" t="s">
        <v>8797</v>
      </c>
      <c r="J5868" t="s">
        <v>32842</v>
      </c>
      <c r="K5868" t="s">
        <v>42283</v>
      </c>
      <c r="M5868" t="s">
        <v>42904</v>
      </c>
      <c r="N5868" t="s">
        <v>46569</v>
      </c>
      <c r="O5868" t="s">
        <v>46570</v>
      </c>
      <c r="P5868">
        <v>0</v>
      </c>
      <c r="Q5868">
        <v>2</v>
      </c>
      <c r="R5868" t="s">
        <v>46573</v>
      </c>
      <c r="S5868" t="s">
        <v>46705</v>
      </c>
      <c r="T5868" t="s">
        <v>48419</v>
      </c>
      <c r="U5868" t="s">
        <v>53664</v>
      </c>
      <c r="W5868" t="s">
        <v>42904</v>
      </c>
      <c r="X5868" t="s">
        <v>46574</v>
      </c>
    </row>
    <row r="5869" spans="1:24">
      <c r="A5869">
        <f>HYPERLINK("https://www.philgeps.gov.ph/GEPSNONPILOT/Tender/SplashBidNoticeAbstractUI.aspx?menuIndex=3&amp;refID=7060106&amp;Result=3","7060106")</f>
        <v>0</v>
      </c>
      <c r="B5869" t="s">
        <v>1853</v>
      </c>
      <c r="C5869" t="s">
        <v>9121</v>
      </c>
      <c r="D5869" t="s">
        <v>18785</v>
      </c>
      <c r="E5869" t="s">
        <v>24122</v>
      </c>
      <c r="F5869" t="s">
        <v>32664</v>
      </c>
      <c r="G5869" t="s">
        <v>32675</v>
      </c>
      <c r="H5869" t="s">
        <v>12635</v>
      </c>
      <c r="I5869" t="s">
        <v>6223</v>
      </c>
      <c r="J5869" t="s">
        <v>36486</v>
      </c>
      <c r="K5869" t="s">
        <v>42284</v>
      </c>
      <c r="M5869" t="s">
        <v>44564</v>
      </c>
      <c r="N5869" t="s">
        <v>46569</v>
      </c>
      <c r="O5869" t="s">
        <v>46570</v>
      </c>
      <c r="P5869">
        <v>0</v>
      </c>
      <c r="Q5869">
        <v>1</v>
      </c>
      <c r="R5869" t="s">
        <v>46573</v>
      </c>
      <c r="S5869" t="s">
        <v>46705</v>
      </c>
      <c r="T5869" t="s">
        <v>48287</v>
      </c>
      <c r="U5869" t="s">
        <v>53665</v>
      </c>
      <c r="W5869" t="s">
        <v>44564</v>
      </c>
      <c r="X5869" t="s">
        <v>46574</v>
      </c>
    </row>
    <row r="5870" spans="1:24">
      <c r="A5870">
        <f>HYPERLINK("https://www.philgeps.gov.ph/GEPSNONPILOT/Tender/SplashBidNoticeAbstractUI.aspx?menuIndex=3&amp;refID=7060146&amp;Result=3","7060146")</f>
        <v>0</v>
      </c>
      <c r="B5870" t="s">
        <v>673</v>
      </c>
      <c r="C5870" t="s">
        <v>9122</v>
      </c>
      <c r="D5870" t="s">
        <v>18799</v>
      </c>
      <c r="E5870" t="s">
        <v>24123</v>
      </c>
      <c r="F5870" t="s">
        <v>32664</v>
      </c>
      <c r="G5870" t="s">
        <v>32675</v>
      </c>
      <c r="H5870" t="s">
        <v>12635</v>
      </c>
      <c r="I5870" t="s">
        <v>10370</v>
      </c>
      <c r="J5870" t="s">
        <v>36487</v>
      </c>
      <c r="K5870" t="s">
        <v>42283</v>
      </c>
      <c r="M5870" t="s">
        <v>43260</v>
      </c>
      <c r="N5870" t="s">
        <v>46569</v>
      </c>
      <c r="O5870" t="s">
        <v>46570</v>
      </c>
      <c r="P5870">
        <v>0</v>
      </c>
      <c r="Q5870">
        <v>3</v>
      </c>
      <c r="R5870" t="s">
        <v>46573</v>
      </c>
      <c r="S5870" t="s">
        <v>46705</v>
      </c>
      <c r="T5870" t="s">
        <v>48334</v>
      </c>
      <c r="U5870" t="s">
        <v>53659</v>
      </c>
      <c r="W5870" t="s">
        <v>43260</v>
      </c>
      <c r="X5870" t="s">
        <v>46574</v>
      </c>
    </row>
    <row r="5871" spans="1:24">
      <c r="A5871">
        <f>HYPERLINK("https://www.philgeps.gov.ph/GEPSNONPILOT/Tender/SplashBidNoticeAbstractUI.aspx?menuIndex=3&amp;refID=7060143&amp;Result=3","7060143")</f>
        <v>0</v>
      </c>
      <c r="B5871" t="s">
        <v>1963</v>
      </c>
      <c r="C5871" t="s">
        <v>9123</v>
      </c>
      <c r="D5871" t="s">
        <v>18785</v>
      </c>
      <c r="E5871" t="s">
        <v>24124</v>
      </c>
      <c r="F5871" t="s">
        <v>32664</v>
      </c>
      <c r="G5871" t="s">
        <v>32672</v>
      </c>
      <c r="H5871" t="s">
        <v>12635</v>
      </c>
      <c r="I5871" t="s">
        <v>4439</v>
      </c>
      <c r="J5871" t="s">
        <v>36488</v>
      </c>
      <c r="K5871" t="s">
        <v>42297</v>
      </c>
      <c r="M5871" t="s">
        <v>44695</v>
      </c>
      <c r="N5871" t="s">
        <v>46569</v>
      </c>
      <c r="O5871" t="s">
        <v>46570</v>
      </c>
      <c r="P5871">
        <v>0</v>
      </c>
      <c r="Q5871">
        <v>0</v>
      </c>
      <c r="R5871" t="s">
        <v>46573</v>
      </c>
      <c r="S5871" t="s">
        <v>46705</v>
      </c>
      <c r="T5871" t="s">
        <v>48283</v>
      </c>
      <c r="U5871" t="s">
        <v>53666</v>
      </c>
      <c r="W5871" t="s">
        <v>44695</v>
      </c>
      <c r="X5871" t="s">
        <v>46574</v>
      </c>
    </row>
    <row r="5872" spans="1:24">
      <c r="A5872">
        <f>HYPERLINK("https://www.philgeps.gov.ph/GEPSNONPILOT/Tender/SplashBidNoticeAbstractUI.aspx?menuIndex=3&amp;refID=7060142&amp;Result=3","7060142")</f>
        <v>0</v>
      </c>
      <c r="B5872" t="s">
        <v>1811</v>
      </c>
      <c r="C5872" t="s">
        <v>9124</v>
      </c>
      <c r="D5872" t="s">
        <v>18805</v>
      </c>
      <c r="E5872" t="s">
        <v>24125</v>
      </c>
      <c r="F5872" t="s">
        <v>32664</v>
      </c>
      <c r="G5872" t="s">
        <v>32672</v>
      </c>
      <c r="H5872" t="s">
        <v>12635</v>
      </c>
      <c r="I5872" t="s">
        <v>8797</v>
      </c>
      <c r="J5872" t="s">
        <v>33657</v>
      </c>
      <c r="K5872" t="s">
        <v>42283</v>
      </c>
      <c r="M5872" t="s">
        <v>44517</v>
      </c>
      <c r="N5872" t="s">
        <v>46569</v>
      </c>
      <c r="O5872" t="s">
        <v>46570</v>
      </c>
      <c r="P5872">
        <v>0</v>
      </c>
      <c r="Q5872">
        <v>3</v>
      </c>
      <c r="R5872" t="s">
        <v>46573</v>
      </c>
      <c r="S5872" t="s">
        <v>46705</v>
      </c>
      <c r="T5872" t="s">
        <v>48411</v>
      </c>
      <c r="U5872" t="s">
        <v>53667</v>
      </c>
      <c r="V5872" t="s">
        <v>62197</v>
      </c>
      <c r="W5872" t="s">
        <v>44517</v>
      </c>
      <c r="X5872" t="s">
        <v>46574</v>
      </c>
    </row>
    <row r="5873" spans="1:24">
      <c r="A5873">
        <f>HYPERLINK("https://www.philgeps.gov.ph/GEPSNONPILOT/Tender/SplashBidNoticeAbstractUI.aspx?menuIndex=3&amp;refID=7060141&amp;Result=3","7060141")</f>
        <v>0</v>
      </c>
      <c r="B5873" t="s">
        <v>442</v>
      </c>
      <c r="C5873" t="s">
        <v>9125</v>
      </c>
      <c r="D5873" t="s">
        <v>18852</v>
      </c>
      <c r="E5873" t="s">
        <v>24126</v>
      </c>
      <c r="F5873" t="s">
        <v>32664</v>
      </c>
      <c r="G5873" t="s">
        <v>32672</v>
      </c>
      <c r="H5873" t="s">
        <v>12635</v>
      </c>
      <c r="I5873" t="s">
        <v>5589</v>
      </c>
      <c r="J5873" t="s">
        <v>36489</v>
      </c>
      <c r="K5873" t="s">
        <v>42289</v>
      </c>
      <c r="M5873" t="s">
        <v>43014</v>
      </c>
      <c r="N5873" t="s">
        <v>46569</v>
      </c>
      <c r="O5873" t="s">
        <v>46570</v>
      </c>
      <c r="P5873">
        <v>0</v>
      </c>
      <c r="Q5873">
        <v>2</v>
      </c>
      <c r="R5873" t="s">
        <v>46573</v>
      </c>
      <c r="S5873" t="s">
        <v>46705</v>
      </c>
      <c r="T5873" t="s">
        <v>48559</v>
      </c>
      <c r="U5873" t="s">
        <v>53668</v>
      </c>
      <c r="W5873" t="s">
        <v>43014</v>
      </c>
      <c r="X5873" t="s">
        <v>46574</v>
      </c>
    </row>
    <row r="5874" spans="1:24">
      <c r="A5874">
        <f>HYPERLINK("https://www.philgeps.gov.ph/GEPSNONPILOT/Tender/SplashBidNoticeAbstractUI.aspx?menuIndex=3&amp;refID=7060139&amp;Result=3","7060139")</f>
        <v>0</v>
      </c>
      <c r="B5874" t="s">
        <v>1964</v>
      </c>
      <c r="C5874" t="s">
        <v>9126</v>
      </c>
      <c r="D5874" t="s">
        <v>18840</v>
      </c>
      <c r="E5874" t="s">
        <v>20150</v>
      </c>
      <c r="F5874" t="s">
        <v>32665</v>
      </c>
      <c r="G5874" t="s">
        <v>32672</v>
      </c>
      <c r="H5874" t="s">
        <v>32683</v>
      </c>
      <c r="I5874" t="s">
        <v>10627</v>
      </c>
      <c r="J5874" t="s">
        <v>36490</v>
      </c>
      <c r="K5874" t="s">
        <v>42289</v>
      </c>
      <c r="M5874" t="s">
        <v>44696</v>
      </c>
      <c r="N5874" t="s">
        <v>46569</v>
      </c>
      <c r="O5874" t="s">
        <v>46570</v>
      </c>
      <c r="P5874">
        <v>0</v>
      </c>
      <c r="Q5874">
        <v>0</v>
      </c>
      <c r="R5874" t="s">
        <v>46573</v>
      </c>
      <c r="S5874" t="s">
        <v>46705</v>
      </c>
      <c r="T5874" t="s">
        <v>48560</v>
      </c>
      <c r="U5874" t="s">
        <v>53669</v>
      </c>
      <c r="W5874" t="s">
        <v>44696</v>
      </c>
      <c r="X5874" t="s">
        <v>46574</v>
      </c>
    </row>
    <row r="5875" spans="1:24">
      <c r="A5875">
        <f>HYPERLINK("https://www.philgeps.gov.ph/GEPSNONPILOT/Tender/SplashBidNoticeAbstractUI.aspx?menuIndex=3&amp;refID=7060111&amp;Result=3","7060111")</f>
        <v>0</v>
      </c>
      <c r="B5875" t="s">
        <v>1965</v>
      </c>
      <c r="C5875" t="s">
        <v>9127</v>
      </c>
      <c r="D5875" t="s">
        <v>18837</v>
      </c>
      <c r="E5875" t="s">
        <v>19732</v>
      </c>
      <c r="F5875" t="s">
        <v>32664</v>
      </c>
      <c r="G5875" t="s">
        <v>32671</v>
      </c>
      <c r="H5875" t="s">
        <v>32682</v>
      </c>
      <c r="I5875" t="s">
        <v>32754</v>
      </c>
      <c r="J5875" t="s">
        <v>33159</v>
      </c>
      <c r="K5875" t="s">
        <v>42306</v>
      </c>
      <c r="M5875" t="s">
        <v>44697</v>
      </c>
      <c r="N5875" t="s">
        <v>46569</v>
      </c>
      <c r="O5875" t="s">
        <v>46570</v>
      </c>
      <c r="P5875">
        <v>0</v>
      </c>
      <c r="Q5875">
        <v>0</v>
      </c>
      <c r="R5875" t="s">
        <v>46573</v>
      </c>
      <c r="S5875" t="s">
        <v>46705</v>
      </c>
      <c r="T5875" t="s">
        <v>48376</v>
      </c>
      <c r="U5875" t="s">
        <v>53670</v>
      </c>
      <c r="W5875" t="s">
        <v>44697</v>
      </c>
      <c r="X5875" t="s">
        <v>46574</v>
      </c>
    </row>
    <row r="5876" spans="1:24">
      <c r="A5876">
        <f>HYPERLINK("https://www.philgeps.gov.ph/GEPSNONPILOT/Tender/SplashBidNoticeAbstractUI.aspx?menuIndex=3&amp;refID=7060137&amp;Result=3","7060137")</f>
        <v>0</v>
      </c>
      <c r="B5876" t="s">
        <v>755</v>
      </c>
      <c r="C5876" t="s">
        <v>9128</v>
      </c>
      <c r="D5876" t="s">
        <v>18818</v>
      </c>
      <c r="E5876" t="s">
        <v>24127</v>
      </c>
      <c r="F5876" t="s">
        <v>32664</v>
      </c>
      <c r="G5876" t="s">
        <v>32671</v>
      </c>
      <c r="H5876" t="s">
        <v>12635</v>
      </c>
      <c r="I5876" t="s">
        <v>4439</v>
      </c>
      <c r="J5876" t="s">
        <v>36491</v>
      </c>
      <c r="K5876" t="s">
        <v>42289</v>
      </c>
      <c r="M5876" t="s">
        <v>43345</v>
      </c>
      <c r="N5876" t="s">
        <v>46569</v>
      </c>
      <c r="O5876" t="s">
        <v>46570</v>
      </c>
      <c r="P5876">
        <v>0</v>
      </c>
      <c r="Q5876">
        <v>0</v>
      </c>
      <c r="R5876" t="s">
        <v>46573</v>
      </c>
      <c r="S5876" t="s">
        <v>46705</v>
      </c>
      <c r="T5876" t="s">
        <v>48287</v>
      </c>
      <c r="U5876" t="s">
        <v>53671</v>
      </c>
      <c r="W5876" t="s">
        <v>43345</v>
      </c>
      <c r="X5876" t="s">
        <v>46574</v>
      </c>
    </row>
    <row r="5877" spans="1:24">
      <c r="A5877">
        <f>HYPERLINK("https://www.philgeps.gov.ph/GEPSNONPILOT/Tender/SplashBidNoticeAbstractUI.aspx?menuIndex=3&amp;refID=7060091&amp;Result=3","7060091")</f>
        <v>0</v>
      </c>
      <c r="B5877" t="s">
        <v>1966</v>
      </c>
      <c r="C5877" t="s">
        <v>9129</v>
      </c>
      <c r="D5877" t="s">
        <v>18782</v>
      </c>
      <c r="E5877" t="s">
        <v>24128</v>
      </c>
      <c r="F5877" t="s">
        <v>32664</v>
      </c>
      <c r="G5877" t="s">
        <v>32672</v>
      </c>
      <c r="H5877" t="s">
        <v>32683</v>
      </c>
      <c r="I5877" t="s">
        <v>4439</v>
      </c>
      <c r="J5877" t="s">
        <v>36492</v>
      </c>
      <c r="K5877" t="s">
        <v>42297</v>
      </c>
      <c r="M5877" t="s">
        <v>44698</v>
      </c>
      <c r="N5877" t="s">
        <v>46569</v>
      </c>
      <c r="O5877" t="s">
        <v>46570</v>
      </c>
      <c r="P5877">
        <v>0</v>
      </c>
      <c r="Q5877">
        <v>0</v>
      </c>
      <c r="R5877" t="s">
        <v>46573</v>
      </c>
      <c r="S5877" t="s">
        <v>46705</v>
      </c>
      <c r="T5877" t="s">
        <v>48222</v>
      </c>
      <c r="U5877" t="s">
        <v>53672</v>
      </c>
      <c r="W5877" t="s">
        <v>44698</v>
      </c>
      <c r="X5877" t="s">
        <v>46574</v>
      </c>
    </row>
    <row r="5878" spans="1:24">
      <c r="A5878">
        <f>HYPERLINK("https://www.philgeps.gov.ph/GEPSNONPILOT/Tender/SplashBidNoticeAbstractUI.aspx?menuIndex=3&amp;refID=7060136&amp;Result=3","7060136")</f>
        <v>0</v>
      </c>
      <c r="B5878" t="s">
        <v>937</v>
      </c>
      <c r="C5878" t="s">
        <v>9130</v>
      </c>
      <c r="D5878" t="s">
        <v>18791</v>
      </c>
      <c r="E5878" t="s">
        <v>24129</v>
      </c>
      <c r="F5878" t="s">
        <v>32664</v>
      </c>
      <c r="G5878" t="s">
        <v>32671</v>
      </c>
      <c r="H5878" t="s">
        <v>12635</v>
      </c>
      <c r="I5878" t="s">
        <v>7759</v>
      </c>
      <c r="J5878" t="s">
        <v>33069</v>
      </c>
      <c r="K5878" t="s">
        <v>42309</v>
      </c>
      <c r="M5878" t="s">
        <v>43543</v>
      </c>
      <c r="N5878" t="s">
        <v>46569</v>
      </c>
      <c r="O5878" t="s">
        <v>46570</v>
      </c>
      <c r="P5878">
        <v>0</v>
      </c>
      <c r="Q5878">
        <v>0</v>
      </c>
      <c r="R5878" t="s">
        <v>46573</v>
      </c>
      <c r="S5878" t="s">
        <v>46705</v>
      </c>
      <c r="T5878" t="s">
        <v>48287</v>
      </c>
      <c r="U5878" t="s">
        <v>53673</v>
      </c>
      <c r="V5878" t="s">
        <v>61855</v>
      </c>
      <c r="W5878" t="s">
        <v>43543</v>
      </c>
      <c r="X5878" t="s">
        <v>46574</v>
      </c>
    </row>
    <row r="5879" spans="1:24">
      <c r="A5879">
        <f>HYPERLINK("https://www.philgeps.gov.ph/GEPSNONPILOT/Tender/SplashBidNoticeAbstractUI.aspx?menuIndex=3&amp;refID=7060129&amp;Result=3","7060129")</f>
        <v>0</v>
      </c>
      <c r="B5879" t="s">
        <v>1962</v>
      </c>
      <c r="C5879" t="s">
        <v>9131</v>
      </c>
      <c r="D5879" t="s">
        <v>18824</v>
      </c>
      <c r="E5879" t="s">
        <v>23267</v>
      </c>
      <c r="F5879" t="s">
        <v>32664</v>
      </c>
      <c r="G5879" t="s">
        <v>32672</v>
      </c>
      <c r="H5879" t="s">
        <v>12635</v>
      </c>
      <c r="I5879" t="s">
        <v>4439</v>
      </c>
      <c r="J5879" t="s">
        <v>36493</v>
      </c>
      <c r="K5879" t="s">
        <v>42305</v>
      </c>
      <c r="M5879" t="s">
        <v>44694</v>
      </c>
      <c r="N5879" t="s">
        <v>46569</v>
      </c>
      <c r="O5879" t="s">
        <v>46570</v>
      </c>
      <c r="P5879">
        <v>0</v>
      </c>
      <c r="Q5879">
        <v>1</v>
      </c>
      <c r="R5879" t="s">
        <v>46573</v>
      </c>
      <c r="S5879" t="s">
        <v>46705</v>
      </c>
      <c r="T5879" t="s">
        <v>48279</v>
      </c>
      <c r="U5879" t="s">
        <v>53662</v>
      </c>
      <c r="W5879" t="s">
        <v>44694</v>
      </c>
      <c r="X5879" t="s">
        <v>46574</v>
      </c>
    </row>
    <row r="5880" spans="1:24">
      <c r="A5880">
        <f>HYPERLINK("https://www.philgeps.gov.ph/GEPSNONPILOT/Tender/SplashBidNoticeAbstractUI.aspx?menuIndex=3&amp;refID=7060132&amp;Result=3","7060132")</f>
        <v>0</v>
      </c>
      <c r="B5880" t="s">
        <v>1684</v>
      </c>
      <c r="C5880" t="s">
        <v>9132</v>
      </c>
      <c r="D5880" t="s">
        <v>18805</v>
      </c>
      <c r="E5880" t="s">
        <v>24130</v>
      </c>
      <c r="F5880" t="s">
        <v>32664</v>
      </c>
      <c r="G5880" t="s">
        <v>32671</v>
      </c>
      <c r="H5880" t="s">
        <v>12635</v>
      </c>
      <c r="I5880" t="s">
        <v>32712</v>
      </c>
      <c r="J5880" t="s">
        <v>34247</v>
      </c>
      <c r="K5880" t="s">
        <v>42284</v>
      </c>
      <c r="M5880" t="s">
        <v>44373</v>
      </c>
      <c r="N5880" t="s">
        <v>46569</v>
      </c>
      <c r="O5880" t="s">
        <v>46570</v>
      </c>
      <c r="P5880">
        <v>0</v>
      </c>
      <c r="Q5880">
        <v>6</v>
      </c>
      <c r="R5880" t="s">
        <v>46573</v>
      </c>
      <c r="S5880" t="s">
        <v>46705</v>
      </c>
      <c r="T5880" t="s">
        <v>48254</v>
      </c>
      <c r="U5880" t="s">
        <v>53674</v>
      </c>
      <c r="W5880" t="s">
        <v>44373</v>
      </c>
      <c r="X5880" t="s">
        <v>46574</v>
      </c>
    </row>
    <row r="5881" spans="1:24">
      <c r="A5881">
        <f>HYPERLINK("https://www.philgeps.gov.ph/GEPSNONPILOT/Tender/SplashBidNoticeAbstractUI.aspx?menuIndex=3&amp;refID=7060127&amp;Result=3","7060127")</f>
        <v>0</v>
      </c>
      <c r="B5881" t="s">
        <v>112</v>
      </c>
      <c r="C5881" t="s">
        <v>9133</v>
      </c>
      <c r="D5881" t="s">
        <v>18813</v>
      </c>
      <c r="E5881" t="s">
        <v>22787</v>
      </c>
      <c r="F5881" t="s">
        <v>32664</v>
      </c>
      <c r="G5881" t="s">
        <v>32671</v>
      </c>
      <c r="H5881" t="s">
        <v>12635</v>
      </c>
      <c r="I5881" t="s">
        <v>32685</v>
      </c>
      <c r="J5881" t="s">
        <v>36494</v>
      </c>
      <c r="K5881" t="s">
        <v>42281</v>
      </c>
      <c r="M5881" t="s">
        <v>42676</v>
      </c>
      <c r="N5881" t="s">
        <v>46569</v>
      </c>
      <c r="O5881" t="s">
        <v>46570</v>
      </c>
      <c r="P5881">
        <v>0</v>
      </c>
      <c r="Q5881">
        <v>0</v>
      </c>
      <c r="R5881" t="s">
        <v>46573</v>
      </c>
      <c r="S5881" t="s">
        <v>46705</v>
      </c>
      <c r="T5881" t="s">
        <v>48287</v>
      </c>
      <c r="U5881" t="s">
        <v>53675</v>
      </c>
      <c r="W5881" t="s">
        <v>42676</v>
      </c>
      <c r="X5881" t="s">
        <v>46574</v>
      </c>
    </row>
    <row r="5882" spans="1:24">
      <c r="A5882">
        <f>HYPERLINK("https://www.philgeps.gov.ph/GEPSNONPILOT/Tender/SplashBidNoticeAbstractUI.aspx?menuIndex=3&amp;refID=7060123&amp;Result=3","7060123")</f>
        <v>0</v>
      </c>
      <c r="B5882" t="s">
        <v>145</v>
      </c>
      <c r="C5882" t="s">
        <v>9134</v>
      </c>
      <c r="D5882" t="s">
        <v>18784</v>
      </c>
      <c r="E5882" t="s">
        <v>24131</v>
      </c>
      <c r="F5882" t="s">
        <v>32664</v>
      </c>
      <c r="G5882" t="s">
        <v>32672</v>
      </c>
      <c r="H5882" t="s">
        <v>12635</v>
      </c>
      <c r="I5882" t="s">
        <v>5589</v>
      </c>
      <c r="J5882" t="s">
        <v>35617</v>
      </c>
      <c r="K5882" t="s">
        <v>42283</v>
      </c>
      <c r="M5882" t="s">
        <v>44699</v>
      </c>
      <c r="N5882" t="s">
        <v>46569</v>
      </c>
      <c r="O5882" t="s">
        <v>46570</v>
      </c>
      <c r="P5882">
        <v>0</v>
      </c>
      <c r="Q5882">
        <v>16</v>
      </c>
      <c r="R5882" t="s">
        <v>46573</v>
      </c>
      <c r="S5882" t="s">
        <v>46705</v>
      </c>
      <c r="T5882" t="s">
        <v>48270</v>
      </c>
      <c r="U5882" t="s">
        <v>53676</v>
      </c>
      <c r="W5882" t="s">
        <v>44699</v>
      </c>
      <c r="X5882" t="s">
        <v>46574</v>
      </c>
    </row>
    <row r="5883" spans="1:24">
      <c r="A5883">
        <f>HYPERLINK("https://www.philgeps.gov.ph/GEPSNONPILOT/Tender/SplashBidNoticeAbstractUI.aspx?menuIndex=3&amp;refID=7060122&amp;Result=3","7060122")</f>
        <v>0</v>
      </c>
      <c r="B5883" t="s">
        <v>1048</v>
      </c>
      <c r="C5883" t="s">
        <v>9135</v>
      </c>
      <c r="D5883" t="s">
        <v>18831</v>
      </c>
      <c r="E5883" t="s">
        <v>24132</v>
      </c>
      <c r="F5883" t="s">
        <v>32664</v>
      </c>
      <c r="G5883" t="s">
        <v>32671</v>
      </c>
      <c r="H5883" t="s">
        <v>12635</v>
      </c>
      <c r="I5883" t="s">
        <v>8958</v>
      </c>
      <c r="J5883" t="s">
        <v>33069</v>
      </c>
      <c r="K5883" t="s">
        <v>42281</v>
      </c>
      <c r="M5883" t="s">
        <v>44326</v>
      </c>
      <c r="N5883" t="s">
        <v>46569</v>
      </c>
      <c r="O5883" t="s">
        <v>46570</v>
      </c>
      <c r="P5883">
        <v>0</v>
      </c>
      <c r="Q5883">
        <v>2</v>
      </c>
      <c r="R5883" t="s">
        <v>46573</v>
      </c>
      <c r="S5883" t="s">
        <v>46705</v>
      </c>
      <c r="T5883" t="s">
        <v>48221</v>
      </c>
      <c r="U5883" t="s">
        <v>53677</v>
      </c>
      <c r="W5883" t="s">
        <v>44326</v>
      </c>
      <c r="X5883" t="s">
        <v>46574</v>
      </c>
    </row>
    <row r="5884" spans="1:24">
      <c r="A5884">
        <f>HYPERLINK("https://www.philgeps.gov.ph/GEPSNONPILOT/Tender/SplashBidNoticeAbstractUI.aspx?menuIndex=3&amp;refID=7060121&amp;Result=3","7060121")</f>
        <v>0</v>
      </c>
      <c r="B5884" t="s">
        <v>1929</v>
      </c>
      <c r="C5884" t="s">
        <v>9136</v>
      </c>
      <c r="D5884" t="s">
        <v>18845</v>
      </c>
      <c r="E5884" t="s">
        <v>24133</v>
      </c>
      <c r="F5884" t="s">
        <v>32664</v>
      </c>
      <c r="G5884" t="s">
        <v>32671</v>
      </c>
      <c r="H5884" t="s">
        <v>12635</v>
      </c>
      <c r="I5884" t="s">
        <v>7324</v>
      </c>
      <c r="J5884" t="s">
        <v>33608</v>
      </c>
      <c r="K5884" t="s">
        <v>42284</v>
      </c>
      <c r="M5884" t="s">
        <v>44651</v>
      </c>
      <c r="N5884" t="s">
        <v>46569</v>
      </c>
      <c r="O5884" t="s">
        <v>46570</v>
      </c>
      <c r="P5884">
        <v>0</v>
      </c>
      <c r="Q5884">
        <v>0</v>
      </c>
      <c r="R5884" t="s">
        <v>46573</v>
      </c>
      <c r="S5884" t="s">
        <v>46705</v>
      </c>
      <c r="T5884" t="s">
        <v>48287</v>
      </c>
      <c r="U5884" t="s">
        <v>53678</v>
      </c>
      <c r="W5884" t="s">
        <v>44651</v>
      </c>
      <c r="X5884" t="s">
        <v>46574</v>
      </c>
    </row>
    <row r="5885" spans="1:24">
      <c r="A5885">
        <f>HYPERLINK("https://www.philgeps.gov.ph/GEPSNONPILOT/Tender/SplashBidNoticeAbstractUI.aspx?menuIndex=3&amp;refID=7060134&amp;Result=3","7060134")</f>
        <v>0</v>
      </c>
      <c r="B5885" t="s">
        <v>1967</v>
      </c>
      <c r="C5885" t="s">
        <v>9137</v>
      </c>
      <c r="D5885" t="s">
        <v>18820</v>
      </c>
      <c r="E5885" t="s">
        <v>24134</v>
      </c>
      <c r="F5885" t="s">
        <v>32664</v>
      </c>
      <c r="G5885" t="s">
        <v>32671</v>
      </c>
      <c r="H5885" t="s">
        <v>12635</v>
      </c>
      <c r="I5885" t="s">
        <v>32759</v>
      </c>
      <c r="J5885" t="s">
        <v>33452</v>
      </c>
      <c r="K5885" t="s">
        <v>42295</v>
      </c>
      <c r="M5885" t="s">
        <v>44700</v>
      </c>
      <c r="N5885" t="s">
        <v>46569</v>
      </c>
      <c r="O5885" t="s">
        <v>46570</v>
      </c>
      <c r="P5885">
        <v>0</v>
      </c>
      <c r="Q5885">
        <v>1</v>
      </c>
      <c r="R5885" t="s">
        <v>46573</v>
      </c>
      <c r="S5885" t="s">
        <v>46705</v>
      </c>
      <c r="T5885" t="s">
        <v>48307</v>
      </c>
      <c r="U5885" t="s">
        <v>53679</v>
      </c>
      <c r="W5885" t="s">
        <v>44700</v>
      </c>
      <c r="X5885" t="s">
        <v>46574</v>
      </c>
    </row>
    <row r="5886" spans="1:24">
      <c r="A5886">
        <f>HYPERLINK("https://www.philgeps.gov.ph/GEPSNONPILOT/Tender/SplashBidNoticeAbstractUI.aspx?menuIndex=3&amp;refID=7060124&amp;Result=3","7060124")</f>
        <v>0</v>
      </c>
      <c r="B5886" t="s">
        <v>304</v>
      </c>
      <c r="C5886" t="s">
        <v>9138</v>
      </c>
      <c r="D5886" t="s">
        <v>18792</v>
      </c>
      <c r="E5886" t="s">
        <v>19460</v>
      </c>
      <c r="F5886" t="s">
        <v>32664</v>
      </c>
      <c r="G5886" t="s">
        <v>32671</v>
      </c>
      <c r="H5886" t="s">
        <v>12635</v>
      </c>
      <c r="I5886" t="s">
        <v>32729</v>
      </c>
      <c r="J5886" t="s">
        <v>33387</v>
      </c>
      <c r="K5886" t="s">
        <v>42295</v>
      </c>
      <c r="M5886" t="s">
        <v>42871</v>
      </c>
      <c r="N5886" t="s">
        <v>46569</v>
      </c>
      <c r="O5886" t="s">
        <v>46570</v>
      </c>
      <c r="P5886">
        <v>0</v>
      </c>
      <c r="Q5886">
        <v>1</v>
      </c>
      <c r="R5886" t="s">
        <v>46573</v>
      </c>
      <c r="S5886" t="s">
        <v>46705</v>
      </c>
      <c r="T5886" t="s">
        <v>48287</v>
      </c>
      <c r="U5886" t="s">
        <v>53680</v>
      </c>
      <c r="W5886" t="s">
        <v>42871</v>
      </c>
      <c r="X5886" t="s">
        <v>46574</v>
      </c>
    </row>
    <row r="5887" spans="1:24">
      <c r="A5887">
        <f>HYPERLINK("https://www.philgeps.gov.ph/GEPSNONPILOT/Tender/SplashBidNoticeAbstractUI.aspx?menuIndex=3&amp;refID=7060105&amp;Result=3","7060105")</f>
        <v>0</v>
      </c>
      <c r="B5887" t="s">
        <v>1134</v>
      </c>
      <c r="C5887" t="s">
        <v>9139</v>
      </c>
      <c r="D5887" t="s">
        <v>18844</v>
      </c>
      <c r="E5887" t="s">
        <v>21044</v>
      </c>
      <c r="F5887" t="s">
        <v>32664</v>
      </c>
      <c r="G5887" t="s">
        <v>32672</v>
      </c>
      <c r="H5887" t="s">
        <v>12635</v>
      </c>
      <c r="I5887" t="s">
        <v>4439</v>
      </c>
      <c r="J5887" t="s">
        <v>36495</v>
      </c>
      <c r="K5887" t="s">
        <v>42303</v>
      </c>
      <c r="M5887" t="s">
        <v>43763</v>
      </c>
      <c r="N5887" t="s">
        <v>46569</v>
      </c>
      <c r="O5887" t="s">
        <v>46570</v>
      </c>
      <c r="P5887">
        <v>0</v>
      </c>
      <c r="Q5887">
        <v>0</v>
      </c>
      <c r="R5887" t="s">
        <v>46573</v>
      </c>
      <c r="S5887" t="s">
        <v>46705</v>
      </c>
      <c r="T5887" t="s">
        <v>48226</v>
      </c>
      <c r="U5887" t="s">
        <v>53681</v>
      </c>
      <c r="W5887" t="s">
        <v>43763</v>
      </c>
      <c r="X5887" t="s">
        <v>46574</v>
      </c>
    </row>
    <row r="5888" spans="1:24">
      <c r="A5888">
        <f>HYPERLINK("https://www.philgeps.gov.ph/GEPSNONPILOT/Tender/SplashBidNoticeAbstractUI.aspx?menuIndex=3&amp;refID=7060130&amp;Result=3","7060130")</f>
        <v>0</v>
      </c>
      <c r="B5888" t="s">
        <v>1968</v>
      </c>
      <c r="C5888" t="s">
        <v>9140</v>
      </c>
      <c r="D5888" t="s">
        <v>18791</v>
      </c>
      <c r="E5888" t="s">
        <v>24135</v>
      </c>
      <c r="F5888" t="s">
        <v>32664</v>
      </c>
      <c r="G5888" t="s">
        <v>32672</v>
      </c>
      <c r="H5888" t="s">
        <v>12635</v>
      </c>
      <c r="I5888" t="s">
        <v>4439</v>
      </c>
      <c r="J5888" t="s">
        <v>36496</v>
      </c>
      <c r="K5888" t="s">
        <v>42284</v>
      </c>
      <c r="M5888" t="s">
        <v>44701</v>
      </c>
      <c r="N5888" t="s">
        <v>46569</v>
      </c>
      <c r="O5888" t="s">
        <v>46570</v>
      </c>
      <c r="P5888">
        <v>0</v>
      </c>
      <c r="Q5888">
        <v>0</v>
      </c>
      <c r="R5888" t="s">
        <v>46573</v>
      </c>
      <c r="S5888" t="s">
        <v>46705</v>
      </c>
      <c r="T5888" t="s">
        <v>48479</v>
      </c>
      <c r="U5888" t="s">
        <v>53682</v>
      </c>
      <c r="W5888" t="s">
        <v>44701</v>
      </c>
      <c r="X5888" t="s">
        <v>46574</v>
      </c>
    </row>
    <row r="5889" spans="1:24">
      <c r="A5889">
        <f>HYPERLINK("https://www.philgeps.gov.ph/GEPSNONPILOT/Tender/SplashBidNoticeAbstractUI.aspx?menuIndex=3&amp;refID=7060108&amp;Result=3","7060108")</f>
        <v>0</v>
      </c>
      <c r="B5889" t="s">
        <v>1655</v>
      </c>
      <c r="C5889" t="s">
        <v>9141</v>
      </c>
      <c r="D5889" t="s">
        <v>18838</v>
      </c>
      <c r="E5889" t="s">
        <v>24136</v>
      </c>
      <c r="F5889" t="s">
        <v>32664</v>
      </c>
      <c r="G5889" t="s">
        <v>32672</v>
      </c>
      <c r="H5889" t="s">
        <v>12635</v>
      </c>
      <c r="I5889" t="s">
        <v>32730</v>
      </c>
      <c r="J5889" t="s">
        <v>33761</v>
      </c>
      <c r="K5889" t="s">
        <v>42291</v>
      </c>
      <c r="M5889" t="s">
        <v>44702</v>
      </c>
      <c r="N5889" t="s">
        <v>46569</v>
      </c>
      <c r="O5889" t="s">
        <v>46570</v>
      </c>
      <c r="P5889">
        <v>0</v>
      </c>
      <c r="Q5889">
        <v>4</v>
      </c>
      <c r="R5889" t="s">
        <v>46573</v>
      </c>
      <c r="S5889" t="s">
        <v>46705</v>
      </c>
      <c r="T5889" t="s">
        <v>48412</v>
      </c>
      <c r="U5889" t="s">
        <v>53683</v>
      </c>
      <c r="W5889" t="s">
        <v>44702</v>
      </c>
      <c r="X5889" t="s">
        <v>46574</v>
      </c>
    </row>
    <row r="5890" spans="1:24">
      <c r="A5890">
        <f>HYPERLINK("https://www.philgeps.gov.ph/GEPSNONPILOT/Tender/SplashBidNoticeAbstractUI.aspx?menuIndex=3&amp;refID=7060144&amp;Result=3","7060144")</f>
        <v>0</v>
      </c>
      <c r="B5890" t="s">
        <v>135</v>
      </c>
      <c r="C5890" t="s">
        <v>9142</v>
      </c>
      <c r="D5890" t="s">
        <v>18807</v>
      </c>
      <c r="E5890" t="s">
        <v>24137</v>
      </c>
      <c r="F5890" t="s">
        <v>32664</v>
      </c>
      <c r="G5890" t="s">
        <v>32672</v>
      </c>
      <c r="H5890" t="s">
        <v>12635</v>
      </c>
      <c r="I5890" t="s">
        <v>32711</v>
      </c>
      <c r="J5890" t="s">
        <v>36497</v>
      </c>
      <c r="K5890" t="s">
        <v>42281</v>
      </c>
      <c r="M5890" t="s">
        <v>42852</v>
      </c>
      <c r="N5890" t="s">
        <v>46569</v>
      </c>
      <c r="O5890" t="s">
        <v>46570</v>
      </c>
      <c r="P5890">
        <v>0</v>
      </c>
      <c r="Q5890">
        <v>1</v>
      </c>
      <c r="R5890" t="s">
        <v>46573</v>
      </c>
      <c r="S5890" t="s">
        <v>46705</v>
      </c>
      <c r="T5890" t="s">
        <v>48228</v>
      </c>
      <c r="U5890" t="s">
        <v>49052</v>
      </c>
      <c r="V5890" t="s">
        <v>61650</v>
      </c>
      <c r="W5890" t="s">
        <v>42852</v>
      </c>
      <c r="X5890" t="s">
        <v>46574</v>
      </c>
    </row>
    <row r="5891" spans="1:24">
      <c r="A5891">
        <f>HYPERLINK("https://www.philgeps.gov.ph/GEPSNONPILOT/Tender/SplashBidNoticeAbstractUI.aspx?menuIndex=3&amp;refID=7060120&amp;Result=3","7060120")</f>
        <v>0</v>
      </c>
      <c r="B5891" t="s">
        <v>1875</v>
      </c>
      <c r="C5891" t="s">
        <v>9143</v>
      </c>
      <c r="D5891" t="s">
        <v>18816</v>
      </c>
      <c r="E5891" t="s">
        <v>20729</v>
      </c>
      <c r="F5891" t="s">
        <v>32664</v>
      </c>
      <c r="G5891" t="s">
        <v>32672</v>
      </c>
      <c r="H5891" t="s">
        <v>12635</v>
      </c>
      <c r="I5891" t="s">
        <v>4333</v>
      </c>
      <c r="J5891" t="s">
        <v>33615</v>
      </c>
      <c r="K5891" t="s">
        <v>42281</v>
      </c>
      <c r="M5891" t="s">
        <v>44592</v>
      </c>
      <c r="N5891" t="s">
        <v>46569</v>
      </c>
      <c r="O5891" t="s">
        <v>46570</v>
      </c>
      <c r="P5891">
        <v>0</v>
      </c>
      <c r="Q5891">
        <v>0</v>
      </c>
      <c r="R5891" t="s">
        <v>46573</v>
      </c>
      <c r="S5891" t="s">
        <v>46705</v>
      </c>
      <c r="T5891" t="s">
        <v>48561</v>
      </c>
      <c r="U5891" t="s">
        <v>53684</v>
      </c>
      <c r="W5891" t="s">
        <v>44592</v>
      </c>
      <c r="X5891" t="s">
        <v>46574</v>
      </c>
    </row>
    <row r="5892" spans="1:24">
      <c r="A5892">
        <f>HYPERLINK("https://www.philgeps.gov.ph/GEPSNONPILOT/Tender/SplashBidNoticeAbstractUI.aspx?menuIndex=3&amp;refID=7060166&amp;Result=3","7060166")</f>
        <v>0</v>
      </c>
      <c r="B5892" t="s">
        <v>378</v>
      </c>
      <c r="C5892" t="s">
        <v>9144</v>
      </c>
      <c r="D5892" t="s">
        <v>18799</v>
      </c>
      <c r="E5892" t="s">
        <v>21888</v>
      </c>
      <c r="F5892" t="s">
        <v>32664</v>
      </c>
      <c r="G5892" t="s">
        <v>32674</v>
      </c>
      <c r="H5892" t="s">
        <v>32682</v>
      </c>
      <c r="I5892" t="s">
        <v>32692</v>
      </c>
      <c r="J5892" t="s">
        <v>36498</v>
      </c>
      <c r="K5892" t="s">
        <v>42309</v>
      </c>
      <c r="M5892" t="s">
        <v>42948</v>
      </c>
      <c r="N5892" t="s">
        <v>46569</v>
      </c>
      <c r="O5892" t="s">
        <v>46570</v>
      </c>
      <c r="P5892">
        <v>0</v>
      </c>
      <c r="Q5892">
        <v>0</v>
      </c>
      <c r="R5892" t="s">
        <v>46573</v>
      </c>
      <c r="S5892" t="s">
        <v>46705</v>
      </c>
      <c r="T5892" t="s">
        <v>48389</v>
      </c>
      <c r="U5892" t="s">
        <v>51342</v>
      </c>
      <c r="W5892" t="s">
        <v>42948</v>
      </c>
      <c r="X5892" t="s">
        <v>46574</v>
      </c>
    </row>
    <row r="5893" spans="1:24">
      <c r="A5893">
        <f>HYPERLINK("https://www.philgeps.gov.ph/GEPSNONPILOT/Tender/SplashBidNoticeAbstractUI.aspx?menuIndex=3&amp;refID=7060163&amp;Result=3","7060163")</f>
        <v>0</v>
      </c>
      <c r="B5893" t="s">
        <v>1600</v>
      </c>
      <c r="C5893" t="s">
        <v>9145</v>
      </c>
      <c r="D5893" t="s">
        <v>18835</v>
      </c>
      <c r="E5893" t="s">
        <v>24138</v>
      </c>
      <c r="F5893" t="s">
        <v>32664</v>
      </c>
      <c r="G5893" t="s">
        <v>32671</v>
      </c>
      <c r="H5893" t="s">
        <v>12635</v>
      </c>
      <c r="I5893" t="s">
        <v>4439</v>
      </c>
      <c r="J5893" t="s">
        <v>36499</v>
      </c>
      <c r="K5893" t="s">
        <v>42289</v>
      </c>
      <c r="M5893" t="s">
        <v>44277</v>
      </c>
      <c r="N5893" t="s">
        <v>46569</v>
      </c>
      <c r="O5893" t="s">
        <v>46570</v>
      </c>
      <c r="P5893">
        <v>0</v>
      </c>
      <c r="Q5893">
        <v>0</v>
      </c>
      <c r="R5893" t="s">
        <v>46573</v>
      </c>
      <c r="S5893" t="s">
        <v>46705</v>
      </c>
      <c r="T5893" t="s">
        <v>48287</v>
      </c>
      <c r="U5893" t="s">
        <v>53685</v>
      </c>
      <c r="W5893" t="s">
        <v>44277</v>
      </c>
      <c r="X5893" t="s">
        <v>46574</v>
      </c>
    </row>
    <row r="5894" spans="1:24">
      <c r="A5894">
        <f>HYPERLINK("https://www.philgeps.gov.ph/GEPSNONPILOT/Tender/SplashBidNoticeAbstractUI.aspx?menuIndex=3&amp;refID=7060109&amp;Result=3","7060109")</f>
        <v>0</v>
      </c>
      <c r="B5894" t="s">
        <v>594</v>
      </c>
      <c r="C5894" t="s">
        <v>9146</v>
      </c>
      <c r="D5894" t="s">
        <v>18784</v>
      </c>
      <c r="E5894" t="s">
        <v>24139</v>
      </c>
      <c r="F5894" t="s">
        <v>32664</v>
      </c>
      <c r="G5894" t="s">
        <v>32674</v>
      </c>
      <c r="H5894" t="s">
        <v>12635</v>
      </c>
      <c r="I5894" t="s">
        <v>9486</v>
      </c>
      <c r="J5894" t="s">
        <v>36500</v>
      </c>
      <c r="K5894" t="s">
        <v>42297</v>
      </c>
      <c r="M5894" t="s">
        <v>43721</v>
      </c>
      <c r="N5894" t="s">
        <v>46569</v>
      </c>
      <c r="O5894" t="s">
        <v>46570</v>
      </c>
      <c r="P5894">
        <v>0</v>
      </c>
      <c r="Q5894">
        <v>3</v>
      </c>
      <c r="R5894" t="s">
        <v>46573</v>
      </c>
      <c r="S5894" t="s">
        <v>46705</v>
      </c>
      <c r="T5894" t="s">
        <v>48551</v>
      </c>
      <c r="U5894" t="s">
        <v>53686</v>
      </c>
      <c r="V5894" t="s">
        <v>62115</v>
      </c>
      <c r="W5894" t="s">
        <v>43721</v>
      </c>
      <c r="X5894" t="s">
        <v>46574</v>
      </c>
    </row>
    <row r="5895" spans="1:24">
      <c r="A5895">
        <f>HYPERLINK("https://www.philgeps.gov.ph/GEPSNONPILOT/Tender/SplashBidNoticeAbstractUI.aspx?menuIndex=3&amp;refID=7060167&amp;Result=3","7060167")</f>
        <v>0</v>
      </c>
      <c r="B5895" t="s">
        <v>1969</v>
      </c>
      <c r="C5895" t="s">
        <v>9065</v>
      </c>
      <c r="D5895" t="s">
        <v>18805</v>
      </c>
      <c r="E5895" t="s">
        <v>19716</v>
      </c>
      <c r="F5895" t="s">
        <v>32664</v>
      </c>
      <c r="G5895" t="s">
        <v>32672</v>
      </c>
      <c r="H5895" t="s">
        <v>12635</v>
      </c>
      <c r="I5895" t="s">
        <v>6168</v>
      </c>
      <c r="J5895" t="s">
        <v>33578</v>
      </c>
      <c r="K5895" t="s">
        <v>42306</v>
      </c>
      <c r="M5895" t="s">
        <v>44703</v>
      </c>
      <c r="N5895" t="s">
        <v>46569</v>
      </c>
      <c r="O5895" t="s">
        <v>46570</v>
      </c>
      <c r="P5895">
        <v>0</v>
      </c>
      <c r="Q5895">
        <v>1</v>
      </c>
      <c r="R5895" t="s">
        <v>46573</v>
      </c>
      <c r="S5895" t="s">
        <v>46705</v>
      </c>
      <c r="T5895" t="s">
        <v>48443</v>
      </c>
      <c r="U5895" t="s">
        <v>53687</v>
      </c>
      <c r="W5895" t="s">
        <v>44703</v>
      </c>
      <c r="X5895" t="s">
        <v>46574</v>
      </c>
    </row>
    <row r="5896" spans="1:24">
      <c r="A5896">
        <f>HYPERLINK("https://www.philgeps.gov.ph/GEPSNONPILOT/Tender/SplashBidNoticeAbstractUI.aspx?menuIndex=3&amp;refID=7060160&amp;Result=3","7060160")</f>
        <v>0</v>
      </c>
      <c r="B5896" t="s">
        <v>1947</v>
      </c>
      <c r="C5896" t="s">
        <v>9147</v>
      </c>
      <c r="D5896" t="s">
        <v>18784</v>
      </c>
      <c r="E5896" t="s">
        <v>24140</v>
      </c>
      <c r="F5896" t="s">
        <v>32664</v>
      </c>
      <c r="G5896" t="s">
        <v>32671</v>
      </c>
      <c r="H5896" t="s">
        <v>12635</v>
      </c>
      <c r="I5896" t="s">
        <v>10370</v>
      </c>
      <c r="J5896" t="s">
        <v>36221</v>
      </c>
      <c r="K5896" t="s">
        <v>42281</v>
      </c>
      <c r="M5896" t="s">
        <v>44674</v>
      </c>
      <c r="N5896" t="s">
        <v>46569</v>
      </c>
      <c r="O5896" t="s">
        <v>46570</v>
      </c>
      <c r="P5896">
        <v>0</v>
      </c>
      <c r="Q5896">
        <v>9</v>
      </c>
      <c r="R5896" t="s">
        <v>46573</v>
      </c>
      <c r="S5896" t="s">
        <v>46705</v>
      </c>
      <c r="T5896" t="s">
        <v>48329</v>
      </c>
      <c r="U5896" t="s">
        <v>53688</v>
      </c>
      <c r="W5896" t="s">
        <v>44674</v>
      </c>
      <c r="X5896" t="s">
        <v>46574</v>
      </c>
    </row>
    <row r="5897" spans="1:24">
      <c r="A5897">
        <f>HYPERLINK("https://www.philgeps.gov.ph/GEPSNONPILOT/Tender/SplashBidNoticeAbstractUI.aspx?menuIndex=3&amp;refID=7060168&amp;Result=3","7060168")</f>
        <v>0</v>
      </c>
      <c r="B5897" t="s">
        <v>1970</v>
      </c>
      <c r="C5897" t="s">
        <v>9148</v>
      </c>
      <c r="D5897" t="s">
        <v>18816</v>
      </c>
      <c r="E5897" t="s">
        <v>19670</v>
      </c>
      <c r="F5897" t="s">
        <v>32664</v>
      </c>
      <c r="G5897" t="s">
        <v>32671</v>
      </c>
      <c r="H5897" t="s">
        <v>12635</v>
      </c>
      <c r="I5897" t="s">
        <v>32694</v>
      </c>
      <c r="J5897" t="s">
        <v>36501</v>
      </c>
      <c r="K5897" t="s">
        <v>42303</v>
      </c>
      <c r="M5897" t="s">
        <v>44704</v>
      </c>
      <c r="N5897" t="s">
        <v>46569</v>
      </c>
      <c r="O5897" t="s">
        <v>46570</v>
      </c>
      <c r="P5897">
        <v>0</v>
      </c>
      <c r="Q5897">
        <v>0</v>
      </c>
      <c r="R5897" t="s">
        <v>46573</v>
      </c>
      <c r="S5897" t="s">
        <v>46705</v>
      </c>
      <c r="T5897" t="s">
        <v>48307</v>
      </c>
      <c r="U5897" t="s">
        <v>53689</v>
      </c>
      <c r="W5897" t="s">
        <v>44704</v>
      </c>
      <c r="X5897" t="s">
        <v>46574</v>
      </c>
    </row>
    <row r="5898" spans="1:24">
      <c r="A5898">
        <f>HYPERLINK("https://www.philgeps.gov.ph/GEPSNONPILOT/Tender/SplashBidNoticeAbstractUI.aspx?menuIndex=3&amp;refID=7060162&amp;Result=3","7060162")</f>
        <v>0</v>
      </c>
      <c r="B5898" t="s">
        <v>117</v>
      </c>
      <c r="C5898" t="s">
        <v>9149</v>
      </c>
      <c r="D5898" t="s">
        <v>18799</v>
      </c>
      <c r="E5898" t="s">
        <v>24141</v>
      </c>
      <c r="F5898" t="s">
        <v>32664</v>
      </c>
      <c r="G5898" t="s">
        <v>32672</v>
      </c>
      <c r="H5898" t="s">
        <v>12635</v>
      </c>
      <c r="I5898" t="s">
        <v>11464</v>
      </c>
      <c r="J5898" t="s">
        <v>36502</v>
      </c>
      <c r="K5898" t="s">
        <v>42283</v>
      </c>
      <c r="M5898" t="s">
        <v>44671</v>
      </c>
      <c r="N5898" t="s">
        <v>46569</v>
      </c>
      <c r="O5898" t="s">
        <v>46570</v>
      </c>
      <c r="P5898">
        <v>0</v>
      </c>
      <c r="Q5898">
        <v>4</v>
      </c>
      <c r="R5898" t="s">
        <v>46573</v>
      </c>
      <c r="S5898" t="s">
        <v>46705</v>
      </c>
      <c r="T5898" t="s">
        <v>48272</v>
      </c>
      <c r="U5898" t="s">
        <v>53690</v>
      </c>
      <c r="W5898" t="s">
        <v>44671</v>
      </c>
      <c r="X5898" t="s">
        <v>46574</v>
      </c>
    </row>
    <row r="5899" spans="1:24">
      <c r="A5899">
        <f>HYPERLINK("https://www.philgeps.gov.ph/GEPSNONPILOT/Tender/SplashBidNoticeAbstractUI.aspx?menuIndex=3&amp;refID=7060165&amp;Result=3","7060165")</f>
        <v>0</v>
      </c>
      <c r="B5899" t="s">
        <v>817</v>
      </c>
      <c r="C5899" t="s">
        <v>8645</v>
      </c>
      <c r="E5899" t="s">
        <v>24142</v>
      </c>
      <c r="F5899" t="s">
        <v>32664</v>
      </c>
      <c r="G5899" t="s">
        <v>32671</v>
      </c>
      <c r="H5899" t="s">
        <v>12635</v>
      </c>
      <c r="I5899" t="s">
        <v>4439</v>
      </c>
      <c r="J5899" t="s">
        <v>36503</v>
      </c>
      <c r="K5899" t="s">
        <v>42283</v>
      </c>
      <c r="M5899" t="s">
        <v>43412</v>
      </c>
      <c r="N5899" t="s">
        <v>46569</v>
      </c>
      <c r="O5899" t="s">
        <v>46570</v>
      </c>
      <c r="P5899">
        <v>0</v>
      </c>
      <c r="Q5899">
        <v>0</v>
      </c>
      <c r="R5899" t="s">
        <v>46573</v>
      </c>
      <c r="S5899" t="s">
        <v>46705</v>
      </c>
      <c r="T5899" t="s">
        <v>48244</v>
      </c>
      <c r="U5899" t="s">
        <v>53228</v>
      </c>
      <c r="W5899" t="s">
        <v>43412</v>
      </c>
      <c r="X5899" t="s">
        <v>46574</v>
      </c>
    </row>
    <row r="5900" spans="1:24">
      <c r="A5900">
        <f>HYPERLINK("https://www.philgeps.gov.ph/GEPSNONPILOT/Tender/SplashBidNoticeAbstractUI.aspx?menuIndex=3&amp;refID=7060155&amp;Result=3","7060155")</f>
        <v>0</v>
      </c>
      <c r="B5900" t="s">
        <v>1971</v>
      </c>
      <c r="C5900" t="s">
        <v>9150</v>
      </c>
      <c r="D5900" t="s">
        <v>18827</v>
      </c>
      <c r="E5900" t="s">
        <v>24143</v>
      </c>
      <c r="F5900" t="s">
        <v>32664</v>
      </c>
      <c r="G5900" t="s">
        <v>32671</v>
      </c>
      <c r="H5900" t="s">
        <v>12635</v>
      </c>
      <c r="I5900" t="s">
        <v>8797</v>
      </c>
      <c r="J5900" t="s">
        <v>36504</v>
      </c>
      <c r="K5900" t="s">
        <v>42284</v>
      </c>
      <c r="M5900" t="s">
        <v>44705</v>
      </c>
      <c r="N5900" t="s">
        <v>46569</v>
      </c>
      <c r="O5900" t="s">
        <v>46570</v>
      </c>
      <c r="P5900">
        <v>0</v>
      </c>
      <c r="Q5900">
        <v>1</v>
      </c>
      <c r="R5900" t="s">
        <v>46573</v>
      </c>
      <c r="S5900" t="s">
        <v>46705</v>
      </c>
      <c r="T5900" t="s">
        <v>48280</v>
      </c>
      <c r="U5900" t="s">
        <v>53691</v>
      </c>
      <c r="W5900" t="s">
        <v>44705</v>
      </c>
      <c r="X5900" t="s">
        <v>46574</v>
      </c>
    </row>
    <row r="5901" spans="1:24">
      <c r="A5901">
        <f>HYPERLINK("https://www.philgeps.gov.ph/GEPSNONPILOT/Tender/SplashBidNoticeAbstractUI.aspx?menuIndex=3&amp;refID=7060159&amp;Result=3","7060159")</f>
        <v>0</v>
      </c>
      <c r="B5901" t="s">
        <v>135</v>
      </c>
      <c r="C5901" t="s">
        <v>9151</v>
      </c>
      <c r="D5901" t="s">
        <v>18807</v>
      </c>
      <c r="E5901" t="s">
        <v>24144</v>
      </c>
      <c r="F5901" t="s">
        <v>32664</v>
      </c>
      <c r="G5901" t="s">
        <v>32672</v>
      </c>
      <c r="H5901" t="s">
        <v>12635</v>
      </c>
      <c r="I5901" t="s">
        <v>32694</v>
      </c>
      <c r="J5901" t="s">
        <v>33621</v>
      </c>
      <c r="K5901" t="s">
        <v>42281</v>
      </c>
      <c r="M5901" t="s">
        <v>42852</v>
      </c>
      <c r="N5901" t="s">
        <v>46569</v>
      </c>
      <c r="O5901" t="s">
        <v>46570</v>
      </c>
      <c r="P5901">
        <v>0</v>
      </c>
      <c r="Q5901">
        <v>0</v>
      </c>
      <c r="R5901" t="s">
        <v>46573</v>
      </c>
      <c r="S5901" t="s">
        <v>46705</v>
      </c>
      <c r="T5901" t="s">
        <v>48228</v>
      </c>
      <c r="U5901" t="s">
        <v>49052</v>
      </c>
      <c r="V5901" t="s">
        <v>61650</v>
      </c>
      <c r="W5901" t="s">
        <v>42852</v>
      </c>
      <c r="X5901" t="s">
        <v>46574</v>
      </c>
    </row>
    <row r="5902" spans="1:24">
      <c r="A5902">
        <f>HYPERLINK("https://www.philgeps.gov.ph/GEPSNONPILOT/Tender/SplashBidNoticeAbstractUI.aspx?menuIndex=3&amp;refID=7060158&amp;Result=3","7060158")</f>
        <v>0</v>
      </c>
      <c r="B5902" t="s">
        <v>1972</v>
      </c>
      <c r="C5902" t="s">
        <v>9152</v>
      </c>
      <c r="D5902" t="s">
        <v>18819</v>
      </c>
      <c r="E5902" t="s">
        <v>24145</v>
      </c>
      <c r="F5902" t="s">
        <v>32664</v>
      </c>
      <c r="G5902" t="s">
        <v>32672</v>
      </c>
      <c r="H5902" t="s">
        <v>12635</v>
      </c>
      <c r="I5902" t="s">
        <v>32752</v>
      </c>
      <c r="J5902" t="s">
        <v>36505</v>
      </c>
      <c r="K5902" t="s">
        <v>42284</v>
      </c>
      <c r="M5902" t="s">
        <v>44706</v>
      </c>
      <c r="N5902" t="s">
        <v>46569</v>
      </c>
      <c r="O5902" t="s">
        <v>46570</v>
      </c>
      <c r="Q5902">
        <v>2</v>
      </c>
      <c r="R5902" t="s">
        <v>46573</v>
      </c>
      <c r="S5902" t="s">
        <v>46711</v>
      </c>
      <c r="T5902" t="s">
        <v>48268</v>
      </c>
      <c r="U5902" t="s">
        <v>53692</v>
      </c>
      <c r="W5902" t="s">
        <v>44706</v>
      </c>
      <c r="X5902" t="s">
        <v>46574</v>
      </c>
    </row>
    <row r="5903" spans="1:24">
      <c r="A5903">
        <f>HYPERLINK("https://www.philgeps.gov.ph/GEPSNONPILOT/Tender/SplashBidNoticeAbstractUI.aspx?menuIndex=3&amp;refID=7060151&amp;Result=3","7060151")</f>
        <v>0</v>
      </c>
      <c r="B5903" t="s">
        <v>1967</v>
      </c>
      <c r="C5903" t="s">
        <v>9153</v>
      </c>
      <c r="D5903" t="s">
        <v>18820</v>
      </c>
      <c r="E5903" t="s">
        <v>24146</v>
      </c>
      <c r="F5903" t="s">
        <v>32664</v>
      </c>
      <c r="G5903" t="s">
        <v>32671</v>
      </c>
      <c r="H5903" t="s">
        <v>12635</v>
      </c>
      <c r="I5903" t="s">
        <v>9486</v>
      </c>
      <c r="J5903" t="s">
        <v>36506</v>
      </c>
      <c r="K5903" t="s">
        <v>42295</v>
      </c>
      <c r="M5903" t="s">
        <v>44700</v>
      </c>
      <c r="N5903" t="s">
        <v>46569</v>
      </c>
      <c r="O5903" t="s">
        <v>46570</v>
      </c>
      <c r="P5903">
        <v>0</v>
      </c>
      <c r="Q5903">
        <v>1</v>
      </c>
      <c r="R5903" t="s">
        <v>46573</v>
      </c>
      <c r="S5903" t="s">
        <v>46705</v>
      </c>
      <c r="T5903" t="s">
        <v>48307</v>
      </c>
      <c r="U5903" t="s">
        <v>53693</v>
      </c>
      <c r="W5903" t="s">
        <v>44700</v>
      </c>
      <c r="X5903" t="s">
        <v>46574</v>
      </c>
    </row>
    <row r="5904" spans="1:24">
      <c r="A5904">
        <f>HYPERLINK("https://www.philgeps.gov.ph/GEPSNONPILOT/Tender/SplashBidNoticeAbstractUI.aspx?menuIndex=3&amp;refID=7060125&amp;Result=3","7060125")</f>
        <v>0</v>
      </c>
      <c r="B5904" t="s">
        <v>117</v>
      </c>
      <c r="C5904" t="s">
        <v>9154</v>
      </c>
      <c r="D5904" t="s">
        <v>18799</v>
      </c>
      <c r="E5904" t="s">
        <v>24147</v>
      </c>
      <c r="F5904" t="s">
        <v>32664</v>
      </c>
      <c r="G5904" t="s">
        <v>32672</v>
      </c>
      <c r="H5904" t="s">
        <v>12635</v>
      </c>
      <c r="I5904" t="s">
        <v>11464</v>
      </c>
      <c r="J5904" t="s">
        <v>33273</v>
      </c>
      <c r="K5904" t="s">
        <v>42283</v>
      </c>
      <c r="M5904" t="s">
        <v>44671</v>
      </c>
      <c r="N5904" t="s">
        <v>46569</v>
      </c>
      <c r="O5904" t="s">
        <v>46570</v>
      </c>
      <c r="P5904">
        <v>0</v>
      </c>
      <c r="Q5904">
        <v>3</v>
      </c>
      <c r="R5904" t="s">
        <v>46573</v>
      </c>
      <c r="S5904" t="s">
        <v>46705</v>
      </c>
      <c r="T5904" t="s">
        <v>48272</v>
      </c>
      <c r="U5904" t="s">
        <v>53694</v>
      </c>
      <c r="W5904" t="s">
        <v>44671</v>
      </c>
      <c r="X5904" t="s">
        <v>46574</v>
      </c>
    </row>
    <row r="5905" spans="1:24">
      <c r="A5905">
        <f>HYPERLINK("https://www.philgeps.gov.ph/GEPSNONPILOT/Tender/SplashBidNoticeAbstractUI.aspx?menuIndex=3&amp;refID=7060150&amp;Result=3","7060150")</f>
        <v>0</v>
      </c>
      <c r="B5905" t="s">
        <v>1973</v>
      </c>
      <c r="C5905" t="s">
        <v>4254</v>
      </c>
      <c r="D5905" t="s">
        <v>18781</v>
      </c>
      <c r="E5905" t="s">
        <v>4254</v>
      </c>
      <c r="F5905" t="s">
        <v>32664</v>
      </c>
      <c r="G5905" t="s">
        <v>32674</v>
      </c>
      <c r="H5905" t="s">
        <v>12635</v>
      </c>
      <c r="I5905" t="s">
        <v>6168</v>
      </c>
      <c r="J5905" t="s">
        <v>36507</v>
      </c>
      <c r="K5905" t="s">
        <v>42283</v>
      </c>
      <c r="M5905" t="s">
        <v>44707</v>
      </c>
      <c r="N5905" t="s">
        <v>46569</v>
      </c>
      <c r="O5905" t="s">
        <v>46570</v>
      </c>
      <c r="P5905">
        <v>0</v>
      </c>
      <c r="Q5905">
        <v>1</v>
      </c>
      <c r="R5905" t="s">
        <v>46573</v>
      </c>
      <c r="S5905" t="s">
        <v>46705</v>
      </c>
      <c r="T5905" t="s">
        <v>48254</v>
      </c>
      <c r="U5905" t="s">
        <v>53695</v>
      </c>
      <c r="W5905" t="s">
        <v>44707</v>
      </c>
      <c r="X5905" t="s">
        <v>46574</v>
      </c>
    </row>
    <row r="5906" spans="1:24">
      <c r="A5906">
        <f>HYPERLINK("https://www.philgeps.gov.ph/GEPSNONPILOT/Tender/SplashBidNoticeAbstractUI.aspx?menuIndex=3&amp;refID=7060149&amp;Result=3","7060149")</f>
        <v>0</v>
      </c>
      <c r="B5906" t="s">
        <v>1974</v>
      </c>
      <c r="C5906" t="s">
        <v>9155</v>
      </c>
      <c r="D5906" t="s">
        <v>18857</v>
      </c>
      <c r="E5906" t="s">
        <v>24148</v>
      </c>
      <c r="F5906" t="s">
        <v>32664</v>
      </c>
      <c r="G5906" t="s">
        <v>32671</v>
      </c>
      <c r="H5906" t="s">
        <v>12635</v>
      </c>
      <c r="I5906" t="s">
        <v>4439</v>
      </c>
      <c r="J5906" t="s">
        <v>36508</v>
      </c>
      <c r="K5906" t="s">
        <v>42289</v>
      </c>
      <c r="M5906" t="s">
        <v>44708</v>
      </c>
      <c r="N5906" t="s">
        <v>46569</v>
      </c>
      <c r="O5906" t="s">
        <v>46570</v>
      </c>
      <c r="P5906">
        <v>0</v>
      </c>
      <c r="Q5906">
        <v>0</v>
      </c>
      <c r="R5906" t="s">
        <v>46573</v>
      </c>
      <c r="S5906" t="s">
        <v>46705</v>
      </c>
      <c r="T5906" t="s">
        <v>48287</v>
      </c>
      <c r="U5906" t="s">
        <v>53696</v>
      </c>
      <c r="W5906" t="s">
        <v>44708</v>
      </c>
      <c r="X5906" t="s">
        <v>46574</v>
      </c>
    </row>
    <row r="5907" spans="1:24">
      <c r="A5907">
        <f>HYPERLINK("https://www.philgeps.gov.ph/GEPSNONPILOT/Tender/SplashBidNoticeAbstractUI.aspx?menuIndex=3&amp;refID=7060103&amp;Result=3","7060103")</f>
        <v>0</v>
      </c>
      <c r="B5907" t="s">
        <v>1852</v>
      </c>
      <c r="C5907" t="s">
        <v>9156</v>
      </c>
      <c r="D5907" t="s">
        <v>18832</v>
      </c>
      <c r="E5907" t="s">
        <v>24149</v>
      </c>
      <c r="F5907" t="s">
        <v>32664</v>
      </c>
      <c r="G5907" t="s">
        <v>32672</v>
      </c>
      <c r="H5907" t="s">
        <v>12635</v>
      </c>
      <c r="I5907" t="s">
        <v>9486</v>
      </c>
      <c r="J5907" t="s">
        <v>36509</v>
      </c>
      <c r="K5907" t="s">
        <v>42303</v>
      </c>
      <c r="L5907" t="s">
        <v>1852</v>
      </c>
      <c r="M5907" t="s">
        <v>44561</v>
      </c>
      <c r="N5907" t="s">
        <v>46569</v>
      </c>
      <c r="O5907" t="s">
        <v>46570</v>
      </c>
      <c r="P5907">
        <v>0</v>
      </c>
      <c r="Q5907">
        <v>0</v>
      </c>
      <c r="R5907" t="s">
        <v>46573</v>
      </c>
      <c r="S5907" t="s">
        <v>46705</v>
      </c>
      <c r="T5907" t="s">
        <v>48557</v>
      </c>
      <c r="U5907" t="s">
        <v>53313</v>
      </c>
      <c r="W5907" t="s">
        <v>44561</v>
      </c>
      <c r="X5907" t="s">
        <v>46574</v>
      </c>
    </row>
    <row r="5908" spans="1:24">
      <c r="A5908">
        <f>HYPERLINK("https://www.philgeps.gov.ph/GEPSNONPILOT/Tender/SplashBidNoticeAbstractUI.aspx?menuIndex=3&amp;refID=7060101&amp;Result=3","7060101")</f>
        <v>0</v>
      </c>
      <c r="B5908" t="s">
        <v>1048</v>
      </c>
      <c r="C5908" t="s">
        <v>9157</v>
      </c>
      <c r="D5908" t="s">
        <v>18831</v>
      </c>
      <c r="E5908" t="s">
        <v>24150</v>
      </c>
      <c r="F5908" t="s">
        <v>32664</v>
      </c>
      <c r="G5908" t="s">
        <v>32671</v>
      </c>
      <c r="H5908" t="s">
        <v>12635</v>
      </c>
      <c r="I5908" t="s">
        <v>4439</v>
      </c>
      <c r="J5908" t="s">
        <v>36510</v>
      </c>
      <c r="K5908" t="s">
        <v>42281</v>
      </c>
      <c r="M5908" t="s">
        <v>44326</v>
      </c>
      <c r="N5908" t="s">
        <v>46569</v>
      </c>
      <c r="O5908" t="s">
        <v>46570</v>
      </c>
      <c r="P5908">
        <v>0</v>
      </c>
      <c r="Q5908">
        <v>0</v>
      </c>
      <c r="R5908" t="s">
        <v>46573</v>
      </c>
      <c r="S5908" t="s">
        <v>46705</v>
      </c>
      <c r="T5908" t="s">
        <v>48221</v>
      </c>
      <c r="U5908" t="s">
        <v>53677</v>
      </c>
      <c r="W5908" t="s">
        <v>44326</v>
      </c>
      <c r="X5908" t="s">
        <v>46574</v>
      </c>
    </row>
    <row r="5909" spans="1:24">
      <c r="A5909">
        <f>HYPERLINK("https://www.philgeps.gov.ph/GEPSNONPILOT/Tender/SplashBidNoticeAbstractUI.aspx?menuIndex=3&amp;refID=7060152&amp;Result=3","7060152")</f>
        <v>0</v>
      </c>
      <c r="B5909" t="s">
        <v>1975</v>
      </c>
      <c r="C5909" t="s">
        <v>9158</v>
      </c>
      <c r="D5909" t="s">
        <v>18784</v>
      </c>
      <c r="E5909" t="s">
        <v>23255</v>
      </c>
      <c r="F5909" t="s">
        <v>32664</v>
      </c>
      <c r="G5909" t="s">
        <v>32672</v>
      </c>
      <c r="H5909" t="s">
        <v>12635</v>
      </c>
      <c r="I5909" t="s">
        <v>6223</v>
      </c>
      <c r="J5909" t="s">
        <v>36511</v>
      </c>
      <c r="K5909" t="s">
        <v>42309</v>
      </c>
      <c r="M5909" t="s">
        <v>44709</v>
      </c>
      <c r="N5909" t="s">
        <v>46569</v>
      </c>
      <c r="O5909" t="s">
        <v>46570</v>
      </c>
      <c r="P5909">
        <v>0</v>
      </c>
      <c r="Q5909">
        <v>4</v>
      </c>
      <c r="R5909" t="s">
        <v>46573</v>
      </c>
      <c r="S5909" t="s">
        <v>46705</v>
      </c>
      <c r="T5909" t="s">
        <v>48283</v>
      </c>
      <c r="U5909" t="s">
        <v>53697</v>
      </c>
      <c r="W5909" t="s">
        <v>44709</v>
      </c>
      <c r="X5909" t="s">
        <v>46574</v>
      </c>
    </row>
    <row r="5910" spans="1:24">
      <c r="A5910">
        <f>HYPERLINK("https://www.philgeps.gov.ph/GEPSNONPILOT/Tender/SplashBidNoticeAbstractUI.aspx?menuIndex=3&amp;refID=7060100&amp;Result=3","7060100")</f>
        <v>0</v>
      </c>
      <c r="B5910" t="s">
        <v>117</v>
      </c>
      <c r="C5910" t="s">
        <v>9159</v>
      </c>
      <c r="D5910" t="s">
        <v>18799</v>
      </c>
      <c r="E5910" t="s">
        <v>24151</v>
      </c>
      <c r="F5910" t="s">
        <v>32664</v>
      </c>
      <c r="G5910" t="s">
        <v>32672</v>
      </c>
      <c r="H5910" t="s">
        <v>12635</v>
      </c>
      <c r="I5910" t="s">
        <v>6118</v>
      </c>
      <c r="J5910" t="s">
        <v>36512</v>
      </c>
      <c r="K5910" t="s">
        <v>42283</v>
      </c>
      <c r="M5910" t="s">
        <v>44671</v>
      </c>
      <c r="N5910" t="s">
        <v>46569</v>
      </c>
      <c r="O5910" t="s">
        <v>46570</v>
      </c>
      <c r="P5910">
        <v>0</v>
      </c>
      <c r="Q5910">
        <v>0</v>
      </c>
      <c r="R5910" t="s">
        <v>46573</v>
      </c>
      <c r="S5910" t="s">
        <v>46705</v>
      </c>
      <c r="T5910" t="s">
        <v>48272</v>
      </c>
      <c r="U5910" t="s">
        <v>53698</v>
      </c>
      <c r="W5910" t="s">
        <v>44671</v>
      </c>
      <c r="X5910" t="s">
        <v>46574</v>
      </c>
    </row>
    <row r="5911" spans="1:24">
      <c r="A5911">
        <f>HYPERLINK("https://www.philgeps.gov.ph/GEPSNONPILOT/Tender/SplashBidNoticeAbstractUI.aspx?menuIndex=3&amp;refID=7060187&amp;Result=3","7060187")</f>
        <v>0</v>
      </c>
      <c r="B5911" t="s">
        <v>117</v>
      </c>
      <c r="C5911" t="s">
        <v>9160</v>
      </c>
      <c r="D5911" t="s">
        <v>18799</v>
      </c>
      <c r="E5911" t="s">
        <v>24152</v>
      </c>
      <c r="F5911" t="s">
        <v>32664</v>
      </c>
      <c r="G5911" t="s">
        <v>32672</v>
      </c>
      <c r="H5911" t="s">
        <v>12635</v>
      </c>
      <c r="I5911" t="s">
        <v>32689</v>
      </c>
      <c r="J5911" t="s">
        <v>36513</v>
      </c>
      <c r="K5911" t="s">
        <v>42283</v>
      </c>
      <c r="M5911" t="s">
        <v>44671</v>
      </c>
      <c r="N5911" t="s">
        <v>46569</v>
      </c>
      <c r="O5911" t="s">
        <v>46570</v>
      </c>
      <c r="P5911">
        <v>0</v>
      </c>
      <c r="Q5911">
        <v>4</v>
      </c>
      <c r="R5911" t="s">
        <v>46573</v>
      </c>
      <c r="S5911" t="s">
        <v>46705</v>
      </c>
      <c r="T5911" t="s">
        <v>48272</v>
      </c>
      <c r="U5911" t="s">
        <v>53699</v>
      </c>
      <c r="W5911" t="s">
        <v>44671</v>
      </c>
      <c r="X5911" t="s">
        <v>46574</v>
      </c>
    </row>
    <row r="5912" spans="1:24">
      <c r="A5912">
        <f>HYPERLINK("https://www.philgeps.gov.ph/GEPSNONPILOT/Tender/SplashBidNoticeAbstractUI.aspx?menuIndex=3&amp;refID=7060171&amp;Result=3","7060171")</f>
        <v>0</v>
      </c>
      <c r="B5912" t="s">
        <v>325</v>
      </c>
      <c r="C5912" t="s">
        <v>9161</v>
      </c>
      <c r="D5912" t="s">
        <v>18848</v>
      </c>
      <c r="E5912" t="s">
        <v>24153</v>
      </c>
      <c r="F5912" t="s">
        <v>32664</v>
      </c>
      <c r="G5912" t="s">
        <v>32672</v>
      </c>
      <c r="H5912" t="s">
        <v>12635</v>
      </c>
      <c r="I5912" t="s">
        <v>32685</v>
      </c>
      <c r="J5912" t="s">
        <v>36514</v>
      </c>
      <c r="K5912" t="s">
        <v>42297</v>
      </c>
      <c r="M5912" t="s">
        <v>42893</v>
      </c>
      <c r="N5912" t="s">
        <v>46569</v>
      </c>
      <c r="O5912" t="s">
        <v>46570</v>
      </c>
      <c r="P5912">
        <v>0</v>
      </c>
      <c r="Q5912">
        <v>0</v>
      </c>
      <c r="R5912" t="s">
        <v>46573</v>
      </c>
      <c r="S5912" t="s">
        <v>46705</v>
      </c>
      <c r="T5912" t="s">
        <v>48280</v>
      </c>
      <c r="U5912" t="s">
        <v>53700</v>
      </c>
      <c r="V5912" t="s">
        <v>61699</v>
      </c>
      <c r="W5912" t="s">
        <v>42893</v>
      </c>
      <c r="X5912" t="s">
        <v>46574</v>
      </c>
    </row>
    <row r="5913" spans="1:24">
      <c r="A5913">
        <f>HYPERLINK("https://www.philgeps.gov.ph/GEPSNONPILOT/Tender/SplashBidNoticeAbstractUI.aspx?menuIndex=3&amp;refID=7060153&amp;Result=3","7060153")</f>
        <v>0</v>
      </c>
      <c r="B5913" t="s">
        <v>1976</v>
      </c>
      <c r="C5913" t="s">
        <v>3844</v>
      </c>
      <c r="D5913" t="s">
        <v>18806</v>
      </c>
      <c r="E5913" t="s">
        <v>24154</v>
      </c>
      <c r="F5913" t="s">
        <v>32664</v>
      </c>
      <c r="G5913" t="s">
        <v>32674</v>
      </c>
      <c r="H5913" t="s">
        <v>12635</v>
      </c>
      <c r="I5913" t="s">
        <v>8730</v>
      </c>
      <c r="J5913" t="s">
        <v>36515</v>
      </c>
      <c r="K5913" t="s">
        <v>42309</v>
      </c>
      <c r="M5913" t="s">
        <v>44710</v>
      </c>
      <c r="N5913" t="s">
        <v>46569</v>
      </c>
      <c r="O5913" t="s">
        <v>46570</v>
      </c>
      <c r="P5913">
        <v>0</v>
      </c>
      <c r="Q5913">
        <v>0</v>
      </c>
      <c r="R5913" t="s">
        <v>46573</v>
      </c>
      <c r="S5913" t="s">
        <v>46705</v>
      </c>
      <c r="T5913" t="s">
        <v>48316</v>
      </c>
      <c r="U5913" t="s">
        <v>53701</v>
      </c>
      <c r="W5913" t="s">
        <v>44710</v>
      </c>
      <c r="X5913" t="s">
        <v>46574</v>
      </c>
    </row>
    <row r="5914" spans="1:24">
      <c r="A5914">
        <f>HYPERLINK("https://www.philgeps.gov.ph/GEPSNONPILOT/Tender/SplashBidNoticeAbstractUI.aspx?menuIndex=3&amp;refID=7060189&amp;Result=3","7060189")</f>
        <v>0</v>
      </c>
      <c r="B5914" t="s">
        <v>817</v>
      </c>
      <c r="C5914" t="s">
        <v>9162</v>
      </c>
      <c r="E5914" t="s">
        <v>24155</v>
      </c>
      <c r="F5914" t="s">
        <v>32664</v>
      </c>
      <c r="G5914" t="s">
        <v>32671</v>
      </c>
      <c r="H5914" t="s">
        <v>12635</v>
      </c>
      <c r="I5914" t="s">
        <v>4439</v>
      </c>
      <c r="J5914" t="s">
        <v>36516</v>
      </c>
      <c r="K5914" t="s">
        <v>42283</v>
      </c>
      <c r="M5914" t="s">
        <v>43412</v>
      </c>
      <c r="N5914" t="s">
        <v>46569</v>
      </c>
      <c r="O5914" t="s">
        <v>46570</v>
      </c>
      <c r="P5914">
        <v>0</v>
      </c>
      <c r="Q5914">
        <v>0</v>
      </c>
      <c r="R5914" t="s">
        <v>46573</v>
      </c>
      <c r="S5914" t="s">
        <v>46705</v>
      </c>
      <c r="T5914" t="s">
        <v>48244</v>
      </c>
      <c r="U5914" t="s">
        <v>53228</v>
      </c>
      <c r="W5914" t="s">
        <v>43412</v>
      </c>
      <c r="X5914" t="s">
        <v>46574</v>
      </c>
    </row>
    <row r="5915" spans="1:24">
      <c r="A5915">
        <f>HYPERLINK("https://www.philgeps.gov.ph/GEPSNONPILOT/Tender/SplashBidNoticeAbstractUI.aspx?menuIndex=3&amp;refID=7060154&amp;Result=3","7060154")</f>
        <v>0</v>
      </c>
      <c r="B5915" t="s">
        <v>1977</v>
      </c>
      <c r="C5915" t="s">
        <v>9163</v>
      </c>
      <c r="D5915" t="s">
        <v>18827</v>
      </c>
      <c r="E5915" t="s">
        <v>24156</v>
      </c>
      <c r="F5915" t="s">
        <v>32664</v>
      </c>
      <c r="G5915" t="s">
        <v>32672</v>
      </c>
      <c r="H5915" t="s">
        <v>32683</v>
      </c>
      <c r="I5915" t="s">
        <v>10627</v>
      </c>
      <c r="J5915" t="s">
        <v>36517</v>
      </c>
      <c r="K5915" t="s">
        <v>42314</v>
      </c>
      <c r="M5915" t="s">
        <v>44711</v>
      </c>
      <c r="N5915" t="s">
        <v>46569</v>
      </c>
      <c r="O5915" t="s">
        <v>46570</v>
      </c>
      <c r="P5915">
        <v>0</v>
      </c>
      <c r="Q5915">
        <v>2</v>
      </c>
      <c r="R5915" t="s">
        <v>46573</v>
      </c>
      <c r="S5915" t="s">
        <v>46705</v>
      </c>
      <c r="T5915" t="s">
        <v>48280</v>
      </c>
      <c r="U5915" t="s">
        <v>53702</v>
      </c>
      <c r="W5915" t="s">
        <v>44711</v>
      </c>
      <c r="X5915" t="s">
        <v>46574</v>
      </c>
    </row>
    <row r="5916" spans="1:24">
      <c r="A5916">
        <f>HYPERLINK("https://www.philgeps.gov.ph/GEPSNONPILOT/Tender/SplashBidNoticeAbstractUI.aspx?menuIndex=3&amp;refID=7060156&amp;Result=3","7060156")</f>
        <v>0</v>
      </c>
      <c r="B5916" t="s">
        <v>27</v>
      </c>
      <c r="C5916" t="s">
        <v>9164</v>
      </c>
      <c r="E5916" t="s">
        <v>24157</v>
      </c>
      <c r="F5916" t="s">
        <v>32664</v>
      </c>
      <c r="G5916" t="s">
        <v>32671</v>
      </c>
      <c r="H5916" t="s">
        <v>12635</v>
      </c>
      <c r="I5916" t="s">
        <v>32703</v>
      </c>
      <c r="J5916" t="s">
        <v>36518</v>
      </c>
      <c r="K5916" t="s">
        <v>42283</v>
      </c>
      <c r="M5916" t="s">
        <v>43316</v>
      </c>
      <c r="N5916" t="s">
        <v>46569</v>
      </c>
      <c r="O5916" t="s">
        <v>46570</v>
      </c>
      <c r="P5916">
        <v>0</v>
      </c>
      <c r="Q5916">
        <v>5</v>
      </c>
      <c r="R5916" t="s">
        <v>46573</v>
      </c>
      <c r="S5916" t="s">
        <v>46705</v>
      </c>
      <c r="T5916" t="s">
        <v>48254</v>
      </c>
      <c r="U5916" t="s">
        <v>50148</v>
      </c>
      <c r="W5916" t="s">
        <v>43316</v>
      </c>
      <c r="X5916" t="s">
        <v>46574</v>
      </c>
    </row>
    <row r="5917" spans="1:24">
      <c r="A5917">
        <f>HYPERLINK("https://www.philgeps.gov.ph/GEPSNONPILOT/Tender/SplashBidNoticeAbstractUI.aspx?menuIndex=3&amp;refID=7060186&amp;Result=3","7060186")</f>
        <v>0</v>
      </c>
      <c r="B5917" t="s">
        <v>1947</v>
      </c>
      <c r="C5917" t="s">
        <v>9165</v>
      </c>
      <c r="D5917" t="s">
        <v>18784</v>
      </c>
      <c r="E5917" t="s">
        <v>24158</v>
      </c>
      <c r="F5917" t="s">
        <v>32664</v>
      </c>
      <c r="G5917" t="s">
        <v>32671</v>
      </c>
      <c r="H5917" t="s">
        <v>12635</v>
      </c>
      <c r="I5917" t="s">
        <v>10370</v>
      </c>
      <c r="J5917" t="s">
        <v>34363</v>
      </c>
      <c r="K5917" t="s">
        <v>42281</v>
      </c>
      <c r="M5917" t="s">
        <v>44674</v>
      </c>
      <c r="N5917" t="s">
        <v>46569</v>
      </c>
      <c r="O5917" t="s">
        <v>46570</v>
      </c>
      <c r="P5917">
        <v>0</v>
      </c>
      <c r="Q5917">
        <v>2</v>
      </c>
      <c r="R5917" t="s">
        <v>46573</v>
      </c>
      <c r="S5917" t="s">
        <v>46705</v>
      </c>
      <c r="T5917" t="s">
        <v>48329</v>
      </c>
      <c r="U5917" t="s">
        <v>53688</v>
      </c>
      <c r="W5917" t="s">
        <v>44674</v>
      </c>
      <c r="X5917" t="s">
        <v>46574</v>
      </c>
    </row>
    <row r="5918" spans="1:24">
      <c r="A5918">
        <f>HYPERLINK("https://www.philgeps.gov.ph/GEPSNONPILOT/Tender/SplashBidNoticeAbstractUI.aspx?menuIndex=3&amp;refID=7060185&amp;Result=3","7060185")</f>
        <v>0</v>
      </c>
      <c r="B5918" t="s">
        <v>1811</v>
      </c>
      <c r="C5918" t="s">
        <v>9166</v>
      </c>
      <c r="D5918" t="s">
        <v>18805</v>
      </c>
      <c r="E5918" t="s">
        <v>24159</v>
      </c>
      <c r="F5918" t="s">
        <v>32664</v>
      </c>
      <c r="G5918" t="s">
        <v>32672</v>
      </c>
      <c r="H5918" t="s">
        <v>12635</v>
      </c>
      <c r="I5918" t="s">
        <v>14442</v>
      </c>
      <c r="J5918" t="s">
        <v>36519</v>
      </c>
      <c r="K5918" t="s">
        <v>42283</v>
      </c>
      <c r="M5918" t="s">
        <v>44517</v>
      </c>
      <c r="N5918" t="s">
        <v>46569</v>
      </c>
      <c r="O5918" t="s">
        <v>46570</v>
      </c>
      <c r="P5918">
        <v>0</v>
      </c>
      <c r="Q5918">
        <v>0</v>
      </c>
      <c r="R5918" t="s">
        <v>46573</v>
      </c>
      <c r="S5918" t="s">
        <v>46705</v>
      </c>
      <c r="T5918" t="s">
        <v>48411</v>
      </c>
      <c r="U5918" t="s">
        <v>53703</v>
      </c>
      <c r="V5918" t="s">
        <v>62197</v>
      </c>
      <c r="W5918" t="s">
        <v>44517</v>
      </c>
      <c r="X5918" t="s">
        <v>46574</v>
      </c>
    </row>
    <row r="5919" spans="1:24">
      <c r="A5919">
        <f>HYPERLINK("https://www.philgeps.gov.ph/GEPSNONPILOT/Tender/SplashBidNoticeAbstractUI.aspx?menuIndex=3&amp;refID=7060148&amp;Result=3","7060148")</f>
        <v>0</v>
      </c>
      <c r="B5919" t="s">
        <v>1410</v>
      </c>
      <c r="C5919" t="s">
        <v>9167</v>
      </c>
      <c r="D5919" t="s">
        <v>18803</v>
      </c>
      <c r="E5919" t="s">
        <v>24160</v>
      </c>
      <c r="F5919" t="s">
        <v>32664</v>
      </c>
      <c r="G5919" t="s">
        <v>32677</v>
      </c>
      <c r="H5919" t="s">
        <v>12635</v>
      </c>
      <c r="I5919" t="s">
        <v>11464</v>
      </c>
      <c r="J5919" t="s">
        <v>36320</v>
      </c>
      <c r="K5919" t="s">
        <v>42283</v>
      </c>
      <c r="M5919" t="s">
        <v>44067</v>
      </c>
      <c r="N5919" t="s">
        <v>46569</v>
      </c>
      <c r="O5919" t="s">
        <v>46570</v>
      </c>
      <c r="P5919">
        <v>0</v>
      </c>
      <c r="Q5919">
        <v>8</v>
      </c>
      <c r="R5919" t="s">
        <v>46573</v>
      </c>
      <c r="S5919" t="s">
        <v>46705</v>
      </c>
      <c r="T5919" t="s">
        <v>48275</v>
      </c>
      <c r="U5919" t="s">
        <v>53704</v>
      </c>
      <c r="V5919" t="s">
        <v>62232</v>
      </c>
      <c r="W5919" t="s">
        <v>44067</v>
      </c>
      <c r="X5919" t="s">
        <v>46574</v>
      </c>
    </row>
    <row r="5920" spans="1:24">
      <c r="A5920">
        <f>HYPERLINK("https://www.philgeps.gov.ph/GEPSNONPILOT/Tender/SplashBidNoticeAbstractUI.aspx?menuIndex=3&amp;refID=7060188&amp;Result=3","7060188")</f>
        <v>0</v>
      </c>
      <c r="B5920" t="s">
        <v>1600</v>
      </c>
      <c r="C5920" t="s">
        <v>9168</v>
      </c>
      <c r="D5920" t="s">
        <v>18835</v>
      </c>
      <c r="E5920" t="s">
        <v>24161</v>
      </c>
      <c r="F5920" t="s">
        <v>32664</v>
      </c>
      <c r="G5920" t="s">
        <v>32671</v>
      </c>
      <c r="H5920" t="s">
        <v>12635</v>
      </c>
      <c r="I5920" t="s">
        <v>4439</v>
      </c>
      <c r="J5920" t="s">
        <v>36520</v>
      </c>
      <c r="K5920" t="s">
        <v>42289</v>
      </c>
      <c r="M5920" t="s">
        <v>44277</v>
      </c>
      <c r="N5920" t="s">
        <v>46569</v>
      </c>
      <c r="O5920" t="s">
        <v>46570</v>
      </c>
      <c r="P5920">
        <v>0</v>
      </c>
      <c r="Q5920">
        <v>0</v>
      </c>
      <c r="R5920" t="s">
        <v>46573</v>
      </c>
      <c r="S5920" t="s">
        <v>46705</v>
      </c>
      <c r="T5920" t="s">
        <v>48287</v>
      </c>
      <c r="U5920" t="s">
        <v>53705</v>
      </c>
      <c r="W5920" t="s">
        <v>44277</v>
      </c>
      <c r="X5920" t="s">
        <v>46574</v>
      </c>
    </row>
    <row r="5921" spans="1:24">
      <c r="A5921">
        <f>HYPERLINK("https://www.philgeps.gov.ph/GEPSNONPILOT/Tender/SplashBidNoticeAbstractUI.aspx?menuIndex=3&amp;refID=7060182&amp;Result=3","7060182")</f>
        <v>0</v>
      </c>
      <c r="B5921" t="s">
        <v>1944</v>
      </c>
      <c r="C5921" t="s">
        <v>9169</v>
      </c>
      <c r="D5921" t="s">
        <v>18806</v>
      </c>
      <c r="E5921" t="s">
        <v>24162</v>
      </c>
      <c r="F5921" t="s">
        <v>32664</v>
      </c>
      <c r="G5921" t="s">
        <v>32672</v>
      </c>
      <c r="H5921" t="s">
        <v>12635</v>
      </c>
      <c r="I5921" t="s">
        <v>4439</v>
      </c>
      <c r="J5921" t="s">
        <v>36521</v>
      </c>
      <c r="K5921" t="s">
        <v>42297</v>
      </c>
      <c r="M5921" t="s">
        <v>44669</v>
      </c>
      <c r="N5921" t="s">
        <v>46569</v>
      </c>
      <c r="O5921" t="s">
        <v>46570</v>
      </c>
      <c r="P5921">
        <v>0</v>
      </c>
      <c r="Q5921">
        <v>0</v>
      </c>
      <c r="R5921" t="s">
        <v>46573</v>
      </c>
      <c r="S5921" t="s">
        <v>46705</v>
      </c>
      <c r="T5921" t="s">
        <v>48308</v>
      </c>
      <c r="U5921" t="s">
        <v>53706</v>
      </c>
      <c r="V5921" t="s">
        <v>62224</v>
      </c>
      <c r="W5921" t="s">
        <v>44669</v>
      </c>
      <c r="X5921" t="s">
        <v>46574</v>
      </c>
    </row>
    <row r="5922" spans="1:24">
      <c r="A5922">
        <f>HYPERLINK("https://www.philgeps.gov.ph/GEPSNONPILOT/Tender/SplashBidNoticeAbstractUI.aspx?menuIndex=3&amp;refID=7060157&amp;Result=3","7060157")</f>
        <v>0</v>
      </c>
      <c r="B5922" t="s">
        <v>1978</v>
      </c>
      <c r="C5922" t="s">
        <v>9170</v>
      </c>
      <c r="D5922" t="s">
        <v>18807</v>
      </c>
      <c r="E5922" t="s">
        <v>19681</v>
      </c>
      <c r="F5922" t="s">
        <v>32664</v>
      </c>
      <c r="G5922" t="s">
        <v>32672</v>
      </c>
      <c r="H5922" t="s">
        <v>32683</v>
      </c>
      <c r="I5922" t="s">
        <v>10627</v>
      </c>
      <c r="J5922" t="s">
        <v>36522</v>
      </c>
      <c r="K5922" t="s">
        <v>42297</v>
      </c>
      <c r="M5922" t="s">
        <v>44712</v>
      </c>
      <c r="N5922" t="s">
        <v>46569</v>
      </c>
      <c r="O5922" t="s">
        <v>46570</v>
      </c>
      <c r="P5922">
        <v>0</v>
      </c>
      <c r="Q5922">
        <v>0</v>
      </c>
      <c r="R5922" t="s">
        <v>46573</v>
      </c>
      <c r="S5922" t="s">
        <v>46705</v>
      </c>
      <c r="T5922" t="s">
        <v>48412</v>
      </c>
      <c r="U5922" t="s">
        <v>53707</v>
      </c>
      <c r="W5922" t="s">
        <v>44712</v>
      </c>
      <c r="X5922" t="s">
        <v>46574</v>
      </c>
    </row>
    <row r="5923" spans="1:24">
      <c r="A5923">
        <f>HYPERLINK("https://www.philgeps.gov.ph/GEPSNONPILOT/Tender/SplashBidNoticeAbstractUI.aspx?menuIndex=3&amp;refID=7060180&amp;Result=3","7060180")</f>
        <v>0</v>
      </c>
      <c r="B5923" t="s">
        <v>1979</v>
      </c>
      <c r="C5923" t="s">
        <v>9171</v>
      </c>
      <c r="D5923" t="s">
        <v>18838</v>
      </c>
      <c r="E5923" t="s">
        <v>24163</v>
      </c>
      <c r="F5923" t="s">
        <v>32664</v>
      </c>
      <c r="G5923" t="s">
        <v>32671</v>
      </c>
      <c r="H5923" t="s">
        <v>12635</v>
      </c>
      <c r="I5923" t="s">
        <v>5589</v>
      </c>
      <c r="J5923" t="s">
        <v>36523</v>
      </c>
      <c r="K5923" t="s">
        <v>42283</v>
      </c>
      <c r="M5923" t="s">
        <v>44713</v>
      </c>
      <c r="N5923" t="s">
        <v>46569</v>
      </c>
      <c r="O5923" t="s">
        <v>46570</v>
      </c>
      <c r="P5923">
        <v>0</v>
      </c>
      <c r="Q5923">
        <v>0</v>
      </c>
      <c r="R5923" t="s">
        <v>46573</v>
      </c>
      <c r="S5923" t="s">
        <v>46705</v>
      </c>
      <c r="T5923" t="s">
        <v>48254</v>
      </c>
      <c r="U5923" t="s">
        <v>53708</v>
      </c>
      <c r="W5923" t="s">
        <v>63543</v>
      </c>
      <c r="X5923" t="s">
        <v>46574</v>
      </c>
    </row>
    <row r="5924" spans="1:24">
      <c r="A5924">
        <f>HYPERLINK("https://www.philgeps.gov.ph/GEPSNONPILOT/Tender/SplashBidNoticeAbstractUI.aspx?menuIndex=3&amp;refID=7060179&amp;Result=3","7060179")</f>
        <v>0</v>
      </c>
      <c r="B5924" t="s">
        <v>1312</v>
      </c>
      <c r="C5924" t="s">
        <v>9172</v>
      </c>
      <c r="D5924" t="s">
        <v>18788</v>
      </c>
      <c r="E5924" t="s">
        <v>19650</v>
      </c>
      <c r="F5924" t="s">
        <v>32664</v>
      </c>
      <c r="G5924" t="s">
        <v>32672</v>
      </c>
      <c r="H5924" t="s">
        <v>32683</v>
      </c>
      <c r="I5924" t="s">
        <v>10627</v>
      </c>
      <c r="J5924" t="s">
        <v>32898</v>
      </c>
      <c r="K5924" t="s">
        <v>42283</v>
      </c>
      <c r="M5924" t="s">
        <v>43958</v>
      </c>
      <c r="N5924" t="s">
        <v>46569</v>
      </c>
      <c r="O5924" t="s">
        <v>46570</v>
      </c>
      <c r="P5924">
        <v>0</v>
      </c>
      <c r="Q5924">
        <v>2</v>
      </c>
      <c r="R5924" t="s">
        <v>46573</v>
      </c>
      <c r="S5924" t="s">
        <v>46705</v>
      </c>
      <c r="T5924" t="s">
        <v>48305</v>
      </c>
      <c r="U5924" t="s">
        <v>53709</v>
      </c>
      <c r="W5924" t="s">
        <v>43958</v>
      </c>
      <c r="X5924" t="s">
        <v>46574</v>
      </c>
    </row>
    <row r="5925" spans="1:24">
      <c r="A5925">
        <f>HYPERLINK("https://www.philgeps.gov.ph/GEPSNONPILOT/Tender/SplashBidNoticeAbstractUI.aspx?menuIndex=3&amp;refID=7060176&amp;Result=3","7060176")</f>
        <v>0</v>
      </c>
      <c r="B5925" t="s">
        <v>687</v>
      </c>
      <c r="C5925" t="s">
        <v>6659</v>
      </c>
      <c r="D5925" t="s">
        <v>18805</v>
      </c>
      <c r="E5925" t="s">
        <v>24164</v>
      </c>
      <c r="F5925" t="s">
        <v>32664</v>
      </c>
      <c r="G5925" t="s">
        <v>32678</v>
      </c>
      <c r="H5925" t="s">
        <v>32681</v>
      </c>
      <c r="I5925" t="s">
        <v>32681</v>
      </c>
      <c r="J5925" t="s">
        <v>33078</v>
      </c>
      <c r="K5925" t="s">
        <v>42283</v>
      </c>
      <c r="M5925" t="s">
        <v>43274</v>
      </c>
      <c r="N5925" t="s">
        <v>46569</v>
      </c>
      <c r="O5925" t="s">
        <v>46570</v>
      </c>
      <c r="P5925">
        <v>0</v>
      </c>
      <c r="Q5925">
        <v>0</v>
      </c>
      <c r="R5925" t="s">
        <v>46573</v>
      </c>
      <c r="S5925" t="s">
        <v>46705</v>
      </c>
      <c r="T5925" t="s">
        <v>48228</v>
      </c>
      <c r="U5925" t="s">
        <v>53710</v>
      </c>
      <c r="W5925" t="s">
        <v>43274</v>
      </c>
      <c r="X5925" t="s">
        <v>46574</v>
      </c>
    </row>
    <row r="5926" spans="1:24">
      <c r="A5926">
        <f>HYPERLINK("https://www.philgeps.gov.ph/GEPSNONPILOT/Tender/SplashBidNoticeAbstractUI.aspx?menuIndex=3&amp;refID=7060181&amp;Result=3","7060181")</f>
        <v>0</v>
      </c>
      <c r="B5926" t="s">
        <v>1962</v>
      </c>
      <c r="C5926" t="s">
        <v>9173</v>
      </c>
      <c r="D5926" t="s">
        <v>18824</v>
      </c>
      <c r="E5926" t="s">
        <v>20245</v>
      </c>
      <c r="F5926" t="s">
        <v>32664</v>
      </c>
      <c r="G5926" t="s">
        <v>32672</v>
      </c>
      <c r="H5926" t="s">
        <v>12635</v>
      </c>
      <c r="I5926" t="s">
        <v>4439</v>
      </c>
      <c r="J5926" t="s">
        <v>36524</v>
      </c>
      <c r="K5926" t="s">
        <v>42305</v>
      </c>
      <c r="M5926" t="s">
        <v>44694</v>
      </c>
      <c r="N5926" t="s">
        <v>46569</v>
      </c>
      <c r="O5926" t="s">
        <v>46570</v>
      </c>
      <c r="P5926">
        <v>0</v>
      </c>
      <c r="Q5926">
        <v>1</v>
      </c>
      <c r="R5926" t="s">
        <v>46573</v>
      </c>
      <c r="S5926" t="s">
        <v>46705</v>
      </c>
      <c r="T5926" t="s">
        <v>48279</v>
      </c>
      <c r="U5926" t="s">
        <v>53662</v>
      </c>
      <c r="W5926" t="s">
        <v>44694</v>
      </c>
      <c r="X5926" t="s">
        <v>46574</v>
      </c>
    </row>
    <row r="5927" spans="1:24">
      <c r="A5927">
        <f>HYPERLINK("https://www.philgeps.gov.ph/GEPSNONPILOT/Tender/SplashBidNoticeAbstractUI.aspx?menuIndex=3&amp;refID=7060184&amp;Result=3","7060184")</f>
        <v>0</v>
      </c>
      <c r="B5927" t="s">
        <v>1980</v>
      </c>
      <c r="C5927" t="s">
        <v>9174</v>
      </c>
      <c r="D5927" t="s">
        <v>18798</v>
      </c>
      <c r="E5927" t="s">
        <v>19583</v>
      </c>
      <c r="F5927" t="s">
        <v>32664</v>
      </c>
      <c r="G5927" t="s">
        <v>32671</v>
      </c>
      <c r="H5927" t="s">
        <v>12635</v>
      </c>
      <c r="I5927" t="s">
        <v>4997</v>
      </c>
      <c r="J5927" t="s">
        <v>36525</v>
      </c>
      <c r="K5927" t="s">
        <v>42295</v>
      </c>
      <c r="M5927" t="s">
        <v>44714</v>
      </c>
      <c r="N5927" t="s">
        <v>46569</v>
      </c>
      <c r="O5927" t="s">
        <v>46570</v>
      </c>
      <c r="P5927">
        <v>0</v>
      </c>
      <c r="Q5927">
        <v>2</v>
      </c>
      <c r="R5927" t="s">
        <v>46573</v>
      </c>
      <c r="S5927" t="s">
        <v>46705</v>
      </c>
      <c r="T5927" t="s">
        <v>48217</v>
      </c>
      <c r="U5927" t="s">
        <v>53711</v>
      </c>
      <c r="W5927" t="s">
        <v>44714</v>
      </c>
      <c r="X5927" t="s">
        <v>46574</v>
      </c>
    </row>
    <row r="5928" spans="1:24">
      <c r="A5928">
        <f>HYPERLINK("https://www.philgeps.gov.ph/GEPSNONPILOT/Tender/SplashBidNoticeAbstractUI.aspx?menuIndex=3&amp;refID=7060161&amp;Result=3","7060161")</f>
        <v>0</v>
      </c>
      <c r="B5928" t="s">
        <v>1374</v>
      </c>
      <c r="C5928" t="s">
        <v>9073</v>
      </c>
      <c r="D5928" t="s">
        <v>18821</v>
      </c>
      <c r="E5928" t="s">
        <v>24165</v>
      </c>
      <c r="F5928" t="s">
        <v>32664</v>
      </c>
      <c r="G5928" t="s">
        <v>32672</v>
      </c>
      <c r="H5928" t="s">
        <v>12635</v>
      </c>
      <c r="I5928" t="s">
        <v>10361</v>
      </c>
      <c r="J5928" t="s">
        <v>33126</v>
      </c>
      <c r="K5928" t="s">
        <v>42297</v>
      </c>
      <c r="M5928" t="s">
        <v>44029</v>
      </c>
      <c r="N5928" t="s">
        <v>46569</v>
      </c>
      <c r="O5928" t="s">
        <v>46570</v>
      </c>
      <c r="P5928">
        <v>0</v>
      </c>
      <c r="Q5928">
        <v>0</v>
      </c>
      <c r="R5928" t="s">
        <v>46573</v>
      </c>
      <c r="S5928" t="s">
        <v>46705</v>
      </c>
      <c r="T5928" t="s">
        <v>48368</v>
      </c>
      <c r="U5928" t="s">
        <v>51729</v>
      </c>
      <c r="W5928" t="s">
        <v>44029</v>
      </c>
      <c r="X5928" t="s">
        <v>46574</v>
      </c>
    </row>
    <row r="5929" spans="1:24">
      <c r="A5929">
        <f>HYPERLINK("https://www.philgeps.gov.ph/GEPSNONPILOT/Tender/SplashBidNoticeAbstractUI.aspx?menuIndex=3&amp;refID=7060178&amp;Result=3","7060178")</f>
        <v>0</v>
      </c>
      <c r="B5929" t="s">
        <v>673</v>
      </c>
      <c r="C5929" t="s">
        <v>9175</v>
      </c>
      <c r="D5929" t="s">
        <v>18799</v>
      </c>
      <c r="E5929" t="s">
        <v>24166</v>
      </c>
      <c r="F5929" t="s">
        <v>32664</v>
      </c>
      <c r="G5929" t="s">
        <v>32675</v>
      </c>
      <c r="H5929" t="s">
        <v>12635</v>
      </c>
      <c r="I5929" t="s">
        <v>10370</v>
      </c>
      <c r="J5929" t="s">
        <v>32917</v>
      </c>
      <c r="K5929" t="s">
        <v>42283</v>
      </c>
      <c r="M5929" t="s">
        <v>43260</v>
      </c>
      <c r="N5929" t="s">
        <v>46569</v>
      </c>
      <c r="O5929" t="s">
        <v>46570</v>
      </c>
      <c r="P5929">
        <v>0</v>
      </c>
      <c r="Q5929">
        <v>3</v>
      </c>
      <c r="R5929" t="s">
        <v>46573</v>
      </c>
      <c r="S5929" t="s">
        <v>46705</v>
      </c>
      <c r="T5929" t="s">
        <v>48334</v>
      </c>
      <c r="U5929" t="s">
        <v>53659</v>
      </c>
      <c r="W5929" t="s">
        <v>43260</v>
      </c>
      <c r="X5929" t="s">
        <v>46574</v>
      </c>
    </row>
    <row r="5930" spans="1:24">
      <c r="A5930">
        <f>HYPERLINK("https://www.philgeps.gov.ph/GEPSNONPILOT/Tender/SplashBidNoticeAbstractUI.aspx?menuIndex=3&amp;refID=7060172&amp;Result=3","7060172")</f>
        <v>0</v>
      </c>
      <c r="B5930" t="s">
        <v>135</v>
      </c>
      <c r="C5930" t="s">
        <v>9176</v>
      </c>
      <c r="D5930" t="s">
        <v>18807</v>
      </c>
      <c r="E5930" t="s">
        <v>24167</v>
      </c>
      <c r="F5930" t="s">
        <v>32664</v>
      </c>
      <c r="G5930" t="s">
        <v>32672</v>
      </c>
      <c r="H5930" t="s">
        <v>12635</v>
      </c>
      <c r="I5930" t="s">
        <v>4439</v>
      </c>
      <c r="J5930" t="s">
        <v>36526</v>
      </c>
      <c r="K5930" t="s">
        <v>42281</v>
      </c>
      <c r="M5930" t="s">
        <v>42852</v>
      </c>
      <c r="N5930" t="s">
        <v>46569</v>
      </c>
      <c r="O5930" t="s">
        <v>46570</v>
      </c>
      <c r="P5930">
        <v>0</v>
      </c>
      <c r="Q5930">
        <v>0</v>
      </c>
      <c r="R5930" t="s">
        <v>46573</v>
      </c>
      <c r="S5930" t="s">
        <v>46705</v>
      </c>
      <c r="T5930" t="s">
        <v>48228</v>
      </c>
      <c r="U5930" t="s">
        <v>49052</v>
      </c>
      <c r="V5930" t="s">
        <v>61650</v>
      </c>
      <c r="W5930" t="s">
        <v>42852</v>
      </c>
      <c r="X5930" t="s">
        <v>46574</v>
      </c>
    </row>
    <row r="5931" spans="1:24">
      <c r="A5931">
        <f>HYPERLINK("https://www.philgeps.gov.ph/GEPSNONPILOT/Tender/SplashBidNoticeAbstractUI.aspx?menuIndex=3&amp;refID=7060191&amp;Result=3","7060191")</f>
        <v>0</v>
      </c>
      <c r="B5931" t="s">
        <v>1981</v>
      </c>
      <c r="C5931" t="s">
        <v>9177</v>
      </c>
      <c r="D5931" t="s">
        <v>18851</v>
      </c>
      <c r="E5931" t="s">
        <v>20325</v>
      </c>
      <c r="F5931" t="s">
        <v>32664</v>
      </c>
      <c r="G5931" t="s">
        <v>32671</v>
      </c>
      <c r="H5931" t="s">
        <v>12635</v>
      </c>
      <c r="I5931" t="s">
        <v>4439</v>
      </c>
      <c r="J5931" t="s">
        <v>36527</v>
      </c>
      <c r="K5931" t="s">
        <v>42283</v>
      </c>
      <c r="M5931" t="s">
        <v>44715</v>
      </c>
      <c r="N5931" t="s">
        <v>46569</v>
      </c>
      <c r="O5931" t="s">
        <v>46570</v>
      </c>
      <c r="P5931">
        <v>0</v>
      </c>
      <c r="Q5931">
        <v>0</v>
      </c>
      <c r="R5931" t="s">
        <v>46573</v>
      </c>
      <c r="S5931" t="s">
        <v>46705</v>
      </c>
      <c r="T5931" t="s">
        <v>48420</v>
      </c>
      <c r="U5931" t="s">
        <v>53712</v>
      </c>
      <c r="W5931" t="s">
        <v>44715</v>
      </c>
      <c r="X5931" t="s">
        <v>46574</v>
      </c>
    </row>
    <row r="5932" spans="1:24">
      <c r="A5932">
        <f>HYPERLINK("https://www.philgeps.gov.ph/GEPSNONPILOT/Tender/SplashBidNoticeAbstractUI.aspx?menuIndex=3&amp;refID=7060099&amp;Result=3","7060099")</f>
        <v>0</v>
      </c>
      <c r="B5932" t="s">
        <v>1967</v>
      </c>
      <c r="C5932" t="s">
        <v>9178</v>
      </c>
      <c r="D5932" t="s">
        <v>18820</v>
      </c>
      <c r="E5932" t="s">
        <v>24168</v>
      </c>
      <c r="F5932" t="s">
        <v>32664</v>
      </c>
      <c r="G5932" t="s">
        <v>32671</v>
      </c>
      <c r="H5932" t="s">
        <v>12635</v>
      </c>
      <c r="I5932" t="s">
        <v>6118</v>
      </c>
      <c r="J5932" t="s">
        <v>33330</v>
      </c>
      <c r="K5932" t="s">
        <v>42295</v>
      </c>
      <c r="M5932" t="s">
        <v>44700</v>
      </c>
      <c r="N5932" t="s">
        <v>46569</v>
      </c>
      <c r="O5932" t="s">
        <v>46570</v>
      </c>
      <c r="P5932">
        <v>0</v>
      </c>
      <c r="Q5932">
        <v>1</v>
      </c>
      <c r="R5932" t="s">
        <v>46573</v>
      </c>
      <c r="S5932" t="s">
        <v>46705</v>
      </c>
      <c r="T5932" t="s">
        <v>48307</v>
      </c>
      <c r="U5932" t="s">
        <v>53713</v>
      </c>
      <c r="W5932" t="s">
        <v>44700</v>
      </c>
      <c r="X5932" t="s">
        <v>46574</v>
      </c>
    </row>
    <row r="5933" spans="1:24">
      <c r="A5933">
        <f>HYPERLINK("https://www.philgeps.gov.ph/GEPSNONPILOT/Tender/SplashBidNoticeAbstractUI.aspx?menuIndex=3&amp;refID=7060169&amp;Result=3","7060169")</f>
        <v>0</v>
      </c>
      <c r="B5933" t="s">
        <v>451</v>
      </c>
      <c r="C5933" t="s">
        <v>9179</v>
      </c>
      <c r="D5933" t="s">
        <v>18818</v>
      </c>
      <c r="E5933" t="s">
        <v>24169</v>
      </c>
      <c r="F5933" t="s">
        <v>32664</v>
      </c>
      <c r="G5933" t="s">
        <v>32675</v>
      </c>
      <c r="H5933" t="s">
        <v>12635</v>
      </c>
      <c r="I5933" t="s">
        <v>6628</v>
      </c>
      <c r="J5933" t="s">
        <v>33078</v>
      </c>
      <c r="K5933" t="s">
        <v>42297</v>
      </c>
      <c r="M5933" t="s">
        <v>43024</v>
      </c>
      <c r="N5933" t="s">
        <v>46569</v>
      </c>
      <c r="O5933" t="s">
        <v>46570</v>
      </c>
      <c r="P5933">
        <v>0</v>
      </c>
      <c r="Q5933">
        <v>5</v>
      </c>
      <c r="R5933" t="s">
        <v>46573</v>
      </c>
      <c r="S5933" t="s">
        <v>46705</v>
      </c>
      <c r="T5933" t="s">
        <v>48282</v>
      </c>
      <c r="U5933" t="s">
        <v>49582</v>
      </c>
      <c r="W5933" t="s">
        <v>43024</v>
      </c>
      <c r="X5933" t="s">
        <v>46574</v>
      </c>
    </row>
    <row r="5934" spans="1:24">
      <c r="A5934">
        <f>HYPERLINK("https://www.philgeps.gov.ph/GEPSNONPILOT/Tender/SplashBidNoticeAbstractUI.aspx?menuIndex=3&amp;refID=7060095&amp;Result=3","7060095")</f>
        <v>0</v>
      </c>
      <c r="B5934" t="s">
        <v>937</v>
      </c>
      <c r="C5934" t="s">
        <v>9180</v>
      </c>
      <c r="D5934" t="s">
        <v>18791</v>
      </c>
      <c r="E5934" t="s">
        <v>24170</v>
      </c>
      <c r="F5934" t="s">
        <v>32664</v>
      </c>
      <c r="G5934" t="s">
        <v>32671</v>
      </c>
      <c r="H5934" t="s">
        <v>12635</v>
      </c>
      <c r="I5934" t="s">
        <v>7759</v>
      </c>
      <c r="J5934" t="s">
        <v>32859</v>
      </c>
      <c r="K5934" t="s">
        <v>42309</v>
      </c>
      <c r="M5934" t="s">
        <v>43543</v>
      </c>
      <c r="N5934" t="s">
        <v>46569</v>
      </c>
      <c r="O5934" t="s">
        <v>46570</v>
      </c>
      <c r="P5934">
        <v>0</v>
      </c>
      <c r="Q5934">
        <v>0</v>
      </c>
      <c r="R5934" t="s">
        <v>46573</v>
      </c>
      <c r="S5934" t="s">
        <v>46705</v>
      </c>
      <c r="T5934" t="s">
        <v>48287</v>
      </c>
      <c r="U5934" t="s">
        <v>53714</v>
      </c>
      <c r="V5934" t="s">
        <v>61855</v>
      </c>
      <c r="W5934" t="s">
        <v>43543</v>
      </c>
      <c r="X5934" t="s">
        <v>46574</v>
      </c>
    </row>
    <row r="5935" spans="1:24">
      <c r="A5935">
        <f>HYPERLINK("https://www.philgeps.gov.ph/GEPSNONPILOT/Tender/SplashBidNoticeAbstractUI.aspx?menuIndex=3&amp;refID=7060081&amp;Result=3","7060081")</f>
        <v>0</v>
      </c>
      <c r="B5935" t="s">
        <v>1853</v>
      </c>
      <c r="C5935" t="s">
        <v>9181</v>
      </c>
      <c r="D5935" t="s">
        <v>18785</v>
      </c>
      <c r="E5935" t="s">
        <v>24171</v>
      </c>
      <c r="F5935" t="s">
        <v>32664</v>
      </c>
      <c r="G5935" t="s">
        <v>32671</v>
      </c>
      <c r="H5935" t="s">
        <v>12635</v>
      </c>
      <c r="I5935" t="s">
        <v>4333</v>
      </c>
      <c r="J5935" t="s">
        <v>36528</v>
      </c>
      <c r="K5935" t="s">
        <v>42284</v>
      </c>
      <c r="M5935" t="s">
        <v>44564</v>
      </c>
      <c r="N5935" t="s">
        <v>46569</v>
      </c>
      <c r="O5935" t="s">
        <v>46570</v>
      </c>
      <c r="P5935">
        <v>0</v>
      </c>
      <c r="Q5935">
        <v>3</v>
      </c>
      <c r="R5935" t="s">
        <v>46573</v>
      </c>
      <c r="S5935" t="s">
        <v>46705</v>
      </c>
      <c r="T5935" t="s">
        <v>48287</v>
      </c>
      <c r="U5935" t="s">
        <v>53715</v>
      </c>
      <c r="W5935" t="s">
        <v>44564</v>
      </c>
      <c r="X5935" t="s">
        <v>46574</v>
      </c>
    </row>
    <row r="5936" spans="1:24">
      <c r="A5936">
        <f>HYPERLINK("https://www.philgeps.gov.ph/GEPSNONPILOT/Tender/SplashBidNoticeAbstractUI.aspx?menuIndex=3&amp;refID=7060079&amp;Result=3","7060079")</f>
        <v>0</v>
      </c>
      <c r="B5936" t="s">
        <v>594</v>
      </c>
      <c r="C5936" t="s">
        <v>9182</v>
      </c>
      <c r="D5936" t="s">
        <v>18784</v>
      </c>
      <c r="E5936" t="s">
        <v>24172</v>
      </c>
      <c r="F5936" t="s">
        <v>32664</v>
      </c>
      <c r="G5936" t="s">
        <v>32674</v>
      </c>
      <c r="H5936" t="s">
        <v>12635</v>
      </c>
      <c r="I5936" t="s">
        <v>9486</v>
      </c>
      <c r="J5936" t="s">
        <v>33096</v>
      </c>
      <c r="K5936" t="s">
        <v>42297</v>
      </c>
      <c r="M5936" t="s">
        <v>43721</v>
      </c>
      <c r="N5936" t="s">
        <v>46569</v>
      </c>
      <c r="O5936" t="s">
        <v>46570</v>
      </c>
      <c r="P5936">
        <v>0</v>
      </c>
      <c r="Q5936">
        <v>3</v>
      </c>
      <c r="R5936" t="s">
        <v>46573</v>
      </c>
      <c r="S5936" t="s">
        <v>46705</v>
      </c>
      <c r="T5936" t="s">
        <v>48551</v>
      </c>
      <c r="U5936" t="s">
        <v>53716</v>
      </c>
      <c r="V5936" t="s">
        <v>62115</v>
      </c>
      <c r="W5936" t="s">
        <v>43721</v>
      </c>
      <c r="X5936" t="s">
        <v>46574</v>
      </c>
    </row>
    <row r="5937" spans="1:24">
      <c r="A5937">
        <f>HYPERLINK("https://www.philgeps.gov.ph/GEPSNONPILOT/Tender/SplashBidNoticeAbstractUI.aspx?menuIndex=3&amp;refID=7060173&amp;Result=3","7060173")</f>
        <v>0</v>
      </c>
      <c r="B5937" t="s">
        <v>594</v>
      </c>
      <c r="C5937" t="s">
        <v>9183</v>
      </c>
      <c r="D5937" t="s">
        <v>18784</v>
      </c>
      <c r="E5937" t="s">
        <v>24173</v>
      </c>
      <c r="F5937" t="s">
        <v>32664</v>
      </c>
      <c r="G5937" t="s">
        <v>32674</v>
      </c>
      <c r="H5937" t="s">
        <v>12635</v>
      </c>
      <c r="I5937" t="s">
        <v>9486</v>
      </c>
      <c r="J5937" t="s">
        <v>36529</v>
      </c>
      <c r="K5937" t="s">
        <v>42297</v>
      </c>
      <c r="M5937" t="s">
        <v>43721</v>
      </c>
      <c r="N5937" t="s">
        <v>46569</v>
      </c>
      <c r="O5937" t="s">
        <v>46570</v>
      </c>
      <c r="P5937">
        <v>0</v>
      </c>
      <c r="Q5937">
        <v>3</v>
      </c>
      <c r="R5937" t="s">
        <v>46573</v>
      </c>
      <c r="S5937" t="s">
        <v>46705</v>
      </c>
      <c r="T5937" t="s">
        <v>48551</v>
      </c>
      <c r="U5937" t="s">
        <v>53717</v>
      </c>
      <c r="V5937" t="s">
        <v>62115</v>
      </c>
      <c r="W5937" t="s">
        <v>43721</v>
      </c>
      <c r="X5937" t="s">
        <v>46574</v>
      </c>
    </row>
    <row r="5938" spans="1:24">
      <c r="A5938">
        <f>HYPERLINK("https://www.philgeps.gov.ph/GEPSNONPILOT/Tender/SplashBidNoticeAbstractUI.aspx?menuIndex=3&amp;refID=7060174&amp;Result=3","7060174")</f>
        <v>0</v>
      </c>
      <c r="B5938" t="s">
        <v>1974</v>
      </c>
      <c r="C5938" t="s">
        <v>9184</v>
      </c>
      <c r="D5938" t="s">
        <v>18857</v>
      </c>
      <c r="E5938" t="s">
        <v>24174</v>
      </c>
      <c r="F5938" t="s">
        <v>32664</v>
      </c>
      <c r="G5938" t="s">
        <v>32671</v>
      </c>
      <c r="H5938" t="s">
        <v>12635</v>
      </c>
      <c r="I5938" t="s">
        <v>9486</v>
      </c>
      <c r="J5938" t="s">
        <v>36530</v>
      </c>
      <c r="K5938" t="s">
        <v>42289</v>
      </c>
      <c r="M5938" t="s">
        <v>44708</v>
      </c>
      <c r="N5938" t="s">
        <v>46569</v>
      </c>
      <c r="O5938" t="s">
        <v>46570</v>
      </c>
      <c r="P5938">
        <v>0</v>
      </c>
      <c r="Q5938">
        <v>1</v>
      </c>
      <c r="R5938" t="s">
        <v>46573</v>
      </c>
      <c r="S5938" t="s">
        <v>46705</v>
      </c>
      <c r="T5938" t="s">
        <v>48287</v>
      </c>
      <c r="U5938" t="s">
        <v>53718</v>
      </c>
      <c r="W5938" t="s">
        <v>44708</v>
      </c>
      <c r="X5938" t="s">
        <v>46574</v>
      </c>
    </row>
    <row r="5939" spans="1:24">
      <c r="A5939">
        <f>HYPERLINK("https://www.philgeps.gov.ph/GEPSNONPILOT/Tender/SplashBidNoticeAbstractUI.aspx?menuIndex=3&amp;refID=7060077&amp;Result=3","7060077")</f>
        <v>0</v>
      </c>
      <c r="B5939" t="s">
        <v>1134</v>
      </c>
      <c r="C5939" t="s">
        <v>9185</v>
      </c>
      <c r="D5939" t="s">
        <v>18844</v>
      </c>
      <c r="E5939" t="s">
        <v>20959</v>
      </c>
      <c r="F5939" t="s">
        <v>32664</v>
      </c>
      <c r="G5939" t="s">
        <v>32672</v>
      </c>
      <c r="H5939" t="s">
        <v>12635</v>
      </c>
      <c r="I5939" t="s">
        <v>4439</v>
      </c>
      <c r="J5939" t="s">
        <v>36531</v>
      </c>
      <c r="K5939" t="s">
        <v>42303</v>
      </c>
      <c r="M5939" t="s">
        <v>43763</v>
      </c>
      <c r="N5939" t="s">
        <v>46569</v>
      </c>
      <c r="O5939" t="s">
        <v>46570</v>
      </c>
      <c r="P5939">
        <v>0</v>
      </c>
      <c r="Q5939">
        <v>0</v>
      </c>
      <c r="R5939" t="s">
        <v>46573</v>
      </c>
      <c r="S5939" t="s">
        <v>46705</v>
      </c>
      <c r="T5939" t="s">
        <v>48226</v>
      </c>
      <c r="U5939" t="s">
        <v>53719</v>
      </c>
      <c r="W5939" t="s">
        <v>43763</v>
      </c>
      <c r="X5939" t="s">
        <v>46574</v>
      </c>
    </row>
    <row r="5940" spans="1:24">
      <c r="A5940">
        <f>HYPERLINK("https://www.philgeps.gov.ph/GEPSNONPILOT/Tender/SplashBidNoticeAbstractUI.aspx?menuIndex=3&amp;refID=7060074&amp;Result=3","7060074")</f>
        <v>0</v>
      </c>
      <c r="B5940" t="s">
        <v>117</v>
      </c>
      <c r="C5940" t="s">
        <v>9186</v>
      </c>
      <c r="D5940" t="s">
        <v>18799</v>
      </c>
      <c r="E5940" t="s">
        <v>24175</v>
      </c>
      <c r="F5940" t="s">
        <v>32664</v>
      </c>
      <c r="G5940" t="s">
        <v>32672</v>
      </c>
      <c r="H5940" t="s">
        <v>12635</v>
      </c>
      <c r="I5940" t="s">
        <v>7759</v>
      </c>
      <c r="J5940" t="s">
        <v>36532</v>
      </c>
      <c r="K5940" t="s">
        <v>42283</v>
      </c>
      <c r="M5940" t="s">
        <v>44671</v>
      </c>
      <c r="N5940" t="s">
        <v>46569</v>
      </c>
      <c r="O5940" t="s">
        <v>46570</v>
      </c>
      <c r="P5940">
        <v>0</v>
      </c>
      <c r="Q5940">
        <v>1</v>
      </c>
      <c r="R5940" t="s">
        <v>46573</v>
      </c>
      <c r="S5940" t="s">
        <v>46705</v>
      </c>
      <c r="T5940" t="s">
        <v>48272</v>
      </c>
      <c r="U5940" t="s">
        <v>53720</v>
      </c>
      <c r="W5940" t="s">
        <v>44671</v>
      </c>
      <c r="X5940" t="s">
        <v>46574</v>
      </c>
    </row>
    <row r="5941" spans="1:24">
      <c r="A5941">
        <f>HYPERLINK("https://www.philgeps.gov.ph/GEPSNONPILOT/Tender/SplashBidNoticeAbstractUI.aspx?menuIndex=3&amp;refID=7060097&amp;Result=3","7060097")</f>
        <v>0</v>
      </c>
      <c r="B5941" t="s">
        <v>629</v>
      </c>
      <c r="C5941" t="s">
        <v>9187</v>
      </c>
      <c r="D5941" t="s">
        <v>18807</v>
      </c>
      <c r="E5941" t="s">
        <v>24176</v>
      </c>
      <c r="F5941" t="s">
        <v>32664</v>
      </c>
      <c r="G5941" t="s">
        <v>32674</v>
      </c>
      <c r="H5941" t="s">
        <v>12635</v>
      </c>
      <c r="I5941" t="s">
        <v>4205</v>
      </c>
      <c r="J5941" t="s">
        <v>36533</v>
      </c>
      <c r="K5941" t="s">
        <v>42283</v>
      </c>
      <c r="M5941" t="s">
        <v>43224</v>
      </c>
      <c r="N5941" t="s">
        <v>46569</v>
      </c>
      <c r="O5941" t="s">
        <v>46570</v>
      </c>
      <c r="P5941">
        <v>0</v>
      </c>
      <c r="Q5941">
        <v>0</v>
      </c>
      <c r="R5941" t="s">
        <v>46573</v>
      </c>
      <c r="S5941" t="s">
        <v>46705</v>
      </c>
      <c r="T5941" t="s">
        <v>48316</v>
      </c>
      <c r="U5941" t="s">
        <v>53721</v>
      </c>
      <c r="W5941" t="s">
        <v>43224</v>
      </c>
      <c r="X5941" t="s">
        <v>46574</v>
      </c>
    </row>
    <row r="5942" spans="1:24">
      <c r="A5942">
        <f>HYPERLINK("https://www.philgeps.gov.ph/GEPSNONPILOT/Tender/SplashBidNoticeAbstractUI.aspx?menuIndex=3&amp;refID=7060170&amp;Result=3","7060170")</f>
        <v>0</v>
      </c>
      <c r="B5942" t="s">
        <v>660</v>
      </c>
      <c r="C5942" t="s">
        <v>9188</v>
      </c>
      <c r="D5942" t="s">
        <v>18855</v>
      </c>
      <c r="E5942" t="s">
        <v>24177</v>
      </c>
      <c r="F5942" t="s">
        <v>32664</v>
      </c>
      <c r="G5942" t="s">
        <v>32671</v>
      </c>
      <c r="H5942" t="s">
        <v>12635</v>
      </c>
      <c r="I5942" t="s">
        <v>7429</v>
      </c>
      <c r="J5942" t="s">
        <v>33078</v>
      </c>
      <c r="K5942" t="s">
        <v>42283</v>
      </c>
      <c r="M5942" t="s">
        <v>43247</v>
      </c>
      <c r="N5942" t="s">
        <v>46569</v>
      </c>
      <c r="O5942" t="s">
        <v>46570</v>
      </c>
      <c r="P5942">
        <v>0</v>
      </c>
      <c r="Q5942">
        <v>1</v>
      </c>
      <c r="R5942" t="s">
        <v>46573</v>
      </c>
      <c r="S5942" t="s">
        <v>46705</v>
      </c>
      <c r="T5942" t="s">
        <v>48254</v>
      </c>
      <c r="U5942" t="s">
        <v>53722</v>
      </c>
      <c r="W5942" t="s">
        <v>43247</v>
      </c>
      <c r="X5942" t="s">
        <v>46574</v>
      </c>
    </row>
    <row r="5943" spans="1:24">
      <c r="A5943">
        <f>HYPERLINK("https://www.philgeps.gov.ph/GEPSNONPILOT/Tender/SplashBidNoticeAbstractUI.aspx?menuIndex=3&amp;refID=7060078&amp;Result=3","7060078")</f>
        <v>0</v>
      </c>
      <c r="B5943" t="s">
        <v>1982</v>
      </c>
      <c r="C5943" t="s">
        <v>9189</v>
      </c>
      <c r="D5943" t="s">
        <v>18848</v>
      </c>
      <c r="E5943" t="s">
        <v>24178</v>
      </c>
      <c r="F5943" t="s">
        <v>32664</v>
      </c>
      <c r="G5943" t="s">
        <v>32672</v>
      </c>
      <c r="H5943" t="s">
        <v>12635</v>
      </c>
      <c r="I5943" t="s">
        <v>4439</v>
      </c>
      <c r="J5943" t="s">
        <v>36534</v>
      </c>
      <c r="K5943" t="s">
        <v>42281</v>
      </c>
      <c r="M5943" t="s">
        <v>44716</v>
      </c>
      <c r="N5943" t="s">
        <v>46569</v>
      </c>
      <c r="O5943" t="s">
        <v>46570</v>
      </c>
      <c r="P5943">
        <v>0</v>
      </c>
      <c r="Q5943">
        <v>1</v>
      </c>
      <c r="R5943" t="s">
        <v>46573</v>
      </c>
      <c r="S5943" t="s">
        <v>46705</v>
      </c>
      <c r="T5943" t="s">
        <v>48302</v>
      </c>
      <c r="U5943" t="s">
        <v>53723</v>
      </c>
      <c r="W5943" t="s">
        <v>44716</v>
      </c>
      <c r="X5943" t="s">
        <v>46574</v>
      </c>
    </row>
    <row r="5944" spans="1:24">
      <c r="A5944">
        <f>HYPERLINK("https://www.philgeps.gov.ph/GEPSNONPILOT/Tender/SplashBidNoticeAbstractUI.aspx?menuIndex=3&amp;refID=7060070&amp;Result=3","7060070")</f>
        <v>0</v>
      </c>
      <c r="B5944" t="s">
        <v>617</v>
      </c>
      <c r="C5944" t="s">
        <v>9190</v>
      </c>
      <c r="D5944" t="s">
        <v>18784</v>
      </c>
      <c r="E5944" t="s">
        <v>24179</v>
      </c>
      <c r="F5944" t="s">
        <v>32664</v>
      </c>
      <c r="G5944" t="s">
        <v>32674</v>
      </c>
      <c r="H5944" t="s">
        <v>12635</v>
      </c>
      <c r="I5944" t="s">
        <v>6628</v>
      </c>
      <c r="J5944" t="s">
        <v>33215</v>
      </c>
      <c r="K5944" t="s">
        <v>42289</v>
      </c>
      <c r="M5944" t="s">
        <v>43197</v>
      </c>
      <c r="N5944" t="s">
        <v>46569</v>
      </c>
      <c r="O5944" t="s">
        <v>46570</v>
      </c>
      <c r="P5944">
        <v>0</v>
      </c>
      <c r="Q5944">
        <v>4</v>
      </c>
      <c r="R5944" t="s">
        <v>46573</v>
      </c>
      <c r="S5944" t="s">
        <v>46705</v>
      </c>
      <c r="T5944" t="s">
        <v>48448</v>
      </c>
      <c r="U5944" t="s">
        <v>53724</v>
      </c>
      <c r="W5944" t="s">
        <v>43197</v>
      </c>
      <c r="X5944" t="s">
        <v>46574</v>
      </c>
    </row>
    <row r="5945" spans="1:24">
      <c r="A5945">
        <f>HYPERLINK("https://www.philgeps.gov.ph/GEPSNONPILOT/Tender/SplashBidNoticeAbstractUI.aspx?menuIndex=3&amp;refID=7060098&amp;Result=3","7060098")</f>
        <v>0</v>
      </c>
      <c r="B5945" t="s">
        <v>152</v>
      </c>
      <c r="C5945" t="s">
        <v>9191</v>
      </c>
      <c r="D5945" t="s">
        <v>18813</v>
      </c>
      <c r="E5945" t="s">
        <v>24180</v>
      </c>
      <c r="F5945" t="s">
        <v>32664</v>
      </c>
      <c r="G5945" t="s">
        <v>32671</v>
      </c>
      <c r="H5945" t="s">
        <v>12635</v>
      </c>
      <c r="I5945" t="s">
        <v>6628</v>
      </c>
      <c r="J5945" t="s">
        <v>32917</v>
      </c>
      <c r="K5945" t="s">
        <v>42297</v>
      </c>
      <c r="M5945" t="s">
        <v>42716</v>
      </c>
      <c r="N5945" t="s">
        <v>46569</v>
      </c>
      <c r="O5945" t="s">
        <v>46570</v>
      </c>
      <c r="P5945">
        <v>0</v>
      </c>
      <c r="Q5945">
        <v>0</v>
      </c>
      <c r="R5945" t="s">
        <v>46573</v>
      </c>
      <c r="S5945" t="s">
        <v>46705</v>
      </c>
      <c r="T5945" t="s">
        <v>48290</v>
      </c>
      <c r="U5945" t="s">
        <v>53725</v>
      </c>
      <c r="W5945" t="s">
        <v>42716</v>
      </c>
      <c r="X5945" t="s">
        <v>46574</v>
      </c>
    </row>
    <row r="5946" spans="1:24">
      <c r="A5946">
        <f>HYPERLINK("https://www.philgeps.gov.ph/GEPSNONPILOT/Tender/SplashBidNoticeAbstractUI.aspx?menuIndex=3&amp;refID=7060218&amp;Result=3","7060218")</f>
        <v>0</v>
      </c>
      <c r="B5946" t="s">
        <v>1972</v>
      </c>
      <c r="C5946" t="s">
        <v>9192</v>
      </c>
      <c r="D5946" t="s">
        <v>18819</v>
      </c>
      <c r="E5946" t="s">
        <v>24145</v>
      </c>
      <c r="F5946" t="s">
        <v>32664</v>
      </c>
      <c r="G5946" t="s">
        <v>32672</v>
      </c>
      <c r="H5946" t="s">
        <v>32682</v>
      </c>
      <c r="I5946" t="s">
        <v>4439</v>
      </c>
      <c r="J5946" t="s">
        <v>32930</v>
      </c>
      <c r="K5946" t="s">
        <v>42289</v>
      </c>
      <c r="M5946" t="s">
        <v>44706</v>
      </c>
      <c r="N5946" t="s">
        <v>46569</v>
      </c>
      <c r="O5946" t="s">
        <v>46570</v>
      </c>
      <c r="P5946">
        <v>0</v>
      </c>
      <c r="Q5946">
        <v>1</v>
      </c>
      <c r="R5946" t="s">
        <v>46573</v>
      </c>
      <c r="S5946" t="s">
        <v>46705</v>
      </c>
      <c r="T5946" t="s">
        <v>48308</v>
      </c>
      <c r="U5946" t="s">
        <v>53726</v>
      </c>
      <c r="W5946" t="s">
        <v>44706</v>
      </c>
      <c r="X5946" t="s">
        <v>46574</v>
      </c>
    </row>
    <row r="5947" spans="1:24">
      <c r="A5947">
        <f>HYPERLINK("https://www.philgeps.gov.ph/GEPSNONPILOT/Tender/SplashBidNoticeAbstractUI.aspx?menuIndex=3&amp;refID=7060076&amp;Result=3","7060076")</f>
        <v>0</v>
      </c>
      <c r="B5947" t="s">
        <v>1983</v>
      </c>
      <c r="C5947" t="s">
        <v>9193</v>
      </c>
      <c r="D5947" t="s">
        <v>18806</v>
      </c>
      <c r="E5947" t="s">
        <v>21002</v>
      </c>
      <c r="F5947" t="s">
        <v>32664</v>
      </c>
      <c r="G5947" t="s">
        <v>32672</v>
      </c>
      <c r="H5947" t="s">
        <v>12635</v>
      </c>
      <c r="I5947" t="s">
        <v>6168</v>
      </c>
      <c r="J5947" t="s">
        <v>36535</v>
      </c>
      <c r="K5947" t="s">
        <v>42281</v>
      </c>
      <c r="M5947" t="s">
        <v>44717</v>
      </c>
      <c r="N5947" t="s">
        <v>46569</v>
      </c>
      <c r="O5947" t="s">
        <v>46570</v>
      </c>
      <c r="P5947">
        <v>0</v>
      </c>
      <c r="Q5947">
        <v>2</v>
      </c>
      <c r="R5947" t="s">
        <v>46573</v>
      </c>
      <c r="S5947" t="s">
        <v>46705</v>
      </c>
      <c r="T5947" t="s">
        <v>48282</v>
      </c>
      <c r="U5947" t="s">
        <v>53727</v>
      </c>
      <c r="W5947" t="s">
        <v>44717</v>
      </c>
      <c r="X5947" t="s">
        <v>46574</v>
      </c>
    </row>
    <row r="5948" spans="1:24">
      <c r="A5948">
        <f>HYPERLINK("https://www.philgeps.gov.ph/GEPSNONPILOT/Tender/SplashBidNoticeAbstractUI.aspx?menuIndex=3&amp;refID=7060080&amp;Result=3","7060080")</f>
        <v>0</v>
      </c>
      <c r="B5948" t="s">
        <v>1201</v>
      </c>
      <c r="C5948" t="s">
        <v>9194</v>
      </c>
      <c r="D5948" t="s">
        <v>18855</v>
      </c>
      <c r="E5948" t="s">
        <v>22250</v>
      </c>
      <c r="F5948" t="s">
        <v>32664</v>
      </c>
      <c r="G5948" t="s">
        <v>32672</v>
      </c>
      <c r="H5948" t="s">
        <v>32683</v>
      </c>
      <c r="I5948" t="s">
        <v>10627</v>
      </c>
      <c r="J5948" t="s">
        <v>32865</v>
      </c>
      <c r="K5948" t="s">
        <v>42281</v>
      </c>
      <c r="M5948" t="s">
        <v>43838</v>
      </c>
      <c r="N5948" t="s">
        <v>46569</v>
      </c>
      <c r="O5948" t="s">
        <v>46570</v>
      </c>
      <c r="P5948">
        <v>0</v>
      </c>
      <c r="Q5948">
        <v>1</v>
      </c>
      <c r="R5948" t="s">
        <v>46573</v>
      </c>
      <c r="S5948" t="s">
        <v>46705</v>
      </c>
      <c r="T5948" t="s">
        <v>48380</v>
      </c>
      <c r="U5948" t="s">
        <v>53644</v>
      </c>
      <c r="W5948" t="s">
        <v>43838</v>
      </c>
      <c r="X5948" t="s">
        <v>46574</v>
      </c>
    </row>
    <row r="5949" spans="1:24">
      <c r="A5949">
        <f>HYPERLINK("https://www.philgeps.gov.ph/GEPSNONPILOT/Tender/SplashBidNoticeAbstractUI.aspx?menuIndex=3&amp;refID=7060211&amp;Result=3","7060211")</f>
        <v>0</v>
      </c>
      <c r="B5949" t="s">
        <v>1984</v>
      </c>
      <c r="C5949" t="s">
        <v>9195</v>
      </c>
      <c r="D5949" t="s">
        <v>18793</v>
      </c>
      <c r="E5949" t="s">
        <v>24181</v>
      </c>
      <c r="F5949" t="s">
        <v>32664</v>
      </c>
      <c r="G5949" t="s">
        <v>32671</v>
      </c>
      <c r="H5949" t="s">
        <v>12635</v>
      </c>
      <c r="I5949" t="s">
        <v>8797</v>
      </c>
      <c r="J5949" t="s">
        <v>36536</v>
      </c>
      <c r="K5949" t="s">
        <v>42284</v>
      </c>
      <c r="M5949" t="s">
        <v>44718</v>
      </c>
      <c r="N5949" t="s">
        <v>46569</v>
      </c>
      <c r="O5949" t="s">
        <v>46570</v>
      </c>
      <c r="P5949">
        <v>0</v>
      </c>
      <c r="Q5949">
        <v>0</v>
      </c>
      <c r="R5949" t="s">
        <v>46573</v>
      </c>
      <c r="S5949" t="s">
        <v>46705</v>
      </c>
      <c r="T5949" t="s">
        <v>48287</v>
      </c>
      <c r="U5949" t="s">
        <v>53728</v>
      </c>
      <c r="W5949" t="s">
        <v>44718</v>
      </c>
      <c r="X5949" t="s">
        <v>46574</v>
      </c>
    </row>
    <row r="5950" spans="1:24">
      <c r="A5950">
        <f>HYPERLINK("https://www.philgeps.gov.ph/GEPSNONPILOT/Tender/SplashBidNoticeAbstractUI.aspx?menuIndex=3&amp;refID=7060212&amp;Result=3","7060212")</f>
        <v>0</v>
      </c>
      <c r="B5950" t="s">
        <v>817</v>
      </c>
      <c r="C5950" t="s">
        <v>9196</v>
      </c>
      <c r="E5950" t="s">
        <v>24182</v>
      </c>
      <c r="F5950" t="s">
        <v>32664</v>
      </c>
      <c r="G5950" t="s">
        <v>32671</v>
      </c>
      <c r="H5950" t="s">
        <v>12635</v>
      </c>
      <c r="I5950" t="s">
        <v>14442</v>
      </c>
      <c r="J5950" t="s">
        <v>33126</v>
      </c>
      <c r="K5950" t="s">
        <v>42283</v>
      </c>
      <c r="M5950" t="s">
        <v>43412</v>
      </c>
      <c r="N5950" t="s">
        <v>46569</v>
      </c>
      <c r="O5950" t="s">
        <v>46570</v>
      </c>
      <c r="P5950">
        <v>0</v>
      </c>
      <c r="Q5950">
        <v>0</v>
      </c>
      <c r="R5950" t="s">
        <v>46573</v>
      </c>
      <c r="S5950" t="s">
        <v>46705</v>
      </c>
      <c r="T5950" t="s">
        <v>48244</v>
      </c>
      <c r="U5950" t="s">
        <v>53729</v>
      </c>
      <c r="W5950" t="s">
        <v>43412</v>
      </c>
      <c r="X5950" t="s">
        <v>46574</v>
      </c>
    </row>
    <row r="5951" spans="1:24">
      <c r="A5951">
        <f>HYPERLINK("https://www.philgeps.gov.ph/GEPSNONPILOT/Tender/SplashBidNoticeAbstractUI.aspx?menuIndex=3&amp;refID=7060210&amp;Result=3","7060210")</f>
        <v>0</v>
      </c>
      <c r="B5951" t="s">
        <v>673</v>
      </c>
      <c r="C5951" t="s">
        <v>9113</v>
      </c>
      <c r="D5951" t="s">
        <v>18799</v>
      </c>
      <c r="E5951" t="s">
        <v>24183</v>
      </c>
      <c r="F5951" t="s">
        <v>32664</v>
      </c>
      <c r="G5951" t="s">
        <v>32675</v>
      </c>
      <c r="H5951" t="s">
        <v>12635</v>
      </c>
      <c r="I5951" t="s">
        <v>10370</v>
      </c>
      <c r="J5951" t="s">
        <v>32898</v>
      </c>
      <c r="K5951" t="s">
        <v>42283</v>
      </c>
      <c r="M5951" t="s">
        <v>43260</v>
      </c>
      <c r="N5951" t="s">
        <v>46569</v>
      </c>
      <c r="O5951" t="s">
        <v>46570</v>
      </c>
      <c r="P5951">
        <v>0</v>
      </c>
      <c r="Q5951">
        <v>2</v>
      </c>
      <c r="R5951" t="s">
        <v>46573</v>
      </c>
      <c r="S5951" t="s">
        <v>46705</v>
      </c>
      <c r="T5951" t="s">
        <v>48334</v>
      </c>
      <c r="U5951" t="s">
        <v>53659</v>
      </c>
      <c r="W5951" t="s">
        <v>43260</v>
      </c>
      <c r="X5951" t="s">
        <v>46574</v>
      </c>
    </row>
    <row r="5952" spans="1:24">
      <c r="A5952">
        <f>HYPERLINK("https://www.philgeps.gov.ph/GEPSNONPILOT/Tender/SplashBidNoticeAbstractUI.aspx?menuIndex=3&amp;refID=7060183&amp;Result=3","7060183")</f>
        <v>0</v>
      </c>
      <c r="B5952" t="s">
        <v>1574</v>
      </c>
      <c r="C5952" t="s">
        <v>9197</v>
      </c>
      <c r="D5952" t="s">
        <v>18830</v>
      </c>
      <c r="E5952" t="s">
        <v>24184</v>
      </c>
      <c r="F5952" t="s">
        <v>32664</v>
      </c>
      <c r="G5952" t="s">
        <v>32672</v>
      </c>
      <c r="H5952" t="s">
        <v>12635</v>
      </c>
      <c r="I5952" t="s">
        <v>32721</v>
      </c>
      <c r="J5952" t="s">
        <v>36537</v>
      </c>
      <c r="K5952" t="s">
        <v>42289</v>
      </c>
      <c r="M5952" t="s">
        <v>44249</v>
      </c>
      <c r="N5952" t="s">
        <v>46569</v>
      </c>
      <c r="O5952" t="s">
        <v>46570</v>
      </c>
      <c r="Q5952">
        <v>2</v>
      </c>
      <c r="R5952" t="s">
        <v>46573</v>
      </c>
      <c r="S5952" t="s">
        <v>46712</v>
      </c>
      <c r="T5952" t="s">
        <v>48296</v>
      </c>
      <c r="U5952" t="s">
        <v>53730</v>
      </c>
      <c r="V5952" t="s">
        <v>62075</v>
      </c>
      <c r="W5952" t="s">
        <v>44249</v>
      </c>
      <c r="X5952" t="s">
        <v>46574</v>
      </c>
    </row>
    <row r="5953" spans="1:24">
      <c r="A5953">
        <f>HYPERLINK("https://www.philgeps.gov.ph/GEPSNONPILOT/Tender/SplashBidNoticeAbstractUI.aspx?menuIndex=3&amp;refID=7060209&amp;Result=3","7060209")</f>
        <v>0</v>
      </c>
      <c r="B5953" t="s">
        <v>586</v>
      </c>
      <c r="C5953" t="s">
        <v>9198</v>
      </c>
      <c r="D5953" t="s">
        <v>18794</v>
      </c>
      <c r="E5953" t="s">
        <v>9198</v>
      </c>
      <c r="F5953" t="s">
        <v>32664</v>
      </c>
      <c r="G5953" t="s">
        <v>32672</v>
      </c>
      <c r="H5953" t="s">
        <v>12635</v>
      </c>
      <c r="I5953" t="s">
        <v>6628</v>
      </c>
      <c r="J5953" t="s">
        <v>36538</v>
      </c>
      <c r="K5953" t="s">
        <v>42281</v>
      </c>
      <c r="M5953" t="s">
        <v>43166</v>
      </c>
      <c r="N5953" t="s">
        <v>46569</v>
      </c>
      <c r="O5953" t="s">
        <v>46570</v>
      </c>
      <c r="P5953">
        <v>0</v>
      </c>
      <c r="Q5953">
        <v>1</v>
      </c>
      <c r="R5953" t="s">
        <v>46573</v>
      </c>
      <c r="S5953" t="s">
        <v>46705</v>
      </c>
      <c r="T5953" t="s">
        <v>48306</v>
      </c>
      <c r="U5953" t="s">
        <v>53731</v>
      </c>
      <c r="W5953" t="s">
        <v>43166</v>
      </c>
      <c r="X5953" t="s">
        <v>46574</v>
      </c>
    </row>
    <row r="5954" spans="1:24">
      <c r="A5954">
        <f>HYPERLINK("https://www.philgeps.gov.ph/GEPSNONPILOT/Tender/SplashBidNoticeAbstractUI.aspx?menuIndex=3&amp;refID=7060207&amp;Result=3","7060207")</f>
        <v>0</v>
      </c>
      <c r="B5954" t="s">
        <v>1985</v>
      </c>
      <c r="C5954" t="s">
        <v>9199</v>
      </c>
      <c r="D5954" t="s">
        <v>18827</v>
      </c>
      <c r="E5954" t="s">
        <v>24185</v>
      </c>
      <c r="F5954" t="s">
        <v>32664</v>
      </c>
      <c r="G5954" t="s">
        <v>32672</v>
      </c>
      <c r="H5954" t="s">
        <v>32683</v>
      </c>
      <c r="I5954" t="s">
        <v>10627</v>
      </c>
      <c r="J5954" t="s">
        <v>34391</v>
      </c>
      <c r="K5954" t="s">
        <v>42289</v>
      </c>
      <c r="M5954" t="s">
        <v>44719</v>
      </c>
      <c r="N5954" t="s">
        <v>46569</v>
      </c>
      <c r="O5954" t="s">
        <v>46570</v>
      </c>
      <c r="P5954">
        <v>0</v>
      </c>
      <c r="Q5954">
        <v>2</v>
      </c>
      <c r="R5954" t="s">
        <v>46573</v>
      </c>
      <c r="S5954" t="s">
        <v>46705</v>
      </c>
      <c r="T5954" t="s">
        <v>48280</v>
      </c>
      <c r="U5954" t="s">
        <v>53732</v>
      </c>
      <c r="W5954" t="s">
        <v>44719</v>
      </c>
      <c r="X5954" t="s">
        <v>46574</v>
      </c>
    </row>
    <row r="5955" spans="1:24">
      <c r="A5955">
        <f>HYPERLINK("https://www.philgeps.gov.ph/GEPSNONPILOT/Tender/SplashBidNoticeAbstractUI.aspx?menuIndex=3&amp;refID=7060203&amp;Result=3","7060203")</f>
        <v>0</v>
      </c>
      <c r="B5955" t="s">
        <v>1986</v>
      </c>
      <c r="C5955" t="s">
        <v>9200</v>
      </c>
      <c r="D5955" t="s">
        <v>18785</v>
      </c>
      <c r="E5955" t="s">
        <v>18889</v>
      </c>
      <c r="F5955" t="s">
        <v>32664</v>
      </c>
      <c r="G5955" t="s">
        <v>32672</v>
      </c>
      <c r="H5955" t="s">
        <v>12635</v>
      </c>
      <c r="I5955" t="s">
        <v>32700</v>
      </c>
      <c r="J5955" t="s">
        <v>34148</v>
      </c>
      <c r="K5955" t="s">
        <v>42351</v>
      </c>
      <c r="M5955" t="s">
        <v>44720</v>
      </c>
      <c r="N5955" t="s">
        <v>46569</v>
      </c>
      <c r="O5955" t="s">
        <v>46570</v>
      </c>
      <c r="P5955">
        <v>0</v>
      </c>
      <c r="Q5955">
        <v>1</v>
      </c>
      <c r="R5955" t="s">
        <v>46573</v>
      </c>
      <c r="S5955" t="s">
        <v>46705</v>
      </c>
      <c r="T5955" t="s">
        <v>48349</v>
      </c>
      <c r="U5955" t="s">
        <v>53733</v>
      </c>
      <c r="W5955" t="s">
        <v>44720</v>
      </c>
      <c r="X5955" t="s">
        <v>46574</v>
      </c>
    </row>
    <row r="5956" spans="1:24">
      <c r="A5956">
        <f>HYPERLINK("https://www.philgeps.gov.ph/GEPSNONPILOT/Tender/SplashBidNoticeAbstractUI.aspx?menuIndex=3&amp;refID=7060202&amp;Result=3","7060202")</f>
        <v>0</v>
      </c>
      <c r="B5956" t="s">
        <v>1987</v>
      </c>
      <c r="C5956" t="s">
        <v>9201</v>
      </c>
      <c r="D5956" t="s">
        <v>18827</v>
      </c>
      <c r="E5956" t="s">
        <v>19688</v>
      </c>
      <c r="F5956" t="s">
        <v>32664</v>
      </c>
      <c r="G5956" t="s">
        <v>32674</v>
      </c>
      <c r="H5956" t="s">
        <v>12635</v>
      </c>
      <c r="I5956" t="s">
        <v>8958</v>
      </c>
      <c r="J5956" t="s">
        <v>33295</v>
      </c>
      <c r="K5956" t="s">
        <v>42284</v>
      </c>
      <c r="M5956" t="s">
        <v>44721</v>
      </c>
      <c r="N5956" t="s">
        <v>46569</v>
      </c>
      <c r="O5956" t="s">
        <v>46570</v>
      </c>
      <c r="P5956">
        <v>0</v>
      </c>
      <c r="Q5956">
        <v>0</v>
      </c>
      <c r="R5956" t="s">
        <v>46573</v>
      </c>
      <c r="S5956" t="s">
        <v>46705</v>
      </c>
      <c r="T5956" t="s">
        <v>48254</v>
      </c>
      <c r="U5956" t="s">
        <v>53734</v>
      </c>
      <c r="W5956" t="s">
        <v>44721</v>
      </c>
      <c r="X5956" t="s">
        <v>46574</v>
      </c>
    </row>
    <row r="5957" spans="1:24">
      <c r="A5957">
        <f>HYPERLINK("https://www.philgeps.gov.ph/GEPSNONPILOT/Tender/SplashBidNoticeAbstractUI.aspx?menuIndex=3&amp;refID=7060215&amp;Result=3","7060215")</f>
        <v>0</v>
      </c>
      <c r="B5957" t="s">
        <v>1793</v>
      </c>
      <c r="C5957" t="s">
        <v>9202</v>
      </c>
      <c r="D5957" t="s">
        <v>18784</v>
      </c>
      <c r="E5957" t="s">
        <v>24186</v>
      </c>
      <c r="F5957" t="s">
        <v>32664</v>
      </c>
      <c r="G5957" t="s">
        <v>32671</v>
      </c>
      <c r="H5957" t="s">
        <v>12635</v>
      </c>
      <c r="I5957" t="s">
        <v>8797</v>
      </c>
      <c r="J5957" t="s">
        <v>33269</v>
      </c>
      <c r="K5957" t="s">
        <v>42284</v>
      </c>
      <c r="M5957" t="s">
        <v>44496</v>
      </c>
      <c r="N5957" t="s">
        <v>46569</v>
      </c>
      <c r="O5957" t="s">
        <v>46570</v>
      </c>
      <c r="P5957">
        <v>0</v>
      </c>
      <c r="Q5957">
        <v>8</v>
      </c>
      <c r="R5957" t="s">
        <v>46573</v>
      </c>
      <c r="S5957" t="s">
        <v>46705</v>
      </c>
      <c r="T5957" t="s">
        <v>48290</v>
      </c>
      <c r="U5957" t="s">
        <v>53145</v>
      </c>
      <c r="W5957" t="s">
        <v>44496</v>
      </c>
      <c r="X5957" t="s">
        <v>46574</v>
      </c>
    </row>
    <row r="5958" spans="1:24">
      <c r="A5958">
        <f>HYPERLINK("https://www.philgeps.gov.ph/GEPSNONPILOT/Tender/SplashBidNoticeAbstractUI.aspx?menuIndex=3&amp;refID=7060201&amp;Result=3","7060201")</f>
        <v>0</v>
      </c>
      <c r="B5958" t="s">
        <v>1374</v>
      </c>
      <c r="C5958" t="s">
        <v>9203</v>
      </c>
      <c r="D5958" t="s">
        <v>18821</v>
      </c>
      <c r="E5958" t="s">
        <v>24187</v>
      </c>
      <c r="F5958" t="s">
        <v>32664</v>
      </c>
      <c r="G5958" t="s">
        <v>32672</v>
      </c>
      <c r="H5958" t="s">
        <v>12635</v>
      </c>
      <c r="I5958" t="s">
        <v>10361</v>
      </c>
      <c r="J5958" t="s">
        <v>34585</v>
      </c>
      <c r="K5958" t="s">
        <v>42297</v>
      </c>
      <c r="M5958" t="s">
        <v>44029</v>
      </c>
      <c r="N5958" t="s">
        <v>46569</v>
      </c>
      <c r="O5958" t="s">
        <v>46570</v>
      </c>
      <c r="P5958">
        <v>0</v>
      </c>
      <c r="Q5958">
        <v>0</v>
      </c>
      <c r="R5958" t="s">
        <v>46573</v>
      </c>
      <c r="S5958" t="s">
        <v>46705</v>
      </c>
      <c r="T5958" t="s">
        <v>48368</v>
      </c>
      <c r="U5958" t="s">
        <v>53735</v>
      </c>
      <c r="W5958" t="s">
        <v>44029</v>
      </c>
      <c r="X5958" t="s">
        <v>46574</v>
      </c>
    </row>
    <row r="5959" spans="1:24">
      <c r="A5959">
        <f>HYPERLINK("https://www.philgeps.gov.ph/GEPSNONPILOT/Tender/SplashBidNoticeAbstractUI.aspx?menuIndex=3&amp;refID=7060072&amp;Result=3","7060072")</f>
        <v>0</v>
      </c>
      <c r="B5959" t="s">
        <v>1374</v>
      </c>
      <c r="C5959" t="s">
        <v>9073</v>
      </c>
      <c r="D5959" t="s">
        <v>18821</v>
      </c>
      <c r="E5959" t="s">
        <v>24188</v>
      </c>
      <c r="F5959" t="s">
        <v>32664</v>
      </c>
      <c r="G5959" t="s">
        <v>32672</v>
      </c>
      <c r="H5959" t="s">
        <v>12635</v>
      </c>
      <c r="I5959" t="s">
        <v>10361</v>
      </c>
      <c r="J5959" t="s">
        <v>33126</v>
      </c>
      <c r="K5959" t="s">
        <v>42297</v>
      </c>
      <c r="M5959" t="s">
        <v>44029</v>
      </c>
      <c r="N5959" t="s">
        <v>46569</v>
      </c>
      <c r="O5959" t="s">
        <v>46570</v>
      </c>
      <c r="P5959">
        <v>0</v>
      </c>
      <c r="Q5959">
        <v>0</v>
      </c>
      <c r="R5959" t="s">
        <v>46573</v>
      </c>
      <c r="S5959" t="s">
        <v>46705</v>
      </c>
      <c r="T5959" t="s">
        <v>48245</v>
      </c>
      <c r="U5959" t="s">
        <v>51729</v>
      </c>
      <c r="W5959" t="s">
        <v>44029</v>
      </c>
      <c r="X5959" t="s">
        <v>46574</v>
      </c>
    </row>
    <row r="5960" spans="1:24">
      <c r="A5960">
        <f>HYPERLINK("https://www.philgeps.gov.ph/GEPSNONPILOT/Tender/SplashBidNoticeAbstractUI.aspx?menuIndex=3&amp;refID=7060204&amp;Result=3","7060204")</f>
        <v>0</v>
      </c>
      <c r="B5960" t="s">
        <v>1684</v>
      </c>
      <c r="C5960" t="s">
        <v>9204</v>
      </c>
      <c r="D5960" t="s">
        <v>18805</v>
      </c>
      <c r="E5960" t="s">
        <v>24189</v>
      </c>
      <c r="F5960" t="s">
        <v>32664</v>
      </c>
      <c r="G5960" t="s">
        <v>32671</v>
      </c>
      <c r="H5960" t="s">
        <v>12635</v>
      </c>
      <c r="I5960" t="s">
        <v>32778</v>
      </c>
      <c r="J5960" t="s">
        <v>33095</v>
      </c>
      <c r="K5960" t="s">
        <v>42284</v>
      </c>
      <c r="M5960" t="s">
        <v>44373</v>
      </c>
      <c r="N5960" t="s">
        <v>46569</v>
      </c>
      <c r="O5960" t="s">
        <v>46570</v>
      </c>
      <c r="P5960">
        <v>0</v>
      </c>
      <c r="Q5960">
        <v>0</v>
      </c>
      <c r="R5960" t="s">
        <v>46573</v>
      </c>
      <c r="S5960" t="s">
        <v>46705</v>
      </c>
      <c r="T5960" t="s">
        <v>48254</v>
      </c>
      <c r="U5960" t="s">
        <v>53736</v>
      </c>
      <c r="W5960" t="s">
        <v>44373</v>
      </c>
      <c r="X5960" t="s">
        <v>46574</v>
      </c>
    </row>
    <row r="5961" spans="1:24">
      <c r="A5961">
        <f>HYPERLINK("https://www.philgeps.gov.ph/GEPSNONPILOT/Tender/SplashBidNoticeAbstractUI.aspx?menuIndex=3&amp;refID=7060216&amp;Result=3","7060216")</f>
        <v>0</v>
      </c>
      <c r="B5961" t="s">
        <v>135</v>
      </c>
      <c r="C5961" t="s">
        <v>9205</v>
      </c>
      <c r="D5961" t="s">
        <v>18807</v>
      </c>
      <c r="E5961" t="s">
        <v>24190</v>
      </c>
      <c r="F5961" t="s">
        <v>32664</v>
      </c>
      <c r="G5961" t="s">
        <v>32672</v>
      </c>
      <c r="H5961" t="s">
        <v>12635</v>
      </c>
      <c r="I5961" t="s">
        <v>32706</v>
      </c>
      <c r="J5961" t="s">
        <v>33710</v>
      </c>
      <c r="K5961" t="s">
        <v>42281</v>
      </c>
      <c r="M5961" t="s">
        <v>42852</v>
      </c>
      <c r="N5961" t="s">
        <v>46569</v>
      </c>
      <c r="O5961" t="s">
        <v>46570</v>
      </c>
      <c r="P5961">
        <v>0</v>
      </c>
      <c r="Q5961">
        <v>0</v>
      </c>
      <c r="R5961" t="s">
        <v>46573</v>
      </c>
      <c r="S5961" t="s">
        <v>46705</v>
      </c>
      <c r="T5961" t="s">
        <v>48228</v>
      </c>
      <c r="U5961" t="s">
        <v>49250</v>
      </c>
      <c r="V5961" t="s">
        <v>61650</v>
      </c>
      <c r="W5961" t="s">
        <v>42852</v>
      </c>
      <c r="X5961" t="s">
        <v>46574</v>
      </c>
    </row>
    <row r="5962" spans="1:24">
      <c r="A5962">
        <f>HYPERLINK("https://www.philgeps.gov.ph/GEPSNONPILOT/Tender/SplashBidNoticeAbstractUI.aspx?menuIndex=3&amp;refID=7060199&amp;Result=3","7060199")</f>
        <v>0</v>
      </c>
      <c r="B5962" t="s">
        <v>135</v>
      </c>
      <c r="C5962" t="s">
        <v>9206</v>
      </c>
      <c r="D5962" t="s">
        <v>18807</v>
      </c>
      <c r="E5962" t="s">
        <v>24191</v>
      </c>
      <c r="F5962" t="s">
        <v>32664</v>
      </c>
      <c r="G5962" t="s">
        <v>32672</v>
      </c>
      <c r="H5962" t="s">
        <v>12635</v>
      </c>
      <c r="I5962" t="s">
        <v>32706</v>
      </c>
      <c r="J5962" t="s">
        <v>33710</v>
      </c>
      <c r="K5962" t="s">
        <v>42281</v>
      </c>
      <c r="M5962" t="s">
        <v>42852</v>
      </c>
      <c r="N5962" t="s">
        <v>46569</v>
      </c>
      <c r="O5962" t="s">
        <v>46570</v>
      </c>
      <c r="P5962">
        <v>0</v>
      </c>
      <c r="Q5962">
        <v>0</v>
      </c>
      <c r="R5962" t="s">
        <v>46573</v>
      </c>
      <c r="S5962" t="s">
        <v>46705</v>
      </c>
      <c r="T5962" t="s">
        <v>48228</v>
      </c>
      <c r="U5962" t="s">
        <v>49250</v>
      </c>
      <c r="V5962" t="s">
        <v>61650</v>
      </c>
      <c r="W5962" t="s">
        <v>42852</v>
      </c>
      <c r="X5962" t="s">
        <v>46574</v>
      </c>
    </row>
    <row r="5963" spans="1:24">
      <c r="A5963">
        <f>HYPERLINK("https://www.philgeps.gov.ph/GEPSNONPILOT/Tender/SplashBidNoticeAbstractUI.aspx?menuIndex=3&amp;refID=7060219&amp;Result=3","7060219")</f>
        <v>0</v>
      </c>
      <c r="B5963" t="s">
        <v>1980</v>
      </c>
      <c r="C5963" t="s">
        <v>9207</v>
      </c>
      <c r="D5963" t="s">
        <v>18798</v>
      </c>
      <c r="E5963" t="s">
        <v>20150</v>
      </c>
      <c r="F5963" t="s">
        <v>32664</v>
      </c>
      <c r="G5963" t="s">
        <v>32671</v>
      </c>
      <c r="H5963" t="s">
        <v>12635</v>
      </c>
      <c r="I5963" t="s">
        <v>32684</v>
      </c>
      <c r="J5963" t="s">
        <v>36539</v>
      </c>
      <c r="K5963" t="s">
        <v>42295</v>
      </c>
      <c r="M5963" t="s">
        <v>44714</v>
      </c>
      <c r="N5963" t="s">
        <v>46569</v>
      </c>
      <c r="O5963" t="s">
        <v>46570</v>
      </c>
      <c r="P5963">
        <v>0</v>
      </c>
      <c r="Q5963">
        <v>2</v>
      </c>
      <c r="R5963" t="s">
        <v>46573</v>
      </c>
      <c r="S5963" t="s">
        <v>46705</v>
      </c>
      <c r="T5963" t="s">
        <v>48217</v>
      </c>
      <c r="U5963" t="s">
        <v>53737</v>
      </c>
      <c r="W5963" t="s">
        <v>44714</v>
      </c>
      <c r="X5963" t="s">
        <v>46574</v>
      </c>
    </row>
    <row r="5964" spans="1:24">
      <c r="A5964">
        <f>HYPERLINK("https://www.philgeps.gov.ph/GEPSNONPILOT/Tender/SplashBidNoticeAbstractUI.aspx?menuIndex=3&amp;refID=7060240&amp;Result=3","7060240")</f>
        <v>0</v>
      </c>
      <c r="B5964" t="s">
        <v>189</v>
      </c>
      <c r="C5964" t="s">
        <v>9208</v>
      </c>
      <c r="E5964" t="s">
        <v>24192</v>
      </c>
      <c r="F5964" t="s">
        <v>32664</v>
      </c>
      <c r="G5964" t="s">
        <v>32671</v>
      </c>
      <c r="H5964" t="s">
        <v>12635</v>
      </c>
      <c r="I5964" t="s">
        <v>4997</v>
      </c>
      <c r="J5964" t="s">
        <v>33974</v>
      </c>
      <c r="K5964" t="s">
        <v>42281</v>
      </c>
      <c r="M5964" t="s">
        <v>42753</v>
      </c>
      <c r="N5964" t="s">
        <v>46569</v>
      </c>
      <c r="O5964" t="s">
        <v>46570</v>
      </c>
      <c r="P5964">
        <v>0</v>
      </c>
      <c r="Q5964">
        <v>1</v>
      </c>
      <c r="R5964" t="s">
        <v>46573</v>
      </c>
      <c r="S5964" t="s">
        <v>46705</v>
      </c>
      <c r="T5964" t="s">
        <v>48246</v>
      </c>
      <c r="U5964" t="s">
        <v>53738</v>
      </c>
      <c r="W5964" t="s">
        <v>42753</v>
      </c>
      <c r="X5964" t="s">
        <v>46574</v>
      </c>
    </row>
    <row r="5965" spans="1:24">
      <c r="A5965">
        <f>HYPERLINK("https://www.philgeps.gov.ph/GEPSNONPILOT/Tender/SplashBidNoticeAbstractUI.aspx?menuIndex=3&amp;refID=7060217&amp;Result=3","7060217")</f>
        <v>0</v>
      </c>
      <c r="B5965" t="s">
        <v>1944</v>
      </c>
      <c r="C5965" t="s">
        <v>9209</v>
      </c>
      <c r="D5965" t="s">
        <v>18806</v>
      </c>
      <c r="E5965" t="s">
        <v>24193</v>
      </c>
      <c r="F5965" t="s">
        <v>32664</v>
      </c>
      <c r="G5965" t="s">
        <v>32672</v>
      </c>
      <c r="H5965" t="s">
        <v>12635</v>
      </c>
      <c r="I5965" t="s">
        <v>4439</v>
      </c>
      <c r="J5965" t="s">
        <v>36540</v>
      </c>
      <c r="K5965" t="s">
        <v>42297</v>
      </c>
      <c r="M5965" t="s">
        <v>44669</v>
      </c>
      <c r="N5965" t="s">
        <v>46569</v>
      </c>
      <c r="O5965" t="s">
        <v>46570</v>
      </c>
      <c r="P5965">
        <v>0</v>
      </c>
      <c r="Q5965">
        <v>0</v>
      </c>
      <c r="R5965" t="s">
        <v>46573</v>
      </c>
      <c r="S5965" t="s">
        <v>46705</v>
      </c>
      <c r="T5965" t="s">
        <v>48308</v>
      </c>
      <c r="U5965" t="s">
        <v>53739</v>
      </c>
      <c r="V5965" t="s">
        <v>62224</v>
      </c>
      <c r="W5965" t="s">
        <v>44669</v>
      </c>
      <c r="X5965" t="s">
        <v>46574</v>
      </c>
    </row>
    <row r="5966" spans="1:24">
      <c r="A5966">
        <f>HYPERLINK("https://www.philgeps.gov.ph/GEPSNONPILOT/Tender/SplashBidNoticeAbstractUI.aspx?menuIndex=3&amp;refID=7060238&amp;Result=3","7060238")</f>
        <v>0</v>
      </c>
      <c r="B5966" t="s">
        <v>1944</v>
      </c>
      <c r="C5966" t="s">
        <v>9210</v>
      </c>
      <c r="D5966" t="s">
        <v>18806</v>
      </c>
      <c r="E5966" t="s">
        <v>24194</v>
      </c>
      <c r="F5966" t="s">
        <v>32664</v>
      </c>
      <c r="G5966" t="s">
        <v>32672</v>
      </c>
      <c r="H5966" t="s">
        <v>12635</v>
      </c>
      <c r="I5966" t="s">
        <v>4439</v>
      </c>
      <c r="J5966" t="s">
        <v>36541</v>
      </c>
      <c r="K5966" t="s">
        <v>42297</v>
      </c>
      <c r="M5966" t="s">
        <v>44669</v>
      </c>
      <c r="N5966" t="s">
        <v>46569</v>
      </c>
      <c r="O5966" t="s">
        <v>46570</v>
      </c>
      <c r="P5966">
        <v>0</v>
      </c>
      <c r="Q5966">
        <v>0</v>
      </c>
      <c r="R5966" t="s">
        <v>46573</v>
      </c>
      <c r="S5966" t="s">
        <v>46705</v>
      </c>
      <c r="T5966" t="s">
        <v>48308</v>
      </c>
      <c r="U5966" t="s">
        <v>53740</v>
      </c>
      <c r="V5966" t="s">
        <v>62224</v>
      </c>
      <c r="W5966" t="s">
        <v>44669</v>
      </c>
      <c r="X5966" t="s">
        <v>46574</v>
      </c>
    </row>
    <row r="5967" spans="1:24">
      <c r="A5967">
        <f>HYPERLINK("https://www.philgeps.gov.ph/GEPSNONPILOT/Tender/SplashBidNoticeAbstractUI.aspx?menuIndex=3&amp;refID=7060239&amp;Result=3","7060239")</f>
        <v>0</v>
      </c>
      <c r="B5967" t="s">
        <v>817</v>
      </c>
      <c r="C5967" t="s">
        <v>9211</v>
      </c>
      <c r="E5967" t="s">
        <v>24195</v>
      </c>
      <c r="F5967" t="s">
        <v>32664</v>
      </c>
      <c r="G5967" t="s">
        <v>32671</v>
      </c>
      <c r="H5967" t="s">
        <v>12635</v>
      </c>
      <c r="I5967" t="s">
        <v>14442</v>
      </c>
      <c r="J5967" t="s">
        <v>36542</v>
      </c>
      <c r="K5967" t="s">
        <v>42283</v>
      </c>
      <c r="M5967" t="s">
        <v>43412</v>
      </c>
      <c r="N5967" t="s">
        <v>46569</v>
      </c>
      <c r="O5967" t="s">
        <v>46570</v>
      </c>
      <c r="P5967">
        <v>0</v>
      </c>
      <c r="Q5967">
        <v>2</v>
      </c>
      <c r="R5967" t="s">
        <v>46573</v>
      </c>
      <c r="S5967" t="s">
        <v>46705</v>
      </c>
      <c r="T5967" t="s">
        <v>48244</v>
      </c>
      <c r="U5967" t="s">
        <v>53741</v>
      </c>
      <c r="W5967" t="s">
        <v>43412</v>
      </c>
      <c r="X5967" t="s">
        <v>46574</v>
      </c>
    </row>
    <row r="5968" spans="1:24">
      <c r="A5968">
        <f>HYPERLINK("https://www.philgeps.gov.ph/GEPSNONPILOT/Tender/SplashBidNoticeAbstractUI.aspx?menuIndex=3&amp;refID=7060235&amp;Result=3","7060235")</f>
        <v>0</v>
      </c>
      <c r="B5968" t="s">
        <v>1974</v>
      </c>
      <c r="C5968" t="s">
        <v>9212</v>
      </c>
      <c r="D5968" t="s">
        <v>18857</v>
      </c>
      <c r="E5968" t="s">
        <v>21739</v>
      </c>
      <c r="F5968" t="s">
        <v>32664</v>
      </c>
      <c r="G5968" t="s">
        <v>32671</v>
      </c>
      <c r="H5968" t="s">
        <v>12635</v>
      </c>
      <c r="I5968" t="s">
        <v>32685</v>
      </c>
      <c r="J5968" t="s">
        <v>36543</v>
      </c>
      <c r="K5968" t="s">
        <v>42289</v>
      </c>
      <c r="M5968" t="s">
        <v>44708</v>
      </c>
      <c r="N5968" t="s">
        <v>46569</v>
      </c>
      <c r="O5968" t="s">
        <v>46570</v>
      </c>
      <c r="P5968">
        <v>0</v>
      </c>
      <c r="Q5968">
        <v>0</v>
      </c>
      <c r="R5968" t="s">
        <v>46573</v>
      </c>
      <c r="S5968" t="s">
        <v>46705</v>
      </c>
      <c r="T5968" t="s">
        <v>48287</v>
      </c>
      <c r="U5968" t="s">
        <v>53742</v>
      </c>
      <c r="W5968" t="s">
        <v>44708</v>
      </c>
      <c r="X5968" t="s">
        <v>46574</v>
      </c>
    </row>
    <row r="5969" spans="1:24">
      <c r="A5969">
        <f>HYPERLINK("https://www.philgeps.gov.ph/GEPSNONPILOT/Tender/SplashBidNoticeAbstractUI.aspx?menuIndex=3&amp;refID=7060243&amp;Result=3","7060243")</f>
        <v>0</v>
      </c>
      <c r="B5969" t="s">
        <v>721</v>
      </c>
      <c r="C5969" t="s">
        <v>9213</v>
      </c>
      <c r="D5969" t="s">
        <v>18860</v>
      </c>
      <c r="E5969" t="s">
        <v>24196</v>
      </c>
      <c r="F5969" t="s">
        <v>32664</v>
      </c>
      <c r="G5969" t="s">
        <v>32674</v>
      </c>
      <c r="H5969" t="s">
        <v>12635</v>
      </c>
      <c r="I5969" t="s">
        <v>32721</v>
      </c>
      <c r="J5969" t="s">
        <v>36544</v>
      </c>
      <c r="K5969" t="s">
        <v>42281</v>
      </c>
      <c r="M5969" t="s">
        <v>43308</v>
      </c>
      <c r="N5969" t="s">
        <v>46569</v>
      </c>
      <c r="O5969" t="s">
        <v>46570</v>
      </c>
      <c r="P5969">
        <v>0</v>
      </c>
      <c r="Q5969">
        <v>1</v>
      </c>
      <c r="R5969" t="s">
        <v>46573</v>
      </c>
      <c r="S5969" t="s">
        <v>46705</v>
      </c>
      <c r="T5969" t="s">
        <v>48287</v>
      </c>
      <c r="U5969" t="s">
        <v>53743</v>
      </c>
      <c r="W5969" t="s">
        <v>43308</v>
      </c>
      <c r="X5969" t="s">
        <v>46574</v>
      </c>
    </row>
    <row r="5970" spans="1:24">
      <c r="A5970">
        <f>HYPERLINK("https://www.philgeps.gov.ph/GEPSNONPILOT/Tender/SplashBidNoticeAbstractUI.aspx?menuIndex=3&amp;refID=7060232&amp;Result=3","7060232")</f>
        <v>0</v>
      </c>
      <c r="B5970" t="s">
        <v>1988</v>
      </c>
      <c r="C5970" t="s">
        <v>9214</v>
      </c>
      <c r="D5970" t="s">
        <v>18830</v>
      </c>
      <c r="E5970" t="s">
        <v>24197</v>
      </c>
      <c r="F5970" t="s">
        <v>32664</v>
      </c>
      <c r="G5970" t="s">
        <v>32671</v>
      </c>
      <c r="H5970" t="s">
        <v>12635</v>
      </c>
      <c r="I5970" t="s">
        <v>32691</v>
      </c>
      <c r="J5970" t="s">
        <v>33008</v>
      </c>
      <c r="K5970" t="s">
        <v>42289</v>
      </c>
      <c r="M5970" t="s">
        <v>44722</v>
      </c>
      <c r="N5970" t="s">
        <v>46569</v>
      </c>
      <c r="O5970" t="s">
        <v>46570</v>
      </c>
      <c r="P5970">
        <v>0</v>
      </c>
      <c r="Q5970">
        <v>4</v>
      </c>
      <c r="R5970" t="s">
        <v>46573</v>
      </c>
      <c r="S5970" t="s">
        <v>46705</v>
      </c>
      <c r="T5970" t="s">
        <v>48290</v>
      </c>
      <c r="U5970" t="s">
        <v>49952</v>
      </c>
      <c r="W5970" t="s">
        <v>44722</v>
      </c>
      <c r="X5970" t="s">
        <v>46574</v>
      </c>
    </row>
    <row r="5971" spans="1:24">
      <c r="A5971">
        <f>HYPERLINK("https://www.philgeps.gov.ph/GEPSNONPILOT/Tender/SplashBidNoticeAbstractUI.aspx?menuIndex=3&amp;refID=7060236&amp;Result=3","7060236")</f>
        <v>0</v>
      </c>
      <c r="B5971" t="s">
        <v>848</v>
      </c>
      <c r="C5971" t="s">
        <v>9215</v>
      </c>
      <c r="D5971" t="s">
        <v>18791</v>
      </c>
      <c r="E5971" t="s">
        <v>24198</v>
      </c>
      <c r="F5971" t="s">
        <v>32664</v>
      </c>
      <c r="G5971" t="s">
        <v>32671</v>
      </c>
      <c r="H5971" t="s">
        <v>12635</v>
      </c>
      <c r="I5971" t="s">
        <v>5589</v>
      </c>
      <c r="J5971" t="s">
        <v>33008</v>
      </c>
      <c r="K5971" t="s">
        <v>42284</v>
      </c>
      <c r="M5971" t="s">
        <v>43444</v>
      </c>
      <c r="N5971" t="s">
        <v>46569</v>
      </c>
      <c r="O5971" t="s">
        <v>46570</v>
      </c>
      <c r="P5971">
        <v>0</v>
      </c>
      <c r="Q5971">
        <v>7</v>
      </c>
      <c r="R5971" t="s">
        <v>46573</v>
      </c>
      <c r="S5971" t="s">
        <v>46705</v>
      </c>
      <c r="T5971" t="s">
        <v>48492</v>
      </c>
      <c r="U5971" t="s">
        <v>50421</v>
      </c>
      <c r="W5971" t="s">
        <v>43444</v>
      </c>
      <c r="X5971" t="s">
        <v>46574</v>
      </c>
    </row>
    <row r="5972" spans="1:24">
      <c r="A5972">
        <f>HYPERLINK("https://www.philgeps.gov.ph/GEPSNONPILOT/Tender/SplashBidNoticeAbstractUI.aspx?menuIndex=3&amp;refID=7060231&amp;Result=3","7060231")</f>
        <v>0</v>
      </c>
      <c r="B5972" t="s">
        <v>586</v>
      </c>
      <c r="C5972" t="s">
        <v>9216</v>
      </c>
      <c r="D5972" t="s">
        <v>18794</v>
      </c>
      <c r="E5972" t="s">
        <v>24199</v>
      </c>
      <c r="F5972" t="s">
        <v>32664</v>
      </c>
      <c r="G5972" t="s">
        <v>32672</v>
      </c>
      <c r="H5972" t="s">
        <v>12635</v>
      </c>
      <c r="I5972" t="s">
        <v>5589</v>
      </c>
      <c r="J5972" t="s">
        <v>35831</v>
      </c>
      <c r="K5972" t="s">
        <v>42281</v>
      </c>
      <c r="M5972" t="s">
        <v>43166</v>
      </c>
      <c r="N5972" t="s">
        <v>46569</v>
      </c>
      <c r="O5972" t="s">
        <v>46570</v>
      </c>
      <c r="P5972">
        <v>0</v>
      </c>
      <c r="Q5972">
        <v>1</v>
      </c>
      <c r="R5972" t="s">
        <v>46573</v>
      </c>
      <c r="S5972" t="s">
        <v>46705</v>
      </c>
      <c r="T5972" t="s">
        <v>48306</v>
      </c>
      <c r="U5972" t="s">
        <v>53744</v>
      </c>
      <c r="W5972" t="s">
        <v>43166</v>
      </c>
      <c r="X5972" t="s">
        <v>46574</v>
      </c>
    </row>
    <row r="5973" spans="1:24">
      <c r="A5973">
        <f>HYPERLINK("https://www.philgeps.gov.ph/GEPSNONPILOT/Tender/SplashBidNoticeAbstractUI.aspx?menuIndex=3&amp;refID=7060229&amp;Result=3","7060229")</f>
        <v>0</v>
      </c>
      <c r="B5973" t="s">
        <v>1600</v>
      </c>
      <c r="C5973" t="s">
        <v>9217</v>
      </c>
      <c r="D5973" t="s">
        <v>18835</v>
      </c>
      <c r="E5973" t="s">
        <v>24200</v>
      </c>
      <c r="F5973" t="s">
        <v>32664</v>
      </c>
      <c r="G5973" t="s">
        <v>32674</v>
      </c>
      <c r="H5973" t="s">
        <v>12635</v>
      </c>
      <c r="I5973" t="s">
        <v>6168</v>
      </c>
      <c r="J5973" t="s">
        <v>33049</v>
      </c>
      <c r="K5973" t="s">
        <v>42289</v>
      </c>
      <c r="M5973" t="s">
        <v>44277</v>
      </c>
      <c r="N5973" t="s">
        <v>46569</v>
      </c>
      <c r="O5973" t="s">
        <v>46570</v>
      </c>
      <c r="P5973">
        <v>0</v>
      </c>
      <c r="Q5973">
        <v>0</v>
      </c>
      <c r="R5973" t="s">
        <v>46573</v>
      </c>
      <c r="S5973" t="s">
        <v>46705</v>
      </c>
      <c r="T5973" t="s">
        <v>48287</v>
      </c>
      <c r="U5973" t="s">
        <v>53745</v>
      </c>
      <c r="W5973" t="s">
        <v>44277</v>
      </c>
      <c r="X5973" t="s">
        <v>46574</v>
      </c>
    </row>
    <row r="5974" spans="1:24">
      <c r="A5974">
        <f>HYPERLINK("https://www.philgeps.gov.ph/GEPSNONPILOT/Tender/SplashBidNoticeAbstractUI.aspx?menuIndex=3&amp;refID=7060071&amp;Result=3","7060071")</f>
        <v>0</v>
      </c>
      <c r="B5974" t="s">
        <v>396</v>
      </c>
      <c r="C5974" t="s">
        <v>9218</v>
      </c>
      <c r="D5974" t="s">
        <v>18790</v>
      </c>
      <c r="E5974" t="s">
        <v>24201</v>
      </c>
      <c r="F5974" t="s">
        <v>32664</v>
      </c>
      <c r="G5974" t="s">
        <v>32672</v>
      </c>
      <c r="H5974" t="s">
        <v>12635</v>
      </c>
      <c r="I5974" t="s">
        <v>32689</v>
      </c>
      <c r="J5974" t="s">
        <v>36545</v>
      </c>
      <c r="K5974" t="s">
        <v>42297</v>
      </c>
      <c r="M5974" t="s">
        <v>42966</v>
      </c>
      <c r="N5974" t="s">
        <v>46569</v>
      </c>
      <c r="O5974" t="s">
        <v>46570</v>
      </c>
      <c r="P5974">
        <v>0</v>
      </c>
      <c r="Q5974">
        <v>0</v>
      </c>
      <c r="R5974" t="s">
        <v>46573</v>
      </c>
      <c r="S5974" t="s">
        <v>46705</v>
      </c>
      <c r="T5974" t="s">
        <v>48283</v>
      </c>
      <c r="U5974" t="s">
        <v>53746</v>
      </c>
      <c r="W5974" t="s">
        <v>42966</v>
      </c>
      <c r="X5974" t="s">
        <v>46574</v>
      </c>
    </row>
    <row r="5975" spans="1:24">
      <c r="A5975">
        <f>HYPERLINK("https://www.philgeps.gov.ph/GEPSNONPILOT/Tender/SplashBidNoticeAbstractUI.aspx?menuIndex=3&amp;refID=7060227&amp;Result=3","7060227")</f>
        <v>0</v>
      </c>
      <c r="B5975" t="s">
        <v>1989</v>
      </c>
      <c r="C5975" t="s">
        <v>3908</v>
      </c>
      <c r="D5975" t="s">
        <v>18818</v>
      </c>
      <c r="E5975" t="s">
        <v>24202</v>
      </c>
      <c r="F5975" t="s">
        <v>32664</v>
      </c>
      <c r="G5975" t="s">
        <v>32671</v>
      </c>
      <c r="H5975" t="s">
        <v>12635</v>
      </c>
      <c r="I5975" t="s">
        <v>10361</v>
      </c>
      <c r="J5975" t="s">
        <v>32984</v>
      </c>
      <c r="K5975" t="s">
        <v>42281</v>
      </c>
      <c r="M5975" t="s">
        <v>44723</v>
      </c>
      <c r="N5975" t="s">
        <v>46569</v>
      </c>
      <c r="O5975" t="s">
        <v>46570</v>
      </c>
      <c r="P5975">
        <v>0</v>
      </c>
      <c r="Q5975">
        <v>0</v>
      </c>
      <c r="R5975" t="s">
        <v>46573</v>
      </c>
      <c r="S5975" t="s">
        <v>46705</v>
      </c>
      <c r="T5975" t="s">
        <v>48287</v>
      </c>
      <c r="U5975" t="s">
        <v>53747</v>
      </c>
      <c r="W5975" t="s">
        <v>44723</v>
      </c>
      <c r="X5975" t="s">
        <v>46574</v>
      </c>
    </row>
    <row r="5976" spans="1:24">
      <c r="A5976">
        <f>HYPERLINK("https://www.philgeps.gov.ph/GEPSNONPILOT/Tender/SplashBidNoticeAbstractUI.aspx?menuIndex=3&amp;refID=7060224&amp;Result=3","7060224")</f>
        <v>0</v>
      </c>
      <c r="B5976" t="s">
        <v>1962</v>
      </c>
      <c r="C5976" t="s">
        <v>9219</v>
      </c>
      <c r="D5976" t="s">
        <v>18824</v>
      </c>
      <c r="E5976" t="s">
        <v>20277</v>
      </c>
      <c r="F5976" t="s">
        <v>32664</v>
      </c>
      <c r="G5976" t="s">
        <v>32672</v>
      </c>
      <c r="H5976" t="s">
        <v>12635</v>
      </c>
      <c r="I5976" t="s">
        <v>4439</v>
      </c>
      <c r="J5976" t="s">
        <v>36546</v>
      </c>
      <c r="K5976" t="s">
        <v>42305</v>
      </c>
      <c r="M5976" t="s">
        <v>44694</v>
      </c>
      <c r="N5976" t="s">
        <v>46569</v>
      </c>
      <c r="O5976" t="s">
        <v>46570</v>
      </c>
      <c r="P5976">
        <v>0</v>
      </c>
      <c r="Q5976">
        <v>0</v>
      </c>
      <c r="R5976" t="s">
        <v>46573</v>
      </c>
      <c r="S5976" t="s">
        <v>46705</v>
      </c>
      <c r="T5976" t="s">
        <v>48279</v>
      </c>
      <c r="U5976" t="s">
        <v>53662</v>
      </c>
      <c r="W5976" t="s">
        <v>44694</v>
      </c>
      <c r="X5976" t="s">
        <v>46574</v>
      </c>
    </row>
    <row r="5977" spans="1:24">
      <c r="A5977">
        <f>HYPERLINK("https://www.philgeps.gov.ph/GEPSNONPILOT/Tender/SplashBidNoticeAbstractUI.aspx?menuIndex=3&amp;refID=7060237&amp;Result=3","7060237")</f>
        <v>0</v>
      </c>
      <c r="B5977" t="s">
        <v>1989</v>
      </c>
      <c r="C5977" t="s">
        <v>3908</v>
      </c>
      <c r="D5977" t="s">
        <v>18818</v>
      </c>
      <c r="E5977" t="s">
        <v>24203</v>
      </c>
      <c r="F5977" t="s">
        <v>32664</v>
      </c>
      <c r="G5977" t="s">
        <v>32671</v>
      </c>
      <c r="H5977" t="s">
        <v>12635</v>
      </c>
      <c r="I5977" t="s">
        <v>10361</v>
      </c>
      <c r="J5977" t="s">
        <v>32984</v>
      </c>
      <c r="K5977" t="s">
        <v>42311</v>
      </c>
      <c r="M5977" t="s">
        <v>44723</v>
      </c>
      <c r="N5977" t="s">
        <v>46569</v>
      </c>
      <c r="O5977" t="s">
        <v>46570</v>
      </c>
      <c r="P5977">
        <v>0</v>
      </c>
      <c r="Q5977">
        <v>0</v>
      </c>
      <c r="R5977" t="s">
        <v>46573</v>
      </c>
      <c r="S5977" t="s">
        <v>46705</v>
      </c>
      <c r="T5977" t="s">
        <v>48287</v>
      </c>
      <c r="U5977" t="s">
        <v>53747</v>
      </c>
      <c r="W5977" t="s">
        <v>44723</v>
      </c>
      <c r="X5977" t="s">
        <v>46574</v>
      </c>
    </row>
    <row r="5978" spans="1:24">
      <c r="A5978">
        <f>HYPERLINK("https://www.philgeps.gov.ph/GEPSNONPILOT/Tender/SplashBidNoticeAbstractUI.aspx?menuIndex=3&amp;refID=7060221&amp;Result=3","7060221")</f>
        <v>0</v>
      </c>
      <c r="B5978" t="s">
        <v>117</v>
      </c>
      <c r="C5978" t="s">
        <v>9220</v>
      </c>
      <c r="D5978" t="s">
        <v>18799</v>
      </c>
      <c r="E5978" t="s">
        <v>24204</v>
      </c>
      <c r="F5978" t="s">
        <v>32664</v>
      </c>
      <c r="G5978" t="s">
        <v>32672</v>
      </c>
      <c r="H5978" t="s">
        <v>12635</v>
      </c>
      <c r="I5978" t="s">
        <v>32685</v>
      </c>
      <c r="J5978" t="s">
        <v>36547</v>
      </c>
      <c r="K5978" t="s">
        <v>42283</v>
      </c>
      <c r="M5978" t="s">
        <v>44671</v>
      </c>
      <c r="N5978" t="s">
        <v>46569</v>
      </c>
      <c r="O5978" t="s">
        <v>46570</v>
      </c>
      <c r="P5978">
        <v>0</v>
      </c>
      <c r="Q5978">
        <v>4</v>
      </c>
      <c r="R5978" t="s">
        <v>46573</v>
      </c>
      <c r="S5978" t="s">
        <v>46705</v>
      </c>
      <c r="T5978" t="s">
        <v>48272</v>
      </c>
      <c r="U5978" t="s">
        <v>53748</v>
      </c>
      <c r="W5978" t="s">
        <v>44671</v>
      </c>
      <c r="X5978" t="s">
        <v>46574</v>
      </c>
    </row>
    <row r="5979" spans="1:24">
      <c r="A5979">
        <f>HYPERLINK("https://www.philgeps.gov.ph/GEPSNONPILOT/Tender/SplashBidNoticeAbstractUI.aspx?menuIndex=3&amp;refID=7060228&amp;Result=3","7060228")</f>
        <v>0</v>
      </c>
      <c r="B5979" t="s">
        <v>135</v>
      </c>
      <c r="C5979" t="s">
        <v>9221</v>
      </c>
      <c r="D5979" t="s">
        <v>18807</v>
      </c>
      <c r="E5979" t="s">
        <v>24205</v>
      </c>
      <c r="F5979" t="s">
        <v>32664</v>
      </c>
      <c r="G5979" t="s">
        <v>32672</v>
      </c>
      <c r="H5979" t="s">
        <v>12635</v>
      </c>
      <c r="I5979" t="s">
        <v>32706</v>
      </c>
      <c r="J5979" t="s">
        <v>33710</v>
      </c>
      <c r="K5979" t="s">
        <v>42281</v>
      </c>
      <c r="M5979" t="s">
        <v>42852</v>
      </c>
      <c r="N5979" t="s">
        <v>46569</v>
      </c>
      <c r="O5979" t="s">
        <v>46570</v>
      </c>
      <c r="P5979">
        <v>0</v>
      </c>
      <c r="Q5979">
        <v>0</v>
      </c>
      <c r="R5979" t="s">
        <v>46573</v>
      </c>
      <c r="S5979" t="s">
        <v>46705</v>
      </c>
      <c r="T5979" t="s">
        <v>48228</v>
      </c>
      <c r="U5979" t="s">
        <v>49250</v>
      </c>
      <c r="V5979" t="s">
        <v>61650</v>
      </c>
      <c r="W5979" t="s">
        <v>42852</v>
      </c>
      <c r="X5979" t="s">
        <v>46574</v>
      </c>
    </row>
    <row r="5980" spans="1:24">
      <c r="A5980">
        <f>HYPERLINK("https://www.philgeps.gov.ph/GEPSNONPILOT/Tender/SplashBidNoticeAbstractUI.aspx?menuIndex=3&amp;refID=7060274&amp;Result=3","7060274")</f>
        <v>0</v>
      </c>
      <c r="B5980" t="s">
        <v>848</v>
      </c>
      <c r="C5980" t="s">
        <v>9222</v>
      </c>
      <c r="D5980" t="s">
        <v>18791</v>
      </c>
      <c r="E5980" t="s">
        <v>24206</v>
      </c>
      <c r="F5980" t="s">
        <v>32664</v>
      </c>
      <c r="G5980" t="s">
        <v>32671</v>
      </c>
      <c r="H5980" t="s">
        <v>12635</v>
      </c>
      <c r="I5980" t="s">
        <v>32689</v>
      </c>
      <c r="J5980" t="s">
        <v>36548</v>
      </c>
      <c r="K5980" t="s">
        <v>42284</v>
      </c>
      <c r="M5980" t="s">
        <v>43444</v>
      </c>
      <c r="N5980" t="s">
        <v>46569</v>
      </c>
      <c r="O5980" t="s">
        <v>46570</v>
      </c>
      <c r="P5980">
        <v>0</v>
      </c>
      <c r="Q5980">
        <v>0</v>
      </c>
      <c r="R5980" t="s">
        <v>46573</v>
      </c>
      <c r="S5980" t="s">
        <v>46705</v>
      </c>
      <c r="T5980" t="s">
        <v>48492</v>
      </c>
      <c r="U5980" t="s">
        <v>50421</v>
      </c>
      <c r="W5980" t="s">
        <v>43444</v>
      </c>
      <c r="X5980" t="s">
        <v>46574</v>
      </c>
    </row>
    <row r="5981" spans="1:24">
      <c r="A5981">
        <f>HYPERLINK("https://www.philgeps.gov.ph/GEPSNONPILOT/Tender/SplashBidNoticeAbstractUI.aspx?menuIndex=3&amp;refID=7060273&amp;Result=3","7060273")</f>
        <v>0</v>
      </c>
      <c r="B5981" t="s">
        <v>631</v>
      </c>
      <c r="C5981" t="s">
        <v>9223</v>
      </c>
      <c r="D5981" t="s">
        <v>18812</v>
      </c>
      <c r="E5981" t="s">
        <v>24207</v>
      </c>
      <c r="F5981" t="s">
        <v>32664</v>
      </c>
      <c r="G5981" t="s">
        <v>32674</v>
      </c>
      <c r="H5981" t="s">
        <v>12635</v>
      </c>
      <c r="I5981" t="s">
        <v>4439</v>
      </c>
      <c r="J5981" t="s">
        <v>36549</v>
      </c>
      <c r="K5981" t="s">
        <v>42281</v>
      </c>
      <c r="L5981" t="s">
        <v>631</v>
      </c>
      <c r="M5981" t="s">
        <v>43213</v>
      </c>
      <c r="N5981" t="s">
        <v>46569</v>
      </c>
      <c r="O5981" t="s">
        <v>46570</v>
      </c>
      <c r="P5981">
        <v>0</v>
      </c>
      <c r="Q5981">
        <v>0</v>
      </c>
      <c r="R5981" t="s">
        <v>46573</v>
      </c>
      <c r="S5981" t="s">
        <v>46705</v>
      </c>
      <c r="T5981" t="s">
        <v>48562</v>
      </c>
      <c r="U5981" t="s">
        <v>53749</v>
      </c>
      <c r="V5981" t="s">
        <v>61780</v>
      </c>
      <c r="W5981" t="s">
        <v>43213</v>
      </c>
      <c r="X5981" t="s">
        <v>46574</v>
      </c>
    </row>
    <row r="5982" spans="1:24">
      <c r="A5982">
        <f>HYPERLINK("https://www.philgeps.gov.ph/GEPSNONPILOT/Tender/SplashBidNoticeAbstractUI.aspx?menuIndex=3&amp;refID=7060226&amp;Result=3","7060226")</f>
        <v>0</v>
      </c>
      <c r="B5982" t="s">
        <v>347</v>
      </c>
      <c r="C5982" t="s">
        <v>9224</v>
      </c>
      <c r="D5982" t="s">
        <v>18792</v>
      </c>
      <c r="E5982" t="s">
        <v>23897</v>
      </c>
      <c r="F5982" t="s">
        <v>32664</v>
      </c>
      <c r="G5982" t="s">
        <v>32672</v>
      </c>
      <c r="H5982" t="s">
        <v>12635</v>
      </c>
      <c r="I5982" t="s">
        <v>32685</v>
      </c>
      <c r="J5982" t="s">
        <v>36550</v>
      </c>
      <c r="K5982" t="s">
        <v>42281</v>
      </c>
      <c r="M5982" t="s">
        <v>42916</v>
      </c>
      <c r="N5982" t="s">
        <v>46569</v>
      </c>
      <c r="O5982" t="s">
        <v>46570</v>
      </c>
      <c r="P5982">
        <v>0</v>
      </c>
      <c r="Q5982">
        <v>0</v>
      </c>
      <c r="R5982" t="s">
        <v>46573</v>
      </c>
      <c r="S5982" t="s">
        <v>46705</v>
      </c>
      <c r="T5982" t="s">
        <v>48220</v>
      </c>
      <c r="U5982" t="s">
        <v>53750</v>
      </c>
      <c r="W5982" t="s">
        <v>42916</v>
      </c>
      <c r="X5982" t="s">
        <v>46574</v>
      </c>
    </row>
    <row r="5983" spans="1:24">
      <c r="A5983">
        <f>HYPERLINK("https://www.philgeps.gov.ph/GEPSNONPILOT/Tender/SplashBidNoticeAbstractUI.aspx?menuIndex=3&amp;refID=7060269&amp;Result=3","7060269")</f>
        <v>0</v>
      </c>
      <c r="B5983" t="s">
        <v>461</v>
      </c>
      <c r="C5983" t="s">
        <v>9225</v>
      </c>
      <c r="D5983" t="s">
        <v>18846</v>
      </c>
      <c r="E5983" t="s">
        <v>24208</v>
      </c>
      <c r="F5983" t="s">
        <v>32664</v>
      </c>
      <c r="G5983" t="s">
        <v>32671</v>
      </c>
      <c r="H5983" t="s">
        <v>12635</v>
      </c>
      <c r="I5983" t="s">
        <v>6168</v>
      </c>
      <c r="J5983" t="s">
        <v>36551</v>
      </c>
      <c r="K5983" t="s">
        <v>42297</v>
      </c>
      <c r="M5983" t="s">
        <v>43034</v>
      </c>
      <c r="N5983" t="s">
        <v>46569</v>
      </c>
      <c r="O5983" t="s">
        <v>46570</v>
      </c>
      <c r="P5983">
        <v>0</v>
      </c>
      <c r="Q5983">
        <v>2</v>
      </c>
      <c r="R5983" t="s">
        <v>46573</v>
      </c>
      <c r="S5983" t="s">
        <v>46705</v>
      </c>
      <c r="T5983" t="s">
        <v>48532</v>
      </c>
      <c r="U5983" t="s">
        <v>53751</v>
      </c>
      <c r="W5983" t="s">
        <v>43034</v>
      </c>
      <c r="X5983" t="s">
        <v>46574</v>
      </c>
    </row>
    <row r="5984" spans="1:24">
      <c r="A5984">
        <f>HYPERLINK("https://www.philgeps.gov.ph/GEPSNONPILOT/Tender/SplashBidNoticeAbstractUI.aspx?menuIndex=3&amp;refID=7060242&amp;Result=3","7060242")</f>
        <v>0</v>
      </c>
      <c r="B5984" t="s">
        <v>1854</v>
      </c>
      <c r="C5984" t="s">
        <v>8754</v>
      </c>
      <c r="D5984" t="s">
        <v>18816</v>
      </c>
      <c r="E5984" t="s">
        <v>24209</v>
      </c>
      <c r="F5984" t="s">
        <v>32664</v>
      </c>
      <c r="G5984" t="s">
        <v>32674</v>
      </c>
      <c r="H5984" t="s">
        <v>12635</v>
      </c>
      <c r="I5984" t="s">
        <v>10590</v>
      </c>
      <c r="J5984" t="s">
        <v>33466</v>
      </c>
      <c r="K5984" t="s">
        <v>42309</v>
      </c>
      <c r="M5984" t="s">
        <v>44565</v>
      </c>
      <c r="N5984" t="s">
        <v>46569</v>
      </c>
      <c r="O5984" t="s">
        <v>46570</v>
      </c>
      <c r="P5984">
        <v>0</v>
      </c>
      <c r="Q5984">
        <v>0</v>
      </c>
      <c r="R5984" t="s">
        <v>46573</v>
      </c>
      <c r="S5984" t="s">
        <v>46705</v>
      </c>
      <c r="T5984" t="s">
        <v>48258</v>
      </c>
      <c r="U5984" t="s">
        <v>53326</v>
      </c>
      <c r="W5984" t="s">
        <v>44565</v>
      </c>
      <c r="X5984" t="s">
        <v>46574</v>
      </c>
    </row>
    <row r="5985" spans="1:24">
      <c r="A5985">
        <f>HYPERLINK("https://www.philgeps.gov.ph/GEPSNONPILOT/Tender/SplashBidNoticeAbstractUI.aspx?menuIndex=3&amp;refID=7060267&amp;Result=3","7060267")</f>
        <v>0</v>
      </c>
      <c r="B5985" t="s">
        <v>1477</v>
      </c>
      <c r="C5985" t="s">
        <v>9226</v>
      </c>
      <c r="D5985" t="s">
        <v>18810</v>
      </c>
      <c r="E5985" t="s">
        <v>24210</v>
      </c>
      <c r="F5985" t="s">
        <v>32664</v>
      </c>
      <c r="G5985" t="s">
        <v>32671</v>
      </c>
      <c r="H5985" t="s">
        <v>12635</v>
      </c>
      <c r="I5985" t="s">
        <v>11464</v>
      </c>
      <c r="J5985" t="s">
        <v>33007</v>
      </c>
      <c r="K5985" t="s">
        <v>42284</v>
      </c>
      <c r="M5985" t="s">
        <v>44140</v>
      </c>
      <c r="N5985" t="s">
        <v>46569</v>
      </c>
      <c r="O5985" t="s">
        <v>46570</v>
      </c>
      <c r="P5985">
        <v>0</v>
      </c>
      <c r="Q5985">
        <v>0</v>
      </c>
      <c r="R5985" t="s">
        <v>46573</v>
      </c>
      <c r="S5985" t="s">
        <v>46705</v>
      </c>
      <c r="T5985" t="s">
        <v>48283</v>
      </c>
      <c r="U5985" t="s">
        <v>53752</v>
      </c>
      <c r="V5985" t="s">
        <v>62233</v>
      </c>
      <c r="W5985" t="s">
        <v>44140</v>
      </c>
      <c r="X5985" t="s">
        <v>46574</v>
      </c>
    </row>
    <row r="5986" spans="1:24">
      <c r="A5986">
        <f>HYPERLINK("https://www.philgeps.gov.ph/GEPSNONPILOT/Tender/SplashBidNoticeAbstractUI.aspx?menuIndex=3&amp;refID=7060266&amp;Result=3","7060266")</f>
        <v>0</v>
      </c>
      <c r="B5986" t="s">
        <v>1410</v>
      </c>
      <c r="C5986" t="s">
        <v>9227</v>
      </c>
      <c r="D5986" t="s">
        <v>18803</v>
      </c>
      <c r="E5986" t="s">
        <v>24211</v>
      </c>
      <c r="F5986" t="s">
        <v>32664</v>
      </c>
      <c r="G5986" t="s">
        <v>32672</v>
      </c>
      <c r="H5986" t="s">
        <v>12635</v>
      </c>
      <c r="I5986" t="s">
        <v>32751</v>
      </c>
      <c r="J5986" t="s">
        <v>36552</v>
      </c>
      <c r="K5986" t="s">
        <v>42283</v>
      </c>
      <c r="M5986" t="s">
        <v>44067</v>
      </c>
      <c r="N5986" t="s">
        <v>46569</v>
      </c>
      <c r="O5986" t="s">
        <v>46570</v>
      </c>
      <c r="P5986">
        <v>0</v>
      </c>
      <c r="Q5986">
        <v>0</v>
      </c>
      <c r="R5986" t="s">
        <v>46573</v>
      </c>
      <c r="S5986" t="s">
        <v>46705</v>
      </c>
      <c r="T5986" t="s">
        <v>48275</v>
      </c>
      <c r="U5986" t="s">
        <v>53753</v>
      </c>
      <c r="V5986" t="s">
        <v>62232</v>
      </c>
      <c r="W5986" t="s">
        <v>44067</v>
      </c>
      <c r="X5986" t="s">
        <v>46574</v>
      </c>
    </row>
    <row r="5987" spans="1:24">
      <c r="A5987">
        <f>HYPERLINK("https://www.philgeps.gov.ph/GEPSNONPILOT/Tender/SplashBidNoticeAbstractUI.aspx?menuIndex=3&amp;refID=7060268&amp;Result=3","7060268")</f>
        <v>0</v>
      </c>
      <c r="B5987" t="s">
        <v>358</v>
      </c>
      <c r="C5987" t="s">
        <v>9228</v>
      </c>
      <c r="D5987" t="s">
        <v>18824</v>
      </c>
      <c r="E5987" t="s">
        <v>19280</v>
      </c>
      <c r="F5987" t="s">
        <v>32664</v>
      </c>
      <c r="G5987" t="s">
        <v>32672</v>
      </c>
      <c r="H5987" t="s">
        <v>12635</v>
      </c>
      <c r="I5987" t="s">
        <v>4439</v>
      </c>
      <c r="J5987" t="s">
        <v>36553</v>
      </c>
      <c r="K5987" t="s">
        <v>42289</v>
      </c>
      <c r="M5987" t="s">
        <v>42927</v>
      </c>
      <c r="N5987" t="s">
        <v>46569</v>
      </c>
      <c r="O5987" t="s">
        <v>46570</v>
      </c>
      <c r="P5987">
        <v>0</v>
      </c>
      <c r="Q5987">
        <v>0</v>
      </c>
      <c r="R5987" t="s">
        <v>46573</v>
      </c>
      <c r="S5987" t="s">
        <v>46705</v>
      </c>
      <c r="T5987" t="s">
        <v>48467</v>
      </c>
      <c r="U5987" t="s">
        <v>53754</v>
      </c>
      <c r="W5987" t="s">
        <v>42927</v>
      </c>
      <c r="X5987" t="s">
        <v>46574</v>
      </c>
    </row>
    <row r="5988" spans="1:24">
      <c r="A5988">
        <f>HYPERLINK("https://www.philgeps.gov.ph/GEPSNONPILOT/Tender/SplashBidNoticeAbstractUI.aspx?menuIndex=3&amp;refID=7060263&amp;Result=3","7060263")</f>
        <v>0</v>
      </c>
      <c r="B5988" t="s">
        <v>1990</v>
      </c>
      <c r="C5988" t="s">
        <v>9229</v>
      </c>
      <c r="D5988" t="s">
        <v>18783</v>
      </c>
      <c r="E5988" t="s">
        <v>24212</v>
      </c>
      <c r="F5988" t="s">
        <v>32664</v>
      </c>
      <c r="G5988" t="s">
        <v>32671</v>
      </c>
      <c r="H5988" t="s">
        <v>12635</v>
      </c>
      <c r="I5988" t="s">
        <v>32704</v>
      </c>
      <c r="J5988" t="s">
        <v>36554</v>
      </c>
      <c r="K5988" t="s">
        <v>42289</v>
      </c>
      <c r="M5988" t="s">
        <v>44724</v>
      </c>
      <c r="N5988" t="s">
        <v>46569</v>
      </c>
      <c r="O5988" t="s">
        <v>46570</v>
      </c>
      <c r="P5988">
        <v>0</v>
      </c>
      <c r="Q5988">
        <v>15</v>
      </c>
      <c r="R5988" t="s">
        <v>46573</v>
      </c>
      <c r="S5988" t="s">
        <v>46705</v>
      </c>
      <c r="T5988" t="s">
        <v>48563</v>
      </c>
      <c r="U5988" t="s">
        <v>53755</v>
      </c>
      <c r="W5988" t="s">
        <v>44724</v>
      </c>
      <c r="X5988" t="s">
        <v>46574</v>
      </c>
    </row>
    <row r="5989" spans="1:24">
      <c r="A5989">
        <f>HYPERLINK("https://www.philgeps.gov.ph/GEPSNONPILOT/Tender/SplashBidNoticeAbstractUI.aspx?menuIndex=3&amp;refID=7060261&amp;Result=3","7060261")</f>
        <v>0</v>
      </c>
      <c r="B5989" t="s">
        <v>586</v>
      </c>
      <c r="C5989" t="s">
        <v>9230</v>
      </c>
      <c r="D5989" t="s">
        <v>18794</v>
      </c>
      <c r="E5989" t="s">
        <v>9230</v>
      </c>
      <c r="F5989" t="s">
        <v>32664</v>
      </c>
      <c r="G5989" t="s">
        <v>32672</v>
      </c>
      <c r="H5989" t="s">
        <v>12635</v>
      </c>
      <c r="I5989" t="s">
        <v>5501</v>
      </c>
      <c r="J5989" t="s">
        <v>36555</v>
      </c>
      <c r="K5989" t="s">
        <v>42281</v>
      </c>
      <c r="M5989" t="s">
        <v>43166</v>
      </c>
      <c r="N5989" t="s">
        <v>46569</v>
      </c>
      <c r="O5989" t="s">
        <v>46570</v>
      </c>
      <c r="P5989">
        <v>0</v>
      </c>
      <c r="Q5989">
        <v>6</v>
      </c>
      <c r="R5989" t="s">
        <v>46573</v>
      </c>
      <c r="S5989" t="s">
        <v>46705</v>
      </c>
      <c r="T5989" t="s">
        <v>48306</v>
      </c>
      <c r="U5989" t="s">
        <v>53756</v>
      </c>
      <c r="W5989" t="s">
        <v>43166</v>
      </c>
      <c r="X5989" t="s">
        <v>46574</v>
      </c>
    </row>
    <row r="5990" spans="1:24">
      <c r="A5990">
        <f>HYPERLINK("https://www.philgeps.gov.ph/GEPSNONPILOT/Tender/SplashBidNoticeAbstractUI.aspx?menuIndex=3&amp;refID=7060265&amp;Result=3","7060265")</f>
        <v>0</v>
      </c>
      <c r="B5990" t="s">
        <v>1811</v>
      </c>
      <c r="C5990" t="s">
        <v>9231</v>
      </c>
      <c r="D5990" t="s">
        <v>18805</v>
      </c>
      <c r="E5990" t="s">
        <v>24213</v>
      </c>
      <c r="F5990" t="s">
        <v>32664</v>
      </c>
      <c r="G5990" t="s">
        <v>32672</v>
      </c>
      <c r="H5990" t="s">
        <v>12635</v>
      </c>
      <c r="I5990" t="s">
        <v>32706</v>
      </c>
      <c r="J5990" t="s">
        <v>36556</v>
      </c>
      <c r="K5990" t="s">
        <v>42283</v>
      </c>
      <c r="M5990" t="s">
        <v>44517</v>
      </c>
      <c r="N5990" t="s">
        <v>46569</v>
      </c>
      <c r="O5990" t="s">
        <v>46570</v>
      </c>
      <c r="P5990">
        <v>0</v>
      </c>
      <c r="Q5990">
        <v>0</v>
      </c>
      <c r="R5990" t="s">
        <v>46573</v>
      </c>
      <c r="S5990" t="s">
        <v>46705</v>
      </c>
      <c r="T5990" t="s">
        <v>48411</v>
      </c>
      <c r="U5990" t="s">
        <v>53757</v>
      </c>
      <c r="V5990" t="s">
        <v>62197</v>
      </c>
      <c r="W5990" t="s">
        <v>44517</v>
      </c>
      <c r="X5990" t="s">
        <v>46574</v>
      </c>
    </row>
    <row r="5991" spans="1:24">
      <c r="A5991">
        <f>HYPERLINK("https://www.philgeps.gov.ph/GEPSNONPILOT/Tender/SplashBidNoticeAbstractUI.aspx?menuIndex=3&amp;refID=7060257&amp;Result=3","7060257")</f>
        <v>0</v>
      </c>
      <c r="B5991" t="s">
        <v>1988</v>
      </c>
      <c r="C5991" t="s">
        <v>9232</v>
      </c>
      <c r="D5991" t="s">
        <v>18830</v>
      </c>
      <c r="E5991" t="s">
        <v>24197</v>
      </c>
      <c r="F5991" t="s">
        <v>32664</v>
      </c>
      <c r="G5991" t="s">
        <v>32671</v>
      </c>
      <c r="H5991" t="s">
        <v>12635</v>
      </c>
      <c r="I5991" t="s">
        <v>32755</v>
      </c>
      <c r="J5991" t="s">
        <v>36557</v>
      </c>
      <c r="K5991" t="s">
        <v>42289</v>
      </c>
      <c r="M5991" t="s">
        <v>44722</v>
      </c>
      <c r="N5991" t="s">
        <v>46569</v>
      </c>
      <c r="O5991" t="s">
        <v>46570</v>
      </c>
      <c r="P5991">
        <v>0</v>
      </c>
      <c r="Q5991">
        <v>4</v>
      </c>
      <c r="R5991" t="s">
        <v>46573</v>
      </c>
      <c r="S5991" t="s">
        <v>46705</v>
      </c>
      <c r="T5991" t="s">
        <v>48290</v>
      </c>
      <c r="U5991" t="s">
        <v>49952</v>
      </c>
      <c r="W5991" t="s">
        <v>44722</v>
      </c>
      <c r="X5991" t="s">
        <v>46574</v>
      </c>
    </row>
    <row r="5992" spans="1:24">
      <c r="A5992">
        <f>HYPERLINK("https://www.philgeps.gov.ph/GEPSNONPILOT/Tender/SplashBidNoticeAbstractUI.aspx?menuIndex=3&amp;refID=7060264&amp;Result=3","7060264")</f>
        <v>0</v>
      </c>
      <c r="B5992" t="s">
        <v>1469</v>
      </c>
      <c r="C5992" t="s">
        <v>9233</v>
      </c>
      <c r="D5992" t="s">
        <v>18837</v>
      </c>
      <c r="E5992" t="s">
        <v>24214</v>
      </c>
      <c r="F5992" t="s">
        <v>32664</v>
      </c>
      <c r="G5992" t="s">
        <v>32671</v>
      </c>
      <c r="H5992" t="s">
        <v>12635</v>
      </c>
      <c r="I5992" t="s">
        <v>4439</v>
      </c>
      <c r="J5992" t="s">
        <v>36558</v>
      </c>
      <c r="K5992" t="s">
        <v>42289</v>
      </c>
      <c r="M5992" t="s">
        <v>44131</v>
      </c>
      <c r="N5992" t="s">
        <v>46569</v>
      </c>
      <c r="O5992" t="s">
        <v>46570</v>
      </c>
      <c r="P5992">
        <v>0</v>
      </c>
      <c r="Q5992">
        <v>0</v>
      </c>
      <c r="R5992" t="s">
        <v>46573</v>
      </c>
      <c r="S5992" t="s">
        <v>46705</v>
      </c>
      <c r="T5992" t="s">
        <v>48268</v>
      </c>
      <c r="U5992" t="s">
        <v>53758</v>
      </c>
      <c r="W5992" t="s">
        <v>44131</v>
      </c>
      <c r="X5992" t="s">
        <v>46574</v>
      </c>
    </row>
    <row r="5993" spans="1:24">
      <c r="A5993">
        <f>HYPERLINK("https://www.philgeps.gov.ph/GEPSNONPILOT/Tender/SplashBidNoticeAbstractUI.aspx?menuIndex=3&amp;refID=7060200&amp;Result=3","7060200")</f>
        <v>0</v>
      </c>
      <c r="B5993" t="s">
        <v>1991</v>
      </c>
      <c r="C5993" t="s">
        <v>9234</v>
      </c>
      <c r="E5993" t="s">
        <v>24215</v>
      </c>
      <c r="F5993" t="s">
        <v>32664</v>
      </c>
      <c r="G5993" t="s">
        <v>32674</v>
      </c>
      <c r="H5993" t="s">
        <v>12635</v>
      </c>
      <c r="I5993" t="s">
        <v>4997</v>
      </c>
      <c r="J5993" t="s">
        <v>36559</v>
      </c>
      <c r="K5993" t="s">
        <v>42283</v>
      </c>
      <c r="M5993" t="s">
        <v>44725</v>
      </c>
      <c r="N5993" t="s">
        <v>46569</v>
      </c>
      <c r="O5993" t="s">
        <v>46570</v>
      </c>
      <c r="P5993">
        <v>0</v>
      </c>
      <c r="Q5993">
        <v>6</v>
      </c>
      <c r="R5993" t="s">
        <v>46573</v>
      </c>
      <c r="S5993" t="s">
        <v>46705</v>
      </c>
      <c r="T5993" t="s">
        <v>48219</v>
      </c>
      <c r="U5993" t="s">
        <v>53759</v>
      </c>
      <c r="W5993" t="s">
        <v>44725</v>
      </c>
      <c r="X5993" t="s">
        <v>46574</v>
      </c>
    </row>
    <row r="5994" spans="1:24">
      <c r="A5994">
        <f>HYPERLINK("https://www.philgeps.gov.ph/GEPSNONPILOT/Tender/SplashBidNoticeAbstractUI.aspx?menuIndex=3&amp;refID=7060256&amp;Result=3","7060256")</f>
        <v>0</v>
      </c>
      <c r="B5994" t="s">
        <v>745</v>
      </c>
      <c r="C5994" t="s">
        <v>9235</v>
      </c>
      <c r="D5994" t="s">
        <v>18806</v>
      </c>
      <c r="E5994" t="s">
        <v>24216</v>
      </c>
      <c r="F5994" t="s">
        <v>32664</v>
      </c>
      <c r="G5994" t="s">
        <v>32671</v>
      </c>
      <c r="H5994" t="s">
        <v>12635</v>
      </c>
      <c r="I5994" t="s">
        <v>32757</v>
      </c>
      <c r="J5994" t="s">
        <v>32898</v>
      </c>
      <c r="K5994" t="s">
        <v>42297</v>
      </c>
      <c r="M5994" t="s">
        <v>43335</v>
      </c>
      <c r="N5994" t="s">
        <v>46569</v>
      </c>
      <c r="O5994" t="s">
        <v>46570</v>
      </c>
      <c r="P5994">
        <v>0</v>
      </c>
      <c r="Q5994">
        <v>4</v>
      </c>
      <c r="R5994" t="s">
        <v>46573</v>
      </c>
      <c r="S5994" t="s">
        <v>46705</v>
      </c>
      <c r="T5994" t="s">
        <v>48502</v>
      </c>
      <c r="U5994" t="s">
        <v>53760</v>
      </c>
      <c r="V5994" t="s">
        <v>62234</v>
      </c>
      <c r="W5994" t="s">
        <v>43335</v>
      </c>
      <c r="X5994" t="s">
        <v>46574</v>
      </c>
    </row>
    <row r="5995" spans="1:24">
      <c r="A5995">
        <f>HYPERLINK("https://www.philgeps.gov.ph/GEPSNONPILOT/Tender/SplashBidNoticeAbstractUI.aspx?menuIndex=3&amp;refID=7060271&amp;Result=3","7060271")</f>
        <v>0</v>
      </c>
      <c r="B5995" t="s">
        <v>1665</v>
      </c>
      <c r="C5995" t="s">
        <v>9236</v>
      </c>
      <c r="D5995" t="s">
        <v>18830</v>
      </c>
      <c r="E5995" t="s">
        <v>24217</v>
      </c>
      <c r="F5995" t="s">
        <v>32664</v>
      </c>
      <c r="G5995" t="s">
        <v>32672</v>
      </c>
      <c r="H5995" t="s">
        <v>32683</v>
      </c>
      <c r="I5995" t="s">
        <v>10627</v>
      </c>
      <c r="J5995" t="s">
        <v>32962</v>
      </c>
      <c r="K5995" t="s">
        <v>42330</v>
      </c>
      <c r="M5995" t="s">
        <v>44351</v>
      </c>
      <c r="N5995" t="s">
        <v>46569</v>
      </c>
      <c r="O5995" t="s">
        <v>46570</v>
      </c>
      <c r="P5995">
        <v>0</v>
      </c>
      <c r="Q5995">
        <v>0</v>
      </c>
      <c r="R5995" t="s">
        <v>46573</v>
      </c>
      <c r="S5995" t="s">
        <v>46705</v>
      </c>
      <c r="T5995" t="s">
        <v>48280</v>
      </c>
      <c r="U5995" t="s">
        <v>53761</v>
      </c>
      <c r="W5995" t="s">
        <v>44351</v>
      </c>
      <c r="X5995" t="s">
        <v>46574</v>
      </c>
    </row>
    <row r="5996" spans="1:24">
      <c r="A5996">
        <f>HYPERLINK("https://www.philgeps.gov.ph/GEPSNONPILOT/Tender/SplashBidNoticeAbstractUI.aspx?menuIndex=3&amp;refID=7060255&amp;Result=3","7060255")</f>
        <v>0</v>
      </c>
      <c r="B5996" t="s">
        <v>617</v>
      </c>
      <c r="C5996" t="s">
        <v>9237</v>
      </c>
      <c r="D5996" t="s">
        <v>18784</v>
      </c>
      <c r="E5996" t="s">
        <v>24218</v>
      </c>
      <c r="F5996" t="s">
        <v>32664</v>
      </c>
      <c r="G5996" t="s">
        <v>32674</v>
      </c>
      <c r="H5996" t="s">
        <v>12635</v>
      </c>
      <c r="I5996" t="s">
        <v>6168</v>
      </c>
      <c r="J5996" t="s">
        <v>34433</v>
      </c>
      <c r="K5996" t="s">
        <v>42289</v>
      </c>
      <c r="M5996" t="s">
        <v>43197</v>
      </c>
      <c r="N5996" t="s">
        <v>46569</v>
      </c>
      <c r="O5996" t="s">
        <v>46570</v>
      </c>
      <c r="P5996">
        <v>0</v>
      </c>
      <c r="Q5996">
        <v>3</v>
      </c>
      <c r="R5996" t="s">
        <v>46573</v>
      </c>
      <c r="S5996" t="s">
        <v>46705</v>
      </c>
      <c r="T5996" t="s">
        <v>48448</v>
      </c>
      <c r="U5996" t="s">
        <v>53762</v>
      </c>
      <c r="W5996" t="s">
        <v>43197</v>
      </c>
      <c r="X5996" t="s">
        <v>46574</v>
      </c>
    </row>
    <row r="5997" spans="1:24">
      <c r="A5997">
        <f>HYPERLINK("https://www.philgeps.gov.ph/GEPSNONPILOT/Tender/SplashBidNoticeAbstractUI.aspx?menuIndex=3&amp;refID=7060247&amp;Result=3","7060247")</f>
        <v>0</v>
      </c>
      <c r="B5997" t="s">
        <v>673</v>
      </c>
      <c r="C5997" t="s">
        <v>9238</v>
      </c>
      <c r="D5997" t="s">
        <v>18799</v>
      </c>
      <c r="E5997" t="s">
        <v>24219</v>
      </c>
      <c r="F5997" t="s">
        <v>32664</v>
      </c>
      <c r="G5997" t="s">
        <v>32675</v>
      </c>
      <c r="H5997" t="s">
        <v>12635</v>
      </c>
      <c r="I5997" t="s">
        <v>6168</v>
      </c>
      <c r="J5997" t="s">
        <v>36560</v>
      </c>
      <c r="K5997" t="s">
        <v>42283</v>
      </c>
      <c r="M5997" t="s">
        <v>43260</v>
      </c>
      <c r="N5997" t="s">
        <v>46569</v>
      </c>
      <c r="O5997" t="s">
        <v>46570</v>
      </c>
      <c r="P5997">
        <v>0</v>
      </c>
      <c r="Q5997">
        <v>1</v>
      </c>
      <c r="R5997" t="s">
        <v>46573</v>
      </c>
      <c r="S5997" t="s">
        <v>46705</v>
      </c>
      <c r="T5997" t="s">
        <v>48334</v>
      </c>
      <c r="U5997" t="s">
        <v>53659</v>
      </c>
      <c r="W5997" t="s">
        <v>43260</v>
      </c>
      <c r="X5997" t="s">
        <v>46574</v>
      </c>
    </row>
    <row r="5998" spans="1:24">
      <c r="A5998">
        <f>HYPERLINK("https://www.philgeps.gov.ph/GEPSNONPILOT/Tender/SplashBidNoticeAbstractUI.aspx?menuIndex=3&amp;refID=7060246&amp;Result=3","7060246")</f>
        <v>0</v>
      </c>
      <c r="B5998" t="s">
        <v>419</v>
      </c>
      <c r="C5998" t="s">
        <v>9239</v>
      </c>
      <c r="D5998" t="s">
        <v>18784</v>
      </c>
      <c r="E5998" t="s">
        <v>24220</v>
      </c>
      <c r="F5998" t="s">
        <v>32664</v>
      </c>
      <c r="G5998" t="s">
        <v>32674</v>
      </c>
      <c r="H5998" t="s">
        <v>12635</v>
      </c>
      <c r="I5998" t="s">
        <v>6223</v>
      </c>
      <c r="J5998" t="s">
        <v>32898</v>
      </c>
      <c r="K5998" t="s">
        <v>42283</v>
      </c>
      <c r="M5998" t="s">
        <v>42990</v>
      </c>
      <c r="N5998" t="s">
        <v>46569</v>
      </c>
      <c r="O5998" t="s">
        <v>46570</v>
      </c>
      <c r="P5998">
        <v>0</v>
      </c>
      <c r="Q5998">
        <v>2</v>
      </c>
      <c r="R5998" t="s">
        <v>46573</v>
      </c>
      <c r="S5998" t="s">
        <v>46705</v>
      </c>
      <c r="T5998" t="s">
        <v>48251</v>
      </c>
      <c r="U5998" t="s">
        <v>53763</v>
      </c>
      <c r="W5998" t="s">
        <v>42990</v>
      </c>
      <c r="X5998" t="s">
        <v>46574</v>
      </c>
    </row>
    <row r="5999" spans="1:24">
      <c r="A5999">
        <f>HYPERLINK("https://www.philgeps.gov.ph/GEPSNONPILOT/Tender/SplashBidNoticeAbstractUI.aspx?menuIndex=3&amp;refID=7060245&amp;Result=3","7060245")</f>
        <v>0</v>
      </c>
      <c r="B5999" t="s">
        <v>586</v>
      </c>
      <c r="C5999" t="s">
        <v>9240</v>
      </c>
      <c r="D5999" t="s">
        <v>18794</v>
      </c>
      <c r="E5999" t="s">
        <v>9240</v>
      </c>
      <c r="F5999" t="s">
        <v>32664</v>
      </c>
      <c r="G5999" t="s">
        <v>32672</v>
      </c>
      <c r="H5999" t="s">
        <v>12635</v>
      </c>
      <c r="I5999" t="s">
        <v>32764</v>
      </c>
      <c r="J5999" t="s">
        <v>33553</v>
      </c>
      <c r="K5999" t="s">
        <v>42283</v>
      </c>
      <c r="M5999" t="s">
        <v>43166</v>
      </c>
      <c r="N5999" t="s">
        <v>46569</v>
      </c>
      <c r="O5999" t="s">
        <v>46570</v>
      </c>
      <c r="P5999">
        <v>0</v>
      </c>
      <c r="Q5999">
        <v>0</v>
      </c>
      <c r="R5999" t="s">
        <v>46573</v>
      </c>
      <c r="S5999" t="s">
        <v>46705</v>
      </c>
      <c r="T5999" t="s">
        <v>48306</v>
      </c>
      <c r="U5999" t="s">
        <v>53764</v>
      </c>
      <c r="W5999" t="s">
        <v>43166</v>
      </c>
      <c r="X5999" t="s">
        <v>46574</v>
      </c>
    </row>
    <row r="6000" spans="1:24">
      <c r="A6000">
        <f>HYPERLINK("https://www.philgeps.gov.ph/GEPSNONPILOT/Tender/SplashBidNoticeAbstractUI.aspx?menuIndex=3&amp;refID=7060258&amp;Result=3","7060258")</f>
        <v>0</v>
      </c>
      <c r="B6000" t="s">
        <v>352</v>
      </c>
      <c r="C6000" t="s">
        <v>9241</v>
      </c>
      <c r="D6000" t="s">
        <v>18801</v>
      </c>
      <c r="E6000" t="s">
        <v>24221</v>
      </c>
      <c r="F6000" t="s">
        <v>32664</v>
      </c>
      <c r="G6000" t="s">
        <v>32671</v>
      </c>
      <c r="H6000" t="s">
        <v>12635</v>
      </c>
      <c r="I6000" t="s">
        <v>5589</v>
      </c>
      <c r="J6000" t="s">
        <v>35120</v>
      </c>
      <c r="K6000" t="s">
        <v>42289</v>
      </c>
      <c r="M6000" t="s">
        <v>44726</v>
      </c>
      <c r="N6000" t="s">
        <v>46569</v>
      </c>
      <c r="O6000" t="s">
        <v>46570</v>
      </c>
      <c r="P6000">
        <v>0</v>
      </c>
      <c r="Q6000">
        <v>3</v>
      </c>
      <c r="R6000" t="s">
        <v>46573</v>
      </c>
      <c r="S6000" t="s">
        <v>46705</v>
      </c>
      <c r="T6000" t="s">
        <v>48316</v>
      </c>
      <c r="U6000" t="s">
        <v>53765</v>
      </c>
      <c r="V6000" t="s">
        <v>61781</v>
      </c>
      <c r="W6000" t="s">
        <v>44726</v>
      </c>
      <c r="X6000" t="s">
        <v>46574</v>
      </c>
    </row>
    <row r="6001" spans="1:24">
      <c r="A6001">
        <f>HYPERLINK("https://www.philgeps.gov.ph/GEPSNONPILOT/Tender/SplashBidNoticeAbstractUI.aspx?menuIndex=3&amp;refID=7060233&amp;Result=3","7060233")</f>
        <v>0</v>
      </c>
      <c r="B6001" t="s">
        <v>1811</v>
      </c>
      <c r="C6001" t="s">
        <v>9242</v>
      </c>
      <c r="D6001" t="s">
        <v>18805</v>
      </c>
      <c r="E6001" t="s">
        <v>24222</v>
      </c>
      <c r="F6001" t="s">
        <v>32664</v>
      </c>
      <c r="G6001" t="s">
        <v>32672</v>
      </c>
      <c r="H6001" t="s">
        <v>12635</v>
      </c>
      <c r="I6001" t="s">
        <v>14442</v>
      </c>
      <c r="J6001" t="s">
        <v>36561</v>
      </c>
      <c r="K6001" t="s">
        <v>42283</v>
      </c>
      <c r="M6001" t="s">
        <v>44517</v>
      </c>
      <c r="N6001" t="s">
        <v>46569</v>
      </c>
      <c r="O6001" t="s">
        <v>46570</v>
      </c>
      <c r="P6001">
        <v>0</v>
      </c>
      <c r="Q6001">
        <v>0</v>
      </c>
      <c r="R6001" t="s">
        <v>46573</v>
      </c>
      <c r="S6001" t="s">
        <v>46705</v>
      </c>
      <c r="T6001" t="s">
        <v>48411</v>
      </c>
      <c r="U6001" t="s">
        <v>53766</v>
      </c>
      <c r="V6001" t="s">
        <v>62197</v>
      </c>
      <c r="W6001" t="s">
        <v>44517</v>
      </c>
      <c r="X6001" t="s">
        <v>46574</v>
      </c>
    </row>
    <row r="6002" spans="1:24">
      <c r="A6002">
        <f>HYPERLINK("https://www.philgeps.gov.ph/GEPSNONPILOT/Tender/SplashBidNoticeAbstractUI.aspx?menuIndex=3&amp;refID=7060296&amp;Result=3","7060296")</f>
        <v>0</v>
      </c>
      <c r="B6002" t="s">
        <v>451</v>
      </c>
      <c r="C6002" t="s">
        <v>9243</v>
      </c>
      <c r="D6002" t="s">
        <v>18818</v>
      </c>
      <c r="E6002" t="s">
        <v>24223</v>
      </c>
      <c r="F6002" t="s">
        <v>32664</v>
      </c>
      <c r="G6002" t="s">
        <v>32675</v>
      </c>
      <c r="H6002" t="s">
        <v>12635</v>
      </c>
      <c r="I6002" t="s">
        <v>8730</v>
      </c>
      <c r="J6002" t="s">
        <v>36562</v>
      </c>
      <c r="K6002" t="s">
        <v>42297</v>
      </c>
      <c r="M6002" t="s">
        <v>43024</v>
      </c>
      <c r="N6002" t="s">
        <v>46569</v>
      </c>
      <c r="O6002" t="s">
        <v>46570</v>
      </c>
      <c r="P6002">
        <v>0</v>
      </c>
      <c r="Q6002">
        <v>10</v>
      </c>
      <c r="R6002" t="s">
        <v>46573</v>
      </c>
      <c r="S6002" t="s">
        <v>46705</v>
      </c>
      <c r="T6002" t="s">
        <v>48282</v>
      </c>
      <c r="U6002" t="s">
        <v>49582</v>
      </c>
      <c r="W6002" t="s">
        <v>43024</v>
      </c>
      <c r="X6002" t="s">
        <v>46574</v>
      </c>
    </row>
    <row r="6003" spans="1:24">
      <c r="A6003">
        <f>HYPERLINK("https://www.philgeps.gov.ph/GEPSNONPILOT/Tender/SplashBidNoticeAbstractUI.aspx?menuIndex=3&amp;refID=7060299&amp;Result=3","7060299")</f>
        <v>0</v>
      </c>
      <c r="B6003" t="s">
        <v>1613</v>
      </c>
      <c r="C6003" t="s">
        <v>9244</v>
      </c>
      <c r="D6003" t="s">
        <v>18806</v>
      </c>
      <c r="E6003" t="s">
        <v>24224</v>
      </c>
      <c r="F6003" t="s">
        <v>32664</v>
      </c>
      <c r="G6003" t="s">
        <v>32672</v>
      </c>
      <c r="H6003" t="s">
        <v>32683</v>
      </c>
      <c r="I6003" t="s">
        <v>10627</v>
      </c>
      <c r="J6003" t="s">
        <v>36563</v>
      </c>
      <c r="K6003" t="s">
        <v>42283</v>
      </c>
      <c r="M6003" t="s">
        <v>44292</v>
      </c>
      <c r="N6003" t="s">
        <v>46569</v>
      </c>
      <c r="O6003" t="s">
        <v>46570</v>
      </c>
      <c r="P6003">
        <v>0</v>
      </c>
      <c r="Q6003">
        <v>3</v>
      </c>
      <c r="R6003" t="s">
        <v>46573</v>
      </c>
      <c r="S6003" t="s">
        <v>46705</v>
      </c>
      <c r="T6003" t="s">
        <v>48220</v>
      </c>
      <c r="U6003" t="s">
        <v>53767</v>
      </c>
      <c r="V6003" t="s">
        <v>62235</v>
      </c>
      <c r="W6003" t="s">
        <v>44292</v>
      </c>
      <c r="X6003" t="s">
        <v>46574</v>
      </c>
    </row>
    <row r="6004" spans="1:24">
      <c r="A6004">
        <f>HYPERLINK("https://www.philgeps.gov.ph/GEPSNONPILOT/Tender/SplashBidNoticeAbstractUI.aspx?menuIndex=3&amp;refID=7060254&amp;Result=3","7060254")</f>
        <v>0</v>
      </c>
      <c r="B6004" t="s">
        <v>135</v>
      </c>
      <c r="C6004" t="s">
        <v>9245</v>
      </c>
      <c r="D6004" t="s">
        <v>18807</v>
      </c>
      <c r="E6004" t="s">
        <v>24225</v>
      </c>
      <c r="F6004" t="s">
        <v>32664</v>
      </c>
      <c r="G6004" t="s">
        <v>32672</v>
      </c>
      <c r="H6004" t="s">
        <v>12635</v>
      </c>
      <c r="I6004" t="s">
        <v>32706</v>
      </c>
      <c r="J6004" t="s">
        <v>36564</v>
      </c>
      <c r="K6004" t="s">
        <v>42281</v>
      </c>
      <c r="M6004" t="s">
        <v>42852</v>
      </c>
      <c r="N6004" t="s">
        <v>46569</v>
      </c>
      <c r="O6004" t="s">
        <v>46570</v>
      </c>
      <c r="P6004">
        <v>0</v>
      </c>
      <c r="Q6004">
        <v>0</v>
      </c>
      <c r="R6004" t="s">
        <v>46573</v>
      </c>
      <c r="S6004" t="s">
        <v>46705</v>
      </c>
      <c r="T6004" t="s">
        <v>48228</v>
      </c>
      <c r="U6004" t="s">
        <v>49250</v>
      </c>
      <c r="V6004" t="s">
        <v>61650</v>
      </c>
      <c r="W6004" t="s">
        <v>42852</v>
      </c>
      <c r="X6004" t="s">
        <v>46574</v>
      </c>
    </row>
    <row r="6005" spans="1:24">
      <c r="A6005">
        <f>HYPERLINK("https://www.philgeps.gov.ph/GEPSNONPILOT/Tender/SplashBidNoticeAbstractUI.aspx?menuIndex=3&amp;refID=7060298&amp;Result=3","7060298")</f>
        <v>0</v>
      </c>
      <c r="B6005" t="s">
        <v>1992</v>
      </c>
      <c r="C6005" t="s">
        <v>9246</v>
      </c>
      <c r="D6005" t="s">
        <v>18815</v>
      </c>
      <c r="E6005" t="s">
        <v>9246</v>
      </c>
      <c r="F6005" t="s">
        <v>32664</v>
      </c>
      <c r="G6005" t="s">
        <v>32671</v>
      </c>
      <c r="H6005" t="s">
        <v>12635</v>
      </c>
      <c r="I6005" t="s">
        <v>6223</v>
      </c>
      <c r="J6005" t="s">
        <v>36565</v>
      </c>
      <c r="K6005" t="s">
        <v>42297</v>
      </c>
      <c r="M6005" t="s">
        <v>44727</v>
      </c>
      <c r="N6005" t="s">
        <v>46569</v>
      </c>
      <c r="O6005" t="s">
        <v>46570</v>
      </c>
      <c r="P6005">
        <v>0</v>
      </c>
      <c r="Q6005">
        <v>2</v>
      </c>
      <c r="R6005" t="s">
        <v>46573</v>
      </c>
      <c r="S6005" t="s">
        <v>46705</v>
      </c>
      <c r="T6005" t="s">
        <v>48287</v>
      </c>
      <c r="U6005" t="s">
        <v>53768</v>
      </c>
      <c r="W6005" t="s">
        <v>44727</v>
      </c>
      <c r="X6005" t="s">
        <v>46574</v>
      </c>
    </row>
    <row r="6006" spans="1:24">
      <c r="A6006">
        <f>HYPERLINK("https://www.philgeps.gov.ph/GEPSNONPILOT/Tender/SplashBidNoticeAbstractUI.aspx?menuIndex=3&amp;refID=7060294&amp;Result=3","7060294")</f>
        <v>0</v>
      </c>
      <c r="B6006" t="s">
        <v>696</v>
      </c>
      <c r="C6006" t="s">
        <v>9247</v>
      </c>
      <c r="D6006" t="s">
        <v>18839</v>
      </c>
      <c r="E6006" t="s">
        <v>24226</v>
      </c>
      <c r="F6006" t="s">
        <v>32664</v>
      </c>
      <c r="G6006" t="s">
        <v>32674</v>
      </c>
      <c r="H6006" t="s">
        <v>12635</v>
      </c>
      <c r="I6006" t="s">
        <v>5501</v>
      </c>
      <c r="J6006" t="s">
        <v>36566</v>
      </c>
      <c r="K6006" t="s">
        <v>42297</v>
      </c>
      <c r="M6006" t="s">
        <v>43283</v>
      </c>
      <c r="N6006" t="s">
        <v>46569</v>
      </c>
      <c r="O6006" t="s">
        <v>46570</v>
      </c>
      <c r="P6006">
        <v>0</v>
      </c>
      <c r="Q6006">
        <v>6</v>
      </c>
      <c r="R6006" t="s">
        <v>46573</v>
      </c>
      <c r="S6006" t="s">
        <v>46705</v>
      </c>
      <c r="T6006" t="s">
        <v>48473</v>
      </c>
      <c r="U6006" t="s">
        <v>53769</v>
      </c>
      <c r="V6006" t="s">
        <v>62236</v>
      </c>
      <c r="W6006" t="s">
        <v>43283</v>
      </c>
      <c r="X6006" t="s">
        <v>46574</v>
      </c>
    </row>
    <row r="6007" spans="1:24">
      <c r="A6007">
        <f>HYPERLINK("https://www.philgeps.gov.ph/GEPSNONPILOT/Tender/SplashBidNoticeAbstractUI.aspx?menuIndex=3&amp;refID=7060292&amp;Result=3","7060292")</f>
        <v>0</v>
      </c>
      <c r="B6007" t="s">
        <v>1993</v>
      </c>
      <c r="C6007" t="s">
        <v>9248</v>
      </c>
      <c r="D6007" t="s">
        <v>18834</v>
      </c>
      <c r="E6007" t="s">
        <v>24227</v>
      </c>
      <c r="F6007" t="s">
        <v>32664</v>
      </c>
      <c r="G6007" t="s">
        <v>32672</v>
      </c>
      <c r="H6007" t="s">
        <v>12635</v>
      </c>
      <c r="I6007" t="s">
        <v>4439</v>
      </c>
      <c r="J6007" t="s">
        <v>36567</v>
      </c>
      <c r="K6007" t="s">
        <v>42289</v>
      </c>
      <c r="M6007" t="s">
        <v>44728</v>
      </c>
      <c r="N6007" t="s">
        <v>46569</v>
      </c>
      <c r="O6007" t="s">
        <v>46570</v>
      </c>
      <c r="P6007">
        <v>0</v>
      </c>
      <c r="Q6007">
        <v>1</v>
      </c>
      <c r="R6007" t="s">
        <v>46573</v>
      </c>
      <c r="S6007" t="s">
        <v>46705</v>
      </c>
      <c r="T6007" t="s">
        <v>48412</v>
      </c>
      <c r="U6007" t="s">
        <v>53770</v>
      </c>
      <c r="W6007" t="s">
        <v>63544</v>
      </c>
      <c r="X6007" t="s">
        <v>46574</v>
      </c>
    </row>
    <row r="6008" spans="1:24">
      <c r="A6008">
        <f>HYPERLINK("https://www.philgeps.gov.ph/GEPSNONPILOT/Tender/SplashBidNoticeAbstractUI.aspx?menuIndex=3&amp;refID=7060290&amp;Result=3","7060290")</f>
        <v>0</v>
      </c>
      <c r="B6008" t="s">
        <v>1684</v>
      </c>
      <c r="C6008" t="s">
        <v>9249</v>
      </c>
      <c r="D6008" t="s">
        <v>18805</v>
      </c>
      <c r="E6008" t="s">
        <v>24228</v>
      </c>
      <c r="F6008" t="s">
        <v>32664</v>
      </c>
      <c r="G6008" t="s">
        <v>32671</v>
      </c>
      <c r="H6008" t="s">
        <v>12635</v>
      </c>
      <c r="I6008" t="s">
        <v>32712</v>
      </c>
      <c r="J6008" t="s">
        <v>33831</v>
      </c>
      <c r="K6008" t="s">
        <v>42284</v>
      </c>
      <c r="M6008" t="s">
        <v>44373</v>
      </c>
      <c r="N6008" t="s">
        <v>46569</v>
      </c>
      <c r="O6008" t="s">
        <v>46570</v>
      </c>
      <c r="P6008">
        <v>0</v>
      </c>
      <c r="Q6008">
        <v>5</v>
      </c>
      <c r="R6008" t="s">
        <v>46573</v>
      </c>
      <c r="S6008" t="s">
        <v>46705</v>
      </c>
      <c r="T6008" t="s">
        <v>48287</v>
      </c>
      <c r="U6008" t="s">
        <v>53771</v>
      </c>
      <c r="W6008" t="s">
        <v>44373</v>
      </c>
      <c r="X6008" t="s">
        <v>46574</v>
      </c>
    </row>
    <row r="6009" spans="1:24">
      <c r="A6009">
        <f>HYPERLINK("https://www.philgeps.gov.ph/GEPSNONPILOT/Tender/SplashBidNoticeAbstractUI.aspx?menuIndex=3&amp;refID=7060289&amp;Result=3","7060289")</f>
        <v>0</v>
      </c>
      <c r="B6009" t="s">
        <v>594</v>
      </c>
      <c r="C6009" t="s">
        <v>9250</v>
      </c>
      <c r="D6009" t="s">
        <v>18784</v>
      </c>
      <c r="E6009" t="s">
        <v>24229</v>
      </c>
      <c r="F6009" t="s">
        <v>32664</v>
      </c>
      <c r="G6009" t="s">
        <v>32671</v>
      </c>
      <c r="H6009" t="s">
        <v>12635</v>
      </c>
      <c r="I6009" t="s">
        <v>32701</v>
      </c>
      <c r="J6009" t="s">
        <v>33338</v>
      </c>
      <c r="K6009" t="s">
        <v>42297</v>
      </c>
      <c r="M6009" t="s">
        <v>43793</v>
      </c>
      <c r="N6009" t="s">
        <v>46569</v>
      </c>
      <c r="O6009" t="s">
        <v>46570</v>
      </c>
      <c r="P6009">
        <v>0</v>
      </c>
      <c r="Q6009">
        <v>5</v>
      </c>
      <c r="R6009" t="s">
        <v>46573</v>
      </c>
      <c r="S6009" t="s">
        <v>46705</v>
      </c>
      <c r="T6009" t="s">
        <v>48461</v>
      </c>
      <c r="U6009" t="s">
        <v>53772</v>
      </c>
      <c r="V6009" t="s">
        <v>61909</v>
      </c>
      <c r="W6009" t="s">
        <v>43793</v>
      </c>
      <c r="X6009" t="s">
        <v>46574</v>
      </c>
    </row>
    <row r="6010" spans="1:24">
      <c r="A6010">
        <f>HYPERLINK("https://www.philgeps.gov.ph/GEPSNONPILOT/Tender/SplashBidNoticeAbstractUI.aspx?menuIndex=3&amp;refID=7060295&amp;Result=3","7060295")</f>
        <v>0</v>
      </c>
      <c r="B6010" t="s">
        <v>1961</v>
      </c>
      <c r="C6010" t="s">
        <v>9251</v>
      </c>
      <c r="D6010" t="s">
        <v>18788</v>
      </c>
      <c r="E6010" t="s">
        <v>24230</v>
      </c>
      <c r="F6010" t="s">
        <v>32664</v>
      </c>
      <c r="G6010" t="s">
        <v>32671</v>
      </c>
      <c r="H6010" t="s">
        <v>12635</v>
      </c>
      <c r="I6010" t="s">
        <v>32706</v>
      </c>
      <c r="J6010" t="s">
        <v>32917</v>
      </c>
      <c r="K6010" t="s">
        <v>42281</v>
      </c>
      <c r="M6010" t="s">
        <v>44692</v>
      </c>
      <c r="N6010" t="s">
        <v>46569</v>
      </c>
      <c r="O6010" t="s">
        <v>46570</v>
      </c>
      <c r="P6010">
        <v>0</v>
      </c>
      <c r="Q6010">
        <v>1</v>
      </c>
      <c r="R6010" t="s">
        <v>46573</v>
      </c>
      <c r="S6010" t="s">
        <v>46705</v>
      </c>
      <c r="T6010" t="s">
        <v>48280</v>
      </c>
      <c r="U6010" t="s">
        <v>53773</v>
      </c>
      <c r="V6010" t="s">
        <v>62237</v>
      </c>
      <c r="W6010" t="s">
        <v>44692</v>
      </c>
      <c r="X6010" t="s">
        <v>46574</v>
      </c>
    </row>
    <row r="6011" spans="1:24">
      <c r="A6011">
        <f>HYPERLINK("https://www.philgeps.gov.ph/GEPSNONPILOT/Tender/SplashBidNoticeAbstractUI.aspx?menuIndex=3&amp;refID=7060285&amp;Result=3","7060285")</f>
        <v>0</v>
      </c>
      <c r="B6011" t="s">
        <v>586</v>
      </c>
      <c r="C6011" t="s">
        <v>9252</v>
      </c>
      <c r="D6011" t="s">
        <v>18794</v>
      </c>
      <c r="E6011" t="s">
        <v>9252</v>
      </c>
      <c r="F6011" t="s">
        <v>32664</v>
      </c>
      <c r="G6011" t="s">
        <v>32672</v>
      </c>
      <c r="H6011" t="s">
        <v>12635</v>
      </c>
      <c r="I6011" t="s">
        <v>6223</v>
      </c>
      <c r="J6011" t="s">
        <v>36568</v>
      </c>
      <c r="K6011" t="s">
        <v>42281</v>
      </c>
      <c r="M6011" t="s">
        <v>43166</v>
      </c>
      <c r="N6011" t="s">
        <v>46569</v>
      </c>
      <c r="O6011" t="s">
        <v>46570</v>
      </c>
      <c r="P6011">
        <v>0</v>
      </c>
      <c r="Q6011">
        <v>2</v>
      </c>
      <c r="R6011" t="s">
        <v>46573</v>
      </c>
      <c r="S6011" t="s">
        <v>46705</v>
      </c>
      <c r="T6011" t="s">
        <v>48306</v>
      </c>
      <c r="U6011" t="s">
        <v>53774</v>
      </c>
      <c r="W6011" t="s">
        <v>43166</v>
      </c>
      <c r="X6011" t="s">
        <v>46574</v>
      </c>
    </row>
    <row r="6012" spans="1:24">
      <c r="A6012">
        <f>HYPERLINK("https://www.philgeps.gov.ph/GEPSNONPILOT/Tender/SplashBidNoticeAbstractUI.aspx?menuIndex=3&amp;refID=7060319&amp;Result=3","7060319")</f>
        <v>0</v>
      </c>
      <c r="B6012" t="s">
        <v>586</v>
      </c>
      <c r="C6012" t="s">
        <v>9253</v>
      </c>
      <c r="D6012" t="s">
        <v>18794</v>
      </c>
      <c r="E6012" t="s">
        <v>9253</v>
      </c>
      <c r="F6012" t="s">
        <v>32664</v>
      </c>
      <c r="G6012" t="s">
        <v>32672</v>
      </c>
      <c r="H6012" t="s">
        <v>12635</v>
      </c>
      <c r="I6012" t="s">
        <v>6628</v>
      </c>
      <c r="J6012" t="s">
        <v>35984</v>
      </c>
      <c r="K6012" t="s">
        <v>42281</v>
      </c>
      <c r="M6012" t="s">
        <v>43166</v>
      </c>
      <c r="N6012" t="s">
        <v>46569</v>
      </c>
      <c r="O6012" t="s">
        <v>46570</v>
      </c>
      <c r="P6012">
        <v>0</v>
      </c>
      <c r="Q6012">
        <v>0</v>
      </c>
      <c r="R6012" t="s">
        <v>46573</v>
      </c>
      <c r="S6012" t="s">
        <v>46705</v>
      </c>
      <c r="T6012" t="s">
        <v>48306</v>
      </c>
      <c r="U6012" t="s">
        <v>53775</v>
      </c>
      <c r="W6012" t="s">
        <v>43166</v>
      </c>
      <c r="X6012" t="s">
        <v>46574</v>
      </c>
    </row>
    <row r="6013" spans="1:24">
      <c r="A6013">
        <f>HYPERLINK("https://www.philgeps.gov.ph/GEPSNONPILOT/Tender/SplashBidNoticeAbstractUI.aspx?menuIndex=3&amp;refID=7060324&amp;Result=3","7060324")</f>
        <v>0</v>
      </c>
      <c r="B6013" t="s">
        <v>1994</v>
      </c>
      <c r="C6013" t="s">
        <v>9254</v>
      </c>
      <c r="D6013" t="s">
        <v>18784</v>
      </c>
      <c r="E6013" t="s">
        <v>24231</v>
      </c>
      <c r="F6013" t="s">
        <v>32664</v>
      </c>
      <c r="G6013" t="s">
        <v>32671</v>
      </c>
      <c r="H6013" t="s">
        <v>12635</v>
      </c>
      <c r="I6013" t="s">
        <v>8797</v>
      </c>
      <c r="J6013" t="s">
        <v>33345</v>
      </c>
      <c r="K6013" t="s">
        <v>42283</v>
      </c>
      <c r="M6013" t="s">
        <v>44729</v>
      </c>
      <c r="N6013" t="s">
        <v>46569</v>
      </c>
      <c r="O6013" t="s">
        <v>46570</v>
      </c>
      <c r="P6013">
        <v>0</v>
      </c>
      <c r="Q6013">
        <v>7</v>
      </c>
      <c r="R6013" t="s">
        <v>46573</v>
      </c>
      <c r="S6013" t="s">
        <v>46705</v>
      </c>
      <c r="T6013" t="s">
        <v>48316</v>
      </c>
      <c r="U6013" t="s">
        <v>53776</v>
      </c>
      <c r="W6013" t="s">
        <v>46084</v>
      </c>
      <c r="X6013" t="s">
        <v>46574</v>
      </c>
    </row>
    <row r="6014" spans="1:24">
      <c r="A6014">
        <f>HYPERLINK("https://www.philgeps.gov.ph/GEPSNONPILOT/Tender/SplashBidNoticeAbstractUI.aspx?menuIndex=3&amp;refID=7060300&amp;Result=3","7060300")</f>
        <v>0</v>
      </c>
      <c r="B6014" t="s">
        <v>880</v>
      </c>
      <c r="C6014" t="s">
        <v>9255</v>
      </c>
      <c r="D6014" t="s">
        <v>18851</v>
      </c>
      <c r="E6014" t="s">
        <v>19673</v>
      </c>
      <c r="F6014" t="s">
        <v>32664</v>
      </c>
      <c r="G6014" t="s">
        <v>32671</v>
      </c>
      <c r="H6014" t="s">
        <v>12635</v>
      </c>
      <c r="I6014" t="s">
        <v>32716</v>
      </c>
      <c r="J6014" t="s">
        <v>36569</v>
      </c>
      <c r="K6014" t="s">
        <v>42283</v>
      </c>
      <c r="M6014" t="s">
        <v>43480</v>
      </c>
      <c r="N6014" t="s">
        <v>46569</v>
      </c>
      <c r="O6014" t="s">
        <v>46570</v>
      </c>
      <c r="P6014">
        <v>0</v>
      </c>
      <c r="Q6014">
        <v>0</v>
      </c>
      <c r="R6014" t="s">
        <v>46573</v>
      </c>
      <c r="S6014" t="s">
        <v>46705</v>
      </c>
      <c r="T6014" t="s">
        <v>48316</v>
      </c>
      <c r="U6014" t="s">
        <v>49970</v>
      </c>
      <c r="W6014" t="s">
        <v>43480</v>
      </c>
      <c r="X6014" t="s">
        <v>46574</v>
      </c>
    </row>
    <row r="6015" spans="1:24">
      <c r="A6015">
        <f>HYPERLINK("https://www.philgeps.gov.ph/GEPSNONPILOT/Tender/SplashBidNoticeAbstractUI.aspx?menuIndex=3&amp;refID=7060320&amp;Result=3","7060320")</f>
        <v>0</v>
      </c>
      <c r="B6015" t="s">
        <v>419</v>
      </c>
      <c r="C6015" t="s">
        <v>9256</v>
      </c>
      <c r="D6015" t="s">
        <v>18784</v>
      </c>
      <c r="E6015" t="s">
        <v>24232</v>
      </c>
      <c r="F6015" t="s">
        <v>32664</v>
      </c>
      <c r="G6015" t="s">
        <v>32674</v>
      </c>
      <c r="H6015" t="s">
        <v>12635</v>
      </c>
      <c r="I6015" t="s">
        <v>6223</v>
      </c>
      <c r="J6015" t="s">
        <v>32984</v>
      </c>
      <c r="K6015" t="s">
        <v>42283</v>
      </c>
      <c r="M6015" t="s">
        <v>42990</v>
      </c>
      <c r="N6015" t="s">
        <v>46569</v>
      </c>
      <c r="O6015" t="s">
        <v>46570</v>
      </c>
      <c r="P6015">
        <v>0</v>
      </c>
      <c r="Q6015">
        <v>2</v>
      </c>
      <c r="R6015" t="s">
        <v>46573</v>
      </c>
      <c r="S6015" t="s">
        <v>46705</v>
      </c>
      <c r="T6015" t="s">
        <v>48251</v>
      </c>
      <c r="U6015" t="s">
        <v>53777</v>
      </c>
      <c r="W6015" t="s">
        <v>42990</v>
      </c>
      <c r="X6015" t="s">
        <v>46574</v>
      </c>
    </row>
    <row r="6016" spans="1:24">
      <c r="A6016">
        <f>HYPERLINK("https://www.philgeps.gov.ph/GEPSNONPILOT/Tender/SplashBidNoticeAbstractUI.aspx?menuIndex=3&amp;refID=7060287&amp;Result=3","7060287")</f>
        <v>0</v>
      </c>
      <c r="B6016" t="s">
        <v>1995</v>
      </c>
      <c r="C6016" t="s">
        <v>9257</v>
      </c>
      <c r="D6016" t="s">
        <v>18785</v>
      </c>
      <c r="E6016" t="s">
        <v>24233</v>
      </c>
      <c r="F6016" t="s">
        <v>32664</v>
      </c>
      <c r="G6016" t="s">
        <v>32671</v>
      </c>
      <c r="H6016" t="s">
        <v>12635</v>
      </c>
      <c r="I6016" t="s">
        <v>14442</v>
      </c>
      <c r="J6016" t="s">
        <v>36570</v>
      </c>
      <c r="K6016" t="s">
        <v>42283</v>
      </c>
      <c r="M6016" t="s">
        <v>44730</v>
      </c>
      <c r="N6016" t="s">
        <v>46569</v>
      </c>
      <c r="O6016" t="s">
        <v>46570</v>
      </c>
      <c r="P6016">
        <v>0</v>
      </c>
      <c r="Q6016">
        <v>3</v>
      </c>
      <c r="R6016" t="s">
        <v>46573</v>
      </c>
      <c r="S6016" t="s">
        <v>46705</v>
      </c>
      <c r="T6016" t="s">
        <v>48450</v>
      </c>
      <c r="U6016" t="s">
        <v>53778</v>
      </c>
      <c r="V6016" t="s">
        <v>62238</v>
      </c>
      <c r="W6016" t="s">
        <v>44730</v>
      </c>
      <c r="X6016" t="s">
        <v>46574</v>
      </c>
    </row>
    <row r="6017" spans="1:24">
      <c r="A6017">
        <f>HYPERLINK("https://www.philgeps.gov.ph/GEPSNONPILOT/Tender/SplashBidNoticeAbstractUI.aspx?menuIndex=3&amp;refID=7060318&amp;Result=3","7060318")</f>
        <v>0</v>
      </c>
      <c r="B6017" t="s">
        <v>1996</v>
      </c>
      <c r="C6017" t="s">
        <v>9258</v>
      </c>
      <c r="D6017" t="s">
        <v>18801</v>
      </c>
      <c r="E6017" t="s">
        <v>24234</v>
      </c>
      <c r="F6017" t="s">
        <v>32664</v>
      </c>
      <c r="G6017" t="s">
        <v>32672</v>
      </c>
      <c r="H6017" t="s">
        <v>12635</v>
      </c>
      <c r="I6017" t="s">
        <v>32700</v>
      </c>
      <c r="J6017" t="s">
        <v>32865</v>
      </c>
      <c r="K6017" t="s">
        <v>42283</v>
      </c>
      <c r="M6017" t="s">
        <v>44731</v>
      </c>
      <c r="N6017" t="s">
        <v>46569</v>
      </c>
      <c r="O6017" t="s">
        <v>46570</v>
      </c>
      <c r="P6017">
        <v>0</v>
      </c>
      <c r="Q6017">
        <v>3</v>
      </c>
      <c r="R6017" t="s">
        <v>46573</v>
      </c>
      <c r="S6017" t="s">
        <v>46705</v>
      </c>
      <c r="T6017" t="s">
        <v>48373</v>
      </c>
      <c r="U6017" t="s">
        <v>53779</v>
      </c>
      <c r="W6017" t="s">
        <v>44731</v>
      </c>
      <c r="X6017" t="s">
        <v>46574</v>
      </c>
    </row>
    <row r="6018" spans="1:24">
      <c r="A6018">
        <f>HYPERLINK("https://www.philgeps.gov.ph/GEPSNONPILOT/Tender/SplashBidNoticeAbstractUI.aspx?menuIndex=3&amp;refID=7060317&amp;Result=3","7060317")</f>
        <v>0</v>
      </c>
      <c r="B6018" t="s">
        <v>819</v>
      </c>
      <c r="C6018" t="s">
        <v>9259</v>
      </c>
      <c r="D6018" t="s">
        <v>18786</v>
      </c>
      <c r="E6018" t="s">
        <v>24235</v>
      </c>
      <c r="F6018" t="s">
        <v>32664</v>
      </c>
      <c r="G6018" t="s">
        <v>32674</v>
      </c>
      <c r="H6018" t="s">
        <v>12635</v>
      </c>
      <c r="I6018" t="s">
        <v>32706</v>
      </c>
      <c r="J6018" t="s">
        <v>36571</v>
      </c>
      <c r="K6018" t="s">
        <v>42303</v>
      </c>
      <c r="M6018" t="s">
        <v>43414</v>
      </c>
      <c r="N6018" t="s">
        <v>46569</v>
      </c>
      <c r="O6018" t="s">
        <v>46570</v>
      </c>
      <c r="P6018">
        <v>0</v>
      </c>
      <c r="Q6018">
        <v>0</v>
      </c>
      <c r="R6018" t="s">
        <v>46573</v>
      </c>
      <c r="S6018" t="s">
        <v>46705</v>
      </c>
      <c r="T6018" t="s">
        <v>48448</v>
      </c>
      <c r="U6018" t="s">
        <v>53780</v>
      </c>
      <c r="W6018" t="s">
        <v>43414</v>
      </c>
      <c r="X6018" t="s">
        <v>46574</v>
      </c>
    </row>
    <row r="6019" spans="1:24">
      <c r="A6019">
        <f>HYPERLINK("https://www.philgeps.gov.ph/GEPSNONPILOT/Tender/SplashBidNoticeAbstractUI.aspx?menuIndex=3&amp;refID=7060291&amp;Result=3","7060291")</f>
        <v>0</v>
      </c>
      <c r="B6019" t="s">
        <v>1055</v>
      </c>
      <c r="C6019" t="s">
        <v>9260</v>
      </c>
      <c r="D6019" t="s">
        <v>18784</v>
      </c>
      <c r="E6019" t="s">
        <v>24236</v>
      </c>
      <c r="F6019" t="s">
        <v>32664</v>
      </c>
      <c r="G6019" t="s">
        <v>32672</v>
      </c>
      <c r="H6019" t="s">
        <v>12635</v>
      </c>
      <c r="I6019" t="s">
        <v>32694</v>
      </c>
      <c r="J6019" t="s">
        <v>36572</v>
      </c>
      <c r="K6019" t="s">
        <v>42289</v>
      </c>
      <c r="M6019" t="s">
        <v>44732</v>
      </c>
      <c r="N6019" t="s">
        <v>46569</v>
      </c>
      <c r="O6019" t="s">
        <v>46570</v>
      </c>
      <c r="P6019">
        <v>0</v>
      </c>
      <c r="Q6019">
        <v>9</v>
      </c>
      <c r="R6019" t="s">
        <v>46573</v>
      </c>
      <c r="S6019" t="s">
        <v>46705</v>
      </c>
      <c r="T6019" t="s">
        <v>48404</v>
      </c>
      <c r="U6019" t="s">
        <v>53781</v>
      </c>
      <c r="W6019" t="s">
        <v>44732</v>
      </c>
      <c r="X6019" t="s">
        <v>46574</v>
      </c>
    </row>
    <row r="6020" spans="1:24">
      <c r="A6020">
        <f>HYPERLINK("https://www.philgeps.gov.ph/GEPSNONPILOT/Tender/SplashBidNoticeAbstractUI.aspx?menuIndex=3&amp;refID=7060286&amp;Result=3","7060286")</f>
        <v>0</v>
      </c>
      <c r="B6020" t="s">
        <v>605</v>
      </c>
      <c r="C6020" t="s">
        <v>9261</v>
      </c>
      <c r="D6020" t="s">
        <v>18858</v>
      </c>
      <c r="E6020" t="s">
        <v>24237</v>
      </c>
      <c r="F6020" t="s">
        <v>32664</v>
      </c>
      <c r="G6020" t="s">
        <v>32674</v>
      </c>
      <c r="H6020" t="s">
        <v>12635</v>
      </c>
      <c r="I6020" t="s">
        <v>10370</v>
      </c>
      <c r="J6020" t="s">
        <v>35513</v>
      </c>
      <c r="K6020" t="s">
        <v>42289</v>
      </c>
      <c r="M6020" t="s">
        <v>43185</v>
      </c>
      <c r="N6020" t="s">
        <v>46569</v>
      </c>
      <c r="O6020" t="s">
        <v>46570</v>
      </c>
      <c r="P6020">
        <v>0</v>
      </c>
      <c r="Q6020">
        <v>6</v>
      </c>
      <c r="R6020" t="s">
        <v>46573</v>
      </c>
      <c r="S6020" t="s">
        <v>46705</v>
      </c>
      <c r="T6020" t="s">
        <v>48271</v>
      </c>
      <c r="U6020" t="s">
        <v>53782</v>
      </c>
      <c r="W6020" t="s">
        <v>43185</v>
      </c>
      <c r="X6020" t="s">
        <v>46574</v>
      </c>
    </row>
    <row r="6021" spans="1:24">
      <c r="A6021">
        <f>HYPERLINK("https://www.philgeps.gov.ph/GEPSNONPILOT/Tender/SplashBidNoticeAbstractUI.aspx?menuIndex=3&amp;refID=7060314&amp;Result=3","7060314")</f>
        <v>0</v>
      </c>
      <c r="B6021" t="s">
        <v>594</v>
      </c>
      <c r="C6021" t="s">
        <v>9262</v>
      </c>
      <c r="D6021" t="s">
        <v>18784</v>
      </c>
      <c r="E6021" t="s">
        <v>24238</v>
      </c>
      <c r="F6021" t="s">
        <v>32664</v>
      </c>
      <c r="G6021" t="s">
        <v>32671</v>
      </c>
      <c r="H6021" t="s">
        <v>12635</v>
      </c>
      <c r="I6021" t="s">
        <v>32701</v>
      </c>
      <c r="J6021" t="s">
        <v>32842</v>
      </c>
      <c r="K6021" t="s">
        <v>42297</v>
      </c>
      <c r="M6021" t="s">
        <v>43793</v>
      </c>
      <c r="N6021" t="s">
        <v>46569</v>
      </c>
      <c r="O6021" t="s">
        <v>46570</v>
      </c>
      <c r="P6021">
        <v>0</v>
      </c>
      <c r="Q6021">
        <v>2</v>
      </c>
      <c r="R6021" t="s">
        <v>46573</v>
      </c>
      <c r="S6021" t="s">
        <v>46705</v>
      </c>
      <c r="T6021" t="s">
        <v>48461</v>
      </c>
      <c r="U6021" t="s">
        <v>53783</v>
      </c>
      <c r="V6021" t="s">
        <v>61909</v>
      </c>
      <c r="W6021" t="s">
        <v>43793</v>
      </c>
      <c r="X6021" t="s">
        <v>46574</v>
      </c>
    </row>
    <row r="6022" spans="1:24">
      <c r="A6022">
        <f>HYPERLINK("https://www.philgeps.gov.ph/GEPSNONPILOT/Tender/SplashBidNoticeAbstractUI.aspx?menuIndex=3&amp;refID=7060253&amp;Result=3","7060253")</f>
        <v>0</v>
      </c>
      <c r="B6022" t="s">
        <v>902</v>
      </c>
      <c r="C6022" t="s">
        <v>9263</v>
      </c>
      <c r="D6022" t="s">
        <v>18785</v>
      </c>
      <c r="E6022" t="s">
        <v>24239</v>
      </c>
      <c r="F6022" t="s">
        <v>32664</v>
      </c>
      <c r="G6022" t="s">
        <v>32671</v>
      </c>
      <c r="H6022" t="s">
        <v>12635</v>
      </c>
      <c r="I6022" t="s">
        <v>6223</v>
      </c>
      <c r="J6022" t="s">
        <v>36573</v>
      </c>
      <c r="K6022" t="s">
        <v>42305</v>
      </c>
      <c r="M6022" t="s">
        <v>43506</v>
      </c>
      <c r="N6022" t="s">
        <v>46569</v>
      </c>
      <c r="O6022" t="s">
        <v>46570</v>
      </c>
      <c r="P6022">
        <v>0</v>
      </c>
      <c r="Q6022">
        <v>0</v>
      </c>
      <c r="R6022" t="s">
        <v>46573</v>
      </c>
      <c r="S6022" t="s">
        <v>46705</v>
      </c>
      <c r="T6022" t="s">
        <v>48316</v>
      </c>
      <c r="U6022" t="s">
        <v>53784</v>
      </c>
      <c r="W6022" t="s">
        <v>63494</v>
      </c>
      <c r="X6022" t="s">
        <v>46574</v>
      </c>
    </row>
    <row r="6023" spans="1:24">
      <c r="A6023">
        <f>HYPERLINK("https://www.philgeps.gov.ph/GEPSNONPILOT/Tender/SplashBidNoticeAbstractUI.aspx?menuIndex=3&amp;refID=7060313&amp;Result=3","7060313")</f>
        <v>0</v>
      </c>
      <c r="B6023" t="s">
        <v>1974</v>
      </c>
      <c r="C6023" t="s">
        <v>9264</v>
      </c>
      <c r="D6023" t="s">
        <v>18857</v>
      </c>
      <c r="E6023" t="s">
        <v>24240</v>
      </c>
      <c r="F6023" t="s">
        <v>32664</v>
      </c>
      <c r="G6023" t="s">
        <v>32671</v>
      </c>
      <c r="H6023" t="s">
        <v>12635</v>
      </c>
      <c r="I6023" t="s">
        <v>32685</v>
      </c>
      <c r="J6023" t="s">
        <v>36574</v>
      </c>
      <c r="K6023" t="s">
        <v>42289</v>
      </c>
      <c r="M6023" t="s">
        <v>44708</v>
      </c>
      <c r="N6023" t="s">
        <v>46569</v>
      </c>
      <c r="O6023" t="s">
        <v>46570</v>
      </c>
      <c r="P6023">
        <v>0</v>
      </c>
      <c r="Q6023">
        <v>0</v>
      </c>
      <c r="R6023" t="s">
        <v>46573</v>
      </c>
      <c r="S6023" t="s">
        <v>46705</v>
      </c>
      <c r="T6023" t="s">
        <v>48254</v>
      </c>
      <c r="U6023" t="s">
        <v>53785</v>
      </c>
      <c r="W6023" t="s">
        <v>44708</v>
      </c>
      <c r="X6023" t="s">
        <v>46574</v>
      </c>
    </row>
    <row r="6024" spans="1:24">
      <c r="A6024">
        <f>HYPERLINK("https://www.philgeps.gov.ph/GEPSNONPILOT/Tender/SplashBidNoticeAbstractUI.aspx?menuIndex=3&amp;refID=7060312&amp;Result=3","7060312")</f>
        <v>0</v>
      </c>
      <c r="B6024" t="s">
        <v>1511</v>
      </c>
      <c r="C6024" t="s">
        <v>9265</v>
      </c>
      <c r="D6024" t="s">
        <v>18784</v>
      </c>
      <c r="E6024" t="s">
        <v>20570</v>
      </c>
      <c r="F6024" t="s">
        <v>32664</v>
      </c>
      <c r="G6024" t="s">
        <v>32671</v>
      </c>
      <c r="H6024" t="s">
        <v>12635</v>
      </c>
      <c r="I6024" t="s">
        <v>32752</v>
      </c>
      <c r="J6024" t="s">
        <v>32976</v>
      </c>
      <c r="K6024" t="s">
        <v>42309</v>
      </c>
      <c r="M6024" t="s">
        <v>44733</v>
      </c>
      <c r="N6024" t="s">
        <v>46569</v>
      </c>
      <c r="O6024" t="s">
        <v>46570</v>
      </c>
      <c r="P6024">
        <v>0</v>
      </c>
      <c r="Q6024">
        <v>0</v>
      </c>
      <c r="R6024" t="s">
        <v>46573</v>
      </c>
      <c r="S6024" t="s">
        <v>46705</v>
      </c>
      <c r="T6024" t="s">
        <v>48492</v>
      </c>
      <c r="U6024" t="s">
        <v>53786</v>
      </c>
      <c r="W6024" t="s">
        <v>44733</v>
      </c>
      <c r="X6024" t="s">
        <v>46574</v>
      </c>
    </row>
    <row r="6025" spans="1:24">
      <c r="A6025">
        <f>HYPERLINK("https://www.philgeps.gov.ph/GEPSNONPILOT/Tender/SplashBidNoticeAbstractUI.aspx?menuIndex=3&amp;refID=7060311&amp;Result=3","7060311")</f>
        <v>0</v>
      </c>
      <c r="B6025" t="s">
        <v>1997</v>
      </c>
      <c r="C6025" t="s">
        <v>9266</v>
      </c>
      <c r="D6025" t="s">
        <v>18810</v>
      </c>
      <c r="E6025" t="s">
        <v>24241</v>
      </c>
      <c r="F6025" t="s">
        <v>32664</v>
      </c>
      <c r="G6025" t="s">
        <v>32672</v>
      </c>
      <c r="H6025" t="s">
        <v>32683</v>
      </c>
      <c r="I6025" t="s">
        <v>10627</v>
      </c>
      <c r="J6025" t="s">
        <v>32917</v>
      </c>
      <c r="K6025" t="s">
        <v>42283</v>
      </c>
      <c r="M6025" t="s">
        <v>44734</v>
      </c>
      <c r="N6025" t="s">
        <v>46569</v>
      </c>
      <c r="O6025" t="s">
        <v>46570</v>
      </c>
      <c r="P6025">
        <v>0</v>
      </c>
      <c r="Q6025">
        <v>0</v>
      </c>
      <c r="R6025" t="s">
        <v>46573</v>
      </c>
      <c r="S6025" t="s">
        <v>46705</v>
      </c>
      <c r="T6025" t="s">
        <v>48308</v>
      </c>
      <c r="U6025" t="s">
        <v>53787</v>
      </c>
      <c r="W6025" t="s">
        <v>44734</v>
      </c>
      <c r="X6025" t="s">
        <v>46574</v>
      </c>
    </row>
    <row r="6026" spans="1:24">
      <c r="A6026">
        <f>HYPERLINK("https://www.philgeps.gov.ph/GEPSNONPILOT/Tender/SplashBidNoticeAbstractUI.aspx?menuIndex=3&amp;refID=7060344&amp;Result=3","7060344")</f>
        <v>0</v>
      </c>
      <c r="B6026" t="s">
        <v>1998</v>
      </c>
      <c r="C6026" t="s">
        <v>9267</v>
      </c>
      <c r="D6026" t="s">
        <v>18817</v>
      </c>
      <c r="E6026" t="s">
        <v>24242</v>
      </c>
      <c r="F6026" t="s">
        <v>32664</v>
      </c>
      <c r="G6026" t="s">
        <v>32671</v>
      </c>
      <c r="H6026" t="s">
        <v>12635</v>
      </c>
      <c r="I6026" t="s">
        <v>6168</v>
      </c>
      <c r="J6026" t="s">
        <v>36575</v>
      </c>
      <c r="K6026" t="s">
        <v>42306</v>
      </c>
      <c r="M6026" t="s">
        <v>44735</v>
      </c>
      <c r="N6026" t="s">
        <v>46569</v>
      </c>
      <c r="O6026" t="s">
        <v>46570</v>
      </c>
      <c r="P6026">
        <v>0</v>
      </c>
      <c r="Q6026">
        <v>0</v>
      </c>
      <c r="R6026" t="s">
        <v>46573</v>
      </c>
      <c r="S6026" t="s">
        <v>46705</v>
      </c>
      <c r="T6026" t="s">
        <v>48450</v>
      </c>
      <c r="U6026" t="s">
        <v>53788</v>
      </c>
      <c r="W6026" t="s">
        <v>44735</v>
      </c>
      <c r="X6026" t="s">
        <v>46574</v>
      </c>
    </row>
    <row r="6027" spans="1:24">
      <c r="A6027">
        <f>HYPERLINK("https://www.philgeps.gov.ph/GEPSNONPILOT/Tender/SplashBidNoticeAbstractUI.aspx?menuIndex=3&amp;refID=7060321&amp;Result=3","7060321")</f>
        <v>0</v>
      </c>
      <c r="B6027" t="s">
        <v>1999</v>
      </c>
      <c r="C6027" t="s">
        <v>9268</v>
      </c>
      <c r="D6027" t="s">
        <v>18798</v>
      </c>
      <c r="E6027" t="s">
        <v>19681</v>
      </c>
      <c r="F6027" t="s">
        <v>32665</v>
      </c>
      <c r="G6027" t="s">
        <v>32672</v>
      </c>
      <c r="H6027" t="s">
        <v>32682</v>
      </c>
      <c r="I6027" t="s">
        <v>9486</v>
      </c>
      <c r="J6027" t="s">
        <v>33069</v>
      </c>
      <c r="K6027" t="s">
        <v>42332</v>
      </c>
      <c r="M6027" t="s">
        <v>44736</v>
      </c>
      <c r="N6027" t="s">
        <v>46569</v>
      </c>
      <c r="O6027" t="s">
        <v>46570</v>
      </c>
      <c r="P6027">
        <v>0</v>
      </c>
      <c r="Q6027">
        <v>0</v>
      </c>
      <c r="R6027" t="s">
        <v>46573</v>
      </c>
      <c r="S6027" t="s">
        <v>46705</v>
      </c>
      <c r="T6027" t="s">
        <v>48327</v>
      </c>
      <c r="U6027" t="s">
        <v>53789</v>
      </c>
      <c r="W6027" t="s">
        <v>44736</v>
      </c>
      <c r="X6027" t="s">
        <v>46574</v>
      </c>
    </row>
    <row r="6028" spans="1:24">
      <c r="A6028">
        <f>HYPERLINK("https://www.philgeps.gov.ph/GEPSNONPILOT/Tender/SplashBidNoticeAbstractUI.aspx?menuIndex=3&amp;refID=7060349&amp;Result=3","7060349")</f>
        <v>0</v>
      </c>
      <c r="B6028" t="s">
        <v>2000</v>
      </c>
      <c r="C6028" t="s">
        <v>9269</v>
      </c>
      <c r="D6028" t="s">
        <v>18841</v>
      </c>
      <c r="E6028" t="s">
        <v>24243</v>
      </c>
      <c r="F6028" t="s">
        <v>32664</v>
      </c>
      <c r="G6028" t="s">
        <v>32672</v>
      </c>
      <c r="H6028" t="s">
        <v>12635</v>
      </c>
      <c r="I6028" t="s">
        <v>32694</v>
      </c>
      <c r="J6028" t="s">
        <v>36576</v>
      </c>
      <c r="K6028" t="s">
        <v>42305</v>
      </c>
      <c r="M6028" t="s">
        <v>44737</v>
      </c>
      <c r="N6028" t="s">
        <v>46569</v>
      </c>
      <c r="O6028" t="s">
        <v>46570</v>
      </c>
      <c r="P6028">
        <v>0</v>
      </c>
      <c r="Q6028">
        <v>1</v>
      </c>
      <c r="R6028" t="s">
        <v>46573</v>
      </c>
      <c r="S6028" t="s">
        <v>46705</v>
      </c>
      <c r="T6028" t="s">
        <v>48308</v>
      </c>
      <c r="U6028" t="s">
        <v>53790</v>
      </c>
      <c r="W6028" t="s">
        <v>44737</v>
      </c>
      <c r="X6028" t="s">
        <v>46574</v>
      </c>
    </row>
    <row r="6029" spans="1:24">
      <c r="A6029">
        <f>HYPERLINK("https://www.philgeps.gov.ph/GEPSNONPILOT/Tender/SplashBidNoticeAbstractUI.aspx?menuIndex=3&amp;refID=7060315&amp;Result=3","7060315")</f>
        <v>0</v>
      </c>
      <c r="B6029" t="s">
        <v>1574</v>
      </c>
      <c r="C6029" t="s">
        <v>9270</v>
      </c>
      <c r="D6029" t="s">
        <v>18830</v>
      </c>
      <c r="E6029" t="s">
        <v>24244</v>
      </c>
      <c r="F6029" t="s">
        <v>32664</v>
      </c>
      <c r="G6029" t="s">
        <v>32672</v>
      </c>
      <c r="H6029" t="s">
        <v>12635</v>
      </c>
      <c r="I6029" t="s">
        <v>32701</v>
      </c>
      <c r="J6029" t="s">
        <v>36577</v>
      </c>
      <c r="K6029" t="s">
        <v>42289</v>
      </c>
      <c r="M6029" t="s">
        <v>44249</v>
      </c>
      <c r="N6029" t="s">
        <v>46569</v>
      </c>
      <c r="O6029" t="s">
        <v>46570</v>
      </c>
      <c r="P6029">
        <v>0</v>
      </c>
      <c r="Q6029">
        <v>1</v>
      </c>
      <c r="R6029" t="s">
        <v>46573</v>
      </c>
      <c r="S6029" t="s">
        <v>46705</v>
      </c>
      <c r="T6029" t="s">
        <v>48296</v>
      </c>
      <c r="U6029" t="s">
        <v>53791</v>
      </c>
      <c r="V6029" t="s">
        <v>62075</v>
      </c>
      <c r="W6029" t="s">
        <v>44249</v>
      </c>
      <c r="X6029" t="s">
        <v>46574</v>
      </c>
    </row>
    <row r="6030" spans="1:24">
      <c r="A6030">
        <f>HYPERLINK("https://www.philgeps.gov.ph/GEPSNONPILOT/Tender/SplashBidNoticeAbstractUI.aspx?menuIndex=3&amp;refID=7060348&amp;Result=3","7060348")</f>
        <v>0</v>
      </c>
      <c r="B6030" t="s">
        <v>754</v>
      </c>
      <c r="C6030" t="s">
        <v>9271</v>
      </c>
      <c r="E6030" t="s">
        <v>24245</v>
      </c>
      <c r="F6030" t="s">
        <v>32664</v>
      </c>
      <c r="G6030" t="s">
        <v>32671</v>
      </c>
      <c r="H6030" t="s">
        <v>12635</v>
      </c>
      <c r="I6030" t="s">
        <v>10370</v>
      </c>
      <c r="J6030" t="s">
        <v>36578</v>
      </c>
      <c r="K6030" t="s">
        <v>42283</v>
      </c>
      <c r="M6030" t="s">
        <v>44738</v>
      </c>
      <c r="N6030" t="s">
        <v>46569</v>
      </c>
      <c r="O6030" t="s">
        <v>46570</v>
      </c>
      <c r="P6030">
        <v>0</v>
      </c>
      <c r="Q6030">
        <v>4</v>
      </c>
      <c r="R6030" t="s">
        <v>46573</v>
      </c>
      <c r="S6030" t="s">
        <v>46705</v>
      </c>
      <c r="T6030" t="s">
        <v>48287</v>
      </c>
      <c r="U6030" t="s">
        <v>53792</v>
      </c>
      <c r="W6030" t="s">
        <v>44738</v>
      </c>
      <c r="X6030" t="s">
        <v>46574</v>
      </c>
    </row>
    <row r="6031" spans="1:24">
      <c r="A6031">
        <f>HYPERLINK("https://www.philgeps.gov.ph/GEPSNONPILOT/Tender/SplashBidNoticeAbstractUI.aspx?menuIndex=3&amp;refID=7060345&amp;Result=3","7060345")</f>
        <v>0</v>
      </c>
      <c r="B6031" t="s">
        <v>2001</v>
      </c>
      <c r="C6031" t="s">
        <v>9272</v>
      </c>
      <c r="D6031" t="s">
        <v>18831</v>
      </c>
      <c r="E6031" t="s">
        <v>24246</v>
      </c>
      <c r="F6031" t="s">
        <v>32664</v>
      </c>
      <c r="G6031" t="s">
        <v>32672</v>
      </c>
      <c r="H6031" t="s">
        <v>12635</v>
      </c>
      <c r="I6031" t="s">
        <v>11464</v>
      </c>
      <c r="J6031" t="s">
        <v>36579</v>
      </c>
      <c r="K6031" t="s">
        <v>42283</v>
      </c>
      <c r="M6031" t="s">
        <v>44739</v>
      </c>
      <c r="N6031" t="s">
        <v>46569</v>
      </c>
      <c r="O6031" t="s">
        <v>46570</v>
      </c>
      <c r="P6031">
        <v>0</v>
      </c>
      <c r="Q6031">
        <v>0</v>
      </c>
      <c r="R6031" t="s">
        <v>46573</v>
      </c>
      <c r="S6031" t="s">
        <v>46705</v>
      </c>
      <c r="T6031" t="s">
        <v>48304</v>
      </c>
      <c r="U6031" t="s">
        <v>53793</v>
      </c>
      <c r="W6031" t="s">
        <v>44739</v>
      </c>
      <c r="X6031" t="s">
        <v>46574</v>
      </c>
    </row>
    <row r="6032" spans="1:24">
      <c r="A6032">
        <f>HYPERLINK("https://www.philgeps.gov.ph/GEPSNONPILOT/Tender/SplashBidNoticeAbstractUI.aspx?menuIndex=3&amp;refID=7060225&amp;Result=3","7060225")</f>
        <v>0</v>
      </c>
      <c r="B6032" t="s">
        <v>1578</v>
      </c>
      <c r="C6032" t="s">
        <v>9273</v>
      </c>
      <c r="D6032" t="s">
        <v>18783</v>
      </c>
      <c r="E6032" t="s">
        <v>24247</v>
      </c>
      <c r="F6032" t="s">
        <v>32664</v>
      </c>
      <c r="G6032" t="s">
        <v>32672</v>
      </c>
      <c r="H6032" t="s">
        <v>12635</v>
      </c>
      <c r="I6032" t="s">
        <v>4439</v>
      </c>
      <c r="J6032" t="s">
        <v>36580</v>
      </c>
      <c r="K6032" t="s">
        <v>42281</v>
      </c>
      <c r="M6032" t="s">
        <v>44254</v>
      </c>
      <c r="N6032" t="s">
        <v>46569</v>
      </c>
      <c r="O6032" t="s">
        <v>46570</v>
      </c>
      <c r="P6032">
        <v>0</v>
      </c>
      <c r="Q6032">
        <v>0</v>
      </c>
      <c r="R6032" t="s">
        <v>46573</v>
      </c>
      <c r="S6032" t="s">
        <v>46705</v>
      </c>
      <c r="T6032" t="s">
        <v>48349</v>
      </c>
      <c r="U6032" t="s">
        <v>52425</v>
      </c>
      <c r="W6032" t="s">
        <v>44254</v>
      </c>
      <c r="X6032" t="s">
        <v>46574</v>
      </c>
    </row>
    <row r="6033" spans="1:24">
      <c r="A6033">
        <f>HYPERLINK("https://www.philgeps.gov.ph/GEPSNONPILOT/Tender/SplashBidNoticeAbstractUI.aspx?menuIndex=3&amp;refID=7060326&amp;Result=3","7060326")</f>
        <v>0</v>
      </c>
      <c r="B6033" t="s">
        <v>556</v>
      </c>
      <c r="C6033" t="s">
        <v>9274</v>
      </c>
      <c r="D6033" t="s">
        <v>18843</v>
      </c>
      <c r="E6033" t="s">
        <v>24248</v>
      </c>
      <c r="F6033" t="s">
        <v>32664</v>
      </c>
      <c r="G6033" t="s">
        <v>32671</v>
      </c>
      <c r="H6033" t="s">
        <v>12635</v>
      </c>
      <c r="I6033" t="s">
        <v>6118</v>
      </c>
      <c r="J6033" t="s">
        <v>36581</v>
      </c>
      <c r="K6033" t="s">
        <v>42284</v>
      </c>
      <c r="M6033" t="s">
        <v>43136</v>
      </c>
      <c r="N6033" t="s">
        <v>46569</v>
      </c>
      <c r="O6033" t="s">
        <v>46570</v>
      </c>
      <c r="P6033">
        <v>0</v>
      </c>
      <c r="Q6033">
        <v>0</v>
      </c>
      <c r="R6033" t="s">
        <v>46573</v>
      </c>
      <c r="S6033" t="s">
        <v>46705</v>
      </c>
      <c r="T6033" t="s">
        <v>48307</v>
      </c>
      <c r="U6033" t="s">
        <v>53794</v>
      </c>
      <c r="W6033" t="s">
        <v>43136</v>
      </c>
      <c r="X6033" t="s">
        <v>46574</v>
      </c>
    </row>
    <row r="6034" spans="1:24">
      <c r="A6034">
        <f>HYPERLINK("https://www.philgeps.gov.ph/GEPSNONPILOT/Tender/SplashBidNoticeAbstractUI.aspx?menuIndex=3&amp;refID=7060342&amp;Result=3","7060342")</f>
        <v>0</v>
      </c>
      <c r="B6034" t="s">
        <v>1944</v>
      </c>
      <c r="C6034" t="s">
        <v>9275</v>
      </c>
      <c r="D6034" t="s">
        <v>18806</v>
      </c>
      <c r="E6034" t="s">
        <v>24249</v>
      </c>
      <c r="F6034" t="s">
        <v>32664</v>
      </c>
      <c r="G6034" t="s">
        <v>32672</v>
      </c>
      <c r="H6034" t="s">
        <v>12635</v>
      </c>
      <c r="I6034" t="s">
        <v>4439</v>
      </c>
      <c r="J6034" t="s">
        <v>36582</v>
      </c>
      <c r="K6034" t="s">
        <v>42297</v>
      </c>
      <c r="M6034" t="s">
        <v>44669</v>
      </c>
      <c r="N6034" t="s">
        <v>46569</v>
      </c>
      <c r="O6034" t="s">
        <v>46570</v>
      </c>
      <c r="P6034">
        <v>0</v>
      </c>
      <c r="Q6034">
        <v>0</v>
      </c>
      <c r="R6034" t="s">
        <v>46573</v>
      </c>
      <c r="S6034" t="s">
        <v>46705</v>
      </c>
      <c r="T6034" t="s">
        <v>48308</v>
      </c>
      <c r="U6034" t="s">
        <v>53795</v>
      </c>
      <c r="V6034" t="s">
        <v>62224</v>
      </c>
      <c r="W6034" t="s">
        <v>44669</v>
      </c>
      <c r="X6034" t="s">
        <v>46574</v>
      </c>
    </row>
    <row r="6035" spans="1:24">
      <c r="A6035">
        <f>HYPERLINK("https://www.philgeps.gov.ph/GEPSNONPILOT/Tender/SplashBidNoticeAbstractUI.aspx?menuIndex=3&amp;refID=7060341&amp;Result=3","7060341")</f>
        <v>0</v>
      </c>
      <c r="B6035" t="s">
        <v>2002</v>
      </c>
      <c r="C6035" t="s">
        <v>9276</v>
      </c>
      <c r="D6035" t="s">
        <v>18851</v>
      </c>
      <c r="E6035" t="s">
        <v>21424</v>
      </c>
      <c r="F6035" t="s">
        <v>32664</v>
      </c>
      <c r="G6035" t="s">
        <v>32671</v>
      </c>
      <c r="H6035" t="s">
        <v>12635</v>
      </c>
      <c r="I6035" t="s">
        <v>6223</v>
      </c>
      <c r="J6035" t="s">
        <v>36583</v>
      </c>
      <c r="K6035" t="s">
        <v>42284</v>
      </c>
      <c r="M6035" t="s">
        <v>44740</v>
      </c>
      <c r="N6035" t="s">
        <v>46569</v>
      </c>
      <c r="O6035" t="s">
        <v>46570</v>
      </c>
      <c r="P6035">
        <v>0</v>
      </c>
      <c r="Q6035">
        <v>0</v>
      </c>
      <c r="R6035" t="s">
        <v>46573</v>
      </c>
      <c r="S6035" t="s">
        <v>46705</v>
      </c>
      <c r="T6035" t="s">
        <v>48376</v>
      </c>
      <c r="U6035" t="s">
        <v>53796</v>
      </c>
      <c r="W6035" t="s">
        <v>44740</v>
      </c>
      <c r="X6035" t="s">
        <v>46574</v>
      </c>
    </row>
    <row r="6036" spans="1:24">
      <c r="A6036">
        <f>HYPERLINK("https://www.philgeps.gov.ph/GEPSNONPILOT/Tender/SplashBidNoticeAbstractUI.aspx?menuIndex=3&amp;refID=7060339&amp;Result=3","7060339")</f>
        <v>0</v>
      </c>
      <c r="B6036" t="s">
        <v>372</v>
      </c>
      <c r="C6036" t="s">
        <v>9277</v>
      </c>
      <c r="D6036" t="s">
        <v>18827</v>
      </c>
      <c r="E6036" t="s">
        <v>24250</v>
      </c>
      <c r="F6036" t="s">
        <v>32664</v>
      </c>
      <c r="G6036" t="s">
        <v>32674</v>
      </c>
      <c r="H6036" t="s">
        <v>12635</v>
      </c>
      <c r="I6036" t="s">
        <v>6168</v>
      </c>
      <c r="J6036" t="s">
        <v>33095</v>
      </c>
      <c r="K6036" t="s">
        <v>42332</v>
      </c>
      <c r="M6036" t="s">
        <v>42942</v>
      </c>
      <c r="N6036" t="s">
        <v>46569</v>
      </c>
      <c r="O6036" t="s">
        <v>46570</v>
      </c>
      <c r="P6036">
        <v>0</v>
      </c>
      <c r="Q6036">
        <v>4</v>
      </c>
      <c r="R6036" t="s">
        <v>46573</v>
      </c>
      <c r="S6036" t="s">
        <v>46705</v>
      </c>
      <c r="T6036" t="s">
        <v>48244</v>
      </c>
      <c r="U6036" t="s">
        <v>49489</v>
      </c>
      <c r="W6036" t="s">
        <v>42942</v>
      </c>
      <c r="X6036" t="s">
        <v>46574</v>
      </c>
    </row>
    <row r="6037" spans="1:24">
      <c r="A6037">
        <f>HYPERLINK("https://www.philgeps.gov.ph/GEPSNONPILOT/Tender/SplashBidNoticeAbstractUI.aspx?menuIndex=3&amp;refID=7060323&amp;Result=3","7060323")</f>
        <v>0</v>
      </c>
      <c r="B6037" t="s">
        <v>752</v>
      </c>
      <c r="C6037" t="s">
        <v>9278</v>
      </c>
      <c r="D6037" t="s">
        <v>18842</v>
      </c>
      <c r="E6037" t="s">
        <v>24251</v>
      </c>
      <c r="F6037" t="s">
        <v>32664</v>
      </c>
      <c r="G6037" t="s">
        <v>32671</v>
      </c>
      <c r="H6037" t="s">
        <v>12635</v>
      </c>
      <c r="I6037" t="s">
        <v>10370</v>
      </c>
      <c r="J6037" t="s">
        <v>33295</v>
      </c>
      <c r="K6037" t="s">
        <v>42297</v>
      </c>
      <c r="M6037" t="s">
        <v>43342</v>
      </c>
      <c r="N6037" t="s">
        <v>46569</v>
      </c>
      <c r="O6037" t="s">
        <v>46570</v>
      </c>
      <c r="P6037">
        <v>0</v>
      </c>
      <c r="Q6037">
        <v>1</v>
      </c>
      <c r="R6037" t="s">
        <v>46573</v>
      </c>
      <c r="S6037" t="s">
        <v>46705</v>
      </c>
      <c r="T6037" t="s">
        <v>48316</v>
      </c>
      <c r="U6037" t="s">
        <v>53797</v>
      </c>
      <c r="W6037" t="s">
        <v>43342</v>
      </c>
      <c r="X6037" t="s">
        <v>46574</v>
      </c>
    </row>
    <row r="6038" spans="1:24">
      <c r="A6038">
        <f>HYPERLINK("https://www.philgeps.gov.ph/GEPSNONPILOT/Tender/SplashBidNoticeAbstractUI.aspx?menuIndex=3&amp;refID=7060335&amp;Result=3","7060335")</f>
        <v>0</v>
      </c>
      <c r="B6038" t="s">
        <v>2003</v>
      </c>
      <c r="C6038" t="s">
        <v>9279</v>
      </c>
      <c r="D6038" t="s">
        <v>18837</v>
      </c>
      <c r="E6038" t="s">
        <v>24252</v>
      </c>
      <c r="F6038" t="s">
        <v>32664</v>
      </c>
      <c r="G6038" t="s">
        <v>32671</v>
      </c>
      <c r="H6038" t="s">
        <v>12635</v>
      </c>
      <c r="I6038" t="s">
        <v>4439</v>
      </c>
      <c r="J6038" t="s">
        <v>36584</v>
      </c>
      <c r="K6038" t="s">
        <v>42283</v>
      </c>
      <c r="M6038" t="s">
        <v>44741</v>
      </c>
      <c r="N6038" t="s">
        <v>46569</v>
      </c>
      <c r="O6038" t="s">
        <v>46570</v>
      </c>
      <c r="P6038">
        <v>0</v>
      </c>
      <c r="Q6038">
        <v>0</v>
      </c>
      <c r="R6038" t="s">
        <v>46573</v>
      </c>
      <c r="S6038" t="s">
        <v>46705</v>
      </c>
      <c r="T6038" t="s">
        <v>48254</v>
      </c>
      <c r="U6038" t="s">
        <v>49881</v>
      </c>
      <c r="W6038" t="s">
        <v>44741</v>
      </c>
      <c r="X6038" t="s">
        <v>46574</v>
      </c>
    </row>
    <row r="6039" spans="1:24">
      <c r="A6039">
        <f>HYPERLINK("https://www.philgeps.gov.ph/GEPSNONPILOT/Tender/SplashBidNoticeAbstractUI.aspx?menuIndex=3&amp;refID=7060334&amp;Result=3","7060334")</f>
        <v>0</v>
      </c>
      <c r="B6039" t="s">
        <v>594</v>
      </c>
      <c r="C6039" t="s">
        <v>9280</v>
      </c>
      <c r="D6039" t="s">
        <v>18784</v>
      </c>
      <c r="E6039" t="s">
        <v>24253</v>
      </c>
      <c r="F6039" t="s">
        <v>32664</v>
      </c>
      <c r="G6039" t="s">
        <v>32671</v>
      </c>
      <c r="H6039" t="s">
        <v>12635</v>
      </c>
      <c r="I6039" t="s">
        <v>32701</v>
      </c>
      <c r="J6039" t="s">
        <v>36585</v>
      </c>
      <c r="K6039" t="s">
        <v>42297</v>
      </c>
      <c r="M6039" t="s">
        <v>43793</v>
      </c>
      <c r="N6039" t="s">
        <v>46569</v>
      </c>
      <c r="O6039" t="s">
        <v>46570</v>
      </c>
      <c r="P6039">
        <v>0</v>
      </c>
      <c r="Q6039">
        <v>1</v>
      </c>
      <c r="R6039" t="s">
        <v>46573</v>
      </c>
      <c r="S6039" t="s">
        <v>46705</v>
      </c>
      <c r="T6039" t="s">
        <v>48461</v>
      </c>
      <c r="U6039" t="s">
        <v>53798</v>
      </c>
      <c r="V6039" t="s">
        <v>61909</v>
      </c>
      <c r="W6039" t="s">
        <v>43793</v>
      </c>
      <c r="X6039" t="s">
        <v>46574</v>
      </c>
    </row>
    <row r="6040" spans="1:24">
      <c r="A6040">
        <f>HYPERLINK("https://www.philgeps.gov.ph/GEPSNONPILOT/Tender/SplashBidNoticeAbstractUI.aspx?menuIndex=3&amp;refID=7060333&amp;Result=3","7060333")</f>
        <v>0</v>
      </c>
      <c r="B6040" t="s">
        <v>586</v>
      </c>
      <c r="C6040" t="s">
        <v>9281</v>
      </c>
      <c r="D6040" t="s">
        <v>18794</v>
      </c>
      <c r="E6040" t="s">
        <v>9281</v>
      </c>
      <c r="F6040" t="s">
        <v>32664</v>
      </c>
      <c r="G6040" t="s">
        <v>32672</v>
      </c>
      <c r="H6040" t="s">
        <v>12635</v>
      </c>
      <c r="I6040" t="s">
        <v>10590</v>
      </c>
      <c r="J6040" t="s">
        <v>36586</v>
      </c>
      <c r="K6040" t="s">
        <v>42281</v>
      </c>
      <c r="M6040" t="s">
        <v>43166</v>
      </c>
      <c r="N6040" t="s">
        <v>46569</v>
      </c>
      <c r="O6040" t="s">
        <v>46570</v>
      </c>
      <c r="P6040">
        <v>0</v>
      </c>
      <c r="Q6040">
        <v>0</v>
      </c>
      <c r="R6040" t="s">
        <v>46573</v>
      </c>
      <c r="S6040" t="s">
        <v>46705</v>
      </c>
      <c r="T6040" t="s">
        <v>48306</v>
      </c>
      <c r="U6040" t="s">
        <v>53799</v>
      </c>
      <c r="W6040" t="s">
        <v>43166</v>
      </c>
      <c r="X6040" t="s">
        <v>46574</v>
      </c>
    </row>
    <row r="6041" spans="1:24">
      <c r="A6041">
        <f>HYPERLINK("https://www.philgeps.gov.ph/GEPSNONPILOT/Tender/SplashBidNoticeAbstractUI.aspx?menuIndex=3&amp;refID=7060336&amp;Result=3","7060336")</f>
        <v>0</v>
      </c>
      <c r="B6041" t="s">
        <v>1374</v>
      </c>
      <c r="C6041" t="s">
        <v>9282</v>
      </c>
      <c r="D6041" t="s">
        <v>18821</v>
      </c>
      <c r="E6041" t="s">
        <v>24254</v>
      </c>
      <c r="F6041" t="s">
        <v>32664</v>
      </c>
      <c r="G6041" t="s">
        <v>32672</v>
      </c>
      <c r="H6041" t="s">
        <v>12635</v>
      </c>
      <c r="I6041" t="s">
        <v>4205</v>
      </c>
      <c r="J6041" t="s">
        <v>32898</v>
      </c>
      <c r="K6041" t="s">
        <v>42297</v>
      </c>
      <c r="M6041" t="s">
        <v>44029</v>
      </c>
      <c r="N6041" t="s">
        <v>46569</v>
      </c>
      <c r="O6041" t="s">
        <v>46570</v>
      </c>
      <c r="P6041">
        <v>0</v>
      </c>
      <c r="Q6041">
        <v>0</v>
      </c>
      <c r="R6041" t="s">
        <v>46573</v>
      </c>
      <c r="S6041" t="s">
        <v>46705</v>
      </c>
      <c r="T6041" t="s">
        <v>48368</v>
      </c>
      <c r="U6041" t="s">
        <v>53629</v>
      </c>
      <c r="W6041" t="s">
        <v>44029</v>
      </c>
      <c r="X6041" t="s">
        <v>46574</v>
      </c>
    </row>
    <row r="6042" spans="1:24">
      <c r="A6042">
        <f>HYPERLINK("https://www.philgeps.gov.ph/GEPSNONPILOT/Tender/SplashBidNoticeAbstractUI.aspx?menuIndex=3&amp;refID=7060332&amp;Result=3","7060332")</f>
        <v>0</v>
      </c>
      <c r="B6042" t="s">
        <v>1811</v>
      </c>
      <c r="C6042" t="s">
        <v>9283</v>
      </c>
      <c r="D6042" t="s">
        <v>18805</v>
      </c>
      <c r="E6042" t="s">
        <v>24255</v>
      </c>
      <c r="F6042" t="s">
        <v>32664</v>
      </c>
      <c r="G6042" t="s">
        <v>32672</v>
      </c>
      <c r="H6042" t="s">
        <v>12635</v>
      </c>
      <c r="I6042" t="s">
        <v>32694</v>
      </c>
      <c r="J6042" t="s">
        <v>36587</v>
      </c>
      <c r="K6042" t="s">
        <v>42283</v>
      </c>
      <c r="M6042" t="s">
        <v>44517</v>
      </c>
      <c r="N6042" t="s">
        <v>46569</v>
      </c>
      <c r="O6042" t="s">
        <v>46570</v>
      </c>
      <c r="P6042">
        <v>0</v>
      </c>
      <c r="Q6042">
        <v>0</v>
      </c>
      <c r="R6042" t="s">
        <v>46573</v>
      </c>
      <c r="S6042" t="s">
        <v>46705</v>
      </c>
      <c r="T6042" t="s">
        <v>48411</v>
      </c>
      <c r="U6042" t="s">
        <v>53800</v>
      </c>
      <c r="V6042" t="s">
        <v>62197</v>
      </c>
      <c r="W6042" t="s">
        <v>44517</v>
      </c>
      <c r="X6042" t="s">
        <v>46574</v>
      </c>
    </row>
    <row r="6043" spans="1:24">
      <c r="A6043">
        <f>HYPERLINK("https://www.philgeps.gov.ph/GEPSNONPILOT/Tender/SplashBidNoticeAbstractUI.aspx?menuIndex=3&amp;refID=7060330&amp;Result=3","7060330")</f>
        <v>0</v>
      </c>
      <c r="B6043" t="s">
        <v>1567</v>
      </c>
      <c r="C6043" t="s">
        <v>9284</v>
      </c>
      <c r="D6043" t="s">
        <v>18817</v>
      </c>
      <c r="E6043" t="s">
        <v>24256</v>
      </c>
      <c r="F6043" t="s">
        <v>32664</v>
      </c>
      <c r="G6043" t="s">
        <v>32672</v>
      </c>
      <c r="H6043" t="s">
        <v>32683</v>
      </c>
      <c r="I6043" t="s">
        <v>10627</v>
      </c>
      <c r="J6043" t="s">
        <v>32981</v>
      </c>
      <c r="K6043" t="s">
        <v>42298</v>
      </c>
      <c r="M6043" t="s">
        <v>44240</v>
      </c>
      <c r="N6043" t="s">
        <v>46569</v>
      </c>
      <c r="O6043" t="s">
        <v>46570</v>
      </c>
      <c r="P6043">
        <v>0</v>
      </c>
      <c r="Q6043">
        <v>0</v>
      </c>
      <c r="R6043" t="s">
        <v>46573</v>
      </c>
      <c r="S6043" t="s">
        <v>46705</v>
      </c>
      <c r="T6043" t="s">
        <v>48302</v>
      </c>
      <c r="U6043" t="s">
        <v>53801</v>
      </c>
      <c r="W6043" t="s">
        <v>44240</v>
      </c>
      <c r="X6043" t="s">
        <v>46574</v>
      </c>
    </row>
    <row r="6044" spans="1:24">
      <c r="A6044">
        <f>HYPERLINK("https://www.philgeps.gov.ph/GEPSNONPILOT/Tender/SplashBidNoticeAbstractUI.aspx?menuIndex=3&amp;refID=7060325&amp;Result=3","7060325")</f>
        <v>0</v>
      </c>
      <c r="B6044" t="s">
        <v>605</v>
      </c>
      <c r="C6044" t="s">
        <v>9285</v>
      </c>
      <c r="D6044" t="s">
        <v>18858</v>
      </c>
      <c r="E6044" t="s">
        <v>24257</v>
      </c>
      <c r="F6044" t="s">
        <v>32664</v>
      </c>
      <c r="G6044" t="s">
        <v>32671</v>
      </c>
      <c r="H6044" t="s">
        <v>12635</v>
      </c>
      <c r="I6044" t="s">
        <v>10370</v>
      </c>
      <c r="J6044" t="s">
        <v>36588</v>
      </c>
      <c r="K6044" t="s">
        <v>42289</v>
      </c>
      <c r="M6044" t="s">
        <v>43185</v>
      </c>
      <c r="N6044" t="s">
        <v>46569</v>
      </c>
      <c r="O6044" t="s">
        <v>46570</v>
      </c>
      <c r="P6044">
        <v>0</v>
      </c>
      <c r="Q6044">
        <v>4</v>
      </c>
      <c r="R6044" t="s">
        <v>46573</v>
      </c>
      <c r="S6044" t="s">
        <v>46705</v>
      </c>
      <c r="T6044" t="s">
        <v>48271</v>
      </c>
      <c r="U6044" t="s">
        <v>53802</v>
      </c>
      <c r="W6044" t="s">
        <v>43185</v>
      </c>
      <c r="X6044" t="s">
        <v>46574</v>
      </c>
    </row>
    <row r="6045" spans="1:24">
      <c r="A6045">
        <f>HYPERLINK("https://www.philgeps.gov.ph/GEPSNONPILOT/Tender/SplashBidNoticeAbstractUI.aspx?menuIndex=3&amp;refID=7060310&amp;Result=3","7060310")</f>
        <v>0</v>
      </c>
      <c r="B6045" t="s">
        <v>2004</v>
      </c>
      <c r="C6045" t="s">
        <v>9286</v>
      </c>
      <c r="D6045" t="s">
        <v>18790</v>
      </c>
      <c r="E6045" t="s">
        <v>20931</v>
      </c>
      <c r="F6045" t="s">
        <v>32664</v>
      </c>
      <c r="G6045" t="s">
        <v>32671</v>
      </c>
      <c r="H6045" t="s">
        <v>12635</v>
      </c>
      <c r="I6045" t="s">
        <v>11464</v>
      </c>
      <c r="J6045" t="s">
        <v>33078</v>
      </c>
      <c r="K6045" t="s">
        <v>42309</v>
      </c>
      <c r="M6045" t="s">
        <v>44742</v>
      </c>
      <c r="N6045" t="s">
        <v>46569</v>
      </c>
      <c r="O6045" t="s">
        <v>46570</v>
      </c>
      <c r="P6045">
        <v>0</v>
      </c>
      <c r="Q6045">
        <v>0</v>
      </c>
      <c r="R6045" t="s">
        <v>46573</v>
      </c>
      <c r="S6045" t="s">
        <v>46705</v>
      </c>
      <c r="T6045" t="s">
        <v>48376</v>
      </c>
      <c r="U6045" t="s">
        <v>53803</v>
      </c>
      <c r="W6045" t="s">
        <v>44742</v>
      </c>
      <c r="X6045" t="s">
        <v>46574</v>
      </c>
    </row>
    <row r="6046" spans="1:24">
      <c r="A6046">
        <f>HYPERLINK("https://www.philgeps.gov.ph/GEPSNONPILOT/Tender/SplashBidNoticeAbstractUI.aspx?menuIndex=3&amp;refID=7060309&amp;Result=3","7060309")</f>
        <v>0</v>
      </c>
      <c r="B6046" t="s">
        <v>2005</v>
      </c>
      <c r="C6046" t="s">
        <v>9287</v>
      </c>
      <c r="D6046" t="s">
        <v>18784</v>
      </c>
      <c r="E6046" t="s">
        <v>9287</v>
      </c>
      <c r="F6046" t="s">
        <v>32664</v>
      </c>
      <c r="G6046" t="s">
        <v>32671</v>
      </c>
      <c r="H6046" t="s">
        <v>12635</v>
      </c>
      <c r="I6046" t="s">
        <v>5501</v>
      </c>
      <c r="J6046" t="s">
        <v>35096</v>
      </c>
      <c r="K6046" t="s">
        <v>42289</v>
      </c>
      <c r="M6046" t="s">
        <v>44743</v>
      </c>
      <c r="N6046" t="s">
        <v>46569</v>
      </c>
      <c r="O6046" t="s">
        <v>46570</v>
      </c>
      <c r="P6046">
        <v>0</v>
      </c>
      <c r="Q6046">
        <v>24</v>
      </c>
      <c r="R6046" t="s">
        <v>46573</v>
      </c>
      <c r="S6046" t="s">
        <v>46705</v>
      </c>
      <c r="T6046" t="s">
        <v>48316</v>
      </c>
      <c r="U6046" t="s">
        <v>53804</v>
      </c>
      <c r="W6046" t="s">
        <v>44743</v>
      </c>
      <c r="X6046" t="s">
        <v>46574</v>
      </c>
    </row>
    <row r="6047" spans="1:24">
      <c r="A6047">
        <f>HYPERLINK("https://www.philgeps.gov.ph/GEPSNONPILOT/Tender/SplashBidNoticeAbstractUI.aspx?menuIndex=3&amp;refID=7060337&amp;Result=3","7060337")</f>
        <v>0</v>
      </c>
      <c r="B6047" t="s">
        <v>1045</v>
      </c>
      <c r="C6047" t="s">
        <v>9288</v>
      </c>
      <c r="E6047" t="s">
        <v>19484</v>
      </c>
      <c r="F6047" t="s">
        <v>32664</v>
      </c>
      <c r="G6047" t="s">
        <v>32672</v>
      </c>
      <c r="H6047" t="s">
        <v>12635</v>
      </c>
      <c r="I6047" t="s">
        <v>32696</v>
      </c>
      <c r="J6047" t="s">
        <v>32837</v>
      </c>
      <c r="K6047" t="s">
        <v>42283</v>
      </c>
      <c r="M6047" t="s">
        <v>43659</v>
      </c>
      <c r="N6047" t="s">
        <v>46569</v>
      </c>
      <c r="O6047" t="s">
        <v>46570</v>
      </c>
      <c r="P6047">
        <v>0</v>
      </c>
      <c r="Q6047">
        <v>2</v>
      </c>
      <c r="R6047" t="s">
        <v>46573</v>
      </c>
      <c r="S6047" t="s">
        <v>46705</v>
      </c>
      <c r="T6047" t="s">
        <v>48297</v>
      </c>
      <c r="U6047" t="s">
        <v>53805</v>
      </c>
      <c r="W6047" t="s">
        <v>43659</v>
      </c>
      <c r="X6047" t="s">
        <v>46574</v>
      </c>
    </row>
    <row r="6048" spans="1:24">
      <c r="A6048">
        <f>HYPERLINK("https://www.philgeps.gov.ph/GEPSNONPILOT/Tender/SplashBidNoticeAbstractUI.aspx?menuIndex=3&amp;refID=7060373&amp;Result=3","7060373")</f>
        <v>0</v>
      </c>
      <c r="B6048" t="s">
        <v>267</v>
      </c>
      <c r="C6048" t="s">
        <v>9289</v>
      </c>
      <c r="D6048" t="s">
        <v>18833</v>
      </c>
      <c r="E6048" t="s">
        <v>24258</v>
      </c>
      <c r="F6048" t="s">
        <v>32664</v>
      </c>
      <c r="G6048" t="s">
        <v>32671</v>
      </c>
      <c r="H6048" t="s">
        <v>12635</v>
      </c>
      <c r="I6048" t="s">
        <v>10361</v>
      </c>
      <c r="J6048" t="s">
        <v>36589</v>
      </c>
      <c r="K6048" t="s">
        <v>42283</v>
      </c>
      <c r="M6048" t="s">
        <v>42832</v>
      </c>
      <c r="N6048" t="s">
        <v>46569</v>
      </c>
      <c r="O6048" t="s">
        <v>46570</v>
      </c>
      <c r="P6048">
        <v>0</v>
      </c>
      <c r="Q6048">
        <v>0</v>
      </c>
      <c r="R6048" t="s">
        <v>46573</v>
      </c>
      <c r="S6048" t="s">
        <v>46705</v>
      </c>
      <c r="T6048" t="s">
        <v>48254</v>
      </c>
      <c r="U6048" t="s">
        <v>53806</v>
      </c>
      <c r="W6048" t="s">
        <v>42832</v>
      </c>
      <c r="X6048" t="s">
        <v>46574</v>
      </c>
    </row>
    <row r="6049" spans="1:24">
      <c r="A6049">
        <f>HYPERLINK("https://www.philgeps.gov.ph/GEPSNONPILOT/Tender/SplashBidNoticeAbstractUI.aspx?menuIndex=3&amp;refID=7060338&amp;Result=3","7060338")</f>
        <v>0</v>
      </c>
      <c r="B6049" t="s">
        <v>117</v>
      </c>
      <c r="C6049" t="s">
        <v>9290</v>
      </c>
      <c r="D6049" t="s">
        <v>18799</v>
      </c>
      <c r="E6049" t="s">
        <v>24259</v>
      </c>
      <c r="F6049" t="s">
        <v>32664</v>
      </c>
      <c r="G6049" t="s">
        <v>32672</v>
      </c>
      <c r="H6049" t="s">
        <v>12635</v>
      </c>
      <c r="I6049" t="s">
        <v>32735</v>
      </c>
      <c r="J6049" t="s">
        <v>36590</v>
      </c>
      <c r="K6049" t="s">
        <v>42283</v>
      </c>
      <c r="M6049" t="s">
        <v>44671</v>
      </c>
      <c r="N6049" t="s">
        <v>46569</v>
      </c>
      <c r="O6049" t="s">
        <v>46570</v>
      </c>
      <c r="P6049">
        <v>0</v>
      </c>
      <c r="Q6049">
        <v>3</v>
      </c>
      <c r="R6049" t="s">
        <v>46573</v>
      </c>
      <c r="S6049" t="s">
        <v>46705</v>
      </c>
      <c r="T6049" t="s">
        <v>48272</v>
      </c>
      <c r="U6049" t="s">
        <v>53807</v>
      </c>
      <c r="W6049" t="s">
        <v>44671</v>
      </c>
      <c r="X6049" t="s">
        <v>46574</v>
      </c>
    </row>
    <row r="6050" spans="1:24">
      <c r="A6050">
        <f>HYPERLINK("https://www.philgeps.gov.ph/GEPSNONPILOT/Tender/SplashBidNoticeAbstractUI.aspx?menuIndex=3&amp;refID=7060346&amp;Result=3","7060346")</f>
        <v>0</v>
      </c>
      <c r="B6050" t="s">
        <v>304</v>
      </c>
      <c r="C6050" t="s">
        <v>9291</v>
      </c>
      <c r="D6050" t="s">
        <v>18792</v>
      </c>
      <c r="E6050" t="s">
        <v>19460</v>
      </c>
      <c r="F6050" t="s">
        <v>32664</v>
      </c>
      <c r="G6050" t="s">
        <v>32671</v>
      </c>
      <c r="H6050" t="s">
        <v>12635</v>
      </c>
      <c r="I6050" t="s">
        <v>4439</v>
      </c>
      <c r="J6050" t="s">
        <v>34993</v>
      </c>
      <c r="K6050" t="s">
        <v>42295</v>
      </c>
      <c r="M6050" t="s">
        <v>42871</v>
      </c>
      <c r="N6050" t="s">
        <v>46569</v>
      </c>
      <c r="O6050" t="s">
        <v>46570</v>
      </c>
      <c r="P6050">
        <v>0</v>
      </c>
      <c r="Q6050">
        <v>0</v>
      </c>
      <c r="R6050" t="s">
        <v>46573</v>
      </c>
      <c r="S6050" t="s">
        <v>46705</v>
      </c>
      <c r="T6050" t="s">
        <v>48307</v>
      </c>
      <c r="U6050" t="s">
        <v>53808</v>
      </c>
      <c r="W6050" t="s">
        <v>42871</v>
      </c>
      <c r="X6050" t="s">
        <v>46574</v>
      </c>
    </row>
    <row r="6051" spans="1:24">
      <c r="A6051">
        <f>HYPERLINK("https://www.philgeps.gov.ph/GEPSNONPILOT/Tender/SplashBidNoticeAbstractUI.aspx?menuIndex=3&amp;refID=7060316&amp;Result=3","7060316")</f>
        <v>0</v>
      </c>
      <c r="B6051" t="s">
        <v>2006</v>
      </c>
      <c r="C6051" t="s">
        <v>9292</v>
      </c>
      <c r="D6051" t="s">
        <v>18842</v>
      </c>
      <c r="E6051" t="s">
        <v>24260</v>
      </c>
      <c r="F6051" t="s">
        <v>32664</v>
      </c>
      <c r="G6051" t="s">
        <v>32672</v>
      </c>
      <c r="H6051" t="s">
        <v>12635</v>
      </c>
      <c r="I6051" t="s">
        <v>5589</v>
      </c>
      <c r="J6051" t="s">
        <v>33126</v>
      </c>
      <c r="K6051" t="s">
        <v>42289</v>
      </c>
      <c r="M6051" t="s">
        <v>44744</v>
      </c>
      <c r="N6051" t="s">
        <v>46569</v>
      </c>
      <c r="O6051" t="s">
        <v>46570</v>
      </c>
      <c r="P6051">
        <v>0</v>
      </c>
      <c r="Q6051">
        <v>0</v>
      </c>
      <c r="R6051" t="s">
        <v>46573</v>
      </c>
      <c r="S6051" t="s">
        <v>46705</v>
      </c>
      <c r="T6051" t="s">
        <v>48258</v>
      </c>
      <c r="U6051" t="s">
        <v>53809</v>
      </c>
      <c r="W6051" t="s">
        <v>44744</v>
      </c>
      <c r="X6051" t="s">
        <v>46574</v>
      </c>
    </row>
    <row r="6052" spans="1:24">
      <c r="A6052">
        <f>HYPERLINK("https://www.philgeps.gov.ph/GEPSNONPILOT/Tender/SplashBidNoticeAbstractUI.aspx?menuIndex=3&amp;refID=7060347&amp;Result=3","7060347")</f>
        <v>0</v>
      </c>
      <c r="B6052" t="s">
        <v>605</v>
      </c>
      <c r="C6052" t="s">
        <v>9293</v>
      </c>
      <c r="D6052" t="s">
        <v>18858</v>
      </c>
      <c r="E6052" t="s">
        <v>24261</v>
      </c>
      <c r="F6052" t="s">
        <v>32664</v>
      </c>
      <c r="G6052" t="s">
        <v>32674</v>
      </c>
      <c r="H6052" t="s">
        <v>12635</v>
      </c>
      <c r="I6052" t="s">
        <v>32694</v>
      </c>
      <c r="J6052" t="s">
        <v>35141</v>
      </c>
      <c r="K6052" t="s">
        <v>42289</v>
      </c>
      <c r="M6052" t="s">
        <v>43185</v>
      </c>
      <c r="N6052" t="s">
        <v>46569</v>
      </c>
      <c r="O6052" t="s">
        <v>46570</v>
      </c>
      <c r="P6052">
        <v>0</v>
      </c>
      <c r="Q6052">
        <v>0</v>
      </c>
      <c r="R6052" t="s">
        <v>46573</v>
      </c>
      <c r="S6052" t="s">
        <v>46705</v>
      </c>
      <c r="T6052" t="s">
        <v>48271</v>
      </c>
      <c r="U6052" t="s">
        <v>53810</v>
      </c>
      <c r="W6052" t="s">
        <v>43185</v>
      </c>
      <c r="X6052" t="s">
        <v>46574</v>
      </c>
    </row>
    <row r="6053" spans="1:24">
      <c r="A6053">
        <f>HYPERLINK("https://www.philgeps.gov.ph/GEPSNONPILOT/Tender/SplashBidNoticeAbstractUI.aspx?menuIndex=3&amp;refID=7060366&amp;Result=3","7060366")</f>
        <v>0</v>
      </c>
      <c r="B6053" t="s">
        <v>594</v>
      </c>
      <c r="C6053" t="s">
        <v>9294</v>
      </c>
      <c r="D6053" t="s">
        <v>18784</v>
      </c>
      <c r="E6053" t="s">
        <v>24262</v>
      </c>
      <c r="F6053" t="s">
        <v>32664</v>
      </c>
      <c r="G6053" t="s">
        <v>32674</v>
      </c>
      <c r="H6053" t="s">
        <v>12635</v>
      </c>
      <c r="I6053" t="s">
        <v>9486</v>
      </c>
      <c r="J6053" t="s">
        <v>36591</v>
      </c>
      <c r="K6053" t="s">
        <v>42297</v>
      </c>
      <c r="M6053" t="s">
        <v>43721</v>
      </c>
      <c r="N6053" t="s">
        <v>46569</v>
      </c>
      <c r="O6053" t="s">
        <v>46570</v>
      </c>
      <c r="P6053">
        <v>0</v>
      </c>
      <c r="Q6053">
        <v>2</v>
      </c>
      <c r="R6053" t="s">
        <v>46573</v>
      </c>
      <c r="S6053" t="s">
        <v>46705</v>
      </c>
      <c r="T6053" t="s">
        <v>48551</v>
      </c>
      <c r="U6053" t="s">
        <v>53811</v>
      </c>
      <c r="V6053" t="s">
        <v>62115</v>
      </c>
      <c r="W6053" t="s">
        <v>43721</v>
      </c>
      <c r="X6053" t="s">
        <v>46574</v>
      </c>
    </row>
    <row r="6054" spans="1:24">
      <c r="A6054">
        <f>HYPERLINK("https://www.philgeps.gov.ph/GEPSNONPILOT/Tender/SplashBidNoticeAbstractUI.aspx?menuIndex=3&amp;refID=7060365&amp;Result=3","7060365")</f>
        <v>0</v>
      </c>
      <c r="B6054" t="s">
        <v>1709</v>
      </c>
      <c r="C6054" t="s">
        <v>9295</v>
      </c>
      <c r="D6054" t="s">
        <v>18834</v>
      </c>
      <c r="E6054" t="s">
        <v>24263</v>
      </c>
      <c r="F6054" t="s">
        <v>32664</v>
      </c>
      <c r="G6054" t="s">
        <v>32671</v>
      </c>
      <c r="H6054" t="s">
        <v>12635</v>
      </c>
      <c r="I6054" t="s">
        <v>32699</v>
      </c>
      <c r="J6054" t="s">
        <v>36592</v>
      </c>
      <c r="K6054" t="s">
        <v>42289</v>
      </c>
      <c r="M6054" t="s">
        <v>44745</v>
      </c>
      <c r="N6054" t="s">
        <v>46569</v>
      </c>
      <c r="O6054" t="s">
        <v>46570</v>
      </c>
      <c r="P6054">
        <v>0</v>
      </c>
      <c r="Q6054">
        <v>0</v>
      </c>
      <c r="R6054" t="s">
        <v>46573</v>
      </c>
      <c r="S6054" t="s">
        <v>46705</v>
      </c>
      <c r="T6054" t="s">
        <v>48246</v>
      </c>
      <c r="U6054" t="s">
        <v>53812</v>
      </c>
      <c r="V6054" t="s">
        <v>62239</v>
      </c>
      <c r="W6054" t="s">
        <v>44745</v>
      </c>
      <c r="X6054" t="s">
        <v>46574</v>
      </c>
    </row>
    <row r="6055" spans="1:24">
      <c r="A6055">
        <f>HYPERLINK("https://www.philgeps.gov.ph/GEPSNONPILOT/Tender/SplashBidNoticeAbstractUI.aspx?menuIndex=3&amp;refID=7060369&amp;Result=3","7060369")</f>
        <v>0</v>
      </c>
      <c r="B6055" t="s">
        <v>1232</v>
      </c>
      <c r="C6055" t="s">
        <v>9296</v>
      </c>
      <c r="D6055" t="s">
        <v>18838</v>
      </c>
      <c r="E6055" t="s">
        <v>24264</v>
      </c>
      <c r="F6055" t="s">
        <v>32664</v>
      </c>
      <c r="G6055" t="s">
        <v>32671</v>
      </c>
      <c r="H6055" t="s">
        <v>12635</v>
      </c>
      <c r="I6055" t="s">
        <v>32689</v>
      </c>
      <c r="J6055" t="s">
        <v>32984</v>
      </c>
      <c r="K6055" t="s">
        <v>42283</v>
      </c>
      <c r="L6055" t="s">
        <v>1232</v>
      </c>
      <c r="M6055" t="s">
        <v>43873</v>
      </c>
      <c r="N6055" t="s">
        <v>46569</v>
      </c>
      <c r="O6055" t="s">
        <v>46570</v>
      </c>
      <c r="P6055">
        <v>0</v>
      </c>
      <c r="Q6055">
        <v>0</v>
      </c>
      <c r="R6055" t="s">
        <v>46573</v>
      </c>
      <c r="S6055" t="s">
        <v>46705</v>
      </c>
      <c r="T6055" t="s">
        <v>48316</v>
      </c>
      <c r="U6055" t="s">
        <v>51411</v>
      </c>
      <c r="W6055" t="s">
        <v>43873</v>
      </c>
      <c r="X6055" t="s">
        <v>46574</v>
      </c>
    </row>
    <row r="6056" spans="1:24">
      <c r="A6056">
        <f>HYPERLINK("https://www.philgeps.gov.ph/GEPSNONPILOT/Tender/SplashBidNoticeAbstractUI.aspx?menuIndex=3&amp;refID=7060329&amp;Result=3","7060329")</f>
        <v>0</v>
      </c>
      <c r="B6056" t="s">
        <v>827</v>
      </c>
      <c r="C6056" t="s">
        <v>9297</v>
      </c>
      <c r="E6056" t="s">
        <v>24265</v>
      </c>
      <c r="F6056" t="s">
        <v>32664</v>
      </c>
      <c r="G6056" t="s">
        <v>32671</v>
      </c>
      <c r="H6056" t="s">
        <v>12635</v>
      </c>
      <c r="I6056" t="s">
        <v>6223</v>
      </c>
      <c r="J6056" t="s">
        <v>36593</v>
      </c>
      <c r="K6056" t="s">
        <v>42283</v>
      </c>
      <c r="M6056" t="s">
        <v>43422</v>
      </c>
      <c r="N6056" t="s">
        <v>46569</v>
      </c>
      <c r="O6056" t="s">
        <v>46570</v>
      </c>
      <c r="P6056">
        <v>0</v>
      </c>
      <c r="Q6056">
        <v>1</v>
      </c>
      <c r="R6056" t="s">
        <v>46573</v>
      </c>
      <c r="S6056" t="s">
        <v>46705</v>
      </c>
      <c r="T6056" t="s">
        <v>48229</v>
      </c>
      <c r="U6056" t="s">
        <v>53813</v>
      </c>
      <c r="V6056" t="s">
        <v>62240</v>
      </c>
      <c r="W6056" t="s">
        <v>43422</v>
      </c>
      <c r="X6056" t="s">
        <v>46574</v>
      </c>
    </row>
    <row r="6057" spans="1:24">
      <c r="A6057">
        <f>HYPERLINK("https://www.philgeps.gov.ph/GEPSNONPILOT/Tender/SplashBidNoticeAbstractUI.aspx?menuIndex=3&amp;refID=7060362&amp;Result=3","7060362")</f>
        <v>0</v>
      </c>
      <c r="B6057" t="s">
        <v>2007</v>
      </c>
      <c r="C6057" t="s">
        <v>9298</v>
      </c>
      <c r="E6057" t="s">
        <v>24266</v>
      </c>
      <c r="F6057" t="s">
        <v>32664</v>
      </c>
      <c r="G6057" t="s">
        <v>32672</v>
      </c>
      <c r="H6057" t="s">
        <v>32682</v>
      </c>
      <c r="I6057" t="s">
        <v>32718</v>
      </c>
      <c r="J6057" t="s">
        <v>36594</v>
      </c>
      <c r="K6057" t="s">
        <v>42289</v>
      </c>
      <c r="M6057" t="s">
        <v>44746</v>
      </c>
      <c r="N6057" t="s">
        <v>46569</v>
      </c>
      <c r="O6057" t="s">
        <v>46570</v>
      </c>
      <c r="P6057">
        <v>0</v>
      </c>
      <c r="Q6057">
        <v>2</v>
      </c>
      <c r="R6057" t="s">
        <v>46573</v>
      </c>
      <c r="S6057" t="s">
        <v>46705</v>
      </c>
      <c r="T6057" t="s">
        <v>48363</v>
      </c>
      <c r="U6057" t="s">
        <v>53814</v>
      </c>
      <c r="V6057" t="s">
        <v>62241</v>
      </c>
      <c r="W6057" t="s">
        <v>44746</v>
      </c>
      <c r="X6057" t="s">
        <v>46574</v>
      </c>
    </row>
    <row r="6058" spans="1:24">
      <c r="A6058">
        <f>HYPERLINK("https://www.philgeps.gov.ph/GEPSNONPILOT/Tender/SplashBidNoticeAbstractUI.aspx?menuIndex=3&amp;refID=7060360&amp;Result=3","7060360")</f>
        <v>0</v>
      </c>
      <c r="B6058" t="s">
        <v>2008</v>
      </c>
      <c r="C6058" t="s">
        <v>3547</v>
      </c>
      <c r="D6058" t="s">
        <v>18787</v>
      </c>
      <c r="E6058" t="s">
        <v>24267</v>
      </c>
      <c r="F6058" t="s">
        <v>32664</v>
      </c>
      <c r="G6058" t="s">
        <v>32677</v>
      </c>
      <c r="H6058" t="s">
        <v>32682</v>
      </c>
      <c r="I6058" t="s">
        <v>9946</v>
      </c>
      <c r="J6058" t="s">
        <v>36595</v>
      </c>
      <c r="K6058" t="s">
        <v>42334</v>
      </c>
      <c r="M6058" t="s">
        <v>44747</v>
      </c>
      <c r="N6058" t="s">
        <v>46569</v>
      </c>
      <c r="O6058" t="s">
        <v>46570</v>
      </c>
      <c r="P6058">
        <v>0</v>
      </c>
      <c r="Q6058">
        <v>4</v>
      </c>
      <c r="R6058" t="s">
        <v>46573</v>
      </c>
      <c r="S6058" t="s">
        <v>46705</v>
      </c>
      <c r="T6058" t="s">
        <v>48316</v>
      </c>
      <c r="U6058" t="s">
        <v>53815</v>
      </c>
      <c r="W6058" t="s">
        <v>44747</v>
      </c>
      <c r="X6058" t="s">
        <v>46574</v>
      </c>
    </row>
    <row r="6059" spans="1:24">
      <c r="A6059">
        <f>HYPERLINK("https://www.philgeps.gov.ph/GEPSNONPILOT/Tender/SplashBidNoticeAbstractUI.aspx?menuIndex=3&amp;refID=7060359&amp;Result=3","7060359")</f>
        <v>0</v>
      </c>
      <c r="B6059" t="s">
        <v>2009</v>
      </c>
      <c r="C6059" t="s">
        <v>9299</v>
      </c>
      <c r="D6059" t="s">
        <v>18842</v>
      </c>
      <c r="E6059" t="s">
        <v>19280</v>
      </c>
      <c r="F6059" t="s">
        <v>32664</v>
      </c>
      <c r="G6059" t="s">
        <v>32675</v>
      </c>
      <c r="H6059" t="s">
        <v>12635</v>
      </c>
      <c r="I6059" t="s">
        <v>5501</v>
      </c>
      <c r="J6059" t="s">
        <v>33214</v>
      </c>
      <c r="K6059" t="s">
        <v>42309</v>
      </c>
      <c r="M6059" t="s">
        <v>44748</v>
      </c>
      <c r="N6059" t="s">
        <v>46569</v>
      </c>
      <c r="O6059" t="s">
        <v>46570</v>
      </c>
      <c r="P6059">
        <v>0</v>
      </c>
      <c r="Q6059">
        <v>10</v>
      </c>
      <c r="R6059" t="s">
        <v>46573</v>
      </c>
      <c r="S6059" t="s">
        <v>46705</v>
      </c>
      <c r="T6059" t="s">
        <v>48305</v>
      </c>
      <c r="U6059" t="s">
        <v>53816</v>
      </c>
      <c r="W6059" t="s">
        <v>44748</v>
      </c>
      <c r="X6059" t="s">
        <v>46574</v>
      </c>
    </row>
    <row r="6060" spans="1:24">
      <c r="A6060">
        <f>HYPERLINK("https://www.philgeps.gov.ph/GEPSNONPILOT/Tender/SplashBidNoticeAbstractUI.aspx?menuIndex=3&amp;refID=7060370&amp;Result=3","7060370")</f>
        <v>0</v>
      </c>
      <c r="B6060" t="s">
        <v>167</v>
      </c>
      <c r="C6060" t="s">
        <v>9300</v>
      </c>
      <c r="D6060" t="s">
        <v>18837</v>
      </c>
      <c r="E6060" t="s">
        <v>24268</v>
      </c>
      <c r="F6060" t="s">
        <v>32664</v>
      </c>
      <c r="G6060" t="s">
        <v>32672</v>
      </c>
      <c r="H6060" t="s">
        <v>12635</v>
      </c>
      <c r="I6060" t="s">
        <v>32725</v>
      </c>
      <c r="J6060" t="s">
        <v>36596</v>
      </c>
      <c r="K6060" t="s">
        <v>42303</v>
      </c>
      <c r="M6060" t="s">
        <v>42731</v>
      </c>
      <c r="N6060" t="s">
        <v>46569</v>
      </c>
      <c r="O6060" t="s">
        <v>46570</v>
      </c>
      <c r="P6060">
        <v>0</v>
      </c>
      <c r="Q6060">
        <v>9</v>
      </c>
      <c r="R6060" t="s">
        <v>46573</v>
      </c>
      <c r="S6060" t="s">
        <v>46705</v>
      </c>
      <c r="T6060" t="s">
        <v>48245</v>
      </c>
      <c r="U6060" t="s">
        <v>53817</v>
      </c>
      <c r="W6060" t="s">
        <v>42731</v>
      </c>
      <c r="X6060" t="s">
        <v>46574</v>
      </c>
    </row>
    <row r="6061" spans="1:24">
      <c r="A6061">
        <f>HYPERLINK("https://www.philgeps.gov.ph/GEPSNONPILOT/Tender/SplashBidNoticeAbstractUI.aspx?menuIndex=3&amp;refID=7060363&amp;Result=3","7060363")</f>
        <v>0</v>
      </c>
      <c r="B6061" t="s">
        <v>117</v>
      </c>
      <c r="C6061" t="s">
        <v>9301</v>
      </c>
      <c r="D6061" t="s">
        <v>18799</v>
      </c>
      <c r="E6061" t="s">
        <v>24269</v>
      </c>
      <c r="F6061" t="s">
        <v>32664</v>
      </c>
      <c r="G6061" t="s">
        <v>32672</v>
      </c>
      <c r="H6061" t="s">
        <v>12635</v>
      </c>
      <c r="I6061" t="s">
        <v>32706</v>
      </c>
      <c r="J6061" t="s">
        <v>36597</v>
      </c>
      <c r="K6061" t="s">
        <v>42283</v>
      </c>
      <c r="M6061" t="s">
        <v>44671</v>
      </c>
      <c r="N6061" t="s">
        <v>46569</v>
      </c>
      <c r="O6061" t="s">
        <v>46570</v>
      </c>
      <c r="P6061">
        <v>0</v>
      </c>
      <c r="Q6061">
        <v>4</v>
      </c>
      <c r="R6061" t="s">
        <v>46573</v>
      </c>
      <c r="S6061" t="s">
        <v>46705</v>
      </c>
      <c r="T6061" t="s">
        <v>48272</v>
      </c>
      <c r="U6061" t="s">
        <v>53818</v>
      </c>
      <c r="W6061" t="s">
        <v>44671</v>
      </c>
      <c r="X6061" t="s">
        <v>46574</v>
      </c>
    </row>
    <row r="6062" spans="1:24">
      <c r="A6062">
        <f>HYPERLINK("https://www.philgeps.gov.ph/GEPSNONPILOT/Tender/SplashBidNoticeAbstractUI.aspx?menuIndex=3&amp;refID=7060395&amp;Result=3","7060395")</f>
        <v>0</v>
      </c>
      <c r="B6062" t="s">
        <v>1994</v>
      </c>
      <c r="C6062" t="s">
        <v>9302</v>
      </c>
      <c r="D6062" t="s">
        <v>18784</v>
      </c>
      <c r="E6062" t="s">
        <v>24270</v>
      </c>
      <c r="F6062" t="s">
        <v>32664</v>
      </c>
      <c r="G6062" t="s">
        <v>32671</v>
      </c>
      <c r="H6062" t="s">
        <v>12635</v>
      </c>
      <c r="I6062" t="s">
        <v>32684</v>
      </c>
      <c r="J6062" t="s">
        <v>36598</v>
      </c>
      <c r="K6062" t="s">
        <v>42283</v>
      </c>
      <c r="M6062" t="s">
        <v>44729</v>
      </c>
      <c r="N6062" t="s">
        <v>46569</v>
      </c>
      <c r="O6062" t="s">
        <v>46570</v>
      </c>
      <c r="P6062">
        <v>0</v>
      </c>
      <c r="Q6062">
        <v>7</v>
      </c>
      <c r="R6062" t="s">
        <v>46573</v>
      </c>
      <c r="S6062" t="s">
        <v>46705</v>
      </c>
      <c r="T6062" t="s">
        <v>48316</v>
      </c>
      <c r="U6062" t="s">
        <v>53819</v>
      </c>
      <c r="W6062" t="s">
        <v>46084</v>
      </c>
      <c r="X6062" t="s">
        <v>46574</v>
      </c>
    </row>
    <row r="6063" spans="1:24">
      <c r="A6063">
        <f>HYPERLINK("https://www.philgeps.gov.ph/GEPSNONPILOT/Tender/SplashBidNoticeAbstractUI.aspx?menuIndex=3&amp;refID=7060364&amp;Result=3","7060364")</f>
        <v>0</v>
      </c>
      <c r="B6063" t="s">
        <v>1671</v>
      </c>
      <c r="C6063" t="s">
        <v>9303</v>
      </c>
      <c r="D6063" t="s">
        <v>18803</v>
      </c>
      <c r="E6063" t="s">
        <v>20566</v>
      </c>
      <c r="F6063" t="s">
        <v>32664</v>
      </c>
      <c r="G6063" t="s">
        <v>32674</v>
      </c>
      <c r="H6063" t="s">
        <v>12635</v>
      </c>
      <c r="I6063" t="s">
        <v>6223</v>
      </c>
      <c r="J6063" t="s">
        <v>33215</v>
      </c>
      <c r="K6063" t="s">
        <v>42289</v>
      </c>
      <c r="M6063" t="s">
        <v>44359</v>
      </c>
      <c r="N6063" t="s">
        <v>46569</v>
      </c>
      <c r="O6063" t="s">
        <v>46570</v>
      </c>
      <c r="P6063">
        <v>0</v>
      </c>
      <c r="Q6063">
        <v>0</v>
      </c>
      <c r="R6063" t="s">
        <v>46573</v>
      </c>
      <c r="S6063" t="s">
        <v>46705</v>
      </c>
      <c r="T6063" t="s">
        <v>48449</v>
      </c>
      <c r="U6063" t="s">
        <v>53820</v>
      </c>
      <c r="W6063" t="s">
        <v>44359</v>
      </c>
      <c r="X6063" t="s">
        <v>46574</v>
      </c>
    </row>
    <row r="6064" spans="1:24">
      <c r="A6064">
        <f>HYPERLINK("https://www.philgeps.gov.ph/GEPSNONPILOT/Tender/SplashBidNoticeAbstractUI.aspx?menuIndex=3&amp;refID=7060392&amp;Result=3","7060392")</f>
        <v>0</v>
      </c>
      <c r="B6064" t="s">
        <v>1254</v>
      </c>
      <c r="C6064" t="s">
        <v>9304</v>
      </c>
      <c r="D6064" t="s">
        <v>18827</v>
      </c>
      <c r="E6064" t="s">
        <v>24271</v>
      </c>
      <c r="F6064" t="s">
        <v>32664</v>
      </c>
      <c r="G6064" t="s">
        <v>32675</v>
      </c>
      <c r="H6064" t="s">
        <v>12635</v>
      </c>
      <c r="I6064" t="s">
        <v>6628</v>
      </c>
      <c r="J6064" t="s">
        <v>36599</v>
      </c>
      <c r="K6064" t="s">
        <v>42309</v>
      </c>
      <c r="M6064" t="s">
        <v>43896</v>
      </c>
      <c r="N6064" t="s">
        <v>46569</v>
      </c>
      <c r="O6064" t="s">
        <v>46570</v>
      </c>
      <c r="P6064">
        <v>0</v>
      </c>
      <c r="Q6064">
        <v>2</v>
      </c>
      <c r="R6064" t="s">
        <v>46573</v>
      </c>
      <c r="S6064" t="s">
        <v>46705</v>
      </c>
      <c r="T6064" t="s">
        <v>48287</v>
      </c>
      <c r="U6064" t="s">
        <v>53821</v>
      </c>
      <c r="W6064" t="s">
        <v>43896</v>
      </c>
      <c r="X6064" t="s">
        <v>46574</v>
      </c>
    </row>
    <row r="6065" spans="1:24">
      <c r="A6065">
        <f>HYPERLINK("https://www.philgeps.gov.ph/GEPSNONPILOT/Tender/SplashBidNoticeAbstractUI.aspx?menuIndex=3&amp;refID=7060390&amp;Result=3","7060390")</f>
        <v>0</v>
      </c>
      <c r="B6065" t="s">
        <v>2010</v>
      </c>
      <c r="C6065" t="s">
        <v>9305</v>
      </c>
      <c r="D6065" t="s">
        <v>18805</v>
      </c>
      <c r="E6065" t="s">
        <v>24272</v>
      </c>
      <c r="F6065" t="s">
        <v>32664</v>
      </c>
      <c r="G6065" t="s">
        <v>32671</v>
      </c>
      <c r="H6065" t="s">
        <v>12635</v>
      </c>
      <c r="I6065" t="s">
        <v>8730</v>
      </c>
      <c r="J6065" t="s">
        <v>36600</v>
      </c>
      <c r="K6065" t="s">
        <v>42284</v>
      </c>
      <c r="M6065" t="s">
        <v>44749</v>
      </c>
      <c r="N6065" t="s">
        <v>46569</v>
      </c>
      <c r="O6065" t="s">
        <v>46570</v>
      </c>
      <c r="P6065">
        <v>0</v>
      </c>
      <c r="Q6065">
        <v>0</v>
      </c>
      <c r="R6065" t="s">
        <v>46573</v>
      </c>
      <c r="S6065" t="s">
        <v>46705</v>
      </c>
      <c r="T6065" t="s">
        <v>48290</v>
      </c>
      <c r="U6065" t="s">
        <v>53822</v>
      </c>
      <c r="W6065" t="s">
        <v>44749</v>
      </c>
      <c r="X6065" t="s">
        <v>46574</v>
      </c>
    </row>
    <row r="6066" spans="1:24">
      <c r="A6066">
        <f>HYPERLINK("https://www.philgeps.gov.ph/GEPSNONPILOT/Tender/SplashBidNoticeAbstractUI.aspx?menuIndex=3&amp;refID=7060361&amp;Result=3","7060361")</f>
        <v>0</v>
      </c>
      <c r="B6066" t="s">
        <v>2011</v>
      </c>
      <c r="C6066" t="s">
        <v>9306</v>
      </c>
      <c r="D6066" t="s">
        <v>18804</v>
      </c>
      <c r="E6066" t="s">
        <v>24273</v>
      </c>
      <c r="F6066" t="s">
        <v>32664</v>
      </c>
      <c r="G6066" t="s">
        <v>32672</v>
      </c>
      <c r="H6066" t="s">
        <v>12635</v>
      </c>
      <c r="I6066" t="s">
        <v>32716</v>
      </c>
      <c r="J6066" t="s">
        <v>32853</v>
      </c>
      <c r="K6066" t="s">
        <v>42321</v>
      </c>
      <c r="M6066" t="s">
        <v>44750</v>
      </c>
      <c r="N6066" t="s">
        <v>46569</v>
      </c>
      <c r="O6066" t="s">
        <v>46570</v>
      </c>
      <c r="P6066">
        <v>0</v>
      </c>
      <c r="Q6066">
        <v>0</v>
      </c>
      <c r="R6066" t="s">
        <v>46573</v>
      </c>
      <c r="S6066" t="s">
        <v>46705</v>
      </c>
      <c r="T6066" t="s">
        <v>48212</v>
      </c>
      <c r="U6066" t="s">
        <v>53823</v>
      </c>
      <c r="W6066" t="s">
        <v>44750</v>
      </c>
      <c r="X6066" t="s">
        <v>46574</v>
      </c>
    </row>
    <row r="6067" spans="1:24">
      <c r="A6067">
        <f>HYPERLINK("https://www.philgeps.gov.ph/GEPSNONPILOT/Tender/SplashBidNoticeAbstractUI.aspx?menuIndex=3&amp;refID=7060389&amp;Result=3","7060389")</f>
        <v>0</v>
      </c>
      <c r="B6067" t="s">
        <v>117</v>
      </c>
      <c r="C6067" t="s">
        <v>9307</v>
      </c>
      <c r="D6067" t="s">
        <v>18799</v>
      </c>
      <c r="E6067" t="s">
        <v>24274</v>
      </c>
      <c r="F6067" t="s">
        <v>32664</v>
      </c>
      <c r="G6067" t="s">
        <v>32672</v>
      </c>
      <c r="H6067" t="s">
        <v>12635</v>
      </c>
      <c r="I6067" t="s">
        <v>32727</v>
      </c>
      <c r="J6067" t="s">
        <v>36601</v>
      </c>
      <c r="K6067" t="s">
        <v>42283</v>
      </c>
      <c r="M6067" t="s">
        <v>44671</v>
      </c>
      <c r="N6067" t="s">
        <v>46569</v>
      </c>
      <c r="O6067" t="s">
        <v>46570</v>
      </c>
      <c r="P6067">
        <v>0</v>
      </c>
      <c r="Q6067">
        <v>3</v>
      </c>
      <c r="R6067" t="s">
        <v>46573</v>
      </c>
      <c r="S6067" t="s">
        <v>46705</v>
      </c>
      <c r="T6067" t="s">
        <v>48272</v>
      </c>
      <c r="U6067" t="s">
        <v>53824</v>
      </c>
      <c r="W6067" t="s">
        <v>44671</v>
      </c>
      <c r="X6067" t="s">
        <v>46574</v>
      </c>
    </row>
    <row r="6068" spans="1:24">
      <c r="A6068">
        <f>HYPERLINK("https://www.philgeps.gov.ph/GEPSNONPILOT/Tender/SplashBidNoticeAbstractUI.aspx?menuIndex=3&amp;refID=7060393&amp;Result=3","7060393")</f>
        <v>0</v>
      </c>
      <c r="B6068" t="s">
        <v>202</v>
      </c>
      <c r="C6068" t="s">
        <v>9308</v>
      </c>
      <c r="D6068" t="s">
        <v>18805</v>
      </c>
      <c r="E6068" t="s">
        <v>24275</v>
      </c>
      <c r="F6068" t="s">
        <v>32664</v>
      </c>
      <c r="G6068" t="s">
        <v>32671</v>
      </c>
      <c r="H6068" t="s">
        <v>12635</v>
      </c>
      <c r="I6068" t="s">
        <v>7324</v>
      </c>
      <c r="J6068" t="s">
        <v>36602</v>
      </c>
      <c r="K6068" t="s">
        <v>42332</v>
      </c>
      <c r="M6068" t="s">
        <v>42766</v>
      </c>
      <c r="N6068" t="s">
        <v>46569</v>
      </c>
      <c r="O6068" t="s">
        <v>46570</v>
      </c>
      <c r="P6068">
        <v>0</v>
      </c>
      <c r="Q6068">
        <v>0</v>
      </c>
      <c r="R6068" t="s">
        <v>46573</v>
      </c>
      <c r="S6068" t="s">
        <v>46705</v>
      </c>
      <c r="T6068" t="s">
        <v>48316</v>
      </c>
      <c r="U6068" t="s">
        <v>53825</v>
      </c>
      <c r="W6068" t="s">
        <v>42766</v>
      </c>
      <c r="X6068" t="s">
        <v>46574</v>
      </c>
    </row>
    <row r="6069" spans="1:24">
      <c r="A6069">
        <f>HYPERLINK("https://www.philgeps.gov.ph/GEPSNONPILOT/Tender/SplashBidNoticeAbstractUI.aspx?menuIndex=3&amp;refID=7060388&amp;Result=3","7060388")</f>
        <v>0</v>
      </c>
      <c r="B6069" t="s">
        <v>2012</v>
      </c>
      <c r="C6069" t="s">
        <v>9309</v>
      </c>
      <c r="D6069" t="s">
        <v>18785</v>
      </c>
      <c r="E6069" t="s">
        <v>24276</v>
      </c>
      <c r="F6069" t="s">
        <v>32664</v>
      </c>
      <c r="G6069" t="s">
        <v>32671</v>
      </c>
      <c r="H6069" t="s">
        <v>12635</v>
      </c>
      <c r="I6069" t="s">
        <v>32684</v>
      </c>
      <c r="J6069" t="s">
        <v>36603</v>
      </c>
      <c r="K6069" t="s">
        <v>42305</v>
      </c>
      <c r="M6069" t="s">
        <v>44751</v>
      </c>
      <c r="N6069" t="s">
        <v>46569</v>
      </c>
      <c r="O6069" t="s">
        <v>46570</v>
      </c>
      <c r="P6069">
        <v>0</v>
      </c>
      <c r="Q6069">
        <v>11</v>
      </c>
      <c r="R6069" t="s">
        <v>46573</v>
      </c>
      <c r="S6069" t="s">
        <v>46705</v>
      </c>
      <c r="T6069" t="s">
        <v>48287</v>
      </c>
      <c r="U6069" t="s">
        <v>53826</v>
      </c>
      <c r="V6069" t="s">
        <v>62242</v>
      </c>
      <c r="W6069" t="s">
        <v>44751</v>
      </c>
      <c r="X6069" t="s">
        <v>46574</v>
      </c>
    </row>
    <row r="6070" spans="1:24">
      <c r="A6070">
        <f>HYPERLINK("https://www.philgeps.gov.ph/GEPSNONPILOT/Tender/SplashBidNoticeAbstractUI.aspx?menuIndex=3&amp;refID=7060387&amp;Result=3","7060387")</f>
        <v>0</v>
      </c>
      <c r="B6070" t="s">
        <v>430</v>
      </c>
      <c r="C6070" t="s">
        <v>9310</v>
      </c>
      <c r="D6070" t="s">
        <v>18831</v>
      </c>
      <c r="E6070" t="s">
        <v>24277</v>
      </c>
      <c r="F6070" t="s">
        <v>32664</v>
      </c>
      <c r="G6070" t="s">
        <v>32671</v>
      </c>
      <c r="H6070" t="s">
        <v>12635</v>
      </c>
      <c r="I6070" t="s">
        <v>4333</v>
      </c>
      <c r="J6070" t="s">
        <v>32983</v>
      </c>
      <c r="K6070" t="s">
        <v>42284</v>
      </c>
      <c r="M6070" t="s">
        <v>44752</v>
      </c>
      <c r="N6070" t="s">
        <v>46569</v>
      </c>
      <c r="O6070" t="s">
        <v>46570</v>
      </c>
      <c r="P6070">
        <v>0</v>
      </c>
      <c r="Q6070">
        <v>6</v>
      </c>
      <c r="R6070" t="s">
        <v>46573</v>
      </c>
      <c r="S6070" t="s">
        <v>46705</v>
      </c>
      <c r="T6070" t="s">
        <v>48564</v>
      </c>
      <c r="U6070" t="s">
        <v>53827</v>
      </c>
      <c r="V6070" t="s">
        <v>62243</v>
      </c>
      <c r="W6070" t="s">
        <v>44752</v>
      </c>
      <c r="X6070" t="s">
        <v>46574</v>
      </c>
    </row>
    <row r="6071" spans="1:24">
      <c r="A6071">
        <f>HYPERLINK("https://www.philgeps.gov.ph/GEPSNONPILOT/Tender/SplashBidNoticeAbstractUI.aspx?menuIndex=3&amp;refID=7060385&amp;Result=3","7060385")</f>
        <v>0</v>
      </c>
      <c r="B6071" t="s">
        <v>834</v>
      </c>
      <c r="C6071" t="s">
        <v>9311</v>
      </c>
      <c r="D6071" t="s">
        <v>18831</v>
      </c>
      <c r="E6071" t="s">
        <v>24278</v>
      </c>
      <c r="F6071" t="s">
        <v>32664</v>
      </c>
      <c r="G6071" t="s">
        <v>32674</v>
      </c>
      <c r="H6071" t="s">
        <v>12635</v>
      </c>
      <c r="I6071" t="s">
        <v>32708</v>
      </c>
      <c r="J6071" t="s">
        <v>33015</v>
      </c>
      <c r="K6071" t="s">
        <v>42283</v>
      </c>
      <c r="M6071" t="s">
        <v>43429</v>
      </c>
      <c r="N6071" t="s">
        <v>46569</v>
      </c>
      <c r="O6071" t="s">
        <v>46570</v>
      </c>
      <c r="P6071">
        <v>0</v>
      </c>
      <c r="Q6071">
        <v>5</v>
      </c>
      <c r="R6071" t="s">
        <v>46573</v>
      </c>
      <c r="S6071" t="s">
        <v>46705</v>
      </c>
      <c r="T6071" t="s">
        <v>48562</v>
      </c>
      <c r="U6071" t="s">
        <v>50379</v>
      </c>
      <c r="V6071" t="s">
        <v>61824</v>
      </c>
      <c r="W6071" t="s">
        <v>43429</v>
      </c>
      <c r="X6071" t="s">
        <v>46574</v>
      </c>
    </row>
    <row r="6072" spans="1:24">
      <c r="A6072">
        <f>HYPERLINK("https://www.philgeps.gov.ph/GEPSNONPILOT/Tender/SplashBidNoticeAbstractUI.aspx?menuIndex=3&amp;refID=7060384&amp;Result=3","7060384")</f>
        <v>0</v>
      </c>
      <c r="B6072" t="s">
        <v>1992</v>
      </c>
      <c r="C6072" t="s">
        <v>9312</v>
      </c>
      <c r="D6072" t="s">
        <v>18830</v>
      </c>
      <c r="E6072" t="s">
        <v>9312</v>
      </c>
      <c r="F6072" t="s">
        <v>32664</v>
      </c>
      <c r="G6072" t="s">
        <v>32671</v>
      </c>
      <c r="H6072" t="s">
        <v>12635</v>
      </c>
      <c r="I6072" t="s">
        <v>6223</v>
      </c>
      <c r="J6072" t="s">
        <v>36604</v>
      </c>
      <c r="K6072" t="s">
        <v>42309</v>
      </c>
      <c r="M6072" t="s">
        <v>44727</v>
      </c>
      <c r="N6072" t="s">
        <v>46569</v>
      </c>
      <c r="O6072" t="s">
        <v>46570</v>
      </c>
      <c r="P6072">
        <v>0</v>
      </c>
      <c r="Q6072">
        <v>3</v>
      </c>
      <c r="R6072" t="s">
        <v>46573</v>
      </c>
      <c r="S6072" t="s">
        <v>46705</v>
      </c>
      <c r="T6072" t="s">
        <v>48287</v>
      </c>
      <c r="U6072" t="s">
        <v>53828</v>
      </c>
      <c r="W6072" t="s">
        <v>44727</v>
      </c>
      <c r="X6072" t="s">
        <v>46574</v>
      </c>
    </row>
    <row r="6073" spans="1:24">
      <c r="A6073">
        <f>HYPERLINK("https://www.philgeps.gov.ph/GEPSNONPILOT/Tender/SplashBidNoticeAbstractUI.aspx?menuIndex=3&amp;refID=7060421&amp;Result=3","7060421")</f>
        <v>0</v>
      </c>
      <c r="B6073" t="s">
        <v>1374</v>
      </c>
      <c r="C6073" t="s">
        <v>9313</v>
      </c>
      <c r="D6073" t="s">
        <v>18821</v>
      </c>
      <c r="E6073" t="s">
        <v>24279</v>
      </c>
      <c r="F6073" t="s">
        <v>32664</v>
      </c>
      <c r="G6073" t="s">
        <v>32672</v>
      </c>
      <c r="H6073" t="s">
        <v>12635</v>
      </c>
      <c r="I6073" t="s">
        <v>10361</v>
      </c>
      <c r="J6073" t="s">
        <v>36605</v>
      </c>
      <c r="K6073" t="s">
        <v>42297</v>
      </c>
      <c r="M6073" t="s">
        <v>44029</v>
      </c>
      <c r="N6073" t="s">
        <v>46569</v>
      </c>
      <c r="O6073" t="s">
        <v>46570</v>
      </c>
      <c r="P6073">
        <v>0</v>
      </c>
      <c r="Q6073">
        <v>0</v>
      </c>
      <c r="R6073" t="s">
        <v>46573</v>
      </c>
      <c r="S6073" t="s">
        <v>46705</v>
      </c>
      <c r="T6073" t="s">
        <v>48368</v>
      </c>
      <c r="U6073" t="s">
        <v>51729</v>
      </c>
      <c r="W6073" t="s">
        <v>44029</v>
      </c>
      <c r="X6073" t="s">
        <v>46574</v>
      </c>
    </row>
    <row r="6074" spans="1:24">
      <c r="A6074">
        <f>HYPERLINK("https://www.philgeps.gov.ph/GEPSNONPILOT/Tender/SplashBidNoticeAbstractUI.aspx?menuIndex=3&amp;refID=7060391&amp;Result=3","7060391")</f>
        <v>0</v>
      </c>
      <c r="B6074" t="s">
        <v>175</v>
      </c>
      <c r="C6074" t="s">
        <v>9314</v>
      </c>
      <c r="D6074" t="s">
        <v>18784</v>
      </c>
      <c r="E6074" t="s">
        <v>24280</v>
      </c>
      <c r="F6074" t="s">
        <v>32664</v>
      </c>
      <c r="G6074" t="s">
        <v>32671</v>
      </c>
      <c r="H6074" t="s">
        <v>12635</v>
      </c>
      <c r="I6074" t="s">
        <v>32752</v>
      </c>
      <c r="J6074" t="s">
        <v>34980</v>
      </c>
      <c r="K6074" t="s">
        <v>42284</v>
      </c>
      <c r="M6074" t="s">
        <v>42739</v>
      </c>
      <c r="N6074" t="s">
        <v>46569</v>
      </c>
      <c r="O6074" t="s">
        <v>46570</v>
      </c>
      <c r="P6074">
        <v>0</v>
      </c>
      <c r="Q6074">
        <v>1</v>
      </c>
      <c r="R6074" t="s">
        <v>46573</v>
      </c>
      <c r="S6074" t="s">
        <v>46705</v>
      </c>
      <c r="T6074" t="s">
        <v>48258</v>
      </c>
      <c r="U6074" t="s">
        <v>53829</v>
      </c>
      <c r="V6074" t="s">
        <v>61661</v>
      </c>
      <c r="W6074" t="s">
        <v>42739</v>
      </c>
      <c r="X6074" t="s">
        <v>46574</v>
      </c>
    </row>
    <row r="6075" spans="1:24">
      <c r="A6075">
        <f>HYPERLINK("https://www.philgeps.gov.ph/GEPSNONPILOT/Tender/SplashBidNoticeAbstractUI.aspx?menuIndex=3&amp;refID=7060394&amp;Result=3","7060394")</f>
        <v>0</v>
      </c>
      <c r="B6075" t="s">
        <v>745</v>
      </c>
      <c r="C6075" t="s">
        <v>9315</v>
      </c>
      <c r="D6075" t="s">
        <v>18806</v>
      </c>
      <c r="E6075" t="s">
        <v>24281</v>
      </c>
      <c r="F6075" t="s">
        <v>32664</v>
      </c>
      <c r="G6075" t="s">
        <v>32671</v>
      </c>
      <c r="H6075" t="s">
        <v>12635</v>
      </c>
      <c r="I6075" t="s">
        <v>6168</v>
      </c>
      <c r="J6075" t="s">
        <v>36606</v>
      </c>
      <c r="K6075" t="s">
        <v>42297</v>
      </c>
      <c r="M6075" t="s">
        <v>43335</v>
      </c>
      <c r="N6075" t="s">
        <v>46569</v>
      </c>
      <c r="O6075" t="s">
        <v>46570</v>
      </c>
      <c r="P6075">
        <v>0</v>
      </c>
      <c r="Q6075">
        <v>4</v>
      </c>
      <c r="R6075" t="s">
        <v>46573</v>
      </c>
      <c r="S6075" t="s">
        <v>46705</v>
      </c>
      <c r="T6075" t="s">
        <v>48502</v>
      </c>
      <c r="U6075" t="s">
        <v>53830</v>
      </c>
      <c r="V6075" t="s">
        <v>62244</v>
      </c>
      <c r="W6075" t="s">
        <v>43335</v>
      </c>
      <c r="X6075" t="s">
        <v>46574</v>
      </c>
    </row>
    <row r="6076" spans="1:24">
      <c r="A6076">
        <f>HYPERLINK("https://www.philgeps.gov.ph/GEPSNONPILOT/Tender/SplashBidNoticeAbstractUI.aspx?menuIndex=3&amp;refID=7060415&amp;Result=3","7060415")</f>
        <v>0</v>
      </c>
      <c r="B6076" t="s">
        <v>605</v>
      </c>
      <c r="C6076" t="s">
        <v>9316</v>
      </c>
      <c r="D6076" t="s">
        <v>18858</v>
      </c>
      <c r="E6076" t="s">
        <v>24282</v>
      </c>
      <c r="F6076" t="s">
        <v>32664</v>
      </c>
      <c r="G6076" t="s">
        <v>32671</v>
      </c>
      <c r="H6076" t="s">
        <v>12635</v>
      </c>
      <c r="I6076" t="s">
        <v>32685</v>
      </c>
      <c r="J6076" t="s">
        <v>36607</v>
      </c>
      <c r="K6076" t="s">
        <v>42289</v>
      </c>
      <c r="M6076" t="s">
        <v>43185</v>
      </c>
      <c r="N6076" t="s">
        <v>46569</v>
      </c>
      <c r="O6076" t="s">
        <v>46570</v>
      </c>
      <c r="P6076">
        <v>0</v>
      </c>
      <c r="Q6076">
        <v>1</v>
      </c>
      <c r="R6076" t="s">
        <v>46573</v>
      </c>
      <c r="S6076" t="s">
        <v>46705</v>
      </c>
      <c r="T6076" t="s">
        <v>48271</v>
      </c>
      <c r="U6076" t="s">
        <v>53831</v>
      </c>
      <c r="W6076" t="s">
        <v>43185</v>
      </c>
      <c r="X6076" t="s">
        <v>46574</v>
      </c>
    </row>
    <row r="6077" spans="1:24">
      <c r="A6077">
        <f>HYPERLINK("https://www.philgeps.gov.ph/GEPSNONPILOT/Tender/SplashBidNoticeAbstractUI.aspx?menuIndex=3&amp;refID=7060414&amp;Result=3","7060414")</f>
        <v>0</v>
      </c>
      <c r="B6077" t="s">
        <v>372</v>
      </c>
      <c r="C6077" t="s">
        <v>9317</v>
      </c>
      <c r="D6077" t="s">
        <v>18827</v>
      </c>
      <c r="E6077" t="s">
        <v>24283</v>
      </c>
      <c r="F6077" t="s">
        <v>32664</v>
      </c>
      <c r="G6077" t="s">
        <v>32671</v>
      </c>
      <c r="H6077" t="s">
        <v>12635</v>
      </c>
      <c r="I6077" t="s">
        <v>8797</v>
      </c>
      <c r="J6077" t="s">
        <v>32898</v>
      </c>
      <c r="K6077" t="s">
        <v>42332</v>
      </c>
      <c r="M6077" t="s">
        <v>42942</v>
      </c>
      <c r="N6077" t="s">
        <v>46569</v>
      </c>
      <c r="O6077" t="s">
        <v>46570</v>
      </c>
      <c r="P6077">
        <v>0</v>
      </c>
      <c r="Q6077">
        <v>3</v>
      </c>
      <c r="R6077" t="s">
        <v>46573</v>
      </c>
      <c r="S6077" t="s">
        <v>46705</v>
      </c>
      <c r="T6077" t="s">
        <v>48244</v>
      </c>
      <c r="U6077" t="s">
        <v>53832</v>
      </c>
      <c r="W6077" t="s">
        <v>42942</v>
      </c>
      <c r="X6077" t="s">
        <v>46574</v>
      </c>
    </row>
    <row r="6078" spans="1:24">
      <c r="A6078">
        <f>HYPERLINK("https://www.philgeps.gov.ph/GEPSNONPILOT/Tender/SplashBidNoticeAbstractUI.aspx?menuIndex=3&amp;refID=7060419&amp;Result=3","7060419")</f>
        <v>0</v>
      </c>
      <c r="B6078" t="s">
        <v>1600</v>
      </c>
      <c r="C6078" t="s">
        <v>9318</v>
      </c>
      <c r="D6078" t="s">
        <v>18835</v>
      </c>
      <c r="E6078" t="s">
        <v>24284</v>
      </c>
      <c r="F6078" t="s">
        <v>32664</v>
      </c>
      <c r="G6078" t="s">
        <v>32671</v>
      </c>
      <c r="H6078" t="s">
        <v>12635</v>
      </c>
      <c r="I6078" t="s">
        <v>6628</v>
      </c>
      <c r="J6078" t="s">
        <v>32853</v>
      </c>
      <c r="K6078" t="s">
        <v>42289</v>
      </c>
      <c r="M6078" t="s">
        <v>44277</v>
      </c>
      <c r="N6078" t="s">
        <v>46569</v>
      </c>
      <c r="O6078" t="s">
        <v>46570</v>
      </c>
      <c r="P6078">
        <v>0</v>
      </c>
      <c r="Q6078">
        <v>0</v>
      </c>
      <c r="R6078" t="s">
        <v>46573</v>
      </c>
      <c r="S6078" t="s">
        <v>46705</v>
      </c>
      <c r="T6078" t="s">
        <v>48287</v>
      </c>
      <c r="U6078" t="s">
        <v>53833</v>
      </c>
      <c r="W6078" t="s">
        <v>44277</v>
      </c>
      <c r="X6078" t="s">
        <v>46574</v>
      </c>
    </row>
    <row r="6079" spans="1:24">
      <c r="A6079">
        <f>HYPERLINK("https://www.philgeps.gov.ph/GEPSNONPILOT/Tender/SplashBidNoticeAbstractUI.aspx?menuIndex=3&amp;refID=7060368&amp;Result=3","7060368")</f>
        <v>0</v>
      </c>
      <c r="B6079" t="s">
        <v>1811</v>
      </c>
      <c r="C6079" t="s">
        <v>9319</v>
      </c>
      <c r="D6079" t="s">
        <v>18805</v>
      </c>
      <c r="E6079" t="s">
        <v>24285</v>
      </c>
      <c r="F6079" t="s">
        <v>32664</v>
      </c>
      <c r="G6079" t="s">
        <v>32672</v>
      </c>
      <c r="H6079" t="s">
        <v>12635</v>
      </c>
      <c r="I6079" t="s">
        <v>7759</v>
      </c>
      <c r="J6079" t="s">
        <v>36608</v>
      </c>
      <c r="K6079" t="s">
        <v>42283</v>
      </c>
      <c r="M6079" t="s">
        <v>44517</v>
      </c>
      <c r="N6079" t="s">
        <v>46569</v>
      </c>
      <c r="O6079" t="s">
        <v>46570</v>
      </c>
      <c r="P6079">
        <v>0</v>
      </c>
      <c r="Q6079">
        <v>0</v>
      </c>
      <c r="R6079" t="s">
        <v>46573</v>
      </c>
      <c r="S6079" t="s">
        <v>46705</v>
      </c>
      <c r="T6079" t="s">
        <v>48411</v>
      </c>
      <c r="U6079" t="s">
        <v>53834</v>
      </c>
      <c r="V6079" t="s">
        <v>62197</v>
      </c>
      <c r="W6079" t="s">
        <v>44517</v>
      </c>
      <c r="X6079" t="s">
        <v>46574</v>
      </c>
    </row>
    <row r="6080" spans="1:24">
      <c r="A6080">
        <f>HYPERLINK("https://www.philgeps.gov.ph/GEPSNONPILOT/Tender/SplashBidNoticeAbstractUI.aspx?menuIndex=3&amp;refID=7060420&amp;Result=3","7060420")</f>
        <v>0</v>
      </c>
      <c r="B6080" t="s">
        <v>202</v>
      </c>
      <c r="C6080" t="s">
        <v>9320</v>
      </c>
      <c r="D6080" t="s">
        <v>18805</v>
      </c>
      <c r="E6080" t="s">
        <v>24286</v>
      </c>
      <c r="F6080" t="s">
        <v>32664</v>
      </c>
      <c r="G6080" t="s">
        <v>32671</v>
      </c>
      <c r="H6080" t="s">
        <v>12635</v>
      </c>
      <c r="I6080" t="s">
        <v>7429</v>
      </c>
      <c r="J6080" t="s">
        <v>36609</v>
      </c>
      <c r="K6080" t="s">
        <v>42332</v>
      </c>
      <c r="M6080" t="s">
        <v>42766</v>
      </c>
      <c r="N6080" t="s">
        <v>46569</v>
      </c>
      <c r="O6080" t="s">
        <v>46570</v>
      </c>
      <c r="P6080">
        <v>0</v>
      </c>
      <c r="Q6080">
        <v>0</v>
      </c>
      <c r="R6080" t="s">
        <v>46573</v>
      </c>
      <c r="S6080" t="s">
        <v>46705</v>
      </c>
      <c r="T6080" t="s">
        <v>48316</v>
      </c>
      <c r="U6080" t="s">
        <v>53835</v>
      </c>
      <c r="W6080" t="s">
        <v>42766</v>
      </c>
      <c r="X6080" t="s">
        <v>46574</v>
      </c>
    </row>
    <row r="6081" spans="1:24">
      <c r="A6081">
        <f>HYPERLINK("https://www.philgeps.gov.ph/GEPSNONPILOT/Tender/SplashBidNoticeAbstractUI.aspx?menuIndex=3&amp;refID=7060386&amp;Result=3","7060386")</f>
        <v>0</v>
      </c>
      <c r="B6081" t="s">
        <v>2013</v>
      </c>
      <c r="C6081" t="s">
        <v>9321</v>
      </c>
      <c r="D6081" t="s">
        <v>18822</v>
      </c>
      <c r="E6081" t="s">
        <v>24287</v>
      </c>
      <c r="F6081" t="s">
        <v>32664</v>
      </c>
      <c r="G6081" t="s">
        <v>32672</v>
      </c>
      <c r="H6081" t="s">
        <v>12635</v>
      </c>
      <c r="I6081" t="s">
        <v>32684</v>
      </c>
      <c r="J6081" t="s">
        <v>32898</v>
      </c>
      <c r="K6081" t="s">
        <v>42297</v>
      </c>
      <c r="M6081" t="s">
        <v>44753</v>
      </c>
      <c r="N6081" t="s">
        <v>46569</v>
      </c>
      <c r="O6081" t="s">
        <v>46570</v>
      </c>
      <c r="P6081">
        <v>0</v>
      </c>
      <c r="Q6081">
        <v>3</v>
      </c>
      <c r="R6081" t="s">
        <v>46573</v>
      </c>
      <c r="S6081" t="s">
        <v>46705</v>
      </c>
      <c r="T6081" t="s">
        <v>48331</v>
      </c>
      <c r="U6081" t="s">
        <v>53836</v>
      </c>
      <c r="W6081" t="s">
        <v>44753</v>
      </c>
      <c r="X6081" t="s">
        <v>46574</v>
      </c>
    </row>
    <row r="6082" spans="1:24">
      <c r="A6082">
        <f>HYPERLINK("https://www.philgeps.gov.ph/GEPSNONPILOT/Tender/SplashBidNoticeAbstractUI.aspx?menuIndex=3&amp;refID=7060412&amp;Result=3","7060412")</f>
        <v>0</v>
      </c>
      <c r="B6082" t="s">
        <v>565</v>
      </c>
      <c r="C6082" t="s">
        <v>9322</v>
      </c>
      <c r="E6082" t="s">
        <v>24288</v>
      </c>
      <c r="F6082" t="s">
        <v>32664</v>
      </c>
      <c r="G6082" t="s">
        <v>32672</v>
      </c>
      <c r="H6082" t="s">
        <v>12635</v>
      </c>
      <c r="I6082" t="s">
        <v>4439</v>
      </c>
      <c r="J6082" t="s">
        <v>36610</v>
      </c>
      <c r="K6082" t="s">
        <v>42283</v>
      </c>
      <c r="M6082" t="s">
        <v>43145</v>
      </c>
      <c r="N6082" t="s">
        <v>46569</v>
      </c>
      <c r="O6082" t="s">
        <v>46570</v>
      </c>
      <c r="P6082">
        <v>0</v>
      </c>
      <c r="Q6082">
        <v>1</v>
      </c>
      <c r="R6082" t="s">
        <v>46573</v>
      </c>
      <c r="S6082" t="s">
        <v>46705</v>
      </c>
      <c r="T6082" t="s">
        <v>48280</v>
      </c>
      <c r="U6082" t="s">
        <v>53837</v>
      </c>
      <c r="W6082" t="s">
        <v>43145</v>
      </c>
      <c r="X6082" t="s">
        <v>46574</v>
      </c>
    </row>
    <row r="6083" spans="1:24">
      <c r="A6083">
        <f>HYPERLINK("https://www.philgeps.gov.ph/GEPSNONPILOT/Tender/SplashBidNoticeAbstractUI.aspx?menuIndex=3&amp;refID=7060409&amp;Result=3","7060409")</f>
        <v>0</v>
      </c>
      <c r="B6083" t="s">
        <v>617</v>
      </c>
      <c r="C6083" t="s">
        <v>9323</v>
      </c>
      <c r="D6083" t="s">
        <v>18784</v>
      </c>
      <c r="E6083" t="s">
        <v>24289</v>
      </c>
      <c r="F6083" t="s">
        <v>32664</v>
      </c>
      <c r="G6083" t="s">
        <v>32674</v>
      </c>
      <c r="H6083" t="s">
        <v>12635</v>
      </c>
      <c r="I6083" t="s">
        <v>10370</v>
      </c>
      <c r="J6083" t="s">
        <v>33621</v>
      </c>
      <c r="K6083" t="s">
        <v>42289</v>
      </c>
      <c r="M6083" t="s">
        <v>43197</v>
      </c>
      <c r="N6083" t="s">
        <v>46569</v>
      </c>
      <c r="O6083" t="s">
        <v>46570</v>
      </c>
      <c r="P6083">
        <v>0</v>
      </c>
      <c r="Q6083">
        <v>3</v>
      </c>
      <c r="R6083" t="s">
        <v>46573</v>
      </c>
      <c r="S6083" t="s">
        <v>46705</v>
      </c>
      <c r="T6083" t="s">
        <v>48448</v>
      </c>
      <c r="U6083" t="s">
        <v>53838</v>
      </c>
      <c r="W6083" t="s">
        <v>43197</v>
      </c>
      <c r="X6083" t="s">
        <v>46574</v>
      </c>
    </row>
    <row r="6084" spans="1:24">
      <c r="A6084">
        <f>HYPERLINK("https://www.philgeps.gov.ph/GEPSNONPILOT/Tender/SplashBidNoticeAbstractUI.aspx?menuIndex=3&amp;refID=7060407&amp;Result=3","7060407")</f>
        <v>0</v>
      </c>
      <c r="B6084" t="s">
        <v>455</v>
      </c>
      <c r="C6084" t="s">
        <v>9324</v>
      </c>
      <c r="D6084" t="s">
        <v>18834</v>
      </c>
      <c r="E6084" t="s">
        <v>24290</v>
      </c>
      <c r="F6084" t="s">
        <v>32664</v>
      </c>
      <c r="G6084" t="s">
        <v>32672</v>
      </c>
      <c r="H6084" t="s">
        <v>12635</v>
      </c>
      <c r="I6084" t="s">
        <v>32685</v>
      </c>
      <c r="J6084" t="s">
        <v>36611</v>
      </c>
      <c r="K6084" t="s">
        <v>42281</v>
      </c>
      <c r="M6084" t="s">
        <v>43028</v>
      </c>
      <c r="N6084" t="s">
        <v>46569</v>
      </c>
      <c r="O6084" t="s">
        <v>46570</v>
      </c>
      <c r="P6084">
        <v>0</v>
      </c>
      <c r="Q6084">
        <v>1</v>
      </c>
      <c r="R6084" t="s">
        <v>46573</v>
      </c>
      <c r="S6084" t="s">
        <v>46705</v>
      </c>
      <c r="T6084" t="s">
        <v>48265</v>
      </c>
      <c r="U6084" t="s">
        <v>53839</v>
      </c>
      <c r="W6084" t="s">
        <v>43028</v>
      </c>
      <c r="X6084" t="s">
        <v>46574</v>
      </c>
    </row>
    <row r="6085" spans="1:24">
      <c r="A6085">
        <f>HYPERLINK("https://www.philgeps.gov.ph/GEPSNONPILOT/Tender/SplashBidNoticeAbstractUI.aspx?menuIndex=3&amp;refID=7060422&amp;Result=3","7060422")</f>
        <v>0</v>
      </c>
      <c r="B6085" t="s">
        <v>2014</v>
      </c>
      <c r="C6085" t="s">
        <v>9325</v>
      </c>
      <c r="E6085" t="s">
        <v>24291</v>
      </c>
      <c r="F6085" t="s">
        <v>32664</v>
      </c>
      <c r="G6085" t="s">
        <v>32672</v>
      </c>
      <c r="H6085" t="s">
        <v>32683</v>
      </c>
      <c r="I6085" t="s">
        <v>10627</v>
      </c>
      <c r="J6085" t="s">
        <v>33126</v>
      </c>
      <c r="K6085" t="s">
        <v>42283</v>
      </c>
      <c r="M6085" t="s">
        <v>44754</v>
      </c>
      <c r="N6085" t="s">
        <v>46569</v>
      </c>
      <c r="O6085" t="s">
        <v>46570</v>
      </c>
      <c r="P6085">
        <v>0</v>
      </c>
      <c r="Q6085">
        <v>0</v>
      </c>
      <c r="R6085" t="s">
        <v>46573</v>
      </c>
      <c r="S6085" t="s">
        <v>46705</v>
      </c>
      <c r="T6085" t="s">
        <v>48565</v>
      </c>
      <c r="U6085" t="s">
        <v>53840</v>
      </c>
      <c r="W6085" t="s">
        <v>44754</v>
      </c>
      <c r="X6085" t="s">
        <v>46574</v>
      </c>
    </row>
    <row r="6086" spans="1:24">
      <c r="A6086">
        <f>HYPERLINK("https://www.philgeps.gov.ph/GEPSNONPILOT/Tender/SplashBidNoticeAbstractUI.aspx?menuIndex=3&amp;refID=7060371&amp;Result=3","7060371")</f>
        <v>0</v>
      </c>
      <c r="B6086" t="s">
        <v>351</v>
      </c>
      <c r="C6086" t="s">
        <v>9326</v>
      </c>
      <c r="D6086" t="s">
        <v>18831</v>
      </c>
      <c r="E6086" t="s">
        <v>24292</v>
      </c>
      <c r="F6086" t="s">
        <v>32664</v>
      </c>
      <c r="G6086" t="s">
        <v>32672</v>
      </c>
      <c r="H6086" t="s">
        <v>32683</v>
      </c>
      <c r="I6086" t="s">
        <v>10627</v>
      </c>
      <c r="J6086" t="s">
        <v>33127</v>
      </c>
      <c r="K6086" t="s">
        <v>42298</v>
      </c>
      <c r="M6086" t="s">
        <v>42920</v>
      </c>
      <c r="N6086" t="s">
        <v>46569</v>
      </c>
      <c r="O6086" t="s">
        <v>46570</v>
      </c>
      <c r="P6086">
        <v>0</v>
      </c>
      <c r="Q6086">
        <v>0</v>
      </c>
      <c r="R6086" t="s">
        <v>46573</v>
      </c>
      <c r="S6086" t="s">
        <v>46705</v>
      </c>
      <c r="T6086" t="s">
        <v>48308</v>
      </c>
      <c r="U6086" t="s">
        <v>53841</v>
      </c>
      <c r="W6086" t="s">
        <v>42920</v>
      </c>
      <c r="X6086" t="s">
        <v>46574</v>
      </c>
    </row>
    <row r="6087" spans="1:24">
      <c r="A6087">
        <f>HYPERLINK("https://www.philgeps.gov.ph/GEPSNONPILOT/Tender/SplashBidNoticeAbstractUI.aspx?menuIndex=3&amp;refID=7060411&amp;Result=3","7060411")</f>
        <v>0</v>
      </c>
      <c r="B6087" t="s">
        <v>2012</v>
      </c>
      <c r="C6087" t="s">
        <v>9327</v>
      </c>
      <c r="D6087" t="s">
        <v>18785</v>
      </c>
      <c r="E6087" t="s">
        <v>24293</v>
      </c>
      <c r="F6087" t="s">
        <v>32664</v>
      </c>
      <c r="G6087" t="s">
        <v>32671</v>
      </c>
      <c r="H6087" t="s">
        <v>12635</v>
      </c>
      <c r="I6087" t="s">
        <v>32689</v>
      </c>
      <c r="J6087" t="s">
        <v>33571</v>
      </c>
      <c r="K6087" t="s">
        <v>42305</v>
      </c>
      <c r="M6087" t="s">
        <v>44751</v>
      </c>
      <c r="N6087" t="s">
        <v>46569</v>
      </c>
      <c r="O6087" t="s">
        <v>46570</v>
      </c>
      <c r="P6087">
        <v>0</v>
      </c>
      <c r="Q6087">
        <v>2</v>
      </c>
      <c r="R6087" t="s">
        <v>46573</v>
      </c>
      <c r="S6087" t="s">
        <v>46705</v>
      </c>
      <c r="T6087" t="s">
        <v>48287</v>
      </c>
      <c r="U6087" t="s">
        <v>53842</v>
      </c>
      <c r="V6087" t="s">
        <v>62242</v>
      </c>
      <c r="W6087" t="s">
        <v>44751</v>
      </c>
      <c r="X6087" t="s">
        <v>46574</v>
      </c>
    </row>
    <row r="6088" spans="1:24">
      <c r="A6088">
        <f>HYPERLINK("https://www.philgeps.gov.ph/GEPSNONPILOT/Tender/SplashBidNoticeAbstractUI.aspx?menuIndex=3&amp;refID=7060445&amp;Result=3","7060445")</f>
        <v>0</v>
      </c>
      <c r="B6088" t="s">
        <v>1964</v>
      </c>
      <c r="C6088" t="s">
        <v>9328</v>
      </c>
      <c r="D6088" t="s">
        <v>18840</v>
      </c>
      <c r="E6088" t="s">
        <v>22598</v>
      </c>
      <c r="F6088" t="s">
        <v>32665</v>
      </c>
      <c r="G6088" t="s">
        <v>32672</v>
      </c>
      <c r="H6088" t="s">
        <v>12635</v>
      </c>
      <c r="I6088" t="s">
        <v>10627</v>
      </c>
      <c r="J6088" t="s">
        <v>36612</v>
      </c>
      <c r="K6088" t="s">
        <v>42361</v>
      </c>
      <c r="M6088" t="s">
        <v>44696</v>
      </c>
      <c r="N6088" t="s">
        <v>46569</v>
      </c>
      <c r="O6088" t="s">
        <v>46570</v>
      </c>
      <c r="P6088">
        <v>0</v>
      </c>
      <c r="Q6088">
        <v>0</v>
      </c>
      <c r="R6088" t="s">
        <v>46573</v>
      </c>
      <c r="S6088" t="s">
        <v>46705</v>
      </c>
      <c r="T6088" t="s">
        <v>48560</v>
      </c>
      <c r="U6088" t="s">
        <v>53843</v>
      </c>
      <c r="V6088" t="s">
        <v>62245</v>
      </c>
      <c r="W6088" t="s">
        <v>44696</v>
      </c>
      <c r="X6088" t="s">
        <v>46574</v>
      </c>
    </row>
    <row r="6089" spans="1:24">
      <c r="A6089">
        <f>HYPERLINK("https://www.philgeps.gov.ph/GEPSNONPILOT/Tender/SplashBidNoticeAbstractUI.aspx?menuIndex=3&amp;refID=7060444&amp;Result=3","7060444")</f>
        <v>0</v>
      </c>
      <c r="B6089" t="s">
        <v>605</v>
      </c>
      <c r="C6089" t="s">
        <v>9329</v>
      </c>
      <c r="D6089" t="s">
        <v>18858</v>
      </c>
      <c r="E6089" t="s">
        <v>24294</v>
      </c>
      <c r="F6089" t="s">
        <v>32664</v>
      </c>
      <c r="G6089" t="s">
        <v>32671</v>
      </c>
      <c r="H6089" t="s">
        <v>12635</v>
      </c>
      <c r="I6089" t="s">
        <v>32694</v>
      </c>
      <c r="J6089" t="s">
        <v>36613</v>
      </c>
      <c r="K6089" t="s">
        <v>42289</v>
      </c>
      <c r="M6089" t="s">
        <v>43185</v>
      </c>
      <c r="N6089" t="s">
        <v>46569</v>
      </c>
      <c r="O6089" t="s">
        <v>46570</v>
      </c>
      <c r="P6089">
        <v>0</v>
      </c>
      <c r="Q6089">
        <v>1</v>
      </c>
      <c r="R6089" t="s">
        <v>46573</v>
      </c>
      <c r="S6089" t="s">
        <v>46705</v>
      </c>
      <c r="T6089" t="s">
        <v>48271</v>
      </c>
      <c r="U6089" t="s">
        <v>53844</v>
      </c>
      <c r="W6089" t="s">
        <v>43185</v>
      </c>
      <c r="X6089" t="s">
        <v>46574</v>
      </c>
    </row>
    <row r="6090" spans="1:24">
      <c r="A6090">
        <f>HYPERLINK("https://www.philgeps.gov.ph/GEPSNONPILOT/Tender/SplashBidNoticeAbstractUI.aspx?menuIndex=3&amp;refID=7060408&amp;Result=3","7060408")</f>
        <v>0</v>
      </c>
      <c r="B6090" t="s">
        <v>304</v>
      </c>
      <c r="C6090" t="s">
        <v>9330</v>
      </c>
      <c r="D6090" t="s">
        <v>18792</v>
      </c>
      <c r="E6090" t="s">
        <v>19460</v>
      </c>
      <c r="F6090" t="s">
        <v>32664</v>
      </c>
      <c r="G6090" t="s">
        <v>32671</v>
      </c>
      <c r="H6090" t="s">
        <v>12635</v>
      </c>
      <c r="I6090" t="s">
        <v>32706</v>
      </c>
      <c r="J6090" t="s">
        <v>36614</v>
      </c>
      <c r="K6090" t="s">
        <v>42295</v>
      </c>
      <c r="M6090" t="s">
        <v>42871</v>
      </c>
      <c r="N6090" t="s">
        <v>46569</v>
      </c>
      <c r="O6090" t="s">
        <v>46570</v>
      </c>
      <c r="P6090">
        <v>0</v>
      </c>
      <c r="Q6090">
        <v>0</v>
      </c>
      <c r="R6090" t="s">
        <v>46573</v>
      </c>
      <c r="S6090" t="s">
        <v>46705</v>
      </c>
      <c r="T6090" t="s">
        <v>48287</v>
      </c>
      <c r="U6090" t="s">
        <v>53845</v>
      </c>
      <c r="W6090" t="s">
        <v>42871</v>
      </c>
      <c r="X6090" t="s">
        <v>46574</v>
      </c>
    </row>
    <row r="6091" spans="1:24">
      <c r="A6091">
        <f>HYPERLINK("https://www.philgeps.gov.ph/GEPSNONPILOT/Tender/SplashBidNoticeAbstractUI.aspx?menuIndex=3&amp;refID=7060406&amp;Result=3","7060406")</f>
        <v>0</v>
      </c>
      <c r="B6091" t="s">
        <v>1709</v>
      </c>
      <c r="C6091" t="s">
        <v>9331</v>
      </c>
      <c r="D6091" t="s">
        <v>18834</v>
      </c>
      <c r="E6091" t="s">
        <v>24295</v>
      </c>
      <c r="F6091" t="s">
        <v>32664</v>
      </c>
      <c r="G6091" t="s">
        <v>32671</v>
      </c>
      <c r="H6091" t="s">
        <v>12635</v>
      </c>
      <c r="I6091" t="s">
        <v>32698</v>
      </c>
      <c r="J6091" t="s">
        <v>36615</v>
      </c>
      <c r="K6091" t="s">
        <v>42289</v>
      </c>
      <c r="M6091" t="s">
        <v>44745</v>
      </c>
      <c r="N6091" t="s">
        <v>46569</v>
      </c>
      <c r="O6091" t="s">
        <v>46570</v>
      </c>
      <c r="P6091">
        <v>0</v>
      </c>
      <c r="Q6091">
        <v>0</v>
      </c>
      <c r="R6091" t="s">
        <v>46573</v>
      </c>
      <c r="S6091" t="s">
        <v>46705</v>
      </c>
      <c r="T6091" t="s">
        <v>48290</v>
      </c>
      <c r="U6091" t="s">
        <v>53846</v>
      </c>
      <c r="V6091" t="s">
        <v>62239</v>
      </c>
      <c r="W6091" t="s">
        <v>44745</v>
      </c>
      <c r="X6091" t="s">
        <v>46574</v>
      </c>
    </row>
    <row r="6092" spans="1:24">
      <c r="A6092">
        <f>HYPERLINK("https://www.philgeps.gov.ph/GEPSNONPILOT/Tender/SplashBidNoticeAbstractUI.aspx?menuIndex=3&amp;refID=7060440&amp;Result=3","7060440")</f>
        <v>0</v>
      </c>
      <c r="B6092" t="s">
        <v>2015</v>
      </c>
      <c r="C6092" t="s">
        <v>4874</v>
      </c>
      <c r="D6092" t="s">
        <v>18851</v>
      </c>
      <c r="E6092" t="s">
        <v>19380</v>
      </c>
      <c r="F6092" t="s">
        <v>32664</v>
      </c>
      <c r="G6092" t="s">
        <v>32675</v>
      </c>
      <c r="H6092" t="s">
        <v>12635</v>
      </c>
      <c r="I6092" t="s">
        <v>8730</v>
      </c>
      <c r="J6092" t="s">
        <v>33621</v>
      </c>
      <c r="K6092" t="s">
        <v>42283</v>
      </c>
      <c r="M6092" t="s">
        <v>44755</v>
      </c>
      <c r="N6092" t="s">
        <v>46569</v>
      </c>
      <c r="O6092" t="s">
        <v>46570</v>
      </c>
      <c r="P6092">
        <v>0</v>
      </c>
      <c r="Q6092">
        <v>0</v>
      </c>
      <c r="R6092" t="s">
        <v>46573</v>
      </c>
      <c r="S6092" t="s">
        <v>46705</v>
      </c>
      <c r="T6092" t="s">
        <v>48316</v>
      </c>
      <c r="U6092" t="s">
        <v>49970</v>
      </c>
      <c r="W6092" t="s">
        <v>44755</v>
      </c>
      <c r="X6092" t="s">
        <v>46574</v>
      </c>
    </row>
    <row r="6093" spans="1:24">
      <c r="A6093">
        <f>HYPERLINK("https://www.philgeps.gov.ph/GEPSNONPILOT/Tender/SplashBidNoticeAbstractUI.aspx?menuIndex=3&amp;refID=7060439&amp;Result=3","7060439")</f>
        <v>0</v>
      </c>
      <c r="B6093" t="s">
        <v>202</v>
      </c>
      <c r="C6093" t="s">
        <v>9332</v>
      </c>
      <c r="D6093" t="s">
        <v>18805</v>
      </c>
      <c r="E6093" t="s">
        <v>24296</v>
      </c>
      <c r="F6093" t="s">
        <v>32664</v>
      </c>
      <c r="G6093" t="s">
        <v>32671</v>
      </c>
      <c r="H6093" t="s">
        <v>12635</v>
      </c>
      <c r="I6093" t="s">
        <v>10370</v>
      </c>
      <c r="J6093" t="s">
        <v>36616</v>
      </c>
      <c r="K6093" t="s">
        <v>42332</v>
      </c>
      <c r="M6093" t="s">
        <v>42766</v>
      </c>
      <c r="N6093" t="s">
        <v>46569</v>
      </c>
      <c r="O6093" t="s">
        <v>46570</v>
      </c>
      <c r="P6093">
        <v>0</v>
      </c>
      <c r="Q6093">
        <v>1</v>
      </c>
      <c r="R6093" t="s">
        <v>46573</v>
      </c>
      <c r="S6093" t="s">
        <v>46705</v>
      </c>
      <c r="T6093" t="s">
        <v>48316</v>
      </c>
      <c r="U6093" t="s">
        <v>53847</v>
      </c>
      <c r="W6093" t="s">
        <v>42766</v>
      </c>
      <c r="X6093" t="s">
        <v>46574</v>
      </c>
    </row>
    <row r="6094" spans="1:24">
      <c r="A6094">
        <f>HYPERLINK("https://www.philgeps.gov.ph/GEPSNONPILOT/Tender/SplashBidNoticeAbstractUI.aspx?menuIndex=3&amp;refID=7060437&amp;Result=3","7060437")</f>
        <v>0</v>
      </c>
      <c r="B6094" t="s">
        <v>848</v>
      </c>
      <c r="C6094" t="s">
        <v>9333</v>
      </c>
      <c r="D6094" t="s">
        <v>18791</v>
      </c>
      <c r="E6094" t="s">
        <v>24297</v>
      </c>
      <c r="F6094" t="s">
        <v>32664</v>
      </c>
      <c r="G6094" t="s">
        <v>32671</v>
      </c>
      <c r="H6094" t="s">
        <v>12635</v>
      </c>
      <c r="I6094" t="s">
        <v>32737</v>
      </c>
      <c r="J6094" t="s">
        <v>36617</v>
      </c>
      <c r="K6094" t="s">
        <v>42284</v>
      </c>
      <c r="M6094" t="s">
        <v>43444</v>
      </c>
      <c r="N6094" t="s">
        <v>46569</v>
      </c>
      <c r="O6094" t="s">
        <v>46570</v>
      </c>
      <c r="P6094">
        <v>0</v>
      </c>
      <c r="Q6094">
        <v>0</v>
      </c>
      <c r="R6094" t="s">
        <v>46573</v>
      </c>
      <c r="S6094" t="s">
        <v>46705</v>
      </c>
      <c r="T6094" t="s">
        <v>48492</v>
      </c>
      <c r="U6094" t="s">
        <v>50421</v>
      </c>
      <c r="W6094" t="s">
        <v>43444</v>
      </c>
      <c r="X6094" t="s">
        <v>46574</v>
      </c>
    </row>
    <row r="6095" spans="1:24">
      <c r="A6095">
        <f>HYPERLINK("https://www.philgeps.gov.ph/GEPSNONPILOT/Tender/SplashBidNoticeAbstractUI.aspx?menuIndex=3&amp;refID=7060410&amp;Result=3","7060410")</f>
        <v>0</v>
      </c>
      <c r="B6095" t="s">
        <v>594</v>
      </c>
      <c r="C6095" t="s">
        <v>9334</v>
      </c>
      <c r="D6095" t="s">
        <v>18784</v>
      </c>
      <c r="E6095" t="s">
        <v>24298</v>
      </c>
      <c r="F6095" t="s">
        <v>32664</v>
      </c>
      <c r="G6095" t="s">
        <v>32674</v>
      </c>
      <c r="H6095" t="s">
        <v>12635</v>
      </c>
      <c r="I6095" t="s">
        <v>9486</v>
      </c>
      <c r="J6095" t="s">
        <v>36618</v>
      </c>
      <c r="K6095" t="s">
        <v>42297</v>
      </c>
      <c r="M6095" t="s">
        <v>43721</v>
      </c>
      <c r="N6095" t="s">
        <v>46569</v>
      </c>
      <c r="O6095" t="s">
        <v>46570</v>
      </c>
      <c r="P6095">
        <v>0</v>
      </c>
      <c r="Q6095">
        <v>2</v>
      </c>
      <c r="R6095" t="s">
        <v>46573</v>
      </c>
      <c r="S6095" t="s">
        <v>46705</v>
      </c>
      <c r="T6095" t="s">
        <v>48551</v>
      </c>
      <c r="U6095" t="s">
        <v>53848</v>
      </c>
      <c r="V6095" t="s">
        <v>62115</v>
      </c>
      <c r="W6095" t="s">
        <v>43721</v>
      </c>
      <c r="X6095" t="s">
        <v>46574</v>
      </c>
    </row>
    <row r="6096" spans="1:24">
      <c r="A6096">
        <f>HYPERLINK("https://www.philgeps.gov.ph/GEPSNONPILOT/Tender/SplashBidNoticeAbstractUI.aspx?menuIndex=3&amp;refID=7060441&amp;Result=3","7060441")</f>
        <v>0</v>
      </c>
      <c r="B6096" t="s">
        <v>117</v>
      </c>
      <c r="C6096" t="s">
        <v>9335</v>
      </c>
      <c r="D6096" t="s">
        <v>18799</v>
      </c>
      <c r="E6096" t="s">
        <v>24299</v>
      </c>
      <c r="F6096" t="s">
        <v>32664</v>
      </c>
      <c r="G6096" t="s">
        <v>32672</v>
      </c>
      <c r="H6096" t="s">
        <v>12635</v>
      </c>
      <c r="I6096" t="s">
        <v>32686</v>
      </c>
      <c r="J6096" t="s">
        <v>36619</v>
      </c>
      <c r="K6096" t="s">
        <v>42283</v>
      </c>
      <c r="M6096" t="s">
        <v>44671</v>
      </c>
      <c r="N6096" t="s">
        <v>46569</v>
      </c>
      <c r="O6096" t="s">
        <v>46570</v>
      </c>
      <c r="P6096">
        <v>0</v>
      </c>
      <c r="Q6096">
        <v>4</v>
      </c>
      <c r="R6096" t="s">
        <v>46573</v>
      </c>
      <c r="S6096" t="s">
        <v>46705</v>
      </c>
      <c r="T6096" t="s">
        <v>48272</v>
      </c>
      <c r="U6096" t="s">
        <v>53849</v>
      </c>
      <c r="W6096" t="s">
        <v>44671</v>
      </c>
      <c r="X6096" t="s">
        <v>46574</v>
      </c>
    </row>
    <row r="6097" spans="1:24">
      <c r="A6097">
        <f>HYPERLINK("https://www.philgeps.gov.ph/GEPSNONPILOT/Tender/SplashBidNoticeAbstractUI.aspx?menuIndex=3&amp;refID=7060436&amp;Result=3","7060436")</f>
        <v>0</v>
      </c>
      <c r="B6097" t="s">
        <v>1481</v>
      </c>
      <c r="C6097" t="s">
        <v>9336</v>
      </c>
      <c r="E6097" t="s">
        <v>24300</v>
      </c>
      <c r="F6097" t="s">
        <v>32664</v>
      </c>
      <c r="G6097" t="s">
        <v>32671</v>
      </c>
      <c r="H6097" t="s">
        <v>12635</v>
      </c>
      <c r="I6097" t="s">
        <v>8797</v>
      </c>
      <c r="J6097" t="s">
        <v>36006</v>
      </c>
      <c r="K6097" t="s">
        <v>42283</v>
      </c>
      <c r="M6097" t="s">
        <v>44756</v>
      </c>
      <c r="N6097" t="s">
        <v>46569</v>
      </c>
      <c r="O6097" t="s">
        <v>46570</v>
      </c>
      <c r="P6097">
        <v>0</v>
      </c>
      <c r="Q6097">
        <v>5</v>
      </c>
      <c r="R6097" t="s">
        <v>46573</v>
      </c>
      <c r="S6097" t="s">
        <v>46705</v>
      </c>
      <c r="T6097" t="s">
        <v>48287</v>
      </c>
      <c r="U6097" t="s">
        <v>53850</v>
      </c>
      <c r="W6097" t="s">
        <v>44756</v>
      </c>
      <c r="X6097" t="s">
        <v>46574</v>
      </c>
    </row>
    <row r="6098" spans="1:24">
      <c r="A6098">
        <f>HYPERLINK("https://www.philgeps.gov.ph/GEPSNONPILOT/Tender/SplashBidNoticeAbstractUI.aspx?menuIndex=3&amp;refID=7060433&amp;Result=3","7060433")</f>
        <v>0</v>
      </c>
      <c r="B6098" t="s">
        <v>1055</v>
      </c>
      <c r="C6098" t="s">
        <v>9337</v>
      </c>
      <c r="D6098" t="s">
        <v>18784</v>
      </c>
      <c r="E6098" t="s">
        <v>24301</v>
      </c>
      <c r="F6098" t="s">
        <v>32664</v>
      </c>
      <c r="G6098" t="s">
        <v>32672</v>
      </c>
      <c r="H6098" t="s">
        <v>12635</v>
      </c>
      <c r="I6098" t="s">
        <v>32694</v>
      </c>
      <c r="J6098" t="s">
        <v>36620</v>
      </c>
      <c r="K6098" t="s">
        <v>42289</v>
      </c>
      <c r="M6098" t="s">
        <v>44732</v>
      </c>
      <c r="N6098" t="s">
        <v>46569</v>
      </c>
      <c r="O6098" t="s">
        <v>46570</v>
      </c>
      <c r="P6098">
        <v>0</v>
      </c>
      <c r="Q6098">
        <v>4</v>
      </c>
      <c r="R6098" t="s">
        <v>46573</v>
      </c>
      <c r="S6098" t="s">
        <v>46705</v>
      </c>
      <c r="T6098" t="s">
        <v>48404</v>
      </c>
      <c r="U6098" t="s">
        <v>53851</v>
      </c>
      <c r="W6098" t="s">
        <v>44732</v>
      </c>
      <c r="X6098" t="s">
        <v>46574</v>
      </c>
    </row>
    <row r="6099" spans="1:24">
      <c r="A6099">
        <f>HYPERLINK("https://www.philgeps.gov.ph/GEPSNONPILOT/Tender/SplashBidNoticeAbstractUI.aspx?menuIndex=3&amp;refID=7060431&amp;Result=3","7060431")</f>
        <v>0</v>
      </c>
      <c r="B6099" t="s">
        <v>1966</v>
      </c>
      <c r="C6099" t="s">
        <v>4439</v>
      </c>
      <c r="D6099" t="s">
        <v>18782</v>
      </c>
      <c r="E6099" t="s">
        <v>24302</v>
      </c>
      <c r="F6099" t="s">
        <v>32664</v>
      </c>
      <c r="G6099" t="s">
        <v>32672</v>
      </c>
      <c r="H6099" t="s">
        <v>32683</v>
      </c>
      <c r="I6099" t="s">
        <v>4439</v>
      </c>
      <c r="J6099" t="s">
        <v>36621</v>
      </c>
      <c r="K6099" t="s">
        <v>42297</v>
      </c>
      <c r="M6099" t="s">
        <v>44698</v>
      </c>
      <c r="N6099" t="s">
        <v>46569</v>
      </c>
      <c r="O6099" t="s">
        <v>46570</v>
      </c>
      <c r="P6099">
        <v>0</v>
      </c>
      <c r="Q6099">
        <v>0</v>
      </c>
      <c r="R6099" t="s">
        <v>46573</v>
      </c>
      <c r="S6099" t="s">
        <v>46705</v>
      </c>
      <c r="T6099" t="s">
        <v>48222</v>
      </c>
      <c r="U6099" t="s">
        <v>53852</v>
      </c>
      <c r="W6099" t="s">
        <v>44698</v>
      </c>
      <c r="X6099" t="s">
        <v>46574</v>
      </c>
    </row>
    <row r="6100" spans="1:24">
      <c r="A6100">
        <f>HYPERLINK("https://www.philgeps.gov.ph/GEPSNONPILOT/Tender/SplashBidNoticeAbstractUI.aspx?menuIndex=3&amp;refID=7060430&amp;Result=3","7060430")</f>
        <v>0</v>
      </c>
      <c r="B6100" t="s">
        <v>1961</v>
      </c>
      <c r="C6100" t="s">
        <v>9338</v>
      </c>
      <c r="D6100" t="s">
        <v>18788</v>
      </c>
      <c r="E6100" t="s">
        <v>24303</v>
      </c>
      <c r="F6100" t="s">
        <v>32664</v>
      </c>
      <c r="G6100" t="s">
        <v>32672</v>
      </c>
      <c r="H6100" t="s">
        <v>12635</v>
      </c>
      <c r="I6100" t="s">
        <v>10627</v>
      </c>
      <c r="J6100" t="s">
        <v>35096</v>
      </c>
      <c r="K6100" t="s">
        <v>42336</v>
      </c>
      <c r="M6100" t="s">
        <v>44692</v>
      </c>
      <c r="N6100" t="s">
        <v>46569</v>
      </c>
      <c r="O6100" t="s">
        <v>46570</v>
      </c>
      <c r="P6100">
        <v>0</v>
      </c>
      <c r="Q6100">
        <v>0</v>
      </c>
      <c r="R6100" t="s">
        <v>46573</v>
      </c>
      <c r="S6100" t="s">
        <v>46705</v>
      </c>
      <c r="T6100" t="s">
        <v>48304</v>
      </c>
      <c r="U6100" t="s">
        <v>53853</v>
      </c>
      <c r="V6100" t="s">
        <v>62231</v>
      </c>
      <c r="W6100" t="s">
        <v>44692</v>
      </c>
      <c r="X6100" t="s">
        <v>46574</v>
      </c>
    </row>
    <row r="6101" spans="1:24">
      <c r="A6101">
        <f>HYPERLINK("https://www.philgeps.gov.ph/GEPSNONPILOT/Tender/SplashBidNoticeAbstractUI.aspx?menuIndex=3&amp;refID=7060438&amp;Result=3","7060438")</f>
        <v>0</v>
      </c>
      <c r="B6101" t="s">
        <v>1600</v>
      </c>
      <c r="C6101" t="s">
        <v>9339</v>
      </c>
      <c r="D6101" t="s">
        <v>18835</v>
      </c>
      <c r="E6101" t="s">
        <v>24304</v>
      </c>
      <c r="F6101" t="s">
        <v>32664</v>
      </c>
      <c r="G6101" t="s">
        <v>32671</v>
      </c>
      <c r="H6101" t="s">
        <v>12635</v>
      </c>
      <c r="I6101" t="s">
        <v>32784</v>
      </c>
      <c r="J6101" t="s">
        <v>33078</v>
      </c>
      <c r="K6101" t="s">
        <v>42289</v>
      </c>
      <c r="M6101" t="s">
        <v>44277</v>
      </c>
      <c r="N6101" t="s">
        <v>46569</v>
      </c>
      <c r="O6101" t="s">
        <v>46570</v>
      </c>
      <c r="P6101">
        <v>0</v>
      </c>
      <c r="Q6101">
        <v>1</v>
      </c>
      <c r="R6101" t="s">
        <v>46573</v>
      </c>
      <c r="S6101" t="s">
        <v>46705</v>
      </c>
      <c r="T6101" t="s">
        <v>48287</v>
      </c>
      <c r="U6101" t="s">
        <v>53854</v>
      </c>
      <c r="W6101" t="s">
        <v>44277</v>
      </c>
      <c r="X6101" t="s">
        <v>46574</v>
      </c>
    </row>
    <row r="6102" spans="1:24">
      <c r="A6102">
        <f>HYPERLINK("https://www.philgeps.gov.ph/GEPSNONPILOT/Tender/SplashBidNoticeAbstractUI.aspx?menuIndex=3&amp;refID=7060442&amp;Result=3","7060442")</f>
        <v>0</v>
      </c>
      <c r="B6102" t="s">
        <v>1684</v>
      </c>
      <c r="C6102" t="s">
        <v>9340</v>
      </c>
      <c r="D6102" t="s">
        <v>18805</v>
      </c>
      <c r="E6102" t="s">
        <v>24305</v>
      </c>
      <c r="F6102" t="s">
        <v>32664</v>
      </c>
      <c r="G6102" t="s">
        <v>32671</v>
      </c>
      <c r="H6102" t="s">
        <v>12635</v>
      </c>
      <c r="I6102" t="s">
        <v>6168</v>
      </c>
      <c r="J6102" t="s">
        <v>36622</v>
      </c>
      <c r="K6102" t="s">
        <v>42284</v>
      </c>
      <c r="M6102" t="s">
        <v>44373</v>
      </c>
      <c r="N6102" t="s">
        <v>46569</v>
      </c>
      <c r="O6102" t="s">
        <v>46570</v>
      </c>
      <c r="P6102">
        <v>0</v>
      </c>
      <c r="Q6102">
        <v>1</v>
      </c>
      <c r="R6102" t="s">
        <v>46573</v>
      </c>
      <c r="S6102" t="s">
        <v>46705</v>
      </c>
      <c r="T6102" t="s">
        <v>48287</v>
      </c>
      <c r="U6102" t="s">
        <v>53855</v>
      </c>
      <c r="W6102" t="s">
        <v>44373</v>
      </c>
      <c r="X6102" t="s">
        <v>46574</v>
      </c>
    </row>
    <row r="6103" spans="1:24">
      <c r="A6103">
        <f>HYPERLINK("https://www.philgeps.gov.ph/GEPSNONPILOT/Tender/SplashBidNoticeAbstractUI.aspx?menuIndex=3&amp;refID=7060426&amp;Result=3","7060426")</f>
        <v>0</v>
      </c>
      <c r="B6103" t="s">
        <v>419</v>
      </c>
      <c r="C6103" t="s">
        <v>9341</v>
      </c>
      <c r="D6103" t="s">
        <v>18784</v>
      </c>
      <c r="E6103" t="s">
        <v>24306</v>
      </c>
      <c r="F6103" t="s">
        <v>32664</v>
      </c>
      <c r="G6103" t="s">
        <v>32674</v>
      </c>
      <c r="H6103" t="s">
        <v>12635</v>
      </c>
      <c r="I6103" t="s">
        <v>6223</v>
      </c>
      <c r="J6103" t="s">
        <v>33078</v>
      </c>
      <c r="K6103" t="s">
        <v>42283</v>
      </c>
      <c r="M6103" t="s">
        <v>42990</v>
      </c>
      <c r="N6103" t="s">
        <v>46569</v>
      </c>
      <c r="O6103" t="s">
        <v>46570</v>
      </c>
      <c r="P6103">
        <v>0</v>
      </c>
      <c r="Q6103">
        <v>2</v>
      </c>
      <c r="R6103" t="s">
        <v>46573</v>
      </c>
      <c r="S6103" t="s">
        <v>46705</v>
      </c>
      <c r="T6103" t="s">
        <v>48251</v>
      </c>
      <c r="U6103" t="s">
        <v>53856</v>
      </c>
      <c r="W6103" t="s">
        <v>42990</v>
      </c>
      <c r="X6103" t="s">
        <v>46574</v>
      </c>
    </row>
    <row r="6104" spans="1:24">
      <c r="A6104">
        <f>HYPERLINK("https://www.philgeps.gov.ph/GEPSNONPILOT/Tender/SplashBidNoticeAbstractUI.aspx?menuIndex=3&amp;refID=7060443&amp;Result=3","7060443")</f>
        <v>0</v>
      </c>
      <c r="B6104" t="s">
        <v>1755</v>
      </c>
      <c r="C6104" t="s">
        <v>9342</v>
      </c>
      <c r="D6104" t="s">
        <v>18784</v>
      </c>
      <c r="E6104" t="s">
        <v>24307</v>
      </c>
      <c r="F6104" t="s">
        <v>32664</v>
      </c>
      <c r="G6104" t="s">
        <v>32671</v>
      </c>
      <c r="H6104" t="s">
        <v>12635</v>
      </c>
      <c r="I6104" t="s">
        <v>5589</v>
      </c>
      <c r="J6104" t="s">
        <v>33167</v>
      </c>
      <c r="K6104" t="s">
        <v>42283</v>
      </c>
      <c r="M6104" t="s">
        <v>44757</v>
      </c>
      <c r="N6104" t="s">
        <v>46569</v>
      </c>
      <c r="O6104" t="s">
        <v>46570</v>
      </c>
      <c r="P6104">
        <v>0</v>
      </c>
      <c r="Q6104">
        <v>13</v>
      </c>
      <c r="R6104" t="s">
        <v>46573</v>
      </c>
      <c r="S6104" t="s">
        <v>46705</v>
      </c>
      <c r="T6104" t="s">
        <v>48461</v>
      </c>
      <c r="U6104" t="s">
        <v>53857</v>
      </c>
      <c r="W6104" t="s">
        <v>44757</v>
      </c>
      <c r="X6104" t="s">
        <v>46574</v>
      </c>
    </row>
    <row r="6105" spans="1:24">
      <c r="A6105">
        <f>HYPERLINK("https://www.philgeps.gov.ph/GEPSNONPILOT/Tender/SplashBidNoticeAbstractUI.aspx?menuIndex=3&amp;refID=7060427&amp;Result=3","7060427")</f>
        <v>0</v>
      </c>
      <c r="B6105" t="s">
        <v>1304</v>
      </c>
      <c r="C6105" t="s">
        <v>9343</v>
      </c>
      <c r="D6105" t="s">
        <v>18801</v>
      </c>
      <c r="E6105" t="s">
        <v>21318</v>
      </c>
      <c r="F6105" t="s">
        <v>32664</v>
      </c>
      <c r="G6105" t="s">
        <v>32674</v>
      </c>
      <c r="H6105" t="s">
        <v>12635</v>
      </c>
      <c r="I6105" t="s">
        <v>5501</v>
      </c>
      <c r="J6105" t="s">
        <v>36623</v>
      </c>
      <c r="K6105" t="s">
        <v>42309</v>
      </c>
      <c r="M6105" t="s">
        <v>43949</v>
      </c>
      <c r="N6105" t="s">
        <v>46569</v>
      </c>
      <c r="O6105" t="s">
        <v>46570</v>
      </c>
      <c r="P6105">
        <v>0</v>
      </c>
      <c r="Q6105">
        <v>7</v>
      </c>
      <c r="R6105" t="s">
        <v>46573</v>
      </c>
      <c r="S6105" t="s">
        <v>46705</v>
      </c>
      <c r="T6105" t="s">
        <v>48566</v>
      </c>
      <c r="U6105" t="s">
        <v>53858</v>
      </c>
      <c r="W6105" t="s">
        <v>43949</v>
      </c>
      <c r="X6105" t="s">
        <v>46574</v>
      </c>
    </row>
    <row r="6106" spans="1:24">
      <c r="A6106">
        <f>HYPERLINK("https://www.philgeps.gov.ph/GEPSNONPILOT/Tender/SplashBidNoticeAbstractUI.aspx?menuIndex=3&amp;refID=7060468&amp;Result=3","7060468")</f>
        <v>0</v>
      </c>
      <c r="B6106" t="s">
        <v>1600</v>
      </c>
      <c r="C6106" t="s">
        <v>9344</v>
      </c>
      <c r="D6106" t="s">
        <v>18835</v>
      </c>
      <c r="E6106" t="s">
        <v>24308</v>
      </c>
      <c r="F6106" t="s">
        <v>32664</v>
      </c>
      <c r="G6106" t="s">
        <v>32671</v>
      </c>
      <c r="H6106" t="s">
        <v>12635</v>
      </c>
      <c r="I6106" t="s">
        <v>4439</v>
      </c>
      <c r="J6106" t="s">
        <v>36624</v>
      </c>
      <c r="K6106" t="s">
        <v>42289</v>
      </c>
      <c r="M6106" t="s">
        <v>44277</v>
      </c>
      <c r="N6106" t="s">
        <v>46569</v>
      </c>
      <c r="O6106" t="s">
        <v>46570</v>
      </c>
      <c r="P6106">
        <v>0</v>
      </c>
      <c r="Q6106">
        <v>0</v>
      </c>
      <c r="R6106" t="s">
        <v>46573</v>
      </c>
      <c r="S6106" t="s">
        <v>46705</v>
      </c>
      <c r="T6106" t="s">
        <v>48287</v>
      </c>
      <c r="U6106" t="s">
        <v>53859</v>
      </c>
      <c r="W6106" t="s">
        <v>44277</v>
      </c>
      <c r="X6106" t="s">
        <v>46574</v>
      </c>
    </row>
    <row r="6107" spans="1:24">
      <c r="A6107">
        <f>HYPERLINK("https://www.philgeps.gov.ph/GEPSNONPILOT/Tender/SplashBidNoticeAbstractUI.aspx?menuIndex=3&amp;refID=7060434&amp;Result=3","7060434")</f>
        <v>0</v>
      </c>
      <c r="B6107" t="s">
        <v>233</v>
      </c>
      <c r="C6107" t="s">
        <v>4439</v>
      </c>
      <c r="D6107" t="s">
        <v>18786</v>
      </c>
      <c r="E6107" t="s">
        <v>24309</v>
      </c>
      <c r="F6107" t="s">
        <v>32664</v>
      </c>
      <c r="G6107" t="s">
        <v>32671</v>
      </c>
      <c r="H6107" t="s">
        <v>12635</v>
      </c>
      <c r="I6107" t="s">
        <v>4439</v>
      </c>
      <c r="J6107" t="s">
        <v>36625</v>
      </c>
      <c r="K6107" t="s">
        <v>42281</v>
      </c>
      <c r="M6107" t="s">
        <v>42798</v>
      </c>
      <c r="N6107" t="s">
        <v>46569</v>
      </c>
      <c r="O6107" t="s">
        <v>46570</v>
      </c>
      <c r="P6107">
        <v>0</v>
      </c>
      <c r="Q6107">
        <v>0</v>
      </c>
      <c r="R6107" t="s">
        <v>46573</v>
      </c>
      <c r="S6107" t="s">
        <v>46705</v>
      </c>
      <c r="T6107" t="s">
        <v>48246</v>
      </c>
      <c r="U6107" t="s">
        <v>53860</v>
      </c>
      <c r="W6107" t="s">
        <v>42798</v>
      </c>
      <c r="X6107" t="s">
        <v>46574</v>
      </c>
    </row>
    <row r="6108" spans="1:24">
      <c r="A6108">
        <f>HYPERLINK("https://www.philgeps.gov.ph/GEPSNONPILOT/Tender/SplashBidNoticeAbstractUI.aspx?menuIndex=3&amp;refID=7060467&amp;Result=3","7060467")</f>
        <v>0</v>
      </c>
      <c r="B6108" t="s">
        <v>617</v>
      </c>
      <c r="C6108" t="s">
        <v>9345</v>
      </c>
      <c r="D6108" t="s">
        <v>18784</v>
      </c>
      <c r="E6108" t="s">
        <v>24310</v>
      </c>
      <c r="F6108" t="s">
        <v>32664</v>
      </c>
      <c r="G6108" t="s">
        <v>32674</v>
      </c>
      <c r="H6108" t="s">
        <v>12635</v>
      </c>
      <c r="I6108" t="s">
        <v>5589</v>
      </c>
      <c r="J6108" t="s">
        <v>35252</v>
      </c>
      <c r="K6108" t="s">
        <v>42289</v>
      </c>
      <c r="M6108" t="s">
        <v>43197</v>
      </c>
      <c r="N6108" t="s">
        <v>46569</v>
      </c>
      <c r="O6108" t="s">
        <v>46570</v>
      </c>
      <c r="P6108">
        <v>0</v>
      </c>
      <c r="Q6108">
        <v>7</v>
      </c>
      <c r="R6108" t="s">
        <v>46573</v>
      </c>
      <c r="S6108" t="s">
        <v>46705</v>
      </c>
      <c r="T6108" t="s">
        <v>48448</v>
      </c>
      <c r="U6108" t="s">
        <v>53861</v>
      </c>
      <c r="W6108" t="s">
        <v>43197</v>
      </c>
      <c r="X6108" t="s">
        <v>46574</v>
      </c>
    </row>
    <row r="6109" spans="1:24">
      <c r="A6109">
        <f>HYPERLINK("https://www.philgeps.gov.ph/GEPSNONPILOT/Tender/SplashBidNoticeAbstractUI.aspx?menuIndex=3&amp;refID=7060465&amp;Result=3","7060465")</f>
        <v>0</v>
      </c>
      <c r="B6109" t="s">
        <v>834</v>
      </c>
      <c r="C6109" t="s">
        <v>9346</v>
      </c>
      <c r="D6109" t="s">
        <v>18831</v>
      </c>
      <c r="E6109" t="s">
        <v>24311</v>
      </c>
      <c r="F6109" t="s">
        <v>32664</v>
      </c>
      <c r="G6109" t="s">
        <v>32674</v>
      </c>
      <c r="H6109" t="s">
        <v>12635</v>
      </c>
      <c r="I6109" t="s">
        <v>32708</v>
      </c>
      <c r="J6109" t="s">
        <v>33078</v>
      </c>
      <c r="K6109" t="s">
        <v>42283</v>
      </c>
      <c r="M6109" t="s">
        <v>43429</v>
      </c>
      <c r="N6109" t="s">
        <v>46569</v>
      </c>
      <c r="O6109" t="s">
        <v>46570</v>
      </c>
      <c r="P6109">
        <v>0</v>
      </c>
      <c r="Q6109">
        <v>8</v>
      </c>
      <c r="R6109" t="s">
        <v>46573</v>
      </c>
      <c r="S6109" t="s">
        <v>46705</v>
      </c>
      <c r="T6109" t="s">
        <v>48562</v>
      </c>
      <c r="U6109" t="s">
        <v>50379</v>
      </c>
      <c r="V6109" t="s">
        <v>61824</v>
      </c>
      <c r="W6109" t="s">
        <v>43429</v>
      </c>
      <c r="X6109" t="s">
        <v>46574</v>
      </c>
    </row>
    <row r="6110" spans="1:24">
      <c r="A6110">
        <f>HYPERLINK("https://www.philgeps.gov.ph/GEPSNONPILOT/Tender/SplashBidNoticeAbstractUI.aspx?menuIndex=3&amp;refID=7060429&amp;Result=3","7060429")</f>
        <v>0</v>
      </c>
      <c r="B6110" t="s">
        <v>2016</v>
      </c>
      <c r="C6110" t="s">
        <v>9347</v>
      </c>
      <c r="D6110" t="s">
        <v>18842</v>
      </c>
      <c r="E6110" t="s">
        <v>23611</v>
      </c>
      <c r="F6110" t="s">
        <v>32664</v>
      </c>
      <c r="G6110" t="s">
        <v>32675</v>
      </c>
      <c r="H6110" t="s">
        <v>12635</v>
      </c>
      <c r="I6110" t="s">
        <v>32688</v>
      </c>
      <c r="J6110" t="s">
        <v>36626</v>
      </c>
      <c r="K6110" t="s">
        <v>42309</v>
      </c>
      <c r="M6110" t="s">
        <v>44758</v>
      </c>
      <c r="N6110" t="s">
        <v>46569</v>
      </c>
      <c r="O6110" t="s">
        <v>46570</v>
      </c>
      <c r="P6110">
        <v>0</v>
      </c>
      <c r="Q6110">
        <v>0</v>
      </c>
      <c r="R6110" t="s">
        <v>46573</v>
      </c>
      <c r="S6110" t="s">
        <v>46705</v>
      </c>
      <c r="T6110" t="s">
        <v>48307</v>
      </c>
      <c r="U6110" t="s">
        <v>53146</v>
      </c>
      <c r="W6110" t="s">
        <v>44758</v>
      </c>
      <c r="X6110" t="s">
        <v>46574</v>
      </c>
    </row>
    <row r="6111" spans="1:24">
      <c r="A6111">
        <f>HYPERLINK("https://www.philgeps.gov.ph/GEPSNONPILOT/Tender/SplashBidNoticeAbstractUI.aspx?menuIndex=3&amp;refID=7060464&amp;Result=3","7060464")</f>
        <v>0</v>
      </c>
      <c r="B6111" t="s">
        <v>2017</v>
      </c>
      <c r="C6111" t="s">
        <v>9348</v>
      </c>
      <c r="D6111" t="s">
        <v>18851</v>
      </c>
      <c r="E6111" t="s">
        <v>18889</v>
      </c>
      <c r="F6111" t="s">
        <v>32664</v>
      </c>
      <c r="G6111" t="s">
        <v>32674</v>
      </c>
      <c r="H6111" t="s">
        <v>12635</v>
      </c>
      <c r="I6111" t="s">
        <v>32716</v>
      </c>
      <c r="J6111" t="s">
        <v>34207</v>
      </c>
      <c r="K6111" t="s">
        <v>42309</v>
      </c>
      <c r="M6111" t="s">
        <v>44759</v>
      </c>
      <c r="N6111" t="s">
        <v>46569</v>
      </c>
      <c r="O6111" t="s">
        <v>46570</v>
      </c>
      <c r="P6111">
        <v>0</v>
      </c>
      <c r="Q6111">
        <v>0</v>
      </c>
      <c r="R6111" t="s">
        <v>46573</v>
      </c>
      <c r="S6111" t="s">
        <v>46705</v>
      </c>
      <c r="T6111" t="s">
        <v>48244</v>
      </c>
      <c r="U6111" t="s">
        <v>53862</v>
      </c>
      <c r="W6111" t="s">
        <v>44759</v>
      </c>
      <c r="X6111" t="s">
        <v>46574</v>
      </c>
    </row>
    <row r="6112" spans="1:24">
      <c r="A6112">
        <f>HYPERLINK("https://www.philgeps.gov.ph/GEPSNONPILOT/Tender/SplashBidNoticeAbstractUI.aspx?menuIndex=3&amp;refID=7060463&amp;Result=3","7060463")</f>
        <v>0</v>
      </c>
      <c r="B6112" t="s">
        <v>1115</v>
      </c>
      <c r="C6112" t="s">
        <v>9349</v>
      </c>
      <c r="E6112" t="s">
        <v>24312</v>
      </c>
      <c r="F6112" t="s">
        <v>32664</v>
      </c>
      <c r="G6112" t="s">
        <v>32671</v>
      </c>
      <c r="H6112" t="s">
        <v>12635</v>
      </c>
      <c r="I6112" t="s">
        <v>32699</v>
      </c>
      <c r="J6112" t="s">
        <v>36627</v>
      </c>
      <c r="K6112" t="s">
        <v>42283</v>
      </c>
      <c r="M6112" t="s">
        <v>44252</v>
      </c>
      <c r="N6112" t="s">
        <v>46569</v>
      </c>
      <c r="O6112" t="s">
        <v>46570</v>
      </c>
      <c r="P6112">
        <v>0</v>
      </c>
      <c r="Q6112">
        <v>0</v>
      </c>
      <c r="R6112" t="s">
        <v>46573</v>
      </c>
      <c r="S6112" t="s">
        <v>46705</v>
      </c>
      <c r="T6112" t="s">
        <v>48256</v>
      </c>
      <c r="U6112" t="s">
        <v>52416</v>
      </c>
      <c r="W6112" t="s">
        <v>44252</v>
      </c>
      <c r="X6112" t="s">
        <v>46574</v>
      </c>
    </row>
    <row r="6113" spans="1:24">
      <c r="A6113">
        <f>HYPERLINK("https://www.philgeps.gov.ph/GEPSNONPILOT/Tender/SplashBidNoticeAbstractUI.aspx?menuIndex=3&amp;refID=7060462&amp;Result=3","7060462")</f>
        <v>0</v>
      </c>
      <c r="B6113" t="s">
        <v>2018</v>
      </c>
      <c r="C6113" t="s">
        <v>9350</v>
      </c>
      <c r="D6113" t="s">
        <v>18838</v>
      </c>
      <c r="E6113" t="s">
        <v>24313</v>
      </c>
      <c r="F6113" t="s">
        <v>32664</v>
      </c>
      <c r="G6113" t="s">
        <v>32671</v>
      </c>
      <c r="H6113" t="s">
        <v>12635</v>
      </c>
      <c r="I6113" t="s">
        <v>6628</v>
      </c>
      <c r="J6113" t="s">
        <v>36628</v>
      </c>
      <c r="K6113" t="s">
        <v>42297</v>
      </c>
      <c r="M6113" t="s">
        <v>44760</v>
      </c>
      <c r="N6113" t="s">
        <v>46569</v>
      </c>
      <c r="O6113" t="s">
        <v>46570</v>
      </c>
      <c r="P6113">
        <v>0</v>
      </c>
      <c r="Q6113">
        <v>1</v>
      </c>
      <c r="R6113" t="s">
        <v>46573</v>
      </c>
      <c r="S6113" t="s">
        <v>46705</v>
      </c>
      <c r="T6113" t="s">
        <v>48427</v>
      </c>
      <c r="U6113" t="s">
        <v>53863</v>
      </c>
      <c r="W6113" t="s">
        <v>44760</v>
      </c>
      <c r="X6113" t="s">
        <v>46574</v>
      </c>
    </row>
    <row r="6114" spans="1:24">
      <c r="A6114">
        <f>HYPERLINK("https://www.philgeps.gov.ph/GEPSNONPILOT/Tender/SplashBidNoticeAbstractUI.aspx?menuIndex=3&amp;refID=7060456&amp;Result=3","7060456")</f>
        <v>0</v>
      </c>
      <c r="B6114" t="s">
        <v>848</v>
      </c>
      <c r="C6114" t="s">
        <v>9351</v>
      </c>
      <c r="D6114" t="s">
        <v>18791</v>
      </c>
      <c r="E6114" t="s">
        <v>24314</v>
      </c>
      <c r="F6114" t="s">
        <v>32664</v>
      </c>
      <c r="G6114" t="s">
        <v>32671</v>
      </c>
      <c r="H6114" t="s">
        <v>12635</v>
      </c>
      <c r="I6114" t="s">
        <v>4439</v>
      </c>
      <c r="J6114" t="s">
        <v>32824</v>
      </c>
      <c r="K6114" t="s">
        <v>42284</v>
      </c>
      <c r="M6114" t="s">
        <v>43444</v>
      </c>
      <c r="N6114" t="s">
        <v>46569</v>
      </c>
      <c r="O6114" t="s">
        <v>46570</v>
      </c>
      <c r="P6114">
        <v>0</v>
      </c>
      <c r="Q6114">
        <v>0</v>
      </c>
      <c r="R6114" t="s">
        <v>46573</v>
      </c>
      <c r="S6114" t="s">
        <v>46705</v>
      </c>
      <c r="T6114" t="s">
        <v>48492</v>
      </c>
      <c r="U6114" t="s">
        <v>50421</v>
      </c>
      <c r="W6114" t="s">
        <v>43444</v>
      </c>
      <c r="X6114" t="s">
        <v>46574</v>
      </c>
    </row>
    <row r="6115" spans="1:24">
      <c r="A6115">
        <f>HYPERLINK("https://www.philgeps.gov.ph/GEPSNONPILOT/Tender/SplashBidNoticeAbstractUI.aspx?menuIndex=3&amp;refID=7060466&amp;Result=3","7060466")</f>
        <v>0</v>
      </c>
      <c r="B6115" t="s">
        <v>204</v>
      </c>
      <c r="C6115" t="s">
        <v>9352</v>
      </c>
      <c r="D6115" t="s">
        <v>18816</v>
      </c>
      <c r="E6115" t="s">
        <v>24315</v>
      </c>
      <c r="F6115" t="s">
        <v>32664</v>
      </c>
      <c r="G6115" t="s">
        <v>32674</v>
      </c>
      <c r="H6115" t="s">
        <v>12635</v>
      </c>
      <c r="I6115" t="s">
        <v>4333</v>
      </c>
      <c r="J6115" t="s">
        <v>36629</v>
      </c>
      <c r="K6115" t="s">
        <v>42284</v>
      </c>
      <c r="M6115" t="s">
        <v>42768</v>
      </c>
      <c r="N6115" t="s">
        <v>46569</v>
      </c>
      <c r="O6115" t="s">
        <v>46570</v>
      </c>
      <c r="P6115">
        <v>0</v>
      </c>
      <c r="Q6115">
        <v>0</v>
      </c>
      <c r="R6115" t="s">
        <v>46573</v>
      </c>
      <c r="S6115" t="s">
        <v>46705</v>
      </c>
      <c r="T6115" t="s">
        <v>48473</v>
      </c>
      <c r="U6115" t="s">
        <v>49145</v>
      </c>
      <c r="W6115" t="s">
        <v>42768</v>
      </c>
      <c r="X6115" t="s">
        <v>46574</v>
      </c>
    </row>
    <row r="6116" spans="1:24">
      <c r="A6116">
        <f>HYPERLINK("https://www.philgeps.gov.ph/GEPSNONPILOT/Tender/SplashBidNoticeAbstractUI.aspx?menuIndex=3&amp;refID=7060470&amp;Result=3","7060470")</f>
        <v>0</v>
      </c>
      <c r="B6116" t="s">
        <v>1058</v>
      </c>
      <c r="C6116" t="s">
        <v>6089</v>
      </c>
      <c r="D6116" t="s">
        <v>18816</v>
      </c>
      <c r="E6116" t="s">
        <v>21316</v>
      </c>
      <c r="F6116" t="s">
        <v>32664</v>
      </c>
      <c r="G6116" t="s">
        <v>32674</v>
      </c>
      <c r="H6116" t="s">
        <v>12635</v>
      </c>
      <c r="I6116" t="s">
        <v>32719</v>
      </c>
      <c r="J6116" t="s">
        <v>33387</v>
      </c>
      <c r="K6116" t="s">
        <v>42284</v>
      </c>
      <c r="M6116" t="s">
        <v>43676</v>
      </c>
      <c r="N6116" t="s">
        <v>46569</v>
      </c>
      <c r="O6116" t="s">
        <v>46570</v>
      </c>
      <c r="P6116">
        <v>0</v>
      </c>
      <c r="Q6116">
        <v>3</v>
      </c>
      <c r="R6116" t="s">
        <v>46573</v>
      </c>
      <c r="S6116" t="s">
        <v>46705</v>
      </c>
      <c r="T6116" t="s">
        <v>48280</v>
      </c>
      <c r="U6116" t="s">
        <v>53864</v>
      </c>
      <c r="W6116" t="s">
        <v>43676</v>
      </c>
      <c r="X6116" t="s">
        <v>46574</v>
      </c>
    </row>
    <row r="6117" spans="1:24">
      <c r="A6117">
        <f>HYPERLINK("https://www.philgeps.gov.ph/GEPSNONPILOT/Tender/SplashBidNoticeAbstractUI.aspx?menuIndex=3&amp;refID=7060455&amp;Result=3","7060455")</f>
        <v>0</v>
      </c>
      <c r="B6117" t="s">
        <v>458</v>
      </c>
      <c r="C6117" t="s">
        <v>3713</v>
      </c>
      <c r="D6117" t="s">
        <v>18833</v>
      </c>
      <c r="E6117" t="s">
        <v>24316</v>
      </c>
      <c r="F6117" t="s">
        <v>32664</v>
      </c>
      <c r="G6117" t="s">
        <v>32671</v>
      </c>
      <c r="H6117" t="s">
        <v>12635</v>
      </c>
      <c r="I6117" t="s">
        <v>6168</v>
      </c>
      <c r="J6117" t="s">
        <v>36630</v>
      </c>
      <c r="K6117" t="s">
        <v>42283</v>
      </c>
      <c r="M6117" t="s">
        <v>43031</v>
      </c>
      <c r="N6117" t="s">
        <v>46569</v>
      </c>
      <c r="O6117" t="s">
        <v>46570</v>
      </c>
      <c r="P6117">
        <v>0</v>
      </c>
      <c r="Q6117">
        <v>1</v>
      </c>
      <c r="R6117" t="s">
        <v>46573</v>
      </c>
      <c r="S6117" t="s">
        <v>46705</v>
      </c>
      <c r="T6117" t="s">
        <v>48410</v>
      </c>
      <c r="U6117" t="s">
        <v>53865</v>
      </c>
      <c r="W6117" t="s">
        <v>43031</v>
      </c>
      <c r="X6117" t="s">
        <v>46574</v>
      </c>
    </row>
    <row r="6118" spans="1:24">
      <c r="A6118">
        <f>HYPERLINK("https://www.philgeps.gov.ph/GEPSNONPILOT/Tender/SplashBidNoticeAbstractUI.aspx?menuIndex=3&amp;refID=7060453&amp;Result=3","7060453")</f>
        <v>0</v>
      </c>
      <c r="B6118" t="s">
        <v>2019</v>
      </c>
      <c r="C6118" t="s">
        <v>9353</v>
      </c>
      <c r="D6118" t="s">
        <v>18797</v>
      </c>
      <c r="E6118" t="s">
        <v>24317</v>
      </c>
      <c r="F6118" t="s">
        <v>32664</v>
      </c>
      <c r="G6118" t="s">
        <v>32671</v>
      </c>
      <c r="H6118" t="s">
        <v>12635</v>
      </c>
      <c r="I6118" t="s">
        <v>8730</v>
      </c>
      <c r="J6118" t="s">
        <v>34092</v>
      </c>
      <c r="K6118" t="s">
        <v>42284</v>
      </c>
      <c r="M6118" t="s">
        <v>44761</v>
      </c>
      <c r="N6118" t="s">
        <v>46569</v>
      </c>
      <c r="O6118" t="s">
        <v>46570</v>
      </c>
      <c r="P6118">
        <v>0</v>
      </c>
      <c r="Q6118">
        <v>2</v>
      </c>
      <c r="R6118" t="s">
        <v>46573</v>
      </c>
      <c r="S6118" t="s">
        <v>46705</v>
      </c>
      <c r="T6118" t="s">
        <v>48316</v>
      </c>
      <c r="U6118" t="s">
        <v>53866</v>
      </c>
      <c r="W6118" t="s">
        <v>44761</v>
      </c>
      <c r="X6118" t="s">
        <v>46574</v>
      </c>
    </row>
    <row r="6119" spans="1:24">
      <c r="A6119">
        <f>HYPERLINK("https://www.philgeps.gov.ph/GEPSNONPILOT/Tender/SplashBidNoticeAbstractUI.aspx?menuIndex=3&amp;refID=7060451&amp;Result=3","7060451")</f>
        <v>0</v>
      </c>
      <c r="B6119" t="s">
        <v>167</v>
      </c>
      <c r="C6119" t="s">
        <v>9354</v>
      </c>
      <c r="D6119" t="s">
        <v>18837</v>
      </c>
      <c r="E6119" t="s">
        <v>24318</v>
      </c>
      <c r="F6119" t="s">
        <v>32664</v>
      </c>
      <c r="G6119" t="s">
        <v>32672</v>
      </c>
      <c r="H6119" t="s">
        <v>12635</v>
      </c>
      <c r="I6119" t="s">
        <v>5589</v>
      </c>
      <c r="J6119" t="s">
        <v>36631</v>
      </c>
      <c r="K6119" t="s">
        <v>42303</v>
      </c>
      <c r="M6119" t="s">
        <v>42731</v>
      </c>
      <c r="N6119" t="s">
        <v>46569</v>
      </c>
      <c r="O6119" t="s">
        <v>46570</v>
      </c>
      <c r="P6119">
        <v>0</v>
      </c>
      <c r="Q6119">
        <v>9</v>
      </c>
      <c r="R6119" t="s">
        <v>46573</v>
      </c>
      <c r="S6119" t="s">
        <v>46705</v>
      </c>
      <c r="T6119" t="s">
        <v>48261</v>
      </c>
      <c r="U6119" t="s">
        <v>53867</v>
      </c>
      <c r="W6119" t="s">
        <v>42731</v>
      </c>
      <c r="X6119" t="s">
        <v>46574</v>
      </c>
    </row>
    <row r="6120" spans="1:24">
      <c r="A6120">
        <f>HYPERLINK("https://www.philgeps.gov.ph/GEPSNONPILOT/Tender/SplashBidNoticeAbstractUI.aspx?menuIndex=3&amp;refID=7060454&amp;Result=3","7060454")</f>
        <v>0</v>
      </c>
      <c r="B6120" t="s">
        <v>2020</v>
      </c>
      <c r="C6120" t="s">
        <v>9355</v>
      </c>
      <c r="D6120" t="s">
        <v>18804</v>
      </c>
      <c r="E6120" t="s">
        <v>24319</v>
      </c>
      <c r="F6120" t="s">
        <v>32664</v>
      </c>
      <c r="G6120" t="s">
        <v>32671</v>
      </c>
      <c r="H6120" t="s">
        <v>12635</v>
      </c>
      <c r="I6120" t="s">
        <v>4439</v>
      </c>
      <c r="J6120" t="s">
        <v>36632</v>
      </c>
      <c r="K6120" t="s">
        <v>42297</v>
      </c>
      <c r="M6120" t="s">
        <v>44762</v>
      </c>
      <c r="N6120" t="s">
        <v>46569</v>
      </c>
      <c r="O6120" t="s">
        <v>46570</v>
      </c>
      <c r="P6120">
        <v>0</v>
      </c>
      <c r="Q6120">
        <v>0</v>
      </c>
      <c r="R6120" t="s">
        <v>46573</v>
      </c>
      <c r="S6120" t="s">
        <v>46705</v>
      </c>
      <c r="T6120" t="s">
        <v>48305</v>
      </c>
      <c r="U6120" t="s">
        <v>53868</v>
      </c>
      <c r="W6120" t="s">
        <v>44762</v>
      </c>
      <c r="X6120" t="s">
        <v>46574</v>
      </c>
    </row>
    <row r="6121" spans="1:24">
      <c r="A6121">
        <f>HYPERLINK("https://www.philgeps.gov.ph/GEPSNONPILOT/Tender/SplashBidNoticeAbstractUI.aspx?menuIndex=3&amp;refID=7060448&amp;Result=3","7060448")</f>
        <v>0</v>
      </c>
      <c r="B6121" t="s">
        <v>2021</v>
      </c>
      <c r="C6121" t="s">
        <v>9356</v>
      </c>
      <c r="E6121" t="s">
        <v>19708</v>
      </c>
      <c r="F6121" t="s">
        <v>32664</v>
      </c>
      <c r="G6121" t="s">
        <v>32671</v>
      </c>
      <c r="H6121" t="s">
        <v>12635</v>
      </c>
      <c r="I6121" t="s">
        <v>32684</v>
      </c>
      <c r="J6121" t="s">
        <v>34216</v>
      </c>
      <c r="K6121" t="s">
        <v>42283</v>
      </c>
      <c r="M6121" t="s">
        <v>44763</v>
      </c>
      <c r="N6121" t="s">
        <v>46569</v>
      </c>
      <c r="O6121" t="s">
        <v>46570</v>
      </c>
      <c r="P6121">
        <v>0</v>
      </c>
      <c r="Q6121">
        <v>6</v>
      </c>
      <c r="R6121" t="s">
        <v>46573</v>
      </c>
      <c r="S6121" t="s">
        <v>46705</v>
      </c>
      <c r="T6121" t="s">
        <v>48254</v>
      </c>
      <c r="U6121" t="s">
        <v>53869</v>
      </c>
      <c r="W6121" t="s">
        <v>44763</v>
      </c>
      <c r="X6121" t="s">
        <v>46574</v>
      </c>
    </row>
    <row r="6122" spans="1:24">
      <c r="A6122">
        <f>HYPERLINK("https://www.philgeps.gov.ph/GEPSNONPILOT/Tender/SplashBidNoticeAbstractUI.aspx?menuIndex=3&amp;refID=7060450&amp;Result=3","7060450")</f>
        <v>0</v>
      </c>
      <c r="B6122" t="s">
        <v>834</v>
      </c>
      <c r="C6122" t="s">
        <v>9357</v>
      </c>
      <c r="D6122" t="s">
        <v>18831</v>
      </c>
      <c r="E6122" t="s">
        <v>24320</v>
      </c>
      <c r="F6122" t="s">
        <v>32664</v>
      </c>
      <c r="G6122" t="s">
        <v>32674</v>
      </c>
      <c r="H6122" t="s">
        <v>12635</v>
      </c>
      <c r="I6122" t="s">
        <v>32708</v>
      </c>
      <c r="J6122" t="s">
        <v>33078</v>
      </c>
      <c r="K6122" t="s">
        <v>42283</v>
      </c>
      <c r="M6122" t="s">
        <v>43429</v>
      </c>
      <c r="N6122" t="s">
        <v>46569</v>
      </c>
      <c r="O6122" t="s">
        <v>46570</v>
      </c>
      <c r="P6122">
        <v>0</v>
      </c>
      <c r="Q6122">
        <v>9</v>
      </c>
      <c r="R6122" t="s">
        <v>46573</v>
      </c>
      <c r="S6122" t="s">
        <v>46705</v>
      </c>
      <c r="T6122" t="s">
        <v>48562</v>
      </c>
      <c r="U6122" t="s">
        <v>50379</v>
      </c>
      <c r="V6122" t="s">
        <v>61824</v>
      </c>
      <c r="W6122" t="s">
        <v>43429</v>
      </c>
      <c r="X6122" t="s">
        <v>46574</v>
      </c>
    </row>
    <row r="6123" spans="1:24">
      <c r="A6123">
        <f>HYPERLINK("https://www.philgeps.gov.ph/GEPSNONPILOT/Tender/SplashBidNoticeAbstractUI.aspx?menuIndex=3&amp;refID=7060447&amp;Result=3","7060447")</f>
        <v>0</v>
      </c>
      <c r="B6123" t="s">
        <v>1197</v>
      </c>
      <c r="C6123" t="s">
        <v>9358</v>
      </c>
      <c r="D6123" t="s">
        <v>18784</v>
      </c>
      <c r="E6123" t="s">
        <v>24321</v>
      </c>
      <c r="F6123" t="s">
        <v>32664</v>
      </c>
      <c r="G6123" t="s">
        <v>32671</v>
      </c>
      <c r="H6123" t="s">
        <v>12635</v>
      </c>
      <c r="I6123" t="s">
        <v>4439</v>
      </c>
      <c r="J6123" t="s">
        <v>36633</v>
      </c>
      <c r="K6123" t="s">
        <v>42289</v>
      </c>
      <c r="M6123" t="s">
        <v>43834</v>
      </c>
      <c r="N6123" t="s">
        <v>46569</v>
      </c>
      <c r="O6123" t="s">
        <v>46570</v>
      </c>
      <c r="P6123">
        <v>0</v>
      </c>
      <c r="Q6123">
        <v>5</v>
      </c>
      <c r="R6123" t="s">
        <v>46573</v>
      </c>
      <c r="S6123" t="s">
        <v>46705</v>
      </c>
      <c r="T6123" t="s">
        <v>48356</v>
      </c>
      <c r="U6123" t="s">
        <v>53870</v>
      </c>
      <c r="W6123" t="s">
        <v>43834</v>
      </c>
      <c r="X6123" t="s">
        <v>46574</v>
      </c>
    </row>
    <row r="6124" spans="1:24">
      <c r="A6124">
        <f>HYPERLINK("https://www.philgeps.gov.ph/GEPSNONPILOT/Tender/SplashBidNoticeAbstractUI.aspx?menuIndex=3&amp;refID=7060446&amp;Result=3","7060446")</f>
        <v>0</v>
      </c>
      <c r="B6124" t="s">
        <v>2022</v>
      </c>
      <c r="C6124" t="s">
        <v>9359</v>
      </c>
      <c r="D6124" t="s">
        <v>18806</v>
      </c>
      <c r="E6124" t="s">
        <v>24322</v>
      </c>
      <c r="F6124" t="s">
        <v>32664</v>
      </c>
      <c r="G6124" t="s">
        <v>32672</v>
      </c>
      <c r="H6124" t="s">
        <v>12635</v>
      </c>
      <c r="I6124" t="s">
        <v>32736</v>
      </c>
      <c r="J6124" t="s">
        <v>34384</v>
      </c>
      <c r="K6124" t="s">
        <v>42311</v>
      </c>
      <c r="M6124" t="s">
        <v>44764</v>
      </c>
      <c r="N6124" t="s">
        <v>46569</v>
      </c>
      <c r="O6124" t="s">
        <v>46570</v>
      </c>
      <c r="P6124">
        <v>0</v>
      </c>
      <c r="Q6124">
        <v>0</v>
      </c>
      <c r="R6124" t="s">
        <v>46573</v>
      </c>
      <c r="S6124" t="s">
        <v>46705</v>
      </c>
      <c r="T6124" t="s">
        <v>48273</v>
      </c>
      <c r="U6124" t="s">
        <v>53871</v>
      </c>
      <c r="W6124" t="s">
        <v>44764</v>
      </c>
      <c r="X6124" t="s">
        <v>46574</v>
      </c>
    </row>
    <row r="6125" spans="1:24">
      <c r="A6125">
        <f>HYPERLINK("https://www.philgeps.gov.ph/GEPSNONPILOT/Tender/SplashBidNoticeAbstractUI.aspx?menuIndex=3&amp;refID=7060413&amp;Result=3","7060413")</f>
        <v>0</v>
      </c>
      <c r="B6125" t="s">
        <v>167</v>
      </c>
      <c r="C6125" t="s">
        <v>9360</v>
      </c>
      <c r="D6125" t="s">
        <v>18837</v>
      </c>
      <c r="E6125" t="s">
        <v>24323</v>
      </c>
      <c r="F6125" t="s">
        <v>32664</v>
      </c>
      <c r="G6125" t="s">
        <v>32672</v>
      </c>
      <c r="H6125" t="s">
        <v>12635</v>
      </c>
      <c r="I6125" t="s">
        <v>6168</v>
      </c>
      <c r="J6125" t="s">
        <v>36634</v>
      </c>
      <c r="K6125" t="s">
        <v>42303</v>
      </c>
      <c r="M6125" t="s">
        <v>42731</v>
      </c>
      <c r="N6125" t="s">
        <v>46569</v>
      </c>
      <c r="O6125" t="s">
        <v>46570</v>
      </c>
      <c r="P6125">
        <v>0</v>
      </c>
      <c r="Q6125">
        <v>6</v>
      </c>
      <c r="R6125" t="s">
        <v>46573</v>
      </c>
      <c r="S6125" t="s">
        <v>46705</v>
      </c>
      <c r="T6125" t="s">
        <v>48261</v>
      </c>
      <c r="U6125" t="s">
        <v>49095</v>
      </c>
      <c r="W6125" t="s">
        <v>42731</v>
      </c>
      <c r="X6125" t="s">
        <v>46574</v>
      </c>
    </row>
    <row r="6126" spans="1:24">
      <c r="A6126">
        <f>HYPERLINK("https://www.philgeps.gov.ph/GEPSNONPILOT/Tender/SplashBidNoticeAbstractUI.aspx?menuIndex=3&amp;refID=7060404&amp;Result=3","7060404")</f>
        <v>0</v>
      </c>
      <c r="B6126" t="s">
        <v>1975</v>
      </c>
      <c r="C6126" t="s">
        <v>9361</v>
      </c>
      <c r="D6126" t="s">
        <v>18784</v>
      </c>
      <c r="E6126" t="s">
        <v>23255</v>
      </c>
      <c r="F6126" t="s">
        <v>32664</v>
      </c>
      <c r="G6126" t="s">
        <v>32672</v>
      </c>
      <c r="H6126" t="s">
        <v>12635</v>
      </c>
      <c r="I6126" t="s">
        <v>6223</v>
      </c>
      <c r="J6126" t="s">
        <v>33218</v>
      </c>
      <c r="K6126" t="s">
        <v>42309</v>
      </c>
      <c r="M6126" t="s">
        <v>44709</v>
      </c>
      <c r="N6126" t="s">
        <v>46569</v>
      </c>
      <c r="O6126" t="s">
        <v>46570</v>
      </c>
      <c r="P6126">
        <v>0</v>
      </c>
      <c r="Q6126">
        <v>3</v>
      </c>
      <c r="R6126" t="s">
        <v>46573</v>
      </c>
      <c r="S6126" t="s">
        <v>46705</v>
      </c>
      <c r="T6126" t="s">
        <v>48283</v>
      </c>
      <c r="U6126" t="s">
        <v>53872</v>
      </c>
      <c r="W6126" t="s">
        <v>44709</v>
      </c>
      <c r="X6126" t="s">
        <v>46574</v>
      </c>
    </row>
    <row r="6127" spans="1:24">
      <c r="A6127">
        <f>HYPERLINK("https://www.philgeps.gov.ph/GEPSNONPILOT/Tender/SplashBidNoticeAbstractUI.aspx?menuIndex=3&amp;refID=7060472&amp;Result=3","7060472")</f>
        <v>0</v>
      </c>
      <c r="B6127" t="s">
        <v>2016</v>
      </c>
      <c r="C6127" t="s">
        <v>9362</v>
      </c>
      <c r="D6127" t="s">
        <v>18842</v>
      </c>
      <c r="E6127" t="s">
        <v>23611</v>
      </c>
      <c r="F6127" t="s">
        <v>32664</v>
      </c>
      <c r="G6127" t="s">
        <v>32675</v>
      </c>
      <c r="H6127" t="s">
        <v>12635</v>
      </c>
      <c r="I6127" t="s">
        <v>8730</v>
      </c>
      <c r="J6127" t="s">
        <v>36635</v>
      </c>
      <c r="K6127" t="s">
        <v>42309</v>
      </c>
      <c r="M6127" t="s">
        <v>44758</v>
      </c>
      <c r="N6127" t="s">
        <v>46569</v>
      </c>
      <c r="O6127" t="s">
        <v>46570</v>
      </c>
      <c r="P6127">
        <v>0</v>
      </c>
      <c r="Q6127">
        <v>2</v>
      </c>
      <c r="R6127" t="s">
        <v>46573</v>
      </c>
      <c r="S6127" t="s">
        <v>46705</v>
      </c>
      <c r="T6127" t="s">
        <v>48307</v>
      </c>
      <c r="U6127" t="s">
        <v>53146</v>
      </c>
      <c r="W6127" t="s">
        <v>44758</v>
      </c>
      <c r="X6127" t="s">
        <v>46574</v>
      </c>
    </row>
    <row r="6128" spans="1:24">
      <c r="A6128">
        <f>HYPERLINK("https://www.philgeps.gov.ph/GEPSNONPILOT/Tender/SplashBidNoticeAbstractUI.aspx?menuIndex=3&amp;refID=7060449&amp;Result=3","7060449")</f>
        <v>0</v>
      </c>
      <c r="B6128" t="s">
        <v>2023</v>
      </c>
      <c r="C6128" t="s">
        <v>9363</v>
      </c>
      <c r="D6128" t="s">
        <v>18841</v>
      </c>
      <c r="E6128" t="s">
        <v>24324</v>
      </c>
      <c r="F6128" t="s">
        <v>32664</v>
      </c>
      <c r="G6128" t="s">
        <v>32674</v>
      </c>
      <c r="H6128" t="s">
        <v>12635</v>
      </c>
      <c r="I6128" t="s">
        <v>4439</v>
      </c>
      <c r="J6128" t="s">
        <v>35525</v>
      </c>
      <c r="K6128" t="s">
        <v>42283</v>
      </c>
      <c r="M6128" t="s">
        <v>44765</v>
      </c>
      <c r="N6128" t="s">
        <v>46569</v>
      </c>
      <c r="O6128" t="s">
        <v>46570</v>
      </c>
      <c r="P6128">
        <v>0</v>
      </c>
      <c r="Q6128">
        <v>0</v>
      </c>
      <c r="R6128" t="s">
        <v>46573</v>
      </c>
      <c r="S6128" t="s">
        <v>46705</v>
      </c>
      <c r="T6128" t="s">
        <v>48316</v>
      </c>
      <c r="U6128" t="s">
        <v>53873</v>
      </c>
      <c r="W6128" t="s">
        <v>44765</v>
      </c>
      <c r="X6128" t="s">
        <v>46574</v>
      </c>
    </row>
    <row r="6129" spans="1:24">
      <c r="A6129">
        <f>HYPERLINK("https://www.philgeps.gov.ph/GEPSNONPILOT/Tender/SplashBidNoticeAbstractUI.aspx?menuIndex=3&amp;refID=7060492&amp;Result=3","7060492")</f>
        <v>0</v>
      </c>
      <c r="B6129" t="s">
        <v>2024</v>
      </c>
      <c r="C6129" t="s">
        <v>9364</v>
      </c>
      <c r="D6129" t="s">
        <v>18805</v>
      </c>
      <c r="E6129" t="s">
        <v>24325</v>
      </c>
      <c r="F6129" t="s">
        <v>32664</v>
      </c>
      <c r="G6129" t="s">
        <v>32675</v>
      </c>
      <c r="H6129" t="s">
        <v>12635</v>
      </c>
      <c r="I6129" t="s">
        <v>6168</v>
      </c>
      <c r="J6129" t="s">
        <v>34269</v>
      </c>
      <c r="K6129" t="s">
        <v>42283</v>
      </c>
      <c r="M6129" t="s">
        <v>44766</v>
      </c>
      <c r="N6129" t="s">
        <v>46569</v>
      </c>
      <c r="O6129" t="s">
        <v>46570</v>
      </c>
      <c r="P6129">
        <v>0</v>
      </c>
      <c r="Q6129">
        <v>1</v>
      </c>
      <c r="R6129" t="s">
        <v>46573</v>
      </c>
      <c r="S6129" t="s">
        <v>46705</v>
      </c>
      <c r="T6129" t="s">
        <v>48316</v>
      </c>
      <c r="U6129" t="s">
        <v>53874</v>
      </c>
      <c r="W6129" t="s">
        <v>44766</v>
      </c>
      <c r="X6129" t="s">
        <v>46574</v>
      </c>
    </row>
    <row r="6130" spans="1:24">
      <c r="A6130">
        <f>HYPERLINK("https://www.philgeps.gov.ph/GEPSNONPILOT/Tender/SplashBidNoticeAbstractUI.aspx?menuIndex=3&amp;refID=7060424&amp;Result=3","7060424")</f>
        <v>0</v>
      </c>
      <c r="B6130" t="s">
        <v>834</v>
      </c>
      <c r="C6130" t="s">
        <v>9365</v>
      </c>
      <c r="D6130" t="s">
        <v>18831</v>
      </c>
      <c r="E6130" t="s">
        <v>24326</v>
      </c>
      <c r="F6130" t="s">
        <v>32664</v>
      </c>
      <c r="G6130" t="s">
        <v>32674</v>
      </c>
      <c r="H6130" t="s">
        <v>12635</v>
      </c>
      <c r="I6130" t="s">
        <v>8797</v>
      </c>
      <c r="J6130" t="s">
        <v>32859</v>
      </c>
      <c r="K6130" t="s">
        <v>42283</v>
      </c>
      <c r="M6130" t="s">
        <v>43429</v>
      </c>
      <c r="N6130" t="s">
        <v>46569</v>
      </c>
      <c r="O6130" t="s">
        <v>46570</v>
      </c>
      <c r="P6130">
        <v>0</v>
      </c>
      <c r="Q6130">
        <v>2</v>
      </c>
      <c r="R6130" t="s">
        <v>46573</v>
      </c>
      <c r="S6130" t="s">
        <v>46705</v>
      </c>
      <c r="T6130" t="s">
        <v>48562</v>
      </c>
      <c r="U6130" t="s">
        <v>50379</v>
      </c>
      <c r="V6130" t="s">
        <v>61824</v>
      </c>
      <c r="W6130" t="s">
        <v>43429</v>
      </c>
      <c r="X6130" t="s">
        <v>46574</v>
      </c>
    </row>
    <row r="6131" spans="1:24">
      <c r="A6131">
        <f>HYPERLINK("https://www.philgeps.gov.ph/GEPSNONPILOT/Tender/SplashBidNoticeAbstractUI.aspx?menuIndex=3&amp;refID=7060372&amp;Result=3","7060372")</f>
        <v>0</v>
      </c>
      <c r="B6131" t="s">
        <v>2025</v>
      </c>
      <c r="C6131" t="s">
        <v>9366</v>
      </c>
      <c r="D6131" t="s">
        <v>18789</v>
      </c>
      <c r="E6131" t="s">
        <v>24327</v>
      </c>
      <c r="F6131" t="s">
        <v>32664</v>
      </c>
      <c r="G6131" t="s">
        <v>32672</v>
      </c>
      <c r="H6131" t="s">
        <v>12635</v>
      </c>
      <c r="I6131" t="s">
        <v>11464</v>
      </c>
      <c r="J6131" t="s">
        <v>32962</v>
      </c>
      <c r="K6131" t="s">
        <v>42283</v>
      </c>
      <c r="M6131" t="s">
        <v>44767</v>
      </c>
      <c r="N6131" t="s">
        <v>46569</v>
      </c>
      <c r="O6131" t="s">
        <v>46570</v>
      </c>
      <c r="P6131">
        <v>0</v>
      </c>
      <c r="Q6131">
        <v>1</v>
      </c>
      <c r="R6131" t="s">
        <v>46573</v>
      </c>
      <c r="S6131" t="s">
        <v>46705</v>
      </c>
      <c r="T6131" t="s">
        <v>48308</v>
      </c>
      <c r="U6131" t="s">
        <v>53875</v>
      </c>
      <c r="V6131" t="s">
        <v>62246</v>
      </c>
      <c r="W6131" t="s">
        <v>44767</v>
      </c>
      <c r="X6131" t="s">
        <v>46574</v>
      </c>
    </row>
    <row r="6132" spans="1:24">
      <c r="A6132">
        <f>HYPERLINK("https://www.philgeps.gov.ph/GEPSNONPILOT/Tender/SplashBidNoticeAbstractUI.aspx?menuIndex=3&amp;refID=7060500&amp;Result=3","7060500")</f>
        <v>0</v>
      </c>
      <c r="B6132" t="s">
        <v>605</v>
      </c>
      <c r="C6132" t="s">
        <v>9367</v>
      </c>
      <c r="D6132" t="s">
        <v>18858</v>
      </c>
      <c r="E6132" t="s">
        <v>24328</v>
      </c>
      <c r="F6132" t="s">
        <v>32664</v>
      </c>
      <c r="G6132" t="s">
        <v>32674</v>
      </c>
      <c r="H6132" t="s">
        <v>12635</v>
      </c>
      <c r="I6132" t="s">
        <v>8797</v>
      </c>
      <c r="J6132" t="s">
        <v>34374</v>
      </c>
      <c r="K6132" t="s">
        <v>42289</v>
      </c>
      <c r="M6132" t="s">
        <v>43185</v>
      </c>
      <c r="N6132" t="s">
        <v>46569</v>
      </c>
      <c r="O6132" t="s">
        <v>46570</v>
      </c>
      <c r="P6132">
        <v>0</v>
      </c>
      <c r="Q6132">
        <v>0</v>
      </c>
      <c r="R6132" t="s">
        <v>46573</v>
      </c>
      <c r="S6132" t="s">
        <v>46705</v>
      </c>
      <c r="T6132" t="s">
        <v>48271</v>
      </c>
      <c r="U6132" t="s">
        <v>53876</v>
      </c>
      <c r="W6132" t="s">
        <v>43185</v>
      </c>
      <c r="X6132" t="s">
        <v>46574</v>
      </c>
    </row>
    <row r="6133" spans="1:24">
      <c r="A6133">
        <f>HYPERLINK("https://www.philgeps.gov.ph/GEPSNONPILOT/Tender/SplashBidNoticeAbstractUI.aspx?menuIndex=3&amp;refID=7060425&amp;Result=3","7060425")</f>
        <v>0</v>
      </c>
      <c r="B6133" t="s">
        <v>1998</v>
      </c>
      <c r="C6133" t="s">
        <v>9368</v>
      </c>
      <c r="D6133" t="s">
        <v>18817</v>
      </c>
      <c r="E6133" t="s">
        <v>24329</v>
      </c>
      <c r="F6133" t="s">
        <v>32664</v>
      </c>
      <c r="G6133" t="s">
        <v>32671</v>
      </c>
      <c r="H6133" t="s">
        <v>12635</v>
      </c>
      <c r="I6133" t="s">
        <v>6168</v>
      </c>
      <c r="J6133" t="s">
        <v>36636</v>
      </c>
      <c r="K6133" t="s">
        <v>42306</v>
      </c>
      <c r="M6133" t="s">
        <v>44735</v>
      </c>
      <c r="N6133" t="s">
        <v>46569</v>
      </c>
      <c r="O6133" t="s">
        <v>46570</v>
      </c>
      <c r="P6133">
        <v>0</v>
      </c>
      <c r="Q6133">
        <v>0</v>
      </c>
      <c r="R6133" t="s">
        <v>46573</v>
      </c>
      <c r="S6133" t="s">
        <v>46705</v>
      </c>
      <c r="T6133" t="s">
        <v>48450</v>
      </c>
      <c r="U6133" t="s">
        <v>53788</v>
      </c>
      <c r="W6133" t="s">
        <v>44735</v>
      </c>
      <c r="X6133" t="s">
        <v>46574</v>
      </c>
    </row>
    <row r="6134" spans="1:24">
      <c r="A6134">
        <f>HYPERLINK("https://www.philgeps.gov.ph/GEPSNONPILOT/Tender/SplashBidNoticeAbstractUI.aspx?menuIndex=3&amp;refID=7060497&amp;Result=3","7060497")</f>
        <v>0</v>
      </c>
      <c r="B6134" t="s">
        <v>2026</v>
      </c>
      <c r="C6134" t="s">
        <v>9369</v>
      </c>
      <c r="D6134" t="s">
        <v>18787</v>
      </c>
      <c r="E6134" t="s">
        <v>24330</v>
      </c>
      <c r="F6134" t="s">
        <v>32664</v>
      </c>
      <c r="G6134" t="s">
        <v>32671</v>
      </c>
      <c r="H6134" t="s">
        <v>12635</v>
      </c>
      <c r="I6134" t="s">
        <v>32699</v>
      </c>
      <c r="J6134" t="s">
        <v>36637</v>
      </c>
      <c r="K6134" t="s">
        <v>42306</v>
      </c>
      <c r="M6134" t="s">
        <v>44768</v>
      </c>
      <c r="N6134" t="s">
        <v>46569</v>
      </c>
      <c r="O6134" t="s">
        <v>46570</v>
      </c>
      <c r="P6134">
        <v>0</v>
      </c>
      <c r="Q6134">
        <v>3</v>
      </c>
      <c r="R6134" t="s">
        <v>46573</v>
      </c>
      <c r="S6134" t="s">
        <v>46705</v>
      </c>
      <c r="T6134" t="s">
        <v>48307</v>
      </c>
      <c r="U6134" t="s">
        <v>53877</v>
      </c>
      <c r="W6134" t="s">
        <v>44768</v>
      </c>
      <c r="X6134" t="s">
        <v>46574</v>
      </c>
    </row>
    <row r="6135" spans="1:24">
      <c r="A6135">
        <f>HYPERLINK("https://www.philgeps.gov.ph/GEPSNONPILOT/Tender/SplashBidNoticeAbstractUI.aspx?menuIndex=3&amp;refID=7060499&amp;Result=3","7060499")</f>
        <v>0</v>
      </c>
      <c r="B6135" t="s">
        <v>817</v>
      </c>
      <c r="C6135" t="s">
        <v>7017</v>
      </c>
      <c r="E6135" t="s">
        <v>24331</v>
      </c>
      <c r="F6135" t="s">
        <v>32664</v>
      </c>
      <c r="G6135" t="s">
        <v>32675</v>
      </c>
      <c r="H6135" t="s">
        <v>12635</v>
      </c>
      <c r="I6135" t="s">
        <v>6168</v>
      </c>
      <c r="J6135" t="s">
        <v>36638</v>
      </c>
      <c r="K6135" t="s">
        <v>42283</v>
      </c>
      <c r="M6135" t="s">
        <v>43412</v>
      </c>
      <c r="N6135" t="s">
        <v>46569</v>
      </c>
      <c r="O6135" t="s">
        <v>46570</v>
      </c>
      <c r="P6135">
        <v>0</v>
      </c>
      <c r="Q6135">
        <v>0</v>
      </c>
      <c r="R6135" t="s">
        <v>46573</v>
      </c>
      <c r="S6135" t="s">
        <v>46705</v>
      </c>
      <c r="T6135" t="s">
        <v>48244</v>
      </c>
      <c r="U6135" t="s">
        <v>50349</v>
      </c>
      <c r="W6135" t="s">
        <v>43412</v>
      </c>
      <c r="X6135" t="s">
        <v>46574</v>
      </c>
    </row>
    <row r="6136" spans="1:24">
      <c r="A6136">
        <f>HYPERLINK("https://www.philgeps.gov.ph/GEPSNONPILOT/Tender/SplashBidNoticeAbstractUI.aspx?menuIndex=3&amp;refID=7060457&amp;Result=3","7060457")</f>
        <v>0</v>
      </c>
      <c r="B6136" t="s">
        <v>1944</v>
      </c>
      <c r="C6136" t="s">
        <v>9370</v>
      </c>
      <c r="D6136" t="s">
        <v>18806</v>
      </c>
      <c r="E6136" t="s">
        <v>24332</v>
      </c>
      <c r="F6136" t="s">
        <v>32664</v>
      </c>
      <c r="G6136" t="s">
        <v>32672</v>
      </c>
      <c r="H6136" t="s">
        <v>12635</v>
      </c>
      <c r="I6136" t="s">
        <v>4439</v>
      </c>
      <c r="J6136" t="s">
        <v>36639</v>
      </c>
      <c r="K6136" t="s">
        <v>42297</v>
      </c>
      <c r="M6136" t="s">
        <v>44669</v>
      </c>
      <c r="N6136" t="s">
        <v>46569</v>
      </c>
      <c r="O6136" t="s">
        <v>46570</v>
      </c>
      <c r="P6136">
        <v>0</v>
      </c>
      <c r="Q6136">
        <v>0</v>
      </c>
      <c r="R6136" t="s">
        <v>46573</v>
      </c>
      <c r="S6136" t="s">
        <v>46705</v>
      </c>
      <c r="T6136" t="s">
        <v>48308</v>
      </c>
      <c r="U6136" t="s">
        <v>53878</v>
      </c>
      <c r="V6136" t="s">
        <v>62224</v>
      </c>
      <c r="W6136" t="s">
        <v>44669</v>
      </c>
      <c r="X6136" t="s">
        <v>46574</v>
      </c>
    </row>
    <row r="6137" spans="1:24">
      <c r="A6137">
        <f>HYPERLINK("https://www.philgeps.gov.ph/GEPSNONPILOT/Tender/SplashBidNoticeAbstractUI.aspx?menuIndex=3&amp;refID=7060489&amp;Result=3","7060489")</f>
        <v>0</v>
      </c>
      <c r="B6137" t="s">
        <v>2022</v>
      </c>
      <c r="C6137" t="s">
        <v>9371</v>
      </c>
      <c r="D6137" t="s">
        <v>18806</v>
      </c>
      <c r="E6137" t="s">
        <v>24333</v>
      </c>
      <c r="F6137" t="s">
        <v>32664</v>
      </c>
      <c r="G6137" t="s">
        <v>32672</v>
      </c>
      <c r="H6137" t="s">
        <v>12635</v>
      </c>
      <c r="I6137" t="s">
        <v>32736</v>
      </c>
      <c r="J6137" t="s">
        <v>36640</v>
      </c>
      <c r="K6137" t="s">
        <v>42311</v>
      </c>
      <c r="M6137" t="s">
        <v>44764</v>
      </c>
      <c r="N6137" t="s">
        <v>46569</v>
      </c>
      <c r="O6137" t="s">
        <v>46570</v>
      </c>
      <c r="P6137">
        <v>0</v>
      </c>
      <c r="Q6137">
        <v>1</v>
      </c>
      <c r="R6137" t="s">
        <v>46573</v>
      </c>
      <c r="S6137" t="s">
        <v>46705</v>
      </c>
      <c r="T6137" t="s">
        <v>48273</v>
      </c>
      <c r="U6137" t="s">
        <v>53879</v>
      </c>
      <c r="W6137" t="s">
        <v>44764</v>
      </c>
      <c r="X6137" t="s">
        <v>46574</v>
      </c>
    </row>
    <row r="6138" spans="1:24">
      <c r="A6138">
        <f>HYPERLINK("https://www.philgeps.gov.ph/GEPSNONPILOT/Tender/SplashBidNoticeAbstractUI.aspx?menuIndex=3&amp;refID=7060487&amp;Result=3","7060487")</f>
        <v>0</v>
      </c>
      <c r="B6138" t="s">
        <v>458</v>
      </c>
      <c r="C6138" t="s">
        <v>3713</v>
      </c>
      <c r="D6138" t="s">
        <v>18833</v>
      </c>
      <c r="E6138" t="s">
        <v>24316</v>
      </c>
      <c r="F6138" t="s">
        <v>32664</v>
      </c>
      <c r="G6138" t="s">
        <v>32671</v>
      </c>
      <c r="H6138" t="s">
        <v>12635</v>
      </c>
      <c r="I6138" t="s">
        <v>4439</v>
      </c>
      <c r="J6138" t="s">
        <v>36641</v>
      </c>
      <c r="K6138" t="s">
        <v>42283</v>
      </c>
      <c r="M6138" t="s">
        <v>43031</v>
      </c>
      <c r="N6138" t="s">
        <v>46569</v>
      </c>
      <c r="O6138" t="s">
        <v>46570</v>
      </c>
      <c r="P6138">
        <v>0</v>
      </c>
      <c r="Q6138">
        <v>0</v>
      </c>
      <c r="R6138" t="s">
        <v>46573</v>
      </c>
      <c r="S6138" t="s">
        <v>46705</v>
      </c>
      <c r="T6138" t="s">
        <v>48228</v>
      </c>
      <c r="U6138" t="s">
        <v>53880</v>
      </c>
      <c r="W6138" t="s">
        <v>43031</v>
      </c>
      <c r="X6138" t="s">
        <v>46574</v>
      </c>
    </row>
    <row r="6139" spans="1:24">
      <c r="A6139">
        <f>HYPERLINK("https://www.philgeps.gov.ph/GEPSNONPILOT/Tender/SplashBidNoticeAbstractUI.aspx?menuIndex=3&amp;refID=7060486&amp;Result=3","7060486")</f>
        <v>0</v>
      </c>
      <c r="B6139" t="s">
        <v>848</v>
      </c>
      <c r="C6139" t="s">
        <v>9372</v>
      </c>
      <c r="D6139" t="s">
        <v>18791</v>
      </c>
      <c r="E6139" t="s">
        <v>24334</v>
      </c>
      <c r="F6139" t="s">
        <v>32664</v>
      </c>
      <c r="G6139" t="s">
        <v>32671</v>
      </c>
      <c r="H6139" t="s">
        <v>12635</v>
      </c>
      <c r="I6139" t="s">
        <v>4439</v>
      </c>
      <c r="J6139" t="s">
        <v>36642</v>
      </c>
      <c r="K6139" t="s">
        <v>42284</v>
      </c>
      <c r="M6139" t="s">
        <v>43444</v>
      </c>
      <c r="N6139" t="s">
        <v>46569</v>
      </c>
      <c r="O6139" t="s">
        <v>46570</v>
      </c>
      <c r="P6139">
        <v>0</v>
      </c>
      <c r="Q6139">
        <v>1</v>
      </c>
      <c r="R6139" t="s">
        <v>46573</v>
      </c>
      <c r="S6139" t="s">
        <v>46705</v>
      </c>
      <c r="T6139" t="s">
        <v>48492</v>
      </c>
      <c r="U6139" t="s">
        <v>50421</v>
      </c>
      <c r="W6139" t="s">
        <v>43444</v>
      </c>
      <c r="X6139" t="s">
        <v>46574</v>
      </c>
    </row>
    <row r="6140" spans="1:24">
      <c r="A6140">
        <f>HYPERLINK("https://www.philgeps.gov.ph/GEPSNONPILOT/Tender/SplashBidNoticeAbstractUI.aspx?menuIndex=3&amp;refID=7060485&amp;Result=3","7060485")</f>
        <v>0</v>
      </c>
      <c r="B6140" t="s">
        <v>117</v>
      </c>
      <c r="C6140" t="s">
        <v>9373</v>
      </c>
      <c r="D6140" t="s">
        <v>18799</v>
      </c>
      <c r="E6140" t="s">
        <v>24335</v>
      </c>
      <c r="F6140" t="s">
        <v>32664</v>
      </c>
      <c r="G6140" t="s">
        <v>32672</v>
      </c>
      <c r="H6140" t="s">
        <v>12635</v>
      </c>
      <c r="I6140" t="s">
        <v>8730</v>
      </c>
      <c r="J6140" t="s">
        <v>36643</v>
      </c>
      <c r="K6140" t="s">
        <v>42283</v>
      </c>
      <c r="M6140" t="s">
        <v>44671</v>
      </c>
      <c r="N6140" t="s">
        <v>46569</v>
      </c>
      <c r="O6140" t="s">
        <v>46570</v>
      </c>
      <c r="P6140">
        <v>0</v>
      </c>
      <c r="Q6140">
        <v>6</v>
      </c>
      <c r="R6140" t="s">
        <v>46573</v>
      </c>
      <c r="S6140" t="s">
        <v>46705</v>
      </c>
      <c r="T6140" t="s">
        <v>48272</v>
      </c>
      <c r="U6140" t="s">
        <v>53881</v>
      </c>
      <c r="W6140" t="s">
        <v>44671</v>
      </c>
      <c r="X6140" t="s">
        <v>46574</v>
      </c>
    </row>
    <row r="6141" spans="1:24">
      <c r="A6141">
        <f>HYPERLINK("https://www.philgeps.gov.ph/GEPSNONPILOT/Tender/SplashBidNoticeAbstractUI.aspx?menuIndex=3&amp;refID=7060498&amp;Result=3","7060498")</f>
        <v>0</v>
      </c>
      <c r="B6141" t="s">
        <v>1374</v>
      </c>
      <c r="C6141" t="s">
        <v>7889</v>
      </c>
      <c r="D6141" t="s">
        <v>18821</v>
      </c>
      <c r="E6141" t="s">
        <v>24336</v>
      </c>
      <c r="F6141" t="s">
        <v>32664</v>
      </c>
      <c r="G6141" t="s">
        <v>32672</v>
      </c>
      <c r="H6141" t="s">
        <v>12635</v>
      </c>
      <c r="I6141" t="s">
        <v>6168</v>
      </c>
      <c r="J6141" t="s">
        <v>36644</v>
      </c>
      <c r="K6141" t="s">
        <v>42297</v>
      </c>
      <c r="M6141" t="s">
        <v>44029</v>
      </c>
      <c r="N6141" t="s">
        <v>46569</v>
      </c>
      <c r="O6141" t="s">
        <v>46570</v>
      </c>
      <c r="P6141">
        <v>0</v>
      </c>
      <c r="Q6141">
        <v>1</v>
      </c>
      <c r="R6141" t="s">
        <v>46573</v>
      </c>
      <c r="S6141" t="s">
        <v>46705</v>
      </c>
      <c r="T6141" t="s">
        <v>48368</v>
      </c>
      <c r="U6141" t="s">
        <v>49404</v>
      </c>
      <c r="W6141" t="s">
        <v>44029</v>
      </c>
      <c r="X6141" t="s">
        <v>46574</v>
      </c>
    </row>
    <row r="6142" spans="1:24">
      <c r="A6142">
        <f>HYPERLINK("https://www.philgeps.gov.ph/GEPSNONPILOT/Tender/SplashBidNoticeAbstractUI.aspx?menuIndex=3&amp;refID=7060481&amp;Result=3","7060481")</f>
        <v>0</v>
      </c>
      <c r="B6142" t="s">
        <v>817</v>
      </c>
      <c r="C6142" t="s">
        <v>7017</v>
      </c>
      <c r="E6142" t="s">
        <v>24337</v>
      </c>
      <c r="F6142" t="s">
        <v>32664</v>
      </c>
      <c r="G6142" t="s">
        <v>32675</v>
      </c>
      <c r="H6142" t="s">
        <v>12635</v>
      </c>
      <c r="I6142" t="s">
        <v>6168</v>
      </c>
      <c r="J6142" t="s">
        <v>36645</v>
      </c>
      <c r="K6142" t="s">
        <v>42283</v>
      </c>
      <c r="M6142" t="s">
        <v>43412</v>
      </c>
      <c r="N6142" t="s">
        <v>46569</v>
      </c>
      <c r="O6142" t="s">
        <v>46570</v>
      </c>
      <c r="P6142">
        <v>0</v>
      </c>
      <c r="Q6142">
        <v>1</v>
      </c>
      <c r="R6142" t="s">
        <v>46573</v>
      </c>
      <c r="S6142" t="s">
        <v>46705</v>
      </c>
      <c r="T6142" t="s">
        <v>48244</v>
      </c>
      <c r="U6142" t="s">
        <v>50349</v>
      </c>
      <c r="W6142" t="s">
        <v>43412</v>
      </c>
      <c r="X6142" t="s">
        <v>46574</v>
      </c>
    </row>
    <row r="6143" spans="1:24">
      <c r="A6143">
        <f>HYPERLINK("https://www.philgeps.gov.ph/GEPSNONPILOT/Tender/SplashBidNoticeAbstractUI.aspx?menuIndex=3&amp;refID=7060496&amp;Result=3","7060496")</f>
        <v>0</v>
      </c>
      <c r="B6143" t="s">
        <v>2017</v>
      </c>
      <c r="C6143" t="s">
        <v>9374</v>
      </c>
      <c r="D6143" t="s">
        <v>18851</v>
      </c>
      <c r="E6143" t="s">
        <v>18889</v>
      </c>
      <c r="F6143" t="s">
        <v>32664</v>
      </c>
      <c r="G6143" t="s">
        <v>32674</v>
      </c>
      <c r="H6143" t="s">
        <v>12635</v>
      </c>
      <c r="I6143" t="s">
        <v>7324</v>
      </c>
      <c r="J6143" t="s">
        <v>34207</v>
      </c>
      <c r="K6143" t="s">
        <v>42309</v>
      </c>
      <c r="M6143" t="s">
        <v>44759</v>
      </c>
      <c r="N6143" t="s">
        <v>46569</v>
      </c>
      <c r="O6143" t="s">
        <v>46570</v>
      </c>
      <c r="P6143">
        <v>0</v>
      </c>
      <c r="Q6143">
        <v>0</v>
      </c>
      <c r="R6143" t="s">
        <v>46573</v>
      </c>
      <c r="S6143" t="s">
        <v>46705</v>
      </c>
      <c r="T6143" t="s">
        <v>48244</v>
      </c>
      <c r="U6143" t="s">
        <v>53882</v>
      </c>
      <c r="W6143" t="s">
        <v>44759</v>
      </c>
      <c r="X6143" t="s">
        <v>46574</v>
      </c>
    </row>
    <row r="6144" spans="1:24">
      <c r="A6144">
        <f>HYPERLINK("https://www.philgeps.gov.ph/GEPSNONPILOT/Tender/SplashBidNoticeAbstractUI.aspx?menuIndex=3&amp;refID=7060484&amp;Result=3","7060484")</f>
        <v>0</v>
      </c>
      <c r="B6144" t="s">
        <v>2027</v>
      </c>
      <c r="C6144" t="s">
        <v>9375</v>
      </c>
      <c r="D6144" t="s">
        <v>18834</v>
      </c>
      <c r="E6144" t="s">
        <v>24338</v>
      </c>
      <c r="F6144" t="s">
        <v>32664</v>
      </c>
      <c r="G6144" t="s">
        <v>32671</v>
      </c>
      <c r="H6144" t="s">
        <v>12635</v>
      </c>
      <c r="I6144" t="s">
        <v>32701</v>
      </c>
      <c r="J6144" t="s">
        <v>32853</v>
      </c>
      <c r="K6144" t="s">
        <v>42281</v>
      </c>
      <c r="M6144" t="s">
        <v>44769</v>
      </c>
      <c r="N6144" t="s">
        <v>46569</v>
      </c>
      <c r="O6144" t="s">
        <v>46570</v>
      </c>
      <c r="P6144">
        <v>0</v>
      </c>
      <c r="Q6144">
        <v>3</v>
      </c>
      <c r="R6144" t="s">
        <v>46573</v>
      </c>
      <c r="S6144" t="s">
        <v>46705</v>
      </c>
      <c r="T6144" t="s">
        <v>48221</v>
      </c>
      <c r="U6144" t="s">
        <v>53883</v>
      </c>
      <c r="W6144" t="s">
        <v>44769</v>
      </c>
      <c r="X6144" t="s">
        <v>46574</v>
      </c>
    </row>
    <row r="6145" spans="1:24">
      <c r="A6145">
        <f>HYPERLINK("https://www.philgeps.gov.ph/GEPSNONPILOT/Tender/SplashBidNoticeAbstractUI.aspx?menuIndex=3&amp;refID=7060482&amp;Result=3","7060482")</f>
        <v>0</v>
      </c>
      <c r="B6145" t="s">
        <v>372</v>
      </c>
      <c r="C6145" t="s">
        <v>9376</v>
      </c>
      <c r="D6145" t="s">
        <v>18827</v>
      </c>
      <c r="E6145" t="s">
        <v>24339</v>
      </c>
      <c r="F6145" t="s">
        <v>32664</v>
      </c>
      <c r="G6145" t="s">
        <v>32671</v>
      </c>
      <c r="H6145" t="s">
        <v>12635</v>
      </c>
      <c r="I6145" t="s">
        <v>6223</v>
      </c>
      <c r="J6145" t="s">
        <v>32898</v>
      </c>
      <c r="K6145" t="s">
        <v>42332</v>
      </c>
      <c r="M6145" t="s">
        <v>42942</v>
      </c>
      <c r="N6145" t="s">
        <v>46569</v>
      </c>
      <c r="O6145" t="s">
        <v>46570</v>
      </c>
      <c r="P6145">
        <v>0</v>
      </c>
      <c r="Q6145">
        <v>2</v>
      </c>
      <c r="R6145" t="s">
        <v>46573</v>
      </c>
      <c r="S6145" t="s">
        <v>46705</v>
      </c>
      <c r="T6145" t="s">
        <v>48244</v>
      </c>
      <c r="U6145" t="s">
        <v>49489</v>
      </c>
      <c r="W6145" t="s">
        <v>42942</v>
      </c>
      <c r="X6145" t="s">
        <v>46574</v>
      </c>
    </row>
    <row r="6146" spans="1:24">
      <c r="A6146">
        <f>HYPERLINK("https://www.philgeps.gov.ph/GEPSNONPILOT/Tender/SplashBidNoticeAbstractUI.aspx?menuIndex=3&amp;refID=7060525&amp;Result=3","7060525")</f>
        <v>0</v>
      </c>
      <c r="B6146" t="s">
        <v>1946</v>
      </c>
      <c r="C6146" t="s">
        <v>9377</v>
      </c>
      <c r="D6146" t="s">
        <v>18843</v>
      </c>
      <c r="E6146" t="s">
        <v>24340</v>
      </c>
      <c r="F6146" t="s">
        <v>32664</v>
      </c>
      <c r="G6146" t="s">
        <v>32671</v>
      </c>
      <c r="H6146" t="s">
        <v>12635</v>
      </c>
      <c r="I6146" t="s">
        <v>6628</v>
      </c>
      <c r="J6146" t="s">
        <v>32842</v>
      </c>
      <c r="K6146" t="s">
        <v>42289</v>
      </c>
      <c r="M6146" t="s">
        <v>44673</v>
      </c>
      <c r="N6146" t="s">
        <v>46569</v>
      </c>
      <c r="O6146" t="s">
        <v>46570</v>
      </c>
      <c r="P6146">
        <v>0</v>
      </c>
      <c r="Q6146">
        <v>4</v>
      </c>
      <c r="R6146" t="s">
        <v>46573</v>
      </c>
      <c r="S6146" t="s">
        <v>46705</v>
      </c>
      <c r="T6146" t="s">
        <v>48254</v>
      </c>
      <c r="U6146" t="s">
        <v>53884</v>
      </c>
      <c r="W6146" t="s">
        <v>44673</v>
      </c>
      <c r="X6146" t="s">
        <v>46574</v>
      </c>
    </row>
    <row r="6147" spans="1:24">
      <c r="A6147">
        <f>HYPERLINK("https://www.philgeps.gov.ph/GEPSNONPILOT/Tender/SplashBidNoticeAbstractUI.aspx?menuIndex=3&amp;refID=7060522&amp;Result=3","7060522")</f>
        <v>0</v>
      </c>
      <c r="B6147" t="s">
        <v>1102</v>
      </c>
      <c r="C6147" t="s">
        <v>6324</v>
      </c>
      <c r="D6147" t="s">
        <v>18784</v>
      </c>
      <c r="E6147" t="s">
        <v>24341</v>
      </c>
      <c r="F6147" t="s">
        <v>32664</v>
      </c>
      <c r="G6147" t="s">
        <v>32674</v>
      </c>
      <c r="H6147" t="s">
        <v>12635</v>
      </c>
      <c r="I6147" t="s">
        <v>8730</v>
      </c>
      <c r="J6147" t="s">
        <v>36646</v>
      </c>
      <c r="K6147" t="s">
        <v>42283</v>
      </c>
      <c r="M6147" t="s">
        <v>43729</v>
      </c>
      <c r="N6147" t="s">
        <v>46569</v>
      </c>
      <c r="O6147" t="s">
        <v>46570</v>
      </c>
      <c r="P6147">
        <v>0</v>
      </c>
      <c r="Q6147">
        <v>1</v>
      </c>
      <c r="R6147" t="s">
        <v>46573</v>
      </c>
      <c r="S6147" t="s">
        <v>46705</v>
      </c>
      <c r="T6147" t="s">
        <v>48473</v>
      </c>
      <c r="U6147" t="s">
        <v>53885</v>
      </c>
      <c r="W6147" t="s">
        <v>43729</v>
      </c>
      <c r="X6147" t="s">
        <v>46574</v>
      </c>
    </row>
    <row r="6148" spans="1:24">
      <c r="A6148">
        <f>HYPERLINK("https://www.philgeps.gov.ph/GEPSNONPILOT/Tender/SplashBidNoticeAbstractUI.aspx?menuIndex=3&amp;refID=7060458&amp;Result=3","7060458")</f>
        <v>0</v>
      </c>
      <c r="B6148" t="s">
        <v>117</v>
      </c>
      <c r="C6148" t="s">
        <v>9378</v>
      </c>
      <c r="D6148" t="s">
        <v>18799</v>
      </c>
      <c r="E6148" t="s">
        <v>24342</v>
      </c>
      <c r="F6148" t="s">
        <v>32664</v>
      </c>
      <c r="G6148" t="s">
        <v>32672</v>
      </c>
      <c r="H6148" t="s">
        <v>12635</v>
      </c>
      <c r="I6148" t="s">
        <v>8730</v>
      </c>
      <c r="J6148" t="s">
        <v>36647</v>
      </c>
      <c r="K6148" t="s">
        <v>42283</v>
      </c>
      <c r="M6148" t="s">
        <v>44671</v>
      </c>
      <c r="N6148" t="s">
        <v>46569</v>
      </c>
      <c r="O6148" t="s">
        <v>46570</v>
      </c>
      <c r="P6148">
        <v>0</v>
      </c>
      <c r="Q6148">
        <v>7</v>
      </c>
      <c r="R6148" t="s">
        <v>46573</v>
      </c>
      <c r="S6148" t="s">
        <v>46705</v>
      </c>
      <c r="T6148" t="s">
        <v>48272</v>
      </c>
      <c r="U6148" t="s">
        <v>53886</v>
      </c>
      <c r="W6148" t="s">
        <v>44671</v>
      </c>
      <c r="X6148" t="s">
        <v>46574</v>
      </c>
    </row>
    <row r="6149" spans="1:24">
      <c r="A6149">
        <f>HYPERLINK("https://www.philgeps.gov.ph/GEPSNONPILOT/Tender/SplashBidNoticeAbstractUI.aspx?menuIndex=3&amp;refID=7060520&amp;Result=3","7060520")</f>
        <v>0</v>
      </c>
      <c r="B6149" t="s">
        <v>2028</v>
      </c>
      <c r="C6149" t="s">
        <v>9379</v>
      </c>
      <c r="D6149" t="s">
        <v>18807</v>
      </c>
      <c r="E6149" t="s">
        <v>24343</v>
      </c>
      <c r="F6149" t="s">
        <v>32664</v>
      </c>
      <c r="G6149" t="s">
        <v>32671</v>
      </c>
      <c r="H6149" t="s">
        <v>12635</v>
      </c>
      <c r="I6149" t="s">
        <v>32765</v>
      </c>
      <c r="J6149" t="s">
        <v>34193</v>
      </c>
      <c r="K6149" t="s">
        <v>42295</v>
      </c>
      <c r="M6149" t="s">
        <v>44770</v>
      </c>
      <c r="N6149" t="s">
        <v>46569</v>
      </c>
      <c r="O6149" t="s">
        <v>46570</v>
      </c>
      <c r="P6149">
        <v>0</v>
      </c>
      <c r="Q6149">
        <v>0</v>
      </c>
      <c r="R6149" t="s">
        <v>46573</v>
      </c>
      <c r="S6149" t="s">
        <v>46705</v>
      </c>
      <c r="T6149" t="s">
        <v>48254</v>
      </c>
      <c r="U6149" t="s">
        <v>53887</v>
      </c>
      <c r="W6149" t="s">
        <v>44770</v>
      </c>
      <c r="X6149" t="s">
        <v>46574</v>
      </c>
    </row>
    <row r="6150" spans="1:24">
      <c r="A6150">
        <f>HYPERLINK("https://www.philgeps.gov.ph/GEPSNONPILOT/Tender/SplashBidNoticeAbstractUI.aspx?menuIndex=3&amp;refID=7060526&amp;Result=3","7060526")</f>
        <v>0</v>
      </c>
      <c r="B6150" t="s">
        <v>1792</v>
      </c>
      <c r="C6150" t="s">
        <v>9380</v>
      </c>
      <c r="D6150" t="s">
        <v>18794</v>
      </c>
      <c r="E6150" t="s">
        <v>24344</v>
      </c>
      <c r="F6150" t="s">
        <v>32664</v>
      </c>
      <c r="G6150" t="s">
        <v>32674</v>
      </c>
      <c r="H6150" t="s">
        <v>12635</v>
      </c>
      <c r="I6150" t="s">
        <v>5589</v>
      </c>
      <c r="J6150" t="s">
        <v>36648</v>
      </c>
      <c r="K6150" t="s">
        <v>42289</v>
      </c>
      <c r="M6150" t="s">
        <v>44495</v>
      </c>
      <c r="N6150" t="s">
        <v>46569</v>
      </c>
      <c r="O6150" t="s">
        <v>46570</v>
      </c>
      <c r="P6150">
        <v>0</v>
      </c>
      <c r="Q6150">
        <v>0</v>
      </c>
      <c r="R6150" t="s">
        <v>46573</v>
      </c>
      <c r="S6150" t="s">
        <v>46705</v>
      </c>
      <c r="T6150" t="s">
        <v>48254</v>
      </c>
      <c r="U6150" t="s">
        <v>53888</v>
      </c>
      <c r="W6150" t="s">
        <v>44495</v>
      </c>
      <c r="X6150" t="s">
        <v>46574</v>
      </c>
    </row>
    <row r="6151" spans="1:24">
      <c r="A6151">
        <f>HYPERLINK("https://www.philgeps.gov.ph/GEPSNONPILOT/Tender/SplashBidNoticeAbstractUI.aspx?menuIndex=3&amp;refID=7060518&amp;Result=3","7060518")</f>
        <v>0</v>
      </c>
      <c r="B6151" t="s">
        <v>1042</v>
      </c>
      <c r="C6151" t="s">
        <v>9381</v>
      </c>
      <c r="D6151" t="s">
        <v>18853</v>
      </c>
      <c r="E6151" t="s">
        <v>24345</v>
      </c>
      <c r="F6151" t="s">
        <v>32664</v>
      </c>
      <c r="G6151" t="s">
        <v>32672</v>
      </c>
      <c r="H6151" t="s">
        <v>32683</v>
      </c>
      <c r="I6151" t="s">
        <v>10627</v>
      </c>
      <c r="J6151" t="s">
        <v>36649</v>
      </c>
      <c r="K6151" t="s">
        <v>42281</v>
      </c>
      <c r="M6151" t="s">
        <v>44771</v>
      </c>
      <c r="N6151" t="s">
        <v>46569</v>
      </c>
      <c r="O6151" t="s">
        <v>46570</v>
      </c>
      <c r="P6151">
        <v>0</v>
      </c>
      <c r="Q6151">
        <v>0</v>
      </c>
      <c r="R6151" t="s">
        <v>46573</v>
      </c>
      <c r="S6151" t="s">
        <v>46705</v>
      </c>
      <c r="T6151" t="s">
        <v>48224</v>
      </c>
      <c r="U6151" t="s">
        <v>53889</v>
      </c>
      <c r="V6151" t="s">
        <v>62247</v>
      </c>
      <c r="W6151" t="s">
        <v>44771</v>
      </c>
      <c r="X6151" t="s">
        <v>46574</v>
      </c>
    </row>
    <row r="6152" spans="1:24">
      <c r="A6152">
        <f>HYPERLINK("https://www.philgeps.gov.ph/GEPSNONPILOT/Tender/SplashBidNoticeAbstractUI.aspx?menuIndex=3&amp;refID=7060515&amp;Result=3","7060515")</f>
        <v>0</v>
      </c>
      <c r="B6152" t="s">
        <v>1998</v>
      </c>
      <c r="C6152" t="s">
        <v>9382</v>
      </c>
      <c r="D6152" t="s">
        <v>18817</v>
      </c>
      <c r="E6152" t="s">
        <v>24346</v>
      </c>
      <c r="F6152" t="s">
        <v>32664</v>
      </c>
      <c r="G6152" t="s">
        <v>32671</v>
      </c>
      <c r="H6152" t="s">
        <v>12635</v>
      </c>
      <c r="I6152" t="s">
        <v>6168</v>
      </c>
      <c r="J6152" t="s">
        <v>36650</v>
      </c>
      <c r="K6152" t="s">
        <v>42306</v>
      </c>
      <c r="M6152" t="s">
        <v>44735</v>
      </c>
      <c r="N6152" t="s">
        <v>46569</v>
      </c>
      <c r="O6152" t="s">
        <v>46570</v>
      </c>
      <c r="P6152">
        <v>0</v>
      </c>
      <c r="Q6152">
        <v>0</v>
      </c>
      <c r="R6152" t="s">
        <v>46573</v>
      </c>
      <c r="S6152" t="s">
        <v>46705</v>
      </c>
      <c r="T6152" t="s">
        <v>48450</v>
      </c>
      <c r="U6152" t="s">
        <v>53788</v>
      </c>
      <c r="W6152" t="s">
        <v>44735</v>
      </c>
      <c r="X6152" t="s">
        <v>46574</v>
      </c>
    </row>
    <row r="6153" spans="1:24">
      <c r="A6153">
        <f>HYPERLINK("https://www.philgeps.gov.ph/GEPSNONPILOT/Tender/SplashBidNoticeAbstractUI.aspx?menuIndex=3&amp;refID=7060524&amp;Result=3","7060524")</f>
        <v>0</v>
      </c>
      <c r="B6153" t="s">
        <v>2002</v>
      </c>
      <c r="C6153" t="s">
        <v>9383</v>
      </c>
      <c r="D6153" t="s">
        <v>18851</v>
      </c>
      <c r="E6153" t="s">
        <v>20566</v>
      </c>
      <c r="F6153" t="s">
        <v>32664</v>
      </c>
      <c r="G6153" t="s">
        <v>32671</v>
      </c>
      <c r="H6153" t="s">
        <v>12635</v>
      </c>
      <c r="I6153" t="s">
        <v>32685</v>
      </c>
      <c r="J6153" t="s">
        <v>36651</v>
      </c>
      <c r="K6153" t="s">
        <v>42284</v>
      </c>
      <c r="M6153" t="s">
        <v>44740</v>
      </c>
      <c r="N6153" t="s">
        <v>46569</v>
      </c>
      <c r="O6153" t="s">
        <v>46570</v>
      </c>
      <c r="P6153">
        <v>0</v>
      </c>
      <c r="Q6153">
        <v>2</v>
      </c>
      <c r="R6153" t="s">
        <v>46573</v>
      </c>
      <c r="S6153" t="s">
        <v>46705</v>
      </c>
      <c r="T6153" t="s">
        <v>48376</v>
      </c>
      <c r="U6153" t="s">
        <v>53796</v>
      </c>
      <c r="W6153" t="s">
        <v>44740</v>
      </c>
      <c r="X6153" t="s">
        <v>46574</v>
      </c>
    </row>
    <row r="6154" spans="1:24">
      <c r="A6154">
        <f>HYPERLINK("https://www.philgeps.gov.ph/GEPSNONPILOT/Tender/SplashBidNoticeAbstractUI.aspx?menuIndex=3&amp;refID=7060529&amp;Result=3","7060529")</f>
        <v>0</v>
      </c>
      <c r="B6154" t="s">
        <v>962</v>
      </c>
      <c r="C6154" t="s">
        <v>9384</v>
      </c>
      <c r="D6154" t="s">
        <v>18784</v>
      </c>
      <c r="E6154" t="s">
        <v>24347</v>
      </c>
      <c r="F6154" t="s">
        <v>32664</v>
      </c>
      <c r="G6154" t="s">
        <v>32671</v>
      </c>
      <c r="H6154" t="s">
        <v>32682</v>
      </c>
      <c r="I6154" t="s">
        <v>32701</v>
      </c>
      <c r="J6154" t="s">
        <v>36652</v>
      </c>
      <c r="K6154" t="s">
        <v>42281</v>
      </c>
      <c r="M6154" t="s">
        <v>43570</v>
      </c>
      <c r="N6154" t="s">
        <v>46569</v>
      </c>
      <c r="O6154" t="s">
        <v>46570</v>
      </c>
      <c r="P6154">
        <v>0</v>
      </c>
      <c r="Q6154">
        <v>0</v>
      </c>
      <c r="R6154" t="s">
        <v>46573</v>
      </c>
      <c r="S6154" t="s">
        <v>46705</v>
      </c>
      <c r="T6154" t="s">
        <v>48427</v>
      </c>
      <c r="U6154" t="s">
        <v>53890</v>
      </c>
      <c r="W6154" t="s">
        <v>43570</v>
      </c>
      <c r="X6154" t="s">
        <v>46574</v>
      </c>
    </row>
    <row r="6155" spans="1:24">
      <c r="A6155">
        <f>HYPERLINK("https://www.philgeps.gov.ph/GEPSNONPILOT/Tender/SplashBidNoticeAbstractUI.aspx?menuIndex=3&amp;refID=7060512&amp;Result=3","7060512")</f>
        <v>0</v>
      </c>
      <c r="B6155" t="s">
        <v>1251</v>
      </c>
      <c r="C6155" t="s">
        <v>9385</v>
      </c>
      <c r="D6155" t="s">
        <v>18841</v>
      </c>
      <c r="E6155" t="s">
        <v>21070</v>
      </c>
      <c r="F6155" t="s">
        <v>32664</v>
      </c>
      <c r="G6155" t="s">
        <v>32671</v>
      </c>
      <c r="H6155" t="s">
        <v>12635</v>
      </c>
      <c r="I6155" t="s">
        <v>32706</v>
      </c>
      <c r="J6155" t="s">
        <v>33015</v>
      </c>
      <c r="K6155" t="s">
        <v>42289</v>
      </c>
      <c r="M6155" t="s">
        <v>43893</v>
      </c>
      <c r="N6155" t="s">
        <v>46569</v>
      </c>
      <c r="O6155" t="s">
        <v>46570</v>
      </c>
      <c r="P6155">
        <v>0</v>
      </c>
      <c r="Q6155">
        <v>0</v>
      </c>
      <c r="R6155" t="s">
        <v>46573</v>
      </c>
      <c r="S6155" t="s">
        <v>46705</v>
      </c>
      <c r="T6155" t="s">
        <v>48287</v>
      </c>
      <c r="U6155" t="s">
        <v>53891</v>
      </c>
      <c r="W6155" t="s">
        <v>43893</v>
      </c>
      <c r="X6155" t="s">
        <v>46574</v>
      </c>
    </row>
    <row r="6156" spans="1:24">
      <c r="A6156">
        <f>HYPERLINK("https://www.philgeps.gov.ph/GEPSNONPILOT/Tender/SplashBidNoticeAbstractUI.aspx?menuIndex=3&amp;refID=7060521&amp;Result=3","7060521")</f>
        <v>0</v>
      </c>
      <c r="B6156" t="s">
        <v>2026</v>
      </c>
      <c r="C6156" t="s">
        <v>9386</v>
      </c>
      <c r="D6156" t="s">
        <v>18787</v>
      </c>
      <c r="E6156" t="s">
        <v>24348</v>
      </c>
      <c r="F6156" t="s">
        <v>32664</v>
      </c>
      <c r="G6156" t="s">
        <v>32671</v>
      </c>
      <c r="H6156" t="s">
        <v>12635</v>
      </c>
      <c r="I6156" t="s">
        <v>32684</v>
      </c>
      <c r="J6156" t="s">
        <v>36653</v>
      </c>
      <c r="K6156" t="s">
        <v>42306</v>
      </c>
      <c r="M6156" t="s">
        <v>44768</v>
      </c>
      <c r="N6156" t="s">
        <v>46569</v>
      </c>
      <c r="O6156" t="s">
        <v>46570</v>
      </c>
      <c r="P6156">
        <v>0</v>
      </c>
      <c r="Q6156">
        <v>6</v>
      </c>
      <c r="R6156" t="s">
        <v>46573</v>
      </c>
      <c r="S6156" t="s">
        <v>46705</v>
      </c>
      <c r="T6156" t="s">
        <v>48307</v>
      </c>
      <c r="U6156" t="s">
        <v>53892</v>
      </c>
      <c r="W6156" t="s">
        <v>44768</v>
      </c>
      <c r="X6156" t="s">
        <v>46574</v>
      </c>
    </row>
    <row r="6157" spans="1:24">
      <c r="A6157">
        <f>HYPERLINK("https://www.philgeps.gov.ph/GEPSNONPILOT/Tender/SplashBidNoticeAbstractUI.aspx?menuIndex=3&amp;refID=7060552&amp;Result=3","7060552")</f>
        <v>0</v>
      </c>
      <c r="B6157" t="s">
        <v>2029</v>
      </c>
      <c r="C6157" t="s">
        <v>9387</v>
      </c>
      <c r="D6157" t="s">
        <v>18784</v>
      </c>
      <c r="E6157" t="s">
        <v>24349</v>
      </c>
      <c r="F6157" t="s">
        <v>32664</v>
      </c>
      <c r="G6157" t="s">
        <v>32671</v>
      </c>
      <c r="H6157" t="s">
        <v>12635</v>
      </c>
      <c r="I6157" t="s">
        <v>6553</v>
      </c>
      <c r="J6157" t="s">
        <v>36654</v>
      </c>
      <c r="K6157" t="s">
        <v>42330</v>
      </c>
      <c r="M6157" t="s">
        <v>44772</v>
      </c>
      <c r="N6157" t="s">
        <v>46569</v>
      </c>
      <c r="O6157" t="s">
        <v>46570</v>
      </c>
      <c r="P6157">
        <v>0</v>
      </c>
      <c r="Q6157">
        <v>0</v>
      </c>
      <c r="R6157" t="s">
        <v>46573</v>
      </c>
      <c r="S6157" t="s">
        <v>46705</v>
      </c>
      <c r="T6157" t="s">
        <v>48228</v>
      </c>
      <c r="U6157" t="s">
        <v>53893</v>
      </c>
      <c r="V6157" t="s">
        <v>62248</v>
      </c>
      <c r="W6157" t="s">
        <v>44772</v>
      </c>
      <c r="X6157" t="s">
        <v>46574</v>
      </c>
    </row>
    <row r="6158" spans="1:24">
      <c r="A6158">
        <f>HYPERLINK("https://www.philgeps.gov.ph/GEPSNONPILOT/Tender/SplashBidNoticeAbstractUI.aspx?menuIndex=3&amp;refID=7060517&amp;Result=3","7060517")</f>
        <v>0</v>
      </c>
      <c r="B6158" t="s">
        <v>372</v>
      </c>
      <c r="C6158" t="s">
        <v>9388</v>
      </c>
      <c r="D6158" t="s">
        <v>18827</v>
      </c>
      <c r="E6158" t="s">
        <v>24350</v>
      </c>
      <c r="F6158" t="s">
        <v>32664</v>
      </c>
      <c r="G6158" t="s">
        <v>32671</v>
      </c>
      <c r="H6158" t="s">
        <v>12635</v>
      </c>
      <c r="I6158" t="s">
        <v>6223</v>
      </c>
      <c r="J6158" t="s">
        <v>32898</v>
      </c>
      <c r="K6158" t="s">
        <v>42332</v>
      </c>
      <c r="M6158" t="s">
        <v>42942</v>
      </c>
      <c r="N6158" t="s">
        <v>46569</v>
      </c>
      <c r="O6158" t="s">
        <v>46570</v>
      </c>
      <c r="P6158">
        <v>0</v>
      </c>
      <c r="Q6158">
        <v>2</v>
      </c>
      <c r="R6158" t="s">
        <v>46573</v>
      </c>
      <c r="S6158" t="s">
        <v>46705</v>
      </c>
      <c r="T6158" t="s">
        <v>48244</v>
      </c>
      <c r="U6158" t="s">
        <v>53894</v>
      </c>
      <c r="W6158" t="s">
        <v>42942</v>
      </c>
      <c r="X6158" t="s">
        <v>46574</v>
      </c>
    </row>
    <row r="6159" spans="1:24">
      <c r="A6159">
        <f>HYPERLINK("https://www.philgeps.gov.ph/GEPSNONPILOT/Tender/SplashBidNoticeAbstractUI.aspx?menuIndex=3&amp;refID=7060491&amp;Result=3","7060491")</f>
        <v>0</v>
      </c>
      <c r="B6159" t="s">
        <v>1684</v>
      </c>
      <c r="C6159" t="s">
        <v>9389</v>
      </c>
      <c r="D6159" t="s">
        <v>18805</v>
      </c>
      <c r="E6159" t="s">
        <v>24351</v>
      </c>
      <c r="F6159" t="s">
        <v>32664</v>
      </c>
      <c r="G6159" t="s">
        <v>32671</v>
      </c>
      <c r="H6159" t="s">
        <v>12635</v>
      </c>
      <c r="I6159" t="s">
        <v>6168</v>
      </c>
      <c r="J6159" t="s">
        <v>33175</v>
      </c>
      <c r="K6159" t="s">
        <v>42284</v>
      </c>
      <c r="M6159" t="s">
        <v>44373</v>
      </c>
      <c r="N6159" t="s">
        <v>46569</v>
      </c>
      <c r="O6159" t="s">
        <v>46570</v>
      </c>
      <c r="P6159">
        <v>0</v>
      </c>
      <c r="Q6159">
        <v>0</v>
      </c>
      <c r="R6159" t="s">
        <v>46573</v>
      </c>
      <c r="S6159" t="s">
        <v>46705</v>
      </c>
      <c r="T6159" t="s">
        <v>48287</v>
      </c>
      <c r="U6159" t="s">
        <v>53895</v>
      </c>
      <c r="W6159" t="s">
        <v>44373</v>
      </c>
      <c r="X6159" t="s">
        <v>46574</v>
      </c>
    </row>
    <row r="6160" spans="1:24">
      <c r="A6160">
        <f>HYPERLINK("https://www.philgeps.gov.ph/GEPSNONPILOT/Tender/SplashBidNoticeAbstractUI.aspx?menuIndex=3&amp;refID=7060550&amp;Result=3","7060550")</f>
        <v>0</v>
      </c>
      <c r="B6160" t="s">
        <v>2030</v>
      </c>
      <c r="C6160" t="s">
        <v>9390</v>
      </c>
      <c r="D6160" t="s">
        <v>18784</v>
      </c>
      <c r="E6160" t="s">
        <v>24352</v>
      </c>
      <c r="F6160" t="s">
        <v>32664</v>
      </c>
      <c r="G6160" t="s">
        <v>32672</v>
      </c>
      <c r="H6160" t="s">
        <v>12635</v>
      </c>
      <c r="I6160" t="s">
        <v>5589</v>
      </c>
      <c r="J6160" t="s">
        <v>36655</v>
      </c>
      <c r="K6160" t="s">
        <v>42311</v>
      </c>
      <c r="M6160" t="s">
        <v>44773</v>
      </c>
      <c r="N6160" t="s">
        <v>46569</v>
      </c>
      <c r="O6160" t="s">
        <v>46570</v>
      </c>
      <c r="P6160">
        <v>0</v>
      </c>
      <c r="Q6160">
        <v>11</v>
      </c>
      <c r="R6160" t="s">
        <v>46573</v>
      </c>
      <c r="S6160" t="s">
        <v>46705</v>
      </c>
      <c r="T6160" t="s">
        <v>48385</v>
      </c>
      <c r="U6160" t="s">
        <v>53896</v>
      </c>
      <c r="W6160" t="s">
        <v>63545</v>
      </c>
      <c r="X6160" t="s">
        <v>46574</v>
      </c>
    </row>
    <row r="6161" spans="1:24">
      <c r="A6161">
        <f>HYPERLINK("https://www.philgeps.gov.ph/GEPSNONPILOT/Tender/SplashBidNoticeAbstractUI.aspx?menuIndex=3&amp;refID=7060557&amp;Result=3","7060557")</f>
        <v>0</v>
      </c>
      <c r="B6161" t="s">
        <v>2031</v>
      </c>
      <c r="C6161" t="s">
        <v>9391</v>
      </c>
      <c r="D6161" t="s">
        <v>18785</v>
      </c>
      <c r="E6161" t="s">
        <v>19304</v>
      </c>
      <c r="F6161" t="s">
        <v>32664</v>
      </c>
      <c r="G6161" t="s">
        <v>32672</v>
      </c>
      <c r="H6161" t="s">
        <v>12635</v>
      </c>
      <c r="I6161" t="s">
        <v>32716</v>
      </c>
      <c r="J6161" t="s">
        <v>34414</v>
      </c>
      <c r="K6161" t="s">
        <v>42284</v>
      </c>
      <c r="L6161" t="s">
        <v>2031</v>
      </c>
      <c r="M6161" t="s">
        <v>44774</v>
      </c>
      <c r="N6161" t="s">
        <v>46569</v>
      </c>
      <c r="O6161" t="s">
        <v>46570</v>
      </c>
      <c r="P6161">
        <v>0</v>
      </c>
      <c r="Q6161">
        <v>1</v>
      </c>
      <c r="R6161" t="s">
        <v>46573</v>
      </c>
      <c r="S6161" t="s">
        <v>46705</v>
      </c>
      <c r="T6161" t="s">
        <v>48228</v>
      </c>
      <c r="U6161" t="s">
        <v>53897</v>
      </c>
      <c r="W6161" t="s">
        <v>44774</v>
      </c>
      <c r="X6161" t="s">
        <v>46574</v>
      </c>
    </row>
    <row r="6162" spans="1:24">
      <c r="A6162">
        <f>HYPERLINK("https://www.philgeps.gov.ph/GEPSNONPILOT/Tender/SplashBidNoticeAbstractUI.aspx?menuIndex=3&amp;refID=7060549&amp;Result=3","7060549")</f>
        <v>0</v>
      </c>
      <c r="B6162" t="s">
        <v>745</v>
      </c>
      <c r="C6162" t="s">
        <v>9392</v>
      </c>
      <c r="D6162" t="s">
        <v>18806</v>
      </c>
      <c r="E6162" t="s">
        <v>24353</v>
      </c>
      <c r="F6162" t="s">
        <v>32664</v>
      </c>
      <c r="G6162" t="s">
        <v>32671</v>
      </c>
      <c r="H6162" t="s">
        <v>12635</v>
      </c>
      <c r="I6162" t="s">
        <v>5501</v>
      </c>
      <c r="J6162" t="s">
        <v>34624</v>
      </c>
      <c r="K6162" t="s">
        <v>42297</v>
      </c>
      <c r="M6162" t="s">
        <v>43335</v>
      </c>
      <c r="N6162" t="s">
        <v>46569</v>
      </c>
      <c r="O6162" t="s">
        <v>46570</v>
      </c>
      <c r="P6162">
        <v>0</v>
      </c>
      <c r="Q6162">
        <v>6</v>
      </c>
      <c r="R6162" t="s">
        <v>46573</v>
      </c>
      <c r="S6162" t="s">
        <v>46705</v>
      </c>
      <c r="T6162" t="s">
        <v>48502</v>
      </c>
      <c r="U6162" t="s">
        <v>53898</v>
      </c>
      <c r="V6162" t="s">
        <v>62249</v>
      </c>
      <c r="W6162" t="s">
        <v>43335</v>
      </c>
      <c r="X6162" t="s">
        <v>46574</v>
      </c>
    </row>
    <row r="6163" spans="1:24">
      <c r="A6163">
        <f>HYPERLINK("https://www.philgeps.gov.ph/GEPSNONPILOT/Tender/SplashBidNoticeAbstractUI.aspx?menuIndex=3&amp;refID=7060403&amp;Result=3","7060403")</f>
        <v>0</v>
      </c>
      <c r="B6163" t="s">
        <v>2014</v>
      </c>
      <c r="C6163" t="s">
        <v>9325</v>
      </c>
      <c r="E6163" t="s">
        <v>24354</v>
      </c>
      <c r="F6163" t="s">
        <v>32664</v>
      </c>
      <c r="G6163" t="s">
        <v>32672</v>
      </c>
      <c r="H6163" t="s">
        <v>32683</v>
      </c>
      <c r="I6163" t="s">
        <v>10627</v>
      </c>
      <c r="J6163" t="s">
        <v>33021</v>
      </c>
      <c r="K6163" t="s">
        <v>42283</v>
      </c>
      <c r="M6163" t="s">
        <v>44754</v>
      </c>
      <c r="N6163" t="s">
        <v>46569</v>
      </c>
      <c r="O6163" t="s">
        <v>46570</v>
      </c>
      <c r="P6163">
        <v>0</v>
      </c>
      <c r="Q6163">
        <v>0</v>
      </c>
      <c r="R6163" t="s">
        <v>46573</v>
      </c>
      <c r="S6163" t="s">
        <v>46705</v>
      </c>
      <c r="T6163" t="s">
        <v>48565</v>
      </c>
      <c r="U6163" t="s">
        <v>53899</v>
      </c>
      <c r="W6163" t="s">
        <v>44754</v>
      </c>
      <c r="X6163" t="s">
        <v>46574</v>
      </c>
    </row>
    <row r="6164" spans="1:24">
      <c r="A6164">
        <f>HYPERLINK("https://www.philgeps.gov.ph/GEPSNONPILOT/Tender/SplashBidNoticeAbstractUI.aspx?menuIndex=3&amp;refID=7060546&amp;Result=3","7060546")</f>
        <v>0</v>
      </c>
      <c r="B6164" t="s">
        <v>594</v>
      </c>
      <c r="C6164" t="s">
        <v>9393</v>
      </c>
      <c r="D6164" t="s">
        <v>18784</v>
      </c>
      <c r="E6164" t="s">
        <v>24355</v>
      </c>
      <c r="F6164" t="s">
        <v>32664</v>
      </c>
      <c r="G6164" t="s">
        <v>32671</v>
      </c>
      <c r="H6164" t="s">
        <v>12635</v>
      </c>
      <c r="I6164" t="s">
        <v>32701</v>
      </c>
      <c r="J6164" t="s">
        <v>36656</v>
      </c>
      <c r="K6164" t="s">
        <v>42297</v>
      </c>
      <c r="M6164" t="s">
        <v>43793</v>
      </c>
      <c r="N6164" t="s">
        <v>46569</v>
      </c>
      <c r="O6164" t="s">
        <v>46570</v>
      </c>
      <c r="P6164">
        <v>0</v>
      </c>
      <c r="Q6164">
        <v>1</v>
      </c>
      <c r="R6164" t="s">
        <v>46573</v>
      </c>
      <c r="S6164" t="s">
        <v>46705</v>
      </c>
      <c r="T6164" t="s">
        <v>48461</v>
      </c>
      <c r="U6164" t="s">
        <v>53900</v>
      </c>
      <c r="V6164" t="s">
        <v>61909</v>
      </c>
      <c r="W6164" t="s">
        <v>43793</v>
      </c>
      <c r="X6164" t="s">
        <v>46574</v>
      </c>
    </row>
    <row r="6165" spans="1:24">
      <c r="A6165">
        <f>HYPERLINK("https://www.philgeps.gov.ph/GEPSNONPILOT/Tender/SplashBidNoticeAbstractUI.aspx?menuIndex=3&amp;refID=7060553&amp;Result=3","7060553")</f>
        <v>0</v>
      </c>
      <c r="B6165" t="s">
        <v>1281</v>
      </c>
      <c r="C6165" t="s">
        <v>9394</v>
      </c>
      <c r="D6165" t="s">
        <v>18837</v>
      </c>
      <c r="E6165" t="s">
        <v>24356</v>
      </c>
      <c r="F6165" t="s">
        <v>32664</v>
      </c>
      <c r="G6165" t="s">
        <v>32672</v>
      </c>
      <c r="H6165" t="s">
        <v>12635</v>
      </c>
      <c r="I6165" t="s">
        <v>5589</v>
      </c>
      <c r="J6165" t="s">
        <v>33474</v>
      </c>
      <c r="K6165" t="s">
        <v>42297</v>
      </c>
      <c r="M6165" t="s">
        <v>43924</v>
      </c>
      <c r="N6165" t="s">
        <v>46569</v>
      </c>
      <c r="O6165" t="s">
        <v>46570</v>
      </c>
      <c r="P6165">
        <v>0</v>
      </c>
      <c r="Q6165">
        <v>3</v>
      </c>
      <c r="R6165" t="s">
        <v>46573</v>
      </c>
      <c r="S6165" t="s">
        <v>46705</v>
      </c>
      <c r="T6165" t="s">
        <v>48283</v>
      </c>
      <c r="U6165" t="s">
        <v>53901</v>
      </c>
      <c r="W6165" t="s">
        <v>43924</v>
      </c>
      <c r="X6165" t="s">
        <v>46574</v>
      </c>
    </row>
    <row r="6166" spans="1:24">
      <c r="A6166">
        <f>HYPERLINK("https://www.philgeps.gov.ph/GEPSNONPILOT/Tender/SplashBidNoticeAbstractUI.aspx?menuIndex=3&amp;refID=7060544&amp;Result=3","7060544")</f>
        <v>0</v>
      </c>
      <c r="B6166" t="s">
        <v>1123</v>
      </c>
      <c r="C6166" t="s">
        <v>9395</v>
      </c>
      <c r="D6166" t="s">
        <v>18814</v>
      </c>
      <c r="E6166" t="s">
        <v>24357</v>
      </c>
      <c r="F6166" t="s">
        <v>32664</v>
      </c>
      <c r="G6166" t="s">
        <v>32672</v>
      </c>
      <c r="H6166" t="s">
        <v>32683</v>
      </c>
      <c r="I6166" t="s">
        <v>10627</v>
      </c>
      <c r="J6166" t="s">
        <v>36657</v>
      </c>
      <c r="K6166" t="s">
        <v>42375</v>
      </c>
      <c r="M6166" t="s">
        <v>43752</v>
      </c>
      <c r="N6166" t="s">
        <v>46569</v>
      </c>
      <c r="O6166" t="s">
        <v>46570</v>
      </c>
      <c r="P6166">
        <v>0</v>
      </c>
      <c r="Q6166">
        <v>1</v>
      </c>
      <c r="R6166" t="s">
        <v>46573</v>
      </c>
      <c r="S6166" t="s">
        <v>46705</v>
      </c>
      <c r="T6166" t="s">
        <v>48296</v>
      </c>
      <c r="U6166" t="s">
        <v>53902</v>
      </c>
      <c r="W6166" t="s">
        <v>43752</v>
      </c>
      <c r="X6166" t="s">
        <v>46574</v>
      </c>
    </row>
    <row r="6167" spans="1:24">
      <c r="A6167">
        <f>HYPERLINK("https://www.philgeps.gov.ph/GEPSNONPILOT/Tender/SplashBidNoticeAbstractUI.aspx?menuIndex=3&amp;refID=7060541&amp;Result=3","7060541")</f>
        <v>0</v>
      </c>
      <c r="B6167" t="s">
        <v>318</v>
      </c>
      <c r="C6167" t="s">
        <v>9396</v>
      </c>
      <c r="D6167" t="s">
        <v>18842</v>
      </c>
      <c r="E6167" t="s">
        <v>24358</v>
      </c>
      <c r="F6167" t="s">
        <v>32664</v>
      </c>
      <c r="G6167" t="s">
        <v>32671</v>
      </c>
      <c r="H6167" t="s">
        <v>32682</v>
      </c>
      <c r="I6167" t="s">
        <v>32763</v>
      </c>
      <c r="J6167" t="s">
        <v>36658</v>
      </c>
      <c r="K6167" t="s">
        <v>42291</v>
      </c>
      <c r="M6167" t="s">
        <v>42886</v>
      </c>
      <c r="N6167" t="s">
        <v>46569</v>
      </c>
      <c r="O6167" t="s">
        <v>46570</v>
      </c>
      <c r="P6167">
        <v>0</v>
      </c>
      <c r="Q6167">
        <v>2</v>
      </c>
      <c r="R6167" t="s">
        <v>46573</v>
      </c>
      <c r="S6167" t="s">
        <v>46705</v>
      </c>
      <c r="T6167" t="s">
        <v>48420</v>
      </c>
      <c r="U6167" t="s">
        <v>53903</v>
      </c>
      <c r="W6167" t="s">
        <v>42886</v>
      </c>
      <c r="X6167" t="s">
        <v>46574</v>
      </c>
    </row>
    <row r="6168" spans="1:24">
      <c r="A6168">
        <f>HYPERLINK("https://www.philgeps.gov.ph/GEPSNONPILOT/Tender/SplashBidNoticeAbstractUI.aspx?menuIndex=3&amp;refID=7060540&amp;Result=3","7060540")</f>
        <v>0</v>
      </c>
      <c r="B6168" t="s">
        <v>1102</v>
      </c>
      <c r="C6168" t="s">
        <v>9397</v>
      </c>
      <c r="D6168" t="s">
        <v>18784</v>
      </c>
      <c r="E6168" t="s">
        <v>24359</v>
      </c>
      <c r="F6168" t="s">
        <v>32664</v>
      </c>
      <c r="G6168" t="s">
        <v>32672</v>
      </c>
      <c r="H6168" t="s">
        <v>12635</v>
      </c>
      <c r="I6168" t="s">
        <v>9486</v>
      </c>
      <c r="J6168" t="s">
        <v>36659</v>
      </c>
      <c r="K6168" t="s">
        <v>42283</v>
      </c>
      <c r="M6168" t="s">
        <v>44775</v>
      </c>
      <c r="N6168" t="s">
        <v>46569</v>
      </c>
      <c r="O6168" t="s">
        <v>46570</v>
      </c>
      <c r="P6168">
        <v>0</v>
      </c>
      <c r="Q6168">
        <v>4</v>
      </c>
      <c r="R6168" t="s">
        <v>46573</v>
      </c>
      <c r="S6168" t="s">
        <v>46705</v>
      </c>
      <c r="T6168" t="s">
        <v>48302</v>
      </c>
      <c r="U6168" t="s">
        <v>53904</v>
      </c>
      <c r="W6168" t="s">
        <v>44775</v>
      </c>
      <c r="X6168" t="s">
        <v>46574</v>
      </c>
    </row>
    <row r="6169" spans="1:24">
      <c r="A6169">
        <f>HYPERLINK("https://www.philgeps.gov.ph/GEPSNONPILOT/Tender/SplashBidNoticeAbstractUI.aspx?menuIndex=3&amp;refID=7060554&amp;Result=3","7060554")</f>
        <v>0</v>
      </c>
      <c r="B6169" t="s">
        <v>888</v>
      </c>
      <c r="C6169" t="s">
        <v>9398</v>
      </c>
      <c r="D6169" t="s">
        <v>18785</v>
      </c>
      <c r="E6169" t="s">
        <v>24360</v>
      </c>
      <c r="F6169" t="s">
        <v>32664</v>
      </c>
      <c r="G6169" t="s">
        <v>32671</v>
      </c>
      <c r="H6169" t="s">
        <v>12635</v>
      </c>
      <c r="I6169" t="s">
        <v>5501</v>
      </c>
      <c r="J6169" t="s">
        <v>36660</v>
      </c>
      <c r="K6169" t="s">
        <v>42284</v>
      </c>
      <c r="M6169" t="s">
        <v>43491</v>
      </c>
      <c r="N6169" t="s">
        <v>46569</v>
      </c>
      <c r="O6169" t="s">
        <v>46570</v>
      </c>
      <c r="P6169">
        <v>0</v>
      </c>
      <c r="Q6169">
        <v>2</v>
      </c>
      <c r="R6169" t="s">
        <v>46573</v>
      </c>
      <c r="S6169" t="s">
        <v>46705</v>
      </c>
      <c r="T6169" t="s">
        <v>48534</v>
      </c>
      <c r="U6169" t="s">
        <v>53905</v>
      </c>
      <c r="V6169" t="s">
        <v>61839</v>
      </c>
      <c r="W6169" t="s">
        <v>43491</v>
      </c>
      <c r="X6169" t="s">
        <v>46574</v>
      </c>
    </row>
    <row r="6170" spans="1:24">
      <c r="A6170">
        <f>HYPERLINK("https://www.philgeps.gov.ph/GEPSNONPILOT/Tender/SplashBidNoticeAbstractUI.aspx?menuIndex=3&amp;refID=7060539&amp;Result=3","7060539")</f>
        <v>0</v>
      </c>
      <c r="B6170" t="s">
        <v>817</v>
      </c>
      <c r="C6170" t="s">
        <v>7017</v>
      </c>
      <c r="E6170" t="s">
        <v>24361</v>
      </c>
      <c r="F6170" t="s">
        <v>32664</v>
      </c>
      <c r="G6170" t="s">
        <v>32675</v>
      </c>
      <c r="H6170" t="s">
        <v>12635</v>
      </c>
      <c r="I6170" t="s">
        <v>6168</v>
      </c>
      <c r="J6170" t="s">
        <v>36661</v>
      </c>
      <c r="K6170" t="s">
        <v>42283</v>
      </c>
      <c r="M6170" t="s">
        <v>43412</v>
      </c>
      <c r="N6170" t="s">
        <v>46569</v>
      </c>
      <c r="O6170" t="s">
        <v>46570</v>
      </c>
      <c r="P6170">
        <v>0</v>
      </c>
      <c r="Q6170">
        <v>2</v>
      </c>
      <c r="R6170" t="s">
        <v>46573</v>
      </c>
      <c r="S6170" t="s">
        <v>46705</v>
      </c>
      <c r="T6170" t="s">
        <v>48244</v>
      </c>
      <c r="U6170" t="s">
        <v>50349</v>
      </c>
      <c r="W6170" t="s">
        <v>43412</v>
      </c>
      <c r="X6170" t="s">
        <v>46574</v>
      </c>
    </row>
    <row r="6171" spans="1:24">
      <c r="A6171">
        <f>HYPERLINK("https://www.philgeps.gov.ph/GEPSNONPILOT/Tender/SplashBidNoticeAbstractUI.aspx?menuIndex=3&amp;refID=7060559&amp;Result=3","7060559")</f>
        <v>0</v>
      </c>
      <c r="B6171" t="s">
        <v>1753</v>
      </c>
      <c r="C6171" t="s">
        <v>9399</v>
      </c>
      <c r="D6171" t="s">
        <v>18784</v>
      </c>
      <c r="E6171" t="s">
        <v>24362</v>
      </c>
      <c r="F6171" t="s">
        <v>32664</v>
      </c>
      <c r="G6171" t="s">
        <v>32671</v>
      </c>
      <c r="H6171" t="s">
        <v>12635</v>
      </c>
      <c r="I6171" t="s">
        <v>6628</v>
      </c>
      <c r="J6171" t="s">
        <v>36662</v>
      </c>
      <c r="K6171" t="s">
        <v>42281</v>
      </c>
      <c r="M6171" t="s">
        <v>44453</v>
      </c>
      <c r="N6171" t="s">
        <v>46569</v>
      </c>
      <c r="O6171" t="s">
        <v>46570</v>
      </c>
      <c r="P6171">
        <v>0</v>
      </c>
      <c r="Q6171">
        <v>10</v>
      </c>
      <c r="R6171" t="s">
        <v>46573</v>
      </c>
      <c r="S6171" t="s">
        <v>46705</v>
      </c>
      <c r="T6171" t="s">
        <v>48244</v>
      </c>
      <c r="U6171" t="s">
        <v>53906</v>
      </c>
      <c r="W6171" t="s">
        <v>44453</v>
      </c>
      <c r="X6171" t="s">
        <v>46574</v>
      </c>
    </row>
    <row r="6172" spans="1:24">
      <c r="A6172">
        <f>HYPERLINK("https://www.philgeps.gov.ph/GEPSNONPILOT/Tender/SplashBidNoticeAbstractUI.aspx?menuIndex=3&amp;refID=7060551&amp;Result=3","7060551")</f>
        <v>0</v>
      </c>
      <c r="B6172" t="s">
        <v>216</v>
      </c>
      <c r="C6172" t="s">
        <v>9400</v>
      </c>
      <c r="D6172" t="s">
        <v>18797</v>
      </c>
      <c r="E6172" t="s">
        <v>24363</v>
      </c>
      <c r="F6172" t="s">
        <v>32664</v>
      </c>
      <c r="G6172" t="s">
        <v>32671</v>
      </c>
      <c r="H6172" t="s">
        <v>12635</v>
      </c>
      <c r="I6172" t="s">
        <v>6628</v>
      </c>
      <c r="J6172" t="s">
        <v>33015</v>
      </c>
      <c r="K6172" t="s">
        <v>42284</v>
      </c>
      <c r="M6172" t="s">
        <v>42780</v>
      </c>
      <c r="N6172" t="s">
        <v>46569</v>
      </c>
      <c r="O6172" t="s">
        <v>46570</v>
      </c>
      <c r="P6172">
        <v>0</v>
      </c>
      <c r="Q6172">
        <v>0</v>
      </c>
      <c r="R6172" t="s">
        <v>46573</v>
      </c>
      <c r="S6172" t="s">
        <v>46705</v>
      </c>
      <c r="T6172" t="s">
        <v>48283</v>
      </c>
      <c r="U6172" t="s">
        <v>53907</v>
      </c>
      <c r="V6172" t="s">
        <v>62250</v>
      </c>
      <c r="W6172" t="s">
        <v>42780</v>
      </c>
      <c r="X6172" t="s">
        <v>46574</v>
      </c>
    </row>
    <row r="6173" spans="1:24">
      <c r="A6173">
        <f>HYPERLINK("https://www.philgeps.gov.ph/GEPSNONPILOT/Tender/SplashBidNoticeAbstractUI.aspx?menuIndex=3&amp;refID=7060581&amp;Result=3","7060581")</f>
        <v>0</v>
      </c>
      <c r="B6173" t="s">
        <v>70</v>
      </c>
      <c r="C6173" t="s">
        <v>9401</v>
      </c>
      <c r="D6173" t="s">
        <v>18782</v>
      </c>
      <c r="E6173" t="s">
        <v>24364</v>
      </c>
      <c r="F6173" t="s">
        <v>32664</v>
      </c>
      <c r="G6173" t="s">
        <v>32672</v>
      </c>
      <c r="H6173" t="s">
        <v>32683</v>
      </c>
      <c r="I6173" t="s">
        <v>10627</v>
      </c>
      <c r="J6173" t="s">
        <v>36663</v>
      </c>
      <c r="K6173" t="s">
        <v>42298</v>
      </c>
      <c r="M6173" t="s">
        <v>42633</v>
      </c>
      <c r="N6173" t="s">
        <v>46569</v>
      </c>
      <c r="O6173" t="s">
        <v>46570</v>
      </c>
      <c r="P6173">
        <v>0</v>
      </c>
      <c r="Q6173">
        <v>0</v>
      </c>
      <c r="R6173" t="s">
        <v>46573</v>
      </c>
      <c r="S6173" t="s">
        <v>46705</v>
      </c>
      <c r="T6173" t="s">
        <v>48305</v>
      </c>
      <c r="U6173" t="s">
        <v>53908</v>
      </c>
      <c r="W6173" t="s">
        <v>42633</v>
      </c>
      <c r="X6173" t="s">
        <v>46574</v>
      </c>
    </row>
    <row r="6174" spans="1:24">
      <c r="A6174">
        <f>HYPERLINK("https://www.philgeps.gov.ph/GEPSNONPILOT/Tender/SplashBidNoticeAbstractUI.aspx?menuIndex=3&amp;refID=7060545&amp;Result=3","7060545")</f>
        <v>0</v>
      </c>
      <c r="B6174" t="s">
        <v>585</v>
      </c>
      <c r="C6174" t="s">
        <v>9402</v>
      </c>
      <c r="D6174" t="s">
        <v>18834</v>
      </c>
      <c r="E6174" t="s">
        <v>24365</v>
      </c>
      <c r="F6174" t="s">
        <v>32664</v>
      </c>
      <c r="G6174" t="s">
        <v>32671</v>
      </c>
      <c r="H6174" t="s">
        <v>12635</v>
      </c>
      <c r="I6174" t="s">
        <v>8797</v>
      </c>
      <c r="J6174" t="s">
        <v>36664</v>
      </c>
      <c r="K6174" t="s">
        <v>42445</v>
      </c>
      <c r="M6174" t="s">
        <v>43165</v>
      </c>
      <c r="N6174" t="s">
        <v>46569</v>
      </c>
      <c r="O6174" t="s">
        <v>46570</v>
      </c>
      <c r="P6174">
        <v>0</v>
      </c>
      <c r="Q6174">
        <v>0</v>
      </c>
      <c r="R6174" t="s">
        <v>46573</v>
      </c>
      <c r="S6174" t="s">
        <v>46705</v>
      </c>
      <c r="T6174" t="s">
        <v>48427</v>
      </c>
      <c r="U6174" t="s">
        <v>53909</v>
      </c>
      <c r="W6174" t="s">
        <v>43165</v>
      </c>
      <c r="X6174" t="s">
        <v>46574</v>
      </c>
    </row>
    <row r="6175" spans="1:24">
      <c r="A6175">
        <f>HYPERLINK("https://www.philgeps.gov.ph/GEPSNONPILOT/Tender/SplashBidNoticeAbstractUI.aspx?menuIndex=3&amp;refID=7060580&amp;Result=3","7060580")</f>
        <v>0</v>
      </c>
      <c r="B6175" t="s">
        <v>2028</v>
      </c>
      <c r="C6175" t="s">
        <v>9403</v>
      </c>
      <c r="D6175" t="s">
        <v>18807</v>
      </c>
      <c r="E6175" t="s">
        <v>24366</v>
      </c>
      <c r="F6175" t="s">
        <v>32664</v>
      </c>
      <c r="G6175" t="s">
        <v>32671</v>
      </c>
      <c r="H6175" t="s">
        <v>12635</v>
      </c>
      <c r="I6175" t="s">
        <v>32706</v>
      </c>
      <c r="J6175" t="s">
        <v>36665</v>
      </c>
      <c r="K6175" t="s">
        <v>42295</v>
      </c>
      <c r="M6175" t="s">
        <v>44770</v>
      </c>
      <c r="N6175" t="s">
        <v>46569</v>
      </c>
      <c r="O6175" t="s">
        <v>46570</v>
      </c>
      <c r="P6175">
        <v>0</v>
      </c>
      <c r="Q6175">
        <v>0</v>
      </c>
      <c r="R6175" t="s">
        <v>46573</v>
      </c>
      <c r="S6175" t="s">
        <v>46705</v>
      </c>
      <c r="T6175" t="s">
        <v>48287</v>
      </c>
      <c r="U6175" t="s">
        <v>53910</v>
      </c>
      <c r="W6175" t="s">
        <v>44770</v>
      </c>
      <c r="X6175" t="s">
        <v>46574</v>
      </c>
    </row>
    <row r="6176" spans="1:24">
      <c r="A6176">
        <f>HYPERLINK("https://www.philgeps.gov.ph/GEPSNONPILOT/Tender/SplashBidNoticeAbstractUI.aspx?menuIndex=3&amp;refID=7060577&amp;Result=3","7060577")</f>
        <v>0</v>
      </c>
      <c r="B6176" t="s">
        <v>1966</v>
      </c>
      <c r="C6176" t="s">
        <v>4439</v>
      </c>
      <c r="D6176" t="s">
        <v>18782</v>
      </c>
      <c r="E6176" t="s">
        <v>24367</v>
      </c>
      <c r="F6176" t="s">
        <v>32664</v>
      </c>
      <c r="G6176" t="s">
        <v>32672</v>
      </c>
      <c r="H6176" t="s">
        <v>32683</v>
      </c>
      <c r="I6176" t="s">
        <v>4439</v>
      </c>
      <c r="J6176" t="s">
        <v>36666</v>
      </c>
      <c r="K6176" t="s">
        <v>42297</v>
      </c>
      <c r="M6176" t="s">
        <v>44698</v>
      </c>
      <c r="N6176" t="s">
        <v>46569</v>
      </c>
      <c r="O6176" t="s">
        <v>46570</v>
      </c>
      <c r="P6176">
        <v>0</v>
      </c>
      <c r="Q6176">
        <v>0</v>
      </c>
      <c r="R6176" t="s">
        <v>46573</v>
      </c>
      <c r="S6176" t="s">
        <v>46705</v>
      </c>
      <c r="T6176" t="s">
        <v>48222</v>
      </c>
      <c r="U6176" t="s">
        <v>53911</v>
      </c>
      <c r="W6176" t="s">
        <v>44698</v>
      </c>
      <c r="X6176" t="s">
        <v>46574</v>
      </c>
    </row>
    <row r="6177" spans="1:24">
      <c r="A6177">
        <f>HYPERLINK("https://www.philgeps.gov.ph/GEPSNONPILOT/Tender/SplashBidNoticeAbstractUI.aspx?menuIndex=3&amp;refID=7060578&amp;Result=3","7060578")</f>
        <v>0</v>
      </c>
      <c r="B6177" t="s">
        <v>2022</v>
      </c>
      <c r="C6177" t="s">
        <v>9404</v>
      </c>
      <c r="D6177" t="s">
        <v>18806</v>
      </c>
      <c r="E6177" t="s">
        <v>24368</v>
      </c>
      <c r="F6177" t="s">
        <v>32664</v>
      </c>
      <c r="G6177" t="s">
        <v>32672</v>
      </c>
      <c r="H6177" t="s">
        <v>12635</v>
      </c>
      <c r="I6177" t="s">
        <v>32736</v>
      </c>
      <c r="J6177" t="s">
        <v>36667</v>
      </c>
      <c r="K6177" t="s">
        <v>42311</v>
      </c>
      <c r="M6177" t="s">
        <v>44764</v>
      </c>
      <c r="N6177" t="s">
        <v>46569</v>
      </c>
      <c r="O6177" t="s">
        <v>46570</v>
      </c>
      <c r="P6177">
        <v>0</v>
      </c>
      <c r="Q6177">
        <v>0</v>
      </c>
      <c r="R6177" t="s">
        <v>46573</v>
      </c>
      <c r="S6177" t="s">
        <v>46705</v>
      </c>
      <c r="T6177" t="s">
        <v>48273</v>
      </c>
      <c r="U6177" t="s">
        <v>53912</v>
      </c>
      <c r="W6177" t="s">
        <v>44764</v>
      </c>
      <c r="X6177" t="s">
        <v>46574</v>
      </c>
    </row>
    <row r="6178" spans="1:24">
      <c r="A6178">
        <f>HYPERLINK("https://www.philgeps.gov.ph/GEPSNONPILOT/Tender/SplashBidNoticeAbstractUI.aspx?menuIndex=3&amp;refID=7060547&amp;Result=3","7060547")</f>
        <v>0</v>
      </c>
      <c r="B6178" t="s">
        <v>1042</v>
      </c>
      <c r="C6178" t="s">
        <v>9405</v>
      </c>
      <c r="D6178" t="s">
        <v>18853</v>
      </c>
      <c r="E6178" t="s">
        <v>24369</v>
      </c>
      <c r="F6178" t="s">
        <v>32664</v>
      </c>
      <c r="G6178" t="s">
        <v>32672</v>
      </c>
      <c r="H6178" t="s">
        <v>32683</v>
      </c>
      <c r="I6178" t="s">
        <v>10627</v>
      </c>
      <c r="J6178" t="s">
        <v>36668</v>
      </c>
      <c r="K6178" t="s">
        <v>42316</v>
      </c>
      <c r="M6178" t="s">
        <v>44771</v>
      </c>
      <c r="N6178" t="s">
        <v>46569</v>
      </c>
      <c r="O6178" t="s">
        <v>46570</v>
      </c>
      <c r="P6178">
        <v>0</v>
      </c>
      <c r="Q6178">
        <v>0</v>
      </c>
      <c r="R6178" t="s">
        <v>46573</v>
      </c>
      <c r="S6178" t="s">
        <v>46705</v>
      </c>
      <c r="T6178" t="s">
        <v>48312</v>
      </c>
      <c r="U6178" t="s">
        <v>53913</v>
      </c>
      <c r="V6178" t="s">
        <v>62251</v>
      </c>
      <c r="W6178" t="s">
        <v>44771</v>
      </c>
      <c r="X6178" t="s">
        <v>46574</v>
      </c>
    </row>
    <row r="6179" spans="1:24">
      <c r="A6179">
        <f>HYPERLINK("https://www.philgeps.gov.ph/GEPSNONPILOT/Tender/SplashBidNoticeAbstractUI.aspx?menuIndex=3&amp;refID=7060573&amp;Result=3","7060573")</f>
        <v>0</v>
      </c>
      <c r="B6179" t="s">
        <v>312</v>
      </c>
      <c r="C6179" t="s">
        <v>9406</v>
      </c>
      <c r="D6179" t="s">
        <v>18805</v>
      </c>
      <c r="E6179" t="s">
        <v>24370</v>
      </c>
      <c r="F6179" t="s">
        <v>32666</v>
      </c>
      <c r="G6179" t="s">
        <v>32671</v>
      </c>
      <c r="H6179" t="s">
        <v>12635</v>
      </c>
      <c r="I6179" t="s">
        <v>32688</v>
      </c>
      <c r="J6179" t="s">
        <v>34494</v>
      </c>
      <c r="K6179" t="s">
        <v>42283</v>
      </c>
      <c r="M6179" t="s">
        <v>42879</v>
      </c>
      <c r="N6179" t="s">
        <v>46569</v>
      </c>
      <c r="O6179" t="s">
        <v>46570</v>
      </c>
      <c r="P6179">
        <v>0</v>
      </c>
      <c r="Q6179">
        <v>1</v>
      </c>
      <c r="R6179" t="s">
        <v>46573</v>
      </c>
      <c r="S6179" t="s">
        <v>46705</v>
      </c>
      <c r="T6179" t="s">
        <v>48226</v>
      </c>
      <c r="U6179" t="s">
        <v>49337</v>
      </c>
      <c r="W6179" t="s">
        <v>42879</v>
      </c>
      <c r="X6179" t="s">
        <v>46574</v>
      </c>
    </row>
    <row r="6180" spans="1:24">
      <c r="A6180">
        <f>HYPERLINK("https://www.philgeps.gov.ph/GEPSNONPILOT/Tender/SplashBidNoticeAbstractUI.aspx?menuIndex=3&amp;refID=7060513&amp;Result=3","7060513")</f>
        <v>0</v>
      </c>
      <c r="B6180" t="s">
        <v>2029</v>
      </c>
      <c r="C6180" t="s">
        <v>9407</v>
      </c>
      <c r="D6180" t="s">
        <v>18784</v>
      </c>
      <c r="E6180" t="s">
        <v>24371</v>
      </c>
      <c r="F6180" t="s">
        <v>32664</v>
      </c>
      <c r="G6180" t="s">
        <v>32671</v>
      </c>
      <c r="H6180" t="s">
        <v>12635</v>
      </c>
      <c r="I6180" t="s">
        <v>6553</v>
      </c>
      <c r="J6180" t="s">
        <v>36669</v>
      </c>
      <c r="K6180" t="s">
        <v>42330</v>
      </c>
      <c r="M6180" t="s">
        <v>44772</v>
      </c>
      <c r="N6180" t="s">
        <v>46569</v>
      </c>
      <c r="O6180" t="s">
        <v>46570</v>
      </c>
      <c r="P6180">
        <v>0</v>
      </c>
      <c r="Q6180">
        <v>0</v>
      </c>
      <c r="R6180" t="s">
        <v>46573</v>
      </c>
      <c r="S6180" t="s">
        <v>46705</v>
      </c>
      <c r="T6180" t="s">
        <v>48228</v>
      </c>
      <c r="U6180" t="s">
        <v>53914</v>
      </c>
      <c r="V6180" t="s">
        <v>62248</v>
      </c>
      <c r="W6180" t="s">
        <v>44772</v>
      </c>
      <c r="X6180" t="s">
        <v>46574</v>
      </c>
    </row>
    <row r="6181" spans="1:24">
      <c r="A6181">
        <f>HYPERLINK("https://www.philgeps.gov.ph/GEPSNONPILOT/Tender/SplashBidNoticeAbstractUI.aspx?menuIndex=3&amp;refID=7060572&amp;Result=3","7060572")</f>
        <v>0</v>
      </c>
      <c r="B6181" t="s">
        <v>817</v>
      </c>
      <c r="C6181" t="s">
        <v>7017</v>
      </c>
      <c r="E6181" t="s">
        <v>24372</v>
      </c>
      <c r="F6181" t="s">
        <v>32664</v>
      </c>
      <c r="G6181" t="s">
        <v>32671</v>
      </c>
      <c r="H6181" t="s">
        <v>12635</v>
      </c>
      <c r="I6181" t="s">
        <v>6168</v>
      </c>
      <c r="J6181" t="s">
        <v>36670</v>
      </c>
      <c r="K6181" t="s">
        <v>42283</v>
      </c>
      <c r="M6181" t="s">
        <v>43412</v>
      </c>
      <c r="N6181" t="s">
        <v>46569</v>
      </c>
      <c r="O6181" t="s">
        <v>46570</v>
      </c>
      <c r="P6181">
        <v>0</v>
      </c>
      <c r="Q6181">
        <v>2</v>
      </c>
      <c r="R6181" t="s">
        <v>46573</v>
      </c>
      <c r="S6181" t="s">
        <v>46705</v>
      </c>
      <c r="T6181" t="s">
        <v>48244</v>
      </c>
      <c r="U6181" t="s">
        <v>50349</v>
      </c>
      <c r="W6181" t="s">
        <v>43412</v>
      </c>
      <c r="X6181" t="s">
        <v>46574</v>
      </c>
    </row>
    <row r="6182" spans="1:24">
      <c r="A6182">
        <f>HYPERLINK("https://www.philgeps.gov.ph/GEPSNONPILOT/Tender/SplashBidNoticeAbstractUI.aspx?menuIndex=3&amp;refID=7060571&amp;Result=3","7060571")</f>
        <v>0</v>
      </c>
      <c r="B6182" t="s">
        <v>2032</v>
      </c>
      <c r="C6182" t="s">
        <v>9408</v>
      </c>
      <c r="D6182" t="s">
        <v>18845</v>
      </c>
      <c r="E6182" t="s">
        <v>24373</v>
      </c>
      <c r="F6182" t="s">
        <v>32664</v>
      </c>
      <c r="G6182" t="s">
        <v>32672</v>
      </c>
      <c r="H6182" t="s">
        <v>12635</v>
      </c>
      <c r="I6182" t="s">
        <v>4439</v>
      </c>
      <c r="J6182" t="s">
        <v>36671</v>
      </c>
      <c r="K6182" t="s">
        <v>42283</v>
      </c>
      <c r="M6182" t="s">
        <v>44776</v>
      </c>
      <c r="N6182" t="s">
        <v>46569</v>
      </c>
      <c r="O6182" t="s">
        <v>46570</v>
      </c>
      <c r="P6182">
        <v>0</v>
      </c>
      <c r="Q6182">
        <v>0</v>
      </c>
      <c r="R6182" t="s">
        <v>46573</v>
      </c>
      <c r="S6182" t="s">
        <v>46705</v>
      </c>
      <c r="T6182" t="s">
        <v>48567</v>
      </c>
      <c r="U6182" t="s">
        <v>53915</v>
      </c>
      <c r="V6182" t="s">
        <v>62252</v>
      </c>
      <c r="W6182" t="s">
        <v>44776</v>
      </c>
      <c r="X6182" t="s">
        <v>46574</v>
      </c>
    </row>
    <row r="6183" spans="1:24">
      <c r="A6183">
        <f>HYPERLINK("https://www.philgeps.gov.ph/GEPSNONPILOT/Tender/SplashBidNoticeAbstractUI.aspx?menuIndex=3&amp;refID=7060490&amp;Result=3","7060490")</f>
        <v>0</v>
      </c>
      <c r="B6183" t="s">
        <v>1481</v>
      </c>
      <c r="C6183" t="s">
        <v>9409</v>
      </c>
      <c r="E6183" t="s">
        <v>24374</v>
      </c>
      <c r="F6183" t="s">
        <v>32664</v>
      </c>
      <c r="G6183" t="s">
        <v>32671</v>
      </c>
      <c r="H6183" t="s">
        <v>12635</v>
      </c>
      <c r="I6183" t="s">
        <v>7429</v>
      </c>
      <c r="J6183" t="s">
        <v>33117</v>
      </c>
      <c r="K6183" t="s">
        <v>42283</v>
      </c>
      <c r="M6183" t="s">
        <v>44756</v>
      </c>
      <c r="N6183" t="s">
        <v>46569</v>
      </c>
      <c r="O6183" t="s">
        <v>46570</v>
      </c>
      <c r="P6183">
        <v>0</v>
      </c>
      <c r="Q6183">
        <v>6</v>
      </c>
      <c r="R6183" t="s">
        <v>46573</v>
      </c>
      <c r="S6183" t="s">
        <v>46705</v>
      </c>
      <c r="T6183" t="s">
        <v>48287</v>
      </c>
      <c r="U6183" t="s">
        <v>53916</v>
      </c>
      <c r="W6183" t="s">
        <v>44756</v>
      </c>
      <c r="X6183" t="s">
        <v>46574</v>
      </c>
    </row>
    <row r="6184" spans="1:24">
      <c r="A6184">
        <f>HYPERLINK("https://www.philgeps.gov.ph/GEPSNONPILOT/Tender/SplashBidNoticeAbstractUI.aspx?menuIndex=3&amp;refID=7060567&amp;Result=3","7060567")</f>
        <v>0</v>
      </c>
      <c r="B6184" t="s">
        <v>2033</v>
      </c>
      <c r="C6184" t="s">
        <v>9410</v>
      </c>
      <c r="D6184" t="s">
        <v>18827</v>
      </c>
      <c r="E6184" t="s">
        <v>24375</v>
      </c>
      <c r="F6184" t="s">
        <v>32664</v>
      </c>
      <c r="G6184" t="s">
        <v>32672</v>
      </c>
      <c r="H6184" t="s">
        <v>32683</v>
      </c>
      <c r="I6184" t="s">
        <v>10627</v>
      </c>
      <c r="J6184" t="s">
        <v>36672</v>
      </c>
      <c r="K6184" t="s">
        <v>42289</v>
      </c>
      <c r="M6184" t="s">
        <v>44777</v>
      </c>
      <c r="N6184" t="s">
        <v>46569</v>
      </c>
      <c r="O6184" t="s">
        <v>46570</v>
      </c>
      <c r="P6184">
        <v>0</v>
      </c>
      <c r="Q6184">
        <v>1</v>
      </c>
      <c r="R6184" t="s">
        <v>46573</v>
      </c>
      <c r="S6184" t="s">
        <v>46705</v>
      </c>
      <c r="T6184" t="s">
        <v>48283</v>
      </c>
      <c r="U6184" t="s">
        <v>49456</v>
      </c>
      <c r="W6184" t="s">
        <v>44777</v>
      </c>
      <c r="X6184" t="s">
        <v>46574</v>
      </c>
    </row>
    <row r="6185" spans="1:24">
      <c r="A6185">
        <f>HYPERLINK("https://www.philgeps.gov.ph/GEPSNONPILOT/Tender/SplashBidNoticeAbstractUI.aspx?menuIndex=3&amp;refID=7060565&amp;Result=3","7060565")</f>
        <v>0</v>
      </c>
      <c r="B6185" t="s">
        <v>1094</v>
      </c>
      <c r="C6185" t="s">
        <v>9411</v>
      </c>
      <c r="D6185" t="s">
        <v>18822</v>
      </c>
      <c r="E6185" t="s">
        <v>24376</v>
      </c>
      <c r="F6185" t="s">
        <v>32664</v>
      </c>
      <c r="G6185" t="s">
        <v>32674</v>
      </c>
      <c r="H6185" t="s">
        <v>12635</v>
      </c>
      <c r="I6185" t="s">
        <v>6223</v>
      </c>
      <c r="J6185" t="s">
        <v>32842</v>
      </c>
      <c r="K6185" t="s">
        <v>42284</v>
      </c>
      <c r="M6185" t="s">
        <v>43722</v>
      </c>
      <c r="N6185" t="s">
        <v>46569</v>
      </c>
      <c r="O6185" t="s">
        <v>46570</v>
      </c>
      <c r="P6185">
        <v>0</v>
      </c>
      <c r="Q6185">
        <v>2</v>
      </c>
      <c r="R6185" t="s">
        <v>46573</v>
      </c>
      <c r="S6185" t="s">
        <v>46705</v>
      </c>
      <c r="T6185" t="s">
        <v>48316</v>
      </c>
      <c r="U6185" t="s">
        <v>53917</v>
      </c>
      <c r="W6185" t="s">
        <v>43722</v>
      </c>
      <c r="X6185" t="s">
        <v>46574</v>
      </c>
    </row>
    <row r="6186" spans="1:24">
      <c r="A6186">
        <f>HYPERLINK("https://www.philgeps.gov.ph/GEPSNONPILOT/Tender/SplashBidNoticeAbstractUI.aspx?menuIndex=3&amp;refID=7060563&amp;Result=3","7060563")</f>
        <v>0</v>
      </c>
      <c r="B6186" t="s">
        <v>1600</v>
      </c>
      <c r="C6186" t="s">
        <v>9412</v>
      </c>
      <c r="D6186" t="s">
        <v>18835</v>
      </c>
      <c r="E6186" t="s">
        <v>24377</v>
      </c>
      <c r="F6186" t="s">
        <v>32664</v>
      </c>
      <c r="G6186" t="s">
        <v>32671</v>
      </c>
      <c r="H6186" t="s">
        <v>12635</v>
      </c>
      <c r="I6186" t="s">
        <v>32696</v>
      </c>
      <c r="J6186" t="s">
        <v>32859</v>
      </c>
      <c r="K6186" t="s">
        <v>42289</v>
      </c>
      <c r="M6186" t="s">
        <v>44277</v>
      </c>
      <c r="N6186" t="s">
        <v>46569</v>
      </c>
      <c r="O6186" t="s">
        <v>46570</v>
      </c>
      <c r="P6186">
        <v>0</v>
      </c>
      <c r="Q6186">
        <v>1</v>
      </c>
      <c r="R6186" t="s">
        <v>46573</v>
      </c>
      <c r="S6186" t="s">
        <v>46705</v>
      </c>
      <c r="T6186" t="s">
        <v>48287</v>
      </c>
      <c r="U6186" t="s">
        <v>53918</v>
      </c>
      <c r="W6186" t="s">
        <v>44277</v>
      </c>
      <c r="X6186" t="s">
        <v>46574</v>
      </c>
    </row>
    <row r="6187" spans="1:24">
      <c r="A6187">
        <f>HYPERLINK("https://www.philgeps.gov.ph/GEPSNONPILOT/Tender/SplashBidNoticeAbstractUI.aspx?menuIndex=3&amp;refID=7060561&amp;Result=3","7060561")</f>
        <v>0</v>
      </c>
      <c r="B6187" t="s">
        <v>2034</v>
      </c>
      <c r="C6187" t="s">
        <v>9413</v>
      </c>
      <c r="D6187" t="s">
        <v>18794</v>
      </c>
      <c r="E6187" t="s">
        <v>24378</v>
      </c>
      <c r="F6187" t="s">
        <v>32664</v>
      </c>
      <c r="G6187" t="s">
        <v>32671</v>
      </c>
      <c r="H6187" t="s">
        <v>32683</v>
      </c>
      <c r="I6187" t="s">
        <v>10627</v>
      </c>
      <c r="J6187" t="s">
        <v>32859</v>
      </c>
      <c r="K6187" t="s">
        <v>42305</v>
      </c>
      <c r="M6187" t="s">
        <v>44778</v>
      </c>
      <c r="N6187" t="s">
        <v>46569</v>
      </c>
      <c r="O6187" t="s">
        <v>46570</v>
      </c>
      <c r="P6187">
        <v>0</v>
      </c>
      <c r="Q6187">
        <v>0</v>
      </c>
      <c r="R6187" t="s">
        <v>46573</v>
      </c>
      <c r="S6187" t="s">
        <v>46705</v>
      </c>
      <c r="T6187" t="s">
        <v>48427</v>
      </c>
      <c r="U6187" t="s">
        <v>53919</v>
      </c>
      <c r="W6187" t="s">
        <v>44778</v>
      </c>
      <c r="X6187" t="s">
        <v>46574</v>
      </c>
    </row>
    <row r="6188" spans="1:24">
      <c r="A6188">
        <f>HYPERLINK("https://www.philgeps.gov.ph/GEPSNONPILOT/Tender/SplashBidNoticeAbstractUI.aspx?menuIndex=3&amp;refID=7060562&amp;Result=3","7060562")</f>
        <v>0</v>
      </c>
      <c r="B6188" t="s">
        <v>2035</v>
      </c>
      <c r="C6188" t="s">
        <v>9414</v>
      </c>
      <c r="D6188" t="s">
        <v>18784</v>
      </c>
      <c r="E6188" t="s">
        <v>24379</v>
      </c>
      <c r="F6188" t="s">
        <v>32664</v>
      </c>
      <c r="G6188" t="s">
        <v>32674</v>
      </c>
      <c r="H6188" t="s">
        <v>12635</v>
      </c>
      <c r="I6188" t="s">
        <v>10370</v>
      </c>
      <c r="J6188" t="s">
        <v>36673</v>
      </c>
      <c r="K6188" t="s">
        <v>42283</v>
      </c>
      <c r="M6188" t="s">
        <v>44779</v>
      </c>
      <c r="N6188" t="s">
        <v>46569</v>
      </c>
      <c r="O6188" t="s">
        <v>46570</v>
      </c>
      <c r="P6188">
        <v>0</v>
      </c>
      <c r="Q6188">
        <v>7</v>
      </c>
      <c r="R6188" t="s">
        <v>46573</v>
      </c>
      <c r="S6188" t="s">
        <v>46705</v>
      </c>
      <c r="T6188" t="s">
        <v>48287</v>
      </c>
      <c r="U6188" t="s">
        <v>53920</v>
      </c>
      <c r="W6188" t="s">
        <v>44779</v>
      </c>
      <c r="X6188" t="s">
        <v>46574</v>
      </c>
    </row>
    <row r="6189" spans="1:24">
      <c r="A6189">
        <f>HYPERLINK("https://www.philgeps.gov.ph/GEPSNONPILOT/Tender/SplashBidNoticeAbstractUI.aspx?menuIndex=3&amp;refID=7060576&amp;Result=3","7060576")</f>
        <v>0</v>
      </c>
      <c r="B6189" t="s">
        <v>1042</v>
      </c>
      <c r="C6189" t="s">
        <v>9415</v>
      </c>
      <c r="D6189" t="s">
        <v>18853</v>
      </c>
      <c r="E6189" t="s">
        <v>24380</v>
      </c>
      <c r="F6189" t="s">
        <v>32664</v>
      </c>
      <c r="G6189" t="s">
        <v>32672</v>
      </c>
      <c r="H6189" t="s">
        <v>32683</v>
      </c>
      <c r="I6189" t="s">
        <v>10627</v>
      </c>
      <c r="J6189" t="s">
        <v>36674</v>
      </c>
      <c r="K6189" t="s">
        <v>42321</v>
      </c>
      <c r="M6189" t="s">
        <v>44771</v>
      </c>
      <c r="N6189" t="s">
        <v>46569</v>
      </c>
      <c r="O6189" t="s">
        <v>46570</v>
      </c>
      <c r="P6189">
        <v>0</v>
      </c>
      <c r="Q6189">
        <v>0</v>
      </c>
      <c r="R6189" t="s">
        <v>46573</v>
      </c>
      <c r="S6189" t="s">
        <v>46705</v>
      </c>
      <c r="T6189" t="s">
        <v>48312</v>
      </c>
      <c r="U6189" t="s">
        <v>53921</v>
      </c>
      <c r="V6189" t="s">
        <v>62247</v>
      </c>
      <c r="W6189" t="s">
        <v>44771</v>
      </c>
      <c r="X6189" t="s">
        <v>46574</v>
      </c>
    </row>
    <row r="6190" spans="1:24">
      <c r="A6190">
        <f>HYPERLINK("https://www.philgeps.gov.ph/GEPSNONPILOT/Tender/SplashBidNoticeAbstractUI.aspx?menuIndex=3&amp;refID=7060538&amp;Result=3","7060538")</f>
        <v>0</v>
      </c>
      <c r="B6190" t="s">
        <v>2022</v>
      </c>
      <c r="C6190" t="s">
        <v>9416</v>
      </c>
      <c r="D6190" t="s">
        <v>18806</v>
      </c>
      <c r="E6190" t="s">
        <v>24381</v>
      </c>
      <c r="F6190" t="s">
        <v>32664</v>
      </c>
      <c r="G6190" t="s">
        <v>32672</v>
      </c>
      <c r="H6190" t="s">
        <v>12635</v>
      </c>
      <c r="I6190" t="s">
        <v>32736</v>
      </c>
      <c r="J6190" t="s">
        <v>36675</v>
      </c>
      <c r="K6190" t="s">
        <v>42311</v>
      </c>
      <c r="M6190" t="s">
        <v>44764</v>
      </c>
      <c r="N6190" t="s">
        <v>46569</v>
      </c>
      <c r="O6190" t="s">
        <v>46570</v>
      </c>
      <c r="P6190">
        <v>0</v>
      </c>
      <c r="Q6190">
        <v>0</v>
      </c>
      <c r="R6190" t="s">
        <v>46573</v>
      </c>
      <c r="S6190" t="s">
        <v>46705</v>
      </c>
      <c r="T6190" t="s">
        <v>48273</v>
      </c>
      <c r="U6190" t="s">
        <v>53922</v>
      </c>
      <c r="W6190" t="s">
        <v>44764</v>
      </c>
      <c r="X6190" t="s">
        <v>46574</v>
      </c>
    </row>
    <row r="6191" spans="1:24">
      <c r="A6191">
        <f>HYPERLINK("https://www.philgeps.gov.ph/GEPSNONPILOT/Tender/SplashBidNoticeAbstractUI.aspx?menuIndex=3&amp;refID=7060574&amp;Result=3","7060574")</f>
        <v>0</v>
      </c>
      <c r="B6191" t="s">
        <v>2036</v>
      </c>
      <c r="C6191" t="s">
        <v>5460</v>
      </c>
      <c r="D6191" t="s">
        <v>18784</v>
      </c>
      <c r="E6191" t="s">
        <v>24382</v>
      </c>
      <c r="F6191" t="s">
        <v>32664</v>
      </c>
      <c r="G6191" t="s">
        <v>32671</v>
      </c>
      <c r="H6191" t="s">
        <v>32682</v>
      </c>
      <c r="I6191" t="s">
        <v>5460</v>
      </c>
      <c r="J6191" t="s">
        <v>33069</v>
      </c>
      <c r="K6191" t="s">
        <v>42334</v>
      </c>
      <c r="M6191" t="s">
        <v>44780</v>
      </c>
      <c r="N6191" t="s">
        <v>46569</v>
      </c>
      <c r="O6191" t="s">
        <v>46570</v>
      </c>
      <c r="P6191">
        <v>0</v>
      </c>
      <c r="Q6191">
        <v>3</v>
      </c>
      <c r="R6191" t="s">
        <v>46573</v>
      </c>
      <c r="S6191" t="s">
        <v>46705</v>
      </c>
      <c r="T6191" t="s">
        <v>48286</v>
      </c>
      <c r="U6191" t="s">
        <v>53923</v>
      </c>
      <c r="W6191" t="s">
        <v>44780</v>
      </c>
      <c r="X6191" t="s">
        <v>46574</v>
      </c>
    </row>
    <row r="6192" spans="1:24">
      <c r="A6192">
        <f>HYPERLINK("https://www.philgeps.gov.ph/GEPSNONPILOT/Tender/SplashBidNoticeAbstractUI.aspx?menuIndex=3&amp;refID=7060537&amp;Result=3","7060537")</f>
        <v>0</v>
      </c>
      <c r="B6192" t="s">
        <v>2020</v>
      </c>
      <c r="C6192" t="s">
        <v>9417</v>
      </c>
      <c r="D6192" t="s">
        <v>18804</v>
      </c>
      <c r="E6192" t="s">
        <v>24383</v>
      </c>
      <c r="F6192" t="s">
        <v>32664</v>
      </c>
      <c r="G6192" t="s">
        <v>32671</v>
      </c>
      <c r="H6192" t="s">
        <v>12635</v>
      </c>
      <c r="I6192" t="s">
        <v>6553</v>
      </c>
      <c r="J6192" t="s">
        <v>34377</v>
      </c>
      <c r="K6192" t="s">
        <v>42297</v>
      </c>
      <c r="M6192" t="s">
        <v>44762</v>
      </c>
      <c r="N6192" t="s">
        <v>46569</v>
      </c>
      <c r="O6192" t="s">
        <v>46570</v>
      </c>
      <c r="P6192">
        <v>0</v>
      </c>
      <c r="Q6192">
        <v>0</v>
      </c>
      <c r="R6192" t="s">
        <v>46573</v>
      </c>
      <c r="S6192" t="s">
        <v>46705</v>
      </c>
      <c r="T6192" t="s">
        <v>48305</v>
      </c>
      <c r="U6192" t="s">
        <v>53868</v>
      </c>
      <c r="W6192" t="s">
        <v>44762</v>
      </c>
      <c r="X6192" t="s">
        <v>46574</v>
      </c>
    </row>
    <row r="6193" spans="1:24">
      <c r="A6193">
        <f>HYPERLINK("https://www.philgeps.gov.ph/GEPSNONPILOT/Tender/SplashBidNoticeAbstractUI.aspx?menuIndex=3&amp;refID=7060532&amp;Result=3","7060532")</f>
        <v>0</v>
      </c>
      <c r="B6193" t="s">
        <v>1600</v>
      </c>
      <c r="C6193" t="s">
        <v>9145</v>
      </c>
      <c r="D6193" t="s">
        <v>18835</v>
      </c>
      <c r="E6193" t="s">
        <v>24384</v>
      </c>
      <c r="F6193" t="s">
        <v>32664</v>
      </c>
      <c r="G6193" t="s">
        <v>32671</v>
      </c>
      <c r="H6193" t="s">
        <v>12635</v>
      </c>
      <c r="I6193" t="s">
        <v>32699</v>
      </c>
      <c r="J6193" t="s">
        <v>36676</v>
      </c>
      <c r="K6193" t="s">
        <v>42289</v>
      </c>
      <c r="M6193" t="s">
        <v>44277</v>
      </c>
      <c r="N6193" t="s">
        <v>46569</v>
      </c>
      <c r="O6193" t="s">
        <v>46570</v>
      </c>
      <c r="P6193">
        <v>0</v>
      </c>
      <c r="Q6193">
        <v>0</v>
      </c>
      <c r="R6193" t="s">
        <v>46573</v>
      </c>
      <c r="S6193" t="s">
        <v>46705</v>
      </c>
      <c r="T6193" t="s">
        <v>48287</v>
      </c>
      <c r="U6193" t="s">
        <v>53924</v>
      </c>
      <c r="W6193" t="s">
        <v>44277</v>
      </c>
      <c r="X6193" t="s">
        <v>46574</v>
      </c>
    </row>
    <row r="6194" spans="1:24">
      <c r="A6194">
        <f>HYPERLINK("https://www.philgeps.gov.ph/GEPSNONPILOT/Tender/SplashBidNoticeAbstractUI.aspx?menuIndex=3&amp;refID=7060531&amp;Result=3","7060531")</f>
        <v>0</v>
      </c>
      <c r="B6194" t="s">
        <v>1684</v>
      </c>
      <c r="C6194" t="s">
        <v>9418</v>
      </c>
      <c r="D6194" t="s">
        <v>18805</v>
      </c>
      <c r="E6194" t="s">
        <v>24385</v>
      </c>
      <c r="F6194" t="s">
        <v>32664</v>
      </c>
      <c r="G6194" t="s">
        <v>32671</v>
      </c>
      <c r="H6194" t="s">
        <v>12635</v>
      </c>
      <c r="I6194" t="s">
        <v>32727</v>
      </c>
      <c r="J6194" t="s">
        <v>34192</v>
      </c>
      <c r="K6194" t="s">
        <v>42284</v>
      </c>
      <c r="M6194" t="s">
        <v>44373</v>
      </c>
      <c r="N6194" t="s">
        <v>46569</v>
      </c>
      <c r="O6194" t="s">
        <v>46570</v>
      </c>
      <c r="P6194">
        <v>0</v>
      </c>
      <c r="Q6194">
        <v>0</v>
      </c>
      <c r="R6194" t="s">
        <v>46573</v>
      </c>
      <c r="S6194" t="s">
        <v>46705</v>
      </c>
      <c r="T6194" t="s">
        <v>48287</v>
      </c>
      <c r="U6194" t="s">
        <v>53925</v>
      </c>
      <c r="W6194" t="s">
        <v>44373</v>
      </c>
      <c r="X6194" t="s">
        <v>46574</v>
      </c>
    </row>
    <row r="6195" spans="1:24">
      <c r="A6195">
        <f>HYPERLINK("https://www.philgeps.gov.ph/GEPSNONPILOT/Tender/SplashBidNoticeAbstractUI.aspx?menuIndex=3&amp;refID=7060560&amp;Result=3","7060560")</f>
        <v>0</v>
      </c>
      <c r="B6195" t="s">
        <v>1792</v>
      </c>
      <c r="C6195" t="s">
        <v>9419</v>
      </c>
      <c r="D6195" t="s">
        <v>18794</v>
      </c>
      <c r="E6195" t="s">
        <v>24386</v>
      </c>
      <c r="F6195" t="s">
        <v>32668</v>
      </c>
      <c r="G6195" t="s">
        <v>32674</v>
      </c>
      <c r="H6195" t="s">
        <v>12635</v>
      </c>
      <c r="I6195" t="s">
        <v>6168</v>
      </c>
      <c r="J6195" t="s">
        <v>36677</v>
      </c>
      <c r="K6195" t="s">
        <v>42289</v>
      </c>
      <c r="M6195" t="s">
        <v>44495</v>
      </c>
      <c r="N6195" t="s">
        <v>46569</v>
      </c>
      <c r="O6195" t="s">
        <v>46570</v>
      </c>
      <c r="P6195">
        <v>0</v>
      </c>
      <c r="Q6195">
        <v>0</v>
      </c>
      <c r="R6195" t="s">
        <v>46573</v>
      </c>
      <c r="S6195" t="s">
        <v>46705</v>
      </c>
      <c r="T6195" t="s">
        <v>48254</v>
      </c>
      <c r="U6195" t="s">
        <v>53888</v>
      </c>
      <c r="W6195" t="s">
        <v>44495</v>
      </c>
      <c r="X6195" t="s">
        <v>46574</v>
      </c>
    </row>
    <row r="6196" spans="1:24">
      <c r="A6196">
        <f>HYPERLINK("https://www.philgeps.gov.ph/GEPSNONPILOT/Tender/SplashBidNoticeAbstractUI.aspx?menuIndex=3&amp;refID=7060558&amp;Result=3","7060558")</f>
        <v>0</v>
      </c>
      <c r="B6196" t="s">
        <v>1214</v>
      </c>
      <c r="C6196" t="s">
        <v>9420</v>
      </c>
      <c r="D6196" t="s">
        <v>18839</v>
      </c>
      <c r="E6196" t="s">
        <v>24387</v>
      </c>
      <c r="F6196" t="s">
        <v>32664</v>
      </c>
      <c r="G6196" t="s">
        <v>32671</v>
      </c>
      <c r="H6196" t="s">
        <v>12635</v>
      </c>
      <c r="I6196" t="s">
        <v>6223</v>
      </c>
      <c r="J6196" t="s">
        <v>36678</v>
      </c>
      <c r="K6196" t="s">
        <v>42297</v>
      </c>
      <c r="M6196" t="s">
        <v>44781</v>
      </c>
      <c r="N6196" t="s">
        <v>46569</v>
      </c>
      <c r="O6196" t="s">
        <v>46570</v>
      </c>
      <c r="P6196">
        <v>0</v>
      </c>
      <c r="Q6196">
        <v>0</v>
      </c>
      <c r="R6196" t="s">
        <v>46573</v>
      </c>
      <c r="S6196" t="s">
        <v>46705</v>
      </c>
      <c r="T6196" t="s">
        <v>48287</v>
      </c>
      <c r="U6196" t="s">
        <v>53926</v>
      </c>
      <c r="W6196" t="s">
        <v>44781</v>
      </c>
      <c r="X6196" t="s">
        <v>46574</v>
      </c>
    </row>
    <row r="6197" spans="1:24">
      <c r="A6197">
        <f>HYPERLINK("https://www.philgeps.gov.ph/GEPSNONPILOT/Tender/SplashBidNoticeAbstractUI.aspx?menuIndex=3&amp;refID=7060534&amp;Result=3","7060534")</f>
        <v>0</v>
      </c>
      <c r="B6197" t="s">
        <v>396</v>
      </c>
      <c r="C6197" t="s">
        <v>9421</v>
      </c>
      <c r="D6197" t="s">
        <v>18790</v>
      </c>
      <c r="E6197" t="s">
        <v>24388</v>
      </c>
      <c r="F6197" t="s">
        <v>32664</v>
      </c>
      <c r="G6197" t="s">
        <v>32672</v>
      </c>
      <c r="H6197" t="s">
        <v>12635</v>
      </c>
      <c r="I6197" t="s">
        <v>4439</v>
      </c>
      <c r="J6197" t="s">
        <v>36679</v>
      </c>
      <c r="K6197" t="s">
        <v>42297</v>
      </c>
      <c r="M6197" t="s">
        <v>42966</v>
      </c>
      <c r="N6197" t="s">
        <v>46569</v>
      </c>
      <c r="O6197" t="s">
        <v>46570</v>
      </c>
      <c r="P6197">
        <v>0</v>
      </c>
      <c r="Q6197">
        <v>0</v>
      </c>
      <c r="R6197" t="s">
        <v>46573</v>
      </c>
      <c r="S6197" t="s">
        <v>46705</v>
      </c>
      <c r="T6197" t="s">
        <v>48283</v>
      </c>
      <c r="U6197" t="s">
        <v>53927</v>
      </c>
      <c r="W6197" t="s">
        <v>42966</v>
      </c>
      <c r="X6197" t="s">
        <v>46574</v>
      </c>
    </row>
    <row r="6198" spans="1:24">
      <c r="A6198">
        <f>HYPERLINK("https://www.philgeps.gov.ph/GEPSNONPILOT/Tender/SplashBidNoticeAbstractUI.aspx?menuIndex=3&amp;refID=7060530&amp;Result=3","7060530")</f>
        <v>0</v>
      </c>
      <c r="B6198" t="s">
        <v>204</v>
      </c>
      <c r="C6198" t="s">
        <v>9422</v>
      </c>
      <c r="D6198" t="s">
        <v>18816</v>
      </c>
      <c r="E6198" t="s">
        <v>24389</v>
      </c>
      <c r="F6198" t="s">
        <v>32664</v>
      </c>
      <c r="G6198" t="s">
        <v>32674</v>
      </c>
      <c r="H6198" t="s">
        <v>12635</v>
      </c>
      <c r="I6198" t="s">
        <v>4205</v>
      </c>
      <c r="J6198" t="s">
        <v>36680</v>
      </c>
      <c r="K6198" t="s">
        <v>42284</v>
      </c>
      <c r="M6198" t="s">
        <v>42768</v>
      </c>
      <c r="N6198" t="s">
        <v>46569</v>
      </c>
      <c r="O6198" t="s">
        <v>46570</v>
      </c>
      <c r="P6198">
        <v>0</v>
      </c>
      <c r="Q6198">
        <v>0</v>
      </c>
      <c r="R6198" t="s">
        <v>46573</v>
      </c>
      <c r="S6198" t="s">
        <v>46705</v>
      </c>
      <c r="T6198" t="s">
        <v>48473</v>
      </c>
      <c r="U6198" t="s">
        <v>53928</v>
      </c>
      <c r="W6198" t="s">
        <v>42768</v>
      </c>
      <c r="X6198" t="s">
        <v>46574</v>
      </c>
    </row>
    <row r="6199" spans="1:24">
      <c r="A6199">
        <f>HYPERLINK("https://www.philgeps.gov.ph/GEPSNONPILOT/Tender/SplashBidNoticeAbstractUI.aspx?menuIndex=3&amp;refID=7060609&amp;Result=3","7060609")</f>
        <v>0</v>
      </c>
      <c r="B6199" t="s">
        <v>1102</v>
      </c>
      <c r="C6199" t="s">
        <v>9423</v>
      </c>
      <c r="D6199" t="s">
        <v>18784</v>
      </c>
      <c r="E6199" t="s">
        <v>24390</v>
      </c>
      <c r="F6199" t="s">
        <v>32664</v>
      </c>
      <c r="G6199" t="s">
        <v>32672</v>
      </c>
      <c r="H6199" t="s">
        <v>12635</v>
      </c>
      <c r="I6199" t="s">
        <v>8797</v>
      </c>
      <c r="J6199" t="s">
        <v>33371</v>
      </c>
      <c r="K6199" t="s">
        <v>42283</v>
      </c>
      <c r="M6199" t="s">
        <v>44775</v>
      </c>
      <c r="N6199" t="s">
        <v>46569</v>
      </c>
      <c r="O6199" t="s">
        <v>46570</v>
      </c>
      <c r="P6199">
        <v>0</v>
      </c>
      <c r="Q6199">
        <v>3</v>
      </c>
      <c r="R6199" t="s">
        <v>46573</v>
      </c>
      <c r="S6199" t="s">
        <v>46705</v>
      </c>
      <c r="T6199" t="s">
        <v>48302</v>
      </c>
      <c r="U6199" t="s">
        <v>53929</v>
      </c>
      <c r="W6199" t="s">
        <v>44775</v>
      </c>
      <c r="X6199" t="s">
        <v>46574</v>
      </c>
    </row>
    <row r="6200" spans="1:24">
      <c r="A6200">
        <f>HYPERLINK("https://www.philgeps.gov.ph/GEPSNONPILOT/Tender/SplashBidNoticeAbstractUI.aspx?menuIndex=3&amp;refID=7060606&amp;Result=3","7060606")</f>
        <v>0</v>
      </c>
      <c r="B6200" t="s">
        <v>1600</v>
      </c>
      <c r="C6200" t="s">
        <v>9424</v>
      </c>
      <c r="D6200" t="s">
        <v>18835</v>
      </c>
      <c r="E6200" t="s">
        <v>24391</v>
      </c>
      <c r="F6200" t="s">
        <v>32664</v>
      </c>
      <c r="G6200" t="s">
        <v>32671</v>
      </c>
      <c r="H6200" t="s">
        <v>12635</v>
      </c>
      <c r="I6200" t="s">
        <v>4439</v>
      </c>
      <c r="J6200" t="s">
        <v>35206</v>
      </c>
      <c r="K6200" t="s">
        <v>42289</v>
      </c>
      <c r="M6200" t="s">
        <v>44277</v>
      </c>
      <c r="N6200" t="s">
        <v>46569</v>
      </c>
      <c r="O6200" t="s">
        <v>46570</v>
      </c>
      <c r="P6200">
        <v>0</v>
      </c>
      <c r="Q6200">
        <v>0</v>
      </c>
      <c r="R6200" t="s">
        <v>46573</v>
      </c>
      <c r="S6200" t="s">
        <v>46705</v>
      </c>
      <c r="T6200" t="s">
        <v>48287</v>
      </c>
      <c r="U6200" t="s">
        <v>53930</v>
      </c>
      <c r="W6200" t="s">
        <v>44277</v>
      </c>
      <c r="X6200" t="s">
        <v>46574</v>
      </c>
    </row>
    <row r="6201" spans="1:24">
      <c r="A6201">
        <f>HYPERLINK("https://www.philgeps.gov.ph/GEPSNONPILOT/Tender/SplashBidNoticeAbstractUI.aspx?menuIndex=3&amp;refID=7060584&amp;Result=3","7060584")</f>
        <v>0</v>
      </c>
      <c r="B6201" t="s">
        <v>910</v>
      </c>
      <c r="C6201" t="s">
        <v>9425</v>
      </c>
      <c r="E6201" t="s">
        <v>24392</v>
      </c>
      <c r="F6201" t="s">
        <v>32664</v>
      </c>
      <c r="G6201" t="s">
        <v>32671</v>
      </c>
      <c r="H6201" t="s">
        <v>12635</v>
      </c>
      <c r="I6201" t="s">
        <v>10590</v>
      </c>
      <c r="J6201" t="s">
        <v>36681</v>
      </c>
      <c r="K6201" t="s">
        <v>42283</v>
      </c>
      <c r="M6201" t="s">
        <v>43516</v>
      </c>
      <c r="N6201" t="s">
        <v>46569</v>
      </c>
      <c r="O6201" t="s">
        <v>46570</v>
      </c>
      <c r="P6201">
        <v>0</v>
      </c>
      <c r="Q6201">
        <v>0</v>
      </c>
      <c r="R6201" t="s">
        <v>46573</v>
      </c>
      <c r="S6201" t="s">
        <v>46705</v>
      </c>
      <c r="T6201" t="s">
        <v>48316</v>
      </c>
      <c r="U6201" t="s">
        <v>53931</v>
      </c>
      <c r="W6201" t="s">
        <v>43516</v>
      </c>
      <c r="X6201" t="s">
        <v>46574</v>
      </c>
    </row>
    <row r="6202" spans="1:24">
      <c r="A6202">
        <f>HYPERLINK("https://www.philgeps.gov.ph/GEPSNONPILOT/Tender/SplashBidNoticeAbstractUI.aspx?menuIndex=3&amp;refID=7060568&amp;Result=3","7060568")</f>
        <v>0</v>
      </c>
      <c r="B6202" t="s">
        <v>1922</v>
      </c>
      <c r="C6202" t="s">
        <v>9426</v>
      </c>
      <c r="D6202" t="s">
        <v>18827</v>
      </c>
      <c r="E6202" t="s">
        <v>24393</v>
      </c>
      <c r="F6202" t="s">
        <v>32664</v>
      </c>
      <c r="G6202" t="s">
        <v>32672</v>
      </c>
      <c r="H6202" t="s">
        <v>32683</v>
      </c>
      <c r="I6202" t="s">
        <v>10627</v>
      </c>
      <c r="J6202" t="s">
        <v>33886</v>
      </c>
      <c r="K6202" t="s">
        <v>42285</v>
      </c>
      <c r="M6202" t="s">
        <v>44782</v>
      </c>
      <c r="N6202" t="s">
        <v>46569</v>
      </c>
      <c r="O6202" t="s">
        <v>46570</v>
      </c>
      <c r="P6202">
        <v>0</v>
      </c>
      <c r="Q6202">
        <v>1</v>
      </c>
      <c r="R6202" t="s">
        <v>46573</v>
      </c>
      <c r="S6202" t="s">
        <v>46705</v>
      </c>
      <c r="T6202" t="s">
        <v>48362</v>
      </c>
      <c r="U6202" t="s">
        <v>53932</v>
      </c>
      <c r="W6202" t="s">
        <v>44782</v>
      </c>
      <c r="X6202" t="s">
        <v>46574</v>
      </c>
    </row>
    <row r="6203" spans="1:24">
      <c r="A6203">
        <f>HYPERLINK("https://www.philgeps.gov.ph/GEPSNONPILOT/Tender/SplashBidNoticeAbstractUI.aspx?menuIndex=3&amp;refID=7060511&amp;Result=3","7060511")</f>
        <v>0</v>
      </c>
      <c r="B6203" t="s">
        <v>1170</v>
      </c>
      <c r="C6203" t="s">
        <v>9427</v>
      </c>
      <c r="D6203" t="s">
        <v>18830</v>
      </c>
      <c r="E6203" t="s">
        <v>20983</v>
      </c>
      <c r="F6203" t="s">
        <v>32664</v>
      </c>
      <c r="G6203" t="s">
        <v>32671</v>
      </c>
      <c r="H6203" t="s">
        <v>12635</v>
      </c>
      <c r="I6203" t="s">
        <v>10590</v>
      </c>
      <c r="J6203" t="s">
        <v>36682</v>
      </c>
      <c r="K6203" t="s">
        <v>42281</v>
      </c>
      <c r="M6203" t="s">
        <v>43804</v>
      </c>
      <c r="N6203" t="s">
        <v>46569</v>
      </c>
      <c r="O6203" t="s">
        <v>46570</v>
      </c>
      <c r="P6203">
        <v>0</v>
      </c>
      <c r="Q6203">
        <v>0</v>
      </c>
      <c r="R6203" t="s">
        <v>46573</v>
      </c>
      <c r="S6203" t="s">
        <v>46705</v>
      </c>
      <c r="T6203" t="s">
        <v>48244</v>
      </c>
      <c r="U6203" t="s">
        <v>53933</v>
      </c>
      <c r="W6203" t="s">
        <v>43804</v>
      </c>
      <c r="X6203" t="s">
        <v>46574</v>
      </c>
    </row>
    <row r="6204" spans="1:24">
      <c r="A6204">
        <f>HYPERLINK("https://www.philgeps.gov.ph/GEPSNONPILOT/Tender/SplashBidNoticeAbstractUI.aspx?menuIndex=3&amp;refID=7060603&amp;Result=3","7060603")</f>
        <v>0</v>
      </c>
      <c r="B6204" t="s">
        <v>2037</v>
      </c>
      <c r="C6204" t="s">
        <v>9428</v>
      </c>
      <c r="D6204" t="s">
        <v>18827</v>
      </c>
      <c r="E6204" t="s">
        <v>20150</v>
      </c>
      <c r="F6204" t="s">
        <v>32668</v>
      </c>
      <c r="G6204" t="s">
        <v>32672</v>
      </c>
      <c r="H6204" t="s">
        <v>12635</v>
      </c>
      <c r="I6204" t="s">
        <v>10374</v>
      </c>
      <c r="J6204" t="s">
        <v>32898</v>
      </c>
      <c r="K6204" t="s">
        <v>42295</v>
      </c>
      <c r="M6204" t="s">
        <v>44783</v>
      </c>
      <c r="N6204" t="s">
        <v>46569</v>
      </c>
      <c r="O6204" t="s">
        <v>46570</v>
      </c>
      <c r="P6204">
        <v>0</v>
      </c>
      <c r="Q6204">
        <v>1</v>
      </c>
      <c r="R6204" t="s">
        <v>46573</v>
      </c>
      <c r="S6204" t="s">
        <v>46705</v>
      </c>
      <c r="T6204" t="s">
        <v>48389</v>
      </c>
      <c r="U6204" t="s">
        <v>53934</v>
      </c>
      <c r="W6204" t="s">
        <v>63546</v>
      </c>
      <c r="X6204" t="s">
        <v>46574</v>
      </c>
    </row>
    <row r="6205" spans="1:24">
      <c r="A6205">
        <f>HYPERLINK("https://www.philgeps.gov.ph/GEPSNONPILOT/Tender/SplashBidNoticeAbstractUI.aspx?menuIndex=3&amp;refID=7060601&amp;Result=3","7060601")</f>
        <v>0</v>
      </c>
      <c r="B6205" t="s">
        <v>1150</v>
      </c>
      <c r="C6205" t="s">
        <v>5443</v>
      </c>
      <c r="D6205" t="s">
        <v>18845</v>
      </c>
      <c r="E6205" t="s">
        <v>24394</v>
      </c>
      <c r="F6205" t="s">
        <v>32664</v>
      </c>
      <c r="G6205" t="s">
        <v>32671</v>
      </c>
      <c r="H6205" t="s">
        <v>12635</v>
      </c>
      <c r="I6205" t="s">
        <v>8797</v>
      </c>
      <c r="J6205" t="s">
        <v>33126</v>
      </c>
      <c r="K6205" t="s">
        <v>42297</v>
      </c>
      <c r="M6205" t="s">
        <v>44784</v>
      </c>
      <c r="N6205" t="s">
        <v>46569</v>
      </c>
      <c r="O6205" t="s">
        <v>46570</v>
      </c>
      <c r="P6205">
        <v>0</v>
      </c>
      <c r="Q6205">
        <v>0</v>
      </c>
      <c r="R6205" t="s">
        <v>46573</v>
      </c>
      <c r="S6205" t="s">
        <v>46705</v>
      </c>
      <c r="T6205" t="s">
        <v>48290</v>
      </c>
      <c r="U6205" t="s">
        <v>53935</v>
      </c>
      <c r="W6205" t="s">
        <v>44784</v>
      </c>
      <c r="X6205" t="s">
        <v>46574</v>
      </c>
    </row>
    <row r="6206" spans="1:24">
      <c r="A6206">
        <f>HYPERLINK("https://www.philgeps.gov.ph/GEPSNONPILOT/Tender/SplashBidNoticeAbstractUI.aspx?menuIndex=3&amp;refID=7060600&amp;Result=3","7060600")</f>
        <v>0</v>
      </c>
      <c r="B6206" t="s">
        <v>2038</v>
      </c>
      <c r="C6206" t="s">
        <v>9429</v>
      </c>
      <c r="D6206" t="s">
        <v>18827</v>
      </c>
      <c r="E6206" t="s">
        <v>24375</v>
      </c>
      <c r="F6206" t="s">
        <v>32664</v>
      </c>
      <c r="G6206" t="s">
        <v>32672</v>
      </c>
      <c r="H6206" t="s">
        <v>32683</v>
      </c>
      <c r="I6206" t="s">
        <v>10627</v>
      </c>
      <c r="J6206" t="s">
        <v>36683</v>
      </c>
      <c r="K6206" t="s">
        <v>42289</v>
      </c>
      <c r="M6206" t="s">
        <v>44785</v>
      </c>
      <c r="N6206" t="s">
        <v>46569</v>
      </c>
      <c r="O6206" t="s">
        <v>46570</v>
      </c>
      <c r="P6206">
        <v>0</v>
      </c>
      <c r="Q6206">
        <v>1</v>
      </c>
      <c r="R6206" t="s">
        <v>46573</v>
      </c>
      <c r="S6206" t="s">
        <v>46705</v>
      </c>
      <c r="T6206" t="s">
        <v>48568</v>
      </c>
      <c r="U6206" t="s">
        <v>49456</v>
      </c>
      <c r="W6206" t="s">
        <v>44785</v>
      </c>
      <c r="X6206" t="s">
        <v>46574</v>
      </c>
    </row>
    <row r="6207" spans="1:24">
      <c r="A6207">
        <f>HYPERLINK("https://www.philgeps.gov.ph/GEPSNONPILOT/Tender/SplashBidNoticeAbstractUI.aspx?menuIndex=3&amp;refID=7060595&amp;Result=3","7060595")</f>
        <v>0</v>
      </c>
      <c r="B6207" t="s">
        <v>1055</v>
      </c>
      <c r="C6207" t="s">
        <v>9430</v>
      </c>
      <c r="D6207" t="s">
        <v>18784</v>
      </c>
      <c r="E6207" t="s">
        <v>24395</v>
      </c>
      <c r="F6207" t="s">
        <v>32664</v>
      </c>
      <c r="G6207" t="s">
        <v>32672</v>
      </c>
      <c r="H6207" t="s">
        <v>12635</v>
      </c>
      <c r="I6207" t="s">
        <v>32694</v>
      </c>
      <c r="J6207" t="s">
        <v>36684</v>
      </c>
      <c r="K6207" t="s">
        <v>42289</v>
      </c>
      <c r="M6207" t="s">
        <v>44732</v>
      </c>
      <c r="N6207" t="s">
        <v>46569</v>
      </c>
      <c r="O6207" t="s">
        <v>46570</v>
      </c>
      <c r="P6207">
        <v>0</v>
      </c>
      <c r="Q6207">
        <v>5</v>
      </c>
      <c r="R6207" t="s">
        <v>46573</v>
      </c>
      <c r="S6207" t="s">
        <v>46705</v>
      </c>
      <c r="T6207" t="s">
        <v>48404</v>
      </c>
      <c r="U6207" t="s">
        <v>53936</v>
      </c>
      <c r="W6207" t="s">
        <v>44732</v>
      </c>
      <c r="X6207" t="s">
        <v>46574</v>
      </c>
    </row>
    <row r="6208" spans="1:24">
      <c r="A6208">
        <f>HYPERLINK("https://www.philgeps.gov.ph/GEPSNONPILOT/Tender/SplashBidNoticeAbstractUI.aspx?menuIndex=3&amp;refID=7060605&amp;Result=3","7060605")</f>
        <v>0</v>
      </c>
      <c r="B6208" t="s">
        <v>304</v>
      </c>
      <c r="C6208" t="s">
        <v>9431</v>
      </c>
      <c r="D6208" t="s">
        <v>18792</v>
      </c>
      <c r="E6208" t="s">
        <v>19460</v>
      </c>
      <c r="F6208" t="s">
        <v>32664</v>
      </c>
      <c r="G6208" t="s">
        <v>32671</v>
      </c>
      <c r="H6208" t="s">
        <v>12635</v>
      </c>
      <c r="I6208" t="s">
        <v>10361</v>
      </c>
      <c r="J6208" t="s">
        <v>33215</v>
      </c>
      <c r="K6208" t="s">
        <v>42295</v>
      </c>
      <c r="M6208" t="s">
        <v>42871</v>
      </c>
      <c r="N6208" t="s">
        <v>46569</v>
      </c>
      <c r="O6208" t="s">
        <v>46570</v>
      </c>
      <c r="P6208">
        <v>0</v>
      </c>
      <c r="Q6208">
        <v>0</v>
      </c>
      <c r="R6208" t="s">
        <v>46573</v>
      </c>
      <c r="S6208" t="s">
        <v>46705</v>
      </c>
      <c r="T6208" t="s">
        <v>48287</v>
      </c>
      <c r="U6208" t="s">
        <v>53937</v>
      </c>
      <c r="W6208" t="s">
        <v>42871</v>
      </c>
      <c r="X6208" t="s">
        <v>46574</v>
      </c>
    </row>
    <row r="6209" spans="1:24">
      <c r="A6209">
        <f>HYPERLINK("https://www.philgeps.gov.ph/GEPSNONPILOT/Tender/SplashBidNoticeAbstractUI.aspx?menuIndex=3&amp;refID=7060596&amp;Result=3","7060596")</f>
        <v>0</v>
      </c>
      <c r="B6209" t="s">
        <v>1382</v>
      </c>
      <c r="C6209" t="s">
        <v>9432</v>
      </c>
      <c r="E6209" t="s">
        <v>24396</v>
      </c>
      <c r="F6209" t="s">
        <v>32664</v>
      </c>
      <c r="G6209" t="s">
        <v>32675</v>
      </c>
      <c r="H6209" t="s">
        <v>12635</v>
      </c>
      <c r="I6209" t="s">
        <v>32685</v>
      </c>
      <c r="J6209" t="s">
        <v>36685</v>
      </c>
      <c r="K6209" t="s">
        <v>42283</v>
      </c>
      <c r="M6209" t="s">
        <v>44037</v>
      </c>
      <c r="N6209" t="s">
        <v>46569</v>
      </c>
      <c r="O6209" t="s">
        <v>46570</v>
      </c>
      <c r="P6209">
        <v>0</v>
      </c>
      <c r="Q6209">
        <v>1</v>
      </c>
      <c r="R6209" t="s">
        <v>46573</v>
      </c>
      <c r="S6209" t="s">
        <v>46705</v>
      </c>
      <c r="T6209" t="s">
        <v>48221</v>
      </c>
      <c r="U6209" t="s">
        <v>53938</v>
      </c>
      <c r="W6209" t="s">
        <v>44037</v>
      </c>
      <c r="X6209" t="s">
        <v>46574</v>
      </c>
    </row>
    <row r="6210" spans="1:24">
      <c r="A6210">
        <f>HYPERLINK("https://www.philgeps.gov.ph/GEPSNONPILOT/Tender/SplashBidNoticeAbstractUI.aspx?menuIndex=3&amp;refID=7060593&amp;Result=3","7060593")</f>
        <v>0</v>
      </c>
      <c r="B6210" t="s">
        <v>600</v>
      </c>
      <c r="C6210" t="s">
        <v>8302</v>
      </c>
      <c r="D6210" t="s">
        <v>18802</v>
      </c>
      <c r="E6210" t="s">
        <v>23751</v>
      </c>
      <c r="F6210" t="s">
        <v>32664</v>
      </c>
      <c r="G6210" t="s">
        <v>32671</v>
      </c>
      <c r="H6210" t="s">
        <v>12635</v>
      </c>
      <c r="I6210" t="s">
        <v>11464</v>
      </c>
      <c r="J6210" t="s">
        <v>35261</v>
      </c>
      <c r="K6210" t="s">
        <v>42284</v>
      </c>
      <c r="M6210" t="s">
        <v>43180</v>
      </c>
      <c r="N6210" t="s">
        <v>46569</v>
      </c>
      <c r="O6210" t="s">
        <v>46570</v>
      </c>
      <c r="P6210">
        <v>0</v>
      </c>
      <c r="Q6210">
        <v>1</v>
      </c>
      <c r="R6210" t="s">
        <v>46573</v>
      </c>
      <c r="S6210" t="s">
        <v>46705</v>
      </c>
      <c r="T6210" t="s">
        <v>48287</v>
      </c>
      <c r="U6210" t="s">
        <v>53939</v>
      </c>
      <c r="W6210" t="s">
        <v>43180</v>
      </c>
      <c r="X6210" t="s">
        <v>46574</v>
      </c>
    </row>
    <row r="6211" spans="1:24">
      <c r="A6211">
        <f>HYPERLINK("https://www.philgeps.gov.ph/GEPSNONPILOT/Tender/SplashBidNoticeAbstractUI.aspx?menuIndex=3&amp;refID=7060592&amp;Result=3","7060592")</f>
        <v>0</v>
      </c>
      <c r="B6211" t="s">
        <v>888</v>
      </c>
      <c r="C6211" t="s">
        <v>9433</v>
      </c>
      <c r="D6211" t="s">
        <v>18785</v>
      </c>
      <c r="E6211" t="s">
        <v>24397</v>
      </c>
      <c r="F6211" t="s">
        <v>32664</v>
      </c>
      <c r="G6211" t="s">
        <v>32671</v>
      </c>
      <c r="H6211" t="s">
        <v>12635</v>
      </c>
      <c r="I6211" t="s">
        <v>10361</v>
      </c>
      <c r="J6211" t="s">
        <v>36686</v>
      </c>
      <c r="K6211" t="s">
        <v>42284</v>
      </c>
      <c r="M6211" t="s">
        <v>43491</v>
      </c>
      <c r="N6211" t="s">
        <v>46569</v>
      </c>
      <c r="O6211" t="s">
        <v>46570</v>
      </c>
      <c r="P6211">
        <v>0</v>
      </c>
      <c r="Q6211">
        <v>1</v>
      </c>
      <c r="R6211" t="s">
        <v>46573</v>
      </c>
      <c r="S6211" t="s">
        <v>46705</v>
      </c>
      <c r="T6211" t="s">
        <v>48534</v>
      </c>
      <c r="U6211" t="s">
        <v>53940</v>
      </c>
      <c r="V6211" t="s">
        <v>61839</v>
      </c>
      <c r="W6211" t="s">
        <v>43491</v>
      </c>
      <c r="X6211" t="s">
        <v>46574</v>
      </c>
    </row>
    <row r="6212" spans="1:24">
      <c r="A6212">
        <f>HYPERLINK("https://www.philgeps.gov.ph/GEPSNONPILOT/Tender/SplashBidNoticeAbstractUI.aspx?menuIndex=3&amp;refID=7060599&amp;Result=3","7060599")</f>
        <v>0</v>
      </c>
      <c r="B6212" t="s">
        <v>458</v>
      </c>
      <c r="C6212" t="s">
        <v>3713</v>
      </c>
      <c r="D6212" t="s">
        <v>18833</v>
      </c>
      <c r="E6212" t="s">
        <v>24398</v>
      </c>
      <c r="F6212" t="s">
        <v>32664</v>
      </c>
      <c r="G6212" t="s">
        <v>32671</v>
      </c>
      <c r="H6212" t="s">
        <v>12635</v>
      </c>
      <c r="I6212" t="s">
        <v>6118</v>
      </c>
      <c r="J6212" t="s">
        <v>36687</v>
      </c>
      <c r="K6212" t="s">
        <v>42283</v>
      </c>
      <c r="M6212" t="s">
        <v>43031</v>
      </c>
      <c r="N6212" t="s">
        <v>46569</v>
      </c>
      <c r="O6212" t="s">
        <v>46570</v>
      </c>
      <c r="P6212">
        <v>0</v>
      </c>
      <c r="Q6212">
        <v>0</v>
      </c>
      <c r="R6212" t="s">
        <v>46573</v>
      </c>
      <c r="S6212" t="s">
        <v>46705</v>
      </c>
      <c r="T6212" t="s">
        <v>48410</v>
      </c>
      <c r="U6212" t="s">
        <v>53941</v>
      </c>
      <c r="W6212" t="s">
        <v>43031</v>
      </c>
      <c r="X6212" t="s">
        <v>46574</v>
      </c>
    </row>
    <row r="6213" spans="1:24">
      <c r="A6213">
        <f>HYPERLINK("https://www.philgeps.gov.ph/GEPSNONPILOT/Tender/SplashBidNoticeAbstractUI.aspx?menuIndex=3&amp;refID=7060591&amp;Result=3","7060591")</f>
        <v>0</v>
      </c>
      <c r="B6213" t="s">
        <v>1102</v>
      </c>
      <c r="C6213" t="s">
        <v>9434</v>
      </c>
      <c r="D6213" t="s">
        <v>18784</v>
      </c>
      <c r="E6213" t="s">
        <v>24399</v>
      </c>
      <c r="F6213" t="s">
        <v>32664</v>
      </c>
      <c r="G6213" t="s">
        <v>32672</v>
      </c>
      <c r="H6213" t="s">
        <v>12635</v>
      </c>
      <c r="I6213" t="s">
        <v>32708</v>
      </c>
      <c r="J6213" t="s">
        <v>36688</v>
      </c>
      <c r="K6213" t="s">
        <v>42283</v>
      </c>
      <c r="M6213" t="s">
        <v>44775</v>
      </c>
      <c r="N6213" t="s">
        <v>46569</v>
      </c>
      <c r="O6213" t="s">
        <v>46570</v>
      </c>
      <c r="P6213">
        <v>0</v>
      </c>
      <c r="Q6213">
        <v>3</v>
      </c>
      <c r="R6213" t="s">
        <v>46573</v>
      </c>
      <c r="S6213" t="s">
        <v>46705</v>
      </c>
      <c r="T6213" t="s">
        <v>48302</v>
      </c>
      <c r="U6213" t="s">
        <v>53942</v>
      </c>
      <c r="W6213" t="s">
        <v>44775</v>
      </c>
      <c r="X6213" t="s">
        <v>46574</v>
      </c>
    </row>
    <row r="6214" spans="1:24">
      <c r="A6214">
        <f>HYPERLINK("https://www.philgeps.gov.ph/GEPSNONPILOT/Tender/SplashBidNoticeAbstractUI.aspx?menuIndex=3&amp;refID=7060590&amp;Result=3","7060590")</f>
        <v>0</v>
      </c>
      <c r="B6214" t="s">
        <v>1792</v>
      </c>
      <c r="C6214" t="s">
        <v>9435</v>
      </c>
      <c r="D6214" t="s">
        <v>18794</v>
      </c>
      <c r="E6214" t="s">
        <v>24400</v>
      </c>
      <c r="F6214" t="s">
        <v>32664</v>
      </c>
      <c r="G6214" t="s">
        <v>32674</v>
      </c>
      <c r="H6214" t="s">
        <v>12635</v>
      </c>
      <c r="I6214" t="s">
        <v>7429</v>
      </c>
      <c r="J6214" t="s">
        <v>36689</v>
      </c>
      <c r="K6214" t="s">
        <v>42289</v>
      </c>
      <c r="M6214" t="s">
        <v>44495</v>
      </c>
      <c r="N6214" t="s">
        <v>46569</v>
      </c>
      <c r="O6214" t="s">
        <v>46570</v>
      </c>
      <c r="P6214">
        <v>0</v>
      </c>
      <c r="Q6214">
        <v>1</v>
      </c>
      <c r="R6214" t="s">
        <v>46573</v>
      </c>
      <c r="S6214" t="s">
        <v>46705</v>
      </c>
      <c r="T6214" t="s">
        <v>48254</v>
      </c>
      <c r="U6214" t="s">
        <v>53888</v>
      </c>
      <c r="W6214" t="s">
        <v>44495</v>
      </c>
      <c r="X6214" t="s">
        <v>46574</v>
      </c>
    </row>
    <row r="6215" spans="1:24">
      <c r="A6215">
        <f>HYPERLINK("https://www.philgeps.gov.ph/GEPSNONPILOT/Tender/SplashBidNoticeAbstractUI.aspx?menuIndex=3&amp;refID=7060589&amp;Result=3","7060589")</f>
        <v>0</v>
      </c>
      <c r="B6215" t="s">
        <v>2029</v>
      </c>
      <c r="C6215" t="s">
        <v>9436</v>
      </c>
      <c r="D6215" t="s">
        <v>18784</v>
      </c>
      <c r="E6215" t="s">
        <v>24401</v>
      </c>
      <c r="F6215" t="s">
        <v>32664</v>
      </c>
      <c r="G6215" t="s">
        <v>32671</v>
      </c>
      <c r="H6215" t="s">
        <v>12635</v>
      </c>
      <c r="I6215" t="s">
        <v>8958</v>
      </c>
      <c r="J6215" t="s">
        <v>36690</v>
      </c>
      <c r="K6215" t="s">
        <v>42330</v>
      </c>
      <c r="M6215" t="s">
        <v>44772</v>
      </c>
      <c r="N6215" t="s">
        <v>46569</v>
      </c>
      <c r="O6215" t="s">
        <v>46570</v>
      </c>
      <c r="P6215">
        <v>0</v>
      </c>
      <c r="Q6215">
        <v>1</v>
      </c>
      <c r="R6215" t="s">
        <v>46573</v>
      </c>
      <c r="S6215" t="s">
        <v>46705</v>
      </c>
      <c r="T6215" t="s">
        <v>48228</v>
      </c>
      <c r="U6215" t="s">
        <v>53943</v>
      </c>
      <c r="V6215" t="s">
        <v>62248</v>
      </c>
      <c r="W6215" t="s">
        <v>44772</v>
      </c>
      <c r="X6215" t="s">
        <v>46574</v>
      </c>
    </row>
    <row r="6216" spans="1:24">
      <c r="A6216">
        <f>HYPERLINK("https://www.philgeps.gov.ph/GEPSNONPILOT/Tender/SplashBidNoticeAbstractUI.aspx?menuIndex=3&amp;refID=7060587&amp;Result=3","7060587")</f>
        <v>0</v>
      </c>
      <c r="B6216" t="s">
        <v>1122</v>
      </c>
      <c r="C6216" t="s">
        <v>7473</v>
      </c>
      <c r="D6216" t="s">
        <v>18858</v>
      </c>
      <c r="E6216" t="s">
        <v>24402</v>
      </c>
      <c r="F6216" t="s">
        <v>32664</v>
      </c>
      <c r="G6216" t="s">
        <v>32675</v>
      </c>
      <c r="H6216" t="s">
        <v>12635</v>
      </c>
      <c r="I6216" t="s">
        <v>6168</v>
      </c>
      <c r="J6216" t="s">
        <v>36691</v>
      </c>
      <c r="K6216" t="s">
        <v>42281</v>
      </c>
      <c r="M6216" t="s">
        <v>43751</v>
      </c>
      <c r="N6216" t="s">
        <v>46569</v>
      </c>
      <c r="O6216" t="s">
        <v>46570</v>
      </c>
      <c r="P6216">
        <v>0</v>
      </c>
      <c r="Q6216">
        <v>0</v>
      </c>
      <c r="R6216" t="s">
        <v>46573</v>
      </c>
      <c r="S6216" t="s">
        <v>46705</v>
      </c>
      <c r="T6216" t="s">
        <v>48307</v>
      </c>
      <c r="U6216" t="s">
        <v>53944</v>
      </c>
      <c r="W6216" t="s">
        <v>43751</v>
      </c>
      <c r="X6216" t="s">
        <v>46574</v>
      </c>
    </row>
    <row r="6217" spans="1:24">
      <c r="A6217">
        <f>HYPERLINK("https://www.philgeps.gov.ph/GEPSNONPILOT/Tender/SplashBidNoticeAbstractUI.aspx?menuIndex=3&amp;refID=7060570&amp;Result=3","7060570")</f>
        <v>0</v>
      </c>
      <c r="B6217" t="s">
        <v>154</v>
      </c>
      <c r="C6217" t="s">
        <v>9437</v>
      </c>
      <c r="E6217" t="s">
        <v>24403</v>
      </c>
      <c r="F6217" t="s">
        <v>32664</v>
      </c>
      <c r="G6217" t="s">
        <v>32672</v>
      </c>
      <c r="H6217" t="s">
        <v>32683</v>
      </c>
      <c r="I6217" t="s">
        <v>10627</v>
      </c>
      <c r="J6217" t="s">
        <v>36692</v>
      </c>
      <c r="K6217" t="s">
        <v>42283</v>
      </c>
      <c r="M6217" t="s">
        <v>42718</v>
      </c>
      <c r="N6217" t="s">
        <v>46569</v>
      </c>
      <c r="O6217" t="s">
        <v>46570</v>
      </c>
      <c r="P6217">
        <v>0</v>
      </c>
      <c r="Q6217">
        <v>3</v>
      </c>
      <c r="R6217" t="s">
        <v>46573</v>
      </c>
      <c r="S6217" t="s">
        <v>46705</v>
      </c>
      <c r="T6217" t="s">
        <v>48410</v>
      </c>
      <c r="U6217" t="s">
        <v>53945</v>
      </c>
      <c r="V6217" t="s">
        <v>62253</v>
      </c>
      <c r="W6217" t="s">
        <v>42718</v>
      </c>
      <c r="X6217" t="s">
        <v>46574</v>
      </c>
    </row>
    <row r="6218" spans="1:24">
      <c r="A6218">
        <f>HYPERLINK("https://www.philgeps.gov.ph/GEPSNONPILOT/Tender/SplashBidNoticeAbstractUI.aspx?menuIndex=3&amp;refID=7060586&amp;Result=3","7060586")</f>
        <v>0</v>
      </c>
      <c r="B6218" t="s">
        <v>936</v>
      </c>
      <c r="C6218" t="s">
        <v>9438</v>
      </c>
      <c r="D6218" t="s">
        <v>18806</v>
      </c>
      <c r="E6218" t="s">
        <v>24404</v>
      </c>
      <c r="F6218" t="s">
        <v>32664</v>
      </c>
      <c r="G6218" t="s">
        <v>32671</v>
      </c>
      <c r="H6218" t="s">
        <v>12635</v>
      </c>
      <c r="I6218" t="s">
        <v>8958</v>
      </c>
      <c r="J6218" t="s">
        <v>33478</v>
      </c>
      <c r="K6218" t="s">
        <v>42289</v>
      </c>
      <c r="L6218" t="s">
        <v>936</v>
      </c>
      <c r="M6218" t="s">
        <v>43542</v>
      </c>
      <c r="N6218" t="s">
        <v>46569</v>
      </c>
      <c r="O6218" t="s">
        <v>46570</v>
      </c>
      <c r="P6218">
        <v>0</v>
      </c>
      <c r="Q6218">
        <v>5</v>
      </c>
      <c r="R6218" t="s">
        <v>46573</v>
      </c>
      <c r="S6218" t="s">
        <v>46705</v>
      </c>
      <c r="T6218" t="s">
        <v>48427</v>
      </c>
      <c r="U6218" t="s">
        <v>53946</v>
      </c>
      <c r="W6218" t="s">
        <v>43542</v>
      </c>
      <c r="X6218" t="s">
        <v>46574</v>
      </c>
    </row>
    <row r="6219" spans="1:24">
      <c r="A6219">
        <f>HYPERLINK("https://www.philgeps.gov.ph/GEPSNONPILOT/Tender/SplashBidNoticeAbstractUI.aspx?menuIndex=3&amp;refID=7060510&amp;Result=3","7060510")</f>
        <v>0</v>
      </c>
      <c r="B6219" t="s">
        <v>1371</v>
      </c>
      <c r="C6219" t="s">
        <v>9439</v>
      </c>
      <c r="D6219" t="s">
        <v>18796</v>
      </c>
      <c r="E6219" t="s">
        <v>24405</v>
      </c>
      <c r="F6219" t="s">
        <v>32664</v>
      </c>
      <c r="G6219" t="s">
        <v>32672</v>
      </c>
      <c r="H6219" t="s">
        <v>12635</v>
      </c>
      <c r="I6219" t="s">
        <v>32702</v>
      </c>
      <c r="J6219" t="s">
        <v>36693</v>
      </c>
      <c r="K6219" t="s">
        <v>42281</v>
      </c>
      <c r="M6219" t="s">
        <v>44026</v>
      </c>
      <c r="N6219" t="s">
        <v>46569</v>
      </c>
      <c r="O6219" t="s">
        <v>46570</v>
      </c>
      <c r="P6219">
        <v>0</v>
      </c>
      <c r="Q6219">
        <v>0</v>
      </c>
      <c r="R6219" t="s">
        <v>46573</v>
      </c>
      <c r="S6219" t="s">
        <v>46705</v>
      </c>
      <c r="T6219" t="s">
        <v>48268</v>
      </c>
      <c r="U6219" t="s">
        <v>53947</v>
      </c>
      <c r="W6219" t="s">
        <v>44026</v>
      </c>
      <c r="X6219" t="s">
        <v>46574</v>
      </c>
    </row>
    <row r="6220" spans="1:24">
      <c r="A6220">
        <f>HYPERLINK("https://www.philgeps.gov.ph/GEPSNONPILOT/Tender/SplashBidNoticeAbstractUI.aspx?menuIndex=3&amp;refID=7060594&amp;Result=3","7060594")</f>
        <v>0</v>
      </c>
      <c r="B6220" t="s">
        <v>870</v>
      </c>
      <c r="C6220" t="s">
        <v>9440</v>
      </c>
      <c r="D6220" t="s">
        <v>18844</v>
      </c>
      <c r="E6220" t="s">
        <v>24406</v>
      </c>
      <c r="F6220" t="s">
        <v>32664</v>
      </c>
      <c r="G6220" t="s">
        <v>32671</v>
      </c>
      <c r="H6220" t="s">
        <v>12635</v>
      </c>
      <c r="I6220" t="s">
        <v>5589</v>
      </c>
      <c r="J6220" t="s">
        <v>36694</v>
      </c>
      <c r="K6220" t="s">
        <v>42289</v>
      </c>
      <c r="M6220" t="s">
        <v>43470</v>
      </c>
      <c r="N6220" t="s">
        <v>46569</v>
      </c>
      <c r="O6220" t="s">
        <v>46570</v>
      </c>
      <c r="P6220">
        <v>0</v>
      </c>
      <c r="Q6220">
        <v>1</v>
      </c>
      <c r="R6220" t="s">
        <v>46573</v>
      </c>
      <c r="S6220" t="s">
        <v>46705</v>
      </c>
      <c r="T6220" t="s">
        <v>48287</v>
      </c>
      <c r="U6220" t="s">
        <v>53948</v>
      </c>
      <c r="V6220" t="s">
        <v>61834</v>
      </c>
      <c r="W6220" t="s">
        <v>43470</v>
      </c>
      <c r="X6220" t="s">
        <v>46574</v>
      </c>
    </row>
    <row r="6221" spans="1:24">
      <c r="A6221">
        <f>HYPERLINK("https://www.philgeps.gov.ph/GEPSNONPILOT/Tender/SplashBidNoticeAbstractUI.aspx?menuIndex=3&amp;refID=7060503&amp;Result=3","7060503")</f>
        <v>0</v>
      </c>
      <c r="B6221" t="s">
        <v>594</v>
      </c>
      <c r="C6221" t="s">
        <v>9441</v>
      </c>
      <c r="D6221" t="s">
        <v>18784</v>
      </c>
      <c r="E6221" t="s">
        <v>24407</v>
      </c>
      <c r="F6221" t="s">
        <v>32664</v>
      </c>
      <c r="G6221" t="s">
        <v>32671</v>
      </c>
      <c r="H6221" t="s">
        <v>12635</v>
      </c>
      <c r="I6221" t="s">
        <v>32716</v>
      </c>
      <c r="J6221" t="s">
        <v>36695</v>
      </c>
      <c r="K6221" t="s">
        <v>42297</v>
      </c>
      <c r="M6221" t="s">
        <v>43793</v>
      </c>
      <c r="N6221" t="s">
        <v>46569</v>
      </c>
      <c r="O6221" t="s">
        <v>46570</v>
      </c>
      <c r="P6221">
        <v>0</v>
      </c>
      <c r="Q6221">
        <v>1</v>
      </c>
      <c r="R6221" t="s">
        <v>46573</v>
      </c>
      <c r="S6221" t="s">
        <v>46705</v>
      </c>
      <c r="T6221" t="s">
        <v>48461</v>
      </c>
      <c r="U6221" t="s">
        <v>53949</v>
      </c>
      <c r="V6221" t="s">
        <v>61909</v>
      </c>
      <c r="W6221" t="s">
        <v>43793</v>
      </c>
      <c r="X6221" t="s">
        <v>46574</v>
      </c>
    </row>
    <row r="6222" spans="1:24">
      <c r="A6222">
        <f>HYPERLINK("https://www.philgeps.gov.ph/GEPSNONPILOT/Tender/SplashBidNoticeAbstractUI.aspx?menuIndex=3&amp;refID=7060505&amp;Result=3","7060505")</f>
        <v>0</v>
      </c>
      <c r="B6222" t="s">
        <v>2039</v>
      </c>
      <c r="C6222" t="s">
        <v>9442</v>
      </c>
      <c r="D6222" t="s">
        <v>18812</v>
      </c>
      <c r="E6222" t="s">
        <v>24408</v>
      </c>
      <c r="F6222" t="s">
        <v>32664</v>
      </c>
      <c r="G6222" t="s">
        <v>32672</v>
      </c>
      <c r="H6222" t="s">
        <v>12635</v>
      </c>
      <c r="I6222" t="s">
        <v>4439</v>
      </c>
      <c r="J6222" t="s">
        <v>36696</v>
      </c>
      <c r="K6222" t="s">
        <v>42309</v>
      </c>
      <c r="M6222" t="s">
        <v>44786</v>
      </c>
      <c r="N6222" t="s">
        <v>46569</v>
      </c>
      <c r="O6222" t="s">
        <v>46570</v>
      </c>
      <c r="P6222">
        <v>0</v>
      </c>
      <c r="Q6222">
        <v>0</v>
      </c>
      <c r="R6222" t="s">
        <v>46573</v>
      </c>
      <c r="S6222" t="s">
        <v>46705</v>
      </c>
      <c r="T6222" t="s">
        <v>48569</v>
      </c>
      <c r="U6222" t="s">
        <v>53950</v>
      </c>
      <c r="W6222" t="s">
        <v>44786</v>
      </c>
      <c r="X6222" t="s">
        <v>46574</v>
      </c>
    </row>
    <row r="6223" spans="1:24">
      <c r="A6223">
        <f>HYPERLINK("https://www.philgeps.gov.ph/GEPSNONPILOT/Tender/SplashBidNoticeAbstractUI.aspx?menuIndex=3&amp;refID=7060579&amp;Result=3","7060579")</f>
        <v>0</v>
      </c>
      <c r="B6223" t="s">
        <v>2040</v>
      </c>
      <c r="C6223" t="s">
        <v>9443</v>
      </c>
      <c r="D6223" t="s">
        <v>18787</v>
      </c>
      <c r="E6223" t="s">
        <v>20724</v>
      </c>
      <c r="F6223" t="s">
        <v>32664</v>
      </c>
      <c r="G6223" t="s">
        <v>32671</v>
      </c>
      <c r="H6223" t="s">
        <v>12635</v>
      </c>
      <c r="I6223" t="s">
        <v>6628</v>
      </c>
      <c r="J6223" t="s">
        <v>33485</v>
      </c>
      <c r="K6223" t="s">
        <v>42283</v>
      </c>
      <c r="M6223" t="s">
        <v>44787</v>
      </c>
      <c r="N6223" t="s">
        <v>46569</v>
      </c>
      <c r="O6223" t="s">
        <v>46570</v>
      </c>
      <c r="P6223">
        <v>0</v>
      </c>
      <c r="Q6223">
        <v>1</v>
      </c>
      <c r="R6223" t="s">
        <v>46573</v>
      </c>
      <c r="S6223" t="s">
        <v>46705</v>
      </c>
      <c r="T6223" t="s">
        <v>48287</v>
      </c>
      <c r="U6223" t="s">
        <v>49273</v>
      </c>
      <c r="W6223" t="s">
        <v>44787</v>
      </c>
      <c r="X6223" t="s">
        <v>46574</v>
      </c>
    </row>
    <row r="6224" spans="1:24">
      <c r="A6224">
        <f>HYPERLINK("https://www.philgeps.gov.ph/GEPSNONPILOT/Tender/SplashBidNoticeAbstractUI.aspx?menuIndex=3&amp;refID=7060480&amp;Result=3","7060480")</f>
        <v>0</v>
      </c>
      <c r="B6224" t="s">
        <v>2041</v>
      </c>
      <c r="C6224" t="s">
        <v>9444</v>
      </c>
      <c r="D6224" t="s">
        <v>18784</v>
      </c>
      <c r="E6224" t="s">
        <v>24409</v>
      </c>
      <c r="F6224" t="s">
        <v>32664</v>
      </c>
      <c r="G6224" t="s">
        <v>32671</v>
      </c>
      <c r="H6224" t="s">
        <v>12635</v>
      </c>
      <c r="I6224" t="s">
        <v>10370</v>
      </c>
      <c r="J6224" t="s">
        <v>36697</v>
      </c>
      <c r="K6224" t="s">
        <v>42281</v>
      </c>
      <c r="M6224" t="s">
        <v>44788</v>
      </c>
      <c r="N6224" t="s">
        <v>46569</v>
      </c>
      <c r="O6224" t="s">
        <v>46570</v>
      </c>
      <c r="P6224">
        <v>0</v>
      </c>
      <c r="Q6224">
        <v>12</v>
      </c>
      <c r="R6224" t="s">
        <v>46573</v>
      </c>
      <c r="S6224" t="s">
        <v>46705</v>
      </c>
      <c r="T6224" t="s">
        <v>48376</v>
      </c>
      <c r="U6224" t="s">
        <v>53951</v>
      </c>
      <c r="W6224" t="s">
        <v>44788</v>
      </c>
      <c r="X6224" t="s">
        <v>46574</v>
      </c>
    </row>
    <row r="6225" spans="1:24">
      <c r="A6225">
        <f>HYPERLINK("https://www.philgeps.gov.ph/GEPSNONPILOT/Tender/SplashBidNoticeAbstractUI.aspx?menuIndex=3&amp;refID=7060479&amp;Result=3","7060479")</f>
        <v>0</v>
      </c>
      <c r="B6225" t="s">
        <v>888</v>
      </c>
      <c r="C6225" t="s">
        <v>9445</v>
      </c>
      <c r="D6225" t="s">
        <v>18785</v>
      </c>
      <c r="E6225" t="s">
        <v>24410</v>
      </c>
      <c r="F6225" t="s">
        <v>32664</v>
      </c>
      <c r="G6225" t="s">
        <v>32671</v>
      </c>
      <c r="H6225" t="s">
        <v>12635</v>
      </c>
      <c r="I6225" t="s">
        <v>32692</v>
      </c>
      <c r="J6225" t="s">
        <v>36698</v>
      </c>
      <c r="K6225" t="s">
        <v>42284</v>
      </c>
      <c r="M6225" t="s">
        <v>43491</v>
      </c>
      <c r="N6225" t="s">
        <v>46569</v>
      </c>
      <c r="O6225" t="s">
        <v>46570</v>
      </c>
      <c r="P6225">
        <v>0</v>
      </c>
      <c r="Q6225">
        <v>1</v>
      </c>
      <c r="R6225" t="s">
        <v>46573</v>
      </c>
      <c r="S6225" t="s">
        <v>46705</v>
      </c>
      <c r="T6225" t="s">
        <v>48534</v>
      </c>
      <c r="U6225" t="s">
        <v>53952</v>
      </c>
      <c r="V6225" t="s">
        <v>61839</v>
      </c>
      <c r="W6225" t="s">
        <v>43491</v>
      </c>
      <c r="X6225" t="s">
        <v>46574</v>
      </c>
    </row>
    <row r="6226" spans="1:24">
      <c r="A6226">
        <f>HYPERLINK("https://www.philgeps.gov.ph/GEPSNONPILOT/Tender/SplashBidNoticeAbstractUI.aspx?menuIndex=3&amp;refID=7060473&amp;Result=3","7060473")</f>
        <v>0</v>
      </c>
      <c r="B6226" t="s">
        <v>594</v>
      </c>
      <c r="C6226" t="s">
        <v>9446</v>
      </c>
      <c r="D6226" t="s">
        <v>18784</v>
      </c>
      <c r="E6226" t="s">
        <v>24411</v>
      </c>
      <c r="F6226" t="s">
        <v>32664</v>
      </c>
      <c r="G6226" t="s">
        <v>32674</v>
      </c>
      <c r="H6226" t="s">
        <v>12635</v>
      </c>
      <c r="I6226" t="s">
        <v>9486</v>
      </c>
      <c r="J6226" t="s">
        <v>36699</v>
      </c>
      <c r="K6226" t="s">
        <v>42297</v>
      </c>
      <c r="M6226" t="s">
        <v>43721</v>
      </c>
      <c r="N6226" t="s">
        <v>46569</v>
      </c>
      <c r="O6226" t="s">
        <v>46570</v>
      </c>
      <c r="P6226">
        <v>0</v>
      </c>
      <c r="Q6226">
        <v>3</v>
      </c>
      <c r="R6226" t="s">
        <v>46573</v>
      </c>
      <c r="S6226" t="s">
        <v>46705</v>
      </c>
      <c r="T6226" t="s">
        <v>48551</v>
      </c>
      <c r="U6226" t="s">
        <v>53953</v>
      </c>
      <c r="V6226" t="s">
        <v>62115</v>
      </c>
      <c r="W6226" t="s">
        <v>43721</v>
      </c>
      <c r="X6226" t="s">
        <v>46574</v>
      </c>
    </row>
    <row r="6227" spans="1:24">
      <c r="A6227">
        <f>HYPERLINK("https://www.philgeps.gov.ph/GEPSNONPILOT/Tender/SplashBidNoticeAbstractUI.aspx?menuIndex=3&amp;refID=7060509&amp;Result=3","7060509")</f>
        <v>0</v>
      </c>
      <c r="B6227" t="s">
        <v>888</v>
      </c>
      <c r="C6227" t="s">
        <v>9447</v>
      </c>
      <c r="D6227" t="s">
        <v>18785</v>
      </c>
      <c r="E6227" t="s">
        <v>24412</v>
      </c>
      <c r="F6227" t="s">
        <v>32664</v>
      </c>
      <c r="G6227" t="s">
        <v>32671</v>
      </c>
      <c r="H6227" t="s">
        <v>12635</v>
      </c>
      <c r="I6227" t="s">
        <v>6168</v>
      </c>
      <c r="J6227" t="s">
        <v>34399</v>
      </c>
      <c r="K6227" t="s">
        <v>42284</v>
      </c>
      <c r="M6227" t="s">
        <v>43491</v>
      </c>
      <c r="N6227" t="s">
        <v>46569</v>
      </c>
      <c r="O6227" t="s">
        <v>46570</v>
      </c>
      <c r="P6227">
        <v>0</v>
      </c>
      <c r="Q6227">
        <v>1</v>
      </c>
      <c r="R6227" t="s">
        <v>46573</v>
      </c>
      <c r="S6227" t="s">
        <v>46705</v>
      </c>
      <c r="T6227" t="s">
        <v>48570</v>
      </c>
      <c r="U6227" t="s">
        <v>53954</v>
      </c>
      <c r="V6227" t="s">
        <v>61839</v>
      </c>
      <c r="W6227" t="s">
        <v>43491</v>
      </c>
      <c r="X6227" t="s">
        <v>46574</v>
      </c>
    </row>
    <row r="6228" spans="1:24">
      <c r="A6228">
        <f>HYPERLINK("https://www.philgeps.gov.ph/GEPSNONPILOT/Tender/SplashBidNoticeAbstractUI.aspx?menuIndex=3&amp;refID=7060401&amp;Result=3","7060401")</f>
        <v>0</v>
      </c>
      <c r="B6228" t="s">
        <v>1600</v>
      </c>
      <c r="C6228" t="s">
        <v>9448</v>
      </c>
      <c r="D6228" t="s">
        <v>18835</v>
      </c>
      <c r="E6228" t="s">
        <v>24413</v>
      </c>
      <c r="F6228" t="s">
        <v>32664</v>
      </c>
      <c r="G6228" t="s">
        <v>32671</v>
      </c>
      <c r="H6228" t="s">
        <v>12635</v>
      </c>
      <c r="I6228" t="s">
        <v>4439</v>
      </c>
      <c r="J6228" t="s">
        <v>36700</v>
      </c>
      <c r="K6228" t="s">
        <v>42289</v>
      </c>
      <c r="M6228" t="s">
        <v>44277</v>
      </c>
      <c r="N6228" t="s">
        <v>46569</v>
      </c>
      <c r="O6228" t="s">
        <v>46570</v>
      </c>
      <c r="P6228">
        <v>0</v>
      </c>
      <c r="Q6228">
        <v>0</v>
      </c>
      <c r="R6228" t="s">
        <v>46573</v>
      </c>
      <c r="S6228" t="s">
        <v>46705</v>
      </c>
      <c r="T6228" t="s">
        <v>48287</v>
      </c>
      <c r="U6228" t="s">
        <v>53955</v>
      </c>
      <c r="W6228" t="s">
        <v>44277</v>
      </c>
      <c r="X6228" t="s">
        <v>46574</v>
      </c>
    </row>
    <row r="6229" spans="1:24">
      <c r="A6229">
        <f>HYPERLINK("https://www.philgeps.gov.ph/GEPSNONPILOT/Tender/SplashBidNoticeAbstractUI.aspx?menuIndex=3&amp;refID=7060502&amp;Result=3","7060502")</f>
        <v>0</v>
      </c>
      <c r="B6229" t="s">
        <v>1600</v>
      </c>
      <c r="C6229" t="s">
        <v>9449</v>
      </c>
      <c r="D6229" t="s">
        <v>18835</v>
      </c>
      <c r="E6229" t="s">
        <v>24414</v>
      </c>
      <c r="F6229" t="s">
        <v>32664</v>
      </c>
      <c r="G6229" t="s">
        <v>32671</v>
      </c>
      <c r="H6229" t="s">
        <v>12635</v>
      </c>
      <c r="I6229" t="s">
        <v>4439</v>
      </c>
      <c r="J6229" t="s">
        <v>36701</v>
      </c>
      <c r="K6229" t="s">
        <v>42289</v>
      </c>
      <c r="M6229" t="s">
        <v>44277</v>
      </c>
      <c r="N6229" t="s">
        <v>46569</v>
      </c>
      <c r="O6229" t="s">
        <v>46570</v>
      </c>
      <c r="P6229">
        <v>0</v>
      </c>
      <c r="Q6229">
        <v>0</v>
      </c>
      <c r="R6229" t="s">
        <v>46573</v>
      </c>
      <c r="S6229" t="s">
        <v>46705</v>
      </c>
      <c r="T6229" t="s">
        <v>48287</v>
      </c>
      <c r="U6229" t="s">
        <v>53956</v>
      </c>
      <c r="W6229" t="s">
        <v>44277</v>
      </c>
      <c r="X6229" t="s">
        <v>46574</v>
      </c>
    </row>
    <row r="6230" spans="1:24">
      <c r="A6230">
        <f>HYPERLINK("https://www.philgeps.gov.ph/GEPSNONPILOT/Tender/SplashBidNoticeAbstractUI.aspx?menuIndex=3&amp;refID=7060501&amp;Result=3","7060501")</f>
        <v>0</v>
      </c>
      <c r="B6230" t="s">
        <v>2042</v>
      </c>
      <c r="C6230" t="s">
        <v>9450</v>
      </c>
      <c r="D6230" t="s">
        <v>18813</v>
      </c>
      <c r="E6230" t="s">
        <v>24415</v>
      </c>
      <c r="F6230" t="s">
        <v>32664</v>
      </c>
      <c r="G6230" t="s">
        <v>32672</v>
      </c>
      <c r="H6230" t="s">
        <v>12635</v>
      </c>
      <c r="I6230" t="s">
        <v>10627</v>
      </c>
      <c r="J6230" t="s">
        <v>36702</v>
      </c>
      <c r="K6230" t="s">
        <v>42281</v>
      </c>
      <c r="M6230" t="s">
        <v>44789</v>
      </c>
      <c r="N6230" t="s">
        <v>46569</v>
      </c>
      <c r="O6230" t="s">
        <v>46570</v>
      </c>
      <c r="P6230">
        <v>0</v>
      </c>
      <c r="Q6230">
        <v>0</v>
      </c>
      <c r="R6230" t="s">
        <v>46573</v>
      </c>
      <c r="S6230" t="s">
        <v>46705</v>
      </c>
      <c r="T6230" t="s">
        <v>48308</v>
      </c>
      <c r="U6230" t="s">
        <v>53957</v>
      </c>
      <c r="W6230" t="s">
        <v>44789</v>
      </c>
      <c r="X6230" t="s">
        <v>46574</v>
      </c>
    </row>
    <row r="6231" spans="1:24">
      <c r="A6231">
        <f>HYPERLINK("https://www.philgeps.gov.ph/GEPSNONPILOT/Tender/SplashBidNoticeAbstractUI.aspx?menuIndex=3&amp;refID=7060400&amp;Result=3","7060400")</f>
        <v>0</v>
      </c>
      <c r="B6231" t="s">
        <v>1671</v>
      </c>
      <c r="C6231" t="s">
        <v>9451</v>
      </c>
      <c r="D6231" t="s">
        <v>18803</v>
      </c>
      <c r="E6231" t="s">
        <v>21424</v>
      </c>
      <c r="F6231" t="s">
        <v>32664</v>
      </c>
      <c r="G6231" t="s">
        <v>32674</v>
      </c>
      <c r="H6231" t="s">
        <v>12635</v>
      </c>
      <c r="I6231" t="s">
        <v>32784</v>
      </c>
      <c r="J6231" t="s">
        <v>36703</v>
      </c>
      <c r="K6231" t="s">
        <v>42289</v>
      </c>
      <c r="M6231" t="s">
        <v>44359</v>
      </c>
      <c r="N6231" t="s">
        <v>46569</v>
      </c>
      <c r="O6231" t="s">
        <v>46570</v>
      </c>
      <c r="P6231">
        <v>0</v>
      </c>
      <c r="Q6231">
        <v>3</v>
      </c>
      <c r="R6231" t="s">
        <v>46573</v>
      </c>
      <c r="S6231" t="s">
        <v>46705</v>
      </c>
      <c r="T6231" t="s">
        <v>48449</v>
      </c>
      <c r="U6231" t="s">
        <v>53958</v>
      </c>
      <c r="W6231" t="s">
        <v>44359</v>
      </c>
      <c r="X6231" t="s">
        <v>46574</v>
      </c>
    </row>
    <row r="6232" spans="1:24">
      <c r="A6232">
        <f>HYPERLINK("https://www.philgeps.gov.ph/GEPSNONPILOT/Tender/SplashBidNoticeAbstractUI.aspx?menuIndex=3&amp;refID=7060397&amp;Result=3","7060397")</f>
        <v>0</v>
      </c>
      <c r="B6232" t="s">
        <v>2022</v>
      </c>
      <c r="C6232" t="s">
        <v>9452</v>
      </c>
      <c r="D6232" t="s">
        <v>18806</v>
      </c>
      <c r="E6232" t="s">
        <v>24416</v>
      </c>
      <c r="F6232" t="s">
        <v>32664</v>
      </c>
      <c r="G6232" t="s">
        <v>32672</v>
      </c>
      <c r="H6232" t="s">
        <v>12635</v>
      </c>
      <c r="I6232" t="s">
        <v>32736</v>
      </c>
      <c r="J6232" t="s">
        <v>36704</v>
      </c>
      <c r="K6232" t="s">
        <v>42311</v>
      </c>
      <c r="M6232" t="s">
        <v>44764</v>
      </c>
      <c r="N6232" t="s">
        <v>46569</v>
      </c>
      <c r="O6232" t="s">
        <v>46570</v>
      </c>
      <c r="P6232">
        <v>0</v>
      </c>
      <c r="Q6232">
        <v>0</v>
      </c>
      <c r="R6232" t="s">
        <v>46573</v>
      </c>
      <c r="S6232" t="s">
        <v>46705</v>
      </c>
      <c r="T6232" t="s">
        <v>48273</v>
      </c>
      <c r="U6232" t="s">
        <v>53959</v>
      </c>
      <c r="W6232" t="s">
        <v>44764</v>
      </c>
      <c r="X6232" t="s">
        <v>46574</v>
      </c>
    </row>
    <row r="6233" spans="1:24">
      <c r="A6233">
        <f>HYPERLINK("https://www.philgeps.gov.ph/GEPSNONPILOT/Tender/SplashBidNoticeAbstractUI.aspx?menuIndex=3&amp;refID=7060399&amp;Result=3","7060399")</f>
        <v>0</v>
      </c>
      <c r="B6233" t="s">
        <v>2043</v>
      </c>
      <c r="C6233" t="s">
        <v>9453</v>
      </c>
      <c r="D6233" t="s">
        <v>18782</v>
      </c>
      <c r="E6233" t="s">
        <v>22709</v>
      </c>
      <c r="F6233" t="s">
        <v>32664</v>
      </c>
      <c r="G6233" t="s">
        <v>32677</v>
      </c>
      <c r="H6233" t="s">
        <v>12635</v>
      </c>
      <c r="I6233" t="s">
        <v>4439</v>
      </c>
      <c r="J6233" t="s">
        <v>36705</v>
      </c>
      <c r="K6233" t="s">
        <v>42284</v>
      </c>
      <c r="M6233" t="s">
        <v>44790</v>
      </c>
      <c r="N6233" t="s">
        <v>46569</v>
      </c>
      <c r="O6233" t="s">
        <v>46570</v>
      </c>
      <c r="P6233">
        <v>0</v>
      </c>
      <c r="Q6233">
        <v>0</v>
      </c>
      <c r="R6233" t="s">
        <v>46573</v>
      </c>
      <c r="S6233" t="s">
        <v>46705</v>
      </c>
      <c r="T6233" t="s">
        <v>48220</v>
      </c>
      <c r="U6233" t="s">
        <v>53960</v>
      </c>
      <c r="W6233" t="s">
        <v>44790</v>
      </c>
      <c r="X6233" t="s">
        <v>46574</v>
      </c>
    </row>
    <row r="6234" spans="1:24">
      <c r="A6234">
        <f>HYPERLINK("https://www.philgeps.gov.ph/GEPSNONPILOT/Tender/SplashBidNoticeAbstractUI.aspx?menuIndex=3&amp;refID=7060631&amp;Result=3","7060631")</f>
        <v>0</v>
      </c>
      <c r="B6234" t="s">
        <v>154</v>
      </c>
      <c r="C6234" t="s">
        <v>9454</v>
      </c>
      <c r="E6234" t="s">
        <v>24417</v>
      </c>
      <c r="F6234" t="s">
        <v>32664</v>
      </c>
      <c r="G6234" t="s">
        <v>32672</v>
      </c>
      <c r="H6234" t="s">
        <v>32683</v>
      </c>
      <c r="I6234" t="s">
        <v>10627</v>
      </c>
      <c r="J6234" t="s">
        <v>36706</v>
      </c>
      <c r="K6234" t="s">
        <v>42283</v>
      </c>
      <c r="M6234" t="s">
        <v>42718</v>
      </c>
      <c r="N6234" t="s">
        <v>46569</v>
      </c>
      <c r="O6234" t="s">
        <v>46570</v>
      </c>
      <c r="P6234">
        <v>0</v>
      </c>
      <c r="Q6234">
        <v>4</v>
      </c>
      <c r="R6234" t="s">
        <v>46573</v>
      </c>
      <c r="S6234" t="s">
        <v>46705</v>
      </c>
      <c r="T6234" t="s">
        <v>48410</v>
      </c>
      <c r="U6234" t="s">
        <v>53961</v>
      </c>
      <c r="V6234" t="s">
        <v>62253</v>
      </c>
      <c r="W6234" t="s">
        <v>42718</v>
      </c>
      <c r="X6234" t="s">
        <v>46574</v>
      </c>
    </row>
    <row r="6235" spans="1:24">
      <c r="A6235">
        <f>HYPERLINK("https://www.philgeps.gov.ph/GEPSNONPILOT/Tender/SplashBidNoticeAbstractUI.aspx?menuIndex=3&amp;refID=7060633&amp;Result=3","7060633")</f>
        <v>0</v>
      </c>
      <c r="B6235" t="s">
        <v>1374</v>
      </c>
      <c r="C6235" t="s">
        <v>9455</v>
      </c>
      <c r="D6235" t="s">
        <v>18821</v>
      </c>
      <c r="E6235" t="s">
        <v>24418</v>
      </c>
      <c r="F6235" t="s">
        <v>32664</v>
      </c>
      <c r="G6235" t="s">
        <v>32672</v>
      </c>
      <c r="H6235" t="s">
        <v>12635</v>
      </c>
      <c r="I6235" t="s">
        <v>9486</v>
      </c>
      <c r="J6235" t="s">
        <v>36586</v>
      </c>
      <c r="K6235" t="s">
        <v>42297</v>
      </c>
      <c r="M6235" t="s">
        <v>44029</v>
      </c>
      <c r="N6235" t="s">
        <v>46569</v>
      </c>
      <c r="O6235" t="s">
        <v>46570</v>
      </c>
      <c r="P6235">
        <v>0</v>
      </c>
      <c r="Q6235">
        <v>1</v>
      </c>
      <c r="R6235" t="s">
        <v>46573</v>
      </c>
      <c r="S6235" t="s">
        <v>46705</v>
      </c>
      <c r="T6235" t="s">
        <v>48368</v>
      </c>
      <c r="U6235" t="s">
        <v>53962</v>
      </c>
      <c r="W6235" t="s">
        <v>44029</v>
      </c>
      <c r="X6235" t="s">
        <v>46574</v>
      </c>
    </row>
    <row r="6236" spans="1:24">
      <c r="A6236">
        <f>HYPERLINK("https://www.philgeps.gov.ph/GEPSNONPILOT/Tender/SplashBidNoticeAbstractUI.aspx?menuIndex=3&amp;refID=7060628&amp;Result=3","7060628")</f>
        <v>0</v>
      </c>
      <c r="B6236" t="s">
        <v>342</v>
      </c>
      <c r="C6236" t="s">
        <v>9456</v>
      </c>
      <c r="D6236" t="s">
        <v>18782</v>
      </c>
      <c r="E6236" t="s">
        <v>24419</v>
      </c>
      <c r="F6236" t="s">
        <v>32665</v>
      </c>
      <c r="G6236" t="s">
        <v>32672</v>
      </c>
      <c r="H6236" t="s">
        <v>32682</v>
      </c>
      <c r="I6236" t="s">
        <v>32786</v>
      </c>
      <c r="J6236" t="s">
        <v>36707</v>
      </c>
      <c r="K6236" t="s">
        <v>42305</v>
      </c>
      <c r="M6236" t="s">
        <v>42911</v>
      </c>
      <c r="N6236" t="s">
        <v>46569</v>
      </c>
      <c r="O6236" t="s">
        <v>46570</v>
      </c>
      <c r="P6236">
        <v>0</v>
      </c>
      <c r="Q6236">
        <v>0</v>
      </c>
      <c r="R6236" t="s">
        <v>46573</v>
      </c>
      <c r="S6236" t="s">
        <v>46705</v>
      </c>
      <c r="T6236" t="s">
        <v>48571</v>
      </c>
      <c r="U6236" t="s">
        <v>53963</v>
      </c>
      <c r="V6236" t="s">
        <v>62254</v>
      </c>
      <c r="W6236" t="s">
        <v>42911</v>
      </c>
      <c r="X6236" t="s">
        <v>46574</v>
      </c>
    </row>
    <row r="6237" spans="1:24">
      <c r="A6237">
        <f>HYPERLINK("https://www.philgeps.gov.ph/GEPSNONPILOT/Tender/SplashBidNoticeAbstractUI.aspx?menuIndex=3&amp;refID=7060634&amp;Result=3","7060634")</f>
        <v>0</v>
      </c>
      <c r="B6237" t="s">
        <v>1123</v>
      </c>
      <c r="C6237" t="s">
        <v>9457</v>
      </c>
      <c r="D6237" t="s">
        <v>18814</v>
      </c>
      <c r="E6237" t="s">
        <v>24420</v>
      </c>
      <c r="F6237" t="s">
        <v>32664</v>
      </c>
      <c r="G6237" t="s">
        <v>32672</v>
      </c>
      <c r="H6237" t="s">
        <v>32683</v>
      </c>
      <c r="I6237" t="s">
        <v>10627</v>
      </c>
      <c r="J6237" t="s">
        <v>36708</v>
      </c>
      <c r="K6237" t="s">
        <v>42290</v>
      </c>
      <c r="M6237" t="s">
        <v>43752</v>
      </c>
      <c r="N6237" t="s">
        <v>46569</v>
      </c>
      <c r="O6237" t="s">
        <v>46570</v>
      </c>
      <c r="P6237">
        <v>0</v>
      </c>
      <c r="Q6237">
        <v>0</v>
      </c>
      <c r="R6237" t="s">
        <v>46573</v>
      </c>
      <c r="S6237" t="s">
        <v>46705</v>
      </c>
      <c r="T6237" t="s">
        <v>48296</v>
      </c>
      <c r="U6237" t="s">
        <v>53964</v>
      </c>
      <c r="W6237" t="s">
        <v>43752</v>
      </c>
      <c r="X6237" t="s">
        <v>46574</v>
      </c>
    </row>
    <row r="6238" spans="1:24">
      <c r="A6238">
        <f>HYPERLINK("https://www.philgeps.gov.ph/GEPSNONPILOT/Tender/SplashBidNoticeAbstractUI.aspx?menuIndex=3&amp;refID=7060475&amp;Result=3","7060475")</f>
        <v>0</v>
      </c>
      <c r="B6238" t="s">
        <v>2044</v>
      </c>
      <c r="C6238" t="s">
        <v>6281</v>
      </c>
      <c r="D6238" t="s">
        <v>18839</v>
      </c>
      <c r="E6238" t="s">
        <v>19312</v>
      </c>
      <c r="F6238" t="s">
        <v>32664</v>
      </c>
      <c r="G6238" t="s">
        <v>32671</v>
      </c>
      <c r="H6238" t="s">
        <v>12635</v>
      </c>
      <c r="I6238" t="s">
        <v>8797</v>
      </c>
      <c r="J6238" t="s">
        <v>35587</v>
      </c>
      <c r="K6238" t="s">
        <v>42284</v>
      </c>
      <c r="M6238" t="s">
        <v>44791</v>
      </c>
      <c r="N6238" t="s">
        <v>46569</v>
      </c>
      <c r="O6238" t="s">
        <v>46570</v>
      </c>
      <c r="P6238">
        <v>0</v>
      </c>
      <c r="Q6238">
        <v>2</v>
      </c>
      <c r="R6238" t="s">
        <v>46573</v>
      </c>
      <c r="S6238" t="s">
        <v>46705</v>
      </c>
      <c r="T6238" t="s">
        <v>48427</v>
      </c>
      <c r="U6238" t="s">
        <v>53965</v>
      </c>
      <c r="W6238" t="s">
        <v>44791</v>
      </c>
      <c r="X6238" t="s">
        <v>46574</v>
      </c>
    </row>
    <row r="6239" spans="1:24">
      <c r="A6239">
        <f>HYPERLINK("https://www.philgeps.gov.ph/GEPSNONPILOT/Tender/SplashBidNoticeAbstractUI.aspx?menuIndex=3&amp;refID=7060623&amp;Result=3","7060623")</f>
        <v>0</v>
      </c>
      <c r="B6239" t="s">
        <v>1102</v>
      </c>
      <c r="C6239" t="s">
        <v>9458</v>
      </c>
      <c r="D6239" t="s">
        <v>18784</v>
      </c>
      <c r="E6239" t="s">
        <v>24421</v>
      </c>
      <c r="F6239" t="s">
        <v>32664</v>
      </c>
      <c r="G6239" t="s">
        <v>32672</v>
      </c>
      <c r="H6239" t="s">
        <v>12635</v>
      </c>
      <c r="I6239" t="s">
        <v>9486</v>
      </c>
      <c r="J6239" t="s">
        <v>36709</v>
      </c>
      <c r="K6239" t="s">
        <v>42283</v>
      </c>
      <c r="M6239" t="s">
        <v>44775</v>
      </c>
      <c r="N6239" t="s">
        <v>46569</v>
      </c>
      <c r="O6239" t="s">
        <v>46570</v>
      </c>
      <c r="P6239">
        <v>0</v>
      </c>
      <c r="Q6239">
        <v>3</v>
      </c>
      <c r="R6239" t="s">
        <v>46573</v>
      </c>
      <c r="S6239" t="s">
        <v>46705</v>
      </c>
      <c r="T6239" t="s">
        <v>48302</v>
      </c>
      <c r="U6239" t="s">
        <v>53966</v>
      </c>
      <c r="W6239" t="s">
        <v>44775</v>
      </c>
      <c r="X6239" t="s">
        <v>46574</v>
      </c>
    </row>
    <row r="6240" spans="1:24">
      <c r="A6240">
        <f>HYPERLINK("https://www.philgeps.gov.ph/GEPSNONPILOT/Tender/SplashBidNoticeAbstractUI.aspx?menuIndex=3&amp;refID=7060622&amp;Result=3","7060622")</f>
        <v>0</v>
      </c>
      <c r="B6240" t="s">
        <v>1121</v>
      </c>
      <c r="C6240" t="s">
        <v>9459</v>
      </c>
      <c r="D6240" t="s">
        <v>18827</v>
      </c>
      <c r="E6240" t="s">
        <v>24422</v>
      </c>
      <c r="F6240" t="s">
        <v>32664</v>
      </c>
      <c r="G6240" t="s">
        <v>32671</v>
      </c>
      <c r="H6240" t="s">
        <v>12635</v>
      </c>
      <c r="I6240" t="s">
        <v>32704</v>
      </c>
      <c r="J6240" t="s">
        <v>33477</v>
      </c>
      <c r="K6240" t="s">
        <v>42289</v>
      </c>
      <c r="M6240" t="s">
        <v>43750</v>
      </c>
      <c r="N6240" t="s">
        <v>46569</v>
      </c>
      <c r="O6240" t="s">
        <v>46570</v>
      </c>
      <c r="P6240">
        <v>0</v>
      </c>
      <c r="Q6240">
        <v>4</v>
      </c>
      <c r="R6240" t="s">
        <v>46573</v>
      </c>
      <c r="S6240" t="s">
        <v>46705</v>
      </c>
      <c r="T6240" t="s">
        <v>48316</v>
      </c>
      <c r="U6240" t="s">
        <v>53967</v>
      </c>
      <c r="W6240" t="s">
        <v>43750</v>
      </c>
      <c r="X6240" t="s">
        <v>46574</v>
      </c>
    </row>
    <row r="6241" spans="1:24">
      <c r="A6241">
        <f>HYPERLINK("https://www.philgeps.gov.ph/GEPSNONPILOT/Tender/SplashBidNoticeAbstractUI.aspx?menuIndex=3&amp;refID=7060627&amp;Result=3","7060627")</f>
        <v>0</v>
      </c>
      <c r="B6241" t="s">
        <v>559</v>
      </c>
      <c r="C6241" t="s">
        <v>9460</v>
      </c>
      <c r="E6241" t="s">
        <v>24423</v>
      </c>
      <c r="F6241" t="s">
        <v>32664</v>
      </c>
      <c r="G6241" t="s">
        <v>32671</v>
      </c>
      <c r="H6241" t="s">
        <v>12635</v>
      </c>
      <c r="I6241" t="s">
        <v>32685</v>
      </c>
      <c r="J6241" t="s">
        <v>36710</v>
      </c>
      <c r="K6241" t="s">
        <v>42283</v>
      </c>
      <c r="M6241" t="s">
        <v>43139</v>
      </c>
      <c r="N6241" t="s">
        <v>46569</v>
      </c>
      <c r="O6241" t="s">
        <v>46570</v>
      </c>
      <c r="P6241">
        <v>0</v>
      </c>
      <c r="Q6241">
        <v>0</v>
      </c>
      <c r="R6241" t="s">
        <v>46573</v>
      </c>
      <c r="S6241" t="s">
        <v>46705</v>
      </c>
      <c r="T6241" t="s">
        <v>48287</v>
      </c>
      <c r="U6241" t="s">
        <v>53968</v>
      </c>
      <c r="V6241" t="s">
        <v>61757</v>
      </c>
      <c r="W6241" t="s">
        <v>43139</v>
      </c>
      <c r="X6241" t="s">
        <v>46574</v>
      </c>
    </row>
    <row r="6242" spans="1:24">
      <c r="A6242">
        <f>HYPERLINK("https://www.philgeps.gov.ph/GEPSNONPILOT/Tender/SplashBidNoticeAbstractUI.aspx?menuIndex=3&amp;refID=7060626&amp;Result=3","7060626")</f>
        <v>0</v>
      </c>
      <c r="B6242" t="s">
        <v>1966</v>
      </c>
      <c r="C6242" t="s">
        <v>9461</v>
      </c>
      <c r="D6242" t="s">
        <v>18782</v>
      </c>
      <c r="E6242" t="s">
        <v>24424</v>
      </c>
      <c r="F6242" t="s">
        <v>32664</v>
      </c>
      <c r="G6242" t="s">
        <v>32672</v>
      </c>
      <c r="H6242" t="s">
        <v>12635</v>
      </c>
      <c r="I6242" t="s">
        <v>8730</v>
      </c>
      <c r="J6242" t="s">
        <v>35972</v>
      </c>
      <c r="K6242" t="s">
        <v>42297</v>
      </c>
      <c r="M6242" t="s">
        <v>44698</v>
      </c>
      <c r="N6242" t="s">
        <v>46569</v>
      </c>
      <c r="O6242" t="s">
        <v>46570</v>
      </c>
      <c r="P6242">
        <v>0</v>
      </c>
      <c r="Q6242">
        <v>1</v>
      </c>
      <c r="R6242" t="s">
        <v>46573</v>
      </c>
      <c r="S6242" t="s">
        <v>46705</v>
      </c>
      <c r="T6242" t="s">
        <v>48222</v>
      </c>
      <c r="U6242" t="s">
        <v>53969</v>
      </c>
      <c r="W6242" t="s">
        <v>44698</v>
      </c>
      <c r="X6242" t="s">
        <v>46574</v>
      </c>
    </row>
    <row r="6243" spans="1:24">
      <c r="A6243">
        <f>HYPERLINK("https://www.philgeps.gov.ph/GEPSNONPILOT/Tender/SplashBidNoticeAbstractUI.aspx?menuIndex=3&amp;refID=7060619&amp;Result=3","7060619")</f>
        <v>0</v>
      </c>
      <c r="B6243" t="s">
        <v>2035</v>
      </c>
      <c r="C6243" t="s">
        <v>9462</v>
      </c>
      <c r="E6243" t="s">
        <v>20724</v>
      </c>
      <c r="F6243" t="s">
        <v>32664</v>
      </c>
      <c r="G6243" t="s">
        <v>32672</v>
      </c>
      <c r="H6243" t="s">
        <v>12635</v>
      </c>
      <c r="I6243" t="s">
        <v>5589</v>
      </c>
      <c r="J6243" t="s">
        <v>36711</v>
      </c>
      <c r="K6243" t="s">
        <v>42283</v>
      </c>
      <c r="M6243" t="s">
        <v>44779</v>
      </c>
      <c r="N6243" t="s">
        <v>46569</v>
      </c>
      <c r="O6243" t="s">
        <v>46570</v>
      </c>
      <c r="P6243">
        <v>0</v>
      </c>
      <c r="Q6243">
        <v>19</v>
      </c>
      <c r="R6243" t="s">
        <v>46573</v>
      </c>
      <c r="S6243" t="s">
        <v>46705</v>
      </c>
      <c r="T6243" t="s">
        <v>48308</v>
      </c>
      <c r="U6243" t="s">
        <v>53970</v>
      </c>
      <c r="W6243" t="s">
        <v>44779</v>
      </c>
      <c r="X6243" t="s">
        <v>46574</v>
      </c>
    </row>
    <row r="6244" spans="1:24">
      <c r="A6244">
        <f>HYPERLINK("https://www.philgeps.gov.ph/GEPSNONPILOT/Tender/SplashBidNoticeAbstractUI.aspx?menuIndex=3&amp;refID=7060637&amp;Result=3","7060637")</f>
        <v>0</v>
      </c>
      <c r="B6244" t="s">
        <v>2029</v>
      </c>
      <c r="C6244" t="s">
        <v>9463</v>
      </c>
      <c r="D6244" t="s">
        <v>18784</v>
      </c>
      <c r="E6244" t="s">
        <v>24425</v>
      </c>
      <c r="F6244" t="s">
        <v>32664</v>
      </c>
      <c r="G6244" t="s">
        <v>32674</v>
      </c>
      <c r="H6244" t="s">
        <v>12635</v>
      </c>
      <c r="I6244" t="s">
        <v>4439</v>
      </c>
      <c r="J6244" t="s">
        <v>36712</v>
      </c>
      <c r="K6244" t="s">
        <v>42284</v>
      </c>
      <c r="M6244" t="s">
        <v>44772</v>
      </c>
      <c r="N6244" t="s">
        <v>46569</v>
      </c>
      <c r="O6244" t="s">
        <v>46570</v>
      </c>
      <c r="P6244">
        <v>0</v>
      </c>
      <c r="Q6244">
        <v>0</v>
      </c>
      <c r="R6244" t="s">
        <v>46573</v>
      </c>
      <c r="S6244" t="s">
        <v>46705</v>
      </c>
      <c r="T6244" t="s">
        <v>48228</v>
      </c>
      <c r="U6244" t="s">
        <v>53971</v>
      </c>
      <c r="V6244" t="s">
        <v>62248</v>
      </c>
      <c r="W6244" t="s">
        <v>44772</v>
      </c>
      <c r="X6244" t="s">
        <v>46574</v>
      </c>
    </row>
    <row r="6245" spans="1:24">
      <c r="A6245">
        <f>HYPERLINK("https://www.philgeps.gov.ph/GEPSNONPILOT/Tender/SplashBidNoticeAbstractUI.aspx?menuIndex=3&amp;refID=7060620&amp;Result=3","7060620")</f>
        <v>0</v>
      </c>
      <c r="B6245" t="s">
        <v>2029</v>
      </c>
      <c r="C6245" t="s">
        <v>9464</v>
      </c>
      <c r="D6245" t="s">
        <v>18784</v>
      </c>
      <c r="E6245" t="s">
        <v>24426</v>
      </c>
      <c r="F6245" t="s">
        <v>32664</v>
      </c>
      <c r="G6245" t="s">
        <v>32671</v>
      </c>
      <c r="H6245" t="s">
        <v>12635</v>
      </c>
      <c r="I6245" t="s">
        <v>8958</v>
      </c>
      <c r="J6245" t="s">
        <v>36713</v>
      </c>
      <c r="K6245" t="s">
        <v>42330</v>
      </c>
      <c r="M6245" t="s">
        <v>44772</v>
      </c>
      <c r="N6245" t="s">
        <v>46569</v>
      </c>
      <c r="O6245" t="s">
        <v>46570</v>
      </c>
      <c r="P6245">
        <v>0</v>
      </c>
      <c r="Q6245">
        <v>2</v>
      </c>
      <c r="R6245" t="s">
        <v>46573</v>
      </c>
      <c r="S6245" t="s">
        <v>46705</v>
      </c>
      <c r="T6245" t="s">
        <v>48228</v>
      </c>
      <c r="U6245" t="s">
        <v>53972</v>
      </c>
      <c r="V6245" t="s">
        <v>62248</v>
      </c>
      <c r="W6245" t="s">
        <v>44772</v>
      </c>
      <c r="X6245" t="s">
        <v>46574</v>
      </c>
    </row>
    <row r="6246" spans="1:24">
      <c r="A6246">
        <f>HYPERLINK("https://www.philgeps.gov.ph/GEPSNONPILOT/Tender/SplashBidNoticeAbstractUI.aspx?menuIndex=3&amp;refID=7060588&amp;Result=3","7060588")</f>
        <v>0</v>
      </c>
      <c r="B6246" t="s">
        <v>431</v>
      </c>
      <c r="C6246" t="s">
        <v>9465</v>
      </c>
      <c r="D6246" t="s">
        <v>18786</v>
      </c>
      <c r="E6246" t="s">
        <v>24427</v>
      </c>
      <c r="F6246" t="s">
        <v>32664</v>
      </c>
      <c r="G6246" t="s">
        <v>32672</v>
      </c>
      <c r="H6246" t="s">
        <v>12635</v>
      </c>
      <c r="I6246" t="s">
        <v>6628</v>
      </c>
      <c r="J6246" t="s">
        <v>33320</v>
      </c>
      <c r="K6246" t="s">
        <v>42289</v>
      </c>
      <c r="M6246" t="s">
        <v>43002</v>
      </c>
      <c r="N6246" t="s">
        <v>46569</v>
      </c>
      <c r="O6246" t="s">
        <v>46570</v>
      </c>
      <c r="P6246">
        <v>0</v>
      </c>
      <c r="Q6246">
        <v>2</v>
      </c>
      <c r="R6246" t="s">
        <v>46573</v>
      </c>
      <c r="S6246" t="s">
        <v>46705</v>
      </c>
      <c r="T6246" t="s">
        <v>48572</v>
      </c>
      <c r="U6246" t="s">
        <v>53973</v>
      </c>
      <c r="W6246" t="s">
        <v>63476</v>
      </c>
      <c r="X6246" t="s">
        <v>46574</v>
      </c>
    </row>
    <row r="6247" spans="1:24">
      <c r="A6247">
        <f>HYPERLINK("https://www.philgeps.gov.ph/GEPSNONPILOT/Tender/SplashBidNoticeAbstractUI.aspx?menuIndex=3&amp;refID=7060660&amp;Result=3","7060660")</f>
        <v>0</v>
      </c>
      <c r="B6247" t="s">
        <v>2045</v>
      </c>
      <c r="C6247" t="s">
        <v>9466</v>
      </c>
      <c r="D6247" t="s">
        <v>18818</v>
      </c>
      <c r="E6247" t="s">
        <v>24428</v>
      </c>
      <c r="F6247" t="s">
        <v>32664</v>
      </c>
      <c r="G6247" t="s">
        <v>32671</v>
      </c>
      <c r="H6247" t="s">
        <v>12635</v>
      </c>
      <c r="I6247" t="s">
        <v>32729</v>
      </c>
      <c r="J6247" t="s">
        <v>32917</v>
      </c>
      <c r="K6247" t="s">
        <v>42281</v>
      </c>
      <c r="M6247" t="s">
        <v>44792</v>
      </c>
      <c r="N6247" t="s">
        <v>46569</v>
      </c>
      <c r="O6247" t="s">
        <v>46570</v>
      </c>
      <c r="P6247">
        <v>0</v>
      </c>
      <c r="Q6247">
        <v>0</v>
      </c>
      <c r="R6247" t="s">
        <v>46573</v>
      </c>
      <c r="S6247" t="s">
        <v>46705</v>
      </c>
      <c r="T6247" t="s">
        <v>48573</v>
      </c>
      <c r="U6247" t="s">
        <v>53974</v>
      </c>
      <c r="W6247" t="s">
        <v>44792</v>
      </c>
      <c r="X6247" t="s">
        <v>46574</v>
      </c>
    </row>
    <row r="6248" spans="1:24">
      <c r="A6248">
        <f>HYPERLINK("https://www.philgeps.gov.ph/GEPSNONPILOT/Tender/SplashBidNoticeAbstractUI.aspx?menuIndex=3&amp;refID=7060618&amp;Result=3","7060618")</f>
        <v>0</v>
      </c>
      <c r="B6248" t="s">
        <v>1792</v>
      </c>
      <c r="C6248" t="s">
        <v>9467</v>
      </c>
      <c r="D6248" t="s">
        <v>18794</v>
      </c>
      <c r="E6248" t="s">
        <v>24429</v>
      </c>
      <c r="F6248" t="s">
        <v>32664</v>
      </c>
      <c r="G6248" t="s">
        <v>32674</v>
      </c>
      <c r="H6248" t="s">
        <v>12635</v>
      </c>
      <c r="I6248" t="s">
        <v>32684</v>
      </c>
      <c r="J6248" t="s">
        <v>32917</v>
      </c>
      <c r="K6248" t="s">
        <v>42289</v>
      </c>
      <c r="M6248" t="s">
        <v>44495</v>
      </c>
      <c r="N6248" t="s">
        <v>46569</v>
      </c>
      <c r="O6248" t="s">
        <v>46570</v>
      </c>
      <c r="P6248">
        <v>0</v>
      </c>
      <c r="Q6248">
        <v>1</v>
      </c>
      <c r="R6248" t="s">
        <v>46573</v>
      </c>
      <c r="S6248" t="s">
        <v>46705</v>
      </c>
      <c r="T6248" t="s">
        <v>48254</v>
      </c>
      <c r="U6248" t="s">
        <v>53888</v>
      </c>
      <c r="W6248" t="s">
        <v>44495</v>
      </c>
      <c r="X6248" t="s">
        <v>46574</v>
      </c>
    </row>
    <row r="6249" spans="1:24">
      <c r="A6249">
        <f>HYPERLINK("https://www.philgeps.gov.ph/GEPSNONPILOT/Tender/SplashBidNoticeAbstractUI.aspx?menuIndex=3&amp;refID=7060656&amp;Result=3","7060656")</f>
        <v>0</v>
      </c>
      <c r="B6249" t="s">
        <v>2046</v>
      </c>
      <c r="C6249" t="s">
        <v>9468</v>
      </c>
      <c r="D6249" t="s">
        <v>18846</v>
      </c>
      <c r="E6249" t="s">
        <v>24430</v>
      </c>
      <c r="F6249" t="s">
        <v>32664</v>
      </c>
      <c r="G6249" t="s">
        <v>32672</v>
      </c>
      <c r="H6249" t="s">
        <v>12635</v>
      </c>
      <c r="I6249" t="s">
        <v>32696</v>
      </c>
      <c r="J6249" t="s">
        <v>32837</v>
      </c>
      <c r="K6249" t="s">
        <v>42281</v>
      </c>
      <c r="M6249" t="s">
        <v>44793</v>
      </c>
      <c r="N6249" t="s">
        <v>46569</v>
      </c>
      <c r="O6249" t="s">
        <v>46570</v>
      </c>
      <c r="Q6249">
        <v>0</v>
      </c>
      <c r="R6249" t="s">
        <v>46573</v>
      </c>
      <c r="S6249" t="s">
        <v>46713</v>
      </c>
      <c r="T6249" t="s">
        <v>48269</v>
      </c>
      <c r="U6249" t="s">
        <v>53975</v>
      </c>
      <c r="V6249" t="s">
        <v>62255</v>
      </c>
      <c r="W6249" t="s">
        <v>44793</v>
      </c>
      <c r="X6249" t="s">
        <v>46574</v>
      </c>
    </row>
    <row r="6250" spans="1:24">
      <c r="A6250">
        <f>HYPERLINK("https://www.philgeps.gov.ph/GEPSNONPILOT/Tender/SplashBidNoticeAbstractUI.aspx?menuIndex=3&amp;refID=7060658&amp;Result=3","7060658")</f>
        <v>0</v>
      </c>
      <c r="B6250" t="s">
        <v>745</v>
      </c>
      <c r="C6250" t="s">
        <v>9469</v>
      </c>
      <c r="D6250" t="s">
        <v>18806</v>
      </c>
      <c r="E6250" t="s">
        <v>24431</v>
      </c>
      <c r="F6250" t="s">
        <v>32664</v>
      </c>
      <c r="G6250" t="s">
        <v>32671</v>
      </c>
      <c r="H6250" t="s">
        <v>12635</v>
      </c>
      <c r="I6250" t="s">
        <v>4205</v>
      </c>
      <c r="J6250" t="s">
        <v>36714</v>
      </c>
      <c r="K6250" t="s">
        <v>42297</v>
      </c>
      <c r="M6250" t="s">
        <v>43335</v>
      </c>
      <c r="N6250" t="s">
        <v>46569</v>
      </c>
      <c r="O6250" t="s">
        <v>46570</v>
      </c>
      <c r="P6250">
        <v>0</v>
      </c>
      <c r="Q6250">
        <v>2</v>
      </c>
      <c r="R6250" t="s">
        <v>46573</v>
      </c>
      <c r="S6250" t="s">
        <v>46705</v>
      </c>
      <c r="T6250" t="s">
        <v>48502</v>
      </c>
      <c r="U6250" t="s">
        <v>53976</v>
      </c>
      <c r="V6250" t="s">
        <v>62256</v>
      </c>
      <c r="W6250" t="s">
        <v>43335</v>
      </c>
      <c r="X6250" t="s">
        <v>46574</v>
      </c>
    </row>
    <row r="6251" spans="1:24">
      <c r="A6251">
        <f>HYPERLINK("https://www.philgeps.gov.ph/GEPSNONPILOT/Tender/SplashBidNoticeAbstractUI.aspx?menuIndex=3&amp;refID=7060657&amp;Result=3","7060657")</f>
        <v>0</v>
      </c>
      <c r="B6251" t="s">
        <v>2047</v>
      </c>
      <c r="C6251" t="s">
        <v>9470</v>
      </c>
      <c r="D6251" t="s">
        <v>18784</v>
      </c>
      <c r="E6251" t="s">
        <v>24432</v>
      </c>
      <c r="F6251" t="s">
        <v>32664</v>
      </c>
      <c r="G6251" t="s">
        <v>32671</v>
      </c>
      <c r="H6251" t="s">
        <v>12635</v>
      </c>
      <c r="I6251" t="s">
        <v>32706</v>
      </c>
      <c r="J6251" t="s">
        <v>36715</v>
      </c>
      <c r="K6251" t="s">
        <v>42284</v>
      </c>
      <c r="M6251" t="s">
        <v>44794</v>
      </c>
      <c r="N6251" t="s">
        <v>46569</v>
      </c>
      <c r="O6251" t="s">
        <v>46570</v>
      </c>
      <c r="P6251">
        <v>0</v>
      </c>
      <c r="Q6251">
        <v>1</v>
      </c>
      <c r="R6251" t="s">
        <v>46573</v>
      </c>
      <c r="S6251" t="s">
        <v>46705</v>
      </c>
      <c r="T6251" t="s">
        <v>48246</v>
      </c>
      <c r="U6251" t="s">
        <v>53977</v>
      </c>
      <c r="V6251" t="s">
        <v>62257</v>
      </c>
      <c r="W6251" t="s">
        <v>44794</v>
      </c>
      <c r="X6251" t="s">
        <v>46574</v>
      </c>
    </row>
    <row r="6252" spans="1:24">
      <c r="A6252">
        <f>HYPERLINK("https://www.philgeps.gov.ph/GEPSNONPILOT/Tender/SplashBidNoticeAbstractUI.aspx?menuIndex=3&amp;refID=7060654&amp;Result=3","7060654")</f>
        <v>0</v>
      </c>
      <c r="B6252" t="s">
        <v>1600</v>
      </c>
      <c r="C6252" t="s">
        <v>9471</v>
      </c>
      <c r="D6252" t="s">
        <v>18835</v>
      </c>
      <c r="E6252" t="s">
        <v>24433</v>
      </c>
      <c r="F6252" t="s">
        <v>32664</v>
      </c>
      <c r="G6252" t="s">
        <v>32671</v>
      </c>
      <c r="H6252" t="s">
        <v>12635</v>
      </c>
      <c r="I6252" t="s">
        <v>4439</v>
      </c>
      <c r="J6252" t="s">
        <v>36716</v>
      </c>
      <c r="K6252" t="s">
        <v>42289</v>
      </c>
      <c r="M6252" t="s">
        <v>44277</v>
      </c>
      <c r="N6252" t="s">
        <v>46569</v>
      </c>
      <c r="O6252" t="s">
        <v>46570</v>
      </c>
      <c r="P6252">
        <v>0</v>
      </c>
      <c r="Q6252">
        <v>1</v>
      </c>
      <c r="R6252" t="s">
        <v>46573</v>
      </c>
      <c r="S6252" t="s">
        <v>46705</v>
      </c>
      <c r="T6252" t="s">
        <v>48287</v>
      </c>
      <c r="U6252" t="s">
        <v>53978</v>
      </c>
      <c r="W6252" t="s">
        <v>44277</v>
      </c>
      <c r="X6252" t="s">
        <v>46574</v>
      </c>
    </row>
    <row r="6253" spans="1:24">
      <c r="A6253">
        <f>HYPERLINK("https://www.philgeps.gov.ph/GEPSNONPILOT/Tender/SplashBidNoticeAbstractUI.aspx?menuIndex=3&amp;refID=7060585&amp;Result=3","7060585")</f>
        <v>0</v>
      </c>
      <c r="B6253" t="s">
        <v>216</v>
      </c>
      <c r="C6253" t="s">
        <v>9472</v>
      </c>
      <c r="D6253" t="s">
        <v>18797</v>
      </c>
      <c r="E6253" t="s">
        <v>24434</v>
      </c>
      <c r="F6253" t="s">
        <v>32664</v>
      </c>
      <c r="G6253" t="s">
        <v>32671</v>
      </c>
      <c r="H6253" t="s">
        <v>12635</v>
      </c>
      <c r="I6253" t="s">
        <v>8797</v>
      </c>
      <c r="J6253" t="s">
        <v>36717</v>
      </c>
      <c r="K6253" t="s">
        <v>42284</v>
      </c>
      <c r="M6253" t="s">
        <v>42780</v>
      </c>
      <c r="N6253" t="s">
        <v>46569</v>
      </c>
      <c r="O6253" t="s">
        <v>46570</v>
      </c>
      <c r="P6253">
        <v>0</v>
      </c>
      <c r="Q6253">
        <v>2</v>
      </c>
      <c r="R6253" t="s">
        <v>46573</v>
      </c>
      <c r="S6253" t="s">
        <v>46705</v>
      </c>
      <c r="T6253" t="s">
        <v>48283</v>
      </c>
      <c r="U6253" t="s">
        <v>53979</v>
      </c>
      <c r="V6253" t="s">
        <v>62258</v>
      </c>
      <c r="W6253" t="s">
        <v>42780</v>
      </c>
      <c r="X6253" t="s">
        <v>46574</v>
      </c>
    </row>
    <row r="6254" spans="1:24">
      <c r="A6254">
        <f>HYPERLINK("https://www.philgeps.gov.ph/GEPSNONPILOT/Tender/SplashBidNoticeAbstractUI.aspx?menuIndex=3&amp;refID=7060629&amp;Result=3","7060629")</f>
        <v>0</v>
      </c>
      <c r="B6254" t="s">
        <v>166</v>
      </c>
      <c r="C6254" t="s">
        <v>9473</v>
      </c>
      <c r="D6254" t="s">
        <v>18792</v>
      </c>
      <c r="E6254" t="s">
        <v>24435</v>
      </c>
      <c r="F6254" t="s">
        <v>32664</v>
      </c>
      <c r="G6254" t="s">
        <v>32671</v>
      </c>
      <c r="H6254" t="s">
        <v>12635</v>
      </c>
      <c r="I6254" t="s">
        <v>32736</v>
      </c>
      <c r="J6254" t="s">
        <v>33621</v>
      </c>
      <c r="K6254" t="s">
        <v>42283</v>
      </c>
      <c r="M6254" t="s">
        <v>42730</v>
      </c>
      <c r="N6254" t="s">
        <v>46569</v>
      </c>
      <c r="O6254" t="s">
        <v>46570</v>
      </c>
      <c r="P6254">
        <v>0</v>
      </c>
      <c r="Q6254">
        <v>0</v>
      </c>
      <c r="R6254" t="s">
        <v>46573</v>
      </c>
      <c r="S6254" t="s">
        <v>46705</v>
      </c>
      <c r="T6254" t="s">
        <v>48219</v>
      </c>
      <c r="U6254" t="s">
        <v>53980</v>
      </c>
      <c r="W6254" t="s">
        <v>42730</v>
      </c>
      <c r="X6254" t="s">
        <v>46574</v>
      </c>
    </row>
    <row r="6255" spans="1:24">
      <c r="A6255">
        <f>HYPERLINK("https://www.philgeps.gov.ph/GEPSNONPILOT/Tender/SplashBidNoticeAbstractUI.aspx?menuIndex=3&amp;refID=7060648&amp;Result=3","7060648")</f>
        <v>0</v>
      </c>
      <c r="B6255" t="s">
        <v>642</v>
      </c>
      <c r="C6255" t="s">
        <v>3806</v>
      </c>
      <c r="D6255" t="s">
        <v>18785</v>
      </c>
      <c r="E6255" t="s">
        <v>24436</v>
      </c>
      <c r="F6255" t="s">
        <v>32664</v>
      </c>
      <c r="G6255" t="s">
        <v>32671</v>
      </c>
      <c r="H6255" t="s">
        <v>12635</v>
      </c>
      <c r="I6255" t="s">
        <v>6223</v>
      </c>
      <c r="J6255" t="s">
        <v>36718</v>
      </c>
      <c r="K6255" t="s">
        <v>42289</v>
      </c>
      <c r="M6255" t="s">
        <v>43227</v>
      </c>
      <c r="N6255" t="s">
        <v>46569</v>
      </c>
      <c r="O6255" t="s">
        <v>46570</v>
      </c>
      <c r="P6255">
        <v>0</v>
      </c>
      <c r="Q6255">
        <v>0</v>
      </c>
      <c r="R6255" t="s">
        <v>46573</v>
      </c>
      <c r="S6255" t="s">
        <v>46705</v>
      </c>
      <c r="T6255" t="s">
        <v>48287</v>
      </c>
      <c r="U6255" t="s">
        <v>53981</v>
      </c>
      <c r="V6255" t="s">
        <v>62259</v>
      </c>
      <c r="W6255" t="s">
        <v>43227</v>
      </c>
      <c r="X6255" t="s">
        <v>46574</v>
      </c>
    </row>
    <row r="6256" spans="1:24">
      <c r="A6256">
        <f>HYPERLINK("https://www.philgeps.gov.ph/GEPSNONPILOT/Tender/SplashBidNoticeAbstractUI.aspx?menuIndex=3&amp;refID=7060652&amp;Result=3","7060652")</f>
        <v>0</v>
      </c>
      <c r="B6256" t="s">
        <v>726</v>
      </c>
      <c r="C6256" t="s">
        <v>9474</v>
      </c>
      <c r="D6256" t="s">
        <v>18784</v>
      </c>
      <c r="E6256" t="s">
        <v>24437</v>
      </c>
      <c r="F6256" t="s">
        <v>32664</v>
      </c>
      <c r="G6256" t="s">
        <v>32672</v>
      </c>
      <c r="H6256" t="s">
        <v>12635</v>
      </c>
      <c r="I6256" t="s">
        <v>32710</v>
      </c>
      <c r="J6256" t="s">
        <v>32865</v>
      </c>
      <c r="K6256" t="s">
        <v>42284</v>
      </c>
      <c r="M6256" t="s">
        <v>43314</v>
      </c>
      <c r="N6256" t="s">
        <v>46569</v>
      </c>
      <c r="O6256" t="s">
        <v>46570</v>
      </c>
      <c r="P6256">
        <v>0</v>
      </c>
      <c r="Q6256">
        <v>5</v>
      </c>
      <c r="R6256" t="s">
        <v>46573</v>
      </c>
      <c r="S6256" t="s">
        <v>46705</v>
      </c>
      <c r="T6256" t="s">
        <v>48282</v>
      </c>
      <c r="U6256" t="s">
        <v>50145</v>
      </c>
      <c r="W6256" t="s">
        <v>43314</v>
      </c>
      <c r="X6256" t="s">
        <v>46574</v>
      </c>
    </row>
    <row r="6257" spans="1:24">
      <c r="A6257">
        <f>HYPERLINK("https://www.philgeps.gov.ph/GEPSNONPILOT/Tender/SplashBidNoticeAbstractUI.aspx?menuIndex=3&amp;refID=7060661&amp;Result=3","7060661")</f>
        <v>0</v>
      </c>
      <c r="B6257" t="s">
        <v>594</v>
      </c>
      <c r="C6257" t="s">
        <v>9475</v>
      </c>
      <c r="D6257" t="s">
        <v>18784</v>
      </c>
      <c r="E6257" t="s">
        <v>24438</v>
      </c>
      <c r="F6257" t="s">
        <v>32664</v>
      </c>
      <c r="G6257" t="s">
        <v>32671</v>
      </c>
      <c r="H6257" t="s">
        <v>12635</v>
      </c>
      <c r="I6257" t="s">
        <v>32711</v>
      </c>
      <c r="J6257" t="s">
        <v>33167</v>
      </c>
      <c r="K6257" t="s">
        <v>42297</v>
      </c>
      <c r="M6257" t="s">
        <v>43793</v>
      </c>
      <c r="N6257" t="s">
        <v>46569</v>
      </c>
      <c r="O6257" t="s">
        <v>46570</v>
      </c>
      <c r="P6257">
        <v>0</v>
      </c>
      <c r="Q6257">
        <v>2</v>
      </c>
      <c r="R6257" t="s">
        <v>46573</v>
      </c>
      <c r="S6257" t="s">
        <v>46705</v>
      </c>
      <c r="T6257" t="s">
        <v>48461</v>
      </c>
      <c r="U6257" t="s">
        <v>53982</v>
      </c>
      <c r="V6257" t="s">
        <v>61909</v>
      </c>
      <c r="W6257" t="s">
        <v>43793</v>
      </c>
      <c r="X6257" t="s">
        <v>46574</v>
      </c>
    </row>
    <row r="6258" spans="1:24">
      <c r="A6258">
        <f>HYPERLINK("https://www.philgeps.gov.ph/GEPSNONPILOT/Tender/SplashBidNoticeAbstractUI.aspx?menuIndex=3&amp;refID=7060504&amp;Result=3","7060504")</f>
        <v>0</v>
      </c>
      <c r="B6258" t="s">
        <v>617</v>
      </c>
      <c r="C6258" t="s">
        <v>9476</v>
      </c>
      <c r="D6258" t="s">
        <v>18784</v>
      </c>
      <c r="E6258" t="s">
        <v>24439</v>
      </c>
      <c r="F6258" t="s">
        <v>32664</v>
      </c>
      <c r="G6258" t="s">
        <v>32674</v>
      </c>
      <c r="H6258" t="s">
        <v>12635</v>
      </c>
      <c r="I6258" t="s">
        <v>32704</v>
      </c>
      <c r="J6258" t="s">
        <v>36719</v>
      </c>
      <c r="K6258" t="s">
        <v>42289</v>
      </c>
      <c r="M6258" t="s">
        <v>43197</v>
      </c>
      <c r="N6258" t="s">
        <v>46569</v>
      </c>
      <c r="O6258" t="s">
        <v>46570</v>
      </c>
      <c r="P6258">
        <v>0</v>
      </c>
      <c r="Q6258">
        <v>4</v>
      </c>
      <c r="R6258" t="s">
        <v>46573</v>
      </c>
      <c r="S6258" t="s">
        <v>46705</v>
      </c>
      <c r="T6258" t="s">
        <v>48448</v>
      </c>
      <c r="U6258" t="s">
        <v>53983</v>
      </c>
      <c r="V6258" t="s">
        <v>62260</v>
      </c>
      <c r="W6258" t="s">
        <v>63547</v>
      </c>
      <c r="X6258" t="s">
        <v>46574</v>
      </c>
    </row>
    <row r="6259" spans="1:24">
      <c r="A6259">
        <f>HYPERLINK("https://www.philgeps.gov.ph/GEPSNONPILOT/Tender/SplashBidNoticeAbstractUI.aspx?menuIndex=3&amp;refID=7060644&amp;Result=3","7060644")</f>
        <v>0</v>
      </c>
      <c r="B6259" t="s">
        <v>562</v>
      </c>
      <c r="C6259" t="s">
        <v>9477</v>
      </c>
      <c r="D6259" t="s">
        <v>18781</v>
      </c>
      <c r="E6259" t="s">
        <v>24440</v>
      </c>
      <c r="F6259" t="s">
        <v>32664</v>
      </c>
      <c r="G6259" t="s">
        <v>32672</v>
      </c>
      <c r="H6259" t="s">
        <v>12635</v>
      </c>
      <c r="I6259" t="s">
        <v>32694</v>
      </c>
      <c r="J6259" t="s">
        <v>36720</v>
      </c>
      <c r="K6259" t="s">
        <v>42283</v>
      </c>
      <c r="M6259" t="s">
        <v>44795</v>
      </c>
      <c r="N6259" t="s">
        <v>46569</v>
      </c>
      <c r="O6259" t="s">
        <v>46570</v>
      </c>
      <c r="P6259">
        <v>0</v>
      </c>
      <c r="Q6259">
        <v>0</v>
      </c>
      <c r="R6259" t="s">
        <v>46573</v>
      </c>
      <c r="S6259" t="s">
        <v>46705</v>
      </c>
      <c r="T6259" t="s">
        <v>48311</v>
      </c>
      <c r="U6259" t="s">
        <v>53984</v>
      </c>
      <c r="W6259" t="s">
        <v>44795</v>
      </c>
      <c r="X6259" t="s">
        <v>46574</v>
      </c>
    </row>
    <row r="6260" spans="1:24">
      <c r="A6260">
        <f>HYPERLINK("https://www.philgeps.gov.ph/GEPSNONPILOT/Tender/SplashBidNoticeAbstractUI.aspx?menuIndex=3&amp;refID=7060653&amp;Result=3","7060653")</f>
        <v>0</v>
      </c>
      <c r="B6260" t="s">
        <v>154</v>
      </c>
      <c r="C6260" t="s">
        <v>9478</v>
      </c>
      <c r="E6260" t="s">
        <v>24441</v>
      </c>
      <c r="F6260" t="s">
        <v>32664</v>
      </c>
      <c r="G6260" t="s">
        <v>32672</v>
      </c>
      <c r="H6260" t="s">
        <v>32683</v>
      </c>
      <c r="I6260" t="s">
        <v>10627</v>
      </c>
      <c r="J6260" t="s">
        <v>36721</v>
      </c>
      <c r="K6260" t="s">
        <v>42283</v>
      </c>
      <c r="M6260" t="s">
        <v>42718</v>
      </c>
      <c r="N6260" t="s">
        <v>46569</v>
      </c>
      <c r="O6260" t="s">
        <v>46570</v>
      </c>
      <c r="P6260">
        <v>0</v>
      </c>
      <c r="Q6260">
        <v>3</v>
      </c>
      <c r="R6260" t="s">
        <v>46573</v>
      </c>
      <c r="S6260" t="s">
        <v>46705</v>
      </c>
      <c r="T6260" t="s">
        <v>48410</v>
      </c>
      <c r="U6260" t="s">
        <v>53961</v>
      </c>
      <c r="V6260" t="s">
        <v>62253</v>
      </c>
      <c r="W6260" t="s">
        <v>42718</v>
      </c>
      <c r="X6260" t="s">
        <v>46574</v>
      </c>
    </row>
    <row r="6261" spans="1:24">
      <c r="A6261">
        <f>HYPERLINK("https://www.philgeps.gov.ph/GEPSNONPILOT/Tender/SplashBidNoticeAbstractUI.aspx?menuIndex=3&amp;refID=7060646&amp;Result=3","7060646")</f>
        <v>0</v>
      </c>
      <c r="B6261" t="s">
        <v>1973</v>
      </c>
      <c r="C6261" t="s">
        <v>9479</v>
      </c>
      <c r="D6261" t="s">
        <v>18781</v>
      </c>
      <c r="E6261" t="s">
        <v>9479</v>
      </c>
      <c r="F6261" t="s">
        <v>32664</v>
      </c>
      <c r="G6261" t="s">
        <v>32672</v>
      </c>
      <c r="H6261" t="s">
        <v>32683</v>
      </c>
      <c r="I6261" t="s">
        <v>10627</v>
      </c>
      <c r="J6261" t="s">
        <v>36722</v>
      </c>
      <c r="K6261" t="s">
        <v>42283</v>
      </c>
      <c r="M6261" t="s">
        <v>44707</v>
      </c>
      <c r="N6261" t="s">
        <v>46569</v>
      </c>
      <c r="O6261" t="s">
        <v>46570</v>
      </c>
      <c r="P6261">
        <v>0</v>
      </c>
      <c r="Q6261">
        <v>0</v>
      </c>
      <c r="R6261" t="s">
        <v>46573</v>
      </c>
      <c r="S6261" t="s">
        <v>46705</v>
      </c>
      <c r="T6261" t="s">
        <v>48305</v>
      </c>
      <c r="U6261" t="s">
        <v>53985</v>
      </c>
      <c r="W6261" t="s">
        <v>44707</v>
      </c>
      <c r="X6261" t="s">
        <v>46574</v>
      </c>
    </row>
    <row r="6262" spans="1:24">
      <c r="A6262">
        <f>HYPERLINK("https://www.philgeps.gov.ph/GEPSNONPILOT/Tender/SplashBidNoticeAbstractUI.aspx?menuIndex=3&amp;refID=7060649&amp;Result=3","7060649")</f>
        <v>0</v>
      </c>
      <c r="B6262" t="s">
        <v>1503</v>
      </c>
      <c r="C6262" t="s">
        <v>9480</v>
      </c>
      <c r="D6262" t="s">
        <v>18784</v>
      </c>
      <c r="E6262" t="s">
        <v>24442</v>
      </c>
      <c r="F6262" t="s">
        <v>32664</v>
      </c>
      <c r="G6262" t="s">
        <v>32675</v>
      </c>
      <c r="H6262" t="s">
        <v>12635</v>
      </c>
      <c r="I6262" t="s">
        <v>5501</v>
      </c>
      <c r="J6262" t="s">
        <v>33069</v>
      </c>
      <c r="K6262" t="s">
        <v>42284</v>
      </c>
      <c r="M6262" t="s">
        <v>44167</v>
      </c>
      <c r="N6262" t="s">
        <v>46569</v>
      </c>
      <c r="O6262" t="s">
        <v>46570</v>
      </c>
      <c r="P6262">
        <v>0</v>
      </c>
      <c r="Q6262">
        <v>19</v>
      </c>
      <c r="R6262" t="s">
        <v>46573</v>
      </c>
      <c r="S6262" t="s">
        <v>46705</v>
      </c>
      <c r="T6262" t="s">
        <v>48331</v>
      </c>
      <c r="U6262" t="s">
        <v>53986</v>
      </c>
      <c r="W6262" t="s">
        <v>44167</v>
      </c>
      <c r="X6262" t="s">
        <v>46574</v>
      </c>
    </row>
    <row r="6263" spans="1:24">
      <c r="A6263">
        <f>HYPERLINK("https://www.philgeps.gov.ph/GEPSNONPILOT/Tender/SplashBidNoticeAbstractUI.aspx?menuIndex=3&amp;refID=7060685&amp;Result=3","7060685")</f>
        <v>0</v>
      </c>
      <c r="B6263" t="s">
        <v>1884</v>
      </c>
      <c r="C6263" t="s">
        <v>9481</v>
      </c>
      <c r="D6263" t="s">
        <v>18784</v>
      </c>
      <c r="E6263" t="s">
        <v>24443</v>
      </c>
      <c r="F6263" t="s">
        <v>32664</v>
      </c>
      <c r="G6263" t="s">
        <v>32671</v>
      </c>
      <c r="H6263" t="s">
        <v>12635</v>
      </c>
      <c r="I6263" t="s">
        <v>7429</v>
      </c>
      <c r="J6263" t="s">
        <v>35542</v>
      </c>
      <c r="K6263" t="s">
        <v>42284</v>
      </c>
      <c r="M6263" t="s">
        <v>44603</v>
      </c>
      <c r="N6263" t="s">
        <v>46569</v>
      </c>
      <c r="O6263" t="s">
        <v>46570</v>
      </c>
      <c r="P6263">
        <v>0</v>
      </c>
      <c r="Q6263">
        <v>1</v>
      </c>
      <c r="R6263" t="s">
        <v>46573</v>
      </c>
      <c r="S6263" t="s">
        <v>46705</v>
      </c>
      <c r="T6263" t="s">
        <v>48219</v>
      </c>
      <c r="U6263" t="s">
        <v>53987</v>
      </c>
      <c r="V6263" t="s">
        <v>62212</v>
      </c>
      <c r="W6263" t="s">
        <v>44603</v>
      </c>
      <c r="X6263" t="s">
        <v>46574</v>
      </c>
    </row>
    <row r="6264" spans="1:24">
      <c r="A6264">
        <f>HYPERLINK("https://www.philgeps.gov.ph/GEPSNONPILOT/Tender/SplashBidNoticeAbstractUI.aspx?menuIndex=3&amp;refID=7060641&amp;Result=3","7060641")</f>
        <v>0</v>
      </c>
      <c r="B6264" t="s">
        <v>2032</v>
      </c>
      <c r="C6264" t="s">
        <v>9482</v>
      </c>
      <c r="D6264" t="s">
        <v>18845</v>
      </c>
      <c r="E6264" t="s">
        <v>24444</v>
      </c>
      <c r="F6264" t="s">
        <v>32664</v>
      </c>
      <c r="G6264" t="s">
        <v>32672</v>
      </c>
      <c r="H6264" t="s">
        <v>12635</v>
      </c>
      <c r="I6264" t="s">
        <v>4439</v>
      </c>
      <c r="J6264" t="s">
        <v>36723</v>
      </c>
      <c r="K6264" t="s">
        <v>42283</v>
      </c>
      <c r="M6264" t="s">
        <v>44776</v>
      </c>
      <c r="N6264" t="s">
        <v>46569</v>
      </c>
      <c r="O6264" t="s">
        <v>46570</v>
      </c>
      <c r="P6264">
        <v>0</v>
      </c>
      <c r="Q6264">
        <v>0</v>
      </c>
      <c r="R6264" t="s">
        <v>46573</v>
      </c>
      <c r="S6264" t="s">
        <v>46705</v>
      </c>
      <c r="T6264" t="s">
        <v>48567</v>
      </c>
      <c r="U6264" t="s">
        <v>53915</v>
      </c>
      <c r="V6264" t="s">
        <v>62261</v>
      </c>
      <c r="W6264" t="s">
        <v>44776</v>
      </c>
      <c r="X6264" t="s">
        <v>46574</v>
      </c>
    </row>
    <row r="6265" spans="1:24">
      <c r="A6265">
        <f>HYPERLINK("https://www.philgeps.gov.ph/GEPSNONPILOT/Tender/SplashBidNoticeAbstractUI.aspx?menuIndex=3&amp;refID=7060647&amp;Result=3","7060647")</f>
        <v>0</v>
      </c>
      <c r="B6265" t="s">
        <v>1281</v>
      </c>
      <c r="C6265" t="s">
        <v>9483</v>
      </c>
      <c r="D6265" t="s">
        <v>18837</v>
      </c>
      <c r="E6265" t="s">
        <v>20387</v>
      </c>
      <c r="F6265" t="s">
        <v>32664</v>
      </c>
      <c r="G6265" t="s">
        <v>32672</v>
      </c>
      <c r="H6265" t="s">
        <v>12635</v>
      </c>
      <c r="I6265" t="s">
        <v>32743</v>
      </c>
      <c r="J6265" t="s">
        <v>32859</v>
      </c>
      <c r="K6265" t="s">
        <v>42297</v>
      </c>
      <c r="M6265" t="s">
        <v>43924</v>
      </c>
      <c r="N6265" t="s">
        <v>46569</v>
      </c>
      <c r="O6265" t="s">
        <v>46570</v>
      </c>
      <c r="P6265">
        <v>0</v>
      </c>
      <c r="Q6265">
        <v>4</v>
      </c>
      <c r="R6265" t="s">
        <v>46573</v>
      </c>
      <c r="S6265" t="s">
        <v>46705</v>
      </c>
      <c r="T6265" t="s">
        <v>48283</v>
      </c>
      <c r="U6265" t="s">
        <v>53988</v>
      </c>
      <c r="W6265" t="s">
        <v>43924</v>
      </c>
      <c r="X6265" t="s">
        <v>46574</v>
      </c>
    </row>
    <row r="6266" spans="1:24">
      <c r="A6266">
        <f>HYPERLINK("https://www.philgeps.gov.ph/GEPSNONPILOT/Tender/SplashBidNoticeAbstractUI.aspx?menuIndex=3&amp;refID=7060640&amp;Result=3","7060640")</f>
        <v>0</v>
      </c>
      <c r="B6266" t="s">
        <v>694</v>
      </c>
      <c r="C6266" t="s">
        <v>9484</v>
      </c>
      <c r="D6266" t="s">
        <v>18831</v>
      </c>
      <c r="E6266" t="s">
        <v>19782</v>
      </c>
      <c r="F6266" t="s">
        <v>32664</v>
      </c>
      <c r="G6266" t="s">
        <v>32671</v>
      </c>
      <c r="H6266" t="s">
        <v>12635</v>
      </c>
      <c r="I6266" t="s">
        <v>32704</v>
      </c>
      <c r="J6266" t="s">
        <v>32865</v>
      </c>
      <c r="K6266" t="s">
        <v>42281</v>
      </c>
      <c r="M6266" t="s">
        <v>43281</v>
      </c>
      <c r="N6266" t="s">
        <v>46569</v>
      </c>
      <c r="O6266" t="s">
        <v>46570</v>
      </c>
      <c r="P6266">
        <v>0</v>
      </c>
      <c r="Q6266">
        <v>2</v>
      </c>
      <c r="R6266" t="s">
        <v>46573</v>
      </c>
      <c r="S6266" t="s">
        <v>46705</v>
      </c>
      <c r="T6266" t="s">
        <v>48254</v>
      </c>
      <c r="U6266" t="s">
        <v>50082</v>
      </c>
      <c r="W6266" t="s">
        <v>43281</v>
      </c>
      <c r="X6266" t="s">
        <v>46574</v>
      </c>
    </row>
    <row r="6267" spans="1:24">
      <c r="A6267">
        <f>HYPERLINK("https://www.philgeps.gov.ph/GEPSNONPILOT/Tender/SplashBidNoticeAbstractUI.aspx?menuIndex=3&amp;refID=7060678&amp;Result=3","7060678")</f>
        <v>0</v>
      </c>
      <c r="B6267" t="s">
        <v>1342</v>
      </c>
      <c r="C6267" t="s">
        <v>9485</v>
      </c>
      <c r="D6267" t="s">
        <v>18787</v>
      </c>
      <c r="E6267" t="s">
        <v>24445</v>
      </c>
      <c r="F6267" t="s">
        <v>32664</v>
      </c>
      <c r="G6267" t="s">
        <v>32671</v>
      </c>
      <c r="H6267" t="s">
        <v>12635</v>
      </c>
      <c r="I6267" t="s">
        <v>7709</v>
      </c>
      <c r="J6267" t="s">
        <v>36724</v>
      </c>
      <c r="K6267" t="s">
        <v>42330</v>
      </c>
      <c r="M6267" t="s">
        <v>44796</v>
      </c>
      <c r="N6267" t="s">
        <v>46569</v>
      </c>
      <c r="O6267" t="s">
        <v>46570</v>
      </c>
      <c r="P6267">
        <v>0</v>
      </c>
      <c r="Q6267">
        <v>1</v>
      </c>
      <c r="R6267" t="s">
        <v>46573</v>
      </c>
      <c r="S6267" t="s">
        <v>46705</v>
      </c>
      <c r="T6267" t="s">
        <v>48316</v>
      </c>
      <c r="U6267" t="s">
        <v>53989</v>
      </c>
      <c r="W6267" t="s">
        <v>44796</v>
      </c>
      <c r="X6267" t="s">
        <v>46574</v>
      </c>
    </row>
    <row r="6268" spans="1:24">
      <c r="A6268">
        <f>HYPERLINK("https://www.philgeps.gov.ph/GEPSNONPILOT/Tender/SplashBidNoticeAbstractUI.aspx?menuIndex=3&amp;refID=7060683&amp;Result=3","7060683")</f>
        <v>0</v>
      </c>
      <c r="B6268" t="s">
        <v>1966</v>
      </c>
      <c r="C6268" t="s">
        <v>9486</v>
      </c>
      <c r="D6268" t="s">
        <v>18782</v>
      </c>
      <c r="E6268" t="s">
        <v>24446</v>
      </c>
      <c r="F6268" t="s">
        <v>32664</v>
      </c>
      <c r="G6268" t="s">
        <v>32672</v>
      </c>
      <c r="H6268" t="s">
        <v>12635</v>
      </c>
      <c r="I6268" t="s">
        <v>9486</v>
      </c>
      <c r="J6268" t="s">
        <v>32865</v>
      </c>
      <c r="K6268" t="s">
        <v>42297</v>
      </c>
      <c r="M6268" t="s">
        <v>44698</v>
      </c>
      <c r="N6268" t="s">
        <v>46569</v>
      </c>
      <c r="O6268" t="s">
        <v>46570</v>
      </c>
      <c r="P6268">
        <v>0</v>
      </c>
      <c r="Q6268">
        <v>1</v>
      </c>
      <c r="R6268" t="s">
        <v>46573</v>
      </c>
      <c r="S6268" t="s">
        <v>46705</v>
      </c>
      <c r="T6268" t="s">
        <v>48222</v>
      </c>
      <c r="U6268" t="s">
        <v>53990</v>
      </c>
      <c r="W6268" t="s">
        <v>44698</v>
      </c>
      <c r="X6268" t="s">
        <v>46574</v>
      </c>
    </row>
    <row r="6269" spans="1:24">
      <c r="A6269">
        <f>HYPERLINK("https://www.philgeps.gov.ph/GEPSNONPILOT/Tender/SplashBidNoticeAbstractUI.aspx?menuIndex=3&amp;refID=7060650&amp;Result=3","7060650")</f>
        <v>0</v>
      </c>
      <c r="B6269" t="s">
        <v>166</v>
      </c>
      <c r="C6269" t="s">
        <v>9487</v>
      </c>
      <c r="D6269" t="s">
        <v>18792</v>
      </c>
      <c r="E6269" t="s">
        <v>24447</v>
      </c>
      <c r="F6269" t="s">
        <v>32664</v>
      </c>
      <c r="G6269" t="s">
        <v>32671</v>
      </c>
      <c r="H6269" t="s">
        <v>12635</v>
      </c>
      <c r="I6269" t="s">
        <v>9486</v>
      </c>
      <c r="J6269" t="s">
        <v>33175</v>
      </c>
      <c r="K6269" t="s">
        <v>42283</v>
      </c>
      <c r="M6269" t="s">
        <v>42730</v>
      </c>
      <c r="N6269" t="s">
        <v>46569</v>
      </c>
      <c r="O6269" t="s">
        <v>46570</v>
      </c>
      <c r="P6269">
        <v>0</v>
      </c>
      <c r="Q6269">
        <v>0</v>
      </c>
      <c r="R6269" t="s">
        <v>46573</v>
      </c>
      <c r="S6269" t="s">
        <v>46705</v>
      </c>
      <c r="T6269" t="s">
        <v>48221</v>
      </c>
      <c r="U6269" t="s">
        <v>53991</v>
      </c>
      <c r="W6269" t="s">
        <v>42730</v>
      </c>
      <c r="X6269" t="s">
        <v>46574</v>
      </c>
    </row>
    <row r="6270" spans="1:24">
      <c r="A6270">
        <f>HYPERLINK("https://www.philgeps.gov.ph/GEPSNONPILOT/Tender/SplashBidNoticeAbstractUI.aspx?menuIndex=3&amp;refID=7060680&amp;Result=3","7060680")</f>
        <v>0</v>
      </c>
      <c r="B6270" t="s">
        <v>2048</v>
      </c>
      <c r="C6270" t="s">
        <v>9488</v>
      </c>
      <c r="D6270" t="s">
        <v>18823</v>
      </c>
      <c r="E6270" t="s">
        <v>19193</v>
      </c>
      <c r="F6270" t="s">
        <v>32664</v>
      </c>
      <c r="G6270" t="s">
        <v>32672</v>
      </c>
      <c r="H6270" t="s">
        <v>12635</v>
      </c>
      <c r="I6270" t="s">
        <v>6223</v>
      </c>
      <c r="J6270" t="s">
        <v>36725</v>
      </c>
      <c r="K6270" t="s">
        <v>42281</v>
      </c>
      <c r="M6270" t="s">
        <v>44797</v>
      </c>
      <c r="N6270" t="s">
        <v>46569</v>
      </c>
      <c r="O6270" t="s">
        <v>46570</v>
      </c>
      <c r="P6270">
        <v>0</v>
      </c>
      <c r="Q6270">
        <v>3</v>
      </c>
      <c r="R6270" t="s">
        <v>46573</v>
      </c>
      <c r="S6270" t="s">
        <v>46705</v>
      </c>
      <c r="T6270" t="s">
        <v>48285</v>
      </c>
      <c r="U6270" t="s">
        <v>53992</v>
      </c>
      <c r="W6270" t="s">
        <v>44797</v>
      </c>
      <c r="X6270" t="s">
        <v>46574</v>
      </c>
    </row>
    <row r="6271" spans="1:24">
      <c r="A6271">
        <f>HYPERLINK("https://www.philgeps.gov.ph/GEPSNONPILOT/Tender/SplashBidNoticeAbstractUI.aspx?menuIndex=3&amp;refID=7060645&amp;Result=3","7060645")</f>
        <v>0</v>
      </c>
      <c r="B6271" t="s">
        <v>1178</v>
      </c>
      <c r="C6271" t="s">
        <v>9489</v>
      </c>
      <c r="D6271" t="s">
        <v>18827</v>
      </c>
      <c r="E6271" t="s">
        <v>24448</v>
      </c>
      <c r="F6271" t="s">
        <v>32664</v>
      </c>
      <c r="G6271" t="s">
        <v>32671</v>
      </c>
      <c r="H6271" t="s">
        <v>12635</v>
      </c>
      <c r="I6271" t="s">
        <v>10590</v>
      </c>
      <c r="J6271" t="s">
        <v>32898</v>
      </c>
      <c r="K6271" t="s">
        <v>42295</v>
      </c>
      <c r="M6271" t="s">
        <v>43813</v>
      </c>
      <c r="N6271" t="s">
        <v>46569</v>
      </c>
      <c r="O6271" t="s">
        <v>46570</v>
      </c>
      <c r="P6271">
        <v>0</v>
      </c>
      <c r="Q6271">
        <v>0</v>
      </c>
      <c r="R6271" t="s">
        <v>46573</v>
      </c>
      <c r="S6271" t="s">
        <v>46705</v>
      </c>
      <c r="T6271" t="s">
        <v>48307</v>
      </c>
      <c r="U6271" t="s">
        <v>53993</v>
      </c>
      <c r="W6271" t="s">
        <v>43813</v>
      </c>
      <c r="X6271" t="s">
        <v>46574</v>
      </c>
    </row>
    <row r="6272" spans="1:24">
      <c r="A6272">
        <f>HYPERLINK("https://www.philgeps.gov.ph/GEPSNONPILOT/Tender/SplashBidNoticeAbstractUI.aspx?menuIndex=3&amp;refID=7060675&amp;Result=3","7060675")</f>
        <v>0</v>
      </c>
      <c r="B6272" t="s">
        <v>1600</v>
      </c>
      <c r="C6272" t="s">
        <v>9490</v>
      </c>
      <c r="D6272" t="s">
        <v>18835</v>
      </c>
      <c r="E6272" t="s">
        <v>24449</v>
      </c>
      <c r="F6272" t="s">
        <v>32664</v>
      </c>
      <c r="G6272" t="s">
        <v>32671</v>
      </c>
      <c r="H6272" t="s">
        <v>12635</v>
      </c>
      <c r="I6272" t="s">
        <v>4439</v>
      </c>
      <c r="J6272" t="s">
        <v>36726</v>
      </c>
      <c r="K6272" t="s">
        <v>42289</v>
      </c>
      <c r="M6272" t="s">
        <v>44277</v>
      </c>
      <c r="N6272" t="s">
        <v>46569</v>
      </c>
      <c r="O6272" t="s">
        <v>46570</v>
      </c>
      <c r="P6272">
        <v>0</v>
      </c>
      <c r="Q6272">
        <v>0</v>
      </c>
      <c r="R6272" t="s">
        <v>46573</v>
      </c>
      <c r="S6272" t="s">
        <v>46705</v>
      </c>
      <c r="T6272" t="s">
        <v>48287</v>
      </c>
      <c r="U6272" t="s">
        <v>53994</v>
      </c>
      <c r="W6272" t="s">
        <v>44277</v>
      </c>
      <c r="X6272" t="s">
        <v>46574</v>
      </c>
    </row>
    <row r="6273" spans="1:24">
      <c r="A6273">
        <f>HYPERLINK("https://www.philgeps.gov.ph/GEPSNONPILOT/Tender/SplashBidNoticeAbstractUI.aspx?menuIndex=3&amp;refID=7060674&amp;Result=3","7060674")</f>
        <v>0</v>
      </c>
      <c r="B6273" t="s">
        <v>1922</v>
      </c>
      <c r="C6273" t="s">
        <v>9491</v>
      </c>
      <c r="D6273" t="s">
        <v>18827</v>
      </c>
      <c r="E6273" t="s">
        <v>24450</v>
      </c>
      <c r="F6273" t="s">
        <v>32664</v>
      </c>
      <c r="G6273" t="s">
        <v>32672</v>
      </c>
      <c r="H6273" t="s">
        <v>32683</v>
      </c>
      <c r="I6273" t="s">
        <v>10627</v>
      </c>
      <c r="J6273" t="s">
        <v>36727</v>
      </c>
      <c r="K6273" t="s">
        <v>42308</v>
      </c>
      <c r="M6273" t="s">
        <v>44782</v>
      </c>
      <c r="N6273" t="s">
        <v>46569</v>
      </c>
      <c r="O6273" t="s">
        <v>46570</v>
      </c>
      <c r="P6273">
        <v>0</v>
      </c>
      <c r="Q6273">
        <v>1</v>
      </c>
      <c r="R6273" t="s">
        <v>46573</v>
      </c>
      <c r="S6273" t="s">
        <v>46705</v>
      </c>
      <c r="T6273" t="s">
        <v>48362</v>
      </c>
      <c r="U6273" t="s">
        <v>53995</v>
      </c>
      <c r="W6273" t="s">
        <v>44782</v>
      </c>
      <c r="X6273" t="s">
        <v>46574</v>
      </c>
    </row>
    <row r="6274" spans="1:24">
      <c r="A6274">
        <f>HYPERLINK("https://www.philgeps.gov.ph/GEPSNONPILOT/Tender/SplashBidNoticeAbstractUI.aspx?menuIndex=3&amp;refID=7060670&amp;Result=3","7060670")</f>
        <v>0</v>
      </c>
      <c r="B6274" t="s">
        <v>2041</v>
      </c>
      <c r="C6274" t="s">
        <v>9492</v>
      </c>
      <c r="D6274" t="s">
        <v>18784</v>
      </c>
      <c r="E6274" t="s">
        <v>24451</v>
      </c>
      <c r="F6274" t="s">
        <v>32664</v>
      </c>
      <c r="G6274" t="s">
        <v>32671</v>
      </c>
      <c r="H6274" t="s">
        <v>12635</v>
      </c>
      <c r="I6274" t="s">
        <v>32706</v>
      </c>
      <c r="J6274" t="s">
        <v>32961</v>
      </c>
      <c r="K6274" t="s">
        <v>42281</v>
      </c>
      <c r="M6274" t="s">
        <v>44798</v>
      </c>
      <c r="N6274" t="s">
        <v>46569</v>
      </c>
      <c r="O6274" t="s">
        <v>46570</v>
      </c>
      <c r="P6274">
        <v>0</v>
      </c>
      <c r="Q6274">
        <v>1</v>
      </c>
      <c r="R6274" t="s">
        <v>46573</v>
      </c>
      <c r="S6274" t="s">
        <v>46705</v>
      </c>
      <c r="T6274" t="s">
        <v>48376</v>
      </c>
      <c r="U6274" t="s">
        <v>53996</v>
      </c>
      <c r="W6274" t="s">
        <v>44798</v>
      </c>
      <c r="X6274" t="s">
        <v>46574</v>
      </c>
    </row>
    <row r="6275" spans="1:24">
      <c r="A6275">
        <f>HYPERLINK("https://www.philgeps.gov.ph/GEPSNONPILOT/Tender/SplashBidNoticeAbstractUI.aspx?menuIndex=3&amp;refID=7060684&amp;Result=3","7060684")</f>
        <v>0</v>
      </c>
      <c r="B6275" t="s">
        <v>870</v>
      </c>
      <c r="C6275" t="s">
        <v>9493</v>
      </c>
      <c r="D6275" t="s">
        <v>18844</v>
      </c>
      <c r="E6275" t="s">
        <v>24452</v>
      </c>
      <c r="F6275" t="s">
        <v>32664</v>
      </c>
      <c r="G6275" t="s">
        <v>32671</v>
      </c>
      <c r="H6275" t="s">
        <v>12635</v>
      </c>
      <c r="I6275" t="s">
        <v>9486</v>
      </c>
      <c r="J6275" t="s">
        <v>32831</v>
      </c>
      <c r="K6275" t="s">
        <v>42297</v>
      </c>
      <c r="M6275" t="s">
        <v>43470</v>
      </c>
      <c r="N6275" t="s">
        <v>46569</v>
      </c>
      <c r="O6275" t="s">
        <v>46570</v>
      </c>
      <c r="P6275">
        <v>0</v>
      </c>
      <c r="Q6275">
        <v>2</v>
      </c>
      <c r="R6275" t="s">
        <v>46573</v>
      </c>
      <c r="S6275" t="s">
        <v>46705</v>
      </c>
      <c r="T6275" t="s">
        <v>48287</v>
      </c>
      <c r="U6275" t="s">
        <v>50477</v>
      </c>
      <c r="V6275" t="s">
        <v>61834</v>
      </c>
      <c r="W6275" t="s">
        <v>43470</v>
      </c>
      <c r="X6275" t="s">
        <v>46574</v>
      </c>
    </row>
    <row r="6276" spans="1:24">
      <c r="A6276">
        <f>HYPERLINK("https://www.philgeps.gov.ph/GEPSNONPILOT/Tender/SplashBidNoticeAbstractUI.aspx?menuIndex=3&amp;refID=7060668&amp;Result=3","7060668")</f>
        <v>0</v>
      </c>
      <c r="B6276" t="s">
        <v>2035</v>
      </c>
      <c r="C6276" t="s">
        <v>9494</v>
      </c>
      <c r="D6276" t="s">
        <v>18784</v>
      </c>
      <c r="E6276" t="s">
        <v>20248</v>
      </c>
      <c r="F6276" t="s">
        <v>32664</v>
      </c>
      <c r="G6276" t="s">
        <v>32672</v>
      </c>
      <c r="H6276" t="s">
        <v>12635</v>
      </c>
      <c r="I6276" t="s">
        <v>9946</v>
      </c>
      <c r="J6276" t="s">
        <v>36728</v>
      </c>
      <c r="K6276" t="s">
        <v>42283</v>
      </c>
      <c r="M6276" t="s">
        <v>44779</v>
      </c>
      <c r="N6276" t="s">
        <v>46569</v>
      </c>
      <c r="O6276" t="s">
        <v>46570</v>
      </c>
      <c r="P6276">
        <v>0</v>
      </c>
      <c r="Q6276">
        <v>4</v>
      </c>
      <c r="R6276" t="s">
        <v>46573</v>
      </c>
      <c r="S6276" t="s">
        <v>46705</v>
      </c>
      <c r="T6276" t="s">
        <v>48308</v>
      </c>
      <c r="U6276" t="s">
        <v>53997</v>
      </c>
      <c r="W6276" t="s">
        <v>44779</v>
      </c>
      <c r="X6276" t="s">
        <v>46574</v>
      </c>
    </row>
    <row r="6277" spans="1:24">
      <c r="A6277">
        <f>HYPERLINK("https://www.philgeps.gov.ph/GEPSNONPILOT/Tender/SplashBidNoticeAbstractUI.aspx?menuIndex=3&amp;refID=7060682&amp;Result=3","7060682")</f>
        <v>0</v>
      </c>
      <c r="B6277" t="s">
        <v>2049</v>
      </c>
      <c r="C6277" t="s">
        <v>9495</v>
      </c>
      <c r="D6277" t="s">
        <v>18784</v>
      </c>
      <c r="E6277" t="s">
        <v>24453</v>
      </c>
      <c r="F6277" t="s">
        <v>32664</v>
      </c>
      <c r="G6277" t="s">
        <v>32674</v>
      </c>
      <c r="H6277" t="s">
        <v>12635</v>
      </c>
      <c r="I6277" t="s">
        <v>6168</v>
      </c>
      <c r="J6277" t="s">
        <v>36729</v>
      </c>
      <c r="K6277" t="s">
        <v>42281</v>
      </c>
      <c r="M6277" t="s">
        <v>44799</v>
      </c>
      <c r="N6277" t="s">
        <v>46569</v>
      </c>
      <c r="O6277" t="s">
        <v>46570</v>
      </c>
      <c r="P6277">
        <v>0</v>
      </c>
      <c r="Q6277">
        <v>14</v>
      </c>
      <c r="R6277" t="s">
        <v>46573</v>
      </c>
      <c r="S6277" t="s">
        <v>46705</v>
      </c>
      <c r="T6277" t="s">
        <v>48473</v>
      </c>
      <c r="U6277" t="s">
        <v>53998</v>
      </c>
      <c r="V6277" t="s">
        <v>62262</v>
      </c>
      <c r="W6277" t="s">
        <v>44799</v>
      </c>
      <c r="X6277" t="s">
        <v>46574</v>
      </c>
    </row>
    <row r="6278" spans="1:24">
      <c r="A6278">
        <f>HYPERLINK("https://www.philgeps.gov.ph/GEPSNONPILOT/Tender/SplashBidNoticeAbstractUI.aspx?menuIndex=3&amp;refID=7060679&amp;Result=3","7060679")</f>
        <v>0</v>
      </c>
      <c r="B6278" t="s">
        <v>2050</v>
      </c>
      <c r="C6278" t="s">
        <v>9496</v>
      </c>
      <c r="D6278" t="s">
        <v>18784</v>
      </c>
      <c r="E6278" t="s">
        <v>23255</v>
      </c>
      <c r="F6278" t="s">
        <v>32664</v>
      </c>
      <c r="G6278" t="s">
        <v>32672</v>
      </c>
      <c r="H6278" t="s">
        <v>12635</v>
      </c>
      <c r="I6278" t="s">
        <v>6223</v>
      </c>
      <c r="J6278" t="s">
        <v>36730</v>
      </c>
      <c r="K6278" t="s">
        <v>42309</v>
      </c>
      <c r="M6278" t="s">
        <v>44800</v>
      </c>
      <c r="N6278" t="s">
        <v>46569</v>
      </c>
      <c r="O6278" t="s">
        <v>46570</v>
      </c>
      <c r="P6278">
        <v>0</v>
      </c>
      <c r="Q6278">
        <v>3</v>
      </c>
      <c r="R6278" t="s">
        <v>46573</v>
      </c>
      <c r="S6278" t="s">
        <v>46705</v>
      </c>
      <c r="T6278" t="s">
        <v>48228</v>
      </c>
      <c r="U6278" t="s">
        <v>53999</v>
      </c>
      <c r="W6278" t="s">
        <v>44800</v>
      </c>
      <c r="X6278" t="s">
        <v>46574</v>
      </c>
    </row>
    <row r="6279" spans="1:24">
      <c r="A6279">
        <f>HYPERLINK("https://www.philgeps.gov.ph/GEPSNONPILOT/Tender/SplashBidNoticeAbstractUI.aspx?menuIndex=3&amp;refID=7060676&amp;Result=3","7060676")</f>
        <v>0</v>
      </c>
      <c r="B6279" t="s">
        <v>549</v>
      </c>
      <c r="C6279" t="s">
        <v>9497</v>
      </c>
      <c r="D6279" t="s">
        <v>18781</v>
      </c>
      <c r="E6279" t="s">
        <v>24454</v>
      </c>
      <c r="F6279" t="s">
        <v>32664</v>
      </c>
      <c r="G6279" t="s">
        <v>32671</v>
      </c>
      <c r="H6279" t="s">
        <v>12635</v>
      </c>
      <c r="I6279" t="s">
        <v>32701</v>
      </c>
      <c r="J6279" t="s">
        <v>36731</v>
      </c>
      <c r="K6279" t="s">
        <v>42283</v>
      </c>
      <c r="M6279" t="s">
        <v>43129</v>
      </c>
      <c r="N6279" t="s">
        <v>46569</v>
      </c>
      <c r="O6279" t="s">
        <v>46570</v>
      </c>
      <c r="P6279">
        <v>0</v>
      </c>
      <c r="Q6279">
        <v>1</v>
      </c>
      <c r="R6279" t="s">
        <v>46573</v>
      </c>
      <c r="S6279" t="s">
        <v>46705</v>
      </c>
      <c r="T6279" t="s">
        <v>48492</v>
      </c>
      <c r="U6279" t="s">
        <v>54000</v>
      </c>
      <c r="W6279" t="s">
        <v>43129</v>
      </c>
      <c r="X6279" t="s">
        <v>46574</v>
      </c>
    </row>
    <row r="6280" spans="1:24">
      <c r="A6280">
        <f>HYPERLINK("https://www.philgeps.gov.ph/GEPSNONPILOT/Tender/SplashBidNoticeAbstractUI.aspx?menuIndex=3&amp;refID=7060710&amp;Result=3","7060710")</f>
        <v>0</v>
      </c>
      <c r="B6280" t="s">
        <v>327</v>
      </c>
      <c r="C6280" t="s">
        <v>9498</v>
      </c>
      <c r="D6280" t="s">
        <v>18826</v>
      </c>
      <c r="E6280" t="s">
        <v>24455</v>
      </c>
      <c r="F6280" t="s">
        <v>32664</v>
      </c>
      <c r="G6280" t="s">
        <v>32671</v>
      </c>
      <c r="H6280" t="s">
        <v>12635</v>
      </c>
      <c r="I6280" t="s">
        <v>32694</v>
      </c>
      <c r="J6280" t="s">
        <v>36732</v>
      </c>
      <c r="K6280" t="s">
        <v>42281</v>
      </c>
      <c r="M6280" t="s">
        <v>42895</v>
      </c>
      <c r="N6280" t="s">
        <v>46569</v>
      </c>
      <c r="O6280" t="s">
        <v>46570</v>
      </c>
      <c r="P6280">
        <v>0</v>
      </c>
      <c r="Q6280">
        <v>1</v>
      </c>
      <c r="R6280" t="s">
        <v>46573</v>
      </c>
      <c r="S6280" t="s">
        <v>46705</v>
      </c>
      <c r="T6280" t="s">
        <v>48420</v>
      </c>
      <c r="U6280" t="s">
        <v>52035</v>
      </c>
      <c r="W6280" t="s">
        <v>63515</v>
      </c>
      <c r="X6280" t="s">
        <v>46574</v>
      </c>
    </row>
    <row r="6281" spans="1:24">
      <c r="A6281">
        <f>HYPERLINK("https://www.philgeps.gov.ph/GEPSNONPILOT/Tender/SplashBidNoticeAbstractUI.aspx?menuIndex=3&amp;refID=7060672&amp;Result=3","7060672")</f>
        <v>0</v>
      </c>
      <c r="B6281" t="s">
        <v>2051</v>
      </c>
      <c r="C6281" t="s">
        <v>9499</v>
      </c>
      <c r="D6281" t="s">
        <v>18790</v>
      </c>
      <c r="E6281" t="s">
        <v>24456</v>
      </c>
      <c r="F6281" t="s">
        <v>32664</v>
      </c>
      <c r="G6281" t="s">
        <v>32671</v>
      </c>
      <c r="H6281" t="s">
        <v>12635</v>
      </c>
      <c r="I6281" t="s">
        <v>4439</v>
      </c>
      <c r="J6281" t="s">
        <v>36733</v>
      </c>
      <c r="K6281" t="s">
        <v>42283</v>
      </c>
      <c r="M6281" t="s">
        <v>44801</v>
      </c>
      <c r="N6281" t="s">
        <v>46569</v>
      </c>
      <c r="O6281" t="s">
        <v>46570</v>
      </c>
      <c r="P6281">
        <v>0</v>
      </c>
      <c r="Q6281">
        <v>0</v>
      </c>
      <c r="R6281" t="s">
        <v>46573</v>
      </c>
      <c r="S6281" t="s">
        <v>46705</v>
      </c>
      <c r="T6281" t="s">
        <v>48307</v>
      </c>
      <c r="U6281" t="s">
        <v>54001</v>
      </c>
      <c r="W6281" t="s">
        <v>44801</v>
      </c>
      <c r="X6281" t="s">
        <v>46574</v>
      </c>
    </row>
    <row r="6282" spans="1:24">
      <c r="A6282">
        <f>HYPERLINK("https://www.philgeps.gov.ph/GEPSNONPILOT/Tender/SplashBidNoticeAbstractUI.aspx?menuIndex=3&amp;refID=7060667&amp;Result=3","7060667")</f>
        <v>0</v>
      </c>
      <c r="B6282" t="s">
        <v>2052</v>
      </c>
      <c r="C6282" t="s">
        <v>9500</v>
      </c>
      <c r="D6282" t="s">
        <v>18782</v>
      </c>
      <c r="E6282" t="s">
        <v>24020</v>
      </c>
      <c r="F6282" t="s">
        <v>32664</v>
      </c>
      <c r="G6282" t="s">
        <v>32672</v>
      </c>
      <c r="H6282" t="s">
        <v>12635</v>
      </c>
      <c r="I6282" t="s">
        <v>32706</v>
      </c>
      <c r="J6282" t="s">
        <v>32898</v>
      </c>
      <c r="K6282" t="s">
        <v>42284</v>
      </c>
      <c r="M6282" t="s">
        <v>44802</v>
      </c>
      <c r="N6282" t="s">
        <v>46569</v>
      </c>
      <c r="O6282" t="s">
        <v>46570</v>
      </c>
      <c r="P6282">
        <v>0</v>
      </c>
      <c r="Q6282">
        <v>0</v>
      </c>
      <c r="R6282" t="s">
        <v>46573</v>
      </c>
      <c r="S6282" t="s">
        <v>46705</v>
      </c>
      <c r="T6282" t="s">
        <v>48574</v>
      </c>
      <c r="U6282" t="s">
        <v>54002</v>
      </c>
      <c r="W6282" t="s">
        <v>44802</v>
      </c>
      <c r="X6282" t="s">
        <v>46574</v>
      </c>
    </row>
    <row r="6283" spans="1:24">
      <c r="A6283">
        <f>HYPERLINK("https://www.philgeps.gov.ph/GEPSNONPILOT/Tender/SplashBidNoticeAbstractUI.aspx?menuIndex=3&amp;refID=7060706&amp;Result=3","7060706")</f>
        <v>0</v>
      </c>
      <c r="B6283" t="s">
        <v>646</v>
      </c>
      <c r="C6283" t="s">
        <v>9501</v>
      </c>
      <c r="E6283" t="s">
        <v>24457</v>
      </c>
      <c r="F6283" t="s">
        <v>32664</v>
      </c>
      <c r="G6283" t="s">
        <v>32672</v>
      </c>
      <c r="H6283" t="s">
        <v>32683</v>
      </c>
      <c r="I6283" t="s">
        <v>10627</v>
      </c>
      <c r="J6283" t="s">
        <v>36734</v>
      </c>
      <c r="K6283" t="s">
        <v>42283</v>
      </c>
      <c r="M6283" t="s">
        <v>43232</v>
      </c>
      <c r="N6283" t="s">
        <v>46569</v>
      </c>
      <c r="O6283" t="s">
        <v>46570</v>
      </c>
      <c r="P6283">
        <v>0</v>
      </c>
      <c r="Q6283">
        <v>1</v>
      </c>
      <c r="R6283" t="s">
        <v>46573</v>
      </c>
      <c r="S6283" t="s">
        <v>46705</v>
      </c>
      <c r="T6283" t="s">
        <v>48270</v>
      </c>
      <c r="U6283" t="s">
        <v>54003</v>
      </c>
      <c r="W6283" t="s">
        <v>43232</v>
      </c>
      <c r="X6283" t="s">
        <v>46574</v>
      </c>
    </row>
    <row r="6284" spans="1:24">
      <c r="A6284">
        <f>HYPERLINK("https://www.philgeps.gov.ph/GEPSNONPILOT/Tender/SplashBidNoticeAbstractUI.aspx?menuIndex=3&amp;refID=7060671&amp;Result=3","7060671")</f>
        <v>0</v>
      </c>
      <c r="B6284" t="s">
        <v>1998</v>
      </c>
      <c r="C6284" t="s">
        <v>9502</v>
      </c>
      <c r="D6284" t="s">
        <v>18817</v>
      </c>
      <c r="E6284" t="s">
        <v>24458</v>
      </c>
      <c r="F6284" t="s">
        <v>32664</v>
      </c>
      <c r="G6284" t="s">
        <v>32671</v>
      </c>
      <c r="H6284" t="s">
        <v>12635</v>
      </c>
      <c r="I6284" t="s">
        <v>32701</v>
      </c>
      <c r="J6284" t="s">
        <v>35984</v>
      </c>
      <c r="K6284" t="s">
        <v>42306</v>
      </c>
      <c r="M6284" t="s">
        <v>44735</v>
      </c>
      <c r="N6284" t="s">
        <v>46569</v>
      </c>
      <c r="O6284" t="s">
        <v>46570</v>
      </c>
      <c r="P6284">
        <v>0</v>
      </c>
      <c r="Q6284">
        <v>0</v>
      </c>
      <c r="R6284" t="s">
        <v>46573</v>
      </c>
      <c r="S6284" t="s">
        <v>46705</v>
      </c>
      <c r="T6284" t="s">
        <v>48450</v>
      </c>
      <c r="U6284" t="s">
        <v>54004</v>
      </c>
      <c r="W6284" t="s">
        <v>44735</v>
      </c>
      <c r="X6284" t="s">
        <v>46574</v>
      </c>
    </row>
    <row r="6285" spans="1:24">
      <c r="A6285">
        <f>HYPERLINK("https://www.philgeps.gov.ph/GEPSNONPILOT/Tender/SplashBidNoticeAbstractUI.aspx?menuIndex=3&amp;refID=7060704&amp;Result=3","7060704")</f>
        <v>0</v>
      </c>
      <c r="B6285" t="s">
        <v>2053</v>
      </c>
      <c r="C6285" t="s">
        <v>9503</v>
      </c>
      <c r="D6285" t="s">
        <v>18834</v>
      </c>
      <c r="E6285" t="s">
        <v>24459</v>
      </c>
      <c r="F6285" t="s">
        <v>32665</v>
      </c>
      <c r="G6285" t="s">
        <v>32674</v>
      </c>
      <c r="H6285" t="s">
        <v>12635</v>
      </c>
      <c r="I6285" t="s">
        <v>32712</v>
      </c>
      <c r="J6285" t="s">
        <v>33128</v>
      </c>
      <c r="K6285" t="s">
        <v>42283</v>
      </c>
      <c r="M6285" t="s">
        <v>44803</v>
      </c>
      <c r="N6285" t="s">
        <v>46569</v>
      </c>
      <c r="O6285" t="s">
        <v>46570</v>
      </c>
      <c r="P6285">
        <v>0</v>
      </c>
      <c r="Q6285">
        <v>2</v>
      </c>
      <c r="R6285" t="s">
        <v>46573</v>
      </c>
      <c r="S6285" t="s">
        <v>46705</v>
      </c>
      <c r="T6285" t="s">
        <v>48219</v>
      </c>
      <c r="U6285" t="s">
        <v>54005</v>
      </c>
      <c r="W6285" t="s">
        <v>44803</v>
      </c>
      <c r="X6285" t="s">
        <v>46574</v>
      </c>
    </row>
    <row r="6286" spans="1:24">
      <c r="A6286">
        <f>HYPERLINK("https://www.philgeps.gov.ph/GEPSNONPILOT/Tender/SplashBidNoticeAbstractUI.aspx?menuIndex=3&amp;refID=7060669&amp;Result=3","7060669")</f>
        <v>0</v>
      </c>
      <c r="B6286" t="s">
        <v>562</v>
      </c>
      <c r="C6286" t="s">
        <v>9504</v>
      </c>
      <c r="D6286" t="s">
        <v>18781</v>
      </c>
      <c r="E6286" t="s">
        <v>24460</v>
      </c>
      <c r="F6286" t="s">
        <v>32664</v>
      </c>
      <c r="G6286" t="s">
        <v>32672</v>
      </c>
      <c r="H6286" t="s">
        <v>12635</v>
      </c>
      <c r="I6286" t="s">
        <v>32694</v>
      </c>
      <c r="J6286" t="s">
        <v>36735</v>
      </c>
      <c r="K6286" t="s">
        <v>42283</v>
      </c>
      <c r="M6286" t="s">
        <v>44795</v>
      </c>
      <c r="N6286" t="s">
        <v>46569</v>
      </c>
      <c r="O6286" t="s">
        <v>46570</v>
      </c>
      <c r="P6286">
        <v>0</v>
      </c>
      <c r="Q6286">
        <v>0</v>
      </c>
      <c r="R6286" t="s">
        <v>46573</v>
      </c>
      <c r="S6286" t="s">
        <v>46705</v>
      </c>
      <c r="T6286" t="s">
        <v>48311</v>
      </c>
      <c r="U6286" t="s">
        <v>54006</v>
      </c>
      <c r="W6286" t="s">
        <v>44795</v>
      </c>
      <c r="X6286" t="s">
        <v>46574</v>
      </c>
    </row>
    <row r="6287" spans="1:24">
      <c r="A6287">
        <f>HYPERLINK("https://www.philgeps.gov.ph/GEPSNONPILOT/Tender/SplashBidNoticeAbstractUI.aspx?menuIndex=3&amp;refID=7060703&amp;Result=3","7060703")</f>
        <v>0</v>
      </c>
      <c r="B6287" t="s">
        <v>600</v>
      </c>
      <c r="C6287" t="s">
        <v>9505</v>
      </c>
      <c r="D6287" t="s">
        <v>18802</v>
      </c>
      <c r="E6287" t="s">
        <v>24461</v>
      </c>
      <c r="F6287" t="s">
        <v>32664</v>
      </c>
      <c r="G6287" t="s">
        <v>32672</v>
      </c>
      <c r="H6287" t="s">
        <v>32683</v>
      </c>
      <c r="I6287" t="s">
        <v>10627</v>
      </c>
      <c r="J6287" t="s">
        <v>36736</v>
      </c>
      <c r="K6287" t="s">
        <v>42312</v>
      </c>
      <c r="M6287" t="s">
        <v>43180</v>
      </c>
      <c r="N6287" t="s">
        <v>46569</v>
      </c>
      <c r="O6287" t="s">
        <v>46570</v>
      </c>
      <c r="P6287">
        <v>0</v>
      </c>
      <c r="Q6287">
        <v>0</v>
      </c>
      <c r="R6287" t="s">
        <v>46573</v>
      </c>
      <c r="S6287" t="s">
        <v>46705</v>
      </c>
      <c r="T6287" t="s">
        <v>48275</v>
      </c>
      <c r="U6287" t="s">
        <v>54007</v>
      </c>
      <c r="W6287" t="s">
        <v>43180</v>
      </c>
      <c r="X6287" t="s">
        <v>46574</v>
      </c>
    </row>
    <row r="6288" spans="1:24">
      <c r="A6288">
        <f>HYPERLINK("https://www.philgeps.gov.ph/GEPSNONPILOT/Tender/SplashBidNoticeAbstractUI.aspx?menuIndex=3&amp;refID=7060707&amp;Result=3","7060707")</f>
        <v>0</v>
      </c>
      <c r="B6288" t="s">
        <v>2054</v>
      </c>
      <c r="C6288" t="s">
        <v>9506</v>
      </c>
      <c r="E6288" t="s">
        <v>24462</v>
      </c>
      <c r="F6288" t="s">
        <v>32667</v>
      </c>
      <c r="G6288" t="s">
        <v>32674</v>
      </c>
      <c r="H6288" t="s">
        <v>32681</v>
      </c>
      <c r="I6288" t="s">
        <v>32681</v>
      </c>
      <c r="J6288" t="s">
        <v>36737</v>
      </c>
      <c r="K6288" t="s">
        <v>42446</v>
      </c>
      <c r="N6288" t="s">
        <v>46569</v>
      </c>
      <c r="O6288" t="s">
        <v>46570</v>
      </c>
      <c r="Q6288">
        <v>0</v>
      </c>
      <c r="R6288" t="s">
        <v>46573</v>
      </c>
      <c r="S6288" t="s">
        <v>46714</v>
      </c>
      <c r="T6288" t="s">
        <v>48244</v>
      </c>
      <c r="U6288" t="s">
        <v>54008</v>
      </c>
      <c r="W6288" t="s">
        <v>44824</v>
      </c>
      <c r="X6288" t="s">
        <v>46574</v>
      </c>
    </row>
    <row r="6289" spans="1:24">
      <c r="A6289">
        <f>HYPERLINK("https://www.philgeps.gov.ph/GEPSNONPILOT/Tender/SplashBidNoticeAbstractUI.aspx?menuIndex=3&amp;refID=7060700&amp;Result=3","7060700")</f>
        <v>0</v>
      </c>
      <c r="B6289" t="s">
        <v>1406</v>
      </c>
      <c r="C6289" t="s">
        <v>9507</v>
      </c>
      <c r="D6289" t="s">
        <v>18805</v>
      </c>
      <c r="E6289" t="s">
        <v>24463</v>
      </c>
      <c r="F6289" t="s">
        <v>32664</v>
      </c>
      <c r="G6289" t="s">
        <v>32672</v>
      </c>
      <c r="H6289" t="s">
        <v>12635</v>
      </c>
      <c r="I6289" t="s">
        <v>32764</v>
      </c>
      <c r="J6289" t="s">
        <v>36738</v>
      </c>
      <c r="K6289" t="s">
        <v>42303</v>
      </c>
      <c r="M6289" t="s">
        <v>44063</v>
      </c>
      <c r="N6289" t="s">
        <v>46569</v>
      </c>
      <c r="O6289" t="s">
        <v>46570</v>
      </c>
      <c r="P6289">
        <v>0</v>
      </c>
      <c r="Q6289">
        <v>0</v>
      </c>
      <c r="R6289" t="s">
        <v>46573</v>
      </c>
      <c r="S6289" t="s">
        <v>46705</v>
      </c>
      <c r="T6289" t="s">
        <v>48296</v>
      </c>
      <c r="U6289" t="s">
        <v>51829</v>
      </c>
      <c r="W6289" t="s">
        <v>44063</v>
      </c>
      <c r="X6289" t="s">
        <v>46574</v>
      </c>
    </row>
    <row r="6290" spans="1:24">
      <c r="A6290">
        <f>HYPERLINK("https://www.philgeps.gov.ph/GEPSNONPILOT/Tender/SplashBidNoticeAbstractUI.aspx?menuIndex=3&amp;refID=7060699&amp;Result=3","7060699")</f>
        <v>0</v>
      </c>
      <c r="B6290" t="s">
        <v>2055</v>
      </c>
      <c r="C6290" t="s">
        <v>9508</v>
      </c>
      <c r="D6290" t="s">
        <v>18785</v>
      </c>
      <c r="E6290" t="s">
        <v>24464</v>
      </c>
      <c r="F6290" t="s">
        <v>32664</v>
      </c>
      <c r="G6290" t="s">
        <v>32671</v>
      </c>
      <c r="H6290" t="s">
        <v>12635</v>
      </c>
      <c r="I6290" t="s">
        <v>32699</v>
      </c>
      <c r="J6290" t="s">
        <v>36739</v>
      </c>
      <c r="K6290" t="s">
        <v>42284</v>
      </c>
      <c r="M6290" t="s">
        <v>44804</v>
      </c>
      <c r="N6290" t="s">
        <v>46569</v>
      </c>
      <c r="O6290" t="s">
        <v>46570</v>
      </c>
      <c r="P6290">
        <v>0</v>
      </c>
      <c r="Q6290">
        <v>4</v>
      </c>
      <c r="R6290" t="s">
        <v>46573</v>
      </c>
      <c r="S6290" t="s">
        <v>46705</v>
      </c>
      <c r="T6290" t="s">
        <v>48307</v>
      </c>
      <c r="U6290" t="s">
        <v>54009</v>
      </c>
      <c r="V6290" t="s">
        <v>62263</v>
      </c>
      <c r="W6290" t="s">
        <v>44804</v>
      </c>
      <c r="X6290" t="s">
        <v>46574</v>
      </c>
    </row>
    <row r="6291" spans="1:24">
      <c r="A6291">
        <f>HYPERLINK("https://www.philgeps.gov.ph/GEPSNONPILOT/Tender/SplashBidNoticeAbstractUI.aspx?menuIndex=3&amp;refID=7060686&amp;Result=3","7060686")</f>
        <v>0</v>
      </c>
      <c r="B6291" t="s">
        <v>1254</v>
      </c>
      <c r="C6291" t="s">
        <v>9509</v>
      </c>
      <c r="D6291" t="s">
        <v>18827</v>
      </c>
      <c r="E6291" t="s">
        <v>24465</v>
      </c>
      <c r="F6291" t="s">
        <v>32664</v>
      </c>
      <c r="G6291" t="s">
        <v>32671</v>
      </c>
      <c r="H6291" t="s">
        <v>12635</v>
      </c>
      <c r="I6291" t="s">
        <v>32699</v>
      </c>
      <c r="J6291" t="s">
        <v>34337</v>
      </c>
      <c r="K6291" t="s">
        <v>42309</v>
      </c>
      <c r="M6291" t="s">
        <v>43896</v>
      </c>
      <c r="N6291" t="s">
        <v>46569</v>
      </c>
      <c r="O6291" t="s">
        <v>46570</v>
      </c>
      <c r="P6291">
        <v>0</v>
      </c>
      <c r="Q6291">
        <v>1</v>
      </c>
      <c r="R6291" t="s">
        <v>46573</v>
      </c>
      <c r="S6291" t="s">
        <v>46705</v>
      </c>
      <c r="T6291" t="s">
        <v>48287</v>
      </c>
      <c r="U6291" t="s">
        <v>53821</v>
      </c>
      <c r="W6291" t="s">
        <v>43896</v>
      </c>
      <c r="X6291" t="s">
        <v>46574</v>
      </c>
    </row>
    <row r="6292" spans="1:24">
      <c r="A6292">
        <f>HYPERLINK("https://www.philgeps.gov.ph/GEPSNONPILOT/Tender/SplashBidNoticeAbstractUI.aspx?menuIndex=3&amp;refID=7060693&amp;Result=3","7060693")</f>
        <v>0</v>
      </c>
      <c r="B6292" t="s">
        <v>726</v>
      </c>
      <c r="C6292" t="s">
        <v>9510</v>
      </c>
      <c r="D6292" t="s">
        <v>18784</v>
      </c>
      <c r="E6292" t="s">
        <v>24466</v>
      </c>
      <c r="F6292" t="s">
        <v>32664</v>
      </c>
      <c r="G6292" t="s">
        <v>32671</v>
      </c>
      <c r="H6292" t="s">
        <v>12635</v>
      </c>
      <c r="I6292" t="s">
        <v>6223</v>
      </c>
      <c r="J6292" t="s">
        <v>36740</v>
      </c>
      <c r="K6292" t="s">
        <v>42295</v>
      </c>
      <c r="M6292" t="s">
        <v>43314</v>
      </c>
      <c r="N6292" t="s">
        <v>46569</v>
      </c>
      <c r="O6292" t="s">
        <v>46570</v>
      </c>
      <c r="P6292">
        <v>0</v>
      </c>
      <c r="Q6292">
        <v>0</v>
      </c>
      <c r="R6292" t="s">
        <v>46573</v>
      </c>
      <c r="S6292" t="s">
        <v>46705</v>
      </c>
      <c r="T6292" t="s">
        <v>48410</v>
      </c>
      <c r="U6292" t="s">
        <v>50145</v>
      </c>
      <c r="W6292" t="s">
        <v>43314</v>
      </c>
      <c r="X6292" t="s">
        <v>46574</v>
      </c>
    </row>
    <row r="6293" spans="1:24">
      <c r="A6293">
        <f>HYPERLINK("https://www.philgeps.gov.ph/GEPSNONPILOT/Tender/SplashBidNoticeAbstractUI.aspx?menuIndex=3&amp;refID=7060692&amp;Result=3","7060692")</f>
        <v>0</v>
      </c>
      <c r="B6293" t="s">
        <v>1810</v>
      </c>
      <c r="C6293" t="s">
        <v>9511</v>
      </c>
      <c r="D6293" t="s">
        <v>18794</v>
      </c>
      <c r="E6293" t="s">
        <v>24467</v>
      </c>
      <c r="F6293" t="s">
        <v>32664</v>
      </c>
      <c r="G6293" t="s">
        <v>32672</v>
      </c>
      <c r="H6293" t="s">
        <v>12635</v>
      </c>
      <c r="I6293" t="s">
        <v>4439</v>
      </c>
      <c r="J6293" t="s">
        <v>33944</v>
      </c>
      <c r="K6293" t="s">
        <v>42303</v>
      </c>
      <c r="M6293" t="s">
        <v>44515</v>
      </c>
      <c r="N6293" t="s">
        <v>46569</v>
      </c>
      <c r="O6293" t="s">
        <v>46570</v>
      </c>
      <c r="P6293">
        <v>0</v>
      </c>
      <c r="Q6293">
        <v>1</v>
      </c>
      <c r="R6293" t="s">
        <v>46573</v>
      </c>
      <c r="S6293" t="s">
        <v>46705</v>
      </c>
      <c r="T6293" t="s">
        <v>48349</v>
      </c>
      <c r="U6293" t="s">
        <v>54010</v>
      </c>
      <c r="W6293" t="s">
        <v>44515</v>
      </c>
      <c r="X6293" t="s">
        <v>46574</v>
      </c>
    </row>
    <row r="6294" spans="1:24">
      <c r="A6294">
        <f>HYPERLINK("https://www.philgeps.gov.ph/GEPSNONPILOT/Tender/SplashBidNoticeAbstractUI.aspx?menuIndex=3&amp;refID=7060691&amp;Result=3","7060691")</f>
        <v>0</v>
      </c>
      <c r="B6294" t="s">
        <v>2035</v>
      </c>
      <c r="C6294" t="s">
        <v>9512</v>
      </c>
      <c r="E6294" t="s">
        <v>20540</v>
      </c>
      <c r="F6294" t="s">
        <v>32664</v>
      </c>
      <c r="G6294" t="s">
        <v>32672</v>
      </c>
      <c r="H6294" t="s">
        <v>12635</v>
      </c>
      <c r="I6294" t="s">
        <v>32704</v>
      </c>
      <c r="J6294" t="s">
        <v>32943</v>
      </c>
      <c r="K6294" t="s">
        <v>42283</v>
      </c>
      <c r="M6294" t="s">
        <v>44779</v>
      </c>
      <c r="N6294" t="s">
        <v>46569</v>
      </c>
      <c r="O6294" t="s">
        <v>46570</v>
      </c>
      <c r="P6294">
        <v>0</v>
      </c>
      <c r="Q6294">
        <v>35</v>
      </c>
      <c r="R6294" t="s">
        <v>46573</v>
      </c>
      <c r="S6294" t="s">
        <v>46705</v>
      </c>
      <c r="T6294" t="s">
        <v>48308</v>
      </c>
      <c r="U6294" t="s">
        <v>54011</v>
      </c>
      <c r="W6294" t="s">
        <v>44779</v>
      </c>
      <c r="X6294" t="s">
        <v>46574</v>
      </c>
    </row>
    <row r="6295" spans="1:24">
      <c r="A6295">
        <f>HYPERLINK("https://www.philgeps.gov.ph/GEPSNONPILOT/Tender/SplashBidNoticeAbstractUI.aspx?menuIndex=3&amp;refID=7060705&amp;Result=3","7060705")</f>
        <v>0</v>
      </c>
      <c r="B6295" t="s">
        <v>527</v>
      </c>
      <c r="C6295" t="s">
        <v>9513</v>
      </c>
      <c r="D6295" t="s">
        <v>18784</v>
      </c>
      <c r="E6295" t="s">
        <v>24468</v>
      </c>
      <c r="F6295" t="s">
        <v>32664</v>
      </c>
      <c r="G6295" t="s">
        <v>32671</v>
      </c>
      <c r="H6295" t="s">
        <v>12635</v>
      </c>
      <c r="I6295" t="s">
        <v>6223</v>
      </c>
      <c r="J6295" t="s">
        <v>36741</v>
      </c>
      <c r="K6295" t="s">
        <v>42284</v>
      </c>
      <c r="M6295" t="s">
        <v>44555</v>
      </c>
      <c r="N6295" t="s">
        <v>46569</v>
      </c>
      <c r="O6295" t="s">
        <v>46570</v>
      </c>
      <c r="P6295">
        <v>0</v>
      </c>
      <c r="Q6295">
        <v>0</v>
      </c>
      <c r="R6295" t="s">
        <v>46573</v>
      </c>
      <c r="S6295" t="s">
        <v>46705</v>
      </c>
      <c r="T6295" t="s">
        <v>48287</v>
      </c>
      <c r="U6295" t="s">
        <v>50582</v>
      </c>
      <c r="W6295" t="s">
        <v>44555</v>
      </c>
      <c r="X6295" t="s">
        <v>46574</v>
      </c>
    </row>
    <row r="6296" spans="1:24">
      <c r="A6296">
        <f>HYPERLINK("https://www.philgeps.gov.ph/GEPSNONPILOT/Tender/SplashBidNoticeAbstractUI.aspx?menuIndex=3&amp;refID=7060734&amp;Result=3","7060734")</f>
        <v>0</v>
      </c>
      <c r="B6296" t="s">
        <v>2056</v>
      </c>
      <c r="C6296" t="s">
        <v>9514</v>
      </c>
      <c r="D6296" t="s">
        <v>18806</v>
      </c>
      <c r="E6296" t="s">
        <v>24469</v>
      </c>
      <c r="F6296" t="s">
        <v>32664</v>
      </c>
      <c r="G6296" t="s">
        <v>32672</v>
      </c>
      <c r="H6296" t="s">
        <v>12635</v>
      </c>
      <c r="I6296" t="s">
        <v>32706</v>
      </c>
      <c r="J6296" t="s">
        <v>36742</v>
      </c>
      <c r="K6296" t="s">
        <v>42297</v>
      </c>
      <c r="M6296" t="s">
        <v>44805</v>
      </c>
      <c r="N6296" t="s">
        <v>46569</v>
      </c>
      <c r="O6296" t="s">
        <v>46570</v>
      </c>
      <c r="P6296">
        <v>0</v>
      </c>
      <c r="Q6296">
        <v>0</v>
      </c>
      <c r="R6296" t="s">
        <v>46573</v>
      </c>
      <c r="S6296" t="s">
        <v>46705</v>
      </c>
      <c r="T6296" t="s">
        <v>48268</v>
      </c>
      <c r="U6296" t="s">
        <v>54012</v>
      </c>
      <c r="V6296" t="s">
        <v>62264</v>
      </c>
      <c r="W6296" t="s">
        <v>44805</v>
      </c>
      <c r="X6296" t="s">
        <v>46574</v>
      </c>
    </row>
    <row r="6297" spans="1:24">
      <c r="A6297">
        <f>HYPERLINK("https://www.philgeps.gov.ph/GEPSNONPILOT/Tender/SplashBidNoticeAbstractUI.aspx?menuIndex=3&amp;refID=7060733&amp;Result=3","7060733")</f>
        <v>0</v>
      </c>
      <c r="B6297" t="s">
        <v>693</v>
      </c>
      <c r="C6297" t="s">
        <v>9515</v>
      </c>
      <c r="D6297" t="s">
        <v>18781</v>
      </c>
      <c r="E6297" t="s">
        <v>24470</v>
      </c>
      <c r="F6297" t="s">
        <v>32664</v>
      </c>
      <c r="G6297" t="s">
        <v>32671</v>
      </c>
      <c r="H6297" t="s">
        <v>12635</v>
      </c>
      <c r="I6297" t="s">
        <v>32691</v>
      </c>
      <c r="J6297" t="s">
        <v>36743</v>
      </c>
      <c r="K6297" t="s">
        <v>42355</v>
      </c>
      <c r="M6297" t="s">
        <v>43280</v>
      </c>
      <c r="N6297" t="s">
        <v>46569</v>
      </c>
      <c r="O6297" t="s">
        <v>46570</v>
      </c>
      <c r="P6297">
        <v>0</v>
      </c>
      <c r="Q6297">
        <v>1</v>
      </c>
      <c r="R6297" t="s">
        <v>46573</v>
      </c>
      <c r="S6297" t="s">
        <v>46705</v>
      </c>
      <c r="T6297" t="s">
        <v>48427</v>
      </c>
      <c r="U6297" t="s">
        <v>54013</v>
      </c>
      <c r="W6297" t="s">
        <v>43280</v>
      </c>
      <c r="X6297" t="s">
        <v>46574</v>
      </c>
    </row>
    <row r="6298" spans="1:24">
      <c r="A6298">
        <f>HYPERLINK("https://www.philgeps.gov.ph/GEPSNONPILOT/Tender/SplashBidNoticeAbstractUI.aspx?menuIndex=3&amp;refID=7060732&amp;Result=3","7060732")</f>
        <v>0</v>
      </c>
      <c r="B6298" t="s">
        <v>1792</v>
      </c>
      <c r="C6298" t="s">
        <v>9516</v>
      </c>
      <c r="D6298" t="s">
        <v>18794</v>
      </c>
      <c r="E6298" t="s">
        <v>24471</v>
      </c>
      <c r="F6298" t="s">
        <v>32664</v>
      </c>
      <c r="G6298" t="s">
        <v>32674</v>
      </c>
      <c r="H6298" t="s">
        <v>12635</v>
      </c>
      <c r="I6298" t="s">
        <v>32729</v>
      </c>
      <c r="J6298" t="s">
        <v>36744</v>
      </c>
      <c r="K6298" t="s">
        <v>42289</v>
      </c>
      <c r="M6298" t="s">
        <v>44495</v>
      </c>
      <c r="N6298" t="s">
        <v>46569</v>
      </c>
      <c r="O6298" t="s">
        <v>46570</v>
      </c>
      <c r="P6298">
        <v>0</v>
      </c>
      <c r="Q6298">
        <v>1</v>
      </c>
      <c r="R6298" t="s">
        <v>46573</v>
      </c>
      <c r="S6298" t="s">
        <v>46705</v>
      </c>
      <c r="T6298" t="s">
        <v>48254</v>
      </c>
      <c r="U6298" t="s">
        <v>53888</v>
      </c>
      <c r="W6298" t="s">
        <v>44495</v>
      </c>
      <c r="X6298" t="s">
        <v>46574</v>
      </c>
    </row>
    <row r="6299" spans="1:24">
      <c r="A6299">
        <f>HYPERLINK("https://www.philgeps.gov.ph/GEPSNONPILOT/Tender/SplashBidNoticeAbstractUI.aspx?menuIndex=3&amp;refID=7060708&amp;Result=3","7060708")</f>
        <v>0</v>
      </c>
      <c r="B6299" t="s">
        <v>154</v>
      </c>
      <c r="C6299" t="s">
        <v>9517</v>
      </c>
      <c r="E6299" t="s">
        <v>24472</v>
      </c>
      <c r="F6299" t="s">
        <v>32664</v>
      </c>
      <c r="G6299" t="s">
        <v>32672</v>
      </c>
      <c r="H6299" t="s">
        <v>32683</v>
      </c>
      <c r="I6299" t="s">
        <v>10627</v>
      </c>
      <c r="J6299" t="s">
        <v>36745</v>
      </c>
      <c r="K6299" t="s">
        <v>42283</v>
      </c>
      <c r="M6299" t="s">
        <v>42718</v>
      </c>
      <c r="N6299" t="s">
        <v>46569</v>
      </c>
      <c r="O6299" t="s">
        <v>46570</v>
      </c>
      <c r="P6299">
        <v>0</v>
      </c>
      <c r="Q6299">
        <v>5</v>
      </c>
      <c r="R6299" t="s">
        <v>46573</v>
      </c>
      <c r="S6299" t="s">
        <v>46705</v>
      </c>
      <c r="T6299" t="s">
        <v>48410</v>
      </c>
      <c r="U6299" t="s">
        <v>53961</v>
      </c>
      <c r="V6299" t="s">
        <v>62253</v>
      </c>
      <c r="W6299" t="s">
        <v>42718</v>
      </c>
      <c r="X6299" t="s">
        <v>46574</v>
      </c>
    </row>
    <row r="6300" spans="1:24">
      <c r="A6300">
        <f>HYPERLINK("https://www.philgeps.gov.ph/GEPSNONPILOT/Tender/SplashBidNoticeAbstractUI.aspx?menuIndex=3&amp;refID=7060729&amp;Result=3","7060729")</f>
        <v>0</v>
      </c>
      <c r="B6300" t="s">
        <v>2057</v>
      </c>
      <c r="C6300" t="s">
        <v>9518</v>
      </c>
      <c r="D6300" t="s">
        <v>18845</v>
      </c>
      <c r="E6300" t="s">
        <v>24473</v>
      </c>
      <c r="F6300" t="s">
        <v>32664</v>
      </c>
      <c r="G6300" t="s">
        <v>32671</v>
      </c>
      <c r="H6300" t="s">
        <v>12635</v>
      </c>
      <c r="I6300" t="s">
        <v>32704</v>
      </c>
      <c r="J6300" t="s">
        <v>32898</v>
      </c>
      <c r="K6300" t="s">
        <v>42281</v>
      </c>
      <c r="M6300" t="s">
        <v>44806</v>
      </c>
      <c r="N6300" t="s">
        <v>46569</v>
      </c>
      <c r="O6300" t="s">
        <v>46570</v>
      </c>
      <c r="P6300">
        <v>0</v>
      </c>
      <c r="Q6300">
        <v>14</v>
      </c>
      <c r="R6300" t="s">
        <v>46573</v>
      </c>
      <c r="S6300" t="s">
        <v>46705</v>
      </c>
      <c r="T6300" t="s">
        <v>48376</v>
      </c>
      <c r="U6300" t="s">
        <v>54014</v>
      </c>
      <c r="W6300" t="s">
        <v>44806</v>
      </c>
      <c r="X6300" t="s">
        <v>46574</v>
      </c>
    </row>
    <row r="6301" spans="1:24">
      <c r="A6301">
        <f>HYPERLINK("https://www.philgeps.gov.ph/GEPSNONPILOT/Tender/SplashBidNoticeAbstractUI.aspx?menuIndex=3&amp;refID=7060702&amp;Result=3","7060702")</f>
        <v>0</v>
      </c>
      <c r="B6301" t="s">
        <v>467</v>
      </c>
      <c r="C6301" t="s">
        <v>5825</v>
      </c>
      <c r="D6301" t="s">
        <v>18834</v>
      </c>
      <c r="E6301" t="s">
        <v>24474</v>
      </c>
      <c r="F6301" t="s">
        <v>32664</v>
      </c>
      <c r="G6301" t="s">
        <v>32671</v>
      </c>
      <c r="H6301" t="s">
        <v>12635</v>
      </c>
      <c r="I6301" t="s">
        <v>6168</v>
      </c>
      <c r="J6301" t="s">
        <v>36746</v>
      </c>
      <c r="K6301" t="s">
        <v>42289</v>
      </c>
      <c r="M6301" t="s">
        <v>43042</v>
      </c>
      <c r="N6301" t="s">
        <v>46569</v>
      </c>
      <c r="O6301" t="s">
        <v>46570</v>
      </c>
      <c r="P6301">
        <v>0</v>
      </c>
      <c r="Q6301">
        <v>0</v>
      </c>
      <c r="R6301" t="s">
        <v>46573</v>
      </c>
      <c r="S6301" t="s">
        <v>46705</v>
      </c>
      <c r="T6301" t="s">
        <v>48376</v>
      </c>
      <c r="U6301" t="s">
        <v>49616</v>
      </c>
      <c r="W6301" t="s">
        <v>43042</v>
      </c>
      <c r="X6301" t="s">
        <v>46574</v>
      </c>
    </row>
    <row r="6302" spans="1:24">
      <c r="A6302">
        <f>HYPERLINK("https://www.philgeps.gov.ph/GEPSNONPILOT/Tender/SplashBidNoticeAbstractUI.aspx?menuIndex=3&amp;refID=7060725&amp;Result=3","7060725")</f>
        <v>0</v>
      </c>
      <c r="B6302" t="s">
        <v>1102</v>
      </c>
      <c r="C6302" t="s">
        <v>9519</v>
      </c>
      <c r="D6302" t="s">
        <v>18784</v>
      </c>
      <c r="E6302" t="s">
        <v>24475</v>
      </c>
      <c r="F6302" t="s">
        <v>32664</v>
      </c>
      <c r="G6302" t="s">
        <v>32672</v>
      </c>
      <c r="H6302" t="s">
        <v>12635</v>
      </c>
      <c r="I6302" t="s">
        <v>4997</v>
      </c>
      <c r="J6302" t="s">
        <v>36747</v>
      </c>
      <c r="K6302" t="s">
        <v>42283</v>
      </c>
      <c r="M6302" t="s">
        <v>44775</v>
      </c>
      <c r="N6302" t="s">
        <v>46569</v>
      </c>
      <c r="O6302" t="s">
        <v>46570</v>
      </c>
      <c r="P6302">
        <v>0</v>
      </c>
      <c r="Q6302">
        <v>15</v>
      </c>
      <c r="R6302" t="s">
        <v>46573</v>
      </c>
      <c r="S6302" t="s">
        <v>46705</v>
      </c>
      <c r="T6302" t="s">
        <v>48302</v>
      </c>
      <c r="U6302" t="s">
        <v>54015</v>
      </c>
      <c r="W6302" t="s">
        <v>44775</v>
      </c>
      <c r="X6302" t="s">
        <v>46574</v>
      </c>
    </row>
    <row r="6303" spans="1:24">
      <c r="A6303">
        <f>HYPERLINK("https://www.philgeps.gov.ph/GEPSNONPILOT/Tender/SplashBidNoticeAbstractUI.aspx?menuIndex=3&amp;refID=7060724&amp;Result=3","7060724")</f>
        <v>0</v>
      </c>
      <c r="B6303" t="s">
        <v>642</v>
      </c>
      <c r="C6303" t="s">
        <v>3806</v>
      </c>
      <c r="D6303" t="s">
        <v>18819</v>
      </c>
      <c r="E6303" t="s">
        <v>24476</v>
      </c>
      <c r="F6303" t="s">
        <v>32664</v>
      </c>
      <c r="G6303" t="s">
        <v>32671</v>
      </c>
      <c r="H6303" t="s">
        <v>12635</v>
      </c>
      <c r="I6303" t="s">
        <v>6223</v>
      </c>
      <c r="J6303" t="s">
        <v>36748</v>
      </c>
      <c r="K6303" t="s">
        <v>42289</v>
      </c>
      <c r="M6303" t="s">
        <v>43227</v>
      </c>
      <c r="N6303" t="s">
        <v>46569</v>
      </c>
      <c r="O6303" t="s">
        <v>46570</v>
      </c>
      <c r="P6303">
        <v>0</v>
      </c>
      <c r="Q6303">
        <v>0</v>
      </c>
      <c r="R6303" t="s">
        <v>46573</v>
      </c>
      <c r="S6303" t="s">
        <v>46705</v>
      </c>
      <c r="T6303" t="s">
        <v>48287</v>
      </c>
      <c r="U6303" t="s">
        <v>54016</v>
      </c>
      <c r="V6303" t="s">
        <v>62265</v>
      </c>
      <c r="W6303" t="s">
        <v>43227</v>
      </c>
      <c r="X6303" t="s">
        <v>46574</v>
      </c>
    </row>
    <row r="6304" spans="1:24">
      <c r="A6304">
        <f>HYPERLINK("https://www.philgeps.gov.ph/GEPSNONPILOT/Tender/SplashBidNoticeAbstractUI.aspx?menuIndex=3&amp;refID=7060723&amp;Result=3","7060723")</f>
        <v>0</v>
      </c>
      <c r="B6304" t="s">
        <v>1600</v>
      </c>
      <c r="C6304" t="s">
        <v>9520</v>
      </c>
      <c r="D6304" t="s">
        <v>18835</v>
      </c>
      <c r="E6304" t="s">
        <v>24477</v>
      </c>
      <c r="F6304" t="s">
        <v>32664</v>
      </c>
      <c r="G6304" t="s">
        <v>32671</v>
      </c>
      <c r="H6304" t="s">
        <v>12635</v>
      </c>
      <c r="I6304" t="s">
        <v>4439</v>
      </c>
      <c r="J6304" t="s">
        <v>36749</v>
      </c>
      <c r="K6304" t="s">
        <v>42289</v>
      </c>
      <c r="M6304" t="s">
        <v>44277</v>
      </c>
      <c r="N6304" t="s">
        <v>46569</v>
      </c>
      <c r="O6304" t="s">
        <v>46570</v>
      </c>
      <c r="P6304">
        <v>0</v>
      </c>
      <c r="Q6304">
        <v>0</v>
      </c>
      <c r="R6304" t="s">
        <v>46573</v>
      </c>
      <c r="S6304" t="s">
        <v>46705</v>
      </c>
      <c r="T6304" t="s">
        <v>48287</v>
      </c>
      <c r="U6304" t="s">
        <v>54017</v>
      </c>
      <c r="W6304" t="s">
        <v>44277</v>
      </c>
      <c r="X6304" t="s">
        <v>46574</v>
      </c>
    </row>
    <row r="6305" spans="1:24">
      <c r="A6305">
        <f>HYPERLINK("https://www.philgeps.gov.ph/GEPSNONPILOT/Tender/SplashBidNoticeAbstractUI.aspx?menuIndex=3&amp;refID=7060722&amp;Result=3","7060722")</f>
        <v>0</v>
      </c>
      <c r="B6305" t="s">
        <v>2001</v>
      </c>
      <c r="C6305" t="s">
        <v>9521</v>
      </c>
      <c r="D6305" t="s">
        <v>18831</v>
      </c>
      <c r="E6305" t="s">
        <v>24478</v>
      </c>
      <c r="F6305" t="s">
        <v>32664</v>
      </c>
      <c r="G6305" t="s">
        <v>32672</v>
      </c>
      <c r="H6305" t="s">
        <v>32683</v>
      </c>
      <c r="I6305" t="s">
        <v>10627</v>
      </c>
      <c r="J6305" t="s">
        <v>32930</v>
      </c>
      <c r="K6305" t="s">
        <v>42283</v>
      </c>
      <c r="M6305" t="s">
        <v>44739</v>
      </c>
      <c r="N6305" t="s">
        <v>46569</v>
      </c>
      <c r="O6305" t="s">
        <v>46570</v>
      </c>
      <c r="P6305">
        <v>0</v>
      </c>
      <c r="Q6305">
        <v>1</v>
      </c>
      <c r="R6305" t="s">
        <v>46573</v>
      </c>
      <c r="S6305" t="s">
        <v>46705</v>
      </c>
      <c r="T6305" t="s">
        <v>48257</v>
      </c>
      <c r="U6305" t="s">
        <v>54018</v>
      </c>
      <c r="W6305" t="s">
        <v>44739</v>
      </c>
      <c r="X6305" t="s">
        <v>46574</v>
      </c>
    </row>
    <row r="6306" spans="1:24">
      <c r="A6306">
        <f>HYPERLINK("https://www.philgeps.gov.ph/GEPSNONPILOT/Tender/SplashBidNoticeAbstractUI.aspx?menuIndex=3&amp;refID=7060720&amp;Result=3","7060720")</f>
        <v>0</v>
      </c>
      <c r="B6306" t="s">
        <v>1055</v>
      </c>
      <c r="C6306" t="s">
        <v>9522</v>
      </c>
      <c r="D6306" t="s">
        <v>18784</v>
      </c>
      <c r="E6306" t="s">
        <v>24479</v>
      </c>
      <c r="F6306" t="s">
        <v>32664</v>
      </c>
      <c r="G6306" t="s">
        <v>32672</v>
      </c>
      <c r="H6306" t="s">
        <v>12635</v>
      </c>
      <c r="I6306" t="s">
        <v>32694</v>
      </c>
      <c r="J6306" t="s">
        <v>36750</v>
      </c>
      <c r="K6306" t="s">
        <v>42289</v>
      </c>
      <c r="M6306" t="s">
        <v>44732</v>
      </c>
      <c r="N6306" t="s">
        <v>46569</v>
      </c>
      <c r="O6306" t="s">
        <v>46570</v>
      </c>
      <c r="P6306">
        <v>0</v>
      </c>
      <c r="Q6306">
        <v>2</v>
      </c>
      <c r="R6306" t="s">
        <v>46573</v>
      </c>
      <c r="S6306" t="s">
        <v>46705</v>
      </c>
      <c r="T6306" t="s">
        <v>48404</v>
      </c>
      <c r="U6306" t="s">
        <v>54019</v>
      </c>
      <c r="W6306" t="s">
        <v>44732</v>
      </c>
      <c r="X6306" t="s">
        <v>46574</v>
      </c>
    </row>
    <row r="6307" spans="1:24">
      <c r="A6307">
        <f>HYPERLINK("https://www.philgeps.gov.ph/GEPSNONPILOT/Tender/SplashBidNoticeAbstractUI.aspx?menuIndex=3&amp;refID=7060719&amp;Result=3","7060719")</f>
        <v>0</v>
      </c>
      <c r="B6307" t="s">
        <v>562</v>
      </c>
      <c r="C6307" t="s">
        <v>9523</v>
      </c>
      <c r="D6307" t="s">
        <v>18781</v>
      </c>
      <c r="E6307" t="s">
        <v>24480</v>
      </c>
      <c r="F6307" t="s">
        <v>32664</v>
      </c>
      <c r="G6307" t="s">
        <v>32672</v>
      </c>
      <c r="H6307" t="s">
        <v>12635</v>
      </c>
      <c r="I6307" t="s">
        <v>32727</v>
      </c>
      <c r="J6307" t="s">
        <v>33265</v>
      </c>
      <c r="K6307" t="s">
        <v>42283</v>
      </c>
      <c r="M6307" t="s">
        <v>44795</v>
      </c>
      <c r="N6307" t="s">
        <v>46569</v>
      </c>
      <c r="O6307" t="s">
        <v>46570</v>
      </c>
      <c r="P6307">
        <v>0</v>
      </c>
      <c r="Q6307">
        <v>2</v>
      </c>
      <c r="R6307" t="s">
        <v>46573</v>
      </c>
      <c r="S6307" t="s">
        <v>46705</v>
      </c>
      <c r="T6307" t="s">
        <v>48311</v>
      </c>
      <c r="U6307" t="s">
        <v>54020</v>
      </c>
      <c r="W6307" t="s">
        <v>44795</v>
      </c>
      <c r="X6307" t="s">
        <v>46574</v>
      </c>
    </row>
    <row r="6308" spans="1:24">
      <c r="A6308">
        <f>HYPERLINK("https://www.philgeps.gov.ph/GEPSNONPILOT/Tender/SplashBidNoticeAbstractUI.aspx?menuIndex=3&amp;refID=7060717&amp;Result=3","7060717")</f>
        <v>0</v>
      </c>
      <c r="B6308" t="s">
        <v>1254</v>
      </c>
      <c r="C6308" t="s">
        <v>9524</v>
      </c>
      <c r="D6308" t="s">
        <v>18827</v>
      </c>
      <c r="E6308" t="s">
        <v>24481</v>
      </c>
      <c r="F6308" t="s">
        <v>32664</v>
      </c>
      <c r="G6308" t="s">
        <v>32671</v>
      </c>
      <c r="H6308" t="s">
        <v>12635</v>
      </c>
      <c r="I6308" t="s">
        <v>8797</v>
      </c>
      <c r="J6308" t="s">
        <v>33069</v>
      </c>
      <c r="K6308" t="s">
        <v>42309</v>
      </c>
      <c r="M6308" t="s">
        <v>43896</v>
      </c>
      <c r="N6308" t="s">
        <v>46569</v>
      </c>
      <c r="O6308" t="s">
        <v>46570</v>
      </c>
      <c r="P6308">
        <v>0</v>
      </c>
      <c r="Q6308">
        <v>4</v>
      </c>
      <c r="R6308" t="s">
        <v>46573</v>
      </c>
      <c r="S6308" t="s">
        <v>46705</v>
      </c>
      <c r="T6308" t="s">
        <v>48287</v>
      </c>
      <c r="U6308" t="s">
        <v>53821</v>
      </c>
      <c r="W6308" t="s">
        <v>43896</v>
      </c>
      <c r="X6308" t="s">
        <v>46574</v>
      </c>
    </row>
    <row r="6309" spans="1:24">
      <c r="A6309">
        <f>HYPERLINK("https://www.philgeps.gov.ph/GEPSNONPILOT/Tender/SplashBidNoticeAbstractUI.aspx?menuIndex=3&amp;refID=7060716&amp;Result=3","7060716")</f>
        <v>0</v>
      </c>
      <c r="B6309" t="s">
        <v>2058</v>
      </c>
      <c r="C6309" t="s">
        <v>9525</v>
      </c>
      <c r="E6309" t="s">
        <v>24482</v>
      </c>
      <c r="F6309" t="s">
        <v>32664</v>
      </c>
      <c r="G6309" t="s">
        <v>32671</v>
      </c>
      <c r="H6309" t="s">
        <v>12635</v>
      </c>
      <c r="I6309" t="s">
        <v>32684</v>
      </c>
      <c r="J6309" t="s">
        <v>36751</v>
      </c>
      <c r="K6309" t="s">
        <v>42283</v>
      </c>
      <c r="M6309" t="s">
        <v>44807</v>
      </c>
      <c r="N6309" t="s">
        <v>46569</v>
      </c>
      <c r="O6309" t="s">
        <v>46570</v>
      </c>
      <c r="P6309">
        <v>0</v>
      </c>
      <c r="Q6309">
        <v>8</v>
      </c>
      <c r="R6309" t="s">
        <v>46573</v>
      </c>
      <c r="S6309" t="s">
        <v>46705</v>
      </c>
      <c r="T6309" t="s">
        <v>48246</v>
      </c>
      <c r="U6309" t="s">
        <v>54021</v>
      </c>
      <c r="W6309" t="s">
        <v>44807</v>
      </c>
      <c r="X6309" t="s">
        <v>46574</v>
      </c>
    </row>
    <row r="6310" spans="1:24">
      <c r="A6310">
        <f>HYPERLINK("https://www.philgeps.gov.ph/GEPSNONPILOT/Tender/SplashBidNoticeAbstractUI.aspx?menuIndex=3&amp;refID=7060715&amp;Result=3","7060715")</f>
        <v>0</v>
      </c>
      <c r="B6310" t="s">
        <v>858</v>
      </c>
      <c r="C6310" t="s">
        <v>9526</v>
      </c>
      <c r="D6310" t="s">
        <v>18835</v>
      </c>
      <c r="E6310" t="s">
        <v>23186</v>
      </c>
      <c r="F6310" t="s">
        <v>32664</v>
      </c>
      <c r="G6310" t="s">
        <v>32671</v>
      </c>
      <c r="H6310" t="s">
        <v>12635</v>
      </c>
      <c r="I6310" t="s">
        <v>9597</v>
      </c>
      <c r="J6310" t="s">
        <v>33069</v>
      </c>
      <c r="K6310" t="s">
        <v>42289</v>
      </c>
      <c r="M6310" t="s">
        <v>43457</v>
      </c>
      <c r="N6310" t="s">
        <v>46569</v>
      </c>
      <c r="O6310" t="s">
        <v>46570</v>
      </c>
      <c r="P6310">
        <v>0</v>
      </c>
      <c r="Q6310">
        <v>0</v>
      </c>
      <c r="R6310" t="s">
        <v>46573</v>
      </c>
      <c r="S6310" t="s">
        <v>46705</v>
      </c>
      <c r="T6310" t="s">
        <v>48575</v>
      </c>
      <c r="U6310" t="s">
        <v>54022</v>
      </c>
      <c r="W6310" t="s">
        <v>43457</v>
      </c>
      <c r="X6310" t="s">
        <v>46574</v>
      </c>
    </row>
    <row r="6311" spans="1:24">
      <c r="A6311">
        <f>HYPERLINK("https://www.philgeps.gov.ph/GEPSNONPILOT/Tender/SplashBidNoticeAbstractUI.aspx?menuIndex=3&amp;refID=7060714&amp;Result=3","7060714")</f>
        <v>0</v>
      </c>
      <c r="B6311" t="s">
        <v>2059</v>
      </c>
      <c r="C6311" t="s">
        <v>9527</v>
      </c>
      <c r="D6311" t="s">
        <v>18806</v>
      </c>
      <c r="E6311" t="s">
        <v>19246</v>
      </c>
      <c r="F6311" t="s">
        <v>32664</v>
      </c>
      <c r="G6311" t="s">
        <v>32672</v>
      </c>
      <c r="H6311" t="s">
        <v>12635</v>
      </c>
      <c r="I6311" t="s">
        <v>14442</v>
      </c>
      <c r="J6311" t="s">
        <v>32859</v>
      </c>
      <c r="K6311" t="s">
        <v>42298</v>
      </c>
      <c r="M6311" t="s">
        <v>44808</v>
      </c>
      <c r="N6311" t="s">
        <v>46569</v>
      </c>
      <c r="O6311" t="s">
        <v>46570</v>
      </c>
      <c r="P6311">
        <v>0</v>
      </c>
      <c r="Q6311">
        <v>0</v>
      </c>
      <c r="R6311" t="s">
        <v>46573</v>
      </c>
      <c r="S6311" t="s">
        <v>46705</v>
      </c>
      <c r="T6311" t="s">
        <v>48283</v>
      </c>
      <c r="U6311" t="s">
        <v>54023</v>
      </c>
      <c r="W6311" t="s">
        <v>44808</v>
      </c>
      <c r="X6311" t="s">
        <v>46574</v>
      </c>
    </row>
    <row r="6312" spans="1:24">
      <c r="A6312">
        <f>HYPERLINK("https://www.philgeps.gov.ph/GEPSNONPILOT/Tender/SplashBidNoticeAbstractUI.aspx?menuIndex=3&amp;refID=7060694&amp;Result=3","7060694")</f>
        <v>0</v>
      </c>
      <c r="B6312" t="s">
        <v>2045</v>
      </c>
      <c r="C6312" t="s">
        <v>9528</v>
      </c>
      <c r="D6312" t="s">
        <v>18818</v>
      </c>
      <c r="E6312" t="s">
        <v>24483</v>
      </c>
      <c r="F6312" t="s">
        <v>32664</v>
      </c>
      <c r="G6312" t="s">
        <v>32671</v>
      </c>
      <c r="H6312" t="s">
        <v>12635</v>
      </c>
      <c r="I6312" t="s">
        <v>32684</v>
      </c>
      <c r="J6312" t="s">
        <v>33644</v>
      </c>
      <c r="K6312" t="s">
        <v>42281</v>
      </c>
      <c r="M6312" t="s">
        <v>44792</v>
      </c>
      <c r="N6312" t="s">
        <v>46569</v>
      </c>
      <c r="O6312" t="s">
        <v>46570</v>
      </c>
      <c r="P6312">
        <v>0</v>
      </c>
      <c r="Q6312">
        <v>1</v>
      </c>
      <c r="R6312" t="s">
        <v>46573</v>
      </c>
      <c r="S6312" t="s">
        <v>46705</v>
      </c>
      <c r="T6312" t="s">
        <v>48573</v>
      </c>
      <c r="U6312" t="s">
        <v>54024</v>
      </c>
      <c r="W6312" t="s">
        <v>44792</v>
      </c>
      <c r="X6312" t="s">
        <v>46574</v>
      </c>
    </row>
    <row r="6313" spans="1:24">
      <c r="A6313">
        <f>HYPERLINK("https://www.philgeps.gov.ph/GEPSNONPILOT/Tender/SplashBidNoticeAbstractUI.aspx?menuIndex=3&amp;refID=7060713&amp;Result=3","7060713")</f>
        <v>0</v>
      </c>
      <c r="B6313" t="s">
        <v>2051</v>
      </c>
      <c r="C6313" t="s">
        <v>9499</v>
      </c>
      <c r="D6313" t="s">
        <v>18790</v>
      </c>
      <c r="E6313" t="s">
        <v>24484</v>
      </c>
      <c r="F6313" t="s">
        <v>32664</v>
      </c>
      <c r="G6313" t="s">
        <v>32671</v>
      </c>
      <c r="H6313" t="s">
        <v>12635</v>
      </c>
      <c r="I6313" t="s">
        <v>4439</v>
      </c>
      <c r="J6313" t="s">
        <v>36752</v>
      </c>
      <c r="K6313" t="s">
        <v>42283</v>
      </c>
      <c r="M6313" t="s">
        <v>44801</v>
      </c>
      <c r="N6313" t="s">
        <v>46569</v>
      </c>
      <c r="O6313" t="s">
        <v>46570</v>
      </c>
      <c r="P6313">
        <v>0</v>
      </c>
      <c r="Q6313">
        <v>0</v>
      </c>
      <c r="R6313" t="s">
        <v>46573</v>
      </c>
      <c r="S6313" t="s">
        <v>46705</v>
      </c>
      <c r="T6313" t="s">
        <v>48307</v>
      </c>
      <c r="U6313" t="s">
        <v>54025</v>
      </c>
      <c r="W6313" t="s">
        <v>44801</v>
      </c>
      <c r="X6313" t="s">
        <v>46574</v>
      </c>
    </row>
    <row r="6314" spans="1:24">
      <c r="A6314">
        <f>HYPERLINK("https://www.philgeps.gov.ph/GEPSNONPILOT/Tender/SplashBidNoticeAbstractUI.aspx?menuIndex=3&amp;refID=7060712&amp;Result=3","7060712")</f>
        <v>0</v>
      </c>
      <c r="B6314" t="s">
        <v>2060</v>
      </c>
      <c r="C6314" t="s">
        <v>9529</v>
      </c>
      <c r="D6314" t="s">
        <v>18819</v>
      </c>
      <c r="E6314" t="s">
        <v>24485</v>
      </c>
      <c r="F6314" t="s">
        <v>32664</v>
      </c>
      <c r="G6314" t="s">
        <v>32671</v>
      </c>
      <c r="H6314" t="s">
        <v>32683</v>
      </c>
      <c r="I6314" t="s">
        <v>10627</v>
      </c>
      <c r="J6314" t="s">
        <v>36753</v>
      </c>
      <c r="K6314" t="s">
        <v>42289</v>
      </c>
      <c r="M6314" t="s">
        <v>44809</v>
      </c>
      <c r="N6314" t="s">
        <v>46569</v>
      </c>
      <c r="O6314" t="s">
        <v>46570</v>
      </c>
      <c r="P6314">
        <v>0</v>
      </c>
      <c r="Q6314">
        <v>0</v>
      </c>
      <c r="R6314" t="s">
        <v>46573</v>
      </c>
      <c r="S6314" t="s">
        <v>46705</v>
      </c>
      <c r="T6314" t="s">
        <v>48356</v>
      </c>
      <c r="U6314" t="s">
        <v>54026</v>
      </c>
      <c r="W6314" t="s">
        <v>44809</v>
      </c>
      <c r="X6314" t="s">
        <v>46574</v>
      </c>
    </row>
    <row r="6315" spans="1:24">
      <c r="A6315">
        <f>HYPERLINK("https://www.philgeps.gov.ph/GEPSNONPILOT/Tender/SplashBidNoticeAbstractUI.aspx?menuIndex=3&amp;refID=7060690&amp;Result=3","7060690")</f>
        <v>0</v>
      </c>
      <c r="B6315" t="s">
        <v>304</v>
      </c>
      <c r="C6315" t="s">
        <v>9530</v>
      </c>
      <c r="D6315" t="s">
        <v>18792</v>
      </c>
      <c r="E6315" t="s">
        <v>19460</v>
      </c>
      <c r="F6315" t="s">
        <v>32664</v>
      </c>
      <c r="G6315" t="s">
        <v>32671</v>
      </c>
      <c r="H6315" t="s">
        <v>12635</v>
      </c>
      <c r="I6315" t="s">
        <v>32706</v>
      </c>
      <c r="J6315" t="s">
        <v>36754</v>
      </c>
      <c r="K6315" t="s">
        <v>42295</v>
      </c>
      <c r="M6315" t="s">
        <v>42871</v>
      </c>
      <c r="N6315" t="s">
        <v>46569</v>
      </c>
      <c r="O6315" t="s">
        <v>46570</v>
      </c>
      <c r="P6315">
        <v>0</v>
      </c>
      <c r="Q6315">
        <v>0</v>
      </c>
      <c r="R6315" t="s">
        <v>46573</v>
      </c>
      <c r="S6315" t="s">
        <v>46705</v>
      </c>
      <c r="T6315" t="s">
        <v>48287</v>
      </c>
      <c r="U6315" t="s">
        <v>54027</v>
      </c>
      <c r="W6315" t="s">
        <v>42871</v>
      </c>
      <c r="X6315" t="s">
        <v>46574</v>
      </c>
    </row>
    <row r="6316" spans="1:24">
      <c r="A6316">
        <f>HYPERLINK("https://www.philgeps.gov.ph/GEPSNONPILOT/Tender/SplashBidNoticeAbstractUI.aspx?menuIndex=3&amp;refID=7060718&amp;Result=3","7060718")</f>
        <v>0</v>
      </c>
      <c r="B6316" t="s">
        <v>1102</v>
      </c>
      <c r="C6316" t="s">
        <v>9531</v>
      </c>
      <c r="D6316" t="s">
        <v>18784</v>
      </c>
      <c r="E6316" t="s">
        <v>24486</v>
      </c>
      <c r="F6316" t="s">
        <v>32664</v>
      </c>
      <c r="G6316" t="s">
        <v>32672</v>
      </c>
      <c r="H6316" t="s">
        <v>12635</v>
      </c>
      <c r="I6316" t="s">
        <v>32778</v>
      </c>
      <c r="J6316" t="s">
        <v>36755</v>
      </c>
      <c r="K6316" t="s">
        <v>42283</v>
      </c>
      <c r="M6316" t="s">
        <v>44775</v>
      </c>
      <c r="N6316" t="s">
        <v>46569</v>
      </c>
      <c r="O6316" t="s">
        <v>46570</v>
      </c>
      <c r="P6316">
        <v>0</v>
      </c>
      <c r="Q6316">
        <v>2</v>
      </c>
      <c r="R6316" t="s">
        <v>46573</v>
      </c>
      <c r="S6316" t="s">
        <v>46705</v>
      </c>
      <c r="T6316" t="s">
        <v>48302</v>
      </c>
      <c r="U6316" t="s">
        <v>54028</v>
      </c>
      <c r="W6316" t="s">
        <v>44775</v>
      </c>
      <c r="X6316" t="s">
        <v>46574</v>
      </c>
    </row>
    <row r="6317" spans="1:24">
      <c r="A6317">
        <f>HYPERLINK("https://www.philgeps.gov.ph/GEPSNONPILOT/Tender/SplashBidNoticeAbstractUI.aspx?menuIndex=3&amp;refID=7060727&amp;Result=3","7060727")</f>
        <v>0</v>
      </c>
      <c r="B6317" t="s">
        <v>1990</v>
      </c>
      <c r="C6317" t="s">
        <v>9532</v>
      </c>
      <c r="D6317" t="s">
        <v>18783</v>
      </c>
      <c r="E6317" t="s">
        <v>24487</v>
      </c>
      <c r="F6317" t="s">
        <v>32664</v>
      </c>
      <c r="G6317" t="s">
        <v>32671</v>
      </c>
      <c r="H6317" t="s">
        <v>12635</v>
      </c>
      <c r="I6317" t="s">
        <v>32704</v>
      </c>
      <c r="J6317" t="s">
        <v>33608</v>
      </c>
      <c r="K6317" t="s">
        <v>42289</v>
      </c>
      <c r="M6317" t="s">
        <v>44724</v>
      </c>
      <c r="N6317" t="s">
        <v>46569</v>
      </c>
      <c r="O6317" t="s">
        <v>46570</v>
      </c>
      <c r="P6317">
        <v>0</v>
      </c>
      <c r="Q6317">
        <v>9</v>
      </c>
      <c r="R6317" t="s">
        <v>46573</v>
      </c>
      <c r="S6317" t="s">
        <v>46705</v>
      </c>
      <c r="T6317" t="s">
        <v>48563</v>
      </c>
      <c r="U6317" t="s">
        <v>54029</v>
      </c>
      <c r="W6317" t="s">
        <v>44724</v>
      </c>
      <c r="X6317" t="s">
        <v>46574</v>
      </c>
    </row>
    <row r="6318" spans="1:24">
      <c r="A6318">
        <f>HYPERLINK("https://www.philgeps.gov.ph/GEPSNONPILOT/Tender/SplashBidNoticeAbstractUI.aspx?menuIndex=3&amp;refID=7060687&amp;Result=3","7060687")</f>
        <v>0</v>
      </c>
      <c r="B6318" t="s">
        <v>167</v>
      </c>
      <c r="C6318" t="s">
        <v>9533</v>
      </c>
      <c r="D6318" t="s">
        <v>18837</v>
      </c>
      <c r="E6318" t="s">
        <v>24488</v>
      </c>
      <c r="F6318" t="s">
        <v>32664</v>
      </c>
      <c r="G6318" t="s">
        <v>32672</v>
      </c>
      <c r="H6318" t="s">
        <v>12635</v>
      </c>
      <c r="I6318" t="s">
        <v>6628</v>
      </c>
      <c r="J6318" t="s">
        <v>33267</v>
      </c>
      <c r="K6318" t="s">
        <v>42303</v>
      </c>
      <c r="M6318" t="s">
        <v>42731</v>
      </c>
      <c r="N6318" t="s">
        <v>46569</v>
      </c>
      <c r="O6318" t="s">
        <v>46570</v>
      </c>
      <c r="P6318">
        <v>0</v>
      </c>
      <c r="Q6318">
        <v>6</v>
      </c>
      <c r="R6318" t="s">
        <v>46573</v>
      </c>
      <c r="S6318" t="s">
        <v>46705</v>
      </c>
      <c r="T6318" t="s">
        <v>48245</v>
      </c>
      <c r="U6318" t="s">
        <v>54030</v>
      </c>
      <c r="W6318" t="s">
        <v>42731</v>
      </c>
      <c r="X6318" t="s">
        <v>46574</v>
      </c>
    </row>
    <row r="6319" spans="1:24">
      <c r="A6319">
        <f>HYPERLINK("https://www.philgeps.gov.ph/GEPSNONPILOT/Tender/SplashBidNoticeAbstractUI.aspx?menuIndex=3&amp;refID=7060711&amp;Result=3","7060711")</f>
        <v>0</v>
      </c>
      <c r="B6319" t="s">
        <v>2048</v>
      </c>
      <c r="C6319" t="s">
        <v>9534</v>
      </c>
      <c r="E6319" t="s">
        <v>19928</v>
      </c>
      <c r="F6319" t="s">
        <v>32664</v>
      </c>
      <c r="G6319" t="s">
        <v>32672</v>
      </c>
      <c r="H6319" t="s">
        <v>12635</v>
      </c>
      <c r="I6319" t="s">
        <v>6628</v>
      </c>
      <c r="J6319" t="s">
        <v>33078</v>
      </c>
      <c r="K6319" t="s">
        <v>42281</v>
      </c>
      <c r="M6319" t="s">
        <v>44797</v>
      </c>
      <c r="N6319" t="s">
        <v>46569</v>
      </c>
      <c r="O6319" t="s">
        <v>46570</v>
      </c>
      <c r="P6319">
        <v>0</v>
      </c>
      <c r="Q6319">
        <v>4</v>
      </c>
      <c r="R6319" t="s">
        <v>46573</v>
      </c>
      <c r="S6319" t="s">
        <v>46705</v>
      </c>
      <c r="T6319" t="s">
        <v>48268</v>
      </c>
      <c r="U6319" t="s">
        <v>54031</v>
      </c>
      <c r="W6319" t="s">
        <v>44797</v>
      </c>
      <c r="X6319" t="s">
        <v>46574</v>
      </c>
    </row>
    <row r="6320" spans="1:24">
      <c r="A6320">
        <f>HYPERLINK("https://www.philgeps.gov.ph/GEPSNONPILOT/Tender/SplashBidNoticeAbstractUI.aspx?menuIndex=3&amp;refID=7060689&amp;Result=3","7060689")</f>
        <v>0</v>
      </c>
      <c r="B6320" t="s">
        <v>154</v>
      </c>
      <c r="C6320" t="s">
        <v>9535</v>
      </c>
      <c r="E6320" t="s">
        <v>24489</v>
      </c>
      <c r="F6320" t="s">
        <v>32664</v>
      </c>
      <c r="G6320" t="s">
        <v>32672</v>
      </c>
      <c r="H6320" t="s">
        <v>32683</v>
      </c>
      <c r="I6320" t="s">
        <v>10627</v>
      </c>
      <c r="J6320" t="s">
        <v>36756</v>
      </c>
      <c r="K6320" t="s">
        <v>42283</v>
      </c>
      <c r="M6320" t="s">
        <v>42718</v>
      </c>
      <c r="N6320" t="s">
        <v>46569</v>
      </c>
      <c r="O6320" t="s">
        <v>46570</v>
      </c>
      <c r="P6320">
        <v>0</v>
      </c>
      <c r="Q6320">
        <v>4</v>
      </c>
      <c r="R6320" t="s">
        <v>46573</v>
      </c>
      <c r="S6320" t="s">
        <v>46705</v>
      </c>
      <c r="T6320" t="s">
        <v>48410</v>
      </c>
      <c r="U6320" t="s">
        <v>53961</v>
      </c>
      <c r="V6320" t="s">
        <v>62253</v>
      </c>
      <c r="W6320" t="s">
        <v>42718</v>
      </c>
      <c r="X6320" t="s">
        <v>46574</v>
      </c>
    </row>
    <row r="6321" spans="1:24">
      <c r="A6321">
        <f>HYPERLINK("https://www.philgeps.gov.ph/GEPSNONPILOT/Tender/SplashBidNoticeAbstractUI.aspx?menuIndex=3&amp;refID=7060688&amp;Result=3","7060688")</f>
        <v>0</v>
      </c>
      <c r="B6321" t="s">
        <v>2051</v>
      </c>
      <c r="C6321" t="s">
        <v>9499</v>
      </c>
      <c r="D6321" t="s">
        <v>18790</v>
      </c>
      <c r="E6321" t="s">
        <v>24490</v>
      </c>
      <c r="F6321" t="s">
        <v>32664</v>
      </c>
      <c r="G6321" t="s">
        <v>32671</v>
      </c>
      <c r="H6321" t="s">
        <v>12635</v>
      </c>
      <c r="I6321" t="s">
        <v>4439</v>
      </c>
      <c r="J6321" t="s">
        <v>36757</v>
      </c>
      <c r="K6321" t="s">
        <v>42283</v>
      </c>
      <c r="M6321" t="s">
        <v>44801</v>
      </c>
      <c r="N6321" t="s">
        <v>46569</v>
      </c>
      <c r="O6321" t="s">
        <v>46570</v>
      </c>
      <c r="P6321">
        <v>0</v>
      </c>
      <c r="Q6321">
        <v>0</v>
      </c>
      <c r="R6321" t="s">
        <v>46573</v>
      </c>
      <c r="S6321" t="s">
        <v>46705</v>
      </c>
      <c r="T6321" t="s">
        <v>48307</v>
      </c>
      <c r="U6321" t="s">
        <v>54032</v>
      </c>
      <c r="W6321" t="s">
        <v>44801</v>
      </c>
      <c r="X6321" t="s">
        <v>46574</v>
      </c>
    </row>
    <row r="6322" spans="1:24">
      <c r="A6322">
        <f>HYPERLINK("https://www.philgeps.gov.ph/GEPSNONPILOT/Tender/SplashBidNoticeAbstractUI.aspx?menuIndex=3&amp;refID=7060665&amp;Result=3","7060665")</f>
        <v>0</v>
      </c>
      <c r="B6322" t="s">
        <v>2058</v>
      </c>
      <c r="C6322" t="s">
        <v>9536</v>
      </c>
      <c r="E6322" t="s">
        <v>24491</v>
      </c>
      <c r="F6322" t="s">
        <v>32664</v>
      </c>
      <c r="G6322" t="s">
        <v>32671</v>
      </c>
      <c r="H6322" t="s">
        <v>12635</v>
      </c>
      <c r="I6322" t="s">
        <v>32756</v>
      </c>
      <c r="J6322" t="s">
        <v>36758</v>
      </c>
      <c r="K6322" t="s">
        <v>42283</v>
      </c>
      <c r="M6322" t="s">
        <v>44807</v>
      </c>
      <c r="N6322" t="s">
        <v>46569</v>
      </c>
      <c r="O6322" t="s">
        <v>46570</v>
      </c>
      <c r="P6322">
        <v>0</v>
      </c>
      <c r="Q6322">
        <v>3</v>
      </c>
      <c r="R6322" t="s">
        <v>46573</v>
      </c>
      <c r="S6322" t="s">
        <v>46705</v>
      </c>
      <c r="T6322" t="s">
        <v>48246</v>
      </c>
      <c r="U6322" t="s">
        <v>54033</v>
      </c>
      <c r="W6322" t="s">
        <v>44807</v>
      </c>
      <c r="X6322" t="s">
        <v>46574</v>
      </c>
    </row>
    <row r="6323" spans="1:24">
      <c r="A6323">
        <f>HYPERLINK("https://www.philgeps.gov.ph/GEPSNONPILOT/Tender/SplashBidNoticeAbstractUI.aspx?menuIndex=3&amp;refID=7060639&amp;Result=3","7060639")</f>
        <v>0</v>
      </c>
      <c r="B6323" t="s">
        <v>2059</v>
      </c>
      <c r="C6323" t="s">
        <v>9537</v>
      </c>
      <c r="D6323" t="s">
        <v>18806</v>
      </c>
      <c r="E6323" t="s">
        <v>19110</v>
      </c>
      <c r="F6323" t="s">
        <v>32664</v>
      </c>
      <c r="G6323" t="s">
        <v>32672</v>
      </c>
      <c r="H6323" t="s">
        <v>12635</v>
      </c>
      <c r="I6323" t="s">
        <v>6628</v>
      </c>
      <c r="J6323" t="s">
        <v>32842</v>
      </c>
      <c r="K6323" t="s">
        <v>42298</v>
      </c>
      <c r="M6323" t="s">
        <v>44808</v>
      </c>
      <c r="N6323" t="s">
        <v>46569</v>
      </c>
      <c r="O6323" t="s">
        <v>46570</v>
      </c>
      <c r="P6323">
        <v>0</v>
      </c>
      <c r="Q6323">
        <v>0</v>
      </c>
      <c r="R6323" t="s">
        <v>46573</v>
      </c>
      <c r="S6323" t="s">
        <v>46705</v>
      </c>
      <c r="T6323" t="s">
        <v>48228</v>
      </c>
      <c r="U6323" t="s">
        <v>54034</v>
      </c>
      <c r="W6323" t="s">
        <v>44808</v>
      </c>
      <c r="X6323" t="s">
        <v>46574</v>
      </c>
    </row>
    <row r="6324" spans="1:24">
      <c r="A6324">
        <f>HYPERLINK("https://www.philgeps.gov.ph/GEPSNONPILOT/Tender/SplashBidNoticeAbstractUI.aspx?menuIndex=3&amp;refID=7060664&amp;Result=3","7060664")</f>
        <v>0</v>
      </c>
      <c r="B6324" t="s">
        <v>870</v>
      </c>
      <c r="C6324" t="s">
        <v>9538</v>
      </c>
      <c r="D6324" t="s">
        <v>18844</v>
      </c>
      <c r="E6324" t="s">
        <v>24492</v>
      </c>
      <c r="F6324" t="s">
        <v>32664</v>
      </c>
      <c r="G6324" t="s">
        <v>32671</v>
      </c>
      <c r="H6324" t="s">
        <v>12635</v>
      </c>
      <c r="I6324" t="s">
        <v>9486</v>
      </c>
      <c r="J6324" t="s">
        <v>33893</v>
      </c>
      <c r="K6324" t="s">
        <v>42297</v>
      </c>
      <c r="M6324" t="s">
        <v>43470</v>
      </c>
      <c r="N6324" t="s">
        <v>46569</v>
      </c>
      <c r="O6324" t="s">
        <v>46570</v>
      </c>
      <c r="P6324">
        <v>0</v>
      </c>
      <c r="Q6324">
        <v>2</v>
      </c>
      <c r="R6324" t="s">
        <v>46573</v>
      </c>
      <c r="S6324" t="s">
        <v>46705</v>
      </c>
      <c r="T6324" t="s">
        <v>48287</v>
      </c>
      <c r="U6324" t="s">
        <v>50477</v>
      </c>
      <c r="V6324" t="s">
        <v>61834</v>
      </c>
      <c r="W6324" t="s">
        <v>43470</v>
      </c>
      <c r="X6324" t="s">
        <v>46574</v>
      </c>
    </row>
    <row r="6325" spans="1:24">
      <c r="A6325">
        <f>HYPERLINK("https://www.philgeps.gov.ph/GEPSNONPILOT/Tender/SplashBidNoticeAbstractUI.aspx?menuIndex=3&amp;refID=7060617&amp;Result=3","7060617")</f>
        <v>0</v>
      </c>
      <c r="B6325" t="s">
        <v>2061</v>
      </c>
      <c r="C6325" t="s">
        <v>9539</v>
      </c>
      <c r="D6325" t="s">
        <v>18809</v>
      </c>
      <c r="E6325" t="s">
        <v>19444</v>
      </c>
      <c r="F6325" t="s">
        <v>32664</v>
      </c>
      <c r="G6325" t="s">
        <v>32671</v>
      </c>
      <c r="H6325" t="s">
        <v>12635</v>
      </c>
      <c r="I6325" t="s">
        <v>4439</v>
      </c>
      <c r="J6325" t="s">
        <v>36759</v>
      </c>
      <c r="K6325" t="s">
        <v>42283</v>
      </c>
      <c r="M6325" t="s">
        <v>44810</v>
      </c>
      <c r="N6325" t="s">
        <v>46569</v>
      </c>
      <c r="O6325" t="s">
        <v>46570</v>
      </c>
      <c r="P6325">
        <v>0</v>
      </c>
      <c r="Q6325">
        <v>0</v>
      </c>
      <c r="R6325" t="s">
        <v>46573</v>
      </c>
      <c r="S6325" t="s">
        <v>46705</v>
      </c>
      <c r="T6325" t="s">
        <v>48316</v>
      </c>
      <c r="U6325" t="s">
        <v>54035</v>
      </c>
      <c r="W6325" t="s">
        <v>44810</v>
      </c>
      <c r="X6325" t="s">
        <v>46574</v>
      </c>
    </row>
    <row r="6326" spans="1:24">
      <c r="A6326">
        <f>HYPERLINK("https://www.philgeps.gov.ph/GEPSNONPILOT/Tender/SplashBidNoticeAbstractUI.aspx?menuIndex=3&amp;refID=7060615&amp;Result=3","7060615")</f>
        <v>0</v>
      </c>
      <c r="B6326" t="s">
        <v>2051</v>
      </c>
      <c r="C6326" t="s">
        <v>5193</v>
      </c>
      <c r="D6326" t="s">
        <v>18790</v>
      </c>
      <c r="E6326" t="s">
        <v>24493</v>
      </c>
      <c r="F6326" t="s">
        <v>32664</v>
      </c>
      <c r="G6326" t="s">
        <v>32675</v>
      </c>
      <c r="H6326" t="s">
        <v>12635</v>
      </c>
      <c r="I6326" t="s">
        <v>6168</v>
      </c>
      <c r="J6326" t="s">
        <v>36760</v>
      </c>
      <c r="K6326" t="s">
        <v>42283</v>
      </c>
      <c r="M6326" t="s">
        <v>44801</v>
      </c>
      <c r="N6326" t="s">
        <v>46569</v>
      </c>
      <c r="O6326" t="s">
        <v>46570</v>
      </c>
      <c r="P6326">
        <v>0</v>
      </c>
      <c r="Q6326">
        <v>0</v>
      </c>
      <c r="R6326" t="s">
        <v>46573</v>
      </c>
      <c r="S6326" t="s">
        <v>46705</v>
      </c>
      <c r="T6326" t="s">
        <v>48307</v>
      </c>
      <c r="U6326" t="s">
        <v>54036</v>
      </c>
      <c r="W6326" t="s">
        <v>44801</v>
      </c>
      <c r="X6326" t="s">
        <v>46574</v>
      </c>
    </row>
    <row r="6327" spans="1:24">
      <c r="A6327">
        <f>HYPERLINK("https://www.philgeps.gov.ph/GEPSNONPILOT/Tender/SplashBidNoticeAbstractUI.aspx?menuIndex=3&amp;refID=7060663&amp;Result=3","7060663")</f>
        <v>0</v>
      </c>
      <c r="B6327" t="s">
        <v>2062</v>
      </c>
      <c r="C6327" t="s">
        <v>9540</v>
      </c>
      <c r="D6327" t="s">
        <v>18827</v>
      </c>
      <c r="E6327" t="s">
        <v>24494</v>
      </c>
      <c r="F6327" t="s">
        <v>32664</v>
      </c>
      <c r="G6327" t="s">
        <v>32674</v>
      </c>
      <c r="H6327" t="s">
        <v>12635</v>
      </c>
      <c r="I6327" t="s">
        <v>6168</v>
      </c>
      <c r="J6327" t="s">
        <v>36761</v>
      </c>
      <c r="K6327" t="s">
        <v>42295</v>
      </c>
      <c r="M6327" t="s">
        <v>44811</v>
      </c>
      <c r="N6327" t="s">
        <v>46569</v>
      </c>
      <c r="O6327" t="s">
        <v>46570</v>
      </c>
      <c r="P6327">
        <v>0</v>
      </c>
      <c r="Q6327">
        <v>1</v>
      </c>
      <c r="R6327" t="s">
        <v>46573</v>
      </c>
      <c r="S6327" t="s">
        <v>46705</v>
      </c>
      <c r="T6327" t="s">
        <v>48473</v>
      </c>
      <c r="U6327" t="s">
        <v>54037</v>
      </c>
      <c r="W6327" t="s">
        <v>44811</v>
      </c>
      <c r="X6327" t="s">
        <v>46574</v>
      </c>
    </row>
    <row r="6328" spans="1:24">
      <c r="A6328">
        <f>HYPERLINK("https://www.philgeps.gov.ph/GEPSNONPILOT/Tender/SplashBidNoticeAbstractUI.aspx?menuIndex=3&amp;refID=7060666&amp;Result=3","7060666")</f>
        <v>0</v>
      </c>
      <c r="B6328" t="s">
        <v>726</v>
      </c>
      <c r="C6328" t="s">
        <v>9541</v>
      </c>
      <c r="D6328" t="s">
        <v>18784</v>
      </c>
      <c r="E6328" t="s">
        <v>24495</v>
      </c>
      <c r="F6328" t="s">
        <v>32664</v>
      </c>
      <c r="G6328" t="s">
        <v>32672</v>
      </c>
      <c r="H6328" t="s">
        <v>12635</v>
      </c>
      <c r="I6328" t="s">
        <v>6223</v>
      </c>
      <c r="J6328" t="s">
        <v>36762</v>
      </c>
      <c r="K6328" t="s">
        <v>42284</v>
      </c>
      <c r="M6328" t="s">
        <v>43314</v>
      </c>
      <c r="N6328" t="s">
        <v>46569</v>
      </c>
      <c r="O6328" t="s">
        <v>46570</v>
      </c>
      <c r="P6328">
        <v>0</v>
      </c>
      <c r="Q6328">
        <v>0</v>
      </c>
      <c r="R6328" t="s">
        <v>46573</v>
      </c>
      <c r="S6328" t="s">
        <v>46705</v>
      </c>
      <c r="T6328" t="s">
        <v>48336</v>
      </c>
      <c r="U6328" t="s">
        <v>50145</v>
      </c>
      <c r="W6328" t="s">
        <v>43314</v>
      </c>
      <c r="X6328" t="s">
        <v>46574</v>
      </c>
    </row>
    <row r="6329" spans="1:24">
      <c r="A6329">
        <f>HYPERLINK("https://www.philgeps.gov.ph/GEPSNONPILOT/Tender/SplashBidNoticeAbstractUI.aspx?menuIndex=3&amp;refID=7060635&amp;Result=3","7060635")</f>
        <v>0</v>
      </c>
      <c r="B6329" t="s">
        <v>725</v>
      </c>
      <c r="C6329" t="s">
        <v>9542</v>
      </c>
      <c r="D6329" t="s">
        <v>18842</v>
      </c>
      <c r="E6329" t="s">
        <v>24496</v>
      </c>
      <c r="F6329" t="s">
        <v>32664</v>
      </c>
      <c r="G6329" t="s">
        <v>32672</v>
      </c>
      <c r="H6329" t="s">
        <v>32681</v>
      </c>
      <c r="I6329" t="s">
        <v>32681</v>
      </c>
      <c r="J6329" t="s">
        <v>34862</v>
      </c>
      <c r="K6329" t="s">
        <v>42290</v>
      </c>
      <c r="M6329" t="s">
        <v>43312</v>
      </c>
      <c r="N6329" t="s">
        <v>46569</v>
      </c>
      <c r="O6329" t="s">
        <v>46570</v>
      </c>
      <c r="P6329">
        <v>0</v>
      </c>
      <c r="Q6329">
        <v>5</v>
      </c>
      <c r="R6329" t="s">
        <v>46573</v>
      </c>
      <c r="S6329" t="s">
        <v>46705</v>
      </c>
      <c r="T6329" t="s">
        <v>48560</v>
      </c>
      <c r="U6329" t="s">
        <v>54038</v>
      </c>
      <c r="W6329" t="s">
        <v>43312</v>
      </c>
      <c r="X6329" t="s">
        <v>46574</v>
      </c>
    </row>
    <row r="6330" spans="1:24">
      <c r="A6330">
        <f>HYPERLINK("https://www.philgeps.gov.ph/GEPSNONPILOT/Tender/SplashBidNoticeAbstractUI.aspx?menuIndex=3&amp;refID=7060614&amp;Result=3","7060614")</f>
        <v>0</v>
      </c>
      <c r="B6330" t="s">
        <v>908</v>
      </c>
      <c r="C6330" t="s">
        <v>9543</v>
      </c>
      <c r="E6330" t="s">
        <v>24497</v>
      </c>
      <c r="F6330" t="s">
        <v>32664</v>
      </c>
      <c r="G6330" t="s">
        <v>32671</v>
      </c>
      <c r="H6330" t="s">
        <v>12635</v>
      </c>
      <c r="I6330" t="s">
        <v>32696</v>
      </c>
      <c r="J6330" t="s">
        <v>32865</v>
      </c>
      <c r="K6330" t="s">
        <v>42289</v>
      </c>
      <c r="M6330" t="s">
        <v>43514</v>
      </c>
      <c r="N6330" t="s">
        <v>46569</v>
      </c>
      <c r="O6330" t="s">
        <v>46570</v>
      </c>
      <c r="P6330">
        <v>0</v>
      </c>
      <c r="Q6330">
        <v>11</v>
      </c>
      <c r="R6330" t="s">
        <v>46573</v>
      </c>
      <c r="S6330" t="s">
        <v>46705</v>
      </c>
      <c r="T6330" t="s">
        <v>48283</v>
      </c>
      <c r="U6330" t="s">
        <v>54039</v>
      </c>
      <c r="W6330" t="s">
        <v>43514</v>
      </c>
      <c r="X6330" t="s">
        <v>46574</v>
      </c>
    </row>
    <row r="6331" spans="1:24">
      <c r="A6331">
        <f>HYPERLINK("https://www.philgeps.gov.ph/GEPSNONPILOT/Tender/SplashBidNoticeAbstractUI.aspx?menuIndex=3&amp;refID=7060610&amp;Result=3","7060610")</f>
        <v>0</v>
      </c>
      <c r="B6331" t="s">
        <v>166</v>
      </c>
      <c r="C6331" t="s">
        <v>9544</v>
      </c>
      <c r="D6331" t="s">
        <v>18792</v>
      </c>
      <c r="E6331" t="s">
        <v>24498</v>
      </c>
      <c r="F6331" t="s">
        <v>32664</v>
      </c>
      <c r="G6331" t="s">
        <v>32671</v>
      </c>
      <c r="H6331" t="s">
        <v>12635</v>
      </c>
      <c r="I6331" t="s">
        <v>11464</v>
      </c>
      <c r="J6331" t="s">
        <v>33069</v>
      </c>
      <c r="K6331" t="s">
        <v>42283</v>
      </c>
      <c r="M6331" t="s">
        <v>42730</v>
      </c>
      <c r="N6331" t="s">
        <v>46569</v>
      </c>
      <c r="O6331" t="s">
        <v>46570</v>
      </c>
      <c r="P6331">
        <v>0</v>
      </c>
      <c r="Q6331">
        <v>0</v>
      </c>
      <c r="R6331" t="s">
        <v>46573</v>
      </c>
      <c r="S6331" t="s">
        <v>46705</v>
      </c>
      <c r="T6331" t="s">
        <v>48221</v>
      </c>
      <c r="U6331" t="s">
        <v>54040</v>
      </c>
      <c r="W6331" t="s">
        <v>42730</v>
      </c>
      <c r="X6331" t="s">
        <v>46574</v>
      </c>
    </row>
    <row r="6332" spans="1:24">
      <c r="A6332">
        <f>HYPERLINK("https://www.philgeps.gov.ph/GEPSNONPILOT/Tender/SplashBidNoticeAbstractUI.aspx?menuIndex=3&amp;refID=7060396&amp;Result=3","7060396")</f>
        <v>0</v>
      </c>
      <c r="B6332" t="s">
        <v>2025</v>
      </c>
      <c r="C6332" t="s">
        <v>9545</v>
      </c>
      <c r="D6332" t="s">
        <v>18789</v>
      </c>
      <c r="E6332" t="s">
        <v>24499</v>
      </c>
      <c r="F6332" t="s">
        <v>32664</v>
      </c>
      <c r="G6332" t="s">
        <v>32672</v>
      </c>
      <c r="H6332" t="s">
        <v>12635</v>
      </c>
      <c r="I6332" t="s">
        <v>4439</v>
      </c>
      <c r="J6332" t="s">
        <v>36763</v>
      </c>
      <c r="K6332" t="s">
        <v>42283</v>
      </c>
      <c r="M6332" t="s">
        <v>44767</v>
      </c>
      <c r="N6332" t="s">
        <v>46569</v>
      </c>
      <c r="O6332" t="s">
        <v>46570</v>
      </c>
      <c r="P6332">
        <v>0</v>
      </c>
      <c r="Q6332">
        <v>2</v>
      </c>
      <c r="R6332" t="s">
        <v>46573</v>
      </c>
      <c r="S6332" t="s">
        <v>46705</v>
      </c>
      <c r="T6332" t="s">
        <v>48308</v>
      </c>
      <c r="U6332" t="s">
        <v>54041</v>
      </c>
      <c r="V6332" t="s">
        <v>62043</v>
      </c>
      <c r="W6332" t="s">
        <v>44767</v>
      </c>
      <c r="X6332" t="s">
        <v>46574</v>
      </c>
    </row>
    <row r="6333" spans="1:24">
      <c r="A6333">
        <f>HYPERLINK("https://www.philgeps.gov.ph/GEPSNONPILOT/Tender/SplashBidNoticeAbstractUI.aspx?menuIndex=3&amp;refID=7060611&amp;Result=3","7060611")</f>
        <v>0</v>
      </c>
      <c r="B6333" t="s">
        <v>154</v>
      </c>
      <c r="C6333" t="s">
        <v>9546</v>
      </c>
      <c r="E6333" t="s">
        <v>24500</v>
      </c>
      <c r="F6333" t="s">
        <v>32664</v>
      </c>
      <c r="G6333" t="s">
        <v>32672</v>
      </c>
      <c r="H6333" t="s">
        <v>32683</v>
      </c>
      <c r="I6333" t="s">
        <v>10627</v>
      </c>
      <c r="J6333" t="s">
        <v>36764</v>
      </c>
      <c r="K6333" t="s">
        <v>42283</v>
      </c>
      <c r="M6333" t="s">
        <v>42718</v>
      </c>
      <c r="N6333" t="s">
        <v>46569</v>
      </c>
      <c r="O6333" t="s">
        <v>46570</v>
      </c>
      <c r="P6333">
        <v>0</v>
      </c>
      <c r="Q6333">
        <v>3</v>
      </c>
      <c r="R6333" t="s">
        <v>46573</v>
      </c>
      <c r="S6333" t="s">
        <v>46705</v>
      </c>
      <c r="T6333" t="s">
        <v>48410</v>
      </c>
      <c r="U6333" t="s">
        <v>53961</v>
      </c>
      <c r="V6333" t="s">
        <v>62253</v>
      </c>
      <c r="W6333" t="s">
        <v>42718</v>
      </c>
      <c r="X6333" t="s">
        <v>46574</v>
      </c>
    </row>
    <row r="6334" spans="1:24">
      <c r="A6334">
        <f>HYPERLINK("https://www.philgeps.gov.ph/GEPSNONPILOT/Tender/SplashBidNoticeAbstractUI.aspx?menuIndex=3&amp;refID=7060616&amp;Result=3","7060616")</f>
        <v>0</v>
      </c>
      <c r="B6334" t="s">
        <v>1922</v>
      </c>
      <c r="C6334" t="s">
        <v>9547</v>
      </c>
      <c r="D6334" t="s">
        <v>18827</v>
      </c>
      <c r="E6334" t="s">
        <v>24501</v>
      </c>
      <c r="F6334" t="s">
        <v>32664</v>
      </c>
      <c r="G6334" t="s">
        <v>32672</v>
      </c>
      <c r="H6334" t="s">
        <v>32683</v>
      </c>
      <c r="I6334" t="s">
        <v>10627</v>
      </c>
      <c r="J6334" t="s">
        <v>36765</v>
      </c>
      <c r="K6334" t="s">
        <v>42301</v>
      </c>
      <c r="M6334" t="s">
        <v>44782</v>
      </c>
      <c r="N6334" t="s">
        <v>46569</v>
      </c>
      <c r="O6334" t="s">
        <v>46570</v>
      </c>
      <c r="P6334">
        <v>0</v>
      </c>
      <c r="Q6334">
        <v>0</v>
      </c>
      <c r="R6334" t="s">
        <v>46573</v>
      </c>
      <c r="S6334" t="s">
        <v>46705</v>
      </c>
      <c r="T6334" t="s">
        <v>48362</v>
      </c>
      <c r="U6334" t="s">
        <v>53932</v>
      </c>
      <c r="W6334" t="s">
        <v>44782</v>
      </c>
      <c r="X6334" t="s">
        <v>46574</v>
      </c>
    </row>
    <row r="6335" spans="1:24">
      <c r="A6335">
        <f>HYPERLINK("https://www.philgeps.gov.ph/GEPSNONPILOT/Tender/SplashBidNoticeAbstractUI.aspx?menuIndex=3&amp;refID=7060737&amp;Result=3","7060737")</f>
        <v>0</v>
      </c>
      <c r="B6335" t="s">
        <v>154</v>
      </c>
      <c r="C6335" t="s">
        <v>9548</v>
      </c>
      <c r="E6335" t="s">
        <v>24502</v>
      </c>
      <c r="F6335" t="s">
        <v>32664</v>
      </c>
      <c r="G6335" t="s">
        <v>32672</v>
      </c>
      <c r="H6335" t="s">
        <v>32683</v>
      </c>
      <c r="I6335" t="s">
        <v>10627</v>
      </c>
      <c r="J6335" t="s">
        <v>36766</v>
      </c>
      <c r="K6335" t="s">
        <v>42283</v>
      </c>
      <c r="M6335" t="s">
        <v>42718</v>
      </c>
      <c r="N6335" t="s">
        <v>46569</v>
      </c>
      <c r="O6335" t="s">
        <v>46570</v>
      </c>
      <c r="P6335">
        <v>0</v>
      </c>
      <c r="Q6335">
        <v>3</v>
      </c>
      <c r="R6335" t="s">
        <v>46573</v>
      </c>
      <c r="S6335" t="s">
        <v>46705</v>
      </c>
      <c r="T6335" t="s">
        <v>48410</v>
      </c>
      <c r="U6335" t="s">
        <v>54042</v>
      </c>
      <c r="V6335" t="s">
        <v>62253</v>
      </c>
      <c r="W6335" t="s">
        <v>42718</v>
      </c>
      <c r="X6335" t="s">
        <v>46574</v>
      </c>
    </row>
    <row r="6336" spans="1:24">
      <c r="A6336">
        <f>HYPERLINK("https://www.philgeps.gov.ph/GEPSNONPILOT/Tender/SplashBidNoticeAbstractUI.aspx?menuIndex=3&amp;refID=7060612&amp;Result=3","7060612")</f>
        <v>0</v>
      </c>
      <c r="B6336" t="s">
        <v>2063</v>
      </c>
      <c r="C6336" t="s">
        <v>9549</v>
      </c>
      <c r="D6336" t="s">
        <v>18792</v>
      </c>
      <c r="E6336" t="s">
        <v>24503</v>
      </c>
      <c r="F6336" t="s">
        <v>32664</v>
      </c>
      <c r="G6336" t="s">
        <v>32671</v>
      </c>
      <c r="H6336" t="s">
        <v>12635</v>
      </c>
      <c r="I6336" t="s">
        <v>6168</v>
      </c>
      <c r="J6336" t="s">
        <v>34076</v>
      </c>
      <c r="K6336" t="s">
        <v>42289</v>
      </c>
      <c r="M6336" t="s">
        <v>44812</v>
      </c>
      <c r="N6336" t="s">
        <v>46569</v>
      </c>
      <c r="O6336" t="s">
        <v>46570</v>
      </c>
      <c r="P6336">
        <v>0</v>
      </c>
      <c r="Q6336">
        <v>0</v>
      </c>
      <c r="R6336" t="s">
        <v>46573</v>
      </c>
      <c r="S6336" t="s">
        <v>46705</v>
      </c>
      <c r="T6336" t="s">
        <v>48293</v>
      </c>
      <c r="U6336" t="s">
        <v>54043</v>
      </c>
      <c r="W6336" t="s">
        <v>44812</v>
      </c>
      <c r="X6336" t="s">
        <v>46574</v>
      </c>
    </row>
    <row r="6337" spans="1:24">
      <c r="A6337">
        <f>HYPERLINK("https://www.philgeps.gov.ph/GEPSNONPILOT/Tender/SplashBidNoticeAbstractUI.aspx?menuIndex=3&amp;refID=7060761&amp;Result=3","7060761")</f>
        <v>0</v>
      </c>
      <c r="B6337" t="s">
        <v>585</v>
      </c>
      <c r="C6337" t="s">
        <v>9550</v>
      </c>
      <c r="D6337" t="s">
        <v>18834</v>
      </c>
      <c r="E6337" t="s">
        <v>24504</v>
      </c>
      <c r="F6337" t="s">
        <v>32664</v>
      </c>
      <c r="G6337" t="s">
        <v>32671</v>
      </c>
      <c r="H6337" t="s">
        <v>12635</v>
      </c>
      <c r="I6337" t="s">
        <v>8797</v>
      </c>
      <c r="J6337" t="s">
        <v>36767</v>
      </c>
      <c r="K6337" t="s">
        <v>42281</v>
      </c>
      <c r="M6337" t="s">
        <v>43165</v>
      </c>
      <c r="N6337" t="s">
        <v>46569</v>
      </c>
      <c r="O6337" t="s">
        <v>46570</v>
      </c>
      <c r="P6337">
        <v>0</v>
      </c>
      <c r="Q6337">
        <v>1</v>
      </c>
      <c r="R6337" t="s">
        <v>46573</v>
      </c>
      <c r="S6337" t="s">
        <v>46705</v>
      </c>
      <c r="T6337" t="s">
        <v>48427</v>
      </c>
      <c r="U6337" t="s">
        <v>54044</v>
      </c>
      <c r="W6337" t="s">
        <v>43165</v>
      </c>
      <c r="X6337" t="s">
        <v>46574</v>
      </c>
    </row>
    <row r="6338" spans="1:24">
      <c r="A6338">
        <f>HYPERLINK("https://www.philgeps.gov.ph/GEPSNONPILOT/Tender/SplashBidNoticeAbstractUI.aspx?menuIndex=3&amp;refID=7060760&amp;Result=3","7060760")</f>
        <v>0</v>
      </c>
      <c r="B6338" t="s">
        <v>1769</v>
      </c>
      <c r="C6338" t="s">
        <v>9551</v>
      </c>
      <c r="D6338" t="s">
        <v>18838</v>
      </c>
      <c r="E6338" t="s">
        <v>24505</v>
      </c>
      <c r="F6338" t="s">
        <v>32664</v>
      </c>
      <c r="G6338" t="s">
        <v>32671</v>
      </c>
      <c r="H6338" t="s">
        <v>12635</v>
      </c>
      <c r="I6338" t="s">
        <v>32727</v>
      </c>
      <c r="J6338" t="s">
        <v>36768</v>
      </c>
      <c r="K6338" t="s">
        <v>42284</v>
      </c>
      <c r="M6338" t="s">
        <v>44471</v>
      </c>
      <c r="N6338" t="s">
        <v>46569</v>
      </c>
      <c r="O6338" t="s">
        <v>46570</v>
      </c>
      <c r="P6338">
        <v>0</v>
      </c>
      <c r="Q6338">
        <v>0</v>
      </c>
      <c r="R6338" t="s">
        <v>46573</v>
      </c>
      <c r="S6338" t="s">
        <v>46705</v>
      </c>
      <c r="T6338" t="s">
        <v>48376</v>
      </c>
      <c r="U6338" t="s">
        <v>54045</v>
      </c>
      <c r="W6338" t="s">
        <v>63532</v>
      </c>
      <c r="X6338" t="s">
        <v>46574</v>
      </c>
    </row>
    <row r="6339" spans="1:24">
      <c r="A6339">
        <f>HYPERLINK("https://www.philgeps.gov.ph/GEPSNONPILOT/Tender/SplashBidNoticeAbstractUI.aspx?menuIndex=3&amp;refID=7060383&amp;Result=3","7060383")</f>
        <v>0</v>
      </c>
      <c r="B6339" t="s">
        <v>1987</v>
      </c>
      <c r="C6339" t="s">
        <v>9552</v>
      </c>
      <c r="D6339" t="s">
        <v>18827</v>
      </c>
      <c r="E6339" t="s">
        <v>19701</v>
      </c>
      <c r="F6339" t="s">
        <v>32664</v>
      </c>
      <c r="G6339" t="s">
        <v>32672</v>
      </c>
      <c r="H6339" t="s">
        <v>12635</v>
      </c>
      <c r="I6339" t="s">
        <v>11464</v>
      </c>
      <c r="J6339" t="s">
        <v>33150</v>
      </c>
      <c r="K6339" t="s">
        <v>42325</v>
      </c>
      <c r="M6339" t="s">
        <v>44721</v>
      </c>
      <c r="N6339" t="s">
        <v>46569</v>
      </c>
      <c r="O6339" t="s">
        <v>46570</v>
      </c>
      <c r="P6339">
        <v>0</v>
      </c>
      <c r="Q6339">
        <v>7</v>
      </c>
      <c r="R6339" t="s">
        <v>46573</v>
      </c>
      <c r="S6339" t="s">
        <v>46705</v>
      </c>
      <c r="T6339" t="s">
        <v>48410</v>
      </c>
      <c r="U6339" t="s">
        <v>54046</v>
      </c>
      <c r="W6339" t="s">
        <v>44721</v>
      </c>
      <c r="X6339" t="s">
        <v>46574</v>
      </c>
    </row>
    <row r="6340" spans="1:24">
      <c r="A6340">
        <f>HYPERLINK("https://www.philgeps.gov.ph/GEPSNONPILOT/Tender/SplashBidNoticeAbstractUI.aspx?menuIndex=3&amp;refID=7060382&amp;Result=3","7060382")</f>
        <v>0</v>
      </c>
      <c r="B6340" t="s">
        <v>64</v>
      </c>
      <c r="C6340" t="s">
        <v>9553</v>
      </c>
      <c r="D6340" t="s">
        <v>18812</v>
      </c>
      <c r="E6340" t="s">
        <v>24506</v>
      </c>
      <c r="F6340" t="s">
        <v>32664</v>
      </c>
      <c r="G6340" t="s">
        <v>32675</v>
      </c>
      <c r="H6340" t="s">
        <v>12635</v>
      </c>
      <c r="I6340" t="s">
        <v>6168</v>
      </c>
      <c r="J6340" t="s">
        <v>32898</v>
      </c>
      <c r="K6340" t="s">
        <v>42306</v>
      </c>
      <c r="M6340" t="s">
        <v>42627</v>
      </c>
      <c r="N6340" t="s">
        <v>46569</v>
      </c>
      <c r="O6340" t="s">
        <v>46570</v>
      </c>
      <c r="P6340">
        <v>0</v>
      </c>
      <c r="Q6340">
        <v>1</v>
      </c>
      <c r="R6340" t="s">
        <v>46573</v>
      </c>
      <c r="S6340" t="s">
        <v>46705</v>
      </c>
      <c r="T6340" t="s">
        <v>48376</v>
      </c>
      <c r="U6340" t="s">
        <v>54047</v>
      </c>
      <c r="W6340" t="s">
        <v>42627</v>
      </c>
      <c r="X6340" t="s">
        <v>46574</v>
      </c>
    </row>
    <row r="6341" spans="1:24">
      <c r="A6341">
        <f>HYPERLINK("https://www.philgeps.gov.ph/GEPSNONPILOT/Tender/SplashBidNoticeAbstractUI.aspx?menuIndex=3&amp;refID=7060758&amp;Result=3","7060758")</f>
        <v>0</v>
      </c>
      <c r="B6341" t="s">
        <v>693</v>
      </c>
      <c r="C6341" t="s">
        <v>9554</v>
      </c>
      <c r="D6341" t="s">
        <v>18785</v>
      </c>
      <c r="E6341" t="s">
        <v>24507</v>
      </c>
      <c r="F6341" t="s">
        <v>32664</v>
      </c>
      <c r="G6341" t="s">
        <v>32671</v>
      </c>
      <c r="H6341" t="s">
        <v>12635</v>
      </c>
      <c r="I6341" t="s">
        <v>32691</v>
      </c>
      <c r="J6341" t="s">
        <v>32805</v>
      </c>
      <c r="K6341" t="s">
        <v>42355</v>
      </c>
      <c r="M6341" t="s">
        <v>43280</v>
      </c>
      <c r="N6341" t="s">
        <v>46569</v>
      </c>
      <c r="O6341" t="s">
        <v>46570</v>
      </c>
      <c r="P6341">
        <v>0</v>
      </c>
      <c r="Q6341">
        <v>1</v>
      </c>
      <c r="R6341" t="s">
        <v>46573</v>
      </c>
      <c r="S6341" t="s">
        <v>46705</v>
      </c>
      <c r="T6341" t="s">
        <v>48254</v>
      </c>
      <c r="U6341" t="s">
        <v>54048</v>
      </c>
      <c r="W6341" t="s">
        <v>43280</v>
      </c>
      <c r="X6341" t="s">
        <v>46574</v>
      </c>
    </row>
    <row r="6342" spans="1:24">
      <c r="A6342">
        <f>HYPERLINK("https://www.philgeps.gov.ph/GEPSNONPILOT/Tender/SplashBidNoticeAbstractUI.aspx?menuIndex=3&amp;refID=7060754&amp;Result=3","7060754")</f>
        <v>0</v>
      </c>
      <c r="B6342" t="s">
        <v>2064</v>
      </c>
      <c r="C6342" t="s">
        <v>9555</v>
      </c>
      <c r="D6342" t="s">
        <v>18804</v>
      </c>
      <c r="E6342" t="s">
        <v>24508</v>
      </c>
      <c r="F6342" t="s">
        <v>32664</v>
      </c>
      <c r="G6342" t="s">
        <v>32671</v>
      </c>
      <c r="H6342" t="s">
        <v>12635</v>
      </c>
      <c r="I6342" t="s">
        <v>9946</v>
      </c>
      <c r="J6342" t="s">
        <v>32929</v>
      </c>
      <c r="K6342" t="s">
        <v>42291</v>
      </c>
      <c r="M6342" t="s">
        <v>44813</v>
      </c>
      <c r="N6342" t="s">
        <v>46569</v>
      </c>
      <c r="O6342" t="s">
        <v>46570</v>
      </c>
      <c r="P6342">
        <v>0</v>
      </c>
      <c r="Q6342">
        <v>1</v>
      </c>
      <c r="R6342" t="s">
        <v>46573</v>
      </c>
      <c r="S6342" t="s">
        <v>46705</v>
      </c>
      <c r="T6342" t="s">
        <v>48249</v>
      </c>
      <c r="U6342" t="s">
        <v>54049</v>
      </c>
      <c r="W6342" t="s">
        <v>44813</v>
      </c>
      <c r="X6342" t="s">
        <v>46574</v>
      </c>
    </row>
    <row r="6343" spans="1:24">
      <c r="A6343">
        <f>HYPERLINK("https://www.philgeps.gov.ph/GEPSNONPILOT/Tender/SplashBidNoticeAbstractUI.aspx?menuIndex=3&amp;refID=7060613&amp;Result=3","7060613")</f>
        <v>0</v>
      </c>
      <c r="B6343" t="s">
        <v>430</v>
      </c>
      <c r="C6343" t="s">
        <v>9556</v>
      </c>
      <c r="D6343" t="s">
        <v>18831</v>
      </c>
      <c r="E6343" t="s">
        <v>24509</v>
      </c>
      <c r="F6343" t="s">
        <v>32664</v>
      </c>
      <c r="G6343" t="s">
        <v>32671</v>
      </c>
      <c r="H6343" t="s">
        <v>12635</v>
      </c>
      <c r="I6343" t="s">
        <v>32716</v>
      </c>
      <c r="J6343" t="s">
        <v>32984</v>
      </c>
      <c r="K6343" t="s">
        <v>42284</v>
      </c>
      <c r="M6343" t="s">
        <v>44752</v>
      </c>
      <c r="N6343" t="s">
        <v>46569</v>
      </c>
      <c r="O6343" t="s">
        <v>46570</v>
      </c>
      <c r="P6343">
        <v>0</v>
      </c>
      <c r="Q6343">
        <v>1</v>
      </c>
      <c r="R6343" t="s">
        <v>46573</v>
      </c>
      <c r="S6343" t="s">
        <v>46705</v>
      </c>
      <c r="T6343" t="s">
        <v>48383</v>
      </c>
      <c r="U6343" t="s">
        <v>54050</v>
      </c>
      <c r="V6343" t="s">
        <v>62243</v>
      </c>
      <c r="W6343" t="s">
        <v>44752</v>
      </c>
      <c r="X6343" t="s">
        <v>46574</v>
      </c>
    </row>
    <row r="6344" spans="1:24">
      <c r="A6344">
        <f>HYPERLINK("https://www.philgeps.gov.ph/GEPSNONPILOT/Tender/SplashBidNoticeAbstractUI.aspx?menuIndex=3&amp;refID=7060753&amp;Result=3","7060753")</f>
        <v>0</v>
      </c>
      <c r="B6344" t="s">
        <v>455</v>
      </c>
      <c r="C6344" t="s">
        <v>9557</v>
      </c>
      <c r="D6344" t="s">
        <v>18834</v>
      </c>
      <c r="E6344" t="s">
        <v>24510</v>
      </c>
      <c r="F6344" t="s">
        <v>32664</v>
      </c>
      <c r="G6344" t="s">
        <v>32672</v>
      </c>
      <c r="H6344" t="s">
        <v>12635</v>
      </c>
      <c r="I6344" t="s">
        <v>10590</v>
      </c>
      <c r="J6344" t="s">
        <v>36769</v>
      </c>
      <c r="K6344" t="s">
        <v>42281</v>
      </c>
      <c r="M6344" t="s">
        <v>43028</v>
      </c>
      <c r="N6344" t="s">
        <v>46569</v>
      </c>
      <c r="O6344" t="s">
        <v>46570</v>
      </c>
      <c r="P6344">
        <v>0</v>
      </c>
      <c r="Q6344">
        <v>0</v>
      </c>
      <c r="R6344" t="s">
        <v>46573</v>
      </c>
      <c r="S6344" t="s">
        <v>46705</v>
      </c>
      <c r="T6344" t="s">
        <v>48273</v>
      </c>
      <c r="U6344" t="s">
        <v>54051</v>
      </c>
      <c r="W6344" t="s">
        <v>43028</v>
      </c>
      <c r="X6344" t="s">
        <v>46574</v>
      </c>
    </row>
    <row r="6345" spans="1:24">
      <c r="A6345">
        <f>HYPERLINK("https://www.philgeps.gov.ph/GEPSNONPILOT/Tender/SplashBidNoticeAbstractUI.aspx?menuIndex=3&amp;refID=7060749&amp;Result=3","7060749")</f>
        <v>0</v>
      </c>
      <c r="B6345" t="s">
        <v>2065</v>
      </c>
      <c r="C6345" t="s">
        <v>9558</v>
      </c>
      <c r="D6345" t="s">
        <v>18834</v>
      </c>
      <c r="E6345" t="s">
        <v>24511</v>
      </c>
      <c r="F6345" t="s">
        <v>32664</v>
      </c>
      <c r="G6345" t="s">
        <v>32674</v>
      </c>
      <c r="H6345" t="s">
        <v>12635</v>
      </c>
      <c r="I6345" t="s">
        <v>14442</v>
      </c>
      <c r="J6345" t="s">
        <v>36770</v>
      </c>
      <c r="K6345" t="s">
        <v>42284</v>
      </c>
      <c r="M6345" t="s">
        <v>44814</v>
      </c>
      <c r="N6345" t="s">
        <v>46569</v>
      </c>
      <c r="O6345" t="s">
        <v>46570</v>
      </c>
      <c r="P6345">
        <v>0</v>
      </c>
      <c r="Q6345">
        <v>13</v>
      </c>
      <c r="R6345" t="s">
        <v>46573</v>
      </c>
      <c r="S6345" t="s">
        <v>46705</v>
      </c>
      <c r="T6345" t="s">
        <v>48473</v>
      </c>
      <c r="U6345" t="s">
        <v>54052</v>
      </c>
      <c r="V6345" t="s">
        <v>62266</v>
      </c>
      <c r="W6345" t="s">
        <v>44814</v>
      </c>
      <c r="X6345" t="s">
        <v>46574</v>
      </c>
    </row>
    <row r="6346" spans="1:24">
      <c r="A6346">
        <f>HYPERLINK("https://www.philgeps.gov.ph/GEPSNONPILOT/Tender/SplashBidNoticeAbstractUI.aspx?menuIndex=3&amp;refID=7060752&amp;Result=3","7060752")</f>
        <v>0</v>
      </c>
      <c r="B6346" t="s">
        <v>536</v>
      </c>
      <c r="C6346" t="s">
        <v>9559</v>
      </c>
      <c r="D6346" t="s">
        <v>18786</v>
      </c>
      <c r="E6346" t="s">
        <v>24512</v>
      </c>
      <c r="F6346" t="s">
        <v>32664</v>
      </c>
      <c r="G6346" t="s">
        <v>32671</v>
      </c>
      <c r="H6346" t="s">
        <v>12635</v>
      </c>
      <c r="I6346" t="s">
        <v>4333</v>
      </c>
      <c r="J6346" t="s">
        <v>34519</v>
      </c>
      <c r="K6346" t="s">
        <v>42281</v>
      </c>
      <c r="M6346" t="s">
        <v>43114</v>
      </c>
      <c r="N6346" t="s">
        <v>46569</v>
      </c>
      <c r="O6346" t="s">
        <v>46570</v>
      </c>
      <c r="P6346">
        <v>0</v>
      </c>
      <c r="Q6346">
        <v>4</v>
      </c>
      <c r="R6346" t="s">
        <v>46573</v>
      </c>
      <c r="S6346" t="s">
        <v>46705</v>
      </c>
      <c r="T6346" t="s">
        <v>48268</v>
      </c>
      <c r="U6346" t="s">
        <v>54053</v>
      </c>
      <c r="W6346" t="s">
        <v>43114</v>
      </c>
      <c r="X6346" t="s">
        <v>46574</v>
      </c>
    </row>
    <row r="6347" spans="1:24">
      <c r="A6347">
        <f>HYPERLINK("https://www.philgeps.gov.ph/GEPSNONPILOT/Tender/SplashBidNoticeAbstractUI.aspx?menuIndex=3&amp;refID=7060744&amp;Result=3","7060744")</f>
        <v>0</v>
      </c>
      <c r="B6347" t="s">
        <v>2066</v>
      </c>
      <c r="C6347" t="s">
        <v>9560</v>
      </c>
      <c r="D6347" t="s">
        <v>18817</v>
      </c>
      <c r="E6347" t="s">
        <v>24513</v>
      </c>
      <c r="F6347" t="s">
        <v>32664</v>
      </c>
      <c r="G6347" t="s">
        <v>32671</v>
      </c>
      <c r="H6347" t="s">
        <v>12635</v>
      </c>
      <c r="I6347" t="s">
        <v>7324</v>
      </c>
      <c r="J6347" t="s">
        <v>36771</v>
      </c>
      <c r="K6347" t="s">
        <v>42284</v>
      </c>
      <c r="M6347" t="s">
        <v>44815</v>
      </c>
      <c r="N6347" t="s">
        <v>46569</v>
      </c>
      <c r="O6347" t="s">
        <v>46570</v>
      </c>
      <c r="P6347">
        <v>0</v>
      </c>
      <c r="Q6347">
        <v>1</v>
      </c>
      <c r="R6347" t="s">
        <v>46573</v>
      </c>
      <c r="S6347" t="s">
        <v>46705</v>
      </c>
      <c r="T6347" t="s">
        <v>48228</v>
      </c>
      <c r="U6347" t="s">
        <v>54054</v>
      </c>
      <c r="W6347" t="s">
        <v>44815</v>
      </c>
      <c r="X6347" t="s">
        <v>46574</v>
      </c>
    </row>
    <row r="6348" spans="1:24">
      <c r="A6348">
        <f>HYPERLINK("https://www.philgeps.gov.ph/GEPSNONPILOT/Tender/SplashBidNoticeAbstractUI.aspx?menuIndex=3&amp;refID=7060756&amp;Result=3","7060756")</f>
        <v>0</v>
      </c>
      <c r="B6348" t="s">
        <v>154</v>
      </c>
      <c r="C6348" t="s">
        <v>9561</v>
      </c>
      <c r="E6348" t="s">
        <v>24514</v>
      </c>
      <c r="F6348" t="s">
        <v>32664</v>
      </c>
      <c r="G6348" t="s">
        <v>32672</v>
      </c>
      <c r="H6348" t="s">
        <v>32683</v>
      </c>
      <c r="I6348" t="s">
        <v>10627</v>
      </c>
      <c r="J6348" t="s">
        <v>36772</v>
      </c>
      <c r="K6348" t="s">
        <v>42283</v>
      </c>
      <c r="M6348" t="s">
        <v>42718</v>
      </c>
      <c r="N6348" t="s">
        <v>46569</v>
      </c>
      <c r="O6348" t="s">
        <v>46570</v>
      </c>
      <c r="P6348">
        <v>0</v>
      </c>
      <c r="Q6348">
        <v>5</v>
      </c>
      <c r="R6348" t="s">
        <v>46573</v>
      </c>
      <c r="S6348" t="s">
        <v>46705</v>
      </c>
      <c r="T6348" t="s">
        <v>48410</v>
      </c>
      <c r="U6348" t="s">
        <v>53961</v>
      </c>
      <c r="V6348" t="s">
        <v>62253</v>
      </c>
      <c r="W6348" t="s">
        <v>42718</v>
      </c>
      <c r="X6348" t="s">
        <v>46574</v>
      </c>
    </row>
    <row r="6349" spans="1:24">
      <c r="A6349">
        <f>HYPERLINK("https://www.philgeps.gov.ph/GEPSNONPILOT/Tender/SplashBidNoticeAbstractUI.aspx?menuIndex=3&amp;refID=7060742&amp;Result=3","7060742")</f>
        <v>0</v>
      </c>
      <c r="B6349" t="s">
        <v>327</v>
      </c>
      <c r="C6349" t="s">
        <v>9562</v>
      </c>
      <c r="D6349" t="s">
        <v>18826</v>
      </c>
      <c r="E6349" t="s">
        <v>24515</v>
      </c>
      <c r="F6349" t="s">
        <v>32664</v>
      </c>
      <c r="G6349" t="s">
        <v>32671</v>
      </c>
      <c r="H6349" t="s">
        <v>12635</v>
      </c>
      <c r="I6349" t="s">
        <v>32721</v>
      </c>
      <c r="J6349" t="s">
        <v>36773</v>
      </c>
      <c r="K6349" t="s">
        <v>42320</v>
      </c>
      <c r="M6349" t="s">
        <v>42895</v>
      </c>
      <c r="N6349" t="s">
        <v>46569</v>
      </c>
      <c r="O6349" t="s">
        <v>46570</v>
      </c>
      <c r="P6349">
        <v>0</v>
      </c>
      <c r="Q6349">
        <v>0</v>
      </c>
      <c r="R6349" t="s">
        <v>46573</v>
      </c>
      <c r="S6349" t="s">
        <v>46705</v>
      </c>
      <c r="T6349" t="s">
        <v>48420</v>
      </c>
      <c r="U6349" t="s">
        <v>52035</v>
      </c>
      <c r="W6349" t="s">
        <v>63515</v>
      </c>
      <c r="X6349" t="s">
        <v>46574</v>
      </c>
    </row>
    <row r="6350" spans="1:24">
      <c r="A6350">
        <f>HYPERLINK("https://www.philgeps.gov.ph/GEPSNONPILOT/Tender/SplashBidNoticeAbstractUI.aspx?menuIndex=3&amp;refID=7060709&amp;Result=3","7060709")</f>
        <v>0</v>
      </c>
      <c r="B6350" t="s">
        <v>870</v>
      </c>
      <c r="C6350" t="s">
        <v>9563</v>
      </c>
      <c r="D6350" t="s">
        <v>18844</v>
      </c>
      <c r="E6350" t="s">
        <v>24516</v>
      </c>
      <c r="F6350" t="s">
        <v>32664</v>
      </c>
      <c r="G6350" t="s">
        <v>32671</v>
      </c>
      <c r="H6350" t="s">
        <v>12635</v>
      </c>
      <c r="I6350" t="s">
        <v>32770</v>
      </c>
      <c r="J6350" t="s">
        <v>34390</v>
      </c>
      <c r="K6350" t="s">
        <v>42289</v>
      </c>
      <c r="M6350" t="s">
        <v>43470</v>
      </c>
      <c r="N6350" t="s">
        <v>46569</v>
      </c>
      <c r="O6350" t="s">
        <v>46570</v>
      </c>
      <c r="P6350">
        <v>0</v>
      </c>
      <c r="Q6350">
        <v>0</v>
      </c>
      <c r="R6350" t="s">
        <v>46573</v>
      </c>
      <c r="S6350" t="s">
        <v>46705</v>
      </c>
      <c r="T6350" t="s">
        <v>48287</v>
      </c>
      <c r="U6350" t="s">
        <v>50477</v>
      </c>
      <c r="V6350" t="s">
        <v>61834</v>
      </c>
      <c r="W6350" t="s">
        <v>43470</v>
      </c>
      <c r="X6350" t="s">
        <v>46574</v>
      </c>
    </row>
    <row r="6351" spans="1:24">
      <c r="A6351">
        <f>HYPERLINK("https://www.philgeps.gov.ph/GEPSNONPILOT/Tender/SplashBidNoticeAbstractUI.aspx?menuIndex=3&amp;refID=7060747&amp;Result=3","7060747")</f>
        <v>0</v>
      </c>
      <c r="B6351" t="s">
        <v>2060</v>
      </c>
      <c r="C6351" t="s">
        <v>9564</v>
      </c>
      <c r="D6351" t="s">
        <v>18819</v>
      </c>
      <c r="E6351" t="s">
        <v>24517</v>
      </c>
      <c r="F6351" t="s">
        <v>32664</v>
      </c>
      <c r="G6351" t="s">
        <v>32671</v>
      </c>
      <c r="H6351" t="s">
        <v>32683</v>
      </c>
      <c r="I6351" t="s">
        <v>10627</v>
      </c>
      <c r="J6351" t="s">
        <v>36774</v>
      </c>
      <c r="K6351" t="s">
        <v>42289</v>
      </c>
      <c r="M6351" t="s">
        <v>44809</v>
      </c>
      <c r="N6351" t="s">
        <v>46569</v>
      </c>
      <c r="O6351" t="s">
        <v>46570</v>
      </c>
      <c r="P6351">
        <v>0</v>
      </c>
      <c r="Q6351">
        <v>0</v>
      </c>
      <c r="R6351" t="s">
        <v>46573</v>
      </c>
      <c r="S6351" t="s">
        <v>46705</v>
      </c>
      <c r="T6351" t="s">
        <v>48356</v>
      </c>
      <c r="U6351" t="s">
        <v>54055</v>
      </c>
      <c r="W6351" t="s">
        <v>44809</v>
      </c>
      <c r="X6351" t="s">
        <v>46574</v>
      </c>
    </row>
    <row r="6352" spans="1:24">
      <c r="A6352">
        <f>HYPERLINK("https://www.philgeps.gov.ph/GEPSNONPILOT/Tender/SplashBidNoticeAbstractUI.aspx?menuIndex=3&amp;refID=7060746&amp;Result=3","7060746")</f>
        <v>0</v>
      </c>
      <c r="B6352" t="s">
        <v>388</v>
      </c>
      <c r="C6352" t="s">
        <v>9565</v>
      </c>
      <c r="D6352" t="s">
        <v>18799</v>
      </c>
      <c r="E6352" t="s">
        <v>9565</v>
      </c>
      <c r="F6352" t="s">
        <v>32664</v>
      </c>
      <c r="G6352" t="s">
        <v>32671</v>
      </c>
      <c r="H6352" t="s">
        <v>12635</v>
      </c>
      <c r="I6352" t="s">
        <v>6168</v>
      </c>
      <c r="J6352" t="s">
        <v>36775</v>
      </c>
      <c r="K6352" t="s">
        <v>42289</v>
      </c>
      <c r="M6352" t="s">
        <v>42958</v>
      </c>
      <c r="N6352" t="s">
        <v>46569</v>
      </c>
      <c r="O6352" t="s">
        <v>46570</v>
      </c>
      <c r="P6352">
        <v>0</v>
      </c>
      <c r="Q6352">
        <v>0</v>
      </c>
      <c r="R6352" t="s">
        <v>46573</v>
      </c>
      <c r="S6352" t="s">
        <v>46705</v>
      </c>
      <c r="T6352" t="s">
        <v>48307</v>
      </c>
      <c r="U6352" t="s">
        <v>54056</v>
      </c>
      <c r="W6352" t="s">
        <v>42958</v>
      </c>
      <c r="X6352" t="s">
        <v>46574</v>
      </c>
    </row>
    <row r="6353" spans="1:24">
      <c r="A6353">
        <f>HYPERLINK("https://www.philgeps.gov.ph/GEPSNONPILOT/Tender/SplashBidNoticeAbstractUI.aspx?menuIndex=3&amp;refID=7060741&amp;Result=3","7060741")</f>
        <v>0</v>
      </c>
      <c r="B6353" t="s">
        <v>562</v>
      </c>
      <c r="C6353" t="s">
        <v>9566</v>
      </c>
      <c r="D6353" t="s">
        <v>18781</v>
      </c>
      <c r="E6353" t="s">
        <v>24518</v>
      </c>
      <c r="F6353" t="s">
        <v>32664</v>
      </c>
      <c r="G6353" t="s">
        <v>32672</v>
      </c>
      <c r="H6353" t="s">
        <v>12635</v>
      </c>
      <c r="I6353" t="s">
        <v>5501</v>
      </c>
      <c r="J6353" t="s">
        <v>33418</v>
      </c>
      <c r="K6353" t="s">
        <v>42283</v>
      </c>
      <c r="M6353" t="s">
        <v>44795</v>
      </c>
      <c r="N6353" t="s">
        <v>46569</v>
      </c>
      <c r="O6353" t="s">
        <v>46570</v>
      </c>
      <c r="P6353">
        <v>0</v>
      </c>
      <c r="Q6353">
        <v>0</v>
      </c>
      <c r="R6353" t="s">
        <v>46573</v>
      </c>
      <c r="S6353" t="s">
        <v>46705</v>
      </c>
      <c r="T6353" t="s">
        <v>48311</v>
      </c>
      <c r="U6353" t="s">
        <v>54057</v>
      </c>
      <c r="W6353" t="s">
        <v>44795</v>
      </c>
      <c r="X6353" t="s">
        <v>46574</v>
      </c>
    </row>
    <row r="6354" spans="1:24">
      <c r="A6354">
        <f>HYPERLINK("https://www.philgeps.gov.ph/GEPSNONPILOT/Tender/SplashBidNoticeAbstractUI.aspx?menuIndex=3&amp;refID=7060738&amp;Result=3","7060738")</f>
        <v>0</v>
      </c>
      <c r="B6354" t="s">
        <v>1503</v>
      </c>
      <c r="C6354" t="s">
        <v>9567</v>
      </c>
      <c r="D6354" t="s">
        <v>18784</v>
      </c>
      <c r="E6354" t="s">
        <v>24519</v>
      </c>
      <c r="F6354" t="s">
        <v>32664</v>
      </c>
      <c r="G6354" t="s">
        <v>32671</v>
      </c>
      <c r="H6354" t="s">
        <v>12635</v>
      </c>
      <c r="I6354" t="s">
        <v>32771</v>
      </c>
      <c r="J6354" t="s">
        <v>36776</v>
      </c>
      <c r="K6354" t="s">
        <v>42284</v>
      </c>
      <c r="M6354" t="s">
        <v>44167</v>
      </c>
      <c r="N6354" t="s">
        <v>46569</v>
      </c>
      <c r="O6354" t="s">
        <v>46570</v>
      </c>
      <c r="P6354">
        <v>0</v>
      </c>
      <c r="Q6354">
        <v>24</v>
      </c>
      <c r="R6354" t="s">
        <v>46573</v>
      </c>
      <c r="S6354" t="s">
        <v>46705</v>
      </c>
      <c r="T6354" t="s">
        <v>48331</v>
      </c>
      <c r="U6354" t="s">
        <v>53986</v>
      </c>
      <c r="W6354" t="s">
        <v>44167</v>
      </c>
      <c r="X6354" t="s">
        <v>46574</v>
      </c>
    </row>
    <row r="6355" spans="1:24">
      <c r="A6355">
        <f>HYPERLINK("https://www.philgeps.gov.ph/GEPSNONPILOT/Tender/SplashBidNoticeAbstractUI.aspx?menuIndex=3&amp;refID=7060736&amp;Result=3","7060736")</f>
        <v>0</v>
      </c>
      <c r="B6355" t="s">
        <v>527</v>
      </c>
      <c r="C6355" t="s">
        <v>9568</v>
      </c>
      <c r="D6355" t="s">
        <v>18784</v>
      </c>
      <c r="E6355" t="s">
        <v>24520</v>
      </c>
      <c r="F6355" t="s">
        <v>32664</v>
      </c>
      <c r="G6355" t="s">
        <v>32671</v>
      </c>
      <c r="H6355" t="s">
        <v>12635</v>
      </c>
      <c r="I6355" t="s">
        <v>6223</v>
      </c>
      <c r="J6355" t="s">
        <v>36777</v>
      </c>
      <c r="K6355" t="s">
        <v>42284</v>
      </c>
      <c r="M6355" t="s">
        <v>44555</v>
      </c>
      <c r="N6355" t="s">
        <v>46569</v>
      </c>
      <c r="O6355" t="s">
        <v>46570</v>
      </c>
      <c r="P6355">
        <v>0</v>
      </c>
      <c r="Q6355">
        <v>0</v>
      </c>
      <c r="R6355" t="s">
        <v>46573</v>
      </c>
      <c r="S6355" t="s">
        <v>46705</v>
      </c>
      <c r="T6355" t="s">
        <v>48287</v>
      </c>
      <c r="U6355" t="s">
        <v>50582</v>
      </c>
      <c r="W6355" t="s">
        <v>44555</v>
      </c>
      <c r="X6355" t="s">
        <v>46574</v>
      </c>
    </row>
    <row r="6356" spans="1:24">
      <c r="A6356">
        <f>HYPERLINK("https://www.philgeps.gov.ph/GEPSNONPILOT/Tender/SplashBidNoticeAbstractUI.aspx?menuIndex=3&amp;refID=7060735&amp;Result=3","7060735")</f>
        <v>0</v>
      </c>
      <c r="B6356" t="s">
        <v>304</v>
      </c>
      <c r="C6356" t="s">
        <v>9569</v>
      </c>
      <c r="D6356" t="s">
        <v>18792</v>
      </c>
      <c r="E6356" t="s">
        <v>19460</v>
      </c>
      <c r="F6356" t="s">
        <v>32664</v>
      </c>
      <c r="G6356" t="s">
        <v>32671</v>
      </c>
      <c r="H6356" t="s">
        <v>12635</v>
      </c>
      <c r="I6356" t="s">
        <v>32790</v>
      </c>
      <c r="J6356" t="s">
        <v>34153</v>
      </c>
      <c r="K6356" t="s">
        <v>42295</v>
      </c>
      <c r="M6356" t="s">
        <v>42871</v>
      </c>
      <c r="N6356" t="s">
        <v>46569</v>
      </c>
      <c r="O6356" t="s">
        <v>46570</v>
      </c>
      <c r="P6356">
        <v>0</v>
      </c>
      <c r="Q6356">
        <v>0</v>
      </c>
      <c r="R6356" t="s">
        <v>46573</v>
      </c>
      <c r="S6356" t="s">
        <v>46705</v>
      </c>
      <c r="T6356" t="s">
        <v>48287</v>
      </c>
      <c r="U6356" t="s">
        <v>54058</v>
      </c>
      <c r="W6356" t="s">
        <v>42871</v>
      </c>
      <c r="X6356" t="s">
        <v>46574</v>
      </c>
    </row>
    <row r="6357" spans="1:24">
      <c r="A6357">
        <f>HYPERLINK("https://www.philgeps.gov.ph/GEPSNONPILOT/Tender/SplashBidNoticeAbstractUI.aspx?menuIndex=3&amp;refID=7060759&amp;Result=3","7060759")</f>
        <v>0</v>
      </c>
      <c r="B6357" t="s">
        <v>2067</v>
      </c>
      <c r="C6357" t="s">
        <v>9570</v>
      </c>
      <c r="D6357" t="s">
        <v>18813</v>
      </c>
      <c r="E6357" t="s">
        <v>24521</v>
      </c>
      <c r="F6357" t="s">
        <v>32664</v>
      </c>
      <c r="G6357" t="s">
        <v>32671</v>
      </c>
      <c r="H6357" t="s">
        <v>12635</v>
      </c>
      <c r="I6357" t="s">
        <v>6168</v>
      </c>
      <c r="J6357" t="s">
        <v>36778</v>
      </c>
      <c r="K6357" t="s">
        <v>42284</v>
      </c>
      <c r="M6357" t="s">
        <v>44816</v>
      </c>
      <c r="N6357" t="s">
        <v>46569</v>
      </c>
      <c r="O6357" t="s">
        <v>46570</v>
      </c>
      <c r="P6357">
        <v>0</v>
      </c>
      <c r="Q6357">
        <v>0</v>
      </c>
      <c r="R6357" t="s">
        <v>46573</v>
      </c>
      <c r="S6357" t="s">
        <v>46705</v>
      </c>
      <c r="T6357" t="s">
        <v>48280</v>
      </c>
      <c r="U6357" t="s">
        <v>54059</v>
      </c>
      <c r="W6357" t="s">
        <v>44816</v>
      </c>
      <c r="X6357" t="s">
        <v>46574</v>
      </c>
    </row>
    <row r="6358" spans="1:24">
      <c r="A6358">
        <f>HYPERLINK("https://www.philgeps.gov.ph/GEPSNONPILOT/Tender/SplashBidNoticeAbstractUI.aspx?menuIndex=3&amp;refID=7060786&amp;Result=3","7060786")</f>
        <v>0</v>
      </c>
      <c r="B6358" t="s">
        <v>1998</v>
      </c>
      <c r="C6358" t="s">
        <v>9571</v>
      </c>
      <c r="D6358" t="s">
        <v>18817</v>
      </c>
      <c r="E6358" t="s">
        <v>24329</v>
      </c>
      <c r="F6358" t="s">
        <v>32664</v>
      </c>
      <c r="G6358" t="s">
        <v>32671</v>
      </c>
      <c r="H6358" t="s">
        <v>12635</v>
      </c>
      <c r="I6358" t="s">
        <v>6168</v>
      </c>
      <c r="J6358" t="s">
        <v>36779</v>
      </c>
      <c r="K6358" t="s">
        <v>42306</v>
      </c>
      <c r="M6358" t="s">
        <v>44735</v>
      </c>
      <c r="N6358" t="s">
        <v>46569</v>
      </c>
      <c r="O6358" t="s">
        <v>46570</v>
      </c>
      <c r="P6358">
        <v>0</v>
      </c>
      <c r="Q6358">
        <v>0</v>
      </c>
      <c r="R6358" t="s">
        <v>46573</v>
      </c>
      <c r="S6358" t="s">
        <v>46705</v>
      </c>
      <c r="T6358" t="s">
        <v>48450</v>
      </c>
      <c r="U6358" t="s">
        <v>53788</v>
      </c>
      <c r="W6358" t="s">
        <v>44735</v>
      </c>
      <c r="X6358" t="s">
        <v>46574</v>
      </c>
    </row>
    <row r="6359" spans="1:24">
      <c r="A6359">
        <f>HYPERLINK("https://www.philgeps.gov.ph/GEPSNONPILOT/Tender/SplashBidNoticeAbstractUI.aspx?menuIndex=3&amp;refID=7060783&amp;Result=3","7060783")</f>
        <v>0</v>
      </c>
      <c r="B6359" t="s">
        <v>1102</v>
      </c>
      <c r="C6359" t="s">
        <v>9572</v>
      </c>
      <c r="D6359" t="s">
        <v>18784</v>
      </c>
      <c r="E6359" t="s">
        <v>24522</v>
      </c>
      <c r="F6359" t="s">
        <v>32664</v>
      </c>
      <c r="G6359" t="s">
        <v>32672</v>
      </c>
      <c r="H6359" t="s">
        <v>12635</v>
      </c>
      <c r="I6359" t="s">
        <v>9486</v>
      </c>
      <c r="J6359" t="s">
        <v>36780</v>
      </c>
      <c r="K6359" t="s">
        <v>42283</v>
      </c>
      <c r="M6359" t="s">
        <v>44775</v>
      </c>
      <c r="N6359" t="s">
        <v>46569</v>
      </c>
      <c r="O6359" t="s">
        <v>46570</v>
      </c>
      <c r="P6359">
        <v>0</v>
      </c>
      <c r="Q6359">
        <v>5</v>
      </c>
      <c r="R6359" t="s">
        <v>46573</v>
      </c>
      <c r="S6359" t="s">
        <v>46705</v>
      </c>
      <c r="T6359" t="s">
        <v>48302</v>
      </c>
      <c r="U6359" t="s">
        <v>54060</v>
      </c>
      <c r="W6359" t="s">
        <v>44775</v>
      </c>
      <c r="X6359" t="s">
        <v>46574</v>
      </c>
    </row>
    <row r="6360" spans="1:24">
      <c r="A6360">
        <f>HYPERLINK("https://www.philgeps.gov.ph/GEPSNONPILOT/Tender/SplashBidNoticeAbstractUI.aspx?menuIndex=3&amp;refID=7060781&amp;Result=3","7060781")</f>
        <v>0</v>
      </c>
      <c r="B6360" t="s">
        <v>2057</v>
      </c>
      <c r="C6360" t="s">
        <v>9573</v>
      </c>
      <c r="D6360" t="s">
        <v>18845</v>
      </c>
      <c r="E6360" t="s">
        <v>24523</v>
      </c>
      <c r="F6360" t="s">
        <v>32664</v>
      </c>
      <c r="G6360" t="s">
        <v>32671</v>
      </c>
      <c r="H6360" t="s">
        <v>12635</v>
      </c>
      <c r="I6360" t="s">
        <v>32719</v>
      </c>
      <c r="J6360" t="s">
        <v>33974</v>
      </c>
      <c r="K6360" t="s">
        <v>42281</v>
      </c>
      <c r="M6360" t="s">
        <v>44806</v>
      </c>
      <c r="N6360" t="s">
        <v>46569</v>
      </c>
      <c r="O6360" t="s">
        <v>46570</v>
      </c>
      <c r="P6360">
        <v>0</v>
      </c>
      <c r="Q6360">
        <v>2</v>
      </c>
      <c r="R6360" t="s">
        <v>46573</v>
      </c>
      <c r="S6360" t="s">
        <v>46705</v>
      </c>
      <c r="T6360" t="s">
        <v>48376</v>
      </c>
      <c r="U6360" t="s">
        <v>54061</v>
      </c>
      <c r="W6360" t="s">
        <v>44806</v>
      </c>
      <c r="X6360" t="s">
        <v>46574</v>
      </c>
    </row>
    <row r="6361" spans="1:24">
      <c r="A6361">
        <f>HYPERLINK("https://www.philgeps.gov.ph/GEPSNONPILOT/Tender/SplashBidNoticeAbstractUI.aspx?menuIndex=3&amp;refID=7060787&amp;Result=3","7060787")</f>
        <v>0</v>
      </c>
      <c r="B6361" t="s">
        <v>2068</v>
      </c>
      <c r="C6361" t="s">
        <v>9574</v>
      </c>
      <c r="D6361" t="s">
        <v>18796</v>
      </c>
      <c r="E6361" t="s">
        <v>24524</v>
      </c>
      <c r="F6361" t="s">
        <v>32664</v>
      </c>
      <c r="G6361" t="s">
        <v>32672</v>
      </c>
      <c r="H6361" t="s">
        <v>12635</v>
      </c>
      <c r="I6361" t="s">
        <v>8958</v>
      </c>
      <c r="J6361" t="s">
        <v>32845</v>
      </c>
      <c r="K6361" t="s">
        <v>42289</v>
      </c>
      <c r="M6361" t="s">
        <v>44817</v>
      </c>
      <c r="N6361" t="s">
        <v>46569</v>
      </c>
      <c r="O6361" t="s">
        <v>46570</v>
      </c>
      <c r="P6361">
        <v>0</v>
      </c>
      <c r="Q6361">
        <v>2</v>
      </c>
      <c r="R6361" t="s">
        <v>46573</v>
      </c>
      <c r="S6361" t="s">
        <v>46705</v>
      </c>
      <c r="T6361" t="s">
        <v>48228</v>
      </c>
      <c r="U6361" t="s">
        <v>54062</v>
      </c>
      <c r="W6361" t="s">
        <v>44817</v>
      </c>
      <c r="X6361" t="s">
        <v>46574</v>
      </c>
    </row>
    <row r="6362" spans="1:24">
      <c r="A6362">
        <f>HYPERLINK("https://www.philgeps.gov.ph/GEPSNONPILOT/Tender/SplashBidNoticeAbstractUI.aspx?menuIndex=3&amp;refID=7060739&amp;Result=3","7060739")</f>
        <v>0</v>
      </c>
      <c r="B6362" t="s">
        <v>790</v>
      </c>
      <c r="C6362" t="s">
        <v>9575</v>
      </c>
      <c r="D6362" t="s">
        <v>18809</v>
      </c>
      <c r="E6362" t="s">
        <v>21443</v>
      </c>
      <c r="F6362" t="s">
        <v>32664</v>
      </c>
      <c r="G6362" t="s">
        <v>32671</v>
      </c>
      <c r="H6362" t="s">
        <v>12635</v>
      </c>
      <c r="I6362" t="s">
        <v>6223</v>
      </c>
      <c r="J6362" t="s">
        <v>36781</v>
      </c>
      <c r="K6362" t="s">
        <v>42289</v>
      </c>
      <c r="M6362" t="s">
        <v>44818</v>
      </c>
      <c r="N6362" t="s">
        <v>46569</v>
      </c>
      <c r="O6362" t="s">
        <v>46570</v>
      </c>
      <c r="P6362">
        <v>0</v>
      </c>
      <c r="Q6362">
        <v>1</v>
      </c>
      <c r="R6362" t="s">
        <v>46573</v>
      </c>
      <c r="S6362" t="s">
        <v>46705</v>
      </c>
      <c r="T6362" t="s">
        <v>48376</v>
      </c>
      <c r="U6362" t="s">
        <v>54063</v>
      </c>
      <c r="W6362" t="s">
        <v>44818</v>
      </c>
      <c r="X6362" t="s">
        <v>46574</v>
      </c>
    </row>
    <row r="6363" spans="1:24">
      <c r="A6363">
        <f>HYPERLINK("https://www.philgeps.gov.ph/GEPSNONPILOT/Tender/SplashBidNoticeAbstractUI.aspx?menuIndex=3&amp;refID=7060780&amp;Result=3","7060780")</f>
        <v>0</v>
      </c>
      <c r="B6363" t="s">
        <v>1254</v>
      </c>
      <c r="C6363" t="s">
        <v>9576</v>
      </c>
      <c r="D6363" t="s">
        <v>18827</v>
      </c>
      <c r="E6363" t="s">
        <v>24525</v>
      </c>
      <c r="F6363" t="s">
        <v>32664</v>
      </c>
      <c r="G6363" t="s">
        <v>32671</v>
      </c>
      <c r="H6363" t="s">
        <v>12635</v>
      </c>
      <c r="I6363" t="s">
        <v>10361</v>
      </c>
      <c r="J6363" t="s">
        <v>33330</v>
      </c>
      <c r="K6363" t="s">
        <v>42295</v>
      </c>
      <c r="M6363" t="s">
        <v>43896</v>
      </c>
      <c r="N6363" t="s">
        <v>46569</v>
      </c>
      <c r="O6363" t="s">
        <v>46570</v>
      </c>
      <c r="P6363">
        <v>0</v>
      </c>
      <c r="Q6363">
        <v>2</v>
      </c>
      <c r="R6363" t="s">
        <v>46573</v>
      </c>
      <c r="S6363" t="s">
        <v>46705</v>
      </c>
      <c r="T6363" t="s">
        <v>48254</v>
      </c>
      <c r="U6363" t="s">
        <v>53821</v>
      </c>
      <c r="W6363" t="s">
        <v>43896</v>
      </c>
      <c r="X6363" t="s">
        <v>46574</v>
      </c>
    </row>
    <row r="6364" spans="1:24">
      <c r="A6364">
        <f>HYPERLINK("https://www.philgeps.gov.ph/GEPSNONPILOT/Tender/SplashBidNoticeAbstractUI.aspx?menuIndex=3&amp;refID=7060778&amp;Result=3","7060778")</f>
        <v>0</v>
      </c>
      <c r="B6364" t="s">
        <v>154</v>
      </c>
      <c r="C6364" t="s">
        <v>9577</v>
      </c>
      <c r="E6364" t="s">
        <v>24526</v>
      </c>
      <c r="F6364" t="s">
        <v>32664</v>
      </c>
      <c r="G6364" t="s">
        <v>32672</v>
      </c>
      <c r="H6364" t="s">
        <v>32683</v>
      </c>
      <c r="I6364" t="s">
        <v>10627</v>
      </c>
      <c r="J6364" t="s">
        <v>36782</v>
      </c>
      <c r="K6364" t="s">
        <v>42283</v>
      </c>
      <c r="M6364" t="s">
        <v>42718</v>
      </c>
      <c r="N6364" t="s">
        <v>46569</v>
      </c>
      <c r="O6364" t="s">
        <v>46570</v>
      </c>
      <c r="P6364">
        <v>0</v>
      </c>
      <c r="Q6364">
        <v>4</v>
      </c>
      <c r="R6364" t="s">
        <v>46573</v>
      </c>
      <c r="S6364" t="s">
        <v>46705</v>
      </c>
      <c r="T6364" t="s">
        <v>48410</v>
      </c>
      <c r="U6364" t="s">
        <v>54064</v>
      </c>
      <c r="V6364" t="s">
        <v>62253</v>
      </c>
      <c r="W6364" t="s">
        <v>42718</v>
      </c>
      <c r="X6364" t="s">
        <v>46574</v>
      </c>
    </row>
    <row r="6365" spans="1:24">
      <c r="A6365">
        <f>HYPERLINK("https://www.philgeps.gov.ph/GEPSNONPILOT/Tender/SplashBidNoticeAbstractUI.aspx?menuIndex=3&amp;refID=7060776&amp;Result=3","7060776")</f>
        <v>0</v>
      </c>
      <c r="B6365" t="s">
        <v>1251</v>
      </c>
      <c r="C6365" t="s">
        <v>9578</v>
      </c>
      <c r="D6365" t="s">
        <v>18841</v>
      </c>
      <c r="E6365" t="s">
        <v>21061</v>
      </c>
      <c r="F6365" t="s">
        <v>32664</v>
      </c>
      <c r="G6365" t="s">
        <v>32671</v>
      </c>
      <c r="H6365" t="s">
        <v>12635</v>
      </c>
      <c r="I6365" t="s">
        <v>7709</v>
      </c>
      <c r="J6365" t="s">
        <v>36783</v>
      </c>
      <c r="K6365" t="s">
        <v>42289</v>
      </c>
      <c r="M6365" t="s">
        <v>43893</v>
      </c>
      <c r="N6365" t="s">
        <v>46569</v>
      </c>
      <c r="O6365" t="s">
        <v>46570</v>
      </c>
      <c r="P6365">
        <v>0</v>
      </c>
      <c r="Q6365">
        <v>2</v>
      </c>
      <c r="R6365" t="s">
        <v>46573</v>
      </c>
      <c r="S6365" t="s">
        <v>46705</v>
      </c>
      <c r="T6365" t="s">
        <v>48287</v>
      </c>
      <c r="U6365" t="s">
        <v>54065</v>
      </c>
      <c r="W6365" t="s">
        <v>43893</v>
      </c>
      <c r="X6365" t="s">
        <v>46574</v>
      </c>
    </row>
    <row r="6366" spans="1:24">
      <c r="A6366">
        <f>HYPERLINK("https://www.philgeps.gov.ph/GEPSNONPILOT/Tender/SplashBidNoticeAbstractUI.aspx?menuIndex=3&amp;refID=7060775&amp;Result=3","7060775")</f>
        <v>0</v>
      </c>
      <c r="B6366" t="s">
        <v>2001</v>
      </c>
      <c r="C6366" t="s">
        <v>9579</v>
      </c>
      <c r="D6366" t="s">
        <v>18831</v>
      </c>
      <c r="E6366" t="s">
        <v>24527</v>
      </c>
      <c r="F6366" t="s">
        <v>32664</v>
      </c>
      <c r="G6366" t="s">
        <v>32672</v>
      </c>
      <c r="H6366" t="s">
        <v>32683</v>
      </c>
      <c r="I6366" t="s">
        <v>10627</v>
      </c>
      <c r="J6366" t="s">
        <v>32930</v>
      </c>
      <c r="K6366" t="s">
        <v>42283</v>
      </c>
      <c r="M6366" t="s">
        <v>44739</v>
      </c>
      <c r="N6366" t="s">
        <v>46569</v>
      </c>
      <c r="O6366" t="s">
        <v>46570</v>
      </c>
      <c r="P6366">
        <v>0</v>
      </c>
      <c r="Q6366">
        <v>1</v>
      </c>
      <c r="R6366" t="s">
        <v>46573</v>
      </c>
      <c r="S6366" t="s">
        <v>46705</v>
      </c>
      <c r="T6366" t="s">
        <v>48257</v>
      </c>
      <c r="U6366" t="s">
        <v>54066</v>
      </c>
      <c r="W6366" t="s">
        <v>44739</v>
      </c>
      <c r="X6366" t="s">
        <v>46574</v>
      </c>
    </row>
    <row r="6367" spans="1:24">
      <c r="A6367">
        <f>HYPERLINK("https://www.philgeps.gov.ph/GEPSNONPILOT/Tender/SplashBidNoticeAbstractUI.aspx?menuIndex=3&amp;refID=7060774&amp;Result=3","7060774")</f>
        <v>0</v>
      </c>
      <c r="B6367" t="s">
        <v>304</v>
      </c>
      <c r="C6367" t="s">
        <v>9580</v>
      </c>
      <c r="D6367" t="s">
        <v>18792</v>
      </c>
      <c r="E6367" t="s">
        <v>19460</v>
      </c>
      <c r="F6367" t="s">
        <v>32664</v>
      </c>
      <c r="G6367" t="s">
        <v>32671</v>
      </c>
      <c r="H6367" t="s">
        <v>12635</v>
      </c>
      <c r="I6367" t="s">
        <v>32754</v>
      </c>
      <c r="J6367" t="s">
        <v>36784</v>
      </c>
      <c r="K6367" t="s">
        <v>42295</v>
      </c>
      <c r="M6367" t="s">
        <v>42871</v>
      </c>
      <c r="N6367" t="s">
        <v>46569</v>
      </c>
      <c r="O6367" t="s">
        <v>46570</v>
      </c>
      <c r="P6367">
        <v>0</v>
      </c>
      <c r="Q6367">
        <v>0</v>
      </c>
      <c r="R6367" t="s">
        <v>46573</v>
      </c>
      <c r="S6367" t="s">
        <v>46705</v>
      </c>
      <c r="T6367" t="s">
        <v>48287</v>
      </c>
      <c r="U6367" t="s">
        <v>54067</v>
      </c>
      <c r="W6367" t="s">
        <v>42871</v>
      </c>
      <c r="X6367" t="s">
        <v>46574</v>
      </c>
    </row>
    <row r="6368" spans="1:24">
      <c r="A6368">
        <f>HYPERLINK("https://www.philgeps.gov.ph/GEPSNONPILOT/Tender/SplashBidNoticeAbstractUI.aspx?menuIndex=3&amp;refID=7060812&amp;Result=3","7060812")</f>
        <v>0</v>
      </c>
      <c r="B6368" t="s">
        <v>1306</v>
      </c>
      <c r="C6368" t="s">
        <v>9581</v>
      </c>
      <c r="D6368" t="s">
        <v>18804</v>
      </c>
      <c r="E6368" t="s">
        <v>24528</v>
      </c>
      <c r="F6368" t="s">
        <v>32664</v>
      </c>
      <c r="G6368" t="s">
        <v>32671</v>
      </c>
      <c r="H6368" t="s">
        <v>12635</v>
      </c>
      <c r="I6368" t="s">
        <v>5501</v>
      </c>
      <c r="J6368" t="s">
        <v>36785</v>
      </c>
      <c r="K6368" t="s">
        <v>42284</v>
      </c>
      <c r="M6368" t="s">
        <v>43951</v>
      </c>
      <c r="N6368" t="s">
        <v>46569</v>
      </c>
      <c r="O6368" t="s">
        <v>46570</v>
      </c>
      <c r="P6368">
        <v>0</v>
      </c>
      <c r="Q6368">
        <v>4</v>
      </c>
      <c r="R6368" t="s">
        <v>46573</v>
      </c>
      <c r="S6368" t="s">
        <v>46705</v>
      </c>
      <c r="T6368" t="s">
        <v>48254</v>
      </c>
      <c r="U6368" t="s">
        <v>54068</v>
      </c>
      <c r="W6368" t="s">
        <v>43951</v>
      </c>
      <c r="X6368" t="s">
        <v>46574</v>
      </c>
    </row>
    <row r="6369" spans="1:24">
      <c r="A6369">
        <f>HYPERLINK("https://www.philgeps.gov.ph/GEPSNONPILOT/Tender/SplashBidNoticeAbstractUI.aspx?menuIndex=3&amp;refID=7060813&amp;Result=3","7060813")</f>
        <v>0</v>
      </c>
      <c r="B6369" t="s">
        <v>2057</v>
      </c>
      <c r="C6369" t="s">
        <v>9582</v>
      </c>
      <c r="D6369" t="s">
        <v>18845</v>
      </c>
      <c r="E6369" t="s">
        <v>24529</v>
      </c>
      <c r="F6369" t="s">
        <v>32664</v>
      </c>
      <c r="G6369" t="s">
        <v>32671</v>
      </c>
      <c r="H6369" t="s">
        <v>12635</v>
      </c>
      <c r="I6369" t="s">
        <v>32704</v>
      </c>
      <c r="J6369" t="s">
        <v>33381</v>
      </c>
      <c r="K6369" t="s">
        <v>42281</v>
      </c>
      <c r="M6369" t="s">
        <v>44806</v>
      </c>
      <c r="N6369" t="s">
        <v>46569</v>
      </c>
      <c r="O6369" t="s">
        <v>46570</v>
      </c>
      <c r="P6369">
        <v>0</v>
      </c>
      <c r="Q6369">
        <v>6</v>
      </c>
      <c r="R6369" t="s">
        <v>46573</v>
      </c>
      <c r="S6369" t="s">
        <v>46705</v>
      </c>
      <c r="T6369" t="s">
        <v>48376</v>
      </c>
      <c r="U6369" t="s">
        <v>54061</v>
      </c>
      <c r="W6369" t="s">
        <v>44806</v>
      </c>
      <c r="X6369" t="s">
        <v>46574</v>
      </c>
    </row>
    <row r="6370" spans="1:24">
      <c r="A6370">
        <f>HYPERLINK("https://www.philgeps.gov.ph/GEPSNONPILOT/Tender/SplashBidNoticeAbstractUI.aspx?menuIndex=3&amp;refID=7060748&amp;Result=3","7060748")</f>
        <v>0</v>
      </c>
      <c r="B6370" t="s">
        <v>2069</v>
      </c>
      <c r="C6370" t="s">
        <v>9583</v>
      </c>
      <c r="E6370" t="s">
        <v>24530</v>
      </c>
      <c r="F6370" t="s">
        <v>32664</v>
      </c>
      <c r="G6370" t="s">
        <v>32677</v>
      </c>
      <c r="H6370" t="s">
        <v>12635</v>
      </c>
      <c r="I6370" t="s">
        <v>32708</v>
      </c>
      <c r="J6370" t="s">
        <v>36786</v>
      </c>
      <c r="K6370" t="s">
        <v>42283</v>
      </c>
      <c r="M6370" t="s">
        <v>44819</v>
      </c>
      <c r="N6370" t="s">
        <v>46569</v>
      </c>
      <c r="O6370" t="s">
        <v>46570</v>
      </c>
      <c r="P6370">
        <v>0</v>
      </c>
      <c r="Q6370">
        <v>23</v>
      </c>
      <c r="R6370" t="s">
        <v>46573</v>
      </c>
      <c r="S6370" t="s">
        <v>46705</v>
      </c>
      <c r="T6370" t="s">
        <v>48302</v>
      </c>
      <c r="U6370" t="s">
        <v>54069</v>
      </c>
      <c r="W6370" t="s">
        <v>44819</v>
      </c>
      <c r="X6370" t="s">
        <v>46574</v>
      </c>
    </row>
    <row r="6371" spans="1:24">
      <c r="A6371">
        <f>HYPERLINK("https://www.philgeps.gov.ph/GEPSNONPILOT/Tender/SplashBidNoticeAbstractUI.aspx?menuIndex=3&amp;refID=7060810&amp;Result=3","7060810")</f>
        <v>0</v>
      </c>
      <c r="B6371" t="s">
        <v>2060</v>
      </c>
      <c r="C6371" t="s">
        <v>9584</v>
      </c>
      <c r="D6371" t="s">
        <v>18819</v>
      </c>
      <c r="E6371" t="s">
        <v>24531</v>
      </c>
      <c r="F6371" t="s">
        <v>32664</v>
      </c>
      <c r="G6371" t="s">
        <v>32674</v>
      </c>
      <c r="H6371" t="s">
        <v>12635</v>
      </c>
      <c r="I6371" t="s">
        <v>6168</v>
      </c>
      <c r="J6371" t="s">
        <v>36787</v>
      </c>
      <c r="K6371" t="s">
        <v>42284</v>
      </c>
      <c r="M6371" t="s">
        <v>44809</v>
      </c>
      <c r="N6371" t="s">
        <v>46569</v>
      </c>
      <c r="O6371" t="s">
        <v>46570</v>
      </c>
      <c r="P6371">
        <v>0</v>
      </c>
      <c r="Q6371">
        <v>0</v>
      </c>
      <c r="R6371" t="s">
        <v>46573</v>
      </c>
      <c r="S6371" t="s">
        <v>46705</v>
      </c>
      <c r="T6371" t="s">
        <v>48356</v>
      </c>
      <c r="U6371" t="s">
        <v>54070</v>
      </c>
      <c r="W6371" t="s">
        <v>44809</v>
      </c>
      <c r="X6371" t="s">
        <v>46574</v>
      </c>
    </row>
    <row r="6372" spans="1:24">
      <c r="A6372">
        <f>HYPERLINK("https://www.philgeps.gov.ph/GEPSNONPILOT/Tender/SplashBidNoticeAbstractUI.aspx?menuIndex=3&amp;refID=7060788&amp;Result=3","7060788")</f>
        <v>0</v>
      </c>
      <c r="B6372" t="s">
        <v>1930</v>
      </c>
      <c r="C6372" t="s">
        <v>9039</v>
      </c>
      <c r="D6372" t="s">
        <v>18786</v>
      </c>
      <c r="E6372" t="s">
        <v>24532</v>
      </c>
      <c r="F6372" t="s">
        <v>32664</v>
      </c>
      <c r="G6372" t="s">
        <v>32671</v>
      </c>
      <c r="H6372" t="s">
        <v>12635</v>
      </c>
      <c r="I6372" t="s">
        <v>8730</v>
      </c>
      <c r="J6372" t="s">
        <v>36788</v>
      </c>
      <c r="K6372" t="s">
        <v>42289</v>
      </c>
      <c r="M6372" t="s">
        <v>44652</v>
      </c>
      <c r="N6372" t="s">
        <v>46569</v>
      </c>
      <c r="O6372" t="s">
        <v>46570</v>
      </c>
      <c r="P6372">
        <v>0</v>
      </c>
      <c r="Q6372">
        <v>7</v>
      </c>
      <c r="R6372" t="s">
        <v>46573</v>
      </c>
      <c r="S6372" t="s">
        <v>46705</v>
      </c>
      <c r="T6372" t="s">
        <v>48283</v>
      </c>
      <c r="U6372" t="s">
        <v>53599</v>
      </c>
      <c r="W6372" t="s">
        <v>44652</v>
      </c>
      <c r="X6372" t="s">
        <v>46574</v>
      </c>
    </row>
    <row r="6373" spans="1:24">
      <c r="A6373">
        <f>HYPERLINK("https://www.philgeps.gov.ph/GEPSNONPILOT/Tender/SplashBidNoticeAbstractUI.aspx?menuIndex=3&amp;refID=7060782&amp;Result=3","7060782")</f>
        <v>0</v>
      </c>
      <c r="B6373" t="s">
        <v>134</v>
      </c>
      <c r="C6373" t="s">
        <v>9585</v>
      </c>
      <c r="D6373" t="s">
        <v>18784</v>
      </c>
      <c r="E6373" t="s">
        <v>24533</v>
      </c>
      <c r="F6373" t="s">
        <v>32664</v>
      </c>
      <c r="G6373" t="s">
        <v>32671</v>
      </c>
      <c r="H6373" t="s">
        <v>12635</v>
      </c>
      <c r="I6373" t="s">
        <v>6168</v>
      </c>
      <c r="J6373" t="s">
        <v>33119</v>
      </c>
      <c r="K6373" t="s">
        <v>42284</v>
      </c>
      <c r="M6373" t="s">
        <v>44820</v>
      </c>
      <c r="N6373" t="s">
        <v>46569</v>
      </c>
      <c r="O6373" t="s">
        <v>46570</v>
      </c>
      <c r="P6373">
        <v>0</v>
      </c>
      <c r="Q6373">
        <v>3</v>
      </c>
      <c r="R6373" t="s">
        <v>46573</v>
      </c>
      <c r="S6373" t="s">
        <v>46705</v>
      </c>
      <c r="T6373" t="s">
        <v>48219</v>
      </c>
      <c r="U6373" t="s">
        <v>54071</v>
      </c>
      <c r="W6373" t="s">
        <v>44820</v>
      </c>
      <c r="X6373" t="s">
        <v>46574</v>
      </c>
    </row>
    <row r="6374" spans="1:24">
      <c r="A6374">
        <f>HYPERLINK("https://www.philgeps.gov.ph/GEPSNONPILOT/Tender/SplashBidNoticeAbstractUI.aspx?menuIndex=3&amp;refID=7060731&amp;Result=3","7060731")</f>
        <v>0</v>
      </c>
      <c r="B6374" t="s">
        <v>1706</v>
      </c>
      <c r="C6374" t="s">
        <v>9586</v>
      </c>
      <c r="D6374" t="s">
        <v>18793</v>
      </c>
      <c r="E6374" t="s">
        <v>24534</v>
      </c>
      <c r="F6374" t="s">
        <v>32664</v>
      </c>
      <c r="G6374" t="s">
        <v>32672</v>
      </c>
      <c r="H6374" t="s">
        <v>12635</v>
      </c>
      <c r="I6374" t="s">
        <v>6118</v>
      </c>
      <c r="J6374" t="s">
        <v>36789</v>
      </c>
      <c r="K6374" t="s">
        <v>42298</v>
      </c>
      <c r="M6374" t="s">
        <v>44400</v>
      </c>
      <c r="N6374" t="s">
        <v>46569</v>
      </c>
      <c r="O6374" t="s">
        <v>46570</v>
      </c>
      <c r="P6374">
        <v>0</v>
      </c>
      <c r="Q6374">
        <v>0</v>
      </c>
      <c r="R6374" t="s">
        <v>46573</v>
      </c>
      <c r="S6374" t="s">
        <v>46705</v>
      </c>
      <c r="T6374" t="s">
        <v>48349</v>
      </c>
      <c r="U6374" t="s">
        <v>54072</v>
      </c>
      <c r="W6374" t="s">
        <v>44400</v>
      </c>
      <c r="X6374" t="s">
        <v>46574</v>
      </c>
    </row>
    <row r="6375" spans="1:24">
      <c r="A6375">
        <f>HYPERLINK("https://www.philgeps.gov.ph/GEPSNONPILOT/Tender/SplashBidNoticeAbstractUI.aspx?menuIndex=3&amp;refID=7060809&amp;Result=3","7060809")</f>
        <v>0</v>
      </c>
      <c r="B6375" t="s">
        <v>527</v>
      </c>
      <c r="C6375" t="s">
        <v>9587</v>
      </c>
      <c r="D6375" t="s">
        <v>18784</v>
      </c>
      <c r="E6375" t="s">
        <v>24535</v>
      </c>
      <c r="F6375" t="s">
        <v>32664</v>
      </c>
      <c r="G6375" t="s">
        <v>32671</v>
      </c>
      <c r="H6375" t="s">
        <v>12635</v>
      </c>
      <c r="I6375" t="s">
        <v>6223</v>
      </c>
      <c r="J6375" t="s">
        <v>36790</v>
      </c>
      <c r="K6375" t="s">
        <v>42284</v>
      </c>
      <c r="M6375" t="s">
        <v>44555</v>
      </c>
      <c r="N6375" t="s">
        <v>46569</v>
      </c>
      <c r="O6375" t="s">
        <v>46570</v>
      </c>
      <c r="P6375">
        <v>0</v>
      </c>
      <c r="Q6375">
        <v>0</v>
      </c>
      <c r="R6375" t="s">
        <v>46573</v>
      </c>
      <c r="S6375" t="s">
        <v>46705</v>
      </c>
      <c r="T6375" t="s">
        <v>48254</v>
      </c>
      <c r="U6375" t="s">
        <v>50582</v>
      </c>
      <c r="W6375" t="s">
        <v>44555</v>
      </c>
      <c r="X6375" t="s">
        <v>46574</v>
      </c>
    </row>
    <row r="6376" spans="1:24">
      <c r="A6376">
        <f>HYPERLINK("https://www.philgeps.gov.ph/GEPSNONPILOT/Tender/SplashBidNoticeAbstractUI.aspx?menuIndex=3&amp;refID=7060805&amp;Result=3","7060805")</f>
        <v>0</v>
      </c>
      <c r="B6376" t="s">
        <v>2070</v>
      </c>
      <c r="C6376" t="s">
        <v>9588</v>
      </c>
      <c r="D6376" t="s">
        <v>18785</v>
      </c>
      <c r="E6376" t="s">
        <v>24536</v>
      </c>
      <c r="F6376" t="s">
        <v>32664</v>
      </c>
      <c r="G6376" t="s">
        <v>32671</v>
      </c>
      <c r="H6376" t="s">
        <v>12635</v>
      </c>
      <c r="I6376" t="s">
        <v>6223</v>
      </c>
      <c r="J6376" t="s">
        <v>36791</v>
      </c>
      <c r="K6376" t="s">
        <v>42289</v>
      </c>
      <c r="M6376" t="s">
        <v>44821</v>
      </c>
      <c r="N6376" t="s">
        <v>46569</v>
      </c>
      <c r="O6376" t="s">
        <v>46570</v>
      </c>
      <c r="P6376">
        <v>0</v>
      </c>
      <c r="Q6376">
        <v>0</v>
      </c>
      <c r="R6376" t="s">
        <v>46573</v>
      </c>
      <c r="S6376" t="s">
        <v>46705</v>
      </c>
      <c r="T6376" t="s">
        <v>48450</v>
      </c>
      <c r="U6376" t="s">
        <v>54073</v>
      </c>
      <c r="W6376" t="s">
        <v>44821</v>
      </c>
      <c r="X6376" t="s">
        <v>46574</v>
      </c>
    </row>
    <row r="6377" spans="1:24">
      <c r="A6377">
        <f>HYPERLINK("https://www.philgeps.gov.ph/GEPSNONPILOT/Tender/SplashBidNoticeAbstractUI.aspx?menuIndex=3&amp;refID=7060804&amp;Result=3","7060804")</f>
        <v>0</v>
      </c>
      <c r="B6377" t="s">
        <v>600</v>
      </c>
      <c r="C6377" t="s">
        <v>9589</v>
      </c>
      <c r="D6377" t="s">
        <v>18802</v>
      </c>
      <c r="E6377" t="s">
        <v>24537</v>
      </c>
      <c r="F6377" t="s">
        <v>32664</v>
      </c>
      <c r="G6377" t="s">
        <v>32672</v>
      </c>
      <c r="H6377" t="s">
        <v>32683</v>
      </c>
      <c r="I6377" t="s">
        <v>10627</v>
      </c>
      <c r="J6377" t="s">
        <v>36792</v>
      </c>
      <c r="K6377" t="s">
        <v>42447</v>
      </c>
      <c r="M6377" t="s">
        <v>43180</v>
      </c>
      <c r="N6377" t="s">
        <v>46569</v>
      </c>
      <c r="O6377" t="s">
        <v>46570</v>
      </c>
      <c r="P6377">
        <v>0</v>
      </c>
      <c r="Q6377">
        <v>0</v>
      </c>
      <c r="R6377" t="s">
        <v>46573</v>
      </c>
      <c r="S6377" t="s">
        <v>46705</v>
      </c>
      <c r="T6377" t="s">
        <v>48308</v>
      </c>
      <c r="U6377" t="s">
        <v>54074</v>
      </c>
      <c r="W6377" t="s">
        <v>43180</v>
      </c>
      <c r="X6377" t="s">
        <v>46574</v>
      </c>
    </row>
    <row r="6378" spans="1:24">
      <c r="A6378">
        <f>HYPERLINK("https://www.philgeps.gov.ph/GEPSNONPILOT/Tender/SplashBidNoticeAbstractUI.aspx?menuIndex=3&amp;refID=7060802&amp;Result=3","7060802")</f>
        <v>0</v>
      </c>
      <c r="B6378" t="s">
        <v>2062</v>
      </c>
      <c r="C6378" t="s">
        <v>9590</v>
      </c>
      <c r="D6378" t="s">
        <v>18827</v>
      </c>
      <c r="E6378" t="s">
        <v>24538</v>
      </c>
      <c r="F6378" t="s">
        <v>32664</v>
      </c>
      <c r="G6378" t="s">
        <v>32674</v>
      </c>
      <c r="H6378" t="s">
        <v>12635</v>
      </c>
      <c r="I6378" t="s">
        <v>6628</v>
      </c>
      <c r="J6378" t="s">
        <v>36793</v>
      </c>
      <c r="K6378" t="s">
        <v>42295</v>
      </c>
      <c r="M6378" t="s">
        <v>44811</v>
      </c>
      <c r="N6378" t="s">
        <v>46569</v>
      </c>
      <c r="O6378" t="s">
        <v>46570</v>
      </c>
      <c r="P6378">
        <v>0</v>
      </c>
      <c r="Q6378">
        <v>1</v>
      </c>
      <c r="R6378" t="s">
        <v>46573</v>
      </c>
      <c r="S6378" t="s">
        <v>46705</v>
      </c>
      <c r="T6378" t="s">
        <v>48473</v>
      </c>
      <c r="U6378" t="s">
        <v>54075</v>
      </c>
      <c r="W6378" t="s">
        <v>44811</v>
      </c>
      <c r="X6378" t="s">
        <v>46574</v>
      </c>
    </row>
    <row r="6379" spans="1:24">
      <c r="A6379">
        <f>HYPERLINK("https://www.philgeps.gov.ph/GEPSNONPILOT/Tender/SplashBidNoticeAbstractUI.aspx?menuIndex=3&amp;refID=7060811&amp;Result=3","7060811")</f>
        <v>0</v>
      </c>
      <c r="B6379" t="s">
        <v>2071</v>
      </c>
      <c r="C6379" t="s">
        <v>9591</v>
      </c>
      <c r="D6379" t="s">
        <v>18808</v>
      </c>
      <c r="E6379" t="s">
        <v>24539</v>
      </c>
      <c r="F6379" t="s">
        <v>32664</v>
      </c>
      <c r="G6379" t="s">
        <v>32672</v>
      </c>
      <c r="H6379" t="s">
        <v>12635</v>
      </c>
      <c r="I6379" t="s">
        <v>4439</v>
      </c>
      <c r="J6379" t="s">
        <v>36794</v>
      </c>
      <c r="K6379" t="s">
        <v>42305</v>
      </c>
      <c r="M6379" t="s">
        <v>44822</v>
      </c>
      <c r="N6379" t="s">
        <v>46569</v>
      </c>
      <c r="O6379" t="s">
        <v>46570</v>
      </c>
      <c r="P6379">
        <v>0</v>
      </c>
      <c r="Q6379">
        <v>0</v>
      </c>
      <c r="R6379" t="s">
        <v>46573</v>
      </c>
      <c r="S6379" t="s">
        <v>46705</v>
      </c>
      <c r="T6379" t="s">
        <v>48283</v>
      </c>
      <c r="U6379" t="s">
        <v>54076</v>
      </c>
      <c r="W6379" t="s">
        <v>44822</v>
      </c>
      <c r="X6379" t="s">
        <v>46574</v>
      </c>
    </row>
    <row r="6380" spans="1:24">
      <c r="A6380">
        <f>HYPERLINK("https://www.philgeps.gov.ph/GEPSNONPILOT/Tender/SplashBidNoticeAbstractUI.aspx?menuIndex=3&amp;refID=7060799&amp;Result=3","7060799")</f>
        <v>0</v>
      </c>
      <c r="B6380" t="s">
        <v>1123</v>
      </c>
      <c r="C6380" t="s">
        <v>9592</v>
      </c>
      <c r="D6380" t="s">
        <v>18814</v>
      </c>
      <c r="E6380" t="s">
        <v>24540</v>
      </c>
      <c r="F6380" t="s">
        <v>32664</v>
      </c>
      <c r="G6380" t="s">
        <v>32672</v>
      </c>
      <c r="H6380" t="s">
        <v>32683</v>
      </c>
      <c r="I6380" t="s">
        <v>10627</v>
      </c>
      <c r="J6380" t="s">
        <v>36795</v>
      </c>
      <c r="K6380" t="s">
        <v>42328</v>
      </c>
      <c r="M6380" t="s">
        <v>43752</v>
      </c>
      <c r="N6380" t="s">
        <v>46569</v>
      </c>
      <c r="O6380" t="s">
        <v>46570</v>
      </c>
      <c r="Q6380">
        <v>1</v>
      </c>
      <c r="R6380" t="s">
        <v>46573</v>
      </c>
      <c r="S6380" t="s">
        <v>46715</v>
      </c>
      <c r="T6380" t="s">
        <v>48571</v>
      </c>
      <c r="U6380" t="s">
        <v>54077</v>
      </c>
      <c r="W6380" t="s">
        <v>43752</v>
      </c>
      <c r="X6380" t="s">
        <v>46574</v>
      </c>
    </row>
    <row r="6381" spans="1:24">
      <c r="A6381">
        <f>HYPERLINK("https://www.philgeps.gov.ph/GEPSNONPILOT/Tender/SplashBidNoticeAbstractUI.aspx?menuIndex=3&amp;refID=7060797&amp;Result=3","7060797")</f>
        <v>0</v>
      </c>
      <c r="B6381" t="s">
        <v>562</v>
      </c>
      <c r="C6381" t="s">
        <v>9593</v>
      </c>
      <c r="D6381" t="s">
        <v>18781</v>
      </c>
      <c r="E6381" t="s">
        <v>24541</v>
      </c>
      <c r="F6381" t="s">
        <v>32664</v>
      </c>
      <c r="G6381" t="s">
        <v>32672</v>
      </c>
      <c r="H6381" t="s">
        <v>12635</v>
      </c>
      <c r="I6381" t="s">
        <v>5501</v>
      </c>
      <c r="J6381" t="s">
        <v>33987</v>
      </c>
      <c r="K6381" t="s">
        <v>42283</v>
      </c>
      <c r="M6381" t="s">
        <v>44795</v>
      </c>
      <c r="N6381" t="s">
        <v>46569</v>
      </c>
      <c r="O6381" t="s">
        <v>46570</v>
      </c>
      <c r="P6381">
        <v>0</v>
      </c>
      <c r="Q6381">
        <v>6</v>
      </c>
      <c r="R6381" t="s">
        <v>46573</v>
      </c>
      <c r="S6381" t="s">
        <v>46705</v>
      </c>
      <c r="T6381" t="s">
        <v>48311</v>
      </c>
      <c r="U6381" t="s">
        <v>54078</v>
      </c>
      <c r="W6381" t="s">
        <v>44795</v>
      </c>
      <c r="X6381" t="s">
        <v>46574</v>
      </c>
    </row>
    <row r="6382" spans="1:24">
      <c r="A6382">
        <f>HYPERLINK("https://www.philgeps.gov.ph/GEPSNONPILOT/Tender/SplashBidNoticeAbstractUI.aspx?menuIndex=3&amp;refID=7060807&amp;Result=3","7060807")</f>
        <v>0</v>
      </c>
      <c r="B6382" t="s">
        <v>2072</v>
      </c>
      <c r="C6382" t="s">
        <v>9594</v>
      </c>
      <c r="D6382" t="s">
        <v>18805</v>
      </c>
      <c r="E6382" t="s">
        <v>24542</v>
      </c>
      <c r="F6382" t="s">
        <v>32664</v>
      </c>
      <c r="G6382" t="s">
        <v>32671</v>
      </c>
      <c r="H6382" t="s">
        <v>12635</v>
      </c>
      <c r="I6382" t="s">
        <v>4997</v>
      </c>
      <c r="J6382" t="s">
        <v>36796</v>
      </c>
      <c r="K6382" t="s">
        <v>42284</v>
      </c>
      <c r="M6382" t="s">
        <v>44823</v>
      </c>
      <c r="N6382" t="s">
        <v>46569</v>
      </c>
      <c r="O6382" t="s">
        <v>46570</v>
      </c>
      <c r="P6382">
        <v>0</v>
      </c>
      <c r="Q6382">
        <v>2</v>
      </c>
      <c r="R6382" t="s">
        <v>46573</v>
      </c>
      <c r="S6382" t="s">
        <v>46705</v>
      </c>
      <c r="T6382" t="s">
        <v>48290</v>
      </c>
      <c r="U6382" t="s">
        <v>54079</v>
      </c>
      <c r="W6382" t="s">
        <v>44823</v>
      </c>
      <c r="X6382" t="s">
        <v>46574</v>
      </c>
    </row>
    <row r="6383" spans="1:24">
      <c r="A6383">
        <f>HYPERLINK("https://www.philgeps.gov.ph/GEPSNONPILOT/Tender/SplashBidNoticeAbstractUI.aspx?menuIndex=3&amp;refID=7060793&amp;Result=3","7060793")</f>
        <v>0</v>
      </c>
      <c r="B6383" t="s">
        <v>1989</v>
      </c>
      <c r="C6383" t="s">
        <v>9595</v>
      </c>
      <c r="D6383" t="s">
        <v>18818</v>
      </c>
      <c r="E6383" t="s">
        <v>24543</v>
      </c>
      <c r="F6383" t="s">
        <v>32664</v>
      </c>
      <c r="G6383" t="s">
        <v>32671</v>
      </c>
      <c r="H6383" t="s">
        <v>12635</v>
      </c>
      <c r="I6383" t="s">
        <v>4997</v>
      </c>
      <c r="J6383" t="s">
        <v>36797</v>
      </c>
      <c r="K6383" t="s">
        <v>42281</v>
      </c>
      <c r="M6383" t="s">
        <v>44723</v>
      </c>
      <c r="N6383" t="s">
        <v>46569</v>
      </c>
      <c r="O6383" t="s">
        <v>46570</v>
      </c>
      <c r="P6383">
        <v>0</v>
      </c>
      <c r="Q6383">
        <v>2</v>
      </c>
      <c r="R6383" t="s">
        <v>46573</v>
      </c>
      <c r="S6383" t="s">
        <v>46705</v>
      </c>
      <c r="T6383" t="s">
        <v>48287</v>
      </c>
      <c r="U6383" t="s">
        <v>54080</v>
      </c>
      <c r="W6383" t="s">
        <v>44723</v>
      </c>
      <c r="X6383" t="s">
        <v>46574</v>
      </c>
    </row>
    <row r="6384" spans="1:24">
      <c r="A6384">
        <f>HYPERLINK("https://www.philgeps.gov.ph/GEPSNONPILOT/Tender/SplashBidNoticeAbstractUI.aspx?menuIndex=3&amp;refID=7060803&amp;Result=3","7060803")</f>
        <v>0</v>
      </c>
      <c r="B6384" t="s">
        <v>154</v>
      </c>
      <c r="C6384" t="s">
        <v>9596</v>
      </c>
      <c r="E6384" t="s">
        <v>24544</v>
      </c>
      <c r="F6384" t="s">
        <v>32664</v>
      </c>
      <c r="G6384" t="s">
        <v>32672</v>
      </c>
      <c r="H6384" t="s">
        <v>32683</v>
      </c>
      <c r="I6384" t="s">
        <v>10627</v>
      </c>
      <c r="J6384" t="s">
        <v>36798</v>
      </c>
      <c r="K6384" t="s">
        <v>42283</v>
      </c>
      <c r="M6384" t="s">
        <v>42718</v>
      </c>
      <c r="N6384" t="s">
        <v>46569</v>
      </c>
      <c r="O6384" t="s">
        <v>46570</v>
      </c>
      <c r="P6384">
        <v>0</v>
      </c>
      <c r="Q6384">
        <v>4</v>
      </c>
      <c r="R6384" t="s">
        <v>46573</v>
      </c>
      <c r="S6384" t="s">
        <v>46705</v>
      </c>
      <c r="T6384" t="s">
        <v>48410</v>
      </c>
      <c r="U6384" t="s">
        <v>53961</v>
      </c>
      <c r="V6384" t="s">
        <v>62253</v>
      </c>
      <c r="W6384" t="s">
        <v>42718</v>
      </c>
      <c r="X6384" t="s">
        <v>46574</v>
      </c>
    </row>
    <row r="6385" spans="1:24">
      <c r="A6385">
        <f>HYPERLINK("https://www.philgeps.gov.ph/GEPSNONPILOT/Tender/SplashBidNoticeAbstractUI.aspx?menuIndex=3&amp;refID=7060808&amp;Result=3","7060808")</f>
        <v>0</v>
      </c>
      <c r="B6385" t="s">
        <v>2031</v>
      </c>
      <c r="C6385" t="s">
        <v>9597</v>
      </c>
      <c r="D6385" t="s">
        <v>18785</v>
      </c>
      <c r="E6385" t="s">
        <v>19110</v>
      </c>
      <c r="F6385" t="s">
        <v>32664</v>
      </c>
      <c r="G6385" t="s">
        <v>32674</v>
      </c>
      <c r="H6385" t="s">
        <v>12635</v>
      </c>
      <c r="I6385" t="s">
        <v>9597</v>
      </c>
      <c r="J6385" t="s">
        <v>33831</v>
      </c>
      <c r="K6385" t="s">
        <v>42295</v>
      </c>
      <c r="L6385" t="s">
        <v>2031</v>
      </c>
      <c r="M6385" t="s">
        <v>44774</v>
      </c>
      <c r="N6385" t="s">
        <v>46569</v>
      </c>
      <c r="O6385" t="s">
        <v>46570</v>
      </c>
      <c r="P6385">
        <v>0</v>
      </c>
      <c r="Q6385">
        <v>1</v>
      </c>
      <c r="R6385" t="s">
        <v>46573</v>
      </c>
      <c r="S6385" t="s">
        <v>46705</v>
      </c>
      <c r="T6385" t="s">
        <v>48287</v>
      </c>
      <c r="U6385" t="s">
        <v>54081</v>
      </c>
      <c r="W6385" t="s">
        <v>44774</v>
      </c>
      <c r="X6385" t="s">
        <v>46574</v>
      </c>
    </row>
    <row r="6386" spans="1:24">
      <c r="A6386">
        <f>HYPERLINK("https://www.philgeps.gov.ph/GEPSNONPILOT/Tender/SplashBidNoticeAbstractUI.aspx?menuIndex=3&amp;refID=7060795&amp;Result=3","7060795")</f>
        <v>0</v>
      </c>
      <c r="B6386" t="s">
        <v>649</v>
      </c>
      <c r="C6386" t="s">
        <v>9598</v>
      </c>
      <c r="D6386" t="s">
        <v>18784</v>
      </c>
      <c r="E6386" t="s">
        <v>24545</v>
      </c>
      <c r="F6386" t="s">
        <v>32664</v>
      </c>
      <c r="G6386" t="s">
        <v>32671</v>
      </c>
      <c r="H6386" t="s">
        <v>12635</v>
      </c>
      <c r="I6386" t="s">
        <v>32701</v>
      </c>
      <c r="J6386" t="s">
        <v>36799</v>
      </c>
      <c r="K6386" t="s">
        <v>42291</v>
      </c>
      <c r="M6386" t="s">
        <v>43235</v>
      </c>
      <c r="N6386" t="s">
        <v>46569</v>
      </c>
      <c r="O6386" t="s">
        <v>46570</v>
      </c>
      <c r="P6386">
        <v>0</v>
      </c>
      <c r="Q6386">
        <v>0</v>
      </c>
      <c r="R6386" t="s">
        <v>46573</v>
      </c>
      <c r="S6386" t="s">
        <v>46705</v>
      </c>
      <c r="T6386" t="s">
        <v>48316</v>
      </c>
      <c r="U6386" t="s">
        <v>54082</v>
      </c>
      <c r="V6386" t="s">
        <v>62267</v>
      </c>
      <c r="W6386" t="s">
        <v>43235</v>
      </c>
      <c r="X6386" t="s">
        <v>46574</v>
      </c>
    </row>
    <row r="6387" spans="1:24">
      <c r="A6387">
        <f>HYPERLINK("https://www.philgeps.gov.ph/GEPSNONPILOT/Tender/SplashBidNoticeAbstractUI.aspx?menuIndex=3&amp;refID=7060794&amp;Result=3","7060794")</f>
        <v>0</v>
      </c>
      <c r="B6387" t="s">
        <v>454</v>
      </c>
      <c r="C6387" t="s">
        <v>9599</v>
      </c>
      <c r="D6387" t="s">
        <v>18783</v>
      </c>
      <c r="E6387" t="s">
        <v>24546</v>
      </c>
      <c r="F6387" t="s">
        <v>32664</v>
      </c>
      <c r="G6387" t="s">
        <v>32674</v>
      </c>
      <c r="H6387" t="s">
        <v>12635</v>
      </c>
      <c r="I6387" t="s">
        <v>32704</v>
      </c>
      <c r="J6387" t="s">
        <v>36800</v>
      </c>
      <c r="K6387" t="s">
        <v>42297</v>
      </c>
      <c r="M6387" t="s">
        <v>43027</v>
      </c>
      <c r="N6387" t="s">
        <v>46569</v>
      </c>
      <c r="O6387" t="s">
        <v>46570</v>
      </c>
      <c r="P6387">
        <v>0</v>
      </c>
      <c r="Q6387">
        <v>2</v>
      </c>
      <c r="R6387" t="s">
        <v>46573</v>
      </c>
      <c r="S6387" t="s">
        <v>46705</v>
      </c>
      <c r="T6387" t="s">
        <v>48576</v>
      </c>
      <c r="U6387" t="s">
        <v>54083</v>
      </c>
      <c r="V6387" t="s">
        <v>49518</v>
      </c>
      <c r="W6387" t="s">
        <v>43027</v>
      </c>
      <c r="X6387" t="s">
        <v>46574</v>
      </c>
    </row>
    <row r="6388" spans="1:24">
      <c r="A6388">
        <f>HYPERLINK("https://www.philgeps.gov.ph/GEPSNONPILOT/Tender/SplashBidNoticeAbstractUI.aspx?menuIndex=3&amp;refID=7060806&amp;Result=3","7060806")</f>
        <v>0</v>
      </c>
      <c r="B6388" t="s">
        <v>2059</v>
      </c>
      <c r="C6388" t="s">
        <v>9600</v>
      </c>
      <c r="D6388" t="s">
        <v>18806</v>
      </c>
      <c r="E6388" t="s">
        <v>19259</v>
      </c>
      <c r="F6388" t="s">
        <v>32664</v>
      </c>
      <c r="G6388" t="s">
        <v>32672</v>
      </c>
      <c r="H6388" t="s">
        <v>12635</v>
      </c>
      <c r="I6388" t="s">
        <v>14442</v>
      </c>
      <c r="J6388" t="s">
        <v>36801</v>
      </c>
      <c r="K6388" t="s">
        <v>42298</v>
      </c>
      <c r="M6388" t="s">
        <v>44808</v>
      </c>
      <c r="N6388" t="s">
        <v>46569</v>
      </c>
      <c r="O6388" t="s">
        <v>46570</v>
      </c>
      <c r="P6388">
        <v>0</v>
      </c>
      <c r="Q6388">
        <v>0</v>
      </c>
      <c r="R6388" t="s">
        <v>46573</v>
      </c>
      <c r="S6388" t="s">
        <v>46705</v>
      </c>
      <c r="T6388" t="s">
        <v>48267</v>
      </c>
      <c r="U6388" t="s">
        <v>54084</v>
      </c>
      <c r="W6388" t="s">
        <v>44808</v>
      </c>
      <c r="X6388" t="s">
        <v>46574</v>
      </c>
    </row>
    <row r="6389" spans="1:24">
      <c r="A6389">
        <f>HYPERLINK("https://www.philgeps.gov.ph/GEPSNONPILOT/Tender/SplashBidNoticeAbstractUI.aspx?menuIndex=3&amp;refID=7060838&amp;Result=3","7060838")</f>
        <v>0</v>
      </c>
      <c r="B6389" t="s">
        <v>1254</v>
      </c>
      <c r="C6389" t="s">
        <v>9601</v>
      </c>
      <c r="D6389" t="s">
        <v>18827</v>
      </c>
      <c r="E6389" t="s">
        <v>24547</v>
      </c>
      <c r="F6389" t="s">
        <v>32664</v>
      </c>
      <c r="G6389" t="s">
        <v>32675</v>
      </c>
      <c r="H6389" t="s">
        <v>12635</v>
      </c>
      <c r="I6389" t="s">
        <v>8730</v>
      </c>
      <c r="J6389" t="s">
        <v>36802</v>
      </c>
      <c r="K6389" t="s">
        <v>42309</v>
      </c>
      <c r="M6389" t="s">
        <v>43896</v>
      </c>
      <c r="N6389" t="s">
        <v>46569</v>
      </c>
      <c r="O6389" t="s">
        <v>46570</v>
      </c>
      <c r="P6389">
        <v>0</v>
      </c>
      <c r="Q6389">
        <v>2</v>
      </c>
      <c r="R6389" t="s">
        <v>46573</v>
      </c>
      <c r="S6389" t="s">
        <v>46705</v>
      </c>
      <c r="T6389" t="s">
        <v>48287</v>
      </c>
      <c r="U6389" t="s">
        <v>53821</v>
      </c>
      <c r="W6389" t="s">
        <v>43896</v>
      </c>
      <c r="X6389" t="s">
        <v>46574</v>
      </c>
    </row>
    <row r="6390" spans="1:24">
      <c r="A6390">
        <f>HYPERLINK("https://www.philgeps.gov.ph/GEPSNONPILOT/Tender/SplashBidNoticeAbstractUI.aspx?menuIndex=3&amp;refID=7060837&amp;Result=3","7060837")</f>
        <v>0</v>
      </c>
      <c r="B6390" t="s">
        <v>594</v>
      </c>
      <c r="C6390" t="s">
        <v>8896</v>
      </c>
      <c r="D6390" t="s">
        <v>18784</v>
      </c>
      <c r="E6390" t="s">
        <v>24548</v>
      </c>
      <c r="F6390" t="s">
        <v>32664</v>
      </c>
      <c r="G6390" t="s">
        <v>32674</v>
      </c>
      <c r="H6390" t="s">
        <v>12635</v>
      </c>
      <c r="I6390" t="s">
        <v>32706</v>
      </c>
      <c r="J6390" t="s">
        <v>33657</v>
      </c>
      <c r="K6390" t="s">
        <v>42297</v>
      </c>
      <c r="M6390" t="s">
        <v>43793</v>
      </c>
      <c r="N6390" t="s">
        <v>46569</v>
      </c>
      <c r="O6390" t="s">
        <v>46570</v>
      </c>
      <c r="P6390">
        <v>0</v>
      </c>
      <c r="Q6390">
        <v>1</v>
      </c>
      <c r="R6390" t="s">
        <v>46573</v>
      </c>
      <c r="S6390" t="s">
        <v>46705</v>
      </c>
      <c r="T6390" t="s">
        <v>48551</v>
      </c>
      <c r="U6390" t="s">
        <v>54085</v>
      </c>
      <c r="V6390" t="s">
        <v>61909</v>
      </c>
      <c r="W6390" t="s">
        <v>43793</v>
      </c>
      <c r="X6390" t="s">
        <v>46574</v>
      </c>
    </row>
    <row r="6391" spans="1:24">
      <c r="A6391">
        <f>HYPERLINK("https://www.philgeps.gov.ph/GEPSNONPILOT/Tender/SplashBidNoticeAbstractUI.aspx?menuIndex=3&amp;refID=7060835&amp;Result=3","7060835")</f>
        <v>0</v>
      </c>
      <c r="B6391" t="s">
        <v>562</v>
      </c>
      <c r="C6391" t="s">
        <v>9602</v>
      </c>
      <c r="D6391" t="s">
        <v>18781</v>
      </c>
      <c r="E6391" t="s">
        <v>24549</v>
      </c>
      <c r="F6391" t="s">
        <v>32664</v>
      </c>
      <c r="G6391" t="s">
        <v>32672</v>
      </c>
      <c r="H6391" t="s">
        <v>12635</v>
      </c>
      <c r="I6391" t="s">
        <v>10590</v>
      </c>
      <c r="J6391" t="s">
        <v>36803</v>
      </c>
      <c r="K6391" t="s">
        <v>42283</v>
      </c>
      <c r="M6391" t="s">
        <v>44795</v>
      </c>
      <c r="N6391" t="s">
        <v>46569</v>
      </c>
      <c r="O6391" t="s">
        <v>46570</v>
      </c>
      <c r="P6391">
        <v>0</v>
      </c>
      <c r="Q6391">
        <v>0</v>
      </c>
      <c r="R6391" t="s">
        <v>46573</v>
      </c>
      <c r="S6391" t="s">
        <v>46705</v>
      </c>
      <c r="T6391" t="s">
        <v>48311</v>
      </c>
      <c r="U6391" t="s">
        <v>54086</v>
      </c>
      <c r="W6391" t="s">
        <v>44795</v>
      </c>
      <c r="X6391" t="s">
        <v>46574</v>
      </c>
    </row>
    <row r="6392" spans="1:24">
      <c r="A6392">
        <f>HYPERLINK("https://www.philgeps.gov.ph/GEPSNONPILOT/Tender/SplashBidNoticeAbstractUI.aspx?menuIndex=3&amp;refID=7060779&amp;Result=3","7060779")</f>
        <v>0</v>
      </c>
      <c r="B6392" t="s">
        <v>2069</v>
      </c>
      <c r="C6392" t="s">
        <v>9603</v>
      </c>
      <c r="E6392" t="s">
        <v>24550</v>
      </c>
      <c r="F6392" t="s">
        <v>32664</v>
      </c>
      <c r="G6392" t="s">
        <v>32677</v>
      </c>
      <c r="H6392" t="s">
        <v>12635</v>
      </c>
      <c r="I6392" t="s">
        <v>32708</v>
      </c>
      <c r="J6392" t="s">
        <v>36502</v>
      </c>
      <c r="K6392" t="s">
        <v>42283</v>
      </c>
      <c r="M6392" t="s">
        <v>44819</v>
      </c>
      <c r="N6392" t="s">
        <v>46569</v>
      </c>
      <c r="O6392" t="s">
        <v>46570</v>
      </c>
      <c r="P6392">
        <v>0</v>
      </c>
      <c r="Q6392">
        <v>22</v>
      </c>
      <c r="R6392" t="s">
        <v>46573</v>
      </c>
      <c r="S6392" t="s">
        <v>46705</v>
      </c>
      <c r="T6392" t="s">
        <v>48302</v>
      </c>
      <c r="U6392" t="s">
        <v>54069</v>
      </c>
      <c r="W6392" t="s">
        <v>44819</v>
      </c>
      <c r="X6392" t="s">
        <v>46574</v>
      </c>
    </row>
    <row r="6393" spans="1:24">
      <c r="A6393">
        <f>HYPERLINK("https://www.philgeps.gov.ph/GEPSNONPILOT/Tender/SplashBidNoticeAbstractUI.aspx?menuIndex=3&amp;refID=7060840&amp;Result=3","7060840")</f>
        <v>0</v>
      </c>
      <c r="B6393" t="s">
        <v>2070</v>
      </c>
      <c r="C6393" t="s">
        <v>9604</v>
      </c>
      <c r="D6393" t="s">
        <v>18785</v>
      </c>
      <c r="E6393" t="s">
        <v>24551</v>
      </c>
      <c r="F6393" t="s">
        <v>32664</v>
      </c>
      <c r="G6393" t="s">
        <v>32671</v>
      </c>
      <c r="H6393" t="s">
        <v>12635</v>
      </c>
      <c r="I6393" t="s">
        <v>8797</v>
      </c>
      <c r="J6393" t="s">
        <v>36799</v>
      </c>
      <c r="K6393" t="s">
        <v>42289</v>
      </c>
      <c r="M6393" t="s">
        <v>44821</v>
      </c>
      <c r="N6393" t="s">
        <v>46569</v>
      </c>
      <c r="O6393" t="s">
        <v>46570</v>
      </c>
      <c r="P6393">
        <v>0</v>
      </c>
      <c r="Q6393">
        <v>3</v>
      </c>
      <c r="R6393" t="s">
        <v>46573</v>
      </c>
      <c r="S6393" t="s">
        <v>46705</v>
      </c>
      <c r="T6393" t="s">
        <v>48450</v>
      </c>
      <c r="U6393" t="s">
        <v>54087</v>
      </c>
      <c r="W6393" t="s">
        <v>44821</v>
      </c>
      <c r="X6393" t="s">
        <v>46574</v>
      </c>
    </row>
    <row r="6394" spans="1:24">
      <c r="A6394">
        <f>HYPERLINK("https://www.philgeps.gov.ph/GEPSNONPILOT/Tender/SplashBidNoticeAbstractUI.aspx?menuIndex=3&amp;refID=7060834&amp;Result=3","7060834")</f>
        <v>0</v>
      </c>
      <c r="B6394" t="s">
        <v>2054</v>
      </c>
      <c r="C6394" t="s">
        <v>9605</v>
      </c>
      <c r="D6394" t="s">
        <v>18799</v>
      </c>
      <c r="E6394" t="s">
        <v>24462</v>
      </c>
      <c r="F6394" t="s">
        <v>32667</v>
      </c>
      <c r="G6394" t="s">
        <v>32674</v>
      </c>
      <c r="H6394" t="s">
        <v>12635</v>
      </c>
      <c r="I6394" t="s">
        <v>6168</v>
      </c>
      <c r="J6394" t="s">
        <v>36737</v>
      </c>
      <c r="K6394" t="s">
        <v>42281</v>
      </c>
      <c r="M6394" t="s">
        <v>44824</v>
      </c>
      <c r="N6394" t="s">
        <v>46569</v>
      </c>
      <c r="O6394" t="s">
        <v>46570</v>
      </c>
      <c r="P6394">
        <v>0</v>
      </c>
      <c r="Q6394">
        <v>1</v>
      </c>
      <c r="R6394" t="s">
        <v>46573</v>
      </c>
      <c r="S6394" t="s">
        <v>46705</v>
      </c>
      <c r="T6394" t="s">
        <v>48219</v>
      </c>
      <c r="U6394" t="s">
        <v>54088</v>
      </c>
      <c r="W6394" t="s">
        <v>44824</v>
      </c>
      <c r="X6394" t="s">
        <v>46574</v>
      </c>
    </row>
    <row r="6395" spans="1:24">
      <c r="A6395">
        <f>HYPERLINK("https://www.philgeps.gov.ph/GEPSNONPILOT/Tender/SplashBidNoticeAbstractUI.aspx?menuIndex=3&amp;refID=7060833&amp;Result=3","7060833")</f>
        <v>0</v>
      </c>
      <c r="B6395" t="s">
        <v>1884</v>
      </c>
      <c r="C6395" t="s">
        <v>9606</v>
      </c>
      <c r="D6395" t="s">
        <v>18784</v>
      </c>
      <c r="E6395" t="s">
        <v>24552</v>
      </c>
      <c r="F6395" t="s">
        <v>32664</v>
      </c>
      <c r="G6395" t="s">
        <v>32671</v>
      </c>
      <c r="H6395" t="s">
        <v>12635</v>
      </c>
      <c r="I6395" t="s">
        <v>8797</v>
      </c>
      <c r="J6395" t="s">
        <v>35901</v>
      </c>
      <c r="K6395" t="s">
        <v>42284</v>
      </c>
      <c r="M6395" t="s">
        <v>44603</v>
      </c>
      <c r="N6395" t="s">
        <v>46569</v>
      </c>
      <c r="O6395" t="s">
        <v>46570</v>
      </c>
      <c r="P6395">
        <v>0</v>
      </c>
      <c r="Q6395">
        <v>1</v>
      </c>
      <c r="R6395" t="s">
        <v>46573</v>
      </c>
      <c r="S6395" t="s">
        <v>46705</v>
      </c>
      <c r="T6395" t="s">
        <v>48219</v>
      </c>
      <c r="U6395" t="s">
        <v>54089</v>
      </c>
      <c r="V6395" t="s">
        <v>62212</v>
      </c>
      <c r="W6395" t="s">
        <v>44603</v>
      </c>
      <c r="X6395" t="s">
        <v>46574</v>
      </c>
    </row>
    <row r="6396" spans="1:24">
      <c r="A6396">
        <f>HYPERLINK("https://www.philgeps.gov.ph/GEPSNONPILOT/Tender/SplashBidNoticeAbstractUI.aspx?menuIndex=3&amp;refID=7060832&amp;Result=3","7060832")</f>
        <v>0</v>
      </c>
      <c r="B6396" t="s">
        <v>2073</v>
      </c>
      <c r="C6396" t="s">
        <v>9607</v>
      </c>
      <c r="D6396" t="s">
        <v>18782</v>
      </c>
      <c r="E6396" t="s">
        <v>24553</v>
      </c>
      <c r="F6396" t="s">
        <v>32664</v>
      </c>
      <c r="G6396" t="s">
        <v>32671</v>
      </c>
      <c r="H6396" t="s">
        <v>12635</v>
      </c>
      <c r="I6396" t="s">
        <v>32685</v>
      </c>
      <c r="J6396" t="s">
        <v>36804</v>
      </c>
      <c r="K6396" t="s">
        <v>42284</v>
      </c>
      <c r="M6396" t="s">
        <v>44825</v>
      </c>
      <c r="N6396" t="s">
        <v>46569</v>
      </c>
      <c r="O6396" t="s">
        <v>46570</v>
      </c>
      <c r="P6396">
        <v>0</v>
      </c>
      <c r="Q6396">
        <v>1</v>
      </c>
      <c r="R6396" t="s">
        <v>46573</v>
      </c>
      <c r="S6396" t="s">
        <v>46705</v>
      </c>
      <c r="T6396" t="s">
        <v>48296</v>
      </c>
      <c r="U6396" t="s">
        <v>54090</v>
      </c>
      <c r="W6396" t="s">
        <v>44825</v>
      </c>
      <c r="X6396" t="s">
        <v>46574</v>
      </c>
    </row>
    <row r="6397" spans="1:24">
      <c r="A6397">
        <f>HYPERLINK("https://www.philgeps.gov.ph/GEPSNONPILOT/Tender/SplashBidNoticeAbstractUI.aspx?menuIndex=3&amp;refID=7060828&amp;Result=3","7060828")</f>
        <v>0</v>
      </c>
      <c r="B6397" t="s">
        <v>2074</v>
      </c>
      <c r="C6397" t="s">
        <v>9608</v>
      </c>
      <c r="E6397" t="s">
        <v>24554</v>
      </c>
      <c r="F6397" t="s">
        <v>32664</v>
      </c>
      <c r="G6397" t="s">
        <v>32672</v>
      </c>
      <c r="H6397" t="s">
        <v>32683</v>
      </c>
      <c r="I6397" t="s">
        <v>6553</v>
      </c>
      <c r="J6397" t="s">
        <v>36805</v>
      </c>
      <c r="K6397" t="s">
        <v>42311</v>
      </c>
      <c r="M6397" t="s">
        <v>44826</v>
      </c>
      <c r="N6397" t="s">
        <v>46569</v>
      </c>
      <c r="O6397" t="s">
        <v>46570</v>
      </c>
      <c r="P6397">
        <v>0</v>
      </c>
      <c r="Q6397">
        <v>1</v>
      </c>
      <c r="R6397" t="s">
        <v>46573</v>
      </c>
      <c r="S6397" t="s">
        <v>46705</v>
      </c>
      <c r="T6397" t="s">
        <v>48308</v>
      </c>
      <c r="U6397" t="s">
        <v>54091</v>
      </c>
      <c r="W6397" t="s">
        <v>63548</v>
      </c>
      <c r="X6397" t="s">
        <v>46574</v>
      </c>
    </row>
    <row r="6398" spans="1:24">
      <c r="A6398">
        <f>HYPERLINK("https://www.philgeps.gov.ph/GEPSNONPILOT/Tender/SplashBidNoticeAbstractUI.aspx?menuIndex=3&amp;refID=7060826&amp;Result=3","7060826")</f>
        <v>0</v>
      </c>
      <c r="B6398" t="s">
        <v>1745</v>
      </c>
      <c r="C6398" t="s">
        <v>9609</v>
      </c>
      <c r="D6398" t="s">
        <v>18822</v>
      </c>
      <c r="E6398" t="s">
        <v>23449</v>
      </c>
      <c r="F6398" t="s">
        <v>32664</v>
      </c>
      <c r="G6398" t="s">
        <v>32672</v>
      </c>
      <c r="H6398" t="s">
        <v>12635</v>
      </c>
      <c r="I6398" t="s">
        <v>4439</v>
      </c>
      <c r="J6398" t="s">
        <v>34127</v>
      </c>
      <c r="K6398" t="s">
        <v>42289</v>
      </c>
      <c r="M6398" t="s">
        <v>44444</v>
      </c>
      <c r="N6398" t="s">
        <v>46569</v>
      </c>
      <c r="O6398" t="s">
        <v>46570</v>
      </c>
      <c r="P6398">
        <v>0</v>
      </c>
      <c r="Q6398">
        <v>1</v>
      </c>
      <c r="R6398" t="s">
        <v>46573</v>
      </c>
      <c r="S6398" t="s">
        <v>46705</v>
      </c>
      <c r="T6398" t="s">
        <v>48258</v>
      </c>
      <c r="U6398" t="s">
        <v>52992</v>
      </c>
      <c r="W6398" t="s">
        <v>44444</v>
      </c>
      <c r="X6398" t="s">
        <v>46574</v>
      </c>
    </row>
    <row r="6399" spans="1:24">
      <c r="A6399">
        <f>HYPERLINK("https://www.philgeps.gov.ph/GEPSNONPILOT/Tender/SplashBidNoticeAbstractUI.aspx?menuIndex=3&amp;refID=7060825&amp;Result=3","7060825")</f>
        <v>0</v>
      </c>
      <c r="B6399" t="s">
        <v>1503</v>
      </c>
      <c r="C6399" t="s">
        <v>9610</v>
      </c>
      <c r="D6399" t="s">
        <v>18784</v>
      </c>
      <c r="E6399" t="s">
        <v>24555</v>
      </c>
      <c r="F6399" t="s">
        <v>32664</v>
      </c>
      <c r="G6399" t="s">
        <v>32675</v>
      </c>
      <c r="H6399" t="s">
        <v>12635</v>
      </c>
      <c r="I6399" t="s">
        <v>32710</v>
      </c>
      <c r="J6399" t="s">
        <v>36806</v>
      </c>
      <c r="K6399" t="s">
        <v>42284</v>
      </c>
      <c r="M6399" t="s">
        <v>44167</v>
      </c>
      <c r="N6399" t="s">
        <v>46569</v>
      </c>
      <c r="O6399" t="s">
        <v>46570</v>
      </c>
      <c r="P6399">
        <v>0</v>
      </c>
      <c r="Q6399">
        <v>7</v>
      </c>
      <c r="R6399" t="s">
        <v>46573</v>
      </c>
      <c r="S6399" t="s">
        <v>46705</v>
      </c>
      <c r="T6399" t="s">
        <v>48331</v>
      </c>
      <c r="U6399" t="s">
        <v>54092</v>
      </c>
      <c r="W6399" t="s">
        <v>44167</v>
      </c>
      <c r="X6399" t="s">
        <v>46574</v>
      </c>
    </row>
    <row r="6400" spans="1:24">
      <c r="A6400">
        <f>HYPERLINK("https://www.philgeps.gov.ph/GEPSNONPILOT/Tender/SplashBidNoticeAbstractUI.aspx?menuIndex=3&amp;refID=7060785&amp;Result=3","7060785")</f>
        <v>0</v>
      </c>
      <c r="B6400" t="s">
        <v>1760</v>
      </c>
      <c r="C6400" t="s">
        <v>9611</v>
      </c>
      <c r="D6400" t="s">
        <v>18791</v>
      </c>
      <c r="E6400" t="s">
        <v>24556</v>
      </c>
      <c r="F6400" t="s">
        <v>32664</v>
      </c>
      <c r="G6400" t="s">
        <v>32674</v>
      </c>
      <c r="H6400" t="s">
        <v>12635</v>
      </c>
      <c r="I6400" t="s">
        <v>14442</v>
      </c>
      <c r="J6400" t="s">
        <v>33863</v>
      </c>
      <c r="K6400" t="s">
        <v>42281</v>
      </c>
      <c r="M6400" t="s">
        <v>44461</v>
      </c>
      <c r="N6400" t="s">
        <v>46569</v>
      </c>
      <c r="O6400" t="s">
        <v>46570</v>
      </c>
      <c r="P6400">
        <v>0</v>
      </c>
      <c r="Q6400">
        <v>5</v>
      </c>
      <c r="R6400" t="s">
        <v>46573</v>
      </c>
      <c r="S6400" t="s">
        <v>46705</v>
      </c>
      <c r="T6400" t="s">
        <v>48305</v>
      </c>
      <c r="U6400" t="s">
        <v>54093</v>
      </c>
      <c r="V6400" t="s">
        <v>62268</v>
      </c>
      <c r="W6400" t="s">
        <v>44461</v>
      </c>
      <c r="X6400" t="s">
        <v>46574</v>
      </c>
    </row>
    <row r="6401" spans="1:24">
      <c r="A6401">
        <f>HYPERLINK("https://www.philgeps.gov.ph/GEPSNONPILOT/Tender/SplashBidNoticeAbstractUI.aspx?menuIndex=3&amp;refID=7060822&amp;Result=3","7060822")</f>
        <v>0</v>
      </c>
      <c r="B6401" t="s">
        <v>2032</v>
      </c>
      <c r="C6401" t="s">
        <v>9612</v>
      </c>
      <c r="D6401" t="s">
        <v>18845</v>
      </c>
      <c r="E6401" t="s">
        <v>24444</v>
      </c>
      <c r="F6401" t="s">
        <v>32664</v>
      </c>
      <c r="G6401" t="s">
        <v>32672</v>
      </c>
      <c r="H6401" t="s">
        <v>12635</v>
      </c>
      <c r="I6401" t="s">
        <v>4439</v>
      </c>
      <c r="J6401" t="s">
        <v>36807</v>
      </c>
      <c r="K6401" t="s">
        <v>42283</v>
      </c>
      <c r="M6401" t="s">
        <v>44776</v>
      </c>
      <c r="N6401" t="s">
        <v>46569</v>
      </c>
      <c r="O6401" t="s">
        <v>46570</v>
      </c>
      <c r="P6401">
        <v>0</v>
      </c>
      <c r="Q6401">
        <v>0</v>
      </c>
      <c r="R6401" t="s">
        <v>46573</v>
      </c>
      <c r="S6401" t="s">
        <v>46705</v>
      </c>
      <c r="T6401" t="s">
        <v>48567</v>
      </c>
      <c r="U6401" t="s">
        <v>53915</v>
      </c>
      <c r="V6401" t="s">
        <v>62269</v>
      </c>
      <c r="W6401" t="s">
        <v>44776</v>
      </c>
      <c r="X6401" t="s">
        <v>46574</v>
      </c>
    </row>
    <row r="6402" spans="1:24">
      <c r="A6402">
        <f>HYPERLINK("https://www.philgeps.gov.ph/GEPSNONPILOT/Tender/SplashBidNoticeAbstractUI.aspx?menuIndex=3&amp;refID=7060821&amp;Result=3","7060821")</f>
        <v>0</v>
      </c>
      <c r="B6402" t="s">
        <v>2075</v>
      </c>
      <c r="C6402" t="s">
        <v>9613</v>
      </c>
      <c r="D6402" t="s">
        <v>18806</v>
      </c>
      <c r="E6402" t="s">
        <v>21522</v>
      </c>
      <c r="F6402" t="s">
        <v>32664</v>
      </c>
      <c r="G6402" t="s">
        <v>32671</v>
      </c>
      <c r="H6402" t="s">
        <v>12635</v>
      </c>
      <c r="I6402" t="s">
        <v>6168</v>
      </c>
      <c r="J6402" t="s">
        <v>36808</v>
      </c>
      <c r="K6402" t="s">
        <v>42283</v>
      </c>
      <c r="M6402" t="s">
        <v>44827</v>
      </c>
      <c r="N6402" t="s">
        <v>46569</v>
      </c>
      <c r="O6402" t="s">
        <v>46570</v>
      </c>
      <c r="P6402">
        <v>0</v>
      </c>
      <c r="Q6402">
        <v>8</v>
      </c>
      <c r="R6402" t="s">
        <v>46573</v>
      </c>
      <c r="S6402" t="s">
        <v>46705</v>
      </c>
      <c r="T6402" t="s">
        <v>48316</v>
      </c>
      <c r="U6402" t="s">
        <v>54094</v>
      </c>
      <c r="W6402" t="s">
        <v>44827</v>
      </c>
      <c r="X6402" t="s">
        <v>46574</v>
      </c>
    </row>
    <row r="6403" spans="1:24">
      <c r="A6403">
        <f>HYPERLINK("https://www.philgeps.gov.ph/GEPSNONPILOT/Tender/SplashBidNoticeAbstractUI.aspx?menuIndex=3&amp;refID=7060836&amp;Result=3","7060836")</f>
        <v>0</v>
      </c>
      <c r="B6403" t="s">
        <v>2076</v>
      </c>
      <c r="C6403" t="s">
        <v>9614</v>
      </c>
      <c r="D6403" t="s">
        <v>18834</v>
      </c>
      <c r="E6403" t="s">
        <v>24557</v>
      </c>
      <c r="F6403" t="s">
        <v>32667</v>
      </c>
      <c r="G6403" t="s">
        <v>32673</v>
      </c>
      <c r="H6403" t="s">
        <v>32683</v>
      </c>
      <c r="I6403" t="s">
        <v>10627</v>
      </c>
      <c r="J6403" t="s">
        <v>36809</v>
      </c>
      <c r="K6403" t="s">
        <v>42448</v>
      </c>
      <c r="M6403" t="s">
        <v>44828</v>
      </c>
      <c r="N6403" t="s">
        <v>46569</v>
      </c>
      <c r="O6403" t="s">
        <v>46570</v>
      </c>
      <c r="P6403">
        <v>0</v>
      </c>
      <c r="Q6403">
        <v>0</v>
      </c>
      <c r="R6403" t="s">
        <v>46573</v>
      </c>
      <c r="S6403" t="s">
        <v>46705</v>
      </c>
      <c r="T6403" t="s">
        <v>48577</v>
      </c>
      <c r="U6403" t="s">
        <v>54095</v>
      </c>
      <c r="W6403" t="s">
        <v>44828</v>
      </c>
      <c r="X6403" t="s">
        <v>46574</v>
      </c>
    </row>
    <row r="6404" spans="1:24">
      <c r="A6404">
        <f>HYPERLINK("https://www.philgeps.gov.ph/GEPSNONPILOT/Tender/SplashBidNoticeAbstractUI.aspx?menuIndex=3&amp;refID=7060820&amp;Result=3","7060820")</f>
        <v>0</v>
      </c>
      <c r="B6404" t="s">
        <v>1706</v>
      </c>
      <c r="C6404" t="s">
        <v>9615</v>
      </c>
      <c r="D6404" t="s">
        <v>18793</v>
      </c>
      <c r="E6404" t="s">
        <v>24558</v>
      </c>
      <c r="F6404" t="s">
        <v>32664</v>
      </c>
      <c r="G6404" t="s">
        <v>32672</v>
      </c>
      <c r="H6404" t="s">
        <v>12635</v>
      </c>
      <c r="I6404" t="s">
        <v>6118</v>
      </c>
      <c r="J6404" t="s">
        <v>33320</v>
      </c>
      <c r="K6404" t="s">
        <v>42298</v>
      </c>
      <c r="M6404" t="s">
        <v>44400</v>
      </c>
      <c r="N6404" t="s">
        <v>46569</v>
      </c>
      <c r="O6404" t="s">
        <v>46570</v>
      </c>
      <c r="P6404">
        <v>0</v>
      </c>
      <c r="Q6404">
        <v>0</v>
      </c>
      <c r="R6404" t="s">
        <v>46573</v>
      </c>
      <c r="S6404" t="s">
        <v>46705</v>
      </c>
      <c r="T6404" t="s">
        <v>48349</v>
      </c>
      <c r="U6404" t="s">
        <v>54096</v>
      </c>
      <c r="W6404" t="s">
        <v>44400</v>
      </c>
      <c r="X6404" t="s">
        <v>46574</v>
      </c>
    </row>
    <row r="6405" spans="1:24">
      <c r="A6405">
        <f>HYPERLINK("https://www.philgeps.gov.ph/GEPSNONPILOT/Tender/SplashBidNoticeAbstractUI.aspx?menuIndex=3&amp;refID=7060824&amp;Result=3","7060824")</f>
        <v>0</v>
      </c>
      <c r="B6405" t="s">
        <v>304</v>
      </c>
      <c r="C6405" t="s">
        <v>9616</v>
      </c>
      <c r="D6405" t="s">
        <v>18792</v>
      </c>
      <c r="E6405" t="s">
        <v>19460</v>
      </c>
      <c r="F6405" t="s">
        <v>32664</v>
      </c>
      <c r="G6405" t="s">
        <v>32671</v>
      </c>
      <c r="H6405" t="s">
        <v>12635</v>
      </c>
      <c r="I6405" t="s">
        <v>4439</v>
      </c>
      <c r="J6405" t="s">
        <v>36810</v>
      </c>
      <c r="K6405" t="s">
        <v>42295</v>
      </c>
      <c r="M6405" t="s">
        <v>42871</v>
      </c>
      <c r="N6405" t="s">
        <v>46569</v>
      </c>
      <c r="O6405" t="s">
        <v>46570</v>
      </c>
      <c r="P6405">
        <v>0</v>
      </c>
      <c r="Q6405">
        <v>0</v>
      </c>
      <c r="R6405" t="s">
        <v>46573</v>
      </c>
      <c r="S6405" t="s">
        <v>46705</v>
      </c>
      <c r="T6405" t="s">
        <v>48287</v>
      </c>
      <c r="U6405" t="s">
        <v>54097</v>
      </c>
      <c r="W6405" t="s">
        <v>42871</v>
      </c>
      <c r="X6405" t="s">
        <v>46574</v>
      </c>
    </row>
    <row r="6406" spans="1:24">
      <c r="A6406">
        <f>HYPERLINK("https://www.philgeps.gov.ph/GEPSNONPILOT/Tender/SplashBidNoticeAbstractUI.aspx?menuIndex=3&amp;refID=7060815&amp;Result=3","7060815")</f>
        <v>0</v>
      </c>
      <c r="B6406" t="s">
        <v>495</v>
      </c>
      <c r="C6406" t="s">
        <v>9617</v>
      </c>
      <c r="D6406" t="s">
        <v>18791</v>
      </c>
      <c r="E6406" t="s">
        <v>24559</v>
      </c>
      <c r="F6406" t="s">
        <v>32664</v>
      </c>
      <c r="G6406" t="s">
        <v>32671</v>
      </c>
      <c r="H6406" t="s">
        <v>12635</v>
      </c>
      <c r="I6406" t="s">
        <v>32685</v>
      </c>
      <c r="J6406" t="s">
        <v>33102</v>
      </c>
      <c r="K6406" t="s">
        <v>42289</v>
      </c>
      <c r="M6406" t="s">
        <v>43071</v>
      </c>
      <c r="N6406" t="s">
        <v>46569</v>
      </c>
      <c r="O6406" t="s">
        <v>46570</v>
      </c>
      <c r="P6406">
        <v>0</v>
      </c>
      <c r="Q6406">
        <v>0</v>
      </c>
      <c r="R6406" t="s">
        <v>46573</v>
      </c>
      <c r="S6406" t="s">
        <v>46705</v>
      </c>
      <c r="T6406" t="s">
        <v>48293</v>
      </c>
      <c r="U6406" t="s">
        <v>54098</v>
      </c>
      <c r="W6406" t="s">
        <v>43071</v>
      </c>
      <c r="X6406" t="s">
        <v>46574</v>
      </c>
    </row>
    <row r="6407" spans="1:24">
      <c r="A6407">
        <f>HYPERLINK("https://www.philgeps.gov.ph/GEPSNONPILOT/Tender/SplashBidNoticeAbstractUI.aspx?menuIndex=3&amp;refID=7060814&amp;Result=3","7060814")</f>
        <v>0</v>
      </c>
      <c r="B6407" t="s">
        <v>1996</v>
      </c>
      <c r="C6407" t="s">
        <v>9618</v>
      </c>
      <c r="D6407" t="s">
        <v>18801</v>
      </c>
      <c r="E6407" t="s">
        <v>24560</v>
      </c>
      <c r="F6407" t="s">
        <v>32664</v>
      </c>
      <c r="G6407" t="s">
        <v>32671</v>
      </c>
      <c r="H6407" t="s">
        <v>12635</v>
      </c>
      <c r="I6407" t="s">
        <v>10370</v>
      </c>
      <c r="J6407" t="s">
        <v>36808</v>
      </c>
      <c r="K6407" t="s">
        <v>42283</v>
      </c>
      <c r="M6407" t="s">
        <v>44731</v>
      </c>
      <c r="N6407" t="s">
        <v>46569</v>
      </c>
      <c r="O6407" t="s">
        <v>46570</v>
      </c>
      <c r="P6407">
        <v>0</v>
      </c>
      <c r="Q6407">
        <v>1</v>
      </c>
      <c r="R6407" t="s">
        <v>46573</v>
      </c>
      <c r="S6407" t="s">
        <v>46705</v>
      </c>
      <c r="T6407" t="s">
        <v>48427</v>
      </c>
      <c r="U6407" t="s">
        <v>54099</v>
      </c>
      <c r="W6407" t="s">
        <v>44731</v>
      </c>
      <c r="X6407" t="s">
        <v>46574</v>
      </c>
    </row>
    <row r="6408" spans="1:24">
      <c r="A6408">
        <f>HYPERLINK("https://www.philgeps.gov.ph/GEPSNONPILOT/Tender/SplashBidNoticeAbstractUI.aspx?menuIndex=3&amp;refID=7060791&amp;Result=3","7060791")</f>
        <v>0</v>
      </c>
      <c r="B6408" t="s">
        <v>24</v>
      </c>
      <c r="C6408" t="s">
        <v>9619</v>
      </c>
      <c r="D6408" t="s">
        <v>18781</v>
      </c>
      <c r="E6408" t="s">
        <v>24561</v>
      </c>
      <c r="F6408" t="s">
        <v>32664</v>
      </c>
      <c r="G6408" t="s">
        <v>32671</v>
      </c>
      <c r="H6408" t="s">
        <v>12635</v>
      </c>
      <c r="I6408" t="s">
        <v>4439</v>
      </c>
      <c r="J6408" t="s">
        <v>36811</v>
      </c>
      <c r="K6408" t="s">
        <v>42281</v>
      </c>
      <c r="M6408" t="s">
        <v>42586</v>
      </c>
      <c r="N6408" t="s">
        <v>46569</v>
      </c>
      <c r="O6408" t="s">
        <v>46570</v>
      </c>
      <c r="P6408">
        <v>0</v>
      </c>
      <c r="Q6408">
        <v>0</v>
      </c>
      <c r="R6408" t="s">
        <v>46573</v>
      </c>
      <c r="S6408" t="s">
        <v>46705</v>
      </c>
      <c r="T6408" t="s">
        <v>48280</v>
      </c>
      <c r="U6408" t="s">
        <v>54100</v>
      </c>
      <c r="W6408" t="s">
        <v>42586</v>
      </c>
      <c r="X6408" t="s">
        <v>46574</v>
      </c>
    </row>
    <row r="6409" spans="1:24">
      <c r="A6409">
        <f>HYPERLINK("https://www.philgeps.gov.ph/GEPSNONPILOT/Tender/SplashBidNoticeAbstractUI.aspx?menuIndex=3&amp;refID=7060789&amp;Result=3","7060789")</f>
        <v>0</v>
      </c>
      <c r="B6409" t="s">
        <v>358</v>
      </c>
      <c r="C6409" t="s">
        <v>9620</v>
      </c>
      <c r="D6409" t="s">
        <v>18824</v>
      </c>
      <c r="E6409" t="s">
        <v>24562</v>
      </c>
      <c r="F6409" t="s">
        <v>32664</v>
      </c>
      <c r="G6409" t="s">
        <v>32671</v>
      </c>
      <c r="H6409" t="s">
        <v>12635</v>
      </c>
      <c r="I6409" t="s">
        <v>4997</v>
      </c>
      <c r="J6409" t="s">
        <v>33893</v>
      </c>
      <c r="K6409" t="s">
        <v>42283</v>
      </c>
      <c r="M6409" t="s">
        <v>42927</v>
      </c>
      <c r="N6409" t="s">
        <v>46569</v>
      </c>
      <c r="O6409" t="s">
        <v>46570</v>
      </c>
      <c r="P6409">
        <v>0</v>
      </c>
      <c r="Q6409">
        <v>2</v>
      </c>
      <c r="R6409" t="s">
        <v>46573</v>
      </c>
      <c r="S6409" t="s">
        <v>46705</v>
      </c>
      <c r="T6409" t="s">
        <v>48376</v>
      </c>
      <c r="U6409" t="s">
        <v>54101</v>
      </c>
      <c r="W6409" t="s">
        <v>42927</v>
      </c>
      <c r="X6409" t="s">
        <v>46574</v>
      </c>
    </row>
    <row r="6410" spans="1:24">
      <c r="A6410">
        <f>HYPERLINK("https://www.philgeps.gov.ph/GEPSNONPILOT/Tender/SplashBidNoticeAbstractUI.aspx?menuIndex=3&amp;refID=7060773&amp;Result=3","7060773")</f>
        <v>0</v>
      </c>
      <c r="B6410" t="s">
        <v>1506</v>
      </c>
      <c r="C6410" t="s">
        <v>9621</v>
      </c>
      <c r="D6410" t="s">
        <v>18790</v>
      </c>
      <c r="E6410" t="s">
        <v>24563</v>
      </c>
      <c r="F6410" t="s">
        <v>32664</v>
      </c>
      <c r="G6410" t="s">
        <v>32674</v>
      </c>
      <c r="H6410" t="s">
        <v>12635</v>
      </c>
      <c r="I6410" t="s">
        <v>8797</v>
      </c>
      <c r="J6410" t="s">
        <v>36812</v>
      </c>
      <c r="K6410" t="s">
        <v>42281</v>
      </c>
      <c r="M6410" t="s">
        <v>44170</v>
      </c>
      <c r="N6410" t="s">
        <v>46569</v>
      </c>
      <c r="O6410" t="s">
        <v>46570</v>
      </c>
      <c r="P6410">
        <v>0</v>
      </c>
      <c r="Q6410">
        <v>1</v>
      </c>
      <c r="R6410" t="s">
        <v>46573</v>
      </c>
      <c r="S6410" t="s">
        <v>46705</v>
      </c>
      <c r="T6410" t="s">
        <v>48502</v>
      </c>
      <c r="U6410" t="s">
        <v>54102</v>
      </c>
      <c r="W6410" t="s">
        <v>44170</v>
      </c>
      <c r="X6410" t="s">
        <v>46574</v>
      </c>
    </row>
    <row r="6411" spans="1:24">
      <c r="A6411">
        <f>HYPERLINK("https://www.philgeps.gov.ph/GEPSNONPILOT/Tender/SplashBidNoticeAbstractUI.aspx?menuIndex=3&amp;refID=7060771&amp;Result=3","7060771")</f>
        <v>0</v>
      </c>
      <c r="B6411" t="s">
        <v>1406</v>
      </c>
      <c r="C6411" t="s">
        <v>9622</v>
      </c>
      <c r="D6411" t="s">
        <v>18805</v>
      </c>
      <c r="E6411" t="s">
        <v>24564</v>
      </c>
      <c r="F6411" t="s">
        <v>32664</v>
      </c>
      <c r="G6411" t="s">
        <v>32672</v>
      </c>
      <c r="H6411" t="s">
        <v>12635</v>
      </c>
      <c r="I6411" t="s">
        <v>6118</v>
      </c>
      <c r="J6411" t="s">
        <v>36154</v>
      </c>
      <c r="K6411" t="s">
        <v>42303</v>
      </c>
      <c r="M6411" t="s">
        <v>44063</v>
      </c>
      <c r="N6411" t="s">
        <v>46569</v>
      </c>
      <c r="O6411" t="s">
        <v>46570</v>
      </c>
      <c r="P6411">
        <v>0</v>
      </c>
      <c r="Q6411">
        <v>0</v>
      </c>
      <c r="R6411" t="s">
        <v>46573</v>
      </c>
      <c r="S6411" t="s">
        <v>46705</v>
      </c>
      <c r="T6411" t="s">
        <v>48276</v>
      </c>
      <c r="U6411" t="s">
        <v>51829</v>
      </c>
      <c r="W6411" t="s">
        <v>44063</v>
      </c>
      <c r="X6411" t="s">
        <v>46574</v>
      </c>
    </row>
    <row r="6412" spans="1:24">
      <c r="A6412">
        <f>HYPERLINK("https://www.philgeps.gov.ph/GEPSNONPILOT/Tender/SplashBidNoticeAbstractUI.aspx?menuIndex=3&amp;refID=7060766&amp;Result=3","7060766")</f>
        <v>0</v>
      </c>
      <c r="B6412" t="s">
        <v>2056</v>
      </c>
      <c r="C6412" t="s">
        <v>9623</v>
      </c>
      <c r="D6412" t="s">
        <v>18806</v>
      </c>
      <c r="E6412" t="s">
        <v>24565</v>
      </c>
      <c r="F6412" t="s">
        <v>32664</v>
      </c>
      <c r="G6412" t="s">
        <v>32672</v>
      </c>
      <c r="H6412" t="s">
        <v>12635</v>
      </c>
      <c r="I6412" t="s">
        <v>32706</v>
      </c>
      <c r="J6412" t="s">
        <v>36813</v>
      </c>
      <c r="K6412" t="s">
        <v>42297</v>
      </c>
      <c r="M6412" t="s">
        <v>44805</v>
      </c>
      <c r="N6412" t="s">
        <v>46569</v>
      </c>
      <c r="O6412" t="s">
        <v>46570</v>
      </c>
      <c r="P6412">
        <v>0</v>
      </c>
      <c r="Q6412">
        <v>0</v>
      </c>
      <c r="R6412" t="s">
        <v>46573</v>
      </c>
      <c r="S6412" t="s">
        <v>46705</v>
      </c>
      <c r="T6412" t="s">
        <v>48268</v>
      </c>
      <c r="U6412" t="s">
        <v>54012</v>
      </c>
      <c r="V6412" t="s">
        <v>62264</v>
      </c>
      <c r="W6412" t="s">
        <v>44805</v>
      </c>
      <c r="X6412" t="s">
        <v>46574</v>
      </c>
    </row>
    <row r="6413" spans="1:24">
      <c r="A6413">
        <f>HYPERLINK("https://www.philgeps.gov.ph/GEPSNONPILOT/Tender/SplashBidNoticeAbstractUI.aspx?menuIndex=3&amp;refID=7060764&amp;Result=3","7060764")</f>
        <v>0</v>
      </c>
      <c r="B6413" t="s">
        <v>2051</v>
      </c>
      <c r="C6413" t="s">
        <v>9624</v>
      </c>
      <c r="D6413" t="s">
        <v>18790</v>
      </c>
      <c r="E6413" t="s">
        <v>24566</v>
      </c>
      <c r="F6413" t="s">
        <v>32664</v>
      </c>
      <c r="G6413" t="s">
        <v>32671</v>
      </c>
      <c r="H6413" t="s">
        <v>12635</v>
      </c>
      <c r="I6413" t="s">
        <v>32686</v>
      </c>
      <c r="J6413" t="s">
        <v>36814</v>
      </c>
      <c r="K6413" t="s">
        <v>42283</v>
      </c>
      <c r="M6413" t="s">
        <v>44801</v>
      </c>
      <c r="N6413" t="s">
        <v>46569</v>
      </c>
      <c r="O6413" t="s">
        <v>46570</v>
      </c>
      <c r="P6413">
        <v>0</v>
      </c>
      <c r="Q6413">
        <v>0</v>
      </c>
      <c r="R6413" t="s">
        <v>46573</v>
      </c>
      <c r="S6413" t="s">
        <v>46705</v>
      </c>
      <c r="T6413" t="s">
        <v>48307</v>
      </c>
      <c r="U6413" t="s">
        <v>54103</v>
      </c>
      <c r="W6413" t="s">
        <v>44801</v>
      </c>
      <c r="X6413" t="s">
        <v>46574</v>
      </c>
    </row>
    <row r="6414" spans="1:24">
      <c r="A6414">
        <f>HYPERLINK("https://www.philgeps.gov.ph/GEPSNONPILOT/Tender/SplashBidNoticeAbstractUI.aspx?menuIndex=3&amp;refID=7060863&amp;Result=3","7060863")</f>
        <v>0</v>
      </c>
      <c r="B6414" t="s">
        <v>1465</v>
      </c>
      <c r="C6414" t="s">
        <v>9625</v>
      </c>
      <c r="D6414" t="s">
        <v>18791</v>
      </c>
      <c r="E6414" t="s">
        <v>24567</v>
      </c>
      <c r="F6414" t="s">
        <v>32664</v>
      </c>
      <c r="G6414" t="s">
        <v>32671</v>
      </c>
      <c r="H6414" t="s">
        <v>12635</v>
      </c>
      <c r="I6414" t="s">
        <v>4997</v>
      </c>
      <c r="J6414" t="s">
        <v>32976</v>
      </c>
      <c r="K6414" t="s">
        <v>42297</v>
      </c>
      <c r="M6414" t="s">
        <v>44126</v>
      </c>
      <c r="N6414" t="s">
        <v>46569</v>
      </c>
      <c r="O6414" t="s">
        <v>46570</v>
      </c>
      <c r="P6414">
        <v>0</v>
      </c>
      <c r="Q6414">
        <v>5</v>
      </c>
      <c r="R6414" t="s">
        <v>46573</v>
      </c>
      <c r="S6414" t="s">
        <v>46705</v>
      </c>
      <c r="T6414" t="s">
        <v>48316</v>
      </c>
      <c r="U6414" t="s">
        <v>54104</v>
      </c>
      <c r="V6414" t="s">
        <v>62021</v>
      </c>
      <c r="W6414" t="s">
        <v>44126</v>
      </c>
      <c r="X6414" t="s">
        <v>46574</v>
      </c>
    </row>
    <row r="6415" spans="1:24">
      <c r="A6415">
        <f>HYPERLINK("https://www.philgeps.gov.ph/GEPSNONPILOT/Tender/SplashBidNoticeAbstractUI.aspx?menuIndex=3&amp;refID=7060823&amp;Result=3","7060823")</f>
        <v>0</v>
      </c>
      <c r="B6415" t="s">
        <v>1122</v>
      </c>
      <c r="C6415" t="s">
        <v>5954</v>
      </c>
      <c r="D6415" t="s">
        <v>18858</v>
      </c>
      <c r="E6415" t="s">
        <v>24568</v>
      </c>
      <c r="F6415" t="s">
        <v>32664</v>
      </c>
      <c r="G6415" t="s">
        <v>32674</v>
      </c>
      <c r="H6415" t="s">
        <v>12635</v>
      </c>
      <c r="I6415" t="s">
        <v>32704</v>
      </c>
      <c r="J6415" t="s">
        <v>33485</v>
      </c>
      <c r="K6415" t="s">
        <v>42281</v>
      </c>
      <c r="M6415" t="s">
        <v>43751</v>
      </c>
      <c r="N6415" t="s">
        <v>46569</v>
      </c>
      <c r="O6415" t="s">
        <v>46570</v>
      </c>
      <c r="P6415">
        <v>0</v>
      </c>
      <c r="Q6415">
        <v>6</v>
      </c>
      <c r="R6415" t="s">
        <v>46573</v>
      </c>
      <c r="S6415" t="s">
        <v>46705</v>
      </c>
      <c r="T6415" t="s">
        <v>48307</v>
      </c>
      <c r="U6415" t="s">
        <v>54105</v>
      </c>
      <c r="W6415" t="s">
        <v>43751</v>
      </c>
      <c r="X6415" t="s">
        <v>46574</v>
      </c>
    </row>
    <row r="6416" spans="1:24">
      <c r="A6416">
        <f>HYPERLINK("https://www.philgeps.gov.ph/GEPSNONPILOT/Tender/SplashBidNoticeAbstractUI.aspx?menuIndex=3&amp;refID=7060860&amp;Result=3","7060860")</f>
        <v>0</v>
      </c>
      <c r="B6416" t="s">
        <v>2077</v>
      </c>
      <c r="C6416" t="s">
        <v>9626</v>
      </c>
      <c r="D6416" t="s">
        <v>18856</v>
      </c>
      <c r="E6416" t="s">
        <v>24569</v>
      </c>
      <c r="F6416" t="s">
        <v>32664</v>
      </c>
      <c r="G6416" t="s">
        <v>32672</v>
      </c>
      <c r="H6416" t="s">
        <v>12635</v>
      </c>
      <c r="I6416" t="s">
        <v>32685</v>
      </c>
      <c r="J6416" t="s">
        <v>36815</v>
      </c>
      <c r="K6416" t="s">
        <v>42281</v>
      </c>
      <c r="M6416" t="s">
        <v>44829</v>
      </c>
      <c r="N6416" t="s">
        <v>46569</v>
      </c>
      <c r="O6416" t="s">
        <v>46570</v>
      </c>
      <c r="P6416">
        <v>0</v>
      </c>
      <c r="Q6416">
        <v>0</v>
      </c>
      <c r="R6416" t="s">
        <v>46573</v>
      </c>
      <c r="S6416" t="s">
        <v>46705</v>
      </c>
      <c r="T6416" t="s">
        <v>48213</v>
      </c>
      <c r="U6416" t="s">
        <v>54106</v>
      </c>
      <c r="W6416" t="s">
        <v>44829</v>
      </c>
      <c r="X6416" t="s">
        <v>46574</v>
      </c>
    </row>
    <row r="6417" spans="1:24">
      <c r="A6417">
        <f>HYPERLINK("https://www.philgeps.gov.ph/GEPSNONPILOT/Tender/SplashBidNoticeAbstractUI.aspx?menuIndex=3&amp;refID=7060859&amp;Result=3","7060859")</f>
        <v>0</v>
      </c>
      <c r="B6417" t="s">
        <v>1713</v>
      </c>
      <c r="C6417" t="s">
        <v>9627</v>
      </c>
      <c r="D6417" t="s">
        <v>18799</v>
      </c>
      <c r="E6417" t="s">
        <v>24570</v>
      </c>
      <c r="F6417" t="s">
        <v>32664</v>
      </c>
      <c r="G6417" t="s">
        <v>32672</v>
      </c>
      <c r="H6417" t="s">
        <v>12635</v>
      </c>
      <c r="I6417" t="s">
        <v>9486</v>
      </c>
      <c r="J6417" t="s">
        <v>36816</v>
      </c>
      <c r="K6417" t="s">
        <v>42284</v>
      </c>
      <c r="M6417" t="s">
        <v>44408</v>
      </c>
      <c r="N6417" t="s">
        <v>46569</v>
      </c>
      <c r="O6417" t="s">
        <v>46570</v>
      </c>
      <c r="P6417">
        <v>0</v>
      </c>
      <c r="Q6417">
        <v>1</v>
      </c>
      <c r="R6417" t="s">
        <v>46573</v>
      </c>
      <c r="S6417" t="s">
        <v>46705</v>
      </c>
      <c r="T6417" t="s">
        <v>48248</v>
      </c>
      <c r="U6417" t="s">
        <v>54107</v>
      </c>
      <c r="W6417" t="s">
        <v>63529</v>
      </c>
      <c r="X6417" t="s">
        <v>46574</v>
      </c>
    </row>
    <row r="6418" spans="1:24">
      <c r="A6418">
        <f>HYPERLINK("https://www.philgeps.gov.ph/GEPSNONPILOT/Tender/SplashBidNoticeAbstractUI.aspx?menuIndex=3&amp;refID=7060861&amp;Result=3","7060861")</f>
        <v>0</v>
      </c>
      <c r="B6418" t="s">
        <v>2078</v>
      </c>
      <c r="C6418" t="s">
        <v>9628</v>
      </c>
      <c r="D6418" t="s">
        <v>18830</v>
      </c>
      <c r="E6418" t="s">
        <v>24571</v>
      </c>
      <c r="F6418" t="s">
        <v>32664</v>
      </c>
      <c r="G6418" t="s">
        <v>32674</v>
      </c>
      <c r="H6418" t="s">
        <v>12635</v>
      </c>
      <c r="I6418" t="s">
        <v>14442</v>
      </c>
      <c r="J6418" t="s">
        <v>32898</v>
      </c>
      <c r="K6418" t="s">
        <v>42295</v>
      </c>
      <c r="M6418" t="s">
        <v>44830</v>
      </c>
      <c r="N6418" t="s">
        <v>46569</v>
      </c>
      <c r="O6418" t="s">
        <v>46570</v>
      </c>
      <c r="P6418">
        <v>0</v>
      </c>
      <c r="Q6418">
        <v>3</v>
      </c>
      <c r="R6418" t="s">
        <v>46573</v>
      </c>
      <c r="S6418" t="s">
        <v>46705</v>
      </c>
      <c r="T6418" t="s">
        <v>48420</v>
      </c>
      <c r="U6418" t="s">
        <v>54108</v>
      </c>
      <c r="W6418" t="s">
        <v>44830</v>
      </c>
      <c r="X6418" t="s">
        <v>46574</v>
      </c>
    </row>
    <row r="6419" spans="1:24">
      <c r="A6419">
        <f>HYPERLINK("https://www.philgeps.gov.ph/GEPSNONPILOT/Tender/SplashBidNoticeAbstractUI.aspx?menuIndex=3&amp;refID=7060857&amp;Result=3","7060857")</f>
        <v>0</v>
      </c>
      <c r="B6419" t="s">
        <v>2062</v>
      </c>
      <c r="C6419" t="s">
        <v>9629</v>
      </c>
      <c r="D6419" t="s">
        <v>18827</v>
      </c>
      <c r="E6419" t="s">
        <v>24572</v>
      </c>
      <c r="F6419" t="s">
        <v>32664</v>
      </c>
      <c r="G6419" t="s">
        <v>32674</v>
      </c>
      <c r="H6419" t="s">
        <v>12635</v>
      </c>
      <c r="I6419" t="s">
        <v>6168</v>
      </c>
      <c r="J6419" t="s">
        <v>36817</v>
      </c>
      <c r="K6419" t="s">
        <v>42295</v>
      </c>
      <c r="M6419" t="s">
        <v>44811</v>
      </c>
      <c r="N6419" t="s">
        <v>46569</v>
      </c>
      <c r="O6419" t="s">
        <v>46570</v>
      </c>
      <c r="P6419">
        <v>0</v>
      </c>
      <c r="Q6419">
        <v>2</v>
      </c>
      <c r="R6419" t="s">
        <v>46573</v>
      </c>
      <c r="S6419" t="s">
        <v>46705</v>
      </c>
      <c r="T6419" t="s">
        <v>48473</v>
      </c>
      <c r="U6419" t="s">
        <v>54109</v>
      </c>
      <c r="W6419" t="s">
        <v>44811</v>
      </c>
      <c r="X6419" t="s">
        <v>46574</v>
      </c>
    </row>
    <row r="6420" spans="1:24">
      <c r="A6420">
        <f>HYPERLINK("https://www.philgeps.gov.ph/GEPSNONPILOT/Tender/SplashBidNoticeAbstractUI.aspx?menuIndex=3&amp;refID=7060862&amp;Result=3","7060862")</f>
        <v>0</v>
      </c>
      <c r="B6420" t="s">
        <v>2079</v>
      </c>
      <c r="C6420" t="s">
        <v>9630</v>
      </c>
      <c r="D6420" t="s">
        <v>18781</v>
      </c>
      <c r="E6420" t="s">
        <v>24573</v>
      </c>
      <c r="F6420" t="s">
        <v>32664</v>
      </c>
      <c r="G6420" t="s">
        <v>32674</v>
      </c>
      <c r="H6420" t="s">
        <v>32682</v>
      </c>
      <c r="I6420" t="s">
        <v>8797</v>
      </c>
      <c r="J6420" t="s">
        <v>33021</v>
      </c>
      <c r="K6420" t="s">
        <v>42303</v>
      </c>
      <c r="M6420" t="s">
        <v>44831</v>
      </c>
      <c r="N6420" t="s">
        <v>46569</v>
      </c>
      <c r="O6420" t="s">
        <v>46570</v>
      </c>
      <c r="P6420">
        <v>0</v>
      </c>
      <c r="Q6420">
        <v>6</v>
      </c>
      <c r="R6420" t="s">
        <v>46573</v>
      </c>
      <c r="S6420" t="s">
        <v>46705</v>
      </c>
      <c r="T6420" t="s">
        <v>48578</v>
      </c>
      <c r="U6420" t="s">
        <v>54110</v>
      </c>
      <c r="W6420" t="s">
        <v>44831</v>
      </c>
      <c r="X6420" t="s">
        <v>46574</v>
      </c>
    </row>
    <row r="6421" spans="1:24">
      <c r="A6421">
        <f>HYPERLINK("https://www.philgeps.gov.ph/GEPSNONPILOT/Tender/SplashBidNoticeAbstractUI.aspx?menuIndex=3&amp;refID=7060858&amp;Result=3","7060858")</f>
        <v>0</v>
      </c>
      <c r="B6421" t="s">
        <v>594</v>
      </c>
      <c r="C6421" t="s">
        <v>8896</v>
      </c>
      <c r="D6421" t="s">
        <v>18784</v>
      </c>
      <c r="E6421" t="s">
        <v>24574</v>
      </c>
      <c r="F6421" t="s">
        <v>32664</v>
      </c>
      <c r="G6421" t="s">
        <v>32674</v>
      </c>
      <c r="H6421" t="s">
        <v>12635</v>
      </c>
      <c r="I6421" t="s">
        <v>32706</v>
      </c>
      <c r="J6421" t="s">
        <v>33657</v>
      </c>
      <c r="K6421" t="s">
        <v>42297</v>
      </c>
      <c r="M6421" t="s">
        <v>43793</v>
      </c>
      <c r="N6421" t="s">
        <v>46569</v>
      </c>
      <c r="O6421" t="s">
        <v>46570</v>
      </c>
      <c r="P6421">
        <v>0</v>
      </c>
      <c r="Q6421">
        <v>1</v>
      </c>
      <c r="R6421" t="s">
        <v>46573</v>
      </c>
      <c r="S6421" t="s">
        <v>46705</v>
      </c>
      <c r="T6421" t="s">
        <v>48551</v>
      </c>
      <c r="U6421" t="s">
        <v>54111</v>
      </c>
      <c r="V6421" t="s">
        <v>61909</v>
      </c>
      <c r="W6421" t="s">
        <v>43793</v>
      </c>
      <c r="X6421" t="s">
        <v>46574</v>
      </c>
    </row>
    <row r="6422" spans="1:24">
      <c r="A6422">
        <f>HYPERLINK("https://www.philgeps.gov.ph/GEPSNONPILOT/Tender/SplashBidNoticeAbstractUI.aspx?menuIndex=3&amp;refID=7060855&amp;Result=3","7060855")</f>
        <v>0</v>
      </c>
      <c r="B6422" t="s">
        <v>1906</v>
      </c>
      <c r="C6422" t="s">
        <v>8730</v>
      </c>
      <c r="D6422" t="s">
        <v>18783</v>
      </c>
      <c r="E6422" t="s">
        <v>24575</v>
      </c>
      <c r="F6422" t="s">
        <v>32664</v>
      </c>
      <c r="G6422" t="s">
        <v>32671</v>
      </c>
      <c r="H6422" t="s">
        <v>12635</v>
      </c>
      <c r="I6422" t="s">
        <v>8730</v>
      </c>
      <c r="J6422" t="s">
        <v>36818</v>
      </c>
      <c r="K6422" t="s">
        <v>42295</v>
      </c>
      <c r="M6422" t="s">
        <v>44627</v>
      </c>
      <c r="N6422" t="s">
        <v>46569</v>
      </c>
      <c r="O6422" t="s">
        <v>46570</v>
      </c>
      <c r="P6422">
        <v>0</v>
      </c>
      <c r="Q6422">
        <v>0</v>
      </c>
      <c r="R6422" t="s">
        <v>46573</v>
      </c>
      <c r="S6422" t="s">
        <v>46705</v>
      </c>
      <c r="T6422" t="s">
        <v>48307</v>
      </c>
      <c r="U6422" t="s">
        <v>54112</v>
      </c>
      <c r="V6422" t="s">
        <v>62216</v>
      </c>
      <c r="W6422" t="s">
        <v>44627</v>
      </c>
      <c r="X6422" t="s">
        <v>46574</v>
      </c>
    </row>
    <row r="6423" spans="1:24">
      <c r="A6423">
        <f>HYPERLINK("https://www.philgeps.gov.ph/GEPSNONPILOT/Tender/SplashBidNoticeAbstractUI.aspx?menuIndex=3&amp;refID=7060854&amp;Result=3","7060854")</f>
        <v>0</v>
      </c>
      <c r="B6423" t="s">
        <v>2080</v>
      </c>
      <c r="C6423" t="s">
        <v>9631</v>
      </c>
      <c r="D6423" t="s">
        <v>18848</v>
      </c>
      <c r="E6423" t="s">
        <v>24576</v>
      </c>
      <c r="F6423" t="s">
        <v>32664</v>
      </c>
      <c r="G6423" t="s">
        <v>32672</v>
      </c>
      <c r="H6423" t="s">
        <v>12635</v>
      </c>
      <c r="I6423" t="s">
        <v>32706</v>
      </c>
      <c r="J6423" t="s">
        <v>34833</v>
      </c>
      <c r="K6423" t="s">
        <v>42283</v>
      </c>
      <c r="M6423" t="s">
        <v>44832</v>
      </c>
      <c r="N6423" t="s">
        <v>46569</v>
      </c>
      <c r="O6423" t="s">
        <v>46570</v>
      </c>
      <c r="P6423">
        <v>0</v>
      </c>
      <c r="Q6423">
        <v>0</v>
      </c>
      <c r="R6423" t="s">
        <v>46573</v>
      </c>
      <c r="S6423" t="s">
        <v>46705</v>
      </c>
      <c r="T6423" t="s">
        <v>48230</v>
      </c>
      <c r="U6423" t="s">
        <v>54113</v>
      </c>
      <c r="W6423" t="s">
        <v>44832</v>
      </c>
      <c r="X6423" t="s">
        <v>46574</v>
      </c>
    </row>
    <row r="6424" spans="1:24">
      <c r="A6424">
        <f>HYPERLINK("https://www.philgeps.gov.ph/GEPSNONPILOT/Tender/SplashBidNoticeAbstractUI.aspx?menuIndex=3&amp;refID=7060853&amp;Result=3","7060853")</f>
        <v>0</v>
      </c>
      <c r="B6424" t="s">
        <v>798</v>
      </c>
      <c r="C6424" t="s">
        <v>9632</v>
      </c>
      <c r="D6424" t="s">
        <v>18830</v>
      </c>
      <c r="E6424" t="s">
        <v>24577</v>
      </c>
      <c r="F6424" t="s">
        <v>32664</v>
      </c>
      <c r="G6424" t="s">
        <v>32674</v>
      </c>
      <c r="H6424" t="s">
        <v>12635</v>
      </c>
      <c r="I6424" t="s">
        <v>6168</v>
      </c>
      <c r="J6424" t="s">
        <v>36819</v>
      </c>
      <c r="K6424" t="s">
        <v>42281</v>
      </c>
      <c r="M6424" t="s">
        <v>43390</v>
      </c>
      <c r="N6424" t="s">
        <v>46569</v>
      </c>
      <c r="O6424" t="s">
        <v>46570</v>
      </c>
      <c r="P6424">
        <v>0</v>
      </c>
      <c r="Q6424">
        <v>2</v>
      </c>
      <c r="R6424" t="s">
        <v>46573</v>
      </c>
      <c r="S6424" t="s">
        <v>46705</v>
      </c>
      <c r="T6424" t="s">
        <v>48307</v>
      </c>
      <c r="U6424" t="s">
        <v>54114</v>
      </c>
      <c r="V6424" t="s">
        <v>62270</v>
      </c>
      <c r="W6424" t="s">
        <v>43390</v>
      </c>
      <c r="X6424" t="s">
        <v>46574</v>
      </c>
    </row>
    <row r="6425" spans="1:24">
      <c r="A6425">
        <f>HYPERLINK("https://www.philgeps.gov.ph/GEPSNONPILOT/Tender/SplashBidNoticeAbstractUI.aspx?menuIndex=3&amp;refID=7060852&amp;Result=3","7060852")</f>
        <v>0</v>
      </c>
      <c r="B6425" t="s">
        <v>2057</v>
      </c>
      <c r="C6425" t="s">
        <v>9633</v>
      </c>
      <c r="D6425" t="s">
        <v>18845</v>
      </c>
      <c r="E6425" t="s">
        <v>24578</v>
      </c>
      <c r="F6425" t="s">
        <v>32664</v>
      </c>
      <c r="G6425" t="s">
        <v>32671</v>
      </c>
      <c r="H6425" t="s">
        <v>12635</v>
      </c>
      <c r="I6425" t="s">
        <v>32704</v>
      </c>
      <c r="J6425" t="s">
        <v>35513</v>
      </c>
      <c r="K6425" t="s">
        <v>42281</v>
      </c>
      <c r="M6425" t="s">
        <v>44806</v>
      </c>
      <c r="N6425" t="s">
        <v>46569</v>
      </c>
      <c r="O6425" t="s">
        <v>46570</v>
      </c>
      <c r="P6425">
        <v>0</v>
      </c>
      <c r="Q6425">
        <v>3</v>
      </c>
      <c r="R6425" t="s">
        <v>46573</v>
      </c>
      <c r="S6425" t="s">
        <v>46705</v>
      </c>
      <c r="T6425" t="s">
        <v>48376</v>
      </c>
      <c r="U6425" t="s">
        <v>54061</v>
      </c>
      <c r="W6425" t="s">
        <v>44806</v>
      </c>
      <c r="X6425" t="s">
        <v>46574</v>
      </c>
    </row>
    <row r="6426" spans="1:24">
      <c r="A6426">
        <f>HYPERLINK("https://www.philgeps.gov.ph/GEPSNONPILOT/Tender/SplashBidNoticeAbstractUI.aspx?menuIndex=3&amp;refID=7060856&amp;Result=3","7060856")</f>
        <v>0</v>
      </c>
      <c r="B6426" t="s">
        <v>2081</v>
      </c>
      <c r="C6426" t="s">
        <v>9634</v>
      </c>
      <c r="D6426" t="s">
        <v>18827</v>
      </c>
      <c r="E6426" t="s">
        <v>20150</v>
      </c>
      <c r="F6426" t="s">
        <v>32668</v>
      </c>
      <c r="G6426" t="s">
        <v>32677</v>
      </c>
      <c r="H6426" t="s">
        <v>12635</v>
      </c>
      <c r="I6426" t="s">
        <v>4439</v>
      </c>
      <c r="J6426" t="s">
        <v>32984</v>
      </c>
      <c r="K6426" t="s">
        <v>42295</v>
      </c>
      <c r="M6426" t="s">
        <v>44833</v>
      </c>
      <c r="N6426" t="s">
        <v>46569</v>
      </c>
      <c r="O6426" t="s">
        <v>46570</v>
      </c>
      <c r="P6426">
        <v>0</v>
      </c>
      <c r="Q6426">
        <v>0</v>
      </c>
      <c r="R6426" t="s">
        <v>46573</v>
      </c>
      <c r="S6426" t="s">
        <v>46705</v>
      </c>
      <c r="T6426" t="s">
        <v>48305</v>
      </c>
      <c r="U6426" t="s">
        <v>52147</v>
      </c>
      <c r="W6426" t="s">
        <v>63549</v>
      </c>
      <c r="X6426" t="s">
        <v>46574</v>
      </c>
    </row>
    <row r="6427" spans="1:24">
      <c r="A6427">
        <f>HYPERLINK("https://www.philgeps.gov.ph/GEPSNONPILOT/Tender/SplashBidNoticeAbstractUI.aspx?menuIndex=3&amp;refID=7060891&amp;Result=3","7060891")</f>
        <v>0</v>
      </c>
      <c r="B6427" t="s">
        <v>1254</v>
      </c>
      <c r="C6427" t="s">
        <v>9635</v>
      </c>
      <c r="D6427" t="s">
        <v>18827</v>
      </c>
      <c r="E6427" t="s">
        <v>24579</v>
      </c>
      <c r="F6427" t="s">
        <v>32664</v>
      </c>
      <c r="G6427" t="s">
        <v>32675</v>
      </c>
      <c r="H6427" t="s">
        <v>12635</v>
      </c>
      <c r="I6427" t="s">
        <v>8730</v>
      </c>
      <c r="J6427" t="s">
        <v>36820</v>
      </c>
      <c r="K6427" t="s">
        <v>42309</v>
      </c>
      <c r="M6427" t="s">
        <v>43896</v>
      </c>
      <c r="N6427" t="s">
        <v>46569</v>
      </c>
      <c r="O6427" t="s">
        <v>46570</v>
      </c>
      <c r="P6427">
        <v>0</v>
      </c>
      <c r="Q6427">
        <v>0</v>
      </c>
      <c r="R6427" t="s">
        <v>46573</v>
      </c>
      <c r="S6427" t="s">
        <v>46705</v>
      </c>
      <c r="T6427" t="s">
        <v>48287</v>
      </c>
      <c r="U6427" t="s">
        <v>53821</v>
      </c>
      <c r="W6427" t="s">
        <v>43896</v>
      </c>
      <c r="X6427" t="s">
        <v>46574</v>
      </c>
    </row>
    <row r="6428" spans="1:24">
      <c r="A6428">
        <f>HYPERLINK("https://www.philgeps.gov.ph/GEPSNONPILOT/Tender/SplashBidNoticeAbstractUI.aspx?menuIndex=3&amp;refID=7060772&amp;Result=3","7060772")</f>
        <v>0</v>
      </c>
      <c r="B6428" t="s">
        <v>327</v>
      </c>
      <c r="C6428" t="s">
        <v>9636</v>
      </c>
      <c r="D6428" t="s">
        <v>18826</v>
      </c>
      <c r="E6428" t="s">
        <v>24580</v>
      </c>
      <c r="F6428" t="s">
        <v>32664</v>
      </c>
      <c r="G6428" t="s">
        <v>32671</v>
      </c>
      <c r="H6428" t="s">
        <v>12635</v>
      </c>
      <c r="I6428" t="s">
        <v>10590</v>
      </c>
      <c r="J6428" t="s">
        <v>36453</v>
      </c>
      <c r="K6428" t="s">
        <v>42281</v>
      </c>
      <c r="M6428" t="s">
        <v>42895</v>
      </c>
      <c r="N6428" t="s">
        <v>46569</v>
      </c>
      <c r="O6428" t="s">
        <v>46570</v>
      </c>
      <c r="P6428">
        <v>0</v>
      </c>
      <c r="Q6428">
        <v>0</v>
      </c>
      <c r="R6428" t="s">
        <v>46573</v>
      </c>
      <c r="S6428" t="s">
        <v>46705</v>
      </c>
      <c r="T6428" t="s">
        <v>48420</v>
      </c>
      <c r="U6428" t="s">
        <v>52035</v>
      </c>
      <c r="W6428" t="s">
        <v>63515</v>
      </c>
      <c r="X6428" t="s">
        <v>46574</v>
      </c>
    </row>
    <row r="6429" spans="1:24">
      <c r="A6429">
        <f>HYPERLINK("https://www.philgeps.gov.ph/GEPSNONPILOT/Tender/SplashBidNoticeAbstractUI.aspx?menuIndex=3&amp;refID=7060770&amp;Result=3","7060770")</f>
        <v>0</v>
      </c>
      <c r="B6429" t="s">
        <v>1102</v>
      </c>
      <c r="C6429" t="s">
        <v>9637</v>
      </c>
      <c r="D6429" t="s">
        <v>18784</v>
      </c>
      <c r="E6429" t="s">
        <v>24581</v>
      </c>
      <c r="F6429" t="s">
        <v>32664</v>
      </c>
      <c r="G6429" t="s">
        <v>32672</v>
      </c>
      <c r="H6429" t="s">
        <v>12635</v>
      </c>
      <c r="I6429" t="s">
        <v>9486</v>
      </c>
      <c r="J6429" t="s">
        <v>36821</v>
      </c>
      <c r="K6429" t="s">
        <v>42283</v>
      </c>
      <c r="M6429" t="s">
        <v>44775</v>
      </c>
      <c r="N6429" t="s">
        <v>46569</v>
      </c>
      <c r="O6429" t="s">
        <v>46570</v>
      </c>
      <c r="P6429">
        <v>0</v>
      </c>
      <c r="Q6429">
        <v>4</v>
      </c>
      <c r="R6429" t="s">
        <v>46573</v>
      </c>
      <c r="S6429" t="s">
        <v>46705</v>
      </c>
      <c r="T6429" t="s">
        <v>48302</v>
      </c>
      <c r="U6429" t="s">
        <v>54115</v>
      </c>
      <c r="W6429" t="s">
        <v>44775</v>
      </c>
      <c r="X6429" t="s">
        <v>46574</v>
      </c>
    </row>
    <row r="6430" spans="1:24">
      <c r="A6430">
        <f>HYPERLINK("https://www.philgeps.gov.ph/GEPSNONPILOT/Tender/SplashBidNoticeAbstractUI.aspx?menuIndex=3&amp;refID=7060886&amp;Result=3","7060886")</f>
        <v>0</v>
      </c>
      <c r="B6430" t="s">
        <v>2060</v>
      </c>
      <c r="C6430" t="s">
        <v>9638</v>
      </c>
      <c r="D6430" t="s">
        <v>18819</v>
      </c>
      <c r="E6430" t="s">
        <v>24582</v>
      </c>
      <c r="F6430" t="s">
        <v>32664</v>
      </c>
      <c r="G6430" t="s">
        <v>32674</v>
      </c>
      <c r="H6430" t="s">
        <v>12635</v>
      </c>
      <c r="I6430" t="s">
        <v>10590</v>
      </c>
      <c r="J6430" t="s">
        <v>36822</v>
      </c>
      <c r="K6430" t="s">
        <v>42289</v>
      </c>
      <c r="M6430" t="s">
        <v>44809</v>
      </c>
      <c r="N6430" t="s">
        <v>46569</v>
      </c>
      <c r="O6430" t="s">
        <v>46570</v>
      </c>
      <c r="P6430">
        <v>0</v>
      </c>
      <c r="Q6430">
        <v>1</v>
      </c>
      <c r="R6430" t="s">
        <v>46573</v>
      </c>
      <c r="S6430" t="s">
        <v>46705</v>
      </c>
      <c r="T6430" t="s">
        <v>48356</v>
      </c>
      <c r="U6430" t="s">
        <v>54116</v>
      </c>
      <c r="W6430" t="s">
        <v>44809</v>
      </c>
      <c r="X6430" t="s">
        <v>46574</v>
      </c>
    </row>
    <row r="6431" spans="1:24">
      <c r="A6431">
        <f>HYPERLINK("https://www.philgeps.gov.ph/GEPSNONPILOT/Tender/SplashBidNoticeAbstractUI.aspx?menuIndex=3&amp;refID=7060890&amp;Result=3","7060890")</f>
        <v>0</v>
      </c>
      <c r="B6431" t="s">
        <v>1989</v>
      </c>
      <c r="C6431" t="s">
        <v>9639</v>
      </c>
      <c r="D6431" t="s">
        <v>18818</v>
      </c>
      <c r="E6431" t="s">
        <v>24583</v>
      </c>
      <c r="F6431" t="s">
        <v>32664</v>
      </c>
      <c r="G6431" t="s">
        <v>32671</v>
      </c>
      <c r="H6431" t="s">
        <v>12635</v>
      </c>
      <c r="I6431" t="s">
        <v>32699</v>
      </c>
      <c r="J6431" t="s">
        <v>32984</v>
      </c>
      <c r="K6431" t="s">
        <v>42281</v>
      </c>
      <c r="M6431" t="s">
        <v>44723</v>
      </c>
      <c r="N6431" t="s">
        <v>46569</v>
      </c>
      <c r="O6431" t="s">
        <v>46570</v>
      </c>
      <c r="P6431">
        <v>0</v>
      </c>
      <c r="Q6431">
        <v>0</v>
      </c>
      <c r="R6431" t="s">
        <v>46573</v>
      </c>
      <c r="S6431" t="s">
        <v>46705</v>
      </c>
      <c r="T6431" t="s">
        <v>48287</v>
      </c>
      <c r="U6431" t="s">
        <v>54117</v>
      </c>
      <c r="W6431" t="s">
        <v>44723</v>
      </c>
      <c r="X6431" t="s">
        <v>46574</v>
      </c>
    </row>
    <row r="6432" spans="1:24">
      <c r="A6432">
        <f>HYPERLINK("https://www.philgeps.gov.ph/GEPSNONPILOT/Tender/SplashBidNoticeAbstractUI.aspx?menuIndex=3&amp;refID=7060885&amp;Result=3","7060885")</f>
        <v>0</v>
      </c>
      <c r="B6432" t="s">
        <v>1503</v>
      </c>
      <c r="C6432" t="s">
        <v>9640</v>
      </c>
      <c r="D6432" t="s">
        <v>18784</v>
      </c>
      <c r="E6432" t="s">
        <v>24584</v>
      </c>
      <c r="F6432" t="s">
        <v>32664</v>
      </c>
      <c r="G6432" t="s">
        <v>32675</v>
      </c>
      <c r="H6432" t="s">
        <v>12635</v>
      </c>
      <c r="I6432" t="s">
        <v>6628</v>
      </c>
      <c r="J6432" t="s">
        <v>36823</v>
      </c>
      <c r="K6432" t="s">
        <v>42284</v>
      </c>
      <c r="M6432" t="s">
        <v>44167</v>
      </c>
      <c r="N6432" t="s">
        <v>46569</v>
      </c>
      <c r="O6432" t="s">
        <v>46570</v>
      </c>
      <c r="P6432">
        <v>0</v>
      </c>
      <c r="Q6432">
        <v>2</v>
      </c>
      <c r="R6432" t="s">
        <v>46573</v>
      </c>
      <c r="S6432" t="s">
        <v>46705</v>
      </c>
      <c r="T6432" t="s">
        <v>48331</v>
      </c>
      <c r="U6432" t="s">
        <v>52164</v>
      </c>
      <c r="W6432" t="s">
        <v>44167</v>
      </c>
      <c r="X6432" t="s">
        <v>46574</v>
      </c>
    </row>
    <row r="6433" spans="1:24">
      <c r="A6433">
        <f>HYPERLINK("https://www.philgeps.gov.ph/GEPSNONPILOT/Tender/SplashBidNoticeAbstractUI.aspx?menuIndex=3&amp;refID=7060829&amp;Result=3","7060829")</f>
        <v>0</v>
      </c>
      <c r="B6433" t="s">
        <v>2060</v>
      </c>
      <c r="C6433" t="s">
        <v>9641</v>
      </c>
      <c r="D6433" t="s">
        <v>18819</v>
      </c>
      <c r="E6433" t="s">
        <v>24585</v>
      </c>
      <c r="F6433" t="s">
        <v>32664</v>
      </c>
      <c r="G6433" t="s">
        <v>32674</v>
      </c>
      <c r="H6433" t="s">
        <v>12635</v>
      </c>
      <c r="I6433" t="s">
        <v>6628</v>
      </c>
      <c r="J6433" t="s">
        <v>33015</v>
      </c>
      <c r="K6433" t="s">
        <v>42284</v>
      </c>
      <c r="M6433" t="s">
        <v>44809</v>
      </c>
      <c r="N6433" t="s">
        <v>46569</v>
      </c>
      <c r="O6433" t="s">
        <v>46570</v>
      </c>
      <c r="P6433">
        <v>0</v>
      </c>
      <c r="Q6433">
        <v>2</v>
      </c>
      <c r="R6433" t="s">
        <v>46573</v>
      </c>
      <c r="S6433" t="s">
        <v>46705</v>
      </c>
      <c r="T6433" t="s">
        <v>48356</v>
      </c>
      <c r="U6433" t="s">
        <v>54118</v>
      </c>
      <c r="W6433" t="s">
        <v>44809</v>
      </c>
      <c r="X6433" t="s">
        <v>46574</v>
      </c>
    </row>
    <row r="6434" spans="1:24">
      <c r="A6434">
        <f>HYPERLINK("https://www.philgeps.gov.ph/GEPSNONPILOT/Tender/SplashBidNoticeAbstractUI.aspx?menuIndex=3&amp;refID=7060880&amp;Result=3","7060880")</f>
        <v>0</v>
      </c>
      <c r="B6434" t="s">
        <v>1123</v>
      </c>
      <c r="C6434" t="s">
        <v>9642</v>
      </c>
      <c r="D6434" t="s">
        <v>18814</v>
      </c>
      <c r="E6434" t="s">
        <v>24586</v>
      </c>
      <c r="F6434" t="s">
        <v>32664</v>
      </c>
      <c r="G6434" t="s">
        <v>32672</v>
      </c>
      <c r="H6434" t="s">
        <v>32683</v>
      </c>
      <c r="I6434" t="s">
        <v>10627</v>
      </c>
      <c r="J6434" t="s">
        <v>36824</v>
      </c>
      <c r="K6434" t="s">
        <v>42311</v>
      </c>
      <c r="M6434" t="s">
        <v>43752</v>
      </c>
      <c r="N6434" t="s">
        <v>46569</v>
      </c>
      <c r="O6434" t="s">
        <v>46570</v>
      </c>
      <c r="Q6434">
        <v>0</v>
      </c>
      <c r="R6434" t="s">
        <v>46573</v>
      </c>
      <c r="S6434" t="s">
        <v>46716</v>
      </c>
      <c r="T6434" t="s">
        <v>48571</v>
      </c>
      <c r="U6434" t="s">
        <v>54119</v>
      </c>
      <c r="W6434" t="s">
        <v>43752</v>
      </c>
      <c r="X6434" t="s">
        <v>46574</v>
      </c>
    </row>
    <row r="6435" spans="1:24">
      <c r="A6435">
        <f>HYPERLINK("https://www.philgeps.gov.ph/GEPSNONPILOT/Tender/SplashBidNoticeAbstractUI.aspx?menuIndex=3&amp;refID=7060879&amp;Result=3","7060879")</f>
        <v>0</v>
      </c>
      <c r="B6435" t="s">
        <v>49</v>
      </c>
      <c r="C6435" t="s">
        <v>9643</v>
      </c>
      <c r="D6435" t="s">
        <v>18799</v>
      </c>
      <c r="E6435" t="s">
        <v>24587</v>
      </c>
      <c r="F6435" t="s">
        <v>32664</v>
      </c>
      <c r="G6435" t="s">
        <v>32672</v>
      </c>
      <c r="H6435" t="s">
        <v>12635</v>
      </c>
      <c r="I6435" t="s">
        <v>4439</v>
      </c>
      <c r="J6435" t="s">
        <v>36825</v>
      </c>
      <c r="K6435" t="s">
        <v>42283</v>
      </c>
      <c r="M6435" t="s">
        <v>43367</v>
      </c>
      <c r="N6435" t="s">
        <v>46569</v>
      </c>
      <c r="O6435" t="s">
        <v>46570</v>
      </c>
      <c r="P6435">
        <v>0</v>
      </c>
      <c r="Q6435">
        <v>0</v>
      </c>
      <c r="R6435" t="s">
        <v>46573</v>
      </c>
      <c r="S6435" t="s">
        <v>46705</v>
      </c>
      <c r="T6435" t="s">
        <v>48273</v>
      </c>
      <c r="U6435" t="s">
        <v>54120</v>
      </c>
      <c r="W6435" t="s">
        <v>43367</v>
      </c>
      <c r="X6435" t="s">
        <v>46574</v>
      </c>
    </row>
    <row r="6436" spans="1:24">
      <c r="A6436">
        <f>HYPERLINK("https://www.philgeps.gov.ph/GEPSNONPILOT/Tender/SplashBidNoticeAbstractUI.aspx?menuIndex=3&amp;refID=7060883&amp;Result=3","7060883")</f>
        <v>0</v>
      </c>
      <c r="B6436" t="s">
        <v>1383</v>
      </c>
      <c r="C6436" t="s">
        <v>9644</v>
      </c>
      <c r="D6436" t="s">
        <v>18837</v>
      </c>
      <c r="E6436" t="s">
        <v>24588</v>
      </c>
      <c r="F6436" t="s">
        <v>32664</v>
      </c>
      <c r="G6436" t="s">
        <v>32672</v>
      </c>
      <c r="H6436" t="s">
        <v>12635</v>
      </c>
      <c r="I6436" t="s">
        <v>5589</v>
      </c>
      <c r="J6436" t="s">
        <v>32917</v>
      </c>
      <c r="K6436" t="s">
        <v>42289</v>
      </c>
      <c r="M6436" t="s">
        <v>44038</v>
      </c>
      <c r="N6436" t="s">
        <v>46569</v>
      </c>
      <c r="O6436" t="s">
        <v>46570</v>
      </c>
      <c r="P6436">
        <v>0</v>
      </c>
      <c r="Q6436">
        <v>2</v>
      </c>
      <c r="R6436" t="s">
        <v>46573</v>
      </c>
      <c r="S6436" t="s">
        <v>46705</v>
      </c>
      <c r="T6436" t="s">
        <v>48440</v>
      </c>
      <c r="U6436" t="s">
        <v>54121</v>
      </c>
      <c r="V6436" t="s">
        <v>62271</v>
      </c>
      <c r="W6436" t="s">
        <v>44038</v>
      </c>
      <c r="X6436" t="s">
        <v>46574</v>
      </c>
    </row>
    <row r="6437" spans="1:24">
      <c r="A6437">
        <f>HYPERLINK("https://www.philgeps.gov.ph/GEPSNONPILOT/Tender/SplashBidNoticeAbstractUI.aspx?menuIndex=3&amp;refID=7060878&amp;Result=3","7060878")</f>
        <v>0</v>
      </c>
      <c r="B6437" t="s">
        <v>781</v>
      </c>
      <c r="C6437" t="s">
        <v>9645</v>
      </c>
      <c r="D6437" t="s">
        <v>18785</v>
      </c>
      <c r="E6437" t="s">
        <v>24589</v>
      </c>
      <c r="F6437" t="s">
        <v>32664</v>
      </c>
      <c r="G6437" t="s">
        <v>32672</v>
      </c>
      <c r="H6437" t="s">
        <v>12635</v>
      </c>
      <c r="I6437" t="s">
        <v>6628</v>
      </c>
      <c r="J6437" t="s">
        <v>36826</v>
      </c>
      <c r="K6437" t="s">
        <v>42284</v>
      </c>
      <c r="M6437" t="s">
        <v>43373</v>
      </c>
      <c r="N6437" t="s">
        <v>46569</v>
      </c>
      <c r="O6437" t="s">
        <v>46570</v>
      </c>
      <c r="P6437">
        <v>0</v>
      </c>
      <c r="Q6437">
        <v>3</v>
      </c>
      <c r="R6437" t="s">
        <v>46573</v>
      </c>
      <c r="S6437" t="s">
        <v>46705</v>
      </c>
      <c r="T6437" t="s">
        <v>48268</v>
      </c>
      <c r="U6437" t="s">
        <v>54122</v>
      </c>
      <c r="W6437" t="s">
        <v>43373</v>
      </c>
      <c r="X6437" t="s">
        <v>46574</v>
      </c>
    </row>
    <row r="6438" spans="1:24">
      <c r="A6438">
        <f>HYPERLINK("https://www.philgeps.gov.ph/GEPSNONPILOT/Tender/SplashBidNoticeAbstractUI.aspx?menuIndex=3&amp;refID=7060882&amp;Result=3","7060882")</f>
        <v>0</v>
      </c>
      <c r="B6438" t="s">
        <v>870</v>
      </c>
      <c r="C6438" t="s">
        <v>9646</v>
      </c>
      <c r="D6438" t="s">
        <v>18844</v>
      </c>
      <c r="E6438" t="s">
        <v>24590</v>
      </c>
      <c r="F6438" t="s">
        <v>32664</v>
      </c>
      <c r="G6438" t="s">
        <v>32671</v>
      </c>
      <c r="H6438" t="s">
        <v>12635</v>
      </c>
      <c r="I6438" t="s">
        <v>8797</v>
      </c>
      <c r="J6438" t="s">
        <v>34494</v>
      </c>
      <c r="K6438" t="s">
        <v>42289</v>
      </c>
      <c r="M6438" t="s">
        <v>43470</v>
      </c>
      <c r="N6438" t="s">
        <v>46569</v>
      </c>
      <c r="O6438" t="s">
        <v>46570</v>
      </c>
      <c r="P6438">
        <v>0</v>
      </c>
      <c r="Q6438">
        <v>2</v>
      </c>
      <c r="R6438" t="s">
        <v>46573</v>
      </c>
      <c r="S6438" t="s">
        <v>46705</v>
      </c>
      <c r="T6438" t="s">
        <v>48287</v>
      </c>
      <c r="U6438" t="s">
        <v>50477</v>
      </c>
      <c r="V6438" t="s">
        <v>61834</v>
      </c>
      <c r="W6438" t="s">
        <v>43470</v>
      </c>
      <c r="X6438" t="s">
        <v>46574</v>
      </c>
    </row>
    <row r="6439" spans="1:24">
      <c r="A6439">
        <f>HYPERLINK("https://www.philgeps.gov.ph/GEPSNONPILOT/Tender/SplashBidNoticeAbstractUI.aspx?menuIndex=3&amp;refID=7060819&amp;Result=3","7060819")</f>
        <v>0</v>
      </c>
      <c r="B6439" t="s">
        <v>2051</v>
      </c>
      <c r="C6439" t="s">
        <v>9647</v>
      </c>
      <c r="D6439" t="s">
        <v>18790</v>
      </c>
      <c r="E6439" t="s">
        <v>24591</v>
      </c>
      <c r="F6439" t="s">
        <v>32664</v>
      </c>
      <c r="G6439" t="s">
        <v>32671</v>
      </c>
      <c r="H6439" t="s">
        <v>12635</v>
      </c>
      <c r="I6439" t="s">
        <v>9486</v>
      </c>
      <c r="J6439" t="s">
        <v>33724</v>
      </c>
      <c r="K6439" t="s">
        <v>42283</v>
      </c>
      <c r="M6439" t="s">
        <v>44801</v>
      </c>
      <c r="N6439" t="s">
        <v>46569</v>
      </c>
      <c r="O6439" t="s">
        <v>46570</v>
      </c>
      <c r="P6439">
        <v>0</v>
      </c>
      <c r="Q6439">
        <v>1</v>
      </c>
      <c r="R6439" t="s">
        <v>46573</v>
      </c>
      <c r="S6439" t="s">
        <v>46705</v>
      </c>
      <c r="T6439" t="s">
        <v>48307</v>
      </c>
      <c r="U6439" t="s">
        <v>54123</v>
      </c>
      <c r="W6439" t="s">
        <v>44801</v>
      </c>
      <c r="X6439" t="s">
        <v>46574</v>
      </c>
    </row>
    <row r="6440" spans="1:24">
      <c r="A6440">
        <f>HYPERLINK("https://www.philgeps.gov.ph/GEPSNONPILOT/Tender/SplashBidNoticeAbstractUI.aspx?menuIndex=3&amp;refID=7060915&amp;Result=3","7060915")</f>
        <v>0</v>
      </c>
      <c r="B6440" t="s">
        <v>1989</v>
      </c>
      <c r="C6440" t="s">
        <v>9648</v>
      </c>
      <c r="D6440" t="s">
        <v>18818</v>
      </c>
      <c r="E6440" t="s">
        <v>24592</v>
      </c>
      <c r="F6440" t="s">
        <v>32664</v>
      </c>
      <c r="G6440" t="s">
        <v>32671</v>
      </c>
      <c r="H6440" t="s">
        <v>12635</v>
      </c>
      <c r="I6440" t="s">
        <v>6628</v>
      </c>
      <c r="J6440" t="s">
        <v>33863</v>
      </c>
      <c r="K6440" t="s">
        <v>42281</v>
      </c>
      <c r="M6440" t="s">
        <v>44723</v>
      </c>
      <c r="N6440" t="s">
        <v>46569</v>
      </c>
      <c r="O6440" t="s">
        <v>46570</v>
      </c>
      <c r="P6440">
        <v>0</v>
      </c>
      <c r="Q6440">
        <v>2</v>
      </c>
      <c r="R6440" t="s">
        <v>46573</v>
      </c>
      <c r="S6440" t="s">
        <v>46705</v>
      </c>
      <c r="T6440" t="s">
        <v>48287</v>
      </c>
      <c r="U6440" t="s">
        <v>54124</v>
      </c>
      <c r="W6440" t="s">
        <v>44723</v>
      </c>
      <c r="X6440" t="s">
        <v>46574</v>
      </c>
    </row>
    <row r="6441" spans="1:24">
      <c r="A6441">
        <f>HYPERLINK("https://www.philgeps.gov.ph/GEPSNONPILOT/Tender/SplashBidNoticeAbstractUI.aspx?menuIndex=3&amp;refID=7060887&amp;Result=3","7060887")</f>
        <v>0</v>
      </c>
      <c r="B6441" t="s">
        <v>796</v>
      </c>
      <c r="C6441" t="s">
        <v>9649</v>
      </c>
      <c r="D6441" t="s">
        <v>18801</v>
      </c>
      <c r="E6441" t="s">
        <v>24593</v>
      </c>
      <c r="F6441" t="s">
        <v>32664</v>
      </c>
      <c r="G6441" t="s">
        <v>32672</v>
      </c>
      <c r="H6441" t="s">
        <v>32683</v>
      </c>
      <c r="I6441" t="s">
        <v>10627</v>
      </c>
      <c r="J6441" t="s">
        <v>34379</v>
      </c>
      <c r="K6441" t="s">
        <v>42298</v>
      </c>
      <c r="M6441" t="s">
        <v>43388</v>
      </c>
      <c r="N6441" t="s">
        <v>46569</v>
      </c>
      <c r="O6441" t="s">
        <v>46570</v>
      </c>
      <c r="P6441">
        <v>0</v>
      </c>
      <c r="Q6441">
        <v>4</v>
      </c>
      <c r="R6441" t="s">
        <v>46573</v>
      </c>
      <c r="S6441" t="s">
        <v>46705</v>
      </c>
      <c r="T6441" t="s">
        <v>48220</v>
      </c>
      <c r="U6441" t="s">
        <v>54125</v>
      </c>
      <c r="W6441" t="s">
        <v>63490</v>
      </c>
      <c r="X6441" t="s">
        <v>46574</v>
      </c>
    </row>
    <row r="6442" spans="1:24">
      <c r="A6442">
        <f>HYPERLINK("https://www.philgeps.gov.ph/GEPSNONPILOT/Tender/SplashBidNoticeAbstractUI.aspx?menuIndex=3&amp;refID=7060913&amp;Result=3","7060913")</f>
        <v>0</v>
      </c>
      <c r="B6442" t="s">
        <v>199</v>
      </c>
      <c r="C6442" t="s">
        <v>9650</v>
      </c>
      <c r="D6442" t="s">
        <v>18789</v>
      </c>
      <c r="E6442" t="s">
        <v>24594</v>
      </c>
      <c r="F6442" t="s">
        <v>32664</v>
      </c>
      <c r="G6442" t="s">
        <v>32671</v>
      </c>
      <c r="H6442" t="s">
        <v>32683</v>
      </c>
      <c r="I6442" t="s">
        <v>10627</v>
      </c>
      <c r="J6442" t="s">
        <v>32976</v>
      </c>
      <c r="K6442" t="s">
        <v>42297</v>
      </c>
      <c r="M6442" t="s">
        <v>43810</v>
      </c>
      <c r="N6442" t="s">
        <v>46569</v>
      </c>
      <c r="O6442" t="s">
        <v>46570</v>
      </c>
      <c r="P6442">
        <v>0</v>
      </c>
      <c r="Q6442">
        <v>0</v>
      </c>
      <c r="R6442" t="s">
        <v>46573</v>
      </c>
      <c r="S6442" t="s">
        <v>46705</v>
      </c>
      <c r="T6442" t="s">
        <v>48376</v>
      </c>
      <c r="U6442" t="s">
        <v>54126</v>
      </c>
      <c r="V6442" t="s">
        <v>61918</v>
      </c>
      <c r="W6442" t="s">
        <v>43810</v>
      </c>
      <c r="X6442" t="s">
        <v>46574</v>
      </c>
    </row>
    <row r="6443" spans="1:24">
      <c r="A6443">
        <f>HYPERLINK("https://www.philgeps.gov.ph/GEPSNONPILOT/Tender/SplashBidNoticeAbstractUI.aspx?menuIndex=3&amp;refID=7060910&amp;Result=3","7060910")</f>
        <v>0</v>
      </c>
      <c r="B6443" t="s">
        <v>495</v>
      </c>
      <c r="C6443" t="s">
        <v>9651</v>
      </c>
      <c r="D6443" t="s">
        <v>18791</v>
      </c>
      <c r="E6443" t="s">
        <v>22816</v>
      </c>
      <c r="F6443" t="s">
        <v>32664</v>
      </c>
      <c r="G6443" t="s">
        <v>32671</v>
      </c>
      <c r="H6443" t="s">
        <v>12635</v>
      </c>
      <c r="I6443" t="s">
        <v>4439</v>
      </c>
      <c r="J6443" t="s">
        <v>33688</v>
      </c>
      <c r="K6443" t="s">
        <v>42289</v>
      </c>
      <c r="M6443" t="s">
        <v>43071</v>
      </c>
      <c r="N6443" t="s">
        <v>46569</v>
      </c>
      <c r="O6443" t="s">
        <v>46570</v>
      </c>
      <c r="P6443">
        <v>0</v>
      </c>
      <c r="Q6443">
        <v>2</v>
      </c>
      <c r="R6443" t="s">
        <v>46573</v>
      </c>
      <c r="S6443" t="s">
        <v>46705</v>
      </c>
      <c r="T6443" t="s">
        <v>48293</v>
      </c>
      <c r="U6443" t="s">
        <v>54127</v>
      </c>
      <c r="W6443" t="s">
        <v>43071</v>
      </c>
      <c r="X6443" t="s">
        <v>46574</v>
      </c>
    </row>
    <row r="6444" spans="1:24">
      <c r="A6444">
        <f>HYPERLINK("https://www.philgeps.gov.ph/GEPSNONPILOT/Tender/SplashBidNoticeAbstractUI.aspx?menuIndex=3&amp;refID=7060888&amp;Result=3","7060888")</f>
        <v>0</v>
      </c>
      <c r="B6444" t="s">
        <v>2082</v>
      </c>
      <c r="C6444" t="s">
        <v>9652</v>
      </c>
      <c r="D6444" t="s">
        <v>18799</v>
      </c>
      <c r="E6444" t="s">
        <v>24595</v>
      </c>
      <c r="F6444" t="s">
        <v>32664</v>
      </c>
      <c r="G6444" t="s">
        <v>32672</v>
      </c>
      <c r="H6444" t="s">
        <v>12635</v>
      </c>
      <c r="I6444" t="s">
        <v>4439</v>
      </c>
      <c r="J6444" t="s">
        <v>36827</v>
      </c>
      <c r="K6444" t="s">
        <v>42281</v>
      </c>
      <c r="L6444" t="s">
        <v>2082</v>
      </c>
      <c r="M6444" t="s">
        <v>44834</v>
      </c>
      <c r="N6444" t="s">
        <v>46569</v>
      </c>
      <c r="O6444" t="s">
        <v>46570</v>
      </c>
      <c r="P6444">
        <v>0</v>
      </c>
      <c r="Q6444">
        <v>1</v>
      </c>
      <c r="R6444" t="s">
        <v>46573</v>
      </c>
      <c r="S6444" t="s">
        <v>46705</v>
      </c>
      <c r="T6444" t="s">
        <v>48579</v>
      </c>
      <c r="U6444" t="s">
        <v>54128</v>
      </c>
      <c r="W6444" t="s">
        <v>44834</v>
      </c>
      <c r="X6444" t="s">
        <v>46574</v>
      </c>
    </row>
    <row r="6445" spans="1:24">
      <c r="A6445">
        <f>HYPERLINK("https://www.philgeps.gov.ph/GEPSNONPILOT/Tender/SplashBidNoticeAbstractUI.aspx?menuIndex=3&amp;refID=7060905&amp;Result=3","7060905")</f>
        <v>0</v>
      </c>
      <c r="B6445" t="s">
        <v>798</v>
      </c>
      <c r="C6445" t="s">
        <v>9653</v>
      </c>
      <c r="D6445" t="s">
        <v>18830</v>
      </c>
      <c r="E6445" t="s">
        <v>24596</v>
      </c>
      <c r="F6445" t="s">
        <v>32664</v>
      </c>
      <c r="G6445" t="s">
        <v>32674</v>
      </c>
      <c r="H6445" t="s">
        <v>12635</v>
      </c>
      <c r="I6445" t="s">
        <v>6223</v>
      </c>
      <c r="J6445" t="s">
        <v>36828</v>
      </c>
      <c r="K6445" t="s">
        <v>42281</v>
      </c>
      <c r="M6445" t="s">
        <v>43390</v>
      </c>
      <c r="N6445" t="s">
        <v>46569</v>
      </c>
      <c r="O6445" t="s">
        <v>46570</v>
      </c>
      <c r="P6445">
        <v>0</v>
      </c>
      <c r="Q6445">
        <v>2</v>
      </c>
      <c r="R6445" t="s">
        <v>46573</v>
      </c>
      <c r="S6445" t="s">
        <v>46705</v>
      </c>
      <c r="T6445" t="s">
        <v>48307</v>
      </c>
      <c r="U6445" t="s">
        <v>54129</v>
      </c>
      <c r="W6445" t="s">
        <v>43390</v>
      </c>
      <c r="X6445" t="s">
        <v>46574</v>
      </c>
    </row>
    <row r="6446" spans="1:24">
      <c r="A6446">
        <f>HYPERLINK("https://www.philgeps.gov.ph/GEPSNONPILOT/Tender/SplashBidNoticeAbstractUI.aspx?menuIndex=3&amp;refID=7060904&amp;Result=3","7060904")</f>
        <v>0</v>
      </c>
      <c r="B6446" t="s">
        <v>856</v>
      </c>
      <c r="C6446" t="s">
        <v>9654</v>
      </c>
      <c r="D6446" t="s">
        <v>18843</v>
      </c>
      <c r="E6446" t="s">
        <v>24597</v>
      </c>
      <c r="F6446" t="s">
        <v>32664</v>
      </c>
      <c r="G6446" t="s">
        <v>32671</v>
      </c>
      <c r="H6446" t="s">
        <v>12635</v>
      </c>
      <c r="I6446" t="s">
        <v>4439</v>
      </c>
      <c r="J6446" t="s">
        <v>36829</v>
      </c>
      <c r="K6446" t="s">
        <v>42284</v>
      </c>
      <c r="M6446" t="s">
        <v>43454</v>
      </c>
      <c r="N6446" t="s">
        <v>46569</v>
      </c>
      <c r="O6446" t="s">
        <v>46570</v>
      </c>
      <c r="P6446">
        <v>0</v>
      </c>
      <c r="Q6446">
        <v>0</v>
      </c>
      <c r="R6446" t="s">
        <v>46573</v>
      </c>
      <c r="S6446" t="s">
        <v>46705</v>
      </c>
      <c r="T6446" t="s">
        <v>48287</v>
      </c>
      <c r="U6446" t="s">
        <v>54130</v>
      </c>
      <c r="W6446" t="s">
        <v>43454</v>
      </c>
      <c r="X6446" t="s">
        <v>46574</v>
      </c>
    </row>
    <row r="6447" spans="1:24">
      <c r="A6447">
        <f>HYPERLINK("https://www.philgeps.gov.ph/GEPSNONPILOT/Tender/SplashBidNoticeAbstractUI.aspx?menuIndex=3&amp;refID=7060792&amp;Result=3","7060792")</f>
        <v>0</v>
      </c>
      <c r="B6447" t="s">
        <v>441</v>
      </c>
      <c r="C6447" t="s">
        <v>9655</v>
      </c>
      <c r="D6447" t="s">
        <v>18805</v>
      </c>
      <c r="E6447" t="s">
        <v>24598</v>
      </c>
      <c r="F6447" t="s">
        <v>32664</v>
      </c>
      <c r="G6447" t="s">
        <v>32671</v>
      </c>
      <c r="H6447" t="s">
        <v>32683</v>
      </c>
      <c r="I6447" t="s">
        <v>10627</v>
      </c>
      <c r="J6447" t="s">
        <v>36830</v>
      </c>
      <c r="K6447" t="s">
        <v>42303</v>
      </c>
      <c r="M6447" t="s">
        <v>44010</v>
      </c>
      <c r="N6447" t="s">
        <v>46569</v>
      </c>
      <c r="O6447" t="s">
        <v>46570</v>
      </c>
      <c r="P6447">
        <v>0</v>
      </c>
      <c r="Q6447">
        <v>0</v>
      </c>
      <c r="R6447" t="s">
        <v>46573</v>
      </c>
      <c r="S6447" t="s">
        <v>46705</v>
      </c>
      <c r="T6447" t="s">
        <v>48287</v>
      </c>
      <c r="U6447" t="s">
        <v>54131</v>
      </c>
      <c r="W6447" t="s">
        <v>44010</v>
      </c>
      <c r="X6447" t="s">
        <v>46574</v>
      </c>
    </row>
    <row r="6448" spans="1:24">
      <c r="A6448">
        <f>HYPERLINK("https://www.philgeps.gov.ph/GEPSNONPILOT/Tender/SplashBidNoticeAbstractUI.aspx?menuIndex=3&amp;refID=7060881&amp;Result=3","7060881")</f>
        <v>0</v>
      </c>
      <c r="B6448" t="s">
        <v>70</v>
      </c>
      <c r="C6448" t="s">
        <v>9656</v>
      </c>
      <c r="D6448" t="s">
        <v>18782</v>
      </c>
      <c r="E6448" t="s">
        <v>24599</v>
      </c>
      <c r="F6448" t="s">
        <v>32664</v>
      </c>
      <c r="G6448" t="s">
        <v>32672</v>
      </c>
      <c r="H6448" t="s">
        <v>12635</v>
      </c>
      <c r="I6448" t="s">
        <v>5589</v>
      </c>
      <c r="J6448" t="s">
        <v>32898</v>
      </c>
      <c r="K6448" t="s">
        <v>42305</v>
      </c>
      <c r="M6448" t="s">
        <v>42633</v>
      </c>
      <c r="N6448" t="s">
        <v>46569</v>
      </c>
      <c r="O6448" t="s">
        <v>46570</v>
      </c>
      <c r="P6448">
        <v>0</v>
      </c>
      <c r="Q6448">
        <v>0</v>
      </c>
      <c r="R6448" t="s">
        <v>46573</v>
      </c>
      <c r="S6448" t="s">
        <v>46705</v>
      </c>
      <c r="T6448" t="s">
        <v>48305</v>
      </c>
      <c r="U6448" t="s">
        <v>54132</v>
      </c>
      <c r="W6448" t="s">
        <v>42633</v>
      </c>
      <c r="X6448" t="s">
        <v>46574</v>
      </c>
    </row>
    <row r="6449" spans="1:24">
      <c r="A6449">
        <f>HYPERLINK("https://www.philgeps.gov.ph/GEPSNONPILOT/Tender/SplashBidNoticeAbstractUI.aspx?menuIndex=3&amp;refID=7060914&amp;Result=3","7060914")</f>
        <v>0</v>
      </c>
      <c r="B6449" t="s">
        <v>2083</v>
      </c>
      <c r="C6449" t="s">
        <v>9657</v>
      </c>
      <c r="D6449" t="s">
        <v>18815</v>
      </c>
      <c r="E6449" t="s">
        <v>24600</v>
      </c>
      <c r="F6449" t="s">
        <v>32664</v>
      </c>
      <c r="G6449" t="s">
        <v>32672</v>
      </c>
      <c r="H6449" t="s">
        <v>12635</v>
      </c>
      <c r="I6449" t="s">
        <v>32687</v>
      </c>
      <c r="J6449" t="s">
        <v>36831</v>
      </c>
      <c r="K6449" t="s">
        <v>42281</v>
      </c>
      <c r="M6449" t="s">
        <v>44835</v>
      </c>
      <c r="N6449" t="s">
        <v>46569</v>
      </c>
      <c r="O6449" t="s">
        <v>46570</v>
      </c>
      <c r="Q6449">
        <v>1</v>
      </c>
      <c r="R6449" t="s">
        <v>46573</v>
      </c>
      <c r="S6449" t="s">
        <v>46717</v>
      </c>
      <c r="T6449" t="s">
        <v>48220</v>
      </c>
      <c r="U6449" t="s">
        <v>54133</v>
      </c>
      <c r="W6449" t="s">
        <v>44835</v>
      </c>
      <c r="X6449" t="s">
        <v>46574</v>
      </c>
    </row>
    <row r="6450" spans="1:24">
      <c r="A6450">
        <f>HYPERLINK("https://www.philgeps.gov.ph/GEPSNONPILOT/Tender/SplashBidNoticeAbstractUI.aspx?menuIndex=3&amp;refID=7060901&amp;Result=3","7060901")</f>
        <v>0</v>
      </c>
      <c r="B6450" t="s">
        <v>2078</v>
      </c>
      <c r="C6450" t="s">
        <v>9658</v>
      </c>
      <c r="D6450" t="s">
        <v>18830</v>
      </c>
      <c r="E6450" t="s">
        <v>24601</v>
      </c>
      <c r="F6450" t="s">
        <v>32664</v>
      </c>
      <c r="G6450" t="s">
        <v>32674</v>
      </c>
      <c r="H6450" t="s">
        <v>12635</v>
      </c>
      <c r="I6450" t="s">
        <v>4439</v>
      </c>
      <c r="J6450" t="s">
        <v>36832</v>
      </c>
      <c r="K6450" t="s">
        <v>42295</v>
      </c>
      <c r="M6450" t="s">
        <v>44830</v>
      </c>
      <c r="N6450" t="s">
        <v>46569</v>
      </c>
      <c r="O6450" t="s">
        <v>46570</v>
      </c>
      <c r="P6450">
        <v>0</v>
      </c>
      <c r="Q6450">
        <v>2</v>
      </c>
      <c r="R6450" t="s">
        <v>46573</v>
      </c>
      <c r="S6450" t="s">
        <v>46705</v>
      </c>
      <c r="T6450" t="s">
        <v>48420</v>
      </c>
      <c r="U6450" t="s">
        <v>54134</v>
      </c>
      <c r="W6450" t="s">
        <v>44830</v>
      </c>
      <c r="X6450" t="s">
        <v>46574</v>
      </c>
    </row>
    <row r="6451" spans="1:24">
      <c r="A6451">
        <f>HYPERLINK("https://www.philgeps.gov.ph/GEPSNONPILOT/Tender/SplashBidNoticeAbstractUI.aspx?menuIndex=3&amp;refID=7060903&amp;Result=3","7060903")</f>
        <v>0</v>
      </c>
      <c r="B6451" t="s">
        <v>1797</v>
      </c>
      <c r="C6451" t="s">
        <v>9659</v>
      </c>
      <c r="D6451" t="s">
        <v>18831</v>
      </c>
      <c r="E6451" t="s">
        <v>24602</v>
      </c>
      <c r="F6451" t="s">
        <v>32664</v>
      </c>
      <c r="G6451" t="s">
        <v>32671</v>
      </c>
      <c r="H6451" t="s">
        <v>12635</v>
      </c>
      <c r="I6451" t="s">
        <v>32706</v>
      </c>
      <c r="J6451" t="s">
        <v>36833</v>
      </c>
      <c r="K6451" t="s">
        <v>42297</v>
      </c>
      <c r="M6451" t="s">
        <v>44500</v>
      </c>
      <c r="N6451" t="s">
        <v>46569</v>
      </c>
      <c r="O6451" t="s">
        <v>46570</v>
      </c>
      <c r="P6451">
        <v>0</v>
      </c>
      <c r="Q6451">
        <v>0</v>
      </c>
      <c r="R6451" t="s">
        <v>46573</v>
      </c>
      <c r="S6451" t="s">
        <v>46705</v>
      </c>
      <c r="T6451" t="s">
        <v>48287</v>
      </c>
      <c r="U6451" t="s">
        <v>54135</v>
      </c>
      <c r="V6451" t="s">
        <v>62172</v>
      </c>
      <c r="W6451" t="s">
        <v>44500</v>
      </c>
      <c r="X6451" t="s">
        <v>46574</v>
      </c>
    </row>
    <row r="6452" spans="1:24">
      <c r="A6452">
        <f>HYPERLINK("https://www.philgeps.gov.ph/GEPSNONPILOT/Tender/SplashBidNoticeAbstractUI.aspx?menuIndex=3&amp;refID=7060899&amp;Result=3","7060899")</f>
        <v>0</v>
      </c>
      <c r="B6452" t="s">
        <v>1775</v>
      </c>
      <c r="C6452" t="s">
        <v>9660</v>
      </c>
      <c r="D6452" t="s">
        <v>18792</v>
      </c>
      <c r="E6452" t="s">
        <v>24603</v>
      </c>
      <c r="F6452" t="s">
        <v>32664</v>
      </c>
      <c r="G6452" t="s">
        <v>32671</v>
      </c>
      <c r="H6452" t="s">
        <v>12635</v>
      </c>
      <c r="I6452" t="s">
        <v>32706</v>
      </c>
      <c r="J6452" t="s">
        <v>36834</v>
      </c>
      <c r="K6452" t="s">
        <v>42297</v>
      </c>
      <c r="L6452" t="s">
        <v>1775</v>
      </c>
      <c r="M6452" t="s">
        <v>44477</v>
      </c>
      <c r="N6452" t="s">
        <v>46569</v>
      </c>
      <c r="O6452" t="s">
        <v>46570</v>
      </c>
      <c r="P6452">
        <v>0</v>
      </c>
      <c r="Q6452">
        <v>0</v>
      </c>
      <c r="R6452" t="s">
        <v>46573</v>
      </c>
      <c r="S6452" t="s">
        <v>46705</v>
      </c>
      <c r="T6452" t="s">
        <v>48376</v>
      </c>
      <c r="U6452" t="s">
        <v>50281</v>
      </c>
      <c r="W6452" t="s">
        <v>44477</v>
      </c>
      <c r="X6452" t="s">
        <v>46574</v>
      </c>
    </row>
    <row r="6453" spans="1:24">
      <c r="A6453">
        <f>HYPERLINK("https://www.philgeps.gov.ph/GEPSNONPILOT/Tender/SplashBidNoticeAbstractUI.aspx?menuIndex=3&amp;refID=7060907&amp;Result=3","7060907")</f>
        <v>0</v>
      </c>
      <c r="B6453" t="s">
        <v>655</v>
      </c>
      <c r="C6453" t="s">
        <v>9661</v>
      </c>
      <c r="D6453" t="s">
        <v>18858</v>
      </c>
      <c r="E6453" t="s">
        <v>24604</v>
      </c>
      <c r="F6453" t="s">
        <v>32664</v>
      </c>
      <c r="G6453" t="s">
        <v>32671</v>
      </c>
      <c r="H6453" t="s">
        <v>32683</v>
      </c>
      <c r="I6453" t="s">
        <v>10627</v>
      </c>
      <c r="J6453" t="s">
        <v>36835</v>
      </c>
      <c r="K6453" t="s">
        <v>42289</v>
      </c>
      <c r="M6453" t="s">
        <v>43242</v>
      </c>
      <c r="N6453" t="s">
        <v>46569</v>
      </c>
      <c r="O6453" t="s">
        <v>46570</v>
      </c>
      <c r="P6453">
        <v>0</v>
      </c>
      <c r="Q6453">
        <v>0</v>
      </c>
      <c r="R6453" t="s">
        <v>46573</v>
      </c>
      <c r="S6453" t="s">
        <v>46705</v>
      </c>
      <c r="T6453" t="s">
        <v>48254</v>
      </c>
      <c r="U6453" t="s">
        <v>54136</v>
      </c>
      <c r="W6453" t="s">
        <v>43242</v>
      </c>
      <c r="X6453" t="s">
        <v>46574</v>
      </c>
    </row>
    <row r="6454" spans="1:24">
      <c r="A6454">
        <f>HYPERLINK("https://www.philgeps.gov.ph/GEPSNONPILOT/Tender/SplashBidNoticeAbstractUI.aspx?menuIndex=3&amp;refID=7060898&amp;Result=3","7060898")</f>
        <v>0</v>
      </c>
      <c r="B6454" t="s">
        <v>1763</v>
      </c>
      <c r="C6454" t="s">
        <v>5075</v>
      </c>
      <c r="D6454" t="s">
        <v>18826</v>
      </c>
      <c r="E6454" t="s">
        <v>24605</v>
      </c>
      <c r="F6454" t="s">
        <v>32664</v>
      </c>
      <c r="G6454" t="s">
        <v>32671</v>
      </c>
      <c r="H6454" t="s">
        <v>12635</v>
      </c>
      <c r="I6454" t="s">
        <v>6628</v>
      </c>
      <c r="J6454" t="s">
        <v>36836</v>
      </c>
      <c r="K6454" t="s">
        <v>42289</v>
      </c>
      <c r="M6454" t="s">
        <v>44464</v>
      </c>
      <c r="N6454" t="s">
        <v>46569</v>
      </c>
      <c r="O6454" t="s">
        <v>46570</v>
      </c>
      <c r="P6454">
        <v>0</v>
      </c>
      <c r="Q6454">
        <v>0</v>
      </c>
      <c r="R6454" t="s">
        <v>46573</v>
      </c>
      <c r="S6454" t="s">
        <v>46705</v>
      </c>
      <c r="T6454" t="s">
        <v>48410</v>
      </c>
      <c r="U6454" t="s">
        <v>54137</v>
      </c>
      <c r="W6454" t="s">
        <v>44464</v>
      </c>
      <c r="X6454" t="s">
        <v>46574</v>
      </c>
    </row>
    <row r="6455" spans="1:24">
      <c r="A6455">
        <f>HYPERLINK("https://www.philgeps.gov.ph/GEPSNONPILOT/Tender/SplashBidNoticeAbstractUI.aspx?menuIndex=3&amp;refID=7060902&amp;Result=3","7060902")</f>
        <v>0</v>
      </c>
      <c r="B6455" t="s">
        <v>2053</v>
      </c>
      <c r="C6455" t="s">
        <v>9662</v>
      </c>
      <c r="D6455" t="s">
        <v>18834</v>
      </c>
      <c r="E6455" t="s">
        <v>21667</v>
      </c>
      <c r="F6455" t="s">
        <v>32665</v>
      </c>
      <c r="G6455" t="s">
        <v>32674</v>
      </c>
      <c r="H6455" t="s">
        <v>12635</v>
      </c>
      <c r="I6455" t="s">
        <v>6223</v>
      </c>
      <c r="J6455" t="s">
        <v>36837</v>
      </c>
      <c r="K6455" t="s">
        <v>42283</v>
      </c>
      <c r="M6455" t="s">
        <v>44803</v>
      </c>
      <c r="N6455" t="s">
        <v>46569</v>
      </c>
      <c r="O6455" t="s">
        <v>46570</v>
      </c>
      <c r="P6455">
        <v>0</v>
      </c>
      <c r="Q6455">
        <v>2</v>
      </c>
      <c r="R6455" t="s">
        <v>46573</v>
      </c>
      <c r="S6455" t="s">
        <v>46705</v>
      </c>
      <c r="T6455" t="s">
        <v>48305</v>
      </c>
      <c r="U6455" t="s">
        <v>54138</v>
      </c>
      <c r="W6455" t="s">
        <v>44803</v>
      </c>
      <c r="X6455" t="s">
        <v>46574</v>
      </c>
    </row>
    <row r="6456" spans="1:24">
      <c r="A6456">
        <f>HYPERLINK("https://www.philgeps.gov.ph/GEPSNONPILOT/Tender/SplashBidNoticeAbstractUI.aspx?menuIndex=3&amp;refID=7060894&amp;Result=3","7060894")</f>
        <v>0</v>
      </c>
      <c r="B6456" t="s">
        <v>594</v>
      </c>
      <c r="C6456" t="s">
        <v>9663</v>
      </c>
      <c r="D6456" t="s">
        <v>18784</v>
      </c>
      <c r="E6456" t="s">
        <v>24606</v>
      </c>
      <c r="F6456" t="s">
        <v>32664</v>
      </c>
      <c r="G6456" t="s">
        <v>32674</v>
      </c>
      <c r="H6456" t="s">
        <v>12635</v>
      </c>
      <c r="I6456" t="s">
        <v>32758</v>
      </c>
      <c r="J6456" t="s">
        <v>35901</v>
      </c>
      <c r="K6456" t="s">
        <v>42297</v>
      </c>
      <c r="M6456" t="s">
        <v>43793</v>
      </c>
      <c r="N6456" t="s">
        <v>46569</v>
      </c>
      <c r="O6456" t="s">
        <v>46570</v>
      </c>
      <c r="P6456">
        <v>0</v>
      </c>
      <c r="Q6456">
        <v>1</v>
      </c>
      <c r="R6456" t="s">
        <v>46573</v>
      </c>
      <c r="S6456" t="s">
        <v>46705</v>
      </c>
      <c r="T6456" t="s">
        <v>48551</v>
      </c>
      <c r="U6456" t="s">
        <v>51595</v>
      </c>
      <c r="V6456" t="s">
        <v>61909</v>
      </c>
      <c r="W6456" t="s">
        <v>43793</v>
      </c>
      <c r="X6456" t="s">
        <v>46574</v>
      </c>
    </row>
    <row r="6457" spans="1:24">
      <c r="A6457">
        <f>HYPERLINK("https://www.philgeps.gov.ph/GEPSNONPILOT/Tender/SplashBidNoticeAbstractUI.aspx?menuIndex=3&amp;refID=7060893&amp;Result=3","7060893")</f>
        <v>0</v>
      </c>
      <c r="B6457" t="s">
        <v>525</v>
      </c>
      <c r="C6457" t="s">
        <v>9664</v>
      </c>
      <c r="E6457" t="s">
        <v>24607</v>
      </c>
      <c r="F6457" t="s">
        <v>32664</v>
      </c>
      <c r="G6457" t="s">
        <v>32671</v>
      </c>
      <c r="H6457" t="s">
        <v>12635</v>
      </c>
      <c r="I6457" t="s">
        <v>4205</v>
      </c>
      <c r="J6457" t="s">
        <v>36838</v>
      </c>
      <c r="K6457" t="s">
        <v>42283</v>
      </c>
      <c r="M6457" t="s">
        <v>43102</v>
      </c>
      <c r="N6457" t="s">
        <v>46569</v>
      </c>
      <c r="O6457" t="s">
        <v>46570</v>
      </c>
      <c r="P6457">
        <v>0</v>
      </c>
      <c r="Q6457">
        <v>0</v>
      </c>
      <c r="R6457" t="s">
        <v>46573</v>
      </c>
      <c r="S6457" t="s">
        <v>46705</v>
      </c>
      <c r="T6457" t="s">
        <v>48307</v>
      </c>
      <c r="U6457" t="s">
        <v>54139</v>
      </c>
      <c r="W6457" t="s">
        <v>43102</v>
      </c>
      <c r="X6457" t="s">
        <v>46574</v>
      </c>
    </row>
    <row r="6458" spans="1:24">
      <c r="A6458">
        <f>HYPERLINK("https://www.philgeps.gov.ph/GEPSNONPILOT/Tender/SplashBidNoticeAbstractUI.aspx?menuIndex=3&amp;refID=7060900&amp;Result=3","7060900")</f>
        <v>0</v>
      </c>
      <c r="B6458" t="s">
        <v>822</v>
      </c>
      <c r="C6458" t="s">
        <v>9665</v>
      </c>
      <c r="E6458" t="s">
        <v>24608</v>
      </c>
      <c r="F6458" t="s">
        <v>32664</v>
      </c>
      <c r="G6458" t="s">
        <v>32672</v>
      </c>
      <c r="H6458" t="s">
        <v>12635</v>
      </c>
      <c r="I6458" t="s">
        <v>9486</v>
      </c>
      <c r="J6458" t="s">
        <v>36839</v>
      </c>
      <c r="K6458" t="s">
        <v>42283</v>
      </c>
      <c r="M6458" t="s">
        <v>44836</v>
      </c>
      <c r="N6458" t="s">
        <v>46569</v>
      </c>
      <c r="O6458" t="s">
        <v>46570</v>
      </c>
      <c r="P6458">
        <v>0</v>
      </c>
      <c r="Q6458">
        <v>2</v>
      </c>
      <c r="R6458" t="s">
        <v>46573</v>
      </c>
      <c r="S6458" t="s">
        <v>46705</v>
      </c>
      <c r="T6458" t="s">
        <v>48467</v>
      </c>
      <c r="U6458" t="s">
        <v>54140</v>
      </c>
      <c r="W6458" t="s">
        <v>44836</v>
      </c>
      <c r="X6458" t="s">
        <v>46574</v>
      </c>
    </row>
    <row r="6459" spans="1:24">
      <c r="A6459">
        <f>HYPERLINK("https://www.philgeps.gov.ph/GEPSNONPILOT/Tender/SplashBidNoticeAbstractUI.aspx?menuIndex=3&amp;refID=7060916&amp;Result=3","7060916")</f>
        <v>0</v>
      </c>
      <c r="B6459" t="s">
        <v>2082</v>
      </c>
      <c r="C6459" t="s">
        <v>9666</v>
      </c>
      <c r="D6459" t="s">
        <v>18799</v>
      </c>
      <c r="E6459" t="s">
        <v>24609</v>
      </c>
      <c r="F6459" t="s">
        <v>32664</v>
      </c>
      <c r="G6459" t="s">
        <v>32672</v>
      </c>
      <c r="H6459" t="s">
        <v>12635</v>
      </c>
      <c r="I6459" t="s">
        <v>4439</v>
      </c>
      <c r="J6459" t="s">
        <v>36840</v>
      </c>
      <c r="K6459" t="s">
        <v>42281</v>
      </c>
      <c r="L6459" t="s">
        <v>2082</v>
      </c>
      <c r="M6459" t="s">
        <v>44834</v>
      </c>
      <c r="N6459" t="s">
        <v>46569</v>
      </c>
      <c r="O6459" t="s">
        <v>46570</v>
      </c>
      <c r="P6459">
        <v>0</v>
      </c>
      <c r="Q6459">
        <v>0</v>
      </c>
      <c r="R6459" t="s">
        <v>46573</v>
      </c>
      <c r="S6459" t="s">
        <v>46705</v>
      </c>
      <c r="T6459" t="s">
        <v>48579</v>
      </c>
      <c r="U6459" t="s">
        <v>54141</v>
      </c>
      <c r="W6459" t="s">
        <v>44834</v>
      </c>
      <c r="X6459" t="s">
        <v>46574</v>
      </c>
    </row>
    <row r="6460" spans="1:24">
      <c r="A6460">
        <f>HYPERLINK("https://www.philgeps.gov.ph/GEPSNONPILOT/Tender/SplashBidNoticeAbstractUI.aspx?menuIndex=3&amp;refID=7060933&amp;Result=3","7060933")</f>
        <v>0</v>
      </c>
      <c r="B6460" t="s">
        <v>1906</v>
      </c>
      <c r="C6460" t="s">
        <v>8730</v>
      </c>
      <c r="D6460" t="s">
        <v>18783</v>
      </c>
      <c r="E6460" t="s">
        <v>24610</v>
      </c>
      <c r="F6460" t="s">
        <v>32664</v>
      </c>
      <c r="G6460" t="s">
        <v>32671</v>
      </c>
      <c r="H6460" t="s">
        <v>12635</v>
      </c>
      <c r="I6460" t="s">
        <v>8730</v>
      </c>
      <c r="J6460" t="s">
        <v>36841</v>
      </c>
      <c r="K6460" t="s">
        <v>42295</v>
      </c>
      <c r="M6460" t="s">
        <v>44627</v>
      </c>
      <c r="N6460" t="s">
        <v>46569</v>
      </c>
      <c r="O6460" t="s">
        <v>46570</v>
      </c>
      <c r="P6460">
        <v>0</v>
      </c>
      <c r="Q6460">
        <v>0</v>
      </c>
      <c r="R6460" t="s">
        <v>46573</v>
      </c>
      <c r="S6460" t="s">
        <v>46705</v>
      </c>
      <c r="T6460" t="s">
        <v>48307</v>
      </c>
      <c r="U6460" t="s">
        <v>54142</v>
      </c>
      <c r="V6460" t="s">
        <v>62216</v>
      </c>
      <c r="W6460" t="s">
        <v>44627</v>
      </c>
      <c r="X6460" t="s">
        <v>46574</v>
      </c>
    </row>
    <row r="6461" spans="1:24">
      <c r="A6461">
        <f>HYPERLINK("https://www.philgeps.gov.ph/GEPSNONPILOT/Tender/SplashBidNoticeAbstractUI.aspx?menuIndex=3&amp;refID=7060906&amp;Result=3","7060906")</f>
        <v>0</v>
      </c>
      <c r="B6461" t="s">
        <v>796</v>
      </c>
      <c r="C6461" t="s">
        <v>9667</v>
      </c>
      <c r="D6461" t="s">
        <v>18801</v>
      </c>
      <c r="E6461" t="s">
        <v>24611</v>
      </c>
      <c r="F6461" t="s">
        <v>32664</v>
      </c>
      <c r="G6461" t="s">
        <v>32672</v>
      </c>
      <c r="H6461" t="s">
        <v>32683</v>
      </c>
      <c r="I6461" t="s">
        <v>10627</v>
      </c>
      <c r="J6461" t="s">
        <v>34379</v>
      </c>
      <c r="K6461" t="s">
        <v>42369</v>
      </c>
      <c r="M6461" t="s">
        <v>43388</v>
      </c>
      <c r="N6461" t="s">
        <v>46569</v>
      </c>
      <c r="O6461" t="s">
        <v>46570</v>
      </c>
      <c r="P6461">
        <v>0</v>
      </c>
      <c r="Q6461">
        <v>3</v>
      </c>
      <c r="R6461" t="s">
        <v>46573</v>
      </c>
      <c r="S6461" t="s">
        <v>46705</v>
      </c>
      <c r="T6461" t="s">
        <v>48220</v>
      </c>
      <c r="U6461" t="s">
        <v>54125</v>
      </c>
      <c r="W6461" t="s">
        <v>63490</v>
      </c>
      <c r="X6461" t="s">
        <v>46574</v>
      </c>
    </row>
    <row r="6462" spans="1:24">
      <c r="A6462">
        <f>HYPERLINK("https://www.philgeps.gov.ph/GEPSNONPILOT/Tender/SplashBidNoticeAbstractUI.aspx?menuIndex=3&amp;refID=7060896&amp;Result=3","7060896")</f>
        <v>0</v>
      </c>
      <c r="B6462" t="s">
        <v>562</v>
      </c>
      <c r="C6462" t="s">
        <v>9602</v>
      </c>
      <c r="D6462" t="s">
        <v>18781</v>
      </c>
      <c r="E6462" t="s">
        <v>24612</v>
      </c>
      <c r="F6462" t="s">
        <v>32664</v>
      </c>
      <c r="G6462" t="s">
        <v>32672</v>
      </c>
      <c r="H6462" t="s">
        <v>12635</v>
      </c>
      <c r="I6462" t="s">
        <v>10590</v>
      </c>
      <c r="J6462" t="s">
        <v>36803</v>
      </c>
      <c r="K6462" t="s">
        <v>42283</v>
      </c>
      <c r="M6462" t="s">
        <v>44795</v>
      </c>
      <c r="N6462" t="s">
        <v>46569</v>
      </c>
      <c r="O6462" t="s">
        <v>46570</v>
      </c>
      <c r="P6462">
        <v>0</v>
      </c>
      <c r="Q6462">
        <v>0</v>
      </c>
      <c r="R6462" t="s">
        <v>46573</v>
      </c>
      <c r="S6462" t="s">
        <v>46705</v>
      </c>
      <c r="T6462" t="s">
        <v>48311</v>
      </c>
      <c r="U6462" t="s">
        <v>54143</v>
      </c>
      <c r="W6462" t="s">
        <v>44795</v>
      </c>
      <c r="X6462" t="s">
        <v>46574</v>
      </c>
    </row>
    <row r="6463" spans="1:24">
      <c r="A6463">
        <f>HYPERLINK("https://www.philgeps.gov.ph/GEPSNONPILOT/Tender/SplashBidNoticeAbstractUI.aspx?menuIndex=3&amp;refID=7060895&amp;Result=3","7060895")</f>
        <v>0</v>
      </c>
      <c r="B6463" t="s">
        <v>783</v>
      </c>
      <c r="C6463" t="s">
        <v>9668</v>
      </c>
      <c r="D6463" t="s">
        <v>18826</v>
      </c>
      <c r="E6463" t="s">
        <v>24613</v>
      </c>
      <c r="F6463" t="s">
        <v>32664</v>
      </c>
      <c r="G6463" t="s">
        <v>32671</v>
      </c>
      <c r="H6463" t="s">
        <v>12635</v>
      </c>
      <c r="I6463" t="s">
        <v>32685</v>
      </c>
      <c r="J6463" t="s">
        <v>36842</v>
      </c>
      <c r="K6463" t="s">
        <v>42283</v>
      </c>
      <c r="M6463" t="s">
        <v>43375</v>
      </c>
      <c r="N6463" t="s">
        <v>46569</v>
      </c>
      <c r="O6463" t="s">
        <v>46570</v>
      </c>
      <c r="P6463">
        <v>0</v>
      </c>
      <c r="Q6463">
        <v>0</v>
      </c>
      <c r="R6463" t="s">
        <v>46573</v>
      </c>
      <c r="S6463" t="s">
        <v>46705</v>
      </c>
      <c r="T6463" t="s">
        <v>48316</v>
      </c>
      <c r="U6463" t="s">
        <v>54144</v>
      </c>
      <c r="W6463" t="s">
        <v>43375</v>
      </c>
      <c r="X6463" t="s">
        <v>46574</v>
      </c>
    </row>
    <row r="6464" spans="1:24">
      <c r="A6464">
        <f>HYPERLINK("https://www.philgeps.gov.ph/GEPSNONPILOT/Tender/SplashBidNoticeAbstractUI.aspx?menuIndex=3&amp;refID=7060934&amp;Result=3","7060934")</f>
        <v>0</v>
      </c>
      <c r="B6464" t="s">
        <v>142</v>
      </c>
      <c r="C6464" t="s">
        <v>9669</v>
      </c>
      <c r="D6464" t="s">
        <v>18784</v>
      </c>
      <c r="E6464" t="s">
        <v>19146</v>
      </c>
      <c r="F6464" t="s">
        <v>32664</v>
      </c>
      <c r="G6464" t="s">
        <v>32671</v>
      </c>
      <c r="H6464" t="s">
        <v>12635</v>
      </c>
      <c r="I6464" t="s">
        <v>32761</v>
      </c>
      <c r="J6464" t="s">
        <v>36843</v>
      </c>
      <c r="K6464" t="s">
        <v>42281</v>
      </c>
      <c r="M6464" t="s">
        <v>42706</v>
      </c>
      <c r="N6464" t="s">
        <v>46569</v>
      </c>
      <c r="O6464" t="s">
        <v>46570</v>
      </c>
      <c r="P6464">
        <v>0</v>
      </c>
      <c r="Q6464">
        <v>1</v>
      </c>
      <c r="R6464" t="s">
        <v>46573</v>
      </c>
      <c r="S6464" t="s">
        <v>46705</v>
      </c>
      <c r="T6464" t="s">
        <v>48254</v>
      </c>
      <c r="U6464" t="s">
        <v>54145</v>
      </c>
      <c r="W6464" t="s">
        <v>42706</v>
      </c>
      <c r="X6464" t="s">
        <v>46574</v>
      </c>
    </row>
    <row r="6465" spans="1:24">
      <c r="A6465">
        <f>HYPERLINK("https://www.philgeps.gov.ph/GEPSNONPILOT/Tender/SplashBidNoticeAbstractUI.aspx?menuIndex=3&amp;refID=7060897&amp;Result=3","7060897")</f>
        <v>0</v>
      </c>
      <c r="B6465" t="s">
        <v>2084</v>
      </c>
      <c r="C6465" t="s">
        <v>9670</v>
      </c>
      <c r="D6465" t="s">
        <v>18781</v>
      </c>
      <c r="E6465" t="s">
        <v>24614</v>
      </c>
      <c r="F6465" t="s">
        <v>32664</v>
      </c>
      <c r="G6465" t="s">
        <v>32671</v>
      </c>
      <c r="H6465" t="s">
        <v>12635</v>
      </c>
      <c r="I6465" t="s">
        <v>32758</v>
      </c>
      <c r="J6465" t="s">
        <v>36844</v>
      </c>
      <c r="K6465" t="s">
        <v>42303</v>
      </c>
      <c r="M6465" t="s">
        <v>44837</v>
      </c>
      <c r="N6465" t="s">
        <v>46569</v>
      </c>
      <c r="O6465" t="s">
        <v>46570</v>
      </c>
      <c r="P6465">
        <v>0</v>
      </c>
      <c r="Q6465">
        <v>0</v>
      </c>
      <c r="R6465" t="s">
        <v>46573</v>
      </c>
      <c r="S6465" t="s">
        <v>46705</v>
      </c>
      <c r="T6465" t="s">
        <v>48301</v>
      </c>
      <c r="U6465" t="s">
        <v>54146</v>
      </c>
      <c r="W6465" t="s">
        <v>44837</v>
      </c>
      <c r="X6465" t="s">
        <v>46574</v>
      </c>
    </row>
    <row r="6466" spans="1:24">
      <c r="A6466">
        <f>HYPERLINK("https://www.philgeps.gov.ph/GEPSNONPILOT/Tender/SplashBidNoticeAbstractUI.aspx?menuIndex=3&amp;refID=7060939&amp;Result=3","7060939")</f>
        <v>0</v>
      </c>
      <c r="B6466" t="s">
        <v>1998</v>
      </c>
      <c r="C6466" t="s">
        <v>9671</v>
      </c>
      <c r="D6466" t="s">
        <v>18817</v>
      </c>
      <c r="E6466" t="s">
        <v>24615</v>
      </c>
      <c r="F6466" t="s">
        <v>32664</v>
      </c>
      <c r="G6466" t="s">
        <v>32671</v>
      </c>
      <c r="H6466" t="s">
        <v>12635</v>
      </c>
      <c r="I6466" t="s">
        <v>6168</v>
      </c>
      <c r="J6466" t="s">
        <v>33337</v>
      </c>
      <c r="K6466" t="s">
        <v>42306</v>
      </c>
      <c r="M6466" t="s">
        <v>44735</v>
      </c>
      <c r="N6466" t="s">
        <v>46569</v>
      </c>
      <c r="O6466" t="s">
        <v>46570</v>
      </c>
      <c r="P6466">
        <v>0</v>
      </c>
      <c r="Q6466">
        <v>1</v>
      </c>
      <c r="R6466" t="s">
        <v>46573</v>
      </c>
      <c r="S6466" t="s">
        <v>46705</v>
      </c>
      <c r="T6466" t="s">
        <v>48450</v>
      </c>
      <c r="U6466" t="s">
        <v>54147</v>
      </c>
      <c r="W6466" t="s">
        <v>44735</v>
      </c>
      <c r="X6466" t="s">
        <v>46574</v>
      </c>
    </row>
    <row r="6467" spans="1:24">
      <c r="A6467">
        <f>HYPERLINK("https://www.philgeps.gov.ph/GEPSNONPILOT/Tender/SplashBidNoticeAbstractUI.aspx?menuIndex=3&amp;refID=7060931&amp;Result=3","7060931")</f>
        <v>0</v>
      </c>
      <c r="B6467" t="s">
        <v>594</v>
      </c>
      <c r="C6467" t="s">
        <v>9672</v>
      </c>
      <c r="D6467" t="s">
        <v>18784</v>
      </c>
      <c r="E6467" t="s">
        <v>24616</v>
      </c>
      <c r="F6467" t="s">
        <v>32664</v>
      </c>
      <c r="G6467" t="s">
        <v>32674</v>
      </c>
      <c r="H6467" t="s">
        <v>12635</v>
      </c>
      <c r="I6467" t="s">
        <v>9486</v>
      </c>
      <c r="J6467" t="s">
        <v>36845</v>
      </c>
      <c r="K6467" t="s">
        <v>42297</v>
      </c>
      <c r="M6467" t="s">
        <v>43721</v>
      </c>
      <c r="N6467" t="s">
        <v>46569</v>
      </c>
      <c r="O6467" t="s">
        <v>46570</v>
      </c>
      <c r="P6467">
        <v>0</v>
      </c>
      <c r="Q6467">
        <v>3</v>
      </c>
      <c r="R6467" t="s">
        <v>46573</v>
      </c>
      <c r="S6467" t="s">
        <v>46705</v>
      </c>
      <c r="T6467" t="s">
        <v>48551</v>
      </c>
      <c r="U6467" t="s">
        <v>54148</v>
      </c>
      <c r="V6467" t="s">
        <v>62115</v>
      </c>
      <c r="W6467" t="s">
        <v>43721</v>
      </c>
      <c r="X6467" t="s">
        <v>46574</v>
      </c>
    </row>
    <row r="6468" spans="1:24">
      <c r="A6468">
        <f>HYPERLINK("https://www.philgeps.gov.ph/GEPSNONPILOT/Tender/SplashBidNoticeAbstractUI.aspx?menuIndex=3&amp;refID=7060929&amp;Result=3","7060929")</f>
        <v>0</v>
      </c>
      <c r="B6468" t="s">
        <v>1247</v>
      </c>
      <c r="C6468" t="s">
        <v>9673</v>
      </c>
      <c r="D6468" t="s">
        <v>18802</v>
      </c>
      <c r="E6468" t="s">
        <v>24617</v>
      </c>
      <c r="F6468" t="s">
        <v>32664</v>
      </c>
      <c r="G6468" t="s">
        <v>32671</v>
      </c>
      <c r="H6468" t="s">
        <v>12635</v>
      </c>
      <c r="I6468" t="s">
        <v>32687</v>
      </c>
      <c r="J6468" t="s">
        <v>36846</v>
      </c>
      <c r="K6468" t="s">
        <v>42297</v>
      </c>
      <c r="M6468" t="s">
        <v>43889</v>
      </c>
      <c r="N6468" t="s">
        <v>46569</v>
      </c>
      <c r="O6468" t="s">
        <v>46570</v>
      </c>
      <c r="P6468">
        <v>0</v>
      </c>
      <c r="Q6468">
        <v>0</v>
      </c>
      <c r="R6468" t="s">
        <v>46573</v>
      </c>
      <c r="S6468" t="s">
        <v>46705</v>
      </c>
      <c r="T6468" t="s">
        <v>48254</v>
      </c>
      <c r="U6468" t="s">
        <v>51438</v>
      </c>
      <c r="W6468" t="s">
        <v>43889</v>
      </c>
      <c r="X6468" t="s">
        <v>46574</v>
      </c>
    </row>
    <row r="6469" spans="1:24">
      <c r="A6469">
        <f>HYPERLINK("https://www.philgeps.gov.ph/GEPSNONPILOT/Tender/SplashBidNoticeAbstractUI.aspx?menuIndex=3&amp;refID=7060935&amp;Result=3","7060935")</f>
        <v>0</v>
      </c>
      <c r="B6469" t="s">
        <v>594</v>
      </c>
      <c r="C6469" t="s">
        <v>9674</v>
      </c>
      <c r="D6469" t="s">
        <v>18784</v>
      </c>
      <c r="E6469" t="s">
        <v>24618</v>
      </c>
      <c r="F6469" t="s">
        <v>32664</v>
      </c>
      <c r="G6469" t="s">
        <v>32674</v>
      </c>
      <c r="H6469" t="s">
        <v>12635</v>
      </c>
      <c r="I6469" t="s">
        <v>32758</v>
      </c>
      <c r="J6469" t="s">
        <v>33114</v>
      </c>
      <c r="K6469" t="s">
        <v>42297</v>
      </c>
      <c r="M6469" t="s">
        <v>43793</v>
      </c>
      <c r="N6469" t="s">
        <v>46569</v>
      </c>
      <c r="O6469" t="s">
        <v>46570</v>
      </c>
      <c r="P6469">
        <v>0</v>
      </c>
      <c r="Q6469">
        <v>0</v>
      </c>
      <c r="R6469" t="s">
        <v>46573</v>
      </c>
      <c r="S6469" t="s">
        <v>46705</v>
      </c>
      <c r="T6469" t="s">
        <v>48551</v>
      </c>
      <c r="U6469" t="s">
        <v>51591</v>
      </c>
      <c r="V6469" t="s">
        <v>61909</v>
      </c>
      <c r="W6469" t="s">
        <v>43793</v>
      </c>
      <c r="X6469" t="s">
        <v>46574</v>
      </c>
    </row>
    <row r="6470" spans="1:24">
      <c r="A6470">
        <f>HYPERLINK("https://www.philgeps.gov.ph/GEPSNONPILOT/Tender/SplashBidNoticeAbstractUI.aspx?menuIndex=3&amp;refID=7060876&amp;Result=3","7060876")</f>
        <v>0</v>
      </c>
      <c r="B6470" t="s">
        <v>798</v>
      </c>
      <c r="C6470" t="s">
        <v>9675</v>
      </c>
      <c r="D6470" t="s">
        <v>18830</v>
      </c>
      <c r="E6470" t="s">
        <v>24619</v>
      </c>
      <c r="F6470" t="s">
        <v>32664</v>
      </c>
      <c r="G6470" t="s">
        <v>32674</v>
      </c>
      <c r="H6470" t="s">
        <v>12635</v>
      </c>
      <c r="I6470" t="s">
        <v>4205</v>
      </c>
      <c r="J6470" t="s">
        <v>36847</v>
      </c>
      <c r="K6470" t="s">
        <v>42281</v>
      </c>
      <c r="M6470" t="s">
        <v>43390</v>
      </c>
      <c r="N6470" t="s">
        <v>46569</v>
      </c>
      <c r="O6470" t="s">
        <v>46570</v>
      </c>
      <c r="P6470">
        <v>0</v>
      </c>
      <c r="Q6470">
        <v>2</v>
      </c>
      <c r="R6470" t="s">
        <v>46573</v>
      </c>
      <c r="S6470" t="s">
        <v>46705</v>
      </c>
      <c r="T6470" t="s">
        <v>48307</v>
      </c>
      <c r="U6470" t="s">
        <v>54129</v>
      </c>
      <c r="V6470" t="s">
        <v>62272</v>
      </c>
      <c r="W6470" t="s">
        <v>43390</v>
      </c>
      <c r="X6470" t="s">
        <v>46574</v>
      </c>
    </row>
    <row r="6471" spans="1:24">
      <c r="A6471">
        <f>HYPERLINK("https://www.philgeps.gov.ph/GEPSNONPILOT/Tender/SplashBidNoticeAbstractUI.aspx?menuIndex=3&amp;refID=7060927&amp;Result=3","7060927")</f>
        <v>0</v>
      </c>
      <c r="B6471" t="s">
        <v>798</v>
      </c>
      <c r="C6471" t="s">
        <v>9676</v>
      </c>
      <c r="D6471" t="s">
        <v>18830</v>
      </c>
      <c r="E6471" t="s">
        <v>22208</v>
      </c>
      <c r="F6471" t="s">
        <v>32664</v>
      </c>
      <c r="G6471" t="s">
        <v>32674</v>
      </c>
      <c r="H6471" t="s">
        <v>12635</v>
      </c>
      <c r="I6471" t="s">
        <v>6168</v>
      </c>
      <c r="J6471" t="s">
        <v>34497</v>
      </c>
      <c r="K6471" t="s">
        <v>42281</v>
      </c>
      <c r="M6471" t="s">
        <v>43390</v>
      </c>
      <c r="N6471" t="s">
        <v>46569</v>
      </c>
      <c r="O6471" t="s">
        <v>46570</v>
      </c>
      <c r="P6471">
        <v>0</v>
      </c>
      <c r="Q6471">
        <v>2</v>
      </c>
      <c r="R6471" t="s">
        <v>46573</v>
      </c>
      <c r="S6471" t="s">
        <v>46705</v>
      </c>
      <c r="T6471" t="s">
        <v>48307</v>
      </c>
      <c r="U6471" t="s">
        <v>54129</v>
      </c>
      <c r="W6471" t="s">
        <v>43390</v>
      </c>
      <c r="X6471" t="s">
        <v>46574</v>
      </c>
    </row>
    <row r="6472" spans="1:24">
      <c r="A6472">
        <f>HYPERLINK("https://www.philgeps.gov.ph/GEPSNONPILOT/Tender/SplashBidNoticeAbstractUI.aspx?menuIndex=3&amp;refID=7060924&amp;Result=3","7060924")</f>
        <v>0</v>
      </c>
      <c r="B6472" t="s">
        <v>796</v>
      </c>
      <c r="C6472" t="s">
        <v>9677</v>
      </c>
      <c r="D6472" t="s">
        <v>18801</v>
      </c>
      <c r="E6472" t="s">
        <v>24620</v>
      </c>
      <c r="F6472" t="s">
        <v>32664</v>
      </c>
      <c r="G6472" t="s">
        <v>32672</v>
      </c>
      <c r="H6472" t="s">
        <v>32683</v>
      </c>
      <c r="I6472" t="s">
        <v>10627</v>
      </c>
      <c r="J6472" t="s">
        <v>36848</v>
      </c>
      <c r="K6472" t="s">
        <v>42298</v>
      </c>
      <c r="M6472" t="s">
        <v>43388</v>
      </c>
      <c r="N6472" t="s">
        <v>46569</v>
      </c>
      <c r="O6472" t="s">
        <v>46570</v>
      </c>
      <c r="P6472">
        <v>0</v>
      </c>
      <c r="Q6472">
        <v>3</v>
      </c>
      <c r="R6472" t="s">
        <v>46573</v>
      </c>
      <c r="S6472" t="s">
        <v>46705</v>
      </c>
      <c r="T6472" t="s">
        <v>48220</v>
      </c>
      <c r="U6472" t="s">
        <v>54125</v>
      </c>
      <c r="W6472" t="s">
        <v>63490</v>
      </c>
      <c r="X6472" t="s">
        <v>46574</v>
      </c>
    </row>
    <row r="6473" spans="1:24">
      <c r="A6473">
        <f>HYPERLINK("https://www.philgeps.gov.ph/GEPSNONPILOT/Tender/SplashBidNoticeAbstractUI.aspx?menuIndex=3&amp;refID=7060930&amp;Result=3","7060930")</f>
        <v>0</v>
      </c>
      <c r="B6473" t="s">
        <v>166</v>
      </c>
      <c r="C6473" t="s">
        <v>9678</v>
      </c>
      <c r="D6473" t="s">
        <v>18792</v>
      </c>
      <c r="E6473" t="s">
        <v>24621</v>
      </c>
      <c r="F6473" t="s">
        <v>32664</v>
      </c>
      <c r="G6473" t="s">
        <v>32672</v>
      </c>
      <c r="H6473" t="s">
        <v>12635</v>
      </c>
      <c r="I6473" t="s">
        <v>6223</v>
      </c>
      <c r="J6473" t="s">
        <v>33021</v>
      </c>
      <c r="K6473" t="s">
        <v>42283</v>
      </c>
      <c r="M6473" t="s">
        <v>42730</v>
      </c>
      <c r="N6473" t="s">
        <v>46569</v>
      </c>
      <c r="O6473" t="s">
        <v>46570</v>
      </c>
      <c r="P6473">
        <v>0</v>
      </c>
      <c r="Q6473">
        <v>1</v>
      </c>
      <c r="R6473" t="s">
        <v>46573</v>
      </c>
      <c r="S6473" t="s">
        <v>46705</v>
      </c>
      <c r="T6473" t="s">
        <v>48284</v>
      </c>
      <c r="U6473" t="s">
        <v>54149</v>
      </c>
      <c r="W6473" t="s">
        <v>42730</v>
      </c>
      <c r="X6473" t="s">
        <v>46574</v>
      </c>
    </row>
    <row r="6474" spans="1:24">
      <c r="A6474">
        <f>HYPERLINK("https://www.philgeps.gov.ph/GEPSNONPILOT/Tender/SplashBidNoticeAbstractUI.aspx?menuIndex=3&amp;refID=7060928&amp;Result=3","7060928")</f>
        <v>0</v>
      </c>
      <c r="B6474" t="s">
        <v>2077</v>
      </c>
      <c r="C6474" t="s">
        <v>9679</v>
      </c>
      <c r="D6474" t="s">
        <v>18856</v>
      </c>
      <c r="E6474" t="s">
        <v>24622</v>
      </c>
      <c r="F6474" t="s">
        <v>32664</v>
      </c>
      <c r="G6474" t="s">
        <v>32672</v>
      </c>
      <c r="H6474" t="s">
        <v>12635</v>
      </c>
      <c r="I6474" t="s">
        <v>32706</v>
      </c>
      <c r="J6474" t="s">
        <v>36849</v>
      </c>
      <c r="K6474" t="s">
        <v>42281</v>
      </c>
      <c r="M6474" t="s">
        <v>44829</v>
      </c>
      <c r="N6474" t="s">
        <v>46569</v>
      </c>
      <c r="O6474" t="s">
        <v>46570</v>
      </c>
      <c r="P6474">
        <v>0</v>
      </c>
      <c r="Q6474">
        <v>1</v>
      </c>
      <c r="R6474" t="s">
        <v>46573</v>
      </c>
      <c r="S6474" t="s">
        <v>46705</v>
      </c>
      <c r="T6474" t="s">
        <v>48213</v>
      </c>
      <c r="U6474" t="s">
        <v>54150</v>
      </c>
      <c r="W6474" t="s">
        <v>44829</v>
      </c>
      <c r="X6474" t="s">
        <v>46574</v>
      </c>
    </row>
    <row r="6475" spans="1:24">
      <c r="A6475">
        <f>HYPERLINK("https://www.philgeps.gov.ph/GEPSNONPILOT/Tender/SplashBidNoticeAbstractUI.aspx?menuIndex=3&amp;refID=7060938&amp;Result=3","7060938")</f>
        <v>0</v>
      </c>
      <c r="B6475" t="s">
        <v>1140</v>
      </c>
      <c r="C6475" t="s">
        <v>9680</v>
      </c>
      <c r="D6475" t="s">
        <v>18805</v>
      </c>
      <c r="E6475" t="s">
        <v>24623</v>
      </c>
      <c r="F6475" t="s">
        <v>32664</v>
      </c>
      <c r="G6475" t="s">
        <v>32671</v>
      </c>
      <c r="H6475" t="s">
        <v>12635</v>
      </c>
      <c r="I6475" t="s">
        <v>9486</v>
      </c>
      <c r="J6475" t="s">
        <v>36850</v>
      </c>
      <c r="K6475" t="s">
        <v>42303</v>
      </c>
      <c r="L6475" t="s">
        <v>1140</v>
      </c>
      <c r="M6475" t="s">
        <v>43771</v>
      </c>
      <c r="N6475" t="s">
        <v>46569</v>
      </c>
      <c r="O6475" t="s">
        <v>46570</v>
      </c>
      <c r="P6475">
        <v>0</v>
      </c>
      <c r="Q6475">
        <v>3</v>
      </c>
      <c r="R6475" t="s">
        <v>46573</v>
      </c>
      <c r="S6475" t="s">
        <v>46705</v>
      </c>
      <c r="T6475" t="s">
        <v>48466</v>
      </c>
      <c r="U6475" t="s">
        <v>54151</v>
      </c>
      <c r="V6475" t="s">
        <v>62273</v>
      </c>
      <c r="W6475" t="s">
        <v>43771</v>
      </c>
      <c r="X6475" t="s">
        <v>46574</v>
      </c>
    </row>
    <row r="6476" spans="1:24">
      <c r="A6476">
        <f>HYPERLINK("https://www.philgeps.gov.ph/GEPSNONPILOT/Tender/SplashBidNoticeAbstractUI.aspx?menuIndex=3&amp;refID=7060960&amp;Result=3","7060960")</f>
        <v>0</v>
      </c>
      <c r="B6476" t="s">
        <v>2080</v>
      </c>
      <c r="C6476" t="s">
        <v>9681</v>
      </c>
      <c r="D6476" t="s">
        <v>18848</v>
      </c>
      <c r="E6476" t="s">
        <v>24624</v>
      </c>
      <c r="F6476" t="s">
        <v>32664</v>
      </c>
      <c r="G6476" t="s">
        <v>32672</v>
      </c>
      <c r="H6476" t="s">
        <v>12635</v>
      </c>
      <c r="I6476" t="s">
        <v>4439</v>
      </c>
      <c r="J6476" t="s">
        <v>36851</v>
      </c>
      <c r="K6476" t="s">
        <v>42283</v>
      </c>
      <c r="M6476" t="s">
        <v>44832</v>
      </c>
      <c r="N6476" t="s">
        <v>46569</v>
      </c>
      <c r="O6476" t="s">
        <v>46570</v>
      </c>
      <c r="P6476">
        <v>0</v>
      </c>
      <c r="Q6476">
        <v>0</v>
      </c>
      <c r="R6476" t="s">
        <v>46573</v>
      </c>
      <c r="S6476" t="s">
        <v>46705</v>
      </c>
      <c r="T6476" t="s">
        <v>48230</v>
      </c>
      <c r="U6476" t="s">
        <v>54152</v>
      </c>
      <c r="W6476" t="s">
        <v>44832</v>
      </c>
      <c r="X6476" t="s">
        <v>46574</v>
      </c>
    </row>
    <row r="6477" spans="1:24">
      <c r="A6477">
        <f>HYPERLINK("https://www.philgeps.gov.ph/GEPSNONPILOT/Tender/SplashBidNoticeAbstractUI.aspx?menuIndex=3&amp;refID=7060962&amp;Result=3","7060962")</f>
        <v>0</v>
      </c>
      <c r="B6477" t="s">
        <v>1251</v>
      </c>
      <c r="C6477" t="s">
        <v>9682</v>
      </c>
      <c r="D6477" t="s">
        <v>18841</v>
      </c>
      <c r="E6477" t="s">
        <v>24625</v>
      </c>
      <c r="F6477" t="s">
        <v>32664</v>
      </c>
      <c r="G6477" t="s">
        <v>32671</v>
      </c>
      <c r="H6477" t="s">
        <v>12635</v>
      </c>
      <c r="I6477" t="s">
        <v>32699</v>
      </c>
      <c r="J6477" t="s">
        <v>36852</v>
      </c>
      <c r="K6477" t="s">
        <v>42289</v>
      </c>
      <c r="M6477" t="s">
        <v>43893</v>
      </c>
      <c r="N6477" t="s">
        <v>46569</v>
      </c>
      <c r="O6477" t="s">
        <v>46570</v>
      </c>
      <c r="P6477">
        <v>0</v>
      </c>
      <c r="Q6477">
        <v>2</v>
      </c>
      <c r="R6477" t="s">
        <v>46573</v>
      </c>
      <c r="S6477" t="s">
        <v>46705</v>
      </c>
      <c r="T6477" t="s">
        <v>48287</v>
      </c>
      <c r="U6477" t="s">
        <v>54153</v>
      </c>
      <c r="W6477" t="s">
        <v>43893</v>
      </c>
      <c r="X6477" t="s">
        <v>46574</v>
      </c>
    </row>
    <row r="6478" spans="1:24">
      <c r="A6478">
        <f>HYPERLINK("https://www.philgeps.gov.ph/GEPSNONPILOT/Tender/SplashBidNoticeAbstractUI.aspx?menuIndex=3&amp;refID=7060957&amp;Result=3","7060957")</f>
        <v>0</v>
      </c>
      <c r="B6478" t="s">
        <v>1600</v>
      </c>
      <c r="C6478" t="s">
        <v>9683</v>
      </c>
      <c r="D6478" t="s">
        <v>18835</v>
      </c>
      <c r="E6478" t="s">
        <v>24626</v>
      </c>
      <c r="F6478" t="s">
        <v>32664</v>
      </c>
      <c r="G6478" t="s">
        <v>32671</v>
      </c>
      <c r="H6478" t="s">
        <v>12635</v>
      </c>
      <c r="I6478" t="s">
        <v>4439</v>
      </c>
      <c r="J6478" t="s">
        <v>33601</v>
      </c>
      <c r="K6478" t="s">
        <v>42289</v>
      </c>
      <c r="M6478" t="s">
        <v>44277</v>
      </c>
      <c r="N6478" t="s">
        <v>46569</v>
      </c>
      <c r="O6478" t="s">
        <v>46570</v>
      </c>
      <c r="P6478">
        <v>0</v>
      </c>
      <c r="Q6478">
        <v>0</v>
      </c>
      <c r="R6478" t="s">
        <v>46573</v>
      </c>
      <c r="S6478" t="s">
        <v>46705</v>
      </c>
      <c r="T6478" t="s">
        <v>48287</v>
      </c>
      <c r="U6478" t="s">
        <v>54154</v>
      </c>
      <c r="W6478" t="s">
        <v>44277</v>
      </c>
      <c r="X6478" t="s">
        <v>46574</v>
      </c>
    </row>
    <row r="6479" spans="1:24">
      <c r="A6479">
        <f>HYPERLINK("https://www.philgeps.gov.ph/GEPSNONPILOT/Tender/SplashBidNoticeAbstractUI.aspx?menuIndex=3&amp;refID=7060926&amp;Result=3","7060926")</f>
        <v>0</v>
      </c>
      <c r="B6479" t="s">
        <v>1865</v>
      </c>
      <c r="C6479" t="s">
        <v>9684</v>
      </c>
      <c r="D6479" t="s">
        <v>18841</v>
      </c>
      <c r="E6479" t="s">
        <v>24627</v>
      </c>
      <c r="F6479" t="s">
        <v>32664</v>
      </c>
      <c r="G6479" t="s">
        <v>32672</v>
      </c>
      <c r="H6479" t="s">
        <v>12635</v>
      </c>
      <c r="I6479" t="s">
        <v>4439</v>
      </c>
      <c r="J6479" t="s">
        <v>36853</v>
      </c>
      <c r="K6479" t="s">
        <v>42281</v>
      </c>
      <c r="M6479" t="s">
        <v>44578</v>
      </c>
      <c r="N6479" t="s">
        <v>46569</v>
      </c>
      <c r="O6479" t="s">
        <v>46570</v>
      </c>
      <c r="P6479">
        <v>0</v>
      </c>
      <c r="Q6479">
        <v>1</v>
      </c>
      <c r="R6479" t="s">
        <v>46573</v>
      </c>
      <c r="S6479" t="s">
        <v>46705</v>
      </c>
      <c r="T6479" t="s">
        <v>48580</v>
      </c>
      <c r="U6479" t="s">
        <v>54155</v>
      </c>
      <c r="W6479" t="s">
        <v>44578</v>
      </c>
      <c r="X6479" t="s">
        <v>46574</v>
      </c>
    </row>
    <row r="6480" spans="1:24">
      <c r="A6480">
        <f>HYPERLINK("https://www.philgeps.gov.ph/GEPSNONPILOT/Tender/SplashBidNoticeAbstractUI.aspx?menuIndex=3&amp;refID=7060956&amp;Result=3","7060956")</f>
        <v>0</v>
      </c>
      <c r="B6480" t="s">
        <v>2060</v>
      </c>
      <c r="C6480" t="s">
        <v>9685</v>
      </c>
      <c r="D6480" t="s">
        <v>18819</v>
      </c>
      <c r="E6480" t="s">
        <v>24628</v>
      </c>
      <c r="F6480" t="s">
        <v>32664</v>
      </c>
      <c r="G6480" t="s">
        <v>32674</v>
      </c>
      <c r="H6480" t="s">
        <v>12635</v>
      </c>
      <c r="I6480" t="s">
        <v>8797</v>
      </c>
      <c r="J6480" t="s">
        <v>33140</v>
      </c>
      <c r="K6480" t="s">
        <v>42284</v>
      </c>
      <c r="M6480" t="s">
        <v>44809</v>
      </c>
      <c r="N6480" t="s">
        <v>46569</v>
      </c>
      <c r="O6480" t="s">
        <v>46570</v>
      </c>
      <c r="P6480">
        <v>0</v>
      </c>
      <c r="Q6480">
        <v>3</v>
      </c>
      <c r="R6480" t="s">
        <v>46573</v>
      </c>
      <c r="S6480" t="s">
        <v>46705</v>
      </c>
      <c r="T6480" t="s">
        <v>48356</v>
      </c>
      <c r="U6480" t="s">
        <v>54156</v>
      </c>
      <c r="W6480" t="s">
        <v>44809</v>
      </c>
      <c r="X6480" t="s">
        <v>46574</v>
      </c>
    </row>
    <row r="6481" spans="1:24">
      <c r="A6481">
        <f>HYPERLINK("https://www.philgeps.gov.ph/GEPSNONPILOT/Tender/SplashBidNoticeAbstractUI.aspx?menuIndex=3&amp;refID=7060937&amp;Result=3","7060937")</f>
        <v>0</v>
      </c>
      <c r="B6481" t="s">
        <v>600</v>
      </c>
      <c r="C6481" t="s">
        <v>9686</v>
      </c>
      <c r="D6481" t="s">
        <v>18802</v>
      </c>
      <c r="E6481" t="s">
        <v>24629</v>
      </c>
      <c r="F6481" t="s">
        <v>32664</v>
      </c>
      <c r="G6481" t="s">
        <v>32671</v>
      </c>
      <c r="H6481" t="s">
        <v>12635</v>
      </c>
      <c r="I6481" t="s">
        <v>4439</v>
      </c>
      <c r="J6481" t="s">
        <v>36854</v>
      </c>
      <c r="K6481" t="s">
        <v>42284</v>
      </c>
      <c r="M6481" t="s">
        <v>43180</v>
      </c>
      <c r="N6481" t="s">
        <v>46569</v>
      </c>
      <c r="O6481" t="s">
        <v>46570</v>
      </c>
      <c r="P6481">
        <v>0</v>
      </c>
      <c r="Q6481">
        <v>1</v>
      </c>
      <c r="R6481" t="s">
        <v>46573</v>
      </c>
      <c r="S6481" t="s">
        <v>46705</v>
      </c>
      <c r="T6481" t="s">
        <v>48287</v>
      </c>
      <c r="U6481" t="s">
        <v>54157</v>
      </c>
      <c r="W6481" t="s">
        <v>43180</v>
      </c>
      <c r="X6481" t="s">
        <v>46574</v>
      </c>
    </row>
    <row r="6482" spans="1:24">
      <c r="A6482">
        <f>HYPERLINK("https://www.philgeps.gov.ph/GEPSNONPILOT/Tender/SplashBidNoticeAbstractUI.aspx?menuIndex=3&amp;refID=7060959&amp;Result=3","7060959")</f>
        <v>0</v>
      </c>
      <c r="B6482" t="s">
        <v>1706</v>
      </c>
      <c r="C6482" t="s">
        <v>9687</v>
      </c>
      <c r="D6482" t="s">
        <v>18793</v>
      </c>
      <c r="E6482" t="s">
        <v>24630</v>
      </c>
      <c r="F6482" t="s">
        <v>32664</v>
      </c>
      <c r="G6482" t="s">
        <v>32672</v>
      </c>
      <c r="H6482" t="s">
        <v>12635</v>
      </c>
      <c r="I6482" t="s">
        <v>9486</v>
      </c>
      <c r="J6482" t="s">
        <v>36855</v>
      </c>
      <c r="K6482" t="s">
        <v>42298</v>
      </c>
      <c r="M6482" t="s">
        <v>44400</v>
      </c>
      <c r="N6482" t="s">
        <v>46569</v>
      </c>
      <c r="O6482" t="s">
        <v>46570</v>
      </c>
      <c r="P6482">
        <v>0</v>
      </c>
      <c r="Q6482">
        <v>0</v>
      </c>
      <c r="R6482" t="s">
        <v>46573</v>
      </c>
      <c r="S6482" t="s">
        <v>46705</v>
      </c>
      <c r="T6482" t="s">
        <v>48349</v>
      </c>
      <c r="U6482" t="s">
        <v>54158</v>
      </c>
      <c r="W6482" t="s">
        <v>44400</v>
      </c>
      <c r="X6482" t="s">
        <v>46574</v>
      </c>
    </row>
    <row r="6483" spans="1:24">
      <c r="A6483">
        <f>HYPERLINK("https://www.philgeps.gov.ph/GEPSNONPILOT/Tender/SplashBidNoticeAbstractUI.aspx?menuIndex=3&amp;refID=7060958&amp;Result=3","7060958")</f>
        <v>0</v>
      </c>
      <c r="B6483" t="s">
        <v>1517</v>
      </c>
      <c r="C6483" t="s">
        <v>9688</v>
      </c>
      <c r="D6483" t="s">
        <v>18816</v>
      </c>
      <c r="E6483" t="s">
        <v>21191</v>
      </c>
      <c r="F6483" t="s">
        <v>32664</v>
      </c>
      <c r="G6483" t="s">
        <v>32671</v>
      </c>
      <c r="H6483" t="s">
        <v>12635</v>
      </c>
      <c r="I6483" t="s">
        <v>32716</v>
      </c>
      <c r="J6483" t="s">
        <v>33304</v>
      </c>
      <c r="K6483" t="s">
        <v>42281</v>
      </c>
      <c r="M6483" t="s">
        <v>44184</v>
      </c>
      <c r="N6483" t="s">
        <v>46569</v>
      </c>
      <c r="O6483" t="s">
        <v>46570</v>
      </c>
      <c r="P6483">
        <v>0</v>
      </c>
      <c r="Q6483">
        <v>2</v>
      </c>
      <c r="R6483" t="s">
        <v>46573</v>
      </c>
      <c r="S6483" t="s">
        <v>46705</v>
      </c>
      <c r="T6483" t="s">
        <v>48316</v>
      </c>
      <c r="U6483" t="s">
        <v>52205</v>
      </c>
      <c r="W6483" t="s">
        <v>44184</v>
      </c>
      <c r="X6483" t="s">
        <v>46574</v>
      </c>
    </row>
    <row r="6484" spans="1:24">
      <c r="A6484">
        <f>HYPERLINK("https://www.philgeps.gov.ph/GEPSNONPILOT/Tender/SplashBidNoticeAbstractUI.aspx?menuIndex=3&amp;refID=7060952&amp;Result=3","7060952")</f>
        <v>0</v>
      </c>
      <c r="B6484" t="s">
        <v>947</v>
      </c>
      <c r="C6484" t="s">
        <v>9689</v>
      </c>
      <c r="D6484" t="s">
        <v>18787</v>
      </c>
      <c r="E6484" t="s">
        <v>24631</v>
      </c>
      <c r="F6484" t="s">
        <v>32664</v>
      </c>
      <c r="G6484" t="s">
        <v>32671</v>
      </c>
      <c r="H6484" t="s">
        <v>12635</v>
      </c>
      <c r="I6484" t="s">
        <v>32694</v>
      </c>
      <c r="J6484" t="s">
        <v>33578</v>
      </c>
      <c r="K6484" t="s">
        <v>42295</v>
      </c>
      <c r="M6484" t="s">
        <v>44838</v>
      </c>
      <c r="N6484" t="s">
        <v>46569</v>
      </c>
      <c r="O6484" t="s">
        <v>46570</v>
      </c>
      <c r="P6484">
        <v>0</v>
      </c>
      <c r="Q6484">
        <v>0</v>
      </c>
      <c r="R6484" t="s">
        <v>46573</v>
      </c>
      <c r="S6484" t="s">
        <v>46705</v>
      </c>
      <c r="T6484" t="s">
        <v>48316</v>
      </c>
      <c r="U6484" t="s">
        <v>54159</v>
      </c>
      <c r="W6484" t="s">
        <v>44838</v>
      </c>
      <c r="X6484" t="s">
        <v>46574</v>
      </c>
    </row>
    <row r="6485" spans="1:24">
      <c r="A6485">
        <f>HYPERLINK("https://www.philgeps.gov.ph/GEPSNONPILOT/Tender/SplashBidNoticeAbstractUI.aspx?menuIndex=3&amp;refID=7060911&amp;Result=3","7060911")</f>
        <v>0</v>
      </c>
      <c r="B6485" t="s">
        <v>585</v>
      </c>
      <c r="C6485" t="s">
        <v>9690</v>
      </c>
      <c r="D6485" t="s">
        <v>18834</v>
      </c>
      <c r="E6485" t="s">
        <v>24632</v>
      </c>
      <c r="F6485" t="s">
        <v>32664</v>
      </c>
      <c r="G6485" t="s">
        <v>32674</v>
      </c>
      <c r="H6485" t="s">
        <v>12635</v>
      </c>
      <c r="I6485" t="s">
        <v>6628</v>
      </c>
      <c r="J6485" t="s">
        <v>33175</v>
      </c>
      <c r="K6485" t="s">
        <v>42281</v>
      </c>
      <c r="M6485" t="s">
        <v>43165</v>
      </c>
      <c r="N6485" t="s">
        <v>46569</v>
      </c>
      <c r="O6485" t="s">
        <v>46570</v>
      </c>
      <c r="P6485">
        <v>0</v>
      </c>
      <c r="Q6485">
        <v>0</v>
      </c>
      <c r="R6485" t="s">
        <v>46573</v>
      </c>
      <c r="S6485" t="s">
        <v>46705</v>
      </c>
      <c r="T6485" t="s">
        <v>48427</v>
      </c>
      <c r="U6485" t="s">
        <v>54160</v>
      </c>
      <c r="W6485" t="s">
        <v>43165</v>
      </c>
      <c r="X6485" t="s">
        <v>46574</v>
      </c>
    </row>
    <row r="6486" spans="1:24">
      <c r="A6486">
        <f>HYPERLINK("https://www.philgeps.gov.ph/GEPSNONPILOT/Tender/SplashBidNoticeAbstractUI.aspx?menuIndex=3&amp;refID=7060955&amp;Result=3","7060955")</f>
        <v>0</v>
      </c>
      <c r="B6486" t="s">
        <v>798</v>
      </c>
      <c r="C6486" t="s">
        <v>9691</v>
      </c>
      <c r="D6486" t="s">
        <v>18830</v>
      </c>
      <c r="E6486" t="s">
        <v>22169</v>
      </c>
      <c r="F6486" t="s">
        <v>32664</v>
      </c>
      <c r="G6486" t="s">
        <v>32674</v>
      </c>
      <c r="H6486" t="s">
        <v>12635</v>
      </c>
      <c r="I6486" t="s">
        <v>6168</v>
      </c>
      <c r="J6486" t="s">
        <v>36856</v>
      </c>
      <c r="K6486" t="s">
        <v>42281</v>
      </c>
      <c r="M6486" t="s">
        <v>43390</v>
      </c>
      <c r="N6486" t="s">
        <v>46569</v>
      </c>
      <c r="O6486" t="s">
        <v>46570</v>
      </c>
      <c r="P6486">
        <v>0</v>
      </c>
      <c r="Q6486">
        <v>1</v>
      </c>
      <c r="R6486" t="s">
        <v>46573</v>
      </c>
      <c r="S6486" t="s">
        <v>46705</v>
      </c>
      <c r="T6486" t="s">
        <v>48307</v>
      </c>
      <c r="U6486" t="s">
        <v>54129</v>
      </c>
      <c r="W6486" t="s">
        <v>43390</v>
      </c>
      <c r="X6486" t="s">
        <v>46574</v>
      </c>
    </row>
    <row r="6487" spans="1:24">
      <c r="A6487">
        <f>HYPERLINK("https://www.philgeps.gov.ph/GEPSNONPILOT/Tender/SplashBidNoticeAbstractUI.aspx?menuIndex=3&amp;refID=7060984&amp;Result=3","7060984")</f>
        <v>0</v>
      </c>
      <c r="B6487" t="s">
        <v>2085</v>
      </c>
      <c r="C6487" t="s">
        <v>9692</v>
      </c>
      <c r="D6487" t="s">
        <v>18794</v>
      </c>
      <c r="E6487" t="s">
        <v>24633</v>
      </c>
      <c r="F6487" t="s">
        <v>32664</v>
      </c>
      <c r="G6487" t="s">
        <v>32674</v>
      </c>
      <c r="H6487" t="s">
        <v>12635</v>
      </c>
      <c r="I6487" t="s">
        <v>32743</v>
      </c>
      <c r="J6487" t="s">
        <v>34050</v>
      </c>
      <c r="K6487" t="s">
        <v>42283</v>
      </c>
      <c r="M6487" t="s">
        <v>44839</v>
      </c>
      <c r="N6487" t="s">
        <v>46569</v>
      </c>
      <c r="O6487" t="s">
        <v>46570</v>
      </c>
      <c r="P6487">
        <v>0</v>
      </c>
      <c r="Q6487">
        <v>2</v>
      </c>
      <c r="R6487" t="s">
        <v>46573</v>
      </c>
      <c r="S6487" t="s">
        <v>46705</v>
      </c>
      <c r="T6487" t="s">
        <v>48283</v>
      </c>
      <c r="U6487" t="s">
        <v>54161</v>
      </c>
      <c r="W6487" t="s">
        <v>44839</v>
      </c>
      <c r="X6487" t="s">
        <v>46574</v>
      </c>
    </row>
    <row r="6488" spans="1:24">
      <c r="A6488">
        <f>HYPERLINK("https://www.philgeps.gov.ph/GEPSNONPILOT/Tender/SplashBidNoticeAbstractUI.aspx?menuIndex=3&amp;refID=7060983&amp;Result=3","7060983")</f>
        <v>0</v>
      </c>
      <c r="B6488" t="s">
        <v>166</v>
      </c>
      <c r="C6488" t="s">
        <v>9693</v>
      </c>
      <c r="D6488" t="s">
        <v>18792</v>
      </c>
      <c r="E6488" t="s">
        <v>24634</v>
      </c>
      <c r="F6488" t="s">
        <v>32664</v>
      </c>
      <c r="G6488" t="s">
        <v>32677</v>
      </c>
      <c r="H6488" t="s">
        <v>12635</v>
      </c>
      <c r="I6488" t="s">
        <v>4439</v>
      </c>
      <c r="J6488" t="s">
        <v>36857</v>
      </c>
      <c r="K6488" t="s">
        <v>42283</v>
      </c>
      <c r="M6488" t="s">
        <v>42730</v>
      </c>
      <c r="N6488" t="s">
        <v>46569</v>
      </c>
      <c r="O6488" t="s">
        <v>46570</v>
      </c>
      <c r="P6488">
        <v>0</v>
      </c>
      <c r="Q6488">
        <v>0</v>
      </c>
      <c r="R6488" t="s">
        <v>46573</v>
      </c>
      <c r="S6488" t="s">
        <v>46705</v>
      </c>
      <c r="T6488" t="s">
        <v>48284</v>
      </c>
      <c r="U6488" t="s">
        <v>54162</v>
      </c>
      <c r="W6488" t="s">
        <v>42730</v>
      </c>
      <c r="X6488" t="s">
        <v>46574</v>
      </c>
    </row>
    <row r="6489" spans="1:24">
      <c r="A6489">
        <f>HYPERLINK("https://www.philgeps.gov.ph/GEPSNONPILOT/Tender/SplashBidNoticeAbstractUI.aspx?menuIndex=3&amp;refID=7060961&amp;Result=3","7060961")</f>
        <v>0</v>
      </c>
      <c r="B6489" t="s">
        <v>822</v>
      </c>
      <c r="C6489" t="s">
        <v>9694</v>
      </c>
      <c r="E6489" t="s">
        <v>24635</v>
      </c>
      <c r="F6489" t="s">
        <v>32664</v>
      </c>
      <c r="G6489" t="s">
        <v>32671</v>
      </c>
      <c r="H6489" t="s">
        <v>12635</v>
      </c>
      <c r="I6489" t="s">
        <v>8730</v>
      </c>
      <c r="J6489" t="s">
        <v>36858</v>
      </c>
      <c r="K6489" t="s">
        <v>42283</v>
      </c>
      <c r="M6489" t="s">
        <v>44466</v>
      </c>
      <c r="N6489" t="s">
        <v>46569</v>
      </c>
      <c r="O6489" t="s">
        <v>46570</v>
      </c>
      <c r="P6489">
        <v>0</v>
      </c>
      <c r="Q6489">
        <v>0</v>
      </c>
      <c r="R6489" t="s">
        <v>46573</v>
      </c>
      <c r="S6489" t="s">
        <v>46705</v>
      </c>
      <c r="T6489" t="s">
        <v>48228</v>
      </c>
      <c r="U6489" t="s">
        <v>54163</v>
      </c>
      <c r="W6489" t="s">
        <v>44466</v>
      </c>
      <c r="X6489" t="s">
        <v>46574</v>
      </c>
    </row>
    <row r="6490" spans="1:24">
      <c r="A6490">
        <f>HYPERLINK("https://www.philgeps.gov.ph/GEPSNONPILOT/Tender/SplashBidNoticeAbstractUI.aspx?menuIndex=3&amp;refID=7060981&amp;Result=3","7060981")</f>
        <v>0</v>
      </c>
      <c r="B6490" t="s">
        <v>2077</v>
      </c>
      <c r="C6490" t="s">
        <v>9695</v>
      </c>
      <c r="D6490" t="s">
        <v>18856</v>
      </c>
      <c r="E6490" t="s">
        <v>24636</v>
      </c>
      <c r="F6490" t="s">
        <v>32664</v>
      </c>
      <c r="G6490" t="s">
        <v>32672</v>
      </c>
      <c r="H6490" t="s">
        <v>12635</v>
      </c>
      <c r="I6490" t="s">
        <v>32685</v>
      </c>
      <c r="J6490" t="s">
        <v>36859</v>
      </c>
      <c r="K6490" t="s">
        <v>42281</v>
      </c>
      <c r="M6490" t="s">
        <v>44829</v>
      </c>
      <c r="N6490" t="s">
        <v>46569</v>
      </c>
      <c r="O6490" t="s">
        <v>46570</v>
      </c>
      <c r="P6490">
        <v>0</v>
      </c>
      <c r="Q6490">
        <v>1</v>
      </c>
      <c r="R6490" t="s">
        <v>46573</v>
      </c>
      <c r="S6490" t="s">
        <v>46705</v>
      </c>
      <c r="T6490" t="s">
        <v>48213</v>
      </c>
      <c r="U6490" t="s">
        <v>54164</v>
      </c>
      <c r="W6490" t="s">
        <v>44829</v>
      </c>
      <c r="X6490" t="s">
        <v>46574</v>
      </c>
    </row>
    <row r="6491" spans="1:24">
      <c r="A6491">
        <f>HYPERLINK("https://www.philgeps.gov.ph/GEPSNONPILOT/Tender/SplashBidNoticeAbstractUI.aspx?menuIndex=3&amp;refID=7060980&amp;Result=3","7060980")</f>
        <v>0</v>
      </c>
      <c r="B6491" t="s">
        <v>783</v>
      </c>
      <c r="C6491" t="s">
        <v>9696</v>
      </c>
      <c r="D6491" t="s">
        <v>18826</v>
      </c>
      <c r="E6491" t="s">
        <v>24637</v>
      </c>
      <c r="F6491" t="s">
        <v>32664</v>
      </c>
      <c r="G6491" t="s">
        <v>32671</v>
      </c>
      <c r="H6491" t="s">
        <v>12635</v>
      </c>
      <c r="I6491" t="s">
        <v>32685</v>
      </c>
      <c r="J6491" t="s">
        <v>36860</v>
      </c>
      <c r="K6491" t="s">
        <v>42283</v>
      </c>
      <c r="M6491" t="s">
        <v>43375</v>
      </c>
      <c r="N6491" t="s">
        <v>46569</v>
      </c>
      <c r="O6491" t="s">
        <v>46570</v>
      </c>
      <c r="P6491">
        <v>0</v>
      </c>
      <c r="Q6491">
        <v>0</v>
      </c>
      <c r="R6491" t="s">
        <v>46573</v>
      </c>
      <c r="S6491" t="s">
        <v>46705</v>
      </c>
      <c r="T6491" t="s">
        <v>48316</v>
      </c>
      <c r="U6491" t="s">
        <v>54165</v>
      </c>
      <c r="W6491" t="s">
        <v>43375</v>
      </c>
      <c r="X6491" t="s">
        <v>46574</v>
      </c>
    </row>
    <row r="6492" spans="1:24">
      <c r="A6492">
        <f>HYPERLINK("https://www.philgeps.gov.ph/GEPSNONPILOT/Tender/SplashBidNoticeAbstractUI.aspx?menuIndex=3&amp;refID=7060979&amp;Result=3","7060979")</f>
        <v>0</v>
      </c>
      <c r="B6492" t="s">
        <v>349</v>
      </c>
      <c r="C6492" t="s">
        <v>9697</v>
      </c>
      <c r="D6492" t="s">
        <v>18834</v>
      </c>
      <c r="E6492" t="s">
        <v>24638</v>
      </c>
      <c r="F6492" t="s">
        <v>32664</v>
      </c>
      <c r="G6492" t="s">
        <v>32674</v>
      </c>
      <c r="H6492" t="s">
        <v>12635</v>
      </c>
      <c r="I6492" t="s">
        <v>32708</v>
      </c>
      <c r="J6492" t="s">
        <v>33493</v>
      </c>
      <c r="K6492" t="s">
        <v>42297</v>
      </c>
      <c r="M6492" t="s">
        <v>42918</v>
      </c>
      <c r="N6492" t="s">
        <v>46569</v>
      </c>
      <c r="O6492" t="s">
        <v>46570</v>
      </c>
      <c r="P6492">
        <v>0</v>
      </c>
      <c r="Q6492">
        <v>4</v>
      </c>
      <c r="R6492" t="s">
        <v>46573</v>
      </c>
      <c r="S6492" t="s">
        <v>46705</v>
      </c>
      <c r="T6492" t="s">
        <v>48316</v>
      </c>
      <c r="U6492" t="s">
        <v>54166</v>
      </c>
      <c r="W6492" t="s">
        <v>63473</v>
      </c>
      <c r="X6492" t="s">
        <v>46574</v>
      </c>
    </row>
    <row r="6493" spans="1:24">
      <c r="A6493">
        <f>HYPERLINK("https://www.philgeps.gov.ph/GEPSNONPILOT/Tender/SplashBidNoticeAbstractUI.aspx?menuIndex=3&amp;refID=7060951&amp;Result=3","7060951")</f>
        <v>0</v>
      </c>
      <c r="B6493" t="s">
        <v>796</v>
      </c>
      <c r="C6493" t="s">
        <v>9698</v>
      </c>
      <c r="D6493" t="s">
        <v>18801</v>
      </c>
      <c r="E6493" t="s">
        <v>24639</v>
      </c>
      <c r="F6493" t="s">
        <v>32664</v>
      </c>
      <c r="G6493" t="s">
        <v>32672</v>
      </c>
      <c r="H6493" t="s">
        <v>32683</v>
      </c>
      <c r="I6493" t="s">
        <v>10627</v>
      </c>
      <c r="J6493" t="s">
        <v>34379</v>
      </c>
      <c r="K6493" t="s">
        <v>42311</v>
      </c>
      <c r="M6493" t="s">
        <v>43388</v>
      </c>
      <c r="N6493" t="s">
        <v>46569</v>
      </c>
      <c r="O6493" t="s">
        <v>46570</v>
      </c>
      <c r="P6493">
        <v>0</v>
      </c>
      <c r="Q6493">
        <v>3</v>
      </c>
      <c r="R6493" t="s">
        <v>46573</v>
      </c>
      <c r="S6493" t="s">
        <v>46705</v>
      </c>
      <c r="T6493" t="s">
        <v>48220</v>
      </c>
      <c r="U6493" t="s">
        <v>54125</v>
      </c>
      <c r="W6493" t="s">
        <v>63490</v>
      </c>
      <c r="X6493" t="s">
        <v>46574</v>
      </c>
    </row>
    <row r="6494" spans="1:24">
      <c r="A6494">
        <f>HYPERLINK("https://www.philgeps.gov.ph/GEPSNONPILOT/Tender/SplashBidNoticeAbstractUI.aspx?menuIndex=3&amp;refID=7060977&amp;Result=3","7060977")</f>
        <v>0</v>
      </c>
      <c r="B6494" t="s">
        <v>1906</v>
      </c>
      <c r="C6494" t="s">
        <v>8730</v>
      </c>
      <c r="D6494" t="s">
        <v>18783</v>
      </c>
      <c r="E6494" t="s">
        <v>24640</v>
      </c>
      <c r="F6494" t="s">
        <v>32664</v>
      </c>
      <c r="G6494" t="s">
        <v>32671</v>
      </c>
      <c r="H6494" t="s">
        <v>12635</v>
      </c>
      <c r="I6494" t="s">
        <v>8730</v>
      </c>
      <c r="J6494" t="s">
        <v>33309</v>
      </c>
      <c r="K6494" t="s">
        <v>42295</v>
      </c>
      <c r="M6494" t="s">
        <v>44627</v>
      </c>
      <c r="N6494" t="s">
        <v>46569</v>
      </c>
      <c r="O6494" t="s">
        <v>46570</v>
      </c>
      <c r="P6494">
        <v>0</v>
      </c>
      <c r="Q6494">
        <v>0</v>
      </c>
      <c r="R6494" t="s">
        <v>46573</v>
      </c>
      <c r="S6494" t="s">
        <v>46705</v>
      </c>
      <c r="T6494" t="s">
        <v>48307</v>
      </c>
      <c r="U6494" t="s">
        <v>54167</v>
      </c>
      <c r="V6494" t="s">
        <v>62216</v>
      </c>
      <c r="W6494" t="s">
        <v>44627</v>
      </c>
      <c r="X6494" t="s">
        <v>46574</v>
      </c>
    </row>
    <row r="6495" spans="1:24">
      <c r="A6495">
        <f>HYPERLINK("https://www.philgeps.gov.ph/GEPSNONPILOT/Tender/SplashBidNoticeAbstractUI.aspx?menuIndex=3&amp;refID=7060953&amp;Result=3","7060953")</f>
        <v>0</v>
      </c>
      <c r="B6495" t="s">
        <v>1992</v>
      </c>
      <c r="C6495" t="s">
        <v>9699</v>
      </c>
      <c r="D6495" t="s">
        <v>18853</v>
      </c>
      <c r="E6495" t="s">
        <v>24641</v>
      </c>
      <c r="F6495" t="s">
        <v>32664</v>
      </c>
      <c r="G6495" t="s">
        <v>32671</v>
      </c>
      <c r="H6495" t="s">
        <v>12635</v>
      </c>
      <c r="I6495" t="s">
        <v>6223</v>
      </c>
      <c r="J6495" t="s">
        <v>34932</v>
      </c>
      <c r="K6495" t="s">
        <v>42297</v>
      </c>
      <c r="M6495" t="s">
        <v>44727</v>
      </c>
      <c r="N6495" t="s">
        <v>46569</v>
      </c>
      <c r="O6495" t="s">
        <v>46570</v>
      </c>
      <c r="P6495">
        <v>0</v>
      </c>
      <c r="Q6495">
        <v>3</v>
      </c>
      <c r="R6495" t="s">
        <v>46573</v>
      </c>
      <c r="S6495" t="s">
        <v>46705</v>
      </c>
      <c r="T6495" t="s">
        <v>48287</v>
      </c>
      <c r="U6495" t="s">
        <v>54168</v>
      </c>
      <c r="W6495" t="s">
        <v>44727</v>
      </c>
      <c r="X6495" t="s">
        <v>46574</v>
      </c>
    </row>
    <row r="6496" spans="1:24">
      <c r="A6496">
        <f>HYPERLINK("https://www.philgeps.gov.ph/GEPSNONPILOT/Tender/SplashBidNoticeAbstractUI.aspx?menuIndex=3&amp;refID=7060925&amp;Result=3","7060925")</f>
        <v>0</v>
      </c>
      <c r="B6496" t="s">
        <v>2086</v>
      </c>
      <c r="C6496" t="s">
        <v>9700</v>
      </c>
      <c r="D6496" t="s">
        <v>18837</v>
      </c>
      <c r="E6496" t="s">
        <v>24642</v>
      </c>
      <c r="F6496" t="s">
        <v>32664</v>
      </c>
      <c r="G6496" t="s">
        <v>32671</v>
      </c>
      <c r="H6496" t="s">
        <v>12635</v>
      </c>
      <c r="I6496" t="s">
        <v>32685</v>
      </c>
      <c r="J6496" t="s">
        <v>36861</v>
      </c>
      <c r="K6496" t="s">
        <v>42281</v>
      </c>
      <c r="M6496" t="s">
        <v>44840</v>
      </c>
      <c r="N6496" t="s">
        <v>46569</v>
      </c>
      <c r="O6496" t="s">
        <v>46570</v>
      </c>
      <c r="P6496">
        <v>0</v>
      </c>
      <c r="Q6496">
        <v>0</v>
      </c>
      <c r="R6496" t="s">
        <v>46573</v>
      </c>
      <c r="S6496" t="s">
        <v>46705</v>
      </c>
      <c r="T6496" t="s">
        <v>48319</v>
      </c>
      <c r="U6496" t="s">
        <v>54169</v>
      </c>
      <c r="W6496" t="s">
        <v>44840</v>
      </c>
      <c r="X6496" t="s">
        <v>46574</v>
      </c>
    </row>
    <row r="6497" spans="1:24">
      <c r="A6497">
        <f>HYPERLINK("https://www.philgeps.gov.ph/GEPSNONPILOT/Tender/SplashBidNoticeAbstractUI.aspx?menuIndex=3&amp;refID=7060982&amp;Result=3","7060982")</f>
        <v>0</v>
      </c>
      <c r="B6497" t="s">
        <v>1998</v>
      </c>
      <c r="C6497" t="s">
        <v>9701</v>
      </c>
      <c r="D6497" t="s">
        <v>18817</v>
      </c>
      <c r="E6497" t="s">
        <v>24643</v>
      </c>
      <c r="F6497" t="s">
        <v>32664</v>
      </c>
      <c r="G6497" t="s">
        <v>32671</v>
      </c>
      <c r="H6497" t="s">
        <v>12635</v>
      </c>
      <c r="I6497" t="s">
        <v>10370</v>
      </c>
      <c r="J6497" t="s">
        <v>33163</v>
      </c>
      <c r="K6497" t="s">
        <v>42306</v>
      </c>
      <c r="M6497" t="s">
        <v>44735</v>
      </c>
      <c r="N6497" t="s">
        <v>46569</v>
      </c>
      <c r="O6497" t="s">
        <v>46570</v>
      </c>
      <c r="P6497">
        <v>0</v>
      </c>
      <c r="Q6497">
        <v>0</v>
      </c>
      <c r="R6497" t="s">
        <v>46573</v>
      </c>
      <c r="S6497" t="s">
        <v>46705</v>
      </c>
      <c r="T6497" t="s">
        <v>48450</v>
      </c>
      <c r="U6497" t="s">
        <v>54147</v>
      </c>
      <c r="W6497" t="s">
        <v>44735</v>
      </c>
      <c r="X6497" t="s">
        <v>46574</v>
      </c>
    </row>
    <row r="6498" spans="1:24">
      <c r="A6498">
        <f>HYPERLINK("https://www.philgeps.gov.ph/GEPSNONPILOT/Tender/SplashBidNoticeAbstractUI.aspx?menuIndex=3&amp;refID=7060972&amp;Result=3","7060972")</f>
        <v>0</v>
      </c>
      <c r="B6498" t="s">
        <v>407</v>
      </c>
      <c r="C6498" t="s">
        <v>9702</v>
      </c>
      <c r="D6498" t="s">
        <v>18830</v>
      </c>
      <c r="E6498" t="s">
        <v>24644</v>
      </c>
      <c r="F6498" t="s">
        <v>32664</v>
      </c>
      <c r="G6498" t="s">
        <v>32672</v>
      </c>
      <c r="H6498" t="s">
        <v>12635</v>
      </c>
      <c r="I6498" t="s">
        <v>32738</v>
      </c>
      <c r="J6498" t="s">
        <v>32865</v>
      </c>
      <c r="K6498" t="s">
        <v>42281</v>
      </c>
      <c r="M6498" t="s">
        <v>42977</v>
      </c>
      <c r="N6498" t="s">
        <v>46569</v>
      </c>
      <c r="O6498" t="s">
        <v>46570</v>
      </c>
      <c r="P6498">
        <v>0</v>
      </c>
      <c r="Q6498">
        <v>6</v>
      </c>
      <c r="R6498" t="s">
        <v>46573</v>
      </c>
      <c r="S6498" t="s">
        <v>46705</v>
      </c>
      <c r="T6498" t="s">
        <v>48283</v>
      </c>
      <c r="U6498" t="s">
        <v>54170</v>
      </c>
      <c r="V6498" t="s">
        <v>62274</v>
      </c>
      <c r="W6498" t="s">
        <v>42977</v>
      </c>
      <c r="X6498" t="s">
        <v>46574</v>
      </c>
    </row>
    <row r="6499" spans="1:24">
      <c r="A6499">
        <f>HYPERLINK("https://www.philgeps.gov.ph/GEPSNONPILOT/Tender/SplashBidNoticeAbstractUI.aspx?menuIndex=3&amp;refID=7060970&amp;Result=3","7060970")</f>
        <v>0</v>
      </c>
      <c r="B6499" t="s">
        <v>947</v>
      </c>
      <c r="C6499" t="s">
        <v>9703</v>
      </c>
      <c r="D6499" t="s">
        <v>18787</v>
      </c>
      <c r="E6499" t="s">
        <v>24645</v>
      </c>
      <c r="F6499" t="s">
        <v>32664</v>
      </c>
      <c r="G6499" t="s">
        <v>32671</v>
      </c>
      <c r="H6499" t="s">
        <v>12635</v>
      </c>
      <c r="I6499" t="s">
        <v>6628</v>
      </c>
      <c r="J6499" t="s">
        <v>33069</v>
      </c>
      <c r="K6499" t="s">
        <v>42295</v>
      </c>
      <c r="M6499" t="s">
        <v>44838</v>
      </c>
      <c r="N6499" t="s">
        <v>46569</v>
      </c>
      <c r="O6499" t="s">
        <v>46570</v>
      </c>
      <c r="P6499">
        <v>0</v>
      </c>
      <c r="Q6499">
        <v>0</v>
      </c>
      <c r="R6499" t="s">
        <v>46573</v>
      </c>
      <c r="S6499" t="s">
        <v>46705</v>
      </c>
      <c r="T6499" t="s">
        <v>48316</v>
      </c>
      <c r="U6499" t="s">
        <v>54171</v>
      </c>
      <c r="W6499" t="s">
        <v>44838</v>
      </c>
      <c r="X6499" t="s">
        <v>46574</v>
      </c>
    </row>
    <row r="6500" spans="1:24">
      <c r="A6500">
        <f>HYPERLINK("https://www.philgeps.gov.ph/GEPSNONPILOT/Tender/SplashBidNoticeAbstractUI.aspx?menuIndex=3&amp;refID=7060969&amp;Result=3","7060969")</f>
        <v>0</v>
      </c>
      <c r="B6500" t="s">
        <v>2082</v>
      </c>
      <c r="C6500" t="s">
        <v>9704</v>
      </c>
      <c r="D6500" t="s">
        <v>18799</v>
      </c>
      <c r="E6500" t="s">
        <v>24646</v>
      </c>
      <c r="F6500" t="s">
        <v>32664</v>
      </c>
      <c r="G6500" t="s">
        <v>32672</v>
      </c>
      <c r="H6500" t="s">
        <v>12635</v>
      </c>
      <c r="I6500" t="s">
        <v>4439</v>
      </c>
      <c r="J6500" t="s">
        <v>36862</v>
      </c>
      <c r="K6500" t="s">
        <v>42281</v>
      </c>
      <c r="L6500" t="s">
        <v>2082</v>
      </c>
      <c r="M6500" t="s">
        <v>44834</v>
      </c>
      <c r="N6500" t="s">
        <v>46569</v>
      </c>
      <c r="O6500" t="s">
        <v>46570</v>
      </c>
      <c r="P6500">
        <v>0</v>
      </c>
      <c r="Q6500">
        <v>0</v>
      </c>
      <c r="R6500" t="s">
        <v>46573</v>
      </c>
      <c r="S6500" t="s">
        <v>46705</v>
      </c>
      <c r="T6500" t="s">
        <v>48579</v>
      </c>
      <c r="U6500" t="s">
        <v>54172</v>
      </c>
      <c r="W6500" t="s">
        <v>44834</v>
      </c>
      <c r="X6500" t="s">
        <v>46574</v>
      </c>
    </row>
    <row r="6501" spans="1:24">
      <c r="A6501">
        <f>HYPERLINK("https://www.philgeps.gov.ph/GEPSNONPILOT/Tender/SplashBidNoticeAbstractUI.aspx?menuIndex=3&amp;refID=7060968&amp;Result=3","7060968")</f>
        <v>0</v>
      </c>
      <c r="B6501" t="s">
        <v>796</v>
      </c>
      <c r="C6501" t="s">
        <v>9705</v>
      </c>
      <c r="D6501" t="s">
        <v>18801</v>
      </c>
      <c r="E6501" t="s">
        <v>24647</v>
      </c>
      <c r="F6501" t="s">
        <v>32664</v>
      </c>
      <c r="G6501" t="s">
        <v>32672</v>
      </c>
      <c r="H6501" t="s">
        <v>32683</v>
      </c>
      <c r="I6501" t="s">
        <v>10627</v>
      </c>
      <c r="J6501" t="s">
        <v>36848</v>
      </c>
      <c r="K6501" t="s">
        <v>42311</v>
      </c>
      <c r="M6501" t="s">
        <v>43388</v>
      </c>
      <c r="N6501" t="s">
        <v>46569</v>
      </c>
      <c r="O6501" t="s">
        <v>46570</v>
      </c>
      <c r="P6501">
        <v>0</v>
      </c>
      <c r="Q6501">
        <v>3</v>
      </c>
      <c r="R6501" t="s">
        <v>46573</v>
      </c>
      <c r="S6501" t="s">
        <v>46705</v>
      </c>
      <c r="T6501" t="s">
        <v>48220</v>
      </c>
      <c r="U6501" t="s">
        <v>54125</v>
      </c>
      <c r="W6501" t="s">
        <v>63490</v>
      </c>
      <c r="X6501" t="s">
        <v>46574</v>
      </c>
    </row>
    <row r="6502" spans="1:24">
      <c r="A6502">
        <f>HYPERLINK("https://www.philgeps.gov.ph/GEPSNONPILOT/Tender/SplashBidNoticeAbstractUI.aspx?menuIndex=3&amp;refID=7060967&amp;Result=3","7060967")</f>
        <v>0</v>
      </c>
      <c r="B6502" t="s">
        <v>2087</v>
      </c>
      <c r="C6502" t="s">
        <v>9706</v>
      </c>
      <c r="D6502" t="s">
        <v>18850</v>
      </c>
      <c r="E6502" t="s">
        <v>24648</v>
      </c>
      <c r="F6502" t="s">
        <v>32667</v>
      </c>
      <c r="G6502" t="s">
        <v>32674</v>
      </c>
      <c r="H6502" t="s">
        <v>32683</v>
      </c>
      <c r="I6502" t="s">
        <v>6628</v>
      </c>
      <c r="J6502" t="s">
        <v>32845</v>
      </c>
      <c r="K6502" t="s">
        <v>42283</v>
      </c>
      <c r="M6502" t="s">
        <v>44841</v>
      </c>
      <c r="N6502" t="s">
        <v>46569</v>
      </c>
      <c r="O6502" t="s">
        <v>46570</v>
      </c>
      <c r="P6502">
        <v>0</v>
      </c>
      <c r="Q6502">
        <v>0</v>
      </c>
      <c r="R6502" t="s">
        <v>46573</v>
      </c>
      <c r="S6502" t="s">
        <v>46705</v>
      </c>
      <c r="T6502" t="s">
        <v>48228</v>
      </c>
      <c r="U6502" t="s">
        <v>54173</v>
      </c>
      <c r="W6502" t="s">
        <v>44841</v>
      </c>
      <c r="X6502" t="s">
        <v>46574</v>
      </c>
    </row>
    <row r="6503" spans="1:24">
      <c r="A6503">
        <f>HYPERLINK("https://www.philgeps.gov.ph/GEPSNONPILOT/Tender/SplashBidNoticeAbstractUI.aspx?menuIndex=3&amp;refID=7060966&amp;Result=3","7060966")</f>
        <v>0</v>
      </c>
      <c r="B6503" t="s">
        <v>791</v>
      </c>
      <c r="C6503" t="s">
        <v>9707</v>
      </c>
      <c r="D6503" t="s">
        <v>18785</v>
      </c>
      <c r="E6503" t="s">
        <v>24649</v>
      </c>
      <c r="F6503" t="s">
        <v>32664</v>
      </c>
      <c r="G6503" t="s">
        <v>32674</v>
      </c>
      <c r="H6503" t="s">
        <v>12635</v>
      </c>
      <c r="I6503" t="s">
        <v>32690</v>
      </c>
      <c r="J6503" t="s">
        <v>36863</v>
      </c>
      <c r="K6503" t="s">
        <v>42297</v>
      </c>
      <c r="M6503" t="s">
        <v>43383</v>
      </c>
      <c r="N6503" t="s">
        <v>46569</v>
      </c>
      <c r="O6503" t="s">
        <v>46570</v>
      </c>
      <c r="P6503">
        <v>0</v>
      </c>
      <c r="Q6503">
        <v>3</v>
      </c>
      <c r="R6503" t="s">
        <v>46573</v>
      </c>
      <c r="S6503" t="s">
        <v>46705</v>
      </c>
      <c r="T6503" t="s">
        <v>48238</v>
      </c>
      <c r="U6503" t="s">
        <v>54174</v>
      </c>
      <c r="W6503" t="s">
        <v>43383</v>
      </c>
      <c r="X6503" t="s">
        <v>46574</v>
      </c>
    </row>
    <row r="6504" spans="1:24">
      <c r="A6504">
        <f>HYPERLINK("https://www.philgeps.gov.ph/GEPSNONPILOT/Tender/SplashBidNoticeAbstractUI.aspx?menuIndex=3&amp;refID=7060974&amp;Result=3","7060974")</f>
        <v>0</v>
      </c>
      <c r="B6504" t="s">
        <v>798</v>
      </c>
      <c r="C6504" t="s">
        <v>9708</v>
      </c>
      <c r="D6504" t="s">
        <v>18830</v>
      </c>
      <c r="E6504" t="s">
        <v>22645</v>
      </c>
      <c r="F6504" t="s">
        <v>32664</v>
      </c>
      <c r="G6504" t="s">
        <v>32674</v>
      </c>
      <c r="H6504" t="s">
        <v>12635</v>
      </c>
      <c r="I6504" t="s">
        <v>10370</v>
      </c>
      <c r="J6504" t="s">
        <v>36864</v>
      </c>
      <c r="K6504" t="s">
        <v>42281</v>
      </c>
      <c r="M6504" t="s">
        <v>43390</v>
      </c>
      <c r="N6504" t="s">
        <v>46569</v>
      </c>
      <c r="O6504" t="s">
        <v>46570</v>
      </c>
      <c r="P6504">
        <v>0</v>
      </c>
      <c r="Q6504">
        <v>4</v>
      </c>
      <c r="R6504" t="s">
        <v>46573</v>
      </c>
      <c r="S6504" t="s">
        <v>46705</v>
      </c>
      <c r="T6504" t="s">
        <v>48307</v>
      </c>
      <c r="U6504" t="s">
        <v>54129</v>
      </c>
      <c r="W6504" t="s">
        <v>43390</v>
      </c>
      <c r="X6504" t="s">
        <v>46574</v>
      </c>
    </row>
    <row r="6505" spans="1:24">
      <c r="A6505">
        <f>HYPERLINK("https://www.philgeps.gov.ph/GEPSNONPILOT/Tender/SplashBidNoticeAbstractUI.aspx?menuIndex=3&amp;refID=7060964&amp;Result=3","7060964")</f>
        <v>0</v>
      </c>
      <c r="B6505" t="s">
        <v>1503</v>
      </c>
      <c r="C6505" t="s">
        <v>9709</v>
      </c>
      <c r="D6505" t="s">
        <v>18784</v>
      </c>
      <c r="E6505" t="s">
        <v>24650</v>
      </c>
      <c r="F6505" t="s">
        <v>32664</v>
      </c>
      <c r="G6505" t="s">
        <v>32675</v>
      </c>
      <c r="H6505" t="s">
        <v>12635</v>
      </c>
      <c r="I6505" t="s">
        <v>8730</v>
      </c>
      <c r="J6505" t="s">
        <v>36865</v>
      </c>
      <c r="K6505" t="s">
        <v>42284</v>
      </c>
      <c r="M6505" t="s">
        <v>44167</v>
      </c>
      <c r="N6505" t="s">
        <v>46569</v>
      </c>
      <c r="O6505" t="s">
        <v>46570</v>
      </c>
      <c r="P6505">
        <v>0</v>
      </c>
      <c r="Q6505">
        <v>21</v>
      </c>
      <c r="R6505" t="s">
        <v>46573</v>
      </c>
      <c r="S6505" t="s">
        <v>46705</v>
      </c>
      <c r="T6505" t="s">
        <v>48331</v>
      </c>
      <c r="U6505" t="s">
        <v>53986</v>
      </c>
      <c r="W6505" t="s">
        <v>44167</v>
      </c>
      <c r="X6505" t="s">
        <v>46574</v>
      </c>
    </row>
    <row r="6506" spans="1:24">
      <c r="A6506">
        <f>HYPERLINK("https://www.philgeps.gov.ph/GEPSNONPILOT/Tender/SplashBidNoticeAbstractUI.aspx?menuIndex=3&amp;refID=7060963&amp;Result=3","7060963")</f>
        <v>0</v>
      </c>
      <c r="B6506" t="s">
        <v>2085</v>
      </c>
      <c r="C6506" t="s">
        <v>9710</v>
      </c>
      <c r="D6506" t="s">
        <v>18794</v>
      </c>
      <c r="E6506" t="s">
        <v>24651</v>
      </c>
      <c r="F6506" t="s">
        <v>32664</v>
      </c>
      <c r="G6506" t="s">
        <v>32674</v>
      </c>
      <c r="H6506" t="s">
        <v>12635</v>
      </c>
      <c r="I6506" t="s">
        <v>32743</v>
      </c>
      <c r="J6506" t="s">
        <v>36866</v>
      </c>
      <c r="K6506" t="s">
        <v>42283</v>
      </c>
      <c r="M6506" t="s">
        <v>44839</v>
      </c>
      <c r="N6506" t="s">
        <v>46569</v>
      </c>
      <c r="O6506" t="s">
        <v>46570</v>
      </c>
      <c r="P6506">
        <v>0</v>
      </c>
      <c r="Q6506">
        <v>4</v>
      </c>
      <c r="R6506" t="s">
        <v>46573</v>
      </c>
      <c r="S6506" t="s">
        <v>46705</v>
      </c>
      <c r="T6506" t="s">
        <v>48283</v>
      </c>
      <c r="U6506" t="s">
        <v>54161</v>
      </c>
      <c r="W6506" t="s">
        <v>44839</v>
      </c>
      <c r="X6506" t="s">
        <v>46574</v>
      </c>
    </row>
    <row r="6507" spans="1:24">
      <c r="A6507">
        <f>HYPERLINK("https://www.philgeps.gov.ph/GEPSNONPILOT/Tender/SplashBidNoticeAbstractUI.aspx?menuIndex=3&amp;refID=7060971&amp;Result=3","7060971")</f>
        <v>0</v>
      </c>
      <c r="B6507" t="s">
        <v>495</v>
      </c>
      <c r="C6507" t="s">
        <v>9711</v>
      </c>
      <c r="D6507" t="s">
        <v>18791</v>
      </c>
      <c r="E6507" t="s">
        <v>20461</v>
      </c>
      <c r="F6507" t="s">
        <v>32664</v>
      </c>
      <c r="G6507" t="s">
        <v>32671</v>
      </c>
      <c r="H6507" t="s">
        <v>12635</v>
      </c>
      <c r="I6507" t="s">
        <v>13883</v>
      </c>
      <c r="J6507" t="s">
        <v>36867</v>
      </c>
      <c r="K6507" t="s">
        <v>42289</v>
      </c>
      <c r="M6507" t="s">
        <v>43071</v>
      </c>
      <c r="N6507" t="s">
        <v>46569</v>
      </c>
      <c r="O6507" t="s">
        <v>46570</v>
      </c>
      <c r="P6507">
        <v>0</v>
      </c>
      <c r="Q6507">
        <v>5</v>
      </c>
      <c r="R6507" t="s">
        <v>46573</v>
      </c>
      <c r="S6507" t="s">
        <v>46705</v>
      </c>
      <c r="T6507" t="s">
        <v>48293</v>
      </c>
      <c r="U6507" t="s">
        <v>54175</v>
      </c>
      <c r="W6507" t="s">
        <v>43071</v>
      </c>
      <c r="X6507" t="s">
        <v>46574</v>
      </c>
    </row>
    <row r="6508" spans="1:24">
      <c r="A6508">
        <f>HYPERLINK("https://www.philgeps.gov.ph/GEPSNONPILOT/Tender/SplashBidNoticeAbstractUI.aspx?menuIndex=3&amp;refID=7060948&amp;Result=3","7060948")</f>
        <v>0</v>
      </c>
      <c r="B6508" t="s">
        <v>1914</v>
      </c>
      <c r="C6508" t="s">
        <v>9712</v>
      </c>
      <c r="D6508" t="s">
        <v>18799</v>
      </c>
      <c r="E6508" t="s">
        <v>19152</v>
      </c>
      <c r="F6508" t="s">
        <v>32664</v>
      </c>
      <c r="G6508" t="s">
        <v>32674</v>
      </c>
      <c r="H6508" t="s">
        <v>12635</v>
      </c>
      <c r="I6508" t="s">
        <v>6168</v>
      </c>
      <c r="J6508" t="s">
        <v>36868</v>
      </c>
      <c r="K6508" t="s">
        <v>42295</v>
      </c>
      <c r="M6508" t="s">
        <v>44635</v>
      </c>
      <c r="N6508" t="s">
        <v>46569</v>
      </c>
      <c r="O6508" t="s">
        <v>46570</v>
      </c>
      <c r="P6508">
        <v>0</v>
      </c>
      <c r="Q6508">
        <v>0</v>
      </c>
      <c r="R6508" t="s">
        <v>46573</v>
      </c>
      <c r="S6508" t="s">
        <v>46705</v>
      </c>
      <c r="T6508" t="s">
        <v>48254</v>
      </c>
      <c r="U6508" t="s">
        <v>54176</v>
      </c>
      <c r="W6508" t="s">
        <v>44635</v>
      </c>
      <c r="X6508" t="s">
        <v>46574</v>
      </c>
    </row>
    <row r="6509" spans="1:24">
      <c r="A6509">
        <f>HYPERLINK("https://www.philgeps.gov.ph/GEPSNONPILOT/Tender/SplashBidNoticeAbstractUI.aspx?menuIndex=3&amp;refID=7060975&amp;Result=3","7060975")</f>
        <v>0</v>
      </c>
      <c r="B6509" t="s">
        <v>1288</v>
      </c>
      <c r="C6509" t="s">
        <v>9713</v>
      </c>
      <c r="D6509" t="s">
        <v>18824</v>
      </c>
      <c r="E6509" t="s">
        <v>24652</v>
      </c>
      <c r="F6509" t="s">
        <v>32664</v>
      </c>
      <c r="G6509" t="s">
        <v>32671</v>
      </c>
      <c r="H6509" t="s">
        <v>12635</v>
      </c>
      <c r="I6509" t="s">
        <v>32756</v>
      </c>
      <c r="J6509" t="s">
        <v>34624</v>
      </c>
      <c r="K6509" t="s">
        <v>42295</v>
      </c>
      <c r="M6509" t="s">
        <v>43931</v>
      </c>
      <c r="N6509" t="s">
        <v>46569</v>
      </c>
      <c r="O6509" t="s">
        <v>46570</v>
      </c>
      <c r="P6509">
        <v>0</v>
      </c>
      <c r="Q6509">
        <v>2</v>
      </c>
      <c r="R6509" t="s">
        <v>46573</v>
      </c>
      <c r="S6509" t="s">
        <v>46705</v>
      </c>
      <c r="T6509" t="s">
        <v>48290</v>
      </c>
      <c r="U6509" t="s">
        <v>54177</v>
      </c>
      <c r="V6509" t="s">
        <v>62275</v>
      </c>
      <c r="W6509" t="s">
        <v>43931</v>
      </c>
      <c r="X6509" t="s">
        <v>46574</v>
      </c>
    </row>
    <row r="6510" spans="1:24">
      <c r="A6510">
        <f>HYPERLINK("https://www.philgeps.gov.ph/GEPSNONPILOT/Tender/SplashBidNoticeAbstractUI.aspx?menuIndex=3&amp;refID=7060946&amp;Result=3","7060946")</f>
        <v>0</v>
      </c>
      <c r="B6510" t="s">
        <v>199</v>
      </c>
      <c r="C6510" t="s">
        <v>9714</v>
      </c>
      <c r="D6510" t="s">
        <v>18789</v>
      </c>
      <c r="E6510" t="s">
        <v>24653</v>
      </c>
      <c r="F6510" t="s">
        <v>32664</v>
      </c>
      <c r="G6510" t="s">
        <v>32671</v>
      </c>
      <c r="H6510" t="s">
        <v>32683</v>
      </c>
      <c r="I6510" t="s">
        <v>10627</v>
      </c>
      <c r="J6510" t="s">
        <v>33461</v>
      </c>
      <c r="K6510" t="s">
        <v>42297</v>
      </c>
      <c r="M6510" t="s">
        <v>43810</v>
      </c>
      <c r="N6510" t="s">
        <v>46569</v>
      </c>
      <c r="O6510" t="s">
        <v>46570</v>
      </c>
      <c r="P6510">
        <v>0</v>
      </c>
      <c r="Q6510">
        <v>0</v>
      </c>
      <c r="R6510" t="s">
        <v>46573</v>
      </c>
      <c r="S6510" t="s">
        <v>46705</v>
      </c>
      <c r="T6510" t="s">
        <v>48376</v>
      </c>
      <c r="U6510" t="s">
        <v>54178</v>
      </c>
      <c r="V6510" t="s">
        <v>61918</v>
      </c>
      <c r="W6510" t="s">
        <v>43810</v>
      </c>
      <c r="X6510" t="s">
        <v>46574</v>
      </c>
    </row>
    <row r="6511" spans="1:24">
      <c r="A6511">
        <f>HYPERLINK("https://www.philgeps.gov.ph/GEPSNONPILOT/Tender/SplashBidNoticeAbstractUI.aspx?menuIndex=3&amp;refID=7060944&amp;Result=3","7060944")</f>
        <v>0</v>
      </c>
      <c r="B6511" t="s">
        <v>2062</v>
      </c>
      <c r="C6511" t="s">
        <v>9715</v>
      </c>
      <c r="D6511" t="s">
        <v>18827</v>
      </c>
      <c r="E6511" t="s">
        <v>24654</v>
      </c>
      <c r="F6511" t="s">
        <v>32664</v>
      </c>
      <c r="G6511" t="s">
        <v>32674</v>
      </c>
      <c r="H6511" t="s">
        <v>12635</v>
      </c>
      <c r="I6511" t="s">
        <v>32699</v>
      </c>
      <c r="J6511" t="s">
        <v>36869</v>
      </c>
      <c r="K6511" t="s">
        <v>42295</v>
      </c>
      <c r="M6511" t="s">
        <v>44811</v>
      </c>
      <c r="N6511" t="s">
        <v>46569</v>
      </c>
      <c r="O6511" t="s">
        <v>46570</v>
      </c>
      <c r="P6511">
        <v>0</v>
      </c>
      <c r="Q6511">
        <v>4</v>
      </c>
      <c r="R6511" t="s">
        <v>46573</v>
      </c>
      <c r="S6511" t="s">
        <v>46705</v>
      </c>
      <c r="T6511" t="s">
        <v>48473</v>
      </c>
      <c r="U6511" t="s">
        <v>54179</v>
      </c>
      <c r="W6511" t="s">
        <v>44811</v>
      </c>
      <c r="X6511" t="s">
        <v>46574</v>
      </c>
    </row>
    <row r="6512" spans="1:24">
      <c r="A6512">
        <f>HYPERLINK("https://www.philgeps.gov.ph/GEPSNONPILOT/Tender/SplashBidNoticeAbstractUI.aspx?menuIndex=3&amp;refID=7060965&amp;Result=3","7060965")</f>
        <v>0</v>
      </c>
      <c r="B6512" t="s">
        <v>600</v>
      </c>
      <c r="C6512" t="s">
        <v>9716</v>
      </c>
      <c r="D6512" t="s">
        <v>18802</v>
      </c>
      <c r="E6512" t="s">
        <v>24655</v>
      </c>
      <c r="F6512" t="s">
        <v>32664</v>
      </c>
      <c r="G6512" t="s">
        <v>32671</v>
      </c>
      <c r="H6512" t="s">
        <v>12635</v>
      </c>
      <c r="I6512" t="s">
        <v>4439</v>
      </c>
      <c r="J6512" t="s">
        <v>36870</v>
      </c>
      <c r="K6512" t="s">
        <v>42284</v>
      </c>
      <c r="M6512" t="s">
        <v>43180</v>
      </c>
      <c r="N6512" t="s">
        <v>46569</v>
      </c>
      <c r="O6512" t="s">
        <v>46570</v>
      </c>
      <c r="P6512">
        <v>0</v>
      </c>
      <c r="Q6512">
        <v>1</v>
      </c>
      <c r="R6512" t="s">
        <v>46573</v>
      </c>
      <c r="S6512" t="s">
        <v>46705</v>
      </c>
      <c r="T6512" t="s">
        <v>48287</v>
      </c>
      <c r="U6512" t="s">
        <v>54180</v>
      </c>
      <c r="W6512" t="s">
        <v>43180</v>
      </c>
      <c r="X6512" t="s">
        <v>46574</v>
      </c>
    </row>
    <row r="6513" spans="1:24">
      <c r="A6513">
        <f>HYPERLINK("https://www.philgeps.gov.ph/GEPSNONPILOT/Tender/SplashBidNoticeAbstractUI.aspx?menuIndex=3&amp;refID=7060949&amp;Result=3","7060949")</f>
        <v>0</v>
      </c>
      <c r="B6513" t="s">
        <v>1211</v>
      </c>
      <c r="C6513" t="s">
        <v>9717</v>
      </c>
      <c r="D6513" t="s">
        <v>18784</v>
      </c>
      <c r="E6513" t="s">
        <v>24656</v>
      </c>
      <c r="F6513" t="s">
        <v>32664</v>
      </c>
      <c r="G6513" t="s">
        <v>32675</v>
      </c>
      <c r="H6513" t="s">
        <v>12635</v>
      </c>
      <c r="I6513" t="s">
        <v>11464</v>
      </c>
      <c r="J6513" t="s">
        <v>33755</v>
      </c>
      <c r="K6513" t="s">
        <v>42309</v>
      </c>
      <c r="M6513" t="s">
        <v>43849</v>
      </c>
      <c r="N6513" t="s">
        <v>46569</v>
      </c>
      <c r="O6513" t="s">
        <v>46570</v>
      </c>
      <c r="P6513">
        <v>0</v>
      </c>
      <c r="Q6513">
        <v>0</v>
      </c>
      <c r="R6513" t="s">
        <v>46573</v>
      </c>
      <c r="S6513" t="s">
        <v>46705</v>
      </c>
      <c r="T6513" t="s">
        <v>48287</v>
      </c>
      <c r="U6513" t="s">
        <v>54181</v>
      </c>
      <c r="W6513" t="s">
        <v>43849</v>
      </c>
      <c r="X6513" t="s">
        <v>46574</v>
      </c>
    </row>
    <row r="6514" spans="1:24">
      <c r="A6514">
        <f>HYPERLINK("https://www.philgeps.gov.ph/GEPSNONPILOT/Tender/SplashBidNoticeAbstractUI.aspx?menuIndex=3&amp;refID=7060941&amp;Result=3","7060941")</f>
        <v>0</v>
      </c>
      <c r="B6514" t="s">
        <v>2088</v>
      </c>
      <c r="C6514" t="s">
        <v>9718</v>
      </c>
      <c r="D6514" t="s">
        <v>18792</v>
      </c>
      <c r="E6514" t="s">
        <v>24657</v>
      </c>
      <c r="F6514" t="s">
        <v>32664</v>
      </c>
      <c r="G6514" t="s">
        <v>32672</v>
      </c>
      <c r="H6514" t="s">
        <v>32683</v>
      </c>
      <c r="I6514" t="s">
        <v>10627</v>
      </c>
      <c r="J6514" t="s">
        <v>34075</v>
      </c>
      <c r="K6514" t="s">
        <v>42342</v>
      </c>
      <c r="M6514" t="s">
        <v>44842</v>
      </c>
      <c r="N6514" t="s">
        <v>46569</v>
      </c>
      <c r="O6514" t="s">
        <v>46570</v>
      </c>
      <c r="P6514">
        <v>0</v>
      </c>
      <c r="Q6514">
        <v>0</v>
      </c>
      <c r="R6514" t="s">
        <v>46573</v>
      </c>
      <c r="S6514" t="s">
        <v>46705</v>
      </c>
      <c r="T6514" t="s">
        <v>48349</v>
      </c>
      <c r="U6514" t="s">
        <v>54182</v>
      </c>
      <c r="W6514" t="s">
        <v>44842</v>
      </c>
      <c r="X6514" t="s">
        <v>46574</v>
      </c>
    </row>
    <row r="6515" spans="1:24">
      <c r="A6515">
        <f>HYPERLINK("https://www.philgeps.gov.ph/GEPSNONPILOT/Tender/SplashBidNoticeAbstractUI.aspx?menuIndex=3&amp;refID=7060947&amp;Result=3","7060947")</f>
        <v>0</v>
      </c>
      <c r="B6515" t="s">
        <v>2059</v>
      </c>
      <c r="C6515" t="s">
        <v>9719</v>
      </c>
      <c r="D6515" t="s">
        <v>18806</v>
      </c>
      <c r="E6515" t="s">
        <v>19299</v>
      </c>
      <c r="F6515" t="s">
        <v>32664</v>
      </c>
      <c r="G6515" t="s">
        <v>32672</v>
      </c>
      <c r="H6515" t="s">
        <v>12635</v>
      </c>
      <c r="I6515" t="s">
        <v>32697</v>
      </c>
      <c r="J6515" t="s">
        <v>36871</v>
      </c>
      <c r="K6515" t="s">
        <v>42298</v>
      </c>
      <c r="M6515" t="s">
        <v>44808</v>
      </c>
      <c r="N6515" t="s">
        <v>46569</v>
      </c>
      <c r="O6515" t="s">
        <v>46570</v>
      </c>
      <c r="P6515">
        <v>0</v>
      </c>
      <c r="Q6515">
        <v>1</v>
      </c>
      <c r="R6515" t="s">
        <v>46573</v>
      </c>
      <c r="S6515" t="s">
        <v>46705</v>
      </c>
      <c r="T6515" t="s">
        <v>48356</v>
      </c>
      <c r="U6515" t="s">
        <v>54183</v>
      </c>
      <c r="W6515" t="s">
        <v>44808</v>
      </c>
      <c r="X6515" t="s">
        <v>46574</v>
      </c>
    </row>
    <row r="6516" spans="1:24">
      <c r="A6516">
        <f>HYPERLINK("https://www.philgeps.gov.ph/GEPSNONPILOT/Tender/SplashBidNoticeAbstractUI.aspx?menuIndex=3&amp;refID=7060942&amp;Result=3","7060942")</f>
        <v>0</v>
      </c>
      <c r="B6516" t="s">
        <v>2089</v>
      </c>
      <c r="C6516" t="s">
        <v>9720</v>
      </c>
      <c r="D6516" t="s">
        <v>18834</v>
      </c>
      <c r="E6516" t="s">
        <v>24658</v>
      </c>
      <c r="F6516" t="s">
        <v>32664</v>
      </c>
      <c r="G6516" t="s">
        <v>32672</v>
      </c>
      <c r="H6516" t="s">
        <v>12635</v>
      </c>
      <c r="I6516" t="s">
        <v>8797</v>
      </c>
      <c r="J6516" t="s">
        <v>36872</v>
      </c>
      <c r="K6516" t="s">
        <v>42283</v>
      </c>
      <c r="M6516" t="s">
        <v>44843</v>
      </c>
      <c r="N6516" t="s">
        <v>46569</v>
      </c>
      <c r="O6516" t="s">
        <v>46570</v>
      </c>
      <c r="P6516">
        <v>0</v>
      </c>
      <c r="Q6516">
        <v>14</v>
      </c>
      <c r="R6516" t="s">
        <v>46573</v>
      </c>
      <c r="S6516" t="s">
        <v>46705</v>
      </c>
      <c r="T6516" t="s">
        <v>48308</v>
      </c>
      <c r="U6516" t="s">
        <v>54184</v>
      </c>
      <c r="W6516" t="s">
        <v>44843</v>
      </c>
      <c r="X6516" t="s">
        <v>46574</v>
      </c>
    </row>
    <row r="6517" spans="1:24">
      <c r="A6517">
        <f>HYPERLINK("https://www.philgeps.gov.ph/GEPSNONPILOT/Tender/SplashBidNoticeAbstractUI.aspx?menuIndex=3&amp;refID=7060917&amp;Result=3","7060917")</f>
        <v>0</v>
      </c>
      <c r="B6517" t="s">
        <v>357</v>
      </c>
      <c r="C6517" t="s">
        <v>9721</v>
      </c>
      <c r="D6517" t="s">
        <v>18805</v>
      </c>
      <c r="E6517" t="s">
        <v>24659</v>
      </c>
      <c r="F6517" t="s">
        <v>32664</v>
      </c>
      <c r="G6517" t="s">
        <v>32671</v>
      </c>
      <c r="H6517" t="s">
        <v>12635</v>
      </c>
      <c r="I6517" t="s">
        <v>10590</v>
      </c>
      <c r="J6517" t="s">
        <v>34921</v>
      </c>
      <c r="K6517" t="s">
        <v>42303</v>
      </c>
      <c r="M6517" t="s">
        <v>42926</v>
      </c>
      <c r="N6517" t="s">
        <v>46569</v>
      </c>
      <c r="O6517" t="s">
        <v>46570</v>
      </c>
      <c r="P6517">
        <v>0</v>
      </c>
      <c r="Q6517">
        <v>0</v>
      </c>
      <c r="R6517" t="s">
        <v>46573</v>
      </c>
      <c r="S6517" t="s">
        <v>46705</v>
      </c>
      <c r="T6517" t="s">
        <v>48287</v>
      </c>
      <c r="U6517" t="s">
        <v>49425</v>
      </c>
      <c r="W6517" t="s">
        <v>42926</v>
      </c>
      <c r="X6517" t="s">
        <v>46574</v>
      </c>
    </row>
    <row r="6518" spans="1:24">
      <c r="A6518">
        <f>HYPERLINK("https://www.philgeps.gov.ph/GEPSNONPILOT/Tender/SplashBidNoticeAbstractUI.aspx?menuIndex=3&amp;refID=7060954&amp;Result=3","7060954")</f>
        <v>0</v>
      </c>
      <c r="B6518" t="s">
        <v>542</v>
      </c>
      <c r="C6518" t="s">
        <v>9722</v>
      </c>
      <c r="D6518" t="s">
        <v>18781</v>
      </c>
      <c r="E6518" t="s">
        <v>24660</v>
      </c>
      <c r="F6518" t="s">
        <v>32664</v>
      </c>
      <c r="G6518" t="s">
        <v>32672</v>
      </c>
      <c r="H6518" t="s">
        <v>32683</v>
      </c>
      <c r="I6518" t="s">
        <v>10627</v>
      </c>
      <c r="J6518" t="s">
        <v>33051</v>
      </c>
      <c r="K6518" t="s">
        <v>42297</v>
      </c>
      <c r="M6518" t="s">
        <v>43121</v>
      </c>
      <c r="N6518" t="s">
        <v>46569</v>
      </c>
      <c r="O6518" t="s">
        <v>46570</v>
      </c>
      <c r="P6518">
        <v>0</v>
      </c>
      <c r="Q6518">
        <v>0</v>
      </c>
      <c r="R6518" t="s">
        <v>46573</v>
      </c>
      <c r="S6518" t="s">
        <v>46705</v>
      </c>
      <c r="T6518" t="s">
        <v>48581</v>
      </c>
      <c r="U6518" t="s">
        <v>54185</v>
      </c>
      <c r="V6518" t="s">
        <v>62204</v>
      </c>
      <c r="W6518" t="s">
        <v>43121</v>
      </c>
      <c r="X6518" t="s">
        <v>46574</v>
      </c>
    </row>
    <row r="6519" spans="1:24">
      <c r="A6519">
        <f>HYPERLINK("https://www.philgeps.gov.ph/GEPSNONPILOT/Tender/SplashBidNoticeAbstractUI.aspx?menuIndex=3&amp;refID=7060875&amp;Result=3","7060875")</f>
        <v>0</v>
      </c>
      <c r="B6519" t="s">
        <v>1745</v>
      </c>
      <c r="C6519" t="s">
        <v>9723</v>
      </c>
      <c r="D6519" t="s">
        <v>18822</v>
      </c>
      <c r="E6519" t="s">
        <v>24661</v>
      </c>
      <c r="F6519" t="s">
        <v>32664</v>
      </c>
      <c r="G6519" t="s">
        <v>32674</v>
      </c>
      <c r="H6519" t="s">
        <v>12635</v>
      </c>
      <c r="I6519" t="s">
        <v>5589</v>
      </c>
      <c r="J6519" t="s">
        <v>33299</v>
      </c>
      <c r="K6519" t="s">
        <v>42284</v>
      </c>
      <c r="M6519" t="s">
        <v>44444</v>
      </c>
      <c r="N6519" t="s">
        <v>46569</v>
      </c>
      <c r="O6519" t="s">
        <v>46570</v>
      </c>
      <c r="P6519">
        <v>0</v>
      </c>
      <c r="Q6519">
        <v>1</v>
      </c>
      <c r="R6519" t="s">
        <v>46573</v>
      </c>
      <c r="S6519" t="s">
        <v>46705</v>
      </c>
      <c r="T6519" t="s">
        <v>48287</v>
      </c>
      <c r="U6519" t="s">
        <v>54186</v>
      </c>
      <c r="W6519" t="s">
        <v>44444</v>
      </c>
      <c r="X6519" t="s">
        <v>46574</v>
      </c>
    </row>
    <row r="6520" spans="1:24">
      <c r="A6520">
        <f>HYPERLINK("https://www.philgeps.gov.ph/GEPSNONPILOT/Tender/SplashBidNoticeAbstractUI.aspx?menuIndex=3&amp;refID=7060973&amp;Result=3","7060973")</f>
        <v>0</v>
      </c>
      <c r="B6520" t="s">
        <v>868</v>
      </c>
      <c r="C6520" t="s">
        <v>9724</v>
      </c>
      <c r="D6520" t="s">
        <v>18784</v>
      </c>
      <c r="E6520" t="s">
        <v>24662</v>
      </c>
      <c r="F6520" t="s">
        <v>32664</v>
      </c>
      <c r="G6520" t="s">
        <v>32671</v>
      </c>
      <c r="H6520" t="s">
        <v>12635</v>
      </c>
      <c r="I6520" t="s">
        <v>32705</v>
      </c>
      <c r="J6520" t="s">
        <v>36873</v>
      </c>
      <c r="K6520" t="s">
        <v>42283</v>
      </c>
      <c r="M6520" t="s">
        <v>43468</v>
      </c>
      <c r="N6520" t="s">
        <v>46569</v>
      </c>
      <c r="O6520" t="s">
        <v>46570</v>
      </c>
      <c r="P6520">
        <v>0</v>
      </c>
      <c r="Q6520">
        <v>1</v>
      </c>
      <c r="R6520" t="s">
        <v>46573</v>
      </c>
      <c r="S6520" t="s">
        <v>46705</v>
      </c>
      <c r="T6520" t="s">
        <v>48316</v>
      </c>
      <c r="U6520" t="s">
        <v>54187</v>
      </c>
      <c r="W6520" t="s">
        <v>43468</v>
      </c>
      <c r="X6520" t="s">
        <v>46574</v>
      </c>
    </row>
    <row r="6521" spans="1:24">
      <c r="A6521">
        <f>HYPERLINK("https://www.philgeps.gov.ph/GEPSNONPILOT/Tender/SplashBidNoticeAbstractUI.aspx?menuIndex=3&amp;refID=7060943&amp;Result=3","7060943")</f>
        <v>0</v>
      </c>
      <c r="B6521" t="s">
        <v>2082</v>
      </c>
      <c r="C6521" t="s">
        <v>9725</v>
      </c>
      <c r="D6521" t="s">
        <v>18799</v>
      </c>
      <c r="E6521" t="s">
        <v>24663</v>
      </c>
      <c r="F6521" t="s">
        <v>32664</v>
      </c>
      <c r="G6521" t="s">
        <v>32672</v>
      </c>
      <c r="H6521" t="s">
        <v>12635</v>
      </c>
      <c r="I6521" t="s">
        <v>4439</v>
      </c>
      <c r="J6521" t="s">
        <v>36658</v>
      </c>
      <c r="K6521" t="s">
        <v>42281</v>
      </c>
      <c r="L6521" t="s">
        <v>2082</v>
      </c>
      <c r="M6521" t="s">
        <v>44834</v>
      </c>
      <c r="N6521" t="s">
        <v>46569</v>
      </c>
      <c r="O6521" t="s">
        <v>46570</v>
      </c>
      <c r="P6521">
        <v>0</v>
      </c>
      <c r="Q6521">
        <v>0</v>
      </c>
      <c r="R6521" t="s">
        <v>46573</v>
      </c>
      <c r="S6521" t="s">
        <v>46705</v>
      </c>
      <c r="T6521" t="s">
        <v>48579</v>
      </c>
      <c r="U6521" t="s">
        <v>54188</v>
      </c>
      <c r="W6521" t="s">
        <v>44834</v>
      </c>
      <c r="X6521" t="s">
        <v>46574</v>
      </c>
    </row>
    <row r="6522" spans="1:24">
      <c r="A6522">
        <f>HYPERLINK("https://www.philgeps.gov.ph/GEPSNONPILOT/Tender/SplashBidNoticeAbstractUI.aspx?menuIndex=3&amp;refID=7060873&amp;Result=3","7060873")</f>
        <v>0</v>
      </c>
      <c r="B6522" t="s">
        <v>347</v>
      </c>
      <c r="C6522" t="s">
        <v>9726</v>
      </c>
      <c r="D6522" t="s">
        <v>18792</v>
      </c>
      <c r="E6522" t="s">
        <v>24664</v>
      </c>
      <c r="F6522" t="s">
        <v>32664</v>
      </c>
      <c r="G6522" t="s">
        <v>32672</v>
      </c>
      <c r="H6522" t="s">
        <v>12635</v>
      </c>
      <c r="I6522" t="s">
        <v>6168</v>
      </c>
      <c r="J6522" t="s">
        <v>36874</v>
      </c>
      <c r="K6522" t="s">
        <v>42281</v>
      </c>
      <c r="M6522" t="s">
        <v>42916</v>
      </c>
      <c r="N6522" t="s">
        <v>46569</v>
      </c>
      <c r="O6522" t="s">
        <v>46570</v>
      </c>
      <c r="P6522">
        <v>0</v>
      </c>
      <c r="Q6522">
        <v>0</v>
      </c>
      <c r="R6522" t="s">
        <v>46573</v>
      </c>
      <c r="S6522" t="s">
        <v>46705</v>
      </c>
      <c r="T6522" t="s">
        <v>48220</v>
      </c>
      <c r="U6522" t="s">
        <v>54189</v>
      </c>
      <c r="W6522" t="s">
        <v>42916</v>
      </c>
      <c r="X6522" t="s">
        <v>46574</v>
      </c>
    </row>
    <row r="6523" spans="1:24">
      <c r="A6523">
        <f>HYPERLINK("https://www.philgeps.gov.ph/GEPSNONPILOT/Tender/SplashBidNoticeAbstractUI.aspx?menuIndex=3&amp;refID=7060918&amp;Result=3","7060918")</f>
        <v>0</v>
      </c>
      <c r="B6523" t="s">
        <v>1706</v>
      </c>
      <c r="C6523" t="s">
        <v>9727</v>
      </c>
      <c r="D6523" t="s">
        <v>18793</v>
      </c>
      <c r="E6523" t="s">
        <v>24665</v>
      </c>
      <c r="F6523" t="s">
        <v>32664</v>
      </c>
      <c r="G6523" t="s">
        <v>32672</v>
      </c>
      <c r="H6523" t="s">
        <v>12635</v>
      </c>
      <c r="I6523" t="s">
        <v>6118</v>
      </c>
      <c r="J6523" t="s">
        <v>36875</v>
      </c>
      <c r="K6523" t="s">
        <v>42298</v>
      </c>
      <c r="M6523" t="s">
        <v>44400</v>
      </c>
      <c r="N6523" t="s">
        <v>46569</v>
      </c>
      <c r="O6523" t="s">
        <v>46570</v>
      </c>
      <c r="P6523">
        <v>0</v>
      </c>
      <c r="Q6523">
        <v>0</v>
      </c>
      <c r="R6523" t="s">
        <v>46573</v>
      </c>
      <c r="S6523" t="s">
        <v>46705</v>
      </c>
      <c r="T6523" t="s">
        <v>48349</v>
      </c>
      <c r="U6523" t="s">
        <v>54190</v>
      </c>
      <c r="W6523" t="s">
        <v>44400</v>
      </c>
      <c r="X6523" t="s">
        <v>46574</v>
      </c>
    </row>
    <row r="6524" spans="1:24">
      <c r="A6524">
        <f>HYPERLINK("https://www.philgeps.gov.ph/GEPSNONPILOT/Tender/SplashBidNoticeAbstractUI.aspx?menuIndex=3&amp;refID=7060921&amp;Result=3","7060921")</f>
        <v>0</v>
      </c>
      <c r="B6524" t="s">
        <v>870</v>
      </c>
      <c r="C6524" t="s">
        <v>9728</v>
      </c>
      <c r="D6524" t="s">
        <v>18844</v>
      </c>
      <c r="E6524" t="s">
        <v>24666</v>
      </c>
      <c r="F6524" t="s">
        <v>32664</v>
      </c>
      <c r="G6524" t="s">
        <v>32671</v>
      </c>
      <c r="H6524" t="s">
        <v>12635</v>
      </c>
      <c r="I6524" t="s">
        <v>14442</v>
      </c>
      <c r="J6524" t="s">
        <v>36876</v>
      </c>
      <c r="K6524" t="s">
        <v>42298</v>
      </c>
      <c r="M6524" t="s">
        <v>43470</v>
      </c>
      <c r="N6524" t="s">
        <v>46569</v>
      </c>
      <c r="O6524" t="s">
        <v>46570</v>
      </c>
      <c r="P6524">
        <v>0</v>
      </c>
      <c r="Q6524">
        <v>1</v>
      </c>
      <c r="R6524" t="s">
        <v>46573</v>
      </c>
      <c r="S6524" t="s">
        <v>46705</v>
      </c>
      <c r="T6524" t="s">
        <v>48287</v>
      </c>
      <c r="U6524" t="s">
        <v>54191</v>
      </c>
      <c r="V6524" t="s">
        <v>61834</v>
      </c>
      <c r="W6524" t="s">
        <v>43470</v>
      </c>
      <c r="X6524" t="s">
        <v>46574</v>
      </c>
    </row>
    <row r="6525" spans="1:24">
      <c r="A6525">
        <f>HYPERLINK("https://www.philgeps.gov.ph/GEPSNONPILOT/Tender/SplashBidNoticeAbstractUI.aspx?menuIndex=3&amp;refID=7060920&amp;Result=3","7060920")</f>
        <v>0</v>
      </c>
      <c r="B6525" t="s">
        <v>1570</v>
      </c>
      <c r="C6525" t="s">
        <v>9729</v>
      </c>
      <c r="D6525" t="s">
        <v>18808</v>
      </c>
      <c r="E6525" t="s">
        <v>24667</v>
      </c>
      <c r="F6525" t="s">
        <v>32664</v>
      </c>
      <c r="G6525" t="s">
        <v>32672</v>
      </c>
      <c r="H6525" t="s">
        <v>12635</v>
      </c>
      <c r="I6525" t="s">
        <v>10361</v>
      </c>
      <c r="J6525" t="s">
        <v>36877</v>
      </c>
      <c r="K6525" t="s">
        <v>42283</v>
      </c>
      <c r="M6525" t="s">
        <v>44245</v>
      </c>
      <c r="N6525" t="s">
        <v>46569</v>
      </c>
      <c r="O6525" t="s">
        <v>46570</v>
      </c>
      <c r="P6525">
        <v>0</v>
      </c>
      <c r="Q6525">
        <v>2</v>
      </c>
      <c r="R6525" t="s">
        <v>46573</v>
      </c>
      <c r="S6525" t="s">
        <v>46705</v>
      </c>
      <c r="T6525" t="s">
        <v>48501</v>
      </c>
      <c r="U6525" t="s">
        <v>54192</v>
      </c>
      <c r="V6525" t="s">
        <v>62276</v>
      </c>
      <c r="W6525" t="s">
        <v>63522</v>
      </c>
      <c r="X6525" t="s">
        <v>46574</v>
      </c>
    </row>
    <row r="6526" spans="1:24">
      <c r="A6526">
        <f>HYPERLINK("https://www.philgeps.gov.ph/GEPSNONPILOT/Tender/SplashBidNoticeAbstractUI.aspx?menuIndex=3&amp;refID=7060871&amp;Result=3","7060871")</f>
        <v>0</v>
      </c>
      <c r="B6526" t="s">
        <v>2070</v>
      </c>
      <c r="C6526" t="s">
        <v>9730</v>
      </c>
      <c r="D6526" t="s">
        <v>18785</v>
      </c>
      <c r="E6526" t="s">
        <v>24668</v>
      </c>
      <c r="F6526" t="s">
        <v>32664</v>
      </c>
      <c r="G6526" t="s">
        <v>32671</v>
      </c>
      <c r="H6526" t="s">
        <v>12635</v>
      </c>
      <c r="I6526" t="s">
        <v>8797</v>
      </c>
      <c r="J6526" t="s">
        <v>36878</v>
      </c>
      <c r="K6526" t="s">
        <v>42289</v>
      </c>
      <c r="M6526" t="s">
        <v>44821</v>
      </c>
      <c r="N6526" t="s">
        <v>46569</v>
      </c>
      <c r="O6526" t="s">
        <v>46570</v>
      </c>
      <c r="P6526">
        <v>0</v>
      </c>
      <c r="Q6526">
        <v>3</v>
      </c>
      <c r="R6526" t="s">
        <v>46573</v>
      </c>
      <c r="S6526" t="s">
        <v>46705</v>
      </c>
      <c r="T6526" t="s">
        <v>48450</v>
      </c>
      <c r="U6526" t="s">
        <v>54193</v>
      </c>
      <c r="W6526" t="s">
        <v>44821</v>
      </c>
      <c r="X6526" t="s">
        <v>46574</v>
      </c>
    </row>
    <row r="6527" spans="1:24">
      <c r="A6527">
        <f>HYPERLINK("https://www.philgeps.gov.ph/GEPSNONPILOT/Tender/SplashBidNoticeAbstractUI.aspx?menuIndex=3&amp;refID=7060986&amp;Result=3","7060986")</f>
        <v>0</v>
      </c>
      <c r="B6527" t="s">
        <v>796</v>
      </c>
      <c r="C6527" t="s">
        <v>9731</v>
      </c>
      <c r="D6527" t="s">
        <v>18801</v>
      </c>
      <c r="E6527" t="s">
        <v>24669</v>
      </c>
      <c r="F6527" t="s">
        <v>32664</v>
      </c>
      <c r="G6527" t="s">
        <v>32672</v>
      </c>
      <c r="H6527" t="s">
        <v>32683</v>
      </c>
      <c r="I6527" t="s">
        <v>10627</v>
      </c>
      <c r="J6527" t="s">
        <v>34131</v>
      </c>
      <c r="K6527" t="s">
        <v>42290</v>
      </c>
      <c r="M6527" t="s">
        <v>43388</v>
      </c>
      <c r="N6527" t="s">
        <v>46569</v>
      </c>
      <c r="O6527" t="s">
        <v>46570</v>
      </c>
      <c r="P6527">
        <v>0</v>
      </c>
      <c r="Q6527">
        <v>4</v>
      </c>
      <c r="R6527" t="s">
        <v>46573</v>
      </c>
      <c r="S6527" t="s">
        <v>46705</v>
      </c>
      <c r="T6527" t="s">
        <v>48220</v>
      </c>
      <c r="U6527" t="s">
        <v>54125</v>
      </c>
      <c r="W6527" t="s">
        <v>63490</v>
      </c>
      <c r="X6527" t="s">
        <v>46574</v>
      </c>
    </row>
    <row r="6528" spans="1:24">
      <c r="A6528">
        <f>HYPERLINK("https://www.philgeps.gov.ph/GEPSNONPILOT/Tender/SplashBidNoticeAbstractUI.aspx?menuIndex=3&amp;refID=7060867&amp;Result=3","7060867")</f>
        <v>0</v>
      </c>
      <c r="B6528" t="s">
        <v>267</v>
      </c>
      <c r="C6528" t="s">
        <v>9732</v>
      </c>
      <c r="E6528" t="s">
        <v>24670</v>
      </c>
      <c r="F6528" t="s">
        <v>32664</v>
      </c>
      <c r="G6528" t="s">
        <v>32671</v>
      </c>
      <c r="H6528" t="s">
        <v>12635</v>
      </c>
      <c r="I6528" t="s">
        <v>32731</v>
      </c>
      <c r="J6528" t="s">
        <v>33311</v>
      </c>
      <c r="K6528" t="s">
        <v>42283</v>
      </c>
      <c r="M6528" t="s">
        <v>42832</v>
      </c>
      <c r="N6528" t="s">
        <v>46569</v>
      </c>
      <c r="O6528" t="s">
        <v>46570</v>
      </c>
      <c r="P6528">
        <v>0</v>
      </c>
      <c r="Q6528">
        <v>0</v>
      </c>
      <c r="R6528" t="s">
        <v>46573</v>
      </c>
      <c r="S6528" t="s">
        <v>46705</v>
      </c>
      <c r="T6528" t="s">
        <v>48254</v>
      </c>
      <c r="U6528" t="s">
        <v>54194</v>
      </c>
      <c r="W6528" t="s">
        <v>42832</v>
      </c>
      <c r="X6528" t="s">
        <v>46574</v>
      </c>
    </row>
    <row r="6529" spans="1:24">
      <c r="A6529">
        <f>HYPERLINK("https://www.philgeps.gov.ph/GEPSNONPILOT/Tender/SplashBidNoticeAbstractUI.aspx?menuIndex=3&amp;refID=7061010&amp;Result=3","7061010")</f>
        <v>0</v>
      </c>
      <c r="B6529" t="s">
        <v>2090</v>
      </c>
      <c r="C6529" t="s">
        <v>9733</v>
      </c>
      <c r="D6529" t="s">
        <v>18827</v>
      </c>
      <c r="E6529" t="s">
        <v>24671</v>
      </c>
      <c r="F6529" t="s">
        <v>32664</v>
      </c>
      <c r="G6529" t="s">
        <v>32675</v>
      </c>
      <c r="H6529" t="s">
        <v>12635</v>
      </c>
      <c r="I6529" t="s">
        <v>6223</v>
      </c>
      <c r="J6529" t="s">
        <v>33089</v>
      </c>
      <c r="K6529" t="s">
        <v>42295</v>
      </c>
      <c r="M6529" t="s">
        <v>44844</v>
      </c>
      <c r="N6529" t="s">
        <v>46569</v>
      </c>
      <c r="O6529" t="s">
        <v>46570</v>
      </c>
      <c r="P6529">
        <v>0</v>
      </c>
      <c r="Q6529">
        <v>0</v>
      </c>
      <c r="R6529" t="s">
        <v>46573</v>
      </c>
      <c r="S6529" t="s">
        <v>46705</v>
      </c>
      <c r="T6529" t="s">
        <v>48427</v>
      </c>
      <c r="U6529" t="s">
        <v>54195</v>
      </c>
      <c r="W6529" t="s">
        <v>44844</v>
      </c>
      <c r="X6529" t="s">
        <v>46574</v>
      </c>
    </row>
    <row r="6530" spans="1:24">
      <c r="A6530">
        <f>HYPERLINK("https://www.philgeps.gov.ph/GEPSNONPILOT/Tender/SplashBidNoticeAbstractUI.aspx?menuIndex=3&amp;refID=7060865&amp;Result=3","7060865")</f>
        <v>0</v>
      </c>
      <c r="B6530" t="s">
        <v>1795</v>
      </c>
      <c r="C6530" t="s">
        <v>8648</v>
      </c>
      <c r="D6530" t="s">
        <v>18821</v>
      </c>
      <c r="E6530" t="s">
        <v>24672</v>
      </c>
      <c r="F6530" t="s">
        <v>32664</v>
      </c>
      <c r="G6530" t="s">
        <v>32671</v>
      </c>
      <c r="H6530" t="s">
        <v>12635</v>
      </c>
      <c r="I6530" t="s">
        <v>32694</v>
      </c>
      <c r="J6530" t="s">
        <v>32845</v>
      </c>
      <c r="K6530" t="s">
        <v>42283</v>
      </c>
      <c r="M6530" t="s">
        <v>44498</v>
      </c>
      <c r="N6530" t="s">
        <v>46569</v>
      </c>
      <c r="O6530" t="s">
        <v>46570</v>
      </c>
      <c r="P6530">
        <v>0</v>
      </c>
      <c r="Q6530">
        <v>0</v>
      </c>
      <c r="R6530" t="s">
        <v>46573</v>
      </c>
      <c r="S6530" t="s">
        <v>46705</v>
      </c>
      <c r="T6530" t="s">
        <v>48287</v>
      </c>
      <c r="U6530" t="s">
        <v>54196</v>
      </c>
      <c r="W6530" t="s">
        <v>44498</v>
      </c>
      <c r="X6530" t="s">
        <v>46574</v>
      </c>
    </row>
    <row r="6531" spans="1:24">
      <c r="A6531">
        <f>HYPERLINK("https://www.philgeps.gov.ph/GEPSNONPILOT/Tender/SplashBidNoticeAbstractUI.aspx?menuIndex=3&amp;refID=7060868&amp;Result=3","7060868")</f>
        <v>0</v>
      </c>
      <c r="B6531" t="s">
        <v>2032</v>
      </c>
      <c r="C6531" t="s">
        <v>9734</v>
      </c>
      <c r="D6531" t="s">
        <v>18845</v>
      </c>
      <c r="E6531" t="s">
        <v>24673</v>
      </c>
      <c r="F6531" t="s">
        <v>32664</v>
      </c>
      <c r="G6531" t="s">
        <v>32672</v>
      </c>
      <c r="H6531" t="s">
        <v>12635</v>
      </c>
      <c r="I6531" t="s">
        <v>4439</v>
      </c>
      <c r="J6531" t="s">
        <v>36879</v>
      </c>
      <c r="K6531" t="s">
        <v>42283</v>
      </c>
      <c r="M6531" t="s">
        <v>44776</v>
      </c>
      <c r="N6531" t="s">
        <v>46569</v>
      </c>
      <c r="O6531" t="s">
        <v>46570</v>
      </c>
      <c r="P6531">
        <v>0</v>
      </c>
      <c r="Q6531">
        <v>0</v>
      </c>
      <c r="R6531" t="s">
        <v>46573</v>
      </c>
      <c r="S6531" t="s">
        <v>46705</v>
      </c>
      <c r="T6531" t="s">
        <v>48567</v>
      </c>
      <c r="U6531" t="s">
        <v>53915</v>
      </c>
      <c r="V6531" t="s">
        <v>62277</v>
      </c>
      <c r="W6531" t="s">
        <v>44776</v>
      </c>
      <c r="X6531" t="s">
        <v>46574</v>
      </c>
    </row>
    <row r="6532" spans="1:24">
      <c r="A6532">
        <f>HYPERLINK("https://www.philgeps.gov.ph/GEPSNONPILOT/Tender/SplashBidNoticeAbstractUI.aspx?menuIndex=3&amp;refID=7061005&amp;Result=3","7061005")</f>
        <v>0</v>
      </c>
      <c r="B6532" t="s">
        <v>1288</v>
      </c>
      <c r="C6532" t="s">
        <v>9713</v>
      </c>
      <c r="D6532" t="s">
        <v>18824</v>
      </c>
      <c r="E6532" t="s">
        <v>24674</v>
      </c>
      <c r="F6532" t="s">
        <v>32664</v>
      </c>
      <c r="G6532" t="s">
        <v>32671</v>
      </c>
      <c r="H6532" t="s">
        <v>12635</v>
      </c>
      <c r="I6532" t="s">
        <v>32756</v>
      </c>
      <c r="J6532" t="s">
        <v>33095</v>
      </c>
      <c r="K6532" t="s">
        <v>42295</v>
      </c>
      <c r="M6532" t="s">
        <v>43931</v>
      </c>
      <c r="N6532" t="s">
        <v>46569</v>
      </c>
      <c r="O6532" t="s">
        <v>46570</v>
      </c>
      <c r="P6532">
        <v>0</v>
      </c>
      <c r="Q6532">
        <v>2</v>
      </c>
      <c r="R6532" t="s">
        <v>46573</v>
      </c>
      <c r="S6532" t="s">
        <v>46705</v>
      </c>
      <c r="T6532" t="s">
        <v>48290</v>
      </c>
      <c r="U6532" t="s">
        <v>54197</v>
      </c>
      <c r="V6532" t="s">
        <v>62275</v>
      </c>
      <c r="W6532" t="s">
        <v>43931</v>
      </c>
      <c r="X6532" t="s">
        <v>46574</v>
      </c>
    </row>
    <row r="6533" spans="1:24">
      <c r="A6533">
        <f>HYPERLINK("https://www.philgeps.gov.ph/GEPSNONPILOT/Tender/SplashBidNoticeAbstractUI.aspx?menuIndex=3&amp;refID=7060851&amp;Result=3","7060851")</f>
        <v>0</v>
      </c>
      <c r="B6533" t="s">
        <v>1247</v>
      </c>
      <c r="C6533" t="s">
        <v>9735</v>
      </c>
      <c r="D6533" t="s">
        <v>18802</v>
      </c>
      <c r="E6533" t="s">
        <v>24675</v>
      </c>
      <c r="F6533" t="s">
        <v>32664</v>
      </c>
      <c r="G6533" t="s">
        <v>32671</v>
      </c>
      <c r="H6533" t="s">
        <v>12635</v>
      </c>
      <c r="I6533" t="s">
        <v>32687</v>
      </c>
      <c r="J6533" t="s">
        <v>36880</v>
      </c>
      <c r="K6533" t="s">
        <v>42297</v>
      </c>
      <c r="M6533" t="s">
        <v>43889</v>
      </c>
      <c r="N6533" t="s">
        <v>46569</v>
      </c>
      <c r="O6533" t="s">
        <v>46570</v>
      </c>
      <c r="P6533">
        <v>0</v>
      </c>
      <c r="Q6533">
        <v>1</v>
      </c>
      <c r="R6533" t="s">
        <v>46573</v>
      </c>
      <c r="S6533" t="s">
        <v>46705</v>
      </c>
      <c r="T6533" t="s">
        <v>48254</v>
      </c>
      <c r="U6533" t="s">
        <v>51438</v>
      </c>
      <c r="W6533" t="s">
        <v>43889</v>
      </c>
      <c r="X6533" t="s">
        <v>46574</v>
      </c>
    </row>
    <row r="6534" spans="1:24">
      <c r="A6534">
        <f>HYPERLINK("https://www.philgeps.gov.ph/GEPSNONPILOT/Tender/SplashBidNoticeAbstractUI.aspx?menuIndex=3&amp;refID=7061008&amp;Result=3","7061008")</f>
        <v>0</v>
      </c>
      <c r="B6534" t="s">
        <v>349</v>
      </c>
      <c r="C6534" t="s">
        <v>9736</v>
      </c>
      <c r="D6534" t="s">
        <v>18834</v>
      </c>
      <c r="E6534" t="s">
        <v>24676</v>
      </c>
      <c r="F6534" t="s">
        <v>32664</v>
      </c>
      <c r="G6534" t="s">
        <v>32674</v>
      </c>
      <c r="H6534" t="s">
        <v>12635</v>
      </c>
      <c r="I6534" t="s">
        <v>4439</v>
      </c>
      <c r="J6534" t="s">
        <v>36881</v>
      </c>
      <c r="K6534" t="s">
        <v>42297</v>
      </c>
      <c r="M6534" t="s">
        <v>44845</v>
      </c>
      <c r="N6534" t="s">
        <v>46569</v>
      </c>
      <c r="O6534" t="s">
        <v>46570</v>
      </c>
      <c r="P6534">
        <v>0</v>
      </c>
      <c r="Q6534">
        <v>1</v>
      </c>
      <c r="R6534" t="s">
        <v>46573</v>
      </c>
      <c r="S6534" t="s">
        <v>46705</v>
      </c>
      <c r="T6534" t="s">
        <v>48316</v>
      </c>
      <c r="U6534" t="s">
        <v>54198</v>
      </c>
      <c r="W6534" t="s">
        <v>63473</v>
      </c>
      <c r="X6534" t="s">
        <v>46574</v>
      </c>
    </row>
    <row r="6535" spans="1:24">
      <c r="A6535">
        <f>HYPERLINK("https://www.philgeps.gov.ph/GEPSNONPILOT/Tender/SplashBidNoticeAbstractUI.aspx?menuIndex=3&amp;refID=7061003&amp;Result=3","7061003")</f>
        <v>0</v>
      </c>
      <c r="B6535" t="s">
        <v>694</v>
      </c>
      <c r="C6535" t="s">
        <v>9737</v>
      </c>
      <c r="D6535" t="s">
        <v>18784</v>
      </c>
      <c r="E6535" t="s">
        <v>24677</v>
      </c>
      <c r="F6535" t="s">
        <v>32664</v>
      </c>
      <c r="G6535" t="s">
        <v>32671</v>
      </c>
      <c r="H6535" t="s">
        <v>12635</v>
      </c>
      <c r="I6535" t="s">
        <v>32704</v>
      </c>
      <c r="J6535" t="s">
        <v>32859</v>
      </c>
      <c r="K6535" t="s">
        <v>42281</v>
      </c>
      <c r="M6535" t="s">
        <v>43281</v>
      </c>
      <c r="N6535" t="s">
        <v>46569</v>
      </c>
      <c r="O6535" t="s">
        <v>46570</v>
      </c>
      <c r="P6535">
        <v>0</v>
      </c>
      <c r="Q6535">
        <v>3</v>
      </c>
      <c r="R6535" t="s">
        <v>46573</v>
      </c>
      <c r="S6535" t="s">
        <v>46705</v>
      </c>
      <c r="T6535" t="s">
        <v>48254</v>
      </c>
      <c r="U6535" t="s">
        <v>50082</v>
      </c>
      <c r="W6535" t="s">
        <v>43281</v>
      </c>
      <c r="X6535" t="s">
        <v>46574</v>
      </c>
    </row>
    <row r="6536" spans="1:24">
      <c r="A6536">
        <f>HYPERLINK("https://www.philgeps.gov.ph/GEPSNONPILOT/Tender/SplashBidNoticeAbstractUI.aspx?menuIndex=3&amp;refID=7061002&amp;Result=3","7061002")</f>
        <v>0</v>
      </c>
      <c r="B6536" t="s">
        <v>2091</v>
      </c>
      <c r="C6536" t="s">
        <v>9738</v>
      </c>
      <c r="D6536" t="s">
        <v>18784</v>
      </c>
      <c r="E6536" t="s">
        <v>18926</v>
      </c>
      <c r="F6536" t="s">
        <v>32664</v>
      </c>
      <c r="G6536" t="s">
        <v>32672</v>
      </c>
      <c r="H6536" t="s">
        <v>12635</v>
      </c>
      <c r="I6536" t="s">
        <v>8730</v>
      </c>
      <c r="J6536" t="s">
        <v>33083</v>
      </c>
      <c r="K6536" t="s">
        <v>42289</v>
      </c>
      <c r="M6536" t="s">
        <v>44846</v>
      </c>
      <c r="N6536" t="s">
        <v>46569</v>
      </c>
      <c r="O6536" t="s">
        <v>46570</v>
      </c>
      <c r="P6536">
        <v>0</v>
      </c>
      <c r="Q6536">
        <v>1</v>
      </c>
      <c r="R6536" t="s">
        <v>46573</v>
      </c>
      <c r="S6536" t="s">
        <v>46705</v>
      </c>
      <c r="T6536" t="s">
        <v>48415</v>
      </c>
      <c r="U6536" t="s">
        <v>54199</v>
      </c>
      <c r="W6536" t="s">
        <v>44846</v>
      </c>
      <c r="X6536" t="s">
        <v>46574</v>
      </c>
    </row>
    <row r="6537" spans="1:24">
      <c r="A6537">
        <f>HYPERLINK("https://www.philgeps.gov.ph/GEPSNONPILOT/Tender/SplashBidNoticeAbstractUI.aspx?menuIndex=3&amp;refID=7060997&amp;Result=3","7060997")</f>
        <v>0</v>
      </c>
      <c r="B6537" t="s">
        <v>594</v>
      </c>
      <c r="C6537" t="s">
        <v>9739</v>
      </c>
      <c r="D6537" t="s">
        <v>18784</v>
      </c>
      <c r="E6537" t="s">
        <v>24678</v>
      </c>
      <c r="F6537" t="s">
        <v>32664</v>
      </c>
      <c r="G6537" t="s">
        <v>32674</v>
      </c>
      <c r="H6537" t="s">
        <v>12635</v>
      </c>
      <c r="I6537" t="s">
        <v>9486</v>
      </c>
      <c r="J6537" t="s">
        <v>36882</v>
      </c>
      <c r="K6537" t="s">
        <v>42297</v>
      </c>
      <c r="M6537" t="s">
        <v>43721</v>
      </c>
      <c r="N6537" t="s">
        <v>46569</v>
      </c>
      <c r="O6537" t="s">
        <v>46570</v>
      </c>
      <c r="P6537">
        <v>0</v>
      </c>
      <c r="Q6537">
        <v>2</v>
      </c>
      <c r="R6537" t="s">
        <v>46573</v>
      </c>
      <c r="S6537" t="s">
        <v>46705</v>
      </c>
      <c r="T6537" t="s">
        <v>48551</v>
      </c>
      <c r="U6537" t="s">
        <v>54200</v>
      </c>
      <c r="V6537" t="s">
        <v>62115</v>
      </c>
      <c r="W6537" t="s">
        <v>43721</v>
      </c>
      <c r="X6537" t="s">
        <v>46574</v>
      </c>
    </row>
    <row r="6538" spans="1:24">
      <c r="A6538">
        <f>HYPERLINK("https://www.philgeps.gov.ph/GEPSNONPILOT/Tender/SplashBidNoticeAbstractUI.aspx?menuIndex=3&amp;refID=7060996&amp;Result=3","7060996")</f>
        <v>0</v>
      </c>
      <c r="B6538" t="s">
        <v>585</v>
      </c>
      <c r="C6538" t="s">
        <v>9740</v>
      </c>
      <c r="D6538" t="s">
        <v>18834</v>
      </c>
      <c r="E6538" t="s">
        <v>24679</v>
      </c>
      <c r="F6538" t="s">
        <v>32664</v>
      </c>
      <c r="G6538" t="s">
        <v>32674</v>
      </c>
      <c r="H6538" t="s">
        <v>12635</v>
      </c>
      <c r="I6538" t="s">
        <v>10370</v>
      </c>
      <c r="J6538" t="s">
        <v>36483</v>
      </c>
      <c r="K6538" t="s">
        <v>42281</v>
      </c>
      <c r="M6538" t="s">
        <v>43165</v>
      </c>
      <c r="N6538" t="s">
        <v>46569</v>
      </c>
      <c r="O6538" t="s">
        <v>46570</v>
      </c>
      <c r="P6538">
        <v>0</v>
      </c>
      <c r="Q6538">
        <v>0</v>
      </c>
      <c r="R6538" t="s">
        <v>46573</v>
      </c>
      <c r="S6538" t="s">
        <v>46705</v>
      </c>
      <c r="T6538" t="s">
        <v>48427</v>
      </c>
      <c r="U6538" t="s">
        <v>54201</v>
      </c>
      <c r="W6538" t="s">
        <v>43165</v>
      </c>
      <c r="X6538" t="s">
        <v>46574</v>
      </c>
    </row>
    <row r="6539" spans="1:24">
      <c r="A6539">
        <f>HYPERLINK("https://www.philgeps.gov.ph/GEPSNONPILOT/Tender/SplashBidNoticeAbstractUI.aspx?menuIndex=3&amp;refID=7060994&amp;Result=3","7060994")</f>
        <v>0</v>
      </c>
      <c r="B6539" t="s">
        <v>822</v>
      </c>
      <c r="C6539" t="s">
        <v>9741</v>
      </c>
      <c r="E6539" t="s">
        <v>24680</v>
      </c>
      <c r="F6539" t="s">
        <v>32664</v>
      </c>
      <c r="G6539" t="s">
        <v>32671</v>
      </c>
      <c r="H6539" t="s">
        <v>12635</v>
      </c>
      <c r="I6539" t="s">
        <v>9486</v>
      </c>
      <c r="J6539" t="s">
        <v>36883</v>
      </c>
      <c r="K6539" t="s">
        <v>42283</v>
      </c>
      <c r="M6539" t="s">
        <v>44836</v>
      </c>
      <c r="N6539" t="s">
        <v>46569</v>
      </c>
      <c r="O6539" t="s">
        <v>46570</v>
      </c>
      <c r="P6539">
        <v>0</v>
      </c>
      <c r="Q6539">
        <v>2</v>
      </c>
      <c r="R6539" t="s">
        <v>46573</v>
      </c>
      <c r="S6539" t="s">
        <v>46705</v>
      </c>
      <c r="T6539" t="s">
        <v>48321</v>
      </c>
      <c r="U6539" t="s">
        <v>54202</v>
      </c>
      <c r="W6539" t="s">
        <v>44836</v>
      </c>
      <c r="X6539" t="s">
        <v>46574</v>
      </c>
    </row>
    <row r="6540" spans="1:24">
      <c r="A6540">
        <f>HYPERLINK("https://www.philgeps.gov.ph/GEPSNONPILOT/Tender/SplashBidNoticeAbstractUI.aspx?menuIndex=3&amp;refID=7060993&amp;Result=3","7060993")</f>
        <v>0</v>
      </c>
      <c r="B6540" t="s">
        <v>600</v>
      </c>
      <c r="C6540" t="s">
        <v>9742</v>
      </c>
      <c r="D6540" t="s">
        <v>18802</v>
      </c>
      <c r="E6540" t="s">
        <v>24681</v>
      </c>
      <c r="F6540" t="s">
        <v>32664</v>
      </c>
      <c r="G6540" t="s">
        <v>32671</v>
      </c>
      <c r="H6540" t="s">
        <v>12635</v>
      </c>
      <c r="I6540" t="s">
        <v>4439</v>
      </c>
      <c r="J6540" t="s">
        <v>36884</v>
      </c>
      <c r="K6540" t="s">
        <v>42284</v>
      </c>
      <c r="M6540" t="s">
        <v>43180</v>
      </c>
      <c r="N6540" t="s">
        <v>46569</v>
      </c>
      <c r="O6540" t="s">
        <v>46570</v>
      </c>
      <c r="P6540">
        <v>0</v>
      </c>
      <c r="Q6540">
        <v>1</v>
      </c>
      <c r="R6540" t="s">
        <v>46573</v>
      </c>
      <c r="S6540" t="s">
        <v>46705</v>
      </c>
      <c r="T6540" t="s">
        <v>48287</v>
      </c>
      <c r="U6540" t="s">
        <v>54203</v>
      </c>
      <c r="W6540" t="s">
        <v>43180</v>
      </c>
      <c r="X6540" t="s">
        <v>46574</v>
      </c>
    </row>
    <row r="6541" spans="1:24">
      <c r="A6541">
        <f>HYPERLINK("https://www.philgeps.gov.ph/GEPSNONPILOT/Tender/SplashBidNoticeAbstractUI.aspx?menuIndex=3&amp;refID=7060992&amp;Result=3","7060992")</f>
        <v>0</v>
      </c>
      <c r="B6541" t="s">
        <v>594</v>
      </c>
      <c r="C6541" t="s">
        <v>9743</v>
      </c>
      <c r="D6541" t="s">
        <v>18784</v>
      </c>
      <c r="E6541" t="s">
        <v>24682</v>
      </c>
      <c r="F6541" t="s">
        <v>32664</v>
      </c>
      <c r="G6541" t="s">
        <v>32674</v>
      </c>
      <c r="H6541" t="s">
        <v>12635</v>
      </c>
      <c r="I6541" t="s">
        <v>32758</v>
      </c>
      <c r="J6541" t="s">
        <v>36885</v>
      </c>
      <c r="K6541" t="s">
        <v>42297</v>
      </c>
      <c r="M6541" t="s">
        <v>43793</v>
      </c>
      <c r="N6541" t="s">
        <v>46569</v>
      </c>
      <c r="O6541" t="s">
        <v>46570</v>
      </c>
      <c r="P6541">
        <v>0</v>
      </c>
      <c r="Q6541">
        <v>0</v>
      </c>
      <c r="R6541" t="s">
        <v>46573</v>
      </c>
      <c r="S6541" t="s">
        <v>46705</v>
      </c>
      <c r="T6541" t="s">
        <v>48551</v>
      </c>
      <c r="U6541" t="s">
        <v>54204</v>
      </c>
      <c r="V6541" t="s">
        <v>61909</v>
      </c>
      <c r="W6541" t="s">
        <v>43793</v>
      </c>
      <c r="X6541" t="s">
        <v>46574</v>
      </c>
    </row>
    <row r="6542" spans="1:24">
      <c r="A6542">
        <f>HYPERLINK("https://www.philgeps.gov.ph/GEPSNONPILOT/Tender/SplashBidNoticeAbstractUI.aspx?menuIndex=3&amp;refID=7061013&amp;Result=3","7061013")</f>
        <v>0</v>
      </c>
      <c r="B6542" t="s">
        <v>2092</v>
      </c>
      <c r="C6542" t="s">
        <v>9744</v>
      </c>
      <c r="D6542" t="s">
        <v>18784</v>
      </c>
      <c r="E6542" t="s">
        <v>24683</v>
      </c>
      <c r="F6542" t="s">
        <v>32664</v>
      </c>
      <c r="G6542" t="s">
        <v>32672</v>
      </c>
      <c r="H6542" t="s">
        <v>12635</v>
      </c>
      <c r="I6542" t="s">
        <v>32744</v>
      </c>
      <c r="J6542" t="s">
        <v>33267</v>
      </c>
      <c r="K6542" t="s">
        <v>42330</v>
      </c>
      <c r="M6542" t="s">
        <v>44847</v>
      </c>
      <c r="N6542" t="s">
        <v>46569</v>
      </c>
      <c r="O6542" t="s">
        <v>46570</v>
      </c>
      <c r="P6542">
        <v>0</v>
      </c>
      <c r="Q6542">
        <v>6</v>
      </c>
      <c r="R6542" t="s">
        <v>46573</v>
      </c>
      <c r="S6542" t="s">
        <v>46705</v>
      </c>
      <c r="T6542" t="s">
        <v>48412</v>
      </c>
      <c r="U6542" t="s">
        <v>54205</v>
      </c>
      <c r="W6542" t="s">
        <v>44847</v>
      </c>
      <c r="X6542" t="s">
        <v>46574</v>
      </c>
    </row>
    <row r="6543" spans="1:24">
      <c r="A6543">
        <f>HYPERLINK("https://www.philgeps.gov.ph/GEPSNONPILOT/Tender/SplashBidNoticeAbstractUI.aspx?menuIndex=3&amp;refID=7061006&amp;Result=3","7061006")</f>
        <v>0</v>
      </c>
      <c r="B6543" t="s">
        <v>947</v>
      </c>
      <c r="C6543" t="s">
        <v>9745</v>
      </c>
      <c r="D6543" t="s">
        <v>18787</v>
      </c>
      <c r="E6543" t="s">
        <v>24684</v>
      </c>
      <c r="F6543" t="s">
        <v>32664</v>
      </c>
      <c r="G6543" t="s">
        <v>32671</v>
      </c>
      <c r="H6543" t="s">
        <v>12635</v>
      </c>
      <c r="I6543" t="s">
        <v>8958</v>
      </c>
      <c r="J6543" t="s">
        <v>36886</v>
      </c>
      <c r="K6543" t="s">
        <v>42295</v>
      </c>
      <c r="M6543" t="s">
        <v>44838</v>
      </c>
      <c r="N6543" t="s">
        <v>46569</v>
      </c>
      <c r="O6543" t="s">
        <v>46570</v>
      </c>
      <c r="P6543">
        <v>0</v>
      </c>
      <c r="Q6543">
        <v>2</v>
      </c>
      <c r="R6543" t="s">
        <v>46573</v>
      </c>
      <c r="S6543" t="s">
        <v>46705</v>
      </c>
      <c r="T6543" t="s">
        <v>48316</v>
      </c>
      <c r="U6543" t="s">
        <v>54206</v>
      </c>
      <c r="W6543" t="s">
        <v>44838</v>
      </c>
      <c r="X6543" t="s">
        <v>46574</v>
      </c>
    </row>
    <row r="6544" spans="1:24">
      <c r="A6544">
        <f>HYPERLINK("https://www.philgeps.gov.ph/GEPSNONPILOT/Tender/SplashBidNoticeAbstractUI.aspx?menuIndex=3&amp;refID=7061038&amp;Result=3","7061038")</f>
        <v>0</v>
      </c>
      <c r="B6544" t="s">
        <v>2093</v>
      </c>
      <c r="C6544" t="s">
        <v>9746</v>
      </c>
      <c r="D6544" t="s">
        <v>18821</v>
      </c>
      <c r="E6544" t="s">
        <v>24685</v>
      </c>
      <c r="F6544" t="s">
        <v>32664</v>
      </c>
      <c r="G6544" t="s">
        <v>32677</v>
      </c>
      <c r="H6544" t="s">
        <v>12635</v>
      </c>
      <c r="I6544" t="s">
        <v>4439</v>
      </c>
      <c r="J6544" t="s">
        <v>36887</v>
      </c>
      <c r="K6544" t="s">
        <v>42397</v>
      </c>
      <c r="M6544" t="s">
        <v>44848</v>
      </c>
      <c r="N6544" t="s">
        <v>46569</v>
      </c>
      <c r="O6544" t="s">
        <v>46570</v>
      </c>
      <c r="P6544">
        <v>0</v>
      </c>
      <c r="Q6544">
        <v>0</v>
      </c>
      <c r="R6544" t="s">
        <v>46573</v>
      </c>
      <c r="S6544" t="s">
        <v>46705</v>
      </c>
      <c r="T6544" t="s">
        <v>48302</v>
      </c>
      <c r="U6544" t="s">
        <v>54207</v>
      </c>
      <c r="W6544" t="s">
        <v>44848</v>
      </c>
      <c r="X6544" t="s">
        <v>46574</v>
      </c>
    </row>
    <row r="6545" spans="1:24">
      <c r="A6545">
        <f>HYPERLINK("https://www.philgeps.gov.ph/GEPSNONPILOT/Tender/SplashBidNoticeAbstractUI.aspx?menuIndex=3&amp;refID=7060923&amp;Result=3","7060923")</f>
        <v>0</v>
      </c>
      <c r="B6545" t="s">
        <v>2094</v>
      </c>
      <c r="C6545" t="s">
        <v>6444</v>
      </c>
      <c r="D6545" t="s">
        <v>18798</v>
      </c>
      <c r="E6545" t="s">
        <v>24686</v>
      </c>
      <c r="F6545" t="s">
        <v>32664</v>
      </c>
      <c r="G6545" t="s">
        <v>32672</v>
      </c>
      <c r="H6545" t="s">
        <v>12635</v>
      </c>
      <c r="I6545" t="s">
        <v>8797</v>
      </c>
      <c r="J6545" t="s">
        <v>33126</v>
      </c>
      <c r="K6545" t="s">
        <v>42283</v>
      </c>
      <c r="M6545" t="s">
        <v>44849</v>
      </c>
      <c r="N6545" t="s">
        <v>46569</v>
      </c>
      <c r="O6545" t="s">
        <v>46570</v>
      </c>
      <c r="P6545">
        <v>0</v>
      </c>
      <c r="Q6545">
        <v>0</v>
      </c>
      <c r="R6545" t="s">
        <v>46573</v>
      </c>
      <c r="S6545" t="s">
        <v>46705</v>
      </c>
      <c r="T6545" t="s">
        <v>48258</v>
      </c>
      <c r="U6545" t="s">
        <v>54208</v>
      </c>
      <c r="W6545" t="s">
        <v>44849</v>
      </c>
      <c r="X6545" t="s">
        <v>46574</v>
      </c>
    </row>
    <row r="6546" spans="1:24">
      <c r="A6546">
        <f>HYPERLINK("https://www.philgeps.gov.ph/GEPSNONPILOT/Tender/SplashBidNoticeAbstractUI.aspx?menuIndex=3&amp;refID=7061000&amp;Result=3","7061000")</f>
        <v>0</v>
      </c>
      <c r="B6546" t="s">
        <v>1706</v>
      </c>
      <c r="C6546" t="s">
        <v>9747</v>
      </c>
      <c r="D6546" t="s">
        <v>18793</v>
      </c>
      <c r="E6546" t="s">
        <v>24687</v>
      </c>
      <c r="F6546" t="s">
        <v>32664</v>
      </c>
      <c r="G6546" t="s">
        <v>32672</v>
      </c>
      <c r="H6546" t="s">
        <v>12635</v>
      </c>
      <c r="I6546" t="s">
        <v>9486</v>
      </c>
      <c r="J6546" t="s">
        <v>36888</v>
      </c>
      <c r="K6546" t="s">
        <v>42298</v>
      </c>
      <c r="M6546" t="s">
        <v>44400</v>
      </c>
      <c r="N6546" t="s">
        <v>46569</v>
      </c>
      <c r="O6546" t="s">
        <v>46570</v>
      </c>
      <c r="P6546">
        <v>0</v>
      </c>
      <c r="Q6546">
        <v>0</v>
      </c>
      <c r="R6546" t="s">
        <v>46573</v>
      </c>
      <c r="S6546" t="s">
        <v>46705</v>
      </c>
      <c r="T6546" t="s">
        <v>48349</v>
      </c>
      <c r="U6546" t="s">
        <v>54209</v>
      </c>
      <c r="W6546" t="s">
        <v>44400</v>
      </c>
      <c r="X6546" t="s">
        <v>46574</v>
      </c>
    </row>
    <row r="6547" spans="1:24">
      <c r="A6547">
        <f>HYPERLINK("https://www.philgeps.gov.ph/GEPSNONPILOT/Tender/SplashBidNoticeAbstractUI.aspx?menuIndex=3&amp;refID=7061037&amp;Result=3","7061037")</f>
        <v>0</v>
      </c>
      <c r="B6547" t="s">
        <v>1883</v>
      </c>
      <c r="C6547" t="s">
        <v>9748</v>
      </c>
      <c r="D6547" t="s">
        <v>18797</v>
      </c>
      <c r="E6547" t="s">
        <v>24688</v>
      </c>
      <c r="F6547" t="s">
        <v>32664</v>
      </c>
      <c r="G6547" t="s">
        <v>32672</v>
      </c>
      <c r="H6547" t="s">
        <v>12635</v>
      </c>
      <c r="I6547" t="s">
        <v>4333</v>
      </c>
      <c r="J6547" t="s">
        <v>36889</v>
      </c>
      <c r="K6547" t="s">
        <v>42289</v>
      </c>
      <c r="M6547" t="s">
        <v>44602</v>
      </c>
      <c r="N6547" t="s">
        <v>46569</v>
      </c>
      <c r="O6547" t="s">
        <v>46570</v>
      </c>
      <c r="P6547">
        <v>0</v>
      </c>
      <c r="Q6547">
        <v>1</v>
      </c>
      <c r="R6547" t="s">
        <v>46573</v>
      </c>
      <c r="S6547" t="s">
        <v>46705</v>
      </c>
      <c r="T6547" t="s">
        <v>48228</v>
      </c>
      <c r="U6547" t="s">
        <v>54210</v>
      </c>
      <c r="V6547" t="s">
        <v>62278</v>
      </c>
      <c r="W6547" t="s">
        <v>44602</v>
      </c>
      <c r="X6547" t="s">
        <v>46574</v>
      </c>
    </row>
    <row r="6548" spans="1:24">
      <c r="A6548">
        <f>HYPERLINK("https://www.philgeps.gov.ph/GEPSNONPILOT/Tender/SplashBidNoticeAbstractUI.aspx?menuIndex=3&amp;refID=7061033&amp;Result=3","7061033")</f>
        <v>0</v>
      </c>
      <c r="B6548" t="s">
        <v>349</v>
      </c>
      <c r="C6548" t="s">
        <v>9749</v>
      </c>
      <c r="D6548" t="s">
        <v>18834</v>
      </c>
      <c r="E6548" t="s">
        <v>24689</v>
      </c>
      <c r="F6548" t="s">
        <v>32664</v>
      </c>
      <c r="G6548" t="s">
        <v>32674</v>
      </c>
      <c r="H6548" t="s">
        <v>12635</v>
      </c>
      <c r="I6548" t="s">
        <v>10370</v>
      </c>
      <c r="J6548" t="s">
        <v>36890</v>
      </c>
      <c r="K6548" t="s">
        <v>42297</v>
      </c>
      <c r="M6548" t="s">
        <v>44845</v>
      </c>
      <c r="N6548" t="s">
        <v>46569</v>
      </c>
      <c r="O6548" t="s">
        <v>46570</v>
      </c>
      <c r="P6548">
        <v>0</v>
      </c>
      <c r="Q6548">
        <v>0</v>
      </c>
      <c r="R6548" t="s">
        <v>46573</v>
      </c>
      <c r="S6548" t="s">
        <v>46705</v>
      </c>
      <c r="T6548" t="s">
        <v>48316</v>
      </c>
      <c r="U6548" t="s">
        <v>54211</v>
      </c>
      <c r="W6548" t="s">
        <v>63473</v>
      </c>
      <c r="X6548" t="s">
        <v>46574</v>
      </c>
    </row>
    <row r="6549" spans="1:24">
      <c r="A6549">
        <f>HYPERLINK("https://www.philgeps.gov.ph/GEPSNONPILOT/Tender/SplashBidNoticeAbstractUI.aspx?menuIndex=3&amp;refID=7060874&amp;Result=3","7060874")</f>
        <v>0</v>
      </c>
      <c r="B6549" t="s">
        <v>2095</v>
      </c>
      <c r="C6549" t="s">
        <v>9750</v>
      </c>
      <c r="D6549" t="s">
        <v>18789</v>
      </c>
      <c r="E6549" t="s">
        <v>24690</v>
      </c>
      <c r="F6549" t="s">
        <v>32664</v>
      </c>
      <c r="G6549" t="s">
        <v>32675</v>
      </c>
      <c r="H6549" t="s">
        <v>12635</v>
      </c>
      <c r="I6549" t="s">
        <v>6168</v>
      </c>
      <c r="J6549" t="s">
        <v>36891</v>
      </c>
      <c r="K6549" t="s">
        <v>42283</v>
      </c>
      <c r="M6549" t="s">
        <v>44850</v>
      </c>
      <c r="N6549" t="s">
        <v>46569</v>
      </c>
      <c r="O6549" t="s">
        <v>46570</v>
      </c>
      <c r="P6549">
        <v>0</v>
      </c>
      <c r="Q6549">
        <v>1</v>
      </c>
      <c r="R6549" t="s">
        <v>46573</v>
      </c>
      <c r="S6549" t="s">
        <v>46705</v>
      </c>
      <c r="T6549" t="s">
        <v>48316</v>
      </c>
      <c r="U6549" t="s">
        <v>50477</v>
      </c>
      <c r="W6549" t="s">
        <v>44850</v>
      </c>
      <c r="X6549" t="s">
        <v>46574</v>
      </c>
    </row>
    <row r="6550" spans="1:24">
      <c r="A6550">
        <f>HYPERLINK("https://www.philgeps.gov.ph/GEPSNONPILOT/Tender/SplashBidNoticeAbstractUI.aspx?menuIndex=3&amp;refID=7061031&amp;Result=3","7061031")</f>
        <v>0</v>
      </c>
      <c r="B6550" t="s">
        <v>798</v>
      </c>
      <c r="C6550" t="s">
        <v>9751</v>
      </c>
      <c r="D6550" t="s">
        <v>18830</v>
      </c>
      <c r="E6550" t="s">
        <v>24688</v>
      </c>
      <c r="F6550" t="s">
        <v>32664</v>
      </c>
      <c r="G6550" t="s">
        <v>32674</v>
      </c>
      <c r="H6550" t="s">
        <v>12635</v>
      </c>
      <c r="I6550" t="s">
        <v>10370</v>
      </c>
      <c r="J6550" t="s">
        <v>36892</v>
      </c>
      <c r="K6550" t="s">
        <v>42281</v>
      </c>
      <c r="M6550" t="s">
        <v>43390</v>
      </c>
      <c r="N6550" t="s">
        <v>46569</v>
      </c>
      <c r="O6550" t="s">
        <v>46570</v>
      </c>
      <c r="P6550">
        <v>0</v>
      </c>
      <c r="Q6550">
        <v>4</v>
      </c>
      <c r="R6550" t="s">
        <v>46573</v>
      </c>
      <c r="S6550" t="s">
        <v>46705</v>
      </c>
      <c r="T6550" t="s">
        <v>48307</v>
      </c>
      <c r="U6550" t="s">
        <v>54129</v>
      </c>
      <c r="W6550" t="s">
        <v>43390</v>
      </c>
      <c r="X6550" t="s">
        <v>46574</v>
      </c>
    </row>
    <row r="6551" spans="1:24">
      <c r="A6551">
        <f>HYPERLINK("https://www.philgeps.gov.ph/GEPSNONPILOT/Tender/SplashBidNoticeAbstractUI.aspx?menuIndex=3&amp;refID=7061028&amp;Result=3","7061028")</f>
        <v>0</v>
      </c>
      <c r="B6551" t="s">
        <v>1484</v>
      </c>
      <c r="C6551" t="s">
        <v>9752</v>
      </c>
      <c r="E6551" t="s">
        <v>24691</v>
      </c>
      <c r="F6551" t="s">
        <v>32664</v>
      </c>
      <c r="G6551" t="s">
        <v>32671</v>
      </c>
      <c r="H6551" t="s">
        <v>12635</v>
      </c>
      <c r="I6551" t="s">
        <v>32701</v>
      </c>
      <c r="J6551" t="s">
        <v>36893</v>
      </c>
      <c r="K6551" t="s">
        <v>42283</v>
      </c>
      <c r="M6551" t="s">
        <v>44147</v>
      </c>
      <c r="N6551" t="s">
        <v>46569</v>
      </c>
      <c r="O6551" t="s">
        <v>46570</v>
      </c>
      <c r="P6551">
        <v>0</v>
      </c>
      <c r="Q6551">
        <v>0</v>
      </c>
      <c r="R6551" t="s">
        <v>46573</v>
      </c>
      <c r="S6551" t="s">
        <v>46705</v>
      </c>
      <c r="T6551" t="s">
        <v>48492</v>
      </c>
      <c r="U6551" t="s">
        <v>54212</v>
      </c>
      <c r="W6551" t="s">
        <v>44147</v>
      </c>
      <c r="X6551" t="s">
        <v>46574</v>
      </c>
    </row>
    <row r="6552" spans="1:24">
      <c r="A6552">
        <f>HYPERLINK("https://www.philgeps.gov.ph/GEPSNONPILOT/Tender/SplashBidNoticeAbstractUI.aspx?menuIndex=3&amp;refID=7061039&amp;Result=3","7061039")</f>
        <v>0</v>
      </c>
      <c r="B6552" t="s">
        <v>1288</v>
      </c>
      <c r="C6552" t="s">
        <v>9753</v>
      </c>
      <c r="D6552" t="s">
        <v>18824</v>
      </c>
      <c r="E6552" t="s">
        <v>24692</v>
      </c>
      <c r="F6552" t="s">
        <v>32664</v>
      </c>
      <c r="G6552" t="s">
        <v>32671</v>
      </c>
      <c r="H6552" t="s">
        <v>12635</v>
      </c>
      <c r="I6552" t="s">
        <v>6628</v>
      </c>
      <c r="J6552" t="s">
        <v>32898</v>
      </c>
      <c r="K6552" t="s">
        <v>42295</v>
      </c>
      <c r="M6552" t="s">
        <v>43931</v>
      </c>
      <c r="N6552" t="s">
        <v>46569</v>
      </c>
      <c r="O6552" t="s">
        <v>46570</v>
      </c>
      <c r="P6552">
        <v>0</v>
      </c>
      <c r="Q6552">
        <v>1</v>
      </c>
      <c r="R6552" t="s">
        <v>46573</v>
      </c>
      <c r="S6552" t="s">
        <v>46705</v>
      </c>
      <c r="T6552" t="s">
        <v>48290</v>
      </c>
      <c r="U6552" t="s">
        <v>54213</v>
      </c>
      <c r="V6552" t="s">
        <v>62275</v>
      </c>
      <c r="W6552" t="s">
        <v>43931</v>
      </c>
      <c r="X6552" t="s">
        <v>46574</v>
      </c>
    </row>
    <row r="6553" spans="1:24">
      <c r="A6553">
        <f>HYPERLINK("https://www.philgeps.gov.ph/GEPSNONPILOT/Tender/SplashBidNoticeAbstractUI.aspx?menuIndex=3&amp;refID=7061027&amp;Result=3","7061027")</f>
        <v>0</v>
      </c>
      <c r="B6553" t="s">
        <v>142</v>
      </c>
      <c r="C6553" t="s">
        <v>9754</v>
      </c>
      <c r="D6553" t="s">
        <v>18784</v>
      </c>
      <c r="E6553" t="s">
        <v>19178</v>
      </c>
      <c r="F6553" t="s">
        <v>32664</v>
      </c>
      <c r="G6553" t="s">
        <v>32671</v>
      </c>
      <c r="H6553" t="s">
        <v>12635</v>
      </c>
      <c r="I6553" t="s">
        <v>32694</v>
      </c>
      <c r="J6553" t="s">
        <v>36894</v>
      </c>
      <c r="K6553" t="s">
        <v>42281</v>
      </c>
      <c r="M6553" t="s">
        <v>42706</v>
      </c>
      <c r="N6553" t="s">
        <v>46569</v>
      </c>
      <c r="O6553" t="s">
        <v>46570</v>
      </c>
      <c r="P6553">
        <v>0</v>
      </c>
      <c r="Q6553">
        <v>6</v>
      </c>
      <c r="R6553" t="s">
        <v>46573</v>
      </c>
      <c r="S6553" t="s">
        <v>46705</v>
      </c>
      <c r="T6553" t="s">
        <v>48316</v>
      </c>
      <c r="U6553" t="s">
        <v>54214</v>
      </c>
      <c r="W6553" t="s">
        <v>42706</v>
      </c>
      <c r="X6553" t="s">
        <v>46574</v>
      </c>
    </row>
    <row r="6554" spans="1:24">
      <c r="A6554">
        <f>HYPERLINK("https://www.philgeps.gov.ph/GEPSNONPILOT/Tender/SplashBidNoticeAbstractUI.aspx?menuIndex=3&amp;refID=7061022&amp;Result=3","7061022")</f>
        <v>0</v>
      </c>
      <c r="B6554" t="s">
        <v>279</v>
      </c>
      <c r="C6554" t="s">
        <v>9755</v>
      </c>
      <c r="D6554" t="s">
        <v>18784</v>
      </c>
      <c r="E6554" t="s">
        <v>24693</v>
      </c>
      <c r="F6554" t="s">
        <v>32664</v>
      </c>
      <c r="G6554" t="s">
        <v>32672</v>
      </c>
      <c r="H6554" t="s">
        <v>32683</v>
      </c>
      <c r="I6554" t="s">
        <v>10627</v>
      </c>
      <c r="J6554" t="s">
        <v>36895</v>
      </c>
      <c r="K6554" t="s">
        <v>42283</v>
      </c>
      <c r="M6554" t="s">
        <v>42844</v>
      </c>
      <c r="N6554" t="s">
        <v>46569</v>
      </c>
      <c r="O6554" t="s">
        <v>46570</v>
      </c>
      <c r="P6554">
        <v>0</v>
      </c>
      <c r="Q6554">
        <v>1</v>
      </c>
      <c r="R6554" t="s">
        <v>46573</v>
      </c>
      <c r="S6554" t="s">
        <v>46705</v>
      </c>
      <c r="T6554" t="s">
        <v>48377</v>
      </c>
      <c r="U6554" t="s">
        <v>54215</v>
      </c>
      <c r="W6554" t="s">
        <v>42844</v>
      </c>
      <c r="X6554" t="s">
        <v>46574</v>
      </c>
    </row>
    <row r="6555" spans="1:24">
      <c r="A6555">
        <f>HYPERLINK("https://www.philgeps.gov.ph/GEPSNONPILOT/Tender/SplashBidNoticeAbstractUI.aspx?menuIndex=3&amp;refID=7061019&amp;Result=3","7061019")</f>
        <v>0</v>
      </c>
      <c r="B6555" t="s">
        <v>1944</v>
      </c>
      <c r="C6555" t="s">
        <v>9756</v>
      </c>
      <c r="D6555" t="s">
        <v>18806</v>
      </c>
      <c r="E6555" t="s">
        <v>24694</v>
      </c>
      <c r="F6555" t="s">
        <v>32664</v>
      </c>
      <c r="G6555" t="s">
        <v>32672</v>
      </c>
      <c r="H6555" t="s">
        <v>12635</v>
      </c>
      <c r="I6555" t="s">
        <v>4439</v>
      </c>
      <c r="J6555" t="s">
        <v>36896</v>
      </c>
      <c r="K6555" t="s">
        <v>42297</v>
      </c>
      <c r="M6555" t="s">
        <v>44669</v>
      </c>
      <c r="N6555" t="s">
        <v>46569</v>
      </c>
      <c r="O6555" t="s">
        <v>46570</v>
      </c>
      <c r="P6555">
        <v>0</v>
      </c>
      <c r="Q6555">
        <v>0</v>
      </c>
      <c r="R6555" t="s">
        <v>46573</v>
      </c>
      <c r="S6555" t="s">
        <v>46705</v>
      </c>
      <c r="T6555" t="s">
        <v>48308</v>
      </c>
      <c r="U6555" t="s">
        <v>54216</v>
      </c>
      <c r="V6555" t="s">
        <v>62224</v>
      </c>
      <c r="W6555" t="s">
        <v>44669</v>
      </c>
      <c r="X6555" t="s">
        <v>46574</v>
      </c>
    </row>
    <row r="6556" spans="1:24">
      <c r="A6556">
        <f>HYPERLINK("https://www.philgeps.gov.ph/GEPSNONPILOT/Tender/SplashBidNoticeAbstractUI.aspx?menuIndex=3&amp;refID=7061017&amp;Result=3","7061017")</f>
        <v>0</v>
      </c>
      <c r="B6556" t="s">
        <v>1498</v>
      </c>
      <c r="C6556" t="s">
        <v>9757</v>
      </c>
      <c r="D6556" t="s">
        <v>18855</v>
      </c>
      <c r="E6556" t="s">
        <v>24695</v>
      </c>
      <c r="F6556" t="s">
        <v>32664</v>
      </c>
      <c r="G6556" t="s">
        <v>32672</v>
      </c>
      <c r="H6556" t="s">
        <v>12635</v>
      </c>
      <c r="I6556" t="s">
        <v>32712</v>
      </c>
      <c r="J6556" t="s">
        <v>34293</v>
      </c>
      <c r="K6556" t="s">
        <v>42298</v>
      </c>
      <c r="M6556" t="s">
        <v>44162</v>
      </c>
      <c r="N6556" t="s">
        <v>46569</v>
      </c>
      <c r="O6556" t="s">
        <v>46570</v>
      </c>
      <c r="P6556">
        <v>0</v>
      </c>
      <c r="Q6556">
        <v>11</v>
      </c>
      <c r="R6556" t="s">
        <v>46573</v>
      </c>
      <c r="S6556" t="s">
        <v>46705</v>
      </c>
      <c r="T6556" t="s">
        <v>48211</v>
      </c>
      <c r="U6556" t="s">
        <v>54217</v>
      </c>
      <c r="W6556" t="s">
        <v>44162</v>
      </c>
      <c r="X6556" t="s">
        <v>46574</v>
      </c>
    </row>
    <row r="6557" spans="1:24">
      <c r="A6557">
        <f>HYPERLINK("https://www.philgeps.gov.ph/GEPSNONPILOT/Tender/SplashBidNoticeAbstractUI.aspx?menuIndex=3&amp;refID=7061016&amp;Result=3","7061016")</f>
        <v>0</v>
      </c>
      <c r="B6557" t="s">
        <v>791</v>
      </c>
      <c r="C6557" t="s">
        <v>9758</v>
      </c>
      <c r="D6557" t="s">
        <v>18785</v>
      </c>
      <c r="E6557" t="s">
        <v>24696</v>
      </c>
      <c r="F6557" t="s">
        <v>32664</v>
      </c>
      <c r="G6557" t="s">
        <v>32674</v>
      </c>
      <c r="H6557" t="s">
        <v>12635</v>
      </c>
      <c r="I6557" t="s">
        <v>32685</v>
      </c>
      <c r="J6557" t="s">
        <v>36897</v>
      </c>
      <c r="K6557" t="s">
        <v>42297</v>
      </c>
      <c r="M6557" t="s">
        <v>43383</v>
      </c>
      <c r="N6557" t="s">
        <v>46569</v>
      </c>
      <c r="O6557" t="s">
        <v>46570</v>
      </c>
      <c r="P6557">
        <v>0</v>
      </c>
      <c r="Q6557">
        <v>2</v>
      </c>
      <c r="R6557" t="s">
        <v>46573</v>
      </c>
      <c r="S6557" t="s">
        <v>46705</v>
      </c>
      <c r="T6557" t="s">
        <v>48238</v>
      </c>
      <c r="U6557" t="s">
        <v>54174</v>
      </c>
      <c r="W6557" t="s">
        <v>43383</v>
      </c>
      <c r="X6557" t="s">
        <v>46574</v>
      </c>
    </row>
    <row r="6558" spans="1:24">
      <c r="A6558">
        <f>HYPERLINK("https://www.philgeps.gov.ph/GEPSNONPILOT/Tender/SplashBidNoticeAbstractUI.aspx?menuIndex=3&amp;refID=7061036&amp;Result=3","7061036")</f>
        <v>0</v>
      </c>
      <c r="B6558" t="s">
        <v>204</v>
      </c>
      <c r="C6558" t="s">
        <v>9759</v>
      </c>
      <c r="D6558" t="s">
        <v>18816</v>
      </c>
      <c r="E6558" t="s">
        <v>21917</v>
      </c>
      <c r="F6558" t="s">
        <v>32664</v>
      </c>
      <c r="G6558" t="s">
        <v>32674</v>
      </c>
      <c r="H6558" t="s">
        <v>12635</v>
      </c>
      <c r="I6558" t="s">
        <v>4439</v>
      </c>
      <c r="J6558" t="s">
        <v>36898</v>
      </c>
      <c r="K6558" t="s">
        <v>42284</v>
      </c>
      <c r="M6558" t="s">
        <v>42768</v>
      </c>
      <c r="N6558" t="s">
        <v>46569</v>
      </c>
      <c r="O6558" t="s">
        <v>46570</v>
      </c>
      <c r="P6558">
        <v>0</v>
      </c>
      <c r="Q6558">
        <v>0</v>
      </c>
      <c r="R6558" t="s">
        <v>46573</v>
      </c>
      <c r="S6558" t="s">
        <v>46705</v>
      </c>
      <c r="T6558" t="s">
        <v>48473</v>
      </c>
      <c r="U6558" t="s">
        <v>49145</v>
      </c>
      <c r="W6558" t="s">
        <v>42768</v>
      </c>
      <c r="X6558" t="s">
        <v>46574</v>
      </c>
    </row>
    <row r="6559" spans="1:24">
      <c r="A6559">
        <f>HYPERLINK("https://www.philgeps.gov.ph/GEPSNONPILOT/Tender/SplashBidNoticeAbstractUI.aspx?menuIndex=3&amp;refID=7061018&amp;Result=3","7061018")</f>
        <v>0</v>
      </c>
      <c r="B6559" t="s">
        <v>2096</v>
      </c>
      <c r="C6559" t="s">
        <v>9760</v>
      </c>
      <c r="D6559" t="s">
        <v>18830</v>
      </c>
      <c r="E6559" t="s">
        <v>9760</v>
      </c>
      <c r="F6559" t="s">
        <v>32664</v>
      </c>
      <c r="G6559" t="s">
        <v>32671</v>
      </c>
      <c r="H6559" t="s">
        <v>32683</v>
      </c>
      <c r="I6559" t="s">
        <v>10627</v>
      </c>
      <c r="J6559" t="s">
        <v>36899</v>
      </c>
      <c r="K6559" t="s">
        <v>42432</v>
      </c>
      <c r="M6559" t="s">
        <v>44851</v>
      </c>
      <c r="N6559" t="s">
        <v>46569</v>
      </c>
      <c r="O6559" t="s">
        <v>46570</v>
      </c>
      <c r="P6559">
        <v>0</v>
      </c>
      <c r="Q6559">
        <v>1</v>
      </c>
      <c r="R6559" t="s">
        <v>46573</v>
      </c>
      <c r="S6559" t="s">
        <v>46705</v>
      </c>
      <c r="T6559" t="s">
        <v>48427</v>
      </c>
      <c r="U6559" t="s">
        <v>50477</v>
      </c>
      <c r="W6559" t="s">
        <v>44851</v>
      </c>
      <c r="X6559" t="s">
        <v>46574</v>
      </c>
    </row>
    <row r="6560" spans="1:24">
      <c r="A6560">
        <f>HYPERLINK("https://www.philgeps.gov.ph/GEPSNONPILOT/Tender/SplashBidNoticeAbstractUI.aspx?menuIndex=3&amp;refID=7061014&amp;Result=3","7061014")</f>
        <v>0</v>
      </c>
      <c r="B6560" t="s">
        <v>2097</v>
      </c>
      <c r="C6560" t="s">
        <v>9761</v>
      </c>
      <c r="D6560" t="s">
        <v>18818</v>
      </c>
      <c r="E6560" t="s">
        <v>24697</v>
      </c>
      <c r="F6560" t="s">
        <v>32664</v>
      </c>
      <c r="G6560" t="s">
        <v>32672</v>
      </c>
      <c r="H6560" t="s">
        <v>12635</v>
      </c>
      <c r="I6560" t="s">
        <v>5589</v>
      </c>
      <c r="J6560" t="s">
        <v>36900</v>
      </c>
      <c r="K6560" t="s">
        <v>42298</v>
      </c>
      <c r="M6560" t="s">
        <v>44852</v>
      </c>
      <c r="N6560" t="s">
        <v>46569</v>
      </c>
      <c r="O6560" t="s">
        <v>46570</v>
      </c>
      <c r="P6560">
        <v>0</v>
      </c>
      <c r="Q6560">
        <v>8</v>
      </c>
      <c r="R6560" t="s">
        <v>46573</v>
      </c>
      <c r="S6560" t="s">
        <v>46705</v>
      </c>
      <c r="T6560" t="s">
        <v>48385</v>
      </c>
      <c r="U6560" t="s">
        <v>54218</v>
      </c>
      <c r="V6560" t="s">
        <v>62279</v>
      </c>
      <c r="W6560" t="s">
        <v>44852</v>
      </c>
      <c r="X6560" t="s">
        <v>46574</v>
      </c>
    </row>
    <row r="6561" spans="1:24">
      <c r="A6561">
        <f>HYPERLINK("https://www.philgeps.gov.ph/GEPSNONPILOT/Tender/SplashBidNoticeAbstractUI.aspx?menuIndex=3&amp;refID=7061011&amp;Result=3","7061011")</f>
        <v>0</v>
      </c>
      <c r="B6561" t="s">
        <v>2098</v>
      </c>
      <c r="C6561" t="s">
        <v>9762</v>
      </c>
      <c r="D6561" t="s">
        <v>18826</v>
      </c>
      <c r="E6561" t="s">
        <v>24698</v>
      </c>
      <c r="F6561" t="s">
        <v>32664</v>
      </c>
      <c r="G6561" t="s">
        <v>32672</v>
      </c>
      <c r="H6561" t="s">
        <v>32681</v>
      </c>
      <c r="I6561" t="s">
        <v>32681</v>
      </c>
      <c r="J6561" t="s">
        <v>32943</v>
      </c>
      <c r="K6561" t="s">
        <v>42449</v>
      </c>
      <c r="M6561" t="s">
        <v>44853</v>
      </c>
      <c r="N6561" t="s">
        <v>46569</v>
      </c>
      <c r="O6561" t="s">
        <v>46570</v>
      </c>
      <c r="P6561">
        <v>0</v>
      </c>
      <c r="Q6561">
        <v>4</v>
      </c>
      <c r="R6561" t="s">
        <v>46573</v>
      </c>
      <c r="S6561" t="s">
        <v>46705</v>
      </c>
      <c r="T6561" t="s">
        <v>48582</v>
      </c>
      <c r="U6561" t="s">
        <v>54219</v>
      </c>
      <c r="W6561" t="s">
        <v>44853</v>
      </c>
      <c r="X6561" t="s">
        <v>46574</v>
      </c>
    </row>
    <row r="6562" spans="1:24">
      <c r="A6562">
        <f>HYPERLINK("https://www.philgeps.gov.ph/GEPSNONPILOT/Tender/SplashBidNoticeAbstractUI.aspx?menuIndex=3&amp;refID=7061023&amp;Result=3","7061023")</f>
        <v>0</v>
      </c>
      <c r="B6562" t="s">
        <v>796</v>
      </c>
      <c r="C6562" t="s">
        <v>9763</v>
      </c>
      <c r="D6562" t="s">
        <v>18801</v>
      </c>
      <c r="E6562" t="s">
        <v>24699</v>
      </c>
      <c r="F6562" t="s">
        <v>32664</v>
      </c>
      <c r="G6562" t="s">
        <v>32672</v>
      </c>
      <c r="H6562" t="s">
        <v>32683</v>
      </c>
      <c r="I6562" t="s">
        <v>10627</v>
      </c>
      <c r="J6562" t="s">
        <v>34131</v>
      </c>
      <c r="K6562" t="s">
        <v>42290</v>
      </c>
      <c r="M6562" t="s">
        <v>43388</v>
      </c>
      <c r="N6562" t="s">
        <v>46569</v>
      </c>
      <c r="O6562" t="s">
        <v>46570</v>
      </c>
      <c r="P6562">
        <v>0</v>
      </c>
      <c r="Q6562">
        <v>4</v>
      </c>
      <c r="R6562" t="s">
        <v>46573</v>
      </c>
      <c r="S6562" t="s">
        <v>46705</v>
      </c>
      <c r="T6562" t="s">
        <v>48220</v>
      </c>
      <c r="U6562" t="s">
        <v>54125</v>
      </c>
      <c r="W6562" t="s">
        <v>63490</v>
      </c>
      <c r="X6562" t="s">
        <v>46574</v>
      </c>
    </row>
    <row r="6563" spans="1:24">
      <c r="A6563">
        <f>HYPERLINK("https://www.philgeps.gov.ph/GEPSNONPILOT/Tender/SplashBidNoticeAbstractUI.aspx?menuIndex=3&amp;refID=7061004&amp;Result=3","7061004")</f>
        <v>0</v>
      </c>
      <c r="B6563" t="s">
        <v>2082</v>
      </c>
      <c r="C6563" t="s">
        <v>9764</v>
      </c>
      <c r="D6563" t="s">
        <v>18799</v>
      </c>
      <c r="E6563" t="s">
        <v>24700</v>
      </c>
      <c r="F6563" t="s">
        <v>32664</v>
      </c>
      <c r="G6563" t="s">
        <v>32672</v>
      </c>
      <c r="H6563" t="s">
        <v>12635</v>
      </c>
      <c r="I6563" t="s">
        <v>32685</v>
      </c>
      <c r="J6563" t="s">
        <v>36901</v>
      </c>
      <c r="K6563" t="s">
        <v>42289</v>
      </c>
      <c r="L6563" t="s">
        <v>2082</v>
      </c>
      <c r="M6563" t="s">
        <v>44834</v>
      </c>
      <c r="N6563" t="s">
        <v>46569</v>
      </c>
      <c r="O6563" t="s">
        <v>46570</v>
      </c>
      <c r="P6563">
        <v>0</v>
      </c>
      <c r="Q6563">
        <v>0</v>
      </c>
      <c r="R6563" t="s">
        <v>46573</v>
      </c>
      <c r="S6563" t="s">
        <v>46705</v>
      </c>
      <c r="T6563" t="s">
        <v>48579</v>
      </c>
      <c r="U6563" t="s">
        <v>54220</v>
      </c>
      <c r="W6563" t="s">
        <v>44834</v>
      </c>
      <c r="X6563" t="s">
        <v>46574</v>
      </c>
    </row>
    <row r="6564" spans="1:24">
      <c r="A6564">
        <f>HYPERLINK("https://www.philgeps.gov.ph/GEPSNONPILOT/Tender/SplashBidNoticeAbstractUI.aspx?menuIndex=3&amp;refID=7061015&amp;Result=3","7061015")</f>
        <v>0</v>
      </c>
      <c r="B6564" t="s">
        <v>2099</v>
      </c>
      <c r="C6564" t="s">
        <v>9765</v>
      </c>
      <c r="D6564" t="s">
        <v>18803</v>
      </c>
      <c r="E6564" t="s">
        <v>24701</v>
      </c>
      <c r="F6564" t="s">
        <v>32666</v>
      </c>
      <c r="G6564" t="s">
        <v>32672</v>
      </c>
      <c r="H6564" t="s">
        <v>32683</v>
      </c>
      <c r="I6564" t="s">
        <v>10627</v>
      </c>
      <c r="J6564" t="s">
        <v>36902</v>
      </c>
      <c r="K6564" t="s">
        <v>42297</v>
      </c>
      <c r="M6564" t="s">
        <v>44854</v>
      </c>
      <c r="N6564" t="s">
        <v>46569</v>
      </c>
      <c r="O6564" t="s">
        <v>46570</v>
      </c>
      <c r="P6564">
        <v>0</v>
      </c>
      <c r="Q6564">
        <v>1</v>
      </c>
      <c r="R6564" t="s">
        <v>46573</v>
      </c>
      <c r="S6564" t="s">
        <v>46705</v>
      </c>
      <c r="T6564" t="s">
        <v>48327</v>
      </c>
      <c r="U6564" t="s">
        <v>54221</v>
      </c>
      <c r="W6564" t="s">
        <v>44854</v>
      </c>
      <c r="X6564" t="s">
        <v>46574</v>
      </c>
    </row>
    <row r="6565" spans="1:24">
      <c r="A6565">
        <f>HYPERLINK("https://www.philgeps.gov.ph/GEPSNONPILOT/Tender/SplashBidNoticeAbstractUI.aspx?menuIndex=3&amp;refID=7061009&amp;Result=3","7061009")</f>
        <v>0</v>
      </c>
      <c r="B6565" t="s">
        <v>798</v>
      </c>
      <c r="C6565" t="s">
        <v>9766</v>
      </c>
      <c r="D6565" t="s">
        <v>18830</v>
      </c>
      <c r="E6565" t="s">
        <v>24702</v>
      </c>
      <c r="F6565" t="s">
        <v>32664</v>
      </c>
      <c r="G6565" t="s">
        <v>32674</v>
      </c>
      <c r="H6565" t="s">
        <v>12635</v>
      </c>
      <c r="I6565" t="s">
        <v>6223</v>
      </c>
      <c r="J6565" t="s">
        <v>36903</v>
      </c>
      <c r="K6565" t="s">
        <v>42281</v>
      </c>
      <c r="M6565" t="s">
        <v>43390</v>
      </c>
      <c r="N6565" t="s">
        <v>46569</v>
      </c>
      <c r="O6565" t="s">
        <v>46570</v>
      </c>
      <c r="P6565">
        <v>0</v>
      </c>
      <c r="Q6565">
        <v>1</v>
      </c>
      <c r="R6565" t="s">
        <v>46573</v>
      </c>
      <c r="S6565" t="s">
        <v>46705</v>
      </c>
      <c r="T6565" t="s">
        <v>48307</v>
      </c>
      <c r="U6565" t="s">
        <v>54129</v>
      </c>
      <c r="W6565" t="s">
        <v>43390</v>
      </c>
      <c r="X6565" t="s">
        <v>46574</v>
      </c>
    </row>
    <row r="6566" spans="1:24">
      <c r="A6566">
        <f>HYPERLINK("https://www.philgeps.gov.ph/GEPSNONPILOT/Tender/SplashBidNoticeAbstractUI.aspx?menuIndex=3&amp;refID=7061062&amp;Result=3","7061062")</f>
        <v>0</v>
      </c>
      <c r="B6566" t="s">
        <v>2100</v>
      </c>
      <c r="C6566" t="s">
        <v>9767</v>
      </c>
      <c r="D6566" t="s">
        <v>18818</v>
      </c>
      <c r="E6566" t="s">
        <v>24703</v>
      </c>
      <c r="F6566" t="s">
        <v>32664</v>
      </c>
      <c r="G6566" t="s">
        <v>32671</v>
      </c>
      <c r="H6566" t="s">
        <v>12635</v>
      </c>
      <c r="I6566" t="s">
        <v>32699</v>
      </c>
      <c r="J6566" t="s">
        <v>33752</v>
      </c>
      <c r="K6566" t="s">
        <v>42281</v>
      </c>
      <c r="M6566" t="s">
        <v>44855</v>
      </c>
      <c r="N6566" t="s">
        <v>46569</v>
      </c>
      <c r="O6566" t="s">
        <v>46570</v>
      </c>
      <c r="P6566">
        <v>0</v>
      </c>
      <c r="Q6566">
        <v>0</v>
      </c>
      <c r="R6566" t="s">
        <v>46573</v>
      </c>
      <c r="S6566" t="s">
        <v>46705</v>
      </c>
      <c r="T6566" t="s">
        <v>48244</v>
      </c>
      <c r="U6566" t="s">
        <v>54222</v>
      </c>
      <c r="W6566" t="s">
        <v>44855</v>
      </c>
      <c r="X6566" t="s">
        <v>46574</v>
      </c>
    </row>
    <row r="6567" spans="1:24">
      <c r="A6567">
        <f>HYPERLINK("https://www.philgeps.gov.ph/GEPSNONPILOT/Tender/SplashBidNoticeAbstractUI.aspx?menuIndex=3&amp;refID=7061029&amp;Result=3","7061029")</f>
        <v>0</v>
      </c>
      <c r="B6567" t="s">
        <v>1806</v>
      </c>
      <c r="C6567" t="s">
        <v>9768</v>
      </c>
      <c r="D6567" t="s">
        <v>18799</v>
      </c>
      <c r="E6567" t="s">
        <v>24704</v>
      </c>
      <c r="F6567" t="s">
        <v>32664</v>
      </c>
      <c r="G6567" t="s">
        <v>32671</v>
      </c>
      <c r="H6567" t="s">
        <v>12635</v>
      </c>
      <c r="I6567" t="s">
        <v>5589</v>
      </c>
      <c r="J6567" t="s">
        <v>33051</v>
      </c>
      <c r="K6567" t="s">
        <v>42289</v>
      </c>
      <c r="M6567" t="s">
        <v>44511</v>
      </c>
      <c r="N6567" t="s">
        <v>46569</v>
      </c>
      <c r="O6567" t="s">
        <v>46570</v>
      </c>
      <c r="P6567">
        <v>0</v>
      </c>
      <c r="Q6567">
        <v>3</v>
      </c>
      <c r="R6567" t="s">
        <v>46573</v>
      </c>
      <c r="S6567" t="s">
        <v>46705</v>
      </c>
      <c r="T6567" t="s">
        <v>48334</v>
      </c>
      <c r="U6567" t="s">
        <v>54223</v>
      </c>
      <c r="W6567" t="s">
        <v>44511</v>
      </c>
      <c r="X6567" t="s">
        <v>46574</v>
      </c>
    </row>
    <row r="6568" spans="1:24">
      <c r="A6568">
        <f>HYPERLINK("https://www.philgeps.gov.ph/GEPSNONPILOT/Tender/SplashBidNoticeAbstractUI.aspx?menuIndex=3&amp;refID=7061061&amp;Result=3","7061061")</f>
        <v>0</v>
      </c>
      <c r="B6568" t="s">
        <v>2099</v>
      </c>
      <c r="C6568" t="s">
        <v>9769</v>
      </c>
      <c r="D6568" t="s">
        <v>18803</v>
      </c>
      <c r="E6568" t="s">
        <v>24705</v>
      </c>
      <c r="F6568" t="s">
        <v>32666</v>
      </c>
      <c r="G6568" t="s">
        <v>32672</v>
      </c>
      <c r="H6568" t="s">
        <v>32683</v>
      </c>
      <c r="I6568" t="s">
        <v>10627</v>
      </c>
      <c r="J6568" t="s">
        <v>36904</v>
      </c>
      <c r="K6568" t="s">
        <v>42297</v>
      </c>
      <c r="M6568" t="s">
        <v>44854</v>
      </c>
      <c r="N6568" t="s">
        <v>46569</v>
      </c>
      <c r="O6568" t="s">
        <v>46570</v>
      </c>
      <c r="P6568">
        <v>0</v>
      </c>
      <c r="Q6568">
        <v>1</v>
      </c>
      <c r="R6568" t="s">
        <v>46573</v>
      </c>
      <c r="S6568" t="s">
        <v>46705</v>
      </c>
      <c r="T6568" t="s">
        <v>48327</v>
      </c>
      <c r="U6568" t="s">
        <v>54224</v>
      </c>
      <c r="W6568" t="s">
        <v>44854</v>
      </c>
      <c r="X6568" t="s">
        <v>46574</v>
      </c>
    </row>
    <row r="6569" spans="1:24">
      <c r="A6569">
        <f>HYPERLINK("https://www.philgeps.gov.ph/GEPSNONPILOT/Tender/SplashBidNoticeAbstractUI.aspx?menuIndex=3&amp;refID=7061059&amp;Result=3","7061059")</f>
        <v>0</v>
      </c>
      <c r="B6569" t="s">
        <v>2080</v>
      </c>
      <c r="C6569" t="s">
        <v>9770</v>
      </c>
      <c r="D6569" t="s">
        <v>18848</v>
      </c>
      <c r="E6569" t="s">
        <v>24706</v>
      </c>
      <c r="F6569" t="s">
        <v>32664</v>
      </c>
      <c r="G6569" t="s">
        <v>32672</v>
      </c>
      <c r="H6569" t="s">
        <v>12635</v>
      </c>
      <c r="I6569" t="s">
        <v>5589</v>
      </c>
      <c r="J6569" t="s">
        <v>33051</v>
      </c>
      <c r="K6569" t="s">
        <v>42283</v>
      </c>
      <c r="M6569" t="s">
        <v>44832</v>
      </c>
      <c r="N6569" t="s">
        <v>46569</v>
      </c>
      <c r="O6569" t="s">
        <v>46570</v>
      </c>
      <c r="P6569">
        <v>0</v>
      </c>
      <c r="Q6569">
        <v>2</v>
      </c>
      <c r="R6569" t="s">
        <v>46573</v>
      </c>
      <c r="S6569" t="s">
        <v>46705</v>
      </c>
      <c r="T6569" t="s">
        <v>48230</v>
      </c>
      <c r="U6569" t="s">
        <v>54225</v>
      </c>
      <c r="W6569" t="s">
        <v>44832</v>
      </c>
      <c r="X6569" t="s">
        <v>46574</v>
      </c>
    </row>
    <row r="6570" spans="1:24">
      <c r="A6570">
        <f>HYPERLINK("https://www.philgeps.gov.ph/GEPSNONPILOT/Tender/SplashBidNoticeAbstractUI.aspx?menuIndex=3&amp;refID=7061058&amp;Result=3","7061058")</f>
        <v>0</v>
      </c>
      <c r="B6570" t="s">
        <v>1247</v>
      </c>
      <c r="C6570" t="s">
        <v>9771</v>
      </c>
      <c r="D6570" t="s">
        <v>18802</v>
      </c>
      <c r="E6570" t="s">
        <v>24707</v>
      </c>
      <c r="F6570" t="s">
        <v>32664</v>
      </c>
      <c r="G6570" t="s">
        <v>32671</v>
      </c>
      <c r="H6570" t="s">
        <v>12635</v>
      </c>
      <c r="I6570" t="s">
        <v>6223</v>
      </c>
      <c r="J6570" t="s">
        <v>36905</v>
      </c>
      <c r="K6570" t="s">
        <v>42297</v>
      </c>
      <c r="M6570" t="s">
        <v>43889</v>
      </c>
      <c r="N6570" t="s">
        <v>46569</v>
      </c>
      <c r="O6570" t="s">
        <v>46570</v>
      </c>
      <c r="P6570">
        <v>0</v>
      </c>
      <c r="Q6570">
        <v>0</v>
      </c>
      <c r="R6570" t="s">
        <v>46573</v>
      </c>
      <c r="S6570" t="s">
        <v>46705</v>
      </c>
      <c r="T6570" t="s">
        <v>48254</v>
      </c>
      <c r="U6570" t="s">
        <v>51438</v>
      </c>
      <c r="W6570" t="s">
        <v>43889</v>
      </c>
      <c r="X6570" t="s">
        <v>46574</v>
      </c>
    </row>
    <row r="6571" spans="1:24">
      <c r="A6571">
        <f>HYPERLINK("https://www.philgeps.gov.ph/GEPSNONPILOT/Tender/SplashBidNoticeAbstractUI.aspx?menuIndex=3&amp;refID=7061057&amp;Result=3","7061057")</f>
        <v>0</v>
      </c>
      <c r="B6571" t="s">
        <v>947</v>
      </c>
      <c r="C6571" t="s">
        <v>9772</v>
      </c>
      <c r="D6571" t="s">
        <v>18787</v>
      </c>
      <c r="E6571" t="s">
        <v>24708</v>
      </c>
      <c r="F6571" t="s">
        <v>32664</v>
      </c>
      <c r="G6571" t="s">
        <v>32671</v>
      </c>
      <c r="H6571" t="s">
        <v>12635</v>
      </c>
      <c r="I6571" t="s">
        <v>32704</v>
      </c>
      <c r="J6571" t="s">
        <v>36906</v>
      </c>
      <c r="K6571" t="s">
        <v>42295</v>
      </c>
      <c r="M6571" t="s">
        <v>44838</v>
      </c>
      <c r="N6571" t="s">
        <v>46569</v>
      </c>
      <c r="O6571" t="s">
        <v>46570</v>
      </c>
      <c r="P6571">
        <v>0</v>
      </c>
      <c r="Q6571">
        <v>2</v>
      </c>
      <c r="R6571" t="s">
        <v>46573</v>
      </c>
      <c r="S6571" t="s">
        <v>46705</v>
      </c>
      <c r="T6571" t="s">
        <v>48316</v>
      </c>
      <c r="U6571" t="s">
        <v>54226</v>
      </c>
      <c r="W6571" t="s">
        <v>44838</v>
      </c>
      <c r="X6571" t="s">
        <v>46574</v>
      </c>
    </row>
    <row r="6572" spans="1:24">
      <c r="A6572">
        <f>HYPERLINK("https://www.philgeps.gov.ph/GEPSNONPILOT/Tender/SplashBidNoticeAbstractUI.aspx?menuIndex=3&amp;refID=7061055&amp;Result=3","7061055")</f>
        <v>0</v>
      </c>
      <c r="B6572" t="s">
        <v>2083</v>
      </c>
      <c r="C6572" t="s">
        <v>9773</v>
      </c>
      <c r="D6572" t="s">
        <v>18815</v>
      </c>
      <c r="E6572" t="s">
        <v>9773</v>
      </c>
      <c r="F6572" t="s">
        <v>32664</v>
      </c>
      <c r="G6572" t="s">
        <v>32675</v>
      </c>
      <c r="H6572" t="s">
        <v>12635</v>
      </c>
      <c r="I6572" t="s">
        <v>32706</v>
      </c>
      <c r="J6572" t="s">
        <v>36907</v>
      </c>
      <c r="K6572" t="s">
        <v>42311</v>
      </c>
      <c r="M6572" t="s">
        <v>44835</v>
      </c>
      <c r="N6572" t="s">
        <v>46569</v>
      </c>
      <c r="O6572" t="s">
        <v>46570</v>
      </c>
      <c r="P6572">
        <v>0</v>
      </c>
      <c r="Q6572">
        <v>0</v>
      </c>
      <c r="R6572" t="s">
        <v>46573</v>
      </c>
      <c r="S6572" t="s">
        <v>46705</v>
      </c>
      <c r="T6572" t="s">
        <v>48283</v>
      </c>
      <c r="U6572" t="s">
        <v>54227</v>
      </c>
      <c r="W6572" t="s">
        <v>44835</v>
      </c>
      <c r="X6572" t="s">
        <v>46574</v>
      </c>
    </row>
    <row r="6573" spans="1:24">
      <c r="A6573">
        <f>HYPERLINK("https://www.philgeps.gov.ph/GEPSNONPILOT/Tender/SplashBidNoticeAbstractUI.aspx?menuIndex=3&amp;refID=7061054&amp;Result=3","7061054")</f>
        <v>0</v>
      </c>
      <c r="B6573" t="s">
        <v>2101</v>
      </c>
      <c r="C6573" t="s">
        <v>9774</v>
      </c>
      <c r="D6573" t="s">
        <v>18836</v>
      </c>
      <c r="E6573" t="s">
        <v>24709</v>
      </c>
      <c r="F6573" t="s">
        <v>32664</v>
      </c>
      <c r="G6573" t="s">
        <v>32674</v>
      </c>
      <c r="H6573" t="s">
        <v>12635</v>
      </c>
      <c r="I6573" t="s">
        <v>8797</v>
      </c>
      <c r="J6573" t="s">
        <v>36908</v>
      </c>
      <c r="K6573" t="s">
        <v>42295</v>
      </c>
      <c r="M6573" t="s">
        <v>44856</v>
      </c>
      <c r="N6573" t="s">
        <v>46569</v>
      </c>
      <c r="O6573" t="s">
        <v>46570</v>
      </c>
      <c r="P6573">
        <v>0</v>
      </c>
      <c r="Q6573">
        <v>0</v>
      </c>
      <c r="R6573" t="s">
        <v>46573</v>
      </c>
      <c r="S6573" t="s">
        <v>46705</v>
      </c>
      <c r="T6573" t="s">
        <v>48583</v>
      </c>
      <c r="U6573" t="s">
        <v>54228</v>
      </c>
      <c r="W6573" t="s">
        <v>44856</v>
      </c>
      <c r="X6573" t="s">
        <v>46574</v>
      </c>
    </row>
    <row r="6574" spans="1:24">
      <c r="A6574">
        <f>HYPERLINK("https://www.philgeps.gov.ph/GEPSNONPILOT/Tender/SplashBidNoticeAbstractUI.aspx?menuIndex=3&amp;refID=7061053&amp;Result=3","7061053")</f>
        <v>0</v>
      </c>
      <c r="B6574" t="s">
        <v>1785</v>
      </c>
      <c r="C6574" t="s">
        <v>9775</v>
      </c>
      <c r="D6574" t="s">
        <v>18805</v>
      </c>
      <c r="E6574" t="s">
        <v>24710</v>
      </c>
      <c r="F6574" t="s">
        <v>32664</v>
      </c>
      <c r="G6574" t="s">
        <v>32671</v>
      </c>
      <c r="H6574" t="s">
        <v>12635</v>
      </c>
      <c r="I6574" t="s">
        <v>4439</v>
      </c>
      <c r="J6574" t="s">
        <v>36909</v>
      </c>
      <c r="K6574" t="s">
        <v>42289</v>
      </c>
      <c r="M6574" t="s">
        <v>44487</v>
      </c>
      <c r="N6574" t="s">
        <v>46569</v>
      </c>
      <c r="O6574" t="s">
        <v>46570</v>
      </c>
      <c r="P6574">
        <v>0</v>
      </c>
      <c r="Q6574">
        <v>4</v>
      </c>
      <c r="R6574" t="s">
        <v>46573</v>
      </c>
      <c r="S6574" t="s">
        <v>46705</v>
      </c>
      <c r="T6574" t="s">
        <v>48221</v>
      </c>
      <c r="U6574" t="s">
        <v>54229</v>
      </c>
      <c r="W6574" t="s">
        <v>44487</v>
      </c>
      <c r="X6574" t="s">
        <v>46574</v>
      </c>
    </row>
    <row r="6575" spans="1:24">
      <c r="A6575">
        <f>HYPERLINK("https://www.philgeps.gov.ph/GEPSNONPILOT/Tender/SplashBidNoticeAbstractUI.aspx?menuIndex=3&amp;refID=7061051&amp;Result=3","7061051")</f>
        <v>0</v>
      </c>
      <c r="B6575" t="s">
        <v>783</v>
      </c>
      <c r="C6575" t="s">
        <v>9776</v>
      </c>
      <c r="D6575" t="s">
        <v>18826</v>
      </c>
      <c r="E6575" t="s">
        <v>24711</v>
      </c>
      <c r="F6575" t="s">
        <v>32664</v>
      </c>
      <c r="G6575" t="s">
        <v>32671</v>
      </c>
      <c r="H6575" t="s">
        <v>12635</v>
      </c>
      <c r="I6575" t="s">
        <v>32685</v>
      </c>
      <c r="J6575" t="s">
        <v>36910</v>
      </c>
      <c r="K6575" t="s">
        <v>42283</v>
      </c>
      <c r="M6575" t="s">
        <v>43375</v>
      </c>
      <c r="N6575" t="s">
        <v>46569</v>
      </c>
      <c r="O6575" t="s">
        <v>46570</v>
      </c>
      <c r="P6575">
        <v>0</v>
      </c>
      <c r="Q6575">
        <v>0</v>
      </c>
      <c r="R6575" t="s">
        <v>46573</v>
      </c>
      <c r="S6575" t="s">
        <v>46705</v>
      </c>
      <c r="T6575" t="s">
        <v>48316</v>
      </c>
      <c r="U6575" t="s">
        <v>54230</v>
      </c>
      <c r="W6575" t="s">
        <v>43375</v>
      </c>
      <c r="X6575" t="s">
        <v>46574</v>
      </c>
    </row>
    <row r="6576" spans="1:24">
      <c r="A6576">
        <f>HYPERLINK("https://www.philgeps.gov.ph/GEPSNONPILOT/Tender/SplashBidNoticeAbstractUI.aspx?menuIndex=3&amp;refID=7061050&amp;Result=3","7061050")</f>
        <v>0</v>
      </c>
      <c r="B6576" t="s">
        <v>2096</v>
      </c>
      <c r="C6576" t="s">
        <v>9777</v>
      </c>
      <c r="D6576" t="s">
        <v>18830</v>
      </c>
      <c r="E6576" t="s">
        <v>9777</v>
      </c>
      <c r="F6576" t="s">
        <v>32664</v>
      </c>
      <c r="G6576" t="s">
        <v>32671</v>
      </c>
      <c r="H6576" t="s">
        <v>32683</v>
      </c>
      <c r="I6576" t="s">
        <v>10627</v>
      </c>
      <c r="J6576" t="s">
        <v>36160</v>
      </c>
      <c r="K6576" t="s">
        <v>42398</v>
      </c>
      <c r="M6576" t="s">
        <v>44851</v>
      </c>
      <c r="N6576" t="s">
        <v>46569</v>
      </c>
      <c r="O6576" t="s">
        <v>46570</v>
      </c>
      <c r="P6576">
        <v>0</v>
      </c>
      <c r="Q6576">
        <v>1</v>
      </c>
      <c r="R6576" t="s">
        <v>46573</v>
      </c>
      <c r="S6576" t="s">
        <v>46705</v>
      </c>
      <c r="T6576" t="s">
        <v>48427</v>
      </c>
      <c r="U6576" t="s">
        <v>50477</v>
      </c>
      <c r="W6576" t="s">
        <v>44851</v>
      </c>
      <c r="X6576" t="s">
        <v>46574</v>
      </c>
    </row>
    <row r="6577" spans="1:24">
      <c r="A6577">
        <f>HYPERLINK("https://www.philgeps.gov.ph/GEPSNONPILOT/Tender/SplashBidNoticeAbstractUI.aspx?menuIndex=3&amp;refID=7061060&amp;Result=3","7061060")</f>
        <v>0</v>
      </c>
      <c r="B6577" t="s">
        <v>2091</v>
      </c>
      <c r="C6577" t="s">
        <v>9778</v>
      </c>
      <c r="D6577" t="s">
        <v>18784</v>
      </c>
      <c r="E6577" t="s">
        <v>19681</v>
      </c>
      <c r="F6577" t="s">
        <v>32664</v>
      </c>
      <c r="G6577" t="s">
        <v>32672</v>
      </c>
      <c r="H6577" t="s">
        <v>12635</v>
      </c>
      <c r="I6577" t="s">
        <v>32731</v>
      </c>
      <c r="J6577" t="s">
        <v>32859</v>
      </c>
      <c r="K6577" t="s">
        <v>42289</v>
      </c>
      <c r="M6577" t="s">
        <v>44846</v>
      </c>
      <c r="N6577" t="s">
        <v>46569</v>
      </c>
      <c r="O6577" t="s">
        <v>46570</v>
      </c>
      <c r="P6577">
        <v>0</v>
      </c>
      <c r="Q6577">
        <v>1</v>
      </c>
      <c r="R6577" t="s">
        <v>46573</v>
      </c>
      <c r="S6577" t="s">
        <v>46705</v>
      </c>
      <c r="T6577" t="s">
        <v>48415</v>
      </c>
      <c r="U6577" t="s">
        <v>54199</v>
      </c>
      <c r="W6577" t="s">
        <v>44846</v>
      </c>
      <c r="X6577" t="s">
        <v>46574</v>
      </c>
    </row>
    <row r="6578" spans="1:24">
      <c r="A6578">
        <f>HYPERLINK("https://www.philgeps.gov.ph/GEPSNONPILOT/Tender/SplashBidNoticeAbstractUI.aspx?menuIndex=3&amp;refID=7061085&amp;Result=3","7061085")</f>
        <v>0</v>
      </c>
      <c r="B6578" t="s">
        <v>1998</v>
      </c>
      <c r="C6578" t="s">
        <v>9779</v>
      </c>
      <c r="D6578" t="s">
        <v>18817</v>
      </c>
      <c r="E6578" t="s">
        <v>24712</v>
      </c>
      <c r="F6578" t="s">
        <v>32664</v>
      </c>
      <c r="G6578" t="s">
        <v>32671</v>
      </c>
      <c r="H6578" t="s">
        <v>12635</v>
      </c>
      <c r="I6578" t="s">
        <v>6223</v>
      </c>
      <c r="J6578" t="s">
        <v>36911</v>
      </c>
      <c r="K6578" t="s">
        <v>42306</v>
      </c>
      <c r="M6578" t="s">
        <v>44735</v>
      </c>
      <c r="N6578" t="s">
        <v>46569</v>
      </c>
      <c r="O6578" t="s">
        <v>46570</v>
      </c>
      <c r="P6578">
        <v>0</v>
      </c>
      <c r="Q6578">
        <v>0</v>
      </c>
      <c r="R6578" t="s">
        <v>46573</v>
      </c>
      <c r="S6578" t="s">
        <v>46705</v>
      </c>
      <c r="T6578" t="s">
        <v>48450</v>
      </c>
      <c r="U6578" t="s">
        <v>54147</v>
      </c>
      <c r="W6578" t="s">
        <v>44735</v>
      </c>
      <c r="X6578" t="s">
        <v>46574</v>
      </c>
    </row>
    <row r="6579" spans="1:24">
      <c r="A6579">
        <f>HYPERLINK("https://www.philgeps.gov.ph/GEPSNONPILOT/Tender/SplashBidNoticeAbstractUI.aspx?menuIndex=3&amp;refID=7061063&amp;Result=3","7061063")</f>
        <v>0</v>
      </c>
      <c r="B6579" t="s">
        <v>497</v>
      </c>
      <c r="C6579" t="s">
        <v>9780</v>
      </c>
      <c r="D6579" t="s">
        <v>18791</v>
      </c>
      <c r="E6579" t="s">
        <v>24713</v>
      </c>
      <c r="F6579" t="s">
        <v>32664</v>
      </c>
      <c r="G6579" t="s">
        <v>32671</v>
      </c>
      <c r="H6579" t="s">
        <v>12635</v>
      </c>
      <c r="I6579" t="s">
        <v>10627</v>
      </c>
      <c r="J6579" t="s">
        <v>36912</v>
      </c>
      <c r="K6579" t="s">
        <v>42289</v>
      </c>
      <c r="M6579" t="s">
        <v>43073</v>
      </c>
      <c r="N6579" t="s">
        <v>46569</v>
      </c>
      <c r="O6579" t="s">
        <v>46570</v>
      </c>
      <c r="P6579">
        <v>0</v>
      </c>
      <c r="Q6579">
        <v>1</v>
      </c>
      <c r="R6579" t="s">
        <v>46573</v>
      </c>
      <c r="S6579" t="s">
        <v>46705</v>
      </c>
      <c r="T6579" t="s">
        <v>48316</v>
      </c>
      <c r="U6579" t="s">
        <v>54231</v>
      </c>
      <c r="W6579" t="s">
        <v>43073</v>
      </c>
      <c r="X6579" t="s">
        <v>46574</v>
      </c>
    </row>
    <row r="6580" spans="1:24">
      <c r="A6580">
        <f>HYPERLINK("https://www.philgeps.gov.ph/GEPSNONPILOT/Tender/SplashBidNoticeAbstractUI.aspx?menuIndex=3&amp;refID=7061084&amp;Result=3","7061084")</f>
        <v>0</v>
      </c>
      <c r="B6580" t="s">
        <v>2102</v>
      </c>
      <c r="C6580" t="s">
        <v>9781</v>
      </c>
      <c r="D6580" t="s">
        <v>18855</v>
      </c>
      <c r="E6580" t="s">
        <v>24714</v>
      </c>
      <c r="F6580" t="s">
        <v>32664</v>
      </c>
      <c r="G6580" t="s">
        <v>32672</v>
      </c>
      <c r="H6580" t="s">
        <v>32683</v>
      </c>
      <c r="I6580" t="s">
        <v>10627</v>
      </c>
      <c r="J6580" t="s">
        <v>36913</v>
      </c>
      <c r="K6580" t="s">
        <v>42311</v>
      </c>
      <c r="M6580" t="s">
        <v>44857</v>
      </c>
      <c r="N6580" t="s">
        <v>46569</v>
      </c>
      <c r="O6580" t="s">
        <v>46570</v>
      </c>
      <c r="P6580">
        <v>0</v>
      </c>
      <c r="Q6580">
        <v>0</v>
      </c>
      <c r="R6580" t="s">
        <v>46573</v>
      </c>
      <c r="S6580" t="s">
        <v>46705</v>
      </c>
      <c r="T6580" t="s">
        <v>48230</v>
      </c>
      <c r="U6580" t="s">
        <v>54232</v>
      </c>
      <c r="V6580" t="s">
        <v>62280</v>
      </c>
      <c r="W6580" t="s">
        <v>44857</v>
      </c>
      <c r="X6580" t="s">
        <v>46574</v>
      </c>
    </row>
    <row r="6581" spans="1:24">
      <c r="A6581">
        <f>HYPERLINK("https://www.philgeps.gov.ph/GEPSNONPILOT/Tender/SplashBidNoticeAbstractUI.aspx?menuIndex=3&amp;refID=7061086&amp;Result=3","7061086")</f>
        <v>0</v>
      </c>
      <c r="B6581" t="s">
        <v>1062</v>
      </c>
      <c r="C6581" t="s">
        <v>9782</v>
      </c>
      <c r="D6581" t="s">
        <v>18805</v>
      </c>
      <c r="E6581" t="s">
        <v>19226</v>
      </c>
      <c r="F6581" t="s">
        <v>32664</v>
      </c>
      <c r="G6581" t="s">
        <v>32671</v>
      </c>
      <c r="H6581" t="s">
        <v>12635</v>
      </c>
      <c r="I6581" t="s">
        <v>6168</v>
      </c>
      <c r="J6581" t="s">
        <v>36914</v>
      </c>
      <c r="K6581" t="s">
        <v>42283</v>
      </c>
      <c r="M6581" t="s">
        <v>43680</v>
      </c>
      <c r="N6581" t="s">
        <v>46569</v>
      </c>
      <c r="O6581" t="s">
        <v>46570</v>
      </c>
      <c r="P6581">
        <v>0</v>
      </c>
      <c r="Q6581">
        <v>1</v>
      </c>
      <c r="R6581" t="s">
        <v>46573</v>
      </c>
      <c r="S6581" t="s">
        <v>46705</v>
      </c>
      <c r="T6581" t="s">
        <v>48307</v>
      </c>
      <c r="U6581" t="s">
        <v>50983</v>
      </c>
      <c r="W6581" t="s">
        <v>43680</v>
      </c>
      <c r="X6581" t="s">
        <v>46574</v>
      </c>
    </row>
    <row r="6582" spans="1:24">
      <c r="A6582">
        <f>HYPERLINK("https://www.philgeps.gov.ph/GEPSNONPILOT/Tender/SplashBidNoticeAbstractUI.aspx?menuIndex=3&amp;refID=7061081&amp;Result=3","7061081")</f>
        <v>0</v>
      </c>
      <c r="B6582" t="s">
        <v>2103</v>
      </c>
      <c r="C6582" t="s">
        <v>9783</v>
      </c>
      <c r="D6582" t="s">
        <v>18826</v>
      </c>
      <c r="E6582" t="s">
        <v>24715</v>
      </c>
      <c r="F6582" t="s">
        <v>32665</v>
      </c>
      <c r="G6582" t="s">
        <v>32671</v>
      </c>
      <c r="H6582" t="s">
        <v>12635</v>
      </c>
      <c r="I6582" t="s">
        <v>32711</v>
      </c>
      <c r="J6582" t="s">
        <v>36915</v>
      </c>
      <c r="K6582" t="s">
        <v>42289</v>
      </c>
      <c r="M6582" t="s">
        <v>44858</v>
      </c>
      <c r="N6582" t="s">
        <v>46569</v>
      </c>
      <c r="O6582" t="s">
        <v>46570</v>
      </c>
      <c r="P6582">
        <v>0</v>
      </c>
      <c r="Q6582">
        <v>0</v>
      </c>
      <c r="R6582" t="s">
        <v>46573</v>
      </c>
      <c r="S6582" t="s">
        <v>46705</v>
      </c>
      <c r="T6582" t="s">
        <v>48312</v>
      </c>
      <c r="U6582" t="s">
        <v>54233</v>
      </c>
      <c r="W6582" t="s">
        <v>44858</v>
      </c>
      <c r="X6582" t="s">
        <v>46574</v>
      </c>
    </row>
    <row r="6583" spans="1:24">
      <c r="A6583">
        <f>HYPERLINK("https://www.philgeps.gov.ph/GEPSNONPILOT/Tender/SplashBidNoticeAbstractUI.aspx?menuIndex=3&amp;refID=7061080&amp;Result=3","7061080")</f>
        <v>0</v>
      </c>
      <c r="B6583" t="s">
        <v>791</v>
      </c>
      <c r="C6583" t="s">
        <v>9784</v>
      </c>
      <c r="D6583" t="s">
        <v>18785</v>
      </c>
      <c r="E6583" t="s">
        <v>24716</v>
      </c>
      <c r="F6583" t="s">
        <v>32664</v>
      </c>
      <c r="G6583" t="s">
        <v>32674</v>
      </c>
      <c r="H6583" t="s">
        <v>12635</v>
      </c>
      <c r="I6583" t="s">
        <v>4439</v>
      </c>
      <c r="J6583" t="s">
        <v>36916</v>
      </c>
      <c r="K6583" t="s">
        <v>42297</v>
      </c>
      <c r="M6583" t="s">
        <v>43383</v>
      </c>
      <c r="N6583" t="s">
        <v>46569</v>
      </c>
      <c r="O6583" t="s">
        <v>46570</v>
      </c>
      <c r="P6583">
        <v>0</v>
      </c>
      <c r="Q6583">
        <v>1</v>
      </c>
      <c r="R6583" t="s">
        <v>46573</v>
      </c>
      <c r="S6583" t="s">
        <v>46705</v>
      </c>
      <c r="T6583" t="s">
        <v>48238</v>
      </c>
      <c r="U6583" t="s">
        <v>54174</v>
      </c>
      <c r="W6583" t="s">
        <v>43383</v>
      </c>
      <c r="X6583" t="s">
        <v>46574</v>
      </c>
    </row>
    <row r="6584" spans="1:24">
      <c r="A6584">
        <f>HYPERLINK("https://www.philgeps.gov.ph/GEPSNONPILOT/Tender/SplashBidNoticeAbstractUI.aspx?menuIndex=3&amp;refID=7061088&amp;Result=3","7061088")</f>
        <v>0</v>
      </c>
      <c r="B6584" t="s">
        <v>796</v>
      </c>
      <c r="C6584" t="s">
        <v>9785</v>
      </c>
      <c r="D6584" t="s">
        <v>18801</v>
      </c>
      <c r="E6584" t="s">
        <v>24717</v>
      </c>
      <c r="F6584" t="s">
        <v>32664</v>
      </c>
      <c r="G6584" t="s">
        <v>32672</v>
      </c>
      <c r="H6584" t="s">
        <v>32683</v>
      </c>
      <c r="I6584" t="s">
        <v>10627</v>
      </c>
      <c r="J6584" t="s">
        <v>34131</v>
      </c>
      <c r="K6584" t="s">
        <v>42311</v>
      </c>
      <c r="M6584" t="s">
        <v>43388</v>
      </c>
      <c r="N6584" t="s">
        <v>46569</v>
      </c>
      <c r="O6584" t="s">
        <v>46570</v>
      </c>
      <c r="P6584">
        <v>0</v>
      </c>
      <c r="Q6584">
        <v>4</v>
      </c>
      <c r="R6584" t="s">
        <v>46573</v>
      </c>
      <c r="S6584" t="s">
        <v>46705</v>
      </c>
      <c r="T6584" t="s">
        <v>48220</v>
      </c>
      <c r="U6584" t="s">
        <v>54125</v>
      </c>
      <c r="W6584" t="s">
        <v>63490</v>
      </c>
      <c r="X6584" t="s">
        <v>46574</v>
      </c>
    </row>
    <row r="6585" spans="1:24">
      <c r="A6585">
        <f>HYPERLINK("https://www.philgeps.gov.ph/GEPSNONPILOT/Tender/SplashBidNoticeAbstractUI.aspx?menuIndex=3&amp;refID=7061087&amp;Result=3","7061087")</f>
        <v>0</v>
      </c>
      <c r="B6585" t="s">
        <v>2093</v>
      </c>
      <c r="C6585" t="s">
        <v>9786</v>
      </c>
      <c r="D6585" t="s">
        <v>18821</v>
      </c>
      <c r="E6585" t="s">
        <v>24685</v>
      </c>
      <c r="F6585" t="s">
        <v>32664</v>
      </c>
      <c r="G6585" t="s">
        <v>32677</v>
      </c>
      <c r="H6585" t="s">
        <v>12635</v>
      </c>
      <c r="I6585" t="s">
        <v>4439</v>
      </c>
      <c r="J6585" t="s">
        <v>34153</v>
      </c>
      <c r="K6585" t="s">
        <v>42290</v>
      </c>
      <c r="M6585" t="s">
        <v>44848</v>
      </c>
      <c r="N6585" t="s">
        <v>46569</v>
      </c>
      <c r="O6585" t="s">
        <v>46570</v>
      </c>
      <c r="P6585">
        <v>0</v>
      </c>
      <c r="Q6585">
        <v>0</v>
      </c>
      <c r="R6585" t="s">
        <v>46573</v>
      </c>
      <c r="S6585" t="s">
        <v>46705</v>
      </c>
      <c r="T6585" t="s">
        <v>48302</v>
      </c>
      <c r="U6585" t="s">
        <v>54234</v>
      </c>
      <c r="W6585" t="s">
        <v>44848</v>
      </c>
      <c r="X6585" t="s">
        <v>46574</v>
      </c>
    </row>
    <row r="6586" spans="1:24">
      <c r="A6586">
        <f>HYPERLINK("https://www.philgeps.gov.ph/GEPSNONPILOT/Tender/SplashBidNoticeAbstractUI.aspx?menuIndex=3&amp;refID=7061076&amp;Result=3","7061076")</f>
        <v>0</v>
      </c>
      <c r="B6586" t="s">
        <v>2104</v>
      </c>
      <c r="C6586" t="s">
        <v>9787</v>
      </c>
      <c r="D6586" t="s">
        <v>18787</v>
      </c>
      <c r="E6586" t="s">
        <v>24718</v>
      </c>
      <c r="F6586" t="s">
        <v>32664</v>
      </c>
      <c r="G6586" t="s">
        <v>32672</v>
      </c>
      <c r="H6586" t="s">
        <v>12635</v>
      </c>
      <c r="I6586" t="s">
        <v>9486</v>
      </c>
      <c r="J6586" t="s">
        <v>32898</v>
      </c>
      <c r="K6586" t="s">
        <v>42309</v>
      </c>
      <c r="M6586" t="s">
        <v>44859</v>
      </c>
      <c r="N6586" t="s">
        <v>46569</v>
      </c>
      <c r="O6586" t="s">
        <v>46570</v>
      </c>
      <c r="P6586">
        <v>0</v>
      </c>
      <c r="Q6586">
        <v>0</v>
      </c>
      <c r="R6586" t="s">
        <v>46573</v>
      </c>
      <c r="S6586" t="s">
        <v>46705</v>
      </c>
      <c r="T6586" t="s">
        <v>48584</v>
      </c>
      <c r="U6586" t="s">
        <v>54235</v>
      </c>
      <c r="V6586" t="s">
        <v>62281</v>
      </c>
      <c r="W6586" t="s">
        <v>44859</v>
      </c>
      <c r="X6586" t="s">
        <v>46574</v>
      </c>
    </row>
    <row r="6587" spans="1:24">
      <c r="A6587">
        <f>HYPERLINK("https://www.philgeps.gov.ph/GEPSNONPILOT/Tender/SplashBidNoticeAbstractUI.aspx?menuIndex=3&amp;refID=7060991&amp;Result=3","7060991")</f>
        <v>0</v>
      </c>
      <c r="B6587" t="s">
        <v>798</v>
      </c>
      <c r="C6587" t="s">
        <v>9788</v>
      </c>
      <c r="D6587" t="s">
        <v>18830</v>
      </c>
      <c r="E6587" t="s">
        <v>21871</v>
      </c>
      <c r="F6587" t="s">
        <v>32664</v>
      </c>
      <c r="G6587" t="s">
        <v>32674</v>
      </c>
      <c r="H6587" t="s">
        <v>12635</v>
      </c>
      <c r="I6587" t="s">
        <v>6168</v>
      </c>
      <c r="J6587" t="s">
        <v>36917</v>
      </c>
      <c r="K6587" t="s">
        <v>42281</v>
      </c>
      <c r="M6587" t="s">
        <v>43390</v>
      </c>
      <c r="N6587" t="s">
        <v>46569</v>
      </c>
      <c r="O6587" t="s">
        <v>46570</v>
      </c>
      <c r="P6587">
        <v>0</v>
      </c>
      <c r="Q6587">
        <v>1</v>
      </c>
      <c r="R6587" t="s">
        <v>46573</v>
      </c>
      <c r="S6587" t="s">
        <v>46705</v>
      </c>
      <c r="T6587" t="s">
        <v>48307</v>
      </c>
      <c r="U6587" t="s">
        <v>54129</v>
      </c>
      <c r="W6587" t="s">
        <v>43390</v>
      </c>
      <c r="X6587" t="s">
        <v>46574</v>
      </c>
    </row>
    <row r="6588" spans="1:24">
      <c r="A6588">
        <f>HYPERLINK("https://www.philgeps.gov.ph/GEPSNONPILOT/Tender/SplashBidNoticeAbstractUI.aspx?menuIndex=3&amp;refID=7061075&amp;Result=3","7061075")</f>
        <v>0</v>
      </c>
      <c r="B6588" t="s">
        <v>1566</v>
      </c>
      <c r="C6588" t="s">
        <v>9789</v>
      </c>
      <c r="E6588" t="s">
        <v>24719</v>
      </c>
      <c r="F6588" t="s">
        <v>32664</v>
      </c>
      <c r="G6588" t="s">
        <v>32672</v>
      </c>
      <c r="H6588" t="s">
        <v>12635</v>
      </c>
      <c r="I6588" t="s">
        <v>4439</v>
      </c>
      <c r="J6588" t="s">
        <v>36918</v>
      </c>
      <c r="K6588" t="s">
        <v>42283</v>
      </c>
      <c r="M6588" t="s">
        <v>44239</v>
      </c>
      <c r="N6588" t="s">
        <v>46569</v>
      </c>
      <c r="O6588" t="s">
        <v>46570</v>
      </c>
      <c r="P6588">
        <v>0</v>
      </c>
      <c r="Q6588">
        <v>0</v>
      </c>
      <c r="R6588" t="s">
        <v>46573</v>
      </c>
      <c r="S6588" t="s">
        <v>46705</v>
      </c>
      <c r="T6588" t="s">
        <v>48228</v>
      </c>
      <c r="U6588" t="s">
        <v>54236</v>
      </c>
      <c r="W6588" t="s">
        <v>44239</v>
      </c>
      <c r="X6588" t="s">
        <v>46574</v>
      </c>
    </row>
    <row r="6589" spans="1:24">
      <c r="A6589">
        <f>HYPERLINK("https://www.philgeps.gov.ph/GEPSNONPILOT/Tender/SplashBidNoticeAbstractUI.aspx?menuIndex=3&amp;refID=7061083&amp;Result=3","7061083")</f>
        <v>0</v>
      </c>
      <c r="B6589" t="s">
        <v>1806</v>
      </c>
      <c r="C6589" t="s">
        <v>9790</v>
      </c>
      <c r="D6589" t="s">
        <v>18799</v>
      </c>
      <c r="E6589" t="s">
        <v>24720</v>
      </c>
      <c r="F6589" t="s">
        <v>32664</v>
      </c>
      <c r="G6589" t="s">
        <v>32671</v>
      </c>
      <c r="H6589" t="s">
        <v>12635</v>
      </c>
      <c r="I6589" t="s">
        <v>32684</v>
      </c>
      <c r="J6589" t="s">
        <v>36919</v>
      </c>
      <c r="K6589" t="s">
        <v>42289</v>
      </c>
      <c r="M6589" t="s">
        <v>44511</v>
      </c>
      <c r="N6589" t="s">
        <v>46569</v>
      </c>
      <c r="O6589" t="s">
        <v>46570</v>
      </c>
      <c r="P6589">
        <v>0</v>
      </c>
      <c r="Q6589">
        <v>3</v>
      </c>
      <c r="R6589" t="s">
        <v>46573</v>
      </c>
      <c r="S6589" t="s">
        <v>46705</v>
      </c>
      <c r="T6589" t="s">
        <v>48334</v>
      </c>
      <c r="U6589" t="s">
        <v>54223</v>
      </c>
      <c r="W6589" t="s">
        <v>44511</v>
      </c>
      <c r="X6589" t="s">
        <v>46574</v>
      </c>
    </row>
    <row r="6590" spans="1:24">
      <c r="A6590">
        <f>HYPERLINK("https://www.philgeps.gov.ph/GEPSNONPILOT/Tender/SplashBidNoticeAbstractUI.aspx?menuIndex=3&amp;refID=7061079&amp;Result=3","7061079")</f>
        <v>0</v>
      </c>
      <c r="B6590" t="s">
        <v>2105</v>
      </c>
      <c r="C6590" t="s">
        <v>9791</v>
      </c>
      <c r="D6590" t="s">
        <v>18857</v>
      </c>
      <c r="E6590" t="s">
        <v>24721</v>
      </c>
      <c r="F6590" t="s">
        <v>32664</v>
      </c>
      <c r="G6590" t="s">
        <v>32672</v>
      </c>
      <c r="H6590" t="s">
        <v>12635</v>
      </c>
      <c r="I6590" t="s">
        <v>32685</v>
      </c>
      <c r="J6590" t="s">
        <v>33126</v>
      </c>
      <c r="K6590" t="s">
        <v>42289</v>
      </c>
      <c r="M6590" t="s">
        <v>44860</v>
      </c>
      <c r="N6590" t="s">
        <v>46569</v>
      </c>
      <c r="O6590" t="s">
        <v>46570</v>
      </c>
      <c r="P6590">
        <v>0</v>
      </c>
      <c r="Q6590">
        <v>0</v>
      </c>
      <c r="R6590" t="s">
        <v>46573</v>
      </c>
      <c r="S6590" t="s">
        <v>46705</v>
      </c>
      <c r="T6590" t="s">
        <v>48283</v>
      </c>
      <c r="U6590" t="s">
        <v>54237</v>
      </c>
      <c r="W6590" t="s">
        <v>44860</v>
      </c>
      <c r="X6590" t="s">
        <v>46574</v>
      </c>
    </row>
    <row r="6591" spans="1:24">
      <c r="A6591">
        <f>HYPERLINK("https://www.philgeps.gov.ph/GEPSNONPILOT/Tender/SplashBidNoticeAbstractUI.aspx?menuIndex=3&amp;refID=7061111&amp;Result=3","7061111")</f>
        <v>0</v>
      </c>
      <c r="B6591" t="s">
        <v>1989</v>
      </c>
      <c r="C6591" t="s">
        <v>3908</v>
      </c>
      <c r="D6591" t="s">
        <v>18818</v>
      </c>
      <c r="E6591" t="s">
        <v>24722</v>
      </c>
      <c r="F6591" t="s">
        <v>32664</v>
      </c>
      <c r="G6591" t="s">
        <v>32671</v>
      </c>
      <c r="H6591" t="s">
        <v>12635</v>
      </c>
      <c r="I6591" t="s">
        <v>10361</v>
      </c>
      <c r="J6591" t="s">
        <v>34921</v>
      </c>
      <c r="K6591" t="s">
        <v>42281</v>
      </c>
      <c r="M6591" t="s">
        <v>44723</v>
      </c>
      <c r="N6591" t="s">
        <v>46569</v>
      </c>
      <c r="O6591" t="s">
        <v>46570</v>
      </c>
      <c r="P6591">
        <v>0</v>
      </c>
      <c r="Q6591">
        <v>0</v>
      </c>
      <c r="R6591" t="s">
        <v>46573</v>
      </c>
      <c r="S6591" t="s">
        <v>46705</v>
      </c>
      <c r="T6591" t="s">
        <v>48287</v>
      </c>
      <c r="U6591" t="s">
        <v>53747</v>
      </c>
      <c r="W6591" t="s">
        <v>44723</v>
      </c>
      <c r="X6591" t="s">
        <v>46574</v>
      </c>
    </row>
    <row r="6592" spans="1:24">
      <c r="A6592">
        <f>HYPERLINK("https://www.philgeps.gov.ph/GEPSNONPILOT/Tender/SplashBidNoticeAbstractUI.aspx?menuIndex=3&amp;refID=7061110&amp;Result=3","7061110")</f>
        <v>0</v>
      </c>
      <c r="B6592" t="s">
        <v>798</v>
      </c>
      <c r="C6592" t="s">
        <v>9792</v>
      </c>
      <c r="D6592" t="s">
        <v>18830</v>
      </c>
      <c r="E6592" t="s">
        <v>22004</v>
      </c>
      <c r="F6592" t="s">
        <v>32664</v>
      </c>
      <c r="G6592" t="s">
        <v>32674</v>
      </c>
      <c r="H6592" t="s">
        <v>12635</v>
      </c>
      <c r="I6592" t="s">
        <v>6168</v>
      </c>
      <c r="J6592" t="s">
        <v>36920</v>
      </c>
      <c r="K6592" t="s">
        <v>42281</v>
      </c>
      <c r="M6592" t="s">
        <v>43390</v>
      </c>
      <c r="N6592" t="s">
        <v>46569</v>
      </c>
      <c r="O6592" t="s">
        <v>46570</v>
      </c>
      <c r="P6592">
        <v>0</v>
      </c>
      <c r="Q6592">
        <v>1</v>
      </c>
      <c r="R6592" t="s">
        <v>46573</v>
      </c>
      <c r="S6592" t="s">
        <v>46705</v>
      </c>
      <c r="T6592" t="s">
        <v>48307</v>
      </c>
      <c r="U6592" t="s">
        <v>54129</v>
      </c>
      <c r="W6592" t="s">
        <v>43390</v>
      </c>
      <c r="X6592" t="s">
        <v>46574</v>
      </c>
    </row>
    <row r="6593" spans="1:24">
      <c r="A6593">
        <f>HYPERLINK("https://www.philgeps.gov.ph/GEPSNONPILOT/Tender/SplashBidNoticeAbstractUI.aspx?menuIndex=3&amp;refID=7061108&amp;Result=3","7061108")</f>
        <v>0</v>
      </c>
      <c r="B6593" t="s">
        <v>299</v>
      </c>
      <c r="C6593" t="s">
        <v>4138</v>
      </c>
      <c r="E6593" t="s">
        <v>24723</v>
      </c>
      <c r="F6593" t="s">
        <v>32665</v>
      </c>
      <c r="G6593" t="s">
        <v>32674</v>
      </c>
      <c r="H6593" t="s">
        <v>12635</v>
      </c>
      <c r="I6593" t="s">
        <v>6168</v>
      </c>
      <c r="J6593" t="s">
        <v>36921</v>
      </c>
      <c r="K6593" t="s">
        <v>42283</v>
      </c>
      <c r="M6593" t="s">
        <v>42866</v>
      </c>
      <c r="N6593" t="s">
        <v>46569</v>
      </c>
      <c r="O6593" t="s">
        <v>46570</v>
      </c>
      <c r="P6593">
        <v>0</v>
      </c>
      <c r="Q6593">
        <v>2</v>
      </c>
      <c r="R6593" t="s">
        <v>46573</v>
      </c>
      <c r="S6593" t="s">
        <v>46705</v>
      </c>
      <c r="T6593" t="s">
        <v>48258</v>
      </c>
      <c r="U6593" t="s">
        <v>54238</v>
      </c>
      <c r="W6593" t="s">
        <v>42866</v>
      </c>
      <c r="X6593" t="s">
        <v>46574</v>
      </c>
    </row>
    <row r="6594" spans="1:24">
      <c r="A6594">
        <f>HYPERLINK("https://www.philgeps.gov.ph/GEPSNONPILOT/Tender/SplashBidNoticeAbstractUI.aspx?menuIndex=3&amp;refID=7061109&amp;Result=3","7061109")</f>
        <v>0</v>
      </c>
      <c r="B6594" t="s">
        <v>2106</v>
      </c>
      <c r="C6594" t="s">
        <v>9793</v>
      </c>
      <c r="D6594" t="s">
        <v>18839</v>
      </c>
      <c r="E6594" t="s">
        <v>24724</v>
      </c>
      <c r="F6594" t="s">
        <v>32664</v>
      </c>
      <c r="G6594" t="s">
        <v>32671</v>
      </c>
      <c r="H6594" t="s">
        <v>12635</v>
      </c>
      <c r="I6594" t="s">
        <v>32690</v>
      </c>
      <c r="J6594" t="s">
        <v>32984</v>
      </c>
      <c r="K6594" t="s">
        <v>42306</v>
      </c>
      <c r="M6594" t="s">
        <v>44861</v>
      </c>
      <c r="N6594" t="s">
        <v>46569</v>
      </c>
      <c r="O6594" t="s">
        <v>46570</v>
      </c>
      <c r="P6594">
        <v>0</v>
      </c>
      <c r="Q6594">
        <v>3</v>
      </c>
      <c r="R6594" t="s">
        <v>46573</v>
      </c>
      <c r="S6594" t="s">
        <v>46705</v>
      </c>
      <c r="T6594" t="s">
        <v>48376</v>
      </c>
      <c r="U6594" t="s">
        <v>54239</v>
      </c>
      <c r="W6594" t="s">
        <v>46359</v>
      </c>
      <c r="X6594" t="s">
        <v>46574</v>
      </c>
    </row>
    <row r="6595" spans="1:24">
      <c r="A6595">
        <f>HYPERLINK("https://www.philgeps.gov.ph/GEPSNONPILOT/Tender/SplashBidNoticeAbstractUI.aspx?menuIndex=3&amp;refID=7061113&amp;Result=3","7061113")</f>
        <v>0</v>
      </c>
      <c r="B6595" t="s">
        <v>758</v>
      </c>
      <c r="C6595" t="s">
        <v>9794</v>
      </c>
      <c r="D6595" t="s">
        <v>18838</v>
      </c>
      <c r="E6595" t="s">
        <v>24725</v>
      </c>
      <c r="F6595" t="s">
        <v>32664</v>
      </c>
      <c r="G6595" t="s">
        <v>32672</v>
      </c>
      <c r="H6595" t="s">
        <v>32683</v>
      </c>
      <c r="I6595" t="s">
        <v>10627</v>
      </c>
      <c r="J6595" t="s">
        <v>36922</v>
      </c>
      <c r="K6595" t="s">
        <v>42367</v>
      </c>
      <c r="M6595" t="s">
        <v>43348</v>
      </c>
      <c r="N6595" t="s">
        <v>46569</v>
      </c>
      <c r="O6595" t="s">
        <v>46570</v>
      </c>
      <c r="P6595">
        <v>0</v>
      </c>
      <c r="Q6595">
        <v>10</v>
      </c>
      <c r="R6595" t="s">
        <v>46573</v>
      </c>
      <c r="S6595" t="s">
        <v>46705</v>
      </c>
      <c r="T6595" t="s">
        <v>48308</v>
      </c>
      <c r="U6595" t="s">
        <v>54240</v>
      </c>
      <c r="V6595" t="s">
        <v>61806</v>
      </c>
      <c r="W6595" t="s">
        <v>43348</v>
      </c>
      <c r="X6595" t="s">
        <v>46574</v>
      </c>
    </row>
    <row r="6596" spans="1:24">
      <c r="A6596">
        <f>HYPERLINK("https://www.philgeps.gov.ph/GEPSNONPILOT/Tender/SplashBidNoticeAbstractUI.aspx?menuIndex=3&amp;refID=7061107&amp;Result=3","7061107")</f>
        <v>0</v>
      </c>
      <c r="B6596" t="s">
        <v>1487</v>
      </c>
      <c r="C6596" t="s">
        <v>9795</v>
      </c>
      <c r="D6596" t="s">
        <v>18819</v>
      </c>
      <c r="E6596" t="s">
        <v>24726</v>
      </c>
      <c r="F6596" t="s">
        <v>32664</v>
      </c>
      <c r="G6596" t="s">
        <v>32672</v>
      </c>
      <c r="H6596" t="s">
        <v>12635</v>
      </c>
      <c r="I6596" t="s">
        <v>6628</v>
      </c>
      <c r="J6596" t="s">
        <v>36923</v>
      </c>
      <c r="K6596" t="s">
        <v>42281</v>
      </c>
      <c r="M6596" t="s">
        <v>44151</v>
      </c>
      <c r="N6596" t="s">
        <v>46569</v>
      </c>
      <c r="O6596" t="s">
        <v>46570</v>
      </c>
      <c r="P6596">
        <v>0</v>
      </c>
      <c r="Q6596">
        <v>4</v>
      </c>
      <c r="R6596" t="s">
        <v>46573</v>
      </c>
      <c r="S6596" t="s">
        <v>46705</v>
      </c>
      <c r="T6596" t="s">
        <v>48274</v>
      </c>
      <c r="U6596" t="s">
        <v>54241</v>
      </c>
      <c r="W6596" t="s">
        <v>44151</v>
      </c>
      <c r="X6596" t="s">
        <v>46574</v>
      </c>
    </row>
    <row r="6597" spans="1:24">
      <c r="A6597">
        <f>HYPERLINK("https://www.philgeps.gov.ph/GEPSNONPILOT/Tender/SplashBidNoticeAbstractUI.aspx?menuIndex=3&amp;refID=7061103&amp;Result=3","7061103")</f>
        <v>0</v>
      </c>
      <c r="B6597" t="s">
        <v>2099</v>
      </c>
      <c r="C6597" t="s">
        <v>4913</v>
      </c>
      <c r="D6597" t="s">
        <v>18803</v>
      </c>
      <c r="E6597" t="s">
        <v>24727</v>
      </c>
      <c r="F6597" t="s">
        <v>32666</v>
      </c>
      <c r="G6597" t="s">
        <v>32672</v>
      </c>
      <c r="H6597" t="s">
        <v>32683</v>
      </c>
      <c r="I6597" t="s">
        <v>10627</v>
      </c>
      <c r="J6597" t="s">
        <v>36924</v>
      </c>
      <c r="K6597" t="s">
        <v>42297</v>
      </c>
      <c r="M6597" t="s">
        <v>44854</v>
      </c>
      <c r="N6597" t="s">
        <v>46569</v>
      </c>
      <c r="O6597" t="s">
        <v>46570</v>
      </c>
      <c r="P6597">
        <v>0</v>
      </c>
      <c r="Q6597">
        <v>1</v>
      </c>
      <c r="R6597" t="s">
        <v>46573</v>
      </c>
      <c r="S6597" t="s">
        <v>46705</v>
      </c>
      <c r="T6597" t="s">
        <v>48327</v>
      </c>
      <c r="U6597" t="s">
        <v>54242</v>
      </c>
      <c r="W6597" t="s">
        <v>44854</v>
      </c>
      <c r="X6597" t="s">
        <v>46574</v>
      </c>
    </row>
    <row r="6598" spans="1:24">
      <c r="A6598">
        <f>HYPERLINK("https://www.philgeps.gov.ph/GEPSNONPILOT/Tender/SplashBidNoticeAbstractUI.aspx?menuIndex=3&amp;refID=7061077&amp;Result=3","7061077")</f>
        <v>0</v>
      </c>
      <c r="B6598" t="s">
        <v>796</v>
      </c>
      <c r="C6598" t="s">
        <v>9796</v>
      </c>
      <c r="D6598" t="s">
        <v>18801</v>
      </c>
      <c r="E6598" t="s">
        <v>24728</v>
      </c>
      <c r="F6598" t="s">
        <v>32664</v>
      </c>
      <c r="G6598" t="s">
        <v>32672</v>
      </c>
      <c r="H6598" t="s">
        <v>32683</v>
      </c>
      <c r="I6598" t="s">
        <v>10627</v>
      </c>
      <c r="J6598" t="s">
        <v>34131</v>
      </c>
      <c r="K6598" t="s">
        <v>42311</v>
      </c>
      <c r="M6598" t="s">
        <v>43388</v>
      </c>
      <c r="N6598" t="s">
        <v>46569</v>
      </c>
      <c r="O6598" t="s">
        <v>46570</v>
      </c>
      <c r="P6598">
        <v>0</v>
      </c>
      <c r="Q6598">
        <v>5</v>
      </c>
      <c r="R6598" t="s">
        <v>46573</v>
      </c>
      <c r="S6598" t="s">
        <v>46705</v>
      </c>
      <c r="T6598" t="s">
        <v>48220</v>
      </c>
      <c r="U6598" t="s">
        <v>54125</v>
      </c>
      <c r="W6598" t="s">
        <v>63490</v>
      </c>
      <c r="X6598" t="s">
        <v>46574</v>
      </c>
    </row>
    <row r="6599" spans="1:24">
      <c r="A6599">
        <f>HYPERLINK("https://www.philgeps.gov.ph/GEPSNONPILOT/Tender/SplashBidNoticeAbstractUI.aspx?menuIndex=3&amp;refID=7061100&amp;Result=3","7061100")</f>
        <v>0</v>
      </c>
      <c r="B6599" t="s">
        <v>798</v>
      </c>
      <c r="C6599" t="s">
        <v>9797</v>
      </c>
      <c r="D6599" t="s">
        <v>18830</v>
      </c>
      <c r="E6599" t="s">
        <v>24729</v>
      </c>
      <c r="F6599" t="s">
        <v>32664</v>
      </c>
      <c r="G6599" t="s">
        <v>32674</v>
      </c>
      <c r="H6599" t="s">
        <v>12635</v>
      </c>
      <c r="I6599" t="s">
        <v>10370</v>
      </c>
      <c r="J6599" t="s">
        <v>33147</v>
      </c>
      <c r="K6599" t="s">
        <v>42281</v>
      </c>
      <c r="M6599" t="s">
        <v>43390</v>
      </c>
      <c r="N6599" t="s">
        <v>46569</v>
      </c>
      <c r="O6599" t="s">
        <v>46570</v>
      </c>
      <c r="P6599">
        <v>0</v>
      </c>
      <c r="Q6599">
        <v>2</v>
      </c>
      <c r="R6599" t="s">
        <v>46573</v>
      </c>
      <c r="S6599" t="s">
        <v>46705</v>
      </c>
      <c r="T6599" t="s">
        <v>48307</v>
      </c>
      <c r="U6599" t="s">
        <v>54129</v>
      </c>
      <c r="W6599" t="s">
        <v>43390</v>
      </c>
      <c r="X6599" t="s">
        <v>46574</v>
      </c>
    </row>
    <row r="6600" spans="1:24">
      <c r="A6600">
        <f>HYPERLINK("https://www.philgeps.gov.ph/GEPSNONPILOT/Tender/SplashBidNoticeAbstractUI.aspx?menuIndex=3&amp;refID=7061106&amp;Result=3","7061106")</f>
        <v>0</v>
      </c>
      <c r="B6600" t="s">
        <v>1806</v>
      </c>
      <c r="C6600" t="s">
        <v>9798</v>
      </c>
      <c r="D6600" t="s">
        <v>18799</v>
      </c>
      <c r="E6600" t="s">
        <v>24730</v>
      </c>
      <c r="F6600" t="s">
        <v>32664</v>
      </c>
      <c r="G6600" t="s">
        <v>32671</v>
      </c>
      <c r="H6600" t="s">
        <v>12635</v>
      </c>
      <c r="I6600" t="s">
        <v>6118</v>
      </c>
      <c r="J6600" t="s">
        <v>33830</v>
      </c>
      <c r="K6600" t="s">
        <v>42289</v>
      </c>
      <c r="M6600" t="s">
        <v>44511</v>
      </c>
      <c r="N6600" t="s">
        <v>46569</v>
      </c>
      <c r="O6600" t="s">
        <v>46570</v>
      </c>
      <c r="P6600">
        <v>0</v>
      </c>
      <c r="Q6600">
        <v>1</v>
      </c>
      <c r="R6600" t="s">
        <v>46573</v>
      </c>
      <c r="S6600" t="s">
        <v>46705</v>
      </c>
      <c r="T6600" t="s">
        <v>48334</v>
      </c>
      <c r="U6600" t="s">
        <v>54223</v>
      </c>
      <c r="W6600" t="s">
        <v>44511</v>
      </c>
      <c r="X6600" t="s">
        <v>46574</v>
      </c>
    </row>
    <row r="6601" spans="1:24">
      <c r="A6601">
        <f>HYPERLINK("https://www.philgeps.gov.ph/GEPSNONPILOT/Tender/SplashBidNoticeAbstractUI.aspx?menuIndex=3&amp;refID=7061097&amp;Result=3","7061097")</f>
        <v>0</v>
      </c>
      <c r="B6601" t="s">
        <v>1566</v>
      </c>
      <c r="C6601" t="s">
        <v>9799</v>
      </c>
      <c r="E6601" t="s">
        <v>24731</v>
      </c>
      <c r="F6601" t="s">
        <v>32664</v>
      </c>
      <c r="G6601" t="s">
        <v>32672</v>
      </c>
      <c r="H6601" t="s">
        <v>32683</v>
      </c>
      <c r="I6601" t="s">
        <v>10627</v>
      </c>
      <c r="J6601" t="s">
        <v>32865</v>
      </c>
      <c r="K6601" t="s">
        <v>42283</v>
      </c>
      <c r="M6601" t="s">
        <v>44239</v>
      </c>
      <c r="N6601" t="s">
        <v>46569</v>
      </c>
      <c r="O6601" t="s">
        <v>46570</v>
      </c>
      <c r="P6601">
        <v>0</v>
      </c>
      <c r="Q6601">
        <v>0</v>
      </c>
      <c r="R6601" t="s">
        <v>46573</v>
      </c>
      <c r="S6601" t="s">
        <v>46705</v>
      </c>
      <c r="T6601" t="s">
        <v>48334</v>
      </c>
      <c r="U6601" t="s">
        <v>54243</v>
      </c>
      <c r="W6601" t="s">
        <v>44239</v>
      </c>
      <c r="X6601" t="s">
        <v>46574</v>
      </c>
    </row>
    <row r="6602" spans="1:24">
      <c r="A6602">
        <f>HYPERLINK("https://www.philgeps.gov.ph/GEPSNONPILOT/Tender/SplashBidNoticeAbstractUI.aspx?menuIndex=3&amp;refID=7061114&amp;Result=3","7061114")</f>
        <v>0</v>
      </c>
      <c r="B6602" t="s">
        <v>2107</v>
      </c>
      <c r="C6602" t="s">
        <v>9800</v>
      </c>
      <c r="D6602" t="s">
        <v>18783</v>
      </c>
      <c r="E6602" t="s">
        <v>21696</v>
      </c>
      <c r="F6602" t="s">
        <v>32664</v>
      </c>
      <c r="G6602" t="s">
        <v>32671</v>
      </c>
      <c r="H6602" t="s">
        <v>12635</v>
      </c>
      <c r="I6602" t="s">
        <v>6628</v>
      </c>
      <c r="J6602" t="s">
        <v>33182</v>
      </c>
      <c r="K6602" t="s">
        <v>42303</v>
      </c>
      <c r="M6602" t="s">
        <v>44862</v>
      </c>
      <c r="N6602" t="s">
        <v>46569</v>
      </c>
      <c r="O6602" t="s">
        <v>46570</v>
      </c>
      <c r="P6602">
        <v>0</v>
      </c>
      <c r="Q6602">
        <v>0</v>
      </c>
      <c r="R6602" t="s">
        <v>46573</v>
      </c>
      <c r="S6602" t="s">
        <v>46705</v>
      </c>
      <c r="T6602" t="s">
        <v>48492</v>
      </c>
      <c r="U6602" t="s">
        <v>54244</v>
      </c>
      <c r="V6602" t="s">
        <v>62282</v>
      </c>
      <c r="W6602" t="s">
        <v>44862</v>
      </c>
      <c r="X6602" t="s">
        <v>46574</v>
      </c>
    </row>
    <row r="6603" spans="1:24">
      <c r="A6603">
        <f>HYPERLINK("https://www.philgeps.gov.ph/GEPSNONPILOT/Tender/SplashBidNoticeAbstractUI.aspx?menuIndex=3&amp;refID=7061102&amp;Result=3","7061102")</f>
        <v>0</v>
      </c>
      <c r="B6603" t="s">
        <v>1943</v>
      </c>
      <c r="C6603" t="s">
        <v>9801</v>
      </c>
      <c r="D6603" t="s">
        <v>18842</v>
      </c>
      <c r="E6603" t="s">
        <v>24732</v>
      </c>
      <c r="F6603" t="s">
        <v>32664</v>
      </c>
      <c r="G6603" t="s">
        <v>32672</v>
      </c>
      <c r="H6603" t="s">
        <v>12635</v>
      </c>
      <c r="I6603" t="s">
        <v>5589</v>
      </c>
      <c r="J6603" t="s">
        <v>36925</v>
      </c>
      <c r="K6603" t="s">
        <v>42289</v>
      </c>
      <c r="M6603" t="s">
        <v>44668</v>
      </c>
      <c r="N6603" t="s">
        <v>46569</v>
      </c>
      <c r="O6603" t="s">
        <v>46570</v>
      </c>
      <c r="P6603">
        <v>0</v>
      </c>
      <c r="Q6603">
        <v>1</v>
      </c>
      <c r="R6603" t="s">
        <v>46573</v>
      </c>
      <c r="S6603" t="s">
        <v>46705</v>
      </c>
      <c r="T6603" t="s">
        <v>48212</v>
      </c>
      <c r="U6603" t="s">
        <v>54245</v>
      </c>
      <c r="W6603" t="s">
        <v>44668</v>
      </c>
      <c r="X6603" t="s">
        <v>46574</v>
      </c>
    </row>
    <row r="6604" spans="1:24">
      <c r="A6604">
        <f>HYPERLINK("https://www.philgeps.gov.ph/GEPSNONPILOT/Tender/SplashBidNoticeAbstractUI.aspx?menuIndex=3&amp;refID=7061101&amp;Result=3","7061101")</f>
        <v>0</v>
      </c>
      <c r="B6604" t="s">
        <v>796</v>
      </c>
      <c r="C6604" t="s">
        <v>9802</v>
      </c>
      <c r="D6604" t="s">
        <v>18801</v>
      </c>
      <c r="E6604" t="s">
        <v>24733</v>
      </c>
      <c r="F6604" t="s">
        <v>32664</v>
      </c>
      <c r="G6604" t="s">
        <v>32672</v>
      </c>
      <c r="H6604" t="s">
        <v>32683</v>
      </c>
      <c r="I6604" t="s">
        <v>10627</v>
      </c>
      <c r="J6604" t="s">
        <v>34131</v>
      </c>
      <c r="K6604" t="s">
        <v>42311</v>
      </c>
      <c r="M6604" t="s">
        <v>43388</v>
      </c>
      <c r="N6604" t="s">
        <v>46569</v>
      </c>
      <c r="O6604" t="s">
        <v>46570</v>
      </c>
      <c r="P6604">
        <v>0</v>
      </c>
      <c r="Q6604">
        <v>4</v>
      </c>
      <c r="R6604" t="s">
        <v>46573</v>
      </c>
      <c r="S6604" t="s">
        <v>46705</v>
      </c>
      <c r="T6604" t="s">
        <v>48220</v>
      </c>
      <c r="U6604" t="s">
        <v>54125</v>
      </c>
      <c r="W6604" t="s">
        <v>63490</v>
      </c>
      <c r="X6604" t="s">
        <v>46574</v>
      </c>
    </row>
    <row r="6605" spans="1:24">
      <c r="A6605">
        <f>HYPERLINK("https://www.philgeps.gov.ph/GEPSNONPILOT/Tender/SplashBidNoticeAbstractUI.aspx?menuIndex=3&amp;refID=7061056&amp;Result=3","7061056")</f>
        <v>0</v>
      </c>
      <c r="B6605" t="s">
        <v>2092</v>
      </c>
      <c r="C6605" t="s">
        <v>9803</v>
      </c>
      <c r="D6605" t="s">
        <v>18784</v>
      </c>
      <c r="E6605" t="s">
        <v>24734</v>
      </c>
      <c r="F6605" t="s">
        <v>32664</v>
      </c>
      <c r="G6605" t="s">
        <v>32672</v>
      </c>
      <c r="H6605" t="s">
        <v>32682</v>
      </c>
      <c r="I6605" t="s">
        <v>6223</v>
      </c>
      <c r="J6605" t="s">
        <v>32865</v>
      </c>
      <c r="K6605" t="s">
        <v>42330</v>
      </c>
      <c r="M6605" t="s">
        <v>44847</v>
      </c>
      <c r="N6605" t="s">
        <v>46569</v>
      </c>
      <c r="O6605" t="s">
        <v>46570</v>
      </c>
      <c r="P6605">
        <v>0</v>
      </c>
      <c r="Q6605">
        <v>0</v>
      </c>
      <c r="R6605" t="s">
        <v>46573</v>
      </c>
      <c r="S6605" t="s">
        <v>46705</v>
      </c>
      <c r="T6605" t="s">
        <v>48385</v>
      </c>
      <c r="U6605" t="s">
        <v>54246</v>
      </c>
      <c r="W6605" t="s">
        <v>44847</v>
      </c>
      <c r="X6605" t="s">
        <v>46574</v>
      </c>
    </row>
    <row r="6606" spans="1:24">
      <c r="A6606">
        <f>HYPERLINK("https://www.philgeps.gov.ph/GEPSNONPILOT/Tender/SplashBidNoticeAbstractUI.aspx?menuIndex=3&amp;refID=7061091&amp;Result=3","7061091")</f>
        <v>0</v>
      </c>
      <c r="B6606" t="s">
        <v>2107</v>
      </c>
      <c r="C6606" t="s">
        <v>9804</v>
      </c>
      <c r="D6606" t="s">
        <v>18783</v>
      </c>
      <c r="E6606" t="s">
        <v>19286</v>
      </c>
      <c r="F6606" t="s">
        <v>32664</v>
      </c>
      <c r="G6606" t="s">
        <v>32671</v>
      </c>
      <c r="H6606" t="s">
        <v>12635</v>
      </c>
      <c r="I6606" t="s">
        <v>6628</v>
      </c>
      <c r="J6606" t="s">
        <v>33069</v>
      </c>
      <c r="K6606" t="s">
        <v>42303</v>
      </c>
      <c r="M6606" t="s">
        <v>44862</v>
      </c>
      <c r="N6606" t="s">
        <v>46569</v>
      </c>
      <c r="O6606" t="s">
        <v>46570</v>
      </c>
      <c r="P6606">
        <v>0</v>
      </c>
      <c r="Q6606">
        <v>0</v>
      </c>
      <c r="R6606" t="s">
        <v>46573</v>
      </c>
      <c r="S6606" t="s">
        <v>46705</v>
      </c>
      <c r="T6606" t="s">
        <v>48492</v>
      </c>
      <c r="U6606" t="s">
        <v>54247</v>
      </c>
      <c r="V6606" t="s">
        <v>62282</v>
      </c>
      <c r="W6606" t="s">
        <v>44862</v>
      </c>
      <c r="X6606" t="s">
        <v>46574</v>
      </c>
    </row>
    <row r="6607" spans="1:24">
      <c r="A6607">
        <f>HYPERLINK("https://www.philgeps.gov.ph/GEPSNONPILOT/Tender/SplashBidNoticeAbstractUI.aspx?menuIndex=3&amp;refID=7061094&amp;Result=3","7061094")</f>
        <v>0</v>
      </c>
      <c r="B6607" t="s">
        <v>1219</v>
      </c>
      <c r="C6607" t="s">
        <v>9805</v>
      </c>
      <c r="D6607" t="s">
        <v>18784</v>
      </c>
      <c r="E6607" t="s">
        <v>24735</v>
      </c>
      <c r="F6607" t="s">
        <v>32664</v>
      </c>
      <c r="G6607" t="s">
        <v>32671</v>
      </c>
      <c r="H6607" t="s">
        <v>12635</v>
      </c>
      <c r="I6607" t="s">
        <v>32689</v>
      </c>
      <c r="J6607" t="s">
        <v>36926</v>
      </c>
      <c r="K6607" t="s">
        <v>42284</v>
      </c>
      <c r="M6607" t="s">
        <v>43857</v>
      </c>
      <c r="N6607" t="s">
        <v>46569</v>
      </c>
      <c r="O6607" t="s">
        <v>46570</v>
      </c>
      <c r="P6607">
        <v>0</v>
      </c>
      <c r="Q6607">
        <v>4</v>
      </c>
      <c r="R6607" t="s">
        <v>46573</v>
      </c>
      <c r="S6607" t="s">
        <v>46705</v>
      </c>
      <c r="T6607" t="s">
        <v>48305</v>
      </c>
      <c r="U6607" t="s">
        <v>54248</v>
      </c>
      <c r="W6607" t="s">
        <v>43857</v>
      </c>
      <c r="X6607" t="s">
        <v>46574</v>
      </c>
    </row>
    <row r="6608" spans="1:24">
      <c r="A6608">
        <f>HYPERLINK("https://www.philgeps.gov.ph/GEPSNONPILOT/Tender/SplashBidNoticeAbstractUI.aspx?menuIndex=3&amp;refID=7061116&amp;Result=3","7061116")</f>
        <v>0</v>
      </c>
      <c r="B6608" t="s">
        <v>796</v>
      </c>
      <c r="C6608" t="s">
        <v>9806</v>
      </c>
      <c r="D6608" t="s">
        <v>18801</v>
      </c>
      <c r="E6608" t="s">
        <v>24736</v>
      </c>
      <c r="F6608" t="s">
        <v>32664</v>
      </c>
      <c r="G6608" t="s">
        <v>32672</v>
      </c>
      <c r="H6608" t="s">
        <v>32683</v>
      </c>
      <c r="I6608" t="s">
        <v>10627</v>
      </c>
      <c r="J6608" t="s">
        <v>34131</v>
      </c>
      <c r="K6608" t="s">
        <v>42311</v>
      </c>
      <c r="M6608" t="s">
        <v>43388</v>
      </c>
      <c r="N6608" t="s">
        <v>46569</v>
      </c>
      <c r="O6608" t="s">
        <v>46570</v>
      </c>
      <c r="P6608">
        <v>0</v>
      </c>
      <c r="Q6608">
        <v>4</v>
      </c>
      <c r="R6608" t="s">
        <v>46573</v>
      </c>
      <c r="S6608" t="s">
        <v>46705</v>
      </c>
      <c r="T6608" t="s">
        <v>48220</v>
      </c>
      <c r="U6608" t="s">
        <v>54125</v>
      </c>
      <c r="W6608" t="s">
        <v>63490</v>
      </c>
      <c r="X6608" t="s">
        <v>46574</v>
      </c>
    </row>
    <row r="6609" spans="1:24">
      <c r="A6609">
        <f>HYPERLINK("https://www.philgeps.gov.ph/GEPSNONPILOT/Tender/SplashBidNoticeAbstractUI.aspx?menuIndex=3&amp;refID=7061134&amp;Result=3","7061134")</f>
        <v>0</v>
      </c>
      <c r="B6609" t="s">
        <v>2108</v>
      </c>
      <c r="C6609" t="s">
        <v>9807</v>
      </c>
      <c r="D6609" t="s">
        <v>18806</v>
      </c>
      <c r="E6609" t="s">
        <v>24737</v>
      </c>
      <c r="F6609" t="s">
        <v>32664</v>
      </c>
      <c r="G6609" t="s">
        <v>32671</v>
      </c>
      <c r="H6609" t="s">
        <v>12635</v>
      </c>
      <c r="I6609" t="s">
        <v>6628</v>
      </c>
      <c r="J6609" t="s">
        <v>36927</v>
      </c>
      <c r="K6609" t="s">
        <v>42297</v>
      </c>
      <c r="M6609" t="s">
        <v>44863</v>
      </c>
      <c r="N6609" t="s">
        <v>46569</v>
      </c>
      <c r="O6609" t="s">
        <v>46570</v>
      </c>
      <c r="P6609">
        <v>0</v>
      </c>
      <c r="Q6609">
        <v>1</v>
      </c>
      <c r="R6609" t="s">
        <v>46573</v>
      </c>
      <c r="S6609" t="s">
        <v>46705</v>
      </c>
      <c r="T6609" t="s">
        <v>48256</v>
      </c>
      <c r="U6609" t="s">
        <v>54249</v>
      </c>
      <c r="W6609" t="s">
        <v>63550</v>
      </c>
      <c r="X6609" t="s">
        <v>46574</v>
      </c>
    </row>
    <row r="6610" spans="1:24">
      <c r="A6610">
        <f>HYPERLINK("https://www.philgeps.gov.ph/GEPSNONPILOT/Tender/SplashBidNoticeAbstractUI.aspx?menuIndex=3&amp;refID=7061133&amp;Result=3","7061133")</f>
        <v>0</v>
      </c>
      <c r="B6610" t="s">
        <v>1717</v>
      </c>
      <c r="C6610" t="s">
        <v>9808</v>
      </c>
      <c r="D6610" t="s">
        <v>18790</v>
      </c>
      <c r="E6610" t="s">
        <v>24738</v>
      </c>
      <c r="F6610" t="s">
        <v>32664</v>
      </c>
      <c r="G6610" t="s">
        <v>32671</v>
      </c>
      <c r="H6610" t="s">
        <v>12635</v>
      </c>
      <c r="I6610" t="s">
        <v>7429</v>
      </c>
      <c r="J6610" t="s">
        <v>33706</v>
      </c>
      <c r="K6610" t="s">
        <v>42283</v>
      </c>
      <c r="M6610" t="s">
        <v>44414</v>
      </c>
      <c r="N6610" t="s">
        <v>46569</v>
      </c>
      <c r="O6610" t="s">
        <v>46570</v>
      </c>
      <c r="P6610">
        <v>0</v>
      </c>
      <c r="Q6610">
        <v>0</v>
      </c>
      <c r="R6610" t="s">
        <v>46573</v>
      </c>
      <c r="S6610" t="s">
        <v>46705</v>
      </c>
      <c r="T6610" t="s">
        <v>48282</v>
      </c>
      <c r="U6610" t="s">
        <v>54250</v>
      </c>
      <c r="W6610" t="s">
        <v>63530</v>
      </c>
      <c r="X6610" t="s">
        <v>46574</v>
      </c>
    </row>
    <row r="6611" spans="1:24">
      <c r="A6611">
        <f>HYPERLINK("https://www.philgeps.gov.ph/GEPSNONPILOT/Tender/SplashBidNoticeAbstractUI.aspx?menuIndex=3&amp;refID=7061132&amp;Result=3","7061132")</f>
        <v>0</v>
      </c>
      <c r="B6611" t="s">
        <v>142</v>
      </c>
      <c r="C6611" t="s">
        <v>9809</v>
      </c>
      <c r="D6611" t="s">
        <v>18784</v>
      </c>
      <c r="E6611" t="s">
        <v>19632</v>
      </c>
      <c r="F6611" t="s">
        <v>32664</v>
      </c>
      <c r="G6611" t="s">
        <v>32671</v>
      </c>
      <c r="H6611" t="s">
        <v>12635</v>
      </c>
      <c r="I6611" t="s">
        <v>32694</v>
      </c>
      <c r="J6611" t="s">
        <v>36928</v>
      </c>
      <c r="K6611" t="s">
        <v>42281</v>
      </c>
      <c r="M6611" t="s">
        <v>42706</v>
      </c>
      <c r="N6611" t="s">
        <v>46569</v>
      </c>
      <c r="O6611" t="s">
        <v>46570</v>
      </c>
      <c r="P6611">
        <v>0</v>
      </c>
      <c r="Q6611">
        <v>4</v>
      </c>
      <c r="R6611" t="s">
        <v>46573</v>
      </c>
      <c r="S6611" t="s">
        <v>46705</v>
      </c>
      <c r="T6611" t="s">
        <v>48316</v>
      </c>
      <c r="U6611" t="s">
        <v>54251</v>
      </c>
      <c r="W6611" t="s">
        <v>42706</v>
      </c>
      <c r="X6611" t="s">
        <v>46574</v>
      </c>
    </row>
    <row r="6612" spans="1:24">
      <c r="A6612">
        <f>HYPERLINK("https://www.philgeps.gov.ph/GEPSNONPILOT/Tender/SplashBidNoticeAbstractUI.aspx?menuIndex=3&amp;refID=7061131&amp;Result=3","7061131")</f>
        <v>0</v>
      </c>
      <c r="B6612" t="s">
        <v>2109</v>
      </c>
      <c r="C6612" t="s">
        <v>9810</v>
      </c>
      <c r="D6612" t="s">
        <v>18851</v>
      </c>
      <c r="E6612" t="s">
        <v>20724</v>
      </c>
      <c r="F6612" t="s">
        <v>32664</v>
      </c>
      <c r="G6612" t="s">
        <v>32671</v>
      </c>
      <c r="H6612" t="s">
        <v>12635</v>
      </c>
      <c r="I6612" t="s">
        <v>4333</v>
      </c>
      <c r="J6612" t="s">
        <v>33621</v>
      </c>
      <c r="K6612" t="s">
        <v>42297</v>
      </c>
      <c r="M6612" t="s">
        <v>44864</v>
      </c>
      <c r="N6612" t="s">
        <v>46569</v>
      </c>
      <c r="O6612" t="s">
        <v>46570</v>
      </c>
      <c r="P6612">
        <v>0</v>
      </c>
      <c r="Q6612">
        <v>0</v>
      </c>
      <c r="R6612" t="s">
        <v>46573</v>
      </c>
      <c r="S6612" t="s">
        <v>46705</v>
      </c>
      <c r="T6612" t="s">
        <v>48221</v>
      </c>
      <c r="U6612" t="s">
        <v>54252</v>
      </c>
      <c r="W6612" t="s">
        <v>44864</v>
      </c>
      <c r="X6612" t="s">
        <v>46574</v>
      </c>
    </row>
    <row r="6613" spans="1:24">
      <c r="A6613">
        <f>HYPERLINK("https://www.philgeps.gov.ph/GEPSNONPILOT/Tender/SplashBidNoticeAbstractUI.aspx?menuIndex=3&amp;refID=7061130&amp;Result=3","7061130")</f>
        <v>0</v>
      </c>
      <c r="B6613" t="s">
        <v>2110</v>
      </c>
      <c r="C6613" t="s">
        <v>9811</v>
      </c>
      <c r="D6613" t="s">
        <v>18865</v>
      </c>
      <c r="E6613" t="s">
        <v>24739</v>
      </c>
      <c r="F6613" t="s">
        <v>32664</v>
      </c>
      <c r="G6613" t="s">
        <v>32672</v>
      </c>
      <c r="H6613" t="s">
        <v>32683</v>
      </c>
      <c r="I6613" t="s">
        <v>10627</v>
      </c>
      <c r="J6613" t="s">
        <v>33127</v>
      </c>
      <c r="K6613" t="s">
        <v>42308</v>
      </c>
      <c r="M6613" t="s">
        <v>44865</v>
      </c>
      <c r="N6613" t="s">
        <v>46569</v>
      </c>
      <c r="O6613" t="s">
        <v>46570</v>
      </c>
      <c r="P6613">
        <v>0</v>
      </c>
      <c r="Q6613">
        <v>0</v>
      </c>
      <c r="R6613" t="s">
        <v>46573</v>
      </c>
      <c r="S6613" t="s">
        <v>46705</v>
      </c>
      <c r="T6613" t="s">
        <v>48349</v>
      </c>
      <c r="U6613" t="s">
        <v>54253</v>
      </c>
      <c r="V6613" t="s">
        <v>62283</v>
      </c>
      <c r="W6613" t="s">
        <v>44865</v>
      </c>
      <c r="X6613" t="s">
        <v>46574</v>
      </c>
    </row>
    <row r="6614" spans="1:24">
      <c r="A6614">
        <f>HYPERLINK("https://www.philgeps.gov.ph/GEPSNONPILOT/Tender/SplashBidNoticeAbstractUI.aspx?menuIndex=3&amp;refID=7061129&amp;Result=3","7061129")</f>
        <v>0</v>
      </c>
      <c r="B6614" t="s">
        <v>796</v>
      </c>
      <c r="C6614" t="s">
        <v>9812</v>
      </c>
      <c r="D6614" t="s">
        <v>18801</v>
      </c>
      <c r="E6614" t="s">
        <v>24740</v>
      </c>
      <c r="F6614" t="s">
        <v>32664</v>
      </c>
      <c r="G6614" t="s">
        <v>32672</v>
      </c>
      <c r="H6614" t="s">
        <v>32683</v>
      </c>
      <c r="I6614" t="s">
        <v>10627</v>
      </c>
      <c r="J6614" t="s">
        <v>34131</v>
      </c>
      <c r="K6614" t="s">
        <v>42311</v>
      </c>
      <c r="M6614" t="s">
        <v>43388</v>
      </c>
      <c r="N6614" t="s">
        <v>46569</v>
      </c>
      <c r="O6614" t="s">
        <v>46570</v>
      </c>
      <c r="P6614">
        <v>0</v>
      </c>
      <c r="Q6614">
        <v>5</v>
      </c>
      <c r="R6614" t="s">
        <v>46573</v>
      </c>
      <c r="S6614" t="s">
        <v>46705</v>
      </c>
      <c r="T6614" t="s">
        <v>48220</v>
      </c>
      <c r="U6614" t="s">
        <v>54125</v>
      </c>
      <c r="W6614" t="s">
        <v>63490</v>
      </c>
      <c r="X6614" t="s">
        <v>46574</v>
      </c>
    </row>
    <row r="6615" spans="1:24">
      <c r="A6615">
        <f>HYPERLINK("https://www.philgeps.gov.ph/GEPSNONPILOT/Tender/SplashBidNoticeAbstractUI.aspx?menuIndex=3&amp;refID=7061128&amp;Result=3","7061128")</f>
        <v>0</v>
      </c>
      <c r="B6615" t="s">
        <v>380</v>
      </c>
      <c r="C6615" t="s">
        <v>9813</v>
      </c>
      <c r="D6615" t="s">
        <v>18809</v>
      </c>
      <c r="E6615" t="s">
        <v>24697</v>
      </c>
      <c r="F6615" t="s">
        <v>32664</v>
      </c>
      <c r="G6615" t="s">
        <v>32671</v>
      </c>
      <c r="H6615" t="s">
        <v>12635</v>
      </c>
      <c r="I6615" t="s">
        <v>32699</v>
      </c>
      <c r="J6615" t="s">
        <v>36929</v>
      </c>
      <c r="K6615" t="s">
        <v>42283</v>
      </c>
      <c r="M6615" t="s">
        <v>42950</v>
      </c>
      <c r="N6615" t="s">
        <v>46569</v>
      </c>
      <c r="O6615" t="s">
        <v>46570</v>
      </c>
      <c r="P6615">
        <v>0</v>
      </c>
      <c r="Q6615">
        <v>5</v>
      </c>
      <c r="R6615" t="s">
        <v>46573</v>
      </c>
      <c r="S6615" t="s">
        <v>46705</v>
      </c>
      <c r="T6615" t="s">
        <v>48573</v>
      </c>
      <c r="U6615" t="s">
        <v>54254</v>
      </c>
      <c r="W6615" t="s">
        <v>42950</v>
      </c>
      <c r="X6615" t="s">
        <v>46574</v>
      </c>
    </row>
    <row r="6616" spans="1:24">
      <c r="A6616">
        <f>HYPERLINK("https://www.philgeps.gov.ph/GEPSNONPILOT/Tender/SplashBidNoticeAbstractUI.aspx?menuIndex=3&amp;refID=7061127&amp;Result=3","7061127")</f>
        <v>0</v>
      </c>
      <c r="B6616" t="s">
        <v>798</v>
      </c>
      <c r="C6616" t="s">
        <v>9814</v>
      </c>
      <c r="D6616" t="s">
        <v>18830</v>
      </c>
      <c r="E6616" t="s">
        <v>21383</v>
      </c>
      <c r="F6616" t="s">
        <v>32664</v>
      </c>
      <c r="G6616" t="s">
        <v>32674</v>
      </c>
      <c r="H6616" t="s">
        <v>12635</v>
      </c>
      <c r="I6616" t="s">
        <v>6168</v>
      </c>
      <c r="J6616" t="s">
        <v>34818</v>
      </c>
      <c r="K6616" t="s">
        <v>42281</v>
      </c>
      <c r="M6616" t="s">
        <v>43390</v>
      </c>
      <c r="N6616" t="s">
        <v>46569</v>
      </c>
      <c r="O6616" t="s">
        <v>46570</v>
      </c>
      <c r="P6616">
        <v>0</v>
      </c>
      <c r="Q6616">
        <v>1</v>
      </c>
      <c r="R6616" t="s">
        <v>46573</v>
      </c>
      <c r="S6616" t="s">
        <v>46705</v>
      </c>
      <c r="T6616" t="s">
        <v>48307</v>
      </c>
      <c r="U6616" t="s">
        <v>54129</v>
      </c>
      <c r="W6616" t="s">
        <v>43390</v>
      </c>
      <c r="X6616" t="s">
        <v>46574</v>
      </c>
    </row>
    <row r="6617" spans="1:24">
      <c r="A6617">
        <f>HYPERLINK("https://www.philgeps.gov.ph/GEPSNONPILOT/Tender/SplashBidNoticeAbstractUI.aspx?menuIndex=3&amp;refID=7061098&amp;Result=3","7061098")</f>
        <v>0</v>
      </c>
      <c r="B6617" t="s">
        <v>1451</v>
      </c>
      <c r="C6617" t="s">
        <v>9815</v>
      </c>
      <c r="D6617" t="s">
        <v>18814</v>
      </c>
      <c r="E6617" t="s">
        <v>24741</v>
      </c>
      <c r="F6617" t="s">
        <v>32664</v>
      </c>
      <c r="G6617" t="s">
        <v>32671</v>
      </c>
      <c r="H6617" t="s">
        <v>12635</v>
      </c>
      <c r="I6617" t="s">
        <v>5589</v>
      </c>
      <c r="J6617" t="s">
        <v>33126</v>
      </c>
      <c r="K6617" t="s">
        <v>42297</v>
      </c>
      <c r="M6617" t="s">
        <v>44112</v>
      </c>
      <c r="N6617" t="s">
        <v>46569</v>
      </c>
      <c r="O6617" t="s">
        <v>46570</v>
      </c>
      <c r="P6617">
        <v>0</v>
      </c>
      <c r="Q6617">
        <v>1</v>
      </c>
      <c r="R6617" t="s">
        <v>46573</v>
      </c>
      <c r="S6617" t="s">
        <v>46705</v>
      </c>
      <c r="T6617" t="s">
        <v>48316</v>
      </c>
      <c r="U6617" t="s">
        <v>54255</v>
      </c>
      <c r="W6617" t="s">
        <v>44112</v>
      </c>
      <c r="X6617" t="s">
        <v>46574</v>
      </c>
    </row>
    <row r="6618" spans="1:24">
      <c r="A6618">
        <f>HYPERLINK("https://www.philgeps.gov.ph/GEPSNONPILOT/Tender/SplashBidNoticeAbstractUI.aspx?menuIndex=3&amp;refID=7061125&amp;Result=3","7061125")</f>
        <v>0</v>
      </c>
      <c r="B6618" t="s">
        <v>1906</v>
      </c>
      <c r="C6618" t="s">
        <v>9816</v>
      </c>
      <c r="D6618" t="s">
        <v>18783</v>
      </c>
      <c r="E6618" t="s">
        <v>24742</v>
      </c>
      <c r="F6618" t="s">
        <v>32664</v>
      </c>
      <c r="G6618" t="s">
        <v>32671</v>
      </c>
      <c r="H6618" t="s">
        <v>12635</v>
      </c>
      <c r="I6618" t="s">
        <v>6118</v>
      </c>
      <c r="J6618" t="s">
        <v>34374</v>
      </c>
      <c r="K6618" t="s">
        <v>42295</v>
      </c>
      <c r="M6618" t="s">
        <v>44627</v>
      </c>
      <c r="N6618" t="s">
        <v>46569</v>
      </c>
      <c r="O6618" t="s">
        <v>46570</v>
      </c>
      <c r="P6618">
        <v>0</v>
      </c>
      <c r="Q6618">
        <v>0</v>
      </c>
      <c r="R6618" t="s">
        <v>46573</v>
      </c>
      <c r="S6618" t="s">
        <v>46705</v>
      </c>
      <c r="T6618" t="s">
        <v>48307</v>
      </c>
      <c r="U6618" t="s">
        <v>54256</v>
      </c>
      <c r="V6618" t="s">
        <v>62216</v>
      </c>
      <c r="W6618" t="s">
        <v>44627</v>
      </c>
      <c r="X6618" t="s">
        <v>46574</v>
      </c>
    </row>
    <row r="6619" spans="1:24">
      <c r="A6619">
        <f>HYPERLINK("https://www.philgeps.gov.ph/GEPSNONPILOT/Tender/SplashBidNoticeAbstractUI.aspx?menuIndex=3&amp;refID=7061124&amp;Result=3","7061124")</f>
        <v>0</v>
      </c>
      <c r="B6619" t="s">
        <v>394</v>
      </c>
      <c r="C6619" t="s">
        <v>4456</v>
      </c>
      <c r="D6619" t="s">
        <v>18826</v>
      </c>
      <c r="E6619" t="s">
        <v>24743</v>
      </c>
      <c r="F6619" t="s">
        <v>32664</v>
      </c>
      <c r="G6619" t="s">
        <v>32671</v>
      </c>
      <c r="H6619" t="s">
        <v>12635</v>
      </c>
      <c r="I6619" t="s">
        <v>4439</v>
      </c>
      <c r="J6619" t="s">
        <v>36930</v>
      </c>
      <c r="K6619" t="s">
        <v>42289</v>
      </c>
      <c r="M6619" t="s">
        <v>42964</v>
      </c>
      <c r="N6619" t="s">
        <v>46569</v>
      </c>
      <c r="O6619" t="s">
        <v>46570</v>
      </c>
      <c r="P6619">
        <v>0</v>
      </c>
      <c r="Q6619">
        <v>2</v>
      </c>
      <c r="R6619" t="s">
        <v>46573</v>
      </c>
      <c r="S6619" t="s">
        <v>46705</v>
      </c>
      <c r="T6619" t="s">
        <v>48254</v>
      </c>
      <c r="U6619" t="s">
        <v>54257</v>
      </c>
      <c r="W6619" t="s">
        <v>42964</v>
      </c>
      <c r="X6619" t="s">
        <v>46574</v>
      </c>
    </row>
    <row r="6620" spans="1:24">
      <c r="A6620">
        <f>HYPERLINK("https://www.philgeps.gov.ph/GEPSNONPILOT/Tender/SplashBidNoticeAbstractUI.aspx?menuIndex=3&amp;refID=7061122&amp;Result=3","7061122")</f>
        <v>0</v>
      </c>
      <c r="B6620" t="s">
        <v>2080</v>
      </c>
      <c r="C6620" t="s">
        <v>9817</v>
      </c>
      <c r="D6620" t="s">
        <v>18848</v>
      </c>
      <c r="E6620" t="s">
        <v>24744</v>
      </c>
      <c r="F6620" t="s">
        <v>32664</v>
      </c>
      <c r="G6620" t="s">
        <v>32672</v>
      </c>
      <c r="H6620" t="s">
        <v>32683</v>
      </c>
      <c r="I6620" t="s">
        <v>10627</v>
      </c>
      <c r="J6620" t="s">
        <v>36931</v>
      </c>
      <c r="K6620" t="s">
        <v>42283</v>
      </c>
      <c r="M6620" t="s">
        <v>44832</v>
      </c>
      <c r="N6620" t="s">
        <v>46569</v>
      </c>
      <c r="O6620" t="s">
        <v>46570</v>
      </c>
      <c r="P6620">
        <v>0</v>
      </c>
      <c r="Q6620">
        <v>0</v>
      </c>
      <c r="R6620" t="s">
        <v>46573</v>
      </c>
      <c r="S6620" t="s">
        <v>46705</v>
      </c>
      <c r="T6620" t="s">
        <v>48236</v>
      </c>
      <c r="U6620" t="s">
        <v>54258</v>
      </c>
      <c r="W6620" t="s">
        <v>44832</v>
      </c>
      <c r="X6620" t="s">
        <v>46574</v>
      </c>
    </row>
    <row r="6621" spans="1:24">
      <c r="A6621">
        <f>HYPERLINK("https://www.philgeps.gov.ph/GEPSNONPILOT/Tender/SplashBidNoticeAbstractUI.aspx?menuIndex=3&amp;refID=7061121&amp;Result=3","7061121")</f>
        <v>0</v>
      </c>
      <c r="B6621" t="s">
        <v>1566</v>
      </c>
      <c r="C6621" t="s">
        <v>9818</v>
      </c>
      <c r="E6621" t="s">
        <v>24745</v>
      </c>
      <c r="F6621" t="s">
        <v>32664</v>
      </c>
      <c r="G6621" t="s">
        <v>32672</v>
      </c>
      <c r="H6621" t="s">
        <v>32683</v>
      </c>
      <c r="I6621" t="s">
        <v>10627</v>
      </c>
      <c r="J6621" t="s">
        <v>32962</v>
      </c>
      <c r="K6621" t="s">
        <v>42283</v>
      </c>
      <c r="M6621" t="s">
        <v>44239</v>
      </c>
      <c r="N6621" t="s">
        <v>46569</v>
      </c>
      <c r="O6621" t="s">
        <v>46570</v>
      </c>
      <c r="P6621">
        <v>0</v>
      </c>
      <c r="Q6621">
        <v>0</v>
      </c>
      <c r="R6621" t="s">
        <v>46573</v>
      </c>
      <c r="S6621" t="s">
        <v>46705</v>
      </c>
      <c r="T6621" t="s">
        <v>48216</v>
      </c>
      <c r="U6621" t="s">
        <v>54259</v>
      </c>
      <c r="W6621" t="s">
        <v>44239</v>
      </c>
      <c r="X6621" t="s">
        <v>46574</v>
      </c>
    </row>
    <row r="6622" spans="1:24">
      <c r="A6622">
        <f>HYPERLINK("https://www.philgeps.gov.ph/GEPSNONPILOT/Tender/SplashBidNoticeAbstractUI.aspx?menuIndex=3&amp;refID=7061126&amp;Result=3","7061126")</f>
        <v>0</v>
      </c>
      <c r="B6622" t="s">
        <v>2111</v>
      </c>
      <c r="C6622" t="s">
        <v>9819</v>
      </c>
      <c r="D6622" t="s">
        <v>18805</v>
      </c>
      <c r="E6622" t="s">
        <v>19673</v>
      </c>
      <c r="F6622" t="s">
        <v>32664</v>
      </c>
      <c r="G6622" t="s">
        <v>32672</v>
      </c>
      <c r="H6622" t="s">
        <v>12635</v>
      </c>
      <c r="I6622" t="s">
        <v>4439</v>
      </c>
      <c r="J6622" t="s">
        <v>36932</v>
      </c>
      <c r="K6622" t="s">
        <v>42281</v>
      </c>
      <c r="M6622" t="s">
        <v>44866</v>
      </c>
      <c r="N6622" t="s">
        <v>46569</v>
      </c>
      <c r="O6622" t="s">
        <v>46570</v>
      </c>
      <c r="P6622">
        <v>0</v>
      </c>
      <c r="Q6622">
        <v>0</v>
      </c>
      <c r="R6622" t="s">
        <v>46573</v>
      </c>
      <c r="S6622" t="s">
        <v>46705</v>
      </c>
      <c r="T6622" t="s">
        <v>48283</v>
      </c>
      <c r="U6622" t="s">
        <v>54260</v>
      </c>
      <c r="W6622" t="s">
        <v>44866</v>
      </c>
      <c r="X6622" t="s">
        <v>46574</v>
      </c>
    </row>
    <row r="6623" spans="1:24">
      <c r="A6623">
        <f>HYPERLINK("https://www.philgeps.gov.ph/GEPSNONPILOT/Tender/SplashBidNoticeAbstractUI.aspx?menuIndex=3&amp;refID=7061118&amp;Result=3","7061118")</f>
        <v>0</v>
      </c>
      <c r="B6623" t="s">
        <v>354</v>
      </c>
      <c r="C6623" t="s">
        <v>9820</v>
      </c>
      <c r="D6623" t="s">
        <v>18850</v>
      </c>
      <c r="E6623" t="s">
        <v>24746</v>
      </c>
      <c r="F6623" t="s">
        <v>32664</v>
      </c>
      <c r="G6623" t="s">
        <v>32677</v>
      </c>
      <c r="H6623" t="s">
        <v>12635</v>
      </c>
      <c r="I6623" t="s">
        <v>32699</v>
      </c>
      <c r="J6623" t="s">
        <v>36933</v>
      </c>
      <c r="K6623" t="s">
        <v>42305</v>
      </c>
      <c r="M6623" t="s">
        <v>42923</v>
      </c>
      <c r="N6623" t="s">
        <v>46569</v>
      </c>
      <c r="O6623" t="s">
        <v>46570</v>
      </c>
      <c r="P6623">
        <v>0</v>
      </c>
      <c r="Q6623">
        <v>1</v>
      </c>
      <c r="R6623" t="s">
        <v>46573</v>
      </c>
      <c r="S6623" t="s">
        <v>46705</v>
      </c>
      <c r="T6623" t="s">
        <v>48376</v>
      </c>
      <c r="U6623" t="s">
        <v>54261</v>
      </c>
      <c r="W6623" t="s">
        <v>42923</v>
      </c>
      <c r="X6623" t="s">
        <v>46574</v>
      </c>
    </row>
    <row r="6624" spans="1:24">
      <c r="A6624">
        <f>HYPERLINK("https://www.philgeps.gov.ph/GEPSNONPILOT/Tender/SplashBidNoticeAbstractUI.aspx?menuIndex=3&amp;refID=7061120&amp;Result=3","7061120")</f>
        <v>0</v>
      </c>
      <c r="B6624" t="s">
        <v>2112</v>
      </c>
      <c r="C6624" t="s">
        <v>9821</v>
      </c>
      <c r="D6624" t="s">
        <v>18838</v>
      </c>
      <c r="E6624" t="s">
        <v>24747</v>
      </c>
      <c r="F6624" t="s">
        <v>32664</v>
      </c>
      <c r="G6624" t="s">
        <v>32671</v>
      </c>
      <c r="H6624" t="s">
        <v>12635</v>
      </c>
      <c r="I6624" t="s">
        <v>10590</v>
      </c>
      <c r="J6624" t="s">
        <v>36934</v>
      </c>
      <c r="K6624" t="s">
        <v>42284</v>
      </c>
      <c r="M6624" t="s">
        <v>44867</v>
      </c>
      <c r="N6624" t="s">
        <v>46569</v>
      </c>
      <c r="O6624" t="s">
        <v>46570</v>
      </c>
      <c r="P6624">
        <v>0</v>
      </c>
      <c r="Q6624">
        <v>0</v>
      </c>
      <c r="R6624" t="s">
        <v>46573</v>
      </c>
      <c r="S6624" t="s">
        <v>46705</v>
      </c>
      <c r="T6624" t="s">
        <v>48254</v>
      </c>
      <c r="U6624" t="s">
        <v>54262</v>
      </c>
      <c r="W6624" t="s">
        <v>44867</v>
      </c>
      <c r="X6624" t="s">
        <v>46574</v>
      </c>
    </row>
    <row r="6625" spans="1:24">
      <c r="A6625">
        <f>HYPERLINK("https://www.philgeps.gov.ph/GEPSNONPILOT/Tender/SplashBidNoticeAbstractUI.aspx?menuIndex=3&amp;refID=7061119&amp;Result=3","7061119")</f>
        <v>0</v>
      </c>
      <c r="B6625" t="s">
        <v>1517</v>
      </c>
      <c r="C6625" t="s">
        <v>9822</v>
      </c>
      <c r="D6625" t="s">
        <v>18816</v>
      </c>
      <c r="E6625" t="s">
        <v>21191</v>
      </c>
      <c r="F6625" t="s">
        <v>32664</v>
      </c>
      <c r="G6625" t="s">
        <v>32671</v>
      </c>
      <c r="H6625" t="s">
        <v>12635</v>
      </c>
      <c r="I6625" t="s">
        <v>10370</v>
      </c>
      <c r="J6625" t="s">
        <v>36935</v>
      </c>
      <c r="K6625" t="s">
        <v>42281</v>
      </c>
      <c r="M6625" t="s">
        <v>44184</v>
      </c>
      <c r="N6625" t="s">
        <v>46569</v>
      </c>
      <c r="O6625" t="s">
        <v>46570</v>
      </c>
      <c r="P6625">
        <v>0</v>
      </c>
      <c r="Q6625">
        <v>4</v>
      </c>
      <c r="R6625" t="s">
        <v>46573</v>
      </c>
      <c r="S6625" t="s">
        <v>46705</v>
      </c>
      <c r="T6625" t="s">
        <v>48316</v>
      </c>
      <c r="U6625" t="s">
        <v>52205</v>
      </c>
      <c r="W6625" t="s">
        <v>44184</v>
      </c>
      <c r="X6625" t="s">
        <v>46574</v>
      </c>
    </row>
    <row r="6626" spans="1:24">
      <c r="A6626">
        <f>HYPERLINK("https://www.philgeps.gov.ph/GEPSNONPILOT/Tender/SplashBidNoticeAbstractUI.aspx?menuIndex=3&amp;refID=7061115&amp;Result=3","7061115")</f>
        <v>0</v>
      </c>
      <c r="B6626" t="s">
        <v>819</v>
      </c>
      <c r="C6626" t="s">
        <v>9823</v>
      </c>
      <c r="D6626" t="s">
        <v>18786</v>
      </c>
      <c r="E6626" t="s">
        <v>24748</v>
      </c>
      <c r="F6626" t="s">
        <v>32664</v>
      </c>
      <c r="G6626" t="s">
        <v>32674</v>
      </c>
      <c r="H6626" t="s">
        <v>12635</v>
      </c>
      <c r="I6626" t="s">
        <v>4997</v>
      </c>
      <c r="J6626" t="s">
        <v>34215</v>
      </c>
      <c r="K6626" t="s">
        <v>42295</v>
      </c>
      <c r="M6626" t="s">
        <v>43414</v>
      </c>
      <c r="N6626" t="s">
        <v>46569</v>
      </c>
      <c r="O6626" t="s">
        <v>46570</v>
      </c>
      <c r="P6626">
        <v>0</v>
      </c>
      <c r="Q6626">
        <v>2</v>
      </c>
      <c r="R6626" t="s">
        <v>46573</v>
      </c>
      <c r="S6626" t="s">
        <v>46705</v>
      </c>
      <c r="T6626" t="s">
        <v>48448</v>
      </c>
      <c r="U6626" t="s">
        <v>54263</v>
      </c>
      <c r="W6626" t="s">
        <v>43414</v>
      </c>
      <c r="X6626" t="s">
        <v>46574</v>
      </c>
    </row>
    <row r="6627" spans="1:24">
      <c r="A6627">
        <f>HYPERLINK("https://www.philgeps.gov.ph/GEPSNONPILOT/Tender/SplashBidNoticeAbstractUI.aspx?menuIndex=3&amp;refID=7061123&amp;Result=3","7061123")</f>
        <v>0</v>
      </c>
      <c r="B6627" t="s">
        <v>1922</v>
      </c>
      <c r="C6627" t="s">
        <v>9824</v>
      </c>
      <c r="D6627" t="s">
        <v>18827</v>
      </c>
      <c r="E6627" t="s">
        <v>24749</v>
      </c>
      <c r="F6627" t="s">
        <v>32664</v>
      </c>
      <c r="G6627" t="s">
        <v>32672</v>
      </c>
      <c r="H6627" t="s">
        <v>32683</v>
      </c>
      <c r="I6627" t="s">
        <v>10627</v>
      </c>
      <c r="J6627" t="s">
        <v>36936</v>
      </c>
      <c r="K6627" t="s">
        <v>42308</v>
      </c>
      <c r="M6627" t="s">
        <v>44644</v>
      </c>
      <c r="N6627" t="s">
        <v>46569</v>
      </c>
      <c r="O6627" t="s">
        <v>46570</v>
      </c>
      <c r="P6627">
        <v>0</v>
      </c>
      <c r="Q6627">
        <v>1</v>
      </c>
      <c r="R6627" t="s">
        <v>46573</v>
      </c>
      <c r="S6627" t="s">
        <v>46705</v>
      </c>
      <c r="T6627" t="s">
        <v>48362</v>
      </c>
      <c r="U6627" t="s">
        <v>54264</v>
      </c>
      <c r="W6627" t="s">
        <v>44644</v>
      </c>
      <c r="X6627" t="s">
        <v>46574</v>
      </c>
    </row>
    <row r="6628" spans="1:24">
      <c r="A6628">
        <f>HYPERLINK("https://www.philgeps.gov.ph/GEPSNONPILOT/Tender/SplashBidNoticeAbstractUI.aspx?menuIndex=3&amp;refID=7061090&amp;Result=3","7061090")</f>
        <v>0</v>
      </c>
      <c r="B6628" t="s">
        <v>2022</v>
      </c>
      <c r="C6628" t="s">
        <v>9825</v>
      </c>
      <c r="D6628" t="s">
        <v>18869</v>
      </c>
      <c r="E6628" t="s">
        <v>24750</v>
      </c>
      <c r="F6628" t="s">
        <v>32664</v>
      </c>
      <c r="G6628" t="s">
        <v>32672</v>
      </c>
      <c r="H6628" t="s">
        <v>12635</v>
      </c>
      <c r="I6628" t="s">
        <v>32698</v>
      </c>
      <c r="J6628" t="s">
        <v>36937</v>
      </c>
      <c r="K6628" t="s">
        <v>42281</v>
      </c>
      <c r="M6628" t="s">
        <v>44764</v>
      </c>
      <c r="N6628" t="s">
        <v>46569</v>
      </c>
      <c r="O6628" t="s">
        <v>46570</v>
      </c>
      <c r="P6628">
        <v>0</v>
      </c>
      <c r="Q6628">
        <v>0</v>
      </c>
      <c r="R6628" t="s">
        <v>46573</v>
      </c>
      <c r="S6628" t="s">
        <v>46705</v>
      </c>
      <c r="T6628" t="s">
        <v>48273</v>
      </c>
      <c r="U6628" t="s">
        <v>54265</v>
      </c>
      <c r="W6628" t="s">
        <v>44764</v>
      </c>
      <c r="X6628" t="s">
        <v>46574</v>
      </c>
    </row>
    <row r="6629" spans="1:24">
      <c r="A6629">
        <f>HYPERLINK("https://www.philgeps.gov.ph/GEPSNONPILOT/Tender/SplashBidNoticeAbstractUI.aspx?menuIndex=3&amp;refID=7061073&amp;Result=3","7061073")</f>
        <v>0</v>
      </c>
      <c r="B6629" t="s">
        <v>2108</v>
      </c>
      <c r="C6629" t="s">
        <v>9826</v>
      </c>
      <c r="D6629" t="s">
        <v>18806</v>
      </c>
      <c r="E6629" t="s">
        <v>24751</v>
      </c>
      <c r="F6629" t="s">
        <v>32664</v>
      </c>
      <c r="G6629" t="s">
        <v>32671</v>
      </c>
      <c r="H6629" t="s">
        <v>12635</v>
      </c>
      <c r="I6629" t="s">
        <v>9597</v>
      </c>
      <c r="J6629" t="s">
        <v>36938</v>
      </c>
      <c r="K6629" t="s">
        <v>42297</v>
      </c>
      <c r="M6629" t="s">
        <v>44863</v>
      </c>
      <c r="N6629" t="s">
        <v>46569</v>
      </c>
      <c r="O6629" t="s">
        <v>46570</v>
      </c>
      <c r="P6629">
        <v>0</v>
      </c>
      <c r="Q6629">
        <v>1</v>
      </c>
      <c r="R6629" t="s">
        <v>46573</v>
      </c>
      <c r="S6629" t="s">
        <v>46705</v>
      </c>
      <c r="T6629" t="s">
        <v>48256</v>
      </c>
      <c r="U6629" t="s">
        <v>54266</v>
      </c>
      <c r="W6629" t="s">
        <v>63550</v>
      </c>
      <c r="X6629" t="s">
        <v>46574</v>
      </c>
    </row>
    <row r="6630" spans="1:24">
      <c r="A6630">
        <f>HYPERLINK("https://www.philgeps.gov.ph/GEPSNONPILOT/Tender/SplashBidNoticeAbstractUI.aspx?menuIndex=3&amp;refID=7061071&amp;Result=3","7061071")</f>
        <v>0</v>
      </c>
      <c r="B6630" t="s">
        <v>535</v>
      </c>
      <c r="C6630" t="s">
        <v>9827</v>
      </c>
      <c r="D6630" t="s">
        <v>18834</v>
      </c>
      <c r="E6630" t="s">
        <v>24752</v>
      </c>
      <c r="F6630" t="s">
        <v>32664</v>
      </c>
      <c r="G6630" t="s">
        <v>32671</v>
      </c>
      <c r="H6630" t="s">
        <v>12635</v>
      </c>
      <c r="I6630" t="s">
        <v>7759</v>
      </c>
      <c r="J6630" t="s">
        <v>36939</v>
      </c>
      <c r="K6630" t="s">
        <v>42289</v>
      </c>
      <c r="M6630" t="s">
        <v>43113</v>
      </c>
      <c r="N6630" t="s">
        <v>46569</v>
      </c>
      <c r="O6630" t="s">
        <v>46570</v>
      </c>
      <c r="P6630">
        <v>0</v>
      </c>
      <c r="Q6630">
        <v>1</v>
      </c>
      <c r="R6630" t="s">
        <v>46573</v>
      </c>
      <c r="S6630" t="s">
        <v>46705</v>
      </c>
      <c r="T6630" t="s">
        <v>48254</v>
      </c>
      <c r="U6630" t="s">
        <v>49736</v>
      </c>
      <c r="W6630" t="s">
        <v>63481</v>
      </c>
      <c r="X6630" t="s">
        <v>46574</v>
      </c>
    </row>
    <row r="6631" spans="1:24">
      <c r="A6631">
        <f>HYPERLINK("https://www.philgeps.gov.ph/GEPSNONPILOT/Tender/SplashBidNoticeAbstractUI.aspx?menuIndex=3&amp;refID=7061096&amp;Result=3","7061096")</f>
        <v>0</v>
      </c>
      <c r="B6631" t="s">
        <v>1102</v>
      </c>
      <c r="C6631" t="s">
        <v>9828</v>
      </c>
      <c r="D6631" t="s">
        <v>18784</v>
      </c>
      <c r="E6631" t="s">
        <v>24753</v>
      </c>
      <c r="F6631" t="s">
        <v>32664</v>
      </c>
      <c r="G6631" t="s">
        <v>32674</v>
      </c>
      <c r="H6631" t="s">
        <v>12635</v>
      </c>
      <c r="I6631" t="s">
        <v>8797</v>
      </c>
      <c r="J6631" t="s">
        <v>33831</v>
      </c>
      <c r="K6631" t="s">
        <v>42283</v>
      </c>
      <c r="M6631" t="s">
        <v>43729</v>
      </c>
      <c r="N6631" t="s">
        <v>46569</v>
      </c>
      <c r="O6631" t="s">
        <v>46570</v>
      </c>
      <c r="P6631">
        <v>0</v>
      </c>
      <c r="Q6631">
        <v>4</v>
      </c>
      <c r="R6631" t="s">
        <v>46573</v>
      </c>
      <c r="S6631" t="s">
        <v>46705</v>
      </c>
      <c r="T6631" t="s">
        <v>48473</v>
      </c>
      <c r="U6631" t="s">
        <v>54267</v>
      </c>
      <c r="W6631" t="s">
        <v>43729</v>
      </c>
      <c r="X6631" t="s">
        <v>46574</v>
      </c>
    </row>
    <row r="6632" spans="1:24">
      <c r="A6632">
        <f>HYPERLINK("https://www.philgeps.gov.ph/GEPSNONPILOT/Tender/SplashBidNoticeAbstractUI.aspx?menuIndex=3&amp;refID=7061117&amp;Result=3","7061117")</f>
        <v>0</v>
      </c>
      <c r="B6632" t="s">
        <v>783</v>
      </c>
      <c r="C6632" t="s">
        <v>9829</v>
      </c>
      <c r="D6632" t="s">
        <v>18826</v>
      </c>
      <c r="E6632" t="s">
        <v>24754</v>
      </c>
      <c r="F6632" t="s">
        <v>32664</v>
      </c>
      <c r="G6632" t="s">
        <v>32671</v>
      </c>
      <c r="H6632" t="s">
        <v>12635</v>
      </c>
      <c r="I6632" t="s">
        <v>32694</v>
      </c>
      <c r="J6632" t="s">
        <v>36940</v>
      </c>
      <c r="K6632" t="s">
        <v>42283</v>
      </c>
      <c r="M6632" t="s">
        <v>43375</v>
      </c>
      <c r="N6632" t="s">
        <v>46569</v>
      </c>
      <c r="O6632" t="s">
        <v>46570</v>
      </c>
      <c r="P6632">
        <v>0</v>
      </c>
      <c r="Q6632">
        <v>0</v>
      </c>
      <c r="R6632" t="s">
        <v>46573</v>
      </c>
      <c r="S6632" t="s">
        <v>46705</v>
      </c>
      <c r="T6632" t="s">
        <v>48316</v>
      </c>
      <c r="U6632" t="s">
        <v>54268</v>
      </c>
      <c r="W6632" t="s">
        <v>43375</v>
      </c>
      <c r="X6632" t="s">
        <v>46574</v>
      </c>
    </row>
    <row r="6633" spans="1:24">
      <c r="A6633">
        <f>HYPERLINK("https://www.philgeps.gov.ph/GEPSNONPILOT/Tender/SplashBidNoticeAbstractUI.aspx?menuIndex=3&amp;refID=7061070&amp;Result=3","7061070")</f>
        <v>0</v>
      </c>
      <c r="B6633" t="s">
        <v>1906</v>
      </c>
      <c r="C6633" t="s">
        <v>8730</v>
      </c>
      <c r="D6633" t="s">
        <v>18783</v>
      </c>
      <c r="E6633" t="s">
        <v>24755</v>
      </c>
      <c r="F6633" t="s">
        <v>32664</v>
      </c>
      <c r="G6633" t="s">
        <v>32671</v>
      </c>
      <c r="H6633" t="s">
        <v>12635</v>
      </c>
      <c r="I6633" t="s">
        <v>8730</v>
      </c>
      <c r="J6633" t="s">
        <v>36941</v>
      </c>
      <c r="K6633" t="s">
        <v>42295</v>
      </c>
      <c r="M6633" t="s">
        <v>44627</v>
      </c>
      <c r="N6633" t="s">
        <v>46569</v>
      </c>
      <c r="O6633" t="s">
        <v>46570</v>
      </c>
      <c r="P6633">
        <v>0</v>
      </c>
      <c r="Q6633">
        <v>0</v>
      </c>
      <c r="R6633" t="s">
        <v>46573</v>
      </c>
      <c r="S6633" t="s">
        <v>46705</v>
      </c>
      <c r="T6633" t="s">
        <v>48307</v>
      </c>
      <c r="U6633" t="s">
        <v>54269</v>
      </c>
      <c r="V6633" t="s">
        <v>62216</v>
      </c>
      <c r="W6633" t="s">
        <v>44627</v>
      </c>
      <c r="X6633" t="s">
        <v>46574</v>
      </c>
    </row>
    <row r="6634" spans="1:24">
      <c r="A6634">
        <f>HYPERLINK("https://www.philgeps.gov.ph/GEPSNONPILOT/Tender/SplashBidNoticeAbstractUI.aspx?menuIndex=3&amp;refID=7061074&amp;Result=3","7061074")</f>
        <v>0</v>
      </c>
      <c r="B6634" t="s">
        <v>671</v>
      </c>
      <c r="C6634" t="s">
        <v>9830</v>
      </c>
      <c r="D6634" t="s">
        <v>18836</v>
      </c>
      <c r="E6634" t="s">
        <v>24756</v>
      </c>
      <c r="F6634" t="s">
        <v>32664</v>
      </c>
      <c r="G6634" t="s">
        <v>32672</v>
      </c>
      <c r="H6634" t="s">
        <v>32682</v>
      </c>
      <c r="I6634" t="s">
        <v>10374</v>
      </c>
      <c r="J6634" t="s">
        <v>36942</v>
      </c>
      <c r="K6634" t="s">
        <v>42308</v>
      </c>
      <c r="M6634" t="s">
        <v>44532</v>
      </c>
      <c r="N6634" t="s">
        <v>46569</v>
      </c>
      <c r="O6634" t="s">
        <v>46570</v>
      </c>
      <c r="P6634">
        <v>0</v>
      </c>
      <c r="Q6634">
        <v>5</v>
      </c>
      <c r="R6634" t="s">
        <v>46573</v>
      </c>
      <c r="S6634" t="s">
        <v>46705</v>
      </c>
      <c r="T6634" t="s">
        <v>48257</v>
      </c>
      <c r="U6634" t="s">
        <v>54270</v>
      </c>
      <c r="W6634" t="s">
        <v>63535</v>
      </c>
      <c r="X6634" t="s">
        <v>46574</v>
      </c>
    </row>
    <row r="6635" spans="1:24">
      <c r="A6635">
        <f>HYPERLINK("https://www.philgeps.gov.ph/GEPSNONPILOT/Tender/SplashBidNoticeAbstractUI.aspx?menuIndex=3&amp;refID=7061072&amp;Result=3","7061072")</f>
        <v>0</v>
      </c>
      <c r="B6635" t="s">
        <v>798</v>
      </c>
      <c r="C6635" t="s">
        <v>9831</v>
      </c>
      <c r="D6635" t="s">
        <v>18830</v>
      </c>
      <c r="E6635" t="s">
        <v>24757</v>
      </c>
      <c r="F6635" t="s">
        <v>32664</v>
      </c>
      <c r="G6635" t="s">
        <v>32674</v>
      </c>
      <c r="H6635" t="s">
        <v>12635</v>
      </c>
      <c r="I6635" t="s">
        <v>6168</v>
      </c>
      <c r="J6635" t="s">
        <v>36943</v>
      </c>
      <c r="K6635" t="s">
        <v>42281</v>
      </c>
      <c r="M6635" t="s">
        <v>43390</v>
      </c>
      <c r="N6635" t="s">
        <v>46569</v>
      </c>
      <c r="O6635" t="s">
        <v>46570</v>
      </c>
      <c r="P6635">
        <v>0</v>
      </c>
      <c r="Q6635">
        <v>1</v>
      </c>
      <c r="R6635" t="s">
        <v>46573</v>
      </c>
      <c r="S6635" t="s">
        <v>46705</v>
      </c>
      <c r="T6635" t="s">
        <v>48307</v>
      </c>
      <c r="U6635" t="s">
        <v>54129</v>
      </c>
      <c r="W6635" t="s">
        <v>43390</v>
      </c>
      <c r="X6635" t="s">
        <v>46574</v>
      </c>
    </row>
    <row r="6636" spans="1:24">
      <c r="A6636">
        <f>HYPERLINK("https://www.philgeps.gov.ph/GEPSNONPILOT/Tender/SplashBidNoticeAbstractUI.aspx?menuIndex=3&amp;refID=7061158&amp;Result=3","7061158")</f>
        <v>0</v>
      </c>
      <c r="B6636" t="s">
        <v>2113</v>
      </c>
      <c r="C6636" t="s">
        <v>9832</v>
      </c>
      <c r="D6636" t="s">
        <v>18781</v>
      </c>
      <c r="E6636" t="s">
        <v>24758</v>
      </c>
      <c r="F6636" t="s">
        <v>32664</v>
      </c>
      <c r="G6636" t="s">
        <v>32672</v>
      </c>
      <c r="H6636" t="s">
        <v>12635</v>
      </c>
      <c r="I6636" t="s">
        <v>5589</v>
      </c>
      <c r="J6636" t="s">
        <v>36944</v>
      </c>
      <c r="K6636" t="s">
        <v>42283</v>
      </c>
      <c r="L6636" t="s">
        <v>2113</v>
      </c>
      <c r="M6636" t="s">
        <v>44868</v>
      </c>
      <c r="N6636" t="s">
        <v>46569</v>
      </c>
      <c r="O6636" t="s">
        <v>46570</v>
      </c>
      <c r="P6636">
        <v>0</v>
      </c>
      <c r="Q6636">
        <v>10</v>
      </c>
      <c r="R6636" t="s">
        <v>46573</v>
      </c>
      <c r="S6636" t="s">
        <v>46705</v>
      </c>
      <c r="T6636" t="s">
        <v>48274</v>
      </c>
      <c r="U6636" t="s">
        <v>54271</v>
      </c>
      <c r="W6636" t="s">
        <v>44868</v>
      </c>
      <c r="X6636" t="s">
        <v>46574</v>
      </c>
    </row>
    <row r="6637" spans="1:24">
      <c r="A6637">
        <f>HYPERLINK("https://www.philgeps.gov.ph/GEPSNONPILOT/Tender/SplashBidNoticeAbstractUI.aspx?menuIndex=3&amp;refID=7061154&amp;Result=3","7061154")</f>
        <v>0</v>
      </c>
      <c r="B6637" t="s">
        <v>1785</v>
      </c>
      <c r="C6637" t="s">
        <v>9833</v>
      </c>
      <c r="D6637" t="s">
        <v>18805</v>
      </c>
      <c r="E6637" t="s">
        <v>24759</v>
      </c>
      <c r="F6637" t="s">
        <v>32664</v>
      </c>
      <c r="G6637" t="s">
        <v>32671</v>
      </c>
      <c r="H6637" t="s">
        <v>12635</v>
      </c>
      <c r="I6637" t="s">
        <v>4439</v>
      </c>
      <c r="J6637" t="s">
        <v>36945</v>
      </c>
      <c r="K6637" t="s">
        <v>42289</v>
      </c>
      <c r="M6637" t="s">
        <v>44487</v>
      </c>
      <c r="N6637" t="s">
        <v>46569</v>
      </c>
      <c r="O6637" t="s">
        <v>46570</v>
      </c>
      <c r="P6637">
        <v>0</v>
      </c>
      <c r="Q6637">
        <v>4</v>
      </c>
      <c r="R6637" t="s">
        <v>46573</v>
      </c>
      <c r="S6637" t="s">
        <v>46705</v>
      </c>
      <c r="T6637" t="s">
        <v>48221</v>
      </c>
      <c r="U6637" t="s">
        <v>54229</v>
      </c>
      <c r="W6637" t="s">
        <v>44487</v>
      </c>
      <c r="X6637" t="s">
        <v>46574</v>
      </c>
    </row>
    <row r="6638" spans="1:24">
      <c r="A6638">
        <f>HYPERLINK("https://www.philgeps.gov.ph/GEPSNONPILOT/Tender/SplashBidNoticeAbstractUI.aspx?menuIndex=3&amp;refID=7061153&amp;Result=3","7061153")</f>
        <v>0</v>
      </c>
      <c r="B6638" t="s">
        <v>2114</v>
      </c>
      <c r="C6638" t="s">
        <v>9834</v>
      </c>
      <c r="D6638" t="s">
        <v>18857</v>
      </c>
      <c r="E6638" t="s">
        <v>24760</v>
      </c>
      <c r="F6638" t="s">
        <v>32664</v>
      </c>
      <c r="G6638" t="s">
        <v>32672</v>
      </c>
      <c r="H6638" t="s">
        <v>12635</v>
      </c>
      <c r="I6638" t="s">
        <v>32706</v>
      </c>
      <c r="J6638" t="s">
        <v>36946</v>
      </c>
      <c r="K6638" t="s">
        <v>42281</v>
      </c>
      <c r="M6638" t="s">
        <v>44869</v>
      </c>
      <c r="N6638" t="s">
        <v>46569</v>
      </c>
      <c r="O6638" t="s">
        <v>46570</v>
      </c>
      <c r="P6638">
        <v>0</v>
      </c>
      <c r="Q6638">
        <v>0</v>
      </c>
      <c r="R6638" t="s">
        <v>46573</v>
      </c>
      <c r="S6638" t="s">
        <v>46705</v>
      </c>
      <c r="T6638" t="s">
        <v>48411</v>
      </c>
      <c r="U6638" t="s">
        <v>54272</v>
      </c>
      <c r="W6638" t="s">
        <v>44869</v>
      </c>
      <c r="X6638" t="s">
        <v>46574</v>
      </c>
    </row>
    <row r="6639" spans="1:24">
      <c r="A6639">
        <f>HYPERLINK("https://www.philgeps.gov.ph/GEPSNONPILOT/Tender/SplashBidNoticeAbstractUI.aspx?menuIndex=3&amp;refID=7061152&amp;Result=3","7061152")</f>
        <v>0</v>
      </c>
      <c r="B6639" t="s">
        <v>796</v>
      </c>
      <c r="C6639" t="s">
        <v>9835</v>
      </c>
      <c r="D6639" t="s">
        <v>18801</v>
      </c>
      <c r="E6639" t="s">
        <v>24761</v>
      </c>
      <c r="F6639" t="s">
        <v>32664</v>
      </c>
      <c r="G6639" t="s">
        <v>32672</v>
      </c>
      <c r="H6639" t="s">
        <v>32683</v>
      </c>
      <c r="I6639" t="s">
        <v>10627</v>
      </c>
      <c r="J6639" t="s">
        <v>36848</v>
      </c>
      <c r="K6639" t="s">
        <v>42305</v>
      </c>
      <c r="M6639" t="s">
        <v>43388</v>
      </c>
      <c r="N6639" t="s">
        <v>46569</v>
      </c>
      <c r="O6639" t="s">
        <v>46570</v>
      </c>
      <c r="P6639">
        <v>0</v>
      </c>
      <c r="Q6639">
        <v>3</v>
      </c>
      <c r="R6639" t="s">
        <v>46573</v>
      </c>
      <c r="S6639" t="s">
        <v>46705</v>
      </c>
      <c r="T6639" t="s">
        <v>48220</v>
      </c>
      <c r="U6639" t="s">
        <v>54125</v>
      </c>
      <c r="W6639" t="s">
        <v>63490</v>
      </c>
      <c r="X6639" t="s">
        <v>46574</v>
      </c>
    </row>
    <row r="6640" spans="1:24">
      <c r="A6640">
        <f>HYPERLINK("https://www.philgeps.gov.ph/GEPSNONPILOT/Tender/SplashBidNoticeAbstractUI.aspx?menuIndex=3&amp;refID=7061149&amp;Result=3","7061149")</f>
        <v>0</v>
      </c>
      <c r="B6640" t="s">
        <v>380</v>
      </c>
      <c r="C6640" t="s">
        <v>9836</v>
      </c>
      <c r="D6640" t="s">
        <v>18809</v>
      </c>
      <c r="E6640" t="s">
        <v>24762</v>
      </c>
      <c r="F6640" t="s">
        <v>32664</v>
      </c>
      <c r="G6640" t="s">
        <v>32671</v>
      </c>
      <c r="H6640" t="s">
        <v>12635</v>
      </c>
      <c r="I6640" t="s">
        <v>32699</v>
      </c>
      <c r="J6640" t="s">
        <v>36947</v>
      </c>
      <c r="K6640" t="s">
        <v>42283</v>
      </c>
      <c r="M6640" t="s">
        <v>42950</v>
      </c>
      <c r="N6640" t="s">
        <v>46569</v>
      </c>
      <c r="O6640" t="s">
        <v>46570</v>
      </c>
      <c r="P6640">
        <v>0</v>
      </c>
      <c r="Q6640">
        <v>1</v>
      </c>
      <c r="R6640" t="s">
        <v>46573</v>
      </c>
      <c r="S6640" t="s">
        <v>46705</v>
      </c>
      <c r="T6640" t="s">
        <v>48573</v>
      </c>
      <c r="U6640" t="s">
        <v>54273</v>
      </c>
      <c r="W6640" t="s">
        <v>42950</v>
      </c>
      <c r="X6640" t="s">
        <v>46574</v>
      </c>
    </row>
    <row r="6641" spans="1:24">
      <c r="A6641">
        <f>HYPERLINK("https://www.philgeps.gov.ph/GEPSNONPILOT/Tender/SplashBidNoticeAbstractUI.aspx?menuIndex=3&amp;refID=7061139&amp;Result=3","7061139")</f>
        <v>0</v>
      </c>
      <c r="B6641" t="s">
        <v>796</v>
      </c>
      <c r="C6641" t="s">
        <v>9837</v>
      </c>
      <c r="D6641" t="s">
        <v>18801</v>
      </c>
      <c r="E6641" t="s">
        <v>24763</v>
      </c>
      <c r="F6641" t="s">
        <v>32664</v>
      </c>
      <c r="G6641" t="s">
        <v>32672</v>
      </c>
      <c r="H6641" t="s">
        <v>32683</v>
      </c>
      <c r="I6641" t="s">
        <v>10627</v>
      </c>
      <c r="J6641" t="s">
        <v>34147</v>
      </c>
      <c r="K6641" t="s">
        <v>42305</v>
      </c>
      <c r="M6641" t="s">
        <v>43388</v>
      </c>
      <c r="N6641" t="s">
        <v>46569</v>
      </c>
      <c r="O6641" t="s">
        <v>46570</v>
      </c>
      <c r="P6641">
        <v>0</v>
      </c>
      <c r="Q6641">
        <v>3</v>
      </c>
      <c r="R6641" t="s">
        <v>46573</v>
      </c>
      <c r="S6641" t="s">
        <v>46705</v>
      </c>
      <c r="T6641" t="s">
        <v>48220</v>
      </c>
      <c r="U6641" t="s">
        <v>54125</v>
      </c>
      <c r="W6641" t="s">
        <v>63490</v>
      </c>
      <c r="X6641" t="s">
        <v>46574</v>
      </c>
    </row>
    <row r="6642" spans="1:24">
      <c r="A6642">
        <f>HYPERLINK("https://www.philgeps.gov.ph/GEPSNONPILOT/Tender/SplashBidNoticeAbstractUI.aspx?menuIndex=3&amp;refID=7061148&amp;Result=3","7061148")</f>
        <v>0</v>
      </c>
      <c r="B6642" t="s">
        <v>2115</v>
      </c>
      <c r="C6642" t="s">
        <v>8290</v>
      </c>
      <c r="D6642" t="s">
        <v>18793</v>
      </c>
      <c r="E6642" t="s">
        <v>24764</v>
      </c>
      <c r="F6642" t="s">
        <v>32664</v>
      </c>
      <c r="G6642" t="s">
        <v>32672</v>
      </c>
      <c r="H6642" t="s">
        <v>32683</v>
      </c>
      <c r="I6642" t="s">
        <v>10627</v>
      </c>
      <c r="J6642" t="s">
        <v>32962</v>
      </c>
      <c r="K6642" t="s">
        <v>42290</v>
      </c>
      <c r="M6642" t="s">
        <v>44870</v>
      </c>
      <c r="N6642" t="s">
        <v>46569</v>
      </c>
      <c r="O6642" t="s">
        <v>46570</v>
      </c>
      <c r="P6642">
        <v>0</v>
      </c>
      <c r="Q6642">
        <v>0</v>
      </c>
      <c r="R6642" t="s">
        <v>46573</v>
      </c>
      <c r="S6642" t="s">
        <v>46705</v>
      </c>
      <c r="T6642" t="s">
        <v>48443</v>
      </c>
      <c r="U6642" t="s">
        <v>54274</v>
      </c>
      <c r="W6642" t="s">
        <v>44870</v>
      </c>
      <c r="X6642" t="s">
        <v>46574</v>
      </c>
    </row>
    <row r="6643" spans="1:24">
      <c r="A6643">
        <f>HYPERLINK("https://www.philgeps.gov.ph/GEPSNONPILOT/Tender/SplashBidNoticeAbstractUI.aspx?menuIndex=3&amp;refID=7061157&amp;Result=3","7061157")</f>
        <v>0</v>
      </c>
      <c r="B6643" t="s">
        <v>1288</v>
      </c>
      <c r="C6643" t="s">
        <v>9838</v>
      </c>
      <c r="D6643" t="s">
        <v>18824</v>
      </c>
      <c r="E6643" t="s">
        <v>24765</v>
      </c>
      <c r="F6643" t="s">
        <v>32664</v>
      </c>
      <c r="G6643" t="s">
        <v>32677</v>
      </c>
      <c r="H6643" t="s">
        <v>12635</v>
      </c>
      <c r="I6643" t="s">
        <v>32690</v>
      </c>
      <c r="J6643" t="s">
        <v>32898</v>
      </c>
      <c r="K6643" t="s">
        <v>42295</v>
      </c>
      <c r="M6643" t="s">
        <v>43931</v>
      </c>
      <c r="N6643" t="s">
        <v>46569</v>
      </c>
      <c r="O6643" t="s">
        <v>46570</v>
      </c>
      <c r="P6643">
        <v>0</v>
      </c>
      <c r="Q6643">
        <v>0</v>
      </c>
      <c r="R6643" t="s">
        <v>46573</v>
      </c>
      <c r="S6643" t="s">
        <v>46705</v>
      </c>
      <c r="T6643" t="s">
        <v>48290</v>
      </c>
      <c r="U6643" t="s">
        <v>54275</v>
      </c>
      <c r="V6643" t="s">
        <v>62275</v>
      </c>
      <c r="W6643" t="s">
        <v>43931</v>
      </c>
      <c r="X6643" t="s">
        <v>46574</v>
      </c>
    </row>
    <row r="6644" spans="1:24">
      <c r="A6644">
        <f>HYPERLINK("https://www.philgeps.gov.ph/GEPSNONPILOT/Tender/SplashBidNoticeAbstractUI.aspx?menuIndex=3&amp;refID=7061150&amp;Result=3","7061150")</f>
        <v>0</v>
      </c>
      <c r="B6644" t="s">
        <v>304</v>
      </c>
      <c r="C6644" t="s">
        <v>9839</v>
      </c>
      <c r="D6644" t="s">
        <v>18792</v>
      </c>
      <c r="E6644" t="s">
        <v>19460</v>
      </c>
      <c r="F6644" t="s">
        <v>32664</v>
      </c>
      <c r="G6644" t="s">
        <v>32671</v>
      </c>
      <c r="H6644" t="s">
        <v>12635</v>
      </c>
      <c r="I6644" t="s">
        <v>8730</v>
      </c>
      <c r="J6644" t="s">
        <v>36948</v>
      </c>
      <c r="K6644" t="s">
        <v>42295</v>
      </c>
      <c r="M6644" t="s">
        <v>42871</v>
      </c>
      <c r="N6644" t="s">
        <v>46569</v>
      </c>
      <c r="O6644" t="s">
        <v>46570</v>
      </c>
      <c r="P6644">
        <v>0</v>
      </c>
      <c r="Q6644">
        <v>1</v>
      </c>
      <c r="R6644" t="s">
        <v>46573</v>
      </c>
      <c r="S6644" t="s">
        <v>46705</v>
      </c>
      <c r="T6644" t="s">
        <v>48287</v>
      </c>
      <c r="U6644" t="s">
        <v>54276</v>
      </c>
      <c r="W6644" t="s">
        <v>42871</v>
      </c>
      <c r="X6644" t="s">
        <v>46574</v>
      </c>
    </row>
    <row r="6645" spans="1:24">
      <c r="A6645">
        <f>HYPERLINK("https://www.philgeps.gov.ph/GEPSNONPILOT/Tender/SplashBidNoticeAbstractUI.aspx?menuIndex=3&amp;refID=7061145&amp;Result=3","7061145")</f>
        <v>0</v>
      </c>
      <c r="B6645" t="s">
        <v>503</v>
      </c>
      <c r="C6645" t="s">
        <v>9840</v>
      </c>
      <c r="D6645" t="s">
        <v>18819</v>
      </c>
      <c r="E6645" t="s">
        <v>24766</v>
      </c>
      <c r="F6645" t="s">
        <v>32664</v>
      </c>
      <c r="G6645" t="s">
        <v>32671</v>
      </c>
      <c r="H6645" t="s">
        <v>12635</v>
      </c>
      <c r="I6645" t="s">
        <v>8797</v>
      </c>
      <c r="J6645" t="s">
        <v>36949</v>
      </c>
      <c r="K6645" t="s">
        <v>42281</v>
      </c>
      <c r="M6645" t="s">
        <v>43079</v>
      </c>
      <c r="N6645" t="s">
        <v>46569</v>
      </c>
      <c r="O6645" t="s">
        <v>46570</v>
      </c>
      <c r="P6645">
        <v>0</v>
      </c>
      <c r="Q6645">
        <v>1</v>
      </c>
      <c r="R6645" t="s">
        <v>46573</v>
      </c>
      <c r="S6645" t="s">
        <v>46705</v>
      </c>
      <c r="T6645" t="s">
        <v>48427</v>
      </c>
      <c r="U6645" t="s">
        <v>54277</v>
      </c>
      <c r="W6645" t="s">
        <v>43079</v>
      </c>
      <c r="X6645" t="s">
        <v>46574</v>
      </c>
    </row>
    <row r="6646" spans="1:24">
      <c r="A6646">
        <f>HYPERLINK("https://www.philgeps.gov.ph/GEPSNONPILOT/Tender/SplashBidNoticeAbstractUI.aspx?menuIndex=3&amp;refID=7061144&amp;Result=3","7061144")</f>
        <v>0</v>
      </c>
      <c r="B6646" t="s">
        <v>1906</v>
      </c>
      <c r="C6646" t="s">
        <v>9816</v>
      </c>
      <c r="D6646" t="s">
        <v>18783</v>
      </c>
      <c r="E6646" t="s">
        <v>24767</v>
      </c>
      <c r="F6646" t="s">
        <v>32664</v>
      </c>
      <c r="G6646" t="s">
        <v>32671</v>
      </c>
      <c r="H6646" t="s">
        <v>12635</v>
      </c>
      <c r="I6646" t="s">
        <v>6118</v>
      </c>
      <c r="J6646" t="s">
        <v>33613</v>
      </c>
      <c r="K6646" t="s">
        <v>42295</v>
      </c>
      <c r="M6646" t="s">
        <v>44627</v>
      </c>
      <c r="N6646" t="s">
        <v>46569</v>
      </c>
      <c r="O6646" t="s">
        <v>46570</v>
      </c>
      <c r="P6646">
        <v>0</v>
      </c>
      <c r="Q6646">
        <v>0</v>
      </c>
      <c r="R6646" t="s">
        <v>46573</v>
      </c>
      <c r="S6646" t="s">
        <v>46705</v>
      </c>
      <c r="T6646" t="s">
        <v>48307</v>
      </c>
      <c r="U6646" t="s">
        <v>54278</v>
      </c>
      <c r="V6646" t="s">
        <v>62216</v>
      </c>
      <c r="W6646" t="s">
        <v>44627</v>
      </c>
      <c r="X6646" t="s">
        <v>46574</v>
      </c>
    </row>
    <row r="6647" spans="1:24">
      <c r="A6647">
        <f>HYPERLINK("https://www.philgeps.gov.ph/GEPSNONPILOT/Tender/SplashBidNoticeAbstractUI.aspx?menuIndex=3&amp;refID=7061184&amp;Result=3","7061184")</f>
        <v>0</v>
      </c>
      <c r="B6647" t="s">
        <v>758</v>
      </c>
      <c r="C6647" t="s">
        <v>9841</v>
      </c>
      <c r="D6647" t="s">
        <v>18838</v>
      </c>
      <c r="E6647" t="s">
        <v>24768</v>
      </c>
      <c r="F6647" t="s">
        <v>32664</v>
      </c>
      <c r="G6647" t="s">
        <v>32672</v>
      </c>
      <c r="H6647" t="s">
        <v>32683</v>
      </c>
      <c r="I6647" t="s">
        <v>10627</v>
      </c>
      <c r="J6647" t="s">
        <v>36950</v>
      </c>
      <c r="K6647" t="s">
        <v>42311</v>
      </c>
      <c r="M6647" t="s">
        <v>43348</v>
      </c>
      <c r="N6647" t="s">
        <v>46569</v>
      </c>
      <c r="O6647" t="s">
        <v>46570</v>
      </c>
      <c r="P6647">
        <v>0</v>
      </c>
      <c r="Q6647">
        <v>10</v>
      </c>
      <c r="R6647" t="s">
        <v>46573</v>
      </c>
      <c r="S6647" t="s">
        <v>46705</v>
      </c>
      <c r="T6647" t="s">
        <v>48308</v>
      </c>
      <c r="U6647" t="s">
        <v>54279</v>
      </c>
      <c r="V6647" t="s">
        <v>61806</v>
      </c>
      <c r="W6647" t="s">
        <v>43348</v>
      </c>
      <c r="X6647" t="s">
        <v>46574</v>
      </c>
    </row>
    <row r="6648" spans="1:24">
      <c r="A6648">
        <f>HYPERLINK("https://www.philgeps.gov.ph/GEPSNONPILOT/Tender/SplashBidNoticeAbstractUI.aspx?menuIndex=3&amp;refID=7061156&amp;Result=3","7061156")</f>
        <v>0</v>
      </c>
      <c r="B6648" t="s">
        <v>791</v>
      </c>
      <c r="C6648" t="s">
        <v>9842</v>
      </c>
      <c r="D6648" t="s">
        <v>18785</v>
      </c>
      <c r="E6648" t="s">
        <v>24769</v>
      </c>
      <c r="F6648" t="s">
        <v>32664</v>
      </c>
      <c r="G6648" t="s">
        <v>32674</v>
      </c>
      <c r="H6648" t="s">
        <v>32683</v>
      </c>
      <c r="I6648" t="s">
        <v>8797</v>
      </c>
      <c r="J6648" t="s">
        <v>36951</v>
      </c>
      <c r="K6648" t="s">
        <v>42297</v>
      </c>
      <c r="M6648" t="s">
        <v>43383</v>
      </c>
      <c r="N6648" t="s">
        <v>46569</v>
      </c>
      <c r="O6648" t="s">
        <v>46570</v>
      </c>
      <c r="P6648">
        <v>0</v>
      </c>
      <c r="Q6648">
        <v>3</v>
      </c>
      <c r="R6648" t="s">
        <v>46573</v>
      </c>
      <c r="S6648" t="s">
        <v>46705</v>
      </c>
      <c r="T6648" t="s">
        <v>48238</v>
      </c>
      <c r="U6648" t="s">
        <v>54174</v>
      </c>
      <c r="W6648" t="s">
        <v>43383</v>
      </c>
      <c r="X6648" t="s">
        <v>46574</v>
      </c>
    </row>
    <row r="6649" spans="1:24">
      <c r="A6649">
        <f>HYPERLINK("https://www.philgeps.gov.ph/GEPSNONPILOT/Tender/SplashBidNoticeAbstractUI.aspx?menuIndex=3&amp;refID=7061182&amp;Result=3","7061182")</f>
        <v>0</v>
      </c>
      <c r="B6649" t="s">
        <v>2100</v>
      </c>
      <c r="C6649" t="s">
        <v>9843</v>
      </c>
      <c r="D6649" t="s">
        <v>18818</v>
      </c>
      <c r="E6649" t="s">
        <v>24770</v>
      </c>
      <c r="F6649" t="s">
        <v>32664</v>
      </c>
      <c r="G6649" t="s">
        <v>32671</v>
      </c>
      <c r="H6649" t="s">
        <v>12635</v>
      </c>
      <c r="I6649" t="s">
        <v>10370</v>
      </c>
      <c r="J6649" t="s">
        <v>32984</v>
      </c>
      <c r="K6649" t="s">
        <v>42289</v>
      </c>
      <c r="M6649" t="s">
        <v>44855</v>
      </c>
      <c r="N6649" t="s">
        <v>46569</v>
      </c>
      <c r="O6649" t="s">
        <v>46570</v>
      </c>
      <c r="P6649">
        <v>0</v>
      </c>
      <c r="Q6649">
        <v>1</v>
      </c>
      <c r="R6649" t="s">
        <v>46573</v>
      </c>
      <c r="S6649" t="s">
        <v>46705</v>
      </c>
      <c r="T6649" t="s">
        <v>48221</v>
      </c>
      <c r="U6649" t="s">
        <v>54280</v>
      </c>
      <c r="W6649" t="s">
        <v>44855</v>
      </c>
      <c r="X6649" t="s">
        <v>46574</v>
      </c>
    </row>
    <row r="6650" spans="1:24">
      <c r="A6650">
        <f>HYPERLINK("https://www.philgeps.gov.ph/GEPSNONPILOT/Tender/SplashBidNoticeAbstractUI.aspx?menuIndex=3&amp;refID=7061147&amp;Result=3","7061147")</f>
        <v>0</v>
      </c>
      <c r="B6650" t="s">
        <v>536</v>
      </c>
      <c r="C6650" t="s">
        <v>4589</v>
      </c>
      <c r="D6650" t="s">
        <v>18786</v>
      </c>
      <c r="E6650" t="s">
        <v>24771</v>
      </c>
      <c r="F6650" t="s">
        <v>32664</v>
      </c>
      <c r="G6650" t="s">
        <v>32671</v>
      </c>
      <c r="H6650" t="s">
        <v>12635</v>
      </c>
      <c r="I6650" t="s">
        <v>32694</v>
      </c>
      <c r="J6650" t="s">
        <v>36952</v>
      </c>
      <c r="K6650" t="s">
        <v>42297</v>
      </c>
      <c r="M6650" t="s">
        <v>43114</v>
      </c>
      <c r="N6650" t="s">
        <v>46569</v>
      </c>
      <c r="O6650" t="s">
        <v>46570</v>
      </c>
      <c r="P6650">
        <v>0</v>
      </c>
      <c r="Q6650">
        <v>2</v>
      </c>
      <c r="R6650" t="s">
        <v>46573</v>
      </c>
      <c r="S6650" t="s">
        <v>46705</v>
      </c>
      <c r="T6650" t="s">
        <v>48268</v>
      </c>
      <c r="U6650" t="s">
        <v>54281</v>
      </c>
      <c r="W6650" t="s">
        <v>43114</v>
      </c>
      <c r="X6650" t="s">
        <v>46574</v>
      </c>
    </row>
    <row r="6651" spans="1:24">
      <c r="A6651">
        <f>HYPERLINK("https://www.philgeps.gov.ph/GEPSNONPILOT/Tender/SplashBidNoticeAbstractUI.aspx?menuIndex=3&amp;refID=7061095&amp;Result=3","7061095")</f>
        <v>0</v>
      </c>
      <c r="B6651" t="s">
        <v>1906</v>
      </c>
      <c r="C6651" t="s">
        <v>8730</v>
      </c>
      <c r="D6651" t="s">
        <v>18783</v>
      </c>
      <c r="E6651" t="s">
        <v>24772</v>
      </c>
      <c r="F6651" t="s">
        <v>32664</v>
      </c>
      <c r="G6651" t="s">
        <v>32671</v>
      </c>
      <c r="H6651" t="s">
        <v>12635</v>
      </c>
      <c r="I6651" t="s">
        <v>8730</v>
      </c>
      <c r="J6651" t="s">
        <v>36953</v>
      </c>
      <c r="K6651" t="s">
        <v>42295</v>
      </c>
      <c r="M6651" t="s">
        <v>44627</v>
      </c>
      <c r="N6651" t="s">
        <v>46569</v>
      </c>
      <c r="O6651" t="s">
        <v>46570</v>
      </c>
      <c r="P6651">
        <v>0</v>
      </c>
      <c r="Q6651">
        <v>0</v>
      </c>
      <c r="R6651" t="s">
        <v>46573</v>
      </c>
      <c r="S6651" t="s">
        <v>46705</v>
      </c>
      <c r="T6651" t="s">
        <v>48307</v>
      </c>
      <c r="U6651" t="s">
        <v>54282</v>
      </c>
      <c r="V6651" t="s">
        <v>62216</v>
      </c>
      <c r="W6651" t="s">
        <v>44627</v>
      </c>
      <c r="X6651" t="s">
        <v>46574</v>
      </c>
    </row>
    <row r="6652" spans="1:24">
      <c r="A6652">
        <f>HYPERLINK("https://www.philgeps.gov.ph/GEPSNONPILOT/Tender/SplashBidNoticeAbstractUI.aspx?menuIndex=3&amp;refID=7061181&amp;Result=3","7061181")</f>
        <v>0</v>
      </c>
      <c r="B6652" t="s">
        <v>2116</v>
      </c>
      <c r="C6652" t="s">
        <v>9844</v>
      </c>
      <c r="D6652" t="s">
        <v>18836</v>
      </c>
      <c r="E6652" t="s">
        <v>24773</v>
      </c>
      <c r="F6652" t="s">
        <v>32664</v>
      </c>
      <c r="G6652" t="s">
        <v>32671</v>
      </c>
      <c r="H6652" t="s">
        <v>12635</v>
      </c>
      <c r="I6652" t="s">
        <v>32728</v>
      </c>
      <c r="J6652" t="s">
        <v>33223</v>
      </c>
      <c r="K6652" t="s">
        <v>42295</v>
      </c>
      <c r="M6652" t="s">
        <v>44871</v>
      </c>
      <c r="N6652" t="s">
        <v>46569</v>
      </c>
      <c r="O6652" t="s">
        <v>46570</v>
      </c>
      <c r="P6652">
        <v>0</v>
      </c>
      <c r="Q6652">
        <v>2</v>
      </c>
      <c r="R6652" t="s">
        <v>46573</v>
      </c>
      <c r="S6652" t="s">
        <v>46705</v>
      </c>
      <c r="T6652" t="s">
        <v>48307</v>
      </c>
      <c r="U6652" t="s">
        <v>54283</v>
      </c>
      <c r="W6652" t="s">
        <v>44871</v>
      </c>
      <c r="X6652" t="s">
        <v>46574</v>
      </c>
    </row>
    <row r="6653" spans="1:24">
      <c r="A6653">
        <f>HYPERLINK("https://www.philgeps.gov.ph/GEPSNONPILOT/Tender/SplashBidNoticeAbstractUI.aspx?menuIndex=3&amp;refID=7061183&amp;Result=3","7061183")</f>
        <v>0</v>
      </c>
      <c r="B6653" t="s">
        <v>2117</v>
      </c>
      <c r="C6653" t="s">
        <v>7498</v>
      </c>
      <c r="D6653" t="s">
        <v>18783</v>
      </c>
      <c r="E6653" t="s">
        <v>24774</v>
      </c>
      <c r="F6653" t="s">
        <v>32664</v>
      </c>
      <c r="G6653" t="s">
        <v>32675</v>
      </c>
      <c r="H6653" t="s">
        <v>12635</v>
      </c>
      <c r="I6653" t="s">
        <v>7709</v>
      </c>
      <c r="J6653" t="s">
        <v>33092</v>
      </c>
      <c r="K6653" t="s">
        <v>42283</v>
      </c>
      <c r="M6653" t="s">
        <v>44872</v>
      </c>
      <c r="N6653" t="s">
        <v>46569</v>
      </c>
      <c r="O6653" t="s">
        <v>46570</v>
      </c>
      <c r="P6653">
        <v>0</v>
      </c>
      <c r="Q6653">
        <v>0</v>
      </c>
      <c r="R6653" t="s">
        <v>46573</v>
      </c>
      <c r="S6653" t="s">
        <v>46705</v>
      </c>
      <c r="T6653" t="s">
        <v>48287</v>
      </c>
      <c r="U6653" t="s">
        <v>54284</v>
      </c>
      <c r="V6653" t="s">
        <v>62284</v>
      </c>
      <c r="W6653" t="s">
        <v>44872</v>
      </c>
      <c r="X6653" t="s">
        <v>46574</v>
      </c>
    </row>
    <row r="6654" spans="1:24">
      <c r="A6654">
        <f>HYPERLINK("https://www.philgeps.gov.ph/GEPSNONPILOT/Tender/SplashBidNoticeAbstractUI.aspx?menuIndex=3&amp;refID=7061173&amp;Result=3","7061173")</f>
        <v>0</v>
      </c>
      <c r="B6654" t="s">
        <v>1901</v>
      </c>
      <c r="C6654" t="s">
        <v>9845</v>
      </c>
      <c r="D6654" t="s">
        <v>18787</v>
      </c>
      <c r="E6654" t="s">
        <v>24775</v>
      </c>
      <c r="F6654" t="s">
        <v>32664</v>
      </c>
      <c r="G6654" t="s">
        <v>32671</v>
      </c>
      <c r="H6654" t="s">
        <v>32683</v>
      </c>
      <c r="I6654" t="s">
        <v>10627</v>
      </c>
      <c r="J6654" t="s">
        <v>36954</v>
      </c>
      <c r="K6654" t="s">
        <v>42298</v>
      </c>
      <c r="L6654" t="s">
        <v>1901</v>
      </c>
      <c r="M6654" t="s">
        <v>44622</v>
      </c>
      <c r="N6654" t="s">
        <v>46569</v>
      </c>
      <c r="O6654" t="s">
        <v>46570</v>
      </c>
      <c r="P6654">
        <v>0</v>
      </c>
      <c r="Q6654">
        <v>0</v>
      </c>
      <c r="R6654" t="s">
        <v>46573</v>
      </c>
      <c r="S6654" t="s">
        <v>46705</v>
      </c>
      <c r="T6654" t="s">
        <v>48420</v>
      </c>
      <c r="U6654" t="s">
        <v>54285</v>
      </c>
      <c r="W6654" t="s">
        <v>44622</v>
      </c>
      <c r="X6654" t="s">
        <v>46574</v>
      </c>
    </row>
    <row r="6655" spans="1:24">
      <c r="A6655">
        <f>HYPERLINK("https://www.philgeps.gov.ph/GEPSNONPILOT/Tender/SplashBidNoticeAbstractUI.aspx?menuIndex=3&amp;refID=7061178&amp;Result=3","7061178")</f>
        <v>0</v>
      </c>
      <c r="B6655" t="s">
        <v>1718</v>
      </c>
      <c r="C6655" t="s">
        <v>9846</v>
      </c>
      <c r="D6655" t="s">
        <v>18783</v>
      </c>
      <c r="E6655" t="s">
        <v>24776</v>
      </c>
      <c r="F6655" t="s">
        <v>32664</v>
      </c>
      <c r="G6655" t="s">
        <v>32671</v>
      </c>
      <c r="H6655" t="s">
        <v>12635</v>
      </c>
      <c r="I6655" t="s">
        <v>4439</v>
      </c>
      <c r="J6655" t="s">
        <v>36955</v>
      </c>
      <c r="K6655" t="s">
        <v>42297</v>
      </c>
      <c r="M6655" t="s">
        <v>44415</v>
      </c>
      <c r="N6655" t="s">
        <v>46569</v>
      </c>
      <c r="O6655" t="s">
        <v>46570</v>
      </c>
      <c r="P6655">
        <v>0</v>
      </c>
      <c r="Q6655">
        <v>0</v>
      </c>
      <c r="R6655" t="s">
        <v>46573</v>
      </c>
      <c r="S6655" t="s">
        <v>46705</v>
      </c>
      <c r="T6655" t="s">
        <v>48376</v>
      </c>
      <c r="U6655" t="s">
        <v>54286</v>
      </c>
      <c r="W6655" t="s">
        <v>44415</v>
      </c>
      <c r="X6655" t="s">
        <v>46574</v>
      </c>
    </row>
    <row r="6656" spans="1:24">
      <c r="A6656">
        <f>HYPERLINK("https://www.philgeps.gov.ph/GEPSNONPILOT/Tender/SplashBidNoticeAbstractUI.aspx?menuIndex=3&amp;refID=7061172&amp;Result=3","7061172")</f>
        <v>0</v>
      </c>
      <c r="B6656" t="s">
        <v>1753</v>
      </c>
      <c r="C6656" t="s">
        <v>9847</v>
      </c>
      <c r="D6656" t="s">
        <v>18784</v>
      </c>
      <c r="E6656" t="s">
        <v>24777</v>
      </c>
      <c r="F6656" t="s">
        <v>32664</v>
      </c>
      <c r="G6656" t="s">
        <v>32671</v>
      </c>
      <c r="H6656" t="s">
        <v>12635</v>
      </c>
      <c r="I6656" t="s">
        <v>4333</v>
      </c>
      <c r="J6656" t="s">
        <v>36956</v>
      </c>
      <c r="K6656" t="s">
        <v>42281</v>
      </c>
      <c r="M6656" t="s">
        <v>44453</v>
      </c>
      <c r="N6656" t="s">
        <v>46569</v>
      </c>
      <c r="O6656" t="s">
        <v>46570</v>
      </c>
      <c r="P6656">
        <v>0</v>
      </c>
      <c r="Q6656">
        <v>3</v>
      </c>
      <c r="R6656" t="s">
        <v>46573</v>
      </c>
      <c r="S6656" t="s">
        <v>46705</v>
      </c>
      <c r="T6656" t="s">
        <v>48244</v>
      </c>
      <c r="U6656" t="s">
        <v>54287</v>
      </c>
      <c r="W6656" t="s">
        <v>44453</v>
      </c>
      <c r="X6656" t="s">
        <v>46574</v>
      </c>
    </row>
    <row r="6657" spans="1:24">
      <c r="A6657">
        <f>HYPERLINK("https://www.philgeps.gov.ph/GEPSNONPILOT/Tender/SplashBidNoticeAbstractUI.aspx?menuIndex=3&amp;refID=7061169&amp;Result=3","7061169")</f>
        <v>0</v>
      </c>
      <c r="B6657" t="s">
        <v>380</v>
      </c>
      <c r="C6657" t="s">
        <v>9848</v>
      </c>
      <c r="D6657" t="s">
        <v>18809</v>
      </c>
      <c r="E6657" t="s">
        <v>24778</v>
      </c>
      <c r="F6657" t="s">
        <v>32664</v>
      </c>
      <c r="G6657" t="s">
        <v>32671</v>
      </c>
      <c r="H6657" t="s">
        <v>12635</v>
      </c>
      <c r="I6657" t="s">
        <v>6223</v>
      </c>
      <c r="J6657" t="s">
        <v>36957</v>
      </c>
      <c r="K6657" t="s">
        <v>42283</v>
      </c>
      <c r="M6657" t="s">
        <v>42950</v>
      </c>
      <c r="N6657" t="s">
        <v>46569</v>
      </c>
      <c r="O6657" t="s">
        <v>46570</v>
      </c>
      <c r="P6657">
        <v>0</v>
      </c>
      <c r="Q6657">
        <v>0</v>
      </c>
      <c r="R6657" t="s">
        <v>46573</v>
      </c>
      <c r="S6657" t="s">
        <v>46705</v>
      </c>
      <c r="T6657" t="s">
        <v>48573</v>
      </c>
      <c r="U6657" t="s">
        <v>54288</v>
      </c>
      <c r="W6657" t="s">
        <v>42950</v>
      </c>
      <c r="X6657" t="s">
        <v>46574</v>
      </c>
    </row>
    <row r="6658" spans="1:24">
      <c r="A6658">
        <f>HYPERLINK("https://www.philgeps.gov.ph/GEPSNONPILOT/Tender/SplashBidNoticeAbstractUI.aspx?menuIndex=3&amp;refID=7061167&amp;Result=3","7061167")</f>
        <v>0</v>
      </c>
      <c r="B6658" t="s">
        <v>1557</v>
      </c>
      <c r="C6658" t="s">
        <v>9849</v>
      </c>
      <c r="D6658" t="s">
        <v>18814</v>
      </c>
      <c r="E6658" t="s">
        <v>24779</v>
      </c>
      <c r="F6658" t="s">
        <v>32664</v>
      </c>
      <c r="G6658" t="s">
        <v>32671</v>
      </c>
      <c r="H6658" t="s">
        <v>12635</v>
      </c>
      <c r="I6658" t="s">
        <v>32703</v>
      </c>
      <c r="J6658" t="s">
        <v>36958</v>
      </c>
      <c r="K6658" t="s">
        <v>42297</v>
      </c>
      <c r="M6658" t="s">
        <v>44226</v>
      </c>
      <c r="N6658" t="s">
        <v>46569</v>
      </c>
      <c r="O6658" t="s">
        <v>46570</v>
      </c>
      <c r="P6658">
        <v>0</v>
      </c>
      <c r="Q6658">
        <v>8</v>
      </c>
      <c r="R6658" t="s">
        <v>46573</v>
      </c>
      <c r="S6658" t="s">
        <v>46705</v>
      </c>
      <c r="T6658" t="s">
        <v>48307</v>
      </c>
      <c r="U6658" t="s">
        <v>54289</v>
      </c>
      <c r="W6658" t="s">
        <v>63521</v>
      </c>
      <c r="X6658" t="s">
        <v>46574</v>
      </c>
    </row>
    <row r="6659" spans="1:24">
      <c r="A6659">
        <f>HYPERLINK("https://www.philgeps.gov.ph/GEPSNONPILOT/Tender/SplashBidNoticeAbstractUI.aspx?menuIndex=3&amp;refID=7061146&amp;Result=3","7061146")</f>
        <v>0</v>
      </c>
      <c r="B6659" t="s">
        <v>796</v>
      </c>
      <c r="C6659" t="s">
        <v>9850</v>
      </c>
      <c r="D6659" t="s">
        <v>18801</v>
      </c>
      <c r="E6659" t="s">
        <v>24780</v>
      </c>
      <c r="F6659" t="s">
        <v>32664</v>
      </c>
      <c r="G6659" t="s">
        <v>32672</v>
      </c>
      <c r="H6659" t="s">
        <v>32683</v>
      </c>
      <c r="I6659" t="s">
        <v>10627</v>
      </c>
      <c r="J6659" t="s">
        <v>34147</v>
      </c>
      <c r="K6659" t="s">
        <v>42305</v>
      </c>
      <c r="M6659" t="s">
        <v>43388</v>
      </c>
      <c r="N6659" t="s">
        <v>46569</v>
      </c>
      <c r="O6659" t="s">
        <v>46570</v>
      </c>
      <c r="P6659">
        <v>0</v>
      </c>
      <c r="Q6659">
        <v>3</v>
      </c>
      <c r="R6659" t="s">
        <v>46573</v>
      </c>
      <c r="S6659" t="s">
        <v>46705</v>
      </c>
      <c r="T6659" t="s">
        <v>48220</v>
      </c>
      <c r="U6659" t="s">
        <v>54125</v>
      </c>
      <c r="W6659" t="s">
        <v>63490</v>
      </c>
      <c r="X6659" t="s">
        <v>46574</v>
      </c>
    </row>
    <row r="6660" spans="1:24">
      <c r="A6660">
        <f>HYPERLINK("https://www.philgeps.gov.ph/GEPSNONPILOT/Tender/SplashBidNoticeAbstractUI.aspx?menuIndex=3&amp;refID=7061166&amp;Result=3","7061166")</f>
        <v>0</v>
      </c>
      <c r="B6660" t="s">
        <v>428</v>
      </c>
      <c r="C6660" t="s">
        <v>9851</v>
      </c>
      <c r="D6660" t="s">
        <v>18842</v>
      </c>
      <c r="E6660" t="s">
        <v>24781</v>
      </c>
      <c r="F6660" t="s">
        <v>32664</v>
      </c>
      <c r="G6660" t="s">
        <v>32671</v>
      </c>
      <c r="H6660" t="s">
        <v>12635</v>
      </c>
      <c r="I6660" t="s">
        <v>32755</v>
      </c>
      <c r="J6660" t="s">
        <v>33391</v>
      </c>
      <c r="K6660" t="s">
        <v>42303</v>
      </c>
      <c r="M6660" t="s">
        <v>42999</v>
      </c>
      <c r="N6660" t="s">
        <v>46569</v>
      </c>
      <c r="O6660" t="s">
        <v>46570</v>
      </c>
      <c r="P6660">
        <v>0</v>
      </c>
      <c r="Q6660">
        <v>2</v>
      </c>
      <c r="R6660" t="s">
        <v>46573</v>
      </c>
      <c r="S6660" t="s">
        <v>46705</v>
      </c>
      <c r="T6660" t="s">
        <v>48492</v>
      </c>
      <c r="U6660" t="s">
        <v>54290</v>
      </c>
      <c r="W6660" t="s">
        <v>42999</v>
      </c>
      <c r="X6660" t="s">
        <v>46574</v>
      </c>
    </row>
    <row r="6661" spans="1:24">
      <c r="A6661">
        <f>HYPERLINK("https://www.philgeps.gov.ph/GEPSNONPILOT/Tender/SplashBidNoticeAbstractUI.aspx?menuIndex=3&amp;refID=7061207&amp;Result=3","7061207")</f>
        <v>0</v>
      </c>
      <c r="B6661" t="s">
        <v>455</v>
      </c>
      <c r="C6661" t="s">
        <v>4858</v>
      </c>
      <c r="D6661" t="s">
        <v>18834</v>
      </c>
      <c r="E6661" t="s">
        <v>22075</v>
      </c>
      <c r="F6661" t="s">
        <v>32664</v>
      </c>
      <c r="G6661" t="s">
        <v>32672</v>
      </c>
      <c r="H6661" t="s">
        <v>12635</v>
      </c>
      <c r="I6661" t="s">
        <v>9486</v>
      </c>
      <c r="J6661" t="s">
        <v>36959</v>
      </c>
      <c r="K6661" t="s">
        <v>42311</v>
      </c>
      <c r="M6661" t="s">
        <v>43210</v>
      </c>
      <c r="N6661" t="s">
        <v>46569</v>
      </c>
      <c r="O6661" t="s">
        <v>46570</v>
      </c>
      <c r="P6661">
        <v>0</v>
      </c>
      <c r="Q6661">
        <v>5</v>
      </c>
      <c r="R6661" t="s">
        <v>46573</v>
      </c>
      <c r="S6661" t="s">
        <v>46705</v>
      </c>
      <c r="T6661" t="s">
        <v>48220</v>
      </c>
      <c r="U6661" t="s">
        <v>54291</v>
      </c>
      <c r="W6661" t="s">
        <v>43210</v>
      </c>
      <c r="X6661" t="s">
        <v>46574</v>
      </c>
    </row>
    <row r="6662" spans="1:24">
      <c r="A6662">
        <f>HYPERLINK("https://www.philgeps.gov.ph/GEPSNONPILOT/Tender/SplashBidNoticeAbstractUI.aspx?menuIndex=3&amp;refID=7061212&amp;Result=3","7061212")</f>
        <v>0</v>
      </c>
      <c r="B6662" t="s">
        <v>2118</v>
      </c>
      <c r="C6662" t="s">
        <v>9852</v>
      </c>
      <c r="D6662" t="s">
        <v>18859</v>
      </c>
      <c r="E6662" t="s">
        <v>24782</v>
      </c>
      <c r="F6662" t="s">
        <v>32664</v>
      </c>
      <c r="G6662" t="s">
        <v>32672</v>
      </c>
      <c r="H6662" t="s">
        <v>32683</v>
      </c>
      <c r="I6662" t="s">
        <v>10627</v>
      </c>
      <c r="J6662" t="s">
        <v>36960</v>
      </c>
      <c r="K6662" t="s">
        <v>42290</v>
      </c>
      <c r="M6662" t="s">
        <v>44873</v>
      </c>
      <c r="N6662" t="s">
        <v>46569</v>
      </c>
      <c r="O6662" t="s">
        <v>46570</v>
      </c>
      <c r="P6662">
        <v>0</v>
      </c>
      <c r="Q6662">
        <v>3</v>
      </c>
      <c r="R6662" t="s">
        <v>46573</v>
      </c>
      <c r="S6662" t="s">
        <v>46705</v>
      </c>
      <c r="T6662" t="s">
        <v>48362</v>
      </c>
      <c r="U6662" t="s">
        <v>54292</v>
      </c>
      <c r="W6662" t="s">
        <v>44873</v>
      </c>
      <c r="X6662" t="s">
        <v>46574</v>
      </c>
    </row>
    <row r="6663" spans="1:24">
      <c r="A6663">
        <f>HYPERLINK("https://www.philgeps.gov.ph/GEPSNONPILOT/Tender/SplashBidNoticeAbstractUI.aspx?menuIndex=3&amp;refID=7061168&amp;Result=3","7061168")</f>
        <v>0</v>
      </c>
      <c r="B6663" t="s">
        <v>2119</v>
      </c>
      <c r="C6663" t="s">
        <v>9853</v>
      </c>
      <c r="D6663" t="s">
        <v>18848</v>
      </c>
      <c r="E6663" t="s">
        <v>24783</v>
      </c>
      <c r="F6663" t="s">
        <v>32664</v>
      </c>
      <c r="G6663" t="s">
        <v>32672</v>
      </c>
      <c r="H6663" t="s">
        <v>12635</v>
      </c>
      <c r="I6663" t="s">
        <v>4439</v>
      </c>
      <c r="J6663" t="s">
        <v>36961</v>
      </c>
      <c r="K6663" t="s">
        <v>42297</v>
      </c>
      <c r="M6663" t="s">
        <v>44874</v>
      </c>
      <c r="N6663" t="s">
        <v>46569</v>
      </c>
      <c r="O6663" t="s">
        <v>46570</v>
      </c>
      <c r="P6663">
        <v>0</v>
      </c>
      <c r="Q6663">
        <v>1</v>
      </c>
      <c r="R6663" t="s">
        <v>46573</v>
      </c>
      <c r="S6663" t="s">
        <v>46705</v>
      </c>
      <c r="T6663" t="s">
        <v>48248</v>
      </c>
      <c r="U6663" t="s">
        <v>54293</v>
      </c>
      <c r="W6663" t="s">
        <v>44874</v>
      </c>
      <c r="X6663" t="s">
        <v>46574</v>
      </c>
    </row>
    <row r="6664" spans="1:24">
      <c r="A6664">
        <f>HYPERLINK("https://www.philgeps.gov.ph/GEPSNONPILOT/Tender/SplashBidNoticeAbstractUI.aspx?menuIndex=3&amp;refID=7061104&amp;Result=3","7061104")</f>
        <v>0</v>
      </c>
      <c r="B6664" t="s">
        <v>1228</v>
      </c>
      <c r="C6664" t="s">
        <v>9854</v>
      </c>
      <c r="D6664" t="s">
        <v>18783</v>
      </c>
      <c r="E6664" t="s">
        <v>24784</v>
      </c>
      <c r="F6664" t="s">
        <v>32664</v>
      </c>
      <c r="G6664" t="s">
        <v>32674</v>
      </c>
      <c r="H6664" t="s">
        <v>12635</v>
      </c>
      <c r="I6664" t="s">
        <v>6118</v>
      </c>
      <c r="J6664" t="s">
        <v>36962</v>
      </c>
      <c r="K6664" t="s">
        <v>42284</v>
      </c>
      <c r="M6664" t="s">
        <v>43867</v>
      </c>
      <c r="N6664" t="s">
        <v>46569</v>
      </c>
      <c r="O6664" t="s">
        <v>46570</v>
      </c>
      <c r="P6664">
        <v>0</v>
      </c>
      <c r="Q6664">
        <v>0</v>
      </c>
      <c r="R6664" t="s">
        <v>46573</v>
      </c>
      <c r="S6664" t="s">
        <v>46705</v>
      </c>
      <c r="T6664" t="s">
        <v>48448</v>
      </c>
      <c r="U6664" t="s">
        <v>54294</v>
      </c>
      <c r="W6664" t="s">
        <v>43867</v>
      </c>
      <c r="X6664" t="s">
        <v>46574</v>
      </c>
    </row>
    <row r="6665" spans="1:24">
      <c r="A6665">
        <f>HYPERLINK("https://www.philgeps.gov.ph/GEPSNONPILOT/Tender/SplashBidNoticeAbstractUI.aspx?menuIndex=3&amp;refID=7061174&amp;Result=3","7061174")</f>
        <v>0</v>
      </c>
      <c r="B6665" t="s">
        <v>2120</v>
      </c>
      <c r="C6665" t="s">
        <v>5191</v>
      </c>
      <c r="D6665" t="s">
        <v>18801</v>
      </c>
      <c r="E6665" t="s">
        <v>20462</v>
      </c>
      <c r="F6665" t="s">
        <v>32664</v>
      </c>
      <c r="G6665" t="s">
        <v>32671</v>
      </c>
      <c r="H6665" t="s">
        <v>32682</v>
      </c>
      <c r="I6665" t="s">
        <v>6168</v>
      </c>
      <c r="J6665" t="s">
        <v>33078</v>
      </c>
      <c r="K6665" t="s">
        <v>42284</v>
      </c>
      <c r="M6665" t="s">
        <v>44875</v>
      </c>
      <c r="N6665" t="s">
        <v>46569</v>
      </c>
      <c r="O6665" t="s">
        <v>46570</v>
      </c>
      <c r="P6665">
        <v>0</v>
      </c>
      <c r="Q6665">
        <v>7</v>
      </c>
      <c r="R6665" t="s">
        <v>46573</v>
      </c>
      <c r="S6665" t="s">
        <v>46705</v>
      </c>
      <c r="T6665" t="s">
        <v>48254</v>
      </c>
      <c r="U6665" t="s">
        <v>54295</v>
      </c>
      <c r="W6665" t="s">
        <v>44875</v>
      </c>
      <c r="X6665" t="s">
        <v>46574</v>
      </c>
    </row>
    <row r="6666" spans="1:24">
      <c r="A6666">
        <f>HYPERLINK("https://www.philgeps.gov.ph/GEPSNONPILOT/Tender/SplashBidNoticeAbstractUI.aspx?menuIndex=3&amp;refID=7061176&amp;Result=3","7061176")</f>
        <v>0</v>
      </c>
      <c r="B6666" t="s">
        <v>1364</v>
      </c>
      <c r="C6666" t="s">
        <v>9855</v>
      </c>
      <c r="D6666" t="s">
        <v>18840</v>
      </c>
      <c r="E6666" t="s">
        <v>24785</v>
      </c>
      <c r="F6666" t="s">
        <v>32664</v>
      </c>
      <c r="G6666" t="s">
        <v>32672</v>
      </c>
      <c r="H6666" t="s">
        <v>32683</v>
      </c>
      <c r="I6666" t="s">
        <v>10627</v>
      </c>
      <c r="J6666" t="s">
        <v>36963</v>
      </c>
      <c r="K6666" t="s">
        <v>42283</v>
      </c>
      <c r="M6666" t="s">
        <v>44018</v>
      </c>
      <c r="N6666" t="s">
        <v>46569</v>
      </c>
      <c r="O6666" t="s">
        <v>46570</v>
      </c>
      <c r="P6666">
        <v>0</v>
      </c>
      <c r="Q6666">
        <v>1</v>
      </c>
      <c r="R6666" t="s">
        <v>46573</v>
      </c>
      <c r="S6666" t="s">
        <v>46705</v>
      </c>
      <c r="T6666" t="s">
        <v>48305</v>
      </c>
      <c r="U6666" t="s">
        <v>54296</v>
      </c>
      <c r="V6666" t="s">
        <v>62285</v>
      </c>
      <c r="W6666" t="s">
        <v>44018</v>
      </c>
      <c r="X6666" t="s">
        <v>46574</v>
      </c>
    </row>
    <row r="6667" spans="1:24">
      <c r="A6667">
        <f>HYPERLINK("https://www.philgeps.gov.ph/GEPSNONPILOT/Tender/SplashBidNoticeAbstractUI.aspx?menuIndex=3&amp;refID=7061204&amp;Result=3","7061204")</f>
        <v>0</v>
      </c>
      <c r="B6667" t="s">
        <v>1113</v>
      </c>
      <c r="C6667" t="s">
        <v>3916</v>
      </c>
      <c r="D6667" t="s">
        <v>18834</v>
      </c>
      <c r="E6667" t="s">
        <v>19221</v>
      </c>
      <c r="F6667" t="s">
        <v>32664</v>
      </c>
      <c r="G6667" t="s">
        <v>32671</v>
      </c>
      <c r="H6667" t="s">
        <v>12635</v>
      </c>
      <c r="I6667" t="s">
        <v>8797</v>
      </c>
      <c r="J6667" t="s">
        <v>33069</v>
      </c>
      <c r="K6667" t="s">
        <v>42297</v>
      </c>
      <c r="M6667" t="s">
        <v>43741</v>
      </c>
      <c r="N6667" t="s">
        <v>46569</v>
      </c>
      <c r="O6667" t="s">
        <v>46570</v>
      </c>
      <c r="P6667">
        <v>0</v>
      </c>
      <c r="Q6667">
        <v>4</v>
      </c>
      <c r="R6667" t="s">
        <v>46573</v>
      </c>
      <c r="S6667" t="s">
        <v>46705</v>
      </c>
      <c r="T6667" t="s">
        <v>48307</v>
      </c>
      <c r="U6667" t="s">
        <v>54297</v>
      </c>
      <c r="W6667" t="s">
        <v>43741</v>
      </c>
      <c r="X6667" t="s">
        <v>46574</v>
      </c>
    </row>
    <row r="6668" spans="1:24">
      <c r="A6668">
        <f>HYPERLINK("https://www.philgeps.gov.ph/GEPSNONPILOT/Tender/SplashBidNoticeAbstractUI.aspx?menuIndex=3&amp;refID=7061208&amp;Result=3","7061208")</f>
        <v>0</v>
      </c>
      <c r="B6668" t="s">
        <v>1088</v>
      </c>
      <c r="C6668" t="s">
        <v>9856</v>
      </c>
      <c r="D6668" t="s">
        <v>18804</v>
      </c>
      <c r="E6668" t="s">
        <v>24786</v>
      </c>
      <c r="F6668" t="s">
        <v>32664</v>
      </c>
      <c r="G6668" t="s">
        <v>32671</v>
      </c>
      <c r="H6668" t="s">
        <v>12635</v>
      </c>
      <c r="I6668" t="s">
        <v>32704</v>
      </c>
      <c r="J6668" t="s">
        <v>36964</v>
      </c>
      <c r="K6668" t="s">
        <v>42303</v>
      </c>
      <c r="M6668" t="s">
        <v>44593</v>
      </c>
      <c r="N6668" t="s">
        <v>46569</v>
      </c>
      <c r="O6668" t="s">
        <v>46570</v>
      </c>
      <c r="P6668">
        <v>0</v>
      </c>
      <c r="Q6668">
        <v>3</v>
      </c>
      <c r="R6668" t="s">
        <v>46573</v>
      </c>
      <c r="S6668" t="s">
        <v>46705</v>
      </c>
      <c r="T6668" t="s">
        <v>48268</v>
      </c>
      <c r="U6668" t="s">
        <v>54298</v>
      </c>
      <c r="W6668" t="s">
        <v>44593</v>
      </c>
      <c r="X6668" t="s">
        <v>46574</v>
      </c>
    </row>
    <row r="6669" spans="1:24">
      <c r="A6669">
        <f>HYPERLINK("https://www.philgeps.gov.ph/GEPSNONPILOT/Tender/SplashBidNoticeAbstractUI.aspx?menuIndex=3&amp;refID=7061200&amp;Result=3","7061200")</f>
        <v>0</v>
      </c>
      <c r="B6669" t="s">
        <v>2121</v>
      </c>
      <c r="C6669" t="s">
        <v>9857</v>
      </c>
      <c r="D6669" t="s">
        <v>18844</v>
      </c>
      <c r="E6669" t="s">
        <v>24787</v>
      </c>
      <c r="F6669" t="s">
        <v>32664</v>
      </c>
      <c r="G6669" t="s">
        <v>32672</v>
      </c>
      <c r="H6669" t="s">
        <v>12635</v>
      </c>
      <c r="I6669" t="s">
        <v>4205</v>
      </c>
      <c r="J6669" t="s">
        <v>36965</v>
      </c>
      <c r="K6669" t="s">
        <v>42281</v>
      </c>
      <c r="L6669" t="s">
        <v>2121</v>
      </c>
      <c r="M6669" t="s">
        <v>44876</v>
      </c>
      <c r="N6669" t="s">
        <v>46569</v>
      </c>
      <c r="O6669" t="s">
        <v>46570</v>
      </c>
      <c r="P6669">
        <v>0</v>
      </c>
      <c r="Q6669">
        <v>1</v>
      </c>
      <c r="R6669" t="s">
        <v>46573</v>
      </c>
      <c r="S6669" t="s">
        <v>46705</v>
      </c>
      <c r="T6669" t="s">
        <v>48228</v>
      </c>
      <c r="U6669" t="s">
        <v>54299</v>
      </c>
      <c r="W6669" t="s">
        <v>44876</v>
      </c>
      <c r="X6669" t="s">
        <v>46574</v>
      </c>
    </row>
    <row r="6670" spans="1:24">
      <c r="A6670">
        <f>HYPERLINK("https://www.philgeps.gov.ph/GEPSNONPILOT/Tender/SplashBidNoticeAbstractUI.aspx?menuIndex=3&amp;refID=7061203&amp;Result=3","7061203")</f>
        <v>0</v>
      </c>
      <c r="B6670" t="s">
        <v>2122</v>
      </c>
      <c r="C6670" t="s">
        <v>9858</v>
      </c>
      <c r="D6670" t="s">
        <v>18809</v>
      </c>
      <c r="E6670" t="s">
        <v>22014</v>
      </c>
      <c r="F6670" t="s">
        <v>32665</v>
      </c>
      <c r="G6670" t="s">
        <v>32672</v>
      </c>
      <c r="H6670" t="s">
        <v>32682</v>
      </c>
      <c r="I6670" t="s">
        <v>4439</v>
      </c>
      <c r="J6670" t="s">
        <v>32992</v>
      </c>
      <c r="K6670" t="s">
        <v>42281</v>
      </c>
      <c r="M6670" t="s">
        <v>44877</v>
      </c>
      <c r="N6670" t="s">
        <v>46569</v>
      </c>
      <c r="O6670" t="s">
        <v>46570</v>
      </c>
      <c r="P6670">
        <v>0</v>
      </c>
      <c r="Q6670">
        <v>0</v>
      </c>
      <c r="R6670" t="s">
        <v>46573</v>
      </c>
      <c r="S6670" t="s">
        <v>46705</v>
      </c>
      <c r="T6670" t="s">
        <v>48238</v>
      </c>
      <c r="U6670" t="s">
        <v>54300</v>
      </c>
      <c r="W6670" t="s">
        <v>44877</v>
      </c>
      <c r="X6670" t="s">
        <v>46574</v>
      </c>
    </row>
    <row r="6671" spans="1:24">
      <c r="A6671">
        <f>HYPERLINK("https://www.philgeps.gov.ph/GEPSNONPILOT/Tender/SplashBidNoticeAbstractUI.aspx?menuIndex=3&amp;refID=7061198&amp;Result=3","7061198")</f>
        <v>0</v>
      </c>
      <c r="B6671" t="s">
        <v>380</v>
      </c>
      <c r="C6671" t="s">
        <v>9859</v>
      </c>
      <c r="D6671" t="s">
        <v>18809</v>
      </c>
      <c r="E6671" t="s">
        <v>24788</v>
      </c>
      <c r="F6671" t="s">
        <v>32664</v>
      </c>
      <c r="G6671" t="s">
        <v>32671</v>
      </c>
      <c r="H6671" t="s">
        <v>12635</v>
      </c>
      <c r="I6671" t="s">
        <v>32735</v>
      </c>
      <c r="J6671" t="s">
        <v>33069</v>
      </c>
      <c r="K6671" t="s">
        <v>42283</v>
      </c>
      <c r="M6671" t="s">
        <v>42950</v>
      </c>
      <c r="N6671" t="s">
        <v>46569</v>
      </c>
      <c r="O6671" t="s">
        <v>46570</v>
      </c>
      <c r="P6671">
        <v>0</v>
      </c>
      <c r="Q6671">
        <v>0</v>
      </c>
      <c r="R6671" t="s">
        <v>46573</v>
      </c>
      <c r="S6671" t="s">
        <v>46705</v>
      </c>
      <c r="T6671" t="s">
        <v>48573</v>
      </c>
      <c r="U6671" t="s">
        <v>54301</v>
      </c>
      <c r="W6671" t="s">
        <v>42950</v>
      </c>
      <c r="X6671" t="s">
        <v>46574</v>
      </c>
    </row>
    <row r="6672" spans="1:24">
      <c r="A6672">
        <f>HYPERLINK("https://www.philgeps.gov.ph/GEPSNONPILOT/Tender/SplashBidNoticeAbstractUI.aspx?menuIndex=3&amp;refID=7061201&amp;Result=3","7061201")</f>
        <v>0</v>
      </c>
      <c r="B6672" t="s">
        <v>2123</v>
      </c>
      <c r="C6672" t="s">
        <v>9860</v>
      </c>
      <c r="D6672" t="s">
        <v>18842</v>
      </c>
      <c r="E6672" t="s">
        <v>24789</v>
      </c>
      <c r="F6672" t="s">
        <v>32664</v>
      </c>
      <c r="G6672" t="s">
        <v>32672</v>
      </c>
      <c r="H6672" t="s">
        <v>32683</v>
      </c>
      <c r="I6672" t="s">
        <v>32716</v>
      </c>
      <c r="J6672" t="s">
        <v>36966</v>
      </c>
      <c r="K6672" t="s">
        <v>42325</v>
      </c>
      <c r="M6672" t="s">
        <v>44878</v>
      </c>
      <c r="N6672" t="s">
        <v>46569</v>
      </c>
      <c r="O6672" t="s">
        <v>46570</v>
      </c>
      <c r="P6672">
        <v>0</v>
      </c>
      <c r="Q6672">
        <v>0</v>
      </c>
      <c r="R6672" t="s">
        <v>46573</v>
      </c>
      <c r="S6672" t="s">
        <v>46705</v>
      </c>
      <c r="T6672" t="s">
        <v>48216</v>
      </c>
      <c r="U6672" t="s">
        <v>54302</v>
      </c>
      <c r="W6672" t="s">
        <v>44878</v>
      </c>
      <c r="X6672" t="s">
        <v>46574</v>
      </c>
    </row>
    <row r="6673" spans="1:24">
      <c r="A6673">
        <f>HYPERLINK("https://www.philgeps.gov.ph/GEPSNONPILOT/Tender/SplashBidNoticeAbstractUI.aspx?menuIndex=3&amp;refID=7061194&amp;Result=3","7061194")</f>
        <v>0</v>
      </c>
      <c r="B6673" t="s">
        <v>2124</v>
      </c>
      <c r="C6673" t="s">
        <v>9861</v>
      </c>
      <c r="D6673" t="s">
        <v>18792</v>
      </c>
      <c r="E6673" t="s">
        <v>21539</v>
      </c>
      <c r="F6673" t="s">
        <v>32664</v>
      </c>
      <c r="G6673" t="s">
        <v>32671</v>
      </c>
      <c r="H6673" t="s">
        <v>12635</v>
      </c>
      <c r="I6673" t="s">
        <v>6168</v>
      </c>
      <c r="J6673" t="s">
        <v>33578</v>
      </c>
      <c r="K6673" t="s">
        <v>42297</v>
      </c>
      <c r="M6673" t="s">
        <v>44879</v>
      </c>
      <c r="N6673" t="s">
        <v>46569</v>
      </c>
      <c r="O6673" t="s">
        <v>46570</v>
      </c>
      <c r="P6673">
        <v>0</v>
      </c>
      <c r="Q6673">
        <v>3</v>
      </c>
      <c r="R6673" t="s">
        <v>46573</v>
      </c>
      <c r="S6673" t="s">
        <v>46705</v>
      </c>
      <c r="T6673" t="s">
        <v>48283</v>
      </c>
      <c r="U6673" t="s">
        <v>54303</v>
      </c>
      <c r="W6673" t="s">
        <v>44879</v>
      </c>
      <c r="X6673" t="s">
        <v>46574</v>
      </c>
    </row>
    <row r="6674" spans="1:24">
      <c r="A6674">
        <f>HYPERLINK("https://www.philgeps.gov.ph/GEPSNONPILOT/Tender/SplashBidNoticeAbstractUI.aspx?menuIndex=3&amp;refID=7061193&amp;Result=3","7061193")</f>
        <v>0</v>
      </c>
      <c r="B6674" t="s">
        <v>2113</v>
      </c>
      <c r="C6674" t="s">
        <v>9862</v>
      </c>
      <c r="D6674" t="s">
        <v>18781</v>
      </c>
      <c r="E6674" t="s">
        <v>24790</v>
      </c>
      <c r="F6674" t="s">
        <v>32664</v>
      </c>
      <c r="G6674" t="s">
        <v>32672</v>
      </c>
      <c r="H6674" t="s">
        <v>12635</v>
      </c>
      <c r="I6674" t="s">
        <v>5589</v>
      </c>
      <c r="J6674" t="s">
        <v>36967</v>
      </c>
      <c r="K6674" t="s">
        <v>42283</v>
      </c>
      <c r="L6674" t="s">
        <v>2113</v>
      </c>
      <c r="M6674" t="s">
        <v>44868</v>
      </c>
      <c r="N6674" t="s">
        <v>46569</v>
      </c>
      <c r="O6674" t="s">
        <v>46570</v>
      </c>
      <c r="P6674">
        <v>0</v>
      </c>
      <c r="Q6674">
        <v>11</v>
      </c>
      <c r="R6674" t="s">
        <v>46573</v>
      </c>
      <c r="S6674" t="s">
        <v>46705</v>
      </c>
      <c r="T6674" t="s">
        <v>48274</v>
      </c>
      <c r="U6674" t="s">
        <v>54304</v>
      </c>
      <c r="W6674" t="s">
        <v>44868</v>
      </c>
      <c r="X6674" t="s">
        <v>46574</v>
      </c>
    </row>
    <row r="6675" spans="1:24">
      <c r="A6675">
        <f>HYPERLINK("https://www.philgeps.gov.ph/GEPSNONPILOT/Tender/SplashBidNoticeAbstractUI.aspx?menuIndex=3&amp;refID=7061191&amp;Result=3","7061191")</f>
        <v>0</v>
      </c>
      <c r="B6675" t="s">
        <v>1557</v>
      </c>
      <c r="C6675" t="s">
        <v>9863</v>
      </c>
      <c r="D6675" t="s">
        <v>18814</v>
      </c>
      <c r="E6675" t="s">
        <v>24791</v>
      </c>
      <c r="F6675" t="s">
        <v>32664</v>
      </c>
      <c r="G6675" t="s">
        <v>32671</v>
      </c>
      <c r="H6675" t="s">
        <v>12635</v>
      </c>
      <c r="I6675" t="s">
        <v>32699</v>
      </c>
      <c r="J6675" t="s">
        <v>33251</v>
      </c>
      <c r="K6675" t="s">
        <v>42297</v>
      </c>
      <c r="M6675" t="s">
        <v>44226</v>
      </c>
      <c r="N6675" t="s">
        <v>46569</v>
      </c>
      <c r="O6675" t="s">
        <v>46570</v>
      </c>
      <c r="P6675">
        <v>0</v>
      </c>
      <c r="Q6675">
        <v>4</v>
      </c>
      <c r="R6675" t="s">
        <v>46573</v>
      </c>
      <c r="S6675" t="s">
        <v>46705</v>
      </c>
      <c r="T6675" t="s">
        <v>48307</v>
      </c>
      <c r="U6675" t="s">
        <v>54289</v>
      </c>
      <c r="W6675" t="s">
        <v>63521</v>
      </c>
      <c r="X6675" t="s">
        <v>46574</v>
      </c>
    </row>
    <row r="6676" spans="1:24">
      <c r="A6676">
        <f>HYPERLINK("https://www.philgeps.gov.ph/GEPSNONPILOT/Tender/SplashBidNoticeAbstractUI.aspx?menuIndex=3&amp;refID=7061189&amp;Result=3","7061189")</f>
        <v>0</v>
      </c>
      <c r="B6676" t="s">
        <v>798</v>
      </c>
      <c r="C6676" t="s">
        <v>9864</v>
      </c>
      <c r="D6676" t="s">
        <v>18830</v>
      </c>
      <c r="E6676" t="s">
        <v>21734</v>
      </c>
      <c r="F6676" t="s">
        <v>32664</v>
      </c>
      <c r="G6676" t="s">
        <v>32671</v>
      </c>
      <c r="H6676" t="s">
        <v>12635</v>
      </c>
      <c r="I6676" t="s">
        <v>6628</v>
      </c>
      <c r="J6676" t="s">
        <v>33089</v>
      </c>
      <c r="K6676" t="s">
        <v>42297</v>
      </c>
      <c r="M6676" t="s">
        <v>43390</v>
      </c>
      <c r="N6676" t="s">
        <v>46569</v>
      </c>
      <c r="O6676" t="s">
        <v>46570</v>
      </c>
      <c r="P6676">
        <v>0</v>
      </c>
      <c r="Q6676">
        <v>6</v>
      </c>
      <c r="R6676" t="s">
        <v>46573</v>
      </c>
      <c r="S6676" t="s">
        <v>46705</v>
      </c>
      <c r="T6676" t="s">
        <v>48307</v>
      </c>
      <c r="U6676" t="s">
        <v>54129</v>
      </c>
      <c r="W6676" t="s">
        <v>43390</v>
      </c>
      <c r="X6676" t="s">
        <v>46574</v>
      </c>
    </row>
    <row r="6677" spans="1:24">
      <c r="A6677">
        <f>HYPERLINK("https://www.philgeps.gov.ph/GEPSNONPILOT/Tender/SplashBidNoticeAbstractUI.aspx?menuIndex=3&amp;refID=7061187&amp;Result=3","7061187")</f>
        <v>0</v>
      </c>
      <c r="B6677" t="s">
        <v>1704</v>
      </c>
      <c r="C6677" t="s">
        <v>9865</v>
      </c>
      <c r="E6677" t="s">
        <v>24792</v>
      </c>
      <c r="F6677" t="s">
        <v>32664</v>
      </c>
      <c r="G6677" t="s">
        <v>32671</v>
      </c>
      <c r="H6677" t="s">
        <v>12635</v>
      </c>
      <c r="I6677" t="s">
        <v>10627</v>
      </c>
      <c r="J6677" t="s">
        <v>36968</v>
      </c>
      <c r="K6677" t="s">
        <v>42283</v>
      </c>
      <c r="M6677" t="s">
        <v>44398</v>
      </c>
      <c r="N6677" t="s">
        <v>46569</v>
      </c>
      <c r="O6677" t="s">
        <v>46570</v>
      </c>
      <c r="P6677">
        <v>0</v>
      </c>
      <c r="Q6677">
        <v>1</v>
      </c>
      <c r="R6677" t="s">
        <v>46573</v>
      </c>
      <c r="S6677" t="s">
        <v>46705</v>
      </c>
      <c r="T6677" t="s">
        <v>48307</v>
      </c>
      <c r="U6677" t="s">
        <v>52864</v>
      </c>
      <c r="W6677" t="s">
        <v>44398</v>
      </c>
      <c r="X6677" t="s">
        <v>46574</v>
      </c>
    </row>
    <row r="6678" spans="1:24">
      <c r="A6678">
        <f>HYPERLINK("https://www.philgeps.gov.ph/GEPSNONPILOT/Tender/SplashBidNoticeAbstractUI.aspx?menuIndex=3&amp;refID=7061171&amp;Result=3","7061171")</f>
        <v>0</v>
      </c>
      <c r="B6678" t="s">
        <v>822</v>
      </c>
      <c r="C6678" t="s">
        <v>9866</v>
      </c>
      <c r="E6678" t="s">
        <v>24793</v>
      </c>
      <c r="F6678" t="s">
        <v>32664</v>
      </c>
      <c r="G6678" t="s">
        <v>32672</v>
      </c>
      <c r="H6678" t="s">
        <v>12635</v>
      </c>
      <c r="I6678" t="s">
        <v>5589</v>
      </c>
      <c r="J6678" t="s">
        <v>36969</v>
      </c>
      <c r="K6678" t="s">
        <v>42283</v>
      </c>
      <c r="M6678" t="s">
        <v>43695</v>
      </c>
      <c r="N6678" t="s">
        <v>46569</v>
      </c>
      <c r="O6678" t="s">
        <v>46570</v>
      </c>
      <c r="P6678">
        <v>0</v>
      </c>
      <c r="Q6678">
        <v>4</v>
      </c>
      <c r="R6678" t="s">
        <v>46573</v>
      </c>
      <c r="S6678" t="s">
        <v>46705</v>
      </c>
      <c r="T6678" t="s">
        <v>48467</v>
      </c>
      <c r="U6678" t="s">
        <v>52888</v>
      </c>
      <c r="W6678" t="s">
        <v>43695</v>
      </c>
      <c r="X6678" t="s">
        <v>46574</v>
      </c>
    </row>
    <row r="6679" spans="1:24">
      <c r="A6679">
        <f>HYPERLINK("https://www.philgeps.gov.ph/GEPSNONPILOT/Tender/SplashBidNoticeAbstractUI.aspx?menuIndex=3&amp;refID=7061195&amp;Result=3","7061195")</f>
        <v>0</v>
      </c>
      <c r="B6679" t="s">
        <v>2125</v>
      </c>
      <c r="C6679" t="s">
        <v>7606</v>
      </c>
      <c r="E6679" t="s">
        <v>18926</v>
      </c>
      <c r="F6679" t="s">
        <v>32664</v>
      </c>
      <c r="G6679" t="s">
        <v>32672</v>
      </c>
      <c r="H6679" t="s">
        <v>32683</v>
      </c>
      <c r="I6679" t="s">
        <v>10627</v>
      </c>
      <c r="J6679" t="s">
        <v>33051</v>
      </c>
      <c r="K6679" t="s">
        <v>42283</v>
      </c>
      <c r="M6679" t="s">
        <v>44880</v>
      </c>
      <c r="N6679" t="s">
        <v>46569</v>
      </c>
      <c r="O6679" t="s">
        <v>46570</v>
      </c>
      <c r="P6679">
        <v>0</v>
      </c>
      <c r="Q6679">
        <v>0</v>
      </c>
      <c r="R6679" t="s">
        <v>46573</v>
      </c>
      <c r="S6679" t="s">
        <v>46705</v>
      </c>
      <c r="T6679" t="s">
        <v>48467</v>
      </c>
      <c r="U6679" t="s">
        <v>54305</v>
      </c>
      <c r="W6679" t="s">
        <v>44880</v>
      </c>
      <c r="X6679" t="s">
        <v>46574</v>
      </c>
    </row>
    <row r="6680" spans="1:24">
      <c r="A6680">
        <f>HYPERLINK("https://www.philgeps.gov.ph/GEPSNONPILOT/Tender/SplashBidNoticeAbstractUI.aspx?menuIndex=3&amp;refID=7061024&amp;Result=3","7061024")</f>
        <v>0</v>
      </c>
      <c r="B6680" t="s">
        <v>1998</v>
      </c>
      <c r="C6680" t="s">
        <v>9867</v>
      </c>
      <c r="D6680" t="s">
        <v>18817</v>
      </c>
      <c r="E6680" t="s">
        <v>24794</v>
      </c>
      <c r="F6680" t="s">
        <v>32664</v>
      </c>
      <c r="G6680" t="s">
        <v>32671</v>
      </c>
      <c r="H6680" t="s">
        <v>12635</v>
      </c>
      <c r="I6680" t="s">
        <v>10590</v>
      </c>
      <c r="J6680" t="s">
        <v>32917</v>
      </c>
      <c r="K6680" t="s">
        <v>42306</v>
      </c>
      <c r="M6680" t="s">
        <v>44735</v>
      </c>
      <c r="N6680" t="s">
        <v>46569</v>
      </c>
      <c r="O6680" t="s">
        <v>46570</v>
      </c>
      <c r="P6680">
        <v>0</v>
      </c>
      <c r="Q6680">
        <v>0</v>
      </c>
      <c r="R6680" t="s">
        <v>46573</v>
      </c>
      <c r="S6680" t="s">
        <v>46705</v>
      </c>
      <c r="T6680" t="s">
        <v>48450</v>
      </c>
      <c r="U6680" t="s">
        <v>54306</v>
      </c>
      <c r="W6680" t="s">
        <v>44735</v>
      </c>
      <c r="X6680" t="s">
        <v>46574</v>
      </c>
    </row>
    <row r="6681" spans="1:24">
      <c r="A6681">
        <f>HYPERLINK("https://www.philgeps.gov.ph/GEPSNONPILOT/Tender/SplashBidNoticeAbstractUI.aspx?menuIndex=3&amp;refID=7061185&amp;Result=3","7061185")</f>
        <v>0</v>
      </c>
      <c r="B6681" t="s">
        <v>2108</v>
      </c>
      <c r="C6681" t="s">
        <v>9868</v>
      </c>
      <c r="D6681" t="s">
        <v>18806</v>
      </c>
      <c r="E6681" t="s">
        <v>24795</v>
      </c>
      <c r="F6681" t="s">
        <v>32664</v>
      </c>
      <c r="G6681" t="s">
        <v>32671</v>
      </c>
      <c r="H6681" t="s">
        <v>12635</v>
      </c>
      <c r="I6681" t="s">
        <v>8797</v>
      </c>
      <c r="J6681" t="s">
        <v>36970</v>
      </c>
      <c r="K6681" t="s">
        <v>42297</v>
      </c>
      <c r="M6681" t="s">
        <v>44863</v>
      </c>
      <c r="N6681" t="s">
        <v>46569</v>
      </c>
      <c r="O6681" t="s">
        <v>46570</v>
      </c>
      <c r="P6681">
        <v>0</v>
      </c>
      <c r="Q6681">
        <v>1</v>
      </c>
      <c r="R6681" t="s">
        <v>46573</v>
      </c>
      <c r="S6681" t="s">
        <v>46705</v>
      </c>
      <c r="T6681" t="s">
        <v>48256</v>
      </c>
      <c r="U6681" t="s">
        <v>54307</v>
      </c>
      <c r="W6681" t="s">
        <v>63550</v>
      </c>
      <c r="X6681" t="s">
        <v>46574</v>
      </c>
    </row>
    <row r="6682" spans="1:24">
      <c r="A6682">
        <f>HYPERLINK("https://www.philgeps.gov.ph/GEPSNONPILOT/Tender/SplashBidNoticeAbstractUI.aspx?menuIndex=3&amp;refID=7061242&amp;Result=3","7061242")</f>
        <v>0</v>
      </c>
      <c r="B6682" t="s">
        <v>380</v>
      </c>
      <c r="C6682" t="s">
        <v>9869</v>
      </c>
      <c r="D6682" t="s">
        <v>18809</v>
      </c>
      <c r="E6682" t="s">
        <v>24796</v>
      </c>
      <c r="F6682" t="s">
        <v>32664</v>
      </c>
      <c r="G6682" t="s">
        <v>32671</v>
      </c>
      <c r="H6682" t="s">
        <v>12635</v>
      </c>
      <c r="I6682" t="s">
        <v>32764</v>
      </c>
      <c r="J6682" t="s">
        <v>33387</v>
      </c>
      <c r="K6682" t="s">
        <v>42283</v>
      </c>
      <c r="M6682" t="s">
        <v>42950</v>
      </c>
      <c r="N6682" t="s">
        <v>46569</v>
      </c>
      <c r="O6682" t="s">
        <v>46570</v>
      </c>
      <c r="P6682">
        <v>0</v>
      </c>
      <c r="Q6682">
        <v>5</v>
      </c>
      <c r="R6682" t="s">
        <v>46573</v>
      </c>
      <c r="S6682" t="s">
        <v>46705</v>
      </c>
      <c r="T6682" t="s">
        <v>48573</v>
      </c>
      <c r="U6682" t="s">
        <v>54308</v>
      </c>
      <c r="W6682" t="s">
        <v>42950</v>
      </c>
      <c r="X6682" t="s">
        <v>46574</v>
      </c>
    </row>
    <row r="6683" spans="1:24">
      <c r="A6683">
        <f>HYPERLINK("https://www.philgeps.gov.ph/GEPSNONPILOT/Tender/SplashBidNoticeAbstractUI.aspx?menuIndex=3&amp;refID=7061209&amp;Result=3","7061209")</f>
        <v>0</v>
      </c>
      <c r="B6683" t="s">
        <v>2117</v>
      </c>
      <c r="C6683" t="s">
        <v>9870</v>
      </c>
      <c r="D6683" t="s">
        <v>18783</v>
      </c>
      <c r="E6683" t="s">
        <v>24797</v>
      </c>
      <c r="F6683" t="s">
        <v>32664</v>
      </c>
      <c r="G6683" t="s">
        <v>32675</v>
      </c>
      <c r="H6683" t="s">
        <v>12635</v>
      </c>
      <c r="I6683" t="s">
        <v>6223</v>
      </c>
      <c r="J6683" t="s">
        <v>36971</v>
      </c>
      <c r="K6683" t="s">
        <v>42283</v>
      </c>
      <c r="M6683" t="s">
        <v>44872</v>
      </c>
      <c r="N6683" t="s">
        <v>46569</v>
      </c>
      <c r="O6683" t="s">
        <v>46570</v>
      </c>
      <c r="P6683">
        <v>0</v>
      </c>
      <c r="Q6683">
        <v>0</v>
      </c>
      <c r="R6683" t="s">
        <v>46573</v>
      </c>
      <c r="S6683" t="s">
        <v>46705</v>
      </c>
      <c r="T6683" t="s">
        <v>48287</v>
      </c>
      <c r="U6683" t="s">
        <v>54309</v>
      </c>
      <c r="V6683" t="s">
        <v>62284</v>
      </c>
      <c r="W6683" t="s">
        <v>44872</v>
      </c>
      <c r="X6683" t="s">
        <v>46574</v>
      </c>
    </row>
    <row r="6684" spans="1:24">
      <c r="A6684">
        <f>HYPERLINK("https://www.philgeps.gov.ph/GEPSNONPILOT/Tender/SplashBidNoticeAbstractUI.aspx?menuIndex=3&amp;refID=7061239&amp;Result=3","7061239")</f>
        <v>0</v>
      </c>
      <c r="B6684" t="s">
        <v>70</v>
      </c>
      <c r="C6684" t="s">
        <v>9871</v>
      </c>
      <c r="D6684" t="s">
        <v>18782</v>
      </c>
      <c r="E6684" t="s">
        <v>24798</v>
      </c>
      <c r="F6684" t="s">
        <v>32664</v>
      </c>
      <c r="G6684" t="s">
        <v>32672</v>
      </c>
      <c r="H6684" t="s">
        <v>32683</v>
      </c>
      <c r="I6684" t="s">
        <v>10627</v>
      </c>
      <c r="J6684" t="s">
        <v>36972</v>
      </c>
      <c r="K6684" t="s">
        <v>42416</v>
      </c>
      <c r="M6684" t="s">
        <v>42633</v>
      </c>
      <c r="N6684" t="s">
        <v>46569</v>
      </c>
      <c r="O6684" t="s">
        <v>46570</v>
      </c>
      <c r="P6684">
        <v>0</v>
      </c>
      <c r="Q6684">
        <v>0</v>
      </c>
      <c r="R6684" t="s">
        <v>46573</v>
      </c>
      <c r="S6684" t="s">
        <v>46705</v>
      </c>
      <c r="T6684" t="s">
        <v>48305</v>
      </c>
      <c r="U6684" t="s">
        <v>54310</v>
      </c>
      <c r="W6684" t="s">
        <v>42633</v>
      </c>
      <c r="X6684" t="s">
        <v>46574</v>
      </c>
    </row>
    <row r="6685" spans="1:24">
      <c r="A6685">
        <f>HYPERLINK("https://www.philgeps.gov.ph/GEPSNONPILOT/Tender/SplashBidNoticeAbstractUI.aspx?menuIndex=3&amp;refID=7061186&amp;Result=3","7061186")</f>
        <v>0</v>
      </c>
      <c r="B6685" t="s">
        <v>1288</v>
      </c>
      <c r="C6685" t="s">
        <v>9872</v>
      </c>
      <c r="D6685" t="s">
        <v>18824</v>
      </c>
      <c r="E6685" t="s">
        <v>24799</v>
      </c>
      <c r="F6685" t="s">
        <v>32664</v>
      </c>
      <c r="G6685" t="s">
        <v>32677</v>
      </c>
      <c r="H6685" t="s">
        <v>12635</v>
      </c>
      <c r="I6685" t="s">
        <v>10627</v>
      </c>
      <c r="J6685" t="s">
        <v>36973</v>
      </c>
      <c r="K6685" t="s">
        <v>42295</v>
      </c>
      <c r="M6685" t="s">
        <v>43931</v>
      </c>
      <c r="N6685" t="s">
        <v>46569</v>
      </c>
      <c r="O6685" t="s">
        <v>46570</v>
      </c>
      <c r="P6685">
        <v>0</v>
      </c>
      <c r="Q6685">
        <v>0</v>
      </c>
      <c r="R6685" t="s">
        <v>46573</v>
      </c>
      <c r="S6685" t="s">
        <v>46705</v>
      </c>
      <c r="T6685" t="s">
        <v>48290</v>
      </c>
      <c r="U6685" t="s">
        <v>54311</v>
      </c>
      <c r="V6685" t="s">
        <v>62275</v>
      </c>
      <c r="W6685" t="s">
        <v>43931</v>
      </c>
      <c r="X6685" t="s">
        <v>46574</v>
      </c>
    </row>
    <row r="6686" spans="1:24">
      <c r="A6686">
        <f>HYPERLINK("https://www.philgeps.gov.ph/GEPSNONPILOT/Tender/SplashBidNoticeAbstractUI.aspx?menuIndex=3&amp;refID=7061192&amp;Result=3","7061192")</f>
        <v>0</v>
      </c>
      <c r="B6686" t="s">
        <v>947</v>
      </c>
      <c r="C6686" t="s">
        <v>9873</v>
      </c>
      <c r="D6686" t="s">
        <v>18787</v>
      </c>
      <c r="E6686" t="s">
        <v>24631</v>
      </c>
      <c r="F6686" t="s">
        <v>32664</v>
      </c>
      <c r="G6686" t="s">
        <v>32672</v>
      </c>
      <c r="H6686" t="s">
        <v>12635</v>
      </c>
      <c r="I6686" t="s">
        <v>9597</v>
      </c>
      <c r="J6686" t="s">
        <v>36974</v>
      </c>
      <c r="K6686" t="s">
        <v>42298</v>
      </c>
      <c r="M6686" t="s">
        <v>43553</v>
      </c>
      <c r="N6686" t="s">
        <v>46569</v>
      </c>
      <c r="O6686" t="s">
        <v>46570</v>
      </c>
      <c r="P6686">
        <v>0</v>
      </c>
      <c r="Q6686">
        <v>2</v>
      </c>
      <c r="R6686" t="s">
        <v>46573</v>
      </c>
      <c r="S6686" t="s">
        <v>46705</v>
      </c>
      <c r="T6686" t="s">
        <v>48273</v>
      </c>
      <c r="U6686" t="s">
        <v>54312</v>
      </c>
      <c r="W6686" t="s">
        <v>63497</v>
      </c>
      <c r="X6686" t="s">
        <v>46574</v>
      </c>
    </row>
    <row r="6687" spans="1:24">
      <c r="A6687">
        <f>HYPERLINK("https://www.philgeps.gov.ph/GEPSNONPILOT/Tender/SplashBidNoticeAbstractUI.aspx?menuIndex=3&amp;refID=7061231&amp;Result=3","7061231")</f>
        <v>0</v>
      </c>
      <c r="B6687" t="s">
        <v>461</v>
      </c>
      <c r="C6687" t="s">
        <v>9874</v>
      </c>
      <c r="D6687" t="s">
        <v>18846</v>
      </c>
      <c r="E6687" t="s">
        <v>24800</v>
      </c>
      <c r="F6687" t="s">
        <v>32664</v>
      </c>
      <c r="G6687" t="s">
        <v>32671</v>
      </c>
      <c r="H6687" t="s">
        <v>12635</v>
      </c>
      <c r="I6687" t="s">
        <v>6628</v>
      </c>
      <c r="J6687" t="s">
        <v>32853</v>
      </c>
      <c r="K6687" t="s">
        <v>42297</v>
      </c>
      <c r="M6687" t="s">
        <v>43034</v>
      </c>
      <c r="N6687" t="s">
        <v>46569</v>
      </c>
      <c r="O6687" t="s">
        <v>46570</v>
      </c>
      <c r="P6687">
        <v>0</v>
      </c>
      <c r="Q6687">
        <v>0</v>
      </c>
      <c r="R6687" t="s">
        <v>46573</v>
      </c>
      <c r="S6687" t="s">
        <v>46705</v>
      </c>
      <c r="T6687" t="s">
        <v>48532</v>
      </c>
      <c r="U6687" t="s">
        <v>49602</v>
      </c>
      <c r="W6687" t="s">
        <v>43034</v>
      </c>
      <c r="X6687" t="s">
        <v>46574</v>
      </c>
    </row>
    <row r="6688" spans="1:24">
      <c r="A6688">
        <f>HYPERLINK("https://www.philgeps.gov.ph/GEPSNONPILOT/Tender/SplashBidNoticeAbstractUI.aspx?menuIndex=3&amp;refID=7061236&amp;Result=3","7061236")</f>
        <v>0</v>
      </c>
      <c r="B6688" t="s">
        <v>2126</v>
      </c>
      <c r="C6688" t="s">
        <v>9875</v>
      </c>
      <c r="D6688" t="s">
        <v>18792</v>
      </c>
      <c r="E6688" t="s">
        <v>24801</v>
      </c>
      <c r="F6688" t="s">
        <v>32664</v>
      </c>
      <c r="G6688" t="s">
        <v>32672</v>
      </c>
      <c r="H6688" t="s">
        <v>12635</v>
      </c>
      <c r="I6688" t="s">
        <v>4439</v>
      </c>
      <c r="J6688" t="s">
        <v>36975</v>
      </c>
      <c r="K6688" t="s">
        <v>42284</v>
      </c>
      <c r="M6688" t="s">
        <v>44881</v>
      </c>
      <c r="N6688" t="s">
        <v>46569</v>
      </c>
      <c r="O6688" t="s">
        <v>46570</v>
      </c>
      <c r="P6688">
        <v>0</v>
      </c>
      <c r="Q6688">
        <v>0</v>
      </c>
      <c r="R6688" t="s">
        <v>46573</v>
      </c>
      <c r="S6688" t="s">
        <v>46705</v>
      </c>
      <c r="T6688" t="s">
        <v>48282</v>
      </c>
      <c r="U6688" t="s">
        <v>52043</v>
      </c>
      <c r="W6688" t="s">
        <v>44881</v>
      </c>
      <c r="X6688" t="s">
        <v>46574</v>
      </c>
    </row>
    <row r="6689" spans="1:24">
      <c r="A6689">
        <f>HYPERLINK("https://www.philgeps.gov.ph/GEPSNONPILOT/Tender/SplashBidNoticeAbstractUI.aspx?menuIndex=3&amp;refID=7061211&amp;Result=3","7061211")</f>
        <v>0</v>
      </c>
      <c r="B6689" t="s">
        <v>1506</v>
      </c>
      <c r="C6689" t="s">
        <v>9876</v>
      </c>
      <c r="D6689" t="s">
        <v>18790</v>
      </c>
      <c r="E6689" t="s">
        <v>24802</v>
      </c>
      <c r="F6689" t="s">
        <v>32664</v>
      </c>
      <c r="G6689" t="s">
        <v>32674</v>
      </c>
      <c r="H6689" t="s">
        <v>12635</v>
      </c>
      <c r="I6689" t="s">
        <v>13883</v>
      </c>
      <c r="J6689" t="s">
        <v>33269</v>
      </c>
      <c r="K6689" t="s">
        <v>42281</v>
      </c>
      <c r="M6689" t="s">
        <v>44170</v>
      </c>
      <c r="N6689" t="s">
        <v>46569</v>
      </c>
      <c r="O6689" t="s">
        <v>46570</v>
      </c>
      <c r="P6689">
        <v>0</v>
      </c>
      <c r="Q6689">
        <v>2</v>
      </c>
      <c r="R6689" t="s">
        <v>46573</v>
      </c>
      <c r="S6689" t="s">
        <v>46705</v>
      </c>
      <c r="T6689" t="s">
        <v>48502</v>
      </c>
      <c r="U6689" t="s">
        <v>54313</v>
      </c>
      <c r="W6689" t="s">
        <v>44170</v>
      </c>
      <c r="X6689" t="s">
        <v>46574</v>
      </c>
    </row>
    <row r="6690" spans="1:24">
      <c r="A6690">
        <f>HYPERLINK("https://www.philgeps.gov.ph/GEPSNONPILOT/Tender/SplashBidNoticeAbstractUI.aspx?menuIndex=3&amp;refID=7061224&amp;Result=3","7061224")</f>
        <v>0</v>
      </c>
      <c r="B6690" t="s">
        <v>1288</v>
      </c>
      <c r="C6690" t="s">
        <v>9877</v>
      </c>
      <c r="D6690" t="s">
        <v>18824</v>
      </c>
      <c r="E6690" t="s">
        <v>24803</v>
      </c>
      <c r="F6690" t="s">
        <v>32664</v>
      </c>
      <c r="G6690" t="s">
        <v>32677</v>
      </c>
      <c r="H6690" t="s">
        <v>12635</v>
      </c>
      <c r="I6690" t="s">
        <v>32706</v>
      </c>
      <c r="J6690" t="s">
        <v>33051</v>
      </c>
      <c r="K6690" t="s">
        <v>42295</v>
      </c>
      <c r="M6690" t="s">
        <v>43931</v>
      </c>
      <c r="N6690" t="s">
        <v>46569</v>
      </c>
      <c r="O6690" t="s">
        <v>46570</v>
      </c>
      <c r="P6690">
        <v>0</v>
      </c>
      <c r="Q6690">
        <v>0</v>
      </c>
      <c r="R6690" t="s">
        <v>46573</v>
      </c>
      <c r="S6690" t="s">
        <v>46705</v>
      </c>
      <c r="T6690" t="s">
        <v>48290</v>
      </c>
      <c r="U6690" t="s">
        <v>54314</v>
      </c>
      <c r="V6690" t="s">
        <v>62275</v>
      </c>
      <c r="W6690" t="s">
        <v>43931</v>
      </c>
      <c r="X6690" t="s">
        <v>46574</v>
      </c>
    </row>
    <row r="6691" spans="1:24">
      <c r="A6691">
        <f>HYPERLINK("https://www.philgeps.gov.ph/GEPSNONPILOT/Tender/SplashBidNoticeAbstractUI.aspx?menuIndex=3&amp;refID=7061223&amp;Result=3","7061223")</f>
        <v>0</v>
      </c>
      <c r="B6691" t="s">
        <v>1939</v>
      </c>
      <c r="C6691" t="s">
        <v>9878</v>
      </c>
      <c r="D6691" t="s">
        <v>18782</v>
      </c>
      <c r="E6691" t="s">
        <v>24804</v>
      </c>
      <c r="F6691" t="s">
        <v>32664</v>
      </c>
      <c r="G6691" t="s">
        <v>32671</v>
      </c>
      <c r="H6691" t="s">
        <v>12635</v>
      </c>
      <c r="I6691" t="s">
        <v>6118</v>
      </c>
      <c r="J6691" t="s">
        <v>36976</v>
      </c>
      <c r="K6691" t="s">
        <v>42306</v>
      </c>
      <c r="L6691" t="s">
        <v>1939</v>
      </c>
      <c r="M6691" t="s">
        <v>44664</v>
      </c>
      <c r="N6691" t="s">
        <v>46569</v>
      </c>
      <c r="O6691" t="s">
        <v>46570</v>
      </c>
      <c r="P6691">
        <v>0</v>
      </c>
      <c r="Q6691">
        <v>0</v>
      </c>
      <c r="R6691" t="s">
        <v>46573</v>
      </c>
      <c r="S6691" t="s">
        <v>46705</v>
      </c>
      <c r="T6691" t="s">
        <v>48321</v>
      </c>
      <c r="U6691" t="s">
        <v>54315</v>
      </c>
      <c r="W6691" t="s">
        <v>44664</v>
      </c>
      <c r="X6691" t="s">
        <v>46574</v>
      </c>
    </row>
    <row r="6692" spans="1:24">
      <c r="A6692">
        <f>HYPERLINK("https://www.philgeps.gov.ph/GEPSNONPILOT/Tender/SplashBidNoticeAbstractUI.aspx?menuIndex=3&amp;refID=7061229&amp;Result=3","7061229")</f>
        <v>0</v>
      </c>
      <c r="B6692" t="s">
        <v>758</v>
      </c>
      <c r="C6692" t="s">
        <v>9879</v>
      </c>
      <c r="D6692" t="s">
        <v>18838</v>
      </c>
      <c r="E6692" t="s">
        <v>24805</v>
      </c>
      <c r="F6692" t="s">
        <v>32664</v>
      </c>
      <c r="G6692" t="s">
        <v>32672</v>
      </c>
      <c r="H6692" t="s">
        <v>12635</v>
      </c>
      <c r="I6692" t="s">
        <v>32706</v>
      </c>
      <c r="J6692" t="s">
        <v>36977</v>
      </c>
      <c r="K6692" t="s">
        <v>42281</v>
      </c>
      <c r="M6692" t="s">
        <v>43348</v>
      </c>
      <c r="N6692" t="s">
        <v>46569</v>
      </c>
      <c r="O6692" t="s">
        <v>46570</v>
      </c>
      <c r="P6692">
        <v>0</v>
      </c>
      <c r="Q6692">
        <v>0</v>
      </c>
      <c r="R6692" t="s">
        <v>46573</v>
      </c>
      <c r="S6692" t="s">
        <v>46705</v>
      </c>
      <c r="T6692" t="s">
        <v>48308</v>
      </c>
      <c r="U6692" t="s">
        <v>54240</v>
      </c>
      <c r="V6692" t="s">
        <v>61806</v>
      </c>
      <c r="W6692" t="s">
        <v>43348</v>
      </c>
      <c r="X6692" t="s">
        <v>46574</v>
      </c>
    </row>
    <row r="6693" spans="1:24">
      <c r="A6693">
        <f>HYPERLINK("https://www.philgeps.gov.ph/GEPSNONPILOT/Tender/SplashBidNoticeAbstractUI.aspx?menuIndex=3&amp;refID=7061222&amp;Result=3","7061222")</f>
        <v>0</v>
      </c>
      <c r="B6693" t="s">
        <v>2127</v>
      </c>
      <c r="C6693" t="s">
        <v>9880</v>
      </c>
      <c r="D6693" t="s">
        <v>18802</v>
      </c>
      <c r="E6693" t="s">
        <v>19790</v>
      </c>
      <c r="F6693" t="s">
        <v>32664</v>
      </c>
      <c r="G6693" t="s">
        <v>32671</v>
      </c>
      <c r="H6693" t="s">
        <v>12635</v>
      </c>
      <c r="I6693" t="s">
        <v>6628</v>
      </c>
      <c r="J6693" t="s">
        <v>36978</v>
      </c>
      <c r="K6693" t="s">
        <v>42297</v>
      </c>
      <c r="M6693" t="s">
        <v>44882</v>
      </c>
      <c r="N6693" t="s">
        <v>46569</v>
      </c>
      <c r="O6693" t="s">
        <v>46570</v>
      </c>
      <c r="P6693">
        <v>0</v>
      </c>
      <c r="Q6693">
        <v>0</v>
      </c>
      <c r="R6693" t="s">
        <v>46573</v>
      </c>
      <c r="S6693" t="s">
        <v>46705</v>
      </c>
      <c r="T6693" t="s">
        <v>48316</v>
      </c>
      <c r="U6693" t="s">
        <v>54316</v>
      </c>
      <c r="W6693" t="s">
        <v>44882</v>
      </c>
      <c r="X6693" t="s">
        <v>46574</v>
      </c>
    </row>
    <row r="6694" spans="1:24">
      <c r="A6694">
        <f>HYPERLINK("https://www.philgeps.gov.ph/GEPSNONPILOT/Tender/SplashBidNoticeAbstractUI.aspx?menuIndex=3&amp;refID=7061221&amp;Result=3","7061221")</f>
        <v>0</v>
      </c>
      <c r="B6694" t="s">
        <v>900</v>
      </c>
      <c r="C6694" t="s">
        <v>9881</v>
      </c>
      <c r="E6694" t="s">
        <v>24806</v>
      </c>
      <c r="F6694" t="s">
        <v>32664</v>
      </c>
      <c r="G6694" t="s">
        <v>32677</v>
      </c>
      <c r="H6694" t="s">
        <v>32683</v>
      </c>
      <c r="I6694" t="s">
        <v>10627</v>
      </c>
      <c r="J6694" t="s">
        <v>36979</v>
      </c>
      <c r="K6694" t="s">
        <v>42283</v>
      </c>
      <c r="M6694" t="s">
        <v>43504</v>
      </c>
      <c r="N6694" t="s">
        <v>46569</v>
      </c>
      <c r="O6694" t="s">
        <v>46570</v>
      </c>
      <c r="Q6694">
        <v>0</v>
      </c>
      <c r="R6694" t="s">
        <v>46573</v>
      </c>
      <c r="S6694" t="s">
        <v>46718</v>
      </c>
      <c r="T6694" t="s">
        <v>48216</v>
      </c>
      <c r="U6694" t="s">
        <v>54317</v>
      </c>
      <c r="V6694" t="s">
        <v>62286</v>
      </c>
      <c r="W6694" t="s">
        <v>43504</v>
      </c>
      <c r="X6694" t="s">
        <v>46574</v>
      </c>
    </row>
    <row r="6695" spans="1:24">
      <c r="A6695">
        <f>HYPERLINK("https://www.philgeps.gov.ph/GEPSNONPILOT/Tender/SplashBidNoticeAbstractUI.aspx?menuIndex=3&amp;refID=7061220&amp;Result=3","7061220")</f>
        <v>0</v>
      </c>
      <c r="B6695" t="s">
        <v>134</v>
      </c>
      <c r="C6695" t="s">
        <v>9882</v>
      </c>
      <c r="D6695" t="s">
        <v>18784</v>
      </c>
      <c r="E6695" t="s">
        <v>24807</v>
      </c>
      <c r="F6695" t="s">
        <v>32664</v>
      </c>
      <c r="G6695" t="s">
        <v>32674</v>
      </c>
      <c r="H6695" t="s">
        <v>12635</v>
      </c>
      <c r="I6695" t="s">
        <v>10370</v>
      </c>
      <c r="J6695" t="s">
        <v>36980</v>
      </c>
      <c r="K6695" t="s">
        <v>42284</v>
      </c>
      <c r="M6695" t="s">
        <v>44256</v>
      </c>
      <c r="N6695" t="s">
        <v>46569</v>
      </c>
      <c r="O6695" t="s">
        <v>46570</v>
      </c>
      <c r="P6695">
        <v>0</v>
      </c>
      <c r="Q6695">
        <v>7</v>
      </c>
      <c r="R6695" t="s">
        <v>46573</v>
      </c>
      <c r="S6695" t="s">
        <v>46705</v>
      </c>
      <c r="T6695" t="s">
        <v>48316</v>
      </c>
      <c r="U6695" t="s">
        <v>54318</v>
      </c>
      <c r="W6695" t="s">
        <v>44256</v>
      </c>
      <c r="X6695" t="s">
        <v>46574</v>
      </c>
    </row>
    <row r="6696" spans="1:24">
      <c r="A6696">
        <f>HYPERLINK("https://www.philgeps.gov.ph/GEPSNONPILOT/Tender/SplashBidNoticeAbstractUI.aspx?menuIndex=3&amp;refID=7061218&amp;Result=3","7061218")</f>
        <v>0</v>
      </c>
      <c r="B6696" t="s">
        <v>380</v>
      </c>
      <c r="C6696" t="s">
        <v>9883</v>
      </c>
      <c r="D6696" t="s">
        <v>18809</v>
      </c>
      <c r="E6696" t="s">
        <v>24808</v>
      </c>
      <c r="F6696" t="s">
        <v>32664</v>
      </c>
      <c r="G6696" t="s">
        <v>32671</v>
      </c>
      <c r="H6696" t="s">
        <v>12635</v>
      </c>
      <c r="I6696" t="s">
        <v>32736</v>
      </c>
      <c r="J6696" t="s">
        <v>32830</v>
      </c>
      <c r="K6696" t="s">
        <v>42283</v>
      </c>
      <c r="M6696" t="s">
        <v>42950</v>
      </c>
      <c r="N6696" t="s">
        <v>46569</v>
      </c>
      <c r="O6696" t="s">
        <v>46570</v>
      </c>
      <c r="P6696">
        <v>0</v>
      </c>
      <c r="Q6696">
        <v>1</v>
      </c>
      <c r="R6696" t="s">
        <v>46573</v>
      </c>
      <c r="S6696" t="s">
        <v>46705</v>
      </c>
      <c r="T6696" t="s">
        <v>48573</v>
      </c>
      <c r="U6696" t="s">
        <v>54319</v>
      </c>
      <c r="W6696" t="s">
        <v>42950</v>
      </c>
      <c r="X6696" t="s">
        <v>46574</v>
      </c>
    </row>
    <row r="6697" spans="1:24">
      <c r="A6697">
        <f>HYPERLINK("https://www.philgeps.gov.ph/GEPSNONPILOT/Tender/SplashBidNoticeAbstractUI.aspx?menuIndex=3&amp;refID=7061230&amp;Result=3","7061230")</f>
        <v>0</v>
      </c>
      <c r="B6697" t="s">
        <v>2128</v>
      </c>
      <c r="C6697" t="s">
        <v>9884</v>
      </c>
      <c r="D6697" t="s">
        <v>18799</v>
      </c>
      <c r="E6697" t="s">
        <v>24809</v>
      </c>
      <c r="F6697" t="s">
        <v>32664</v>
      </c>
      <c r="G6697" t="s">
        <v>32671</v>
      </c>
      <c r="H6697" t="s">
        <v>32682</v>
      </c>
      <c r="I6697" t="s">
        <v>10590</v>
      </c>
      <c r="J6697" t="s">
        <v>36981</v>
      </c>
      <c r="K6697" t="s">
        <v>42332</v>
      </c>
      <c r="M6697" t="s">
        <v>44883</v>
      </c>
      <c r="N6697" t="s">
        <v>46569</v>
      </c>
      <c r="O6697" t="s">
        <v>46570</v>
      </c>
      <c r="P6697">
        <v>0</v>
      </c>
      <c r="Q6697">
        <v>0</v>
      </c>
      <c r="R6697" t="s">
        <v>46573</v>
      </c>
      <c r="S6697" t="s">
        <v>46705</v>
      </c>
      <c r="T6697" t="s">
        <v>48286</v>
      </c>
      <c r="U6697" t="s">
        <v>54320</v>
      </c>
      <c r="W6697" t="s">
        <v>44883</v>
      </c>
      <c r="X6697" t="s">
        <v>46574</v>
      </c>
    </row>
    <row r="6698" spans="1:24">
      <c r="A6698">
        <f>HYPERLINK("https://www.philgeps.gov.ph/GEPSNONPILOT/Tender/SplashBidNoticeAbstractUI.aspx?menuIndex=3&amp;refID=7061227&amp;Result=3","7061227")</f>
        <v>0</v>
      </c>
      <c r="B6698" t="s">
        <v>2129</v>
      </c>
      <c r="C6698" t="s">
        <v>9810</v>
      </c>
      <c r="D6698" t="s">
        <v>18851</v>
      </c>
      <c r="E6698" t="s">
        <v>20248</v>
      </c>
      <c r="F6698" t="s">
        <v>32664</v>
      </c>
      <c r="G6698" t="s">
        <v>32671</v>
      </c>
      <c r="H6698" t="s">
        <v>12635</v>
      </c>
      <c r="I6698" t="s">
        <v>4333</v>
      </c>
      <c r="J6698" t="s">
        <v>33520</v>
      </c>
      <c r="K6698" t="s">
        <v>42297</v>
      </c>
      <c r="M6698" t="s">
        <v>44884</v>
      </c>
      <c r="N6698" t="s">
        <v>46569</v>
      </c>
      <c r="O6698" t="s">
        <v>46570</v>
      </c>
      <c r="P6698">
        <v>0</v>
      </c>
      <c r="Q6698">
        <v>0</v>
      </c>
      <c r="R6698" t="s">
        <v>46573</v>
      </c>
      <c r="S6698" t="s">
        <v>46705</v>
      </c>
      <c r="T6698" t="s">
        <v>48221</v>
      </c>
      <c r="U6698" t="s">
        <v>54252</v>
      </c>
      <c r="W6698" t="s">
        <v>44884</v>
      </c>
      <c r="X6698" t="s">
        <v>46574</v>
      </c>
    </row>
    <row r="6699" spans="1:24">
      <c r="A6699">
        <f>HYPERLINK("https://www.philgeps.gov.ph/GEPSNONPILOT/Tender/SplashBidNoticeAbstractUI.aspx?menuIndex=3&amp;refID=7061237&amp;Result=3","7061237")</f>
        <v>0</v>
      </c>
      <c r="B6699" t="s">
        <v>947</v>
      </c>
      <c r="C6699" t="s">
        <v>9885</v>
      </c>
      <c r="D6699" t="s">
        <v>18787</v>
      </c>
      <c r="E6699" t="s">
        <v>24645</v>
      </c>
      <c r="F6699" t="s">
        <v>32664</v>
      </c>
      <c r="G6699" t="s">
        <v>32672</v>
      </c>
      <c r="H6699" t="s">
        <v>12635</v>
      </c>
      <c r="I6699" t="s">
        <v>9597</v>
      </c>
      <c r="J6699" t="s">
        <v>34559</v>
      </c>
      <c r="K6699" t="s">
        <v>42281</v>
      </c>
      <c r="M6699" t="s">
        <v>43553</v>
      </c>
      <c r="N6699" t="s">
        <v>46569</v>
      </c>
      <c r="O6699" t="s">
        <v>46570</v>
      </c>
      <c r="P6699">
        <v>0</v>
      </c>
      <c r="Q6699">
        <v>4</v>
      </c>
      <c r="R6699" t="s">
        <v>46573</v>
      </c>
      <c r="S6699" t="s">
        <v>46705</v>
      </c>
      <c r="T6699" t="s">
        <v>48273</v>
      </c>
      <c r="U6699" t="s">
        <v>50650</v>
      </c>
      <c r="W6699" t="s">
        <v>63497</v>
      </c>
      <c r="X6699" t="s">
        <v>46574</v>
      </c>
    </row>
    <row r="6700" spans="1:24">
      <c r="A6700">
        <f>HYPERLINK("https://www.philgeps.gov.ph/GEPSNONPILOT/Tender/SplashBidNoticeAbstractUI.aspx?menuIndex=3&amp;refID=7061188&amp;Result=3","7061188")</f>
        <v>0</v>
      </c>
      <c r="B6700" t="s">
        <v>1228</v>
      </c>
      <c r="C6700" t="s">
        <v>9886</v>
      </c>
      <c r="D6700" t="s">
        <v>18783</v>
      </c>
      <c r="E6700" t="s">
        <v>24810</v>
      </c>
      <c r="F6700" t="s">
        <v>32664</v>
      </c>
      <c r="G6700" t="s">
        <v>32671</v>
      </c>
      <c r="H6700" t="s">
        <v>12635</v>
      </c>
      <c r="I6700" t="s">
        <v>10361</v>
      </c>
      <c r="J6700" t="s">
        <v>33015</v>
      </c>
      <c r="K6700" t="s">
        <v>42284</v>
      </c>
      <c r="M6700" t="s">
        <v>43867</v>
      </c>
      <c r="N6700" t="s">
        <v>46569</v>
      </c>
      <c r="O6700" t="s">
        <v>46570</v>
      </c>
      <c r="P6700">
        <v>0</v>
      </c>
      <c r="Q6700">
        <v>0</v>
      </c>
      <c r="R6700" t="s">
        <v>46573</v>
      </c>
      <c r="S6700" t="s">
        <v>46705</v>
      </c>
      <c r="T6700" t="s">
        <v>48376</v>
      </c>
      <c r="U6700" t="s">
        <v>54321</v>
      </c>
      <c r="W6700" t="s">
        <v>43867</v>
      </c>
      <c r="X6700" t="s">
        <v>46574</v>
      </c>
    </row>
    <row r="6701" spans="1:24">
      <c r="A6701">
        <f>HYPERLINK("https://www.philgeps.gov.ph/GEPSNONPILOT/Tender/SplashBidNoticeAbstractUI.aspx?menuIndex=3&amp;refID=7061269&amp;Result=3","7061269")</f>
        <v>0</v>
      </c>
      <c r="B6701" t="s">
        <v>2130</v>
      </c>
      <c r="C6701" t="s">
        <v>9887</v>
      </c>
      <c r="D6701" t="s">
        <v>18812</v>
      </c>
      <c r="E6701" t="s">
        <v>24811</v>
      </c>
      <c r="F6701" t="s">
        <v>32664</v>
      </c>
      <c r="G6701" t="s">
        <v>32671</v>
      </c>
      <c r="H6701" t="s">
        <v>12635</v>
      </c>
      <c r="I6701" t="s">
        <v>8730</v>
      </c>
      <c r="J6701" t="s">
        <v>33715</v>
      </c>
      <c r="K6701" t="s">
        <v>42295</v>
      </c>
      <c r="M6701" t="s">
        <v>44885</v>
      </c>
      <c r="N6701" t="s">
        <v>46569</v>
      </c>
      <c r="O6701" t="s">
        <v>46570</v>
      </c>
      <c r="P6701">
        <v>0</v>
      </c>
      <c r="Q6701">
        <v>1</v>
      </c>
      <c r="R6701" t="s">
        <v>46573</v>
      </c>
      <c r="S6701" t="s">
        <v>46705</v>
      </c>
      <c r="T6701" t="s">
        <v>48316</v>
      </c>
      <c r="U6701" t="s">
        <v>54322</v>
      </c>
      <c r="W6701" t="s">
        <v>44885</v>
      </c>
      <c r="X6701" t="s">
        <v>46574</v>
      </c>
    </row>
    <row r="6702" spans="1:24">
      <c r="A6702">
        <f>HYPERLINK("https://www.philgeps.gov.ph/GEPSNONPILOT/Tender/SplashBidNoticeAbstractUI.aspx?menuIndex=3&amp;refID=7061234&amp;Result=3","7061234")</f>
        <v>0</v>
      </c>
      <c r="B6702" t="s">
        <v>1669</v>
      </c>
      <c r="C6702" t="s">
        <v>9888</v>
      </c>
      <c r="E6702" t="s">
        <v>24812</v>
      </c>
      <c r="F6702" t="s">
        <v>32664</v>
      </c>
      <c r="G6702" t="s">
        <v>32672</v>
      </c>
      <c r="H6702" t="s">
        <v>32681</v>
      </c>
      <c r="I6702" t="s">
        <v>32681</v>
      </c>
      <c r="J6702" t="s">
        <v>36982</v>
      </c>
      <c r="K6702" t="s">
        <v>42283</v>
      </c>
      <c r="M6702" t="s">
        <v>44356</v>
      </c>
      <c r="N6702" t="s">
        <v>46569</v>
      </c>
      <c r="O6702" t="s">
        <v>46570</v>
      </c>
      <c r="P6702">
        <v>0</v>
      </c>
      <c r="Q6702">
        <v>3</v>
      </c>
      <c r="R6702" t="s">
        <v>46573</v>
      </c>
      <c r="S6702" t="s">
        <v>46705</v>
      </c>
      <c r="T6702" t="s">
        <v>48283</v>
      </c>
      <c r="U6702" t="s">
        <v>54323</v>
      </c>
      <c r="V6702" t="s">
        <v>62287</v>
      </c>
      <c r="W6702" t="s">
        <v>44356</v>
      </c>
      <c r="X6702" t="s">
        <v>46574</v>
      </c>
    </row>
    <row r="6703" spans="1:24">
      <c r="A6703">
        <f>HYPERLINK("https://www.philgeps.gov.ph/GEPSNONPILOT/Tender/SplashBidNoticeAbstractUI.aspx?menuIndex=3&amp;refID=7061267&amp;Result=3","7061267")</f>
        <v>0</v>
      </c>
      <c r="B6703" t="s">
        <v>2131</v>
      </c>
      <c r="C6703" t="s">
        <v>9889</v>
      </c>
      <c r="D6703" t="s">
        <v>18824</v>
      </c>
      <c r="E6703" t="s">
        <v>24813</v>
      </c>
      <c r="F6703" t="s">
        <v>32664</v>
      </c>
      <c r="G6703" t="s">
        <v>32677</v>
      </c>
      <c r="H6703" t="s">
        <v>32683</v>
      </c>
      <c r="I6703" t="s">
        <v>10627</v>
      </c>
      <c r="J6703" t="s">
        <v>34862</v>
      </c>
      <c r="K6703" t="s">
        <v>42290</v>
      </c>
      <c r="M6703" t="s">
        <v>44886</v>
      </c>
      <c r="N6703" t="s">
        <v>46569</v>
      </c>
      <c r="O6703" t="s">
        <v>46570</v>
      </c>
      <c r="P6703">
        <v>0</v>
      </c>
      <c r="Q6703">
        <v>1</v>
      </c>
      <c r="R6703" t="s">
        <v>46573</v>
      </c>
      <c r="S6703" t="s">
        <v>46705</v>
      </c>
      <c r="T6703" t="s">
        <v>48349</v>
      </c>
      <c r="U6703" t="s">
        <v>54324</v>
      </c>
      <c r="W6703" t="s">
        <v>44886</v>
      </c>
      <c r="X6703" t="s">
        <v>46574</v>
      </c>
    </row>
    <row r="6704" spans="1:24">
      <c r="A6704">
        <f>HYPERLINK("https://www.philgeps.gov.ph/GEPSNONPILOT/Tender/SplashBidNoticeAbstractUI.aspx?menuIndex=3&amp;refID=7061276&amp;Result=3","7061276")</f>
        <v>0</v>
      </c>
      <c r="B6704" t="s">
        <v>527</v>
      </c>
      <c r="C6704" t="s">
        <v>9890</v>
      </c>
      <c r="D6704" t="s">
        <v>18784</v>
      </c>
      <c r="E6704" t="s">
        <v>24814</v>
      </c>
      <c r="F6704" t="s">
        <v>32664</v>
      </c>
      <c r="G6704" t="s">
        <v>32671</v>
      </c>
      <c r="H6704" t="s">
        <v>12635</v>
      </c>
      <c r="I6704" t="s">
        <v>6223</v>
      </c>
      <c r="J6704" t="s">
        <v>36983</v>
      </c>
      <c r="K6704" t="s">
        <v>42284</v>
      </c>
      <c r="M6704" t="s">
        <v>44555</v>
      </c>
      <c r="N6704" t="s">
        <v>46569</v>
      </c>
      <c r="O6704" t="s">
        <v>46570</v>
      </c>
      <c r="P6704">
        <v>0</v>
      </c>
      <c r="Q6704">
        <v>0</v>
      </c>
      <c r="R6704" t="s">
        <v>46573</v>
      </c>
      <c r="S6704" t="s">
        <v>46705</v>
      </c>
      <c r="T6704" t="s">
        <v>48287</v>
      </c>
      <c r="U6704" t="s">
        <v>50582</v>
      </c>
      <c r="W6704" t="s">
        <v>44555</v>
      </c>
      <c r="X6704" t="s">
        <v>46574</v>
      </c>
    </row>
    <row r="6705" spans="1:24">
      <c r="A6705">
        <f>HYPERLINK("https://www.philgeps.gov.ph/GEPSNONPILOT/Tender/SplashBidNoticeAbstractUI.aspx?menuIndex=3&amp;refID=7061278&amp;Result=3","7061278")</f>
        <v>0</v>
      </c>
      <c r="B6705" t="s">
        <v>455</v>
      </c>
      <c r="C6705" t="s">
        <v>9891</v>
      </c>
      <c r="D6705" t="s">
        <v>18834</v>
      </c>
      <c r="E6705" t="s">
        <v>24815</v>
      </c>
      <c r="F6705" t="s">
        <v>32664</v>
      </c>
      <c r="G6705" t="s">
        <v>32672</v>
      </c>
      <c r="H6705" t="s">
        <v>12635</v>
      </c>
      <c r="I6705" t="s">
        <v>32685</v>
      </c>
      <c r="J6705" t="s">
        <v>36984</v>
      </c>
      <c r="K6705" t="s">
        <v>42281</v>
      </c>
      <c r="M6705" t="s">
        <v>43028</v>
      </c>
      <c r="N6705" t="s">
        <v>46569</v>
      </c>
      <c r="O6705" t="s">
        <v>46570</v>
      </c>
      <c r="P6705">
        <v>0</v>
      </c>
      <c r="Q6705">
        <v>1</v>
      </c>
      <c r="R6705" t="s">
        <v>46573</v>
      </c>
      <c r="S6705" t="s">
        <v>46705</v>
      </c>
      <c r="T6705" t="s">
        <v>48454</v>
      </c>
      <c r="U6705" t="s">
        <v>54325</v>
      </c>
      <c r="W6705" t="s">
        <v>43028</v>
      </c>
      <c r="X6705" t="s">
        <v>46574</v>
      </c>
    </row>
    <row r="6706" spans="1:24">
      <c r="A6706">
        <f>HYPERLINK("https://www.philgeps.gov.ph/GEPSNONPILOT/Tender/SplashBidNoticeAbstractUI.aspx?menuIndex=3&amp;refID=7061266&amp;Result=3","7061266")</f>
        <v>0</v>
      </c>
      <c r="B6706" t="s">
        <v>1132</v>
      </c>
      <c r="C6706" t="s">
        <v>4111</v>
      </c>
      <c r="D6706" t="s">
        <v>18827</v>
      </c>
      <c r="E6706" t="s">
        <v>20024</v>
      </c>
      <c r="F6706" t="s">
        <v>32664</v>
      </c>
      <c r="G6706" t="s">
        <v>32675</v>
      </c>
      <c r="H6706" t="s">
        <v>12635</v>
      </c>
      <c r="I6706" t="s">
        <v>4439</v>
      </c>
      <c r="J6706" t="s">
        <v>33128</v>
      </c>
      <c r="K6706" t="s">
        <v>42295</v>
      </c>
      <c r="L6706" t="s">
        <v>1132</v>
      </c>
      <c r="M6706" t="s">
        <v>43761</v>
      </c>
      <c r="N6706" t="s">
        <v>46569</v>
      </c>
      <c r="O6706" t="s">
        <v>46570</v>
      </c>
      <c r="P6706">
        <v>0</v>
      </c>
      <c r="Q6706">
        <v>2</v>
      </c>
      <c r="R6706" t="s">
        <v>46573</v>
      </c>
      <c r="S6706" t="s">
        <v>46705</v>
      </c>
      <c r="T6706" t="s">
        <v>48287</v>
      </c>
      <c r="U6706" t="s">
        <v>54326</v>
      </c>
      <c r="W6706" t="s">
        <v>43761</v>
      </c>
      <c r="X6706" t="s">
        <v>46574</v>
      </c>
    </row>
    <row r="6707" spans="1:24">
      <c r="A6707">
        <f>HYPERLINK("https://www.philgeps.gov.ph/GEPSNONPILOT/Tender/SplashBidNoticeAbstractUI.aspx?menuIndex=3&amp;refID=7061263&amp;Result=3","7061263")</f>
        <v>0</v>
      </c>
      <c r="B6707" t="s">
        <v>2132</v>
      </c>
      <c r="C6707" t="s">
        <v>9892</v>
      </c>
      <c r="D6707" t="s">
        <v>18831</v>
      </c>
      <c r="E6707" t="s">
        <v>24816</v>
      </c>
      <c r="F6707" t="s">
        <v>32664</v>
      </c>
      <c r="G6707" t="s">
        <v>32674</v>
      </c>
      <c r="H6707" t="s">
        <v>12635</v>
      </c>
      <c r="I6707" t="s">
        <v>32684</v>
      </c>
      <c r="J6707" t="s">
        <v>33126</v>
      </c>
      <c r="K6707" t="s">
        <v>42281</v>
      </c>
      <c r="M6707" t="s">
        <v>44887</v>
      </c>
      <c r="N6707" t="s">
        <v>46569</v>
      </c>
      <c r="O6707" t="s">
        <v>46570</v>
      </c>
      <c r="P6707">
        <v>0</v>
      </c>
      <c r="Q6707">
        <v>2</v>
      </c>
      <c r="R6707" t="s">
        <v>46573</v>
      </c>
      <c r="S6707" t="s">
        <v>46705</v>
      </c>
      <c r="T6707" t="s">
        <v>48376</v>
      </c>
      <c r="U6707" t="s">
        <v>54327</v>
      </c>
      <c r="W6707" t="s">
        <v>44887</v>
      </c>
      <c r="X6707" t="s">
        <v>46574</v>
      </c>
    </row>
    <row r="6708" spans="1:24">
      <c r="A6708">
        <f>HYPERLINK("https://www.philgeps.gov.ph/GEPSNONPILOT/Tender/SplashBidNoticeAbstractUI.aspx?menuIndex=3&amp;refID=7061262&amp;Result=3","7061262")</f>
        <v>0</v>
      </c>
      <c r="B6708" t="s">
        <v>2133</v>
      </c>
      <c r="C6708" t="s">
        <v>9893</v>
      </c>
      <c r="D6708" t="s">
        <v>18782</v>
      </c>
      <c r="E6708" t="s">
        <v>24817</v>
      </c>
      <c r="F6708" t="s">
        <v>32664</v>
      </c>
      <c r="G6708" t="s">
        <v>32672</v>
      </c>
      <c r="H6708" t="s">
        <v>12635</v>
      </c>
      <c r="I6708" t="s">
        <v>6628</v>
      </c>
      <c r="J6708" t="s">
        <v>32853</v>
      </c>
      <c r="K6708" t="s">
        <v>42281</v>
      </c>
      <c r="M6708" t="s">
        <v>44888</v>
      </c>
      <c r="N6708" t="s">
        <v>46569</v>
      </c>
      <c r="O6708" t="s">
        <v>46570</v>
      </c>
      <c r="P6708">
        <v>0</v>
      </c>
      <c r="Q6708">
        <v>0</v>
      </c>
      <c r="R6708" t="s">
        <v>46573</v>
      </c>
      <c r="S6708" t="s">
        <v>46705</v>
      </c>
      <c r="T6708" t="s">
        <v>48410</v>
      </c>
      <c r="U6708" t="s">
        <v>54328</v>
      </c>
      <c r="V6708" t="s">
        <v>62288</v>
      </c>
      <c r="W6708" t="s">
        <v>44888</v>
      </c>
      <c r="X6708" t="s">
        <v>46574</v>
      </c>
    </row>
    <row r="6709" spans="1:24">
      <c r="A6709">
        <f>HYPERLINK("https://www.philgeps.gov.ph/GEPSNONPILOT/Tender/SplashBidNoticeAbstractUI.aspx?menuIndex=3&amp;refID=7061216&amp;Result=3","7061216")</f>
        <v>0</v>
      </c>
      <c r="B6709" t="s">
        <v>1467</v>
      </c>
      <c r="C6709" t="s">
        <v>9894</v>
      </c>
      <c r="D6709" t="s">
        <v>18809</v>
      </c>
      <c r="E6709" t="s">
        <v>24818</v>
      </c>
      <c r="F6709" t="s">
        <v>32664</v>
      </c>
      <c r="G6709" t="s">
        <v>32671</v>
      </c>
      <c r="H6709" t="s">
        <v>12635</v>
      </c>
      <c r="I6709" t="s">
        <v>32701</v>
      </c>
      <c r="J6709" t="s">
        <v>33197</v>
      </c>
      <c r="K6709" t="s">
        <v>42347</v>
      </c>
      <c r="M6709" t="s">
        <v>44129</v>
      </c>
      <c r="N6709" t="s">
        <v>46569</v>
      </c>
      <c r="O6709" t="s">
        <v>46570</v>
      </c>
      <c r="P6709">
        <v>0</v>
      </c>
      <c r="Q6709">
        <v>0</v>
      </c>
      <c r="R6709" t="s">
        <v>46573</v>
      </c>
      <c r="S6709" t="s">
        <v>46705</v>
      </c>
      <c r="T6709" t="s">
        <v>48282</v>
      </c>
      <c r="U6709" t="s">
        <v>54329</v>
      </c>
      <c r="W6709" t="s">
        <v>44129</v>
      </c>
      <c r="X6709" t="s">
        <v>46574</v>
      </c>
    </row>
    <row r="6710" spans="1:24">
      <c r="A6710">
        <f>HYPERLINK("https://www.philgeps.gov.ph/GEPSNONPILOT/Tender/SplashBidNoticeAbstractUI.aspx?menuIndex=3&amp;refID=7061261&amp;Result=3","7061261")</f>
        <v>0</v>
      </c>
      <c r="B6710" t="s">
        <v>1467</v>
      </c>
      <c r="C6710" t="s">
        <v>9895</v>
      </c>
      <c r="D6710" t="s">
        <v>18809</v>
      </c>
      <c r="E6710" t="s">
        <v>24819</v>
      </c>
      <c r="F6710" t="s">
        <v>32664</v>
      </c>
      <c r="G6710" t="s">
        <v>32671</v>
      </c>
      <c r="H6710" t="s">
        <v>12635</v>
      </c>
      <c r="I6710" t="s">
        <v>10590</v>
      </c>
      <c r="J6710" t="s">
        <v>33612</v>
      </c>
      <c r="K6710" t="s">
        <v>42289</v>
      </c>
      <c r="M6710" t="s">
        <v>44129</v>
      </c>
      <c r="N6710" t="s">
        <v>46569</v>
      </c>
      <c r="O6710" t="s">
        <v>46570</v>
      </c>
      <c r="P6710">
        <v>0</v>
      </c>
      <c r="Q6710">
        <v>0</v>
      </c>
      <c r="R6710" t="s">
        <v>46573</v>
      </c>
      <c r="S6710" t="s">
        <v>46705</v>
      </c>
      <c r="T6710" t="s">
        <v>48282</v>
      </c>
      <c r="U6710" t="s">
        <v>54330</v>
      </c>
      <c r="W6710" t="s">
        <v>44129</v>
      </c>
      <c r="X6710" t="s">
        <v>46574</v>
      </c>
    </row>
    <row r="6711" spans="1:24">
      <c r="A6711">
        <f>HYPERLINK("https://www.philgeps.gov.ph/GEPSNONPILOT/Tender/SplashBidNoticeAbstractUI.aspx?menuIndex=3&amp;refID=7061272&amp;Result=3","7061272")</f>
        <v>0</v>
      </c>
      <c r="B6711" t="s">
        <v>632</v>
      </c>
      <c r="C6711" t="s">
        <v>9896</v>
      </c>
      <c r="D6711" t="s">
        <v>18821</v>
      </c>
      <c r="E6711" t="s">
        <v>24820</v>
      </c>
      <c r="F6711" t="s">
        <v>32664</v>
      </c>
      <c r="G6711" t="s">
        <v>32674</v>
      </c>
      <c r="H6711" t="s">
        <v>12635</v>
      </c>
      <c r="I6711" t="s">
        <v>32706</v>
      </c>
      <c r="J6711" t="s">
        <v>36985</v>
      </c>
      <c r="K6711" t="s">
        <v>42297</v>
      </c>
      <c r="M6711" t="s">
        <v>43214</v>
      </c>
      <c r="N6711" t="s">
        <v>46569</v>
      </c>
      <c r="O6711" t="s">
        <v>46570</v>
      </c>
      <c r="P6711">
        <v>0</v>
      </c>
      <c r="Q6711">
        <v>0</v>
      </c>
      <c r="R6711" t="s">
        <v>46573</v>
      </c>
      <c r="S6711" t="s">
        <v>46705</v>
      </c>
      <c r="T6711" t="s">
        <v>48229</v>
      </c>
      <c r="U6711" t="s">
        <v>54331</v>
      </c>
      <c r="W6711" t="s">
        <v>43214</v>
      </c>
      <c r="X6711" t="s">
        <v>46574</v>
      </c>
    </row>
    <row r="6712" spans="1:24">
      <c r="A6712">
        <f>HYPERLINK("https://www.philgeps.gov.ph/GEPSNONPILOT/Tender/SplashBidNoticeAbstractUI.aspx?menuIndex=3&amp;refID=7061225&amp;Result=3","7061225")</f>
        <v>0</v>
      </c>
      <c r="B6712" t="s">
        <v>2134</v>
      </c>
      <c r="C6712" t="s">
        <v>9897</v>
      </c>
      <c r="D6712" t="s">
        <v>18827</v>
      </c>
      <c r="E6712" t="s">
        <v>24821</v>
      </c>
      <c r="F6712" t="s">
        <v>32664</v>
      </c>
      <c r="G6712" t="s">
        <v>32675</v>
      </c>
      <c r="H6712" t="s">
        <v>12635</v>
      </c>
      <c r="I6712" t="s">
        <v>9486</v>
      </c>
      <c r="J6712" t="s">
        <v>33299</v>
      </c>
      <c r="K6712" t="s">
        <v>42306</v>
      </c>
      <c r="M6712" t="s">
        <v>44889</v>
      </c>
      <c r="N6712" t="s">
        <v>46569</v>
      </c>
      <c r="O6712" t="s">
        <v>46570</v>
      </c>
      <c r="P6712">
        <v>0</v>
      </c>
      <c r="Q6712">
        <v>2</v>
      </c>
      <c r="R6712" t="s">
        <v>46573</v>
      </c>
      <c r="S6712" t="s">
        <v>46705</v>
      </c>
      <c r="T6712" t="s">
        <v>48420</v>
      </c>
      <c r="U6712" t="s">
        <v>54332</v>
      </c>
      <c r="W6712" t="s">
        <v>44889</v>
      </c>
      <c r="X6712" t="s">
        <v>46574</v>
      </c>
    </row>
    <row r="6713" spans="1:24">
      <c r="A6713">
        <f>HYPERLINK("https://www.philgeps.gov.ph/GEPSNONPILOT/Tender/SplashBidNoticeAbstractUI.aspx?menuIndex=3&amp;refID=7061274&amp;Result=3","7061274")</f>
        <v>0</v>
      </c>
      <c r="B6713" t="s">
        <v>2135</v>
      </c>
      <c r="C6713" t="s">
        <v>9898</v>
      </c>
      <c r="D6713" t="s">
        <v>18804</v>
      </c>
      <c r="E6713" t="s">
        <v>24822</v>
      </c>
      <c r="F6713" t="s">
        <v>32664</v>
      </c>
      <c r="G6713" t="s">
        <v>32674</v>
      </c>
      <c r="H6713" t="s">
        <v>12635</v>
      </c>
      <c r="I6713" t="s">
        <v>8730</v>
      </c>
      <c r="J6713" t="s">
        <v>36986</v>
      </c>
      <c r="K6713" t="s">
        <v>42284</v>
      </c>
      <c r="M6713" t="s">
        <v>44890</v>
      </c>
      <c r="N6713" t="s">
        <v>46569</v>
      </c>
      <c r="O6713" t="s">
        <v>46570</v>
      </c>
      <c r="P6713">
        <v>0</v>
      </c>
      <c r="Q6713">
        <v>3</v>
      </c>
      <c r="R6713" t="s">
        <v>46573</v>
      </c>
      <c r="S6713" t="s">
        <v>46705</v>
      </c>
      <c r="T6713" t="s">
        <v>48213</v>
      </c>
      <c r="U6713" t="s">
        <v>54333</v>
      </c>
      <c r="W6713" t="s">
        <v>44890</v>
      </c>
      <c r="X6713" t="s">
        <v>46574</v>
      </c>
    </row>
    <row r="6714" spans="1:24">
      <c r="A6714">
        <f>HYPERLINK("https://www.philgeps.gov.ph/GEPSNONPILOT/Tender/SplashBidNoticeAbstractUI.aspx?menuIndex=3&amp;refID=7061301&amp;Result=3","7061301")</f>
        <v>0</v>
      </c>
      <c r="B6714" t="s">
        <v>1074</v>
      </c>
      <c r="C6714" t="s">
        <v>9899</v>
      </c>
      <c r="D6714" t="s">
        <v>18786</v>
      </c>
      <c r="E6714" t="s">
        <v>22816</v>
      </c>
      <c r="F6714" t="s">
        <v>32664</v>
      </c>
      <c r="G6714" t="s">
        <v>32674</v>
      </c>
      <c r="H6714" t="s">
        <v>12635</v>
      </c>
      <c r="I6714" t="s">
        <v>32717</v>
      </c>
      <c r="J6714" t="s">
        <v>34833</v>
      </c>
      <c r="K6714" t="s">
        <v>42303</v>
      </c>
      <c r="M6714" t="s">
        <v>43694</v>
      </c>
      <c r="N6714" t="s">
        <v>46569</v>
      </c>
      <c r="O6714" t="s">
        <v>46570</v>
      </c>
      <c r="P6714">
        <v>0</v>
      </c>
      <c r="Q6714">
        <v>0</v>
      </c>
      <c r="R6714" t="s">
        <v>46573</v>
      </c>
      <c r="S6714" t="s">
        <v>46705</v>
      </c>
      <c r="T6714" t="s">
        <v>48427</v>
      </c>
      <c r="U6714" t="s">
        <v>54334</v>
      </c>
      <c r="V6714" t="s">
        <v>62289</v>
      </c>
      <c r="W6714" t="s">
        <v>43694</v>
      </c>
      <c r="X6714" t="s">
        <v>46574</v>
      </c>
    </row>
    <row r="6715" spans="1:24">
      <c r="A6715">
        <f>HYPERLINK("https://www.philgeps.gov.ph/GEPSNONPILOT/Tender/SplashBidNoticeAbstractUI.aspx?menuIndex=3&amp;refID=7061296&amp;Result=3","7061296")</f>
        <v>0</v>
      </c>
      <c r="B6715" t="s">
        <v>527</v>
      </c>
      <c r="C6715" t="s">
        <v>9900</v>
      </c>
      <c r="D6715" t="s">
        <v>18784</v>
      </c>
      <c r="E6715" t="s">
        <v>24823</v>
      </c>
      <c r="F6715" t="s">
        <v>32664</v>
      </c>
      <c r="G6715" t="s">
        <v>32671</v>
      </c>
      <c r="H6715" t="s">
        <v>12635</v>
      </c>
      <c r="I6715" t="s">
        <v>6223</v>
      </c>
      <c r="J6715" t="s">
        <v>36987</v>
      </c>
      <c r="K6715" t="s">
        <v>42284</v>
      </c>
      <c r="M6715" t="s">
        <v>44555</v>
      </c>
      <c r="N6715" t="s">
        <v>46569</v>
      </c>
      <c r="O6715" t="s">
        <v>46570</v>
      </c>
      <c r="P6715">
        <v>0</v>
      </c>
      <c r="Q6715">
        <v>0</v>
      </c>
      <c r="R6715" t="s">
        <v>46573</v>
      </c>
      <c r="S6715" t="s">
        <v>46705</v>
      </c>
      <c r="T6715" t="s">
        <v>48287</v>
      </c>
      <c r="U6715" t="s">
        <v>50582</v>
      </c>
      <c r="W6715" t="s">
        <v>44555</v>
      </c>
      <c r="X6715" t="s">
        <v>46574</v>
      </c>
    </row>
    <row r="6716" spans="1:24">
      <c r="A6716">
        <f>HYPERLINK("https://www.philgeps.gov.ph/GEPSNONPILOT/Tender/SplashBidNoticeAbstractUI.aspx?menuIndex=3&amp;refID=7061265&amp;Result=3","7061265")</f>
        <v>0</v>
      </c>
      <c r="B6716" t="s">
        <v>900</v>
      </c>
      <c r="C6716" t="s">
        <v>9901</v>
      </c>
      <c r="E6716" t="s">
        <v>24824</v>
      </c>
      <c r="F6716" t="s">
        <v>32664</v>
      </c>
      <c r="G6716" t="s">
        <v>32672</v>
      </c>
      <c r="H6716" t="s">
        <v>32683</v>
      </c>
      <c r="I6716" t="s">
        <v>10627</v>
      </c>
      <c r="J6716" t="s">
        <v>36988</v>
      </c>
      <c r="K6716" t="s">
        <v>42283</v>
      </c>
      <c r="M6716" t="s">
        <v>43504</v>
      </c>
      <c r="N6716" t="s">
        <v>46569</v>
      </c>
      <c r="O6716" t="s">
        <v>46570</v>
      </c>
      <c r="P6716">
        <v>0</v>
      </c>
      <c r="Q6716">
        <v>0</v>
      </c>
      <c r="R6716" t="s">
        <v>46573</v>
      </c>
      <c r="S6716" t="s">
        <v>46705</v>
      </c>
      <c r="T6716" t="s">
        <v>48273</v>
      </c>
      <c r="U6716" t="s">
        <v>54335</v>
      </c>
      <c r="W6716" t="s">
        <v>43504</v>
      </c>
      <c r="X6716" t="s">
        <v>46574</v>
      </c>
    </row>
    <row r="6717" spans="1:24">
      <c r="A6717">
        <f>HYPERLINK("https://www.philgeps.gov.ph/GEPSNONPILOT/Tender/SplashBidNoticeAbstractUI.aspx?menuIndex=3&amp;refID=7061258&amp;Result=3","7061258")</f>
        <v>0</v>
      </c>
      <c r="B6717" t="s">
        <v>339</v>
      </c>
      <c r="C6717" t="s">
        <v>9902</v>
      </c>
      <c r="D6717" t="s">
        <v>18794</v>
      </c>
      <c r="E6717" t="s">
        <v>24825</v>
      </c>
      <c r="F6717" t="s">
        <v>32664</v>
      </c>
      <c r="G6717" t="s">
        <v>32671</v>
      </c>
      <c r="H6717" t="s">
        <v>12635</v>
      </c>
      <c r="I6717" t="s">
        <v>10361</v>
      </c>
      <c r="J6717" t="s">
        <v>36989</v>
      </c>
      <c r="K6717" t="s">
        <v>42309</v>
      </c>
      <c r="M6717" t="s">
        <v>42907</v>
      </c>
      <c r="N6717" t="s">
        <v>46569</v>
      </c>
      <c r="O6717" t="s">
        <v>46570</v>
      </c>
      <c r="P6717">
        <v>0</v>
      </c>
      <c r="Q6717">
        <v>0</v>
      </c>
      <c r="R6717" t="s">
        <v>46573</v>
      </c>
      <c r="S6717" t="s">
        <v>46705</v>
      </c>
      <c r="T6717" t="s">
        <v>48287</v>
      </c>
      <c r="U6717" t="s">
        <v>54336</v>
      </c>
      <c r="V6717" t="s">
        <v>62290</v>
      </c>
      <c r="W6717" t="s">
        <v>42907</v>
      </c>
      <c r="X6717" t="s">
        <v>46574</v>
      </c>
    </row>
    <row r="6718" spans="1:24">
      <c r="A6718">
        <f>HYPERLINK("https://www.philgeps.gov.ph/GEPSNONPILOT/Tender/SplashBidNoticeAbstractUI.aspx?menuIndex=3&amp;refID=7061294&amp;Result=3","7061294")</f>
        <v>0</v>
      </c>
      <c r="B6718" t="s">
        <v>694</v>
      </c>
      <c r="C6718" t="s">
        <v>9903</v>
      </c>
      <c r="D6718" t="s">
        <v>18784</v>
      </c>
      <c r="E6718" t="s">
        <v>21151</v>
      </c>
      <c r="F6718" t="s">
        <v>32664</v>
      </c>
      <c r="G6718" t="s">
        <v>32671</v>
      </c>
      <c r="H6718" t="s">
        <v>12635</v>
      </c>
      <c r="I6718" t="s">
        <v>32755</v>
      </c>
      <c r="J6718" t="s">
        <v>33051</v>
      </c>
      <c r="K6718" t="s">
        <v>42281</v>
      </c>
      <c r="M6718" t="s">
        <v>43281</v>
      </c>
      <c r="N6718" t="s">
        <v>46569</v>
      </c>
      <c r="O6718" t="s">
        <v>46570</v>
      </c>
      <c r="P6718">
        <v>0</v>
      </c>
      <c r="Q6718">
        <v>5</v>
      </c>
      <c r="R6718" t="s">
        <v>46573</v>
      </c>
      <c r="S6718" t="s">
        <v>46705</v>
      </c>
      <c r="T6718" t="s">
        <v>48254</v>
      </c>
      <c r="U6718" t="s">
        <v>50082</v>
      </c>
      <c r="W6718" t="s">
        <v>43281</v>
      </c>
      <c r="X6718" t="s">
        <v>46574</v>
      </c>
    </row>
    <row r="6719" spans="1:24">
      <c r="A6719">
        <f>HYPERLINK("https://www.philgeps.gov.ph/GEPSNONPILOT/Tender/SplashBidNoticeAbstractUI.aspx?menuIndex=3&amp;refID=7061292&amp;Result=3","7061292")</f>
        <v>0</v>
      </c>
      <c r="B6719" t="s">
        <v>2121</v>
      </c>
      <c r="C6719" t="s">
        <v>9904</v>
      </c>
      <c r="D6719" t="s">
        <v>18844</v>
      </c>
      <c r="E6719" t="s">
        <v>24826</v>
      </c>
      <c r="F6719" t="s">
        <v>32664</v>
      </c>
      <c r="G6719" t="s">
        <v>32672</v>
      </c>
      <c r="H6719" t="s">
        <v>12635</v>
      </c>
      <c r="I6719" t="s">
        <v>32716</v>
      </c>
      <c r="J6719" t="s">
        <v>32982</v>
      </c>
      <c r="K6719" t="s">
        <v>42281</v>
      </c>
      <c r="L6719" t="s">
        <v>2121</v>
      </c>
      <c r="M6719" t="s">
        <v>44876</v>
      </c>
      <c r="N6719" t="s">
        <v>46569</v>
      </c>
      <c r="O6719" t="s">
        <v>46570</v>
      </c>
      <c r="P6719">
        <v>0</v>
      </c>
      <c r="Q6719">
        <v>1</v>
      </c>
      <c r="R6719" t="s">
        <v>46573</v>
      </c>
      <c r="S6719" t="s">
        <v>46705</v>
      </c>
      <c r="T6719" t="s">
        <v>48228</v>
      </c>
      <c r="U6719" t="s">
        <v>54337</v>
      </c>
      <c r="W6719" t="s">
        <v>44876</v>
      </c>
      <c r="X6719" t="s">
        <v>46574</v>
      </c>
    </row>
    <row r="6720" spans="1:24">
      <c r="A6720">
        <f>HYPERLINK("https://www.philgeps.gov.ph/GEPSNONPILOT/Tender/SplashBidNoticeAbstractUI.aspx?menuIndex=3&amp;refID=7061289&amp;Result=3","7061289")</f>
        <v>0</v>
      </c>
      <c r="B6720" t="s">
        <v>455</v>
      </c>
      <c r="C6720" t="s">
        <v>4018</v>
      </c>
      <c r="D6720" t="s">
        <v>18834</v>
      </c>
      <c r="E6720" t="s">
        <v>24827</v>
      </c>
      <c r="F6720" t="s">
        <v>32664</v>
      </c>
      <c r="G6720" t="s">
        <v>32672</v>
      </c>
      <c r="H6720" t="s">
        <v>12635</v>
      </c>
      <c r="I6720" t="s">
        <v>32704</v>
      </c>
      <c r="J6720" t="s">
        <v>36990</v>
      </c>
      <c r="K6720" t="s">
        <v>42311</v>
      </c>
      <c r="M6720" t="s">
        <v>43210</v>
      </c>
      <c r="N6720" t="s">
        <v>46569</v>
      </c>
      <c r="O6720" t="s">
        <v>46570</v>
      </c>
      <c r="P6720">
        <v>0</v>
      </c>
      <c r="Q6720">
        <v>17</v>
      </c>
      <c r="R6720" t="s">
        <v>46573</v>
      </c>
      <c r="S6720" t="s">
        <v>46705</v>
      </c>
      <c r="T6720" t="s">
        <v>48274</v>
      </c>
      <c r="U6720" t="s">
        <v>54338</v>
      </c>
      <c r="W6720" t="s">
        <v>43210</v>
      </c>
      <c r="X6720" t="s">
        <v>46574</v>
      </c>
    </row>
    <row r="6721" spans="1:24">
      <c r="A6721">
        <f>HYPERLINK("https://www.philgeps.gov.ph/GEPSNONPILOT/Tender/SplashBidNoticeAbstractUI.aspx?menuIndex=3&amp;refID=7061295&amp;Result=3","7061295")</f>
        <v>0</v>
      </c>
      <c r="B6721" t="s">
        <v>2136</v>
      </c>
      <c r="C6721" t="s">
        <v>9905</v>
      </c>
      <c r="D6721" t="s">
        <v>18784</v>
      </c>
      <c r="E6721" t="s">
        <v>24828</v>
      </c>
      <c r="F6721" t="s">
        <v>32664</v>
      </c>
      <c r="G6721" t="s">
        <v>32671</v>
      </c>
      <c r="H6721" t="s">
        <v>32682</v>
      </c>
      <c r="I6721" t="s">
        <v>5589</v>
      </c>
      <c r="J6721" t="s">
        <v>36991</v>
      </c>
      <c r="K6721" t="s">
        <v>42305</v>
      </c>
      <c r="M6721" t="s">
        <v>44891</v>
      </c>
      <c r="N6721" t="s">
        <v>46569</v>
      </c>
      <c r="O6721" t="s">
        <v>46570</v>
      </c>
      <c r="P6721">
        <v>0</v>
      </c>
      <c r="Q6721">
        <v>1</v>
      </c>
      <c r="R6721" t="s">
        <v>46573</v>
      </c>
      <c r="S6721" t="s">
        <v>46705</v>
      </c>
      <c r="T6721" t="s">
        <v>48282</v>
      </c>
      <c r="U6721" t="s">
        <v>54339</v>
      </c>
      <c r="W6721" t="s">
        <v>44891</v>
      </c>
      <c r="X6721" t="s">
        <v>46574</v>
      </c>
    </row>
    <row r="6722" spans="1:24">
      <c r="A6722">
        <f>HYPERLINK("https://www.philgeps.gov.ph/GEPSNONPILOT/Tender/SplashBidNoticeAbstractUI.aspx?menuIndex=3&amp;refID=7061288&amp;Result=3","7061288")</f>
        <v>0</v>
      </c>
      <c r="B6722" t="s">
        <v>1794</v>
      </c>
      <c r="C6722" t="s">
        <v>9906</v>
      </c>
      <c r="D6722" t="s">
        <v>18781</v>
      </c>
      <c r="E6722" t="s">
        <v>24829</v>
      </c>
      <c r="F6722" t="s">
        <v>32664</v>
      </c>
      <c r="G6722" t="s">
        <v>32671</v>
      </c>
      <c r="H6722" t="s">
        <v>12635</v>
      </c>
      <c r="I6722" t="s">
        <v>6168</v>
      </c>
      <c r="J6722" t="s">
        <v>36992</v>
      </c>
      <c r="K6722" t="s">
        <v>42289</v>
      </c>
      <c r="M6722" t="s">
        <v>44579</v>
      </c>
      <c r="N6722" t="s">
        <v>46569</v>
      </c>
      <c r="O6722" t="s">
        <v>46570</v>
      </c>
      <c r="P6722">
        <v>0</v>
      </c>
      <c r="Q6722">
        <v>2</v>
      </c>
      <c r="R6722" t="s">
        <v>46573</v>
      </c>
      <c r="S6722" t="s">
        <v>46705</v>
      </c>
      <c r="T6722" t="s">
        <v>48450</v>
      </c>
      <c r="U6722" t="s">
        <v>54340</v>
      </c>
      <c r="V6722" t="s">
        <v>62204</v>
      </c>
      <c r="W6722" t="s">
        <v>44579</v>
      </c>
      <c r="X6722" t="s">
        <v>46574</v>
      </c>
    </row>
    <row r="6723" spans="1:24">
      <c r="A6723">
        <f>HYPERLINK("https://www.philgeps.gov.ph/GEPSNONPILOT/Tender/SplashBidNoticeAbstractUI.aspx?menuIndex=3&amp;refID=7061285&amp;Result=3","7061285")</f>
        <v>0</v>
      </c>
      <c r="B6723" t="s">
        <v>2137</v>
      </c>
      <c r="C6723" t="s">
        <v>9907</v>
      </c>
      <c r="D6723" t="s">
        <v>18784</v>
      </c>
      <c r="E6723" t="s">
        <v>23397</v>
      </c>
      <c r="F6723" t="s">
        <v>32664</v>
      </c>
      <c r="G6723" t="s">
        <v>32674</v>
      </c>
      <c r="H6723" t="s">
        <v>12635</v>
      </c>
      <c r="I6723" t="s">
        <v>8730</v>
      </c>
      <c r="J6723" t="s">
        <v>33493</v>
      </c>
      <c r="K6723" t="s">
        <v>42284</v>
      </c>
      <c r="M6723" t="s">
        <v>44892</v>
      </c>
      <c r="N6723" t="s">
        <v>46569</v>
      </c>
      <c r="O6723" t="s">
        <v>46570</v>
      </c>
      <c r="P6723">
        <v>0</v>
      </c>
      <c r="Q6723">
        <v>8</v>
      </c>
      <c r="R6723" t="s">
        <v>46573</v>
      </c>
      <c r="S6723" t="s">
        <v>46705</v>
      </c>
      <c r="T6723" t="s">
        <v>48256</v>
      </c>
      <c r="U6723" t="s">
        <v>54341</v>
      </c>
      <c r="V6723" t="s">
        <v>62291</v>
      </c>
      <c r="W6723" t="s">
        <v>44892</v>
      </c>
      <c r="X6723" t="s">
        <v>46574</v>
      </c>
    </row>
    <row r="6724" spans="1:24">
      <c r="A6724">
        <f>HYPERLINK("https://www.philgeps.gov.ph/GEPSNONPILOT/Tender/SplashBidNoticeAbstractUI.aspx?menuIndex=3&amp;refID=7061302&amp;Result=3","7061302")</f>
        <v>0</v>
      </c>
      <c r="B6724" t="s">
        <v>2138</v>
      </c>
      <c r="C6724" t="s">
        <v>9908</v>
      </c>
      <c r="D6724" t="s">
        <v>18838</v>
      </c>
      <c r="E6724" t="s">
        <v>24830</v>
      </c>
      <c r="F6724" t="s">
        <v>32664</v>
      </c>
      <c r="G6724" t="s">
        <v>32674</v>
      </c>
      <c r="H6724" t="s">
        <v>12635</v>
      </c>
      <c r="I6724" t="s">
        <v>8730</v>
      </c>
      <c r="J6724" t="s">
        <v>36993</v>
      </c>
      <c r="K6724" t="s">
        <v>42306</v>
      </c>
      <c r="M6724" t="s">
        <v>44893</v>
      </c>
      <c r="N6724" t="s">
        <v>46569</v>
      </c>
      <c r="O6724" t="s">
        <v>46570</v>
      </c>
      <c r="P6724">
        <v>0</v>
      </c>
      <c r="Q6724">
        <v>1</v>
      </c>
      <c r="R6724" t="s">
        <v>46573</v>
      </c>
      <c r="S6724" t="s">
        <v>46705</v>
      </c>
      <c r="T6724" t="s">
        <v>48473</v>
      </c>
      <c r="U6724" t="s">
        <v>54342</v>
      </c>
      <c r="W6724" t="s">
        <v>44893</v>
      </c>
      <c r="X6724" t="s">
        <v>46574</v>
      </c>
    </row>
    <row r="6725" spans="1:24">
      <c r="A6725">
        <f>HYPERLINK("https://www.philgeps.gov.ph/GEPSNONPILOT/Tender/SplashBidNoticeAbstractUI.aspx?menuIndex=3&amp;refID=7061335&amp;Result=3","7061335")</f>
        <v>0</v>
      </c>
      <c r="B6725" t="s">
        <v>2139</v>
      </c>
      <c r="C6725" t="s">
        <v>9909</v>
      </c>
      <c r="D6725" t="s">
        <v>18789</v>
      </c>
      <c r="E6725" t="s">
        <v>20248</v>
      </c>
      <c r="F6725" t="s">
        <v>32664</v>
      </c>
      <c r="G6725" t="s">
        <v>32672</v>
      </c>
      <c r="H6725" t="s">
        <v>12635</v>
      </c>
      <c r="I6725" t="s">
        <v>14442</v>
      </c>
      <c r="J6725" t="s">
        <v>36994</v>
      </c>
      <c r="K6725" t="s">
        <v>42289</v>
      </c>
      <c r="M6725" t="s">
        <v>44894</v>
      </c>
      <c r="N6725" t="s">
        <v>46569</v>
      </c>
      <c r="O6725" t="s">
        <v>46570</v>
      </c>
      <c r="P6725">
        <v>0</v>
      </c>
      <c r="Q6725">
        <v>2</v>
      </c>
      <c r="R6725" t="s">
        <v>46573</v>
      </c>
      <c r="S6725" t="s">
        <v>46705</v>
      </c>
      <c r="T6725" t="s">
        <v>48268</v>
      </c>
      <c r="U6725" t="s">
        <v>54343</v>
      </c>
      <c r="V6725" t="s">
        <v>62292</v>
      </c>
      <c r="W6725" t="s">
        <v>44894</v>
      </c>
      <c r="X6725" t="s">
        <v>46574</v>
      </c>
    </row>
    <row r="6726" spans="1:24">
      <c r="A6726">
        <f>HYPERLINK("https://www.philgeps.gov.ph/GEPSNONPILOT/Tender/SplashBidNoticeAbstractUI.aspx?menuIndex=3&amp;refID=7061290&amp;Result=3","7061290")</f>
        <v>0</v>
      </c>
      <c r="B6726" t="s">
        <v>2131</v>
      </c>
      <c r="C6726" t="s">
        <v>9910</v>
      </c>
      <c r="D6726" t="s">
        <v>18824</v>
      </c>
      <c r="E6726" t="s">
        <v>24831</v>
      </c>
      <c r="F6726" t="s">
        <v>32664</v>
      </c>
      <c r="G6726" t="s">
        <v>32672</v>
      </c>
      <c r="H6726" t="s">
        <v>32683</v>
      </c>
      <c r="I6726" t="s">
        <v>10627</v>
      </c>
      <c r="J6726" t="s">
        <v>32859</v>
      </c>
      <c r="K6726" t="s">
        <v>42281</v>
      </c>
      <c r="M6726" t="s">
        <v>44886</v>
      </c>
      <c r="N6726" t="s">
        <v>46569</v>
      </c>
      <c r="O6726" t="s">
        <v>46570</v>
      </c>
      <c r="P6726">
        <v>0</v>
      </c>
      <c r="Q6726">
        <v>0</v>
      </c>
      <c r="R6726" t="s">
        <v>46573</v>
      </c>
      <c r="S6726" t="s">
        <v>46705</v>
      </c>
      <c r="T6726" t="s">
        <v>48304</v>
      </c>
      <c r="U6726" t="s">
        <v>54344</v>
      </c>
      <c r="W6726" t="s">
        <v>44886</v>
      </c>
      <c r="X6726" t="s">
        <v>46574</v>
      </c>
    </row>
    <row r="6727" spans="1:24">
      <c r="A6727">
        <f>HYPERLINK("https://www.philgeps.gov.ph/GEPSNONPILOT/Tender/SplashBidNoticeAbstractUI.aspx?menuIndex=3&amp;refID=7061334&amp;Result=3","7061334")</f>
        <v>0</v>
      </c>
      <c r="B6727" t="s">
        <v>1736</v>
      </c>
      <c r="C6727" t="s">
        <v>9911</v>
      </c>
      <c r="D6727" t="s">
        <v>18809</v>
      </c>
      <c r="E6727" t="s">
        <v>24832</v>
      </c>
      <c r="F6727" t="s">
        <v>32664</v>
      </c>
      <c r="G6727" t="s">
        <v>32671</v>
      </c>
      <c r="H6727" t="s">
        <v>12635</v>
      </c>
      <c r="I6727" t="s">
        <v>32692</v>
      </c>
      <c r="J6727" t="s">
        <v>36995</v>
      </c>
      <c r="K6727" t="s">
        <v>42309</v>
      </c>
      <c r="M6727" t="s">
        <v>44435</v>
      </c>
      <c r="N6727" t="s">
        <v>46569</v>
      </c>
      <c r="O6727" t="s">
        <v>46570</v>
      </c>
      <c r="P6727">
        <v>0</v>
      </c>
      <c r="Q6727">
        <v>1</v>
      </c>
      <c r="R6727" t="s">
        <v>46573</v>
      </c>
      <c r="S6727" t="s">
        <v>46705</v>
      </c>
      <c r="T6727" t="s">
        <v>48427</v>
      </c>
      <c r="U6727" t="s">
        <v>54345</v>
      </c>
      <c r="V6727" t="s">
        <v>62293</v>
      </c>
      <c r="W6727" t="s">
        <v>44435</v>
      </c>
      <c r="X6727" t="s">
        <v>46574</v>
      </c>
    </row>
    <row r="6728" spans="1:24">
      <c r="A6728">
        <f>HYPERLINK("https://www.philgeps.gov.ph/GEPSNONPILOT/Tender/SplashBidNoticeAbstractUI.aspx?menuIndex=3&amp;refID=7061332&amp;Result=3","7061332")</f>
        <v>0</v>
      </c>
      <c r="B6728" t="s">
        <v>388</v>
      </c>
      <c r="C6728" t="s">
        <v>9912</v>
      </c>
      <c r="D6728" t="s">
        <v>18799</v>
      </c>
      <c r="E6728" t="s">
        <v>9912</v>
      </c>
      <c r="F6728" t="s">
        <v>32664</v>
      </c>
      <c r="G6728" t="s">
        <v>32671</v>
      </c>
      <c r="H6728" t="s">
        <v>12635</v>
      </c>
      <c r="I6728" t="s">
        <v>32685</v>
      </c>
      <c r="J6728" t="s">
        <v>33334</v>
      </c>
      <c r="K6728" t="s">
        <v>42289</v>
      </c>
      <c r="M6728" t="s">
        <v>42958</v>
      </c>
      <c r="N6728" t="s">
        <v>46569</v>
      </c>
      <c r="O6728" t="s">
        <v>46570</v>
      </c>
      <c r="P6728">
        <v>0</v>
      </c>
      <c r="Q6728">
        <v>0</v>
      </c>
      <c r="R6728" t="s">
        <v>46573</v>
      </c>
      <c r="S6728" t="s">
        <v>46705</v>
      </c>
      <c r="T6728" t="s">
        <v>48307</v>
      </c>
      <c r="U6728" t="s">
        <v>54056</v>
      </c>
      <c r="W6728" t="s">
        <v>42958</v>
      </c>
      <c r="X6728" t="s">
        <v>46574</v>
      </c>
    </row>
    <row r="6729" spans="1:24">
      <c r="A6729">
        <f>HYPERLINK("https://www.philgeps.gov.ph/GEPSNONPILOT/Tender/SplashBidNoticeAbstractUI.aspx?menuIndex=3&amp;refID=7061330&amp;Result=3","7061330")</f>
        <v>0</v>
      </c>
      <c r="B6729" t="s">
        <v>2140</v>
      </c>
      <c r="C6729" t="s">
        <v>9913</v>
      </c>
      <c r="D6729" t="s">
        <v>18794</v>
      </c>
      <c r="E6729" t="s">
        <v>24833</v>
      </c>
      <c r="F6729" t="s">
        <v>32664</v>
      </c>
      <c r="G6729" t="s">
        <v>32672</v>
      </c>
      <c r="H6729" t="s">
        <v>12635</v>
      </c>
      <c r="I6729" t="s">
        <v>14442</v>
      </c>
      <c r="J6729" t="s">
        <v>36996</v>
      </c>
      <c r="K6729" t="s">
        <v>42305</v>
      </c>
      <c r="M6729" t="s">
        <v>44895</v>
      </c>
      <c r="N6729" t="s">
        <v>46569</v>
      </c>
      <c r="O6729" t="s">
        <v>46570</v>
      </c>
      <c r="P6729">
        <v>0</v>
      </c>
      <c r="Q6729">
        <v>9</v>
      </c>
      <c r="R6729" t="s">
        <v>46573</v>
      </c>
      <c r="S6729" t="s">
        <v>46705</v>
      </c>
      <c r="T6729" t="s">
        <v>48501</v>
      </c>
      <c r="U6729" t="s">
        <v>54346</v>
      </c>
      <c r="W6729" t="s">
        <v>44895</v>
      </c>
      <c r="X6729" t="s">
        <v>46574</v>
      </c>
    </row>
    <row r="6730" spans="1:24">
      <c r="A6730">
        <f>HYPERLINK("https://www.philgeps.gov.ph/GEPSNONPILOT/Tender/SplashBidNoticeAbstractUI.aspx?menuIndex=3&amp;refID=7061329&amp;Result=3","7061329")</f>
        <v>0</v>
      </c>
      <c r="B6730" t="s">
        <v>2141</v>
      </c>
      <c r="C6730" t="s">
        <v>9914</v>
      </c>
      <c r="D6730" t="s">
        <v>18781</v>
      </c>
      <c r="E6730" t="s">
        <v>24834</v>
      </c>
      <c r="F6730" t="s">
        <v>32664</v>
      </c>
      <c r="G6730" t="s">
        <v>32674</v>
      </c>
      <c r="H6730" t="s">
        <v>12635</v>
      </c>
      <c r="I6730" t="s">
        <v>4439</v>
      </c>
      <c r="J6730" t="s">
        <v>32830</v>
      </c>
      <c r="K6730" t="s">
        <v>42306</v>
      </c>
      <c r="M6730" t="s">
        <v>44896</v>
      </c>
      <c r="N6730" t="s">
        <v>46569</v>
      </c>
      <c r="O6730" t="s">
        <v>46570</v>
      </c>
      <c r="P6730">
        <v>0</v>
      </c>
      <c r="Q6730">
        <v>0</v>
      </c>
      <c r="R6730" t="s">
        <v>46573</v>
      </c>
      <c r="S6730" t="s">
        <v>46705</v>
      </c>
      <c r="T6730" t="s">
        <v>48316</v>
      </c>
      <c r="U6730" t="s">
        <v>54347</v>
      </c>
      <c r="W6730" t="s">
        <v>44896</v>
      </c>
      <c r="X6730" t="s">
        <v>46574</v>
      </c>
    </row>
    <row r="6731" spans="1:24">
      <c r="A6731">
        <f>HYPERLINK("https://www.philgeps.gov.ph/GEPSNONPILOT/Tender/SplashBidNoticeAbstractUI.aspx?menuIndex=3&amp;refID=7061297&amp;Result=3","7061297")</f>
        <v>0</v>
      </c>
      <c r="B6731" t="s">
        <v>2138</v>
      </c>
      <c r="C6731" t="s">
        <v>9915</v>
      </c>
      <c r="D6731" t="s">
        <v>18838</v>
      </c>
      <c r="E6731" t="s">
        <v>24830</v>
      </c>
      <c r="F6731" t="s">
        <v>32664</v>
      </c>
      <c r="G6731" t="s">
        <v>32674</v>
      </c>
      <c r="H6731" t="s">
        <v>12635</v>
      </c>
      <c r="I6731" t="s">
        <v>8730</v>
      </c>
      <c r="J6731" t="s">
        <v>36997</v>
      </c>
      <c r="K6731" t="s">
        <v>42306</v>
      </c>
      <c r="M6731" t="s">
        <v>44893</v>
      </c>
      <c r="N6731" t="s">
        <v>46569</v>
      </c>
      <c r="O6731" t="s">
        <v>46570</v>
      </c>
      <c r="P6731">
        <v>0</v>
      </c>
      <c r="Q6731">
        <v>1</v>
      </c>
      <c r="R6731" t="s">
        <v>46573</v>
      </c>
      <c r="S6731" t="s">
        <v>46705</v>
      </c>
      <c r="T6731" t="s">
        <v>48473</v>
      </c>
      <c r="U6731" t="s">
        <v>54348</v>
      </c>
      <c r="W6731" t="s">
        <v>44893</v>
      </c>
      <c r="X6731" t="s">
        <v>46574</v>
      </c>
    </row>
    <row r="6732" spans="1:24">
      <c r="A6732">
        <f>HYPERLINK("https://www.philgeps.gov.ph/GEPSNONPILOT/Tender/SplashBidNoticeAbstractUI.aspx?menuIndex=3&amp;refID=7061299&amp;Result=3","7061299")</f>
        <v>0</v>
      </c>
      <c r="B6732" t="s">
        <v>1247</v>
      </c>
      <c r="C6732" t="s">
        <v>9916</v>
      </c>
      <c r="D6732" t="s">
        <v>18802</v>
      </c>
      <c r="E6732" t="s">
        <v>24835</v>
      </c>
      <c r="F6732" t="s">
        <v>32664</v>
      </c>
      <c r="G6732" t="s">
        <v>32671</v>
      </c>
      <c r="H6732" t="s">
        <v>32681</v>
      </c>
      <c r="I6732" t="s">
        <v>32681</v>
      </c>
      <c r="J6732" t="s">
        <v>36998</v>
      </c>
      <c r="K6732" t="s">
        <v>42298</v>
      </c>
      <c r="M6732" t="s">
        <v>43889</v>
      </c>
      <c r="N6732" t="s">
        <v>46569</v>
      </c>
      <c r="O6732" t="s">
        <v>46570</v>
      </c>
      <c r="P6732">
        <v>0</v>
      </c>
      <c r="Q6732">
        <v>4</v>
      </c>
      <c r="R6732" t="s">
        <v>46573</v>
      </c>
      <c r="S6732" t="s">
        <v>46705</v>
      </c>
      <c r="T6732" t="s">
        <v>48254</v>
      </c>
      <c r="U6732" t="s">
        <v>51438</v>
      </c>
      <c r="W6732" t="s">
        <v>43889</v>
      </c>
      <c r="X6732" t="s">
        <v>46574</v>
      </c>
    </row>
    <row r="6733" spans="1:24">
      <c r="A6733">
        <f>HYPERLINK("https://www.philgeps.gov.ph/GEPSNONPILOT/Tender/SplashBidNoticeAbstractUI.aspx?menuIndex=3&amp;refID=7061333&amp;Result=3","7061333")</f>
        <v>0</v>
      </c>
      <c r="B6733" t="s">
        <v>1263</v>
      </c>
      <c r="C6733" t="s">
        <v>9917</v>
      </c>
      <c r="D6733" t="s">
        <v>18807</v>
      </c>
      <c r="E6733" t="s">
        <v>24836</v>
      </c>
      <c r="F6733" t="s">
        <v>32664</v>
      </c>
      <c r="G6733" t="s">
        <v>32671</v>
      </c>
      <c r="H6733" t="s">
        <v>12635</v>
      </c>
      <c r="I6733" t="s">
        <v>32694</v>
      </c>
      <c r="J6733" t="s">
        <v>36999</v>
      </c>
      <c r="K6733" t="s">
        <v>42283</v>
      </c>
      <c r="M6733" t="s">
        <v>43906</v>
      </c>
      <c r="N6733" t="s">
        <v>46569</v>
      </c>
      <c r="O6733" t="s">
        <v>46570</v>
      </c>
      <c r="P6733">
        <v>0</v>
      </c>
      <c r="Q6733">
        <v>0</v>
      </c>
      <c r="R6733" t="s">
        <v>46573</v>
      </c>
      <c r="S6733" t="s">
        <v>46705</v>
      </c>
      <c r="T6733" t="s">
        <v>48411</v>
      </c>
      <c r="U6733" t="s">
        <v>54349</v>
      </c>
      <c r="W6733" t="s">
        <v>43906</v>
      </c>
      <c r="X6733" t="s">
        <v>46574</v>
      </c>
    </row>
    <row r="6734" spans="1:24">
      <c r="A6734">
        <f>HYPERLINK("https://www.philgeps.gov.ph/GEPSNONPILOT/Tender/SplashBidNoticeAbstractUI.aspx?menuIndex=3&amp;refID=7061323&amp;Result=3","7061323")</f>
        <v>0</v>
      </c>
      <c r="B6734" t="s">
        <v>2140</v>
      </c>
      <c r="C6734" t="s">
        <v>9918</v>
      </c>
      <c r="D6734" t="s">
        <v>18794</v>
      </c>
      <c r="E6734" t="s">
        <v>24837</v>
      </c>
      <c r="F6734" t="s">
        <v>32664</v>
      </c>
      <c r="G6734" t="s">
        <v>32672</v>
      </c>
      <c r="H6734" t="s">
        <v>12635</v>
      </c>
      <c r="I6734" t="s">
        <v>14442</v>
      </c>
      <c r="J6734" t="s">
        <v>37000</v>
      </c>
      <c r="K6734" t="s">
        <v>42305</v>
      </c>
      <c r="M6734" t="s">
        <v>44895</v>
      </c>
      <c r="N6734" t="s">
        <v>46569</v>
      </c>
      <c r="O6734" t="s">
        <v>46570</v>
      </c>
      <c r="P6734">
        <v>0</v>
      </c>
      <c r="Q6734">
        <v>11</v>
      </c>
      <c r="R6734" t="s">
        <v>46573</v>
      </c>
      <c r="S6734" t="s">
        <v>46705</v>
      </c>
      <c r="T6734" t="s">
        <v>48501</v>
      </c>
      <c r="U6734" t="s">
        <v>54350</v>
      </c>
      <c r="W6734" t="s">
        <v>44895</v>
      </c>
      <c r="X6734" t="s">
        <v>46574</v>
      </c>
    </row>
    <row r="6735" spans="1:24">
      <c r="A6735">
        <f>HYPERLINK("https://www.philgeps.gov.ph/GEPSNONPILOT/Tender/SplashBidNoticeAbstractUI.aspx?menuIndex=3&amp;refID=7061322&amp;Result=3","7061322")</f>
        <v>0</v>
      </c>
      <c r="B6735" t="s">
        <v>2142</v>
      </c>
      <c r="C6735" t="s">
        <v>9919</v>
      </c>
      <c r="E6735" t="s">
        <v>24838</v>
      </c>
      <c r="F6735" t="s">
        <v>32664</v>
      </c>
      <c r="G6735" t="s">
        <v>32671</v>
      </c>
      <c r="H6735" t="s">
        <v>12635</v>
      </c>
      <c r="I6735" t="s">
        <v>32701</v>
      </c>
      <c r="J6735" t="s">
        <v>32976</v>
      </c>
      <c r="K6735" t="s">
        <v>42283</v>
      </c>
      <c r="M6735" t="s">
        <v>44897</v>
      </c>
      <c r="N6735" t="s">
        <v>46569</v>
      </c>
      <c r="O6735" t="s">
        <v>46570</v>
      </c>
      <c r="P6735">
        <v>0</v>
      </c>
      <c r="Q6735">
        <v>6</v>
      </c>
      <c r="R6735" t="s">
        <v>46573</v>
      </c>
      <c r="S6735" t="s">
        <v>46705</v>
      </c>
      <c r="T6735" t="s">
        <v>48502</v>
      </c>
      <c r="U6735" t="s">
        <v>54351</v>
      </c>
      <c r="V6735" t="s">
        <v>62294</v>
      </c>
      <c r="W6735" t="s">
        <v>44897</v>
      </c>
      <c r="X6735" t="s">
        <v>46574</v>
      </c>
    </row>
    <row r="6736" spans="1:24">
      <c r="A6736">
        <f>HYPERLINK("https://www.philgeps.gov.ph/GEPSNONPILOT/Tender/SplashBidNoticeAbstractUI.aspx?menuIndex=3&amp;refID=7061319&amp;Result=3","7061319")</f>
        <v>0</v>
      </c>
      <c r="B6736" t="s">
        <v>1561</v>
      </c>
      <c r="C6736" t="s">
        <v>9920</v>
      </c>
      <c r="E6736" t="s">
        <v>24839</v>
      </c>
      <c r="F6736" t="s">
        <v>32664</v>
      </c>
      <c r="G6736" t="s">
        <v>32671</v>
      </c>
      <c r="H6736" t="s">
        <v>12635</v>
      </c>
      <c r="I6736" t="s">
        <v>10590</v>
      </c>
      <c r="J6736" t="s">
        <v>33250</v>
      </c>
      <c r="K6736" t="s">
        <v>42284</v>
      </c>
      <c r="M6736" t="s">
        <v>44232</v>
      </c>
      <c r="N6736" t="s">
        <v>46569</v>
      </c>
      <c r="O6736" t="s">
        <v>46570</v>
      </c>
      <c r="P6736">
        <v>0</v>
      </c>
      <c r="Q6736">
        <v>0</v>
      </c>
      <c r="R6736" t="s">
        <v>46573</v>
      </c>
      <c r="S6736" t="s">
        <v>46705</v>
      </c>
      <c r="T6736" t="s">
        <v>48316</v>
      </c>
      <c r="U6736" t="s">
        <v>54352</v>
      </c>
      <c r="W6736" t="s">
        <v>44232</v>
      </c>
      <c r="X6736" t="s">
        <v>46574</v>
      </c>
    </row>
    <row r="6737" spans="1:24">
      <c r="A6737">
        <f>HYPERLINK("https://www.philgeps.gov.ph/GEPSNONPILOT/Tender/SplashBidNoticeAbstractUI.aspx?menuIndex=3&amp;refID=7061298&amp;Result=3","7061298")</f>
        <v>0</v>
      </c>
      <c r="B6737" t="s">
        <v>1561</v>
      </c>
      <c r="C6737" t="s">
        <v>9921</v>
      </c>
      <c r="E6737" t="s">
        <v>24840</v>
      </c>
      <c r="F6737" t="s">
        <v>32664</v>
      </c>
      <c r="G6737" t="s">
        <v>32671</v>
      </c>
      <c r="H6737" t="s">
        <v>12635</v>
      </c>
      <c r="I6737" t="s">
        <v>4439</v>
      </c>
      <c r="J6737" t="s">
        <v>37001</v>
      </c>
      <c r="K6737" t="s">
        <v>42284</v>
      </c>
      <c r="M6737" t="s">
        <v>44232</v>
      </c>
      <c r="N6737" t="s">
        <v>46569</v>
      </c>
      <c r="O6737" t="s">
        <v>46570</v>
      </c>
      <c r="P6737">
        <v>0</v>
      </c>
      <c r="Q6737">
        <v>0</v>
      </c>
      <c r="R6737" t="s">
        <v>46573</v>
      </c>
      <c r="S6737" t="s">
        <v>46705</v>
      </c>
      <c r="T6737" t="s">
        <v>48316</v>
      </c>
      <c r="U6737" t="s">
        <v>54353</v>
      </c>
      <c r="W6737" t="s">
        <v>44232</v>
      </c>
      <c r="X6737" t="s">
        <v>46574</v>
      </c>
    </row>
    <row r="6738" spans="1:24">
      <c r="A6738">
        <f>HYPERLINK("https://www.philgeps.gov.ph/GEPSNONPILOT/Tender/SplashBidNoticeAbstractUI.aspx?menuIndex=3&amp;refID=7061321&amp;Result=3","7061321")</f>
        <v>0</v>
      </c>
      <c r="B6738" t="s">
        <v>2131</v>
      </c>
      <c r="C6738" t="s">
        <v>9922</v>
      </c>
      <c r="D6738" t="s">
        <v>18824</v>
      </c>
      <c r="E6738" t="s">
        <v>24841</v>
      </c>
      <c r="F6738" t="s">
        <v>32664</v>
      </c>
      <c r="G6738" t="s">
        <v>32672</v>
      </c>
      <c r="H6738" t="s">
        <v>32683</v>
      </c>
      <c r="I6738" t="s">
        <v>10627</v>
      </c>
      <c r="J6738" t="s">
        <v>32859</v>
      </c>
      <c r="K6738" t="s">
        <v>42281</v>
      </c>
      <c r="M6738" t="s">
        <v>44886</v>
      </c>
      <c r="N6738" t="s">
        <v>46569</v>
      </c>
      <c r="O6738" t="s">
        <v>46570</v>
      </c>
      <c r="P6738">
        <v>0</v>
      </c>
      <c r="Q6738">
        <v>0</v>
      </c>
      <c r="R6738" t="s">
        <v>46573</v>
      </c>
      <c r="S6738" t="s">
        <v>46705</v>
      </c>
      <c r="T6738" t="s">
        <v>48304</v>
      </c>
      <c r="U6738" t="s">
        <v>54354</v>
      </c>
      <c r="W6738" t="s">
        <v>44886</v>
      </c>
      <c r="X6738" t="s">
        <v>46574</v>
      </c>
    </row>
    <row r="6739" spans="1:24">
      <c r="A6739">
        <f>HYPERLINK("https://www.philgeps.gov.ph/GEPSNONPILOT/Tender/SplashBidNoticeAbstractUI.aspx?menuIndex=3&amp;refID=7061316&amp;Result=3","7061316")</f>
        <v>0</v>
      </c>
      <c r="B6739" t="s">
        <v>2143</v>
      </c>
      <c r="C6739" t="s">
        <v>9923</v>
      </c>
      <c r="D6739" t="s">
        <v>18783</v>
      </c>
      <c r="E6739" t="s">
        <v>24842</v>
      </c>
      <c r="F6739" t="s">
        <v>32664</v>
      </c>
      <c r="G6739" t="s">
        <v>32671</v>
      </c>
      <c r="H6739" t="s">
        <v>12635</v>
      </c>
      <c r="I6739" t="s">
        <v>32725</v>
      </c>
      <c r="J6739" t="s">
        <v>37002</v>
      </c>
      <c r="K6739" t="s">
        <v>42284</v>
      </c>
      <c r="M6739" t="s">
        <v>44898</v>
      </c>
      <c r="N6739" t="s">
        <v>46569</v>
      </c>
      <c r="O6739" t="s">
        <v>46570</v>
      </c>
      <c r="P6739">
        <v>0</v>
      </c>
      <c r="Q6739">
        <v>1</v>
      </c>
      <c r="R6739" t="s">
        <v>46573</v>
      </c>
      <c r="S6739" t="s">
        <v>46705</v>
      </c>
      <c r="T6739" t="s">
        <v>48254</v>
      </c>
      <c r="U6739" t="s">
        <v>54355</v>
      </c>
      <c r="W6739" t="s">
        <v>44898</v>
      </c>
      <c r="X6739" t="s">
        <v>46574</v>
      </c>
    </row>
    <row r="6740" spans="1:24">
      <c r="A6740">
        <f>HYPERLINK("https://www.philgeps.gov.ph/GEPSNONPILOT/Tender/SplashBidNoticeAbstractUI.aspx?menuIndex=3&amp;refID=7061264&amp;Result=3","7061264")</f>
        <v>0</v>
      </c>
      <c r="B6740" t="s">
        <v>780</v>
      </c>
      <c r="C6740" t="s">
        <v>9924</v>
      </c>
      <c r="D6740" t="s">
        <v>18820</v>
      </c>
      <c r="E6740" t="s">
        <v>24843</v>
      </c>
      <c r="F6740" t="s">
        <v>32664</v>
      </c>
      <c r="G6740" t="s">
        <v>32671</v>
      </c>
      <c r="H6740" t="s">
        <v>12635</v>
      </c>
      <c r="I6740" t="s">
        <v>32694</v>
      </c>
      <c r="J6740" t="s">
        <v>37003</v>
      </c>
      <c r="K6740" t="s">
        <v>42281</v>
      </c>
      <c r="M6740" t="s">
        <v>43372</v>
      </c>
      <c r="N6740" t="s">
        <v>46569</v>
      </c>
      <c r="O6740" t="s">
        <v>46570</v>
      </c>
      <c r="P6740">
        <v>0</v>
      </c>
      <c r="Q6740">
        <v>0</v>
      </c>
      <c r="R6740" t="s">
        <v>46573</v>
      </c>
      <c r="S6740" t="s">
        <v>46705</v>
      </c>
      <c r="T6740" t="s">
        <v>48228</v>
      </c>
      <c r="U6740" t="s">
        <v>50255</v>
      </c>
      <c r="W6740" t="s">
        <v>43372</v>
      </c>
      <c r="X6740" t="s">
        <v>46574</v>
      </c>
    </row>
    <row r="6741" spans="1:24">
      <c r="A6741">
        <f>HYPERLINK("https://www.philgeps.gov.ph/GEPSNONPILOT/Tender/SplashBidNoticeAbstractUI.aspx?menuIndex=3&amp;refID=7061313&amp;Result=3","7061313")</f>
        <v>0</v>
      </c>
      <c r="B6741" t="s">
        <v>318</v>
      </c>
      <c r="C6741" t="s">
        <v>9925</v>
      </c>
      <c r="D6741" t="s">
        <v>18842</v>
      </c>
      <c r="E6741" t="s">
        <v>19491</v>
      </c>
      <c r="F6741" t="s">
        <v>32664</v>
      </c>
      <c r="G6741" t="s">
        <v>32671</v>
      </c>
      <c r="H6741" t="s">
        <v>12635</v>
      </c>
      <c r="I6741" t="s">
        <v>6628</v>
      </c>
      <c r="J6741" t="s">
        <v>33096</v>
      </c>
      <c r="K6741" t="s">
        <v>42289</v>
      </c>
      <c r="M6741" t="s">
        <v>42886</v>
      </c>
      <c r="N6741" t="s">
        <v>46569</v>
      </c>
      <c r="O6741" t="s">
        <v>46570</v>
      </c>
      <c r="P6741">
        <v>0</v>
      </c>
      <c r="Q6741">
        <v>0</v>
      </c>
      <c r="R6741" t="s">
        <v>46573</v>
      </c>
      <c r="S6741" t="s">
        <v>46705</v>
      </c>
      <c r="T6741" t="s">
        <v>48420</v>
      </c>
      <c r="U6741" t="s">
        <v>54356</v>
      </c>
      <c r="W6741" t="s">
        <v>42886</v>
      </c>
      <c r="X6741" t="s">
        <v>46574</v>
      </c>
    </row>
    <row r="6742" spans="1:24">
      <c r="A6742">
        <f>HYPERLINK("https://www.philgeps.gov.ph/GEPSNONPILOT/Tender/SplashBidNoticeAbstractUI.aspx?menuIndex=3&amp;refID=7061312&amp;Result=3","7061312")</f>
        <v>0</v>
      </c>
      <c r="B6742" t="s">
        <v>2136</v>
      </c>
      <c r="C6742" t="s">
        <v>9926</v>
      </c>
      <c r="D6742" t="s">
        <v>18827</v>
      </c>
      <c r="E6742" t="s">
        <v>24844</v>
      </c>
      <c r="F6742" t="s">
        <v>32664</v>
      </c>
      <c r="G6742" t="s">
        <v>32671</v>
      </c>
      <c r="H6742" t="s">
        <v>32682</v>
      </c>
      <c r="I6742" t="s">
        <v>5589</v>
      </c>
      <c r="J6742" t="s">
        <v>37004</v>
      </c>
      <c r="K6742" t="s">
        <v>42305</v>
      </c>
      <c r="M6742" t="s">
        <v>44891</v>
      </c>
      <c r="N6742" t="s">
        <v>46569</v>
      </c>
      <c r="O6742" t="s">
        <v>46570</v>
      </c>
      <c r="P6742">
        <v>0</v>
      </c>
      <c r="Q6742">
        <v>1</v>
      </c>
      <c r="R6742" t="s">
        <v>46573</v>
      </c>
      <c r="S6742" t="s">
        <v>46705</v>
      </c>
      <c r="T6742" t="s">
        <v>48305</v>
      </c>
      <c r="U6742" t="s">
        <v>54339</v>
      </c>
      <c r="W6742" t="s">
        <v>44891</v>
      </c>
      <c r="X6742" t="s">
        <v>46574</v>
      </c>
    </row>
    <row r="6743" spans="1:24">
      <c r="A6743">
        <f>HYPERLINK("https://www.philgeps.gov.ph/GEPSNONPILOT/Tender/SplashBidNoticeAbstractUI.aspx?menuIndex=3&amp;refID=7061308&amp;Result=3","7061308")</f>
        <v>0</v>
      </c>
      <c r="B6743" t="s">
        <v>2055</v>
      </c>
      <c r="C6743" t="s">
        <v>9927</v>
      </c>
      <c r="D6743" t="s">
        <v>18785</v>
      </c>
      <c r="E6743" t="s">
        <v>24845</v>
      </c>
      <c r="F6743" t="s">
        <v>32664</v>
      </c>
      <c r="G6743" t="s">
        <v>32671</v>
      </c>
      <c r="H6743" t="s">
        <v>12635</v>
      </c>
      <c r="I6743" t="s">
        <v>7709</v>
      </c>
      <c r="J6743" t="s">
        <v>33682</v>
      </c>
      <c r="K6743" t="s">
        <v>42284</v>
      </c>
      <c r="M6743" t="s">
        <v>44804</v>
      </c>
      <c r="N6743" t="s">
        <v>46569</v>
      </c>
      <c r="O6743" t="s">
        <v>46570</v>
      </c>
      <c r="P6743">
        <v>0</v>
      </c>
      <c r="Q6743">
        <v>0</v>
      </c>
      <c r="R6743" t="s">
        <v>46573</v>
      </c>
      <c r="S6743" t="s">
        <v>46705</v>
      </c>
      <c r="T6743" t="s">
        <v>48307</v>
      </c>
      <c r="U6743" t="s">
        <v>54357</v>
      </c>
      <c r="W6743" t="s">
        <v>44804</v>
      </c>
      <c r="X6743" t="s">
        <v>46574</v>
      </c>
    </row>
    <row r="6744" spans="1:24">
      <c r="A6744">
        <f>HYPERLINK("https://www.philgeps.gov.ph/GEPSNONPILOT/Tender/SplashBidNoticeAbstractUI.aspx?menuIndex=3&amp;refID=7061317&amp;Result=3","7061317")</f>
        <v>0</v>
      </c>
      <c r="B6744" t="s">
        <v>527</v>
      </c>
      <c r="C6744" t="s">
        <v>9928</v>
      </c>
      <c r="D6744" t="s">
        <v>18784</v>
      </c>
      <c r="E6744" t="s">
        <v>24846</v>
      </c>
      <c r="F6744" t="s">
        <v>32664</v>
      </c>
      <c r="G6744" t="s">
        <v>32671</v>
      </c>
      <c r="H6744" t="s">
        <v>12635</v>
      </c>
      <c r="I6744" t="s">
        <v>6223</v>
      </c>
      <c r="J6744" t="s">
        <v>37005</v>
      </c>
      <c r="K6744" t="s">
        <v>42284</v>
      </c>
      <c r="M6744" t="s">
        <v>43496</v>
      </c>
      <c r="N6744" t="s">
        <v>46569</v>
      </c>
      <c r="O6744" t="s">
        <v>46570</v>
      </c>
      <c r="P6744">
        <v>0</v>
      </c>
      <c r="Q6744">
        <v>0</v>
      </c>
      <c r="R6744" t="s">
        <v>46573</v>
      </c>
      <c r="S6744" t="s">
        <v>46705</v>
      </c>
      <c r="T6744" t="s">
        <v>48287</v>
      </c>
      <c r="U6744" t="s">
        <v>50582</v>
      </c>
      <c r="W6744" t="s">
        <v>43496</v>
      </c>
      <c r="X6744" t="s">
        <v>46574</v>
      </c>
    </row>
    <row r="6745" spans="1:24">
      <c r="A6745">
        <f>HYPERLINK("https://www.philgeps.gov.ph/GEPSNONPILOT/Tender/SplashBidNoticeAbstractUI.aspx?menuIndex=3&amp;refID=7061283&amp;Result=3","7061283")</f>
        <v>0</v>
      </c>
      <c r="B6745" t="s">
        <v>1561</v>
      </c>
      <c r="C6745" t="s">
        <v>9929</v>
      </c>
      <c r="E6745" t="s">
        <v>24847</v>
      </c>
      <c r="F6745" t="s">
        <v>32664</v>
      </c>
      <c r="G6745" t="s">
        <v>32671</v>
      </c>
      <c r="H6745" t="s">
        <v>12635</v>
      </c>
      <c r="I6745" t="s">
        <v>4439</v>
      </c>
      <c r="J6745" t="s">
        <v>37006</v>
      </c>
      <c r="K6745" t="s">
        <v>42284</v>
      </c>
      <c r="M6745" t="s">
        <v>44232</v>
      </c>
      <c r="N6745" t="s">
        <v>46569</v>
      </c>
      <c r="O6745" t="s">
        <v>46570</v>
      </c>
      <c r="P6745">
        <v>0</v>
      </c>
      <c r="Q6745">
        <v>0</v>
      </c>
      <c r="R6745" t="s">
        <v>46573</v>
      </c>
      <c r="S6745" t="s">
        <v>46705</v>
      </c>
      <c r="T6745" t="s">
        <v>48316</v>
      </c>
      <c r="U6745" t="s">
        <v>54358</v>
      </c>
      <c r="W6745" t="s">
        <v>44232</v>
      </c>
      <c r="X6745" t="s">
        <v>46574</v>
      </c>
    </row>
    <row r="6746" spans="1:24">
      <c r="A6746">
        <f>HYPERLINK("https://www.philgeps.gov.ph/GEPSNONPILOT/Tender/SplashBidNoticeAbstractUI.aspx?menuIndex=3&amp;refID=7061282&amp;Result=3","7061282")</f>
        <v>0</v>
      </c>
      <c r="B6746" t="s">
        <v>2121</v>
      </c>
      <c r="C6746" t="s">
        <v>9930</v>
      </c>
      <c r="D6746" t="s">
        <v>18844</v>
      </c>
      <c r="E6746" t="s">
        <v>24848</v>
      </c>
      <c r="F6746" t="s">
        <v>32664</v>
      </c>
      <c r="G6746" t="s">
        <v>32672</v>
      </c>
      <c r="H6746" t="s">
        <v>12635</v>
      </c>
      <c r="I6746" t="s">
        <v>32706</v>
      </c>
      <c r="J6746" t="s">
        <v>32859</v>
      </c>
      <c r="K6746" t="s">
        <v>42333</v>
      </c>
      <c r="L6746" t="s">
        <v>2121</v>
      </c>
      <c r="M6746" t="s">
        <v>44876</v>
      </c>
      <c r="N6746" t="s">
        <v>46569</v>
      </c>
      <c r="O6746" t="s">
        <v>46570</v>
      </c>
      <c r="P6746">
        <v>0</v>
      </c>
      <c r="Q6746">
        <v>0</v>
      </c>
      <c r="R6746" t="s">
        <v>46573</v>
      </c>
      <c r="S6746" t="s">
        <v>46705</v>
      </c>
      <c r="T6746" t="s">
        <v>48228</v>
      </c>
      <c r="U6746" t="s">
        <v>54359</v>
      </c>
      <c r="V6746" t="s">
        <v>62295</v>
      </c>
      <c r="W6746" t="s">
        <v>44876</v>
      </c>
      <c r="X6746" t="s">
        <v>46574</v>
      </c>
    </row>
    <row r="6747" spans="1:24">
      <c r="A6747">
        <f>HYPERLINK("https://www.philgeps.gov.ph/GEPSNONPILOT/Tender/SplashBidNoticeAbstractUI.aspx?menuIndex=3&amp;refID=7061306&amp;Result=3","7061306")</f>
        <v>0</v>
      </c>
      <c r="B6747" t="s">
        <v>1753</v>
      </c>
      <c r="C6747" t="s">
        <v>9931</v>
      </c>
      <c r="D6747" t="s">
        <v>18784</v>
      </c>
      <c r="E6747" t="s">
        <v>24849</v>
      </c>
      <c r="F6747" t="s">
        <v>32664</v>
      </c>
      <c r="G6747" t="s">
        <v>32671</v>
      </c>
      <c r="H6747" t="s">
        <v>12635</v>
      </c>
      <c r="I6747" t="s">
        <v>6628</v>
      </c>
      <c r="J6747" t="s">
        <v>37007</v>
      </c>
      <c r="K6747" t="s">
        <v>42281</v>
      </c>
      <c r="M6747" t="s">
        <v>44453</v>
      </c>
      <c r="N6747" t="s">
        <v>46569</v>
      </c>
      <c r="O6747" t="s">
        <v>46570</v>
      </c>
      <c r="P6747">
        <v>0</v>
      </c>
      <c r="Q6747">
        <v>2</v>
      </c>
      <c r="R6747" t="s">
        <v>46573</v>
      </c>
      <c r="S6747" t="s">
        <v>46705</v>
      </c>
      <c r="T6747" t="s">
        <v>48244</v>
      </c>
      <c r="U6747" t="s">
        <v>54360</v>
      </c>
      <c r="W6747" t="s">
        <v>44453</v>
      </c>
      <c r="X6747" t="s">
        <v>46574</v>
      </c>
    </row>
    <row r="6748" spans="1:24">
      <c r="A6748">
        <f>HYPERLINK("https://www.philgeps.gov.ph/GEPSNONPILOT/Tender/SplashBidNoticeAbstractUI.aspx?menuIndex=3&amp;refID=7061324&amp;Result=3","7061324")</f>
        <v>0</v>
      </c>
      <c r="B6748" t="s">
        <v>1169</v>
      </c>
      <c r="C6748" t="s">
        <v>9932</v>
      </c>
      <c r="D6748" t="s">
        <v>18820</v>
      </c>
      <c r="E6748" t="s">
        <v>24850</v>
      </c>
      <c r="F6748" t="s">
        <v>32664</v>
      </c>
      <c r="G6748" t="s">
        <v>32672</v>
      </c>
      <c r="H6748" t="s">
        <v>32683</v>
      </c>
      <c r="I6748" t="s">
        <v>10627</v>
      </c>
      <c r="J6748" t="s">
        <v>33302</v>
      </c>
      <c r="K6748" t="s">
        <v>42281</v>
      </c>
      <c r="M6748" t="s">
        <v>43803</v>
      </c>
      <c r="N6748" t="s">
        <v>46569</v>
      </c>
      <c r="O6748" t="s">
        <v>46570</v>
      </c>
      <c r="P6748">
        <v>0</v>
      </c>
      <c r="Q6748">
        <v>0</v>
      </c>
      <c r="R6748" t="s">
        <v>46573</v>
      </c>
      <c r="S6748" t="s">
        <v>46705</v>
      </c>
      <c r="T6748" t="s">
        <v>48273</v>
      </c>
      <c r="U6748" t="s">
        <v>54361</v>
      </c>
      <c r="W6748" t="s">
        <v>43803</v>
      </c>
      <c r="X6748" t="s">
        <v>46574</v>
      </c>
    </row>
    <row r="6749" spans="1:24">
      <c r="A6749">
        <f>HYPERLINK("https://www.philgeps.gov.ph/GEPSNONPILOT/Tender/SplashBidNoticeAbstractUI.aspx?menuIndex=3&amp;refID=7061318&amp;Result=3","7061318")</f>
        <v>0</v>
      </c>
      <c r="B6749" t="s">
        <v>2144</v>
      </c>
      <c r="C6749" t="s">
        <v>9933</v>
      </c>
      <c r="D6749" t="s">
        <v>18784</v>
      </c>
      <c r="E6749" t="s">
        <v>24851</v>
      </c>
      <c r="F6749" t="s">
        <v>32664</v>
      </c>
      <c r="G6749" t="s">
        <v>32671</v>
      </c>
      <c r="H6749" t="s">
        <v>12635</v>
      </c>
      <c r="I6749" t="s">
        <v>32690</v>
      </c>
      <c r="J6749" t="s">
        <v>36429</v>
      </c>
      <c r="K6749" t="s">
        <v>42284</v>
      </c>
      <c r="L6749" t="s">
        <v>2144</v>
      </c>
      <c r="M6749" t="s">
        <v>44899</v>
      </c>
      <c r="N6749" t="s">
        <v>46569</v>
      </c>
      <c r="O6749" t="s">
        <v>46570</v>
      </c>
      <c r="P6749">
        <v>0</v>
      </c>
      <c r="Q6749">
        <v>1</v>
      </c>
      <c r="R6749" t="s">
        <v>46573</v>
      </c>
      <c r="S6749" t="s">
        <v>46705</v>
      </c>
      <c r="T6749" t="s">
        <v>48316</v>
      </c>
      <c r="U6749" t="s">
        <v>54362</v>
      </c>
      <c r="W6749" t="s">
        <v>44899</v>
      </c>
      <c r="X6749" t="s">
        <v>46574</v>
      </c>
    </row>
    <row r="6750" spans="1:24">
      <c r="A6750">
        <f>HYPERLINK("https://www.philgeps.gov.ph/GEPSNONPILOT/Tender/SplashBidNoticeAbstractUI.aspx?menuIndex=3&amp;refID=7061280&amp;Result=3","7061280")</f>
        <v>0</v>
      </c>
      <c r="B6750" t="s">
        <v>350</v>
      </c>
      <c r="C6750" t="s">
        <v>9934</v>
      </c>
      <c r="D6750" t="s">
        <v>18804</v>
      </c>
      <c r="E6750" t="s">
        <v>24852</v>
      </c>
      <c r="F6750" t="s">
        <v>32664</v>
      </c>
      <c r="G6750" t="s">
        <v>32672</v>
      </c>
      <c r="H6750" t="s">
        <v>32683</v>
      </c>
      <c r="I6750" t="s">
        <v>10627</v>
      </c>
      <c r="J6750" t="s">
        <v>33167</v>
      </c>
      <c r="K6750" t="s">
        <v>42303</v>
      </c>
      <c r="M6750" t="s">
        <v>42919</v>
      </c>
      <c r="N6750" t="s">
        <v>46569</v>
      </c>
      <c r="O6750" t="s">
        <v>46570</v>
      </c>
      <c r="P6750">
        <v>0</v>
      </c>
      <c r="Q6750">
        <v>0</v>
      </c>
      <c r="R6750" t="s">
        <v>46573</v>
      </c>
      <c r="S6750" t="s">
        <v>46705</v>
      </c>
      <c r="T6750" t="s">
        <v>48283</v>
      </c>
      <c r="U6750" t="s">
        <v>54363</v>
      </c>
      <c r="W6750" t="s">
        <v>42919</v>
      </c>
      <c r="X6750" t="s">
        <v>46574</v>
      </c>
    </row>
    <row r="6751" spans="1:24">
      <c r="A6751">
        <f>HYPERLINK("https://www.philgeps.gov.ph/GEPSNONPILOT/Tender/SplashBidNoticeAbstractUI.aspx?menuIndex=3&amp;refID=7061287&amp;Result=3","7061287")</f>
        <v>0</v>
      </c>
      <c r="B6751" t="s">
        <v>990</v>
      </c>
      <c r="C6751" t="s">
        <v>9935</v>
      </c>
      <c r="E6751" t="s">
        <v>24853</v>
      </c>
      <c r="F6751" t="s">
        <v>32664</v>
      </c>
      <c r="G6751" t="s">
        <v>32671</v>
      </c>
      <c r="H6751" t="s">
        <v>12635</v>
      </c>
      <c r="I6751" t="s">
        <v>5589</v>
      </c>
      <c r="J6751" t="s">
        <v>33461</v>
      </c>
      <c r="K6751" t="s">
        <v>42283</v>
      </c>
      <c r="M6751" t="s">
        <v>44051</v>
      </c>
      <c r="N6751" t="s">
        <v>46569</v>
      </c>
      <c r="O6751" t="s">
        <v>46570</v>
      </c>
      <c r="P6751">
        <v>0</v>
      </c>
      <c r="Q6751">
        <v>8</v>
      </c>
      <c r="R6751" t="s">
        <v>46573</v>
      </c>
      <c r="S6751" t="s">
        <v>46705</v>
      </c>
      <c r="T6751" t="s">
        <v>48450</v>
      </c>
      <c r="U6751" t="s">
        <v>54364</v>
      </c>
      <c r="V6751" t="s">
        <v>62140</v>
      </c>
      <c r="W6751" t="s">
        <v>44051</v>
      </c>
      <c r="X6751" t="s">
        <v>46574</v>
      </c>
    </row>
    <row r="6752" spans="1:24">
      <c r="A6752">
        <f>HYPERLINK("https://www.philgeps.gov.ph/GEPSNONPILOT/Tender/SplashBidNoticeAbstractUI.aspx?menuIndex=3&amp;refID=7061356&amp;Result=3","7061356")</f>
        <v>0</v>
      </c>
      <c r="B6752" t="s">
        <v>1263</v>
      </c>
      <c r="C6752" t="s">
        <v>9936</v>
      </c>
      <c r="D6752" t="s">
        <v>18807</v>
      </c>
      <c r="E6752" t="s">
        <v>24854</v>
      </c>
      <c r="F6752" t="s">
        <v>32664</v>
      </c>
      <c r="G6752" t="s">
        <v>32671</v>
      </c>
      <c r="H6752" t="s">
        <v>12635</v>
      </c>
      <c r="I6752" t="s">
        <v>32694</v>
      </c>
      <c r="J6752" t="s">
        <v>37008</v>
      </c>
      <c r="K6752" t="s">
        <v>42283</v>
      </c>
      <c r="M6752" t="s">
        <v>43906</v>
      </c>
      <c r="N6752" t="s">
        <v>46569</v>
      </c>
      <c r="O6752" t="s">
        <v>46570</v>
      </c>
      <c r="P6752">
        <v>0</v>
      </c>
      <c r="Q6752">
        <v>0</v>
      </c>
      <c r="R6752" t="s">
        <v>46573</v>
      </c>
      <c r="S6752" t="s">
        <v>46705</v>
      </c>
      <c r="T6752" t="s">
        <v>48411</v>
      </c>
      <c r="U6752" t="s">
        <v>54349</v>
      </c>
      <c r="W6752" t="s">
        <v>43906</v>
      </c>
      <c r="X6752" t="s">
        <v>46574</v>
      </c>
    </row>
    <row r="6753" spans="1:24">
      <c r="A6753">
        <f>HYPERLINK("https://www.philgeps.gov.ph/GEPSNONPILOT/Tender/SplashBidNoticeAbstractUI.aspx?menuIndex=3&amp;refID=7061355&amp;Result=3","7061355")</f>
        <v>0</v>
      </c>
      <c r="B6753" t="s">
        <v>2140</v>
      </c>
      <c r="C6753" t="s">
        <v>9937</v>
      </c>
      <c r="D6753" t="s">
        <v>18794</v>
      </c>
      <c r="E6753" t="s">
        <v>24855</v>
      </c>
      <c r="F6753" t="s">
        <v>32664</v>
      </c>
      <c r="G6753" t="s">
        <v>32672</v>
      </c>
      <c r="H6753" t="s">
        <v>12635</v>
      </c>
      <c r="I6753" t="s">
        <v>32697</v>
      </c>
      <c r="J6753" t="s">
        <v>37009</v>
      </c>
      <c r="K6753" t="s">
        <v>42305</v>
      </c>
      <c r="M6753" t="s">
        <v>44895</v>
      </c>
      <c r="N6753" t="s">
        <v>46569</v>
      </c>
      <c r="O6753" t="s">
        <v>46570</v>
      </c>
      <c r="P6753">
        <v>0</v>
      </c>
      <c r="Q6753">
        <v>2</v>
      </c>
      <c r="R6753" t="s">
        <v>46573</v>
      </c>
      <c r="S6753" t="s">
        <v>46705</v>
      </c>
      <c r="T6753" t="s">
        <v>48377</v>
      </c>
      <c r="U6753" t="s">
        <v>54365</v>
      </c>
      <c r="W6753" t="s">
        <v>44895</v>
      </c>
      <c r="X6753" t="s">
        <v>46574</v>
      </c>
    </row>
    <row r="6754" spans="1:24">
      <c r="A6754">
        <f>HYPERLINK("https://www.philgeps.gov.ph/GEPSNONPILOT/Tender/SplashBidNoticeAbstractUI.aspx?menuIndex=3&amp;refID=7061354&amp;Result=3","7061354")</f>
        <v>0</v>
      </c>
      <c r="B6754" t="s">
        <v>428</v>
      </c>
      <c r="C6754" t="s">
        <v>9938</v>
      </c>
      <c r="D6754" t="s">
        <v>18842</v>
      </c>
      <c r="E6754" t="s">
        <v>24856</v>
      </c>
      <c r="F6754" t="s">
        <v>32664</v>
      </c>
      <c r="G6754" t="s">
        <v>32672</v>
      </c>
      <c r="H6754" t="s">
        <v>32683</v>
      </c>
      <c r="I6754" t="s">
        <v>32783</v>
      </c>
      <c r="J6754" t="s">
        <v>37010</v>
      </c>
      <c r="K6754" t="s">
        <v>42449</v>
      </c>
      <c r="M6754" t="s">
        <v>44243</v>
      </c>
      <c r="N6754" t="s">
        <v>46569</v>
      </c>
      <c r="O6754" t="s">
        <v>46570</v>
      </c>
      <c r="P6754">
        <v>0</v>
      </c>
      <c r="Q6754">
        <v>0</v>
      </c>
      <c r="R6754" t="s">
        <v>46573</v>
      </c>
      <c r="S6754" t="s">
        <v>46705</v>
      </c>
      <c r="T6754" t="s">
        <v>48406</v>
      </c>
      <c r="U6754" t="s">
        <v>54366</v>
      </c>
      <c r="W6754" t="s">
        <v>44243</v>
      </c>
      <c r="X6754" t="s">
        <v>46574</v>
      </c>
    </row>
    <row r="6755" spans="1:24">
      <c r="A6755">
        <f>HYPERLINK("https://www.philgeps.gov.ph/GEPSNONPILOT/Tender/SplashBidNoticeAbstractUI.aspx?menuIndex=3&amp;refID=7061352&amp;Result=3","7061352")</f>
        <v>0</v>
      </c>
      <c r="B6755" t="s">
        <v>2145</v>
      </c>
      <c r="C6755" t="s">
        <v>9939</v>
      </c>
      <c r="D6755" t="s">
        <v>18847</v>
      </c>
      <c r="E6755" t="s">
        <v>24857</v>
      </c>
      <c r="F6755" t="s">
        <v>32664</v>
      </c>
      <c r="G6755" t="s">
        <v>32671</v>
      </c>
      <c r="H6755" t="s">
        <v>12635</v>
      </c>
      <c r="I6755" t="s">
        <v>32706</v>
      </c>
      <c r="J6755" t="s">
        <v>37011</v>
      </c>
      <c r="K6755" t="s">
        <v>42290</v>
      </c>
      <c r="M6755" t="s">
        <v>44900</v>
      </c>
      <c r="N6755" t="s">
        <v>46569</v>
      </c>
      <c r="O6755" t="s">
        <v>46570</v>
      </c>
      <c r="P6755">
        <v>0</v>
      </c>
      <c r="Q6755">
        <v>0</v>
      </c>
      <c r="R6755" t="s">
        <v>46573</v>
      </c>
      <c r="S6755" t="s">
        <v>46705</v>
      </c>
      <c r="T6755" t="s">
        <v>48283</v>
      </c>
      <c r="U6755" t="s">
        <v>54367</v>
      </c>
      <c r="W6755" t="s">
        <v>44900</v>
      </c>
      <c r="X6755" t="s">
        <v>46574</v>
      </c>
    </row>
    <row r="6756" spans="1:24">
      <c r="A6756">
        <f>HYPERLINK("https://www.philgeps.gov.ph/GEPSNONPILOT/Tender/SplashBidNoticeAbstractUI.aspx?menuIndex=3&amp;refID=7061281&amp;Result=3","7061281")</f>
        <v>0</v>
      </c>
      <c r="B6756" t="s">
        <v>1704</v>
      </c>
      <c r="C6756" t="s">
        <v>9940</v>
      </c>
      <c r="E6756" t="s">
        <v>24858</v>
      </c>
      <c r="F6756" t="s">
        <v>32664</v>
      </c>
      <c r="G6756" t="s">
        <v>32674</v>
      </c>
      <c r="H6756" t="s">
        <v>12635</v>
      </c>
      <c r="I6756" t="s">
        <v>8797</v>
      </c>
      <c r="J6756" t="s">
        <v>37012</v>
      </c>
      <c r="K6756" t="s">
        <v>42283</v>
      </c>
      <c r="M6756" t="s">
        <v>44398</v>
      </c>
      <c r="N6756" t="s">
        <v>46569</v>
      </c>
      <c r="O6756" t="s">
        <v>46570</v>
      </c>
      <c r="P6756">
        <v>0</v>
      </c>
      <c r="Q6756">
        <v>4</v>
      </c>
      <c r="R6756" t="s">
        <v>46573</v>
      </c>
      <c r="S6756" t="s">
        <v>46705</v>
      </c>
      <c r="T6756" t="s">
        <v>48307</v>
      </c>
      <c r="U6756" t="s">
        <v>52864</v>
      </c>
      <c r="W6756" t="s">
        <v>44398</v>
      </c>
      <c r="X6756" t="s">
        <v>46574</v>
      </c>
    </row>
    <row r="6757" spans="1:24">
      <c r="A6757">
        <f>HYPERLINK("https://www.philgeps.gov.ph/GEPSNONPILOT/Tender/SplashBidNoticeAbstractUI.aspx?menuIndex=3&amp;refID=7061357&amp;Result=3","7061357")</f>
        <v>0</v>
      </c>
      <c r="B6757" t="s">
        <v>1586</v>
      </c>
      <c r="C6757" t="s">
        <v>9941</v>
      </c>
      <c r="D6757" t="s">
        <v>18814</v>
      </c>
      <c r="E6757" t="s">
        <v>24859</v>
      </c>
      <c r="F6757" t="s">
        <v>32664</v>
      </c>
      <c r="G6757" t="s">
        <v>32671</v>
      </c>
      <c r="H6757" t="s">
        <v>12635</v>
      </c>
      <c r="I6757" t="s">
        <v>7759</v>
      </c>
      <c r="J6757" t="s">
        <v>37013</v>
      </c>
      <c r="K6757" t="s">
        <v>42283</v>
      </c>
      <c r="M6757" t="s">
        <v>44263</v>
      </c>
      <c r="N6757" t="s">
        <v>46569</v>
      </c>
      <c r="O6757" t="s">
        <v>46570</v>
      </c>
      <c r="P6757">
        <v>0</v>
      </c>
      <c r="Q6757">
        <v>0</v>
      </c>
      <c r="R6757" t="s">
        <v>46573</v>
      </c>
      <c r="S6757" t="s">
        <v>46705</v>
      </c>
      <c r="T6757" t="s">
        <v>48287</v>
      </c>
      <c r="U6757" t="s">
        <v>54368</v>
      </c>
      <c r="W6757" t="s">
        <v>44263</v>
      </c>
      <c r="X6757" t="s">
        <v>46574</v>
      </c>
    </row>
    <row r="6758" spans="1:24">
      <c r="A6758">
        <f>HYPERLINK("https://www.philgeps.gov.ph/GEPSNONPILOT/Tender/SplashBidNoticeAbstractUI.aspx?menuIndex=3&amp;refID=7061284&amp;Result=3","7061284")</f>
        <v>0</v>
      </c>
      <c r="B6758" t="s">
        <v>810</v>
      </c>
      <c r="C6758" t="s">
        <v>9942</v>
      </c>
      <c r="D6758" t="s">
        <v>18809</v>
      </c>
      <c r="E6758" t="s">
        <v>24860</v>
      </c>
      <c r="F6758" t="s">
        <v>32664</v>
      </c>
      <c r="G6758" t="s">
        <v>32671</v>
      </c>
      <c r="H6758" t="s">
        <v>12635</v>
      </c>
      <c r="I6758" t="s">
        <v>32731</v>
      </c>
      <c r="J6758" t="s">
        <v>37014</v>
      </c>
      <c r="K6758" t="s">
        <v>42284</v>
      </c>
      <c r="M6758" t="s">
        <v>44901</v>
      </c>
      <c r="N6758" t="s">
        <v>46569</v>
      </c>
      <c r="O6758" t="s">
        <v>46570</v>
      </c>
      <c r="P6758">
        <v>0</v>
      </c>
      <c r="Q6758">
        <v>1</v>
      </c>
      <c r="R6758" t="s">
        <v>46573</v>
      </c>
      <c r="S6758" t="s">
        <v>46705</v>
      </c>
      <c r="T6758" t="s">
        <v>48427</v>
      </c>
      <c r="U6758" t="s">
        <v>54369</v>
      </c>
      <c r="W6758" t="s">
        <v>44901</v>
      </c>
      <c r="X6758" t="s">
        <v>46574</v>
      </c>
    </row>
    <row r="6759" spans="1:24">
      <c r="A6759">
        <f>HYPERLINK("https://www.philgeps.gov.ph/GEPSNONPILOT/Tender/SplashBidNoticeAbstractUI.aspx?menuIndex=3&amp;refID=7061347&amp;Result=3","7061347")</f>
        <v>0</v>
      </c>
      <c r="B6759" t="s">
        <v>2146</v>
      </c>
      <c r="C6759" t="s">
        <v>9943</v>
      </c>
      <c r="E6759" t="s">
        <v>24861</v>
      </c>
      <c r="F6759" t="s">
        <v>32664</v>
      </c>
      <c r="G6759" t="s">
        <v>32674</v>
      </c>
      <c r="H6759" t="s">
        <v>12635</v>
      </c>
      <c r="I6759" t="s">
        <v>4997</v>
      </c>
      <c r="J6759" t="s">
        <v>33210</v>
      </c>
      <c r="K6759" t="s">
        <v>42330</v>
      </c>
      <c r="L6759" t="s">
        <v>2146</v>
      </c>
      <c r="M6759" t="s">
        <v>44902</v>
      </c>
      <c r="N6759" t="s">
        <v>46569</v>
      </c>
      <c r="O6759" t="s">
        <v>46570</v>
      </c>
      <c r="P6759">
        <v>0</v>
      </c>
      <c r="Q6759">
        <v>16</v>
      </c>
      <c r="R6759" t="s">
        <v>46573</v>
      </c>
      <c r="S6759" t="s">
        <v>46705</v>
      </c>
      <c r="T6759" t="s">
        <v>48219</v>
      </c>
      <c r="U6759" t="s">
        <v>54370</v>
      </c>
      <c r="W6759" t="s">
        <v>44902</v>
      </c>
      <c r="X6759" t="s">
        <v>46574</v>
      </c>
    </row>
    <row r="6760" spans="1:24">
      <c r="A6760">
        <f>HYPERLINK("https://www.philgeps.gov.ph/GEPSNONPILOT/Tender/SplashBidNoticeAbstractUI.aspx?menuIndex=3&amp;refID=7061345&amp;Result=3","7061345")</f>
        <v>0</v>
      </c>
      <c r="B6760" t="s">
        <v>2140</v>
      </c>
      <c r="C6760" t="s">
        <v>9944</v>
      </c>
      <c r="D6760" t="s">
        <v>18794</v>
      </c>
      <c r="E6760" t="s">
        <v>24862</v>
      </c>
      <c r="F6760" t="s">
        <v>32664</v>
      </c>
      <c r="G6760" t="s">
        <v>32672</v>
      </c>
      <c r="H6760" t="s">
        <v>12635</v>
      </c>
      <c r="I6760" t="s">
        <v>32738</v>
      </c>
      <c r="J6760" t="s">
        <v>33001</v>
      </c>
      <c r="K6760" t="s">
        <v>42305</v>
      </c>
      <c r="M6760" t="s">
        <v>44895</v>
      </c>
      <c r="N6760" t="s">
        <v>46569</v>
      </c>
      <c r="O6760" t="s">
        <v>46570</v>
      </c>
      <c r="P6760">
        <v>0</v>
      </c>
      <c r="Q6760">
        <v>6</v>
      </c>
      <c r="R6760" t="s">
        <v>46573</v>
      </c>
      <c r="S6760" t="s">
        <v>46705</v>
      </c>
      <c r="T6760" t="s">
        <v>48377</v>
      </c>
      <c r="U6760" t="s">
        <v>54371</v>
      </c>
      <c r="W6760" t="s">
        <v>44895</v>
      </c>
      <c r="X6760" t="s">
        <v>46574</v>
      </c>
    </row>
    <row r="6761" spans="1:24">
      <c r="A6761">
        <f>HYPERLINK("https://www.philgeps.gov.ph/GEPSNONPILOT/Tender/SplashBidNoticeAbstractUI.aspx?menuIndex=3&amp;refID=7061351&amp;Result=3","7061351")</f>
        <v>0</v>
      </c>
      <c r="B6761" t="s">
        <v>1586</v>
      </c>
      <c r="C6761" t="s">
        <v>7807</v>
      </c>
      <c r="D6761" t="s">
        <v>18814</v>
      </c>
      <c r="E6761" t="s">
        <v>24863</v>
      </c>
      <c r="F6761" t="s">
        <v>32664</v>
      </c>
      <c r="G6761" t="s">
        <v>32671</v>
      </c>
      <c r="H6761" t="s">
        <v>12635</v>
      </c>
      <c r="I6761" t="s">
        <v>7759</v>
      </c>
      <c r="J6761" t="s">
        <v>37015</v>
      </c>
      <c r="K6761" t="s">
        <v>42283</v>
      </c>
      <c r="M6761" t="s">
        <v>44263</v>
      </c>
      <c r="N6761" t="s">
        <v>46569</v>
      </c>
      <c r="O6761" t="s">
        <v>46570</v>
      </c>
      <c r="P6761">
        <v>0</v>
      </c>
      <c r="Q6761">
        <v>0</v>
      </c>
      <c r="R6761" t="s">
        <v>46573</v>
      </c>
      <c r="S6761" t="s">
        <v>46705</v>
      </c>
      <c r="T6761" t="s">
        <v>48287</v>
      </c>
      <c r="U6761" t="s">
        <v>54372</v>
      </c>
      <c r="W6761" t="s">
        <v>44263</v>
      </c>
      <c r="X6761" t="s">
        <v>46574</v>
      </c>
    </row>
    <row r="6762" spans="1:24">
      <c r="A6762">
        <f>HYPERLINK("https://www.philgeps.gov.ph/GEPSNONPILOT/Tender/SplashBidNoticeAbstractUI.aspx?menuIndex=3&amp;refID=7061348&amp;Result=3","7061348")</f>
        <v>0</v>
      </c>
      <c r="B6762" t="s">
        <v>990</v>
      </c>
      <c r="C6762" t="s">
        <v>9945</v>
      </c>
      <c r="D6762" t="s">
        <v>18784</v>
      </c>
      <c r="E6762" t="s">
        <v>24864</v>
      </c>
      <c r="F6762" t="s">
        <v>32664</v>
      </c>
      <c r="G6762" t="s">
        <v>32671</v>
      </c>
      <c r="H6762" t="s">
        <v>32681</v>
      </c>
      <c r="I6762" t="s">
        <v>32681</v>
      </c>
      <c r="J6762" t="s">
        <v>37016</v>
      </c>
      <c r="K6762" t="s">
        <v>42283</v>
      </c>
      <c r="M6762" t="s">
        <v>43601</v>
      </c>
      <c r="N6762" t="s">
        <v>46569</v>
      </c>
      <c r="O6762" t="s">
        <v>46570</v>
      </c>
      <c r="P6762">
        <v>0</v>
      </c>
      <c r="Q6762">
        <v>2</v>
      </c>
      <c r="R6762" t="s">
        <v>46573</v>
      </c>
      <c r="S6762" t="s">
        <v>46705</v>
      </c>
      <c r="T6762" t="s">
        <v>48316</v>
      </c>
      <c r="U6762" t="s">
        <v>54373</v>
      </c>
      <c r="V6762" t="s">
        <v>62296</v>
      </c>
      <c r="W6762" t="s">
        <v>43601</v>
      </c>
      <c r="X6762" t="s">
        <v>46574</v>
      </c>
    </row>
    <row r="6763" spans="1:24">
      <c r="A6763">
        <f>HYPERLINK("https://www.philgeps.gov.ph/GEPSNONPILOT/Tender/SplashBidNoticeAbstractUI.aspx?menuIndex=3&amp;refID=7061344&amp;Result=3","7061344")</f>
        <v>0</v>
      </c>
      <c r="B6763" t="s">
        <v>2147</v>
      </c>
      <c r="C6763" t="s">
        <v>9946</v>
      </c>
      <c r="D6763" t="s">
        <v>18806</v>
      </c>
      <c r="E6763" t="s">
        <v>24865</v>
      </c>
      <c r="F6763" t="s">
        <v>32664</v>
      </c>
      <c r="G6763" t="s">
        <v>32671</v>
      </c>
      <c r="H6763" t="s">
        <v>12635</v>
      </c>
      <c r="I6763" t="s">
        <v>9946</v>
      </c>
      <c r="J6763" t="s">
        <v>32898</v>
      </c>
      <c r="K6763" t="s">
        <v>42348</v>
      </c>
      <c r="M6763" t="s">
        <v>44903</v>
      </c>
      <c r="N6763" t="s">
        <v>46569</v>
      </c>
      <c r="O6763" t="s">
        <v>46570</v>
      </c>
      <c r="P6763">
        <v>0</v>
      </c>
      <c r="Q6763">
        <v>0</v>
      </c>
      <c r="R6763" t="s">
        <v>46573</v>
      </c>
      <c r="S6763" t="s">
        <v>46705</v>
      </c>
      <c r="T6763" t="s">
        <v>48307</v>
      </c>
      <c r="U6763" t="s">
        <v>54374</v>
      </c>
      <c r="W6763" t="s">
        <v>44903</v>
      </c>
      <c r="X6763" t="s">
        <v>46574</v>
      </c>
    </row>
    <row r="6764" spans="1:24">
      <c r="A6764">
        <f>HYPERLINK("https://www.philgeps.gov.ph/GEPSNONPILOT/Tender/SplashBidNoticeAbstractUI.aspx?menuIndex=3&amp;refID=7061342&amp;Result=3","7061342")</f>
        <v>0</v>
      </c>
      <c r="B6764" t="s">
        <v>1586</v>
      </c>
      <c r="C6764" t="s">
        <v>7807</v>
      </c>
      <c r="D6764" t="s">
        <v>18814</v>
      </c>
      <c r="E6764" t="s">
        <v>24866</v>
      </c>
      <c r="F6764" t="s">
        <v>32664</v>
      </c>
      <c r="G6764" t="s">
        <v>32671</v>
      </c>
      <c r="H6764" t="s">
        <v>12635</v>
      </c>
      <c r="I6764" t="s">
        <v>7759</v>
      </c>
      <c r="J6764" t="s">
        <v>33751</v>
      </c>
      <c r="K6764" t="s">
        <v>42283</v>
      </c>
      <c r="M6764" t="s">
        <v>44263</v>
      </c>
      <c r="N6764" t="s">
        <v>46569</v>
      </c>
      <c r="O6764" t="s">
        <v>46570</v>
      </c>
      <c r="P6764">
        <v>0</v>
      </c>
      <c r="Q6764">
        <v>0</v>
      </c>
      <c r="R6764" t="s">
        <v>46573</v>
      </c>
      <c r="S6764" t="s">
        <v>46705</v>
      </c>
      <c r="T6764" t="s">
        <v>48287</v>
      </c>
      <c r="U6764" t="s">
        <v>54375</v>
      </c>
      <c r="W6764" t="s">
        <v>44263</v>
      </c>
      <c r="X6764" t="s">
        <v>46574</v>
      </c>
    </row>
    <row r="6765" spans="1:24">
      <c r="A6765">
        <f>HYPERLINK("https://www.philgeps.gov.ph/GEPSNONPILOT/Tender/SplashBidNoticeAbstractUI.aspx?menuIndex=3&amp;refID=7061341&amp;Result=3","7061341")</f>
        <v>0</v>
      </c>
      <c r="B6765" t="s">
        <v>2141</v>
      </c>
      <c r="C6765" t="s">
        <v>9947</v>
      </c>
      <c r="D6765" t="s">
        <v>18781</v>
      </c>
      <c r="E6765" t="s">
        <v>24867</v>
      </c>
      <c r="F6765" t="s">
        <v>32664</v>
      </c>
      <c r="G6765" t="s">
        <v>32674</v>
      </c>
      <c r="H6765" t="s">
        <v>12635</v>
      </c>
      <c r="I6765" t="s">
        <v>4439</v>
      </c>
      <c r="J6765" t="s">
        <v>33893</v>
      </c>
      <c r="K6765" t="s">
        <v>42306</v>
      </c>
      <c r="M6765" t="s">
        <v>44896</v>
      </c>
      <c r="N6765" t="s">
        <v>46569</v>
      </c>
      <c r="O6765" t="s">
        <v>46570</v>
      </c>
      <c r="P6765">
        <v>0</v>
      </c>
      <c r="Q6765">
        <v>0</v>
      </c>
      <c r="R6765" t="s">
        <v>46573</v>
      </c>
      <c r="S6765" t="s">
        <v>46705</v>
      </c>
      <c r="T6765" t="s">
        <v>48316</v>
      </c>
      <c r="U6765" t="s">
        <v>54376</v>
      </c>
      <c r="W6765" t="s">
        <v>44896</v>
      </c>
      <c r="X6765" t="s">
        <v>46574</v>
      </c>
    </row>
    <row r="6766" spans="1:24">
      <c r="A6766">
        <f>HYPERLINK("https://www.philgeps.gov.ph/GEPSNONPILOT/Tender/SplashBidNoticeAbstractUI.aspx?menuIndex=3&amp;refID=7061339&amp;Result=3","7061339")</f>
        <v>0</v>
      </c>
      <c r="B6766" t="s">
        <v>1586</v>
      </c>
      <c r="C6766" t="s">
        <v>9948</v>
      </c>
      <c r="D6766" t="s">
        <v>18814</v>
      </c>
      <c r="E6766" t="s">
        <v>24868</v>
      </c>
      <c r="F6766" t="s">
        <v>32664</v>
      </c>
      <c r="G6766" t="s">
        <v>32671</v>
      </c>
      <c r="H6766" t="s">
        <v>12635</v>
      </c>
      <c r="I6766" t="s">
        <v>7759</v>
      </c>
      <c r="J6766" t="s">
        <v>37015</v>
      </c>
      <c r="K6766" t="s">
        <v>42283</v>
      </c>
      <c r="M6766" t="s">
        <v>44263</v>
      </c>
      <c r="N6766" t="s">
        <v>46569</v>
      </c>
      <c r="O6766" t="s">
        <v>46570</v>
      </c>
      <c r="P6766">
        <v>0</v>
      </c>
      <c r="Q6766">
        <v>0</v>
      </c>
      <c r="R6766" t="s">
        <v>46573</v>
      </c>
      <c r="S6766" t="s">
        <v>46705</v>
      </c>
      <c r="T6766" t="s">
        <v>48287</v>
      </c>
      <c r="U6766" t="s">
        <v>54377</v>
      </c>
      <c r="W6766" t="s">
        <v>44263</v>
      </c>
      <c r="X6766" t="s">
        <v>46574</v>
      </c>
    </row>
    <row r="6767" spans="1:24">
      <c r="A6767">
        <f>HYPERLINK("https://www.philgeps.gov.ph/GEPSNONPILOT/Tender/SplashBidNoticeAbstractUI.aspx?menuIndex=3&amp;refID=7061338&amp;Result=3","7061338")</f>
        <v>0</v>
      </c>
      <c r="B6767" t="s">
        <v>2140</v>
      </c>
      <c r="C6767" t="s">
        <v>9949</v>
      </c>
      <c r="D6767" t="s">
        <v>18794</v>
      </c>
      <c r="E6767" t="s">
        <v>24869</v>
      </c>
      <c r="F6767" t="s">
        <v>32664</v>
      </c>
      <c r="G6767" t="s">
        <v>32672</v>
      </c>
      <c r="H6767" t="s">
        <v>12635</v>
      </c>
      <c r="I6767" t="s">
        <v>9946</v>
      </c>
      <c r="J6767" t="s">
        <v>37017</v>
      </c>
      <c r="K6767" t="s">
        <v>42351</v>
      </c>
      <c r="M6767" t="s">
        <v>44895</v>
      </c>
      <c r="N6767" t="s">
        <v>46569</v>
      </c>
      <c r="O6767" t="s">
        <v>46570</v>
      </c>
      <c r="P6767">
        <v>0</v>
      </c>
      <c r="Q6767">
        <v>2</v>
      </c>
      <c r="R6767" t="s">
        <v>46573</v>
      </c>
      <c r="S6767" t="s">
        <v>46705</v>
      </c>
      <c r="T6767" t="s">
        <v>48501</v>
      </c>
      <c r="U6767" t="s">
        <v>54378</v>
      </c>
      <c r="W6767" t="s">
        <v>44895</v>
      </c>
      <c r="X6767" t="s">
        <v>46574</v>
      </c>
    </row>
    <row r="6768" spans="1:24">
      <c r="A6768">
        <f>HYPERLINK("https://www.philgeps.gov.ph/GEPSNONPILOT/Tender/SplashBidNoticeAbstractUI.aspx?menuIndex=3&amp;refID=7061337&amp;Result=3","7061337")</f>
        <v>0</v>
      </c>
      <c r="B6768" t="s">
        <v>436</v>
      </c>
      <c r="C6768" t="s">
        <v>9950</v>
      </c>
      <c r="D6768" t="s">
        <v>18831</v>
      </c>
      <c r="E6768" t="s">
        <v>19105</v>
      </c>
      <c r="F6768" t="s">
        <v>32666</v>
      </c>
      <c r="G6768" t="s">
        <v>32672</v>
      </c>
      <c r="H6768" t="s">
        <v>32683</v>
      </c>
      <c r="I6768" t="s">
        <v>32723</v>
      </c>
      <c r="J6768" t="s">
        <v>32898</v>
      </c>
      <c r="K6768" t="s">
        <v>42303</v>
      </c>
      <c r="M6768" t="s">
        <v>43008</v>
      </c>
      <c r="N6768" t="s">
        <v>46569</v>
      </c>
      <c r="O6768" t="s">
        <v>46570</v>
      </c>
      <c r="P6768">
        <v>0</v>
      </c>
      <c r="Q6768">
        <v>0</v>
      </c>
      <c r="R6768" t="s">
        <v>46573</v>
      </c>
      <c r="S6768" t="s">
        <v>46705</v>
      </c>
      <c r="T6768" t="s">
        <v>48363</v>
      </c>
      <c r="U6768" t="s">
        <v>54379</v>
      </c>
      <c r="W6768" t="s">
        <v>43008</v>
      </c>
      <c r="X6768" t="s">
        <v>46574</v>
      </c>
    </row>
    <row r="6769" spans="1:24">
      <c r="A6769">
        <f>HYPERLINK("https://www.philgeps.gov.ph/GEPSNONPILOT/Tender/SplashBidNoticeAbstractUI.aspx?menuIndex=3&amp;refID=7061328&amp;Result=3","7061328")</f>
        <v>0</v>
      </c>
      <c r="B6769" t="s">
        <v>1416</v>
      </c>
      <c r="C6769" t="s">
        <v>9951</v>
      </c>
      <c r="D6769" t="s">
        <v>18784</v>
      </c>
      <c r="E6769" t="s">
        <v>24870</v>
      </c>
      <c r="F6769" t="s">
        <v>32664</v>
      </c>
      <c r="G6769" t="s">
        <v>32672</v>
      </c>
      <c r="H6769" t="s">
        <v>12635</v>
      </c>
      <c r="I6769" t="s">
        <v>32689</v>
      </c>
      <c r="J6769" t="s">
        <v>37018</v>
      </c>
      <c r="K6769" t="s">
        <v>42298</v>
      </c>
      <c r="M6769" t="s">
        <v>44075</v>
      </c>
      <c r="N6769" t="s">
        <v>46569</v>
      </c>
      <c r="O6769" t="s">
        <v>46570</v>
      </c>
      <c r="P6769">
        <v>0</v>
      </c>
      <c r="Q6769">
        <v>9</v>
      </c>
      <c r="R6769" t="s">
        <v>46573</v>
      </c>
      <c r="S6769" t="s">
        <v>46705</v>
      </c>
      <c r="T6769" t="s">
        <v>48429</v>
      </c>
      <c r="U6769" t="s">
        <v>54380</v>
      </c>
      <c r="V6769" t="s">
        <v>62002</v>
      </c>
      <c r="W6769" t="s">
        <v>44075</v>
      </c>
      <c r="X6769" t="s">
        <v>46574</v>
      </c>
    </row>
    <row r="6770" spans="1:24">
      <c r="A6770">
        <f>HYPERLINK("https://www.philgeps.gov.ph/GEPSNONPILOT/Tender/SplashBidNoticeAbstractUI.aspx?menuIndex=3&amp;refID=7061303&amp;Result=3","7061303")</f>
        <v>0</v>
      </c>
      <c r="B6770" t="s">
        <v>2131</v>
      </c>
      <c r="C6770" t="s">
        <v>9952</v>
      </c>
      <c r="D6770" t="s">
        <v>18824</v>
      </c>
      <c r="E6770" t="s">
        <v>24871</v>
      </c>
      <c r="F6770" t="s">
        <v>32664</v>
      </c>
      <c r="G6770" t="s">
        <v>32672</v>
      </c>
      <c r="H6770" t="s">
        <v>32683</v>
      </c>
      <c r="I6770" t="s">
        <v>10627</v>
      </c>
      <c r="J6770" t="s">
        <v>33167</v>
      </c>
      <c r="K6770" t="s">
        <v>42281</v>
      </c>
      <c r="M6770" t="s">
        <v>44886</v>
      </c>
      <c r="N6770" t="s">
        <v>46569</v>
      </c>
      <c r="O6770" t="s">
        <v>46570</v>
      </c>
      <c r="P6770">
        <v>0</v>
      </c>
      <c r="Q6770">
        <v>0</v>
      </c>
      <c r="R6770" t="s">
        <v>46573</v>
      </c>
      <c r="S6770" t="s">
        <v>46705</v>
      </c>
      <c r="T6770" t="s">
        <v>48304</v>
      </c>
      <c r="U6770" t="s">
        <v>54381</v>
      </c>
      <c r="W6770" t="s">
        <v>44886</v>
      </c>
      <c r="X6770" t="s">
        <v>46574</v>
      </c>
    </row>
    <row r="6771" spans="1:24">
      <c r="A6771">
        <f>HYPERLINK("https://www.philgeps.gov.ph/GEPSNONPILOT/Tender/SplashBidNoticeAbstractUI.aspx?menuIndex=3&amp;refID=7061343&amp;Result=3","7061343")</f>
        <v>0</v>
      </c>
      <c r="B6771" t="s">
        <v>1199</v>
      </c>
      <c r="C6771" t="s">
        <v>9953</v>
      </c>
      <c r="D6771" t="s">
        <v>18847</v>
      </c>
      <c r="E6771" t="s">
        <v>24872</v>
      </c>
      <c r="F6771" t="s">
        <v>32664</v>
      </c>
      <c r="G6771" t="s">
        <v>32672</v>
      </c>
      <c r="H6771" t="s">
        <v>12635</v>
      </c>
      <c r="I6771" t="s">
        <v>5589</v>
      </c>
      <c r="J6771" t="s">
        <v>37019</v>
      </c>
      <c r="K6771" t="s">
        <v>42297</v>
      </c>
      <c r="M6771" t="s">
        <v>43836</v>
      </c>
      <c r="N6771" t="s">
        <v>46569</v>
      </c>
      <c r="O6771" t="s">
        <v>46570</v>
      </c>
      <c r="P6771">
        <v>0</v>
      </c>
      <c r="Q6771">
        <v>3</v>
      </c>
      <c r="R6771" t="s">
        <v>46573</v>
      </c>
      <c r="S6771" t="s">
        <v>46705</v>
      </c>
      <c r="T6771" t="s">
        <v>48308</v>
      </c>
      <c r="U6771" t="s">
        <v>54382</v>
      </c>
      <c r="W6771" t="s">
        <v>43836</v>
      </c>
      <c r="X6771" t="s">
        <v>46574</v>
      </c>
    </row>
    <row r="6772" spans="1:24">
      <c r="A6772">
        <f>HYPERLINK("https://www.philgeps.gov.ph/GEPSNONPILOT/Tender/SplashBidNoticeAbstractUI.aspx?menuIndex=3&amp;refID=7061381&amp;Result=3","7061381")</f>
        <v>0</v>
      </c>
      <c r="B6772" t="s">
        <v>1586</v>
      </c>
      <c r="C6772" t="s">
        <v>9954</v>
      </c>
      <c r="D6772" t="s">
        <v>18850</v>
      </c>
      <c r="E6772" t="s">
        <v>24873</v>
      </c>
      <c r="F6772" t="s">
        <v>32664</v>
      </c>
      <c r="G6772" t="s">
        <v>32671</v>
      </c>
      <c r="H6772" t="s">
        <v>12635</v>
      </c>
      <c r="I6772" t="s">
        <v>32751</v>
      </c>
      <c r="J6772" t="s">
        <v>37020</v>
      </c>
      <c r="K6772" t="s">
        <v>42283</v>
      </c>
      <c r="M6772" t="s">
        <v>44263</v>
      </c>
      <c r="N6772" t="s">
        <v>46569</v>
      </c>
      <c r="O6772" t="s">
        <v>46570</v>
      </c>
      <c r="P6772">
        <v>0</v>
      </c>
      <c r="Q6772">
        <v>0</v>
      </c>
      <c r="R6772" t="s">
        <v>46573</v>
      </c>
      <c r="S6772" t="s">
        <v>46705</v>
      </c>
      <c r="T6772" t="s">
        <v>48287</v>
      </c>
      <c r="U6772" t="s">
        <v>54383</v>
      </c>
      <c r="W6772" t="s">
        <v>44263</v>
      </c>
      <c r="X6772" t="s">
        <v>46574</v>
      </c>
    </row>
    <row r="6773" spans="1:24">
      <c r="A6773">
        <f>HYPERLINK("https://www.philgeps.gov.ph/GEPSNONPILOT/Tender/SplashBidNoticeAbstractUI.aspx?menuIndex=3&amp;refID=7061349&amp;Result=3","7061349")</f>
        <v>0</v>
      </c>
      <c r="B6773" t="s">
        <v>2141</v>
      </c>
      <c r="C6773" t="s">
        <v>9955</v>
      </c>
      <c r="D6773" t="s">
        <v>18781</v>
      </c>
      <c r="E6773" t="s">
        <v>24874</v>
      </c>
      <c r="F6773" t="s">
        <v>32664</v>
      </c>
      <c r="G6773" t="s">
        <v>32674</v>
      </c>
      <c r="H6773" t="s">
        <v>12635</v>
      </c>
      <c r="I6773" t="s">
        <v>4439</v>
      </c>
      <c r="J6773" t="s">
        <v>33893</v>
      </c>
      <c r="K6773" t="s">
        <v>42306</v>
      </c>
      <c r="M6773" t="s">
        <v>44896</v>
      </c>
      <c r="N6773" t="s">
        <v>46569</v>
      </c>
      <c r="O6773" t="s">
        <v>46570</v>
      </c>
      <c r="P6773">
        <v>0</v>
      </c>
      <c r="Q6773">
        <v>0</v>
      </c>
      <c r="R6773" t="s">
        <v>46573</v>
      </c>
      <c r="S6773" t="s">
        <v>46705</v>
      </c>
      <c r="T6773" t="s">
        <v>48316</v>
      </c>
      <c r="U6773" t="s">
        <v>54376</v>
      </c>
      <c r="W6773" t="s">
        <v>44896</v>
      </c>
      <c r="X6773" t="s">
        <v>46574</v>
      </c>
    </row>
    <row r="6774" spans="1:24">
      <c r="A6774">
        <f>HYPERLINK("https://www.philgeps.gov.ph/GEPSNONPILOT/Tender/SplashBidNoticeAbstractUI.aspx?menuIndex=3&amp;refID=7061380&amp;Result=3","7061380")</f>
        <v>0</v>
      </c>
      <c r="B6774" t="s">
        <v>1582</v>
      </c>
      <c r="C6774" t="s">
        <v>9956</v>
      </c>
      <c r="D6774" t="s">
        <v>18798</v>
      </c>
      <c r="E6774" t="s">
        <v>24875</v>
      </c>
      <c r="F6774" t="s">
        <v>32664</v>
      </c>
      <c r="G6774" t="s">
        <v>32672</v>
      </c>
      <c r="H6774" t="s">
        <v>12635</v>
      </c>
      <c r="I6774" t="s">
        <v>4997</v>
      </c>
      <c r="J6774" t="s">
        <v>37021</v>
      </c>
      <c r="K6774" t="s">
        <v>42283</v>
      </c>
      <c r="M6774" t="s">
        <v>44259</v>
      </c>
      <c r="N6774" t="s">
        <v>46569</v>
      </c>
      <c r="O6774" t="s">
        <v>46570</v>
      </c>
      <c r="P6774">
        <v>0</v>
      </c>
      <c r="Q6774">
        <v>2</v>
      </c>
      <c r="R6774" t="s">
        <v>46573</v>
      </c>
      <c r="S6774" t="s">
        <v>46705</v>
      </c>
      <c r="T6774" t="s">
        <v>48410</v>
      </c>
      <c r="U6774" t="s">
        <v>54384</v>
      </c>
      <c r="W6774" t="s">
        <v>44259</v>
      </c>
      <c r="X6774" t="s">
        <v>46574</v>
      </c>
    </row>
    <row r="6775" spans="1:24">
      <c r="A6775">
        <f>HYPERLINK("https://www.philgeps.gov.ph/GEPSNONPILOT/Tender/SplashBidNoticeAbstractUI.aspx?menuIndex=3&amp;refID=7061346&amp;Result=3","7061346")</f>
        <v>0</v>
      </c>
      <c r="B6775" t="s">
        <v>1586</v>
      </c>
      <c r="C6775" t="s">
        <v>9957</v>
      </c>
      <c r="D6775" t="s">
        <v>18814</v>
      </c>
      <c r="E6775" t="s">
        <v>24876</v>
      </c>
      <c r="F6775" t="s">
        <v>32664</v>
      </c>
      <c r="G6775" t="s">
        <v>32671</v>
      </c>
      <c r="H6775" t="s">
        <v>12635</v>
      </c>
      <c r="I6775" t="s">
        <v>6223</v>
      </c>
      <c r="J6775" t="s">
        <v>33015</v>
      </c>
      <c r="K6775" t="s">
        <v>42283</v>
      </c>
      <c r="M6775" t="s">
        <v>44263</v>
      </c>
      <c r="N6775" t="s">
        <v>46569</v>
      </c>
      <c r="O6775" t="s">
        <v>46570</v>
      </c>
      <c r="P6775">
        <v>0</v>
      </c>
      <c r="Q6775">
        <v>0</v>
      </c>
      <c r="R6775" t="s">
        <v>46573</v>
      </c>
      <c r="S6775" t="s">
        <v>46705</v>
      </c>
      <c r="T6775" t="s">
        <v>48287</v>
      </c>
      <c r="U6775" t="s">
        <v>54385</v>
      </c>
      <c r="W6775" t="s">
        <v>44263</v>
      </c>
      <c r="X6775" t="s">
        <v>46574</v>
      </c>
    </row>
    <row r="6776" spans="1:24">
      <c r="A6776">
        <f>HYPERLINK("https://www.philgeps.gov.ph/GEPSNONPILOT/Tender/SplashBidNoticeAbstractUI.aspx?menuIndex=3&amp;refID=7061350&amp;Result=3","7061350")</f>
        <v>0</v>
      </c>
      <c r="B6776" t="s">
        <v>2148</v>
      </c>
      <c r="C6776" t="s">
        <v>9958</v>
      </c>
      <c r="D6776" t="s">
        <v>18788</v>
      </c>
      <c r="E6776" t="s">
        <v>21002</v>
      </c>
      <c r="F6776" t="s">
        <v>32664</v>
      </c>
      <c r="G6776" t="s">
        <v>32672</v>
      </c>
      <c r="H6776" t="s">
        <v>12635</v>
      </c>
      <c r="I6776" t="s">
        <v>6223</v>
      </c>
      <c r="J6776" t="s">
        <v>33461</v>
      </c>
      <c r="K6776" t="s">
        <v>42283</v>
      </c>
      <c r="M6776" t="s">
        <v>44904</v>
      </c>
      <c r="N6776" t="s">
        <v>46569</v>
      </c>
      <c r="O6776" t="s">
        <v>46570</v>
      </c>
      <c r="P6776">
        <v>0</v>
      </c>
      <c r="Q6776">
        <v>1</v>
      </c>
      <c r="R6776" t="s">
        <v>46573</v>
      </c>
      <c r="S6776" t="s">
        <v>46705</v>
      </c>
      <c r="T6776" t="s">
        <v>48228</v>
      </c>
      <c r="U6776" t="s">
        <v>54386</v>
      </c>
      <c r="W6776" t="s">
        <v>44904</v>
      </c>
      <c r="X6776" t="s">
        <v>46574</v>
      </c>
    </row>
    <row r="6777" spans="1:24">
      <c r="A6777">
        <f>HYPERLINK("https://www.philgeps.gov.ph/GEPSNONPILOT/Tender/SplashBidNoticeAbstractUI.aspx?menuIndex=3&amp;refID=7061375&amp;Result=3","7061375")</f>
        <v>0</v>
      </c>
      <c r="B6777" t="s">
        <v>2149</v>
      </c>
      <c r="C6777" t="s">
        <v>9959</v>
      </c>
      <c r="D6777" t="s">
        <v>18784</v>
      </c>
      <c r="E6777" t="s">
        <v>24877</v>
      </c>
      <c r="F6777" t="s">
        <v>32664</v>
      </c>
      <c r="G6777" t="s">
        <v>32671</v>
      </c>
      <c r="H6777" t="s">
        <v>12635</v>
      </c>
      <c r="I6777" t="s">
        <v>10361</v>
      </c>
      <c r="J6777" t="s">
        <v>33069</v>
      </c>
      <c r="K6777" t="s">
        <v>42283</v>
      </c>
      <c r="M6777" t="s">
        <v>44905</v>
      </c>
      <c r="N6777" t="s">
        <v>46569</v>
      </c>
      <c r="O6777" t="s">
        <v>46570</v>
      </c>
      <c r="P6777">
        <v>0</v>
      </c>
      <c r="Q6777">
        <v>2</v>
      </c>
      <c r="R6777" t="s">
        <v>46573</v>
      </c>
      <c r="S6777" t="s">
        <v>46705</v>
      </c>
      <c r="T6777" t="s">
        <v>48287</v>
      </c>
      <c r="U6777" t="s">
        <v>54387</v>
      </c>
      <c r="W6777" t="s">
        <v>44905</v>
      </c>
      <c r="X6777" t="s">
        <v>46574</v>
      </c>
    </row>
    <row r="6778" spans="1:24">
      <c r="A6778">
        <f>HYPERLINK("https://www.philgeps.gov.ph/GEPSNONPILOT/Tender/SplashBidNoticeAbstractUI.aspx?menuIndex=3&amp;refID=7061373&amp;Result=3","7061373")</f>
        <v>0</v>
      </c>
      <c r="B6778" t="s">
        <v>2150</v>
      </c>
      <c r="C6778" t="s">
        <v>9960</v>
      </c>
      <c r="D6778" t="s">
        <v>18851</v>
      </c>
      <c r="E6778" t="s">
        <v>24878</v>
      </c>
      <c r="F6778" t="s">
        <v>32664</v>
      </c>
      <c r="G6778" t="s">
        <v>32671</v>
      </c>
      <c r="H6778" t="s">
        <v>12635</v>
      </c>
      <c r="I6778" t="s">
        <v>8797</v>
      </c>
      <c r="J6778" t="s">
        <v>32981</v>
      </c>
      <c r="K6778" t="s">
        <v>42303</v>
      </c>
      <c r="M6778" t="s">
        <v>44906</v>
      </c>
      <c r="N6778" t="s">
        <v>46569</v>
      </c>
      <c r="O6778" t="s">
        <v>46570</v>
      </c>
      <c r="P6778">
        <v>0</v>
      </c>
      <c r="Q6778">
        <v>5</v>
      </c>
      <c r="R6778" t="s">
        <v>46573</v>
      </c>
      <c r="S6778" t="s">
        <v>46705</v>
      </c>
      <c r="T6778" t="s">
        <v>48287</v>
      </c>
      <c r="U6778" t="s">
        <v>54388</v>
      </c>
      <c r="W6778" t="s">
        <v>44906</v>
      </c>
      <c r="X6778" t="s">
        <v>46574</v>
      </c>
    </row>
    <row r="6779" spans="1:24">
      <c r="A6779">
        <f>HYPERLINK("https://www.philgeps.gov.ph/GEPSNONPILOT/Tender/SplashBidNoticeAbstractUI.aspx?menuIndex=3&amp;refID=7061382&amp;Result=3","7061382")</f>
        <v>0</v>
      </c>
      <c r="B6779" t="s">
        <v>851</v>
      </c>
      <c r="C6779" t="s">
        <v>9961</v>
      </c>
      <c r="D6779" t="s">
        <v>18829</v>
      </c>
      <c r="E6779" t="s">
        <v>24879</v>
      </c>
      <c r="F6779" t="s">
        <v>32664</v>
      </c>
      <c r="G6779" t="s">
        <v>32672</v>
      </c>
      <c r="H6779" t="s">
        <v>12635</v>
      </c>
      <c r="I6779" t="s">
        <v>4439</v>
      </c>
      <c r="J6779" t="s">
        <v>37022</v>
      </c>
      <c r="K6779" t="s">
        <v>42289</v>
      </c>
      <c r="M6779" t="s">
        <v>43447</v>
      </c>
      <c r="N6779" t="s">
        <v>46569</v>
      </c>
      <c r="O6779" t="s">
        <v>46570</v>
      </c>
      <c r="P6779">
        <v>0</v>
      </c>
      <c r="Q6779">
        <v>0</v>
      </c>
      <c r="R6779" t="s">
        <v>46573</v>
      </c>
      <c r="S6779" t="s">
        <v>46705</v>
      </c>
      <c r="T6779" t="s">
        <v>48313</v>
      </c>
      <c r="U6779" t="s">
        <v>54389</v>
      </c>
      <c r="W6779" t="s">
        <v>43447</v>
      </c>
      <c r="X6779" t="s">
        <v>46574</v>
      </c>
    </row>
    <row r="6780" spans="1:24">
      <c r="A6780">
        <f>HYPERLINK("https://www.philgeps.gov.ph/GEPSNONPILOT/Tender/SplashBidNoticeAbstractUI.aspx?menuIndex=3&amp;refID=7061372&amp;Result=3","7061372")</f>
        <v>0</v>
      </c>
      <c r="B6780" t="s">
        <v>1586</v>
      </c>
      <c r="C6780" t="s">
        <v>7829</v>
      </c>
      <c r="D6780" t="s">
        <v>18814</v>
      </c>
      <c r="E6780" t="s">
        <v>24880</v>
      </c>
      <c r="F6780" t="s">
        <v>32664</v>
      </c>
      <c r="G6780" t="s">
        <v>32671</v>
      </c>
      <c r="H6780" t="s">
        <v>12635</v>
      </c>
      <c r="I6780" t="s">
        <v>10361</v>
      </c>
      <c r="J6780" t="s">
        <v>37023</v>
      </c>
      <c r="K6780" t="s">
        <v>42283</v>
      </c>
      <c r="M6780" t="s">
        <v>44263</v>
      </c>
      <c r="N6780" t="s">
        <v>46569</v>
      </c>
      <c r="O6780" t="s">
        <v>46570</v>
      </c>
      <c r="P6780">
        <v>0</v>
      </c>
      <c r="Q6780">
        <v>1</v>
      </c>
      <c r="R6780" t="s">
        <v>46573</v>
      </c>
      <c r="S6780" t="s">
        <v>46705</v>
      </c>
      <c r="T6780" t="s">
        <v>48287</v>
      </c>
      <c r="U6780" t="s">
        <v>54390</v>
      </c>
      <c r="W6780" t="s">
        <v>44263</v>
      </c>
      <c r="X6780" t="s">
        <v>46574</v>
      </c>
    </row>
    <row r="6781" spans="1:24">
      <c r="A6781">
        <f>HYPERLINK("https://www.philgeps.gov.ph/GEPSNONPILOT/Tender/SplashBidNoticeAbstractUI.aspx?menuIndex=3&amp;refID=7061371&amp;Result=3","7061371")</f>
        <v>0</v>
      </c>
      <c r="B6781" t="s">
        <v>1582</v>
      </c>
      <c r="C6781" t="s">
        <v>9962</v>
      </c>
      <c r="D6781" t="s">
        <v>18798</v>
      </c>
      <c r="E6781" t="s">
        <v>24881</v>
      </c>
      <c r="F6781" t="s">
        <v>32664</v>
      </c>
      <c r="G6781" t="s">
        <v>32672</v>
      </c>
      <c r="H6781" t="s">
        <v>12635</v>
      </c>
      <c r="I6781" t="s">
        <v>32685</v>
      </c>
      <c r="J6781" t="s">
        <v>37024</v>
      </c>
      <c r="K6781" t="s">
        <v>42283</v>
      </c>
      <c r="M6781" t="s">
        <v>44259</v>
      </c>
      <c r="N6781" t="s">
        <v>46569</v>
      </c>
      <c r="O6781" t="s">
        <v>46570</v>
      </c>
      <c r="P6781">
        <v>0</v>
      </c>
      <c r="Q6781">
        <v>1</v>
      </c>
      <c r="R6781" t="s">
        <v>46573</v>
      </c>
      <c r="S6781" t="s">
        <v>46705</v>
      </c>
      <c r="T6781" t="s">
        <v>48410</v>
      </c>
      <c r="U6781" t="s">
        <v>54391</v>
      </c>
      <c r="W6781" t="s">
        <v>44259</v>
      </c>
      <c r="X6781" t="s">
        <v>46574</v>
      </c>
    </row>
    <row r="6782" spans="1:24">
      <c r="A6782">
        <f>HYPERLINK("https://www.philgeps.gov.ph/GEPSNONPILOT/Tender/SplashBidNoticeAbstractUI.aspx?menuIndex=3&amp;refID=7061370&amp;Result=3","7061370")</f>
        <v>0</v>
      </c>
      <c r="B6782" t="s">
        <v>2150</v>
      </c>
      <c r="C6782" t="s">
        <v>9963</v>
      </c>
      <c r="D6782" t="s">
        <v>18851</v>
      </c>
      <c r="E6782" t="s">
        <v>24882</v>
      </c>
      <c r="F6782" t="s">
        <v>32664</v>
      </c>
      <c r="G6782" t="s">
        <v>32671</v>
      </c>
      <c r="H6782" t="s">
        <v>12635</v>
      </c>
      <c r="I6782" t="s">
        <v>8797</v>
      </c>
      <c r="J6782" t="s">
        <v>37025</v>
      </c>
      <c r="K6782" t="s">
        <v>42303</v>
      </c>
      <c r="M6782" t="s">
        <v>44906</v>
      </c>
      <c r="N6782" t="s">
        <v>46569</v>
      </c>
      <c r="O6782" t="s">
        <v>46570</v>
      </c>
      <c r="P6782">
        <v>0</v>
      </c>
      <c r="Q6782">
        <v>8</v>
      </c>
      <c r="R6782" t="s">
        <v>46573</v>
      </c>
      <c r="S6782" t="s">
        <v>46705</v>
      </c>
      <c r="T6782" t="s">
        <v>48287</v>
      </c>
      <c r="U6782" t="s">
        <v>54392</v>
      </c>
      <c r="W6782" t="s">
        <v>44906</v>
      </c>
      <c r="X6782" t="s">
        <v>46574</v>
      </c>
    </row>
    <row r="6783" spans="1:24">
      <c r="A6783">
        <f>HYPERLINK("https://www.philgeps.gov.ph/GEPSNONPILOT/Tender/SplashBidNoticeAbstractUI.aspx?menuIndex=3&amp;refID=7061368&amp;Result=3","7061368")</f>
        <v>0</v>
      </c>
      <c r="B6783" t="s">
        <v>1585</v>
      </c>
      <c r="C6783" t="s">
        <v>9964</v>
      </c>
      <c r="D6783" t="s">
        <v>18784</v>
      </c>
      <c r="E6783" t="s">
        <v>24883</v>
      </c>
      <c r="F6783" t="s">
        <v>32664</v>
      </c>
      <c r="G6783" t="s">
        <v>32671</v>
      </c>
      <c r="H6783" t="s">
        <v>12635</v>
      </c>
      <c r="I6783" t="s">
        <v>6168</v>
      </c>
      <c r="J6783" t="s">
        <v>37026</v>
      </c>
      <c r="K6783" t="s">
        <v>42281</v>
      </c>
      <c r="M6783" t="s">
        <v>44262</v>
      </c>
      <c r="N6783" t="s">
        <v>46569</v>
      </c>
      <c r="O6783" t="s">
        <v>46570</v>
      </c>
      <c r="P6783">
        <v>0</v>
      </c>
      <c r="Q6783">
        <v>2</v>
      </c>
      <c r="R6783" t="s">
        <v>46573</v>
      </c>
      <c r="S6783" t="s">
        <v>46705</v>
      </c>
      <c r="T6783" t="s">
        <v>48316</v>
      </c>
      <c r="U6783" t="s">
        <v>54393</v>
      </c>
      <c r="W6783" t="s">
        <v>44262</v>
      </c>
      <c r="X6783" t="s">
        <v>46574</v>
      </c>
    </row>
    <row r="6784" spans="1:24">
      <c r="A6784">
        <f>HYPERLINK("https://www.philgeps.gov.ph/GEPSNONPILOT/Tender/SplashBidNoticeAbstractUI.aspx?menuIndex=3&amp;refID=7061367&amp;Result=3","7061367")</f>
        <v>0</v>
      </c>
      <c r="B6784" t="s">
        <v>2150</v>
      </c>
      <c r="C6784" t="s">
        <v>9965</v>
      </c>
      <c r="D6784" t="s">
        <v>18851</v>
      </c>
      <c r="E6784" t="s">
        <v>24882</v>
      </c>
      <c r="F6784" t="s">
        <v>32664</v>
      </c>
      <c r="G6784" t="s">
        <v>32671</v>
      </c>
      <c r="H6784" t="s">
        <v>12635</v>
      </c>
      <c r="I6784" t="s">
        <v>8797</v>
      </c>
      <c r="J6784" t="s">
        <v>37027</v>
      </c>
      <c r="K6784" t="s">
        <v>42303</v>
      </c>
      <c r="M6784" t="s">
        <v>44906</v>
      </c>
      <c r="N6784" t="s">
        <v>46569</v>
      </c>
      <c r="O6784" t="s">
        <v>46570</v>
      </c>
      <c r="P6784">
        <v>0</v>
      </c>
      <c r="Q6784">
        <v>7</v>
      </c>
      <c r="R6784" t="s">
        <v>46573</v>
      </c>
      <c r="S6784" t="s">
        <v>46705</v>
      </c>
      <c r="T6784" t="s">
        <v>48287</v>
      </c>
      <c r="U6784" t="s">
        <v>54392</v>
      </c>
      <c r="W6784" t="s">
        <v>44906</v>
      </c>
      <c r="X6784" t="s">
        <v>46574</v>
      </c>
    </row>
    <row r="6785" spans="1:24">
      <c r="A6785">
        <f>HYPERLINK("https://www.philgeps.gov.ph/GEPSNONPILOT/Tender/SplashBidNoticeAbstractUI.aspx?menuIndex=3&amp;refID=7061366&amp;Result=3","7061366")</f>
        <v>0</v>
      </c>
      <c r="B6785" t="s">
        <v>1586</v>
      </c>
      <c r="C6785" t="s">
        <v>9966</v>
      </c>
      <c r="D6785" t="s">
        <v>18814</v>
      </c>
      <c r="E6785" t="s">
        <v>24884</v>
      </c>
      <c r="F6785" t="s">
        <v>32664</v>
      </c>
      <c r="G6785" t="s">
        <v>32671</v>
      </c>
      <c r="H6785" t="s">
        <v>12635</v>
      </c>
      <c r="I6785" t="s">
        <v>6223</v>
      </c>
      <c r="J6785" t="s">
        <v>37028</v>
      </c>
      <c r="K6785" t="s">
        <v>42283</v>
      </c>
      <c r="M6785" t="s">
        <v>44263</v>
      </c>
      <c r="N6785" t="s">
        <v>46569</v>
      </c>
      <c r="O6785" t="s">
        <v>46570</v>
      </c>
      <c r="P6785">
        <v>0</v>
      </c>
      <c r="Q6785">
        <v>1</v>
      </c>
      <c r="R6785" t="s">
        <v>46573</v>
      </c>
      <c r="S6785" t="s">
        <v>46705</v>
      </c>
      <c r="T6785" t="s">
        <v>48287</v>
      </c>
      <c r="U6785" t="s">
        <v>54394</v>
      </c>
      <c r="W6785" t="s">
        <v>44263</v>
      </c>
      <c r="X6785" t="s">
        <v>46574</v>
      </c>
    </row>
    <row r="6786" spans="1:24">
      <c r="A6786">
        <f>HYPERLINK("https://www.philgeps.gov.ph/GEPSNONPILOT/Tender/SplashBidNoticeAbstractUI.aspx?menuIndex=3&amp;refID=7061365&amp;Result=3","7061365")</f>
        <v>0</v>
      </c>
      <c r="B6786" t="s">
        <v>1263</v>
      </c>
      <c r="C6786" t="s">
        <v>9967</v>
      </c>
      <c r="D6786" t="s">
        <v>18807</v>
      </c>
      <c r="E6786" t="s">
        <v>24885</v>
      </c>
      <c r="F6786" t="s">
        <v>32664</v>
      </c>
      <c r="G6786" t="s">
        <v>32671</v>
      </c>
      <c r="H6786" t="s">
        <v>12635</v>
      </c>
      <c r="I6786" t="s">
        <v>32764</v>
      </c>
      <c r="J6786" t="s">
        <v>32898</v>
      </c>
      <c r="K6786" t="s">
        <v>42283</v>
      </c>
      <c r="M6786" t="s">
        <v>43906</v>
      </c>
      <c r="N6786" t="s">
        <v>46569</v>
      </c>
      <c r="O6786" t="s">
        <v>46570</v>
      </c>
      <c r="P6786">
        <v>0</v>
      </c>
      <c r="Q6786">
        <v>1</v>
      </c>
      <c r="R6786" t="s">
        <v>46573</v>
      </c>
      <c r="S6786" t="s">
        <v>46705</v>
      </c>
      <c r="T6786" t="s">
        <v>48411</v>
      </c>
      <c r="U6786" t="s">
        <v>54349</v>
      </c>
      <c r="W6786" t="s">
        <v>43906</v>
      </c>
      <c r="X6786" t="s">
        <v>46574</v>
      </c>
    </row>
    <row r="6787" spans="1:24">
      <c r="A6787">
        <f>HYPERLINK("https://www.philgeps.gov.ph/GEPSNONPILOT/Tender/SplashBidNoticeAbstractUI.aspx?menuIndex=3&amp;refID=7061364&amp;Result=3","7061364")</f>
        <v>0</v>
      </c>
      <c r="B6787" t="s">
        <v>2150</v>
      </c>
      <c r="C6787" t="s">
        <v>9968</v>
      </c>
      <c r="D6787" t="s">
        <v>18851</v>
      </c>
      <c r="E6787" t="s">
        <v>24886</v>
      </c>
      <c r="F6787" t="s">
        <v>32664</v>
      </c>
      <c r="G6787" t="s">
        <v>32671</v>
      </c>
      <c r="H6787" t="s">
        <v>12635</v>
      </c>
      <c r="I6787" t="s">
        <v>32707</v>
      </c>
      <c r="J6787" t="s">
        <v>37029</v>
      </c>
      <c r="K6787" t="s">
        <v>42303</v>
      </c>
      <c r="M6787" t="s">
        <v>44906</v>
      </c>
      <c r="N6787" t="s">
        <v>46569</v>
      </c>
      <c r="O6787" t="s">
        <v>46570</v>
      </c>
      <c r="P6787">
        <v>0</v>
      </c>
      <c r="Q6787">
        <v>0</v>
      </c>
      <c r="R6787" t="s">
        <v>46573</v>
      </c>
      <c r="S6787" t="s">
        <v>46705</v>
      </c>
      <c r="T6787" t="s">
        <v>48287</v>
      </c>
      <c r="U6787" t="s">
        <v>54395</v>
      </c>
      <c r="W6787" t="s">
        <v>44906</v>
      </c>
      <c r="X6787" t="s">
        <v>46574</v>
      </c>
    </row>
    <row r="6788" spans="1:24">
      <c r="A6788">
        <f>HYPERLINK("https://www.philgeps.gov.ph/GEPSNONPILOT/Tender/SplashBidNoticeAbstractUI.aspx?menuIndex=3&amp;refID=7061361&amp;Result=3","7061361")</f>
        <v>0</v>
      </c>
      <c r="B6788" t="s">
        <v>2150</v>
      </c>
      <c r="C6788" t="s">
        <v>9969</v>
      </c>
      <c r="D6788" t="s">
        <v>18851</v>
      </c>
      <c r="E6788" t="s">
        <v>24887</v>
      </c>
      <c r="F6788" t="s">
        <v>32664</v>
      </c>
      <c r="G6788" t="s">
        <v>32671</v>
      </c>
      <c r="H6788" t="s">
        <v>12635</v>
      </c>
      <c r="I6788" t="s">
        <v>11464</v>
      </c>
      <c r="J6788" t="s">
        <v>35725</v>
      </c>
      <c r="K6788" t="s">
        <v>42303</v>
      </c>
      <c r="M6788" t="s">
        <v>44906</v>
      </c>
      <c r="N6788" t="s">
        <v>46569</v>
      </c>
      <c r="O6788" t="s">
        <v>46570</v>
      </c>
      <c r="P6788">
        <v>0</v>
      </c>
      <c r="Q6788">
        <v>3</v>
      </c>
      <c r="R6788" t="s">
        <v>46573</v>
      </c>
      <c r="S6788" t="s">
        <v>46705</v>
      </c>
      <c r="T6788" t="s">
        <v>48287</v>
      </c>
      <c r="U6788" t="s">
        <v>54396</v>
      </c>
      <c r="W6788" t="s">
        <v>44906</v>
      </c>
      <c r="X6788" t="s">
        <v>46574</v>
      </c>
    </row>
    <row r="6789" spans="1:24">
      <c r="A6789">
        <f>HYPERLINK("https://www.philgeps.gov.ph/GEPSNONPILOT/Tender/SplashBidNoticeAbstractUI.aspx?menuIndex=3&amp;refID=7061279&amp;Result=3","7061279")</f>
        <v>0</v>
      </c>
      <c r="B6789" t="s">
        <v>2151</v>
      </c>
      <c r="C6789" t="s">
        <v>9970</v>
      </c>
      <c r="D6789" t="s">
        <v>18819</v>
      </c>
      <c r="E6789" t="s">
        <v>24888</v>
      </c>
      <c r="F6789" t="s">
        <v>32665</v>
      </c>
      <c r="G6789" t="s">
        <v>32674</v>
      </c>
      <c r="H6789" t="s">
        <v>12635</v>
      </c>
      <c r="I6789" t="s">
        <v>32728</v>
      </c>
      <c r="J6789" t="s">
        <v>34601</v>
      </c>
      <c r="K6789" t="s">
        <v>42281</v>
      </c>
      <c r="M6789" t="s">
        <v>44907</v>
      </c>
      <c r="N6789" t="s">
        <v>46569</v>
      </c>
      <c r="O6789" t="s">
        <v>46570</v>
      </c>
      <c r="P6789">
        <v>0</v>
      </c>
      <c r="Q6789">
        <v>4</v>
      </c>
      <c r="R6789" t="s">
        <v>46573</v>
      </c>
      <c r="S6789" t="s">
        <v>46705</v>
      </c>
      <c r="T6789" t="s">
        <v>48492</v>
      </c>
      <c r="U6789" t="s">
        <v>54397</v>
      </c>
      <c r="V6789" t="s">
        <v>62297</v>
      </c>
      <c r="W6789" t="s">
        <v>44907</v>
      </c>
      <c r="X6789" t="s">
        <v>46574</v>
      </c>
    </row>
    <row r="6790" spans="1:24">
      <c r="A6790">
        <f>HYPERLINK("https://www.philgeps.gov.ph/GEPSNONPILOT/Tender/SplashBidNoticeAbstractUI.aspx?menuIndex=3&amp;refID=7061369&amp;Result=3","7061369")</f>
        <v>0</v>
      </c>
      <c r="B6790" t="s">
        <v>1753</v>
      </c>
      <c r="C6790" t="s">
        <v>9971</v>
      </c>
      <c r="D6790" t="s">
        <v>18784</v>
      </c>
      <c r="E6790" t="s">
        <v>24889</v>
      </c>
      <c r="F6790" t="s">
        <v>32664</v>
      </c>
      <c r="G6790" t="s">
        <v>32671</v>
      </c>
      <c r="H6790" t="s">
        <v>12635</v>
      </c>
      <c r="I6790" t="s">
        <v>32689</v>
      </c>
      <c r="J6790" t="s">
        <v>33008</v>
      </c>
      <c r="K6790" t="s">
        <v>42281</v>
      </c>
      <c r="M6790" t="s">
        <v>44453</v>
      </c>
      <c r="N6790" t="s">
        <v>46569</v>
      </c>
      <c r="O6790" t="s">
        <v>46570</v>
      </c>
      <c r="P6790">
        <v>0</v>
      </c>
      <c r="Q6790">
        <v>11</v>
      </c>
      <c r="R6790" t="s">
        <v>46573</v>
      </c>
      <c r="S6790" t="s">
        <v>46705</v>
      </c>
      <c r="T6790" t="s">
        <v>48219</v>
      </c>
      <c r="U6790" t="s">
        <v>54398</v>
      </c>
      <c r="W6790" t="s">
        <v>44453</v>
      </c>
      <c r="X6790" t="s">
        <v>46574</v>
      </c>
    </row>
    <row r="6791" spans="1:24">
      <c r="A6791">
        <f>HYPERLINK("https://www.philgeps.gov.ph/GEPSNONPILOT/Tender/SplashBidNoticeAbstractUI.aspx?menuIndex=3&amp;refID=7061256&amp;Result=3","7061256")</f>
        <v>0</v>
      </c>
      <c r="B6791" t="s">
        <v>900</v>
      </c>
      <c r="C6791" t="s">
        <v>9972</v>
      </c>
      <c r="E6791" t="s">
        <v>24890</v>
      </c>
      <c r="F6791" t="s">
        <v>32664</v>
      </c>
      <c r="G6791" t="s">
        <v>32677</v>
      </c>
      <c r="H6791" t="s">
        <v>32683</v>
      </c>
      <c r="I6791" t="s">
        <v>10627</v>
      </c>
      <c r="J6791" t="s">
        <v>37030</v>
      </c>
      <c r="K6791" t="s">
        <v>42283</v>
      </c>
      <c r="M6791" t="s">
        <v>43504</v>
      </c>
      <c r="N6791" t="s">
        <v>46569</v>
      </c>
      <c r="O6791" t="s">
        <v>46570</v>
      </c>
      <c r="Q6791">
        <v>0</v>
      </c>
      <c r="R6791" t="s">
        <v>46573</v>
      </c>
      <c r="S6791" t="s">
        <v>46719</v>
      </c>
      <c r="T6791" t="s">
        <v>48265</v>
      </c>
      <c r="U6791" t="s">
        <v>54399</v>
      </c>
      <c r="V6791" t="s">
        <v>62286</v>
      </c>
      <c r="W6791" t="s">
        <v>43504</v>
      </c>
      <c r="X6791" t="s">
        <v>46574</v>
      </c>
    </row>
    <row r="6792" spans="1:24">
      <c r="A6792">
        <f>HYPERLINK("https://www.philgeps.gov.ph/GEPSNONPILOT/Tender/SplashBidNoticeAbstractUI.aspx?menuIndex=3&amp;refID=7061379&amp;Result=3","7061379")</f>
        <v>0</v>
      </c>
      <c r="B6792" t="s">
        <v>611</v>
      </c>
      <c r="C6792" t="s">
        <v>9973</v>
      </c>
      <c r="D6792" t="s">
        <v>18799</v>
      </c>
      <c r="E6792" t="s">
        <v>24891</v>
      </c>
      <c r="F6792" t="s">
        <v>32664</v>
      </c>
      <c r="G6792" t="s">
        <v>32671</v>
      </c>
      <c r="H6792" t="s">
        <v>32683</v>
      </c>
      <c r="I6792" t="s">
        <v>10627</v>
      </c>
      <c r="J6792" t="s">
        <v>33267</v>
      </c>
      <c r="K6792" t="s">
        <v>42283</v>
      </c>
      <c r="M6792" t="s">
        <v>43191</v>
      </c>
      <c r="N6792" t="s">
        <v>46569</v>
      </c>
      <c r="O6792" t="s">
        <v>46570</v>
      </c>
      <c r="P6792">
        <v>0</v>
      </c>
      <c r="Q6792">
        <v>1</v>
      </c>
      <c r="R6792" t="s">
        <v>46573</v>
      </c>
      <c r="S6792" t="s">
        <v>46705</v>
      </c>
      <c r="T6792" t="s">
        <v>48217</v>
      </c>
      <c r="U6792" t="s">
        <v>53191</v>
      </c>
      <c r="W6792" t="s">
        <v>43191</v>
      </c>
      <c r="X6792" t="s">
        <v>46574</v>
      </c>
    </row>
    <row r="6793" spans="1:24">
      <c r="A6793">
        <f>HYPERLINK("https://www.philgeps.gov.ph/GEPSNONPILOT/Tender/SplashBidNoticeAbstractUI.aspx?menuIndex=3&amp;refID=7061255&amp;Result=3","7061255")</f>
        <v>0</v>
      </c>
      <c r="B6793" t="s">
        <v>2152</v>
      </c>
      <c r="C6793" t="s">
        <v>9974</v>
      </c>
      <c r="D6793" t="s">
        <v>18789</v>
      </c>
      <c r="E6793" t="s">
        <v>24892</v>
      </c>
      <c r="F6793" t="s">
        <v>32664</v>
      </c>
      <c r="G6793" t="s">
        <v>32671</v>
      </c>
      <c r="H6793" t="s">
        <v>12635</v>
      </c>
      <c r="I6793" t="s">
        <v>32707</v>
      </c>
      <c r="J6793" t="s">
        <v>37031</v>
      </c>
      <c r="K6793" t="s">
        <v>42281</v>
      </c>
      <c r="M6793" t="s">
        <v>44908</v>
      </c>
      <c r="N6793" t="s">
        <v>46569</v>
      </c>
      <c r="O6793" t="s">
        <v>46570</v>
      </c>
      <c r="P6793">
        <v>0</v>
      </c>
      <c r="Q6793">
        <v>1</v>
      </c>
      <c r="R6793" t="s">
        <v>46573</v>
      </c>
      <c r="S6793" t="s">
        <v>46705</v>
      </c>
      <c r="T6793" t="s">
        <v>48256</v>
      </c>
      <c r="U6793" t="s">
        <v>54400</v>
      </c>
      <c r="W6793" t="s">
        <v>44908</v>
      </c>
      <c r="X6793" t="s">
        <v>46574</v>
      </c>
    </row>
    <row r="6794" spans="1:24">
      <c r="A6794">
        <f>HYPERLINK("https://www.philgeps.gov.ph/GEPSNONPILOT/Tender/SplashBidNoticeAbstractUI.aspx?menuIndex=3&amp;refID=7061362&amp;Result=3","7061362")</f>
        <v>0</v>
      </c>
      <c r="B6794" t="s">
        <v>1579</v>
      </c>
      <c r="C6794" t="s">
        <v>9975</v>
      </c>
      <c r="D6794" t="s">
        <v>18831</v>
      </c>
      <c r="E6794" t="s">
        <v>24893</v>
      </c>
      <c r="F6794" t="s">
        <v>32664</v>
      </c>
      <c r="G6794" t="s">
        <v>32671</v>
      </c>
      <c r="H6794" t="s">
        <v>12635</v>
      </c>
      <c r="I6794" t="s">
        <v>8797</v>
      </c>
      <c r="J6794" t="s">
        <v>37032</v>
      </c>
      <c r="K6794" t="s">
        <v>42284</v>
      </c>
      <c r="M6794" t="s">
        <v>44255</v>
      </c>
      <c r="N6794" t="s">
        <v>46569</v>
      </c>
      <c r="O6794" t="s">
        <v>46570</v>
      </c>
      <c r="P6794">
        <v>0</v>
      </c>
      <c r="Q6794">
        <v>7</v>
      </c>
      <c r="R6794" t="s">
        <v>46573</v>
      </c>
      <c r="S6794" t="s">
        <v>46705</v>
      </c>
      <c r="T6794" t="s">
        <v>48316</v>
      </c>
      <c r="U6794" t="s">
        <v>54401</v>
      </c>
      <c r="W6794" t="s">
        <v>44255</v>
      </c>
      <c r="X6794" t="s">
        <v>46574</v>
      </c>
    </row>
    <row r="6795" spans="1:24">
      <c r="A6795">
        <f>HYPERLINK("https://www.philgeps.gov.ph/GEPSNONPILOT/Tender/SplashBidNoticeAbstractUI.aspx?menuIndex=3&amp;refID=7061336&amp;Result=3","7061336")</f>
        <v>0</v>
      </c>
      <c r="B6795" t="s">
        <v>2141</v>
      </c>
      <c r="C6795" t="s">
        <v>9976</v>
      </c>
      <c r="D6795" t="s">
        <v>18781</v>
      </c>
      <c r="E6795" t="s">
        <v>24894</v>
      </c>
      <c r="F6795" t="s">
        <v>32664</v>
      </c>
      <c r="G6795" t="s">
        <v>32674</v>
      </c>
      <c r="H6795" t="s">
        <v>12635</v>
      </c>
      <c r="I6795" t="s">
        <v>4439</v>
      </c>
      <c r="J6795" t="s">
        <v>33893</v>
      </c>
      <c r="K6795" t="s">
        <v>42306</v>
      </c>
      <c r="M6795" t="s">
        <v>44896</v>
      </c>
      <c r="N6795" t="s">
        <v>46569</v>
      </c>
      <c r="O6795" t="s">
        <v>46570</v>
      </c>
      <c r="P6795">
        <v>0</v>
      </c>
      <c r="Q6795">
        <v>0</v>
      </c>
      <c r="R6795" t="s">
        <v>46573</v>
      </c>
      <c r="S6795" t="s">
        <v>46705</v>
      </c>
      <c r="T6795" t="s">
        <v>48316</v>
      </c>
      <c r="U6795" t="s">
        <v>54376</v>
      </c>
      <c r="W6795" t="s">
        <v>44896</v>
      </c>
      <c r="X6795" t="s">
        <v>46574</v>
      </c>
    </row>
    <row r="6796" spans="1:24">
      <c r="A6796">
        <f>HYPERLINK("https://www.philgeps.gov.ph/GEPSNONPILOT/Tender/SplashBidNoticeAbstractUI.aspx?menuIndex=3&amp;refID=7061399&amp;Result=3","7061399")</f>
        <v>0</v>
      </c>
      <c r="B6796" t="s">
        <v>2153</v>
      </c>
      <c r="C6796" t="s">
        <v>9977</v>
      </c>
      <c r="D6796" t="s">
        <v>18801</v>
      </c>
      <c r="E6796" t="s">
        <v>24895</v>
      </c>
      <c r="F6796" t="s">
        <v>32664</v>
      </c>
      <c r="G6796" t="s">
        <v>32675</v>
      </c>
      <c r="H6796" t="s">
        <v>12635</v>
      </c>
      <c r="I6796" t="s">
        <v>6223</v>
      </c>
      <c r="J6796" t="s">
        <v>33121</v>
      </c>
      <c r="K6796" t="s">
        <v>42283</v>
      </c>
      <c r="M6796" t="s">
        <v>44909</v>
      </c>
      <c r="N6796" t="s">
        <v>46569</v>
      </c>
      <c r="O6796" t="s">
        <v>46570</v>
      </c>
      <c r="P6796">
        <v>0</v>
      </c>
      <c r="Q6796">
        <v>3</v>
      </c>
      <c r="R6796" t="s">
        <v>46573</v>
      </c>
      <c r="S6796" t="s">
        <v>46705</v>
      </c>
      <c r="T6796" t="s">
        <v>48307</v>
      </c>
      <c r="U6796" t="s">
        <v>54402</v>
      </c>
      <c r="W6796" t="s">
        <v>44909</v>
      </c>
      <c r="X6796" t="s">
        <v>46574</v>
      </c>
    </row>
    <row r="6797" spans="1:24">
      <c r="A6797">
        <f>HYPERLINK("https://www.philgeps.gov.ph/GEPSNONPILOT/Tender/SplashBidNoticeAbstractUI.aspx?menuIndex=3&amp;refID=7061398&amp;Result=3","7061398")</f>
        <v>0</v>
      </c>
      <c r="B6797" t="s">
        <v>851</v>
      </c>
      <c r="C6797" t="s">
        <v>9978</v>
      </c>
      <c r="D6797" t="s">
        <v>18829</v>
      </c>
      <c r="E6797" t="s">
        <v>24896</v>
      </c>
      <c r="F6797" t="s">
        <v>32664</v>
      </c>
      <c r="G6797" t="s">
        <v>32672</v>
      </c>
      <c r="H6797" t="s">
        <v>12635</v>
      </c>
      <c r="I6797" t="s">
        <v>4439</v>
      </c>
      <c r="J6797" t="s">
        <v>37033</v>
      </c>
      <c r="K6797" t="s">
        <v>42298</v>
      </c>
      <c r="M6797" t="s">
        <v>43447</v>
      </c>
      <c r="N6797" t="s">
        <v>46569</v>
      </c>
      <c r="O6797" t="s">
        <v>46570</v>
      </c>
      <c r="P6797">
        <v>0</v>
      </c>
      <c r="Q6797">
        <v>0</v>
      </c>
      <c r="R6797" t="s">
        <v>46573</v>
      </c>
      <c r="S6797" t="s">
        <v>46705</v>
      </c>
      <c r="T6797" t="s">
        <v>48313</v>
      </c>
      <c r="U6797" t="s">
        <v>54389</v>
      </c>
      <c r="W6797" t="s">
        <v>43447</v>
      </c>
      <c r="X6797" t="s">
        <v>46574</v>
      </c>
    </row>
    <row r="6798" spans="1:24">
      <c r="A6798">
        <f>HYPERLINK("https://www.philgeps.gov.ph/GEPSNONPILOT/Tender/SplashBidNoticeAbstractUI.aspx?menuIndex=3&amp;refID=7061397&amp;Result=3","7061397")</f>
        <v>0</v>
      </c>
      <c r="B6798" t="s">
        <v>2154</v>
      </c>
      <c r="C6798" t="s">
        <v>9979</v>
      </c>
      <c r="D6798" t="s">
        <v>18824</v>
      </c>
      <c r="E6798" t="s">
        <v>24897</v>
      </c>
      <c r="F6798" t="s">
        <v>32664</v>
      </c>
      <c r="G6798" t="s">
        <v>32671</v>
      </c>
      <c r="H6798" t="s">
        <v>12635</v>
      </c>
      <c r="I6798" t="s">
        <v>4439</v>
      </c>
      <c r="J6798" t="s">
        <v>37034</v>
      </c>
      <c r="K6798" t="s">
        <v>42295</v>
      </c>
      <c r="M6798" t="s">
        <v>44910</v>
      </c>
      <c r="N6798" t="s">
        <v>46569</v>
      </c>
      <c r="O6798" t="s">
        <v>46570</v>
      </c>
      <c r="P6798">
        <v>0</v>
      </c>
      <c r="Q6798">
        <v>0</v>
      </c>
      <c r="R6798" t="s">
        <v>46573</v>
      </c>
      <c r="S6798" t="s">
        <v>46705</v>
      </c>
      <c r="T6798" t="s">
        <v>48287</v>
      </c>
      <c r="U6798" t="s">
        <v>54403</v>
      </c>
      <c r="W6798" t="s">
        <v>44910</v>
      </c>
      <c r="X6798" t="s">
        <v>46574</v>
      </c>
    </row>
    <row r="6799" spans="1:24">
      <c r="A6799">
        <f>HYPERLINK("https://www.philgeps.gov.ph/GEPSNONPILOT/Tender/SplashBidNoticeAbstractUI.aspx?menuIndex=3&amp;refID=7061396&amp;Result=3","7061396")</f>
        <v>0</v>
      </c>
      <c r="B6799" t="s">
        <v>476</v>
      </c>
      <c r="C6799" t="s">
        <v>9980</v>
      </c>
      <c r="D6799" t="s">
        <v>18788</v>
      </c>
      <c r="E6799" t="s">
        <v>19183</v>
      </c>
      <c r="F6799" t="s">
        <v>32664</v>
      </c>
      <c r="G6799" t="s">
        <v>32675</v>
      </c>
      <c r="H6799" t="s">
        <v>32682</v>
      </c>
      <c r="I6799" t="s">
        <v>8797</v>
      </c>
      <c r="J6799" t="s">
        <v>33893</v>
      </c>
      <c r="K6799" t="s">
        <v>42297</v>
      </c>
      <c r="M6799" t="s">
        <v>43051</v>
      </c>
      <c r="N6799" t="s">
        <v>46569</v>
      </c>
      <c r="O6799" t="s">
        <v>46570</v>
      </c>
      <c r="P6799">
        <v>0</v>
      </c>
      <c r="Q6799">
        <v>1</v>
      </c>
      <c r="R6799" t="s">
        <v>46573</v>
      </c>
      <c r="S6799" t="s">
        <v>46705</v>
      </c>
      <c r="T6799" t="s">
        <v>48221</v>
      </c>
      <c r="U6799" t="s">
        <v>54404</v>
      </c>
      <c r="W6799" t="s">
        <v>43051</v>
      </c>
      <c r="X6799" t="s">
        <v>46574</v>
      </c>
    </row>
    <row r="6800" spans="1:24">
      <c r="A6800">
        <f>HYPERLINK("https://www.philgeps.gov.ph/GEPSNONPILOT/Tender/SplashBidNoticeAbstractUI.aspx?menuIndex=3&amp;refID=7061377&amp;Result=3","7061377")</f>
        <v>0</v>
      </c>
      <c r="B6800" t="s">
        <v>1263</v>
      </c>
      <c r="C6800" t="s">
        <v>9981</v>
      </c>
      <c r="D6800" t="s">
        <v>18807</v>
      </c>
      <c r="E6800" t="s">
        <v>24898</v>
      </c>
      <c r="F6800" t="s">
        <v>32664</v>
      </c>
      <c r="G6800" t="s">
        <v>32671</v>
      </c>
      <c r="H6800" t="s">
        <v>12635</v>
      </c>
      <c r="I6800" t="s">
        <v>32764</v>
      </c>
      <c r="J6800" t="s">
        <v>32845</v>
      </c>
      <c r="K6800" t="s">
        <v>42283</v>
      </c>
      <c r="M6800" t="s">
        <v>43906</v>
      </c>
      <c r="N6800" t="s">
        <v>46569</v>
      </c>
      <c r="O6800" t="s">
        <v>46570</v>
      </c>
      <c r="P6800">
        <v>0</v>
      </c>
      <c r="Q6800">
        <v>0</v>
      </c>
      <c r="R6800" t="s">
        <v>46573</v>
      </c>
      <c r="S6800" t="s">
        <v>46705</v>
      </c>
      <c r="T6800" t="s">
        <v>48411</v>
      </c>
      <c r="U6800" t="s">
        <v>54349</v>
      </c>
      <c r="W6800" t="s">
        <v>43906</v>
      </c>
      <c r="X6800" t="s">
        <v>46574</v>
      </c>
    </row>
    <row r="6801" spans="1:24">
      <c r="A6801">
        <f>HYPERLINK("https://www.philgeps.gov.ph/GEPSNONPILOT/Tender/SplashBidNoticeAbstractUI.aspx?menuIndex=3&amp;refID=7061394&amp;Result=3","7061394")</f>
        <v>0</v>
      </c>
      <c r="B6801" t="s">
        <v>851</v>
      </c>
      <c r="C6801" t="s">
        <v>9982</v>
      </c>
      <c r="D6801" t="s">
        <v>18829</v>
      </c>
      <c r="E6801" t="s">
        <v>24899</v>
      </c>
      <c r="F6801" t="s">
        <v>32664</v>
      </c>
      <c r="G6801" t="s">
        <v>32672</v>
      </c>
      <c r="H6801" t="s">
        <v>12635</v>
      </c>
      <c r="I6801" t="s">
        <v>4439</v>
      </c>
      <c r="J6801" t="s">
        <v>37035</v>
      </c>
      <c r="K6801" t="s">
        <v>42298</v>
      </c>
      <c r="M6801" t="s">
        <v>43447</v>
      </c>
      <c r="N6801" t="s">
        <v>46569</v>
      </c>
      <c r="O6801" t="s">
        <v>46570</v>
      </c>
      <c r="P6801">
        <v>0</v>
      </c>
      <c r="Q6801">
        <v>0</v>
      </c>
      <c r="R6801" t="s">
        <v>46573</v>
      </c>
      <c r="S6801" t="s">
        <v>46705</v>
      </c>
      <c r="T6801" t="s">
        <v>48313</v>
      </c>
      <c r="U6801" t="s">
        <v>54389</v>
      </c>
      <c r="W6801" t="s">
        <v>43447</v>
      </c>
      <c r="X6801" t="s">
        <v>46574</v>
      </c>
    </row>
    <row r="6802" spans="1:24">
      <c r="A6802">
        <f>HYPERLINK("https://www.philgeps.gov.ph/GEPSNONPILOT/Tender/SplashBidNoticeAbstractUI.aspx?menuIndex=3&amp;refID=7061402&amp;Result=3","7061402")</f>
        <v>0</v>
      </c>
      <c r="B6802" t="s">
        <v>913</v>
      </c>
      <c r="C6802" t="s">
        <v>9983</v>
      </c>
      <c r="D6802" t="s">
        <v>18804</v>
      </c>
      <c r="E6802" t="s">
        <v>24900</v>
      </c>
      <c r="F6802" t="s">
        <v>32664</v>
      </c>
      <c r="G6802" t="s">
        <v>32675</v>
      </c>
      <c r="H6802" t="s">
        <v>12635</v>
      </c>
      <c r="I6802" t="s">
        <v>32684</v>
      </c>
      <c r="J6802" t="s">
        <v>33755</v>
      </c>
      <c r="K6802" t="s">
        <v>42289</v>
      </c>
      <c r="M6802" t="s">
        <v>44911</v>
      </c>
      <c r="N6802" t="s">
        <v>46569</v>
      </c>
      <c r="O6802" t="s">
        <v>46570</v>
      </c>
      <c r="P6802">
        <v>0</v>
      </c>
      <c r="Q6802">
        <v>5</v>
      </c>
      <c r="R6802" t="s">
        <v>46573</v>
      </c>
      <c r="S6802" t="s">
        <v>46705</v>
      </c>
      <c r="T6802" t="s">
        <v>48283</v>
      </c>
      <c r="U6802" t="s">
        <v>54405</v>
      </c>
      <c r="W6802" t="s">
        <v>44911</v>
      </c>
      <c r="X6802" t="s">
        <v>46574</v>
      </c>
    </row>
    <row r="6803" spans="1:24">
      <c r="A6803">
        <f>HYPERLINK("https://www.philgeps.gov.ph/GEPSNONPILOT/Tender/SplashBidNoticeAbstractUI.aspx?menuIndex=3&amp;refID=7061392&amp;Result=3","7061392")</f>
        <v>0</v>
      </c>
      <c r="B6803" t="s">
        <v>2146</v>
      </c>
      <c r="C6803" t="s">
        <v>9984</v>
      </c>
      <c r="E6803" t="s">
        <v>24901</v>
      </c>
      <c r="F6803" t="s">
        <v>32664</v>
      </c>
      <c r="G6803" t="s">
        <v>32674</v>
      </c>
      <c r="H6803" t="s">
        <v>12635</v>
      </c>
      <c r="I6803" t="s">
        <v>6628</v>
      </c>
      <c r="J6803" t="s">
        <v>34391</v>
      </c>
      <c r="K6803" t="s">
        <v>42284</v>
      </c>
      <c r="L6803" t="s">
        <v>2146</v>
      </c>
      <c r="M6803" t="s">
        <v>44902</v>
      </c>
      <c r="N6803" t="s">
        <v>46569</v>
      </c>
      <c r="O6803" t="s">
        <v>46570</v>
      </c>
      <c r="P6803">
        <v>0</v>
      </c>
      <c r="Q6803">
        <v>10</v>
      </c>
      <c r="R6803" t="s">
        <v>46573</v>
      </c>
      <c r="S6803" t="s">
        <v>46705</v>
      </c>
      <c r="T6803" t="s">
        <v>48219</v>
      </c>
      <c r="U6803" t="s">
        <v>54406</v>
      </c>
      <c r="W6803" t="s">
        <v>44902</v>
      </c>
      <c r="X6803" t="s">
        <v>46574</v>
      </c>
    </row>
    <row r="6804" spans="1:24">
      <c r="A6804">
        <f>HYPERLINK("https://www.philgeps.gov.ph/GEPSNONPILOT/Tender/SplashBidNoticeAbstractUI.aspx?menuIndex=3&amp;refID=7061390&amp;Result=3","7061390")</f>
        <v>0</v>
      </c>
      <c r="B6804" t="s">
        <v>851</v>
      </c>
      <c r="C6804" t="s">
        <v>9985</v>
      </c>
      <c r="D6804" t="s">
        <v>18829</v>
      </c>
      <c r="E6804" t="s">
        <v>24902</v>
      </c>
      <c r="F6804" t="s">
        <v>32664</v>
      </c>
      <c r="G6804" t="s">
        <v>32672</v>
      </c>
      <c r="H6804" t="s">
        <v>12635</v>
      </c>
      <c r="I6804" t="s">
        <v>6628</v>
      </c>
      <c r="J6804" t="s">
        <v>37036</v>
      </c>
      <c r="K6804" t="s">
        <v>42281</v>
      </c>
      <c r="M6804" t="s">
        <v>43447</v>
      </c>
      <c r="N6804" t="s">
        <v>46569</v>
      </c>
      <c r="O6804" t="s">
        <v>46570</v>
      </c>
      <c r="P6804">
        <v>0</v>
      </c>
      <c r="Q6804">
        <v>2</v>
      </c>
      <c r="R6804" t="s">
        <v>46573</v>
      </c>
      <c r="S6804" t="s">
        <v>46705</v>
      </c>
      <c r="T6804" t="s">
        <v>48313</v>
      </c>
      <c r="U6804" t="s">
        <v>54389</v>
      </c>
      <c r="W6804" t="s">
        <v>43447</v>
      </c>
      <c r="X6804" t="s">
        <v>46574</v>
      </c>
    </row>
    <row r="6805" spans="1:24">
      <c r="A6805">
        <f>HYPERLINK("https://www.philgeps.gov.ph/GEPSNONPILOT/Tender/SplashBidNoticeAbstractUI.aspx?menuIndex=3&amp;refID=7061400&amp;Result=3","7061400")</f>
        <v>0</v>
      </c>
      <c r="B6805" t="s">
        <v>1540</v>
      </c>
      <c r="C6805" t="s">
        <v>9986</v>
      </c>
      <c r="D6805" t="s">
        <v>18838</v>
      </c>
      <c r="E6805" t="s">
        <v>24903</v>
      </c>
      <c r="F6805" t="s">
        <v>32664</v>
      </c>
      <c r="G6805" t="s">
        <v>32671</v>
      </c>
      <c r="H6805" t="s">
        <v>12635</v>
      </c>
      <c r="I6805" t="s">
        <v>8797</v>
      </c>
      <c r="J6805" t="s">
        <v>33147</v>
      </c>
      <c r="K6805" t="s">
        <v>42283</v>
      </c>
      <c r="M6805" t="s">
        <v>44209</v>
      </c>
      <c r="N6805" t="s">
        <v>46569</v>
      </c>
      <c r="O6805" t="s">
        <v>46570</v>
      </c>
      <c r="P6805">
        <v>0</v>
      </c>
      <c r="Q6805">
        <v>2</v>
      </c>
      <c r="R6805" t="s">
        <v>46573</v>
      </c>
      <c r="S6805" t="s">
        <v>46705</v>
      </c>
      <c r="T6805" t="s">
        <v>48280</v>
      </c>
      <c r="U6805" t="s">
        <v>54407</v>
      </c>
      <c r="W6805" t="s">
        <v>44209</v>
      </c>
      <c r="X6805" t="s">
        <v>46574</v>
      </c>
    </row>
    <row r="6806" spans="1:24">
      <c r="A6806">
        <f>HYPERLINK("https://www.philgeps.gov.ph/GEPSNONPILOT/Tender/SplashBidNoticeAbstractUI.aspx?menuIndex=3&amp;refID=7061395&amp;Result=3","7061395")</f>
        <v>0</v>
      </c>
      <c r="B6806" t="s">
        <v>2145</v>
      </c>
      <c r="C6806" t="s">
        <v>9987</v>
      </c>
      <c r="D6806" t="s">
        <v>18847</v>
      </c>
      <c r="E6806" t="s">
        <v>24904</v>
      </c>
      <c r="F6806" t="s">
        <v>32664</v>
      </c>
      <c r="G6806" t="s">
        <v>32671</v>
      </c>
      <c r="H6806" t="s">
        <v>12635</v>
      </c>
      <c r="I6806" t="s">
        <v>32685</v>
      </c>
      <c r="J6806" t="s">
        <v>36257</v>
      </c>
      <c r="K6806" t="s">
        <v>42290</v>
      </c>
      <c r="M6806" t="s">
        <v>44900</v>
      </c>
      <c r="N6806" t="s">
        <v>46569</v>
      </c>
      <c r="O6806" t="s">
        <v>46570</v>
      </c>
      <c r="P6806">
        <v>0</v>
      </c>
      <c r="Q6806">
        <v>2</v>
      </c>
      <c r="R6806" t="s">
        <v>46573</v>
      </c>
      <c r="S6806" t="s">
        <v>46705</v>
      </c>
      <c r="T6806" t="s">
        <v>48305</v>
      </c>
      <c r="U6806" t="s">
        <v>54408</v>
      </c>
      <c r="W6806" t="s">
        <v>44900</v>
      </c>
      <c r="X6806" t="s">
        <v>46574</v>
      </c>
    </row>
    <row r="6807" spans="1:24">
      <c r="A6807">
        <f>HYPERLINK("https://www.philgeps.gov.ph/GEPSNONPILOT/Tender/SplashBidNoticeAbstractUI.aspx?menuIndex=3&amp;refID=7061378&amp;Result=3","7061378")</f>
        <v>0</v>
      </c>
      <c r="B6807" t="s">
        <v>913</v>
      </c>
      <c r="C6807" t="s">
        <v>9988</v>
      </c>
      <c r="D6807" t="s">
        <v>18804</v>
      </c>
      <c r="E6807" t="s">
        <v>24905</v>
      </c>
      <c r="F6807" t="s">
        <v>32664</v>
      </c>
      <c r="G6807" t="s">
        <v>32672</v>
      </c>
      <c r="H6807" t="s">
        <v>12635</v>
      </c>
      <c r="I6807" t="s">
        <v>32789</v>
      </c>
      <c r="J6807" t="s">
        <v>37037</v>
      </c>
      <c r="K6807" t="s">
        <v>42327</v>
      </c>
      <c r="M6807" t="s">
        <v>44911</v>
      </c>
      <c r="N6807" t="s">
        <v>46569</v>
      </c>
      <c r="O6807" t="s">
        <v>46570</v>
      </c>
      <c r="P6807">
        <v>0</v>
      </c>
      <c r="Q6807">
        <v>2</v>
      </c>
      <c r="R6807" t="s">
        <v>46573</v>
      </c>
      <c r="S6807" t="s">
        <v>46705</v>
      </c>
      <c r="T6807" t="s">
        <v>48220</v>
      </c>
      <c r="U6807" t="s">
        <v>54409</v>
      </c>
      <c r="W6807" t="s">
        <v>44911</v>
      </c>
      <c r="X6807" t="s">
        <v>46574</v>
      </c>
    </row>
    <row r="6808" spans="1:24">
      <c r="A6808">
        <f>HYPERLINK("https://www.philgeps.gov.ph/GEPSNONPILOT/Tender/SplashBidNoticeAbstractUI.aspx?menuIndex=3&amp;refID=7061405&amp;Result=3","7061405")</f>
        <v>0</v>
      </c>
      <c r="B6808" t="s">
        <v>1540</v>
      </c>
      <c r="C6808" t="s">
        <v>4217</v>
      </c>
      <c r="D6808" t="s">
        <v>18838</v>
      </c>
      <c r="E6808" t="s">
        <v>24906</v>
      </c>
      <c r="F6808" t="s">
        <v>32664</v>
      </c>
      <c r="G6808" t="s">
        <v>32671</v>
      </c>
      <c r="H6808" t="s">
        <v>12635</v>
      </c>
      <c r="I6808" t="s">
        <v>9486</v>
      </c>
      <c r="J6808" t="s">
        <v>32898</v>
      </c>
      <c r="K6808" t="s">
        <v>42283</v>
      </c>
      <c r="M6808" t="s">
        <v>44209</v>
      </c>
      <c r="N6808" t="s">
        <v>46569</v>
      </c>
      <c r="O6808" t="s">
        <v>46570</v>
      </c>
      <c r="P6808">
        <v>0</v>
      </c>
      <c r="Q6808">
        <v>2</v>
      </c>
      <c r="R6808" t="s">
        <v>46573</v>
      </c>
      <c r="S6808" t="s">
        <v>46705</v>
      </c>
      <c r="T6808" t="s">
        <v>48280</v>
      </c>
      <c r="U6808" t="s">
        <v>54410</v>
      </c>
      <c r="W6808" t="s">
        <v>44209</v>
      </c>
      <c r="X6808" t="s">
        <v>46574</v>
      </c>
    </row>
    <row r="6809" spans="1:24">
      <c r="A6809">
        <f>HYPERLINK("https://www.philgeps.gov.ph/GEPSNONPILOT/Tender/SplashBidNoticeAbstractUI.aspx?menuIndex=3&amp;refID=7061427&amp;Result=3","7061427")</f>
        <v>0</v>
      </c>
      <c r="B6809" t="s">
        <v>1263</v>
      </c>
      <c r="C6809" t="s">
        <v>9989</v>
      </c>
      <c r="D6809" t="s">
        <v>18807</v>
      </c>
      <c r="E6809" t="s">
        <v>24907</v>
      </c>
      <c r="F6809" t="s">
        <v>32664</v>
      </c>
      <c r="G6809" t="s">
        <v>32671</v>
      </c>
      <c r="H6809" t="s">
        <v>12635</v>
      </c>
      <c r="I6809" t="s">
        <v>32686</v>
      </c>
      <c r="J6809" t="s">
        <v>37038</v>
      </c>
      <c r="K6809" t="s">
        <v>42283</v>
      </c>
      <c r="M6809" t="s">
        <v>43906</v>
      </c>
      <c r="N6809" t="s">
        <v>46569</v>
      </c>
      <c r="O6809" t="s">
        <v>46570</v>
      </c>
      <c r="P6809">
        <v>0</v>
      </c>
      <c r="Q6809">
        <v>1</v>
      </c>
      <c r="R6809" t="s">
        <v>46573</v>
      </c>
      <c r="S6809" t="s">
        <v>46705</v>
      </c>
      <c r="T6809" t="s">
        <v>48411</v>
      </c>
      <c r="U6809" t="s">
        <v>54349</v>
      </c>
      <c r="W6809" t="s">
        <v>43906</v>
      </c>
      <c r="X6809" t="s">
        <v>46574</v>
      </c>
    </row>
    <row r="6810" spans="1:24">
      <c r="A6810">
        <f>HYPERLINK("https://www.philgeps.gov.ph/GEPSNONPILOT/Tender/SplashBidNoticeAbstractUI.aspx?menuIndex=3&amp;refID=7061393&amp;Result=3","7061393")</f>
        <v>0</v>
      </c>
      <c r="B6810" t="s">
        <v>1263</v>
      </c>
      <c r="C6810" t="s">
        <v>9990</v>
      </c>
      <c r="D6810" t="s">
        <v>18807</v>
      </c>
      <c r="E6810" t="s">
        <v>24908</v>
      </c>
      <c r="F6810" t="s">
        <v>32664</v>
      </c>
      <c r="G6810" t="s">
        <v>32671</v>
      </c>
      <c r="H6810" t="s">
        <v>12635</v>
      </c>
      <c r="I6810" t="s">
        <v>32694</v>
      </c>
      <c r="J6810" t="s">
        <v>33215</v>
      </c>
      <c r="K6810" t="s">
        <v>42283</v>
      </c>
      <c r="M6810" t="s">
        <v>43906</v>
      </c>
      <c r="N6810" t="s">
        <v>46569</v>
      </c>
      <c r="O6810" t="s">
        <v>46570</v>
      </c>
      <c r="P6810">
        <v>0</v>
      </c>
      <c r="Q6810">
        <v>0</v>
      </c>
      <c r="R6810" t="s">
        <v>46573</v>
      </c>
      <c r="S6810" t="s">
        <v>46705</v>
      </c>
      <c r="T6810" t="s">
        <v>48411</v>
      </c>
      <c r="U6810" t="s">
        <v>54349</v>
      </c>
      <c r="W6810" t="s">
        <v>43906</v>
      </c>
      <c r="X6810" t="s">
        <v>46574</v>
      </c>
    </row>
    <row r="6811" spans="1:24">
      <c r="A6811">
        <f>HYPERLINK("https://www.philgeps.gov.ph/GEPSNONPILOT/Tender/SplashBidNoticeAbstractUI.aspx?menuIndex=3&amp;refID=7061401&amp;Result=3","7061401")</f>
        <v>0</v>
      </c>
      <c r="B6811" t="s">
        <v>2155</v>
      </c>
      <c r="C6811" t="s">
        <v>9991</v>
      </c>
      <c r="D6811" t="s">
        <v>18832</v>
      </c>
      <c r="E6811" t="s">
        <v>24909</v>
      </c>
      <c r="F6811" t="s">
        <v>32664</v>
      </c>
      <c r="G6811" t="s">
        <v>32672</v>
      </c>
      <c r="H6811" t="s">
        <v>12635</v>
      </c>
      <c r="I6811" t="s">
        <v>4439</v>
      </c>
      <c r="J6811" t="s">
        <v>37039</v>
      </c>
      <c r="K6811" t="s">
        <v>42289</v>
      </c>
      <c r="M6811" t="s">
        <v>44912</v>
      </c>
      <c r="N6811" t="s">
        <v>46569</v>
      </c>
      <c r="O6811" t="s">
        <v>46570</v>
      </c>
      <c r="P6811">
        <v>0</v>
      </c>
      <c r="Q6811">
        <v>0</v>
      </c>
      <c r="R6811" t="s">
        <v>46573</v>
      </c>
      <c r="S6811" t="s">
        <v>46705</v>
      </c>
      <c r="T6811" t="s">
        <v>48501</v>
      </c>
      <c r="U6811" t="s">
        <v>54411</v>
      </c>
      <c r="W6811" t="s">
        <v>44912</v>
      </c>
      <c r="X6811" t="s">
        <v>46574</v>
      </c>
    </row>
    <row r="6812" spans="1:24">
      <c r="A6812">
        <f>HYPERLINK("https://www.philgeps.gov.ph/GEPSNONPILOT/Tender/SplashBidNoticeAbstractUI.aspx?menuIndex=3&amp;refID=7061389&amp;Result=3","7061389")</f>
        <v>0</v>
      </c>
      <c r="B6812" t="s">
        <v>1263</v>
      </c>
      <c r="C6812" t="s">
        <v>9992</v>
      </c>
      <c r="D6812" t="s">
        <v>18807</v>
      </c>
      <c r="E6812" t="s">
        <v>24910</v>
      </c>
      <c r="F6812" t="s">
        <v>32664</v>
      </c>
      <c r="G6812" t="s">
        <v>32671</v>
      </c>
      <c r="H6812" t="s">
        <v>12635</v>
      </c>
      <c r="I6812" t="s">
        <v>6223</v>
      </c>
      <c r="J6812" t="s">
        <v>33085</v>
      </c>
      <c r="K6812" t="s">
        <v>42283</v>
      </c>
      <c r="M6812" t="s">
        <v>43906</v>
      </c>
      <c r="N6812" t="s">
        <v>46569</v>
      </c>
      <c r="O6812" t="s">
        <v>46570</v>
      </c>
      <c r="P6812">
        <v>0</v>
      </c>
      <c r="Q6812">
        <v>0</v>
      </c>
      <c r="R6812" t="s">
        <v>46573</v>
      </c>
      <c r="S6812" t="s">
        <v>46705</v>
      </c>
      <c r="T6812" t="s">
        <v>48411</v>
      </c>
      <c r="U6812" t="s">
        <v>54349</v>
      </c>
      <c r="W6812" t="s">
        <v>43906</v>
      </c>
      <c r="X6812" t="s">
        <v>46574</v>
      </c>
    </row>
    <row r="6813" spans="1:24">
      <c r="A6813">
        <f>HYPERLINK("https://www.philgeps.gov.ph/GEPSNONPILOT/Tender/SplashBidNoticeAbstractUI.aspx?menuIndex=3&amp;refID=7061422&amp;Result=3","7061422")</f>
        <v>0</v>
      </c>
      <c r="B6813" t="s">
        <v>428</v>
      </c>
      <c r="C6813" t="s">
        <v>9993</v>
      </c>
      <c r="D6813" t="s">
        <v>18842</v>
      </c>
      <c r="E6813" t="s">
        <v>24856</v>
      </c>
      <c r="F6813" t="s">
        <v>32664</v>
      </c>
      <c r="G6813" t="s">
        <v>32672</v>
      </c>
      <c r="H6813" t="s">
        <v>32683</v>
      </c>
      <c r="I6813" t="s">
        <v>32783</v>
      </c>
      <c r="J6813" t="s">
        <v>37040</v>
      </c>
      <c r="K6813" t="s">
        <v>42416</v>
      </c>
      <c r="M6813" t="s">
        <v>44243</v>
      </c>
      <c r="N6813" t="s">
        <v>46569</v>
      </c>
      <c r="O6813" t="s">
        <v>46570</v>
      </c>
      <c r="P6813">
        <v>0</v>
      </c>
      <c r="Q6813">
        <v>0</v>
      </c>
      <c r="R6813" t="s">
        <v>46573</v>
      </c>
      <c r="S6813" t="s">
        <v>46705</v>
      </c>
      <c r="T6813" t="s">
        <v>48372</v>
      </c>
      <c r="U6813" t="s">
        <v>54412</v>
      </c>
      <c r="W6813" t="s">
        <v>44243</v>
      </c>
      <c r="X6813" t="s">
        <v>46574</v>
      </c>
    </row>
    <row r="6814" spans="1:24">
      <c r="A6814">
        <f>HYPERLINK("https://www.philgeps.gov.ph/GEPSNONPILOT/Tender/SplashBidNoticeAbstractUI.aspx?menuIndex=3&amp;refID=7061426&amp;Result=3","7061426")</f>
        <v>0</v>
      </c>
      <c r="B6814" t="s">
        <v>1753</v>
      </c>
      <c r="C6814" t="s">
        <v>9994</v>
      </c>
      <c r="D6814" t="s">
        <v>18784</v>
      </c>
      <c r="E6814" t="s">
        <v>24911</v>
      </c>
      <c r="F6814" t="s">
        <v>32664</v>
      </c>
      <c r="G6814" t="s">
        <v>32671</v>
      </c>
      <c r="H6814" t="s">
        <v>12635</v>
      </c>
      <c r="I6814" t="s">
        <v>32685</v>
      </c>
      <c r="J6814" t="s">
        <v>33294</v>
      </c>
      <c r="K6814" t="s">
        <v>42281</v>
      </c>
      <c r="M6814" t="s">
        <v>44453</v>
      </c>
      <c r="N6814" t="s">
        <v>46569</v>
      </c>
      <c r="O6814" t="s">
        <v>46570</v>
      </c>
      <c r="P6814">
        <v>0</v>
      </c>
      <c r="Q6814">
        <v>0</v>
      </c>
      <c r="R6814" t="s">
        <v>46573</v>
      </c>
      <c r="S6814" t="s">
        <v>46705</v>
      </c>
      <c r="T6814" t="s">
        <v>48244</v>
      </c>
      <c r="U6814" t="s">
        <v>54413</v>
      </c>
      <c r="W6814" t="s">
        <v>44453</v>
      </c>
      <c r="X6814" t="s">
        <v>46574</v>
      </c>
    </row>
    <row r="6815" spans="1:24">
      <c r="A6815">
        <f>HYPERLINK("https://www.philgeps.gov.ph/GEPSNONPILOT/Tender/SplashBidNoticeAbstractUI.aspx?menuIndex=3&amp;refID=7061421&amp;Result=3","7061421")</f>
        <v>0</v>
      </c>
      <c r="B6815" t="s">
        <v>2156</v>
      </c>
      <c r="C6815" t="s">
        <v>9995</v>
      </c>
      <c r="D6815" t="s">
        <v>18798</v>
      </c>
      <c r="E6815" t="s">
        <v>24912</v>
      </c>
      <c r="F6815" t="s">
        <v>32664</v>
      </c>
      <c r="G6815" t="s">
        <v>32672</v>
      </c>
      <c r="H6815" t="s">
        <v>32683</v>
      </c>
      <c r="I6815" t="s">
        <v>10627</v>
      </c>
      <c r="J6815" t="s">
        <v>37041</v>
      </c>
      <c r="K6815" t="s">
        <v>42284</v>
      </c>
      <c r="M6815" t="s">
        <v>44913</v>
      </c>
      <c r="N6815" t="s">
        <v>46569</v>
      </c>
      <c r="O6815" t="s">
        <v>46570</v>
      </c>
      <c r="P6815">
        <v>0</v>
      </c>
      <c r="Q6815">
        <v>0</v>
      </c>
      <c r="R6815" t="s">
        <v>46573</v>
      </c>
      <c r="S6815" t="s">
        <v>46705</v>
      </c>
      <c r="T6815" t="s">
        <v>48305</v>
      </c>
      <c r="U6815" t="s">
        <v>54414</v>
      </c>
      <c r="W6815" t="s">
        <v>44913</v>
      </c>
      <c r="X6815" t="s">
        <v>46574</v>
      </c>
    </row>
    <row r="6816" spans="1:24">
      <c r="A6816">
        <f>HYPERLINK("https://www.philgeps.gov.ph/GEPSNONPILOT/Tender/SplashBidNoticeAbstractUI.aspx?menuIndex=3&amp;refID=7061420&amp;Result=3","7061420")</f>
        <v>0</v>
      </c>
      <c r="B6816" t="s">
        <v>2157</v>
      </c>
      <c r="C6816" t="s">
        <v>9996</v>
      </c>
      <c r="D6816" t="s">
        <v>18785</v>
      </c>
      <c r="E6816" t="s">
        <v>24913</v>
      </c>
      <c r="F6816" t="s">
        <v>32664</v>
      </c>
      <c r="G6816" t="s">
        <v>32672</v>
      </c>
      <c r="H6816" t="s">
        <v>12635</v>
      </c>
      <c r="I6816" t="s">
        <v>32700</v>
      </c>
      <c r="J6816" t="s">
        <v>32981</v>
      </c>
      <c r="K6816" t="s">
        <v>42285</v>
      </c>
      <c r="M6816" t="s">
        <v>44914</v>
      </c>
      <c r="N6816" t="s">
        <v>46569</v>
      </c>
      <c r="O6816" t="s">
        <v>46570</v>
      </c>
      <c r="P6816">
        <v>0</v>
      </c>
      <c r="Q6816">
        <v>3</v>
      </c>
      <c r="R6816" t="s">
        <v>46573</v>
      </c>
      <c r="S6816" t="s">
        <v>46705</v>
      </c>
      <c r="T6816" t="s">
        <v>48349</v>
      </c>
      <c r="U6816" t="s">
        <v>54415</v>
      </c>
      <c r="W6816" t="s">
        <v>44914</v>
      </c>
      <c r="X6816" t="s">
        <v>46574</v>
      </c>
    </row>
    <row r="6817" spans="1:24">
      <c r="A6817">
        <f>HYPERLINK("https://www.philgeps.gov.ph/GEPSNONPILOT/Tender/SplashBidNoticeAbstractUI.aspx?menuIndex=3&amp;refID=7061391&amp;Result=3","7061391")</f>
        <v>0</v>
      </c>
      <c r="B6817" t="s">
        <v>1753</v>
      </c>
      <c r="C6817" t="s">
        <v>9997</v>
      </c>
      <c r="D6817" t="s">
        <v>18784</v>
      </c>
      <c r="E6817" t="s">
        <v>24914</v>
      </c>
      <c r="F6817" t="s">
        <v>32664</v>
      </c>
      <c r="G6817" t="s">
        <v>32671</v>
      </c>
      <c r="H6817" t="s">
        <v>12635</v>
      </c>
      <c r="I6817" t="s">
        <v>32685</v>
      </c>
      <c r="J6817" t="s">
        <v>37042</v>
      </c>
      <c r="K6817" t="s">
        <v>42281</v>
      </c>
      <c r="M6817" t="s">
        <v>44453</v>
      </c>
      <c r="N6817" t="s">
        <v>46569</v>
      </c>
      <c r="O6817" t="s">
        <v>46570</v>
      </c>
      <c r="P6817">
        <v>0</v>
      </c>
      <c r="Q6817">
        <v>0</v>
      </c>
      <c r="R6817" t="s">
        <v>46573</v>
      </c>
      <c r="S6817" t="s">
        <v>46705</v>
      </c>
      <c r="T6817" t="s">
        <v>48244</v>
      </c>
      <c r="U6817" t="s">
        <v>54416</v>
      </c>
      <c r="W6817" t="s">
        <v>44453</v>
      </c>
      <c r="X6817" t="s">
        <v>46574</v>
      </c>
    </row>
    <row r="6818" spans="1:24">
      <c r="A6818">
        <f>HYPERLINK("https://www.philgeps.gov.ph/GEPSNONPILOT/Tender/SplashBidNoticeAbstractUI.aspx?menuIndex=3&amp;refID=7061415&amp;Result=3","7061415")</f>
        <v>0</v>
      </c>
      <c r="B6818" t="s">
        <v>1599</v>
      </c>
      <c r="C6818" t="s">
        <v>9998</v>
      </c>
      <c r="D6818" t="s">
        <v>18842</v>
      </c>
      <c r="E6818" t="s">
        <v>24915</v>
      </c>
      <c r="F6818" t="s">
        <v>32664</v>
      </c>
      <c r="G6818" t="s">
        <v>32671</v>
      </c>
      <c r="H6818" t="s">
        <v>32683</v>
      </c>
      <c r="I6818" t="s">
        <v>10627</v>
      </c>
      <c r="J6818" t="s">
        <v>33051</v>
      </c>
      <c r="K6818" t="s">
        <v>42297</v>
      </c>
      <c r="M6818" t="s">
        <v>44276</v>
      </c>
      <c r="N6818" t="s">
        <v>46569</v>
      </c>
      <c r="O6818" t="s">
        <v>46570</v>
      </c>
      <c r="P6818">
        <v>0</v>
      </c>
      <c r="Q6818">
        <v>0</v>
      </c>
      <c r="R6818" t="s">
        <v>46573</v>
      </c>
      <c r="S6818" t="s">
        <v>46705</v>
      </c>
      <c r="T6818" t="s">
        <v>48585</v>
      </c>
      <c r="U6818" t="s">
        <v>54417</v>
      </c>
      <c r="W6818" t="s">
        <v>44276</v>
      </c>
      <c r="X6818" t="s">
        <v>46574</v>
      </c>
    </row>
    <row r="6819" spans="1:24">
      <c r="A6819">
        <f>HYPERLINK("https://www.philgeps.gov.ph/GEPSNONPILOT/Tender/SplashBidNoticeAbstractUI.aspx?menuIndex=3&amp;refID=7061423&amp;Result=3","7061423")</f>
        <v>0</v>
      </c>
      <c r="B6819" t="s">
        <v>1263</v>
      </c>
      <c r="C6819" t="s">
        <v>9999</v>
      </c>
      <c r="D6819" t="s">
        <v>18807</v>
      </c>
      <c r="E6819" t="s">
        <v>24916</v>
      </c>
      <c r="F6819" t="s">
        <v>32664</v>
      </c>
      <c r="G6819" t="s">
        <v>32671</v>
      </c>
      <c r="H6819" t="s">
        <v>12635</v>
      </c>
      <c r="I6819" t="s">
        <v>32694</v>
      </c>
      <c r="J6819" t="s">
        <v>37043</v>
      </c>
      <c r="K6819" t="s">
        <v>42283</v>
      </c>
      <c r="M6819" t="s">
        <v>43906</v>
      </c>
      <c r="N6819" t="s">
        <v>46569</v>
      </c>
      <c r="O6819" t="s">
        <v>46570</v>
      </c>
      <c r="P6819">
        <v>0</v>
      </c>
      <c r="Q6819">
        <v>0</v>
      </c>
      <c r="R6819" t="s">
        <v>46573</v>
      </c>
      <c r="S6819" t="s">
        <v>46705</v>
      </c>
      <c r="T6819" t="s">
        <v>48411</v>
      </c>
      <c r="U6819" t="s">
        <v>54349</v>
      </c>
      <c r="W6819" t="s">
        <v>43906</v>
      </c>
      <c r="X6819" t="s">
        <v>46574</v>
      </c>
    </row>
    <row r="6820" spans="1:24">
      <c r="A6820">
        <f>HYPERLINK("https://www.philgeps.gov.ph/GEPSNONPILOT/Tender/SplashBidNoticeAbstractUI.aspx?menuIndex=3&amp;refID=7061412&amp;Result=3","7061412")</f>
        <v>0</v>
      </c>
      <c r="B6820" t="s">
        <v>2158</v>
      </c>
      <c r="C6820" t="s">
        <v>10000</v>
      </c>
      <c r="D6820" t="s">
        <v>18783</v>
      </c>
      <c r="E6820" t="s">
        <v>24917</v>
      </c>
      <c r="F6820" t="s">
        <v>32664</v>
      </c>
      <c r="G6820" t="s">
        <v>32671</v>
      </c>
      <c r="H6820" t="s">
        <v>12635</v>
      </c>
      <c r="I6820" t="s">
        <v>6223</v>
      </c>
      <c r="J6820" t="s">
        <v>37044</v>
      </c>
      <c r="K6820" t="s">
        <v>42289</v>
      </c>
      <c r="M6820" t="s">
        <v>44915</v>
      </c>
      <c r="N6820" t="s">
        <v>46569</v>
      </c>
      <c r="O6820" t="s">
        <v>46570</v>
      </c>
      <c r="P6820">
        <v>0</v>
      </c>
      <c r="Q6820">
        <v>0</v>
      </c>
      <c r="R6820" t="s">
        <v>46573</v>
      </c>
      <c r="S6820" t="s">
        <v>46705</v>
      </c>
      <c r="T6820" t="s">
        <v>48410</v>
      </c>
      <c r="U6820" t="s">
        <v>54418</v>
      </c>
      <c r="W6820" t="s">
        <v>44915</v>
      </c>
      <c r="X6820" t="s">
        <v>46574</v>
      </c>
    </row>
    <row r="6821" spans="1:24">
      <c r="A6821">
        <f>HYPERLINK("https://www.philgeps.gov.ph/GEPSNONPILOT/Tender/SplashBidNoticeAbstractUI.aspx?menuIndex=3&amp;refID=7061411&amp;Result=3","7061411")</f>
        <v>0</v>
      </c>
      <c r="B6821" t="s">
        <v>1540</v>
      </c>
      <c r="C6821" t="s">
        <v>10001</v>
      </c>
      <c r="D6821" t="s">
        <v>18838</v>
      </c>
      <c r="E6821" t="s">
        <v>24918</v>
      </c>
      <c r="F6821" t="s">
        <v>32664</v>
      </c>
      <c r="G6821" t="s">
        <v>32671</v>
      </c>
      <c r="H6821" t="s">
        <v>12635</v>
      </c>
      <c r="I6821" t="s">
        <v>9486</v>
      </c>
      <c r="J6821" t="s">
        <v>32853</v>
      </c>
      <c r="K6821" t="s">
        <v>42283</v>
      </c>
      <c r="M6821" t="s">
        <v>44209</v>
      </c>
      <c r="N6821" t="s">
        <v>46569</v>
      </c>
      <c r="O6821" t="s">
        <v>46570</v>
      </c>
      <c r="P6821">
        <v>0</v>
      </c>
      <c r="Q6821">
        <v>3</v>
      </c>
      <c r="R6821" t="s">
        <v>46573</v>
      </c>
      <c r="S6821" t="s">
        <v>46705</v>
      </c>
      <c r="T6821" t="s">
        <v>48280</v>
      </c>
      <c r="U6821" t="s">
        <v>54419</v>
      </c>
      <c r="W6821" t="s">
        <v>44209</v>
      </c>
      <c r="X6821" t="s">
        <v>46574</v>
      </c>
    </row>
    <row r="6822" spans="1:24">
      <c r="A6822">
        <f>HYPERLINK("https://www.philgeps.gov.ph/GEPSNONPILOT/Tender/SplashBidNoticeAbstractUI.aspx?menuIndex=3&amp;refID=7061407&amp;Result=3","7061407")</f>
        <v>0</v>
      </c>
      <c r="B6822" t="s">
        <v>2155</v>
      </c>
      <c r="C6822" t="s">
        <v>10002</v>
      </c>
      <c r="D6822" t="s">
        <v>18832</v>
      </c>
      <c r="E6822" t="s">
        <v>24919</v>
      </c>
      <c r="F6822" t="s">
        <v>32664</v>
      </c>
      <c r="G6822" t="s">
        <v>32672</v>
      </c>
      <c r="H6822" t="s">
        <v>32683</v>
      </c>
      <c r="I6822" t="s">
        <v>10627</v>
      </c>
      <c r="J6822" t="s">
        <v>37045</v>
      </c>
      <c r="K6822" t="s">
        <v>42298</v>
      </c>
      <c r="M6822" t="s">
        <v>44912</v>
      </c>
      <c r="N6822" t="s">
        <v>46569</v>
      </c>
      <c r="O6822" t="s">
        <v>46570</v>
      </c>
      <c r="P6822">
        <v>0</v>
      </c>
      <c r="Q6822">
        <v>0</v>
      </c>
      <c r="R6822" t="s">
        <v>46573</v>
      </c>
      <c r="S6822" t="s">
        <v>46705</v>
      </c>
      <c r="T6822" t="s">
        <v>48501</v>
      </c>
      <c r="U6822" t="s">
        <v>54420</v>
      </c>
      <c r="W6822" t="s">
        <v>44912</v>
      </c>
      <c r="X6822" t="s">
        <v>46574</v>
      </c>
    </row>
    <row r="6823" spans="1:24">
      <c r="A6823">
        <f>HYPERLINK("https://www.philgeps.gov.ph/GEPSNONPILOT/Tender/SplashBidNoticeAbstractUI.aspx?menuIndex=3&amp;refID=7061406&amp;Result=3","7061406")</f>
        <v>0</v>
      </c>
      <c r="B6823" t="s">
        <v>2159</v>
      </c>
      <c r="C6823" t="s">
        <v>10003</v>
      </c>
      <c r="D6823" t="s">
        <v>18823</v>
      </c>
      <c r="E6823" t="s">
        <v>19380</v>
      </c>
      <c r="F6823" t="s">
        <v>32664</v>
      </c>
      <c r="G6823" t="s">
        <v>32672</v>
      </c>
      <c r="H6823" t="s">
        <v>12635</v>
      </c>
      <c r="I6823" t="s">
        <v>6223</v>
      </c>
      <c r="J6823" t="s">
        <v>37046</v>
      </c>
      <c r="K6823" t="s">
        <v>42281</v>
      </c>
      <c r="M6823" t="s">
        <v>44916</v>
      </c>
      <c r="N6823" t="s">
        <v>46569</v>
      </c>
      <c r="O6823" t="s">
        <v>46570</v>
      </c>
      <c r="P6823">
        <v>0</v>
      </c>
      <c r="Q6823">
        <v>1</v>
      </c>
      <c r="R6823" t="s">
        <v>46573</v>
      </c>
      <c r="S6823" t="s">
        <v>46705</v>
      </c>
      <c r="T6823" t="s">
        <v>48228</v>
      </c>
      <c r="U6823" t="s">
        <v>54421</v>
      </c>
      <c r="W6823" t="s">
        <v>44916</v>
      </c>
      <c r="X6823" t="s">
        <v>46574</v>
      </c>
    </row>
    <row r="6824" spans="1:24">
      <c r="A6824">
        <f>HYPERLINK("https://www.philgeps.gov.ph/GEPSNONPILOT/Tender/SplashBidNoticeAbstractUI.aspx?menuIndex=3&amp;refID=7061424&amp;Result=3","7061424")</f>
        <v>0</v>
      </c>
      <c r="B6824" t="s">
        <v>246</v>
      </c>
      <c r="C6824" t="s">
        <v>10004</v>
      </c>
      <c r="D6824" t="s">
        <v>18784</v>
      </c>
      <c r="E6824" t="s">
        <v>24920</v>
      </c>
      <c r="F6824" t="s">
        <v>32664</v>
      </c>
      <c r="G6824" t="s">
        <v>32671</v>
      </c>
      <c r="H6824" t="s">
        <v>32682</v>
      </c>
      <c r="I6824" t="s">
        <v>32755</v>
      </c>
      <c r="J6824" t="s">
        <v>37047</v>
      </c>
      <c r="K6824" t="s">
        <v>42306</v>
      </c>
      <c r="M6824" t="s">
        <v>44917</v>
      </c>
      <c r="N6824" t="s">
        <v>46569</v>
      </c>
      <c r="O6824" t="s">
        <v>46570</v>
      </c>
      <c r="P6824">
        <v>0</v>
      </c>
      <c r="Q6824">
        <v>4</v>
      </c>
      <c r="R6824" t="s">
        <v>46573</v>
      </c>
      <c r="S6824" t="s">
        <v>46705</v>
      </c>
      <c r="T6824" t="s">
        <v>48249</v>
      </c>
      <c r="U6824" t="s">
        <v>54422</v>
      </c>
      <c r="V6824" t="s">
        <v>62298</v>
      </c>
      <c r="W6824" t="s">
        <v>44917</v>
      </c>
      <c r="X6824" t="s">
        <v>46574</v>
      </c>
    </row>
    <row r="6825" spans="1:24">
      <c r="A6825">
        <f>HYPERLINK("https://www.philgeps.gov.ph/GEPSNONPILOT/Tender/SplashBidNoticeAbstractUI.aspx?menuIndex=3&amp;refID=7061404&amp;Result=3","7061404")</f>
        <v>0</v>
      </c>
      <c r="B6825" t="s">
        <v>1540</v>
      </c>
      <c r="C6825" t="s">
        <v>4217</v>
      </c>
      <c r="D6825" t="s">
        <v>18838</v>
      </c>
      <c r="E6825" t="s">
        <v>24921</v>
      </c>
      <c r="F6825" t="s">
        <v>32664</v>
      </c>
      <c r="G6825" t="s">
        <v>32671</v>
      </c>
      <c r="H6825" t="s">
        <v>12635</v>
      </c>
      <c r="I6825" t="s">
        <v>9486</v>
      </c>
      <c r="J6825" t="s">
        <v>33147</v>
      </c>
      <c r="K6825" t="s">
        <v>42283</v>
      </c>
      <c r="M6825" t="s">
        <v>44209</v>
      </c>
      <c r="N6825" t="s">
        <v>46569</v>
      </c>
      <c r="O6825" t="s">
        <v>46570</v>
      </c>
      <c r="P6825">
        <v>0</v>
      </c>
      <c r="Q6825">
        <v>3</v>
      </c>
      <c r="R6825" t="s">
        <v>46573</v>
      </c>
      <c r="S6825" t="s">
        <v>46705</v>
      </c>
      <c r="T6825" t="s">
        <v>48280</v>
      </c>
      <c r="U6825" t="s">
        <v>54423</v>
      </c>
      <c r="W6825" t="s">
        <v>44209</v>
      </c>
      <c r="X6825" t="s">
        <v>46574</v>
      </c>
    </row>
    <row r="6826" spans="1:24">
      <c r="A6826">
        <f>HYPERLINK("https://www.philgeps.gov.ph/GEPSNONPILOT/Tender/SplashBidNoticeAbstractUI.aspx?menuIndex=3&amp;refID=7061413&amp;Result=3","7061413")</f>
        <v>0</v>
      </c>
      <c r="B6826" t="s">
        <v>2160</v>
      </c>
      <c r="C6826" t="s">
        <v>10005</v>
      </c>
      <c r="D6826" t="s">
        <v>18829</v>
      </c>
      <c r="E6826" t="s">
        <v>24922</v>
      </c>
      <c r="F6826" t="s">
        <v>32664</v>
      </c>
      <c r="G6826" t="s">
        <v>32672</v>
      </c>
      <c r="H6826" t="s">
        <v>12635</v>
      </c>
      <c r="I6826" t="s">
        <v>6223</v>
      </c>
      <c r="J6826" t="s">
        <v>37048</v>
      </c>
      <c r="K6826" t="s">
        <v>42309</v>
      </c>
      <c r="M6826" t="s">
        <v>44918</v>
      </c>
      <c r="N6826" t="s">
        <v>46569</v>
      </c>
      <c r="O6826" t="s">
        <v>46570</v>
      </c>
      <c r="P6826">
        <v>0</v>
      </c>
      <c r="Q6826">
        <v>2</v>
      </c>
      <c r="R6826" t="s">
        <v>46573</v>
      </c>
      <c r="S6826" t="s">
        <v>46705</v>
      </c>
      <c r="T6826" t="s">
        <v>48282</v>
      </c>
      <c r="U6826" t="s">
        <v>54424</v>
      </c>
      <c r="V6826" t="s">
        <v>62299</v>
      </c>
      <c r="W6826" t="s">
        <v>44918</v>
      </c>
      <c r="X6826" t="s">
        <v>46574</v>
      </c>
    </row>
    <row r="6827" spans="1:24">
      <c r="A6827">
        <f>HYPERLINK("https://www.philgeps.gov.ph/GEPSNONPILOT/Tender/SplashBidNoticeAbstractUI.aspx?menuIndex=3&amp;refID=7061410&amp;Result=3","7061410")</f>
        <v>0</v>
      </c>
      <c r="B6827" t="s">
        <v>1263</v>
      </c>
      <c r="C6827" t="s">
        <v>10006</v>
      </c>
      <c r="D6827" t="s">
        <v>18807</v>
      </c>
      <c r="E6827" t="s">
        <v>24923</v>
      </c>
      <c r="F6827" t="s">
        <v>32664</v>
      </c>
      <c r="G6827" t="s">
        <v>32671</v>
      </c>
      <c r="H6827" t="s">
        <v>12635</v>
      </c>
      <c r="I6827" t="s">
        <v>8797</v>
      </c>
      <c r="J6827" t="s">
        <v>37049</v>
      </c>
      <c r="K6827" t="s">
        <v>42283</v>
      </c>
      <c r="M6827" t="s">
        <v>43906</v>
      </c>
      <c r="N6827" t="s">
        <v>46569</v>
      </c>
      <c r="O6827" t="s">
        <v>46570</v>
      </c>
      <c r="P6827">
        <v>0</v>
      </c>
      <c r="Q6827">
        <v>0</v>
      </c>
      <c r="R6827" t="s">
        <v>46573</v>
      </c>
      <c r="S6827" t="s">
        <v>46705</v>
      </c>
      <c r="T6827" t="s">
        <v>48411</v>
      </c>
      <c r="U6827" t="s">
        <v>54349</v>
      </c>
      <c r="W6827" t="s">
        <v>43906</v>
      </c>
      <c r="X6827" t="s">
        <v>46574</v>
      </c>
    </row>
    <row r="6828" spans="1:24">
      <c r="A6828">
        <f>HYPERLINK("https://www.philgeps.gov.ph/GEPSNONPILOT/Tender/SplashBidNoticeAbstractUI.aspx?menuIndex=3&amp;refID=7061409&amp;Result=3","7061409")</f>
        <v>0</v>
      </c>
      <c r="B6828" t="s">
        <v>1540</v>
      </c>
      <c r="C6828" t="s">
        <v>10007</v>
      </c>
      <c r="D6828" t="s">
        <v>18838</v>
      </c>
      <c r="E6828" t="s">
        <v>24924</v>
      </c>
      <c r="F6828" t="s">
        <v>32664</v>
      </c>
      <c r="G6828" t="s">
        <v>32671</v>
      </c>
      <c r="H6828" t="s">
        <v>12635</v>
      </c>
      <c r="I6828" t="s">
        <v>9486</v>
      </c>
      <c r="J6828" t="s">
        <v>33078</v>
      </c>
      <c r="K6828" t="s">
        <v>42283</v>
      </c>
      <c r="M6828" t="s">
        <v>44209</v>
      </c>
      <c r="N6828" t="s">
        <v>46569</v>
      </c>
      <c r="O6828" t="s">
        <v>46570</v>
      </c>
      <c r="P6828">
        <v>0</v>
      </c>
      <c r="Q6828">
        <v>3</v>
      </c>
      <c r="R6828" t="s">
        <v>46573</v>
      </c>
      <c r="S6828" t="s">
        <v>46705</v>
      </c>
      <c r="T6828" t="s">
        <v>48280</v>
      </c>
      <c r="U6828" t="s">
        <v>54425</v>
      </c>
      <c r="W6828" t="s">
        <v>44209</v>
      </c>
      <c r="X6828" t="s">
        <v>46574</v>
      </c>
    </row>
    <row r="6829" spans="1:24">
      <c r="A6829">
        <f>HYPERLINK("https://www.philgeps.gov.ph/GEPSNONPILOT/Tender/SplashBidNoticeAbstractUI.aspx?menuIndex=3&amp;refID=7061416&amp;Result=3","7061416")</f>
        <v>0</v>
      </c>
      <c r="B6829" t="s">
        <v>1263</v>
      </c>
      <c r="C6829" t="s">
        <v>10008</v>
      </c>
      <c r="D6829" t="s">
        <v>18807</v>
      </c>
      <c r="E6829" t="s">
        <v>24925</v>
      </c>
      <c r="F6829" t="s">
        <v>32664</v>
      </c>
      <c r="G6829" t="s">
        <v>32671</v>
      </c>
      <c r="H6829" t="s">
        <v>12635</v>
      </c>
      <c r="I6829" t="s">
        <v>32694</v>
      </c>
      <c r="J6829" t="s">
        <v>33621</v>
      </c>
      <c r="K6829" t="s">
        <v>42283</v>
      </c>
      <c r="M6829" t="s">
        <v>43906</v>
      </c>
      <c r="N6829" t="s">
        <v>46569</v>
      </c>
      <c r="O6829" t="s">
        <v>46570</v>
      </c>
      <c r="P6829">
        <v>0</v>
      </c>
      <c r="Q6829">
        <v>0</v>
      </c>
      <c r="R6829" t="s">
        <v>46573</v>
      </c>
      <c r="S6829" t="s">
        <v>46705</v>
      </c>
      <c r="T6829" t="s">
        <v>48411</v>
      </c>
      <c r="U6829" t="s">
        <v>54349</v>
      </c>
      <c r="W6829" t="s">
        <v>43906</v>
      </c>
      <c r="X6829" t="s">
        <v>46574</v>
      </c>
    </row>
    <row r="6830" spans="1:24">
      <c r="A6830">
        <f>HYPERLINK("https://www.philgeps.gov.ph/GEPSNONPILOT/Tender/SplashBidNoticeAbstractUI.aspx?menuIndex=3&amp;refID=7061450&amp;Result=3","7061450")</f>
        <v>0</v>
      </c>
      <c r="B6830" t="s">
        <v>2161</v>
      </c>
      <c r="C6830" t="s">
        <v>10009</v>
      </c>
      <c r="D6830" t="s">
        <v>18805</v>
      </c>
      <c r="E6830" t="s">
        <v>24926</v>
      </c>
      <c r="F6830" t="s">
        <v>32664</v>
      </c>
      <c r="G6830" t="s">
        <v>32671</v>
      </c>
      <c r="H6830" t="s">
        <v>12635</v>
      </c>
      <c r="I6830" t="s">
        <v>4439</v>
      </c>
      <c r="J6830" t="s">
        <v>37050</v>
      </c>
      <c r="K6830" t="s">
        <v>42284</v>
      </c>
      <c r="M6830" t="s">
        <v>44919</v>
      </c>
      <c r="N6830" t="s">
        <v>46569</v>
      </c>
      <c r="O6830" t="s">
        <v>46570</v>
      </c>
      <c r="P6830">
        <v>0</v>
      </c>
      <c r="Q6830">
        <v>0</v>
      </c>
      <c r="R6830" t="s">
        <v>46573</v>
      </c>
      <c r="S6830" t="s">
        <v>46705</v>
      </c>
      <c r="T6830" t="s">
        <v>48254</v>
      </c>
      <c r="U6830" t="s">
        <v>54426</v>
      </c>
      <c r="W6830" t="s">
        <v>44919</v>
      </c>
      <c r="X6830" t="s">
        <v>46574</v>
      </c>
    </row>
    <row r="6831" spans="1:24">
      <c r="A6831">
        <f>HYPERLINK("https://www.philgeps.gov.ph/GEPSNONPILOT/Tender/SplashBidNoticeAbstractUI.aspx?menuIndex=3&amp;refID=7061417&amp;Result=3","7061417")</f>
        <v>0</v>
      </c>
      <c r="B6831" t="s">
        <v>2162</v>
      </c>
      <c r="C6831" t="s">
        <v>10010</v>
      </c>
      <c r="D6831" t="s">
        <v>18785</v>
      </c>
      <c r="E6831" t="s">
        <v>24927</v>
      </c>
      <c r="F6831" t="s">
        <v>32664</v>
      </c>
      <c r="G6831" t="s">
        <v>32674</v>
      </c>
      <c r="H6831" t="s">
        <v>12635</v>
      </c>
      <c r="I6831" t="s">
        <v>4205</v>
      </c>
      <c r="J6831" t="s">
        <v>34345</v>
      </c>
      <c r="K6831" t="s">
        <v>42295</v>
      </c>
      <c r="M6831" t="s">
        <v>44920</v>
      </c>
      <c r="N6831" t="s">
        <v>46569</v>
      </c>
      <c r="O6831" t="s">
        <v>46570</v>
      </c>
      <c r="P6831">
        <v>0</v>
      </c>
      <c r="Q6831">
        <v>2</v>
      </c>
      <c r="R6831" t="s">
        <v>46573</v>
      </c>
      <c r="S6831" t="s">
        <v>46705</v>
      </c>
      <c r="T6831" t="s">
        <v>48254</v>
      </c>
      <c r="U6831" t="s">
        <v>54427</v>
      </c>
      <c r="W6831" t="s">
        <v>44920</v>
      </c>
      <c r="X6831" t="s">
        <v>46574</v>
      </c>
    </row>
    <row r="6832" spans="1:24">
      <c r="A6832">
        <f>HYPERLINK("https://www.philgeps.gov.ph/GEPSNONPILOT/Tender/SplashBidNoticeAbstractUI.aspx?menuIndex=3&amp;refID=7061448&amp;Result=3","7061448")</f>
        <v>0</v>
      </c>
      <c r="B6832" t="s">
        <v>2163</v>
      </c>
      <c r="C6832" t="s">
        <v>10011</v>
      </c>
      <c r="D6832" t="s">
        <v>18832</v>
      </c>
      <c r="E6832" t="s">
        <v>24928</v>
      </c>
      <c r="F6832" t="s">
        <v>32664</v>
      </c>
      <c r="G6832" t="s">
        <v>32674</v>
      </c>
      <c r="H6832" t="s">
        <v>12635</v>
      </c>
      <c r="I6832" t="s">
        <v>4439</v>
      </c>
      <c r="J6832" t="s">
        <v>37051</v>
      </c>
      <c r="K6832" t="s">
        <v>42289</v>
      </c>
      <c r="M6832" t="s">
        <v>44921</v>
      </c>
      <c r="N6832" t="s">
        <v>46569</v>
      </c>
      <c r="O6832" t="s">
        <v>46570</v>
      </c>
      <c r="P6832">
        <v>0</v>
      </c>
      <c r="Q6832">
        <v>2</v>
      </c>
      <c r="R6832" t="s">
        <v>46573</v>
      </c>
      <c r="S6832" t="s">
        <v>46705</v>
      </c>
      <c r="T6832" t="s">
        <v>48228</v>
      </c>
      <c r="U6832" t="s">
        <v>54428</v>
      </c>
      <c r="W6832" t="s">
        <v>44921</v>
      </c>
      <c r="X6832" t="s">
        <v>46574</v>
      </c>
    </row>
    <row r="6833" spans="1:24">
      <c r="A6833">
        <f>HYPERLINK("https://www.philgeps.gov.ph/GEPSNONPILOT/Tender/SplashBidNoticeAbstractUI.aspx?menuIndex=3&amp;refID=7061446&amp;Result=3","7061446")</f>
        <v>0</v>
      </c>
      <c r="B6833" t="s">
        <v>1263</v>
      </c>
      <c r="C6833" t="s">
        <v>10012</v>
      </c>
      <c r="D6833" t="s">
        <v>18807</v>
      </c>
      <c r="E6833" t="s">
        <v>24929</v>
      </c>
      <c r="F6833" t="s">
        <v>32664</v>
      </c>
      <c r="G6833" t="s">
        <v>32671</v>
      </c>
      <c r="H6833" t="s">
        <v>12635</v>
      </c>
      <c r="I6833" t="s">
        <v>4333</v>
      </c>
      <c r="J6833" t="s">
        <v>37052</v>
      </c>
      <c r="K6833" t="s">
        <v>42283</v>
      </c>
      <c r="M6833" t="s">
        <v>43906</v>
      </c>
      <c r="N6833" t="s">
        <v>46569</v>
      </c>
      <c r="O6833" t="s">
        <v>46570</v>
      </c>
      <c r="P6833">
        <v>0</v>
      </c>
      <c r="Q6833">
        <v>0</v>
      </c>
      <c r="R6833" t="s">
        <v>46573</v>
      </c>
      <c r="S6833" t="s">
        <v>46705</v>
      </c>
      <c r="T6833" t="s">
        <v>48411</v>
      </c>
      <c r="U6833" t="s">
        <v>54349</v>
      </c>
      <c r="W6833" t="s">
        <v>43906</v>
      </c>
      <c r="X6833" t="s">
        <v>46574</v>
      </c>
    </row>
    <row r="6834" spans="1:24">
      <c r="A6834">
        <f>HYPERLINK("https://www.philgeps.gov.ph/GEPSNONPILOT/Tender/SplashBidNoticeAbstractUI.aspx?menuIndex=3&amp;refID=7061388&amp;Result=3","7061388")</f>
        <v>0</v>
      </c>
      <c r="B6834" t="s">
        <v>851</v>
      </c>
      <c r="C6834" t="s">
        <v>10013</v>
      </c>
      <c r="D6834" t="s">
        <v>18829</v>
      </c>
      <c r="E6834" t="s">
        <v>24930</v>
      </c>
      <c r="F6834" t="s">
        <v>32664</v>
      </c>
      <c r="G6834" t="s">
        <v>32672</v>
      </c>
      <c r="H6834" t="s">
        <v>12635</v>
      </c>
      <c r="I6834" t="s">
        <v>32685</v>
      </c>
      <c r="J6834" t="s">
        <v>37053</v>
      </c>
      <c r="K6834" t="s">
        <v>42289</v>
      </c>
      <c r="M6834" t="s">
        <v>43447</v>
      </c>
      <c r="N6834" t="s">
        <v>46569</v>
      </c>
      <c r="O6834" t="s">
        <v>46570</v>
      </c>
      <c r="P6834">
        <v>0</v>
      </c>
      <c r="Q6834">
        <v>2</v>
      </c>
      <c r="R6834" t="s">
        <v>46573</v>
      </c>
      <c r="S6834" t="s">
        <v>46705</v>
      </c>
      <c r="T6834" t="s">
        <v>48313</v>
      </c>
      <c r="U6834" t="s">
        <v>54389</v>
      </c>
      <c r="W6834" t="s">
        <v>43447</v>
      </c>
      <c r="X6834" t="s">
        <v>46574</v>
      </c>
    </row>
    <row r="6835" spans="1:24">
      <c r="A6835">
        <f>HYPERLINK("https://www.philgeps.gov.ph/GEPSNONPILOT/Tender/SplashBidNoticeAbstractUI.aspx?menuIndex=3&amp;refID=7061443&amp;Result=3","7061443")</f>
        <v>0</v>
      </c>
      <c r="B6835" t="s">
        <v>2164</v>
      </c>
      <c r="C6835" t="s">
        <v>10014</v>
      </c>
      <c r="D6835" t="s">
        <v>18836</v>
      </c>
      <c r="E6835" t="s">
        <v>20566</v>
      </c>
      <c r="F6835" t="s">
        <v>32664</v>
      </c>
      <c r="G6835" t="s">
        <v>32672</v>
      </c>
      <c r="H6835" t="s">
        <v>32683</v>
      </c>
      <c r="I6835" t="s">
        <v>10627</v>
      </c>
      <c r="J6835" t="s">
        <v>33128</v>
      </c>
      <c r="K6835" t="s">
        <v>42281</v>
      </c>
      <c r="M6835" t="s">
        <v>44922</v>
      </c>
      <c r="N6835" t="s">
        <v>46569</v>
      </c>
      <c r="O6835" t="s">
        <v>46570</v>
      </c>
      <c r="P6835">
        <v>0</v>
      </c>
      <c r="Q6835">
        <v>0</v>
      </c>
      <c r="R6835" t="s">
        <v>46573</v>
      </c>
      <c r="S6835" t="s">
        <v>46705</v>
      </c>
      <c r="T6835" t="s">
        <v>48282</v>
      </c>
      <c r="U6835" t="s">
        <v>54429</v>
      </c>
      <c r="V6835" t="s">
        <v>62300</v>
      </c>
      <c r="W6835" t="s">
        <v>44922</v>
      </c>
      <c r="X6835" t="s">
        <v>46574</v>
      </c>
    </row>
    <row r="6836" spans="1:24">
      <c r="A6836">
        <f>HYPERLINK("https://www.philgeps.gov.ph/GEPSNONPILOT/Tender/SplashBidNoticeAbstractUI.aspx?menuIndex=3&amp;refID=7061451&amp;Result=3","7061451")</f>
        <v>0</v>
      </c>
      <c r="B6836" t="s">
        <v>2164</v>
      </c>
      <c r="C6836" t="s">
        <v>10015</v>
      </c>
      <c r="D6836" t="s">
        <v>18836</v>
      </c>
      <c r="E6836" t="s">
        <v>24931</v>
      </c>
      <c r="F6836" t="s">
        <v>32664</v>
      </c>
      <c r="G6836" t="s">
        <v>32672</v>
      </c>
      <c r="H6836" t="s">
        <v>32683</v>
      </c>
      <c r="I6836" t="s">
        <v>10627</v>
      </c>
      <c r="J6836" t="s">
        <v>32859</v>
      </c>
      <c r="K6836" t="s">
        <v>42281</v>
      </c>
      <c r="M6836" t="s">
        <v>44922</v>
      </c>
      <c r="N6836" t="s">
        <v>46569</v>
      </c>
      <c r="O6836" t="s">
        <v>46570</v>
      </c>
      <c r="P6836">
        <v>0</v>
      </c>
      <c r="Q6836">
        <v>0</v>
      </c>
      <c r="R6836" t="s">
        <v>46573</v>
      </c>
      <c r="S6836" t="s">
        <v>46705</v>
      </c>
      <c r="T6836" t="s">
        <v>48271</v>
      </c>
      <c r="U6836" t="s">
        <v>54429</v>
      </c>
      <c r="V6836" t="s">
        <v>62300</v>
      </c>
      <c r="W6836" t="s">
        <v>44922</v>
      </c>
      <c r="X6836" t="s">
        <v>46574</v>
      </c>
    </row>
    <row r="6837" spans="1:24">
      <c r="A6837">
        <f>HYPERLINK("https://www.philgeps.gov.ph/GEPSNONPILOT/Tender/SplashBidNoticeAbstractUI.aspx?menuIndex=3&amp;refID=7061403&amp;Result=3","7061403")</f>
        <v>0</v>
      </c>
      <c r="B6837" t="s">
        <v>1263</v>
      </c>
      <c r="C6837" t="s">
        <v>10016</v>
      </c>
      <c r="D6837" t="s">
        <v>18807</v>
      </c>
      <c r="E6837" t="s">
        <v>24932</v>
      </c>
      <c r="F6837" t="s">
        <v>32664</v>
      </c>
      <c r="G6837" t="s">
        <v>32671</v>
      </c>
      <c r="H6837" t="s">
        <v>12635</v>
      </c>
      <c r="I6837" t="s">
        <v>32694</v>
      </c>
      <c r="J6837" t="s">
        <v>33175</v>
      </c>
      <c r="K6837" t="s">
        <v>42283</v>
      </c>
      <c r="M6837" t="s">
        <v>43906</v>
      </c>
      <c r="N6837" t="s">
        <v>46569</v>
      </c>
      <c r="O6837" t="s">
        <v>46570</v>
      </c>
      <c r="P6837">
        <v>0</v>
      </c>
      <c r="Q6837">
        <v>0</v>
      </c>
      <c r="R6837" t="s">
        <v>46573</v>
      </c>
      <c r="S6837" t="s">
        <v>46705</v>
      </c>
      <c r="T6837" t="s">
        <v>48411</v>
      </c>
      <c r="U6837" t="s">
        <v>54349</v>
      </c>
      <c r="W6837" t="s">
        <v>43906</v>
      </c>
      <c r="X6837" t="s">
        <v>46574</v>
      </c>
    </row>
    <row r="6838" spans="1:24">
      <c r="A6838">
        <f>HYPERLINK("https://www.philgeps.gov.ph/GEPSNONPILOT/Tender/SplashBidNoticeAbstractUI.aspx?menuIndex=3&amp;refID=7061439&amp;Result=3","7061439")</f>
        <v>0</v>
      </c>
      <c r="B6838" t="s">
        <v>1263</v>
      </c>
      <c r="C6838" t="s">
        <v>10017</v>
      </c>
      <c r="D6838" t="s">
        <v>18807</v>
      </c>
      <c r="E6838" t="s">
        <v>24933</v>
      </c>
      <c r="F6838" t="s">
        <v>32664</v>
      </c>
      <c r="G6838" t="s">
        <v>32671</v>
      </c>
      <c r="H6838" t="s">
        <v>12635</v>
      </c>
      <c r="I6838" t="s">
        <v>32694</v>
      </c>
      <c r="J6838" t="s">
        <v>37054</v>
      </c>
      <c r="K6838" t="s">
        <v>42283</v>
      </c>
      <c r="M6838" t="s">
        <v>43906</v>
      </c>
      <c r="N6838" t="s">
        <v>46569</v>
      </c>
      <c r="O6838" t="s">
        <v>46570</v>
      </c>
      <c r="P6838">
        <v>0</v>
      </c>
      <c r="Q6838">
        <v>0</v>
      </c>
      <c r="R6838" t="s">
        <v>46573</v>
      </c>
      <c r="S6838" t="s">
        <v>46705</v>
      </c>
      <c r="T6838" t="s">
        <v>48411</v>
      </c>
      <c r="U6838" t="s">
        <v>54349</v>
      </c>
      <c r="W6838" t="s">
        <v>43906</v>
      </c>
      <c r="X6838" t="s">
        <v>46574</v>
      </c>
    </row>
    <row r="6839" spans="1:24">
      <c r="A6839">
        <f>HYPERLINK("https://www.philgeps.gov.ph/GEPSNONPILOT/Tender/SplashBidNoticeAbstractUI.aspx?menuIndex=3&amp;refID=7061441&amp;Result=3","7061441")</f>
        <v>0</v>
      </c>
      <c r="B6839" t="s">
        <v>1263</v>
      </c>
      <c r="C6839" t="s">
        <v>10018</v>
      </c>
      <c r="D6839" t="s">
        <v>18807</v>
      </c>
      <c r="E6839" t="s">
        <v>24934</v>
      </c>
      <c r="F6839" t="s">
        <v>32664</v>
      </c>
      <c r="G6839" t="s">
        <v>32671</v>
      </c>
      <c r="H6839" t="s">
        <v>12635</v>
      </c>
      <c r="I6839" t="s">
        <v>32694</v>
      </c>
      <c r="J6839" t="s">
        <v>34949</v>
      </c>
      <c r="K6839" t="s">
        <v>42283</v>
      </c>
      <c r="M6839" t="s">
        <v>43906</v>
      </c>
      <c r="N6839" t="s">
        <v>46569</v>
      </c>
      <c r="O6839" t="s">
        <v>46570</v>
      </c>
      <c r="P6839">
        <v>0</v>
      </c>
      <c r="Q6839">
        <v>0</v>
      </c>
      <c r="R6839" t="s">
        <v>46573</v>
      </c>
      <c r="S6839" t="s">
        <v>46705</v>
      </c>
      <c r="T6839" t="s">
        <v>48411</v>
      </c>
      <c r="U6839" t="s">
        <v>54430</v>
      </c>
      <c r="W6839" t="s">
        <v>43906</v>
      </c>
      <c r="X6839" t="s">
        <v>46574</v>
      </c>
    </row>
    <row r="6840" spans="1:24">
      <c r="A6840">
        <f>HYPERLINK("https://www.philgeps.gov.ph/GEPSNONPILOT/Tender/SplashBidNoticeAbstractUI.aspx?menuIndex=3&amp;refID=7061437&amp;Result=3","7061437")</f>
        <v>0</v>
      </c>
      <c r="B6840" t="s">
        <v>1263</v>
      </c>
      <c r="C6840" t="s">
        <v>10019</v>
      </c>
      <c r="D6840" t="s">
        <v>18807</v>
      </c>
      <c r="E6840" t="s">
        <v>24935</v>
      </c>
      <c r="F6840" t="s">
        <v>32664</v>
      </c>
      <c r="G6840" t="s">
        <v>32671</v>
      </c>
      <c r="H6840" t="s">
        <v>12635</v>
      </c>
      <c r="I6840" t="s">
        <v>4333</v>
      </c>
      <c r="J6840" t="s">
        <v>35542</v>
      </c>
      <c r="K6840" t="s">
        <v>42283</v>
      </c>
      <c r="M6840" t="s">
        <v>43906</v>
      </c>
      <c r="N6840" t="s">
        <v>46569</v>
      </c>
      <c r="O6840" t="s">
        <v>46570</v>
      </c>
      <c r="P6840">
        <v>0</v>
      </c>
      <c r="Q6840">
        <v>0</v>
      </c>
      <c r="R6840" t="s">
        <v>46573</v>
      </c>
      <c r="S6840" t="s">
        <v>46705</v>
      </c>
      <c r="T6840" t="s">
        <v>48411</v>
      </c>
      <c r="U6840" t="s">
        <v>54349</v>
      </c>
      <c r="W6840" t="s">
        <v>43906</v>
      </c>
      <c r="X6840" t="s">
        <v>46574</v>
      </c>
    </row>
    <row r="6841" spans="1:24">
      <c r="A6841">
        <f>HYPERLINK("https://www.philgeps.gov.ph/GEPSNONPILOT/Tender/SplashBidNoticeAbstractUI.aspx?menuIndex=3&amp;refID=7061447&amp;Result=3","7061447")</f>
        <v>0</v>
      </c>
      <c r="B6841" t="s">
        <v>2157</v>
      </c>
      <c r="C6841" t="s">
        <v>10020</v>
      </c>
      <c r="D6841" t="s">
        <v>18785</v>
      </c>
      <c r="E6841" t="s">
        <v>24936</v>
      </c>
      <c r="F6841" t="s">
        <v>32664</v>
      </c>
      <c r="G6841" t="s">
        <v>32672</v>
      </c>
      <c r="H6841" t="s">
        <v>12635</v>
      </c>
      <c r="I6841" t="s">
        <v>32690</v>
      </c>
      <c r="J6841" t="s">
        <v>33128</v>
      </c>
      <c r="K6841" t="s">
        <v>42281</v>
      </c>
      <c r="M6841" t="s">
        <v>44914</v>
      </c>
      <c r="N6841" t="s">
        <v>46569</v>
      </c>
      <c r="O6841" t="s">
        <v>46570</v>
      </c>
      <c r="P6841">
        <v>0</v>
      </c>
      <c r="Q6841">
        <v>4</v>
      </c>
      <c r="R6841" t="s">
        <v>46573</v>
      </c>
      <c r="S6841" t="s">
        <v>46705</v>
      </c>
      <c r="T6841" t="s">
        <v>48349</v>
      </c>
      <c r="U6841" t="s">
        <v>54431</v>
      </c>
      <c r="W6841" t="s">
        <v>44914</v>
      </c>
      <c r="X6841" t="s">
        <v>46574</v>
      </c>
    </row>
    <row r="6842" spans="1:24">
      <c r="A6842">
        <f>HYPERLINK("https://www.philgeps.gov.ph/GEPSNONPILOT/Tender/SplashBidNoticeAbstractUI.aspx?menuIndex=3&amp;refID=7061440&amp;Result=3","7061440")</f>
        <v>0</v>
      </c>
      <c r="B6842" t="s">
        <v>1263</v>
      </c>
      <c r="C6842" t="s">
        <v>10021</v>
      </c>
      <c r="D6842" t="s">
        <v>18807</v>
      </c>
      <c r="E6842" t="s">
        <v>24937</v>
      </c>
      <c r="F6842" t="s">
        <v>32664</v>
      </c>
      <c r="G6842" t="s">
        <v>32671</v>
      </c>
      <c r="H6842" t="s">
        <v>12635</v>
      </c>
      <c r="I6842" t="s">
        <v>32694</v>
      </c>
      <c r="J6842" t="s">
        <v>37055</v>
      </c>
      <c r="K6842" t="s">
        <v>42283</v>
      </c>
      <c r="M6842" t="s">
        <v>43906</v>
      </c>
      <c r="N6842" t="s">
        <v>46569</v>
      </c>
      <c r="O6842" t="s">
        <v>46570</v>
      </c>
      <c r="P6842">
        <v>0</v>
      </c>
      <c r="Q6842">
        <v>0</v>
      </c>
      <c r="R6842" t="s">
        <v>46573</v>
      </c>
      <c r="S6842" t="s">
        <v>46705</v>
      </c>
      <c r="T6842" t="s">
        <v>48411</v>
      </c>
      <c r="U6842" t="s">
        <v>54349</v>
      </c>
      <c r="W6842" t="s">
        <v>43906</v>
      </c>
      <c r="X6842" t="s">
        <v>46574</v>
      </c>
    </row>
    <row r="6843" spans="1:24">
      <c r="A6843">
        <f>HYPERLINK("https://www.philgeps.gov.ph/GEPSNONPILOT/Tender/SplashBidNoticeAbstractUI.aspx?menuIndex=3&amp;refID=7061434&amp;Result=3","7061434")</f>
        <v>0</v>
      </c>
      <c r="B6843" t="s">
        <v>1048</v>
      </c>
      <c r="C6843" t="s">
        <v>10022</v>
      </c>
      <c r="D6843" t="s">
        <v>18831</v>
      </c>
      <c r="E6843" t="s">
        <v>24938</v>
      </c>
      <c r="F6843" t="s">
        <v>32664</v>
      </c>
      <c r="G6843" t="s">
        <v>32672</v>
      </c>
      <c r="H6843" t="s">
        <v>32683</v>
      </c>
      <c r="I6843" t="s">
        <v>10627</v>
      </c>
      <c r="J6843" t="s">
        <v>37056</v>
      </c>
      <c r="K6843" t="s">
        <v>42298</v>
      </c>
      <c r="M6843" t="s">
        <v>43664</v>
      </c>
      <c r="N6843" t="s">
        <v>46569</v>
      </c>
      <c r="O6843" t="s">
        <v>46570</v>
      </c>
      <c r="P6843">
        <v>0</v>
      </c>
      <c r="Q6843">
        <v>0</v>
      </c>
      <c r="R6843" t="s">
        <v>46573</v>
      </c>
      <c r="S6843" t="s">
        <v>46705</v>
      </c>
      <c r="T6843" t="s">
        <v>48280</v>
      </c>
      <c r="U6843" t="s">
        <v>54432</v>
      </c>
      <c r="W6843" t="s">
        <v>43664</v>
      </c>
      <c r="X6843" t="s">
        <v>46574</v>
      </c>
    </row>
    <row r="6844" spans="1:24">
      <c r="A6844">
        <f>HYPERLINK("https://www.philgeps.gov.ph/GEPSNONPILOT/Tender/SplashBidNoticeAbstractUI.aspx?menuIndex=3&amp;refID=7061442&amp;Result=3","7061442")</f>
        <v>0</v>
      </c>
      <c r="B6844" t="s">
        <v>134</v>
      </c>
      <c r="C6844" t="s">
        <v>10023</v>
      </c>
      <c r="D6844" t="s">
        <v>18784</v>
      </c>
      <c r="E6844" t="s">
        <v>24939</v>
      </c>
      <c r="F6844" t="s">
        <v>32664</v>
      </c>
      <c r="G6844" t="s">
        <v>32675</v>
      </c>
      <c r="H6844" t="s">
        <v>12635</v>
      </c>
      <c r="I6844" t="s">
        <v>6628</v>
      </c>
      <c r="J6844" t="s">
        <v>37057</v>
      </c>
      <c r="K6844" t="s">
        <v>42284</v>
      </c>
      <c r="M6844" t="s">
        <v>44256</v>
      </c>
      <c r="N6844" t="s">
        <v>46569</v>
      </c>
      <c r="O6844" t="s">
        <v>46570</v>
      </c>
      <c r="P6844">
        <v>0</v>
      </c>
      <c r="Q6844">
        <v>8</v>
      </c>
      <c r="R6844" t="s">
        <v>46573</v>
      </c>
      <c r="S6844" t="s">
        <v>46705</v>
      </c>
      <c r="T6844" t="s">
        <v>48316</v>
      </c>
      <c r="U6844" t="s">
        <v>54433</v>
      </c>
      <c r="W6844" t="s">
        <v>44256</v>
      </c>
      <c r="X6844" t="s">
        <v>46574</v>
      </c>
    </row>
    <row r="6845" spans="1:24">
      <c r="A6845">
        <f>HYPERLINK("https://www.philgeps.gov.ph/GEPSNONPILOT/Tender/SplashBidNoticeAbstractUI.aspx?menuIndex=3&amp;refID=7061435&amp;Result=3","7061435")</f>
        <v>0</v>
      </c>
      <c r="B6845" t="s">
        <v>134</v>
      </c>
      <c r="C6845" t="s">
        <v>10024</v>
      </c>
      <c r="D6845" t="s">
        <v>18784</v>
      </c>
      <c r="E6845" t="s">
        <v>24940</v>
      </c>
      <c r="F6845" t="s">
        <v>32664</v>
      </c>
      <c r="G6845" t="s">
        <v>32671</v>
      </c>
      <c r="H6845" t="s">
        <v>12635</v>
      </c>
      <c r="I6845" t="s">
        <v>6628</v>
      </c>
      <c r="J6845" t="s">
        <v>37058</v>
      </c>
      <c r="K6845" t="s">
        <v>42284</v>
      </c>
      <c r="M6845" t="s">
        <v>44256</v>
      </c>
      <c r="N6845" t="s">
        <v>46569</v>
      </c>
      <c r="O6845" t="s">
        <v>46570</v>
      </c>
      <c r="P6845">
        <v>0</v>
      </c>
      <c r="Q6845">
        <v>12</v>
      </c>
      <c r="R6845" t="s">
        <v>46573</v>
      </c>
      <c r="S6845" t="s">
        <v>46705</v>
      </c>
      <c r="T6845" t="s">
        <v>48316</v>
      </c>
      <c r="U6845" t="s">
        <v>54434</v>
      </c>
      <c r="W6845" t="s">
        <v>44256</v>
      </c>
      <c r="X6845" t="s">
        <v>46574</v>
      </c>
    </row>
    <row r="6846" spans="1:24">
      <c r="A6846">
        <f>HYPERLINK("https://www.philgeps.gov.ph/GEPSNONPILOT/Tender/SplashBidNoticeAbstractUI.aspx?menuIndex=3&amp;refID=7061430&amp;Result=3","7061430")</f>
        <v>0</v>
      </c>
      <c r="B6846" t="s">
        <v>1263</v>
      </c>
      <c r="C6846" t="s">
        <v>10025</v>
      </c>
      <c r="D6846" t="s">
        <v>18807</v>
      </c>
      <c r="E6846" t="s">
        <v>24941</v>
      </c>
      <c r="F6846" t="s">
        <v>32664</v>
      </c>
      <c r="G6846" t="s">
        <v>32671</v>
      </c>
      <c r="H6846" t="s">
        <v>12635</v>
      </c>
      <c r="I6846" t="s">
        <v>4205</v>
      </c>
      <c r="J6846" t="s">
        <v>34585</v>
      </c>
      <c r="K6846" t="s">
        <v>42283</v>
      </c>
      <c r="M6846" t="s">
        <v>43906</v>
      </c>
      <c r="N6846" t="s">
        <v>46569</v>
      </c>
      <c r="O6846" t="s">
        <v>46570</v>
      </c>
      <c r="P6846">
        <v>0</v>
      </c>
      <c r="Q6846">
        <v>0</v>
      </c>
      <c r="R6846" t="s">
        <v>46573</v>
      </c>
      <c r="S6846" t="s">
        <v>46705</v>
      </c>
      <c r="T6846" t="s">
        <v>48411</v>
      </c>
      <c r="U6846" t="s">
        <v>54349</v>
      </c>
      <c r="W6846" t="s">
        <v>43906</v>
      </c>
      <c r="X6846" t="s">
        <v>46574</v>
      </c>
    </row>
    <row r="6847" spans="1:24">
      <c r="A6847">
        <f>HYPERLINK("https://www.philgeps.gov.ph/GEPSNONPILOT/Tender/SplashBidNoticeAbstractUI.aspx?menuIndex=3&amp;refID=7061433&amp;Result=3","7061433")</f>
        <v>0</v>
      </c>
      <c r="B6847" t="s">
        <v>2156</v>
      </c>
      <c r="C6847" t="s">
        <v>10026</v>
      </c>
      <c r="D6847" t="s">
        <v>18798</v>
      </c>
      <c r="E6847" t="s">
        <v>24942</v>
      </c>
      <c r="F6847" t="s">
        <v>32664</v>
      </c>
      <c r="G6847" t="s">
        <v>32672</v>
      </c>
      <c r="H6847" t="s">
        <v>12635</v>
      </c>
      <c r="I6847" t="s">
        <v>7324</v>
      </c>
      <c r="J6847" t="s">
        <v>33117</v>
      </c>
      <c r="K6847" t="s">
        <v>42284</v>
      </c>
      <c r="M6847" t="s">
        <v>44913</v>
      </c>
      <c r="N6847" t="s">
        <v>46569</v>
      </c>
      <c r="O6847" t="s">
        <v>46570</v>
      </c>
      <c r="P6847">
        <v>0</v>
      </c>
      <c r="Q6847">
        <v>0</v>
      </c>
      <c r="R6847" t="s">
        <v>46573</v>
      </c>
      <c r="S6847" t="s">
        <v>46705</v>
      </c>
      <c r="T6847" t="s">
        <v>48305</v>
      </c>
      <c r="U6847" t="s">
        <v>54435</v>
      </c>
      <c r="W6847" t="s">
        <v>44913</v>
      </c>
      <c r="X6847" t="s">
        <v>46574</v>
      </c>
    </row>
    <row r="6848" spans="1:24">
      <c r="A6848">
        <f>HYPERLINK("https://www.philgeps.gov.ph/GEPSNONPILOT/Tender/SplashBidNoticeAbstractUI.aspx?menuIndex=3&amp;refID=7061431&amp;Result=3","7061431")</f>
        <v>0</v>
      </c>
      <c r="B6848" t="s">
        <v>422</v>
      </c>
      <c r="C6848" t="s">
        <v>10027</v>
      </c>
      <c r="D6848" t="s">
        <v>18830</v>
      </c>
      <c r="E6848" t="s">
        <v>24943</v>
      </c>
      <c r="F6848" t="s">
        <v>32664</v>
      </c>
      <c r="G6848" t="s">
        <v>32672</v>
      </c>
      <c r="H6848" t="s">
        <v>32682</v>
      </c>
      <c r="I6848" t="s">
        <v>11464</v>
      </c>
      <c r="J6848" t="s">
        <v>37059</v>
      </c>
      <c r="K6848" t="s">
        <v>42348</v>
      </c>
      <c r="M6848" t="s">
        <v>44923</v>
      </c>
      <c r="N6848" t="s">
        <v>46569</v>
      </c>
      <c r="O6848" t="s">
        <v>46570</v>
      </c>
      <c r="P6848">
        <v>0</v>
      </c>
      <c r="Q6848">
        <v>3</v>
      </c>
      <c r="R6848" t="s">
        <v>46573</v>
      </c>
      <c r="S6848" t="s">
        <v>46705</v>
      </c>
      <c r="T6848" t="s">
        <v>48308</v>
      </c>
      <c r="U6848" t="s">
        <v>54436</v>
      </c>
      <c r="V6848" t="s">
        <v>62301</v>
      </c>
      <c r="W6848" t="s">
        <v>44923</v>
      </c>
      <c r="X6848" t="s">
        <v>46574</v>
      </c>
    </row>
    <row r="6849" spans="1:24">
      <c r="A6849">
        <f>HYPERLINK("https://www.philgeps.gov.ph/GEPSNONPILOT/Tender/SplashBidNoticeAbstractUI.aspx?menuIndex=3&amp;refID=7061436&amp;Result=3","7061436")</f>
        <v>0</v>
      </c>
      <c r="B6849" t="s">
        <v>2165</v>
      </c>
      <c r="C6849" t="s">
        <v>10028</v>
      </c>
      <c r="D6849" t="s">
        <v>18786</v>
      </c>
      <c r="E6849" t="s">
        <v>24944</v>
      </c>
      <c r="F6849" t="s">
        <v>32666</v>
      </c>
      <c r="G6849" t="s">
        <v>32672</v>
      </c>
      <c r="H6849" t="s">
        <v>12635</v>
      </c>
      <c r="I6849" t="s">
        <v>32733</v>
      </c>
      <c r="J6849" t="s">
        <v>37060</v>
      </c>
      <c r="K6849" t="s">
        <v>42311</v>
      </c>
      <c r="M6849" t="s">
        <v>44924</v>
      </c>
      <c r="N6849" t="s">
        <v>46569</v>
      </c>
      <c r="O6849" t="s">
        <v>46570</v>
      </c>
      <c r="P6849">
        <v>0</v>
      </c>
      <c r="Q6849">
        <v>7</v>
      </c>
      <c r="R6849" t="s">
        <v>46573</v>
      </c>
      <c r="S6849" t="s">
        <v>46705</v>
      </c>
      <c r="T6849" t="s">
        <v>48586</v>
      </c>
      <c r="U6849" t="s">
        <v>54437</v>
      </c>
      <c r="W6849" t="s">
        <v>44924</v>
      </c>
      <c r="X6849" t="s">
        <v>46574</v>
      </c>
    </row>
    <row r="6850" spans="1:24">
      <c r="A6850">
        <f>HYPERLINK("https://www.philgeps.gov.ph/GEPSNONPILOT/Tender/SplashBidNoticeAbstractUI.aspx?menuIndex=3&amp;refID=7061477&amp;Result=3","7061477")</f>
        <v>0</v>
      </c>
      <c r="B6850" t="s">
        <v>1798</v>
      </c>
      <c r="C6850" t="s">
        <v>10029</v>
      </c>
      <c r="D6850" t="s">
        <v>18858</v>
      </c>
      <c r="E6850" t="s">
        <v>24945</v>
      </c>
      <c r="F6850" t="s">
        <v>32664</v>
      </c>
      <c r="G6850" t="s">
        <v>32674</v>
      </c>
      <c r="H6850" t="s">
        <v>12635</v>
      </c>
      <c r="I6850" t="s">
        <v>4439</v>
      </c>
      <c r="J6850" t="s">
        <v>32865</v>
      </c>
      <c r="K6850" t="s">
        <v>42281</v>
      </c>
      <c r="M6850" t="s">
        <v>44501</v>
      </c>
      <c r="N6850" t="s">
        <v>46569</v>
      </c>
      <c r="O6850" t="s">
        <v>46570</v>
      </c>
      <c r="P6850">
        <v>0</v>
      </c>
      <c r="Q6850">
        <v>0</v>
      </c>
      <c r="R6850" t="s">
        <v>46573</v>
      </c>
      <c r="S6850" t="s">
        <v>46705</v>
      </c>
      <c r="T6850" t="s">
        <v>48287</v>
      </c>
      <c r="U6850" t="s">
        <v>54438</v>
      </c>
      <c r="W6850" t="s">
        <v>44501</v>
      </c>
      <c r="X6850" t="s">
        <v>46574</v>
      </c>
    </row>
    <row r="6851" spans="1:24">
      <c r="A6851">
        <f>HYPERLINK("https://www.philgeps.gov.ph/GEPSNONPILOT/Tender/SplashBidNoticeAbstractUI.aspx?menuIndex=3&amp;refID=7061475&amp;Result=3","7061475")</f>
        <v>0</v>
      </c>
      <c r="B6851" t="s">
        <v>2166</v>
      </c>
      <c r="C6851" t="s">
        <v>10030</v>
      </c>
      <c r="D6851" t="s">
        <v>18858</v>
      </c>
      <c r="E6851" t="s">
        <v>24946</v>
      </c>
      <c r="F6851" t="s">
        <v>32664</v>
      </c>
      <c r="G6851" t="s">
        <v>32671</v>
      </c>
      <c r="H6851" t="s">
        <v>12635</v>
      </c>
      <c r="I6851" t="s">
        <v>8797</v>
      </c>
      <c r="J6851" t="s">
        <v>37061</v>
      </c>
      <c r="K6851" t="s">
        <v>42295</v>
      </c>
      <c r="M6851" t="s">
        <v>44925</v>
      </c>
      <c r="N6851" t="s">
        <v>46569</v>
      </c>
      <c r="O6851" t="s">
        <v>46570</v>
      </c>
      <c r="P6851">
        <v>0</v>
      </c>
      <c r="Q6851">
        <v>2</v>
      </c>
      <c r="R6851" t="s">
        <v>46573</v>
      </c>
      <c r="S6851" t="s">
        <v>46705</v>
      </c>
      <c r="T6851" t="s">
        <v>48287</v>
      </c>
      <c r="U6851" t="s">
        <v>54439</v>
      </c>
      <c r="W6851" t="s">
        <v>44925</v>
      </c>
      <c r="X6851" t="s">
        <v>46574</v>
      </c>
    </row>
    <row r="6852" spans="1:24">
      <c r="A6852">
        <f>HYPERLINK("https://www.philgeps.gov.ph/GEPSNONPILOT/Tender/SplashBidNoticeAbstractUI.aspx?menuIndex=3&amp;refID=7061438&amp;Result=3","7061438")</f>
        <v>0</v>
      </c>
      <c r="B6852" t="s">
        <v>1055</v>
      </c>
      <c r="C6852" t="s">
        <v>10031</v>
      </c>
      <c r="D6852" t="s">
        <v>18784</v>
      </c>
      <c r="E6852" t="s">
        <v>24947</v>
      </c>
      <c r="F6852" t="s">
        <v>32664</v>
      </c>
      <c r="G6852" t="s">
        <v>32672</v>
      </c>
      <c r="H6852" t="s">
        <v>12635</v>
      </c>
      <c r="I6852" t="s">
        <v>32694</v>
      </c>
      <c r="J6852" t="s">
        <v>37062</v>
      </c>
      <c r="K6852" t="s">
        <v>42289</v>
      </c>
      <c r="M6852" t="s">
        <v>44732</v>
      </c>
      <c r="N6852" t="s">
        <v>46569</v>
      </c>
      <c r="O6852" t="s">
        <v>46570</v>
      </c>
      <c r="P6852">
        <v>0</v>
      </c>
      <c r="Q6852">
        <v>3</v>
      </c>
      <c r="R6852" t="s">
        <v>46573</v>
      </c>
      <c r="S6852" t="s">
        <v>46705</v>
      </c>
      <c r="T6852" t="s">
        <v>48404</v>
      </c>
      <c r="U6852" t="s">
        <v>54440</v>
      </c>
      <c r="W6852" t="s">
        <v>44732</v>
      </c>
      <c r="X6852" t="s">
        <v>46574</v>
      </c>
    </row>
    <row r="6853" spans="1:24">
      <c r="A6853">
        <f>HYPERLINK("https://www.philgeps.gov.ph/GEPSNONPILOT/Tender/SplashBidNoticeAbstractUI.aspx?menuIndex=3&amp;refID=7061444&amp;Result=3","7061444")</f>
        <v>0</v>
      </c>
      <c r="B6853" t="s">
        <v>1263</v>
      </c>
      <c r="C6853" t="s">
        <v>10032</v>
      </c>
      <c r="D6853" t="s">
        <v>18807</v>
      </c>
      <c r="E6853" t="s">
        <v>24948</v>
      </c>
      <c r="F6853" t="s">
        <v>32664</v>
      </c>
      <c r="G6853" t="s">
        <v>32671</v>
      </c>
      <c r="H6853" t="s">
        <v>12635</v>
      </c>
      <c r="I6853" t="s">
        <v>4333</v>
      </c>
      <c r="J6853" t="s">
        <v>37063</v>
      </c>
      <c r="K6853" t="s">
        <v>42283</v>
      </c>
      <c r="M6853" t="s">
        <v>43906</v>
      </c>
      <c r="N6853" t="s">
        <v>46569</v>
      </c>
      <c r="O6853" t="s">
        <v>46570</v>
      </c>
      <c r="P6853">
        <v>0</v>
      </c>
      <c r="Q6853">
        <v>0</v>
      </c>
      <c r="R6853" t="s">
        <v>46573</v>
      </c>
      <c r="S6853" t="s">
        <v>46705</v>
      </c>
      <c r="T6853" t="s">
        <v>48411</v>
      </c>
      <c r="U6853" t="s">
        <v>54349</v>
      </c>
      <c r="W6853" t="s">
        <v>43906</v>
      </c>
      <c r="X6853" t="s">
        <v>46574</v>
      </c>
    </row>
    <row r="6854" spans="1:24">
      <c r="A6854">
        <f>HYPERLINK("https://www.philgeps.gov.ph/GEPSNONPILOT/Tender/SplashBidNoticeAbstractUI.aspx?menuIndex=3&amp;refID=7061474&amp;Result=3","7061474")</f>
        <v>0</v>
      </c>
      <c r="B6854" t="s">
        <v>2167</v>
      </c>
      <c r="C6854" t="s">
        <v>10033</v>
      </c>
      <c r="D6854" t="s">
        <v>18815</v>
      </c>
      <c r="E6854" t="s">
        <v>24949</v>
      </c>
      <c r="F6854" t="s">
        <v>32664</v>
      </c>
      <c r="G6854" t="s">
        <v>32675</v>
      </c>
      <c r="H6854" t="s">
        <v>12635</v>
      </c>
      <c r="I6854" t="s">
        <v>4439</v>
      </c>
      <c r="J6854" t="s">
        <v>33380</v>
      </c>
      <c r="K6854" t="s">
        <v>42309</v>
      </c>
      <c r="M6854" t="s">
        <v>44926</v>
      </c>
      <c r="N6854" t="s">
        <v>46569</v>
      </c>
      <c r="O6854" t="s">
        <v>46570</v>
      </c>
      <c r="P6854">
        <v>0</v>
      </c>
      <c r="Q6854">
        <v>1</v>
      </c>
      <c r="R6854" t="s">
        <v>46573</v>
      </c>
      <c r="S6854" t="s">
        <v>46705</v>
      </c>
      <c r="T6854" t="s">
        <v>48254</v>
      </c>
      <c r="U6854" t="s">
        <v>54441</v>
      </c>
      <c r="W6854" t="s">
        <v>44926</v>
      </c>
      <c r="X6854" t="s">
        <v>46574</v>
      </c>
    </row>
    <row r="6855" spans="1:24">
      <c r="A6855">
        <f>HYPERLINK("https://www.philgeps.gov.ph/GEPSNONPILOT/Tender/SplashBidNoticeAbstractUI.aspx?menuIndex=3&amp;refID=7061471&amp;Result=3","7061471")</f>
        <v>0</v>
      </c>
      <c r="B6855" t="s">
        <v>2168</v>
      </c>
      <c r="C6855" t="s">
        <v>10034</v>
      </c>
      <c r="D6855" t="s">
        <v>18834</v>
      </c>
      <c r="E6855" t="s">
        <v>20248</v>
      </c>
      <c r="F6855" t="s">
        <v>32664</v>
      </c>
      <c r="G6855" t="s">
        <v>32674</v>
      </c>
      <c r="H6855" t="s">
        <v>12635</v>
      </c>
      <c r="I6855" t="s">
        <v>8797</v>
      </c>
      <c r="J6855" t="s">
        <v>33461</v>
      </c>
      <c r="K6855" t="s">
        <v>42295</v>
      </c>
      <c r="M6855" t="s">
        <v>44927</v>
      </c>
      <c r="N6855" t="s">
        <v>46569</v>
      </c>
      <c r="O6855" t="s">
        <v>46570</v>
      </c>
      <c r="P6855">
        <v>0</v>
      </c>
      <c r="Q6855">
        <v>3</v>
      </c>
      <c r="R6855" t="s">
        <v>46573</v>
      </c>
      <c r="S6855" t="s">
        <v>46705</v>
      </c>
      <c r="T6855" t="s">
        <v>48430</v>
      </c>
      <c r="U6855" t="s">
        <v>54442</v>
      </c>
      <c r="W6855" t="s">
        <v>44927</v>
      </c>
      <c r="X6855" t="s">
        <v>46574</v>
      </c>
    </row>
    <row r="6856" spans="1:24">
      <c r="A6856">
        <f>HYPERLINK("https://www.philgeps.gov.ph/GEPSNONPILOT/Tender/SplashBidNoticeAbstractUI.aspx?menuIndex=3&amp;refID=7061479&amp;Result=3","7061479")</f>
        <v>0</v>
      </c>
      <c r="B6856" t="s">
        <v>849</v>
      </c>
      <c r="C6856" t="s">
        <v>10035</v>
      </c>
      <c r="D6856" t="s">
        <v>18836</v>
      </c>
      <c r="E6856" t="s">
        <v>24950</v>
      </c>
      <c r="F6856" t="s">
        <v>32664</v>
      </c>
      <c r="G6856" t="s">
        <v>32674</v>
      </c>
      <c r="H6856" t="s">
        <v>12635</v>
      </c>
      <c r="I6856" t="s">
        <v>32699</v>
      </c>
      <c r="J6856" t="s">
        <v>37064</v>
      </c>
      <c r="K6856" t="s">
        <v>42283</v>
      </c>
      <c r="M6856" t="s">
        <v>43445</v>
      </c>
      <c r="N6856" t="s">
        <v>46569</v>
      </c>
      <c r="O6856" t="s">
        <v>46570</v>
      </c>
      <c r="P6856">
        <v>0</v>
      </c>
      <c r="Q6856">
        <v>1</v>
      </c>
      <c r="R6856" t="s">
        <v>46573</v>
      </c>
      <c r="S6856" t="s">
        <v>46705</v>
      </c>
      <c r="T6856" t="s">
        <v>48473</v>
      </c>
      <c r="U6856" t="s">
        <v>54443</v>
      </c>
      <c r="V6856" t="s">
        <v>62302</v>
      </c>
      <c r="W6856" t="s">
        <v>63551</v>
      </c>
      <c r="X6856" t="s">
        <v>46574</v>
      </c>
    </row>
    <row r="6857" spans="1:24">
      <c r="A6857">
        <f>HYPERLINK("https://www.philgeps.gov.ph/GEPSNONPILOT/Tender/SplashBidNoticeAbstractUI.aspx?menuIndex=3&amp;refID=7061467&amp;Result=3","7061467")</f>
        <v>0</v>
      </c>
      <c r="B6857" t="s">
        <v>1055</v>
      </c>
      <c r="C6857" t="s">
        <v>10036</v>
      </c>
      <c r="D6857" t="s">
        <v>18784</v>
      </c>
      <c r="E6857" t="s">
        <v>24951</v>
      </c>
      <c r="F6857" t="s">
        <v>32664</v>
      </c>
      <c r="G6857" t="s">
        <v>32672</v>
      </c>
      <c r="H6857" t="s">
        <v>12635</v>
      </c>
      <c r="I6857" t="s">
        <v>32694</v>
      </c>
      <c r="J6857" t="s">
        <v>37065</v>
      </c>
      <c r="K6857" t="s">
        <v>42289</v>
      </c>
      <c r="M6857" t="s">
        <v>44732</v>
      </c>
      <c r="N6857" t="s">
        <v>46569</v>
      </c>
      <c r="O6857" t="s">
        <v>46570</v>
      </c>
      <c r="P6857">
        <v>0</v>
      </c>
      <c r="Q6857">
        <v>7</v>
      </c>
      <c r="R6857" t="s">
        <v>46573</v>
      </c>
      <c r="S6857" t="s">
        <v>46705</v>
      </c>
      <c r="T6857" t="s">
        <v>48404</v>
      </c>
      <c r="U6857" t="s">
        <v>54440</v>
      </c>
      <c r="W6857" t="s">
        <v>44732</v>
      </c>
      <c r="X6857" t="s">
        <v>46574</v>
      </c>
    </row>
    <row r="6858" spans="1:24">
      <c r="A6858">
        <f>HYPERLINK("https://www.philgeps.gov.ph/GEPSNONPILOT/Tender/SplashBidNoticeAbstractUI.aspx?menuIndex=3&amp;refID=7061465&amp;Result=3","7061465")</f>
        <v>0</v>
      </c>
      <c r="B6858" t="s">
        <v>1599</v>
      </c>
      <c r="C6858" t="s">
        <v>10037</v>
      </c>
      <c r="D6858" t="s">
        <v>18842</v>
      </c>
      <c r="E6858" t="s">
        <v>24952</v>
      </c>
      <c r="F6858" t="s">
        <v>32664</v>
      </c>
      <c r="G6858" t="s">
        <v>32671</v>
      </c>
      <c r="H6858" t="s">
        <v>32683</v>
      </c>
      <c r="I6858" t="s">
        <v>10627</v>
      </c>
      <c r="J6858" t="s">
        <v>33051</v>
      </c>
      <c r="K6858" t="s">
        <v>42297</v>
      </c>
      <c r="M6858" t="s">
        <v>44276</v>
      </c>
      <c r="N6858" t="s">
        <v>46569</v>
      </c>
      <c r="O6858" t="s">
        <v>46570</v>
      </c>
      <c r="P6858">
        <v>0</v>
      </c>
      <c r="Q6858">
        <v>0</v>
      </c>
      <c r="R6858" t="s">
        <v>46573</v>
      </c>
      <c r="S6858" t="s">
        <v>46705</v>
      </c>
      <c r="T6858" t="s">
        <v>48254</v>
      </c>
      <c r="U6858" t="s">
        <v>54444</v>
      </c>
      <c r="W6858" t="s">
        <v>44276</v>
      </c>
      <c r="X6858" t="s">
        <v>46574</v>
      </c>
    </row>
    <row r="6859" spans="1:24">
      <c r="A6859">
        <f>HYPERLINK("https://www.philgeps.gov.ph/GEPSNONPILOT/Tender/SplashBidNoticeAbstractUI.aspx?menuIndex=3&amp;refID=7061387&amp;Result=3","7061387")</f>
        <v>0</v>
      </c>
      <c r="B6859" t="s">
        <v>1585</v>
      </c>
      <c r="C6859" t="s">
        <v>10038</v>
      </c>
      <c r="D6859" t="s">
        <v>18784</v>
      </c>
      <c r="E6859" t="s">
        <v>24883</v>
      </c>
      <c r="F6859" t="s">
        <v>32664</v>
      </c>
      <c r="G6859" t="s">
        <v>32671</v>
      </c>
      <c r="H6859" t="s">
        <v>12635</v>
      </c>
      <c r="I6859" t="s">
        <v>32716</v>
      </c>
      <c r="J6859" t="s">
        <v>37066</v>
      </c>
      <c r="K6859" t="s">
        <v>42330</v>
      </c>
      <c r="M6859" t="s">
        <v>44262</v>
      </c>
      <c r="N6859" t="s">
        <v>46569</v>
      </c>
      <c r="O6859" t="s">
        <v>46570</v>
      </c>
      <c r="P6859">
        <v>0</v>
      </c>
      <c r="Q6859">
        <v>9</v>
      </c>
      <c r="R6859" t="s">
        <v>46573</v>
      </c>
      <c r="S6859" t="s">
        <v>46705</v>
      </c>
      <c r="T6859" t="s">
        <v>48316</v>
      </c>
      <c r="U6859" t="s">
        <v>54445</v>
      </c>
      <c r="W6859" t="s">
        <v>44262</v>
      </c>
      <c r="X6859" t="s">
        <v>46574</v>
      </c>
    </row>
    <row r="6860" spans="1:24">
      <c r="A6860">
        <f>HYPERLINK("https://www.philgeps.gov.ph/GEPSNONPILOT/Tender/SplashBidNoticeAbstractUI.aspx?menuIndex=3&amp;refID=7061476&amp;Result=3","7061476")</f>
        <v>0</v>
      </c>
      <c r="B6860" t="s">
        <v>1055</v>
      </c>
      <c r="C6860" t="s">
        <v>10039</v>
      </c>
      <c r="D6860" t="s">
        <v>18784</v>
      </c>
      <c r="E6860" t="s">
        <v>24953</v>
      </c>
      <c r="F6860" t="s">
        <v>32664</v>
      </c>
      <c r="G6860" t="s">
        <v>32672</v>
      </c>
      <c r="H6860" t="s">
        <v>12635</v>
      </c>
      <c r="I6860" t="s">
        <v>32694</v>
      </c>
      <c r="J6860" t="s">
        <v>37067</v>
      </c>
      <c r="K6860" t="s">
        <v>42289</v>
      </c>
      <c r="M6860" t="s">
        <v>44732</v>
      </c>
      <c r="N6860" t="s">
        <v>46569</v>
      </c>
      <c r="O6860" t="s">
        <v>46570</v>
      </c>
      <c r="P6860">
        <v>0</v>
      </c>
      <c r="Q6860">
        <v>5</v>
      </c>
      <c r="R6860" t="s">
        <v>46573</v>
      </c>
      <c r="S6860" t="s">
        <v>46705</v>
      </c>
      <c r="T6860" t="s">
        <v>48404</v>
      </c>
      <c r="U6860" t="s">
        <v>54440</v>
      </c>
      <c r="W6860" t="s">
        <v>44732</v>
      </c>
      <c r="X6860" t="s">
        <v>46574</v>
      </c>
    </row>
    <row r="6861" spans="1:24">
      <c r="A6861">
        <f>HYPERLINK("https://www.philgeps.gov.ph/GEPSNONPILOT/Tender/SplashBidNoticeAbstractUI.aspx?menuIndex=3&amp;refID=7061359&amp;Result=3","7061359")</f>
        <v>0</v>
      </c>
      <c r="B6861" t="s">
        <v>2150</v>
      </c>
      <c r="C6861" t="s">
        <v>10040</v>
      </c>
      <c r="D6861" t="s">
        <v>18851</v>
      </c>
      <c r="E6861" t="s">
        <v>24954</v>
      </c>
      <c r="F6861" t="s">
        <v>32664</v>
      </c>
      <c r="G6861" t="s">
        <v>32675</v>
      </c>
      <c r="H6861" t="s">
        <v>12635</v>
      </c>
      <c r="I6861" t="s">
        <v>32689</v>
      </c>
      <c r="J6861" t="s">
        <v>37068</v>
      </c>
      <c r="K6861" t="s">
        <v>42303</v>
      </c>
      <c r="M6861" t="s">
        <v>44906</v>
      </c>
      <c r="N6861" t="s">
        <v>46569</v>
      </c>
      <c r="O6861" t="s">
        <v>46570</v>
      </c>
      <c r="P6861">
        <v>0</v>
      </c>
      <c r="Q6861">
        <v>1</v>
      </c>
      <c r="R6861" t="s">
        <v>46573</v>
      </c>
      <c r="S6861" t="s">
        <v>46705</v>
      </c>
      <c r="T6861" t="s">
        <v>48287</v>
      </c>
      <c r="U6861" t="s">
        <v>54446</v>
      </c>
      <c r="W6861" t="s">
        <v>44906</v>
      </c>
      <c r="X6861" t="s">
        <v>46574</v>
      </c>
    </row>
    <row r="6862" spans="1:24">
      <c r="A6862">
        <f>HYPERLINK("https://www.philgeps.gov.ph/GEPSNONPILOT/Tender/SplashBidNoticeAbstractUI.aspx?menuIndex=3&amp;refID=7061462&amp;Result=3","7061462")</f>
        <v>0</v>
      </c>
      <c r="B6862" t="s">
        <v>1048</v>
      </c>
      <c r="C6862" t="s">
        <v>10041</v>
      </c>
      <c r="D6862" t="s">
        <v>18831</v>
      </c>
      <c r="E6862" t="s">
        <v>24955</v>
      </c>
      <c r="F6862" t="s">
        <v>32664</v>
      </c>
      <c r="G6862" t="s">
        <v>32672</v>
      </c>
      <c r="H6862" t="s">
        <v>32683</v>
      </c>
      <c r="I6862" t="s">
        <v>10627</v>
      </c>
      <c r="J6862" t="s">
        <v>37069</v>
      </c>
      <c r="K6862" t="s">
        <v>42311</v>
      </c>
      <c r="M6862" t="s">
        <v>43664</v>
      </c>
      <c r="N6862" t="s">
        <v>46569</v>
      </c>
      <c r="O6862" t="s">
        <v>46570</v>
      </c>
      <c r="P6862">
        <v>0</v>
      </c>
      <c r="Q6862">
        <v>1</v>
      </c>
      <c r="R6862" t="s">
        <v>46573</v>
      </c>
      <c r="S6862" t="s">
        <v>46705</v>
      </c>
      <c r="T6862" t="s">
        <v>48280</v>
      </c>
      <c r="U6862" t="s">
        <v>54447</v>
      </c>
      <c r="W6862" t="s">
        <v>43664</v>
      </c>
      <c r="X6862" t="s">
        <v>46574</v>
      </c>
    </row>
    <row r="6863" spans="1:24">
      <c r="A6863">
        <f>HYPERLINK("https://www.philgeps.gov.ph/GEPSNONPILOT/Tender/SplashBidNoticeAbstractUI.aspx?menuIndex=3&amp;refID=7061482&amp;Result=3","7061482")</f>
        <v>0</v>
      </c>
      <c r="B6863" t="s">
        <v>2169</v>
      </c>
      <c r="C6863" t="s">
        <v>10042</v>
      </c>
      <c r="D6863" t="s">
        <v>18784</v>
      </c>
      <c r="E6863" t="s">
        <v>24956</v>
      </c>
      <c r="F6863" t="s">
        <v>32664</v>
      </c>
      <c r="G6863" t="s">
        <v>32671</v>
      </c>
      <c r="H6863" t="s">
        <v>12635</v>
      </c>
      <c r="I6863" t="s">
        <v>5589</v>
      </c>
      <c r="J6863" t="s">
        <v>33309</v>
      </c>
      <c r="K6863" t="s">
        <v>42295</v>
      </c>
      <c r="M6863" t="s">
        <v>44928</v>
      </c>
      <c r="N6863" t="s">
        <v>46569</v>
      </c>
      <c r="O6863" t="s">
        <v>46570</v>
      </c>
      <c r="Q6863">
        <v>5</v>
      </c>
      <c r="R6863" t="s">
        <v>46573</v>
      </c>
      <c r="S6863" t="s">
        <v>46720</v>
      </c>
      <c r="T6863" t="s">
        <v>48254</v>
      </c>
      <c r="U6863" t="s">
        <v>54448</v>
      </c>
      <c r="V6863" t="s">
        <v>62303</v>
      </c>
      <c r="W6863" t="s">
        <v>44928</v>
      </c>
      <c r="X6863" t="s">
        <v>46574</v>
      </c>
    </row>
    <row r="6864" spans="1:24">
      <c r="A6864">
        <f>HYPERLINK("https://www.philgeps.gov.ph/GEPSNONPILOT/Tender/SplashBidNoticeAbstractUI.aspx?menuIndex=3&amp;refID=7061503&amp;Result=3","7061503")</f>
        <v>0</v>
      </c>
      <c r="B6864" t="s">
        <v>849</v>
      </c>
      <c r="C6864" t="s">
        <v>10043</v>
      </c>
      <c r="D6864" t="s">
        <v>18836</v>
      </c>
      <c r="E6864" t="s">
        <v>24957</v>
      </c>
      <c r="F6864" t="s">
        <v>32664</v>
      </c>
      <c r="G6864" t="s">
        <v>32671</v>
      </c>
      <c r="H6864" t="s">
        <v>12635</v>
      </c>
      <c r="I6864" t="s">
        <v>5501</v>
      </c>
      <c r="J6864" t="s">
        <v>32853</v>
      </c>
      <c r="K6864" t="s">
        <v>42283</v>
      </c>
      <c r="M6864" t="s">
        <v>43445</v>
      </c>
      <c r="N6864" t="s">
        <v>46569</v>
      </c>
      <c r="O6864" t="s">
        <v>46570</v>
      </c>
      <c r="P6864">
        <v>0</v>
      </c>
      <c r="Q6864">
        <v>3</v>
      </c>
      <c r="R6864" t="s">
        <v>46573</v>
      </c>
      <c r="S6864" t="s">
        <v>46705</v>
      </c>
      <c r="T6864" t="s">
        <v>48316</v>
      </c>
      <c r="U6864" t="s">
        <v>54449</v>
      </c>
      <c r="V6864" t="s">
        <v>62302</v>
      </c>
      <c r="W6864" t="s">
        <v>63551</v>
      </c>
      <c r="X6864" t="s">
        <v>46574</v>
      </c>
    </row>
    <row r="6865" spans="1:24">
      <c r="A6865">
        <f>HYPERLINK("https://www.philgeps.gov.ph/GEPSNONPILOT/Tender/SplashBidNoticeAbstractUI.aspx?menuIndex=3&amp;refID=7061500&amp;Result=3","7061500")</f>
        <v>0</v>
      </c>
      <c r="B6865" t="s">
        <v>54</v>
      </c>
      <c r="C6865" t="s">
        <v>10044</v>
      </c>
      <c r="D6865" t="s">
        <v>18803</v>
      </c>
      <c r="E6865" t="s">
        <v>24958</v>
      </c>
      <c r="F6865" t="s">
        <v>32664</v>
      </c>
      <c r="G6865" t="s">
        <v>32673</v>
      </c>
      <c r="H6865" t="s">
        <v>32683</v>
      </c>
      <c r="I6865" t="s">
        <v>10627</v>
      </c>
      <c r="J6865" t="s">
        <v>37070</v>
      </c>
      <c r="K6865" t="s">
        <v>42397</v>
      </c>
      <c r="M6865" t="s">
        <v>44929</v>
      </c>
      <c r="N6865" t="s">
        <v>46569</v>
      </c>
      <c r="O6865" t="s">
        <v>46570</v>
      </c>
      <c r="P6865">
        <v>0</v>
      </c>
      <c r="Q6865">
        <v>10</v>
      </c>
      <c r="R6865" t="s">
        <v>46573</v>
      </c>
      <c r="S6865" t="s">
        <v>46705</v>
      </c>
      <c r="T6865" t="s">
        <v>48220</v>
      </c>
      <c r="U6865" t="s">
        <v>54450</v>
      </c>
      <c r="V6865" t="s">
        <v>62304</v>
      </c>
      <c r="W6865" t="s">
        <v>44929</v>
      </c>
      <c r="X6865" t="s">
        <v>46574</v>
      </c>
    </row>
    <row r="6866" spans="1:24">
      <c r="A6866">
        <f>HYPERLINK("https://www.philgeps.gov.ph/GEPSNONPILOT/Tender/SplashBidNoticeAbstractUI.aspx?menuIndex=3&amp;refID=7061429&amp;Result=3","7061429")</f>
        <v>0</v>
      </c>
      <c r="B6866" t="s">
        <v>2155</v>
      </c>
      <c r="C6866" t="s">
        <v>10045</v>
      </c>
      <c r="D6866" t="s">
        <v>18832</v>
      </c>
      <c r="E6866" t="s">
        <v>24959</v>
      </c>
      <c r="F6866" t="s">
        <v>32664</v>
      </c>
      <c r="G6866" t="s">
        <v>32672</v>
      </c>
      <c r="H6866" t="s">
        <v>32683</v>
      </c>
      <c r="I6866" t="s">
        <v>10627</v>
      </c>
      <c r="J6866" t="s">
        <v>37071</v>
      </c>
      <c r="K6866" t="s">
        <v>42290</v>
      </c>
      <c r="M6866" t="s">
        <v>44912</v>
      </c>
      <c r="N6866" t="s">
        <v>46569</v>
      </c>
      <c r="O6866" t="s">
        <v>46570</v>
      </c>
      <c r="P6866">
        <v>0</v>
      </c>
      <c r="Q6866">
        <v>0</v>
      </c>
      <c r="R6866" t="s">
        <v>46573</v>
      </c>
      <c r="S6866" t="s">
        <v>46705</v>
      </c>
      <c r="T6866" t="s">
        <v>48501</v>
      </c>
      <c r="U6866" t="s">
        <v>54451</v>
      </c>
      <c r="W6866" t="s">
        <v>44912</v>
      </c>
      <c r="X6866" t="s">
        <v>46574</v>
      </c>
    </row>
    <row r="6867" spans="1:24">
      <c r="A6867">
        <f>HYPERLINK("https://www.philgeps.gov.ph/GEPSNONPILOT/Tender/SplashBidNoticeAbstractUI.aspx?menuIndex=3&amp;refID=7061499&amp;Result=3","7061499")</f>
        <v>0</v>
      </c>
      <c r="B6867" t="s">
        <v>2170</v>
      </c>
      <c r="C6867" t="s">
        <v>10046</v>
      </c>
      <c r="D6867" t="s">
        <v>18806</v>
      </c>
      <c r="E6867" t="s">
        <v>24960</v>
      </c>
      <c r="F6867" t="s">
        <v>32664</v>
      </c>
      <c r="G6867" t="s">
        <v>32677</v>
      </c>
      <c r="H6867" t="s">
        <v>12635</v>
      </c>
      <c r="I6867" t="s">
        <v>4439</v>
      </c>
      <c r="J6867" t="s">
        <v>33937</v>
      </c>
      <c r="K6867" t="s">
        <v>42289</v>
      </c>
      <c r="M6867" t="s">
        <v>44930</v>
      </c>
      <c r="N6867" t="s">
        <v>46569</v>
      </c>
      <c r="O6867" t="s">
        <v>46570</v>
      </c>
      <c r="P6867">
        <v>0</v>
      </c>
      <c r="Q6867">
        <v>0</v>
      </c>
      <c r="R6867" t="s">
        <v>46573</v>
      </c>
      <c r="S6867" t="s">
        <v>46705</v>
      </c>
      <c r="T6867" t="s">
        <v>48287</v>
      </c>
      <c r="U6867" t="s">
        <v>54452</v>
      </c>
      <c r="V6867" t="s">
        <v>62305</v>
      </c>
      <c r="W6867" t="s">
        <v>44930</v>
      </c>
      <c r="X6867" t="s">
        <v>46574</v>
      </c>
    </row>
    <row r="6868" spans="1:24">
      <c r="A6868">
        <f>HYPERLINK("https://www.philgeps.gov.ph/GEPSNONPILOT/Tender/SplashBidNoticeAbstractUI.aspx?menuIndex=3&amp;refID=7061498&amp;Result=3","7061498")</f>
        <v>0</v>
      </c>
      <c r="B6868" t="s">
        <v>1313</v>
      </c>
      <c r="C6868" t="s">
        <v>10047</v>
      </c>
      <c r="D6868" t="s">
        <v>18824</v>
      </c>
      <c r="E6868" t="s">
        <v>24961</v>
      </c>
      <c r="F6868" t="s">
        <v>32664</v>
      </c>
      <c r="G6868" t="s">
        <v>32671</v>
      </c>
      <c r="H6868" t="s">
        <v>12635</v>
      </c>
      <c r="I6868" t="s">
        <v>32735</v>
      </c>
      <c r="J6868" t="s">
        <v>33069</v>
      </c>
      <c r="K6868" t="s">
        <v>42283</v>
      </c>
      <c r="M6868" t="s">
        <v>43960</v>
      </c>
      <c r="N6868" t="s">
        <v>46569</v>
      </c>
      <c r="O6868" t="s">
        <v>46570</v>
      </c>
      <c r="P6868">
        <v>0</v>
      </c>
      <c r="Q6868">
        <v>1</v>
      </c>
      <c r="R6868" t="s">
        <v>46573</v>
      </c>
      <c r="S6868" t="s">
        <v>46705</v>
      </c>
      <c r="T6868" t="s">
        <v>48427</v>
      </c>
      <c r="U6868" t="s">
        <v>54453</v>
      </c>
      <c r="W6868" t="s">
        <v>43960</v>
      </c>
      <c r="X6868" t="s">
        <v>46574</v>
      </c>
    </row>
    <row r="6869" spans="1:24">
      <c r="A6869">
        <f>HYPERLINK("https://www.philgeps.gov.ph/GEPSNONPILOT/Tender/SplashBidNoticeAbstractUI.aspx?menuIndex=3&amp;refID=7061496&amp;Result=3","7061496")</f>
        <v>0</v>
      </c>
      <c r="B6869" t="s">
        <v>54</v>
      </c>
      <c r="C6869" t="s">
        <v>10048</v>
      </c>
      <c r="D6869" t="s">
        <v>18803</v>
      </c>
      <c r="E6869" t="s">
        <v>24962</v>
      </c>
      <c r="F6869" t="s">
        <v>32664</v>
      </c>
      <c r="G6869" t="s">
        <v>32673</v>
      </c>
      <c r="H6869" t="s">
        <v>32683</v>
      </c>
      <c r="I6869" t="s">
        <v>10627</v>
      </c>
      <c r="J6869" t="s">
        <v>37072</v>
      </c>
      <c r="K6869" t="s">
        <v>42327</v>
      </c>
      <c r="M6869" t="s">
        <v>44929</v>
      </c>
      <c r="N6869" t="s">
        <v>46569</v>
      </c>
      <c r="O6869" t="s">
        <v>46570</v>
      </c>
      <c r="P6869">
        <v>0</v>
      </c>
      <c r="Q6869">
        <v>10</v>
      </c>
      <c r="R6869" t="s">
        <v>46573</v>
      </c>
      <c r="S6869" t="s">
        <v>46705</v>
      </c>
      <c r="T6869" t="s">
        <v>48220</v>
      </c>
      <c r="U6869" t="s">
        <v>54454</v>
      </c>
      <c r="V6869" t="s">
        <v>62306</v>
      </c>
      <c r="W6869" t="s">
        <v>44929</v>
      </c>
      <c r="X6869" t="s">
        <v>46574</v>
      </c>
    </row>
    <row r="6870" spans="1:24">
      <c r="A6870">
        <f>HYPERLINK("https://www.philgeps.gov.ph/GEPSNONPILOT/Tender/SplashBidNoticeAbstractUI.aspx?menuIndex=3&amp;refID=7061497&amp;Result=3","7061497")</f>
        <v>0</v>
      </c>
      <c r="B6870" t="s">
        <v>2171</v>
      </c>
      <c r="C6870" t="s">
        <v>10049</v>
      </c>
      <c r="D6870" t="s">
        <v>18806</v>
      </c>
      <c r="E6870" t="s">
        <v>19137</v>
      </c>
      <c r="F6870" t="s">
        <v>32664</v>
      </c>
      <c r="G6870" t="s">
        <v>32672</v>
      </c>
      <c r="H6870" t="s">
        <v>32683</v>
      </c>
      <c r="I6870" t="s">
        <v>32716</v>
      </c>
      <c r="J6870" t="s">
        <v>33078</v>
      </c>
      <c r="K6870" t="s">
        <v>42297</v>
      </c>
      <c r="M6870" t="s">
        <v>44931</v>
      </c>
      <c r="N6870" t="s">
        <v>46569</v>
      </c>
      <c r="O6870" t="s">
        <v>46570</v>
      </c>
      <c r="P6870">
        <v>0</v>
      </c>
      <c r="Q6870">
        <v>0</v>
      </c>
      <c r="R6870" t="s">
        <v>46573</v>
      </c>
      <c r="S6870" t="s">
        <v>46705</v>
      </c>
      <c r="T6870" t="s">
        <v>48373</v>
      </c>
      <c r="U6870" t="s">
        <v>54455</v>
      </c>
      <c r="V6870" t="s">
        <v>62307</v>
      </c>
      <c r="W6870" t="s">
        <v>44931</v>
      </c>
      <c r="X6870" t="s">
        <v>46574</v>
      </c>
    </row>
    <row r="6871" spans="1:24">
      <c r="A6871">
        <f>HYPERLINK("https://www.philgeps.gov.ph/GEPSNONPILOT/Tender/SplashBidNoticeAbstractUI.aspx?menuIndex=3&amp;refID=7061502&amp;Result=3","7061502")</f>
        <v>0</v>
      </c>
      <c r="B6871" t="s">
        <v>108</v>
      </c>
      <c r="C6871" t="s">
        <v>10050</v>
      </c>
      <c r="D6871" t="s">
        <v>18824</v>
      </c>
      <c r="E6871" t="s">
        <v>24963</v>
      </c>
      <c r="F6871" t="s">
        <v>32664</v>
      </c>
      <c r="G6871" t="s">
        <v>32672</v>
      </c>
      <c r="H6871" t="s">
        <v>32683</v>
      </c>
      <c r="I6871" t="s">
        <v>10627</v>
      </c>
      <c r="J6871" t="s">
        <v>37073</v>
      </c>
      <c r="K6871" t="s">
        <v>42283</v>
      </c>
      <c r="M6871" t="s">
        <v>42672</v>
      </c>
      <c r="N6871" t="s">
        <v>46569</v>
      </c>
      <c r="O6871" t="s">
        <v>46570</v>
      </c>
      <c r="P6871">
        <v>0</v>
      </c>
      <c r="Q6871">
        <v>0</v>
      </c>
      <c r="R6871" t="s">
        <v>46573</v>
      </c>
      <c r="S6871" t="s">
        <v>46705</v>
      </c>
      <c r="T6871" t="s">
        <v>48282</v>
      </c>
      <c r="U6871" t="s">
        <v>48996</v>
      </c>
      <c r="W6871" t="s">
        <v>42672</v>
      </c>
      <c r="X6871" t="s">
        <v>46574</v>
      </c>
    </row>
    <row r="6872" spans="1:24">
      <c r="A6872">
        <f>HYPERLINK("https://www.philgeps.gov.ph/GEPSNONPILOT/Tender/SplashBidNoticeAbstractUI.aspx?menuIndex=3&amp;refID=7061493&amp;Result=3","7061493")</f>
        <v>0</v>
      </c>
      <c r="B6872" t="s">
        <v>1324</v>
      </c>
      <c r="C6872" t="s">
        <v>10051</v>
      </c>
      <c r="D6872" t="s">
        <v>18827</v>
      </c>
      <c r="E6872" t="s">
        <v>19105</v>
      </c>
      <c r="F6872" t="s">
        <v>32664</v>
      </c>
      <c r="G6872" t="s">
        <v>32671</v>
      </c>
      <c r="H6872" t="s">
        <v>12635</v>
      </c>
      <c r="I6872" t="s">
        <v>6118</v>
      </c>
      <c r="J6872" t="s">
        <v>33391</v>
      </c>
      <c r="K6872" t="s">
        <v>42339</v>
      </c>
      <c r="M6872" t="s">
        <v>43973</v>
      </c>
      <c r="N6872" t="s">
        <v>46569</v>
      </c>
      <c r="O6872" t="s">
        <v>46570</v>
      </c>
      <c r="P6872">
        <v>0</v>
      </c>
      <c r="Q6872">
        <v>0</v>
      </c>
      <c r="R6872" t="s">
        <v>46573</v>
      </c>
      <c r="S6872" t="s">
        <v>46705</v>
      </c>
      <c r="T6872" t="s">
        <v>48427</v>
      </c>
      <c r="U6872" t="s">
        <v>54456</v>
      </c>
      <c r="W6872" t="s">
        <v>43973</v>
      </c>
      <c r="X6872" t="s">
        <v>46574</v>
      </c>
    </row>
    <row r="6873" spans="1:24">
      <c r="A6873">
        <f>HYPERLINK("https://www.philgeps.gov.ph/GEPSNONPILOT/Tender/SplashBidNoticeAbstractUI.aspx?menuIndex=3&amp;refID=7061501&amp;Result=3","7061501")</f>
        <v>0</v>
      </c>
      <c r="B6873" t="s">
        <v>2172</v>
      </c>
      <c r="C6873" t="s">
        <v>10052</v>
      </c>
      <c r="D6873" t="s">
        <v>18799</v>
      </c>
      <c r="E6873" t="s">
        <v>24964</v>
      </c>
      <c r="F6873" t="s">
        <v>32664</v>
      </c>
      <c r="G6873" t="s">
        <v>32675</v>
      </c>
      <c r="H6873" t="s">
        <v>12635</v>
      </c>
      <c r="I6873" t="s">
        <v>6168</v>
      </c>
      <c r="J6873" t="s">
        <v>36350</v>
      </c>
      <c r="K6873" t="s">
        <v>42306</v>
      </c>
      <c r="M6873" t="s">
        <v>44932</v>
      </c>
      <c r="N6873" t="s">
        <v>46569</v>
      </c>
      <c r="O6873" t="s">
        <v>46570</v>
      </c>
      <c r="P6873">
        <v>0</v>
      </c>
      <c r="Q6873">
        <v>2</v>
      </c>
      <c r="R6873" t="s">
        <v>46573</v>
      </c>
      <c r="S6873" t="s">
        <v>46705</v>
      </c>
      <c r="T6873" t="s">
        <v>48427</v>
      </c>
      <c r="U6873" t="s">
        <v>54457</v>
      </c>
      <c r="W6873" t="s">
        <v>44932</v>
      </c>
      <c r="X6873" t="s">
        <v>46574</v>
      </c>
    </row>
    <row r="6874" spans="1:24">
      <c r="A6874">
        <f>HYPERLINK("https://www.philgeps.gov.ph/GEPSNONPILOT/Tender/SplashBidNoticeAbstractUI.aspx?menuIndex=3&amp;refID=7061491&amp;Result=3","7061491")</f>
        <v>0</v>
      </c>
      <c r="B6874" t="s">
        <v>54</v>
      </c>
      <c r="C6874" t="s">
        <v>10053</v>
      </c>
      <c r="D6874" t="s">
        <v>18803</v>
      </c>
      <c r="E6874" t="s">
        <v>24965</v>
      </c>
      <c r="F6874" t="s">
        <v>32664</v>
      </c>
      <c r="G6874" t="s">
        <v>32673</v>
      </c>
      <c r="H6874" t="s">
        <v>32683</v>
      </c>
      <c r="I6874" t="s">
        <v>10627</v>
      </c>
      <c r="J6874" t="s">
        <v>37074</v>
      </c>
      <c r="K6874" t="s">
        <v>42450</v>
      </c>
      <c r="M6874" t="s">
        <v>44929</v>
      </c>
      <c r="N6874" t="s">
        <v>46569</v>
      </c>
      <c r="O6874" t="s">
        <v>46570</v>
      </c>
      <c r="P6874">
        <v>0</v>
      </c>
      <c r="Q6874">
        <v>12</v>
      </c>
      <c r="R6874" t="s">
        <v>46573</v>
      </c>
      <c r="S6874" t="s">
        <v>46705</v>
      </c>
      <c r="T6874" t="s">
        <v>48220</v>
      </c>
      <c r="U6874" t="s">
        <v>54458</v>
      </c>
      <c r="V6874" t="s">
        <v>62308</v>
      </c>
      <c r="W6874" t="s">
        <v>44929</v>
      </c>
      <c r="X6874" t="s">
        <v>46574</v>
      </c>
    </row>
    <row r="6875" spans="1:24">
      <c r="A6875">
        <f>HYPERLINK("https://www.philgeps.gov.ph/GEPSNONPILOT/Tender/SplashBidNoticeAbstractUI.aspx?menuIndex=3&amp;refID=7061495&amp;Result=3","7061495")</f>
        <v>0</v>
      </c>
      <c r="B6875" t="s">
        <v>2173</v>
      </c>
      <c r="C6875" t="s">
        <v>10054</v>
      </c>
      <c r="D6875" t="s">
        <v>18816</v>
      </c>
      <c r="E6875" t="s">
        <v>24966</v>
      </c>
      <c r="F6875" t="s">
        <v>32664</v>
      </c>
      <c r="G6875" t="s">
        <v>32671</v>
      </c>
      <c r="H6875" t="s">
        <v>12635</v>
      </c>
      <c r="I6875" t="s">
        <v>10370</v>
      </c>
      <c r="J6875" t="s">
        <v>37075</v>
      </c>
      <c r="K6875" t="s">
        <v>42289</v>
      </c>
      <c r="M6875" t="s">
        <v>44933</v>
      </c>
      <c r="N6875" t="s">
        <v>46569</v>
      </c>
      <c r="O6875" t="s">
        <v>46570</v>
      </c>
      <c r="P6875">
        <v>0</v>
      </c>
      <c r="Q6875">
        <v>4</v>
      </c>
      <c r="R6875" t="s">
        <v>46573</v>
      </c>
      <c r="S6875" t="s">
        <v>46705</v>
      </c>
      <c r="T6875" t="s">
        <v>48287</v>
      </c>
      <c r="U6875" t="s">
        <v>54459</v>
      </c>
      <c r="W6875" t="s">
        <v>44933</v>
      </c>
      <c r="X6875" t="s">
        <v>46574</v>
      </c>
    </row>
    <row r="6876" spans="1:24">
      <c r="A6876">
        <f>HYPERLINK("https://www.philgeps.gov.ph/GEPSNONPILOT/Tender/SplashBidNoticeAbstractUI.aspx?menuIndex=3&amp;refID=7061490&amp;Result=3","7061490")</f>
        <v>0</v>
      </c>
      <c r="B6876" t="s">
        <v>2174</v>
      </c>
      <c r="C6876" t="s">
        <v>10055</v>
      </c>
      <c r="D6876" t="s">
        <v>18849</v>
      </c>
      <c r="E6876" t="s">
        <v>24967</v>
      </c>
      <c r="F6876" t="s">
        <v>32664</v>
      </c>
      <c r="G6876" t="s">
        <v>32672</v>
      </c>
      <c r="H6876" t="s">
        <v>32683</v>
      </c>
      <c r="I6876" t="s">
        <v>10627</v>
      </c>
      <c r="J6876" t="s">
        <v>32943</v>
      </c>
      <c r="K6876" t="s">
        <v>42311</v>
      </c>
      <c r="M6876" t="s">
        <v>44934</v>
      </c>
      <c r="N6876" t="s">
        <v>46569</v>
      </c>
      <c r="O6876" t="s">
        <v>46570</v>
      </c>
      <c r="P6876">
        <v>0</v>
      </c>
      <c r="Q6876">
        <v>0</v>
      </c>
      <c r="R6876" t="s">
        <v>46573</v>
      </c>
      <c r="S6876" t="s">
        <v>46705</v>
      </c>
      <c r="T6876" t="s">
        <v>48282</v>
      </c>
      <c r="U6876" t="s">
        <v>54460</v>
      </c>
      <c r="W6876" t="s">
        <v>44934</v>
      </c>
      <c r="X6876" t="s">
        <v>46574</v>
      </c>
    </row>
    <row r="6877" spans="1:24">
      <c r="A6877">
        <f>HYPERLINK("https://www.philgeps.gov.ph/GEPSNONPILOT/Tender/SplashBidNoticeAbstractUI.aspx?menuIndex=3&amp;refID=7061487&amp;Result=3","7061487")</f>
        <v>0</v>
      </c>
      <c r="B6877" t="s">
        <v>54</v>
      </c>
      <c r="C6877" t="s">
        <v>10056</v>
      </c>
      <c r="D6877" t="s">
        <v>18803</v>
      </c>
      <c r="E6877" t="s">
        <v>24968</v>
      </c>
      <c r="F6877" t="s">
        <v>32664</v>
      </c>
      <c r="G6877" t="s">
        <v>32673</v>
      </c>
      <c r="H6877" t="s">
        <v>32683</v>
      </c>
      <c r="I6877" t="s">
        <v>10627</v>
      </c>
      <c r="J6877" t="s">
        <v>37076</v>
      </c>
      <c r="K6877" t="s">
        <v>42298</v>
      </c>
      <c r="M6877" t="s">
        <v>44929</v>
      </c>
      <c r="N6877" t="s">
        <v>46569</v>
      </c>
      <c r="O6877" t="s">
        <v>46570</v>
      </c>
      <c r="P6877">
        <v>0</v>
      </c>
      <c r="Q6877">
        <v>3</v>
      </c>
      <c r="R6877" t="s">
        <v>46573</v>
      </c>
      <c r="S6877" t="s">
        <v>46705</v>
      </c>
      <c r="T6877" t="s">
        <v>48220</v>
      </c>
      <c r="U6877" t="s">
        <v>54461</v>
      </c>
      <c r="V6877" t="s">
        <v>62309</v>
      </c>
      <c r="W6877" t="s">
        <v>44929</v>
      </c>
      <c r="X6877" t="s">
        <v>46574</v>
      </c>
    </row>
    <row r="6878" spans="1:24">
      <c r="A6878">
        <f>HYPERLINK("https://www.philgeps.gov.ph/GEPSNONPILOT/Tender/SplashBidNoticeAbstractUI.aspx?menuIndex=3&amp;refID=7061484&amp;Result=3","7061484")</f>
        <v>0</v>
      </c>
      <c r="B6878" t="s">
        <v>2174</v>
      </c>
      <c r="C6878" t="s">
        <v>10057</v>
      </c>
      <c r="D6878" t="s">
        <v>18849</v>
      </c>
      <c r="E6878" t="s">
        <v>24969</v>
      </c>
      <c r="F6878" t="s">
        <v>32664</v>
      </c>
      <c r="G6878" t="s">
        <v>32672</v>
      </c>
      <c r="H6878" t="s">
        <v>32683</v>
      </c>
      <c r="I6878" t="s">
        <v>10627</v>
      </c>
      <c r="J6878" t="s">
        <v>32837</v>
      </c>
      <c r="K6878" t="s">
        <v>42369</v>
      </c>
      <c r="M6878" t="s">
        <v>44934</v>
      </c>
      <c r="N6878" t="s">
        <v>46569</v>
      </c>
      <c r="O6878" t="s">
        <v>46570</v>
      </c>
      <c r="P6878">
        <v>0</v>
      </c>
      <c r="Q6878">
        <v>0</v>
      </c>
      <c r="R6878" t="s">
        <v>46573</v>
      </c>
      <c r="S6878" t="s">
        <v>46705</v>
      </c>
      <c r="T6878" t="s">
        <v>48282</v>
      </c>
      <c r="U6878" t="s">
        <v>54462</v>
      </c>
      <c r="W6878" t="s">
        <v>44934</v>
      </c>
      <c r="X6878" t="s">
        <v>46574</v>
      </c>
    </row>
    <row r="6879" spans="1:24">
      <c r="A6879">
        <f>HYPERLINK("https://www.philgeps.gov.ph/GEPSNONPILOT/Tender/SplashBidNoticeAbstractUI.aspx?menuIndex=3&amp;refID=7061481&amp;Result=3","7061481")</f>
        <v>0</v>
      </c>
      <c r="B6879" t="s">
        <v>47</v>
      </c>
      <c r="C6879" t="s">
        <v>10058</v>
      </c>
      <c r="D6879" t="s">
        <v>18797</v>
      </c>
      <c r="E6879" t="s">
        <v>24970</v>
      </c>
      <c r="F6879" t="s">
        <v>32664</v>
      </c>
      <c r="G6879" t="s">
        <v>32671</v>
      </c>
      <c r="H6879" t="s">
        <v>12635</v>
      </c>
      <c r="I6879" t="s">
        <v>10361</v>
      </c>
      <c r="J6879" t="s">
        <v>33078</v>
      </c>
      <c r="K6879" t="s">
        <v>42332</v>
      </c>
      <c r="M6879" t="s">
        <v>42609</v>
      </c>
      <c r="N6879" t="s">
        <v>46569</v>
      </c>
      <c r="O6879" t="s">
        <v>46570</v>
      </c>
      <c r="P6879">
        <v>0</v>
      </c>
      <c r="Q6879">
        <v>0</v>
      </c>
      <c r="R6879" t="s">
        <v>46573</v>
      </c>
      <c r="S6879" t="s">
        <v>46705</v>
      </c>
      <c r="T6879" t="s">
        <v>48427</v>
      </c>
      <c r="U6879" t="s">
        <v>54463</v>
      </c>
      <c r="W6879" t="s">
        <v>42609</v>
      </c>
      <c r="X6879" t="s">
        <v>46574</v>
      </c>
    </row>
    <row r="6880" spans="1:24">
      <c r="A6880">
        <f>HYPERLINK("https://www.philgeps.gov.ph/GEPSNONPILOT/Tender/SplashBidNoticeAbstractUI.aspx?menuIndex=3&amp;refID=7061492&amp;Result=3","7061492")</f>
        <v>0</v>
      </c>
      <c r="B6880" t="s">
        <v>1798</v>
      </c>
      <c r="C6880" t="s">
        <v>10059</v>
      </c>
      <c r="D6880" t="s">
        <v>18858</v>
      </c>
      <c r="E6880" t="s">
        <v>24971</v>
      </c>
      <c r="F6880" t="s">
        <v>32664</v>
      </c>
      <c r="G6880" t="s">
        <v>32674</v>
      </c>
      <c r="H6880" t="s">
        <v>12635</v>
      </c>
      <c r="I6880" t="s">
        <v>8730</v>
      </c>
      <c r="J6880" t="s">
        <v>37077</v>
      </c>
      <c r="K6880" t="s">
        <v>42281</v>
      </c>
      <c r="M6880" t="s">
        <v>44501</v>
      </c>
      <c r="N6880" t="s">
        <v>46569</v>
      </c>
      <c r="O6880" t="s">
        <v>46570</v>
      </c>
      <c r="P6880">
        <v>0</v>
      </c>
      <c r="Q6880">
        <v>5</v>
      </c>
      <c r="R6880" t="s">
        <v>46573</v>
      </c>
      <c r="S6880" t="s">
        <v>46705</v>
      </c>
      <c r="T6880" t="s">
        <v>48287</v>
      </c>
      <c r="U6880" t="s">
        <v>54438</v>
      </c>
      <c r="W6880" t="s">
        <v>44501</v>
      </c>
      <c r="X6880" t="s">
        <v>46574</v>
      </c>
    </row>
    <row r="6881" spans="1:24">
      <c r="A6881">
        <f>HYPERLINK("https://www.philgeps.gov.ph/GEPSNONPILOT/Tender/SplashBidNoticeAbstractUI.aspx?menuIndex=3&amp;refID=7061460&amp;Result=3","7061460")</f>
        <v>0</v>
      </c>
      <c r="B6881" t="s">
        <v>541</v>
      </c>
      <c r="C6881" t="s">
        <v>10060</v>
      </c>
      <c r="D6881" t="s">
        <v>18805</v>
      </c>
      <c r="E6881" t="s">
        <v>24972</v>
      </c>
      <c r="F6881" t="s">
        <v>32664</v>
      </c>
      <c r="G6881" t="s">
        <v>32671</v>
      </c>
      <c r="H6881" t="s">
        <v>32682</v>
      </c>
      <c r="I6881" t="s">
        <v>32790</v>
      </c>
      <c r="J6881" t="s">
        <v>37078</v>
      </c>
      <c r="K6881" t="s">
        <v>42281</v>
      </c>
      <c r="M6881" t="s">
        <v>43120</v>
      </c>
      <c r="N6881" t="s">
        <v>46569</v>
      </c>
      <c r="O6881" t="s">
        <v>46570</v>
      </c>
      <c r="P6881">
        <v>0</v>
      </c>
      <c r="Q6881">
        <v>0</v>
      </c>
      <c r="R6881" t="s">
        <v>46573</v>
      </c>
      <c r="S6881" t="s">
        <v>46705</v>
      </c>
      <c r="T6881" t="s">
        <v>48316</v>
      </c>
      <c r="U6881" t="s">
        <v>54464</v>
      </c>
      <c r="W6881" t="s">
        <v>43120</v>
      </c>
      <c r="X6881" t="s">
        <v>46574</v>
      </c>
    </row>
    <row r="6882" spans="1:24">
      <c r="A6882">
        <f>HYPERLINK("https://www.philgeps.gov.ph/GEPSNONPILOT/Tender/SplashBidNoticeAbstractUI.aspx?menuIndex=3&amp;refID=7061488&amp;Result=3","7061488")</f>
        <v>0</v>
      </c>
      <c r="B6882" t="s">
        <v>108</v>
      </c>
      <c r="C6882" t="s">
        <v>10061</v>
      </c>
      <c r="D6882" t="s">
        <v>18824</v>
      </c>
      <c r="E6882" t="s">
        <v>24973</v>
      </c>
      <c r="F6882" t="s">
        <v>32664</v>
      </c>
      <c r="G6882" t="s">
        <v>32672</v>
      </c>
      <c r="H6882" t="s">
        <v>32683</v>
      </c>
      <c r="I6882" t="s">
        <v>10627</v>
      </c>
      <c r="J6882" t="s">
        <v>37079</v>
      </c>
      <c r="K6882" t="s">
        <v>42283</v>
      </c>
      <c r="M6882" t="s">
        <v>42672</v>
      </c>
      <c r="N6882" t="s">
        <v>46569</v>
      </c>
      <c r="O6882" t="s">
        <v>46570</v>
      </c>
      <c r="P6882">
        <v>0</v>
      </c>
      <c r="Q6882">
        <v>2</v>
      </c>
      <c r="R6882" t="s">
        <v>46573</v>
      </c>
      <c r="S6882" t="s">
        <v>46705</v>
      </c>
      <c r="T6882" t="s">
        <v>48282</v>
      </c>
      <c r="U6882" t="s">
        <v>48996</v>
      </c>
      <c r="W6882" t="s">
        <v>42672</v>
      </c>
      <c r="X6882" t="s">
        <v>46574</v>
      </c>
    </row>
    <row r="6883" spans="1:24">
      <c r="A6883">
        <f>HYPERLINK("https://www.philgeps.gov.ph/GEPSNONPILOT/Tender/SplashBidNoticeAbstractUI.aspx?menuIndex=3&amp;refID=7061486&amp;Result=3","7061486")</f>
        <v>0</v>
      </c>
      <c r="B6883" t="s">
        <v>1324</v>
      </c>
      <c r="C6883" t="s">
        <v>10062</v>
      </c>
      <c r="D6883" t="s">
        <v>18827</v>
      </c>
      <c r="E6883" t="s">
        <v>19105</v>
      </c>
      <c r="F6883" t="s">
        <v>32664</v>
      </c>
      <c r="G6883" t="s">
        <v>32671</v>
      </c>
      <c r="H6883" t="s">
        <v>12635</v>
      </c>
      <c r="I6883" t="s">
        <v>8730</v>
      </c>
      <c r="J6883" t="s">
        <v>33659</v>
      </c>
      <c r="K6883" t="s">
        <v>42339</v>
      </c>
      <c r="M6883" t="s">
        <v>43973</v>
      </c>
      <c r="N6883" t="s">
        <v>46569</v>
      </c>
      <c r="O6883" t="s">
        <v>46570</v>
      </c>
      <c r="P6883">
        <v>0</v>
      </c>
      <c r="Q6883">
        <v>3</v>
      </c>
      <c r="R6883" t="s">
        <v>46573</v>
      </c>
      <c r="S6883" t="s">
        <v>46705</v>
      </c>
      <c r="T6883" t="s">
        <v>48427</v>
      </c>
      <c r="U6883" t="s">
        <v>54465</v>
      </c>
      <c r="W6883" t="s">
        <v>43973</v>
      </c>
      <c r="X6883" t="s">
        <v>46574</v>
      </c>
    </row>
    <row r="6884" spans="1:24">
      <c r="A6884">
        <f>HYPERLINK("https://www.philgeps.gov.ph/GEPSNONPILOT/Tender/SplashBidNoticeAbstractUI.aspx?menuIndex=3&amp;refID=7061480&amp;Result=3","7061480")</f>
        <v>0</v>
      </c>
      <c r="B6884" t="s">
        <v>2168</v>
      </c>
      <c r="C6884" t="s">
        <v>10063</v>
      </c>
      <c r="D6884" t="s">
        <v>18834</v>
      </c>
      <c r="E6884" t="s">
        <v>20724</v>
      </c>
      <c r="F6884" t="s">
        <v>32664</v>
      </c>
      <c r="G6884" t="s">
        <v>32674</v>
      </c>
      <c r="H6884" t="s">
        <v>12635</v>
      </c>
      <c r="I6884" t="s">
        <v>8797</v>
      </c>
      <c r="J6884" t="s">
        <v>34216</v>
      </c>
      <c r="K6884" t="s">
        <v>42295</v>
      </c>
      <c r="M6884" t="s">
        <v>44927</v>
      </c>
      <c r="N6884" t="s">
        <v>46569</v>
      </c>
      <c r="O6884" t="s">
        <v>46570</v>
      </c>
      <c r="P6884">
        <v>0</v>
      </c>
      <c r="Q6884">
        <v>4</v>
      </c>
      <c r="R6884" t="s">
        <v>46573</v>
      </c>
      <c r="S6884" t="s">
        <v>46705</v>
      </c>
      <c r="T6884" t="s">
        <v>48430</v>
      </c>
      <c r="U6884" t="s">
        <v>54466</v>
      </c>
      <c r="W6884" t="s">
        <v>44927</v>
      </c>
      <c r="X6884" t="s">
        <v>46574</v>
      </c>
    </row>
    <row r="6885" spans="1:24">
      <c r="A6885">
        <f>HYPERLINK("https://www.philgeps.gov.ph/GEPSNONPILOT/Tender/SplashBidNoticeAbstractUI.aspx?menuIndex=3&amp;refID=7061534&amp;Result=3","7061534")</f>
        <v>0</v>
      </c>
      <c r="B6885" t="s">
        <v>108</v>
      </c>
      <c r="C6885" t="s">
        <v>10064</v>
      </c>
      <c r="D6885" t="s">
        <v>18824</v>
      </c>
      <c r="E6885" t="s">
        <v>24974</v>
      </c>
      <c r="F6885" t="s">
        <v>32664</v>
      </c>
      <c r="G6885" t="s">
        <v>32672</v>
      </c>
      <c r="H6885" t="s">
        <v>32683</v>
      </c>
      <c r="I6885" t="s">
        <v>10627</v>
      </c>
      <c r="J6885" t="s">
        <v>37080</v>
      </c>
      <c r="K6885" t="s">
        <v>42283</v>
      </c>
      <c r="M6885" t="s">
        <v>42672</v>
      </c>
      <c r="N6885" t="s">
        <v>46569</v>
      </c>
      <c r="O6885" t="s">
        <v>46570</v>
      </c>
      <c r="P6885">
        <v>0</v>
      </c>
      <c r="Q6885">
        <v>0</v>
      </c>
      <c r="R6885" t="s">
        <v>46573</v>
      </c>
      <c r="S6885" t="s">
        <v>46705</v>
      </c>
      <c r="T6885" t="s">
        <v>48274</v>
      </c>
      <c r="U6885" t="s">
        <v>48996</v>
      </c>
      <c r="W6885" t="s">
        <v>42672</v>
      </c>
      <c r="X6885" t="s">
        <v>46574</v>
      </c>
    </row>
    <row r="6886" spans="1:24">
      <c r="A6886">
        <f>HYPERLINK("https://www.philgeps.gov.ph/GEPSNONPILOT/Tender/SplashBidNoticeAbstractUI.aspx?menuIndex=3&amp;refID=7061533&amp;Result=3","7061533")</f>
        <v>0</v>
      </c>
      <c r="B6886" t="s">
        <v>1055</v>
      </c>
      <c r="C6886" t="s">
        <v>10065</v>
      </c>
      <c r="D6886" t="s">
        <v>18784</v>
      </c>
      <c r="E6886" t="s">
        <v>24975</v>
      </c>
      <c r="F6886" t="s">
        <v>32664</v>
      </c>
      <c r="G6886" t="s">
        <v>32672</v>
      </c>
      <c r="H6886" t="s">
        <v>12635</v>
      </c>
      <c r="I6886" t="s">
        <v>32694</v>
      </c>
      <c r="J6886" t="s">
        <v>37081</v>
      </c>
      <c r="K6886" t="s">
        <v>42289</v>
      </c>
      <c r="M6886" t="s">
        <v>44732</v>
      </c>
      <c r="N6886" t="s">
        <v>46569</v>
      </c>
      <c r="O6886" t="s">
        <v>46570</v>
      </c>
      <c r="P6886">
        <v>0</v>
      </c>
      <c r="Q6886">
        <v>1</v>
      </c>
      <c r="R6886" t="s">
        <v>46573</v>
      </c>
      <c r="S6886" t="s">
        <v>46705</v>
      </c>
      <c r="T6886" t="s">
        <v>48404</v>
      </c>
      <c r="U6886" t="s">
        <v>54440</v>
      </c>
      <c r="W6886" t="s">
        <v>44732</v>
      </c>
      <c r="X6886" t="s">
        <v>46574</v>
      </c>
    </row>
    <row r="6887" spans="1:24">
      <c r="A6887">
        <f>HYPERLINK("https://www.philgeps.gov.ph/GEPSNONPILOT/Tender/SplashBidNoticeAbstractUI.aspx?menuIndex=3&amp;refID=7061463&amp;Result=3","7061463")</f>
        <v>0</v>
      </c>
      <c r="B6887" t="s">
        <v>2175</v>
      </c>
      <c r="C6887" t="s">
        <v>10066</v>
      </c>
      <c r="D6887" t="s">
        <v>18819</v>
      </c>
      <c r="E6887" t="s">
        <v>24209</v>
      </c>
      <c r="F6887" t="s">
        <v>32664</v>
      </c>
      <c r="G6887" t="s">
        <v>32671</v>
      </c>
      <c r="H6887" t="s">
        <v>32682</v>
      </c>
      <c r="I6887" t="s">
        <v>6223</v>
      </c>
      <c r="J6887" t="s">
        <v>33177</v>
      </c>
      <c r="K6887" t="s">
        <v>42334</v>
      </c>
      <c r="M6887" t="s">
        <v>44935</v>
      </c>
      <c r="N6887" t="s">
        <v>46569</v>
      </c>
      <c r="O6887" t="s">
        <v>46570</v>
      </c>
      <c r="P6887">
        <v>0</v>
      </c>
      <c r="Q6887">
        <v>1</v>
      </c>
      <c r="R6887" t="s">
        <v>46573</v>
      </c>
      <c r="S6887" t="s">
        <v>46705</v>
      </c>
      <c r="T6887" t="s">
        <v>48316</v>
      </c>
      <c r="U6887" t="s">
        <v>54467</v>
      </c>
      <c r="W6887" t="s">
        <v>44935</v>
      </c>
      <c r="X6887" t="s">
        <v>46574</v>
      </c>
    </row>
    <row r="6888" spans="1:24">
      <c r="A6888">
        <f>HYPERLINK("https://www.philgeps.gov.ph/GEPSNONPILOT/Tender/SplashBidNoticeAbstractUI.aspx?menuIndex=3&amp;refID=7061529&amp;Result=3","7061529")</f>
        <v>0</v>
      </c>
      <c r="B6888" t="s">
        <v>2171</v>
      </c>
      <c r="C6888" t="s">
        <v>10067</v>
      </c>
      <c r="D6888" t="s">
        <v>18806</v>
      </c>
      <c r="E6888" t="s">
        <v>19137</v>
      </c>
      <c r="F6888" t="s">
        <v>32664</v>
      </c>
      <c r="G6888" t="s">
        <v>32672</v>
      </c>
      <c r="H6888" t="s">
        <v>12635</v>
      </c>
      <c r="I6888" t="s">
        <v>4439</v>
      </c>
      <c r="J6888" t="s">
        <v>37082</v>
      </c>
      <c r="K6888" t="s">
        <v>42297</v>
      </c>
      <c r="M6888" t="s">
        <v>44931</v>
      </c>
      <c r="N6888" t="s">
        <v>46569</v>
      </c>
      <c r="O6888" t="s">
        <v>46570</v>
      </c>
      <c r="P6888">
        <v>0</v>
      </c>
      <c r="Q6888">
        <v>0</v>
      </c>
      <c r="R6888" t="s">
        <v>46573</v>
      </c>
      <c r="S6888" t="s">
        <v>46705</v>
      </c>
      <c r="T6888" t="s">
        <v>48373</v>
      </c>
      <c r="U6888" t="s">
        <v>54468</v>
      </c>
      <c r="V6888" t="s">
        <v>62307</v>
      </c>
      <c r="W6888" t="s">
        <v>44931</v>
      </c>
      <c r="X6888" t="s">
        <v>46574</v>
      </c>
    </row>
    <row r="6889" spans="1:24">
      <c r="A6889">
        <f>HYPERLINK("https://www.philgeps.gov.ph/GEPSNONPILOT/Tender/SplashBidNoticeAbstractUI.aspx?menuIndex=3&amp;refID=7061508&amp;Result=3","7061508")</f>
        <v>0</v>
      </c>
      <c r="B6889" t="s">
        <v>2172</v>
      </c>
      <c r="C6889" t="s">
        <v>10068</v>
      </c>
      <c r="D6889" t="s">
        <v>18799</v>
      </c>
      <c r="E6889" t="s">
        <v>24976</v>
      </c>
      <c r="F6889" t="s">
        <v>32664</v>
      </c>
      <c r="G6889" t="s">
        <v>32675</v>
      </c>
      <c r="H6889" t="s">
        <v>12635</v>
      </c>
      <c r="I6889" t="s">
        <v>4205</v>
      </c>
      <c r="J6889" t="s">
        <v>37083</v>
      </c>
      <c r="K6889" t="s">
        <v>42306</v>
      </c>
      <c r="M6889" t="s">
        <v>44932</v>
      </c>
      <c r="N6889" t="s">
        <v>46569</v>
      </c>
      <c r="O6889" t="s">
        <v>46570</v>
      </c>
      <c r="P6889">
        <v>0</v>
      </c>
      <c r="Q6889">
        <v>4</v>
      </c>
      <c r="R6889" t="s">
        <v>46573</v>
      </c>
      <c r="S6889" t="s">
        <v>46705</v>
      </c>
      <c r="T6889" t="s">
        <v>48427</v>
      </c>
      <c r="U6889" t="s">
        <v>54469</v>
      </c>
      <c r="W6889" t="s">
        <v>44932</v>
      </c>
      <c r="X6889" t="s">
        <v>46574</v>
      </c>
    </row>
    <row r="6890" spans="1:24">
      <c r="A6890">
        <f>HYPERLINK("https://www.philgeps.gov.ph/GEPSNONPILOT/Tender/SplashBidNoticeAbstractUI.aspx?menuIndex=3&amp;refID=7061520&amp;Result=3","7061520")</f>
        <v>0</v>
      </c>
      <c r="B6890" t="s">
        <v>108</v>
      </c>
      <c r="C6890" t="s">
        <v>10069</v>
      </c>
      <c r="D6890" t="s">
        <v>18824</v>
      </c>
      <c r="E6890" t="s">
        <v>24977</v>
      </c>
      <c r="F6890" t="s">
        <v>32664</v>
      </c>
      <c r="G6890" t="s">
        <v>32672</v>
      </c>
      <c r="H6890" t="s">
        <v>32683</v>
      </c>
      <c r="I6890" t="s">
        <v>10627</v>
      </c>
      <c r="J6890" t="s">
        <v>37084</v>
      </c>
      <c r="K6890" t="s">
        <v>42283</v>
      </c>
      <c r="M6890" t="s">
        <v>42672</v>
      </c>
      <c r="N6890" t="s">
        <v>46569</v>
      </c>
      <c r="O6890" t="s">
        <v>46570</v>
      </c>
      <c r="P6890">
        <v>0</v>
      </c>
      <c r="Q6890">
        <v>0</v>
      </c>
      <c r="R6890" t="s">
        <v>46573</v>
      </c>
      <c r="S6890" t="s">
        <v>46705</v>
      </c>
      <c r="T6890" t="s">
        <v>48274</v>
      </c>
      <c r="U6890" t="s">
        <v>48996</v>
      </c>
      <c r="W6890" t="s">
        <v>42672</v>
      </c>
      <c r="X6890" t="s">
        <v>46574</v>
      </c>
    </row>
    <row r="6891" spans="1:24">
      <c r="A6891">
        <f>HYPERLINK("https://www.philgeps.gov.ph/GEPSNONPILOT/Tender/SplashBidNoticeAbstractUI.aspx?menuIndex=3&amp;refID=7061468&amp;Result=3","7061468")</f>
        <v>0</v>
      </c>
      <c r="B6891" t="s">
        <v>849</v>
      </c>
      <c r="C6891" t="s">
        <v>10070</v>
      </c>
      <c r="D6891" t="s">
        <v>18836</v>
      </c>
      <c r="E6891" t="s">
        <v>24978</v>
      </c>
      <c r="F6891" t="s">
        <v>32664</v>
      </c>
      <c r="G6891" t="s">
        <v>32674</v>
      </c>
      <c r="H6891" t="s">
        <v>12635</v>
      </c>
      <c r="I6891" t="s">
        <v>32685</v>
      </c>
      <c r="J6891" t="s">
        <v>37085</v>
      </c>
      <c r="K6891" t="s">
        <v>42283</v>
      </c>
      <c r="M6891" t="s">
        <v>43445</v>
      </c>
      <c r="N6891" t="s">
        <v>46569</v>
      </c>
      <c r="O6891" t="s">
        <v>46570</v>
      </c>
      <c r="P6891">
        <v>0</v>
      </c>
      <c r="Q6891">
        <v>0</v>
      </c>
      <c r="R6891" t="s">
        <v>46573</v>
      </c>
      <c r="S6891" t="s">
        <v>46705</v>
      </c>
      <c r="T6891" t="s">
        <v>48473</v>
      </c>
      <c r="U6891" t="s">
        <v>54443</v>
      </c>
      <c r="V6891" t="s">
        <v>62310</v>
      </c>
      <c r="W6891" t="s">
        <v>63551</v>
      </c>
      <c r="X6891" t="s">
        <v>46574</v>
      </c>
    </row>
    <row r="6892" spans="1:24">
      <c r="A6892">
        <f>HYPERLINK("https://www.philgeps.gov.ph/GEPSNONPILOT/Tender/SplashBidNoticeAbstractUI.aspx?menuIndex=3&amp;refID=7061519&amp;Result=3","7061519")</f>
        <v>0</v>
      </c>
      <c r="B6892" t="s">
        <v>1798</v>
      </c>
      <c r="C6892" t="s">
        <v>10071</v>
      </c>
      <c r="D6892" t="s">
        <v>18858</v>
      </c>
      <c r="E6892" t="s">
        <v>24979</v>
      </c>
      <c r="F6892" t="s">
        <v>32664</v>
      </c>
      <c r="G6892" t="s">
        <v>32674</v>
      </c>
      <c r="H6892" t="s">
        <v>12635</v>
      </c>
      <c r="I6892" t="s">
        <v>32706</v>
      </c>
      <c r="J6892" t="s">
        <v>37086</v>
      </c>
      <c r="K6892" t="s">
        <v>42281</v>
      </c>
      <c r="M6892" t="s">
        <v>44501</v>
      </c>
      <c r="N6892" t="s">
        <v>46569</v>
      </c>
      <c r="O6892" t="s">
        <v>46570</v>
      </c>
      <c r="P6892">
        <v>0</v>
      </c>
      <c r="Q6892">
        <v>0</v>
      </c>
      <c r="R6892" t="s">
        <v>46573</v>
      </c>
      <c r="S6892" t="s">
        <v>46705</v>
      </c>
      <c r="T6892" t="s">
        <v>48287</v>
      </c>
      <c r="U6892" t="s">
        <v>54438</v>
      </c>
      <c r="W6892" t="s">
        <v>44501</v>
      </c>
      <c r="X6892" t="s">
        <v>46574</v>
      </c>
    </row>
    <row r="6893" spans="1:24">
      <c r="A6893">
        <f>HYPERLINK("https://www.philgeps.gov.ph/GEPSNONPILOT/Tender/SplashBidNoticeAbstractUI.aspx?menuIndex=3&amp;refID=7061531&amp;Result=3","7061531")</f>
        <v>0</v>
      </c>
      <c r="B6893" t="s">
        <v>1651</v>
      </c>
      <c r="C6893" t="s">
        <v>4590</v>
      </c>
      <c r="D6893" t="s">
        <v>18784</v>
      </c>
      <c r="E6893" t="s">
        <v>24980</v>
      </c>
      <c r="F6893" t="s">
        <v>32664</v>
      </c>
      <c r="G6893" t="s">
        <v>32671</v>
      </c>
      <c r="H6893" t="s">
        <v>12635</v>
      </c>
      <c r="I6893" t="s">
        <v>6168</v>
      </c>
      <c r="J6893" t="s">
        <v>37087</v>
      </c>
      <c r="K6893" t="s">
        <v>42283</v>
      </c>
      <c r="M6893" t="s">
        <v>44336</v>
      </c>
      <c r="N6893" t="s">
        <v>46569</v>
      </c>
      <c r="O6893" t="s">
        <v>46570</v>
      </c>
      <c r="P6893">
        <v>0</v>
      </c>
      <c r="Q6893">
        <v>15</v>
      </c>
      <c r="R6893" t="s">
        <v>46573</v>
      </c>
      <c r="S6893" t="s">
        <v>46705</v>
      </c>
      <c r="T6893" t="s">
        <v>48307</v>
      </c>
      <c r="U6893" t="s">
        <v>52671</v>
      </c>
      <c r="W6893" t="s">
        <v>44336</v>
      </c>
      <c r="X6893" t="s">
        <v>46574</v>
      </c>
    </row>
    <row r="6894" spans="1:24">
      <c r="A6894">
        <f>HYPERLINK("https://www.philgeps.gov.ph/GEPSNONPILOT/Tender/SplashBidNoticeAbstractUI.aspx?menuIndex=3&amp;refID=7061516&amp;Result=3","7061516")</f>
        <v>0</v>
      </c>
      <c r="B6894" t="s">
        <v>1055</v>
      </c>
      <c r="C6894" t="s">
        <v>10072</v>
      </c>
      <c r="D6894" t="s">
        <v>18784</v>
      </c>
      <c r="E6894" t="s">
        <v>24981</v>
      </c>
      <c r="F6894" t="s">
        <v>32664</v>
      </c>
      <c r="G6894" t="s">
        <v>32672</v>
      </c>
      <c r="H6894" t="s">
        <v>12635</v>
      </c>
      <c r="I6894" t="s">
        <v>32694</v>
      </c>
      <c r="J6894" t="s">
        <v>37088</v>
      </c>
      <c r="K6894" t="s">
        <v>42289</v>
      </c>
      <c r="M6894" t="s">
        <v>44732</v>
      </c>
      <c r="N6894" t="s">
        <v>46569</v>
      </c>
      <c r="O6894" t="s">
        <v>46570</v>
      </c>
      <c r="P6894">
        <v>0</v>
      </c>
      <c r="Q6894">
        <v>1</v>
      </c>
      <c r="R6894" t="s">
        <v>46573</v>
      </c>
      <c r="S6894" t="s">
        <v>46705</v>
      </c>
      <c r="T6894" t="s">
        <v>48404</v>
      </c>
      <c r="U6894" t="s">
        <v>54440</v>
      </c>
      <c r="W6894" t="s">
        <v>44732</v>
      </c>
      <c r="X6894" t="s">
        <v>46574</v>
      </c>
    </row>
    <row r="6895" spans="1:24">
      <c r="A6895">
        <f>HYPERLINK("https://www.philgeps.gov.ph/GEPSNONPILOT/Tender/SplashBidNoticeAbstractUI.aspx?menuIndex=3&amp;refID=7061523&amp;Result=3","7061523")</f>
        <v>0</v>
      </c>
      <c r="B6895" t="s">
        <v>1630</v>
      </c>
      <c r="C6895" t="s">
        <v>10073</v>
      </c>
      <c r="D6895" t="s">
        <v>18801</v>
      </c>
      <c r="E6895" t="s">
        <v>24982</v>
      </c>
      <c r="F6895" t="s">
        <v>32664</v>
      </c>
      <c r="G6895" t="s">
        <v>32671</v>
      </c>
      <c r="H6895" t="s">
        <v>12635</v>
      </c>
      <c r="I6895" t="s">
        <v>32707</v>
      </c>
      <c r="J6895" t="s">
        <v>33032</v>
      </c>
      <c r="K6895" t="s">
        <v>42283</v>
      </c>
      <c r="M6895" t="s">
        <v>44312</v>
      </c>
      <c r="N6895" t="s">
        <v>46569</v>
      </c>
      <c r="O6895" t="s">
        <v>46570</v>
      </c>
      <c r="P6895">
        <v>0</v>
      </c>
      <c r="Q6895">
        <v>0</v>
      </c>
      <c r="R6895" t="s">
        <v>46573</v>
      </c>
      <c r="S6895" t="s">
        <v>46705</v>
      </c>
      <c r="T6895" t="s">
        <v>48427</v>
      </c>
      <c r="U6895" t="s">
        <v>54470</v>
      </c>
      <c r="V6895" t="s">
        <v>62095</v>
      </c>
      <c r="W6895" t="s">
        <v>44312</v>
      </c>
      <c r="X6895" t="s">
        <v>46574</v>
      </c>
    </row>
    <row r="6896" spans="1:24">
      <c r="A6896">
        <f>HYPERLINK("https://www.philgeps.gov.ph/GEPSNONPILOT/Tender/SplashBidNoticeAbstractUI.aspx?menuIndex=3&amp;refID=7061514&amp;Result=3","7061514")</f>
        <v>0</v>
      </c>
      <c r="B6896" t="s">
        <v>541</v>
      </c>
      <c r="C6896" t="s">
        <v>10074</v>
      </c>
      <c r="D6896" t="s">
        <v>18805</v>
      </c>
      <c r="E6896" t="s">
        <v>24983</v>
      </c>
      <c r="F6896" t="s">
        <v>32664</v>
      </c>
      <c r="G6896" t="s">
        <v>32674</v>
      </c>
      <c r="H6896" t="s">
        <v>12635</v>
      </c>
      <c r="I6896" t="s">
        <v>6168</v>
      </c>
      <c r="J6896" t="s">
        <v>35366</v>
      </c>
      <c r="K6896" t="s">
        <v>42281</v>
      </c>
      <c r="M6896" t="s">
        <v>43120</v>
      </c>
      <c r="N6896" t="s">
        <v>46569</v>
      </c>
      <c r="O6896" t="s">
        <v>46570</v>
      </c>
      <c r="P6896">
        <v>0</v>
      </c>
      <c r="Q6896">
        <v>1</v>
      </c>
      <c r="R6896" t="s">
        <v>46573</v>
      </c>
      <c r="S6896" t="s">
        <v>46705</v>
      </c>
      <c r="T6896" t="s">
        <v>48280</v>
      </c>
      <c r="U6896" t="s">
        <v>54471</v>
      </c>
      <c r="W6896" t="s">
        <v>43120</v>
      </c>
      <c r="X6896" t="s">
        <v>46574</v>
      </c>
    </row>
    <row r="6897" spans="1:24">
      <c r="A6897">
        <f>HYPERLINK("https://www.philgeps.gov.ph/GEPSNONPILOT/Tender/SplashBidNoticeAbstractUI.aspx?menuIndex=3&amp;refID=7061513&amp;Result=3","7061513")</f>
        <v>0</v>
      </c>
      <c r="B6897" t="s">
        <v>1630</v>
      </c>
      <c r="C6897" t="s">
        <v>10075</v>
      </c>
      <c r="D6897" t="s">
        <v>18801</v>
      </c>
      <c r="E6897" t="s">
        <v>24984</v>
      </c>
      <c r="F6897" t="s">
        <v>32664</v>
      </c>
      <c r="G6897" t="s">
        <v>32674</v>
      </c>
      <c r="H6897" t="s">
        <v>12635</v>
      </c>
      <c r="I6897" t="s">
        <v>10370</v>
      </c>
      <c r="J6897" t="s">
        <v>33653</v>
      </c>
      <c r="K6897" t="s">
        <v>42283</v>
      </c>
      <c r="M6897" t="s">
        <v>44312</v>
      </c>
      <c r="N6897" t="s">
        <v>46569</v>
      </c>
      <c r="O6897" t="s">
        <v>46570</v>
      </c>
      <c r="P6897">
        <v>0</v>
      </c>
      <c r="Q6897">
        <v>4</v>
      </c>
      <c r="R6897" t="s">
        <v>46573</v>
      </c>
      <c r="S6897" t="s">
        <v>46705</v>
      </c>
      <c r="T6897" t="s">
        <v>48410</v>
      </c>
      <c r="U6897" t="s">
        <v>54472</v>
      </c>
      <c r="V6897" t="s">
        <v>62095</v>
      </c>
      <c r="W6897" t="s">
        <v>44312</v>
      </c>
      <c r="X6897" t="s">
        <v>46574</v>
      </c>
    </row>
    <row r="6898" spans="1:24">
      <c r="A6898">
        <f>HYPERLINK("https://www.philgeps.gov.ph/GEPSNONPILOT/Tender/SplashBidNoticeAbstractUI.aspx?menuIndex=3&amp;refID=7061512&amp;Result=3","7061512")</f>
        <v>0</v>
      </c>
      <c r="B6898" t="s">
        <v>1313</v>
      </c>
      <c r="C6898" t="s">
        <v>10076</v>
      </c>
      <c r="E6898" t="s">
        <v>24985</v>
      </c>
      <c r="F6898" t="s">
        <v>32664</v>
      </c>
      <c r="G6898" t="s">
        <v>32671</v>
      </c>
      <c r="H6898" t="s">
        <v>12635</v>
      </c>
      <c r="I6898" t="s">
        <v>32704</v>
      </c>
      <c r="J6898" t="s">
        <v>32898</v>
      </c>
      <c r="K6898" t="s">
        <v>42283</v>
      </c>
      <c r="M6898" t="s">
        <v>43960</v>
      </c>
      <c r="N6898" t="s">
        <v>46569</v>
      </c>
      <c r="O6898" t="s">
        <v>46570</v>
      </c>
      <c r="P6898">
        <v>0</v>
      </c>
      <c r="Q6898">
        <v>4</v>
      </c>
      <c r="R6898" t="s">
        <v>46573</v>
      </c>
      <c r="S6898" t="s">
        <v>46705</v>
      </c>
      <c r="T6898" t="s">
        <v>48427</v>
      </c>
      <c r="U6898" t="s">
        <v>54453</v>
      </c>
      <c r="W6898" t="s">
        <v>43960</v>
      </c>
      <c r="X6898" t="s">
        <v>46574</v>
      </c>
    </row>
    <row r="6899" spans="1:24">
      <c r="A6899">
        <f>HYPERLINK("https://www.philgeps.gov.ph/GEPSNONPILOT/Tender/SplashBidNoticeAbstractUI.aspx?menuIndex=3&amp;refID=7061510&amp;Result=3","7061510")</f>
        <v>0</v>
      </c>
      <c r="B6899" t="s">
        <v>2161</v>
      </c>
      <c r="C6899" t="s">
        <v>10077</v>
      </c>
      <c r="D6899" t="s">
        <v>18805</v>
      </c>
      <c r="E6899" t="s">
        <v>24986</v>
      </c>
      <c r="F6899" t="s">
        <v>32664</v>
      </c>
      <c r="G6899" t="s">
        <v>32671</v>
      </c>
      <c r="H6899" t="s">
        <v>12635</v>
      </c>
      <c r="I6899" t="s">
        <v>4439</v>
      </c>
      <c r="J6899" t="s">
        <v>37089</v>
      </c>
      <c r="K6899" t="s">
        <v>42284</v>
      </c>
      <c r="M6899" t="s">
        <v>44919</v>
      </c>
      <c r="N6899" t="s">
        <v>46569</v>
      </c>
      <c r="O6899" t="s">
        <v>46570</v>
      </c>
      <c r="P6899">
        <v>0</v>
      </c>
      <c r="Q6899">
        <v>0</v>
      </c>
      <c r="R6899" t="s">
        <v>46573</v>
      </c>
      <c r="S6899" t="s">
        <v>46705</v>
      </c>
      <c r="T6899" t="s">
        <v>48254</v>
      </c>
      <c r="U6899" t="s">
        <v>54473</v>
      </c>
      <c r="W6899" t="s">
        <v>44919</v>
      </c>
      <c r="X6899" t="s">
        <v>46574</v>
      </c>
    </row>
    <row r="6900" spans="1:24">
      <c r="A6900">
        <f>HYPERLINK("https://www.philgeps.gov.ph/GEPSNONPILOT/Tender/SplashBidNoticeAbstractUI.aspx?menuIndex=3&amp;refID=7061509&amp;Result=3","7061509")</f>
        <v>0</v>
      </c>
      <c r="B6900" t="s">
        <v>108</v>
      </c>
      <c r="C6900" t="s">
        <v>10078</v>
      </c>
      <c r="D6900" t="s">
        <v>18824</v>
      </c>
      <c r="E6900" t="s">
        <v>24987</v>
      </c>
      <c r="F6900" t="s">
        <v>32664</v>
      </c>
      <c r="G6900" t="s">
        <v>32672</v>
      </c>
      <c r="H6900" t="s">
        <v>32683</v>
      </c>
      <c r="I6900" t="s">
        <v>10627</v>
      </c>
      <c r="J6900" t="s">
        <v>37090</v>
      </c>
      <c r="K6900" t="s">
        <v>42283</v>
      </c>
      <c r="M6900" t="s">
        <v>42672</v>
      </c>
      <c r="N6900" t="s">
        <v>46569</v>
      </c>
      <c r="O6900" t="s">
        <v>46570</v>
      </c>
      <c r="P6900">
        <v>0</v>
      </c>
      <c r="Q6900">
        <v>0</v>
      </c>
      <c r="R6900" t="s">
        <v>46573</v>
      </c>
      <c r="S6900" t="s">
        <v>46705</v>
      </c>
      <c r="T6900" t="s">
        <v>48274</v>
      </c>
      <c r="U6900" t="s">
        <v>48996</v>
      </c>
      <c r="W6900" t="s">
        <v>42672</v>
      </c>
      <c r="X6900" t="s">
        <v>46574</v>
      </c>
    </row>
    <row r="6901" spans="1:24">
      <c r="A6901">
        <f>HYPERLINK("https://www.philgeps.gov.ph/GEPSNONPILOT/Tender/SplashBidNoticeAbstractUI.aspx?menuIndex=3&amp;refID=7061507&amp;Result=3","7061507")</f>
        <v>0</v>
      </c>
      <c r="B6901" t="s">
        <v>1313</v>
      </c>
      <c r="C6901" t="s">
        <v>10079</v>
      </c>
      <c r="E6901" t="s">
        <v>24988</v>
      </c>
      <c r="F6901" t="s">
        <v>32664</v>
      </c>
      <c r="G6901" t="s">
        <v>32675</v>
      </c>
      <c r="H6901" t="s">
        <v>12635</v>
      </c>
      <c r="I6901" t="s">
        <v>6628</v>
      </c>
      <c r="J6901" t="s">
        <v>33657</v>
      </c>
      <c r="K6901" t="s">
        <v>42283</v>
      </c>
      <c r="M6901" t="s">
        <v>43960</v>
      </c>
      <c r="N6901" t="s">
        <v>46569</v>
      </c>
      <c r="O6901" t="s">
        <v>46570</v>
      </c>
      <c r="P6901">
        <v>0</v>
      </c>
      <c r="Q6901">
        <v>8</v>
      </c>
      <c r="R6901" t="s">
        <v>46573</v>
      </c>
      <c r="S6901" t="s">
        <v>46705</v>
      </c>
      <c r="T6901" t="s">
        <v>48427</v>
      </c>
      <c r="U6901" t="s">
        <v>54453</v>
      </c>
      <c r="W6901" t="s">
        <v>43960</v>
      </c>
      <c r="X6901" t="s">
        <v>46574</v>
      </c>
    </row>
    <row r="6902" spans="1:24">
      <c r="A6902">
        <f>HYPERLINK("https://www.philgeps.gov.ph/GEPSNONPILOT/Tender/SplashBidNoticeAbstractUI.aspx?menuIndex=3&amp;refID=7061504&amp;Result=3","7061504")</f>
        <v>0</v>
      </c>
      <c r="B6902" t="s">
        <v>2161</v>
      </c>
      <c r="C6902" t="s">
        <v>10080</v>
      </c>
      <c r="D6902" t="s">
        <v>18805</v>
      </c>
      <c r="E6902" t="s">
        <v>24989</v>
      </c>
      <c r="F6902" t="s">
        <v>32664</v>
      </c>
      <c r="G6902" t="s">
        <v>32671</v>
      </c>
      <c r="H6902" t="s">
        <v>12635</v>
      </c>
      <c r="I6902" t="s">
        <v>4439</v>
      </c>
      <c r="J6902" t="s">
        <v>37091</v>
      </c>
      <c r="K6902" t="s">
        <v>42284</v>
      </c>
      <c r="M6902" t="s">
        <v>44919</v>
      </c>
      <c r="N6902" t="s">
        <v>46569</v>
      </c>
      <c r="O6902" t="s">
        <v>46570</v>
      </c>
      <c r="P6902">
        <v>0</v>
      </c>
      <c r="Q6902">
        <v>0</v>
      </c>
      <c r="R6902" t="s">
        <v>46573</v>
      </c>
      <c r="S6902" t="s">
        <v>46705</v>
      </c>
      <c r="T6902" t="s">
        <v>48254</v>
      </c>
      <c r="U6902" t="s">
        <v>54474</v>
      </c>
      <c r="W6902" t="s">
        <v>44919</v>
      </c>
      <c r="X6902" t="s">
        <v>46574</v>
      </c>
    </row>
    <row r="6903" spans="1:24">
      <c r="A6903">
        <f>HYPERLINK("https://www.philgeps.gov.ph/GEPSNONPILOT/Tender/SplashBidNoticeAbstractUI.aspx?menuIndex=3&amp;refID=7061528&amp;Result=3","7061528")</f>
        <v>0</v>
      </c>
      <c r="B6903" t="s">
        <v>2176</v>
      </c>
      <c r="C6903" t="s">
        <v>10081</v>
      </c>
      <c r="D6903" t="s">
        <v>18806</v>
      </c>
      <c r="E6903" t="s">
        <v>24990</v>
      </c>
      <c r="F6903" t="s">
        <v>32664</v>
      </c>
      <c r="G6903" t="s">
        <v>32672</v>
      </c>
      <c r="H6903" t="s">
        <v>12635</v>
      </c>
      <c r="I6903" t="s">
        <v>8797</v>
      </c>
      <c r="J6903" t="s">
        <v>37092</v>
      </c>
      <c r="K6903" t="s">
        <v>42283</v>
      </c>
      <c r="M6903" t="s">
        <v>44936</v>
      </c>
      <c r="N6903" t="s">
        <v>46569</v>
      </c>
      <c r="O6903" t="s">
        <v>46570</v>
      </c>
      <c r="P6903">
        <v>0</v>
      </c>
      <c r="Q6903">
        <v>15</v>
      </c>
      <c r="R6903" t="s">
        <v>46573</v>
      </c>
      <c r="S6903" t="s">
        <v>46705</v>
      </c>
      <c r="T6903" t="s">
        <v>48308</v>
      </c>
      <c r="U6903" t="s">
        <v>54475</v>
      </c>
      <c r="W6903" t="s">
        <v>44936</v>
      </c>
      <c r="X6903" t="s">
        <v>46574</v>
      </c>
    </row>
    <row r="6904" spans="1:24">
      <c r="A6904">
        <f>HYPERLINK("https://www.philgeps.gov.ph/GEPSNONPILOT/Tender/SplashBidNoticeAbstractUI.aspx?menuIndex=3&amp;refID=7061518&amp;Result=3","7061518")</f>
        <v>0</v>
      </c>
      <c r="B6904" t="s">
        <v>1630</v>
      </c>
      <c r="C6904" t="s">
        <v>10082</v>
      </c>
      <c r="D6904" t="s">
        <v>18801</v>
      </c>
      <c r="E6904" t="s">
        <v>24991</v>
      </c>
      <c r="F6904" t="s">
        <v>32664</v>
      </c>
      <c r="G6904" t="s">
        <v>32674</v>
      </c>
      <c r="H6904" t="s">
        <v>12635</v>
      </c>
      <c r="I6904" t="s">
        <v>32704</v>
      </c>
      <c r="J6904" t="s">
        <v>37093</v>
      </c>
      <c r="K6904" t="s">
        <v>42283</v>
      </c>
      <c r="M6904" t="s">
        <v>44312</v>
      </c>
      <c r="N6904" t="s">
        <v>46569</v>
      </c>
      <c r="O6904" t="s">
        <v>46570</v>
      </c>
      <c r="P6904">
        <v>0</v>
      </c>
      <c r="Q6904">
        <v>5</v>
      </c>
      <c r="R6904" t="s">
        <v>46573</v>
      </c>
      <c r="S6904" t="s">
        <v>46705</v>
      </c>
      <c r="T6904" t="s">
        <v>48410</v>
      </c>
      <c r="U6904" t="s">
        <v>54476</v>
      </c>
      <c r="V6904" t="s">
        <v>62095</v>
      </c>
      <c r="W6904" t="s">
        <v>44312</v>
      </c>
      <c r="X6904" t="s">
        <v>46574</v>
      </c>
    </row>
    <row r="6905" spans="1:24">
      <c r="A6905">
        <f>HYPERLINK("https://www.philgeps.gov.ph/GEPSNONPILOT/Tender/SplashBidNoticeAbstractUI.aspx?menuIndex=3&amp;refID=7061505&amp;Result=3","7061505")</f>
        <v>0</v>
      </c>
      <c r="B6905" t="s">
        <v>1798</v>
      </c>
      <c r="C6905" t="s">
        <v>10083</v>
      </c>
      <c r="D6905" t="s">
        <v>18858</v>
      </c>
      <c r="E6905" t="s">
        <v>24992</v>
      </c>
      <c r="F6905" t="s">
        <v>32664</v>
      </c>
      <c r="G6905" t="s">
        <v>32674</v>
      </c>
      <c r="H6905" t="s">
        <v>12635</v>
      </c>
      <c r="I6905" t="s">
        <v>8797</v>
      </c>
      <c r="J6905" t="s">
        <v>33089</v>
      </c>
      <c r="K6905" t="s">
        <v>42281</v>
      </c>
      <c r="M6905" t="s">
        <v>44501</v>
      </c>
      <c r="N6905" t="s">
        <v>46569</v>
      </c>
      <c r="O6905" t="s">
        <v>46570</v>
      </c>
      <c r="P6905">
        <v>0</v>
      </c>
      <c r="Q6905">
        <v>9</v>
      </c>
      <c r="R6905" t="s">
        <v>46573</v>
      </c>
      <c r="S6905" t="s">
        <v>46705</v>
      </c>
      <c r="T6905" t="s">
        <v>48287</v>
      </c>
      <c r="U6905" t="s">
        <v>54438</v>
      </c>
      <c r="W6905" t="s">
        <v>44501</v>
      </c>
      <c r="X6905" t="s">
        <v>46574</v>
      </c>
    </row>
    <row r="6906" spans="1:24">
      <c r="A6906">
        <f>HYPERLINK("https://www.philgeps.gov.ph/GEPSNONPILOT/Tender/SplashBidNoticeAbstractUI.aspx?menuIndex=3&amp;refID=7061455&amp;Result=3","7061455")</f>
        <v>0</v>
      </c>
      <c r="B6906" t="s">
        <v>1773</v>
      </c>
      <c r="C6906" t="s">
        <v>10084</v>
      </c>
      <c r="D6906" t="s">
        <v>18834</v>
      </c>
      <c r="E6906" t="s">
        <v>10084</v>
      </c>
      <c r="F6906" t="s">
        <v>32664</v>
      </c>
      <c r="G6906" t="s">
        <v>32672</v>
      </c>
      <c r="H6906" t="s">
        <v>32682</v>
      </c>
      <c r="I6906" t="s">
        <v>5460</v>
      </c>
      <c r="J6906" t="s">
        <v>33021</v>
      </c>
      <c r="K6906" t="s">
        <v>42281</v>
      </c>
      <c r="M6906" t="s">
        <v>44475</v>
      </c>
      <c r="N6906" t="s">
        <v>46569</v>
      </c>
      <c r="O6906" t="s">
        <v>46570</v>
      </c>
      <c r="P6906">
        <v>0</v>
      </c>
      <c r="Q6906">
        <v>2</v>
      </c>
      <c r="R6906" t="s">
        <v>46573</v>
      </c>
      <c r="S6906" t="s">
        <v>46705</v>
      </c>
      <c r="T6906" t="s">
        <v>48305</v>
      </c>
      <c r="U6906" t="s">
        <v>53064</v>
      </c>
      <c r="W6906" t="s">
        <v>44475</v>
      </c>
      <c r="X6906" t="s">
        <v>46574</v>
      </c>
    </row>
    <row r="6907" spans="1:24">
      <c r="A6907">
        <f>HYPERLINK("https://www.philgeps.gov.ph/GEPSNONPILOT/Tender/SplashBidNoticeAbstractUI.aspx?menuIndex=3&amp;refID=7061454&amp;Result=3","7061454")</f>
        <v>0</v>
      </c>
      <c r="B6907" t="s">
        <v>1036</v>
      </c>
      <c r="C6907" t="s">
        <v>10085</v>
      </c>
      <c r="D6907" t="s">
        <v>18792</v>
      </c>
      <c r="E6907" t="s">
        <v>24993</v>
      </c>
      <c r="F6907" t="s">
        <v>32664</v>
      </c>
      <c r="G6907" t="s">
        <v>32672</v>
      </c>
      <c r="H6907" t="s">
        <v>12635</v>
      </c>
      <c r="I6907" t="s">
        <v>5589</v>
      </c>
      <c r="J6907" t="s">
        <v>36126</v>
      </c>
      <c r="K6907" t="s">
        <v>42309</v>
      </c>
      <c r="M6907" t="s">
        <v>43649</v>
      </c>
      <c r="N6907" t="s">
        <v>46569</v>
      </c>
      <c r="O6907" t="s">
        <v>46570</v>
      </c>
      <c r="P6907">
        <v>0</v>
      </c>
      <c r="Q6907">
        <v>3</v>
      </c>
      <c r="R6907" t="s">
        <v>46573</v>
      </c>
      <c r="S6907" t="s">
        <v>46705</v>
      </c>
      <c r="T6907" t="s">
        <v>48223</v>
      </c>
      <c r="U6907" t="s">
        <v>54477</v>
      </c>
      <c r="W6907" t="s">
        <v>43649</v>
      </c>
      <c r="X6907" t="s">
        <v>46574</v>
      </c>
    </row>
    <row r="6908" spans="1:24">
      <c r="A6908">
        <f>HYPERLINK("https://www.philgeps.gov.ph/GEPSNONPILOT/Tender/SplashBidNoticeAbstractUI.aspx?menuIndex=3&amp;refID=7061461&amp;Result=3","7061461")</f>
        <v>0</v>
      </c>
      <c r="B6908" t="s">
        <v>625</v>
      </c>
      <c r="C6908" t="s">
        <v>10086</v>
      </c>
      <c r="D6908" t="s">
        <v>18826</v>
      </c>
      <c r="E6908" t="s">
        <v>24994</v>
      </c>
      <c r="F6908" t="s">
        <v>32664</v>
      </c>
      <c r="G6908" t="s">
        <v>32671</v>
      </c>
      <c r="H6908" t="s">
        <v>12635</v>
      </c>
      <c r="I6908" t="s">
        <v>6118</v>
      </c>
      <c r="J6908" t="s">
        <v>34559</v>
      </c>
      <c r="K6908" t="s">
        <v>42309</v>
      </c>
      <c r="M6908" t="s">
        <v>43205</v>
      </c>
      <c r="N6908" t="s">
        <v>46569</v>
      </c>
      <c r="O6908" t="s">
        <v>46570</v>
      </c>
      <c r="P6908">
        <v>0</v>
      </c>
      <c r="Q6908">
        <v>0</v>
      </c>
      <c r="R6908" t="s">
        <v>46573</v>
      </c>
      <c r="S6908" t="s">
        <v>46705</v>
      </c>
      <c r="T6908" t="s">
        <v>48256</v>
      </c>
      <c r="U6908" t="s">
        <v>54478</v>
      </c>
      <c r="W6908" t="s">
        <v>43205</v>
      </c>
      <c r="X6908" t="s">
        <v>46574</v>
      </c>
    </row>
    <row r="6909" spans="1:24">
      <c r="A6909">
        <f>HYPERLINK("https://www.philgeps.gov.ph/GEPSNONPILOT/Tender/SplashBidNoticeAbstractUI.aspx?menuIndex=3&amp;refID=7061458&amp;Result=3","7061458")</f>
        <v>0</v>
      </c>
      <c r="B6909" t="s">
        <v>1599</v>
      </c>
      <c r="C6909" t="s">
        <v>10087</v>
      </c>
      <c r="D6909" t="s">
        <v>18842</v>
      </c>
      <c r="E6909" t="s">
        <v>24995</v>
      </c>
      <c r="F6909" t="s">
        <v>32664</v>
      </c>
      <c r="G6909" t="s">
        <v>32671</v>
      </c>
      <c r="H6909" t="s">
        <v>32683</v>
      </c>
      <c r="I6909" t="s">
        <v>10627</v>
      </c>
      <c r="J6909" t="s">
        <v>33051</v>
      </c>
      <c r="K6909" t="s">
        <v>42297</v>
      </c>
      <c r="M6909" t="s">
        <v>44276</v>
      </c>
      <c r="N6909" t="s">
        <v>46569</v>
      </c>
      <c r="O6909" t="s">
        <v>46570</v>
      </c>
      <c r="P6909">
        <v>0</v>
      </c>
      <c r="Q6909">
        <v>0</v>
      </c>
      <c r="R6909" t="s">
        <v>46573</v>
      </c>
      <c r="S6909" t="s">
        <v>46705</v>
      </c>
      <c r="T6909" t="s">
        <v>48254</v>
      </c>
      <c r="U6909" t="s">
        <v>54444</v>
      </c>
      <c r="W6909" t="s">
        <v>44276</v>
      </c>
      <c r="X6909" t="s">
        <v>46574</v>
      </c>
    </row>
    <row r="6910" spans="1:24">
      <c r="A6910">
        <f>HYPERLINK("https://www.philgeps.gov.ph/GEPSNONPILOT/Tender/SplashBidNoticeAbstractUI.aspx?menuIndex=3&amp;refID=7061384&amp;Result=3","7061384")</f>
        <v>0</v>
      </c>
      <c r="B6910" t="s">
        <v>1263</v>
      </c>
      <c r="C6910" t="s">
        <v>10088</v>
      </c>
      <c r="D6910" t="s">
        <v>18807</v>
      </c>
      <c r="E6910" t="s">
        <v>24996</v>
      </c>
      <c r="F6910" t="s">
        <v>32664</v>
      </c>
      <c r="G6910" t="s">
        <v>32671</v>
      </c>
      <c r="H6910" t="s">
        <v>12635</v>
      </c>
      <c r="I6910" t="s">
        <v>32694</v>
      </c>
      <c r="J6910" t="s">
        <v>33249</v>
      </c>
      <c r="K6910" t="s">
        <v>42283</v>
      </c>
      <c r="M6910" t="s">
        <v>43906</v>
      </c>
      <c r="N6910" t="s">
        <v>46569</v>
      </c>
      <c r="O6910" t="s">
        <v>46570</v>
      </c>
      <c r="P6910">
        <v>0</v>
      </c>
      <c r="Q6910">
        <v>0</v>
      </c>
      <c r="R6910" t="s">
        <v>46573</v>
      </c>
      <c r="S6910" t="s">
        <v>46705</v>
      </c>
      <c r="T6910" t="s">
        <v>48411</v>
      </c>
      <c r="U6910" t="s">
        <v>54349</v>
      </c>
      <c r="W6910" t="s">
        <v>43906</v>
      </c>
      <c r="X6910" t="s">
        <v>46574</v>
      </c>
    </row>
    <row r="6911" spans="1:24">
      <c r="A6911">
        <f>HYPERLINK("https://www.philgeps.gov.ph/GEPSNONPILOT/Tender/SplashBidNoticeAbstractUI.aspx?menuIndex=3&amp;refID=7061385&amp;Result=3","7061385")</f>
        <v>0</v>
      </c>
      <c r="B6911" t="s">
        <v>2157</v>
      </c>
      <c r="C6911" t="s">
        <v>10089</v>
      </c>
      <c r="D6911" t="s">
        <v>18785</v>
      </c>
      <c r="E6911" t="s">
        <v>24997</v>
      </c>
      <c r="F6911" t="s">
        <v>32664</v>
      </c>
      <c r="G6911" t="s">
        <v>32672</v>
      </c>
      <c r="H6911" t="s">
        <v>12635</v>
      </c>
      <c r="I6911" t="s">
        <v>9486</v>
      </c>
      <c r="J6911" t="s">
        <v>37094</v>
      </c>
      <c r="K6911" t="s">
        <v>42281</v>
      </c>
      <c r="M6911" t="s">
        <v>44914</v>
      </c>
      <c r="N6911" t="s">
        <v>46569</v>
      </c>
      <c r="O6911" t="s">
        <v>46570</v>
      </c>
      <c r="P6911">
        <v>0</v>
      </c>
      <c r="Q6911">
        <v>5</v>
      </c>
      <c r="R6911" t="s">
        <v>46573</v>
      </c>
      <c r="S6911" t="s">
        <v>46705</v>
      </c>
      <c r="T6911" t="s">
        <v>48349</v>
      </c>
      <c r="U6911" t="s">
        <v>54479</v>
      </c>
      <c r="W6911" t="s">
        <v>44914</v>
      </c>
      <c r="X6911" t="s">
        <v>46574</v>
      </c>
    </row>
    <row r="6912" spans="1:24">
      <c r="A6912">
        <f>HYPERLINK("https://www.philgeps.gov.ph/GEPSNONPILOT/Tender/SplashBidNoticeAbstractUI.aspx?menuIndex=3&amp;refID=7061383&amp;Result=3","7061383")</f>
        <v>0</v>
      </c>
      <c r="B6912" t="s">
        <v>2177</v>
      </c>
      <c r="C6912" t="s">
        <v>10090</v>
      </c>
      <c r="D6912" t="s">
        <v>18824</v>
      </c>
      <c r="E6912" t="s">
        <v>24998</v>
      </c>
      <c r="F6912" t="s">
        <v>32664</v>
      </c>
      <c r="G6912" t="s">
        <v>32671</v>
      </c>
      <c r="H6912" t="s">
        <v>12635</v>
      </c>
      <c r="I6912" t="s">
        <v>8730</v>
      </c>
      <c r="J6912" t="s">
        <v>33311</v>
      </c>
      <c r="K6912" t="s">
        <v>42295</v>
      </c>
      <c r="M6912" t="s">
        <v>44937</v>
      </c>
      <c r="N6912" t="s">
        <v>46569</v>
      </c>
      <c r="O6912" t="s">
        <v>46570</v>
      </c>
      <c r="P6912">
        <v>0</v>
      </c>
      <c r="Q6912">
        <v>1</v>
      </c>
      <c r="R6912" t="s">
        <v>46573</v>
      </c>
      <c r="S6912" t="s">
        <v>46705</v>
      </c>
      <c r="T6912" t="s">
        <v>48287</v>
      </c>
      <c r="U6912" t="s">
        <v>54480</v>
      </c>
      <c r="W6912" t="s">
        <v>44937</v>
      </c>
      <c r="X6912" t="s">
        <v>46574</v>
      </c>
    </row>
    <row r="6913" spans="1:24">
      <c r="A6913">
        <f>HYPERLINK("https://www.philgeps.gov.ph/GEPSNONPILOT/Tender/SplashBidNoticeAbstractUI.aspx?menuIndex=3&amp;refID=7061515&amp;Result=3","7061515")</f>
        <v>0</v>
      </c>
      <c r="B6913" t="s">
        <v>2161</v>
      </c>
      <c r="C6913" t="s">
        <v>10091</v>
      </c>
      <c r="D6913" t="s">
        <v>18805</v>
      </c>
      <c r="E6913" t="s">
        <v>24999</v>
      </c>
      <c r="F6913" t="s">
        <v>32664</v>
      </c>
      <c r="G6913" t="s">
        <v>32671</v>
      </c>
      <c r="H6913" t="s">
        <v>12635</v>
      </c>
      <c r="I6913" t="s">
        <v>4439</v>
      </c>
      <c r="J6913" t="s">
        <v>37095</v>
      </c>
      <c r="K6913" t="s">
        <v>42284</v>
      </c>
      <c r="M6913" t="s">
        <v>44919</v>
      </c>
      <c r="N6913" t="s">
        <v>46569</v>
      </c>
      <c r="O6913" t="s">
        <v>46570</v>
      </c>
      <c r="P6913">
        <v>0</v>
      </c>
      <c r="Q6913">
        <v>0</v>
      </c>
      <c r="R6913" t="s">
        <v>46573</v>
      </c>
      <c r="S6913" t="s">
        <v>46705</v>
      </c>
      <c r="T6913" t="s">
        <v>48254</v>
      </c>
      <c r="U6913" t="s">
        <v>54481</v>
      </c>
      <c r="W6913" t="s">
        <v>44919</v>
      </c>
      <c r="X6913" t="s">
        <v>46574</v>
      </c>
    </row>
    <row r="6914" spans="1:24">
      <c r="A6914">
        <f>HYPERLINK("https://www.philgeps.gov.ph/GEPSNONPILOT/Tender/SplashBidNoticeAbstractUI.aspx?menuIndex=3&amp;refID=7061452&amp;Result=3","7061452")</f>
        <v>0</v>
      </c>
      <c r="B6914" t="s">
        <v>2175</v>
      </c>
      <c r="C6914" t="s">
        <v>10092</v>
      </c>
      <c r="D6914" t="s">
        <v>18798</v>
      </c>
      <c r="E6914" t="s">
        <v>23801</v>
      </c>
      <c r="F6914" t="s">
        <v>32664</v>
      </c>
      <c r="G6914" t="s">
        <v>32671</v>
      </c>
      <c r="H6914" t="s">
        <v>32682</v>
      </c>
      <c r="I6914" t="s">
        <v>6223</v>
      </c>
      <c r="J6914" t="s">
        <v>37096</v>
      </c>
      <c r="K6914" t="s">
        <v>42297</v>
      </c>
      <c r="M6914" t="s">
        <v>44935</v>
      </c>
      <c r="N6914" t="s">
        <v>46569</v>
      </c>
      <c r="O6914" t="s">
        <v>46570</v>
      </c>
      <c r="P6914">
        <v>0</v>
      </c>
      <c r="Q6914">
        <v>5</v>
      </c>
      <c r="R6914" t="s">
        <v>46573</v>
      </c>
      <c r="S6914" t="s">
        <v>46705</v>
      </c>
      <c r="T6914" t="s">
        <v>48316</v>
      </c>
      <c r="U6914" t="s">
        <v>54467</v>
      </c>
      <c r="W6914" t="s">
        <v>44935</v>
      </c>
      <c r="X6914" t="s">
        <v>46574</v>
      </c>
    </row>
    <row r="6915" spans="1:24">
      <c r="A6915">
        <f>HYPERLINK("https://www.philgeps.gov.ph/GEPSNONPILOT/Tender/SplashBidNoticeAbstractUI.aspx?menuIndex=3&amp;refID=7061469&amp;Result=3","7061469")</f>
        <v>0</v>
      </c>
      <c r="B6915" t="s">
        <v>2178</v>
      </c>
      <c r="C6915" t="s">
        <v>10093</v>
      </c>
      <c r="D6915" t="s">
        <v>18805</v>
      </c>
      <c r="E6915" t="s">
        <v>25000</v>
      </c>
      <c r="F6915" t="s">
        <v>32664</v>
      </c>
      <c r="G6915" t="s">
        <v>32672</v>
      </c>
      <c r="H6915" t="s">
        <v>12635</v>
      </c>
      <c r="I6915" t="s">
        <v>5589</v>
      </c>
      <c r="J6915" t="s">
        <v>37097</v>
      </c>
      <c r="K6915" t="s">
        <v>42309</v>
      </c>
      <c r="M6915" t="s">
        <v>44938</v>
      </c>
      <c r="N6915" t="s">
        <v>46569</v>
      </c>
      <c r="O6915" t="s">
        <v>46570</v>
      </c>
      <c r="P6915">
        <v>0</v>
      </c>
      <c r="Q6915">
        <v>7</v>
      </c>
      <c r="R6915" t="s">
        <v>46573</v>
      </c>
      <c r="S6915" t="s">
        <v>46705</v>
      </c>
      <c r="T6915" t="s">
        <v>48302</v>
      </c>
      <c r="U6915" t="s">
        <v>54482</v>
      </c>
      <c r="W6915" t="s">
        <v>44938</v>
      </c>
      <c r="X6915" t="s">
        <v>46574</v>
      </c>
    </row>
    <row r="6916" spans="1:24">
      <c r="A6916">
        <f>HYPERLINK("https://www.philgeps.gov.ph/GEPSNONPILOT/Tender/SplashBidNoticeAbstractUI.aspx?menuIndex=3&amp;refID=7061456&amp;Result=3","7061456")</f>
        <v>0</v>
      </c>
      <c r="B6916" t="s">
        <v>2155</v>
      </c>
      <c r="C6916" t="s">
        <v>10094</v>
      </c>
      <c r="D6916" t="s">
        <v>18832</v>
      </c>
      <c r="E6916" t="s">
        <v>25001</v>
      </c>
      <c r="F6916" t="s">
        <v>32664</v>
      </c>
      <c r="G6916" t="s">
        <v>32672</v>
      </c>
      <c r="H6916" t="s">
        <v>12635</v>
      </c>
      <c r="I6916" t="s">
        <v>4439</v>
      </c>
      <c r="J6916" t="s">
        <v>37098</v>
      </c>
      <c r="K6916" t="s">
        <v>42289</v>
      </c>
      <c r="M6916" t="s">
        <v>44912</v>
      </c>
      <c r="N6916" t="s">
        <v>46569</v>
      </c>
      <c r="O6916" t="s">
        <v>46570</v>
      </c>
      <c r="P6916">
        <v>0</v>
      </c>
      <c r="Q6916">
        <v>1</v>
      </c>
      <c r="R6916" t="s">
        <v>46573</v>
      </c>
      <c r="S6916" t="s">
        <v>46705</v>
      </c>
      <c r="T6916" t="s">
        <v>48501</v>
      </c>
      <c r="U6916" t="s">
        <v>54483</v>
      </c>
      <c r="W6916" t="s">
        <v>44912</v>
      </c>
      <c r="X6916" t="s">
        <v>46574</v>
      </c>
    </row>
    <row r="6917" spans="1:24">
      <c r="A6917">
        <f>HYPERLINK("https://www.philgeps.gov.ph/GEPSNONPILOT/Tender/SplashBidNoticeAbstractUI.aspx?menuIndex=3&amp;refID=7061244&amp;Result=3","7061244")</f>
        <v>0</v>
      </c>
      <c r="B6917" t="s">
        <v>2055</v>
      </c>
      <c r="C6917" t="s">
        <v>10095</v>
      </c>
      <c r="D6917" t="s">
        <v>18785</v>
      </c>
      <c r="E6917" t="s">
        <v>25002</v>
      </c>
      <c r="F6917" t="s">
        <v>32664</v>
      </c>
      <c r="G6917" t="s">
        <v>32671</v>
      </c>
      <c r="H6917" t="s">
        <v>12635</v>
      </c>
      <c r="I6917" t="s">
        <v>32736</v>
      </c>
      <c r="J6917" t="s">
        <v>33987</v>
      </c>
      <c r="K6917" t="s">
        <v>42284</v>
      </c>
      <c r="M6917" t="s">
        <v>44804</v>
      </c>
      <c r="N6917" t="s">
        <v>46569</v>
      </c>
      <c r="O6917" t="s">
        <v>46570</v>
      </c>
      <c r="P6917">
        <v>0</v>
      </c>
      <c r="Q6917">
        <v>0</v>
      </c>
      <c r="R6917" t="s">
        <v>46573</v>
      </c>
      <c r="S6917" t="s">
        <v>46705</v>
      </c>
      <c r="T6917" t="s">
        <v>48307</v>
      </c>
      <c r="U6917" t="s">
        <v>54484</v>
      </c>
      <c r="W6917" t="s">
        <v>44804</v>
      </c>
      <c r="X6917" t="s">
        <v>46574</v>
      </c>
    </row>
    <row r="6918" spans="1:24">
      <c r="A6918">
        <f>HYPERLINK("https://www.philgeps.gov.ph/GEPSNONPILOT/Tender/SplashBidNoticeAbstractUI.aspx?menuIndex=3&amp;refID=7061386&amp;Result=3","7061386")</f>
        <v>0</v>
      </c>
      <c r="B6918" t="s">
        <v>1586</v>
      </c>
      <c r="C6918" t="s">
        <v>7829</v>
      </c>
      <c r="D6918" t="s">
        <v>18814</v>
      </c>
      <c r="E6918" t="s">
        <v>25003</v>
      </c>
      <c r="F6918" t="s">
        <v>32664</v>
      </c>
      <c r="G6918" t="s">
        <v>32671</v>
      </c>
      <c r="H6918" t="s">
        <v>12635</v>
      </c>
      <c r="I6918" t="s">
        <v>10361</v>
      </c>
      <c r="J6918" t="s">
        <v>37099</v>
      </c>
      <c r="K6918" t="s">
        <v>42283</v>
      </c>
      <c r="M6918" t="s">
        <v>44263</v>
      </c>
      <c r="N6918" t="s">
        <v>46569</v>
      </c>
      <c r="O6918" t="s">
        <v>46570</v>
      </c>
      <c r="P6918">
        <v>0</v>
      </c>
      <c r="Q6918">
        <v>1</v>
      </c>
      <c r="R6918" t="s">
        <v>46573</v>
      </c>
      <c r="S6918" t="s">
        <v>46705</v>
      </c>
      <c r="T6918" t="s">
        <v>48287</v>
      </c>
      <c r="U6918" t="s">
        <v>54485</v>
      </c>
      <c r="W6918" t="s">
        <v>44263</v>
      </c>
      <c r="X6918" t="s">
        <v>46574</v>
      </c>
    </row>
    <row r="6919" spans="1:24">
      <c r="A6919">
        <f>HYPERLINK("https://www.philgeps.gov.ph/GEPSNONPILOT/Tender/SplashBidNoticeAbstractUI.aspx?menuIndex=3&amp;refID=7061579&amp;Result=3","7061579")</f>
        <v>0</v>
      </c>
      <c r="B6919" t="s">
        <v>2179</v>
      </c>
      <c r="C6919" t="s">
        <v>10096</v>
      </c>
      <c r="D6919" t="s">
        <v>18823</v>
      </c>
      <c r="E6919" t="s">
        <v>25004</v>
      </c>
      <c r="F6919" t="s">
        <v>32664</v>
      </c>
      <c r="G6919" t="s">
        <v>32672</v>
      </c>
      <c r="H6919" t="s">
        <v>32683</v>
      </c>
      <c r="I6919" t="s">
        <v>10627</v>
      </c>
      <c r="J6919" t="s">
        <v>37100</v>
      </c>
      <c r="K6919" t="s">
        <v>42387</v>
      </c>
      <c r="M6919" t="s">
        <v>44939</v>
      </c>
      <c r="N6919" t="s">
        <v>46569</v>
      </c>
      <c r="O6919" t="s">
        <v>46570</v>
      </c>
      <c r="P6919">
        <v>0</v>
      </c>
      <c r="Q6919">
        <v>1</v>
      </c>
      <c r="R6919" t="s">
        <v>46573</v>
      </c>
      <c r="S6919" t="s">
        <v>46705</v>
      </c>
      <c r="T6919" t="s">
        <v>48220</v>
      </c>
      <c r="U6919" t="s">
        <v>54486</v>
      </c>
      <c r="W6919" t="s">
        <v>44939</v>
      </c>
      <c r="X6919" t="s">
        <v>46574</v>
      </c>
    </row>
    <row r="6920" spans="1:24">
      <c r="A6920">
        <f>HYPERLINK("https://www.philgeps.gov.ph/GEPSNONPILOT/Tender/SplashBidNoticeAbstractUI.aspx?menuIndex=3&amp;refID=7061572&amp;Result=3","7061572")</f>
        <v>0</v>
      </c>
      <c r="B6920" t="s">
        <v>1355</v>
      </c>
      <c r="C6920" t="s">
        <v>10097</v>
      </c>
      <c r="D6920" t="s">
        <v>18831</v>
      </c>
      <c r="E6920" t="s">
        <v>19380</v>
      </c>
      <c r="F6920" t="s">
        <v>32664</v>
      </c>
      <c r="G6920" t="s">
        <v>32671</v>
      </c>
      <c r="H6920" t="s">
        <v>12635</v>
      </c>
      <c r="I6920" t="s">
        <v>32750</v>
      </c>
      <c r="J6920" t="s">
        <v>37101</v>
      </c>
      <c r="K6920" t="s">
        <v>42283</v>
      </c>
      <c r="M6920" t="s">
        <v>44007</v>
      </c>
      <c r="N6920" t="s">
        <v>46569</v>
      </c>
      <c r="O6920" t="s">
        <v>46570</v>
      </c>
      <c r="P6920">
        <v>0</v>
      </c>
      <c r="Q6920">
        <v>1</v>
      </c>
      <c r="R6920" t="s">
        <v>46573</v>
      </c>
      <c r="S6920" t="s">
        <v>46705</v>
      </c>
      <c r="T6920" t="s">
        <v>48316</v>
      </c>
      <c r="U6920" t="s">
        <v>54487</v>
      </c>
      <c r="W6920" t="s">
        <v>44007</v>
      </c>
      <c r="X6920" t="s">
        <v>46574</v>
      </c>
    </row>
    <row r="6921" spans="1:24">
      <c r="A6921">
        <f>HYPERLINK("https://www.philgeps.gov.ph/GEPSNONPILOT/Tender/SplashBidNoticeAbstractUI.aspx?menuIndex=3&amp;refID=7061571&amp;Result=3","7061571")</f>
        <v>0</v>
      </c>
      <c r="B6921" t="s">
        <v>925</v>
      </c>
      <c r="C6921" t="s">
        <v>10098</v>
      </c>
      <c r="D6921" t="s">
        <v>18836</v>
      </c>
      <c r="E6921" t="s">
        <v>25005</v>
      </c>
      <c r="F6921" t="s">
        <v>32664</v>
      </c>
      <c r="G6921" t="s">
        <v>32672</v>
      </c>
      <c r="H6921" t="s">
        <v>32683</v>
      </c>
      <c r="I6921" t="s">
        <v>10627</v>
      </c>
      <c r="J6921" t="s">
        <v>32963</v>
      </c>
      <c r="K6921" t="s">
        <v>42290</v>
      </c>
      <c r="M6921" t="s">
        <v>43531</v>
      </c>
      <c r="N6921" t="s">
        <v>46569</v>
      </c>
      <c r="O6921" t="s">
        <v>46570</v>
      </c>
      <c r="P6921">
        <v>0</v>
      </c>
      <c r="Q6921">
        <v>2</v>
      </c>
      <c r="R6921" t="s">
        <v>46573</v>
      </c>
      <c r="S6921" t="s">
        <v>46705</v>
      </c>
      <c r="T6921" t="s">
        <v>48211</v>
      </c>
      <c r="U6921" t="s">
        <v>54488</v>
      </c>
      <c r="W6921" t="s">
        <v>43531</v>
      </c>
      <c r="X6921" t="s">
        <v>46574</v>
      </c>
    </row>
    <row r="6922" spans="1:24">
      <c r="A6922">
        <f>HYPERLINK("https://www.philgeps.gov.ph/GEPSNONPILOT/Tender/SplashBidNoticeAbstractUI.aspx?menuIndex=3&amp;refID=7061250&amp;Result=3","7061250")</f>
        <v>0</v>
      </c>
      <c r="B6922" t="s">
        <v>1704</v>
      </c>
      <c r="C6922" t="s">
        <v>10099</v>
      </c>
      <c r="E6922" t="s">
        <v>25006</v>
      </c>
      <c r="F6922" t="s">
        <v>32664</v>
      </c>
      <c r="G6922" t="s">
        <v>32674</v>
      </c>
      <c r="H6922" t="s">
        <v>12635</v>
      </c>
      <c r="I6922" t="s">
        <v>32727</v>
      </c>
      <c r="J6922" t="s">
        <v>37102</v>
      </c>
      <c r="K6922" t="s">
        <v>42283</v>
      </c>
      <c r="M6922" t="s">
        <v>44398</v>
      </c>
      <c r="N6922" t="s">
        <v>46569</v>
      </c>
      <c r="O6922" t="s">
        <v>46570</v>
      </c>
      <c r="P6922">
        <v>0</v>
      </c>
      <c r="Q6922">
        <v>4</v>
      </c>
      <c r="R6922" t="s">
        <v>46573</v>
      </c>
      <c r="S6922" t="s">
        <v>46705</v>
      </c>
      <c r="T6922" t="s">
        <v>48307</v>
      </c>
      <c r="U6922" t="s">
        <v>52864</v>
      </c>
      <c r="W6922" t="s">
        <v>44398</v>
      </c>
      <c r="X6922" t="s">
        <v>46574</v>
      </c>
    </row>
    <row r="6923" spans="1:24">
      <c r="A6923">
        <f>HYPERLINK("https://www.philgeps.gov.ph/GEPSNONPILOT/Tender/SplashBidNoticeAbstractUI.aspx?menuIndex=3&amp;refID=7061568&amp;Result=3","7061568")</f>
        <v>0</v>
      </c>
      <c r="B6923" t="s">
        <v>541</v>
      </c>
      <c r="C6923" t="s">
        <v>10100</v>
      </c>
      <c r="D6923" t="s">
        <v>18805</v>
      </c>
      <c r="E6923" t="s">
        <v>25007</v>
      </c>
      <c r="F6923" t="s">
        <v>32664</v>
      </c>
      <c r="G6923" t="s">
        <v>32674</v>
      </c>
      <c r="H6923" t="s">
        <v>12635</v>
      </c>
      <c r="I6923" t="s">
        <v>7759</v>
      </c>
      <c r="J6923" t="s">
        <v>37103</v>
      </c>
      <c r="K6923" t="s">
        <v>42281</v>
      </c>
      <c r="M6923" t="s">
        <v>43120</v>
      </c>
      <c r="N6923" t="s">
        <v>46569</v>
      </c>
      <c r="O6923" t="s">
        <v>46570</v>
      </c>
      <c r="P6923">
        <v>0</v>
      </c>
      <c r="Q6923">
        <v>1</v>
      </c>
      <c r="R6923" t="s">
        <v>46573</v>
      </c>
      <c r="S6923" t="s">
        <v>46705</v>
      </c>
      <c r="T6923" t="s">
        <v>48280</v>
      </c>
      <c r="U6923" t="s">
        <v>54489</v>
      </c>
      <c r="W6923" t="s">
        <v>43120</v>
      </c>
      <c r="X6923" t="s">
        <v>46574</v>
      </c>
    </row>
    <row r="6924" spans="1:24">
      <c r="A6924">
        <f>HYPERLINK("https://www.philgeps.gov.ph/GEPSNONPILOT/Tender/SplashBidNoticeAbstractUI.aspx?menuIndex=3&amp;refID=7061566&amp;Result=3","7061566")</f>
        <v>0</v>
      </c>
      <c r="B6924" t="s">
        <v>2180</v>
      </c>
      <c r="C6924" t="s">
        <v>10101</v>
      </c>
      <c r="D6924" t="s">
        <v>18788</v>
      </c>
      <c r="E6924" t="s">
        <v>25008</v>
      </c>
      <c r="F6924" t="s">
        <v>32664</v>
      </c>
      <c r="G6924" t="s">
        <v>32672</v>
      </c>
      <c r="H6924" t="s">
        <v>32683</v>
      </c>
      <c r="I6924" t="s">
        <v>10627</v>
      </c>
      <c r="J6924" t="s">
        <v>37104</v>
      </c>
      <c r="K6924" t="s">
        <v>42308</v>
      </c>
      <c r="M6924" t="s">
        <v>44940</v>
      </c>
      <c r="N6924" t="s">
        <v>46569</v>
      </c>
      <c r="O6924" t="s">
        <v>46570</v>
      </c>
      <c r="P6924">
        <v>0</v>
      </c>
      <c r="Q6924">
        <v>1</v>
      </c>
      <c r="R6924" t="s">
        <v>46573</v>
      </c>
      <c r="S6924" t="s">
        <v>46705</v>
      </c>
      <c r="T6924" t="s">
        <v>48212</v>
      </c>
      <c r="U6924" t="s">
        <v>54490</v>
      </c>
      <c r="W6924" t="s">
        <v>44940</v>
      </c>
      <c r="X6924" t="s">
        <v>46574</v>
      </c>
    </row>
    <row r="6925" spans="1:24">
      <c r="A6925">
        <f>HYPERLINK("https://www.philgeps.gov.ph/GEPSNONPILOT/Tender/SplashBidNoticeAbstractUI.aspx?menuIndex=3&amp;refID=7061575&amp;Result=3","7061575")</f>
        <v>0</v>
      </c>
      <c r="B6925" t="s">
        <v>1055</v>
      </c>
      <c r="C6925" t="s">
        <v>10102</v>
      </c>
      <c r="D6925" t="s">
        <v>18784</v>
      </c>
      <c r="E6925" t="s">
        <v>25009</v>
      </c>
      <c r="F6925" t="s">
        <v>32664</v>
      </c>
      <c r="G6925" t="s">
        <v>32672</v>
      </c>
      <c r="H6925" t="s">
        <v>12635</v>
      </c>
      <c r="I6925" t="s">
        <v>5501</v>
      </c>
      <c r="J6925" t="s">
        <v>37105</v>
      </c>
      <c r="K6925" t="s">
        <v>42284</v>
      </c>
      <c r="M6925" t="s">
        <v>44732</v>
      </c>
      <c r="N6925" t="s">
        <v>46569</v>
      </c>
      <c r="O6925" t="s">
        <v>46570</v>
      </c>
      <c r="P6925">
        <v>0</v>
      </c>
      <c r="Q6925">
        <v>13</v>
      </c>
      <c r="R6925" t="s">
        <v>46573</v>
      </c>
      <c r="S6925" t="s">
        <v>46705</v>
      </c>
      <c r="T6925" t="s">
        <v>48404</v>
      </c>
      <c r="U6925" t="s">
        <v>54491</v>
      </c>
      <c r="W6925" t="s">
        <v>44732</v>
      </c>
      <c r="X6925" t="s">
        <v>46574</v>
      </c>
    </row>
    <row r="6926" spans="1:24">
      <c r="A6926">
        <f>HYPERLINK("https://www.philgeps.gov.ph/GEPSNONPILOT/Tender/SplashBidNoticeAbstractUI.aspx?menuIndex=3&amp;refID=7061573&amp;Result=3","7061573")</f>
        <v>0</v>
      </c>
      <c r="B6926" t="s">
        <v>2146</v>
      </c>
      <c r="C6926" t="s">
        <v>10103</v>
      </c>
      <c r="D6926" t="s">
        <v>18784</v>
      </c>
      <c r="E6926" t="s">
        <v>25010</v>
      </c>
      <c r="F6926" t="s">
        <v>32664</v>
      </c>
      <c r="G6926" t="s">
        <v>32674</v>
      </c>
      <c r="H6926" t="s">
        <v>12635</v>
      </c>
      <c r="I6926" t="s">
        <v>6628</v>
      </c>
      <c r="J6926" t="s">
        <v>33391</v>
      </c>
      <c r="K6926" t="s">
        <v>42309</v>
      </c>
      <c r="L6926" t="s">
        <v>2146</v>
      </c>
      <c r="M6926" t="s">
        <v>44902</v>
      </c>
      <c r="N6926" t="s">
        <v>46569</v>
      </c>
      <c r="O6926" t="s">
        <v>46570</v>
      </c>
      <c r="P6926">
        <v>0</v>
      </c>
      <c r="Q6926">
        <v>11</v>
      </c>
      <c r="R6926" t="s">
        <v>46573</v>
      </c>
      <c r="S6926" t="s">
        <v>46705</v>
      </c>
      <c r="T6926" t="s">
        <v>48298</v>
      </c>
      <c r="U6926" t="s">
        <v>54492</v>
      </c>
      <c r="W6926" t="s">
        <v>44902</v>
      </c>
      <c r="X6926" t="s">
        <v>46574</v>
      </c>
    </row>
    <row r="6927" spans="1:24">
      <c r="A6927">
        <f>HYPERLINK("https://www.philgeps.gov.ph/GEPSNONPILOT/Tender/SplashBidNoticeAbstractUI.aspx?menuIndex=3&amp;refID=7061453&amp;Result=3","7061453")</f>
        <v>0</v>
      </c>
      <c r="B6927" t="s">
        <v>2170</v>
      </c>
      <c r="C6927" t="s">
        <v>10104</v>
      </c>
      <c r="D6927" t="s">
        <v>18806</v>
      </c>
      <c r="E6927" t="s">
        <v>25011</v>
      </c>
      <c r="F6927" t="s">
        <v>32664</v>
      </c>
      <c r="G6927" t="s">
        <v>32677</v>
      </c>
      <c r="H6927" t="s">
        <v>12635</v>
      </c>
      <c r="I6927" t="s">
        <v>4439</v>
      </c>
      <c r="J6927" t="s">
        <v>37106</v>
      </c>
      <c r="K6927" t="s">
        <v>42289</v>
      </c>
      <c r="M6927" t="s">
        <v>44930</v>
      </c>
      <c r="N6927" t="s">
        <v>46569</v>
      </c>
      <c r="O6927" t="s">
        <v>46570</v>
      </c>
      <c r="P6927">
        <v>0</v>
      </c>
      <c r="Q6927">
        <v>0</v>
      </c>
      <c r="R6927" t="s">
        <v>46573</v>
      </c>
      <c r="S6927" t="s">
        <v>46705</v>
      </c>
      <c r="T6927" t="s">
        <v>48287</v>
      </c>
      <c r="U6927" t="s">
        <v>54493</v>
      </c>
      <c r="V6927" t="s">
        <v>62311</v>
      </c>
      <c r="W6927" t="s">
        <v>44930</v>
      </c>
      <c r="X6927" t="s">
        <v>46574</v>
      </c>
    </row>
    <row r="6928" spans="1:24">
      <c r="A6928">
        <f>HYPERLINK("https://www.philgeps.gov.ph/GEPSNONPILOT/Tender/SplashBidNoticeAbstractUI.aspx?menuIndex=3&amp;refID=7061563&amp;Result=3","7061563")</f>
        <v>0</v>
      </c>
      <c r="B6928" t="s">
        <v>2179</v>
      </c>
      <c r="C6928" t="s">
        <v>10105</v>
      </c>
      <c r="D6928" t="s">
        <v>18823</v>
      </c>
      <c r="E6928" t="s">
        <v>25012</v>
      </c>
      <c r="F6928" t="s">
        <v>32664</v>
      </c>
      <c r="G6928" t="s">
        <v>32672</v>
      </c>
      <c r="H6928" t="s">
        <v>32683</v>
      </c>
      <c r="I6928" t="s">
        <v>10627</v>
      </c>
      <c r="J6928" t="s">
        <v>37107</v>
      </c>
      <c r="K6928" t="s">
        <v>42290</v>
      </c>
      <c r="M6928" t="s">
        <v>44939</v>
      </c>
      <c r="N6928" t="s">
        <v>46569</v>
      </c>
      <c r="O6928" t="s">
        <v>46570</v>
      </c>
      <c r="P6928">
        <v>0</v>
      </c>
      <c r="Q6928">
        <v>2</v>
      </c>
      <c r="R6928" t="s">
        <v>46573</v>
      </c>
      <c r="S6928" t="s">
        <v>46705</v>
      </c>
      <c r="T6928" t="s">
        <v>48220</v>
      </c>
      <c r="U6928" t="s">
        <v>54486</v>
      </c>
      <c r="W6928" t="s">
        <v>44939</v>
      </c>
      <c r="X6928" t="s">
        <v>46574</v>
      </c>
    </row>
    <row r="6929" spans="1:24">
      <c r="A6929">
        <f>HYPERLINK("https://www.philgeps.gov.ph/GEPSNONPILOT/Tender/SplashBidNoticeAbstractUI.aspx?menuIndex=3&amp;refID=7061249&amp;Result=3","7061249")</f>
        <v>0</v>
      </c>
      <c r="B6929" t="s">
        <v>2121</v>
      </c>
      <c r="C6929" t="s">
        <v>10106</v>
      </c>
      <c r="D6929" t="s">
        <v>18844</v>
      </c>
      <c r="E6929" t="s">
        <v>25013</v>
      </c>
      <c r="F6929" t="s">
        <v>32664</v>
      </c>
      <c r="G6929" t="s">
        <v>32672</v>
      </c>
      <c r="H6929" t="s">
        <v>12635</v>
      </c>
      <c r="I6929" t="s">
        <v>6168</v>
      </c>
      <c r="J6929" t="s">
        <v>37108</v>
      </c>
      <c r="K6929" t="s">
        <v>42281</v>
      </c>
      <c r="L6929" t="s">
        <v>2121</v>
      </c>
      <c r="M6929" t="s">
        <v>44876</v>
      </c>
      <c r="N6929" t="s">
        <v>46569</v>
      </c>
      <c r="O6929" t="s">
        <v>46570</v>
      </c>
      <c r="P6929">
        <v>0</v>
      </c>
      <c r="Q6929">
        <v>2</v>
      </c>
      <c r="R6929" t="s">
        <v>46573</v>
      </c>
      <c r="S6929" t="s">
        <v>46705</v>
      </c>
      <c r="T6929" t="s">
        <v>48261</v>
      </c>
      <c r="U6929" t="s">
        <v>54494</v>
      </c>
      <c r="W6929" t="s">
        <v>44876</v>
      </c>
      <c r="X6929" t="s">
        <v>46574</v>
      </c>
    </row>
    <row r="6930" spans="1:24">
      <c r="A6930">
        <f>HYPERLINK("https://www.philgeps.gov.ph/GEPSNONPILOT/Tender/SplashBidNoticeAbstractUI.aspx?menuIndex=3&amp;refID=7061561&amp;Result=3","7061561")</f>
        <v>0</v>
      </c>
      <c r="B6930" t="s">
        <v>841</v>
      </c>
      <c r="C6930" t="s">
        <v>10107</v>
      </c>
      <c r="D6930" t="s">
        <v>18784</v>
      </c>
      <c r="E6930" t="s">
        <v>25014</v>
      </c>
      <c r="F6930" t="s">
        <v>32664</v>
      </c>
      <c r="G6930" t="s">
        <v>32671</v>
      </c>
      <c r="H6930" t="s">
        <v>12635</v>
      </c>
      <c r="I6930" t="s">
        <v>5460</v>
      </c>
      <c r="J6930" t="s">
        <v>37109</v>
      </c>
      <c r="K6930" t="s">
        <v>42283</v>
      </c>
      <c r="M6930" t="s">
        <v>43436</v>
      </c>
      <c r="N6930" t="s">
        <v>46569</v>
      </c>
      <c r="O6930" t="s">
        <v>46570</v>
      </c>
      <c r="P6930">
        <v>0</v>
      </c>
      <c r="Q6930">
        <v>3</v>
      </c>
      <c r="R6930" t="s">
        <v>46573</v>
      </c>
      <c r="S6930" t="s">
        <v>46705</v>
      </c>
      <c r="T6930" t="s">
        <v>48249</v>
      </c>
      <c r="U6930" t="s">
        <v>54495</v>
      </c>
      <c r="W6930" t="s">
        <v>43436</v>
      </c>
      <c r="X6930" t="s">
        <v>46574</v>
      </c>
    </row>
    <row r="6931" spans="1:24">
      <c r="A6931">
        <f>HYPERLINK("https://www.philgeps.gov.ph/GEPSNONPILOT/Tender/SplashBidNoticeAbstractUI.aspx?menuIndex=3&amp;refID=7061558&amp;Result=3","7061558")</f>
        <v>0</v>
      </c>
      <c r="B6931" t="s">
        <v>1690</v>
      </c>
      <c r="C6931" t="s">
        <v>10108</v>
      </c>
      <c r="D6931" t="s">
        <v>18832</v>
      </c>
      <c r="E6931" t="s">
        <v>25015</v>
      </c>
      <c r="F6931" t="s">
        <v>32664</v>
      </c>
      <c r="G6931" t="s">
        <v>32672</v>
      </c>
      <c r="H6931" t="s">
        <v>32683</v>
      </c>
      <c r="I6931" t="s">
        <v>10627</v>
      </c>
      <c r="J6931" t="s">
        <v>37110</v>
      </c>
      <c r="K6931" t="s">
        <v>42374</v>
      </c>
      <c r="L6931" t="s">
        <v>1690</v>
      </c>
      <c r="M6931" t="s">
        <v>44380</v>
      </c>
      <c r="N6931" t="s">
        <v>46569</v>
      </c>
      <c r="O6931" t="s">
        <v>46570</v>
      </c>
      <c r="P6931">
        <v>0</v>
      </c>
      <c r="Q6931">
        <v>0</v>
      </c>
      <c r="R6931" t="s">
        <v>46573</v>
      </c>
      <c r="S6931" t="s">
        <v>46705</v>
      </c>
      <c r="T6931" t="s">
        <v>48220</v>
      </c>
      <c r="U6931" t="s">
        <v>54496</v>
      </c>
      <c r="W6931" t="s">
        <v>44380</v>
      </c>
      <c r="X6931" t="s">
        <v>46574</v>
      </c>
    </row>
    <row r="6932" spans="1:24">
      <c r="A6932">
        <f>HYPERLINK("https://www.philgeps.gov.ph/GEPSNONPILOT/Tender/SplashBidNoticeAbstractUI.aspx?menuIndex=3&amp;refID=7061607&amp;Result=3","7061607")</f>
        <v>0</v>
      </c>
      <c r="B6932" t="s">
        <v>2181</v>
      </c>
      <c r="C6932" t="s">
        <v>10109</v>
      </c>
      <c r="D6932" t="s">
        <v>18781</v>
      </c>
      <c r="E6932" t="s">
        <v>25016</v>
      </c>
      <c r="F6932" t="s">
        <v>32664</v>
      </c>
      <c r="G6932" t="s">
        <v>32672</v>
      </c>
      <c r="H6932" t="s">
        <v>32683</v>
      </c>
      <c r="I6932" t="s">
        <v>10627</v>
      </c>
      <c r="J6932" t="s">
        <v>34635</v>
      </c>
      <c r="K6932" t="s">
        <v>42451</v>
      </c>
      <c r="M6932" t="s">
        <v>44941</v>
      </c>
      <c r="N6932" t="s">
        <v>46569</v>
      </c>
      <c r="O6932" t="s">
        <v>46570</v>
      </c>
      <c r="P6932">
        <v>0</v>
      </c>
      <c r="Q6932">
        <v>4</v>
      </c>
      <c r="R6932" t="s">
        <v>46573</v>
      </c>
      <c r="S6932" t="s">
        <v>46705</v>
      </c>
      <c r="T6932" t="s">
        <v>48216</v>
      </c>
      <c r="U6932" t="s">
        <v>54497</v>
      </c>
      <c r="W6932" t="s">
        <v>44941</v>
      </c>
      <c r="X6932" t="s">
        <v>46574</v>
      </c>
    </row>
    <row r="6933" spans="1:24">
      <c r="A6933">
        <f>HYPERLINK("https://www.philgeps.gov.ph/GEPSNONPILOT/Tender/SplashBidNoticeAbstractUI.aspx?menuIndex=3&amp;refID=7061564&amp;Result=3","7061564")</f>
        <v>0</v>
      </c>
      <c r="B6933" t="s">
        <v>2182</v>
      </c>
      <c r="C6933" t="s">
        <v>10110</v>
      </c>
      <c r="D6933" t="s">
        <v>18842</v>
      </c>
      <c r="E6933" t="s">
        <v>25017</v>
      </c>
      <c r="F6933" t="s">
        <v>32664</v>
      </c>
      <c r="G6933" t="s">
        <v>32672</v>
      </c>
      <c r="H6933" t="s">
        <v>12635</v>
      </c>
      <c r="I6933" t="s">
        <v>32743</v>
      </c>
      <c r="J6933" t="s">
        <v>33051</v>
      </c>
      <c r="K6933" t="s">
        <v>42284</v>
      </c>
      <c r="M6933" t="s">
        <v>44942</v>
      </c>
      <c r="N6933" t="s">
        <v>46569</v>
      </c>
      <c r="O6933" t="s">
        <v>46570</v>
      </c>
      <c r="P6933">
        <v>0</v>
      </c>
      <c r="Q6933">
        <v>5</v>
      </c>
      <c r="R6933" t="s">
        <v>46573</v>
      </c>
      <c r="S6933" t="s">
        <v>46705</v>
      </c>
      <c r="T6933" t="s">
        <v>48305</v>
      </c>
      <c r="U6933" t="s">
        <v>54498</v>
      </c>
      <c r="W6933" t="s">
        <v>44942</v>
      </c>
      <c r="X6933" t="s">
        <v>46574</v>
      </c>
    </row>
    <row r="6934" spans="1:24">
      <c r="A6934">
        <f>HYPERLINK("https://www.philgeps.gov.ph/GEPSNONPILOT/Tender/SplashBidNoticeAbstractUI.aspx?menuIndex=3&amp;refID=7061606&amp;Result=3","7061606")</f>
        <v>0</v>
      </c>
      <c r="B6934" t="s">
        <v>995</v>
      </c>
      <c r="C6934" t="s">
        <v>10111</v>
      </c>
      <c r="D6934" t="s">
        <v>18798</v>
      </c>
      <c r="E6934" t="s">
        <v>25018</v>
      </c>
      <c r="F6934" t="s">
        <v>32664</v>
      </c>
      <c r="G6934" t="s">
        <v>32671</v>
      </c>
      <c r="H6934" t="s">
        <v>12635</v>
      </c>
      <c r="I6934" t="s">
        <v>10361</v>
      </c>
      <c r="J6934" t="s">
        <v>33706</v>
      </c>
      <c r="K6934" t="s">
        <v>42283</v>
      </c>
      <c r="M6934" t="s">
        <v>43607</v>
      </c>
      <c r="N6934" t="s">
        <v>46569</v>
      </c>
      <c r="O6934" t="s">
        <v>46570</v>
      </c>
      <c r="P6934">
        <v>0</v>
      </c>
      <c r="Q6934">
        <v>1</v>
      </c>
      <c r="R6934" t="s">
        <v>46573</v>
      </c>
      <c r="S6934" t="s">
        <v>46705</v>
      </c>
      <c r="T6934" t="s">
        <v>48307</v>
      </c>
      <c r="U6934" t="s">
        <v>54499</v>
      </c>
      <c r="V6934" t="s">
        <v>62312</v>
      </c>
      <c r="W6934" t="s">
        <v>43607</v>
      </c>
      <c r="X6934" t="s">
        <v>46574</v>
      </c>
    </row>
    <row r="6935" spans="1:24">
      <c r="A6935">
        <f>HYPERLINK("https://www.philgeps.gov.ph/GEPSNONPILOT/Tender/SplashBidNoticeAbstractUI.aspx?menuIndex=3&amp;refID=7061604&amp;Result=3","7061604")</f>
        <v>0</v>
      </c>
      <c r="B6935" t="s">
        <v>2183</v>
      </c>
      <c r="C6935" t="s">
        <v>10112</v>
      </c>
      <c r="D6935" t="s">
        <v>18862</v>
      </c>
      <c r="E6935" t="s">
        <v>25019</v>
      </c>
      <c r="F6935" t="s">
        <v>32664</v>
      </c>
      <c r="G6935" t="s">
        <v>32674</v>
      </c>
      <c r="H6935" t="s">
        <v>12635</v>
      </c>
      <c r="I6935" t="s">
        <v>9486</v>
      </c>
      <c r="J6935" t="s">
        <v>37111</v>
      </c>
      <c r="K6935" t="s">
        <v>42309</v>
      </c>
      <c r="M6935" t="s">
        <v>44943</v>
      </c>
      <c r="N6935" t="s">
        <v>46569</v>
      </c>
      <c r="O6935" t="s">
        <v>46570</v>
      </c>
      <c r="P6935">
        <v>0</v>
      </c>
      <c r="Q6935">
        <v>3</v>
      </c>
      <c r="R6935" t="s">
        <v>46573</v>
      </c>
      <c r="S6935" t="s">
        <v>46705</v>
      </c>
      <c r="T6935" t="s">
        <v>48287</v>
      </c>
      <c r="U6935" t="s">
        <v>54500</v>
      </c>
      <c r="W6935" t="s">
        <v>44943</v>
      </c>
      <c r="X6935" t="s">
        <v>46574</v>
      </c>
    </row>
    <row r="6936" spans="1:24">
      <c r="A6936">
        <f>HYPERLINK("https://www.philgeps.gov.ph/GEPSNONPILOT/Tender/SplashBidNoticeAbstractUI.aspx?menuIndex=3&amp;refID=7061603&amp;Result=3","7061603")</f>
        <v>0</v>
      </c>
      <c r="B6936" t="s">
        <v>134</v>
      </c>
      <c r="C6936" t="s">
        <v>10113</v>
      </c>
      <c r="D6936" t="s">
        <v>18784</v>
      </c>
      <c r="E6936" t="s">
        <v>25020</v>
      </c>
      <c r="F6936" t="s">
        <v>32664</v>
      </c>
      <c r="G6936" t="s">
        <v>32671</v>
      </c>
      <c r="H6936" t="s">
        <v>12635</v>
      </c>
      <c r="I6936" t="s">
        <v>6628</v>
      </c>
      <c r="J6936" t="s">
        <v>37112</v>
      </c>
      <c r="K6936" t="s">
        <v>42284</v>
      </c>
      <c r="M6936" t="s">
        <v>44256</v>
      </c>
      <c r="N6936" t="s">
        <v>46569</v>
      </c>
      <c r="O6936" t="s">
        <v>46570</v>
      </c>
      <c r="P6936">
        <v>0</v>
      </c>
      <c r="Q6936">
        <v>0</v>
      </c>
      <c r="R6936" t="s">
        <v>46573</v>
      </c>
      <c r="S6936" t="s">
        <v>46705</v>
      </c>
      <c r="T6936" t="s">
        <v>48316</v>
      </c>
      <c r="U6936" t="s">
        <v>54501</v>
      </c>
      <c r="W6936" t="s">
        <v>44256</v>
      </c>
      <c r="X6936" t="s">
        <v>46574</v>
      </c>
    </row>
    <row r="6937" spans="1:24">
      <c r="A6937">
        <f>HYPERLINK("https://www.philgeps.gov.ph/GEPSNONPILOT/Tender/SplashBidNoticeAbstractUI.aspx?menuIndex=3&amp;refID=7061602&amp;Result=3","7061602")</f>
        <v>0</v>
      </c>
      <c r="B6937" t="s">
        <v>2181</v>
      </c>
      <c r="C6937" t="s">
        <v>10114</v>
      </c>
      <c r="D6937" t="s">
        <v>18781</v>
      </c>
      <c r="E6937" t="s">
        <v>25021</v>
      </c>
      <c r="F6937" t="s">
        <v>32664</v>
      </c>
      <c r="G6937" t="s">
        <v>32672</v>
      </c>
      <c r="H6937" t="s">
        <v>32683</v>
      </c>
      <c r="I6937" t="s">
        <v>10627</v>
      </c>
      <c r="J6937" t="s">
        <v>33886</v>
      </c>
      <c r="K6937" t="s">
        <v>42451</v>
      </c>
      <c r="M6937" t="s">
        <v>44941</v>
      </c>
      <c r="N6937" t="s">
        <v>46569</v>
      </c>
      <c r="O6937" t="s">
        <v>46570</v>
      </c>
      <c r="P6937">
        <v>0</v>
      </c>
      <c r="Q6937">
        <v>4</v>
      </c>
      <c r="R6937" t="s">
        <v>46573</v>
      </c>
      <c r="S6937" t="s">
        <v>46705</v>
      </c>
      <c r="T6937" t="s">
        <v>48216</v>
      </c>
      <c r="U6937" t="s">
        <v>54502</v>
      </c>
      <c r="W6937" t="s">
        <v>44941</v>
      </c>
      <c r="X6937" t="s">
        <v>46574</v>
      </c>
    </row>
    <row r="6938" spans="1:24">
      <c r="A6938">
        <f>HYPERLINK("https://www.philgeps.gov.ph/GEPSNONPILOT/Tender/SplashBidNoticeAbstractUI.aspx?menuIndex=3&amp;refID=7061567&amp;Result=3","7061567")</f>
        <v>0</v>
      </c>
      <c r="B6938" t="s">
        <v>2184</v>
      </c>
      <c r="C6938" t="s">
        <v>10115</v>
      </c>
      <c r="D6938" t="s">
        <v>18802</v>
      </c>
      <c r="E6938" t="s">
        <v>25022</v>
      </c>
      <c r="F6938" t="s">
        <v>32664</v>
      </c>
      <c r="G6938" t="s">
        <v>32674</v>
      </c>
      <c r="H6938" t="s">
        <v>12635</v>
      </c>
      <c r="I6938" t="s">
        <v>7759</v>
      </c>
      <c r="J6938" t="s">
        <v>33051</v>
      </c>
      <c r="K6938" t="s">
        <v>42284</v>
      </c>
      <c r="M6938" t="s">
        <v>44944</v>
      </c>
      <c r="N6938" t="s">
        <v>46569</v>
      </c>
      <c r="O6938" t="s">
        <v>46570</v>
      </c>
      <c r="P6938">
        <v>0</v>
      </c>
      <c r="Q6938">
        <v>1</v>
      </c>
      <c r="R6938" t="s">
        <v>46573</v>
      </c>
      <c r="S6938" t="s">
        <v>46705</v>
      </c>
      <c r="T6938" t="s">
        <v>48287</v>
      </c>
      <c r="U6938" t="s">
        <v>54503</v>
      </c>
      <c r="V6938" t="s">
        <v>62313</v>
      </c>
      <c r="W6938" t="s">
        <v>44944</v>
      </c>
      <c r="X6938" t="s">
        <v>46574</v>
      </c>
    </row>
    <row r="6939" spans="1:24">
      <c r="A6939">
        <f>HYPERLINK("https://www.philgeps.gov.ph/GEPSNONPILOT/Tender/SplashBidNoticeAbstractUI.aspx?menuIndex=3&amp;refID=7061576&amp;Result=3","7061576")</f>
        <v>0</v>
      </c>
      <c r="B6939" t="s">
        <v>541</v>
      </c>
      <c r="C6939" t="s">
        <v>10116</v>
      </c>
      <c r="D6939" t="s">
        <v>18805</v>
      </c>
      <c r="E6939" t="s">
        <v>25023</v>
      </c>
      <c r="F6939" t="s">
        <v>32664</v>
      </c>
      <c r="G6939" t="s">
        <v>32671</v>
      </c>
      <c r="H6939" t="s">
        <v>12635</v>
      </c>
      <c r="I6939" t="s">
        <v>6168</v>
      </c>
      <c r="J6939" t="s">
        <v>33267</v>
      </c>
      <c r="K6939" t="s">
        <v>42281</v>
      </c>
      <c r="M6939" t="s">
        <v>43120</v>
      </c>
      <c r="N6939" t="s">
        <v>46569</v>
      </c>
      <c r="O6939" t="s">
        <v>46570</v>
      </c>
      <c r="P6939">
        <v>0</v>
      </c>
      <c r="Q6939">
        <v>1</v>
      </c>
      <c r="R6939" t="s">
        <v>46573</v>
      </c>
      <c r="S6939" t="s">
        <v>46705</v>
      </c>
      <c r="T6939" t="s">
        <v>48280</v>
      </c>
      <c r="U6939" t="s">
        <v>54504</v>
      </c>
      <c r="W6939" t="s">
        <v>43120</v>
      </c>
      <c r="X6939" t="s">
        <v>46574</v>
      </c>
    </row>
    <row r="6940" spans="1:24">
      <c r="A6940">
        <f>HYPERLINK("https://www.philgeps.gov.ph/GEPSNONPILOT/Tender/SplashBidNoticeAbstractUI.aspx?menuIndex=3&amp;refID=7061596&amp;Result=3","7061596")</f>
        <v>0</v>
      </c>
      <c r="B6940" t="s">
        <v>1083</v>
      </c>
      <c r="C6940" t="s">
        <v>10117</v>
      </c>
      <c r="D6940" t="s">
        <v>18784</v>
      </c>
      <c r="E6940" t="s">
        <v>25024</v>
      </c>
      <c r="F6940" t="s">
        <v>32664</v>
      </c>
      <c r="G6940" t="s">
        <v>32671</v>
      </c>
      <c r="H6940" t="s">
        <v>12635</v>
      </c>
      <c r="I6940" t="s">
        <v>4439</v>
      </c>
      <c r="J6940" t="s">
        <v>37113</v>
      </c>
      <c r="K6940" t="s">
        <v>42289</v>
      </c>
      <c r="M6940" t="s">
        <v>43707</v>
      </c>
      <c r="N6940" t="s">
        <v>46569</v>
      </c>
      <c r="O6940" t="s">
        <v>46570</v>
      </c>
      <c r="P6940">
        <v>0</v>
      </c>
      <c r="Q6940">
        <v>0</v>
      </c>
      <c r="R6940" t="s">
        <v>46573</v>
      </c>
      <c r="S6940" t="s">
        <v>46705</v>
      </c>
      <c r="T6940" t="s">
        <v>48492</v>
      </c>
      <c r="U6940" t="s">
        <v>54505</v>
      </c>
      <c r="W6940" t="s">
        <v>43707</v>
      </c>
      <c r="X6940" t="s">
        <v>46574</v>
      </c>
    </row>
    <row r="6941" spans="1:24">
      <c r="A6941">
        <f>HYPERLINK("https://www.philgeps.gov.ph/GEPSNONPILOT/Tender/SplashBidNoticeAbstractUI.aspx?menuIndex=3&amp;refID=7061597&amp;Result=3","7061597")</f>
        <v>0</v>
      </c>
      <c r="B6941" t="s">
        <v>2181</v>
      </c>
      <c r="C6941" t="s">
        <v>10118</v>
      </c>
      <c r="D6941" t="s">
        <v>18781</v>
      </c>
      <c r="E6941" t="s">
        <v>25025</v>
      </c>
      <c r="F6941" t="s">
        <v>32664</v>
      </c>
      <c r="G6941" t="s">
        <v>32672</v>
      </c>
      <c r="H6941" t="s">
        <v>32683</v>
      </c>
      <c r="I6941" t="s">
        <v>10627</v>
      </c>
      <c r="J6941" t="s">
        <v>33886</v>
      </c>
      <c r="K6941" t="s">
        <v>42452</v>
      </c>
      <c r="M6941" t="s">
        <v>44941</v>
      </c>
      <c r="N6941" t="s">
        <v>46569</v>
      </c>
      <c r="O6941" t="s">
        <v>46570</v>
      </c>
      <c r="P6941">
        <v>0</v>
      </c>
      <c r="Q6941">
        <v>5</v>
      </c>
      <c r="R6941" t="s">
        <v>46573</v>
      </c>
      <c r="S6941" t="s">
        <v>46705</v>
      </c>
      <c r="T6941" t="s">
        <v>48216</v>
      </c>
      <c r="U6941" t="s">
        <v>54506</v>
      </c>
      <c r="W6941" t="s">
        <v>44941</v>
      </c>
      <c r="X6941" t="s">
        <v>46574</v>
      </c>
    </row>
    <row r="6942" spans="1:24">
      <c r="A6942">
        <f>HYPERLINK("https://www.philgeps.gov.ph/GEPSNONPILOT/Tender/SplashBidNoticeAbstractUI.aspx?menuIndex=3&amp;refID=7061608&amp;Result=3","7061608")</f>
        <v>0</v>
      </c>
      <c r="B6942" t="s">
        <v>2146</v>
      </c>
      <c r="C6942" t="s">
        <v>10119</v>
      </c>
      <c r="D6942" t="s">
        <v>18784</v>
      </c>
      <c r="E6942" t="s">
        <v>25026</v>
      </c>
      <c r="F6942" t="s">
        <v>32664</v>
      </c>
      <c r="G6942" t="s">
        <v>32674</v>
      </c>
      <c r="H6942" t="s">
        <v>12635</v>
      </c>
      <c r="I6942" t="s">
        <v>6628</v>
      </c>
      <c r="J6942" t="s">
        <v>34038</v>
      </c>
      <c r="K6942" t="s">
        <v>42309</v>
      </c>
      <c r="L6942" t="s">
        <v>2146</v>
      </c>
      <c r="M6942" t="s">
        <v>44902</v>
      </c>
      <c r="N6942" t="s">
        <v>46569</v>
      </c>
      <c r="O6942" t="s">
        <v>46570</v>
      </c>
      <c r="P6942">
        <v>0</v>
      </c>
      <c r="Q6942">
        <v>12</v>
      </c>
      <c r="R6942" t="s">
        <v>46573</v>
      </c>
      <c r="S6942" t="s">
        <v>46705</v>
      </c>
      <c r="T6942" t="s">
        <v>48298</v>
      </c>
      <c r="U6942" t="s">
        <v>54507</v>
      </c>
      <c r="W6942" t="s">
        <v>44902</v>
      </c>
      <c r="X6942" t="s">
        <v>46574</v>
      </c>
    </row>
    <row r="6943" spans="1:24">
      <c r="A6943">
        <f>HYPERLINK("https://www.philgeps.gov.ph/GEPSNONPILOT/Tender/SplashBidNoticeAbstractUI.aspx?menuIndex=3&amp;refID=7061595&amp;Result=3","7061595")</f>
        <v>0</v>
      </c>
      <c r="B6943" t="s">
        <v>2185</v>
      </c>
      <c r="C6943" t="s">
        <v>3912</v>
      </c>
      <c r="D6943" t="s">
        <v>18805</v>
      </c>
      <c r="E6943" t="s">
        <v>25027</v>
      </c>
      <c r="F6943" t="s">
        <v>32664</v>
      </c>
      <c r="G6943" t="s">
        <v>32672</v>
      </c>
      <c r="H6943" t="s">
        <v>12635</v>
      </c>
      <c r="I6943" t="s">
        <v>6168</v>
      </c>
      <c r="J6943" t="s">
        <v>33515</v>
      </c>
      <c r="K6943" t="s">
        <v>42306</v>
      </c>
      <c r="M6943" t="s">
        <v>44945</v>
      </c>
      <c r="N6943" t="s">
        <v>46569</v>
      </c>
      <c r="O6943" t="s">
        <v>46570</v>
      </c>
      <c r="P6943">
        <v>0</v>
      </c>
      <c r="Q6943">
        <v>0</v>
      </c>
      <c r="R6943" t="s">
        <v>46573</v>
      </c>
      <c r="S6943" t="s">
        <v>46705</v>
      </c>
      <c r="T6943" t="s">
        <v>48385</v>
      </c>
      <c r="U6943" t="s">
        <v>54508</v>
      </c>
      <c r="V6943" t="s">
        <v>62314</v>
      </c>
      <c r="W6943" t="s">
        <v>44945</v>
      </c>
      <c r="X6943" t="s">
        <v>46574</v>
      </c>
    </row>
    <row r="6944" spans="1:24">
      <c r="A6944">
        <f>HYPERLINK("https://www.philgeps.gov.ph/GEPSNONPILOT/Tender/SplashBidNoticeAbstractUI.aspx?menuIndex=3&amp;refID=7061589&amp;Result=3","7061589")</f>
        <v>0</v>
      </c>
      <c r="B6944" t="s">
        <v>2186</v>
      </c>
      <c r="C6944" t="s">
        <v>10120</v>
      </c>
      <c r="D6944" t="s">
        <v>18831</v>
      </c>
      <c r="E6944" t="s">
        <v>25028</v>
      </c>
      <c r="F6944" t="s">
        <v>32665</v>
      </c>
      <c r="G6944" t="s">
        <v>32672</v>
      </c>
      <c r="H6944" t="s">
        <v>32683</v>
      </c>
      <c r="I6944" t="s">
        <v>10627</v>
      </c>
      <c r="J6944" t="s">
        <v>37114</v>
      </c>
      <c r="K6944" t="s">
        <v>42311</v>
      </c>
      <c r="M6944" t="s">
        <v>44946</v>
      </c>
      <c r="N6944" t="s">
        <v>46569</v>
      </c>
      <c r="O6944" t="s">
        <v>46570</v>
      </c>
      <c r="P6944">
        <v>0</v>
      </c>
      <c r="Q6944">
        <v>0</v>
      </c>
      <c r="R6944" t="s">
        <v>46573</v>
      </c>
      <c r="S6944" t="s">
        <v>46705</v>
      </c>
      <c r="T6944" t="s">
        <v>48222</v>
      </c>
      <c r="U6944" t="s">
        <v>54509</v>
      </c>
      <c r="W6944" t="s">
        <v>44946</v>
      </c>
      <c r="X6944" t="s">
        <v>46574</v>
      </c>
    </row>
    <row r="6945" spans="1:24">
      <c r="A6945">
        <f>HYPERLINK("https://www.philgeps.gov.ph/GEPSNONPILOT/Tender/SplashBidNoticeAbstractUI.aspx?menuIndex=3&amp;refID=7061601&amp;Result=3","7061601")</f>
        <v>0</v>
      </c>
      <c r="B6945" t="s">
        <v>1083</v>
      </c>
      <c r="C6945" t="s">
        <v>10121</v>
      </c>
      <c r="D6945" t="s">
        <v>18784</v>
      </c>
      <c r="E6945" t="s">
        <v>25029</v>
      </c>
      <c r="F6945" t="s">
        <v>32664</v>
      </c>
      <c r="G6945" t="s">
        <v>32671</v>
      </c>
      <c r="H6945" t="s">
        <v>12635</v>
      </c>
      <c r="I6945" t="s">
        <v>4439</v>
      </c>
      <c r="J6945" t="s">
        <v>37115</v>
      </c>
      <c r="K6945" t="s">
        <v>42289</v>
      </c>
      <c r="M6945" t="s">
        <v>43707</v>
      </c>
      <c r="N6945" t="s">
        <v>46569</v>
      </c>
      <c r="O6945" t="s">
        <v>46570</v>
      </c>
      <c r="P6945">
        <v>0</v>
      </c>
      <c r="Q6945">
        <v>2</v>
      </c>
      <c r="R6945" t="s">
        <v>46573</v>
      </c>
      <c r="S6945" t="s">
        <v>46705</v>
      </c>
      <c r="T6945" t="s">
        <v>48587</v>
      </c>
      <c r="U6945" t="s">
        <v>54510</v>
      </c>
      <c r="W6945" t="s">
        <v>43707</v>
      </c>
      <c r="X6945" t="s">
        <v>46574</v>
      </c>
    </row>
    <row r="6946" spans="1:24">
      <c r="A6946">
        <f>HYPERLINK("https://www.philgeps.gov.ph/GEPSNONPILOT/Tender/SplashBidNoticeAbstractUI.aspx?menuIndex=3&amp;refID=7061588&amp;Result=3","7061588")</f>
        <v>0</v>
      </c>
      <c r="B6946" t="s">
        <v>1083</v>
      </c>
      <c r="C6946" t="s">
        <v>10122</v>
      </c>
      <c r="D6946" t="s">
        <v>18784</v>
      </c>
      <c r="E6946" t="s">
        <v>25030</v>
      </c>
      <c r="F6946" t="s">
        <v>32664</v>
      </c>
      <c r="G6946" t="s">
        <v>32671</v>
      </c>
      <c r="H6946" t="s">
        <v>12635</v>
      </c>
      <c r="I6946" t="s">
        <v>32744</v>
      </c>
      <c r="J6946" t="s">
        <v>32853</v>
      </c>
      <c r="K6946" t="s">
        <v>42289</v>
      </c>
      <c r="M6946" t="s">
        <v>43707</v>
      </c>
      <c r="N6946" t="s">
        <v>46569</v>
      </c>
      <c r="O6946" t="s">
        <v>46570</v>
      </c>
      <c r="P6946">
        <v>0</v>
      </c>
      <c r="Q6946">
        <v>1</v>
      </c>
      <c r="R6946" t="s">
        <v>46573</v>
      </c>
      <c r="S6946" t="s">
        <v>46705</v>
      </c>
      <c r="T6946" t="s">
        <v>48492</v>
      </c>
      <c r="U6946" t="s">
        <v>54511</v>
      </c>
      <c r="W6946" t="s">
        <v>43707</v>
      </c>
      <c r="X6946" t="s">
        <v>46574</v>
      </c>
    </row>
    <row r="6947" spans="1:24">
      <c r="A6947">
        <f>HYPERLINK("https://www.philgeps.gov.ph/GEPSNONPILOT/Tender/SplashBidNoticeAbstractUI.aspx?menuIndex=3&amp;refID=7061252&amp;Result=3","7061252")</f>
        <v>0</v>
      </c>
      <c r="B6947" t="s">
        <v>2083</v>
      </c>
      <c r="C6947" t="s">
        <v>10123</v>
      </c>
      <c r="D6947" t="s">
        <v>18815</v>
      </c>
      <c r="E6947" t="s">
        <v>25031</v>
      </c>
      <c r="F6947" t="s">
        <v>32664</v>
      </c>
      <c r="G6947" t="s">
        <v>32674</v>
      </c>
      <c r="H6947" t="s">
        <v>12635</v>
      </c>
      <c r="I6947" t="s">
        <v>6168</v>
      </c>
      <c r="J6947" t="s">
        <v>37116</v>
      </c>
      <c r="K6947" t="s">
        <v>42311</v>
      </c>
      <c r="M6947" t="s">
        <v>44835</v>
      </c>
      <c r="N6947" t="s">
        <v>46569</v>
      </c>
      <c r="O6947" t="s">
        <v>46570</v>
      </c>
      <c r="P6947">
        <v>0</v>
      </c>
      <c r="Q6947">
        <v>0</v>
      </c>
      <c r="R6947" t="s">
        <v>46573</v>
      </c>
      <c r="S6947" t="s">
        <v>46705</v>
      </c>
      <c r="T6947" t="s">
        <v>48283</v>
      </c>
      <c r="U6947" t="s">
        <v>54512</v>
      </c>
      <c r="W6947" t="s">
        <v>44835</v>
      </c>
      <c r="X6947" t="s">
        <v>46574</v>
      </c>
    </row>
    <row r="6948" spans="1:24">
      <c r="A6948">
        <f>HYPERLINK("https://www.philgeps.gov.ph/GEPSNONPILOT/Tender/SplashBidNoticeAbstractUI.aspx?menuIndex=3&amp;refID=7061585&amp;Result=3","7061585")</f>
        <v>0</v>
      </c>
      <c r="B6948" t="s">
        <v>1083</v>
      </c>
      <c r="C6948" t="s">
        <v>10124</v>
      </c>
      <c r="D6948" t="s">
        <v>18784</v>
      </c>
      <c r="E6948" t="s">
        <v>25032</v>
      </c>
      <c r="F6948" t="s">
        <v>32664</v>
      </c>
      <c r="G6948" t="s">
        <v>32671</v>
      </c>
      <c r="H6948" t="s">
        <v>12635</v>
      </c>
      <c r="I6948" t="s">
        <v>4439</v>
      </c>
      <c r="J6948" t="s">
        <v>37117</v>
      </c>
      <c r="K6948" t="s">
        <v>42289</v>
      </c>
      <c r="M6948" t="s">
        <v>43707</v>
      </c>
      <c r="N6948" t="s">
        <v>46569</v>
      </c>
      <c r="O6948" t="s">
        <v>46570</v>
      </c>
      <c r="P6948">
        <v>0</v>
      </c>
      <c r="Q6948">
        <v>2</v>
      </c>
      <c r="R6948" t="s">
        <v>46573</v>
      </c>
      <c r="S6948" t="s">
        <v>46705</v>
      </c>
      <c r="T6948" t="s">
        <v>48492</v>
      </c>
      <c r="U6948" t="s">
        <v>54513</v>
      </c>
      <c r="W6948" t="s">
        <v>43707</v>
      </c>
      <c r="X6948" t="s">
        <v>46574</v>
      </c>
    </row>
    <row r="6949" spans="1:24">
      <c r="A6949">
        <f>HYPERLINK("https://www.philgeps.gov.ph/GEPSNONPILOT/Tender/SplashBidNoticeAbstractUI.aspx?menuIndex=3&amp;refID=7061598&amp;Result=3","7061598")</f>
        <v>0</v>
      </c>
      <c r="B6949" t="s">
        <v>1620</v>
      </c>
      <c r="C6949" t="s">
        <v>10125</v>
      </c>
      <c r="D6949" t="s">
        <v>18784</v>
      </c>
      <c r="E6949" t="s">
        <v>25033</v>
      </c>
      <c r="F6949" t="s">
        <v>32664</v>
      </c>
      <c r="G6949" t="s">
        <v>32672</v>
      </c>
      <c r="H6949" t="s">
        <v>12635</v>
      </c>
      <c r="I6949" t="s">
        <v>6223</v>
      </c>
      <c r="J6949" t="s">
        <v>37118</v>
      </c>
      <c r="K6949" t="s">
        <v>42311</v>
      </c>
      <c r="M6949" t="s">
        <v>44300</v>
      </c>
      <c r="N6949" t="s">
        <v>46569</v>
      </c>
      <c r="O6949" t="s">
        <v>46570</v>
      </c>
      <c r="P6949">
        <v>0</v>
      </c>
      <c r="Q6949">
        <v>3</v>
      </c>
      <c r="R6949" t="s">
        <v>46573</v>
      </c>
      <c r="S6949" t="s">
        <v>46705</v>
      </c>
      <c r="T6949" t="s">
        <v>48220</v>
      </c>
      <c r="U6949" t="s">
        <v>54514</v>
      </c>
      <c r="W6949" t="s">
        <v>44300</v>
      </c>
      <c r="X6949" t="s">
        <v>46574</v>
      </c>
    </row>
    <row r="6950" spans="1:24">
      <c r="A6950">
        <f>HYPERLINK("https://www.philgeps.gov.ph/GEPSNONPILOT/Tender/SplashBidNoticeAbstractUI.aspx?menuIndex=3&amp;refID=7061590&amp;Result=3","7061590")</f>
        <v>0</v>
      </c>
      <c r="B6950" t="s">
        <v>2146</v>
      </c>
      <c r="C6950" t="s">
        <v>10126</v>
      </c>
      <c r="D6950" t="s">
        <v>18784</v>
      </c>
      <c r="E6950" t="s">
        <v>25034</v>
      </c>
      <c r="F6950" t="s">
        <v>32664</v>
      </c>
      <c r="G6950" t="s">
        <v>32674</v>
      </c>
      <c r="H6950" t="s">
        <v>12635</v>
      </c>
      <c r="I6950" t="s">
        <v>32703</v>
      </c>
      <c r="J6950" t="s">
        <v>33306</v>
      </c>
      <c r="K6950" t="s">
        <v>42309</v>
      </c>
      <c r="L6950" t="s">
        <v>2146</v>
      </c>
      <c r="M6950" t="s">
        <v>44902</v>
      </c>
      <c r="N6950" t="s">
        <v>46569</v>
      </c>
      <c r="O6950" t="s">
        <v>46570</v>
      </c>
      <c r="P6950">
        <v>0</v>
      </c>
      <c r="Q6950">
        <v>6</v>
      </c>
      <c r="R6950" t="s">
        <v>46573</v>
      </c>
      <c r="S6950" t="s">
        <v>46705</v>
      </c>
      <c r="T6950" t="s">
        <v>48298</v>
      </c>
      <c r="U6950" t="s">
        <v>54515</v>
      </c>
      <c r="W6950" t="s">
        <v>44902</v>
      </c>
      <c r="X6950" t="s">
        <v>46574</v>
      </c>
    </row>
    <row r="6951" spans="1:24">
      <c r="A6951">
        <f>HYPERLINK("https://www.philgeps.gov.ph/GEPSNONPILOT/Tender/SplashBidNoticeAbstractUI.aspx?menuIndex=3&amp;refID=7061557&amp;Result=3","7061557")</f>
        <v>0</v>
      </c>
      <c r="B6951" t="s">
        <v>1055</v>
      </c>
      <c r="C6951" t="s">
        <v>10127</v>
      </c>
      <c r="D6951" t="s">
        <v>18784</v>
      </c>
      <c r="E6951" t="s">
        <v>25035</v>
      </c>
      <c r="F6951" t="s">
        <v>32664</v>
      </c>
      <c r="G6951" t="s">
        <v>32672</v>
      </c>
      <c r="H6951" t="s">
        <v>12635</v>
      </c>
      <c r="I6951" t="s">
        <v>32727</v>
      </c>
      <c r="J6951" t="s">
        <v>33858</v>
      </c>
      <c r="K6951" t="s">
        <v>42289</v>
      </c>
      <c r="M6951" t="s">
        <v>44732</v>
      </c>
      <c r="N6951" t="s">
        <v>46569</v>
      </c>
      <c r="O6951" t="s">
        <v>46570</v>
      </c>
      <c r="P6951">
        <v>0</v>
      </c>
      <c r="Q6951">
        <v>4</v>
      </c>
      <c r="R6951" t="s">
        <v>46573</v>
      </c>
      <c r="S6951" t="s">
        <v>46705</v>
      </c>
      <c r="T6951" t="s">
        <v>48404</v>
      </c>
      <c r="U6951" t="s">
        <v>54491</v>
      </c>
      <c r="W6951" t="s">
        <v>44732</v>
      </c>
      <c r="X6951" t="s">
        <v>46574</v>
      </c>
    </row>
    <row r="6952" spans="1:24">
      <c r="A6952">
        <f>HYPERLINK("https://www.philgeps.gov.ph/GEPSNONPILOT/Tender/SplashBidNoticeAbstractUI.aspx?menuIndex=3&amp;refID=7061556&amp;Result=3","7061556")</f>
        <v>0</v>
      </c>
      <c r="B6952" t="s">
        <v>2170</v>
      </c>
      <c r="C6952" t="s">
        <v>10128</v>
      </c>
      <c r="D6952" t="s">
        <v>18806</v>
      </c>
      <c r="E6952" t="s">
        <v>24960</v>
      </c>
      <c r="F6952" t="s">
        <v>32664</v>
      </c>
      <c r="G6952" t="s">
        <v>32677</v>
      </c>
      <c r="H6952" t="s">
        <v>12635</v>
      </c>
      <c r="I6952" t="s">
        <v>4439</v>
      </c>
      <c r="J6952" t="s">
        <v>37119</v>
      </c>
      <c r="K6952" t="s">
        <v>42289</v>
      </c>
      <c r="M6952" t="s">
        <v>44930</v>
      </c>
      <c r="N6952" t="s">
        <v>46569</v>
      </c>
      <c r="O6952" t="s">
        <v>46570</v>
      </c>
      <c r="P6952">
        <v>0</v>
      </c>
      <c r="Q6952">
        <v>0</v>
      </c>
      <c r="R6952" t="s">
        <v>46573</v>
      </c>
      <c r="S6952" t="s">
        <v>46705</v>
      </c>
      <c r="T6952" t="s">
        <v>48287</v>
      </c>
      <c r="U6952" t="s">
        <v>54493</v>
      </c>
      <c r="V6952" t="s">
        <v>62315</v>
      </c>
      <c r="W6952" t="s">
        <v>44930</v>
      </c>
      <c r="X6952" t="s">
        <v>46574</v>
      </c>
    </row>
    <row r="6953" spans="1:24">
      <c r="A6953">
        <f>HYPERLINK("https://www.philgeps.gov.ph/GEPSNONPILOT/Tender/SplashBidNoticeAbstractUI.aspx?menuIndex=3&amp;refID=7061605&amp;Result=3","7061605")</f>
        <v>0</v>
      </c>
      <c r="B6953" t="s">
        <v>2186</v>
      </c>
      <c r="C6953" t="s">
        <v>10129</v>
      </c>
      <c r="D6953" t="s">
        <v>18831</v>
      </c>
      <c r="E6953" t="s">
        <v>25036</v>
      </c>
      <c r="F6953" t="s">
        <v>32665</v>
      </c>
      <c r="G6953" t="s">
        <v>32672</v>
      </c>
      <c r="H6953" t="s">
        <v>12635</v>
      </c>
      <c r="I6953" t="s">
        <v>32688</v>
      </c>
      <c r="J6953" t="s">
        <v>34797</v>
      </c>
      <c r="K6953" t="s">
        <v>42297</v>
      </c>
      <c r="M6953" t="s">
        <v>44947</v>
      </c>
      <c r="N6953" t="s">
        <v>46569</v>
      </c>
      <c r="O6953" t="s">
        <v>46570</v>
      </c>
      <c r="P6953">
        <v>0</v>
      </c>
      <c r="Q6953">
        <v>2</v>
      </c>
      <c r="R6953" t="s">
        <v>46573</v>
      </c>
      <c r="S6953" t="s">
        <v>46705</v>
      </c>
      <c r="T6953" t="s">
        <v>48313</v>
      </c>
      <c r="U6953" t="s">
        <v>54516</v>
      </c>
      <c r="W6953" t="s">
        <v>44947</v>
      </c>
      <c r="X6953" t="s">
        <v>46574</v>
      </c>
    </row>
    <row r="6954" spans="1:24">
      <c r="A6954">
        <f>HYPERLINK("https://www.philgeps.gov.ph/GEPSNONPILOT/Tender/SplashBidNoticeAbstractUI.aspx?menuIndex=3&amp;refID=7061583&amp;Result=3","7061583")</f>
        <v>0</v>
      </c>
      <c r="B6954" t="s">
        <v>541</v>
      </c>
      <c r="C6954" t="s">
        <v>10130</v>
      </c>
      <c r="D6954" t="s">
        <v>18805</v>
      </c>
      <c r="E6954" t="s">
        <v>25037</v>
      </c>
      <c r="F6954" t="s">
        <v>32664</v>
      </c>
      <c r="G6954" t="s">
        <v>32671</v>
      </c>
      <c r="H6954" t="s">
        <v>12635</v>
      </c>
      <c r="I6954" t="s">
        <v>32704</v>
      </c>
      <c r="J6954" t="s">
        <v>32898</v>
      </c>
      <c r="K6954" t="s">
        <v>42298</v>
      </c>
      <c r="M6954" t="s">
        <v>43120</v>
      </c>
      <c r="N6954" t="s">
        <v>46569</v>
      </c>
      <c r="O6954" t="s">
        <v>46570</v>
      </c>
      <c r="Q6954">
        <v>22</v>
      </c>
      <c r="R6954" t="s">
        <v>46573</v>
      </c>
      <c r="S6954" t="s">
        <v>46721</v>
      </c>
      <c r="T6954" t="s">
        <v>48264</v>
      </c>
      <c r="U6954" t="s">
        <v>54517</v>
      </c>
      <c r="W6954" t="s">
        <v>43120</v>
      </c>
      <c r="X6954" t="s">
        <v>46574</v>
      </c>
    </row>
    <row r="6955" spans="1:24">
      <c r="A6955">
        <f>HYPERLINK("https://www.philgeps.gov.ph/GEPSNONPILOT/Tender/SplashBidNoticeAbstractUI.aspx?menuIndex=3&amp;refID=7061542&amp;Result=3","7061542")</f>
        <v>0</v>
      </c>
      <c r="B6955" t="s">
        <v>2187</v>
      </c>
      <c r="C6955" t="s">
        <v>10131</v>
      </c>
      <c r="D6955" t="s">
        <v>18823</v>
      </c>
      <c r="E6955" t="s">
        <v>25038</v>
      </c>
      <c r="F6955" t="s">
        <v>32664</v>
      </c>
      <c r="G6955" t="s">
        <v>32672</v>
      </c>
      <c r="H6955" t="s">
        <v>12635</v>
      </c>
      <c r="I6955" t="s">
        <v>11464</v>
      </c>
      <c r="J6955" t="s">
        <v>32943</v>
      </c>
      <c r="K6955" t="s">
        <v>42281</v>
      </c>
      <c r="M6955" t="s">
        <v>44948</v>
      </c>
      <c r="N6955" t="s">
        <v>46569</v>
      </c>
      <c r="O6955" t="s">
        <v>46570</v>
      </c>
      <c r="P6955">
        <v>0</v>
      </c>
      <c r="Q6955">
        <v>5</v>
      </c>
      <c r="R6955" t="s">
        <v>46573</v>
      </c>
      <c r="S6955" t="s">
        <v>46705</v>
      </c>
      <c r="T6955" t="s">
        <v>48349</v>
      </c>
      <c r="U6955" t="s">
        <v>54518</v>
      </c>
      <c r="V6955" t="s">
        <v>62316</v>
      </c>
      <c r="W6955" t="s">
        <v>44948</v>
      </c>
      <c r="X6955" t="s">
        <v>46574</v>
      </c>
    </row>
    <row r="6956" spans="1:24">
      <c r="A6956">
        <f>HYPERLINK("https://www.philgeps.gov.ph/GEPSNONPILOT/Tender/SplashBidNoticeAbstractUI.aspx?menuIndex=3&amp;refID=7061536&amp;Result=3","7061536")</f>
        <v>0</v>
      </c>
      <c r="B6956" t="s">
        <v>1630</v>
      </c>
      <c r="C6956" t="s">
        <v>10132</v>
      </c>
      <c r="D6956" t="s">
        <v>18801</v>
      </c>
      <c r="E6956" t="s">
        <v>25039</v>
      </c>
      <c r="F6956" t="s">
        <v>32664</v>
      </c>
      <c r="G6956" t="s">
        <v>32674</v>
      </c>
      <c r="H6956" t="s">
        <v>12635</v>
      </c>
      <c r="I6956" t="s">
        <v>8797</v>
      </c>
      <c r="J6956" t="s">
        <v>37120</v>
      </c>
      <c r="K6956" t="s">
        <v>42283</v>
      </c>
      <c r="M6956" t="s">
        <v>44312</v>
      </c>
      <c r="N6956" t="s">
        <v>46569</v>
      </c>
      <c r="O6956" t="s">
        <v>46570</v>
      </c>
      <c r="P6956">
        <v>0</v>
      </c>
      <c r="Q6956">
        <v>20</v>
      </c>
      <c r="R6956" t="s">
        <v>46573</v>
      </c>
      <c r="S6956" t="s">
        <v>46705</v>
      </c>
      <c r="T6956" t="s">
        <v>48410</v>
      </c>
      <c r="U6956" t="s">
        <v>54519</v>
      </c>
      <c r="V6956" t="s">
        <v>62095</v>
      </c>
      <c r="W6956" t="s">
        <v>44312</v>
      </c>
      <c r="X6956" t="s">
        <v>46574</v>
      </c>
    </row>
    <row r="6957" spans="1:24">
      <c r="A6957">
        <f>HYPERLINK("https://www.philgeps.gov.ph/GEPSNONPILOT/Tender/SplashBidNoticeAbstractUI.aspx?menuIndex=3&amp;refID=7061541&amp;Result=3","7061541")</f>
        <v>0</v>
      </c>
      <c r="B6957" t="s">
        <v>2188</v>
      </c>
      <c r="C6957" t="s">
        <v>10133</v>
      </c>
      <c r="D6957" t="s">
        <v>18798</v>
      </c>
      <c r="E6957" t="s">
        <v>25040</v>
      </c>
      <c r="F6957" t="s">
        <v>32664</v>
      </c>
      <c r="G6957" t="s">
        <v>32672</v>
      </c>
      <c r="H6957" t="s">
        <v>12635</v>
      </c>
      <c r="I6957" t="s">
        <v>10370</v>
      </c>
      <c r="J6957" t="s">
        <v>37121</v>
      </c>
      <c r="K6957" t="s">
        <v>42289</v>
      </c>
      <c r="M6957" t="s">
        <v>44949</v>
      </c>
      <c r="N6957" t="s">
        <v>46569</v>
      </c>
      <c r="O6957" t="s">
        <v>46570</v>
      </c>
      <c r="P6957">
        <v>0</v>
      </c>
      <c r="Q6957">
        <v>1</v>
      </c>
      <c r="R6957" t="s">
        <v>46573</v>
      </c>
      <c r="S6957" t="s">
        <v>46705</v>
      </c>
      <c r="T6957" t="s">
        <v>48282</v>
      </c>
      <c r="U6957" t="s">
        <v>54520</v>
      </c>
      <c r="V6957" t="s">
        <v>61668</v>
      </c>
      <c r="W6957" t="s">
        <v>44949</v>
      </c>
      <c r="X6957" t="s">
        <v>46574</v>
      </c>
    </row>
    <row r="6958" spans="1:24">
      <c r="A6958">
        <f>HYPERLINK("https://www.philgeps.gov.ph/GEPSNONPILOT/Tender/SplashBidNoticeAbstractUI.aspx?menuIndex=3&amp;refID=7061554&amp;Result=3","7061554")</f>
        <v>0</v>
      </c>
      <c r="B6958" t="s">
        <v>113</v>
      </c>
      <c r="C6958" t="s">
        <v>10134</v>
      </c>
      <c r="D6958" t="s">
        <v>18801</v>
      </c>
      <c r="E6958" t="s">
        <v>25041</v>
      </c>
      <c r="F6958" t="s">
        <v>32664</v>
      </c>
      <c r="G6958" t="s">
        <v>32672</v>
      </c>
      <c r="H6958" t="s">
        <v>32681</v>
      </c>
      <c r="I6958" t="s">
        <v>32681</v>
      </c>
      <c r="J6958" t="s">
        <v>34412</v>
      </c>
      <c r="K6958" t="s">
        <v>42453</v>
      </c>
      <c r="M6958" t="s">
        <v>42677</v>
      </c>
      <c r="N6958" t="s">
        <v>46569</v>
      </c>
      <c r="O6958" t="s">
        <v>46570</v>
      </c>
      <c r="P6958">
        <v>0</v>
      </c>
      <c r="Q6958">
        <v>4</v>
      </c>
      <c r="R6958" t="s">
        <v>46573</v>
      </c>
      <c r="S6958" t="s">
        <v>46705</v>
      </c>
      <c r="T6958" t="s">
        <v>48588</v>
      </c>
      <c r="U6958" t="s">
        <v>54521</v>
      </c>
      <c r="V6958" t="s">
        <v>62317</v>
      </c>
      <c r="W6958" t="s">
        <v>42677</v>
      </c>
      <c r="X6958" t="s">
        <v>46574</v>
      </c>
    </row>
    <row r="6959" spans="1:24">
      <c r="A6959">
        <f>HYPERLINK("https://www.philgeps.gov.ph/GEPSNONPILOT/Tender/SplashBidNoticeAbstractUI.aspx?menuIndex=3&amp;refID=7061243&amp;Result=3","7061243")</f>
        <v>0</v>
      </c>
      <c r="B6959" t="s">
        <v>900</v>
      </c>
      <c r="C6959" t="s">
        <v>10135</v>
      </c>
      <c r="E6959" t="s">
        <v>25042</v>
      </c>
      <c r="F6959" t="s">
        <v>32664</v>
      </c>
      <c r="G6959" t="s">
        <v>32677</v>
      </c>
      <c r="H6959" t="s">
        <v>32683</v>
      </c>
      <c r="I6959" t="s">
        <v>10627</v>
      </c>
      <c r="J6959" t="s">
        <v>37122</v>
      </c>
      <c r="K6959" t="s">
        <v>42283</v>
      </c>
      <c r="M6959" t="s">
        <v>43504</v>
      </c>
      <c r="N6959" t="s">
        <v>46569</v>
      </c>
      <c r="O6959" t="s">
        <v>46570</v>
      </c>
      <c r="Q6959">
        <v>0</v>
      </c>
      <c r="R6959" t="s">
        <v>46573</v>
      </c>
      <c r="S6959" t="s">
        <v>46722</v>
      </c>
      <c r="T6959" t="s">
        <v>48220</v>
      </c>
      <c r="U6959" t="s">
        <v>54522</v>
      </c>
      <c r="V6959" t="s">
        <v>62286</v>
      </c>
      <c r="W6959" t="s">
        <v>43504</v>
      </c>
      <c r="X6959" t="s">
        <v>46574</v>
      </c>
    </row>
    <row r="6960" spans="1:24">
      <c r="A6960">
        <f>HYPERLINK("https://www.philgeps.gov.ph/GEPSNONPILOT/Tender/SplashBidNoticeAbstractUI.aspx?menuIndex=3&amp;refID=7061586&amp;Result=3","7061586")</f>
        <v>0</v>
      </c>
      <c r="B6960" t="s">
        <v>2170</v>
      </c>
      <c r="C6960" t="s">
        <v>10136</v>
      </c>
      <c r="D6960" t="s">
        <v>18806</v>
      </c>
      <c r="E6960" t="s">
        <v>20330</v>
      </c>
      <c r="F6960" t="s">
        <v>32664</v>
      </c>
      <c r="G6960" t="s">
        <v>32672</v>
      </c>
      <c r="H6960" t="s">
        <v>12635</v>
      </c>
      <c r="I6960" t="s">
        <v>4439</v>
      </c>
      <c r="J6960" t="s">
        <v>37123</v>
      </c>
      <c r="K6960" t="s">
        <v>42289</v>
      </c>
      <c r="M6960" t="s">
        <v>44930</v>
      </c>
      <c r="N6960" t="s">
        <v>46569</v>
      </c>
      <c r="O6960" t="s">
        <v>46570</v>
      </c>
      <c r="P6960">
        <v>0</v>
      </c>
      <c r="Q6960">
        <v>0</v>
      </c>
      <c r="R6960" t="s">
        <v>46573</v>
      </c>
      <c r="S6960" t="s">
        <v>46705</v>
      </c>
      <c r="T6960" t="s">
        <v>48308</v>
      </c>
      <c r="U6960" t="s">
        <v>54523</v>
      </c>
      <c r="V6960" t="s">
        <v>62318</v>
      </c>
      <c r="W6960" t="s">
        <v>44930</v>
      </c>
      <c r="X6960" t="s">
        <v>46574</v>
      </c>
    </row>
    <row r="6961" spans="1:24">
      <c r="A6961">
        <f>HYPERLINK("https://www.philgeps.gov.ph/GEPSNONPILOT/Tender/SplashBidNoticeAbstractUI.aspx?menuIndex=3&amp;refID=7061215&amp;Result=3","7061215")</f>
        <v>0</v>
      </c>
      <c r="B6961" t="s">
        <v>1655</v>
      </c>
      <c r="C6961" t="s">
        <v>10137</v>
      </c>
      <c r="D6961" t="s">
        <v>18838</v>
      </c>
      <c r="E6961" t="s">
        <v>25043</v>
      </c>
      <c r="F6961" t="s">
        <v>32664</v>
      </c>
      <c r="G6961" t="s">
        <v>32671</v>
      </c>
      <c r="H6961" t="s">
        <v>12635</v>
      </c>
      <c r="I6961" t="s">
        <v>5589</v>
      </c>
      <c r="J6961" t="s">
        <v>32859</v>
      </c>
      <c r="K6961" t="s">
        <v>42284</v>
      </c>
      <c r="M6961" t="s">
        <v>44950</v>
      </c>
      <c r="N6961" t="s">
        <v>46569</v>
      </c>
      <c r="O6961" t="s">
        <v>46570</v>
      </c>
      <c r="P6961">
        <v>0</v>
      </c>
      <c r="Q6961">
        <v>6</v>
      </c>
      <c r="R6961" t="s">
        <v>46573</v>
      </c>
      <c r="S6961" t="s">
        <v>46705</v>
      </c>
      <c r="T6961" t="s">
        <v>48492</v>
      </c>
      <c r="U6961" t="s">
        <v>54524</v>
      </c>
      <c r="W6961" t="s">
        <v>44950</v>
      </c>
      <c r="X6961" t="s">
        <v>46574</v>
      </c>
    </row>
    <row r="6962" spans="1:24">
      <c r="A6962">
        <f>HYPERLINK("https://www.philgeps.gov.ph/GEPSNONPILOT/Tender/SplashBidNoticeAbstractUI.aspx?menuIndex=3&amp;refID=7061213&amp;Result=3","7061213")</f>
        <v>0</v>
      </c>
      <c r="B6962" t="s">
        <v>2133</v>
      </c>
      <c r="C6962" t="s">
        <v>10138</v>
      </c>
      <c r="D6962" t="s">
        <v>18782</v>
      </c>
      <c r="E6962" t="s">
        <v>25044</v>
      </c>
      <c r="F6962" t="s">
        <v>32664</v>
      </c>
      <c r="G6962" t="s">
        <v>32672</v>
      </c>
      <c r="H6962" t="s">
        <v>12635</v>
      </c>
      <c r="I6962" t="s">
        <v>32706</v>
      </c>
      <c r="J6962" t="s">
        <v>33210</v>
      </c>
      <c r="K6962" t="s">
        <v>42281</v>
      </c>
      <c r="M6962" t="s">
        <v>44888</v>
      </c>
      <c r="N6962" t="s">
        <v>46569</v>
      </c>
      <c r="O6962" t="s">
        <v>46570</v>
      </c>
      <c r="P6962">
        <v>0</v>
      </c>
      <c r="Q6962">
        <v>0</v>
      </c>
      <c r="R6962" t="s">
        <v>46573</v>
      </c>
      <c r="S6962" t="s">
        <v>46705</v>
      </c>
      <c r="T6962" t="s">
        <v>48410</v>
      </c>
      <c r="U6962" t="s">
        <v>54328</v>
      </c>
      <c r="V6962" t="s">
        <v>62288</v>
      </c>
      <c r="W6962" t="s">
        <v>44888</v>
      </c>
      <c r="X6962" t="s">
        <v>46574</v>
      </c>
    </row>
    <row r="6963" spans="1:24">
      <c r="A6963">
        <f>HYPERLINK("https://www.philgeps.gov.ph/GEPSNONPILOT/Tender/SplashBidNoticeAbstractUI.aspx?menuIndex=3&amp;refID=7061163&amp;Result=3","7061163")</f>
        <v>0</v>
      </c>
      <c r="B6963" t="s">
        <v>461</v>
      </c>
      <c r="C6963" t="s">
        <v>10139</v>
      </c>
      <c r="D6963" t="s">
        <v>18846</v>
      </c>
      <c r="E6963" t="s">
        <v>24800</v>
      </c>
      <c r="F6963" t="s">
        <v>32664</v>
      </c>
      <c r="G6963" t="s">
        <v>32671</v>
      </c>
      <c r="H6963" t="s">
        <v>12635</v>
      </c>
      <c r="I6963" t="s">
        <v>6628</v>
      </c>
      <c r="J6963" t="s">
        <v>33461</v>
      </c>
      <c r="K6963" t="s">
        <v>42297</v>
      </c>
      <c r="M6963" t="s">
        <v>43034</v>
      </c>
      <c r="N6963" t="s">
        <v>46569</v>
      </c>
      <c r="O6963" t="s">
        <v>46570</v>
      </c>
      <c r="P6963">
        <v>0</v>
      </c>
      <c r="Q6963">
        <v>0</v>
      </c>
      <c r="R6963" t="s">
        <v>46573</v>
      </c>
      <c r="S6963" t="s">
        <v>46705</v>
      </c>
      <c r="T6963" t="s">
        <v>48532</v>
      </c>
      <c r="U6963" t="s">
        <v>54525</v>
      </c>
      <c r="W6963" t="s">
        <v>43034</v>
      </c>
      <c r="X6963" t="s">
        <v>46574</v>
      </c>
    </row>
    <row r="6964" spans="1:24">
      <c r="A6964">
        <f>HYPERLINK("https://www.philgeps.gov.ph/GEPSNONPILOT/Tender/SplashBidNoticeAbstractUI.aspx?menuIndex=3&amp;refID=7061162&amp;Result=3","7061162")</f>
        <v>0</v>
      </c>
      <c r="B6964" t="s">
        <v>2189</v>
      </c>
      <c r="C6964" t="s">
        <v>10140</v>
      </c>
      <c r="D6964" t="s">
        <v>18843</v>
      </c>
      <c r="E6964" t="s">
        <v>25045</v>
      </c>
      <c r="F6964" t="s">
        <v>32664</v>
      </c>
      <c r="G6964" t="s">
        <v>32674</v>
      </c>
      <c r="H6964" t="s">
        <v>12635</v>
      </c>
      <c r="I6964" t="s">
        <v>32706</v>
      </c>
      <c r="J6964" t="s">
        <v>33706</v>
      </c>
      <c r="K6964" t="s">
        <v>42284</v>
      </c>
      <c r="M6964" t="s">
        <v>44951</v>
      </c>
      <c r="N6964" t="s">
        <v>46569</v>
      </c>
      <c r="O6964" t="s">
        <v>46570</v>
      </c>
      <c r="P6964">
        <v>0</v>
      </c>
      <c r="Q6964">
        <v>0</v>
      </c>
      <c r="R6964" t="s">
        <v>46573</v>
      </c>
      <c r="S6964" t="s">
        <v>46705</v>
      </c>
      <c r="T6964" t="s">
        <v>48223</v>
      </c>
      <c r="U6964" t="s">
        <v>54526</v>
      </c>
      <c r="W6964" t="s">
        <v>44951</v>
      </c>
      <c r="X6964" t="s">
        <v>46574</v>
      </c>
    </row>
    <row r="6965" spans="1:24">
      <c r="A6965">
        <f>HYPERLINK("https://www.philgeps.gov.ph/GEPSNONPILOT/Tender/SplashBidNoticeAbstractUI.aspx?menuIndex=3&amp;refID=7061159&amp;Result=3","7061159")</f>
        <v>0</v>
      </c>
      <c r="B6965" t="s">
        <v>798</v>
      </c>
      <c r="C6965" t="s">
        <v>10141</v>
      </c>
      <c r="D6965" t="s">
        <v>18830</v>
      </c>
      <c r="E6965" t="s">
        <v>25046</v>
      </c>
      <c r="F6965" t="s">
        <v>32664</v>
      </c>
      <c r="G6965" t="s">
        <v>32674</v>
      </c>
      <c r="H6965" t="s">
        <v>12635</v>
      </c>
      <c r="I6965" t="s">
        <v>6168</v>
      </c>
      <c r="J6965" t="s">
        <v>37124</v>
      </c>
      <c r="K6965" t="s">
        <v>42281</v>
      </c>
      <c r="M6965" t="s">
        <v>43390</v>
      </c>
      <c r="N6965" t="s">
        <v>46569</v>
      </c>
      <c r="O6965" t="s">
        <v>46570</v>
      </c>
      <c r="P6965">
        <v>0</v>
      </c>
      <c r="Q6965">
        <v>1</v>
      </c>
      <c r="R6965" t="s">
        <v>46573</v>
      </c>
      <c r="S6965" t="s">
        <v>46705</v>
      </c>
      <c r="T6965" t="s">
        <v>48307</v>
      </c>
      <c r="U6965" t="s">
        <v>54129</v>
      </c>
      <c r="W6965" t="s">
        <v>43390</v>
      </c>
      <c r="X6965" t="s">
        <v>46574</v>
      </c>
    </row>
    <row r="6966" spans="1:24">
      <c r="A6966">
        <f>HYPERLINK("https://www.philgeps.gov.ph/GEPSNONPILOT/Tender/SplashBidNoticeAbstractUI.aspx?menuIndex=3&amp;refID=7061143&amp;Result=3","7061143")</f>
        <v>0</v>
      </c>
      <c r="B6966" t="s">
        <v>798</v>
      </c>
      <c r="C6966" t="s">
        <v>10142</v>
      </c>
      <c r="D6966" t="s">
        <v>18830</v>
      </c>
      <c r="E6966" t="s">
        <v>25047</v>
      </c>
      <c r="F6966" t="s">
        <v>32664</v>
      </c>
      <c r="G6966" t="s">
        <v>32674</v>
      </c>
      <c r="H6966" t="s">
        <v>12635</v>
      </c>
      <c r="I6966" t="s">
        <v>6168</v>
      </c>
      <c r="J6966" t="s">
        <v>36453</v>
      </c>
      <c r="K6966" t="s">
        <v>42281</v>
      </c>
      <c r="M6966" t="s">
        <v>43390</v>
      </c>
      <c r="N6966" t="s">
        <v>46569</v>
      </c>
      <c r="O6966" t="s">
        <v>46570</v>
      </c>
      <c r="P6966">
        <v>0</v>
      </c>
      <c r="Q6966">
        <v>1</v>
      </c>
      <c r="R6966" t="s">
        <v>46573</v>
      </c>
      <c r="S6966" t="s">
        <v>46705</v>
      </c>
      <c r="T6966" t="s">
        <v>48307</v>
      </c>
      <c r="U6966" t="s">
        <v>54129</v>
      </c>
      <c r="W6966" t="s">
        <v>43390</v>
      </c>
      <c r="X6966" t="s">
        <v>46574</v>
      </c>
    </row>
    <row r="6967" spans="1:24">
      <c r="A6967">
        <f>HYPERLINK("https://www.philgeps.gov.ph/GEPSNONPILOT/Tender/SplashBidNoticeAbstractUI.aspx?menuIndex=3&amp;refID=7061550&amp;Result=3","7061550")</f>
        <v>0</v>
      </c>
      <c r="B6967" t="s">
        <v>1564</v>
      </c>
      <c r="C6967" t="s">
        <v>10143</v>
      </c>
      <c r="D6967" t="s">
        <v>18782</v>
      </c>
      <c r="E6967" t="s">
        <v>25048</v>
      </c>
      <c r="F6967" t="s">
        <v>32664</v>
      </c>
      <c r="G6967" t="s">
        <v>32675</v>
      </c>
      <c r="H6967" t="s">
        <v>12635</v>
      </c>
      <c r="I6967" t="s">
        <v>6168</v>
      </c>
      <c r="J6967" t="s">
        <v>32898</v>
      </c>
      <c r="K6967" t="s">
        <v>42289</v>
      </c>
      <c r="M6967" t="s">
        <v>44237</v>
      </c>
      <c r="N6967" t="s">
        <v>46569</v>
      </c>
      <c r="O6967" t="s">
        <v>46570</v>
      </c>
      <c r="P6967">
        <v>0</v>
      </c>
      <c r="Q6967">
        <v>2</v>
      </c>
      <c r="R6967" t="s">
        <v>46573</v>
      </c>
      <c r="S6967" t="s">
        <v>46705</v>
      </c>
      <c r="T6967" t="s">
        <v>48589</v>
      </c>
      <c r="U6967" t="s">
        <v>54527</v>
      </c>
      <c r="W6967" t="s">
        <v>44237</v>
      </c>
      <c r="X6967" t="s">
        <v>46574</v>
      </c>
    </row>
    <row r="6968" spans="1:24">
      <c r="A6968">
        <f>HYPERLINK("https://www.philgeps.gov.ph/GEPSNONPILOT/Tender/SplashBidNoticeAbstractUI.aspx?menuIndex=3&amp;refID=7061142&amp;Result=3","7061142")</f>
        <v>0</v>
      </c>
      <c r="B6968" t="s">
        <v>2107</v>
      </c>
      <c r="C6968" t="s">
        <v>10144</v>
      </c>
      <c r="D6968" t="s">
        <v>18783</v>
      </c>
      <c r="E6968" t="s">
        <v>25049</v>
      </c>
      <c r="F6968" t="s">
        <v>32664</v>
      </c>
      <c r="G6968" t="s">
        <v>32671</v>
      </c>
      <c r="H6968" t="s">
        <v>12635</v>
      </c>
      <c r="I6968" t="s">
        <v>6628</v>
      </c>
      <c r="J6968" t="s">
        <v>34216</v>
      </c>
      <c r="K6968" t="s">
        <v>42303</v>
      </c>
      <c r="M6968" t="s">
        <v>44862</v>
      </c>
      <c r="N6968" t="s">
        <v>46569</v>
      </c>
      <c r="O6968" t="s">
        <v>46570</v>
      </c>
      <c r="P6968">
        <v>0</v>
      </c>
      <c r="Q6968">
        <v>1</v>
      </c>
      <c r="R6968" t="s">
        <v>46573</v>
      </c>
      <c r="S6968" t="s">
        <v>46705</v>
      </c>
      <c r="T6968" t="s">
        <v>48492</v>
      </c>
      <c r="U6968" t="s">
        <v>54528</v>
      </c>
      <c r="V6968" t="s">
        <v>62282</v>
      </c>
      <c r="W6968" t="s">
        <v>44862</v>
      </c>
      <c r="X6968" t="s">
        <v>46574</v>
      </c>
    </row>
    <row r="6969" spans="1:24">
      <c r="A6969">
        <f>HYPERLINK("https://www.philgeps.gov.ph/GEPSNONPILOT/Tender/SplashBidNoticeAbstractUI.aspx?menuIndex=3&amp;refID=7061140&amp;Result=3","7061140")</f>
        <v>0</v>
      </c>
      <c r="B6969" t="s">
        <v>2105</v>
      </c>
      <c r="C6969" t="s">
        <v>10145</v>
      </c>
      <c r="D6969" t="s">
        <v>18857</v>
      </c>
      <c r="E6969" t="s">
        <v>25050</v>
      </c>
      <c r="F6969" t="s">
        <v>32664</v>
      </c>
      <c r="G6969" t="s">
        <v>32672</v>
      </c>
      <c r="H6969" t="s">
        <v>12635</v>
      </c>
      <c r="I6969" t="s">
        <v>10590</v>
      </c>
      <c r="J6969" t="s">
        <v>37125</v>
      </c>
      <c r="K6969" t="s">
        <v>42289</v>
      </c>
      <c r="M6969" t="s">
        <v>44860</v>
      </c>
      <c r="N6969" t="s">
        <v>46569</v>
      </c>
      <c r="O6969" t="s">
        <v>46570</v>
      </c>
      <c r="P6969">
        <v>0</v>
      </c>
      <c r="Q6969">
        <v>0</v>
      </c>
      <c r="R6969" t="s">
        <v>46573</v>
      </c>
      <c r="S6969" t="s">
        <v>46705</v>
      </c>
      <c r="T6969" t="s">
        <v>48228</v>
      </c>
      <c r="U6969" t="s">
        <v>54529</v>
      </c>
      <c r="W6969" t="s">
        <v>44860</v>
      </c>
      <c r="X6969" t="s">
        <v>46574</v>
      </c>
    </row>
    <row r="6970" spans="1:24">
      <c r="A6970">
        <f>HYPERLINK("https://www.philgeps.gov.ph/GEPSNONPILOT/Tender/SplashBidNoticeAbstractUI.aspx?menuIndex=3&amp;refID=7061164&amp;Result=3","7061164")</f>
        <v>0</v>
      </c>
      <c r="B6970" t="s">
        <v>2190</v>
      </c>
      <c r="C6970" t="s">
        <v>10146</v>
      </c>
      <c r="D6970" t="s">
        <v>18781</v>
      </c>
      <c r="E6970" t="s">
        <v>25051</v>
      </c>
      <c r="F6970" t="s">
        <v>32664</v>
      </c>
      <c r="G6970" t="s">
        <v>32674</v>
      </c>
      <c r="H6970" t="s">
        <v>12635</v>
      </c>
      <c r="I6970" t="s">
        <v>32699</v>
      </c>
      <c r="J6970" t="s">
        <v>32889</v>
      </c>
      <c r="K6970" t="s">
        <v>42283</v>
      </c>
      <c r="M6970" t="s">
        <v>44952</v>
      </c>
      <c r="N6970" t="s">
        <v>46569</v>
      </c>
      <c r="O6970" t="s">
        <v>46570</v>
      </c>
      <c r="P6970">
        <v>0</v>
      </c>
      <c r="Q6970">
        <v>0</v>
      </c>
      <c r="R6970" t="s">
        <v>46573</v>
      </c>
      <c r="S6970" t="s">
        <v>46705</v>
      </c>
      <c r="T6970" t="s">
        <v>48473</v>
      </c>
      <c r="U6970" t="s">
        <v>54530</v>
      </c>
      <c r="W6970" t="s">
        <v>44952</v>
      </c>
      <c r="X6970" t="s">
        <v>46574</v>
      </c>
    </row>
    <row r="6971" spans="1:24">
      <c r="A6971">
        <f>HYPERLINK("https://www.philgeps.gov.ph/GEPSNONPILOT/Tender/SplashBidNoticeAbstractUI.aspx?menuIndex=3&amp;refID=7061161&amp;Result=3","7061161")</f>
        <v>0</v>
      </c>
      <c r="B6971" t="s">
        <v>796</v>
      </c>
      <c r="C6971" t="s">
        <v>10147</v>
      </c>
      <c r="D6971" t="s">
        <v>18801</v>
      </c>
      <c r="E6971" t="s">
        <v>25052</v>
      </c>
      <c r="F6971" t="s">
        <v>32664</v>
      </c>
      <c r="G6971" t="s">
        <v>32672</v>
      </c>
      <c r="H6971" t="s">
        <v>32683</v>
      </c>
      <c r="I6971" t="s">
        <v>10627</v>
      </c>
      <c r="J6971" t="s">
        <v>37126</v>
      </c>
      <c r="K6971" t="s">
        <v>42285</v>
      </c>
      <c r="M6971" t="s">
        <v>43388</v>
      </c>
      <c r="N6971" t="s">
        <v>46569</v>
      </c>
      <c r="O6971" t="s">
        <v>46570</v>
      </c>
      <c r="P6971">
        <v>0</v>
      </c>
      <c r="Q6971">
        <v>2</v>
      </c>
      <c r="R6971" t="s">
        <v>46573</v>
      </c>
      <c r="S6971" t="s">
        <v>46705</v>
      </c>
      <c r="T6971" t="s">
        <v>48220</v>
      </c>
      <c r="U6971" t="s">
        <v>54125</v>
      </c>
      <c r="W6971" t="s">
        <v>63490</v>
      </c>
      <c r="X6971" t="s">
        <v>46574</v>
      </c>
    </row>
    <row r="6972" spans="1:24">
      <c r="A6972">
        <f>HYPERLINK("https://www.philgeps.gov.ph/GEPSNONPILOT/Tender/SplashBidNoticeAbstractUI.aspx?menuIndex=3&amp;refID=7061138&amp;Result=3","7061138")</f>
        <v>0</v>
      </c>
      <c r="B6972" t="s">
        <v>1566</v>
      </c>
      <c r="C6972" t="s">
        <v>10148</v>
      </c>
      <c r="E6972" t="s">
        <v>25053</v>
      </c>
      <c r="F6972" t="s">
        <v>32664</v>
      </c>
      <c r="G6972" t="s">
        <v>32672</v>
      </c>
      <c r="H6972" t="s">
        <v>32683</v>
      </c>
      <c r="I6972" t="s">
        <v>10627</v>
      </c>
      <c r="J6972" t="s">
        <v>32962</v>
      </c>
      <c r="K6972" t="s">
        <v>42283</v>
      </c>
      <c r="M6972" t="s">
        <v>44239</v>
      </c>
      <c r="N6972" t="s">
        <v>46569</v>
      </c>
      <c r="O6972" t="s">
        <v>46570</v>
      </c>
      <c r="P6972">
        <v>0</v>
      </c>
      <c r="Q6972">
        <v>0</v>
      </c>
      <c r="R6972" t="s">
        <v>46573</v>
      </c>
      <c r="S6972" t="s">
        <v>46705</v>
      </c>
      <c r="T6972" t="s">
        <v>48362</v>
      </c>
      <c r="U6972" t="s">
        <v>54531</v>
      </c>
      <c r="W6972" t="s">
        <v>44239</v>
      </c>
      <c r="X6972" t="s">
        <v>46574</v>
      </c>
    </row>
    <row r="6973" spans="1:24">
      <c r="A6973">
        <f>HYPERLINK("https://www.philgeps.gov.ph/GEPSNONPILOT/Tender/SplashBidNoticeAbstractUI.aspx?menuIndex=3&amp;refID=7061633&amp;Result=3","7061633")</f>
        <v>0</v>
      </c>
      <c r="B6973" t="s">
        <v>455</v>
      </c>
      <c r="C6973" t="s">
        <v>5825</v>
      </c>
      <c r="D6973" t="s">
        <v>18834</v>
      </c>
      <c r="E6973" t="s">
        <v>25054</v>
      </c>
      <c r="F6973" t="s">
        <v>32664</v>
      </c>
      <c r="G6973" t="s">
        <v>32671</v>
      </c>
      <c r="H6973" t="s">
        <v>12635</v>
      </c>
      <c r="I6973" t="s">
        <v>6168</v>
      </c>
      <c r="J6973" t="s">
        <v>37127</v>
      </c>
      <c r="K6973" t="s">
        <v>42281</v>
      </c>
      <c r="M6973" t="s">
        <v>43596</v>
      </c>
      <c r="N6973" t="s">
        <v>46569</v>
      </c>
      <c r="O6973" t="s">
        <v>46570</v>
      </c>
      <c r="P6973">
        <v>0</v>
      </c>
      <c r="Q6973">
        <v>1</v>
      </c>
      <c r="R6973" t="s">
        <v>46573</v>
      </c>
      <c r="S6973" t="s">
        <v>46705</v>
      </c>
      <c r="T6973" t="s">
        <v>48450</v>
      </c>
      <c r="U6973" t="s">
        <v>54532</v>
      </c>
      <c r="W6973" t="s">
        <v>43596</v>
      </c>
      <c r="X6973" t="s">
        <v>46574</v>
      </c>
    </row>
    <row r="6974" spans="1:24">
      <c r="A6974">
        <f>HYPERLINK("https://www.philgeps.gov.ph/GEPSNONPILOT/Tender/SplashBidNoticeAbstractUI.aspx?menuIndex=3&amp;refID=7061632&amp;Result=3","7061632")</f>
        <v>0</v>
      </c>
      <c r="B6974" t="s">
        <v>1083</v>
      </c>
      <c r="C6974" t="s">
        <v>10149</v>
      </c>
      <c r="D6974" t="s">
        <v>18784</v>
      </c>
      <c r="E6974" t="s">
        <v>25055</v>
      </c>
      <c r="F6974" t="s">
        <v>32664</v>
      </c>
      <c r="G6974" t="s">
        <v>32671</v>
      </c>
      <c r="H6974" t="s">
        <v>12635</v>
      </c>
      <c r="I6974" t="s">
        <v>4439</v>
      </c>
      <c r="J6974" t="s">
        <v>37128</v>
      </c>
      <c r="K6974" t="s">
        <v>42284</v>
      </c>
      <c r="M6974" t="s">
        <v>43707</v>
      </c>
      <c r="N6974" t="s">
        <v>46569</v>
      </c>
      <c r="O6974" t="s">
        <v>46570</v>
      </c>
      <c r="P6974">
        <v>0</v>
      </c>
      <c r="Q6974">
        <v>1</v>
      </c>
      <c r="R6974" t="s">
        <v>46573</v>
      </c>
      <c r="S6974" t="s">
        <v>46705</v>
      </c>
      <c r="T6974" t="s">
        <v>48492</v>
      </c>
      <c r="U6974" t="s">
        <v>54533</v>
      </c>
      <c r="W6974" t="s">
        <v>43707</v>
      </c>
      <c r="X6974" t="s">
        <v>46574</v>
      </c>
    </row>
    <row r="6975" spans="1:24">
      <c r="A6975">
        <f>HYPERLINK("https://www.philgeps.gov.ph/GEPSNONPILOT/Tender/SplashBidNoticeAbstractUI.aspx?menuIndex=3&amp;refID=7061631&amp;Result=3","7061631")</f>
        <v>0</v>
      </c>
      <c r="B6975" t="s">
        <v>134</v>
      </c>
      <c r="C6975" t="s">
        <v>10150</v>
      </c>
      <c r="D6975" t="s">
        <v>18784</v>
      </c>
      <c r="E6975" t="s">
        <v>25056</v>
      </c>
      <c r="F6975" t="s">
        <v>32664</v>
      </c>
      <c r="G6975" t="s">
        <v>32671</v>
      </c>
      <c r="H6975" t="s">
        <v>12635</v>
      </c>
      <c r="I6975" t="s">
        <v>5501</v>
      </c>
      <c r="J6975" t="s">
        <v>37129</v>
      </c>
      <c r="K6975" t="s">
        <v>42284</v>
      </c>
      <c r="M6975" t="s">
        <v>44256</v>
      </c>
      <c r="N6975" t="s">
        <v>46569</v>
      </c>
      <c r="O6975" t="s">
        <v>46570</v>
      </c>
      <c r="P6975">
        <v>0</v>
      </c>
      <c r="Q6975">
        <v>5</v>
      </c>
      <c r="R6975" t="s">
        <v>46573</v>
      </c>
      <c r="S6975" t="s">
        <v>46705</v>
      </c>
      <c r="T6975" t="s">
        <v>48316</v>
      </c>
      <c r="U6975" t="s">
        <v>54534</v>
      </c>
      <c r="W6975" t="s">
        <v>44256</v>
      </c>
      <c r="X6975" t="s">
        <v>46574</v>
      </c>
    </row>
    <row r="6976" spans="1:24">
      <c r="A6976">
        <f>HYPERLINK("https://www.philgeps.gov.ph/GEPSNONPILOT/Tender/SplashBidNoticeAbstractUI.aspx?menuIndex=3&amp;refID=7061165&amp;Result=3","7061165")</f>
        <v>0</v>
      </c>
      <c r="B6976" t="s">
        <v>1863</v>
      </c>
      <c r="C6976" t="s">
        <v>6628</v>
      </c>
      <c r="D6976" t="s">
        <v>18783</v>
      </c>
      <c r="E6976" t="s">
        <v>25057</v>
      </c>
      <c r="F6976" t="s">
        <v>32664</v>
      </c>
      <c r="G6976" t="s">
        <v>32671</v>
      </c>
      <c r="H6976" t="s">
        <v>12635</v>
      </c>
      <c r="I6976" t="s">
        <v>6628</v>
      </c>
      <c r="J6976" t="s">
        <v>37093</v>
      </c>
      <c r="K6976" t="s">
        <v>42378</v>
      </c>
      <c r="M6976" t="s">
        <v>44576</v>
      </c>
      <c r="N6976" t="s">
        <v>46569</v>
      </c>
      <c r="O6976" t="s">
        <v>46570</v>
      </c>
      <c r="P6976">
        <v>0</v>
      </c>
      <c r="Q6976">
        <v>0</v>
      </c>
      <c r="R6976" t="s">
        <v>46573</v>
      </c>
      <c r="S6976" t="s">
        <v>46705</v>
      </c>
      <c r="T6976" t="s">
        <v>48307</v>
      </c>
      <c r="U6976" t="s">
        <v>53369</v>
      </c>
      <c r="V6976" t="s">
        <v>62203</v>
      </c>
      <c r="W6976" t="s">
        <v>44576</v>
      </c>
      <c r="X6976" t="s">
        <v>46574</v>
      </c>
    </row>
    <row r="6977" spans="1:24">
      <c r="A6977">
        <f>HYPERLINK("https://www.philgeps.gov.ph/GEPSNONPILOT/Tender/SplashBidNoticeAbstractUI.aspx?menuIndex=3&amp;refID=7061630&amp;Result=3","7061630")</f>
        <v>0</v>
      </c>
      <c r="B6977" t="s">
        <v>2146</v>
      </c>
      <c r="C6977" t="s">
        <v>10151</v>
      </c>
      <c r="D6977" t="s">
        <v>18784</v>
      </c>
      <c r="E6977" t="s">
        <v>25058</v>
      </c>
      <c r="F6977" t="s">
        <v>32664</v>
      </c>
      <c r="G6977" t="s">
        <v>32674</v>
      </c>
      <c r="H6977" t="s">
        <v>12635</v>
      </c>
      <c r="I6977" t="s">
        <v>32710</v>
      </c>
      <c r="J6977" t="s">
        <v>35541</v>
      </c>
      <c r="K6977" t="s">
        <v>42309</v>
      </c>
      <c r="L6977" t="s">
        <v>2146</v>
      </c>
      <c r="M6977" t="s">
        <v>44902</v>
      </c>
      <c r="N6977" t="s">
        <v>46569</v>
      </c>
      <c r="O6977" t="s">
        <v>46570</v>
      </c>
      <c r="P6977">
        <v>0</v>
      </c>
      <c r="Q6977">
        <v>13</v>
      </c>
      <c r="R6977" t="s">
        <v>46573</v>
      </c>
      <c r="S6977" t="s">
        <v>46705</v>
      </c>
      <c r="T6977" t="s">
        <v>48298</v>
      </c>
      <c r="U6977" t="s">
        <v>54535</v>
      </c>
      <c r="W6977" t="s">
        <v>44902</v>
      </c>
      <c r="X6977" t="s">
        <v>46574</v>
      </c>
    </row>
    <row r="6978" spans="1:24">
      <c r="A6978">
        <f>HYPERLINK("https://www.philgeps.gov.ph/GEPSNONPILOT/Tender/SplashBidNoticeAbstractUI.aspx?menuIndex=3&amp;refID=7061628&amp;Result=3","7061628")</f>
        <v>0</v>
      </c>
      <c r="B6978" t="s">
        <v>990</v>
      </c>
      <c r="C6978" t="s">
        <v>10152</v>
      </c>
      <c r="D6978" t="s">
        <v>18784</v>
      </c>
      <c r="E6978" t="s">
        <v>25059</v>
      </c>
      <c r="F6978" t="s">
        <v>32664</v>
      </c>
      <c r="G6978" t="s">
        <v>32672</v>
      </c>
      <c r="H6978" t="s">
        <v>12635</v>
      </c>
      <c r="I6978" t="s">
        <v>5589</v>
      </c>
      <c r="J6978" t="s">
        <v>37130</v>
      </c>
      <c r="K6978" t="s">
        <v>42283</v>
      </c>
      <c r="M6978" t="s">
        <v>43794</v>
      </c>
      <c r="N6978" t="s">
        <v>46569</v>
      </c>
      <c r="O6978" t="s">
        <v>46570</v>
      </c>
      <c r="P6978">
        <v>0</v>
      </c>
      <c r="Q6978">
        <v>17</v>
      </c>
      <c r="R6978" t="s">
        <v>46573</v>
      </c>
      <c r="S6978" t="s">
        <v>46705</v>
      </c>
      <c r="T6978" t="s">
        <v>48302</v>
      </c>
      <c r="U6978" t="s">
        <v>54536</v>
      </c>
      <c r="V6978" t="s">
        <v>62093</v>
      </c>
      <c r="W6978" t="s">
        <v>43794</v>
      </c>
      <c r="X6978" t="s">
        <v>46574</v>
      </c>
    </row>
    <row r="6979" spans="1:24">
      <c r="A6979">
        <f>HYPERLINK("https://www.philgeps.gov.ph/GEPSNONPILOT/Tender/SplashBidNoticeAbstractUI.aspx?menuIndex=3&amp;refID=7061627&amp;Result=3","7061627")</f>
        <v>0</v>
      </c>
      <c r="B6979" t="s">
        <v>1083</v>
      </c>
      <c r="C6979" t="s">
        <v>10153</v>
      </c>
      <c r="D6979" t="s">
        <v>18784</v>
      </c>
      <c r="E6979" t="s">
        <v>25060</v>
      </c>
      <c r="F6979" t="s">
        <v>32664</v>
      </c>
      <c r="G6979" t="s">
        <v>32671</v>
      </c>
      <c r="H6979" t="s">
        <v>12635</v>
      </c>
      <c r="I6979" t="s">
        <v>4439</v>
      </c>
      <c r="J6979" t="s">
        <v>37131</v>
      </c>
      <c r="K6979" t="s">
        <v>42289</v>
      </c>
      <c r="M6979" t="s">
        <v>43707</v>
      </c>
      <c r="N6979" t="s">
        <v>46569</v>
      </c>
      <c r="O6979" t="s">
        <v>46570</v>
      </c>
      <c r="P6979">
        <v>0</v>
      </c>
      <c r="Q6979">
        <v>1</v>
      </c>
      <c r="R6979" t="s">
        <v>46573</v>
      </c>
      <c r="S6979" t="s">
        <v>46705</v>
      </c>
      <c r="T6979" t="s">
        <v>48492</v>
      </c>
      <c r="U6979" t="s">
        <v>54537</v>
      </c>
      <c r="W6979" t="s">
        <v>43707</v>
      </c>
      <c r="X6979" t="s">
        <v>46574</v>
      </c>
    </row>
    <row r="6980" spans="1:24">
      <c r="A6980">
        <f>HYPERLINK("https://www.philgeps.gov.ph/GEPSNONPILOT/Tender/SplashBidNoticeAbstractUI.aspx?menuIndex=3&amp;refID=7061625&amp;Result=3","7061625")</f>
        <v>0</v>
      </c>
      <c r="B6980" t="s">
        <v>995</v>
      </c>
      <c r="C6980" t="s">
        <v>10154</v>
      </c>
      <c r="D6980" t="s">
        <v>18785</v>
      </c>
      <c r="E6980" t="s">
        <v>25061</v>
      </c>
      <c r="F6980" t="s">
        <v>32664</v>
      </c>
      <c r="G6980" t="s">
        <v>32671</v>
      </c>
      <c r="H6980" t="s">
        <v>12635</v>
      </c>
      <c r="I6980" t="s">
        <v>6223</v>
      </c>
      <c r="J6980" t="s">
        <v>37132</v>
      </c>
      <c r="K6980" t="s">
        <v>42283</v>
      </c>
      <c r="M6980" t="s">
        <v>43607</v>
      </c>
      <c r="N6980" t="s">
        <v>46569</v>
      </c>
      <c r="O6980" t="s">
        <v>46570</v>
      </c>
      <c r="P6980">
        <v>0</v>
      </c>
      <c r="Q6980">
        <v>1</v>
      </c>
      <c r="R6980" t="s">
        <v>46573</v>
      </c>
      <c r="S6980" t="s">
        <v>46705</v>
      </c>
      <c r="T6980" t="s">
        <v>48307</v>
      </c>
      <c r="U6980" t="s">
        <v>54538</v>
      </c>
      <c r="V6980" t="s">
        <v>62312</v>
      </c>
      <c r="W6980" t="s">
        <v>43607</v>
      </c>
      <c r="X6980" t="s">
        <v>46574</v>
      </c>
    </row>
    <row r="6981" spans="1:24">
      <c r="A6981">
        <f>HYPERLINK("https://www.philgeps.gov.ph/GEPSNONPILOT/Tender/SplashBidNoticeAbstractUI.aspx?menuIndex=3&amp;refID=7061623&amp;Result=3","7061623")</f>
        <v>0</v>
      </c>
      <c r="B6981" t="s">
        <v>455</v>
      </c>
      <c r="C6981" t="s">
        <v>5825</v>
      </c>
      <c r="D6981" t="s">
        <v>18834</v>
      </c>
      <c r="E6981" t="s">
        <v>25062</v>
      </c>
      <c r="F6981" t="s">
        <v>32664</v>
      </c>
      <c r="G6981" t="s">
        <v>32671</v>
      </c>
      <c r="H6981" t="s">
        <v>12635</v>
      </c>
      <c r="I6981" t="s">
        <v>6168</v>
      </c>
      <c r="J6981" t="s">
        <v>37133</v>
      </c>
      <c r="K6981" t="s">
        <v>42281</v>
      </c>
      <c r="M6981" t="s">
        <v>43596</v>
      </c>
      <c r="N6981" t="s">
        <v>46569</v>
      </c>
      <c r="O6981" t="s">
        <v>46570</v>
      </c>
      <c r="P6981">
        <v>0</v>
      </c>
      <c r="Q6981">
        <v>0</v>
      </c>
      <c r="R6981" t="s">
        <v>46573</v>
      </c>
      <c r="S6981" t="s">
        <v>46705</v>
      </c>
      <c r="T6981" t="s">
        <v>48450</v>
      </c>
      <c r="U6981" t="s">
        <v>54539</v>
      </c>
      <c r="W6981" t="s">
        <v>43596</v>
      </c>
      <c r="X6981" t="s">
        <v>46574</v>
      </c>
    </row>
    <row r="6982" spans="1:24">
      <c r="A6982">
        <f>HYPERLINK("https://www.philgeps.gov.ph/GEPSNONPILOT/Tender/SplashBidNoticeAbstractUI.aspx?menuIndex=3&amp;refID=7061621&amp;Result=3","7061621")</f>
        <v>0</v>
      </c>
      <c r="B6982" t="s">
        <v>2191</v>
      </c>
      <c r="C6982" t="s">
        <v>10155</v>
      </c>
      <c r="D6982" t="s">
        <v>18784</v>
      </c>
      <c r="E6982" t="s">
        <v>25063</v>
      </c>
      <c r="F6982" t="s">
        <v>32664</v>
      </c>
      <c r="G6982" t="s">
        <v>32672</v>
      </c>
      <c r="H6982" t="s">
        <v>32681</v>
      </c>
      <c r="I6982" t="s">
        <v>32681</v>
      </c>
      <c r="J6982" t="s">
        <v>37134</v>
      </c>
      <c r="K6982" t="s">
        <v>42290</v>
      </c>
      <c r="M6982" t="s">
        <v>44953</v>
      </c>
      <c r="N6982" t="s">
        <v>46569</v>
      </c>
      <c r="O6982" t="s">
        <v>46570</v>
      </c>
      <c r="P6982">
        <v>0</v>
      </c>
      <c r="Q6982">
        <v>9</v>
      </c>
      <c r="R6982" t="s">
        <v>46573</v>
      </c>
      <c r="S6982" t="s">
        <v>46705</v>
      </c>
      <c r="T6982" t="s">
        <v>48239</v>
      </c>
      <c r="U6982" t="s">
        <v>54540</v>
      </c>
      <c r="W6982" t="s">
        <v>44953</v>
      </c>
      <c r="X6982" t="s">
        <v>46574</v>
      </c>
    </row>
    <row r="6983" spans="1:24">
      <c r="A6983">
        <f>HYPERLINK("https://www.philgeps.gov.ph/GEPSNONPILOT/Tender/SplashBidNoticeAbstractUI.aspx?menuIndex=3&amp;refID=7061214&amp;Result=3","7061214")</f>
        <v>0</v>
      </c>
      <c r="B6983" t="s">
        <v>1228</v>
      </c>
      <c r="C6983" t="s">
        <v>10156</v>
      </c>
      <c r="D6983" t="s">
        <v>18783</v>
      </c>
      <c r="E6983" t="s">
        <v>25064</v>
      </c>
      <c r="F6983" t="s">
        <v>32664</v>
      </c>
      <c r="G6983" t="s">
        <v>32674</v>
      </c>
      <c r="H6983" t="s">
        <v>12635</v>
      </c>
      <c r="I6983" t="s">
        <v>32791</v>
      </c>
      <c r="J6983" t="s">
        <v>32976</v>
      </c>
      <c r="K6983" t="s">
        <v>42284</v>
      </c>
      <c r="M6983" t="s">
        <v>43867</v>
      </c>
      <c r="N6983" t="s">
        <v>46569</v>
      </c>
      <c r="O6983" t="s">
        <v>46570</v>
      </c>
      <c r="P6983">
        <v>0</v>
      </c>
      <c r="Q6983">
        <v>1</v>
      </c>
      <c r="R6983" t="s">
        <v>46573</v>
      </c>
      <c r="S6983" t="s">
        <v>46705</v>
      </c>
      <c r="T6983" t="s">
        <v>48448</v>
      </c>
      <c r="U6983" t="s">
        <v>54541</v>
      </c>
      <c r="W6983" t="s">
        <v>43867</v>
      </c>
      <c r="X6983" t="s">
        <v>46574</v>
      </c>
    </row>
    <row r="6984" spans="1:24">
      <c r="A6984">
        <f>HYPERLINK("https://www.philgeps.gov.ph/GEPSNONPILOT/Tender/SplashBidNoticeAbstractUI.aspx?menuIndex=3&amp;refID=7061629&amp;Result=3","7061629")</f>
        <v>0</v>
      </c>
      <c r="B6984" t="s">
        <v>2192</v>
      </c>
      <c r="C6984" t="s">
        <v>10157</v>
      </c>
      <c r="D6984" t="s">
        <v>18837</v>
      </c>
      <c r="E6984" t="s">
        <v>25065</v>
      </c>
      <c r="F6984" t="s">
        <v>32664</v>
      </c>
      <c r="G6984" t="s">
        <v>32674</v>
      </c>
      <c r="H6984" t="s">
        <v>12635</v>
      </c>
      <c r="I6984" t="s">
        <v>7759</v>
      </c>
      <c r="J6984" t="s">
        <v>33069</v>
      </c>
      <c r="K6984" t="s">
        <v>42297</v>
      </c>
      <c r="M6984" t="s">
        <v>44954</v>
      </c>
      <c r="N6984" t="s">
        <v>46569</v>
      </c>
      <c r="O6984" t="s">
        <v>46570</v>
      </c>
      <c r="P6984">
        <v>0</v>
      </c>
      <c r="Q6984">
        <v>1</v>
      </c>
      <c r="R6984" t="s">
        <v>46573</v>
      </c>
      <c r="S6984" t="s">
        <v>46705</v>
      </c>
      <c r="T6984" t="s">
        <v>48473</v>
      </c>
      <c r="U6984" t="s">
        <v>54542</v>
      </c>
      <c r="V6984" t="s">
        <v>62319</v>
      </c>
      <c r="W6984" t="s">
        <v>44954</v>
      </c>
      <c r="X6984" t="s">
        <v>46574</v>
      </c>
    </row>
    <row r="6985" spans="1:24">
      <c r="A6985">
        <f>HYPERLINK("https://www.philgeps.gov.ph/GEPSNONPILOT/Tender/SplashBidNoticeAbstractUI.aspx?menuIndex=3&amp;refID=7061619&amp;Result=3","7061619")</f>
        <v>0</v>
      </c>
      <c r="B6985" t="s">
        <v>2193</v>
      </c>
      <c r="C6985" t="s">
        <v>10158</v>
      </c>
      <c r="D6985" t="s">
        <v>18782</v>
      </c>
      <c r="E6985" t="s">
        <v>25066</v>
      </c>
      <c r="F6985" t="s">
        <v>32664</v>
      </c>
      <c r="G6985" t="s">
        <v>32672</v>
      </c>
      <c r="H6985" t="s">
        <v>32683</v>
      </c>
      <c r="I6985" t="s">
        <v>10627</v>
      </c>
      <c r="J6985" t="s">
        <v>33051</v>
      </c>
      <c r="K6985" t="s">
        <v>42343</v>
      </c>
      <c r="M6985" t="s">
        <v>44955</v>
      </c>
      <c r="N6985" t="s">
        <v>46569</v>
      </c>
      <c r="O6985" t="s">
        <v>46570</v>
      </c>
      <c r="P6985">
        <v>0</v>
      </c>
      <c r="Q6985">
        <v>0</v>
      </c>
      <c r="R6985" t="s">
        <v>46573</v>
      </c>
      <c r="S6985" t="s">
        <v>46705</v>
      </c>
      <c r="T6985" t="s">
        <v>48283</v>
      </c>
      <c r="U6985" t="s">
        <v>54543</v>
      </c>
      <c r="W6985" t="s">
        <v>44955</v>
      </c>
      <c r="X6985" t="s">
        <v>46574</v>
      </c>
    </row>
    <row r="6986" spans="1:24">
      <c r="A6986">
        <f>HYPERLINK("https://www.philgeps.gov.ph/GEPSNONPILOT/Tender/SplashBidNoticeAbstractUI.aspx?menuIndex=3&amp;refID=7061141&amp;Result=3","7061141")</f>
        <v>0</v>
      </c>
      <c r="B6986" t="s">
        <v>2117</v>
      </c>
      <c r="C6986" t="s">
        <v>7498</v>
      </c>
      <c r="D6986" t="s">
        <v>18783</v>
      </c>
      <c r="E6986" t="s">
        <v>25067</v>
      </c>
      <c r="F6986" t="s">
        <v>32664</v>
      </c>
      <c r="G6986" t="s">
        <v>32675</v>
      </c>
      <c r="H6986" t="s">
        <v>12635</v>
      </c>
      <c r="I6986" t="s">
        <v>7709</v>
      </c>
      <c r="J6986" t="s">
        <v>37135</v>
      </c>
      <c r="K6986" t="s">
        <v>42283</v>
      </c>
      <c r="M6986" t="s">
        <v>44872</v>
      </c>
      <c r="N6986" t="s">
        <v>46569</v>
      </c>
      <c r="O6986" t="s">
        <v>46570</v>
      </c>
      <c r="P6986">
        <v>0</v>
      </c>
      <c r="Q6986">
        <v>0</v>
      </c>
      <c r="R6986" t="s">
        <v>46573</v>
      </c>
      <c r="S6986" t="s">
        <v>46705</v>
      </c>
      <c r="T6986" t="s">
        <v>48287</v>
      </c>
      <c r="U6986" t="s">
        <v>54544</v>
      </c>
      <c r="V6986" t="s">
        <v>62284</v>
      </c>
      <c r="W6986" t="s">
        <v>44872</v>
      </c>
      <c r="X6986" t="s">
        <v>46574</v>
      </c>
    </row>
    <row r="6987" spans="1:24">
      <c r="A6987">
        <f>HYPERLINK("https://www.philgeps.gov.ph/GEPSNONPILOT/Tender/SplashBidNoticeAbstractUI.aspx?menuIndex=3&amp;refID=7061618&amp;Result=3","7061618")</f>
        <v>0</v>
      </c>
      <c r="B6987" t="s">
        <v>2194</v>
      </c>
      <c r="C6987" t="s">
        <v>10159</v>
      </c>
      <c r="D6987" t="s">
        <v>18838</v>
      </c>
      <c r="E6987" t="s">
        <v>18926</v>
      </c>
      <c r="F6987" t="s">
        <v>32664</v>
      </c>
      <c r="G6987" t="s">
        <v>32672</v>
      </c>
      <c r="H6987" t="s">
        <v>12635</v>
      </c>
      <c r="I6987" t="s">
        <v>4439</v>
      </c>
      <c r="J6987" t="s">
        <v>37136</v>
      </c>
      <c r="K6987" t="s">
        <v>42284</v>
      </c>
      <c r="M6987" t="s">
        <v>44956</v>
      </c>
      <c r="N6987" t="s">
        <v>46569</v>
      </c>
      <c r="O6987" t="s">
        <v>46570</v>
      </c>
      <c r="P6987">
        <v>0</v>
      </c>
      <c r="Q6987">
        <v>1</v>
      </c>
      <c r="R6987" t="s">
        <v>46573</v>
      </c>
      <c r="S6987" t="s">
        <v>46705</v>
      </c>
      <c r="T6987" t="s">
        <v>48305</v>
      </c>
      <c r="U6987" t="s">
        <v>54545</v>
      </c>
      <c r="V6987" t="s">
        <v>62320</v>
      </c>
      <c r="W6987" t="s">
        <v>44956</v>
      </c>
      <c r="X6987" t="s">
        <v>46574</v>
      </c>
    </row>
    <row r="6988" spans="1:24">
      <c r="A6988">
        <f>HYPERLINK("https://www.philgeps.gov.ph/GEPSNONPILOT/Tender/SplashBidNoticeAbstractUI.aspx?menuIndex=3&amp;refID=7061615&amp;Result=3","7061615")</f>
        <v>0</v>
      </c>
      <c r="B6988" t="s">
        <v>2195</v>
      </c>
      <c r="C6988" t="s">
        <v>10160</v>
      </c>
      <c r="D6988" t="s">
        <v>18805</v>
      </c>
      <c r="E6988" t="s">
        <v>25068</v>
      </c>
      <c r="F6988" t="s">
        <v>32664</v>
      </c>
      <c r="G6988" t="s">
        <v>32671</v>
      </c>
      <c r="H6988" t="s">
        <v>12635</v>
      </c>
      <c r="I6988" t="s">
        <v>4439</v>
      </c>
      <c r="J6988" t="s">
        <v>37137</v>
      </c>
      <c r="K6988" t="s">
        <v>42309</v>
      </c>
      <c r="M6988" t="s">
        <v>44957</v>
      </c>
      <c r="N6988" t="s">
        <v>46569</v>
      </c>
      <c r="O6988" t="s">
        <v>46570</v>
      </c>
      <c r="P6988">
        <v>0</v>
      </c>
      <c r="Q6988">
        <v>0</v>
      </c>
      <c r="R6988" t="s">
        <v>46573</v>
      </c>
      <c r="S6988" t="s">
        <v>46705</v>
      </c>
      <c r="T6988" t="s">
        <v>48254</v>
      </c>
      <c r="U6988" t="s">
        <v>54546</v>
      </c>
      <c r="V6988" t="s">
        <v>62321</v>
      </c>
      <c r="W6988" t="s">
        <v>44957</v>
      </c>
      <c r="X6988" t="s">
        <v>46574</v>
      </c>
    </row>
    <row r="6989" spans="1:24">
      <c r="A6989">
        <f>HYPERLINK("https://www.philgeps.gov.ph/GEPSNONPILOT/Tender/SplashBidNoticeAbstractUI.aspx?menuIndex=3&amp;refID=7061614&amp;Result=3","7061614")</f>
        <v>0</v>
      </c>
      <c r="B6989" t="s">
        <v>995</v>
      </c>
      <c r="C6989" t="s">
        <v>10161</v>
      </c>
      <c r="D6989" t="s">
        <v>18798</v>
      </c>
      <c r="E6989" t="s">
        <v>25069</v>
      </c>
      <c r="F6989" t="s">
        <v>32664</v>
      </c>
      <c r="G6989" t="s">
        <v>32674</v>
      </c>
      <c r="H6989" t="s">
        <v>12635</v>
      </c>
      <c r="I6989" t="s">
        <v>6223</v>
      </c>
      <c r="J6989" t="s">
        <v>37138</v>
      </c>
      <c r="K6989" t="s">
        <v>42283</v>
      </c>
      <c r="M6989" t="s">
        <v>43607</v>
      </c>
      <c r="N6989" t="s">
        <v>46569</v>
      </c>
      <c r="O6989" t="s">
        <v>46570</v>
      </c>
      <c r="P6989">
        <v>0</v>
      </c>
      <c r="Q6989">
        <v>2</v>
      </c>
      <c r="R6989" t="s">
        <v>46573</v>
      </c>
      <c r="S6989" t="s">
        <v>46705</v>
      </c>
      <c r="T6989" t="s">
        <v>48307</v>
      </c>
      <c r="U6989" t="s">
        <v>54547</v>
      </c>
      <c r="W6989" t="s">
        <v>43607</v>
      </c>
      <c r="X6989" t="s">
        <v>46574</v>
      </c>
    </row>
    <row r="6990" spans="1:24">
      <c r="A6990">
        <f>HYPERLINK("https://www.philgeps.gov.ph/GEPSNONPILOT/Tender/SplashBidNoticeAbstractUI.aspx?menuIndex=3&amp;refID=7061613&amp;Result=3","7061613")</f>
        <v>0</v>
      </c>
      <c r="B6990" t="s">
        <v>455</v>
      </c>
      <c r="C6990" t="s">
        <v>5825</v>
      </c>
      <c r="D6990" t="s">
        <v>18834</v>
      </c>
      <c r="E6990" t="s">
        <v>25070</v>
      </c>
      <c r="F6990" t="s">
        <v>32664</v>
      </c>
      <c r="G6990" t="s">
        <v>32671</v>
      </c>
      <c r="H6990" t="s">
        <v>12635</v>
      </c>
      <c r="I6990" t="s">
        <v>6168</v>
      </c>
      <c r="J6990" t="s">
        <v>33141</v>
      </c>
      <c r="K6990" t="s">
        <v>42281</v>
      </c>
      <c r="M6990" t="s">
        <v>43596</v>
      </c>
      <c r="N6990" t="s">
        <v>46569</v>
      </c>
      <c r="O6990" t="s">
        <v>46570</v>
      </c>
      <c r="P6990">
        <v>0</v>
      </c>
      <c r="Q6990">
        <v>0</v>
      </c>
      <c r="R6990" t="s">
        <v>46573</v>
      </c>
      <c r="S6990" t="s">
        <v>46705</v>
      </c>
      <c r="T6990" t="s">
        <v>48254</v>
      </c>
      <c r="U6990" t="s">
        <v>54548</v>
      </c>
      <c r="W6990" t="s">
        <v>43596</v>
      </c>
      <c r="X6990" t="s">
        <v>46574</v>
      </c>
    </row>
    <row r="6991" spans="1:24">
      <c r="A6991">
        <f>HYPERLINK("https://www.philgeps.gov.ph/GEPSNONPILOT/Tender/SplashBidNoticeAbstractUI.aspx?menuIndex=3&amp;refID=7061584&amp;Result=3","7061584")</f>
        <v>0</v>
      </c>
      <c r="B6991" t="s">
        <v>1355</v>
      </c>
      <c r="C6991" t="s">
        <v>10162</v>
      </c>
      <c r="D6991" t="s">
        <v>18831</v>
      </c>
      <c r="E6991" t="s">
        <v>25071</v>
      </c>
      <c r="F6991" t="s">
        <v>32664</v>
      </c>
      <c r="G6991" t="s">
        <v>32671</v>
      </c>
      <c r="H6991" t="s">
        <v>12635</v>
      </c>
      <c r="I6991" t="s">
        <v>32712</v>
      </c>
      <c r="J6991" t="s">
        <v>37139</v>
      </c>
      <c r="K6991" t="s">
        <v>42283</v>
      </c>
      <c r="M6991" t="s">
        <v>44007</v>
      </c>
      <c r="N6991" t="s">
        <v>46569</v>
      </c>
      <c r="O6991" t="s">
        <v>46570</v>
      </c>
      <c r="P6991">
        <v>0</v>
      </c>
      <c r="Q6991">
        <v>5</v>
      </c>
      <c r="R6991" t="s">
        <v>46573</v>
      </c>
      <c r="S6991" t="s">
        <v>46705</v>
      </c>
      <c r="T6991" t="s">
        <v>48316</v>
      </c>
      <c r="U6991" t="s">
        <v>54549</v>
      </c>
      <c r="W6991" t="s">
        <v>44007</v>
      </c>
      <c r="X6991" t="s">
        <v>46574</v>
      </c>
    </row>
    <row r="6992" spans="1:24">
      <c r="A6992">
        <f>HYPERLINK("https://www.philgeps.gov.ph/GEPSNONPILOT/Tender/SplashBidNoticeAbstractUI.aspx?menuIndex=3&amp;refID=7061612&amp;Result=3","7061612")</f>
        <v>0</v>
      </c>
      <c r="B6992" t="s">
        <v>238</v>
      </c>
      <c r="C6992" t="s">
        <v>10163</v>
      </c>
      <c r="D6992" t="s">
        <v>18798</v>
      </c>
      <c r="E6992" t="s">
        <v>25072</v>
      </c>
      <c r="F6992" t="s">
        <v>32664</v>
      </c>
      <c r="G6992" t="s">
        <v>32675</v>
      </c>
      <c r="H6992" t="s">
        <v>12635</v>
      </c>
      <c r="I6992" t="s">
        <v>32692</v>
      </c>
      <c r="J6992" t="s">
        <v>33931</v>
      </c>
      <c r="K6992" t="s">
        <v>42309</v>
      </c>
      <c r="M6992" t="s">
        <v>44958</v>
      </c>
      <c r="N6992" t="s">
        <v>46569</v>
      </c>
      <c r="O6992" t="s">
        <v>46570</v>
      </c>
      <c r="P6992">
        <v>0</v>
      </c>
      <c r="Q6992">
        <v>6</v>
      </c>
      <c r="R6992" t="s">
        <v>46573</v>
      </c>
      <c r="S6992" t="s">
        <v>46705</v>
      </c>
      <c r="T6992" t="s">
        <v>48307</v>
      </c>
      <c r="U6992" t="s">
        <v>54550</v>
      </c>
      <c r="W6992" t="s">
        <v>44958</v>
      </c>
      <c r="X6992" t="s">
        <v>46574</v>
      </c>
    </row>
    <row r="6993" spans="1:24">
      <c r="A6993">
        <f>HYPERLINK("https://www.philgeps.gov.ph/GEPSNONPILOT/Tender/SplashBidNoticeAbstractUI.aspx?menuIndex=3&amp;refID=7061137&amp;Result=3","7061137")</f>
        <v>0</v>
      </c>
      <c r="B6993" t="s">
        <v>2099</v>
      </c>
      <c r="C6993" t="s">
        <v>10164</v>
      </c>
      <c r="D6993" t="s">
        <v>18803</v>
      </c>
      <c r="E6993" t="s">
        <v>25073</v>
      </c>
      <c r="F6993" t="s">
        <v>32666</v>
      </c>
      <c r="G6993" t="s">
        <v>32672</v>
      </c>
      <c r="H6993" t="s">
        <v>32681</v>
      </c>
      <c r="I6993" t="s">
        <v>9946</v>
      </c>
      <c r="J6993" t="s">
        <v>33177</v>
      </c>
      <c r="K6993" t="s">
        <v>42309</v>
      </c>
      <c r="M6993" t="s">
        <v>44854</v>
      </c>
      <c r="N6993" t="s">
        <v>46569</v>
      </c>
      <c r="O6993" t="s">
        <v>46570</v>
      </c>
      <c r="P6993">
        <v>0</v>
      </c>
      <c r="Q6993">
        <v>0</v>
      </c>
      <c r="R6993" t="s">
        <v>46573</v>
      </c>
      <c r="S6993" t="s">
        <v>46705</v>
      </c>
      <c r="T6993" t="s">
        <v>48327</v>
      </c>
      <c r="U6993" t="s">
        <v>54551</v>
      </c>
      <c r="W6993" t="s">
        <v>44854</v>
      </c>
      <c r="X6993" t="s">
        <v>46574</v>
      </c>
    </row>
    <row r="6994" spans="1:24">
      <c r="A6994">
        <f>HYPERLINK("https://www.philgeps.gov.ph/GEPSNONPILOT/Tender/SplashBidNoticeAbstractUI.aspx?menuIndex=3&amp;refID=7061620&amp;Result=3","7061620")</f>
        <v>0</v>
      </c>
      <c r="B6994" t="s">
        <v>2186</v>
      </c>
      <c r="C6994" t="s">
        <v>10165</v>
      </c>
      <c r="D6994" t="s">
        <v>18831</v>
      </c>
      <c r="E6994" t="s">
        <v>25074</v>
      </c>
      <c r="F6994" t="s">
        <v>32665</v>
      </c>
      <c r="G6994" t="s">
        <v>32672</v>
      </c>
      <c r="H6994" t="s">
        <v>12635</v>
      </c>
      <c r="I6994" t="s">
        <v>11464</v>
      </c>
      <c r="J6994" t="s">
        <v>36502</v>
      </c>
      <c r="K6994" t="s">
        <v>42281</v>
      </c>
      <c r="M6994" t="s">
        <v>44959</v>
      </c>
      <c r="N6994" t="s">
        <v>46569</v>
      </c>
      <c r="O6994" t="s">
        <v>46570</v>
      </c>
      <c r="P6994">
        <v>0</v>
      </c>
      <c r="Q6994">
        <v>1</v>
      </c>
      <c r="R6994" t="s">
        <v>46573</v>
      </c>
      <c r="S6994" t="s">
        <v>46705</v>
      </c>
      <c r="T6994" t="s">
        <v>48222</v>
      </c>
      <c r="U6994" t="s">
        <v>54552</v>
      </c>
      <c r="W6994" t="s">
        <v>44959</v>
      </c>
      <c r="X6994" t="s">
        <v>46574</v>
      </c>
    </row>
    <row r="6995" spans="1:24">
      <c r="A6995">
        <f>HYPERLINK("https://www.philgeps.gov.ph/GEPSNONPILOT/Tender/SplashBidNoticeAbstractUI.aspx?menuIndex=3&amp;refID=7061068&amp;Result=3","7061068")</f>
        <v>0</v>
      </c>
      <c r="B6995" t="s">
        <v>2121</v>
      </c>
      <c r="C6995" t="s">
        <v>10166</v>
      </c>
      <c r="D6995" t="s">
        <v>18844</v>
      </c>
      <c r="E6995" t="s">
        <v>25075</v>
      </c>
      <c r="F6995" t="s">
        <v>32664</v>
      </c>
      <c r="G6995" t="s">
        <v>32672</v>
      </c>
      <c r="H6995" t="s">
        <v>32683</v>
      </c>
      <c r="I6995" t="s">
        <v>10627</v>
      </c>
      <c r="J6995" t="s">
        <v>37140</v>
      </c>
      <c r="K6995" t="s">
        <v>42281</v>
      </c>
      <c r="L6995" t="s">
        <v>2121</v>
      </c>
      <c r="M6995" t="s">
        <v>44876</v>
      </c>
      <c r="N6995" t="s">
        <v>46569</v>
      </c>
      <c r="O6995" t="s">
        <v>46570</v>
      </c>
      <c r="P6995">
        <v>0</v>
      </c>
      <c r="Q6995">
        <v>0</v>
      </c>
      <c r="R6995" t="s">
        <v>46573</v>
      </c>
      <c r="S6995" t="s">
        <v>46705</v>
      </c>
      <c r="T6995" t="s">
        <v>48228</v>
      </c>
      <c r="U6995" t="s">
        <v>54553</v>
      </c>
      <c r="W6995" t="s">
        <v>44876</v>
      </c>
      <c r="X6995" t="s">
        <v>46574</v>
      </c>
    </row>
    <row r="6996" spans="1:24">
      <c r="A6996">
        <f>HYPERLINK("https://www.philgeps.gov.ph/GEPSNONPILOT/Tender/SplashBidNoticeAbstractUI.aspx?menuIndex=3&amp;refID=7061064&amp;Result=3","7061064")</f>
        <v>0</v>
      </c>
      <c r="B6996" t="s">
        <v>349</v>
      </c>
      <c r="C6996" t="s">
        <v>10167</v>
      </c>
      <c r="D6996" t="s">
        <v>18834</v>
      </c>
      <c r="E6996" t="s">
        <v>25076</v>
      </c>
      <c r="F6996" t="s">
        <v>32664</v>
      </c>
      <c r="G6996" t="s">
        <v>32674</v>
      </c>
      <c r="H6996" t="s">
        <v>12635</v>
      </c>
      <c r="I6996" t="s">
        <v>4333</v>
      </c>
      <c r="J6996" t="s">
        <v>34180</v>
      </c>
      <c r="K6996" t="s">
        <v>42297</v>
      </c>
      <c r="M6996" t="s">
        <v>44845</v>
      </c>
      <c r="N6996" t="s">
        <v>46569</v>
      </c>
      <c r="O6996" t="s">
        <v>46570</v>
      </c>
      <c r="P6996">
        <v>0</v>
      </c>
      <c r="Q6996">
        <v>7</v>
      </c>
      <c r="R6996" t="s">
        <v>46573</v>
      </c>
      <c r="S6996" t="s">
        <v>46705</v>
      </c>
      <c r="T6996" t="s">
        <v>48316</v>
      </c>
      <c r="U6996" t="s">
        <v>54554</v>
      </c>
      <c r="W6996" t="s">
        <v>63473</v>
      </c>
      <c r="X6996" t="s">
        <v>46574</v>
      </c>
    </row>
    <row r="6997" spans="1:24">
      <c r="A6997">
        <f>HYPERLINK("https://www.philgeps.gov.ph/GEPSNONPILOT/Tender/SplashBidNoticeAbstractUI.aspx?menuIndex=3&amp;refID=7061067&amp;Result=3","7061067")</f>
        <v>0</v>
      </c>
      <c r="B6997" t="s">
        <v>1905</v>
      </c>
      <c r="C6997" t="s">
        <v>10168</v>
      </c>
      <c r="D6997" t="s">
        <v>18785</v>
      </c>
      <c r="E6997" t="s">
        <v>24732</v>
      </c>
      <c r="F6997" t="s">
        <v>32664</v>
      </c>
      <c r="G6997" t="s">
        <v>32672</v>
      </c>
      <c r="H6997" t="s">
        <v>32682</v>
      </c>
      <c r="I6997" t="s">
        <v>32706</v>
      </c>
      <c r="J6997" t="s">
        <v>37141</v>
      </c>
      <c r="K6997" t="s">
        <v>42334</v>
      </c>
      <c r="M6997" t="s">
        <v>44626</v>
      </c>
      <c r="N6997" t="s">
        <v>46569</v>
      </c>
      <c r="O6997" t="s">
        <v>46570</v>
      </c>
      <c r="P6997">
        <v>0</v>
      </c>
      <c r="Q6997">
        <v>0</v>
      </c>
      <c r="R6997" t="s">
        <v>46573</v>
      </c>
      <c r="S6997" t="s">
        <v>46705</v>
      </c>
      <c r="T6997" t="s">
        <v>48349</v>
      </c>
      <c r="U6997" t="s">
        <v>54555</v>
      </c>
      <c r="W6997" t="s">
        <v>44626</v>
      </c>
      <c r="X6997" t="s">
        <v>46574</v>
      </c>
    </row>
    <row r="6998" spans="1:24">
      <c r="A6998">
        <f>HYPERLINK("https://www.philgeps.gov.ph/GEPSNONPILOT/Tender/SplashBidNoticeAbstractUI.aspx?menuIndex=3&amp;refID=7061049&amp;Result=3","7061049")</f>
        <v>0</v>
      </c>
      <c r="B6998" t="s">
        <v>1806</v>
      </c>
      <c r="C6998" t="s">
        <v>10169</v>
      </c>
      <c r="D6998" t="s">
        <v>18799</v>
      </c>
      <c r="E6998" t="s">
        <v>25077</v>
      </c>
      <c r="F6998" t="s">
        <v>32664</v>
      </c>
      <c r="G6998" t="s">
        <v>32671</v>
      </c>
      <c r="H6998" t="s">
        <v>12635</v>
      </c>
      <c r="I6998" t="s">
        <v>10361</v>
      </c>
      <c r="J6998" t="s">
        <v>33334</v>
      </c>
      <c r="K6998" t="s">
        <v>42289</v>
      </c>
      <c r="M6998" t="s">
        <v>44511</v>
      </c>
      <c r="N6998" t="s">
        <v>46569</v>
      </c>
      <c r="O6998" t="s">
        <v>46570</v>
      </c>
      <c r="P6998">
        <v>0</v>
      </c>
      <c r="Q6998">
        <v>0</v>
      </c>
      <c r="R6998" t="s">
        <v>46573</v>
      </c>
      <c r="S6998" t="s">
        <v>46705</v>
      </c>
      <c r="T6998" t="s">
        <v>48334</v>
      </c>
      <c r="U6998" t="s">
        <v>54223</v>
      </c>
      <c r="W6998" t="s">
        <v>44511</v>
      </c>
      <c r="X6998" t="s">
        <v>46574</v>
      </c>
    </row>
    <row r="6999" spans="1:24">
      <c r="A6999">
        <f>HYPERLINK("https://www.philgeps.gov.ph/GEPSNONPILOT/Tender/SplashBidNoticeAbstractUI.aspx?menuIndex=3&amp;refID=7061045&amp;Result=3","7061045")</f>
        <v>0</v>
      </c>
      <c r="B6999" t="s">
        <v>822</v>
      </c>
      <c r="C6999" t="s">
        <v>10170</v>
      </c>
      <c r="E6999" t="s">
        <v>25078</v>
      </c>
      <c r="F6999" t="s">
        <v>32664</v>
      </c>
      <c r="G6999" t="s">
        <v>32672</v>
      </c>
      <c r="H6999" t="s">
        <v>12635</v>
      </c>
      <c r="I6999" t="s">
        <v>32708</v>
      </c>
      <c r="J6999" t="s">
        <v>37142</v>
      </c>
      <c r="K6999" t="s">
        <v>42283</v>
      </c>
      <c r="M6999" t="s">
        <v>44836</v>
      </c>
      <c r="N6999" t="s">
        <v>46569</v>
      </c>
      <c r="O6999" t="s">
        <v>46570</v>
      </c>
      <c r="P6999">
        <v>0</v>
      </c>
      <c r="Q6999">
        <v>10</v>
      </c>
      <c r="R6999" t="s">
        <v>46573</v>
      </c>
      <c r="S6999" t="s">
        <v>46705</v>
      </c>
      <c r="T6999" t="s">
        <v>48467</v>
      </c>
      <c r="U6999" t="s">
        <v>54556</v>
      </c>
      <c r="W6999" t="s">
        <v>44836</v>
      </c>
      <c r="X6999" t="s">
        <v>46574</v>
      </c>
    </row>
    <row r="7000" spans="1:24">
      <c r="A7000">
        <f>HYPERLINK("https://www.philgeps.gov.ph/GEPSNONPILOT/Tender/SplashBidNoticeAbstractUI.aspx?menuIndex=3&amp;refID=7061622&amp;Result=3","7061622")</f>
        <v>0</v>
      </c>
      <c r="B7000" t="s">
        <v>1083</v>
      </c>
      <c r="C7000" t="s">
        <v>10171</v>
      </c>
      <c r="D7000" t="s">
        <v>18784</v>
      </c>
      <c r="E7000" t="s">
        <v>25079</v>
      </c>
      <c r="F7000" t="s">
        <v>32664</v>
      </c>
      <c r="G7000" t="s">
        <v>32671</v>
      </c>
      <c r="H7000" t="s">
        <v>12635</v>
      </c>
      <c r="I7000" t="s">
        <v>4439</v>
      </c>
      <c r="J7000" t="s">
        <v>34388</v>
      </c>
      <c r="K7000" t="s">
        <v>42289</v>
      </c>
      <c r="M7000" t="s">
        <v>43707</v>
      </c>
      <c r="N7000" t="s">
        <v>46569</v>
      </c>
      <c r="O7000" t="s">
        <v>46570</v>
      </c>
      <c r="P7000">
        <v>0</v>
      </c>
      <c r="Q7000">
        <v>3</v>
      </c>
      <c r="R7000" t="s">
        <v>46573</v>
      </c>
      <c r="S7000" t="s">
        <v>46705</v>
      </c>
      <c r="T7000" t="s">
        <v>48492</v>
      </c>
      <c r="U7000" t="s">
        <v>54557</v>
      </c>
      <c r="W7000" t="s">
        <v>43707</v>
      </c>
      <c r="X7000" t="s">
        <v>46574</v>
      </c>
    </row>
    <row r="7001" spans="1:24">
      <c r="A7001">
        <f>HYPERLINK("https://www.philgeps.gov.ph/GEPSNONPILOT/Tender/SplashBidNoticeAbstractUI.aspx?menuIndex=3&amp;refID=7061046&amp;Result=3","7061046")</f>
        <v>0</v>
      </c>
      <c r="B7001" t="s">
        <v>203</v>
      </c>
      <c r="C7001" t="s">
        <v>10172</v>
      </c>
      <c r="D7001" t="s">
        <v>18842</v>
      </c>
      <c r="E7001" t="s">
        <v>25080</v>
      </c>
      <c r="F7001" t="s">
        <v>32664</v>
      </c>
      <c r="G7001" t="s">
        <v>32671</v>
      </c>
      <c r="H7001" t="s">
        <v>32682</v>
      </c>
      <c r="I7001" t="s">
        <v>10361</v>
      </c>
      <c r="J7001" t="s">
        <v>37143</v>
      </c>
      <c r="K7001" t="s">
        <v>42311</v>
      </c>
      <c r="M7001" t="s">
        <v>42767</v>
      </c>
      <c r="N7001" t="s">
        <v>46569</v>
      </c>
      <c r="O7001" t="s">
        <v>46570</v>
      </c>
      <c r="P7001">
        <v>0</v>
      </c>
      <c r="Q7001">
        <v>0</v>
      </c>
      <c r="R7001" t="s">
        <v>46573</v>
      </c>
      <c r="S7001" t="s">
        <v>46705</v>
      </c>
      <c r="T7001" t="s">
        <v>48307</v>
      </c>
      <c r="U7001" t="s">
        <v>54558</v>
      </c>
      <c r="V7001" t="s">
        <v>50334</v>
      </c>
      <c r="W7001" t="s">
        <v>42767</v>
      </c>
      <c r="X7001" t="s">
        <v>46574</v>
      </c>
    </row>
    <row r="7002" spans="1:24">
      <c r="A7002">
        <f>HYPERLINK("https://www.philgeps.gov.ph/GEPSNONPILOT/Tender/SplashBidNoticeAbstractUI.aspx?menuIndex=3&amp;refID=7061042&amp;Result=3","7061042")</f>
        <v>0</v>
      </c>
      <c r="B7002" t="s">
        <v>2196</v>
      </c>
      <c r="C7002" t="s">
        <v>10173</v>
      </c>
      <c r="E7002" t="s">
        <v>25081</v>
      </c>
      <c r="F7002" t="s">
        <v>32664</v>
      </c>
      <c r="G7002" t="s">
        <v>32671</v>
      </c>
      <c r="H7002" t="s">
        <v>12635</v>
      </c>
      <c r="I7002" t="s">
        <v>32730</v>
      </c>
      <c r="J7002" t="s">
        <v>37144</v>
      </c>
      <c r="K7002" t="s">
        <v>42283</v>
      </c>
      <c r="M7002" t="s">
        <v>44960</v>
      </c>
      <c r="N7002" t="s">
        <v>46569</v>
      </c>
      <c r="O7002" t="s">
        <v>46570</v>
      </c>
      <c r="P7002">
        <v>0</v>
      </c>
      <c r="Q7002">
        <v>1</v>
      </c>
      <c r="R7002" t="s">
        <v>46573</v>
      </c>
      <c r="S7002" t="s">
        <v>46705</v>
      </c>
      <c r="T7002" t="s">
        <v>48550</v>
      </c>
      <c r="U7002" t="s">
        <v>54559</v>
      </c>
      <c r="W7002" t="s">
        <v>44960</v>
      </c>
      <c r="X7002" t="s">
        <v>46574</v>
      </c>
    </row>
    <row r="7003" spans="1:24">
      <c r="A7003">
        <f>HYPERLINK("https://www.philgeps.gov.ph/GEPSNONPILOT/Tender/SplashBidNoticeAbstractUI.aspx?menuIndex=3&amp;refID=7061040&amp;Result=3","7061040")</f>
        <v>0</v>
      </c>
      <c r="B7003" t="s">
        <v>594</v>
      </c>
      <c r="C7003" t="s">
        <v>10174</v>
      </c>
      <c r="D7003" t="s">
        <v>18784</v>
      </c>
      <c r="E7003" t="s">
        <v>25082</v>
      </c>
      <c r="F7003" t="s">
        <v>32664</v>
      </c>
      <c r="G7003" t="s">
        <v>32674</v>
      </c>
      <c r="H7003" t="s">
        <v>12635</v>
      </c>
      <c r="I7003" t="s">
        <v>9486</v>
      </c>
      <c r="J7003" t="s">
        <v>37145</v>
      </c>
      <c r="K7003" t="s">
        <v>42297</v>
      </c>
      <c r="M7003" t="s">
        <v>43721</v>
      </c>
      <c r="N7003" t="s">
        <v>46569</v>
      </c>
      <c r="O7003" t="s">
        <v>46570</v>
      </c>
      <c r="P7003">
        <v>0</v>
      </c>
      <c r="Q7003">
        <v>2</v>
      </c>
      <c r="R7003" t="s">
        <v>46573</v>
      </c>
      <c r="S7003" t="s">
        <v>46705</v>
      </c>
      <c r="T7003" t="s">
        <v>48551</v>
      </c>
      <c r="U7003" t="s">
        <v>54560</v>
      </c>
      <c r="V7003" t="s">
        <v>62115</v>
      </c>
      <c r="W7003" t="s">
        <v>43721</v>
      </c>
      <c r="X7003" t="s">
        <v>46574</v>
      </c>
    </row>
    <row r="7004" spans="1:24">
      <c r="A7004">
        <f>HYPERLINK("https://www.philgeps.gov.ph/GEPSNONPILOT/Tender/SplashBidNoticeAbstractUI.aspx?menuIndex=3&amp;refID=7061593&amp;Result=3","7061593")</f>
        <v>0</v>
      </c>
      <c r="B7004" t="s">
        <v>1083</v>
      </c>
      <c r="C7004" t="s">
        <v>10175</v>
      </c>
      <c r="D7004" t="s">
        <v>18784</v>
      </c>
      <c r="E7004" t="s">
        <v>25083</v>
      </c>
      <c r="F7004" t="s">
        <v>32664</v>
      </c>
      <c r="G7004" t="s">
        <v>32671</v>
      </c>
      <c r="H7004" t="s">
        <v>12635</v>
      </c>
      <c r="I7004" t="s">
        <v>4439</v>
      </c>
      <c r="J7004" t="s">
        <v>36413</v>
      </c>
      <c r="K7004" t="s">
        <v>42289</v>
      </c>
      <c r="M7004" t="s">
        <v>43707</v>
      </c>
      <c r="N7004" t="s">
        <v>46569</v>
      </c>
      <c r="O7004" t="s">
        <v>46570</v>
      </c>
      <c r="P7004">
        <v>0</v>
      </c>
      <c r="Q7004">
        <v>3</v>
      </c>
      <c r="R7004" t="s">
        <v>46573</v>
      </c>
      <c r="S7004" t="s">
        <v>46705</v>
      </c>
      <c r="T7004" t="s">
        <v>48492</v>
      </c>
      <c r="U7004" t="s">
        <v>54561</v>
      </c>
      <c r="W7004" t="s">
        <v>43707</v>
      </c>
      <c r="X7004" t="s">
        <v>46574</v>
      </c>
    </row>
    <row r="7005" spans="1:24">
      <c r="A7005">
        <f>HYPERLINK("https://www.philgeps.gov.ph/GEPSNONPILOT/Tender/SplashBidNoticeAbstractUI.aspx?menuIndex=3&amp;refID=7061048&amp;Result=3","7061048")</f>
        <v>0</v>
      </c>
      <c r="B7005" t="s">
        <v>2107</v>
      </c>
      <c r="C7005" t="s">
        <v>10176</v>
      </c>
      <c r="D7005" t="s">
        <v>18783</v>
      </c>
      <c r="E7005" t="s">
        <v>21052</v>
      </c>
      <c r="F7005" t="s">
        <v>32664</v>
      </c>
      <c r="G7005" t="s">
        <v>32671</v>
      </c>
      <c r="H7005" t="s">
        <v>12635</v>
      </c>
      <c r="I7005" t="s">
        <v>32706</v>
      </c>
      <c r="J7005" t="s">
        <v>37146</v>
      </c>
      <c r="K7005" t="s">
        <v>42303</v>
      </c>
      <c r="M7005" t="s">
        <v>44862</v>
      </c>
      <c r="N7005" t="s">
        <v>46569</v>
      </c>
      <c r="O7005" t="s">
        <v>46570</v>
      </c>
      <c r="P7005">
        <v>0</v>
      </c>
      <c r="Q7005">
        <v>0</v>
      </c>
      <c r="R7005" t="s">
        <v>46573</v>
      </c>
      <c r="S7005" t="s">
        <v>46705</v>
      </c>
      <c r="T7005" t="s">
        <v>48492</v>
      </c>
      <c r="U7005" t="s">
        <v>54562</v>
      </c>
      <c r="V7005" t="s">
        <v>62282</v>
      </c>
      <c r="W7005" t="s">
        <v>44862</v>
      </c>
      <c r="X7005" t="s">
        <v>46574</v>
      </c>
    </row>
    <row r="7006" spans="1:24">
      <c r="A7006">
        <f>HYPERLINK("https://www.philgeps.gov.ph/GEPSNONPILOT/Tender/SplashBidNoticeAbstractUI.aspx?menuIndex=3&amp;refID=7061611&amp;Result=3","7061611")</f>
        <v>0</v>
      </c>
      <c r="B7006" t="s">
        <v>1083</v>
      </c>
      <c r="C7006" t="s">
        <v>10177</v>
      </c>
      <c r="D7006" t="s">
        <v>18784</v>
      </c>
      <c r="E7006" t="s">
        <v>25084</v>
      </c>
      <c r="F7006" t="s">
        <v>32664</v>
      </c>
      <c r="G7006" t="s">
        <v>32671</v>
      </c>
      <c r="H7006" t="s">
        <v>12635</v>
      </c>
      <c r="I7006" t="s">
        <v>4439</v>
      </c>
      <c r="J7006" t="s">
        <v>37147</v>
      </c>
      <c r="K7006" t="s">
        <v>42281</v>
      </c>
      <c r="M7006" t="s">
        <v>43707</v>
      </c>
      <c r="N7006" t="s">
        <v>46569</v>
      </c>
      <c r="O7006" t="s">
        <v>46570</v>
      </c>
      <c r="P7006">
        <v>0</v>
      </c>
      <c r="Q7006">
        <v>2</v>
      </c>
      <c r="R7006" t="s">
        <v>46573</v>
      </c>
      <c r="S7006" t="s">
        <v>46705</v>
      </c>
      <c r="T7006" t="s">
        <v>48492</v>
      </c>
      <c r="U7006" t="s">
        <v>54563</v>
      </c>
      <c r="W7006" t="s">
        <v>43707</v>
      </c>
      <c r="X7006" t="s">
        <v>46574</v>
      </c>
    </row>
    <row r="7007" spans="1:24">
      <c r="A7007">
        <f>HYPERLINK("https://www.philgeps.gov.ph/GEPSNONPILOT/Tender/SplashBidNoticeAbstractUI.aspx?menuIndex=3&amp;refID=7060987&amp;Result=3","7060987")</f>
        <v>0</v>
      </c>
      <c r="B7007" t="s">
        <v>2090</v>
      </c>
      <c r="C7007" t="s">
        <v>10178</v>
      </c>
      <c r="D7007" t="s">
        <v>18827</v>
      </c>
      <c r="E7007" t="s">
        <v>25085</v>
      </c>
      <c r="F7007" t="s">
        <v>32664</v>
      </c>
      <c r="G7007" t="s">
        <v>32675</v>
      </c>
      <c r="H7007" t="s">
        <v>12635</v>
      </c>
      <c r="I7007" t="s">
        <v>8730</v>
      </c>
      <c r="J7007" t="s">
        <v>32898</v>
      </c>
      <c r="K7007" t="s">
        <v>42295</v>
      </c>
      <c r="M7007" t="s">
        <v>44844</v>
      </c>
      <c r="N7007" t="s">
        <v>46569</v>
      </c>
      <c r="O7007" t="s">
        <v>46570</v>
      </c>
      <c r="P7007">
        <v>0</v>
      </c>
      <c r="Q7007">
        <v>0</v>
      </c>
      <c r="R7007" t="s">
        <v>46573</v>
      </c>
      <c r="S7007" t="s">
        <v>46705</v>
      </c>
      <c r="T7007" t="s">
        <v>48427</v>
      </c>
      <c r="U7007" t="s">
        <v>54564</v>
      </c>
      <c r="W7007" t="s">
        <v>44844</v>
      </c>
      <c r="X7007" t="s">
        <v>46574</v>
      </c>
    </row>
    <row r="7008" spans="1:24">
      <c r="A7008">
        <f>HYPERLINK("https://www.philgeps.gov.ph/GEPSNONPILOT/Tender/SplashBidNoticeAbstractUI.aspx?menuIndex=3&amp;refID=7060850&amp;Result=3","7060850")</f>
        <v>0</v>
      </c>
      <c r="B7008" t="s">
        <v>495</v>
      </c>
      <c r="C7008" t="s">
        <v>10179</v>
      </c>
      <c r="D7008" t="s">
        <v>18791</v>
      </c>
      <c r="E7008" t="s">
        <v>25086</v>
      </c>
      <c r="F7008" t="s">
        <v>32664</v>
      </c>
      <c r="G7008" t="s">
        <v>32671</v>
      </c>
      <c r="H7008" t="s">
        <v>12635</v>
      </c>
      <c r="I7008" t="s">
        <v>32685</v>
      </c>
      <c r="J7008" t="s">
        <v>33893</v>
      </c>
      <c r="K7008" t="s">
        <v>42289</v>
      </c>
      <c r="M7008" t="s">
        <v>43071</v>
      </c>
      <c r="N7008" t="s">
        <v>46569</v>
      </c>
      <c r="O7008" t="s">
        <v>46570</v>
      </c>
      <c r="P7008">
        <v>0</v>
      </c>
      <c r="Q7008">
        <v>0</v>
      </c>
      <c r="R7008" t="s">
        <v>46573</v>
      </c>
      <c r="S7008" t="s">
        <v>46705</v>
      </c>
      <c r="T7008" t="s">
        <v>48293</v>
      </c>
      <c r="U7008" t="s">
        <v>54565</v>
      </c>
      <c r="W7008" t="s">
        <v>43071</v>
      </c>
      <c r="X7008" t="s">
        <v>46574</v>
      </c>
    </row>
    <row r="7009" spans="1:24">
      <c r="A7009">
        <f>HYPERLINK("https://www.philgeps.gov.ph/GEPSNONPILOT/Tender/SplashBidNoticeAbstractUI.aspx?menuIndex=3&amp;refID=7060848&amp;Result=3","7060848")</f>
        <v>0</v>
      </c>
      <c r="B7009" t="s">
        <v>2082</v>
      </c>
      <c r="C7009" t="s">
        <v>10180</v>
      </c>
      <c r="D7009" t="s">
        <v>18799</v>
      </c>
      <c r="E7009" t="s">
        <v>25087</v>
      </c>
      <c r="F7009" t="s">
        <v>32664</v>
      </c>
      <c r="G7009" t="s">
        <v>32672</v>
      </c>
      <c r="H7009" t="s">
        <v>12635</v>
      </c>
      <c r="I7009" t="s">
        <v>32685</v>
      </c>
      <c r="J7009" t="s">
        <v>37148</v>
      </c>
      <c r="K7009" t="s">
        <v>42289</v>
      </c>
      <c r="L7009" t="s">
        <v>2082</v>
      </c>
      <c r="M7009" t="s">
        <v>44834</v>
      </c>
      <c r="N7009" t="s">
        <v>46569</v>
      </c>
      <c r="O7009" t="s">
        <v>46570</v>
      </c>
      <c r="P7009">
        <v>0</v>
      </c>
      <c r="Q7009">
        <v>0</v>
      </c>
      <c r="R7009" t="s">
        <v>46573</v>
      </c>
      <c r="S7009" t="s">
        <v>46705</v>
      </c>
      <c r="T7009" t="s">
        <v>48579</v>
      </c>
      <c r="U7009" t="s">
        <v>54566</v>
      </c>
      <c r="W7009" t="s">
        <v>44834</v>
      </c>
      <c r="X7009" t="s">
        <v>46574</v>
      </c>
    </row>
    <row r="7010" spans="1:24">
      <c r="A7010">
        <f>HYPERLINK("https://www.philgeps.gov.ph/GEPSNONPILOT/Tender/SplashBidNoticeAbstractUI.aspx?menuIndex=3&amp;refID=7060988&amp;Result=3","7060988")</f>
        <v>0</v>
      </c>
      <c r="B7010" t="s">
        <v>694</v>
      </c>
      <c r="C7010" t="s">
        <v>10181</v>
      </c>
      <c r="D7010" t="s">
        <v>18784</v>
      </c>
      <c r="E7010" t="s">
        <v>19780</v>
      </c>
      <c r="F7010" t="s">
        <v>32664</v>
      </c>
      <c r="G7010" t="s">
        <v>32671</v>
      </c>
      <c r="H7010" t="s">
        <v>12635</v>
      </c>
      <c r="I7010" t="s">
        <v>32704</v>
      </c>
      <c r="J7010" t="s">
        <v>33267</v>
      </c>
      <c r="K7010" t="s">
        <v>42281</v>
      </c>
      <c r="M7010" t="s">
        <v>43281</v>
      </c>
      <c r="N7010" t="s">
        <v>46569</v>
      </c>
      <c r="O7010" t="s">
        <v>46570</v>
      </c>
      <c r="P7010">
        <v>0</v>
      </c>
      <c r="Q7010">
        <v>2</v>
      </c>
      <c r="R7010" t="s">
        <v>46573</v>
      </c>
      <c r="S7010" t="s">
        <v>46705</v>
      </c>
      <c r="T7010" t="s">
        <v>48254</v>
      </c>
      <c r="U7010" t="s">
        <v>50082</v>
      </c>
      <c r="W7010" t="s">
        <v>43281</v>
      </c>
      <c r="X7010" t="s">
        <v>46574</v>
      </c>
    </row>
    <row r="7011" spans="1:24">
      <c r="A7011">
        <f>HYPERLINK("https://www.philgeps.gov.ph/GEPSNONPILOT/Tender/SplashBidNoticeAbstractUI.aspx?menuIndex=3&amp;refID=7060846&amp;Result=3","7060846")</f>
        <v>0</v>
      </c>
      <c r="B7011" t="s">
        <v>819</v>
      </c>
      <c r="C7011" t="s">
        <v>10182</v>
      </c>
      <c r="D7011" t="s">
        <v>18786</v>
      </c>
      <c r="E7011" t="s">
        <v>25088</v>
      </c>
      <c r="F7011" t="s">
        <v>32664</v>
      </c>
      <c r="G7011" t="s">
        <v>32672</v>
      </c>
      <c r="H7011" t="s">
        <v>32683</v>
      </c>
      <c r="I7011" t="s">
        <v>10627</v>
      </c>
      <c r="J7011" t="s">
        <v>33167</v>
      </c>
      <c r="K7011" t="s">
        <v>42423</v>
      </c>
      <c r="M7011" t="s">
        <v>43414</v>
      </c>
      <c r="N7011" t="s">
        <v>46569</v>
      </c>
      <c r="O7011" t="s">
        <v>46570</v>
      </c>
      <c r="P7011">
        <v>0</v>
      </c>
      <c r="Q7011">
        <v>0</v>
      </c>
      <c r="R7011" t="s">
        <v>46573</v>
      </c>
      <c r="S7011" t="s">
        <v>46705</v>
      </c>
      <c r="T7011" t="s">
        <v>48230</v>
      </c>
      <c r="U7011" t="s">
        <v>54567</v>
      </c>
      <c r="W7011" t="s">
        <v>43414</v>
      </c>
      <c r="X7011" t="s">
        <v>46574</v>
      </c>
    </row>
    <row r="7012" spans="1:24">
      <c r="A7012">
        <f>HYPERLINK("https://www.philgeps.gov.ph/GEPSNONPILOT/Tender/SplashBidNoticeAbstractUI.aspx?menuIndex=3&amp;refID=7060845&amp;Result=3","7060845")</f>
        <v>0</v>
      </c>
      <c r="B7012" t="s">
        <v>1343</v>
      </c>
      <c r="C7012" t="s">
        <v>10183</v>
      </c>
      <c r="D7012" t="s">
        <v>18815</v>
      </c>
      <c r="E7012" t="s">
        <v>25089</v>
      </c>
      <c r="F7012" t="s">
        <v>32664</v>
      </c>
      <c r="G7012" t="s">
        <v>32672</v>
      </c>
      <c r="H7012" t="s">
        <v>12635</v>
      </c>
      <c r="I7012" t="s">
        <v>32708</v>
      </c>
      <c r="J7012" t="s">
        <v>37149</v>
      </c>
      <c r="K7012" t="s">
        <v>42298</v>
      </c>
      <c r="M7012" t="s">
        <v>43993</v>
      </c>
      <c r="N7012" t="s">
        <v>46569</v>
      </c>
      <c r="O7012" t="s">
        <v>46570</v>
      </c>
      <c r="P7012">
        <v>0</v>
      </c>
      <c r="Q7012">
        <v>34</v>
      </c>
      <c r="R7012" t="s">
        <v>46573</v>
      </c>
      <c r="S7012" t="s">
        <v>46705</v>
      </c>
      <c r="T7012" t="s">
        <v>48220</v>
      </c>
      <c r="U7012" t="s">
        <v>54568</v>
      </c>
      <c r="V7012" t="s">
        <v>62322</v>
      </c>
      <c r="W7012" t="s">
        <v>43993</v>
      </c>
      <c r="X7012" t="s">
        <v>46574</v>
      </c>
    </row>
    <row r="7013" spans="1:24">
      <c r="A7013">
        <f>HYPERLINK("https://www.philgeps.gov.ph/GEPSNONPILOT/Tender/SplashBidNoticeAbstractUI.aspx?menuIndex=3&amp;refID=7060842&amp;Result=3","7060842")</f>
        <v>0</v>
      </c>
      <c r="B7013" t="s">
        <v>2197</v>
      </c>
      <c r="C7013" t="s">
        <v>10184</v>
      </c>
      <c r="D7013" t="s">
        <v>18792</v>
      </c>
      <c r="E7013" t="s">
        <v>19681</v>
      </c>
      <c r="F7013" t="s">
        <v>32664</v>
      </c>
      <c r="G7013" t="s">
        <v>32672</v>
      </c>
      <c r="H7013" t="s">
        <v>12635</v>
      </c>
      <c r="I7013" t="s">
        <v>4439</v>
      </c>
      <c r="J7013" t="s">
        <v>37150</v>
      </c>
      <c r="K7013" t="s">
        <v>42284</v>
      </c>
      <c r="L7013" t="s">
        <v>2197</v>
      </c>
      <c r="M7013" t="s">
        <v>44961</v>
      </c>
      <c r="N7013" t="s">
        <v>46569</v>
      </c>
      <c r="O7013" t="s">
        <v>46570</v>
      </c>
      <c r="P7013">
        <v>0</v>
      </c>
      <c r="Q7013">
        <v>0</v>
      </c>
      <c r="R7013" t="s">
        <v>46573</v>
      </c>
      <c r="S7013" t="s">
        <v>46705</v>
      </c>
      <c r="T7013" t="s">
        <v>48282</v>
      </c>
      <c r="U7013" t="s">
        <v>54569</v>
      </c>
      <c r="W7013" t="s">
        <v>44961</v>
      </c>
      <c r="X7013" t="s">
        <v>46574</v>
      </c>
    </row>
    <row r="7014" spans="1:24">
      <c r="A7014">
        <f>HYPERLINK("https://www.philgeps.gov.ph/GEPSNONPILOT/Tender/SplashBidNoticeAbstractUI.aspx?menuIndex=3&amp;refID=7060985&amp;Result=3","7060985")</f>
        <v>0</v>
      </c>
      <c r="B7014" t="s">
        <v>1115</v>
      </c>
      <c r="C7014" t="s">
        <v>10185</v>
      </c>
      <c r="D7014" t="s">
        <v>18791</v>
      </c>
      <c r="E7014" t="s">
        <v>21917</v>
      </c>
      <c r="F7014" t="s">
        <v>32664</v>
      </c>
      <c r="G7014" t="s">
        <v>32671</v>
      </c>
      <c r="H7014" t="s">
        <v>12635</v>
      </c>
      <c r="I7014" t="s">
        <v>32756</v>
      </c>
      <c r="J7014" t="s">
        <v>33657</v>
      </c>
      <c r="K7014" t="s">
        <v>42281</v>
      </c>
      <c r="M7014" t="s">
        <v>43953</v>
      </c>
      <c r="N7014" t="s">
        <v>46569</v>
      </c>
      <c r="O7014" t="s">
        <v>46570</v>
      </c>
      <c r="P7014">
        <v>0</v>
      </c>
      <c r="Q7014">
        <v>4</v>
      </c>
      <c r="R7014" t="s">
        <v>46573</v>
      </c>
      <c r="S7014" t="s">
        <v>46705</v>
      </c>
      <c r="T7014" t="s">
        <v>48287</v>
      </c>
      <c r="U7014" t="s">
        <v>54570</v>
      </c>
      <c r="W7014" t="s">
        <v>43953</v>
      </c>
      <c r="X7014" t="s">
        <v>46574</v>
      </c>
    </row>
    <row r="7015" spans="1:24">
      <c r="A7015">
        <f>HYPERLINK("https://www.philgeps.gov.ph/GEPSNONPILOT/Tender/SplashBidNoticeAbstractUI.aspx?menuIndex=3&amp;refID=7060849&amp;Result=3","7060849")</f>
        <v>0</v>
      </c>
      <c r="B7015" t="s">
        <v>2198</v>
      </c>
      <c r="C7015" t="s">
        <v>10186</v>
      </c>
      <c r="D7015" t="s">
        <v>18821</v>
      </c>
      <c r="E7015" t="s">
        <v>25090</v>
      </c>
      <c r="F7015" t="s">
        <v>32664</v>
      </c>
      <c r="G7015" t="s">
        <v>32671</v>
      </c>
      <c r="H7015" t="s">
        <v>12635</v>
      </c>
      <c r="I7015" t="s">
        <v>6223</v>
      </c>
      <c r="J7015" t="s">
        <v>37151</v>
      </c>
      <c r="K7015" t="s">
        <v>42297</v>
      </c>
      <c r="M7015" t="s">
        <v>44962</v>
      </c>
      <c r="N7015" t="s">
        <v>46569</v>
      </c>
      <c r="O7015" t="s">
        <v>46570</v>
      </c>
      <c r="P7015">
        <v>0</v>
      </c>
      <c r="Q7015">
        <v>0</v>
      </c>
      <c r="R7015" t="s">
        <v>46573</v>
      </c>
      <c r="S7015" t="s">
        <v>46705</v>
      </c>
      <c r="T7015" t="s">
        <v>48590</v>
      </c>
      <c r="U7015" t="s">
        <v>54571</v>
      </c>
      <c r="W7015" t="s">
        <v>44962</v>
      </c>
      <c r="X7015" t="s">
        <v>46574</v>
      </c>
    </row>
    <row r="7016" spans="1:24">
      <c r="A7016">
        <f>HYPERLINK("https://www.philgeps.gov.ph/GEPSNONPILOT/Tender/SplashBidNoticeAbstractUI.aspx?menuIndex=3&amp;refID=7060762&amp;Result=3","7060762")</f>
        <v>0</v>
      </c>
      <c r="B7016" t="s">
        <v>1102</v>
      </c>
      <c r="C7016" t="s">
        <v>10187</v>
      </c>
      <c r="D7016" t="s">
        <v>18784</v>
      </c>
      <c r="E7016" t="s">
        <v>25091</v>
      </c>
      <c r="F7016" t="s">
        <v>32664</v>
      </c>
      <c r="G7016" t="s">
        <v>32672</v>
      </c>
      <c r="H7016" t="s">
        <v>12635</v>
      </c>
      <c r="I7016" t="s">
        <v>32708</v>
      </c>
      <c r="J7016" t="s">
        <v>37152</v>
      </c>
      <c r="K7016" t="s">
        <v>42283</v>
      </c>
      <c r="M7016" t="s">
        <v>44775</v>
      </c>
      <c r="N7016" t="s">
        <v>46569</v>
      </c>
      <c r="O7016" t="s">
        <v>46570</v>
      </c>
      <c r="P7016">
        <v>0</v>
      </c>
      <c r="Q7016">
        <v>11</v>
      </c>
      <c r="R7016" t="s">
        <v>46573</v>
      </c>
      <c r="S7016" t="s">
        <v>46705</v>
      </c>
      <c r="T7016" t="s">
        <v>48302</v>
      </c>
      <c r="U7016" t="s">
        <v>54572</v>
      </c>
      <c r="W7016" t="s">
        <v>44775</v>
      </c>
      <c r="X7016" t="s">
        <v>46574</v>
      </c>
    </row>
    <row r="7017" spans="1:24">
      <c r="A7017">
        <f>HYPERLINK("https://www.philgeps.gov.ph/GEPSNONPILOT/Tender/SplashBidNoticeAbstractUI.aspx?menuIndex=3&amp;refID=7060990&amp;Result=3","7060990")</f>
        <v>0</v>
      </c>
      <c r="B7017" t="s">
        <v>947</v>
      </c>
      <c r="C7017" t="s">
        <v>10188</v>
      </c>
      <c r="D7017" t="s">
        <v>18787</v>
      </c>
      <c r="E7017" t="s">
        <v>25092</v>
      </c>
      <c r="F7017" t="s">
        <v>32664</v>
      </c>
      <c r="G7017" t="s">
        <v>32671</v>
      </c>
      <c r="H7017" t="s">
        <v>12635</v>
      </c>
      <c r="I7017" t="s">
        <v>32694</v>
      </c>
      <c r="J7017" t="s">
        <v>32898</v>
      </c>
      <c r="K7017" t="s">
        <v>42295</v>
      </c>
      <c r="M7017" t="s">
        <v>44838</v>
      </c>
      <c r="N7017" t="s">
        <v>46569</v>
      </c>
      <c r="O7017" t="s">
        <v>46570</v>
      </c>
      <c r="P7017">
        <v>0</v>
      </c>
      <c r="Q7017">
        <v>0</v>
      </c>
      <c r="R7017" t="s">
        <v>46573</v>
      </c>
      <c r="S7017" t="s">
        <v>46705</v>
      </c>
      <c r="T7017" t="s">
        <v>48316</v>
      </c>
      <c r="U7017" t="s">
        <v>54573</v>
      </c>
      <c r="W7017" t="s">
        <v>44838</v>
      </c>
      <c r="X7017" t="s">
        <v>46574</v>
      </c>
    </row>
    <row r="7018" spans="1:24">
      <c r="A7018">
        <f>HYPERLINK("https://www.philgeps.gov.ph/GEPSNONPILOT/Tender/SplashBidNoticeAbstractUI.aspx?menuIndex=3&amp;refID=7060379&amp;Result=3","7060379")</f>
        <v>0</v>
      </c>
      <c r="B7018" t="s">
        <v>372</v>
      </c>
      <c r="C7018" t="s">
        <v>10189</v>
      </c>
      <c r="D7018" t="s">
        <v>18827</v>
      </c>
      <c r="E7018" t="s">
        <v>25093</v>
      </c>
      <c r="F7018" t="s">
        <v>32664</v>
      </c>
      <c r="G7018" t="s">
        <v>32671</v>
      </c>
      <c r="H7018" t="s">
        <v>12635</v>
      </c>
      <c r="I7018" t="s">
        <v>8797</v>
      </c>
      <c r="J7018" t="s">
        <v>32898</v>
      </c>
      <c r="K7018" t="s">
        <v>42332</v>
      </c>
      <c r="M7018" t="s">
        <v>42942</v>
      </c>
      <c r="N7018" t="s">
        <v>46569</v>
      </c>
      <c r="O7018" t="s">
        <v>46570</v>
      </c>
      <c r="P7018">
        <v>0</v>
      </c>
      <c r="Q7018">
        <v>1</v>
      </c>
      <c r="R7018" t="s">
        <v>46573</v>
      </c>
      <c r="S7018" t="s">
        <v>46705</v>
      </c>
      <c r="T7018" t="s">
        <v>48244</v>
      </c>
      <c r="U7018" t="s">
        <v>49489</v>
      </c>
      <c r="W7018" t="s">
        <v>42942</v>
      </c>
      <c r="X7018" t="s">
        <v>46574</v>
      </c>
    </row>
    <row r="7019" spans="1:24">
      <c r="A7019">
        <f>HYPERLINK("https://www.philgeps.gov.ph/GEPSNONPILOT/Tender/SplashBidNoticeAbstractUI.aspx?menuIndex=3&amp;refID=7061044&amp;Result=3","7061044")</f>
        <v>0</v>
      </c>
      <c r="B7019" t="s">
        <v>2199</v>
      </c>
      <c r="C7019" t="s">
        <v>10190</v>
      </c>
      <c r="D7019" t="s">
        <v>18826</v>
      </c>
      <c r="E7019" t="s">
        <v>19226</v>
      </c>
      <c r="F7019" t="s">
        <v>32664</v>
      </c>
      <c r="G7019" t="s">
        <v>32674</v>
      </c>
      <c r="H7019" t="s">
        <v>12635</v>
      </c>
      <c r="I7019" t="s">
        <v>32783</v>
      </c>
      <c r="J7019" t="s">
        <v>37153</v>
      </c>
      <c r="K7019" t="s">
        <v>42289</v>
      </c>
      <c r="M7019" t="s">
        <v>44963</v>
      </c>
      <c r="N7019" t="s">
        <v>46569</v>
      </c>
      <c r="O7019" t="s">
        <v>46570</v>
      </c>
      <c r="P7019">
        <v>0</v>
      </c>
      <c r="Q7019">
        <v>5</v>
      </c>
      <c r="R7019" t="s">
        <v>46573</v>
      </c>
      <c r="S7019" t="s">
        <v>46705</v>
      </c>
      <c r="T7019" t="s">
        <v>48306</v>
      </c>
      <c r="U7019" t="s">
        <v>54574</v>
      </c>
      <c r="W7019" t="s">
        <v>44963</v>
      </c>
      <c r="X7019" t="s">
        <v>46574</v>
      </c>
    </row>
    <row r="7020" spans="1:24">
      <c r="A7020">
        <f>HYPERLINK("https://www.philgeps.gov.ph/GEPSNONPILOT/Tender/SplashBidNoticeAbstractUI.aspx?menuIndex=3&amp;refID=7060378&amp;Result=3","7060378")</f>
        <v>0</v>
      </c>
      <c r="B7020" t="s">
        <v>2200</v>
      </c>
      <c r="C7020" t="s">
        <v>10191</v>
      </c>
      <c r="D7020" t="s">
        <v>18812</v>
      </c>
      <c r="E7020" t="s">
        <v>25094</v>
      </c>
      <c r="F7020" t="s">
        <v>32664</v>
      </c>
      <c r="G7020" t="s">
        <v>32674</v>
      </c>
      <c r="H7020" t="s">
        <v>12635</v>
      </c>
      <c r="I7020" t="s">
        <v>32748</v>
      </c>
      <c r="J7020" t="s">
        <v>33387</v>
      </c>
      <c r="K7020" t="s">
        <v>42303</v>
      </c>
      <c r="M7020" t="s">
        <v>44964</v>
      </c>
      <c r="N7020" t="s">
        <v>46569</v>
      </c>
      <c r="O7020" t="s">
        <v>46570</v>
      </c>
      <c r="P7020">
        <v>0</v>
      </c>
      <c r="Q7020">
        <v>0</v>
      </c>
      <c r="R7020" t="s">
        <v>46573</v>
      </c>
      <c r="S7020" t="s">
        <v>46705</v>
      </c>
      <c r="T7020" t="s">
        <v>48244</v>
      </c>
      <c r="U7020" t="s">
        <v>54575</v>
      </c>
      <c r="W7020" t="s">
        <v>44964</v>
      </c>
      <c r="X7020" t="s">
        <v>46574</v>
      </c>
    </row>
    <row r="7021" spans="1:24">
      <c r="A7021">
        <f>HYPERLINK("https://www.philgeps.gov.ph/GEPSNONPILOT/Tender/SplashBidNoticeAbstractUI.aspx?menuIndex=3&amp;refID=7060375&amp;Result=3","7060375")</f>
        <v>0</v>
      </c>
      <c r="B7021" t="s">
        <v>1374</v>
      </c>
      <c r="C7021" t="s">
        <v>10192</v>
      </c>
      <c r="D7021" t="s">
        <v>18821</v>
      </c>
      <c r="E7021" t="s">
        <v>25095</v>
      </c>
      <c r="F7021" t="s">
        <v>32664</v>
      </c>
      <c r="G7021" t="s">
        <v>32672</v>
      </c>
      <c r="H7021" t="s">
        <v>12635</v>
      </c>
      <c r="I7021" t="s">
        <v>6168</v>
      </c>
      <c r="J7021" t="s">
        <v>37154</v>
      </c>
      <c r="K7021" t="s">
        <v>42297</v>
      </c>
      <c r="M7021" t="s">
        <v>44029</v>
      </c>
      <c r="N7021" t="s">
        <v>46569</v>
      </c>
      <c r="O7021" t="s">
        <v>46570</v>
      </c>
      <c r="P7021">
        <v>0</v>
      </c>
      <c r="Q7021">
        <v>1</v>
      </c>
      <c r="R7021" t="s">
        <v>46573</v>
      </c>
      <c r="S7021" t="s">
        <v>46705</v>
      </c>
      <c r="T7021" t="s">
        <v>48368</v>
      </c>
      <c r="U7021" t="s">
        <v>49404</v>
      </c>
      <c r="W7021" t="s">
        <v>44029</v>
      </c>
      <c r="X7021" t="s">
        <v>46574</v>
      </c>
    </row>
    <row r="7022" spans="1:24">
      <c r="A7022">
        <f>HYPERLINK("https://www.philgeps.gov.ph/GEPSNONPILOT/Tender/SplashBidNoticeAbstractUI.aspx?menuIndex=3&amp;refID=7061616&amp;Result=3","7061616")</f>
        <v>0</v>
      </c>
      <c r="B7022" t="s">
        <v>2167</v>
      </c>
      <c r="C7022" t="s">
        <v>10033</v>
      </c>
      <c r="D7022" t="s">
        <v>18823</v>
      </c>
      <c r="E7022" t="s">
        <v>25096</v>
      </c>
      <c r="F7022" t="s">
        <v>32664</v>
      </c>
      <c r="G7022" t="s">
        <v>32675</v>
      </c>
      <c r="H7022" t="s">
        <v>12635</v>
      </c>
      <c r="I7022" t="s">
        <v>4439</v>
      </c>
      <c r="J7022" t="s">
        <v>34386</v>
      </c>
      <c r="K7022" t="s">
        <v>42309</v>
      </c>
      <c r="M7022" t="s">
        <v>44926</v>
      </c>
      <c r="N7022" t="s">
        <v>46569</v>
      </c>
      <c r="O7022" t="s">
        <v>46570</v>
      </c>
      <c r="P7022">
        <v>0</v>
      </c>
      <c r="Q7022">
        <v>1</v>
      </c>
      <c r="R7022" t="s">
        <v>46573</v>
      </c>
      <c r="S7022" t="s">
        <v>46705</v>
      </c>
      <c r="T7022" t="s">
        <v>48254</v>
      </c>
      <c r="U7022" t="s">
        <v>54441</v>
      </c>
      <c r="W7022" t="s">
        <v>44926</v>
      </c>
      <c r="X7022" t="s">
        <v>46574</v>
      </c>
    </row>
    <row r="7023" spans="1:24">
      <c r="A7023">
        <f>HYPERLINK("https://www.philgeps.gov.ph/GEPSNONPILOT/Tender/SplashBidNoticeAbstractUI.aspx?menuIndex=3&amp;refID=7060356&amp;Result=3","7060356")</f>
        <v>0</v>
      </c>
      <c r="B7023" t="s">
        <v>1600</v>
      </c>
      <c r="C7023" t="s">
        <v>10193</v>
      </c>
      <c r="D7023" t="s">
        <v>18835</v>
      </c>
      <c r="E7023" t="s">
        <v>25097</v>
      </c>
      <c r="F7023" t="s">
        <v>32664</v>
      </c>
      <c r="G7023" t="s">
        <v>32671</v>
      </c>
      <c r="H7023" t="s">
        <v>12635</v>
      </c>
      <c r="I7023" t="s">
        <v>4439</v>
      </c>
      <c r="J7023" t="s">
        <v>37155</v>
      </c>
      <c r="K7023" t="s">
        <v>42289</v>
      </c>
      <c r="M7023" t="s">
        <v>44277</v>
      </c>
      <c r="N7023" t="s">
        <v>46569</v>
      </c>
      <c r="O7023" t="s">
        <v>46570</v>
      </c>
      <c r="P7023">
        <v>0</v>
      </c>
      <c r="Q7023">
        <v>0</v>
      </c>
      <c r="R7023" t="s">
        <v>46573</v>
      </c>
      <c r="S7023" t="s">
        <v>46705</v>
      </c>
      <c r="T7023" t="s">
        <v>48287</v>
      </c>
      <c r="U7023" t="s">
        <v>54576</v>
      </c>
      <c r="W7023" t="s">
        <v>44277</v>
      </c>
      <c r="X7023" t="s">
        <v>46574</v>
      </c>
    </row>
    <row r="7024" spans="1:24">
      <c r="A7024">
        <f>HYPERLINK("https://www.philgeps.gov.ph/GEPSNONPILOT/Tender/SplashBidNoticeAbstractUI.aspx?menuIndex=3&amp;refID=7060381&amp;Result=3","7060381")</f>
        <v>0</v>
      </c>
      <c r="B7024" t="s">
        <v>2201</v>
      </c>
      <c r="C7024" t="s">
        <v>10194</v>
      </c>
      <c r="D7024" t="s">
        <v>18829</v>
      </c>
      <c r="E7024" t="s">
        <v>10194</v>
      </c>
      <c r="F7024" t="s">
        <v>32664</v>
      </c>
      <c r="G7024" t="s">
        <v>32672</v>
      </c>
      <c r="H7024" t="s">
        <v>32683</v>
      </c>
      <c r="I7024" t="s">
        <v>10627</v>
      </c>
      <c r="J7024" t="s">
        <v>32962</v>
      </c>
      <c r="K7024" t="s">
        <v>42329</v>
      </c>
      <c r="M7024" t="s">
        <v>44965</v>
      </c>
      <c r="N7024" t="s">
        <v>46569</v>
      </c>
      <c r="O7024" t="s">
        <v>46570</v>
      </c>
      <c r="P7024">
        <v>0</v>
      </c>
      <c r="Q7024">
        <v>1</v>
      </c>
      <c r="R7024" t="s">
        <v>46573</v>
      </c>
      <c r="S7024" t="s">
        <v>46705</v>
      </c>
      <c r="T7024" t="s">
        <v>48308</v>
      </c>
      <c r="U7024" t="s">
        <v>54577</v>
      </c>
      <c r="W7024" t="s">
        <v>44965</v>
      </c>
      <c r="X7024" t="s">
        <v>46574</v>
      </c>
    </row>
    <row r="7025" spans="1:24">
      <c r="A7025">
        <f>HYPERLINK("https://www.philgeps.gov.ph/GEPSNONPILOT/Tender/SplashBidNoticeAbstractUI.aspx?menuIndex=3&amp;refID=7060354&amp;Result=3","7060354")</f>
        <v>0</v>
      </c>
      <c r="B7025" t="s">
        <v>1312</v>
      </c>
      <c r="C7025" t="s">
        <v>10195</v>
      </c>
      <c r="D7025" t="s">
        <v>18788</v>
      </c>
      <c r="E7025" t="s">
        <v>22186</v>
      </c>
      <c r="F7025" t="s">
        <v>32664</v>
      </c>
      <c r="G7025" t="s">
        <v>32672</v>
      </c>
      <c r="H7025" t="s">
        <v>32683</v>
      </c>
      <c r="I7025" t="s">
        <v>10627</v>
      </c>
      <c r="J7025" t="s">
        <v>37156</v>
      </c>
      <c r="K7025" t="s">
        <v>42283</v>
      </c>
      <c r="M7025" t="s">
        <v>43958</v>
      </c>
      <c r="N7025" t="s">
        <v>46569</v>
      </c>
      <c r="O7025" t="s">
        <v>46570</v>
      </c>
      <c r="P7025">
        <v>0</v>
      </c>
      <c r="Q7025">
        <v>2</v>
      </c>
      <c r="R7025" t="s">
        <v>46573</v>
      </c>
      <c r="S7025" t="s">
        <v>46705</v>
      </c>
      <c r="T7025" t="s">
        <v>48267</v>
      </c>
      <c r="U7025" t="s">
        <v>54578</v>
      </c>
      <c r="W7025" t="s">
        <v>43958</v>
      </c>
      <c r="X7025" t="s">
        <v>46574</v>
      </c>
    </row>
    <row r="7026" spans="1:24">
      <c r="A7026">
        <f>HYPERLINK("https://www.philgeps.gov.ph/GEPSNONPILOT/Tender/SplashBidNoticeAbstractUI.aspx?menuIndex=3&amp;refID=7060350&amp;Result=3","7060350")</f>
        <v>0</v>
      </c>
      <c r="B7026" t="s">
        <v>1369</v>
      </c>
      <c r="C7026" t="s">
        <v>10196</v>
      </c>
      <c r="D7026" t="s">
        <v>18816</v>
      </c>
      <c r="E7026" t="s">
        <v>25098</v>
      </c>
      <c r="F7026" t="s">
        <v>32664</v>
      </c>
      <c r="G7026" t="s">
        <v>32671</v>
      </c>
      <c r="H7026" t="s">
        <v>12635</v>
      </c>
      <c r="I7026" t="s">
        <v>5589</v>
      </c>
      <c r="J7026" t="s">
        <v>37157</v>
      </c>
      <c r="K7026" t="s">
        <v>42295</v>
      </c>
      <c r="M7026" t="s">
        <v>44024</v>
      </c>
      <c r="N7026" t="s">
        <v>46569</v>
      </c>
      <c r="O7026" t="s">
        <v>46570</v>
      </c>
      <c r="P7026">
        <v>0</v>
      </c>
      <c r="Q7026">
        <v>2</v>
      </c>
      <c r="R7026" t="s">
        <v>46573</v>
      </c>
      <c r="S7026" t="s">
        <v>46705</v>
      </c>
      <c r="T7026" t="s">
        <v>48258</v>
      </c>
      <c r="U7026" t="s">
        <v>54579</v>
      </c>
      <c r="W7026" t="s">
        <v>44024</v>
      </c>
      <c r="X7026" t="s">
        <v>46574</v>
      </c>
    </row>
    <row r="7027" spans="1:24">
      <c r="A7027">
        <f>HYPERLINK("https://www.philgeps.gov.ph/GEPSNONPILOT/Tender/SplashBidNoticeAbstractUI.aspx?menuIndex=3&amp;refID=7060358&amp;Result=3","7060358")</f>
        <v>0</v>
      </c>
      <c r="B7027" t="s">
        <v>2012</v>
      </c>
      <c r="C7027" t="s">
        <v>10197</v>
      </c>
      <c r="D7027" t="s">
        <v>18785</v>
      </c>
      <c r="E7027" t="s">
        <v>25099</v>
      </c>
      <c r="F7027" t="s">
        <v>32664</v>
      </c>
      <c r="G7027" t="s">
        <v>32671</v>
      </c>
      <c r="H7027" t="s">
        <v>12635</v>
      </c>
      <c r="I7027" t="s">
        <v>10370</v>
      </c>
      <c r="J7027" t="s">
        <v>33852</v>
      </c>
      <c r="K7027" t="s">
        <v>42305</v>
      </c>
      <c r="M7027" t="s">
        <v>44751</v>
      </c>
      <c r="N7027" t="s">
        <v>46569</v>
      </c>
      <c r="O7027" t="s">
        <v>46570</v>
      </c>
      <c r="P7027">
        <v>0</v>
      </c>
      <c r="Q7027">
        <v>3</v>
      </c>
      <c r="R7027" t="s">
        <v>46573</v>
      </c>
      <c r="S7027" t="s">
        <v>46705</v>
      </c>
      <c r="T7027" t="s">
        <v>48287</v>
      </c>
      <c r="U7027" t="s">
        <v>53826</v>
      </c>
      <c r="V7027" t="s">
        <v>62242</v>
      </c>
      <c r="W7027" t="s">
        <v>44751</v>
      </c>
      <c r="X7027" t="s">
        <v>46574</v>
      </c>
    </row>
    <row r="7028" spans="1:24">
      <c r="A7028">
        <f>HYPERLINK("https://www.philgeps.gov.ph/GEPSNONPILOT/Tender/SplashBidNoticeAbstractUI.aspx?menuIndex=3&amp;refID=7060306&amp;Result=3","7060306")</f>
        <v>0</v>
      </c>
      <c r="B7028" t="s">
        <v>117</v>
      </c>
      <c r="C7028" t="s">
        <v>10198</v>
      </c>
      <c r="D7028" t="s">
        <v>18799</v>
      </c>
      <c r="E7028" t="s">
        <v>25100</v>
      </c>
      <c r="F7028" t="s">
        <v>32664</v>
      </c>
      <c r="G7028" t="s">
        <v>32672</v>
      </c>
      <c r="H7028" t="s">
        <v>12635</v>
      </c>
      <c r="I7028" t="s">
        <v>4439</v>
      </c>
      <c r="J7028" t="s">
        <v>37158</v>
      </c>
      <c r="K7028" t="s">
        <v>42283</v>
      </c>
      <c r="M7028" t="s">
        <v>44671</v>
      </c>
      <c r="N7028" t="s">
        <v>46569</v>
      </c>
      <c r="O7028" t="s">
        <v>46570</v>
      </c>
      <c r="P7028">
        <v>0</v>
      </c>
      <c r="Q7028">
        <v>0</v>
      </c>
      <c r="R7028" t="s">
        <v>46573</v>
      </c>
      <c r="S7028" t="s">
        <v>46705</v>
      </c>
      <c r="T7028" t="s">
        <v>48272</v>
      </c>
      <c r="U7028" t="s">
        <v>54580</v>
      </c>
      <c r="W7028" t="s">
        <v>44671</v>
      </c>
      <c r="X7028" t="s">
        <v>46574</v>
      </c>
    </row>
    <row r="7029" spans="1:24">
      <c r="A7029">
        <f>HYPERLINK("https://www.philgeps.gov.ph/GEPSNONPILOT/Tender/SplashBidNoticeAbstractUI.aspx?menuIndex=3&amp;refID=7060357&amp;Result=3","7060357")</f>
        <v>0</v>
      </c>
      <c r="B7029" t="s">
        <v>1613</v>
      </c>
      <c r="C7029" t="s">
        <v>10199</v>
      </c>
      <c r="D7029" t="s">
        <v>18806</v>
      </c>
      <c r="E7029" t="s">
        <v>25101</v>
      </c>
      <c r="F7029" t="s">
        <v>32664</v>
      </c>
      <c r="G7029" t="s">
        <v>32672</v>
      </c>
      <c r="H7029" t="s">
        <v>32683</v>
      </c>
      <c r="I7029" t="s">
        <v>6553</v>
      </c>
      <c r="J7029" t="s">
        <v>37159</v>
      </c>
      <c r="K7029" t="s">
        <v>42283</v>
      </c>
      <c r="M7029" t="s">
        <v>44292</v>
      </c>
      <c r="N7029" t="s">
        <v>46569</v>
      </c>
      <c r="O7029" t="s">
        <v>46570</v>
      </c>
      <c r="P7029">
        <v>0</v>
      </c>
      <c r="Q7029">
        <v>1</v>
      </c>
      <c r="R7029" t="s">
        <v>46573</v>
      </c>
      <c r="S7029" t="s">
        <v>46705</v>
      </c>
      <c r="T7029" t="s">
        <v>48274</v>
      </c>
      <c r="U7029" t="s">
        <v>54581</v>
      </c>
      <c r="V7029" t="s">
        <v>62235</v>
      </c>
      <c r="W7029" t="s">
        <v>44292</v>
      </c>
      <c r="X7029" t="s">
        <v>46574</v>
      </c>
    </row>
    <row r="7030" spans="1:24">
      <c r="A7030">
        <f>HYPERLINK("https://www.philgeps.gov.ph/GEPSNONPILOT/Tender/SplashBidNoticeAbstractUI.aspx?menuIndex=3&amp;refID=7060305&amp;Result=3","7060305")</f>
        <v>0</v>
      </c>
      <c r="B7030" t="s">
        <v>1811</v>
      </c>
      <c r="C7030" t="s">
        <v>10200</v>
      </c>
      <c r="D7030" t="s">
        <v>18805</v>
      </c>
      <c r="E7030" t="s">
        <v>25102</v>
      </c>
      <c r="F7030" t="s">
        <v>32664</v>
      </c>
      <c r="G7030" t="s">
        <v>32672</v>
      </c>
      <c r="H7030" t="s">
        <v>12635</v>
      </c>
      <c r="I7030" t="s">
        <v>32694</v>
      </c>
      <c r="J7030" t="s">
        <v>37160</v>
      </c>
      <c r="K7030" t="s">
        <v>42283</v>
      </c>
      <c r="M7030" t="s">
        <v>44517</v>
      </c>
      <c r="N7030" t="s">
        <v>46569</v>
      </c>
      <c r="O7030" t="s">
        <v>46570</v>
      </c>
      <c r="P7030">
        <v>0</v>
      </c>
      <c r="Q7030">
        <v>0</v>
      </c>
      <c r="R7030" t="s">
        <v>46573</v>
      </c>
      <c r="S7030" t="s">
        <v>46705</v>
      </c>
      <c r="T7030" t="s">
        <v>48411</v>
      </c>
      <c r="U7030" t="s">
        <v>54582</v>
      </c>
      <c r="V7030" t="s">
        <v>62197</v>
      </c>
      <c r="W7030" t="s">
        <v>44517</v>
      </c>
      <c r="X7030" t="s">
        <v>46574</v>
      </c>
    </row>
    <row r="7031" spans="1:24">
      <c r="A7031">
        <f>HYPERLINK("https://www.philgeps.gov.ph/GEPSNONPILOT/Tender/SplashBidNoticeAbstractUI.aspx?menuIndex=3&amp;refID=7060353&amp;Result=3","7060353")</f>
        <v>0</v>
      </c>
      <c r="B7031" t="s">
        <v>784</v>
      </c>
      <c r="C7031" t="s">
        <v>10201</v>
      </c>
      <c r="D7031" t="s">
        <v>18785</v>
      </c>
      <c r="E7031" t="s">
        <v>25103</v>
      </c>
      <c r="F7031" t="s">
        <v>32664</v>
      </c>
      <c r="G7031" t="s">
        <v>32674</v>
      </c>
      <c r="H7031" t="s">
        <v>12635</v>
      </c>
      <c r="I7031" t="s">
        <v>6168</v>
      </c>
      <c r="J7031" t="s">
        <v>32931</v>
      </c>
      <c r="K7031" t="s">
        <v>42289</v>
      </c>
      <c r="M7031" t="s">
        <v>43376</v>
      </c>
      <c r="N7031" t="s">
        <v>46569</v>
      </c>
      <c r="O7031" t="s">
        <v>46570</v>
      </c>
      <c r="P7031">
        <v>0</v>
      </c>
      <c r="Q7031">
        <v>4</v>
      </c>
      <c r="R7031" t="s">
        <v>46573</v>
      </c>
      <c r="S7031" t="s">
        <v>46705</v>
      </c>
      <c r="T7031" t="s">
        <v>48287</v>
      </c>
      <c r="U7031" t="s">
        <v>54583</v>
      </c>
      <c r="W7031" t="s">
        <v>46387</v>
      </c>
      <c r="X7031" t="s">
        <v>46574</v>
      </c>
    </row>
    <row r="7032" spans="1:24">
      <c r="A7032">
        <f>HYPERLINK("https://www.philgeps.gov.ph/GEPSNONPILOT/Tender/SplashBidNoticeAbstractUI.aspx?menuIndex=3&amp;refID=7060302&amp;Result=3","7060302")</f>
        <v>0</v>
      </c>
      <c r="B7032" t="s">
        <v>2202</v>
      </c>
      <c r="C7032" t="s">
        <v>10202</v>
      </c>
      <c r="D7032" t="s">
        <v>18844</v>
      </c>
      <c r="E7032" t="s">
        <v>25104</v>
      </c>
      <c r="F7032" t="s">
        <v>32664</v>
      </c>
      <c r="G7032" t="s">
        <v>32672</v>
      </c>
      <c r="H7032" t="s">
        <v>32683</v>
      </c>
      <c r="I7032" t="s">
        <v>10627</v>
      </c>
      <c r="J7032" t="s">
        <v>37161</v>
      </c>
      <c r="K7032" t="s">
        <v>42285</v>
      </c>
      <c r="M7032" t="s">
        <v>44966</v>
      </c>
      <c r="N7032" t="s">
        <v>46569</v>
      </c>
      <c r="O7032" t="s">
        <v>46570</v>
      </c>
      <c r="P7032">
        <v>0</v>
      </c>
      <c r="Q7032">
        <v>1</v>
      </c>
      <c r="R7032" t="s">
        <v>46573</v>
      </c>
      <c r="S7032" t="s">
        <v>46705</v>
      </c>
      <c r="T7032" t="s">
        <v>48501</v>
      </c>
      <c r="U7032" t="s">
        <v>54584</v>
      </c>
      <c r="V7032" t="s">
        <v>62323</v>
      </c>
      <c r="W7032" t="s">
        <v>44966</v>
      </c>
      <c r="X7032" t="s">
        <v>46574</v>
      </c>
    </row>
    <row r="7033" spans="1:24">
      <c r="A7033">
        <f>HYPERLINK("https://www.philgeps.gov.ph/GEPSNONPILOT/Tender/SplashBidNoticeAbstractUI.aspx?menuIndex=3&amp;refID=7060374&amp;Result=3","7060374")</f>
        <v>0</v>
      </c>
      <c r="B7033" t="s">
        <v>419</v>
      </c>
      <c r="C7033" t="s">
        <v>10203</v>
      </c>
      <c r="D7033" t="s">
        <v>18784</v>
      </c>
      <c r="E7033" t="s">
        <v>25105</v>
      </c>
      <c r="F7033" t="s">
        <v>32664</v>
      </c>
      <c r="G7033" t="s">
        <v>32674</v>
      </c>
      <c r="H7033" t="s">
        <v>12635</v>
      </c>
      <c r="I7033" t="s">
        <v>6223</v>
      </c>
      <c r="J7033" t="s">
        <v>33126</v>
      </c>
      <c r="K7033" t="s">
        <v>42283</v>
      </c>
      <c r="M7033" t="s">
        <v>42990</v>
      </c>
      <c r="N7033" t="s">
        <v>46569</v>
      </c>
      <c r="O7033" t="s">
        <v>46570</v>
      </c>
      <c r="P7033">
        <v>0</v>
      </c>
      <c r="Q7033">
        <v>3</v>
      </c>
      <c r="R7033" t="s">
        <v>46573</v>
      </c>
      <c r="S7033" t="s">
        <v>46705</v>
      </c>
      <c r="T7033" t="s">
        <v>48251</v>
      </c>
      <c r="U7033" t="s">
        <v>54585</v>
      </c>
      <c r="W7033" t="s">
        <v>42990</v>
      </c>
      <c r="X7033" t="s">
        <v>46574</v>
      </c>
    </row>
    <row r="7034" spans="1:24">
      <c r="A7034">
        <f>HYPERLINK("https://www.philgeps.gov.ph/GEPSNONPILOT/Tender/SplashBidNoticeAbstractUI.aspx?menuIndex=3&amp;refID=7060280&amp;Result=3","7060280")</f>
        <v>0</v>
      </c>
      <c r="B7034" t="s">
        <v>565</v>
      </c>
      <c r="C7034" t="s">
        <v>10204</v>
      </c>
      <c r="E7034" t="s">
        <v>25106</v>
      </c>
      <c r="F7034" t="s">
        <v>32664</v>
      </c>
      <c r="G7034" t="s">
        <v>32672</v>
      </c>
      <c r="H7034" t="s">
        <v>32683</v>
      </c>
      <c r="I7034" t="s">
        <v>10627</v>
      </c>
      <c r="J7034" t="s">
        <v>37162</v>
      </c>
      <c r="K7034" t="s">
        <v>42283</v>
      </c>
      <c r="M7034" t="s">
        <v>43145</v>
      </c>
      <c r="N7034" t="s">
        <v>46569</v>
      </c>
      <c r="O7034" t="s">
        <v>46570</v>
      </c>
      <c r="P7034">
        <v>0</v>
      </c>
      <c r="Q7034">
        <v>1</v>
      </c>
      <c r="R7034" t="s">
        <v>46573</v>
      </c>
      <c r="S7034" t="s">
        <v>46705</v>
      </c>
      <c r="T7034" t="s">
        <v>48211</v>
      </c>
      <c r="U7034" t="s">
        <v>53837</v>
      </c>
      <c r="W7034" t="s">
        <v>43145</v>
      </c>
      <c r="X7034" t="s">
        <v>46574</v>
      </c>
    </row>
    <row r="7035" spans="1:24">
      <c r="A7035">
        <f>HYPERLINK("https://www.philgeps.gov.ph/GEPSNONPILOT/Tender/SplashBidNoticeAbstractUI.aspx?menuIndex=3&amp;refID=7060281&amp;Result=3","7060281")</f>
        <v>0</v>
      </c>
      <c r="B7035" t="s">
        <v>1770</v>
      </c>
      <c r="C7035" t="s">
        <v>10205</v>
      </c>
      <c r="D7035" t="s">
        <v>18848</v>
      </c>
      <c r="E7035" t="s">
        <v>25107</v>
      </c>
      <c r="F7035" t="s">
        <v>32664</v>
      </c>
      <c r="G7035" t="s">
        <v>32671</v>
      </c>
      <c r="H7035" t="s">
        <v>12635</v>
      </c>
      <c r="I7035" t="s">
        <v>4439</v>
      </c>
      <c r="J7035" t="s">
        <v>37163</v>
      </c>
      <c r="K7035" t="s">
        <v>42297</v>
      </c>
      <c r="M7035" t="s">
        <v>44472</v>
      </c>
      <c r="N7035" t="s">
        <v>46569</v>
      </c>
      <c r="O7035" t="s">
        <v>46570</v>
      </c>
      <c r="P7035">
        <v>0</v>
      </c>
      <c r="Q7035">
        <v>1</v>
      </c>
      <c r="R7035" t="s">
        <v>46573</v>
      </c>
      <c r="S7035" t="s">
        <v>46705</v>
      </c>
      <c r="T7035" t="s">
        <v>48573</v>
      </c>
      <c r="U7035" t="s">
        <v>54586</v>
      </c>
      <c r="W7035" t="s">
        <v>63552</v>
      </c>
      <c r="X7035" t="s">
        <v>46574</v>
      </c>
    </row>
    <row r="7036" spans="1:24">
      <c r="A7036">
        <f>HYPERLINK("https://www.philgeps.gov.ph/GEPSNONPILOT/Tender/SplashBidNoticeAbstractUI.aspx?menuIndex=3&amp;refID=7060843&amp;Result=3","7060843")</f>
        <v>0</v>
      </c>
      <c r="B7036" t="s">
        <v>536</v>
      </c>
      <c r="C7036" t="s">
        <v>10206</v>
      </c>
      <c r="D7036" t="s">
        <v>18786</v>
      </c>
      <c r="E7036" t="s">
        <v>25108</v>
      </c>
      <c r="F7036" t="s">
        <v>32664</v>
      </c>
      <c r="G7036" t="s">
        <v>32671</v>
      </c>
      <c r="H7036" t="s">
        <v>12635</v>
      </c>
      <c r="I7036" t="s">
        <v>32688</v>
      </c>
      <c r="J7036" t="s">
        <v>36867</v>
      </c>
      <c r="K7036" t="s">
        <v>42281</v>
      </c>
      <c r="M7036" t="s">
        <v>43114</v>
      </c>
      <c r="N7036" t="s">
        <v>46569</v>
      </c>
      <c r="O7036" t="s">
        <v>46570</v>
      </c>
      <c r="P7036">
        <v>0</v>
      </c>
      <c r="Q7036">
        <v>4</v>
      </c>
      <c r="R7036" t="s">
        <v>46573</v>
      </c>
      <c r="S7036" t="s">
        <v>46705</v>
      </c>
      <c r="T7036" t="s">
        <v>48268</v>
      </c>
      <c r="U7036" t="s">
        <v>54587</v>
      </c>
      <c r="W7036" t="s">
        <v>43114</v>
      </c>
      <c r="X7036" t="s">
        <v>46574</v>
      </c>
    </row>
    <row r="7037" spans="1:24">
      <c r="A7037">
        <f>HYPERLINK("https://www.philgeps.gov.ph/GEPSNONPILOT/Tender/SplashBidNoticeAbstractUI.aspx?menuIndex=3&amp;refID=7060279&amp;Result=3","7060279")</f>
        <v>0</v>
      </c>
      <c r="B7037" t="s">
        <v>1944</v>
      </c>
      <c r="C7037" t="s">
        <v>10207</v>
      </c>
      <c r="D7037" t="s">
        <v>18806</v>
      </c>
      <c r="E7037" t="s">
        <v>25109</v>
      </c>
      <c r="F7037" t="s">
        <v>32664</v>
      </c>
      <c r="G7037" t="s">
        <v>32672</v>
      </c>
      <c r="H7037" t="s">
        <v>12635</v>
      </c>
      <c r="I7037" t="s">
        <v>4439</v>
      </c>
      <c r="J7037" t="s">
        <v>37164</v>
      </c>
      <c r="K7037" t="s">
        <v>42297</v>
      </c>
      <c r="M7037" t="s">
        <v>44669</v>
      </c>
      <c r="N7037" t="s">
        <v>46569</v>
      </c>
      <c r="O7037" t="s">
        <v>46570</v>
      </c>
      <c r="P7037">
        <v>0</v>
      </c>
      <c r="Q7037">
        <v>0</v>
      </c>
      <c r="R7037" t="s">
        <v>46573</v>
      </c>
      <c r="S7037" t="s">
        <v>46705</v>
      </c>
      <c r="T7037" t="s">
        <v>48308</v>
      </c>
      <c r="U7037" t="s">
        <v>54588</v>
      </c>
      <c r="V7037" t="s">
        <v>62224</v>
      </c>
      <c r="W7037" t="s">
        <v>44669</v>
      </c>
      <c r="X7037" t="s">
        <v>46574</v>
      </c>
    </row>
    <row r="7038" spans="1:24">
      <c r="A7038">
        <f>HYPERLINK("https://www.philgeps.gov.ph/GEPSNONPILOT/Tender/SplashBidNoticeAbstractUI.aspx?menuIndex=3&amp;refID=7060277&amp;Result=3","7060277")</f>
        <v>0</v>
      </c>
      <c r="B7038" t="s">
        <v>1600</v>
      </c>
      <c r="C7038" t="s">
        <v>10208</v>
      </c>
      <c r="D7038" t="s">
        <v>18835</v>
      </c>
      <c r="E7038" t="s">
        <v>25110</v>
      </c>
      <c r="F7038" t="s">
        <v>32664</v>
      </c>
      <c r="G7038" t="s">
        <v>32671</v>
      </c>
      <c r="H7038" t="s">
        <v>12635</v>
      </c>
      <c r="I7038" t="s">
        <v>32684</v>
      </c>
      <c r="J7038" t="s">
        <v>32898</v>
      </c>
      <c r="K7038" t="s">
        <v>42289</v>
      </c>
      <c r="M7038" t="s">
        <v>44277</v>
      </c>
      <c r="N7038" t="s">
        <v>46569</v>
      </c>
      <c r="O7038" t="s">
        <v>46570</v>
      </c>
      <c r="P7038">
        <v>0</v>
      </c>
      <c r="Q7038">
        <v>1</v>
      </c>
      <c r="R7038" t="s">
        <v>46573</v>
      </c>
      <c r="S7038" t="s">
        <v>46705</v>
      </c>
      <c r="T7038" t="s">
        <v>48287</v>
      </c>
      <c r="U7038" t="s">
        <v>54589</v>
      </c>
      <c r="W7038" t="s">
        <v>44277</v>
      </c>
      <c r="X7038" t="s">
        <v>46574</v>
      </c>
    </row>
    <row r="7039" spans="1:24">
      <c r="A7039">
        <f>HYPERLINK("https://www.philgeps.gov.ph/GEPSNONPILOT/Tender/SplashBidNoticeAbstractUI.aspx?menuIndex=3&amp;refID=7060220&amp;Result=3","7060220")</f>
        <v>0</v>
      </c>
      <c r="B7039" t="s">
        <v>312</v>
      </c>
      <c r="C7039" t="s">
        <v>10209</v>
      </c>
      <c r="D7039" t="s">
        <v>18805</v>
      </c>
      <c r="E7039" t="s">
        <v>25111</v>
      </c>
      <c r="F7039" t="s">
        <v>32664</v>
      </c>
      <c r="G7039" t="s">
        <v>32671</v>
      </c>
      <c r="H7039" t="s">
        <v>12635</v>
      </c>
      <c r="I7039" t="s">
        <v>8797</v>
      </c>
      <c r="J7039" t="s">
        <v>33015</v>
      </c>
      <c r="K7039" t="s">
        <v>42283</v>
      </c>
      <c r="M7039" t="s">
        <v>42879</v>
      </c>
      <c r="N7039" t="s">
        <v>46569</v>
      </c>
      <c r="O7039" t="s">
        <v>46570</v>
      </c>
      <c r="P7039">
        <v>0</v>
      </c>
      <c r="Q7039">
        <v>2</v>
      </c>
      <c r="R7039" t="s">
        <v>46573</v>
      </c>
      <c r="S7039" t="s">
        <v>46705</v>
      </c>
      <c r="T7039" t="s">
        <v>48331</v>
      </c>
      <c r="U7039" t="s">
        <v>49353</v>
      </c>
      <c r="W7039" t="s">
        <v>42879</v>
      </c>
      <c r="X7039" t="s">
        <v>46574</v>
      </c>
    </row>
    <row r="7040" spans="1:24">
      <c r="A7040">
        <f>HYPERLINK("https://www.philgeps.gov.ph/GEPSNONPILOT/Tender/SplashBidNoticeAbstractUI.aspx?menuIndex=3&amp;refID=7061655&amp;Result=3","7061655")</f>
        <v>0</v>
      </c>
      <c r="B7040" t="s">
        <v>2192</v>
      </c>
      <c r="C7040" t="s">
        <v>10210</v>
      </c>
      <c r="D7040" t="s">
        <v>18837</v>
      </c>
      <c r="E7040" t="s">
        <v>25112</v>
      </c>
      <c r="F7040" t="s">
        <v>32664</v>
      </c>
      <c r="G7040" t="s">
        <v>32674</v>
      </c>
      <c r="H7040" t="s">
        <v>12635</v>
      </c>
      <c r="I7040" t="s">
        <v>32764</v>
      </c>
      <c r="J7040" t="s">
        <v>33078</v>
      </c>
      <c r="K7040" t="s">
        <v>42297</v>
      </c>
      <c r="M7040" t="s">
        <v>44954</v>
      </c>
      <c r="N7040" t="s">
        <v>46569</v>
      </c>
      <c r="O7040" t="s">
        <v>46570</v>
      </c>
      <c r="P7040">
        <v>0</v>
      </c>
      <c r="Q7040">
        <v>0</v>
      </c>
      <c r="R7040" t="s">
        <v>46573</v>
      </c>
      <c r="S7040" t="s">
        <v>46705</v>
      </c>
      <c r="T7040" t="s">
        <v>48473</v>
      </c>
      <c r="U7040" t="s">
        <v>54590</v>
      </c>
      <c r="V7040" t="s">
        <v>62319</v>
      </c>
      <c r="W7040" t="s">
        <v>44954</v>
      </c>
      <c r="X7040" t="s">
        <v>46574</v>
      </c>
    </row>
    <row r="7041" spans="1:24">
      <c r="A7041">
        <f>HYPERLINK("https://www.philgeps.gov.ph/GEPSNONPILOT/Tender/SplashBidNoticeAbstractUI.aspx?menuIndex=3&amp;refID=7060301&amp;Result=3","7060301")</f>
        <v>0</v>
      </c>
      <c r="B7041" t="s">
        <v>2203</v>
      </c>
      <c r="C7041" t="s">
        <v>10211</v>
      </c>
      <c r="E7041" t="s">
        <v>25113</v>
      </c>
      <c r="F7041" t="s">
        <v>32664</v>
      </c>
      <c r="G7041" t="s">
        <v>32672</v>
      </c>
      <c r="H7041" t="s">
        <v>32683</v>
      </c>
      <c r="I7041" t="s">
        <v>10627</v>
      </c>
      <c r="J7041" t="s">
        <v>33917</v>
      </c>
      <c r="K7041" t="s">
        <v>42283</v>
      </c>
      <c r="M7041" t="s">
        <v>44967</v>
      </c>
      <c r="N7041" t="s">
        <v>46569</v>
      </c>
      <c r="O7041" t="s">
        <v>46570</v>
      </c>
      <c r="P7041">
        <v>0</v>
      </c>
      <c r="Q7041">
        <v>0</v>
      </c>
      <c r="R7041" t="s">
        <v>46573</v>
      </c>
      <c r="S7041" t="s">
        <v>46705</v>
      </c>
      <c r="T7041" t="s">
        <v>48565</v>
      </c>
      <c r="U7041" t="s">
        <v>54591</v>
      </c>
      <c r="W7041" t="s">
        <v>44967</v>
      </c>
      <c r="X7041" t="s">
        <v>46574</v>
      </c>
    </row>
    <row r="7042" spans="1:24">
      <c r="A7042">
        <f>HYPERLINK("https://www.philgeps.gov.ph/GEPSNONPILOT/Tender/SplashBidNoticeAbstractUI.aspx?menuIndex=3&amp;refID=7061653&amp;Result=3","7061653")</f>
        <v>0</v>
      </c>
      <c r="B7042" t="s">
        <v>2204</v>
      </c>
      <c r="C7042" t="s">
        <v>10212</v>
      </c>
      <c r="D7042" t="s">
        <v>18785</v>
      </c>
      <c r="E7042" t="s">
        <v>25114</v>
      </c>
      <c r="F7042" t="s">
        <v>32664</v>
      </c>
      <c r="G7042" t="s">
        <v>32671</v>
      </c>
      <c r="H7042" t="s">
        <v>12635</v>
      </c>
      <c r="I7042" t="s">
        <v>6223</v>
      </c>
      <c r="J7042" t="s">
        <v>37165</v>
      </c>
      <c r="K7042" t="s">
        <v>42283</v>
      </c>
      <c r="M7042" t="s">
        <v>44968</v>
      </c>
      <c r="N7042" t="s">
        <v>46569</v>
      </c>
      <c r="O7042" t="s">
        <v>46570</v>
      </c>
      <c r="P7042">
        <v>0</v>
      </c>
      <c r="Q7042">
        <v>3</v>
      </c>
      <c r="R7042" t="s">
        <v>46573</v>
      </c>
      <c r="S7042" t="s">
        <v>46705</v>
      </c>
      <c r="T7042" t="s">
        <v>48290</v>
      </c>
      <c r="U7042" t="s">
        <v>54592</v>
      </c>
      <c r="W7042" t="s">
        <v>44968</v>
      </c>
      <c r="X7042" t="s">
        <v>46574</v>
      </c>
    </row>
    <row r="7043" spans="1:24">
      <c r="A7043">
        <f>HYPERLINK("https://www.philgeps.gov.ph/GEPSNONPILOT/Tender/SplashBidNoticeAbstractUI.aspx?menuIndex=3&amp;refID=7061652&amp;Result=3","7061652")</f>
        <v>0</v>
      </c>
      <c r="B7043" t="s">
        <v>145</v>
      </c>
      <c r="C7043" t="s">
        <v>10213</v>
      </c>
      <c r="E7043" t="s">
        <v>25115</v>
      </c>
      <c r="F7043" t="s">
        <v>32664</v>
      </c>
      <c r="G7043" t="s">
        <v>32672</v>
      </c>
      <c r="H7043" t="s">
        <v>12635</v>
      </c>
      <c r="I7043" t="s">
        <v>6553</v>
      </c>
      <c r="J7043" t="s">
        <v>37166</v>
      </c>
      <c r="K7043" t="s">
        <v>42283</v>
      </c>
      <c r="M7043" t="s">
        <v>44278</v>
      </c>
      <c r="N7043" t="s">
        <v>46569</v>
      </c>
      <c r="O7043" t="s">
        <v>46570</v>
      </c>
      <c r="P7043">
        <v>0</v>
      </c>
      <c r="Q7043">
        <v>2</v>
      </c>
      <c r="R7043" t="s">
        <v>46573</v>
      </c>
      <c r="S7043" t="s">
        <v>46705</v>
      </c>
      <c r="T7043" t="s">
        <v>48270</v>
      </c>
      <c r="U7043" t="s">
        <v>54593</v>
      </c>
      <c r="V7043" t="s">
        <v>59686</v>
      </c>
      <c r="W7043" t="s">
        <v>44278</v>
      </c>
      <c r="X7043" t="s">
        <v>46574</v>
      </c>
    </row>
    <row r="7044" spans="1:24">
      <c r="A7044">
        <f>HYPERLINK("https://www.philgeps.gov.ph/GEPSNONPILOT/Tender/SplashBidNoticeAbstractUI.aspx?menuIndex=3&amp;refID=7060276&amp;Result=3","7060276")</f>
        <v>0</v>
      </c>
      <c r="B7044" t="s">
        <v>586</v>
      </c>
      <c r="C7044" t="s">
        <v>10214</v>
      </c>
      <c r="D7044" t="s">
        <v>18794</v>
      </c>
      <c r="E7044" t="s">
        <v>10214</v>
      </c>
      <c r="F7044" t="s">
        <v>32664</v>
      </c>
      <c r="G7044" t="s">
        <v>32672</v>
      </c>
      <c r="H7044" t="s">
        <v>12635</v>
      </c>
      <c r="I7044" t="s">
        <v>32694</v>
      </c>
      <c r="J7044" t="s">
        <v>37167</v>
      </c>
      <c r="K7044" t="s">
        <v>42281</v>
      </c>
      <c r="M7044" t="s">
        <v>43166</v>
      </c>
      <c r="N7044" t="s">
        <v>46569</v>
      </c>
      <c r="O7044" t="s">
        <v>46570</v>
      </c>
      <c r="P7044">
        <v>0</v>
      </c>
      <c r="Q7044">
        <v>0</v>
      </c>
      <c r="R7044" t="s">
        <v>46573</v>
      </c>
      <c r="S7044" t="s">
        <v>46705</v>
      </c>
      <c r="T7044" t="s">
        <v>48306</v>
      </c>
      <c r="U7044" t="s">
        <v>54594</v>
      </c>
      <c r="W7044" t="s">
        <v>43166</v>
      </c>
      <c r="X7044" t="s">
        <v>46574</v>
      </c>
    </row>
    <row r="7045" spans="1:24">
      <c r="A7045">
        <f>HYPERLINK("https://www.philgeps.gov.ph/GEPSNONPILOT/Tender/SplashBidNoticeAbstractUI.aspx?menuIndex=3&amp;refID=7061650&amp;Result=3","7061650")</f>
        <v>0</v>
      </c>
      <c r="B7045" t="s">
        <v>2192</v>
      </c>
      <c r="C7045" t="s">
        <v>10215</v>
      </c>
      <c r="D7045" t="s">
        <v>18837</v>
      </c>
      <c r="E7045" t="s">
        <v>25116</v>
      </c>
      <c r="F7045" t="s">
        <v>32664</v>
      </c>
      <c r="G7045" t="s">
        <v>32674</v>
      </c>
      <c r="H7045" t="s">
        <v>12635</v>
      </c>
      <c r="I7045" t="s">
        <v>32764</v>
      </c>
      <c r="J7045" t="s">
        <v>33078</v>
      </c>
      <c r="K7045" t="s">
        <v>42297</v>
      </c>
      <c r="M7045" t="s">
        <v>44954</v>
      </c>
      <c r="N7045" t="s">
        <v>46569</v>
      </c>
      <c r="O7045" t="s">
        <v>46570</v>
      </c>
      <c r="P7045">
        <v>0</v>
      </c>
      <c r="Q7045">
        <v>0</v>
      </c>
      <c r="R7045" t="s">
        <v>46573</v>
      </c>
      <c r="S7045" t="s">
        <v>46705</v>
      </c>
      <c r="T7045" t="s">
        <v>48473</v>
      </c>
      <c r="U7045" t="s">
        <v>54595</v>
      </c>
      <c r="V7045" t="s">
        <v>62319</v>
      </c>
      <c r="W7045" t="s">
        <v>44954</v>
      </c>
      <c r="X7045" t="s">
        <v>46574</v>
      </c>
    </row>
    <row r="7046" spans="1:24">
      <c r="A7046">
        <f>HYPERLINK("https://www.philgeps.gov.ph/GEPSNONPILOT/Tender/SplashBidNoticeAbstractUI.aspx?menuIndex=3&amp;refID=7061649&amp;Result=3","7061649")</f>
        <v>0</v>
      </c>
      <c r="B7046" t="s">
        <v>2205</v>
      </c>
      <c r="C7046" t="s">
        <v>10216</v>
      </c>
      <c r="D7046" t="s">
        <v>18836</v>
      </c>
      <c r="E7046" t="s">
        <v>25117</v>
      </c>
      <c r="F7046" t="s">
        <v>32664</v>
      </c>
      <c r="G7046" t="s">
        <v>32672</v>
      </c>
      <c r="H7046" t="s">
        <v>12635</v>
      </c>
      <c r="I7046" t="s">
        <v>32758</v>
      </c>
      <c r="J7046" t="s">
        <v>33361</v>
      </c>
      <c r="K7046" t="s">
        <v>42284</v>
      </c>
      <c r="M7046" t="s">
        <v>44969</v>
      </c>
      <c r="N7046" t="s">
        <v>46569</v>
      </c>
      <c r="O7046" t="s">
        <v>46570</v>
      </c>
      <c r="P7046">
        <v>0</v>
      </c>
      <c r="Q7046">
        <v>0</v>
      </c>
      <c r="R7046" t="s">
        <v>46573</v>
      </c>
      <c r="S7046" t="s">
        <v>46705</v>
      </c>
      <c r="T7046" t="s">
        <v>48283</v>
      </c>
      <c r="U7046" t="s">
        <v>54596</v>
      </c>
      <c r="W7046" t="s">
        <v>44969</v>
      </c>
      <c r="X7046" t="s">
        <v>46574</v>
      </c>
    </row>
    <row r="7047" spans="1:24">
      <c r="A7047">
        <f>HYPERLINK("https://www.philgeps.gov.ph/GEPSNONPILOT/Tender/SplashBidNoticeAbstractUI.aspx?menuIndex=3&amp;refID=7060275&amp;Result=3","7060275")</f>
        <v>0</v>
      </c>
      <c r="B7047" t="s">
        <v>2206</v>
      </c>
      <c r="C7047" t="s">
        <v>10217</v>
      </c>
      <c r="E7047" t="s">
        <v>21191</v>
      </c>
      <c r="F7047" t="s">
        <v>32664</v>
      </c>
      <c r="G7047" t="s">
        <v>32672</v>
      </c>
      <c r="H7047" t="s">
        <v>32683</v>
      </c>
      <c r="I7047" t="s">
        <v>10627</v>
      </c>
      <c r="J7047" t="s">
        <v>37168</v>
      </c>
      <c r="K7047" t="s">
        <v>42345</v>
      </c>
      <c r="M7047" t="s">
        <v>44970</v>
      </c>
      <c r="N7047" t="s">
        <v>46569</v>
      </c>
      <c r="O7047" t="s">
        <v>46570</v>
      </c>
      <c r="P7047">
        <v>0</v>
      </c>
      <c r="Q7047">
        <v>1</v>
      </c>
      <c r="R7047" t="s">
        <v>46573</v>
      </c>
      <c r="S7047" t="s">
        <v>46705</v>
      </c>
      <c r="T7047" t="s">
        <v>48308</v>
      </c>
      <c r="U7047" t="s">
        <v>54597</v>
      </c>
      <c r="W7047" t="s">
        <v>44970</v>
      </c>
      <c r="X7047" t="s">
        <v>46574</v>
      </c>
    </row>
    <row r="7048" spans="1:24">
      <c r="A7048">
        <f>HYPERLINK("https://www.philgeps.gov.ph/GEPSNONPILOT/Tender/SplashBidNoticeAbstractUI.aspx?menuIndex=3&amp;refID=7061654&amp;Result=3","7061654")</f>
        <v>0</v>
      </c>
      <c r="B7048" t="s">
        <v>2205</v>
      </c>
      <c r="C7048" t="s">
        <v>10218</v>
      </c>
      <c r="D7048" t="s">
        <v>18836</v>
      </c>
      <c r="E7048" t="s">
        <v>25118</v>
      </c>
      <c r="F7048" t="s">
        <v>32664</v>
      </c>
      <c r="G7048" t="s">
        <v>32672</v>
      </c>
      <c r="H7048" t="s">
        <v>12635</v>
      </c>
      <c r="I7048" t="s">
        <v>32694</v>
      </c>
      <c r="J7048" t="s">
        <v>35857</v>
      </c>
      <c r="K7048" t="s">
        <v>42284</v>
      </c>
      <c r="M7048" t="s">
        <v>44969</v>
      </c>
      <c r="N7048" t="s">
        <v>46569</v>
      </c>
      <c r="O7048" t="s">
        <v>46570</v>
      </c>
      <c r="P7048">
        <v>0</v>
      </c>
      <c r="Q7048">
        <v>2</v>
      </c>
      <c r="R7048" t="s">
        <v>46573</v>
      </c>
      <c r="S7048" t="s">
        <v>46705</v>
      </c>
      <c r="T7048" t="s">
        <v>48282</v>
      </c>
      <c r="U7048" t="s">
        <v>54598</v>
      </c>
      <c r="W7048" t="s">
        <v>44969</v>
      </c>
      <c r="X7048" t="s">
        <v>46574</v>
      </c>
    </row>
    <row r="7049" spans="1:24">
      <c r="A7049">
        <f>HYPERLINK("https://www.philgeps.gov.ph/GEPSNONPILOT/Tender/SplashBidNoticeAbstractUI.aspx?menuIndex=3&amp;refID=7061646&amp;Result=3","7061646")</f>
        <v>0</v>
      </c>
      <c r="B7049" t="s">
        <v>2192</v>
      </c>
      <c r="C7049" t="s">
        <v>10219</v>
      </c>
      <c r="D7049" t="s">
        <v>18837</v>
      </c>
      <c r="E7049" t="s">
        <v>25119</v>
      </c>
      <c r="F7049" t="s">
        <v>32664</v>
      </c>
      <c r="G7049" t="s">
        <v>32674</v>
      </c>
      <c r="H7049" t="s">
        <v>12635</v>
      </c>
      <c r="I7049" t="s">
        <v>32764</v>
      </c>
      <c r="J7049" t="s">
        <v>33078</v>
      </c>
      <c r="K7049" t="s">
        <v>42297</v>
      </c>
      <c r="M7049" t="s">
        <v>44954</v>
      </c>
      <c r="N7049" t="s">
        <v>46569</v>
      </c>
      <c r="O7049" t="s">
        <v>46570</v>
      </c>
      <c r="P7049">
        <v>0</v>
      </c>
      <c r="Q7049">
        <v>1</v>
      </c>
      <c r="R7049" t="s">
        <v>46573</v>
      </c>
      <c r="S7049" t="s">
        <v>46705</v>
      </c>
      <c r="T7049" t="s">
        <v>48473</v>
      </c>
      <c r="U7049" t="s">
        <v>54599</v>
      </c>
      <c r="V7049" t="s">
        <v>62319</v>
      </c>
      <c r="W7049" t="s">
        <v>44954</v>
      </c>
      <c r="X7049" t="s">
        <v>46574</v>
      </c>
    </row>
    <row r="7050" spans="1:24">
      <c r="A7050">
        <f>HYPERLINK("https://www.philgeps.gov.ph/GEPSNONPILOT/Tender/SplashBidNoticeAbstractUI.aspx?menuIndex=3&amp;refID=7061645&amp;Result=3","7061645")</f>
        <v>0</v>
      </c>
      <c r="B7050" t="s">
        <v>1690</v>
      </c>
      <c r="C7050" t="s">
        <v>10220</v>
      </c>
      <c r="D7050" t="s">
        <v>18832</v>
      </c>
      <c r="E7050" t="s">
        <v>25120</v>
      </c>
      <c r="F7050" t="s">
        <v>32664</v>
      </c>
      <c r="G7050" t="s">
        <v>32672</v>
      </c>
      <c r="H7050" t="s">
        <v>32683</v>
      </c>
      <c r="I7050" t="s">
        <v>10627</v>
      </c>
      <c r="J7050" t="s">
        <v>33150</v>
      </c>
      <c r="K7050" t="s">
        <v>42315</v>
      </c>
      <c r="L7050" t="s">
        <v>1690</v>
      </c>
      <c r="M7050" t="s">
        <v>44380</v>
      </c>
      <c r="N7050" t="s">
        <v>46569</v>
      </c>
      <c r="O7050" t="s">
        <v>46570</v>
      </c>
      <c r="P7050">
        <v>0</v>
      </c>
      <c r="Q7050">
        <v>0</v>
      </c>
      <c r="R7050" t="s">
        <v>46573</v>
      </c>
      <c r="S7050" t="s">
        <v>46705</v>
      </c>
      <c r="T7050" t="s">
        <v>48265</v>
      </c>
      <c r="U7050" t="s">
        <v>54600</v>
      </c>
      <c r="W7050" t="s">
        <v>44380</v>
      </c>
      <c r="X7050" t="s">
        <v>46574</v>
      </c>
    </row>
    <row r="7051" spans="1:24">
      <c r="A7051">
        <f>HYPERLINK("https://www.philgeps.gov.ph/GEPSNONPILOT/Tender/SplashBidNoticeAbstractUI.aspx?menuIndex=3&amp;refID=7061648&amp;Result=3","7061648")</f>
        <v>0</v>
      </c>
      <c r="B7051" t="s">
        <v>2207</v>
      </c>
      <c r="C7051" t="s">
        <v>10221</v>
      </c>
      <c r="D7051" t="s">
        <v>18785</v>
      </c>
      <c r="E7051" t="s">
        <v>25121</v>
      </c>
      <c r="F7051" t="s">
        <v>32664</v>
      </c>
      <c r="G7051" t="s">
        <v>32672</v>
      </c>
      <c r="H7051" t="s">
        <v>12635</v>
      </c>
      <c r="I7051" t="s">
        <v>11464</v>
      </c>
      <c r="J7051" t="s">
        <v>37169</v>
      </c>
      <c r="K7051" t="s">
        <v>42281</v>
      </c>
      <c r="M7051" t="s">
        <v>44971</v>
      </c>
      <c r="N7051" t="s">
        <v>46569</v>
      </c>
      <c r="O7051" t="s">
        <v>46570</v>
      </c>
      <c r="P7051">
        <v>0</v>
      </c>
      <c r="Q7051">
        <v>12</v>
      </c>
      <c r="R7051" t="s">
        <v>46573</v>
      </c>
      <c r="S7051" t="s">
        <v>46705</v>
      </c>
      <c r="T7051" t="s">
        <v>48308</v>
      </c>
      <c r="U7051" t="s">
        <v>54601</v>
      </c>
      <c r="W7051" t="s">
        <v>44971</v>
      </c>
      <c r="X7051" t="s">
        <v>46574</v>
      </c>
    </row>
    <row r="7052" spans="1:24">
      <c r="A7052">
        <f>HYPERLINK("https://www.philgeps.gov.ph/GEPSNONPILOT/Tender/SplashBidNoticeAbstractUI.aspx?menuIndex=3&amp;refID=7061643&amp;Result=3","7061643")</f>
        <v>0</v>
      </c>
      <c r="B7052" t="s">
        <v>145</v>
      </c>
      <c r="C7052" t="s">
        <v>10222</v>
      </c>
      <c r="E7052" t="s">
        <v>25122</v>
      </c>
      <c r="F7052" t="s">
        <v>32664</v>
      </c>
      <c r="G7052" t="s">
        <v>32672</v>
      </c>
      <c r="H7052" t="s">
        <v>12635</v>
      </c>
      <c r="I7052" t="s">
        <v>11464</v>
      </c>
      <c r="J7052" t="s">
        <v>36065</v>
      </c>
      <c r="K7052" t="s">
        <v>42283</v>
      </c>
      <c r="M7052" t="s">
        <v>44278</v>
      </c>
      <c r="N7052" t="s">
        <v>46569</v>
      </c>
      <c r="O7052" t="s">
        <v>46570</v>
      </c>
      <c r="P7052">
        <v>0</v>
      </c>
      <c r="Q7052">
        <v>8</v>
      </c>
      <c r="R7052" t="s">
        <v>46573</v>
      </c>
      <c r="S7052" t="s">
        <v>46705</v>
      </c>
      <c r="T7052" t="s">
        <v>48270</v>
      </c>
      <c r="U7052" t="s">
        <v>54602</v>
      </c>
      <c r="V7052" t="s">
        <v>59686</v>
      </c>
      <c r="W7052" t="s">
        <v>44278</v>
      </c>
      <c r="X7052" t="s">
        <v>46574</v>
      </c>
    </row>
    <row r="7053" spans="1:24">
      <c r="A7053">
        <f>HYPERLINK("https://www.philgeps.gov.ph/GEPSNONPILOT/Tender/SplashBidNoticeAbstractUI.aspx?menuIndex=3&amp;refID=7061647&amp;Result=3","7061647")</f>
        <v>0</v>
      </c>
      <c r="B7053" t="s">
        <v>1083</v>
      </c>
      <c r="C7053" t="s">
        <v>10223</v>
      </c>
      <c r="D7053" t="s">
        <v>18784</v>
      </c>
      <c r="E7053" t="s">
        <v>25123</v>
      </c>
      <c r="F7053" t="s">
        <v>32664</v>
      </c>
      <c r="G7053" t="s">
        <v>32671</v>
      </c>
      <c r="H7053" t="s">
        <v>12635</v>
      </c>
      <c r="I7053" t="s">
        <v>4439</v>
      </c>
      <c r="J7053" t="s">
        <v>37147</v>
      </c>
      <c r="K7053" t="s">
        <v>42289</v>
      </c>
      <c r="M7053" t="s">
        <v>43707</v>
      </c>
      <c r="N7053" t="s">
        <v>46569</v>
      </c>
      <c r="O7053" t="s">
        <v>46570</v>
      </c>
      <c r="P7053">
        <v>0</v>
      </c>
      <c r="Q7053">
        <v>1</v>
      </c>
      <c r="R7053" t="s">
        <v>46573</v>
      </c>
      <c r="S7053" t="s">
        <v>46705</v>
      </c>
      <c r="T7053" t="s">
        <v>48492</v>
      </c>
      <c r="U7053" t="s">
        <v>54603</v>
      </c>
      <c r="W7053" t="s">
        <v>43707</v>
      </c>
      <c r="X7053" t="s">
        <v>46574</v>
      </c>
    </row>
    <row r="7054" spans="1:24">
      <c r="A7054">
        <f>HYPERLINK("https://www.philgeps.gov.ph/GEPSNONPILOT/Tender/SplashBidNoticeAbstractUI.aspx?menuIndex=3&amp;refID=7061641&amp;Result=3","7061641")</f>
        <v>0</v>
      </c>
      <c r="B7054" t="s">
        <v>322</v>
      </c>
      <c r="C7054" t="s">
        <v>10224</v>
      </c>
      <c r="D7054" t="s">
        <v>18806</v>
      </c>
      <c r="E7054" t="s">
        <v>25124</v>
      </c>
      <c r="F7054" t="s">
        <v>32664</v>
      </c>
      <c r="G7054" t="s">
        <v>32671</v>
      </c>
      <c r="H7054" t="s">
        <v>32682</v>
      </c>
      <c r="I7054" t="s">
        <v>32733</v>
      </c>
      <c r="J7054" t="s">
        <v>34290</v>
      </c>
      <c r="K7054" t="s">
        <v>42298</v>
      </c>
      <c r="M7054" t="s">
        <v>42890</v>
      </c>
      <c r="N7054" t="s">
        <v>46569</v>
      </c>
      <c r="O7054" t="s">
        <v>46570</v>
      </c>
      <c r="P7054">
        <v>0</v>
      </c>
      <c r="Q7054">
        <v>1</v>
      </c>
      <c r="R7054" t="s">
        <v>46573</v>
      </c>
      <c r="S7054" t="s">
        <v>46705</v>
      </c>
      <c r="T7054" t="s">
        <v>48290</v>
      </c>
      <c r="U7054" t="s">
        <v>54604</v>
      </c>
      <c r="W7054" t="s">
        <v>42890</v>
      </c>
      <c r="X7054" t="s">
        <v>46574</v>
      </c>
    </row>
    <row r="7055" spans="1:24">
      <c r="A7055">
        <f>HYPERLINK("https://www.philgeps.gov.ph/GEPSNONPILOT/Tender/SplashBidNoticeAbstractUI.aspx?menuIndex=3&amp;refID=7061644&amp;Result=3","7061644")</f>
        <v>0</v>
      </c>
      <c r="B7055" t="s">
        <v>2208</v>
      </c>
      <c r="C7055" t="s">
        <v>10225</v>
      </c>
      <c r="D7055" t="s">
        <v>18784</v>
      </c>
      <c r="E7055" t="s">
        <v>25125</v>
      </c>
      <c r="F7055" t="s">
        <v>32664</v>
      </c>
      <c r="G7055" t="s">
        <v>32674</v>
      </c>
      <c r="H7055" t="s">
        <v>12635</v>
      </c>
      <c r="I7055" t="s">
        <v>5589</v>
      </c>
      <c r="J7055" t="s">
        <v>33128</v>
      </c>
      <c r="K7055" t="s">
        <v>42283</v>
      </c>
      <c r="M7055" t="s">
        <v>44972</v>
      </c>
      <c r="N7055" t="s">
        <v>46569</v>
      </c>
      <c r="O7055" t="s">
        <v>46570</v>
      </c>
      <c r="P7055">
        <v>0</v>
      </c>
      <c r="Q7055">
        <v>4</v>
      </c>
      <c r="R7055" t="s">
        <v>46573</v>
      </c>
      <c r="S7055" t="s">
        <v>46705</v>
      </c>
      <c r="T7055" t="s">
        <v>48448</v>
      </c>
      <c r="U7055" t="s">
        <v>54605</v>
      </c>
      <c r="W7055" t="s">
        <v>44972</v>
      </c>
      <c r="X7055" t="s">
        <v>46574</v>
      </c>
    </row>
    <row r="7056" spans="1:24">
      <c r="A7056">
        <f>HYPERLINK("https://www.philgeps.gov.ph/GEPSNONPILOT/Tender/SplashBidNoticeAbstractUI.aspx?menuIndex=3&amp;refID=7061638&amp;Result=3","7061638")</f>
        <v>0</v>
      </c>
      <c r="B7056" t="s">
        <v>1083</v>
      </c>
      <c r="C7056" t="s">
        <v>10226</v>
      </c>
      <c r="D7056" t="s">
        <v>18784</v>
      </c>
      <c r="E7056" t="s">
        <v>25126</v>
      </c>
      <c r="F7056" t="s">
        <v>32664</v>
      </c>
      <c r="G7056" t="s">
        <v>32671</v>
      </c>
      <c r="H7056" t="s">
        <v>12635</v>
      </c>
      <c r="I7056" t="s">
        <v>32744</v>
      </c>
      <c r="J7056" t="s">
        <v>37170</v>
      </c>
      <c r="K7056" t="s">
        <v>42284</v>
      </c>
      <c r="M7056" t="s">
        <v>43707</v>
      </c>
      <c r="N7056" t="s">
        <v>46569</v>
      </c>
      <c r="O7056" t="s">
        <v>46570</v>
      </c>
      <c r="P7056">
        <v>0</v>
      </c>
      <c r="Q7056">
        <v>0</v>
      </c>
      <c r="R7056" t="s">
        <v>46573</v>
      </c>
      <c r="S7056" t="s">
        <v>46705</v>
      </c>
      <c r="T7056" t="s">
        <v>48492</v>
      </c>
      <c r="U7056" t="s">
        <v>54606</v>
      </c>
      <c r="W7056" t="s">
        <v>43707</v>
      </c>
      <c r="X7056" t="s">
        <v>46574</v>
      </c>
    </row>
    <row r="7057" spans="1:24">
      <c r="A7057">
        <f>HYPERLINK("https://www.philgeps.gov.ph/GEPSNONPILOT/Tender/SplashBidNoticeAbstractUI.aspx?menuIndex=3&amp;refID=7060303&amp;Result=3","7060303")</f>
        <v>0</v>
      </c>
      <c r="B7057" t="s">
        <v>586</v>
      </c>
      <c r="C7057" t="s">
        <v>10227</v>
      </c>
      <c r="D7057" t="s">
        <v>18794</v>
      </c>
      <c r="E7057" t="s">
        <v>25127</v>
      </c>
      <c r="F7057" t="s">
        <v>32664</v>
      </c>
      <c r="G7057" t="s">
        <v>32672</v>
      </c>
      <c r="H7057" t="s">
        <v>12635</v>
      </c>
      <c r="I7057" t="s">
        <v>32706</v>
      </c>
      <c r="J7057" t="s">
        <v>37171</v>
      </c>
      <c r="K7057" t="s">
        <v>42283</v>
      </c>
      <c r="M7057" t="s">
        <v>43166</v>
      </c>
      <c r="N7057" t="s">
        <v>46569</v>
      </c>
      <c r="O7057" t="s">
        <v>46570</v>
      </c>
      <c r="P7057">
        <v>0</v>
      </c>
      <c r="Q7057">
        <v>0</v>
      </c>
      <c r="R7057" t="s">
        <v>46573</v>
      </c>
      <c r="S7057" t="s">
        <v>46705</v>
      </c>
      <c r="T7057" t="s">
        <v>48306</v>
      </c>
      <c r="U7057" t="s">
        <v>54607</v>
      </c>
      <c r="W7057" t="s">
        <v>43166</v>
      </c>
      <c r="X7057" t="s">
        <v>46574</v>
      </c>
    </row>
    <row r="7058" spans="1:24">
      <c r="A7058">
        <f>HYPERLINK("https://www.philgeps.gov.ph/GEPSNONPILOT/Tender/SplashBidNoticeAbstractUI.aspx?menuIndex=3&amp;refID=7061683&amp;Result=3","7061683")</f>
        <v>0</v>
      </c>
      <c r="B7058" t="s">
        <v>2209</v>
      </c>
      <c r="C7058" t="s">
        <v>10228</v>
      </c>
      <c r="D7058" t="s">
        <v>18789</v>
      </c>
      <c r="E7058" t="s">
        <v>19146</v>
      </c>
      <c r="F7058" t="s">
        <v>32664</v>
      </c>
      <c r="G7058" t="s">
        <v>32671</v>
      </c>
      <c r="H7058" t="s">
        <v>12635</v>
      </c>
      <c r="I7058" t="s">
        <v>8730</v>
      </c>
      <c r="J7058" t="s">
        <v>37172</v>
      </c>
      <c r="K7058" t="s">
        <v>42284</v>
      </c>
      <c r="M7058" t="s">
        <v>44973</v>
      </c>
      <c r="N7058" t="s">
        <v>46569</v>
      </c>
      <c r="O7058" t="s">
        <v>46570</v>
      </c>
      <c r="P7058">
        <v>0</v>
      </c>
      <c r="Q7058">
        <v>2</v>
      </c>
      <c r="R7058" t="s">
        <v>46573</v>
      </c>
      <c r="S7058" t="s">
        <v>46705</v>
      </c>
      <c r="T7058" t="s">
        <v>48254</v>
      </c>
      <c r="U7058" t="s">
        <v>54608</v>
      </c>
      <c r="W7058" t="s">
        <v>44973</v>
      </c>
      <c r="X7058" t="s">
        <v>46574</v>
      </c>
    </row>
    <row r="7059" spans="1:24">
      <c r="A7059">
        <f>HYPERLINK("https://www.philgeps.gov.ph/GEPSNONPILOT/Tender/SplashBidNoticeAbstractUI.aspx?menuIndex=3&amp;refID=7061651&amp;Result=3","7061651")</f>
        <v>0</v>
      </c>
      <c r="B7059" t="s">
        <v>2207</v>
      </c>
      <c r="C7059" t="s">
        <v>10229</v>
      </c>
      <c r="D7059" t="s">
        <v>18785</v>
      </c>
      <c r="E7059" t="s">
        <v>25128</v>
      </c>
      <c r="F7059" t="s">
        <v>32664</v>
      </c>
      <c r="G7059" t="s">
        <v>32672</v>
      </c>
      <c r="H7059" t="s">
        <v>12635</v>
      </c>
      <c r="I7059" t="s">
        <v>32699</v>
      </c>
      <c r="J7059" t="s">
        <v>33345</v>
      </c>
      <c r="K7059" t="s">
        <v>42316</v>
      </c>
      <c r="M7059" t="s">
        <v>44971</v>
      </c>
      <c r="N7059" t="s">
        <v>46569</v>
      </c>
      <c r="O7059" t="s">
        <v>46570</v>
      </c>
      <c r="P7059">
        <v>0</v>
      </c>
      <c r="Q7059">
        <v>4</v>
      </c>
      <c r="R7059" t="s">
        <v>46573</v>
      </c>
      <c r="S7059" t="s">
        <v>46705</v>
      </c>
      <c r="T7059" t="s">
        <v>48283</v>
      </c>
      <c r="U7059" t="s">
        <v>54609</v>
      </c>
      <c r="W7059" t="s">
        <v>44971</v>
      </c>
      <c r="X7059" t="s">
        <v>46574</v>
      </c>
    </row>
    <row r="7060" spans="1:24">
      <c r="A7060">
        <f>HYPERLINK("https://www.philgeps.gov.ph/GEPSNONPILOT/Tender/SplashBidNoticeAbstractUI.aspx?menuIndex=3&amp;refID=7061678&amp;Result=3","7061678")</f>
        <v>0</v>
      </c>
      <c r="B7060" t="s">
        <v>2210</v>
      </c>
      <c r="C7060" t="s">
        <v>10230</v>
      </c>
      <c r="D7060" t="s">
        <v>18828</v>
      </c>
      <c r="E7060" t="s">
        <v>25129</v>
      </c>
      <c r="F7060" t="s">
        <v>32664</v>
      </c>
      <c r="G7060" t="s">
        <v>32672</v>
      </c>
      <c r="H7060" t="s">
        <v>32683</v>
      </c>
      <c r="I7060" t="s">
        <v>10627</v>
      </c>
      <c r="J7060" t="s">
        <v>33150</v>
      </c>
      <c r="K7060" t="s">
        <v>42454</v>
      </c>
      <c r="M7060" t="s">
        <v>44974</v>
      </c>
      <c r="N7060" t="s">
        <v>46569</v>
      </c>
      <c r="O7060" t="s">
        <v>46570</v>
      </c>
      <c r="P7060">
        <v>0</v>
      </c>
      <c r="Q7060">
        <v>0</v>
      </c>
      <c r="R7060" t="s">
        <v>46573</v>
      </c>
      <c r="S7060" t="s">
        <v>46705</v>
      </c>
      <c r="T7060" t="s">
        <v>48313</v>
      </c>
      <c r="U7060" t="s">
        <v>54610</v>
      </c>
      <c r="W7060" t="s">
        <v>44974</v>
      </c>
      <c r="X7060" t="s">
        <v>46574</v>
      </c>
    </row>
    <row r="7061" spans="1:24">
      <c r="A7061">
        <f>HYPERLINK("https://www.philgeps.gov.ph/GEPSNONPILOT/Tender/SplashBidNoticeAbstractUI.aspx?menuIndex=3&amp;refID=7061640&amp;Result=3","7061640")</f>
        <v>0</v>
      </c>
      <c r="B7061" t="s">
        <v>1083</v>
      </c>
      <c r="C7061" t="s">
        <v>10231</v>
      </c>
      <c r="D7061" t="s">
        <v>18784</v>
      </c>
      <c r="E7061" t="s">
        <v>25130</v>
      </c>
      <c r="F7061" t="s">
        <v>32664</v>
      </c>
      <c r="G7061" t="s">
        <v>32671</v>
      </c>
      <c r="H7061" t="s">
        <v>12635</v>
      </c>
      <c r="I7061" t="s">
        <v>4439</v>
      </c>
      <c r="J7061" t="s">
        <v>37173</v>
      </c>
      <c r="K7061" t="s">
        <v>42289</v>
      </c>
      <c r="M7061" t="s">
        <v>43707</v>
      </c>
      <c r="N7061" t="s">
        <v>46569</v>
      </c>
      <c r="O7061" t="s">
        <v>46570</v>
      </c>
      <c r="P7061">
        <v>0</v>
      </c>
      <c r="Q7061">
        <v>0</v>
      </c>
      <c r="R7061" t="s">
        <v>46573</v>
      </c>
      <c r="S7061" t="s">
        <v>46705</v>
      </c>
      <c r="T7061" t="s">
        <v>48492</v>
      </c>
      <c r="U7061" t="s">
        <v>54611</v>
      </c>
      <c r="W7061" t="s">
        <v>43707</v>
      </c>
      <c r="X7061" t="s">
        <v>46574</v>
      </c>
    </row>
    <row r="7062" spans="1:24">
      <c r="A7062">
        <f>HYPERLINK("https://www.philgeps.gov.ph/GEPSNONPILOT/Tender/SplashBidNoticeAbstractUI.aspx?menuIndex=3&amp;refID=7060282&amp;Result=3","7060282")</f>
        <v>0</v>
      </c>
      <c r="B7062" t="s">
        <v>1374</v>
      </c>
      <c r="C7062" t="s">
        <v>10232</v>
      </c>
      <c r="D7062" t="s">
        <v>18821</v>
      </c>
      <c r="E7062" t="s">
        <v>25131</v>
      </c>
      <c r="F7062" t="s">
        <v>32664</v>
      </c>
      <c r="G7062" t="s">
        <v>32672</v>
      </c>
      <c r="H7062" t="s">
        <v>12635</v>
      </c>
      <c r="I7062" t="s">
        <v>32706</v>
      </c>
      <c r="J7062" t="s">
        <v>37174</v>
      </c>
      <c r="K7062" t="s">
        <v>42297</v>
      </c>
      <c r="M7062" t="s">
        <v>44029</v>
      </c>
      <c r="N7062" t="s">
        <v>46569</v>
      </c>
      <c r="O7062" t="s">
        <v>46570</v>
      </c>
      <c r="P7062">
        <v>0</v>
      </c>
      <c r="Q7062">
        <v>1</v>
      </c>
      <c r="R7062" t="s">
        <v>46573</v>
      </c>
      <c r="S7062" t="s">
        <v>46705</v>
      </c>
      <c r="T7062" t="s">
        <v>48368</v>
      </c>
      <c r="U7062" t="s">
        <v>54612</v>
      </c>
      <c r="W7062" t="s">
        <v>44029</v>
      </c>
      <c r="X7062" t="s">
        <v>46574</v>
      </c>
    </row>
    <row r="7063" spans="1:24">
      <c r="A7063">
        <f>HYPERLINK("https://www.philgeps.gov.ph/GEPSNONPILOT/Tender/SplashBidNoticeAbstractUI.aspx?menuIndex=3&amp;refID=7061674&amp;Result=3","7061674")</f>
        <v>0</v>
      </c>
      <c r="B7063" t="s">
        <v>2210</v>
      </c>
      <c r="C7063" t="s">
        <v>10233</v>
      </c>
      <c r="D7063" t="s">
        <v>18828</v>
      </c>
      <c r="E7063" t="s">
        <v>25132</v>
      </c>
      <c r="F7063" t="s">
        <v>32664</v>
      </c>
      <c r="G7063" t="s">
        <v>32672</v>
      </c>
      <c r="H7063" t="s">
        <v>32683</v>
      </c>
      <c r="I7063" t="s">
        <v>10627</v>
      </c>
      <c r="J7063" t="s">
        <v>33761</v>
      </c>
      <c r="K7063" t="s">
        <v>42455</v>
      </c>
      <c r="M7063" t="s">
        <v>44974</v>
      </c>
      <c r="N7063" t="s">
        <v>46569</v>
      </c>
      <c r="O7063" t="s">
        <v>46570</v>
      </c>
      <c r="P7063">
        <v>0</v>
      </c>
      <c r="Q7063">
        <v>0</v>
      </c>
      <c r="R7063" t="s">
        <v>46573</v>
      </c>
      <c r="S7063" t="s">
        <v>46705</v>
      </c>
      <c r="T7063" t="s">
        <v>48313</v>
      </c>
      <c r="U7063" t="s">
        <v>54613</v>
      </c>
      <c r="W7063" t="s">
        <v>44974</v>
      </c>
      <c r="X7063" t="s">
        <v>46574</v>
      </c>
    </row>
    <row r="7064" spans="1:24">
      <c r="A7064">
        <f>HYPERLINK("https://www.philgeps.gov.ph/GEPSNONPILOT/Tender/SplashBidNoticeAbstractUI.aspx?menuIndex=3&amp;refID=7061682&amp;Result=3","7061682")</f>
        <v>0</v>
      </c>
      <c r="B7064" t="s">
        <v>2210</v>
      </c>
      <c r="C7064" t="s">
        <v>10234</v>
      </c>
      <c r="D7064" t="s">
        <v>18828</v>
      </c>
      <c r="E7064" t="s">
        <v>25133</v>
      </c>
      <c r="F7064" t="s">
        <v>32664</v>
      </c>
      <c r="G7064" t="s">
        <v>32672</v>
      </c>
      <c r="H7064" t="s">
        <v>32683</v>
      </c>
      <c r="I7064" t="s">
        <v>10627</v>
      </c>
      <c r="J7064" t="s">
        <v>33150</v>
      </c>
      <c r="K7064" t="s">
        <v>42395</v>
      </c>
      <c r="M7064" t="s">
        <v>44974</v>
      </c>
      <c r="N7064" t="s">
        <v>46569</v>
      </c>
      <c r="O7064" t="s">
        <v>46570</v>
      </c>
      <c r="P7064">
        <v>0</v>
      </c>
      <c r="Q7064">
        <v>0</v>
      </c>
      <c r="R7064" t="s">
        <v>46573</v>
      </c>
      <c r="S7064" t="s">
        <v>46705</v>
      </c>
      <c r="T7064" t="s">
        <v>48313</v>
      </c>
      <c r="U7064" t="s">
        <v>54614</v>
      </c>
      <c r="W7064" t="s">
        <v>44974</v>
      </c>
      <c r="X7064" t="s">
        <v>46574</v>
      </c>
    </row>
    <row r="7065" spans="1:24">
      <c r="A7065">
        <f>HYPERLINK("https://www.philgeps.gov.ph/GEPSNONPILOT/Tender/SplashBidNoticeAbstractUI.aspx?menuIndex=3&amp;refID=7061673&amp;Result=3","7061673")</f>
        <v>0</v>
      </c>
      <c r="B7065" t="s">
        <v>629</v>
      </c>
      <c r="C7065" t="s">
        <v>10235</v>
      </c>
      <c r="D7065" t="s">
        <v>18782</v>
      </c>
      <c r="E7065" t="s">
        <v>25134</v>
      </c>
      <c r="F7065" t="s">
        <v>32664</v>
      </c>
      <c r="G7065" t="s">
        <v>32674</v>
      </c>
      <c r="H7065" t="s">
        <v>12635</v>
      </c>
      <c r="I7065" t="s">
        <v>10370</v>
      </c>
      <c r="J7065" t="s">
        <v>37175</v>
      </c>
      <c r="K7065" t="s">
        <v>42283</v>
      </c>
      <c r="M7065" t="s">
        <v>43211</v>
      </c>
      <c r="N7065" t="s">
        <v>46569</v>
      </c>
      <c r="O7065" t="s">
        <v>46570</v>
      </c>
      <c r="P7065">
        <v>0</v>
      </c>
      <c r="Q7065">
        <v>2</v>
      </c>
      <c r="R7065" t="s">
        <v>46573</v>
      </c>
      <c r="S7065" t="s">
        <v>46705</v>
      </c>
      <c r="T7065" t="s">
        <v>48290</v>
      </c>
      <c r="U7065" t="s">
        <v>54615</v>
      </c>
      <c r="W7065" t="s">
        <v>43211</v>
      </c>
      <c r="X7065" t="s">
        <v>46574</v>
      </c>
    </row>
    <row r="7066" spans="1:24">
      <c r="A7066">
        <f>HYPERLINK("https://www.philgeps.gov.ph/GEPSNONPILOT/Tender/SplashBidNoticeAbstractUI.aspx?menuIndex=3&amp;refID=7061672&amp;Result=3","7061672")</f>
        <v>0</v>
      </c>
      <c r="B7066" t="s">
        <v>2211</v>
      </c>
      <c r="C7066" t="s">
        <v>10236</v>
      </c>
      <c r="D7066" t="s">
        <v>18802</v>
      </c>
      <c r="E7066" t="s">
        <v>25135</v>
      </c>
      <c r="F7066" t="s">
        <v>32664</v>
      </c>
      <c r="G7066" t="s">
        <v>32672</v>
      </c>
      <c r="H7066" t="s">
        <v>12635</v>
      </c>
      <c r="I7066" t="s">
        <v>32736</v>
      </c>
      <c r="J7066" t="s">
        <v>37176</v>
      </c>
      <c r="K7066" t="s">
        <v>42284</v>
      </c>
      <c r="L7066" t="s">
        <v>2211</v>
      </c>
      <c r="M7066" t="s">
        <v>44975</v>
      </c>
      <c r="N7066" t="s">
        <v>46569</v>
      </c>
      <c r="O7066" t="s">
        <v>46570</v>
      </c>
      <c r="P7066">
        <v>0</v>
      </c>
      <c r="Q7066">
        <v>0</v>
      </c>
      <c r="R7066" t="s">
        <v>46573</v>
      </c>
      <c r="S7066" t="s">
        <v>46705</v>
      </c>
      <c r="T7066" t="s">
        <v>48483</v>
      </c>
      <c r="U7066" t="s">
        <v>54616</v>
      </c>
      <c r="W7066" t="s">
        <v>44975</v>
      </c>
      <c r="X7066" t="s">
        <v>46574</v>
      </c>
    </row>
    <row r="7067" spans="1:24">
      <c r="A7067">
        <f>HYPERLINK("https://www.philgeps.gov.ph/GEPSNONPILOT/Tender/SplashBidNoticeAbstractUI.aspx?menuIndex=3&amp;refID=7061671&amp;Result=3","7061671")</f>
        <v>0</v>
      </c>
      <c r="B7067" t="s">
        <v>2212</v>
      </c>
      <c r="C7067" t="s">
        <v>10237</v>
      </c>
      <c r="E7067" t="s">
        <v>25136</v>
      </c>
      <c r="F7067" t="s">
        <v>32664</v>
      </c>
      <c r="G7067" t="s">
        <v>32672</v>
      </c>
      <c r="H7067" t="s">
        <v>12635</v>
      </c>
      <c r="I7067" t="s">
        <v>6168</v>
      </c>
      <c r="J7067" t="s">
        <v>37177</v>
      </c>
      <c r="K7067" t="s">
        <v>42283</v>
      </c>
      <c r="M7067" t="s">
        <v>44976</v>
      </c>
      <c r="N7067" t="s">
        <v>46569</v>
      </c>
      <c r="O7067" t="s">
        <v>46570</v>
      </c>
      <c r="P7067">
        <v>0</v>
      </c>
      <c r="Q7067">
        <v>1</v>
      </c>
      <c r="R7067" t="s">
        <v>46573</v>
      </c>
      <c r="S7067" t="s">
        <v>46705</v>
      </c>
      <c r="T7067" t="s">
        <v>48305</v>
      </c>
      <c r="U7067" t="s">
        <v>49565</v>
      </c>
      <c r="W7067" t="s">
        <v>44976</v>
      </c>
      <c r="X7067" t="s">
        <v>46574</v>
      </c>
    </row>
    <row r="7068" spans="1:24">
      <c r="A7068">
        <f>HYPERLINK("https://www.philgeps.gov.ph/GEPSNONPILOT/Tender/SplashBidNoticeAbstractUI.aspx?menuIndex=3&amp;refID=7061680&amp;Result=3","7061680")</f>
        <v>0</v>
      </c>
      <c r="B7068" t="s">
        <v>2210</v>
      </c>
      <c r="C7068" t="s">
        <v>10238</v>
      </c>
      <c r="D7068" t="s">
        <v>18828</v>
      </c>
      <c r="E7068" t="s">
        <v>25137</v>
      </c>
      <c r="F7068" t="s">
        <v>32664</v>
      </c>
      <c r="G7068" t="s">
        <v>32672</v>
      </c>
      <c r="H7068" t="s">
        <v>32683</v>
      </c>
      <c r="I7068" t="s">
        <v>10627</v>
      </c>
      <c r="J7068" t="s">
        <v>33150</v>
      </c>
      <c r="K7068" t="s">
        <v>42456</v>
      </c>
      <c r="M7068" t="s">
        <v>44974</v>
      </c>
      <c r="N7068" t="s">
        <v>46569</v>
      </c>
      <c r="O7068" t="s">
        <v>46570</v>
      </c>
      <c r="P7068">
        <v>0</v>
      </c>
      <c r="Q7068">
        <v>0</v>
      </c>
      <c r="R7068" t="s">
        <v>46573</v>
      </c>
      <c r="S7068" t="s">
        <v>46705</v>
      </c>
      <c r="T7068" t="s">
        <v>48313</v>
      </c>
      <c r="U7068" t="s">
        <v>54614</v>
      </c>
      <c r="W7068" t="s">
        <v>44974</v>
      </c>
      <c r="X7068" t="s">
        <v>46574</v>
      </c>
    </row>
    <row r="7069" spans="1:24">
      <c r="A7069">
        <f>HYPERLINK("https://www.philgeps.gov.ph/GEPSNONPILOT/Tender/SplashBidNoticeAbstractUI.aspx?menuIndex=3&amp;refID=7061668&amp;Result=3","7061668")</f>
        <v>0</v>
      </c>
      <c r="B7069" t="s">
        <v>2211</v>
      </c>
      <c r="C7069" t="s">
        <v>10239</v>
      </c>
      <c r="D7069" t="s">
        <v>18802</v>
      </c>
      <c r="E7069" t="s">
        <v>21673</v>
      </c>
      <c r="F7069" t="s">
        <v>32664</v>
      </c>
      <c r="G7069" t="s">
        <v>32672</v>
      </c>
      <c r="H7069" t="s">
        <v>12635</v>
      </c>
      <c r="I7069" t="s">
        <v>32698</v>
      </c>
      <c r="J7069" t="s">
        <v>37178</v>
      </c>
      <c r="K7069" t="s">
        <v>42284</v>
      </c>
      <c r="L7069" t="s">
        <v>2211</v>
      </c>
      <c r="M7069" t="s">
        <v>44975</v>
      </c>
      <c r="N7069" t="s">
        <v>46569</v>
      </c>
      <c r="O7069" t="s">
        <v>46570</v>
      </c>
      <c r="P7069">
        <v>0</v>
      </c>
      <c r="Q7069">
        <v>1</v>
      </c>
      <c r="R7069" t="s">
        <v>46573</v>
      </c>
      <c r="S7069" t="s">
        <v>46705</v>
      </c>
      <c r="T7069" t="s">
        <v>48483</v>
      </c>
      <c r="U7069" t="s">
        <v>54617</v>
      </c>
      <c r="W7069" t="s">
        <v>44975</v>
      </c>
      <c r="X7069" t="s">
        <v>46574</v>
      </c>
    </row>
    <row r="7070" spans="1:24">
      <c r="A7070">
        <f>HYPERLINK("https://www.philgeps.gov.ph/GEPSNONPILOT/Tender/SplashBidNoticeAbstractUI.aspx?menuIndex=3&amp;refID=7061675&amp;Result=3","7061675")</f>
        <v>0</v>
      </c>
      <c r="B7070" t="s">
        <v>1489</v>
      </c>
      <c r="C7070" t="s">
        <v>10240</v>
      </c>
      <c r="D7070" t="s">
        <v>18818</v>
      </c>
      <c r="E7070" t="s">
        <v>25138</v>
      </c>
      <c r="F7070" t="s">
        <v>32665</v>
      </c>
      <c r="G7070" t="s">
        <v>32672</v>
      </c>
      <c r="H7070" t="s">
        <v>32683</v>
      </c>
      <c r="I7070" t="s">
        <v>32733</v>
      </c>
      <c r="J7070" t="s">
        <v>33761</v>
      </c>
      <c r="K7070" t="s">
        <v>42397</v>
      </c>
      <c r="L7070" t="s">
        <v>1489</v>
      </c>
      <c r="M7070" t="s">
        <v>44153</v>
      </c>
      <c r="N7070" t="s">
        <v>46569</v>
      </c>
      <c r="O7070" t="s">
        <v>46570</v>
      </c>
      <c r="P7070">
        <v>0</v>
      </c>
      <c r="Q7070">
        <v>2</v>
      </c>
      <c r="R7070" t="s">
        <v>46573</v>
      </c>
      <c r="S7070" t="s">
        <v>46705</v>
      </c>
      <c r="T7070" t="s">
        <v>48274</v>
      </c>
      <c r="U7070" t="s">
        <v>54618</v>
      </c>
      <c r="W7070" t="s">
        <v>44153</v>
      </c>
      <c r="X7070" t="s">
        <v>46574</v>
      </c>
    </row>
    <row r="7071" spans="1:24">
      <c r="A7071">
        <f>HYPERLINK("https://www.philgeps.gov.ph/GEPSNONPILOT/Tender/SplashBidNoticeAbstractUI.aspx?menuIndex=3&amp;refID=7060380&amp;Result=3","7060380")</f>
        <v>0</v>
      </c>
      <c r="B7071" t="s">
        <v>673</v>
      </c>
      <c r="C7071" t="s">
        <v>10241</v>
      </c>
      <c r="D7071" t="s">
        <v>18799</v>
      </c>
      <c r="E7071" t="s">
        <v>25139</v>
      </c>
      <c r="F7071" t="s">
        <v>32664</v>
      </c>
      <c r="G7071" t="s">
        <v>32675</v>
      </c>
      <c r="H7071" t="s">
        <v>12635</v>
      </c>
      <c r="I7071" t="s">
        <v>6168</v>
      </c>
      <c r="J7071" t="s">
        <v>37179</v>
      </c>
      <c r="K7071" t="s">
        <v>42283</v>
      </c>
      <c r="M7071" t="s">
        <v>43260</v>
      </c>
      <c r="N7071" t="s">
        <v>46569</v>
      </c>
      <c r="O7071" t="s">
        <v>46570</v>
      </c>
      <c r="P7071">
        <v>0</v>
      </c>
      <c r="Q7071">
        <v>0</v>
      </c>
      <c r="R7071" t="s">
        <v>46573</v>
      </c>
      <c r="S7071" t="s">
        <v>46705</v>
      </c>
      <c r="T7071" t="s">
        <v>48334</v>
      </c>
      <c r="U7071" t="s">
        <v>53659</v>
      </c>
      <c r="W7071" t="s">
        <v>43260</v>
      </c>
      <c r="X7071" t="s">
        <v>46574</v>
      </c>
    </row>
    <row r="7072" spans="1:24">
      <c r="A7072">
        <f>HYPERLINK("https://www.philgeps.gov.ph/GEPSNONPILOT/Tender/SplashBidNoticeAbstractUI.aspx?menuIndex=3&amp;refID=7061669&amp;Result=3","7061669")</f>
        <v>0</v>
      </c>
      <c r="B7072" t="s">
        <v>2212</v>
      </c>
      <c r="C7072" t="s">
        <v>10242</v>
      </c>
      <c r="E7072" t="s">
        <v>25140</v>
      </c>
      <c r="F7072" t="s">
        <v>32664</v>
      </c>
      <c r="G7072" t="s">
        <v>32672</v>
      </c>
      <c r="H7072" t="s">
        <v>12635</v>
      </c>
      <c r="I7072" t="s">
        <v>4439</v>
      </c>
      <c r="J7072" t="s">
        <v>37180</v>
      </c>
      <c r="K7072" t="s">
        <v>42283</v>
      </c>
      <c r="M7072" t="s">
        <v>44976</v>
      </c>
      <c r="N7072" t="s">
        <v>46569</v>
      </c>
      <c r="O7072" t="s">
        <v>46570</v>
      </c>
      <c r="P7072">
        <v>0</v>
      </c>
      <c r="Q7072">
        <v>0</v>
      </c>
      <c r="R7072" t="s">
        <v>46573</v>
      </c>
      <c r="S7072" t="s">
        <v>46705</v>
      </c>
      <c r="T7072" t="s">
        <v>48305</v>
      </c>
      <c r="U7072" t="s">
        <v>49565</v>
      </c>
      <c r="W7072" t="s">
        <v>44976</v>
      </c>
      <c r="X7072" t="s">
        <v>46574</v>
      </c>
    </row>
    <row r="7073" spans="1:24">
      <c r="A7073">
        <f>HYPERLINK("https://www.philgeps.gov.ph/GEPSNONPILOT/Tender/SplashBidNoticeAbstractUI.aspx?menuIndex=3&amp;refID=7061642&amp;Result=3","7061642")</f>
        <v>0</v>
      </c>
      <c r="B7073" t="s">
        <v>2207</v>
      </c>
      <c r="C7073" t="s">
        <v>10243</v>
      </c>
      <c r="D7073" t="s">
        <v>18785</v>
      </c>
      <c r="E7073" t="s">
        <v>25141</v>
      </c>
      <c r="F7073" t="s">
        <v>32664</v>
      </c>
      <c r="G7073" t="s">
        <v>32672</v>
      </c>
      <c r="H7073" t="s">
        <v>12635</v>
      </c>
      <c r="I7073" t="s">
        <v>11464</v>
      </c>
      <c r="J7073" t="s">
        <v>37181</v>
      </c>
      <c r="K7073" t="s">
        <v>42281</v>
      </c>
      <c r="M7073" t="s">
        <v>44971</v>
      </c>
      <c r="N7073" t="s">
        <v>46569</v>
      </c>
      <c r="O7073" t="s">
        <v>46570</v>
      </c>
      <c r="P7073">
        <v>0</v>
      </c>
      <c r="Q7073">
        <v>5</v>
      </c>
      <c r="R7073" t="s">
        <v>46573</v>
      </c>
      <c r="S7073" t="s">
        <v>46705</v>
      </c>
      <c r="T7073" t="s">
        <v>48308</v>
      </c>
      <c r="U7073" t="s">
        <v>54619</v>
      </c>
      <c r="W7073" t="s">
        <v>44971</v>
      </c>
      <c r="X7073" t="s">
        <v>46574</v>
      </c>
    </row>
    <row r="7074" spans="1:24">
      <c r="A7074">
        <f>HYPERLINK("https://www.philgeps.gov.ph/GEPSNONPILOT/Tender/SplashBidNoticeAbstractUI.aspx?menuIndex=3&amp;refID=7043978&amp;Result=3","7043978")</f>
        <v>0</v>
      </c>
      <c r="B7074" t="s">
        <v>2213</v>
      </c>
      <c r="C7074" t="s">
        <v>10244</v>
      </c>
      <c r="D7074" t="s">
        <v>18849</v>
      </c>
      <c r="E7074" t="s">
        <v>25142</v>
      </c>
      <c r="F7074" t="s">
        <v>32664</v>
      </c>
      <c r="G7074" t="s">
        <v>32672</v>
      </c>
      <c r="H7074" t="s">
        <v>32683</v>
      </c>
      <c r="I7074" t="s">
        <v>10627</v>
      </c>
      <c r="J7074" t="s">
        <v>35701</v>
      </c>
      <c r="K7074" t="s">
        <v>42311</v>
      </c>
      <c r="M7074" t="s">
        <v>44977</v>
      </c>
      <c r="N7074" t="s">
        <v>46569</v>
      </c>
      <c r="O7074" t="s">
        <v>46570</v>
      </c>
      <c r="P7074">
        <v>0</v>
      </c>
      <c r="Q7074">
        <v>2</v>
      </c>
      <c r="R7074" t="s">
        <v>46574</v>
      </c>
      <c r="S7074" t="s">
        <v>46723</v>
      </c>
      <c r="T7074" t="s">
        <v>48220</v>
      </c>
      <c r="U7074" t="s">
        <v>54620</v>
      </c>
      <c r="W7074" t="s">
        <v>44977</v>
      </c>
      <c r="X7074" t="s">
        <v>46582</v>
      </c>
    </row>
    <row r="7075" spans="1:24">
      <c r="A7075">
        <f>HYPERLINK("https://www.philgeps.gov.ph/GEPSNONPILOT/Tender/SplashBidNoticeAbstractUI.aspx?menuIndex=3&amp;refID=7042899&amp;Result=3","7042899")</f>
        <v>0</v>
      </c>
      <c r="B7075" t="s">
        <v>2214</v>
      </c>
      <c r="C7075" t="s">
        <v>10245</v>
      </c>
      <c r="D7075" t="s">
        <v>18788</v>
      </c>
      <c r="E7075" t="s">
        <v>25143</v>
      </c>
      <c r="F7075" t="s">
        <v>32664</v>
      </c>
      <c r="G7075" t="s">
        <v>32671</v>
      </c>
      <c r="H7075" t="s">
        <v>12635</v>
      </c>
      <c r="I7075" t="s">
        <v>4439</v>
      </c>
      <c r="J7075" t="s">
        <v>37182</v>
      </c>
      <c r="K7075" t="s">
        <v>42281</v>
      </c>
      <c r="M7075" t="s">
        <v>44978</v>
      </c>
      <c r="N7075" t="s">
        <v>46569</v>
      </c>
      <c r="O7075" t="s">
        <v>46570</v>
      </c>
      <c r="P7075">
        <v>0</v>
      </c>
      <c r="Q7075">
        <v>0</v>
      </c>
      <c r="R7075" t="s">
        <v>46574</v>
      </c>
      <c r="S7075" t="s">
        <v>46723</v>
      </c>
      <c r="T7075" t="s">
        <v>48307</v>
      </c>
      <c r="U7075" t="s">
        <v>54621</v>
      </c>
      <c r="W7075" t="s">
        <v>44978</v>
      </c>
      <c r="X7075" t="s">
        <v>46585</v>
      </c>
    </row>
    <row r="7076" spans="1:24">
      <c r="A7076">
        <f>HYPERLINK("https://www.philgeps.gov.ph/GEPSNONPILOT/Tender/SplashBidNoticeAbstractUI.aspx?menuIndex=3&amp;refID=7041936&amp;Result=3","7041936")</f>
        <v>0</v>
      </c>
      <c r="B7076" t="s">
        <v>2215</v>
      </c>
      <c r="C7076" t="s">
        <v>3872</v>
      </c>
      <c r="D7076" t="s">
        <v>18793</v>
      </c>
      <c r="E7076" t="s">
        <v>25144</v>
      </c>
      <c r="F7076" t="s">
        <v>32664</v>
      </c>
      <c r="G7076" t="s">
        <v>32672</v>
      </c>
      <c r="H7076" t="s">
        <v>32683</v>
      </c>
      <c r="I7076" t="s">
        <v>10627</v>
      </c>
      <c r="J7076" t="s">
        <v>32859</v>
      </c>
      <c r="K7076" t="s">
        <v>42343</v>
      </c>
      <c r="M7076" t="s">
        <v>44979</v>
      </c>
      <c r="N7076" t="s">
        <v>46569</v>
      </c>
      <c r="O7076" t="s">
        <v>46570</v>
      </c>
      <c r="P7076">
        <v>0</v>
      </c>
      <c r="Q7076">
        <v>0</v>
      </c>
      <c r="R7076" t="s">
        <v>46574</v>
      </c>
      <c r="S7076" t="s">
        <v>46723</v>
      </c>
      <c r="T7076" t="s">
        <v>48221</v>
      </c>
      <c r="U7076" t="s">
        <v>49098</v>
      </c>
      <c r="W7076" t="s">
        <v>44979</v>
      </c>
      <c r="X7076" t="s">
        <v>46585</v>
      </c>
    </row>
    <row r="7077" spans="1:24">
      <c r="A7077">
        <f>HYPERLINK("https://www.philgeps.gov.ph/GEPSNONPILOT/Tender/SplashBidNoticeAbstractUI.aspx?menuIndex=3&amp;refID=7041762&amp;Result=3","7041762")</f>
        <v>0</v>
      </c>
      <c r="B7077" t="s">
        <v>541</v>
      </c>
      <c r="C7077" t="s">
        <v>10246</v>
      </c>
      <c r="D7077" t="s">
        <v>18805</v>
      </c>
      <c r="E7077" t="s">
        <v>25145</v>
      </c>
      <c r="F7077" t="s">
        <v>32664</v>
      </c>
      <c r="G7077" t="s">
        <v>32671</v>
      </c>
      <c r="H7077" t="s">
        <v>12635</v>
      </c>
      <c r="I7077" t="s">
        <v>32699</v>
      </c>
      <c r="J7077" t="s">
        <v>33514</v>
      </c>
      <c r="K7077" t="s">
        <v>42281</v>
      </c>
      <c r="M7077" t="s">
        <v>43120</v>
      </c>
      <c r="N7077" t="s">
        <v>46569</v>
      </c>
      <c r="O7077" t="s">
        <v>46570</v>
      </c>
      <c r="P7077">
        <v>0</v>
      </c>
      <c r="Q7077">
        <v>0</v>
      </c>
      <c r="R7077" t="s">
        <v>46574</v>
      </c>
      <c r="S7077" t="s">
        <v>46723</v>
      </c>
      <c r="T7077" t="s">
        <v>48473</v>
      </c>
      <c r="U7077" t="s">
        <v>54622</v>
      </c>
      <c r="W7077" t="s">
        <v>43120</v>
      </c>
      <c r="X7077" t="s">
        <v>46585</v>
      </c>
    </row>
    <row r="7078" spans="1:24">
      <c r="A7078">
        <f>HYPERLINK("https://www.philgeps.gov.ph/GEPSNONPILOT/Tender/SplashBidNoticeAbstractUI.aspx?menuIndex=3&amp;refID=7061679&amp;Result=3","7061679")</f>
        <v>0</v>
      </c>
      <c r="B7078" t="s">
        <v>2216</v>
      </c>
      <c r="C7078" t="s">
        <v>10247</v>
      </c>
      <c r="D7078" t="s">
        <v>18781</v>
      </c>
      <c r="E7078" t="s">
        <v>19629</v>
      </c>
      <c r="F7078" t="s">
        <v>32664</v>
      </c>
      <c r="G7078" t="s">
        <v>32671</v>
      </c>
      <c r="H7078" t="s">
        <v>12635</v>
      </c>
      <c r="I7078" t="s">
        <v>13883</v>
      </c>
      <c r="J7078" t="s">
        <v>33306</v>
      </c>
      <c r="K7078" t="s">
        <v>42284</v>
      </c>
      <c r="M7078" t="s">
        <v>44980</v>
      </c>
      <c r="N7078" t="s">
        <v>46569</v>
      </c>
      <c r="O7078" t="s">
        <v>46570</v>
      </c>
      <c r="P7078">
        <v>0</v>
      </c>
      <c r="Q7078">
        <v>6</v>
      </c>
      <c r="R7078" t="s">
        <v>46573</v>
      </c>
      <c r="S7078" t="s">
        <v>46705</v>
      </c>
      <c r="T7078" t="s">
        <v>48254</v>
      </c>
      <c r="U7078" t="s">
        <v>54623</v>
      </c>
      <c r="W7078" t="s">
        <v>44980</v>
      </c>
      <c r="X7078" t="s">
        <v>46574</v>
      </c>
    </row>
    <row r="7079" spans="1:24">
      <c r="A7079">
        <f>HYPERLINK("https://www.philgeps.gov.ph/GEPSNONPILOT/Tender/SplashBidNoticeAbstractUI.aspx?menuIndex=3&amp;refID=7030335&amp;Result=3","7030335")</f>
        <v>0</v>
      </c>
      <c r="B7079" t="s">
        <v>2217</v>
      </c>
      <c r="C7079" t="s">
        <v>10248</v>
      </c>
      <c r="D7079" t="s">
        <v>18806</v>
      </c>
      <c r="E7079" t="s">
        <v>25146</v>
      </c>
      <c r="F7079" t="s">
        <v>32664</v>
      </c>
      <c r="G7079" t="s">
        <v>32672</v>
      </c>
      <c r="H7079" t="s">
        <v>12635</v>
      </c>
      <c r="I7079" t="s">
        <v>9486</v>
      </c>
      <c r="J7079" t="s">
        <v>37183</v>
      </c>
      <c r="K7079" t="s">
        <v>42303</v>
      </c>
      <c r="M7079" t="s">
        <v>44981</v>
      </c>
      <c r="N7079" t="s">
        <v>46569</v>
      </c>
      <c r="O7079" t="s">
        <v>46570</v>
      </c>
      <c r="P7079">
        <v>0</v>
      </c>
      <c r="Q7079">
        <v>11</v>
      </c>
      <c r="R7079" t="s">
        <v>46574</v>
      </c>
      <c r="S7079" t="s">
        <v>46723</v>
      </c>
      <c r="T7079" t="s">
        <v>48387</v>
      </c>
      <c r="U7079" t="s">
        <v>54624</v>
      </c>
      <c r="V7079" t="s">
        <v>62324</v>
      </c>
      <c r="W7079" t="s">
        <v>44981</v>
      </c>
      <c r="X7079" t="s">
        <v>46591</v>
      </c>
    </row>
    <row r="7080" spans="1:24">
      <c r="A7080">
        <f>HYPERLINK("https://www.philgeps.gov.ph/GEPSNONPILOT/Tender/SplashBidNoticeAbstractUI.aspx?menuIndex=3&amp;refID=7061676&amp;Result=3","7061676")</f>
        <v>0</v>
      </c>
      <c r="B7080" t="s">
        <v>2210</v>
      </c>
      <c r="C7080" t="s">
        <v>10249</v>
      </c>
      <c r="D7080" t="s">
        <v>18828</v>
      </c>
      <c r="E7080" t="s">
        <v>25147</v>
      </c>
      <c r="F7080" t="s">
        <v>32664</v>
      </c>
      <c r="G7080" t="s">
        <v>32672</v>
      </c>
      <c r="H7080" t="s">
        <v>32683</v>
      </c>
      <c r="I7080" t="s">
        <v>10627</v>
      </c>
      <c r="J7080" t="s">
        <v>33969</v>
      </c>
      <c r="K7080" t="s">
        <v>42456</v>
      </c>
      <c r="M7080" t="s">
        <v>44974</v>
      </c>
      <c r="N7080" t="s">
        <v>46569</v>
      </c>
      <c r="O7080" t="s">
        <v>46570</v>
      </c>
      <c r="P7080">
        <v>0</v>
      </c>
      <c r="Q7080">
        <v>0</v>
      </c>
      <c r="R7080" t="s">
        <v>46573</v>
      </c>
      <c r="S7080" t="s">
        <v>46705</v>
      </c>
      <c r="T7080" t="s">
        <v>48313</v>
      </c>
      <c r="U7080" t="s">
        <v>54614</v>
      </c>
      <c r="W7080" t="s">
        <v>44974</v>
      </c>
      <c r="X7080" t="s">
        <v>46574</v>
      </c>
    </row>
    <row r="7081" spans="1:24">
      <c r="A7081">
        <f>HYPERLINK("https://www.philgeps.gov.ph/GEPSNONPILOT/Tender/SplashBidNoticeAbstractUI.aspx?menuIndex=3&amp;refID=7041818&amp;Result=3","7041818")</f>
        <v>0</v>
      </c>
      <c r="B7081" t="s">
        <v>541</v>
      </c>
      <c r="C7081" t="s">
        <v>10250</v>
      </c>
      <c r="D7081" t="s">
        <v>18805</v>
      </c>
      <c r="E7081" t="s">
        <v>25148</v>
      </c>
      <c r="F7081" t="s">
        <v>32664</v>
      </c>
      <c r="G7081" t="s">
        <v>32671</v>
      </c>
      <c r="H7081" t="s">
        <v>12635</v>
      </c>
      <c r="I7081" t="s">
        <v>32699</v>
      </c>
      <c r="J7081" t="s">
        <v>37184</v>
      </c>
      <c r="K7081" t="s">
        <v>42281</v>
      </c>
      <c r="M7081" t="s">
        <v>43120</v>
      </c>
      <c r="N7081" t="s">
        <v>46569</v>
      </c>
      <c r="O7081" t="s">
        <v>46570</v>
      </c>
      <c r="P7081">
        <v>0</v>
      </c>
      <c r="Q7081">
        <v>0</v>
      </c>
      <c r="R7081" t="s">
        <v>46574</v>
      </c>
      <c r="S7081" t="s">
        <v>46723</v>
      </c>
      <c r="T7081" t="s">
        <v>48473</v>
      </c>
      <c r="U7081" t="s">
        <v>54625</v>
      </c>
      <c r="W7081" t="s">
        <v>43120</v>
      </c>
      <c r="X7081" t="s">
        <v>46585</v>
      </c>
    </row>
    <row r="7082" spans="1:24">
      <c r="A7082">
        <f>HYPERLINK("https://www.philgeps.gov.ph/GEPSNONPILOT/Tender/SplashBidNoticeAbstractUI.aspx?menuIndex=3&amp;refID=7041779&amp;Result=3","7041779")</f>
        <v>0</v>
      </c>
      <c r="B7082" t="s">
        <v>541</v>
      </c>
      <c r="C7082" t="s">
        <v>10251</v>
      </c>
      <c r="D7082" t="s">
        <v>18805</v>
      </c>
      <c r="E7082" t="s">
        <v>25149</v>
      </c>
      <c r="F7082" t="s">
        <v>32664</v>
      </c>
      <c r="G7082" t="s">
        <v>32671</v>
      </c>
      <c r="H7082" t="s">
        <v>12635</v>
      </c>
      <c r="I7082" t="s">
        <v>32699</v>
      </c>
      <c r="J7082" t="s">
        <v>37185</v>
      </c>
      <c r="K7082" t="s">
        <v>42281</v>
      </c>
      <c r="M7082" t="s">
        <v>43120</v>
      </c>
      <c r="N7082" t="s">
        <v>46569</v>
      </c>
      <c r="O7082" t="s">
        <v>46570</v>
      </c>
      <c r="P7082">
        <v>0</v>
      </c>
      <c r="Q7082">
        <v>0</v>
      </c>
      <c r="R7082" t="s">
        <v>46574</v>
      </c>
      <c r="S7082" t="s">
        <v>46723</v>
      </c>
      <c r="T7082" t="s">
        <v>48473</v>
      </c>
      <c r="U7082" t="s">
        <v>54626</v>
      </c>
      <c r="W7082" t="s">
        <v>43120</v>
      </c>
      <c r="X7082" t="s">
        <v>46585</v>
      </c>
    </row>
    <row r="7083" spans="1:24">
      <c r="A7083">
        <f>HYPERLINK("https://www.philgeps.gov.ph/GEPSNONPILOT/Tender/SplashBidNoticeAbstractUI.aspx?menuIndex=3&amp;refID=7019420&amp;Result=3","7019420")</f>
        <v>0</v>
      </c>
      <c r="B7083" t="s">
        <v>1013</v>
      </c>
      <c r="C7083" t="s">
        <v>10252</v>
      </c>
      <c r="D7083" t="s">
        <v>18786</v>
      </c>
      <c r="E7083" t="s">
        <v>25150</v>
      </c>
      <c r="F7083" t="s">
        <v>32664</v>
      </c>
      <c r="G7083" t="s">
        <v>32672</v>
      </c>
      <c r="H7083" t="s">
        <v>12635</v>
      </c>
      <c r="I7083" t="s">
        <v>32706</v>
      </c>
      <c r="J7083" t="s">
        <v>37186</v>
      </c>
      <c r="K7083" t="s">
        <v>42289</v>
      </c>
      <c r="M7083" t="s">
        <v>43625</v>
      </c>
      <c r="N7083" t="s">
        <v>46569</v>
      </c>
      <c r="O7083" t="s">
        <v>46570</v>
      </c>
      <c r="P7083">
        <v>0</v>
      </c>
      <c r="Q7083">
        <v>3</v>
      </c>
      <c r="R7083" t="s">
        <v>46574</v>
      </c>
      <c r="S7083" t="s">
        <v>46723</v>
      </c>
      <c r="T7083" t="s">
        <v>48216</v>
      </c>
      <c r="U7083" t="s">
        <v>54627</v>
      </c>
      <c r="V7083" t="s">
        <v>61882</v>
      </c>
      <c r="W7083" t="s">
        <v>43625</v>
      </c>
      <c r="X7083" t="s">
        <v>46598</v>
      </c>
    </row>
    <row r="7084" spans="1:24">
      <c r="A7084">
        <f>HYPERLINK("https://www.philgeps.gov.ph/GEPSNONPILOT/Tender/SplashBidNoticeAbstractUI.aspx?menuIndex=3&amp;refID=6950868&amp;Result=3","6950868")</f>
        <v>0</v>
      </c>
      <c r="B7084" t="s">
        <v>1162</v>
      </c>
      <c r="C7084" t="s">
        <v>10253</v>
      </c>
      <c r="D7084" t="s">
        <v>18799</v>
      </c>
      <c r="E7084" t="s">
        <v>25151</v>
      </c>
      <c r="F7084" t="s">
        <v>32664</v>
      </c>
      <c r="G7084" t="s">
        <v>32676</v>
      </c>
      <c r="H7084" t="s">
        <v>12635</v>
      </c>
      <c r="I7084" t="s">
        <v>32705</v>
      </c>
      <c r="J7084" t="s">
        <v>37187</v>
      </c>
      <c r="K7084" t="s">
        <v>42283</v>
      </c>
      <c r="M7084" t="s">
        <v>43795</v>
      </c>
      <c r="N7084" t="s">
        <v>46569</v>
      </c>
      <c r="O7084" t="s">
        <v>46570</v>
      </c>
      <c r="P7084">
        <v>0</v>
      </c>
      <c r="Q7084">
        <v>0</v>
      </c>
      <c r="R7084" t="s">
        <v>46574</v>
      </c>
      <c r="S7084" t="s">
        <v>46723</v>
      </c>
      <c r="T7084" t="s">
        <v>48551</v>
      </c>
      <c r="U7084" t="s">
        <v>54628</v>
      </c>
      <c r="W7084" t="s">
        <v>43795</v>
      </c>
      <c r="X7084" t="s">
        <v>63609</v>
      </c>
    </row>
    <row r="7085" spans="1:24">
      <c r="A7085">
        <f>HYPERLINK("https://www.philgeps.gov.ph/GEPSNONPILOT/Tender/SplashBidNoticeAbstractUI.aspx?menuIndex=3&amp;refID=7061692&amp;Result=3","7061692")</f>
        <v>0</v>
      </c>
      <c r="B7085" t="s">
        <v>2216</v>
      </c>
      <c r="C7085" t="s">
        <v>10254</v>
      </c>
      <c r="D7085" t="s">
        <v>18781</v>
      </c>
      <c r="E7085" t="s">
        <v>20676</v>
      </c>
      <c r="F7085" t="s">
        <v>32664</v>
      </c>
      <c r="G7085" t="s">
        <v>32671</v>
      </c>
      <c r="H7085" t="s">
        <v>12635</v>
      </c>
      <c r="I7085" t="s">
        <v>32710</v>
      </c>
      <c r="J7085" t="s">
        <v>37188</v>
      </c>
      <c r="K7085" t="s">
        <v>42284</v>
      </c>
      <c r="M7085" t="s">
        <v>44980</v>
      </c>
      <c r="N7085" t="s">
        <v>46569</v>
      </c>
      <c r="O7085" t="s">
        <v>46570</v>
      </c>
      <c r="P7085">
        <v>0</v>
      </c>
      <c r="Q7085">
        <v>8</v>
      </c>
      <c r="R7085" t="s">
        <v>46573</v>
      </c>
      <c r="S7085" t="s">
        <v>46705</v>
      </c>
      <c r="T7085" t="s">
        <v>48254</v>
      </c>
      <c r="U7085" t="s">
        <v>54629</v>
      </c>
      <c r="W7085" t="s">
        <v>44980</v>
      </c>
      <c r="X7085" t="s">
        <v>46574</v>
      </c>
    </row>
    <row r="7086" spans="1:24">
      <c r="A7086">
        <f>HYPERLINK("https://www.philgeps.gov.ph/GEPSNONPILOT/Tender/SplashBidNoticeAbstractUI.aspx?menuIndex=3&amp;refID=7042927&amp;Result=3","7042927")</f>
        <v>0</v>
      </c>
      <c r="B7086" t="s">
        <v>2214</v>
      </c>
      <c r="C7086" t="s">
        <v>8937</v>
      </c>
      <c r="D7086" t="s">
        <v>18788</v>
      </c>
      <c r="E7086" t="s">
        <v>25152</v>
      </c>
      <c r="F7086" t="s">
        <v>32664</v>
      </c>
      <c r="G7086" t="s">
        <v>32677</v>
      </c>
      <c r="H7086" t="s">
        <v>12635</v>
      </c>
      <c r="I7086" t="s">
        <v>7324</v>
      </c>
      <c r="J7086" t="s">
        <v>34797</v>
      </c>
      <c r="K7086" t="s">
        <v>42281</v>
      </c>
      <c r="M7086" t="s">
        <v>44978</v>
      </c>
      <c r="N7086" t="s">
        <v>46569</v>
      </c>
      <c r="O7086" t="s">
        <v>46570</v>
      </c>
      <c r="P7086">
        <v>0</v>
      </c>
      <c r="Q7086">
        <v>2</v>
      </c>
      <c r="R7086" t="s">
        <v>46574</v>
      </c>
      <c r="S7086" t="s">
        <v>46723</v>
      </c>
      <c r="T7086" t="s">
        <v>48307</v>
      </c>
      <c r="U7086" t="s">
        <v>54630</v>
      </c>
      <c r="W7086" t="s">
        <v>44978</v>
      </c>
      <c r="X7086" t="s">
        <v>46585</v>
      </c>
    </row>
    <row r="7087" spans="1:24">
      <c r="A7087">
        <f>HYPERLINK("https://www.philgeps.gov.ph/GEPSNONPILOT/Tender/SplashBidNoticeAbstractUI.aspx?menuIndex=3&amp;refID=7061690&amp;Result=3","7061690")</f>
        <v>0</v>
      </c>
      <c r="B7087" t="s">
        <v>2216</v>
      </c>
      <c r="C7087" t="s">
        <v>10255</v>
      </c>
      <c r="D7087" t="s">
        <v>18781</v>
      </c>
      <c r="E7087" t="s">
        <v>19641</v>
      </c>
      <c r="F7087" t="s">
        <v>32664</v>
      </c>
      <c r="G7087" t="s">
        <v>32671</v>
      </c>
      <c r="H7087" t="s">
        <v>12635</v>
      </c>
      <c r="I7087" t="s">
        <v>32710</v>
      </c>
      <c r="J7087" t="s">
        <v>32917</v>
      </c>
      <c r="K7087" t="s">
        <v>42284</v>
      </c>
      <c r="M7087" t="s">
        <v>44980</v>
      </c>
      <c r="N7087" t="s">
        <v>46569</v>
      </c>
      <c r="O7087" t="s">
        <v>46570</v>
      </c>
      <c r="P7087">
        <v>0</v>
      </c>
      <c r="Q7087">
        <v>5</v>
      </c>
      <c r="R7087" t="s">
        <v>46573</v>
      </c>
      <c r="S7087" t="s">
        <v>46705</v>
      </c>
      <c r="T7087" t="s">
        <v>48254</v>
      </c>
      <c r="U7087" t="s">
        <v>54631</v>
      </c>
      <c r="W7087" t="s">
        <v>44980</v>
      </c>
      <c r="X7087" t="s">
        <v>46574</v>
      </c>
    </row>
    <row r="7088" spans="1:24">
      <c r="A7088">
        <f>HYPERLINK("https://www.philgeps.gov.ph/GEPSNONPILOT/Tender/SplashBidNoticeAbstractUI.aspx?menuIndex=3&amp;refID=7019408&amp;Result=3","7019408")</f>
        <v>0</v>
      </c>
      <c r="B7088" t="s">
        <v>1013</v>
      </c>
      <c r="C7088" t="s">
        <v>10256</v>
      </c>
      <c r="D7088" t="s">
        <v>18786</v>
      </c>
      <c r="E7088" t="s">
        <v>25153</v>
      </c>
      <c r="F7088" t="s">
        <v>32664</v>
      </c>
      <c r="G7088" t="s">
        <v>32672</v>
      </c>
      <c r="H7088" t="s">
        <v>12635</v>
      </c>
      <c r="I7088" t="s">
        <v>32706</v>
      </c>
      <c r="J7088" t="s">
        <v>37189</v>
      </c>
      <c r="K7088" t="s">
        <v>42313</v>
      </c>
      <c r="M7088" t="s">
        <v>43625</v>
      </c>
      <c r="N7088" t="s">
        <v>46569</v>
      </c>
      <c r="O7088" t="s">
        <v>46570</v>
      </c>
      <c r="P7088">
        <v>0</v>
      </c>
      <c r="Q7088">
        <v>0</v>
      </c>
      <c r="R7088" t="s">
        <v>46574</v>
      </c>
      <c r="S7088" t="s">
        <v>46723</v>
      </c>
      <c r="T7088" t="s">
        <v>48216</v>
      </c>
      <c r="U7088" t="s">
        <v>54632</v>
      </c>
      <c r="V7088" t="s">
        <v>61882</v>
      </c>
      <c r="W7088" t="s">
        <v>43625</v>
      </c>
      <c r="X7088" t="s">
        <v>46598</v>
      </c>
    </row>
    <row r="7089" spans="1:24">
      <c r="A7089">
        <f>HYPERLINK("https://www.philgeps.gov.ph/GEPSNONPILOT/Tender/SplashBidNoticeAbstractUI.aspx?menuIndex=3&amp;refID=7061689&amp;Result=3","7061689")</f>
        <v>0</v>
      </c>
      <c r="B7089" t="s">
        <v>2209</v>
      </c>
      <c r="C7089" t="s">
        <v>10257</v>
      </c>
      <c r="D7089" t="s">
        <v>18789</v>
      </c>
      <c r="E7089" t="s">
        <v>20061</v>
      </c>
      <c r="F7089" t="s">
        <v>32664</v>
      </c>
      <c r="G7089" t="s">
        <v>32671</v>
      </c>
      <c r="H7089" t="s">
        <v>12635</v>
      </c>
      <c r="I7089" t="s">
        <v>4439</v>
      </c>
      <c r="J7089" t="s">
        <v>37190</v>
      </c>
      <c r="K7089" t="s">
        <v>42284</v>
      </c>
      <c r="M7089" t="s">
        <v>44973</v>
      </c>
      <c r="N7089" t="s">
        <v>46569</v>
      </c>
      <c r="O7089" t="s">
        <v>46570</v>
      </c>
      <c r="P7089">
        <v>0</v>
      </c>
      <c r="Q7089">
        <v>0</v>
      </c>
      <c r="R7089" t="s">
        <v>46573</v>
      </c>
      <c r="S7089" t="s">
        <v>46705</v>
      </c>
      <c r="T7089" t="s">
        <v>48254</v>
      </c>
      <c r="U7089" t="s">
        <v>54633</v>
      </c>
      <c r="W7089" t="s">
        <v>44973</v>
      </c>
      <c r="X7089" t="s">
        <v>46574</v>
      </c>
    </row>
    <row r="7090" spans="1:24">
      <c r="A7090">
        <f>HYPERLINK("https://www.philgeps.gov.ph/GEPSNONPILOT/Tender/SplashBidNoticeAbstractUI.aspx?menuIndex=3&amp;refID=6721893&amp;Result=3","6721893")</f>
        <v>0</v>
      </c>
      <c r="B7090" t="s">
        <v>1718</v>
      </c>
      <c r="C7090" t="s">
        <v>10258</v>
      </c>
      <c r="D7090" t="s">
        <v>18783</v>
      </c>
      <c r="E7090" t="s">
        <v>25154</v>
      </c>
      <c r="F7090" t="s">
        <v>32664</v>
      </c>
      <c r="G7090" t="s">
        <v>32671</v>
      </c>
      <c r="H7090" t="s">
        <v>12635</v>
      </c>
      <c r="I7090" t="s">
        <v>4439</v>
      </c>
      <c r="J7090" t="s">
        <v>37191</v>
      </c>
      <c r="K7090" t="s">
        <v>42297</v>
      </c>
      <c r="M7090" t="s">
        <v>44415</v>
      </c>
      <c r="N7090" t="s">
        <v>46569</v>
      </c>
      <c r="O7090" t="s">
        <v>46570</v>
      </c>
      <c r="P7090">
        <v>0</v>
      </c>
      <c r="Q7090">
        <v>0</v>
      </c>
      <c r="R7090" t="s">
        <v>46574</v>
      </c>
      <c r="S7090" t="s">
        <v>46723</v>
      </c>
      <c r="T7090" t="s">
        <v>48376</v>
      </c>
      <c r="U7090" t="s">
        <v>54286</v>
      </c>
      <c r="W7090" t="s">
        <v>44415</v>
      </c>
      <c r="X7090" t="s">
        <v>63610</v>
      </c>
    </row>
    <row r="7091" spans="1:24">
      <c r="A7091">
        <f>HYPERLINK("https://www.philgeps.gov.ph/GEPSNONPILOT/Tender/SplashBidNoticeAbstractUI.aspx?menuIndex=3&amp;refID=7061686&amp;Result=3","7061686")</f>
        <v>0</v>
      </c>
      <c r="B7091" t="s">
        <v>2209</v>
      </c>
      <c r="C7091" t="s">
        <v>10259</v>
      </c>
      <c r="E7091" t="s">
        <v>19178</v>
      </c>
      <c r="F7091" t="s">
        <v>32664</v>
      </c>
      <c r="G7091" t="s">
        <v>32671</v>
      </c>
      <c r="H7091" t="s">
        <v>12635</v>
      </c>
      <c r="I7091" t="s">
        <v>4439</v>
      </c>
      <c r="J7091" t="s">
        <v>37192</v>
      </c>
      <c r="K7091" t="s">
        <v>42284</v>
      </c>
      <c r="M7091" t="s">
        <v>44973</v>
      </c>
      <c r="N7091" t="s">
        <v>46569</v>
      </c>
      <c r="O7091" t="s">
        <v>46570</v>
      </c>
      <c r="P7091">
        <v>0</v>
      </c>
      <c r="Q7091">
        <v>0</v>
      </c>
      <c r="R7091" t="s">
        <v>46573</v>
      </c>
      <c r="S7091" t="s">
        <v>46705</v>
      </c>
      <c r="T7091" t="s">
        <v>48254</v>
      </c>
      <c r="U7091" t="s">
        <v>54633</v>
      </c>
      <c r="W7091" t="s">
        <v>44973</v>
      </c>
      <c r="X7091" t="s">
        <v>46574</v>
      </c>
    </row>
    <row r="7092" spans="1:24">
      <c r="A7092">
        <f>HYPERLINK("https://www.philgeps.gov.ph/GEPSNONPILOT/Tender/SplashBidNoticeAbstractUI.aspx?menuIndex=3&amp;refID=7019459&amp;Result=3","7019459")</f>
        <v>0</v>
      </c>
      <c r="B7092" t="s">
        <v>1013</v>
      </c>
      <c r="C7092" t="s">
        <v>10260</v>
      </c>
      <c r="D7092" t="s">
        <v>18786</v>
      </c>
      <c r="E7092" t="s">
        <v>25155</v>
      </c>
      <c r="F7092" t="s">
        <v>32664</v>
      </c>
      <c r="G7092" t="s">
        <v>32672</v>
      </c>
      <c r="H7092" t="s">
        <v>12635</v>
      </c>
      <c r="I7092" t="s">
        <v>32706</v>
      </c>
      <c r="J7092" t="s">
        <v>37193</v>
      </c>
      <c r="K7092" t="s">
        <v>42317</v>
      </c>
      <c r="M7092" t="s">
        <v>43625</v>
      </c>
      <c r="N7092" t="s">
        <v>46569</v>
      </c>
      <c r="O7092" t="s">
        <v>46570</v>
      </c>
      <c r="P7092">
        <v>0</v>
      </c>
      <c r="Q7092">
        <v>0</v>
      </c>
      <c r="R7092" t="s">
        <v>46574</v>
      </c>
      <c r="S7092" t="s">
        <v>46723</v>
      </c>
      <c r="T7092" t="s">
        <v>48216</v>
      </c>
      <c r="U7092" t="s">
        <v>54634</v>
      </c>
      <c r="V7092" t="s">
        <v>61882</v>
      </c>
      <c r="W7092" t="s">
        <v>43625</v>
      </c>
      <c r="X7092" t="s">
        <v>46598</v>
      </c>
    </row>
    <row r="7093" spans="1:24">
      <c r="A7093">
        <f>HYPERLINK("https://www.philgeps.gov.ph/GEPSNONPILOT/Tender/SplashBidNoticeAbstractUI.aspx?menuIndex=3&amp;refID=7061664&amp;Result=3","7061664")</f>
        <v>0</v>
      </c>
      <c r="B7093" t="s">
        <v>2211</v>
      </c>
      <c r="C7093" t="s">
        <v>10261</v>
      </c>
      <c r="D7093" t="s">
        <v>18802</v>
      </c>
      <c r="E7093" t="s">
        <v>19790</v>
      </c>
      <c r="F7093" t="s">
        <v>32664</v>
      </c>
      <c r="G7093" t="s">
        <v>32672</v>
      </c>
      <c r="H7093" t="s">
        <v>32683</v>
      </c>
      <c r="I7093" t="s">
        <v>10627</v>
      </c>
      <c r="J7093" t="s">
        <v>37194</v>
      </c>
      <c r="K7093" t="s">
        <v>42457</v>
      </c>
      <c r="L7093" t="s">
        <v>2211</v>
      </c>
      <c r="M7093" t="s">
        <v>44975</v>
      </c>
      <c r="N7093" t="s">
        <v>46569</v>
      </c>
      <c r="O7093" t="s">
        <v>46570</v>
      </c>
      <c r="P7093">
        <v>0</v>
      </c>
      <c r="Q7093">
        <v>0</v>
      </c>
      <c r="R7093" t="s">
        <v>46573</v>
      </c>
      <c r="S7093" t="s">
        <v>46705</v>
      </c>
      <c r="T7093" t="s">
        <v>48483</v>
      </c>
      <c r="U7093" t="s">
        <v>54635</v>
      </c>
      <c r="W7093" t="s">
        <v>44975</v>
      </c>
      <c r="X7093" t="s">
        <v>46574</v>
      </c>
    </row>
    <row r="7094" spans="1:24">
      <c r="A7094">
        <f>HYPERLINK("https://www.philgeps.gov.ph/GEPSNONPILOT/Tender/SplashBidNoticeAbstractUI.aspx?menuIndex=3&amp;refID=7061662&amp;Result=3","7061662")</f>
        <v>0</v>
      </c>
      <c r="B7094" t="s">
        <v>629</v>
      </c>
      <c r="C7094" t="s">
        <v>10262</v>
      </c>
      <c r="D7094" t="s">
        <v>18782</v>
      </c>
      <c r="E7094" t="s">
        <v>25156</v>
      </c>
      <c r="F7094" t="s">
        <v>32664</v>
      </c>
      <c r="G7094" t="s">
        <v>32674</v>
      </c>
      <c r="H7094" t="s">
        <v>12635</v>
      </c>
      <c r="I7094" t="s">
        <v>6118</v>
      </c>
      <c r="J7094" t="s">
        <v>37195</v>
      </c>
      <c r="K7094" t="s">
        <v>42283</v>
      </c>
      <c r="M7094" t="s">
        <v>43211</v>
      </c>
      <c r="N7094" t="s">
        <v>46569</v>
      </c>
      <c r="O7094" t="s">
        <v>46570</v>
      </c>
      <c r="P7094">
        <v>0</v>
      </c>
      <c r="Q7094">
        <v>0</v>
      </c>
      <c r="R7094" t="s">
        <v>46573</v>
      </c>
      <c r="S7094" t="s">
        <v>46705</v>
      </c>
      <c r="T7094" t="s">
        <v>48473</v>
      </c>
      <c r="U7094" t="s">
        <v>54636</v>
      </c>
      <c r="W7094" t="s">
        <v>43211</v>
      </c>
      <c r="X7094" t="s">
        <v>46574</v>
      </c>
    </row>
    <row r="7095" spans="1:24">
      <c r="A7095">
        <f>HYPERLINK("https://www.philgeps.gov.ph/GEPSNONPILOT/Tender/SplashBidNoticeAbstractUI.aspx?menuIndex=3&amp;refID=6948214&amp;Result=3","6948214")</f>
        <v>0</v>
      </c>
      <c r="B7095" t="s">
        <v>2218</v>
      </c>
      <c r="C7095" t="s">
        <v>10263</v>
      </c>
      <c r="D7095" t="s">
        <v>18784</v>
      </c>
      <c r="E7095" t="s">
        <v>20330</v>
      </c>
      <c r="F7095" t="s">
        <v>32664</v>
      </c>
      <c r="G7095" t="s">
        <v>32672</v>
      </c>
      <c r="H7095" t="s">
        <v>12635</v>
      </c>
      <c r="I7095" t="s">
        <v>32727</v>
      </c>
      <c r="J7095" t="s">
        <v>33177</v>
      </c>
      <c r="K7095" t="s">
        <v>42283</v>
      </c>
      <c r="M7095" t="s">
        <v>44982</v>
      </c>
      <c r="N7095" t="s">
        <v>46569</v>
      </c>
      <c r="O7095" t="s">
        <v>46570</v>
      </c>
      <c r="P7095">
        <v>0</v>
      </c>
      <c r="Q7095">
        <v>4</v>
      </c>
      <c r="R7095" t="s">
        <v>46574</v>
      </c>
      <c r="S7095" t="s">
        <v>46723</v>
      </c>
      <c r="T7095" t="s">
        <v>48219</v>
      </c>
      <c r="U7095" t="s">
        <v>54637</v>
      </c>
      <c r="W7095" t="s">
        <v>44982</v>
      </c>
      <c r="X7095" t="s">
        <v>46686</v>
      </c>
    </row>
    <row r="7096" spans="1:24">
      <c r="A7096">
        <f>HYPERLINK("https://www.philgeps.gov.ph/GEPSNONPILOT/Tender/SplashBidNoticeAbstractUI.aspx?menuIndex=3&amp;refID=7035423&amp;Result=3","7035423")</f>
        <v>0</v>
      </c>
      <c r="B7096" t="s">
        <v>2219</v>
      </c>
      <c r="C7096" t="s">
        <v>10264</v>
      </c>
      <c r="D7096" t="s">
        <v>18794</v>
      </c>
      <c r="E7096" t="s">
        <v>25157</v>
      </c>
      <c r="F7096" t="s">
        <v>32664</v>
      </c>
      <c r="G7096" t="s">
        <v>32671</v>
      </c>
      <c r="H7096" t="s">
        <v>32682</v>
      </c>
      <c r="I7096" t="s">
        <v>32733</v>
      </c>
      <c r="J7096" t="s">
        <v>37196</v>
      </c>
      <c r="K7096" t="s">
        <v>42281</v>
      </c>
      <c r="M7096" t="s">
        <v>44983</v>
      </c>
      <c r="N7096" t="s">
        <v>46569</v>
      </c>
      <c r="O7096" t="s">
        <v>46570</v>
      </c>
      <c r="P7096">
        <v>0</v>
      </c>
      <c r="Q7096">
        <v>0</v>
      </c>
      <c r="R7096" t="s">
        <v>46574</v>
      </c>
      <c r="S7096" t="s">
        <v>46723</v>
      </c>
      <c r="T7096" t="s">
        <v>48473</v>
      </c>
      <c r="U7096" t="s">
        <v>54638</v>
      </c>
      <c r="W7096" t="s">
        <v>44983</v>
      </c>
      <c r="X7096" t="s">
        <v>46587</v>
      </c>
    </row>
    <row r="7097" spans="1:24">
      <c r="A7097">
        <f>HYPERLINK("https://www.philgeps.gov.ph/GEPSNONPILOT/Tender/SplashBidNoticeAbstractUI.aspx?menuIndex=3&amp;refID=7061660&amp;Result=3","7061660")</f>
        <v>0</v>
      </c>
      <c r="B7097" t="s">
        <v>2220</v>
      </c>
      <c r="C7097" t="s">
        <v>10265</v>
      </c>
      <c r="D7097" t="s">
        <v>18784</v>
      </c>
      <c r="E7097" t="s">
        <v>25158</v>
      </c>
      <c r="F7097" t="s">
        <v>32664</v>
      </c>
      <c r="G7097" t="s">
        <v>32672</v>
      </c>
      <c r="H7097" t="s">
        <v>12635</v>
      </c>
      <c r="I7097" t="s">
        <v>6223</v>
      </c>
      <c r="J7097" t="s">
        <v>37197</v>
      </c>
      <c r="K7097" t="s">
        <v>42297</v>
      </c>
      <c r="M7097" t="s">
        <v>44984</v>
      </c>
      <c r="N7097" t="s">
        <v>46569</v>
      </c>
      <c r="O7097" t="s">
        <v>46570</v>
      </c>
      <c r="P7097">
        <v>0</v>
      </c>
      <c r="Q7097">
        <v>0</v>
      </c>
      <c r="R7097" t="s">
        <v>46573</v>
      </c>
      <c r="S7097" t="s">
        <v>46705</v>
      </c>
      <c r="T7097" t="s">
        <v>48283</v>
      </c>
      <c r="U7097" t="s">
        <v>54639</v>
      </c>
      <c r="W7097" t="s">
        <v>44984</v>
      </c>
      <c r="X7097" t="s">
        <v>46574</v>
      </c>
    </row>
    <row r="7098" spans="1:24">
      <c r="A7098">
        <f>HYPERLINK("https://www.philgeps.gov.ph/GEPSNONPILOT/Tender/SplashBidNoticeAbstractUI.aspx?menuIndex=3&amp;refID=7061659&amp;Result=3","7061659")</f>
        <v>0</v>
      </c>
      <c r="B7098" t="s">
        <v>2130</v>
      </c>
      <c r="C7098" t="s">
        <v>10266</v>
      </c>
      <c r="D7098" t="s">
        <v>18812</v>
      </c>
      <c r="E7098" t="s">
        <v>25159</v>
      </c>
      <c r="F7098" t="s">
        <v>32664</v>
      </c>
      <c r="G7098" t="s">
        <v>32671</v>
      </c>
      <c r="H7098" t="s">
        <v>32681</v>
      </c>
      <c r="I7098" t="s">
        <v>32681</v>
      </c>
      <c r="J7098" t="s">
        <v>33069</v>
      </c>
      <c r="K7098" t="s">
        <v>42298</v>
      </c>
      <c r="M7098" t="s">
        <v>44885</v>
      </c>
      <c r="N7098" t="s">
        <v>46569</v>
      </c>
      <c r="O7098" t="s">
        <v>46570</v>
      </c>
      <c r="P7098">
        <v>0</v>
      </c>
      <c r="Q7098">
        <v>2</v>
      </c>
      <c r="R7098" t="s">
        <v>46573</v>
      </c>
      <c r="S7098" t="s">
        <v>46705</v>
      </c>
      <c r="T7098" t="s">
        <v>48316</v>
      </c>
      <c r="U7098" t="s">
        <v>54640</v>
      </c>
      <c r="W7098" t="s">
        <v>44885</v>
      </c>
      <c r="X7098" t="s">
        <v>46574</v>
      </c>
    </row>
    <row r="7099" spans="1:24">
      <c r="A7099">
        <f>HYPERLINK("https://www.philgeps.gov.ph/GEPSNONPILOT/Tender/SplashBidNoticeAbstractUI.aspx?menuIndex=3&amp;refID=7061637&amp;Result=3","7061637")</f>
        <v>0</v>
      </c>
      <c r="B7099" t="s">
        <v>2167</v>
      </c>
      <c r="C7099" t="s">
        <v>10267</v>
      </c>
      <c r="D7099" t="s">
        <v>18823</v>
      </c>
      <c r="E7099" t="s">
        <v>25160</v>
      </c>
      <c r="F7099" t="s">
        <v>32664</v>
      </c>
      <c r="G7099" t="s">
        <v>32675</v>
      </c>
      <c r="H7099" t="s">
        <v>12635</v>
      </c>
      <c r="I7099" t="s">
        <v>8730</v>
      </c>
      <c r="J7099" t="s">
        <v>33380</v>
      </c>
      <c r="K7099" t="s">
        <v>42309</v>
      </c>
      <c r="M7099" t="s">
        <v>44926</v>
      </c>
      <c r="N7099" t="s">
        <v>46569</v>
      </c>
      <c r="O7099" t="s">
        <v>46570</v>
      </c>
      <c r="P7099">
        <v>0</v>
      </c>
      <c r="Q7099">
        <v>2</v>
      </c>
      <c r="R7099" t="s">
        <v>46573</v>
      </c>
      <c r="S7099" t="s">
        <v>46705</v>
      </c>
      <c r="T7099" t="s">
        <v>48254</v>
      </c>
      <c r="U7099" t="s">
        <v>54441</v>
      </c>
      <c r="W7099" t="s">
        <v>44926</v>
      </c>
      <c r="X7099" t="s">
        <v>46574</v>
      </c>
    </row>
    <row r="7100" spans="1:24">
      <c r="A7100">
        <f>HYPERLINK("https://www.philgeps.gov.ph/GEPSNONPILOT/Tender/SplashBidNoticeAbstractUI.aspx?menuIndex=3&amp;refID=7061665&amp;Result=3","7061665")</f>
        <v>0</v>
      </c>
      <c r="B7100" t="s">
        <v>238</v>
      </c>
      <c r="C7100" t="s">
        <v>6281</v>
      </c>
      <c r="D7100" t="s">
        <v>18798</v>
      </c>
      <c r="E7100" t="s">
        <v>25161</v>
      </c>
      <c r="F7100" t="s">
        <v>32664</v>
      </c>
      <c r="G7100" t="s">
        <v>32675</v>
      </c>
      <c r="H7100" t="s">
        <v>12635</v>
      </c>
      <c r="I7100" t="s">
        <v>8797</v>
      </c>
      <c r="J7100" t="s">
        <v>32917</v>
      </c>
      <c r="K7100" t="s">
        <v>42306</v>
      </c>
      <c r="M7100" t="s">
        <v>43063</v>
      </c>
      <c r="N7100" t="s">
        <v>46569</v>
      </c>
      <c r="O7100" t="s">
        <v>46570</v>
      </c>
      <c r="P7100">
        <v>0</v>
      </c>
      <c r="Q7100">
        <v>3</v>
      </c>
      <c r="R7100" t="s">
        <v>46573</v>
      </c>
      <c r="S7100" t="s">
        <v>46705</v>
      </c>
      <c r="T7100" t="s">
        <v>48254</v>
      </c>
      <c r="U7100" t="s">
        <v>54641</v>
      </c>
      <c r="W7100" t="s">
        <v>43063</v>
      </c>
      <c r="X7100" t="s">
        <v>46574</v>
      </c>
    </row>
    <row r="7101" spans="1:24">
      <c r="A7101">
        <f>HYPERLINK("https://www.philgeps.gov.ph/GEPSNONPILOT/Tender/SplashBidNoticeAbstractUI.aspx?menuIndex=3&amp;refID=7060198&amp;Result=3","7060198")</f>
        <v>0</v>
      </c>
      <c r="B7101" t="s">
        <v>743</v>
      </c>
      <c r="C7101" t="s">
        <v>10268</v>
      </c>
      <c r="D7101" t="s">
        <v>18790</v>
      </c>
      <c r="E7101" t="s">
        <v>25162</v>
      </c>
      <c r="F7101" t="s">
        <v>32664</v>
      </c>
      <c r="G7101" t="s">
        <v>32671</v>
      </c>
      <c r="H7101" t="s">
        <v>32682</v>
      </c>
      <c r="I7101" t="s">
        <v>6553</v>
      </c>
      <c r="J7101" t="s">
        <v>37198</v>
      </c>
      <c r="K7101" t="s">
        <v>42395</v>
      </c>
      <c r="M7101" t="s">
        <v>43333</v>
      </c>
      <c r="N7101" t="s">
        <v>46569</v>
      </c>
      <c r="O7101" t="s">
        <v>46570</v>
      </c>
      <c r="P7101">
        <v>0</v>
      </c>
      <c r="Q7101">
        <v>0</v>
      </c>
      <c r="R7101" t="s">
        <v>46573</v>
      </c>
      <c r="S7101" t="s">
        <v>46705</v>
      </c>
      <c r="T7101" t="s">
        <v>48420</v>
      </c>
      <c r="U7101" t="s">
        <v>54642</v>
      </c>
      <c r="W7101" t="s">
        <v>43333</v>
      </c>
      <c r="X7101" t="s">
        <v>46574</v>
      </c>
    </row>
    <row r="7102" spans="1:24">
      <c r="A7102">
        <f>HYPERLINK("https://www.philgeps.gov.ph/GEPSNONPILOT/Tender/SplashBidNoticeAbstractUI.aspx?menuIndex=3&amp;refID=7061657&amp;Result=3","7061657")</f>
        <v>0</v>
      </c>
      <c r="B7102" t="s">
        <v>2211</v>
      </c>
      <c r="C7102" t="s">
        <v>10269</v>
      </c>
      <c r="D7102" t="s">
        <v>18802</v>
      </c>
      <c r="E7102" t="s">
        <v>19601</v>
      </c>
      <c r="F7102" t="s">
        <v>32664</v>
      </c>
      <c r="G7102" t="s">
        <v>32672</v>
      </c>
      <c r="H7102" t="s">
        <v>32683</v>
      </c>
      <c r="I7102" t="s">
        <v>10627</v>
      </c>
      <c r="J7102" t="s">
        <v>33001</v>
      </c>
      <c r="K7102" t="s">
        <v>42310</v>
      </c>
      <c r="L7102" t="s">
        <v>2211</v>
      </c>
      <c r="M7102" t="s">
        <v>44975</v>
      </c>
      <c r="N7102" t="s">
        <v>46569</v>
      </c>
      <c r="O7102" t="s">
        <v>46570</v>
      </c>
      <c r="P7102">
        <v>0</v>
      </c>
      <c r="Q7102">
        <v>0</v>
      </c>
      <c r="R7102" t="s">
        <v>46573</v>
      </c>
      <c r="S7102" t="s">
        <v>46705</v>
      </c>
      <c r="T7102" t="s">
        <v>48483</v>
      </c>
      <c r="U7102" t="s">
        <v>54643</v>
      </c>
      <c r="W7102" t="s">
        <v>44975</v>
      </c>
      <c r="X7102" t="s">
        <v>46574</v>
      </c>
    </row>
    <row r="7103" spans="1:24">
      <c r="A7103">
        <f>HYPERLINK("https://www.philgeps.gov.ph/GEPSNONPILOT/Tender/SplashBidNoticeAbstractUI.aspx?menuIndex=3&amp;refID=7060197&amp;Result=3","7060197")</f>
        <v>0</v>
      </c>
      <c r="B7103" t="s">
        <v>1475</v>
      </c>
      <c r="C7103" t="s">
        <v>10270</v>
      </c>
      <c r="D7103" t="s">
        <v>18783</v>
      </c>
      <c r="E7103" t="s">
        <v>25163</v>
      </c>
      <c r="F7103" t="s">
        <v>32664</v>
      </c>
      <c r="G7103" t="s">
        <v>32672</v>
      </c>
      <c r="H7103" t="s">
        <v>12635</v>
      </c>
      <c r="I7103" t="s">
        <v>8730</v>
      </c>
      <c r="J7103" t="s">
        <v>37199</v>
      </c>
      <c r="K7103" t="s">
        <v>42281</v>
      </c>
      <c r="M7103" t="s">
        <v>44137</v>
      </c>
      <c r="N7103" t="s">
        <v>46569</v>
      </c>
      <c r="O7103" t="s">
        <v>46570</v>
      </c>
      <c r="P7103">
        <v>0</v>
      </c>
      <c r="Q7103">
        <v>3</v>
      </c>
      <c r="R7103" t="s">
        <v>46573</v>
      </c>
      <c r="S7103" t="s">
        <v>46705</v>
      </c>
      <c r="T7103" t="s">
        <v>48349</v>
      </c>
      <c r="U7103" t="s">
        <v>54644</v>
      </c>
      <c r="W7103" t="s">
        <v>44137</v>
      </c>
      <c r="X7103" t="s">
        <v>46574</v>
      </c>
    </row>
    <row r="7104" spans="1:24">
      <c r="A7104">
        <f>HYPERLINK("https://www.philgeps.gov.ph/GEPSNONPILOT/Tender/SplashBidNoticeAbstractUI.aspx?menuIndex=3&amp;refID=7060194&amp;Result=3","7060194")</f>
        <v>0</v>
      </c>
      <c r="B7104" t="s">
        <v>1480</v>
      </c>
      <c r="C7104" t="s">
        <v>10271</v>
      </c>
      <c r="D7104" t="s">
        <v>18851</v>
      </c>
      <c r="E7104" t="s">
        <v>25164</v>
      </c>
      <c r="F7104" t="s">
        <v>32664</v>
      </c>
      <c r="G7104" t="s">
        <v>32671</v>
      </c>
      <c r="H7104" t="s">
        <v>12635</v>
      </c>
      <c r="I7104" t="s">
        <v>32706</v>
      </c>
      <c r="J7104" t="s">
        <v>37200</v>
      </c>
      <c r="K7104" t="s">
        <v>42297</v>
      </c>
      <c r="M7104" t="s">
        <v>44143</v>
      </c>
      <c r="N7104" t="s">
        <v>46569</v>
      </c>
      <c r="O7104" t="s">
        <v>46570</v>
      </c>
      <c r="P7104">
        <v>0</v>
      </c>
      <c r="Q7104">
        <v>0</v>
      </c>
      <c r="R7104" t="s">
        <v>46573</v>
      </c>
      <c r="S7104" t="s">
        <v>46705</v>
      </c>
      <c r="T7104" t="s">
        <v>48548</v>
      </c>
      <c r="U7104" t="s">
        <v>54645</v>
      </c>
      <c r="W7104" t="s">
        <v>44143</v>
      </c>
      <c r="X7104" t="s">
        <v>46574</v>
      </c>
    </row>
    <row r="7105" spans="1:24">
      <c r="A7105">
        <f>HYPERLINK("https://www.philgeps.gov.ph/GEPSNONPILOT/Tender/SplashBidNoticeAbstractUI.aspx?menuIndex=3&amp;refID=7061688&amp;Result=3","7061688")</f>
        <v>0</v>
      </c>
      <c r="B7105" t="s">
        <v>2209</v>
      </c>
      <c r="C7105" t="s">
        <v>10272</v>
      </c>
      <c r="E7105" t="s">
        <v>19632</v>
      </c>
      <c r="F7105" t="s">
        <v>32664</v>
      </c>
      <c r="G7105" t="s">
        <v>32671</v>
      </c>
      <c r="H7105" t="s">
        <v>12635</v>
      </c>
      <c r="I7105" t="s">
        <v>8730</v>
      </c>
      <c r="J7105" t="s">
        <v>37201</v>
      </c>
      <c r="K7105" t="s">
        <v>42284</v>
      </c>
      <c r="M7105" t="s">
        <v>44973</v>
      </c>
      <c r="N7105" t="s">
        <v>46569</v>
      </c>
      <c r="O7105" t="s">
        <v>46570</v>
      </c>
      <c r="P7105">
        <v>0</v>
      </c>
      <c r="Q7105">
        <v>1</v>
      </c>
      <c r="R7105" t="s">
        <v>46573</v>
      </c>
      <c r="S7105" t="s">
        <v>46705</v>
      </c>
      <c r="T7105" t="s">
        <v>48254</v>
      </c>
      <c r="U7105" t="s">
        <v>54608</v>
      </c>
      <c r="W7105" t="s">
        <v>44973</v>
      </c>
      <c r="X7105" t="s">
        <v>46574</v>
      </c>
    </row>
    <row r="7106" spans="1:24">
      <c r="A7106">
        <f>HYPERLINK("https://www.philgeps.gov.ph/GEPSNONPILOT/Tender/SplashBidNoticeAbstractUI.aspx?menuIndex=3&amp;refID=7061666&amp;Result=3","7061666")</f>
        <v>0</v>
      </c>
      <c r="B7106" t="s">
        <v>2212</v>
      </c>
      <c r="C7106" t="s">
        <v>10273</v>
      </c>
      <c r="E7106" t="s">
        <v>25165</v>
      </c>
      <c r="F7106" t="s">
        <v>32664</v>
      </c>
      <c r="G7106" t="s">
        <v>32672</v>
      </c>
      <c r="H7106" t="s">
        <v>12635</v>
      </c>
      <c r="I7106" t="s">
        <v>4439</v>
      </c>
      <c r="J7106" t="s">
        <v>37202</v>
      </c>
      <c r="K7106" t="s">
        <v>42283</v>
      </c>
      <c r="M7106" t="s">
        <v>44976</v>
      </c>
      <c r="N7106" t="s">
        <v>46569</v>
      </c>
      <c r="O7106" t="s">
        <v>46570</v>
      </c>
      <c r="P7106">
        <v>0</v>
      </c>
      <c r="Q7106">
        <v>0</v>
      </c>
      <c r="R7106" t="s">
        <v>46573</v>
      </c>
      <c r="S7106" t="s">
        <v>46705</v>
      </c>
      <c r="T7106" t="s">
        <v>48305</v>
      </c>
      <c r="U7106" t="s">
        <v>49565</v>
      </c>
      <c r="W7106" t="s">
        <v>44976</v>
      </c>
      <c r="X7106" t="s">
        <v>46574</v>
      </c>
    </row>
    <row r="7107" spans="1:24">
      <c r="A7107">
        <f>HYPERLINK("https://www.philgeps.gov.ph/GEPSNONPILOT/Tender/SplashBidNoticeAbstractUI.aspx?menuIndex=3&amp;refID=7061635&amp;Result=3","7061635")</f>
        <v>0</v>
      </c>
      <c r="B7107" t="s">
        <v>629</v>
      </c>
      <c r="C7107" t="s">
        <v>10274</v>
      </c>
      <c r="D7107" t="s">
        <v>18782</v>
      </c>
      <c r="E7107" t="s">
        <v>25166</v>
      </c>
      <c r="F7107" t="s">
        <v>32664</v>
      </c>
      <c r="G7107" t="s">
        <v>32674</v>
      </c>
      <c r="H7107" t="s">
        <v>12635</v>
      </c>
      <c r="I7107" t="s">
        <v>6118</v>
      </c>
      <c r="J7107" t="s">
        <v>37203</v>
      </c>
      <c r="K7107" t="s">
        <v>42283</v>
      </c>
      <c r="M7107" t="s">
        <v>43211</v>
      </c>
      <c r="N7107" t="s">
        <v>46569</v>
      </c>
      <c r="O7107" t="s">
        <v>46570</v>
      </c>
      <c r="P7107">
        <v>0</v>
      </c>
      <c r="Q7107">
        <v>0</v>
      </c>
      <c r="R7107" t="s">
        <v>46573</v>
      </c>
      <c r="S7107" t="s">
        <v>46705</v>
      </c>
      <c r="T7107" t="s">
        <v>48473</v>
      </c>
      <c r="U7107" t="s">
        <v>54646</v>
      </c>
      <c r="W7107" t="s">
        <v>43211</v>
      </c>
      <c r="X7107" t="s">
        <v>46574</v>
      </c>
    </row>
    <row r="7108" spans="1:24">
      <c r="A7108">
        <f>HYPERLINK("https://www.philgeps.gov.ph/GEPSNONPILOT/Tender/SplashBidNoticeAbstractUI.aspx?menuIndex=3&amp;refID=7061636&amp;Result=3","7061636")</f>
        <v>0</v>
      </c>
      <c r="B7108" t="s">
        <v>2192</v>
      </c>
      <c r="C7108" t="s">
        <v>10275</v>
      </c>
      <c r="D7108" t="s">
        <v>18837</v>
      </c>
      <c r="E7108" t="s">
        <v>25167</v>
      </c>
      <c r="F7108" t="s">
        <v>32664</v>
      </c>
      <c r="G7108" t="s">
        <v>32674</v>
      </c>
      <c r="H7108" t="s">
        <v>12635</v>
      </c>
      <c r="I7108" t="s">
        <v>7759</v>
      </c>
      <c r="J7108" t="s">
        <v>33078</v>
      </c>
      <c r="K7108" t="s">
        <v>42297</v>
      </c>
      <c r="M7108" t="s">
        <v>44954</v>
      </c>
      <c r="N7108" t="s">
        <v>46569</v>
      </c>
      <c r="O7108" t="s">
        <v>46570</v>
      </c>
      <c r="P7108">
        <v>0</v>
      </c>
      <c r="Q7108">
        <v>1</v>
      </c>
      <c r="R7108" t="s">
        <v>46573</v>
      </c>
      <c r="S7108" t="s">
        <v>46705</v>
      </c>
      <c r="T7108" t="s">
        <v>48473</v>
      </c>
      <c r="U7108" t="s">
        <v>54647</v>
      </c>
      <c r="V7108" t="s">
        <v>62319</v>
      </c>
      <c r="W7108" t="s">
        <v>44954</v>
      </c>
      <c r="X7108" t="s">
        <v>46574</v>
      </c>
    </row>
    <row r="7109" spans="1:24">
      <c r="A7109">
        <f>HYPERLINK("https://www.philgeps.gov.ph/GEPSNONPILOT/Tender/SplashBidNoticeAbstractUI.aspx?menuIndex=3&amp;refID=7060042&amp;Result=3","7060042")</f>
        <v>0</v>
      </c>
      <c r="B7109" t="s">
        <v>1705</v>
      </c>
      <c r="C7109" t="s">
        <v>10276</v>
      </c>
      <c r="D7109" t="s">
        <v>18831</v>
      </c>
      <c r="E7109" t="s">
        <v>25168</v>
      </c>
      <c r="F7109" t="s">
        <v>32664</v>
      </c>
      <c r="G7109" t="s">
        <v>32671</v>
      </c>
      <c r="H7109" t="s">
        <v>12635</v>
      </c>
      <c r="I7109" t="s">
        <v>4439</v>
      </c>
      <c r="J7109" t="s">
        <v>37204</v>
      </c>
      <c r="K7109" t="s">
        <v>42284</v>
      </c>
      <c r="M7109" t="s">
        <v>44399</v>
      </c>
      <c r="N7109" t="s">
        <v>46569</v>
      </c>
      <c r="O7109" t="s">
        <v>46570</v>
      </c>
      <c r="P7109">
        <v>0</v>
      </c>
      <c r="Q7109">
        <v>0</v>
      </c>
      <c r="R7109" t="s">
        <v>46573</v>
      </c>
      <c r="S7109" t="s">
        <v>46705</v>
      </c>
      <c r="T7109" t="s">
        <v>48427</v>
      </c>
      <c r="U7109" t="s">
        <v>54648</v>
      </c>
      <c r="W7109" t="s">
        <v>44399</v>
      </c>
      <c r="X7109" t="s">
        <v>46574</v>
      </c>
    </row>
    <row r="7110" spans="1:24">
      <c r="A7110">
        <f>HYPERLINK("https://www.philgeps.gov.ph/GEPSNONPILOT/Tender/SplashBidNoticeAbstractUI.aspx?menuIndex=3&amp;refID=7060195&amp;Result=3","7060195")</f>
        <v>0</v>
      </c>
      <c r="B7110" t="s">
        <v>586</v>
      </c>
      <c r="C7110" t="s">
        <v>10277</v>
      </c>
      <c r="D7110" t="s">
        <v>18794</v>
      </c>
      <c r="E7110" t="s">
        <v>25169</v>
      </c>
      <c r="F7110" t="s">
        <v>32664</v>
      </c>
      <c r="G7110" t="s">
        <v>32672</v>
      </c>
      <c r="H7110" t="s">
        <v>12635</v>
      </c>
      <c r="I7110" t="s">
        <v>9486</v>
      </c>
      <c r="J7110" t="s">
        <v>33128</v>
      </c>
      <c r="K7110" t="s">
        <v>42281</v>
      </c>
      <c r="M7110" t="s">
        <v>43166</v>
      </c>
      <c r="N7110" t="s">
        <v>46569</v>
      </c>
      <c r="O7110" t="s">
        <v>46570</v>
      </c>
      <c r="P7110">
        <v>0</v>
      </c>
      <c r="Q7110">
        <v>1</v>
      </c>
      <c r="R7110" t="s">
        <v>46573</v>
      </c>
      <c r="S7110" t="s">
        <v>46705</v>
      </c>
      <c r="T7110" t="s">
        <v>48306</v>
      </c>
      <c r="U7110" t="s">
        <v>54649</v>
      </c>
      <c r="W7110" t="s">
        <v>43166</v>
      </c>
      <c r="X7110" t="s">
        <v>46574</v>
      </c>
    </row>
    <row r="7111" spans="1:24">
      <c r="A7111">
        <f>HYPERLINK("https://www.philgeps.gov.ph/GEPSNONPILOT/Tender/SplashBidNoticeAbstractUI.aspx?menuIndex=3&amp;refID=7060045&amp;Result=3","7060045")</f>
        <v>0</v>
      </c>
      <c r="B7111" t="s">
        <v>1884</v>
      </c>
      <c r="C7111" t="s">
        <v>10278</v>
      </c>
      <c r="D7111" t="s">
        <v>18784</v>
      </c>
      <c r="E7111" t="s">
        <v>25170</v>
      </c>
      <c r="F7111" t="s">
        <v>32664</v>
      </c>
      <c r="G7111" t="s">
        <v>32671</v>
      </c>
      <c r="H7111" t="s">
        <v>12635</v>
      </c>
      <c r="I7111" t="s">
        <v>6168</v>
      </c>
      <c r="J7111" t="s">
        <v>33547</v>
      </c>
      <c r="K7111" t="s">
        <v>42284</v>
      </c>
      <c r="M7111" t="s">
        <v>44603</v>
      </c>
      <c r="N7111" t="s">
        <v>46569</v>
      </c>
      <c r="O7111" t="s">
        <v>46570</v>
      </c>
      <c r="P7111">
        <v>0</v>
      </c>
      <c r="Q7111">
        <v>1</v>
      </c>
      <c r="R7111" t="s">
        <v>46573</v>
      </c>
      <c r="S7111" t="s">
        <v>46705</v>
      </c>
      <c r="T7111" t="s">
        <v>48219</v>
      </c>
      <c r="U7111" t="s">
        <v>54650</v>
      </c>
      <c r="V7111" t="s">
        <v>62212</v>
      </c>
      <c r="W7111" t="s">
        <v>44603</v>
      </c>
      <c r="X7111" t="s">
        <v>46574</v>
      </c>
    </row>
    <row r="7112" spans="1:24">
      <c r="A7112">
        <f>HYPERLINK("https://www.philgeps.gov.ph/GEPSNONPILOT/Tender/SplashBidNoticeAbstractUI.aspx?menuIndex=3&amp;refID=7045535&amp;Result=3","7045535")</f>
        <v>0</v>
      </c>
      <c r="B7112" t="s">
        <v>1013</v>
      </c>
      <c r="C7112" t="s">
        <v>10279</v>
      </c>
      <c r="D7112" t="s">
        <v>18786</v>
      </c>
      <c r="E7112" t="s">
        <v>25171</v>
      </c>
      <c r="F7112" t="s">
        <v>32664</v>
      </c>
      <c r="G7112" t="s">
        <v>32672</v>
      </c>
      <c r="H7112" t="s">
        <v>12635</v>
      </c>
      <c r="I7112" t="s">
        <v>32706</v>
      </c>
      <c r="J7112" t="s">
        <v>37205</v>
      </c>
      <c r="K7112" t="s">
        <v>42311</v>
      </c>
      <c r="M7112" t="s">
        <v>43625</v>
      </c>
      <c r="N7112" t="s">
        <v>46569</v>
      </c>
      <c r="O7112" t="s">
        <v>46570</v>
      </c>
      <c r="P7112">
        <v>0</v>
      </c>
      <c r="Q7112">
        <v>0</v>
      </c>
      <c r="R7112" t="s">
        <v>46574</v>
      </c>
      <c r="S7112" t="s">
        <v>46723</v>
      </c>
      <c r="T7112" t="s">
        <v>48228</v>
      </c>
      <c r="U7112" t="s">
        <v>54651</v>
      </c>
      <c r="V7112" t="s">
        <v>61882</v>
      </c>
      <c r="W7112" t="s">
        <v>43625</v>
      </c>
      <c r="X7112" t="s">
        <v>46581</v>
      </c>
    </row>
    <row r="7113" spans="1:24">
      <c r="A7113">
        <f>HYPERLINK("https://www.philgeps.gov.ph/GEPSNONPILOT/Tender/SplashBidNoticeAbstractUI.aspx?menuIndex=3&amp;refID=7045527&amp;Result=3","7045527")</f>
        <v>0</v>
      </c>
      <c r="B7113" t="s">
        <v>1013</v>
      </c>
      <c r="C7113" t="s">
        <v>10279</v>
      </c>
      <c r="D7113" t="s">
        <v>18786</v>
      </c>
      <c r="E7113" t="s">
        <v>25172</v>
      </c>
      <c r="F7113" t="s">
        <v>32664</v>
      </c>
      <c r="G7113" t="s">
        <v>32672</v>
      </c>
      <c r="H7113" t="s">
        <v>12635</v>
      </c>
      <c r="I7113" t="s">
        <v>32706</v>
      </c>
      <c r="J7113" t="s">
        <v>37206</v>
      </c>
      <c r="K7113" t="s">
        <v>42311</v>
      </c>
      <c r="M7113" t="s">
        <v>43625</v>
      </c>
      <c r="N7113" t="s">
        <v>46569</v>
      </c>
      <c r="O7113" t="s">
        <v>46570</v>
      </c>
      <c r="P7113">
        <v>0</v>
      </c>
      <c r="Q7113">
        <v>0</v>
      </c>
      <c r="R7113" t="s">
        <v>46574</v>
      </c>
      <c r="S7113" t="s">
        <v>46723</v>
      </c>
      <c r="T7113" t="s">
        <v>48228</v>
      </c>
      <c r="U7113" t="s">
        <v>54651</v>
      </c>
      <c r="V7113" t="s">
        <v>61882</v>
      </c>
      <c r="W7113" t="s">
        <v>43625</v>
      </c>
      <c r="X7113" t="s">
        <v>46581</v>
      </c>
    </row>
    <row r="7114" spans="1:24">
      <c r="A7114">
        <f>HYPERLINK("https://www.philgeps.gov.ph/GEPSNONPILOT/Tender/SplashBidNoticeAbstractUI.aspx?menuIndex=3&amp;refID=7045520&amp;Result=3","7045520")</f>
        <v>0</v>
      </c>
      <c r="B7114" t="s">
        <v>1013</v>
      </c>
      <c r="C7114" t="s">
        <v>10280</v>
      </c>
      <c r="D7114" t="s">
        <v>18786</v>
      </c>
      <c r="E7114" t="s">
        <v>25173</v>
      </c>
      <c r="F7114" t="s">
        <v>32664</v>
      </c>
      <c r="G7114" t="s">
        <v>32672</v>
      </c>
      <c r="H7114" t="s">
        <v>12635</v>
      </c>
      <c r="I7114" t="s">
        <v>32686</v>
      </c>
      <c r="J7114" t="s">
        <v>37207</v>
      </c>
      <c r="K7114" t="s">
        <v>42289</v>
      </c>
      <c r="M7114" t="s">
        <v>43625</v>
      </c>
      <c r="N7114" t="s">
        <v>46569</v>
      </c>
      <c r="O7114" t="s">
        <v>46570</v>
      </c>
      <c r="P7114">
        <v>0</v>
      </c>
      <c r="Q7114">
        <v>2</v>
      </c>
      <c r="R7114" t="s">
        <v>46574</v>
      </c>
      <c r="S7114" t="s">
        <v>46723</v>
      </c>
      <c r="T7114" t="s">
        <v>48228</v>
      </c>
      <c r="U7114" t="s">
        <v>54652</v>
      </c>
      <c r="V7114" t="s">
        <v>61882</v>
      </c>
      <c r="W7114" t="s">
        <v>43625</v>
      </c>
      <c r="X7114" t="s">
        <v>46581</v>
      </c>
    </row>
    <row r="7115" spans="1:24">
      <c r="A7115">
        <f>HYPERLINK("https://www.philgeps.gov.ph/GEPSNONPILOT/Tender/SplashBidNoticeAbstractUI.aspx?menuIndex=3&amp;refID=7046435&amp;Result=3","7046435")</f>
        <v>0</v>
      </c>
      <c r="B7115" t="s">
        <v>2221</v>
      </c>
      <c r="C7115" t="s">
        <v>10281</v>
      </c>
      <c r="E7115" t="s">
        <v>25174</v>
      </c>
      <c r="F7115" t="s">
        <v>32664</v>
      </c>
      <c r="G7115" t="s">
        <v>32672</v>
      </c>
      <c r="H7115" t="s">
        <v>12635</v>
      </c>
      <c r="I7115" t="s">
        <v>4439</v>
      </c>
      <c r="J7115" t="s">
        <v>34135</v>
      </c>
      <c r="K7115" t="s">
        <v>42378</v>
      </c>
      <c r="M7115" t="s">
        <v>44985</v>
      </c>
      <c r="N7115" t="s">
        <v>46569</v>
      </c>
      <c r="O7115" t="s">
        <v>46570</v>
      </c>
      <c r="P7115">
        <v>0</v>
      </c>
      <c r="Q7115">
        <v>0</v>
      </c>
      <c r="R7115" t="s">
        <v>46574</v>
      </c>
      <c r="S7115" t="s">
        <v>46723</v>
      </c>
      <c r="T7115" t="s">
        <v>48256</v>
      </c>
      <c r="U7115" t="s">
        <v>54653</v>
      </c>
      <c r="W7115" t="s">
        <v>44985</v>
      </c>
      <c r="X7115" t="s">
        <v>46581</v>
      </c>
    </row>
    <row r="7116" spans="1:24">
      <c r="A7116">
        <f>HYPERLINK("https://www.philgeps.gov.ph/GEPSNONPILOT/Tender/SplashBidNoticeAbstractUI.aspx?menuIndex=3&amp;refID=7045159&amp;Result=3","7045159")</f>
        <v>0</v>
      </c>
      <c r="B7116" t="s">
        <v>1013</v>
      </c>
      <c r="C7116" t="s">
        <v>10282</v>
      </c>
      <c r="D7116" t="s">
        <v>18786</v>
      </c>
      <c r="E7116" t="s">
        <v>25175</v>
      </c>
      <c r="F7116" t="s">
        <v>32664</v>
      </c>
      <c r="G7116" t="s">
        <v>32672</v>
      </c>
      <c r="H7116" t="s">
        <v>32683</v>
      </c>
      <c r="I7116" t="s">
        <v>10627</v>
      </c>
      <c r="J7116" t="s">
        <v>37208</v>
      </c>
      <c r="K7116" t="s">
        <v>42305</v>
      </c>
      <c r="M7116" t="s">
        <v>43662</v>
      </c>
      <c r="N7116" t="s">
        <v>46569</v>
      </c>
      <c r="O7116" t="s">
        <v>46570</v>
      </c>
      <c r="P7116">
        <v>0</v>
      </c>
      <c r="Q7116">
        <v>0</v>
      </c>
      <c r="R7116" t="s">
        <v>46574</v>
      </c>
      <c r="S7116" t="s">
        <v>46723</v>
      </c>
      <c r="T7116" t="s">
        <v>48228</v>
      </c>
      <c r="U7116" t="s">
        <v>54654</v>
      </c>
      <c r="V7116" t="s">
        <v>61882</v>
      </c>
      <c r="W7116" t="s">
        <v>43662</v>
      </c>
      <c r="X7116" t="s">
        <v>46581</v>
      </c>
    </row>
    <row r="7117" spans="1:24">
      <c r="A7117">
        <f>HYPERLINK("https://www.philgeps.gov.ph/GEPSNONPILOT/Tender/SplashBidNoticeAbstractUI.aspx?menuIndex=3&amp;refID=7045515&amp;Result=3","7045515")</f>
        <v>0</v>
      </c>
      <c r="B7117" t="s">
        <v>1013</v>
      </c>
      <c r="C7117" t="s">
        <v>10283</v>
      </c>
      <c r="D7117" t="s">
        <v>18786</v>
      </c>
      <c r="E7117" t="s">
        <v>25176</v>
      </c>
      <c r="F7117" t="s">
        <v>32664</v>
      </c>
      <c r="G7117" t="s">
        <v>32672</v>
      </c>
      <c r="H7117" t="s">
        <v>12635</v>
      </c>
      <c r="I7117" t="s">
        <v>6628</v>
      </c>
      <c r="J7117" t="s">
        <v>32853</v>
      </c>
      <c r="K7117" t="s">
        <v>42289</v>
      </c>
      <c r="M7117" t="s">
        <v>43625</v>
      </c>
      <c r="N7117" t="s">
        <v>46569</v>
      </c>
      <c r="O7117" t="s">
        <v>46570</v>
      </c>
      <c r="P7117">
        <v>0</v>
      </c>
      <c r="Q7117">
        <v>3</v>
      </c>
      <c r="R7117" t="s">
        <v>46574</v>
      </c>
      <c r="S7117" t="s">
        <v>46723</v>
      </c>
      <c r="T7117" t="s">
        <v>48228</v>
      </c>
      <c r="U7117" t="s">
        <v>54655</v>
      </c>
      <c r="V7117" t="s">
        <v>61882</v>
      </c>
      <c r="W7117" t="s">
        <v>43625</v>
      </c>
      <c r="X7117" t="s">
        <v>46581</v>
      </c>
    </row>
    <row r="7118" spans="1:24">
      <c r="A7118">
        <f>HYPERLINK("https://www.philgeps.gov.ph/GEPSNONPILOT/Tender/SplashBidNoticeAbstractUI.aspx?menuIndex=3&amp;refID=7044395&amp;Result=3","7044395")</f>
        <v>0</v>
      </c>
      <c r="B7118" t="s">
        <v>2222</v>
      </c>
      <c r="C7118" t="s">
        <v>10284</v>
      </c>
      <c r="D7118" t="s">
        <v>18796</v>
      </c>
      <c r="E7118" t="s">
        <v>25177</v>
      </c>
      <c r="F7118" t="s">
        <v>32664</v>
      </c>
      <c r="G7118" t="s">
        <v>32672</v>
      </c>
      <c r="H7118" t="s">
        <v>32683</v>
      </c>
      <c r="I7118" t="s">
        <v>10627</v>
      </c>
      <c r="J7118" t="s">
        <v>37209</v>
      </c>
      <c r="K7118" t="s">
        <v>42285</v>
      </c>
      <c r="M7118" t="s">
        <v>44986</v>
      </c>
      <c r="N7118" t="s">
        <v>46569</v>
      </c>
      <c r="O7118" t="s">
        <v>46570</v>
      </c>
      <c r="P7118">
        <v>0</v>
      </c>
      <c r="Q7118">
        <v>1</v>
      </c>
      <c r="R7118" t="s">
        <v>46574</v>
      </c>
      <c r="S7118" t="s">
        <v>46723</v>
      </c>
      <c r="T7118" t="s">
        <v>48392</v>
      </c>
      <c r="U7118" t="s">
        <v>54656</v>
      </c>
      <c r="V7118" t="s">
        <v>62325</v>
      </c>
      <c r="W7118" t="s">
        <v>44986</v>
      </c>
      <c r="X7118" t="s">
        <v>46581</v>
      </c>
    </row>
    <row r="7119" spans="1:24">
      <c r="A7119">
        <f>HYPERLINK("https://www.philgeps.gov.ph/GEPSNONPILOT/Tender/SplashBidNoticeAbstractUI.aspx?menuIndex=3&amp;refID=7043998&amp;Result=3","7043998")</f>
        <v>0</v>
      </c>
      <c r="B7119" t="s">
        <v>2213</v>
      </c>
      <c r="C7119" t="s">
        <v>10285</v>
      </c>
      <c r="D7119" t="s">
        <v>18849</v>
      </c>
      <c r="E7119" t="s">
        <v>25178</v>
      </c>
      <c r="F7119" t="s">
        <v>32664</v>
      </c>
      <c r="G7119" t="s">
        <v>32672</v>
      </c>
      <c r="H7119" t="s">
        <v>32683</v>
      </c>
      <c r="I7119" t="s">
        <v>10627</v>
      </c>
      <c r="J7119" t="s">
        <v>35701</v>
      </c>
      <c r="K7119" t="s">
        <v>42311</v>
      </c>
      <c r="M7119" t="s">
        <v>44977</v>
      </c>
      <c r="N7119" t="s">
        <v>46569</v>
      </c>
      <c r="O7119" t="s">
        <v>46570</v>
      </c>
      <c r="P7119">
        <v>0</v>
      </c>
      <c r="Q7119">
        <v>0</v>
      </c>
      <c r="R7119" t="s">
        <v>46574</v>
      </c>
      <c r="S7119" t="s">
        <v>46723</v>
      </c>
      <c r="T7119" t="s">
        <v>48220</v>
      </c>
      <c r="U7119" t="s">
        <v>54657</v>
      </c>
      <c r="W7119" t="s">
        <v>44977</v>
      </c>
      <c r="X7119" t="s">
        <v>46582</v>
      </c>
    </row>
    <row r="7120" spans="1:24">
      <c r="A7120">
        <f>HYPERLINK("https://www.philgeps.gov.ph/GEPSNONPILOT/Tender/SplashBidNoticeAbstractUI.aspx?menuIndex=3&amp;refID=7044002&amp;Result=3","7044002")</f>
        <v>0</v>
      </c>
      <c r="B7120" t="s">
        <v>2213</v>
      </c>
      <c r="C7120" t="s">
        <v>10286</v>
      </c>
      <c r="D7120" t="s">
        <v>18849</v>
      </c>
      <c r="E7120" t="s">
        <v>25179</v>
      </c>
      <c r="F7120" t="s">
        <v>32664</v>
      </c>
      <c r="G7120" t="s">
        <v>32672</v>
      </c>
      <c r="H7120" t="s">
        <v>32683</v>
      </c>
      <c r="I7120" t="s">
        <v>10627</v>
      </c>
      <c r="J7120" t="s">
        <v>35701</v>
      </c>
      <c r="K7120" t="s">
        <v>42311</v>
      </c>
      <c r="M7120" t="s">
        <v>44977</v>
      </c>
      <c r="N7120" t="s">
        <v>46569</v>
      </c>
      <c r="O7120" t="s">
        <v>46570</v>
      </c>
      <c r="P7120">
        <v>0</v>
      </c>
      <c r="Q7120">
        <v>0</v>
      </c>
      <c r="R7120" t="s">
        <v>46574</v>
      </c>
      <c r="S7120" t="s">
        <v>46723</v>
      </c>
      <c r="T7120" t="s">
        <v>48220</v>
      </c>
      <c r="U7120" t="s">
        <v>54658</v>
      </c>
      <c r="W7120" t="s">
        <v>44977</v>
      </c>
      <c r="X7120" t="s">
        <v>46582</v>
      </c>
    </row>
    <row r="7121" spans="1:24">
      <c r="A7121">
        <f>HYPERLINK("https://www.philgeps.gov.ph/GEPSNONPILOT/Tender/SplashBidNoticeAbstractUI.aspx?menuIndex=3&amp;refID=7043995&amp;Result=3","7043995")</f>
        <v>0</v>
      </c>
      <c r="B7121" t="s">
        <v>2213</v>
      </c>
      <c r="C7121" t="s">
        <v>10287</v>
      </c>
      <c r="D7121" t="s">
        <v>18849</v>
      </c>
      <c r="E7121" t="s">
        <v>25180</v>
      </c>
      <c r="F7121" t="s">
        <v>32664</v>
      </c>
      <c r="G7121" t="s">
        <v>32672</v>
      </c>
      <c r="H7121" t="s">
        <v>32683</v>
      </c>
      <c r="I7121" t="s">
        <v>10627</v>
      </c>
      <c r="J7121" t="s">
        <v>35701</v>
      </c>
      <c r="K7121" t="s">
        <v>42311</v>
      </c>
      <c r="M7121" t="s">
        <v>44977</v>
      </c>
      <c r="N7121" t="s">
        <v>46569</v>
      </c>
      <c r="O7121" t="s">
        <v>46570</v>
      </c>
      <c r="P7121">
        <v>0</v>
      </c>
      <c r="Q7121">
        <v>0</v>
      </c>
      <c r="R7121" t="s">
        <v>46574</v>
      </c>
      <c r="S7121" t="s">
        <v>46723</v>
      </c>
      <c r="T7121" t="s">
        <v>48220</v>
      </c>
      <c r="U7121" t="s">
        <v>54659</v>
      </c>
      <c r="W7121" t="s">
        <v>44977</v>
      </c>
      <c r="X7121" t="s">
        <v>46582</v>
      </c>
    </row>
    <row r="7122" spans="1:24">
      <c r="A7122">
        <f>HYPERLINK("https://www.philgeps.gov.ph/GEPSNONPILOT/Tender/SplashBidNoticeAbstractUI.aspx?menuIndex=3&amp;refID=7043992&amp;Result=3","7043992")</f>
        <v>0</v>
      </c>
      <c r="B7122" t="s">
        <v>2213</v>
      </c>
      <c r="C7122" t="s">
        <v>10288</v>
      </c>
      <c r="D7122" t="s">
        <v>18849</v>
      </c>
      <c r="E7122" t="s">
        <v>25181</v>
      </c>
      <c r="F7122" t="s">
        <v>32664</v>
      </c>
      <c r="G7122" t="s">
        <v>32672</v>
      </c>
      <c r="H7122" t="s">
        <v>32683</v>
      </c>
      <c r="I7122" t="s">
        <v>10627</v>
      </c>
      <c r="J7122" t="s">
        <v>35701</v>
      </c>
      <c r="K7122" t="s">
        <v>42311</v>
      </c>
      <c r="M7122" t="s">
        <v>44977</v>
      </c>
      <c r="N7122" t="s">
        <v>46569</v>
      </c>
      <c r="O7122" t="s">
        <v>46570</v>
      </c>
      <c r="P7122">
        <v>0</v>
      </c>
      <c r="Q7122">
        <v>0</v>
      </c>
      <c r="R7122" t="s">
        <v>46574</v>
      </c>
      <c r="S7122" t="s">
        <v>46723</v>
      </c>
      <c r="T7122" t="s">
        <v>48220</v>
      </c>
      <c r="U7122" t="s">
        <v>54660</v>
      </c>
      <c r="W7122" t="s">
        <v>44977</v>
      </c>
      <c r="X7122" t="s">
        <v>46582</v>
      </c>
    </row>
    <row r="7123" spans="1:24">
      <c r="A7123">
        <f>HYPERLINK("https://www.philgeps.gov.ph/GEPSNONPILOT/Tender/SplashBidNoticeAbstractUI.aspx?menuIndex=3&amp;refID=7046194&amp;Result=3","7046194")</f>
        <v>0</v>
      </c>
      <c r="B7123" t="s">
        <v>806</v>
      </c>
      <c r="C7123" t="s">
        <v>10289</v>
      </c>
      <c r="D7123" t="s">
        <v>18858</v>
      </c>
      <c r="E7123" t="s">
        <v>25182</v>
      </c>
      <c r="F7123" t="s">
        <v>32664</v>
      </c>
      <c r="G7123" t="s">
        <v>32677</v>
      </c>
      <c r="H7123" t="s">
        <v>12635</v>
      </c>
      <c r="I7123" t="s">
        <v>32711</v>
      </c>
      <c r="J7123" t="s">
        <v>33615</v>
      </c>
      <c r="K7123" t="s">
        <v>42284</v>
      </c>
      <c r="M7123" t="s">
        <v>43398</v>
      </c>
      <c r="N7123" t="s">
        <v>46569</v>
      </c>
      <c r="O7123" t="s">
        <v>46570</v>
      </c>
      <c r="P7123">
        <v>0</v>
      </c>
      <c r="Q7123">
        <v>2</v>
      </c>
      <c r="R7123" t="s">
        <v>46574</v>
      </c>
      <c r="S7123" t="s">
        <v>46723</v>
      </c>
      <c r="T7123" t="s">
        <v>48256</v>
      </c>
      <c r="U7123" t="s">
        <v>50323</v>
      </c>
      <c r="W7123" t="s">
        <v>43398</v>
      </c>
      <c r="X7123" t="s">
        <v>46581</v>
      </c>
    </row>
    <row r="7124" spans="1:24">
      <c r="A7124">
        <f>HYPERLINK("https://www.philgeps.gov.ph/GEPSNONPILOT/Tender/SplashBidNoticeAbstractUI.aspx?menuIndex=3&amp;refID=7043991&amp;Result=3","7043991")</f>
        <v>0</v>
      </c>
      <c r="B7124" t="s">
        <v>2213</v>
      </c>
      <c r="C7124" t="s">
        <v>10290</v>
      </c>
      <c r="D7124" t="s">
        <v>18849</v>
      </c>
      <c r="E7124" t="s">
        <v>25183</v>
      </c>
      <c r="F7124" t="s">
        <v>32664</v>
      </c>
      <c r="G7124" t="s">
        <v>32672</v>
      </c>
      <c r="H7124" t="s">
        <v>32683</v>
      </c>
      <c r="I7124" t="s">
        <v>10627</v>
      </c>
      <c r="J7124" t="s">
        <v>35701</v>
      </c>
      <c r="K7124" t="s">
        <v>42311</v>
      </c>
      <c r="M7124" t="s">
        <v>44977</v>
      </c>
      <c r="N7124" t="s">
        <v>46569</v>
      </c>
      <c r="O7124" t="s">
        <v>46570</v>
      </c>
      <c r="P7124">
        <v>0</v>
      </c>
      <c r="Q7124">
        <v>2</v>
      </c>
      <c r="R7124" t="s">
        <v>46574</v>
      </c>
      <c r="S7124" t="s">
        <v>46723</v>
      </c>
      <c r="T7124" t="s">
        <v>48220</v>
      </c>
      <c r="U7124" t="s">
        <v>54661</v>
      </c>
      <c r="W7124" t="s">
        <v>44977</v>
      </c>
      <c r="X7124" t="s">
        <v>46582</v>
      </c>
    </row>
    <row r="7125" spans="1:24">
      <c r="A7125">
        <f>HYPERLINK("https://www.philgeps.gov.ph/GEPSNONPILOT/Tender/SplashBidNoticeAbstractUI.aspx?menuIndex=3&amp;refID=7043988&amp;Result=3","7043988")</f>
        <v>0</v>
      </c>
      <c r="B7125" t="s">
        <v>2213</v>
      </c>
      <c r="C7125" t="s">
        <v>10291</v>
      </c>
      <c r="D7125" t="s">
        <v>18849</v>
      </c>
      <c r="E7125" t="s">
        <v>25184</v>
      </c>
      <c r="F7125" t="s">
        <v>32664</v>
      </c>
      <c r="G7125" t="s">
        <v>32672</v>
      </c>
      <c r="H7125" t="s">
        <v>32683</v>
      </c>
      <c r="I7125" t="s">
        <v>10627</v>
      </c>
      <c r="J7125" t="s">
        <v>35701</v>
      </c>
      <c r="K7125" t="s">
        <v>42311</v>
      </c>
      <c r="M7125" t="s">
        <v>44977</v>
      </c>
      <c r="N7125" t="s">
        <v>46569</v>
      </c>
      <c r="O7125" t="s">
        <v>46570</v>
      </c>
      <c r="P7125">
        <v>0</v>
      </c>
      <c r="Q7125">
        <v>2</v>
      </c>
      <c r="R7125" t="s">
        <v>46574</v>
      </c>
      <c r="S7125" t="s">
        <v>46723</v>
      </c>
      <c r="T7125" t="s">
        <v>48220</v>
      </c>
      <c r="U7125" t="s">
        <v>54662</v>
      </c>
      <c r="W7125" t="s">
        <v>44977</v>
      </c>
      <c r="X7125" t="s">
        <v>46582</v>
      </c>
    </row>
    <row r="7126" spans="1:24">
      <c r="A7126">
        <f>HYPERLINK("https://www.philgeps.gov.ph/GEPSNONPILOT/Tender/SplashBidNoticeAbstractUI.aspx?menuIndex=3&amp;refID=7043997&amp;Result=3","7043997")</f>
        <v>0</v>
      </c>
      <c r="B7126" t="s">
        <v>2213</v>
      </c>
      <c r="C7126" t="s">
        <v>10292</v>
      </c>
      <c r="D7126" t="s">
        <v>18849</v>
      </c>
      <c r="E7126" t="s">
        <v>25185</v>
      </c>
      <c r="F7126" t="s">
        <v>32664</v>
      </c>
      <c r="G7126" t="s">
        <v>32672</v>
      </c>
      <c r="H7126" t="s">
        <v>32683</v>
      </c>
      <c r="I7126" t="s">
        <v>10627</v>
      </c>
      <c r="J7126" t="s">
        <v>35701</v>
      </c>
      <c r="K7126" t="s">
        <v>42311</v>
      </c>
      <c r="M7126" t="s">
        <v>44977</v>
      </c>
      <c r="N7126" t="s">
        <v>46569</v>
      </c>
      <c r="O7126" t="s">
        <v>46570</v>
      </c>
      <c r="P7126">
        <v>0</v>
      </c>
      <c r="Q7126">
        <v>0</v>
      </c>
      <c r="R7126" t="s">
        <v>46574</v>
      </c>
      <c r="S7126" t="s">
        <v>46723</v>
      </c>
      <c r="T7126" t="s">
        <v>48220</v>
      </c>
      <c r="U7126" t="s">
        <v>54663</v>
      </c>
      <c r="W7126" t="s">
        <v>44977</v>
      </c>
      <c r="X7126" t="s">
        <v>46582</v>
      </c>
    </row>
    <row r="7127" spans="1:24">
      <c r="A7127">
        <f>HYPERLINK("https://www.philgeps.gov.ph/GEPSNONPILOT/Tender/SplashBidNoticeAbstractUI.aspx?menuIndex=3&amp;refID=7043993&amp;Result=3","7043993")</f>
        <v>0</v>
      </c>
      <c r="B7127" t="s">
        <v>2213</v>
      </c>
      <c r="C7127" t="s">
        <v>10293</v>
      </c>
      <c r="D7127" t="s">
        <v>18849</v>
      </c>
      <c r="E7127" t="s">
        <v>25186</v>
      </c>
      <c r="F7127" t="s">
        <v>32664</v>
      </c>
      <c r="G7127" t="s">
        <v>32672</v>
      </c>
      <c r="H7127" t="s">
        <v>32683</v>
      </c>
      <c r="I7127" t="s">
        <v>10627</v>
      </c>
      <c r="J7127" t="s">
        <v>35701</v>
      </c>
      <c r="K7127" t="s">
        <v>42311</v>
      </c>
      <c r="M7127" t="s">
        <v>44977</v>
      </c>
      <c r="N7127" t="s">
        <v>46569</v>
      </c>
      <c r="O7127" t="s">
        <v>46570</v>
      </c>
      <c r="P7127">
        <v>0</v>
      </c>
      <c r="Q7127">
        <v>0</v>
      </c>
      <c r="R7127" t="s">
        <v>46574</v>
      </c>
      <c r="S7127" t="s">
        <v>46723</v>
      </c>
      <c r="T7127" t="s">
        <v>48220</v>
      </c>
      <c r="U7127" t="s">
        <v>54664</v>
      </c>
      <c r="W7127" t="s">
        <v>44977</v>
      </c>
      <c r="X7127" t="s">
        <v>46582</v>
      </c>
    </row>
    <row r="7128" spans="1:24">
      <c r="A7128">
        <f>HYPERLINK("https://www.philgeps.gov.ph/GEPSNONPILOT/Tender/SplashBidNoticeAbstractUI.aspx?menuIndex=3&amp;refID=7047865&amp;Result=3","7047865")</f>
        <v>0</v>
      </c>
      <c r="B7128" t="s">
        <v>1022</v>
      </c>
      <c r="C7128" t="s">
        <v>10294</v>
      </c>
      <c r="D7128" t="s">
        <v>18799</v>
      </c>
      <c r="E7128" t="s">
        <v>19246</v>
      </c>
      <c r="F7128" t="s">
        <v>32664</v>
      </c>
      <c r="G7128" t="s">
        <v>32672</v>
      </c>
      <c r="H7128" t="s">
        <v>32683</v>
      </c>
      <c r="I7128" t="s">
        <v>32721</v>
      </c>
      <c r="J7128" t="s">
        <v>32837</v>
      </c>
      <c r="K7128" t="s">
        <v>42281</v>
      </c>
      <c r="M7128" t="s">
        <v>43634</v>
      </c>
      <c r="N7128" t="s">
        <v>46569</v>
      </c>
      <c r="O7128" t="s">
        <v>46570</v>
      </c>
      <c r="P7128">
        <v>0</v>
      </c>
      <c r="Q7128">
        <v>0</v>
      </c>
      <c r="R7128" t="s">
        <v>46574</v>
      </c>
      <c r="S7128" t="s">
        <v>46723</v>
      </c>
      <c r="T7128" t="s">
        <v>48485</v>
      </c>
      <c r="U7128" t="s">
        <v>54665</v>
      </c>
      <c r="W7128" t="s">
        <v>43634</v>
      </c>
      <c r="X7128" t="s">
        <v>46580</v>
      </c>
    </row>
    <row r="7129" spans="1:24">
      <c r="A7129">
        <f>HYPERLINK("https://www.philgeps.gov.ph/GEPSNONPILOT/Tender/SplashBidNoticeAbstractUI.aspx?menuIndex=3&amp;refID=7051909&amp;Result=3","7051909")</f>
        <v>0</v>
      </c>
      <c r="B7129" t="s">
        <v>460</v>
      </c>
      <c r="C7129" t="s">
        <v>10295</v>
      </c>
      <c r="D7129" t="s">
        <v>18806</v>
      </c>
      <c r="E7129" t="s">
        <v>25187</v>
      </c>
      <c r="F7129" t="s">
        <v>32664</v>
      </c>
      <c r="G7129" t="s">
        <v>32672</v>
      </c>
      <c r="H7129" t="s">
        <v>12635</v>
      </c>
      <c r="I7129" t="s">
        <v>8797</v>
      </c>
      <c r="J7129" t="s">
        <v>33249</v>
      </c>
      <c r="K7129" t="s">
        <v>42330</v>
      </c>
      <c r="M7129" t="s">
        <v>43033</v>
      </c>
      <c r="N7129" t="s">
        <v>46569</v>
      </c>
      <c r="O7129" t="s">
        <v>46570</v>
      </c>
      <c r="P7129">
        <v>0</v>
      </c>
      <c r="Q7129">
        <v>1</v>
      </c>
      <c r="R7129" t="s">
        <v>46574</v>
      </c>
      <c r="S7129" t="s">
        <v>46723</v>
      </c>
      <c r="T7129" t="s">
        <v>48244</v>
      </c>
      <c r="U7129" t="s">
        <v>54666</v>
      </c>
      <c r="V7129" t="s">
        <v>61876</v>
      </c>
      <c r="W7129" t="s">
        <v>43033</v>
      </c>
      <c r="X7129" t="s">
        <v>46579</v>
      </c>
    </row>
    <row r="7130" spans="1:24">
      <c r="A7130">
        <f>HYPERLINK("https://www.philgeps.gov.ph/GEPSNONPILOT/Tender/SplashBidNoticeAbstractUI.aspx?menuIndex=3&amp;refID=7060046&amp;Result=3","7060046")</f>
        <v>0</v>
      </c>
      <c r="B7130" t="s">
        <v>1949</v>
      </c>
      <c r="C7130" t="s">
        <v>4205</v>
      </c>
      <c r="D7130" t="s">
        <v>18781</v>
      </c>
      <c r="E7130" t="s">
        <v>25188</v>
      </c>
      <c r="F7130" t="s">
        <v>32664</v>
      </c>
      <c r="G7130" t="s">
        <v>32671</v>
      </c>
      <c r="H7130" t="s">
        <v>12635</v>
      </c>
      <c r="I7130" t="s">
        <v>4205</v>
      </c>
      <c r="J7130" t="s">
        <v>33117</v>
      </c>
      <c r="K7130" t="s">
        <v>42289</v>
      </c>
      <c r="M7130" t="s">
        <v>44676</v>
      </c>
      <c r="N7130" t="s">
        <v>46569</v>
      </c>
      <c r="O7130" t="s">
        <v>46570</v>
      </c>
      <c r="P7130">
        <v>0</v>
      </c>
      <c r="Q7130">
        <v>1</v>
      </c>
      <c r="R7130" t="s">
        <v>46573</v>
      </c>
      <c r="S7130" t="s">
        <v>46705</v>
      </c>
      <c r="T7130" t="s">
        <v>48287</v>
      </c>
      <c r="U7130" t="s">
        <v>54667</v>
      </c>
      <c r="V7130" t="s">
        <v>62326</v>
      </c>
      <c r="W7130" t="s">
        <v>44676</v>
      </c>
      <c r="X7130" t="s">
        <v>46574</v>
      </c>
    </row>
    <row r="7131" spans="1:24">
      <c r="A7131">
        <f>HYPERLINK("https://www.philgeps.gov.ph/GEPSNONPILOT/Tender/SplashBidNoticeAbstractUI.aspx?menuIndex=3&amp;refID=7051251&amp;Result=3","7051251")</f>
        <v>0</v>
      </c>
      <c r="B7131" t="s">
        <v>2223</v>
      </c>
      <c r="C7131" t="s">
        <v>10296</v>
      </c>
      <c r="D7131" t="s">
        <v>18789</v>
      </c>
      <c r="E7131" t="s">
        <v>25189</v>
      </c>
      <c r="F7131" t="s">
        <v>32664</v>
      </c>
      <c r="G7131" t="s">
        <v>32677</v>
      </c>
      <c r="H7131" t="s">
        <v>32682</v>
      </c>
      <c r="I7131" t="s">
        <v>6223</v>
      </c>
      <c r="J7131" t="s">
        <v>32984</v>
      </c>
      <c r="K7131" t="s">
        <v>42295</v>
      </c>
      <c r="M7131" t="s">
        <v>44987</v>
      </c>
      <c r="N7131" t="s">
        <v>46569</v>
      </c>
      <c r="O7131" t="s">
        <v>46570</v>
      </c>
      <c r="P7131">
        <v>0</v>
      </c>
      <c r="Q7131">
        <v>0</v>
      </c>
      <c r="R7131" t="s">
        <v>46574</v>
      </c>
      <c r="S7131" t="s">
        <v>46723</v>
      </c>
      <c r="T7131" t="s">
        <v>48290</v>
      </c>
      <c r="U7131" t="s">
        <v>54668</v>
      </c>
      <c r="W7131" t="s">
        <v>44987</v>
      </c>
      <c r="X7131" t="s">
        <v>46579</v>
      </c>
    </row>
    <row r="7132" spans="1:24">
      <c r="A7132">
        <f>HYPERLINK("https://www.philgeps.gov.ph/GEPSNONPILOT/Tender/SplashBidNoticeAbstractUI.aspx?menuIndex=3&amp;refID=7044001&amp;Result=3","7044001")</f>
        <v>0</v>
      </c>
      <c r="B7132" t="s">
        <v>2213</v>
      </c>
      <c r="C7132" t="s">
        <v>10297</v>
      </c>
      <c r="D7132" t="s">
        <v>18849</v>
      </c>
      <c r="E7132" t="s">
        <v>25190</v>
      </c>
      <c r="F7132" t="s">
        <v>32664</v>
      </c>
      <c r="G7132" t="s">
        <v>32672</v>
      </c>
      <c r="H7132" t="s">
        <v>32683</v>
      </c>
      <c r="I7132" t="s">
        <v>10627</v>
      </c>
      <c r="J7132" t="s">
        <v>35701</v>
      </c>
      <c r="K7132" t="s">
        <v>42311</v>
      </c>
      <c r="M7132" t="s">
        <v>44977</v>
      </c>
      <c r="N7132" t="s">
        <v>46569</v>
      </c>
      <c r="O7132" t="s">
        <v>46570</v>
      </c>
      <c r="P7132">
        <v>0</v>
      </c>
      <c r="Q7132">
        <v>0</v>
      </c>
      <c r="R7132" t="s">
        <v>46574</v>
      </c>
      <c r="S7132" t="s">
        <v>46723</v>
      </c>
      <c r="T7132" t="s">
        <v>48220</v>
      </c>
      <c r="U7132" t="s">
        <v>54669</v>
      </c>
      <c r="W7132" t="s">
        <v>44977</v>
      </c>
      <c r="X7132" t="s">
        <v>46582</v>
      </c>
    </row>
    <row r="7133" spans="1:24">
      <c r="A7133">
        <f>HYPERLINK("https://www.philgeps.gov.ph/GEPSNONPILOT/Tender/SplashBidNoticeAbstractUI.aspx?menuIndex=3&amp;refID=7051166&amp;Result=3","7051166")</f>
        <v>0</v>
      </c>
      <c r="B7133" t="s">
        <v>1013</v>
      </c>
      <c r="C7133" t="s">
        <v>10298</v>
      </c>
      <c r="D7133" t="s">
        <v>18786</v>
      </c>
      <c r="E7133" t="s">
        <v>25191</v>
      </c>
      <c r="F7133" t="s">
        <v>32664</v>
      </c>
      <c r="G7133" t="s">
        <v>32672</v>
      </c>
      <c r="H7133" t="s">
        <v>12635</v>
      </c>
      <c r="I7133" t="s">
        <v>11464</v>
      </c>
      <c r="J7133" t="s">
        <v>37210</v>
      </c>
      <c r="K7133" t="s">
        <v>42308</v>
      </c>
      <c r="M7133" t="s">
        <v>43625</v>
      </c>
      <c r="N7133" t="s">
        <v>46569</v>
      </c>
      <c r="O7133" t="s">
        <v>46570</v>
      </c>
      <c r="P7133">
        <v>0</v>
      </c>
      <c r="Q7133">
        <v>12</v>
      </c>
      <c r="R7133" t="s">
        <v>46574</v>
      </c>
      <c r="S7133" t="s">
        <v>46723</v>
      </c>
      <c r="T7133" t="s">
        <v>48216</v>
      </c>
      <c r="U7133" t="s">
        <v>54670</v>
      </c>
      <c r="V7133" t="s">
        <v>61882</v>
      </c>
      <c r="W7133" t="s">
        <v>43625</v>
      </c>
      <c r="X7133" t="s">
        <v>46579</v>
      </c>
    </row>
    <row r="7134" spans="1:24">
      <c r="A7134">
        <f>HYPERLINK("https://www.philgeps.gov.ph/GEPSNONPILOT/Tender/SplashBidNoticeAbstractUI.aspx?menuIndex=3&amp;refID=7050998&amp;Result=3","7050998")</f>
        <v>0</v>
      </c>
      <c r="B7134" t="s">
        <v>2224</v>
      </c>
      <c r="C7134" t="s">
        <v>10299</v>
      </c>
      <c r="E7134" t="s">
        <v>25192</v>
      </c>
      <c r="F7134" t="s">
        <v>32664</v>
      </c>
      <c r="G7134" t="s">
        <v>32672</v>
      </c>
      <c r="H7134" t="s">
        <v>12635</v>
      </c>
      <c r="I7134" t="s">
        <v>32692</v>
      </c>
      <c r="J7134" t="s">
        <v>37211</v>
      </c>
      <c r="K7134" t="s">
        <v>42283</v>
      </c>
      <c r="M7134" t="s">
        <v>44988</v>
      </c>
      <c r="N7134" t="s">
        <v>46569</v>
      </c>
      <c r="O7134" t="s">
        <v>46570</v>
      </c>
      <c r="P7134">
        <v>0</v>
      </c>
      <c r="Q7134">
        <v>4</v>
      </c>
      <c r="R7134" t="s">
        <v>46574</v>
      </c>
      <c r="S7134" t="s">
        <v>46723</v>
      </c>
      <c r="T7134" t="s">
        <v>48228</v>
      </c>
      <c r="U7134" t="s">
        <v>54671</v>
      </c>
      <c r="W7134" t="s">
        <v>44988</v>
      </c>
      <c r="X7134" t="s">
        <v>46579</v>
      </c>
    </row>
    <row r="7135" spans="1:24">
      <c r="A7135">
        <f>HYPERLINK("https://www.philgeps.gov.ph/GEPSNONPILOT/Tender/SplashBidNoticeAbstractUI.aspx?menuIndex=3&amp;refID=7060192&amp;Result=3","7060192")</f>
        <v>0</v>
      </c>
      <c r="B7135" t="s">
        <v>366</v>
      </c>
      <c r="C7135" t="s">
        <v>10300</v>
      </c>
      <c r="D7135" t="s">
        <v>18785</v>
      </c>
      <c r="E7135" t="s">
        <v>25193</v>
      </c>
      <c r="F7135" t="s">
        <v>32664</v>
      </c>
      <c r="G7135" t="s">
        <v>32674</v>
      </c>
      <c r="H7135" t="s">
        <v>12635</v>
      </c>
      <c r="I7135" t="s">
        <v>32684</v>
      </c>
      <c r="J7135" t="s">
        <v>32976</v>
      </c>
      <c r="K7135" t="s">
        <v>42283</v>
      </c>
      <c r="M7135" t="s">
        <v>44456</v>
      </c>
      <c r="N7135" t="s">
        <v>46569</v>
      </c>
      <c r="O7135" t="s">
        <v>46570</v>
      </c>
      <c r="P7135">
        <v>0</v>
      </c>
      <c r="Q7135">
        <v>9</v>
      </c>
      <c r="R7135" t="s">
        <v>46573</v>
      </c>
      <c r="S7135" t="s">
        <v>46705</v>
      </c>
      <c r="T7135" t="s">
        <v>48219</v>
      </c>
      <c r="U7135" t="s">
        <v>54672</v>
      </c>
      <c r="W7135" t="s">
        <v>44456</v>
      </c>
      <c r="X7135" t="s">
        <v>46574</v>
      </c>
    </row>
    <row r="7136" spans="1:24">
      <c r="A7136">
        <f>HYPERLINK("https://www.philgeps.gov.ph/GEPSNONPILOT/Tender/SplashBidNoticeAbstractUI.aspx?menuIndex=3&amp;refID=7050849&amp;Result=3","7050849")</f>
        <v>0</v>
      </c>
      <c r="B7136" t="s">
        <v>2225</v>
      </c>
      <c r="C7136" t="s">
        <v>10301</v>
      </c>
      <c r="D7136" t="s">
        <v>18812</v>
      </c>
      <c r="E7136" t="s">
        <v>25194</v>
      </c>
      <c r="F7136" t="s">
        <v>32664</v>
      </c>
      <c r="G7136" t="s">
        <v>32671</v>
      </c>
      <c r="H7136" t="s">
        <v>32683</v>
      </c>
      <c r="I7136" t="s">
        <v>10627</v>
      </c>
      <c r="J7136" t="s">
        <v>37212</v>
      </c>
      <c r="K7136" t="s">
        <v>42281</v>
      </c>
      <c r="M7136" t="s">
        <v>44989</v>
      </c>
      <c r="N7136" t="s">
        <v>46569</v>
      </c>
      <c r="O7136" t="s">
        <v>46570</v>
      </c>
      <c r="P7136">
        <v>0</v>
      </c>
      <c r="Q7136">
        <v>1</v>
      </c>
      <c r="R7136" t="s">
        <v>46574</v>
      </c>
      <c r="S7136" t="s">
        <v>46723</v>
      </c>
      <c r="T7136" t="s">
        <v>48228</v>
      </c>
      <c r="U7136" t="s">
        <v>54673</v>
      </c>
      <c r="V7136" t="s">
        <v>62327</v>
      </c>
      <c r="W7136" t="s">
        <v>44989</v>
      </c>
      <c r="X7136" t="s">
        <v>46579</v>
      </c>
    </row>
    <row r="7137" spans="1:24">
      <c r="A7137">
        <f>HYPERLINK("https://www.philgeps.gov.ph/GEPSNONPILOT/Tender/SplashBidNoticeAbstractUI.aspx?menuIndex=3&amp;refID=7045599&amp;Result=3","7045599")</f>
        <v>0</v>
      </c>
      <c r="B7137" t="s">
        <v>2226</v>
      </c>
      <c r="C7137" t="s">
        <v>10302</v>
      </c>
      <c r="D7137" t="s">
        <v>18796</v>
      </c>
      <c r="E7137" t="s">
        <v>25195</v>
      </c>
      <c r="F7137" t="s">
        <v>32664</v>
      </c>
      <c r="G7137" t="s">
        <v>32672</v>
      </c>
      <c r="H7137" t="s">
        <v>32683</v>
      </c>
      <c r="I7137" t="s">
        <v>4439</v>
      </c>
      <c r="J7137" t="s">
        <v>37213</v>
      </c>
      <c r="K7137" t="s">
        <v>42283</v>
      </c>
      <c r="M7137" t="s">
        <v>44990</v>
      </c>
      <c r="N7137" t="s">
        <v>46569</v>
      </c>
      <c r="O7137" t="s">
        <v>46570</v>
      </c>
      <c r="P7137">
        <v>0</v>
      </c>
      <c r="Q7137">
        <v>0</v>
      </c>
      <c r="R7137" t="s">
        <v>46574</v>
      </c>
      <c r="S7137" t="s">
        <v>46723</v>
      </c>
      <c r="T7137" t="s">
        <v>48249</v>
      </c>
      <c r="U7137" t="s">
        <v>54674</v>
      </c>
      <c r="V7137" t="s">
        <v>62328</v>
      </c>
      <c r="W7137" t="s">
        <v>44990</v>
      </c>
      <c r="X7137" t="s">
        <v>46581</v>
      </c>
    </row>
    <row r="7138" spans="1:24">
      <c r="A7138">
        <f>HYPERLINK("https://www.philgeps.gov.ph/GEPSNONPILOT/Tender/SplashBidNoticeAbstractUI.aspx?menuIndex=3&amp;refID=7050261&amp;Result=3","7050261")</f>
        <v>0</v>
      </c>
      <c r="B7138" t="s">
        <v>2227</v>
      </c>
      <c r="C7138" t="s">
        <v>10303</v>
      </c>
      <c r="D7138" t="s">
        <v>18827</v>
      </c>
      <c r="E7138" t="s">
        <v>25196</v>
      </c>
      <c r="F7138" t="s">
        <v>32664</v>
      </c>
      <c r="G7138" t="s">
        <v>32672</v>
      </c>
      <c r="H7138" t="s">
        <v>32683</v>
      </c>
      <c r="I7138" t="s">
        <v>10627</v>
      </c>
      <c r="J7138" t="s">
        <v>37214</v>
      </c>
      <c r="K7138" t="s">
        <v>42283</v>
      </c>
      <c r="M7138" t="s">
        <v>44991</v>
      </c>
      <c r="N7138" t="s">
        <v>46569</v>
      </c>
      <c r="O7138" t="s">
        <v>46570</v>
      </c>
      <c r="P7138">
        <v>0</v>
      </c>
      <c r="Q7138">
        <v>3</v>
      </c>
      <c r="R7138" t="s">
        <v>46574</v>
      </c>
      <c r="S7138" t="s">
        <v>46723</v>
      </c>
      <c r="T7138" t="s">
        <v>48286</v>
      </c>
      <c r="U7138" t="s">
        <v>54675</v>
      </c>
      <c r="V7138" t="s">
        <v>62329</v>
      </c>
      <c r="W7138" t="s">
        <v>44991</v>
      </c>
      <c r="X7138" t="s">
        <v>46579</v>
      </c>
    </row>
    <row r="7139" spans="1:24">
      <c r="A7139">
        <f>HYPERLINK("https://www.philgeps.gov.ph/GEPSNONPILOT/Tender/SplashBidNoticeAbstractUI.aspx?menuIndex=3&amp;refID=7051173&amp;Result=3","7051173")</f>
        <v>0</v>
      </c>
      <c r="B7139" t="s">
        <v>1013</v>
      </c>
      <c r="C7139" t="s">
        <v>10304</v>
      </c>
      <c r="D7139" t="s">
        <v>18786</v>
      </c>
      <c r="E7139" t="s">
        <v>25197</v>
      </c>
      <c r="F7139" t="s">
        <v>32664</v>
      </c>
      <c r="G7139" t="s">
        <v>32672</v>
      </c>
      <c r="H7139" t="s">
        <v>12635</v>
      </c>
      <c r="I7139" t="s">
        <v>11464</v>
      </c>
      <c r="J7139" t="s">
        <v>33009</v>
      </c>
      <c r="K7139" t="s">
        <v>42308</v>
      </c>
      <c r="M7139" t="s">
        <v>43625</v>
      </c>
      <c r="N7139" t="s">
        <v>46569</v>
      </c>
      <c r="O7139" t="s">
        <v>46570</v>
      </c>
      <c r="P7139">
        <v>0</v>
      </c>
      <c r="Q7139">
        <v>7</v>
      </c>
      <c r="R7139" t="s">
        <v>46574</v>
      </c>
      <c r="S7139" t="s">
        <v>46723</v>
      </c>
      <c r="T7139" t="s">
        <v>48216</v>
      </c>
      <c r="U7139" t="s">
        <v>54676</v>
      </c>
      <c r="V7139" t="s">
        <v>61882</v>
      </c>
      <c r="W7139" t="s">
        <v>43625</v>
      </c>
      <c r="X7139" t="s">
        <v>46579</v>
      </c>
    </row>
    <row r="7140" spans="1:24">
      <c r="A7140">
        <f>HYPERLINK("https://www.philgeps.gov.ph/GEPSNONPILOT/Tender/SplashBidNoticeAbstractUI.aspx?menuIndex=3&amp;refID=7050242&amp;Result=3","7050242")</f>
        <v>0</v>
      </c>
      <c r="B7140" t="s">
        <v>2227</v>
      </c>
      <c r="C7140" t="s">
        <v>10305</v>
      </c>
      <c r="D7140" t="s">
        <v>18827</v>
      </c>
      <c r="E7140" t="s">
        <v>25198</v>
      </c>
      <c r="F7140" t="s">
        <v>32664</v>
      </c>
      <c r="G7140" t="s">
        <v>32672</v>
      </c>
      <c r="H7140" t="s">
        <v>32683</v>
      </c>
      <c r="I7140" t="s">
        <v>10627</v>
      </c>
      <c r="J7140" t="s">
        <v>37215</v>
      </c>
      <c r="K7140" t="s">
        <v>42283</v>
      </c>
      <c r="M7140" t="s">
        <v>44991</v>
      </c>
      <c r="N7140" t="s">
        <v>46569</v>
      </c>
      <c r="O7140" t="s">
        <v>46570</v>
      </c>
      <c r="P7140">
        <v>0</v>
      </c>
      <c r="Q7140">
        <v>3</v>
      </c>
      <c r="R7140" t="s">
        <v>46574</v>
      </c>
      <c r="S7140" t="s">
        <v>46723</v>
      </c>
      <c r="T7140" t="s">
        <v>48286</v>
      </c>
      <c r="U7140" t="s">
        <v>54677</v>
      </c>
      <c r="V7140" t="s">
        <v>62330</v>
      </c>
      <c r="W7140" t="s">
        <v>44991</v>
      </c>
      <c r="X7140" t="s">
        <v>46579</v>
      </c>
    </row>
    <row r="7141" spans="1:24">
      <c r="A7141">
        <f>HYPERLINK("https://www.philgeps.gov.ph/GEPSNONPILOT/Tender/SplashBidNoticeAbstractUI.aspx?menuIndex=3&amp;refID=7043981&amp;Result=3","7043981")</f>
        <v>0</v>
      </c>
      <c r="B7141" t="s">
        <v>2213</v>
      </c>
      <c r="C7141" t="s">
        <v>10306</v>
      </c>
      <c r="D7141" t="s">
        <v>18849</v>
      </c>
      <c r="E7141" t="s">
        <v>25199</v>
      </c>
      <c r="F7141" t="s">
        <v>32664</v>
      </c>
      <c r="G7141" t="s">
        <v>32672</v>
      </c>
      <c r="H7141" t="s">
        <v>32683</v>
      </c>
      <c r="I7141" t="s">
        <v>10627</v>
      </c>
      <c r="J7141" t="s">
        <v>35701</v>
      </c>
      <c r="K7141" t="s">
        <v>42311</v>
      </c>
      <c r="M7141" t="s">
        <v>44977</v>
      </c>
      <c r="N7141" t="s">
        <v>46569</v>
      </c>
      <c r="O7141" t="s">
        <v>46570</v>
      </c>
      <c r="P7141">
        <v>0</v>
      </c>
      <c r="Q7141">
        <v>2</v>
      </c>
      <c r="R7141" t="s">
        <v>46574</v>
      </c>
      <c r="S7141" t="s">
        <v>46723</v>
      </c>
      <c r="T7141" t="s">
        <v>48220</v>
      </c>
      <c r="U7141" t="s">
        <v>54678</v>
      </c>
      <c r="W7141" t="s">
        <v>44977</v>
      </c>
      <c r="X7141" t="s">
        <v>46582</v>
      </c>
    </row>
    <row r="7142" spans="1:24">
      <c r="A7142">
        <f>HYPERLINK("https://www.philgeps.gov.ph/GEPSNONPILOT/Tender/SplashBidNoticeAbstractUI.aspx?menuIndex=3&amp;refID=7050877&amp;Result=3","7050877")</f>
        <v>0</v>
      </c>
      <c r="B7142" t="s">
        <v>2225</v>
      </c>
      <c r="C7142" t="s">
        <v>10307</v>
      </c>
      <c r="D7142" t="s">
        <v>18812</v>
      </c>
      <c r="E7142" t="s">
        <v>25200</v>
      </c>
      <c r="F7142" t="s">
        <v>32664</v>
      </c>
      <c r="G7142" t="s">
        <v>32671</v>
      </c>
      <c r="H7142" t="s">
        <v>12635</v>
      </c>
      <c r="I7142" t="s">
        <v>10627</v>
      </c>
      <c r="J7142" t="s">
        <v>37216</v>
      </c>
      <c r="K7142" t="s">
        <v>42281</v>
      </c>
      <c r="M7142" t="s">
        <v>44989</v>
      </c>
      <c r="N7142" t="s">
        <v>46569</v>
      </c>
      <c r="O7142" t="s">
        <v>46570</v>
      </c>
      <c r="P7142">
        <v>0</v>
      </c>
      <c r="Q7142">
        <v>0</v>
      </c>
      <c r="R7142" t="s">
        <v>46574</v>
      </c>
      <c r="S7142" t="s">
        <v>46723</v>
      </c>
      <c r="T7142" t="s">
        <v>48244</v>
      </c>
      <c r="U7142" t="s">
        <v>54679</v>
      </c>
      <c r="V7142" t="s">
        <v>62327</v>
      </c>
      <c r="W7142" t="s">
        <v>44989</v>
      </c>
      <c r="X7142" t="s">
        <v>46579</v>
      </c>
    </row>
    <row r="7143" spans="1:24">
      <c r="A7143">
        <f>HYPERLINK("https://www.philgeps.gov.ph/GEPSNONPILOT/Tender/SplashBidNoticeAbstractUI.aspx?menuIndex=3&amp;refID=7053665&amp;Result=3","7053665")</f>
        <v>0</v>
      </c>
      <c r="B7143" t="s">
        <v>2228</v>
      </c>
      <c r="C7143" t="s">
        <v>10308</v>
      </c>
      <c r="E7143" t="s">
        <v>25201</v>
      </c>
      <c r="F7143" t="s">
        <v>32664</v>
      </c>
      <c r="G7143" t="s">
        <v>32672</v>
      </c>
      <c r="H7143" t="s">
        <v>32683</v>
      </c>
      <c r="I7143" t="s">
        <v>10627</v>
      </c>
      <c r="J7143" t="s">
        <v>32943</v>
      </c>
      <c r="K7143" t="s">
        <v>42283</v>
      </c>
      <c r="M7143" t="s">
        <v>44992</v>
      </c>
      <c r="N7143" t="s">
        <v>46569</v>
      </c>
      <c r="O7143" t="s">
        <v>46570</v>
      </c>
      <c r="P7143">
        <v>0</v>
      </c>
      <c r="Q7143">
        <v>0</v>
      </c>
      <c r="R7143" t="s">
        <v>46574</v>
      </c>
      <c r="S7143" t="s">
        <v>46723</v>
      </c>
      <c r="T7143" t="s">
        <v>48468</v>
      </c>
      <c r="U7143" t="s">
        <v>54680</v>
      </c>
      <c r="W7143" t="s">
        <v>44992</v>
      </c>
      <c r="X7143" t="s">
        <v>46578</v>
      </c>
    </row>
    <row r="7144" spans="1:24">
      <c r="A7144">
        <f>HYPERLINK("https://www.philgeps.gov.ph/GEPSNONPILOT/Tender/SplashBidNoticeAbstractUI.aspx?menuIndex=3&amp;refID=7053444&amp;Result=3","7053444")</f>
        <v>0</v>
      </c>
      <c r="B7144" t="s">
        <v>2229</v>
      </c>
      <c r="C7144" t="s">
        <v>10309</v>
      </c>
      <c r="D7144" t="s">
        <v>18791</v>
      </c>
      <c r="E7144" t="s">
        <v>25202</v>
      </c>
      <c r="F7144" t="s">
        <v>32664</v>
      </c>
      <c r="G7144" t="s">
        <v>32672</v>
      </c>
      <c r="H7144" t="s">
        <v>12635</v>
      </c>
      <c r="I7144" t="s">
        <v>32706</v>
      </c>
      <c r="J7144" t="s">
        <v>37217</v>
      </c>
      <c r="K7144" t="s">
        <v>42281</v>
      </c>
      <c r="M7144" t="s">
        <v>44993</v>
      </c>
      <c r="N7144" t="s">
        <v>46569</v>
      </c>
      <c r="O7144" t="s">
        <v>46570</v>
      </c>
      <c r="P7144">
        <v>0</v>
      </c>
      <c r="Q7144">
        <v>3</v>
      </c>
      <c r="R7144" t="s">
        <v>46574</v>
      </c>
      <c r="S7144" t="s">
        <v>46723</v>
      </c>
      <c r="T7144" t="s">
        <v>48253</v>
      </c>
      <c r="U7144" t="s">
        <v>54681</v>
      </c>
      <c r="W7144" t="s">
        <v>44993</v>
      </c>
      <c r="X7144" t="s">
        <v>46578</v>
      </c>
    </row>
    <row r="7145" spans="1:24">
      <c r="A7145">
        <f>HYPERLINK("https://www.philgeps.gov.ph/GEPSNONPILOT/Tender/SplashBidNoticeAbstractUI.aspx?menuIndex=3&amp;refID=7053344&amp;Result=3","7053344")</f>
        <v>0</v>
      </c>
      <c r="B7145" t="s">
        <v>2230</v>
      </c>
      <c r="C7145" t="s">
        <v>10310</v>
      </c>
      <c r="D7145" t="s">
        <v>18818</v>
      </c>
      <c r="E7145" t="s">
        <v>25203</v>
      </c>
      <c r="F7145" t="s">
        <v>32664</v>
      </c>
      <c r="G7145" t="s">
        <v>32671</v>
      </c>
      <c r="H7145" t="s">
        <v>12635</v>
      </c>
      <c r="I7145" t="s">
        <v>32707</v>
      </c>
      <c r="J7145" t="s">
        <v>32917</v>
      </c>
      <c r="K7145" t="s">
        <v>42298</v>
      </c>
      <c r="M7145" t="s">
        <v>44994</v>
      </c>
      <c r="N7145" t="s">
        <v>46569</v>
      </c>
      <c r="O7145" t="s">
        <v>46570</v>
      </c>
      <c r="P7145">
        <v>0</v>
      </c>
      <c r="Q7145">
        <v>2</v>
      </c>
      <c r="R7145" t="s">
        <v>46574</v>
      </c>
      <c r="S7145" t="s">
        <v>46723</v>
      </c>
      <c r="T7145" t="s">
        <v>48591</v>
      </c>
      <c r="U7145" t="s">
        <v>54682</v>
      </c>
      <c r="V7145" t="s">
        <v>62331</v>
      </c>
      <c r="W7145" t="s">
        <v>44994</v>
      </c>
      <c r="X7145" t="s">
        <v>46578</v>
      </c>
    </row>
    <row r="7146" spans="1:24">
      <c r="A7146">
        <f>HYPERLINK("https://www.philgeps.gov.ph/GEPSNONPILOT/Tender/SplashBidNoticeAbstractUI.aspx?menuIndex=3&amp;refID=7050494&amp;Result=3","7050494")</f>
        <v>0</v>
      </c>
      <c r="B7146" t="s">
        <v>2231</v>
      </c>
      <c r="C7146" t="s">
        <v>5075</v>
      </c>
      <c r="D7146" t="s">
        <v>18804</v>
      </c>
      <c r="E7146" t="s">
        <v>25204</v>
      </c>
      <c r="F7146" t="s">
        <v>32664</v>
      </c>
      <c r="G7146" t="s">
        <v>32675</v>
      </c>
      <c r="H7146" t="s">
        <v>12635</v>
      </c>
      <c r="I7146" t="s">
        <v>6628</v>
      </c>
      <c r="J7146" t="s">
        <v>37157</v>
      </c>
      <c r="K7146" t="s">
        <v>42303</v>
      </c>
      <c r="M7146" t="s">
        <v>44995</v>
      </c>
      <c r="N7146" t="s">
        <v>46569</v>
      </c>
      <c r="O7146" t="s">
        <v>46570</v>
      </c>
      <c r="P7146">
        <v>0</v>
      </c>
      <c r="Q7146">
        <v>1</v>
      </c>
      <c r="R7146" t="s">
        <v>46574</v>
      </c>
      <c r="S7146" t="s">
        <v>46723</v>
      </c>
      <c r="T7146" t="s">
        <v>48363</v>
      </c>
      <c r="U7146" t="s">
        <v>54683</v>
      </c>
      <c r="W7146" t="s">
        <v>44995</v>
      </c>
      <c r="X7146" t="s">
        <v>46579</v>
      </c>
    </row>
    <row r="7147" spans="1:24">
      <c r="A7147">
        <f>HYPERLINK("https://www.philgeps.gov.ph/GEPSNONPILOT/Tender/SplashBidNoticeAbstractUI.aspx?menuIndex=3&amp;refID=7053277&amp;Result=3","7053277")</f>
        <v>0</v>
      </c>
      <c r="B7147" t="s">
        <v>500</v>
      </c>
      <c r="C7147" t="s">
        <v>10311</v>
      </c>
      <c r="D7147" t="s">
        <v>18805</v>
      </c>
      <c r="E7147" t="s">
        <v>25205</v>
      </c>
      <c r="F7147" t="s">
        <v>32664</v>
      </c>
      <c r="G7147" t="s">
        <v>32672</v>
      </c>
      <c r="H7147" t="s">
        <v>12635</v>
      </c>
      <c r="I7147" t="s">
        <v>8730</v>
      </c>
      <c r="J7147" t="s">
        <v>37218</v>
      </c>
      <c r="K7147" t="s">
        <v>42281</v>
      </c>
      <c r="M7147" t="s">
        <v>43831</v>
      </c>
      <c r="N7147" t="s">
        <v>46569</v>
      </c>
      <c r="O7147" t="s">
        <v>46570</v>
      </c>
      <c r="P7147">
        <v>0</v>
      </c>
      <c r="Q7147">
        <v>5</v>
      </c>
      <c r="R7147" t="s">
        <v>46574</v>
      </c>
      <c r="S7147" t="s">
        <v>46723</v>
      </c>
      <c r="T7147" t="s">
        <v>48293</v>
      </c>
      <c r="U7147" t="s">
        <v>54684</v>
      </c>
      <c r="W7147" t="s">
        <v>43831</v>
      </c>
      <c r="X7147" t="s">
        <v>46578</v>
      </c>
    </row>
    <row r="7148" spans="1:24">
      <c r="A7148">
        <f>HYPERLINK("https://www.philgeps.gov.ph/GEPSNONPILOT/Tender/SplashBidNoticeAbstractUI.aspx?menuIndex=3&amp;refID=7053251&amp;Result=3","7053251")</f>
        <v>0</v>
      </c>
      <c r="B7148" t="s">
        <v>500</v>
      </c>
      <c r="C7148" t="s">
        <v>10312</v>
      </c>
      <c r="D7148" t="s">
        <v>18805</v>
      </c>
      <c r="E7148" t="s">
        <v>25206</v>
      </c>
      <c r="F7148" t="s">
        <v>32664</v>
      </c>
      <c r="G7148" t="s">
        <v>32672</v>
      </c>
      <c r="H7148" t="s">
        <v>12635</v>
      </c>
      <c r="I7148" t="s">
        <v>4439</v>
      </c>
      <c r="J7148" t="s">
        <v>37219</v>
      </c>
      <c r="K7148" t="s">
        <v>42281</v>
      </c>
      <c r="M7148" t="s">
        <v>43831</v>
      </c>
      <c r="N7148" t="s">
        <v>46569</v>
      </c>
      <c r="O7148" t="s">
        <v>46570</v>
      </c>
      <c r="P7148">
        <v>0</v>
      </c>
      <c r="Q7148">
        <v>0</v>
      </c>
      <c r="R7148" t="s">
        <v>46574</v>
      </c>
      <c r="S7148" t="s">
        <v>46723</v>
      </c>
      <c r="T7148" t="s">
        <v>48293</v>
      </c>
      <c r="U7148" t="s">
        <v>54685</v>
      </c>
      <c r="W7148" t="s">
        <v>43831</v>
      </c>
      <c r="X7148" t="s">
        <v>46578</v>
      </c>
    </row>
    <row r="7149" spans="1:24">
      <c r="A7149">
        <f>HYPERLINK("https://www.philgeps.gov.ph/GEPSNONPILOT/Tender/SplashBidNoticeAbstractUI.aspx?menuIndex=3&amp;refID=7053208&amp;Result=3","7053208")</f>
        <v>0</v>
      </c>
      <c r="B7149" t="s">
        <v>500</v>
      </c>
      <c r="C7149" t="s">
        <v>10313</v>
      </c>
      <c r="D7149" t="s">
        <v>18805</v>
      </c>
      <c r="E7149" t="s">
        <v>25207</v>
      </c>
      <c r="F7149" t="s">
        <v>32664</v>
      </c>
      <c r="G7149" t="s">
        <v>32672</v>
      </c>
      <c r="H7149" t="s">
        <v>12635</v>
      </c>
      <c r="I7149" t="s">
        <v>32729</v>
      </c>
      <c r="J7149" t="s">
        <v>37220</v>
      </c>
      <c r="K7149" t="s">
        <v>42281</v>
      </c>
      <c r="M7149" t="s">
        <v>43831</v>
      </c>
      <c r="N7149" t="s">
        <v>46569</v>
      </c>
      <c r="O7149" t="s">
        <v>46570</v>
      </c>
      <c r="P7149">
        <v>0</v>
      </c>
      <c r="Q7149">
        <v>4</v>
      </c>
      <c r="R7149" t="s">
        <v>46574</v>
      </c>
      <c r="S7149" t="s">
        <v>46723</v>
      </c>
      <c r="T7149" t="s">
        <v>48293</v>
      </c>
      <c r="U7149" t="s">
        <v>54686</v>
      </c>
      <c r="W7149" t="s">
        <v>43831</v>
      </c>
      <c r="X7149" t="s">
        <v>46578</v>
      </c>
    </row>
    <row r="7150" spans="1:24">
      <c r="A7150">
        <f>HYPERLINK("https://www.philgeps.gov.ph/GEPSNONPILOT/Tender/SplashBidNoticeAbstractUI.aspx?menuIndex=3&amp;refID=7052925&amp;Result=3","7052925")</f>
        <v>0</v>
      </c>
      <c r="B7150" t="s">
        <v>2232</v>
      </c>
      <c r="C7150" t="s">
        <v>10314</v>
      </c>
      <c r="D7150" t="s">
        <v>18853</v>
      </c>
      <c r="E7150" t="s">
        <v>25208</v>
      </c>
      <c r="F7150" t="s">
        <v>32664</v>
      </c>
      <c r="G7150" t="s">
        <v>32672</v>
      </c>
      <c r="H7150" t="s">
        <v>12635</v>
      </c>
      <c r="I7150" t="s">
        <v>32684</v>
      </c>
      <c r="J7150" t="s">
        <v>32853</v>
      </c>
      <c r="K7150" t="s">
        <v>42281</v>
      </c>
      <c r="M7150" t="s">
        <v>44996</v>
      </c>
      <c r="N7150" t="s">
        <v>46569</v>
      </c>
      <c r="O7150" t="s">
        <v>46570</v>
      </c>
      <c r="P7150">
        <v>0</v>
      </c>
      <c r="Q7150">
        <v>1</v>
      </c>
      <c r="R7150" t="s">
        <v>46574</v>
      </c>
      <c r="S7150" t="s">
        <v>46723</v>
      </c>
      <c r="T7150" t="s">
        <v>48246</v>
      </c>
      <c r="U7150" t="s">
        <v>54687</v>
      </c>
      <c r="W7150" t="s">
        <v>44996</v>
      </c>
      <c r="X7150" t="s">
        <v>46578</v>
      </c>
    </row>
    <row r="7151" spans="1:24">
      <c r="A7151">
        <f>HYPERLINK("https://www.philgeps.gov.ph/GEPSNONPILOT/Tender/SplashBidNoticeAbstractUI.aspx?menuIndex=3&amp;refID=7052911&amp;Result=3","7052911")</f>
        <v>0</v>
      </c>
      <c r="B7151" t="s">
        <v>2232</v>
      </c>
      <c r="C7151" t="s">
        <v>10315</v>
      </c>
      <c r="D7151" t="s">
        <v>18853</v>
      </c>
      <c r="E7151" t="s">
        <v>25209</v>
      </c>
      <c r="F7151" t="s">
        <v>32664</v>
      </c>
      <c r="G7151" t="s">
        <v>32672</v>
      </c>
      <c r="H7151" t="s">
        <v>12635</v>
      </c>
      <c r="I7151" t="s">
        <v>32706</v>
      </c>
      <c r="J7151" t="s">
        <v>37221</v>
      </c>
      <c r="K7151" t="s">
        <v>42297</v>
      </c>
      <c r="M7151" t="s">
        <v>44996</v>
      </c>
      <c r="N7151" t="s">
        <v>46569</v>
      </c>
      <c r="O7151" t="s">
        <v>46570</v>
      </c>
      <c r="P7151">
        <v>0</v>
      </c>
      <c r="Q7151">
        <v>0</v>
      </c>
      <c r="R7151" t="s">
        <v>46574</v>
      </c>
      <c r="S7151" t="s">
        <v>46723</v>
      </c>
      <c r="T7151" t="s">
        <v>48246</v>
      </c>
      <c r="U7151" t="s">
        <v>54688</v>
      </c>
      <c r="V7151" t="s">
        <v>62332</v>
      </c>
      <c r="W7151" t="s">
        <v>44996</v>
      </c>
      <c r="X7151" t="s">
        <v>46578</v>
      </c>
    </row>
    <row r="7152" spans="1:24">
      <c r="A7152">
        <f>HYPERLINK("https://www.philgeps.gov.ph/GEPSNONPILOT/Tender/SplashBidNoticeAbstractUI.aspx?menuIndex=3&amp;refID=7052888&amp;Result=3","7052888")</f>
        <v>0</v>
      </c>
      <c r="B7152" t="s">
        <v>638</v>
      </c>
      <c r="C7152" t="s">
        <v>10316</v>
      </c>
      <c r="E7152" t="s">
        <v>25210</v>
      </c>
      <c r="F7152" t="s">
        <v>32664</v>
      </c>
      <c r="G7152" t="s">
        <v>32672</v>
      </c>
      <c r="H7152" t="s">
        <v>12635</v>
      </c>
      <c r="I7152" t="s">
        <v>32721</v>
      </c>
      <c r="J7152" t="s">
        <v>37222</v>
      </c>
      <c r="K7152" t="s">
        <v>42309</v>
      </c>
      <c r="M7152" t="s">
        <v>43221</v>
      </c>
      <c r="N7152" t="s">
        <v>46569</v>
      </c>
      <c r="O7152" t="s">
        <v>46570</v>
      </c>
      <c r="Q7152">
        <v>1</v>
      </c>
      <c r="R7152" t="s">
        <v>46574</v>
      </c>
      <c r="S7152" t="s">
        <v>46724</v>
      </c>
      <c r="T7152" t="s">
        <v>48349</v>
      </c>
      <c r="U7152" t="s">
        <v>54689</v>
      </c>
      <c r="W7152" t="s">
        <v>43221</v>
      </c>
      <c r="X7152" t="s">
        <v>46578</v>
      </c>
    </row>
    <row r="7153" spans="1:24">
      <c r="A7153">
        <f>HYPERLINK("https://www.philgeps.gov.ph/GEPSNONPILOT/Tender/SplashBidNoticeAbstractUI.aspx?menuIndex=3&amp;refID=7053398&amp;Result=3","7053398")</f>
        <v>0</v>
      </c>
      <c r="B7153" t="s">
        <v>2232</v>
      </c>
      <c r="C7153" t="s">
        <v>10317</v>
      </c>
      <c r="D7153" t="s">
        <v>18853</v>
      </c>
      <c r="E7153" t="s">
        <v>25211</v>
      </c>
      <c r="F7153" t="s">
        <v>32664</v>
      </c>
      <c r="G7153" t="s">
        <v>32672</v>
      </c>
      <c r="H7153" t="s">
        <v>32683</v>
      </c>
      <c r="I7153" t="s">
        <v>10627</v>
      </c>
      <c r="J7153" t="s">
        <v>37223</v>
      </c>
      <c r="K7153" t="s">
        <v>42290</v>
      </c>
      <c r="M7153" t="s">
        <v>44996</v>
      </c>
      <c r="N7153" t="s">
        <v>46569</v>
      </c>
      <c r="O7153" t="s">
        <v>46570</v>
      </c>
      <c r="P7153">
        <v>0</v>
      </c>
      <c r="Q7153">
        <v>0</v>
      </c>
      <c r="R7153" t="s">
        <v>46574</v>
      </c>
      <c r="S7153" t="s">
        <v>46723</v>
      </c>
      <c r="T7153" t="s">
        <v>48412</v>
      </c>
      <c r="U7153" t="s">
        <v>54690</v>
      </c>
      <c r="V7153" t="s">
        <v>62333</v>
      </c>
      <c r="W7153" t="s">
        <v>44996</v>
      </c>
      <c r="X7153" t="s">
        <v>46578</v>
      </c>
    </row>
    <row r="7154" spans="1:24">
      <c r="A7154">
        <f>HYPERLINK("https://www.philgeps.gov.ph/GEPSNONPILOT/Tender/SplashBidNoticeAbstractUI.aspx?menuIndex=3&amp;refID=7050795&amp;Result=3","7050795")</f>
        <v>0</v>
      </c>
      <c r="B7154" t="s">
        <v>2225</v>
      </c>
      <c r="C7154" t="s">
        <v>10318</v>
      </c>
      <c r="D7154" t="s">
        <v>18812</v>
      </c>
      <c r="E7154" t="s">
        <v>25212</v>
      </c>
      <c r="F7154" t="s">
        <v>32664</v>
      </c>
      <c r="G7154" t="s">
        <v>32671</v>
      </c>
      <c r="H7154" t="s">
        <v>32683</v>
      </c>
      <c r="I7154" t="s">
        <v>10627</v>
      </c>
      <c r="J7154" t="s">
        <v>37224</v>
      </c>
      <c r="K7154" t="s">
        <v>42281</v>
      </c>
      <c r="M7154" t="s">
        <v>44989</v>
      </c>
      <c r="N7154" t="s">
        <v>46569</v>
      </c>
      <c r="O7154" t="s">
        <v>46570</v>
      </c>
      <c r="P7154">
        <v>0</v>
      </c>
      <c r="Q7154">
        <v>0</v>
      </c>
      <c r="R7154" t="s">
        <v>46574</v>
      </c>
      <c r="S7154" t="s">
        <v>46723</v>
      </c>
      <c r="T7154" t="s">
        <v>48228</v>
      </c>
      <c r="U7154" t="s">
        <v>54691</v>
      </c>
      <c r="V7154" t="s">
        <v>62327</v>
      </c>
      <c r="W7154" t="s">
        <v>44989</v>
      </c>
      <c r="X7154" t="s">
        <v>46579</v>
      </c>
    </row>
    <row r="7155" spans="1:24">
      <c r="A7155">
        <f>HYPERLINK("https://www.philgeps.gov.ph/GEPSNONPILOT/Tender/SplashBidNoticeAbstractUI.aspx?menuIndex=3&amp;refID=7052819&amp;Result=3","7052819")</f>
        <v>0</v>
      </c>
      <c r="B7155" t="s">
        <v>2232</v>
      </c>
      <c r="C7155" t="s">
        <v>10319</v>
      </c>
      <c r="D7155" t="s">
        <v>18853</v>
      </c>
      <c r="E7155" t="s">
        <v>25213</v>
      </c>
      <c r="F7155" t="s">
        <v>32664</v>
      </c>
      <c r="G7155" t="s">
        <v>32672</v>
      </c>
      <c r="H7155" t="s">
        <v>32683</v>
      </c>
      <c r="I7155" t="s">
        <v>10627</v>
      </c>
      <c r="J7155" t="s">
        <v>33177</v>
      </c>
      <c r="K7155" t="s">
        <v>42419</v>
      </c>
      <c r="M7155" t="s">
        <v>44996</v>
      </c>
      <c r="N7155" t="s">
        <v>46569</v>
      </c>
      <c r="O7155" t="s">
        <v>46570</v>
      </c>
      <c r="P7155">
        <v>0</v>
      </c>
      <c r="Q7155">
        <v>0</v>
      </c>
      <c r="R7155" t="s">
        <v>46574</v>
      </c>
      <c r="S7155" t="s">
        <v>46723</v>
      </c>
      <c r="T7155" t="s">
        <v>48246</v>
      </c>
      <c r="U7155" t="s">
        <v>54692</v>
      </c>
      <c r="V7155" t="s">
        <v>62334</v>
      </c>
      <c r="W7155" t="s">
        <v>44996</v>
      </c>
      <c r="X7155" t="s">
        <v>46578</v>
      </c>
    </row>
    <row r="7156" spans="1:24">
      <c r="A7156">
        <f>HYPERLINK("https://www.philgeps.gov.ph/GEPSNONPILOT/Tender/SplashBidNoticeAbstractUI.aspx?menuIndex=3&amp;refID=7052794&amp;Result=3","7052794")</f>
        <v>0</v>
      </c>
      <c r="B7156" t="s">
        <v>2232</v>
      </c>
      <c r="C7156" t="s">
        <v>10320</v>
      </c>
      <c r="D7156" t="s">
        <v>18853</v>
      </c>
      <c r="E7156" t="s">
        <v>25214</v>
      </c>
      <c r="F7156" t="s">
        <v>32664</v>
      </c>
      <c r="G7156" t="s">
        <v>32677</v>
      </c>
      <c r="H7156" t="s">
        <v>12635</v>
      </c>
      <c r="I7156" t="s">
        <v>32699</v>
      </c>
      <c r="J7156" t="s">
        <v>37225</v>
      </c>
      <c r="K7156" t="s">
        <v>42297</v>
      </c>
      <c r="M7156" t="s">
        <v>44996</v>
      </c>
      <c r="N7156" t="s">
        <v>46569</v>
      </c>
      <c r="O7156" t="s">
        <v>46570</v>
      </c>
      <c r="P7156">
        <v>0</v>
      </c>
      <c r="Q7156">
        <v>2</v>
      </c>
      <c r="R7156" t="s">
        <v>46574</v>
      </c>
      <c r="S7156" t="s">
        <v>46723</v>
      </c>
      <c r="T7156" t="s">
        <v>48246</v>
      </c>
      <c r="U7156" t="s">
        <v>54693</v>
      </c>
      <c r="V7156" t="s">
        <v>62335</v>
      </c>
      <c r="W7156" t="s">
        <v>44996</v>
      </c>
      <c r="X7156" t="s">
        <v>46578</v>
      </c>
    </row>
    <row r="7157" spans="1:24">
      <c r="A7157">
        <f>HYPERLINK("https://www.philgeps.gov.ph/GEPSNONPILOT/Tender/SplashBidNoticeAbstractUI.aspx?menuIndex=3&amp;refID=7052773&amp;Result=3","7052773")</f>
        <v>0</v>
      </c>
      <c r="B7157" t="s">
        <v>2232</v>
      </c>
      <c r="C7157" t="s">
        <v>10321</v>
      </c>
      <c r="D7157" t="s">
        <v>18853</v>
      </c>
      <c r="E7157" t="s">
        <v>25215</v>
      </c>
      <c r="F7157" t="s">
        <v>32664</v>
      </c>
      <c r="G7157" t="s">
        <v>32677</v>
      </c>
      <c r="H7157" t="s">
        <v>12635</v>
      </c>
      <c r="I7157" t="s">
        <v>32699</v>
      </c>
      <c r="J7157" t="s">
        <v>36338</v>
      </c>
      <c r="K7157" t="s">
        <v>42297</v>
      </c>
      <c r="M7157" t="s">
        <v>44996</v>
      </c>
      <c r="N7157" t="s">
        <v>46569</v>
      </c>
      <c r="O7157" t="s">
        <v>46570</v>
      </c>
      <c r="P7157">
        <v>0</v>
      </c>
      <c r="Q7157">
        <v>2</v>
      </c>
      <c r="R7157" t="s">
        <v>46574</v>
      </c>
      <c r="S7157" t="s">
        <v>46723</v>
      </c>
      <c r="T7157" t="s">
        <v>48246</v>
      </c>
      <c r="U7157" t="s">
        <v>54694</v>
      </c>
      <c r="V7157" t="s">
        <v>62335</v>
      </c>
      <c r="W7157" t="s">
        <v>44996</v>
      </c>
      <c r="X7157" t="s">
        <v>46578</v>
      </c>
    </row>
    <row r="7158" spans="1:24">
      <c r="A7158">
        <f>HYPERLINK("https://www.philgeps.gov.ph/GEPSNONPILOT/Tender/SplashBidNoticeAbstractUI.aspx?menuIndex=3&amp;refID=7052741&amp;Result=3","7052741")</f>
        <v>0</v>
      </c>
      <c r="B7158" t="s">
        <v>2232</v>
      </c>
      <c r="C7158" t="s">
        <v>10322</v>
      </c>
      <c r="D7158" t="s">
        <v>18853</v>
      </c>
      <c r="E7158" t="s">
        <v>25216</v>
      </c>
      <c r="F7158" t="s">
        <v>32664</v>
      </c>
      <c r="G7158" t="s">
        <v>32671</v>
      </c>
      <c r="H7158" t="s">
        <v>32681</v>
      </c>
      <c r="I7158" t="s">
        <v>32681</v>
      </c>
      <c r="J7158" t="s">
        <v>34240</v>
      </c>
      <c r="K7158" t="s">
        <v>42281</v>
      </c>
      <c r="M7158" t="s">
        <v>44996</v>
      </c>
      <c r="N7158" t="s">
        <v>46569</v>
      </c>
      <c r="O7158" t="s">
        <v>46570</v>
      </c>
      <c r="P7158">
        <v>0</v>
      </c>
      <c r="Q7158">
        <v>2</v>
      </c>
      <c r="R7158" t="s">
        <v>46574</v>
      </c>
      <c r="S7158" t="s">
        <v>46723</v>
      </c>
      <c r="T7158" t="s">
        <v>48246</v>
      </c>
      <c r="U7158" t="s">
        <v>54695</v>
      </c>
      <c r="V7158" t="s">
        <v>62336</v>
      </c>
      <c r="W7158" t="s">
        <v>44996</v>
      </c>
      <c r="X7158" t="s">
        <v>46578</v>
      </c>
    </row>
    <row r="7159" spans="1:24">
      <c r="A7159">
        <f>HYPERLINK("https://www.philgeps.gov.ph/GEPSNONPILOT/Tender/SplashBidNoticeAbstractUI.aspx?menuIndex=3&amp;refID=7052709&amp;Result=3","7052709")</f>
        <v>0</v>
      </c>
      <c r="B7159" t="s">
        <v>2233</v>
      </c>
      <c r="C7159" t="s">
        <v>10323</v>
      </c>
      <c r="D7159" t="s">
        <v>18816</v>
      </c>
      <c r="E7159" t="s">
        <v>25217</v>
      </c>
      <c r="F7159" t="s">
        <v>32664</v>
      </c>
      <c r="G7159" t="s">
        <v>32672</v>
      </c>
      <c r="H7159" t="s">
        <v>12635</v>
      </c>
      <c r="I7159" t="s">
        <v>32719</v>
      </c>
      <c r="J7159" t="s">
        <v>35139</v>
      </c>
      <c r="K7159" t="s">
        <v>42309</v>
      </c>
      <c r="M7159" t="s">
        <v>44997</v>
      </c>
      <c r="N7159" t="s">
        <v>46569</v>
      </c>
      <c r="O7159" t="s">
        <v>46570</v>
      </c>
      <c r="Q7159">
        <v>10</v>
      </c>
      <c r="R7159" t="s">
        <v>46574</v>
      </c>
      <c r="S7159" t="s">
        <v>46725</v>
      </c>
      <c r="T7159" t="s">
        <v>48228</v>
      </c>
      <c r="U7159" t="s">
        <v>54696</v>
      </c>
      <c r="W7159" t="s">
        <v>44997</v>
      </c>
      <c r="X7159" t="s">
        <v>46578</v>
      </c>
    </row>
    <row r="7160" spans="1:24">
      <c r="A7160">
        <f>HYPERLINK("https://www.philgeps.gov.ph/GEPSNONPILOT/Tender/SplashBidNoticeAbstractUI.aspx?menuIndex=3&amp;refID=7052555&amp;Result=3","7052555")</f>
        <v>0</v>
      </c>
      <c r="B7160" t="s">
        <v>368</v>
      </c>
      <c r="C7160" t="s">
        <v>10324</v>
      </c>
      <c r="D7160" t="s">
        <v>18849</v>
      </c>
      <c r="E7160" t="s">
        <v>25218</v>
      </c>
      <c r="F7160" t="s">
        <v>32664</v>
      </c>
      <c r="G7160" t="s">
        <v>32671</v>
      </c>
      <c r="H7160" t="s">
        <v>12635</v>
      </c>
      <c r="I7160" t="s">
        <v>6628</v>
      </c>
      <c r="J7160" t="s">
        <v>33015</v>
      </c>
      <c r="K7160" t="s">
        <v>42284</v>
      </c>
      <c r="M7160" t="s">
        <v>42937</v>
      </c>
      <c r="N7160" t="s">
        <v>46569</v>
      </c>
      <c r="O7160" t="s">
        <v>46570</v>
      </c>
      <c r="P7160">
        <v>0</v>
      </c>
      <c r="Q7160">
        <v>5</v>
      </c>
      <c r="R7160" t="s">
        <v>46574</v>
      </c>
      <c r="S7160" t="s">
        <v>46723</v>
      </c>
      <c r="T7160" t="s">
        <v>48219</v>
      </c>
      <c r="U7160" t="s">
        <v>49446</v>
      </c>
      <c r="V7160" t="s">
        <v>62337</v>
      </c>
      <c r="W7160" t="s">
        <v>42937</v>
      </c>
      <c r="X7160" t="s">
        <v>46579</v>
      </c>
    </row>
    <row r="7161" spans="1:24">
      <c r="A7161">
        <f>HYPERLINK("https://www.philgeps.gov.ph/GEPSNONPILOT/Tender/SplashBidNoticeAbstractUI.aspx?menuIndex=3&amp;refID=7051199&amp;Result=3","7051199")</f>
        <v>0</v>
      </c>
      <c r="B7161" t="s">
        <v>1013</v>
      </c>
      <c r="C7161" t="s">
        <v>10325</v>
      </c>
      <c r="D7161" t="s">
        <v>18786</v>
      </c>
      <c r="E7161" t="s">
        <v>25219</v>
      </c>
      <c r="F7161" t="s">
        <v>32664</v>
      </c>
      <c r="G7161" t="s">
        <v>32672</v>
      </c>
      <c r="H7161" t="s">
        <v>12635</v>
      </c>
      <c r="I7161" t="s">
        <v>11464</v>
      </c>
      <c r="J7161" t="s">
        <v>35370</v>
      </c>
      <c r="K7161" t="s">
        <v>42308</v>
      </c>
      <c r="M7161" t="s">
        <v>43625</v>
      </c>
      <c r="N7161" t="s">
        <v>46569</v>
      </c>
      <c r="O7161" t="s">
        <v>46570</v>
      </c>
      <c r="P7161">
        <v>0</v>
      </c>
      <c r="Q7161">
        <v>14</v>
      </c>
      <c r="R7161" t="s">
        <v>46574</v>
      </c>
      <c r="S7161" t="s">
        <v>46723</v>
      </c>
      <c r="T7161" t="s">
        <v>48216</v>
      </c>
      <c r="U7161" t="s">
        <v>54697</v>
      </c>
      <c r="V7161" t="s">
        <v>61882</v>
      </c>
      <c r="W7161" t="s">
        <v>43625</v>
      </c>
      <c r="X7161" t="s">
        <v>46579</v>
      </c>
    </row>
    <row r="7162" spans="1:24">
      <c r="A7162">
        <f>HYPERLINK("https://www.philgeps.gov.ph/GEPSNONPILOT/Tender/SplashBidNoticeAbstractUI.aspx?menuIndex=3&amp;refID=7052015&amp;Result=3","7052015")</f>
        <v>0</v>
      </c>
      <c r="B7162" t="s">
        <v>780</v>
      </c>
      <c r="C7162" t="s">
        <v>10326</v>
      </c>
      <c r="D7162" t="s">
        <v>18820</v>
      </c>
      <c r="E7162" t="s">
        <v>25220</v>
      </c>
      <c r="F7162" t="s">
        <v>32664</v>
      </c>
      <c r="G7162" t="s">
        <v>32672</v>
      </c>
      <c r="H7162" t="s">
        <v>32683</v>
      </c>
      <c r="I7162" t="s">
        <v>10627</v>
      </c>
      <c r="J7162" t="s">
        <v>37226</v>
      </c>
      <c r="K7162" t="s">
        <v>42369</v>
      </c>
      <c r="M7162" t="s">
        <v>43372</v>
      </c>
      <c r="N7162" t="s">
        <v>46569</v>
      </c>
      <c r="O7162" t="s">
        <v>46570</v>
      </c>
      <c r="P7162">
        <v>0</v>
      </c>
      <c r="Q7162">
        <v>0</v>
      </c>
      <c r="R7162" t="s">
        <v>46574</v>
      </c>
      <c r="S7162" t="s">
        <v>46723</v>
      </c>
      <c r="T7162" t="s">
        <v>48547</v>
      </c>
      <c r="U7162" t="s">
        <v>54698</v>
      </c>
      <c r="W7162" t="s">
        <v>43372</v>
      </c>
      <c r="X7162" t="s">
        <v>46579</v>
      </c>
    </row>
    <row r="7163" spans="1:24">
      <c r="A7163">
        <f>HYPERLINK("https://www.philgeps.gov.ph/GEPSNONPILOT/Tender/SplashBidNoticeAbstractUI.aspx?menuIndex=3&amp;refID=7048515&amp;Result=3","7048515")</f>
        <v>0</v>
      </c>
      <c r="B7163" t="s">
        <v>2224</v>
      </c>
      <c r="C7163" t="s">
        <v>10327</v>
      </c>
      <c r="E7163" t="s">
        <v>25221</v>
      </c>
      <c r="F7163" t="s">
        <v>32664</v>
      </c>
      <c r="G7163" t="s">
        <v>32677</v>
      </c>
      <c r="H7163" t="s">
        <v>12635</v>
      </c>
      <c r="I7163" t="s">
        <v>11464</v>
      </c>
      <c r="J7163" t="s">
        <v>32930</v>
      </c>
      <c r="K7163" t="s">
        <v>42283</v>
      </c>
      <c r="M7163" t="s">
        <v>44988</v>
      </c>
      <c r="N7163" t="s">
        <v>46569</v>
      </c>
      <c r="O7163" t="s">
        <v>46570</v>
      </c>
      <c r="P7163">
        <v>0</v>
      </c>
      <c r="Q7163">
        <v>3</v>
      </c>
      <c r="R7163" t="s">
        <v>46574</v>
      </c>
      <c r="S7163" t="s">
        <v>46723</v>
      </c>
      <c r="T7163" t="s">
        <v>48216</v>
      </c>
      <c r="U7163" t="s">
        <v>54699</v>
      </c>
      <c r="W7163" t="s">
        <v>44988</v>
      </c>
      <c r="X7163" t="s">
        <v>46580</v>
      </c>
    </row>
    <row r="7164" spans="1:24">
      <c r="A7164">
        <f>HYPERLINK("https://www.philgeps.gov.ph/GEPSNONPILOT/Tender/SplashBidNoticeAbstractUI.aspx?menuIndex=3&amp;refID=7048223&amp;Result=3","7048223")</f>
        <v>0</v>
      </c>
      <c r="B7164" t="s">
        <v>2234</v>
      </c>
      <c r="C7164" t="s">
        <v>10328</v>
      </c>
      <c r="D7164" t="s">
        <v>18788</v>
      </c>
      <c r="E7164" t="s">
        <v>18889</v>
      </c>
      <c r="F7164" t="s">
        <v>32664</v>
      </c>
      <c r="G7164" t="s">
        <v>32672</v>
      </c>
      <c r="H7164" t="s">
        <v>12635</v>
      </c>
      <c r="I7164" t="s">
        <v>4439</v>
      </c>
      <c r="J7164" t="s">
        <v>37227</v>
      </c>
      <c r="K7164" t="s">
        <v>42289</v>
      </c>
      <c r="L7164" t="s">
        <v>2234</v>
      </c>
      <c r="M7164" t="s">
        <v>44998</v>
      </c>
      <c r="N7164" t="s">
        <v>46569</v>
      </c>
      <c r="O7164" t="s">
        <v>46570</v>
      </c>
      <c r="P7164">
        <v>0</v>
      </c>
      <c r="Q7164">
        <v>1</v>
      </c>
      <c r="R7164" t="s">
        <v>46574</v>
      </c>
      <c r="S7164" t="s">
        <v>46723</v>
      </c>
      <c r="T7164" t="s">
        <v>48219</v>
      </c>
      <c r="U7164" t="s">
        <v>54700</v>
      </c>
      <c r="W7164" t="s">
        <v>44998</v>
      </c>
      <c r="X7164" t="s">
        <v>46580</v>
      </c>
    </row>
    <row r="7165" spans="1:24">
      <c r="A7165">
        <f>HYPERLINK("https://www.philgeps.gov.ph/GEPSNONPILOT/Tender/SplashBidNoticeAbstractUI.aspx?menuIndex=3&amp;refID=7048023&amp;Result=3","7048023")</f>
        <v>0</v>
      </c>
      <c r="B7165" t="s">
        <v>2235</v>
      </c>
      <c r="C7165" t="s">
        <v>10329</v>
      </c>
      <c r="D7165" t="s">
        <v>18784</v>
      </c>
      <c r="E7165" t="s">
        <v>25222</v>
      </c>
      <c r="F7165" t="s">
        <v>32664</v>
      </c>
      <c r="G7165" t="s">
        <v>32672</v>
      </c>
      <c r="H7165" t="s">
        <v>12635</v>
      </c>
      <c r="I7165" t="s">
        <v>6553</v>
      </c>
      <c r="J7165" t="s">
        <v>32976</v>
      </c>
      <c r="K7165" t="s">
        <v>42309</v>
      </c>
      <c r="M7165" t="s">
        <v>44999</v>
      </c>
      <c r="N7165" t="s">
        <v>46569</v>
      </c>
      <c r="O7165" t="s">
        <v>46570</v>
      </c>
      <c r="P7165">
        <v>0</v>
      </c>
      <c r="Q7165">
        <v>8</v>
      </c>
      <c r="R7165" t="s">
        <v>46574</v>
      </c>
      <c r="S7165" t="s">
        <v>46723</v>
      </c>
      <c r="T7165" t="s">
        <v>48258</v>
      </c>
      <c r="U7165" t="s">
        <v>54701</v>
      </c>
      <c r="W7165" t="s">
        <v>44999</v>
      </c>
      <c r="X7165" t="s">
        <v>46580</v>
      </c>
    </row>
    <row r="7166" spans="1:24">
      <c r="A7166">
        <f>HYPERLINK("https://www.philgeps.gov.ph/GEPSNONPILOT/Tender/SplashBidNoticeAbstractUI.aspx?menuIndex=3&amp;refID=7053096&amp;Result=3","7053096")</f>
        <v>0</v>
      </c>
      <c r="B7166" t="s">
        <v>2236</v>
      </c>
      <c r="C7166" t="s">
        <v>10330</v>
      </c>
      <c r="D7166" t="s">
        <v>18805</v>
      </c>
      <c r="E7166" t="s">
        <v>25223</v>
      </c>
      <c r="F7166" t="s">
        <v>32664</v>
      </c>
      <c r="G7166" t="s">
        <v>32672</v>
      </c>
      <c r="H7166" t="s">
        <v>12635</v>
      </c>
      <c r="I7166" t="s">
        <v>32706</v>
      </c>
      <c r="J7166" t="s">
        <v>37228</v>
      </c>
      <c r="K7166" t="s">
        <v>42283</v>
      </c>
      <c r="M7166" t="s">
        <v>45000</v>
      </c>
      <c r="N7166" t="s">
        <v>46569</v>
      </c>
      <c r="O7166" t="s">
        <v>46570</v>
      </c>
      <c r="P7166">
        <v>0</v>
      </c>
      <c r="Q7166">
        <v>0</v>
      </c>
      <c r="R7166" t="s">
        <v>46574</v>
      </c>
      <c r="S7166" t="s">
        <v>46723</v>
      </c>
      <c r="T7166" t="s">
        <v>48228</v>
      </c>
      <c r="U7166" t="s">
        <v>54702</v>
      </c>
      <c r="W7166" t="s">
        <v>45000</v>
      </c>
      <c r="X7166" t="s">
        <v>46578</v>
      </c>
    </row>
    <row r="7167" spans="1:24">
      <c r="A7167">
        <f>HYPERLINK("https://www.philgeps.gov.ph/GEPSNONPILOT/Tender/SplashBidNoticeAbstractUI.aspx?menuIndex=3&amp;refID=7046653&amp;Result=3","7046653")</f>
        <v>0</v>
      </c>
      <c r="B7167" t="s">
        <v>2227</v>
      </c>
      <c r="C7167" t="s">
        <v>10331</v>
      </c>
      <c r="D7167" t="s">
        <v>18827</v>
      </c>
      <c r="E7167" t="s">
        <v>25224</v>
      </c>
      <c r="F7167" t="s">
        <v>32664</v>
      </c>
      <c r="G7167" t="s">
        <v>32672</v>
      </c>
      <c r="H7167" t="s">
        <v>32683</v>
      </c>
      <c r="I7167" t="s">
        <v>10627</v>
      </c>
      <c r="J7167" t="s">
        <v>32943</v>
      </c>
      <c r="K7167" t="s">
        <v>42283</v>
      </c>
      <c r="M7167" t="s">
        <v>44991</v>
      </c>
      <c r="N7167" t="s">
        <v>46569</v>
      </c>
      <c r="O7167" t="s">
        <v>46570</v>
      </c>
      <c r="P7167">
        <v>0</v>
      </c>
      <c r="Q7167">
        <v>4</v>
      </c>
      <c r="R7167" t="s">
        <v>46574</v>
      </c>
      <c r="S7167" t="s">
        <v>46723</v>
      </c>
      <c r="T7167" t="s">
        <v>48286</v>
      </c>
      <c r="U7167" t="s">
        <v>54703</v>
      </c>
      <c r="V7167" t="s">
        <v>62338</v>
      </c>
      <c r="W7167" t="s">
        <v>44991</v>
      </c>
      <c r="X7167" t="s">
        <v>46581</v>
      </c>
    </row>
    <row r="7168" spans="1:24">
      <c r="A7168">
        <f>HYPERLINK("https://www.philgeps.gov.ph/GEPSNONPILOT/Tender/SplashBidNoticeAbstractUI.aspx?menuIndex=3&amp;refID=7046587&amp;Result=3","7046587")</f>
        <v>0</v>
      </c>
      <c r="B7168" t="s">
        <v>2227</v>
      </c>
      <c r="C7168" t="s">
        <v>10332</v>
      </c>
      <c r="D7168" t="s">
        <v>18827</v>
      </c>
      <c r="E7168" t="s">
        <v>25225</v>
      </c>
      <c r="F7168" t="s">
        <v>32664</v>
      </c>
      <c r="G7168" t="s">
        <v>32672</v>
      </c>
      <c r="H7168" t="s">
        <v>32683</v>
      </c>
      <c r="I7168" t="s">
        <v>10627</v>
      </c>
      <c r="J7168" t="s">
        <v>32943</v>
      </c>
      <c r="K7168" t="s">
        <v>42283</v>
      </c>
      <c r="M7168" t="s">
        <v>44991</v>
      </c>
      <c r="N7168" t="s">
        <v>46569</v>
      </c>
      <c r="O7168" t="s">
        <v>46570</v>
      </c>
      <c r="P7168">
        <v>0</v>
      </c>
      <c r="Q7168">
        <v>4</v>
      </c>
      <c r="R7168" t="s">
        <v>46574</v>
      </c>
      <c r="S7168" t="s">
        <v>46723</v>
      </c>
      <c r="T7168" t="s">
        <v>48286</v>
      </c>
      <c r="U7168" t="s">
        <v>54704</v>
      </c>
      <c r="V7168" t="s">
        <v>62339</v>
      </c>
      <c r="W7168" t="s">
        <v>44991</v>
      </c>
      <c r="X7168" t="s">
        <v>46581</v>
      </c>
    </row>
    <row r="7169" spans="1:24">
      <c r="A7169">
        <f>HYPERLINK("https://www.philgeps.gov.ph/GEPSNONPILOT/Tender/SplashBidNoticeAbstractUI.aspx?menuIndex=3&amp;refID=7060022&amp;Result=3","7060022")</f>
        <v>0</v>
      </c>
      <c r="B7169" t="s">
        <v>2237</v>
      </c>
      <c r="C7169" t="s">
        <v>10333</v>
      </c>
      <c r="D7169" t="s">
        <v>18789</v>
      </c>
      <c r="E7169" t="s">
        <v>25226</v>
      </c>
      <c r="F7169" t="s">
        <v>32664</v>
      </c>
      <c r="G7169" t="s">
        <v>32675</v>
      </c>
      <c r="H7169" t="s">
        <v>12635</v>
      </c>
      <c r="I7169" t="s">
        <v>6168</v>
      </c>
      <c r="J7169" t="s">
        <v>37229</v>
      </c>
      <c r="K7169" t="s">
        <v>42281</v>
      </c>
      <c r="M7169" t="s">
        <v>45001</v>
      </c>
      <c r="N7169" t="s">
        <v>46569</v>
      </c>
      <c r="O7169" t="s">
        <v>46570</v>
      </c>
      <c r="P7169">
        <v>0</v>
      </c>
      <c r="Q7169">
        <v>2</v>
      </c>
      <c r="R7169" t="s">
        <v>46573</v>
      </c>
      <c r="S7169" t="s">
        <v>46705</v>
      </c>
      <c r="T7169" t="s">
        <v>48420</v>
      </c>
      <c r="U7169" t="s">
        <v>54705</v>
      </c>
      <c r="W7169" t="s">
        <v>45001</v>
      </c>
      <c r="X7169" t="s">
        <v>46574</v>
      </c>
    </row>
    <row r="7170" spans="1:24">
      <c r="A7170">
        <f>HYPERLINK("https://www.philgeps.gov.ph/GEPSNONPILOT/Tender/SplashBidNoticeAbstractUI.aspx?menuIndex=3&amp;refID=7052843&amp;Result=3","7052843")</f>
        <v>0</v>
      </c>
      <c r="B7170" t="s">
        <v>638</v>
      </c>
      <c r="C7170" t="s">
        <v>10334</v>
      </c>
      <c r="E7170" t="s">
        <v>25227</v>
      </c>
      <c r="F7170" t="s">
        <v>32664</v>
      </c>
      <c r="G7170" t="s">
        <v>32672</v>
      </c>
      <c r="H7170" t="s">
        <v>12635</v>
      </c>
      <c r="I7170" t="s">
        <v>6168</v>
      </c>
      <c r="J7170" t="s">
        <v>37230</v>
      </c>
      <c r="K7170" t="s">
        <v>42289</v>
      </c>
      <c r="M7170" t="s">
        <v>43221</v>
      </c>
      <c r="N7170" t="s">
        <v>46569</v>
      </c>
      <c r="O7170" t="s">
        <v>46570</v>
      </c>
      <c r="P7170">
        <v>0</v>
      </c>
      <c r="Q7170">
        <v>8</v>
      </c>
      <c r="R7170" t="s">
        <v>46574</v>
      </c>
      <c r="S7170" t="s">
        <v>46723</v>
      </c>
      <c r="T7170" t="s">
        <v>48349</v>
      </c>
      <c r="U7170" t="s">
        <v>54706</v>
      </c>
      <c r="W7170" t="s">
        <v>43221</v>
      </c>
      <c r="X7170" t="s">
        <v>46578</v>
      </c>
    </row>
    <row r="7171" spans="1:24">
      <c r="A7171">
        <f>HYPERLINK("https://www.philgeps.gov.ph/GEPSNONPILOT/Tender/SplashBidNoticeAbstractUI.aspx?menuIndex=3&amp;refID=7060024&amp;Result=3","7060024")</f>
        <v>0</v>
      </c>
      <c r="B7171" t="s">
        <v>587</v>
      </c>
      <c r="C7171" t="s">
        <v>10335</v>
      </c>
      <c r="D7171" t="s">
        <v>18805</v>
      </c>
      <c r="E7171" t="s">
        <v>25228</v>
      </c>
      <c r="F7171" t="s">
        <v>32664</v>
      </c>
      <c r="G7171" t="s">
        <v>32672</v>
      </c>
      <c r="H7171" t="s">
        <v>12635</v>
      </c>
      <c r="I7171" t="s">
        <v>8730</v>
      </c>
      <c r="J7171" t="s">
        <v>33338</v>
      </c>
      <c r="K7171" t="s">
        <v>42306</v>
      </c>
      <c r="M7171" t="s">
        <v>43167</v>
      </c>
      <c r="N7171" t="s">
        <v>46569</v>
      </c>
      <c r="O7171" t="s">
        <v>46570</v>
      </c>
      <c r="P7171">
        <v>0</v>
      </c>
      <c r="Q7171">
        <v>0</v>
      </c>
      <c r="R7171" t="s">
        <v>46573</v>
      </c>
      <c r="S7171" t="s">
        <v>46705</v>
      </c>
      <c r="T7171" t="s">
        <v>48347</v>
      </c>
      <c r="U7171" t="s">
        <v>54707</v>
      </c>
      <c r="W7171" t="s">
        <v>43167</v>
      </c>
      <c r="X7171" t="s">
        <v>46574</v>
      </c>
    </row>
    <row r="7172" spans="1:24">
      <c r="A7172">
        <f>HYPERLINK("https://www.philgeps.gov.ph/GEPSNONPILOT/Tender/SplashBidNoticeAbstractUI.aspx?menuIndex=3&amp;refID=7049473&amp;Result=3","7049473")</f>
        <v>0</v>
      </c>
      <c r="B7172" t="s">
        <v>2219</v>
      </c>
      <c r="C7172" t="s">
        <v>10336</v>
      </c>
      <c r="D7172" t="s">
        <v>18794</v>
      </c>
      <c r="E7172" t="s">
        <v>25229</v>
      </c>
      <c r="F7172" t="s">
        <v>32664</v>
      </c>
      <c r="G7172" t="s">
        <v>32674</v>
      </c>
      <c r="H7172" t="s">
        <v>12635</v>
      </c>
      <c r="I7172" t="s">
        <v>6168</v>
      </c>
      <c r="J7172" t="s">
        <v>37231</v>
      </c>
      <c r="K7172" t="s">
        <v>42281</v>
      </c>
      <c r="M7172" t="s">
        <v>44983</v>
      </c>
      <c r="N7172" t="s">
        <v>46569</v>
      </c>
      <c r="O7172" t="s">
        <v>46570</v>
      </c>
      <c r="P7172">
        <v>0</v>
      </c>
      <c r="Q7172">
        <v>5</v>
      </c>
      <c r="R7172" t="s">
        <v>46574</v>
      </c>
      <c r="S7172" t="s">
        <v>46723</v>
      </c>
      <c r="T7172" t="s">
        <v>48473</v>
      </c>
      <c r="U7172" t="s">
        <v>54708</v>
      </c>
      <c r="W7172" t="s">
        <v>44983</v>
      </c>
      <c r="X7172" t="s">
        <v>46580</v>
      </c>
    </row>
    <row r="7173" spans="1:24">
      <c r="A7173">
        <f>HYPERLINK("https://www.philgeps.gov.ph/GEPSNONPILOT/Tender/SplashBidNoticeAbstractUI.aspx?menuIndex=3&amp;refID=7060018&amp;Result=3","7060018")</f>
        <v>0</v>
      </c>
      <c r="B7173" t="s">
        <v>1201</v>
      </c>
      <c r="C7173" t="s">
        <v>10337</v>
      </c>
      <c r="D7173" t="s">
        <v>18855</v>
      </c>
      <c r="E7173" t="s">
        <v>25230</v>
      </c>
      <c r="F7173" t="s">
        <v>32664</v>
      </c>
      <c r="G7173" t="s">
        <v>32672</v>
      </c>
      <c r="H7173" t="s">
        <v>32683</v>
      </c>
      <c r="I7173" t="s">
        <v>10627</v>
      </c>
      <c r="J7173" t="s">
        <v>32865</v>
      </c>
      <c r="K7173" t="s">
        <v>42314</v>
      </c>
      <c r="M7173" t="s">
        <v>43838</v>
      </c>
      <c r="N7173" t="s">
        <v>46569</v>
      </c>
      <c r="O7173" t="s">
        <v>46570</v>
      </c>
      <c r="P7173">
        <v>0</v>
      </c>
      <c r="Q7173">
        <v>0</v>
      </c>
      <c r="R7173" t="s">
        <v>46573</v>
      </c>
      <c r="S7173" t="s">
        <v>46705</v>
      </c>
      <c r="T7173" t="s">
        <v>48380</v>
      </c>
      <c r="U7173" t="s">
        <v>54709</v>
      </c>
      <c r="W7173" t="s">
        <v>43838</v>
      </c>
      <c r="X7173" t="s">
        <v>46574</v>
      </c>
    </row>
    <row r="7174" spans="1:24">
      <c r="A7174">
        <f>HYPERLINK("https://www.philgeps.gov.ph/GEPSNONPILOT/Tender/SplashBidNoticeAbstractUI.aspx?menuIndex=3&amp;refID=7060015&amp;Result=3","7060015")</f>
        <v>0</v>
      </c>
      <c r="B7174" t="s">
        <v>1862</v>
      </c>
      <c r="C7174" t="s">
        <v>8879</v>
      </c>
      <c r="D7174" t="s">
        <v>18816</v>
      </c>
      <c r="E7174" t="s">
        <v>25231</v>
      </c>
      <c r="F7174" t="s">
        <v>32664</v>
      </c>
      <c r="G7174" t="s">
        <v>32675</v>
      </c>
      <c r="H7174" t="s">
        <v>12635</v>
      </c>
      <c r="I7174" t="s">
        <v>32685</v>
      </c>
      <c r="J7174" t="s">
        <v>33578</v>
      </c>
      <c r="K7174" t="s">
        <v>42281</v>
      </c>
      <c r="M7174" t="s">
        <v>44574</v>
      </c>
      <c r="N7174" t="s">
        <v>46569</v>
      </c>
      <c r="O7174" t="s">
        <v>46570</v>
      </c>
      <c r="P7174">
        <v>0</v>
      </c>
      <c r="Q7174">
        <v>2</v>
      </c>
      <c r="R7174" t="s">
        <v>46573</v>
      </c>
      <c r="S7174" t="s">
        <v>46705</v>
      </c>
      <c r="T7174" t="s">
        <v>48316</v>
      </c>
      <c r="U7174" t="s">
        <v>54710</v>
      </c>
      <c r="W7174" t="s">
        <v>44574</v>
      </c>
      <c r="X7174" t="s">
        <v>46574</v>
      </c>
    </row>
    <row r="7175" spans="1:24">
      <c r="A7175">
        <f>HYPERLINK("https://www.philgeps.gov.ph/GEPSNONPILOT/Tender/SplashBidNoticeAbstractUI.aspx?menuIndex=3&amp;refID=7060014&amp;Result=3","7060014")</f>
        <v>0</v>
      </c>
      <c r="B7175" t="s">
        <v>1349</v>
      </c>
      <c r="C7175" t="s">
        <v>10338</v>
      </c>
      <c r="D7175" t="s">
        <v>18790</v>
      </c>
      <c r="E7175" t="s">
        <v>25232</v>
      </c>
      <c r="F7175" t="s">
        <v>32664</v>
      </c>
      <c r="G7175" t="s">
        <v>32672</v>
      </c>
      <c r="H7175" t="s">
        <v>12635</v>
      </c>
      <c r="I7175" t="s">
        <v>4439</v>
      </c>
      <c r="J7175" t="s">
        <v>37232</v>
      </c>
      <c r="K7175" t="s">
        <v>42289</v>
      </c>
      <c r="M7175" t="s">
        <v>44001</v>
      </c>
      <c r="N7175" t="s">
        <v>46569</v>
      </c>
      <c r="O7175" t="s">
        <v>46570</v>
      </c>
      <c r="P7175">
        <v>0</v>
      </c>
      <c r="Q7175">
        <v>0</v>
      </c>
      <c r="R7175" t="s">
        <v>46573</v>
      </c>
      <c r="S7175" t="s">
        <v>46705</v>
      </c>
      <c r="T7175" t="s">
        <v>48282</v>
      </c>
      <c r="U7175" t="s">
        <v>54711</v>
      </c>
      <c r="V7175" t="s">
        <v>62340</v>
      </c>
      <c r="W7175" t="s">
        <v>44001</v>
      </c>
      <c r="X7175" t="s">
        <v>46574</v>
      </c>
    </row>
    <row r="7176" spans="1:24">
      <c r="A7176">
        <f>HYPERLINK("https://www.philgeps.gov.ph/GEPSNONPILOT/Tender/SplashBidNoticeAbstractUI.aspx?menuIndex=3&amp;refID=7059989&amp;Result=3","7059989")</f>
        <v>0</v>
      </c>
      <c r="B7176" t="s">
        <v>1862</v>
      </c>
      <c r="C7176" t="s">
        <v>10339</v>
      </c>
      <c r="D7176" t="s">
        <v>18816</v>
      </c>
      <c r="E7176" t="s">
        <v>25233</v>
      </c>
      <c r="F7176" t="s">
        <v>32664</v>
      </c>
      <c r="G7176" t="s">
        <v>32675</v>
      </c>
      <c r="H7176" t="s">
        <v>12635</v>
      </c>
      <c r="I7176" t="s">
        <v>32685</v>
      </c>
      <c r="J7176" t="s">
        <v>33177</v>
      </c>
      <c r="K7176" t="s">
        <v>42281</v>
      </c>
      <c r="M7176" t="s">
        <v>44574</v>
      </c>
      <c r="N7176" t="s">
        <v>46569</v>
      </c>
      <c r="O7176" t="s">
        <v>46570</v>
      </c>
      <c r="P7176">
        <v>0</v>
      </c>
      <c r="Q7176">
        <v>1</v>
      </c>
      <c r="R7176" t="s">
        <v>46573</v>
      </c>
      <c r="S7176" t="s">
        <v>46705</v>
      </c>
      <c r="T7176" t="s">
        <v>48316</v>
      </c>
      <c r="U7176" t="s">
        <v>54712</v>
      </c>
      <c r="W7176" t="s">
        <v>44574</v>
      </c>
      <c r="X7176" t="s">
        <v>46574</v>
      </c>
    </row>
    <row r="7177" spans="1:24">
      <c r="A7177">
        <f>HYPERLINK("https://www.philgeps.gov.ph/GEPSNONPILOT/Tender/SplashBidNoticeAbstractUI.aspx?menuIndex=3&amp;refID=7043985&amp;Result=3","7043985")</f>
        <v>0</v>
      </c>
      <c r="B7177" t="s">
        <v>2213</v>
      </c>
      <c r="C7177" t="s">
        <v>10340</v>
      </c>
      <c r="D7177" t="s">
        <v>18849</v>
      </c>
      <c r="E7177" t="s">
        <v>25234</v>
      </c>
      <c r="F7177" t="s">
        <v>32664</v>
      </c>
      <c r="G7177" t="s">
        <v>32672</v>
      </c>
      <c r="H7177" t="s">
        <v>32683</v>
      </c>
      <c r="I7177" t="s">
        <v>10627</v>
      </c>
      <c r="J7177" t="s">
        <v>35701</v>
      </c>
      <c r="K7177" t="s">
        <v>42311</v>
      </c>
      <c r="M7177" t="s">
        <v>44977</v>
      </c>
      <c r="N7177" t="s">
        <v>46569</v>
      </c>
      <c r="O7177" t="s">
        <v>46570</v>
      </c>
      <c r="P7177">
        <v>0</v>
      </c>
      <c r="Q7177">
        <v>2</v>
      </c>
      <c r="R7177" t="s">
        <v>46574</v>
      </c>
      <c r="S7177" t="s">
        <v>46723</v>
      </c>
      <c r="T7177" t="s">
        <v>48220</v>
      </c>
      <c r="U7177" t="s">
        <v>54713</v>
      </c>
      <c r="W7177" t="s">
        <v>44977</v>
      </c>
      <c r="X7177" t="s">
        <v>46582</v>
      </c>
    </row>
    <row r="7178" spans="1:24">
      <c r="A7178">
        <f>HYPERLINK("https://www.philgeps.gov.ph/GEPSNONPILOT/Tender/SplashBidNoticeAbstractUI.aspx?menuIndex=3&amp;refID=7052831&amp;Result=3","7052831")</f>
        <v>0</v>
      </c>
      <c r="B7178" t="s">
        <v>2232</v>
      </c>
      <c r="C7178" t="s">
        <v>10341</v>
      </c>
      <c r="D7178" t="s">
        <v>18853</v>
      </c>
      <c r="E7178" t="s">
        <v>25235</v>
      </c>
      <c r="F7178" t="s">
        <v>32664</v>
      </c>
      <c r="G7178" t="s">
        <v>32672</v>
      </c>
      <c r="H7178" t="s">
        <v>32683</v>
      </c>
      <c r="I7178" t="s">
        <v>10627</v>
      </c>
      <c r="J7178" t="s">
        <v>32859</v>
      </c>
      <c r="K7178" t="s">
        <v>42330</v>
      </c>
      <c r="M7178" t="s">
        <v>44996</v>
      </c>
      <c r="N7178" t="s">
        <v>46569</v>
      </c>
      <c r="O7178" t="s">
        <v>46570</v>
      </c>
      <c r="P7178">
        <v>0</v>
      </c>
      <c r="Q7178">
        <v>0</v>
      </c>
      <c r="R7178" t="s">
        <v>46574</v>
      </c>
      <c r="S7178" t="s">
        <v>46723</v>
      </c>
      <c r="T7178" t="s">
        <v>48246</v>
      </c>
      <c r="U7178" t="s">
        <v>54714</v>
      </c>
      <c r="V7178" t="s">
        <v>62341</v>
      </c>
      <c r="W7178" t="s">
        <v>44996</v>
      </c>
      <c r="X7178" t="s">
        <v>46578</v>
      </c>
    </row>
    <row r="7179" spans="1:24">
      <c r="A7179">
        <f>HYPERLINK("https://www.philgeps.gov.ph/GEPSNONPILOT/Tender/SplashBidNoticeAbstractUI.aspx?menuIndex=3&amp;refID=7060023&amp;Result=3","7060023")</f>
        <v>0</v>
      </c>
      <c r="B7179" t="s">
        <v>1381</v>
      </c>
      <c r="C7179" t="s">
        <v>10342</v>
      </c>
      <c r="D7179" t="s">
        <v>18804</v>
      </c>
      <c r="E7179" t="s">
        <v>25236</v>
      </c>
      <c r="F7179" t="s">
        <v>32664</v>
      </c>
      <c r="G7179" t="s">
        <v>32671</v>
      </c>
      <c r="H7179" t="s">
        <v>12635</v>
      </c>
      <c r="I7179" t="s">
        <v>6223</v>
      </c>
      <c r="J7179" t="s">
        <v>37233</v>
      </c>
      <c r="K7179" t="s">
        <v>42348</v>
      </c>
      <c r="M7179" t="s">
        <v>44036</v>
      </c>
      <c r="N7179" t="s">
        <v>46569</v>
      </c>
      <c r="O7179" t="s">
        <v>46570</v>
      </c>
      <c r="P7179">
        <v>0</v>
      </c>
      <c r="Q7179">
        <v>0</v>
      </c>
      <c r="R7179" t="s">
        <v>46573</v>
      </c>
      <c r="S7179" t="s">
        <v>46705</v>
      </c>
      <c r="T7179" t="s">
        <v>48427</v>
      </c>
      <c r="U7179" t="s">
        <v>54715</v>
      </c>
      <c r="V7179" t="s">
        <v>61990</v>
      </c>
      <c r="W7179" t="s">
        <v>44036</v>
      </c>
      <c r="X7179" t="s">
        <v>46574</v>
      </c>
    </row>
    <row r="7180" spans="1:24">
      <c r="A7180">
        <f>HYPERLINK("https://www.philgeps.gov.ph/GEPSNONPILOT/Tender/SplashBidNoticeAbstractUI.aspx?menuIndex=3&amp;refID=7059988&amp;Result=3","7059988")</f>
        <v>0</v>
      </c>
      <c r="B7180" t="s">
        <v>1232</v>
      </c>
      <c r="C7180" t="s">
        <v>10343</v>
      </c>
      <c r="D7180" t="s">
        <v>18838</v>
      </c>
      <c r="E7180" t="s">
        <v>25237</v>
      </c>
      <c r="F7180" t="s">
        <v>32664</v>
      </c>
      <c r="G7180" t="s">
        <v>32671</v>
      </c>
      <c r="H7180" t="s">
        <v>12635</v>
      </c>
      <c r="I7180" t="s">
        <v>32694</v>
      </c>
      <c r="J7180" t="s">
        <v>37234</v>
      </c>
      <c r="K7180" t="s">
        <v>42283</v>
      </c>
      <c r="L7180" t="s">
        <v>1232</v>
      </c>
      <c r="M7180" t="s">
        <v>44659</v>
      </c>
      <c r="N7180" t="s">
        <v>46569</v>
      </c>
      <c r="O7180" t="s">
        <v>46570</v>
      </c>
      <c r="P7180">
        <v>0</v>
      </c>
      <c r="Q7180">
        <v>2</v>
      </c>
      <c r="R7180" t="s">
        <v>46573</v>
      </c>
      <c r="S7180" t="s">
        <v>46705</v>
      </c>
      <c r="T7180" t="s">
        <v>48316</v>
      </c>
      <c r="U7180" t="s">
        <v>51411</v>
      </c>
      <c r="W7180" t="s">
        <v>44659</v>
      </c>
      <c r="X7180" t="s">
        <v>46574</v>
      </c>
    </row>
    <row r="7181" spans="1:24">
      <c r="A7181">
        <f>HYPERLINK("https://www.philgeps.gov.ph/GEPSNONPILOT/Tender/SplashBidNoticeAbstractUI.aspx?menuIndex=3&amp;refID=7059986&amp;Result=3","7059986")</f>
        <v>0</v>
      </c>
      <c r="B7181" t="s">
        <v>1937</v>
      </c>
      <c r="C7181" t="s">
        <v>10344</v>
      </c>
      <c r="D7181" t="s">
        <v>18782</v>
      </c>
      <c r="E7181" t="s">
        <v>25238</v>
      </c>
      <c r="F7181" t="s">
        <v>32664</v>
      </c>
      <c r="G7181" t="s">
        <v>32672</v>
      </c>
      <c r="H7181" t="s">
        <v>32683</v>
      </c>
      <c r="I7181" t="s">
        <v>10627</v>
      </c>
      <c r="J7181" t="s">
        <v>37235</v>
      </c>
      <c r="K7181" t="s">
        <v>42358</v>
      </c>
      <c r="M7181" t="s">
        <v>44662</v>
      </c>
      <c r="N7181" t="s">
        <v>46569</v>
      </c>
      <c r="O7181" t="s">
        <v>46570</v>
      </c>
      <c r="P7181">
        <v>0</v>
      </c>
      <c r="Q7181">
        <v>0</v>
      </c>
      <c r="R7181" t="s">
        <v>46573</v>
      </c>
      <c r="S7181" t="s">
        <v>46705</v>
      </c>
      <c r="T7181" t="s">
        <v>48283</v>
      </c>
      <c r="U7181" t="s">
        <v>53591</v>
      </c>
      <c r="W7181" t="s">
        <v>44662</v>
      </c>
      <c r="X7181" t="s">
        <v>46574</v>
      </c>
    </row>
    <row r="7182" spans="1:24">
      <c r="A7182">
        <f>HYPERLINK("https://www.philgeps.gov.ph/GEPSNONPILOT/Tender/SplashBidNoticeAbstractUI.aspx?menuIndex=3&amp;refID=7060017&amp;Result=3","7060017")</f>
        <v>0</v>
      </c>
      <c r="B7182" t="s">
        <v>2238</v>
      </c>
      <c r="C7182" t="s">
        <v>10345</v>
      </c>
      <c r="D7182" t="s">
        <v>18828</v>
      </c>
      <c r="E7182" t="s">
        <v>25239</v>
      </c>
      <c r="F7182" t="s">
        <v>32664</v>
      </c>
      <c r="G7182" t="s">
        <v>32672</v>
      </c>
      <c r="H7182" t="s">
        <v>12635</v>
      </c>
      <c r="I7182" t="s">
        <v>32696</v>
      </c>
      <c r="J7182" t="s">
        <v>32962</v>
      </c>
      <c r="K7182" t="s">
        <v>42284</v>
      </c>
      <c r="M7182" t="s">
        <v>45002</v>
      </c>
      <c r="N7182" t="s">
        <v>46569</v>
      </c>
      <c r="O7182" t="s">
        <v>46570</v>
      </c>
      <c r="P7182">
        <v>0</v>
      </c>
      <c r="Q7182">
        <v>2</v>
      </c>
      <c r="R7182" t="s">
        <v>46573</v>
      </c>
      <c r="S7182" t="s">
        <v>46705</v>
      </c>
      <c r="T7182" t="s">
        <v>48592</v>
      </c>
      <c r="U7182" t="s">
        <v>54716</v>
      </c>
      <c r="V7182" t="s">
        <v>62342</v>
      </c>
      <c r="W7182" t="s">
        <v>45002</v>
      </c>
      <c r="X7182" t="s">
        <v>46574</v>
      </c>
    </row>
    <row r="7183" spans="1:24">
      <c r="A7183">
        <f>HYPERLINK("https://www.philgeps.gov.ph/GEPSNONPILOT/Tender/SplashBidNoticeAbstractUI.aspx?menuIndex=3&amp;refID=7046569&amp;Result=3","7046569")</f>
        <v>0</v>
      </c>
      <c r="B7183" t="s">
        <v>2227</v>
      </c>
      <c r="C7183" t="s">
        <v>10346</v>
      </c>
      <c r="D7183" t="s">
        <v>18827</v>
      </c>
      <c r="E7183" t="s">
        <v>25240</v>
      </c>
      <c r="F7183" t="s">
        <v>32664</v>
      </c>
      <c r="G7183" t="s">
        <v>32672</v>
      </c>
      <c r="H7183" t="s">
        <v>32683</v>
      </c>
      <c r="I7183" t="s">
        <v>10627</v>
      </c>
      <c r="J7183" t="s">
        <v>32943</v>
      </c>
      <c r="K7183" t="s">
        <v>42283</v>
      </c>
      <c r="M7183" t="s">
        <v>44991</v>
      </c>
      <c r="N7183" t="s">
        <v>46569</v>
      </c>
      <c r="O7183" t="s">
        <v>46570</v>
      </c>
      <c r="P7183">
        <v>0</v>
      </c>
      <c r="Q7183">
        <v>4</v>
      </c>
      <c r="R7183" t="s">
        <v>46574</v>
      </c>
      <c r="S7183" t="s">
        <v>46723</v>
      </c>
      <c r="T7183" t="s">
        <v>48286</v>
      </c>
      <c r="U7183" t="s">
        <v>54717</v>
      </c>
      <c r="V7183" t="s">
        <v>62343</v>
      </c>
      <c r="W7183" t="s">
        <v>44991</v>
      </c>
      <c r="X7183" t="s">
        <v>46581</v>
      </c>
    </row>
    <row r="7184" spans="1:24">
      <c r="A7184">
        <f>HYPERLINK("https://www.philgeps.gov.ph/GEPSNONPILOT/Tender/SplashBidNoticeAbstractUI.aspx?menuIndex=3&amp;refID=7060019&amp;Result=3","7060019")</f>
        <v>0</v>
      </c>
      <c r="B7184" t="s">
        <v>2239</v>
      </c>
      <c r="C7184" t="s">
        <v>10347</v>
      </c>
      <c r="D7184" t="s">
        <v>18798</v>
      </c>
      <c r="E7184" t="s">
        <v>25241</v>
      </c>
      <c r="F7184" t="s">
        <v>32665</v>
      </c>
      <c r="G7184" t="s">
        <v>32671</v>
      </c>
      <c r="H7184" t="s">
        <v>32682</v>
      </c>
      <c r="I7184" t="s">
        <v>7703</v>
      </c>
      <c r="J7184" t="s">
        <v>32898</v>
      </c>
      <c r="K7184" t="s">
        <v>42284</v>
      </c>
      <c r="M7184" t="s">
        <v>45003</v>
      </c>
      <c r="N7184" t="s">
        <v>46569</v>
      </c>
      <c r="O7184" t="s">
        <v>46570</v>
      </c>
      <c r="P7184">
        <v>0</v>
      </c>
      <c r="Q7184">
        <v>4</v>
      </c>
      <c r="R7184" t="s">
        <v>46573</v>
      </c>
      <c r="S7184" t="s">
        <v>46705</v>
      </c>
      <c r="T7184" t="s">
        <v>48280</v>
      </c>
      <c r="U7184" t="s">
        <v>54718</v>
      </c>
      <c r="W7184" t="s">
        <v>45003</v>
      </c>
      <c r="X7184" t="s">
        <v>46574</v>
      </c>
    </row>
    <row r="7185" spans="1:24">
      <c r="A7185">
        <f>HYPERLINK("https://www.philgeps.gov.ph/GEPSNONPILOT/Tender/SplashBidNoticeAbstractUI.aspx?menuIndex=3&amp;refID=7054300&amp;Result=3","7054300")</f>
        <v>0</v>
      </c>
      <c r="B7185" t="s">
        <v>2240</v>
      </c>
      <c r="C7185" t="s">
        <v>10348</v>
      </c>
      <c r="D7185" t="s">
        <v>18806</v>
      </c>
      <c r="E7185" t="s">
        <v>24785</v>
      </c>
      <c r="F7185" t="s">
        <v>32664</v>
      </c>
      <c r="G7185" t="s">
        <v>32672</v>
      </c>
      <c r="H7185" t="s">
        <v>12635</v>
      </c>
      <c r="I7185" t="s">
        <v>11464</v>
      </c>
      <c r="J7185" t="s">
        <v>37236</v>
      </c>
      <c r="K7185" t="s">
        <v>42281</v>
      </c>
      <c r="M7185" t="s">
        <v>45004</v>
      </c>
      <c r="N7185" t="s">
        <v>46569</v>
      </c>
      <c r="O7185" t="s">
        <v>46570</v>
      </c>
      <c r="P7185">
        <v>0</v>
      </c>
      <c r="Q7185">
        <v>2</v>
      </c>
      <c r="R7185" t="s">
        <v>46574</v>
      </c>
      <c r="S7185" t="s">
        <v>46723</v>
      </c>
      <c r="T7185" t="s">
        <v>48302</v>
      </c>
      <c r="U7185" t="s">
        <v>54719</v>
      </c>
      <c r="W7185" t="s">
        <v>45004</v>
      </c>
      <c r="X7185" t="s">
        <v>46578</v>
      </c>
    </row>
    <row r="7186" spans="1:24">
      <c r="A7186">
        <f>HYPERLINK("https://www.philgeps.gov.ph/GEPSNONPILOT/Tender/SplashBidNoticeAbstractUI.aspx?menuIndex=3&amp;refID=7054278&amp;Result=3","7054278")</f>
        <v>0</v>
      </c>
      <c r="B7186" t="s">
        <v>2241</v>
      </c>
      <c r="C7186" t="s">
        <v>10349</v>
      </c>
      <c r="E7186" t="s">
        <v>25242</v>
      </c>
      <c r="F7186" t="s">
        <v>32664</v>
      </c>
      <c r="G7186" t="s">
        <v>32672</v>
      </c>
      <c r="H7186" t="s">
        <v>32683</v>
      </c>
      <c r="I7186" t="s">
        <v>10627</v>
      </c>
      <c r="J7186" t="s">
        <v>32962</v>
      </c>
      <c r="K7186" t="s">
        <v>42298</v>
      </c>
      <c r="L7186" t="s">
        <v>2241</v>
      </c>
      <c r="M7186" t="s">
        <v>45005</v>
      </c>
      <c r="N7186" t="s">
        <v>46569</v>
      </c>
      <c r="O7186" t="s">
        <v>46570</v>
      </c>
      <c r="P7186">
        <v>0</v>
      </c>
      <c r="Q7186">
        <v>0</v>
      </c>
      <c r="R7186" t="s">
        <v>46574</v>
      </c>
      <c r="S7186" t="s">
        <v>46723</v>
      </c>
      <c r="T7186" t="s">
        <v>48308</v>
      </c>
      <c r="U7186" t="s">
        <v>54720</v>
      </c>
      <c r="V7186" t="s">
        <v>62344</v>
      </c>
      <c r="W7186" t="s">
        <v>45005</v>
      </c>
      <c r="X7186" t="s">
        <v>46578</v>
      </c>
    </row>
    <row r="7187" spans="1:24">
      <c r="A7187">
        <f>HYPERLINK("https://www.philgeps.gov.ph/GEPSNONPILOT/Tender/SplashBidNoticeAbstractUI.aspx?menuIndex=3&amp;refID=7054262&amp;Result=3","7054262")</f>
        <v>0</v>
      </c>
      <c r="B7187" t="s">
        <v>1194</v>
      </c>
      <c r="C7187" t="s">
        <v>10350</v>
      </c>
      <c r="D7187" t="s">
        <v>18782</v>
      </c>
      <c r="E7187" t="s">
        <v>25243</v>
      </c>
      <c r="F7187" t="s">
        <v>32664</v>
      </c>
      <c r="G7187" t="s">
        <v>32672</v>
      </c>
      <c r="H7187" t="s">
        <v>12635</v>
      </c>
      <c r="I7187" t="s">
        <v>4439</v>
      </c>
      <c r="J7187" t="s">
        <v>37237</v>
      </c>
      <c r="K7187" t="s">
        <v>42281</v>
      </c>
      <c r="M7187" t="s">
        <v>45006</v>
      </c>
      <c r="N7187" t="s">
        <v>46569</v>
      </c>
      <c r="O7187" t="s">
        <v>46570</v>
      </c>
      <c r="P7187">
        <v>0</v>
      </c>
      <c r="Q7187">
        <v>0</v>
      </c>
      <c r="R7187" t="s">
        <v>46574</v>
      </c>
      <c r="S7187" t="s">
        <v>46723</v>
      </c>
      <c r="T7187" t="s">
        <v>48221</v>
      </c>
      <c r="U7187" t="s">
        <v>54721</v>
      </c>
      <c r="W7187" t="s">
        <v>45006</v>
      </c>
      <c r="X7187" t="s">
        <v>46578</v>
      </c>
    </row>
    <row r="7188" spans="1:24">
      <c r="A7188">
        <f>HYPERLINK("https://www.philgeps.gov.ph/GEPSNONPILOT/Tender/SplashBidNoticeAbstractUI.aspx?menuIndex=3&amp;refID=7054164&amp;Result=3","7054164")</f>
        <v>0</v>
      </c>
      <c r="B7188" t="s">
        <v>1194</v>
      </c>
      <c r="C7188" t="s">
        <v>10351</v>
      </c>
      <c r="D7188" t="s">
        <v>18782</v>
      </c>
      <c r="E7188" t="s">
        <v>25244</v>
      </c>
      <c r="F7188" t="s">
        <v>32664</v>
      </c>
      <c r="G7188" t="s">
        <v>32672</v>
      </c>
      <c r="H7188" t="s">
        <v>12635</v>
      </c>
      <c r="I7188" t="s">
        <v>4439</v>
      </c>
      <c r="J7188" t="s">
        <v>37238</v>
      </c>
      <c r="K7188" t="s">
        <v>42281</v>
      </c>
      <c r="M7188" t="s">
        <v>45006</v>
      </c>
      <c r="N7188" t="s">
        <v>46569</v>
      </c>
      <c r="O7188" t="s">
        <v>46570</v>
      </c>
      <c r="P7188">
        <v>0</v>
      </c>
      <c r="Q7188">
        <v>1</v>
      </c>
      <c r="R7188" t="s">
        <v>46574</v>
      </c>
      <c r="S7188" t="s">
        <v>46723</v>
      </c>
      <c r="T7188" t="s">
        <v>48221</v>
      </c>
      <c r="U7188" t="s">
        <v>54721</v>
      </c>
      <c r="W7188" t="s">
        <v>45006</v>
      </c>
      <c r="X7188" t="s">
        <v>46578</v>
      </c>
    </row>
    <row r="7189" spans="1:24">
      <c r="A7189">
        <f>HYPERLINK("https://www.philgeps.gov.ph/GEPSNONPILOT/Tender/SplashBidNoticeAbstractUI.aspx?menuIndex=3&amp;refID=7054136&amp;Result=3","7054136")</f>
        <v>0</v>
      </c>
      <c r="B7189" t="s">
        <v>2240</v>
      </c>
      <c r="C7189" t="s">
        <v>10352</v>
      </c>
      <c r="D7189" t="s">
        <v>18806</v>
      </c>
      <c r="E7189" t="s">
        <v>19247</v>
      </c>
      <c r="F7189" t="s">
        <v>32664</v>
      </c>
      <c r="G7189" t="s">
        <v>32672</v>
      </c>
      <c r="H7189" t="s">
        <v>12635</v>
      </c>
      <c r="I7189" t="s">
        <v>11464</v>
      </c>
      <c r="J7189" t="s">
        <v>36502</v>
      </c>
      <c r="K7189" t="s">
        <v>42281</v>
      </c>
      <c r="M7189" t="s">
        <v>45004</v>
      </c>
      <c r="N7189" t="s">
        <v>46569</v>
      </c>
      <c r="O7189" t="s">
        <v>46570</v>
      </c>
      <c r="P7189">
        <v>0</v>
      </c>
      <c r="Q7189">
        <v>3</v>
      </c>
      <c r="R7189" t="s">
        <v>46574</v>
      </c>
      <c r="S7189" t="s">
        <v>46723</v>
      </c>
      <c r="T7189" t="s">
        <v>48302</v>
      </c>
      <c r="U7189" t="s">
        <v>54722</v>
      </c>
      <c r="W7189" t="s">
        <v>45004</v>
      </c>
      <c r="X7189" t="s">
        <v>46578</v>
      </c>
    </row>
    <row r="7190" spans="1:24">
      <c r="A7190">
        <f>HYPERLINK("https://www.philgeps.gov.ph/GEPSNONPILOT/Tender/SplashBidNoticeAbstractUI.aspx?menuIndex=3&amp;refID=7054026&amp;Result=3","7054026")</f>
        <v>0</v>
      </c>
      <c r="B7190" t="s">
        <v>756</v>
      </c>
      <c r="C7190" t="s">
        <v>10353</v>
      </c>
      <c r="D7190" t="s">
        <v>18844</v>
      </c>
      <c r="E7190" t="s">
        <v>25245</v>
      </c>
      <c r="F7190" t="s">
        <v>32667</v>
      </c>
      <c r="G7190" t="s">
        <v>32672</v>
      </c>
      <c r="H7190" t="s">
        <v>32683</v>
      </c>
      <c r="I7190" t="s">
        <v>10627</v>
      </c>
      <c r="J7190" t="s">
        <v>37239</v>
      </c>
      <c r="K7190" t="s">
        <v>42298</v>
      </c>
      <c r="M7190" t="s">
        <v>43346</v>
      </c>
      <c r="N7190" t="s">
        <v>46569</v>
      </c>
      <c r="O7190" t="s">
        <v>46570</v>
      </c>
      <c r="P7190">
        <v>0</v>
      </c>
      <c r="Q7190">
        <v>0</v>
      </c>
      <c r="R7190" t="s">
        <v>46574</v>
      </c>
      <c r="S7190" t="s">
        <v>46723</v>
      </c>
      <c r="T7190" t="s">
        <v>48506</v>
      </c>
      <c r="U7190" t="s">
        <v>54723</v>
      </c>
      <c r="W7190" t="s">
        <v>43346</v>
      </c>
      <c r="X7190" t="s">
        <v>46578</v>
      </c>
    </row>
    <row r="7191" spans="1:24">
      <c r="A7191">
        <f>HYPERLINK("https://www.philgeps.gov.ph/GEPSNONPILOT/Tender/SplashBidNoticeAbstractUI.aspx?menuIndex=3&amp;refID=7054544&amp;Result=3","7054544")</f>
        <v>0</v>
      </c>
      <c r="B7191" t="s">
        <v>1699</v>
      </c>
      <c r="C7191" t="s">
        <v>10354</v>
      </c>
      <c r="D7191" t="s">
        <v>18862</v>
      </c>
      <c r="E7191" t="s">
        <v>25246</v>
      </c>
      <c r="F7191" t="s">
        <v>32664</v>
      </c>
      <c r="G7191" t="s">
        <v>32673</v>
      </c>
      <c r="H7191" t="s">
        <v>32683</v>
      </c>
      <c r="I7191" t="s">
        <v>10627</v>
      </c>
      <c r="J7191" t="s">
        <v>37240</v>
      </c>
      <c r="K7191" t="s">
        <v>42283</v>
      </c>
      <c r="L7191" t="s">
        <v>1699</v>
      </c>
      <c r="M7191" t="s">
        <v>44393</v>
      </c>
      <c r="N7191" t="s">
        <v>46569</v>
      </c>
      <c r="O7191" t="s">
        <v>46570</v>
      </c>
      <c r="P7191">
        <v>0</v>
      </c>
      <c r="Q7191">
        <v>0</v>
      </c>
      <c r="R7191" t="s">
        <v>46574</v>
      </c>
      <c r="S7191" t="s">
        <v>46723</v>
      </c>
      <c r="T7191" t="s">
        <v>48349</v>
      </c>
      <c r="U7191" t="s">
        <v>54724</v>
      </c>
      <c r="W7191" t="s">
        <v>44393</v>
      </c>
      <c r="X7191" t="s">
        <v>46578</v>
      </c>
    </row>
    <row r="7192" spans="1:24">
      <c r="A7192">
        <f>HYPERLINK("https://www.philgeps.gov.ph/GEPSNONPILOT/Tender/SplashBidNoticeAbstractUI.aspx?menuIndex=3&amp;refID=7054010&amp;Result=3","7054010")</f>
        <v>0</v>
      </c>
      <c r="B7192" t="s">
        <v>2241</v>
      </c>
      <c r="C7192" t="s">
        <v>10355</v>
      </c>
      <c r="D7192" t="s">
        <v>18836</v>
      </c>
      <c r="E7192" t="s">
        <v>25247</v>
      </c>
      <c r="F7192" t="s">
        <v>32664</v>
      </c>
      <c r="G7192" t="s">
        <v>32672</v>
      </c>
      <c r="H7192" t="s">
        <v>32683</v>
      </c>
      <c r="I7192" t="s">
        <v>10627</v>
      </c>
      <c r="J7192" t="s">
        <v>33761</v>
      </c>
      <c r="K7192" t="s">
        <v>42285</v>
      </c>
      <c r="L7192" t="s">
        <v>2241</v>
      </c>
      <c r="M7192" t="s">
        <v>45005</v>
      </c>
      <c r="N7192" t="s">
        <v>46569</v>
      </c>
      <c r="O7192" t="s">
        <v>46570</v>
      </c>
      <c r="Q7192">
        <v>0</v>
      </c>
      <c r="R7192" t="s">
        <v>46574</v>
      </c>
      <c r="S7192" t="s">
        <v>46726</v>
      </c>
      <c r="T7192" t="s">
        <v>48308</v>
      </c>
      <c r="U7192" t="s">
        <v>54720</v>
      </c>
      <c r="V7192" t="s">
        <v>62344</v>
      </c>
      <c r="W7192" t="s">
        <v>45005</v>
      </c>
      <c r="X7192" t="s">
        <v>46578</v>
      </c>
    </row>
    <row r="7193" spans="1:24">
      <c r="A7193">
        <f>HYPERLINK("https://www.philgeps.gov.ph/GEPSNONPILOT/Tender/SplashBidNoticeAbstractUI.aspx?menuIndex=3&amp;refID=7053754&amp;Result=3","7053754")</f>
        <v>0</v>
      </c>
      <c r="B7193" t="s">
        <v>2242</v>
      </c>
      <c r="C7193" t="s">
        <v>10356</v>
      </c>
      <c r="D7193" t="s">
        <v>18820</v>
      </c>
      <c r="E7193" t="s">
        <v>25248</v>
      </c>
      <c r="F7193" t="s">
        <v>32664</v>
      </c>
      <c r="G7193" t="s">
        <v>32673</v>
      </c>
      <c r="H7193" t="s">
        <v>12635</v>
      </c>
      <c r="I7193" t="s">
        <v>4439</v>
      </c>
      <c r="J7193" t="s">
        <v>37241</v>
      </c>
      <c r="K7193" t="s">
        <v>42281</v>
      </c>
      <c r="M7193" t="s">
        <v>45007</v>
      </c>
      <c r="N7193" t="s">
        <v>46569</v>
      </c>
      <c r="O7193" t="s">
        <v>46570</v>
      </c>
      <c r="P7193">
        <v>0</v>
      </c>
      <c r="Q7193">
        <v>0</v>
      </c>
      <c r="R7193" t="s">
        <v>46574</v>
      </c>
      <c r="S7193" t="s">
        <v>46723</v>
      </c>
      <c r="T7193" t="s">
        <v>48336</v>
      </c>
      <c r="U7193" t="s">
        <v>54725</v>
      </c>
      <c r="V7193" t="s">
        <v>62345</v>
      </c>
      <c r="W7193" t="s">
        <v>45007</v>
      </c>
      <c r="X7193" t="s">
        <v>46578</v>
      </c>
    </row>
    <row r="7194" spans="1:24">
      <c r="A7194">
        <f>HYPERLINK("https://www.philgeps.gov.ph/GEPSNONPILOT/Tender/SplashBidNoticeAbstractUI.aspx?menuIndex=3&amp;refID=7053744&amp;Result=3","7053744")</f>
        <v>0</v>
      </c>
      <c r="B7194" t="s">
        <v>2242</v>
      </c>
      <c r="C7194" t="s">
        <v>10356</v>
      </c>
      <c r="D7194" t="s">
        <v>18820</v>
      </c>
      <c r="E7194" t="s">
        <v>25249</v>
      </c>
      <c r="F7194" t="s">
        <v>32664</v>
      </c>
      <c r="G7194" t="s">
        <v>32673</v>
      </c>
      <c r="H7194" t="s">
        <v>12635</v>
      </c>
      <c r="I7194" t="s">
        <v>4439</v>
      </c>
      <c r="J7194" t="s">
        <v>37241</v>
      </c>
      <c r="K7194" t="s">
        <v>42281</v>
      </c>
      <c r="M7194" t="s">
        <v>45007</v>
      </c>
      <c r="N7194" t="s">
        <v>46569</v>
      </c>
      <c r="O7194" t="s">
        <v>46570</v>
      </c>
      <c r="P7194">
        <v>0</v>
      </c>
      <c r="Q7194">
        <v>0</v>
      </c>
      <c r="R7194" t="s">
        <v>46574</v>
      </c>
      <c r="S7194" t="s">
        <v>46723</v>
      </c>
      <c r="T7194" t="s">
        <v>48336</v>
      </c>
      <c r="U7194" t="s">
        <v>54726</v>
      </c>
      <c r="V7194" t="s">
        <v>62345</v>
      </c>
      <c r="W7194" t="s">
        <v>45007</v>
      </c>
      <c r="X7194" t="s">
        <v>46578</v>
      </c>
    </row>
    <row r="7195" spans="1:24">
      <c r="A7195">
        <f>HYPERLINK("https://www.philgeps.gov.ph/GEPSNONPILOT/Tender/SplashBidNoticeAbstractUI.aspx?menuIndex=3&amp;refID=7053736&amp;Result=3","7053736")</f>
        <v>0</v>
      </c>
      <c r="B7195" t="s">
        <v>2242</v>
      </c>
      <c r="C7195" t="s">
        <v>10356</v>
      </c>
      <c r="D7195" t="s">
        <v>18820</v>
      </c>
      <c r="E7195" t="s">
        <v>25250</v>
      </c>
      <c r="F7195" t="s">
        <v>32664</v>
      </c>
      <c r="G7195" t="s">
        <v>32673</v>
      </c>
      <c r="H7195" t="s">
        <v>12635</v>
      </c>
      <c r="I7195" t="s">
        <v>4439</v>
      </c>
      <c r="J7195" t="s">
        <v>37241</v>
      </c>
      <c r="K7195" t="s">
        <v>42281</v>
      </c>
      <c r="M7195" t="s">
        <v>45007</v>
      </c>
      <c r="N7195" t="s">
        <v>46569</v>
      </c>
      <c r="O7195" t="s">
        <v>46570</v>
      </c>
      <c r="P7195">
        <v>0</v>
      </c>
      <c r="Q7195">
        <v>0</v>
      </c>
      <c r="R7195" t="s">
        <v>46574</v>
      </c>
      <c r="S7195" t="s">
        <v>46723</v>
      </c>
      <c r="T7195" t="s">
        <v>48336</v>
      </c>
      <c r="U7195" t="s">
        <v>54727</v>
      </c>
      <c r="V7195" t="s">
        <v>62345</v>
      </c>
      <c r="W7195" t="s">
        <v>45007</v>
      </c>
      <c r="X7195" t="s">
        <v>46578</v>
      </c>
    </row>
    <row r="7196" spans="1:24">
      <c r="A7196">
        <f>HYPERLINK("https://www.philgeps.gov.ph/GEPSNONPILOT/Tender/SplashBidNoticeAbstractUI.aspx?menuIndex=3&amp;refID=7054224&amp;Result=3","7054224")</f>
        <v>0</v>
      </c>
      <c r="B7196" t="s">
        <v>2240</v>
      </c>
      <c r="C7196" t="s">
        <v>10357</v>
      </c>
      <c r="D7196" t="s">
        <v>18806</v>
      </c>
      <c r="E7196" t="s">
        <v>25251</v>
      </c>
      <c r="F7196" t="s">
        <v>32664</v>
      </c>
      <c r="G7196" t="s">
        <v>32672</v>
      </c>
      <c r="H7196" t="s">
        <v>12635</v>
      </c>
      <c r="I7196" t="s">
        <v>11464</v>
      </c>
      <c r="J7196" t="s">
        <v>37242</v>
      </c>
      <c r="K7196" t="s">
        <v>42281</v>
      </c>
      <c r="M7196" t="s">
        <v>45004</v>
      </c>
      <c r="N7196" t="s">
        <v>46569</v>
      </c>
      <c r="O7196" t="s">
        <v>46570</v>
      </c>
      <c r="P7196">
        <v>0</v>
      </c>
      <c r="Q7196">
        <v>3</v>
      </c>
      <c r="R7196" t="s">
        <v>46574</v>
      </c>
      <c r="S7196" t="s">
        <v>46723</v>
      </c>
      <c r="T7196" t="s">
        <v>48302</v>
      </c>
      <c r="U7196" t="s">
        <v>54722</v>
      </c>
      <c r="W7196" t="s">
        <v>45004</v>
      </c>
      <c r="X7196" t="s">
        <v>46578</v>
      </c>
    </row>
    <row r="7197" spans="1:24">
      <c r="A7197">
        <f>HYPERLINK("https://www.philgeps.gov.ph/GEPSNONPILOT/Tender/SplashBidNoticeAbstractUI.aspx?menuIndex=3&amp;refID=7054027&amp;Result=3","7054027")</f>
        <v>0</v>
      </c>
      <c r="B7197" t="s">
        <v>2221</v>
      </c>
      <c r="C7197" t="s">
        <v>10281</v>
      </c>
      <c r="D7197" t="s">
        <v>18808</v>
      </c>
      <c r="E7197" t="s">
        <v>21949</v>
      </c>
      <c r="F7197" t="s">
        <v>32664</v>
      </c>
      <c r="G7197" t="s">
        <v>32672</v>
      </c>
      <c r="H7197" t="s">
        <v>12635</v>
      </c>
      <c r="I7197" t="s">
        <v>4439</v>
      </c>
      <c r="J7197" t="s">
        <v>37243</v>
      </c>
      <c r="K7197" t="s">
        <v>42378</v>
      </c>
      <c r="M7197" t="s">
        <v>44985</v>
      </c>
      <c r="N7197" t="s">
        <v>46569</v>
      </c>
      <c r="O7197" t="s">
        <v>46570</v>
      </c>
      <c r="P7197">
        <v>0</v>
      </c>
      <c r="Q7197">
        <v>0</v>
      </c>
      <c r="R7197" t="s">
        <v>46574</v>
      </c>
      <c r="S7197" t="s">
        <v>46723</v>
      </c>
      <c r="T7197" t="s">
        <v>48298</v>
      </c>
      <c r="U7197" t="s">
        <v>54728</v>
      </c>
      <c r="W7197" t="s">
        <v>44985</v>
      </c>
      <c r="X7197" t="s">
        <v>46578</v>
      </c>
    </row>
    <row r="7198" spans="1:24">
      <c r="A7198">
        <f>HYPERLINK("https://www.philgeps.gov.ph/GEPSNONPILOT/Tender/SplashBidNoticeAbstractUI.aspx?menuIndex=3&amp;refID=7053726&amp;Result=3","7053726")</f>
        <v>0</v>
      </c>
      <c r="B7198" t="s">
        <v>2242</v>
      </c>
      <c r="C7198" t="s">
        <v>10358</v>
      </c>
      <c r="D7198" t="s">
        <v>18820</v>
      </c>
      <c r="E7198" t="s">
        <v>24789</v>
      </c>
      <c r="F7198" t="s">
        <v>32664</v>
      </c>
      <c r="G7198" t="s">
        <v>32673</v>
      </c>
      <c r="H7198" t="s">
        <v>12635</v>
      </c>
      <c r="I7198" t="s">
        <v>4439</v>
      </c>
      <c r="J7198" t="s">
        <v>37244</v>
      </c>
      <c r="K7198" t="s">
        <v>42281</v>
      </c>
      <c r="M7198" t="s">
        <v>45007</v>
      </c>
      <c r="N7198" t="s">
        <v>46569</v>
      </c>
      <c r="O7198" t="s">
        <v>46570</v>
      </c>
      <c r="P7198">
        <v>0</v>
      </c>
      <c r="Q7198">
        <v>0</v>
      </c>
      <c r="R7198" t="s">
        <v>46574</v>
      </c>
      <c r="S7198" t="s">
        <v>46723</v>
      </c>
      <c r="T7198" t="s">
        <v>48336</v>
      </c>
      <c r="U7198" t="s">
        <v>54729</v>
      </c>
      <c r="V7198" t="s">
        <v>62345</v>
      </c>
      <c r="W7198" t="s">
        <v>45007</v>
      </c>
      <c r="X7198" t="s">
        <v>46578</v>
      </c>
    </row>
    <row r="7199" spans="1:24">
      <c r="A7199">
        <f>HYPERLINK("https://www.philgeps.gov.ph/GEPSNONPILOT/Tender/SplashBidNoticeAbstractUI.aspx?menuIndex=3&amp;refID=7054400&amp;Result=3","7054400")</f>
        <v>0</v>
      </c>
      <c r="B7199" t="s">
        <v>2241</v>
      </c>
      <c r="C7199" t="s">
        <v>10359</v>
      </c>
      <c r="D7199" t="s">
        <v>18836</v>
      </c>
      <c r="E7199" t="s">
        <v>25252</v>
      </c>
      <c r="F7199" t="s">
        <v>32664</v>
      </c>
      <c r="G7199" t="s">
        <v>32672</v>
      </c>
      <c r="H7199" t="s">
        <v>32683</v>
      </c>
      <c r="I7199" t="s">
        <v>10627</v>
      </c>
      <c r="J7199" t="s">
        <v>33267</v>
      </c>
      <c r="K7199" t="s">
        <v>42281</v>
      </c>
      <c r="L7199" t="s">
        <v>2241</v>
      </c>
      <c r="M7199" t="s">
        <v>45005</v>
      </c>
      <c r="N7199" t="s">
        <v>46569</v>
      </c>
      <c r="O7199" t="s">
        <v>46570</v>
      </c>
      <c r="P7199">
        <v>0</v>
      </c>
      <c r="Q7199">
        <v>0</v>
      </c>
      <c r="R7199" t="s">
        <v>46574</v>
      </c>
      <c r="S7199" t="s">
        <v>46723</v>
      </c>
      <c r="T7199" t="s">
        <v>48308</v>
      </c>
      <c r="U7199" t="s">
        <v>54720</v>
      </c>
      <c r="V7199" t="s">
        <v>62344</v>
      </c>
      <c r="W7199" t="s">
        <v>45005</v>
      </c>
      <c r="X7199" t="s">
        <v>46578</v>
      </c>
    </row>
    <row r="7200" spans="1:24">
      <c r="A7200">
        <f>HYPERLINK("https://www.philgeps.gov.ph/GEPSNONPILOT/Tender/SplashBidNoticeAbstractUI.aspx?menuIndex=3&amp;refID=7053712&amp;Result=3","7053712")</f>
        <v>0</v>
      </c>
      <c r="B7200" t="s">
        <v>2242</v>
      </c>
      <c r="C7200" t="s">
        <v>10360</v>
      </c>
      <c r="D7200" t="s">
        <v>18820</v>
      </c>
      <c r="E7200" t="s">
        <v>25253</v>
      </c>
      <c r="F7200" t="s">
        <v>32664</v>
      </c>
      <c r="G7200" t="s">
        <v>32672</v>
      </c>
      <c r="H7200" t="s">
        <v>12635</v>
      </c>
      <c r="I7200" t="s">
        <v>4439</v>
      </c>
      <c r="J7200" t="s">
        <v>37245</v>
      </c>
      <c r="K7200" t="s">
        <v>42281</v>
      </c>
      <c r="M7200" t="s">
        <v>45007</v>
      </c>
      <c r="N7200" t="s">
        <v>46569</v>
      </c>
      <c r="O7200" t="s">
        <v>46570</v>
      </c>
      <c r="P7200">
        <v>0</v>
      </c>
      <c r="Q7200">
        <v>0</v>
      </c>
      <c r="R7200" t="s">
        <v>46574</v>
      </c>
      <c r="S7200" t="s">
        <v>46723</v>
      </c>
      <c r="T7200" t="s">
        <v>48336</v>
      </c>
      <c r="U7200" t="s">
        <v>54730</v>
      </c>
      <c r="V7200" t="s">
        <v>62345</v>
      </c>
      <c r="W7200" t="s">
        <v>45007</v>
      </c>
      <c r="X7200" t="s">
        <v>46578</v>
      </c>
    </row>
    <row r="7201" spans="1:24">
      <c r="A7201">
        <f>HYPERLINK("https://www.philgeps.gov.ph/GEPSNONPILOT/Tender/SplashBidNoticeAbstractUI.aspx?menuIndex=3&amp;refID=7053731&amp;Result=3","7053731")</f>
        <v>0</v>
      </c>
      <c r="B7201" t="s">
        <v>2242</v>
      </c>
      <c r="C7201" t="s">
        <v>10356</v>
      </c>
      <c r="D7201" t="s">
        <v>18820</v>
      </c>
      <c r="E7201" t="s">
        <v>20386</v>
      </c>
      <c r="F7201" t="s">
        <v>32664</v>
      </c>
      <c r="G7201" t="s">
        <v>32673</v>
      </c>
      <c r="H7201" t="s">
        <v>12635</v>
      </c>
      <c r="I7201" t="s">
        <v>4439</v>
      </c>
      <c r="J7201" t="s">
        <v>37246</v>
      </c>
      <c r="K7201" t="s">
        <v>42281</v>
      </c>
      <c r="M7201" t="s">
        <v>45007</v>
      </c>
      <c r="N7201" t="s">
        <v>46569</v>
      </c>
      <c r="O7201" t="s">
        <v>46570</v>
      </c>
      <c r="P7201">
        <v>0</v>
      </c>
      <c r="Q7201">
        <v>0</v>
      </c>
      <c r="R7201" t="s">
        <v>46574</v>
      </c>
      <c r="S7201" t="s">
        <v>46723</v>
      </c>
      <c r="T7201" t="s">
        <v>48336</v>
      </c>
      <c r="U7201" t="s">
        <v>54731</v>
      </c>
      <c r="V7201" t="s">
        <v>62345</v>
      </c>
      <c r="W7201" t="s">
        <v>45007</v>
      </c>
      <c r="X7201" t="s">
        <v>46578</v>
      </c>
    </row>
    <row r="7202" spans="1:24">
      <c r="A7202">
        <f>HYPERLINK("https://www.philgeps.gov.ph/GEPSNONPILOT/Tender/SplashBidNoticeAbstractUI.aspx?menuIndex=3&amp;refID=7059982&amp;Result=3","7059982")</f>
        <v>0</v>
      </c>
      <c r="B7202" t="s">
        <v>1863</v>
      </c>
      <c r="C7202" t="s">
        <v>10361</v>
      </c>
      <c r="D7202" t="s">
        <v>18783</v>
      </c>
      <c r="E7202" t="s">
        <v>25254</v>
      </c>
      <c r="F7202" t="s">
        <v>32664</v>
      </c>
      <c r="G7202" t="s">
        <v>32671</v>
      </c>
      <c r="H7202" t="s">
        <v>12635</v>
      </c>
      <c r="I7202" t="s">
        <v>10361</v>
      </c>
      <c r="J7202" t="s">
        <v>34578</v>
      </c>
      <c r="K7202" t="s">
        <v>42297</v>
      </c>
      <c r="M7202" t="s">
        <v>44576</v>
      </c>
      <c r="N7202" t="s">
        <v>46569</v>
      </c>
      <c r="O7202" t="s">
        <v>46570</v>
      </c>
      <c r="P7202">
        <v>0</v>
      </c>
      <c r="Q7202">
        <v>0</v>
      </c>
      <c r="R7202" t="s">
        <v>46573</v>
      </c>
      <c r="S7202" t="s">
        <v>46705</v>
      </c>
      <c r="T7202" t="s">
        <v>48307</v>
      </c>
      <c r="U7202" t="s">
        <v>53369</v>
      </c>
      <c r="V7202" t="s">
        <v>62203</v>
      </c>
      <c r="W7202" t="s">
        <v>44576</v>
      </c>
      <c r="X7202" t="s">
        <v>46574</v>
      </c>
    </row>
    <row r="7203" spans="1:24">
      <c r="A7203">
        <f>HYPERLINK("https://www.philgeps.gov.ph/GEPSNONPILOT/Tender/SplashBidNoticeAbstractUI.aspx?menuIndex=3&amp;refID=7059962&amp;Result=3","7059962")</f>
        <v>0</v>
      </c>
      <c r="B7203" t="s">
        <v>442</v>
      </c>
      <c r="C7203" t="s">
        <v>10362</v>
      </c>
      <c r="D7203" t="s">
        <v>18852</v>
      </c>
      <c r="E7203" t="s">
        <v>25255</v>
      </c>
      <c r="F7203" t="s">
        <v>32664</v>
      </c>
      <c r="G7203" t="s">
        <v>32672</v>
      </c>
      <c r="H7203" t="s">
        <v>12635</v>
      </c>
      <c r="I7203" t="s">
        <v>10590</v>
      </c>
      <c r="J7203" t="s">
        <v>37247</v>
      </c>
      <c r="K7203" t="s">
        <v>42281</v>
      </c>
      <c r="M7203" t="s">
        <v>43014</v>
      </c>
      <c r="N7203" t="s">
        <v>46569</v>
      </c>
      <c r="O7203" t="s">
        <v>46570</v>
      </c>
      <c r="P7203">
        <v>0</v>
      </c>
      <c r="Q7203">
        <v>0</v>
      </c>
      <c r="R7203" t="s">
        <v>46573</v>
      </c>
      <c r="S7203" t="s">
        <v>46705</v>
      </c>
      <c r="T7203" t="s">
        <v>48559</v>
      </c>
      <c r="U7203" t="s">
        <v>54732</v>
      </c>
      <c r="W7203" t="s">
        <v>43014</v>
      </c>
      <c r="X7203" t="s">
        <v>46574</v>
      </c>
    </row>
    <row r="7204" spans="1:24">
      <c r="A7204">
        <f>HYPERLINK("https://www.philgeps.gov.ph/GEPSNONPILOT/Tender/SplashBidNoticeAbstractUI.aspx?menuIndex=3&amp;refID=7059960&amp;Result=3","7059960")</f>
        <v>0</v>
      </c>
      <c r="B7204" t="s">
        <v>331</v>
      </c>
      <c r="C7204" t="s">
        <v>10363</v>
      </c>
      <c r="D7204" t="s">
        <v>18807</v>
      </c>
      <c r="E7204" t="s">
        <v>25256</v>
      </c>
      <c r="F7204" t="s">
        <v>32664</v>
      </c>
      <c r="G7204" t="s">
        <v>32671</v>
      </c>
      <c r="H7204" t="s">
        <v>12635</v>
      </c>
      <c r="I7204" t="s">
        <v>6118</v>
      </c>
      <c r="J7204" t="s">
        <v>37248</v>
      </c>
      <c r="K7204" t="s">
        <v>42283</v>
      </c>
      <c r="L7204" t="s">
        <v>331</v>
      </c>
      <c r="M7204" t="s">
        <v>42899</v>
      </c>
      <c r="N7204" t="s">
        <v>46569</v>
      </c>
      <c r="O7204" t="s">
        <v>46570</v>
      </c>
      <c r="P7204">
        <v>0</v>
      </c>
      <c r="Q7204">
        <v>0</v>
      </c>
      <c r="R7204" t="s">
        <v>46573</v>
      </c>
      <c r="S7204" t="s">
        <v>46705</v>
      </c>
      <c r="T7204" t="s">
        <v>48450</v>
      </c>
      <c r="U7204" t="s">
        <v>54733</v>
      </c>
      <c r="V7204" t="s">
        <v>62346</v>
      </c>
      <c r="W7204" t="s">
        <v>42899</v>
      </c>
      <c r="X7204" t="s">
        <v>46574</v>
      </c>
    </row>
    <row r="7205" spans="1:24">
      <c r="A7205">
        <f>HYPERLINK("https://www.philgeps.gov.ph/GEPSNONPILOT/Tender/SplashBidNoticeAbstractUI.aspx?menuIndex=3&amp;refID=7059985&amp;Result=3","7059985")</f>
        <v>0</v>
      </c>
      <c r="B7205" t="s">
        <v>419</v>
      </c>
      <c r="C7205" t="s">
        <v>10364</v>
      </c>
      <c r="D7205" t="s">
        <v>18784</v>
      </c>
      <c r="E7205" t="s">
        <v>25257</v>
      </c>
      <c r="F7205" t="s">
        <v>32664</v>
      </c>
      <c r="G7205" t="s">
        <v>32674</v>
      </c>
      <c r="H7205" t="s">
        <v>12635</v>
      </c>
      <c r="I7205" t="s">
        <v>6223</v>
      </c>
      <c r="J7205" t="s">
        <v>32898</v>
      </c>
      <c r="K7205" t="s">
        <v>42283</v>
      </c>
      <c r="M7205" t="s">
        <v>42990</v>
      </c>
      <c r="N7205" t="s">
        <v>46569</v>
      </c>
      <c r="O7205" t="s">
        <v>46570</v>
      </c>
      <c r="P7205">
        <v>0</v>
      </c>
      <c r="Q7205">
        <v>1</v>
      </c>
      <c r="R7205" t="s">
        <v>46573</v>
      </c>
      <c r="S7205" t="s">
        <v>46705</v>
      </c>
      <c r="T7205" t="s">
        <v>48251</v>
      </c>
      <c r="U7205" t="s">
        <v>54734</v>
      </c>
      <c r="W7205" t="s">
        <v>42990</v>
      </c>
      <c r="X7205" t="s">
        <v>46574</v>
      </c>
    </row>
    <row r="7206" spans="1:24">
      <c r="A7206">
        <f>HYPERLINK("https://www.philgeps.gov.ph/GEPSNONPILOT/Tender/SplashBidNoticeAbstractUI.aspx?menuIndex=3&amp;refID=7059984&amp;Result=3","7059984")</f>
        <v>0</v>
      </c>
      <c r="B7206" t="s">
        <v>1939</v>
      </c>
      <c r="C7206" t="s">
        <v>10365</v>
      </c>
      <c r="D7206" t="s">
        <v>18782</v>
      </c>
      <c r="E7206" t="s">
        <v>25258</v>
      </c>
      <c r="F7206" t="s">
        <v>32664</v>
      </c>
      <c r="G7206" t="s">
        <v>32672</v>
      </c>
      <c r="H7206" t="s">
        <v>12635</v>
      </c>
      <c r="I7206" t="s">
        <v>10370</v>
      </c>
      <c r="J7206" t="s">
        <v>32865</v>
      </c>
      <c r="K7206" t="s">
        <v>42281</v>
      </c>
      <c r="L7206" t="s">
        <v>1939</v>
      </c>
      <c r="M7206" t="s">
        <v>44664</v>
      </c>
      <c r="N7206" t="s">
        <v>46569</v>
      </c>
      <c r="O7206" t="s">
        <v>46570</v>
      </c>
      <c r="P7206">
        <v>0</v>
      </c>
      <c r="Q7206">
        <v>1</v>
      </c>
      <c r="R7206" t="s">
        <v>46573</v>
      </c>
      <c r="S7206" t="s">
        <v>46705</v>
      </c>
      <c r="T7206" t="s">
        <v>48453</v>
      </c>
      <c r="U7206" t="s">
        <v>54735</v>
      </c>
      <c r="W7206" t="s">
        <v>44664</v>
      </c>
      <c r="X7206" t="s">
        <v>46574</v>
      </c>
    </row>
    <row r="7207" spans="1:24">
      <c r="A7207">
        <f>HYPERLINK("https://www.philgeps.gov.ph/GEPSNONPILOT/Tender/SplashBidNoticeAbstractUI.aspx?menuIndex=3&amp;refID=7059955&amp;Result=3","7059955")</f>
        <v>0</v>
      </c>
      <c r="B7207" t="s">
        <v>1940</v>
      </c>
      <c r="C7207" t="s">
        <v>10366</v>
      </c>
      <c r="D7207" t="s">
        <v>18787</v>
      </c>
      <c r="E7207" t="s">
        <v>25259</v>
      </c>
      <c r="F7207" t="s">
        <v>32664</v>
      </c>
      <c r="G7207" t="s">
        <v>32671</v>
      </c>
      <c r="H7207" t="s">
        <v>12635</v>
      </c>
      <c r="I7207" t="s">
        <v>6223</v>
      </c>
      <c r="J7207" t="s">
        <v>32984</v>
      </c>
      <c r="K7207" t="s">
        <v>42283</v>
      </c>
      <c r="M7207" t="s">
        <v>44665</v>
      </c>
      <c r="N7207" t="s">
        <v>46569</v>
      </c>
      <c r="O7207" t="s">
        <v>46570</v>
      </c>
      <c r="P7207">
        <v>0</v>
      </c>
      <c r="Q7207">
        <v>0</v>
      </c>
      <c r="R7207" t="s">
        <v>46573</v>
      </c>
      <c r="S7207" t="s">
        <v>46705</v>
      </c>
      <c r="T7207" t="s">
        <v>48287</v>
      </c>
      <c r="U7207" t="s">
        <v>54736</v>
      </c>
      <c r="W7207" t="s">
        <v>63541</v>
      </c>
      <c r="X7207" t="s">
        <v>46574</v>
      </c>
    </row>
    <row r="7208" spans="1:24">
      <c r="A7208">
        <f>HYPERLINK("https://www.philgeps.gov.ph/GEPSNONPILOT/Tender/SplashBidNoticeAbstractUI.aspx?menuIndex=3&amp;refID=7059939&amp;Result=3","7059939")</f>
        <v>0</v>
      </c>
      <c r="B7208" t="s">
        <v>1944</v>
      </c>
      <c r="C7208" t="s">
        <v>10367</v>
      </c>
      <c r="D7208" t="s">
        <v>18806</v>
      </c>
      <c r="E7208" t="s">
        <v>25260</v>
      </c>
      <c r="F7208" t="s">
        <v>32664</v>
      </c>
      <c r="G7208" t="s">
        <v>32672</v>
      </c>
      <c r="H7208" t="s">
        <v>12635</v>
      </c>
      <c r="I7208" t="s">
        <v>4439</v>
      </c>
      <c r="J7208" t="s">
        <v>37249</v>
      </c>
      <c r="K7208" t="s">
        <v>42297</v>
      </c>
      <c r="M7208" t="s">
        <v>44669</v>
      </c>
      <c r="N7208" t="s">
        <v>46569</v>
      </c>
      <c r="O7208" t="s">
        <v>46570</v>
      </c>
      <c r="P7208">
        <v>0</v>
      </c>
      <c r="Q7208">
        <v>0</v>
      </c>
      <c r="R7208" t="s">
        <v>46573</v>
      </c>
      <c r="S7208" t="s">
        <v>46705</v>
      </c>
      <c r="T7208" t="s">
        <v>48385</v>
      </c>
      <c r="U7208" t="s">
        <v>54737</v>
      </c>
      <c r="V7208" t="s">
        <v>62224</v>
      </c>
      <c r="W7208" t="s">
        <v>44669</v>
      </c>
      <c r="X7208" t="s">
        <v>46574</v>
      </c>
    </row>
    <row r="7209" spans="1:24">
      <c r="A7209">
        <f>HYPERLINK("https://www.philgeps.gov.ph/GEPSNONPILOT/Tender/SplashBidNoticeAbstractUI.aspx?menuIndex=3&amp;refID=7059938&amp;Result=3","7059938")</f>
        <v>0</v>
      </c>
      <c r="B7209" t="s">
        <v>1910</v>
      </c>
      <c r="C7209" t="s">
        <v>3855</v>
      </c>
      <c r="D7209" t="s">
        <v>18798</v>
      </c>
      <c r="E7209" t="s">
        <v>19193</v>
      </c>
      <c r="F7209" t="s">
        <v>32664</v>
      </c>
      <c r="G7209" t="s">
        <v>32672</v>
      </c>
      <c r="H7209" t="s">
        <v>12635</v>
      </c>
      <c r="I7209" t="s">
        <v>4333</v>
      </c>
      <c r="J7209" t="s">
        <v>37250</v>
      </c>
      <c r="K7209" t="s">
        <v>42339</v>
      </c>
      <c r="M7209" t="s">
        <v>44631</v>
      </c>
      <c r="N7209" t="s">
        <v>46569</v>
      </c>
      <c r="O7209" t="s">
        <v>46570</v>
      </c>
      <c r="P7209">
        <v>0</v>
      </c>
      <c r="Q7209">
        <v>1</v>
      </c>
      <c r="R7209" t="s">
        <v>46573</v>
      </c>
      <c r="S7209" t="s">
        <v>46705</v>
      </c>
      <c r="T7209" t="s">
        <v>48281</v>
      </c>
      <c r="U7209" t="s">
        <v>54738</v>
      </c>
      <c r="W7209" t="s">
        <v>44631</v>
      </c>
      <c r="X7209" t="s">
        <v>46574</v>
      </c>
    </row>
    <row r="7210" spans="1:24">
      <c r="A7210">
        <f>HYPERLINK("https://www.philgeps.gov.ph/GEPSNONPILOT/Tender/SplashBidNoticeAbstractUI.aspx?menuIndex=3&amp;refID=7059936&amp;Result=3","7059936")</f>
        <v>0</v>
      </c>
      <c r="B7210" t="s">
        <v>1884</v>
      </c>
      <c r="C7210" t="s">
        <v>10368</v>
      </c>
      <c r="D7210" t="s">
        <v>18784</v>
      </c>
      <c r="E7210" t="s">
        <v>25261</v>
      </c>
      <c r="F7210" t="s">
        <v>32664</v>
      </c>
      <c r="G7210" t="s">
        <v>32671</v>
      </c>
      <c r="H7210" t="s">
        <v>12635</v>
      </c>
      <c r="I7210" t="s">
        <v>8797</v>
      </c>
      <c r="J7210" t="s">
        <v>34192</v>
      </c>
      <c r="K7210" t="s">
        <v>42284</v>
      </c>
      <c r="M7210" t="s">
        <v>44603</v>
      </c>
      <c r="N7210" t="s">
        <v>46569</v>
      </c>
      <c r="O7210" t="s">
        <v>46570</v>
      </c>
      <c r="P7210">
        <v>0</v>
      </c>
      <c r="Q7210">
        <v>3</v>
      </c>
      <c r="R7210" t="s">
        <v>46573</v>
      </c>
      <c r="S7210" t="s">
        <v>46705</v>
      </c>
      <c r="T7210" t="s">
        <v>48219</v>
      </c>
      <c r="U7210" t="s">
        <v>54739</v>
      </c>
      <c r="V7210" t="s">
        <v>62212</v>
      </c>
      <c r="W7210" t="s">
        <v>44603</v>
      </c>
      <c r="X7210" t="s">
        <v>46574</v>
      </c>
    </row>
    <row r="7211" spans="1:24">
      <c r="A7211">
        <f>HYPERLINK("https://www.philgeps.gov.ph/GEPSNONPILOT/Tender/SplashBidNoticeAbstractUI.aspx?menuIndex=3&amp;refID=7059957&amp;Result=3","7059957")</f>
        <v>0</v>
      </c>
      <c r="B7211" t="s">
        <v>1201</v>
      </c>
      <c r="C7211" t="s">
        <v>10369</v>
      </c>
      <c r="D7211" t="s">
        <v>18855</v>
      </c>
      <c r="E7211" t="s">
        <v>25262</v>
      </c>
      <c r="F7211" t="s">
        <v>32664</v>
      </c>
      <c r="G7211" t="s">
        <v>32672</v>
      </c>
      <c r="H7211" t="s">
        <v>32683</v>
      </c>
      <c r="I7211" t="s">
        <v>10627</v>
      </c>
      <c r="J7211" t="s">
        <v>32974</v>
      </c>
      <c r="K7211" t="s">
        <v>42314</v>
      </c>
      <c r="M7211" t="s">
        <v>43838</v>
      </c>
      <c r="N7211" t="s">
        <v>46569</v>
      </c>
      <c r="O7211" t="s">
        <v>46570</v>
      </c>
      <c r="P7211">
        <v>0</v>
      </c>
      <c r="Q7211">
        <v>0</v>
      </c>
      <c r="R7211" t="s">
        <v>46573</v>
      </c>
      <c r="S7211" t="s">
        <v>46705</v>
      </c>
      <c r="T7211" t="s">
        <v>48593</v>
      </c>
      <c r="U7211" t="s">
        <v>53644</v>
      </c>
      <c r="W7211" t="s">
        <v>43838</v>
      </c>
      <c r="X7211" t="s">
        <v>46574</v>
      </c>
    </row>
    <row r="7212" spans="1:24">
      <c r="A7212">
        <f>HYPERLINK("https://www.philgeps.gov.ph/GEPSNONPILOT/Tender/SplashBidNoticeAbstractUI.aspx?menuIndex=3&amp;refID=7059931&amp;Result=3","7059931")</f>
        <v>0</v>
      </c>
      <c r="B7212" t="s">
        <v>1949</v>
      </c>
      <c r="C7212" t="s">
        <v>10370</v>
      </c>
      <c r="D7212" t="s">
        <v>18781</v>
      </c>
      <c r="E7212" t="s">
        <v>25263</v>
      </c>
      <c r="F7212" t="s">
        <v>32664</v>
      </c>
      <c r="G7212" t="s">
        <v>32671</v>
      </c>
      <c r="H7212" t="s">
        <v>12635</v>
      </c>
      <c r="I7212" t="s">
        <v>10370</v>
      </c>
      <c r="J7212" t="s">
        <v>37251</v>
      </c>
      <c r="K7212" t="s">
        <v>42289</v>
      </c>
      <c r="M7212" t="s">
        <v>44676</v>
      </c>
      <c r="N7212" t="s">
        <v>46569</v>
      </c>
      <c r="O7212" t="s">
        <v>46570</v>
      </c>
      <c r="P7212">
        <v>0</v>
      </c>
      <c r="Q7212">
        <v>1</v>
      </c>
      <c r="R7212" t="s">
        <v>46573</v>
      </c>
      <c r="S7212" t="s">
        <v>46705</v>
      </c>
      <c r="T7212" t="s">
        <v>48287</v>
      </c>
      <c r="U7212" t="s">
        <v>54740</v>
      </c>
      <c r="V7212" t="s">
        <v>62347</v>
      </c>
      <c r="W7212" t="s">
        <v>44676</v>
      </c>
      <c r="X7212" t="s">
        <v>46574</v>
      </c>
    </row>
    <row r="7213" spans="1:24">
      <c r="A7213">
        <f>HYPERLINK("https://www.philgeps.gov.ph/GEPSNONPILOT/Tender/SplashBidNoticeAbstractUI.aspx?menuIndex=3&amp;refID=7059927&amp;Result=3","7059927")</f>
        <v>0</v>
      </c>
      <c r="B7213" t="s">
        <v>1853</v>
      </c>
      <c r="C7213" t="s">
        <v>10371</v>
      </c>
      <c r="D7213" t="s">
        <v>18785</v>
      </c>
      <c r="E7213" t="s">
        <v>25264</v>
      </c>
      <c r="F7213" t="s">
        <v>32664</v>
      </c>
      <c r="G7213" t="s">
        <v>32675</v>
      </c>
      <c r="H7213" t="s">
        <v>12635</v>
      </c>
      <c r="I7213" t="s">
        <v>4205</v>
      </c>
      <c r="J7213" t="s">
        <v>37252</v>
      </c>
      <c r="K7213" t="s">
        <v>42284</v>
      </c>
      <c r="M7213" t="s">
        <v>44564</v>
      </c>
      <c r="N7213" t="s">
        <v>46569</v>
      </c>
      <c r="O7213" t="s">
        <v>46570</v>
      </c>
      <c r="P7213">
        <v>0</v>
      </c>
      <c r="Q7213">
        <v>1</v>
      </c>
      <c r="R7213" t="s">
        <v>46573</v>
      </c>
      <c r="S7213" t="s">
        <v>46705</v>
      </c>
      <c r="T7213" t="s">
        <v>48287</v>
      </c>
      <c r="U7213" t="s">
        <v>54741</v>
      </c>
      <c r="W7213" t="s">
        <v>44564</v>
      </c>
      <c r="X7213" t="s">
        <v>46574</v>
      </c>
    </row>
    <row r="7214" spans="1:24">
      <c r="A7214">
        <f>HYPERLINK("https://www.philgeps.gov.ph/GEPSNONPILOT/Tender/SplashBidNoticeAbstractUI.aspx?menuIndex=3&amp;refID=7054403&amp;Result=3","7054403")</f>
        <v>0</v>
      </c>
      <c r="B7214" t="s">
        <v>2240</v>
      </c>
      <c r="C7214" t="s">
        <v>10372</v>
      </c>
      <c r="D7214" t="s">
        <v>18806</v>
      </c>
      <c r="E7214" t="s">
        <v>20957</v>
      </c>
      <c r="F7214" t="s">
        <v>32664</v>
      </c>
      <c r="G7214" t="s">
        <v>32672</v>
      </c>
      <c r="H7214" t="s">
        <v>12635</v>
      </c>
      <c r="I7214" t="s">
        <v>32696</v>
      </c>
      <c r="J7214" t="s">
        <v>35589</v>
      </c>
      <c r="K7214" t="s">
        <v>42297</v>
      </c>
      <c r="M7214" t="s">
        <v>45004</v>
      </c>
      <c r="N7214" t="s">
        <v>46569</v>
      </c>
      <c r="O7214" t="s">
        <v>46570</v>
      </c>
      <c r="P7214">
        <v>0</v>
      </c>
      <c r="Q7214">
        <v>1</v>
      </c>
      <c r="R7214" t="s">
        <v>46574</v>
      </c>
      <c r="S7214" t="s">
        <v>46723</v>
      </c>
      <c r="T7214" t="s">
        <v>48302</v>
      </c>
      <c r="U7214" t="s">
        <v>54742</v>
      </c>
      <c r="W7214" t="s">
        <v>45004</v>
      </c>
      <c r="X7214" t="s">
        <v>46578</v>
      </c>
    </row>
    <row r="7215" spans="1:24">
      <c r="A7215">
        <f>HYPERLINK("https://www.philgeps.gov.ph/GEPSNONPILOT/Tender/SplashBidNoticeAbstractUI.aspx?menuIndex=3&amp;refID=7059902&amp;Result=3","7059902")</f>
        <v>0</v>
      </c>
      <c r="B7215" t="s">
        <v>2243</v>
      </c>
      <c r="C7215" t="s">
        <v>10373</v>
      </c>
      <c r="D7215" t="s">
        <v>18785</v>
      </c>
      <c r="E7215" t="s">
        <v>18926</v>
      </c>
      <c r="F7215" t="s">
        <v>32664</v>
      </c>
      <c r="G7215" t="s">
        <v>32675</v>
      </c>
      <c r="H7215" t="s">
        <v>12635</v>
      </c>
      <c r="I7215" t="s">
        <v>5589</v>
      </c>
      <c r="J7215" t="s">
        <v>33218</v>
      </c>
      <c r="K7215" t="s">
        <v>42297</v>
      </c>
      <c r="M7215" t="s">
        <v>45008</v>
      </c>
      <c r="N7215" t="s">
        <v>46569</v>
      </c>
      <c r="O7215" t="s">
        <v>46570</v>
      </c>
      <c r="P7215">
        <v>0</v>
      </c>
      <c r="Q7215">
        <v>3</v>
      </c>
      <c r="R7215" t="s">
        <v>46573</v>
      </c>
      <c r="S7215" t="s">
        <v>46705</v>
      </c>
      <c r="T7215" t="s">
        <v>48287</v>
      </c>
      <c r="U7215" t="s">
        <v>54743</v>
      </c>
      <c r="W7215" t="s">
        <v>45008</v>
      </c>
      <c r="X7215" t="s">
        <v>46574</v>
      </c>
    </row>
    <row r="7216" spans="1:24">
      <c r="A7216">
        <f>HYPERLINK("https://www.philgeps.gov.ph/GEPSNONPILOT/Tender/SplashBidNoticeAbstractUI.aspx?menuIndex=3&amp;refID=7059901&amp;Result=3","7059901")</f>
        <v>0</v>
      </c>
      <c r="B7216" t="s">
        <v>1949</v>
      </c>
      <c r="C7216" t="s">
        <v>10374</v>
      </c>
      <c r="D7216" t="s">
        <v>18781</v>
      </c>
      <c r="E7216" t="s">
        <v>25265</v>
      </c>
      <c r="F7216" t="s">
        <v>32664</v>
      </c>
      <c r="G7216" t="s">
        <v>32671</v>
      </c>
      <c r="H7216" t="s">
        <v>12635</v>
      </c>
      <c r="I7216" t="s">
        <v>10374</v>
      </c>
      <c r="J7216" t="s">
        <v>37253</v>
      </c>
      <c r="K7216" t="s">
        <v>42289</v>
      </c>
      <c r="M7216" t="s">
        <v>44676</v>
      </c>
      <c r="N7216" t="s">
        <v>46569</v>
      </c>
      <c r="O7216" t="s">
        <v>46570</v>
      </c>
      <c r="P7216">
        <v>0</v>
      </c>
      <c r="Q7216">
        <v>0</v>
      </c>
      <c r="R7216" t="s">
        <v>46573</v>
      </c>
      <c r="S7216" t="s">
        <v>46705</v>
      </c>
      <c r="T7216" t="s">
        <v>48287</v>
      </c>
      <c r="U7216" t="s">
        <v>54744</v>
      </c>
      <c r="V7216" t="s">
        <v>62348</v>
      </c>
      <c r="W7216" t="s">
        <v>44676</v>
      </c>
      <c r="X7216" t="s">
        <v>46574</v>
      </c>
    </row>
    <row r="7217" spans="1:24">
      <c r="A7217">
        <f>HYPERLINK("https://www.philgeps.gov.ph/GEPSNONPILOT/Tender/SplashBidNoticeAbstractUI.aspx?menuIndex=3&amp;refID=7059900&amp;Result=3","7059900")</f>
        <v>0</v>
      </c>
      <c r="B7217" t="s">
        <v>1921</v>
      </c>
      <c r="C7217" t="s">
        <v>10375</v>
      </c>
      <c r="D7217" t="s">
        <v>18870</v>
      </c>
      <c r="E7217" t="s">
        <v>25266</v>
      </c>
      <c r="F7217" t="s">
        <v>32664</v>
      </c>
      <c r="G7217" t="s">
        <v>32672</v>
      </c>
      <c r="H7217" t="s">
        <v>12635</v>
      </c>
      <c r="I7217" t="s">
        <v>5589</v>
      </c>
      <c r="J7217" t="s">
        <v>32853</v>
      </c>
      <c r="K7217" t="s">
        <v>42281</v>
      </c>
      <c r="M7217" t="s">
        <v>44643</v>
      </c>
      <c r="N7217" t="s">
        <v>46569</v>
      </c>
      <c r="O7217" t="s">
        <v>46570</v>
      </c>
      <c r="P7217">
        <v>0</v>
      </c>
      <c r="Q7217">
        <v>2</v>
      </c>
      <c r="R7217" t="s">
        <v>46573</v>
      </c>
      <c r="S7217" t="s">
        <v>46705</v>
      </c>
      <c r="T7217" t="s">
        <v>48279</v>
      </c>
      <c r="U7217" t="s">
        <v>53560</v>
      </c>
      <c r="W7217" t="s">
        <v>44643</v>
      </c>
      <c r="X7217" t="s">
        <v>46574</v>
      </c>
    </row>
    <row r="7218" spans="1:24">
      <c r="A7218">
        <f>HYPERLINK("https://www.philgeps.gov.ph/GEPSNONPILOT/Tender/SplashBidNoticeAbstractUI.aspx?menuIndex=3&amp;refID=7059935&amp;Result=3","7059935")</f>
        <v>0</v>
      </c>
      <c r="B7218" t="s">
        <v>1939</v>
      </c>
      <c r="C7218" t="s">
        <v>10376</v>
      </c>
      <c r="D7218" t="s">
        <v>18782</v>
      </c>
      <c r="E7218" t="s">
        <v>24046</v>
      </c>
      <c r="F7218" t="s">
        <v>32664</v>
      </c>
      <c r="G7218" t="s">
        <v>32672</v>
      </c>
      <c r="H7218" t="s">
        <v>32683</v>
      </c>
      <c r="I7218" t="s">
        <v>4439</v>
      </c>
      <c r="J7218" t="s">
        <v>37254</v>
      </c>
      <c r="K7218" t="s">
        <v>42290</v>
      </c>
      <c r="L7218" t="s">
        <v>1939</v>
      </c>
      <c r="M7218" t="s">
        <v>44664</v>
      </c>
      <c r="N7218" t="s">
        <v>46569</v>
      </c>
      <c r="O7218" t="s">
        <v>46570</v>
      </c>
      <c r="P7218">
        <v>0</v>
      </c>
      <c r="Q7218">
        <v>1</v>
      </c>
      <c r="R7218" t="s">
        <v>46573</v>
      </c>
      <c r="S7218" t="s">
        <v>46705</v>
      </c>
      <c r="T7218" t="s">
        <v>48453</v>
      </c>
      <c r="U7218" t="s">
        <v>54745</v>
      </c>
      <c r="W7218" t="s">
        <v>44664</v>
      </c>
      <c r="X7218" t="s">
        <v>46574</v>
      </c>
    </row>
    <row r="7219" spans="1:24">
      <c r="A7219">
        <f>HYPERLINK("https://www.philgeps.gov.ph/GEPSNONPILOT/Tender/SplashBidNoticeAbstractUI.aspx?menuIndex=3&amp;refID=7059895&amp;Result=3","7059895")</f>
        <v>0</v>
      </c>
      <c r="B7219" t="s">
        <v>1933</v>
      </c>
      <c r="C7219" t="s">
        <v>10377</v>
      </c>
      <c r="D7219" t="s">
        <v>18836</v>
      </c>
      <c r="E7219" t="s">
        <v>25267</v>
      </c>
      <c r="F7219" t="s">
        <v>32664</v>
      </c>
      <c r="G7219" t="s">
        <v>32671</v>
      </c>
      <c r="H7219" t="s">
        <v>12635</v>
      </c>
      <c r="I7219" t="s">
        <v>32708</v>
      </c>
      <c r="J7219" t="s">
        <v>37255</v>
      </c>
      <c r="K7219" t="s">
        <v>42289</v>
      </c>
      <c r="M7219" t="s">
        <v>44655</v>
      </c>
      <c r="N7219" t="s">
        <v>46569</v>
      </c>
      <c r="O7219" t="s">
        <v>46570</v>
      </c>
      <c r="P7219">
        <v>0</v>
      </c>
      <c r="Q7219">
        <v>10</v>
      </c>
      <c r="R7219" t="s">
        <v>46573</v>
      </c>
      <c r="S7219" t="s">
        <v>46705</v>
      </c>
      <c r="T7219" t="s">
        <v>48427</v>
      </c>
      <c r="U7219" t="s">
        <v>54746</v>
      </c>
      <c r="W7219" t="s">
        <v>44655</v>
      </c>
      <c r="X7219" t="s">
        <v>46574</v>
      </c>
    </row>
    <row r="7220" spans="1:24">
      <c r="A7220">
        <f>HYPERLINK("https://www.philgeps.gov.ph/GEPSNONPILOT/Tender/SplashBidNoticeAbstractUI.aspx?menuIndex=3&amp;refID=7059903&amp;Result=3","7059903")</f>
        <v>0</v>
      </c>
      <c r="B7220" t="s">
        <v>1853</v>
      </c>
      <c r="C7220" t="s">
        <v>10378</v>
      </c>
      <c r="D7220" t="s">
        <v>18785</v>
      </c>
      <c r="E7220" t="s">
        <v>25268</v>
      </c>
      <c r="F7220" t="s">
        <v>32664</v>
      </c>
      <c r="G7220" t="s">
        <v>32675</v>
      </c>
      <c r="H7220" t="s">
        <v>12635</v>
      </c>
      <c r="I7220" t="s">
        <v>4205</v>
      </c>
      <c r="J7220" t="s">
        <v>37256</v>
      </c>
      <c r="K7220" t="s">
        <v>42284</v>
      </c>
      <c r="M7220" t="s">
        <v>44564</v>
      </c>
      <c r="N7220" t="s">
        <v>46569</v>
      </c>
      <c r="O7220" t="s">
        <v>46570</v>
      </c>
      <c r="P7220">
        <v>0</v>
      </c>
      <c r="Q7220">
        <v>1</v>
      </c>
      <c r="R7220" t="s">
        <v>46573</v>
      </c>
      <c r="S7220" t="s">
        <v>46705</v>
      </c>
      <c r="T7220" t="s">
        <v>48287</v>
      </c>
      <c r="U7220" t="s">
        <v>54747</v>
      </c>
      <c r="W7220" t="s">
        <v>44564</v>
      </c>
      <c r="X7220" t="s">
        <v>46574</v>
      </c>
    </row>
    <row r="7221" spans="1:24">
      <c r="A7221">
        <f>HYPERLINK("https://www.philgeps.gov.ph/GEPSNONPILOT/Tender/SplashBidNoticeAbstractUI.aspx?menuIndex=3&amp;refID=7059959&amp;Result=3","7059959")</f>
        <v>0</v>
      </c>
      <c r="B7221" t="s">
        <v>2244</v>
      </c>
      <c r="C7221" t="s">
        <v>10379</v>
      </c>
      <c r="D7221" t="s">
        <v>18841</v>
      </c>
      <c r="E7221" t="s">
        <v>25269</v>
      </c>
      <c r="F7221" t="s">
        <v>32664</v>
      </c>
      <c r="G7221" t="s">
        <v>32671</v>
      </c>
      <c r="H7221" t="s">
        <v>12635</v>
      </c>
      <c r="I7221" t="s">
        <v>32706</v>
      </c>
      <c r="J7221" t="s">
        <v>33688</v>
      </c>
      <c r="K7221" t="s">
        <v>42289</v>
      </c>
      <c r="M7221" t="s">
        <v>45009</v>
      </c>
      <c r="N7221" t="s">
        <v>46569</v>
      </c>
      <c r="O7221" t="s">
        <v>46570</v>
      </c>
      <c r="P7221">
        <v>0</v>
      </c>
      <c r="Q7221">
        <v>0</v>
      </c>
      <c r="R7221" t="s">
        <v>46573</v>
      </c>
      <c r="S7221" t="s">
        <v>46705</v>
      </c>
      <c r="T7221" t="s">
        <v>48290</v>
      </c>
      <c r="U7221" t="s">
        <v>54748</v>
      </c>
      <c r="W7221" t="s">
        <v>63553</v>
      </c>
      <c r="X7221" t="s">
        <v>46574</v>
      </c>
    </row>
    <row r="7222" spans="1:24">
      <c r="A7222">
        <f>HYPERLINK("https://www.philgeps.gov.ph/GEPSNONPILOT/Tender/SplashBidNoticeAbstractUI.aspx?menuIndex=3&amp;refID=7059837&amp;Result=3","7059837")</f>
        <v>0</v>
      </c>
      <c r="B7222" t="s">
        <v>338</v>
      </c>
      <c r="C7222" t="s">
        <v>10380</v>
      </c>
      <c r="D7222" t="s">
        <v>18808</v>
      </c>
      <c r="E7222" t="s">
        <v>25270</v>
      </c>
      <c r="F7222" t="s">
        <v>32664</v>
      </c>
      <c r="G7222" t="s">
        <v>32675</v>
      </c>
      <c r="H7222" t="s">
        <v>12635</v>
      </c>
      <c r="I7222" t="s">
        <v>6168</v>
      </c>
      <c r="J7222" t="s">
        <v>37257</v>
      </c>
      <c r="K7222" t="s">
        <v>42283</v>
      </c>
      <c r="M7222" t="s">
        <v>42906</v>
      </c>
      <c r="N7222" t="s">
        <v>46569</v>
      </c>
      <c r="O7222" t="s">
        <v>46570</v>
      </c>
      <c r="P7222">
        <v>0</v>
      </c>
      <c r="Q7222">
        <v>2</v>
      </c>
      <c r="R7222" t="s">
        <v>46573</v>
      </c>
      <c r="S7222" t="s">
        <v>46705</v>
      </c>
      <c r="T7222" t="s">
        <v>48246</v>
      </c>
      <c r="U7222" t="s">
        <v>54749</v>
      </c>
      <c r="W7222" t="s">
        <v>42906</v>
      </c>
      <c r="X7222" t="s">
        <v>46574</v>
      </c>
    </row>
    <row r="7223" spans="1:24">
      <c r="A7223">
        <f>HYPERLINK("https://www.philgeps.gov.ph/GEPSNONPILOT/Tender/SplashBidNoticeAbstractUI.aspx?menuIndex=3&amp;refID=7059836&amp;Result=3","7059836")</f>
        <v>0</v>
      </c>
      <c r="B7223" t="s">
        <v>1421</v>
      </c>
      <c r="C7223" t="s">
        <v>10381</v>
      </c>
      <c r="D7223" t="s">
        <v>18826</v>
      </c>
      <c r="E7223" t="s">
        <v>25271</v>
      </c>
      <c r="F7223" t="s">
        <v>32664</v>
      </c>
      <c r="G7223" t="s">
        <v>32672</v>
      </c>
      <c r="H7223" t="s">
        <v>12635</v>
      </c>
      <c r="I7223" t="s">
        <v>6628</v>
      </c>
      <c r="J7223" t="s">
        <v>37258</v>
      </c>
      <c r="K7223" t="s">
        <v>42281</v>
      </c>
      <c r="M7223" t="s">
        <v>44080</v>
      </c>
      <c r="N7223" t="s">
        <v>46569</v>
      </c>
      <c r="O7223" t="s">
        <v>46570</v>
      </c>
      <c r="P7223">
        <v>0</v>
      </c>
      <c r="Q7223">
        <v>1</v>
      </c>
      <c r="R7223" t="s">
        <v>46573</v>
      </c>
      <c r="S7223" t="s">
        <v>46705</v>
      </c>
      <c r="T7223" t="s">
        <v>48411</v>
      </c>
      <c r="U7223" t="s">
        <v>54750</v>
      </c>
      <c r="W7223" t="s">
        <v>44080</v>
      </c>
      <c r="X7223" t="s">
        <v>46574</v>
      </c>
    </row>
    <row r="7224" spans="1:24">
      <c r="A7224">
        <f>HYPERLINK("https://www.philgeps.gov.ph/GEPSNONPILOT/Tender/SplashBidNoticeAbstractUI.aspx?menuIndex=3&amp;refID=7059805&amp;Result=3","7059805")</f>
        <v>0</v>
      </c>
      <c r="B7224" t="s">
        <v>1259</v>
      </c>
      <c r="C7224" t="s">
        <v>9057</v>
      </c>
      <c r="D7224" t="s">
        <v>18782</v>
      </c>
      <c r="E7224" t="s">
        <v>25272</v>
      </c>
      <c r="F7224" t="s">
        <v>32664</v>
      </c>
      <c r="G7224" t="s">
        <v>32671</v>
      </c>
      <c r="H7224" t="s">
        <v>12635</v>
      </c>
      <c r="I7224" t="s">
        <v>10361</v>
      </c>
      <c r="J7224" t="s">
        <v>37259</v>
      </c>
      <c r="K7224" t="s">
        <v>42284</v>
      </c>
      <c r="M7224" t="s">
        <v>43901</v>
      </c>
      <c r="N7224" t="s">
        <v>46569</v>
      </c>
      <c r="O7224" t="s">
        <v>46570</v>
      </c>
      <c r="P7224">
        <v>0</v>
      </c>
      <c r="Q7224">
        <v>0</v>
      </c>
      <c r="R7224" t="s">
        <v>46573</v>
      </c>
      <c r="S7224" t="s">
        <v>46705</v>
      </c>
      <c r="T7224" t="s">
        <v>48290</v>
      </c>
      <c r="U7224" t="s">
        <v>51460</v>
      </c>
      <c r="W7224" t="s">
        <v>43901</v>
      </c>
      <c r="X7224" t="s">
        <v>46574</v>
      </c>
    </row>
    <row r="7225" spans="1:24">
      <c r="A7225">
        <f>HYPERLINK("https://www.philgeps.gov.ph/GEPSNONPILOT/Tender/SplashBidNoticeAbstractUI.aspx?menuIndex=3&amp;refID=7053764&amp;Result=3","7053764")</f>
        <v>0</v>
      </c>
      <c r="B7225" t="s">
        <v>2242</v>
      </c>
      <c r="C7225" t="s">
        <v>10382</v>
      </c>
      <c r="D7225" t="s">
        <v>18820</v>
      </c>
      <c r="E7225" t="s">
        <v>25273</v>
      </c>
      <c r="F7225" t="s">
        <v>32664</v>
      </c>
      <c r="G7225" t="s">
        <v>32674</v>
      </c>
      <c r="H7225" t="s">
        <v>12635</v>
      </c>
      <c r="I7225" t="s">
        <v>14442</v>
      </c>
      <c r="J7225" t="s">
        <v>33974</v>
      </c>
      <c r="K7225" t="s">
        <v>42281</v>
      </c>
      <c r="M7225" t="s">
        <v>45007</v>
      </c>
      <c r="N7225" t="s">
        <v>46569</v>
      </c>
      <c r="O7225" t="s">
        <v>46570</v>
      </c>
      <c r="P7225">
        <v>0</v>
      </c>
      <c r="Q7225">
        <v>3</v>
      </c>
      <c r="R7225" t="s">
        <v>46574</v>
      </c>
      <c r="S7225" t="s">
        <v>46723</v>
      </c>
      <c r="T7225" t="s">
        <v>48336</v>
      </c>
      <c r="U7225" t="s">
        <v>54751</v>
      </c>
      <c r="V7225" t="s">
        <v>62345</v>
      </c>
      <c r="W7225" t="s">
        <v>45007</v>
      </c>
      <c r="X7225" t="s">
        <v>46578</v>
      </c>
    </row>
    <row r="7226" spans="1:24">
      <c r="A7226">
        <f>HYPERLINK("https://www.philgeps.gov.ph/GEPSNONPILOT/Tender/SplashBidNoticeAbstractUI.aspx?menuIndex=3&amp;refID=7059778&amp;Result=3","7059778")</f>
        <v>0</v>
      </c>
      <c r="B7226" t="s">
        <v>1009</v>
      </c>
      <c r="C7226" t="s">
        <v>10383</v>
      </c>
      <c r="D7226" t="s">
        <v>18783</v>
      </c>
      <c r="E7226" t="s">
        <v>25274</v>
      </c>
      <c r="F7226" t="s">
        <v>32664</v>
      </c>
      <c r="G7226" t="s">
        <v>32672</v>
      </c>
      <c r="H7226" t="s">
        <v>32683</v>
      </c>
      <c r="I7226" t="s">
        <v>10627</v>
      </c>
      <c r="J7226" t="s">
        <v>37260</v>
      </c>
      <c r="K7226" t="s">
        <v>42298</v>
      </c>
      <c r="M7226" t="s">
        <v>44413</v>
      </c>
      <c r="N7226" t="s">
        <v>46569</v>
      </c>
      <c r="O7226" t="s">
        <v>46570</v>
      </c>
      <c r="P7226">
        <v>0</v>
      </c>
      <c r="Q7226">
        <v>0</v>
      </c>
      <c r="R7226" t="s">
        <v>46573</v>
      </c>
      <c r="S7226" t="s">
        <v>46705</v>
      </c>
      <c r="T7226" t="s">
        <v>48257</v>
      </c>
      <c r="U7226" t="s">
        <v>54752</v>
      </c>
      <c r="W7226" t="s">
        <v>44413</v>
      </c>
      <c r="X7226" t="s">
        <v>46574</v>
      </c>
    </row>
    <row r="7227" spans="1:24">
      <c r="A7227">
        <f>HYPERLINK("https://www.philgeps.gov.ph/GEPSNONPILOT/Tender/SplashBidNoticeAbstractUI.aspx?menuIndex=3&amp;refID=7059834&amp;Result=3","7059834")</f>
        <v>0</v>
      </c>
      <c r="B7227" t="s">
        <v>1811</v>
      </c>
      <c r="C7227" t="s">
        <v>10384</v>
      </c>
      <c r="D7227" t="s">
        <v>18805</v>
      </c>
      <c r="E7227" t="s">
        <v>25275</v>
      </c>
      <c r="F7227" t="s">
        <v>32664</v>
      </c>
      <c r="G7227" t="s">
        <v>32672</v>
      </c>
      <c r="H7227" t="s">
        <v>12635</v>
      </c>
      <c r="I7227" t="s">
        <v>32685</v>
      </c>
      <c r="J7227" t="s">
        <v>37261</v>
      </c>
      <c r="K7227" t="s">
        <v>42283</v>
      </c>
      <c r="M7227" t="s">
        <v>44517</v>
      </c>
      <c r="N7227" t="s">
        <v>46569</v>
      </c>
      <c r="O7227" t="s">
        <v>46570</v>
      </c>
      <c r="P7227">
        <v>0</v>
      </c>
      <c r="Q7227">
        <v>0</v>
      </c>
      <c r="R7227" t="s">
        <v>46573</v>
      </c>
      <c r="S7227" t="s">
        <v>46705</v>
      </c>
      <c r="T7227" t="s">
        <v>48411</v>
      </c>
      <c r="U7227" t="s">
        <v>54753</v>
      </c>
      <c r="V7227" t="s">
        <v>62185</v>
      </c>
      <c r="W7227" t="s">
        <v>44517</v>
      </c>
      <c r="X7227" t="s">
        <v>46574</v>
      </c>
    </row>
    <row r="7228" spans="1:24">
      <c r="A7228">
        <f>HYPERLINK("https://www.philgeps.gov.ph/GEPSNONPILOT/Tender/SplashBidNoticeAbstractUI.aspx?menuIndex=3&amp;refID=7059776&amp;Result=3","7059776")</f>
        <v>0</v>
      </c>
      <c r="B7228" t="s">
        <v>2148</v>
      </c>
      <c r="C7228" t="s">
        <v>9958</v>
      </c>
      <c r="E7228" t="s">
        <v>19299</v>
      </c>
      <c r="F7228" t="s">
        <v>32664</v>
      </c>
      <c r="G7228" t="s">
        <v>32672</v>
      </c>
      <c r="H7228" t="s">
        <v>12635</v>
      </c>
      <c r="I7228" t="s">
        <v>6223</v>
      </c>
      <c r="J7228" t="s">
        <v>33078</v>
      </c>
      <c r="K7228" t="s">
        <v>42283</v>
      </c>
      <c r="M7228" t="s">
        <v>44904</v>
      </c>
      <c r="N7228" t="s">
        <v>46569</v>
      </c>
      <c r="O7228" t="s">
        <v>46570</v>
      </c>
      <c r="P7228">
        <v>0</v>
      </c>
      <c r="Q7228">
        <v>0</v>
      </c>
      <c r="R7228" t="s">
        <v>46573</v>
      </c>
      <c r="S7228" t="s">
        <v>46705</v>
      </c>
      <c r="T7228" t="s">
        <v>48228</v>
      </c>
      <c r="U7228" t="s">
        <v>54386</v>
      </c>
      <c r="W7228" t="s">
        <v>44904</v>
      </c>
      <c r="X7228" t="s">
        <v>46574</v>
      </c>
    </row>
    <row r="7229" spans="1:24">
      <c r="A7229">
        <f>HYPERLINK("https://www.philgeps.gov.ph/GEPSNONPILOT/Tender/SplashBidNoticeAbstractUI.aspx?menuIndex=3&amp;refID=7059782&amp;Result=3","7059782")</f>
        <v>0</v>
      </c>
      <c r="B7229" t="s">
        <v>1878</v>
      </c>
      <c r="C7229" t="s">
        <v>10385</v>
      </c>
      <c r="D7229" t="s">
        <v>18789</v>
      </c>
      <c r="E7229" t="s">
        <v>25276</v>
      </c>
      <c r="F7229" t="s">
        <v>32664</v>
      </c>
      <c r="G7229" t="s">
        <v>32671</v>
      </c>
      <c r="H7229" t="s">
        <v>12635</v>
      </c>
      <c r="I7229" t="s">
        <v>14442</v>
      </c>
      <c r="J7229" t="s">
        <v>37262</v>
      </c>
      <c r="K7229" t="s">
        <v>42297</v>
      </c>
      <c r="M7229" t="s">
        <v>44596</v>
      </c>
      <c r="N7229" t="s">
        <v>46569</v>
      </c>
      <c r="O7229" t="s">
        <v>46570</v>
      </c>
      <c r="P7229">
        <v>0</v>
      </c>
      <c r="Q7229">
        <v>4</v>
      </c>
      <c r="R7229" t="s">
        <v>46573</v>
      </c>
      <c r="S7229" t="s">
        <v>46705</v>
      </c>
      <c r="T7229" t="s">
        <v>48316</v>
      </c>
      <c r="U7229" t="s">
        <v>54754</v>
      </c>
      <c r="V7229" t="s">
        <v>62349</v>
      </c>
      <c r="W7229" t="s">
        <v>44596</v>
      </c>
      <c r="X7229" t="s">
        <v>46574</v>
      </c>
    </row>
    <row r="7230" spans="1:24">
      <c r="A7230">
        <f>HYPERLINK("https://www.philgeps.gov.ph/GEPSNONPILOT/Tender/SplashBidNoticeAbstractUI.aspx?menuIndex=3&amp;refID=7061749&amp;Result=3","7061749")</f>
        <v>0</v>
      </c>
      <c r="B7230" t="s">
        <v>2245</v>
      </c>
      <c r="C7230" t="s">
        <v>10386</v>
      </c>
      <c r="D7230" t="s">
        <v>18788</v>
      </c>
      <c r="E7230" t="s">
        <v>19146</v>
      </c>
      <c r="F7230" t="s">
        <v>32664</v>
      </c>
      <c r="G7230" t="s">
        <v>32672</v>
      </c>
      <c r="H7230" t="s">
        <v>12635</v>
      </c>
      <c r="I7230" t="s">
        <v>4439</v>
      </c>
      <c r="J7230" t="s">
        <v>37263</v>
      </c>
      <c r="K7230" t="s">
        <v>42297</v>
      </c>
      <c r="M7230" t="s">
        <v>45010</v>
      </c>
      <c r="N7230" t="s">
        <v>46569</v>
      </c>
      <c r="O7230" t="s">
        <v>46570</v>
      </c>
      <c r="P7230">
        <v>0</v>
      </c>
      <c r="Q7230">
        <v>0</v>
      </c>
      <c r="R7230" t="s">
        <v>46572</v>
      </c>
      <c r="S7230" t="s">
        <v>46689</v>
      </c>
      <c r="T7230" t="s">
        <v>48237</v>
      </c>
      <c r="U7230" t="s">
        <v>54755</v>
      </c>
      <c r="W7230" t="s">
        <v>45010</v>
      </c>
      <c r="X7230" t="s">
        <v>46573</v>
      </c>
    </row>
    <row r="7231" spans="1:24">
      <c r="A7231">
        <f>HYPERLINK("https://www.philgeps.gov.ph/GEPSNONPILOT/Tender/SplashBidNoticeAbstractUI.aspx?menuIndex=3&amp;refID=7061748&amp;Result=3","7061748")</f>
        <v>0</v>
      </c>
      <c r="B7231" t="s">
        <v>110</v>
      </c>
      <c r="C7231" t="s">
        <v>10387</v>
      </c>
      <c r="D7231" t="s">
        <v>18826</v>
      </c>
      <c r="E7231" t="s">
        <v>25277</v>
      </c>
      <c r="F7231" t="s">
        <v>32664</v>
      </c>
      <c r="G7231" t="s">
        <v>32672</v>
      </c>
      <c r="H7231" t="s">
        <v>32683</v>
      </c>
      <c r="I7231" t="s">
        <v>10627</v>
      </c>
      <c r="J7231" t="s">
        <v>37264</v>
      </c>
      <c r="K7231" t="s">
        <v>42369</v>
      </c>
      <c r="M7231" t="s">
        <v>42674</v>
      </c>
      <c r="N7231" t="s">
        <v>46569</v>
      </c>
      <c r="O7231" t="s">
        <v>46570</v>
      </c>
      <c r="P7231">
        <v>0</v>
      </c>
      <c r="Q7231">
        <v>1</v>
      </c>
      <c r="R7231" t="s">
        <v>46572</v>
      </c>
      <c r="S7231" t="s">
        <v>46689</v>
      </c>
      <c r="T7231" t="s">
        <v>48220</v>
      </c>
      <c r="U7231" t="s">
        <v>50948</v>
      </c>
      <c r="W7231" t="s">
        <v>42674</v>
      </c>
      <c r="X7231" t="s">
        <v>46573</v>
      </c>
    </row>
    <row r="7232" spans="1:24">
      <c r="A7232">
        <f>HYPERLINK("https://www.philgeps.gov.ph/GEPSNONPILOT/Tender/SplashBidNoticeAbstractUI.aspx?menuIndex=3&amp;refID=7061718&amp;Result=3","7061718")</f>
        <v>0</v>
      </c>
      <c r="B7232" t="s">
        <v>952</v>
      </c>
      <c r="C7232" t="s">
        <v>10388</v>
      </c>
      <c r="D7232" t="s">
        <v>18786</v>
      </c>
      <c r="E7232" t="s">
        <v>25278</v>
      </c>
      <c r="F7232" t="s">
        <v>32664</v>
      </c>
      <c r="G7232" t="s">
        <v>32671</v>
      </c>
      <c r="H7232" t="s">
        <v>12635</v>
      </c>
      <c r="I7232" t="s">
        <v>10361</v>
      </c>
      <c r="J7232" t="s">
        <v>33466</v>
      </c>
      <c r="K7232" t="s">
        <v>42281</v>
      </c>
      <c r="M7232" t="s">
        <v>43558</v>
      </c>
      <c r="N7232" t="s">
        <v>46569</v>
      </c>
      <c r="O7232" t="s">
        <v>46570</v>
      </c>
      <c r="P7232">
        <v>0</v>
      </c>
      <c r="Q7232">
        <v>0</v>
      </c>
      <c r="R7232" t="s">
        <v>46572</v>
      </c>
      <c r="S7232" t="s">
        <v>46689</v>
      </c>
      <c r="T7232" t="s">
        <v>48293</v>
      </c>
      <c r="U7232" t="s">
        <v>54756</v>
      </c>
      <c r="V7232" t="s">
        <v>62350</v>
      </c>
      <c r="W7232" t="s">
        <v>43558</v>
      </c>
      <c r="X7232" t="s">
        <v>46573</v>
      </c>
    </row>
    <row r="7233" spans="1:24">
      <c r="A7233">
        <f>HYPERLINK("https://www.philgeps.gov.ph/GEPSNONPILOT/Tender/SplashBidNoticeAbstractUI.aspx?menuIndex=3&amp;refID=7061702&amp;Result=3","7061702")</f>
        <v>0</v>
      </c>
      <c r="B7233" t="s">
        <v>1067</v>
      </c>
      <c r="C7233" t="s">
        <v>10389</v>
      </c>
      <c r="D7233" t="s">
        <v>18832</v>
      </c>
      <c r="E7233" t="s">
        <v>21428</v>
      </c>
      <c r="F7233" t="s">
        <v>32664</v>
      </c>
      <c r="G7233" t="s">
        <v>32675</v>
      </c>
      <c r="H7233" t="s">
        <v>12635</v>
      </c>
      <c r="I7233" t="s">
        <v>4333</v>
      </c>
      <c r="J7233" t="s">
        <v>33249</v>
      </c>
      <c r="K7233" t="s">
        <v>42309</v>
      </c>
      <c r="M7233" t="s">
        <v>43685</v>
      </c>
      <c r="N7233" t="s">
        <v>46569</v>
      </c>
      <c r="O7233" t="s">
        <v>46570</v>
      </c>
      <c r="P7233">
        <v>0</v>
      </c>
      <c r="Q7233">
        <v>0</v>
      </c>
      <c r="R7233" t="s">
        <v>46572</v>
      </c>
      <c r="S7233" t="s">
        <v>46689</v>
      </c>
      <c r="T7233" t="s">
        <v>48221</v>
      </c>
      <c r="U7233" t="s">
        <v>54757</v>
      </c>
      <c r="W7233" t="s">
        <v>43685</v>
      </c>
      <c r="X7233" t="s">
        <v>46573</v>
      </c>
    </row>
    <row r="7234" spans="1:24">
      <c r="A7234">
        <f>HYPERLINK("https://www.philgeps.gov.ph/GEPSNONPILOT/Tender/SplashBidNoticeAbstractUI.aspx?menuIndex=3&amp;refID=7061698&amp;Result=3","7061698")</f>
        <v>0</v>
      </c>
      <c r="B7234" t="s">
        <v>2246</v>
      </c>
      <c r="C7234" t="s">
        <v>10390</v>
      </c>
      <c r="D7234" t="s">
        <v>18790</v>
      </c>
      <c r="E7234" t="s">
        <v>25279</v>
      </c>
      <c r="F7234" t="s">
        <v>32664</v>
      </c>
      <c r="G7234" t="s">
        <v>32671</v>
      </c>
      <c r="H7234" t="s">
        <v>12635</v>
      </c>
      <c r="I7234" t="s">
        <v>32737</v>
      </c>
      <c r="J7234" t="s">
        <v>33265</v>
      </c>
      <c r="K7234" t="s">
        <v>42297</v>
      </c>
      <c r="M7234" t="s">
        <v>45011</v>
      </c>
      <c r="N7234" t="s">
        <v>46569</v>
      </c>
      <c r="O7234" t="s">
        <v>46570</v>
      </c>
      <c r="P7234">
        <v>0</v>
      </c>
      <c r="Q7234">
        <v>0</v>
      </c>
      <c r="R7234" t="s">
        <v>46572</v>
      </c>
      <c r="S7234" t="s">
        <v>46689</v>
      </c>
      <c r="T7234" t="s">
        <v>48219</v>
      </c>
      <c r="U7234" t="s">
        <v>54758</v>
      </c>
      <c r="W7234" t="s">
        <v>45011</v>
      </c>
      <c r="X7234" t="s">
        <v>46573</v>
      </c>
    </row>
    <row r="7235" spans="1:24">
      <c r="A7235">
        <f>HYPERLINK("https://www.philgeps.gov.ph/GEPSNONPILOT/Tender/SplashBidNoticeAbstractUI.aspx?menuIndex=3&amp;refID=7059777&amp;Result=3","7059777")</f>
        <v>0</v>
      </c>
      <c r="B7235" t="s">
        <v>2247</v>
      </c>
      <c r="C7235" t="s">
        <v>10391</v>
      </c>
      <c r="D7235" t="s">
        <v>18784</v>
      </c>
      <c r="E7235" t="s">
        <v>25280</v>
      </c>
      <c r="F7235" t="s">
        <v>32664</v>
      </c>
      <c r="G7235" t="s">
        <v>32671</v>
      </c>
      <c r="H7235" t="s">
        <v>12635</v>
      </c>
      <c r="I7235" t="s">
        <v>5589</v>
      </c>
      <c r="J7235" t="s">
        <v>33111</v>
      </c>
      <c r="K7235" t="s">
        <v>42297</v>
      </c>
      <c r="M7235" t="s">
        <v>45012</v>
      </c>
      <c r="N7235" t="s">
        <v>46569</v>
      </c>
      <c r="O7235" t="s">
        <v>46570</v>
      </c>
      <c r="P7235">
        <v>0</v>
      </c>
      <c r="Q7235">
        <v>4</v>
      </c>
      <c r="R7235" t="s">
        <v>46573</v>
      </c>
      <c r="S7235" t="s">
        <v>46705</v>
      </c>
      <c r="T7235" t="s">
        <v>48287</v>
      </c>
      <c r="U7235" t="s">
        <v>54759</v>
      </c>
      <c r="V7235" t="s">
        <v>62351</v>
      </c>
      <c r="W7235" t="s">
        <v>45012</v>
      </c>
      <c r="X7235" t="s">
        <v>46574</v>
      </c>
    </row>
    <row r="7236" spans="1:24">
      <c r="A7236">
        <f>HYPERLINK("https://www.philgeps.gov.ph/GEPSNONPILOT/Tender/SplashBidNoticeAbstractUI.aspx?menuIndex=3&amp;refID=7061697&amp;Result=3","7061697")</f>
        <v>0</v>
      </c>
      <c r="B7236" t="s">
        <v>2248</v>
      </c>
      <c r="C7236" t="s">
        <v>10392</v>
      </c>
      <c r="D7236" t="s">
        <v>18782</v>
      </c>
      <c r="E7236" t="s">
        <v>19673</v>
      </c>
      <c r="F7236" t="s">
        <v>32664</v>
      </c>
      <c r="G7236" t="s">
        <v>32672</v>
      </c>
      <c r="H7236" t="s">
        <v>12635</v>
      </c>
      <c r="I7236" t="s">
        <v>4439</v>
      </c>
      <c r="J7236" t="s">
        <v>37265</v>
      </c>
      <c r="K7236" t="s">
        <v>42284</v>
      </c>
      <c r="M7236" t="s">
        <v>45013</v>
      </c>
      <c r="N7236" t="s">
        <v>46569</v>
      </c>
      <c r="O7236" t="s">
        <v>46570</v>
      </c>
      <c r="P7236">
        <v>0</v>
      </c>
      <c r="Q7236">
        <v>0</v>
      </c>
      <c r="R7236" t="s">
        <v>46572</v>
      </c>
      <c r="S7236" t="s">
        <v>46689</v>
      </c>
      <c r="T7236" t="s">
        <v>48237</v>
      </c>
      <c r="U7236" t="s">
        <v>54760</v>
      </c>
      <c r="W7236" t="s">
        <v>45013</v>
      </c>
      <c r="X7236" t="s">
        <v>46573</v>
      </c>
    </row>
    <row r="7237" spans="1:24">
      <c r="A7237">
        <f>HYPERLINK("https://www.philgeps.gov.ph/GEPSNONPILOT/Tender/SplashBidNoticeAbstractUI.aspx?menuIndex=3&amp;refID=7059835&amp;Result=3","7059835")</f>
        <v>0</v>
      </c>
      <c r="B7237" t="s">
        <v>615</v>
      </c>
      <c r="C7237" t="s">
        <v>10393</v>
      </c>
      <c r="D7237" t="s">
        <v>18837</v>
      </c>
      <c r="E7237" t="s">
        <v>25281</v>
      </c>
      <c r="F7237" t="s">
        <v>32664</v>
      </c>
      <c r="G7237" t="s">
        <v>32675</v>
      </c>
      <c r="H7237" t="s">
        <v>12635</v>
      </c>
      <c r="I7237" t="s">
        <v>6223</v>
      </c>
      <c r="J7237" t="s">
        <v>37266</v>
      </c>
      <c r="K7237" t="s">
        <v>42283</v>
      </c>
      <c r="M7237" t="s">
        <v>43195</v>
      </c>
      <c r="N7237" t="s">
        <v>46569</v>
      </c>
      <c r="O7237" t="s">
        <v>46570</v>
      </c>
      <c r="P7237">
        <v>0</v>
      </c>
      <c r="Q7237">
        <v>0</v>
      </c>
      <c r="R7237" t="s">
        <v>46573</v>
      </c>
      <c r="S7237" t="s">
        <v>46705</v>
      </c>
      <c r="T7237" t="s">
        <v>48287</v>
      </c>
      <c r="U7237" t="s">
        <v>49258</v>
      </c>
      <c r="V7237" t="s">
        <v>61775</v>
      </c>
      <c r="W7237" t="s">
        <v>43195</v>
      </c>
      <c r="X7237" t="s">
        <v>46574</v>
      </c>
    </row>
    <row r="7238" spans="1:24">
      <c r="A7238">
        <f>HYPERLINK("https://www.philgeps.gov.ph/GEPSNONPILOT/Tender/SplashBidNoticeAbstractUI.aspx?menuIndex=3&amp;refID=7059780&amp;Result=3","7059780")</f>
        <v>0</v>
      </c>
      <c r="B7238" t="s">
        <v>1892</v>
      </c>
      <c r="C7238" t="s">
        <v>10394</v>
      </c>
      <c r="D7238" t="s">
        <v>18788</v>
      </c>
      <c r="E7238" t="s">
        <v>21047</v>
      </c>
      <c r="F7238" t="s">
        <v>32665</v>
      </c>
      <c r="G7238" t="s">
        <v>32674</v>
      </c>
      <c r="H7238" t="s">
        <v>12635</v>
      </c>
      <c r="I7238" t="s">
        <v>6223</v>
      </c>
      <c r="J7238" t="s">
        <v>37267</v>
      </c>
      <c r="K7238" t="s">
        <v>42303</v>
      </c>
      <c r="M7238" t="s">
        <v>44611</v>
      </c>
      <c r="N7238" t="s">
        <v>46569</v>
      </c>
      <c r="O7238" t="s">
        <v>46570</v>
      </c>
      <c r="P7238">
        <v>0</v>
      </c>
      <c r="Q7238">
        <v>1</v>
      </c>
      <c r="R7238" t="s">
        <v>46573</v>
      </c>
      <c r="S7238" t="s">
        <v>46705</v>
      </c>
      <c r="T7238" t="s">
        <v>48448</v>
      </c>
      <c r="U7238" t="s">
        <v>54761</v>
      </c>
      <c r="W7238" t="s">
        <v>44611</v>
      </c>
      <c r="X7238" t="s">
        <v>46574</v>
      </c>
    </row>
    <row r="7239" spans="1:24">
      <c r="A7239">
        <f>HYPERLINK("https://www.philgeps.gov.ph/GEPSNONPILOT/Tender/SplashBidNoticeAbstractUI.aspx?menuIndex=3&amp;refID=7061696&amp;Result=3","7061696")</f>
        <v>0</v>
      </c>
      <c r="B7239" t="s">
        <v>1010</v>
      </c>
      <c r="C7239" t="s">
        <v>10395</v>
      </c>
      <c r="D7239" t="s">
        <v>18787</v>
      </c>
      <c r="E7239" t="s">
        <v>25282</v>
      </c>
      <c r="F7239" t="s">
        <v>32664</v>
      </c>
      <c r="G7239" t="s">
        <v>32671</v>
      </c>
      <c r="H7239" t="s">
        <v>12635</v>
      </c>
      <c r="I7239" t="s">
        <v>6168</v>
      </c>
      <c r="J7239" t="s">
        <v>37268</v>
      </c>
      <c r="K7239" t="s">
        <v>42281</v>
      </c>
      <c r="M7239" t="s">
        <v>43622</v>
      </c>
      <c r="N7239" t="s">
        <v>46569</v>
      </c>
      <c r="O7239" t="s">
        <v>46570</v>
      </c>
      <c r="P7239">
        <v>0</v>
      </c>
      <c r="Q7239">
        <v>5</v>
      </c>
      <c r="R7239" t="s">
        <v>46572</v>
      </c>
      <c r="S7239" t="s">
        <v>46689</v>
      </c>
      <c r="T7239" t="s">
        <v>48219</v>
      </c>
      <c r="U7239" t="s">
        <v>54762</v>
      </c>
      <c r="W7239" t="s">
        <v>43622</v>
      </c>
      <c r="X7239" t="s">
        <v>46573</v>
      </c>
    </row>
    <row r="7240" spans="1:24">
      <c r="A7240">
        <f>HYPERLINK("https://www.philgeps.gov.ph/GEPSNONPILOT/Tender/SplashBidNoticeAbstractUI.aspx?menuIndex=3&amp;refID=7061695&amp;Result=3","7061695")</f>
        <v>0</v>
      </c>
      <c r="B7240" t="s">
        <v>2249</v>
      </c>
      <c r="C7240" t="s">
        <v>10396</v>
      </c>
      <c r="D7240" t="s">
        <v>18805</v>
      </c>
      <c r="E7240" t="s">
        <v>25283</v>
      </c>
      <c r="F7240" t="s">
        <v>32664</v>
      </c>
      <c r="G7240" t="s">
        <v>32672</v>
      </c>
      <c r="H7240" t="s">
        <v>12635</v>
      </c>
      <c r="I7240" t="s">
        <v>32692</v>
      </c>
      <c r="J7240" t="s">
        <v>37269</v>
      </c>
      <c r="K7240" t="s">
        <v>42309</v>
      </c>
      <c r="M7240" t="s">
        <v>45014</v>
      </c>
      <c r="N7240" t="s">
        <v>46569</v>
      </c>
      <c r="O7240" t="s">
        <v>46570</v>
      </c>
      <c r="P7240">
        <v>0</v>
      </c>
      <c r="Q7240">
        <v>0</v>
      </c>
      <c r="R7240" t="s">
        <v>46572</v>
      </c>
      <c r="S7240" t="s">
        <v>46689</v>
      </c>
      <c r="T7240" t="s">
        <v>48302</v>
      </c>
      <c r="U7240" t="s">
        <v>54763</v>
      </c>
      <c r="W7240" t="s">
        <v>45014</v>
      </c>
      <c r="X7240" t="s">
        <v>46573</v>
      </c>
    </row>
    <row r="7241" spans="1:24">
      <c r="A7241">
        <f>HYPERLINK("https://www.philgeps.gov.ph/GEPSNONPILOT/Tender/SplashBidNoticeAbstractUI.aspx?menuIndex=3&amp;refID=7067081&amp;Result=3","7067081")</f>
        <v>0</v>
      </c>
      <c r="B7241" t="s">
        <v>796</v>
      </c>
      <c r="C7241" t="s">
        <v>10397</v>
      </c>
      <c r="D7241" t="s">
        <v>18801</v>
      </c>
      <c r="E7241" t="s">
        <v>25284</v>
      </c>
      <c r="F7241" t="s">
        <v>32664</v>
      </c>
      <c r="G7241" t="s">
        <v>32672</v>
      </c>
      <c r="H7241" t="s">
        <v>32683</v>
      </c>
      <c r="I7241" t="s">
        <v>10627</v>
      </c>
      <c r="J7241" t="s">
        <v>37270</v>
      </c>
      <c r="K7241" t="s">
        <v>42311</v>
      </c>
      <c r="M7241" t="s">
        <v>43388</v>
      </c>
      <c r="N7241" t="s">
        <v>46569</v>
      </c>
      <c r="O7241" t="s">
        <v>46570</v>
      </c>
      <c r="P7241">
        <v>0</v>
      </c>
      <c r="Q7241">
        <v>2</v>
      </c>
      <c r="R7241" t="s">
        <v>46571</v>
      </c>
      <c r="S7241" t="s">
        <v>46687</v>
      </c>
      <c r="T7241" t="s">
        <v>48275</v>
      </c>
      <c r="U7241" t="s">
        <v>50301</v>
      </c>
      <c r="W7241" t="s">
        <v>63490</v>
      </c>
      <c r="X7241" t="s">
        <v>46572</v>
      </c>
    </row>
    <row r="7242" spans="1:24">
      <c r="A7242">
        <f>HYPERLINK("https://www.philgeps.gov.ph/GEPSNONPILOT/Tender/SplashBidNoticeAbstractUI.aspx?menuIndex=3&amp;refID=7067080&amp;Result=3","7067080")</f>
        <v>0</v>
      </c>
      <c r="B7242" t="s">
        <v>2250</v>
      </c>
      <c r="C7242" t="s">
        <v>4355</v>
      </c>
      <c r="D7242" t="s">
        <v>18784</v>
      </c>
      <c r="E7242" t="s">
        <v>25285</v>
      </c>
      <c r="F7242" t="s">
        <v>32664</v>
      </c>
      <c r="G7242" t="s">
        <v>32671</v>
      </c>
      <c r="H7242" t="s">
        <v>12635</v>
      </c>
      <c r="I7242" t="s">
        <v>9597</v>
      </c>
      <c r="J7242" t="s">
        <v>34374</v>
      </c>
      <c r="K7242" t="s">
        <v>42295</v>
      </c>
      <c r="M7242" t="s">
        <v>45015</v>
      </c>
      <c r="N7242" t="s">
        <v>46569</v>
      </c>
      <c r="O7242" t="s">
        <v>46570</v>
      </c>
      <c r="P7242">
        <v>0</v>
      </c>
      <c r="Q7242">
        <v>0</v>
      </c>
      <c r="R7242" t="s">
        <v>46571</v>
      </c>
      <c r="S7242" t="s">
        <v>46687</v>
      </c>
      <c r="T7242" t="s">
        <v>48237</v>
      </c>
      <c r="U7242" t="s">
        <v>54764</v>
      </c>
      <c r="V7242" t="s">
        <v>62352</v>
      </c>
      <c r="W7242" t="s">
        <v>45015</v>
      </c>
      <c r="X7242" t="s">
        <v>46572</v>
      </c>
    </row>
    <row r="7243" spans="1:24">
      <c r="A7243">
        <f>HYPERLINK("https://www.philgeps.gov.ph/GEPSNONPILOT/Tender/SplashBidNoticeAbstractUI.aspx?menuIndex=3&amp;refID=7067079&amp;Result=3","7067079")</f>
        <v>0</v>
      </c>
      <c r="B7243" t="s">
        <v>796</v>
      </c>
      <c r="C7243" t="s">
        <v>10398</v>
      </c>
      <c r="D7243" t="s">
        <v>18801</v>
      </c>
      <c r="E7243" t="s">
        <v>25286</v>
      </c>
      <c r="F7243" t="s">
        <v>32664</v>
      </c>
      <c r="G7243" t="s">
        <v>32672</v>
      </c>
      <c r="H7243" t="s">
        <v>32683</v>
      </c>
      <c r="I7243" t="s">
        <v>10627</v>
      </c>
      <c r="J7243" t="s">
        <v>37271</v>
      </c>
      <c r="K7243" t="s">
        <v>42311</v>
      </c>
      <c r="M7243" t="s">
        <v>43388</v>
      </c>
      <c r="N7243" t="s">
        <v>46569</v>
      </c>
      <c r="O7243" t="s">
        <v>46570</v>
      </c>
      <c r="P7243">
        <v>0</v>
      </c>
      <c r="Q7243">
        <v>2</v>
      </c>
      <c r="R7243" t="s">
        <v>46571</v>
      </c>
      <c r="S7243" t="s">
        <v>46687</v>
      </c>
      <c r="T7243" t="s">
        <v>48275</v>
      </c>
      <c r="U7243" t="s">
        <v>50301</v>
      </c>
      <c r="W7243" t="s">
        <v>63490</v>
      </c>
      <c r="X7243" t="s">
        <v>46572</v>
      </c>
    </row>
    <row r="7244" spans="1:24">
      <c r="A7244">
        <f>HYPERLINK("https://www.philgeps.gov.ph/GEPSNONPILOT/Tender/SplashBidNoticeAbstractUI.aspx?menuIndex=3&amp;refID=7067083&amp;Result=3","7067083")</f>
        <v>0</v>
      </c>
      <c r="B7244" t="s">
        <v>921</v>
      </c>
      <c r="C7244" t="s">
        <v>10399</v>
      </c>
      <c r="D7244" t="s">
        <v>18836</v>
      </c>
      <c r="E7244" t="s">
        <v>25287</v>
      </c>
      <c r="F7244" t="s">
        <v>32664</v>
      </c>
      <c r="G7244" t="s">
        <v>32672</v>
      </c>
      <c r="H7244" t="s">
        <v>12635</v>
      </c>
      <c r="I7244" t="s">
        <v>4439</v>
      </c>
      <c r="J7244" t="s">
        <v>37272</v>
      </c>
      <c r="K7244" t="s">
        <v>42283</v>
      </c>
      <c r="M7244" t="s">
        <v>43527</v>
      </c>
      <c r="N7244" t="s">
        <v>46569</v>
      </c>
      <c r="O7244" t="s">
        <v>46570</v>
      </c>
      <c r="P7244">
        <v>0</v>
      </c>
      <c r="Q7244">
        <v>0</v>
      </c>
      <c r="R7244" t="s">
        <v>46571</v>
      </c>
      <c r="S7244" t="s">
        <v>46687</v>
      </c>
      <c r="T7244" t="s">
        <v>48245</v>
      </c>
      <c r="U7244" t="s">
        <v>54765</v>
      </c>
      <c r="W7244" t="s">
        <v>43527</v>
      </c>
      <c r="X7244" t="s">
        <v>46572</v>
      </c>
    </row>
    <row r="7245" spans="1:24">
      <c r="A7245">
        <f>HYPERLINK("https://www.philgeps.gov.ph/GEPSNONPILOT/Tender/SplashBidNoticeAbstractUI.aspx?menuIndex=3&amp;refID=7067040&amp;Result=3","7067040")</f>
        <v>0</v>
      </c>
      <c r="B7245" t="s">
        <v>527</v>
      </c>
      <c r="C7245" t="s">
        <v>10400</v>
      </c>
      <c r="D7245" t="s">
        <v>18784</v>
      </c>
      <c r="E7245" t="s">
        <v>25288</v>
      </c>
      <c r="F7245" t="s">
        <v>32664</v>
      </c>
      <c r="G7245" t="s">
        <v>32671</v>
      </c>
      <c r="H7245" t="s">
        <v>12635</v>
      </c>
      <c r="I7245" t="s">
        <v>32719</v>
      </c>
      <c r="J7245" t="s">
        <v>37273</v>
      </c>
      <c r="K7245" t="s">
        <v>42284</v>
      </c>
      <c r="M7245" t="s">
        <v>43496</v>
      </c>
      <c r="N7245" t="s">
        <v>46569</v>
      </c>
      <c r="O7245" t="s">
        <v>46570</v>
      </c>
      <c r="P7245">
        <v>0</v>
      </c>
      <c r="Q7245">
        <v>0</v>
      </c>
      <c r="R7245" t="s">
        <v>46571</v>
      </c>
      <c r="S7245" t="s">
        <v>46687</v>
      </c>
      <c r="T7245" t="s">
        <v>48283</v>
      </c>
      <c r="U7245" t="s">
        <v>54766</v>
      </c>
      <c r="W7245" t="s">
        <v>43496</v>
      </c>
      <c r="X7245" t="s">
        <v>46572</v>
      </c>
    </row>
    <row r="7246" spans="1:24">
      <c r="A7246">
        <f>HYPERLINK("https://www.philgeps.gov.ph/GEPSNONPILOT/Tender/SplashBidNoticeAbstractUI.aspx?menuIndex=3&amp;refID=7061699&amp;Result=3","7061699")</f>
        <v>0</v>
      </c>
      <c r="B7246" t="s">
        <v>2249</v>
      </c>
      <c r="C7246" t="s">
        <v>10401</v>
      </c>
      <c r="D7246" t="s">
        <v>18805</v>
      </c>
      <c r="E7246" t="s">
        <v>25289</v>
      </c>
      <c r="F7246" t="s">
        <v>32664</v>
      </c>
      <c r="G7246" t="s">
        <v>32672</v>
      </c>
      <c r="H7246" t="s">
        <v>32681</v>
      </c>
      <c r="I7246" t="s">
        <v>5501</v>
      </c>
      <c r="J7246" t="s">
        <v>37274</v>
      </c>
      <c r="K7246" t="s">
        <v>42309</v>
      </c>
      <c r="M7246" t="s">
        <v>45014</v>
      </c>
      <c r="N7246" t="s">
        <v>46569</v>
      </c>
      <c r="O7246" t="s">
        <v>46570</v>
      </c>
      <c r="P7246">
        <v>0</v>
      </c>
      <c r="Q7246">
        <v>3</v>
      </c>
      <c r="R7246" t="s">
        <v>46572</v>
      </c>
      <c r="S7246" t="s">
        <v>46689</v>
      </c>
      <c r="T7246" t="s">
        <v>48302</v>
      </c>
      <c r="U7246" t="s">
        <v>54767</v>
      </c>
      <c r="W7246" t="s">
        <v>45014</v>
      </c>
      <c r="X7246" t="s">
        <v>46573</v>
      </c>
    </row>
    <row r="7247" spans="1:24">
      <c r="A7247">
        <f>HYPERLINK("https://www.philgeps.gov.ph/GEPSNONPILOT/Tender/SplashBidNoticeAbstractUI.aspx?menuIndex=3&amp;refID=7059896&amp;Result=3","7059896")</f>
        <v>0</v>
      </c>
      <c r="B7247" t="s">
        <v>2251</v>
      </c>
      <c r="C7247" t="s">
        <v>10402</v>
      </c>
      <c r="D7247" t="s">
        <v>18783</v>
      </c>
      <c r="E7247" t="s">
        <v>25290</v>
      </c>
      <c r="F7247" t="s">
        <v>32664</v>
      </c>
      <c r="G7247" t="s">
        <v>32672</v>
      </c>
      <c r="H7247" t="s">
        <v>12635</v>
      </c>
      <c r="I7247" t="s">
        <v>7759</v>
      </c>
      <c r="J7247" t="s">
        <v>33051</v>
      </c>
      <c r="K7247" t="s">
        <v>42289</v>
      </c>
      <c r="M7247" t="s">
        <v>45016</v>
      </c>
      <c r="N7247" t="s">
        <v>46569</v>
      </c>
      <c r="O7247" t="s">
        <v>46570</v>
      </c>
      <c r="P7247">
        <v>0</v>
      </c>
      <c r="Q7247">
        <v>0</v>
      </c>
      <c r="R7247" t="s">
        <v>46573</v>
      </c>
      <c r="S7247" t="s">
        <v>46705</v>
      </c>
      <c r="T7247" t="s">
        <v>48389</v>
      </c>
      <c r="U7247" t="s">
        <v>54768</v>
      </c>
      <c r="V7247" t="s">
        <v>62353</v>
      </c>
      <c r="W7247" t="s">
        <v>45016</v>
      </c>
      <c r="X7247" t="s">
        <v>46574</v>
      </c>
    </row>
    <row r="7248" spans="1:24">
      <c r="A7248">
        <f>HYPERLINK("https://www.philgeps.gov.ph/GEPSNONPILOT/Tender/SplashBidNoticeAbstractUI.aspx?menuIndex=3&amp;refID=7067057&amp;Result=3","7067057")</f>
        <v>0</v>
      </c>
      <c r="B7248" t="s">
        <v>796</v>
      </c>
      <c r="C7248" t="s">
        <v>10403</v>
      </c>
      <c r="D7248" t="s">
        <v>18801</v>
      </c>
      <c r="E7248" t="s">
        <v>25291</v>
      </c>
      <c r="F7248" t="s">
        <v>32664</v>
      </c>
      <c r="G7248" t="s">
        <v>32672</v>
      </c>
      <c r="H7248" t="s">
        <v>32683</v>
      </c>
      <c r="I7248" t="s">
        <v>10627</v>
      </c>
      <c r="J7248" t="s">
        <v>34147</v>
      </c>
      <c r="K7248" t="s">
        <v>42298</v>
      </c>
      <c r="M7248" t="s">
        <v>43388</v>
      </c>
      <c r="N7248" t="s">
        <v>46569</v>
      </c>
      <c r="O7248" t="s">
        <v>46570</v>
      </c>
      <c r="P7248">
        <v>0</v>
      </c>
      <c r="Q7248">
        <v>1</v>
      </c>
      <c r="R7248" t="s">
        <v>46571</v>
      </c>
      <c r="S7248" t="s">
        <v>46687</v>
      </c>
      <c r="T7248" t="s">
        <v>48275</v>
      </c>
      <c r="U7248" t="s">
        <v>50301</v>
      </c>
      <c r="W7248" t="s">
        <v>63490</v>
      </c>
      <c r="X7248" t="s">
        <v>46572</v>
      </c>
    </row>
    <row r="7249" spans="1:24">
      <c r="A7249">
        <f>HYPERLINK("https://www.philgeps.gov.ph/GEPSNONPILOT/Tender/SplashBidNoticeAbstractUI.aspx?menuIndex=3&amp;refID=7055649&amp;Result=3","7055649")</f>
        <v>0</v>
      </c>
      <c r="B7249" t="s">
        <v>2252</v>
      </c>
      <c r="C7249" t="s">
        <v>10404</v>
      </c>
      <c r="D7249" t="s">
        <v>18803</v>
      </c>
      <c r="E7249" t="s">
        <v>23458</v>
      </c>
      <c r="F7249" t="s">
        <v>32664</v>
      </c>
      <c r="G7249" t="s">
        <v>32672</v>
      </c>
      <c r="H7249" t="s">
        <v>32683</v>
      </c>
      <c r="I7249" t="s">
        <v>10627</v>
      </c>
      <c r="J7249" t="s">
        <v>32974</v>
      </c>
      <c r="K7249" t="s">
        <v>42283</v>
      </c>
      <c r="M7249" t="s">
        <v>45017</v>
      </c>
      <c r="N7249" t="s">
        <v>46569</v>
      </c>
      <c r="O7249" t="s">
        <v>46570</v>
      </c>
      <c r="P7249">
        <v>0</v>
      </c>
      <c r="Q7249">
        <v>0</v>
      </c>
      <c r="R7249" t="s">
        <v>46574</v>
      </c>
      <c r="S7249" t="s">
        <v>46723</v>
      </c>
      <c r="T7249" t="s">
        <v>48298</v>
      </c>
      <c r="U7249" t="s">
        <v>54769</v>
      </c>
      <c r="W7249" t="s">
        <v>45017</v>
      </c>
      <c r="X7249" t="s">
        <v>46577</v>
      </c>
    </row>
    <row r="7250" spans="1:24">
      <c r="A7250">
        <f>HYPERLINK("https://www.philgeps.gov.ph/GEPSNONPILOT/Tender/SplashBidNoticeAbstractUI.aspx?menuIndex=3&amp;refID=7067036&amp;Result=3","7067036")</f>
        <v>0</v>
      </c>
      <c r="B7250" t="s">
        <v>119</v>
      </c>
      <c r="C7250" t="s">
        <v>5028</v>
      </c>
      <c r="D7250" t="s">
        <v>18782</v>
      </c>
      <c r="E7250" t="s">
        <v>20316</v>
      </c>
      <c r="F7250" t="s">
        <v>32664</v>
      </c>
      <c r="G7250" t="s">
        <v>32674</v>
      </c>
      <c r="H7250" t="s">
        <v>12635</v>
      </c>
      <c r="I7250" t="s">
        <v>32692</v>
      </c>
      <c r="J7250" t="s">
        <v>33863</v>
      </c>
      <c r="K7250" t="s">
        <v>42309</v>
      </c>
      <c r="M7250" t="s">
        <v>42683</v>
      </c>
      <c r="N7250" t="s">
        <v>46569</v>
      </c>
      <c r="O7250" t="s">
        <v>46570</v>
      </c>
      <c r="P7250">
        <v>0</v>
      </c>
      <c r="Q7250">
        <v>0</v>
      </c>
      <c r="R7250" t="s">
        <v>46571</v>
      </c>
      <c r="S7250" t="s">
        <v>46687</v>
      </c>
      <c r="T7250" t="s">
        <v>48219</v>
      </c>
      <c r="U7250" t="s">
        <v>54770</v>
      </c>
      <c r="V7250" t="s">
        <v>61798</v>
      </c>
      <c r="W7250" t="s">
        <v>42683</v>
      </c>
      <c r="X7250" t="s">
        <v>46572</v>
      </c>
    </row>
    <row r="7251" spans="1:24">
      <c r="A7251">
        <f>HYPERLINK("https://www.philgeps.gov.ph/GEPSNONPILOT/Tender/SplashBidNoticeAbstractUI.aspx?menuIndex=3&amp;refID=7055647&amp;Result=3","7055647")</f>
        <v>0</v>
      </c>
      <c r="B7251" t="s">
        <v>2253</v>
      </c>
      <c r="C7251" t="s">
        <v>10405</v>
      </c>
      <c r="D7251" t="s">
        <v>18826</v>
      </c>
      <c r="E7251" t="s">
        <v>25292</v>
      </c>
      <c r="F7251" t="s">
        <v>32664</v>
      </c>
      <c r="G7251" t="s">
        <v>32671</v>
      </c>
      <c r="H7251" t="s">
        <v>12635</v>
      </c>
      <c r="I7251" t="s">
        <v>4439</v>
      </c>
      <c r="J7251" t="s">
        <v>32984</v>
      </c>
      <c r="K7251" t="s">
        <v>42281</v>
      </c>
      <c r="M7251" t="s">
        <v>45018</v>
      </c>
      <c r="N7251" t="s">
        <v>46569</v>
      </c>
      <c r="O7251" t="s">
        <v>46570</v>
      </c>
      <c r="P7251">
        <v>0</v>
      </c>
      <c r="Q7251">
        <v>0</v>
      </c>
      <c r="R7251" t="s">
        <v>46574</v>
      </c>
      <c r="S7251" t="s">
        <v>46723</v>
      </c>
      <c r="T7251" t="s">
        <v>48594</v>
      </c>
      <c r="U7251" t="s">
        <v>54771</v>
      </c>
      <c r="V7251" t="s">
        <v>62354</v>
      </c>
      <c r="W7251" t="s">
        <v>63554</v>
      </c>
      <c r="X7251" t="s">
        <v>46577</v>
      </c>
    </row>
    <row r="7252" spans="1:24">
      <c r="A7252">
        <f>HYPERLINK("https://www.philgeps.gov.ph/GEPSNONPILOT/Tender/SplashBidNoticeAbstractUI.aspx?menuIndex=3&amp;refID=7055640&amp;Result=3","7055640")</f>
        <v>0</v>
      </c>
      <c r="B7252" t="s">
        <v>2254</v>
      </c>
      <c r="C7252" t="s">
        <v>5471</v>
      </c>
      <c r="D7252" t="s">
        <v>18784</v>
      </c>
      <c r="E7252" t="s">
        <v>20540</v>
      </c>
      <c r="F7252" t="s">
        <v>32664</v>
      </c>
      <c r="G7252" t="s">
        <v>32671</v>
      </c>
      <c r="H7252" t="s">
        <v>12635</v>
      </c>
      <c r="I7252" t="s">
        <v>6628</v>
      </c>
      <c r="J7252" t="s">
        <v>33530</v>
      </c>
      <c r="K7252" t="s">
        <v>42305</v>
      </c>
      <c r="M7252" t="s">
        <v>45019</v>
      </c>
      <c r="N7252" t="s">
        <v>46569</v>
      </c>
      <c r="O7252" t="s">
        <v>46570</v>
      </c>
      <c r="P7252">
        <v>0</v>
      </c>
      <c r="Q7252">
        <v>12</v>
      </c>
      <c r="R7252" t="s">
        <v>46574</v>
      </c>
      <c r="S7252" t="s">
        <v>46723</v>
      </c>
      <c r="T7252" t="s">
        <v>48473</v>
      </c>
      <c r="U7252" t="s">
        <v>54772</v>
      </c>
      <c r="V7252" t="s">
        <v>62355</v>
      </c>
      <c r="W7252" t="s">
        <v>45019</v>
      </c>
      <c r="X7252" t="s">
        <v>46577</v>
      </c>
    </row>
    <row r="7253" spans="1:24">
      <c r="A7253">
        <f>HYPERLINK("https://www.philgeps.gov.ph/GEPSNONPILOT/Tender/SplashBidNoticeAbstractUI.aspx?menuIndex=3&amp;refID=7067034&amp;Result=3","7067034")</f>
        <v>0</v>
      </c>
      <c r="B7253" t="s">
        <v>902</v>
      </c>
      <c r="C7253" t="s">
        <v>10406</v>
      </c>
      <c r="D7253" t="s">
        <v>18785</v>
      </c>
      <c r="E7253" t="s">
        <v>25293</v>
      </c>
      <c r="F7253" t="s">
        <v>32664</v>
      </c>
      <c r="G7253" t="s">
        <v>32672</v>
      </c>
      <c r="H7253" t="s">
        <v>12635</v>
      </c>
      <c r="I7253" t="s">
        <v>32710</v>
      </c>
      <c r="J7253" t="s">
        <v>34985</v>
      </c>
      <c r="K7253" t="s">
        <v>42311</v>
      </c>
      <c r="M7253" t="s">
        <v>43506</v>
      </c>
      <c r="N7253" t="s">
        <v>46569</v>
      </c>
      <c r="O7253" t="s">
        <v>46570</v>
      </c>
      <c r="P7253">
        <v>0</v>
      </c>
      <c r="Q7253">
        <v>3</v>
      </c>
      <c r="R7253" t="s">
        <v>46571</v>
      </c>
      <c r="S7253" t="s">
        <v>46687</v>
      </c>
      <c r="T7253" t="s">
        <v>48222</v>
      </c>
      <c r="U7253" t="s">
        <v>54773</v>
      </c>
      <c r="W7253" t="s">
        <v>63494</v>
      </c>
      <c r="X7253" t="s">
        <v>46572</v>
      </c>
    </row>
    <row r="7254" spans="1:24">
      <c r="A7254">
        <f>HYPERLINK("https://www.philgeps.gov.ph/GEPSNONPILOT/Tender/SplashBidNoticeAbstractUI.aspx?menuIndex=3&amp;refID=7060477&amp;Result=3","7060477")</f>
        <v>0</v>
      </c>
      <c r="B7254" t="s">
        <v>1044</v>
      </c>
      <c r="C7254" t="s">
        <v>10407</v>
      </c>
      <c r="D7254" t="s">
        <v>18826</v>
      </c>
      <c r="E7254" t="s">
        <v>25294</v>
      </c>
      <c r="F7254" t="s">
        <v>32664</v>
      </c>
      <c r="G7254" t="s">
        <v>32672</v>
      </c>
      <c r="H7254" t="s">
        <v>32683</v>
      </c>
      <c r="I7254" t="s">
        <v>10627</v>
      </c>
      <c r="J7254" t="s">
        <v>37275</v>
      </c>
      <c r="K7254" t="s">
        <v>42306</v>
      </c>
      <c r="L7254" t="s">
        <v>1044</v>
      </c>
      <c r="M7254" t="s">
        <v>43658</v>
      </c>
      <c r="N7254" t="s">
        <v>46569</v>
      </c>
      <c r="O7254" t="s">
        <v>46570</v>
      </c>
      <c r="P7254">
        <v>0</v>
      </c>
      <c r="Q7254">
        <v>3</v>
      </c>
      <c r="R7254" t="s">
        <v>46572</v>
      </c>
      <c r="S7254" t="s">
        <v>46689</v>
      </c>
      <c r="T7254" t="s">
        <v>48308</v>
      </c>
      <c r="U7254" t="s">
        <v>50937</v>
      </c>
      <c r="W7254" t="s">
        <v>43658</v>
      </c>
      <c r="X7254" t="s">
        <v>46574</v>
      </c>
    </row>
    <row r="7255" spans="1:24">
      <c r="A7255">
        <f>HYPERLINK("https://www.philgeps.gov.ph/GEPSNONPILOT/Tender/SplashBidNoticeAbstractUI.aspx?menuIndex=3&amp;refID=7055639&amp;Result=3","7055639")</f>
        <v>0</v>
      </c>
      <c r="B7255" t="s">
        <v>2254</v>
      </c>
      <c r="C7255" t="s">
        <v>10408</v>
      </c>
      <c r="D7255" t="s">
        <v>18784</v>
      </c>
      <c r="E7255" t="s">
        <v>20724</v>
      </c>
      <c r="F7255" t="s">
        <v>32664</v>
      </c>
      <c r="G7255" t="s">
        <v>32671</v>
      </c>
      <c r="H7255" t="s">
        <v>12635</v>
      </c>
      <c r="I7255" t="s">
        <v>6223</v>
      </c>
      <c r="J7255" t="s">
        <v>37276</v>
      </c>
      <c r="K7255" t="s">
        <v>42281</v>
      </c>
      <c r="M7255" t="s">
        <v>45019</v>
      </c>
      <c r="N7255" t="s">
        <v>46569</v>
      </c>
      <c r="O7255" t="s">
        <v>46570</v>
      </c>
      <c r="P7255">
        <v>0</v>
      </c>
      <c r="Q7255">
        <v>7</v>
      </c>
      <c r="R7255" t="s">
        <v>46574</v>
      </c>
      <c r="S7255" t="s">
        <v>46723</v>
      </c>
      <c r="T7255" t="s">
        <v>48473</v>
      </c>
      <c r="U7255" t="s">
        <v>54774</v>
      </c>
      <c r="V7255" t="s">
        <v>62356</v>
      </c>
      <c r="W7255" t="s">
        <v>45019</v>
      </c>
      <c r="X7255" t="s">
        <v>46577</v>
      </c>
    </row>
    <row r="7256" spans="1:24">
      <c r="A7256">
        <f>HYPERLINK("https://www.philgeps.gov.ph/GEPSNONPILOT/Tender/SplashBidNoticeAbstractUI.aspx?menuIndex=3&amp;refID=7055634&amp;Result=3","7055634")</f>
        <v>0</v>
      </c>
      <c r="B7256" t="s">
        <v>2254</v>
      </c>
      <c r="C7256" t="s">
        <v>10409</v>
      </c>
      <c r="D7256" t="s">
        <v>18784</v>
      </c>
      <c r="E7256" t="s">
        <v>20248</v>
      </c>
      <c r="F7256" t="s">
        <v>32664</v>
      </c>
      <c r="G7256" t="s">
        <v>32671</v>
      </c>
      <c r="H7256" t="s">
        <v>12635</v>
      </c>
      <c r="I7256" t="s">
        <v>6223</v>
      </c>
      <c r="J7256" t="s">
        <v>33370</v>
      </c>
      <c r="K7256" t="s">
        <v>42281</v>
      </c>
      <c r="M7256" t="s">
        <v>45019</v>
      </c>
      <c r="N7256" t="s">
        <v>46569</v>
      </c>
      <c r="O7256" t="s">
        <v>46570</v>
      </c>
      <c r="P7256">
        <v>0</v>
      </c>
      <c r="Q7256">
        <v>6</v>
      </c>
      <c r="R7256" t="s">
        <v>46574</v>
      </c>
      <c r="S7256" t="s">
        <v>46723</v>
      </c>
      <c r="T7256" t="s">
        <v>48473</v>
      </c>
      <c r="U7256" t="s">
        <v>54775</v>
      </c>
      <c r="V7256" t="s">
        <v>62356</v>
      </c>
      <c r="W7256" t="s">
        <v>45019</v>
      </c>
      <c r="X7256" t="s">
        <v>46578</v>
      </c>
    </row>
    <row r="7257" spans="1:24">
      <c r="A7257">
        <f>HYPERLINK("https://www.philgeps.gov.ph/GEPSNONPILOT/Tender/SplashBidNoticeAbstractUI.aspx?menuIndex=3&amp;refID=7055645&amp;Result=3","7055645")</f>
        <v>0</v>
      </c>
      <c r="B7257" t="s">
        <v>2255</v>
      </c>
      <c r="C7257" t="s">
        <v>10410</v>
      </c>
      <c r="D7257" t="s">
        <v>18842</v>
      </c>
      <c r="E7257" t="s">
        <v>25295</v>
      </c>
      <c r="F7257" t="s">
        <v>32664</v>
      </c>
      <c r="G7257" t="s">
        <v>32672</v>
      </c>
      <c r="H7257" t="s">
        <v>32683</v>
      </c>
      <c r="I7257" t="s">
        <v>10627</v>
      </c>
      <c r="J7257" t="s">
        <v>32859</v>
      </c>
      <c r="K7257" t="s">
        <v>42298</v>
      </c>
      <c r="M7257" t="s">
        <v>45020</v>
      </c>
      <c r="N7257" t="s">
        <v>46569</v>
      </c>
      <c r="O7257" t="s">
        <v>46570</v>
      </c>
      <c r="P7257">
        <v>0</v>
      </c>
      <c r="Q7257">
        <v>0</v>
      </c>
      <c r="R7257" t="s">
        <v>46574</v>
      </c>
      <c r="S7257" t="s">
        <v>46723</v>
      </c>
      <c r="T7257" t="s">
        <v>48244</v>
      </c>
      <c r="U7257" t="s">
        <v>54776</v>
      </c>
      <c r="W7257" t="s">
        <v>45020</v>
      </c>
      <c r="X7257" t="s">
        <v>46577</v>
      </c>
    </row>
    <row r="7258" spans="1:24">
      <c r="A7258">
        <f>HYPERLINK("https://www.philgeps.gov.ph/GEPSNONPILOT/Tender/SplashBidNoticeAbstractUI.aspx?menuIndex=3&amp;refID=7060483&amp;Result=3","7060483")</f>
        <v>0</v>
      </c>
      <c r="B7258" t="s">
        <v>1043</v>
      </c>
      <c r="C7258" t="s">
        <v>10411</v>
      </c>
      <c r="D7258" t="s">
        <v>18848</v>
      </c>
      <c r="E7258" t="s">
        <v>25296</v>
      </c>
      <c r="F7258" t="s">
        <v>32664</v>
      </c>
      <c r="G7258" t="s">
        <v>32671</v>
      </c>
      <c r="H7258" t="s">
        <v>12635</v>
      </c>
      <c r="I7258" t="s">
        <v>32701</v>
      </c>
      <c r="J7258" t="s">
        <v>37277</v>
      </c>
      <c r="K7258" t="s">
        <v>42297</v>
      </c>
      <c r="M7258" t="s">
        <v>43657</v>
      </c>
      <c r="N7258" t="s">
        <v>46569</v>
      </c>
      <c r="O7258" t="s">
        <v>46570</v>
      </c>
      <c r="P7258">
        <v>0</v>
      </c>
      <c r="Q7258">
        <v>0</v>
      </c>
      <c r="R7258" t="s">
        <v>46572</v>
      </c>
      <c r="S7258" t="s">
        <v>46689</v>
      </c>
      <c r="T7258" t="s">
        <v>48280</v>
      </c>
      <c r="U7258" t="s">
        <v>54777</v>
      </c>
      <c r="V7258" t="s">
        <v>61879</v>
      </c>
      <c r="W7258" t="s">
        <v>43657</v>
      </c>
      <c r="X7258" t="s">
        <v>46574</v>
      </c>
    </row>
    <row r="7259" spans="1:24">
      <c r="A7259">
        <f>HYPERLINK("https://www.philgeps.gov.ph/GEPSNONPILOT/Tender/SplashBidNoticeAbstractUI.aspx?menuIndex=3&amp;refID=7055110&amp;Result=3","7055110")</f>
        <v>0</v>
      </c>
      <c r="B7259" t="s">
        <v>193</v>
      </c>
      <c r="C7259" t="s">
        <v>10412</v>
      </c>
      <c r="D7259" t="s">
        <v>18783</v>
      </c>
      <c r="E7259" t="s">
        <v>25297</v>
      </c>
      <c r="F7259" t="s">
        <v>32664</v>
      </c>
      <c r="G7259" t="s">
        <v>32672</v>
      </c>
      <c r="H7259" t="s">
        <v>12635</v>
      </c>
      <c r="I7259" t="s">
        <v>4439</v>
      </c>
      <c r="J7259" t="s">
        <v>37278</v>
      </c>
      <c r="K7259" t="s">
        <v>42281</v>
      </c>
      <c r="M7259" t="s">
        <v>42757</v>
      </c>
      <c r="N7259" t="s">
        <v>46569</v>
      </c>
      <c r="O7259" t="s">
        <v>46570</v>
      </c>
      <c r="P7259">
        <v>0</v>
      </c>
      <c r="Q7259">
        <v>0</v>
      </c>
      <c r="R7259" t="s">
        <v>46574</v>
      </c>
      <c r="S7259" t="s">
        <v>46723</v>
      </c>
      <c r="T7259" t="s">
        <v>48228</v>
      </c>
      <c r="U7259" t="s">
        <v>54778</v>
      </c>
      <c r="W7259" t="s">
        <v>42757</v>
      </c>
      <c r="X7259" t="s">
        <v>46578</v>
      </c>
    </row>
    <row r="7260" spans="1:24">
      <c r="A7260">
        <f>HYPERLINK("https://www.philgeps.gov.ph/GEPSNONPILOT/Tender/SplashBidNoticeAbstractUI.aspx?menuIndex=3&amp;refID=7054587&amp;Result=3","7054587")</f>
        <v>0</v>
      </c>
      <c r="B7260" t="s">
        <v>1699</v>
      </c>
      <c r="C7260" t="s">
        <v>10413</v>
      </c>
      <c r="D7260" t="s">
        <v>18862</v>
      </c>
      <c r="E7260" t="s">
        <v>25298</v>
      </c>
      <c r="F7260" t="s">
        <v>32664</v>
      </c>
      <c r="G7260" t="s">
        <v>32673</v>
      </c>
      <c r="H7260" t="s">
        <v>32683</v>
      </c>
      <c r="I7260" t="s">
        <v>10627</v>
      </c>
      <c r="J7260" t="s">
        <v>37279</v>
      </c>
      <c r="K7260" t="s">
        <v>42283</v>
      </c>
      <c r="L7260" t="s">
        <v>1699</v>
      </c>
      <c r="M7260" t="s">
        <v>44393</v>
      </c>
      <c r="N7260" t="s">
        <v>46569</v>
      </c>
      <c r="O7260" t="s">
        <v>46570</v>
      </c>
      <c r="P7260">
        <v>0</v>
      </c>
      <c r="Q7260">
        <v>3</v>
      </c>
      <c r="R7260" t="s">
        <v>46574</v>
      </c>
      <c r="S7260" t="s">
        <v>46723</v>
      </c>
      <c r="T7260" t="s">
        <v>48349</v>
      </c>
      <c r="U7260" t="s">
        <v>54779</v>
      </c>
      <c r="W7260" t="s">
        <v>44393</v>
      </c>
      <c r="X7260" t="s">
        <v>46578</v>
      </c>
    </row>
    <row r="7261" spans="1:24">
      <c r="A7261">
        <f>HYPERLINK("https://www.philgeps.gov.ph/GEPSNONPILOT/Tender/SplashBidNoticeAbstractUI.aspx?menuIndex=3&amp;refID=7055054&amp;Result=3","7055054")</f>
        <v>0</v>
      </c>
      <c r="B7261" t="s">
        <v>806</v>
      </c>
      <c r="C7261" t="s">
        <v>5314</v>
      </c>
      <c r="D7261" t="s">
        <v>18858</v>
      </c>
      <c r="E7261" t="s">
        <v>25299</v>
      </c>
      <c r="F7261" t="s">
        <v>32664</v>
      </c>
      <c r="G7261" t="s">
        <v>32677</v>
      </c>
      <c r="H7261" t="s">
        <v>12635</v>
      </c>
      <c r="I7261" t="s">
        <v>32764</v>
      </c>
      <c r="J7261" t="s">
        <v>35358</v>
      </c>
      <c r="K7261" t="s">
        <v>42284</v>
      </c>
      <c r="M7261" t="s">
        <v>43398</v>
      </c>
      <c r="N7261" t="s">
        <v>46569</v>
      </c>
      <c r="O7261" t="s">
        <v>46570</v>
      </c>
      <c r="P7261">
        <v>0</v>
      </c>
      <c r="Q7261">
        <v>0</v>
      </c>
      <c r="R7261" t="s">
        <v>46574</v>
      </c>
      <c r="S7261" t="s">
        <v>46723</v>
      </c>
      <c r="T7261" t="s">
        <v>48256</v>
      </c>
      <c r="U7261" t="s">
        <v>50323</v>
      </c>
      <c r="W7261" t="s">
        <v>43398</v>
      </c>
      <c r="X7261" t="s">
        <v>46578</v>
      </c>
    </row>
    <row r="7262" spans="1:24">
      <c r="A7262">
        <f>HYPERLINK("https://www.philgeps.gov.ph/GEPSNONPILOT/Tender/SplashBidNoticeAbstractUI.aspx?menuIndex=3&amp;refID=7055037&amp;Result=3","7055037")</f>
        <v>0</v>
      </c>
      <c r="B7262" t="s">
        <v>2069</v>
      </c>
      <c r="C7262" t="s">
        <v>10414</v>
      </c>
      <c r="E7262" t="s">
        <v>25300</v>
      </c>
      <c r="F7262" t="s">
        <v>32664</v>
      </c>
      <c r="G7262" t="s">
        <v>32677</v>
      </c>
      <c r="H7262" t="s">
        <v>32683</v>
      </c>
      <c r="I7262" t="s">
        <v>10627</v>
      </c>
      <c r="J7262" t="s">
        <v>32962</v>
      </c>
      <c r="K7262" t="s">
        <v>42283</v>
      </c>
      <c r="M7262" t="s">
        <v>44819</v>
      </c>
      <c r="N7262" t="s">
        <v>46569</v>
      </c>
      <c r="O7262" t="s">
        <v>46570</v>
      </c>
      <c r="Q7262">
        <v>0</v>
      </c>
      <c r="R7262" t="s">
        <v>46574</v>
      </c>
      <c r="S7262" t="s">
        <v>46727</v>
      </c>
      <c r="T7262" t="s">
        <v>48349</v>
      </c>
      <c r="U7262" t="s">
        <v>54780</v>
      </c>
      <c r="W7262" t="s">
        <v>44819</v>
      </c>
      <c r="X7262" t="s">
        <v>46578</v>
      </c>
    </row>
    <row r="7263" spans="1:24">
      <c r="A7263">
        <f>HYPERLINK("https://www.philgeps.gov.ph/GEPSNONPILOT/Tender/SplashBidNoticeAbstractUI.aspx?menuIndex=3&amp;refID=7055007&amp;Result=3","7055007")</f>
        <v>0</v>
      </c>
      <c r="B7263" t="s">
        <v>193</v>
      </c>
      <c r="C7263" t="s">
        <v>10415</v>
      </c>
      <c r="D7263" t="s">
        <v>18783</v>
      </c>
      <c r="E7263" t="s">
        <v>25301</v>
      </c>
      <c r="F7263" t="s">
        <v>32664</v>
      </c>
      <c r="G7263" t="s">
        <v>32672</v>
      </c>
      <c r="H7263" t="s">
        <v>12635</v>
      </c>
      <c r="I7263" t="s">
        <v>4439</v>
      </c>
      <c r="J7263" t="s">
        <v>37278</v>
      </c>
      <c r="K7263" t="s">
        <v>42281</v>
      </c>
      <c r="M7263" t="s">
        <v>42757</v>
      </c>
      <c r="N7263" t="s">
        <v>46569</v>
      </c>
      <c r="O7263" t="s">
        <v>46570</v>
      </c>
      <c r="P7263">
        <v>0</v>
      </c>
      <c r="Q7263">
        <v>0</v>
      </c>
      <c r="R7263" t="s">
        <v>46574</v>
      </c>
      <c r="S7263" t="s">
        <v>46723</v>
      </c>
      <c r="T7263" t="s">
        <v>48228</v>
      </c>
      <c r="U7263" t="s">
        <v>54781</v>
      </c>
      <c r="W7263" t="s">
        <v>42757</v>
      </c>
      <c r="X7263" t="s">
        <v>46578</v>
      </c>
    </row>
    <row r="7264" spans="1:24">
      <c r="A7264">
        <f>HYPERLINK("https://www.philgeps.gov.ph/GEPSNONPILOT/Tender/SplashBidNoticeAbstractUI.aspx?menuIndex=3&amp;refID=7054980&amp;Result=3","7054980")</f>
        <v>0</v>
      </c>
      <c r="B7264" t="s">
        <v>2069</v>
      </c>
      <c r="C7264" t="s">
        <v>10416</v>
      </c>
      <c r="E7264" t="s">
        <v>25302</v>
      </c>
      <c r="F7264" t="s">
        <v>32664</v>
      </c>
      <c r="G7264" t="s">
        <v>32677</v>
      </c>
      <c r="H7264" t="s">
        <v>32683</v>
      </c>
      <c r="I7264" t="s">
        <v>10627</v>
      </c>
      <c r="J7264" t="s">
        <v>34131</v>
      </c>
      <c r="K7264" t="s">
        <v>42283</v>
      </c>
      <c r="M7264" t="s">
        <v>44819</v>
      </c>
      <c r="N7264" t="s">
        <v>46569</v>
      </c>
      <c r="O7264" t="s">
        <v>46570</v>
      </c>
      <c r="Q7264">
        <v>2</v>
      </c>
      <c r="R7264" t="s">
        <v>46574</v>
      </c>
      <c r="S7264" t="s">
        <v>46728</v>
      </c>
      <c r="T7264" t="s">
        <v>48349</v>
      </c>
      <c r="U7264" t="s">
        <v>54780</v>
      </c>
      <c r="W7264" t="s">
        <v>44819</v>
      </c>
      <c r="X7264" t="s">
        <v>46578</v>
      </c>
    </row>
    <row r="7265" spans="1:24">
      <c r="A7265">
        <f>HYPERLINK("https://www.philgeps.gov.ph/GEPSNONPILOT/Tender/SplashBidNoticeAbstractUI.aspx?menuIndex=3&amp;refID=7055582&amp;Result=3","7055582")</f>
        <v>0</v>
      </c>
      <c r="B7265" t="s">
        <v>28</v>
      </c>
      <c r="C7265" t="s">
        <v>10417</v>
      </c>
      <c r="D7265" t="s">
        <v>18784</v>
      </c>
      <c r="E7265" t="s">
        <v>21126</v>
      </c>
      <c r="F7265" t="s">
        <v>32664</v>
      </c>
      <c r="G7265" t="s">
        <v>32672</v>
      </c>
      <c r="H7265" t="s">
        <v>12635</v>
      </c>
      <c r="I7265" t="s">
        <v>6223</v>
      </c>
      <c r="J7265" t="s">
        <v>37280</v>
      </c>
      <c r="K7265" t="s">
        <v>42284</v>
      </c>
      <c r="M7265" t="s">
        <v>42590</v>
      </c>
      <c r="N7265" t="s">
        <v>46569</v>
      </c>
      <c r="O7265" t="s">
        <v>46570</v>
      </c>
      <c r="P7265">
        <v>0</v>
      </c>
      <c r="Q7265">
        <v>1</v>
      </c>
      <c r="R7265" t="s">
        <v>46574</v>
      </c>
      <c r="S7265" t="s">
        <v>46723</v>
      </c>
      <c r="T7265" t="s">
        <v>48217</v>
      </c>
      <c r="U7265" t="s">
        <v>54782</v>
      </c>
      <c r="W7265" t="s">
        <v>42590</v>
      </c>
      <c r="X7265" t="s">
        <v>46578</v>
      </c>
    </row>
    <row r="7266" spans="1:24">
      <c r="A7266">
        <f>HYPERLINK("https://www.philgeps.gov.ph/GEPSNONPILOT/Tender/SplashBidNoticeAbstractUI.aspx?menuIndex=3&amp;refID=7054949&amp;Result=3","7054949")</f>
        <v>0</v>
      </c>
      <c r="B7266" t="s">
        <v>2230</v>
      </c>
      <c r="C7266" t="s">
        <v>10418</v>
      </c>
      <c r="D7266" t="s">
        <v>18818</v>
      </c>
      <c r="E7266" t="s">
        <v>25303</v>
      </c>
      <c r="F7266" t="s">
        <v>32664</v>
      </c>
      <c r="G7266" t="s">
        <v>32671</v>
      </c>
      <c r="H7266" t="s">
        <v>12635</v>
      </c>
      <c r="I7266" t="s">
        <v>14442</v>
      </c>
      <c r="J7266" t="s">
        <v>37281</v>
      </c>
      <c r="K7266" t="s">
        <v>42281</v>
      </c>
      <c r="M7266" t="s">
        <v>44994</v>
      </c>
      <c r="N7266" t="s">
        <v>46569</v>
      </c>
      <c r="O7266" t="s">
        <v>46570</v>
      </c>
      <c r="P7266">
        <v>0</v>
      </c>
      <c r="Q7266">
        <v>9</v>
      </c>
      <c r="R7266" t="s">
        <v>46574</v>
      </c>
      <c r="S7266" t="s">
        <v>46723</v>
      </c>
      <c r="T7266" t="s">
        <v>48595</v>
      </c>
      <c r="U7266" t="s">
        <v>54783</v>
      </c>
      <c r="V7266" t="s">
        <v>62357</v>
      </c>
      <c r="W7266" t="s">
        <v>44994</v>
      </c>
      <c r="X7266" t="s">
        <v>46578</v>
      </c>
    </row>
    <row r="7267" spans="1:24">
      <c r="A7267">
        <f>HYPERLINK("https://www.philgeps.gov.ph/GEPSNONPILOT/Tender/SplashBidNoticeAbstractUI.aspx?menuIndex=3&amp;refID=7054889&amp;Result=3","7054889")</f>
        <v>0</v>
      </c>
      <c r="B7267" t="s">
        <v>1049</v>
      </c>
      <c r="C7267" t="s">
        <v>10419</v>
      </c>
      <c r="D7267" t="s">
        <v>18792</v>
      </c>
      <c r="E7267" t="s">
        <v>25304</v>
      </c>
      <c r="F7267" t="s">
        <v>32664</v>
      </c>
      <c r="G7267" t="s">
        <v>32677</v>
      </c>
      <c r="H7267" t="s">
        <v>12635</v>
      </c>
      <c r="I7267" t="s">
        <v>7709</v>
      </c>
      <c r="J7267" t="s">
        <v>37282</v>
      </c>
      <c r="K7267" t="s">
        <v>42281</v>
      </c>
      <c r="M7267" t="s">
        <v>43666</v>
      </c>
      <c r="N7267" t="s">
        <v>46569</v>
      </c>
      <c r="O7267" t="s">
        <v>46570</v>
      </c>
      <c r="P7267">
        <v>0</v>
      </c>
      <c r="Q7267">
        <v>0</v>
      </c>
      <c r="R7267" t="s">
        <v>46574</v>
      </c>
      <c r="S7267" t="s">
        <v>46723</v>
      </c>
      <c r="T7267" t="s">
        <v>48221</v>
      </c>
      <c r="U7267" t="s">
        <v>54784</v>
      </c>
      <c r="W7267" t="s">
        <v>63505</v>
      </c>
      <c r="X7267" t="s">
        <v>46578</v>
      </c>
    </row>
    <row r="7268" spans="1:24">
      <c r="A7268">
        <f>HYPERLINK("https://www.philgeps.gov.ph/GEPSNONPILOT/Tender/SplashBidNoticeAbstractUI.aspx?menuIndex=3&amp;refID=7054681&amp;Result=3","7054681")</f>
        <v>0</v>
      </c>
      <c r="B7268" t="s">
        <v>2256</v>
      </c>
      <c r="C7268" t="s">
        <v>10420</v>
      </c>
      <c r="D7268" t="s">
        <v>18784</v>
      </c>
      <c r="E7268" t="s">
        <v>25305</v>
      </c>
      <c r="F7268" t="s">
        <v>32664</v>
      </c>
      <c r="G7268" t="s">
        <v>32672</v>
      </c>
      <c r="H7268" t="s">
        <v>32683</v>
      </c>
      <c r="I7268" t="s">
        <v>6553</v>
      </c>
      <c r="J7268" t="s">
        <v>37283</v>
      </c>
      <c r="K7268" t="s">
        <v>42314</v>
      </c>
      <c r="M7268" t="s">
        <v>45021</v>
      </c>
      <c r="N7268" t="s">
        <v>46569</v>
      </c>
      <c r="O7268" t="s">
        <v>46570</v>
      </c>
      <c r="P7268">
        <v>0</v>
      </c>
      <c r="Q7268">
        <v>0</v>
      </c>
      <c r="R7268" t="s">
        <v>46574</v>
      </c>
      <c r="S7268" t="s">
        <v>46723</v>
      </c>
      <c r="T7268" t="s">
        <v>48228</v>
      </c>
      <c r="U7268" t="s">
        <v>54785</v>
      </c>
      <c r="W7268" t="s">
        <v>45021</v>
      </c>
      <c r="X7268" t="s">
        <v>46578</v>
      </c>
    </row>
    <row r="7269" spans="1:24">
      <c r="A7269">
        <f>HYPERLINK("https://www.philgeps.gov.ph/GEPSNONPILOT/Tender/SplashBidNoticeAbstractUI.aspx?menuIndex=3&amp;refID=7067032&amp;Result=3","7067032")</f>
        <v>0</v>
      </c>
      <c r="B7269" t="s">
        <v>914</v>
      </c>
      <c r="C7269" t="s">
        <v>10421</v>
      </c>
      <c r="D7269" t="s">
        <v>18820</v>
      </c>
      <c r="E7269" t="s">
        <v>25306</v>
      </c>
      <c r="F7269" t="s">
        <v>32664</v>
      </c>
      <c r="G7269" t="s">
        <v>32671</v>
      </c>
      <c r="H7269" t="s">
        <v>12635</v>
      </c>
      <c r="I7269" t="s">
        <v>10361</v>
      </c>
      <c r="J7269" t="s">
        <v>36090</v>
      </c>
      <c r="K7269" t="s">
        <v>42295</v>
      </c>
      <c r="M7269" t="s">
        <v>43520</v>
      </c>
      <c r="N7269" t="s">
        <v>46569</v>
      </c>
      <c r="O7269" t="s">
        <v>46570</v>
      </c>
      <c r="P7269">
        <v>0</v>
      </c>
      <c r="Q7269">
        <v>0</v>
      </c>
      <c r="R7269" t="s">
        <v>46571</v>
      </c>
      <c r="S7269" t="s">
        <v>46687</v>
      </c>
      <c r="T7269" t="s">
        <v>48221</v>
      </c>
      <c r="U7269" t="s">
        <v>50602</v>
      </c>
      <c r="V7269" t="s">
        <v>61848</v>
      </c>
      <c r="W7269" t="s">
        <v>43520</v>
      </c>
      <c r="X7269" t="s">
        <v>46572</v>
      </c>
    </row>
    <row r="7270" spans="1:24">
      <c r="A7270">
        <f>HYPERLINK("https://www.philgeps.gov.ph/GEPSNONPILOT/Tender/SplashBidNoticeAbstractUI.aspx?menuIndex=3&amp;refID=7055655&amp;Result=3","7055655")</f>
        <v>0</v>
      </c>
      <c r="B7270" t="s">
        <v>2257</v>
      </c>
      <c r="C7270" t="s">
        <v>10422</v>
      </c>
      <c r="D7270" t="s">
        <v>18784</v>
      </c>
      <c r="E7270" t="s">
        <v>20724</v>
      </c>
      <c r="F7270" t="s">
        <v>32664</v>
      </c>
      <c r="G7270" t="s">
        <v>32671</v>
      </c>
      <c r="H7270" t="s">
        <v>12635</v>
      </c>
      <c r="I7270" t="s">
        <v>32750</v>
      </c>
      <c r="J7270" t="s">
        <v>33051</v>
      </c>
      <c r="K7270" t="s">
        <v>42309</v>
      </c>
      <c r="M7270" t="s">
        <v>45022</v>
      </c>
      <c r="N7270" t="s">
        <v>46569</v>
      </c>
      <c r="O7270" t="s">
        <v>46570</v>
      </c>
      <c r="P7270">
        <v>0</v>
      </c>
      <c r="Q7270">
        <v>9</v>
      </c>
      <c r="R7270" t="s">
        <v>46574</v>
      </c>
      <c r="S7270" t="s">
        <v>46723</v>
      </c>
      <c r="T7270" t="s">
        <v>48473</v>
      </c>
      <c r="U7270" t="s">
        <v>54786</v>
      </c>
      <c r="V7270" t="s">
        <v>54786</v>
      </c>
      <c r="W7270" t="s">
        <v>45022</v>
      </c>
      <c r="X7270" t="s">
        <v>46577</v>
      </c>
    </row>
    <row r="7271" spans="1:24">
      <c r="A7271">
        <f>HYPERLINK("https://www.philgeps.gov.ph/GEPSNONPILOT/Tender/SplashBidNoticeAbstractUI.aspx?menuIndex=3&amp;refID=7067033&amp;Result=3","7067033")</f>
        <v>0</v>
      </c>
      <c r="B7271" t="s">
        <v>527</v>
      </c>
      <c r="C7271" t="s">
        <v>10423</v>
      </c>
      <c r="D7271" t="s">
        <v>18784</v>
      </c>
      <c r="E7271" t="s">
        <v>25307</v>
      </c>
      <c r="F7271" t="s">
        <v>32664</v>
      </c>
      <c r="G7271" t="s">
        <v>32671</v>
      </c>
      <c r="H7271" t="s">
        <v>12635</v>
      </c>
      <c r="I7271" t="s">
        <v>6223</v>
      </c>
      <c r="J7271" t="s">
        <v>37284</v>
      </c>
      <c r="K7271" t="s">
        <v>42284</v>
      </c>
      <c r="M7271" t="s">
        <v>43496</v>
      </c>
      <c r="N7271" t="s">
        <v>46569</v>
      </c>
      <c r="O7271" t="s">
        <v>46570</v>
      </c>
      <c r="P7271">
        <v>0</v>
      </c>
      <c r="Q7271">
        <v>0</v>
      </c>
      <c r="R7271" t="s">
        <v>46571</v>
      </c>
      <c r="S7271" t="s">
        <v>46687</v>
      </c>
      <c r="T7271" t="s">
        <v>48283</v>
      </c>
      <c r="U7271" t="s">
        <v>50579</v>
      </c>
      <c r="W7271" t="s">
        <v>43496</v>
      </c>
      <c r="X7271" t="s">
        <v>46572</v>
      </c>
    </row>
    <row r="7272" spans="1:24">
      <c r="A7272">
        <f>HYPERLINK("https://www.philgeps.gov.ph/GEPSNONPILOT/Tender/SplashBidNoticeAbstractUI.aspx?menuIndex=3&amp;refID=7067037&amp;Result=3","7067037")</f>
        <v>0</v>
      </c>
      <c r="B7272" t="s">
        <v>919</v>
      </c>
      <c r="C7272" t="s">
        <v>10424</v>
      </c>
      <c r="D7272" t="s">
        <v>18785</v>
      </c>
      <c r="E7272" t="s">
        <v>25308</v>
      </c>
      <c r="F7272" t="s">
        <v>32664</v>
      </c>
      <c r="G7272" t="s">
        <v>32671</v>
      </c>
      <c r="H7272" t="s">
        <v>32683</v>
      </c>
      <c r="I7272" t="s">
        <v>32733</v>
      </c>
      <c r="J7272" t="s">
        <v>37285</v>
      </c>
      <c r="K7272" t="s">
        <v>42281</v>
      </c>
      <c r="M7272" t="s">
        <v>43525</v>
      </c>
      <c r="N7272" t="s">
        <v>46569</v>
      </c>
      <c r="O7272" t="s">
        <v>46570</v>
      </c>
      <c r="P7272">
        <v>0</v>
      </c>
      <c r="Q7272">
        <v>0</v>
      </c>
      <c r="R7272" t="s">
        <v>46571</v>
      </c>
      <c r="S7272" t="s">
        <v>46687</v>
      </c>
      <c r="T7272" t="s">
        <v>48283</v>
      </c>
      <c r="U7272" t="s">
        <v>49667</v>
      </c>
      <c r="W7272" t="s">
        <v>43525</v>
      </c>
      <c r="X7272" t="s">
        <v>46572</v>
      </c>
    </row>
    <row r="7273" spans="1:24">
      <c r="A7273">
        <f>HYPERLINK("https://www.philgeps.gov.ph/GEPSNONPILOT/Tender/SplashBidNoticeAbstractUI.aspx?menuIndex=3&amp;refID=7055773&amp;Result=3","7055773")</f>
        <v>0</v>
      </c>
      <c r="B7273" t="s">
        <v>2258</v>
      </c>
      <c r="C7273" t="s">
        <v>10425</v>
      </c>
      <c r="D7273" t="s">
        <v>18805</v>
      </c>
      <c r="E7273" t="s">
        <v>18926</v>
      </c>
      <c r="F7273" t="s">
        <v>32664</v>
      </c>
      <c r="G7273" t="s">
        <v>32671</v>
      </c>
      <c r="H7273" t="s">
        <v>12635</v>
      </c>
      <c r="I7273" t="s">
        <v>32727</v>
      </c>
      <c r="J7273" t="s">
        <v>34086</v>
      </c>
      <c r="K7273" t="s">
        <v>42281</v>
      </c>
      <c r="M7273" t="s">
        <v>45023</v>
      </c>
      <c r="N7273" t="s">
        <v>46569</v>
      </c>
      <c r="O7273" t="s">
        <v>46570</v>
      </c>
      <c r="P7273">
        <v>0</v>
      </c>
      <c r="Q7273">
        <v>4</v>
      </c>
      <c r="R7273" t="s">
        <v>46574</v>
      </c>
      <c r="S7273" t="s">
        <v>46723</v>
      </c>
      <c r="T7273" t="s">
        <v>48293</v>
      </c>
      <c r="U7273" t="s">
        <v>54787</v>
      </c>
      <c r="W7273" t="s">
        <v>45023</v>
      </c>
      <c r="X7273" t="s">
        <v>46577</v>
      </c>
    </row>
    <row r="7274" spans="1:24">
      <c r="A7274">
        <f>HYPERLINK("https://www.philgeps.gov.ph/GEPSNONPILOT/Tender/SplashBidNoticeAbstractUI.aspx?menuIndex=3&amp;refID=7055043&amp;Result=3","7055043")</f>
        <v>0</v>
      </c>
      <c r="B7274" t="s">
        <v>193</v>
      </c>
      <c r="C7274" t="s">
        <v>10426</v>
      </c>
      <c r="D7274" t="s">
        <v>18783</v>
      </c>
      <c r="E7274" t="s">
        <v>25309</v>
      </c>
      <c r="F7274" t="s">
        <v>32664</v>
      </c>
      <c r="G7274" t="s">
        <v>32672</v>
      </c>
      <c r="H7274" t="s">
        <v>12635</v>
      </c>
      <c r="I7274" t="s">
        <v>4439</v>
      </c>
      <c r="J7274" t="s">
        <v>37286</v>
      </c>
      <c r="K7274" t="s">
        <v>42281</v>
      </c>
      <c r="M7274" t="s">
        <v>42757</v>
      </c>
      <c r="N7274" t="s">
        <v>46569</v>
      </c>
      <c r="O7274" t="s">
        <v>46570</v>
      </c>
      <c r="P7274">
        <v>0</v>
      </c>
      <c r="Q7274">
        <v>0</v>
      </c>
      <c r="R7274" t="s">
        <v>46574</v>
      </c>
      <c r="S7274" t="s">
        <v>46723</v>
      </c>
      <c r="T7274" t="s">
        <v>48228</v>
      </c>
      <c r="U7274" t="s">
        <v>54788</v>
      </c>
      <c r="W7274" t="s">
        <v>42757</v>
      </c>
      <c r="X7274" t="s">
        <v>46578</v>
      </c>
    </row>
    <row r="7275" spans="1:24">
      <c r="A7275">
        <f>HYPERLINK("https://www.philgeps.gov.ph/GEPSNONPILOT/Tender/SplashBidNoticeAbstractUI.aspx?menuIndex=3&amp;refID=7055772&amp;Result=3","7055772")</f>
        <v>0</v>
      </c>
      <c r="B7275" t="s">
        <v>2259</v>
      </c>
      <c r="C7275" t="s">
        <v>10427</v>
      </c>
      <c r="D7275" t="s">
        <v>18781</v>
      </c>
      <c r="E7275" t="s">
        <v>25310</v>
      </c>
      <c r="F7275" t="s">
        <v>32664</v>
      </c>
      <c r="G7275" t="s">
        <v>32672</v>
      </c>
      <c r="H7275" t="s">
        <v>12635</v>
      </c>
      <c r="I7275" t="s">
        <v>9486</v>
      </c>
      <c r="J7275" t="s">
        <v>37287</v>
      </c>
      <c r="K7275" t="s">
        <v>42297</v>
      </c>
      <c r="M7275" t="s">
        <v>45024</v>
      </c>
      <c r="N7275" t="s">
        <v>46569</v>
      </c>
      <c r="O7275" t="s">
        <v>46570</v>
      </c>
      <c r="P7275">
        <v>0</v>
      </c>
      <c r="Q7275">
        <v>1</v>
      </c>
      <c r="R7275" t="s">
        <v>46574</v>
      </c>
      <c r="S7275" t="s">
        <v>46723</v>
      </c>
      <c r="T7275" t="s">
        <v>48293</v>
      </c>
      <c r="U7275" t="s">
        <v>54789</v>
      </c>
      <c r="W7275" t="s">
        <v>45024</v>
      </c>
      <c r="X7275" t="s">
        <v>46577</v>
      </c>
    </row>
    <row r="7276" spans="1:24">
      <c r="A7276">
        <f>HYPERLINK("https://www.philgeps.gov.ph/GEPSNONPILOT/Tender/SplashBidNoticeAbstractUI.aspx?menuIndex=3&amp;refID=7055764&amp;Result=3","7055764")</f>
        <v>0</v>
      </c>
      <c r="B7276" t="s">
        <v>304</v>
      </c>
      <c r="C7276" t="s">
        <v>10428</v>
      </c>
      <c r="D7276" t="s">
        <v>18792</v>
      </c>
      <c r="E7276" t="s">
        <v>19460</v>
      </c>
      <c r="F7276" t="s">
        <v>32664</v>
      </c>
      <c r="G7276" t="s">
        <v>32671</v>
      </c>
      <c r="H7276" t="s">
        <v>12635</v>
      </c>
      <c r="I7276" t="s">
        <v>32688</v>
      </c>
      <c r="J7276" t="s">
        <v>37288</v>
      </c>
      <c r="K7276" t="s">
        <v>42295</v>
      </c>
      <c r="M7276" t="s">
        <v>42871</v>
      </c>
      <c r="N7276" t="s">
        <v>46569</v>
      </c>
      <c r="O7276" t="s">
        <v>46570</v>
      </c>
      <c r="P7276">
        <v>0</v>
      </c>
      <c r="Q7276">
        <v>0</v>
      </c>
      <c r="R7276" t="s">
        <v>46574</v>
      </c>
      <c r="S7276" t="s">
        <v>46723</v>
      </c>
      <c r="T7276" t="s">
        <v>48287</v>
      </c>
      <c r="U7276" t="s">
        <v>54790</v>
      </c>
      <c r="W7276" t="s">
        <v>42871</v>
      </c>
      <c r="X7276" t="s">
        <v>46577</v>
      </c>
    </row>
    <row r="7277" spans="1:24">
      <c r="A7277">
        <f>HYPERLINK("https://www.philgeps.gov.ph/GEPSNONPILOT/Tender/SplashBidNoticeAbstractUI.aspx?menuIndex=3&amp;refID=7055759&amp;Result=3","7055759")</f>
        <v>0</v>
      </c>
      <c r="B7277" t="s">
        <v>1939</v>
      </c>
      <c r="C7277" t="s">
        <v>10429</v>
      </c>
      <c r="D7277" t="s">
        <v>18782</v>
      </c>
      <c r="E7277" t="s">
        <v>25311</v>
      </c>
      <c r="F7277" t="s">
        <v>32664</v>
      </c>
      <c r="G7277" t="s">
        <v>32671</v>
      </c>
      <c r="H7277" t="s">
        <v>12635</v>
      </c>
      <c r="I7277" t="s">
        <v>32685</v>
      </c>
      <c r="J7277" t="s">
        <v>32962</v>
      </c>
      <c r="K7277" t="s">
        <v>42298</v>
      </c>
      <c r="L7277" t="s">
        <v>1939</v>
      </c>
      <c r="M7277" t="s">
        <v>44664</v>
      </c>
      <c r="N7277" t="s">
        <v>46569</v>
      </c>
      <c r="O7277" t="s">
        <v>46570</v>
      </c>
      <c r="P7277">
        <v>0</v>
      </c>
      <c r="Q7277">
        <v>1</v>
      </c>
      <c r="R7277" t="s">
        <v>46574</v>
      </c>
      <c r="S7277" t="s">
        <v>46723</v>
      </c>
      <c r="T7277" t="s">
        <v>48453</v>
      </c>
      <c r="U7277" t="s">
        <v>54791</v>
      </c>
      <c r="W7277" t="s">
        <v>44664</v>
      </c>
      <c r="X7277" t="s">
        <v>46577</v>
      </c>
    </row>
    <row r="7278" spans="1:24">
      <c r="A7278">
        <f>HYPERLINK("https://www.philgeps.gov.ph/GEPSNONPILOT/Tender/SplashBidNoticeAbstractUI.aspx?menuIndex=3&amp;refID=7055264&amp;Result=3","7055264")</f>
        <v>0</v>
      </c>
      <c r="B7278" t="s">
        <v>922</v>
      </c>
      <c r="C7278" t="s">
        <v>10430</v>
      </c>
      <c r="D7278" t="s">
        <v>18788</v>
      </c>
      <c r="E7278" t="s">
        <v>21233</v>
      </c>
      <c r="F7278" t="s">
        <v>32664</v>
      </c>
      <c r="G7278" t="s">
        <v>32672</v>
      </c>
      <c r="H7278" t="s">
        <v>32683</v>
      </c>
      <c r="I7278" t="s">
        <v>10627</v>
      </c>
      <c r="J7278" t="s">
        <v>32943</v>
      </c>
      <c r="K7278" t="s">
        <v>42311</v>
      </c>
      <c r="M7278" t="s">
        <v>43528</v>
      </c>
      <c r="N7278" t="s">
        <v>46569</v>
      </c>
      <c r="O7278" t="s">
        <v>46570</v>
      </c>
      <c r="P7278">
        <v>0</v>
      </c>
      <c r="Q7278">
        <v>2</v>
      </c>
      <c r="R7278" t="s">
        <v>46574</v>
      </c>
      <c r="S7278" t="s">
        <v>46723</v>
      </c>
      <c r="T7278" t="s">
        <v>48349</v>
      </c>
      <c r="U7278" t="s">
        <v>54792</v>
      </c>
      <c r="W7278" t="s">
        <v>43528</v>
      </c>
      <c r="X7278" t="s">
        <v>46578</v>
      </c>
    </row>
    <row r="7279" spans="1:24">
      <c r="A7279">
        <f>HYPERLINK("https://www.philgeps.gov.ph/GEPSNONPILOT/Tender/SplashBidNoticeAbstractUI.aspx?menuIndex=3&amp;refID=7055743&amp;Result=3","7055743")</f>
        <v>0</v>
      </c>
      <c r="B7279" t="s">
        <v>1939</v>
      </c>
      <c r="C7279" t="s">
        <v>10431</v>
      </c>
      <c r="D7279" t="s">
        <v>18782</v>
      </c>
      <c r="E7279" t="s">
        <v>25312</v>
      </c>
      <c r="F7279" t="s">
        <v>32664</v>
      </c>
      <c r="G7279" t="s">
        <v>32672</v>
      </c>
      <c r="H7279" t="s">
        <v>12635</v>
      </c>
      <c r="I7279" t="s">
        <v>9486</v>
      </c>
      <c r="J7279" t="s">
        <v>34038</v>
      </c>
      <c r="K7279" t="s">
        <v>42281</v>
      </c>
      <c r="L7279" t="s">
        <v>1939</v>
      </c>
      <c r="M7279" t="s">
        <v>44664</v>
      </c>
      <c r="N7279" t="s">
        <v>46569</v>
      </c>
      <c r="O7279" t="s">
        <v>46570</v>
      </c>
      <c r="P7279">
        <v>0</v>
      </c>
      <c r="Q7279">
        <v>1</v>
      </c>
      <c r="R7279" t="s">
        <v>46574</v>
      </c>
      <c r="S7279" t="s">
        <v>46723</v>
      </c>
      <c r="T7279" t="s">
        <v>48453</v>
      </c>
      <c r="U7279" t="s">
        <v>54793</v>
      </c>
      <c r="W7279" t="s">
        <v>44664</v>
      </c>
      <c r="X7279" t="s">
        <v>46577</v>
      </c>
    </row>
    <row r="7280" spans="1:24">
      <c r="A7280">
        <f>HYPERLINK("https://www.philgeps.gov.ph/GEPSNONPILOT/Tender/SplashBidNoticeAbstractUI.aspx?menuIndex=3&amp;refID=7055738&amp;Result=3","7055738")</f>
        <v>0</v>
      </c>
      <c r="B7280" t="s">
        <v>304</v>
      </c>
      <c r="C7280" t="s">
        <v>10432</v>
      </c>
      <c r="D7280" t="s">
        <v>18792</v>
      </c>
      <c r="E7280" t="s">
        <v>19460</v>
      </c>
      <c r="F7280" t="s">
        <v>32664</v>
      </c>
      <c r="G7280" t="s">
        <v>32671</v>
      </c>
      <c r="H7280" t="s">
        <v>12635</v>
      </c>
      <c r="I7280" t="s">
        <v>32707</v>
      </c>
      <c r="J7280" t="s">
        <v>37289</v>
      </c>
      <c r="K7280" t="s">
        <v>42295</v>
      </c>
      <c r="M7280" t="s">
        <v>42871</v>
      </c>
      <c r="N7280" t="s">
        <v>46569</v>
      </c>
      <c r="O7280" t="s">
        <v>46570</v>
      </c>
      <c r="P7280">
        <v>0</v>
      </c>
      <c r="Q7280">
        <v>0</v>
      </c>
      <c r="R7280" t="s">
        <v>46574</v>
      </c>
      <c r="S7280" t="s">
        <v>46723</v>
      </c>
      <c r="T7280" t="s">
        <v>48287</v>
      </c>
      <c r="U7280" t="s">
        <v>54794</v>
      </c>
      <c r="W7280" t="s">
        <v>42871</v>
      </c>
      <c r="X7280" t="s">
        <v>46577</v>
      </c>
    </row>
    <row r="7281" spans="1:24">
      <c r="A7281">
        <f>HYPERLINK("https://www.philgeps.gov.ph/GEPSNONPILOT/Tender/SplashBidNoticeAbstractUI.aspx?menuIndex=3&amp;refID=7055729&amp;Result=3","7055729")</f>
        <v>0</v>
      </c>
      <c r="B7281" t="s">
        <v>537</v>
      </c>
      <c r="C7281" t="s">
        <v>10433</v>
      </c>
      <c r="D7281" t="s">
        <v>18791</v>
      </c>
      <c r="E7281" t="s">
        <v>25313</v>
      </c>
      <c r="F7281" t="s">
        <v>32664</v>
      </c>
      <c r="G7281" t="s">
        <v>32671</v>
      </c>
      <c r="H7281" t="s">
        <v>12635</v>
      </c>
      <c r="I7281" t="s">
        <v>5589</v>
      </c>
      <c r="J7281" t="s">
        <v>37290</v>
      </c>
      <c r="K7281" t="s">
        <v>42295</v>
      </c>
      <c r="M7281" t="s">
        <v>43115</v>
      </c>
      <c r="N7281" t="s">
        <v>46569</v>
      </c>
      <c r="O7281" t="s">
        <v>46570</v>
      </c>
      <c r="P7281">
        <v>0</v>
      </c>
      <c r="Q7281">
        <v>4</v>
      </c>
      <c r="R7281" t="s">
        <v>46574</v>
      </c>
      <c r="S7281" t="s">
        <v>46723</v>
      </c>
      <c r="T7281" t="s">
        <v>48473</v>
      </c>
      <c r="U7281" t="s">
        <v>54795</v>
      </c>
      <c r="W7281" t="s">
        <v>43115</v>
      </c>
      <c r="X7281" t="s">
        <v>46577</v>
      </c>
    </row>
    <row r="7282" spans="1:24">
      <c r="A7282">
        <f>HYPERLINK("https://www.philgeps.gov.ph/GEPSNONPILOT/Tender/SplashBidNoticeAbstractUI.aspx?menuIndex=3&amp;refID=7055716&amp;Result=3","7055716")</f>
        <v>0</v>
      </c>
      <c r="B7282" t="s">
        <v>1939</v>
      </c>
      <c r="C7282" t="s">
        <v>10434</v>
      </c>
      <c r="D7282" t="s">
        <v>18782</v>
      </c>
      <c r="E7282" t="s">
        <v>25314</v>
      </c>
      <c r="F7282" t="s">
        <v>32664</v>
      </c>
      <c r="G7282" t="s">
        <v>32671</v>
      </c>
      <c r="H7282" t="s">
        <v>12635</v>
      </c>
      <c r="I7282" t="s">
        <v>8730</v>
      </c>
      <c r="J7282" t="s">
        <v>35702</v>
      </c>
      <c r="K7282" t="s">
        <v>42284</v>
      </c>
      <c r="L7282" t="s">
        <v>1939</v>
      </c>
      <c r="M7282" t="s">
        <v>44664</v>
      </c>
      <c r="N7282" t="s">
        <v>46569</v>
      </c>
      <c r="O7282" t="s">
        <v>46570</v>
      </c>
      <c r="P7282">
        <v>0</v>
      </c>
      <c r="Q7282">
        <v>0</v>
      </c>
      <c r="R7282" t="s">
        <v>46574</v>
      </c>
      <c r="S7282" t="s">
        <v>46723</v>
      </c>
      <c r="T7282" t="s">
        <v>48307</v>
      </c>
      <c r="U7282" t="s">
        <v>54796</v>
      </c>
      <c r="W7282" t="s">
        <v>44664</v>
      </c>
      <c r="X7282" t="s">
        <v>46577</v>
      </c>
    </row>
    <row r="7283" spans="1:24">
      <c r="A7283">
        <f>HYPERLINK("https://www.philgeps.gov.ph/GEPSNONPILOT/Tender/SplashBidNoticeAbstractUI.aspx?menuIndex=3&amp;refID=7055102&amp;Result=3","7055102")</f>
        <v>0</v>
      </c>
      <c r="B7283" t="s">
        <v>2260</v>
      </c>
      <c r="C7283" t="s">
        <v>10435</v>
      </c>
      <c r="D7283" t="s">
        <v>18826</v>
      </c>
      <c r="E7283" t="s">
        <v>25315</v>
      </c>
      <c r="F7283" t="s">
        <v>32664</v>
      </c>
      <c r="G7283" t="s">
        <v>32675</v>
      </c>
      <c r="H7283" t="s">
        <v>12635</v>
      </c>
      <c r="I7283" t="s">
        <v>14442</v>
      </c>
      <c r="J7283" t="s">
        <v>33688</v>
      </c>
      <c r="K7283" t="s">
        <v>42289</v>
      </c>
      <c r="M7283" t="s">
        <v>45025</v>
      </c>
      <c r="N7283" t="s">
        <v>46569</v>
      </c>
      <c r="O7283" t="s">
        <v>46570</v>
      </c>
      <c r="P7283">
        <v>0</v>
      </c>
      <c r="Q7283">
        <v>10</v>
      </c>
      <c r="R7283" t="s">
        <v>46574</v>
      </c>
      <c r="S7283" t="s">
        <v>46723</v>
      </c>
      <c r="T7283" t="s">
        <v>48450</v>
      </c>
      <c r="U7283" t="s">
        <v>54797</v>
      </c>
      <c r="V7283" t="s">
        <v>62358</v>
      </c>
      <c r="W7283" t="s">
        <v>45025</v>
      </c>
      <c r="X7283" t="s">
        <v>46578</v>
      </c>
    </row>
    <row r="7284" spans="1:24">
      <c r="A7284">
        <f>HYPERLINK("https://www.philgeps.gov.ph/GEPSNONPILOT/Tender/SplashBidNoticeAbstractUI.aspx?menuIndex=3&amp;refID=7055711&amp;Result=3","7055711")</f>
        <v>0</v>
      </c>
      <c r="B7284" t="s">
        <v>1939</v>
      </c>
      <c r="C7284" t="s">
        <v>10436</v>
      </c>
      <c r="D7284" t="s">
        <v>18782</v>
      </c>
      <c r="E7284" t="s">
        <v>25316</v>
      </c>
      <c r="F7284" t="s">
        <v>32664</v>
      </c>
      <c r="G7284" t="s">
        <v>32671</v>
      </c>
      <c r="H7284" t="s">
        <v>12635</v>
      </c>
      <c r="I7284" t="s">
        <v>8730</v>
      </c>
      <c r="J7284" t="s">
        <v>37291</v>
      </c>
      <c r="K7284" t="s">
        <v>42284</v>
      </c>
      <c r="L7284" t="s">
        <v>1939</v>
      </c>
      <c r="M7284" t="s">
        <v>44664</v>
      </c>
      <c r="N7284" t="s">
        <v>46569</v>
      </c>
      <c r="O7284" t="s">
        <v>46570</v>
      </c>
      <c r="P7284">
        <v>0</v>
      </c>
      <c r="Q7284">
        <v>0</v>
      </c>
      <c r="R7284" t="s">
        <v>46574</v>
      </c>
      <c r="S7284" t="s">
        <v>46723</v>
      </c>
      <c r="T7284" t="s">
        <v>48307</v>
      </c>
      <c r="U7284" t="s">
        <v>54798</v>
      </c>
      <c r="W7284" t="s">
        <v>44664</v>
      </c>
      <c r="X7284" t="s">
        <v>46577</v>
      </c>
    </row>
    <row r="7285" spans="1:24">
      <c r="A7285">
        <f>HYPERLINK("https://www.philgeps.gov.ph/GEPSNONPILOT/Tender/SplashBidNoticeAbstractUI.aspx?menuIndex=3&amp;refID=7055692&amp;Result=3","7055692")</f>
        <v>0</v>
      </c>
      <c r="B7285" t="s">
        <v>1939</v>
      </c>
      <c r="C7285" t="s">
        <v>10437</v>
      </c>
      <c r="D7285" t="s">
        <v>18782</v>
      </c>
      <c r="E7285" t="s">
        <v>25317</v>
      </c>
      <c r="F7285" t="s">
        <v>32664</v>
      </c>
      <c r="G7285" t="s">
        <v>32671</v>
      </c>
      <c r="H7285" t="s">
        <v>12635</v>
      </c>
      <c r="I7285" t="s">
        <v>6628</v>
      </c>
      <c r="J7285" t="s">
        <v>33126</v>
      </c>
      <c r="K7285" t="s">
        <v>42284</v>
      </c>
      <c r="L7285" t="s">
        <v>1939</v>
      </c>
      <c r="M7285" t="s">
        <v>44664</v>
      </c>
      <c r="N7285" t="s">
        <v>46569</v>
      </c>
      <c r="O7285" t="s">
        <v>46570</v>
      </c>
      <c r="P7285">
        <v>0</v>
      </c>
      <c r="Q7285">
        <v>1</v>
      </c>
      <c r="R7285" t="s">
        <v>46574</v>
      </c>
      <c r="S7285" t="s">
        <v>46723</v>
      </c>
      <c r="T7285" t="s">
        <v>48307</v>
      </c>
      <c r="U7285" t="s">
        <v>54799</v>
      </c>
      <c r="W7285" t="s">
        <v>44664</v>
      </c>
      <c r="X7285" t="s">
        <v>46577</v>
      </c>
    </row>
    <row r="7286" spans="1:24">
      <c r="A7286">
        <f>HYPERLINK("https://www.philgeps.gov.ph/GEPSNONPILOT/Tender/SplashBidNoticeAbstractUI.aspx?menuIndex=3&amp;refID=7055736&amp;Result=3","7055736")</f>
        <v>0</v>
      </c>
      <c r="B7286" t="s">
        <v>1655</v>
      </c>
      <c r="C7286" t="s">
        <v>10438</v>
      </c>
      <c r="D7286" t="s">
        <v>18838</v>
      </c>
      <c r="E7286" t="s">
        <v>25318</v>
      </c>
      <c r="F7286" t="s">
        <v>32664</v>
      </c>
      <c r="G7286" t="s">
        <v>32671</v>
      </c>
      <c r="H7286" t="s">
        <v>12635</v>
      </c>
      <c r="I7286" t="s">
        <v>32694</v>
      </c>
      <c r="J7286" t="s">
        <v>37292</v>
      </c>
      <c r="K7286" t="s">
        <v>42289</v>
      </c>
      <c r="L7286" t="s">
        <v>1655</v>
      </c>
      <c r="M7286" t="s">
        <v>45026</v>
      </c>
      <c r="N7286" t="s">
        <v>46569</v>
      </c>
      <c r="O7286" t="s">
        <v>46570</v>
      </c>
      <c r="P7286">
        <v>0</v>
      </c>
      <c r="Q7286">
        <v>1</v>
      </c>
      <c r="R7286" t="s">
        <v>46574</v>
      </c>
      <c r="S7286" t="s">
        <v>46723</v>
      </c>
      <c r="T7286" t="s">
        <v>48244</v>
      </c>
      <c r="U7286" t="s">
        <v>54800</v>
      </c>
      <c r="W7286" t="s">
        <v>45026</v>
      </c>
      <c r="X7286" t="s">
        <v>46577</v>
      </c>
    </row>
    <row r="7287" spans="1:24">
      <c r="A7287">
        <f>HYPERLINK("https://www.philgeps.gov.ph/GEPSNONPILOT/Tender/SplashBidNoticeAbstractUI.aspx?menuIndex=3&amp;refID=7055733&amp;Result=3","7055733")</f>
        <v>0</v>
      </c>
      <c r="B7287" t="s">
        <v>1939</v>
      </c>
      <c r="C7287" t="s">
        <v>6150</v>
      </c>
      <c r="D7287" t="s">
        <v>18782</v>
      </c>
      <c r="E7287" t="s">
        <v>25319</v>
      </c>
      <c r="F7287" t="s">
        <v>32664</v>
      </c>
      <c r="G7287" t="s">
        <v>32671</v>
      </c>
      <c r="H7287" t="s">
        <v>12635</v>
      </c>
      <c r="I7287" t="s">
        <v>32685</v>
      </c>
      <c r="J7287" t="s">
        <v>37293</v>
      </c>
      <c r="K7287" t="s">
        <v>42284</v>
      </c>
      <c r="L7287" t="s">
        <v>1939</v>
      </c>
      <c r="M7287" t="s">
        <v>44664</v>
      </c>
      <c r="N7287" t="s">
        <v>46569</v>
      </c>
      <c r="O7287" t="s">
        <v>46570</v>
      </c>
      <c r="P7287">
        <v>0</v>
      </c>
      <c r="Q7287">
        <v>1</v>
      </c>
      <c r="R7287" t="s">
        <v>46574</v>
      </c>
      <c r="S7287" t="s">
        <v>46723</v>
      </c>
      <c r="T7287" t="s">
        <v>48307</v>
      </c>
      <c r="U7287" t="s">
        <v>54801</v>
      </c>
      <c r="W7287" t="s">
        <v>44664</v>
      </c>
      <c r="X7287" t="s">
        <v>46577</v>
      </c>
    </row>
    <row r="7288" spans="1:24">
      <c r="A7288">
        <f>HYPERLINK("https://www.philgeps.gov.ph/GEPSNONPILOT/Tender/SplashBidNoticeAbstractUI.aspx?menuIndex=3&amp;refID=7055630&amp;Result=3","7055630")</f>
        <v>0</v>
      </c>
      <c r="B7288" t="s">
        <v>2254</v>
      </c>
      <c r="C7288" t="s">
        <v>10439</v>
      </c>
      <c r="D7288" t="s">
        <v>18784</v>
      </c>
      <c r="E7288" t="s">
        <v>19673</v>
      </c>
      <c r="F7288" t="s">
        <v>32664</v>
      </c>
      <c r="G7288" t="s">
        <v>32671</v>
      </c>
      <c r="H7288" t="s">
        <v>12635</v>
      </c>
      <c r="I7288" t="s">
        <v>10370</v>
      </c>
      <c r="J7288" t="s">
        <v>37294</v>
      </c>
      <c r="K7288" t="s">
        <v>42305</v>
      </c>
      <c r="M7288" t="s">
        <v>45019</v>
      </c>
      <c r="N7288" t="s">
        <v>46569</v>
      </c>
      <c r="O7288" t="s">
        <v>46570</v>
      </c>
      <c r="P7288">
        <v>0</v>
      </c>
      <c r="Q7288">
        <v>18</v>
      </c>
      <c r="R7288" t="s">
        <v>46574</v>
      </c>
      <c r="S7288" t="s">
        <v>46723</v>
      </c>
      <c r="T7288" t="s">
        <v>48473</v>
      </c>
      <c r="U7288" t="s">
        <v>54802</v>
      </c>
      <c r="V7288" t="s">
        <v>62356</v>
      </c>
      <c r="W7288" t="s">
        <v>45019</v>
      </c>
      <c r="X7288" t="s">
        <v>46578</v>
      </c>
    </row>
    <row r="7289" spans="1:24">
      <c r="A7289">
        <f>HYPERLINK("https://www.philgeps.gov.ph/GEPSNONPILOT/Tender/SplashBidNoticeAbstractUI.aspx?menuIndex=3&amp;refID=7055686&amp;Result=3","7055686")</f>
        <v>0</v>
      </c>
      <c r="B7289" t="s">
        <v>254</v>
      </c>
      <c r="C7289" t="s">
        <v>10440</v>
      </c>
      <c r="D7289" t="s">
        <v>18843</v>
      </c>
      <c r="E7289" t="s">
        <v>25320</v>
      </c>
      <c r="F7289" t="s">
        <v>32664</v>
      </c>
      <c r="G7289" t="s">
        <v>32671</v>
      </c>
      <c r="H7289" t="s">
        <v>12635</v>
      </c>
      <c r="I7289" t="s">
        <v>32704</v>
      </c>
      <c r="J7289" t="s">
        <v>33298</v>
      </c>
      <c r="K7289" t="s">
        <v>42281</v>
      </c>
      <c r="M7289" t="s">
        <v>42819</v>
      </c>
      <c r="N7289" t="s">
        <v>46569</v>
      </c>
      <c r="O7289" t="s">
        <v>46570</v>
      </c>
      <c r="P7289">
        <v>0</v>
      </c>
      <c r="Q7289">
        <v>11</v>
      </c>
      <c r="R7289" t="s">
        <v>46574</v>
      </c>
      <c r="S7289" t="s">
        <v>46723</v>
      </c>
      <c r="T7289" t="s">
        <v>48492</v>
      </c>
      <c r="U7289" t="s">
        <v>54803</v>
      </c>
      <c r="W7289" t="s">
        <v>63469</v>
      </c>
      <c r="X7289" t="s">
        <v>46577</v>
      </c>
    </row>
    <row r="7290" spans="1:24">
      <c r="A7290">
        <f>HYPERLINK("https://www.philgeps.gov.ph/GEPSNONPILOT/Tender/SplashBidNoticeAbstractUI.aspx?menuIndex=3&amp;refID=7055681&amp;Result=3","7055681")</f>
        <v>0</v>
      </c>
      <c r="B7290" t="s">
        <v>2261</v>
      </c>
      <c r="C7290" t="s">
        <v>10441</v>
      </c>
      <c r="D7290" t="s">
        <v>18784</v>
      </c>
      <c r="E7290" t="s">
        <v>20330</v>
      </c>
      <c r="F7290" t="s">
        <v>32664</v>
      </c>
      <c r="G7290" t="s">
        <v>32672</v>
      </c>
      <c r="H7290" t="s">
        <v>12635</v>
      </c>
      <c r="I7290" t="s">
        <v>6223</v>
      </c>
      <c r="J7290" t="s">
        <v>33752</v>
      </c>
      <c r="K7290" t="s">
        <v>42295</v>
      </c>
      <c r="M7290" t="s">
        <v>45027</v>
      </c>
      <c r="N7290" t="s">
        <v>46569</v>
      </c>
      <c r="O7290" t="s">
        <v>46570</v>
      </c>
      <c r="P7290">
        <v>0</v>
      </c>
      <c r="Q7290">
        <v>4</v>
      </c>
      <c r="R7290" t="s">
        <v>46574</v>
      </c>
      <c r="S7290" t="s">
        <v>46723</v>
      </c>
      <c r="T7290" t="s">
        <v>48296</v>
      </c>
      <c r="U7290" t="s">
        <v>54804</v>
      </c>
      <c r="W7290" t="s">
        <v>45027</v>
      </c>
      <c r="X7290" t="s">
        <v>46577</v>
      </c>
    </row>
    <row r="7291" spans="1:24">
      <c r="A7291">
        <f>HYPERLINK("https://www.philgeps.gov.ph/GEPSNONPILOT/Tender/SplashBidNoticeAbstractUI.aspx?menuIndex=3&amp;refID=7067030&amp;Result=3","7067030")</f>
        <v>0</v>
      </c>
      <c r="B7291" t="s">
        <v>863</v>
      </c>
      <c r="C7291" t="s">
        <v>10442</v>
      </c>
      <c r="D7291" t="s">
        <v>18782</v>
      </c>
      <c r="E7291" t="s">
        <v>25321</v>
      </c>
      <c r="F7291" t="s">
        <v>32664</v>
      </c>
      <c r="G7291" t="s">
        <v>32671</v>
      </c>
      <c r="H7291" t="s">
        <v>12635</v>
      </c>
      <c r="I7291" t="s">
        <v>32741</v>
      </c>
      <c r="J7291" t="s">
        <v>33051</v>
      </c>
      <c r="K7291" t="s">
        <v>42305</v>
      </c>
      <c r="M7291" t="s">
        <v>43462</v>
      </c>
      <c r="N7291" t="s">
        <v>46569</v>
      </c>
      <c r="O7291" t="s">
        <v>46570</v>
      </c>
      <c r="P7291">
        <v>0</v>
      </c>
      <c r="Q7291">
        <v>4</v>
      </c>
      <c r="R7291" t="s">
        <v>46571</v>
      </c>
      <c r="S7291" t="s">
        <v>46687</v>
      </c>
      <c r="T7291" t="s">
        <v>48246</v>
      </c>
      <c r="U7291" t="s">
        <v>54805</v>
      </c>
      <c r="W7291" t="s">
        <v>43462</v>
      </c>
      <c r="X7291" t="s">
        <v>46572</v>
      </c>
    </row>
    <row r="7292" spans="1:24">
      <c r="A7292">
        <f>HYPERLINK("https://www.philgeps.gov.ph/GEPSNONPILOT/Tender/SplashBidNoticeAbstractUI.aspx?menuIndex=3&amp;refID=7055725&amp;Result=3","7055725")</f>
        <v>0</v>
      </c>
      <c r="B7292" t="s">
        <v>1939</v>
      </c>
      <c r="C7292" t="s">
        <v>10443</v>
      </c>
      <c r="E7292" t="s">
        <v>25322</v>
      </c>
      <c r="F7292" t="s">
        <v>32664</v>
      </c>
      <c r="G7292" t="s">
        <v>32671</v>
      </c>
      <c r="H7292" t="s">
        <v>12635</v>
      </c>
      <c r="I7292" t="s">
        <v>6628</v>
      </c>
      <c r="J7292" t="s">
        <v>34182</v>
      </c>
      <c r="K7292" t="s">
        <v>42284</v>
      </c>
      <c r="L7292" t="s">
        <v>1939</v>
      </c>
      <c r="M7292" t="s">
        <v>44664</v>
      </c>
      <c r="N7292" t="s">
        <v>46569</v>
      </c>
      <c r="O7292" t="s">
        <v>46570</v>
      </c>
      <c r="P7292">
        <v>0</v>
      </c>
      <c r="Q7292">
        <v>0</v>
      </c>
      <c r="R7292" t="s">
        <v>46574</v>
      </c>
      <c r="S7292" t="s">
        <v>46723</v>
      </c>
      <c r="T7292" t="s">
        <v>48307</v>
      </c>
      <c r="U7292" t="s">
        <v>54806</v>
      </c>
      <c r="W7292" t="s">
        <v>44664</v>
      </c>
      <c r="X7292" t="s">
        <v>46577</v>
      </c>
    </row>
    <row r="7293" spans="1:24">
      <c r="A7293">
        <f>HYPERLINK("https://www.philgeps.gov.ph/GEPSNONPILOT/Tender/SplashBidNoticeAbstractUI.aspx?menuIndex=3&amp;refID=7055665&amp;Result=3","7055665")</f>
        <v>0</v>
      </c>
      <c r="B7293" t="s">
        <v>141</v>
      </c>
      <c r="C7293" t="s">
        <v>10444</v>
      </c>
      <c r="D7293" t="s">
        <v>18796</v>
      </c>
      <c r="E7293" t="s">
        <v>25323</v>
      </c>
      <c r="F7293" t="s">
        <v>32664</v>
      </c>
      <c r="G7293" t="s">
        <v>32671</v>
      </c>
      <c r="H7293" t="s">
        <v>12635</v>
      </c>
      <c r="I7293" t="s">
        <v>10370</v>
      </c>
      <c r="J7293" t="s">
        <v>33632</v>
      </c>
      <c r="K7293" t="s">
        <v>42297</v>
      </c>
      <c r="M7293" t="s">
        <v>42705</v>
      </c>
      <c r="N7293" t="s">
        <v>46569</v>
      </c>
      <c r="O7293" t="s">
        <v>46570</v>
      </c>
      <c r="P7293">
        <v>0</v>
      </c>
      <c r="Q7293">
        <v>0</v>
      </c>
      <c r="R7293" t="s">
        <v>46574</v>
      </c>
      <c r="S7293" t="s">
        <v>46723</v>
      </c>
      <c r="T7293" t="s">
        <v>48244</v>
      </c>
      <c r="U7293" t="s">
        <v>54807</v>
      </c>
      <c r="W7293" t="s">
        <v>42705</v>
      </c>
      <c r="X7293" t="s">
        <v>46577</v>
      </c>
    </row>
    <row r="7294" spans="1:24">
      <c r="A7294">
        <f>HYPERLINK("https://www.philgeps.gov.ph/GEPSNONPILOT/Tender/SplashBidNoticeAbstractUI.aspx?menuIndex=3&amp;refID=7055654&amp;Result=3","7055654")</f>
        <v>0</v>
      </c>
      <c r="B7294" t="s">
        <v>2262</v>
      </c>
      <c r="C7294" t="s">
        <v>10445</v>
      </c>
      <c r="D7294" t="s">
        <v>18814</v>
      </c>
      <c r="E7294" t="s">
        <v>20077</v>
      </c>
      <c r="F7294" t="s">
        <v>32664</v>
      </c>
      <c r="G7294" t="s">
        <v>32672</v>
      </c>
      <c r="H7294" t="s">
        <v>32683</v>
      </c>
      <c r="I7294" t="s">
        <v>10627</v>
      </c>
      <c r="J7294" t="s">
        <v>33051</v>
      </c>
      <c r="K7294" t="s">
        <v>42284</v>
      </c>
      <c r="M7294" t="s">
        <v>45028</v>
      </c>
      <c r="N7294" t="s">
        <v>46569</v>
      </c>
      <c r="O7294" t="s">
        <v>46570</v>
      </c>
      <c r="P7294">
        <v>0</v>
      </c>
      <c r="Q7294">
        <v>0</v>
      </c>
      <c r="R7294" t="s">
        <v>46574</v>
      </c>
      <c r="S7294" t="s">
        <v>46723</v>
      </c>
      <c r="T7294" t="s">
        <v>48244</v>
      </c>
      <c r="U7294" t="s">
        <v>54808</v>
      </c>
      <c r="W7294" t="s">
        <v>45028</v>
      </c>
      <c r="X7294" t="s">
        <v>46577</v>
      </c>
    </row>
    <row r="7295" spans="1:24">
      <c r="A7295">
        <f>HYPERLINK("https://www.philgeps.gov.ph/GEPSNONPILOT/Tender/SplashBidNoticeAbstractUI.aspx?menuIndex=3&amp;refID=7066984&amp;Result=3","7066984")</f>
        <v>0</v>
      </c>
      <c r="B7295" t="s">
        <v>900</v>
      </c>
      <c r="C7295" t="s">
        <v>10446</v>
      </c>
      <c r="E7295" t="s">
        <v>25324</v>
      </c>
      <c r="F7295" t="s">
        <v>32664</v>
      </c>
      <c r="G7295" t="s">
        <v>32674</v>
      </c>
      <c r="H7295" t="s">
        <v>12635</v>
      </c>
      <c r="I7295" t="s">
        <v>10370</v>
      </c>
      <c r="J7295" t="s">
        <v>37295</v>
      </c>
      <c r="K7295" t="s">
        <v>42283</v>
      </c>
      <c r="M7295" t="s">
        <v>43504</v>
      </c>
      <c r="N7295" t="s">
        <v>46569</v>
      </c>
      <c r="O7295" t="s">
        <v>46570</v>
      </c>
      <c r="P7295">
        <v>0</v>
      </c>
      <c r="Q7295">
        <v>2</v>
      </c>
      <c r="R7295" t="s">
        <v>46571</v>
      </c>
      <c r="S7295" t="s">
        <v>46687</v>
      </c>
      <c r="T7295" t="s">
        <v>48244</v>
      </c>
      <c r="U7295" t="s">
        <v>54809</v>
      </c>
      <c r="V7295" t="s">
        <v>61843</v>
      </c>
      <c r="W7295" t="s">
        <v>43504</v>
      </c>
      <c r="X7295" t="s">
        <v>46572</v>
      </c>
    </row>
    <row r="7296" spans="1:24">
      <c r="A7296">
        <f>HYPERLINK("https://www.philgeps.gov.ph/GEPSNONPILOT/Tender/SplashBidNoticeAbstractUI.aspx?menuIndex=3&amp;refID=7066982&amp;Result=3","7066982")</f>
        <v>0</v>
      </c>
      <c r="B7296" t="s">
        <v>1444</v>
      </c>
      <c r="C7296" t="s">
        <v>10447</v>
      </c>
      <c r="D7296" t="s">
        <v>18846</v>
      </c>
      <c r="E7296" t="s">
        <v>25325</v>
      </c>
      <c r="F7296" t="s">
        <v>32664</v>
      </c>
      <c r="G7296" t="s">
        <v>32671</v>
      </c>
      <c r="H7296" t="s">
        <v>12635</v>
      </c>
      <c r="I7296" t="s">
        <v>32685</v>
      </c>
      <c r="J7296" t="s">
        <v>37296</v>
      </c>
      <c r="K7296" t="s">
        <v>42281</v>
      </c>
      <c r="M7296" t="s">
        <v>44105</v>
      </c>
      <c r="N7296" t="s">
        <v>46569</v>
      </c>
      <c r="O7296" t="s">
        <v>46570</v>
      </c>
      <c r="P7296">
        <v>0</v>
      </c>
      <c r="Q7296">
        <v>0</v>
      </c>
      <c r="R7296" t="s">
        <v>46571</v>
      </c>
      <c r="S7296" t="s">
        <v>46687</v>
      </c>
      <c r="T7296" t="s">
        <v>48221</v>
      </c>
      <c r="U7296" t="s">
        <v>54810</v>
      </c>
      <c r="W7296" t="s">
        <v>44105</v>
      </c>
      <c r="X7296" t="s">
        <v>46572</v>
      </c>
    </row>
    <row r="7297" spans="1:24">
      <c r="A7297">
        <f>HYPERLINK("https://www.philgeps.gov.ph/GEPSNONPILOT/Tender/SplashBidNoticeAbstractUI.aspx?menuIndex=3&amp;refID=7066980&amp;Result=3","7066980")</f>
        <v>0</v>
      </c>
      <c r="B7297" t="s">
        <v>705</v>
      </c>
      <c r="C7297" t="s">
        <v>10448</v>
      </c>
      <c r="D7297" t="s">
        <v>18789</v>
      </c>
      <c r="E7297" t="s">
        <v>25326</v>
      </c>
      <c r="F7297" t="s">
        <v>32664</v>
      </c>
      <c r="G7297" t="s">
        <v>32671</v>
      </c>
      <c r="H7297" t="s">
        <v>12635</v>
      </c>
      <c r="I7297" t="s">
        <v>32696</v>
      </c>
      <c r="J7297" t="s">
        <v>33320</v>
      </c>
      <c r="K7297" t="s">
        <v>42283</v>
      </c>
      <c r="M7297" t="s">
        <v>43292</v>
      </c>
      <c r="N7297" t="s">
        <v>46569</v>
      </c>
      <c r="O7297" t="s">
        <v>46570</v>
      </c>
      <c r="P7297">
        <v>0</v>
      </c>
      <c r="Q7297">
        <v>0</v>
      </c>
      <c r="R7297" t="s">
        <v>46571</v>
      </c>
      <c r="S7297" t="s">
        <v>46687</v>
      </c>
      <c r="T7297" t="s">
        <v>48245</v>
      </c>
      <c r="U7297" t="s">
        <v>50104</v>
      </c>
      <c r="W7297" t="s">
        <v>43292</v>
      </c>
      <c r="X7297" t="s">
        <v>46572</v>
      </c>
    </row>
    <row r="7298" spans="1:24">
      <c r="A7298">
        <f>HYPERLINK("https://www.philgeps.gov.ph/GEPSNONPILOT/Tender/SplashBidNoticeAbstractUI.aspx?menuIndex=3&amp;refID=7055668&amp;Result=3","7055668")</f>
        <v>0</v>
      </c>
      <c r="B7298" t="s">
        <v>141</v>
      </c>
      <c r="C7298" t="s">
        <v>10449</v>
      </c>
      <c r="D7298" t="s">
        <v>18796</v>
      </c>
      <c r="E7298" t="s">
        <v>25327</v>
      </c>
      <c r="F7298" t="s">
        <v>32664</v>
      </c>
      <c r="G7298" t="s">
        <v>32671</v>
      </c>
      <c r="H7298" t="s">
        <v>12635</v>
      </c>
      <c r="I7298" t="s">
        <v>14442</v>
      </c>
      <c r="J7298" t="s">
        <v>34156</v>
      </c>
      <c r="K7298" t="s">
        <v>42297</v>
      </c>
      <c r="M7298" t="s">
        <v>42705</v>
      </c>
      <c r="N7298" t="s">
        <v>46569</v>
      </c>
      <c r="O7298" t="s">
        <v>46570</v>
      </c>
      <c r="P7298">
        <v>0</v>
      </c>
      <c r="Q7298">
        <v>2</v>
      </c>
      <c r="R7298" t="s">
        <v>46574</v>
      </c>
      <c r="S7298" t="s">
        <v>46723</v>
      </c>
      <c r="T7298" t="s">
        <v>48244</v>
      </c>
      <c r="U7298" t="s">
        <v>54811</v>
      </c>
      <c r="W7298" t="s">
        <v>42705</v>
      </c>
      <c r="X7298" t="s">
        <v>46577</v>
      </c>
    </row>
    <row r="7299" spans="1:24">
      <c r="A7299">
        <f>HYPERLINK("https://www.philgeps.gov.ph/GEPSNONPILOT/Tender/SplashBidNoticeAbstractUI.aspx?menuIndex=3&amp;refID=7066963&amp;Result=3","7066963")</f>
        <v>0</v>
      </c>
      <c r="B7299" t="s">
        <v>527</v>
      </c>
      <c r="C7299" t="s">
        <v>10450</v>
      </c>
      <c r="D7299" t="s">
        <v>18784</v>
      </c>
      <c r="E7299" t="s">
        <v>25328</v>
      </c>
      <c r="F7299" t="s">
        <v>32664</v>
      </c>
      <c r="G7299" t="s">
        <v>32671</v>
      </c>
      <c r="H7299" t="s">
        <v>12635</v>
      </c>
      <c r="I7299" t="s">
        <v>10627</v>
      </c>
      <c r="J7299" t="s">
        <v>33126</v>
      </c>
      <c r="K7299" t="s">
        <v>42336</v>
      </c>
      <c r="M7299" t="s">
        <v>43496</v>
      </c>
      <c r="N7299" t="s">
        <v>46569</v>
      </c>
      <c r="O7299" t="s">
        <v>46570</v>
      </c>
      <c r="P7299">
        <v>0</v>
      </c>
      <c r="Q7299">
        <v>0</v>
      </c>
      <c r="R7299" t="s">
        <v>46571</v>
      </c>
      <c r="S7299" t="s">
        <v>46687</v>
      </c>
      <c r="T7299" t="s">
        <v>48283</v>
      </c>
      <c r="U7299" t="s">
        <v>54812</v>
      </c>
      <c r="W7299" t="s">
        <v>43496</v>
      </c>
      <c r="X7299" t="s">
        <v>46572</v>
      </c>
    </row>
    <row r="7300" spans="1:24">
      <c r="A7300">
        <f>HYPERLINK("https://www.philgeps.gov.ph/GEPSNONPILOT/Tender/SplashBidNoticeAbstractUI.aspx?menuIndex=3&amp;refID=7055872&amp;Result=3","7055872")</f>
        <v>0</v>
      </c>
      <c r="B7300" t="s">
        <v>304</v>
      </c>
      <c r="C7300" t="s">
        <v>10451</v>
      </c>
      <c r="D7300" t="s">
        <v>18792</v>
      </c>
      <c r="E7300" t="s">
        <v>19460</v>
      </c>
      <c r="F7300" t="s">
        <v>32664</v>
      </c>
      <c r="G7300" t="s">
        <v>32671</v>
      </c>
      <c r="H7300" t="s">
        <v>12635</v>
      </c>
      <c r="I7300" t="s">
        <v>32712</v>
      </c>
      <c r="J7300" t="s">
        <v>37297</v>
      </c>
      <c r="K7300" t="s">
        <v>42295</v>
      </c>
      <c r="M7300" t="s">
        <v>42871</v>
      </c>
      <c r="N7300" t="s">
        <v>46569</v>
      </c>
      <c r="O7300" t="s">
        <v>46570</v>
      </c>
      <c r="P7300">
        <v>0</v>
      </c>
      <c r="Q7300">
        <v>1</v>
      </c>
      <c r="R7300" t="s">
        <v>46574</v>
      </c>
      <c r="S7300" t="s">
        <v>46723</v>
      </c>
      <c r="T7300" t="s">
        <v>48287</v>
      </c>
      <c r="U7300" t="s">
        <v>54813</v>
      </c>
      <c r="W7300" t="s">
        <v>42871</v>
      </c>
      <c r="X7300" t="s">
        <v>46577</v>
      </c>
    </row>
    <row r="7301" spans="1:24">
      <c r="A7301">
        <f>HYPERLINK("https://www.philgeps.gov.ph/GEPSNONPILOT/Tender/SplashBidNoticeAbstractUI.aspx?menuIndex=3&amp;refID=7066985&amp;Result=3","7066985")</f>
        <v>0</v>
      </c>
      <c r="B7301" t="s">
        <v>527</v>
      </c>
      <c r="C7301" t="s">
        <v>10452</v>
      </c>
      <c r="D7301" t="s">
        <v>18784</v>
      </c>
      <c r="E7301" t="s">
        <v>25329</v>
      </c>
      <c r="F7301" t="s">
        <v>32664</v>
      </c>
      <c r="G7301" t="s">
        <v>32671</v>
      </c>
      <c r="H7301" t="s">
        <v>12635</v>
      </c>
      <c r="I7301" t="s">
        <v>6118</v>
      </c>
      <c r="J7301" t="s">
        <v>34258</v>
      </c>
      <c r="K7301" t="s">
        <v>42284</v>
      </c>
      <c r="M7301" t="s">
        <v>43496</v>
      </c>
      <c r="N7301" t="s">
        <v>46569</v>
      </c>
      <c r="O7301" t="s">
        <v>46570</v>
      </c>
      <c r="P7301">
        <v>0</v>
      </c>
      <c r="Q7301">
        <v>0</v>
      </c>
      <c r="R7301" t="s">
        <v>46571</v>
      </c>
      <c r="S7301" t="s">
        <v>46687</v>
      </c>
      <c r="T7301" t="s">
        <v>48283</v>
      </c>
      <c r="U7301" t="s">
        <v>49720</v>
      </c>
      <c r="W7301" t="s">
        <v>43496</v>
      </c>
      <c r="X7301" t="s">
        <v>46572</v>
      </c>
    </row>
    <row r="7302" spans="1:24">
      <c r="A7302">
        <f>HYPERLINK("https://www.philgeps.gov.ph/GEPSNONPILOT/Tender/SplashBidNoticeAbstractUI.aspx?menuIndex=3&amp;refID=7066981&amp;Result=3","7066981")</f>
        <v>0</v>
      </c>
      <c r="B7302" t="s">
        <v>902</v>
      </c>
      <c r="C7302" t="s">
        <v>10453</v>
      </c>
      <c r="D7302" t="s">
        <v>18785</v>
      </c>
      <c r="E7302" t="s">
        <v>25330</v>
      </c>
      <c r="F7302" t="s">
        <v>32664</v>
      </c>
      <c r="G7302" t="s">
        <v>32674</v>
      </c>
      <c r="H7302" t="s">
        <v>12635</v>
      </c>
      <c r="I7302" t="s">
        <v>32719</v>
      </c>
      <c r="J7302" t="s">
        <v>37298</v>
      </c>
      <c r="K7302" t="s">
        <v>42298</v>
      </c>
      <c r="M7302" t="s">
        <v>43506</v>
      </c>
      <c r="N7302" t="s">
        <v>46569</v>
      </c>
      <c r="O7302" t="s">
        <v>46570</v>
      </c>
      <c r="P7302">
        <v>0</v>
      </c>
      <c r="Q7302">
        <v>1</v>
      </c>
      <c r="R7302" t="s">
        <v>46571</v>
      </c>
      <c r="S7302" t="s">
        <v>46687</v>
      </c>
      <c r="T7302" t="s">
        <v>48256</v>
      </c>
      <c r="U7302" t="s">
        <v>54814</v>
      </c>
      <c r="W7302" t="s">
        <v>63494</v>
      </c>
      <c r="X7302" t="s">
        <v>46572</v>
      </c>
    </row>
    <row r="7303" spans="1:24">
      <c r="A7303">
        <f>HYPERLINK("https://www.philgeps.gov.ph/GEPSNONPILOT/Tender/SplashBidNoticeAbstractUI.aspx?menuIndex=3&amp;refID=7066983&amp;Result=3","7066983")</f>
        <v>0</v>
      </c>
      <c r="B7303" t="s">
        <v>439</v>
      </c>
      <c r="C7303" t="s">
        <v>10454</v>
      </c>
      <c r="D7303" t="s">
        <v>18792</v>
      </c>
      <c r="E7303" t="s">
        <v>25331</v>
      </c>
      <c r="F7303" t="s">
        <v>32664</v>
      </c>
      <c r="G7303" t="s">
        <v>32671</v>
      </c>
      <c r="H7303" t="s">
        <v>12635</v>
      </c>
      <c r="I7303" t="s">
        <v>32692</v>
      </c>
      <c r="J7303" t="s">
        <v>34326</v>
      </c>
      <c r="K7303" t="s">
        <v>42284</v>
      </c>
      <c r="M7303" t="s">
        <v>43489</v>
      </c>
      <c r="N7303" t="s">
        <v>46569</v>
      </c>
      <c r="O7303" t="s">
        <v>46570</v>
      </c>
      <c r="P7303">
        <v>0</v>
      </c>
      <c r="Q7303">
        <v>0</v>
      </c>
      <c r="R7303" t="s">
        <v>46571</v>
      </c>
      <c r="S7303" t="s">
        <v>46687</v>
      </c>
      <c r="T7303" t="s">
        <v>48256</v>
      </c>
      <c r="U7303" t="s">
        <v>54815</v>
      </c>
      <c r="W7303" t="s">
        <v>43489</v>
      </c>
      <c r="X7303" t="s">
        <v>46572</v>
      </c>
    </row>
    <row r="7304" spans="1:24">
      <c r="A7304">
        <f>HYPERLINK("https://www.philgeps.gov.ph/GEPSNONPILOT/Tender/SplashBidNoticeAbstractUI.aspx?menuIndex=3&amp;refID=7055930&amp;Result=3","7055930")</f>
        <v>0</v>
      </c>
      <c r="B7304" t="s">
        <v>1235</v>
      </c>
      <c r="C7304" t="s">
        <v>10455</v>
      </c>
      <c r="D7304" t="s">
        <v>18825</v>
      </c>
      <c r="E7304" t="s">
        <v>25332</v>
      </c>
      <c r="F7304" t="s">
        <v>32664</v>
      </c>
      <c r="G7304" t="s">
        <v>32671</v>
      </c>
      <c r="H7304" t="s">
        <v>12635</v>
      </c>
      <c r="I7304" t="s">
        <v>4439</v>
      </c>
      <c r="J7304" t="s">
        <v>37299</v>
      </c>
      <c r="K7304" t="s">
        <v>42283</v>
      </c>
      <c r="M7304" t="s">
        <v>43876</v>
      </c>
      <c r="N7304" t="s">
        <v>46569</v>
      </c>
      <c r="O7304" t="s">
        <v>46570</v>
      </c>
      <c r="P7304">
        <v>0</v>
      </c>
      <c r="Q7304">
        <v>0</v>
      </c>
      <c r="R7304" t="s">
        <v>46574</v>
      </c>
      <c r="S7304" t="s">
        <v>46723</v>
      </c>
      <c r="T7304" t="s">
        <v>48449</v>
      </c>
      <c r="U7304" t="s">
        <v>54816</v>
      </c>
      <c r="W7304" t="s">
        <v>43876</v>
      </c>
      <c r="X7304" t="s">
        <v>46577</v>
      </c>
    </row>
    <row r="7305" spans="1:24">
      <c r="A7305">
        <f>HYPERLINK("https://www.philgeps.gov.ph/GEPSNONPILOT/Tender/SplashBidNoticeAbstractUI.aspx?menuIndex=3&amp;refID=7055650&amp;Result=3","7055650")</f>
        <v>0</v>
      </c>
      <c r="B7305" t="s">
        <v>2252</v>
      </c>
      <c r="C7305" t="s">
        <v>10456</v>
      </c>
      <c r="D7305" t="s">
        <v>18803</v>
      </c>
      <c r="E7305" t="s">
        <v>25333</v>
      </c>
      <c r="F7305" t="s">
        <v>32664</v>
      </c>
      <c r="G7305" t="s">
        <v>32672</v>
      </c>
      <c r="H7305" t="s">
        <v>32683</v>
      </c>
      <c r="I7305" t="s">
        <v>10627</v>
      </c>
      <c r="J7305" t="s">
        <v>32853</v>
      </c>
      <c r="K7305" t="s">
        <v>42283</v>
      </c>
      <c r="M7305" t="s">
        <v>45017</v>
      </c>
      <c r="N7305" t="s">
        <v>46569</v>
      </c>
      <c r="O7305" t="s">
        <v>46570</v>
      </c>
      <c r="P7305">
        <v>0</v>
      </c>
      <c r="Q7305">
        <v>0</v>
      </c>
      <c r="R7305" t="s">
        <v>46574</v>
      </c>
      <c r="S7305" t="s">
        <v>46723</v>
      </c>
      <c r="T7305" t="s">
        <v>48298</v>
      </c>
      <c r="U7305" t="s">
        <v>54817</v>
      </c>
      <c r="W7305" t="s">
        <v>45017</v>
      </c>
      <c r="X7305" t="s">
        <v>46577</v>
      </c>
    </row>
    <row r="7306" spans="1:24">
      <c r="A7306">
        <f>HYPERLINK("https://www.philgeps.gov.ph/GEPSNONPILOT/Tender/SplashBidNoticeAbstractUI.aspx?menuIndex=3&amp;refID=7055910&amp;Result=3","7055910")</f>
        <v>0</v>
      </c>
      <c r="B7306" t="s">
        <v>2263</v>
      </c>
      <c r="C7306" t="s">
        <v>10457</v>
      </c>
      <c r="D7306" t="s">
        <v>18827</v>
      </c>
      <c r="E7306" t="s">
        <v>25334</v>
      </c>
      <c r="F7306" t="s">
        <v>32664</v>
      </c>
      <c r="G7306" t="s">
        <v>32671</v>
      </c>
      <c r="H7306" t="s">
        <v>12635</v>
      </c>
      <c r="I7306" t="s">
        <v>9486</v>
      </c>
      <c r="J7306" t="s">
        <v>33762</v>
      </c>
      <c r="K7306" t="s">
        <v>42306</v>
      </c>
      <c r="M7306" t="s">
        <v>45029</v>
      </c>
      <c r="N7306" t="s">
        <v>46569</v>
      </c>
      <c r="O7306" t="s">
        <v>46570</v>
      </c>
      <c r="P7306">
        <v>0</v>
      </c>
      <c r="Q7306">
        <v>1</v>
      </c>
      <c r="R7306" t="s">
        <v>46574</v>
      </c>
      <c r="S7306" t="s">
        <v>46723</v>
      </c>
      <c r="T7306" t="s">
        <v>48246</v>
      </c>
      <c r="U7306" t="s">
        <v>54818</v>
      </c>
      <c r="W7306" t="s">
        <v>45029</v>
      </c>
      <c r="X7306" t="s">
        <v>46577</v>
      </c>
    </row>
    <row r="7307" spans="1:24">
      <c r="A7307">
        <f>HYPERLINK("https://www.philgeps.gov.ph/GEPSNONPILOT/Tender/SplashBidNoticeAbstractUI.aspx?menuIndex=3&amp;refID=7055908&amp;Result=3","7055908")</f>
        <v>0</v>
      </c>
      <c r="B7307" t="s">
        <v>1371</v>
      </c>
      <c r="C7307" t="s">
        <v>10458</v>
      </c>
      <c r="D7307" t="s">
        <v>18796</v>
      </c>
      <c r="E7307" t="s">
        <v>25335</v>
      </c>
      <c r="F7307" t="s">
        <v>32664</v>
      </c>
      <c r="G7307" t="s">
        <v>32672</v>
      </c>
      <c r="H7307" t="s">
        <v>12635</v>
      </c>
      <c r="I7307" t="s">
        <v>5589</v>
      </c>
      <c r="J7307" t="s">
        <v>37300</v>
      </c>
      <c r="K7307" t="s">
        <v>42290</v>
      </c>
      <c r="M7307" t="s">
        <v>44026</v>
      </c>
      <c r="N7307" t="s">
        <v>46569</v>
      </c>
      <c r="O7307" t="s">
        <v>46570</v>
      </c>
      <c r="P7307">
        <v>0</v>
      </c>
      <c r="Q7307">
        <v>8</v>
      </c>
      <c r="R7307" t="s">
        <v>46574</v>
      </c>
      <c r="S7307" t="s">
        <v>46723</v>
      </c>
      <c r="T7307" t="s">
        <v>48308</v>
      </c>
      <c r="U7307" t="s">
        <v>54819</v>
      </c>
      <c r="W7307" t="s">
        <v>44026</v>
      </c>
      <c r="X7307" t="s">
        <v>46577</v>
      </c>
    </row>
    <row r="7308" spans="1:24">
      <c r="A7308">
        <f>HYPERLINK("https://www.philgeps.gov.ph/GEPSNONPILOT/Tender/SplashBidNoticeAbstractUI.aspx?menuIndex=3&amp;refID=7067028&amp;Result=3","7067028")</f>
        <v>0</v>
      </c>
      <c r="B7308" t="s">
        <v>786</v>
      </c>
      <c r="C7308" t="s">
        <v>10459</v>
      </c>
      <c r="D7308" t="s">
        <v>18784</v>
      </c>
      <c r="E7308" t="s">
        <v>25336</v>
      </c>
      <c r="F7308" t="s">
        <v>32664</v>
      </c>
      <c r="G7308" t="s">
        <v>32671</v>
      </c>
      <c r="H7308" t="s">
        <v>12635</v>
      </c>
      <c r="I7308" t="s">
        <v>4205</v>
      </c>
      <c r="J7308" t="s">
        <v>37190</v>
      </c>
      <c r="K7308" t="s">
        <v>42295</v>
      </c>
      <c r="M7308" t="s">
        <v>43378</v>
      </c>
      <c r="N7308" t="s">
        <v>46569</v>
      </c>
      <c r="O7308" t="s">
        <v>46570</v>
      </c>
      <c r="P7308">
        <v>0</v>
      </c>
      <c r="Q7308">
        <v>0</v>
      </c>
      <c r="R7308" t="s">
        <v>46571</v>
      </c>
      <c r="S7308" t="s">
        <v>46687</v>
      </c>
      <c r="T7308" t="s">
        <v>48219</v>
      </c>
      <c r="U7308" t="s">
        <v>54820</v>
      </c>
      <c r="W7308" t="s">
        <v>43378</v>
      </c>
      <c r="X7308" t="s">
        <v>46572</v>
      </c>
    </row>
    <row r="7309" spans="1:24">
      <c r="A7309">
        <f>HYPERLINK("https://www.philgeps.gov.ph/GEPSNONPILOT/Tender/SplashBidNoticeAbstractUI.aspx?menuIndex=3&amp;refID=7055898&amp;Result=3","7055898")</f>
        <v>0</v>
      </c>
      <c r="B7309" t="s">
        <v>1028</v>
      </c>
      <c r="C7309" t="s">
        <v>10460</v>
      </c>
      <c r="D7309" t="s">
        <v>18805</v>
      </c>
      <c r="E7309" t="s">
        <v>25337</v>
      </c>
      <c r="F7309" t="s">
        <v>32664</v>
      </c>
      <c r="G7309" t="s">
        <v>32677</v>
      </c>
      <c r="H7309" t="s">
        <v>12635</v>
      </c>
      <c r="I7309" t="s">
        <v>4997</v>
      </c>
      <c r="J7309" t="s">
        <v>37301</v>
      </c>
      <c r="K7309" t="s">
        <v>42303</v>
      </c>
      <c r="M7309" t="s">
        <v>43640</v>
      </c>
      <c r="N7309" t="s">
        <v>46569</v>
      </c>
      <c r="O7309" t="s">
        <v>46570</v>
      </c>
      <c r="P7309">
        <v>0</v>
      </c>
      <c r="Q7309">
        <v>4</v>
      </c>
      <c r="R7309" t="s">
        <v>46574</v>
      </c>
      <c r="S7309" t="s">
        <v>46723</v>
      </c>
      <c r="T7309" t="s">
        <v>48330</v>
      </c>
      <c r="U7309" t="s">
        <v>50875</v>
      </c>
      <c r="W7309" t="s">
        <v>63503</v>
      </c>
      <c r="X7309" t="s">
        <v>46577</v>
      </c>
    </row>
    <row r="7310" spans="1:24">
      <c r="A7310">
        <f>HYPERLINK("https://www.philgeps.gov.ph/GEPSNONPILOT/Tender/SplashBidNoticeAbstractUI.aspx?menuIndex=3&amp;refID=7055927&amp;Result=3","7055927")</f>
        <v>0</v>
      </c>
      <c r="B7310" t="s">
        <v>304</v>
      </c>
      <c r="C7310" t="s">
        <v>10461</v>
      </c>
      <c r="D7310" t="s">
        <v>18792</v>
      </c>
      <c r="E7310" t="s">
        <v>25338</v>
      </c>
      <c r="F7310" t="s">
        <v>32664</v>
      </c>
      <c r="G7310" t="s">
        <v>32671</v>
      </c>
      <c r="H7310" t="s">
        <v>12635</v>
      </c>
      <c r="I7310" t="s">
        <v>32736</v>
      </c>
      <c r="J7310" t="s">
        <v>33015</v>
      </c>
      <c r="K7310" t="s">
        <v>42295</v>
      </c>
      <c r="M7310" t="s">
        <v>42871</v>
      </c>
      <c r="N7310" t="s">
        <v>46569</v>
      </c>
      <c r="O7310" t="s">
        <v>46570</v>
      </c>
      <c r="P7310">
        <v>0</v>
      </c>
      <c r="Q7310">
        <v>0</v>
      </c>
      <c r="R7310" t="s">
        <v>46574</v>
      </c>
      <c r="S7310" t="s">
        <v>46723</v>
      </c>
      <c r="T7310" t="s">
        <v>48287</v>
      </c>
      <c r="U7310" t="s">
        <v>54821</v>
      </c>
      <c r="W7310" t="s">
        <v>42871</v>
      </c>
      <c r="X7310" t="s">
        <v>46577</v>
      </c>
    </row>
    <row r="7311" spans="1:24">
      <c r="A7311">
        <f>HYPERLINK("https://www.philgeps.gov.ph/GEPSNONPILOT/Tender/SplashBidNoticeAbstractUI.aspx?menuIndex=3&amp;refID=7055919&amp;Result=3","7055919")</f>
        <v>0</v>
      </c>
      <c r="B7311" t="s">
        <v>2263</v>
      </c>
      <c r="C7311" t="s">
        <v>10462</v>
      </c>
      <c r="D7311" t="s">
        <v>18827</v>
      </c>
      <c r="E7311" t="s">
        <v>25339</v>
      </c>
      <c r="F7311" t="s">
        <v>32664</v>
      </c>
      <c r="G7311" t="s">
        <v>32671</v>
      </c>
      <c r="H7311" t="s">
        <v>12635</v>
      </c>
      <c r="I7311" t="s">
        <v>32684</v>
      </c>
      <c r="J7311" t="s">
        <v>34279</v>
      </c>
      <c r="K7311" t="s">
        <v>42306</v>
      </c>
      <c r="M7311" t="s">
        <v>45029</v>
      </c>
      <c r="N7311" t="s">
        <v>46569</v>
      </c>
      <c r="O7311" t="s">
        <v>46570</v>
      </c>
      <c r="P7311">
        <v>0</v>
      </c>
      <c r="Q7311">
        <v>2</v>
      </c>
      <c r="R7311" t="s">
        <v>46574</v>
      </c>
      <c r="S7311" t="s">
        <v>46723</v>
      </c>
      <c r="T7311" t="s">
        <v>48246</v>
      </c>
      <c r="U7311" t="s">
        <v>54822</v>
      </c>
      <c r="W7311" t="s">
        <v>45029</v>
      </c>
      <c r="X7311" t="s">
        <v>46577</v>
      </c>
    </row>
    <row r="7312" spans="1:24">
      <c r="A7312">
        <f>HYPERLINK("https://www.philgeps.gov.ph/GEPSNONPILOT/Tender/SplashBidNoticeAbstractUI.aspx?menuIndex=3&amp;refID=7055086&amp;Result=3","7055086")</f>
        <v>0</v>
      </c>
      <c r="B7312" t="s">
        <v>193</v>
      </c>
      <c r="C7312" t="s">
        <v>10463</v>
      </c>
      <c r="D7312" t="s">
        <v>18783</v>
      </c>
      <c r="E7312" t="s">
        <v>25340</v>
      </c>
      <c r="F7312" t="s">
        <v>32664</v>
      </c>
      <c r="G7312" t="s">
        <v>32672</v>
      </c>
      <c r="H7312" t="s">
        <v>12635</v>
      </c>
      <c r="I7312" t="s">
        <v>4439</v>
      </c>
      <c r="J7312" t="s">
        <v>37278</v>
      </c>
      <c r="K7312" t="s">
        <v>42281</v>
      </c>
      <c r="M7312" t="s">
        <v>42757</v>
      </c>
      <c r="N7312" t="s">
        <v>46569</v>
      </c>
      <c r="O7312" t="s">
        <v>46570</v>
      </c>
      <c r="Q7312">
        <v>0</v>
      </c>
      <c r="R7312" t="s">
        <v>46574</v>
      </c>
      <c r="S7312" t="s">
        <v>46729</v>
      </c>
      <c r="T7312" t="s">
        <v>48228</v>
      </c>
      <c r="U7312" t="s">
        <v>54823</v>
      </c>
      <c r="W7312" t="s">
        <v>42757</v>
      </c>
      <c r="X7312" t="s">
        <v>46578</v>
      </c>
    </row>
    <row r="7313" spans="1:24">
      <c r="A7313">
        <f>HYPERLINK("https://www.philgeps.gov.ph/GEPSNONPILOT/Tender/SplashBidNoticeAbstractUI.aspx?menuIndex=3&amp;refID=7055861&amp;Result=3","7055861")</f>
        <v>0</v>
      </c>
      <c r="B7313" t="s">
        <v>2248</v>
      </c>
      <c r="C7313" t="s">
        <v>10464</v>
      </c>
      <c r="D7313" t="s">
        <v>18782</v>
      </c>
      <c r="E7313" t="s">
        <v>19380</v>
      </c>
      <c r="F7313" t="s">
        <v>32664</v>
      </c>
      <c r="G7313" t="s">
        <v>32672</v>
      </c>
      <c r="H7313" t="s">
        <v>32683</v>
      </c>
      <c r="I7313" t="s">
        <v>10627</v>
      </c>
      <c r="J7313" t="s">
        <v>37302</v>
      </c>
      <c r="K7313" t="s">
        <v>42305</v>
      </c>
      <c r="M7313" t="s">
        <v>45013</v>
      </c>
      <c r="N7313" t="s">
        <v>46569</v>
      </c>
      <c r="O7313" t="s">
        <v>46570</v>
      </c>
      <c r="P7313">
        <v>0</v>
      </c>
      <c r="Q7313">
        <v>0</v>
      </c>
      <c r="R7313" t="s">
        <v>46574</v>
      </c>
      <c r="S7313" t="s">
        <v>46723</v>
      </c>
      <c r="T7313" t="s">
        <v>48297</v>
      </c>
      <c r="U7313" t="s">
        <v>54824</v>
      </c>
      <c r="V7313" t="s">
        <v>62359</v>
      </c>
      <c r="W7313" t="s">
        <v>45013</v>
      </c>
      <c r="X7313" t="s">
        <v>46577</v>
      </c>
    </row>
    <row r="7314" spans="1:24">
      <c r="A7314">
        <f>HYPERLINK("https://www.philgeps.gov.ph/GEPSNONPILOT/Tender/SplashBidNoticeAbstractUI.aspx?menuIndex=3&amp;refID=7055844&amp;Result=3","7055844")</f>
        <v>0</v>
      </c>
      <c r="B7314" t="s">
        <v>2264</v>
      </c>
      <c r="C7314" t="s">
        <v>10465</v>
      </c>
      <c r="D7314" t="s">
        <v>18805</v>
      </c>
      <c r="E7314" t="s">
        <v>25341</v>
      </c>
      <c r="F7314" t="s">
        <v>32664</v>
      </c>
      <c r="G7314" t="s">
        <v>32672</v>
      </c>
      <c r="H7314" t="s">
        <v>12635</v>
      </c>
      <c r="I7314" t="s">
        <v>32706</v>
      </c>
      <c r="J7314" t="s">
        <v>37303</v>
      </c>
      <c r="K7314" t="s">
        <v>42281</v>
      </c>
      <c r="M7314" t="s">
        <v>45030</v>
      </c>
      <c r="N7314" t="s">
        <v>46569</v>
      </c>
      <c r="O7314" t="s">
        <v>46570</v>
      </c>
      <c r="P7314">
        <v>0</v>
      </c>
      <c r="Q7314">
        <v>1</v>
      </c>
      <c r="R7314" t="s">
        <v>46574</v>
      </c>
      <c r="S7314" t="s">
        <v>46723</v>
      </c>
      <c r="T7314" t="s">
        <v>48385</v>
      </c>
      <c r="U7314" t="s">
        <v>54825</v>
      </c>
      <c r="W7314" t="s">
        <v>45030</v>
      </c>
      <c r="X7314" t="s">
        <v>46577</v>
      </c>
    </row>
    <row r="7315" spans="1:24">
      <c r="A7315">
        <f>HYPERLINK("https://www.philgeps.gov.ph/GEPSNONPILOT/Tender/SplashBidNoticeAbstractUI.aspx?menuIndex=3&amp;refID=7055839&amp;Result=3","7055839")</f>
        <v>0</v>
      </c>
      <c r="B7315" t="s">
        <v>2265</v>
      </c>
      <c r="C7315" t="s">
        <v>10466</v>
      </c>
      <c r="D7315" t="s">
        <v>18799</v>
      </c>
      <c r="E7315" t="s">
        <v>19615</v>
      </c>
      <c r="F7315" t="s">
        <v>32664</v>
      </c>
      <c r="G7315" t="s">
        <v>32674</v>
      </c>
      <c r="H7315" t="s">
        <v>12635</v>
      </c>
      <c r="I7315" t="s">
        <v>6168</v>
      </c>
      <c r="J7315" t="s">
        <v>37304</v>
      </c>
      <c r="K7315" t="s">
        <v>42297</v>
      </c>
      <c r="M7315" t="s">
        <v>45031</v>
      </c>
      <c r="N7315" t="s">
        <v>46569</v>
      </c>
      <c r="O7315" t="s">
        <v>46570</v>
      </c>
      <c r="P7315">
        <v>0</v>
      </c>
      <c r="Q7315">
        <v>0</v>
      </c>
      <c r="R7315" t="s">
        <v>46574</v>
      </c>
      <c r="S7315" t="s">
        <v>46723</v>
      </c>
      <c r="T7315" t="s">
        <v>48219</v>
      </c>
      <c r="U7315" t="s">
        <v>49565</v>
      </c>
      <c r="W7315" t="s">
        <v>45031</v>
      </c>
      <c r="X7315" t="s">
        <v>46577</v>
      </c>
    </row>
    <row r="7316" spans="1:24">
      <c r="A7316">
        <f>HYPERLINK("https://www.philgeps.gov.ph/GEPSNONPILOT/Tender/SplashBidNoticeAbstractUI.aspx?menuIndex=3&amp;refID=7055838&amp;Result=3","7055838")</f>
        <v>0</v>
      </c>
      <c r="B7316" t="s">
        <v>2258</v>
      </c>
      <c r="C7316" t="s">
        <v>10467</v>
      </c>
      <c r="D7316" t="s">
        <v>18805</v>
      </c>
      <c r="E7316" t="s">
        <v>19681</v>
      </c>
      <c r="F7316" t="s">
        <v>32664</v>
      </c>
      <c r="G7316" t="s">
        <v>32671</v>
      </c>
      <c r="H7316" t="s">
        <v>12635</v>
      </c>
      <c r="I7316" t="s">
        <v>32727</v>
      </c>
      <c r="J7316" t="s">
        <v>37305</v>
      </c>
      <c r="K7316" t="s">
        <v>42281</v>
      </c>
      <c r="M7316" t="s">
        <v>45023</v>
      </c>
      <c r="N7316" t="s">
        <v>46569</v>
      </c>
      <c r="O7316" t="s">
        <v>46570</v>
      </c>
      <c r="P7316">
        <v>0</v>
      </c>
      <c r="Q7316">
        <v>8</v>
      </c>
      <c r="R7316" t="s">
        <v>46574</v>
      </c>
      <c r="S7316" t="s">
        <v>46723</v>
      </c>
      <c r="T7316" t="s">
        <v>48596</v>
      </c>
      <c r="U7316" t="s">
        <v>54826</v>
      </c>
      <c r="W7316" t="s">
        <v>45023</v>
      </c>
      <c r="X7316" t="s">
        <v>46577</v>
      </c>
    </row>
    <row r="7317" spans="1:24">
      <c r="A7317">
        <f>HYPERLINK("https://www.philgeps.gov.ph/GEPSNONPILOT/Tender/SplashBidNoticeAbstractUI.aspx?menuIndex=3&amp;refID=7055832&amp;Result=3","7055832")</f>
        <v>0</v>
      </c>
      <c r="B7317" t="s">
        <v>304</v>
      </c>
      <c r="C7317" t="s">
        <v>10468</v>
      </c>
      <c r="D7317" t="s">
        <v>18792</v>
      </c>
      <c r="E7317" t="s">
        <v>19460</v>
      </c>
      <c r="F7317" t="s">
        <v>32664</v>
      </c>
      <c r="G7317" t="s">
        <v>32671</v>
      </c>
      <c r="H7317" t="s">
        <v>12635</v>
      </c>
      <c r="I7317" t="s">
        <v>32685</v>
      </c>
      <c r="J7317" t="s">
        <v>33893</v>
      </c>
      <c r="K7317" t="s">
        <v>42295</v>
      </c>
      <c r="M7317" t="s">
        <v>42871</v>
      </c>
      <c r="N7317" t="s">
        <v>46569</v>
      </c>
      <c r="O7317" t="s">
        <v>46570</v>
      </c>
      <c r="P7317">
        <v>0</v>
      </c>
      <c r="Q7317">
        <v>0</v>
      </c>
      <c r="R7317" t="s">
        <v>46574</v>
      </c>
      <c r="S7317" t="s">
        <v>46723</v>
      </c>
      <c r="T7317" t="s">
        <v>48254</v>
      </c>
      <c r="U7317" t="s">
        <v>54827</v>
      </c>
      <c r="W7317" t="s">
        <v>42871</v>
      </c>
      <c r="X7317" t="s">
        <v>46577</v>
      </c>
    </row>
    <row r="7318" spans="1:24">
      <c r="A7318">
        <f>HYPERLINK("https://www.philgeps.gov.ph/GEPSNONPILOT/Tender/SplashBidNoticeAbstractUI.aspx?menuIndex=3&amp;refID=7055875&amp;Result=3","7055875")</f>
        <v>0</v>
      </c>
      <c r="B7318" t="s">
        <v>1028</v>
      </c>
      <c r="C7318" t="s">
        <v>10469</v>
      </c>
      <c r="D7318" t="s">
        <v>18805</v>
      </c>
      <c r="E7318" t="s">
        <v>25342</v>
      </c>
      <c r="F7318" t="s">
        <v>32664</v>
      </c>
      <c r="G7318" t="s">
        <v>32677</v>
      </c>
      <c r="H7318" t="s">
        <v>12635</v>
      </c>
      <c r="I7318" t="s">
        <v>32684</v>
      </c>
      <c r="J7318" t="s">
        <v>37306</v>
      </c>
      <c r="K7318" t="s">
        <v>42303</v>
      </c>
      <c r="M7318" t="s">
        <v>43640</v>
      </c>
      <c r="N7318" t="s">
        <v>46569</v>
      </c>
      <c r="O7318" t="s">
        <v>46570</v>
      </c>
      <c r="P7318">
        <v>0</v>
      </c>
      <c r="Q7318">
        <v>6</v>
      </c>
      <c r="R7318" t="s">
        <v>46574</v>
      </c>
      <c r="S7318" t="s">
        <v>46723</v>
      </c>
      <c r="T7318" t="s">
        <v>48330</v>
      </c>
      <c r="U7318" t="s">
        <v>50875</v>
      </c>
      <c r="W7318" t="s">
        <v>63503</v>
      </c>
      <c r="X7318" t="s">
        <v>46577</v>
      </c>
    </row>
    <row r="7319" spans="1:24">
      <c r="A7319">
        <f>HYPERLINK("https://www.philgeps.gov.ph/GEPSNONPILOT/Tender/SplashBidNoticeAbstractUI.aspx?menuIndex=3&amp;refID=7055909&amp;Result=3","7055909")</f>
        <v>0</v>
      </c>
      <c r="B7319" t="s">
        <v>304</v>
      </c>
      <c r="C7319" t="s">
        <v>10470</v>
      </c>
      <c r="D7319" t="s">
        <v>18792</v>
      </c>
      <c r="E7319" t="s">
        <v>19460</v>
      </c>
      <c r="F7319" t="s">
        <v>32664</v>
      </c>
      <c r="G7319" t="s">
        <v>32671</v>
      </c>
      <c r="H7319" t="s">
        <v>12635</v>
      </c>
      <c r="I7319" t="s">
        <v>32685</v>
      </c>
      <c r="J7319" t="s">
        <v>37307</v>
      </c>
      <c r="K7319" t="s">
        <v>42295</v>
      </c>
      <c r="M7319" t="s">
        <v>42871</v>
      </c>
      <c r="N7319" t="s">
        <v>46569</v>
      </c>
      <c r="O7319" t="s">
        <v>46570</v>
      </c>
      <c r="P7319">
        <v>0</v>
      </c>
      <c r="Q7319">
        <v>0</v>
      </c>
      <c r="R7319" t="s">
        <v>46574</v>
      </c>
      <c r="S7319" t="s">
        <v>46723</v>
      </c>
      <c r="T7319" t="s">
        <v>48287</v>
      </c>
      <c r="U7319" t="s">
        <v>54828</v>
      </c>
      <c r="W7319" t="s">
        <v>42871</v>
      </c>
      <c r="X7319" t="s">
        <v>46577</v>
      </c>
    </row>
    <row r="7320" spans="1:24">
      <c r="A7320">
        <f>HYPERLINK("https://www.philgeps.gov.ph/GEPSNONPILOT/Tender/SplashBidNoticeAbstractUI.aspx?menuIndex=3&amp;refID=7055827&amp;Result=3","7055827")</f>
        <v>0</v>
      </c>
      <c r="B7320" t="s">
        <v>2256</v>
      </c>
      <c r="C7320" t="s">
        <v>10471</v>
      </c>
      <c r="D7320" t="s">
        <v>18784</v>
      </c>
      <c r="E7320" t="s">
        <v>25343</v>
      </c>
      <c r="F7320" t="s">
        <v>32664</v>
      </c>
      <c r="G7320" t="s">
        <v>32672</v>
      </c>
      <c r="H7320" t="s">
        <v>12635</v>
      </c>
      <c r="I7320" t="s">
        <v>32689</v>
      </c>
      <c r="J7320" t="s">
        <v>37308</v>
      </c>
      <c r="K7320" t="s">
        <v>42289</v>
      </c>
      <c r="M7320" t="s">
        <v>45021</v>
      </c>
      <c r="N7320" t="s">
        <v>46569</v>
      </c>
      <c r="O7320" t="s">
        <v>46570</v>
      </c>
      <c r="P7320">
        <v>0</v>
      </c>
      <c r="Q7320">
        <v>4</v>
      </c>
      <c r="R7320" t="s">
        <v>46574</v>
      </c>
      <c r="S7320" t="s">
        <v>46723</v>
      </c>
      <c r="T7320" t="s">
        <v>48228</v>
      </c>
      <c r="U7320" t="s">
        <v>54785</v>
      </c>
      <c r="W7320" t="s">
        <v>45021</v>
      </c>
      <c r="X7320" t="s">
        <v>46577</v>
      </c>
    </row>
    <row r="7321" spans="1:24">
      <c r="A7321">
        <f>HYPERLINK("https://www.philgeps.gov.ph/GEPSNONPILOT/Tender/SplashBidNoticeAbstractUI.aspx?menuIndex=3&amp;refID=7055896&amp;Result=3","7055896")</f>
        <v>0</v>
      </c>
      <c r="B7321" t="s">
        <v>2266</v>
      </c>
      <c r="C7321" t="s">
        <v>10472</v>
      </c>
      <c r="D7321" t="s">
        <v>18823</v>
      </c>
      <c r="E7321" t="s">
        <v>19193</v>
      </c>
      <c r="F7321" t="s">
        <v>32664</v>
      </c>
      <c r="G7321" t="s">
        <v>32672</v>
      </c>
      <c r="H7321" t="s">
        <v>12635</v>
      </c>
      <c r="I7321" t="s">
        <v>6223</v>
      </c>
      <c r="J7321" t="s">
        <v>37309</v>
      </c>
      <c r="K7321" t="s">
        <v>42281</v>
      </c>
      <c r="M7321" t="s">
        <v>45032</v>
      </c>
      <c r="N7321" t="s">
        <v>46569</v>
      </c>
      <c r="O7321" t="s">
        <v>46570</v>
      </c>
      <c r="P7321">
        <v>0</v>
      </c>
      <c r="Q7321">
        <v>2</v>
      </c>
      <c r="R7321" t="s">
        <v>46574</v>
      </c>
      <c r="S7321" t="s">
        <v>46723</v>
      </c>
      <c r="T7321" t="s">
        <v>48228</v>
      </c>
      <c r="U7321" t="s">
        <v>54031</v>
      </c>
      <c r="W7321" t="s">
        <v>45032</v>
      </c>
      <c r="X7321" t="s">
        <v>46577</v>
      </c>
    </row>
    <row r="7322" spans="1:24">
      <c r="A7322">
        <f>HYPERLINK("https://www.philgeps.gov.ph/GEPSNONPILOT/Tender/SplashBidNoticeAbstractUI.aspx?menuIndex=3&amp;refID=7055811&amp;Result=3","7055811")</f>
        <v>0</v>
      </c>
      <c r="B7322" t="s">
        <v>1069</v>
      </c>
      <c r="C7322" t="s">
        <v>10473</v>
      </c>
      <c r="D7322" t="s">
        <v>18825</v>
      </c>
      <c r="E7322" t="s">
        <v>25344</v>
      </c>
      <c r="F7322" t="s">
        <v>32664</v>
      </c>
      <c r="G7322" t="s">
        <v>32672</v>
      </c>
      <c r="H7322" t="s">
        <v>32683</v>
      </c>
      <c r="I7322" t="s">
        <v>32748</v>
      </c>
      <c r="J7322" t="s">
        <v>37310</v>
      </c>
      <c r="K7322" t="s">
        <v>42283</v>
      </c>
      <c r="M7322" t="s">
        <v>43687</v>
      </c>
      <c r="N7322" t="s">
        <v>46569</v>
      </c>
      <c r="O7322" t="s">
        <v>46570</v>
      </c>
      <c r="P7322">
        <v>0</v>
      </c>
      <c r="Q7322">
        <v>4</v>
      </c>
      <c r="R7322" t="s">
        <v>46574</v>
      </c>
      <c r="S7322" t="s">
        <v>46723</v>
      </c>
      <c r="T7322" t="s">
        <v>48280</v>
      </c>
      <c r="U7322" t="s">
        <v>54829</v>
      </c>
      <c r="W7322" t="s">
        <v>43687</v>
      </c>
      <c r="X7322" t="s">
        <v>46577</v>
      </c>
    </row>
    <row r="7323" spans="1:24">
      <c r="A7323">
        <f>HYPERLINK("https://www.philgeps.gov.ph/GEPSNONPILOT/Tender/SplashBidNoticeAbstractUI.aspx?menuIndex=3&amp;refID=7066959&amp;Result=3","7066959")</f>
        <v>0</v>
      </c>
      <c r="B7323" t="s">
        <v>887</v>
      </c>
      <c r="C7323" t="s">
        <v>10474</v>
      </c>
      <c r="D7323" t="s">
        <v>18821</v>
      </c>
      <c r="E7323" t="s">
        <v>25345</v>
      </c>
      <c r="F7323" t="s">
        <v>32664</v>
      </c>
      <c r="G7323" t="s">
        <v>32672</v>
      </c>
      <c r="H7323" t="s">
        <v>12635</v>
      </c>
      <c r="I7323" t="s">
        <v>32694</v>
      </c>
      <c r="J7323" t="s">
        <v>37311</v>
      </c>
      <c r="K7323" t="s">
        <v>42284</v>
      </c>
      <c r="M7323" t="s">
        <v>43488</v>
      </c>
      <c r="N7323" t="s">
        <v>46569</v>
      </c>
      <c r="O7323" t="s">
        <v>46570</v>
      </c>
      <c r="P7323">
        <v>0</v>
      </c>
      <c r="Q7323">
        <v>0</v>
      </c>
      <c r="R7323" t="s">
        <v>46571</v>
      </c>
      <c r="S7323" t="s">
        <v>46687</v>
      </c>
      <c r="T7323" t="s">
        <v>48225</v>
      </c>
      <c r="U7323" t="s">
        <v>50571</v>
      </c>
      <c r="W7323" t="s">
        <v>43488</v>
      </c>
      <c r="X7323" t="s">
        <v>46572</v>
      </c>
    </row>
    <row r="7324" spans="1:24">
      <c r="A7324">
        <f>HYPERLINK("https://www.philgeps.gov.ph/GEPSNONPILOT/Tender/SplashBidNoticeAbstractUI.aspx?menuIndex=3&amp;refID=7066962&amp;Result=3","7066962")</f>
        <v>0</v>
      </c>
      <c r="B7324" t="s">
        <v>2267</v>
      </c>
      <c r="C7324" t="s">
        <v>10475</v>
      </c>
      <c r="D7324" t="s">
        <v>18801</v>
      </c>
      <c r="E7324" t="s">
        <v>24075</v>
      </c>
      <c r="F7324" t="s">
        <v>32664</v>
      </c>
      <c r="G7324" t="s">
        <v>32671</v>
      </c>
      <c r="H7324" t="s">
        <v>32682</v>
      </c>
      <c r="I7324" t="s">
        <v>32745</v>
      </c>
      <c r="J7324" t="s">
        <v>33051</v>
      </c>
      <c r="K7324" t="s">
        <v>42295</v>
      </c>
      <c r="M7324" t="s">
        <v>45033</v>
      </c>
      <c r="N7324" t="s">
        <v>46569</v>
      </c>
      <c r="O7324" t="s">
        <v>46570</v>
      </c>
      <c r="P7324">
        <v>0</v>
      </c>
      <c r="Q7324">
        <v>0</v>
      </c>
      <c r="R7324" t="s">
        <v>46571</v>
      </c>
      <c r="S7324" t="s">
        <v>46687</v>
      </c>
      <c r="T7324" t="s">
        <v>48256</v>
      </c>
      <c r="U7324" t="s">
        <v>51917</v>
      </c>
      <c r="W7324" t="s">
        <v>45033</v>
      </c>
      <c r="X7324" t="s">
        <v>46572</v>
      </c>
    </row>
    <row r="7325" spans="1:24">
      <c r="A7325">
        <f>HYPERLINK("https://www.philgeps.gov.ph/GEPSNONPILOT/Tender/SplashBidNoticeAbstractUI.aspx?menuIndex=3&amp;refID=7055820&amp;Result=3","7055820")</f>
        <v>0</v>
      </c>
      <c r="B7325" t="s">
        <v>1655</v>
      </c>
      <c r="C7325" t="s">
        <v>10476</v>
      </c>
      <c r="D7325" t="s">
        <v>18838</v>
      </c>
      <c r="E7325" t="s">
        <v>25346</v>
      </c>
      <c r="F7325" t="s">
        <v>32664</v>
      </c>
      <c r="G7325" t="s">
        <v>32671</v>
      </c>
      <c r="H7325" t="s">
        <v>12635</v>
      </c>
      <c r="I7325" t="s">
        <v>32704</v>
      </c>
      <c r="J7325" t="s">
        <v>37312</v>
      </c>
      <c r="K7325" t="s">
        <v>42289</v>
      </c>
      <c r="L7325" t="s">
        <v>1655</v>
      </c>
      <c r="M7325" t="s">
        <v>45026</v>
      </c>
      <c r="N7325" t="s">
        <v>46569</v>
      </c>
      <c r="O7325" t="s">
        <v>46570</v>
      </c>
      <c r="P7325">
        <v>0</v>
      </c>
      <c r="Q7325">
        <v>9</v>
      </c>
      <c r="R7325" t="s">
        <v>46574</v>
      </c>
      <c r="S7325" t="s">
        <v>46723</v>
      </c>
      <c r="T7325" t="s">
        <v>48244</v>
      </c>
      <c r="U7325" t="s">
        <v>54830</v>
      </c>
      <c r="W7325" t="s">
        <v>45026</v>
      </c>
      <c r="X7325" t="s">
        <v>46577</v>
      </c>
    </row>
    <row r="7326" spans="1:24">
      <c r="A7326">
        <f>HYPERLINK("https://www.philgeps.gov.ph/GEPSNONPILOT/Tender/SplashBidNoticeAbstractUI.aspx?menuIndex=3&amp;refID=7066826&amp;Result=3","7066826")</f>
        <v>0</v>
      </c>
      <c r="B7326" t="s">
        <v>69</v>
      </c>
      <c r="C7326" t="s">
        <v>10477</v>
      </c>
      <c r="D7326" t="s">
        <v>18784</v>
      </c>
      <c r="E7326" t="s">
        <v>25347</v>
      </c>
      <c r="F7326" t="s">
        <v>32664</v>
      </c>
      <c r="G7326" t="s">
        <v>32671</v>
      </c>
      <c r="H7326" t="s">
        <v>12635</v>
      </c>
      <c r="I7326" t="s">
        <v>32685</v>
      </c>
      <c r="J7326" t="s">
        <v>37313</v>
      </c>
      <c r="K7326" t="s">
        <v>42281</v>
      </c>
      <c r="M7326" t="s">
        <v>43455</v>
      </c>
      <c r="N7326" t="s">
        <v>46569</v>
      </c>
      <c r="O7326" t="s">
        <v>46570</v>
      </c>
      <c r="P7326">
        <v>0</v>
      </c>
      <c r="Q7326">
        <v>0</v>
      </c>
      <c r="R7326" t="s">
        <v>46571</v>
      </c>
      <c r="S7326" t="s">
        <v>46687</v>
      </c>
      <c r="T7326" t="s">
        <v>48299</v>
      </c>
      <c r="U7326" t="s">
        <v>50445</v>
      </c>
      <c r="W7326" t="s">
        <v>43455</v>
      </c>
      <c r="X7326" t="s">
        <v>46572</v>
      </c>
    </row>
    <row r="7327" spans="1:24">
      <c r="A7327">
        <f>HYPERLINK("https://www.philgeps.gov.ph/GEPSNONPILOT/Tender/SplashBidNoticeAbstractUI.aspx?menuIndex=3&amp;refID=7055825&amp;Result=3","7055825")</f>
        <v>0</v>
      </c>
      <c r="B7327" t="s">
        <v>2242</v>
      </c>
      <c r="C7327" t="s">
        <v>10478</v>
      </c>
      <c r="D7327" t="s">
        <v>18820</v>
      </c>
      <c r="E7327" t="s">
        <v>25348</v>
      </c>
      <c r="F7327" t="s">
        <v>32664</v>
      </c>
      <c r="G7327" t="s">
        <v>32673</v>
      </c>
      <c r="H7327" t="s">
        <v>12635</v>
      </c>
      <c r="I7327" t="s">
        <v>32736</v>
      </c>
      <c r="J7327" t="s">
        <v>34694</v>
      </c>
      <c r="K7327" t="s">
        <v>42281</v>
      </c>
      <c r="M7327" t="s">
        <v>45007</v>
      </c>
      <c r="N7327" t="s">
        <v>46569</v>
      </c>
      <c r="O7327" t="s">
        <v>46570</v>
      </c>
      <c r="P7327">
        <v>0</v>
      </c>
      <c r="Q7327">
        <v>0</v>
      </c>
      <c r="R7327" t="s">
        <v>46574</v>
      </c>
      <c r="S7327" t="s">
        <v>46723</v>
      </c>
      <c r="T7327" t="s">
        <v>48336</v>
      </c>
      <c r="U7327" t="s">
        <v>54831</v>
      </c>
      <c r="V7327" t="s">
        <v>62345</v>
      </c>
      <c r="W7327" t="s">
        <v>45007</v>
      </c>
      <c r="X7327" t="s">
        <v>46577</v>
      </c>
    </row>
    <row r="7328" spans="1:24">
      <c r="A7328">
        <f>HYPERLINK("https://www.philgeps.gov.ph/GEPSNONPILOT/Tender/SplashBidNoticeAbstractUI.aspx?menuIndex=3&amp;refID=7066825&amp;Result=3","7066825")</f>
        <v>0</v>
      </c>
      <c r="B7328" t="s">
        <v>842</v>
      </c>
      <c r="C7328" t="s">
        <v>10479</v>
      </c>
      <c r="D7328" t="s">
        <v>18830</v>
      </c>
      <c r="E7328" t="s">
        <v>25349</v>
      </c>
      <c r="F7328" t="s">
        <v>32664</v>
      </c>
      <c r="G7328" t="s">
        <v>32671</v>
      </c>
      <c r="H7328" t="s">
        <v>12635</v>
      </c>
      <c r="I7328" t="s">
        <v>6223</v>
      </c>
      <c r="J7328" t="s">
        <v>37314</v>
      </c>
      <c r="K7328" t="s">
        <v>42297</v>
      </c>
      <c r="M7328" t="s">
        <v>43437</v>
      </c>
      <c r="N7328" t="s">
        <v>46569</v>
      </c>
      <c r="O7328" t="s">
        <v>46570</v>
      </c>
      <c r="P7328">
        <v>0</v>
      </c>
      <c r="Q7328">
        <v>0</v>
      </c>
      <c r="R7328" t="s">
        <v>46571</v>
      </c>
      <c r="S7328" t="s">
        <v>46687</v>
      </c>
      <c r="T7328" t="s">
        <v>48221</v>
      </c>
      <c r="U7328" t="s">
        <v>53629</v>
      </c>
      <c r="W7328" t="s">
        <v>43437</v>
      </c>
      <c r="X7328" t="s">
        <v>46572</v>
      </c>
    </row>
    <row r="7329" spans="1:24">
      <c r="A7329">
        <f>HYPERLINK("https://www.philgeps.gov.ph/GEPSNONPILOT/Tender/SplashBidNoticeAbstractUI.aspx?menuIndex=3&amp;refID=7066823&amp;Result=3","7066823")</f>
        <v>0</v>
      </c>
      <c r="B7329" t="s">
        <v>848</v>
      </c>
      <c r="C7329" t="s">
        <v>10480</v>
      </c>
      <c r="D7329" t="s">
        <v>18791</v>
      </c>
      <c r="E7329" t="s">
        <v>25350</v>
      </c>
      <c r="F7329" t="s">
        <v>32664</v>
      </c>
      <c r="G7329" t="s">
        <v>32671</v>
      </c>
      <c r="H7329" t="s">
        <v>12635</v>
      </c>
      <c r="I7329" t="s">
        <v>32694</v>
      </c>
      <c r="J7329" t="s">
        <v>37315</v>
      </c>
      <c r="K7329" t="s">
        <v>42284</v>
      </c>
      <c r="M7329" t="s">
        <v>43444</v>
      </c>
      <c r="N7329" t="s">
        <v>46569</v>
      </c>
      <c r="O7329" t="s">
        <v>46570</v>
      </c>
      <c r="P7329">
        <v>0</v>
      </c>
      <c r="Q7329">
        <v>0</v>
      </c>
      <c r="R7329" t="s">
        <v>46571</v>
      </c>
      <c r="S7329" t="s">
        <v>46687</v>
      </c>
      <c r="T7329" t="s">
        <v>48356</v>
      </c>
      <c r="U7329" t="s">
        <v>50421</v>
      </c>
      <c r="W7329" t="s">
        <v>43444</v>
      </c>
      <c r="X7329" t="s">
        <v>46572</v>
      </c>
    </row>
    <row r="7330" spans="1:24">
      <c r="A7330">
        <f>HYPERLINK("https://www.philgeps.gov.ph/GEPSNONPILOT/Tender/SplashBidNoticeAbstractUI.aspx?menuIndex=3&amp;refID=7066821&amp;Result=3","7066821")</f>
        <v>0</v>
      </c>
      <c r="B7330" t="s">
        <v>876</v>
      </c>
      <c r="C7330" t="s">
        <v>10481</v>
      </c>
      <c r="D7330" t="s">
        <v>18798</v>
      </c>
      <c r="E7330" t="s">
        <v>19583</v>
      </c>
      <c r="F7330" t="s">
        <v>32664</v>
      </c>
      <c r="G7330" t="s">
        <v>32671</v>
      </c>
      <c r="H7330" t="s">
        <v>12635</v>
      </c>
      <c r="I7330" t="s">
        <v>5589</v>
      </c>
      <c r="J7330" t="s">
        <v>37316</v>
      </c>
      <c r="K7330" t="s">
        <v>42295</v>
      </c>
      <c r="M7330" t="s">
        <v>43476</v>
      </c>
      <c r="N7330" t="s">
        <v>46569</v>
      </c>
      <c r="O7330" t="s">
        <v>46570</v>
      </c>
      <c r="P7330">
        <v>0</v>
      </c>
      <c r="Q7330">
        <v>0</v>
      </c>
      <c r="R7330" t="s">
        <v>46571</v>
      </c>
      <c r="S7330" t="s">
        <v>46687</v>
      </c>
      <c r="T7330" t="s">
        <v>48410</v>
      </c>
      <c r="U7330" t="s">
        <v>54832</v>
      </c>
      <c r="W7330" t="s">
        <v>43476</v>
      </c>
      <c r="X7330" t="s">
        <v>46572</v>
      </c>
    </row>
    <row r="7331" spans="1:24">
      <c r="A7331">
        <f>HYPERLINK("https://www.philgeps.gov.ph/GEPSNONPILOT/Tender/SplashBidNoticeAbstractUI.aspx?menuIndex=3&amp;refID=7066824&amp;Result=3","7066824")</f>
        <v>0</v>
      </c>
      <c r="B7331" t="s">
        <v>243</v>
      </c>
      <c r="C7331" t="s">
        <v>10482</v>
      </c>
      <c r="D7331" t="s">
        <v>18841</v>
      </c>
      <c r="E7331" t="s">
        <v>25351</v>
      </c>
      <c r="F7331" t="s">
        <v>32664</v>
      </c>
      <c r="G7331" t="s">
        <v>32674</v>
      </c>
      <c r="H7331" t="s">
        <v>12635</v>
      </c>
      <c r="I7331" t="s">
        <v>6628</v>
      </c>
      <c r="J7331" t="s">
        <v>37317</v>
      </c>
      <c r="K7331" t="s">
        <v>42284</v>
      </c>
      <c r="L7331" t="s">
        <v>243</v>
      </c>
      <c r="M7331" t="s">
        <v>42808</v>
      </c>
      <c r="N7331" t="s">
        <v>46569</v>
      </c>
      <c r="O7331" t="s">
        <v>46570</v>
      </c>
      <c r="P7331">
        <v>0</v>
      </c>
      <c r="Q7331">
        <v>1</v>
      </c>
      <c r="R7331" t="s">
        <v>46571</v>
      </c>
      <c r="S7331" t="s">
        <v>46687</v>
      </c>
      <c r="T7331" t="s">
        <v>48314</v>
      </c>
      <c r="U7331" t="s">
        <v>54833</v>
      </c>
      <c r="V7331" t="s">
        <v>61675</v>
      </c>
      <c r="W7331" t="s">
        <v>42808</v>
      </c>
      <c r="X7331" t="s">
        <v>46572</v>
      </c>
    </row>
    <row r="7332" spans="1:24">
      <c r="A7332">
        <f>HYPERLINK("https://www.philgeps.gov.ph/GEPSNONPILOT/Tender/SplashBidNoticeAbstractUI.aspx?menuIndex=3&amp;refID=7056092&amp;Result=3","7056092")</f>
        <v>0</v>
      </c>
      <c r="B7332" t="s">
        <v>1843</v>
      </c>
      <c r="C7332" t="s">
        <v>10483</v>
      </c>
      <c r="D7332" t="s">
        <v>18842</v>
      </c>
      <c r="E7332" t="s">
        <v>25352</v>
      </c>
      <c r="F7332" t="s">
        <v>32664</v>
      </c>
      <c r="G7332" t="s">
        <v>32672</v>
      </c>
      <c r="H7332" t="s">
        <v>32683</v>
      </c>
      <c r="I7332" t="s">
        <v>10627</v>
      </c>
      <c r="J7332" t="s">
        <v>34022</v>
      </c>
      <c r="K7332" t="s">
        <v>42365</v>
      </c>
      <c r="M7332" t="s">
        <v>44551</v>
      </c>
      <c r="N7332" t="s">
        <v>46569</v>
      </c>
      <c r="O7332" t="s">
        <v>46570</v>
      </c>
      <c r="P7332">
        <v>0</v>
      </c>
      <c r="Q7332">
        <v>0</v>
      </c>
      <c r="R7332" t="s">
        <v>46574</v>
      </c>
      <c r="S7332" t="s">
        <v>46723</v>
      </c>
      <c r="T7332" t="s">
        <v>48288</v>
      </c>
      <c r="U7332" t="s">
        <v>54834</v>
      </c>
      <c r="V7332" t="s">
        <v>54834</v>
      </c>
      <c r="W7332" t="s">
        <v>44551</v>
      </c>
      <c r="X7332" t="s">
        <v>46577</v>
      </c>
    </row>
    <row r="7333" spans="1:24">
      <c r="A7333">
        <f>HYPERLINK("https://www.philgeps.gov.ph/GEPSNONPILOT/Tender/SplashBidNoticeAbstractUI.aspx?menuIndex=3&amp;refID=7066960&amp;Result=3","7066960")</f>
        <v>0</v>
      </c>
      <c r="B7333" t="s">
        <v>2268</v>
      </c>
      <c r="C7333" t="s">
        <v>10484</v>
      </c>
      <c r="D7333" t="s">
        <v>18836</v>
      </c>
      <c r="E7333" t="s">
        <v>20024</v>
      </c>
      <c r="F7333" t="s">
        <v>32664</v>
      </c>
      <c r="G7333" t="s">
        <v>32674</v>
      </c>
      <c r="H7333" t="s">
        <v>12635</v>
      </c>
      <c r="I7333" t="s">
        <v>9486</v>
      </c>
      <c r="J7333" t="s">
        <v>37318</v>
      </c>
      <c r="K7333" t="s">
        <v>42339</v>
      </c>
      <c r="M7333" t="s">
        <v>45034</v>
      </c>
      <c r="N7333" t="s">
        <v>46569</v>
      </c>
      <c r="O7333" t="s">
        <v>46570</v>
      </c>
      <c r="P7333">
        <v>0</v>
      </c>
      <c r="Q7333">
        <v>1</v>
      </c>
      <c r="R7333" t="s">
        <v>46571</v>
      </c>
      <c r="S7333" t="s">
        <v>46687</v>
      </c>
      <c r="T7333" t="s">
        <v>48221</v>
      </c>
      <c r="U7333" t="s">
        <v>54835</v>
      </c>
      <c r="W7333" t="s">
        <v>63555</v>
      </c>
      <c r="X7333" t="s">
        <v>46572</v>
      </c>
    </row>
    <row r="7334" spans="1:24">
      <c r="A7334">
        <f>HYPERLINK("https://www.philgeps.gov.ph/GEPSNONPILOT/Tender/SplashBidNoticeAbstractUI.aspx?menuIndex=3&amp;refID=7066820&amp;Result=3","7066820")</f>
        <v>0</v>
      </c>
      <c r="B7334" t="s">
        <v>863</v>
      </c>
      <c r="C7334" t="s">
        <v>10485</v>
      </c>
      <c r="D7334" t="s">
        <v>18821</v>
      </c>
      <c r="E7334" t="s">
        <v>25353</v>
      </c>
      <c r="F7334" t="s">
        <v>32664</v>
      </c>
      <c r="G7334" t="s">
        <v>32671</v>
      </c>
      <c r="H7334" t="s">
        <v>12635</v>
      </c>
      <c r="I7334" t="s">
        <v>6223</v>
      </c>
      <c r="J7334" t="s">
        <v>37319</v>
      </c>
      <c r="K7334" t="s">
        <v>42303</v>
      </c>
      <c r="M7334" t="s">
        <v>43462</v>
      </c>
      <c r="N7334" t="s">
        <v>46569</v>
      </c>
      <c r="O7334" t="s">
        <v>46570</v>
      </c>
      <c r="P7334">
        <v>0</v>
      </c>
      <c r="Q7334">
        <v>0</v>
      </c>
      <c r="R7334" t="s">
        <v>46571</v>
      </c>
      <c r="S7334" t="s">
        <v>46687</v>
      </c>
      <c r="T7334" t="s">
        <v>48246</v>
      </c>
      <c r="U7334" t="s">
        <v>54836</v>
      </c>
      <c r="W7334" t="s">
        <v>43462</v>
      </c>
      <c r="X7334" t="s">
        <v>46572</v>
      </c>
    </row>
    <row r="7335" spans="1:24">
      <c r="A7335">
        <f>HYPERLINK("https://www.philgeps.gov.ph/GEPSNONPILOT/Tender/SplashBidNoticeAbstractUI.aspx?menuIndex=3&amp;refID=7066958&amp;Result=3","7066958")</f>
        <v>0</v>
      </c>
      <c r="B7335" t="s">
        <v>2269</v>
      </c>
      <c r="C7335" t="s">
        <v>10486</v>
      </c>
      <c r="D7335" t="s">
        <v>18831</v>
      </c>
      <c r="E7335" t="s">
        <v>25354</v>
      </c>
      <c r="F7335" t="s">
        <v>32664</v>
      </c>
      <c r="G7335" t="s">
        <v>32674</v>
      </c>
      <c r="H7335" t="s">
        <v>12635</v>
      </c>
      <c r="I7335" t="s">
        <v>32700</v>
      </c>
      <c r="J7335" t="s">
        <v>37320</v>
      </c>
      <c r="K7335" t="s">
        <v>42283</v>
      </c>
      <c r="M7335" t="s">
        <v>45035</v>
      </c>
      <c r="N7335" t="s">
        <v>46569</v>
      </c>
      <c r="O7335" t="s">
        <v>46570</v>
      </c>
      <c r="P7335">
        <v>0</v>
      </c>
      <c r="Q7335">
        <v>0</v>
      </c>
      <c r="R7335" t="s">
        <v>46571</v>
      </c>
      <c r="S7335" t="s">
        <v>46687</v>
      </c>
      <c r="T7335" t="s">
        <v>48293</v>
      </c>
      <c r="U7335" t="s">
        <v>54837</v>
      </c>
      <c r="W7335" t="s">
        <v>45035</v>
      </c>
      <c r="X7335" t="s">
        <v>46572</v>
      </c>
    </row>
    <row r="7336" spans="1:24">
      <c r="A7336">
        <f>HYPERLINK("https://www.philgeps.gov.ph/GEPSNONPILOT/Tender/SplashBidNoticeAbstractUI.aspx?menuIndex=3&amp;refID=7056090&amp;Result=3","7056090")</f>
        <v>0</v>
      </c>
      <c r="B7336" t="s">
        <v>2270</v>
      </c>
      <c r="C7336" t="s">
        <v>10487</v>
      </c>
      <c r="D7336" t="s">
        <v>18839</v>
      </c>
      <c r="E7336" t="s">
        <v>25355</v>
      </c>
      <c r="F7336" t="s">
        <v>32664</v>
      </c>
      <c r="G7336" t="s">
        <v>32672</v>
      </c>
      <c r="H7336" t="s">
        <v>12635</v>
      </c>
      <c r="I7336" t="s">
        <v>32696</v>
      </c>
      <c r="J7336" t="s">
        <v>32859</v>
      </c>
      <c r="K7336" t="s">
        <v>42281</v>
      </c>
      <c r="M7336" t="s">
        <v>45036</v>
      </c>
      <c r="N7336" t="s">
        <v>46569</v>
      </c>
      <c r="O7336" t="s">
        <v>46570</v>
      </c>
      <c r="P7336">
        <v>0</v>
      </c>
      <c r="Q7336">
        <v>2</v>
      </c>
      <c r="R7336" t="s">
        <v>46574</v>
      </c>
      <c r="S7336" t="s">
        <v>46723</v>
      </c>
      <c r="T7336" t="s">
        <v>48374</v>
      </c>
      <c r="U7336" t="s">
        <v>54838</v>
      </c>
      <c r="W7336" t="s">
        <v>45036</v>
      </c>
      <c r="X7336" t="s">
        <v>46577</v>
      </c>
    </row>
    <row r="7337" spans="1:24">
      <c r="A7337">
        <f>HYPERLINK("https://www.philgeps.gov.ph/GEPSNONPILOT/Tender/SplashBidNoticeAbstractUI.aspx?menuIndex=3&amp;refID=7056063&amp;Result=3","7056063")</f>
        <v>0</v>
      </c>
      <c r="B7337" t="s">
        <v>193</v>
      </c>
      <c r="C7337" t="s">
        <v>10488</v>
      </c>
      <c r="D7337" t="s">
        <v>18783</v>
      </c>
      <c r="E7337" t="s">
        <v>25356</v>
      </c>
      <c r="F7337" t="s">
        <v>32664</v>
      </c>
      <c r="G7337" t="s">
        <v>32672</v>
      </c>
      <c r="H7337" t="s">
        <v>12635</v>
      </c>
      <c r="I7337" t="s">
        <v>4439</v>
      </c>
      <c r="J7337" t="s">
        <v>37278</v>
      </c>
      <c r="K7337" t="s">
        <v>42281</v>
      </c>
      <c r="M7337" t="s">
        <v>42757</v>
      </c>
      <c r="N7337" t="s">
        <v>46569</v>
      </c>
      <c r="O7337" t="s">
        <v>46570</v>
      </c>
      <c r="P7337">
        <v>0</v>
      </c>
      <c r="Q7337">
        <v>0</v>
      </c>
      <c r="R7337" t="s">
        <v>46574</v>
      </c>
      <c r="S7337" t="s">
        <v>46723</v>
      </c>
      <c r="T7337" t="s">
        <v>48305</v>
      </c>
      <c r="U7337" t="s">
        <v>54839</v>
      </c>
      <c r="W7337" t="s">
        <v>42757</v>
      </c>
      <c r="X7337" t="s">
        <v>46577</v>
      </c>
    </row>
    <row r="7338" spans="1:24">
      <c r="A7338">
        <f>HYPERLINK("https://www.philgeps.gov.ph/GEPSNONPILOT/Tender/SplashBidNoticeAbstractUI.aspx?menuIndex=3&amp;refID=7056062&amp;Result=3","7056062")</f>
        <v>0</v>
      </c>
      <c r="B7338" t="s">
        <v>1420</v>
      </c>
      <c r="C7338" t="s">
        <v>10489</v>
      </c>
      <c r="D7338" t="s">
        <v>18860</v>
      </c>
      <c r="E7338" t="s">
        <v>25357</v>
      </c>
      <c r="F7338" t="s">
        <v>32664</v>
      </c>
      <c r="G7338" t="s">
        <v>32675</v>
      </c>
      <c r="H7338" t="s">
        <v>12635</v>
      </c>
      <c r="I7338" t="s">
        <v>32719</v>
      </c>
      <c r="J7338" t="s">
        <v>33049</v>
      </c>
      <c r="K7338" t="s">
        <v>42289</v>
      </c>
      <c r="M7338" t="s">
        <v>44079</v>
      </c>
      <c r="N7338" t="s">
        <v>46569</v>
      </c>
      <c r="O7338" t="s">
        <v>46570</v>
      </c>
      <c r="P7338">
        <v>0</v>
      </c>
      <c r="Q7338">
        <v>5</v>
      </c>
      <c r="R7338" t="s">
        <v>46574</v>
      </c>
      <c r="S7338" t="s">
        <v>46723</v>
      </c>
      <c r="T7338" t="s">
        <v>48473</v>
      </c>
      <c r="U7338" t="s">
        <v>54840</v>
      </c>
      <c r="W7338" t="s">
        <v>44079</v>
      </c>
      <c r="X7338" t="s">
        <v>46577</v>
      </c>
    </row>
    <row r="7339" spans="1:24">
      <c r="A7339">
        <f>HYPERLINK("https://www.philgeps.gov.ph/GEPSNONPILOT/Tender/SplashBidNoticeAbstractUI.aspx?menuIndex=3&amp;refID=7056046&amp;Result=3","7056046")</f>
        <v>0</v>
      </c>
      <c r="B7339" t="s">
        <v>790</v>
      </c>
      <c r="C7339" t="s">
        <v>10490</v>
      </c>
      <c r="D7339" t="s">
        <v>18809</v>
      </c>
      <c r="E7339" t="s">
        <v>25358</v>
      </c>
      <c r="F7339" t="s">
        <v>32664</v>
      </c>
      <c r="G7339" t="s">
        <v>32671</v>
      </c>
      <c r="H7339" t="s">
        <v>12635</v>
      </c>
      <c r="I7339" t="s">
        <v>6168</v>
      </c>
      <c r="J7339" t="s">
        <v>37321</v>
      </c>
      <c r="K7339" t="s">
        <v>42295</v>
      </c>
      <c r="M7339" t="s">
        <v>43382</v>
      </c>
      <c r="N7339" t="s">
        <v>46569</v>
      </c>
      <c r="O7339" t="s">
        <v>46570</v>
      </c>
      <c r="P7339">
        <v>0</v>
      </c>
      <c r="Q7339">
        <v>0</v>
      </c>
      <c r="R7339" t="s">
        <v>46574</v>
      </c>
      <c r="S7339" t="s">
        <v>46723</v>
      </c>
      <c r="T7339" t="s">
        <v>48448</v>
      </c>
      <c r="U7339" t="s">
        <v>54841</v>
      </c>
      <c r="W7339" t="s">
        <v>43382</v>
      </c>
      <c r="X7339" t="s">
        <v>46577</v>
      </c>
    </row>
    <row r="7340" spans="1:24">
      <c r="A7340">
        <f>HYPERLINK("https://www.philgeps.gov.ph/GEPSNONPILOT/Tender/SplashBidNoticeAbstractUI.aspx?menuIndex=3&amp;refID=7056040&amp;Result=3","7056040")</f>
        <v>0</v>
      </c>
      <c r="B7340" t="s">
        <v>2271</v>
      </c>
      <c r="C7340" t="s">
        <v>10491</v>
      </c>
      <c r="D7340" t="s">
        <v>18827</v>
      </c>
      <c r="E7340" t="s">
        <v>19280</v>
      </c>
      <c r="F7340" t="s">
        <v>32664</v>
      </c>
      <c r="G7340" t="s">
        <v>32675</v>
      </c>
      <c r="H7340" t="s">
        <v>12635</v>
      </c>
      <c r="I7340" t="s">
        <v>10361</v>
      </c>
      <c r="J7340" t="s">
        <v>37322</v>
      </c>
      <c r="K7340" t="s">
        <v>42419</v>
      </c>
      <c r="M7340" t="s">
        <v>45037</v>
      </c>
      <c r="N7340" t="s">
        <v>46569</v>
      </c>
      <c r="O7340" t="s">
        <v>46570</v>
      </c>
      <c r="P7340">
        <v>0</v>
      </c>
      <c r="Q7340">
        <v>0</v>
      </c>
      <c r="R7340" t="s">
        <v>46574</v>
      </c>
      <c r="S7340" t="s">
        <v>46723</v>
      </c>
      <c r="T7340" t="s">
        <v>48307</v>
      </c>
      <c r="U7340" t="s">
        <v>54842</v>
      </c>
      <c r="W7340" t="s">
        <v>45037</v>
      </c>
      <c r="X7340" t="s">
        <v>46577</v>
      </c>
    </row>
    <row r="7341" spans="1:24">
      <c r="A7341">
        <f>HYPERLINK("https://www.philgeps.gov.ph/GEPSNONPILOT/Tender/SplashBidNoticeAbstractUI.aspx?menuIndex=3&amp;refID=7056028&amp;Result=3","7056028")</f>
        <v>0</v>
      </c>
      <c r="B7341" t="s">
        <v>193</v>
      </c>
      <c r="C7341" t="s">
        <v>10492</v>
      </c>
      <c r="D7341" t="s">
        <v>18783</v>
      </c>
      <c r="E7341" t="s">
        <v>25359</v>
      </c>
      <c r="F7341" t="s">
        <v>32664</v>
      </c>
      <c r="G7341" t="s">
        <v>32672</v>
      </c>
      <c r="H7341" t="s">
        <v>12635</v>
      </c>
      <c r="I7341" t="s">
        <v>4439</v>
      </c>
      <c r="J7341" t="s">
        <v>37278</v>
      </c>
      <c r="K7341" t="s">
        <v>42281</v>
      </c>
      <c r="M7341" t="s">
        <v>42757</v>
      </c>
      <c r="N7341" t="s">
        <v>46569</v>
      </c>
      <c r="O7341" t="s">
        <v>46570</v>
      </c>
      <c r="P7341">
        <v>0</v>
      </c>
      <c r="Q7341">
        <v>0</v>
      </c>
      <c r="R7341" t="s">
        <v>46574</v>
      </c>
      <c r="S7341" t="s">
        <v>46723</v>
      </c>
      <c r="T7341" t="s">
        <v>48228</v>
      </c>
      <c r="U7341" t="s">
        <v>54843</v>
      </c>
      <c r="W7341" t="s">
        <v>42757</v>
      </c>
      <c r="X7341" t="s">
        <v>46577</v>
      </c>
    </row>
    <row r="7342" spans="1:24">
      <c r="A7342">
        <f>HYPERLINK("https://www.philgeps.gov.ph/GEPSNONPILOT/Tender/SplashBidNoticeAbstractUI.aspx?menuIndex=3&amp;refID=7056020&amp;Result=3","7056020")</f>
        <v>0</v>
      </c>
      <c r="B7342" t="s">
        <v>2272</v>
      </c>
      <c r="C7342" t="s">
        <v>10493</v>
      </c>
      <c r="D7342" t="s">
        <v>18849</v>
      </c>
      <c r="E7342" t="s">
        <v>25015</v>
      </c>
      <c r="F7342" t="s">
        <v>32664</v>
      </c>
      <c r="G7342" t="s">
        <v>32671</v>
      </c>
      <c r="H7342" t="s">
        <v>12635</v>
      </c>
      <c r="I7342" t="s">
        <v>7759</v>
      </c>
      <c r="J7342" t="s">
        <v>37323</v>
      </c>
      <c r="K7342" t="s">
        <v>42297</v>
      </c>
      <c r="M7342" t="s">
        <v>45038</v>
      </c>
      <c r="N7342" t="s">
        <v>46569</v>
      </c>
      <c r="O7342" t="s">
        <v>46570</v>
      </c>
      <c r="P7342">
        <v>0</v>
      </c>
      <c r="Q7342">
        <v>0</v>
      </c>
      <c r="R7342" t="s">
        <v>46574</v>
      </c>
      <c r="S7342" t="s">
        <v>46723</v>
      </c>
      <c r="T7342" t="s">
        <v>48285</v>
      </c>
      <c r="U7342" t="s">
        <v>54844</v>
      </c>
      <c r="W7342" t="s">
        <v>45038</v>
      </c>
      <c r="X7342" t="s">
        <v>46577</v>
      </c>
    </row>
    <row r="7343" spans="1:24">
      <c r="A7343">
        <f>HYPERLINK("https://www.philgeps.gov.ph/GEPSNONPILOT/Tender/SplashBidNoticeAbstractUI.aspx?menuIndex=3&amp;refID=7055823&amp;Result=3","7055823")</f>
        <v>0</v>
      </c>
      <c r="B7343" t="s">
        <v>1028</v>
      </c>
      <c r="C7343" t="s">
        <v>10494</v>
      </c>
      <c r="D7343" t="s">
        <v>18805</v>
      </c>
      <c r="E7343" t="s">
        <v>25360</v>
      </c>
      <c r="F7343" t="s">
        <v>32664</v>
      </c>
      <c r="G7343" t="s">
        <v>32677</v>
      </c>
      <c r="H7343" t="s">
        <v>12635</v>
      </c>
      <c r="I7343" t="s">
        <v>7709</v>
      </c>
      <c r="J7343" t="s">
        <v>37324</v>
      </c>
      <c r="K7343" t="s">
        <v>42303</v>
      </c>
      <c r="M7343" t="s">
        <v>43640</v>
      </c>
      <c r="N7343" t="s">
        <v>46569</v>
      </c>
      <c r="O7343" t="s">
        <v>46570</v>
      </c>
      <c r="P7343">
        <v>0</v>
      </c>
      <c r="Q7343">
        <v>0</v>
      </c>
      <c r="R7343" t="s">
        <v>46574</v>
      </c>
      <c r="S7343" t="s">
        <v>46723</v>
      </c>
      <c r="T7343" t="s">
        <v>48330</v>
      </c>
      <c r="U7343" t="s">
        <v>50875</v>
      </c>
      <c r="W7343" t="s">
        <v>63503</v>
      </c>
      <c r="X7343" t="s">
        <v>46577</v>
      </c>
    </row>
    <row r="7344" spans="1:24">
      <c r="A7344">
        <f>HYPERLINK("https://www.philgeps.gov.ph/GEPSNONPILOT/Tender/SplashBidNoticeAbstractUI.aspx?menuIndex=3&amp;refID=7055984&amp;Result=3","7055984")</f>
        <v>0</v>
      </c>
      <c r="B7344" t="s">
        <v>594</v>
      </c>
      <c r="C7344" t="s">
        <v>10495</v>
      </c>
      <c r="D7344" t="s">
        <v>18784</v>
      </c>
      <c r="E7344" t="s">
        <v>25361</v>
      </c>
      <c r="F7344" t="s">
        <v>32664</v>
      </c>
      <c r="G7344" t="s">
        <v>32671</v>
      </c>
      <c r="H7344" t="s">
        <v>12635</v>
      </c>
      <c r="I7344" t="s">
        <v>6628</v>
      </c>
      <c r="J7344" t="s">
        <v>37325</v>
      </c>
      <c r="K7344" t="s">
        <v>42297</v>
      </c>
      <c r="M7344" t="s">
        <v>43768</v>
      </c>
      <c r="N7344" t="s">
        <v>46569</v>
      </c>
      <c r="O7344" t="s">
        <v>46570</v>
      </c>
      <c r="P7344">
        <v>0</v>
      </c>
      <c r="Q7344">
        <v>3</v>
      </c>
      <c r="R7344" t="s">
        <v>46574</v>
      </c>
      <c r="S7344" t="s">
        <v>46723</v>
      </c>
      <c r="T7344" t="s">
        <v>48551</v>
      </c>
      <c r="U7344" t="s">
        <v>54845</v>
      </c>
      <c r="V7344" t="s">
        <v>61906</v>
      </c>
      <c r="W7344" t="s">
        <v>43768</v>
      </c>
      <c r="X7344" t="s">
        <v>46577</v>
      </c>
    </row>
    <row r="7345" spans="1:24">
      <c r="A7345">
        <f>HYPERLINK("https://www.philgeps.gov.ph/GEPSNONPILOT/Tender/SplashBidNoticeAbstractUI.aspx?menuIndex=3&amp;refID=7055970&amp;Result=3","7055970")</f>
        <v>0</v>
      </c>
      <c r="B7345" t="s">
        <v>1838</v>
      </c>
      <c r="C7345" t="s">
        <v>10496</v>
      </c>
      <c r="D7345" t="s">
        <v>18799</v>
      </c>
      <c r="E7345" t="s">
        <v>25362</v>
      </c>
      <c r="F7345" t="s">
        <v>32664</v>
      </c>
      <c r="G7345" t="s">
        <v>32672</v>
      </c>
      <c r="H7345" t="s">
        <v>12635</v>
      </c>
      <c r="I7345" t="s">
        <v>5501</v>
      </c>
      <c r="J7345" t="s">
        <v>37326</v>
      </c>
      <c r="K7345" t="s">
        <v>42328</v>
      </c>
      <c r="M7345" t="s">
        <v>45039</v>
      </c>
      <c r="N7345" t="s">
        <v>46569</v>
      </c>
      <c r="O7345" t="s">
        <v>46570</v>
      </c>
      <c r="P7345">
        <v>0</v>
      </c>
      <c r="Q7345">
        <v>11</v>
      </c>
      <c r="R7345" t="s">
        <v>46574</v>
      </c>
      <c r="S7345" t="s">
        <v>46723</v>
      </c>
      <c r="T7345" t="s">
        <v>48369</v>
      </c>
      <c r="U7345" t="s">
        <v>54846</v>
      </c>
      <c r="W7345" t="s">
        <v>45039</v>
      </c>
      <c r="X7345" t="s">
        <v>46577</v>
      </c>
    </row>
    <row r="7346" spans="1:24">
      <c r="A7346">
        <f>HYPERLINK("https://www.philgeps.gov.ph/GEPSNONPILOT/Tender/SplashBidNoticeAbstractUI.aspx?menuIndex=3&amp;refID=7055994&amp;Result=3","7055994")</f>
        <v>0</v>
      </c>
      <c r="B7346" t="s">
        <v>2273</v>
      </c>
      <c r="C7346" t="s">
        <v>10497</v>
      </c>
      <c r="D7346" t="s">
        <v>18824</v>
      </c>
      <c r="E7346" t="s">
        <v>25363</v>
      </c>
      <c r="F7346" t="s">
        <v>32664</v>
      </c>
      <c r="G7346" t="s">
        <v>32672</v>
      </c>
      <c r="H7346" t="s">
        <v>12635</v>
      </c>
      <c r="I7346" t="s">
        <v>32688</v>
      </c>
      <c r="J7346" t="s">
        <v>33931</v>
      </c>
      <c r="K7346" t="s">
        <v>42284</v>
      </c>
      <c r="M7346" t="s">
        <v>45040</v>
      </c>
      <c r="N7346" t="s">
        <v>46569</v>
      </c>
      <c r="O7346" t="s">
        <v>46570</v>
      </c>
      <c r="P7346">
        <v>0</v>
      </c>
      <c r="Q7346">
        <v>0</v>
      </c>
      <c r="R7346" t="s">
        <v>46574</v>
      </c>
      <c r="S7346" t="s">
        <v>46723</v>
      </c>
      <c r="T7346" t="s">
        <v>48283</v>
      </c>
      <c r="U7346" t="s">
        <v>54847</v>
      </c>
      <c r="W7346" t="s">
        <v>45040</v>
      </c>
      <c r="X7346" t="s">
        <v>46577</v>
      </c>
    </row>
    <row r="7347" spans="1:24">
      <c r="A7347">
        <f>HYPERLINK("https://www.philgeps.gov.ph/GEPSNONPILOT/Tender/SplashBidNoticeAbstractUI.aspx?menuIndex=3&amp;refID=7056101&amp;Result=3","7056101")</f>
        <v>0</v>
      </c>
      <c r="B7347" t="s">
        <v>193</v>
      </c>
      <c r="C7347" t="s">
        <v>10498</v>
      </c>
      <c r="D7347" t="s">
        <v>18783</v>
      </c>
      <c r="E7347" t="s">
        <v>22335</v>
      </c>
      <c r="F7347" t="s">
        <v>32664</v>
      </c>
      <c r="G7347" t="s">
        <v>32672</v>
      </c>
      <c r="H7347" t="s">
        <v>12635</v>
      </c>
      <c r="I7347" t="s">
        <v>4439</v>
      </c>
      <c r="J7347" t="s">
        <v>37278</v>
      </c>
      <c r="K7347" t="s">
        <v>42281</v>
      </c>
      <c r="M7347" t="s">
        <v>42757</v>
      </c>
      <c r="N7347" t="s">
        <v>46569</v>
      </c>
      <c r="O7347" t="s">
        <v>46570</v>
      </c>
      <c r="P7347">
        <v>0</v>
      </c>
      <c r="Q7347">
        <v>0</v>
      </c>
      <c r="R7347" t="s">
        <v>46574</v>
      </c>
      <c r="S7347" t="s">
        <v>46723</v>
      </c>
      <c r="T7347" t="s">
        <v>48228</v>
      </c>
      <c r="U7347" t="s">
        <v>54848</v>
      </c>
      <c r="W7347" t="s">
        <v>42757</v>
      </c>
      <c r="X7347" t="s">
        <v>46577</v>
      </c>
    </row>
    <row r="7348" spans="1:24">
      <c r="A7348">
        <f>HYPERLINK("https://www.philgeps.gov.ph/GEPSNONPILOT/Tender/SplashBidNoticeAbstractUI.aspx?menuIndex=3&amp;refID=7055952&amp;Result=3","7055952")</f>
        <v>0</v>
      </c>
      <c r="B7348" t="s">
        <v>2274</v>
      </c>
      <c r="C7348" t="s">
        <v>10499</v>
      </c>
      <c r="D7348" t="s">
        <v>18817</v>
      </c>
      <c r="E7348" t="s">
        <v>25364</v>
      </c>
      <c r="F7348" t="s">
        <v>32664</v>
      </c>
      <c r="G7348" t="s">
        <v>32677</v>
      </c>
      <c r="H7348" t="s">
        <v>12635</v>
      </c>
      <c r="I7348" t="s">
        <v>7709</v>
      </c>
      <c r="J7348" t="s">
        <v>37327</v>
      </c>
      <c r="K7348" t="s">
        <v>42289</v>
      </c>
      <c r="M7348" t="s">
        <v>45041</v>
      </c>
      <c r="N7348" t="s">
        <v>46569</v>
      </c>
      <c r="O7348" t="s">
        <v>46570</v>
      </c>
      <c r="P7348">
        <v>0</v>
      </c>
      <c r="Q7348">
        <v>0</v>
      </c>
      <c r="R7348" t="s">
        <v>46574</v>
      </c>
      <c r="S7348" t="s">
        <v>46723</v>
      </c>
      <c r="T7348" t="s">
        <v>48427</v>
      </c>
      <c r="U7348" t="s">
        <v>54849</v>
      </c>
      <c r="W7348" t="s">
        <v>45041</v>
      </c>
      <c r="X7348" t="s">
        <v>46577</v>
      </c>
    </row>
    <row r="7349" spans="1:24">
      <c r="A7349">
        <f>HYPERLINK("https://www.philgeps.gov.ph/GEPSNONPILOT/Tender/SplashBidNoticeAbstractUI.aspx?menuIndex=3&amp;refID=7055967&amp;Result=3","7055967")</f>
        <v>0</v>
      </c>
      <c r="B7349" t="s">
        <v>2263</v>
      </c>
      <c r="C7349" t="s">
        <v>10500</v>
      </c>
      <c r="D7349" t="s">
        <v>18827</v>
      </c>
      <c r="E7349" t="s">
        <v>25365</v>
      </c>
      <c r="F7349" t="s">
        <v>32664</v>
      </c>
      <c r="G7349" t="s">
        <v>32671</v>
      </c>
      <c r="H7349" t="s">
        <v>12635</v>
      </c>
      <c r="I7349" t="s">
        <v>32684</v>
      </c>
      <c r="J7349" t="s">
        <v>37328</v>
      </c>
      <c r="K7349" t="s">
        <v>42306</v>
      </c>
      <c r="M7349" t="s">
        <v>45029</v>
      </c>
      <c r="N7349" t="s">
        <v>46569</v>
      </c>
      <c r="O7349" t="s">
        <v>46570</v>
      </c>
      <c r="P7349">
        <v>0</v>
      </c>
      <c r="Q7349">
        <v>1</v>
      </c>
      <c r="R7349" t="s">
        <v>46574</v>
      </c>
      <c r="S7349" t="s">
        <v>46723</v>
      </c>
      <c r="T7349" t="s">
        <v>48246</v>
      </c>
      <c r="U7349" t="s">
        <v>54850</v>
      </c>
      <c r="W7349" t="s">
        <v>45029</v>
      </c>
      <c r="X7349" t="s">
        <v>46577</v>
      </c>
    </row>
    <row r="7350" spans="1:24">
      <c r="A7350">
        <f>HYPERLINK("https://www.philgeps.gov.ph/GEPSNONPILOT/Tender/SplashBidNoticeAbstractUI.aspx?menuIndex=3&amp;refID=7056000&amp;Result=3","7056000")</f>
        <v>0</v>
      </c>
      <c r="B7350" t="s">
        <v>925</v>
      </c>
      <c r="C7350" t="s">
        <v>10501</v>
      </c>
      <c r="D7350" t="s">
        <v>18836</v>
      </c>
      <c r="E7350" t="s">
        <v>25366</v>
      </c>
      <c r="F7350" t="s">
        <v>32664</v>
      </c>
      <c r="G7350" t="s">
        <v>32671</v>
      </c>
      <c r="H7350" t="s">
        <v>12635</v>
      </c>
      <c r="I7350" t="s">
        <v>32712</v>
      </c>
      <c r="J7350" t="s">
        <v>37329</v>
      </c>
      <c r="K7350" t="s">
        <v>42297</v>
      </c>
      <c r="M7350" t="s">
        <v>43531</v>
      </c>
      <c r="N7350" t="s">
        <v>46569</v>
      </c>
      <c r="O7350" t="s">
        <v>46570</v>
      </c>
      <c r="P7350">
        <v>0</v>
      </c>
      <c r="Q7350">
        <v>7</v>
      </c>
      <c r="R7350" t="s">
        <v>46574</v>
      </c>
      <c r="S7350" t="s">
        <v>46723</v>
      </c>
      <c r="T7350" t="s">
        <v>48473</v>
      </c>
      <c r="U7350" t="s">
        <v>54851</v>
      </c>
      <c r="W7350" t="s">
        <v>43531</v>
      </c>
      <c r="X7350" t="s">
        <v>46577</v>
      </c>
    </row>
    <row r="7351" spans="1:24">
      <c r="A7351">
        <f>HYPERLINK("https://www.philgeps.gov.ph/GEPSNONPILOT/Tender/SplashBidNoticeAbstractUI.aspx?menuIndex=3&amp;refID=7055948&amp;Result=3","7055948")</f>
        <v>0</v>
      </c>
      <c r="B7351" t="s">
        <v>844</v>
      </c>
      <c r="C7351" t="s">
        <v>10502</v>
      </c>
      <c r="D7351" t="s">
        <v>18805</v>
      </c>
      <c r="E7351" t="s">
        <v>25367</v>
      </c>
      <c r="F7351" t="s">
        <v>32664</v>
      </c>
      <c r="G7351" t="s">
        <v>32672</v>
      </c>
      <c r="H7351" t="s">
        <v>12635</v>
      </c>
      <c r="I7351" t="s">
        <v>32752</v>
      </c>
      <c r="J7351" t="s">
        <v>33793</v>
      </c>
      <c r="K7351" t="s">
        <v>42306</v>
      </c>
      <c r="M7351" t="s">
        <v>43439</v>
      </c>
      <c r="N7351" t="s">
        <v>46569</v>
      </c>
      <c r="O7351" t="s">
        <v>46570</v>
      </c>
      <c r="P7351">
        <v>0</v>
      </c>
      <c r="Q7351">
        <v>0</v>
      </c>
      <c r="R7351" t="s">
        <v>46574</v>
      </c>
      <c r="S7351" t="s">
        <v>46723</v>
      </c>
      <c r="T7351" t="s">
        <v>48281</v>
      </c>
      <c r="U7351" t="s">
        <v>54852</v>
      </c>
      <c r="W7351" t="s">
        <v>43439</v>
      </c>
      <c r="X7351" t="s">
        <v>46577</v>
      </c>
    </row>
    <row r="7352" spans="1:24">
      <c r="A7352">
        <f>HYPERLINK("https://www.philgeps.gov.ph/GEPSNONPILOT/Tender/SplashBidNoticeAbstractUI.aspx?menuIndex=3&amp;refID=7066819&amp;Result=3","7066819")</f>
        <v>0</v>
      </c>
      <c r="B7352" t="s">
        <v>128</v>
      </c>
      <c r="C7352" t="s">
        <v>10503</v>
      </c>
      <c r="D7352" t="s">
        <v>18827</v>
      </c>
      <c r="E7352" t="s">
        <v>25368</v>
      </c>
      <c r="F7352" t="s">
        <v>32664</v>
      </c>
      <c r="G7352" t="s">
        <v>32671</v>
      </c>
      <c r="H7352" t="s">
        <v>12635</v>
      </c>
      <c r="I7352" t="s">
        <v>8797</v>
      </c>
      <c r="J7352" t="s">
        <v>37330</v>
      </c>
      <c r="K7352" t="s">
        <v>42284</v>
      </c>
      <c r="M7352" t="s">
        <v>42692</v>
      </c>
      <c r="N7352" t="s">
        <v>46569</v>
      </c>
      <c r="O7352" t="s">
        <v>46570</v>
      </c>
      <c r="P7352">
        <v>0</v>
      </c>
      <c r="Q7352">
        <v>0</v>
      </c>
      <c r="R7352" t="s">
        <v>46571</v>
      </c>
      <c r="S7352" t="s">
        <v>46687</v>
      </c>
      <c r="T7352" t="s">
        <v>48221</v>
      </c>
      <c r="U7352" t="s">
        <v>54853</v>
      </c>
      <c r="W7352" t="s">
        <v>42692</v>
      </c>
      <c r="X7352" t="s">
        <v>46572</v>
      </c>
    </row>
    <row r="7353" spans="1:24">
      <c r="A7353">
        <f>HYPERLINK("https://www.philgeps.gov.ph/GEPSNONPILOT/Tender/SplashBidNoticeAbstractUI.aspx?menuIndex=3&amp;refID=7066841&amp;Result=3","7066841")</f>
        <v>0</v>
      </c>
      <c r="B7353" t="s">
        <v>863</v>
      </c>
      <c r="C7353" t="s">
        <v>10504</v>
      </c>
      <c r="D7353" t="s">
        <v>18782</v>
      </c>
      <c r="E7353" t="s">
        <v>25369</v>
      </c>
      <c r="F7353" t="s">
        <v>32664</v>
      </c>
      <c r="G7353" t="s">
        <v>32671</v>
      </c>
      <c r="H7353" t="s">
        <v>12635</v>
      </c>
      <c r="I7353" t="s">
        <v>32698</v>
      </c>
      <c r="J7353" t="s">
        <v>37331</v>
      </c>
      <c r="K7353" t="s">
        <v>42305</v>
      </c>
      <c r="M7353" t="s">
        <v>43462</v>
      </c>
      <c r="N7353" t="s">
        <v>46569</v>
      </c>
      <c r="O7353" t="s">
        <v>46570</v>
      </c>
      <c r="P7353">
        <v>0</v>
      </c>
      <c r="Q7353">
        <v>2</v>
      </c>
      <c r="R7353" t="s">
        <v>46571</v>
      </c>
      <c r="S7353" t="s">
        <v>46687</v>
      </c>
      <c r="T7353" t="s">
        <v>48246</v>
      </c>
      <c r="U7353" t="s">
        <v>54854</v>
      </c>
      <c r="W7353" t="s">
        <v>43462</v>
      </c>
      <c r="X7353" t="s">
        <v>46572</v>
      </c>
    </row>
    <row r="7354" spans="1:24">
      <c r="A7354">
        <f>HYPERLINK("https://www.philgeps.gov.ph/GEPSNONPILOT/Tender/SplashBidNoticeAbstractUI.aspx?menuIndex=3&amp;refID=7066802&amp;Result=3","7066802")</f>
        <v>0</v>
      </c>
      <c r="B7354" t="s">
        <v>868</v>
      </c>
      <c r="C7354" t="s">
        <v>10505</v>
      </c>
      <c r="D7354" t="s">
        <v>18784</v>
      </c>
      <c r="E7354" t="s">
        <v>25370</v>
      </c>
      <c r="F7354" t="s">
        <v>32664</v>
      </c>
      <c r="G7354" t="s">
        <v>32671</v>
      </c>
      <c r="H7354" t="s">
        <v>12635</v>
      </c>
      <c r="I7354" t="s">
        <v>32705</v>
      </c>
      <c r="J7354" t="s">
        <v>36751</v>
      </c>
      <c r="K7354" t="s">
        <v>42283</v>
      </c>
      <c r="M7354" t="s">
        <v>43468</v>
      </c>
      <c r="N7354" t="s">
        <v>46569</v>
      </c>
      <c r="O7354" t="s">
        <v>46570</v>
      </c>
      <c r="P7354">
        <v>0</v>
      </c>
      <c r="Q7354">
        <v>0</v>
      </c>
      <c r="R7354" t="s">
        <v>46571</v>
      </c>
      <c r="S7354" t="s">
        <v>46687</v>
      </c>
      <c r="T7354" t="s">
        <v>48256</v>
      </c>
      <c r="U7354" t="s">
        <v>54855</v>
      </c>
      <c r="W7354" t="s">
        <v>43468</v>
      </c>
      <c r="X7354" t="s">
        <v>46572</v>
      </c>
    </row>
    <row r="7355" spans="1:24">
      <c r="A7355">
        <f>HYPERLINK("https://www.philgeps.gov.ph/GEPSNONPILOT/Tender/SplashBidNoticeAbstractUI.aspx?menuIndex=3&amp;refID=7066799&amp;Result=3","7066799")</f>
        <v>0</v>
      </c>
      <c r="B7355" t="s">
        <v>519</v>
      </c>
      <c r="C7355" t="s">
        <v>10506</v>
      </c>
      <c r="D7355" t="s">
        <v>18838</v>
      </c>
      <c r="E7355" t="s">
        <v>25371</v>
      </c>
      <c r="F7355" t="s">
        <v>32664</v>
      </c>
      <c r="G7355" t="s">
        <v>32671</v>
      </c>
      <c r="H7355" t="s">
        <v>12635</v>
      </c>
      <c r="I7355" t="s">
        <v>8797</v>
      </c>
      <c r="J7355" t="s">
        <v>35023</v>
      </c>
      <c r="K7355" t="s">
        <v>42283</v>
      </c>
      <c r="M7355" t="s">
        <v>43096</v>
      </c>
      <c r="N7355" t="s">
        <v>46569</v>
      </c>
      <c r="O7355" t="s">
        <v>46570</v>
      </c>
      <c r="P7355">
        <v>0</v>
      </c>
      <c r="Q7355">
        <v>3</v>
      </c>
      <c r="R7355" t="s">
        <v>46571</v>
      </c>
      <c r="S7355" t="s">
        <v>46687</v>
      </c>
      <c r="T7355" t="s">
        <v>48268</v>
      </c>
      <c r="U7355" t="s">
        <v>54856</v>
      </c>
      <c r="W7355" t="s">
        <v>43096</v>
      </c>
      <c r="X7355" t="s">
        <v>46572</v>
      </c>
    </row>
    <row r="7356" spans="1:24">
      <c r="A7356">
        <f>HYPERLINK("https://www.philgeps.gov.ph/GEPSNONPILOT/Tender/SplashBidNoticeAbstractUI.aspx?menuIndex=3&amp;refID=7055944&amp;Result=3","7055944")</f>
        <v>0</v>
      </c>
      <c r="B7356" t="s">
        <v>2263</v>
      </c>
      <c r="C7356" t="s">
        <v>10507</v>
      </c>
      <c r="D7356" t="s">
        <v>18827</v>
      </c>
      <c r="E7356" t="s">
        <v>25372</v>
      </c>
      <c r="F7356" t="s">
        <v>32664</v>
      </c>
      <c r="G7356" t="s">
        <v>32671</v>
      </c>
      <c r="H7356" t="s">
        <v>12635</v>
      </c>
      <c r="I7356" t="s">
        <v>5589</v>
      </c>
      <c r="J7356" t="s">
        <v>34279</v>
      </c>
      <c r="K7356" t="s">
        <v>42306</v>
      </c>
      <c r="M7356" t="s">
        <v>45029</v>
      </c>
      <c r="N7356" t="s">
        <v>46569</v>
      </c>
      <c r="O7356" t="s">
        <v>46570</v>
      </c>
      <c r="P7356">
        <v>0</v>
      </c>
      <c r="Q7356">
        <v>0</v>
      </c>
      <c r="R7356" t="s">
        <v>46574</v>
      </c>
      <c r="S7356" t="s">
        <v>46723</v>
      </c>
      <c r="T7356" t="s">
        <v>48246</v>
      </c>
      <c r="U7356" t="s">
        <v>54857</v>
      </c>
      <c r="W7356" t="s">
        <v>45029</v>
      </c>
      <c r="X7356" t="s">
        <v>46577</v>
      </c>
    </row>
    <row r="7357" spans="1:24">
      <c r="A7357">
        <f>HYPERLINK("https://www.philgeps.gov.ph/GEPSNONPILOT/Tender/SplashBidNoticeAbstractUI.aspx?menuIndex=3&amp;refID=7066798&amp;Result=3","7066798")</f>
        <v>0</v>
      </c>
      <c r="B7357" t="s">
        <v>362</v>
      </c>
      <c r="C7357" t="s">
        <v>10508</v>
      </c>
      <c r="D7357" t="s">
        <v>18842</v>
      </c>
      <c r="E7357" t="s">
        <v>19588</v>
      </c>
      <c r="F7357" t="s">
        <v>32664</v>
      </c>
      <c r="G7357" t="s">
        <v>32671</v>
      </c>
      <c r="H7357" t="s">
        <v>12635</v>
      </c>
      <c r="I7357" t="s">
        <v>32689</v>
      </c>
      <c r="J7357" t="s">
        <v>37332</v>
      </c>
      <c r="K7357" t="s">
        <v>42283</v>
      </c>
      <c r="M7357" t="s">
        <v>42931</v>
      </c>
      <c r="N7357" t="s">
        <v>46569</v>
      </c>
      <c r="O7357" t="s">
        <v>46570</v>
      </c>
      <c r="P7357">
        <v>0</v>
      </c>
      <c r="Q7357">
        <v>0</v>
      </c>
      <c r="R7357" t="s">
        <v>46571</v>
      </c>
      <c r="S7357" t="s">
        <v>46687</v>
      </c>
      <c r="T7357" t="s">
        <v>48283</v>
      </c>
      <c r="U7357" t="s">
        <v>54858</v>
      </c>
      <c r="W7357" t="s">
        <v>42931</v>
      </c>
      <c r="X7357" t="s">
        <v>46572</v>
      </c>
    </row>
    <row r="7358" spans="1:24">
      <c r="A7358">
        <f>HYPERLINK("https://www.philgeps.gov.ph/GEPSNONPILOT/Tender/SplashBidNoticeAbstractUI.aspx?menuIndex=3&amp;refID=7056260&amp;Result=3","7056260")</f>
        <v>0</v>
      </c>
      <c r="B7358" t="s">
        <v>2270</v>
      </c>
      <c r="C7358" t="s">
        <v>10509</v>
      </c>
      <c r="D7358" t="s">
        <v>18839</v>
      </c>
      <c r="E7358" t="s">
        <v>25373</v>
      </c>
      <c r="F7358" t="s">
        <v>32664</v>
      </c>
      <c r="G7358" t="s">
        <v>32672</v>
      </c>
      <c r="H7358" t="s">
        <v>12635</v>
      </c>
      <c r="I7358" t="s">
        <v>8797</v>
      </c>
      <c r="J7358" t="s">
        <v>36707</v>
      </c>
      <c r="K7358" t="s">
        <v>42281</v>
      </c>
      <c r="M7358" t="s">
        <v>45036</v>
      </c>
      <c r="N7358" t="s">
        <v>46569</v>
      </c>
      <c r="O7358" t="s">
        <v>46570</v>
      </c>
      <c r="P7358">
        <v>0</v>
      </c>
      <c r="Q7358">
        <v>0</v>
      </c>
      <c r="R7358" t="s">
        <v>46574</v>
      </c>
      <c r="S7358" t="s">
        <v>46723</v>
      </c>
      <c r="T7358" t="s">
        <v>48374</v>
      </c>
      <c r="U7358" t="s">
        <v>54859</v>
      </c>
      <c r="W7358" t="s">
        <v>45036</v>
      </c>
      <c r="X7358" t="s">
        <v>46577</v>
      </c>
    </row>
    <row r="7359" spans="1:24">
      <c r="A7359">
        <f>HYPERLINK("https://www.philgeps.gov.ph/GEPSNONPILOT/Tender/SplashBidNoticeAbstractUI.aspx?menuIndex=3&amp;refID=7056252&amp;Result=3","7056252")</f>
        <v>0</v>
      </c>
      <c r="B7359" t="s">
        <v>189</v>
      </c>
      <c r="C7359" t="s">
        <v>10510</v>
      </c>
      <c r="E7359" t="s">
        <v>25374</v>
      </c>
      <c r="F7359" t="s">
        <v>32664</v>
      </c>
      <c r="G7359" t="s">
        <v>32671</v>
      </c>
      <c r="H7359" t="s">
        <v>12635</v>
      </c>
      <c r="I7359" t="s">
        <v>32736</v>
      </c>
      <c r="J7359" t="s">
        <v>33128</v>
      </c>
      <c r="K7359" t="s">
        <v>42281</v>
      </c>
      <c r="M7359" t="s">
        <v>42753</v>
      </c>
      <c r="N7359" t="s">
        <v>46569</v>
      </c>
      <c r="O7359" t="s">
        <v>46570</v>
      </c>
      <c r="P7359">
        <v>0</v>
      </c>
      <c r="Q7359">
        <v>0</v>
      </c>
      <c r="R7359" t="s">
        <v>46574</v>
      </c>
      <c r="S7359" t="s">
        <v>46723</v>
      </c>
      <c r="T7359" t="s">
        <v>48449</v>
      </c>
      <c r="U7359" t="s">
        <v>54860</v>
      </c>
      <c r="W7359" t="s">
        <v>42753</v>
      </c>
      <c r="X7359" t="s">
        <v>46577</v>
      </c>
    </row>
    <row r="7360" spans="1:24">
      <c r="A7360">
        <f>HYPERLINK("https://www.philgeps.gov.ph/GEPSNONPILOT/Tender/SplashBidNoticeAbstractUI.aspx?menuIndex=3&amp;refID=7056246&amp;Result=3","7056246")</f>
        <v>0</v>
      </c>
      <c r="B7360" t="s">
        <v>2275</v>
      </c>
      <c r="C7360" t="s">
        <v>10511</v>
      </c>
      <c r="D7360" t="s">
        <v>18784</v>
      </c>
      <c r="E7360" t="s">
        <v>25375</v>
      </c>
      <c r="F7360" t="s">
        <v>32664</v>
      </c>
      <c r="G7360" t="s">
        <v>32672</v>
      </c>
      <c r="H7360" t="s">
        <v>12635</v>
      </c>
      <c r="I7360" t="s">
        <v>32704</v>
      </c>
      <c r="J7360" t="s">
        <v>32981</v>
      </c>
      <c r="K7360" t="s">
        <v>42298</v>
      </c>
      <c r="M7360" t="s">
        <v>45042</v>
      </c>
      <c r="N7360" t="s">
        <v>46569</v>
      </c>
      <c r="O7360" t="s">
        <v>46570</v>
      </c>
      <c r="P7360">
        <v>0</v>
      </c>
      <c r="Q7360">
        <v>8</v>
      </c>
      <c r="R7360" t="s">
        <v>46574</v>
      </c>
      <c r="S7360" t="s">
        <v>46723</v>
      </c>
      <c r="T7360" t="s">
        <v>48220</v>
      </c>
      <c r="U7360" t="s">
        <v>54861</v>
      </c>
      <c r="W7360" t="s">
        <v>45042</v>
      </c>
      <c r="X7360" t="s">
        <v>46577</v>
      </c>
    </row>
    <row r="7361" spans="1:24">
      <c r="A7361">
        <f>HYPERLINK("https://www.philgeps.gov.ph/GEPSNONPILOT/Tender/SplashBidNoticeAbstractUI.aspx?menuIndex=3&amp;refID=7055951&amp;Result=3","7055951")</f>
        <v>0</v>
      </c>
      <c r="B7361" t="s">
        <v>193</v>
      </c>
      <c r="C7361" t="s">
        <v>10512</v>
      </c>
      <c r="D7361" t="s">
        <v>18783</v>
      </c>
      <c r="E7361" t="s">
        <v>25376</v>
      </c>
      <c r="F7361" t="s">
        <v>32664</v>
      </c>
      <c r="G7361" t="s">
        <v>32672</v>
      </c>
      <c r="H7361" t="s">
        <v>12635</v>
      </c>
      <c r="I7361" t="s">
        <v>32699</v>
      </c>
      <c r="J7361" t="s">
        <v>37333</v>
      </c>
      <c r="K7361" t="s">
        <v>42281</v>
      </c>
      <c r="M7361" t="s">
        <v>42757</v>
      </c>
      <c r="N7361" t="s">
        <v>46569</v>
      </c>
      <c r="O7361" t="s">
        <v>46570</v>
      </c>
      <c r="P7361">
        <v>0</v>
      </c>
      <c r="Q7361">
        <v>0</v>
      </c>
      <c r="R7361" t="s">
        <v>46574</v>
      </c>
      <c r="S7361" t="s">
        <v>46723</v>
      </c>
      <c r="T7361" t="s">
        <v>48302</v>
      </c>
      <c r="U7361" t="s">
        <v>54862</v>
      </c>
      <c r="W7361" t="s">
        <v>42757</v>
      </c>
      <c r="X7361" t="s">
        <v>46577</v>
      </c>
    </row>
    <row r="7362" spans="1:24">
      <c r="A7362">
        <f>HYPERLINK("https://www.philgeps.gov.ph/GEPSNONPILOT/Tender/SplashBidNoticeAbstractUI.aspx?menuIndex=3&amp;refID=7056238&amp;Result=3","7056238")</f>
        <v>0</v>
      </c>
      <c r="B7362" t="s">
        <v>2276</v>
      </c>
      <c r="C7362" t="s">
        <v>10513</v>
      </c>
      <c r="D7362" t="s">
        <v>18784</v>
      </c>
      <c r="E7362" t="s">
        <v>19461</v>
      </c>
      <c r="F7362" t="s">
        <v>32666</v>
      </c>
      <c r="G7362" t="s">
        <v>32672</v>
      </c>
      <c r="H7362" t="s">
        <v>12635</v>
      </c>
      <c r="I7362" t="s">
        <v>6223</v>
      </c>
      <c r="J7362" t="s">
        <v>32898</v>
      </c>
      <c r="K7362" t="s">
        <v>42281</v>
      </c>
      <c r="M7362" t="s">
        <v>45043</v>
      </c>
      <c r="N7362" t="s">
        <v>46569</v>
      </c>
      <c r="O7362" t="s">
        <v>46570</v>
      </c>
      <c r="P7362">
        <v>0</v>
      </c>
      <c r="Q7362">
        <v>0</v>
      </c>
      <c r="R7362" t="s">
        <v>46574</v>
      </c>
      <c r="S7362" t="s">
        <v>46723</v>
      </c>
      <c r="T7362" t="s">
        <v>48335</v>
      </c>
      <c r="U7362" t="s">
        <v>54863</v>
      </c>
      <c r="W7362" t="s">
        <v>45043</v>
      </c>
      <c r="X7362" t="s">
        <v>46577</v>
      </c>
    </row>
    <row r="7363" spans="1:24">
      <c r="A7363">
        <f>HYPERLINK("https://www.philgeps.gov.ph/GEPSNONPILOT/Tender/SplashBidNoticeAbstractUI.aspx?menuIndex=3&amp;refID=7055936&amp;Result=3","7055936")</f>
        <v>0</v>
      </c>
      <c r="B7363" t="s">
        <v>1028</v>
      </c>
      <c r="C7363" t="s">
        <v>10514</v>
      </c>
      <c r="D7363" t="s">
        <v>18805</v>
      </c>
      <c r="E7363" t="s">
        <v>25377</v>
      </c>
      <c r="F7363" t="s">
        <v>32664</v>
      </c>
      <c r="G7363" t="s">
        <v>32671</v>
      </c>
      <c r="H7363" t="s">
        <v>12635</v>
      </c>
      <c r="I7363" t="s">
        <v>32720</v>
      </c>
      <c r="J7363" t="s">
        <v>37334</v>
      </c>
      <c r="K7363" t="s">
        <v>42303</v>
      </c>
      <c r="M7363" t="s">
        <v>43640</v>
      </c>
      <c r="N7363" t="s">
        <v>46569</v>
      </c>
      <c r="O7363" t="s">
        <v>46570</v>
      </c>
      <c r="P7363">
        <v>0</v>
      </c>
      <c r="Q7363">
        <v>0</v>
      </c>
      <c r="R7363" t="s">
        <v>46574</v>
      </c>
      <c r="S7363" t="s">
        <v>46723</v>
      </c>
      <c r="T7363" t="s">
        <v>48330</v>
      </c>
      <c r="U7363" t="s">
        <v>50875</v>
      </c>
      <c r="W7363" t="s">
        <v>63503</v>
      </c>
      <c r="X7363" t="s">
        <v>46577</v>
      </c>
    </row>
    <row r="7364" spans="1:24">
      <c r="A7364">
        <f>HYPERLINK("https://www.philgeps.gov.ph/GEPSNONPILOT/Tender/SplashBidNoticeAbstractUI.aspx?menuIndex=3&amp;refID=7056217&amp;Result=3","7056217")</f>
        <v>0</v>
      </c>
      <c r="B7364" t="s">
        <v>2276</v>
      </c>
      <c r="C7364" t="s">
        <v>10515</v>
      </c>
      <c r="D7364" t="s">
        <v>18784</v>
      </c>
      <c r="E7364" t="s">
        <v>19461</v>
      </c>
      <c r="F7364" t="s">
        <v>32666</v>
      </c>
      <c r="G7364" t="s">
        <v>32672</v>
      </c>
      <c r="H7364" t="s">
        <v>12635</v>
      </c>
      <c r="I7364" t="s">
        <v>6223</v>
      </c>
      <c r="J7364" t="s">
        <v>37335</v>
      </c>
      <c r="K7364" t="s">
        <v>42281</v>
      </c>
      <c r="M7364" t="s">
        <v>45043</v>
      </c>
      <c r="N7364" t="s">
        <v>46569</v>
      </c>
      <c r="O7364" t="s">
        <v>46570</v>
      </c>
      <c r="P7364">
        <v>0</v>
      </c>
      <c r="Q7364">
        <v>0</v>
      </c>
      <c r="R7364" t="s">
        <v>46574</v>
      </c>
      <c r="S7364" t="s">
        <v>46723</v>
      </c>
      <c r="T7364" t="s">
        <v>48335</v>
      </c>
      <c r="U7364" t="s">
        <v>54864</v>
      </c>
      <c r="W7364" t="s">
        <v>45043</v>
      </c>
      <c r="X7364" t="s">
        <v>46577</v>
      </c>
    </row>
    <row r="7365" spans="1:24">
      <c r="A7365">
        <f>HYPERLINK("https://www.philgeps.gov.ph/GEPSNONPILOT/Tender/SplashBidNoticeAbstractUI.aspx?menuIndex=3&amp;refID=7056215&amp;Result=3","7056215")</f>
        <v>0</v>
      </c>
      <c r="B7365" t="s">
        <v>1411</v>
      </c>
      <c r="C7365" t="s">
        <v>10516</v>
      </c>
      <c r="D7365" t="s">
        <v>18790</v>
      </c>
      <c r="E7365" t="s">
        <v>25378</v>
      </c>
      <c r="F7365" t="s">
        <v>32664</v>
      </c>
      <c r="G7365" t="s">
        <v>32676</v>
      </c>
      <c r="H7365" t="s">
        <v>12635</v>
      </c>
      <c r="I7365" t="s">
        <v>6118</v>
      </c>
      <c r="J7365" t="s">
        <v>37336</v>
      </c>
      <c r="K7365" t="s">
        <v>42289</v>
      </c>
      <c r="M7365" t="s">
        <v>44127</v>
      </c>
      <c r="N7365" t="s">
        <v>46569</v>
      </c>
      <c r="O7365" t="s">
        <v>46570</v>
      </c>
      <c r="P7365">
        <v>0</v>
      </c>
      <c r="Q7365">
        <v>0</v>
      </c>
      <c r="R7365" t="s">
        <v>46574</v>
      </c>
      <c r="S7365" t="s">
        <v>46723</v>
      </c>
      <c r="T7365" t="s">
        <v>48280</v>
      </c>
      <c r="U7365" t="s">
        <v>54865</v>
      </c>
      <c r="W7365" t="s">
        <v>44127</v>
      </c>
      <c r="X7365" t="s">
        <v>46577</v>
      </c>
    </row>
    <row r="7366" spans="1:24">
      <c r="A7366">
        <f>HYPERLINK("https://www.philgeps.gov.ph/GEPSNONPILOT/Tender/SplashBidNoticeAbstractUI.aspx?menuIndex=3&amp;refID=7066801&amp;Result=3","7066801")</f>
        <v>0</v>
      </c>
      <c r="B7366" t="s">
        <v>822</v>
      </c>
      <c r="C7366" t="s">
        <v>10517</v>
      </c>
      <c r="E7366" t="s">
        <v>25379</v>
      </c>
      <c r="F7366" t="s">
        <v>32664</v>
      </c>
      <c r="G7366" t="s">
        <v>32671</v>
      </c>
      <c r="H7366" t="s">
        <v>12635</v>
      </c>
      <c r="I7366" t="s">
        <v>6168</v>
      </c>
      <c r="J7366" t="s">
        <v>37337</v>
      </c>
      <c r="K7366" t="s">
        <v>42283</v>
      </c>
      <c r="M7366" t="s">
        <v>43417</v>
      </c>
      <c r="N7366" t="s">
        <v>46569</v>
      </c>
      <c r="O7366" t="s">
        <v>46570</v>
      </c>
      <c r="P7366">
        <v>0</v>
      </c>
      <c r="Q7366">
        <v>0</v>
      </c>
      <c r="R7366" t="s">
        <v>46571</v>
      </c>
      <c r="S7366" t="s">
        <v>46687</v>
      </c>
      <c r="T7366" t="s">
        <v>48343</v>
      </c>
      <c r="U7366" t="s">
        <v>50358</v>
      </c>
      <c r="W7366" t="s">
        <v>43417</v>
      </c>
      <c r="X7366" t="s">
        <v>46572</v>
      </c>
    </row>
    <row r="7367" spans="1:24">
      <c r="A7367">
        <f>HYPERLINK("https://www.philgeps.gov.ph/GEPSNONPILOT/Tender/SplashBidNoticeAbstractUI.aspx?menuIndex=3&amp;refID=7055943&amp;Result=3","7055943")</f>
        <v>0</v>
      </c>
      <c r="B7367" t="s">
        <v>2213</v>
      </c>
      <c r="C7367" t="s">
        <v>10518</v>
      </c>
      <c r="D7367" t="s">
        <v>18849</v>
      </c>
      <c r="E7367" t="s">
        <v>25380</v>
      </c>
      <c r="F7367" t="s">
        <v>32664</v>
      </c>
      <c r="G7367" t="s">
        <v>32672</v>
      </c>
      <c r="H7367" t="s">
        <v>32683</v>
      </c>
      <c r="I7367" t="s">
        <v>10627</v>
      </c>
      <c r="J7367" t="s">
        <v>34293</v>
      </c>
      <c r="K7367" t="s">
        <v>42369</v>
      </c>
      <c r="M7367" t="s">
        <v>44977</v>
      </c>
      <c r="N7367" t="s">
        <v>46569</v>
      </c>
      <c r="O7367" t="s">
        <v>46570</v>
      </c>
      <c r="P7367">
        <v>0</v>
      </c>
      <c r="Q7367">
        <v>0</v>
      </c>
      <c r="R7367" t="s">
        <v>46574</v>
      </c>
      <c r="S7367" t="s">
        <v>46723</v>
      </c>
      <c r="T7367" t="s">
        <v>48220</v>
      </c>
      <c r="U7367" t="s">
        <v>54866</v>
      </c>
      <c r="W7367" t="s">
        <v>44977</v>
      </c>
      <c r="X7367" t="s">
        <v>46577</v>
      </c>
    </row>
    <row r="7368" spans="1:24">
      <c r="A7368">
        <f>HYPERLINK("https://www.philgeps.gov.ph/GEPSNONPILOT/Tender/SplashBidNoticeAbstractUI.aspx?menuIndex=3&amp;refID=7066956&amp;Result=3","7066956")</f>
        <v>0</v>
      </c>
      <c r="B7368" t="s">
        <v>238</v>
      </c>
      <c r="C7368" t="s">
        <v>10519</v>
      </c>
      <c r="D7368" t="s">
        <v>18798</v>
      </c>
      <c r="E7368" t="s">
        <v>25381</v>
      </c>
      <c r="F7368" t="s">
        <v>32664</v>
      </c>
      <c r="G7368" t="s">
        <v>32674</v>
      </c>
      <c r="H7368" t="s">
        <v>12635</v>
      </c>
      <c r="I7368" t="s">
        <v>6168</v>
      </c>
      <c r="J7368" t="s">
        <v>33215</v>
      </c>
      <c r="K7368" t="s">
        <v>42306</v>
      </c>
      <c r="M7368" t="s">
        <v>43490</v>
      </c>
      <c r="N7368" t="s">
        <v>46569</v>
      </c>
      <c r="O7368" t="s">
        <v>46570</v>
      </c>
      <c r="P7368">
        <v>0</v>
      </c>
      <c r="Q7368">
        <v>3</v>
      </c>
      <c r="R7368" t="s">
        <v>46571</v>
      </c>
      <c r="S7368" t="s">
        <v>46687</v>
      </c>
      <c r="T7368" t="s">
        <v>48430</v>
      </c>
      <c r="U7368" t="s">
        <v>50521</v>
      </c>
      <c r="W7368" t="s">
        <v>43490</v>
      </c>
      <c r="X7368" t="s">
        <v>46572</v>
      </c>
    </row>
    <row r="7369" spans="1:24">
      <c r="A7369">
        <f>HYPERLINK("https://www.philgeps.gov.ph/GEPSNONPILOT/Tender/SplashBidNoticeAbstractUI.aspx?menuIndex=3&amp;refID=7056188&amp;Result=3","7056188")</f>
        <v>0</v>
      </c>
      <c r="B7369" t="s">
        <v>193</v>
      </c>
      <c r="C7369" t="s">
        <v>10520</v>
      </c>
      <c r="D7369" t="s">
        <v>18783</v>
      </c>
      <c r="E7369" t="s">
        <v>25382</v>
      </c>
      <c r="F7369" t="s">
        <v>32664</v>
      </c>
      <c r="G7369" t="s">
        <v>32672</v>
      </c>
      <c r="H7369" t="s">
        <v>12635</v>
      </c>
      <c r="I7369" t="s">
        <v>4439</v>
      </c>
      <c r="J7369" t="s">
        <v>37278</v>
      </c>
      <c r="K7369" t="s">
        <v>42281</v>
      </c>
      <c r="M7369" t="s">
        <v>42757</v>
      </c>
      <c r="N7369" t="s">
        <v>46569</v>
      </c>
      <c r="O7369" t="s">
        <v>46570</v>
      </c>
      <c r="P7369">
        <v>0</v>
      </c>
      <c r="Q7369">
        <v>0</v>
      </c>
      <c r="R7369" t="s">
        <v>46574</v>
      </c>
      <c r="S7369" t="s">
        <v>46723</v>
      </c>
      <c r="T7369" t="s">
        <v>48228</v>
      </c>
      <c r="U7369" t="s">
        <v>54867</v>
      </c>
      <c r="W7369" t="s">
        <v>42757</v>
      </c>
      <c r="X7369" t="s">
        <v>46577</v>
      </c>
    </row>
    <row r="7370" spans="1:24">
      <c r="A7370">
        <f>HYPERLINK("https://www.philgeps.gov.ph/GEPSNONPILOT/Tender/SplashBidNoticeAbstractUI.aspx?menuIndex=3&amp;refID=7056433&amp;Result=3","7056433")</f>
        <v>0</v>
      </c>
      <c r="B7370" t="s">
        <v>2277</v>
      </c>
      <c r="C7370" t="s">
        <v>10521</v>
      </c>
      <c r="D7370" t="s">
        <v>18801</v>
      </c>
      <c r="E7370" t="s">
        <v>25383</v>
      </c>
      <c r="F7370" t="s">
        <v>32664</v>
      </c>
      <c r="G7370" t="s">
        <v>32671</v>
      </c>
      <c r="H7370" t="s">
        <v>32682</v>
      </c>
      <c r="I7370" t="s">
        <v>32692</v>
      </c>
      <c r="J7370" t="s">
        <v>33078</v>
      </c>
      <c r="K7370" t="s">
        <v>42284</v>
      </c>
      <c r="M7370" t="s">
        <v>45044</v>
      </c>
      <c r="N7370" t="s">
        <v>46569</v>
      </c>
      <c r="O7370" t="s">
        <v>46570</v>
      </c>
      <c r="P7370">
        <v>0</v>
      </c>
      <c r="Q7370">
        <v>0</v>
      </c>
      <c r="R7370" t="s">
        <v>46574</v>
      </c>
      <c r="S7370" t="s">
        <v>46723</v>
      </c>
      <c r="T7370" t="s">
        <v>48305</v>
      </c>
      <c r="U7370" t="s">
        <v>54868</v>
      </c>
      <c r="W7370" t="s">
        <v>45044</v>
      </c>
      <c r="X7370" t="s">
        <v>46577</v>
      </c>
    </row>
    <row r="7371" spans="1:24">
      <c r="A7371">
        <f>HYPERLINK("https://www.philgeps.gov.ph/GEPSNONPILOT/Tender/SplashBidNoticeAbstractUI.aspx?menuIndex=3&amp;refID=7056422&amp;Result=3","7056422")</f>
        <v>0</v>
      </c>
      <c r="B7371" t="s">
        <v>2270</v>
      </c>
      <c r="C7371" t="s">
        <v>10522</v>
      </c>
      <c r="D7371" t="s">
        <v>18839</v>
      </c>
      <c r="E7371" t="s">
        <v>25384</v>
      </c>
      <c r="F7371" t="s">
        <v>32664</v>
      </c>
      <c r="G7371" t="s">
        <v>32672</v>
      </c>
      <c r="H7371" t="s">
        <v>32683</v>
      </c>
      <c r="I7371" t="s">
        <v>10627</v>
      </c>
      <c r="J7371" t="s">
        <v>34559</v>
      </c>
      <c r="K7371" t="s">
        <v>42311</v>
      </c>
      <c r="M7371" t="s">
        <v>45036</v>
      </c>
      <c r="N7371" t="s">
        <v>46569</v>
      </c>
      <c r="O7371" t="s">
        <v>46570</v>
      </c>
      <c r="P7371">
        <v>0</v>
      </c>
      <c r="Q7371">
        <v>0</v>
      </c>
      <c r="R7371" t="s">
        <v>46574</v>
      </c>
      <c r="S7371" t="s">
        <v>46723</v>
      </c>
      <c r="T7371" t="s">
        <v>48374</v>
      </c>
      <c r="U7371" t="s">
        <v>54869</v>
      </c>
      <c r="W7371" t="s">
        <v>45036</v>
      </c>
      <c r="X7371" t="s">
        <v>46577</v>
      </c>
    </row>
    <row r="7372" spans="1:24">
      <c r="A7372">
        <f>HYPERLINK("https://www.philgeps.gov.ph/GEPSNONPILOT/Tender/SplashBidNoticeAbstractUI.aspx?menuIndex=3&amp;refID=7056214&amp;Result=3","7056214")</f>
        <v>0</v>
      </c>
      <c r="B7372" t="s">
        <v>2270</v>
      </c>
      <c r="C7372" t="s">
        <v>10523</v>
      </c>
      <c r="D7372" t="s">
        <v>18839</v>
      </c>
      <c r="E7372" t="s">
        <v>25385</v>
      </c>
      <c r="F7372" t="s">
        <v>32664</v>
      </c>
      <c r="G7372" t="s">
        <v>32672</v>
      </c>
      <c r="H7372" t="s">
        <v>12635</v>
      </c>
      <c r="I7372" t="s">
        <v>32685</v>
      </c>
      <c r="J7372" t="s">
        <v>32865</v>
      </c>
      <c r="K7372" t="s">
        <v>42281</v>
      </c>
      <c r="M7372" t="s">
        <v>45036</v>
      </c>
      <c r="N7372" t="s">
        <v>46569</v>
      </c>
      <c r="O7372" t="s">
        <v>46570</v>
      </c>
      <c r="P7372">
        <v>0</v>
      </c>
      <c r="Q7372">
        <v>0</v>
      </c>
      <c r="R7372" t="s">
        <v>46574</v>
      </c>
      <c r="S7372" t="s">
        <v>46723</v>
      </c>
      <c r="T7372" t="s">
        <v>48374</v>
      </c>
      <c r="U7372" t="s">
        <v>54870</v>
      </c>
      <c r="W7372" t="s">
        <v>45036</v>
      </c>
      <c r="X7372" t="s">
        <v>46577</v>
      </c>
    </row>
    <row r="7373" spans="1:24">
      <c r="A7373">
        <f>HYPERLINK("https://www.philgeps.gov.ph/GEPSNONPILOT/Tender/SplashBidNoticeAbstractUI.aspx?menuIndex=3&amp;refID=7056420&amp;Result=3","7056420")</f>
        <v>0</v>
      </c>
      <c r="B7373" t="s">
        <v>110</v>
      </c>
      <c r="C7373" t="s">
        <v>10524</v>
      </c>
      <c r="D7373" t="s">
        <v>18826</v>
      </c>
      <c r="E7373" t="s">
        <v>25386</v>
      </c>
      <c r="F7373" t="s">
        <v>32664</v>
      </c>
      <c r="G7373" t="s">
        <v>32672</v>
      </c>
      <c r="H7373" t="s">
        <v>32683</v>
      </c>
      <c r="I7373" t="s">
        <v>10627</v>
      </c>
      <c r="J7373" t="s">
        <v>37338</v>
      </c>
      <c r="K7373" t="s">
        <v>42290</v>
      </c>
      <c r="M7373" t="s">
        <v>43665</v>
      </c>
      <c r="N7373" t="s">
        <v>46569</v>
      </c>
      <c r="O7373" t="s">
        <v>46570</v>
      </c>
      <c r="P7373">
        <v>0</v>
      </c>
      <c r="Q7373">
        <v>5</v>
      </c>
      <c r="R7373" t="s">
        <v>46574</v>
      </c>
      <c r="S7373" t="s">
        <v>46723</v>
      </c>
      <c r="T7373" t="s">
        <v>48308</v>
      </c>
      <c r="U7373" t="s">
        <v>50948</v>
      </c>
      <c r="W7373" t="s">
        <v>43665</v>
      </c>
      <c r="X7373" t="s">
        <v>46577</v>
      </c>
    </row>
    <row r="7374" spans="1:24">
      <c r="A7374">
        <f>HYPERLINK("https://www.philgeps.gov.ph/GEPSNONPILOT/Tender/SplashBidNoticeAbstractUI.aspx?menuIndex=3&amp;refID=7066957&amp;Result=3","7066957")</f>
        <v>0</v>
      </c>
      <c r="B7374" t="s">
        <v>863</v>
      </c>
      <c r="C7374" t="s">
        <v>10525</v>
      </c>
      <c r="D7374" t="s">
        <v>18782</v>
      </c>
      <c r="E7374" t="s">
        <v>25387</v>
      </c>
      <c r="F7374" t="s">
        <v>32664</v>
      </c>
      <c r="G7374" t="s">
        <v>32671</v>
      </c>
      <c r="H7374" t="s">
        <v>12635</v>
      </c>
      <c r="I7374" t="s">
        <v>32704</v>
      </c>
      <c r="J7374" t="s">
        <v>32831</v>
      </c>
      <c r="K7374" t="s">
        <v>42281</v>
      </c>
      <c r="M7374" t="s">
        <v>43462</v>
      </c>
      <c r="N7374" t="s">
        <v>46569</v>
      </c>
      <c r="O7374" t="s">
        <v>46570</v>
      </c>
      <c r="P7374">
        <v>0</v>
      </c>
      <c r="Q7374">
        <v>5</v>
      </c>
      <c r="R7374" t="s">
        <v>46571</v>
      </c>
      <c r="S7374" t="s">
        <v>46687</v>
      </c>
      <c r="T7374" t="s">
        <v>48246</v>
      </c>
      <c r="U7374" t="s">
        <v>54871</v>
      </c>
      <c r="W7374" t="s">
        <v>43462</v>
      </c>
      <c r="X7374" t="s">
        <v>46572</v>
      </c>
    </row>
    <row r="7375" spans="1:24">
      <c r="A7375">
        <f>HYPERLINK("https://www.philgeps.gov.ph/GEPSNONPILOT/Tender/SplashBidNoticeAbstractUI.aspx?menuIndex=3&amp;refID=7056371&amp;Result=3","7056371")</f>
        <v>0</v>
      </c>
      <c r="B7375" t="s">
        <v>2278</v>
      </c>
      <c r="C7375" t="s">
        <v>10526</v>
      </c>
      <c r="D7375" t="s">
        <v>18788</v>
      </c>
      <c r="E7375" t="s">
        <v>25388</v>
      </c>
      <c r="F7375" t="s">
        <v>32664</v>
      </c>
      <c r="G7375" t="s">
        <v>32672</v>
      </c>
      <c r="H7375" t="s">
        <v>32683</v>
      </c>
      <c r="I7375" t="s">
        <v>10627</v>
      </c>
      <c r="J7375" t="s">
        <v>32962</v>
      </c>
      <c r="K7375" t="s">
        <v>42283</v>
      </c>
      <c r="M7375" t="s">
        <v>45045</v>
      </c>
      <c r="N7375" t="s">
        <v>46569</v>
      </c>
      <c r="O7375" t="s">
        <v>46570</v>
      </c>
      <c r="P7375">
        <v>0</v>
      </c>
      <c r="Q7375">
        <v>0</v>
      </c>
      <c r="R7375" t="s">
        <v>46574</v>
      </c>
      <c r="S7375" t="s">
        <v>46723</v>
      </c>
      <c r="T7375" t="s">
        <v>48385</v>
      </c>
      <c r="U7375" t="s">
        <v>54872</v>
      </c>
      <c r="W7375" t="s">
        <v>45045</v>
      </c>
      <c r="X7375" t="s">
        <v>46577</v>
      </c>
    </row>
    <row r="7376" spans="1:24">
      <c r="A7376">
        <f>HYPERLINK("https://www.philgeps.gov.ph/GEPSNONPILOT/Tender/SplashBidNoticeAbstractUI.aspx?menuIndex=3&amp;refID=7056362&amp;Result=3","7056362")</f>
        <v>0</v>
      </c>
      <c r="B7376" t="s">
        <v>2279</v>
      </c>
      <c r="C7376" t="s">
        <v>10527</v>
      </c>
      <c r="D7376" t="s">
        <v>18786</v>
      </c>
      <c r="E7376" t="s">
        <v>25389</v>
      </c>
      <c r="F7376" t="s">
        <v>32664</v>
      </c>
      <c r="G7376" t="s">
        <v>32672</v>
      </c>
      <c r="H7376" t="s">
        <v>12635</v>
      </c>
      <c r="I7376" t="s">
        <v>32696</v>
      </c>
      <c r="J7376" t="s">
        <v>33345</v>
      </c>
      <c r="K7376" t="s">
        <v>42281</v>
      </c>
      <c r="M7376" t="s">
        <v>45046</v>
      </c>
      <c r="N7376" t="s">
        <v>46569</v>
      </c>
      <c r="O7376" t="s">
        <v>46570</v>
      </c>
      <c r="P7376">
        <v>0</v>
      </c>
      <c r="Q7376">
        <v>2</v>
      </c>
      <c r="R7376" t="s">
        <v>46574</v>
      </c>
      <c r="S7376" t="s">
        <v>46723</v>
      </c>
      <c r="T7376" t="s">
        <v>48302</v>
      </c>
      <c r="U7376" t="s">
        <v>54873</v>
      </c>
      <c r="W7376" t="s">
        <v>45046</v>
      </c>
      <c r="X7376" t="s">
        <v>46577</v>
      </c>
    </row>
    <row r="7377" spans="1:24">
      <c r="A7377">
        <f>HYPERLINK("https://www.philgeps.gov.ph/GEPSNONPILOT/Tender/SplashBidNoticeAbstractUI.aspx?menuIndex=3&amp;refID=7056201&amp;Result=3","7056201")</f>
        <v>0</v>
      </c>
      <c r="B7377" t="s">
        <v>2276</v>
      </c>
      <c r="C7377" t="s">
        <v>10513</v>
      </c>
      <c r="D7377" t="s">
        <v>18784</v>
      </c>
      <c r="E7377" t="s">
        <v>19461</v>
      </c>
      <c r="F7377" t="s">
        <v>32666</v>
      </c>
      <c r="G7377" t="s">
        <v>32672</v>
      </c>
      <c r="H7377" t="s">
        <v>12635</v>
      </c>
      <c r="I7377" t="s">
        <v>6223</v>
      </c>
      <c r="J7377" t="s">
        <v>37339</v>
      </c>
      <c r="K7377" t="s">
        <v>42281</v>
      </c>
      <c r="M7377" t="s">
        <v>45043</v>
      </c>
      <c r="N7377" t="s">
        <v>46569</v>
      </c>
      <c r="O7377" t="s">
        <v>46570</v>
      </c>
      <c r="P7377">
        <v>0</v>
      </c>
      <c r="Q7377">
        <v>0</v>
      </c>
      <c r="R7377" t="s">
        <v>46574</v>
      </c>
      <c r="S7377" t="s">
        <v>46723</v>
      </c>
      <c r="T7377" t="s">
        <v>48335</v>
      </c>
      <c r="U7377" t="s">
        <v>54874</v>
      </c>
      <c r="W7377" t="s">
        <v>45043</v>
      </c>
      <c r="X7377" t="s">
        <v>46577</v>
      </c>
    </row>
    <row r="7378" spans="1:24">
      <c r="A7378">
        <f>HYPERLINK("https://www.philgeps.gov.ph/GEPSNONPILOT/Tender/SplashBidNoticeAbstractUI.aspx?menuIndex=3&amp;refID=7056360&amp;Result=3","7056360")</f>
        <v>0</v>
      </c>
      <c r="B7378" t="s">
        <v>189</v>
      </c>
      <c r="C7378" t="s">
        <v>4250</v>
      </c>
      <c r="E7378" t="s">
        <v>25390</v>
      </c>
      <c r="F7378" t="s">
        <v>32664</v>
      </c>
      <c r="G7378" t="s">
        <v>32671</v>
      </c>
      <c r="H7378" t="s">
        <v>12635</v>
      </c>
      <c r="I7378" t="s">
        <v>4439</v>
      </c>
      <c r="J7378" t="s">
        <v>37340</v>
      </c>
      <c r="K7378" t="s">
        <v>42289</v>
      </c>
      <c r="M7378" t="s">
        <v>42753</v>
      </c>
      <c r="N7378" t="s">
        <v>46569</v>
      </c>
      <c r="O7378" t="s">
        <v>46570</v>
      </c>
      <c r="P7378">
        <v>0</v>
      </c>
      <c r="Q7378">
        <v>0</v>
      </c>
      <c r="R7378" t="s">
        <v>46574</v>
      </c>
      <c r="S7378" t="s">
        <v>46723</v>
      </c>
      <c r="T7378" t="s">
        <v>48449</v>
      </c>
      <c r="U7378" t="s">
        <v>54875</v>
      </c>
      <c r="W7378" t="s">
        <v>42753</v>
      </c>
      <c r="X7378" t="s">
        <v>46577</v>
      </c>
    </row>
    <row r="7379" spans="1:24">
      <c r="A7379">
        <f>HYPERLINK("https://www.philgeps.gov.ph/GEPSNONPILOT/Tender/SplashBidNoticeAbstractUI.aspx?menuIndex=3&amp;refID=7056354&amp;Result=3","7056354")</f>
        <v>0</v>
      </c>
      <c r="B7379" t="s">
        <v>1371</v>
      </c>
      <c r="C7379" t="s">
        <v>10528</v>
      </c>
      <c r="D7379" t="s">
        <v>18796</v>
      </c>
      <c r="E7379" t="s">
        <v>25391</v>
      </c>
      <c r="F7379" t="s">
        <v>32664</v>
      </c>
      <c r="G7379" t="s">
        <v>32672</v>
      </c>
      <c r="H7379" t="s">
        <v>12635</v>
      </c>
      <c r="I7379" t="s">
        <v>8797</v>
      </c>
      <c r="J7379" t="s">
        <v>37341</v>
      </c>
      <c r="K7379" t="s">
        <v>42298</v>
      </c>
      <c r="M7379" t="s">
        <v>44026</v>
      </c>
      <c r="N7379" t="s">
        <v>46569</v>
      </c>
      <c r="O7379" t="s">
        <v>46570</v>
      </c>
      <c r="P7379">
        <v>0</v>
      </c>
      <c r="Q7379">
        <v>4</v>
      </c>
      <c r="R7379" t="s">
        <v>46574</v>
      </c>
      <c r="S7379" t="s">
        <v>46723</v>
      </c>
      <c r="T7379" t="s">
        <v>48308</v>
      </c>
      <c r="U7379" t="s">
        <v>54876</v>
      </c>
      <c r="W7379" t="s">
        <v>44026</v>
      </c>
      <c r="X7379" t="s">
        <v>46577</v>
      </c>
    </row>
    <row r="7380" spans="1:24">
      <c r="A7380">
        <f>HYPERLINK("https://www.philgeps.gov.ph/GEPSNONPILOT/Tender/SplashBidNoticeAbstractUI.aspx?menuIndex=3&amp;refID=7056333&amp;Result=3","7056333")</f>
        <v>0</v>
      </c>
      <c r="B7380" t="s">
        <v>189</v>
      </c>
      <c r="C7380" t="s">
        <v>10529</v>
      </c>
      <c r="E7380" t="s">
        <v>25392</v>
      </c>
      <c r="F7380" t="s">
        <v>32664</v>
      </c>
      <c r="G7380" t="s">
        <v>32671</v>
      </c>
      <c r="H7380" t="s">
        <v>12635</v>
      </c>
      <c r="I7380" t="s">
        <v>6628</v>
      </c>
      <c r="J7380" t="s">
        <v>32976</v>
      </c>
      <c r="K7380" t="s">
        <v>42289</v>
      </c>
      <c r="M7380" t="s">
        <v>42753</v>
      </c>
      <c r="N7380" t="s">
        <v>46569</v>
      </c>
      <c r="O7380" t="s">
        <v>46570</v>
      </c>
      <c r="P7380">
        <v>0</v>
      </c>
      <c r="Q7380">
        <v>2</v>
      </c>
      <c r="R7380" t="s">
        <v>46574</v>
      </c>
      <c r="S7380" t="s">
        <v>46723</v>
      </c>
      <c r="T7380" t="s">
        <v>48449</v>
      </c>
      <c r="U7380" t="s">
        <v>54877</v>
      </c>
      <c r="W7380" t="s">
        <v>42753</v>
      </c>
      <c r="X7380" t="s">
        <v>46577</v>
      </c>
    </row>
    <row r="7381" spans="1:24">
      <c r="A7381">
        <f>HYPERLINK("https://www.philgeps.gov.ph/GEPSNONPILOT/Tender/SplashBidNoticeAbstractUI.aspx?menuIndex=3&amp;refID=7056322&amp;Result=3","7056322")</f>
        <v>0</v>
      </c>
      <c r="B7381" t="s">
        <v>2270</v>
      </c>
      <c r="C7381" t="s">
        <v>10530</v>
      </c>
      <c r="D7381" t="s">
        <v>18839</v>
      </c>
      <c r="E7381" t="s">
        <v>25393</v>
      </c>
      <c r="F7381" t="s">
        <v>32664</v>
      </c>
      <c r="G7381" t="s">
        <v>32672</v>
      </c>
      <c r="H7381" t="s">
        <v>12635</v>
      </c>
      <c r="I7381" t="s">
        <v>9486</v>
      </c>
      <c r="J7381" t="s">
        <v>37342</v>
      </c>
      <c r="K7381" t="s">
        <v>42281</v>
      </c>
      <c r="M7381" t="s">
        <v>45036</v>
      </c>
      <c r="N7381" t="s">
        <v>46569</v>
      </c>
      <c r="O7381" t="s">
        <v>46570</v>
      </c>
      <c r="P7381">
        <v>0</v>
      </c>
      <c r="Q7381">
        <v>3</v>
      </c>
      <c r="R7381" t="s">
        <v>46574</v>
      </c>
      <c r="S7381" t="s">
        <v>46723</v>
      </c>
      <c r="T7381" t="s">
        <v>48374</v>
      </c>
      <c r="U7381" t="s">
        <v>54878</v>
      </c>
      <c r="W7381" t="s">
        <v>45036</v>
      </c>
      <c r="X7381" t="s">
        <v>46577</v>
      </c>
    </row>
    <row r="7382" spans="1:24">
      <c r="A7382">
        <f>HYPERLINK("https://www.philgeps.gov.ph/GEPSNONPILOT/Tender/SplashBidNoticeAbstractUI.aspx?menuIndex=3&amp;refID=7056321&amp;Result=3","7056321")</f>
        <v>0</v>
      </c>
      <c r="B7382" t="s">
        <v>110</v>
      </c>
      <c r="C7382" t="s">
        <v>10531</v>
      </c>
      <c r="D7382" t="s">
        <v>18826</v>
      </c>
      <c r="E7382" t="s">
        <v>25394</v>
      </c>
      <c r="F7382" t="s">
        <v>32664</v>
      </c>
      <c r="G7382" t="s">
        <v>32672</v>
      </c>
      <c r="H7382" t="s">
        <v>32683</v>
      </c>
      <c r="I7382" t="s">
        <v>10627</v>
      </c>
      <c r="J7382" t="s">
        <v>37343</v>
      </c>
      <c r="K7382" t="s">
        <v>42312</v>
      </c>
      <c r="M7382" t="s">
        <v>43665</v>
      </c>
      <c r="N7382" t="s">
        <v>46569</v>
      </c>
      <c r="O7382" t="s">
        <v>46570</v>
      </c>
      <c r="P7382">
        <v>0</v>
      </c>
      <c r="Q7382">
        <v>5</v>
      </c>
      <c r="R7382" t="s">
        <v>46574</v>
      </c>
      <c r="S7382" t="s">
        <v>46723</v>
      </c>
      <c r="T7382" t="s">
        <v>48308</v>
      </c>
      <c r="U7382" t="s">
        <v>50948</v>
      </c>
      <c r="W7382" t="s">
        <v>43665</v>
      </c>
      <c r="X7382" t="s">
        <v>46577</v>
      </c>
    </row>
    <row r="7383" spans="1:24">
      <c r="A7383">
        <f>HYPERLINK("https://www.philgeps.gov.ph/GEPSNONPILOT/Tender/SplashBidNoticeAbstractUI.aspx?menuIndex=3&amp;refID=7056320&amp;Result=3","7056320")</f>
        <v>0</v>
      </c>
      <c r="B7383" t="s">
        <v>2276</v>
      </c>
      <c r="C7383" t="s">
        <v>10532</v>
      </c>
      <c r="D7383" t="s">
        <v>18784</v>
      </c>
      <c r="E7383" t="s">
        <v>19461</v>
      </c>
      <c r="F7383" t="s">
        <v>32666</v>
      </c>
      <c r="G7383" t="s">
        <v>32672</v>
      </c>
      <c r="H7383" t="s">
        <v>12635</v>
      </c>
      <c r="I7383" t="s">
        <v>6223</v>
      </c>
      <c r="J7383" t="s">
        <v>36957</v>
      </c>
      <c r="K7383" t="s">
        <v>42281</v>
      </c>
      <c r="M7383" t="s">
        <v>45043</v>
      </c>
      <c r="N7383" t="s">
        <v>46569</v>
      </c>
      <c r="O7383" t="s">
        <v>46570</v>
      </c>
      <c r="P7383">
        <v>0</v>
      </c>
      <c r="Q7383">
        <v>1</v>
      </c>
      <c r="R7383" t="s">
        <v>46574</v>
      </c>
      <c r="S7383" t="s">
        <v>46723</v>
      </c>
      <c r="T7383" t="s">
        <v>48335</v>
      </c>
      <c r="U7383" t="s">
        <v>54879</v>
      </c>
      <c r="W7383" t="s">
        <v>45043</v>
      </c>
      <c r="X7383" t="s">
        <v>46577</v>
      </c>
    </row>
    <row r="7384" spans="1:24">
      <c r="A7384">
        <f>HYPERLINK("https://www.philgeps.gov.ph/GEPSNONPILOT/Tender/SplashBidNoticeAbstractUI.aspx?menuIndex=3&amp;refID=7056304&amp;Result=3","7056304")</f>
        <v>0</v>
      </c>
      <c r="B7384" t="s">
        <v>2276</v>
      </c>
      <c r="C7384" t="s">
        <v>10532</v>
      </c>
      <c r="D7384" t="s">
        <v>18784</v>
      </c>
      <c r="E7384" t="s">
        <v>19461</v>
      </c>
      <c r="F7384" t="s">
        <v>32666</v>
      </c>
      <c r="G7384" t="s">
        <v>32672</v>
      </c>
      <c r="H7384" t="s">
        <v>12635</v>
      </c>
      <c r="I7384" t="s">
        <v>6223</v>
      </c>
      <c r="J7384" t="s">
        <v>33015</v>
      </c>
      <c r="K7384" t="s">
        <v>42281</v>
      </c>
      <c r="M7384" t="s">
        <v>45043</v>
      </c>
      <c r="N7384" t="s">
        <v>46569</v>
      </c>
      <c r="O7384" t="s">
        <v>46570</v>
      </c>
      <c r="P7384">
        <v>0</v>
      </c>
      <c r="Q7384">
        <v>0</v>
      </c>
      <c r="R7384" t="s">
        <v>46574</v>
      </c>
      <c r="S7384" t="s">
        <v>46723</v>
      </c>
      <c r="T7384" t="s">
        <v>48335</v>
      </c>
      <c r="U7384" t="s">
        <v>54880</v>
      </c>
      <c r="W7384" t="s">
        <v>45043</v>
      </c>
      <c r="X7384" t="s">
        <v>46577</v>
      </c>
    </row>
    <row r="7385" spans="1:24">
      <c r="A7385">
        <f>HYPERLINK("https://www.philgeps.gov.ph/GEPSNONPILOT/Tender/SplashBidNoticeAbstractUI.aspx?menuIndex=3&amp;refID=7056295&amp;Result=3","7056295")</f>
        <v>0</v>
      </c>
      <c r="B7385" t="s">
        <v>2280</v>
      </c>
      <c r="C7385" t="s">
        <v>10533</v>
      </c>
      <c r="D7385" t="s">
        <v>18812</v>
      </c>
      <c r="E7385" t="s">
        <v>25395</v>
      </c>
      <c r="F7385" t="s">
        <v>32664</v>
      </c>
      <c r="G7385" t="s">
        <v>32671</v>
      </c>
      <c r="H7385" t="s">
        <v>12635</v>
      </c>
      <c r="I7385" t="s">
        <v>4439</v>
      </c>
      <c r="J7385" t="s">
        <v>37344</v>
      </c>
      <c r="K7385" t="s">
        <v>42303</v>
      </c>
      <c r="M7385" t="s">
        <v>45047</v>
      </c>
      <c r="N7385" t="s">
        <v>46569</v>
      </c>
      <c r="O7385" t="s">
        <v>46570</v>
      </c>
      <c r="P7385">
        <v>0</v>
      </c>
      <c r="Q7385">
        <v>1</v>
      </c>
      <c r="R7385" t="s">
        <v>46574</v>
      </c>
      <c r="S7385" t="s">
        <v>46723</v>
      </c>
      <c r="T7385" t="s">
        <v>48283</v>
      </c>
      <c r="U7385" t="s">
        <v>54881</v>
      </c>
      <c r="W7385" t="s">
        <v>45047</v>
      </c>
      <c r="X7385" t="s">
        <v>46577</v>
      </c>
    </row>
    <row r="7386" spans="1:24">
      <c r="A7386">
        <f>HYPERLINK("https://www.philgeps.gov.ph/GEPSNONPILOT/Tender/SplashBidNoticeAbstractUI.aspx?menuIndex=3&amp;refID=7056397&amp;Result=3","7056397")</f>
        <v>0</v>
      </c>
      <c r="B7386" t="s">
        <v>110</v>
      </c>
      <c r="C7386" t="s">
        <v>10534</v>
      </c>
      <c r="D7386" t="s">
        <v>18826</v>
      </c>
      <c r="E7386" t="s">
        <v>25396</v>
      </c>
      <c r="F7386" t="s">
        <v>32664</v>
      </c>
      <c r="G7386" t="s">
        <v>32672</v>
      </c>
      <c r="H7386" t="s">
        <v>32683</v>
      </c>
      <c r="I7386" t="s">
        <v>10627</v>
      </c>
      <c r="J7386" t="s">
        <v>37345</v>
      </c>
      <c r="K7386" t="s">
        <v>42312</v>
      </c>
      <c r="M7386" t="s">
        <v>43665</v>
      </c>
      <c r="N7386" t="s">
        <v>46569</v>
      </c>
      <c r="O7386" t="s">
        <v>46570</v>
      </c>
      <c r="P7386">
        <v>0</v>
      </c>
      <c r="Q7386">
        <v>4</v>
      </c>
      <c r="R7386" t="s">
        <v>46574</v>
      </c>
      <c r="S7386" t="s">
        <v>46723</v>
      </c>
      <c r="T7386" t="s">
        <v>48308</v>
      </c>
      <c r="U7386" t="s">
        <v>50948</v>
      </c>
      <c r="W7386" t="s">
        <v>43665</v>
      </c>
      <c r="X7386" t="s">
        <v>46577</v>
      </c>
    </row>
    <row r="7387" spans="1:24">
      <c r="A7387">
        <f>HYPERLINK("https://www.philgeps.gov.ph/GEPSNONPILOT/Tender/SplashBidNoticeAbstractUI.aspx?menuIndex=3&amp;refID=7056310&amp;Result=3","7056310")</f>
        <v>0</v>
      </c>
      <c r="B7387" t="s">
        <v>189</v>
      </c>
      <c r="C7387" t="s">
        <v>10535</v>
      </c>
      <c r="E7387" t="s">
        <v>25397</v>
      </c>
      <c r="F7387" t="s">
        <v>32664</v>
      </c>
      <c r="G7387" t="s">
        <v>32671</v>
      </c>
      <c r="H7387" t="s">
        <v>12635</v>
      </c>
      <c r="I7387" t="s">
        <v>32686</v>
      </c>
      <c r="J7387" t="s">
        <v>33780</v>
      </c>
      <c r="K7387" t="s">
        <v>42289</v>
      </c>
      <c r="M7387" t="s">
        <v>42753</v>
      </c>
      <c r="N7387" t="s">
        <v>46569</v>
      </c>
      <c r="O7387" t="s">
        <v>46570</v>
      </c>
      <c r="P7387">
        <v>0</v>
      </c>
      <c r="Q7387">
        <v>4</v>
      </c>
      <c r="R7387" t="s">
        <v>46574</v>
      </c>
      <c r="S7387" t="s">
        <v>46723</v>
      </c>
      <c r="T7387" t="s">
        <v>48449</v>
      </c>
      <c r="U7387" t="s">
        <v>54882</v>
      </c>
      <c r="W7387" t="s">
        <v>42753</v>
      </c>
      <c r="X7387" t="s">
        <v>46577</v>
      </c>
    </row>
    <row r="7388" spans="1:24">
      <c r="A7388">
        <f>HYPERLINK("https://www.philgeps.gov.ph/GEPSNONPILOT/Tender/SplashBidNoticeAbstractUI.aspx?menuIndex=3&amp;refID=7056276&amp;Result=3","7056276")</f>
        <v>0</v>
      </c>
      <c r="B7388" t="s">
        <v>2276</v>
      </c>
      <c r="C7388" t="s">
        <v>10532</v>
      </c>
      <c r="D7388" t="s">
        <v>18784</v>
      </c>
      <c r="E7388" t="s">
        <v>19461</v>
      </c>
      <c r="F7388" t="s">
        <v>32666</v>
      </c>
      <c r="G7388" t="s">
        <v>32672</v>
      </c>
      <c r="H7388" t="s">
        <v>12635</v>
      </c>
      <c r="I7388" t="s">
        <v>6223</v>
      </c>
      <c r="J7388" t="s">
        <v>32853</v>
      </c>
      <c r="K7388" t="s">
        <v>42281</v>
      </c>
      <c r="M7388" t="s">
        <v>45043</v>
      </c>
      <c r="N7388" t="s">
        <v>46569</v>
      </c>
      <c r="O7388" t="s">
        <v>46570</v>
      </c>
      <c r="P7388">
        <v>0</v>
      </c>
      <c r="Q7388">
        <v>1</v>
      </c>
      <c r="R7388" t="s">
        <v>46574</v>
      </c>
      <c r="S7388" t="s">
        <v>46723</v>
      </c>
      <c r="T7388" t="s">
        <v>48335</v>
      </c>
      <c r="U7388" t="s">
        <v>54883</v>
      </c>
      <c r="W7388" t="s">
        <v>45043</v>
      </c>
      <c r="X7388" t="s">
        <v>46577</v>
      </c>
    </row>
    <row r="7389" spans="1:24">
      <c r="A7389">
        <f>HYPERLINK("https://www.philgeps.gov.ph/GEPSNONPILOT/Tender/SplashBidNoticeAbstractUI.aspx?menuIndex=3&amp;refID=7056367&amp;Result=3","7056367")</f>
        <v>0</v>
      </c>
      <c r="B7389" t="s">
        <v>2281</v>
      </c>
      <c r="C7389" t="s">
        <v>10536</v>
      </c>
      <c r="D7389" t="s">
        <v>18845</v>
      </c>
      <c r="E7389" t="s">
        <v>25398</v>
      </c>
      <c r="F7389" t="s">
        <v>32664</v>
      </c>
      <c r="G7389" t="s">
        <v>32672</v>
      </c>
      <c r="H7389" t="s">
        <v>12635</v>
      </c>
      <c r="I7389" t="s">
        <v>4439</v>
      </c>
      <c r="J7389" t="s">
        <v>37346</v>
      </c>
      <c r="K7389" t="s">
        <v>42281</v>
      </c>
      <c r="M7389" t="s">
        <v>45048</v>
      </c>
      <c r="N7389" t="s">
        <v>46569</v>
      </c>
      <c r="O7389" t="s">
        <v>46570</v>
      </c>
      <c r="P7389">
        <v>0</v>
      </c>
      <c r="Q7389">
        <v>0</v>
      </c>
      <c r="R7389" t="s">
        <v>46574</v>
      </c>
      <c r="S7389" t="s">
        <v>46723</v>
      </c>
      <c r="T7389" t="s">
        <v>48302</v>
      </c>
      <c r="U7389" t="s">
        <v>54884</v>
      </c>
      <c r="W7389" t="s">
        <v>45048</v>
      </c>
      <c r="X7389" t="s">
        <v>46577</v>
      </c>
    </row>
    <row r="7390" spans="1:24">
      <c r="A7390">
        <f>HYPERLINK("https://www.philgeps.gov.ph/GEPSNONPILOT/Tender/SplashBidNoticeAbstractUI.aspx?menuIndex=3&amp;refID=7056173&amp;Result=3","7056173")</f>
        <v>0</v>
      </c>
      <c r="B7390" t="s">
        <v>823</v>
      </c>
      <c r="C7390" t="s">
        <v>10537</v>
      </c>
      <c r="D7390" t="s">
        <v>18784</v>
      </c>
      <c r="E7390" t="s">
        <v>25399</v>
      </c>
      <c r="F7390" t="s">
        <v>32664</v>
      </c>
      <c r="G7390" t="s">
        <v>32671</v>
      </c>
      <c r="H7390" t="s">
        <v>32683</v>
      </c>
      <c r="I7390" t="s">
        <v>32750</v>
      </c>
      <c r="J7390" t="s">
        <v>33008</v>
      </c>
      <c r="K7390" t="s">
        <v>42284</v>
      </c>
      <c r="M7390" t="s">
        <v>45049</v>
      </c>
      <c r="N7390" t="s">
        <v>46569</v>
      </c>
      <c r="O7390" t="s">
        <v>46570</v>
      </c>
      <c r="P7390">
        <v>0</v>
      </c>
      <c r="Q7390">
        <v>4</v>
      </c>
      <c r="R7390" t="s">
        <v>46574</v>
      </c>
      <c r="S7390" t="s">
        <v>46723</v>
      </c>
      <c r="T7390" t="s">
        <v>48473</v>
      </c>
      <c r="U7390" t="s">
        <v>54885</v>
      </c>
      <c r="V7390" t="s">
        <v>62360</v>
      </c>
      <c r="W7390" t="s">
        <v>45049</v>
      </c>
      <c r="X7390" t="s">
        <v>46577</v>
      </c>
    </row>
    <row r="7391" spans="1:24">
      <c r="A7391">
        <f>HYPERLINK("https://www.philgeps.gov.ph/GEPSNONPILOT/Tender/SplashBidNoticeAbstractUI.aspx?menuIndex=3&amp;refID=7056274&amp;Result=3","7056274")</f>
        <v>0</v>
      </c>
      <c r="B7391" t="s">
        <v>189</v>
      </c>
      <c r="C7391" t="s">
        <v>10538</v>
      </c>
      <c r="E7391" t="s">
        <v>25400</v>
      </c>
      <c r="F7391" t="s">
        <v>32664</v>
      </c>
      <c r="G7391" t="s">
        <v>32671</v>
      </c>
      <c r="H7391" t="s">
        <v>12635</v>
      </c>
      <c r="I7391" t="s">
        <v>32701</v>
      </c>
      <c r="J7391" t="s">
        <v>37347</v>
      </c>
      <c r="K7391" t="s">
        <v>42281</v>
      </c>
      <c r="M7391" t="s">
        <v>42753</v>
      </c>
      <c r="N7391" t="s">
        <v>46569</v>
      </c>
      <c r="O7391" t="s">
        <v>46570</v>
      </c>
      <c r="P7391">
        <v>0</v>
      </c>
      <c r="Q7391">
        <v>1</v>
      </c>
      <c r="R7391" t="s">
        <v>46574</v>
      </c>
      <c r="S7391" t="s">
        <v>46723</v>
      </c>
      <c r="T7391" t="s">
        <v>48449</v>
      </c>
      <c r="U7391" t="s">
        <v>54886</v>
      </c>
      <c r="W7391" t="s">
        <v>42753</v>
      </c>
      <c r="X7391" t="s">
        <v>46577</v>
      </c>
    </row>
    <row r="7392" spans="1:24">
      <c r="A7392">
        <f>HYPERLINK("https://www.philgeps.gov.ph/GEPSNONPILOT/Tender/SplashBidNoticeAbstractUI.aspx?menuIndex=3&amp;refID=7056273&amp;Result=3","7056273")</f>
        <v>0</v>
      </c>
      <c r="B7392" t="s">
        <v>2176</v>
      </c>
      <c r="C7392" t="s">
        <v>10539</v>
      </c>
      <c r="E7392" t="s">
        <v>25401</v>
      </c>
      <c r="F7392" t="s">
        <v>32664</v>
      </c>
      <c r="G7392" t="s">
        <v>32672</v>
      </c>
      <c r="H7392" t="s">
        <v>32682</v>
      </c>
      <c r="I7392" t="s">
        <v>32750</v>
      </c>
      <c r="J7392" t="s">
        <v>37348</v>
      </c>
      <c r="K7392" t="s">
        <v>42291</v>
      </c>
      <c r="M7392" t="s">
        <v>45050</v>
      </c>
      <c r="N7392" t="s">
        <v>46569</v>
      </c>
      <c r="O7392" t="s">
        <v>46570</v>
      </c>
      <c r="P7392">
        <v>0</v>
      </c>
      <c r="Q7392">
        <v>1</v>
      </c>
      <c r="R7392" t="s">
        <v>46574</v>
      </c>
      <c r="S7392" t="s">
        <v>46723</v>
      </c>
      <c r="T7392" t="s">
        <v>48302</v>
      </c>
      <c r="U7392" t="s">
        <v>54887</v>
      </c>
      <c r="W7392" t="s">
        <v>45050</v>
      </c>
      <c r="X7392" t="s">
        <v>46577</v>
      </c>
    </row>
    <row r="7393" spans="1:24">
      <c r="A7393">
        <f>HYPERLINK("https://www.philgeps.gov.ph/GEPSNONPILOT/Tender/SplashBidNoticeAbstractUI.aspx?menuIndex=3&amp;refID=7056145&amp;Result=3","7056145")</f>
        <v>0</v>
      </c>
      <c r="B7393" t="s">
        <v>844</v>
      </c>
      <c r="C7393" t="s">
        <v>10540</v>
      </c>
      <c r="D7393" t="s">
        <v>18805</v>
      </c>
      <c r="E7393" t="s">
        <v>21123</v>
      </c>
      <c r="F7393" t="s">
        <v>32664</v>
      </c>
      <c r="G7393" t="s">
        <v>32677</v>
      </c>
      <c r="H7393" t="s">
        <v>12635</v>
      </c>
      <c r="I7393" t="s">
        <v>32752</v>
      </c>
      <c r="J7393" t="s">
        <v>35542</v>
      </c>
      <c r="K7393" t="s">
        <v>42306</v>
      </c>
      <c r="M7393" t="s">
        <v>43439</v>
      </c>
      <c r="N7393" t="s">
        <v>46569</v>
      </c>
      <c r="O7393" t="s">
        <v>46570</v>
      </c>
      <c r="P7393">
        <v>0</v>
      </c>
      <c r="Q7393">
        <v>0</v>
      </c>
      <c r="R7393" t="s">
        <v>46574</v>
      </c>
      <c r="S7393" t="s">
        <v>46723</v>
      </c>
      <c r="T7393" t="s">
        <v>48281</v>
      </c>
      <c r="U7393" t="s">
        <v>54888</v>
      </c>
      <c r="W7393" t="s">
        <v>43439</v>
      </c>
      <c r="X7393" t="s">
        <v>46577</v>
      </c>
    </row>
    <row r="7394" spans="1:24">
      <c r="A7394">
        <f>HYPERLINK("https://www.philgeps.gov.ph/GEPSNONPILOT/Tender/SplashBidNoticeAbstractUI.aspx?menuIndex=3&amp;refID=7056168&amp;Result=3","7056168")</f>
        <v>0</v>
      </c>
      <c r="B7394" t="s">
        <v>193</v>
      </c>
      <c r="C7394" t="s">
        <v>10541</v>
      </c>
      <c r="D7394" t="s">
        <v>18783</v>
      </c>
      <c r="E7394" t="s">
        <v>25402</v>
      </c>
      <c r="F7394" t="s">
        <v>32664</v>
      </c>
      <c r="G7394" t="s">
        <v>32672</v>
      </c>
      <c r="H7394" t="s">
        <v>12635</v>
      </c>
      <c r="I7394" t="s">
        <v>4439</v>
      </c>
      <c r="J7394" t="s">
        <v>37278</v>
      </c>
      <c r="K7394" t="s">
        <v>42281</v>
      </c>
      <c r="M7394" t="s">
        <v>42757</v>
      </c>
      <c r="N7394" t="s">
        <v>46569</v>
      </c>
      <c r="O7394" t="s">
        <v>46570</v>
      </c>
      <c r="P7394">
        <v>0</v>
      </c>
      <c r="Q7394">
        <v>0</v>
      </c>
      <c r="R7394" t="s">
        <v>46574</v>
      </c>
      <c r="S7394" t="s">
        <v>46723</v>
      </c>
      <c r="T7394" t="s">
        <v>48228</v>
      </c>
      <c r="U7394" t="s">
        <v>54889</v>
      </c>
      <c r="W7394" t="s">
        <v>42757</v>
      </c>
      <c r="X7394" t="s">
        <v>46577</v>
      </c>
    </row>
    <row r="7395" spans="1:24">
      <c r="A7395">
        <f>HYPERLINK("https://www.philgeps.gov.ph/GEPSNONPILOT/Tender/SplashBidNoticeAbstractUI.aspx?menuIndex=3&amp;refID=7056156&amp;Result=3","7056156")</f>
        <v>0</v>
      </c>
      <c r="B7395" t="s">
        <v>822</v>
      </c>
      <c r="C7395" t="s">
        <v>10542</v>
      </c>
      <c r="E7395" t="s">
        <v>25403</v>
      </c>
      <c r="F7395" t="s">
        <v>32664</v>
      </c>
      <c r="G7395" t="s">
        <v>32671</v>
      </c>
      <c r="H7395" t="s">
        <v>12635</v>
      </c>
      <c r="I7395" t="s">
        <v>32719</v>
      </c>
      <c r="J7395" t="s">
        <v>35984</v>
      </c>
      <c r="K7395" t="s">
        <v>42283</v>
      </c>
      <c r="M7395" t="s">
        <v>44466</v>
      </c>
      <c r="N7395" t="s">
        <v>46569</v>
      </c>
      <c r="O7395" t="s">
        <v>46570</v>
      </c>
      <c r="P7395">
        <v>0</v>
      </c>
      <c r="Q7395">
        <v>0</v>
      </c>
      <c r="R7395" t="s">
        <v>46574</v>
      </c>
      <c r="S7395" t="s">
        <v>46723</v>
      </c>
      <c r="T7395" t="s">
        <v>48228</v>
      </c>
      <c r="U7395" t="s">
        <v>54890</v>
      </c>
      <c r="W7395" t="s">
        <v>44466</v>
      </c>
      <c r="X7395" t="s">
        <v>46577</v>
      </c>
    </row>
    <row r="7396" spans="1:24">
      <c r="A7396">
        <f>HYPERLINK("https://www.philgeps.gov.ph/GEPSNONPILOT/Tender/SplashBidNoticeAbstractUI.aspx?menuIndex=3&amp;refID=7056122&amp;Result=3","7056122")</f>
        <v>0</v>
      </c>
      <c r="B7396" t="s">
        <v>1197</v>
      </c>
      <c r="C7396" t="s">
        <v>10543</v>
      </c>
      <c r="D7396" t="s">
        <v>18784</v>
      </c>
      <c r="E7396" t="s">
        <v>25404</v>
      </c>
      <c r="F7396" t="s">
        <v>32664</v>
      </c>
      <c r="G7396" t="s">
        <v>32672</v>
      </c>
      <c r="H7396" t="s">
        <v>12635</v>
      </c>
      <c r="I7396" t="s">
        <v>32717</v>
      </c>
      <c r="J7396" t="s">
        <v>37349</v>
      </c>
      <c r="K7396" t="s">
        <v>42281</v>
      </c>
      <c r="M7396" t="s">
        <v>45051</v>
      </c>
      <c r="N7396" t="s">
        <v>46569</v>
      </c>
      <c r="O7396" t="s">
        <v>46570</v>
      </c>
      <c r="P7396">
        <v>0</v>
      </c>
      <c r="Q7396">
        <v>1</v>
      </c>
      <c r="R7396" t="s">
        <v>46574</v>
      </c>
      <c r="S7396" t="s">
        <v>46723</v>
      </c>
      <c r="T7396" t="s">
        <v>48308</v>
      </c>
      <c r="U7396" t="s">
        <v>54891</v>
      </c>
      <c r="W7396" t="s">
        <v>45051</v>
      </c>
      <c r="X7396" t="s">
        <v>46577</v>
      </c>
    </row>
    <row r="7397" spans="1:24">
      <c r="A7397">
        <f>HYPERLINK("https://www.philgeps.gov.ph/GEPSNONPILOT/Tender/SplashBidNoticeAbstractUI.aspx?menuIndex=3&amp;refID=7056137&amp;Result=3","7056137")</f>
        <v>0</v>
      </c>
      <c r="B7397" t="s">
        <v>2270</v>
      </c>
      <c r="C7397" t="s">
        <v>10544</v>
      </c>
      <c r="D7397" t="s">
        <v>18839</v>
      </c>
      <c r="E7397" t="s">
        <v>25405</v>
      </c>
      <c r="F7397" t="s">
        <v>32664</v>
      </c>
      <c r="G7397" t="s">
        <v>32672</v>
      </c>
      <c r="H7397" t="s">
        <v>12635</v>
      </c>
      <c r="I7397" t="s">
        <v>32699</v>
      </c>
      <c r="J7397" t="s">
        <v>32962</v>
      </c>
      <c r="K7397" t="s">
        <v>42281</v>
      </c>
      <c r="M7397" t="s">
        <v>45036</v>
      </c>
      <c r="N7397" t="s">
        <v>46569</v>
      </c>
      <c r="O7397" t="s">
        <v>46570</v>
      </c>
      <c r="P7397">
        <v>0</v>
      </c>
      <c r="Q7397">
        <v>0</v>
      </c>
      <c r="R7397" t="s">
        <v>46574</v>
      </c>
      <c r="S7397" t="s">
        <v>46723</v>
      </c>
      <c r="T7397" t="s">
        <v>48374</v>
      </c>
      <c r="U7397" t="s">
        <v>54892</v>
      </c>
      <c r="W7397" t="s">
        <v>45036</v>
      </c>
      <c r="X7397" t="s">
        <v>46577</v>
      </c>
    </row>
    <row r="7398" spans="1:24">
      <c r="A7398">
        <f>HYPERLINK("https://www.philgeps.gov.ph/GEPSNONPILOT/Tender/SplashBidNoticeAbstractUI.aspx?menuIndex=3&amp;refID=7066797&amp;Result=3","7066797")</f>
        <v>0</v>
      </c>
      <c r="B7398" t="s">
        <v>848</v>
      </c>
      <c r="C7398" t="s">
        <v>10545</v>
      </c>
      <c r="D7398" t="s">
        <v>18791</v>
      </c>
      <c r="E7398" t="s">
        <v>25406</v>
      </c>
      <c r="F7398" t="s">
        <v>32664</v>
      </c>
      <c r="G7398" t="s">
        <v>32671</v>
      </c>
      <c r="H7398" t="s">
        <v>12635</v>
      </c>
      <c r="I7398" t="s">
        <v>32730</v>
      </c>
      <c r="J7398" t="s">
        <v>35852</v>
      </c>
      <c r="K7398" t="s">
        <v>42284</v>
      </c>
      <c r="M7398" t="s">
        <v>43444</v>
      </c>
      <c r="N7398" t="s">
        <v>46569</v>
      </c>
      <c r="O7398" t="s">
        <v>46570</v>
      </c>
      <c r="P7398">
        <v>0</v>
      </c>
      <c r="Q7398">
        <v>1</v>
      </c>
      <c r="R7398" t="s">
        <v>46571</v>
      </c>
      <c r="S7398" t="s">
        <v>46687</v>
      </c>
      <c r="T7398" t="s">
        <v>48356</v>
      </c>
      <c r="U7398" t="s">
        <v>50421</v>
      </c>
      <c r="W7398" t="s">
        <v>43444</v>
      </c>
      <c r="X7398" t="s">
        <v>46572</v>
      </c>
    </row>
    <row r="7399" spans="1:24">
      <c r="A7399">
        <f>HYPERLINK("https://www.philgeps.gov.ph/GEPSNONPILOT/Tender/SplashBidNoticeAbstractUI.aspx?menuIndex=3&amp;refID=7066795&amp;Result=3","7066795")</f>
        <v>0</v>
      </c>
      <c r="B7399" t="s">
        <v>842</v>
      </c>
      <c r="C7399" t="s">
        <v>10546</v>
      </c>
      <c r="D7399" t="s">
        <v>18830</v>
      </c>
      <c r="E7399" t="s">
        <v>25407</v>
      </c>
      <c r="F7399" t="s">
        <v>32664</v>
      </c>
      <c r="G7399" t="s">
        <v>32671</v>
      </c>
      <c r="H7399" t="s">
        <v>32682</v>
      </c>
      <c r="I7399" t="s">
        <v>6553</v>
      </c>
      <c r="J7399" t="s">
        <v>37350</v>
      </c>
      <c r="K7399" t="s">
        <v>42297</v>
      </c>
      <c r="M7399" t="s">
        <v>43437</v>
      </c>
      <c r="N7399" t="s">
        <v>46569</v>
      </c>
      <c r="O7399" t="s">
        <v>46570</v>
      </c>
      <c r="P7399">
        <v>0</v>
      </c>
      <c r="Q7399">
        <v>0</v>
      </c>
      <c r="R7399" t="s">
        <v>46571</v>
      </c>
      <c r="S7399" t="s">
        <v>46687</v>
      </c>
      <c r="T7399" t="s">
        <v>48221</v>
      </c>
      <c r="U7399" t="s">
        <v>54893</v>
      </c>
      <c r="W7399" t="s">
        <v>43437</v>
      </c>
      <c r="X7399" t="s">
        <v>46572</v>
      </c>
    </row>
    <row r="7400" spans="1:24">
      <c r="A7400">
        <f>HYPERLINK("https://www.philgeps.gov.ph/GEPSNONPILOT/Tender/SplashBidNoticeAbstractUI.aspx?menuIndex=3&amp;refID=7056132&amp;Result=3","7056132")</f>
        <v>0</v>
      </c>
      <c r="B7400" t="s">
        <v>2282</v>
      </c>
      <c r="C7400" t="s">
        <v>10547</v>
      </c>
      <c r="D7400" t="s">
        <v>18810</v>
      </c>
      <c r="E7400" t="s">
        <v>25408</v>
      </c>
      <c r="F7400" t="s">
        <v>32664</v>
      </c>
      <c r="G7400" t="s">
        <v>32672</v>
      </c>
      <c r="H7400" t="s">
        <v>32683</v>
      </c>
      <c r="I7400" t="s">
        <v>10627</v>
      </c>
      <c r="J7400" t="s">
        <v>37351</v>
      </c>
      <c r="K7400" t="s">
        <v>42283</v>
      </c>
      <c r="M7400" t="s">
        <v>45052</v>
      </c>
      <c r="N7400" t="s">
        <v>46569</v>
      </c>
      <c r="O7400" t="s">
        <v>46570</v>
      </c>
      <c r="P7400">
        <v>0</v>
      </c>
      <c r="Q7400">
        <v>0</v>
      </c>
      <c r="R7400" t="s">
        <v>46574</v>
      </c>
      <c r="S7400" t="s">
        <v>46723</v>
      </c>
      <c r="T7400" t="s">
        <v>48302</v>
      </c>
      <c r="U7400" t="s">
        <v>54894</v>
      </c>
      <c r="W7400" t="s">
        <v>45052</v>
      </c>
      <c r="X7400" t="s">
        <v>46577</v>
      </c>
    </row>
    <row r="7401" spans="1:24">
      <c r="A7401">
        <f>HYPERLINK("https://www.philgeps.gov.ph/GEPSNONPILOT/Tender/SplashBidNoticeAbstractUI.aspx?menuIndex=3&amp;refID=7056140&amp;Result=3","7056140")</f>
        <v>0</v>
      </c>
      <c r="B7401" t="s">
        <v>822</v>
      </c>
      <c r="C7401" t="s">
        <v>10548</v>
      </c>
      <c r="E7401" t="s">
        <v>25409</v>
      </c>
      <c r="F7401" t="s">
        <v>32664</v>
      </c>
      <c r="G7401" t="s">
        <v>32671</v>
      </c>
      <c r="H7401" t="s">
        <v>12635</v>
      </c>
      <c r="I7401" t="s">
        <v>10370</v>
      </c>
      <c r="J7401" t="s">
        <v>35975</v>
      </c>
      <c r="K7401" t="s">
        <v>42283</v>
      </c>
      <c r="M7401" t="s">
        <v>44466</v>
      </c>
      <c r="N7401" t="s">
        <v>46569</v>
      </c>
      <c r="O7401" t="s">
        <v>46570</v>
      </c>
      <c r="P7401">
        <v>0</v>
      </c>
      <c r="Q7401">
        <v>2</v>
      </c>
      <c r="R7401" t="s">
        <v>46574</v>
      </c>
      <c r="S7401" t="s">
        <v>46723</v>
      </c>
      <c r="T7401" t="s">
        <v>48228</v>
      </c>
      <c r="U7401" t="s">
        <v>54895</v>
      </c>
      <c r="W7401" t="s">
        <v>44466</v>
      </c>
      <c r="X7401" t="s">
        <v>46577</v>
      </c>
    </row>
    <row r="7402" spans="1:24">
      <c r="A7402">
        <f>HYPERLINK("https://www.philgeps.gov.ph/GEPSNONPILOT/Tender/SplashBidNoticeAbstractUI.aspx?menuIndex=3&amp;refID=7066756&amp;Result=3","7066756")</f>
        <v>0</v>
      </c>
      <c r="B7402" t="s">
        <v>843</v>
      </c>
      <c r="C7402" t="s">
        <v>10549</v>
      </c>
      <c r="D7402" t="s">
        <v>18789</v>
      </c>
      <c r="E7402" t="s">
        <v>25410</v>
      </c>
      <c r="F7402" t="s">
        <v>32664</v>
      </c>
      <c r="G7402" t="s">
        <v>32672</v>
      </c>
      <c r="H7402" t="s">
        <v>32683</v>
      </c>
      <c r="I7402" t="s">
        <v>10627</v>
      </c>
      <c r="J7402" t="s">
        <v>37352</v>
      </c>
      <c r="K7402" t="s">
        <v>42290</v>
      </c>
      <c r="M7402" t="s">
        <v>43438</v>
      </c>
      <c r="N7402" t="s">
        <v>46569</v>
      </c>
      <c r="O7402" t="s">
        <v>46570</v>
      </c>
      <c r="P7402">
        <v>0</v>
      </c>
      <c r="Q7402">
        <v>0</v>
      </c>
      <c r="R7402" t="s">
        <v>46571</v>
      </c>
      <c r="S7402" t="s">
        <v>46687</v>
      </c>
      <c r="T7402" t="s">
        <v>48240</v>
      </c>
      <c r="U7402" t="s">
        <v>54896</v>
      </c>
      <c r="W7402" t="s">
        <v>43438</v>
      </c>
      <c r="X7402" t="s">
        <v>46572</v>
      </c>
    </row>
    <row r="7403" spans="1:24">
      <c r="A7403">
        <f>HYPERLINK("https://www.philgeps.gov.ph/GEPSNONPILOT/Tender/SplashBidNoticeAbstractUI.aspx?menuIndex=3&amp;refID=7056564&amp;Result=3","7056564")</f>
        <v>0</v>
      </c>
      <c r="B7403" t="s">
        <v>102</v>
      </c>
      <c r="C7403" t="s">
        <v>10550</v>
      </c>
      <c r="D7403" t="s">
        <v>18788</v>
      </c>
      <c r="E7403" t="s">
        <v>25411</v>
      </c>
      <c r="F7403" t="s">
        <v>32664</v>
      </c>
      <c r="G7403" t="s">
        <v>32672</v>
      </c>
      <c r="H7403" t="s">
        <v>32683</v>
      </c>
      <c r="I7403" t="s">
        <v>10627</v>
      </c>
      <c r="J7403" t="s">
        <v>37353</v>
      </c>
      <c r="K7403" t="s">
        <v>42281</v>
      </c>
      <c r="M7403" t="s">
        <v>42666</v>
      </c>
      <c r="N7403" t="s">
        <v>46569</v>
      </c>
      <c r="O7403" t="s">
        <v>46570</v>
      </c>
      <c r="P7403">
        <v>0</v>
      </c>
      <c r="Q7403">
        <v>0</v>
      </c>
      <c r="R7403" t="s">
        <v>46574</v>
      </c>
      <c r="S7403" t="s">
        <v>46723</v>
      </c>
      <c r="T7403" t="s">
        <v>48283</v>
      </c>
      <c r="U7403" t="s">
        <v>54897</v>
      </c>
      <c r="V7403" t="s">
        <v>62361</v>
      </c>
      <c r="W7403" t="s">
        <v>42666</v>
      </c>
      <c r="X7403" t="s">
        <v>46577</v>
      </c>
    </row>
    <row r="7404" spans="1:24">
      <c r="A7404">
        <f>HYPERLINK("https://www.philgeps.gov.ph/GEPSNONPILOT/Tender/SplashBidNoticeAbstractUI.aspx?menuIndex=3&amp;refID=7056115&amp;Result=3","7056115")</f>
        <v>0</v>
      </c>
      <c r="B7404" t="s">
        <v>2270</v>
      </c>
      <c r="C7404" t="s">
        <v>10551</v>
      </c>
      <c r="D7404" t="s">
        <v>18839</v>
      </c>
      <c r="E7404" t="s">
        <v>25412</v>
      </c>
      <c r="F7404" t="s">
        <v>32664</v>
      </c>
      <c r="G7404" t="s">
        <v>32672</v>
      </c>
      <c r="H7404" t="s">
        <v>12635</v>
      </c>
      <c r="I7404" t="s">
        <v>32696</v>
      </c>
      <c r="J7404" t="s">
        <v>37354</v>
      </c>
      <c r="K7404" t="s">
        <v>42281</v>
      </c>
      <c r="M7404" t="s">
        <v>45036</v>
      </c>
      <c r="N7404" t="s">
        <v>46569</v>
      </c>
      <c r="O7404" t="s">
        <v>46570</v>
      </c>
      <c r="P7404">
        <v>0</v>
      </c>
      <c r="Q7404">
        <v>2</v>
      </c>
      <c r="R7404" t="s">
        <v>46574</v>
      </c>
      <c r="S7404" t="s">
        <v>46723</v>
      </c>
      <c r="T7404" t="s">
        <v>48374</v>
      </c>
      <c r="U7404" t="s">
        <v>54898</v>
      </c>
      <c r="W7404" t="s">
        <v>45036</v>
      </c>
      <c r="X7404" t="s">
        <v>46577</v>
      </c>
    </row>
    <row r="7405" spans="1:24">
      <c r="A7405">
        <f>HYPERLINK("https://www.philgeps.gov.ph/GEPSNONPILOT/Tender/SplashBidNoticeAbstractUI.aspx?menuIndex=3&amp;refID=7056556&amp;Result=3","7056556")</f>
        <v>0</v>
      </c>
      <c r="B7405" t="s">
        <v>2280</v>
      </c>
      <c r="C7405" t="s">
        <v>10552</v>
      </c>
      <c r="D7405" t="s">
        <v>18812</v>
      </c>
      <c r="E7405" t="s">
        <v>25413</v>
      </c>
      <c r="F7405" t="s">
        <v>32664</v>
      </c>
      <c r="G7405" t="s">
        <v>32671</v>
      </c>
      <c r="H7405" t="s">
        <v>12635</v>
      </c>
      <c r="I7405" t="s">
        <v>4439</v>
      </c>
      <c r="J7405" t="s">
        <v>37355</v>
      </c>
      <c r="K7405" t="s">
        <v>42303</v>
      </c>
      <c r="M7405" t="s">
        <v>45047</v>
      </c>
      <c r="N7405" t="s">
        <v>46569</v>
      </c>
      <c r="O7405" t="s">
        <v>46570</v>
      </c>
      <c r="P7405">
        <v>0</v>
      </c>
      <c r="Q7405">
        <v>0</v>
      </c>
      <c r="R7405" t="s">
        <v>46574</v>
      </c>
      <c r="S7405" t="s">
        <v>46723</v>
      </c>
      <c r="T7405" t="s">
        <v>48221</v>
      </c>
      <c r="U7405" t="s">
        <v>54899</v>
      </c>
      <c r="W7405" t="s">
        <v>45047</v>
      </c>
      <c r="X7405" t="s">
        <v>46577</v>
      </c>
    </row>
    <row r="7406" spans="1:24">
      <c r="A7406">
        <f>HYPERLINK("https://www.philgeps.gov.ph/GEPSNONPILOT/Tender/SplashBidNoticeAbstractUI.aspx?menuIndex=3&amp;refID=7056255&amp;Result=3","7056255")</f>
        <v>0</v>
      </c>
      <c r="B7406" t="s">
        <v>2276</v>
      </c>
      <c r="C7406" t="s">
        <v>10532</v>
      </c>
      <c r="D7406" t="s">
        <v>18784</v>
      </c>
      <c r="E7406" t="s">
        <v>19461</v>
      </c>
      <c r="F7406" t="s">
        <v>32666</v>
      </c>
      <c r="G7406" t="s">
        <v>32672</v>
      </c>
      <c r="H7406" t="s">
        <v>12635</v>
      </c>
      <c r="I7406" t="s">
        <v>6223</v>
      </c>
      <c r="J7406" t="s">
        <v>32853</v>
      </c>
      <c r="K7406" t="s">
        <v>42281</v>
      </c>
      <c r="M7406" t="s">
        <v>45043</v>
      </c>
      <c r="N7406" t="s">
        <v>46569</v>
      </c>
      <c r="O7406" t="s">
        <v>46570</v>
      </c>
      <c r="P7406">
        <v>0</v>
      </c>
      <c r="Q7406">
        <v>1</v>
      </c>
      <c r="R7406" t="s">
        <v>46574</v>
      </c>
      <c r="S7406" t="s">
        <v>46723</v>
      </c>
      <c r="T7406" t="s">
        <v>48335</v>
      </c>
      <c r="U7406" t="s">
        <v>54900</v>
      </c>
      <c r="W7406" t="s">
        <v>45043</v>
      </c>
      <c r="X7406" t="s">
        <v>46577</v>
      </c>
    </row>
    <row r="7407" spans="1:24">
      <c r="A7407">
        <f>HYPERLINK("https://www.philgeps.gov.ph/GEPSNONPILOT/Tender/SplashBidNoticeAbstractUI.aspx?menuIndex=3&amp;refID=7066796&amp;Result=3","7066796")</f>
        <v>0</v>
      </c>
      <c r="B7407" t="s">
        <v>881</v>
      </c>
      <c r="C7407" t="s">
        <v>10553</v>
      </c>
      <c r="D7407" t="s">
        <v>18836</v>
      </c>
      <c r="E7407" t="s">
        <v>25414</v>
      </c>
      <c r="F7407" t="s">
        <v>32664</v>
      </c>
      <c r="G7407" t="s">
        <v>32671</v>
      </c>
      <c r="H7407" t="s">
        <v>12635</v>
      </c>
      <c r="I7407" t="s">
        <v>6118</v>
      </c>
      <c r="J7407" t="s">
        <v>37356</v>
      </c>
      <c r="K7407" t="s">
        <v>42284</v>
      </c>
      <c r="M7407" t="s">
        <v>43481</v>
      </c>
      <c r="N7407" t="s">
        <v>46569</v>
      </c>
      <c r="O7407" t="s">
        <v>46570</v>
      </c>
      <c r="P7407">
        <v>0</v>
      </c>
      <c r="Q7407">
        <v>0</v>
      </c>
      <c r="R7407" t="s">
        <v>46571</v>
      </c>
      <c r="S7407" t="s">
        <v>46687</v>
      </c>
      <c r="T7407" t="s">
        <v>48244</v>
      </c>
      <c r="U7407" t="s">
        <v>50502</v>
      </c>
      <c r="W7407" t="s">
        <v>43481</v>
      </c>
      <c r="X7407" t="s">
        <v>46572</v>
      </c>
    </row>
    <row r="7408" spans="1:24">
      <c r="A7408">
        <f>HYPERLINK("https://www.philgeps.gov.ph/GEPSNONPILOT/Tender/SplashBidNoticeAbstractUI.aspx?menuIndex=3&amp;refID=7056554&amp;Result=3","7056554")</f>
        <v>0</v>
      </c>
      <c r="B7408" t="s">
        <v>1371</v>
      </c>
      <c r="C7408" t="s">
        <v>10554</v>
      </c>
      <c r="D7408" t="s">
        <v>18796</v>
      </c>
      <c r="E7408" t="s">
        <v>25415</v>
      </c>
      <c r="F7408" t="s">
        <v>32664</v>
      </c>
      <c r="G7408" t="s">
        <v>32672</v>
      </c>
      <c r="H7408" t="s">
        <v>12635</v>
      </c>
      <c r="I7408" t="s">
        <v>32721</v>
      </c>
      <c r="J7408" t="s">
        <v>34806</v>
      </c>
      <c r="K7408" t="s">
        <v>42290</v>
      </c>
      <c r="M7408" t="s">
        <v>44026</v>
      </c>
      <c r="N7408" t="s">
        <v>46569</v>
      </c>
      <c r="O7408" t="s">
        <v>46570</v>
      </c>
      <c r="P7408">
        <v>0</v>
      </c>
      <c r="Q7408">
        <v>2</v>
      </c>
      <c r="R7408" t="s">
        <v>46574</v>
      </c>
      <c r="S7408" t="s">
        <v>46723</v>
      </c>
      <c r="T7408" t="s">
        <v>48308</v>
      </c>
      <c r="U7408" t="s">
        <v>54901</v>
      </c>
      <c r="W7408" t="s">
        <v>44026</v>
      </c>
      <c r="X7408" t="s">
        <v>46577</v>
      </c>
    </row>
    <row r="7409" spans="1:24">
      <c r="A7409">
        <f>HYPERLINK("https://www.philgeps.gov.ph/GEPSNONPILOT/Tender/SplashBidNoticeAbstractUI.aspx?menuIndex=3&amp;refID=7056538&amp;Result=3","7056538")</f>
        <v>0</v>
      </c>
      <c r="B7409" t="s">
        <v>1259</v>
      </c>
      <c r="C7409" t="s">
        <v>10555</v>
      </c>
      <c r="D7409" t="s">
        <v>18782</v>
      </c>
      <c r="E7409" t="s">
        <v>25416</v>
      </c>
      <c r="F7409" t="s">
        <v>32664</v>
      </c>
      <c r="G7409" t="s">
        <v>32671</v>
      </c>
      <c r="H7409" t="s">
        <v>12635</v>
      </c>
      <c r="I7409" t="s">
        <v>6118</v>
      </c>
      <c r="J7409" t="s">
        <v>36154</v>
      </c>
      <c r="K7409" t="s">
        <v>42284</v>
      </c>
      <c r="M7409" t="s">
        <v>43901</v>
      </c>
      <c r="N7409" t="s">
        <v>46569</v>
      </c>
      <c r="O7409" t="s">
        <v>46570</v>
      </c>
      <c r="P7409">
        <v>0</v>
      </c>
      <c r="Q7409">
        <v>0</v>
      </c>
      <c r="R7409" t="s">
        <v>46574</v>
      </c>
      <c r="S7409" t="s">
        <v>46723</v>
      </c>
      <c r="T7409" t="s">
        <v>48449</v>
      </c>
      <c r="U7409" t="s">
        <v>54902</v>
      </c>
      <c r="W7409" t="s">
        <v>43901</v>
      </c>
      <c r="X7409" t="s">
        <v>46577</v>
      </c>
    </row>
    <row r="7410" spans="1:24">
      <c r="A7410">
        <f>HYPERLINK("https://www.philgeps.gov.ph/GEPSNONPILOT/Tender/SplashBidNoticeAbstractUI.aspx?menuIndex=3&amp;refID=7056544&amp;Result=3","7056544")</f>
        <v>0</v>
      </c>
      <c r="B7410" t="s">
        <v>2270</v>
      </c>
      <c r="C7410" t="s">
        <v>10556</v>
      </c>
      <c r="D7410" t="s">
        <v>18839</v>
      </c>
      <c r="E7410" t="s">
        <v>25417</v>
      </c>
      <c r="F7410" t="s">
        <v>32664</v>
      </c>
      <c r="G7410" t="s">
        <v>32672</v>
      </c>
      <c r="H7410" t="s">
        <v>32683</v>
      </c>
      <c r="I7410" t="s">
        <v>10627</v>
      </c>
      <c r="J7410" t="s">
        <v>37357</v>
      </c>
      <c r="K7410" t="s">
        <v>42298</v>
      </c>
      <c r="M7410" t="s">
        <v>45036</v>
      </c>
      <c r="N7410" t="s">
        <v>46569</v>
      </c>
      <c r="O7410" t="s">
        <v>46570</v>
      </c>
      <c r="P7410">
        <v>0</v>
      </c>
      <c r="Q7410">
        <v>1</v>
      </c>
      <c r="R7410" t="s">
        <v>46574</v>
      </c>
      <c r="S7410" t="s">
        <v>46723</v>
      </c>
      <c r="T7410" t="s">
        <v>48374</v>
      </c>
      <c r="U7410" t="s">
        <v>54903</v>
      </c>
      <c r="W7410" t="s">
        <v>45036</v>
      </c>
      <c r="X7410" t="s">
        <v>46577</v>
      </c>
    </row>
    <row r="7411" spans="1:24">
      <c r="A7411">
        <f>HYPERLINK("https://www.philgeps.gov.ph/GEPSNONPILOT/Tender/SplashBidNoticeAbstractUI.aspx?menuIndex=3&amp;refID=7056522&amp;Result=3","7056522")</f>
        <v>0</v>
      </c>
      <c r="B7411" t="s">
        <v>1095</v>
      </c>
      <c r="C7411" t="s">
        <v>6223</v>
      </c>
      <c r="D7411" t="s">
        <v>18798</v>
      </c>
      <c r="E7411" t="s">
        <v>25418</v>
      </c>
      <c r="F7411" t="s">
        <v>32664</v>
      </c>
      <c r="G7411" t="s">
        <v>32671</v>
      </c>
      <c r="H7411" t="s">
        <v>12635</v>
      </c>
      <c r="I7411" t="s">
        <v>6223</v>
      </c>
      <c r="J7411" t="s">
        <v>35544</v>
      </c>
      <c r="K7411" t="s">
        <v>42281</v>
      </c>
      <c r="M7411" t="s">
        <v>42640</v>
      </c>
      <c r="N7411" t="s">
        <v>46569</v>
      </c>
      <c r="O7411" t="s">
        <v>46570</v>
      </c>
      <c r="P7411">
        <v>0</v>
      </c>
      <c r="Q7411">
        <v>0</v>
      </c>
      <c r="R7411" t="s">
        <v>46574</v>
      </c>
      <c r="S7411" t="s">
        <v>46723</v>
      </c>
      <c r="T7411" t="s">
        <v>48448</v>
      </c>
      <c r="U7411" t="s">
        <v>54904</v>
      </c>
      <c r="W7411" t="s">
        <v>42640</v>
      </c>
      <c r="X7411" t="s">
        <v>46577</v>
      </c>
    </row>
    <row r="7412" spans="1:24">
      <c r="A7412">
        <f>HYPERLINK("https://www.philgeps.gov.ph/GEPSNONPILOT/Tender/SplashBidNoticeAbstractUI.aspx?menuIndex=3&amp;refID=7056531&amp;Result=3","7056531")</f>
        <v>0</v>
      </c>
      <c r="B7412" t="s">
        <v>1770</v>
      </c>
      <c r="C7412" t="s">
        <v>10557</v>
      </c>
      <c r="D7412" t="s">
        <v>18848</v>
      </c>
      <c r="E7412" t="s">
        <v>25419</v>
      </c>
      <c r="F7412" t="s">
        <v>32664</v>
      </c>
      <c r="G7412" t="s">
        <v>32672</v>
      </c>
      <c r="H7412" t="s">
        <v>32683</v>
      </c>
      <c r="I7412" t="s">
        <v>10627</v>
      </c>
      <c r="J7412" t="s">
        <v>37358</v>
      </c>
      <c r="K7412" t="s">
        <v>42458</v>
      </c>
      <c r="M7412" t="s">
        <v>44472</v>
      </c>
      <c r="N7412" t="s">
        <v>46569</v>
      </c>
      <c r="O7412" t="s">
        <v>46570</v>
      </c>
      <c r="P7412">
        <v>0</v>
      </c>
      <c r="Q7412">
        <v>0</v>
      </c>
      <c r="R7412" t="s">
        <v>46574</v>
      </c>
      <c r="S7412" t="s">
        <v>46723</v>
      </c>
      <c r="T7412" t="s">
        <v>48506</v>
      </c>
      <c r="U7412" t="s">
        <v>54905</v>
      </c>
      <c r="W7412" t="s">
        <v>63533</v>
      </c>
      <c r="X7412" t="s">
        <v>46577</v>
      </c>
    </row>
    <row r="7413" spans="1:24">
      <c r="A7413">
        <f>HYPERLINK("https://www.philgeps.gov.ph/GEPSNONPILOT/Tender/SplashBidNoticeAbstractUI.aspx?menuIndex=3&amp;refID=7056378&amp;Result=3","7056378")</f>
        <v>0</v>
      </c>
      <c r="B7413" t="s">
        <v>2270</v>
      </c>
      <c r="C7413" t="s">
        <v>10558</v>
      </c>
      <c r="D7413" t="s">
        <v>18839</v>
      </c>
      <c r="E7413" t="s">
        <v>25420</v>
      </c>
      <c r="F7413" t="s">
        <v>32664</v>
      </c>
      <c r="G7413" t="s">
        <v>32672</v>
      </c>
      <c r="H7413" t="s">
        <v>12635</v>
      </c>
      <c r="I7413" t="s">
        <v>8797</v>
      </c>
      <c r="J7413" t="s">
        <v>37359</v>
      </c>
      <c r="K7413" t="s">
        <v>42281</v>
      </c>
      <c r="M7413" t="s">
        <v>45036</v>
      </c>
      <c r="N7413" t="s">
        <v>46569</v>
      </c>
      <c r="O7413" t="s">
        <v>46570</v>
      </c>
      <c r="P7413">
        <v>0</v>
      </c>
      <c r="Q7413">
        <v>1</v>
      </c>
      <c r="R7413" t="s">
        <v>46574</v>
      </c>
      <c r="S7413" t="s">
        <v>46723</v>
      </c>
      <c r="T7413" t="s">
        <v>48374</v>
      </c>
      <c r="U7413" t="s">
        <v>54906</v>
      </c>
      <c r="W7413" t="s">
        <v>45036</v>
      </c>
      <c r="X7413" t="s">
        <v>46577</v>
      </c>
    </row>
    <row r="7414" spans="1:24">
      <c r="A7414">
        <f>HYPERLINK("https://www.philgeps.gov.ph/GEPSNONPILOT/Tender/SplashBidNoticeAbstractUI.aspx?menuIndex=3&amp;refID=7056515&amp;Result=3","7056515")</f>
        <v>0</v>
      </c>
      <c r="B7414" t="s">
        <v>2270</v>
      </c>
      <c r="C7414" t="s">
        <v>10559</v>
      </c>
      <c r="D7414" t="s">
        <v>18839</v>
      </c>
      <c r="E7414" t="s">
        <v>25421</v>
      </c>
      <c r="F7414" t="s">
        <v>32664</v>
      </c>
      <c r="G7414" t="s">
        <v>32672</v>
      </c>
      <c r="H7414" t="s">
        <v>32683</v>
      </c>
      <c r="I7414" t="s">
        <v>10627</v>
      </c>
      <c r="J7414" t="s">
        <v>32865</v>
      </c>
      <c r="K7414" t="s">
        <v>42311</v>
      </c>
      <c r="M7414" t="s">
        <v>45036</v>
      </c>
      <c r="N7414" t="s">
        <v>46569</v>
      </c>
      <c r="O7414" t="s">
        <v>46570</v>
      </c>
      <c r="P7414">
        <v>0</v>
      </c>
      <c r="Q7414">
        <v>0</v>
      </c>
      <c r="R7414" t="s">
        <v>46574</v>
      </c>
      <c r="S7414" t="s">
        <v>46723</v>
      </c>
      <c r="T7414" t="s">
        <v>48374</v>
      </c>
      <c r="U7414" t="s">
        <v>54907</v>
      </c>
      <c r="W7414" t="s">
        <v>45036</v>
      </c>
      <c r="X7414" t="s">
        <v>46577</v>
      </c>
    </row>
    <row r="7415" spans="1:24">
      <c r="A7415">
        <f>HYPERLINK("https://www.philgeps.gov.ph/GEPSNONPILOT/Tender/SplashBidNoticeAbstractUI.aspx?menuIndex=3&amp;refID=7056487&amp;Result=3","7056487")</f>
        <v>0</v>
      </c>
      <c r="B7415" t="s">
        <v>2283</v>
      </c>
      <c r="C7415" t="s">
        <v>10560</v>
      </c>
      <c r="D7415" t="s">
        <v>18784</v>
      </c>
      <c r="E7415" t="s">
        <v>25422</v>
      </c>
      <c r="F7415" t="s">
        <v>32664</v>
      </c>
      <c r="G7415" t="s">
        <v>32672</v>
      </c>
      <c r="H7415" t="s">
        <v>12635</v>
      </c>
      <c r="I7415" t="s">
        <v>6223</v>
      </c>
      <c r="J7415" t="s">
        <v>32898</v>
      </c>
      <c r="K7415" t="s">
        <v>42281</v>
      </c>
      <c r="M7415" t="s">
        <v>45053</v>
      </c>
      <c r="N7415" t="s">
        <v>46569</v>
      </c>
      <c r="O7415" t="s">
        <v>46570</v>
      </c>
      <c r="P7415">
        <v>0</v>
      </c>
      <c r="Q7415">
        <v>4</v>
      </c>
      <c r="R7415" t="s">
        <v>46574</v>
      </c>
      <c r="S7415" t="s">
        <v>46723</v>
      </c>
      <c r="T7415" t="s">
        <v>48228</v>
      </c>
      <c r="U7415" t="s">
        <v>54908</v>
      </c>
      <c r="W7415" t="s">
        <v>45053</v>
      </c>
      <c r="X7415" t="s">
        <v>46577</v>
      </c>
    </row>
    <row r="7416" spans="1:24">
      <c r="A7416">
        <f>HYPERLINK("https://www.philgeps.gov.ph/GEPSNONPILOT/Tender/SplashBidNoticeAbstractUI.aspx?menuIndex=3&amp;refID=7056486&amp;Result=3","7056486")</f>
        <v>0</v>
      </c>
      <c r="B7416" t="s">
        <v>2284</v>
      </c>
      <c r="C7416" t="s">
        <v>10561</v>
      </c>
      <c r="D7416" t="s">
        <v>18807</v>
      </c>
      <c r="E7416" t="s">
        <v>20150</v>
      </c>
      <c r="F7416" t="s">
        <v>32664</v>
      </c>
      <c r="G7416" t="s">
        <v>32672</v>
      </c>
      <c r="H7416" t="s">
        <v>12635</v>
      </c>
      <c r="I7416" t="s">
        <v>4439</v>
      </c>
      <c r="J7416" t="s">
        <v>37360</v>
      </c>
      <c r="K7416" t="s">
        <v>42283</v>
      </c>
      <c r="M7416" t="s">
        <v>45054</v>
      </c>
      <c r="N7416" t="s">
        <v>46569</v>
      </c>
      <c r="O7416" t="s">
        <v>46570</v>
      </c>
      <c r="P7416">
        <v>0</v>
      </c>
      <c r="Q7416">
        <v>3</v>
      </c>
      <c r="R7416" t="s">
        <v>46574</v>
      </c>
      <c r="S7416" t="s">
        <v>46723</v>
      </c>
      <c r="T7416" t="s">
        <v>48228</v>
      </c>
      <c r="U7416" t="s">
        <v>54909</v>
      </c>
      <c r="W7416" t="s">
        <v>45054</v>
      </c>
      <c r="X7416" t="s">
        <v>46577</v>
      </c>
    </row>
    <row r="7417" spans="1:24">
      <c r="A7417">
        <f>HYPERLINK("https://www.philgeps.gov.ph/GEPSNONPILOT/Tender/SplashBidNoticeAbstractUI.aspx?menuIndex=3&amp;refID=7056479&amp;Result=3","7056479")</f>
        <v>0</v>
      </c>
      <c r="B7417" t="s">
        <v>2270</v>
      </c>
      <c r="C7417" t="s">
        <v>10562</v>
      </c>
      <c r="D7417" t="s">
        <v>18839</v>
      </c>
      <c r="E7417" t="s">
        <v>25423</v>
      </c>
      <c r="F7417" t="s">
        <v>32664</v>
      </c>
      <c r="G7417" t="s">
        <v>32672</v>
      </c>
      <c r="H7417" t="s">
        <v>32683</v>
      </c>
      <c r="I7417" t="s">
        <v>10627</v>
      </c>
      <c r="J7417" t="s">
        <v>32962</v>
      </c>
      <c r="K7417" t="s">
        <v>42311</v>
      </c>
      <c r="M7417" t="s">
        <v>45036</v>
      </c>
      <c r="N7417" t="s">
        <v>46569</v>
      </c>
      <c r="O7417" t="s">
        <v>46570</v>
      </c>
      <c r="P7417">
        <v>0</v>
      </c>
      <c r="Q7417">
        <v>1</v>
      </c>
      <c r="R7417" t="s">
        <v>46574</v>
      </c>
      <c r="S7417" t="s">
        <v>46723</v>
      </c>
      <c r="T7417" t="s">
        <v>48374</v>
      </c>
      <c r="U7417" t="s">
        <v>54910</v>
      </c>
      <c r="W7417" t="s">
        <v>45036</v>
      </c>
      <c r="X7417" t="s">
        <v>46577</v>
      </c>
    </row>
    <row r="7418" spans="1:24">
      <c r="A7418">
        <f>HYPERLINK("https://www.philgeps.gov.ph/GEPSNONPILOT/Tender/SplashBidNoticeAbstractUI.aspx?menuIndex=3&amp;refID=7056462&amp;Result=3","7056462")</f>
        <v>0</v>
      </c>
      <c r="B7418" t="s">
        <v>296</v>
      </c>
      <c r="C7418" t="s">
        <v>10563</v>
      </c>
      <c r="D7418" t="s">
        <v>18818</v>
      </c>
      <c r="E7418" t="s">
        <v>25424</v>
      </c>
      <c r="F7418" t="s">
        <v>32664</v>
      </c>
      <c r="G7418" t="s">
        <v>32671</v>
      </c>
      <c r="H7418" t="s">
        <v>12635</v>
      </c>
      <c r="I7418" t="s">
        <v>5589</v>
      </c>
      <c r="J7418" t="s">
        <v>32859</v>
      </c>
      <c r="K7418" t="s">
        <v>42298</v>
      </c>
      <c r="M7418" t="s">
        <v>42863</v>
      </c>
      <c r="N7418" t="s">
        <v>46569</v>
      </c>
      <c r="O7418" t="s">
        <v>46570</v>
      </c>
      <c r="P7418">
        <v>0</v>
      </c>
      <c r="Q7418">
        <v>3</v>
      </c>
      <c r="R7418" t="s">
        <v>46574</v>
      </c>
      <c r="S7418" t="s">
        <v>46723</v>
      </c>
      <c r="T7418" t="s">
        <v>48267</v>
      </c>
      <c r="U7418" t="s">
        <v>54911</v>
      </c>
      <c r="W7418" t="s">
        <v>42863</v>
      </c>
      <c r="X7418" t="s">
        <v>46577</v>
      </c>
    </row>
    <row r="7419" spans="1:24">
      <c r="A7419">
        <f>HYPERLINK("https://www.philgeps.gov.ph/GEPSNONPILOT/Tender/SplashBidNoticeAbstractUI.aspx?menuIndex=3&amp;refID=7056560&amp;Result=3","7056560")</f>
        <v>0</v>
      </c>
      <c r="B7419" t="s">
        <v>822</v>
      </c>
      <c r="C7419" t="s">
        <v>10564</v>
      </c>
      <c r="E7419" t="s">
        <v>25425</v>
      </c>
      <c r="F7419" t="s">
        <v>32664</v>
      </c>
      <c r="G7419" t="s">
        <v>32671</v>
      </c>
      <c r="H7419" t="s">
        <v>12635</v>
      </c>
      <c r="I7419" t="s">
        <v>10370</v>
      </c>
      <c r="J7419" t="s">
        <v>34182</v>
      </c>
      <c r="K7419" t="s">
        <v>42283</v>
      </c>
      <c r="M7419" t="s">
        <v>44466</v>
      </c>
      <c r="N7419" t="s">
        <v>46569</v>
      </c>
      <c r="O7419" t="s">
        <v>46570</v>
      </c>
      <c r="P7419">
        <v>0</v>
      </c>
      <c r="Q7419">
        <v>3</v>
      </c>
      <c r="R7419" t="s">
        <v>46574</v>
      </c>
      <c r="S7419" t="s">
        <v>46723</v>
      </c>
      <c r="T7419" t="s">
        <v>48228</v>
      </c>
      <c r="U7419" t="s">
        <v>54912</v>
      </c>
      <c r="W7419" t="s">
        <v>44466</v>
      </c>
      <c r="X7419" t="s">
        <v>46577</v>
      </c>
    </row>
    <row r="7420" spans="1:24">
      <c r="A7420">
        <f>HYPERLINK("https://www.philgeps.gov.ph/GEPSNONPILOT/Tender/SplashBidNoticeAbstractUI.aspx?menuIndex=3&amp;refID=7056457&amp;Result=3","7056457")</f>
        <v>0</v>
      </c>
      <c r="B7420" t="s">
        <v>2285</v>
      </c>
      <c r="C7420" t="s">
        <v>10565</v>
      </c>
      <c r="D7420" t="s">
        <v>18784</v>
      </c>
      <c r="E7420" t="s">
        <v>25426</v>
      </c>
      <c r="F7420" t="s">
        <v>32664</v>
      </c>
      <c r="G7420" t="s">
        <v>32672</v>
      </c>
      <c r="H7420" t="s">
        <v>12635</v>
      </c>
      <c r="I7420" t="s">
        <v>8797</v>
      </c>
      <c r="J7420" t="s">
        <v>37361</v>
      </c>
      <c r="K7420" t="s">
        <v>42309</v>
      </c>
      <c r="M7420" t="s">
        <v>45055</v>
      </c>
      <c r="N7420" t="s">
        <v>46569</v>
      </c>
      <c r="O7420" t="s">
        <v>46570</v>
      </c>
      <c r="P7420">
        <v>0</v>
      </c>
      <c r="Q7420">
        <v>3</v>
      </c>
      <c r="R7420" t="s">
        <v>46574</v>
      </c>
      <c r="S7420" t="s">
        <v>46723</v>
      </c>
      <c r="T7420" t="s">
        <v>48221</v>
      </c>
      <c r="U7420" t="s">
        <v>49627</v>
      </c>
      <c r="W7420" t="s">
        <v>45055</v>
      </c>
      <c r="X7420" t="s">
        <v>46577</v>
      </c>
    </row>
    <row r="7421" spans="1:24">
      <c r="A7421">
        <f>HYPERLINK("https://www.philgeps.gov.ph/GEPSNONPILOT/Tender/SplashBidNoticeAbstractUI.aspx?menuIndex=3&amp;refID=7056499&amp;Result=3","7056499")</f>
        <v>0</v>
      </c>
      <c r="B7421" t="s">
        <v>2270</v>
      </c>
      <c r="C7421" t="s">
        <v>10566</v>
      </c>
      <c r="D7421" t="s">
        <v>18839</v>
      </c>
      <c r="E7421" t="s">
        <v>25427</v>
      </c>
      <c r="F7421" t="s">
        <v>32664</v>
      </c>
      <c r="G7421" t="s">
        <v>32672</v>
      </c>
      <c r="H7421" t="s">
        <v>32683</v>
      </c>
      <c r="I7421" t="s">
        <v>10627</v>
      </c>
      <c r="J7421" t="s">
        <v>37362</v>
      </c>
      <c r="K7421" t="s">
        <v>42298</v>
      </c>
      <c r="M7421" t="s">
        <v>45036</v>
      </c>
      <c r="N7421" t="s">
        <v>46569</v>
      </c>
      <c r="O7421" t="s">
        <v>46570</v>
      </c>
      <c r="P7421">
        <v>0</v>
      </c>
      <c r="Q7421">
        <v>0</v>
      </c>
      <c r="R7421" t="s">
        <v>46574</v>
      </c>
      <c r="S7421" t="s">
        <v>46723</v>
      </c>
      <c r="T7421" t="s">
        <v>48374</v>
      </c>
      <c r="U7421" t="s">
        <v>54913</v>
      </c>
      <c r="W7421" t="s">
        <v>45036</v>
      </c>
      <c r="X7421" t="s">
        <v>46577</v>
      </c>
    </row>
    <row r="7422" spans="1:24">
      <c r="A7422">
        <f>HYPERLINK("https://www.philgeps.gov.ph/GEPSNONPILOT/Tender/SplashBidNoticeAbstractUI.aspx?menuIndex=3&amp;refID=7056573&amp;Result=3","7056573")</f>
        <v>0</v>
      </c>
      <c r="B7422" t="s">
        <v>822</v>
      </c>
      <c r="C7422" t="s">
        <v>10567</v>
      </c>
      <c r="E7422" t="s">
        <v>25428</v>
      </c>
      <c r="F7422" t="s">
        <v>32664</v>
      </c>
      <c r="G7422" t="s">
        <v>32671</v>
      </c>
      <c r="H7422" t="s">
        <v>12635</v>
      </c>
      <c r="I7422" t="s">
        <v>10361</v>
      </c>
      <c r="J7422" t="s">
        <v>37363</v>
      </c>
      <c r="K7422" t="s">
        <v>42283</v>
      </c>
      <c r="M7422" t="s">
        <v>43695</v>
      </c>
      <c r="N7422" t="s">
        <v>46569</v>
      </c>
      <c r="O7422" t="s">
        <v>46570</v>
      </c>
      <c r="P7422">
        <v>0</v>
      </c>
      <c r="Q7422">
        <v>0</v>
      </c>
      <c r="R7422" t="s">
        <v>46574</v>
      </c>
      <c r="S7422" t="s">
        <v>46723</v>
      </c>
      <c r="T7422" t="s">
        <v>48244</v>
      </c>
      <c r="U7422" t="s">
        <v>54914</v>
      </c>
      <c r="W7422" t="s">
        <v>43695</v>
      </c>
      <c r="X7422" t="s">
        <v>46577</v>
      </c>
    </row>
    <row r="7423" spans="1:24">
      <c r="A7423">
        <f>HYPERLINK("https://www.philgeps.gov.ph/GEPSNONPILOT/Tender/SplashBidNoticeAbstractUI.aspx?menuIndex=3&amp;refID=7056687&amp;Result=3","7056687")</f>
        <v>0</v>
      </c>
      <c r="B7423" t="s">
        <v>69</v>
      </c>
      <c r="C7423" t="s">
        <v>10568</v>
      </c>
      <c r="D7423" t="s">
        <v>18784</v>
      </c>
      <c r="E7423" t="s">
        <v>25429</v>
      </c>
      <c r="F7423" t="s">
        <v>32664</v>
      </c>
      <c r="G7423" t="s">
        <v>32671</v>
      </c>
      <c r="H7423" t="s">
        <v>12635</v>
      </c>
      <c r="I7423" t="s">
        <v>8730</v>
      </c>
      <c r="J7423" t="s">
        <v>37364</v>
      </c>
      <c r="K7423" t="s">
        <v>42284</v>
      </c>
      <c r="M7423" t="s">
        <v>43455</v>
      </c>
      <c r="N7423" t="s">
        <v>46569</v>
      </c>
      <c r="O7423" t="s">
        <v>46570</v>
      </c>
      <c r="P7423">
        <v>0</v>
      </c>
      <c r="Q7423">
        <v>8</v>
      </c>
      <c r="R7423" t="s">
        <v>46574</v>
      </c>
      <c r="S7423" t="s">
        <v>46723</v>
      </c>
      <c r="T7423" t="s">
        <v>48420</v>
      </c>
      <c r="U7423" t="s">
        <v>54915</v>
      </c>
      <c r="W7423" t="s">
        <v>43455</v>
      </c>
      <c r="X7423" t="s">
        <v>46577</v>
      </c>
    </row>
    <row r="7424" spans="1:24">
      <c r="A7424">
        <f>HYPERLINK("https://www.philgeps.gov.ph/GEPSNONPILOT/Tender/SplashBidNoticeAbstractUI.aspx?menuIndex=3&amp;refID=7056694&amp;Result=3","7056694")</f>
        <v>0</v>
      </c>
      <c r="B7424" t="s">
        <v>683</v>
      </c>
      <c r="C7424" t="s">
        <v>10569</v>
      </c>
      <c r="D7424" t="s">
        <v>18842</v>
      </c>
      <c r="E7424" t="s">
        <v>25430</v>
      </c>
      <c r="F7424" t="s">
        <v>32664</v>
      </c>
      <c r="G7424" t="s">
        <v>32672</v>
      </c>
      <c r="H7424" t="s">
        <v>12635</v>
      </c>
      <c r="I7424" t="s">
        <v>5589</v>
      </c>
      <c r="J7424" t="s">
        <v>37365</v>
      </c>
      <c r="K7424" t="s">
        <v>42285</v>
      </c>
      <c r="M7424" t="s">
        <v>43270</v>
      </c>
      <c r="N7424" t="s">
        <v>46569</v>
      </c>
      <c r="O7424" t="s">
        <v>46570</v>
      </c>
      <c r="P7424">
        <v>0</v>
      </c>
      <c r="Q7424">
        <v>10</v>
      </c>
      <c r="R7424" t="s">
        <v>46574</v>
      </c>
      <c r="S7424" t="s">
        <v>46723</v>
      </c>
      <c r="T7424" t="s">
        <v>48270</v>
      </c>
      <c r="U7424" t="s">
        <v>54916</v>
      </c>
      <c r="W7424" t="s">
        <v>43270</v>
      </c>
      <c r="X7424" t="s">
        <v>46577</v>
      </c>
    </row>
    <row r="7425" spans="1:24">
      <c r="A7425">
        <f>HYPERLINK("https://www.philgeps.gov.ph/GEPSNONPILOT/Tender/SplashBidNoticeAbstractUI.aspx?menuIndex=3&amp;refID=7056464&amp;Result=3","7056464")</f>
        <v>0</v>
      </c>
      <c r="B7425" t="s">
        <v>2285</v>
      </c>
      <c r="C7425" t="s">
        <v>10570</v>
      </c>
      <c r="D7425" t="s">
        <v>18784</v>
      </c>
      <c r="E7425" t="s">
        <v>25431</v>
      </c>
      <c r="F7425" t="s">
        <v>32664</v>
      </c>
      <c r="G7425" t="s">
        <v>32672</v>
      </c>
      <c r="H7425" t="s">
        <v>12635</v>
      </c>
      <c r="I7425" t="s">
        <v>9597</v>
      </c>
      <c r="J7425" t="s">
        <v>37366</v>
      </c>
      <c r="K7425" t="s">
        <v>42283</v>
      </c>
      <c r="M7425" t="s">
        <v>45055</v>
      </c>
      <c r="N7425" t="s">
        <v>46569</v>
      </c>
      <c r="O7425" t="s">
        <v>46570</v>
      </c>
      <c r="P7425">
        <v>0</v>
      </c>
      <c r="Q7425">
        <v>1</v>
      </c>
      <c r="R7425" t="s">
        <v>46574</v>
      </c>
      <c r="S7425" t="s">
        <v>46723</v>
      </c>
      <c r="T7425" t="s">
        <v>48221</v>
      </c>
      <c r="U7425" t="s">
        <v>49627</v>
      </c>
      <c r="W7425" t="s">
        <v>45055</v>
      </c>
      <c r="X7425" t="s">
        <v>46577</v>
      </c>
    </row>
    <row r="7426" spans="1:24">
      <c r="A7426">
        <f>HYPERLINK("https://www.philgeps.gov.ph/GEPSNONPILOT/Tender/SplashBidNoticeAbstractUI.aspx?menuIndex=3&amp;refID=7066755&amp;Result=3","7066755")</f>
        <v>0</v>
      </c>
      <c r="B7426" t="s">
        <v>1133</v>
      </c>
      <c r="C7426" t="s">
        <v>10571</v>
      </c>
      <c r="D7426" t="s">
        <v>18858</v>
      </c>
      <c r="E7426" t="s">
        <v>25432</v>
      </c>
      <c r="F7426" t="s">
        <v>32664</v>
      </c>
      <c r="G7426" t="s">
        <v>32671</v>
      </c>
      <c r="H7426" t="s">
        <v>12635</v>
      </c>
      <c r="I7426" t="s">
        <v>10361</v>
      </c>
      <c r="J7426" t="s">
        <v>37367</v>
      </c>
      <c r="K7426" t="s">
        <v>42289</v>
      </c>
      <c r="M7426" t="s">
        <v>43762</v>
      </c>
      <c r="N7426" t="s">
        <v>46569</v>
      </c>
      <c r="O7426" t="s">
        <v>46570</v>
      </c>
      <c r="P7426">
        <v>0</v>
      </c>
      <c r="Q7426">
        <v>0</v>
      </c>
      <c r="R7426" t="s">
        <v>46571</v>
      </c>
      <c r="S7426" t="s">
        <v>46687</v>
      </c>
      <c r="T7426" t="s">
        <v>48293</v>
      </c>
      <c r="U7426" t="s">
        <v>54917</v>
      </c>
      <c r="W7426" t="s">
        <v>43762</v>
      </c>
      <c r="X7426" t="s">
        <v>46572</v>
      </c>
    </row>
    <row r="7427" spans="1:24">
      <c r="A7427">
        <f>HYPERLINK("https://www.philgeps.gov.ph/GEPSNONPILOT/Tender/SplashBidNoticeAbstractUI.aspx?menuIndex=3&amp;refID=7056649&amp;Result=3","7056649")</f>
        <v>0</v>
      </c>
      <c r="B7427" t="s">
        <v>1259</v>
      </c>
      <c r="C7427" t="s">
        <v>10572</v>
      </c>
      <c r="D7427" t="s">
        <v>18782</v>
      </c>
      <c r="E7427" t="s">
        <v>25433</v>
      </c>
      <c r="F7427" t="s">
        <v>32664</v>
      </c>
      <c r="G7427" t="s">
        <v>32671</v>
      </c>
      <c r="H7427" t="s">
        <v>12635</v>
      </c>
      <c r="I7427" t="s">
        <v>6168</v>
      </c>
      <c r="J7427" t="s">
        <v>37368</v>
      </c>
      <c r="K7427" t="s">
        <v>42284</v>
      </c>
      <c r="M7427" t="s">
        <v>43901</v>
      </c>
      <c r="N7427" t="s">
        <v>46569</v>
      </c>
      <c r="O7427" t="s">
        <v>46570</v>
      </c>
      <c r="P7427">
        <v>0</v>
      </c>
      <c r="Q7427">
        <v>0</v>
      </c>
      <c r="R7427" t="s">
        <v>46574</v>
      </c>
      <c r="S7427" t="s">
        <v>46723</v>
      </c>
      <c r="T7427" t="s">
        <v>48597</v>
      </c>
      <c r="U7427" t="s">
        <v>54918</v>
      </c>
      <c r="W7427" t="s">
        <v>43901</v>
      </c>
      <c r="X7427" t="s">
        <v>46577</v>
      </c>
    </row>
    <row r="7428" spans="1:24">
      <c r="A7428">
        <f>HYPERLINK("https://www.philgeps.gov.ph/GEPSNONPILOT/Tender/SplashBidNoticeAbstractUI.aspx?menuIndex=3&amp;refID=7056534&amp;Result=3","7056534")</f>
        <v>0</v>
      </c>
      <c r="B7428" t="s">
        <v>2286</v>
      </c>
      <c r="C7428" t="s">
        <v>10573</v>
      </c>
      <c r="D7428" t="s">
        <v>18851</v>
      </c>
      <c r="E7428" t="s">
        <v>19380</v>
      </c>
      <c r="F7428" t="s">
        <v>32664</v>
      </c>
      <c r="G7428" t="s">
        <v>32677</v>
      </c>
      <c r="H7428" t="s">
        <v>32683</v>
      </c>
      <c r="I7428" t="s">
        <v>4439</v>
      </c>
      <c r="J7428" t="s">
        <v>37369</v>
      </c>
      <c r="K7428" t="s">
        <v>42289</v>
      </c>
      <c r="M7428" t="s">
        <v>45056</v>
      </c>
      <c r="N7428" t="s">
        <v>46569</v>
      </c>
      <c r="O7428" t="s">
        <v>46570</v>
      </c>
      <c r="P7428">
        <v>0</v>
      </c>
      <c r="Q7428">
        <v>1</v>
      </c>
      <c r="R7428" t="s">
        <v>46574</v>
      </c>
      <c r="S7428" t="s">
        <v>46723</v>
      </c>
      <c r="T7428" t="s">
        <v>48293</v>
      </c>
      <c r="U7428" t="s">
        <v>54919</v>
      </c>
      <c r="V7428" t="s">
        <v>62362</v>
      </c>
      <c r="W7428" t="s">
        <v>45056</v>
      </c>
      <c r="X7428" t="s">
        <v>46577</v>
      </c>
    </row>
    <row r="7429" spans="1:24">
      <c r="A7429">
        <f>HYPERLINK("https://www.philgeps.gov.ph/GEPSNONPILOT/Tender/SplashBidNoticeAbstractUI.aspx?menuIndex=3&amp;refID=7056673&amp;Result=3","7056673")</f>
        <v>0</v>
      </c>
      <c r="B7429" t="s">
        <v>1854</v>
      </c>
      <c r="C7429" t="s">
        <v>10574</v>
      </c>
      <c r="D7429" t="s">
        <v>18816</v>
      </c>
      <c r="E7429" t="s">
        <v>25434</v>
      </c>
      <c r="F7429" t="s">
        <v>32664</v>
      </c>
      <c r="G7429" t="s">
        <v>32672</v>
      </c>
      <c r="H7429" t="s">
        <v>32683</v>
      </c>
      <c r="I7429" t="s">
        <v>10627</v>
      </c>
      <c r="J7429" t="s">
        <v>32981</v>
      </c>
      <c r="K7429" t="s">
        <v>42311</v>
      </c>
      <c r="M7429" t="s">
        <v>44565</v>
      </c>
      <c r="N7429" t="s">
        <v>46569</v>
      </c>
      <c r="O7429" t="s">
        <v>46570</v>
      </c>
      <c r="P7429">
        <v>0</v>
      </c>
      <c r="Q7429">
        <v>0</v>
      </c>
      <c r="R7429" t="s">
        <v>46574</v>
      </c>
      <c r="S7429" t="s">
        <v>46723</v>
      </c>
      <c r="T7429" t="s">
        <v>48314</v>
      </c>
      <c r="U7429" t="s">
        <v>54920</v>
      </c>
      <c r="W7429" t="s">
        <v>44565</v>
      </c>
      <c r="X7429" t="s">
        <v>46577</v>
      </c>
    </row>
    <row r="7430" spans="1:24">
      <c r="A7430">
        <f>HYPERLINK("https://www.philgeps.gov.ph/GEPSNONPILOT/Tender/SplashBidNoticeAbstractUI.aspx?menuIndex=3&amp;refID=7056670&amp;Result=3","7056670")</f>
        <v>0</v>
      </c>
      <c r="B7430" t="s">
        <v>900</v>
      </c>
      <c r="C7430" t="s">
        <v>10575</v>
      </c>
      <c r="D7430" t="s">
        <v>18787</v>
      </c>
      <c r="E7430" t="s">
        <v>25435</v>
      </c>
      <c r="F7430" t="s">
        <v>32667</v>
      </c>
      <c r="G7430" t="s">
        <v>32674</v>
      </c>
      <c r="H7430" t="s">
        <v>12635</v>
      </c>
      <c r="I7430" t="s">
        <v>8730</v>
      </c>
      <c r="J7430" t="s">
        <v>37370</v>
      </c>
      <c r="K7430" t="s">
        <v>42283</v>
      </c>
      <c r="M7430" t="s">
        <v>43690</v>
      </c>
      <c r="N7430" t="s">
        <v>46569</v>
      </c>
      <c r="O7430" t="s">
        <v>46570</v>
      </c>
      <c r="P7430">
        <v>0</v>
      </c>
      <c r="Q7430">
        <v>4</v>
      </c>
      <c r="R7430" t="s">
        <v>46574</v>
      </c>
      <c r="S7430" t="s">
        <v>46723</v>
      </c>
      <c r="T7430" t="s">
        <v>48562</v>
      </c>
      <c r="U7430" t="s">
        <v>54921</v>
      </c>
      <c r="W7430" t="s">
        <v>43690</v>
      </c>
      <c r="X7430" t="s">
        <v>46577</v>
      </c>
    </row>
    <row r="7431" spans="1:24">
      <c r="A7431">
        <f>HYPERLINK("https://www.philgeps.gov.ph/GEPSNONPILOT/Tender/SplashBidNoticeAbstractUI.aspx?menuIndex=3&amp;refID=7056651&amp;Result=3","7056651")</f>
        <v>0</v>
      </c>
      <c r="B7431" t="s">
        <v>2287</v>
      </c>
      <c r="C7431" t="s">
        <v>10576</v>
      </c>
      <c r="D7431" t="s">
        <v>18783</v>
      </c>
      <c r="E7431" t="s">
        <v>25436</v>
      </c>
      <c r="F7431" t="s">
        <v>32664</v>
      </c>
      <c r="G7431" t="s">
        <v>32672</v>
      </c>
      <c r="H7431" t="s">
        <v>12635</v>
      </c>
      <c r="I7431" t="s">
        <v>4439</v>
      </c>
      <c r="J7431" t="s">
        <v>37371</v>
      </c>
      <c r="K7431" t="s">
        <v>42309</v>
      </c>
      <c r="M7431" t="s">
        <v>45057</v>
      </c>
      <c r="N7431" t="s">
        <v>46569</v>
      </c>
      <c r="O7431" t="s">
        <v>46570</v>
      </c>
      <c r="P7431">
        <v>0</v>
      </c>
      <c r="Q7431">
        <v>0</v>
      </c>
      <c r="R7431" t="s">
        <v>46574</v>
      </c>
      <c r="S7431" t="s">
        <v>46723</v>
      </c>
      <c r="T7431" t="s">
        <v>48245</v>
      </c>
      <c r="U7431" t="s">
        <v>54922</v>
      </c>
      <c r="W7431" t="s">
        <v>45057</v>
      </c>
      <c r="X7431" t="s">
        <v>46577</v>
      </c>
    </row>
    <row r="7432" spans="1:24">
      <c r="A7432">
        <f>HYPERLINK("https://www.philgeps.gov.ph/GEPSNONPILOT/Tender/SplashBidNoticeAbstractUI.aspx?menuIndex=3&amp;refID=7056631&amp;Result=3","7056631")</f>
        <v>0</v>
      </c>
      <c r="B7432" t="s">
        <v>458</v>
      </c>
      <c r="C7432" t="s">
        <v>10577</v>
      </c>
      <c r="D7432" t="s">
        <v>18833</v>
      </c>
      <c r="E7432" t="s">
        <v>19820</v>
      </c>
      <c r="F7432" t="s">
        <v>32664</v>
      </c>
      <c r="G7432" t="s">
        <v>32672</v>
      </c>
      <c r="H7432" t="s">
        <v>12635</v>
      </c>
      <c r="I7432" t="s">
        <v>32721</v>
      </c>
      <c r="J7432" t="s">
        <v>34412</v>
      </c>
      <c r="K7432" t="s">
        <v>42290</v>
      </c>
      <c r="M7432" t="s">
        <v>43031</v>
      </c>
      <c r="N7432" t="s">
        <v>46569</v>
      </c>
      <c r="O7432" t="s">
        <v>46570</v>
      </c>
      <c r="P7432">
        <v>0</v>
      </c>
      <c r="Q7432">
        <v>1</v>
      </c>
      <c r="R7432" t="s">
        <v>46574</v>
      </c>
      <c r="S7432" t="s">
        <v>46723</v>
      </c>
      <c r="T7432" t="s">
        <v>48412</v>
      </c>
      <c r="U7432" t="s">
        <v>50117</v>
      </c>
      <c r="W7432" t="s">
        <v>43031</v>
      </c>
      <c r="X7432" t="s">
        <v>46577</v>
      </c>
    </row>
    <row r="7433" spans="1:24">
      <c r="A7433">
        <f>HYPERLINK("https://www.philgeps.gov.ph/GEPSNONPILOT/Tender/SplashBidNoticeAbstractUI.aspx?menuIndex=3&amp;refID=7056601&amp;Result=3","7056601")</f>
        <v>0</v>
      </c>
      <c r="B7433" t="s">
        <v>83</v>
      </c>
      <c r="C7433" t="s">
        <v>10578</v>
      </c>
      <c r="D7433" t="s">
        <v>18784</v>
      </c>
      <c r="E7433" t="s">
        <v>25437</v>
      </c>
      <c r="F7433" t="s">
        <v>32664</v>
      </c>
      <c r="G7433" t="s">
        <v>32677</v>
      </c>
      <c r="H7433" t="s">
        <v>12635</v>
      </c>
      <c r="I7433" t="s">
        <v>8797</v>
      </c>
      <c r="J7433" t="s">
        <v>32837</v>
      </c>
      <c r="K7433" t="s">
        <v>42283</v>
      </c>
      <c r="M7433" t="s">
        <v>45058</v>
      </c>
      <c r="N7433" t="s">
        <v>46569</v>
      </c>
      <c r="O7433" t="s">
        <v>46570</v>
      </c>
      <c r="P7433">
        <v>0</v>
      </c>
      <c r="Q7433">
        <v>4</v>
      </c>
      <c r="R7433" t="s">
        <v>46574</v>
      </c>
      <c r="S7433" t="s">
        <v>46723</v>
      </c>
      <c r="T7433" t="s">
        <v>48244</v>
      </c>
      <c r="U7433" t="s">
        <v>54923</v>
      </c>
      <c r="W7433" t="s">
        <v>45058</v>
      </c>
      <c r="X7433" t="s">
        <v>46577</v>
      </c>
    </row>
    <row r="7434" spans="1:24">
      <c r="A7434">
        <f>HYPERLINK("https://www.philgeps.gov.ph/GEPSNONPILOT/Tender/SplashBidNoticeAbstractUI.aspx?menuIndex=3&amp;refID=7056598&amp;Result=3","7056598")</f>
        <v>0</v>
      </c>
      <c r="B7434" t="s">
        <v>1259</v>
      </c>
      <c r="C7434" t="s">
        <v>10579</v>
      </c>
      <c r="D7434" t="s">
        <v>18782</v>
      </c>
      <c r="E7434" t="s">
        <v>25438</v>
      </c>
      <c r="F7434" t="s">
        <v>32664</v>
      </c>
      <c r="G7434" t="s">
        <v>32671</v>
      </c>
      <c r="H7434" t="s">
        <v>12635</v>
      </c>
      <c r="I7434" t="s">
        <v>32685</v>
      </c>
      <c r="J7434" t="s">
        <v>32842</v>
      </c>
      <c r="K7434" t="s">
        <v>42284</v>
      </c>
      <c r="M7434" t="s">
        <v>43901</v>
      </c>
      <c r="N7434" t="s">
        <v>46569</v>
      </c>
      <c r="O7434" t="s">
        <v>46570</v>
      </c>
      <c r="P7434">
        <v>0</v>
      </c>
      <c r="Q7434">
        <v>0</v>
      </c>
      <c r="R7434" t="s">
        <v>46574</v>
      </c>
      <c r="S7434" t="s">
        <v>46723</v>
      </c>
      <c r="T7434" t="s">
        <v>48598</v>
      </c>
      <c r="U7434" t="s">
        <v>54924</v>
      </c>
      <c r="W7434" t="s">
        <v>43901</v>
      </c>
      <c r="X7434" t="s">
        <v>46577</v>
      </c>
    </row>
    <row r="7435" spans="1:24">
      <c r="A7435">
        <f>HYPERLINK("https://www.philgeps.gov.ph/GEPSNONPILOT/Tender/SplashBidNoticeAbstractUI.aspx?menuIndex=3&amp;refID=7056582&amp;Result=3","7056582")</f>
        <v>0</v>
      </c>
      <c r="B7435" t="s">
        <v>1770</v>
      </c>
      <c r="C7435" t="s">
        <v>10580</v>
      </c>
      <c r="D7435" t="s">
        <v>18848</v>
      </c>
      <c r="E7435" t="s">
        <v>25439</v>
      </c>
      <c r="F7435" t="s">
        <v>32664</v>
      </c>
      <c r="G7435" t="s">
        <v>32672</v>
      </c>
      <c r="H7435" t="s">
        <v>32683</v>
      </c>
      <c r="I7435" t="s">
        <v>10627</v>
      </c>
      <c r="J7435" t="s">
        <v>37372</v>
      </c>
      <c r="K7435" t="s">
        <v>42459</v>
      </c>
      <c r="M7435" t="s">
        <v>44472</v>
      </c>
      <c r="N7435" t="s">
        <v>46569</v>
      </c>
      <c r="O7435" t="s">
        <v>46570</v>
      </c>
      <c r="P7435">
        <v>0</v>
      </c>
      <c r="Q7435">
        <v>0</v>
      </c>
      <c r="R7435" t="s">
        <v>46574</v>
      </c>
      <c r="S7435" t="s">
        <v>46723</v>
      </c>
      <c r="T7435" t="s">
        <v>48506</v>
      </c>
      <c r="U7435" t="s">
        <v>54925</v>
      </c>
      <c r="W7435" t="s">
        <v>63533</v>
      </c>
      <c r="X7435" t="s">
        <v>46577</v>
      </c>
    </row>
    <row r="7436" spans="1:24">
      <c r="A7436">
        <f>HYPERLINK("https://www.philgeps.gov.ph/GEPSNONPILOT/Tender/SplashBidNoticeAbstractUI.aspx?menuIndex=3&amp;refID=7056190&amp;Result=3","7056190")</f>
        <v>0</v>
      </c>
      <c r="B7436" t="s">
        <v>2288</v>
      </c>
      <c r="C7436" t="s">
        <v>10581</v>
      </c>
      <c r="D7436" t="s">
        <v>18806</v>
      </c>
      <c r="E7436" t="s">
        <v>19012</v>
      </c>
      <c r="F7436" t="s">
        <v>32664</v>
      </c>
      <c r="G7436" t="s">
        <v>32672</v>
      </c>
      <c r="H7436" t="s">
        <v>12635</v>
      </c>
      <c r="I7436" t="s">
        <v>4439</v>
      </c>
      <c r="J7436" t="s">
        <v>37373</v>
      </c>
      <c r="K7436" t="s">
        <v>42289</v>
      </c>
      <c r="M7436" t="s">
        <v>45059</v>
      </c>
      <c r="N7436" t="s">
        <v>46569</v>
      </c>
      <c r="O7436" t="s">
        <v>46570</v>
      </c>
      <c r="P7436">
        <v>0</v>
      </c>
      <c r="Q7436">
        <v>0</v>
      </c>
      <c r="R7436" t="s">
        <v>46574</v>
      </c>
      <c r="S7436" t="s">
        <v>46723</v>
      </c>
      <c r="T7436" t="s">
        <v>48265</v>
      </c>
      <c r="U7436" t="s">
        <v>54926</v>
      </c>
      <c r="V7436" t="s">
        <v>62363</v>
      </c>
      <c r="W7436" t="s">
        <v>45059</v>
      </c>
      <c r="X7436" t="s">
        <v>46577</v>
      </c>
    </row>
    <row r="7437" spans="1:24">
      <c r="A7437">
        <f>HYPERLINK("https://www.philgeps.gov.ph/GEPSNONPILOT/Tender/SplashBidNoticeAbstractUI.aspx?menuIndex=3&amp;refID=7056636&amp;Result=3","7056636")</f>
        <v>0</v>
      </c>
      <c r="B7437" t="s">
        <v>460</v>
      </c>
      <c r="C7437" t="s">
        <v>10582</v>
      </c>
      <c r="D7437" t="s">
        <v>18806</v>
      </c>
      <c r="E7437" t="s">
        <v>25440</v>
      </c>
      <c r="F7437" t="s">
        <v>32664</v>
      </c>
      <c r="G7437" t="s">
        <v>32672</v>
      </c>
      <c r="H7437" t="s">
        <v>12635</v>
      </c>
      <c r="I7437" t="s">
        <v>32706</v>
      </c>
      <c r="J7437" t="s">
        <v>33460</v>
      </c>
      <c r="K7437" t="s">
        <v>42330</v>
      </c>
      <c r="M7437" t="s">
        <v>44571</v>
      </c>
      <c r="N7437" t="s">
        <v>46569</v>
      </c>
      <c r="O7437" t="s">
        <v>46570</v>
      </c>
      <c r="P7437">
        <v>0</v>
      </c>
      <c r="Q7437">
        <v>0</v>
      </c>
      <c r="R7437" t="s">
        <v>46574</v>
      </c>
      <c r="S7437" t="s">
        <v>46723</v>
      </c>
      <c r="T7437" t="s">
        <v>48244</v>
      </c>
      <c r="U7437" t="s">
        <v>54927</v>
      </c>
      <c r="V7437" t="s">
        <v>61668</v>
      </c>
      <c r="W7437" t="s">
        <v>44571</v>
      </c>
      <c r="X7437" t="s">
        <v>46577</v>
      </c>
    </row>
    <row r="7438" spans="1:24">
      <c r="A7438">
        <f>HYPERLINK("https://www.philgeps.gov.ph/GEPSNONPILOT/Tender/SplashBidNoticeAbstractUI.aspx?menuIndex=3&amp;refID=7056611&amp;Result=3","7056611")</f>
        <v>0</v>
      </c>
      <c r="B7438" t="s">
        <v>1770</v>
      </c>
      <c r="C7438" t="s">
        <v>10583</v>
      </c>
      <c r="D7438" t="s">
        <v>18848</v>
      </c>
      <c r="E7438" t="s">
        <v>25441</v>
      </c>
      <c r="F7438" t="s">
        <v>32664</v>
      </c>
      <c r="G7438" t="s">
        <v>32672</v>
      </c>
      <c r="H7438" t="s">
        <v>32683</v>
      </c>
      <c r="I7438" t="s">
        <v>10627</v>
      </c>
      <c r="J7438" t="s">
        <v>37240</v>
      </c>
      <c r="K7438" t="s">
        <v>42308</v>
      </c>
      <c r="M7438" t="s">
        <v>44472</v>
      </c>
      <c r="N7438" t="s">
        <v>46569</v>
      </c>
      <c r="O7438" t="s">
        <v>46570</v>
      </c>
      <c r="P7438">
        <v>0</v>
      </c>
      <c r="Q7438">
        <v>0</v>
      </c>
      <c r="R7438" t="s">
        <v>46574</v>
      </c>
      <c r="S7438" t="s">
        <v>46723</v>
      </c>
      <c r="T7438" t="s">
        <v>48506</v>
      </c>
      <c r="U7438" t="s">
        <v>54928</v>
      </c>
      <c r="W7438" t="s">
        <v>63533</v>
      </c>
      <c r="X7438" t="s">
        <v>46577</v>
      </c>
    </row>
    <row r="7439" spans="1:24">
      <c r="A7439">
        <f>HYPERLINK("https://www.philgeps.gov.ph/GEPSNONPILOT/Tender/SplashBidNoticeAbstractUI.aspx?menuIndex=3&amp;refID=7056643&amp;Result=3","7056643")</f>
        <v>0</v>
      </c>
      <c r="B7439" t="s">
        <v>83</v>
      </c>
      <c r="C7439" t="s">
        <v>10584</v>
      </c>
      <c r="D7439" t="s">
        <v>18784</v>
      </c>
      <c r="E7439" t="s">
        <v>25442</v>
      </c>
      <c r="F7439" t="s">
        <v>32664</v>
      </c>
      <c r="G7439" t="s">
        <v>32671</v>
      </c>
      <c r="H7439" t="s">
        <v>12635</v>
      </c>
      <c r="I7439" t="s">
        <v>6223</v>
      </c>
      <c r="J7439" t="s">
        <v>37374</v>
      </c>
      <c r="K7439" t="s">
        <v>42283</v>
      </c>
      <c r="M7439" t="s">
        <v>42646</v>
      </c>
      <c r="N7439" t="s">
        <v>46569</v>
      </c>
      <c r="O7439" t="s">
        <v>46570</v>
      </c>
      <c r="P7439">
        <v>0</v>
      </c>
      <c r="Q7439">
        <v>0</v>
      </c>
      <c r="R7439" t="s">
        <v>46574</v>
      </c>
      <c r="S7439" t="s">
        <v>46723</v>
      </c>
      <c r="T7439" t="s">
        <v>48244</v>
      </c>
      <c r="U7439" t="s">
        <v>54929</v>
      </c>
      <c r="W7439" t="s">
        <v>42646</v>
      </c>
      <c r="X7439" t="s">
        <v>46577</v>
      </c>
    </row>
    <row r="7440" spans="1:24">
      <c r="A7440">
        <f>HYPERLINK("https://www.philgeps.gov.ph/GEPSNONPILOT/Tender/SplashBidNoticeAbstractUI.aspx?menuIndex=3&amp;refID=7056594&amp;Result=3","7056594")</f>
        <v>0</v>
      </c>
      <c r="B7440" t="s">
        <v>1095</v>
      </c>
      <c r="C7440" t="s">
        <v>6223</v>
      </c>
      <c r="D7440" t="s">
        <v>18798</v>
      </c>
      <c r="E7440" t="s">
        <v>25443</v>
      </c>
      <c r="F7440" t="s">
        <v>32664</v>
      </c>
      <c r="G7440" t="s">
        <v>32671</v>
      </c>
      <c r="H7440" t="s">
        <v>12635</v>
      </c>
      <c r="I7440" t="s">
        <v>6223</v>
      </c>
      <c r="J7440" t="s">
        <v>37375</v>
      </c>
      <c r="K7440" t="s">
        <v>42281</v>
      </c>
      <c r="M7440" t="s">
        <v>42640</v>
      </c>
      <c r="N7440" t="s">
        <v>46569</v>
      </c>
      <c r="O7440" t="s">
        <v>46570</v>
      </c>
      <c r="P7440">
        <v>0</v>
      </c>
      <c r="Q7440">
        <v>0</v>
      </c>
      <c r="R7440" t="s">
        <v>46574</v>
      </c>
      <c r="S7440" t="s">
        <v>46723</v>
      </c>
      <c r="T7440" t="s">
        <v>48449</v>
      </c>
      <c r="U7440" t="s">
        <v>54930</v>
      </c>
      <c r="W7440" t="s">
        <v>42640</v>
      </c>
      <c r="X7440" t="s">
        <v>46577</v>
      </c>
    </row>
    <row r="7441" spans="1:24">
      <c r="A7441">
        <f>HYPERLINK("https://www.philgeps.gov.ph/GEPSNONPILOT/Tender/SplashBidNoticeAbstractUI.aspx?menuIndex=3&amp;refID=7056847&amp;Result=3","7056847")</f>
        <v>0</v>
      </c>
      <c r="B7441" t="s">
        <v>1756</v>
      </c>
      <c r="C7441" t="s">
        <v>10585</v>
      </c>
      <c r="D7441" t="s">
        <v>18806</v>
      </c>
      <c r="E7441" t="s">
        <v>25444</v>
      </c>
      <c r="F7441" t="s">
        <v>32664</v>
      </c>
      <c r="G7441" t="s">
        <v>32671</v>
      </c>
      <c r="H7441" t="s">
        <v>12635</v>
      </c>
      <c r="I7441" t="s">
        <v>10370</v>
      </c>
      <c r="J7441" t="s">
        <v>37376</v>
      </c>
      <c r="K7441" t="s">
        <v>42297</v>
      </c>
      <c r="M7441" t="s">
        <v>44457</v>
      </c>
      <c r="N7441" t="s">
        <v>46569</v>
      </c>
      <c r="O7441" t="s">
        <v>46570</v>
      </c>
      <c r="P7441">
        <v>0</v>
      </c>
      <c r="Q7441">
        <v>0</v>
      </c>
      <c r="R7441" t="s">
        <v>46574</v>
      </c>
      <c r="S7441" t="s">
        <v>46723</v>
      </c>
      <c r="T7441" t="s">
        <v>48473</v>
      </c>
      <c r="U7441" t="s">
        <v>54931</v>
      </c>
      <c r="W7441" t="s">
        <v>44457</v>
      </c>
      <c r="X7441" t="s">
        <v>46577</v>
      </c>
    </row>
    <row r="7442" spans="1:24">
      <c r="A7442">
        <f>HYPERLINK("https://www.philgeps.gov.ph/GEPSNONPILOT/Tender/SplashBidNoticeAbstractUI.aspx?menuIndex=3&amp;refID=7056833&amp;Result=3","7056833")</f>
        <v>0</v>
      </c>
      <c r="B7442" t="s">
        <v>1259</v>
      </c>
      <c r="C7442" t="s">
        <v>10586</v>
      </c>
      <c r="D7442" t="s">
        <v>18782</v>
      </c>
      <c r="E7442" t="s">
        <v>25445</v>
      </c>
      <c r="F7442" t="s">
        <v>32664</v>
      </c>
      <c r="G7442" t="s">
        <v>32675</v>
      </c>
      <c r="H7442" t="s">
        <v>12635</v>
      </c>
      <c r="I7442" t="s">
        <v>6168</v>
      </c>
      <c r="J7442" t="s">
        <v>37377</v>
      </c>
      <c r="K7442" t="s">
        <v>42284</v>
      </c>
      <c r="M7442" t="s">
        <v>43901</v>
      </c>
      <c r="N7442" t="s">
        <v>46569</v>
      </c>
      <c r="O7442" t="s">
        <v>46570</v>
      </c>
      <c r="P7442">
        <v>0</v>
      </c>
      <c r="Q7442">
        <v>0</v>
      </c>
      <c r="R7442" t="s">
        <v>46574</v>
      </c>
      <c r="S7442" t="s">
        <v>46723</v>
      </c>
      <c r="T7442" t="s">
        <v>48599</v>
      </c>
      <c r="U7442" t="s">
        <v>54932</v>
      </c>
      <c r="W7442" t="s">
        <v>43901</v>
      </c>
      <c r="X7442" t="s">
        <v>46577</v>
      </c>
    </row>
    <row r="7443" spans="1:24">
      <c r="A7443">
        <f>HYPERLINK("https://www.philgeps.gov.ph/GEPSNONPILOT/Tender/SplashBidNoticeAbstractUI.aspx?menuIndex=3&amp;refID=7056549&amp;Result=3","7056549")</f>
        <v>0</v>
      </c>
      <c r="B7443" t="s">
        <v>1095</v>
      </c>
      <c r="C7443" t="s">
        <v>6223</v>
      </c>
      <c r="D7443" t="s">
        <v>18798</v>
      </c>
      <c r="E7443" t="s">
        <v>25446</v>
      </c>
      <c r="F7443" t="s">
        <v>32664</v>
      </c>
      <c r="G7443" t="s">
        <v>32671</v>
      </c>
      <c r="H7443" t="s">
        <v>12635</v>
      </c>
      <c r="I7443" t="s">
        <v>6223</v>
      </c>
      <c r="J7443" t="s">
        <v>37378</v>
      </c>
      <c r="K7443" t="s">
        <v>42281</v>
      </c>
      <c r="M7443" t="s">
        <v>42640</v>
      </c>
      <c r="N7443" t="s">
        <v>46569</v>
      </c>
      <c r="O7443" t="s">
        <v>46570</v>
      </c>
      <c r="P7443">
        <v>0</v>
      </c>
      <c r="Q7443">
        <v>0</v>
      </c>
      <c r="R7443" t="s">
        <v>46574</v>
      </c>
      <c r="S7443" t="s">
        <v>46723</v>
      </c>
      <c r="T7443" t="s">
        <v>48448</v>
      </c>
      <c r="U7443" t="s">
        <v>54933</v>
      </c>
      <c r="W7443" t="s">
        <v>42640</v>
      </c>
      <c r="X7443" t="s">
        <v>46577</v>
      </c>
    </row>
    <row r="7444" spans="1:24">
      <c r="A7444">
        <f>HYPERLINK("https://www.philgeps.gov.ph/GEPSNONPILOT/Tender/SplashBidNoticeAbstractUI.aspx?menuIndex=3&amp;refID=7056826&amp;Result=3","7056826")</f>
        <v>0</v>
      </c>
      <c r="B7444" t="s">
        <v>2289</v>
      </c>
      <c r="C7444" t="s">
        <v>10587</v>
      </c>
      <c r="D7444" t="s">
        <v>18837</v>
      </c>
      <c r="E7444" t="s">
        <v>25447</v>
      </c>
      <c r="F7444" t="s">
        <v>32664</v>
      </c>
      <c r="G7444" t="s">
        <v>32672</v>
      </c>
      <c r="H7444" t="s">
        <v>12635</v>
      </c>
      <c r="I7444" t="s">
        <v>11464</v>
      </c>
      <c r="J7444" t="s">
        <v>34148</v>
      </c>
      <c r="K7444" t="s">
        <v>42281</v>
      </c>
      <c r="M7444" t="s">
        <v>45060</v>
      </c>
      <c r="N7444" t="s">
        <v>46569</v>
      </c>
      <c r="O7444" t="s">
        <v>46570</v>
      </c>
      <c r="Q7444">
        <v>9</v>
      </c>
      <c r="R7444" t="s">
        <v>46574</v>
      </c>
      <c r="S7444" t="s">
        <v>46730</v>
      </c>
      <c r="T7444" t="s">
        <v>48274</v>
      </c>
      <c r="U7444" t="s">
        <v>54934</v>
      </c>
      <c r="V7444" t="s">
        <v>62364</v>
      </c>
      <c r="W7444" t="s">
        <v>45060</v>
      </c>
      <c r="X7444" t="s">
        <v>46577</v>
      </c>
    </row>
    <row r="7445" spans="1:24">
      <c r="A7445">
        <f>HYPERLINK("https://www.philgeps.gov.ph/GEPSNONPILOT/Tender/SplashBidNoticeAbstractUI.aspx?menuIndex=3&amp;refID=7056822&amp;Result=3","7056822")</f>
        <v>0</v>
      </c>
      <c r="B7445" t="s">
        <v>2290</v>
      </c>
      <c r="C7445" t="s">
        <v>10588</v>
      </c>
      <c r="D7445" t="s">
        <v>18826</v>
      </c>
      <c r="E7445" t="s">
        <v>25448</v>
      </c>
      <c r="F7445" t="s">
        <v>32664</v>
      </c>
      <c r="G7445" t="s">
        <v>32672</v>
      </c>
      <c r="H7445" t="s">
        <v>32683</v>
      </c>
      <c r="I7445" t="s">
        <v>10627</v>
      </c>
      <c r="J7445" t="s">
        <v>32943</v>
      </c>
      <c r="K7445" t="s">
        <v>42411</v>
      </c>
      <c r="M7445" t="s">
        <v>45061</v>
      </c>
      <c r="N7445" t="s">
        <v>46569</v>
      </c>
      <c r="O7445" t="s">
        <v>46570</v>
      </c>
      <c r="P7445">
        <v>0</v>
      </c>
      <c r="Q7445">
        <v>8</v>
      </c>
      <c r="R7445" t="s">
        <v>46574</v>
      </c>
      <c r="S7445" t="s">
        <v>46723</v>
      </c>
      <c r="T7445" t="s">
        <v>48216</v>
      </c>
      <c r="U7445" t="s">
        <v>54935</v>
      </c>
      <c r="W7445" t="s">
        <v>45061</v>
      </c>
      <c r="X7445" t="s">
        <v>46577</v>
      </c>
    </row>
    <row r="7446" spans="1:24">
      <c r="A7446">
        <f>HYPERLINK("https://www.philgeps.gov.ph/GEPSNONPILOT/Tender/SplashBidNoticeAbstractUI.aspx?menuIndex=3&amp;refID=7056796&amp;Result=3","7056796")</f>
        <v>0</v>
      </c>
      <c r="B7446" t="s">
        <v>500</v>
      </c>
      <c r="C7446" t="s">
        <v>10589</v>
      </c>
      <c r="D7446" t="s">
        <v>18805</v>
      </c>
      <c r="E7446" t="s">
        <v>23254</v>
      </c>
      <c r="F7446" t="s">
        <v>32664</v>
      </c>
      <c r="G7446" t="s">
        <v>32672</v>
      </c>
      <c r="H7446" t="s">
        <v>32683</v>
      </c>
      <c r="I7446" t="s">
        <v>10627</v>
      </c>
      <c r="J7446" t="s">
        <v>33051</v>
      </c>
      <c r="K7446" t="s">
        <v>42283</v>
      </c>
      <c r="M7446" t="s">
        <v>44383</v>
      </c>
      <c r="N7446" t="s">
        <v>46569</v>
      </c>
      <c r="O7446" t="s">
        <v>46570</v>
      </c>
      <c r="P7446">
        <v>0</v>
      </c>
      <c r="Q7446">
        <v>0</v>
      </c>
      <c r="R7446" t="s">
        <v>46574</v>
      </c>
      <c r="S7446" t="s">
        <v>46723</v>
      </c>
      <c r="T7446" t="s">
        <v>48221</v>
      </c>
      <c r="U7446" t="s">
        <v>52807</v>
      </c>
      <c r="W7446" t="s">
        <v>44383</v>
      </c>
      <c r="X7446" t="s">
        <v>46577</v>
      </c>
    </row>
    <row r="7447" spans="1:24">
      <c r="A7447">
        <f>HYPERLINK("https://www.philgeps.gov.ph/GEPSNONPILOT/Tender/SplashBidNoticeAbstractUI.aspx?menuIndex=3&amp;refID=7056848&amp;Result=3","7056848")</f>
        <v>0</v>
      </c>
      <c r="B7447" t="s">
        <v>102</v>
      </c>
      <c r="C7447" t="s">
        <v>10590</v>
      </c>
      <c r="D7447" t="s">
        <v>18788</v>
      </c>
      <c r="E7447" t="s">
        <v>25449</v>
      </c>
      <c r="F7447" t="s">
        <v>32664</v>
      </c>
      <c r="G7447" t="s">
        <v>32671</v>
      </c>
      <c r="H7447" t="s">
        <v>12635</v>
      </c>
      <c r="I7447" t="s">
        <v>32685</v>
      </c>
      <c r="J7447" t="s">
        <v>33359</v>
      </c>
      <c r="K7447" t="s">
        <v>42284</v>
      </c>
      <c r="M7447" t="s">
        <v>42666</v>
      </c>
      <c r="N7447" t="s">
        <v>46569</v>
      </c>
      <c r="O7447" t="s">
        <v>46570</v>
      </c>
      <c r="P7447">
        <v>0</v>
      </c>
      <c r="Q7447">
        <v>0</v>
      </c>
      <c r="R7447" t="s">
        <v>46574</v>
      </c>
      <c r="S7447" t="s">
        <v>46723</v>
      </c>
      <c r="T7447" t="s">
        <v>48283</v>
      </c>
      <c r="U7447" t="s">
        <v>54936</v>
      </c>
      <c r="W7447" t="s">
        <v>42666</v>
      </c>
      <c r="X7447" t="s">
        <v>46577</v>
      </c>
    </row>
    <row r="7448" spans="1:24">
      <c r="A7448">
        <f>HYPERLINK("https://www.philgeps.gov.ph/GEPSNONPILOT/Tender/SplashBidNoticeAbstractUI.aspx?menuIndex=3&amp;refID=7056639&amp;Result=3","7056639")</f>
        <v>0</v>
      </c>
      <c r="B7448" t="s">
        <v>69</v>
      </c>
      <c r="C7448" t="s">
        <v>10591</v>
      </c>
      <c r="D7448" t="s">
        <v>18784</v>
      </c>
      <c r="E7448" t="s">
        <v>25450</v>
      </c>
      <c r="F7448" t="s">
        <v>32664</v>
      </c>
      <c r="G7448" t="s">
        <v>32671</v>
      </c>
      <c r="H7448" t="s">
        <v>12635</v>
      </c>
      <c r="I7448" t="s">
        <v>32728</v>
      </c>
      <c r="J7448" t="s">
        <v>37379</v>
      </c>
      <c r="K7448" t="s">
        <v>42296</v>
      </c>
      <c r="M7448" t="s">
        <v>43455</v>
      </c>
      <c r="N7448" t="s">
        <v>46569</v>
      </c>
      <c r="O7448" t="s">
        <v>46570</v>
      </c>
      <c r="P7448">
        <v>0</v>
      </c>
      <c r="Q7448">
        <v>5</v>
      </c>
      <c r="R7448" t="s">
        <v>46574</v>
      </c>
      <c r="S7448" t="s">
        <v>46723</v>
      </c>
      <c r="T7448" t="s">
        <v>48420</v>
      </c>
      <c r="U7448" t="s">
        <v>54915</v>
      </c>
      <c r="W7448" t="s">
        <v>43455</v>
      </c>
      <c r="X7448" t="s">
        <v>46577</v>
      </c>
    </row>
    <row r="7449" spans="1:24">
      <c r="A7449">
        <f>HYPERLINK("https://www.philgeps.gov.ph/GEPSNONPILOT/Tender/SplashBidNoticeAbstractUI.aspx?menuIndex=3&amp;refID=7056846&amp;Result=3","7056846")</f>
        <v>0</v>
      </c>
      <c r="B7449" t="s">
        <v>2291</v>
      </c>
      <c r="C7449" t="s">
        <v>10592</v>
      </c>
      <c r="D7449" t="s">
        <v>18798</v>
      </c>
      <c r="E7449" t="s">
        <v>25451</v>
      </c>
      <c r="F7449" t="s">
        <v>32664</v>
      </c>
      <c r="G7449" t="s">
        <v>32672</v>
      </c>
      <c r="H7449" t="s">
        <v>32683</v>
      </c>
      <c r="I7449" t="s">
        <v>10627</v>
      </c>
      <c r="J7449" t="s">
        <v>37380</v>
      </c>
      <c r="K7449" t="s">
        <v>42311</v>
      </c>
      <c r="M7449" t="s">
        <v>45062</v>
      </c>
      <c r="N7449" t="s">
        <v>46569</v>
      </c>
      <c r="O7449" t="s">
        <v>46570</v>
      </c>
      <c r="P7449">
        <v>0</v>
      </c>
      <c r="Q7449">
        <v>3</v>
      </c>
      <c r="R7449" t="s">
        <v>46574</v>
      </c>
      <c r="S7449" t="s">
        <v>46723</v>
      </c>
      <c r="T7449" t="s">
        <v>48308</v>
      </c>
      <c r="U7449" t="s">
        <v>54937</v>
      </c>
      <c r="V7449" t="s">
        <v>62365</v>
      </c>
      <c r="W7449" t="s">
        <v>45062</v>
      </c>
      <c r="X7449" t="s">
        <v>46577</v>
      </c>
    </row>
    <row r="7450" spans="1:24">
      <c r="A7450">
        <f>HYPERLINK("https://www.philgeps.gov.ph/GEPSNONPILOT/Tender/SplashBidNoticeAbstractUI.aspx?menuIndex=3&amp;refID=7056783&amp;Result=3","7056783")</f>
        <v>0</v>
      </c>
      <c r="B7450" t="s">
        <v>231</v>
      </c>
      <c r="C7450" t="s">
        <v>10593</v>
      </c>
      <c r="D7450" t="s">
        <v>18862</v>
      </c>
      <c r="E7450" t="s">
        <v>25452</v>
      </c>
      <c r="F7450" t="s">
        <v>32664</v>
      </c>
      <c r="G7450" t="s">
        <v>32672</v>
      </c>
      <c r="H7450" t="s">
        <v>32683</v>
      </c>
      <c r="I7450" t="s">
        <v>10627</v>
      </c>
      <c r="J7450" t="s">
        <v>37381</v>
      </c>
      <c r="K7450" t="s">
        <v>42298</v>
      </c>
      <c r="M7450" t="s">
        <v>43225</v>
      </c>
      <c r="N7450" t="s">
        <v>46569</v>
      </c>
      <c r="O7450" t="s">
        <v>46570</v>
      </c>
      <c r="P7450">
        <v>0</v>
      </c>
      <c r="Q7450">
        <v>1</v>
      </c>
      <c r="R7450" t="s">
        <v>46574</v>
      </c>
      <c r="S7450" t="s">
        <v>46723</v>
      </c>
      <c r="T7450" t="s">
        <v>48347</v>
      </c>
      <c r="U7450" t="s">
        <v>54938</v>
      </c>
      <c r="W7450" t="s">
        <v>43225</v>
      </c>
      <c r="X7450" t="s">
        <v>46577</v>
      </c>
    </row>
    <row r="7451" spans="1:24">
      <c r="A7451">
        <f>HYPERLINK("https://www.philgeps.gov.ph/GEPSNONPILOT/Tender/SplashBidNoticeAbstractUI.aspx?menuIndex=3&amp;refID=7056779&amp;Result=3","7056779")</f>
        <v>0</v>
      </c>
      <c r="B7451" t="s">
        <v>2291</v>
      </c>
      <c r="C7451" t="s">
        <v>10594</v>
      </c>
      <c r="D7451" t="s">
        <v>18798</v>
      </c>
      <c r="E7451" t="s">
        <v>25453</v>
      </c>
      <c r="F7451" t="s">
        <v>32664</v>
      </c>
      <c r="G7451" t="s">
        <v>32672</v>
      </c>
      <c r="H7451" t="s">
        <v>32683</v>
      </c>
      <c r="I7451" t="s">
        <v>10627</v>
      </c>
      <c r="J7451" t="s">
        <v>37382</v>
      </c>
      <c r="K7451" t="s">
        <v>42326</v>
      </c>
      <c r="M7451" t="s">
        <v>45062</v>
      </c>
      <c r="N7451" t="s">
        <v>46569</v>
      </c>
      <c r="O7451" t="s">
        <v>46570</v>
      </c>
      <c r="P7451">
        <v>0</v>
      </c>
      <c r="Q7451">
        <v>3</v>
      </c>
      <c r="R7451" t="s">
        <v>46574</v>
      </c>
      <c r="S7451" t="s">
        <v>46723</v>
      </c>
      <c r="T7451" t="s">
        <v>48308</v>
      </c>
      <c r="U7451" t="s">
        <v>54939</v>
      </c>
      <c r="V7451" t="s">
        <v>62365</v>
      </c>
      <c r="W7451" t="s">
        <v>45062</v>
      </c>
      <c r="X7451" t="s">
        <v>46577</v>
      </c>
    </row>
    <row r="7452" spans="1:24">
      <c r="A7452">
        <f>HYPERLINK("https://www.philgeps.gov.ph/GEPSNONPILOT/Tender/SplashBidNoticeAbstractUI.aspx?menuIndex=3&amp;refID=7056804&amp;Result=3","7056804")</f>
        <v>0</v>
      </c>
      <c r="B7452" t="s">
        <v>2280</v>
      </c>
      <c r="C7452" t="s">
        <v>10595</v>
      </c>
      <c r="D7452" t="s">
        <v>18812</v>
      </c>
      <c r="E7452" t="s">
        <v>25454</v>
      </c>
      <c r="F7452" t="s">
        <v>32664</v>
      </c>
      <c r="G7452" t="s">
        <v>32671</v>
      </c>
      <c r="H7452" t="s">
        <v>12635</v>
      </c>
      <c r="I7452" t="s">
        <v>4439</v>
      </c>
      <c r="J7452" t="s">
        <v>37383</v>
      </c>
      <c r="K7452" t="s">
        <v>42303</v>
      </c>
      <c r="M7452" t="s">
        <v>45047</v>
      </c>
      <c r="N7452" t="s">
        <v>46569</v>
      </c>
      <c r="O7452" t="s">
        <v>46570</v>
      </c>
      <c r="P7452">
        <v>0</v>
      </c>
      <c r="Q7452">
        <v>0</v>
      </c>
      <c r="R7452" t="s">
        <v>46574</v>
      </c>
      <c r="S7452" t="s">
        <v>46723</v>
      </c>
      <c r="T7452" t="s">
        <v>48246</v>
      </c>
      <c r="U7452" t="s">
        <v>54940</v>
      </c>
      <c r="W7452" t="s">
        <v>45047</v>
      </c>
      <c r="X7452" t="s">
        <v>46577</v>
      </c>
    </row>
    <row r="7453" spans="1:24">
      <c r="A7453">
        <f>HYPERLINK("https://www.philgeps.gov.ph/GEPSNONPILOT/Tender/SplashBidNoticeAbstractUI.aspx?menuIndex=3&amp;refID=7056868&amp;Result=3","7056868")</f>
        <v>0</v>
      </c>
      <c r="B7453" t="s">
        <v>2292</v>
      </c>
      <c r="C7453" t="s">
        <v>10596</v>
      </c>
      <c r="D7453" t="s">
        <v>18789</v>
      </c>
      <c r="E7453" t="s">
        <v>19615</v>
      </c>
      <c r="F7453" t="s">
        <v>32664</v>
      </c>
      <c r="G7453" t="s">
        <v>32672</v>
      </c>
      <c r="H7453" t="s">
        <v>32683</v>
      </c>
      <c r="I7453" t="s">
        <v>4439</v>
      </c>
      <c r="J7453" t="s">
        <v>37384</v>
      </c>
      <c r="K7453" t="s">
        <v>42311</v>
      </c>
      <c r="M7453" t="s">
        <v>45063</v>
      </c>
      <c r="N7453" t="s">
        <v>46569</v>
      </c>
      <c r="O7453" t="s">
        <v>46570</v>
      </c>
      <c r="P7453">
        <v>0</v>
      </c>
      <c r="Q7453">
        <v>1</v>
      </c>
      <c r="R7453" t="s">
        <v>46574</v>
      </c>
      <c r="S7453" t="s">
        <v>46723</v>
      </c>
      <c r="T7453" t="s">
        <v>48270</v>
      </c>
      <c r="U7453" t="s">
        <v>54941</v>
      </c>
      <c r="V7453" t="s">
        <v>62366</v>
      </c>
      <c r="W7453" t="s">
        <v>45063</v>
      </c>
      <c r="X7453" t="s">
        <v>46577</v>
      </c>
    </row>
    <row r="7454" spans="1:24">
      <c r="A7454">
        <f>HYPERLINK("https://www.philgeps.gov.ph/GEPSNONPILOT/Tender/SplashBidNoticeAbstractUI.aspx?menuIndex=3&amp;refID=7056799&amp;Result=3","7056799")</f>
        <v>0</v>
      </c>
      <c r="B7454" t="s">
        <v>2293</v>
      </c>
      <c r="C7454" t="s">
        <v>10597</v>
      </c>
      <c r="D7454" t="s">
        <v>18802</v>
      </c>
      <c r="E7454" t="s">
        <v>25455</v>
      </c>
      <c r="F7454" t="s">
        <v>32664</v>
      </c>
      <c r="G7454" t="s">
        <v>32671</v>
      </c>
      <c r="H7454" t="s">
        <v>12635</v>
      </c>
      <c r="I7454" t="s">
        <v>4439</v>
      </c>
      <c r="J7454" t="s">
        <v>37385</v>
      </c>
      <c r="K7454" t="s">
        <v>42284</v>
      </c>
      <c r="M7454" t="s">
        <v>45064</v>
      </c>
      <c r="N7454" t="s">
        <v>46569</v>
      </c>
      <c r="O7454" t="s">
        <v>46570</v>
      </c>
      <c r="P7454">
        <v>0</v>
      </c>
      <c r="Q7454">
        <v>0</v>
      </c>
      <c r="R7454" t="s">
        <v>46574</v>
      </c>
      <c r="S7454" t="s">
        <v>46723</v>
      </c>
      <c r="T7454" t="s">
        <v>48578</v>
      </c>
      <c r="U7454" t="s">
        <v>54942</v>
      </c>
      <c r="W7454" t="s">
        <v>45064</v>
      </c>
      <c r="X7454" t="s">
        <v>46577</v>
      </c>
    </row>
    <row r="7455" spans="1:24">
      <c r="A7455">
        <f>HYPERLINK("https://www.philgeps.gov.ph/GEPSNONPILOT/Tender/SplashBidNoticeAbstractUI.aspx?menuIndex=3&amp;refID=7056719&amp;Result=3","7056719")</f>
        <v>0</v>
      </c>
      <c r="B7455" t="s">
        <v>2294</v>
      </c>
      <c r="C7455" t="s">
        <v>10598</v>
      </c>
      <c r="D7455" t="s">
        <v>18834</v>
      </c>
      <c r="E7455" t="s">
        <v>19827</v>
      </c>
      <c r="F7455" t="s">
        <v>32664</v>
      </c>
      <c r="G7455" t="s">
        <v>32672</v>
      </c>
      <c r="H7455" t="s">
        <v>32683</v>
      </c>
      <c r="I7455" t="s">
        <v>32723</v>
      </c>
      <c r="J7455" t="s">
        <v>37386</v>
      </c>
      <c r="K7455" t="s">
        <v>42369</v>
      </c>
      <c r="M7455" t="s">
        <v>45065</v>
      </c>
      <c r="N7455" t="s">
        <v>46569</v>
      </c>
      <c r="O7455" t="s">
        <v>46570</v>
      </c>
      <c r="P7455">
        <v>0</v>
      </c>
      <c r="Q7455">
        <v>1</v>
      </c>
      <c r="R7455" t="s">
        <v>46574</v>
      </c>
      <c r="S7455" t="s">
        <v>46723</v>
      </c>
      <c r="T7455" t="s">
        <v>48312</v>
      </c>
      <c r="U7455" t="s">
        <v>54943</v>
      </c>
      <c r="W7455" t="s">
        <v>45065</v>
      </c>
      <c r="X7455" t="s">
        <v>46577</v>
      </c>
    </row>
    <row r="7456" spans="1:24">
      <c r="A7456">
        <f>HYPERLINK("https://www.philgeps.gov.ph/GEPSNONPILOT/Tender/SplashBidNoticeAbstractUI.aspx?menuIndex=3&amp;refID=7056703&amp;Result=3","7056703")</f>
        <v>0</v>
      </c>
      <c r="B7456" t="s">
        <v>1259</v>
      </c>
      <c r="C7456" t="s">
        <v>10599</v>
      </c>
      <c r="D7456" t="s">
        <v>18782</v>
      </c>
      <c r="E7456" t="s">
        <v>25456</v>
      </c>
      <c r="F7456" t="s">
        <v>32664</v>
      </c>
      <c r="G7456" t="s">
        <v>32671</v>
      </c>
      <c r="H7456" t="s">
        <v>12635</v>
      </c>
      <c r="I7456" t="s">
        <v>4439</v>
      </c>
      <c r="J7456" t="s">
        <v>32859</v>
      </c>
      <c r="K7456" t="s">
        <v>42284</v>
      </c>
      <c r="M7456" t="s">
        <v>43901</v>
      </c>
      <c r="N7456" t="s">
        <v>46569</v>
      </c>
      <c r="O7456" t="s">
        <v>46570</v>
      </c>
      <c r="P7456">
        <v>0</v>
      </c>
      <c r="Q7456">
        <v>0</v>
      </c>
      <c r="R7456" t="s">
        <v>46574</v>
      </c>
      <c r="S7456" t="s">
        <v>46723</v>
      </c>
      <c r="T7456" t="s">
        <v>48448</v>
      </c>
      <c r="U7456" t="s">
        <v>54944</v>
      </c>
      <c r="W7456" t="s">
        <v>43901</v>
      </c>
      <c r="X7456" t="s">
        <v>46577</v>
      </c>
    </row>
    <row r="7457" spans="1:24">
      <c r="A7457">
        <f>HYPERLINK("https://www.philgeps.gov.ph/GEPSNONPILOT/Tender/SplashBidNoticeAbstractUI.aspx?menuIndex=3&amp;refID=7056581&amp;Result=3","7056581")</f>
        <v>0</v>
      </c>
      <c r="B7457" t="s">
        <v>1095</v>
      </c>
      <c r="C7457" t="s">
        <v>6223</v>
      </c>
      <c r="D7457" t="s">
        <v>18798</v>
      </c>
      <c r="E7457" t="s">
        <v>25457</v>
      </c>
      <c r="F7457" t="s">
        <v>32664</v>
      </c>
      <c r="G7457" t="s">
        <v>32671</v>
      </c>
      <c r="H7457" t="s">
        <v>12635</v>
      </c>
      <c r="I7457" t="s">
        <v>6223</v>
      </c>
      <c r="J7457" t="s">
        <v>33320</v>
      </c>
      <c r="K7457" t="s">
        <v>42281</v>
      </c>
      <c r="M7457" t="s">
        <v>42640</v>
      </c>
      <c r="N7457" t="s">
        <v>46569</v>
      </c>
      <c r="O7457" t="s">
        <v>46570</v>
      </c>
      <c r="P7457">
        <v>0</v>
      </c>
      <c r="Q7457">
        <v>0</v>
      </c>
      <c r="R7457" t="s">
        <v>46574</v>
      </c>
      <c r="S7457" t="s">
        <v>46723</v>
      </c>
      <c r="T7457" t="s">
        <v>48449</v>
      </c>
      <c r="U7457" t="s">
        <v>54945</v>
      </c>
      <c r="W7457" t="s">
        <v>42640</v>
      </c>
      <c r="X7457" t="s">
        <v>46577</v>
      </c>
    </row>
    <row r="7458" spans="1:24">
      <c r="A7458">
        <f>HYPERLINK("https://www.philgeps.gov.ph/GEPSNONPILOT/Tender/SplashBidNoticeAbstractUI.aspx?menuIndex=3&amp;refID=7056579&amp;Result=3","7056579")</f>
        <v>0</v>
      </c>
      <c r="B7458" t="s">
        <v>1259</v>
      </c>
      <c r="C7458" t="s">
        <v>10579</v>
      </c>
      <c r="D7458" t="s">
        <v>18782</v>
      </c>
      <c r="E7458" t="s">
        <v>25458</v>
      </c>
      <c r="F7458" t="s">
        <v>32664</v>
      </c>
      <c r="G7458" t="s">
        <v>32671</v>
      </c>
      <c r="H7458" t="s">
        <v>12635</v>
      </c>
      <c r="I7458" t="s">
        <v>4439</v>
      </c>
      <c r="J7458" t="s">
        <v>33051</v>
      </c>
      <c r="K7458" t="s">
        <v>42284</v>
      </c>
      <c r="M7458" t="s">
        <v>43901</v>
      </c>
      <c r="N7458" t="s">
        <v>46569</v>
      </c>
      <c r="O7458" t="s">
        <v>46570</v>
      </c>
      <c r="P7458">
        <v>0</v>
      </c>
      <c r="Q7458">
        <v>0</v>
      </c>
      <c r="R7458" t="s">
        <v>46574</v>
      </c>
      <c r="S7458" t="s">
        <v>46723</v>
      </c>
      <c r="T7458" t="s">
        <v>48600</v>
      </c>
      <c r="U7458" t="s">
        <v>54946</v>
      </c>
      <c r="W7458" t="s">
        <v>43901</v>
      </c>
      <c r="X7458" t="s">
        <v>46577</v>
      </c>
    </row>
    <row r="7459" spans="1:24">
      <c r="A7459">
        <f>HYPERLINK("https://www.philgeps.gov.ph/GEPSNONPILOT/Tender/SplashBidNoticeAbstractUI.aspx?menuIndex=3&amp;refID=7056567&amp;Result=3","7056567")</f>
        <v>0</v>
      </c>
      <c r="B7459" t="s">
        <v>1755</v>
      </c>
      <c r="C7459" t="s">
        <v>10600</v>
      </c>
      <c r="D7459" t="s">
        <v>18784</v>
      </c>
      <c r="E7459" t="s">
        <v>25459</v>
      </c>
      <c r="F7459" t="s">
        <v>32664</v>
      </c>
      <c r="G7459" t="s">
        <v>32671</v>
      </c>
      <c r="H7459" t="s">
        <v>12635</v>
      </c>
      <c r="I7459" t="s">
        <v>32689</v>
      </c>
      <c r="J7459" t="s">
        <v>33657</v>
      </c>
      <c r="K7459" t="s">
        <v>42283</v>
      </c>
      <c r="M7459" t="s">
        <v>44455</v>
      </c>
      <c r="N7459" t="s">
        <v>46569</v>
      </c>
      <c r="O7459" t="s">
        <v>46570</v>
      </c>
      <c r="P7459">
        <v>0</v>
      </c>
      <c r="Q7459">
        <v>14</v>
      </c>
      <c r="R7459" t="s">
        <v>46574</v>
      </c>
      <c r="S7459" t="s">
        <v>46723</v>
      </c>
      <c r="T7459" t="s">
        <v>48551</v>
      </c>
      <c r="U7459" t="s">
        <v>54947</v>
      </c>
      <c r="W7459" t="s">
        <v>44455</v>
      </c>
      <c r="X7459" t="s">
        <v>46577</v>
      </c>
    </row>
    <row r="7460" spans="1:24">
      <c r="A7460">
        <f>HYPERLINK("https://www.philgeps.gov.ph/GEPSNONPILOT/Tender/SplashBidNoticeAbstractUI.aspx?menuIndex=3&amp;refID=7056456&amp;Result=3","7056456")</f>
        <v>0</v>
      </c>
      <c r="B7460" t="s">
        <v>2266</v>
      </c>
      <c r="C7460" t="s">
        <v>10601</v>
      </c>
      <c r="D7460" t="s">
        <v>18823</v>
      </c>
      <c r="E7460" t="s">
        <v>19010</v>
      </c>
      <c r="F7460" t="s">
        <v>32664</v>
      </c>
      <c r="G7460" t="s">
        <v>32672</v>
      </c>
      <c r="H7460" t="s">
        <v>12635</v>
      </c>
      <c r="I7460" t="s">
        <v>6223</v>
      </c>
      <c r="J7460" t="s">
        <v>37387</v>
      </c>
      <c r="K7460" t="s">
        <v>42281</v>
      </c>
      <c r="M7460" t="s">
        <v>45032</v>
      </c>
      <c r="N7460" t="s">
        <v>46569</v>
      </c>
      <c r="O7460" t="s">
        <v>46570</v>
      </c>
      <c r="P7460">
        <v>0</v>
      </c>
      <c r="Q7460">
        <v>2</v>
      </c>
      <c r="R7460" t="s">
        <v>46574</v>
      </c>
      <c r="S7460" t="s">
        <v>46723</v>
      </c>
      <c r="T7460" t="s">
        <v>48283</v>
      </c>
      <c r="U7460" t="s">
        <v>54031</v>
      </c>
      <c r="W7460" t="s">
        <v>45032</v>
      </c>
      <c r="X7460" t="s">
        <v>46577</v>
      </c>
    </row>
    <row r="7461" spans="1:24">
      <c r="A7461">
        <f>HYPERLINK("https://www.philgeps.gov.ph/GEPSNONPILOT/Tender/SplashBidNoticeAbstractUI.aspx?menuIndex=3&amp;refID=7056757&amp;Result=3","7056757")</f>
        <v>0</v>
      </c>
      <c r="B7461" t="s">
        <v>1770</v>
      </c>
      <c r="C7461" t="s">
        <v>10602</v>
      </c>
      <c r="D7461" t="s">
        <v>18848</v>
      </c>
      <c r="E7461" t="s">
        <v>25460</v>
      </c>
      <c r="F7461" t="s">
        <v>32664</v>
      </c>
      <c r="G7461" t="s">
        <v>32672</v>
      </c>
      <c r="H7461" t="s">
        <v>32683</v>
      </c>
      <c r="I7461" t="s">
        <v>10627</v>
      </c>
      <c r="J7461" t="s">
        <v>37388</v>
      </c>
      <c r="K7461" t="s">
        <v>42460</v>
      </c>
      <c r="M7461" t="s">
        <v>44472</v>
      </c>
      <c r="N7461" t="s">
        <v>46569</v>
      </c>
      <c r="O7461" t="s">
        <v>46570</v>
      </c>
      <c r="P7461">
        <v>0</v>
      </c>
      <c r="Q7461">
        <v>0</v>
      </c>
      <c r="R7461" t="s">
        <v>46574</v>
      </c>
      <c r="S7461" t="s">
        <v>46723</v>
      </c>
      <c r="T7461" t="s">
        <v>48506</v>
      </c>
      <c r="U7461" t="s">
        <v>54948</v>
      </c>
      <c r="W7461" t="s">
        <v>63533</v>
      </c>
      <c r="X7461" t="s">
        <v>46577</v>
      </c>
    </row>
    <row r="7462" spans="1:24">
      <c r="A7462">
        <f>HYPERLINK("https://www.philgeps.gov.ph/GEPSNONPILOT/Tender/SplashBidNoticeAbstractUI.aspx?menuIndex=3&amp;refID=7056712&amp;Result=3","7056712")</f>
        <v>0</v>
      </c>
      <c r="B7462" t="s">
        <v>2295</v>
      </c>
      <c r="C7462" t="s">
        <v>10603</v>
      </c>
      <c r="D7462" t="s">
        <v>18814</v>
      </c>
      <c r="E7462" t="s">
        <v>25461</v>
      </c>
      <c r="F7462" t="s">
        <v>32664</v>
      </c>
      <c r="G7462" t="s">
        <v>32675</v>
      </c>
      <c r="H7462" t="s">
        <v>32682</v>
      </c>
      <c r="I7462" t="s">
        <v>6628</v>
      </c>
      <c r="J7462" t="s">
        <v>33893</v>
      </c>
      <c r="K7462" t="s">
        <v>42284</v>
      </c>
      <c r="M7462" t="s">
        <v>45066</v>
      </c>
      <c r="N7462" t="s">
        <v>46569</v>
      </c>
      <c r="O7462" t="s">
        <v>46570</v>
      </c>
      <c r="P7462">
        <v>0</v>
      </c>
      <c r="Q7462">
        <v>0</v>
      </c>
      <c r="R7462" t="s">
        <v>46574</v>
      </c>
      <c r="S7462" t="s">
        <v>46723</v>
      </c>
      <c r="T7462" t="s">
        <v>48254</v>
      </c>
      <c r="U7462" t="s">
        <v>54949</v>
      </c>
      <c r="W7462" t="s">
        <v>45066</v>
      </c>
      <c r="X7462" t="s">
        <v>46577</v>
      </c>
    </row>
    <row r="7463" spans="1:24">
      <c r="A7463">
        <f>HYPERLINK("https://www.philgeps.gov.ph/GEPSNONPILOT/Tender/SplashBidNoticeAbstractUI.aspx?menuIndex=3&amp;refID=7057057&amp;Result=3","7057057")</f>
        <v>0</v>
      </c>
      <c r="B7463" t="s">
        <v>1540</v>
      </c>
      <c r="C7463" t="s">
        <v>10604</v>
      </c>
      <c r="D7463" t="s">
        <v>18838</v>
      </c>
      <c r="E7463" t="s">
        <v>25462</v>
      </c>
      <c r="F7463" t="s">
        <v>32664</v>
      </c>
      <c r="G7463" t="s">
        <v>32671</v>
      </c>
      <c r="H7463" t="s">
        <v>12635</v>
      </c>
      <c r="I7463" t="s">
        <v>6553</v>
      </c>
      <c r="J7463" t="s">
        <v>33051</v>
      </c>
      <c r="K7463" t="s">
        <v>42283</v>
      </c>
      <c r="M7463" t="s">
        <v>44209</v>
      </c>
      <c r="N7463" t="s">
        <v>46569</v>
      </c>
      <c r="O7463" t="s">
        <v>46570</v>
      </c>
      <c r="P7463">
        <v>0</v>
      </c>
      <c r="Q7463">
        <v>0</v>
      </c>
      <c r="R7463" t="s">
        <v>46574</v>
      </c>
      <c r="S7463" t="s">
        <v>46723</v>
      </c>
      <c r="T7463" t="s">
        <v>48256</v>
      </c>
      <c r="U7463" t="s">
        <v>54950</v>
      </c>
      <c r="W7463" t="s">
        <v>44209</v>
      </c>
      <c r="X7463" t="s">
        <v>46577</v>
      </c>
    </row>
    <row r="7464" spans="1:24">
      <c r="A7464">
        <f>HYPERLINK("https://www.philgeps.gov.ph/GEPSNONPILOT/Tender/SplashBidNoticeAbstractUI.aspx?menuIndex=3&amp;refID=7056728&amp;Result=3","7056728")</f>
        <v>0</v>
      </c>
      <c r="B7464" t="s">
        <v>2293</v>
      </c>
      <c r="C7464" t="s">
        <v>10605</v>
      </c>
      <c r="D7464" t="s">
        <v>18802</v>
      </c>
      <c r="E7464" t="s">
        <v>25463</v>
      </c>
      <c r="F7464" t="s">
        <v>32664</v>
      </c>
      <c r="G7464" t="s">
        <v>32671</v>
      </c>
      <c r="H7464" t="s">
        <v>12635</v>
      </c>
      <c r="I7464" t="s">
        <v>8797</v>
      </c>
      <c r="J7464" t="s">
        <v>37389</v>
      </c>
      <c r="K7464" t="s">
        <v>42284</v>
      </c>
      <c r="M7464" t="s">
        <v>45064</v>
      </c>
      <c r="N7464" t="s">
        <v>46569</v>
      </c>
      <c r="O7464" t="s">
        <v>46570</v>
      </c>
      <c r="P7464">
        <v>0</v>
      </c>
      <c r="Q7464">
        <v>4</v>
      </c>
      <c r="R7464" t="s">
        <v>46574</v>
      </c>
      <c r="S7464" t="s">
        <v>46723</v>
      </c>
      <c r="T7464" t="s">
        <v>48578</v>
      </c>
      <c r="U7464" t="s">
        <v>54942</v>
      </c>
      <c r="W7464" t="s">
        <v>45064</v>
      </c>
      <c r="X7464" t="s">
        <v>46577</v>
      </c>
    </row>
    <row r="7465" spans="1:24">
      <c r="A7465">
        <f>HYPERLINK("https://www.philgeps.gov.ph/GEPSNONPILOT/Tender/SplashBidNoticeAbstractUI.aspx?menuIndex=3&amp;refID=7057009&amp;Result=3","7057009")</f>
        <v>0</v>
      </c>
      <c r="B7465" t="s">
        <v>2296</v>
      </c>
      <c r="C7465" t="s">
        <v>10606</v>
      </c>
      <c r="D7465" t="s">
        <v>18801</v>
      </c>
      <c r="E7465" t="s">
        <v>25464</v>
      </c>
      <c r="F7465" t="s">
        <v>32664</v>
      </c>
      <c r="G7465" t="s">
        <v>32677</v>
      </c>
      <c r="H7465" t="s">
        <v>12635</v>
      </c>
      <c r="I7465" t="s">
        <v>13883</v>
      </c>
      <c r="J7465" t="s">
        <v>37390</v>
      </c>
      <c r="K7465" t="s">
        <v>42281</v>
      </c>
      <c r="M7465" t="s">
        <v>45067</v>
      </c>
      <c r="N7465" t="s">
        <v>46569</v>
      </c>
      <c r="O7465" t="s">
        <v>46570</v>
      </c>
      <c r="P7465">
        <v>0</v>
      </c>
      <c r="Q7465">
        <v>15</v>
      </c>
      <c r="R7465" t="s">
        <v>46574</v>
      </c>
      <c r="S7465" t="s">
        <v>46723</v>
      </c>
      <c r="T7465" t="s">
        <v>48217</v>
      </c>
      <c r="U7465" t="s">
        <v>54951</v>
      </c>
      <c r="W7465" t="s">
        <v>45067</v>
      </c>
      <c r="X7465" t="s">
        <v>46577</v>
      </c>
    </row>
    <row r="7466" spans="1:24">
      <c r="A7466">
        <f>HYPERLINK("https://www.philgeps.gov.ph/GEPSNONPILOT/Tender/SplashBidNoticeAbstractUI.aspx?menuIndex=3&amp;refID=7057008&amp;Result=3","7057008")</f>
        <v>0</v>
      </c>
      <c r="B7466" t="s">
        <v>2293</v>
      </c>
      <c r="C7466" t="s">
        <v>10607</v>
      </c>
      <c r="D7466" t="s">
        <v>18802</v>
      </c>
      <c r="E7466" t="s">
        <v>25262</v>
      </c>
      <c r="F7466" t="s">
        <v>32664</v>
      </c>
      <c r="G7466" t="s">
        <v>32672</v>
      </c>
      <c r="H7466" t="s">
        <v>12635</v>
      </c>
      <c r="I7466" t="s">
        <v>32696</v>
      </c>
      <c r="J7466" t="s">
        <v>37391</v>
      </c>
      <c r="K7466" t="s">
        <v>42281</v>
      </c>
      <c r="M7466" t="s">
        <v>45064</v>
      </c>
      <c r="N7466" t="s">
        <v>46569</v>
      </c>
      <c r="O7466" t="s">
        <v>46570</v>
      </c>
      <c r="P7466">
        <v>0</v>
      </c>
      <c r="Q7466">
        <v>6</v>
      </c>
      <c r="R7466" t="s">
        <v>46574</v>
      </c>
      <c r="S7466" t="s">
        <v>46723</v>
      </c>
      <c r="T7466" t="s">
        <v>48308</v>
      </c>
      <c r="U7466" t="s">
        <v>54952</v>
      </c>
      <c r="W7466" t="s">
        <v>45064</v>
      </c>
      <c r="X7466" t="s">
        <v>46577</v>
      </c>
    </row>
    <row r="7467" spans="1:24">
      <c r="A7467">
        <f>HYPERLINK("https://www.philgeps.gov.ph/GEPSNONPILOT/Tender/SplashBidNoticeAbstractUI.aspx?menuIndex=3&amp;refID=7056982&amp;Result=3","7056982")</f>
        <v>0</v>
      </c>
      <c r="B7467" t="s">
        <v>1540</v>
      </c>
      <c r="C7467" t="s">
        <v>10608</v>
      </c>
      <c r="D7467" t="s">
        <v>18838</v>
      </c>
      <c r="E7467" t="s">
        <v>25465</v>
      </c>
      <c r="F7467" t="s">
        <v>32664</v>
      </c>
      <c r="G7467" t="s">
        <v>32671</v>
      </c>
      <c r="H7467" t="s">
        <v>12635</v>
      </c>
      <c r="I7467" t="s">
        <v>6553</v>
      </c>
      <c r="J7467" t="s">
        <v>33051</v>
      </c>
      <c r="K7467" t="s">
        <v>42283</v>
      </c>
      <c r="M7467" t="s">
        <v>44209</v>
      </c>
      <c r="N7467" t="s">
        <v>46569</v>
      </c>
      <c r="O7467" t="s">
        <v>46570</v>
      </c>
      <c r="P7467">
        <v>0</v>
      </c>
      <c r="Q7467">
        <v>0</v>
      </c>
      <c r="R7467" t="s">
        <v>46574</v>
      </c>
      <c r="S7467" t="s">
        <v>46723</v>
      </c>
      <c r="T7467" t="s">
        <v>48256</v>
      </c>
      <c r="U7467" t="s">
        <v>54953</v>
      </c>
      <c r="W7467" t="s">
        <v>44209</v>
      </c>
      <c r="X7467" t="s">
        <v>46577</v>
      </c>
    </row>
    <row r="7468" spans="1:24">
      <c r="A7468">
        <f>HYPERLINK("https://www.philgeps.gov.ph/GEPSNONPILOT/Tender/SplashBidNoticeAbstractUI.aspx?menuIndex=3&amp;refID=7056966&amp;Result=3","7056966")</f>
        <v>0</v>
      </c>
      <c r="B7468" t="s">
        <v>203</v>
      </c>
      <c r="C7468" t="s">
        <v>10609</v>
      </c>
      <c r="D7468" t="s">
        <v>18842</v>
      </c>
      <c r="E7468" t="s">
        <v>25466</v>
      </c>
      <c r="F7468" t="s">
        <v>32664</v>
      </c>
      <c r="G7468" t="s">
        <v>32671</v>
      </c>
      <c r="H7468" t="s">
        <v>12635</v>
      </c>
      <c r="I7468" t="s">
        <v>32736</v>
      </c>
      <c r="J7468" t="s">
        <v>37392</v>
      </c>
      <c r="K7468" t="s">
        <v>42289</v>
      </c>
      <c r="M7468" t="s">
        <v>43862</v>
      </c>
      <c r="N7468" t="s">
        <v>46569</v>
      </c>
      <c r="O7468" t="s">
        <v>46570</v>
      </c>
      <c r="P7468">
        <v>0</v>
      </c>
      <c r="Q7468">
        <v>1</v>
      </c>
      <c r="R7468" t="s">
        <v>46574</v>
      </c>
      <c r="S7468" t="s">
        <v>46723</v>
      </c>
      <c r="T7468" t="s">
        <v>48340</v>
      </c>
      <c r="U7468" t="s">
        <v>54954</v>
      </c>
      <c r="V7468" t="s">
        <v>61935</v>
      </c>
      <c r="W7468" t="s">
        <v>43862</v>
      </c>
      <c r="X7468" t="s">
        <v>46577</v>
      </c>
    </row>
    <row r="7469" spans="1:24">
      <c r="A7469">
        <f>HYPERLINK("https://www.philgeps.gov.ph/GEPSNONPILOT/Tender/SplashBidNoticeAbstractUI.aspx?menuIndex=3&amp;refID=7057038&amp;Result=3","7057038")</f>
        <v>0</v>
      </c>
      <c r="B7469" t="s">
        <v>2296</v>
      </c>
      <c r="C7469" t="s">
        <v>10610</v>
      </c>
      <c r="D7469" t="s">
        <v>18801</v>
      </c>
      <c r="E7469" t="s">
        <v>25467</v>
      </c>
      <c r="F7469" t="s">
        <v>32664</v>
      </c>
      <c r="G7469" t="s">
        <v>32677</v>
      </c>
      <c r="H7469" t="s">
        <v>12635</v>
      </c>
      <c r="I7469" t="s">
        <v>5501</v>
      </c>
      <c r="J7469" t="s">
        <v>37393</v>
      </c>
      <c r="K7469" t="s">
        <v>42281</v>
      </c>
      <c r="M7469" t="s">
        <v>45067</v>
      </c>
      <c r="N7469" t="s">
        <v>46569</v>
      </c>
      <c r="O7469" t="s">
        <v>46570</v>
      </c>
      <c r="P7469">
        <v>0</v>
      </c>
      <c r="Q7469">
        <v>15</v>
      </c>
      <c r="R7469" t="s">
        <v>46574</v>
      </c>
      <c r="S7469" t="s">
        <v>46723</v>
      </c>
      <c r="T7469" t="s">
        <v>48217</v>
      </c>
      <c r="U7469" t="s">
        <v>54955</v>
      </c>
      <c r="W7469" t="s">
        <v>45067</v>
      </c>
      <c r="X7469" t="s">
        <v>46577</v>
      </c>
    </row>
    <row r="7470" spans="1:24">
      <c r="A7470">
        <f>HYPERLINK("https://www.philgeps.gov.ph/GEPSNONPILOT/Tender/SplashBidNoticeAbstractUI.aspx?menuIndex=3&amp;refID=7057010&amp;Result=3","7057010")</f>
        <v>0</v>
      </c>
      <c r="B7470" t="s">
        <v>203</v>
      </c>
      <c r="C7470" t="s">
        <v>10611</v>
      </c>
      <c r="D7470" t="s">
        <v>18842</v>
      </c>
      <c r="E7470" t="s">
        <v>25468</v>
      </c>
      <c r="F7470" t="s">
        <v>32664</v>
      </c>
      <c r="G7470" t="s">
        <v>32671</v>
      </c>
      <c r="H7470" t="s">
        <v>12635</v>
      </c>
      <c r="I7470" t="s">
        <v>32696</v>
      </c>
      <c r="J7470" t="s">
        <v>33478</v>
      </c>
      <c r="K7470" t="s">
        <v>42289</v>
      </c>
      <c r="M7470" t="s">
        <v>43862</v>
      </c>
      <c r="N7470" t="s">
        <v>46569</v>
      </c>
      <c r="O7470" t="s">
        <v>46570</v>
      </c>
      <c r="P7470">
        <v>0</v>
      </c>
      <c r="Q7470">
        <v>0</v>
      </c>
      <c r="R7470" t="s">
        <v>46574</v>
      </c>
      <c r="S7470" t="s">
        <v>46723</v>
      </c>
      <c r="T7470" t="s">
        <v>48340</v>
      </c>
      <c r="U7470" t="s">
        <v>54956</v>
      </c>
      <c r="V7470" t="s">
        <v>61935</v>
      </c>
      <c r="W7470" t="s">
        <v>43862</v>
      </c>
      <c r="X7470" t="s">
        <v>46577</v>
      </c>
    </row>
    <row r="7471" spans="1:24">
      <c r="A7471">
        <f>HYPERLINK("https://www.philgeps.gov.ph/GEPSNONPILOT/Tender/SplashBidNoticeAbstractUI.aspx?menuIndex=3&amp;refID=7056765&amp;Result=3","7056765")</f>
        <v>0</v>
      </c>
      <c r="B7471" t="s">
        <v>500</v>
      </c>
      <c r="C7471" t="s">
        <v>10612</v>
      </c>
      <c r="D7471" t="s">
        <v>18805</v>
      </c>
      <c r="E7471" t="s">
        <v>23254</v>
      </c>
      <c r="F7471" t="s">
        <v>32664</v>
      </c>
      <c r="G7471" t="s">
        <v>32672</v>
      </c>
      <c r="H7471" t="s">
        <v>32683</v>
      </c>
      <c r="I7471" t="s">
        <v>10627</v>
      </c>
      <c r="J7471" t="s">
        <v>35617</v>
      </c>
      <c r="K7471" t="s">
        <v>42283</v>
      </c>
      <c r="M7471" t="s">
        <v>44383</v>
      </c>
      <c r="N7471" t="s">
        <v>46569</v>
      </c>
      <c r="O7471" t="s">
        <v>46570</v>
      </c>
      <c r="P7471">
        <v>0</v>
      </c>
      <c r="Q7471">
        <v>0</v>
      </c>
      <c r="R7471" t="s">
        <v>46574</v>
      </c>
      <c r="S7471" t="s">
        <v>46723</v>
      </c>
      <c r="T7471" t="s">
        <v>48308</v>
      </c>
      <c r="U7471" t="s">
        <v>52807</v>
      </c>
      <c r="W7471" t="s">
        <v>44383</v>
      </c>
      <c r="X7471" t="s">
        <v>46577</v>
      </c>
    </row>
    <row r="7472" spans="1:24">
      <c r="A7472">
        <f>HYPERLINK("https://www.philgeps.gov.ph/GEPSNONPILOT/Tender/SplashBidNoticeAbstractUI.aspx?menuIndex=3&amp;refID=7056565&amp;Result=3","7056565")</f>
        <v>0</v>
      </c>
      <c r="B7472" t="s">
        <v>1095</v>
      </c>
      <c r="C7472" t="s">
        <v>6223</v>
      </c>
      <c r="D7472" t="s">
        <v>18798</v>
      </c>
      <c r="E7472" t="s">
        <v>25469</v>
      </c>
      <c r="F7472" t="s">
        <v>32664</v>
      </c>
      <c r="G7472" t="s">
        <v>32671</v>
      </c>
      <c r="H7472" t="s">
        <v>12635</v>
      </c>
      <c r="I7472" t="s">
        <v>6223</v>
      </c>
      <c r="J7472" t="s">
        <v>34601</v>
      </c>
      <c r="K7472" t="s">
        <v>42289</v>
      </c>
      <c r="M7472" t="s">
        <v>42640</v>
      </c>
      <c r="N7472" t="s">
        <v>46569</v>
      </c>
      <c r="O7472" t="s">
        <v>46570</v>
      </c>
      <c r="P7472">
        <v>0</v>
      </c>
      <c r="Q7472">
        <v>0</v>
      </c>
      <c r="R7472" t="s">
        <v>46574</v>
      </c>
      <c r="S7472" t="s">
        <v>46723</v>
      </c>
      <c r="T7472" t="s">
        <v>48449</v>
      </c>
      <c r="U7472" t="s">
        <v>54957</v>
      </c>
      <c r="W7472" t="s">
        <v>42640</v>
      </c>
      <c r="X7472" t="s">
        <v>46577</v>
      </c>
    </row>
    <row r="7473" spans="1:24">
      <c r="A7473">
        <f>HYPERLINK("https://www.philgeps.gov.ph/GEPSNONPILOT/Tender/SplashBidNoticeAbstractUI.aspx?menuIndex=3&amp;refID=7056964&amp;Result=3","7056964")</f>
        <v>0</v>
      </c>
      <c r="B7473" t="s">
        <v>69</v>
      </c>
      <c r="C7473" t="s">
        <v>10613</v>
      </c>
      <c r="D7473" t="s">
        <v>18784</v>
      </c>
      <c r="E7473" t="s">
        <v>25470</v>
      </c>
      <c r="F7473" t="s">
        <v>32664</v>
      </c>
      <c r="G7473" t="s">
        <v>32671</v>
      </c>
      <c r="H7473" t="s">
        <v>12635</v>
      </c>
      <c r="I7473" t="s">
        <v>32685</v>
      </c>
      <c r="J7473" t="s">
        <v>32959</v>
      </c>
      <c r="K7473" t="s">
        <v>42281</v>
      </c>
      <c r="M7473" t="s">
        <v>43455</v>
      </c>
      <c r="N7473" t="s">
        <v>46569</v>
      </c>
      <c r="O7473" t="s">
        <v>46570</v>
      </c>
      <c r="P7473">
        <v>0</v>
      </c>
      <c r="Q7473">
        <v>5</v>
      </c>
      <c r="R7473" t="s">
        <v>46574</v>
      </c>
      <c r="S7473" t="s">
        <v>46723</v>
      </c>
      <c r="T7473" t="s">
        <v>48254</v>
      </c>
      <c r="U7473" t="s">
        <v>54915</v>
      </c>
      <c r="W7473" t="s">
        <v>43455</v>
      </c>
      <c r="X7473" t="s">
        <v>46577</v>
      </c>
    </row>
    <row r="7474" spans="1:24">
      <c r="A7474">
        <f>HYPERLINK("https://www.philgeps.gov.ph/GEPSNONPILOT/Tender/SplashBidNoticeAbstractUI.aspx?menuIndex=3&amp;refID=7056953&amp;Result=3","7056953")</f>
        <v>0</v>
      </c>
      <c r="B7474" t="s">
        <v>423</v>
      </c>
      <c r="C7474" t="s">
        <v>10614</v>
      </c>
      <c r="D7474" t="s">
        <v>18852</v>
      </c>
      <c r="E7474" t="s">
        <v>25471</v>
      </c>
      <c r="F7474" t="s">
        <v>32664</v>
      </c>
      <c r="G7474" t="s">
        <v>32672</v>
      </c>
      <c r="H7474" t="s">
        <v>32683</v>
      </c>
      <c r="I7474" t="s">
        <v>10627</v>
      </c>
      <c r="J7474" t="s">
        <v>32865</v>
      </c>
      <c r="K7474" t="s">
        <v>42298</v>
      </c>
      <c r="L7474" t="s">
        <v>423</v>
      </c>
      <c r="M7474" t="s">
        <v>42994</v>
      </c>
      <c r="N7474" t="s">
        <v>46569</v>
      </c>
      <c r="O7474" t="s">
        <v>46570</v>
      </c>
      <c r="P7474">
        <v>0</v>
      </c>
      <c r="Q7474">
        <v>0</v>
      </c>
      <c r="R7474" t="s">
        <v>46574</v>
      </c>
      <c r="S7474" t="s">
        <v>46723</v>
      </c>
      <c r="T7474" t="s">
        <v>48221</v>
      </c>
      <c r="U7474" t="s">
        <v>54958</v>
      </c>
      <c r="W7474" t="s">
        <v>42994</v>
      </c>
      <c r="X7474" t="s">
        <v>46577</v>
      </c>
    </row>
    <row r="7475" spans="1:24">
      <c r="A7475">
        <f>HYPERLINK("https://www.philgeps.gov.ph/GEPSNONPILOT/Tender/SplashBidNoticeAbstractUI.aspx?menuIndex=3&amp;refID=7057068&amp;Result=3","7057068")</f>
        <v>0</v>
      </c>
      <c r="B7475" t="s">
        <v>203</v>
      </c>
      <c r="C7475" t="s">
        <v>10615</v>
      </c>
      <c r="D7475" t="s">
        <v>18842</v>
      </c>
      <c r="E7475" t="s">
        <v>25472</v>
      </c>
      <c r="F7475" t="s">
        <v>32664</v>
      </c>
      <c r="G7475" t="s">
        <v>32671</v>
      </c>
      <c r="H7475" t="s">
        <v>32682</v>
      </c>
      <c r="I7475" t="s">
        <v>10361</v>
      </c>
      <c r="J7475" t="s">
        <v>33121</v>
      </c>
      <c r="K7475" t="s">
        <v>42289</v>
      </c>
      <c r="M7475" t="s">
        <v>43862</v>
      </c>
      <c r="N7475" t="s">
        <v>46569</v>
      </c>
      <c r="O7475" t="s">
        <v>46570</v>
      </c>
      <c r="P7475">
        <v>0</v>
      </c>
      <c r="Q7475">
        <v>0</v>
      </c>
      <c r="R7475" t="s">
        <v>46574</v>
      </c>
      <c r="S7475" t="s">
        <v>46723</v>
      </c>
      <c r="T7475" t="s">
        <v>48340</v>
      </c>
      <c r="U7475" t="s">
        <v>54959</v>
      </c>
      <c r="V7475" t="s">
        <v>61935</v>
      </c>
      <c r="W7475" t="s">
        <v>43862</v>
      </c>
      <c r="X7475" t="s">
        <v>46577</v>
      </c>
    </row>
    <row r="7476" spans="1:24">
      <c r="A7476">
        <f>HYPERLINK("https://www.philgeps.gov.ph/GEPSNONPILOT/Tender/SplashBidNoticeAbstractUI.aspx?menuIndex=3&amp;refID=7056976&amp;Result=3","7056976")</f>
        <v>0</v>
      </c>
      <c r="B7476" t="s">
        <v>2297</v>
      </c>
      <c r="C7476" t="s">
        <v>10616</v>
      </c>
      <c r="D7476" t="s">
        <v>18816</v>
      </c>
      <c r="E7476" t="s">
        <v>25473</v>
      </c>
      <c r="F7476" t="s">
        <v>32664</v>
      </c>
      <c r="G7476" t="s">
        <v>32672</v>
      </c>
      <c r="H7476" t="s">
        <v>32683</v>
      </c>
      <c r="I7476" t="s">
        <v>10627</v>
      </c>
      <c r="J7476" t="s">
        <v>37394</v>
      </c>
      <c r="K7476" t="s">
        <v>42290</v>
      </c>
      <c r="M7476" t="s">
        <v>45068</v>
      </c>
      <c r="N7476" t="s">
        <v>46569</v>
      </c>
      <c r="O7476" t="s">
        <v>46570</v>
      </c>
      <c r="P7476">
        <v>0</v>
      </c>
      <c r="Q7476">
        <v>0</v>
      </c>
      <c r="R7476" t="s">
        <v>46574</v>
      </c>
      <c r="S7476" t="s">
        <v>46723</v>
      </c>
      <c r="T7476" t="s">
        <v>48349</v>
      </c>
      <c r="U7476" t="s">
        <v>54960</v>
      </c>
      <c r="V7476" t="s">
        <v>62367</v>
      </c>
      <c r="W7476" t="s">
        <v>45068</v>
      </c>
      <c r="X7476" t="s">
        <v>46577</v>
      </c>
    </row>
    <row r="7477" spans="1:24">
      <c r="A7477">
        <f>HYPERLINK("https://www.philgeps.gov.ph/GEPSNONPILOT/Tender/SplashBidNoticeAbstractUI.aspx?menuIndex=3&amp;refID=7056748&amp;Result=3","7056748")</f>
        <v>0</v>
      </c>
      <c r="B7477" t="s">
        <v>69</v>
      </c>
      <c r="C7477" t="s">
        <v>10617</v>
      </c>
      <c r="D7477" t="s">
        <v>18784</v>
      </c>
      <c r="E7477" t="s">
        <v>25474</v>
      </c>
      <c r="F7477" t="s">
        <v>32664</v>
      </c>
      <c r="G7477" t="s">
        <v>32671</v>
      </c>
      <c r="H7477" t="s">
        <v>12635</v>
      </c>
      <c r="I7477" t="s">
        <v>10370</v>
      </c>
      <c r="J7477" t="s">
        <v>37395</v>
      </c>
      <c r="K7477" t="s">
        <v>42305</v>
      </c>
      <c r="M7477" t="s">
        <v>43455</v>
      </c>
      <c r="N7477" t="s">
        <v>46569</v>
      </c>
      <c r="O7477" t="s">
        <v>46570</v>
      </c>
      <c r="P7477">
        <v>0</v>
      </c>
      <c r="Q7477">
        <v>7</v>
      </c>
      <c r="R7477" t="s">
        <v>46574</v>
      </c>
      <c r="S7477" t="s">
        <v>46723</v>
      </c>
      <c r="T7477" t="s">
        <v>48420</v>
      </c>
      <c r="U7477" t="s">
        <v>54915</v>
      </c>
      <c r="W7477" t="s">
        <v>43455</v>
      </c>
      <c r="X7477" t="s">
        <v>46577</v>
      </c>
    </row>
    <row r="7478" spans="1:24">
      <c r="A7478">
        <f>HYPERLINK("https://www.philgeps.gov.ph/GEPSNONPILOT/Tender/SplashBidNoticeAbstractUI.aspx?menuIndex=3&amp;refID=7056950&amp;Result=3","7056950")</f>
        <v>0</v>
      </c>
      <c r="B7478" t="s">
        <v>231</v>
      </c>
      <c r="C7478" t="s">
        <v>10618</v>
      </c>
      <c r="D7478" t="s">
        <v>18862</v>
      </c>
      <c r="E7478" t="s">
        <v>25475</v>
      </c>
      <c r="F7478" t="s">
        <v>32664</v>
      </c>
      <c r="G7478" t="s">
        <v>32672</v>
      </c>
      <c r="H7478" t="s">
        <v>32683</v>
      </c>
      <c r="I7478" t="s">
        <v>10627</v>
      </c>
      <c r="J7478" t="s">
        <v>37396</v>
      </c>
      <c r="K7478" t="s">
        <v>42311</v>
      </c>
      <c r="M7478" t="s">
        <v>43225</v>
      </c>
      <c r="N7478" t="s">
        <v>46569</v>
      </c>
      <c r="O7478" t="s">
        <v>46570</v>
      </c>
      <c r="P7478">
        <v>0</v>
      </c>
      <c r="Q7478">
        <v>0</v>
      </c>
      <c r="R7478" t="s">
        <v>46574</v>
      </c>
      <c r="S7478" t="s">
        <v>46723</v>
      </c>
      <c r="T7478" t="s">
        <v>48347</v>
      </c>
      <c r="U7478" t="s">
        <v>54961</v>
      </c>
      <c r="W7478" t="s">
        <v>43225</v>
      </c>
      <c r="X7478" t="s">
        <v>46577</v>
      </c>
    </row>
    <row r="7479" spans="1:24">
      <c r="A7479">
        <f>HYPERLINK("https://www.philgeps.gov.ph/GEPSNONPILOT/Tender/SplashBidNoticeAbstractUI.aspx?menuIndex=3&amp;refID=7057178&amp;Result=3","7057178")</f>
        <v>0</v>
      </c>
      <c r="B7479" t="s">
        <v>915</v>
      </c>
      <c r="C7479" t="s">
        <v>10619</v>
      </c>
      <c r="D7479" t="s">
        <v>18784</v>
      </c>
      <c r="E7479" t="s">
        <v>25476</v>
      </c>
      <c r="F7479" t="s">
        <v>32664</v>
      </c>
      <c r="G7479" t="s">
        <v>32671</v>
      </c>
      <c r="H7479" t="s">
        <v>12635</v>
      </c>
      <c r="I7479" t="s">
        <v>8797</v>
      </c>
      <c r="J7479" t="s">
        <v>37397</v>
      </c>
      <c r="K7479" t="s">
        <v>42283</v>
      </c>
      <c r="M7479" t="s">
        <v>43879</v>
      </c>
      <c r="N7479" t="s">
        <v>46569</v>
      </c>
      <c r="O7479" t="s">
        <v>46570</v>
      </c>
      <c r="P7479">
        <v>0</v>
      </c>
      <c r="Q7479">
        <v>2</v>
      </c>
      <c r="R7479" t="s">
        <v>46574</v>
      </c>
      <c r="S7479" t="s">
        <v>46723</v>
      </c>
      <c r="T7479" t="s">
        <v>48449</v>
      </c>
      <c r="U7479" t="s">
        <v>50592</v>
      </c>
      <c r="W7479" t="s">
        <v>43879</v>
      </c>
      <c r="X7479" t="s">
        <v>46577</v>
      </c>
    </row>
    <row r="7480" spans="1:24">
      <c r="A7480">
        <f>HYPERLINK("https://www.philgeps.gov.ph/GEPSNONPILOT/Tender/SplashBidNoticeAbstractUI.aspx?menuIndex=3&amp;refID=7056741&amp;Result=3","7056741")</f>
        <v>0</v>
      </c>
      <c r="B7480" t="s">
        <v>2289</v>
      </c>
      <c r="C7480" t="s">
        <v>10620</v>
      </c>
      <c r="D7480" t="s">
        <v>18837</v>
      </c>
      <c r="E7480" t="s">
        <v>25477</v>
      </c>
      <c r="F7480" t="s">
        <v>32664</v>
      </c>
      <c r="G7480" t="s">
        <v>32672</v>
      </c>
      <c r="H7480" t="s">
        <v>12635</v>
      </c>
      <c r="I7480" t="s">
        <v>32717</v>
      </c>
      <c r="J7480" t="s">
        <v>34487</v>
      </c>
      <c r="K7480" t="s">
        <v>42289</v>
      </c>
      <c r="M7480" t="s">
        <v>45060</v>
      </c>
      <c r="N7480" t="s">
        <v>46569</v>
      </c>
      <c r="O7480" t="s">
        <v>46570</v>
      </c>
      <c r="P7480">
        <v>0</v>
      </c>
      <c r="Q7480">
        <v>6</v>
      </c>
      <c r="R7480" t="s">
        <v>46574</v>
      </c>
      <c r="S7480" t="s">
        <v>46723</v>
      </c>
      <c r="T7480" t="s">
        <v>48261</v>
      </c>
      <c r="U7480" t="s">
        <v>54962</v>
      </c>
      <c r="V7480" t="s">
        <v>62368</v>
      </c>
      <c r="W7480" t="s">
        <v>45060</v>
      </c>
      <c r="X7480" t="s">
        <v>46577</v>
      </c>
    </row>
    <row r="7481" spans="1:24">
      <c r="A7481">
        <f>HYPERLINK("https://www.philgeps.gov.ph/GEPSNONPILOT/Tender/SplashBidNoticeAbstractUI.aspx?menuIndex=3&amp;refID=7057141&amp;Result=3","7057141")</f>
        <v>0</v>
      </c>
      <c r="B7481" t="s">
        <v>203</v>
      </c>
      <c r="C7481" t="s">
        <v>10621</v>
      </c>
      <c r="D7481" t="s">
        <v>18842</v>
      </c>
      <c r="E7481" t="s">
        <v>25478</v>
      </c>
      <c r="F7481" t="s">
        <v>32664</v>
      </c>
      <c r="G7481" t="s">
        <v>32671</v>
      </c>
      <c r="H7481" t="s">
        <v>32682</v>
      </c>
      <c r="I7481" t="s">
        <v>10361</v>
      </c>
      <c r="J7481" t="s">
        <v>33813</v>
      </c>
      <c r="K7481" t="s">
        <v>42289</v>
      </c>
      <c r="M7481" t="s">
        <v>43862</v>
      </c>
      <c r="N7481" t="s">
        <v>46569</v>
      </c>
      <c r="O7481" t="s">
        <v>46570</v>
      </c>
      <c r="P7481">
        <v>0</v>
      </c>
      <c r="Q7481">
        <v>0</v>
      </c>
      <c r="R7481" t="s">
        <v>46574</v>
      </c>
      <c r="S7481" t="s">
        <v>46723</v>
      </c>
      <c r="T7481" t="s">
        <v>48219</v>
      </c>
      <c r="U7481" t="s">
        <v>54963</v>
      </c>
      <c r="V7481" t="s">
        <v>61935</v>
      </c>
      <c r="W7481" t="s">
        <v>43862</v>
      </c>
      <c r="X7481" t="s">
        <v>46577</v>
      </c>
    </row>
    <row r="7482" spans="1:24">
      <c r="A7482">
        <f>HYPERLINK("https://www.philgeps.gov.ph/GEPSNONPILOT/Tender/SplashBidNoticeAbstractUI.aspx?menuIndex=3&amp;refID=7057176&amp;Result=3","7057176")</f>
        <v>0</v>
      </c>
      <c r="B7482" t="s">
        <v>1305</v>
      </c>
      <c r="C7482" t="s">
        <v>10622</v>
      </c>
      <c r="D7482" t="s">
        <v>18822</v>
      </c>
      <c r="E7482" t="s">
        <v>25479</v>
      </c>
      <c r="F7482" t="s">
        <v>32664</v>
      </c>
      <c r="G7482" t="s">
        <v>32672</v>
      </c>
      <c r="H7482" t="s">
        <v>12635</v>
      </c>
      <c r="I7482" t="s">
        <v>4439</v>
      </c>
      <c r="J7482" t="s">
        <v>37398</v>
      </c>
      <c r="K7482" t="s">
        <v>42283</v>
      </c>
      <c r="M7482" t="s">
        <v>43950</v>
      </c>
      <c r="N7482" t="s">
        <v>46569</v>
      </c>
      <c r="O7482" t="s">
        <v>46570</v>
      </c>
      <c r="P7482">
        <v>0</v>
      </c>
      <c r="Q7482">
        <v>1</v>
      </c>
      <c r="R7482" t="s">
        <v>46574</v>
      </c>
      <c r="S7482" t="s">
        <v>46723</v>
      </c>
      <c r="T7482" t="s">
        <v>48293</v>
      </c>
      <c r="U7482" t="s">
        <v>54964</v>
      </c>
      <c r="W7482" t="s">
        <v>43950</v>
      </c>
      <c r="X7482" t="s">
        <v>46577</v>
      </c>
    </row>
    <row r="7483" spans="1:24">
      <c r="A7483">
        <f>HYPERLINK("https://www.philgeps.gov.ph/GEPSNONPILOT/Tender/SplashBidNoticeAbstractUI.aspx?menuIndex=3&amp;refID=7057135&amp;Result=3","7057135")</f>
        <v>0</v>
      </c>
      <c r="B7483" t="s">
        <v>2298</v>
      </c>
      <c r="C7483" t="s">
        <v>10623</v>
      </c>
      <c r="E7483" t="s">
        <v>25480</v>
      </c>
      <c r="F7483" t="s">
        <v>32664</v>
      </c>
      <c r="G7483" t="s">
        <v>32672</v>
      </c>
      <c r="H7483" t="s">
        <v>32682</v>
      </c>
      <c r="I7483" t="s">
        <v>6223</v>
      </c>
      <c r="J7483" t="s">
        <v>32865</v>
      </c>
      <c r="K7483" t="s">
        <v>42298</v>
      </c>
      <c r="M7483" t="s">
        <v>45069</v>
      </c>
      <c r="N7483" t="s">
        <v>46569</v>
      </c>
      <c r="O7483" t="s">
        <v>46570</v>
      </c>
      <c r="P7483">
        <v>0</v>
      </c>
      <c r="Q7483">
        <v>2</v>
      </c>
      <c r="R7483" t="s">
        <v>46574</v>
      </c>
      <c r="S7483" t="s">
        <v>46723</v>
      </c>
      <c r="T7483" t="s">
        <v>48305</v>
      </c>
      <c r="U7483" t="s">
        <v>54965</v>
      </c>
      <c r="W7483" t="s">
        <v>45069</v>
      </c>
      <c r="X7483" t="s">
        <v>46577</v>
      </c>
    </row>
    <row r="7484" spans="1:24">
      <c r="A7484">
        <f>HYPERLINK("https://www.philgeps.gov.ph/GEPSNONPILOT/Tender/SplashBidNoticeAbstractUI.aspx?menuIndex=3&amp;refID=7057175&amp;Result=3","7057175")</f>
        <v>0</v>
      </c>
      <c r="B7484" t="s">
        <v>2293</v>
      </c>
      <c r="C7484" t="s">
        <v>10624</v>
      </c>
      <c r="D7484" t="s">
        <v>18802</v>
      </c>
      <c r="E7484" t="s">
        <v>24097</v>
      </c>
      <c r="F7484" t="s">
        <v>32664</v>
      </c>
      <c r="G7484" t="s">
        <v>32672</v>
      </c>
      <c r="H7484" t="s">
        <v>12635</v>
      </c>
      <c r="I7484" t="s">
        <v>32787</v>
      </c>
      <c r="J7484" t="s">
        <v>33743</v>
      </c>
      <c r="K7484" t="s">
        <v>42298</v>
      </c>
      <c r="M7484" t="s">
        <v>45064</v>
      </c>
      <c r="N7484" t="s">
        <v>46569</v>
      </c>
      <c r="O7484" t="s">
        <v>46570</v>
      </c>
      <c r="P7484">
        <v>0</v>
      </c>
      <c r="Q7484">
        <v>5</v>
      </c>
      <c r="R7484" t="s">
        <v>46574</v>
      </c>
      <c r="S7484" t="s">
        <v>46723</v>
      </c>
      <c r="T7484" t="s">
        <v>48308</v>
      </c>
      <c r="U7484" t="s">
        <v>54942</v>
      </c>
      <c r="W7484" t="s">
        <v>45064</v>
      </c>
      <c r="X7484" t="s">
        <v>46577</v>
      </c>
    </row>
    <row r="7485" spans="1:24">
      <c r="A7485">
        <f>HYPERLINK("https://www.philgeps.gov.ph/GEPSNONPILOT/Tender/SplashBidNoticeAbstractUI.aspx?menuIndex=3&amp;refID=7057163&amp;Result=3","7057163")</f>
        <v>0</v>
      </c>
      <c r="B7485" t="s">
        <v>822</v>
      </c>
      <c r="C7485" t="s">
        <v>10625</v>
      </c>
      <c r="E7485" t="s">
        <v>25481</v>
      </c>
      <c r="F7485" t="s">
        <v>32664</v>
      </c>
      <c r="G7485" t="s">
        <v>32671</v>
      </c>
      <c r="H7485" t="s">
        <v>12635</v>
      </c>
      <c r="I7485" t="s">
        <v>32694</v>
      </c>
      <c r="J7485" t="s">
        <v>37399</v>
      </c>
      <c r="K7485" t="s">
        <v>42283</v>
      </c>
      <c r="M7485" t="s">
        <v>44836</v>
      </c>
      <c r="N7485" t="s">
        <v>46569</v>
      </c>
      <c r="O7485" t="s">
        <v>46570</v>
      </c>
      <c r="P7485">
        <v>0</v>
      </c>
      <c r="Q7485">
        <v>0</v>
      </c>
      <c r="R7485" t="s">
        <v>46574</v>
      </c>
      <c r="S7485" t="s">
        <v>46723</v>
      </c>
      <c r="T7485" t="s">
        <v>48244</v>
      </c>
      <c r="U7485" t="s">
        <v>54966</v>
      </c>
      <c r="W7485" t="s">
        <v>44836</v>
      </c>
      <c r="X7485" t="s">
        <v>46577</v>
      </c>
    </row>
    <row r="7486" spans="1:24">
      <c r="A7486">
        <f>HYPERLINK("https://www.philgeps.gov.ph/GEPSNONPILOT/Tender/SplashBidNoticeAbstractUI.aspx?menuIndex=3&amp;refID=7057119&amp;Result=3","7057119")</f>
        <v>0</v>
      </c>
      <c r="B7486" t="s">
        <v>2299</v>
      </c>
      <c r="C7486" t="s">
        <v>10626</v>
      </c>
      <c r="D7486" t="s">
        <v>18784</v>
      </c>
      <c r="E7486" t="s">
        <v>23117</v>
      </c>
      <c r="F7486" t="s">
        <v>32664</v>
      </c>
      <c r="G7486" t="s">
        <v>32672</v>
      </c>
      <c r="H7486" t="s">
        <v>12635</v>
      </c>
      <c r="I7486" t="s">
        <v>11464</v>
      </c>
      <c r="J7486" t="s">
        <v>37400</v>
      </c>
      <c r="K7486" t="s">
        <v>42283</v>
      </c>
      <c r="M7486" t="s">
        <v>45070</v>
      </c>
      <c r="N7486" t="s">
        <v>46569</v>
      </c>
      <c r="O7486" t="s">
        <v>46570</v>
      </c>
      <c r="P7486">
        <v>0</v>
      </c>
      <c r="Q7486">
        <v>3</v>
      </c>
      <c r="R7486" t="s">
        <v>46574</v>
      </c>
      <c r="S7486" t="s">
        <v>46723</v>
      </c>
      <c r="T7486" t="s">
        <v>48258</v>
      </c>
      <c r="U7486" t="s">
        <v>54967</v>
      </c>
      <c r="V7486" t="s">
        <v>62369</v>
      </c>
      <c r="W7486" t="s">
        <v>45070</v>
      </c>
      <c r="X7486" t="s">
        <v>46577</v>
      </c>
    </row>
    <row r="7487" spans="1:24">
      <c r="A7487">
        <f>HYPERLINK("https://www.philgeps.gov.ph/GEPSNONPILOT/Tender/SplashBidNoticeAbstractUI.aspx?menuIndex=3&amp;refID=7056963&amp;Result=3","7056963")</f>
        <v>0</v>
      </c>
      <c r="B7487" t="s">
        <v>1069</v>
      </c>
      <c r="C7487" t="s">
        <v>10627</v>
      </c>
      <c r="D7487" t="s">
        <v>18825</v>
      </c>
      <c r="E7487" t="s">
        <v>25482</v>
      </c>
      <c r="F7487" t="s">
        <v>32664</v>
      </c>
      <c r="G7487" t="s">
        <v>32672</v>
      </c>
      <c r="H7487" t="s">
        <v>32683</v>
      </c>
      <c r="I7487" t="s">
        <v>10627</v>
      </c>
      <c r="J7487" t="s">
        <v>32865</v>
      </c>
      <c r="K7487" t="s">
        <v>42283</v>
      </c>
      <c r="M7487" t="s">
        <v>43687</v>
      </c>
      <c r="N7487" t="s">
        <v>46569</v>
      </c>
      <c r="O7487" t="s">
        <v>46570</v>
      </c>
      <c r="P7487">
        <v>0</v>
      </c>
      <c r="Q7487">
        <v>0</v>
      </c>
      <c r="R7487" t="s">
        <v>46574</v>
      </c>
      <c r="S7487" t="s">
        <v>46723</v>
      </c>
      <c r="T7487" t="s">
        <v>48280</v>
      </c>
      <c r="U7487" t="s">
        <v>54968</v>
      </c>
      <c r="W7487" t="s">
        <v>43687</v>
      </c>
      <c r="X7487" t="s">
        <v>46577</v>
      </c>
    </row>
    <row r="7488" spans="1:24">
      <c r="A7488">
        <f>HYPERLINK("https://www.philgeps.gov.ph/GEPSNONPILOT/Tender/SplashBidNoticeAbstractUI.aspx?menuIndex=3&amp;refID=7057177&amp;Result=3","7057177")</f>
        <v>0</v>
      </c>
      <c r="B7488" t="s">
        <v>2300</v>
      </c>
      <c r="C7488" t="s">
        <v>10628</v>
      </c>
      <c r="D7488" t="s">
        <v>18804</v>
      </c>
      <c r="E7488" t="s">
        <v>22276</v>
      </c>
      <c r="F7488" t="s">
        <v>32664</v>
      </c>
      <c r="G7488" t="s">
        <v>32672</v>
      </c>
      <c r="H7488" t="s">
        <v>32683</v>
      </c>
      <c r="I7488" t="s">
        <v>10627</v>
      </c>
      <c r="J7488" t="s">
        <v>37401</v>
      </c>
      <c r="K7488" t="s">
        <v>42461</v>
      </c>
      <c r="M7488" t="s">
        <v>45071</v>
      </c>
      <c r="N7488" t="s">
        <v>46569</v>
      </c>
      <c r="O7488" t="s">
        <v>46570</v>
      </c>
      <c r="P7488">
        <v>0</v>
      </c>
      <c r="Q7488">
        <v>5</v>
      </c>
      <c r="R7488" t="s">
        <v>46574</v>
      </c>
      <c r="S7488" t="s">
        <v>46723</v>
      </c>
      <c r="T7488" t="s">
        <v>48369</v>
      </c>
      <c r="U7488" t="s">
        <v>54969</v>
      </c>
      <c r="W7488" t="s">
        <v>45071</v>
      </c>
      <c r="X7488" t="s">
        <v>46577</v>
      </c>
    </row>
    <row r="7489" spans="1:24">
      <c r="A7489">
        <f>HYPERLINK("https://www.philgeps.gov.ph/GEPSNONPILOT/Tender/SplashBidNoticeAbstractUI.aspx?menuIndex=3&amp;refID=7057106&amp;Result=3","7057106")</f>
        <v>0</v>
      </c>
      <c r="B7489" t="s">
        <v>1024</v>
      </c>
      <c r="C7489" t="s">
        <v>10629</v>
      </c>
      <c r="D7489" t="s">
        <v>18801</v>
      </c>
      <c r="E7489" t="s">
        <v>25483</v>
      </c>
      <c r="F7489" t="s">
        <v>32664</v>
      </c>
      <c r="G7489" t="s">
        <v>32671</v>
      </c>
      <c r="H7489" t="s">
        <v>12635</v>
      </c>
      <c r="I7489" t="s">
        <v>4439</v>
      </c>
      <c r="J7489" t="s">
        <v>37402</v>
      </c>
      <c r="K7489" t="s">
        <v>42289</v>
      </c>
      <c r="M7489" t="s">
        <v>43636</v>
      </c>
      <c r="N7489" t="s">
        <v>46569</v>
      </c>
      <c r="O7489" t="s">
        <v>46570</v>
      </c>
      <c r="P7489">
        <v>0</v>
      </c>
      <c r="Q7489">
        <v>0</v>
      </c>
      <c r="R7489" t="s">
        <v>46574</v>
      </c>
      <c r="S7489" t="s">
        <v>46723</v>
      </c>
      <c r="T7489" t="s">
        <v>48473</v>
      </c>
      <c r="U7489" t="s">
        <v>54970</v>
      </c>
      <c r="W7489" t="s">
        <v>43636</v>
      </c>
      <c r="X7489" t="s">
        <v>46577</v>
      </c>
    </row>
    <row r="7490" spans="1:24">
      <c r="A7490">
        <f>HYPERLINK("https://www.philgeps.gov.ph/GEPSNONPILOT/Tender/SplashBidNoticeAbstractUI.aspx?menuIndex=3&amp;refID=7057312&amp;Result=3","7057312")</f>
        <v>0</v>
      </c>
      <c r="B7490" t="s">
        <v>1612</v>
      </c>
      <c r="C7490" t="s">
        <v>10630</v>
      </c>
      <c r="D7490" t="s">
        <v>18821</v>
      </c>
      <c r="E7490" t="s">
        <v>25484</v>
      </c>
      <c r="F7490" t="s">
        <v>32664</v>
      </c>
      <c r="G7490" t="s">
        <v>32672</v>
      </c>
      <c r="H7490" t="s">
        <v>32683</v>
      </c>
      <c r="I7490" t="s">
        <v>10627</v>
      </c>
      <c r="J7490" t="s">
        <v>37403</v>
      </c>
      <c r="K7490" t="s">
        <v>42462</v>
      </c>
      <c r="M7490" t="s">
        <v>45072</v>
      </c>
      <c r="N7490" t="s">
        <v>46569</v>
      </c>
      <c r="O7490" t="s">
        <v>46570</v>
      </c>
      <c r="P7490">
        <v>0</v>
      </c>
      <c r="Q7490">
        <v>32</v>
      </c>
      <c r="R7490" t="s">
        <v>46574</v>
      </c>
      <c r="S7490" t="s">
        <v>46723</v>
      </c>
      <c r="T7490" t="s">
        <v>48385</v>
      </c>
      <c r="U7490" t="s">
        <v>54971</v>
      </c>
      <c r="W7490" t="s">
        <v>45072</v>
      </c>
      <c r="X7490" t="s">
        <v>46577</v>
      </c>
    </row>
    <row r="7491" spans="1:24">
      <c r="A7491">
        <f>HYPERLINK("https://www.philgeps.gov.ph/GEPSNONPILOT/Tender/SplashBidNoticeAbstractUI.aspx?menuIndex=3&amp;refID=7057300&amp;Result=3","7057300")</f>
        <v>0</v>
      </c>
      <c r="B7491" t="s">
        <v>804</v>
      </c>
      <c r="C7491" t="s">
        <v>10631</v>
      </c>
      <c r="D7491" t="s">
        <v>18790</v>
      </c>
      <c r="E7491" t="s">
        <v>25485</v>
      </c>
      <c r="F7491" t="s">
        <v>32664</v>
      </c>
      <c r="G7491" t="s">
        <v>32671</v>
      </c>
      <c r="H7491" t="s">
        <v>12635</v>
      </c>
      <c r="I7491" t="s">
        <v>4439</v>
      </c>
      <c r="J7491" t="s">
        <v>37404</v>
      </c>
      <c r="K7491" t="s">
        <v>42284</v>
      </c>
      <c r="M7491" t="s">
        <v>43396</v>
      </c>
      <c r="N7491" t="s">
        <v>46569</v>
      </c>
      <c r="O7491" t="s">
        <v>46570</v>
      </c>
      <c r="P7491">
        <v>0</v>
      </c>
      <c r="Q7491">
        <v>0</v>
      </c>
      <c r="R7491" t="s">
        <v>46574</v>
      </c>
      <c r="S7491" t="s">
        <v>46723</v>
      </c>
      <c r="T7491" t="s">
        <v>48448</v>
      </c>
      <c r="U7491" t="s">
        <v>54972</v>
      </c>
      <c r="W7491" t="s">
        <v>43396</v>
      </c>
      <c r="X7491" t="s">
        <v>46577</v>
      </c>
    </row>
    <row r="7492" spans="1:24">
      <c r="A7492">
        <f>HYPERLINK("https://www.philgeps.gov.ph/GEPSNONPILOT/Tender/SplashBidNoticeAbstractUI.aspx?menuIndex=3&amp;refID=7057286&amp;Result=3","7057286")</f>
        <v>0</v>
      </c>
      <c r="B7492" t="s">
        <v>2300</v>
      </c>
      <c r="C7492" t="s">
        <v>10632</v>
      </c>
      <c r="D7492" t="s">
        <v>18824</v>
      </c>
      <c r="E7492" t="s">
        <v>23397</v>
      </c>
      <c r="F7492" t="s">
        <v>32664</v>
      </c>
      <c r="G7492" t="s">
        <v>32672</v>
      </c>
      <c r="H7492" t="s">
        <v>32683</v>
      </c>
      <c r="I7492" t="s">
        <v>10627</v>
      </c>
      <c r="J7492" t="s">
        <v>37405</v>
      </c>
      <c r="K7492" t="s">
        <v>42463</v>
      </c>
      <c r="M7492" t="s">
        <v>45071</v>
      </c>
      <c r="N7492" t="s">
        <v>46569</v>
      </c>
      <c r="O7492" t="s">
        <v>46570</v>
      </c>
      <c r="P7492">
        <v>0</v>
      </c>
      <c r="Q7492">
        <v>4</v>
      </c>
      <c r="R7492" t="s">
        <v>46574</v>
      </c>
      <c r="S7492" t="s">
        <v>46723</v>
      </c>
      <c r="T7492" t="s">
        <v>48369</v>
      </c>
      <c r="U7492" t="s">
        <v>54969</v>
      </c>
      <c r="W7492" t="s">
        <v>45071</v>
      </c>
      <c r="X7492" t="s">
        <v>46577</v>
      </c>
    </row>
    <row r="7493" spans="1:24">
      <c r="A7493">
        <f>HYPERLINK("https://www.philgeps.gov.ph/GEPSNONPILOT/Tender/SplashBidNoticeAbstractUI.aspx?menuIndex=3&amp;refID=7057277&amp;Result=3","7057277")</f>
        <v>0</v>
      </c>
      <c r="B7493" t="s">
        <v>2301</v>
      </c>
      <c r="C7493" t="s">
        <v>10633</v>
      </c>
      <c r="D7493" t="s">
        <v>18842</v>
      </c>
      <c r="E7493" t="s">
        <v>24785</v>
      </c>
      <c r="F7493" t="s">
        <v>32664</v>
      </c>
      <c r="G7493" t="s">
        <v>32672</v>
      </c>
      <c r="H7493" t="s">
        <v>32683</v>
      </c>
      <c r="I7493" t="s">
        <v>10627</v>
      </c>
      <c r="J7493" t="s">
        <v>34253</v>
      </c>
      <c r="K7493" t="s">
        <v>42290</v>
      </c>
      <c r="M7493" t="s">
        <v>45073</v>
      </c>
      <c r="N7493" t="s">
        <v>46569</v>
      </c>
      <c r="O7493" t="s">
        <v>46570</v>
      </c>
      <c r="P7493">
        <v>0</v>
      </c>
      <c r="Q7493">
        <v>0</v>
      </c>
      <c r="R7493" t="s">
        <v>46574</v>
      </c>
      <c r="S7493" t="s">
        <v>46723</v>
      </c>
      <c r="T7493" t="s">
        <v>48416</v>
      </c>
      <c r="U7493" t="s">
        <v>54973</v>
      </c>
      <c r="V7493" t="s">
        <v>62370</v>
      </c>
      <c r="W7493" t="s">
        <v>45073</v>
      </c>
      <c r="X7493" t="s">
        <v>46577</v>
      </c>
    </row>
    <row r="7494" spans="1:24">
      <c r="A7494">
        <f>HYPERLINK("https://www.philgeps.gov.ph/GEPSNONPILOT/Tender/SplashBidNoticeAbstractUI.aspx?menuIndex=3&amp;refID=7057271&amp;Result=3","7057271")</f>
        <v>0</v>
      </c>
      <c r="B7494" t="s">
        <v>2302</v>
      </c>
      <c r="C7494" t="s">
        <v>10634</v>
      </c>
      <c r="D7494" t="s">
        <v>18801</v>
      </c>
      <c r="E7494" t="s">
        <v>25486</v>
      </c>
      <c r="F7494" t="s">
        <v>32664</v>
      </c>
      <c r="G7494" t="s">
        <v>32672</v>
      </c>
      <c r="H7494" t="s">
        <v>32683</v>
      </c>
      <c r="I7494" t="s">
        <v>10627</v>
      </c>
      <c r="J7494" t="s">
        <v>34559</v>
      </c>
      <c r="K7494" t="s">
        <v>42298</v>
      </c>
      <c r="M7494" t="s">
        <v>45074</v>
      </c>
      <c r="N7494" t="s">
        <v>46569</v>
      </c>
      <c r="O7494" t="s">
        <v>46570</v>
      </c>
      <c r="P7494">
        <v>0</v>
      </c>
      <c r="Q7494">
        <v>2</v>
      </c>
      <c r="R7494" t="s">
        <v>46574</v>
      </c>
      <c r="S7494" t="s">
        <v>46723</v>
      </c>
      <c r="T7494" t="s">
        <v>48526</v>
      </c>
      <c r="U7494" t="s">
        <v>54974</v>
      </c>
      <c r="W7494" t="s">
        <v>45074</v>
      </c>
      <c r="X7494" t="s">
        <v>46577</v>
      </c>
    </row>
    <row r="7495" spans="1:24">
      <c r="A7495">
        <f>HYPERLINK("https://www.philgeps.gov.ph/GEPSNONPILOT/Tender/SplashBidNoticeAbstractUI.aspx?menuIndex=3&amp;refID=7057133&amp;Result=3","7057133")</f>
        <v>0</v>
      </c>
      <c r="B7495" t="s">
        <v>2301</v>
      </c>
      <c r="C7495" t="s">
        <v>10635</v>
      </c>
      <c r="D7495" t="s">
        <v>18842</v>
      </c>
      <c r="E7495" t="s">
        <v>25487</v>
      </c>
      <c r="F7495" t="s">
        <v>32664</v>
      </c>
      <c r="G7495" t="s">
        <v>32672</v>
      </c>
      <c r="H7495" t="s">
        <v>32683</v>
      </c>
      <c r="I7495" t="s">
        <v>10627</v>
      </c>
      <c r="J7495" t="s">
        <v>33761</v>
      </c>
      <c r="K7495" t="s">
        <v>42285</v>
      </c>
      <c r="M7495" t="s">
        <v>45073</v>
      </c>
      <c r="N7495" t="s">
        <v>46569</v>
      </c>
      <c r="O7495" t="s">
        <v>46570</v>
      </c>
      <c r="P7495">
        <v>0</v>
      </c>
      <c r="Q7495">
        <v>0</v>
      </c>
      <c r="R7495" t="s">
        <v>46574</v>
      </c>
      <c r="S7495" t="s">
        <v>46723</v>
      </c>
      <c r="T7495" t="s">
        <v>48308</v>
      </c>
      <c r="U7495" t="s">
        <v>54975</v>
      </c>
      <c r="V7495" t="s">
        <v>62371</v>
      </c>
      <c r="W7495" t="s">
        <v>45073</v>
      </c>
      <c r="X7495" t="s">
        <v>46577</v>
      </c>
    </row>
    <row r="7496" spans="1:24">
      <c r="A7496">
        <f>HYPERLINK("https://www.philgeps.gov.ph/GEPSNONPILOT/Tender/SplashBidNoticeAbstractUI.aspx?menuIndex=3&amp;refID=7057262&amp;Result=3","7057262")</f>
        <v>0</v>
      </c>
      <c r="B7496" t="s">
        <v>2303</v>
      </c>
      <c r="C7496" t="s">
        <v>10636</v>
      </c>
      <c r="D7496" t="s">
        <v>18781</v>
      </c>
      <c r="E7496" t="s">
        <v>25488</v>
      </c>
      <c r="F7496" t="s">
        <v>32664</v>
      </c>
      <c r="G7496" t="s">
        <v>32672</v>
      </c>
      <c r="H7496" t="s">
        <v>32683</v>
      </c>
      <c r="I7496" t="s">
        <v>32723</v>
      </c>
      <c r="J7496" t="s">
        <v>37406</v>
      </c>
      <c r="K7496" t="s">
        <v>42305</v>
      </c>
      <c r="M7496" t="s">
        <v>45075</v>
      </c>
      <c r="N7496" t="s">
        <v>46569</v>
      </c>
      <c r="O7496" t="s">
        <v>46570</v>
      </c>
      <c r="P7496">
        <v>0</v>
      </c>
      <c r="Q7496">
        <v>1</v>
      </c>
      <c r="R7496" t="s">
        <v>46574</v>
      </c>
      <c r="S7496" t="s">
        <v>46723</v>
      </c>
      <c r="T7496" t="s">
        <v>48256</v>
      </c>
      <c r="U7496" t="s">
        <v>54976</v>
      </c>
      <c r="W7496" t="s">
        <v>45075</v>
      </c>
      <c r="X7496" t="s">
        <v>46577</v>
      </c>
    </row>
    <row r="7497" spans="1:24">
      <c r="A7497">
        <f>HYPERLINK("https://www.philgeps.gov.ph/GEPSNONPILOT/Tender/SplashBidNoticeAbstractUI.aspx?menuIndex=3&amp;refID=7057149&amp;Result=3","7057149")</f>
        <v>0</v>
      </c>
      <c r="B7497" t="s">
        <v>1024</v>
      </c>
      <c r="C7497" t="s">
        <v>10637</v>
      </c>
      <c r="D7497" t="s">
        <v>18801</v>
      </c>
      <c r="E7497" t="s">
        <v>25489</v>
      </c>
      <c r="F7497" t="s">
        <v>32664</v>
      </c>
      <c r="G7497" t="s">
        <v>32671</v>
      </c>
      <c r="H7497" t="s">
        <v>32682</v>
      </c>
      <c r="I7497" t="s">
        <v>32700</v>
      </c>
      <c r="J7497" t="s">
        <v>36864</v>
      </c>
      <c r="K7497" t="s">
        <v>42284</v>
      </c>
      <c r="M7497" t="s">
        <v>43636</v>
      </c>
      <c r="N7497" t="s">
        <v>46569</v>
      </c>
      <c r="O7497" t="s">
        <v>46570</v>
      </c>
      <c r="P7497">
        <v>0</v>
      </c>
      <c r="Q7497">
        <v>0</v>
      </c>
      <c r="R7497" t="s">
        <v>46574</v>
      </c>
      <c r="S7497" t="s">
        <v>46723</v>
      </c>
      <c r="T7497" t="s">
        <v>48473</v>
      </c>
      <c r="U7497" t="s">
        <v>54977</v>
      </c>
      <c r="W7497" t="s">
        <v>43636</v>
      </c>
      <c r="X7497" t="s">
        <v>46577</v>
      </c>
    </row>
    <row r="7498" spans="1:24">
      <c r="A7498">
        <f>HYPERLINK("https://www.philgeps.gov.ph/GEPSNONPILOT/Tender/SplashBidNoticeAbstractUI.aspx?menuIndex=3&amp;refID=7057111&amp;Result=3","7057111")</f>
        <v>0</v>
      </c>
      <c r="B7498" t="s">
        <v>822</v>
      </c>
      <c r="C7498" t="s">
        <v>10638</v>
      </c>
      <c r="E7498" t="s">
        <v>25490</v>
      </c>
      <c r="F7498" t="s">
        <v>32664</v>
      </c>
      <c r="G7498" t="s">
        <v>32672</v>
      </c>
      <c r="H7498" t="s">
        <v>12635</v>
      </c>
      <c r="I7498" t="s">
        <v>32694</v>
      </c>
      <c r="J7498" t="s">
        <v>37407</v>
      </c>
      <c r="K7498" t="s">
        <v>42283</v>
      </c>
      <c r="M7498" t="s">
        <v>44836</v>
      </c>
      <c r="N7498" t="s">
        <v>46569</v>
      </c>
      <c r="O7498" t="s">
        <v>46570</v>
      </c>
      <c r="P7498">
        <v>0</v>
      </c>
      <c r="Q7498">
        <v>1</v>
      </c>
      <c r="R7498" t="s">
        <v>46574</v>
      </c>
      <c r="S7498" t="s">
        <v>46723</v>
      </c>
      <c r="T7498" t="s">
        <v>48282</v>
      </c>
      <c r="U7498" t="s">
        <v>54978</v>
      </c>
      <c r="W7498" t="s">
        <v>44836</v>
      </c>
      <c r="X7498" t="s">
        <v>46577</v>
      </c>
    </row>
    <row r="7499" spans="1:24">
      <c r="A7499">
        <f>HYPERLINK("https://www.philgeps.gov.ph/GEPSNONPILOT/Tender/SplashBidNoticeAbstractUI.aspx?menuIndex=3&amp;refID=7057256&amp;Result=3","7057256")</f>
        <v>0</v>
      </c>
      <c r="B7499" t="s">
        <v>83</v>
      </c>
      <c r="C7499" t="s">
        <v>10639</v>
      </c>
      <c r="D7499" t="s">
        <v>18784</v>
      </c>
      <c r="E7499" t="s">
        <v>25491</v>
      </c>
      <c r="F7499" t="s">
        <v>32664</v>
      </c>
      <c r="G7499" t="s">
        <v>32677</v>
      </c>
      <c r="H7499" t="s">
        <v>12635</v>
      </c>
      <c r="I7499" t="s">
        <v>32701</v>
      </c>
      <c r="J7499" t="s">
        <v>33302</v>
      </c>
      <c r="K7499" t="s">
        <v>42283</v>
      </c>
      <c r="M7499" t="s">
        <v>45058</v>
      </c>
      <c r="N7499" t="s">
        <v>46569</v>
      </c>
      <c r="O7499" t="s">
        <v>46570</v>
      </c>
      <c r="P7499">
        <v>0</v>
      </c>
      <c r="Q7499">
        <v>1</v>
      </c>
      <c r="R7499" t="s">
        <v>46574</v>
      </c>
      <c r="S7499" t="s">
        <v>46723</v>
      </c>
      <c r="T7499" t="s">
        <v>48244</v>
      </c>
      <c r="U7499" t="s">
        <v>54923</v>
      </c>
      <c r="W7499" t="s">
        <v>45058</v>
      </c>
      <c r="X7499" t="s">
        <v>46577</v>
      </c>
    </row>
    <row r="7500" spans="1:24">
      <c r="A7500">
        <f>HYPERLINK("https://www.philgeps.gov.ph/GEPSNONPILOT/Tender/SplashBidNoticeAbstractUI.aspx?menuIndex=3&amp;refID=7057227&amp;Result=3","7057227")</f>
        <v>0</v>
      </c>
      <c r="B7500" t="s">
        <v>2300</v>
      </c>
      <c r="C7500" t="s">
        <v>10640</v>
      </c>
      <c r="D7500" t="s">
        <v>18804</v>
      </c>
      <c r="E7500" t="s">
        <v>19484</v>
      </c>
      <c r="F7500" t="s">
        <v>32664</v>
      </c>
      <c r="G7500" t="s">
        <v>32672</v>
      </c>
      <c r="H7500" t="s">
        <v>32683</v>
      </c>
      <c r="I7500" t="s">
        <v>10627</v>
      </c>
      <c r="J7500" t="s">
        <v>37408</v>
      </c>
      <c r="K7500" t="s">
        <v>42464</v>
      </c>
      <c r="M7500" t="s">
        <v>45071</v>
      </c>
      <c r="N7500" t="s">
        <v>46569</v>
      </c>
      <c r="O7500" t="s">
        <v>46570</v>
      </c>
      <c r="P7500">
        <v>0</v>
      </c>
      <c r="Q7500">
        <v>4</v>
      </c>
      <c r="R7500" t="s">
        <v>46574</v>
      </c>
      <c r="S7500" t="s">
        <v>46723</v>
      </c>
      <c r="T7500" t="s">
        <v>48369</v>
      </c>
      <c r="U7500" t="s">
        <v>54969</v>
      </c>
      <c r="W7500" t="s">
        <v>45071</v>
      </c>
      <c r="X7500" t="s">
        <v>46577</v>
      </c>
    </row>
    <row r="7501" spans="1:24">
      <c r="A7501">
        <f>HYPERLINK("https://www.philgeps.gov.ph/GEPSNONPILOT/Tender/SplashBidNoticeAbstractUI.aspx?menuIndex=3&amp;refID=7056956&amp;Result=3","7056956")</f>
        <v>0</v>
      </c>
      <c r="B7501" t="s">
        <v>2301</v>
      </c>
      <c r="C7501" t="s">
        <v>10641</v>
      </c>
      <c r="D7501" t="s">
        <v>18842</v>
      </c>
      <c r="E7501" t="s">
        <v>25492</v>
      </c>
      <c r="F7501" t="s">
        <v>32664</v>
      </c>
      <c r="G7501" t="s">
        <v>32672</v>
      </c>
      <c r="H7501" t="s">
        <v>32683</v>
      </c>
      <c r="I7501" t="s">
        <v>10627</v>
      </c>
      <c r="J7501" t="s">
        <v>34559</v>
      </c>
      <c r="K7501" t="s">
        <v>42311</v>
      </c>
      <c r="M7501" t="s">
        <v>45073</v>
      </c>
      <c r="N7501" t="s">
        <v>46569</v>
      </c>
      <c r="O7501" t="s">
        <v>46570</v>
      </c>
      <c r="P7501">
        <v>0</v>
      </c>
      <c r="Q7501">
        <v>0</v>
      </c>
      <c r="R7501" t="s">
        <v>46574</v>
      </c>
      <c r="S7501" t="s">
        <v>46723</v>
      </c>
      <c r="T7501" t="s">
        <v>48302</v>
      </c>
      <c r="U7501" t="s">
        <v>53932</v>
      </c>
      <c r="V7501" t="s">
        <v>62370</v>
      </c>
      <c r="W7501" t="s">
        <v>45073</v>
      </c>
      <c r="X7501" t="s">
        <v>46577</v>
      </c>
    </row>
    <row r="7502" spans="1:24">
      <c r="A7502">
        <f>HYPERLINK("https://www.philgeps.gov.ph/GEPSNONPILOT/Tender/SplashBidNoticeAbstractUI.aspx?menuIndex=3&amp;refID=7057257&amp;Result=3","7057257")</f>
        <v>0</v>
      </c>
      <c r="B7502" t="s">
        <v>2300</v>
      </c>
      <c r="C7502" t="s">
        <v>10642</v>
      </c>
      <c r="D7502" t="s">
        <v>18804</v>
      </c>
      <c r="E7502" t="s">
        <v>20076</v>
      </c>
      <c r="F7502" t="s">
        <v>32664</v>
      </c>
      <c r="G7502" t="s">
        <v>32672</v>
      </c>
      <c r="H7502" t="s">
        <v>32683</v>
      </c>
      <c r="I7502" t="s">
        <v>10627</v>
      </c>
      <c r="J7502" t="s">
        <v>37409</v>
      </c>
      <c r="K7502" t="s">
        <v>42464</v>
      </c>
      <c r="M7502" t="s">
        <v>45071</v>
      </c>
      <c r="N7502" t="s">
        <v>46569</v>
      </c>
      <c r="O7502" t="s">
        <v>46570</v>
      </c>
      <c r="P7502">
        <v>0</v>
      </c>
      <c r="Q7502">
        <v>3</v>
      </c>
      <c r="R7502" t="s">
        <v>46574</v>
      </c>
      <c r="S7502" t="s">
        <v>46723</v>
      </c>
      <c r="T7502" t="s">
        <v>48369</v>
      </c>
      <c r="U7502" t="s">
        <v>54969</v>
      </c>
      <c r="W7502" t="s">
        <v>45071</v>
      </c>
      <c r="X7502" t="s">
        <v>46577</v>
      </c>
    </row>
    <row r="7503" spans="1:24">
      <c r="A7503">
        <f>HYPERLINK("https://www.philgeps.gov.ph/GEPSNONPILOT/Tender/SplashBidNoticeAbstractUI.aspx?menuIndex=3&amp;refID=7057235&amp;Result=3","7057235")</f>
        <v>0</v>
      </c>
      <c r="B7503" t="s">
        <v>2302</v>
      </c>
      <c r="C7503" t="s">
        <v>10643</v>
      </c>
      <c r="D7503" t="s">
        <v>18801</v>
      </c>
      <c r="E7503" t="s">
        <v>25493</v>
      </c>
      <c r="F7503" t="s">
        <v>32664</v>
      </c>
      <c r="G7503" t="s">
        <v>32672</v>
      </c>
      <c r="H7503" t="s">
        <v>12635</v>
      </c>
      <c r="I7503" t="s">
        <v>9486</v>
      </c>
      <c r="J7503" t="s">
        <v>37410</v>
      </c>
      <c r="K7503" t="s">
        <v>42298</v>
      </c>
      <c r="M7503" t="s">
        <v>45074</v>
      </c>
      <c r="N7503" t="s">
        <v>46569</v>
      </c>
      <c r="O7503" t="s">
        <v>46570</v>
      </c>
      <c r="P7503">
        <v>0</v>
      </c>
      <c r="Q7503">
        <v>9</v>
      </c>
      <c r="R7503" t="s">
        <v>46574</v>
      </c>
      <c r="S7503" t="s">
        <v>46723</v>
      </c>
      <c r="T7503" t="s">
        <v>48526</v>
      </c>
      <c r="U7503" t="s">
        <v>54979</v>
      </c>
      <c r="W7503" t="s">
        <v>45074</v>
      </c>
      <c r="X7503" t="s">
        <v>46577</v>
      </c>
    </row>
    <row r="7504" spans="1:24">
      <c r="A7504">
        <f>HYPERLINK("https://www.philgeps.gov.ph/GEPSNONPILOT/Tender/SplashBidNoticeAbstractUI.aspx?menuIndex=3&amp;refID=7057206&amp;Result=3","7057206")</f>
        <v>0</v>
      </c>
      <c r="B7504" t="s">
        <v>1305</v>
      </c>
      <c r="C7504" t="s">
        <v>10644</v>
      </c>
      <c r="D7504" t="s">
        <v>18822</v>
      </c>
      <c r="E7504" t="s">
        <v>25494</v>
      </c>
      <c r="F7504" t="s">
        <v>32664</v>
      </c>
      <c r="G7504" t="s">
        <v>32672</v>
      </c>
      <c r="H7504" t="s">
        <v>12635</v>
      </c>
      <c r="I7504" t="s">
        <v>11464</v>
      </c>
      <c r="J7504" t="s">
        <v>37411</v>
      </c>
      <c r="K7504" t="s">
        <v>42283</v>
      </c>
      <c r="M7504" t="s">
        <v>43950</v>
      </c>
      <c r="N7504" t="s">
        <v>46569</v>
      </c>
      <c r="O7504" t="s">
        <v>46570</v>
      </c>
      <c r="P7504">
        <v>0</v>
      </c>
      <c r="Q7504">
        <v>14</v>
      </c>
      <c r="R7504" t="s">
        <v>46574</v>
      </c>
      <c r="S7504" t="s">
        <v>46723</v>
      </c>
      <c r="T7504" t="s">
        <v>48349</v>
      </c>
      <c r="U7504" t="s">
        <v>54980</v>
      </c>
      <c r="W7504" t="s">
        <v>43950</v>
      </c>
      <c r="X7504" t="s">
        <v>46577</v>
      </c>
    </row>
    <row r="7505" spans="1:24">
      <c r="A7505">
        <f>HYPERLINK("https://www.philgeps.gov.ph/GEPSNONPILOT/Tender/SplashBidNoticeAbstractUI.aspx?menuIndex=3&amp;refID=7057226&amp;Result=3","7057226")</f>
        <v>0</v>
      </c>
      <c r="B7505" t="s">
        <v>2304</v>
      </c>
      <c r="C7505" t="s">
        <v>10645</v>
      </c>
      <c r="D7505" t="s">
        <v>18784</v>
      </c>
      <c r="E7505" t="s">
        <v>20330</v>
      </c>
      <c r="F7505" t="s">
        <v>32665</v>
      </c>
      <c r="G7505" t="s">
        <v>32672</v>
      </c>
      <c r="H7505" t="s">
        <v>12635</v>
      </c>
      <c r="I7505" t="s">
        <v>7324</v>
      </c>
      <c r="J7505" t="s">
        <v>32865</v>
      </c>
      <c r="K7505" t="s">
        <v>42281</v>
      </c>
      <c r="M7505" t="s">
        <v>45076</v>
      </c>
      <c r="N7505" t="s">
        <v>46569</v>
      </c>
      <c r="O7505" t="s">
        <v>46570</v>
      </c>
      <c r="P7505">
        <v>0</v>
      </c>
      <c r="Q7505">
        <v>2</v>
      </c>
      <c r="R7505" t="s">
        <v>46574</v>
      </c>
      <c r="S7505" t="s">
        <v>46723</v>
      </c>
      <c r="T7505" t="s">
        <v>48601</v>
      </c>
      <c r="U7505" t="s">
        <v>54981</v>
      </c>
      <c r="W7505" t="s">
        <v>45076</v>
      </c>
      <c r="X7505" t="s">
        <v>46577</v>
      </c>
    </row>
    <row r="7506" spans="1:24">
      <c r="A7506">
        <f>HYPERLINK("https://www.philgeps.gov.ph/GEPSNONPILOT/Tender/SplashBidNoticeAbstractUI.aspx?menuIndex=3&amp;refID=7057224&amp;Result=3","7057224")</f>
        <v>0</v>
      </c>
      <c r="B7506" t="s">
        <v>822</v>
      </c>
      <c r="C7506" t="s">
        <v>10646</v>
      </c>
      <c r="E7506" t="s">
        <v>25495</v>
      </c>
      <c r="F7506" t="s">
        <v>32664</v>
      </c>
      <c r="G7506" t="s">
        <v>32671</v>
      </c>
      <c r="H7506" t="s">
        <v>12635</v>
      </c>
      <c r="I7506" t="s">
        <v>9486</v>
      </c>
      <c r="J7506" t="s">
        <v>37412</v>
      </c>
      <c r="K7506" t="s">
        <v>42283</v>
      </c>
      <c r="M7506" t="s">
        <v>44836</v>
      </c>
      <c r="N7506" t="s">
        <v>46569</v>
      </c>
      <c r="O7506" t="s">
        <v>46570</v>
      </c>
      <c r="P7506">
        <v>0</v>
      </c>
      <c r="Q7506">
        <v>2</v>
      </c>
      <c r="R7506" t="s">
        <v>46574</v>
      </c>
      <c r="S7506" t="s">
        <v>46723</v>
      </c>
      <c r="T7506" t="s">
        <v>48228</v>
      </c>
      <c r="U7506" t="s">
        <v>54982</v>
      </c>
      <c r="W7506" t="s">
        <v>44836</v>
      </c>
      <c r="X7506" t="s">
        <v>46577</v>
      </c>
    </row>
    <row r="7507" spans="1:24">
      <c r="A7507">
        <f>HYPERLINK("https://www.philgeps.gov.ph/GEPSNONPILOT/Tender/SplashBidNoticeAbstractUI.aspx?menuIndex=3&amp;refID=7057187&amp;Result=3","7057187")</f>
        <v>0</v>
      </c>
      <c r="B7507" t="s">
        <v>1817</v>
      </c>
      <c r="C7507" t="s">
        <v>10647</v>
      </c>
      <c r="D7507" t="s">
        <v>18827</v>
      </c>
      <c r="E7507" t="s">
        <v>25496</v>
      </c>
      <c r="F7507" t="s">
        <v>32664</v>
      </c>
      <c r="G7507" t="s">
        <v>32674</v>
      </c>
      <c r="H7507" t="s">
        <v>12635</v>
      </c>
      <c r="I7507" t="s">
        <v>32699</v>
      </c>
      <c r="J7507" t="s">
        <v>36406</v>
      </c>
      <c r="K7507" t="s">
        <v>42295</v>
      </c>
      <c r="M7507" t="s">
        <v>44523</v>
      </c>
      <c r="N7507" t="s">
        <v>46569</v>
      </c>
      <c r="O7507" t="s">
        <v>46570</v>
      </c>
      <c r="P7507">
        <v>0</v>
      </c>
      <c r="Q7507">
        <v>1</v>
      </c>
      <c r="R7507" t="s">
        <v>46574</v>
      </c>
      <c r="S7507" t="s">
        <v>46723</v>
      </c>
      <c r="T7507" t="s">
        <v>48578</v>
      </c>
      <c r="U7507" t="s">
        <v>54983</v>
      </c>
      <c r="W7507" t="s">
        <v>44523</v>
      </c>
      <c r="X7507" t="s">
        <v>46577</v>
      </c>
    </row>
    <row r="7508" spans="1:24">
      <c r="A7508">
        <f>HYPERLINK("https://www.philgeps.gov.ph/GEPSNONPILOT/Tender/SplashBidNoticeAbstractUI.aspx?menuIndex=3&amp;refID=7057104&amp;Result=3","7057104")</f>
        <v>0</v>
      </c>
      <c r="B7508" t="s">
        <v>2293</v>
      </c>
      <c r="C7508" t="s">
        <v>10648</v>
      </c>
      <c r="D7508" t="s">
        <v>18802</v>
      </c>
      <c r="E7508" t="s">
        <v>25230</v>
      </c>
      <c r="F7508" t="s">
        <v>32664</v>
      </c>
      <c r="G7508" t="s">
        <v>32672</v>
      </c>
      <c r="H7508" t="s">
        <v>12635</v>
      </c>
      <c r="I7508" t="s">
        <v>32736</v>
      </c>
      <c r="J7508" t="s">
        <v>37413</v>
      </c>
      <c r="K7508" t="s">
        <v>42298</v>
      </c>
      <c r="M7508" t="s">
        <v>45064</v>
      </c>
      <c r="N7508" t="s">
        <v>46569</v>
      </c>
      <c r="O7508" t="s">
        <v>46570</v>
      </c>
      <c r="P7508">
        <v>0</v>
      </c>
      <c r="Q7508">
        <v>1</v>
      </c>
      <c r="R7508" t="s">
        <v>46574</v>
      </c>
      <c r="S7508" t="s">
        <v>46723</v>
      </c>
      <c r="T7508" t="s">
        <v>48308</v>
      </c>
      <c r="U7508" t="s">
        <v>54942</v>
      </c>
      <c r="W7508" t="s">
        <v>45064</v>
      </c>
      <c r="X7508" t="s">
        <v>46577</v>
      </c>
    </row>
    <row r="7509" spans="1:24">
      <c r="A7509">
        <f>HYPERLINK("https://www.philgeps.gov.ph/GEPSNONPILOT/Tender/SplashBidNoticeAbstractUI.aspx?menuIndex=3&amp;refID=7057269&amp;Result=3","7057269")</f>
        <v>0</v>
      </c>
      <c r="B7509" t="s">
        <v>2077</v>
      </c>
      <c r="C7509" t="s">
        <v>10649</v>
      </c>
      <c r="D7509" t="s">
        <v>18856</v>
      </c>
      <c r="E7509" t="s">
        <v>25497</v>
      </c>
      <c r="F7509" t="s">
        <v>32664</v>
      </c>
      <c r="G7509" t="s">
        <v>32672</v>
      </c>
      <c r="H7509" t="s">
        <v>32683</v>
      </c>
      <c r="I7509" t="s">
        <v>10627</v>
      </c>
      <c r="J7509" t="s">
        <v>37414</v>
      </c>
      <c r="K7509" t="s">
        <v>42465</v>
      </c>
      <c r="M7509" t="s">
        <v>44829</v>
      </c>
      <c r="N7509" t="s">
        <v>46569</v>
      </c>
      <c r="O7509" t="s">
        <v>46570</v>
      </c>
      <c r="P7509">
        <v>0</v>
      </c>
      <c r="Q7509">
        <v>6</v>
      </c>
      <c r="R7509" t="s">
        <v>46574</v>
      </c>
      <c r="S7509" t="s">
        <v>46723</v>
      </c>
      <c r="T7509" t="s">
        <v>48220</v>
      </c>
      <c r="U7509" t="s">
        <v>54984</v>
      </c>
      <c r="W7509" t="s">
        <v>44829</v>
      </c>
      <c r="X7509" t="s">
        <v>46577</v>
      </c>
    </row>
    <row r="7510" spans="1:24">
      <c r="A7510">
        <f>HYPERLINK("https://www.philgeps.gov.ph/GEPSNONPILOT/Tender/SplashBidNoticeAbstractUI.aspx?menuIndex=3&amp;refID=7057100&amp;Result=3","7057100")</f>
        <v>0</v>
      </c>
      <c r="B7510" t="s">
        <v>2298</v>
      </c>
      <c r="C7510" t="s">
        <v>10650</v>
      </c>
      <c r="E7510" t="s">
        <v>25498</v>
      </c>
      <c r="F7510" t="s">
        <v>32664</v>
      </c>
      <c r="G7510" t="s">
        <v>32672</v>
      </c>
      <c r="H7510" t="s">
        <v>32682</v>
      </c>
      <c r="I7510" t="s">
        <v>6223</v>
      </c>
      <c r="J7510" t="s">
        <v>37415</v>
      </c>
      <c r="K7510" t="s">
        <v>42298</v>
      </c>
      <c r="M7510" t="s">
        <v>45069</v>
      </c>
      <c r="N7510" t="s">
        <v>46569</v>
      </c>
      <c r="O7510" t="s">
        <v>46570</v>
      </c>
      <c r="P7510">
        <v>0</v>
      </c>
      <c r="Q7510">
        <v>2</v>
      </c>
      <c r="R7510" t="s">
        <v>46574</v>
      </c>
      <c r="S7510" t="s">
        <v>46723</v>
      </c>
      <c r="T7510" t="s">
        <v>48305</v>
      </c>
      <c r="U7510" t="s">
        <v>54985</v>
      </c>
      <c r="W7510" t="s">
        <v>45069</v>
      </c>
      <c r="X7510" t="s">
        <v>46577</v>
      </c>
    </row>
    <row r="7511" spans="1:24">
      <c r="A7511">
        <f>HYPERLINK("https://www.philgeps.gov.ph/GEPSNONPILOT/Tender/SplashBidNoticeAbstractUI.aspx?menuIndex=3&amp;refID=7057090&amp;Result=3","7057090")</f>
        <v>0</v>
      </c>
      <c r="B7511" t="s">
        <v>203</v>
      </c>
      <c r="C7511" t="s">
        <v>10651</v>
      </c>
      <c r="D7511" t="s">
        <v>18842</v>
      </c>
      <c r="E7511" t="s">
        <v>25499</v>
      </c>
      <c r="F7511" t="s">
        <v>32664</v>
      </c>
      <c r="G7511" t="s">
        <v>32671</v>
      </c>
      <c r="H7511" t="s">
        <v>12635</v>
      </c>
      <c r="I7511" t="s">
        <v>32719</v>
      </c>
      <c r="J7511" t="s">
        <v>37078</v>
      </c>
      <c r="K7511" t="s">
        <v>42284</v>
      </c>
      <c r="M7511" t="s">
        <v>43862</v>
      </c>
      <c r="N7511" t="s">
        <v>46569</v>
      </c>
      <c r="O7511" t="s">
        <v>46570</v>
      </c>
      <c r="P7511">
        <v>0</v>
      </c>
      <c r="Q7511">
        <v>10</v>
      </c>
      <c r="R7511" t="s">
        <v>46574</v>
      </c>
      <c r="S7511" t="s">
        <v>46723</v>
      </c>
      <c r="T7511" t="s">
        <v>48219</v>
      </c>
      <c r="U7511" t="s">
        <v>54986</v>
      </c>
      <c r="V7511" t="s">
        <v>61935</v>
      </c>
      <c r="W7511" t="s">
        <v>43862</v>
      </c>
      <c r="X7511" t="s">
        <v>46577</v>
      </c>
    </row>
    <row r="7512" spans="1:24">
      <c r="A7512">
        <f>HYPERLINK("https://www.philgeps.gov.ph/GEPSNONPILOT/Tender/SplashBidNoticeAbstractUI.aspx?menuIndex=3&amp;refID=7057077&amp;Result=3","7057077")</f>
        <v>0</v>
      </c>
      <c r="B7512" t="s">
        <v>915</v>
      </c>
      <c r="C7512" t="s">
        <v>10652</v>
      </c>
      <c r="D7512" t="s">
        <v>18784</v>
      </c>
      <c r="E7512" t="s">
        <v>25500</v>
      </c>
      <c r="F7512" t="s">
        <v>32664</v>
      </c>
      <c r="G7512" t="s">
        <v>32671</v>
      </c>
      <c r="H7512" t="s">
        <v>12635</v>
      </c>
      <c r="I7512" t="s">
        <v>32716</v>
      </c>
      <c r="J7512" t="s">
        <v>33478</v>
      </c>
      <c r="K7512" t="s">
        <v>42283</v>
      </c>
      <c r="M7512" t="s">
        <v>43879</v>
      </c>
      <c r="N7512" t="s">
        <v>46569</v>
      </c>
      <c r="O7512" t="s">
        <v>46570</v>
      </c>
      <c r="P7512">
        <v>0</v>
      </c>
      <c r="Q7512">
        <v>5</v>
      </c>
      <c r="R7512" t="s">
        <v>46574</v>
      </c>
      <c r="S7512" t="s">
        <v>46723</v>
      </c>
      <c r="T7512" t="s">
        <v>48449</v>
      </c>
      <c r="U7512" t="s">
        <v>50592</v>
      </c>
      <c r="W7512" t="s">
        <v>43879</v>
      </c>
      <c r="X7512" t="s">
        <v>46577</v>
      </c>
    </row>
    <row r="7513" spans="1:24">
      <c r="A7513">
        <f>HYPERLINK("https://www.philgeps.gov.ph/GEPSNONPILOT/Tender/SplashBidNoticeAbstractUI.aspx?menuIndex=3&amp;refID=7057066&amp;Result=3","7057066")</f>
        <v>0</v>
      </c>
      <c r="B7513" t="s">
        <v>2077</v>
      </c>
      <c r="C7513" t="s">
        <v>10653</v>
      </c>
      <c r="D7513" t="s">
        <v>18856</v>
      </c>
      <c r="E7513" t="s">
        <v>25501</v>
      </c>
      <c r="F7513" t="s">
        <v>32664</v>
      </c>
      <c r="G7513" t="s">
        <v>32672</v>
      </c>
      <c r="H7513" t="s">
        <v>32683</v>
      </c>
      <c r="I7513" t="s">
        <v>10627</v>
      </c>
      <c r="J7513" t="s">
        <v>37416</v>
      </c>
      <c r="K7513" t="s">
        <v>42399</v>
      </c>
      <c r="M7513" t="s">
        <v>44829</v>
      </c>
      <c r="N7513" t="s">
        <v>46569</v>
      </c>
      <c r="O7513" t="s">
        <v>46570</v>
      </c>
      <c r="P7513">
        <v>0</v>
      </c>
      <c r="Q7513">
        <v>4</v>
      </c>
      <c r="R7513" t="s">
        <v>46574</v>
      </c>
      <c r="S7513" t="s">
        <v>46723</v>
      </c>
      <c r="T7513" t="s">
        <v>48261</v>
      </c>
      <c r="U7513" t="s">
        <v>54987</v>
      </c>
      <c r="W7513" t="s">
        <v>44829</v>
      </c>
      <c r="X7513" t="s">
        <v>46577</v>
      </c>
    </row>
    <row r="7514" spans="1:24">
      <c r="A7514">
        <f>HYPERLINK("https://www.philgeps.gov.ph/GEPSNONPILOT/Tender/SplashBidNoticeAbstractUI.aspx?menuIndex=3&amp;refID=7057388&amp;Result=3","7057388")</f>
        <v>0</v>
      </c>
      <c r="B7514" t="s">
        <v>1540</v>
      </c>
      <c r="C7514" t="s">
        <v>10654</v>
      </c>
      <c r="D7514" t="s">
        <v>18838</v>
      </c>
      <c r="E7514" t="s">
        <v>25502</v>
      </c>
      <c r="F7514" t="s">
        <v>32664</v>
      </c>
      <c r="G7514" t="s">
        <v>32671</v>
      </c>
      <c r="H7514" t="s">
        <v>12635</v>
      </c>
      <c r="I7514" t="s">
        <v>6223</v>
      </c>
      <c r="J7514" t="s">
        <v>32853</v>
      </c>
      <c r="K7514" t="s">
        <v>42283</v>
      </c>
      <c r="M7514" t="s">
        <v>44209</v>
      </c>
      <c r="N7514" t="s">
        <v>46569</v>
      </c>
      <c r="O7514" t="s">
        <v>46570</v>
      </c>
      <c r="P7514">
        <v>0</v>
      </c>
      <c r="Q7514">
        <v>0</v>
      </c>
      <c r="R7514" t="s">
        <v>46574</v>
      </c>
      <c r="S7514" t="s">
        <v>46723</v>
      </c>
      <c r="T7514" t="s">
        <v>48256</v>
      </c>
      <c r="U7514" t="s">
        <v>54988</v>
      </c>
      <c r="W7514" t="s">
        <v>44209</v>
      </c>
      <c r="X7514" t="s">
        <v>46577</v>
      </c>
    </row>
    <row r="7515" spans="1:24">
      <c r="A7515">
        <f>HYPERLINK("https://www.philgeps.gov.ph/GEPSNONPILOT/Tender/SplashBidNoticeAbstractUI.aspx?menuIndex=3&amp;refID=7057404&amp;Result=3","7057404")</f>
        <v>0</v>
      </c>
      <c r="B7515" t="s">
        <v>1778</v>
      </c>
      <c r="C7515" t="s">
        <v>10655</v>
      </c>
      <c r="D7515" t="s">
        <v>18837</v>
      </c>
      <c r="E7515" t="s">
        <v>19452</v>
      </c>
      <c r="F7515" t="s">
        <v>32664</v>
      </c>
      <c r="G7515" t="s">
        <v>32674</v>
      </c>
      <c r="H7515" t="s">
        <v>12635</v>
      </c>
      <c r="I7515" t="s">
        <v>8797</v>
      </c>
      <c r="J7515" t="s">
        <v>33069</v>
      </c>
      <c r="K7515" t="s">
        <v>42283</v>
      </c>
      <c r="M7515" t="s">
        <v>44480</v>
      </c>
      <c r="N7515" t="s">
        <v>46569</v>
      </c>
      <c r="O7515" t="s">
        <v>46570</v>
      </c>
      <c r="P7515">
        <v>0</v>
      </c>
      <c r="Q7515">
        <v>3</v>
      </c>
      <c r="R7515" t="s">
        <v>46574</v>
      </c>
      <c r="S7515" t="s">
        <v>46723</v>
      </c>
      <c r="T7515" t="s">
        <v>48562</v>
      </c>
      <c r="U7515" t="s">
        <v>54989</v>
      </c>
      <c r="W7515" t="s">
        <v>44480</v>
      </c>
      <c r="X7515" t="s">
        <v>46577</v>
      </c>
    </row>
    <row r="7516" spans="1:24">
      <c r="A7516">
        <f>HYPERLINK("https://www.philgeps.gov.ph/GEPSNONPILOT/Tender/SplashBidNoticeAbstractUI.aspx?menuIndex=3&amp;refID=7057190&amp;Result=3","7057190")</f>
        <v>0</v>
      </c>
      <c r="B7516" t="s">
        <v>2302</v>
      </c>
      <c r="C7516" t="s">
        <v>10643</v>
      </c>
      <c r="D7516" t="s">
        <v>18801</v>
      </c>
      <c r="E7516" t="s">
        <v>25503</v>
      </c>
      <c r="F7516" t="s">
        <v>32664</v>
      </c>
      <c r="G7516" t="s">
        <v>32672</v>
      </c>
      <c r="H7516" t="s">
        <v>12635</v>
      </c>
      <c r="I7516" t="s">
        <v>9486</v>
      </c>
      <c r="J7516" t="s">
        <v>32982</v>
      </c>
      <c r="K7516" t="s">
        <v>42298</v>
      </c>
      <c r="M7516" t="s">
        <v>45074</v>
      </c>
      <c r="N7516" t="s">
        <v>46569</v>
      </c>
      <c r="O7516" t="s">
        <v>46570</v>
      </c>
      <c r="P7516">
        <v>0</v>
      </c>
      <c r="Q7516">
        <v>11</v>
      </c>
      <c r="R7516" t="s">
        <v>46574</v>
      </c>
      <c r="S7516" t="s">
        <v>46723</v>
      </c>
      <c r="T7516" t="s">
        <v>48526</v>
      </c>
      <c r="U7516" t="s">
        <v>54990</v>
      </c>
      <c r="W7516" t="s">
        <v>45074</v>
      </c>
      <c r="X7516" t="s">
        <v>46577</v>
      </c>
    </row>
    <row r="7517" spans="1:24">
      <c r="A7517">
        <f>HYPERLINK("https://www.philgeps.gov.ph/GEPSNONPILOT/Tender/SplashBidNoticeAbstractUI.aspx?menuIndex=3&amp;refID=7057385&amp;Result=3","7057385")</f>
        <v>0</v>
      </c>
      <c r="B7517" t="s">
        <v>1612</v>
      </c>
      <c r="C7517" t="s">
        <v>10656</v>
      </c>
      <c r="D7517" t="s">
        <v>18821</v>
      </c>
      <c r="E7517" t="s">
        <v>25504</v>
      </c>
      <c r="F7517" t="s">
        <v>32664</v>
      </c>
      <c r="G7517" t="s">
        <v>32672</v>
      </c>
      <c r="H7517" t="s">
        <v>32683</v>
      </c>
      <c r="I7517" t="s">
        <v>10627</v>
      </c>
      <c r="J7517" t="s">
        <v>32981</v>
      </c>
      <c r="K7517" t="s">
        <v>42466</v>
      </c>
      <c r="M7517" t="s">
        <v>45072</v>
      </c>
      <c r="N7517" t="s">
        <v>46569</v>
      </c>
      <c r="O7517" t="s">
        <v>46570</v>
      </c>
      <c r="P7517">
        <v>0</v>
      </c>
      <c r="Q7517">
        <v>31</v>
      </c>
      <c r="R7517" t="s">
        <v>46574</v>
      </c>
      <c r="S7517" t="s">
        <v>46723</v>
      </c>
      <c r="T7517" t="s">
        <v>48385</v>
      </c>
      <c r="U7517" t="s">
        <v>54991</v>
      </c>
      <c r="W7517" t="s">
        <v>45072</v>
      </c>
      <c r="X7517" t="s">
        <v>46577</v>
      </c>
    </row>
    <row r="7518" spans="1:24">
      <c r="A7518">
        <f>HYPERLINK("https://www.philgeps.gov.ph/GEPSNONPILOT/Tender/SplashBidNoticeAbstractUI.aspx?menuIndex=3&amp;refID=7057384&amp;Result=3","7057384")</f>
        <v>0</v>
      </c>
      <c r="B7518" t="s">
        <v>2281</v>
      </c>
      <c r="C7518" t="s">
        <v>10657</v>
      </c>
      <c r="D7518" t="s">
        <v>18845</v>
      </c>
      <c r="E7518" t="s">
        <v>25505</v>
      </c>
      <c r="F7518" t="s">
        <v>32664</v>
      </c>
      <c r="G7518" t="s">
        <v>32672</v>
      </c>
      <c r="H7518" t="s">
        <v>32683</v>
      </c>
      <c r="I7518" t="s">
        <v>10627</v>
      </c>
      <c r="J7518" t="s">
        <v>32943</v>
      </c>
      <c r="K7518" t="s">
        <v>42411</v>
      </c>
      <c r="M7518" t="s">
        <v>45048</v>
      </c>
      <c r="N7518" t="s">
        <v>46569</v>
      </c>
      <c r="O7518" t="s">
        <v>46570</v>
      </c>
      <c r="P7518">
        <v>0</v>
      </c>
      <c r="Q7518">
        <v>0</v>
      </c>
      <c r="R7518" t="s">
        <v>46574</v>
      </c>
      <c r="S7518" t="s">
        <v>46723</v>
      </c>
      <c r="T7518" t="s">
        <v>48302</v>
      </c>
      <c r="U7518" t="s">
        <v>54992</v>
      </c>
      <c r="W7518" t="s">
        <v>45048</v>
      </c>
      <c r="X7518" t="s">
        <v>46577</v>
      </c>
    </row>
    <row r="7519" spans="1:24">
      <c r="A7519">
        <f>HYPERLINK("https://www.philgeps.gov.ph/GEPSNONPILOT/Tender/SplashBidNoticeAbstractUI.aspx?menuIndex=3&amp;refID=7057393&amp;Result=3","7057393")</f>
        <v>0</v>
      </c>
      <c r="B7519" t="s">
        <v>908</v>
      </c>
      <c r="C7519" t="s">
        <v>10658</v>
      </c>
      <c r="E7519" t="s">
        <v>25506</v>
      </c>
      <c r="F7519" t="s">
        <v>32664</v>
      </c>
      <c r="G7519" t="s">
        <v>32671</v>
      </c>
      <c r="H7519" t="s">
        <v>32682</v>
      </c>
      <c r="I7519" t="s">
        <v>32719</v>
      </c>
      <c r="J7519" t="s">
        <v>37322</v>
      </c>
      <c r="K7519" t="s">
        <v>42289</v>
      </c>
      <c r="M7519" t="s">
        <v>43514</v>
      </c>
      <c r="N7519" t="s">
        <v>46569</v>
      </c>
      <c r="O7519" t="s">
        <v>46570</v>
      </c>
      <c r="P7519">
        <v>0</v>
      </c>
      <c r="Q7519">
        <v>6</v>
      </c>
      <c r="R7519" t="s">
        <v>46574</v>
      </c>
      <c r="S7519" t="s">
        <v>46723</v>
      </c>
      <c r="T7519" t="s">
        <v>48221</v>
      </c>
      <c r="U7519" t="s">
        <v>54993</v>
      </c>
      <c r="W7519" t="s">
        <v>43514</v>
      </c>
      <c r="X7519" t="s">
        <v>46577</v>
      </c>
    </row>
    <row r="7520" spans="1:24">
      <c r="A7520">
        <f>HYPERLINK("https://www.philgeps.gov.ph/GEPSNONPILOT/Tender/SplashBidNoticeAbstractUI.aspx?menuIndex=3&amp;refID=7057365&amp;Result=3","7057365")</f>
        <v>0</v>
      </c>
      <c r="B7520" t="s">
        <v>947</v>
      </c>
      <c r="C7520" t="s">
        <v>10659</v>
      </c>
      <c r="D7520" t="s">
        <v>18787</v>
      </c>
      <c r="E7520" t="s">
        <v>25507</v>
      </c>
      <c r="F7520" t="s">
        <v>32664</v>
      </c>
      <c r="G7520" t="s">
        <v>32671</v>
      </c>
      <c r="H7520" t="s">
        <v>12635</v>
      </c>
      <c r="I7520" t="s">
        <v>6628</v>
      </c>
      <c r="J7520" t="s">
        <v>33069</v>
      </c>
      <c r="K7520" t="s">
        <v>42295</v>
      </c>
      <c r="M7520" t="s">
        <v>44838</v>
      </c>
      <c r="N7520" t="s">
        <v>46569</v>
      </c>
      <c r="O7520" t="s">
        <v>46570</v>
      </c>
      <c r="P7520">
        <v>0</v>
      </c>
      <c r="Q7520">
        <v>0</v>
      </c>
      <c r="R7520" t="s">
        <v>46574</v>
      </c>
      <c r="S7520" t="s">
        <v>46723</v>
      </c>
      <c r="T7520" t="s">
        <v>48473</v>
      </c>
      <c r="U7520" t="s">
        <v>54994</v>
      </c>
      <c r="W7520" t="s">
        <v>44838</v>
      </c>
      <c r="X7520" t="s">
        <v>46577</v>
      </c>
    </row>
    <row r="7521" spans="1:24">
      <c r="A7521">
        <f>HYPERLINK("https://www.philgeps.gov.ph/GEPSNONPILOT/Tender/SplashBidNoticeAbstractUI.aspx?menuIndex=3&amp;refID=7057082&amp;Result=3","7057082")</f>
        <v>0</v>
      </c>
      <c r="B7521" t="s">
        <v>110</v>
      </c>
      <c r="C7521" t="s">
        <v>10660</v>
      </c>
      <c r="D7521" t="s">
        <v>18826</v>
      </c>
      <c r="E7521" t="s">
        <v>25508</v>
      </c>
      <c r="F7521" t="s">
        <v>32664</v>
      </c>
      <c r="G7521" t="s">
        <v>32672</v>
      </c>
      <c r="H7521" t="s">
        <v>32683</v>
      </c>
      <c r="I7521" t="s">
        <v>10627</v>
      </c>
      <c r="J7521" t="s">
        <v>37417</v>
      </c>
      <c r="K7521" t="s">
        <v>42312</v>
      </c>
      <c r="M7521" t="s">
        <v>43665</v>
      </c>
      <c r="N7521" t="s">
        <v>46569</v>
      </c>
      <c r="O7521" t="s">
        <v>46570</v>
      </c>
      <c r="P7521">
        <v>0</v>
      </c>
      <c r="Q7521">
        <v>4</v>
      </c>
      <c r="R7521" t="s">
        <v>46574</v>
      </c>
      <c r="S7521" t="s">
        <v>46723</v>
      </c>
      <c r="T7521" t="s">
        <v>48308</v>
      </c>
      <c r="U7521" t="s">
        <v>50948</v>
      </c>
      <c r="W7521" t="s">
        <v>43665</v>
      </c>
      <c r="X7521" t="s">
        <v>46577</v>
      </c>
    </row>
    <row r="7522" spans="1:24">
      <c r="A7522">
        <f>HYPERLINK("https://www.philgeps.gov.ph/GEPSNONPILOT/Tender/SplashBidNoticeAbstractUI.aspx?menuIndex=3&amp;refID=7057203&amp;Result=3","7057203")</f>
        <v>0</v>
      </c>
      <c r="B7522" t="s">
        <v>1540</v>
      </c>
      <c r="C7522" t="s">
        <v>10604</v>
      </c>
      <c r="D7522" t="s">
        <v>18838</v>
      </c>
      <c r="E7522" t="s">
        <v>25509</v>
      </c>
      <c r="F7522" t="s">
        <v>32664</v>
      </c>
      <c r="G7522" t="s">
        <v>32671</v>
      </c>
      <c r="H7522" t="s">
        <v>12635</v>
      </c>
      <c r="I7522" t="s">
        <v>6553</v>
      </c>
      <c r="J7522" t="s">
        <v>33051</v>
      </c>
      <c r="K7522" t="s">
        <v>42283</v>
      </c>
      <c r="M7522" t="s">
        <v>44209</v>
      </c>
      <c r="N7522" t="s">
        <v>46569</v>
      </c>
      <c r="O7522" t="s">
        <v>46570</v>
      </c>
      <c r="P7522">
        <v>0</v>
      </c>
      <c r="Q7522">
        <v>0</v>
      </c>
      <c r="R7522" t="s">
        <v>46574</v>
      </c>
      <c r="S7522" t="s">
        <v>46723</v>
      </c>
      <c r="T7522" t="s">
        <v>48256</v>
      </c>
      <c r="U7522" t="s">
        <v>54995</v>
      </c>
      <c r="W7522" t="s">
        <v>44209</v>
      </c>
      <c r="X7522" t="s">
        <v>46577</v>
      </c>
    </row>
    <row r="7523" spans="1:24">
      <c r="A7523">
        <f>HYPERLINK("https://www.philgeps.gov.ph/GEPSNONPILOT/Tender/SplashBidNoticeAbstractUI.aspx?menuIndex=3&amp;refID=7057194&amp;Result=3","7057194")</f>
        <v>0</v>
      </c>
      <c r="B7523" t="s">
        <v>352</v>
      </c>
      <c r="C7523" t="s">
        <v>10661</v>
      </c>
      <c r="D7523" t="s">
        <v>18801</v>
      </c>
      <c r="E7523" t="s">
        <v>25510</v>
      </c>
      <c r="F7523" t="s">
        <v>32664</v>
      </c>
      <c r="G7523" t="s">
        <v>32671</v>
      </c>
      <c r="H7523" t="s">
        <v>12635</v>
      </c>
      <c r="I7523" t="s">
        <v>32699</v>
      </c>
      <c r="J7523" t="s">
        <v>32859</v>
      </c>
      <c r="K7523" t="s">
        <v>42289</v>
      </c>
      <c r="M7523" t="s">
        <v>44726</v>
      </c>
      <c r="N7523" t="s">
        <v>46569</v>
      </c>
      <c r="O7523" t="s">
        <v>46570</v>
      </c>
      <c r="P7523">
        <v>0</v>
      </c>
      <c r="Q7523">
        <v>5</v>
      </c>
      <c r="R7523" t="s">
        <v>46574</v>
      </c>
      <c r="S7523" t="s">
        <v>46723</v>
      </c>
      <c r="T7523" t="s">
        <v>48473</v>
      </c>
      <c r="U7523" t="s">
        <v>54996</v>
      </c>
      <c r="V7523" t="s">
        <v>61781</v>
      </c>
      <c r="W7523" t="s">
        <v>44726</v>
      </c>
      <c r="X7523" t="s">
        <v>46577</v>
      </c>
    </row>
    <row r="7524" spans="1:24">
      <c r="A7524">
        <f>HYPERLINK("https://www.philgeps.gov.ph/GEPSNONPILOT/Tender/SplashBidNoticeAbstractUI.aspx?menuIndex=3&amp;refID=7057362&amp;Result=3","7057362")</f>
        <v>0</v>
      </c>
      <c r="B7524" t="s">
        <v>352</v>
      </c>
      <c r="C7524" t="s">
        <v>10662</v>
      </c>
      <c r="D7524" t="s">
        <v>18801</v>
      </c>
      <c r="E7524" t="s">
        <v>25511</v>
      </c>
      <c r="F7524" t="s">
        <v>32664</v>
      </c>
      <c r="G7524" t="s">
        <v>32675</v>
      </c>
      <c r="H7524" t="s">
        <v>12635</v>
      </c>
      <c r="I7524" t="s">
        <v>6168</v>
      </c>
      <c r="J7524" t="s">
        <v>37418</v>
      </c>
      <c r="K7524" t="s">
        <v>42297</v>
      </c>
      <c r="M7524" t="s">
        <v>43215</v>
      </c>
      <c r="N7524" t="s">
        <v>46569</v>
      </c>
      <c r="O7524" t="s">
        <v>46570</v>
      </c>
      <c r="P7524">
        <v>0</v>
      </c>
      <c r="Q7524">
        <v>3</v>
      </c>
      <c r="R7524" t="s">
        <v>46574</v>
      </c>
      <c r="S7524" t="s">
        <v>46723</v>
      </c>
      <c r="T7524" t="s">
        <v>48473</v>
      </c>
      <c r="U7524" t="s">
        <v>54997</v>
      </c>
      <c r="V7524" t="s">
        <v>61781</v>
      </c>
      <c r="W7524" t="s">
        <v>43215</v>
      </c>
      <c r="X7524" t="s">
        <v>46577</v>
      </c>
    </row>
    <row r="7525" spans="1:24">
      <c r="A7525">
        <f>HYPERLINK("https://www.philgeps.gov.ph/GEPSNONPILOT/Tender/SplashBidNoticeAbstractUI.aspx?menuIndex=3&amp;refID=7057358&amp;Result=3","7057358")</f>
        <v>0</v>
      </c>
      <c r="B7525" t="s">
        <v>1540</v>
      </c>
      <c r="C7525" t="s">
        <v>10654</v>
      </c>
      <c r="D7525" t="s">
        <v>18838</v>
      </c>
      <c r="E7525" t="s">
        <v>25512</v>
      </c>
      <c r="F7525" t="s">
        <v>32664</v>
      </c>
      <c r="G7525" t="s">
        <v>32671</v>
      </c>
      <c r="H7525" t="s">
        <v>12635</v>
      </c>
      <c r="I7525" t="s">
        <v>6223</v>
      </c>
      <c r="J7525" t="s">
        <v>33051</v>
      </c>
      <c r="K7525" t="s">
        <v>42283</v>
      </c>
      <c r="M7525" t="s">
        <v>44209</v>
      </c>
      <c r="N7525" t="s">
        <v>46569</v>
      </c>
      <c r="O7525" t="s">
        <v>46570</v>
      </c>
      <c r="P7525">
        <v>0</v>
      </c>
      <c r="Q7525">
        <v>0</v>
      </c>
      <c r="R7525" t="s">
        <v>46574</v>
      </c>
      <c r="S7525" t="s">
        <v>46723</v>
      </c>
      <c r="T7525" t="s">
        <v>48256</v>
      </c>
      <c r="U7525" t="s">
        <v>54998</v>
      </c>
      <c r="W7525" t="s">
        <v>44209</v>
      </c>
      <c r="X7525" t="s">
        <v>46577</v>
      </c>
    </row>
    <row r="7526" spans="1:24">
      <c r="A7526">
        <f>HYPERLINK("https://www.philgeps.gov.ph/GEPSNONPILOT/Tender/SplashBidNoticeAbstractUI.aspx?menuIndex=3&amp;refID=7057267&amp;Result=3","7057267")</f>
        <v>0</v>
      </c>
      <c r="B7526" t="s">
        <v>1817</v>
      </c>
      <c r="C7526" t="s">
        <v>10663</v>
      </c>
      <c r="D7526" t="s">
        <v>18827</v>
      </c>
      <c r="E7526" t="s">
        <v>25513</v>
      </c>
      <c r="F7526" t="s">
        <v>32664</v>
      </c>
      <c r="G7526" t="s">
        <v>32671</v>
      </c>
      <c r="H7526" t="s">
        <v>32682</v>
      </c>
      <c r="I7526" t="s">
        <v>32701</v>
      </c>
      <c r="J7526" t="s">
        <v>37419</v>
      </c>
      <c r="K7526" t="s">
        <v>42295</v>
      </c>
      <c r="M7526" t="s">
        <v>44523</v>
      </c>
      <c r="N7526" t="s">
        <v>46569</v>
      </c>
      <c r="O7526" t="s">
        <v>46570</v>
      </c>
      <c r="P7526">
        <v>0</v>
      </c>
      <c r="Q7526">
        <v>0</v>
      </c>
      <c r="R7526" t="s">
        <v>46574</v>
      </c>
      <c r="S7526" t="s">
        <v>46723</v>
      </c>
      <c r="T7526" t="s">
        <v>48578</v>
      </c>
      <c r="U7526" t="s">
        <v>54999</v>
      </c>
      <c r="W7526" t="s">
        <v>44523</v>
      </c>
      <c r="X7526" t="s">
        <v>46577</v>
      </c>
    </row>
    <row r="7527" spans="1:24">
      <c r="A7527">
        <f>HYPERLINK("https://www.philgeps.gov.ph/GEPSNONPILOT/Tender/SplashBidNoticeAbstractUI.aspx?menuIndex=3&amp;refID=7057221&amp;Result=3","7057221")</f>
        <v>0</v>
      </c>
      <c r="B7527" t="s">
        <v>2303</v>
      </c>
      <c r="C7527" t="s">
        <v>10664</v>
      </c>
      <c r="D7527" t="s">
        <v>18781</v>
      </c>
      <c r="E7527" t="s">
        <v>25488</v>
      </c>
      <c r="F7527" t="s">
        <v>32664</v>
      </c>
      <c r="G7527" t="s">
        <v>32672</v>
      </c>
      <c r="H7527" t="s">
        <v>32683</v>
      </c>
      <c r="I7527" t="s">
        <v>32723</v>
      </c>
      <c r="J7527" t="s">
        <v>37420</v>
      </c>
      <c r="K7527" t="s">
        <v>42298</v>
      </c>
      <c r="M7527" t="s">
        <v>45075</v>
      </c>
      <c r="N7527" t="s">
        <v>46569</v>
      </c>
      <c r="O7527" t="s">
        <v>46570</v>
      </c>
      <c r="P7527">
        <v>0</v>
      </c>
      <c r="Q7527">
        <v>0</v>
      </c>
      <c r="R7527" t="s">
        <v>46574</v>
      </c>
      <c r="S7527" t="s">
        <v>46723</v>
      </c>
      <c r="T7527" t="s">
        <v>48219</v>
      </c>
      <c r="U7527" t="s">
        <v>55000</v>
      </c>
      <c r="W7527" t="s">
        <v>45075</v>
      </c>
      <c r="X7527" t="s">
        <v>46577</v>
      </c>
    </row>
    <row r="7528" spans="1:24">
      <c r="A7528">
        <f>HYPERLINK("https://www.philgeps.gov.ph/GEPSNONPILOT/Tender/SplashBidNoticeAbstractUI.aspx?menuIndex=3&amp;refID=7057370&amp;Result=3","7057370")</f>
        <v>0</v>
      </c>
      <c r="B7528" t="s">
        <v>500</v>
      </c>
      <c r="C7528" t="s">
        <v>10665</v>
      </c>
      <c r="D7528" t="s">
        <v>18805</v>
      </c>
      <c r="E7528" t="s">
        <v>25514</v>
      </c>
      <c r="F7528" t="s">
        <v>32664</v>
      </c>
      <c r="G7528" t="s">
        <v>32671</v>
      </c>
      <c r="H7528" t="s">
        <v>12635</v>
      </c>
      <c r="I7528" t="s">
        <v>8797</v>
      </c>
      <c r="J7528" t="s">
        <v>37421</v>
      </c>
      <c r="K7528" t="s">
        <v>42283</v>
      </c>
      <c r="M7528" t="s">
        <v>44383</v>
      </c>
      <c r="N7528" t="s">
        <v>46569</v>
      </c>
      <c r="O7528" t="s">
        <v>46570</v>
      </c>
      <c r="P7528">
        <v>0</v>
      </c>
      <c r="Q7528">
        <v>2</v>
      </c>
      <c r="R7528" t="s">
        <v>46574</v>
      </c>
      <c r="S7528" t="s">
        <v>46723</v>
      </c>
      <c r="T7528" t="s">
        <v>48473</v>
      </c>
      <c r="U7528" t="s">
        <v>55001</v>
      </c>
      <c r="W7528" t="s">
        <v>44383</v>
      </c>
      <c r="X7528" t="s">
        <v>46577</v>
      </c>
    </row>
    <row r="7529" spans="1:24">
      <c r="A7529">
        <f>HYPERLINK("https://www.philgeps.gov.ph/GEPSNONPILOT/Tender/SplashBidNoticeAbstractUI.aspx?menuIndex=3&amp;refID=7057508&amp;Result=3","7057508")</f>
        <v>0</v>
      </c>
      <c r="B7529" t="s">
        <v>2305</v>
      </c>
      <c r="C7529" t="s">
        <v>10666</v>
      </c>
      <c r="D7529" t="s">
        <v>18788</v>
      </c>
      <c r="E7529" t="s">
        <v>25515</v>
      </c>
      <c r="F7529" t="s">
        <v>32664</v>
      </c>
      <c r="G7529" t="s">
        <v>32672</v>
      </c>
      <c r="H7529" t="s">
        <v>12635</v>
      </c>
      <c r="I7529" t="s">
        <v>4439</v>
      </c>
      <c r="J7529" t="s">
        <v>37422</v>
      </c>
      <c r="K7529" t="s">
        <v>42283</v>
      </c>
      <c r="M7529" t="s">
        <v>45077</v>
      </c>
      <c r="N7529" t="s">
        <v>46569</v>
      </c>
      <c r="O7529" t="s">
        <v>46570</v>
      </c>
      <c r="P7529">
        <v>0</v>
      </c>
      <c r="Q7529">
        <v>0</v>
      </c>
      <c r="R7529" t="s">
        <v>46574</v>
      </c>
      <c r="S7529" t="s">
        <v>46723</v>
      </c>
      <c r="T7529" t="s">
        <v>48221</v>
      </c>
      <c r="U7529" t="s">
        <v>55002</v>
      </c>
      <c r="W7529" t="s">
        <v>45077</v>
      </c>
      <c r="X7529" t="s">
        <v>46577</v>
      </c>
    </row>
    <row r="7530" spans="1:24">
      <c r="A7530">
        <f>HYPERLINK("https://www.philgeps.gov.ph/GEPSNONPILOT/Tender/SplashBidNoticeAbstractUI.aspx?menuIndex=3&amp;refID=7057510&amp;Result=3","7057510")</f>
        <v>0</v>
      </c>
      <c r="B7530" t="s">
        <v>2306</v>
      </c>
      <c r="C7530" t="s">
        <v>10667</v>
      </c>
      <c r="D7530" t="s">
        <v>18827</v>
      </c>
      <c r="E7530" t="s">
        <v>25516</v>
      </c>
      <c r="F7530" t="s">
        <v>32664</v>
      </c>
      <c r="G7530" t="s">
        <v>32671</v>
      </c>
      <c r="H7530" t="s">
        <v>12635</v>
      </c>
      <c r="I7530" t="s">
        <v>6168</v>
      </c>
      <c r="J7530" t="s">
        <v>37423</v>
      </c>
      <c r="K7530" t="s">
        <v>42295</v>
      </c>
      <c r="M7530" t="s">
        <v>45078</v>
      </c>
      <c r="N7530" t="s">
        <v>46569</v>
      </c>
      <c r="O7530" t="s">
        <v>46570</v>
      </c>
      <c r="P7530">
        <v>0</v>
      </c>
      <c r="Q7530">
        <v>1</v>
      </c>
      <c r="R7530" t="s">
        <v>46574</v>
      </c>
      <c r="S7530" t="s">
        <v>46723</v>
      </c>
      <c r="T7530" t="s">
        <v>48221</v>
      </c>
      <c r="U7530" t="s">
        <v>55003</v>
      </c>
      <c r="W7530" t="s">
        <v>45078</v>
      </c>
      <c r="X7530" t="s">
        <v>46577</v>
      </c>
    </row>
    <row r="7531" spans="1:24">
      <c r="A7531">
        <f>HYPERLINK("https://www.philgeps.gov.ph/GEPSNONPILOT/Tender/SplashBidNoticeAbstractUI.aspx?menuIndex=3&amp;refID=7057492&amp;Result=3","7057492")</f>
        <v>0</v>
      </c>
      <c r="B7531" t="s">
        <v>1612</v>
      </c>
      <c r="C7531" t="s">
        <v>10668</v>
      </c>
      <c r="D7531" t="s">
        <v>18821</v>
      </c>
      <c r="E7531" t="s">
        <v>25517</v>
      </c>
      <c r="F7531" t="s">
        <v>32664</v>
      </c>
      <c r="G7531" t="s">
        <v>32672</v>
      </c>
      <c r="H7531" t="s">
        <v>32683</v>
      </c>
      <c r="I7531" t="s">
        <v>10627</v>
      </c>
      <c r="J7531" t="s">
        <v>37424</v>
      </c>
      <c r="K7531" t="s">
        <v>42405</v>
      </c>
      <c r="M7531" t="s">
        <v>45072</v>
      </c>
      <c r="N7531" t="s">
        <v>46569</v>
      </c>
      <c r="O7531" t="s">
        <v>46570</v>
      </c>
      <c r="P7531">
        <v>0</v>
      </c>
      <c r="Q7531">
        <v>31</v>
      </c>
      <c r="R7531" t="s">
        <v>46574</v>
      </c>
      <c r="S7531" t="s">
        <v>46723</v>
      </c>
      <c r="T7531" t="s">
        <v>48385</v>
      </c>
      <c r="U7531" t="s">
        <v>55004</v>
      </c>
      <c r="W7531" t="s">
        <v>45072</v>
      </c>
      <c r="X7531" t="s">
        <v>46577</v>
      </c>
    </row>
    <row r="7532" spans="1:24">
      <c r="A7532">
        <f>HYPERLINK("https://www.philgeps.gov.ph/GEPSNONPILOT/Tender/SplashBidNoticeAbstractUI.aspx?menuIndex=3&amp;refID=7057501&amp;Result=3","7057501")</f>
        <v>0</v>
      </c>
      <c r="B7532" t="s">
        <v>444</v>
      </c>
      <c r="C7532" t="s">
        <v>10669</v>
      </c>
      <c r="D7532" t="s">
        <v>18799</v>
      </c>
      <c r="E7532" t="s">
        <v>21565</v>
      </c>
      <c r="F7532" t="s">
        <v>32664</v>
      </c>
      <c r="G7532" t="s">
        <v>32671</v>
      </c>
      <c r="H7532" t="s">
        <v>12635</v>
      </c>
      <c r="I7532" t="s">
        <v>6223</v>
      </c>
      <c r="J7532" t="s">
        <v>37425</v>
      </c>
      <c r="K7532" t="s">
        <v>42283</v>
      </c>
      <c r="M7532" t="s">
        <v>43017</v>
      </c>
      <c r="N7532" t="s">
        <v>46569</v>
      </c>
      <c r="O7532" t="s">
        <v>46570</v>
      </c>
      <c r="Q7532">
        <v>10</v>
      </c>
      <c r="R7532" t="s">
        <v>46574</v>
      </c>
      <c r="S7532" t="s">
        <v>46731</v>
      </c>
      <c r="T7532" t="s">
        <v>48228</v>
      </c>
      <c r="U7532" t="s">
        <v>49518</v>
      </c>
      <c r="W7532" t="s">
        <v>43017</v>
      </c>
      <c r="X7532" t="s">
        <v>46577</v>
      </c>
    </row>
    <row r="7533" spans="1:24">
      <c r="A7533">
        <f>HYPERLINK("https://www.philgeps.gov.ph/GEPSNONPILOT/Tender/SplashBidNoticeAbstractUI.aspx?menuIndex=3&amp;refID=7057497&amp;Result=3","7057497")</f>
        <v>0</v>
      </c>
      <c r="B7533" t="s">
        <v>1481</v>
      </c>
      <c r="C7533" t="s">
        <v>10670</v>
      </c>
      <c r="D7533" t="s">
        <v>18784</v>
      </c>
      <c r="E7533" t="s">
        <v>25518</v>
      </c>
      <c r="F7533" t="s">
        <v>32664</v>
      </c>
      <c r="G7533" t="s">
        <v>32672</v>
      </c>
      <c r="H7533" t="s">
        <v>12635</v>
      </c>
      <c r="I7533" t="s">
        <v>9486</v>
      </c>
      <c r="J7533" t="s">
        <v>37426</v>
      </c>
      <c r="K7533" t="s">
        <v>42283</v>
      </c>
      <c r="M7533" t="s">
        <v>45079</v>
      </c>
      <c r="N7533" t="s">
        <v>46569</v>
      </c>
      <c r="O7533" t="s">
        <v>46570</v>
      </c>
      <c r="Q7533">
        <v>8</v>
      </c>
      <c r="R7533" t="s">
        <v>46574</v>
      </c>
      <c r="S7533" t="s">
        <v>46732</v>
      </c>
      <c r="T7533" t="s">
        <v>48308</v>
      </c>
      <c r="U7533" t="s">
        <v>55005</v>
      </c>
      <c r="W7533" t="s">
        <v>45079</v>
      </c>
      <c r="X7533" t="s">
        <v>46577</v>
      </c>
    </row>
    <row r="7534" spans="1:24">
      <c r="A7534">
        <f>HYPERLINK("https://www.philgeps.gov.ph/GEPSNONPILOT/Tender/SplashBidNoticeAbstractUI.aspx?menuIndex=3&amp;refID=7057473&amp;Result=3","7057473")</f>
        <v>0</v>
      </c>
      <c r="B7534" t="s">
        <v>757</v>
      </c>
      <c r="C7534" t="s">
        <v>10671</v>
      </c>
      <c r="D7534" t="s">
        <v>18817</v>
      </c>
      <c r="E7534" t="s">
        <v>19380</v>
      </c>
      <c r="F7534" t="s">
        <v>32664</v>
      </c>
      <c r="G7534" t="s">
        <v>32672</v>
      </c>
      <c r="H7534" t="s">
        <v>12635</v>
      </c>
      <c r="I7534" t="s">
        <v>32694</v>
      </c>
      <c r="J7534" t="s">
        <v>37427</v>
      </c>
      <c r="K7534" t="s">
        <v>42281</v>
      </c>
      <c r="M7534" t="s">
        <v>43347</v>
      </c>
      <c r="N7534" t="s">
        <v>46569</v>
      </c>
      <c r="O7534" t="s">
        <v>46570</v>
      </c>
      <c r="P7534">
        <v>0</v>
      </c>
      <c r="Q7534">
        <v>0</v>
      </c>
      <c r="R7534" t="s">
        <v>46574</v>
      </c>
      <c r="S7534" t="s">
        <v>46723</v>
      </c>
      <c r="T7534" t="s">
        <v>48228</v>
      </c>
      <c r="U7534" t="s">
        <v>55006</v>
      </c>
      <c r="W7534" t="s">
        <v>43347</v>
      </c>
      <c r="X7534" t="s">
        <v>46577</v>
      </c>
    </row>
    <row r="7535" spans="1:24">
      <c r="A7535">
        <f>HYPERLINK("https://www.philgeps.gov.ph/GEPSNONPILOT/Tender/SplashBidNoticeAbstractUI.aspx?menuIndex=3&amp;refID=7057406&amp;Result=3","7057406")</f>
        <v>0</v>
      </c>
      <c r="B7535" t="s">
        <v>1612</v>
      </c>
      <c r="C7535" t="s">
        <v>10672</v>
      </c>
      <c r="D7535" t="s">
        <v>18821</v>
      </c>
      <c r="E7535" t="s">
        <v>25519</v>
      </c>
      <c r="F7535" t="s">
        <v>32664</v>
      </c>
      <c r="G7535" t="s">
        <v>32672</v>
      </c>
      <c r="H7535" t="s">
        <v>32683</v>
      </c>
      <c r="I7535" t="s">
        <v>10627</v>
      </c>
      <c r="J7535" t="s">
        <v>32981</v>
      </c>
      <c r="K7535" t="s">
        <v>42366</v>
      </c>
      <c r="M7535" t="s">
        <v>45072</v>
      </c>
      <c r="N7535" t="s">
        <v>46569</v>
      </c>
      <c r="O7535" t="s">
        <v>46570</v>
      </c>
      <c r="P7535">
        <v>0</v>
      </c>
      <c r="Q7535">
        <v>31</v>
      </c>
      <c r="R7535" t="s">
        <v>46574</v>
      </c>
      <c r="S7535" t="s">
        <v>46723</v>
      </c>
      <c r="T7535" t="s">
        <v>48385</v>
      </c>
      <c r="U7535" t="s">
        <v>55007</v>
      </c>
      <c r="W7535" t="s">
        <v>45072</v>
      </c>
      <c r="X7535" t="s">
        <v>46577</v>
      </c>
    </row>
    <row r="7536" spans="1:24">
      <c r="A7536">
        <f>HYPERLINK("https://www.philgeps.gov.ph/GEPSNONPILOT/Tender/SplashBidNoticeAbstractUI.aspx?menuIndex=3&amp;refID=7057475&amp;Result=3","7057475")</f>
        <v>0</v>
      </c>
      <c r="B7536" t="s">
        <v>1612</v>
      </c>
      <c r="C7536" t="s">
        <v>10673</v>
      </c>
      <c r="D7536" t="s">
        <v>18821</v>
      </c>
      <c r="E7536" t="s">
        <v>25520</v>
      </c>
      <c r="F7536" t="s">
        <v>32664</v>
      </c>
      <c r="G7536" t="s">
        <v>32672</v>
      </c>
      <c r="H7536" t="s">
        <v>32683</v>
      </c>
      <c r="I7536" t="s">
        <v>10627</v>
      </c>
      <c r="J7536" t="s">
        <v>37428</v>
      </c>
      <c r="K7536" t="s">
        <v>42375</v>
      </c>
      <c r="M7536" t="s">
        <v>45072</v>
      </c>
      <c r="N7536" t="s">
        <v>46569</v>
      </c>
      <c r="O7536" t="s">
        <v>46570</v>
      </c>
      <c r="P7536">
        <v>0</v>
      </c>
      <c r="Q7536">
        <v>31</v>
      </c>
      <c r="R7536" t="s">
        <v>46574</v>
      </c>
      <c r="S7536" t="s">
        <v>46723</v>
      </c>
      <c r="T7536" t="s">
        <v>48385</v>
      </c>
      <c r="U7536" t="s">
        <v>55008</v>
      </c>
      <c r="W7536" t="s">
        <v>45072</v>
      </c>
      <c r="X7536" t="s">
        <v>46577</v>
      </c>
    </row>
    <row r="7537" spans="1:24">
      <c r="A7537">
        <f>HYPERLINK("https://www.philgeps.gov.ph/GEPSNONPILOT/Tender/SplashBidNoticeAbstractUI.aspx?menuIndex=3&amp;refID=7057462&amp;Result=3","7057462")</f>
        <v>0</v>
      </c>
      <c r="B7537" t="s">
        <v>1612</v>
      </c>
      <c r="C7537" t="s">
        <v>10674</v>
      </c>
      <c r="D7537" t="s">
        <v>18821</v>
      </c>
      <c r="E7537" t="s">
        <v>25521</v>
      </c>
      <c r="F7537" t="s">
        <v>32664</v>
      </c>
      <c r="G7537" t="s">
        <v>32672</v>
      </c>
      <c r="H7537" t="s">
        <v>32683</v>
      </c>
      <c r="I7537" t="s">
        <v>10627</v>
      </c>
      <c r="J7537" t="s">
        <v>37429</v>
      </c>
      <c r="K7537" t="s">
        <v>42296</v>
      </c>
      <c r="M7537" t="s">
        <v>45072</v>
      </c>
      <c r="N7537" t="s">
        <v>46569</v>
      </c>
      <c r="O7537" t="s">
        <v>46570</v>
      </c>
      <c r="P7537">
        <v>0</v>
      </c>
      <c r="Q7537">
        <v>31</v>
      </c>
      <c r="R7537" t="s">
        <v>46574</v>
      </c>
      <c r="S7537" t="s">
        <v>46723</v>
      </c>
      <c r="T7537" t="s">
        <v>48385</v>
      </c>
      <c r="U7537" t="s">
        <v>55009</v>
      </c>
      <c r="W7537" t="s">
        <v>45072</v>
      </c>
      <c r="X7537" t="s">
        <v>46577</v>
      </c>
    </row>
    <row r="7538" spans="1:24">
      <c r="A7538">
        <f>HYPERLINK("https://www.philgeps.gov.ph/GEPSNONPILOT/Tender/SplashBidNoticeAbstractUI.aspx?menuIndex=3&amp;refID=7057341&amp;Result=3","7057341")</f>
        <v>0</v>
      </c>
      <c r="B7538" t="s">
        <v>947</v>
      </c>
      <c r="C7538" t="s">
        <v>10675</v>
      </c>
      <c r="D7538" t="s">
        <v>18787</v>
      </c>
      <c r="E7538" t="s">
        <v>25522</v>
      </c>
      <c r="F7538" t="s">
        <v>32664</v>
      </c>
      <c r="G7538" t="s">
        <v>32671</v>
      </c>
      <c r="H7538" t="s">
        <v>12635</v>
      </c>
      <c r="I7538" t="s">
        <v>8958</v>
      </c>
      <c r="J7538" t="s">
        <v>37430</v>
      </c>
      <c r="K7538" t="s">
        <v>42295</v>
      </c>
      <c r="M7538" t="s">
        <v>44838</v>
      </c>
      <c r="N7538" t="s">
        <v>46569</v>
      </c>
      <c r="O7538" t="s">
        <v>46570</v>
      </c>
      <c r="P7538">
        <v>0</v>
      </c>
      <c r="Q7538">
        <v>3</v>
      </c>
      <c r="R7538" t="s">
        <v>46574</v>
      </c>
      <c r="S7538" t="s">
        <v>46723</v>
      </c>
      <c r="T7538" t="s">
        <v>48473</v>
      </c>
      <c r="U7538" t="s">
        <v>55010</v>
      </c>
      <c r="W7538" t="s">
        <v>44838</v>
      </c>
      <c r="X7538" t="s">
        <v>46577</v>
      </c>
    </row>
    <row r="7539" spans="1:24">
      <c r="A7539">
        <f>HYPERLINK("https://www.philgeps.gov.ph/GEPSNONPILOT/Tender/SplashBidNoticeAbstractUI.aspx?menuIndex=3&amp;refID=7057455&amp;Result=3","7057455")</f>
        <v>0</v>
      </c>
      <c r="B7539" t="s">
        <v>2306</v>
      </c>
      <c r="C7539" t="s">
        <v>10676</v>
      </c>
      <c r="D7539" t="s">
        <v>18827</v>
      </c>
      <c r="E7539" t="s">
        <v>25523</v>
      </c>
      <c r="F7539" t="s">
        <v>32664</v>
      </c>
      <c r="G7539" t="s">
        <v>32672</v>
      </c>
      <c r="H7539" t="s">
        <v>32682</v>
      </c>
      <c r="I7539" t="s">
        <v>32689</v>
      </c>
      <c r="J7539" t="s">
        <v>37431</v>
      </c>
      <c r="K7539" t="s">
        <v>42289</v>
      </c>
      <c r="M7539" t="s">
        <v>45078</v>
      </c>
      <c r="N7539" t="s">
        <v>46569</v>
      </c>
      <c r="O7539" t="s">
        <v>46570</v>
      </c>
      <c r="P7539">
        <v>0</v>
      </c>
      <c r="Q7539">
        <v>2</v>
      </c>
      <c r="R7539" t="s">
        <v>46574</v>
      </c>
      <c r="S7539" t="s">
        <v>46723</v>
      </c>
      <c r="T7539" t="s">
        <v>48308</v>
      </c>
      <c r="U7539" t="s">
        <v>55011</v>
      </c>
      <c r="W7539" t="s">
        <v>45078</v>
      </c>
      <c r="X7539" t="s">
        <v>46577</v>
      </c>
    </row>
    <row r="7540" spans="1:24">
      <c r="A7540">
        <f>HYPERLINK("https://www.philgeps.gov.ph/GEPSNONPILOT/Tender/SplashBidNoticeAbstractUI.aspx?menuIndex=3&amp;refID=7057604&amp;Result=3","7057604")</f>
        <v>0</v>
      </c>
      <c r="B7540" t="s">
        <v>460</v>
      </c>
      <c r="C7540" t="s">
        <v>10677</v>
      </c>
      <c r="D7540" t="s">
        <v>18806</v>
      </c>
      <c r="E7540" t="s">
        <v>25524</v>
      </c>
      <c r="F7540" t="s">
        <v>32664</v>
      </c>
      <c r="G7540" t="s">
        <v>32672</v>
      </c>
      <c r="H7540" t="s">
        <v>12635</v>
      </c>
      <c r="I7540" t="s">
        <v>9486</v>
      </c>
      <c r="J7540" t="s">
        <v>37432</v>
      </c>
      <c r="K7540" t="s">
        <v>42330</v>
      </c>
      <c r="M7540" t="s">
        <v>43641</v>
      </c>
      <c r="N7540" t="s">
        <v>46569</v>
      </c>
      <c r="O7540" t="s">
        <v>46570</v>
      </c>
      <c r="P7540">
        <v>0</v>
      </c>
      <c r="Q7540">
        <v>1</v>
      </c>
      <c r="R7540" t="s">
        <v>46574</v>
      </c>
      <c r="S7540" t="s">
        <v>46723</v>
      </c>
      <c r="T7540" t="s">
        <v>48321</v>
      </c>
      <c r="U7540" t="s">
        <v>55012</v>
      </c>
      <c r="V7540" t="s">
        <v>61876</v>
      </c>
      <c r="W7540" t="s">
        <v>43641</v>
      </c>
      <c r="X7540" t="s">
        <v>46577</v>
      </c>
    </row>
    <row r="7541" spans="1:24">
      <c r="A7541">
        <f>HYPERLINK("https://www.philgeps.gov.ph/GEPSNONPILOT/Tender/SplashBidNoticeAbstractUI.aspx?menuIndex=3&amp;refID=7057467&amp;Result=3","7057467")</f>
        <v>0</v>
      </c>
      <c r="B7541" t="s">
        <v>352</v>
      </c>
      <c r="C7541" t="s">
        <v>10678</v>
      </c>
      <c r="D7541" t="s">
        <v>18834</v>
      </c>
      <c r="E7541" t="s">
        <v>25525</v>
      </c>
      <c r="F7541" t="s">
        <v>32664</v>
      </c>
      <c r="G7541" t="s">
        <v>32671</v>
      </c>
      <c r="H7541" t="s">
        <v>12635</v>
      </c>
      <c r="I7541" t="s">
        <v>4439</v>
      </c>
      <c r="J7541" t="s">
        <v>32898</v>
      </c>
      <c r="K7541" t="s">
        <v>42297</v>
      </c>
      <c r="M7541" t="s">
        <v>43215</v>
      </c>
      <c r="N7541" t="s">
        <v>46569</v>
      </c>
      <c r="O7541" t="s">
        <v>46570</v>
      </c>
      <c r="P7541">
        <v>0</v>
      </c>
      <c r="Q7541">
        <v>0</v>
      </c>
      <c r="R7541" t="s">
        <v>46574</v>
      </c>
      <c r="S7541" t="s">
        <v>46723</v>
      </c>
      <c r="T7541" t="s">
        <v>48473</v>
      </c>
      <c r="U7541" t="s">
        <v>55013</v>
      </c>
      <c r="V7541" t="s">
        <v>61781</v>
      </c>
      <c r="W7541" t="s">
        <v>43215</v>
      </c>
      <c r="X7541" t="s">
        <v>46577</v>
      </c>
    </row>
    <row r="7542" spans="1:24">
      <c r="A7542">
        <f>HYPERLINK("https://www.philgeps.gov.ph/GEPSNONPILOT/Tender/SplashBidNoticeAbstractUI.aspx?menuIndex=3&amp;refID=7057602&amp;Result=3","7057602")</f>
        <v>0</v>
      </c>
      <c r="B7542" t="s">
        <v>2304</v>
      </c>
      <c r="C7542" t="s">
        <v>10679</v>
      </c>
      <c r="D7542" t="s">
        <v>18784</v>
      </c>
      <c r="E7542" t="s">
        <v>20142</v>
      </c>
      <c r="F7542" t="s">
        <v>32665</v>
      </c>
      <c r="G7542" t="s">
        <v>32672</v>
      </c>
      <c r="H7542" t="s">
        <v>12635</v>
      </c>
      <c r="I7542" t="s">
        <v>7324</v>
      </c>
      <c r="J7542" t="s">
        <v>32837</v>
      </c>
      <c r="K7542" t="s">
        <v>42281</v>
      </c>
      <c r="M7542" t="s">
        <v>45076</v>
      </c>
      <c r="N7542" t="s">
        <v>46569</v>
      </c>
      <c r="O7542" t="s">
        <v>46570</v>
      </c>
      <c r="P7542">
        <v>0</v>
      </c>
      <c r="Q7542">
        <v>5</v>
      </c>
      <c r="R7542" t="s">
        <v>46574</v>
      </c>
      <c r="S7542" t="s">
        <v>46723</v>
      </c>
      <c r="T7542" t="s">
        <v>48601</v>
      </c>
      <c r="U7542" t="s">
        <v>55014</v>
      </c>
      <c r="W7542" t="s">
        <v>45076</v>
      </c>
      <c r="X7542" t="s">
        <v>46577</v>
      </c>
    </row>
    <row r="7543" spans="1:24">
      <c r="A7543">
        <f>HYPERLINK("https://www.philgeps.gov.ph/GEPSNONPILOT/Tender/SplashBidNoticeAbstractUI.aspx?menuIndex=3&amp;refID=7057589&amp;Result=3","7057589")</f>
        <v>0</v>
      </c>
      <c r="B7543" t="s">
        <v>460</v>
      </c>
      <c r="C7543" t="s">
        <v>10680</v>
      </c>
      <c r="D7543" t="s">
        <v>18806</v>
      </c>
      <c r="E7543" t="s">
        <v>25526</v>
      </c>
      <c r="F7543" t="s">
        <v>32664</v>
      </c>
      <c r="G7543" t="s">
        <v>32672</v>
      </c>
      <c r="H7543" t="s">
        <v>12635</v>
      </c>
      <c r="I7543" t="s">
        <v>9486</v>
      </c>
      <c r="J7543" t="s">
        <v>37433</v>
      </c>
      <c r="K7543" t="s">
        <v>42330</v>
      </c>
      <c r="M7543" t="s">
        <v>43641</v>
      </c>
      <c r="N7543" t="s">
        <v>46569</v>
      </c>
      <c r="O7543" t="s">
        <v>46570</v>
      </c>
      <c r="P7543">
        <v>0</v>
      </c>
      <c r="Q7543">
        <v>1</v>
      </c>
      <c r="R7543" t="s">
        <v>46574</v>
      </c>
      <c r="S7543" t="s">
        <v>46723</v>
      </c>
      <c r="T7543" t="s">
        <v>48321</v>
      </c>
      <c r="U7543" t="s">
        <v>55015</v>
      </c>
      <c r="V7543" t="s">
        <v>61876</v>
      </c>
      <c r="W7543" t="s">
        <v>43641</v>
      </c>
      <c r="X7543" t="s">
        <v>46577</v>
      </c>
    </row>
    <row r="7544" spans="1:24">
      <c r="A7544">
        <f>HYPERLINK("https://www.philgeps.gov.ph/GEPSNONPILOT/Tender/SplashBidNoticeAbstractUI.aspx?menuIndex=3&amp;refID=7057578&amp;Result=3","7057578")</f>
        <v>0</v>
      </c>
      <c r="B7544" t="s">
        <v>460</v>
      </c>
      <c r="C7544" t="s">
        <v>10681</v>
      </c>
      <c r="D7544" t="s">
        <v>18806</v>
      </c>
      <c r="E7544" t="s">
        <v>25527</v>
      </c>
      <c r="F7544" t="s">
        <v>32664</v>
      </c>
      <c r="G7544" t="s">
        <v>32672</v>
      </c>
      <c r="H7544" t="s">
        <v>12635</v>
      </c>
      <c r="I7544" t="s">
        <v>9486</v>
      </c>
      <c r="J7544" t="s">
        <v>37434</v>
      </c>
      <c r="K7544" t="s">
        <v>42330</v>
      </c>
      <c r="M7544" t="s">
        <v>43641</v>
      </c>
      <c r="N7544" t="s">
        <v>46569</v>
      </c>
      <c r="O7544" t="s">
        <v>46570</v>
      </c>
      <c r="P7544">
        <v>0</v>
      </c>
      <c r="Q7544">
        <v>1</v>
      </c>
      <c r="R7544" t="s">
        <v>46574</v>
      </c>
      <c r="S7544" t="s">
        <v>46723</v>
      </c>
      <c r="T7544" t="s">
        <v>48321</v>
      </c>
      <c r="U7544" t="s">
        <v>55016</v>
      </c>
      <c r="V7544" t="s">
        <v>61876</v>
      </c>
      <c r="W7544" t="s">
        <v>43641</v>
      </c>
      <c r="X7544" t="s">
        <v>46577</v>
      </c>
    </row>
    <row r="7545" spans="1:24">
      <c r="A7545">
        <f>HYPERLINK("https://www.philgeps.gov.ph/GEPSNONPILOT/Tender/SplashBidNoticeAbstractUI.aspx?menuIndex=3&amp;refID=7057452&amp;Result=3","7057452")</f>
        <v>0</v>
      </c>
      <c r="B7545" t="s">
        <v>2299</v>
      </c>
      <c r="C7545" t="s">
        <v>10682</v>
      </c>
      <c r="D7545" t="s">
        <v>18784</v>
      </c>
      <c r="E7545" t="s">
        <v>23119</v>
      </c>
      <c r="F7545" t="s">
        <v>32664</v>
      </c>
      <c r="G7545" t="s">
        <v>32672</v>
      </c>
      <c r="H7545" t="s">
        <v>12635</v>
      </c>
      <c r="I7545" t="s">
        <v>11464</v>
      </c>
      <c r="J7545" t="s">
        <v>32837</v>
      </c>
      <c r="K7545" t="s">
        <v>42284</v>
      </c>
      <c r="M7545" t="s">
        <v>45070</v>
      </c>
      <c r="N7545" t="s">
        <v>46569</v>
      </c>
      <c r="O7545" t="s">
        <v>46570</v>
      </c>
      <c r="P7545">
        <v>0</v>
      </c>
      <c r="Q7545">
        <v>3</v>
      </c>
      <c r="R7545" t="s">
        <v>46574</v>
      </c>
      <c r="S7545" t="s">
        <v>46723</v>
      </c>
      <c r="T7545" t="s">
        <v>48258</v>
      </c>
      <c r="U7545" t="s">
        <v>55017</v>
      </c>
      <c r="V7545" t="s">
        <v>62372</v>
      </c>
      <c r="W7545" t="s">
        <v>45070</v>
      </c>
      <c r="X7545" t="s">
        <v>46577</v>
      </c>
    </row>
    <row r="7546" spans="1:24">
      <c r="A7546">
        <f>HYPERLINK("https://www.philgeps.gov.ph/GEPSNONPILOT/Tender/SplashBidNoticeAbstractUI.aspx?menuIndex=3&amp;refID=7057469&amp;Result=3","7057469")</f>
        <v>0</v>
      </c>
      <c r="B7546" t="s">
        <v>444</v>
      </c>
      <c r="C7546" t="s">
        <v>10683</v>
      </c>
      <c r="D7546" t="s">
        <v>18799</v>
      </c>
      <c r="E7546" t="s">
        <v>19280</v>
      </c>
      <c r="F7546" t="s">
        <v>32664</v>
      </c>
      <c r="G7546" t="s">
        <v>32671</v>
      </c>
      <c r="H7546" t="s">
        <v>12635</v>
      </c>
      <c r="I7546" t="s">
        <v>6168</v>
      </c>
      <c r="J7546" t="s">
        <v>37435</v>
      </c>
      <c r="K7546" t="s">
        <v>42283</v>
      </c>
      <c r="M7546" t="s">
        <v>43017</v>
      </c>
      <c r="N7546" t="s">
        <v>46569</v>
      </c>
      <c r="O7546" t="s">
        <v>46570</v>
      </c>
      <c r="Q7546">
        <v>11</v>
      </c>
      <c r="R7546" t="s">
        <v>46574</v>
      </c>
      <c r="S7546" t="s">
        <v>46733</v>
      </c>
      <c r="T7546" t="s">
        <v>48228</v>
      </c>
      <c r="U7546" t="s">
        <v>49518</v>
      </c>
      <c r="W7546" t="s">
        <v>43017</v>
      </c>
      <c r="X7546" t="s">
        <v>46577</v>
      </c>
    </row>
    <row r="7547" spans="1:24">
      <c r="A7547">
        <f>HYPERLINK("https://www.philgeps.gov.ph/GEPSNONPILOT/Tender/SplashBidNoticeAbstractUI.aspx?menuIndex=3&amp;refID=7057574&amp;Result=3","7057574")</f>
        <v>0</v>
      </c>
      <c r="B7547" t="s">
        <v>444</v>
      </c>
      <c r="C7547" t="s">
        <v>10684</v>
      </c>
      <c r="D7547" t="s">
        <v>18799</v>
      </c>
      <c r="E7547" t="s">
        <v>19708</v>
      </c>
      <c r="F7547" t="s">
        <v>32664</v>
      </c>
      <c r="G7547" t="s">
        <v>32671</v>
      </c>
      <c r="H7547" t="s">
        <v>12635</v>
      </c>
      <c r="I7547" t="s">
        <v>6223</v>
      </c>
      <c r="J7547" t="s">
        <v>37436</v>
      </c>
      <c r="K7547" t="s">
        <v>42283</v>
      </c>
      <c r="M7547" t="s">
        <v>43017</v>
      </c>
      <c r="N7547" t="s">
        <v>46569</v>
      </c>
      <c r="O7547" t="s">
        <v>46570</v>
      </c>
      <c r="Q7547">
        <v>11</v>
      </c>
      <c r="R7547" t="s">
        <v>46574</v>
      </c>
      <c r="S7547" t="s">
        <v>46734</v>
      </c>
      <c r="T7547" t="s">
        <v>48228</v>
      </c>
      <c r="U7547" t="s">
        <v>49518</v>
      </c>
      <c r="W7547" t="s">
        <v>43017</v>
      </c>
      <c r="X7547" t="s">
        <v>46577</v>
      </c>
    </row>
    <row r="7548" spans="1:24">
      <c r="A7548">
        <f>HYPERLINK("https://www.philgeps.gov.ph/GEPSNONPILOT/Tender/SplashBidNoticeAbstractUI.aspx?menuIndex=3&amp;refID=7057571&amp;Result=3","7057571")</f>
        <v>0</v>
      </c>
      <c r="B7548" t="s">
        <v>2307</v>
      </c>
      <c r="C7548" t="s">
        <v>10685</v>
      </c>
      <c r="D7548" t="s">
        <v>18827</v>
      </c>
      <c r="E7548" t="s">
        <v>21048</v>
      </c>
      <c r="F7548" t="s">
        <v>32664</v>
      </c>
      <c r="G7548" t="s">
        <v>32671</v>
      </c>
      <c r="H7548" t="s">
        <v>12635</v>
      </c>
      <c r="I7548" t="s">
        <v>13883</v>
      </c>
      <c r="J7548" t="s">
        <v>33051</v>
      </c>
      <c r="K7548" t="s">
        <v>42295</v>
      </c>
      <c r="M7548" t="s">
        <v>45080</v>
      </c>
      <c r="N7548" t="s">
        <v>46569</v>
      </c>
      <c r="O7548" t="s">
        <v>46570</v>
      </c>
      <c r="P7548">
        <v>0</v>
      </c>
      <c r="Q7548">
        <v>7</v>
      </c>
      <c r="R7548" t="s">
        <v>46574</v>
      </c>
      <c r="S7548" t="s">
        <v>46723</v>
      </c>
      <c r="T7548" t="s">
        <v>48473</v>
      </c>
      <c r="U7548" t="s">
        <v>55018</v>
      </c>
      <c r="W7548" t="s">
        <v>63556</v>
      </c>
      <c r="X7548" t="s">
        <v>46577</v>
      </c>
    </row>
    <row r="7549" spans="1:24">
      <c r="A7549">
        <f>HYPERLINK("https://www.philgeps.gov.ph/GEPSNONPILOT/Tender/SplashBidNoticeAbstractUI.aspx?menuIndex=3&amp;refID=7057591&amp;Result=3","7057591")</f>
        <v>0</v>
      </c>
      <c r="B7549" t="s">
        <v>444</v>
      </c>
      <c r="C7549" t="s">
        <v>10686</v>
      </c>
      <c r="D7549" t="s">
        <v>18799</v>
      </c>
      <c r="E7549" t="s">
        <v>19183</v>
      </c>
      <c r="F7549" t="s">
        <v>32664</v>
      </c>
      <c r="G7549" t="s">
        <v>32671</v>
      </c>
      <c r="H7549" t="s">
        <v>12635</v>
      </c>
      <c r="I7549" t="s">
        <v>4997</v>
      </c>
      <c r="J7549" t="s">
        <v>37437</v>
      </c>
      <c r="K7549" t="s">
        <v>42283</v>
      </c>
      <c r="M7549" t="s">
        <v>43017</v>
      </c>
      <c r="N7549" t="s">
        <v>46569</v>
      </c>
      <c r="O7549" t="s">
        <v>46570</v>
      </c>
      <c r="Q7549">
        <v>20</v>
      </c>
      <c r="R7549" t="s">
        <v>46574</v>
      </c>
      <c r="S7549" t="s">
        <v>46735</v>
      </c>
      <c r="T7549" t="s">
        <v>48228</v>
      </c>
      <c r="U7549" t="s">
        <v>49518</v>
      </c>
      <c r="W7549" t="s">
        <v>43017</v>
      </c>
      <c r="X7549" t="s">
        <v>46577</v>
      </c>
    </row>
    <row r="7550" spans="1:24">
      <c r="A7550">
        <f>HYPERLINK("https://www.philgeps.gov.ph/GEPSNONPILOT/Tender/SplashBidNoticeAbstractUI.aspx?menuIndex=3&amp;refID=7057567&amp;Result=3","7057567")</f>
        <v>0</v>
      </c>
      <c r="B7550" t="s">
        <v>460</v>
      </c>
      <c r="C7550" t="s">
        <v>10687</v>
      </c>
      <c r="D7550" t="s">
        <v>18806</v>
      </c>
      <c r="E7550" t="s">
        <v>25528</v>
      </c>
      <c r="F7550" t="s">
        <v>32664</v>
      </c>
      <c r="G7550" t="s">
        <v>32672</v>
      </c>
      <c r="H7550" t="s">
        <v>12635</v>
      </c>
      <c r="I7550" t="s">
        <v>9486</v>
      </c>
      <c r="J7550" t="s">
        <v>37438</v>
      </c>
      <c r="K7550" t="s">
        <v>42330</v>
      </c>
      <c r="M7550" t="s">
        <v>43641</v>
      </c>
      <c r="N7550" t="s">
        <v>46569</v>
      </c>
      <c r="O7550" t="s">
        <v>46570</v>
      </c>
      <c r="P7550">
        <v>0</v>
      </c>
      <c r="Q7550">
        <v>2</v>
      </c>
      <c r="R7550" t="s">
        <v>46574</v>
      </c>
      <c r="S7550" t="s">
        <v>46723</v>
      </c>
      <c r="T7550" t="s">
        <v>48321</v>
      </c>
      <c r="U7550" t="s">
        <v>55019</v>
      </c>
      <c r="V7550" t="s">
        <v>61876</v>
      </c>
      <c r="W7550" t="s">
        <v>43641</v>
      </c>
      <c r="X7550" t="s">
        <v>46577</v>
      </c>
    </row>
    <row r="7551" spans="1:24">
      <c r="A7551">
        <f>HYPERLINK("https://www.philgeps.gov.ph/GEPSNONPILOT/Tender/SplashBidNoticeAbstractUI.aspx?menuIndex=3&amp;refID=7057576&amp;Result=3","7057576")</f>
        <v>0</v>
      </c>
      <c r="B7551" t="s">
        <v>2118</v>
      </c>
      <c r="C7551" t="s">
        <v>10688</v>
      </c>
      <c r="D7551" t="s">
        <v>18804</v>
      </c>
      <c r="E7551" t="s">
        <v>25529</v>
      </c>
      <c r="F7551" t="s">
        <v>32664</v>
      </c>
      <c r="G7551" t="s">
        <v>32672</v>
      </c>
      <c r="H7551" t="s">
        <v>12635</v>
      </c>
      <c r="I7551" t="s">
        <v>32701</v>
      </c>
      <c r="J7551" t="s">
        <v>37439</v>
      </c>
      <c r="K7551" t="s">
        <v>42348</v>
      </c>
      <c r="M7551" t="s">
        <v>44873</v>
      </c>
      <c r="N7551" t="s">
        <v>46569</v>
      </c>
      <c r="O7551" t="s">
        <v>46570</v>
      </c>
      <c r="P7551">
        <v>0</v>
      </c>
      <c r="Q7551">
        <v>0</v>
      </c>
      <c r="R7551" t="s">
        <v>46574</v>
      </c>
      <c r="S7551" t="s">
        <v>46723</v>
      </c>
      <c r="T7551" t="s">
        <v>48347</v>
      </c>
      <c r="U7551" t="s">
        <v>55020</v>
      </c>
      <c r="W7551" t="s">
        <v>44873</v>
      </c>
      <c r="X7551" t="s">
        <v>46577</v>
      </c>
    </row>
    <row r="7552" spans="1:24">
      <c r="A7552">
        <f>HYPERLINK("https://www.philgeps.gov.ph/GEPSNONPILOT/Tender/SplashBidNoticeAbstractUI.aspx?menuIndex=3&amp;refID=7057550&amp;Result=3","7057550")</f>
        <v>0</v>
      </c>
      <c r="B7552" t="s">
        <v>2308</v>
      </c>
      <c r="C7552" t="s">
        <v>10689</v>
      </c>
      <c r="D7552" t="s">
        <v>18827</v>
      </c>
      <c r="E7552" t="s">
        <v>25530</v>
      </c>
      <c r="F7552" t="s">
        <v>32664</v>
      </c>
      <c r="G7552" t="s">
        <v>32672</v>
      </c>
      <c r="H7552" t="s">
        <v>32682</v>
      </c>
      <c r="I7552" t="s">
        <v>32689</v>
      </c>
      <c r="J7552" t="s">
        <v>37440</v>
      </c>
      <c r="K7552" t="s">
        <v>42289</v>
      </c>
      <c r="M7552" t="s">
        <v>45081</v>
      </c>
      <c r="N7552" t="s">
        <v>46569</v>
      </c>
      <c r="O7552" t="s">
        <v>46570</v>
      </c>
      <c r="P7552">
        <v>0</v>
      </c>
      <c r="Q7552">
        <v>2</v>
      </c>
      <c r="R7552" t="s">
        <v>46574</v>
      </c>
      <c r="S7552" t="s">
        <v>46723</v>
      </c>
      <c r="T7552" t="s">
        <v>48308</v>
      </c>
      <c r="U7552" t="s">
        <v>55021</v>
      </c>
      <c r="W7552" t="s">
        <v>45081</v>
      </c>
      <c r="X7552" t="s">
        <v>46577</v>
      </c>
    </row>
    <row r="7553" spans="1:24">
      <c r="A7553">
        <f>HYPERLINK("https://www.philgeps.gov.ph/GEPSNONPILOT/Tender/SplashBidNoticeAbstractUI.aspx?menuIndex=3&amp;refID=7057338&amp;Result=3","7057338")</f>
        <v>0</v>
      </c>
      <c r="B7553" t="s">
        <v>460</v>
      </c>
      <c r="C7553" t="s">
        <v>10690</v>
      </c>
      <c r="D7553" t="s">
        <v>18806</v>
      </c>
      <c r="E7553" t="s">
        <v>25531</v>
      </c>
      <c r="F7553" t="s">
        <v>32664</v>
      </c>
      <c r="G7553" t="s">
        <v>32672</v>
      </c>
      <c r="H7553" t="s">
        <v>12635</v>
      </c>
      <c r="I7553" t="s">
        <v>9486</v>
      </c>
      <c r="J7553" t="s">
        <v>37441</v>
      </c>
      <c r="K7553" t="s">
        <v>42330</v>
      </c>
      <c r="M7553" t="s">
        <v>43641</v>
      </c>
      <c r="N7553" t="s">
        <v>46569</v>
      </c>
      <c r="O7553" t="s">
        <v>46570</v>
      </c>
      <c r="P7553">
        <v>0</v>
      </c>
      <c r="Q7553">
        <v>2</v>
      </c>
      <c r="R7553" t="s">
        <v>46574</v>
      </c>
      <c r="S7553" t="s">
        <v>46723</v>
      </c>
      <c r="T7553" t="s">
        <v>48297</v>
      </c>
      <c r="U7553" t="s">
        <v>55022</v>
      </c>
      <c r="V7553" t="s">
        <v>61876</v>
      </c>
      <c r="W7553" t="s">
        <v>43641</v>
      </c>
      <c r="X7553" t="s">
        <v>46577</v>
      </c>
    </row>
    <row r="7554" spans="1:24">
      <c r="A7554">
        <f>HYPERLINK("https://www.philgeps.gov.ph/GEPSNONPILOT/Tender/SplashBidNoticeAbstractUI.aspx?menuIndex=3&amp;refID=7057540&amp;Result=3","7057540")</f>
        <v>0</v>
      </c>
      <c r="B7554" t="s">
        <v>444</v>
      </c>
      <c r="C7554" t="s">
        <v>10691</v>
      </c>
      <c r="D7554" t="s">
        <v>18799</v>
      </c>
      <c r="E7554" t="s">
        <v>20566</v>
      </c>
      <c r="F7554" t="s">
        <v>32664</v>
      </c>
      <c r="G7554" t="s">
        <v>32671</v>
      </c>
      <c r="H7554" t="s">
        <v>12635</v>
      </c>
      <c r="I7554" t="s">
        <v>6168</v>
      </c>
      <c r="J7554" t="s">
        <v>37442</v>
      </c>
      <c r="K7554" t="s">
        <v>42283</v>
      </c>
      <c r="M7554" t="s">
        <v>43017</v>
      </c>
      <c r="N7554" t="s">
        <v>46569</v>
      </c>
      <c r="O7554" t="s">
        <v>46570</v>
      </c>
      <c r="P7554">
        <v>0</v>
      </c>
      <c r="Q7554">
        <v>7</v>
      </c>
      <c r="R7554" t="s">
        <v>46574</v>
      </c>
      <c r="S7554" t="s">
        <v>46723</v>
      </c>
      <c r="T7554" t="s">
        <v>48228</v>
      </c>
      <c r="U7554" t="s">
        <v>49518</v>
      </c>
      <c r="W7554" t="s">
        <v>43017</v>
      </c>
      <c r="X7554" t="s">
        <v>46577</v>
      </c>
    </row>
    <row r="7555" spans="1:24">
      <c r="A7555">
        <f>HYPERLINK("https://www.philgeps.gov.ph/GEPSNONPILOT/Tender/SplashBidNoticeAbstractUI.aspx?menuIndex=3&amp;refID=7057535&amp;Result=3","7057535")</f>
        <v>0</v>
      </c>
      <c r="B7555" t="s">
        <v>325</v>
      </c>
      <c r="C7555" t="s">
        <v>10692</v>
      </c>
      <c r="D7555" t="s">
        <v>18848</v>
      </c>
      <c r="E7555" t="s">
        <v>25532</v>
      </c>
      <c r="F7555" t="s">
        <v>32664</v>
      </c>
      <c r="G7555" t="s">
        <v>32672</v>
      </c>
      <c r="H7555" t="s">
        <v>12635</v>
      </c>
      <c r="I7555" t="s">
        <v>32685</v>
      </c>
      <c r="J7555" t="s">
        <v>37443</v>
      </c>
      <c r="K7555" t="s">
        <v>42297</v>
      </c>
      <c r="M7555" t="s">
        <v>42893</v>
      </c>
      <c r="N7555" t="s">
        <v>46569</v>
      </c>
      <c r="O7555" t="s">
        <v>46570</v>
      </c>
      <c r="P7555">
        <v>0</v>
      </c>
      <c r="Q7555">
        <v>1</v>
      </c>
      <c r="R7555" t="s">
        <v>46574</v>
      </c>
      <c r="S7555" t="s">
        <v>46723</v>
      </c>
      <c r="T7555" t="s">
        <v>48256</v>
      </c>
      <c r="U7555" t="s">
        <v>55023</v>
      </c>
      <c r="V7555" t="s">
        <v>62373</v>
      </c>
      <c r="W7555" t="s">
        <v>42893</v>
      </c>
      <c r="X7555" t="s">
        <v>46577</v>
      </c>
    </row>
    <row r="7556" spans="1:24">
      <c r="A7556">
        <f>HYPERLINK("https://www.philgeps.gov.ph/GEPSNONPILOT/Tender/SplashBidNoticeAbstractUI.aspx?menuIndex=3&amp;refID=7057359&amp;Result=3","7057359")</f>
        <v>0</v>
      </c>
      <c r="B7556" t="s">
        <v>1612</v>
      </c>
      <c r="C7556" t="s">
        <v>10693</v>
      </c>
      <c r="D7556" t="s">
        <v>18821</v>
      </c>
      <c r="E7556" t="s">
        <v>25533</v>
      </c>
      <c r="F7556" t="s">
        <v>32664</v>
      </c>
      <c r="G7556" t="s">
        <v>32672</v>
      </c>
      <c r="H7556" t="s">
        <v>32683</v>
      </c>
      <c r="I7556" t="s">
        <v>10627</v>
      </c>
      <c r="J7556" t="s">
        <v>37444</v>
      </c>
      <c r="K7556" t="s">
        <v>42405</v>
      </c>
      <c r="M7556" t="s">
        <v>45072</v>
      </c>
      <c r="N7556" t="s">
        <v>46569</v>
      </c>
      <c r="O7556" t="s">
        <v>46570</v>
      </c>
      <c r="P7556">
        <v>0</v>
      </c>
      <c r="Q7556">
        <v>31</v>
      </c>
      <c r="R7556" t="s">
        <v>46574</v>
      </c>
      <c r="S7556" t="s">
        <v>46723</v>
      </c>
      <c r="T7556" t="s">
        <v>48385</v>
      </c>
      <c r="U7556" t="s">
        <v>55024</v>
      </c>
      <c r="W7556" t="s">
        <v>45072</v>
      </c>
      <c r="X7556" t="s">
        <v>46577</v>
      </c>
    </row>
    <row r="7557" spans="1:24">
      <c r="A7557">
        <f>HYPERLINK("https://www.philgeps.gov.ph/GEPSNONPILOT/Tender/SplashBidNoticeAbstractUI.aspx?menuIndex=3&amp;refID=7057528&amp;Result=3","7057528")</f>
        <v>0</v>
      </c>
      <c r="B7557" t="s">
        <v>1266</v>
      </c>
      <c r="C7557" t="s">
        <v>10694</v>
      </c>
      <c r="D7557" t="s">
        <v>18838</v>
      </c>
      <c r="E7557" t="s">
        <v>23712</v>
      </c>
      <c r="F7557" t="s">
        <v>32664</v>
      </c>
      <c r="G7557" t="s">
        <v>32672</v>
      </c>
      <c r="H7557" t="s">
        <v>12635</v>
      </c>
      <c r="I7557" t="s">
        <v>32748</v>
      </c>
      <c r="J7557" t="s">
        <v>32837</v>
      </c>
      <c r="K7557" t="s">
        <v>42290</v>
      </c>
      <c r="M7557" t="s">
        <v>43909</v>
      </c>
      <c r="N7557" t="s">
        <v>46569</v>
      </c>
      <c r="O7557" t="s">
        <v>46570</v>
      </c>
      <c r="P7557">
        <v>0</v>
      </c>
      <c r="Q7557">
        <v>4</v>
      </c>
      <c r="R7557" t="s">
        <v>46574</v>
      </c>
      <c r="S7557" t="s">
        <v>46723</v>
      </c>
      <c r="T7557" t="s">
        <v>48244</v>
      </c>
      <c r="U7557" t="s">
        <v>55025</v>
      </c>
      <c r="W7557" t="s">
        <v>43909</v>
      </c>
      <c r="X7557" t="s">
        <v>46577</v>
      </c>
    </row>
    <row r="7558" spans="1:24">
      <c r="A7558">
        <f>HYPERLINK("https://www.philgeps.gov.ph/GEPSNONPILOT/Tender/SplashBidNoticeAbstractUI.aspx?menuIndex=3&amp;refID=7057521&amp;Result=3","7057521")</f>
        <v>0</v>
      </c>
      <c r="B7558" t="s">
        <v>352</v>
      </c>
      <c r="C7558" t="s">
        <v>10695</v>
      </c>
      <c r="D7558" t="s">
        <v>18801</v>
      </c>
      <c r="E7558" t="s">
        <v>25534</v>
      </c>
      <c r="F7558" t="s">
        <v>32664</v>
      </c>
      <c r="G7558" t="s">
        <v>32671</v>
      </c>
      <c r="H7558" t="s">
        <v>12635</v>
      </c>
      <c r="I7558" t="s">
        <v>6223</v>
      </c>
      <c r="J7558" t="s">
        <v>33072</v>
      </c>
      <c r="K7558" t="s">
        <v>42289</v>
      </c>
      <c r="M7558" t="s">
        <v>44726</v>
      </c>
      <c r="N7558" t="s">
        <v>46569</v>
      </c>
      <c r="O7558" t="s">
        <v>46570</v>
      </c>
      <c r="P7558">
        <v>0</v>
      </c>
      <c r="Q7558">
        <v>2</v>
      </c>
      <c r="R7558" t="s">
        <v>46574</v>
      </c>
      <c r="S7558" t="s">
        <v>46723</v>
      </c>
      <c r="T7558" t="s">
        <v>48473</v>
      </c>
      <c r="U7558" t="s">
        <v>55026</v>
      </c>
      <c r="V7558" t="s">
        <v>61781</v>
      </c>
      <c r="W7558" t="s">
        <v>44726</v>
      </c>
      <c r="X7558" t="s">
        <v>46577</v>
      </c>
    </row>
    <row r="7559" spans="1:24">
      <c r="A7559">
        <f>HYPERLINK("https://www.philgeps.gov.ph/GEPSNONPILOT/Tender/SplashBidNoticeAbstractUI.aspx?menuIndex=3&amp;refID=7057556&amp;Result=3","7057556")</f>
        <v>0</v>
      </c>
      <c r="B7559" t="s">
        <v>444</v>
      </c>
      <c r="C7559" t="s">
        <v>10696</v>
      </c>
      <c r="D7559" t="s">
        <v>18799</v>
      </c>
      <c r="E7559" t="s">
        <v>20822</v>
      </c>
      <c r="F7559" t="s">
        <v>32664</v>
      </c>
      <c r="G7559" t="s">
        <v>32671</v>
      </c>
      <c r="H7559" t="s">
        <v>12635</v>
      </c>
      <c r="I7559" t="s">
        <v>5501</v>
      </c>
      <c r="J7559" t="s">
        <v>37445</v>
      </c>
      <c r="K7559" t="s">
        <v>42283</v>
      </c>
      <c r="M7559" t="s">
        <v>43017</v>
      </c>
      <c r="N7559" t="s">
        <v>46569</v>
      </c>
      <c r="O7559" t="s">
        <v>46570</v>
      </c>
      <c r="P7559">
        <v>0</v>
      </c>
      <c r="Q7559">
        <v>16</v>
      </c>
      <c r="R7559" t="s">
        <v>46574</v>
      </c>
      <c r="S7559" t="s">
        <v>46723</v>
      </c>
      <c r="T7559" t="s">
        <v>48228</v>
      </c>
      <c r="U7559" t="s">
        <v>49518</v>
      </c>
      <c r="W7559" t="s">
        <v>43017</v>
      </c>
      <c r="X7559" t="s">
        <v>46577</v>
      </c>
    </row>
    <row r="7560" spans="1:24">
      <c r="A7560">
        <f>HYPERLINK("https://www.philgeps.gov.ph/GEPSNONPILOT/Tender/SplashBidNoticeAbstractUI.aspx?menuIndex=3&amp;refID=7057339&amp;Result=3","7057339")</f>
        <v>0</v>
      </c>
      <c r="B7560" t="s">
        <v>1612</v>
      </c>
      <c r="C7560" t="s">
        <v>10697</v>
      </c>
      <c r="D7560" t="s">
        <v>18821</v>
      </c>
      <c r="E7560" t="s">
        <v>25535</v>
      </c>
      <c r="F7560" t="s">
        <v>32664</v>
      </c>
      <c r="G7560" t="s">
        <v>32672</v>
      </c>
      <c r="H7560" t="s">
        <v>32683</v>
      </c>
      <c r="I7560" t="s">
        <v>10627</v>
      </c>
      <c r="J7560" t="s">
        <v>37446</v>
      </c>
      <c r="K7560" t="s">
        <v>42467</v>
      </c>
      <c r="M7560" t="s">
        <v>45072</v>
      </c>
      <c r="N7560" t="s">
        <v>46569</v>
      </c>
      <c r="O7560" t="s">
        <v>46570</v>
      </c>
      <c r="P7560">
        <v>0</v>
      </c>
      <c r="Q7560">
        <v>31</v>
      </c>
      <c r="R7560" t="s">
        <v>46574</v>
      </c>
      <c r="S7560" t="s">
        <v>46723</v>
      </c>
      <c r="T7560" t="s">
        <v>48385</v>
      </c>
      <c r="U7560" t="s">
        <v>55027</v>
      </c>
      <c r="W7560" t="s">
        <v>45072</v>
      </c>
      <c r="X7560" t="s">
        <v>46577</v>
      </c>
    </row>
    <row r="7561" spans="1:24">
      <c r="A7561">
        <f>HYPERLINK("https://www.philgeps.gov.ph/GEPSNONPILOT/Tender/SplashBidNoticeAbstractUI.aspx?menuIndex=3&amp;refID=7057737&amp;Result=3","7057737")</f>
        <v>0</v>
      </c>
      <c r="B7561" t="s">
        <v>2309</v>
      </c>
      <c r="C7561" t="s">
        <v>10698</v>
      </c>
      <c r="D7561" t="s">
        <v>18827</v>
      </c>
      <c r="E7561" t="s">
        <v>25503</v>
      </c>
      <c r="F7561" t="s">
        <v>32664</v>
      </c>
      <c r="G7561" t="s">
        <v>32672</v>
      </c>
      <c r="H7561" t="s">
        <v>32683</v>
      </c>
      <c r="I7561" t="s">
        <v>10627</v>
      </c>
      <c r="J7561" t="s">
        <v>37447</v>
      </c>
      <c r="K7561" t="s">
        <v>42281</v>
      </c>
      <c r="M7561" t="s">
        <v>45082</v>
      </c>
      <c r="N7561" t="s">
        <v>46569</v>
      </c>
      <c r="O7561" t="s">
        <v>46570</v>
      </c>
      <c r="P7561">
        <v>0</v>
      </c>
      <c r="Q7561">
        <v>0</v>
      </c>
      <c r="R7561" t="s">
        <v>46574</v>
      </c>
      <c r="S7561" t="s">
        <v>46723</v>
      </c>
      <c r="T7561" t="s">
        <v>48256</v>
      </c>
      <c r="U7561" t="s">
        <v>55028</v>
      </c>
      <c r="W7561" t="s">
        <v>45082</v>
      </c>
      <c r="X7561" t="s">
        <v>46577</v>
      </c>
    </row>
    <row r="7562" spans="1:24">
      <c r="A7562">
        <f>HYPERLINK("https://www.philgeps.gov.ph/GEPSNONPILOT/Tender/SplashBidNoticeAbstractUI.aspx?menuIndex=3&amp;refID=7057735&amp;Result=3","7057735")</f>
        <v>0</v>
      </c>
      <c r="B7562" t="s">
        <v>1709</v>
      </c>
      <c r="C7562" t="s">
        <v>10699</v>
      </c>
      <c r="D7562" t="s">
        <v>18837</v>
      </c>
      <c r="E7562" t="s">
        <v>25536</v>
      </c>
      <c r="F7562" t="s">
        <v>32664</v>
      </c>
      <c r="G7562" t="s">
        <v>32671</v>
      </c>
      <c r="H7562" t="s">
        <v>12635</v>
      </c>
      <c r="I7562" t="s">
        <v>4439</v>
      </c>
      <c r="J7562" t="s">
        <v>37448</v>
      </c>
      <c r="K7562" t="s">
        <v>42289</v>
      </c>
      <c r="M7562" t="s">
        <v>45083</v>
      </c>
      <c r="N7562" t="s">
        <v>46569</v>
      </c>
      <c r="O7562" t="s">
        <v>46570</v>
      </c>
      <c r="P7562">
        <v>0</v>
      </c>
      <c r="Q7562">
        <v>1</v>
      </c>
      <c r="R7562" t="s">
        <v>46574</v>
      </c>
      <c r="S7562" t="s">
        <v>46723</v>
      </c>
      <c r="T7562" t="s">
        <v>48316</v>
      </c>
      <c r="U7562" t="s">
        <v>55029</v>
      </c>
      <c r="W7562" t="s">
        <v>45083</v>
      </c>
      <c r="X7562" t="s">
        <v>46577</v>
      </c>
    </row>
    <row r="7563" spans="1:24">
      <c r="A7563">
        <f>HYPERLINK("https://www.philgeps.gov.ph/GEPSNONPILOT/Tender/SplashBidNoticeAbstractUI.aspx?menuIndex=3&amp;refID=7057558&amp;Result=3","7057558")</f>
        <v>0</v>
      </c>
      <c r="B7563" t="s">
        <v>460</v>
      </c>
      <c r="C7563" t="s">
        <v>10700</v>
      </c>
      <c r="D7563" t="s">
        <v>18806</v>
      </c>
      <c r="E7563" t="s">
        <v>25537</v>
      </c>
      <c r="F7563" t="s">
        <v>32664</v>
      </c>
      <c r="G7563" t="s">
        <v>32672</v>
      </c>
      <c r="H7563" t="s">
        <v>12635</v>
      </c>
      <c r="I7563" t="s">
        <v>8797</v>
      </c>
      <c r="J7563" t="s">
        <v>37449</v>
      </c>
      <c r="K7563" t="s">
        <v>42330</v>
      </c>
      <c r="M7563" t="s">
        <v>43641</v>
      </c>
      <c r="N7563" t="s">
        <v>46569</v>
      </c>
      <c r="O7563" t="s">
        <v>46570</v>
      </c>
      <c r="P7563">
        <v>0</v>
      </c>
      <c r="Q7563">
        <v>0</v>
      </c>
      <c r="R7563" t="s">
        <v>46574</v>
      </c>
      <c r="S7563" t="s">
        <v>46723</v>
      </c>
      <c r="T7563" t="s">
        <v>48321</v>
      </c>
      <c r="U7563" t="s">
        <v>55030</v>
      </c>
      <c r="V7563" t="s">
        <v>61876</v>
      </c>
      <c r="W7563" t="s">
        <v>43641</v>
      </c>
      <c r="X7563" t="s">
        <v>46577</v>
      </c>
    </row>
    <row r="7564" spans="1:24">
      <c r="A7564">
        <f>HYPERLINK("https://www.philgeps.gov.ph/GEPSNONPILOT/Tender/SplashBidNoticeAbstractUI.aspx?menuIndex=3&amp;refID=7057733&amp;Result=3","7057733")</f>
        <v>0</v>
      </c>
      <c r="B7564" t="s">
        <v>2310</v>
      </c>
      <c r="C7564" t="s">
        <v>10701</v>
      </c>
      <c r="D7564" t="s">
        <v>18816</v>
      </c>
      <c r="E7564" t="s">
        <v>25538</v>
      </c>
      <c r="F7564" t="s">
        <v>32664</v>
      </c>
      <c r="G7564" t="s">
        <v>32671</v>
      </c>
      <c r="H7564" t="s">
        <v>12635</v>
      </c>
      <c r="I7564" t="s">
        <v>6628</v>
      </c>
      <c r="J7564" t="s">
        <v>36751</v>
      </c>
      <c r="K7564" t="s">
        <v>42281</v>
      </c>
      <c r="M7564" t="s">
        <v>45084</v>
      </c>
      <c r="N7564" t="s">
        <v>46569</v>
      </c>
      <c r="O7564" t="s">
        <v>46570</v>
      </c>
      <c r="P7564">
        <v>0</v>
      </c>
      <c r="Q7564">
        <v>5</v>
      </c>
      <c r="R7564" t="s">
        <v>46574</v>
      </c>
      <c r="S7564" t="s">
        <v>46723</v>
      </c>
      <c r="T7564" t="s">
        <v>48449</v>
      </c>
      <c r="U7564" t="s">
        <v>55031</v>
      </c>
      <c r="V7564" t="s">
        <v>62374</v>
      </c>
      <c r="W7564" t="s">
        <v>45084</v>
      </c>
      <c r="X7564" t="s">
        <v>46577</v>
      </c>
    </row>
    <row r="7565" spans="1:24">
      <c r="A7565">
        <f>HYPERLINK("https://www.philgeps.gov.ph/GEPSNONPILOT/Tender/SplashBidNoticeAbstractUI.aspx?menuIndex=3&amp;refID=7057738&amp;Result=3","7057738")</f>
        <v>0</v>
      </c>
      <c r="B7565" t="s">
        <v>965</v>
      </c>
      <c r="C7565" t="s">
        <v>10702</v>
      </c>
      <c r="D7565" t="s">
        <v>18823</v>
      </c>
      <c r="E7565" t="s">
        <v>23397</v>
      </c>
      <c r="F7565" t="s">
        <v>32664</v>
      </c>
      <c r="G7565" t="s">
        <v>32672</v>
      </c>
      <c r="H7565" t="s">
        <v>12635</v>
      </c>
      <c r="I7565" t="s">
        <v>4439</v>
      </c>
      <c r="J7565" t="s">
        <v>37450</v>
      </c>
      <c r="K7565" t="s">
        <v>42284</v>
      </c>
      <c r="M7565" t="s">
        <v>43573</v>
      </c>
      <c r="N7565" t="s">
        <v>46569</v>
      </c>
      <c r="O7565" t="s">
        <v>46570</v>
      </c>
      <c r="P7565">
        <v>0</v>
      </c>
      <c r="Q7565">
        <v>2</v>
      </c>
      <c r="R7565" t="s">
        <v>46574</v>
      </c>
      <c r="S7565" t="s">
        <v>46723</v>
      </c>
      <c r="T7565" t="s">
        <v>48602</v>
      </c>
      <c r="U7565" t="s">
        <v>55032</v>
      </c>
      <c r="W7565" t="s">
        <v>43573</v>
      </c>
      <c r="X7565" t="s">
        <v>46577</v>
      </c>
    </row>
    <row r="7566" spans="1:24">
      <c r="A7566">
        <f>HYPERLINK("https://www.philgeps.gov.ph/GEPSNONPILOT/Tender/SplashBidNoticeAbstractUI.aspx?menuIndex=3&amp;refID=7057693&amp;Result=3","7057693")</f>
        <v>0</v>
      </c>
      <c r="B7566" t="s">
        <v>2311</v>
      </c>
      <c r="C7566" t="s">
        <v>10703</v>
      </c>
      <c r="D7566" t="s">
        <v>18834</v>
      </c>
      <c r="E7566" t="s">
        <v>25539</v>
      </c>
      <c r="F7566" t="s">
        <v>32664</v>
      </c>
      <c r="G7566" t="s">
        <v>32671</v>
      </c>
      <c r="H7566" t="s">
        <v>32682</v>
      </c>
      <c r="I7566" t="s">
        <v>32758</v>
      </c>
      <c r="J7566" t="s">
        <v>33089</v>
      </c>
      <c r="K7566" t="s">
        <v>42284</v>
      </c>
      <c r="M7566" t="s">
        <v>45085</v>
      </c>
      <c r="N7566" t="s">
        <v>46569</v>
      </c>
      <c r="O7566" t="s">
        <v>46570</v>
      </c>
      <c r="P7566">
        <v>0</v>
      </c>
      <c r="Q7566">
        <v>2</v>
      </c>
      <c r="R7566" t="s">
        <v>46574</v>
      </c>
      <c r="S7566" t="s">
        <v>46723</v>
      </c>
      <c r="T7566" t="s">
        <v>48287</v>
      </c>
      <c r="U7566" t="s">
        <v>55033</v>
      </c>
      <c r="W7566" t="s">
        <v>45085</v>
      </c>
      <c r="X7566" t="s">
        <v>46577</v>
      </c>
    </row>
    <row r="7567" spans="1:24">
      <c r="A7567">
        <f>HYPERLINK("https://www.philgeps.gov.ph/GEPSNONPILOT/Tender/SplashBidNoticeAbstractUI.aspx?menuIndex=3&amp;refID=7057674&amp;Result=3","7057674")</f>
        <v>0</v>
      </c>
      <c r="B7567" t="s">
        <v>2312</v>
      </c>
      <c r="C7567" t="s">
        <v>10704</v>
      </c>
      <c r="D7567" t="s">
        <v>18792</v>
      </c>
      <c r="E7567" t="s">
        <v>25540</v>
      </c>
      <c r="F7567" t="s">
        <v>32664</v>
      </c>
      <c r="G7567" t="s">
        <v>32674</v>
      </c>
      <c r="H7567" t="s">
        <v>12635</v>
      </c>
      <c r="I7567" t="s">
        <v>10361</v>
      </c>
      <c r="J7567" t="s">
        <v>37451</v>
      </c>
      <c r="K7567" t="s">
        <v>42306</v>
      </c>
      <c r="M7567" t="s">
        <v>45086</v>
      </c>
      <c r="N7567" t="s">
        <v>46569</v>
      </c>
      <c r="O7567" t="s">
        <v>46570</v>
      </c>
      <c r="P7567">
        <v>0</v>
      </c>
      <c r="Q7567">
        <v>0</v>
      </c>
      <c r="R7567" t="s">
        <v>46574</v>
      </c>
      <c r="S7567" t="s">
        <v>46723</v>
      </c>
      <c r="T7567" t="s">
        <v>48448</v>
      </c>
      <c r="U7567" t="s">
        <v>55034</v>
      </c>
      <c r="W7567" t="s">
        <v>45086</v>
      </c>
      <c r="X7567" t="s">
        <v>46577</v>
      </c>
    </row>
    <row r="7568" spans="1:24">
      <c r="A7568">
        <f>HYPERLINK("https://www.philgeps.gov.ph/GEPSNONPILOT/Tender/SplashBidNoticeAbstractUI.aspx?menuIndex=3&amp;refID=7057662&amp;Result=3","7057662")</f>
        <v>0</v>
      </c>
      <c r="B7568" t="s">
        <v>92</v>
      </c>
      <c r="C7568" t="s">
        <v>10705</v>
      </c>
      <c r="D7568" t="s">
        <v>18820</v>
      </c>
      <c r="E7568" t="s">
        <v>25541</v>
      </c>
      <c r="F7568" t="s">
        <v>32664</v>
      </c>
      <c r="G7568" t="s">
        <v>32672</v>
      </c>
      <c r="H7568" t="s">
        <v>12635</v>
      </c>
      <c r="I7568" t="s">
        <v>11464</v>
      </c>
      <c r="J7568" t="s">
        <v>37452</v>
      </c>
      <c r="K7568" t="s">
        <v>42311</v>
      </c>
      <c r="M7568" t="s">
        <v>42655</v>
      </c>
      <c r="N7568" t="s">
        <v>46569</v>
      </c>
      <c r="O7568" t="s">
        <v>46570</v>
      </c>
      <c r="P7568">
        <v>0</v>
      </c>
      <c r="Q7568">
        <v>14</v>
      </c>
      <c r="R7568" t="s">
        <v>46574</v>
      </c>
      <c r="S7568" t="s">
        <v>46723</v>
      </c>
      <c r="T7568" t="s">
        <v>48288</v>
      </c>
      <c r="U7568" t="s">
        <v>55035</v>
      </c>
      <c r="W7568" t="s">
        <v>42655</v>
      </c>
      <c r="X7568" t="s">
        <v>46577</v>
      </c>
    </row>
    <row r="7569" spans="1:24">
      <c r="A7569">
        <f>HYPERLINK("https://www.philgeps.gov.ph/GEPSNONPILOT/Tender/SplashBidNoticeAbstractUI.aspx?menuIndex=3&amp;refID=7057645&amp;Result=3","7057645")</f>
        <v>0</v>
      </c>
      <c r="B7569" t="s">
        <v>1771</v>
      </c>
      <c r="C7569" t="s">
        <v>10706</v>
      </c>
      <c r="E7569" t="s">
        <v>25542</v>
      </c>
      <c r="F7569" t="s">
        <v>32664</v>
      </c>
      <c r="G7569" t="s">
        <v>32672</v>
      </c>
      <c r="H7569" t="s">
        <v>12635</v>
      </c>
      <c r="I7569" t="s">
        <v>32730</v>
      </c>
      <c r="J7569" t="s">
        <v>37453</v>
      </c>
      <c r="K7569" t="s">
        <v>42283</v>
      </c>
      <c r="M7569" t="s">
        <v>44473</v>
      </c>
      <c r="N7569" t="s">
        <v>46569</v>
      </c>
      <c r="O7569" t="s">
        <v>46570</v>
      </c>
      <c r="Q7569">
        <v>0</v>
      </c>
      <c r="R7569" t="s">
        <v>46574</v>
      </c>
      <c r="S7569" t="s">
        <v>46736</v>
      </c>
      <c r="T7569" t="s">
        <v>48410</v>
      </c>
      <c r="U7569" t="s">
        <v>55036</v>
      </c>
      <c r="V7569" t="s">
        <v>62160</v>
      </c>
      <c r="W7569" t="s">
        <v>44473</v>
      </c>
      <c r="X7569" t="s">
        <v>46577</v>
      </c>
    </row>
    <row r="7570" spans="1:24">
      <c r="A7570">
        <f>HYPERLINK("https://www.philgeps.gov.ph/GEPSNONPILOT/Tender/SplashBidNoticeAbstractUI.aspx?menuIndex=3&amp;refID=7057723&amp;Result=3","7057723")</f>
        <v>0</v>
      </c>
      <c r="B7570" t="s">
        <v>67</v>
      </c>
      <c r="C7570" t="s">
        <v>10707</v>
      </c>
      <c r="D7570" t="s">
        <v>18814</v>
      </c>
      <c r="E7570" t="s">
        <v>25543</v>
      </c>
      <c r="F7570" t="s">
        <v>32664</v>
      </c>
      <c r="G7570" t="s">
        <v>32672</v>
      </c>
      <c r="H7570" t="s">
        <v>32683</v>
      </c>
      <c r="I7570" t="s">
        <v>32684</v>
      </c>
      <c r="J7570" t="s">
        <v>32974</v>
      </c>
      <c r="K7570" t="s">
        <v>42281</v>
      </c>
      <c r="M7570" t="s">
        <v>42630</v>
      </c>
      <c r="N7570" t="s">
        <v>46569</v>
      </c>
      <c r="O7570" t="s">
        <v>46570</v>
      </c>
      <c r="P7570">
        <v>0</v>
      </c>
      <c r="Q7570">
        <v>3</v>
      </c>
      <c r="R7570" t="s">
        <v>46574</v>
      </c>
      <c r="S7570" t="s">
        <v>46723</v>
      </c>
      <c r="T7570" t="s">
        <v>48483</v>
      </c>
      <c r="U7570" t="s">
        <v>55037</v>
      </c>
      <c r="V7570" t="s">
        <v>62375</v>
      </c>
      <c r="W7570" t="s">
        <v>42630</v>
      </c>
      <c r="X7570" t="s">
        <v>46577</v>
      </c>
    </row>
    <row r="7571" spans="1:24">
      <c r="A7571">
        <f>HYPERLINK("https://www.philgeps.gov.ph/GEPSNONPILOT/Tender/SplashBidNoticeAbstractUI.aspx?menuIndex=3&amp;refID=7058058&amp;Result=3","7058058")</f>
        <v>0</v>
      </c>
      <c r="B7571" t="s">
        <v>2313</v>
      </c>
      <c r="C7571" t="s">
        <v>10708</v>
      </c>
      <c r="D7571" t="s">
        <v>18782</v>
      </c>
      <c r="E7571" t="s">
        <v>19010</v>
      </c>
      <c r="F7571" t="s">
        <v>32664</v>
      </c>
      <c r="G7571" t="s">
        <v>32672</v>
      </c>
      <c r="H7571" t="s">
        <v>12635</v>
      </c>
      <c r="I7571" t="s">
        <v>4439</v>
      </c>
      <c r="J7571" t="s">
        <v>37454</v>
      </c>
      <c r="K7571" t="s">
        <v>42284</v>
      </c>
      <c r="M7571" t="s">
        <v>45087</v>
      </c>
      <c r="N7571" t="s">
        <v>46569</v>
      </c>
      <c r="O7571" t="s">
        <v>46570</v>
      </c>
      <c r="P7571">
        <v>0</v>
      </c>
      <c r="Q7571">
        <v>0</v>
      </c>
      <c r="R7571" t="s">
        <v>46574</v>
      </c>
      <c r="S7571" t="s">
        <v>46723</v>
      </c>
      <c r="T7571" t="s">
        <v>48368</v>
      </c>
      <c r="U7571" t="s">
        <v>55038</v>
      </c>
      <c r="W7571" t="s">
        <v>45087</v>
      </c>
      <c r="X7571" t="s">
        <v>46576</v>
      </c>
    </row>
    <row r="7572" spans="1:24">
      <c r="A7572">
        <f>HYPERLINK("https://www.philgeps.gov.ph/GEPSNONPILOT/Tender/SplashBidNoticeAbstractUI.aspx?menuIndex=3&amp;refID=7057718&amp;Result=3","7057718")</f>
        <v>0</v>
      </c>
      <c r="B7572" t="s">
        <v>965</v>
      </c>
      <c r="C7572" t="s">
        <v>10709</v>
      </c>
      <c r="D7572" t="s">
        <v>18823</v>
      </c>
      <c r="E7572" t="s">
        <v>19484</v>
      </c>
      <c r="F7572" t="s">
        <v>32664</v>
      </c>
      <c r="G7572" t="s">
        <v>32672</v>
      </c>
      <c r="H7572" t="s">
        <v>12635</v>
      </c>
      <c r="I7572" t="s">
        <v>4439</v>
      </c>
      <c r="J7572" t="s">
        <v>37455</v>
      </c>
      <c r="K7572" t="s">
        <v>42284</v>
      </c>
      <c r="M7572" t="s">
        <v>43573</v>
      </c>
      <c r="N7572" t="s">
        <v>46569</v>
      </c>
      <c r="O7572" t="s">
        <v>46570</v>
      </c>
      <c r="P7572">
        <v>0</v>
      </c>
      <c r="Q7572">
        <v>2</v>
      </c>
      <c r="R7572" t="s">
        <v>46574</v>
      </c>
      <c r="S7572" t="s">
        <v>46723</v>
      </c>
      <c r="T7572" t="s">
        <v>48602</v>
      </c>
      <c r="U7572" t="s">
        <v>55039</v>
      </c>
      <c r="W7572" t="s">
        <v>43573</v>
      </c>
      <c r="X7572" t="s">
        <v>46577</v>
      </c>
    </row>
    <row r="7573" spans="1:24">
      <c r="A7573">
        <f>HYPERLINK("https://www.philgeps.gov.ph/GEPSNONPILOT/Tender/SplashBidNoticeAbstractUI.aspx?menuIndex=3&amp;refID=7057959&amp;Result=3","7057959")</f>
        <v>0</v>
      </c>
      <c r="B7573" t="s">
        <v>2314</v>
      </c>
      <c r="C7573" t="s">
        <v>10710</v>
      </c>
      <c r="D7573" t="s">
        <v>18781</v>
      </c>
      <c r="E7573" t="s">
        <v>25544</v>
      </c>
      <c r="F7573" t="s">
        <v>32664</v>
      </c>
      <c r="G7573" t="s">
        <v>32671</v>
      </c>
      <c r="H7573" t="s">
        <v>12635</v>
      </c>
      <c r="I7573" t="s">
        <v>32745</v>
      </c>
      <c r="J7573" t="s">
        <v>37456</v>
      </c>
      <c r="K7573" t="s">
        <v>42281</v>
      </c>
      <c r="M7573" t="s">
        <v>45088</v>
      </c>
      <c r="N7573" t="s">
        <v>46569</v>
      </c>
      <c r="O7573" t="s">
        <v>46570</v>
      </c>
      <c r="P7573">
        <v>0</v>
      </c>
      <c r="Q7573">
        <v>0</v>
      </c>
      <c r="R7573" t="s">
        <v>46574</v>
      </c>
      <c r="S7573" t="s">
        <v>46723</v>
      </c>
      <c r="T7573" t="s">
        <v>48448</v>
      </c>
      <c r="U7573" t="s">
        <v>55040</v>
      </c>
      <c r="W7573" t="s">
        <v>45088</v>
      </c>
      <c r="X7573" t="s">
        <v>46577</v>
      </c>
    </row>
    <row r="7574" spans="1:24">
      <c r="A7574">
        <f>HYPERLINK("https://www.philgeps.gov.ph/GEPSNONPILOT/Tender/SplashBidNoticeAbstractUI.aspx?menuIndex=3&amp;refID=7057943&amp;Result=3","7057943")</f>
        <v>0</v>
      </c>
      <c r="B7574" t="s">
        <v>2314</v>
      </c>
      <c r="C7574" t="s">
        <v>10711</v>
      </c>
      <c r="D7574" t="s">
        <v>18781</v>
      </c>
      <c r="E7574" t="s">
        <v>25545</v>
      </c>
      <c r="F7574" t="s">
        <v>32664</v>
      </c>
      <c r="G7574" t="s">
        <v>32671</v>
      </c>
      <c r="H7574" t="s">
        <v>12635</v>
      </c>
      <c r="I7574" t="s">
        <v>32703</v>
      </c>
      <c r="J7574" t="s">
        <v>32853</v>
      </c>
      <c r="K7574" t="s">
        <v>42303</v>
      </c>
      <c r="M7574" t="s">
        <v>45088</v>
      </c>
      <c r="N7574" t="s">
        <v>46569</v>
      </c>
      <c r="O7574" t="s">
        <v>46570</v>
      </c>
      <c r="P7574">
        <v>0</v>
      </c>
      <c r="Q7574">
        <v>0</v>
      </c>
      <c r="R7574" t="s">
        <v>46574</v>
      </c>
      <c r="S7574" t="s">
        <v>46723</v>
      </c>
      <c r="T7574" t="s">
        <v>48448</v>
      </c>
      <c r="U7574" t="s">
        <v>55041</v>
      </c>
      <c r="W7574" t="s">
        <v>45088</v>
      </c>
      <c r="X7574" t="s">
        <v>46577</v>
      </c>
    </row>
    <row r="7575" spans="1:24">
      <c r="A7575">
        <f>HYPERLINK("https://www.philgeps.gov.ph/GEPSNONPILOT/Tender/SplashBidNoticeAbstractUI.aspx?menuIndex=3&amp;refID=7058051&amp;Result=3","7058051")</f>
        <v>0</v>
      </c>
      <c r="B7575" t="s">
        <v>2253</v>
      </c>
      <c r="C7575" t="s">
        <v>10712</v>
      </c>
      <c r="D7575" t="s">
        <v>18826</v>
      </c>
      <c r="E7575" t="s">
        <v>25546</v>
      </c>
      <c r="F7575" t="s">
        <v>32664</v>
      </c>
      <c r="G7575" t="s">
        <v>32671</v>
      </c>
      <c r="H7575" t="s">
        <v>12635</v>
      </c>
      <c r="I7575" t="s">
        <v>6628</v>
      </c>
      <c r="J7575" t="s">
        <v>33128</v>
      </c>
      <c r="K7575" t="s">
        <v>42281</v>
      </c>
      <c r="M7575" t="s">
        <v>45018</v>
      </c>
      <c r="N7575" t="s">
        <v>46569</v>
      </c>
      <c r="O7575" t="s">
        <v>46570</v>
      </c>
      <c r="P7575">
        <v>0</v>
      </c>
      <c r="Q7575">
        <v>0</v>
      </c>
      <c r="R7575" t="s">
        <v>46574</v>
      </c>
      <c r="S7575" t="s">
        <v>46723</v>
      </c>
      <c r="T7575" t="s">
        <v>48594</v>
      </c>
      <c r="U7575" t="s">
        <v>55042</v>
      </c>
      <c r="V7575" t="s">
        <v>62354</v>
      </c>
      <c r="W7575" t="s">
        <v>63554</v>
      </c>
      <c r="X7575" t="s">
        <v>46577</v>
      </c>
    </row>
    <row r="7576" spans="1:24">
      <c r="A7576">
        <f>HYPERLINK("https://www.philgeps.gov.ph/GEPSNONPILOT/Tender/SplashBidNoticeAbstractUI.aspx?menuIndex=3&amp;refID=7057929&amp;Result=3","7057929")</f>
        <v>0</v>
      </c>
      <c r="B7576" t="s">
        <v>2315</v>
      </c>
      <c r="C7576" t="s">
        <v>10713</v>
      </c>
      <c r="D7576" t="s">
        <v>18831</v>
      </c>
      <c r="E7576" t="s">
        <v>25547</v>
      </c>
      <c r="F7576" t="s">
        <v>32664</v>
      </c>
      <c r="G7576" t="s">
        <v>32672</v>
      </c>
      <c r="H7576" t="s">
        <v>32683</v>
      </c>
      <c r="I7576" t="s">
        <v>10627</v>
      </c>
      <c r="J7576" t="s">
        <v>37457</v>
      </c>
      <c r="K7576" t="s">
        <v>42298</v>
      </c>
      <c r="M7576" t="s">
        <v>45089</v>
      </c>
      <c r="N7576" t="s">
        <v>46569</v>
      </c>
      <c r="O7576" t="s">
        <v>46570</v>
      </c>
      <c r="P7576">
        <v>0</v>
      </c>
      <c r="Q7576">
        <v>3</v>
      </c>
      <c r="R7576" t="s">
        <v>46574</v>
      </c>
      <c r="S7576" t="s">
        <v>46723</v>
      </c>
      <c r="T7576" t="s">
        <v>48603</v>
      </c>
      <c r="U7576" t="s">
        <v>55043</v>
      </c>
      <c r="V7576" t="s">
        <v>62376</v>
      </c>
      <c r="W7576" t="s">
        <v>45089</v>
      </c>
      <c r="X7576" t="s">
        <v>46577</v>
      </c>
    </row>
    <row r="7577" spans="1:24">
      <c r="A7577">
        <f>HYPERLINK("https://www.philgeps.gov.ph/GEPSNONPILOT/Tender/SplashBidNoticeAbstractUI.aspx?menuIndex=3&amp;refID=7057678&amp;Result=3","7057678")</f>
        <v>0</v>
      </c>
      <c r="B7577" t="s">
        <v>1771</v>
      </c>
      <c r="C7577" t="s">
        <v>10714</v>
      </c>
      <c r="D7577" t="s">
        <v>18810</v>
      </c>
      <c r="E7577" t="s">
        <v>25548</v>
      </c>
      <c r="F7577" t="s">
        <v>32664</v>
      </c>
      <c r="G7577" t="s">
        <v>32672</v>
      </c>
      <c r="H7577" t="s">
        <v>12635</v>
      </c>
      <c r="I7577" t="s">
        <v>7429</v>
      </c>
      <c r="J7577" t="s">
        <v>33126</v>
      </c>
      <c r="K7577" t="s">
        <v>42283</v>
      </c>
      <c r="M7577" t="s">
        <v>44473</v>
      </c>
      <c r="N7577" t="s">
        <v>46569</v>
      </c>
      <c r="O7577" t="s">
        <v>46570</v>
      </c>
      <c r="Q7577">
        <v>0</v>
      </c>
      <c r="R7577" t="s">
        <v>46574</v>
      </c>
      <c r="S7577" t="s">
        <v>46737</v>
      </c>
      <c r="T7577" t="s">
        <v>48311</v>
      </c>
      <c r="U7577" t="s">
        <v>55044</v>
      </c>
      <c r="V7577" t="s">
        <v>62160</v>
      </c>
      <c r="W7577" t="s">
        <v>44473</v>
      </c>
      <c r="X7577" t="s">
        <v>46577</v>
      </c>
    </row>
    <row r="7578" spans="1:24">
      <c r="A7578">
        <f>HYPERLINK("https://www.philgeps.gov.ph/GEPSNONPILOT/Tender/SplashBidNoticeAbstractUI.aspx?menuIndex=3&amp;refID=7057917&amp;Result=3","7057917")</f>
        <v>0</v>
      </c>
      <c r="B7578" t="s">
        <v>2314</v>
      </c>
      <c r="C7578" t="s">
        <v>10715</v>
      </c>
      <c r="D7578" t="s">
        <v>18781</v>
      </c>
      <c r="E7578" t="s">
        <v>25549</v>
      </c>
      <c r="F7578" t="s">
        <v>32664</v>
      </c>
      <c r="G7578" t="s">
        <v>32671</v>
      </c>
      <c r="H7578" t="s">
        <v>12635</v>
      </c>
      <c r="I7578" t="s">
        <v>8730</v>
      </c>
      <c r="J7578" t="s">
        <v>33370</v>
      </c>
      <c r="K7578" t="s">
        <v>42303</v>
      </c>
      <c r="M7578" t="s">
        <v>45088</v>
      </c>
      <c r="N7578" t="s">
        <v>46569</v>
      </c>
      <c r="O7578" t="s">
        <v>46570</v>
      </c>
      <c r="P7578">
        <v>0</v>
      </c>
      <c r="Q7578">
        <v>2</v>
      </c>
      <c r="R7578" t="s">
        <v>46574</v>
      </c>
      <c r="S7578" t="s">
        <v>46723</v>
      </c>
      <c r="T7578" t="s">
        <v>48448</v>
      </c>
      <c r="U7578" t="s">
        <v>55045</v>
      </c>
      <c r="W7578" t="s">
        <v>45088</v>
      </c>
      <c r="X7578" t="s">
        <v>46577</v>
      </c>
    </row>
    <row r="7579" spans="1:24">
      <c r="A7579">
        <f>HYPERLINK("https://www.philgeps.gov.ph/GEPSNONPILOT/Tender/SplashBidNoticeAbstractUI.aspx?menuIndex=3&amp;refID=7057853&amp;Result=3","7057853")</f>
        <v>0</v>
      </c>
      <c r="B7579" t="s">
        <v>2072</v>
      </c>
      <c r="C7579" t="s">
        <v>10716</v>
      </c>
      <c r="D7579" t="s">
        <v>18805</v>
      </c>
      <c r="E7579" t="s">
        <v>25550</v>
      </c>
      <c r="F7579" t="s">
        <v>32664</v>
      </c>
      <c r="G7579" t="s">
        <v>32671</v>
      </c>
      <c r="H7579" t="s">
        <v>12635</v>
      </c>
      <c r="I7579" t="s">
        <v>7429</v>
      </c>
      <c r="J7579" t="s">
        <v>37458</v>
      </c>
      <c r="K7579" t="s">
        <v>42284</v>
      </c>
      <c r="M7579" t="s">
        <v>44823</v>
      </c>
      <c r="N7579" t="s">
        <v>46569</v>
      </c>
      <c r="O7579" t="s">
        <v>46570</v>
      </c>
      <c r="P7579">
        <v>0</v>
      </c>
      <c r="Q7579">
        <v>0</v>
      </c>
      <c r="R7579" t="s">
        <v>46574</v>
      </c>
      <c r="S7579" t="s">
        <v>46723</v>
      </c>
      <c r="T7579" t="s">
        <v>48448</v>
      </c>
      <c r="U7579" t="s">
        <v>55046</v>
      </c>
      <c r="W7579" t="s">
        <v>44823</v>
      </c>
      <c r="X7579" t="s">
        <v>46577</v>
      </c>
    </row>
    <row r="7580" spans="1:24">
      <c r="A7580">
        <f>HYPERLINK("https://www.philgeps.gov.ph/GEPSNONPILOT/Tender/SplashBidNoticeAbstractUI.aspx?menuIndex=3&amp;refID=7057868&amp;Result=3","7057868")</f>
        <v>0</v>
      </c>
      <c r="B7580" t="s">
        <v>2316</v>
      </c>
      <c r="C7580" t="s">
        <v>10717</v>
      </c>
      <c r="D7580" t="s">
        <v>18804</v>
      </c>
      <c r="E7580" t="s">
        <v>25551</v>
      </c>
      <c r="F7580" t="s">
        <v>32664</v>
      </c>
      <c r="G7580" t="s">
        <v>32672</v>
      </c>
      <c r="H7580" t="s">
        <v>32683</v>
      </c>
      <c r="I7580" t="s">
        <v>10627</v>
      </c>
      <c r="J7580" t="s">
        <v>37459</v>
      </c>
      <c r="K7580" t="s">
        <v>42297</v>
      </c>
      <c r="M7580" t="s">
        <v>45090</v>
      </c>
      <c r="N7580" t="s">
        <v>46569</v>
      </c>
      <c r="O7580" t="s">
        <v>46570</v>
      </c>
      <c r="P7580">
        <v>0</v>
      </c>
      <c r="Q7580">
        <v>0</v>
      </c>
      <c r="R7580" t="s">
        <v>46574</v>
      </c>
      <c r="S7580" t="s">
        <v>46723</v>
      </c>
      <c r="T7580" t="s">
        <v>48236</v>
      </c>
      <c r="U7580" t="s">
        <v>55047</v>
      </c>
      <c r="W7580" t="s">
        <v>45090</v>
      </c>
      <c r="X7580" t="s">
        <v>46577</v>
      </c>
    </row>
    <row r="7581" spans="1:24">
      <c r="A7581">
        <f>HYPERLINK("https://www.philgeps.gov.ph/GEPSNONPILOT/Tender/SplashBidNoticeAbstractUI.aspx?menuIndex=3&amp;refID=7057851&amp;Result=3","7057851")</f>
        <v>0</v>
      </c>
      <c r="B7581" t="s">
        <v>2314</v>
      </c>
      <c r="C7581" t="s">
        <v>10718</v>
      </c>
      <c r="D7581" t="s">
        <v>18781</v>
      </c>
      <c r="E7581" t="s">
        <v>25552</v>
      </c>
      <c r="F7581" t="s">
        <v>32664</v>
      </c>
      <c r="G7581" t="s">
        <v>32671</v>
      </c>
      <c r="H7581" t="s">
        <v>12635</v>
      </c>
      <c r="I7581" t="s">
        <v>4205</v>
      </c>
      <c r="J7581" t="s">
        <v>32898</v>
      </c>
      <c r="K7581" t="s">
        <v>42303</v>
      </c>
      <c r="M7581" t="s">
        <v>45088</v>
      </c>
      <c r="N7581" t="s">
        <v>46569</v>
      </c>
      <c r="O7581" t="s">
        <v>46570</v>
      </c>
      <c r="P7581">
        <v>0</v>
      </c>
      <c r="Q7581">
        <v>3</v>
      </c>
      <c r="R7581" t="s">
        <v>46574</v>
      </c>
      <c r="S7581" t="s">
        <v>46723</v>
      </c>
      <c r="T7581" t="s">
        <v>48448</v>
      </c>
      <c r="U7581" t="s">
        <v>55048</v>
      </c>
      <c r="W7581" t="s">
        <v>45088</v>
      </c>
      <c r="X7581" t="s">
        <v>46577</v>
      </c>
    </row>
    <row r="7582" spans="1:24">
      <c r="A7582">
        <f>HYPERLINK("https://www.philgeps.gov.ph/GEPSNONPILOT/Tender/SplashBidNoticeAbstractUI.aspx?menuIndex=3&amp;refID=7057843&amp;Result=3","7057843")</f>
        <v>0</v>
      </c>
      <c r="B7582" t="s">
        <v>2314</v>
      </c>
      <c r="C7582" t="s">
        <v>10719</v>
      </c>
      <c r="D7582" t="s">
        <v>18781</v>
      </c>
      <c r="E7582" t="s">
        <v>25553</v>
      </c>
      <c r="F7582" t="s">
        <v>32664</v>
      </c>
      <c r="G7582" t="s">
        <v>32671</v>
      </c>
      <c r="H7582" t="s">
        <v>12635</v>
      </c>
      <c r="I7582" t="s">
        <v>8797</v>
      </c>
      <c r="J7582" t="s">
        <v>32898</v>
      </c>
      <c r="K7582" t="s">
        <v>42289</v>
      </c>
      <c r="M7582" t="s">
        <v>45088</v>
      </c>
      <c r="N7582" t="s">
        <v>46569</v>
      </c>
      <c r="O7582" t="s">
        <v>46570</v>
      </c>
      <c r="P7582">
        <v>0</v>
      </c>
      <c r="Q7582">
        <v>2</v>
      </c>
      <c r="R7582" t="s">
        <v>46574</v>
      </c>
      <c r="S7582" t="s">
        <v>46723</v>
      </c>
      <c r="T7582" t="s">
        <v>48448</v>
      </c>
      <c r="U7582" t="s">
        <v>55049</v>
      </c>
      <c r="W7582" t="s">
        <v>45088</v>
      </c>
      <c r="X7582" t="s">
        <v>46577</v>
      </c>
    </row>
    <row r="7583" spans="1:24">
      <c r="A7583">
        <f>HYPERLINK("https://www.philgeps.gov.ph/GEPSNONPILOT/Tender/SplashBidNoticeAbstractUI.aspx?menuIndex=3&amp;refID=7058060&amp;Result=3","7058060")</f>
        <v>0</v>
      </c>
      <c r="B7583" t="s">
        <v>2317</v>
      </c>
      <c r="C7583" t="s">
        <v>10720</v>
      </c>
      <c r="D7583" t="s">
        <v>18842</v>
      </c>
      <c r="E7583" t="s">
        <v>25554</v>
      </c>
      <c r="F7583" t="s">
        <v>32664</v>
      </c>
      <c r="G7583" t="s">
        <v>32671</v>
      </c>
      <c r="H7583" t="s">
        <v>12635</v>
      </c>
      <c r="I7583" t="s">
        <v>10590</v>
      </c>
      <c r="J7583" t="s">
        <v>37460</v>
      </c>
      <c r="K7583" t="s">
        <v>42289</v>
      </c>
      <c r="M7583" t="s">
        <v>45091</v>
      </c>
      <c r="N7583" t="s">
        <v>46569</v>
      </c>
      <c r="O7583" t="s">
        <v>46570</v>
      </c>
      <c r="P7583">
        <v>0</v>
      </c>
      <c r="Q7583">
        <v>0</v>
      </c>
      <c r="R7583" t="s">
        <v>46574</v>
      </c>
      <c r="S7583" t="s">
        <v>46723</v>
      </c>
      <c r="T7583" t="s">
        <v>48502</v>
      </c>
      <c r="U7583" t="s">
        <v>55050</v>
      </c>
      <c r="W7583" t="s">
        <v>45091</v>
      </c>
      <c r="X7583" t="s">
        <v>46576</v>
      </c>
    </row>
    <row r="7584" spans="1:24">
      <c r="A7584">
        <f>HYPERLINK("https://www.philgeps.gov.ph/GEPSNONPILOT/Tender/SplashBidNoticeAbstractUI.aspx?menuIndex=3&amp;refID=7058213&amp;Result=3","7058213")</f>
        <v>0</v>
      </c>
      <c r="B7584" t="s">
        <v>2318</v>
      </c>
      <c r="C7584" t="s">
        <v>10721</v>
      </c>
      <c r="D7584" t="s">
        <v>18791</v>
      </c>
      <c r="E7584" t="s">
        <v>19673</v>
      </c>
      <c r="F7584" t="s">
        <v>32664</v>
      </c>
      <c r="G7584" t="s">
        <v>32672</v>
      </c>
      <c r="H7584" t="s">
        <v>12635</v>
      </c>
      <c r="I7584" t="s">
        <v>10590</v>
      </c>
      <c r="J7584" t="s">
        <v>35843</v>
      </c>
      <c r="K7584" t="s">
        <v>42289</v>
      </c>
      <c r="M7584" t="s">
        <v>45092</v>
      </c>
      <c r="N7584" t="s">
        <v>46569</v>
      </c>
      <c r="O7584" t="s">
        <v>46570</v>
      </c>
      <c r="P7584">
        <v>0</v>
      </c>
      <c r="Q7584">
        <v>1</v>
      </c>
      <c r="R7584" t="s">
        <v>46574</v>
      </c>
      <c r="S7584" t="s">
        <v>46723</v>
      </c>
      <c r="T7584" t="s">
        <v>48282</v>
      </c>
      <c r="U7584" t="s">
        <v>55051</v>
      </c>
      <c r="W7584" t="s">
        <v>45092</v>
      </c>
      <c r="X7584" t="s">
        <v>46576</v>
      </c>
    </row>
    <row r="7585" spans="1:24">
      <c r="A7585">
        <f>HYPERLINK("https://www.philgeps.gov.ph/GEPSNONPILOT/Tender/SplashBidNoticeAbstractUI.aspx?menuIndex=3&amp;refID=7058211&amp;Result=3","7058211")</f>
        <v>0</v>
      </c>
      <c r="B7585" t="s">
        <v>2318</v>
      </c>
      <c r="C7585" t="s">
        <v>10722</v>
      </c>
      <c r="D7585" t="s">
        <v>18791</v>
      </c>
      <c r="E7585" t="s">
        <v>19010</v>
      </c>
      <c r="F7585" t="s">
        <v>32664</v>
      </c>
      <c r="G7585" t="s">
        <v>32672</v>
      </c>
      <c r="H7585" t="s">
        <v>12635</v>
      </c>
      <c r="I7585" t="s">
        <v>32721</v>
      </c>
      <c r="J7585" t="s">
        <v>33893</v>
      </c>
      <c r="K7585" t="s">
        <v>42284</v>
      </c>
      <c r="M7585" t="s">
        <v>45092</v>
      </c>
      <c r="N7585" t="s">
        <v>46569</v>
      </c>
      <c r="O7585" t="s">
        <v>46570</v>
      </c>
      <c r="P7585">
        <v>0</v>
      </c>
      <c r="Q7585">
        <v>0</v>
      </c>
      <c r="R7585" t="s">
        <v>46574</v>
      </c>
      <c r="S7585" t="s">
        <v>46723</v>
      </c>
      <c r="T7585" t="s">
        <v>48282</v>
      </c>
      <c r="U7585" t="s">
        <v>55052</v>
      </c>
      <c r="W7585" t="s">
        <v>45092</v>
      </c>
      <c r="X7585" t="s">
        <v>46576</v>
      </c>
    </row>
    <row r="7586" spans="1:24">
      <c r="A7586">
        <f>HYPERLINK("https://www.philgeps.gov.ph/GEPSNONPILOT/Tender/SplashBidNoticeAbstractUI.aspx?menuIndex=3&amp;refID=7057978&amp;Result=3","7057978")</f>
        <v>0</v>
      </c>
      <c r="B7586" t="s">
        <v>2314</v>
      </c>
      <c r="C7586" t="s">
        <v>10723</v>
      </c>
      <c r="D7586" t="s">
        <v>18781</v>
      </c>
      <c r="E7586" t="s">
        <v>25555</v>
      </c>
      <c r="F7586" t="s">
        <v>32664</v>
      </c>
      <c r="G7586" t="s">
        <v>32671</v>
      </c>
      <c r="H7586" t="s">
        <v>12635</v>
      </c>
      <c r="I7586" t="s">
        <v>4205</v>
      </c>
      <c r="J7586" t="s">
        <v>33418</v>
      </c>
      <c r="K7586" t="s">
        <v>42281</v>
      </c>
      <c r="M7586" t="s">
        <v>45088</v>
      </c>
      <c r="N7586" t="s">
        <v>46569</v>
      </c>
      <c r="O7586" t="s">
        <v>46570</v>
      </c>
      <c r="P7586">
        <v>0</v>
      </c>
      <c r="Q7586">
        <v>3</v>
      </c>
      <c r="R7586" t="s">
        <v>46574</v>
      </c>
      <c r="S7586" t="s">
        <v>46723</v>
      </c>
      <c r="T7586" t="s">
        <v>48448</v>
      </c>
      <c r="U7586" t="s">
        <v>55053</v>
      </c>
      <c r="W7586" t="s">
        <v>45088</v>
      </c>
      <c r="X7586" t="s">
        <v>46577</v>
      </c>
    </row>
    <row r="7587" spans="1:24">
      <c r="A7587">
        <f>HYPERLINK("https://www.philgeps.gov.ph/GEPSNONPILOT/Tender/SplashBidNoticeAbstractUI.aspx?menuIndex=3&amp;refID=7058194&amp;Result=3","7058194")</f>
        <v>0</v>
      </c>
      <c r="B7587" t="s">
        <v>352</v>
      </c>
      <c r="C7587" t="s">
        <v>10724</v>
      </c>
      <c r="D7587" t="s">
        <v>18834</v>
      </c>
      <c r="E7587" t="s">
        <v>25556</v>
      </c>
      <c r="F7587" t="s">
        <v>32664</v>
      </c>
      <c r="G7587" t="s">
        <v>32671</v>
      </c>
      <c r="H7587" t="s">
        <v>12635</v>
      </c>
      <c r="I7587" t="s">
        <v>6223</v>
      </c>
      <c r="J7587" t="s">
        <v>37461</v>
      </c>
      <c r="K7587" t="s">
        <v>42295</v>
      </c>
      <c r="M7587" t="s">
        <v>45093</v>
      </c>
      <c r="N7587" t="s">
        <v>46569</v>
      </c>
      <c r="O7587" t="s">
        <v>46570</v>
      </c>
      <c r="P7587">
        <v>0</v>
      </c>
      <c r="Q7587">
        <v>3</v>
      </c>
      <c r="R7587" t="s">
        <v>46574</v>
      </c>
      <c r="S7587" t="s">
        <v>46723</v>
      </c>
      <c r="T7587" t="s">
        <v>48473</v>
      </c>
      <c r="U7587" t="s">
        <v>55054</v>
      </c>
      <c r="V7587" t="s">
        <v>61800</v>
      </c>
      <c r="W7587" t="s">
        <v>45093</v>
      </c>
      <c r="X7587" t="s">
        <v>46576</v>
      </c>
    </row>
    <row r="7588" spans="1:24">
      <c r="A7588">
        <f>HYPERLINK("https://www.philgeps.gov.ph/GEPSNONPILOT/Tender/SplashBidNoticeAbstractUI.aspx?menuIndex=3&amp;refID=7058167&amp;Result=3","7058167")</f>
        <v>0</v>
      </c>
      <c r="B7588" t="s">
        <v>409</v>
      </c>
      <c r="C7588" t="s">
        <v>10725</v>
      </c>
      <c r="D7588" t="s">
        <v>18784</v>
      </c>
      <c r="E7588" t="s">
        <v>25557</v>
      </c>
      <c r="F7588" t="s">
        <v>32664</v>
      </c>
      <c r="G7588" t="s">
        <v>32671</v>
      </c>
      <c r="H7588" t="s">
        <v>12635</v>
      </c>
      <c r="I7588" t="s">
        <v>7429</v>
      </c>
      <c r="J7588" t="s">
        <v>33096</v>
      </c>
      <c r="K7588" t="s">
        <v>42281</v>
      </c>
      <c r="M7588" t="s">
        <v>45094</v>
      </c>
      <c r="N7588" t="s">
        <v>46569</v>
      </c>
      <c r="O7588" t="s">
        <v>46570</v>
      </c>
      <c r="P7588">
        <v>0</v>
      </c>
      <c r="Q7588">
        <v>16</v>
      </c>
      <c r="R7588" t="s">
        <v>46574</v>
      </c>
      <c r="S7588" t="s">
        <v>46723</v>
      </c>
      <c r="T7588" t="s">
        <v>48473</v>
      </c>
      <c r="U7588" t="s">
        <v>55055</v>
      </c>
      <c r="W7588" t="s">
        <v>45094</v>
      </c>
      <c r="X7588" t="s">
        <v>46576</v>
      </c>
    </row>
    <row r="7589" spans="1:24">
      <c r="A7589">
        <f>HYPERLINK("https://www.philgeps.gov.ph/GEPSNONPILOT/Tender/SplashBidNoticeAbstractUI.aspx?menuIndex=3&amp;refID=7057902&amp;Result=3","7057902")</f>
        <v>0</v>
      </c>
      <c r="B7589" t="s">
        <v>2319</v>
      </c>
      <c r="C7589" t="s">
        <v>10726</v>
      </c>
      <c r="D7589" t="s">
        <v>18784</v>
      </c>
      <c r="E7589" t="s">
        <v>25558</v>
      </c>
      <c r="F7589" t="s">
        <v>32664</v>
      </c>
      <c r="G7589" t="s">
        <v>32672</v>
      </c>
      <c r="H7589" t="s">
        <v>32683</v>
      </c>
      <c r="I7589" t="s">
        <v>32774</v>
      </c>
      <c r="J7589" t="s">
        <v>34253</v>
      </c>
      <c r="K7589" t="s">
        <v>42308</v>
      </c>
      <c r="M7589" t="s">
        <v>45095</v>
      </c>
      <c r="N7589" t="s">
        <v>46569</v>
      </c>
      <c r="O7589" t="s">
        <v>46570</v>
      </c>
      <c r="P7589">
        <v>0</v>
      </c>
      <c r="Q7589">
        <v>3</v>
      </c>
      <c r="R7589" t="s">
        <v>46574</v>
      </c>
      <c r="S7589" t="s">
        <v>46723</v>
      </c>
      <c r="T7589" t="s">
        <v>48302</v>
      </c>
      <c r="U7589" t="s">
        <v>55056</v>
      </c>
      <c r="W7589" t="s">
        <v>45095</v>
      </c>
      <c r="X7589" t="s">
        <v>46577</v>
      </c>
    </row>
    <row r="7590" spans="1:24">
      <c r="A7590">
        <f>HYPERLINK("https://www.philgeps.gov.ph/GEPSNONPILOT/Tender/SplashBidNoticeAbstractUI.aspx?menuIndex=3&amp;refID=7058153&amp;Result=3","7058153")</f>
        <v>0</v>
      </c>
      <c r="B7590" t="s">
        <v>1945</v>
      </c>
      <c r="C7590" t="s">
        <v>10727</v>
      </c>
      <c r="D7590" t="s">
        <v>18792</v>
      </c>
      <c r="E7590" t="s">
        <v>25559</v>
      </c>
      <c r="F7590" t="s">
        <v>32664</v>
      </c>
      <c r="G7590" t="s">
        <v>32672</v>
      </c>
      <c r="H7590" t="s">
        <v>12635</v>
      </c>
      <c r="I7590" t="s">
        <v>4439</v>
      </c>
      <c r="J7590" t="s">
        <v>37462</v>
      </c>
      <c r="K7590" t="s">
        <v>42289</v>
      </c>
      <c r="M7590" t="s">
        <v>44672</v>
      </c>
      <c r="N7590" t="s">
        <v>46569</v>
      </c>
      <c r="O7590" t="s">
        <v>46570</v>
      </c>
      <c r="P7590">
        <v>0</v>
      </c>
      <c r="Q7590">
        <v>0</v>
      </c>
      <c r="R7590" t="s">
        <v>46574</v>
      </c>
      <c r="S7590" t="s">
        <v>46723</v>
      </c>
      <c r="T7590" t="s">
        <v>48213</v>
      </c>
      <c r="U7590" t="s">
        <v>55057</v>
      </c>
      <c r="W7590" t="s">
        <v>44672</v>
      </c>
      <c r="X7590" t="s">
        <v>46576</v>
      </c>
    </row>
    <row r="7591" spans="1:24">
      <c r="A7591">
        <f>HYPERLINK("https://www.philgeps.gov.ph/GEPSNONPILOT/Tender/SplashBidNoticeAbstractUI.aspx?menuIndex=3&amp;refID=7058142&amp;Result=3","7058142")</f>
        <v>0</v>
      </c>
      <c r="B7591" t="s">
        <v>2320</v>
      </c>
      <c r="C7591" t="s">
        <v>8762</v>
      </c>
      <c r="D7591" t="s">
        <v>18781</v>
      </c>
      <c r="E7591" t="s">
        <v>21583</v>
      </c>
      <c r="F7591" t="s">
        <v>32664</v>
      </c>
      <c r="G7591" t="s">
        <v>32672</v>
      </c>
      <c r="H7591" t="s">
        <v>12635</v>
      </c>
      <c r="I7591" t="s">
        <v>6223</v>
      </c>
      <c r="J7591" t="s">
        <v>37463</v>
      </c>
      <c r="K7591" t="s">
        <v>42283</v>
      </c>
      <c r="M7591" t="s">
        <v>45096</v>
      </c>
      <c r="N7591" t="s">
        <v>46569</v>
      </c>
      <c r="O7591" t="s">
        <v>46570</v>
      </c>
      <c r="P7591">
        <v>0</v>
      </c>
      <c r="Q7591">
        <v>0</v>
      </c>
      <c r="R7591" t="s">
        <v>46574</v>
      </c>
      <c r="S7591" t="s">
        <v>46723</v>
      </c>
      <c r="T7591" t="s">
        <v>48331</v>
      </c>
      <c r="U7591" t="s">
        <v>55058</v>
      </c>
      <c r="W7591" t="s">
        <v>45096</v>
      </c>
      <c r="X7591" t="s">
        <v>46576</v>
      </c>
    </row>
    <row r="7592" spans="1:24">
      <c r="A7592">
        <f>HYPERLINK("https://www.philgeps.gov.ph/GEPSNONPILOT/Tender/SplashBidNoticeAbstractUI.aspx?menuIndex=3&amp;refID=7058116&amp;Result=3","7058116")</f>
        <v>0</v>
      </c>
      <c r="B7592" t="s">
        <v>2321</v>
      </c>
      <c r="C7592" t="s">
        <v>10728</v>
      </c>
      <c r="D7592" t="s">
        <v>18802</v>
      </c>
      <c r="E7592" t="s">
        <v>25560</v>
      </c>
      <c r="F7592" t="s">
        <v>32664</v>
      </c>
      <c r="G7592" t="s">
        <v>32672</v>
      </c>
      <c r="H7592" t="s">
        <v>32683</v>
      </c>
      <c r="I7592" t="s">
        <v>10627</v>
      </c>
      <c r="J7592" t="s">
        <v>37464</v>
      </c>
      <c r="K7592" t="s">
        <v>42283</v>
      </c>
      <c r="M7592" t="s">
        <v>45097</v>
      </c>
      <c r="N7592" t="s">
        <v>46569</v>
      </c>
      <c r="O7592" t="s">
        <v>46570</v>
      </c>
      <c r="P7592">
        <v>0</v>
      </c>
      <c r="Q7592">
        <v>0</v>
      </c>
      <c r="R7592" t="s">
        <v>46574</v>
      </c>
      <c r="S7592" t="s">
        <v>46723</v>
      </c>
      <c r="T7592" t="s">
        <v>48219</v>
      </c>
      <c r="U7592" t="s">
        <v>55059</v>
      </c>
      <c r="W7592" t="s">
        <v>45097</v>
      </c>
      <c r="X7592" t="s">
        <v>46576</v>
      </c>
    </row>
    <row r="7593" spans="1:24">
      <c r="A7593">
        <f>HYPERLINK("https://www.philgeps.gov.ph/GEPSNONPILOT/Tender/SplashBidNoticeAbstractUI.aspx?menuIndex=3&amp;refID=7058114&amp;Result=3","7058114")</f>
        <v>0</v>
      </c>
      <c r="B7593" t="s">
        <v>2321</v>
      </c>
      <c r="C7593" t="s">
        <v>10729</v>
      </c>
      <c r="D7593" t="s">
        <v>18802</v>
      </c>
      <c r="E7593" t="s">
        <v>25561</v>
      </c>
      <c r="F7593" t="s">
        <v>32664</v>
      </c>
      <c r="G7593" t="s">
        <v>32672</v>
      </c>
      <c r="H7593" t="s">
        <v>32683</v>
      </c>
      <c r="I7593" t="s">
        <v>10627</v>
      </c>
      <c r="J7593" t="s">
        <v>37465</v>
      </c>
      <c r="K7593" t="s">
        <v>42283</v>
      </c>
      <c r="M7593" t="s">
        <v>45097</v>
      </c>
      <c r="N7593" t="s">
        <v>46569</v>
      </c>
      <c r="O7593" t="s">
        <v>46570</v>
      </c>
      <c r="P7593">
        <v>0</v>
      </c>
      <c r="Q7593">
        <v>0</v>
      </c>
      <c r="R7593" t="s">
        <v>46574</v>
      </c>
      <c r="S7593" t="s">
        <v>46723</v>
      </c>
      <c r="T7593" t="s">
        <v>48219</v>
      </c>
      <c r="U7593" t="s">
        <v>55060</v>
      </c>
      <c r="W7593" t="s">
        <v>45097</v>
      </c>
      <c r="X7593" t="s">
        <v>46576</v>
      </c>
    </row>
    <row r="7594" spans="1:24">
      <c r="A7594">
        <f>HYPERLINK("https://www.philgeps.gov.ph/GEPSNONPILOT/Tender/SplashBidNoticeAbstractUI.aspx?menuIndex=3&amp;refID=7058108&amp;Result=3","7058108")</f>
        <v>0</v>
      </c>
      <c r="B7594" t="s">
        <v>2322</v>
      </c>
      <c r="C7594" t="s">
        <v>10730</v>
      </c>
      <c r="D7594" t="s">
        <v>18802</v>
      </c>
      <c r="E7594" t="s">
        <v>25562</v>
      </c>
      <c r="F7594" t="s">
        <v>32664</v>
      </c>
      <c r="G7594" t="s">
        <v>32672</v>
      </c>
      <c r="H7594" t="s">
        <v>32683</v>
      </c>
      <c r="I7594" t="s">
        <v>10627</v>
      </c>
      <c r="J7594" t="s">
        <v>37466</v>
      </c>
      <c r="K7594" t="s">
        <v>42355</v>
      </c>
      <c r="M7594" t="s">
        <v>45098</v>
      </c>
      <c r="N7594" t="s">
        <v>46569</v>
      </c>
      <c r="O7594" t="s">
        <v>46570</v>
      </c>
      <c r="P7594">
        <v>0</v>
      </c>
      <c r="Q7594">
        <v>0</v>
      </c>
      <c r="R7594" t="s">
        <v>46574</v>
      </c>
      <c r="S7594" t="s">
        <v>46723</v>
      </c>
      <c r="T7594" t="s">
        <v>48219</v>
      </c>
      <c r="U7594" t="s">
        <v>55061</v>
      </c>
      <c r="W7594" t="s">
        <v>45098</v>
      </c>
      <c r="X7594" t="s">
        <v>46576</v>
      </c>
    </row>
    <row r="7595" spans="1:24">
      <c r="A7595">
        <f>HYPERLINK("https://www.philgeps.gov.ph/GEPSNONPILOT/Tender/SplashBidNoticeAbstractUI.aspx?menuIndex=3&amp;refID=7057725&amp;Result=3","7057725")</f>
        <v>0</v>
      </c>
      <c r="B7595" t="s">
        <v>965</v>
      </c>
      <c r="C7595" t="s">
        <v>10731</v>
      </c>
      <c r="D7595" t="s">
        <v>18823</v>
      </c>
      <c r="E7595" t="s">
        <v>20076</v>
      </c>
      <c r="F7595" t="s">
        <v>32664</v>
      </c>
      <c r="G7595" t="s">
        <v>32672</v>
      </c>
      <c r="H7595" t="s">
        <v>12635</v>
      </c>
      <c r="I7595" t="s">
        <v>4439</v>
      </c>
      <c r="J7595" t="s">
        <v>37467</v>
      </c>
      <c r="K7595" t="s">
        <v>42284</v>
      </c>
      <c r="M7595" t="s">
        <v>43573</v>
      </c>
      <c r="N7595" t="s">
        <v>46569</v>
      </c>
      <c r="O7595" t="s">
        <v>46570</v>
      </c>
      <c r="P7595">
        <v>0</v>
      </c>
      <c r="Q7595">
        <v>2</v>
      </c>
      <c r="R7595" t="s">
        <v>46574</v>
      </c>
      <c r="S7595" t="s">
        <v>46723</v>
      </c>
      <c r="T7595" t="s">
        <v>48602</v>
      </c>
      <c r="U7595" t="s">
        <v>55062</v>
      </c>
      <c r="W7595" t="s">
        <v>43573</v>
      </c>
      <c r="X7595" t="s">
        <v>46577</v>
      </c>
    </row>
    <row r="7596" spans="1:24">
      <c r="A7596">
        <f>HYPERLINK("https://www.philgeps.gov.ph/GEPSNONPILOT/Tender/SplashBidNoticeAbstractUI.aspx?menuIndex=3&amp;refID=7058102&amp;Result=3","7058102")</f>
        <v>0</v>
      </c>
      <c r="B7596" t="s">
        <v>2323</v>
      </c>
      <c r="C7596" t="s">
        <v>10732</v>
      </c>
      <c r="D7596" t="s">
        <v>18802</v>
      </c>
      <c r="E7596" t="s">
        <v>25563</v>
      </c>
      <c r="F7596" t="s">
        <v>32664</v>
      </c>
      <c r="G7596" t="s">
        <v>32672</v>
      </c>
      <c r="H7596" t="s">
        <v>32683</v>
      </c>
      <c r="I7596" t="s">
        <v>10627</v>
      </c>
      <c r="J7596" t="s">
        <v>32959</v>
      </c>
      <c r="K7596" t="s">
        <v>42283</v>
      </c>
      <c r="M7596" t="s">
        <v>45099</v>
      </c>
      <c r="N7596" t="s">
        <v>46569</v>
      </c>
      <c r="O7596" t="s">
        <v>46570</v>
      </c>
      <c r="P7596">
        <v>0</v>
      </c>
      <c r="Q7596">
        <v>0</v>
      </c>
      <c r="R7596" t="s">
        <v>46574</v>
      </c>
      <c r="S7596" t="s">
        <v>46723</v>
      </c>
      <c r="T7596" t="s">
        <v>48219</v>
      </c>
      <c r="U7596" t="s">
        <v>55063</v>
      </c>
      <c r="W7596" t="s">
        <v>45099</v>
      </c>
      <c r="X7596" t="s">
        <v>46576</v>
      </c>
    </row>
    <row r="7597" spans="1:24">
      <c r="A7597">
        <f>HYPERLINK("https://www.philgeps.gov.ph/GEPSNONPILOT/Tender/SplashBidNoticeAbstractUI.aspx?menuIndex=3&amp;refID=7057573&amp;Result=3","7057573")</f>
        <v>0</v>
      </c>
      <c r="B7597" t="s">
        <v>2324</v>
      </c>
      <c r="C7597" t="s">
        <v>10733</v>
      </c>
      <c r="D7597" t="s">
        <v>18784</v>
      </c>
      <c r="E7597" t="s">
        <v>25564</v>
      </c>
      <c r="F7597" t="s">
        <v>32664</v>
      </c>
      <c r="G7597" t="s">
        <v>32671</v>
      </c>
      <c r="H7597" t="s">
        <v>12635</v>
      </c>
      <c r="I7597" t="s">
        <v>9486</v>
      </c>
      <c r="J7597" t="s">
        <v>37468</v>
      </c>
      <c r="K7597" t="s">
        <v>42306</v>
      </c>
      <c r="M7597" t="s">
        <v>45100</v>
      </c>
      <c r="N7597" t="s">
        <v>46569</v>
      </c>
      <c r="O7597" t="s">
        <v>46570</v>
      </c>
      <c r="P7597">
        <v>0</v>
      </c>
      <c r="Q7597">
        <v>5</v>
      </c>
      <c r="R7597" t="s">
        <v>46574</v>
      </c>
      <c r="S7597" t="s">
        <v>46723</v>
      </c>
      <c r="T7597" t="s">
        <v>48551</v>
      </c>
      <c r="U7597" t="s">
        <v>55064</v>
      </c>
      <c r="W7597" t="s">
        <v>63557</v>
      </c>
      <c r="X7597" t="s">
        <v>46577</v>
      </c>
    </row>
    <row r="7598" spans="1:24">
      <c r="A7598">
        <f>HYPERLINK("https://www.philgeps.gov.ph/GEPSNONPILOT/Tender/SplashBidNoticeAbstractUI.aspx?menuIndex=3&amp;refID=7058100&amp;Result=3","7058100")</f>
        <v>0</v>
      </c>
      <c r="B7598" t="s">
        <v>2323</v>
      </c>
      <c r="C7598" t="s">
        <v>10734</v>
      </c>
      <c r="D7598" t="s">
        <v>18802</v>
      </c>
      <c r="E7598" t="s">
        <v>25565</v>
      </c>
      <c r="F7598" t="s">
        <v>32664</v>
      </c>
      <c r="G7598" t="s">
        <v>32672</v>
      </c>
      <c r="H7598" t="s">
        <v>32683</v>
      </c>
      <c r="I7598" t="s">
        <v>10627</v>
      </c>
      <c r="J7598" t="s">
        <v>37469</v>
      </c>
      <c r="K7598" t="s">
        <v>42283</v>
      </c>
      <c r="M7598" t="s">
        <v>45099</v>
      </c>
      <c r="N7598" t="s">
        <v>46569</v>
      </c>
      <c r="O7598" t="s">
        <v>46570</v>
      </c>
      <c r="P7598">
        <v>0</v>
      </c>
      <c r="Q7598">
        <v>0</v>
      </c>
      <c r="R7598" t="s">
        <v>46574</v>
      </c>
      <c r="S7598" t="s">
        <v>46723</v>
      </c>
      <c r="T7598" t="s">
        <v>48219</v>
      </c>
      <c r="U7598" t="s">
        <v>55063</v>
      </c>
      <c r="W7598" t="s">
        <v>45099</v>
      </c>
      <c r="X7598" t="s">
        <v>46576</v>
      </c>
    </row>
    <row r="7599" spans="1:24">
      <c r="A7599">
        <f>HYPERLINK("https://www.philgeps.gov.ph/GEPSNONPILOT/Tender/SplashBidNoticeAbstractUI.aspx?menuIndex=3&amp;refID=7058096&amp;Result=3","7058096")</f>
        <v>0</v>
      </c>
      <c r="B7599" t="s">
        <v>2323</v>
      </c>
      <c r="C7599" t="s">
        <v>10735</v>
      </c>
      <c r="D7599" t="s">
        <v>18802</v>
      </c>
      <c r="E7599" t="s">
        <v>25566</v>
      </c>
      <c r="F7599" t="s">
        <v>32664</v>
      </c>
      <c r="G7599" t="s">
        <v>32672</v>
      </c>
      <c r="H7599" t="s">
        <v>12635</v>
      </c>
      <c r="I7599" t="s">
        <v>4439</v>
      </c>
      <c r="J7599" t="s">
        <v>37470</v>
      </c>
      <c r="K7599" t="s">
        <v>42283</v>
      </c>
      <c r="M7599" t="s">
        <v>45099</v>
      </c>
      <c r="N7599" t="s">
        <v>46569</v>
      </c>
      <c r="O7599" t="s">
        <v>46570</v>
      </c>
      <c r="P7599">
        <v>0</v>
      </c>
      <c r="Q7599">
        <v>0</v>
      </c>
      <c r="R7599" t="s">
        <v>46574</v>
      </c>
      <c r="S7599" t="s">
        <v>46723</v>
      </c>
      <c r="T7599" t="s">
        <v>48219</v>
      </c>
      <c r="U7599" t="s">
        <v>55063</v>
      </c>
      <c r="W7599" t="s">
        <v>45099</v>
      </c>
      <c r="X7599" t="s">
        <v>46576</v>
      </c>
    </row>
    <row r="7600" spans="1:24">
      <c r="A7600">
        <f>HYPERLINK("https://www.philgeps.gov.ph/GEPSNONPILOT/Tender/SplashBidNoticeAbstractUI.aspx?menuIndex=3&amp;refID=7058069&amp;Result=3","7058069")</f>
        <v>0</v>
      </c>
      <c r="B7600" t="s">
        <v>2317</v>
      </c>
      <c r="C7600" t="s">
        <v>10736</v>
      </c>
      <c r="D7600" t="s">
        <v>18842</v>
      </c>
      <c r="E7600" t="s">
        <v>25567</v>
      </c>
      <c r="F7600" t="s">
        <v>32664</v>
      </c>
      <c r="G7600" t="s">
        <v>32671</v>
      </c>
      <c r="H7600" t="s">
        <v>12635</v>
      </c>
      <c r="I7600" t="s">
        <v>6223</v>
      </c>
      <c r="J7600" t="s">
        <v>32976</v>
      </c>
      <c r="K7600" t="s">
        <v>42289</v>
      </c>
      <c r="M7600" t="s">
        <v>45091</v>
      </c>
      <c r="N7600" t="s">
        <v>46569</v>
      </c>
      <c r="O7600" t="s">
        <v>46570</v>
      </c>
      <c r="P7600">
        <v>0</v>
      </c>
      <c r="Q7600">
        <v>0</v>
      </c>
      <c r="R7600" t="s">
        <v>46574</v>
      </c>
      <c r="S7600" t="s">
        <v>46723</v>
      </c>
      <c r="T7600" t="s">
        <v>48502</v>
      </c>
      <c r="U7600" t="s">
        <v>55065</v>
      </c>
      <c r="W7600" t="s">
        <v>45091</v>
      </c>
      <c r="X7600" t="s">
        <v>46576</v>
      </c>
    </row>
    <row r="7601" spans="1:24">
      <c r="A7601">
        <f>HYPERLINK("https://www.philgeps.gov.ph/GEPSNONPILOT/Tender/SplashBidNoticeAbstractUI.aspx?menuIndex=3&amp;refID=7058137&amp;Result=3","7058137")</f>
        <v>0</v>
      </c>
      <c r="B7601" t="s">
        <v>2325</v>
      </c>
      <c r="C7601" t="s">
        <v>8762</v>
      </c>
      <c r="D7601" t="s">
        <v>18781</v>
      </c>
      <c r="E7601" t="s">
        <v>21583</v>
      </c>
      <c r="F7601" t="s">
        <v>32664</v>
      </c>
      <c r="G7601" t="s">
        <v>32672</v>
      </c>
      <c r="H7601" t="s">
        <v>12635</v>
      </c>
      <c r="I7601" t="s">
        <v>6223</v>
      </c>
      <c r="J7601" t="s">
        <v>37463</v>
      </c>
      <c r="K7601" t="s">
        <v>42283</v>
      </c>
      <c r="M7601" t="s">
        <v>45101</v>
      </c>
      <c r="N7601" t="s">
        <v>46569</v>
      </c>
      <c r="O7601" t="s">
        <v>46570</v>
      </c>
      <c r="P7601">
        <v>0</v>
      </c>
      <c r="Q7601">
        <v>0</v>
      </c>
      <c r="R7601" t="s">
        <v>46574</v>
      </c>
      <c r="S7601" t="s">
        <v>46723</v>
      </c>
      <c r="T7601" t="s">
        <v>48282</v>
      </c>
      <c r="U7601" t="s">
        <v>55066</v>
      </c>
      <c r="W7601" t="s">
        <v>45101</v>
      </c>
      <c r="X7601" t="s">
        <v>46576</v>
      </c>
    </row>
    <row r="7602" spans="1:24">
      <c r="A7602">
        <f>HYPERLINK("https://www.philgeps.gov.ph/GEPSNONPILOT/Tender/SplashBidNoticeAbstractUI.aspx?menuIndex=3&amp;refID=7058061&amp;Result=3","7058061")</f>
        <v>0</v>
      </c>
      <c r="B7602" t="s">
        <v>2317</v>
      </c>
      <c r="C7602" t="s">
        <v>10737</v>
      </c>
      <c r="D7602" t="s">
        <v>18842</v>
      </c>
      <c r="E7602" t="s">
        <v>25568</v>
      </c>
      <c r="F7602" t="s">
        <v>32664</v>
      </c>
      <c r="G7602" t="s">
        <v>32671</v>
      </c>
      <c r="H7602" t="s">
        <v>12635</v>
      </c>
      <c r="I7602" t="s">
        <v>10590</v>
      </c>
      <c r="J7602" t="s">
        <v>37471</v>
      </c>
      <c r="K7602" t="s">
        <v>42289</v>
      </c>
      <c r="M7602" t="s">
        <v>45091</v>
      </c>
      <c r="N7602" t="s">
        <v>46569</v>
      </c>
      <c r="O7602" t="s">
        <v>46570</v>
      </c>
      <c r="P7602">
        <v>0</v>
      </c>
      <c r="Q7602">
        <v>0</v>
      </c>
      <c r="R7602" t="s">
        <v>46574</v>
      </c>
      <c r="S7602" t="s">
        <v>46723</v>
      </c>
      <c r="T7602" t="s">
        <v>48502</v>
      </c>
      <c r="U7602" t="s">
        <v>55067</v>
      </c>
      <c r="W7602" t="s">
        <v>45091</v>
      </c>
      <c r="X7602" t="s">
        <v>46576</v>
      </c>
    </row>
    <row r="7603" spans="1:24">
      <c r="A7603">
        <f>HYPERLINK("https://www.philgeps.gov.ph/GEPSNONPILOT/Tender/SplashBidNoticeAbstractUI.aspx?menuIndex=3&amp;refID=7057827&amp;Result=3","7057827")</f>
        <v>0</v>
      </c>
      <c r="B7603" t="s">
        <v>2314</v>
      </c>
      <c r="C7603" t="s">
        <v>10738</v>
      </c>
      <c r="D7603" t="s">
        <v>18781</v>
      </c>
      <c r="E7603" t="s">
        <v>25569</v>
      </c>
      <c r="F7603" t="s">
        <v>32664</v>
      </c>
      <c r="G7603" t="s">
        <v>32671</v>
      </c>
      <c r="H7603" t="s">
        <v>12635</v>
      </c>
      <c r="I7603" t="s">
        <v>32729</v>
      </c>
      <c r="J7603" t="s">
        <v>32959</v>
      </c>
      <c r="K7603" t="s">
        <v>42297</v>
      </c>
      <c r="M7603" t="s">
        <v>45088</v>
      </c>
      <c r="N7603" t="s">
        <v>46569</v>
      </c>
      <c r="O7603" t="s">
        <v>46570</v>
      </c>
      <c r="P7603">
        <v>0</v>
      </c>
      <c r="Q7603">
        <v>2</v>
      </c>
      <c r="R7603" t="s">
        <v>46574</v>
      </c>
      <c r="S7603" t="s">
        <v>46723</v>
      </c>
      <c r="T7603" t="s">
        <v>48448</v>
      </c>
      <c r="U7603" t="s">
        <v>55068</v>
      </c>
      <c r="W7603" t="s">
        <v>45088</v>
      </c>
      <c r="X7603" t="s">
        <v>46577</v>
      </c>
    </row>
    <row r="7604" spans="1:24">
      <c r="A7604">
        <f>HYPERLINK("https://www.philgeps.gov.ph/GEPSNONPILOT/Tender/SplashBidNoticeAbstractUI.aspx?menuIndex=3&amp;refID=7057570&amp;Result=3","7057570")</f>
        <v>0</v>
      </c>
      <c r="B7604" t="s">
        <v>2281</v>
      </c>
      <c r="C7604" t="s">
        <v>10739</v>
      </c>
      <c r="D7604" t="s">
        <v>18845</v>
      </c>
      <c r="E7604" t="s">
        <v>25570</v>
      </c>
      <c r="F7604" t="s">
        <v>32664</v>
      </c>
      <c r="G7604" t="s">
        <v>32672</v>
      </c>
      <c r="H7604" t="s">
        <v>32683</v>
      </c>
      <c r="I7604" t="s">
        <v>10627</v>
      </c>
      <c r="J7604" t="s">
        <v>37472</v>
      </c>
      <c r="K7604" t="s">
        <v>42290</v>
      </c>
      <c r="M7604" t="s">
        <v>45048</v>
      </c>
      <c r="N7604" t="s">
        <v>46569</v>
      </c>
      <c r="O7604" t="s">
        <v>46570</v>
      </c>
      <c r="P7604">
        <v>0</v>
      </c>
      <c r="Q7604">
        <v>0</v>
      </c>
      <c r="R7604" t="s">
        <v>46574</v>
      </c>
      <c r="S7604" t="s">
        <v>46723</v>
      </c>
      <c r="T7604" t="s">
        <v>48302</v>
      </c>
      <c r="U7604" t="s">
        <v>55069</v>
      </c>
      <c r="W7604" t="s">
        <v>45048</v>
      </c>
      <c r="X7604" t="s">
        <v>46577</v>
      </c>
    </row>
    <row r="7605" spans="1:24">
      <c r="A7605">
        <f>HYPERLINK("https://www.philgeps.gov.ph/GEPSNONPILOT/Tender/SplashBidNoticeAbstractUI.aspx?menuIndex=3&amp;refID=7058075&amp;Result=3","7058075")</f>
        <v>0</v>
      </c>
      <c r="B7605" t="s">
        <v>2326</v>
      </c>
      <c r="C7605" t="s">
        <v>10740</v>
      </c>
      <c r="D7605" t="s">
        <v>18804</v>
      </c>
      <c r="E7605" t="s">
        <v>25571</v>
      </c>
      <c r="F7605" t="s">
        <v>32664</v>
      </c>
      <c r="G7605" t="s">
        <v>32672</v>
      </c>
      <c r="H7605" t="s">
        <v>32683</v>
      </c>
      <c r="I7605" t="s">
        <v>10627</v>
      </c>
      <c r="J7605" t="s">
        <v>37473</v>
      </c>
      <c r="K7605" t="s">
        <v>42457</v>
      </c>
      <c r="M7605" t="s">
        <v>45102</v>
      </c>
      <c r="N7605" t="s">
        <v>46569</v>
      </c>
      <c r="O7605" t="s">
        <v>46570</v>
      </c>
      <c r="P7605">
        <v>0</v>
      </c>
      <c r="Q7605">
        <v>0</v>
      </c>
      <c r="R7605" t="s">
        <v>46574</v>
      </c>
      <c r="S7605" t="s">
        <v>46723</v>
      </c>
      <c r="T7605" t="s">
        <v>48308</v>
      </c>
      <c r="U7605" t="s">
        <v>55070</v>
      </c>
      <c r="W7605" t="s">
        <v>45102</v>
      </c>
      <c r="X7605" t="s">
        <v>46576</v>
      </c>
    </row>
    <row r="7606" spans="1:24">
      <c r="A7606">
        <f>HYPERLINK("https://www.philgeps.gov.ph/GEPSNONPILOT/Tender/SplashBidNoticeAbstractUI.aspx?menuIndex=3&amp;refID=7058094&amp;Result=3","7058094")</f>
        <v>0</v>
      </c>
      <c r="B7606" t="s">
        <v>2323</v>
      </c>
      <c r="C7606" t="s">
        <v>10741</v>
      </c>
      <c r="D7606" t="s">
        <v>18802</v>
      </c>
      <c r="E7606" t="s">
        <v>25572</v>
      </c>
      <c r="F7606" t="s">
        <v>32664</v>
      </c>
      <c r="G7606" t="s">
        <v>32672</v>
      </c>
      <c r="H7606" t="s">
        <v>32683</v>
      </c>
      <c r="I7606" t="s">
        <v>10627</v>
      </c>
      <c r="J7606" t="s">
        <v>37474</v>
      </c>
      <c r="K7606" t="s">
        <v>42343</v>
      </c>
      <c r="M7606" t="s">
        <v>45099</v>
      </c>
      <c r="N7606" t="s">
        <v>46569</v>
      </c>
      <c r="O7606" t="s">
        <v>46570</v>
      </c>
      <c r="P7606">
        <v>0</v>
      </c>
      <c r="Q7606">
        <v>0</v>
      </c>
      <c r="R7606" t="s">
        <v>46574</v>
      </c>
      <c r="S7606" t="s">
        <v>46723</v>
      </c>
      <c r="T7606" t="s">
        <v>48219</v>
      </c>
      <c r="U7606" t="s">
        <v>55071</v>
      </c>
      <c r="W7606" t="s">
        <v>45099</v>
      </c>
      <c r="X7606" t="s">
        <v>46576</v>
      </c>
    </row>
    <row r="7607" spans="1:24">
      <c r="A7607">
        <f>HYPERLINK("https://www.philgeps.gov.ph/GEPSNONPILOT/Tender/SplashBidNoticeAbstractUI.aspx?menuIndex=3&amp;refID=7057812&amp;Result=3","7057812")</f>
        <v>0</v>
      </c>
      <c r="B7607" t="s">
        <v>2327</v>
      </c>
      <c r="C7607" t="s">
        <v>10742</v>
      </c>
      <c r="D7607" t="s">
        <v>18800</v>
      </c>
      <c r="E7607" t="s">
        <v>25573</v>
      </c>
      <c r="F7607" t="s">
        <v>32664</v>
      </c>
      <c r="G7607" t="s">
        <v>32672</v>
      </c>
      <c r="H7607" t="s">
        <v>32683</v>
      </c>
      <c r="I7607" t="s">
        <v>10627</v>
      </c>
      <c r="J7607" t="s">
        <v>32859</v>
      </c>
      <c r="K7607" t="s">
        <v>42284</v>
      </c>
      <c r="M7607" t="s">
        <v>45103</v>
      </c>
      <c r="N7607" t="s">
        <v>46569</v>
      </c>
      <c r="O7607" t="s">
        <v>46570</v>
      </c>
      <c r="P7607">
        <v>0</v>
      </c>
      <c r="Q7607">
        <v>1</v>
      </c>
      <c r="R7607" t="s">
        <v>46574</v>
      </c>
      <c r="S7607" t="s">
        <v>46723</v>
      </c>
      <c r="T7607" t="s">
        <v>48219</v>
      </c>
      <c r="U7607" t="s">
        <v>55072</v>
      </c>
      <c r="W7607" t="s">
        <v>45103</v>
      </c>
      <c r="X7607" t="s">
        <v>46577</v>
      </c>
    </row>
    <row r="7608" spans="1:24">
      <c r="A7608">
        <f>HYPERLINK("https://www.philgeps.gov.ph/GEPSNONPILOT/Tender/SplashBidNoticeAbstractUI.aspx?menuIndex=3&amp;refID=7058065&amp;Result=3","7058065")</f>
        <v>0</v>
      </c>
      <c r="B7608" t="s">
        <v>1162</v>
      </c>
      <c r="C7608" t="s">
        <v>10743</v>
      </c>
      <c r="D7608" t="s">
        <v>18799</v>
      </c>
      <c r="E7608" t="s">
        <v>25574</v>
      </c>
      <c r="F7608" t="s">
        <v>32664</v>
      </c>
      <c r="G7608" t="s">
        <v>32676</v>
      </c>
      <c r="H7608" t="s">
        <v>12635</v>
      </c>
      <c r="I7608" t="s">
        <v>32692</v>
      </c>
      <c r="J7608" t="s">
        <v>37475</v>
      </c>
      <c r="K7608" t="s">
        <v>42295</v>
      </c>
      <c r="M7608" t="s">
        <v>43795</v>
      </c>
      <c r="N7608" t="s">
        <v>46569</v>
      </c>
      <c r="O7608" t="s">
        <v>46570</v>
      </c>
      <c r="P7608">
        <v>0</v>
      </c>
      <c r="Q7608">
        <v>0</v>
      </c>
      <c r="R7608" t="s">
        <v>46574</v>
      </c>
      <c r="S7608" t="s">
        <v>46723</v>
      </c>
      <c r="T7608" t="s">
        <v>48551</v>
      </c>
      <c r="U7608" t="s">
        <v>55073</v>
      </c>
      <c r="W7608" t="s">
        <v>43795</v>
      </c>
      <c r="X7608" t="s">
        <v>46576</v>
      </c>
    </row>
    <row r="7609" spans="1:24">
      <c r="A7609">
        <f>HYPERLINK("https://www.philgeps.gov.ph/GEPSNONPILOT/Tender/SplashBidNoticeAbstractUI.aspx?menuIndex=3&amp;refID=7057829&amp;Result=3","7057829")</f>
        <v>0</v>
      </c>
      <c r="B7609" t="s">
        <v>1834</v>
      </c>
      <c r="C7609" t="s">
        <v>10744</v>
      </c>
      <c r="D7609" t="s">
        <v>18784</v>
      </c>
      <c r="E7609" t="s">
        <v>23724</v>
      </c>
      <c r="F7609" t="s">
        <v>32665</v>
      </c>
      <c r="G7609" t="s">
        <v>32671</v>
      </c>
      <c r="H7609" t="s">
        <v>12635</v>
      </c>
      <c r="I7609" t="s">
        <v>10627</v>
      </c>
      <c r="J7609" t="s">
        <v>37476</v>
      </c>
      <c r="K7609" t="s">
        <v>42303</v>
      </c>
      <c r="M7609" t="s">
        <v>44541</v>
      </c>
      <c r="N7609" t="s">
        <v>46569</v>
      </c>
      <c r="O7609" t="s">
        <v>46570</v>
      </c>
      <c r="P7609">
        <v>0</v>
      </c>
      <c r="Q7609">
        <v>1</v>
      </c>
      <c r="R7609" t="s">
        <v>46574</v>
      </c>
      <c r="S7609" t="s">
        <v>46723</v>
      </c>
      <c r="T7609" t="s">
        <v>48305</v>
      </c>
      <c r="U7609" t="s">
        <v>55074</v>
      </c>
      <c r="W7609" t="s">
        <v>44541</v>
      </c>
      <c r="X7609" t="s">
        <v>46577</v>
      </c>
    </row>
    <row r="7610" spans="1:24">
      <c r="A7610">
        <f>HYPERLINK("https://www.philgeps.gov.ph/GEPSNONPILOT/Tender/SplashBidNoticeAbstractUI.aspx?menuIndex=3&amp;refID=7057825&amp;Result=3","7057825")</f>
        <v>0</v>
      </c>
      <c r="B7610" t="s">
        <v>2327</v>
      </c>
      <c r="C7610" t="s">
        <v>10745</v>
      </c>
      <c r="D7610" t="s">
        <v>18800</v>
      </c>
      <c r="E7610" t="s">
        <v>25575</v>
      </c>
      <c r="F7610" t="s">
        <v>32664</v>
      </c>
      <c r="G7610" t="s">
        <v>32672</v>
      </c>
      <c r="H7610" t="s">
        <v>32683</v>
      </c>
      <c r="I7610" t="s">
        <v>10627</v>
      </c>
      <c r="J7610" t="s">
        <v>37477</v>
      </c>
      <c r="K7610" t="s">
        <v>42284</v>
      </c>
      <c r="M7610" t="s">
        <v>45103</v>
      </c>
      <c r="N7610" t="s">
        <v>46569</v>
      </c>
      <c r="O7610" t="s">
        <v>46570</v>
      </c>
      <c r="P7610">
        <v>0</v>
      </c>
      <c r="Q7610">
        <v>1</v>
      </c>
      <c r="R7610" t="s">
        <v>46574</v>
      </c>
      <c r="S7610" t="s">
        <v>46723</v>
      </c>
      <c r="T7610" t="s">
        <v>48219</v>
      </c>
      <c r="U7610" t="s">
        <v>55075</v>
      </c>
      <c r="W7610" t="s">
        <v>45103</v>
      </c>
      <c r="X7610" t="s">
        <v>46577</v>
      </c>
    </row>
    <row r="7611" spans="1:24">
      <c r="A7611">
        <f>HYPERLINK("https://www.philgeps.gov.ph/GEPSNONPILOT/Tender/SplashBidNoticeAbstractUI.aspx?menuIndex=3&amp;refID=7058295&amp;Result=3","7058295")</f>
        <v>0</v>
      </c>
      <c r="B7611" t="s">
        <v>1548</v>
      </c>
      <c r="C7611" t="s">
        <v>10746</v>
      </c>
      <c r="D7611" t="s">
        <v>18831</v>
      </c>
      <c r="E7611" t="s">
        <v>25576</v>
      </c>
      <c r="F7611" t="s">
        <v>32664</v>
      </c>
      <c r="G7611" t="s">
        <v>32675</v>
      </c>
      <c r="H7611" t="s">
        <v>12635</v>
      </c>
      <c r="I7611" t="s">
        <v>8730</v>
      </c>
      <c r="J7611" t="s">
        <v>37478</v>
      </c>
      <c r="K7611" t="s">
        <v>42297</v>
      </c>
      <c r="M7611" t="s">
        <v>44217</v>
      </c>
      <c r="N7611" t="s">
        <v>46569</v>
      </c>
      <c r="O7611" t="s">
        <v>46570</v>
      </c>
      <c r="P7611">
        <v>0</v>
      </c>
      <c r="Q7611">
        <v>10</v>
      </c>
      <c r="R7611" t="s">
        <v>46574</v>
      </c>
      <c r="S7611" t="s">
        <v>46723</v>
      </c>
      <c r="T7611" t="s">
        <v>48598</v>
      </c>
      <c r="U7611" t="s">
        <v>55076</v>
      </c>
      <c r="W7611" t="s">
        <v>44217</v>
      </c>
      <c r="X7611" t="s">
        <v>46576</v>
      </c>
    </row>
    <row r="7612" spans="1:24">
      <c r="A7612">
        <f>HYPERLINK("https://www.philgeps.gov.ph/GEPSNONPILOT/Tender/SplashBidNoticeAbstractUI.aspx?menuIndex=3&amp;refID=7058292&amp;Result=3","7058292")</f>
        <v>0</v>
      </c>
      <c r="B7612" t="s">
        <v>1770</v>
      </c>
      <c r="C7612" t="s">
        <v>10747</v>
      </c>
      <c r="D7612" t="s">
        <v>18848</v>
      </c>
      <c r="E7612" t="s">
        <v>25577</v>
      </c>
      <c r="F7612" t="s">
        <v>32664</v>
      </c>
      <c r="G7612" t="s">
        <v>32672</v>
      </c>
      <c r="H7612" t="s">
        <v>12635</v>
      </c>
      <c r="I7612" t="s">
        <v>32698</v>
      </c>
      <c r="J7612" t="s">
        <v>37479</v>
      </c>
      <c r="K7612" t="s">
        <v>42297</v>
      </c>
      <c r="M7612" t="s">
        <v>44472</v>
      </c>
      <c r="N7612" t="s">
        <v>46569</v>
      </c>
      <c r="O7612" t="s">
        <v>46570</v>
      </c>
      <c r="P7612">
        <v>0</v>
      </c>
      <c r="Q7612">
        <v>0</v>
      </c>
      <c r="R7612" t="s">
        <v>46574</v>
      </c>
      <c r="S7612" t="s">
        <v>46723</v>
      </c>
      <c r="T7612" t="s">
        <v>48311</v>
      </c>
      <c r="U7612" t="s">
        <v>55077</v>
      </c>
      <c r="W7612" t="s">
        <v>63533</v>
      </c>
      <c r="X7612" t="s">
        <v>46576</v>
      </c>
    </row>
    <row r="7613" spans="1:24">
      <c r="A7613">
        <f>HYPERLINK("https://www.philgeps.gov.ph/GEPSNONPILOT/Tender/SplashBidNoticeAbstractUI.aspx?menuIndex=3&amp;refID=7057820&amp;Result=3","7057820")</f>
        <v>0</v>
      </c>
      <c r="B7613" t="s">
        <v>2328</v>
      </c>
      <c r="C7613" t="s">
        <v>10748</v>
      </c>
      <c r="D7613" t="s">
        <v>18822</v>
      </c>
      <c r="E7613" t="s">
        <v>19481</v>
      </c>
      <c r="F7613" t="s">
        <v>32664</v>
      </c>
      <c r="G7613" t="s">
        <v>32672</v>
      </c>
      <c r="H7613" t="s">
        <v>12635</v>
      </c>
      <c r="I7613" t="s">
        <v>32706</v>
      </c>
      <c r="J7613" t="s">
        <v>37480</v>
      </c>
      <c r="K7613" t="s">
        <v>42283</v>
      </c>
      <c r="M7613" t="s">
        <v>45104</v>
      </c>
      <c r="N7613" t="s">
        <v>46569</v>
      </c>
      <c r="O7613" t="s">
        <v>46570</v>
      </c>
      <c r="P7613">
        <v>0</v>
      </c>
      <c r="Q7613">
        <v>0</v>
      </c>
      <c r="R7613" t="s">
        <v>46574</v>
      </c>
      <c r="S7613" t="s">
        <v>46723</v>
      </c>
      <c r="T7613" t="s">
        <v>48220</v>
      </c>
      <c r="U7613" t="s">
        <v>55078</v>
      </c>
      <c r="W7613" t="s">
        <v>63558</v>
      </c>
      <c r="X7613" t="s">
        <v>46577</v>
      </c>
    </row>
    <row r="7614" spans="1:24">
      <c r="A7614">
        <f>HYPERLINK("https://www.philgeps.gov.ph/GEPSNONPILOT/Tender/SplashBidNoticeAbstractUI.aspx?menuIndex=3&amp;refID=7058293&amp;Result=3","7058293")</f>
        <v>0</v>
      </c>
      <c r="B7614" t="s">
        <v>1548</v>
      </c>
      <c r="C7614" t="s">
        <v>10749</v>
      </c>
      <c r="D7614" t="s">
        <v>18831</v>
      </c>
      <c r="E7614" t="s">
        <v>25578</v>
      </c>
      <c r="F7614" t="s">
        <v>32664</v>
      </c>
      <c r="G7614" t="s">
        <v>32675</v>
      </c>
      <c r="H7614" t="s">
        <v>12635</v>
      </c>
      <c r="I7614" t="s">
        <v>6168</v>
      </c>
      <c r="J7614" t="s">
        <v>37481</v>
      </c>
      <c r="K7614" t="s">
        <v>42297</v>
      </c>
      <c r="M7614" t="s">
        <v>44217</v>
      </c>
      <c r="N7614" t="s">
        <v>46569</v>
      </c>
      <c r="O7614" t="s">
        <v>46570</v>
      </c>
      <c r="P7614">
        <v>0</v>
      </c>
      <c r="Q7614">
        <v>4</v>
      </c>
      <c r="R7614" t="s">
        <v>46574</v>
      </c>
      <c r="S7614" t="s">
        <v>46723</v>
      </c>
      <c r="T7614" t="s">
        <v>48598</v>
      </c>
      <c r="U7614" t="s">
        <v>55079</v>
      </c>
      <c r="W7614" t="s">
        <v>44217</v>
      </c>
      <c r="X7614" t="s">
        <v>46576</v>
      </c>
    </row>
    <row r="7615" spans="1:24">
      <c r="A7615">
        <f>HYPERLINK("https://www.philgeps.gov.ph/GEPSNONPILOT/Tender/SplashBidNoticeAbstractUI.aspx?menuIndex=3&amp;refID=7058288&amp;Result=3","7058288")</f>
        <v>0</v>
      </c>
      <c r="B7615" t="s">
        <v>1548</v>
      </c>
      <c r="C7615" t="s">
        <v>10750</v>
      </c>
      <c r="D7615" t="s">
        <v>18831</v>
      </c>
      <c r="E7615" t="s">
        <v>25579</v>
      </c>
      <c r="F7615" t="s">
        <v>32664</v>
      </c>
      <c r="G7615" t="s">
        <v>32671</v>
      </c>
      <c r="H7615" t="s">
        <v>12635</v>
      </c>
      <c r="I7615" t="s">
        <v>14442</v>
      </c>
      <c r="J7615" t="s">
        <v>37482</v>
      </c>
      <c r="K7615" t="s">
        <v>42297</v>
      </c>
      <c r="M7615" t="s">
        <v>44217</v>
      </c>
      <c r="N7615" t="s">
        <v>46569</v>
      </c>
      <c r="O7615" t="s">
        <v>46570</v>
      </c>
      <c r="P7615">
        <v>0</v>
      </c>
      <c r="Q7615">
        <v>1</v>
      </c>
      <c r="R7615" t="s">
        <v>46574</v>
      </c>
      <c r="S7615" t="s">
        <v>46723</v>
      </c>
      <c r="T7615" t="s">
        <v>48598</v>
      </c>
      <c r="U7615" t="s">
        <v>55080</v>
      </c>
      <c r="W7615" t="s">
        <v>44217</v>
      </c>
      <c r="X7615" t="s">
        <v>46576</v>
      </c>
    </row>
    <row r="7616" spans="1:24">
      <c r="A7616">
        <f>HYPERLINK("https://www.philgeps.gov.ph/GEPSNONPILOT/Tender/SplashBidNoticeAbstractUI.aspx?menuIndex=3&amp;refID=7058171&amp;Result=3","7058171")</f>
        <v>0</v>
      </c>
      <c r="B7616" t="s">
        <v>352</v>
      </c>
      <c r="C7616" t="s">
        <v>10751</v>
      </c>
      <c r="D7616" t="s">
        <v>18834</v>
      </c>
      <c r="E7616" t="s">
        <v>25580</v>
      </c>
      <c r="F7616" t="s">
        <v>32664</v>
      </c>
      <c r="G7616" t="s">
        <v>32671</v>
      </c>
      <c r="H7616" t="s">
        <v>12635</v>
      </c>
      <c r="I7616" t="s">
        <v>32699</v>
      </c>
      <c r="J7616" t="s">
        <v>37483</v>
      </c>
      <c r="K7616" t="s">
        <v>42295</v>
      </c>
      <c r="M7616" t="s">
        <v>45093</v>
      </c>
      <c r="N7616" t="s">
        <v>46569</v>
      </c>
      <c r="O7616" t="s">
        <v>46570</v>
      </c>
      <c r="P7616">
        <v>0</v>
      </c>
      <c r="Q7616">
        <v>2</v>
      </c>
      <c r="R7616" t="s">
        <v>46574</v>
      </c>
      <c r="S7616" t="s">
        <v>46723</v>
      </c>
      <c r="T7616" t="s">
        <v>48473</v>
      </c>
      <c r="U7616" t="s">
        <v>55081</v>
      </c>
      <c r="V7616" t="s">
        <v>61800</v>
      </c>
      <c r="W7616" t="s">
        <v>45093</v>
      </c>
      <c r="X7616" t="s">
        <v>46576</v>
      </c>
    </row>
    <row r="7617" spans="1:24">
      <c r="A7617">
        <f>HYPERLINK("https://www.philgeps.gov.ph/GEPSNONPILOT/Tender/SplashBidNoticeAbstractUI.aspx?menuIndex=3&amp;refID=7058286&amp;Result=3","7058286")</f>
        <v>0</v>
      </c>
      <c r="B7617" t="s">
        <v>1770</v>
      </c>
      <c r="C7617" t="s">
        <v>10752</v>
      </c>
      <c r="D7617" t="s">
        <v>18848</v>
      </c>
      <c r="E7617" t="s">
        <v>25581</v>
      </c>
      <c r="F7617" t="s">
        <v>32664</v>
      </c>
      <c r="G7617" t="s">
        <v>32672</v>
      </c>
      <c r="H7617" t="s">
        <v>12635</v>
      </c>
      <c r="I7617" t="s">
        <v>32708</v>
      </c>
      <c r="J7617" t="s">
        <v>32853</v>
      </c>
      <c r="K7617" t="s">
        <v>42297</v>
      </c>
      <c r="M7617" t="s">
        <v>44472</v>
      </c>
      <c r="N7617" t="s">
        <v>46569</v>
      </c>
      <c r="O7617" t="s">
        <v>46570</v>
      </c>
      <c r="P7617">
        <v>0</v>
      </c>
      <c r="Q7617">
        <v>2</v>
      </c>
      <c r="R7617" t="s">
        <v>46574</v>
      </c>
      <c r="S7617" t="s">
        <v>46723</v>
      </c>
      <c r="T7617" t="s">
        <v>48311</v>
      </c>
      <c r="U7617" t="s">
        <v>55082</v>
      </c>
      <c r="W7617" t="s">
        <v>63533</v>
      </c>
      <c r="X7617" t="s">
        <v>46576</v>
      </c>
    </row>
    <row r="7618" spans="1:24">
      <c r="A7618">
        <f>HYPERLINK("https://www.philgeps.gov.ph/GEPSNONPILOT/Tender/SplashBidNoticeAbstractUI.aspx?menuIndex=3&amp;refID=7058297&amp;Result=3","7058297")</f>
        <v>0</v>
      </c>
      <c r="B7618" t="s">
        <v>1548</v>
      </c>
      <c r="C7618" t="s">
        <v>10753</v>
      </c>
      <c r="D7618" t="s">
        <v>18831</v>
      </c>
      <c r="E7618" t="s">
        <v>25582</v>
      </c>
      <c r="F7618" t="s">
        <v>32664</v>
      </c>
      <c r="G7618" t="s">
        <v>32671</v>
      </c>
      <c r="H7618" t="s">
        <v>12635</v>
      </c>
      <c r="I7618" t="s">
        <v>5589</v>
      </c>
      <c r="J7618" t="s">
        <v>33015</v>
      </c>
      <c r="K7618" t="s">
        <v>42297</v>
      </c>
      <c r="M7618" t="s">
        <v>44217</v>
      </c>
      <c r="N7618" t="s">
        <v>46569</v>
      </c>
      <c r="O7618" t="s">
        <v>46570</v>
      </c>
      <c r="P7618">
        <v>0</v>
      </c>
      <c r="Q7618">
        <v>1</v>
      </c>
      <c r="R7618" t="s">
        <v>46574</v>
      </c>
      <c r="S7618" t="s">
        <v>46723</v>
      </c>
      <c r="T7618" t="s">
        <v>48598</v>
      </c>
      <c r="U7618" t="s">
        <v>55083</v>
      </c>
      <c r="W7618" t="s">
        <v>44217</v>
      </c>
      <c r="X7618" t="s">
        <v>46576</v>
      </c>
    </row>
    <row r="7619" spans="1:24">
      <c r="A7619">
        <f>HYPERLINK("https://www.philgeps.gov.ph/GEPSNONPILOT/Tender/SplashBidNoticeAbstractUI.aspx?menuIndex=3&amp;refID=7058283&amp;Result=3","7058283")</f>
        <v>0</v>
      </c>
      <c r="B7619" t="s">
        <v>384</v>
      </c>
      <c r="C7619" t="s">
        <v>10754</v>
      </c>
      <c r="D7619" t="s">
        <v>18781</v>
      </c>
      <c r="E7619" t="s">
        <v>25583</v>
      </c>
      <c r="F7619" t="s">
        <v>32664</v>
      </c>
      <c r="G7619" t="s">
        <v>32672</v>
      </c>
      <c r="H7619" t="s">
        <v>32683</v>
      </c>
      <c r="I7619" t="s">
        <v>10627</v>
      </c>
      <c r="J7619" t="s">
        <v>37484</v>
      </c>
      <c r="K7619" t="s">
        <v>42298</v>
      </c>
      <c r="M7619" t="s">
        <v>42954</v>
      </c>
      <c r="N7619" t="s">
        <v>46569</v>
      </c>
      <c r="O7619" t="s">
        <v>46570</v>
      </c>
      <c r="P7619">
        <v>0</v>
      </c>
      <c r="Q7619">
        <v>1</v>
      </c>
      <c r="R7619" t="s">
        <v>46574</v>
      </c>
      <c r="S7619" t="s">
        <v>46723</v>
      </c>
      <c r="T7619" t="s">
        <v>48221</v>
      </c>
      <c r="U7619" t="s">
        <v>55084</v>
      </c>
      <c r="W7619" t="s">
        <v>42954</v>
      </c>
      <c r="X7619" t="s">
        <v>46576</v>
      </c>
    </row>
    <row r="7620" spans="1:24">
      <c r="A7620">
        <f>HYPERLINK("https://www.philgeps.gov.ph/GEPSNONPILOT/Tender/SplashBidNoticeAbstractUI.aspx?menuIndex=3&amp;refID=7058279&amp;Result=3","7058279")</f>
        <v>0</v>
      </c>
      <c r="B7620" t="s">
        <v>815</v>
      </c>
      <c r="C7620" t="s">
        <v>10755</v>
      </c>
      <c r="D7620" t="s">
        <v>18794</v>
      </c>
      <c r="E7620" t="s">
        <v>25584</v>
      </c>
      <c r="F7620" t="s">
        <v>32664</v>
      </c>
      <c r="G7620" t="s">
        <v>32672</v>
      </c>
      <c r="H7620" t="s">
        <v>32683</v>
      </c>
      <c r="I7620" t="s">
        <v>10627</v>
      </c>
      <c r="J7620" t="s">
        <v>37485</v>
      </c>
      <c r="K7620" t="s">
        <v>42311</v>
      </c>
      <c r="M7620" t="s">
        <v>43409</v>
      </c>
      <c r="N7620" t="s">
        <v>46569</v>
      </c>
      <c r="O7620" t="s">
        <v>46570</v>
      </c>
      <c r="P7620">
        <v>0</v>
      </c>
      <c r="Q7620">
        <v>0</v>
      </c>
      <c r="R7620" t="s">
        <v>46574</v>
      </c>
      <c r="S7620" t="s">
        <v>46723</v>
      </c>
      <c r="T7620" t="s">
        <v>48377</v>
      </c>
      <c r="U7620" t="s">
        <v>55085</v>
      </c>
      <c r="V7620" t="s">
        <v>62377</v>
      </c>
      <c r="W7620" t="s">
        <v>43409</v>
      </c>
      <c r="X7620" t="s">
        <v>46576</v>
      </c>
    </row>
    <row r="7621" spans="1:24">
      <c r="A7621">
        <f>HYPERLINK("https://www.philgeps.gov.ph/GEPSNONPILOT/Tender/SplashBidNoticeAbstractUI.aspx?menuIndex=3&amp;refID=7058066&amp;Result=3","7058066")</f>
        <v>0</v>
      </c>
      <c r="B7621" t="s">
        <v>2317</v>
      </c>
      <c r="C7621" t="s">
        <v>10756</v>
      </c>
      <c r="D7621" t="s">
        <v>18842</v>
      </c>
      <c r="E7621" t="s">
        <v>25585</v>
      </c>
      <c r="F7621" t="s">
        <v>32664</v>
      </c>
      <c r="G7621" t="s">
        <v>32671</v>
      </c>
      <c r="H7621" t="s">
        <v>12635</v>
      </c>
      <c r="I7621" t="s">
        <v>32685</v>
      </c>
      <c r="J7621" t="s">
        <v>33165</v>
      </c>
      <c r="K7621" t="s">
        <v>42289</v>
      </c>
      <c r="M7621" t="s">
        <v>45091</v>
      </c>
      <c r="N7621" t="s">
        <v>46569</v>
      </c>
      <c r="O7621" t="s">
        <v>46570</v>
      </c>
      <c r="P7621">
        <v>0</v>
      </c>
      <c r="Q7621">
        <v>1</v>
      </c>
      <c r="R7621" t="s">
        <v>46574</v>
      </c>
      <c r="S7621" t="s">
        <v>46723</v>
      </c>
      <c r="T7621" t="s">
        <v>48502</v>
      </c>
      <c r="U7621" t="s">
        <v>55086</v>
      </c>
      <c r="W7621" t="s">
        <v>45091</v>
      </c>
      <c r="X7621" t="s">
        <v>46576</v>
      </c>
    </row>
    <row r="7622" spans="1:24">
      <c r="A7622">
        <f>HYPERLINK("https://www.philgeps.gov.ph/GEPSNONPILOT/Tender/SplashBidNoticeAbstractUI.aspx?menuIndex=3&amp;refID=7058273&amp;Result=3","7058273")</f>
        <v>0</v>
      </c>
      <c r="B7622" t="s">
        <v>2329</v>
      </c>
      <c r="C7622" t="s">
        <v>10757</v>
      </c>
      <c r="D7622" t="s">
        <v>18782</v>
      </c>
      <c r="E7622" t="s">
        <v>19380</v>
      </c>
      <c r="F7622" t="s">
        <v>32664</v>
      </c>
      <c r="G7622" t="s">
        <v>32674</v>
      </c>
      <c r="H7622" t="s">
        <v>12635</v>
      </c>
      <c r="I7622" t="s">
        <v>32692</v>
      </c>
      <c r="J7622" t="s">
        <v>32984</v>
      </c>
      <c r="K7622" t="s">
        <v>42295</v>
      </c>
      <c r="L7622" t="s">
        <v>2329</v>
      </c>
      <c r="M7622" t="s">
        <v>45105</v>
      </c>
      <c r="N7622" t="s">
        <v>46569</v>
      </c>
      <c r="O7622" t="s">
        <v>46570</v>
      </c>
      <c r="P7622">
        <v>0</v>
      </c>
      <c r="Q7622">
        <v>0</v>
      </c>
      <c r="R7622" t="s">
        <v>46574</v>
      </c>
      <c r="S7622" t="s">
        <v>46723</v>
      </c>
      <c r="T7622" t="s">
        <v>48254</v>
      </c>
      <c r="U7622" t="s">
        <v>55087</v>
      </c>
      <c r="W7622" t="s">
        <v>45105</v>
      </c>
      <c r="X7622" t="s">
        <v>46576</v>
      </c>
    </row>
    <row r="7623" spans="1:24">
      <c r="A7623">
        <f>HYPERLINK("https://www.philgeps.gov.ph/GEPSNONPILOT/Tender/SplashBidNoticeAbstractUI.aspx?menuIndex=3&amp;refID=7058268&amp;Result=3","7058268")</f>
        <v>0</v>
      </c>
      <c r="B7623" t="s">
        <v>2330</v>
      </c>
      <c r="C7623" t="s">
        <v>10758</v>
      </c>
      <c r="D7623" t="s">
        <v>18837</v>
      </c>
      <c r="E7623" t="s">
        <v>25586</v>
      </c>
      <c r="F7623" t="s">
        <v>32664</v>
      </c>
      <c r="G7623" t="s">
        <v>32671</v>
      </c>
      <c r="H7623" t="s">
        <v>12635</v>
      </c>
      <c r="I7623" t="s">
        <v>32694</v>
      </c>
      <c r="J7623" t="s">
        <v>37486</v>
      </c>
      <c r="K7623" t="s">
        <v>42284</v>
      </c>
      <c r="M7623" t="s">
        <v>45106</v>
      </c>
      <c r="N7623" t="s">
        <v>46569</v>
      </c>
      <c r="O7623" t="s">
        <v>46570</v>
      </c>
      <c r="P7623">
        <v>0</v>
      </c>
      <c r="Q7623">
        <v>0</v>
      </c>
      <c r="R7623" t="s">
        <v>46574</v>
      </c>
      <c r="S7623" t="s">
        <v>46723</v>
      </c>
      <c r="T7623" t="s">
        <v>48427</v>
      </c>
      <c r="U7623" t="s">
        <v>55088</v>
      </c>
      <c r="W7623" t="s">
        <v>45106</v>
      </c>
      <c r="X7623" t="s">
        <v>46576</v>
      </c>
    </row>
    <row r="7624" spans="1:24">
      <c r="A7624">
        <f>HYPERLINK("https://www.philgeps.gov.ph/GEPSNONPILOT/Tender/SplashBidNoticeAbstractUI.aspx?menuIndex=3&amp;refID=7058289&amp;Result=3","7058289")</f>
        <v>0</v>
      </c>
      <c r="B7624" t="s">
        <v>815</v>
      </c>
      <c r="C7624" t="s">
        <v>10759</v>
      </c>
      <c r="D7624" t="s">
        <v>18794</v>
      </c>
      <c r="E7624" t="s">
        <v>25587</v>
      </c>
      <c r="F7624" t="s">
        <v>32664</v>
      </c>
      <c r="G7624" t="s">
        <v>32672</v>
      </c>
      <c r="H7624" t="s">
        <v>12635</v>
      </c>
      <c r="I7624" t="s">
        <v>4439</v>
      </c>
      <c r="J7624" t="s">
        <v>37487</v>
      </c>
      <c r="K7624" t="s">
        <v>42305</v>
      </c>
      <c r="M7624" t="s">
        <v>43409</v>
      </c>
      <c r="N7624" t="s">
        <v>46569</v>
      </c>
      <c r="O7624" t="s">
        <v>46570</v>
      </c>
      <c r="P7624">
        <v>0</v>
      </c>
      <c r="Q7624">
        <v>1</v>
      </c>
      <c r="R7624" t="s">
        <v>46574</v>
      </c>
      <c r="S7624" t="s">
        <v>46723</v>
      </c>
      <c r="T7624" t="s">
        <v>48377</v>
      </c>
      <c r="U7624" t="s">
        <v>55089</v>
      </c>
      <c r="V7624" t="s">
        <v>62377</v>
      </c>
      <c r="W7624" t="s">
        <v>43409</v>
      </c>
      <c r="X7624" t="s">
        <v>46576</v>
      </c>
    </row>
    <row r="7625" spans="1:24">
      <c r="A7625">
        <f>HYPERLINK("https://www.philgeps.gov.ph/GEPSNONPILOT/Tender/SplashBidNoticeAbstractUI.aspx?menuIndex=3&amp;refID=7058280&amp;Result=3","7058280")</f>
        <v>0</v>
      </c>
      <c r="B7625" t="s">
        <v>1548</v>
      </c>
      <c r="C7625" t="s">
        <v>10760</v>
      </c>
      <c r="D7625" t="s">
        <v>18831</v>
      </c>
      <c r="E7625" t="s">
        <v>25588</v>
      </c>
      <c r="F7625" t="s">
        <v>32664</v>
      </c>
      <c r="G7625" t="s">
        <v>32671</v>
      </c>
      <c r="H7625" t="s">
        <v>12635</v>
      </c>
      <c r="I7625" t="s">
        <v>32685</v>
      </c>
      <c r="J7625" t="s">
        <v>37488</v>
      </c>
      <c r="K7625" t="s">
        <v>42297</v>
      </c>
      <c r="M7625" t="s">
        <v>44217</v>
      </c>
      <c r="N7625" t="s">
        <v>46569</v>
      </c>
      <c r="O7625" t="s">
        <v>46570</v>
      </c>
      <c r="P7625">
        <v>0</v>
      </c>
      <c r="Q7625">
        <v>2</v>
      </c>
      <c r="R7625" t="s">
        <v>46574</v>
      </c>
      <c r="S7625" t="s">
        <v>46723</v>
      </c>
      <c r="T7625" t="s">
        <v>48598</v>
      </c>
      <c r="U7625" t="s">
        <v>55090</v>
      </c>
      <c r="W7625" t="s">
        <v>44217</v>
      </c>
      <c r="X7625" t="s">
        <v>46576</v>
      </c>
    </row>
    <row r="7626" spans="1:24">
      <c r="A7626">
        <f>HYPERLINK("https://www.philgeps.gov.ph/GEPSNONPILOT/Tender/SplashBidNoticeAbstractUI.aspx?menuIndex=3&amp;refID=7058219&amp;Result=3","7058219")</f>
        <v>0</v>
      </c>
      <c r="B7626" t="s">
        <v>409</v>
      </c>
      <c r="C7626" t="s">
        <v>10761</v>
      </c>
      <c r="D7626" t="s">
        <v>18784</v>
      </c>
      <c r="E7626" t="s">
        <v>25589</v>
      </c>
      <c r="F7626" t="s">
        <v>32664</v>
      </c>
      <c r="G7626" t="s">
        <v>32671</v>
      </c>
      <c r="H7626" t="s">
        <v>32681</v>
      </c>
      <c r="I7626" t="s">
        <v>32701</v>
      </c>
      <c r="J7626" t="s">
        <v>37489</v>
      </c>
      <c r="K7626" t="s">
        <v>42347</v>
      </c>
      <c r="M7626" t="s">
        <v>45094</v>
      </c>
      <c r="N7626" t="s">
        <v>46569</v>
      </c>
      <c r="O7626" t="s">
        <v>46570</v>
      </c>
      <c r="P7626">
        <v>0</v>
      </c>
      <c r="Q7626">
        <v>2</v>
      </c>
      <c r="R7626" t="s">
        <v>46574</v>
      </c>
      <c r="S7626" t="s">
        <v>46723</v>
      </c>
      <c r="T7626" t="s">
        <v>48256</v>
      </c>
      <c r="U7626" t="s">
        <v>55091</v>
      </c>
      <c r="W7626" t="s">
        <v>45094</v>
      </c>
      <c r="X7626" t="s">
        <v>46576</v>
      </c>
    </row>
    <row r="7627" spans="1:24">
      <c r="A7627">
        <f>HYPERLINK("https://www.philgeps.gov.ph/GEPSNONPILOT/Tender/SplashBidNoticeAbstractUI.aspx?menuIndex=3&amp;refID=7058217&amp;Result=3","7058217")</f>
        <v>0</v>
      </c>
      <c r="B7627" t="s">
        <v>2331</v>
      </c>
      <c r="C7627" t="s">
        <v>10762</v>
      </c>
      <c r="D7627" t="s">
        <v>18798</v>
      </c>
      <c r="E7627" t="s">
        <v>25590</v>
      </c>
      <c r="F7627" t="s">
        <v>32664</v>
      </c>
      <c r="G7627" t="s">
        <v>32672</v>
      </c>
      <c r="H7627" t="s">
        <v>12635</v>
      </c>
      <c r="I7627" t="s">
        <v>11464</v>
      </c>
      <c r="J7627" t="s">
        <v>32859</v>
      </c>
      <c r="K7627" t="s">
        <v>42284</v>
      </c>
      <c r="M7627" t="s">
        <v>45107</v>
      </c>
      <c r="N7627" t="s">
        <v>46569</v>
      </c>
      <c r="O7627" t="s">
        <v>46570</v>
      </c>
      <c r="P7627">
        <v>0</v>
      </c>
      <c r="Q7627">
        <v>0</v>
      </c>
      <c r="R7627" t="s">
        <v>46574</v>
      </c>
      <c r="S7627" t="s">
        <v>46723</v>
      </c>
      <c r="T7627" t="s">
        <v>48246</v>
      </c>
      <c r="U7627" t="s">
        <v>55092</v>
      </c>
      <c r="W7627" t="s">
        <v>45107</v>
      </c>
      <c r="X7627" t="s">
        <v>46576</v>
      </c>
    </row>
    <row r="7628" spans="1:24">
      <c r="A7628">
        <f>HYPERLINK("https://www.philgeps.gov.ph/GEPSNONPILOT/Tender/SplashBidNoticeAbstractUI.aspx?menuIndex=3&amp;refID=7058253&amp;Result=3","7058253")</f>
        <v>0</v>
      </c>
      <c r="B7628" t="s">
        <v>2332</v>
      </c>
      <c r="C7628" t="s">
        <v>10763</v>
      </c>
      <c r="D7628" t="s">
        <v>18804</v>
      </c>
      <c r="E7628" t="s">
        <v>25591</v>
      </c>
      <c r="F7628" t="s">
        <v>32664</v>
      </c>
      <c r="G7628" t="s">
        <v>32672</v>
      </c>
      <c r="H7628" t="s">
        <v>12635</v>
      </c>
      <c r="I7628" t="s">
        <v>4439</v>
      </c>
      <c r="J7628" t="s">
        <v>37490</v>
      </c>
      <c r="K7628" t="s">
        <v>42284</v>
      </c>
      <c r="M7628" t="s">
        <v>45108</v>
      </c>
      <c r="N7628" t="s">
        <v>46569</v>
      </c>
      <c r="O7628" t="s">
        <v>46570</v>
      </c>
      <c r="P7628">
        <v>0</v>
      </c>
      <c r="Q7628">
        <v>0</v>
      </c>
      <c r="R7628" t="s">
        <v>46574</v>
      </c>
      <c r="S7628" t="s">
        <v>46723</v>
      </c>
      <c r="T7628" t="s">
        <v>48268</v>
      </c>
      <c r="U7628" t="s">
        <v>55093</v>
      </c>
      <c r="V7628" t="s">
        <v>62378</v>
      </c>
      <c r="W7628" t="s">
        <v>45108</v>
      </c>
      <c r="X7628" t="s">
        <v>46576</v>
      </c>
    </row>
    <row r="7629" spans="1:24">
      <c r="A7629">
        <f>HYPERLINK("https://www.philgeps.gov.ph/GEPSNONPILOT/Tender/SplashBidNoticeAbstractUI.aspx?menuIndex=3&amp;refID=7057766&amp;Result=3","7057766")</f>
        <v>0</v>
      </c>
      <c r="B7629" t="s">
        <v>2333</v>
      </c>
      <c r="C7629" t="s">
        <v>10764</v>
      </c>
      <c r="E7629" t="s">
        <v>25592</v>
      </c>
      <c r="F7629" t="s">
        <v>32664</v>
      </c>
      <c r="G7629" t="s">
        <v>32672</v>
      </c>
      <c r="H7629" t="s">
        <v>12635</v>
      </c>
      <c r="I7629" t="s">
        <v>5589</v>
      </c>
      <c r="J7629" t="s">
        <v>37491</v>
      </c>
      <c r="K7629" t="s">
        <v>42283</v>
      </c>
      <c r="M7629" t="s">
        <v>45109</v>
      </c>
      <c r="N7629" t="s">
        <v>46569</v>
      </c>
      <c r="O7629" t="s">
        <v>46570</v>
      </c>
      <c r="P7629">
        <v>0</v>
      </c>
      <c r="Q7629">
        <v>22</v>
      </c>
      <c r="R7629" t="s">
        <v>46574</v>
      </c>
      <c r="S7629" t="s">
        <v>46723</v>
      </c>
      <c r="T7629" t="s">
        <v>48501</v>
      </c>
      <c r="U7629" t="s">
        <v>48990</v>
      </c>
      <c r="W7629" t="s">
        <v>45109</v>
      </c>
      <c r="X7629" t="s">
        <v>46577</v>
      </c>
    </row>
    <row r="7630" spans="1:24">
      <c r="A7630">
        <f>HYPERLINK("https://www.philgeps.gov.ph/GEPSNONPILOT/Tender/SplashBidNoticeAbstractUI.aspx?menuIndex=3&amp;refID=7058228&amp;Result=3","7058228")</f>
        <v>0</v>
      </c>
      <c r="B7630" t="s">
        <v>619</v>
      </c>
      <c r="C7630" t="s">
        <v>10765</v>
      </c>
      <c r="D7630" t="s">
        <v>18784</v>
      </c>
      <c r="E7630" t="s">
        <v>20314</v>
      </c>
      <c r="F7630" t="s">
        <v>32664</v>
      </c>
      <c r="G7630" t="s">
        <v>32672</v>
      </c>
      <c r="H7630" t="s">
        <v>32683</v>
      </c>
      <c r="I7630" t="s">
        <v>10374</v>
      </c>
      <c r="J7630" t="s">
        <v>33167</v>
      </c>
      <c r="K7630" t="s">
        <v>42283</v>
      </c>
      <c r="M7630" t="s">
        <v>43199</v>
      </c>
      <c r="N7630" t="s">
        <v>46569</v>
      </c>
      <c r="O7630" t="s">
        <v>46570</v>
      </c>
      <c r="P7630">
        <v>0</v>
      </c>
      <c r="Q7630">
        <v>3</v>
      </c>
      <c r="R7630" t="s">
        <v>46574</v>
      </c>
      <c r="S7630" t="s">
        <v>46723</v>
      </c>
      <c r="T7630" t="s">
        <v>48219</v>
      </c>
      <c r="U7630" t="s">
        <v>55094</v>
      </c>
      <c r="W7630" t="s">
        <v>43199</v>
      </c>
      <c r="X7630" t="s">
        <v>46576</v>
      </c>
    </row>
    <row r="7631" spans="1:24">
      <c r="A7631">
        <f>HYPERLINK("https://www.philgeps.gov.ph/GEPSNONPILOT/Tender/SplashBidNoticeAbstractUI.aspx?menuIndex=3&amp;refID=7058223&amp;Result=3","7058223")</f>
        <v>0</v>
      </c>
      <c r="B7631" t="s">
        <v>409</v>
      </c>
      <c r="C7631" t="s">
        <v>10766</v>
      </c>
      <c r="D7631" t="s">
        <v>18784</v>
      </c>
      <c r="E7631" t="s">
        <v>25593</v>
      </c>
      <c r="F7631" t="s">
        <v>32664</v>
      </c>
      <c r="G7631" t="s">
        <v>32671</v>
      </c>
      <c r="H7631" t="s">
        <v>12635</v>
      </c>
      <c r="I7631" t="s">
        <v>32752</v>
      </c>
      <c r="J7631" t="s">
        <v>35124</v>
      </c>
      <c r="K7631" t="s">
        <v>42281</v>
      </c>
      <c r="M7631" t="s">
        <v>45110</v>
      </c>
      <c r="N7631" t="s">
        <v>46569</v>
      </c>
      <c r="O7631" t="s">
        <v>46570</v>
      </c>
      <c r="P7631">
        <v>0</v>
      </c>
      <c r="Q7631">
        <v>3</v>
      </c>
      <c r="R7631" t="s">
        <v>46574</v>
      </c>
      <c r="S7631" t="s">
        <v>46723</v>
      </c>
      <c r="T7631" t="s">
        <v>48473</v>
      </c>
      <c r="U7631" t="s">
        <v>55095</v>
      </c>
      <c r="W7631" t="s">
        <v>45110</v>
      </c>
      <c r="X7631" t="s">
        <v>46576</v>
      </c>
    </row>
    <row r="7632" spans="1:24">
      <c r="A7632">
        <f>HYPERLINK("https://www.philgeps.gov.ph/GEPSNONPILOT/Tender/SplashBidNoticeAbstractUI.aspx?menuIndex=3&amp;refID=7057640&amp;Result=3","7057640")</f>
        <v>0</v>
      </c>
      <c r="B7632" t="s">
        <v>444</v>
      </c>
      <c r="C7632" t="s">
        <v>10767</v>
      </c>
      <c r="D7632" t="s">
        <v>18799</v>
      </c>
      <c r="E7632" t="s">
        <v>19780</v>
      </c>
      <c r="F7632" t="s">
        <v>32664</v>
      </c>
      <c r="G7632" t="s">
        <v>32671</v>
      </c>
      <c r="H7632" t="s">
        <v>12635</v>
      </c>
      <c r="I7632" t="s">
        <v>6223</v>
      </c>
      <c r="J7632" t="s">
        <v>37492</v>
      </c>
      <c r="K7632" t="s">
        <v>42283</v>
      </c>
      <c r="M7632" t="s">
        <v>43017</v>
      </c>
      <c r="N7632" t="s">
        <v>46569</v>
      </c>
      <c r="O7632" t="s">
        <v>46570</v>
      </c>
      <c r="Q7632">
        <v>13</v>
      </c>
      <c r="R7632" t="s">
        <v>46574</v>
      </c>
      <c r="S7632" t="s">
        <v>46738</v>
      </c>
      <c r="T7632" t="s">
        <v>48228</v>
      </c>
      <c r="U7632" t="s">
        <v>49518</v>
      </c>
      <c r="W7632" t="s">
        <v>43017</v>
      </c>
      <c r="X7632" t="s">
        <v>46577</v>
      </c>
    </row>
    <row r="7633" spans="1:24">
      <c r="A7633">
        <f>HYPERLINK("https://www.philgeps.gov.ph/GEPSNONPILOT/Tender/SplashBidNoticeAbstractUI.aspx?menuIndex=3&amp;refID=7057632&amp;Result=3","7057632")</f>
        <v>0</v>
      </c>
      <c r="B7633" t="s">
        <v>683</v>
      </c>
      <c r="C7633" t="s">
        <v>10768</v>
      </c>
      <c r="D7633" t="s">
        <v>18842</v>
      </c>
      <c r="E7633" t="s">
        <v>25594</v>
      </c>
      <c r="F7633" t="s">
        <v>32664</v>
      </c>
      <c r="G7633" t="s">
        <v>32672</v>
      </c>
      <c r="H7633" t="s">
        <v>32682</v>
      </c>
      <c r="I7633" t="s">
        <v>9946</v>
      </c>
      <c r="J7633" t="s">
        <v>37493</v>
      </c>
      <c r="K7633" t="s">
        <v>42333</v>
      </c>
      <c r="M7633" t="s">
        <v>43270</v>
      </c>
      <c r="N7633" t="s">
        <v>46569</v>
      </c>
      <c r="O7633" t="s">
        <v>46570</v>
      </c>
      <c r="P7633">
        <v>0</v>
      </c>
      <c r="Q7633">
        <v>2</v>
      </c>
      <c r="R7633" t="s">
        <v>46574</v>
      </c>
      <c r="S7633" t="s">
        <v>46723</v>
      </c>
      <c r="T7633" t="s">
        <v>48234</v>
      </c>
      <c r="U7633" t="s">
        <v>55096</v>
      </c>
      <c r="W7633" t="s">
        <v>43270</v>
      </c>
      <c r="X7633" t="s">
        <v>46577</v>
      </c>
    </row>
    <row r="7634" spans="1:24">
      <c r="A7634">
        <f>HYPERLINK("https://www.philgeps.gov.ph/GEPSNONPILOT/Tender/SplashBidNoticeAbstractUI.aspx?menuIndex=3&amp;refID=7057787&amp;Result=3","7057787")</f>
        <v>0</v>
      </c>
      <c r="B7634" t="s">
        <v>2327</v>
      </c>
      <c r="C7634" t="s">
        <v>10769</v>
      </c>
      <c r="D7634" t="s">
        <v>18800</v>
      </c>
      <c r="E7634" t="s">
        <v>25595</v>
      </c>
      <c r="F7634" t="s">
        <v>32664</v>
      </c>
      <c r="G7634" t="s">
        <v>32672</v>
      </c>
      <c r="H7634" t="s">
        <v>32683</v>
      </c>
      <c r="I7634" t="s">
        <v>10627</v>
      </c>
      <c r="J7634" t="s">
        <v>33051</v>
      </c>
      <c r="K7634" t="s">
        <v>42284</v>
      </c>
      <c r="M7634" t="s">
        <v>45103</v>
      </c>
      <c r="N7634" t="s">
        <v>46569</v>
      </c>
      <c r="O7634" t="s">
        <v>46570</v>
      </c>
      <c r="P7634">
        <v>0</v>
      </c>
      <c r="Q7634">
        <v>1</v>
      </c>
      <c r="R7634" t="s">
        <v>46574</v>
      </c>
      <c r="S7634" t="s">
        <v>46723</v>
      </c>
      <c r="T7634" t="s">
        <v>48219</v>
      </c>
      <c r="U7634" t="s">
        <v>55097</v>
      </c>
      <c r="W7634" t="s">
        <v>45103</v>
      </c>
      <c r="X7634" t="s">
        <v>46577</v>
      </c>
    </row>
    <row r="7635" spans="1:24">
      <c r="A7635">
        <f>HYPERLINK("https://www.philgeps.gov.ph/GEPSNONPILOT/Tender/SplashBidNoticeAbstractUI.aspx?menuIndex=3&amp;refID=7058290&amp;Result=3","7058290")</f>
        <v>0</v>
      </c>
      <c r="B7635" t="s">
        <v>1770</v>
      </c>
      <c r="C7635" t="s">
        <v>10770</v>
      </c>
      <c r="D7635" t="s">
        <v>18848</v>
      </c>
      <c r="E7635" t="s">
        <v>25596</v>
      </c>
      <c r="F7635" t="s">
        <v>32664</v>
      </c>
      <c r="G7635" t="s">
        <v>32672</v>
      </c>
      <c r="H7635" t="s">
        <v>12635</v>
      </c>
      <c r="I7635" t="s">
        <v>32721</v>
      </c>
      <c r="J7635" t="s">
        <v>33147</v>
      </c>
      <c r="K7635" t="s">
        <v>42297</v>
      </c>
      <c r="M7635" t="s">
        <v>44472</v>
      </c>
      <c r="N7635" t="s">
        <v>46569</v>
      </c>
      <c r="O7635" t="s">
        <v>46570</v>
      </c>
      <c r="P7635">
        <v>0</v>
      </c>
      <c r="Q7635">
        <v>0</v>
      </c>
      <c r="R7635" t="s">
        <v>46574</v>
      </c>
      <c r="S7635" t="s">
        <v>46723</v>
      </c>
      <c r="T7635" t="s">
        <v>48311</v>
      </c>
      <c r="U7635" t="s">
        <v>55098</v>
      </c>
      <c r="W7635" t="s">
        <v>63533</v>
      </c>
      <c r="X7635" t="s">
        <v>46576</v>
      </c>
    </row>
    <row r="7636" spans="1:24">
      <c r="A7636">
        <f>HYPERLINK("https://www.philgeps.gov.ph/GEPSNONPILOT/Tender/SplashBidNoticeAbstractUI.aspx?menuIndex=3&amp;refID=7057618&amp;Result=3","7057618")</f>
        <v>0</v>
      </c>
      <c r="B7636" t="s">
        <v>1555</v>
      </c>
      <c r="C7636" t="s">
        <v>10771</v>
      </c>
      <c r="D7636" t="s">
        <v>18827</v>
      </c>
      <c r="E7636" t="s">
        <v>25597</v>
      </c>
      <c r="F7636" t="s">
        <v>32664</v>
      </c>
      <c r="G7636" t="s">
        <v>32671</v>
      </c>
      <c r="H7636" t="s">
        <v>12635</v>
      </c>
      <c r="I7636" t="s">
        <v>6628</v>
      </c>
      <c r="J7636" t="s">
        <v>33644</v>
      </c>
      <c r="K7636" t="s">
        <v>42281</v>
      </c>
      <c r="M7636" t="s">
        <v>44224</v>
      </c>
      <c r="N7636" t="s">
        <v>46569</v>
      </c>
      <c r="O7636" t="s">
        <v>46570</v>
      </c>
      <c r="P7636">
        <v>0</v>
      </c>
      <c r="Q7636">
        <v>1</v>
      </c>
      <c r="R7636" t="s">
        <v>46574</v>
      </c>
      <c r="S7636" t="s">
        <v>46723</v>
      </c>
      <c r="T7636" t="s">
        <v>48449</v>
      </c>
      <c r="U7636" t="s">
        <v>55099</v>
      </c>
      <c r="W7636" t="s">
        <v>44224</v>
      </c>
      <c r="X7636" t="s">
        <v>46577</v>
      </c>
    </row>
    <row r="7637" spans="1:24">
      <c r="A7637">
        <f>HYPERLINK("https://www.philgeps.gov.ph/GEPSNONPILOT/Tender/SplashBidNoticeAbstractUI.aspx?menuIndex=3&amp;refID=7057642&amp;Result=3","7057642")</f>
        <v>0</v>
      </c>
      <c r="B7637" t="s">
        <v>500</v>
      </c>
      <c r="C7637" t="s">
        <v>10772</v>
      </c>
      <c r="D7637" t="s">
        <v>18805</v>
      </c>
      <c r="E7637" t="s">
        <v>25598</v>
      </c>
      <c r="F7637" t="s">
        <v>32664</v>
      </c>
      <c r="G7637" t="s">
        <v>32671</v>
      </c>
      <c r="H7637" t="s">
        <v>12635</v>
      </c>
      <c r="I7637" t="s">
        <v>4439</v>
      </c>
      <c r="J7637" t="s">
        <v>37494</v>
      </c>
      <c r="K7637" t="s">
        <v>42283</v>
      </c>
      <c r="M7637" t="s">
        <v>44383</v>
      </c>
      <c r="N7637" t="s">
        <v>46569</v>
      </c>
      <c r="O7637" t="s">
        <v>46570</v>
      </c>
      <c r="P7637">
        <v>0</v>
      </c>
      <c r="Q7637">
        <v>0</v>
      </c>
      <c r="R7637" t="s">
        <v>46574</v>
      </c>
      <c r="S7637" t="s">
        <v>46723</v>
      </c>
      <c r="T7637" t="s">
        <v>48473</v>
      </c>
      <c r="U7637" t="s">
        <v>55001</v>
      </c>
      <c r="W7637" t="s">
        <v>44383</v>
      </c>
      <c r="X7637" t="s">
        <v>46577</v>
      </c>
    </row>
    <row r="7638" spans="1:24">
      <c r="A7638">
        <f>HYPERLINK("https://www.philgeps.gov.ph/GEPSNONPILOT/Tender/SplashBidNoticeAbstractUI.aspx?menuIndex=3&amp;refID=7057635&amp;Result=3","7057635")</f>
        <v>0</v>
      </c>
      <c r="B7638" t="s">
        <v>2304</v>
      </c>
      <c r="C7638" t="s">
        <v>10773</v>
      </c>
      <c r="D7638" t="s">
        <v>18784</v>
      </c>
      <c r="E7638" t="s">
        <v>20991</v>
      </c>
      <c r="F7638" t="s">
        <v>32665</v>
      </c>
      <c r="G7638" t="s">
        <v>32672</v>
      </c>
      <c r="H7638" t="s">
        <v>12635</v>
      </c>
      <c r="I7638" t="s">
        <v>6223</v>
      </c>
      <c r="J7638" t="s">
        <v>37495</v>
      </c>
      <c r="K7638" t="s">
        <v>42281</v>
      </c>
      <c r="M7638" t="s">
        <v>45076</v>
      </c>
      <c r="N7638" t="s">
        <v>46569</v>
      </c>
      <c r="O7638" t="s">
        <v>46570</v>
      </c>
      <c r="P7638">
        <v>0</v>
      </c>
      <c r="Q7638">
        <v>1</v>
      </c>
      <c r="R7638" t="s">
        <v>46574</v>
      </c>
      <c r="S7638" t="s">
        <v>46723</v>
      </c>
      <c r="T7638" t="s">
        <v>48601</v>
      </c>
      <c r="U7638" t="s">
        <v>55100</v>
      </c>
      <c r="W7638" t="s">
        <v>45076</v>
      </c>
      <c r="X7638" t="s">
        <v>46577</v>
      </c>
    </row>
    <row r="7639" spans="1:24">
      <c r="A7639">
        <f>HYPERLINK("https://www.philgeps.gov.ph/GEPSNONPILOT/Tender/SplashBidNoticeAbstractUI.aspx?menuIndex=3&amp;refID=7057519&amp;Result=3","7057519")</f>
        <v>0</v>
      </c>
      <c r="B7639" t="s">
        <v>444</v>
      </c>
      <c r="C7639" t="s">
        <v>10774</v>
      </c>
      <c r="D7639" t="s">
        <v>18799</v>
      </c>
      <c r="E7639" t="s">
        <v>21424</v>
      </c>
      <c r="F7639" t="s">
        <v>32664</v>
      </c>
      <c r="G7639" t="s">
        <v>32671</v>
      </c>
      <c r="H7639" t="s">
        <v>12635</v>
      </c>
      <c r="I7639" t="s">
        <v>6223</v>
      </c>
      <c r="J7639" t="s">
        <v>37496</v>
      </c>
      <c r="K7639" t="s">
        <v>42283</v>
      </c>
      <c r="M7639" t="s">
        <v>43017</v>
      </c>
      <c r="N7639" t="s">
        <v>46569</v>
      </c>
      <c r="O7639" t="s">
        <v>46570</v>
      </c>
      <c r="Q7639">
        <v>11</v>
      </c>
      <c r="R7639" t="s">
        <v>46574</v>
      </c>
      <c r="S7639" t="s">
        <v>46739</v>
      </c>
      <c r="T7639" t="s">
        <v>48228</v>
      </c>
      <c r="U7639" t="s">
        <v>49518</v>
      </c>
      <c r="W7639" t="s">
        <v>43017</v>
      </c>
      <c r="X7639" t="s">
        <v>46577</v>
      </c>
    </row>
    <row r="7640" spans="1:24">
      <c r="A7640">
        <f>HYPERLINK("https://www.philgeps.gov.ph/GEPSNONPILOT/Tender/SplashBidNoticeAbstractUI.aspx?menuIndex=3&amp;refID=7057627&amp;Result=3","7057627")</f>
        <v>0</v>
      </c>
      <c r="B7640" t="s">
        <v>2089</v>
      </c>
      <c r="C7640" t="s">
        <v>10775</v>
      </c>
      <c r="D7640" t="s">
        <v>18834</v>
      </c>
      <c r="E7640" t="s">
        <v>25599</v>
      </c>
      <c r="F7640" t="s">
        <v>32664</v>
      </c>
      <c r="G7640" t="s">
        <v>32671</v>
      </c>
      <c r="H7640" t="s">
        <v>12635</v>
      </c>
      <c r="I7640" t="s">
        <v>32704</v>
      </c>
      <c r="J7640" t="s">
        <v>37497</v>
      </c>
      <c r="K7640" t="s">
        <v>42283</v>
      </c>
      <c r="M7640" t="s">
        <v>44843</v>
      </c>
      <c r="N7640" t="s">
        <v>46569</v>
      </c>
      <c r="O7640" t="s">
        <v>46570</v>
      </c>
      <c r="P7640">
        <v>0</v>
      </c>
      <c r="Q7640">
        <v>17</v>
      </c>
      <c r="R7640" t="s">
        <v>46574</v>
      </c>
      <c r="S7640" t="s">
        <v>46723</v>
      </c>
      <c r="T7640" t="s">
        <v>48578</v>
      </c>
      <c r="U7640" t="s">
        <v>55101</v>
      </c>
      <c r="W7640" t="s">
        <v>44843</v>
      </c>
      <c r="X7640" t="s">
        <v>46577</v>
      </c>
    </row>
    <row r="7641" spans="1:24">
      <c r="A7641">
        <f>HYPERLINK("https://www.philgeps.gov.ph/GEPSNONPILOT/Tender/SplashBidNoticeAbstractUI.aspx?menuIndex=3&amp;refID=7058402&amp;Result=3","7058402")</f>
        <v>0</v>
      </c>
      <c r="B7641" t="s">
        <v>886</v>
      </c>
      <c r="C7641" t="s">
        <v>10776</v>
      </c>
      <c r="D7641" t="s">
        <v>18784</v>
      </c>
      <c r="E7641" t="s">
        <v>25600</v>
      </c>
      <c r="F7641" t="s">
        <v>32664</v>
      </c>
      <c r="G7641" t="s">
        <v>32672</v>
      </c>
      <c r="H7641" t="s">
        <v>32682</v>
      </c>
      <c r="I7641" t="s">
        <v>5589</v>
      </c>
      <c r="J7641" t="s">
        <v>37498</v>
      </c>
      <c r="K7641" t="s">
        <v>42404</v>
      </c>
      <c r="M7641" t="s">
        <v>45111</v>
      </c>
      <c r="N7641" t="s">
        <v>46569</v>
      </c>
      <c r="O7641" t="s">
        <v>46570</v>
      </c>
      <c r="P7641">
        <v>0</v>
      </c>
      <c r="Q7641">
        <v>10</v>
      </c>
      <c r="R7641" t="s">
        <v>46574</v>
      </c>
      <c r="S7641" t="s">
        <v>46723</v>
      </c>
      <c r="T7641" t="s">
        <v>48483</v>
      </c>
      <c r="U7641" t="s">
        <v>55102</v>
      </c>
      <c r="W7641" t="s">
        <v>45111</v>
      </c>
      <c r="X7641" t="s">
        <v>46576</v>
      </c>
    </row>
    <row r="7642" spans="1:24">
      <c r="A7642">
        <f>HYPERLINK("https://www.philgeps.gov.ph/GEPSNONPILOT/Tender/SplashBidNoticeAbstractUI.aspx?menuIndex=3&amp;refID=7058305&amp;Result=3","7058305")</f>
        <v>0</v>
      </c>
      <c r="B7642" t="s">
        <v>815</v>
      </c>
      <c r="C7642" t="s">
        <v>10777</v>
      </c>
      <c r="D7642" t="s">
        <v>18794</v>
      </c>
      <c r="E7642" t="s">
        <v>25601</v>
      </c>
      <c r="F7642" t="s">
        <v>32664</v>
      </c>
      <c r="G7642" t="s">
        <v>32672</v>
      </c>
      <c r="H7642" t="s">
        <v>12635</v>
      </c>
      <c r="I7642" t="s">
        <v>10370</v>
      </c>
      <c r="J7642" t="s">
        <v>33751</v>
      </c>
      <c r="K7642" t="s">
        <v>42289</v>
      </c>
      <c r="M7642" t="s">
        <v>43409</v>
      </c>
      <c r="N7642" t="s">
        <v>46569</v>
      </c>
      <c r="O7642" t="s">
        <v>46570</v>
      </c>
      <c r="P7642">
        <v>0</v>
      </c>
      <c r="Q7642">
        <v>3</v>
      </c>
      <c r="R7642" t="s">
        <v>46574</v>
      </c>
      <c r="S7642" t="s">
        <v>46723</v>
      </c>
      <c r="T7642" t="s">
        <v>48377</v>
      </c>
      <c r="U7642" t="s">
        <v>55103</v>
      </c>
      <c r="V7642" t="s">
        <v>62377</v>
      </c>
      <c r="W7642" t="s">
        <v>43409</v>
      </c>
      <c r="X7642" t="s">
        <v>46576</v>
      </c>
    </row>
    <row r="7643" spans="1:24">
      <c r="A7643">
        <f>HYPERLINK("https://www.philgeps.gov.ph/GEPSNONPILOT/Tender/SplashBidNoticeAbstractUI.aspx?menuIndex=3&amp;refID=7058367&amp;Result=3","7058367")</f>
        <v>0</v>
      </c>
      <c r="B7643" t="s">
        <v>940</v>
      </c>
      <c r="C7643" t="s">
        <v>10778</v>
      </c>
      <c r="D7643" t="s">
        <v>18784</v>
      </c>
      <c r="E7643" t="s">
        <v>25602</v>
      </c>
      <c r="F7643" t="s">
        <v>32664</v>
      </c>
      <c r="G7643" t="s">
        <v>32672</v>
      </c>
      <c r="H7643" t="s">
        <v>12635</v>
      </c>
      <c r="I7643" t="s">
        <v>32726</v>
      </c>
      <c r="J7643" t="s">
        <v>37499</v>
      </c>
      <c r="K7643" t="s">
        <v>42298</v>
      </c>
      <c r="M7643" t="s">
        <v>45112</v>
      </c>
      <c r="N7643" t="s">
        <v>46569</v>
      </c>
      <c r="O7643" t="s">
        <v>46570</v>
      </c>
      <c r="P7643">
        <v>0</v>
      </c>
      <c r="Q7643">
        <v>4</v>
      </c>
      <c r="R7643" t="s">
        <v>46574</v>
      </c>
      <c r="S7643" t="s">
        <v>46723</v>
      </c>
      <c r="T7643" t="s">
        <v>48412</v>
      </c>
      <c r="U7643" t="s">
        <v>55104</v>
      </c>
      <c r="V7643" t="s">
        <v>62379</v>
      </c>
      <c r="W7643" t="s">
        <v>45112</v>
      </c>
      <c r="X7643" t="s">
        <v>46576</v>
      </c>
    </row>
    <row r="7644" spans="1:24">
      <c r="A7644">
        <f>HYPERLINK("https://www.philgeps.gov.ph/GEPSNONPILOT/Tender/SplashBidNoticeAbstractUI.aspx?menuIndex=3&amp;refID=7058371&amp;Result=3","7058371")</f>
        <v>0</v>
      </c>
      <c r="B7644" t="s">
        <v>2334</v>
      </c>
      <c r="C7644" t="s">
        <v>10779</v>
      </c>
      <c r="D7644" t="s">
        <v>18805</v>
      </c>
      <c r="E7644" t="s">
        <v>25603</v>
      </c>
      <c r="F7644" t="s">
        <v>32664</v>
      </c>
      <c r="G7644" t="s">
        <v>32672</v>
      </c>
      <c r="H7644" t="s">
        <v>12635</v>
      </c>
      <c r="I7644" t="s">
        <v>8730</v>
      </c>
      <c r="J7644" t="s">
        <v>33831</v>
      </c>
      <c r="K7644" t="s">
        <v>42332</v>
      </c>
      <c r="M7644" t="s">
        <v>45113</v>
      </c>
      <c r="N7644" t="s">
        <v>46569</v>
      </c>
      <c r="O7644" t="s">
        <v>46570</v>
      </c>
      <c r="P7644">
        <v>0</v>
      </c>
      <c r="Q7644">
        <v>0</v>
      </c>
      <c r="R7644" t="s">
        <v>46574</v>
      </c>
      <c r="S7644" t="s">
        <v>46723</v>
      </c>
      <c r="T7644" t="s">
        <v>48297</v>
      </c>
      <c r="U7644" t="s">
        <v>55105</v>
      </c>
      <c r="V7644" t="s">
        <v>62380</v>
      </c>
      <c r="W7644" t="s">
        <v>45113</v>
      </c>
      <c r="X7644" t="s">
        <v>46576</v>
      </c>
    </row>
    <row r="7645" spans="1:24">
      <c r="A7645">
        <f>HYPERLINK("https://www.philgeps.gov.ph/GEPSNONPILOT/Tender/SplashBidNoticeAbstractUI.aspx?menuIndex=3&amp;refID=7058366&amp;Result=3","7058366")</f>
        <v>0</v>
      </c>
      <c r="B7645" t="s">
        <v>2335</v>
      </c>
      <c r="C7645" t="s">
        <v>10780</v>
      </c>
      <c r="D7645" t="s">
        <v>18802</v>
      </c>
      <c r="E7645" t="s">
        <v>25604</v>
      </c>
      <c r="F7645" t="s">
        <v>32664</v>
      </c>
      <c r="G7645" t="s">
        <v>32672</v>
      </c>
      <c r="H7645" t="s">
        <v>32683</v>
      </c>
      <c r="I7645" t="s">
        <v>10627</v>
      </c>
      <c r="J7645" t="s">
        <v>37500</v>
      </c>
      <c r="K7645" t="s">
        <v>42284</v>
      </c>
      <c r="L7645" t="s">
        <v>2335</v>
      </c>
      <c r="M7645" t="s">
        <v>45114</v>
      </c>
      <c r="N7645" t="s">
        <v>46569</v>
      </c>
      <c r="O7645" t="s">
        <v>46570</v>
      </c>
      <c r="P7645">
        <v>0</v>
      </c>
      <c r="Q7645">
        <v>0</v>
      </c>
      <c r="R7645" t="s">
        <v>46574</v>
      </c>
      <c r="S7645" t="s">
        <v>46723</v>
      </c>
      <c r="T7645" t="s">
        <v>48221</v>
      </c>
      <c r="U7645" t="s">
        <v>55106</v>
      </c>
      <c r="W7645" t="s">
        <v>45114</v>
      </c>
      <c r="X7645" t="s">
        <v>46576</v>
      </c>
    </row>
    <row r="7646" spans="1:24">
      <c r="A7646">
        <f>HYPERLINK("https://www.philgeps.gov.ph/GEPSNONPILOT/Tender/SplashBidNoticeAbstractUI.aspx?menuIndex=3&amp;refID=7058360&amp;Result=3","7058360")</f>
        <v>0</v>
      </c>
      <c r="B7646" t="s">
        <v>541</v>
      </c>
      <c r="C7646" t="s">
        <v>10781</v>
      </c>
      <c r="D7646" t="s">
        <v>18805</v>
      </c>
      <c r="E7646" t="s">
        <v>24983</v>
      </c>
      <c r="F7646" t="s">
        <v>32664</v>
      </c>
      <c r="G7646" t="s">
        <v>32672</v>
      </c>
      <c r="H7646" t="s">
        <v>12635</v>
      </c>
      <c r="I7646" t="s">
        <v>32704</v>
      </c>
      <c r="J7646" t="s">
        <v>37501</v>
      </c>
      <c r="K7646" t="s">
        <v>42298</v>
      </c>
      <c r="M7646" t="s">
        <v>43120</v>
      </c>
      <c r="N7646" t="s">
        <v>46569</v>
      </c>
      <c r="O7646" t="s">
        <v>46570</v>
      </c>
      <c r="P7646">
        <v>0</v>
      </c>
      <c r="Q7646">
        <v>34</v>
      </c>
      <c r="R7646" t="s">
        <v>46574</v>
      </c>
      <c r="S7646" t="s">
        <v>46723</v>
      </c>
      <c r="T7646" t="s">
        <v>48385</v>
      </c>
      <c r="U7646" t="s">
        <v>55107</v>
      </c>
      <c r="W7646" t="s">
        <v>43120</v>
      </c>
      <c r="X7646" t="s">
        <v>46576</v>
      </c>
    </row>
    <row r="7647" spans="1:24">
      <c r="A7647">
        <f>HYPERLINK("https://www.philgeps.gov.ph/GEPSNONPILOT/Tender/SplashBidNoticeAbstractUI.aspx?menuIndex=3&amp;refID=7057624&amp;Result=3","7057624")</f>
        <v>0</v>
      </c>
      <c r="B7647" t="s">
        <v>444</v>
      </c>
      <c r="C7647" t="s">
        <v>10782</v>
      </c>
      <c r="D7647" t="s">
        <v>18799</v>
      </c>
      <c r="E7647" t="s">
        <v>19782</v>
      </c>
      <c r="F7647" t="s">
        <v>32664</v>
      </c>
      <c r="G7647" t="s">
        <v>32671</v>
      </c>
      <c r="H7647" t="s">
        <v>12635</v>
      </c>
      <c r="I7647" t="s">
        <v>6223</v>
      </c>
      <c r="J7647" t="s">
        <v>37502</v>
      </c>
      <c r="K7647" t="s">
        <v>42283</v>
      </c>
      <c r="M7647" t="s">
        <v>43017</v>
      </c>
      <c r="N7647" t="s">
        <v>46569</v>
      </c>
      <c r="O7647" t="s">
        <v>46570</v>
      </c>
      <c r="Q7647">
        <v>13</v>
      </c>
      <c r="R7647" t="s">
        <v>46574</v>
      </c>
      <c r="S7647" t="s">
        <v>46740</v>
      </c>
      <c r="T7647" t="s">
        <v>48228</v>
      </c>
      <c r="U7647" t="s">
        <v>49518</v>
      </c>
      <c r="W7647" t="s">
        <v>43017</v>
      </c>
      <c r="X7647" t="s">
        <v>46577</v>
      </c>
    </row>
    <row r="7648" spans="1:24">
      <c r="A7648">
        <f>HYPERLINK("https://www.philgeps.gov.ph/GEPSNONPILOT/Tender/SplashBidNoticeAbstractUI.aspx?menuIndex=3&amp;refID=7058358&amp;Result=3","7058358")</f>
        <v>0</v>
      </c>
      <c r="B7648" t="s">
        <v>2336</v>
      </c>
      <c r="C7648" t="s">
        <v>10780</v>
      </c>
      <c r="D7648" t="s">
        <v>18802</v>
      </c>
      <c r="E7648" t="s">
        <v>25605</v>
      </c>
      <c r="F7648" t="s">
        <v>32664</v>
      </c>
      <c r="G7648" t="s">
        <v>32672</v>
      </c>
      <c r="H7648" t="s">
        <v>32682</v>
      </c>
      <c r="I7648" t="s">
        <v>32716</v>
      </c>
      <c r="J7648" t="s">
        <v>37503</v>
      </c>
      <c r="K7648" t="s">
        <v>42284</v>
      </c>
      <c r="L7648" t="s">
        <v>2336</v>
      </c>
      <c r="M7648" t="s">
        <v>45115</v>
      </c>
      <c r="N7648" t="s">
        <v>46569</v>
      </c>
      <c r="O7648" t="s">
        <v>46570</v>
      </c>
      <c r="P7648">
        <v>0</v>
      </c>
      <c r="Q7648">
        <v>0</v>
      </c>
      <c r="R7648" t="s">
        <v>46574</v>
      </c>
      <c r="S7648" t="s">
        <v>46723</v>
      </c>
      <c r="T7648" t="s">
        <v>48221</v>
      </c>
      <c r="U7648" t="s">
        <v>55108</v>
      </c>
      <c r="W7648" t="s">
        <v>45115</v>
      </c>
      <c r="X7648" t="s">
        <v>46576</v>
      </c>
    </row>
    <row r="7649" spans="1:24">
      <c r="A7649">
        <f>HYPERLINK("https://www.philgeps.gov.ph/GEPSNONPILOT/Tender/SplashBidNoticeAbstractUI.aspx?menuIndex=3&amp;refID=7058310&amp;Result=3","7058310")</f>
        <v>0</v>
      </c>
      <c r="B7649" t="s">
        <v>815</v>
      </c>
      <c r="C7649" t="s">
        <v>10783</v>
      </c>
      <c r="D7649" t="s">
        <v>18794</v>
      </c>
      <c r="E7649" t="s">
        <v>25606</v>
      </c>
      <c r="F7649" t="s">
        <v>32664</v>
      </c>
      <c r="G7649" t="s">
        <v>32672</v>
      </c>
      <c r="H7649" t="s">
        <v>12635</v>
      </c>
      <c r="I7649" t="s">
        <v>32692</v>
      </c>
      <c r="J7649" t="s">
        <v>37504</v>
      </c>
      <c r="K7649" t="s">
        <v>42289</v>
      </c>
      <c r="M7649" t="s">
        <v>43409</v>
      </c>
      <c r="N7649" t="s">
        <v>46569</v>
      </c>
      <c r="O7649" t="s">
        <v>46570</v>
      </c>
      <c r="P7649">
        <v>0</v>
      </c>
      <c r="Q7649">
        <v>4</v>
      </c>
      <c r="R7649" t="s">
        <v>46574</v>
      </c>
      <c r="S7649" t="s">
        <v>46723</v>
      </c>
      <c r="T7649" t="s">
        <v>48377</v>
      </c>
      <c r="U7649" t="s">
        <v>55109</v>
      </c>
      <c r="V7649" t="s">
        <v>62377</v>
      </c>
      <c r="W7649" t="s">
        <v>43409</v>
      </c>
      <c r="X7649" t="s">
        <v>46576</v>
      </c>
    </row>
    <row r="7650" spans="1:24">
      <c r="A7650">
        <f>HYPERLINK("https://www.philgeps.gov.ph/GEPSNONPILOT/Tender/SplashBidNoticeAbstractUI.aspx?menuIndex=3&amp;refID=7058363&amp;Result=3","7058363")</f>
        <v>0</v>
      </c>
      <c r="B7650" t="s">
        <v>2334</v>
      </c>
      <c r="C7650" t="s">
        <v>10784</v>
      </c>
      <c r="D7650" t="s">
        <v>18805</v>
      </c>
      <c r="E7650" t="s">
        <v>19453</v>
      </c>
      <c r="F7650" t="s">
        <v>32664</v>
      </c>
      <c r="G7650" t="s">
        <v>32672</v>
      </c>
      <c r="H7650" t="s">
        <v>12635</v>
      </c>
      <c r="I7650" t="s">
        <v>4439</v>
      </c>
      <c r="J7650" t="s">
        <v>33215</v>
      </c>
      <c r="K7650" t="s">
        <v>42332</v>
      </c>
      <c r="M7650" t="s">
        <v>45113</v>
      </c>
      <c r="N7650" t="s">
        <v>46569</v>
      </c>
      <c r="O7650" t="s">
        <v>46570</v>
      </c>
      <c r="P7650">
        <v>0</v>
      </c>
      <c r="Q7650">
        <v>0</v>
      </c>
      <c r="R7650" t="s">
        <v>46574</v>
      </c>
      <c r="S7650" t="s">
        <v>46723</v>
      </c>
      <c r="T7650" t="s">
        <v>48350</v>
      </c>
      <c r="U7650" t="s">
        <v>55110</v>
      </c>
      <c r="V7650" t="s">
        <v>62381</v>
      </c>
      <c r="W7650" t="s">
        <v>45113</v>
      </c>
      <c r="X7650" t="s">
        <v>46576</v>
      </c>
    </row>
    <row r="7651" spans="1:24">
      <c r="A7651">
        <f>HYPERLINK("https://www.philgeps.gov.ph/GEPSNONPILOT/Tender/SplashBidNoticeAbstractUI.aspx?menuIndex=3&amp;refID=7058328&amp;Result=3","7058328")</f>
        <v>0</v>
      </c>
      <c r="B7651" t="s">
        <v>1770</v>
      </c>
      <c r="C7651" t="s">
        <v>10785</v>
      </c>
      <c r="D7651" t="s">
        <v>18848</v>
      </c>
      <c r="E7651" t="s">
        <v>25607</v>
      </c>
      <c r="F7651" t="s">
        <v>32664</v>
      </c>
      <c r="G7651" t="s">
        <v>32672</v>
      </c>
      <c r="H7651" t="s">
        <v>12635</v>
      </c>
      <c r="I7651" t="s">
        <v>32741</v>
      </c>
      <c r="J7651" t="s">
        <v>37505</v>
      </c>
      <c r="K7651" t="s">
        <v>42283</v>
      </c>
      <c r="M7651" t="s">
        <v>44472</v>
      </c>
      <c r="N7651" t="s">
        <v>46569</v>
      </c>
      <c r="O7651" t="s">
        <v>46570</v>
      </c>
      <c r="P7651">
        <v>0</v>
      </c>
      <c r="Q7651">
        <v>1</v>
      </c>
      <c r="R7651" t="s">
        <v>46574</v>
      </c>
      <c r="S7651" t="s">
        <v>46723</v>
      </c>
      <c r="T7651" t="s">
        <v>48311</v>
      </c>
      <c r="U7651" t="s">
        <v>55111</v>
      </c>
      <c r="W7651" t="s">
        <v>63533</v>
      </c>
      <c r="X7651" t="s">
        <v>46576</v>
      </c>
    </row>
    <row r="7652" spans="1:24">
      <c r="A7652">
        <f>HYPERLINK("https://www.philgeps.gov.ph/GEPSNONPILOT/Tender/SplashBidNoticeAbstractUI.aspx?menuIndex=3&amp;refID=7058224&amp;Result=3","7058224")</f>
        <v>0</v>
      </c>
      <c r="B7652" t="s">
        <v>619</v>
      </c>
      <c r="C7652" t="s">
        <v>10786</v>
      </c>
      <c r="D7652" t="s">
        <v>18784</v>
      </c>
      <c r="E7652" t="s">
        <v>20077</v>
      </c>
      <c r="F7652" t="s">
        <v>32664</v>
      </c>
      <c r="G7652" t="s">
        <v>32672</v>
      </c>
      <c r="H7652" t="s">
        <v>32683</v>
      </c>
      <c r="I7652" t="s">
        <v>10374</v>
      </c>
      <c r="J7652" t="s">
        <v>32930</v>
      </c>
      <c r="K7652" t="s">
        <v>42283</v>
      </c>
      <c r="M7652" t="s">
        <v>43199</v>
      </c>
      <c r="N7652" t="s">
        <v>46569</v>
      </c>
      <c r="O7652" t="s">
        <v>46570</v>
      </c>
      <c r="P7652">
        <v>0</v>
      </c>
      <c r="Q7652">
        <v>7</v>
      </c>
      <c r="R7652" t="s">
        <v>46574</v>
      </c>
      <c r="S7652" t="s">
        <v>46723</v>
      </c>
      <c r="T7652" t="s">
        <v>48219</v>
      </c>
      <c r="U7652" t="s">
        <v>55112</v>
      </c>
      <c r="W7652" t="s">
        <v>43199</v>
      </c>
      <c r="X7652" t="s">
        <v>46576</v>
      </c>
    </row>
    <row r="7653" spans="1:24">
      <c r="A7653">
        <f>HYPERLINK("https://www.philgeps.gov.ph/GEPSNONPILOT/Tender/SplashBidNoticeAbstractUI.aspx?menuIndex=3&amp;refID=7058325&amp;Result=3","7058325")</f>
        <v>0</v>
      </c>
      <c r="B7653" t="s">
        <v>1770</v>
      </c>
      <c r="C7653" t="s">
        <v>10787</v>
      </c>
      <c r="D7653" t="s">
        <v>18848</v>
      </c>
      <c r="E7653" t="s">
        <v>25608</v>
      </c>
      <c r="F7653" t="s">
        <v>32664</v>
      </c>
      <c r="G7653" t="s">
        <v>32672</v>
      </c>
      <c r="H7653" t="s">
        <v>12635</v>
      </c>
      <c r="I7653" t="s">
        <v>4439</v>
      </c>
      <c r="J7653" t="s">
        <v>37506</v>
      </c>
      <c r="K7653" t="s">
        <v>42289</v>
      </c>
      <c r="M7653" t="s">
        <v>44472</v>
      </c>
      <c r="N7653" t="s">
        <v>46569</v>
      </c>
      <c r="O7653" t="s">
        <v>46570</v>
      </c>
      <c r="P7653">
        <v>0</v>
      </c>
      <c r="Q7653">
        <v>0</v>
      </c>
      <c r="R7653" t="s">
        <v>46574</v>
      </c>
      <c r="S7653" t="s">
        <v>46723</v>
      </c>
      <c r="T7653" t="s">
        <v>48311</v>
      </c>
      <c r="U7653" t="s">
        <v>55113</v>
      </c>
      <c r="W7653" t="s">
        <v>63533</v>
      </c>
      <c r="X7653" t="s">
        <v>46576</v>
      </c>
    </row>
    <row r="7654" spans="1:24">
      <c r="A7654">
        <f>HYPERLINK("https://www.philgeps.gov.ph/GEPSNONPILOT/Tender/SplashBidNoticeAbstractUI.aspx?menuIndex=3&amp;refID=7057611&amp;Result=3","7057611")</f>
        <v>0</v>
      </c>
      <c r="B7654" t="s">
        <v>444</v>
      </c>
      <c r="C7654" t="s">
        <v>10788</v>
      </c>
      <c r="D7654" t="s">
        <v>18799</v>
      </c>
      <c r="E7654" t="s">
        <v>19785</v>
      </c>
      <c r="F7654" t="s">
        <v>32664</v>
      </c>
      <c r="G7654" t="s">
        <v>32671</v>
      </c>
      <c r="H7654" t="s">
        <v>12635</v>
      </c>
      <c r="I7654" t="s">
        <v>6223</v>
      </c>
      <c r="J7654" t="s">
        <v>37507</v>
      </c>
      <c r="K7654" t="s">
        <v>42283</v>
      </c>
      <c r="M7654" t="s">
        <v>43017</v>
      </c>
      <c r="N7654" t="s">
        <v>46569</v>
      </c>
      <c r="O7654" t="s">
        <v>46570</v>
      </c>
      <c r="Q7654">
        <v>7</v>
      </c>
      <c r="R7654" t="s">
        <v>46574</v>
      </c>
      <c r="S7654" t="s">
        <v>46741</v>
      </c>
      <c r="T7654" t="s">
        <v>48228</v>
      </c>
      <c r="U7654" t="s">
        <v>49518</v>
      </c>
      <c r="W7654" t="s">
        <v>43017</v>
      </c>
      <c r="X7654" t="s">
        <v>46577</v>
      </c>
    </row>
    <row r="7655" spans="1:24">
      <c r="A7655">
        <f>HYPERLINK("https://www.philgeps.gov.ph/GEPSNONPILOT/Tender/SplashBidNoticeAbstractUI.aspx?menuIndex=3&amp;refID=7058333&amp;Result=3","7058333")</f>
        <v>0</v>
      </c>
      <c r="B7655" t="s">
        <v>2337</v>
      </c>
      <c r="C7655" t="s">
        <v>10789</v>
      </c>
      <c r="D7655" t="s">
        <v>18820</v>
      </c>
      <c r="E7655" t="s">
        <v>25609</v>
      </c>
      <c r="F7655" t="s">
        <v>32664</v>
      </c>
      <c r="G7655" t="s">
        <v>32673</v>
      </c>
      <c r="H7655" t="s">
        <v>12635</v>
      </c>
      <c r="I7655" t="s">
        <v>11464</v>
      </c>
      <c r="J7655" t="s">
        <v>33461</v>
      </c>
      <c r="K7655" t="s">
        <v>42284</v>
      </c>
      <c r="M7655" t="s">
        <v>45116</v>
      </c>
      <c r="N7655" t="s">
        <v>46569</v>
      </c>
      <c r="O7655" t="s">
        <v>46570</v>
      </c>
      <c r="P7655">
        <v>0</v>
      </c>
      <c r="Q7655">
        <v>0</v>
      </c>
      <c r="R7655" t="s">
        <v>46574</v>
      </c>
      <c r="S7655" t="s">
        <v>46723</v>
      </c>
      <c r="T7655" t="s">
        <v>48284</v>
      </c>
      <c r="U7655" t="s">
        <v>55114</v>
      </c>
      <c r="W7655" t="s">
        <v>45116</v>
      </c>
      <c r="X7655" t="s">
        <v>46576</v>
      </c>
    </row>
    <row r="7656" spans="1:24">
      <c r="A7656">
        <f>HYPERLINK("https://www.philgeps.gov.ph/GEPSNONPILOT/Tender/SplashBidNoticeAbstractUI.aspx?menuIndex=3&amp;refID=7058480&amp;Result=3","7058480")</f>
        <v>0</v>
      </c>
      <c r="B7656" t="s">
        <v>878</v>
      </c>
      <c r="C7656" t="s">
        <v>10790</v>
      </c>
      <c r="D7656" t="s">
        <v>18784</v>
      </c>
      <c r="E7656" t="s">
        <v>25610</v>
      </c>
      <c r="F7656" t="s">
        <v>32664</v>
      </c>
      <c r="G7656" t="s">
        <v>32672</v>
      </c>
      <c r="H7656" t="s">
        <v>12635</v>
      </c>
      <c r="I7656" t="s">
        <v>4439</v>
      </c>
      <c r="J7656" t="s">
        <v>33150</v>
      </c>
      <c r="K7656" t="s">
        <v>42305</v>
      </c>
      <c r="M7656" t="s">
        <v>45117</v>
      </c>
      <c r="N7656" t="s">
        <v>46569</v>
      </c>
      <c r="O7656" t="s">
        <v>46570</v>
      </c>
      <c r="P7656">
        <v>0</v>
      </c>
      <c r="Q7656">
        <v>6</v>
      </c>
      <c r="R7656" t="s">
        <v>46574</v>
      </c>
      <c r="S7656" t="s">
        <v>46723</v>
      </c>
      <c r="T7656" t="s">
        <v>48604</v>
      </c>
      <c r="U7656" t="s">
        <v>55115</v>
      </c>
      <c r="W7656" t="s">
        <v>45117</v>
      </c>
      <c r="X7656" t="s">
        <v>46576</v>
      </c>
    </row>
    <row r="7657" spans="1:24">
      <c r="A7657">
        <f>HYPERLINK("https://www.philgeps.gov.ph/GEPSNONPILOT/Tender/SplashBidNoticeAbstractUI.aspx?menuIndex=3&amp;refID=7058458&amp;Result=3","7058458")</f>
        <v>0</v>
      </c>
      <c r="B7657" t="s">
        <v>2338</v>
      </c>
      <c r="C7657" t="s">
        <v>10791</v>
      </c>
      <c r="E7657" t="s">
        <v>20490</v>
      </c>
      <c r="F7657" t="s">
        <v>32664</v>
      </c>
      <c r="G7657" t="s">
        <v>32672</v>
      </c>
      <c r="H7657" t="s">
        <v>32683</v>
      </c>
      <c r="I7657" t="s">
        <v>10627</v>
      </c>
      <c r="J7657" t="s">
        <v>37508</v>
      </c>
      <c r="K7657" t="s">
        <v>42283</v>
      </c>
      <c r="M7657" t="s">
        <v>45118</v>
      </c>
      <c r="N7657" t="s">
        <v>46569</v>
      </c>
      <c r="O7657" t="s">
        <v>46570</v>
      </c>
      <c r="P7657">
        <v>0</v>
      </c>
      <c r="Q7657">
        <v>0</v>
      </c>
      <c r="R7657" t="s">
        <v>46574</v>
      </c>
      <c r="S7657" t="s">
        <v>46723</v>
      </c>
      <c r="T7657" t="s">
        <v>48246</v>
      </c>
      <c r="U7657" t="s">
        <v>55116</v>
      </c>
      <c r="W7657" t="s">
        <v>45118</v>
      </c>
      <c r="X7657" t="s">
        <v>46576</v>
      </c>
    </row>
    <row r="7658" spans="1:24">
      <c r="A7658">
        <f>HYPERLINK("https://www.philgeps.gov.ph/GEPSNONPILOT/Tender/SplashBidNoticeAbstractUI.aspx?menuIndex=3&amp;refID=7058456&amp;Result=3","7058456")</f>
        <v>0</v>
      </c>
      <c r="B7658" t="s">
        <v>2338</v>
      </c>
      <c r="C7658" t="s">
        <v>10792</v>
      </c>
      <c r="E7658" t="s">
        <v>19716</v>
      </c>
      <c r="F7658" t="s">
        <v>32664</v>
      </c>
      <c r="G7658" t="s">
        <v>32672</v>
      </c>
      <c r="H7658" t="s">
        <v>32683</v>
      </c>
      <c r="I7658" t="s">
        <v>10627</v>
      </c>
      <c r="J7658" t="s">
        <v>37509</v>
      </c>
      <c r="K7658" t="s">
        <v>42283</v>
      </c>
      <c r="M7658" t="s">
        <v>45118</v>
      </c>
      <c r="N7658" t="s">
        <v>46569</v>
      </c>
      <c r="O7658" t="s">
        <v>46570</v>
      </c>
      <c r="P7658">
        <v>0</v>
      </c>
      <c r="Q7658">
        <v>0</v>
      </c>
      <c r="R7658" t="s">
        <v>46574</v>
      </c>
      <c r="S7658" t="s">
        <v>46723</v>
      </c>
      <c r="T7658" t="s">
        <v>48246</v>
      </c>
      <c r="U7658" t="s">
        <v>55117</v>
      </c>
      <c r="W7658" t="s">
        <v>45118</v>
      </c>
      <c r="X7658" t="s">
        <v>46576</v>
      </c>
    </row>
    <row r="7659" spans="1:24">
      <c r="A7659">
        <f>HYPERLINK("https://www.philgeps.gov.ph/GEPSNONPILOT/Tender/SplashBidNoticeAbstractUI.aspx?menuIndex=3&amp;refID=7058454&amp;Result=3","7058454")</f>
        <v>0</v>
      </c>
      <c r="B7659" t="s">
        <v>2338</v>
      </c>
      <c r="C7659" t="s">
        <v>10793</v>
      </c>
      <c r="E7659" t="s">
        <v>22083</v>
      </c>
      <c r="F7659" t="s">
        <v>32664</v>
      </c>
      <c r="G7659" t="s">
        <v>32672</v>
      </c>
      <c r="H7659" t="s">
        <v>32683</v>
      </c>
      <c r="I7659" t="s">
        <v>10627</v>
      </c>
      <c r="J7659" t="s">
        <v>37510</v>
      </c>
      <c r="K7659" t="s">
        <v>42283</v>
      </c>
      <c r="M7659" t="s">
        <v>45118</v>
      </c>
      <c r="N7659" t="s">
        <v>46569</v>
      </c>
      <c r="O7659" t="s">
        <v>46570</v>
      </c>
      <c r="P7659">
        <v>0</v>
      </c>
      <c r="Q7659">
        <v>0</v>
      </c>
      <c r="R7659" t="s">
        <v>46574</v>
      </c>
      <c r="S7659" t="s">
        <v>46723</v>
      </c>
      <c r="T7659" t="s">
        <v>48246</v>
      </c>
      <c r="U7659" t="s">
        <v>55118</v>
      </c>
      <c r="W7659" t="s">
        <v>45118</v>
      </c>
      <c r="X7659" t="s">
        <v>46576</v>
      </c>
    </row>
    <row r="7660" spans="1:24">
      <c r="A7660">
        <f>HYPERLINK("https://www.philgeps.gov.ph/GEPSNONPILOT/Tender/SplashBidNoticeAbstractUI.aspx?menuIndex=3&amp;refID=7058517&amp;Result=3","7058517")</f>
        <v>0</v>
      </c>
      <c r="B7660" t="s">
        <v>2339</v>
      </c>
      <c r="C7660" t="s">
        <v>10794</v>
      </c>
      <c r="E7660" t="s">
        <v>25611</v>
      </c>
      <c r="F7660" t="s">
        <v>32664</v>
      </c>
      <c r="G7660" t="s">
        <v>32671</v>
      </c>
      <c r="H7660" t="s">
        <v>12635</v>
      </c>
      <c r="I7660" t="s">
        <v>10590</v>
      </c>
      <c r="J7660" t="s">
        <v>34432</v>
      </c>
      <c r="K7660" t="s">
        <v>42283</v>
      </c>
      <c r="M7660" t="s">
        <v>45119</v>
      </c>
      <c r="N7660" t="s">
        <v>46569</v>
      </c>
      <c r="O7660" t="s">
        <v>46570</v>
      </c>
      <c r="P7660">
        <v>0</v>
      </c>
      <c r="Q7660">
        <v>0</v>
      </c>
      <c r="R7660" t="s">
        <v>46574</v>
      </c>
      <c r="S7660" t="s">
        <v>46723</v>
      </c>
      <c r="T7660" t="s">
        <v>48287</v>
      </c>
      <c r="U7660" t="s">
        <v>55119</v>
      </c>
      <c r="W7660" t="s">
        <v>45119</v>
      </c>
      <c r="X7660" t="s">
        <v>46575</v>
      </c>
    </row>
    <row r="7661" spans="1:24">
      <c r="A7661">
        <f>HYPERLINK("https://www.philgeps.gov.ph/GEPSNONPILOT/Tender/SplashBidNoticeAbstractUI.aspx?menuIndex=3&amp;refID=7058447&amp;Result=3","7058447")</f>
        <v>0</v>
      </c>
      <c r="B7661" t="s">
        <v>2338</v>
      </c>
      <c r="C7661" t="s">
        <v>10792</v>
      </c>
      <c r="E7661" t="s">
        <v>20314</v>
      </c>
      <c r="F7661" t="s">
        <v>32664</v>
      </c>
      <c r="G7661" t="s">
        <v>32672</v>
      </c>
      <c r="H7661" t="s">
        <v>32683</v>
      </c>
      <c r="I7661" t="s">
        <v>10627</v>
      </c>
      <c r="J7661" t="s">
        <v>37511</v>
      </c>
      <c r="K7661" t="s">
        <v>42283</v>
      </c>
      <c r="M7661" t="s">
        <v>45118</v>
      </c>
      <c r="N7661" t="s">
        <v>46569</v>
      </c>
      <c r="O7661" t="s">
        <v>46570</v>
      </c>
      <c r="P7661">
        <v>0</v>
      </c>
      <c r="Q7661">
        <v>0</v>
      </c>
      <c r="R7661" t="s">
        <v>46574</v>
      </c>
      <c r="S7661" t="s">
        <v>46723</v>
      </c>
      <c r="T7661" t="s">
        <v>48246</v>
      </c>
      <c r="U7661" t="s">
        <v>55120</v>
      </c>
      <c r="W7661" t="s">
        <v>45118</v>
      </c>
      <c r="X7661" t="s">
        <v>46576</v>
      </c>
    </row>
    <row r="7662" spans="1:24">
      <c r="A7662">
        <f>HYPERLINK("https://www.philgeps.gov.ph/GEPSNONPILOT/Tender/SplashBidNoticeAbstractUI.aspx?menuIndex=3&amp;refID=7058370&amp;Result=3","7058370")</f>
        <v>0</v>
      </c>
      <c r="B7662" t="s">
        <v>2340</v>
      </c>
      <c r="C7662" t="s">
        <v>10795</v>
      </c>
      <c r="D7662" t="s">
        <v>18804</v>
      </c>
      <c r="E7662" t="s">
        <v>25612</v>
      </c>
      <c r="F7662" t="s">
        <v>32664</v>
      </c>
      <c r="G7662" t="s">
        <v>32672</v>
      </c>
      <c r="H7662" t="s">
        <v>32683</v>
      </c>
      <c r="I7662" t="s">
        <v>10627</v>
      </c>
      <c r="J7662" t="s">
        <v>32859</v>
      </c>
      <c r="K7662" t="s">
        <v>42281</v>
      </c>
      <c r="L7662" t="s">
        <v>2340</v>
      </c>
      <c r="M7662" t="s">
        <v>45120</v>
      </c>
      <c r="N7662" t="s">
        <v>46569</v>
      </c>
      <c r="O7662" t="s">
        <v>46570</v>
      </c>
      <c r="P7662">
        <v>0</v>
      </c>
      <c r="Q7662">
        <v>0</v>
      </c>
      <c r="R7662" t="s">
        <v>46574</v>
      </c>
      <c r="S7662" t="s">
        <v>46723</v>
      </c>
      <c r="T7662" t="s">
        <v>48283</v>
      </c>
      <c r="U7662" t="s">
        <v>55121</v>
      </c>
      <c r="W7662" t="s">
        <v>45120</v>
      </c>
      <c r="X7662" t="s">
        <v>46576</v>
      </c>
    </row>
    <row r="7663" spans="1:24">
      <c r="A7663">
        <f>HYPERLINK("https://www.philgeps.gov.ph/GEPSNONPILOT/Tender/SplashBidNoticeAbstractUI.aspx?menuIndex=3&amp;refID=7058519&amp;Result=3","7058519")</f>
        <v>0</v>
      </c>
      <c r="B7663" t="s">
        <v>611</v>
      </c>
      <c r="C7663" t="s">
        <v>10796</v>
      </c>
      <c r="D7663" t="s">
        <v>18785</v>
      </c>
      <c r="E7663" t="s">
        <v>25613</v>
      </c>
      <c r="F7663" t="s">
        <v>32664</v>
      </c>
      <c r="G7663" t="s">
        <v>32672</v>
      </c>
      <c r="H7663" t="s">
        <v>32683</v>
      </c>
      <c r="I7663" t="s">
        <v>10627</v>
      </c>
      <c r="J7663" t="s">
        <v>33302</v>
      </c>
      <c r="K7663" t="s">
        <v>42311</v>
      </c>
      <c r="M7663" t="s">
        <v>45121</v>
      </c>
      <c r="N7663" t="s">
        <v>46569</v>
      </c>
      <c r="O7663" t="s">
        <v>46570</v>
      </c>
      <c r="P7663">
        <v>0</v>
      </c>
      <c r="Q7663">
        <v>4</v>
      </c>
      <c r="R7663" t="s">
        <v>46574</v>
      </c>
      <c r="S7663" t="s">
        <v>46723</v>
      </c>
      <c r="T7663" t="s">
        <v>48605</v>
      </c>
      <c r="U7663" t="s">
        <v>55122</v>
      </c>
      <c r="W7663" t="s">
        <v>45121</v>
      </c>
      <c r="X7663" t="s">
        <v>46575</v>
      </c>
    </row>
    <row r="7664" spans="1:24">
      <c r="A7664">
        <f>HYPERLINK("https://www.philgeps.gov.ph/GEPSNONPILOT/Tender/SplashBidNoticeAbstractUI.aspx?menuIndex=3&amp;refID=7058446&amp;Result=3","7058446")</f>
        <v>0</v>
      </c>
      <c r="B7664" t="s">
        <v>1478</v>
      </c>
      <c r="C7664" t="s">
        <v>10797</v>
      </c>
      <c r="D7664" t="s">
        <v>18853</v>
      </c>
      <c r="E7664" t="s">
        <v>25614</v>
      </c>
      <c r="F7664" t="s">
        <v>32664</v>
      </c>
      <c r="G7664" t="s">
        <v>32672</v>
      </c>
      <c r="H7664" t="s">
        <v>12635</v>
      </c>
      <c r="I7664" t="s">
        <v>11464</v>
      </c>
      <c r="J7664" t="s">
        <v>33304</v>
      </c>
      <c r="K7664" t="s">
        <v>42281</v>
      </c>
      <c r="M7664" t="s">
        <v>45122</v>
      </c>
      <c r="N7664" t="s">
        <v>46569</v>
      </c>
      <c r="O7664" t="s">
        <v>46570</v>
      </c>
      <c r="P7664">
        <v>0</v>
      </c>
      <c r="Q7664">
        <v>0</v>
      </c>
      <c r="R7664" t="s">
        <v>46574</v>
      </c>
      <c r="S7664" t="s">
        <v>46723</v>
      </c>
      <c r="T7664" t="s">
        <v>48244</v>
      </c>
      <c r="U7664" t="s">
        <v>55123</v>
      </c>
      <c r="W7664" t="s">
        <v>45122</v>
      </c>
      <c r="X7664" t="s">
        <v>46576</v>
      </c>
    </row>
    <row r="7665" spans="1:24">
      <c r="A7665">
        <f>HYPERLINK("https://www.philgeps.gov.ph/GEPSNONPILOT/Tender/SplashBidNoticeAbstractUI.aspx?menuIndex=3&amp;refID=7058439&amp;Result=3","7058439")</f>
        <v>0</v>
      </c>
      <c r="B7665" t="s">
        <v>2341</v>
      </c>
      <c r="C7665" t="s">
        <v>10792</v>
      </c>
      <c r="E7665" t="s">
        <v>20077</v>
      </c>
      <c r="F7665" t="s">
        <v>32664</v>
      </c>
      <c r="G7665" t="s">
        <v>32672</v>
      </c>
      <c r="H7665" t="s">
        <v>32683</v>
      </c>
      <c r="I7665" t="s">
        <v>10627</v>
      </c>
      <c r="J7665" t="s">
        <v>37512</v>
      </c>
      <c r="K7665" t="s">
        <v>42283</v>
      </c>
      <c r="M7665" t="s">
        <v>45123</v>
      </c>
      <c r="N7665" t="s">
        <v>46569</v>
      </c>
      <c r="O7665" t="s">
        <v>46570</v>
      </c>
      <c r="P7665">
        <v>0</v>
      </c>
      <c r="Q7665">
        <v>0</v>
      </c>
      <c r="R7665" t="s">
        <v>46574</v>
      </c>
      <c r="S7665" t="s">
        <v>46723</v>
      </c>
      <c r="T7665" t="s">
        <v>48246</v>
      </c>
      <c r="U7665" t="s">
        <v>55124</v>
      </c>
      <c r="W7665" t="s">
        <v>45123</v>
      </c>
      <c r="X7665" t="s">
        <v>46576</v>
      </c>
    </row>
    <row r="7666" spans="1:24">
      <c r="A7666">
        <f>HYPERLINK("https://www.philgeps.gov.ph/GEPSNONPILOT/Tender/SplashBidNoticeAbstractUI.aspx?menuIndex=3&amp;refID=7058438&amp;Result=3","7058438")</f>
        <v>0</v>
      </c>
      <c r="B7666" t="s">
        <v>629</v>
      </c>
      <c r="C7666" t="s">
        <v>10798</v>
      </c>
      <c r="D7666" t="s">
        <v>18782</v>
      </c>
      <c r="E7666" t="s">
        <v>25615</v>
      </c>
      <c r="F7666" t="s">
        <v>32664</v>
      </c>
      <c r="G7666" t="s">
        <v>32674</v>
      </c>
      <c r="H7666" t="s">
        <v>12635</v>
      </c>
      <c r="I7666" t="s">
        <v>10370</v>
      </c>
      <c r="J7666" t="s">
        <v>37513</v>
      </c>
      <c r="K7666" t="s">
        <v>42283</v>
      </c>
      <c r="M7666" t="s">
        <v>43211</v>
      </c>
      <c r="N7666" t="s">
        <v>46569</v>
      </c>
      <c r="O7666" t="s">
        <v>46570</v>
      </c>
      <c r="P7666">
        <v>0</v>
      </c>
      <c r="Q7666">
        <v>5</v>
      </c>
      <c r="R7666" t="s">
        <v>46574</v>
      </c>
      <c r="S7666" t="s">
        <v>46723</v>
      </c>
      <c r="T7666" t="s">
        <v>48290</v>
      </c>
      <c r="U7666" t="s">
        <v>55125</v>
      </c>
      <c r="W7666" t="s">
        <v>43211</v>
      </c>
      <c r="X7666" t="s">
        <v>46576</v>
      </c>
    </row>
    <row r="7667" spans="1:24">
      <c r="A7667">
        <f>HYPERLINK("https://www.philgeps.gov.ph/GEPSNONPILOT/Tender/SplashBidNoticeAbstractUI.aspx?menuIndex=3&amp;refID=7058430&amp;Result=3","7058430")</f>
        <v>0</v>
      </c>
      <c r="B7667" t="s">
        <v>629</v>
      </c>
      <c r="C7667" t="s">
        <v>10799</v>
      </c>
      <c r="D7667" t="s">
        <v>18782</v>
      </c>
      <c r="E7667" t="s">
        <v>25616</v>
      </c>
      <c r="F7667" t="s">
        <v>32664</v>
      </c>
      <c r="G7667" t="s">
        <v>32674</v>
      </c>
      <c r="H7667" t="s">
        <v>12635</v>
      </c>
      <c r="I7667" t="s">
        <v>6118</v>
      </c>
      <c r="J7667" t="s">
        <v>34466</v>
      </c>
      <c r="K7667" t="s">
        <v>42283</v>
      </c>
      <c r="M7667" t="s">
        <v>43211</v>
      </c>
      <c r="N7667" t="s">
        <v>46569</v>
      </c>
      <c r="O7667" t="s">
        <v>46570</v>
      </c>
      <c r="P7667">
        <v>0</v>
      </c>
      <c r="Q7667">
        <v>0</v>
      </c>
      <c r="R7667" t="s">
        <v>46574</v>
      </c>
      <c r="S7667" t="s">
        <v>46723</v>
      </c>
      <c r="T7667" t="s">
        <v>48449</v>
      </c>
      <c r="U7667" t="s">
        <v>55126</v>
      </c>
      <c r="W7667" t="s">
        <v>43211</v>
      </c>
      <c r="X7667" t="s">
        <v>46576</v>
      </c>
    </row>
    <row r="7668" spans="1:24">
      <c r="A7668">
        <f>HYPERLINK("https://www.philgeps.gov.ph/GEPSNONPILOT/Tender/SplashBidNoticeAbstractUI.aspx?menuIndex=3&amp;refID=7058342&amp;Result=3","7058342")</f>
        <v>0</v>
      </c>
      <c r="B7668" t="s">
        <v>2342</v>
      </c>
      <c r="C7668" t="s">
        <v>10800</v>
      </c>
      <c r="D7668" t="s">
        <v>18841</v>
      </c>
      <c r="E7668" t="s">
        <v>19137</v>
      </c>
      <c r="F7668" t="s">
        <v>32665</v>
      </c>
      <c r="G7668" t="s">
        <v>32672</v>
      </c>
      <c r="H7668" t="s">
        <v>12635</v>
      </c>
      <c r="I7668" t="s">
        <v>4439</v>
      </c>
      <c r="J7668" t="s">
        <v>37514</v>
      </c>
      <c r="K7668" t="s">
        <v>42290</v>
      </c>
      <c r="M7668" t="s">
        <v>45124</v>
      </c>
      <c r="N7668" t="s">
        <v>46569</v>
      </c>
      <c r="O7668" t="s">
        <v>46570</v>
      </c>
      <c r="P7668">
        <v>0</v>
      </c>
      <c r="Q7668">
        <v>0</v>
      </c>
      <c r="R7668" t="s">
        <v>46574</v>
      </c>
      <c r="S7668" t="s">
        <v>46723</v>
      </c>
      <c r="T7668" t="s">
        <v>48463</v>
      </c>
      <c r="U7668" t="s">
        <v>55127</v>
      </c>
      <c r="W7668" t="s">
        <v>45124</v>
      </c>
      <c r="X7668" t="s">
        <v>46576</v>
      </c>
    </row>
    <row r="7669" spans="1:24">
      <c r="A7669">
        <f>HYPERLINK("https://www.philgeps.gov.ph/GEPSNONPILOT/Tender/SplashBidNoticeAbstractUI.aspx?menuIndex=3&amp;refID=7058455&amp;Result=3","7058455")</f>
        <v>0</v>
      </c>
      <c r="B7669" t="s">
        <v>2343</v>
      </c>
      <c r="C7669" t="s">
        <v>10801</v>
      </c>
      <c r="D7669" t="s">
        <v>18798</v>
      </c>
      <c r="E7669" t="s">
        <v>25617</v>
      </c>
      <c r="F7669" t="s">
        <v>32664</v>
      </c>
      <c r="G7669" t="s">
        <v>32672</v>
      </c>
      <c r="H7669" t="s">
        <v>32683</v>
      </c>
      <c r="I7669" t="s">
        <v>10627</v>
      </c>
      <c r="J7669" t="s">
        <v>37515</v>
      </c>
      <c r="K7669" t="s">
        <v>42432</v>
      </c>
      <c r="M7669" t="s">
        <v>45125</v>
      </c>
      <c r="N7669" t="s">
        <v>46569</v>
      </c>
      <c r="O7669" t="s">
        <v>46570</v>
      </c>
      <c r="P7669">
        <v>0</v>
      </c>
      <c r="Q7669">
        <v>1</v>
      </c>
      <c r="R7669" t="s">
        <v>46574</v>
      </c>
      <c r="S7669" t="s">
        <v>46723</v>
      </c>
      <c r="T7669" t="s">
        <v>48293</v>
      </c>
      <c r="U7669" t="s">
        <v>55128</v>
      </c>
      <c r="W7669" t="s">
        <v>45125</v>
      </c>
      <c r="X7669" t="s">
        <v>46576</v>
      </c>
    </row>
    <row r="7670" spans="1:24">
      <c r="A7670">
        <f>HYPERLINK("https://www.philgeps.gov.ph/GEPSNONPILOT/Tender/SplashBidNoticeAbstractUI.aspx?menuIndex=3&amp;refID=7058425&amp;Result=3","7058425")</f>
        <v>0</v>
      </c>
      <c r="B7670" t="s">
        <v>629</v>
      </c>
      <c r="C7670" t="s">
        <v>10802</v>
      </c>
      <c r="D7670" t="s">
        <v>18782</v>
      </c>
      <c r="E7670" t="s">
        <v>25618</v>
      </c>
      <c r="F7670" t="s">
        <v>32664</v>
      </c>
      <c r="G7670" t="s">
        <v>32674</v>
      </c>
      <c r="H7670" t="s">
        <v>12635</v>
      </c>
      <c r="I7670" t="s">
        <v>6118</v>
      </c>
      <c r="J7670" t="s">
        <v>37516</v>
      </c>
      <c r="K7670" t="s">
        <v>42283</v>
      </c>
      <c r="M7670" t="s">
        <v>43211</v>
      </c>
      <c r="N7670" t="s">
        <v>46569</v>
      </c>
      <c r="O7670" t="s">
        <v>46570</v>
      </c>
      <c r="P7670">
        <v>0</v>
      </c>
      <c r="Q7670">
        <v>0</v>
      </c>
      <c r="R7670" t="s">
        <v>46574</v>
      </c>
      <c r="S7670" t="s">
        <v>46723</v>
      </c>
      <c r="T7670" t="s">
        <v>48449</v>
      </c>
      <c r="U7670" t="s">
        <v>55129</v>
      </c>
      <c r="W7670" t="s">
        <v>43211</v>
      </c>
      <c r="X7670" t="s">
        <v>46576</v>
      </c>
    </row>
    <row r="7671" spans="1:24">
      <c r="A7671">
        <f>HYPERLINK("https://www.philgeps.gov.ph/GEPSNONPILOT/Tender/SplashBidNoticeAbstractUI.aspx?menuIndex=3&amp;refID=7058369&amp;Result=3","7058369")</f>
        <v>0</v>
      </c>
      <c r="B7671" t="s">
        <v>384</v>
      </c>
      <c r="C7671" t="s">
        <v>10803</v>
      </c>
      <c r="D7671" t="s">
        <v>18781</v>
      </c>
      <c r="E7671" t="s">
        <v>25619</v>
      </c>
      <c r="F7671" t="s">
        <v>32664</v>
      </c>
      <c r="G7671" t="s">
        <v>32672</v>
      </c>
      <c r="H7671" t="s">
        <v>12635</v>
      </c>
      <c r="I7671" t="s">
        <v>9486</v>
      </c>
      <c r="J7671" t="s">
        <v>37517</v>
      </c>
      <c r="K7671" t="s">
        <v>42284</v>
      </c>
      <c r="M7671" t="s">
        <v>42954</v>
      </c>
      <c r="N7671" t="s">
        <v>46569</v>
      </c>
      <c r="O7671" t="s">
        <v>46570</v>
      </c>
      <c r="P7671">
        <v>0</v>
      </c>
      <c r="Q7671">
        <v>8</v>
      </c>
      <c r="R7671" t="s">
        <v>46574</v>
      </c>
      <c r="S7671" t="s">
        <v>46723</v>
      </c>
      <c r="T7671" t="s">
        <v>48308</v>
      </c>
      <c r="U7671" t="s">
        <v>55130</v>
      </c>
      <c r="W7671" t="s">
        <v>42954</v>
      </c>
      <c r="X7671" t="s">
        <v>46576</v>
      </c>
    </row>
    <row r="7672" spans="1:24">
      <c r="A7672">
        <f>HYPERLINK("https://www.philgeps.gov.ph/GEPSNONPILOT/Tender/SplashBidNoticeAbstractUI.aspx?menuIndex=3&amp;refID=7058416&amp;Result=3","7058416")</f>
        <v>0</v>
      </c>
      <c r="B7672" t="s">
        <v>1140</v>
      </c>
      <c r="C7672" t="s">
        <v>10804</v>
      </c>
      <c r="D7672" t="s">
        <v>18805</v>
      </c>
      <c r="E7672" t="s">
        <v>24623</v>
      </c>
      <c r="F7672" t="s">
        <v>32664</v>
      </c>
      <c r="G7672" t="s">
        <v>32671</v>
      </c>
      <c r="H7672" t="s">
        <v>12635</v>
      </c>
      <c r="I7672" t="s">
        <v>4439</v>
      </c>
      <c r="J7672" t="s">
        <v>35442</v>
      </c>
      <c r="K7672" t="s">
        <v>42303</v>
      </c>
      <c r="L7672" t="s">
        <v>1140</v>
      </c>
      <c r="M7672" t="s">
        <v>43771</v>
      </c>
      <c r="N7672" t="s">
        <v>46569</v>
      </c>
      <c r="O7672" t="s">
        <v>46570</v>
      </c>
      <c r="P7672">
        <v>0</v>
      </c>
      <c r="Q7672">
        <v>1</v>
      </c>
      <c r="R7672" t="s">
        <v>46574</v>
      </c>
      <c r="S7672" t="s">
        <v>46723</v>
      </c>
      <c r="T7672" t="s">
        <v>48606</v>
      </c>
      <c r="U7672" t="s">
        <v>55131</v>
      </c>
      <c r="V7672" t="s">
        <v>62382</v>
      </c>
      <c r="W7672" t="s">
        <v>43771</v>
      </c>
      <c r="X7672" t="s">
        <v>46576</v>
      </c>
    </row>
    <row r="7673" spans="1:24">
      <c r="A7673">
        <f>HYPERLINK("https://www.philgeps.gov.ph/GEPSNONPILOT/Tender/SplashBidNoticeAbstractUI.aspx?menuIndex=3&amp;refID=7058421&amp;Result=3","7058421")</f>
        <v>0</v>
      </c>
      <c r="B7673" t="s">
        <v>2344</v>
      </c>
      <c r="C7673" t="s">
        <v>10805</v>
      </c>
      <c r="E7673" t="s">
        <v>20150</v>
      </c>
      <c r="F7673" t="s">
        <v>32664</v>
      </c>
      <c r="G7673" t="s">
        <v>32672</v>
      </c>
      <c r="H7673" t="s">
        <v>12635</v>
      </c>
      <c r="I7673" t="s">
        <v>8730</v>
      </c>
      <c r="J7673" t="s">
        <v>32898</v>
      </c>
      <c r="K7673" t="s">
        <v>42283</v>
      </c>
      <c r="M7673" t="s">
        <v>45126</v>
      </c>
      <c r="N7673" t="s">
        <v>46569</v>
      </c>
      <c r="O7673" t="s">
        <v>46570</v>
      </c>
      <c r="P7673">
        <v>0</v>
      </c>
      <c r="Q7673">
        <v>0</v>
      </c>
      <c r="R7673" t="s">
        <v>46574</v>
      </c>
      <c r="S7673" t="s">
        <v>46723</v>
      </c>
      <c r="T7673" t="s">
        <v>48219</v>
      </c>
      <c r="U7673" t="s">
        <v>55132</v>
      </c>
      <c r="W7673" t="s">
        <v>45126</v>
      </c>
      <c r="X7673" t="s">
        <v>46576</v>
      </c>
    </row>
    <row r="7674" spans="1:24">
      <c r="A7674">
        <f>HYPERLINK("https://www.philgeps.gov.ph/GEPSNONPILOT/Tender/SplashBidNoticeAbstractUI.aspx?menuIndex=3&amp;refID=7058443&amp;Result=3","7058443")</f>
        <v>0</v>
      </c>
      <c r="B7674" t="s">
        <v>2338</v>
      </c>
      <c r="C7674" t="s">
        <v>10806</v>
      </c>
      <c r="E7674" t="s">
        <v>20077</v>
      </c>
      <c r="F7674" t="s">
        <v>32664</v>
      </c>
      <c r="G7674" t="s">
        <v>32672</v>
      </c>
      <c r="H7674" t="s">
        <v>32683</v>
      </c>
      <c r="I7674" t="s">
        <v>10627</v>
      </c>
      <c r="J7674" t="s">
        <v>37518</v>
      </c>
      <c r="K7674" t="s">
        <v>42283</v>
      </c>
      <c r="M7674" t="s">
        <v>45118</v>
      </c>
      <c r="N7674" t="s">
        <v>46569</v>
      </c>
      <c r="O7674" t="s">
        <v>46570</v>
      </c>
      <c r="P7674">
        <v>0</v>
      </c>
      <c r="Q7674">
        <v>0</v>
      </c>
      <c r="R7674" t="s">
        <v>46574</v>
      </c>
      <c r="S7674" t="s">
        <v>46723</v>
      </c>
      <c r="T7674" t="s">
        <v>48246</v>
      </c>
      <c r="U7674" t="s">
        <v>55133</v>
      </c>
      <c r="W7674" t="s">
        <v>45118</v>
      </c>
      <c r="X7674" t="s">
        <v>46576</v>
      </c>
    </row>
    <row r="7675" spans="1:24">
      <c r="A7675">
        <f>HYPERLINK("https://www.philgeps.gov.ph/GEPSNONPILOT/Tender/SplashBidNoticeAbstractUI.aspx?menuIndex=3&amp;refID=7058315&amp;Result=3","7058315")</f>
        <v>0</v>
      </c>
      <c r="B7675" t="s">
        <v>815</v>
      </c>
      <c r="C7675" t="s">
        <v>10807</v>
      </c>
      <c r="D7675" t="s">
        <v>18794</v>
      </c>
      <c r="E7675" t="s">
        <v>25620</v>
      </c>
      <c r="F7675" t="s">
        <v>32664</v>
      </c>
      <c r="G7675" t="s">
        <v>32672</v>
      </c>
      <c r="H7675" t="s">
        <v>12635</v>
      </c>
      <c r="I7675" t="s">
        <v>32784</v>
      </c>
      <c r="J7675" t="s">
        <v>37519</v>
      </c>
      <c r="K7675" t="s">
        <v>42289</v>
      </c>
      <c r="M7675" t="s">
        <v>43409</v>
      </c>
      <c r="N7675" t="s">
        <v>46569</v>
      </c>
      <c r="O7675" t="s">
        <v>46570</v>
      </c>
      <c r="P7675">
        <v>0</v>
      </c>
      <c r="Q7675">
        <v>5</v>
      </c>
      <c r="R7675" t="s">
        <v>46574</v>
      </c>
      <c r="S7675" t="s">
        <v>46723</v>
      </c>
      <c r="T7675" t="s">
        <v>48377</v>
      </c>
      <c r="U7675" t="s">
        <v>55134</v>
      </c>
      <c r="V7675" t="s">
        <v>62377</v>
      </c>
      <c r="W7675" t="s">
        <v>43409</v>
      </c>
      <c r="X7675" t="s">
        <v>46576</v>
      </c>
    </row>
    <row r="7676" spans="1:24">
      <c r="A7676">
        <f>HYPERLINK("https://www.philgeps.gov.ph/GEPSNONPILOT/Tender/SplashBidNoticeAbstractUI.aspx?menuIndex=3&amp;refID=7058313&amp;Result=3","7058313")</f>
        <v>0</v>
      </c>
      <c r="B7676" t="s">
        <v>384</v>
      </c>
      <c r="C7676" t="s">
        <v>10808</v>
      </c>
      <c r="D7676" t="s">
        <v>18781</v>
      </c>
      <c r="E7676" t="s">
        <v>25621</v>
      </c>
      <c r="F7676" t="s">
        <v>32664</v>
      </c>
      <c r="G7676" t="s">
        <v>32672</v>
      </c>
      <c r="H7676" t="s">
        <v>32683</v>
      </c>
      <c r="I7676" t="s">
        <v>10627</v>
      </c>
      <c r="J7676" t="s">
        <v>37520</v>
      </c>
      <c r="K7676" t="s">
        <v>42298</v>
      </c>
      <c r="M7676" t="s">
        <v>42954</v>
      </c>
      <c r="N7676" t="s">
        <v>46569</v>
      </c>
      <c r="O7676" t="s">
        <v>46570</v>
      </c>
      <c r="P7676">
        <v>0</v>
      </c>
      <c r="Q7676">
        <v>1</v>
      </c>
      <c r="R7676" t="s">
        <v>46574</v>
      </c>
      <c r="S7676" t="s">
        <v>46723</v>
      </c>
      <c r="T7676" t="s">
        <v>48221</v>
      </c>
      <c r="U7676" t="s">
        <v>55135</v>
      </c>
      <c r="W7676" t="s">
        <v>42954</v>
      </c>
      <c r="X7676" t="s">
        <v>46576</v>
      </c>
    </row>
    <row r="7677" spans="1:24">
      <c r="A7677">
        <f>HYPERLINK("https://www.philgeps.gov.ph/GEPSNONPILOT/Tender/SplashBidNoticeAbstractUI.aspx?menuIndex=3&amp;refID=7058415&amp;Result=3","7058415")</f>
        <v>0</v>
      </c>
      <c r="B7677" t="s">
        <v>844</v>
      </c>
      <c r="C7677" t="s">
        <v>10809</v>
      </c>
      <c r="D7677" t="s">
        <v>18805</v>
      </c>
      <c r="E7677" t="s">
        <v>25622</v>
      </c>
      <c r="F7677" t="s">
        <v>32664</v>
      </c>
      <c r="G7677" t="s">
        <v>32671</v>
      </c>
      <c r="H7677" t="s">
        <v>12635</v>
      </c>
      <c r="I7677" t="s">
        <v>32752</v>
      </c>
      <c r="J7677" t="s">
        <v>34895</v>
      </c>
      <c r="K7677" t="s">
        <v>42306</v>
      </c>
      <c r="M7677" t="s">
        <v>43439</v>
      </c>
      <c r="N7677" t="s">
        <v>46569</v>
      </c>
      <c r="O7677" t="s">
        <v>46570</v>
      </c>
      <c r="P7677">
        <v>0</v>
      </c>
      <c r="Q7677">
        <v>0</v>
      </c>
      <c r="R7677" t="s">
        <v>46574</v>
      </c>
      <c r="S7677" t="s">
        <v>46723</v>
      </c>
      <c r="T7677" t="s">
        <v>48292</v>
      </c>
      <c r="U7677" t="s">
        <v>55136</v>
      </c>
      <c r="W7677" t="s">
        <v>43439</v>
      </c>
      <c r="X7677" t="s">
        <v>46576</v>
      </c>
    </row>
    <row r="7678" spans="1:24">
      <c r="A7678">
        <f>HYPERLINK("https://www.philgeps.gov.ph/GEPSNONPILOT/Tender/SplashBidNoticeAbstractUI.aspx?menuIndex=3&amp;refID=7058319&amp;Result=3","7058319")</f>
        <v>0</v>
      </c>
      <c r="B7678" t="s">
        <v>2072</v>
      </c>
      <c r="C7678" t="s">
        <v>10810</v>
      </c>
      <c r="D7678" t="s">
        <v>18805</v>
      </c>
      <c r="E7678" t="s">
        <v>25623</v>
      </c>
      <c r="F7678" t="s">
        <v>32664</v>
      </c>
      <c r="G7678" t="s">
        <v>32671</v>
      </c>
      <c r="H7678" t="s">
        <v>12635</v>
      </c>
      <c r="I7678" t="s">
        <v>5589</v>
      </c>
      <c r="J7678" t="s">
        <v>37521</v>
      </c>
      <c r="K7678" t="s">
        <v>42284</v>
      </c>
      <c r="M7678" t="s">
        <v>44823</v>
      </c>
      <c r="N7678" t="s">
        <v>46569</v>
      </c>
      <c r="O7678" t="s">
        <v>46570</v>
      </c>
      <c r="P7678">
        <v>0</v>
      </c>
      <c r="Q7678">
        <v>3</v>
      </c>
      <c r="R7678" t="s">
        <v>46574</v>
      </c>
      <c r="S7678" t="s">
        <v>46723</v>
      </c>
      <c r="T7678" t="s">
        <v>48448</v>
      </c>
      <c r="U7678" t="s">
        <v>55137</v>
      </c>
      <c r="W7678" t="s">
        <v>44823</v>
      </c>
      <c r="X7678" t="s">
        <v>46576</v>
      </c>
    </row>
    <row r="7679" spans="1:24">
      <c r="A7679">
        <f>HYPERLINK("https://www.philgeps.gov.ph/GEPSNONPILOT/Tender/SplashBidNoticeAbstractUI.aspx?menuIndex=3&amp;refID=7058323&amp;Result=3","7058323")</f>
        <v>0</v>
      </c>
      <c r="B7679" t="s">
        <v>1770</v>
      </c>
      <c r="C7679" t="s">
        <v>10811</v>
      </c>
      <c r="D7679" t="s">
        <v>18848</v>
      </c>
      <c r="E7679" t="s">
        <v>25624</v>
      </c>
      <c r="F7679" t="s">
        <v>32664</v>
      </c>
      <c r="G7679" t="s">
        <v>32672</v>
      </c>
      <c r="H7679" t="s">
        <v>12635</v>
      </c>
      <c r="I7679" t="s">
        <v>4439</v>
      </c>
      <c r="J7679" t="s">
        <v>37522</v>
      </c>
      <c r="K7679" t="s">
        <v>42303</v>
      </c>
      <c r="M7679" t="s">
        <v>44472</v>
      </c>
      <c r="N7679" t="s">
        <v>46569</v>
      </c>
      <c r="O7679" t="s">
        <v>46570</v>
      </c>
      <c r="P7679">
        <v>0</v>
      </c>
      <c r="Q7679">
        <v>1</v>
      </c>
      <c r="R7679" t="s">
        <v>46574</v>
      </c>
      <c r="S7679" t="s">
        <v>46723</v>
      </c>
      <c r="T7679" t="s">
        <v>48311</v>
      </c>
      <c r="U7679" t="s">
        <v>55138</v>
      </c>
      <c r="W7679" t="s">
        <v>63533</v>
      </c>
      <c r="X7679" t="s">
        <v>46576</v>
      </c>
    </row>
    <row r="7680" spans="1:24">
      <c r="A7680">
        <f>HYPERLINK("https://www.philgeps.gov.ph/GEPSNONPILOT/Tender/SplashBidNoticeAbstractUI.aspx?menuIndex=3&amp;refID=7058309&amp;Result=3","7058309")</f>
        <v>0</v>
      </c>
      <c r="B7680" t="s">
        <v>1770</v>
      </c>
      <c r="C7680" t="s">
        <v>10812</v>
      </c>
      <c r="D7680" t="s">
        <v>18848</v>
      </c>
      <c r="E7680" t="s">
        <v>25625</v>
      </c>
      <c r="F7680" t="s">
        <v>32664</v>
      </c>
      <c r="G7680" t="s">
        <v>32672</v>
      </c>
      <c r="H7680" t="s">
        <v>12635</v>
      </c>
      <c r="I7680" t="s">
        <v>32730</v>
      </c>
      <c r="J7680" t="s">
        <v>37523</v>
      </c>
      <c r="K7680" t="s">
        <v>42453</v>
      </c>
      <c r="M7680" t="s">
        <v>44472</v>
      </c>
      <c r="N7680" t="s">
        <v>46569</v>
      </c>
      <c r="O7680" t="s">
        <v>46570</v>
      </c>
      <c r="P7680">
        <v>0</v>
      </c>
      <c r="Q7680">
        <v>2</v>
      </c>
      <c r="R7680" t="s">
        <v>46574</v>
      </c>
      <c r="S7680" t="s">
        <v>46723</v>
      </c>
      <c r="T7680" t="s">
        <v>48311</v>
      </c>
      <c r="U7680" t="s">
        <v>55139</v>
      </c>
      <c r="W7680" t="s">
        <v>63533</v>
      </c>
      <c r="X7680" t="s">
        <v>46576</v>
      </c>
    </row>
    <row r="7681" spans="1:24">
      <c r="A7681">
        <f>HYPERLINK("https://www.philgeps.gov.ph/GEPSNONPILOT/Tender/SplashBidNoticeAbstractUI.aspx?menuIndex=3&amp;refID=7057513&amp;Result=3","7057513")</f>
        <v>0</v>
      </c>
      <c r="B7681" t="s">
        <v>1612</v>
      </c>
      <c r="C7681" t="s">
        <v>10813</v>
      </c>
      <c r="D7681" t="s">
        <v>18821</v>
      </c>
      <c r="E7681" t="s">
        <v>25626</v>
      </c>
      <c r="F7681" t="s">
        <v>32664</v>
      </c>
      <c r="G7681" t="s">
        <v>32672</v>
      </c>
      <c r="H7681" t="s">
        <v>32683</v>
      </c>
      <c r="I7681" t="s">
        <v>10627</v>
      </c>
      <c r="J7681" t="s">
        <v>37524</v>
      </c>
      <c r="K7681" t="s">
        <v>42340</v>
      </c>
      <c r="M7681" t="s">
        <v>45072</v>
      </c>
      <c r="N7681" t="s">
        <v>46569</v>
      </c>
      <c r="O7681" t="s">
        <v>46570</v>
      </c>
      <c r="P7681">
        <v>0</v>
      </c>
      <c r="Q7681">
        <v>28</v>
      </c>
      <c r="R7681" t="s">
        <v>46574</v>
      </c>
      <c r="S7681" t="s">
        <v>46723</v>
      </c>
      <c r="T7681" t="s">
        <v>48385</v>
      </c>
      <c r="U7681" t="s">
        <v>55140</v>
      </c>
      <c r="W7681" t="s">
        <v>45072</v>
      </c>
      <c r="X7681" t="s">
        <v>46577</v>
      </c>
    </row>
    <row r="7682" spans="1:24">
      <c r="A7682">
        <f>HYPERLINK("https://www.philgeps.gov.ph/GEPSNONPILOT/Tender/SplashBidNoticeAbstractUI.aspx?menuIndex=3&amp;refID=7058428&amp;Result=3","7058428")</f>
        <v>0</v>
      </c>
      <c r="B7682" t="s">
        <v>2345</v>
      </c>
      <c r="C7682" t="s">
        <v>10814</v>
      </c>
      <c r="D7682" t="s">
        <v>18849</v>
      </c>
      <c r="E7682" t="s">
        <v>10814</v>
      </c>
      <c r="F7682" t="s">
        <v>32664</v>
      </c>
      <c r="G7682" t="s">
        <v>32671</v>
      </c>
      <c r="H7682" t="s">
        <v>12635</v>
      </c>
      <c r="I7682" t="s">
        <v>10590</v>
      </c>
      <c r="J7682" t="s">
        <v>37525</v>
      </c>
      <c r="K7682" t="s">
        <v>42289</v>
      </c>
      <c r="L7682" t="s">
        <v>2345</v>
      </c>
      <c r="M7682" t="s">
        <v>45127</v>
      </c>
      <c r="N7682" t="s">
        <v>46569</v>
      </c>
      <c r="O7682" t="s">
        <v>46570</v>
      </c>
      <c r="P7682">
        <v>0</v>
      </c>
      <c r="Q7682">
        <v>0</v>
      </c>
      <c r="R7682" t="s">
        <v>46574</v>
      </c>
      <c r="S7682" t="s">
        <v>46723</v>
      </c>
      <c r="T7682" t="s">
        <v>48254</v>
      </c>
      <c r="U7682" t="s">
        <v>55141</v>
      </c>
      <c r="W7682" t="s">
        <v>45127</v>
      </c>
      <c r="X7682" t="s">
        <v>46576</v>
      </c>
    </row>
    <row r="7683" spans="1:24">
      <c r="A7683">
        <f>HYPERLINK("https://www.philgeps.gov.ph/GEPSNONPILOT/Tender/SplashBidNoticeAbstractUI.aspx?menuIndex=3&amp;refID=7057429&amp;Result=3","7057429")</f>
        <v>0</v>
      </c>
      <c r="B7683" t="s">
        <v>1540</v>
      </c>
      <c r="C7683" t="s">
        <v>10815</v>
      </c>
      <c r="D7683" t="s">
        <v>18838</v>
      </c>
      <c r="E7683" t="s">
        <v>25627</v>
      </c>
      <c r="F7683" t="s">
        <v>32664</v>
      </c>
      <c r="G7683" t="s">
        <v>32671</v>
      </c>
      <c r="H7683" t="s">
        <v>12635</v>
      </c>
      <c r="I7683" t="s">
        <v>5589</v>
      </c>
      <c r="J7683" t="s">
        <v>33069</v>
      </c>
      <c r="K7683" t="s">
        <v>42283</v>
      </c>
      <c r="M7683" t="s">
        <v>44209</v>
      </c>
      <c r="N7683" t="s">
        <v>46569</v>
      </c>
      <c r="O7683" t="s">
        <v>46570</v>
      </c>
      <c r="P7683">
        <v>0</v>
      </c>
      <c r="Q7683">
        <v>1</v>
      </c>
      <c r="R7683" t="s">
        <v>46574</v>
      </c>
      <c r="S7683" t="s">
        <v>46723</v>
      </c>
      <c r="T7683" t="s">
        <v>48256</v>
      </c>
      <c r="U7683" t="s">
        <v>55142</v>
      </c>
      <c r="W7683" t="s">
        <v>44209</v>
      </c>
      <c r="X7683" t="s">
        <v>46577</v>
      </c>
    </row>
    <row r="7684" spans="1:24">
      <c r="A7684">
        <f>HYPERLINK("https://www.philgeps.gov.ph/GEPSNONPILOT/Tender/SplashBidNoticeAbstractUI.aspx?menuIndex=3&amp;refID=7058549&amp;Result=3","7058549")</f>
        <v>0</v>
      </c>
      <c r="B7684" t="s">
        <v>1306</v>
      </c>
      <c r="C7684" t="s">
        <v>10816</v>
      </c>
      <c r="D7684" t="s">
        <v>18804</v>
      </c>
      <c r="E7684" t="s">
        <v>25628</v>
      </c>
      <c r="F7684" t="s">
        <v>32664</v>
      </c>
      <c r="G7684" t="s">
        <v>32672</v>
      </c>
      <c r="H7684" t="s">
        <v>32683</v>
      </c>
      <c r="I7684" t="s">
        <v>10627</v>
      </c>
      <c r="J7684" t="s">
        <v>37526</v>
      </c>
      <c r="K7684" t="s">
        <v>42468</v>
      </c>
      <c r="M7684" t="s">
        <v>43951</v>
      </c>
      <c r="N7684" t="s">
        <v>46569</v>
      </c>
      <c r="O7684" t="s">
        <v>46570</v>
      </c>
      <c r="P7684">
        <v>0</v>
      </c>
      <c r="Q7684">
        <v>0</v>
      </c>
      <c r="R7684" t="s">
        <v>46574</v>
      </c>
      <c r="S7684" t="s">
        <v>46723</v>
      </c>
      <c r="T7684" t="s">
        <v>48385</v>
      </c>
      <c r="U7684" t="s">
        <v>55143</v>
      </c>
      <c r="W7684" t="s">
        <v>43951</v>
      </c>
      <c r="X7684" t="s">
        <v>46575</v>
      </c>
    </row>
    <row r="7685" spans="1:24">
      <c r="A7685">
        <f>HYPERLINK("https://www.philgeps.gov.ph/GEPSNONPILOT/Tender/SplashBidNoticeAbstractUI.aspx?menuIndex=3&amp;refID=7058307&amp;Result=3","7058307")</f>
        <v>0</v>
      </c>
      <c r="B7685" t="s">
        <v>1770</v>
      </c>
      <c r="C7685" t="s">
        <v>10817</v>
      </c>
      <c r="D7685" t="s">
        <v>18848</v>
      </c>
      <c r="E7685" t="s">
        <v>25629</v>
      </c>
      <c r="F7685" t="s">
        <v>32664</v>
      </c>
      <c r="G7685" t="s">
        <v>32672</v>
      </c>
      <c r="H7685" t="s">
        <v>12635</v>
      </c>
      <c r="I7685" t="s">
        <v>8958</v>
      </c>
      <c r="J7685" t="s">
        <v>34494</v>
      </c>
      <c r="K7685" t="s">
        <v>42297</v>
      </c>
      <c r="M7685" t="s">
        <v>44472</v>
      </c>
      <c r="N7685" t="s">
        <v>46569</v>
      </c>
      <c r="O7685" t="s">
        <v>46570</v>
      </c>
      <c r="P7685">
        <v>0</v>
      </c>
      <c r="Q7685">
        <v>1</v>
      </c>
      <c r="R7685" t="s">
        <v>46574</v>
      </c>
      <c r="S7685" t="s">
        <v>46723</v>
      </c>
      <c r="T7685" t="s">
        <v>48311</v>
      </c>
      <c r="U7685" t="s">
        <v>55144</v>
      </c>
      <c r="W7685" t="s">
        <v>63533</v>
      </c>
      <c r="X7685" t="s">
        <v>46576</v>
      </c>
    </row>
    <row r="7686" spans="1:24">
      <c r="A7686">
        <f>HYPERLINK("https://www.philgeps.gov.ph/GEPSNONPILOT/Tender/SplashBidNoticeAbstractUI.aspx?menuIndex=3&amp;refID=7058547&amp;Result=3","7058547")</f>
        <v>0</v>
      </c>
      <c r="B7686" t="s">
        <v>2346</v>
      </c>
      <c r="C7686" t="s">
        <v>10818</v>
      </c>
      <c r="D7686" t="s">
        <v>18846</v>
      </c>
      <c r="E7686" t="s">
        <v>25630</v>
      </c>
      <c r="F7686" t="s">
        <v>32664</v>
      </c>
      <c r="G7686" t="s">
        <v>32677</v>
      </c>
      <c r="H7686" t="s">
        <v>12635</v>
      </c>
      <c r="I7686" t="s">
        <v>32699</v>
      </c>
      <c r="J7686" t="s">
        <v>36090</v>
      </c>
      <c r="K7686" t="s">
        <v>42281</v>
      </c>
      <c r="M7686" t="s">
        <v>45128</v>
      </c>
      <c r="N7686" t="s">
        <v>46569</v>
      </c>
      <c r="O7686" t="s">
        <v>46570</v>
      </c>
      <c r="P7686">
        <v>0</v>
      </c>
      <c r="Q7686">
        <v>1</v>
      </c>
      <c r="R7686" t="s">
        <v>46574</v>
      </c>
      <c r="S7686" t="s">
        <v>46723</v>
      </c>
      <c r="T7686" t="s">
        <v>48246</v>
      </c>
      <c r="U7686" t="s">
        <v>55145</v>
      </c>
      <c r="W7686" t="s">
        <v>45128</v>
      </c>
      <c r="X7686" t="s">
        <v>46575</v>
      </c>
    </row>
    <row r="7687" spans="1:24">
      <c r="A7687">
        <f>HYPERLINK("https://www.philgeps.gov.ph/GEPSNONPILOT/Tender/SplashBidNoticeAbstractUI.aspx?menuIndex=3&amp;refID=7058546&amp;Result=3","7058546")</f>
        <v>0</v>
      </c>
      <c r="B7687" t="s">
        <v>160</v>
      </c>
      <c r="C7687" t="s">
        <v>10819</v>
      </c>
      <c r="D7687" t="s">
        <v>18806</v>
      </c>
      <c r="E7687" t="s">
        <v>25631</v>
      </c>
      <c r="F7687" t="s">
        <v>32664</v>
      </c>
      <c r="G7687" t="s">
        <v>32671</v>
      </c>
      <c r="H7687" t="s">
        <v>12635</v>
      </c>
      <c r="I7687" t="s">
        <v>32706</v>
      </c>
      <c r="J7687" t="s">
        <v>34156</v>
      </c>
      <c r="K7687" t="s">
        <v>42289</v>
      </c>
      <c r="M7687" t="s">
        <v>42724</v>
      </c>
      <c r="N7687" t="s">
        <v>46569</v>
      </c>
      <c r="O7687" t="s">
        <v>46570</v>
      </c>
      <c r="P7687">
        <v>0</v>
      </c>
      <c r="Q7687">
        <v>0</v>
      </c>
      <c r="R7687" t="s">
        <v>46574</v>
      </c>
      <c r="S7687" t="s">
        <v>46723</v>
      </c>
      <c r="T7687" t="s">
        <v>48448</v>
      </c>
      <c r="U7687" t="s">
        <v>55146</v>
      </c>
      <c r="W7687" t="s">
        <v>42724</v>
      </c>
      <c r="X7687" t="s">
        <v>46575</v>
      </c>
    </row>
    <row r="7688" spans="1:24">
      <c r="A7688">
        <f>HYPERLINK("https://www.philgeps.gov.ph/GEPSNONPILOT/Tender/SplashBidNoticeAbstractUI.aspx?menuIndex=3&amp;refID=7058538&amp;Result=3","7058538")</f>
        <v>0</v>
      </c>
      <c r="B7688" t="s">
        <v>2347</v>
      </c>
      <c r="C7688" t="s">
        <v>10820</v>
      </c>
      <c r="E7688" t="s">
        <v>25632</v>
      </c>
      <c r="F7688" t="s">
        <v>32664</v>
      </c>
      <c r="G7688" t="s">
        <v>32672</v>
      </c>
      <c r="H7688" t="s">
        <v>12635</v>
      </c>
      <c r="I7688" t="s">
        <v>4439</v>
      </c>
      <c r="J7688" t="s">
        <v>37527</v>
      </c>
      <c r="K7688" t="s">
        <v>42297</v>
      </c>
      <c r="M7688" t="s">
        <v>45129</v>
      </c>
      <c r="N7688" t="s">
        <v>46569</v>
      </c>
      <c r="O7688" t="s">
        <v>46570</v>
      </c>
      <c r="P7688">
        <v>0</v>
      </c>
      <c r="Q7688">
        <v>0</v>
      </c>
      <c r="R7688" t="s">
        <v>46574</v>
      </c>
      <c r="S7688" t="s">
        <v>46723</v>
      </c>
      <c r="T7688" t="s">
        <v>48283</v>
      </c>
      <c r="U7688" t="s">
        <v>55147</v>
      </c>
      <c r="W7688" t="s">
        <v>45129</v>
      </c>
      <c r="X7688" t="s">
        <v>46575</v>
      </c>
    </row>
    <row r="7689" spans="1:24">
      <c r="A7689">
        <f>HYPERLINK("https://www.philgeps.gov.ph/GEPSNONPILOT/Tender/SplashBidNoticeAbstractUI.aspx?menuIndex=3&amp;refID=7058544&amp;Result=3","7058544")</f>
        <v>0</v>
      </c>
      <c r="B7689" t="s">
        <v>2348</v>
      </c>
      <c r="C7689" t="s">
        <v>10712</v>
      </c>
      <c r="D7689" t="s">
        <v>18788</v>
      </c>
      <c r="E7689" t="s">
        <v>25633</v>
      </c>
      <c r="F7689" t="s">
        <v>32664</v>
      </c>
      <c r="G7689" t="s">
        <v>32672</v>
      </c>
      <c r="H7689" t="s">
        <v>12635</v>
      </c>
      <c r="I7689" t="s">
        <v>5589</v>
      </c>
      <c r="J7689" t="s">
        <v>33387</v>
      </c>
      <c r="K7689" t="s">
        <v>42289</v>
      </c>
      <c r="M7689" t="s">
        <v>45130</v>
      </c>
      <c r="N7689" t="s">
        <v>46569</v>
      </c>
      <c r="O7689" t="s">
        <v>46570</v>
      </c>
      <c r="P7689">
        <v>0</v>
      </c>
      <c r="Q7689">
        <v>1</v>
      </c>
      <c r="R7689" t="s">
        <v>46574</v>
      </c>
      <c r="S7689" t="s">
        <v>46723</v>
      </c>
      <c r="T7689" t="s">
        <v>48293</v>
      </c>
      <c r="U7689" t="s">
        <v>55148</v>
      </c>
      <c r="W7689" t="s">
        <v>45130</v>
      </c>
      <c r="X7689" t="s">
        <v>46575</v>
      </c>
    </row>
    <row r="7690" spans="1:24">
      <c r="A7690">
        <f>HYPERLINK("https://www.philgeps.gov.ph/GEPSNONPILOT/Tender/SplashBidNoticeAbstractUI.aspx?menuIndex=3&amp;refID=7058536&amp;Result=3","7058536")</f>
        <v>0</v>
      </c>
      <c r="B7690" t="s">
        <v>878</v>
      </c>
      <c r="C7690" t="s">
        <v>10821</v>
      </c>
      <c r="D7690" t="s">
        <v>18784</v>
      </c>
      <c r="E7690" t="s">
        <v>25634</v>
      </c>
      <c r="F7690" t="s">
        <v>32664</v>
      </c>
      <c r="G7690" t="s">
        <v>32672</v>
      </c>
      <c r="H7690" t="s">
        <v>12635</v>
      </c>
      <c r="I7690" t="s">
        <v>10370</v>
      </c>
      <c r="J7690" t="s">
        <v>37528</v>
      </c>
      <c r="K7690" t="s">
        <v>42305</v>
      </c>
      <c r="M7690" t="s">
        <v>45131</v>
      </c>
      <c r="N7690" t="s">
        <v>46569</v>
      </c>
      <c r="O7690" t="s">
        <v>46570</v>
      </c>
      <c r="P7690">
        <v>0</v>
      </c>
      <c r="Q7690">
        <v>15</v>
      </c>
      <c r="R7690" t="s">
        <v>46574</v>
      </c>
      <c r="S7690" t="s">
        <v>46723</v>
      </c>
      <c r="T7690" t="s">
        <v>48604</v>
      </c>
      <c r="U7690" t="s">
        <v>55149</v>
      </c>
      <c r="W7690" t="s">
        <v>45131</v>
      </c>
      <c r="X7690" t="s">
        <v>46575</v>
      </c>
    </row>
    <row r="7691" spans="1:24">
      <c r="A7691">
        <f>HYPERLINK("https://www.philgeps.gov.ph/GEPSNONPILOT/Tender/SplashBidNoticeAbstractUI.aspx?menuIndex=3&amp;refID=7058412&amp;Result=3","7058412")</f>
        <v>0</v>
      </c>
      <c r="B7691" t="s">
        <v>1140</v>
      </c>
      <c r="C7691" t="s">
        <v>10822</v>
      </c>
      <c r="D7691" t="s">
        <v>18805</v>
      </c>
      <c r="E7691" t="s">
        <v>10822</v>
      </c>
      <c r="F7691" t="s">
        <v>32664</v>
      </c>
      <c r="G7691" t="s">
        <v>32671</v>
      </c>
      <c r="H7691" t="s">
        <v>12635</v>
      </c>
      <c r="I7691" t="s">
        <v>6223</v>
      </c>
      <c r="J7691" t="s">
        <v>37529</v>
      </c>
      <c r="K7691" t="s">
        <v>42303</v>
      </c>
      <c r="L7691" t="s">
        <v>1140</v>
      </c>
      <c r="M7691" t="s">
        <v>43771</v>
      </c>
      <c r="N7691" t="s">
        <v>46569</v>
      </c>
      <c r="O7691" t="s">
        <v>46570</v>
      </c>
      <c r="P7691">
        <v>0</v>
      </c>
      <c r="Q7691">
        <v>2</v>
      </c>
      <c r="R7691" t="s">
        <v>46574</v>
      </c>
      <c r="S7691" t="s">
        <v>46723</v>
      </c>
      <c r="T7691" t="s">
        <v>48606</v>
      </c>
      <c r="U7691" t="s">
        <v>55150</v>
      </c>
      <c r="V7691" t="s">
        <v>62383</v>
      </c>
      <c r="W7691" t="s">
        <v>43771</v>
      </c>
      <c r="X7691" t="s">
        <v>46576</v>
      </c>
    </row>
    <row r="7692" spans="1:24">
      <c r="A7692">
        <f>HYPERLINK("https://www.philgeps.gov.ph/GEPSNONPILOT/Tender/SplashBidNoticeAbstractUI.aspx?menuIndex=3&amp;refID=7058534&amp;Result=3","7058534")</f>
        <v>0</v>
      </c>
      <c r="B7692" t="s">
        <v>2349</v>
      </c>
      <c r="C7692" t="s">
        <v>10823</v>
      </c>
      <c r="D7692" t="s">
        <v>18784</v>
      </c>
      <c r="E7692" t="s">
        <v>25635</v>
      </c>
      <c r="F7692" t="s">
        <v>32664</v>
      </c>
      <c r="G7692" t="s">
        <v>32671</v>
      </c>
      <c r="H7692" t="s">
        <v>12635</v>
      </c>
      <c r="I7692" t="s">
        <v>5589</v>
      </c>
      <c r="J7692" t="s">
        <v>33177</v>
      </c>
      <c r="K7692" t="s">
        <v>42298</v>
      </c>
      <c r="M7692" t="s">
        <v>45132</v>
      </c>
      <c r="N7692" t="s">
        <v>46569</v>
      </c>
      <c r="O7692" t="s">
        <v>46570</v>
      </c>
      <c r="P7692">
        <v>0</v>
      </c>
      <c r="Q7692">
        <v>26</v>
      </c>
      <c r="R7692" t="s">
        <v>46574</v>
      </c>
      <c r="S7692" t="s">
        <v>46723</v>
      </c>
      <c r="T7692" t="s">
        <v>48256</v>
      </c>
      <c r="U7692" t="s">
        <v>55151</v>
      </c>
      <c r="W7692" t="s">
        <v>45132</v>
      </c>
      <c r="X7692" t="s">
        <v>46575</v>
      </c>
    </row>
    <row r="7693" spans="1:24">
      <c r="A7693">
        <f>HYPERLINK("https://www.philgeps.gov.ph/GEPSNONPILOT/Tender/SplashBidNoticeAbstractUI.aspx?menuIndex=3&amp;refID=7058532&amp;Result=3","7058532")</f>
        <v>0</v>
      </c>
      <c r="B7693" t="s">
        <v>2347</v>
      </c>
      <c r="C7693" t="s">
        <v>10824</v>
      </c>
      <c r="E7693" t="s">
        <v>25636</v>
      </c>
      <c r="F7693" t="s">
        <v>32664</v>
      </c>
      <c r="G7693" t="s">
        <v>32672</v>
      </c>
      <c r="H7693" t="s">
        <v>12635</v>
      </c>
      <c r="I7693" t="s">
        <v>32710</v>
      </c>
      <c r="J7693" t="s">
        <v>37530</v>
      </c>
      <c r="K7693" t="s">
        <v>42297</v>
      </c>
      <c r="M7693" t="s">
        <v>45129</v>
      </c>
      <c r="N7693" t="s">
        <v>46569</v>
      </c>
      <c r="O7693" t="s">
        <v>46570</v>
      </c>
      <c r="P7693">
        <v>0</v>
      </c>
      <c r="Q7693">
        <v>1</v>
      </c>
      <c r="R7693" t="s">
        <v>46574</v>
      </c>
      <c r="S7693" t="s">
        <v>46723</v>
      </c>
      <c r="T7693" t="s">
        <v>48283</v>
      </c>
      <c r="U7693" t="s">
        <v>55152</v>
      </c>
      <c r="W7693" t="s">
        <v>45129</v>
      </c>
      <c r="X7693" t="s">
        <v>46575</v>
      </c>
    </row>
    <row r="7694" spans="1:24">
      <c r="A7694">
        <f>HYPERLINK("https://www.philgeps.gov.ph/GEPSNONPILOT/Tender/SplashBidNoticeAbstractUI.aspx?menuIndex=3&amp;refID=7058533&amp;Result=3","7058533")</f>
        <v>0</v>
      </c>
      <c r="B7694" t="s">
        <v>2347</v>
      </c>
      <c r="C7694" t="s">
        <v>10825</v>
      </c>
      <c r="E7694" t="s">
        <v>25637</v>
      </c>
      <c r="F7694" t="s">
        <v>32664</v>
      </c>
      <c r="G7694" t="s">
        <v>32672</v>
      </c>
      <c r="H7694" t="s">
        <v>12635</v>
      </c>
      <c r="I7694" t="s">
        <v>9486</v>
      </c>
      <c r="J7694" t="s">
        <v>37531</v>
      </c>
      <c r="K7694" t="s">
        <v>42297</v>
      </c>
      <c r="M7694" t="s">
        <v>45129</v>
      </c>
      <c r="N7694" t="s">
        <v>46569</v>
      </c>
      <c r="O7694" t="s">
        <v>46570</v>
      </c>
      <c r="P7694">
        <v>0</v>
      </c>
      <c r="Q7694">
        <v>4</v>
      </c>
      <c r="R7694" t="s">
        <v>46574</v>
      </c>
      <c r="S7694" t="s">
        <v>46723</v>
      </c>
      <c r="T7694" t="s">
        <v>48283</v>
      </c>
      <c r="U7694" t="s">
        <v>55153</v>
      </c>
      <c r="W7694" t="s">
        <v>45129</v>
      </c>
      <c r="X7694" t="s">
        <v>46575</v>
      </c>
    </row>
    <row r="7695" spans="1:24">
      <c r="A7695">
        <f>HYPERLINK("https://www.philgeps.gov.ph/GEPSNONPILOT/Tender/SplashBidNoticeAbstractUI.aspx?menuIndex=3&amp;refID=7058531&amp;Result=3","7058531")</f>
        <v>0</v>
      </c>
      <c r="B7695" t="s">
        <v>2347</v>
      </c>
      <c r="C7695" t="s">
        <v>10826</v>
      </c>
      <c r="E7695" t="s">
        <v>25638</v>
      </c>
      <c r="F7695" t="s">
        <v>32664</v>
      </c>
      <c r="G7695" t="s">
        <v>32672</v>
      </c>
      <c r="H7695" t="s">
        <v>12635</v>
      </c>
      <c r="I7695" t="s">
        <v>32689</v>
      </c>
      <c r="J7695" t="s">
        <v>37532</v>
      </c>
      <c r="K7695" t="s">
        <v>42297</v>
      </c>
      <c r="M7695" t="s">
        <v>45129</v>
      </c>
      <c r="N7695" t="s">
        <v>46569</v>
      </c>
      <c r="O7695" t="s">
        <v>46570</v>
      </c>
      <c r="P7695">
        <v>0</v>
      </c>
      <c r="Q7695">
        <v>2</v>
      </c>
      <c r="R7695" t="s">
        <v>46574</v>
      </c>
      <c r="S7695" t="s">
        <v>46723</v>
      </c>
      <c r="T7695" t="s">
        <v>48283</v>
      </c>
      <c r="U7695" t="s">
        <v>55154</v>
      </c>
      <c r="W7695" t="s">
        <v>45129</v>
      </c>
      <c r="X7695" t="s">
        <v>46575</v>
      </c>
    </row>
    <row r="7696" spans="1:24">
      <c r="A7696">
        <f>HYPERLINK("https://www.philgeps.gov.ph/GEPSNONPILOT/Tender/SplashBidNoticeAbstractUI.aspx?menuIndex=3&amp;refID=7057447&amp;Result=3","7057447")</f>
        <v>0</v>
      </c>
      <c r="B7696" t="s">
        <v>1612</v>
      </c>
      <c r="C7696" t="s">
        <v>10827</v>
      </c>
      <c r="D7696" t="s">
        <v>18821</v>
      </c>
      <c r="E7696" t="s">
        <v>25639</v>
      </c>
      <c r="F7696" t="s">
        <v>32664</v>
      </c>
      <c r="G7696" t="s">
        <v>32672</v>
      </c>
      <c r="H7696" t="s">
        <v>32683</v>
      </c>
      <c r="I7696" t="s">
        <v>10627</v>
      </c>
      <c r="J7696" t="s">
        <v>37429</v>
      </c>
      <c r="K7696" t="s">
        <v>42296</v>
      </c>
      <c r="M7696" t="s">
        <v>45072</v>
      </c>
      <c r="N7696" t="s">
        <v>46569</v>
      </c>
      <c r="O7696" t="s">
        <v>46570</v>
      </c>
      <c r="P7696">
        <v>0</v>
      </c>
      <c r="Q7696">
        <v>31</v>
      </c>
      <c r="R7696" t="s">
        <v>46574</v>
      </c>
      <c r="S7696" t="s">
        <v>46723</v>
      </c>
      <c r="T7696" t="s">
        <v>48385</v>
      </c>
      <c r="U7696" t="s">
        <v>55155</v>
      </c>
      <c r="W7696" t="s">
        <v>45072</v>
      </c>
      <c r="X7696" t="s">
        <v>46577</v>
      </c>
    </row>
    <row r="7697" spans="1:24">
      <c r="A7697">
        <f>HYPERLINK("https://www.philgeps.gov.ph/GEPSNONPILOT/Tender/SplashBidNoticeAbstractUI.aspx?menuIndex=3&amp;refID=7058537&amp;Result=3","7058537")</f>
        <v>0</v>
      </c>
      <c r="B7697" t="s">
        <v>2347</v>
      </c>
      <c r="C7697" t="s">
        <v>10828</v>
      </c>
      <c r="E7697" t="s">
        <v>25640</v>
      </c>
      <c r="F7697" t="s">
        <v>32664</v>
      </c>
      <c r="G7697" t="s">
        <v>32672</v>
      </c>
      <c r="H7697" t="s">
        <v>12635</v>
      </c>
      <c r="I7697" t="s">
        <v>4333</v>
      </c>
      <c r="J7697" t="s">
        <v>37533</v>
      </c>
      <c r="K7697" t="s">
        <v>42297</v>
      </c>
      <c r="M7697" t="s">
        <v>45129</v>
      </c>
      <c r="N7697" t="s">
        <v>46569</v>
      </c>
      <c r="O7697" t="s">
        <v>46570</v>
      </c>
      <c r="P7697">
        <v>0</v>
      </c>
      <c r="Q7697">
        <v>0</v>
      </c>
      <c r="R7697" t="s">
        <v>46574</v>
      </c>
      <c r="S7697" t="s">
        <v>46723</v>
      </c>
      <c r="T7697" t="s">
        <v>48283</v>
      </c>
      <c r="U7697" t="s">
        <v>55156</v>
      </c>
      <c r="W7697" t="s">
        <v>45129</v>
      </c>
      <c r="X7697" t="s">
        <v>46575</v>
      </c>
    </row>
    <row r="7698" spans="1:24">
      <c r="A7698">
        <f>HYPERLINK("https://www.philgeps.gov.ph/GEPSNONPILOT/Tender/SplashBidNoticeAbstractUI.aspx?menuIndex=3&amp;refID=7058535&amp;Result=3","7058535")</f>
        <v>0</v>
      </c>
      <c r="B7698" t="s">
        <v>2347</v>
      </c>
      <c r="C7698" t="s">
        <v>10829</v>
      </c>
      <c r="E7698" t="s">
        <v>25641</v>
      </c>
      <c r="F7698" t="s">
        <v>32664</v>
      </c>
      <c r="G7698" t="s">
        <v>32672</v>
      </c>
      <c r="H7698" t="s">
        <v>12635</v>
      </c>
      <c r="I7698" t="s">
        <v>4439</v>
      </c>
      <c r="J7698" t="s">
        <v>37534</v>
      </c>
      <c r="K7698" t="s">
        <v>42297</v>
      </c>
      <c r="M7698" t="s">
        <v>45129</v>
      </c>
      <c r="N7698" t="s">
        <v>46569</v>
      </c>
      <c r="O7698" t="s">
        <v>46570</v>
      </c>
      <c r="P7698">
        <v>0</v>
      </c>
      <c r="Q7698">
        <v>0</v>
      </c>
      <c r="R7698" t="s">
        <v>46574</v>
      </c>
      <c r="S7698" t="s">
        <v>46723</v>
      </c>
      <c r="T7698" t="s">
        <v>48283</v>
      </c>
      <c r="U7698" t="s">
        <v>55157</v>
      </c>
      <c r="W7698" t="s">
        <v>45129</v>
      </c>
      <c r="X7698" t="s">
        <v>46575</v>
      </c>
    </row>
    <row r="7699" spans="1:24">
      <c r="A7699">
        <f>HYPERLINK("https://www.philgeps.gov.ph/GEPSNONPILOT/Tender/SplashBidNoticeAbstractUI.aspx?menuIndex=3&amp;refID=7058526&amp;Result=3","7058526")</f>
        <v>0</v>
      </c>
      <c r="B7699" t="s">
        <v>1481</v>
      </c>
      <c r="C7699" t="s">
        <v>10830</v>
      </c>
      <c r="E7699" t="s">
        <v>25642</v>
      </c>
      <c r="F7699" t="s">
        <v>32664</v>
      </c>
      <c r="G7699" t="s">
        <v>32672</v>
      </c>
      <c r="H7699" t="s">
        <v>12635</v>
      </c>
      <c r="I7699" t="s">
        <v>8797</v>
      </c>
      <c r="J7699" t="s">
        <v>33320</v>
      </c>
      <c r="K7699" t="s">
        <v>42283</v>
      </c>
      <c r="M7699" t="s">
        <v>45133</v>
      </c>
      <c r="N7699" t="s">
        <v>46569</v>
      </c>
      <c r="O7699" t="s">
        <v>46570</v>
      </c>
      <c r="P7699">
        <v>0</v>
      </c>
      <c r="Q7699">
        <v>5</v>
      </c>
      <c r="R7699" t="s">
        <v>46574</v>
      </c>
      <c r="S7699" t="s">
        <v>46723</v>
      </c>
      <c r="T7699" t="s">
        <v>48334</v>
      </c>
      <c r="U7699" t="s">
        <v>55158</v>
      </c>
      <c r="W7699" t="s">
        <v>45133</v>
      </c>
      <c r="X7699" t="s">
        <v>46575</v>
      </c>
    </row>
    <row r="7700" spans="1:24">
      <c r="A7700">
        <f>HYPERLINK("https://www.philgeps.gov.ph/GEPSNONPILOT/Tender/SplashBidNoticeAbstractUI.aspx?menuIndex=3&amp;refID=7058541&amp;Result=3","7058541")</f>
        <v>0</v>
      </c>
      <c r="B7700" t="s">
        <v>2339</v>
      </c>
      <c r="C7700" t="s">
        <v>10831</v>
      </c>
      <c r="E7700" t="s">
        <v>25643</v>
      </c>
      <c r="F7700" t="s">
        <v>32664</v>
      </c>
      <c r="G7700" t="s">
        <v>32671</v>
      </c>
      <c r="H7700" t="s">
        <v>12635</v>
      </c>
      <c r="I7700" t="s">
        <v>32719</v>
      </c>
      <c r="J7700" t="s">
        <v>37535</v>
      </c>
      <c r="K7700" t="s">
        <v>42283</v>
      </c>
      <c r="M7700" t="s">
        <v>45119</v>
      </c>
      <c r="N7700" t="s">
        <v>46569</v>
      </c>
      <c r="O7700" t="s">
        <v>46570</v>
      </c>
      <c r="P7700">
        <v>0</v>
      </c>
      <c r="Q7700">
        <v>3</v>
      </c>
      <c r="R7700" t="s">
        <v>46574</v>
      </c>
      <c r="S7700" t="s">
        <v>46723</v>
      </c>
      <c r="T7700" t="s">
        <v>48287</v>
      </c>
      <c r="U7700" t="s">
        <v>55159</v>
      </c>
      <c r="W7700" t="s">
        <v>45119</v>
      </c>
      <c r="X7700" t="s">
        <v>46575</v>
      </c>
    </row>
    <row r="7701" spans="1:24">
      <c r="A7701">
        <f>HYPERLINK("https://www.philgeps.gov.ph/GEPSNONPILOT/Tender/SplashBidNoticeAbstractUI.aspx?menuIndex=3&amp;refID=7058451&amp;Result=3","7058451")</f>
        <v>0</v>
      </c>
      <c r="B7701" t="s">
        <v>2338</v>
      </c>
      <c r="C7701" t="s">
        <v>10792</v>
      </c>
      <c r="E7701" t="s">
        <v>18937</v>
      </c>
      <c r="F7701" t="s">
        <v>32664</v>
      </c>
      <c r="G7701" t="s">
        <v>32672</v>
      </c>
      <c r="H7701" t="s">
        <v>32683</v>
      </c>
      <c r="I7701" t="s">
        <v>10627</v>
      </c>
      <c r="J7701" t="s">
        <v>37536</v>
      </c>
      <c r="K7701" t="s">
        <v>42283</v>
      </c>
      <c r="M7701" t="s">
        <v>45118</v>
      </c>
      <c r="N7701" t="s">
        <v>46569</v>
      </c>
      <c r="O7701" t="s">
        <v>46570</v>
      </c>
      <c r="P7701">
        <v>0</v>
      </c>
      <c r="Q7701">
        <v>0</v>
      </c>
      <c r="R7701" t="s">
        <v>46574</v>
      </c>
      <c r="S7701" t="s">
        <v>46723</v>
      </c>
      <c r="T7701" t="s">
        <v>48246</v>
      </c>
      <c r="U7701" t="s">
        <v>55160</v>
      </c>
      <c r="W7701" t="s">
        <v>45118</v>
      </c>
      <c r="X7701" t="s">
        <v>46576</v>
      </c>
    </row>
    <row r="7702" spans="1:24">
      <c r="A7702">
        <f>HYPERLINK("https://www.philgeps.gov.ph/GEPSNONPILOT/Tender/SplashBidNoticeAbstractUI.aspx?menuIndex=3&amp;refID=7058529&amp;Result=3","7058529")</f>
        <v>0</v>
      </c>
      <c r="B7702" t="s">
        <v>2347</v>
      </c>
      <c r="C7702" t="s">
        <v>10832</v>
      </c>
      <c r="E7702" t="s">
        <v>25644</v>
      </c>
      <c r="F7702" t="s">
        <v>32664</v>
      </c>
      <c r="G7702" t="s">
        <v>32672</v>
      </c>
      <c r="H7702" t="s">
        <v>12635</v>
      </c>
      <c r="I7702" t="s">
        <v>7759</v>
      </c>
      <c r="J7702" t="s">
        <v>33121</v>
      </c>
      <c r="K7702" t="s">
        <v>42297</v>
      </c>
      <c r="M7702" t="s">
        <v>45129</v>
      </c>
      <c r="N7702" t="s">
        <v>46569</v>
      </c>
      <c r="O7702" t="s">
        <v>46570</v>
      </c>
      <c r="P7702">
        <v>0</v>
      </c>
      <c r="Q7702">
        <v>0</v>
      </c>
      <c r="R7702" t="s">
        <v>46574</v>
      </c>
      <c r="S7702" t="s">
        <v>46723</v>
      </c>
      <c r="T7702" t="s">
        <v>48283</v>
      </c>
      <c r="U7702" t="s">
        <v>55161</v>
      </c>
      <c r="W7702" t="s">
        <v>45129</v>
      </c>
      <c r="X7702" t="s">
        <v>46575</v>
      </c>
    </row>
    <row r="7703" spans="1:24">
      <c r="A7703">
        <f>HYPERLINK("https://www.philgeps.gov.ph/GEPSNONPILOT/Tender/SplashBidNoticeAbstractUI.aspx?menuIndex=3&amp;refID=7057428&amp;Result=3","7057428")</f>
        <v>0</v>
      </c>
      <c r="B7703" t="s">
        <v>444</v>
      </c>
      <c r="C7703" t="s">
        <v>10833</v>
      </c>
      <c r="D7703" t="s">
        <v>18799</v>
      </c>
      <c r="E7703" t="s">
        <v>19928</v>
      </c>
      <c r="F7703" t="s">
        <v>32664</v>
      </c>
      <c r="G7703" t="s">
        <v>32671</v>
      </c>
      <c r="H7703" t="s">
        <v>12635</v>
      </c>
      <c r="I7703" t="s">
        <v>4997</v>
      </c>
      <c r="J7703" t="s">
        <v>35217</v>
      </c>
      <c r="K7703" t="s">
        <v>42283</v>
      </c>
      <c r="M7703" t="s">
        <v>43017</v>
      </c>
      <c r="N7703" t="s">
        <v>46569</v>
      </c>
      <c r="O7703" t="s">
        <v>46570</v>
      </c>
      <c r="Q7703">
        <v>20</v>
      </c>
      <c r="R7703" t="s">
        <v>46574</v>
      </c>
      <c r="S7703" t="s">
        <v>46742</v>
      </c>
      <c r="T7703" t="s">
        <v>48228</v>
      </c>
      <c r="U7703" t="s">
        <v>49518</v>
      </c>
      <c r="W7703" t="s">
        <v>43017</v>
      </c>
      <c r="X7703" t="s">
        <v>46577</v>
      </c>
    </row>
    <row r="7704" spans="1:24">
      <c r="A7704">
        <f>HYPERLINK("https://www.philgeps.gov.ph/GEPSNONPILOT/Tender/SplashBidNoticeAbstractUI.aspx?menuIndex=3&amp;refID=7057414&amp;Result=3","7057414")</f>
        <v>0</v>
      </c>
      <c r="B7704" t="s">
        <v>352</v>
      </c>
      <c r="C7704" t="s">
        <v>10834</v>
      </c>
      <c r="D7704" t="s">
        <v>18801</v>
      </c>
      <c r="E7704" t="s">
        <v>25645</v>
      </c>
      <c r="F7704" t="s">
        <v>32664</v>
      </c>
      <c r="G7704" t="s">
        <v>32671</v>
      </c>
      <c r="H7704" t="s">
        <v>12635</v>
      </c>
      <c r="I7704" t="s">
        <v>32699</v>
      </c>
      <c r="J7704" t="s">
        <v>37537</v>
      </c>
      <c r="K7704" t="s">
        <v>42289</v>
      </c>
      <c r="M7704" t="s">
        <v>44726</v>
      </c>
      <c r="N7704" t="s">
        <v>46569</v>
      </c>
      <c r="O7704" t="s">
        <v>46570</v>
      </c>
      <c r="P7704">
        <v>0</v>
      </c>
      <c r="Q7704">
        <v>0</v>
      </c>
      <c r="R7704" t="s">
        <v>46574</v>
      </c>
      <c r="S7704" t="s">
        <v>46723</v>
      </c>
      <c r="T7704" t="s">
        <v>48473</v>
      </c>
      <c r="U7704" t="s">
        <v>55162</v>
      </c>
      <c r="V7704" t="s">
        <v>61781</v>
      </c>
      <c r="W7704" t="s">
        <v>44726</v>
      </c>
      <c r="X7704" t="s">
        <v>46577</v>
      </c>
    </row>
    <row r="7705" spans="1:24">
      <c r="A7705">
        <f>HYPERLINK("https://www.philgeps.gov.ph/GEPSNONPILOT/Tender/SplashBidNoticeAbstractUI.aspx?menuIndex=3&amp;refID=7057413&amp;Result=3","7057413")</f>
        <v>0</v>
      </c>
      <c r="B7705" t="s">
        <v>2350</v>
      </c>
      <c r="C7705" t="s">
        <v>10835</v>
      </c>
      <c r="D7705" t="s">
        <v>18798</v>
      </c>
      <c r="E7705" t="s">
        <v>25646</v>
      </c>
      <c r="F7705" t="s">
        <v>32664</v>
      </c>
      <c r="G7705" t="s">
        <v>32672</v>
      </c>
      <c r="H7705" t="s">
        <v>12635</v>
      </c>
      <c r="I7705" t="s">
        <v>10627</v>
      </c>
      <c r="J7705" t="s">
        <v>37538</v>
      </c>
      <c r="K7705" t="s">
        <v>42332</v>
      </c>
      <c r="M7705" t="s">
        <v>45134</v>
      </c>
      <c r="N7705" t="s">
        <v>46569</v>
      </c>
      <c r="O7705" t="s">
        <v>46570</v>
      </c>
      <c r="P7705">
        <v>0</v>
      </c>
      <c r="Q7705">
        <v>0</v>
      </c>
      <c r="R7705" t="s">
        <v>46574</v>
      </c>
      <c r="S7705" t="s">
        <v>46723</v>
      </c>
      <c r="T7705" t="s">
        <v>48219</v>
      </c>
      <c r="U7705" t="s">
        <v>55163</v>
      </c>
      <c r="W7705" t="s">
        <v>45134</v>
      </c>
      <c r="X7705" t="s">
        <v>46577</v>
      </c>
    </row>
    <row r="7706" spans="1:24">
      <c r="A7706">
        <f>HYPERLINK("https://www.philgeps.gov.ph/GEPSNONPILOT/Tender/SplashBidNoticeAbstractUI.aspx?menuIndex=3&amp;refID=7058575&amp;Result=3","7058575")</f>
        <v>0</v>
      </c>
      <c r="B7706" t="s">
        <v>2351</v>
      </c>
      <c r="C7706" t="s">
        <v>10836</v>
      </c>
      <c r="D7706" t="s">
        <v>18795</v>
      </c>
      <c r="E7706" t="s">
        <v>22542</v>
      </c>
      <c r="F7706" t="s">
        <v>32664</v>
      </c>
      <c r="G7706" t="s">
        <v>32672</v>
      </c>
      <c r="H7706" t="s">
        <v>12635</v>
      </c>
      <c r="I7706" t="s">
        <v>4997</v>
      </c>
      <c r="J7706" t="s">
        <v>37539</v>
      </c>
      <c r="K7706" t="s">
        <v>42314</v>
      </c>
      <c r="M7706" t="s">
        <v>45135</v>
      </c>
      <c r="N7706" t="s">
        <v>46569</v>
      </c>
      <c r="O7706" t="s">
        <v>46570</v>
      </c>
      <c r="Q7706">
        <v>3</v>
      </c>
      <c r="R7706" t="s">
        <v>46574</v>
      </c>
      <c r="S7706" t="s">
        <v>46743</v>
      </c>
      <c r="T7706" t="s">
        <v>48334</v>
      </c>
      <c r="U7706" t="s">
        <v>55164</v>
      </c>
      <c r="V7706" t="s">
        <v>62384</v>
      </c>
      <c r="W7706" t="s">
        <v>45135</v>
      </c>
      <c r="X7706" t="s">
        <v>46575</v>
      </c>
    </row>
    <row r="7707" spans="1:24">
      <c r="A7707">
        <f>HYPERLINK("https://www.philgeps.gov.ph/GEPSNONPILOT/Tender/SplashBidNoticeAbstractUI.aspx?menuIndex=3&amp;refID=7058573&amp;Result=3","7058573")</f>
        <v>0</v>
      </c>
      <c r="B7707" t="s">
        <v>2352</v>
      </c>
      <c r="C7707" t="s">
        <v>10837</v>
      </c>
      <c r="D7707" t="s">
        <v>18801</v>
      </c>
      <c r="E7707" t="s">
        <v>25647</v>
      </c>
      <c r="F7707" t="s">
        <v>32664</v>
      </c>
      <c r="G7707" t="s">
        <v>32672</v>
      </c>
      <c r="H7707" t="s">
        <v>12635</v>
      </c>
      <c r="I7707" t="s">
        <v>6223</v>
      </c>
      <c r="J7707" t="s">
        <v>37540</v>
      </c>
      <c r="K7707" t="s">
        <v>42303</v>
      </c>
      <c r="M7707" t="s">
        <v>45136</v>
      </c>
      <c r="N7707" t="s">
        <v>46569</v>
      </c>
      <c r="O7707" t="s">
        <v>46570</v>
      </c>
      <c r="P7707">
        <v>0</v>
      </c>
      <c r="Q7707">
        <v>1</v>
      </c>
      <c r="R7707" t="s">
        <v>46574</v>
      </c>
      <c r="S7707" t="s">
        <v>46723</v>
      </c>
      <c r="T7707" t="s">
        <v>48533</v>
      </c>
      <c r="U7707" t="s">
        <v>55165</v>
      </c>
      <c r="W7707" t="s">
        <v>45136</v>
      </c>
      <c r="X7707" t="s">
        <v>46575</v>
      </c>
    </row>
    <row r="7708" spans="1:24">
      <c r="A7708">
        <f>HYPERLINK("https://www.philgeps.gov.ph/GEPSNONPILOT/Tender/SplashBidNoticeAbstractUI.aspx?menuIndex=3&amp;refID=7058530&amp;Result=3","7058530")</f>
        <v>0</v>
      </c>
      <c r="B7708" t="s">
        <v>2347</v>
      </c>
      <c r="C7708" t="s">
        <v>10838</v>
      </c>
      <c r="E7708" t="s">
        <v>25648</v>
      </c>
      <c r="F7708" t="s">
        <v>32664</v>
      </c>
      <c r="G7708" t="s">
        <v>32672</v>
      </c>
      <c r="H7708" t="s">
        <v>12635</v>
      </c>
      <c r="I7708" t="s">
        <v>11464</v>
      </c>
      <c r="J7708" t="s">
        <v>33299</v>
      </c>
      <c r="K7708" t="s">
        <v>42297</v>
      </c>
      <c r="M7708" t="s">
        <v>45129</v>
      </c>
      <c r="N7708" t="s">
        <v>46569</v>
      </c>
      <c r="O7708" t="s">
        <v>46570</v>
      </c>
      <c r="P7708">
        <v>0</v>
      </c>
      <c r="Q7708">
        <v>0</v>
      </c>
      <c r="R7708" t="s">
        <v>46574</v>
      </c>
      <c r="S7708" t="s">
        <v>46723</v>
      </c>
      <c r="T7708" t="s">
        <v>48283</v>
      </c>
      <c r="U7708" t="s">
        <v>55166</v>
      </c>
      <c r="W7708" t="s">
        <v>45129</v>
      </c>
      <c r="X7708" t="s">
        <v>46575</v>
      </c>
    </row>
    <row r="7709" spans="1:24">
      <c r="A7709">
        <f>HYPERLINK("https://www.philgeps.gov.ph/GEPSNONPILOT/Tender/SplashBidNoticeAbstractUI.aspx?menuIndex=3&amp;refID=7058570&amp;Result=3","7058570")</f>
        <v>0</v>
      </c>
      <c r="B7709" t="s">
        <v>2353</v>
      </c>
      <c r="C7709" t="s">
        <v>10839</v>
      </c>
      <c r="D7709" t="s">
        <v>18827</v>
      </c>
      <c r="E7709" t="s">
        <v>25649</v>
      </c>
      <c r="F7709" t="s">
        <v>32664</v>
      </c>
      <c r="G7709" t="s">
        <v>32672</v>
      </c>
      <c r="H7709" t="s">
        <v>12635</v>
      </c>
      <c r="I7709" t="s">
        <v>10627</v>
      </c>
      <c r="J7709" t="s">
        <v>33150</v>
      </c>
      <c r="K7709" t="s">
        <v>42283</v>
      </c>
      <c r="M7709" t="s">
        <v>45137</v>
      </c>
      <c r="N7709" t="s">
        <v>46569</v>
      </c>
      <c r="O7709" t="s">
        <v>46570</v>
      </c>
      <c r="P7709">
        <v>0</v>
      </c>
      <c r="Q7709">
        <v>0</v>
      </c>
      <c r="R7709" t="s">
        <v>46574</v>
      </c>
      <c r="S7709" t="s">
        <v>46723</v>
      </c>
      <c r="T7709" t="s">
        <v>48305</v>
      </c>
      <c r="U7709" t="s">
        <v>55167</v>
      </c>
      <c r="W7709" t="s">
        <v>45137</v>
      </c>
      <c r="X7709" t="s">
        <v>46575</v>
      </c>
    </row>
    <row r="7710" spans="1:24">
      <c r="A7710">
        <f>HYPERLINK("https://www.philgeps.gov.ph/GEPSNONPILOT/Tender/SplashBidNoticeAbstractUI.aspx?menuIndex=3&amp;refID=7058521&amp;Result=3","7058521")</f>
        <v>0</v>
      </c>
      <c r="B7710" t="s">
        <v>2354</v>
      </c>
      <c r="C7710" t="s">
        <v>10840</v>
      </c>
      <c r="D7710" t="s">
        <v>18804</v>
      </c>
      <c r="E7710" t="s">
        <v>25650</v>
      </c>
      <c r="F7710" t="s">
        <v>32664</v>
      </c>
      <c r="G7710" t="s">
        <v>32672</v>
      </c>
      <c r="H7710" t="s">
        <v>32683</v>
      </c>
      <c r="I7710" t="s">
        <v>4439</v>
      </c>
      <c r="J7710" t="s">
        <v>32859</v>
      </c>
      <c r="K7710" t="s">
        <v>42281</v>
      </c>
      <c r="M7710" t="s">
        <v>45138</v>
      </c>
      <c r="N7710" t="s">
        <v>46569</v>
      </c>
      <c r="O7710" t="s">
        <v>46570</v>
      </c>
      <c r="P7710">
        <v>0</v>
      </c>
      <c r="Q7710">
        <v>0</v>
      </c>
      <c r="R7710" t="s">
        <v>46574</v>
      </c>
      <c r="S7710" t="s">
        <v>46723</v>
      </c>
      <c r="T7710" t="s">
        <v>48258</v>
      </c>
      <c r="U7710" t="s">
        <v>55168</v>
      </c>
      <c r="W7710" t="s">
        <v>45138</v>
      </c>
      <c r="X7710" t="s">
        <v>46575</v>
      </c>
    </row>
    <row r="7711" spans="1:24">
      <c r="A7711">
        <f>HYPERLINK("https://www.philgeps.gov.ph/GEPSNONPILOT/Tender/SplashBidNoticeAbstractUI.aspx?menuIndex=3&amp;refID=7058572&amp;Result=3","7058572")</f>
        <v>0</v>
      </c>
      <c r="B7711" t="s">
        <v>2353</v>
      </c>
      <c r="C7711" t="s">
        <v>10841</v>
      </c>
      <c r="D7711" t="s">
        <v>18827</v>
      </c>
      <c r="E7711" t="s">
        <v>25651</v>
      </c>
      <c r="F7711" t="s">
        <v>32664</v>
      </c>
      <c r="G7711" t="s">
        <v>32672</v>
      </c>
      <c r="H7711" t="s">
        <v>12635</v>
      </c>
      <c r="I7711" t="s">
        <v>10627</v>
      </c>
      <c r="J7711" t="s">
        <v>34559</v>
      </c>
      <c r="K7711" t="s">
        <v>42311</v>
      </c>
      <c r="M7711" t="s">
        <v>45137</v>
      </c>
      <c r="N7711" t="s">
        <v>46569</v>
      </c>
      <c r="O7711" t="s">
        <v>46570</v>
      </c>
      <c r="P7711">
        <v>0</v>
      </c>
      <c r="Q7711">
        <v>0</v>
      </c>
      <c r="R7711" t="s">
        <v>46574</v>
      </c>
      <c r="S7711" t="s">
        <v>46723</v>
      </c>
      <c r="T7711" t="s">
        <v>48280</v>
      </c>
      <c r="U7711" t="s">
        <v>55169</v>
      </c>
      <c r="W7711" t="s">
        <v>45137</v>
      </c>
      <c r="X7711" t="s">
        <v>46575</v>
      </c>
    </row>
    <row r="7712" spans="1:24">
      <c r="A7712">
        <f>HYPERLINK("https://www.philgeps.gov.ph/GEPSNONPILOT/Tender/SplashBidNoticeAbstractUI.aspx?menuIndex=3&amp;refID=7057426&amp;Result=3","7057426")</f>
        <v>0</v>
      </c>
      <c r="B7712" t="s">
        <v>1612</v>
      </c>
      <c r="C7712" t="s">
        <v>10842</v>
      </c>
      <c r="D7712" t="s">
        <v>18821</v>
      </c>
      <c r="E7712" t="s">
        <v>25652</v>
      </c>
      <c r="F7712" t="s">
        <v>32664</v>
      </c>
      <c r="G7712" t="s">
        <v>32672</v>
      </c>
      <c r="H7712" t="s">
        <v>32683</v>
      </c>
      <c r="I7712" t="s">
        <v>10627</v>
      </c>
      <c r="J7712" t="s">
        <v>32981</v>
      </c>
      <c r="K7712" t="s">
        <v>42466</v>
      </c>
      <c r="M7712" t="s">
        <v>45072</v>
      </c>
      <c r="N7712" t="s">
        <v>46569</v>
      </c>
      <c r="O7712" t="s">
        <v>46570</v>
      </c>
      <c r="P7712">
        <v>0</v>
      </c>
      <c r="Q7712">
        <v>29</v>
      </c>
      <c r="R7712" t="s">
        <v>46574</v>
      </c>
      <c r="S7712" t="s">
        <v>46723</v>
      </c>
      <c r="T7712" t="s">
        <v>48385</v>
      </c>
      <c r="U7712" t="s">
        <v>55170</v>
      </c>
      <c r="W7712" t="s">
        <v>45072</v>
      </c>
      <c r="X7712" t="s">
        <v>46577</v>
      </c>
    </row>
    <row r="7713" spans="1:24">
      <c r="A7713">
        <f>HYPERLINK("https://www.philgeps.gov.ph/GEPSNONPILOT/Tender/SplashBidNoticeAbstractUI.aspx?menuIndex=3&amp;refID=7058527&amp;Result=3","7058527")</f>
        <v>0</v>
      </c>
      <c r="B7713" t="s">
        <v>2355</v>
      </c>
      <c r="C7713" t="s">
        <v>10843</v>
      </c>
      <c r="D7713" t="s">
        <v>18798</v>
      </c>
      <c r="E7713" t="s">
        <v>19681</v>
      </c>
      <c r="F7713" t="s">
        <v>32664</v>
      </c>
      <c r="G7713" t="s">
        <v>32672</v>
      </c>
      <c r="H7713" t="s">
        <v>12635</v>
      </c>
      <c r="I7713" t="s">
        <v>32707</v>
      </c>
      <c r="J7713" t="s">
        <v>37541</v>
      </c>
      <c r="K7713" t="s">
        <v>42281</v>
      </c>
      <c r="M7713" t="s">
        <v>45139</v>
      </c>
      <c r="N7713" t="s">
        <v>46569</v>
      </c>
      <c r="O7713" t="s">
        <v>46570</v>
      </c>
      <c r="P7713">
        <v>0</v>
      </c>
      <c r="Q7713">
        <v>8</v>
      </c>
      <c r="R7713" t="s">
        <v>46574</v>
      </c>
      <c r="S7713" t="s">
        <v>46723</v>
      </c>
      <c r="T7713" t="s">
        <v>48385</v>
      </c>
      <c r="U7713" t="s">
        <v>55171</v>
      </c>
      <c r="W7713" t="s">
        <v>45139</v>
      </c>
      <c r="X7713" t="s">
        <v>46575</v>
      </c>
    </row>
    <row r="7714" spans="1:24">
      <c r="A7714">
        <f>HYPERLINK("https://www.philgeps.gov.ph/GEPSNONPILOT/Tender/SplashBidNoticeAbstractUI.aspx?menuIndex=3&amp;refID=7058571&amp;Result=3","7058571")</f>
        <v>0</v>
      </c>
      <c r="B7714" t="s">
        <v>2352</v>
      </c>
      <c r="C7714" t="s">
        <v>10844</v>
      </c>
      <c r="D7714" t="s">
        <v>18801</v>
      </c>
      <c r="E7714" t="s">
        <v>25653</v>
      </c>
      <c r="F7714" t="s">
        <v>32664</v>
      </c>
      <c r="G7714" t="s">
        <v>32672</v>
      </c>
      <c r="H7714" t="s">
        <v>12635</v>
      </c>
      <c r="I7714" t="s">
        <v>9486</v>
      </c>
      <c r="J7714" t="s">
        <v>37542</v>
      </c>
      <c r="K7714" t="s">
        <v>42281</v>
      </c>
      <c r="M7714" t="s">
        <v>45136</v>
      </c>
      <c r="N7714" t="s">
        <v>46569</v>
      </c>
      <c r="O7714" t="s">
        <v>46570</v>
      </c>
      <c r="P7714">
        <v>0</v>
      </c>
      <c r="Q7714">
        <v>9</v>
      </c>
      <c r="R7714" t="s">
        <v>46574</v>
      </c>
      <c r="S7714" t="s">
        <v>46723</v>
      </c>
      <c r="T7714" t="s">
        <v>48533</v>
      </c>
      <c r="U7714" t="s">
        <v>55172</v>
      </c>
      <c r="W7714" t="s">
        <v>45136</v>
      </c>
      <c r="X7714" t="s">
        <v>46575</v>
      </c>
    </row>
    <row r="7715" spans="1:24">
      <c r="A7715">
        <f>HYPERLINK("https://www.philgeps.gov.ph/GEPSNONPILOT/Tender/SplashBidNoticeAbstractUI.aspx?menuIndex=3&amp;refID=7058564&amp;Result=3","7058564")</f>
        <v>0</v>
      </c>
      <c r="B7715" t="s">
        <v>940</v>
      </c>
      <c r="C7715" t="s">
        <v>10845</v>
      </c>
      <c r="D7715" t="s">
        <v>18784</v>
      </c>
      <c r="E7715" t="s">
        <v>25654</v>
      </c>
      <c r="F7715" t="s">
        <v>32664</v>
      </c>
      <c r="G7715" t="s">
        <v>32672</v>
      </c>
      <c r="H7715" t="s">
        <v>12635</v>
      </c>
      <c r="I7715" t="s">
        <v>32701</v>
      </c>
      <c r="J7715" t="s">
        <v>37543</v>
      </c>
      <c r="K7715" t="s">
        <v>42283</v>
      </c>
      <c r="M7715" t="s">
        <v>45112</v>
      </c>
      <c r="N7715" t="s">
        <v>46569</v>
      </c>
      <c r="O7715" t="s">
        <v>46570</v>
      </c>
      <c r="P7715">
        <v>0</v>
      </c>
      <c r="Q7715">
        <v>1</v>
      </c>
      <c r="R7715" t="s">
        <v>46574</v>
      </c>
      <c r="S7715" t="s">
        <v>46723</v>
      </c>
      <c r="T7715" t="s">
        <v>48412</v>
      </c>
      <c r="U7715" t="s">
        <v>55173</v>
      </c>
      <c r="V7715" t="s">
        <v>62385</v>
      </c>
      <c r="W7715" t="s">
        <v>45112</v>
      </c>
      <c r="X7715" t="s">
        <v>46575</v>
      </c>
    </row>
    <row r="7716" spans="1:24">
      <c r="A7716">
        <f>HYPERLINK("https://www.philgeps.gov.ph/GEPSNONPILOT/Tender/SplashBidNoticeAbstractUI.aspx?menuIndex=3&amp;refID=7058523&amp;Result=3","7058523")</f>
        <v>0</v>
      </c>
      <c r="B7716" t="s">
        <v>2356</v>
      </c>
      <c r="C7716" t="s">
        <v>10846</v>
      </c>
      <c r="D7716" t="s">
        <v>18816</v>
      </c>
      <c r="E7716" t="s">
        <v>19699</v>
      </c>
      <c r="F7716" t="s">
        <v>32664</v>
      </c>
      <c r="G7716" t="s">
        <v>32672</v>
      </c>
      <c r="H7716" t="s">
        <v>32681</v>
      </c>
      <c r="I7716" t="s">
        <v>32681</v>
      </c>
      <c r="J7716" t="s">
        <v>32962</v>
      </c>
      <c r="K7716" t="s">
        <v>42311</v>
      </c>
      <c r="M7716" t="s">
        <v>45140</v>
      </c>
      <c r="N7716" t="s">
        <v>46569</v>
      </c>
      <c r="O7716" t="s">
        <v>46570</v>
      </c>
      <c r="P7716">
        <v>0</v>
      </c>
      <c r="Q7716">
        <v>2</v>
      </c>
      <c r="R7716" t="s">
        <v>46574</v>
      </c>
      <c r="S7716" t="s">
        <v>46723</v>
      </c>
      <c r="T7716" t="s">
        <v>48607</v>
      </c>
      <c r="U7716" t="s">
        <v>55174</v>
      </c>
      <c r="W7716" t="s">
        <v>45140</v>
      </c>
      <c r="X7716" t="s">
        <v>46575</v>
      </c>
    </row>
    <row r="7717" spans="1:24">
      <c r="A7717">
        <f>HYPERLINK("https://www.philgeps.gov.ph/GEPSNONPILOT/Tender/SplashBidNoticeAbstractUI.aspx?menuIndex=3&amp;refID=7058563&amp;Result=3","7058563")</f>
        <v>0</v>
      </c>
      <c r="B7717" t="s">
        <v>1150</v>
      </c>
      <c r="C7717" t="s">
        <v>10847</v>
      </c>
      <c r="D7717" t="s">
        <v>18845</v>
      </c>
      <c r="E7717" t="s">
        <v>25655</v>
      </c>
      <c r="F7717" t="s">
        <v>32664</v>
      </c>
      <c r="G7717" t="s">
        <v>32671</v>
      </c>
      <c r="H7717" t="s">
        <v>12635</v>
      </c>
      <c r="I7717" t="s">
        <v>8797</v>
      </c>
      <c r="J7717" t="s">
        <v>37544</v>
      </c>
      <c r="K7717" t="s">
        <v>42297</v>
      </c>
      <c r="M7717" t="s">
        <v>44784</v>
      </c>
      <c r="N7717" t="s">
        <v>46569</v>
      </c>
      <c r="O7717" t="s">
        <v>46570</v>
      </c>
      <c r="P7717">
        <v>0</v>
      </c>
      <c r="Q7717">
        <v>2</v>
      </c>
      <c r="R7717" t="s">
        <v>46574</v>
      </c>
      <c r="S7717" t="s">
        <v>46723</v>
      </c>
      <c r="T7717" t="s">
        <v>48449</v>
      </c>
      <c r="U7717" t="s">
        <v>55175</v>
      </c>
      <c r="W7717" t="s">
        <v>44784</v>
      </c>
      <c r="X7717" t="s">
        <v>46575</v>
      </c>
    </row>
    <row r="7718" spans="1:24">
      <c r="A7718">
        <f>HYPERLINK("https://www.philgeps.gov.ph/GEPSNONPILOT/Tender/SplashBidNoticeAbstractUI.aspx?menuIndex=3&amp;refID=7058560&amp;Result=3","7058560")</f>
        <v>0</v>
      </c>
      <c r="B7718" t="s">
        <v>2353</v>
      </c>
      <c r="C7718" t="s">
        <v>10848</v>
      </c>
      <c r="D7718" t="s">
        <v>18827</v>
      </c>
      <c r="E7718" t="s">
        <v>25656</v>
      </c>
      <c r="F7718" t="s">
        <v>32664</v>
      </c>
      <c r="G7718" t="s">
        <v>32671</v>
      </c>
      <c r="H7718" t="s">
        <v>12635</v>
      </c>
      <c r="I7718" t="s">
        <v>32699</v>
      </c>
      <c r="J7718" t="s">
        <v>33051</v>
      </c>
      <c r="K7718" t="s">
        <v>42283</v>
      </c>
      <c r="M7718" t="s">
        <v>45137</v>
      </c>
      <c r="N7718" t="s">
        <v>46569</v>
      </c>
      <c r="O7718" t="s">
        <v>46570</v>
      </c>
      <c r="P7718">
        <v>0</v>
      </c>
      <c r="Q7718">
        <v>5</v>
      </c>
      <c r="R7718" t="s">
        <v>46574</v>
      </c>
      <c r="S7718" t="s">
        <v>46723</v>
      </c>
      <c r="T7718" t="s">
        <v>48316</v>
      </c>
      <c r="U7718" t="s">
        <v>49462</v>
      </c>
      <c r="W7718" t="s">
        <v>45137</v>
      </c>
      <c r="X7718" t="s">
        <v>46575</v>
      </c>
    </row>
    <row r="7719" spans="1:24">
      <c r="A7719">
        <f>HYPERLINK("https://www.philgeps.gov.ph/GEPSNONPILOT/Tender/SplashBidNoticeAbstractUI.aspx?menuIndex=3&amp;refID=7058524&amp;Result=3","7058524")</f>
        <v>0</v>
      </c>
      <c r="B7719" t="s">
        <v>1481</v>
      </c>
      <c r="C7719" t="s">
        <v>10849</v>
      </c>
      <c r="E7719" t="s">
        <v>25657</v>
      </c>
      <c r="F7719" t="s">
        <v>32664</v>
      </c>
      <c r="G7719" t="s">
        <v>32672</v>
      </c>
      <c r="H7719" t="s">
        <v>12635</v>
      </c>
      <c r="I7719" t="s">
        <v>8797</v>
      </c>
      <c r="J7719" t="s">
        <v>37545</v>
      </c>
      <c r="K7719" t="s">
        <v>42283</v>
      </c>
      <c r="M7719" t="s">
        <v>45133</v>
      </c>
      <c r="N7719" t="s">
        <v>46569</v>
      </c>
      <c r="O7719" t="s">
        <v>46570</v>
      </c>
      <c r="P7719">
        <v>0</v>
      </c>
      <c r="Q7719">
        <v>21</v>
      </c>
      <c r="R7719" t="s">
        <v>46574</v>
      </c>
      <c r="S7719" t="s">
        <v>46723</v>
      </c>
      <c r="T7719" t="s">
        <v>48308</v>
      </c>
      <c r="U7719" t="s">
        <v>55005</v>
      </c>
      <c r="W7719" t="s">
        <v>45133</v>
      </c>
      <c r="X7719" t="s">
        <v>46575</v>
      </c>
    </row>
    <row r="7720" spans="1:24">
      <c r="A7720">
        <f>HYPERLINK("https://www.philgeps.gov.ph/GEPSNONPILOT/Tender/SplashBidNoticeAbstractUI.aspx?menuIndex=3&amp;refID=7058569&amp;Result=3","7058569")</f>
        <v>0</v>
      </c>
      <c r="B7720" t="s">
        <v>2352</v>
      </c>
      <c r="C7720" t="s">
        <v>10850</v>
      </c>
      <c r="D7720" t="s">
        <v>18801</v>
      </c>
      <c r="E7720" t="s">
        <v>25658</v>
      </c>
      <c r="F7720" t="s">
        <v>32664</v>
      </c>
      <c r="G7720" t="s">
        <v>32672</v>
      </c>
      <c r="H7720" t="s">
        <v>12635</v>
      </c>
      <c r="I7720" t="s">
        <v>4205</v>
      </c>
      <c r="J7720" t="s">
        <v>37546</v>
      </c>
      <c r="K7720" t="s">
        <v>42303</v>
      </c>
      <c r="M7720" t="s">
        <v>45136</v>
      </c>
      <c r="N7720" t="s">
        <v>46569</v>
      </c>
      <c r="O7720" t="s">
        <v>46570</v>
      </c>
      <c r="P7720">
        <v>0</v>
      </c>
      <c r="Q7720">
        <v>3</v>
      </c>
      <c r="R7720" t="s">
        <v>46574</v>
      </c>
      <c r="S7720" t="s">
        <v>46723</v>
      </c>
      <c r="T7720" t="s">
        <v>48533</v>
      </c>
      <c r="U7720" t="s">
        <v>55176</v>
      </c>
      <c r="W7720" t="s">
        <v>45136</v>
      </c>
      <c r="X7720" t="s">
        <v>46575</v>
      </c>
    </row>
    <row r="7721" spans="1:24">
      <c r="A7721">
        <f>HYPERLINK("https://www.philgeps.gov.ph/GEPSNONPILOT/Tender/SplashBidNoticeAbstractUI.aspx?menuIndex=3&amp;refID=7058604&amp;Result=3","7058604")</f>
        <v>0</v>
      </c>
      <c r="B7721" t="s">
        <v>2357</v>
      </c>
      <c r="C7721" t="s">
        <v>10851</v>
      </c>
      <c r="D7721" t="s">
        <v>18783</v>
      </c>
      <c r="E7721" t="s">
        <v>25659</v>
      </c>
      <c r="F7721" t="s">
        <v>32664</v>
      </c>
      <c r="G7721" t="s">
        <v>32674</v>
      </c>
      <c r="H7721" t="s">
        <v>12635</v>
      </c>
      <c r="I7721" t="s">
        <v>9486</v>
      </c>
      <c r="J7721" t="s">
        <v>37547</v>
      </c>
      <c r="K7721" t="s">
        <v>42289</v>
      </c>
      <c r="M7721" t="s">
        <v>45141</v>
      </c>
      <c r="N7721" t="s">
        <v>46569</v>
      </c>
      <c r="O7721" t="s">
        <v>46570</v>
      </c>
      <c r="P7721">
        <v>0</v>
      </c>
      <c r="Q7721">
        <v>1</v>
      </c>
      <c r="R7721" t="s">
        <v>46574</v>
      </c>
      <c r="S7721" t="s">
        <v>46723</v>
      </c>
      <c r="T7721" t="s">
        <v>48449</v>
      </c>
      <c r="U7721" t="s">
        <v>55177</v>
      </c>
      <c r="W7721" t="s">
        <v>45141</v>
      </c>
      <c r="X7721" t="s">
        <v>46575</v>
      </c>
    </row>
    <row r="7722" spans="1:24">
      <c r="A7722">
        <f>HYPERLINK("https://www.philgeps.gov.ph/GEPSNONPILOT/Tender/SplashBidNoticeAbstractUI.aspx?menuIndex=3&amp;refID=7058606&amp;Result=3","7058606")</f>
        <v>0</v>
      </c>
      <c r="B7722" t="s">
        <v>1313</v>
      </c>
      <c r="C7722" t="s">
        <v>10852</v>
      </c>
      <c r="E7722" t="s">
        <v>25660</v>
      </c>
      <c r="F7722" t="s">
        <v>32664</v>
      </c>
      <c r="G7722" t="s">
        <v>32671</v>
      </c>
      <c r="H7722" t="s">
        <v>12635</v>
      </c>
      <c r="I7722" t="s">
        <v>8797</v>
      </c>
      <c r="J7722" t="s">
        <v>37548</v>
      </c>
      <c r="K7722" t="s">
        <v>42283</v>
      </c>
      <c r="M7722" t="s">
        <v>43960</v>
      </c>
      <c r="N7722" t="s">
        <v>46569</v>
      </c>
      <c r="O7722" t="s">
        <v>46570</v>
      </c>
      <c r="P7722">
        <v>0</v>
      </c>
      <c r="Q7722">
        <v>3</v>
      </c>
      <c r="R7722" t="s">
        <v>46574</v>
      </c>
      <c r="S7722" t="s">
        <v>46723</v>
      </c>
      <c r="T7722" t="s">
        <v>48562</v>
      </c>
      <c r="U7722" t="s">
        <v>55178</v>
      </c>
      <c r="W7722" t="s">
        <v>43960</v>
      </c>
      <c r="X7722" t="s">
        <v>46575</v>
      </c>
    </row>
    <row r="7723" spans="1:24">
      <c r="A7723">
        <f>HYPERLINK("https://www.philgeps.gov.ph/GEPSNONPILOT/Tender/SplashBidNoticeAbstractUI.aspx?menuIndex=3&amp;refID=7058601&amp;Result=3","7058601")</f>
        <v>0</v>
      </c>
      <c r="B7723" t="s">
        <v>2358</v>
      </c>
      <c r="C7723" t="s">
        <v>10853</v>
      </c>
      <c r="E7723" t="s">
        <v>25661</v>
      </c>
      <c r="F7723" t="s">
        <v>32664</v>
      </c>
      <c r="G7723" t="s">
        <v>32672</v>
      </c>
      <c r="H7723" t="s">
        <v>12635</v>
      </c>
      <c r="I7723" t="s">
        <v>4439</v>
      </c>
      <c r="J7723" t="s">
        <v>37549</v>
      </c>
      <c r="K7723" t="s">
        <v>42283</v>
      </c>
      <c r="M7723" t="s">
        <v>45142</v>
      </c>
      <c r="N7723" t="s">
        <v>46569</v>
      </c>
      <c r="O7723" t="s">
        <v>46570</v>
      </c>
      <c r="P7723">
        <v>0</v>
      </c>
      <c r="Q7723">
        <v>0</v>
      </c>
      <c r="R7723" t="s">
        <v>46574</v>
      </c>
      <c r="S7723" t="s">
        <v>46723</v>
      </c>
      <c r="T7723" t="s">
        <v>48246</v>
      </c>
      <c r="U7723" t="s">
        <v>55179</v>
      </c>
      <c r="W7723" t="s">
        <v>45142</v>
      </c>
      <c r="X7723" t="s">
        <v>46575</v>
      </c>
    </row>
    <row r="7724" spans="1:24">
      <c r="A7724">
        <f>HYPERLINK("https://www.philgeps.gov.ph/GEPSNONPILOT/Tender/SplashBidNoticeAbstractUI.aspx?menuIndex=3&amp;refID=7058567&amp;Result=3","7058567")</f>
        <v>0</v>
      </c>
      <c r="B7724" t="s">
        <v>2351</v>
      </c>
      <c r="C7724" t="s">
        <v>10854</v>
      </c>
      <c r="D7724" t="s">
        <v>18795</v>
      </c>
      <c r="E7724" t="s">
        <v>25662</v>
      </c>
      <c r="F7724" t="s">
        <v>32664</v>
      </c>
      <c r="G7724" t="s">
        <v>32672</v>
      </c>
      <c r="H7724" t="s">
        <v>12635</v>
      </c>
      <c r="I7724" t="s">
        <v>6168</v>
      </c>
      <c r="J7724" t="s">
        <v>37550</v>
      </c>
      <c r="K7724" t="s">
        <v>42313</v>
      </c>
      <c r="M7724" t="s">
        <v>45135</v>
      </c>
      <c r="N7724" t="s">
        <v>46569</v>
      </c>
      <c r="O7724" t="s">
        <v>46570</v>
      </c>
      <c r="P7724">
        <v>0</v>
      </c>
      <c r="Q7724">
        <v>0</v>
      </c>
      <c r="R7724" t="s">
        <v>46574</v>
      </c>
      <c r="S7724" t="s">
        <v>46723</v>
      </c>
      <c r="T7724" t="s">
        <v>48334</v>
      </c>
      <c r="U7724" t="s">
        <v>55180</v>
      </c>
      <c r="V7724" t="s">
        <v>62384</v>
      </c>
      <c r="W7724" t="s">
        <v>45135</v>
      </c>
      <c r="X7724" t="s">
        <v>46575</v>
      </c>
    </row>
    <row r="7725" spans="1:24">
      <c r="A7725">
        <f>HYPERLINK("https://www.philgeps.gov.ph/GEPSNONPILOT/Tender/SplashBidNoticeAbstractUI.aspx?menuIndex=3&amp;refID=7058566&amp;Result=3","7058566")</f>
        <v>0</v>
      </c>
      <c r="B7725" t="s">
        <v>2351</v>
      </c>
      <c r="C7725" t="s">
        <v>10855</v>
      </c>
      <c r="D7725" t="s">
        <v>18795</v>
      </c>
      <c r="E7725" t="s">
        <v>23612</v>
      </c>
      <c r="F7725" t="s">
        <v>32664</v>
      </c>
      <c r="G7725" t="s">
        <v>32672</v>
      </c>
      <c r="H7725" t="s">
        <v>12635</v>
      </c>
      <c r="I7725" t="s">
        <v>5589</v>
      </c>
      <c r="J7725" t="s">
        <v>36816</v>
      </c>
      <c r="K7725" t="s">
        <v>42305</v>
      </c>
      <c r="M7725" t="s">
        <v>45135</v>
      </c>
      <c r="N7725" t="s">
        <v>46569</v>
      </c>
      <c r="O7725" t="s">
        <v>46570</v>
      </c>
      <c r="P7725">
        <v>0</v>
      </c>
      <c r="Q7725">
        <v>2</v>
      </c>
      <c r="R7725" t="s">
        <v>46574</v>
      </c>
      <c r="S7725" t="s">
        <v>46723</v>
      </c>
      <c r="T7725" t="s">
        <v>48334</v>
      </c>
      <c r="U7725" t="s">
        <v>55181</v>
      </c>
      <c r="V7725" t="s">
        <v>62384</v>
      </c>
      <c r="W7725" t="s">
        <v>45135</v>
      </c>
      <c r="X7725" t="s">
        <v>46575</v>
      </c>
    </row>
    <row r="7726" spans="1:24">
      <c r="A7726">
        <f>HYPERLINK("https://www.philgeps.gov.ph/GEPSNONPILOT/Tender/SplashBidNoticeAbstractUI.aspx?menuIndex=3&amp;refID=7058595&amp;Result=3","7058595")</f>
        <v>0</v>
      </c>
      <c r="B7726" t="s">
        <v>949</v>
      </c>
      <c r="C7726" t="s">
        <v>10856</v>
      </c>
      <c r="D7726" t="s">
        <v>18784</v>
      </c>
      <c r="E7726" t="s">
        <v>25663</v>
      </c>
      <c r="F7726" t="s">
        <v>32664</v>
      </c>
      <c r="G7726" t="s">
        <v>32675</v>
      </c>
      <c r="H7726" t="s">
        <v>12635</v>
      </c>
      <c r="I7726" t="s">
        <v>32684</v>
      </c>
      <c r="J7726" t="s">
        <v>33387</v>
      </c>
      <c r="K7726" t="s">
        <v>42303</v>
      </c>
      <c r="M7726" t="s">
        <v>43555</v>
      </c>
      <c r="N7726" t="s">
        <v>46569</v>
      </c>
      <c r="O7726" t="s">
        <v>46570</v>
      </c>
      <c r="P7726">
        <v>0</v>
      </c>
      <c r="Q7726">
        <v>15</v>
      </c>
      <c r="R7726" t="s">
        <v>46574</v>
      </c>
      <c r="S7726" t="s">
        <v>46723</v>
      </c>
      <c r="T7726" t="s">
        <v>48376</v>
      </c>
      <c r="U7726" t="s">
        <v>55182</v>
      </c>
      <c r="W7726" t="s">
        <v>43555</v>
      </c>
      <c r="X7726" t="s">
        <v>46575</v>
      </c>
    </row>
    <row r="7727" spans="1:24">
      <c r="A7727">
        <f>HYPERLINK("https://www.philgeps.gov.ph/GEPSNONPILOT/Tender/SplashBidNoticeAbstractUI.aspx?menuIndex=3&amp;refID=7058605&amp;Result=3","7058605")</f>
        <v>0</v>
      </c>
      <c r="B7727" t="s">
        <v>2351</v>
      </c>
      <c r="C7727" t="s">
        <v>10857</v>
      </c>
      <c r="D7727" t="s">
        <v>18795</v>
      </c>
      <c r="E7727" t="s">
        <v>25664</v>
      </c>
      <c r="F7727" t="s">
        <v>32664</v>
      </c>
      <c r="G7727" t="s">
        <v>32677</v>
      </c>
      <c r="H7727" t="s">
        <v>12635</v>
      </c>
      <c r="I7727" t="s">
        <v>32684</v>
      </c>
      <c r="J7727" t="s">
        <v>33311</v>
      </c>
      <c r="K7727" t="s">
        <v>42289</v>
      </c>
      <c r="M7727" t="s">
        <v>45135</v>
      </c>
      <c r="N7727" t="s">
        <v>46569</v>
      </c>
      <c r="O7727" t="s">
        <v>46570</v>
      </c>
      <c r="P7727">
        <v>0</v>
      </c>
      <c r="Q7727">
        <v>1</v>
      </c>
      <c r="R7727" t="s">
        <v>46574</v>
      </c>
      <c r="S7727" t="s">
        <v>46723</v>
      </c>
      <c r="T7727" t="s">
        <v>48287</v>
      </c>
      <c r="U7727" t="s">
        <v>55183</v>
      </c>
      <c r="W7727" t="s">
        <v>45135</v>
      </c>
      <c r="X7727" t="s">
        <v>46575</v>
      </c>
    </row>
    <row r="7728" spans="1:24">
      <c r="A7728">
        <f>HYPERLINK("https://www.philgeps.gov.ph/GEPSNONPILOT/Tender/SplashBidNoticeAbstractUI.aspx?menuIndex=3&amp;refID=7058562&amp;Result=3","7058562")</f>
        <v>0</v>
      </c>
      <c r="B7728" t="s">
        <v>1150</v>
      </c>
      <c r="C7728" t="s">
        <v>10858</v>
      </c>
      <c r="D7728" t="s">
        <v>18845</v>
      </c>
      <c r="E7728" t="s">
        <v>25665</v>
      </c>
      <c r="F7728" t="s">
        <v>32664</v>
      </c>
      <c r="G7728" t="s">
        <v>32671</v>
      </c>
      <c r="H7728" t="s">
        <v>12635</v>
      </c>
      <c r="I7728" t="s">
        <v>8797</v>
      </c>
      <c r="J7728" t="s">
        <v>36771</v>
      </c>
      <c r="K7728" t="s">
        <v>42297</v>
      </c>
      <c r="M7728" t="s">
        <v>44784</v>
      </c>
      <c r="N7728" t="s">
        <v>46569</v>
      </c>
      <c r="O7728" t="s">
        <v>46570</v>
      </c>
      <c r="P7728">
        <v>0</v>
      </c>
      <c r="Q7728">
        <v>0</v>
      </c>
      <c r="R7728" t="s">
        <v>46574</v>
      </c>
      <c r="S7728" t="s">
        <v>46723</v>
      </c>
      <c r="T7728" t="s">
        <v>48449</v>
      </c>
      <c r="U7728" t="s">
        <v>55184</v>
      </c>
      <c r="W7728" t="s">
        <v>44784</v>
      </c>
      <c r="X7728" t="s">
        <v>46575</v>
      </c>
    </row>
    <row r="7729" spans="1:24">
      <c r="A7729">
        <f>HYPERLINK("https://www.philgeps.gov.ph/GEPSNONPILOT/Tender/SplashBidNoticeAbstractUI.aspx?menuIndex=3&amp;refID=7058591&amp;Result=3","7058591")</f>
        <v>0</v>
      </c>
      <c r="B7729" t="s">
        <v>949</v>
      </c>
      <c r="C7729" t="s">
        <v>10859</v>
      </c>
      <c r="D7729" t="s">
        <v>18784</v>
      </c>
      <c r="E7729" t="s">
        <v>25666</v>
      </c>
      <c r="F7729" t="s">
        <v>32664</v>
      </c>
      <c r="G7729" t="s">
        <v>32671</v>
      </c>
      <c r="H7729" t="s">
        <v>12635</v>
      </c>
      <c r="I7729" t="s">
        <v>32694</v>
      </c>
      <c r="J7729" t="s">
        <v>37551</v>
      </c>
      <c r="K7729" t="s">
        <v>42303</v>
      </c>
      <c r="M7729" t="s">
        <v>43555</v>
      </c>
      <c r="N7729" t="s">
        <v>46569</v>
      </c>
      <c r="O7729" t="s">
        <v>46570</v>
      </c>
      <c r="P7729">
        <v>0</v>
      </c>
      <c r="Q7729">
        <v>7</v>
      </c>
      <c r="R7729" t="s">
        <v>46574</v>
      </c>
      <c r="S7729" t="s">
        <v>46723</v>
      </c>
      <c r="T7729" t="s">
        <v>48376</v>
      </c>
      <c r="U7729" t="s">
        <v>55185</v>
      </c>
      <c r="W7729" t="s">
        <v>43555</v>
      </c>
      <c r="X7729" t="s">
        <v>46575</v>
      </c>
    </row>
    <row r="7730" spans="1:24">
      <c r="A7730">
        <f>HYPERLINK("https://www.philgeps.gov.ph/GEPSNONPILOT/Tender/SplashBidNoticeAbstractUI.aspx?menuIndex=3&amp;refID=7058590&amp;Result=3","7058590")</f>
        <v>0</v>
      </c>
      <c r="B7730" t="s">
        <v>2359</v>
      </c>
      <c r="C7730" t="s">
        <v>10860</v>
      </c>
      <c r="D7730" t="s">
        <v>18781</v>
      </c>
      <c r="E7730" t="s">
        <v>18889</v>
      </c>
      <c r="F7730" t="s">
        <v>32664</v>
      </c>
      <c r="G7730" t="s">
        <v>32672</v>
      </c>
      <c r="H7730" t="s">
        <v>12635</v>
      </c>
      <c r="I7730" t="s">
        <v>9486</v>
      </c>
      <c r="J7730" t="s">
        <v>32984</v>
      </c>
      <c r="K7730" t="s">
        <v>42289</v>
      </c>
      <c r="M7730" t="s">
        <v>45143</v>
      </c>
      <c r="N7730" t="s">
        <v>46569</v>
      </c>
      <c r="O7730" t="s">
        <v>46570</v>
      </c>
      <c r="P7730">
        <v>0</v>
      </c>
      <c r="Q7730">
        <v>0</v>
      </c>
      <c r="R7730" t="s">
        <v>46574</v>
      </c>
      <c r="S7730" t="s">
        <v>46723</v>
      </c>
      <c r="T7730" t="s">
        <v>48293</v>
      </c>
      <c r="U7730" t="s">
        <v>55186</v>
      </c>
      <c r="W7730" t="s">
        <v>45143</v>
      </c>
      <c r="X7730" t="s">
        <v>46575</v>
      </c>
    </row>
    <row r="7731" spans="1:24">
      <c r="A7731">
        <f>HYPERLINK("https://www.philgeps.gov.ph/GEPSNONPILOT/Tender/SplashBidNoticeAbstractUI.aspx?menuIndex=3&amp;refID=7058588&amp;Result=3","7058588")</f>
        <v>0</v>
      </c>
      <c r="B7731" t="s">
        <v>2351</v>
      </c>
      <c r="C7731" t="s">
        <v>10861</v>
      </c>
      <c r="D7731" t="s">
        <v>18795</v>
      </c>
      <c r="E7731" t="s">
        <v>25667</v>
      </c>
      <c r="F7731" t="s">
        <v>32664</v>
      </c>
      <c r="G7731" t="s">
        <v>32672</v>
      </c>
      <c r="H7731" t="s">
        <v>12635</v>
      </c>
      <c r="I7731" t="s">
        <v>6168</v>
      </c>
      <c r="J7731" t="s">
        <v>37552</v>
      </c>
      <c r="K7731" t="s">
        <v>42281</v>
      </c>
      <c r="M7731" t="s">
        <v>45135</v>
      </c>
      <c r="N7731" t="s">
        <v>46569</v>
      </c>
      <c r="O7731" t="s">
        <v>46570</v>
      </c>
      <c r="P7731">
        <v>0</v>
      </c>
      <c r="Q7731">
        <v>0</v>
      </c>
      <c r="R7731" t="s">
        <v>46574</v>
      </c>
      <c r="S7731" t="s">
        <v>46723</v>
      </c>
      <c r="T7731" t="s">
        <v>48334</v>
      </c>
      <c r="U7731" t="s">
        <v>55187</v>
      </c>
      <c r="V7731" t="s">
        <v>62384</v>
      </c>
      <c r="W7731" t="s">
        <v>45135</v>
      </c>
      <c r="X7731" t="s">
        <v>46575</v>
      </c>
    </row>
    <row r="7732" spans="1:24">
      <c r="A7732">
        <f>HYPERLINK("https://www.philgeps.gov.ph/GEPSNONPILOT/Tender/SplashBidNoticeAbstractUI.aspx?menuIndex=3&amp;refID=7058568&amp;Result=3","7058568")</f>
        <v>0</v>
      </c>
      <c r="B7732" t="s">
        <v>2351</v>
      </c>
      <c r="C7732" t="s">
        <v>10862</v>
      </c>
      <c r="D7732" t="s">
        <v>18795</v>
      </c>
      <c r="E7732" t="s">
        <v>25668</v>
      </c>
      <c r="F7732" t="s">
        <v>32664</v>
      </c>
      <c r="G7732" t="s">
        <v>32672</v>
      </c>
      <c r="H7732" t="s">
        <v>12635</v>
      </c>
      <c r="I7732" t="s">
        <v>32696</v>
      </c>
      <c r="J7732" t="s">
        <v>37553</v>
      </c>
      <c r="K7732" t="s">
        <v>42314</v>
      </c>
      <c r="M7732" t="s">
        <v>45135</v>
      </c>
      <c r="N7732" t="s">
        <v>46569</v>
      </c>
      <c r="O7732" t="s">
        <v>46570</v>
      </c>
      <c r="P7732">
        <v>0</v>
      </c>
      <c r="Q7732">
        <v>0</v>
      </c>
      <c r="R7732" t="s">
        <v>46574</v>
      </c>
      <c r="S7732" t="s">
        <v>46723</v>
      </c>
      <c r="T7732" t="s">
        <v>48334</v>
      </c>
      <c r="U7732" t="s">
        <v>55188</v>
      </c>
      <c r="V7732" t="s">
        <v>62384</v>
      </c>
      <c r="W7732" t="s">
        <v>45135</v>
      </c>
      <c r="X7732" t="s">
        <v>46575</v>
      </c>
    </row>
    <row r="7733" spans="1:24">
      <c r="A7733">
        <f>HYPERLINK("https://www.philgeps.gov.ph/GEPSNONPILOT/Tender/SplashBidNoticeAbstractUI.aspx?menuIndex=3&amp;refID=7058608&amp;Result=3","7058608")</f>
        <v>0</v>
      </c>
      <c r="B7733" t="s">
        <v>2360</v>
      </c>
      <c r="C7733" t="s">
        <v>10863</v>
      </c>
      <c r="D7733" t="s">
        <v>18823</v>
      </c>
      <c r="E7733" t="s">
        <v>25669</v>
      </c>
      <c r="F7733" t="s">
        <v>32664</v>
      </c>
      <c r="G7733" t="s">
        <v>32671</v>
      </c>
      <c r="H7733" t="s">
        <v>12635</v>
      </c>
      <c r="I7733" t="s">
        <v>8730</v>
      </c>
      <c r="J7733" t="s">
        <v>37554</v>
      </c>
      <c r="K7733" t="s">
        <v>42309</v>
      </c>
      <c r="M7733" t="s">
        <v>45144</v>
      </c>
      <c r="N7733" t="s">
        <v>46569</v>
      </c>
      <c r="O7733" t="s">
        <v>46570</v>
      </c>
      <c r="P7733">
        <v>0</v>
      </c>
      <c r="Q7733">
        <v>8</v>
      </c>
      <c r="R7733" t="s">
        <v>46574</v>
      </c>
      <c r="S7733" t="s">
        <v>46723</v>
      </c>
      <c r="T7733" t="s">
        <v>48449</v>
      </c>
      <c r="U7733" t="s">
        <v>55189</v>
      </c>
      <c r="W7733" t="s">
        <v>45144</v>
      </c>
      <c r="X7733" t="s">
        <v>46575</v>
      </c>
    </row>
    <row r="7734" spans="1:24">
      <c r="A7734">
        <f>HYPERLINK("https://www.philgeps.gov.ph/GEPSNONPILOT/Tender/SplashBidNoticeAbstractUI.aspx?menuIndex=3&amp;refID=7058625&amp;Result=3","7058625")</f>
        <v>0</v>
      </c>
      <c r="B7734" t="s">
        <v>1313</v>
      </c>
      <c r="C7734" t="s">
        <v>10864</v>
      </c>
      <c r="E7734" t="s">
        <v>25670</v>
      </c>
      <c r="F7734" t="s">
        <v>32664</v>
      </c>
      <c r="G7734" t="s">
        <v>32671</v>
      </c>
      <c r="H7734" t="s">
        <v>12635</v>
      </c>
      <c r="I7734" t="s">
        <v>32704</v>
      </c>
      <c r="J7734" t="s">
        <v>35241</v>
      </c>
      <c r="K7734" t="s">
        <v>42283</v>
      </c>
      <c r="M7734" t="s">
        <v>43960</v>
      </c>
      <c r="N7734" t="s">
        <v>46569</v>
      </c>
      <c r="O7734" t="s">
        <v>46570</v>
      </c>
      <c r="P7734">
        <v>0</v>
      </c>
      <c r="Q7734">
        <v>11</v>
      </c>
      <c r="R7734" t="s">
        <v>46574</v>
      </c>
      <c r="S7734" t="s">
        <v>46723</v>
      </c>
      <c r="T7734" t="s">
        <v>48562</v>
      </c>
      <c r="U7734" t="s">
        <v>55178</v>
      </c>
      <c r="W7734" t="s">
        <v>43960</v>
      </c>
      <c r="X7734" t="s">
        <v>46575</v>
      </c>
    </row>
    <row r="7735" spans="1:24">
      <c r="A7735">
        <f>HYPERLINK("https://www.philgeps.gov.ph/GEPSNONPILOT/Tender/SplashBidNoticeAbstractUI.aspx?menuIndex=3&amp;refID=7058632&amp;Result=3","7058632")</f>
        <v>0</v>
      </c>
      <c r="B7735" t="s">
        <v>1313</v>
      </c>
      <c r="C7735" t="s">
        <v>10865</v>
      </c>
      <c r="E7735" t="s">
        <v>25671</v>
      </c>
      <c r="F7735" t="s">
        <v>32664</v>
      </c>
      <c r="G7735" t="s">
        <v>32675</v>
      </c>
      <c r="H7735" t="s">
        <v>12635</v>
      </c>
      <c r="I7735" t="s">
        <v>6168</v>
      </c>
      <c r="J7735" t="s">
        <v>33175</v>
      </c>
      <c r="K7735" t="s">
        <v>42283</v>
      </c>
      <c r="M7735" t="s">
        <v>43960</v>
      </c>
      <c r="N7735" t="s">
        <v>46569</v>
      </c>
      <c r="O7735" t="s">
        <v>46570</v>
      </c>
      <c r="P7735">
        <v>0</v>
      </c>
      <c r="Q7735">
        <v>5</v>
      </c>
      <c r="R7735" t="s">
        <v>46574</v>
      </c>
      <c r="S7735" t="s">
        <v>46723</v>
      </c>
      <c r="T7735" t="s">
        <v>48562</v>
      </c>
      <c r="U7735" t="s">
        <v>55178</v>
      </c>
      <c r="W7735" t="s">
        <v>43960</v>
      </c>
      <c r="X7735" t="s">
        <v>46575</v>
      </c>
    </row>
    <row r="7736" spans="1:24">
      <c r="A7736">
        <f>HYPERLINK("https://www.philgeps.gov.ph/GEPSNONPILOT/Tender/SplashBidNoticeAbstractUI.aspx?menuIndex=3&amp;refID=7058631&amp;Result=3","7058631")</f>
        <v>0</v>
      </c>
      <c r="B7736" t="s">
        <v>2361</v>
      </c>
      <c r="C7736" t="s">
        <v>10866</v>
      </c>
      <c r="D7736" t="s">
        <v>18856</v>
      </c>
      <c r="E7736" t="s">
        <v>21041</v>
      </c>
      <c r="F7736" t="s">
        <v>32664</v>
      </c>
      <c r="G7736" t="s">
        <v>32672</v>
      </c>
      <c r="H7736" t="s">
        <v>12635</v>
      </c>
      <c r="I7736" t="s">
        <v>9597</v>
      </c>
      <c r="J7736" t="s">
        <v>33078</v>
      </c>
      <c r="K7736" t="s">
        <v>42281</v>
      </c>
      <c r="M7736" t="s">
        <v>45145</v>
      </c>
      <c r="N7736" t="s">
        <v>46569</v>
      </c>
      <c r="O7736" t="s">
        <v>46570</v>
      </c>
      <c r="P7736">
        <v>0</v>
      </c>
      <c r="Q7736">
        <v>1</v>
      </c>
      <c r="R7736" t="s">
        <v>46574</v>
      </c>
      <c r="S7736" t="s">
        <v>46723</v>
      </c>
      <c r="T7736" t="s">
        <v>48298</v>
      </c>
      <c r="U7736" t="s">
        <v>55190</v>
      </c>
      <c r="W7736" t="s">
        <v>45145</v>
      </c>
      <c r="X7736" t="s">
        <v>46575</v>
      </c>
    </row>
    <row r="7737" spans="1:24">
      <c r="A7737">
        <f>HYPERLINK("https://www.philgeps.gov.ph/GEPSNONPILOT/Tender/SplashBidNoticeAbstractUI.aspx?menuIndex=3&amp;refID=7058629&amp;Result=3","7058629")</f>
        <v>0</v>
      </c>
      <c r="B7737" t="s">
        <v>1313</v>
      </c>
      <c r="C7737" t="s">
        <v>10867</v>
      </c>
      <c r="E7737" t="s">
        <v>25672</v>
      </c>
      <c r="F7737" t="s">
        <v>32664</v>
      </c>
      <c r="G7737" t="s">
        <v>32675</v>
      </c>
      <c r="H7737" t="s">
        <v>12635</v>
      </c>
      <c r="I7737" t="s">
        <v>6168</v>
      </c>
      <c r="J7737" t="s">
        <v>34363</v>
      </c>
      <c r="K7737" t="s">
        <v>42283</v>
      </c>
      <c r="M7737" t="s">
        <v>43960</v>
      </c>
      <c r="N7737" t="s">
        <v>46569</v>
      </c>
      <c r="O7737" t="s">
        <v>46570</v>
      </c>
      <c r="P7737">
        <v>0</v>
      </c>
      <c r="Q7737">
        <v>8</v>
      </c>
      <c r="R7737" t="s">
        <v>46574</v>
      </c>
      <c r="S7737" t="s">
        <v>46723</v>
      </c>
      <c r="T7737" t="s">
        <v>48562</v>
      </c>
      <c r="U7737" t="s">
        <v>55178</v>
      </c>
      <c r="W7737" t="s">
        <v>43960</v>
      </c>
      <c r="X7737" t="s">
        <v>46575</v>
      </c>
    </row>
    <row r="7738" spans="1:24">
      <c r="A7738">
        <f>HYPERLINK("https://www.philgeps.gov.ph/GEPSNONPILOT/Tender/SplashBidNoticeAbstractUI.aspx?menuIndex=3&amp;refID=7058624&amp;Result=3","7058624")</f>
        <v>0</v>
      </c>
      <c r="B7738" t="s">
        <v>1313</v>
      </c>
      <c r="C7738" t="s">
        <v>10868</v>
      </c>
      <c r="E7738" t="s">
        <v>25673</v>
      </c>
      <c r="F7738" t="s">
        <v>32664</v>
      </c>
      <c r="G7738" t="s">
        <v>32671</v>
      </c>
      <c r="H7738" t="s">
        <v>12635</v>
      </c>
      <c r="I7738" t="s">
        <v>32704</v>
      </c>
      <c r="J7738" t="s">
        <v>37555</v>
      </c>
      <c r="K7738" t="s">
        <v>42283</v>
      </c>
      <c r="M7738" t="s">
        <v>43960</v>
      </c>
      <c r="N7738" t="s">
        <v>46569</v>
      </c>
      <c r="O7738" t="s">
        <v>46570</v>
      </c>
      <c r="P7738">
        <v>0</v>
      </c>
      <c r="Q7738">
        <v>6</v>
      </c>
      <c r="R7738" t="s">
        <v>46574</v>
      </c>
      <c r="S7738" t="s">
        <v>46723</v>
      </c>
      <c r="T7738" t="s">
        <v>48562</v>
      </c>
      <c r="U7738" t="s">
        <v>55178</v>
      </c>
      <c r="W7738" t="s">
        <v>43960</v>
      </c>
      <c r="X7738" t="s">
        <v>46575</v>
      </c>
    </row>
    <row r="7739" spans="1:24">
      <c r="A7739">
        <f>HYPERLINK("https://www.philgeps.gov.ph/GEPSNONPILOT/Tender/SplashBidNoticeAbstractUI.aspx?menuIndex=3&amp;refID=7058599&amp;Result=3","7058599")</f>
        <v>0</v>
      </c>
      <c r="B7739" t="s">
        <v>2351</v>
      </c>
      <c r="C7739" t="s">
        <v>10869</v>
      </c>
      <c r="D7739" t="s">
        <v>18795</v>
      </c>
      <c r="E7739" t="s">
        <v>25674</v>
      </c>
      <c r="F7739" t="s">
        <v>32664</v>
      </c>
      <c r="G7739" t="s">
        <v>32677</v>
      </c>
      <c r="H7739" t="s">
        <v>12635</v>
      </c>
      <c r="I7739" t="s">
        <v>6628</v>
      </c>
      <c r="J7739" t="s">
        <v>33250</v>
      </c>
      <c r="K7739" t="s">
        <v>42303</v>
      </c>
      <c r="M7739" t="s">
        <v>45135</v>
      </c>
      <c r="N7739" t="s">
        <v>46569</v>
      </c>
      <c r="O7739" t="s">
        <v>46570</v>
      </c>
      <c r="P7739">
        <v>0</v>
      </c>
      <c r="Q7739">
        <v>4</v>
      </c>
      <c r="R7739" t="s">
        <v>46574</v>
      </c>
      <c r="S7739" t="s">
        <v>46723</v>
      </c>
      <c r="T7739" t="s">
        <v>48287</v>
      </c>
      <c r="U7739" t="s">
        <v>55191</v>
      </c>
      <c r="W7739" t="s">
        <v>45135</v>
      </c>
      <c r="X7739" t="s">
        <v>46575</v>
      </c>
    </row>
    <row r="7740" spans="1:24">
      <c r="A7740">
        <f>HYPERLINK("https://www.philgeps.gov.ph/GEPSNONPILOT/Tender/SplashBidNoticeAbstractUI.aspx?menuIndex=3&amp;refID=7058628&amp;Result=3","7058628")</f>
        <v>0</v>
      </c>
      <c r="B7740" t="s">
        <v>1313</v>
      </c>
      <c r="C7740" t="s">
        <v>10870</v>
      </c>
      <c r="E7740" t="s">
        <v>25675</v>
      </c>
      <c r="F7740" t="s">
        <v>32664</v>
      </c>
      <c r="G7740" t="s">
        <v>32671</v>
      </c>
      <c r="H7740" t="s">
        <v>12635</v>
      </c>
      <c r="I7740" t="s">
        <v>32704</v>
      </c>
      <c r="J7740" t="s">
        <v>37556</v>
      </c>
      <c r="K7740" t="s">
        <v>42283</v>
      </c>
      <c r="M7740" t="s">
        <v>43960</v>
      </c>
      <c r="N7740" t="s">
        <v>46569</v>
      </c>
      <c r="O7740" t="s">
        <v>46570</v>
      </c>
      <c r="P7740">
        <v>0</v>
      </c>
      <c r="Q7740">
        <v>3</v>
      </c>
      <c r="R7740" t="s">
        <v>46574</v>
      </c>
      <c r="S7740" t="s">
        <v>46723</v>
      </c>
      <c r="T7740" t="s">
        <v>48562</v>
      </c>
      <c r="U7740" t="s">
        <v>55178</v>
      </c>
      <c r="W7740" t="s">
        <v>43960</v>
      </c>
      <c r="X7740" t="s">
        <v>46575</v>
      </c>
    </row>
    <row r="7741" spans="1:24">
      <c r="A7741">
        <f>HYPERLINK("https://www.philgeps.gov.ph/GEPSNONPILOT/Tender/SplashBidNoticeAbstractUI.aspx?menuIndex=3&amp;refID=7058620&amp;Result=3","7058620")</f>
        <v>0</v>
      </c>
      <c r="B7741" t="s">
        <v>2351</v>
      </c>
      <c r="C7741" t="s">
        <v>10871</v>
      </c>
      <c r="D7741" t="s">
        <v>18795</v>
      </c>
      <c r="E7741" t="s">
        <v>25676</v>
      </c>
      <c r="F7741" t="s">
        <v>32664</v>
      </c>
      <c r="G7741" t="s">
        <v>32677</v>
      </c>
      <c r="H7741" t="s">
        <v>12635</v>
      </c>
      <c r="I7741" t="s">
        <v>6168</v>
      </c>
      <c r="J7741" t="s">
        <v>33621</v>
      </c>
      <c r="K7741" t="s">
        <v>42297</v>
      </c>
      <c r="M7741" t="s">
        <v>45135</v>
      </c>
      <c r="N7741" t="s">
        <v>46569</v>
      </c>
      <c r="O7741" t="s">
        <v>46570</v>
      </c>
      <c r="P7741">
        <v>0</v>
      </c>
      <c r="Q7741">
        <v>0</v>
      </c>
      <c r="R7741" t="s">
        <v>46574</v>
      </c>
      <c r="S7741" t="s">
        <v>46723</v>
      </c>
      <c r="T7741" t="s">
        <v>48287</v>
      </c>
      <c r="U7741" t="s">
        <v>55192</v>
      </c>
      <c r="W7741" t="s">
        <v>45135</v>
      </c>
      <c r="X7741" t="s">
        <v>46575</v>
      </c>
    </row>
    <row r="7742" spans="1:24">
      <c r="A7742">
        <f>HYPERLINK("https://www.philgeps.gov.ph/GEPSNONPILOT/Tender/SplashBidNoticeAbstractUI.aspx?menuIndex=3&amp;refID=7058617&amp;Result=3","7058617")</f>
        <v>0</v>
      </c>
      <c r="B7742" t="s">
        <v>1313</v>
      </c>
      <c r="C7742" t="s">
        <v>10872</v>
      </c>
      <c r="E7742" t="s">
        <v>25677</v>
      </c>
      <c r="F7742" t="s">
        <v>32664</v>
      </c>
      <c r="G7742" t="s">
        <v>32671</v>
      </c>
      <c r="H7742" t="s">
        <v>12635</v>
      </c>
      <c r="I7742" t="s">
        <v>32704</v>
      </c>
      <c r="J7742" t="s">
        <v>33831</v>
      </c>
      <c r="K7742" t="s">
        <v>42283</v>
      </c>
      <c r="M7742" t="s">
        <v>43960</v>
      </c>
      <c r="N7742" t="s">
        <v>46569</v>
      </c>
      <c r="O7742" t="s">
        <v>46570</v>
      </c>
      <c r="P7742">
        <v>0</v>
      </c>
      <c r="Q7742">
        <v>5</v>
      </c>
      <c r="R7742" t="s">
        <v>46574</v>
      </c>
      <c r="S7742" t="s">
        <v>46723</v>
      </c>
      <c r="T7742" t="s">
        <v>48562</v>
      </c>
      <c r="U7742" t="s">
        <v>55178</v>
      </c>
      <c r="W7742" t="s">
        <v>43960</v>
      </c>
      <c r="X7742" t="s">
        <v>46575</v>
      </c>
    </row>
    <row r="7743" spans="1:24">
      <c r="A7743">
        <f>HYPERLINK("https://www.philgeps.gov.ph/GEPSNONPILOT/Tender/SplashBidNoticeAbstractUI.aspx?menuIndex=3&amp;refID=7058592&amp;Result=3","7058592")</f>
        <v>0</v>
      </c>
      <c r="B7743" t="s">
        <v>2351</v>
      </c>
      <c r="C7743" t="s">
        <v>10873</v>
      </c>
      <c r="D7743" t="s">
        <v>18795</v>
      </c>
      <c r="E7743" t="s">
        <v>25678</v>
      </c>
      <c r="F7743" t="s">
        <v>32664</v>
      </c>
      <c r="G7743" t="s">
        <v>32672</v>
      </c>
      <c r="H7743" t="s">
        <v>12635</v>
      </c>
      <c r="I7743" t="s">
        <v>5589</v>
      </c>
      <c r="J7743" t="s">
        <v>37557</v>
      </c>
      <c r="K7743" t="s">
        <v>42314</v>
      </c>
      <c r="M7743" t="s">
        <v>45135</v>
      </c>
      <c r="N7743" t="s">
        <v>46569</v>
      </c>
      <c r="O7743" t="s">
        <v>46570</v>
      </c>
      <c r="P7743">
        <v>0</v>
      </c>
      <c r="Q7743">
        <v>2</v>
      </c>
      <c r="R7743" t="s">
        <v>46574</v>
      </c>
      <c r="S7743" t="s">
        <v>46723</v>
      </c>
      <c r="T7743" t="s">
        <v>48334</v>
      </c>
      <c r="U7743" t="s">
        <v>55193</v>
      </c>
      <c r="V7743" t="s">
        <v>62384</v>
      </c>
      <c r="W7743" t="s">
        <v>45135</v>
      </c>
      <c r="X7743" t="s">
        <v>46575</v>
      </c>
    </row>
    <row r="7744" spans="1:24">
      <c r="A7744">
        <f>HYPERLINK("https://www.philgeps.gov.ph/GEPSNONPILOT/Tender/SplashBidNoticeAbstractUI.aspx?menuIndex=3&amp;refID=7058615&amp;Result=3","7058615")</f>
        <v>0</v>
      </c>
      <c r="B7744" t="s">
        <v>2351</v>
      </c>
      <c r="C7744" t="s">
        <v>10874</v>
      </c>
      <c r="D7744" t="s">
        <v>18795</v>
      </c>
      <c r="E7744" t="s">
        <v>25679</v>
      </c>
      <c r="F7744" t="s">
        <v>32664</v>
      </c>
      <c r="G7744" t="s">
        <v>32677</v>
      </c>
      <c r="H7744" t="s">
        <v>12635</v>
      </c>
      <c r="I7744" t="s">
        <v>6168</v>
      </c>
      <c r="J7744" t="s">
        <v>37558</v>
      </c>
      <c r="K7744" t="s">
        <v>42297</v>
      </c>
      <c r="M7744" t="s">
        <v>45135</v>
      </c>
      <c r="N7744" t="s">
        <v>46569</v>
      </c>
      <c r="O7744" t="s">
        <v>46570</v>
      </c>
      <c r="P7744">
        <v>0</v>
      </c>
      <c r="Q7744">
        <v>0</v>
      </c>
      <c r="R7744" t="s">
        <v>46574</v>
      </c>
      <c r="S7744" t="s">
        <v>46723</v>
      </c>
      <c r="T7744" t="s">
        <v>48287</v>
      </c>
      <c r="U7744" t="s">
        <v>55194</v>
      </c>
      <c r="W7744" t="s">
        <v>45135</v>
      </c>
      <c r="X7744" t="s">
        <v>46575</v>
      </c>
    </row>
    <row r="7745" spans="1:24">
      <c r="A7745">
        <f>HYPERLINK("https://www.philgeps.gov.ph/GEPSNONPILOT/Tender/SplashBidNoticeAbstractUI.aspx?menuIndex=3&amp;refID=7058614&amp;Result=3","7058614")</f>
        <v>0</v>
      </c>
      <c r="B7745" t="s">
        <v>1313</v>
      </c>
      <c r="C7745" t="s">
        <v>10875</v>
      </c>
      <c r="E7745" t="s">
        <v>25680</v>
      </c>
      <c r="F7745" t="s">
        <v>32664</v>
      </c>
      <c r="G7745" t="s">
        <v>32675</v>
      </c>
      <c r="H7745" t="s">
        <v>12635</v>
      </c>
      <c r="I7745" t="s">
        <v>6628</v>
      </c>
      <c r="J7745" t="s">
        <v>34433</v>
      </c>
      <c r="K7745" t="s">
        <v>42283</v>
      </c>
      <c r="M7745" t="s">
        <v>43960</v>
      </c>
      <c r="N7745" t="s">
        <v>46569</v>
      </c>
      <c r="O7745" t="s">
        <v>46570</v>
      </c>
      <c r="P7745">
        <v>0</v>
      </c>
      <c r="Q7745">
        <v>0</v>
      </c>
      <c r="R7745" t="s">
        <v>46574</v>
      </c>
      <c r="S7745" t="s">
        <v>46723</v>
      </c>
      <c r="T7745" t="s">
        <v>48562</v>
      </c>
      <c r="U7745" t="s">
        <v>55178</v>
      </c>
      <c r="W7745" t="s">
        <v>43960</v>
      </c>
      <c r="X7745" t="s">
        <v>46575</v>
      </c>
    </row>
    <row r="7746" spans="1:24">
      <c r="A7746">
        <f>HYPERLINK("https://www.philgeps.gov.ph/GEPSNONPILOT/Tender/SplashBidNoticeAbstractUI.aspx?menuIndex=3&amp;refID=7058612&amp;Result=3","7058612")</f>
        <v>0</v>
      </c>
      <c r="B7746" t="s">
        <v>2351</v>
      </c>
      <c r="C7746" t="s">
        <v>10876</v>
      </c>
      <c r="D7746" t="s">
        <v>18795</v>
      </c>
      <c r="E7746" t="s">
        <v>25681</v>
      </c>
      <c r="F7746" t="s">
        <v>32664</v>
      </c>
      <c r="G7746" t="s">
        <v>32677</v>
      </c>
      <c r="H7746" t="s">
        <v>12635</v>
      </c>
      <c r="I7746" t="s">
        <v>6168</v>
      </c>
      <c r="J7746" t="s">
        <v>37559</v>
      </c>
      <c r="K7746" t="s">
        <v>42289</v>
      </c>
      <c r="M7746" t="s">
        <v>45135</v>
      </c>
      <c r="N7746" t="s">
        <v>46569</v>
      </c>
      <c r="O7746" t="s">
        <v>46570</v>
      </c>
      <c r="P7746">
        <v>0</v>
      </c>
      <c r="Q7746">
        <v>0</v>
      </c>
      <c r="R7746" t="s">
        <v>46574</v>
      </c>
      <c r="S7746" t="s">
        <v>46723</v>
      </c>
      <c r="T7746" t="s">
        <v>48287</v>
      </c>
      <c r="U7746" t="s">
        <v>55195</v>
      </c>
      <c r="W7746" t="s">
        <v>45135</v>
      </c>
      <c r="X7746" t="s">
        <v>46575</v>
      </c>
    </row>
    <row r="7747" spans="1:24">
      <c r="A7747">
        <f>HYPERLINK("https://www.philgeps.gov.ph/GEPSNONPILOT/Tender/SplashBidNoticeAbstractUI.aspx?menuIndex=3&amp;refID=7058621&amp;Result=3","7058621")</f>
        <v>0</v>
      </c>
      <c r="B7747" t="s">
        <v>2351</v>
      </c>
      <c r="C7747" t="s">
        <v>10877</v>
      </c>
      <c r="D7747" t="s">
        <v>18795</v>
      </c>
      <c r="E7747" t="s">
        <v>25682</v>
      </c>
      <c r="F7747" t="s">
        <v>32664</v>
      </c>
      <c r="G7747" t="s">
        <v>32677</v>
      </c>
      <c r="H7747" t="s">
        <v>12635</v>
      </c>
      <c r="I7747" t="s">
        <v>6628</v>
      </c>
      <c r="J7747" t="s">
        <v>33069</v>
      </c>
      <c r="K7747" t="s">
        <v>42289</v>
      </c>
      <c r="M7747" t="s">
        <v>45135</v>
      </c>
      <c r="N7747" t="s">
        <v>46569</v>
      </c>
      <c r="O7747" t="s">
        <v>46570</v>
      </c>
      <c r="P7747">
        <v>0</v>
      </c>
      <c r="Q7747">
        <v>0</v>
      </c>
      <c r="R7747" t="s">
        <v>46574</v>
      </c>
      <c r="S7747" t="s">
        <v>46723</v>
      </c>
      <c r="T7747" t="s">
        <v>48287</v>
      </c>
      <c r="U7747" t="s">
        <v>55196</v>
      </c>
      <c r="W7747" t="s">
        <v>45135</v>
      </c>
      <c r="X7747" t="s">
        <v>46575</v>
      </c>
    </row>
    <row r="7748" spans="1:24">
      <c r="A7748">
        <f>HYPERLINK("https://www.philgeps.gov.ph/GEPSNONPILOT/Tender/SplashBidNoticeAbstractUI.aspx?menuIndex=3&amp;refID=7058611&amp;Result=3","7058611")</f>
        <v>0</v>
      </c>
      <c r="B7748" t="s">
        <v>2357</v>
      </c>
      <c r="C7748" t="s">
        <v>10878</v>
      </c>
      <c r="D7748" t="s">
        <v>18783</v>
      </c>
      <c r="E7748" t="s">
        <v>25683</v>
      </c>
      <c r="F7748" t="s">
        <v>32664</v>
      </c>
      <c r="G7748" t="s">
        <v>32674</v>
      </c>
      <c r="H7748" t="s">
        <v>12635</v>
      </c>
      <c r="I7748" t="s">
        <v>32706</v>
      </c>
      <c r="J7748" t="s">
        <v>33893</v>
      </c>
      <c r="K7748" t="s">
        <v>42289</v>
      </c>
      <c r="M7748" t="s">
        <v>45141</v>
      </c>
      <c r="N7748" t="s">
        <v>46569</v>
      </c>
      <c r="O7748" t="s">
        <v>46570</v>
      </c>
      <c r="P7748">
        <v>0</v>
      </c>
      <c r="Q7748">
        <v>0</v>
      </c>
      <c r="R7748" t="s">
        <v>46574</v>
      </c>
      <c r="S7748" t="s">
        <v>46723</v>
      </c>
      <c r="T7748" t="s">
        <v>48448</v>
      </c>
      <c r="U7748" t="s">
        <v>55197</v>
      </c>
      <c r="W7748" t="s">
        <v>45141</v>
      </c>
      <c r="X7748" t="s">
        <v>46575</v>
      </c>
    </row>
    <row r="7749" spans="1:24">
      <c r="A7749">
        <f>HYPERLINK("https://www.philgeps.gov.ph/GEPSNONPILOT/Tender/SplashBidNoticeAbstractUI.aspx?menuIndex=3&amp;refID=7058655&amp;Result=3","7058655")</f>
        <v>0</v>
      </c>
      <c r="B7749" t="s">
        <v>1313</v>
      </c>
      <c r="C7749" t="s">
        <v>10879</v>
      </c>
      <c r="E7749" t="s">
        <v>25684</v>
      </c>
      <c r="F7749" t="s">
        <v>32664</v>
      </c>
      <c r="G7749" t="s">
        <v>32671</v>
      </c>
      <c r="H7749" t="s">
        <v>12635</v>
      </c>
      <c r="I7749" t="s">
        <v>32704</v>
      </c>
      <c r="J7749" t="s">
        <v>32976</v>
      </c>
      <c r="K7749" t="s">
        <v>42283</v>
      </c>
      <c r="M7749" t="s">
        <v>43960</v>
      </c>
      <c r="N7749" t="s">
        <v>46569</v>
      </c>
      <c r="O7749" t="s">
        <v>46570</v>
      </c>
      <c r="P7749">
        <v>0</v>
      </c>
      <c r="Q7749">
        <v>5</v>
      </c>
      <c r="R7749" t="s">
        <v>46574</v>
      </c>
      <c r="S7749" t="s">
        <v>46723</v>
      </c>
      <c r="T7749" t="s">
        <v>48562</v>
      </c>
      <c r="U7749" t="s">
        <v>55178</v>
      </c>
      <c r="W7749" t="s">
        <v>43960</v>
      </c>
      <c r="X7749" t="s">
        <v>46575</v>
      </c>
    </row>
    <row r="7750" spans="1:24">
      <c r="A7750">
        <f>HYPERLINK("https://www.philgeps.gov.ph/GEPSNONPILOT/Tender/SplashBidNoticeAbstractUI.aspx?menuIndex=3&amp;refID=7058654&amp;Result=3","7058654")</f>
        <v>0</v>
      </c>
      <c r="B7750" t="s">
        <v>2360</v>
      </c>
      <c r="C7750" t="s">
        <v>10880</v>
      </c>
      <c r="D7750" t="s">
        <v>18823</v>
      </c>
      <c r="E7750" t="s">
        <v>25685</v>
      </c>
      <c r="F7750" t="s">
        <v>32664</v>
      </c>
      <c r="G7750" t="s">
        <v>32671</v>
      </c>
      <c r="H7750" t="s">
        <v>12635</v>
      </c>
      <c r="I7750" t="s">
        <v>8730</v>
      </c>
      <c r="J7750" t="s">
        <v>37560</v>
      </c>
      <c r="K7750" t="s">
        <v>42309</v>
      </c>
      <c r="M7750" t="s">
        <v>45144</v>
      </c>
      <c r="N7750" t="s">
        <v>46569</v>
      </c>
      <c r="O7750" t="s">
        <v>46570</v>
      </c>
      <c r="P7750">
        <v>0</v>
      </c>
      <c r="Q7750">
        <v>5</v>
      </c>
      <c r="R7750" t="s">
        <v>46574</v>
      </c>
      <c r="S7750" t="s">
        <v>46723</v>
      </c>
      <c r="T7750" t="s">
        <v>48449</v>
      </c>
      <c r="U7750" t="s">
        <v>55189</v>
      </c>
      <c r="W7750" t="s">
        <v>45144</v>
      </c>
      <c r="X7750" t="s">
        <v>46575</v>
      </c>
    </row>
    <row r="7751" spans="1:24">
      <c r="A7751">
        <f>HYPERLINK("https://www.philgeps.gov.ph/GEPSNONPILOT/Tender/SplashBidNoticeAbstractUI.aspx?menuIndex=3&amp;refID=7058627&amp;Result=3","7058627")</f>
        <v>0</v>
      </c>
      <c r="B7751" t="s">
        <v>2351</v>
      </c>
      <c r="C7751" t="s">
        <v>10881</v>
      </c>
      <c r="D7751" t="s">
        <v>18795</v>
      </c>
      <c r="E7751" t="s">
        <v>25686</v>
      </c>
      <c r="F7751" t="s">
        <v>32664</v>
      </c>
      <c r="G7751" t="s">
        <v>32677</v>
      </c>
      <c r="H7751" t="s">
        <v>12635</v>
      </c>
      <c r="I7751" t="s">
        <v>32684</v>
      </c>
      <c r="J7751" t="s">
        <v>37561</v>
      </c>
      <c r="K7751" t="s">
        <v>42321</v>
      </c>
      <c r="M7751" t="s">
        <v>45135</v>
      </c>
      <c r="N7751" t="s">
        <v>46569</v>
      </c>
      <c r="O7751" t="s">
        <v>46570</v>
      </c>
      <c r="P7751">
        <v>0</v>
      </c>
      <c r="Q7751">
        <v>3</v>
      </c>
      <c r="R7751" t="s">
        <v>46574</v>
      </c>
      <c r="S7751" t="s">
        <v>46723</v>
      </c>
      <c r="T7751" t="s">
        <v>48287</v>
      </c>
      <c r="U7751" t="s">
        <v>55198</v>
      </c>
      <c r="W7751" t="s">
        <v>45135</v>
      </c>
      <c r="X7751" t="s">
        <v>46575</v>
      </c>
    </row>
    <row r="7752" spans="1:24">
      <c r="A7752">
        <f>HYPERLINK("https://www.philgeps.gov.ph/GEPSNONPILOT/Tender/SplashBidNoticeAbstractUI.aspx?menuIndex=3&amp;refID=7058650&amp;Result=3","7058650")</f>
        <v>0</v>
      </c>
      <c r="B7752" t="s">
        <v>2360</v>
      </c>
      <c r="C7752" t="s">
        <v>10882</v>
      </c>
      <c r="D7752" t="s">
        <v>18823</v>
      </c>
      <c r="E7752" t="s">
        <v>10882</v>
      </c>
      <c r="F7752" t="s">
        <v>32664</v>
      </c>
      <c r="G7752" t="s">
        <v>32671</v>
      </c>
      <c r="H7752" t="s">
        <v>12635</v>
      </c>
      <c r="I7752" t="s">
        <v>8730</v>
      </c>
      <c r="J7752" t="s">
        <v>37562</v>
      </c>
      <c r="K7752" t="s">
        <v>42309</v>
      </c>
      <c r="M7752" t="s">
        <v>45144</v>
      </c>
      <c r="N7752" t="s">
        <v>46569</v>
      </c>
      <c r="O7752" t="s">
        <v>46570</v>
      </c>
      <c r="P7752">
        <v>0</v>
      </c>
      <c r="Q7752">
        <v>5</v>
      </c>
      <c r="R7752" t="s">
        <v>46574</v>
      </c>
      <c r="S7752" t="s">
        <v>46723</v>
      </c>
      <c r="T7752" t="s">
        <v>48449</v>
      </c>
      <c r="U7752" t="s">
        <v>55189</v>
      </c>
      <c r="W7752" t="s">
        <v>45144</v>
      </c>
      <c r="X7752" t="s">
        <v>46575</v>
      </c>
    </row>
    <row r="7753" spans="1:24">
      <c r="A7753">
        <f>HYPERLINK("https://www.philgeps.gov.ph/GEPSNONPILOT/Tender/SplashBidNoticeAbstractUI.aspx?menuIndex=3&amp;refID=7058652&amp;Result=3","7058652")</f>
        <v>0</v>
      </c>
      <c r="B7753" t="s">
        <v>1313</v>
      </c>
      <c r="C7753" t="s">
        <v>10883</v>
      </c>
      <c r="E7753" t="s">
        <v>25687</v>
      </c>
      <c r="F7753" t="s">
        <v>32664</v>
      </c>
      <c r="G7753" t="s">
        <v>32671</v>
      </c>
      <c r="H7753" t="s">
        <v>12635</v>
      </c>
      <c r="I7753" t="s">
        <v>32704</v>
      </c>
      <c r="J7753" t="s">
        <v>37563</v>
      </c>
      <c r="K7753" t="s">
        <v>42283</v>
      </c>
      <c r="M7753" t="s">
        <v>43960</v>
      </c>
      <c r="N7753" t="s">
        <v>46569</v>
      </c>
      <c r="O7753" t="s">
        <v>46570</v>
      </c>
      <c r="P7753">
        <v>0</v>
      </c>
      <c r="Q7753">
        <v>2</v>
      </c>
      <c r="R7753" t="s">
        <v>46574</v>
      </c>
      <c r="S7753" t="s">
        <v>46723</v>
      </c>
      <c r="T7753" t="s">
        <v>48562</v>
      </c>
      <c r="U7753" t="s">
        <v>55178</v>
      </c>
      <c r="W7753" t="s">
        <v>43960</v>
      </c>
      <c r="X7753" t="s">
        <v>46575</v>
      </c>
    </row>
    <row r="7754" spans="1:24">
      <c r="A7754">
        <f>HYPERLINK("https://www.philgeps.gov.ph/GEPSNONPILOT/Tender/SplashBidNoticeAbstractUI.aspx?menuIndex=3&amp;refID=7058648&amp;Result=3","7058648")</f>
        <v>0</v>
      </c>
      <c r="B7754" t="s">
        <v>1313</v>
      </c>
      <c r="C7754" t="s">
        <v>10884</v>
      </c>
      <c r="E7754" t="s">
        <v>25688</v>
      </c>
      <c r="F7754" t="s">
        <v>32664</v>
      </c>
      <c r="G7754" t="s">
        <v>32671</v>
      </c>
      <c r="H7754" t="s">
        <v>12635</v>
      </c>
      <c r="I7754" t="s">
        <v>32704</v>
      </c>
      <c r="J7754" t="s">
        <v>33311</v>
      </c>
      <c r="K7754" t="s">
        <v>42283</v>
      </c>
      <c r="M7754" t="s">
        <v>43960</v>
      </c>
      <c r="N7754" t="s">
        <v>46569</v>
      </c>
      <c r="O7754" t="s">
        <v>46570</v>
      </c>
      <c r="P7754">
        <v>0</v>
      </c>
      <c r="Q7754">
        <v>7</v>
      </c>
      <c r="R7754" t="s">
        <v>46574</v>
      </c>
      <c r="S7754" t="s">
        <v>46723</v>
      </c>
      <c r="T7754" t="s">
        <v>48562</v>
      </c>
      <c r="U7754" t="s">
        <v>55178</v>
      </c>
      <c r="W7754" t="s">
        <v>43960</v>
      </c>
      <c r="X7754" t="s">
        <v>46575</v>
      </c>
    </row>
    <row r="7755" spans="1:24">
      <c r="A7755">
        <f>HYPERLINK("https://www.philgeps.gov.ph/GEPSNONPILOT/Tender/SplashBidNoticeAbstractUI.aspx?menuIndex=3&amp;refID=7058603&amp;Result=3","7058603")</f>
        <v>0</v>
      </c>
      <c r="B7755" t="s">
        <v>2351</v>
      </c>
      <c r="C7755" t="s">
        <v>10885</v>
      </c>
      <c r="D7755" t="s">
        <v>18795</v>
      </c>
      <c r="E7755" t="s">
        <v>25689</v>
      </c>
      <c r="F7755" t="s">
        <v>32664</v>
      </c>
      <c r="G7755" t="s">
        <v>32677</v>
      </c>
      <c r="H7755" t="s">
        <v>12635</v>
      </c>
      <c r="I7755" t="s">
        <v>6628</v>
      </c>
      <c r="J7755" t="s">
        <v>37564</v>
      </c>
      <c r="K7755" t="s">
        <v>42289</v>
      </c>
      <c r="M7755" t="s">
        <v>45135</v>
      </c>
      <c r="N7755" t="s">
        <v>46569</v>
      </c>
      <c r="O7755" t="s">
        <v>46570</v>
      </c>
      <c r="P7755">
        <v>0</v>
      </c>
      <c r="Q7755">
        <v>0</v>
      </c>
      <c r="R7755" t="s">
        <v>46574</v>
      </c>
      <c r="S7755" t="s">
        <v>46723</v>
      </c>
      <c r="T7755" t="s">
        <v>48287</v>
      </c>
      <c r="U7755" t="s">
        <v>55199</v>
      </c>
      <c r="W7755" t="s">
        <v>45135</v>
      </c>
      <c r="X7755" t="s">
        <v>46575</v>
      </c>
    </row>
    <row r="7756" spans="1:24">
      <c r="A7756">
        <f>HYPERLINK("https://www.philgeps.gov.ph/GEPSNONPILOT/Tender/SplashBidNoticeAbstractUI.aspx?menuIndex=3&amp;refID=7058646&amp;Result=3","7058646")</f>
        <v>0</v>
      </c>
      <c r="B7756" t="s">
        <v>2360</v>
      </c>
      <c r="C7756" t="s">
        <v>10886</v>
      </c>
      <c r="D7756" t="s">
        <v>18823</v>
      </c>
      <c r="E7756" t="s">
        <v>25690</v>
      </c>
      <c r="F7756" t="s">
        <v>32664</v>
      </c>
      <c r="G7756" t="s">
        <v>32671</v>
      </c>
      <c r="H7756" t="s">
        <v>12635</v>
      </c>
      <c r="I7756" t="s">
        <v>6223</v>
      </c>
      <c r="J7756" t="s">
        <v>37565</v>
      </c>
      <c r="K7756" t="s">
        <v>42309</v>
      </c>
      <c r="M7756" t="s">
        <v>45144</v>
      </c>
      <c r="N7756" t="s">
        <v>46569</v>
      </c>
      <c r="O7756" t="s">
        <v>46570</v>
      </c>
      <c r="P7756">
        <v>0</v>
      </c>
      <c r="Q7756">
        <v>2</v>
      </c>
      <c r="R7756" t="s">
        <v>46574</v>
      </c>
      <c r="S7756" t="s">
        <v>46723</v>
      </c>
      <c r="T7756" t="s">
        <v>48449</v>
      </c>
      <c r="U7756" t="s">
        <v>55189</v>
      </c>
      <c r="W7756" t="s">
        <v>45144</v>
      </c>
      <c r="X7756" t="s">
        <v>46575</v>
      </c>
    </row>
    <row r="7757" spans="1:24">
      <c r="A7757">
        <f>HYPERLINK("https://www.philgeps.gov.ph/GEPSNONPILOT/Tender/SplashBidNoticeAbstractUI.aspx?menuIndex=3&amp;refID=7058645&amp;Result=3","7058645")</f>
        <v>0</v>
      </c>
      <c r="B7757" t="s">
        <v>1313</v>
      </c>
      <c r="C7757" t="s">
        <v>10887</v>
      </c>
      <c r="E7757" t="s">
        <v>25691</v>
      </c>
      <c r="F7757" t="s">
        <v>32664</v>
      </c>
      <c r="G7757" t="s">
        <v>32671</v>
      </c>
      <c r="H7757" t="s">
        <v>12635</v>
      </c>
      <c r="I7757" t="s">
        <v>32704</v>
      </c>
      <c r="J7757" t="s">
        <v>34532</v>
      </c>
      <c r="K7757" t="s">
        <v>42283</v>
      </c>
      <c r="M7757" t="s">
        <v>43960</v>
      </c>
      <c r="N7757" t="s">
        <v>46569</v>
      </c>
      <c r="O7757" t="s">
        <v>46570</v>
      </c>
      <c r="P7757">
        <v>0</v>
      </c>
      <c r="Q7757">
        <v>11</v>
      </c>
      <c r="R7757" t="s">
        <v>46574</v>
      </c>
      <c r="S7757" t="s">
        <v>46723</v>
      </c>
      <c r="T7757" t="s">
        <v>48562</v>
      </c>
      <c r="U7757" t="s">
        <v>55178</v>
      </c>
      <c r="W7757" t="s">
        <v>43960</v>
      </c>
      <c r="X7757" t="s">
        <v>46575</v>
      </c>
    </row>
    <row r="7758" spans="1:24">
      <c r="A7758">
        <f>HYPERLINK("https://www.philgeps.gov.ph/GEPSNONPILOT/Tender/SplashBidNoticeAbstractUI.aspx?menuIndex=3&amp;refID=7058643&amp;Result=3","7058643")</f>
        <v>0</v>
      </c>
      <c r="B7758" t="s">
        <v>1313</v>
      </c>
      <c r="C7758" t="s">
        <v>10888</v>
      </c>
      <c r="E7758" t="s">
        <v>25692</v>
      </c>
      <c r="F7758" t="s">
        <v>32664</v>
      </c>
      <c r="G7758" t="s">
        <v>32671</v>
      </c>
      <c r="H7758" t="s">
        <v>12635</v>
      </c>
      <c r="I7758" t="s">
        <v>32704</v>
      </c>
      <c r="J7758" t="s">
        <v>37566</v>
      </c>
      <c r="K7758" t="s">
        <v>42283</v>
      </c>
      <c r="M7758" t="s">
        <v>43960</v>
      </c>
      <c r="N7758" t="s">
        <v>46569</v>
      </c>
      <c r="O7758" t="s">
        <v>46570</v>
      </c>
      <c r="P7758">
        <v>0</v>
      </c>
      <c r="Q7758">
        <v>2</v>
      </c>
      <c r="R7758" t="s">
        <v>46574</v>
      </c>
      <c r="S7758" t="s">
        <v>46723</v>
      </c>
      <c r="T7758" t="s">
        <v>48562</v>
      </c>
      <c r="U7758" t="s">
        <v>55178</v>
      </c>
      <c r="W7758" t="s">
        <v>43960</v>
      </c>
      <c r="X7758" t="s">
        <v>46575</v>
      </c>
    </row>
    <row r="7759" spans="1:24">
      <c r="A7759">
        <f>HYPERLINK("https://www.philgeps.gov.ph/GEPSNONPILOT/Tender/SplashBidNoticeAbstractUI.aspx?menuIndex=3&amp;refID=7058642&amp;Result=3","7058642")</f>
        <v>0</v>
      </c>
      <c r="B7759" t="s">
        <v>1313</v>
      </c>
      <c r="C7759" t="s">
        <v>10889</v>
      </c>
      <c r="E7759" t="s">
        <v>25693</v>
      </c>
      <c r="F7759" t="s">
        <v>32664</v>
      </c>
      <c r="G7759" t="s">
        <v>32671</v>
      </c>
      <c r="H7759" t="s">
        <v>12635</v>
      </c>
      <c r="I7759" t="s">
        <v>32694</v>
      </c>
      <c r="J7759" t="s">
        <v>37567</v>
      </c>
      <c r="K7759" t="s">
        <v>42283</v>
      </c>
      <c r="M7759" t="s">
        <v>43960</v>
      </c>
      <c r="N7759" t="s">
        <v>46569</v>
      </c>
      <c r="O7759" t="s">
        <v>46570</v>
      </c>
      <c r="P7759">
        <v>0</v>
      </c>
      <c r="Q7759">
        <v>0</v>
      </c>
      <c r="R7759" t="s">
        <v>46574</v>
      </c>
      <c r="S7759" t="s">
        <v>46723</v>
      </c>
      <c r="T7759" t="s">
        <v>48562</v>
      </c>
      <c r="U7759" t="s">
        <v>55178</v>
      </c>
      <c r="W7759" t="s">
        <v>43960</v>
      </c>
      <c r="X7759" t="s">
        <v>46575</v>
      </c>
    </row>
    <row r="7760" spans="1:24">
      <c r="A7760">
        <f>HYPERLINK("https://www.philgeps.gov.ph/GEPSNONPILOT/Tender/SplashBidNoticeAbstractUI.aspx?menuIndex=3&amp;refID=7058641&amp;Result=3","7058641")</f>
        <v>0</v>
      </c>
      <c r="B7760" t="s">
        <v>1150</v>
      </c>
      <c r="C7760" t="s">
        <v>7455</v>
      </c>
      <c r="D7760" t="s">
        <v>18845</v>
      </c>
      <c r="E7760" t="s">
        <v>25694</v>
      </c>
      <c r="F7760" t="s">
        <v>32664</v>
      </c>
      <c r="G7760" t="s">
        <v>32671</v>
      </c>
      <c r="H7760" t="s">
        <v>12635</v>
      </c>
      <c r="I7760" t="s">
        <v>9486</v>
      </c>
      <c r="J7760" t="s">
        <v>37568</v>
      </c>
      <c r="K7760" t="s">
        <v>42297</v>
      </c>
      <c r="M7760" t="s">
        <v>44784</v>
      </c>
      <c r="N7760" t="s">
        <v>46569</v>
      </c>
      <c r="O7760" t="s">
        <v>46570</v>
      </c>
      <c r="P7760">
        <v>0</v>
      </c>
      <c r="Q7760">
        <v>0</v>
      </c>
      <c r="R7760" t="s">
        <v>46574</v>
      </c>
      <c r="S7760" t="s">
        <v>46723</v>
      </c>
      <c r="T7760" t="s">
        <v>48449</v>
      </c>
      <c r="U7760" t="s">
        <v>55200</v>
      </c>
      <c r="W7760" t="s">
        <v>44784</v>
      </c>
      <c r="X7760" t="s">
        <v>46575</v>
      </c>
    </row>
    <row r="7761" spans="1:24">
      <c r="A7761">
        <f>HYPERLINK("https://www.philgeps.gov.ph/GEPSNONPILOT/Tender/SplashBidNoticeAbstractUI.aspx?menuIndex=3&amp;refID=7058649&amp;Result=3","7058649")</f>
        <v>0</v>
      </c>
      <c r="B7761" t="s">
        <v>1313</v>
      </c>
      <c r="C7761" t="s">
        <v>10890</v>
      </c>
      <c r="E7761" t="s">
        <v>25695</v>
      </c>
      <c r="F7761" t="s">
        <v>32664</v>
      </c>
      <c r="G7761" t="s">
        <v>32671</v>
      </c>
      <c r="H7761" t="s">
        <v>12635</v>
      </c>
      <c r="I7761" t="s">
        <v>32704</v>
      </c>
      <c r="J7761" t="s">
        <v>33338</v>
      </c>
      <c r="K7761" t="s">
        <v>42283</v>
      </c>
      <c r="M7761" t="s">
        <v>43960</v>
      </c>
      <c r="N7761" t="s">
        <v>46569</v>
      </c>
      <c r="O7761" t="s">
        <v>46570</v>
      </c>
      <c r="P7761">
        <v>0</v>
      </c>
      <c r="Q7761">
        <v>23</v>
      </c>
      <c r="R7761" t="s">
        <v>46574</v>
      </c>
      <c r="S7761" t="s">
        <v>46723</v>
      </c>
      <c r="T7761" t="s">
        <v>48562</v>
      </c>
      <c r="U7761" t="s">
        <v>55178</v>
      </c>
      <c r="W7761" t="s">
        <v>43960</v>
      </c>
      <c r="X7761" t="s">
        <v>46575</v>
      </c>
    </row>
    <row r="7762" spans="1:24">
      <c r="A7762">
        <f>HYPERLINK("https://www.philgeps.gov.ph/GEPSNONPILOT/Tender/SplashBidNoticeAbstractUI.aspx?menuIndex=3&amp;refID=7058639&amp;Result=3","7058639")</f>
        <v>0</v>
      </c>
      <c r="B7762" t="s">
        <v>2361</v>
      </c>
      <c r="C7762" t="s">
        <v>10891</v>
      </c>
      <c r="D7762" t="s">
        <v>18856</v>
      </c>
      <c r="E7762" t="s">
        <v>25696</v>
      </c>
      <c r="F7762" t="s">
        <v>32664</v>
      </c>
      <c r="G7762" t="s">
        <v>32672</v>
      </c>
      <c r="H7762" t="s">
        <v>12635</v>
      </c>
      <c r="I7762" t="s">
        <v>4439</v>
      </c>
      <c r="J7762" t="s">
        <v>35868</v>
      </c>
      <c r="K7762" t="s">
        <v>42281</v>
      </c>
      <c r="M7762" t="s">
        <v>45145</v>
      </c>
      <c r="N7762" t="s">
        <v>46569</v>
      </c>
      <c r="O7762" t="s">
        <v>46570</v>
      </c>
      <c r="P7762">
        <v>0</v>
      </c>
      <c r="Q7762">
        <v>0</v>
      </c>
      <c r="R7762" t="s">
        <v>46574</v>
      </c>
      <c r="S7762" t="s">
        <v>46723</v>
      </c>
      <c r="T7762" t="s">
        <v>48298</v>
      </c>
      <c r="U7762" t="s">
        <v>55201</v>
      </c>
      <c r="W7762" t="s">
        <v>45145</v>
      </c>
      <c r="X7762" t="s">
        <v>46575</v>
      </c>
    </row>
    <row r="7763" spans="1:24">
      <c r="A7763">
        <f>HYPERLINK("https://www.philgeps.gov.ph/GEPSNONPILOT/Tender/SplashBidNoticeAbstractUI.aspx?menuIndex=3&amp;refID=7058658&amp;Result=3","7058658")</f>
        <v>0</v>
      </c>
      <c r="B7763" t="s">
        <v>2213</v>
      </c>
      <c r="C7763" t="s">
        <v>10892</v>
      </c>
      <c r="D7763" t="s">
        <v>18849</v>
      </c>
      <c r="E7763" t="s">
        <v>25697</v>
      </c>
      <c r="F7763" t="s">
        <v>32664</v>
      </c>
      <c r="G7763" t="s">
        <v>32672</v>
      </c>
      <c r="H7763" t="s">
        <v>12635</v>
      </c>
      <c r="I7763" t="s">
        <v>10361</v>
      </c>
      <c r="J7763" t="s">
        <v>37569</v>
      </c>
      <c r="K7763" t="s">
        <v>42284</v>
      </c>
      <c r="L7763" t="s">
        <v>2213</v>
      </c>
      <c r="M7763" t="s">
        <v>44977</v>
      </c>
      <c r="N7763" t="s">
        <v>46569</v>
      </c>
      <c r="O7763" t="s">
        <v>46570</v>
      </c>
      <c r="P7763">
        <v>0</v>
      </c>
      <c r="Q7763">
        <v>1</v>
      </c>
      <c r="R7763" t="s">
        <v>46574</v>
      </c>
      <c r="S7763" t="s">
        <v>46723</v>
      </c>
      <c r="T7763" t="s">
        <v>48283</v>
      </c>
      <c r="U7763" t="s">
        <v>55202</v>
      </c>
      <c r="W7763" t="s">
        <v>44977</v>
      </c>
      <c r="X7763" t="s">
        <v>46575</v>
      </c>
    </row>
    <row r="7764" spans="1:24">
      <c r="A7764">
        <f>HYPERLINK("https://www.philgeps.gov.ph/GEPSNONPILOT/Tender/SplashBidNoticeAbstractUI.aspx?menuIndex=3&amp;refID=7058613&amp;Result=3","7058613")</f>
        <v>0</v>
      </c>
      <c r="B7764" t="s">
        <v>2360</v>
      </c>
      <c r="C7764" t="s">
        <v>10893</v>
      </c>
      <c r="D7764" t="s">
        <v>18823</v>
      </c>
      <c r="E7764" t="s">
        <v>25698</v>
      </c>
      <c r="F7764" t="s">
        <v>32664</v>
      </c>
      <c r="G7764" t="s">
        <v>32671</v>
      </c>
      <c r="H7764" t="s">
        <v>12635</v>
      </c>
      <c r="I7764" t="s">
        <v>8730</v>
      </c>
      <c r="J7764" t="s">
        <v>37570</v>
      </c>
      <c r="K7764" t="s">
        <v>42309</v>
      </c>
      <c r="M7764" t="s">
        <v>45144</v>
      </c>
      <c r="N7764" t="s">
        <v>46569</v>
      </c>
      <c r="O7764" t="s">
        <v>46570</v>
      </c>
      <c r="P7764">
        <v>0</v>
      </c>
      <c r="Q7764">
        <v>6</v>
      </c>
      <c r="R7764" t="s">
        <v>46574</v>
      </c>
      <c r="S7764" t="s">
        <v>46723</v>
      </c>
      <c r="T7764" t="s">
        <v>48449</v>
      </c>
      <c r="U7764" t="s">
        <v>55189</v>
      </c>
      <c r="W7764" t="s">
        <v>45144</v>
      </c>
      <c r="X7764" t="s">
        <v>46575</v>
      </c>
    </row>
    <row r="7765" spans="1:24">
      <c r="A7765">
        <f>HYPERLINK("https://www.philgeps.gov.ph/GEPSNONPILOT/Tender/SplashBidNoticeAbstractUI.aspx?menuIndex=3&amp;refID=7058679&amp;Result=3","7058679")</f>
        <v>0</v>
      </c>
      <c r="B7765" t="s">
        <v>1548</v>
      </c>
      <c r="C7765" t="s">
        <v>10894</v>
      </c>
      <c r="D7765" t="s">
        <v>18831</v>
      </c>
      <c r="E7765" t="s">
        <v>25699</v>
      </c>
      <c r="F7765" t="s">
        <v>32664</v>
      </c>
      <c r="G7765" t="s">
        <v>32672</v>
      </c>
      <c r="H7765" t="s">
        <v>12635</v>
      </c>
      <c r="I7765" t="s">
        <v>4439</v>
      </c>
      <c r="J7765" t="s">
        <v>37571</v>
      </c>
      <c r="K7765" t="s">
        <v>42297</v>
      </c>
      <c r="M7765" t="s">
        <v>44217</v>
      </c>
      <c r="N7765" t="s">
        <v>46569</v>
      </c>
      <c r="O7765" t="s">
        <v>46570</v>
      </c>
      <c r="P7765">
        <v>0</v>
      </c>
      <c r="Q7765">
        <v>1</v>
      </c>
      <c r="R7765" t="s">
        <v>46574</v>
      </c>
      <c r="S7765" t="s">
        <v>46723</v>
      </c>
      <c r="T7765" t="s">
        <v>48411</v>
      </c>
      <c r="U7765" t="s">
        <v>55203</v>
      </c>
      <c r="W7765" t="s">
        <v>44217</v>
      </c>
      <c r="X7765" t="s">
        <v>46575</v>
      </c>
    </row>
    <row r="7766" spans="1:24">
      <c r="A7766">
        <f>HYPERLINK("https://www.philgeps.gov.ph/GEPSNONPILOT/Tender/SplashBidNoticeAbstractUI.aspx?menuIndex=3&amp;refID=7058678&amp;Result=3","7058678")</f>
        <v>0</v>
      </c>
      <c r="B7766" t="s">
        <v>455</v>
      </c>
      <c r="C7766" t="s">
        <v>5825</v>
      </c>
      <c r="D7766" t="s">
        <v>18834</v>
      </c>
      <c r="E7766" t="s">
        <v>25700</v>
      </c>
      <c r="F7766" t="s">
        <v>32664</v>
      </c>
      <c r="G7766" t="s">
        <v>32671</v>
      </c>
      <c r="H7766" t="s">
        <v>12635</v>
      </c>
      <c r="I7766" t="s">
        <v>6168</v>
      </c>
      <c r="J7766" t="s">
        <v>37572</v>
      </c>
      <c r="K7766" t="s">
        <v>42281</v>
      </c>
      <c r="M7766" t="s">
        <v>43596</v>
      </c>
      <c r="N7766" t="s">
        <v>46569</v>
      </c>
      <c r="O7766" t="s">
        <v>46570</v>
      </c>
      <c r="P7766">
        <v>0</v>
      </c>
      <c r="Q7766">
        <v>1</v>
      </c>
      <c r="R7766" t="s">
        <v>46574</v>
      </c>
      <c r="S7766" t="s">
        <v>46723</v>
      </c>
      <c r="T7766" t="s">
        <v>48578</v>
      </c>
      <c r="U7766" t="s">
        <v>55204</v>
      </c>
      <c r="W7766" t="s">
        <v>43596</v>
      </c>
      <c r="X7766" t="s">
        <v>46575</v>
      </c>
    </row>
    <row r="7767" spans="1:24">
      <c r="A7767">
        <f>HYPERLINK("https://www.philgeps.gov.ph/GEPSNONPILOT/Tender/SplashBidNoticeAbstractUI.aspx?menuIndex=3&amp;refID=7058676&amp;Result=3","7058676")</f>
        <v>0</v>
      </c>
      <c r="B7767" t="s">
        <v>1548</v>
      </c>
      <c r="C7767" t="s">
        <v>10895</v>
      </c>
      <c r="D7767" t="s">
        <v>18831</v>
      </c>
      <c r="E7767" t="s">
        <v>25701</v>
      </c>
      <c r="F7767" t="s">
        <v>32664</v>
      </c>
      <c r="G7767" t="s">
        <v>32672</v>
      </c>
      <c r="H7767" t="s">
        <v>12635</v>
      </c>
      <c r="I7767" t="s">
        <v>4439</v>
      </c>
      <c r="J7767" t="s">
        <v>37573</v>
      </c>
      <c r="K7767" t="s">
        <v>42297</v>
      </c>
      <c r="M7767" t="s">
        <v>44217</v>
      </c>
      <c r="N7767" t="s">
        <v>46569</v>
      </c>
      <c r="O7767" t="s">
        <v>46570</v>
      </c>
      <c r="P7767">
        <v>0</v>
      </c>
      <c r="Q7767">
        <v>2</v>
      </c>
      <c r="R7767" t="s">
        <v>46574</v>
      </c>
      <c r="S7767" t="s">
        <v>46723</v>
      </c>
      <c r="T7767" t="s">
        <v>48411</v>
      </c>
      <c r="U7767" t="s">
        <v>55205</v>
      </c>
      <c r="W7767" t="s">
        <v>44217</v>
      </c>
      <c r="X7767" t="s">
        <v>46575</v>
      </c>
    </row>
    <row r="7768" spans="1:24">
      <c r="A7768">
        <f>HYPERLINK("https://www.philgeps.gov.ph/GEPSNONPILOT/Tender/SplashBidNoticeAbstractUI.aspx?menuIndex=3&amp;refID=7058675&amp;Result=3","7058675")</f>
        <v>0</v>
      </c>
      <c r="B7768" t="s">
        <v>455</v>
      </c>
      <c r="C7768" t="s">
        <v>10896</v>
      </c>
      <c r="D7768" t="s">
        <v>18834</v>
      </c>
      <c r="E7768" t="s">
        <v>25702</v>
      </c>
      <c r="F7768" t="s">
        <v>32664</v>
      </c>
      <c r="G7768" t="s">
        <v>32671</v>
      </c>
      <c r="H7768" t="s">
        <v>12635</v>
      </c>
      <c r="I7768" t="s">
        <v>7429</v>
      </c>
      <c r="J7768" t="s">
        <v>37574</v>
      </c>
      <c r="K7768" t="s">
        <v>42281</v>
      </c>
      <c r="M7768" t="s">
        <v>43596</v>
      </c>
      <c r="N7768" t="s">
        <v>46569</v>
      </c>
      <c r="O7768" t="s">
        <v>46570</v>
      </c>
      <c r="P7768">
        <v>0</v>
      </c>
      <c r="Q7768">
        <v>2</v>
      </c>
      <c r="R7768" t="s">
        <v>46574</v>
      </c>
      <c r="S7768" t="s">
        <v>46723</v>
      </c>
      <c r="T7768" t="s">
        <v>48578</v>
      </c>
      <c r="U7768" t="s">
        <v>55206</v>
      </c>
      <c r="W7768" t="s">
        <v>43596</v>
      </c>
      <c r="X7768" t="s">
        <v>46575</v>
      </c>
    </row>
    <row r="7769" spans="1:24">
      <c r="A7769">
        <f>HYPERLINK("https://www.philgeps.gov.ph/GEPSNONPILOT/Tender/SplashBidNoticeAbstractUI.aspx?menuIndex=3&amp;refID=7058673&amp;Result=3","7058673")</f>
        <v>0</v>
      </c>
      <c r="B7769" t="s">
        <v>528</v>
      </c>
      <c r="C7769" t="s">
        <v>10897</v>
      </c>
      <c r="D7769" t="s">
        <v>18803</v>
      </c>
      <c r="E7769" t="s">
        <v>25703</v>
      </c>
      <c r="F7769" t="s">
        <v>32664</v>
      </c>
      <c r="G7769" t="s">
        <v>32671</v>
      </c>
      <c r="H7769" t="s">
        <v>12635</v>
      </c>
      <c r="I7769" t="s">
        <v>6223</v>
      </c>
      <c r="J7769" t="s">
        <v>37575</v>
      </c>
      <c r="K7769" t="s">
        <v>42281</v>
      </c>
      <c r="M7769" t="s">
        <v>45146</v>
      </c>
      <c r="N7769" t="s">
        <v>46569</v>
      </c>
      <c r="O7769" t="s">
        <v>46570</v>
      </c>
      <c r="P7769">
        <v>0</v>
      </c>
      <c r="Q7769">
        <v>2</v>
      </c>
      <c r="R7769" t="s">
        <v>46574</v>
      </c>
      <c r="S7769" t="s">
        <v>46723</v>
      </c>
      <c r="T7769" t="s">
        <v>48376</v>
      </c>
      <c r="U7769" t="s">
        <v>55207</v>
      </c>
      <c r="W7769" t="s">
        <v>45146</v>
      </c>
      <c r="X7769" t="s">
        <v>46575</v>
      </c>
    </row>
    <row r="7770" spans="1:24">
      <c r="A7770">
        <f>HYPERLINK("https://www.philgeps.gov.ph/GEPSNONPILOT/Tender/SplashBidNoticeAbstractUI.aspx?menuIndex=3&amp;refID=7058671&amp;Result=3","7058671")</f>
        <v>0</v>
      </c>
      <c r="B7770" t="s">
        <v>1441</v>
      </c>
      <c r="C7770" t="s">
        <v>10898</v>
      </c>
      <c r="D7770" t="s">
        <v>18784</v>
      </c>
      <c r="E7770" t="s">
        <v>25704</v>
      </c>
      <c r="F7770" t="s">
        <v>32664</v>
      </c>
      <c r="G7770" t="s">
        <v>32674</v>
      </c>
      <c r="H7770" t="s">
        <v>12635</v>
      </c>
      <c r="I7770" t="s">
        <v>6168</v>
      </c>
      <c r="J7770" t="s">
        <v>32898</v>
      </c>
      <c r="K7770" t="s">
        <v>42309</v>
      </c>
      <c r="M7770" t="s">
        <v>44102</v>
      </c>
      <c r="N7770" t="s">
        <v>46569</v>
      </c>
      <c r="O7770" t="s">
        <v>46570</v>
      </c>
      <c r="P7770">
        <v>0</v>
      </c>
      <c r="Q7770">
        <v>7</v>
      </c>
      <c r="R7770" t="s">
        <v>46574</v>
      </c>
      <c r="S7770" t="s">
        <v>46723</v>
      </c>
      <c r="T7770" t="s">
        <v>48221</v>
      </c>
      <c r="U7770" t="s">
        <v>55208</v>
      </c>
      <c r="W7770" t="s">
        <v>44102</v>
      </c>
      <c r="X7770" t="s">
        <v>46575</v>
      </c>
    </row>
    <row r="7771" spans="1:24">
      <c r="A7771">
        <f>HYPERLINK("https://www.philgeps.gov.ph/GEPSNONPILOT/Tender/SplashBidNoticeAbstractUI.aspx?menuIndex=3&amp;refID=7058669&amp;Result=3","7058669")</f>
        <v>0</v>
      </c>
      <c r="B7771" t="s">
        <v>1548</v>
      </c>
      <c r="C7771" t="s">
        <v>10899</v>
      </c>
      <c r="D7771" t="s">
        <v>18831</v>
      </c>
      <c r="E7771" t="s">
        <v>25705</v>
      </c>
      <c r="F7771" t="s">
        <v>32664</v>
      </c>
      <c r="G7771" t="s">
        <v>32672</v>
      </c>
      <c r="H7771" t="s">
        <v>12635</v>
      </c>
      <c r="I7771" t="s">
        <v>5589</v>
      </c>
      <c r="J7771" t="s">
        <v>37576</v>
      </c>
      <c r="K7771" t="s">
        <v>42297</v>
      </c>
      <c r="M7771" t="s">
        <v>44217</v>
      </c>
      <c r="N7771" t="s">
        <v>46569</v>
      </c>
      <c r="O7771" t="s">
        <v>46570</v>
      </c>
      <c r="P7771">
        <v>0</v>
      </c>
      <c r="Q7771">
        <v>7</v>
      </c>
      <c r="R7771" t="s">
        <v>46574</v>
      </c>
      <c r="S7771" t="s">
        <v>46723</v>
      </c>
      <c r="T7771" t="s">
        <v>48263</v>
      </c>
      <c r="U7771" t="s">
        <v>55209</v>
      </c>
      <c r="W7771" t="s">
        <v>44217</v>
      </c>
      <c r="X7771" t="s">
        <v>46575</v>
      </c>
    </row>
    <row r="7772" spans="1:24">
      <c r="A7772">
        <f>HYPERLINK("https://www.philgeps.gov.ph/GEPSNONPILOT/Tender/SplashBidNoticeAbstractUI.aspx?menuIndex=3&amp;refID=7058677&amp;Result=3","7058677")</f>
        <v>0</v>
      </c>
      <c r="B7772" t="s">
        <v>528</v>
      </c>
      <c r="C7772" t="s">
        <v>10900</v>
      </c>
      <c r="D7772" t="s">
        <v>18812</v>
      </c>
      <c r="E7772" t="s">
        <v>25706</v>
      </c>
      <c r="F7772" t="s">
        <v>32664</v>
      </c>
      <c r="G7772" t="s">
        <v>32671</v>
      </c>
      <c r="H7772" t="s">
        <v>12635</v>
      </c>
      <c r="I7772" t="s">
        <v>6223</v>
      </c>
      <c r="J7772" t="s">
        <v>37577</v>
      </c>
      <c r="K7772" t="s">
        <v>42298</v>
      </c>
      <c r="M7772" t="s">
        <v>45146</v>
      </c>
      <c r="N7772" t="s">
        <v>46569</v>
      </c>
      <c r="O7772" t="s">
        <v>46570</v>
      </c>
      <c r="P7772">
        <v>0</v>
      </c>
      <c r="Q7772">
        <v>11</v>
      </c>
      <c r="R7772" t="s">
        <v>46574</v>
      </c>
      <c r="S7772" t="s">
        <v>46723</v>
      </c>
      <c r="T7772" t="s">
        <v>48287</v>
      </c>
      <c r="U7772" t="s">
        <v>55207</v>
      </c>
      <c r="W7772" t="s">
        <v>45146</v>
      </c>
      <c r="X7772" t="s">
        <v>46575</v>
      </c>
    </row>
    <row r="7773" spans="1:24">
      <c r="A7773">
        <f>HYPERLINK("https://www.philgeps.gov.ph/GEPSNONPILOT/Tender/SplashBidNoticeAbstractUI.aspx?menuIndex=3&amp;refID=7058674&amp;Result=3","7058674")</f>
        <v>0</v>
      </c>
      <c r="B7773" t="s">
        <v>2213</v>
      </c>
      <c r="C7773" t="s">
        <v>10901</v>
      </c>
      <c r="D7773" t="s">
        <v>18849</v>
      </c>
      <c r="E7773" t="s">
        <v>25707</v>
      </c>
      <c r="F7773" t="s">
        <v>32664</v>
      </c>
      <c r="G7773" t="s">
        <v>32672</v>
      </c>
      <c r="H7773" t="s">
        <v>12635</v>
      </c>
      <c r="I7773" t="s">
        <v>8849</v>
      </c>
      <c r="J7773" t="s">
        <v>33743</v>
      </c>
      <c r="K7773" t="s">
        <v>42284</v>
      </c>
      <c r="L7773" t="s">
        <v>2213</v>
      </c>
      <c r="M7773" t="s">
        <v>44977</v>
      </c>
      <c r="N7773" t="s">
        <v>46569</v>
      </c>
      <c r="O7773" t="s">
        <v>46570</v>
      </c>
      <c r="P7773">
        <v>0</v>
      </c>
      <c r="Q7773">
        <v>1</v>
      </c>
      <c r="R7773" t="s">
        <v>46574</v>
      </c>
      <c r="S7773" t="s">
        <v>46723</v>
      </c>
      <c r="T7773" t="s">
        <v>48328</v>
      </c>
      <c r="U7773" t="s">
        <v>55202</v>
      </c>
      <c r="W7773" t="s">
        <v>44977</v>
      </c>
      <c r="X7773" t="s">
        <v>46575</v>
      </c>
    </row>
    <row r="7774" spans="1:24">
      <c r="A7774">
        <f>HYPERLINK("https://www.philgeps.gov.ph/GEPSNONPILOT/Tender/SplashBidNoticeAbstractUI.aspx?menuIndex=3&amp;refID=7058665&amp;Result=3","7058665")</f>
        <v>0</v>
      </c>
      <c r="B7774" t="s">
        <v>1548</v>
      </c>
      <c r="C7774" t="s">
        <v>10902</v>
      </c>
      <c r="D7774" t="s">
        <v>18831</v>
      </c>
      <c r="E7774" t="s">
        <v>25708</v>
      </c>
      <c r="F7774" t="s">
        <v>32664</v>
      </c>
      <c r="G7774" t="s">
        <v>32672</v>
      </c>
      <c r="H7774" t="s">
        <v>12635</v>
      </c>
      <c r="I7774" t="s">
        <v>32749</v>
      </c>
      <c r="J7774" t="s">
        <v>37578</v>
      </c>
      <c r="K7774" t="s">
        <v>42281</v>
      </c>
      <c r="M7774" t="s">
        <v>44217</v>
      </c>
      <c r="N7774" t="s">
        <v>46569</v>
      </c>
      <c r="O7774" t="s">
        <v>46570</v>
      </c>
      <c r="P7774">
        <v>0</v>
      </c>
      <c r="Q7774">
        <v>3</v>
      </c>
      <c r="R7774" t="s">
        <v>46574</v>
      </c>
      <c r="S7774" t="s">
        <v>46723</v>
      </c>
      <c r="T7774" t="s">
        <v>48263</v>
      </c>
      <c r="U7774" t="s">
        <v>55210</v>
      </c>
      <c r="W7774" t="s">
        <v>44217</v>
      </c>
      <c r="X7774" t="s">
        <v>46575</v>
      </c>
    </row>
    <row r="7775" spans="1:24">
      <c r="A7775">
        <f>HYPERLINK("https://www.philgeps.gov.ph/GEPSNONPILOT/Tender/SplashBidNoticeAbstractUI.aspx?menuIndex=3&amp;refID=7058664&amp;Result=3","7058664")</f>
        <v>0</v>
      </c>
      <c r="B7775" t="s">
        <v>609</v>
      </c>
      <c r="C7775" t="s">
        <v>10903</v>
      </c>
      <c r="D7775" t="s">
        <v>18792</v>
      </c>
      <c r="E7775" t="s">
        <v>25709</v>
      </c>
      <c r="F7775" t="s">
        <v>32664</v>
      </c>
      <c r="G7775" t="s">
        <v>32672</v>
      </c>
      <c r="H7775" t="s">
        <v>12635</v>
      </c>
      <c r="I7775" t="s">
        <v>4439</v>
      </c>
      <c r="J7775" t="s">
        <v>37579</v>
      </c>
      <c r="K7775" t="s">
        <v>42298</v>
      </c>
      <c r="M7775" t="s">
        <v>43189</v>
      </c>
      <c r="N7775" t="s">
        <v>46569</v>
      </c>
      <c r="O7775" t="s">
        <v>46570</v>
      </c>
      <c r="P7775">
        <v>0</v>
      </c>
      <c r="Q7775">
        <v>0</v>
      </c>
      <c r="R7775" t="s">
        <v>46574</v>
      </c>
      <c r="S7775" t="s">
        <v>46723</v>
      </c>
      <c r="T7775" t="s">
        <v>48304</v>
      </c>
      <c r="U7775" t="s">
        <v>55211</v>
      </c>
      <c r="W7775" t="s">
        <v>43189</v>
      </c>
      <c r="X7775" t="s">
        <v>46575</v>
      </c>
    </row>
    <row r="7776" spans="1:24">
      <c r="A7776">
        <f>HYPERLINK("https://www.philgeps.gov.ph/GEPSNONPILOT/Tender/SplashBidNoticeAbstractUI.aspx?menuIndex=3&amp;refID=7058663&amp;Result=3","7058663")</f>
        <v>0</v>
      </c>
      <c r="B7776" t="s">
        <v>2213</v>
      </c>
      <c r="C7776" t="s">
        <v>10904</v>
      </c>
      <c r="D7776" t="s">
        <v>18849</v>
      </c>
      <c r="E7776" t="s">
        <v>25710</v>
      </c>
      <c r="F7776" t="s">
        <v>32664</v>
      </c>
      <c r="G7776" t="s">
        <v>32672</v>
      </c>
      <c r="H7776" t="s">
        <v>12635</v>
      </c>
      <c r="I7776" t="s">
        <v>7759</v>
      </c>
      <c r="J7776" t="s">
        <v>34022</v>
      </c>
      <c r="K7776" t="s">
        <v>42284</v>
      </c>
      <c r="L7776" t="s">
        <v>2213</v>
      </c>
      <c r="M7776" t="s">
        <v>44977</v>
      </c>
      <c r="N7776" t="s">
        <v>46569</v>
      </c>
      <c r="O7776" t="s">
        <v>46570</v>
      </c>
      <c r="P7776">
        <v>0</v>
      </c>
      <c r="Q7776">
        <v>2</v>
      </c>
      <c r="R7776" t="s">
        <v>46574</v>
      </c>
      <c r="S7776" t="s">
        <v>46723</v>
      </c>
      <c r="T7776" t="s">
        <v>48328</v>
      </c>
      <c r="U7776" t="s">
        <v>55202</v>
      </c>
      <c r="W7776" t="s">
        <v>44977</v>
      </c>
      <c r="X7776" t="s">
        <v>46575</v>
      </c>
    </row>
    <row r="7777" spans="1:24">
      <c r="A7777">
        <f>HYPERLINK("https://www.philgeps.gov.ph/GEPSNONPILOT/Tender/SplashBidNoticeAbstractUI.aspx?menuIndex=3&amp;refID=7058662&amp;Result=3","7058662")</f>
        <v>0</v>
      </c>
      <c r="B7777" t="s">
        <v>2362</v>
      </c>
      <c r="C7777" t="s">
        <v>10866</v>
      </c>
      <c r="D7777" t="s">
        <v>18856</v>
      </c>
      <c r="E7777" t="s">
        <v>25696</v>
      </c>
      <c r="F7777" t="s">
        <v>32664</v>
      </c>
      <c r="G7777" t="s">
        <v>32672</v>
      </c>
      <c r="H7777" t="s">
        <v>12635</v>
      </c>
      <c r="I7777" t="s">
        <v>9597</v>
      </c>
      <c r="J7777" t="s">
        <v>37580</v>
      </c>
      <c r="K7777" t="s">
        <v>42281</v>
      </c>
      <c r="M7777" t="s">
        <v>45147</v>
      </c>
      <c r="N7777" t="s">
        <v>46569</v>
      </c>
      <c r="O7777" t="s">
        <v>46570</v>
      </c>
      <c r="P7777">
        <v>0</v>
      </c>
      <c r="Q7777">
        <v>0</v>
      </c>
      <c r="R7777" t="s">
        <v>46574</v>
      </c>
      <c r="S7777" t="s">
        <v>46723</v>
      </c>
      <c r="T7777" t="s">
        <v>48298</v>
      </c>
      <c r="U7777" t="s">
        <v>55212</v>
      </c>
      <c r="W7777" t="s">
        <v>45147</v>
      </c>
      <c r="X7777" t="s">
        <v>46575</v>
      </c>
    </row>
    <row r="7778" spans="1:24">
      <c r="A7778">
        <f>HYPERLINK("https://www.philgeps.gov.ph/GEPSNONPILOT/Tender/SplashBidNoticeAbstractUI.aspx?menuIndex=3&amp;refID=7058660&amp;Result=3","7058660")</f>
        <v>0</v>
      </c>
      <c r="B7778" t="s">
        <v>2360</v>
      </c>
      <c r="C7778" t="s">
        <v>10905</v>
      </c>
      <c r="D7778" t="s">
        <v>18823</v>
      </c>
      <c r="E7778" t="s">
        <v>10905</v>
      </c>
      <c r="F7778" t="s">
        <v>32664</v>
      </c>
      <c r="G7778" t="s">
        <v>32671</v>
      </c>
      <c r="H7778" t="s">
        <v>12635</v>
      </c>
      <c r="I7778" t="s">
        <v>6223</v>
      </c>
      <c r="J7778" t="s">
        <v>37581</v>
      </c>
      <c r="K7778" t="s">
        <v>42309</v>
      </c>
      <c r="M7778" t="s">
        <v>45144</v>
      </c>
      <c r="N7778" t="s">
        <v>46569</v>
      </c>
      <c r="O7778" t="s">
        <v>46570</v>
      </c>
      <c r="P7778">
        <v>0</v>
      </c>
      <c r="Q7778">
        <v>3</v>
      </c>
      <c r="R7778" t="s">
        <v>46574</v>
      </c>
      <c r="S7778" t="s">
        <v>46723</v>
      </c>
      <c r="T7778" t="s">
        <v>48449</v>
      </c>
      <c r="U7778" t="s">
        <v>55189</v>
      </c>
      <c r="W7778" t="s">
        <v>45144</v>
      </c>
      <c r="X7778" t="s">
        <v>46575</v>
      </c>
    </row>
    <row r="7779" spans="1:24">
      <c r="A7779">
        <f>HYPERLINK("https://www.philgeps.gov.ph/GEPSNONPILOT/Tender/SplashBidNoticeAbstractUI.aspx?menuIndex=3&amp;refID=7058657&amp;Result=3","7058657")</f>
        <v>0</v>
      </c>
      <c r="B7779" t="s">
        <v>971</v>
      </c>
      <c r="C7779" t="s">
        <v>10906</v>
      </c>
      <c r="D7779" t="s">
        <v>18856</v>
      </c>
      <c r="E7779" t="s">
        <v>21086</v>
      </c>
      <c r="F7779" t="s">
        <v>32664</v>
      </c>
      <c r="G7779" t="s">
        <v>32672</v>
      </c>
      <c r="H7779" t="s">
        <v>12635</v>
      </c>
      <c r="I7779" t="s">
        <v>14442</v>
      </c>
      <c r="J7779" t="s">
        <v>37582</v>
      </c>
      <c r="K7779" t="s">
        <v>42281</v>
      </c>
      <c r="M7779" t="s">
        <v>43580</v>
      </c>
      <c r="N7779" t="s">
        <v>46569</v>
      </c>
      <c r="O7779" t="s">
        <v>46570</v>
      </c>
      <c r="P7779">
        <v>0</v>
      </c>
      <c r="Q7779">
        <v>1</v>
      </c>
      <c r="R7779" t="s">
        <v>46574</v>
      </c>
      <c r="S7779" t="s">
        <v>46723</v>
      </c>
      <c r="T7779" t="s">
        <v>48298</v>
      </c>
      <c r="U7779" t="s">
        <v>55213</v>
      </c>
      <c r="W7779" t="s">
        <v>43580</v>
      </c>
      <c r="X7779" t="s">
        <v>46575</v>
      </c>
    </row>
    <row r="7780" spans="1:24">
      <c r="A7780">
        <f>HYPERLINK("https://www.philgeps.gov.ph/GEPSNONPILOT/Tender/SplashBidNoticeAbstractUI.aspx?menuIndex=3&amp;refID=7058659&amp;Result=3","7058659")</f>
        <v>0</v>
      </c>
      <c r="B7780" t="s">
        <v>2362</v>
      </c>
      <c r="C7780" t="s">
        <v>10907</v>
      </c>
      <c r="D7780" t="s">
        <v>18856</v>
      </c>
      <c r="E7780" t="s">
        <v>25711</v>
      </c>
      <c r="F7780" t="s">
        <v>32664</v>
      </c>
      <c r="G7780" t="s">
        <v>32672</v>
      </c>
      <c r="H7780" t="s">
        <v>12635</v>
      </c>
      <c r="I7780" t="s">
        <v>14442</v>
      </c>
      <c r="J7780" t="s">
        <v>37583</v>
      </c>
      <c r="K7780" t="s">
        <v>42281</v>
      </c>
      <c r="M7780" t="s">
        <v>45147</v>
      </c>
      <c r="N7780" t="s">
        <v>46569</v>
      </c>
      <c r="O7780" t="s">
        <v>46570</v>
      </c>
      <c r="P7780">
        <v>0</v>
      </c>
      <c r="Q7780">
        <v>1</v>
      </c>
      <c r="R7780" t="s">
        <v>46574</v>
      </c>
      <c r="S7780" t="s">
        <v>46723</v>
      </c>
      <c r="T7780" t="s">
        <v>48298</v>
      </c>
      <c r="U7780" t="s">
        <v>55214</v>
      </c>
      <c r="W7780" t="s">
        <v>45147</v>
      </c>
      <c r="X7780" t="s">
        <v>46575</v>
      </c>
    </row>
    <row r="7781" spans="1:24">
      <c r="A7781">
        <f>HYPERLINK("https://www.philgeps.gov.ph/GEPSNONPILOT/Tender/SplashBidNoticeAbstractUI.aspx?menuIndex=3&amp;refID=7058638&amp;Result=3","7058638")</f>
        <v>0</v>
      </c>
      <c r="B7781" t="s">
        <v>1150</v>
      </c>
      <c r="C7781" t="s">
        <v>10908</v>
      </c>
      <c r="D7781" t="s">
        <v>18845</v>
      </c>
      <c r="E7781" t="s">
        <v>25712</v>
      </c>
      <c r="F7781" t="s">
        <v>32664</v>
      </c>
      <c r="G7781" t="s">
        <v>32671</v>
      </c>
      <c r="H7781" t="s">
        <v>12635</v>
      </c>
      <c r="I7781" t="s">
        <v>8797</v>
      </c>
      <c r="J7781" t="s">
        <v>37584</v>
      </c>
      <c r="K7781" t="s">
        <v>42297</v>
      </c>
      <c r="M7781" t="s">
        <v>44784</v>
      </c>
      <c r="N7781" t="s">
        <v>46569</v>
      </c>
      <c r="O7781" t="s">
        <v>46570</v>
      </c>
      <c r="P7781">
        <v>0</v>
      </c>
      <c r="Q7781">
        <v>0</v>
      </c>
      <c r="R7781" t="s">
        <v>46574</v>
      </c>
      <c r="S7781" t="s">
        <v>46723</v>
      </c>
      <c r="T7781" t="s">
        <v>48449</v>
      </c>
      <c r="U7781" t="s">
        <v>55215</v>
      </c>
      <c r="W7781" t="s">
        <v>44784</v>
      </c>
      <c r="X7781" t="s">
        <v>46575</v>
      </c>
    </row>
    <row r="7782" spans="1:24">
      <c r="A7782">
        <f>HYPERLINK("https://www.philgeps.gov.ph/GEPSNONPILOT/Tender/SplashBidNoticeAbstractUI.aspx?menuIndex=3&amp;refID=7058667&amp;Result=3","7058667")</f>
        <v>0</v>
      </c>
      <c r="B7782" t="s">
        <v>2213</v>
      </c>
      <c r="C7782" t="s">
        <v>10909</v>
      </c>
      <c r="D7782" t="s">
        <v>18849</v>
      </c>
      <c r="E7782" t="s">
        <v>25713</v>
      </c>
      <c r="F7782" t="s">
        <v>32664</v>
      </c>
      <c r="G7782" t="s">
        <v>32672</v>
      </c>
      <c r="H7782" t="s">
        <v>12635</v>
      </c>
      <c r="I7782" t="s">
        <v>8730</v>
      </c>
      <c r="J7782" t="s">
        <v>37585</v>
      </c>
      <c r="K7782" t="s">
        <v>42284</v>
      </c>
      <c r="L7782" t="s">
        <v>2213</v>
      </c>
      <c r="M7782" t="s">
        <v>44977</v>
      </c>
      <c r="N7782" t="s">
        <v>46569</v>
      </c>
      <c r="O7782" t="s">
        <v>46570</v>
      </c>
      <c r="P7782">
        <v>0</v>
      </c>
      <c r="Q7782">
        <v>4</v>
      </c>
      <c r="R7782" t="s">
        <v>46574</v>
      </c>
      <c r="S7782" t="s">
        <v>46723</v>
      </c>
      <c r="T7782" t="s">
        <v>48292</v>
      </c>
      <c r="U7782" t="s">
        <v>55202</v>
      </c>
      <c r="W7782" t="s">
        <v>44977</v>
      </c>
      <c r="X7782" t="s">
        <v>46575</v>
      </c>
    </row>
    <row r="7783" spans="1:24">
      <c r="A7783">
        <f>HYPERLINK("https://www.philgeps.gov.ph/GEPSNONPILOT/Tender/SplashBidNoticeAbstractUI.aspx?menuIndex=3&amp;refID=7058637&amp;Result=3","7058637")</f>
        <v>0</v>
      </c>
      <c r="B7783" t="s">
        <v>1313</v>
      </c>
      <c r="C7783" t="s">
        <v>10910</v>
      </c>
      <c r="E7783" t="s">
        <v>25714</v>
      </c>
      <c r="F7783" t="s">
        <v>32664</v>
      </c>
      <c r="G7783" t="s">
        <v>32671</v>
      </c>
      <c r="H7783" t="s">
        <v>12635</v>
      </c>
      <c r="I7783" t="s">
        <v>32704</v>
      </c>
      <c r="J7783" t="s">
        <v>35114</v>
      </c>
      <c r="K7783" t="s">
        <v>42283</v>
      </c>
      <c r="M7783" t="s">
        <v>43960</v>
      </c>
      <c r="N7783" t="s">
        <v>46569</v>
      </c>
      <c r="O7783" t="s">
        <v>46570</v>
      </c>
      <c r="P7783">
        <v>0</v>
      </c>
      <c r="Q7783">
        <v>1</v>
      </c>
      <c r="R7783" t="s">
        <v>46574</v>
      </c>
      <c r="S7783" t="s">
        <v>46723</v>
      </c>
      <c r="T7783" t="s">
        <v>48562</v>
      </c>
      <c r="U7783" t="s">
        <v>55178</v>
      </c>
      <c r="W7783" t="s">
        <v>43960</v>
      </c>
      <c r="X7783" t="s">
        <v>46575</v>
      </c>
    </row>
    <row r="7784" spans="1:24">
      <c r="A7784">
        <f>HYPERLINK("https://www.philgeps.gov.ph/GEPSNONPILOT/Tender/SplashBidNoticeAbstractUI.aspx?menuIndex=3&amp;refID=7058636&amp;Result=3","7058636")</f>
        <v>0</v>
      </c>
      <c r="B7784" t="s">
        <v>2361</v>
      </c>
      <c r="C7784" t="s">
        <v>10911</v>
      </c>
      <c r="D7784" t="s">
        <v>18856</v>
      </c>
      <c r="E7784" t="s">
        <v>25711</v>
      </c>
      <c r="F7784" t="s">
        <v>32664</v>
      </c>
      <c r="G7784" t="s">
        <v>32672</v>
      </c>
      <c r="H7784" t="s">
        <v>12635</v>
      </c>
      <c r="I7784" t="s">
        <v>14442</v>
      </c>
      <c r="J7784" t="s">
        <v>37586</v>
      </c>
      <c r="K7784" t="s">
        <v>42281</v>
      </c>
      <c r="M7784" t="s">
        <v>45145</v>
      </c>
      <c r="N7784" t="s">
        <v>46569</v>
      </c>
      <c r="O7784" t="s">
        <v>46570</v>
      </c>
      <c r="P7784">
        <v>0</v>
      </c>
      <c r="Q7784">
        <v>1</v>
      </c>
      <c r="R7784" t="s">
        <v>46574</v>
      </c>
      <c r="S7784" t="s">
        <v>46723</v>
      </c>
      <c r="T7784" t="s">
        <v>48298</v>
      </c>
      <c r="U7784" t="s">
        <v>55216</v>
      </c>
      <c r="W7784" t="s">
        <v>45145</v>
      </c>
      <c r="X7784" t="s">
        <v>46575</v>
      </c>
    </row>
    <row r="7785" spans="1:24">
      <c r="A7785">
        <f>HYPERLINK("https://www.philgeps.gov.ph/GEPSNONPILOT/Tender/SplashBidNoticeAbstractUI.aspx?menuIndex=3&amp;refID=7058635&amp;Result=3","7058635")</f>
        <v>0</v>
      </c>
      <c r="B7785" t="s">
        <v>1313</v>
      </c>
      <c r="C7785" t="s">
        <v>10912</v>
      </c>
      <c r="E7785" t="s">
        <v>25715</v>
      </c>
      <c r="F7785" t="s">
        <v>32664</v>
      </c>
      <c r="G7785" t="s">
        <v>32671</v>
      </c>
      <c r="H7785" t="s">
        <v>12635</v>
      </c>
      <c r="I7785" t="s">
        <v>32704</v>
      </c>
      <c r="J7785" t="s">
        <v>32859</v>
      </c>
      <c r="K7785" t="s">
        <v>42283</v>
      </c>
      <c r="M7785" t="s">
        <v>43960</v>
      </c>
      <c r="N7785" t="s">
        <v>46569</v>
      </c>
      <c r="O7785" t="s">
        <v>46570</v>
      </c>
      <c r="P7785">
        <v>0</v>
      </c>
      <c r="Q7785">
        <v>4</v>
      </c>
      <c r="R7785" t="s">
        <v>46574</v>
      </c>
      <c r="S7785" t="s">
        <v>46723</v>
      </c>
      <c r="T7785" t="s">
        <v>48562</v>
      </c>
      <c r="U7785" t="s">
        <v>55178</v>
      </c>
      <c r="W7785" t="s">
        <v>43960</v>
      </c>
      <c r="X7785" t="s">
        <v>46575</v>
      </c>
    </row>
    <row r="7786" spans="1:24">
      <c r="A7786">
        <f>HYPERLINK("https://www.philgeps.gov.ph/GEPSNONPILOT/Tender/SplashBidNoticeAbstractUI.aspx?menuIndex=3&amp;refID=7058633&amp;Result=3","7058633")</f>
        <v>0</v>
      </c>
      <c r="B7786" t="s">
        <v>2360</v>
      </c>
      <c r="C7786" t="s">
        <v>10913</v>
      </c>
      <c r="D7786" t="s">
        <v>18823</v>
      </c>
      <c r="E7786" t="s">
        <v>25716</v>
      </c>
      <c r="F7786" t="s">
        <v>32664</v>
      </c>
      <c r="G7786" t="s">
        <v>32671</v>
      </c>
      <c r="H7786" t="s">
        <v>12635</v>
      </c>
      <c r="I7786" t="s">
        <v>32692</v>
      </c>
      <c r="J7786" t="s">
        <v>37587</v>
      </c>
      <c r="K7786" t="s">
        <v>42309</v>
      </c>
      <c r="M7786" t="s">
        <v>45144</v>
      </c>
      <c r="N7786" t="s">
        <v>46569</v>
      </c>
      <c r="O7786" t="s">
        <v>46570</v>
      </c>
      <c r="P7786">
        <v>0</v>
      </c>
      <c r="Q7786">
        <v>4</v>
      </c>
      <c r="R7786" t="s">
        <v>46574</v>
      </c>
      <c r="S7786" t="s">
        <v>46723</v>
      </c>
      <c r="T7786" t="s">
        <v>48449</v>
      </c>
      <c r="U7786" t="s">
        <v>55189</v>
      </c>
      <c r="W7786" t="s">
        <v>45144</v>
      </c>
      <c r="X7786" t="s">
        <v>46575</v>
      </c>
    </row>
    <row r="7787" spans="1:24">
      <c r="A7787">
        <f>HYPERLINK("https://www.philgeps.gov.ph/GEPSNONPILOT/Tender/SplashBidNoticeAbstractUI.aspx?menuIndex=3&amp;refID=7058610&amp;Result=3","7058610")</f>
        <v>0</v>
      </c>
      <c r="B7787" t="s">
        <v>1313</v>
      </c>
      <c r="C7787" t="s">
        <v>10914</v>
      </c>
      <c r="E7787" t="s">
        <v>25717</v>
      </c>
      <c r="F7787" t="s">
        <v>32664</v>
      </c>
      <c r="G7787" t="s">
        <v>32671</v>
      </c>
      <c r="H7787" t="s">
        <v>12635</v>
      </c>
      <c r="I7787" t="s">
        <v>32704</v>
      </c>
      <c r="J7787" t="s">
        <v>37588</v>
      </c>
      <c r="K7787" t="s">
        <v>42283</v>
      </c>
      <c r="M7787" t="s">
        <v>43960</v>
      </c>
      <c r="N7787" t="s">
        <v>46569</v>
      </c>
      <c r="O7787" t="s">
        <v>46570</v>
      </c>
      <c r="P7787">
        <v>0</v>
      </c>
      <c r="Q7787">
        <v>10</v>
      </c>
      <c r="R7787" t="s">
        <v>46574</v>
      </c>
      <c r="S7787" t="s">
        <v>46723</v>
      </c>
      <c r="T7787" t="s">
        <v>48562</v>
      </c>
      <c r="U7787" t="s">
        <v>55178</v>
      </c>
      <c r="W7787" t="s">
        <v>43960</v>
      </c>
      <c r="X7787" t="s">
        <v>46575</v>
      </c>
    </row>
    <row r="7788" spans="1:24">
      <c r="A7788">
        <f>HYPERLINK("https://www.philgeps.gov.ph/GEPSNONPILOT/Tender/SplashBidNoticeAbstractUI.aspx?menuIndex=3&amp;refID=7058666&amp;Result=3","7058666")</f>
        <v>0</v>
      </c>
      <c r="B7788" t="s">
        <v>528</v>
      </c>
      <c r="C7788" t="s">
        <v>10915</v>
      </c>
      <c r="D7788" t="s">
        <v>18803</v>
      </c>
      <c r="E7788" t="s">
        <v>25718</v>
      </c>
      <c r="F7788" t="s">
        <v>32664</v>
      </c>
      <c r="G7788" t="s">
        <v>32671</v>
      </c>
      <c r="H7788" t="s">
        <v>12635</v>
      </c>
      <c r="I7788" t="s">
        <v>6223</v>
      </c>
      <c r="J7788" t="s">
        <v>37589</v>
      </c>
      <c r="K7788" t="s">
        <v>42281</v>
      </c>
      <c r="M7788" t="s">
        <v>45146</v>
      </c>
      <c r="N7788" t="s">
        <v>46569</v>
      </c>
      <c r="O7788" t="s">
        <v>46570</v>
      </c>
      <c r="P7788">
        <v>0</v>
      </c>
      <c r="Q7788">
        <v>7</v>
      </c>
      <c r="R7788" t="s">
        <v>46574</v>
      </c>
      <c r="S7788" t="s">
        <v>46723</v>
      </c>
      <c r="T7788" t="s">
        <v>48287</v>
      </c>
      <c r="U7788" t="s">
        <v>55207</v>
      </c>
      <c r="W7788" t="s">
        <v>45146</v>
      </c>
      <c r="X7788" t="s">
        <v>46575</v>
      </c>
    </row>
    <row r="7789" spans="1:24">
      <c r="A7789">
        <f>HYPERLINK("https://www.philgeps.gov.ph/GEPSNONPILOT/Tender/SplashBidNoticeAbstractUI.aspx?menuIndex=3&amp;refID=7058683&amp;Result=3","7058683")</f>
        <v>0</v>
      </c>
      <c r="B7789" t="s">
        <v>455</v>
      </c>
      <c r="C7789" t="s">
        <v>5825</v>
      </c>
      <c r="D7789" t="s">
        <v>18834</v>
      </c>
      <c r="E7789" t="s">
        <v>25719</v>
      </c>
      <c r="F7789" t="s">
        <v>32664</v>
      </c>
      <c r="G7789" t="s">
        <v>32671</v>
      </c>
      <c r="H7789" t="s">
        <v>12635</v>
      </c>
      <c r="I7789" t="s">
        <v>6168</v>
      </c>
      <c r="J7789" t="s">
        <v>37590</v>
      </c>
      <c r="K7789" t="s">
        <v>42281</v>
      </c>
      <c r="M7789" t="s">
        <v>43596</v>
      </c>
      <c r="N7789" t="s">
        <v>46569</v>
      </c>
      <c r="O7789" t="s">
        <v>46570</v>
      </c>
      <c r="P7789">
        <v>0</v>
      </c>
      <c r="Q7789">
        <v>0</v>
      </c>
      <c r="R7789" t="s">
        <v>46574</v>
      </c>
      <c r="S7789" t="s">
        <v>46723</v>
      </c>
      <c r="T7789" t="s">
        <v>48578</v>
      </c>
      <c r="U7789" t="s">
        <v>55217</v>
      </c>
      <c r="W7789" t="s">
        <v>43596</v>
      </c>
      <c r="X7789" t="s">
        <v>46575</v>
      </c>
    </row>
    <row r="7790" spans="1:24">
      <c r="A7790">
        <f>HYPERLINK("https://www.philgeps.gov.ph/GEPSNONPILOT/Tender/SplashBidNoticeAbstractUI.aspx?menuIndex=3&amp;refID=7058634&amp;Result=3","7058634")</f>
        <v>0</v>
      </c>
      <c r="B7790" t="s">
        <v>2351</v>
      </c>
      <c r="C7790" t="s">
        <v>10916</v>
      </c>
      <c r="D7790" t="s">
        <v>18795</v>
      </c>
      <c r="E7790" t="s">
        <v>25720</v>
      </c>
      <c r="F7790" t="s">
        <v>32664</v>
      </c>
      <c r="G7790" t="s">
        <v>32677</v>
      </c>
      <c r="H7790" t="s">
        <v>32683</v>
      </c>
      <c r="I7790" t="s">
        <v>10627</v>
      </c>
      <c r="J7790" t="s">
        <v>37591</v>
      </c>
      <c r="K7790" t="s">
        <v>42298</v>
      </c>
      <c r="M7790" t="s">
        <v>45135</v>
      </c>
      <c r="N7790" t="s">
        <v>46569</v>
      </c>
      <c r="O7790" t="s">
        <v>46570</v>
      </c>
      <c r="P7790">
        <v>0</v>
      </c>
      <c r="Q7790">
        <v>2</v>
      </c>
      <c r="R7790" t="s">
        <v>46574</v>
      </c>
      <c r="S7790" t="s">
        <v>46723</v>
      </c>
      <c r="T7790" t="s">
        <v>48287</v>
      </c>
      <c r="U7790" t="s">
        <v>55218</v>
      </c>
      <c r="W7790" t="s">
        <v>45135</v>
      </c>
      <c r="X7790" t="s">
        <v>46575</v>
      </c>
    </row>
    <row r="7791" spans="1:24">
      <c r="A7791">
        <f>HYPERLINK("https://www.philgeps.gov.ph/GEPSNONPILOT/Tender/SplashBidNoticeAbstractUI.aspx?menuIndex=3&amp;refID=7058705&amp;Result=3","7058705")</f>
        <v>0</v>
      </c>
      <c r="B7791" t="s">
        <v>2363</v>
      </c>
      <c r="C7791" t="s">
        <v>10917</v>
      </c>
      <c r="D7791" t="s">
        <v>18826</v>
      </c>
      <c r="E7791" t="s">
        <v>25721</v>
      </c>
      <c r="F7791" t="s">
        <v>32664</v>
      </c>
      <c r="G7791" t="s">
        <v>32672</v>
      </c>
      <c r="H7791" t="s">
        <v>32683</v>
      </c>
      <c r="I7791" t="s">
        <v>10627</v>
      </c>
      <c r="J7791" t="s">
        <v>32842</v>
      </c>
      <c r="K7791" t="s">
        <v>42281</v>
      </c>
      <c r="M7791" t="s">
        <v>45148</v>
      </c>
      <c r="N7791" t="s">
        <v>46569</v>
      </c>
      <c r="O7791" t="s">
        <v>46570</v>
      </c>
      <c r="P7791">
        <v>0</v>
      </c>
      <c r="Q7791">
        <v>0</v>
      </c>
      <c r="R7791" t="s">
        <v>46574</v>
      </c>
      <c r="S7791" t="s">
        <v>46723</v>
      </c>
      <c r="T7791" t="s">
        <v>48410</v>
      </c>
      <c r="U7791" t="s">
        <v>55219</v>
      </c>
      <c r="W7791" t="s">
        <v>45148</v>
      </c>
      <c r="X7791" t="s">
        <v>46575</v>
      </c>
    </row>
    <row r="7792" spans="1:24">
      <c r="A7792">
        <f>HYPERLINK("https://www.philgeps.gov.ph/GEPSNONPILOT/Tender/SplashBidNoticeAbstractUI.aspx?menuIndex=3&amp;refID=7058702&amp;Result=3","7058702")</f>
        <v>0</v>
      </c>
      <c r="B7792" t="s">
        <v>455</v>
      </c>
      <c r="C7792" t="s">
        <v>5825</v>
      </c>
      <c r="D7792" t="s">
        <v>18834</v>
      </c>
      <c r="E7792" t="s">
        <v>25722</v>
      </c>
      <c r="F7792" t="s">
        <v>32664</v>
      </c>
      <c r="G7792" t="s">
        <v>32671</v>
      </c>
      <c r="H7792" t="s">
        <v>12635</v>
      </c>
      <c r="I7792" t="s">
        <v>6168</v>
      </c>
      <c r="J7792" t="s">
        <v>37592</v>
      </c>
      <c r="K7792" t="s">
        <v>42281</v>
      </c>
      <c r="M7792" t="s">
        <v>43596</v>
      </c>
      <c r="N7792" t="s">
        <v>46569</v>
      </c>
      <c r="O7792" t="s">
        <v>46570</v>
      </c>
      <c r="P7792">
        <v>0</v>
      </c>
      <c r="Q7792">
        <v>0</v>
      </c>
      <c r="R7792" t="s">
        <v>46574</v>
      </c>
      <c r="S7792" t="s">
        <v>46723</v>
      </c>
      <c r="T7792" t="s">
        <v>48578</v>
      </c>
      <c r="U7792" t="s">
        <v>55220</v>
      </c>
      <c r="W7792" t="s">
        <v>43596</v>
      </c>
      <c r="X7792" t="s">
        <v>46575</v>
      </c>
    </row>
    <row r="7793" spans="1:24">
      <c r="A7793">
        <f>HYPERLINK("https://www.philgeps.gov.ph/GEPSNONPILOT/Tender/SplashBidNoticeAbstractUI.aspx?menuIndex=3&amp;refID=7058656&amp;Result=3","7058656")</f>
        <v>0</v>
      </c>
      <c r="B7793" t="s">
        <v>618</v>
      </c>
      <c r="C7793" t="s">
        <v>10918</v>
      </c>
      <c r="D7793" t="s">
        <v>18861</v>
      </c>
      <c r="E7793" t="s">
        <v>25723</v>
      </c>
      <c r="F7793" t="s">
        <v>32664</v>
      </c>
      <c r="G7793" t="s">
        <v>32671</v>
      </c>
      <c r="H7793" t="s">
        <v>12635</v>
      </c>
      <c r="I7793" t="s">
        <v>4439</v>
      </c>
      <c r="J7793" t="s">
        <v>37593</v>
      </c>
      <c r="K7793" t="s">
        <v>42281</v>
      </c>
      <c r="M7793" t="s">
        <v>43198</v>
      </c>
      <c r="N7793" t="s">
        <v>46569</v>
      </c>
      <c r="O7793" t="s">
        <v>46570</v>
      </c>
      <c r="P7793">
        <v>0</v>
      </c>
      <c r="Q7793">
        <v>0</v>
      </c>
      <c r="R7793" t="s">
        <v>46574</v>
      </c>
      <c r="S7793" t="s">
        <v>46723</v>
      </c>
      <c r="T7793" t="s">
        <v>48468</v>
      </c>
      <c r="U7793" t="s">
        <v>55221</v>
      </c>
      <c r="W7793" t="s">
        <v>43198</v>
      </c>
      <c r="X7793" t="s">
        <v>46575</v>
      </c>
    </row>
    <row r="7794" spans="1:24">
      <c r="A7794">
        <f>HYPERLINK("https://www.philgeps.gov.ph/GEPSNONPILOT/Tender/SplashBidNoticeAbstractUI.aspx?menuIndex=3&amp;refID=7058701&amp;Result=3","7058701")</f>
        <v>0</v>
      </c>
      <c r="B7794" t="s">
        <v>2364</v>
      </c>
      <c r="C7794" t="s">
        <v>10919</v>
      </c>
      <c r="D7794" t="s">
        <v>18801</v>
      </c>
      <c r="E7794" t="s">
        <v>21055</v>
      </c>
      <c r="F7794" t="s">
        <v>32664</v>
      </c>
      <c r="G7794" t="s">
        <v>32674</v>
      </c>
      <c r="H7794" t="s">
        <v>12635</v>
      </c>
      <c r="I7794" t="s">
        <v>6223</v>
      </c>
      <c r="J7794" t="s">
        <v>37594</v>
      </c>
      <c r="K7794" t="s">
        <v>42297</v>
      </c>
      <c r="M7794" t="s">
        <v>45149</v>
      </c>
      <c r="N7794" t="s">
        <v>46569</v>
      </c>
      <c r="O7794" t="s">
        <v>46570</v>
      </c>
      <c r="P7794">
        <v>0</v>
      </c>
      <c r="Q7794">
        <v>4</v>
      </c>
      <c r="R7794" t="s">
        <v>46574</v>
      </c>
      <c r="S7794" t="s">
        <v>46723</v>
      </c>
      <c r="T7794" t="s">
        <v>48427</v>
      </c>
      <c r="U7794" t="s">
        <v>55222</v>
      </c>
      <c r="W7794" t="s">
        <v>45149</v>
      </c>
      <c r="X7794" t="s">
        <v>46575</v>
      </c>
    </row>
    <row r="7795" spans="1:24">
      <c r="A7795">
        <f>HYPERLINK("https://www.philgeps.gov.ph/GEPSNONPILOT/Tender/SplashBidNoticeAbstractUI.aspx?menuIndex=3&amp;refID=7058700&amp;Result=3","7058700")</f>
        <v>0</v>
      </c>
      <c r="B7795" t="s">
        <v>1548</v>
      </c>
      <c r="C7795" t="s">
        <v>10920</v>
      </c>
      <c r="D7795" t="s">
        <v>18831</v>
      </c>
      <c r="E7795" t="s">
        <v>25724</v>
      </c>
      <c r="F7795" t="s">
        <v>32664</v>
      </c>
      <c r="G7795" t="s">
        <v>32672</v>
      </c>
      <c r="H7795" t="s">
        <v>12635</v>
      </c>
      <c r="I7795" t="s">
        <v>5589</v>
      </c>
      <c r="J7795" t="s">
        <v>33267</v>
      </c>
      <c r="K7795" t="s">
        <v>42297</v>
      </c>
      <c r="M7795" t="s">
        <v>44217</v>
      </c>
      <c r="N7795" t="s">
        <v>46569</v>
      </c>
      <c r="O7795" t="s">
        <v>46570</v>
      </c>
      <c r="P7795">
        <v>0</v>
      </c>
      <c r="Q7795">
        <v>0</v>
      </c>
      <c r="R7795" t="s">
        <v>46574</v>
      </c>
      <c r="S7795" t="s">
        <v>46723</v>
      </c>
      <c r="T7795" t="s">
        <v>48411</v>
      </c>
      <c r="U7795" t="s">
        <v>55223</v>
      </c>
      <c r="W7795" t="s">
        <v>44217</v>
      </c>
      <c r="X7795" t="s">
        <v>46575</v>
      </c>
    </row>
    <row r="7796" spans="1:24">
      <c r="A7796">
        <f>HYPERLINK("https://www.philgeps.gov.ph/GEPSNONPILOT/Tender/SplashBidNoticeAbstractUI.aspx?menuIndex=3&amp;refID=7058698&amp;Result=3","7058698")</f>
        <v>0</v>
      </c>
      <c r="B7796" t="s">
        <v>455</v>
      </c>
      <c r="C7796" t="s">
        <v>5825</v>
      </c>
      <c r="D7796" t="s">
        <v>18834</v>
      </c>
      <c r="E7796" t="s">
        <v>25725</v>
      </c>
      <c r="F7796" t="s">
        <v>32664</v>
      </c>
      <c r="G7796" t="s">
        <v>32671</v>
      </c>
      <c r="H7796" t="s">
        <v>12635</v>
      </c>
      <c r="I7796" t="s">
        <v>6168</v>
      </c>
      <c r="J7796" t="s">
        <v>37595</v>
      </c>
      <c r="K7796" t="s">
        <v>42281</v>
      </c>
      <c r="M7796" t="s">
        <v>43596</v>
      </c>
      <c r="N7796" t="s">
        <v>46569</v>
      </c>
      <c r="O7796" t="s">
        <v>46570</v>
      </c>
      <c r="P7796">
        <v>0</v>
      </c>
      <c r="Q7796">
        <v>0</v>
      </c>
      <c r="R7796" t="s">
        <v>46574</v>
      </c>
      <c r="S7796" t="s">
        <v>46723</v>
      </c>
      <c r="T7796" t="s">
        <v>48578</v>
      </c>
      <c r="U7796" t="s">
        <v>55224</v>
      </c>
      <c r="W7796" t="s">
        <v>43596</v>
      </c>
      <c r="X7796" t="s">
        <v>46575</v>
      </c>
    </row>
    <row r="7797" spans="1:24">
      <c r="A7797">
        <f>HYPERLINK("https://www.philgeps.gov.ph/GEPSNONPILOT/Tender/SplashBidNoticeAbstractUI.aspx?menuIndex=3&amp;refID=7058703&amp;Result=3","7058703")</f>
        <v>0</v>
      </c>
      <c r="B7797" t="s">
        <v>283</v>
      </c>
      <c r="C7797" t="s">
        <v>10921</v>
      </c>
      <c r="D7797" t="s">
        <v>18801</v>
      </c>
      <c r="E7797" t="s">
        <v>20850</v>
      </c>
      <c r="F7797" t="s">
        <v>32664</v>
      </c>
      <c r="G7797" t="s">
        <v>32671</v>
      </c>
      <c r="H7797" t="s">
        <v>12635</v>
      </c>
      <c r="I7797" t="s">
        <v>6553</v>
      </c>
      <c r="J7797" t="s">
        <v>32976</v>
      </c>
      <c r="K7797" t="s">
        <v>42281</v>
      </c>
      <c r="M7797" t="s">
        <v>42848</v>
      </c>
      <c r="N7797" t="s">
        <v>46569</v>
      </c>
      <c r="O7797" t="s">
        <v>46570</v>
      </c>
      <c r="P7797">
        <v>0</v>
      </c>
      <c r="Q7797">
        <v>3</v>
      </c>
      <c r="R7797" t="s">
        <v>46574</v>
      </c>
      <c r="S7797" t="s">
        <v>46723</v>
      </c>
      <c r="T7797" t="s">
        <v>48290</v>
      </c>
      <c r="U7797" t="s">
        <v>55225</v>
      </c>
      <c r="W7797" t="s">
        <v>42848</v>
      </c>
      <c r="X7797" t="s">
        <v>46575</v>
      </c>
    </row>
    <row r="7798" spans="1:24">
      <c r="A7798">
        <f>HYPERLINK("https://www.philgeps.gov.ph/GEPSNONPILOT/Tender/SplashBidNoticeAbstractUI.aspx?menuIndex=3&amp;refID=7058696&amp;Result=3","7058696")</f>
        <v>0</v>
      </c>
      <c r="B7798" t="s">
        <v>455</v>
      </c>
      <c r="C7798" t="s">
        <v>5825</v>
      </c>
      <c r="D7798" t="s">
        <v>18834</v>
      </c>
      <c r="E7798" t="s">
        <v>25726</v>
      </c>
      <c r="F7798" t="s">
        <v>32664</v>
      </c>
      <c r="G7798" t="s">
        <v>32671</v>
      </c>
      <c r="H7798" t="s">
        <v>12635</v>
      </c>
      <c r="I7798" t="s">
        <v>6168</v>
      </c>
      <c r="J7798" t="s">
        <v>37596</v>
      </c>
      <c r="K7798" t="s">
        <v>42281</v>
      </c>
      <c r="M7798" t="s">
        <v>43596</v>
      </c>
      <c r="N7798" t="s">
        <v>46569</v>
      </c>
      <c r="O7798" t="s">
        <v>46570</v>
      </c>
      <c r="P7798">
        <v>0</v>
      </c>
      <c r="Q7798">
        <v>2</v>
      </c>
      <c r="R7798" t="s">
        <v>46574</v>
      </c>
      <c r="S7798" t="s">
        <v>46723</v>
      </c>
      <c r="T7798" t="s">
        <v>48578</v>
      </c>
      <c r="U7798" t="s">
        <v>55226</v>
      </c>
      <c r="W7798" t="s">
        <v>43596</v>
      </c>
      <c r="X7798" t="s">
        <v>46575</v>
      </c>
    </row>
    <row r="7799" spans="1:24">
      <c r="A7799">
        <f>HYPERLINK("https://www.philgeps.gov.ph/GEPSNONPILOT/Tender/SplashBidNoticeAbstractUI.aspx?menuIndex=3&amp;refID=7058651&amp;Result=3","7058651")</f>
        <v>0</v>
      </c>
      <c r="B7799" t="s">
        <v>1313</v>
      </c>
      <c r="C7799" t="s">
        <v>10922</v>
      </c>
      <c r="E7799" t="s">
        <v>25727</v>
      </c>
      <c r="F7799" t="s">
        <v>32664</v>
      </c>
      <c r="G7799" t="s">
        <v>32671</v>
      </c>
      <c r="H7799" t="s">
        <v>12635</v>
      </c>
      <c r="I7799" t="s">
        <v>7709</v>
      </c>
      <c r="J7799" t="s">
        <v>32902</v>
      </c>
      <c r="K7799" t="s">
        <v>42283</v>
      </c>
      <c r="M7799" t="s">
        <v>43960</v>
      </c>
      <c r="N7799" t="s">
        <v>46569</v>
      </c>
      <c r="O7799" t="s">
        <v>46570</v>
      </c>
      <c r="P7799">
        <v>0</v>
      </c>
      <c r="Q7799">
        <v>0</v>
      </c>
      <c r="R7799" t="s">
        <v>46574</v>
      </c>
      <c r="S7799" t="s">
        <v>46723</v>
      </c>
      <c r="T7799" t="s">
        <v>48562</v>
      </c>
      <c r="U7799" t="s">
        <v>55178</v>
      </c>
      <c r="W7799" t="s">
        <v>43960</v>
      </c>
      <c r="X7799" t="s">
        <v>46575</v>
      </c>
    </row>
    <row r="7800" spans="1:24">
      <c r="A7800">
        <f>HYPERLINK("https://www.philgeps.gov.ph/GEPSNONPILOT/Tender/SplashBidNoticeAbstractUI.aspx?menuIndex=3&amp;refID=7058695&amp;Result=3","7058695")</f>
        <v>0</v>
      </c>
      <c r="B7800" t="s">
        <v>1548</v>
      </c>
      <c r="C7800" t="s">
        <v>10923</v>
      </c>
      <c r="D7800" t="s">
        <v>18831</v>
      </c>
      <c r="E7800" t="s">
        <v>25728</v>
      </c>
      <c r="F7800" t="s">
        <v>32664</v>
      </c>
      <c r="G7800" t="s">
        <v>32672</v>
      </c>
      <c r="H7800" t="s">
        <v>12635</v>
      </c>
      <c r="I7800" t="s">
        <v>4439</v>
      </c>
      <c r="J7800" t="s">
        <v>37597</v>
      </c>
      <c r="K7800" t="s">
        <v>42297</v>
      </c>
      <c r="M7800" t="s">
        <v>44217</v>
      </c>
      <c r="N7800" t="s">
        <v>46569</v>
      </c>
      <c r="O7800" t="s">
        <v>46570</v>
      </c>
      <c r="P7800">
        <v>0</v>
      </c>
      <c r="Q7800">
        <v>0</v>
      </c>
      <c r="R7800" t="s">
        <v>46574</v>
      </c>
      <c r="S7800" t="s">
        <v>46723</v>
      </c>
      <c r="T7800" t="s">
        <v>48411</v>
      </c>
      <c r="U7800" t="s">
        <v>55227</v>
      </c>
      <c r="W7800" t="s">
        <v>44217</v>
      </c>
      <c r="X7800" t="s">
        <v>46575</v>
      </c>
    </row>
    <row r="7801" spans="1:24">
      <c r="A7801">
        <f>HYPERLINK("https://www.philgeps.gov.ph/GEPSNONPILOT/Tender/SplashBidNoticeAbstractUI.aspx?menuIndex=3&amp;refID=7058699&amp;Result=3","7058699")</f>
        <v>0</v>
      </c>
      <c r="B7801" t="s">
        <v>455</v>
      </c>
      <c r="C7801" t="s">
        <v>5825</v>
      </c>
      <c r="D7801" t="s">
        <v>18834</v>
      </c>
      <c r="E7801" t="s">
        <v>25729</v>
      </c>
      <c r="F7801" t="s">
        <v>32664</v>
      </c>
      <c r="G7801" t="s">
        <v>32671</v>
      </c>
      <c r="H7801" t="s">
        <v>12635</v>
      </c>
      <c r="I7801" t="s">
        <v>6168</v>
      </c>
      <c r="J7801" t="s">
        <v>37598</v>
      </c>
      <c r="K7801" t="s">
        <v>42281</v>
      </c>
      <c r="M7801" t="s">
        <v>43596</v>
      </c>
      <c r="N7801" t="s">
        <v>46569</v>
      </c>
      <c r="O7801" t="s">
        <v>46570</v>
      </c>
      <c r="P7801">
        <v>0</v>
      </c>
      <c r="Q7801">
        <v>1</v>
      </c>
      <c r="R7801" t="s">
        <v>46574</v>
      </c>
      <c r="S7801" t="s">
        <v>46723</v>
      </c>
      <c r="T7801" t="s">
        <v>48578</v>
      </c>
      <c r="U7801" t="s">
        <v>55228</v>
      </c>
      <c r="W7801" t="s">
        <v>43596</v>
      </c>
      <c r="X7801" t="s">
        <v>46575</v>
      </c>
    </row>
    <row r="7802" spans="1:24">
      <c r="A7802">
        <f>HYPERLINK("https://www.philgeps.gov.ph/GEPSNONPILOT/Tender/SplashBidNoticeAbstractUI.aspx?menuIndex=3&amp;refID=7058735&amp;Result=3","7058735")</f>
        <v>0</v>
      </c>
      <c r="B7802" t="s">
        <v>2283</v>
      </c>
      <c r="C7802" t="s">
        <v>10924</v>
      </c>
      <c r="D7802" t="s">
        <v>18784</v>
      </c>
      <c r="E7802" t="s">
        <v>25730</v>
      </c>
      <c r="F7802" t="s">
        <v>32664</v>
      </c>
      <c r="G7802" t="s">
        <v>32672</v>
      </c>
      <c r="H7802" t="s">
        <v>12635</v>
      </c>
      <c r="I7802" t="s">
        <v>6223</v>
      </c>
      <c r="J7802" t="s">
        <v>32859</v>
      </c>
      <c r="K7802" t="s">
        <v>42281</v>
      </c>
      <c r="M7802" t="s">
        <v>45053</v>
      </c>
      <c r="N7802" t="s">
        <v>46569</v>
      </c>
      <c r="O7802" t="s">
        <v>46570</v>
      </c>
      <c r="P7802">
        <v>0</v>
      </c>
      <c r="Q7802">
        <v>1</v>
      </c>
      <c r="R7802" t="s">
        <v>46574</v>
      </c>
      <c r="S7802" t="s">
        <v>46723</v>
      </c>
      <c r="T7802" t="s">
        <v>48228</v>
      </c>
      <c r="U7802" t="s">
        <v>55229</v>
      </c>
      <c r="W7802" t="s">
        <v>45053</v>
      </c>
      <c r="X7802" t="s">
        <v>46575</v>
      </c>
    </row>
    <row r="7803" spans="1:24">
      <c r="A7803">
        <f>HYPERLINK("https://www.philgeps.gov.ph/GEPSNONPILOT/Tender/SplashBidNoticeAbstractUI.aspx?menuIndex=3&amp;refID=7058731&amp;Result=3","7058731")</f>
        <v>0</v>
      </c>
      <c r="B7803" t="s">
        <v>2365</v>
      </c>
      <c r="C7803" t="s">
        <v>10925</v>
      </c>
      <c r="E7803" t="s">
        <v>25731</v>
      </c>
      <c r="F7803" t="s">
        <v>32664</v>
      </c>
      <c r="G7803" t="s">
        <v>32672</v>
      </c>
      <c r="H7803" t="s">
        <v>12635</v>
      </c>
      <c r="I7803" t="s">
        <v>32734</v>
      </c>
      <c r="J7803" t="s">
        <v>37599</v>
      </c>
      <c r="K7803" t="s">
        <v>42283</v>
      </c>
      <c r="M7803" t="s">
        <v>45150</v>
      </c>
      <c r="N7803" t="s">
        <v>46569</v>
      </c>
      <c r="O7803" t="s">
        <v>46570</v>
      </c>
      <c r="P7803">
        <v>0</v>
      </c>
      <c r="Q7803">
        <v>5</v>
      </c>
      <c r="R7803" t="s">
        <v>46574</v>
      </c>
      <c r="S7803" t="s">
        <v>46723</v>
      </c>
      <c r="T7803" t="s">
        <v>48608</v>
      </c>
      <c r="U7803" t="s">
        <v>55230</v>
      </c>
      <c r="W7803" t="s">
        <v>45150</v>
      </c>
      <c r="X7803" t="s">
        <v>46575</v>
      </c>
    </row>
    <row r="7804" spans="1:24">
      <c r="A7804">
        <f>HYPERLINK("https://www.philgeps.gov.ph/GEPSNONPILOT/Tender/SplashBidNoticeAbstractUI.aspx?menuIndex=3&amp;refID=7058730&amp;Result=3","7058730")</f>
        <v>0</v>
      </c>
      <c r="B7804" t="s">
        <v>2365</v>
      </c>
      <c r="C7804" t="s">
        <v>10926</v>
      </c>
      <c r="E7804" t="s">
        <v>25732</v>
      </c>
      <c r="F7804" t="s">
        <v>32664</v>
      </c>
      <c r="G7804" t="s">
        <v>32672</v>
      </c>
      <c r="H7804" t="s">
        <v>32683</v>
      </c>
      <c r="I7804" t="s">
        <v>10627</v>
      </c>
      <c r="J7804" t="s">
        <v>34487</v>
      </c>
      <c r="K7804" t="s">
        <v>42283</v>
      </c>
      <c r="M7804" t="s">
        <v>45150</v>
      </c>
      <c r="N7804" t="s">
        <v>46569</v>
      </c>
      <c r="O7804" t="s">
        <v>46570</v>
      </c>
      <c r="P7804">
        <v>0</v>
      </c>
      <c r="Q7804">
        <v>12</v>
      </c>
      <c r="R7804" t="s">
        <v>46574</v>
      </c>
      <c r="S7804" t="s">
        <v>46723</v>
      </c>
      <c r="T7804" t="s">
        <v>48334</v>
      </c>
      <c r="U7804" t="s">
        <v>55231</v>
      </c>
      <c r="W7804" t="s">
        <v>45150</v>
      </c>
      <c r="X7804" t="s">
        <v>46575</v>
      </c>
    </row>
    <row r="7805" spans="1:24">
      <c r="A7805">
        <f>HYPERLINK("https://www.philgeps.gov.ph/GEPSNONPILOT/Tender/SplashBidNoticeAbstractUI.aspx?menuIndex=3&amp;refID=7058729&amp;Result=3","7058729")</f>
        <v>0</v>
      </c>
      <c r="B7805" t="s">
        <v>2365</v>
      </c>
      <c r="C7805" t="s">
        <v>10927</v>
      </c>
      <c r="E7805" t="s">
        <v>25733</v>
      </c>
      <c r="F7805" t="s">
        <v>32664</v>
      </c>
      <c r="G7805" t="s">
        <v>32672</v>
      </c>
      <c r="H7805" t="s">
        <v>12635</v>
      </c>
      <c r="I7805" t="s">
        <v>10627</v>
      </c>
      <c r="J7805" t="s">
        <v>37600</v>
      </c>
      <c r="K7805" t="s">
        <v>42283</v>
      </c>
      <c r="M7805" t="s">
        <v>45150</v>
      </c>
      <c r="N7805" t="s">
        <v>46569</v>
      </c>
      <c r="O7805" t="s">
        <v>46570</v>
      </c>
      <c r="P7805">
        <v>0</v>
      </c>
      <c r="Q7805">
        <v>8</v>
      </c>
      <c r="R7805" t="s">
        <v>46574</v>
      </c>
      <c r="S7805" t="s">
        <v>46723</v>
      </c>
      <c r="T7805" t="s">
        <v>48228</v>
      </c>
      <c r="U7805" t="s">
        <v>55232</v>
      </c>
      <c r="W7805" t="s">
        <v>45150</v>
      </c>
      <c r="X7805" t="s">
        <v>46575</v>
      </c>
    </row>
    <row r="7806" spans="1:24">
      <c r="A7806">
        <f>HYPERLINK("https://www.philgeps.gov.ph/GEPSNONPILOT/Tender/SplashBidNoticeAbstractUI.aspx?menuIndex=3&amp;refID=7058697&amp;Result=3","7058697")</f>
        <v>0</v>
      </c>
      <c r="B7806" t="s">
        <v>1548</v>
      </c>
      <c r="C7806" t="s">
        <v>10928</v>
      </c>
      <c r="D7806" t="s">
        <v>18831</v>
      </c>
      <c r="E7806" t="s">
        <v>25734</v>
      </c>
      <c r="F7806" t="s">
        <v>32664</v>
      </c>
      <c r="G7806" t="s">
        <v>32672</v>
      </c>
      <c r="H7806" t="s">
        <v>12635</v>
      </c>
      <c r="I7806" t="s">
        <v>4439</v>
      </c>
      <c r="J7806" t="s">
        <v>37601</v>
      </c>
      <c r="K7806" t="s">
        <v>42297</v>
      </c>
      <c r="M7806" t="s">
        <v>44217</v>
      </c>
      <c r="N7806" t="s">
        <v>46569</v>
      </c>
      <c r="O7806" t="s">
        <v>46570</v>
      </c>
      <c r="P7806">
        <v>0</v>
      </c>
      <c r="Q7806">
        <v>2</v>
      </c>
      <c r="R7806" t="s">
        <v>46574</v>
      </c>
      <c r="S7806" t="s">
        <v>46723</v>
      </c>
      <c r="T7806" t="s">
        <v>48411</v>
      </c>
      <c r="U7806" t="s">
        <v>55233</v>
      </c>
      <c r="W7806" t="s">
        <v>44217</v>
      </c>
      <c r="X7806" t="s">
        <v>46575</v>
      </c>
    </row>
    <row r="7807" spans="1:24">
      <c r="A7807">
        <f>HYPERLINK("https://www.philgeps.gov.ph/GEPSNONPILOT/Tender/SplashBidNoticeAbstractUI.aspx?menuIndex=3&amp;refID=7058728&amp;Result=3","7058728")</f>
        <v>0</v>
      </c>
      <c r="B7807" t="s">
        <v>2366</v>
      </c>
      <c r="C7807" t="s">
        <v>10929</v>
      </c>
      <c r="D7807" t="s">
        <v>18816</v>
      </c>
      <c r="E7807" t="s">
        <v>25735</v>
      </c>
      <c r="F7807" t="s">
        <v>32664</v>
      </c>
      <c r="G7807" t="s">
        <v>32672</v>
      </c>
      <c r="H7807" t="s">
        <v>32683</v>
      </c>
      <c r="I7807" t="s">
        <v>10627</v>
      </c>
      <c r="J7807" t="s">
        <v>33001</v>
      </c>
      <c r="K7807" t="s">
        <v>42290</v>
      </c>
      <c r="M7807" t="s">
        <v>45151</v>
      </c>
      <c r="N7807" t="s">
        <v>46569</v>
      </c>
      <c r="O7807" t="s">
        <v>46570</v>
      </c>
      <c r="P7807">
        <v>0</v>
      </c>
      <c r="Q7807">
        <v>0</v>
      </c>
      <c r="R7807" t="s">
        <v>46574</v>
      </c>
      <c r="S7807" t="s">
        <v>46723</v>
      </c>
      <c r="T7807" t="s">
        <v>48219</v>
      </c>
      <c r="U7807" t="s">
        <v>55234</v>
      </c>
      <c r="W7807" t="s">
        <v>45151</v>
      </c>
      <c r="X7807" t="s">
        <v>46575</v>
      </c>
    </row>
    <row r="7808" spans="1:24">
      <c r="A7808">
        <f>HYPERLINK("https://www.philgeps.gov.ph/GEPSNONPILOT/Tender/SplashBidNoticeAbstractUI.aspx?menuIndex=3&amp;refID=7058727&amp;Result=3","7058727")</f>
        <v>0</v>
      </c>
      <c r="B7808" t="s">
        <v>2367</v>
      </c>
      <c r="C7808" t="s">
        <v>10930</v>
      </c>
      <c r="D7808" t="s">
        <v>18791</v>
      </c>
      <c r="E7808" t="s">
        <v>25736</v>
      </c>
      <c r="F7808" t="s">
        <v>32664</v>
      </c>
      <c r="G7808" t="s">
        <v>32671</v>
      </c>
      <c r="H7808" t="s">
        <v>12635</v>
      </c>
      <c r="I7808" t="s">
        <v>32738</v>
      </c>
      <c r="J7808" t="s">
        <v>33952</v>
      </c>
      <c r="K7808" t="s">
        <v>42309</v>
      </c>
      <c r="M7808" t="s">
        <v>45152</v>
      </c>
      <c r="N7808" t="s">
        <v>46569</v>
      </c>
      <c r="O7808" t="s">
        <v>46570</v>
      </c>
      <c r="P7808">
        <v>0</v>
      </c>
      <c r="Q7808">
        <v>12</v>
      </c>
      <c r="R7808" t="s">
        <v>46574</v>
      </c>
      <c r="S7808" t="s">
        <v>46723</v>
      </c>
      <c r="T7808" t="s">
        <v>48280</v>
      </c>
      <c r="U7808" t="s">
        <v>55235</v>
      </c>
      <c r="V7808" t="s">
        <v>62386</v>
      </c>
      <c r="W7808" t="s">
        <v>45152</v>
      </c>
      <c r="X7808" t="s">
        <v>46575</v>
      </c>
    </row>
    <row r="7809" spans="1:24">
      <c r="A7809">
        <f>HYPERLINK("https://www.philgeps.gov.ph/GEPSNONPILOT/Tender/SplashBidNoticeAbstractUI.aspx?menuIndex=3&amp;refID=7058724&amp;Result=3","7058724")</f>
        <v>0</v>
      </c>
      <c r="B7809" t="s">
        <v>1652</v>
      </c>
      <c r="C7809" t="s">
        <v>10931</v>
      </c>
      <c r="D7809" t="s">
        <v>18784</v>
      </c>
      <c r="E7809" t="s">
        <v>25737</v>
      </c>
      <c r="F7809" t="s">
        <v>32664</v>
      </c>
      <c r="G7809" t="s">
        <v>32672</v>
      </c>
      <c r="H7809" t="s">
        <v>12635</v>
      </c>
      <c r="I7809" t="s">
        <v>11464</v>
      </c>
      <c r="J7809" t="s">
        <v>33001</v>
      </c>
      <c r="K7809" t="s">
        <v>42281</v>
      </c>
      <c r="M7809" t="s">
        <v>45153</v>
      </c>
      <c r="N7809" t="s">
        <v>46569</v>
      </c>
      <c r="O7809" t="s">
        <v>46570</v>
      </c>
      <c r="P7809">
        <v>0</v>
      </c>
      <c r="Q7809">
        <v>5</v>
      </c>
      <c r="R7809" t="s">
        <v>46574</v>
      </c>
      <c r="S7809" t="s">
        <v>46723</v>
      </c>
      <c r="T7809" t="s">
        <v>48302</v>
      </c>
      <c r="U7809" t="s">
        <v>55236</v>
      </c>
      <c r="V7809" t="s">
        <v>62387</v>
      </c>
      <c r="W7809" t="s">
        <v>45153</v>
      </c>
      <c r="X7809" t="s">
        <v>46575</v>
      </c>
    </row>
    <row r="7810" spans="1:24">
      <c r="A7810">
        <f>HYPERLINK("https://www.philgeps.gov.ph/GEPSNONPILOT/Tender/SplashBidNoticeAbstractUI.aspx?menuIndex=3&amp;refID=7058719&amp;Result=3","7058719")</f>
        <v>0</v>
      </c>
      <c r="B7810" t="s">
        <v>1548</v>
      </c>
      <c r="C7810" t="s">
        <v>10932</v>
      </c>
      <c r="D7810" t="s">
        <v>18831</v>
      </c>
      <c r="E7810" t="s">
        <v>25738</v>
      </c>
      <c r="F7810" t="s">
        <v>32664</v>
      </c>
      <c r="G7810" t="s">
        <v>32672</v>
      </c>
      <c r="H7810" t="s">
        <v>12635</v>
      </c>
      <c r="I7810" t="s">
        <v>6628</v>
      </c>
      <c r="J7810" t="s">
        <v>32917</v>
      </c>
      <c r="K7810" t="s">
        <v>42297</v>
      </c>
      <c r="M7810" t="s">
        <v>44217</v>
      </c>
      <c r="N7810" t="s">
        <v>46569</v>
      </c>
      <c r="O7810" t="s">
        <v>46570</v>
      </c>
      <c r="P7810">
        <v>0</v>
      </c>
      <c r="Q7810">
        <v>1</v>
      </c>
      <c r="R7810" t="s">
        <v>46574</v>
      </c>
      <c r="S7810" t="s">
        <v>46723</v>
      </c>
      <c r="T7810" t="s">
        <v>48411</v>
      </c>
      <c r="U7810" t="s">
        <v>55237</v>
      </c>
      <c r="W7810" t="s">
        <v>44217</v>
      </c>
      <c r="X7810" t="s">
        <v>46575</v>
      </c>
    </row>
    <row r="7811" spans="1:24">
      <c r="A7811">
        <f>HYPERLINK("https://www.philgeps.gov.ph/GEPSNONPILOT/Tender/SplashBidNoticeAbstractUI.aspx?menuIndex=3&amp;refID=7058734&amp;Result=3","7058734")</f>
        <v>0</v>
      </c>
      <c r="B7811" t="s">
        <v>2366</v>
      </c>
      <c r="C7811" t="s">
        <v>10933</v>
      </c>
      <c r="D7811" t="s">
        <v>18816</v>
      </c>
      <c r="E7811" t="s">
        <v>25739</v>
      </c>
      <c r="F7811" t="s">
        <v>32664</v>
      </c>
      <c r="G7811" t="s">
        <v>32674</v>
      </c>
      <c r="H7811" t="s">
        <v>32682</v>
      </c>
      <c r="I7811" t="s">
        <v>32730</v>
      </c>
      <c r="J7811" t="s">
        <v>32898</v>
      </c>
      <c r="K7811" t="s">
        <v>42281</v>
      </c>
      <c r="M7811" t="s">
        <v>45151</v>
      </c>
      <c r="N7811" t="s">
        <v>46569</v>
      </c>
      <c r="O7811" t="s">
        <v>46570</v>
      </c>
      <c r="P7811">
        <v>0</v>
      </c>
      <c r="Q7811">
        <v>0</v>
      </c>
      <c r="R7811" t="s">
        <v>46574</v>
      </c>
      <c r="S7811" t="s">
        <v>46723</v>
      </c>
      <c r="T7811" t="s">
        <v>48246</v>
      </c>
      <c r="U7811" t="s">
        <v>55238</v>
      </c>
      <c r="W7811" t="s">
        <v>45151</v>
      </c>
      <c r="X7811" t="s">
        <v>46575</v>
      </c>
    </row>
    <row r="7812" spans="1:24">
      <c r="A7812">
        <f>HYPERLINK("https://www.philgeps.gov.ph/GEPSNONPILOT/Tender/SplashBidNoticeAbstractUI.aspx?menuIndex=3&amp;refID=7058704&amp;Result=3","7058704")</f>
        <v>0</v>
      </c>
      <c r="B7812" t="s">
        <v>1548</v>
      </c>
      <c r="C7812" t="s">
        <v>10934</v>
      </c>
      <c r="D7812" t="s">
        <v>18831</v>
      </c>
      <c r="E7812" t="s">
        <v>25740</v>
      </c>
      <c r="F7812" t="s">
        <v>32664</v>
      </c>
      <c r="G7812" t="s">
        <v>32672</v>
      </c>
      <c r="H7812" t="s">
        <v>12635</v>
      </c>
      <c r="I7812" t="s">
        <v>11464</v>
      </c>
      <c r="J7812" t="s">
        <v>32853</v>
      </c>
      <c r="K7812" t="s">
        <v>42297</v>
      </c>
      <c r="M7812" t="s">
        <v>44217</v>
      </c>
      <c r="N7812" t="s">
        <v>46569</v>
      </c>
      <c r="O7812" t="s">
        <v>46570</v>
      </c>
      <c r="P7812">
        <v>0</v>
      </c>
      <c r="Q7812">
        <v>1</v>
      </c>
      <c r="R7812" t="s">
        <v>46574</v>
      </c>
      <c r="S7812" t="s">
        <v>46723</v>
      </c>
      <c r="T7812" t="s">
        <v>48411</v>
      </c>
      <c r="U7812" t="s">
        <v>55239</v>
      </c>
      <c r="W7812" t="s">
        <v>44217</v>
      </c>
      <c r="X7812" t="s">
        <v>46575</v>
      </c>
    </row>
    <row r="7813" spans="1:24">
      <c r="A7813">
        <f>HYPERLINK("https://www.philgeps.gov.ph/GEPSNONPILOT/Tender/SplashBidNoticeAbstractUI.aspx?menuIndex=3&amp;refID=7058716&amp;Result=3","7058716")</f>
        <v>0</v>
      </c>
      <c r="B7813" t="s">
        <v>1548</v>
      </c>
      <c r="C7813" t="s">
        <v>10935</v>
      </c>
      <c r="D7813" t="s">
        <v>18831</v>
      </c>
      <c r="E7813" t="s">
        <v>25741</v>
      </c>
      <c r="F7813" t="s">
        <v>32664</v>
      </c>
      <c r="G7813" t="s">
        <v>32672</v>
      </c>
      <c r="H7813" t="s">
        <v>12635</v>
      </c>
      <c r="I7813" t="s">
        <v>32689</v>
      </c>
      <c r="J7813" t="s">
        <v>33728</v>
      </c>
      <c r="K7813" t="s">
        <v>42297</v>
      </c>
      <c r="M7813" t="s">
        <v>44217</v>
      </c>
      <c r="N7813" t="s">
        <v>46569</v>
      </c>
      <c r="O7813" t="s">
        <v>46570</v>
      </c>
      <c r="P7813">
        <v>0</v>
      </c>
      <c r="Q7813">
        <v>0</v>
      </c>
      <c r="R7813" t="s">
        <v>46574</v>
      </c>
      <c r="S7813" t="s">
        <v>46723</v>
      </c>
      <c r="T7813" t="s">
        <v>48411</v>
      </c>
      <c r="U7813" t="s">
        <v>55240</v>
      </c>
      <c r="W7813" t="s">
        <v>44217</v>
      </c>
      <c r="X7813" t="s">
        <v>46575</v>
      </c>
    </row>
    <row r="7814" spans="1:24">
      <c r="A7814">
        <f>HYPERLINK("https://www.philgeps.gov.ph/GEPSNONPILOT/Tender/SplashBidNoticeAbstractUI.aspx?menuIndex=3&amp;refID=7058723&amp;Result=3","7058723")</f>
        <v>0</v>
      </c>
      <c r="B7814" t="s">
        <v>2366</v>
      </c>
      <c r="C7814" t="s">
        <v>10936</v>
      </c>
      <c r="D7814" t="s">
        <v>18816</v>
      </c>
      <c r="E7814" t="s">
        <v>25742</v>
      </c>
      <c r="F7814" t="s">
        <v>32664</v>
      </c>
      <c r="G7814" t="s">
        <v>32672</v>
      </c>
      <c r="H7814" t="s">
        <v>12635</v>
      </c>
      <c r="I7814" t="s">
        <v>32721</v>
      </c>
      <c r="J7814" t="s">
        <v>33761</v>
      </c>
      <c r="K7814" t="s">
        <v>42298</v>
      </c>
      <c r="M7814" t="s">
        <v>45151</v>
      </c>
      <c r="N7814" t="s">
        <v>46569</v>
      </c>
      <c r="O7814" t="s">
        <v>46570</v>
      </c>
      <c r="P7814">
        <v>0</v>
      </c>
      <c r="Q7814">
        <v>4</v>
      </c>
      <c r="R7814" t="s">
        <v>46574</v>
      </c>
      <c r="S7814" t="s">
        <v>46723</v>
      </c>
      <c r="T7814" t="s">
        <v>48246</v>
      </c>
      <c r="U7814" t="s">
        <v>55241</v>
      </c>
      <c r="W7814" t="s">
        <v>45151</v>
      </c>
      <c r="X7814" t="s">
        <v>46575</v>
      </c>
    </row>
    <row r="7815" spans="1:24">
      <c r="A7815">
        <f>HYPERLINK("https://www.philgeps.gov.ph/GEPSNONPILOT/Tender/SplashBidNoticeAbstractUI.aspx?menuIndex=3&amp;refID=7058717&amp;Result=3","7058717")</f>
        <v>0</v>
      </c>
      <c r="B7815" t="s">
        <v>2363</v>
      </c>
      <c r="C7815" t="s">
        <v>10937</v>
      </c>
      <c r="D7815" t="s">
        <v>18826</v>
      </c>
      <c r="E7815" t="s">
        <v>25743</v>
      </c>
      <c r="F7815" t="s">
        <v>32664</v>
      </c>
      <c r="G7815" t="s">
        <v>32672</v>
      </c>
      <c r="H7815" t="s">
        <v>32683</v>
      </c>
      <c r="I7815" t="s">
        <v>10627</v>
      </c>
      <c r="J7815" t="s">
        <v>32917</v>
      </c>
      <c r="K7815" t="s">
        <v>42281</v>
      </c>
      <c r="M7815" t="s">
        <v>45148</v>
      </c>
      <c r="N7815" t="s">
        <v>46569</v>
      </c>
      <c r="O7815" t="s">
        <v>46570</v>
      </c>
      <c r="P7815">
        <v>0</v>
      </c>
      <c r="Q7815">
        <v>0</v>
      </c>
      <c r="R7815" t="s">
        <v>46574</v>
      </c>
      <c r="S7815" t="s">
        <v>46723</v>
      </c>
      <c r="T7815" t="s">
        <v>48410</v>
      </c>
      <c r="U7815" t="s">
        <v>55242</v>
      </c>
      <c r="W7815" t="s">
        <v>45148</v>
      </c>
      <c r="X7815" t="s">
        <v>46575</v>
      </c>
    </row>
    <row r="7816" spans="1:24">
      <c r="A7816">
        <f>HYPERLINK("https://www.philgeps.gov.ph/GEPSNONPILOT/Tender/SplashBidNoticeAbstractUI.aspx?menuIndex=3&amp;refID=7058759&amp;Result=3","7058759")</f>
        <v>0</v>
      </c>
      <c r="B7816" t="s">
        <v>1313</v>
      </c>
      <c r="C7816" t="s">
        <v>10938</v>
      </c>
      <c r="E7816" t="s">
        <v>25744</v>
      </c>
      <c r="F7816" t="s">
        <v>32664</v>
      </c>
      <c r="G7816" t="s">
        <v>32671</v>
      </c>
      <c r="H7816" t="s">
        <v>12635</v>
      </c>
      <c r="I7816" t="s">
        <v>32704</v>
      </c>
      <c r="J7816" t="s">
        <v>33215</v>
      </c>
      <c r="K7816" t="s">
        <v>42283</v>
      </c>
      <c r="M7816" t="s">
        <v>43960</v>
      </c>
      <c r="N7816" t="s">
        <v>46569</v>
      </c>
      <c r="O7816" t="s">
        <v>46570</v>
      </c>
      <c r="P7816">
        <v>0</v>
      </c>
      <c r="Q7816">
        <v>3</v>
      </c>
      <c r="R7816" t="s">
        <v>46574</v>
      </c>
      <c r="S7816" t="s">
        <v>46723</v>
      </c>
      <c r="T7816" t="s">
        <v>48562</v>
      </c>
      <c r="U7816" t="s">
        <v>55178</v>
      </c>
      <c r="W7816" t="s">
        <v>43960</v>
      </c>
      <c r="X7816" t="s">
        <v>46575</v>
      </c>
    </row>
    <row r="7817" spans="1:24">
      <c r="A7817">
        <f>HYPERLINK("https://www.philgeps.gov.ph/GEPSNONPILOT/Tender/SplashBidNoticeAbstractUI.aspx?menuIndex=3&amp;refID=7058738&amp;Result=3","7058738")</f>
        <v>0</v>
      </c>
      <c r="B7817" t="s">
        <v>69</v>
      </c>
      <c r="C7817" t="s">
        <v>10939</v>
      </c>
      <c r="D7817" t="s">
        <v>18784</v>
      </c>
      <c r="E7817" t="s">
        <v>25745</v>
      </c>
      <c r="F7817" t="s">
        <v>32664</v>
      </c>
      <c r="G7817" t="s">
        <v>32672</v>
      </c>
      <c r="H7817" t="s">
        <v>32683</v>
      </c>
      <c r="I7817" t="s">
        <v>10627</v>
      </c>
      <c r="J7817" t="s">
        <v>37602</v>
      </c>
      <c r="K7817" t="s">
        <v>42450</v>
      </c>
      <c r="M7817" t="s">
        <v>42632</v>
      </c>
      <c r="N7817" t="s">
        <v>46569</v>
      </c>
      <c r="O7817" t="s">
        <v>46570</v>
      </c>
      <c r="P7817">
        <v>0</v>
      </c>
      <c r="Q7817">
        <v>16</v>
      </c>
      <c r="R7817" t="s">
        <v>46574</v>
      </c>
      <c r="S7817" t="s">
        <v>46723</v>
      </c>
      <c r="T7817" t="s">
        <v>48429</v>
      </c>
      <c r="U7817" t="s">
        <v>55243</v>
      </c>
      <c r="W7817" t="s">
        <v>42632</v>
      </c>
      <c r="X7817" t="s">
        <v>46575</v>
      </c>
    </row>
    <row r="7818" spans="1:24">
      <c r="A7818">
        <f>HYPERLINK("https://www.philgeps.gov.ph/GEPSNONPILOT/Tender/SplashBidNoticeAbstractUI.aspx?menuIndex=3&amp;refID=7058757&amp;Result=3","7058757")</f>
        <v>0</v>
      </c>
      <c r="B7818" t="s">
        <v>352</v>
      </c>
      <c r="C7818" t="s">
        <v>10940</v>
      </c>
      <c r="E7818" t="s">
        <v>25746</v>
      </c>
      <c r="F7818" t="s">
        <v>32664</v>
      </c>
      <c r="G7818" t="s">
        <v>32672</v>
      </c>
      <c r="H7818" t="s">
        <v>12635</v>
      </c>
      <c r="I7818" t="s">
        <v>32779</v>
      </c>
      <c r="J7818" t="s">
        <v>37009</v>
      </c>
      <c r="K7818" t="s">
        <v>42283</v>
      </c>
      <c r="M7818" t="s">
        <v>45154</v>
      </c>
      <c r="N7818" t="s">
        <v>46569</v>
      </c>
      <c r="O7818" t="s">
        <v>46570</v>
      </c>
      <c r="P7818">
        <v>0</v>
      </c>
      <c r="Q7818">
        <v>0</v>
      </c>
      <c r="R7818" t="s">
        <v>46574</v>
      </c>
      <c r="S7818" t="s">
        <v>46723</v>
      </c>
      <c r="T7818" t="s">
        <v>48349</v>
      </c>
      <c r="U7818" t="s">
        <v>55244</v>
      </c>
      <c r="V7818" t="s">
        <v>62388</v>
      </c>
      <c r="W7818" t="s">
        <v>45154</v>
      </c>
      <c r="X7818" t="s">
        <v>46575</v>
      </c>
    </row>
    <row r="7819" spans="1:24">
      <c r="A7819">
        <f>HYPERLINK("https://www.philgeps.gov.ph/GEPSNONPILOT/Tender/SplashBidNoticeAbstractUI.aspx?menuIndex=3&amp;refID=7058756&amp;Result=3","7058756")</f>
        <v>0</v>
      </c>
      <c r="B7819" t="s">
        <v>1313</v>
      </c>
      <c r="C7819" t="s">
        <v>10941</v>
      </c>
      <c r="E7819" t="s">
        <v>25747</v>
      </c>
      <c r="F7819" t="s">
        <v>32664</v>
      </c>
      <c r="G7819" t="s">
        <v>32671</v>
      </c>
      <c r="H7819" t="s">
        <v>12635</v>
      </c>
      <c r="I7819" t="s">
        <v>32704</v>
      </c>
      <c r="J7819" t="s">
        <v>34182</v>
      </c>
      <c r="K7819" t="s">
        <v>42283</v>
      </c>
      <c r="M7819" t="s">
        <v>43960</v>
      </c>
      <c r="N7819" t="s">
        <v>46569</v>
      </c>
      <c r="O7819" t="s">
        <v>46570</v>
      </c>
      <c r="P7819">
        <v>0</v>
      </c>
      <c r="Q7819">
        <v>3</v>
      </c>
      <c r="R7819" t="s">
        <v>46574</v>
      </c>
      <c r="S7819" t="s">
        <v>46723</v>
      </c>
      <c r="T7819" t="s">
        <v>48562</v>
      </c>
      <c r="U7819" t="s">
        <v>55178</v>
      </c>
      <c r="W7819" t="s">
        <v>43960</v>
      </c>
      <c r="X7819" t="s">
        <v>46575</v>
      </c>
    </row>
    <row r="7820" spans="1:24">
      <c r="A7820">
        <f>HYPERLINK("https://www.philgeps.gov.ph/GEPSNONPILOT/Tender/SplashBidNoticeAbstractUI.aspx?menuIndex=3&amp;refID=7058718&amp;Result=3","7058718")</f>
        <v>0</v>
      </c>
      <c r="B7820" t="s">
        <v>1718</v>
      </c>
      <c r="C7820" t="s">
        <v>10942</v>
      </c>
      <c r="D7820" t="s">
        <v>18783</v>
      </c>
      <c r="E7820" t="s">
        <v>25748</v>
      </c>
      <c r="F7820" t="s">
        <v>32664</v>
      </c>
      <c r="G7820" t="s">
        <v>32672</v>
      </c>
      <c r="H7820" t="s">
        <v>12635</v>
      </c>
      <c r="I7820" t="s">
        <v>14442</v>
      </c>
      <c r="J7820" t="s">
        <v>37603</v>
      </c>
      <c r="K7820" t="s">
        <v>42297</v>
      </c>
      <c r="M7820" t="s">
        <v>44415</v>
      </c>
      <c r="N7820" t="s">
        <v>46569</v>
      </c>
      <c r="O7820" t="s">
        <v>46570</v>
      </c>
      <c r="P7820">
        <v>0</v>
      </c>
      <c r="Q7820">
        <v>4</v>
      </c>
      <c r="R7820" t="s">
        <v>46574</v>
      </c>
      <c r="S7820" t="s">
        <v>46723</v>
      </c>
      <c r="T7820" t="s">
        <v>48467</v>
      </c>
      <c r="U7820" t="s">
        <v>55245</v>
      </c>
      <c r="W7820" t="s">
        <v>44415</v>
      </c>
      <c r="X7820" t="s">
        <v>46575</v>
      </c>
    </row>
    <row r="7821" spans="1:24">
      <c r="A7821">
        <f>HYPERLINK("https://www.philgeps.gov.ph/GEPSNONPILOT/Tender/SplashBidNoticeAbstractUI.aspx?menuIndex=3&amp;refID=7058755&amp;Result=3","7058755")</f>
        <v>0</v>
      </c>
      <c r="B7821" t="s">
        <v>69</v>
      </c>
      <c r="C7821" t="s">
        <v>10943</v>
      </c>
      <c r="D7821" t="s">
        <v>18784</v>
      </c>
      <c r="E7821" t="s">
        <v>25749</v>
      </c>
      <c r="F7821" t="s">
        <v>32664</v>
      </c>
      <c r="G7821" t="s">
        <v>32672</v>
      </c>
      <c r="H7821" t="s">
        <v>32683</v>
      </c>
      <c r="I7821" t="s">
        <v>10627</v>
      </c>
      <c r="J7821" t="s">
        <v>37604</v>
      </c>
      <c r="K7821" t="s">
        <v>42380</v>
      </c>
      <c r="M7821" t="s">
        <v>42632</v>
      </c>
      <c r="N7821" t="s">
        <v>46569</v>
      </c>
      <c r="O7821" t="s">
        <v>46570</v>
      </c>
      <c r="P7821">
        <v>0</v>
      </c>
      <c r="Q7821">
        <v>14</v>
      </c>
      <c r="R7821" t="s">
        <v>46574</v>
      </c>
      <c r="S7821" t="s">
        <v>46723</v>
      </c>
      <c r="T7821" t="s">
        <v>48429</v>
      </c>
      <c r="U7821" t="s">
        <v>55246</v>
      </c>
      <c r="W7821" t="s">
        <v>42632</v>
      </c>
      <c r="X7821" t="s">
        <v>46575</v>
      </c>
    </row>
    <row r="7822" spans="1:24">
      <c r="A7822">
        <f>HYPERLINK("https://www.philgeps.gov.ph/GEPSNONPILOT/Tender/SplashBidNoticeAbstractUI.aspx?menuIndex=3&amp;refID=7058754&amp;Result=3","7058754")</f>
        <v>0</v>
      </c>
      <c r="B7822" t="s">
        <v>1313</v>
      </c>
      <c r="C7822" t="s">
        <v>10944</v>
      </c>
      <c r="E7822" t="s">
        <v>25750</v>
      </c>
      <c r="F7822" t="s">
        <v>32664</v>
      </c>
      <c r="G7822" t="s">
        <v>32671</v>
      </c>
      <c r="H7822" t="s">
        <v>12635</v>
      </c>
      <c r="I7822" t="s">
        <v>32704</v>
      </c>
      <c r="J7822" t="s">
        <v>34363</v>
      </c>
      <c r="K7822" t="s">
        <v>42283</v>
      </c>
      <c r="M7822" t="s">
        <v>43960</v>
      </c>
      <c r="N7822" t="s">
        <v>46569</v>
      </c>
      <c r="O7822" t="s">
        <v>46570</v>
      </c>
      <c r="P7822">
        <v>0</v>
      </c>
      <c r="Q7822">
        <v>6</v>
      </c>
      <c r="R7822" t="s">
        <v>46574</v>
      </c>
      <c r="S7822" t="s">
        <v>46723</v>
      </c>
      <c r="T7822" t="s">
        <v>48562</v>
      </c>
      <c r="U7822" t="s">
        <v>55178</v>
      </c>
      <c r="W7822" t="s">
        <v>43960</v>
      </c>
      <c r="X7822" t="s">
        <v>46575</v>
      </c>
    </row>
    <row r="7823" spans="1:24">
      <c r="A7823">
        <f>HYPERLINK("https://www.philgeps.gov.ph/GEPSNONPILOT/Tender/SplashBidNoticeAbstractUI.aspx?menuIndex=3&amp;refID=7058763&amp;Result=3","7058763")</f>
        <v>0</v>
      </c>
      <c r="B7823" t="s">
        <v>1543</v>
      </c>
      <c r="C7823" t="s">
        <v>10945</v>
      </c>
      <c r="D7823" t="s">
        <v>18784</v>
      </c>
      <c r="E7823" t="s">
        <v>25751</v>
      </c>
      <c r="F7823" t="s">
        <v>32664</v>
      </c>
      <c r="G7823" t="s">
        <v>32671</v>
      </c>
      <c r="H7823" t="s">
        <v>12635</v>
      </c>
      <c r="I7823" t="s">
        <v>5589</v>
      </c>
      <c r="J7823" t="s">
        <v>33952</v>
      </c>
      <c r="K7823" t="s">
        <v>42311</v>
      </c>
      <c r="M7823" t="s">
        <v>44212</v>
      </c>
      <c r="N7823" t="s">
        <v>46569</v>
      </c>
      <c r="O7823" t="s">
        <v>46570</v>
      </c>
      <c r="P7823">
        <v>0</v>
      </c>
      <c r="Q7823">
        <v>10</v>
      </c>
      <c r="R7823" t="s">
        <v>46574</v>
      </c>
      <c r="S7823" t="s">
        <v>46723</v>
      </c>
      <c r="T7823" t="s">
        <v>48256</v>
      </c>
      <c r="U7823" t="s">
        <v>55247</v>
      </c>
      <c r="V7823" t="s">
        <v>62389</v>
      </c>
      <c r="W7823" t="s">
        <v>44212</v>
      </c>
      <c r="X7823" t="s">
        <v>46575</v>
      </c>
    </row>
    <row r="7824" spans="1:24">
      <c r="A7824">
        <f>HYPERLINK("https://www.philgeps.gov.ph/GEPSNONPILOT/Tender/SplashBidNoticeAbstractUI.aspx?menuIndex=3&amp;refID=7058751&amp;Result=3","7058751")</f>
        <v>0</v>
      </c>
      <c r="B7824" t="s">
        <v>2368</v>
      </c>
      <c r="C7824" t="s">
        <v>10946</v>
      </c>
      <c r="D7824" t="s">
        <v>18784</v>
      </c>
      <c r="E7824" t="s">
        <v>25752</v>
      </c>
      <c r="F7824" t="s">
        <v>32664</v>
      </c>
      <c r="G7824" t="s">
        <v>32672</v>
      </c>
      <c r="H7824" t="s">
        <v>32682</v>
      </c>
      <c r="I7824" t="s">
        <v>6223</v>
      </c>
      <c r="J7824" t="s">
        <v>37605</v>
      </c>
      <c r="K7824" t="s">
        <v>42281</v>
      </c>
      <c r="M7824" t="s">
        <v>45155</v>
      </c>
      <c r="N7824" t="s">
        <v>46569</v>
      </c>
      <c r="O7824" t="s">
        <v>46570</v>
      </c>
      <c r="P7824">
        <v>0</v>
      </c>
      <c r="Q7824">
        <v>5</v>
      </c>
      <c r="R7824" t="s">
        <v>46574</v>
      </c>
      <c r="S7824" t="s">
        <v>46723</v>
      </c>
      <c r="T7824" t="s">
        <v>48384</v>
      </c>
      <c r="U7824" t="s">
        <v>50108</v>
      </c>
      <c r="V7824" t="s">
        <v>62390</v>
      </c>
      <c r="W7824" t="s">
        <v>45155</v>
      </c>
      <c r="X7824" t="s">
        <v>46575</v>
      </c>
    </row>
    <row r="7825" spans="1:24">
      <c r="A7825">
        <f>HYPERLINK("https://www.philgeps.gov.ph/GEPSNONPILOT/Tender/SplashBidNoticeAbstractUI.aspx?menuIndex=3&amp;refID=7058750&amp;Result=3","7058750")</f>
        <v>0</v>
      </c>
      <c r="B7825" t="s">
        <v>1313</v>
      </c>
      <c r="C7825" t="s">
        <v>10947</v>
      </c>
      <c r="E7825" t="s">
        <v>25753</v>
      </c>
      <c r="F7825" t="s">
        <v>32664</v>
      </c>
      <c r="G7825" t="s">
        <v>32671</v>
      </c>
      <c r="H7825" t="s">
        <v>12635</v>
      </c>
      <c r="I7825" t="s">
        <v>32704</v>
      </c>
      <c r="J7825" t="s">
        <v>35541</v>
      </c>
      <c r="K7825" t="s">
        <v>42283</v>
      </c>
      <c r="M7825" t="s">
        <v>43960</v>
      </c>
      <c r="N7825" t="s">
        <v>46569</v>
      </c>
      <c r="O7825" t="s">
        <v>46570</v>
      </c>
      <c r="P7825">
        <v>0</v>
      </c>
      <c r="Q7825">
        <v>4</v>
      </c>
      <c r="R7825" t="s">
        <v>46574</v>
      </c>
      <c r="S7825" t="s">
        <v>46723</v>
      </c>
      <c r="T7825" t="s">
        <v>48562</v>
      </c>
      <c r="U7825" t="s">
        <v>55178</v>
      </c>
      <c r="W7825" t="s">
        <v>43960</v>
      </c>
      <c r="X7825" t="s">
        <v>46575</v>
      </c>
    </row>
    <row r="7826" spans="1:24">
      <c r="A7826">
        <f>HYPERLINK("https://www.philgeps.gov.ph/GEPSNONPILOT/Tender/SplashBidNoticeAbstractUI.aspx?menuIndex=3&amp;refID=7058769&amp;Result=3","7058769")</f>
        <v>0</v>
      </c>
      <c r="B7826" t="s">
        <v>1313</v>
      </c>
      <c r="C7826" t="s">
        <v>10948</v>
      </c>
      <c r="E7826" t="s">
        <v>25754</v>
      </c>
      <c r="F7826" t="s">
        <v>32664</v>
      </c>
      <c r="G7826" t="s">
        <v>32671</v>
      </c>
      <c r="H7826" t="s">
        <v>12635</v>
      </c>
      <c r="I7826" t="s">
        <v>32704</v>
      </c>
      <c r="J7826" t="s">
        <v>36221</v>
      </c>
      <c r="K7826" t="s">
        <v>42283</v>
      </c>
      <c r="M7826" t="s">
        <v>43960</v>
      </c>
      <c r="N7826" t="s">
        <v>46569</v>
      </c>
      <c r="O7826" t="s">
        <v>46570</v>
      </c>
      <c r="P7826">
        <v>0</v>
      </c>
      <c r="Q7826">
        <v>3</v>
      </c>
      <c r="R7826" t="s">
        <v>46574</v>
      </c>
      <c r="S7826" t="s">
        <v>46723</v>
      </c>
      <c r="T7826" t="s">
        <v>48562</v>
      </c>
      <c r="U7826" t="s">
        <v>55178</v>
      </c>
      <c r="W7826" t="s">
        <v>43960</v>
      </c>
      <c r="X7826" t="s">
        <v>46575</v>
      </c>
    </row>
    <row r="7827" spans="1:24">
      <c r="A7827">
        <f>HYPERLINK("https://www.philgeps.gov.ph/GEPSNONPILOT/Tender/SplashBidNoticeAbstractUI.aspx?menuIndex=3&amp;refID=7058797&amp;Result=3","7058797")</f>
        <v>0</v>
      </c>
      <c r="B7827" t="s">
        <v>1313</v>
      </c>
      <c r="C7827" t="s">
        <v>10949</v>
      </c>
      <c r="E7827" t="s">
        <v>25755</v>
      </c>
      <c r="F7827" t="s">
        <v>32664</v>
      </c>
      <c r="G7827" t="s">
        <v>32671</v>
      </c>
      <c r="H7827" t="s">
        <v>12635</v>
      </c>
      <c r="I7827" t="s">
        <v>32704</v>
      </c>
      <c r="J7827" t="s">
        <v>32974</v>
      </c>
      <c r="K7827" t="s">
        <v>42283</v>
      </c>
      <c r="M7827" t="s">
        <v>43960</v>
      </c>
      <c r="N7827" t="s">
        <v>46569</v>
      </c>
      <c r="O7827" t="s">
        <v>46570</v>
      </c>
      <c r="P7827">
        <v>0</v>
      </c>
      <c r="Q7827">
        <v>2</v>
      </c>
      <c r="R7827" t="s">
        <v>46574</v>
      </c>
      <c r="S7827" t="s">
        <v>46723</v>
      </c>
      <c r="T7827" t="s">
        <v>48562</v>
      </c>
      <c r="U7827" t="s">
        <v>55178</v>
      </c>
      <c r="W7827" t="s">
        <v>43960</v>
      </c>
      <c r="X7827" t="s">
        <v>46575</v>
      </c>
    </row>
    <row r="7828" spans="1:24">
      <c r="A7828">
        <f>HYPERLINK("https://www.philgeps.gov.ph/GEPSNONPILOT/Tender/SplashBidNoticeAbstractUI.aspx?menuIndex=3&amp;refID=7058616&amp;Result=3","7058616")</f>
        <v>0</v>
      </c>
      <c r="B7828" t="s">
        <v>1313</v>
      </c>
      <c r="C7828" t="s">
        <v>10950</v>
      </c>
      <c r="E7828" t="s">
        <v>25756</v>
      </c>
      <c r="F7828" t="s">
        <v>32664</v>
      </c>
      <c r="G7828" t="s">
        <v>32671</v>
      </c>
      <c r="H7828" t="s">
        <v>12635</v>
      </c>
      <c r="I7828" t="s">
        <v>32704</v>
      </c>
      <c r="J7828" t="s">
        <v>33282</v>
      </c>
      <c r="K7828" t="s">
        <v>42283</v>
      </c>
      <c r="M7828" t="s">
        <v>43960</v>
      </c>
      <c r="N7828" t="s">
        <v>46569</v>
      </c>
      <c r="O7828" t="s">
        <v>46570</v>
      </c>
      <c r="P7828">
        <v>0</v>
      </c>
      <c r="Q7828">
        <v>2</v>
      </c>
      <c r="R7828" t="s">
        <v>46574</v>
      </c>
      <c r="S7828" t="s">
        <v>46723</v>
      </c>
      <c r="T7828" t="s">
        <v>48562</v>
      </c>
      <c r="U7828" t="s">
        <v>55178</v>
      </c>
      <c r="W7828" t="s">
        <v>43960</v>
      </c>
      <c r="X7828" t="s">
        <v>46575</v>
      </c>
    </row>
    <row r="7829" spans="1:24">
      <c r="A7829">
        <f>HYPERLINK("https://www.philgeps.gov.ph/GEPSNONPILOT/Tender/SplashBidNoticeAbstractUI.aspx?menuIndex=3&amp;refID=7058792&amp;Result=3","7058792")</f>
        <v>0</v>
      </c>
      <c r="B7829" t="s">
        <v>528</v>
      </c>
      <c r="C7829" t="s">
        <v>10951</v>
      </c>
      <c r="D7829" t="s">
        <v>18823</v>
      </c>
      <c r="E7829" t="s">
        <v>25757</v>
      </c>
      <c r="F7829" t="s">
        <v>32664</v>
      </c>
      <c r="G7829" t="s">
        <v>32675</v>
      </c>
      <c r="H7829" t="s">
        <v>12635</v>
      </c>
      <c r="I7829" t="s">
        <v>6223</v>
      </c>
      <c r="J7829" t="s">
        <v>37606</v>
      </c>
      <c r="K7829" t="s">
        <v>42281</v>
      </c>
      <c r="M7829" t="s">
        <v>45146</v>
      </c>
      <c r="N7829" t="s">
        <v>46569</v>
      </c>
      <c r="O7829" t="s">
        <v>46570</v>
      </c>
      <c r="P7829">
        <v>0</v>
      </c>
      <c r="Q7829">
        <v>6</v>
      </c>
      <c r="R7829" t="s">
        <v>46574</v>
      </c>
      <c r="S7829" t="s">
        <v>46723</v>
      </c>
      <c r="T7829" t="s">
        <v>48283</v>
      </c>
      <c r="U7829" t="s">
        <v>55207</v>
      </c>
      <c r="W7829" t="s">
        <v>45146</v>
      </c>
      <c r="X7829" t="s">
        <v>46575</v>
      </c>
    </row>
    <row r="7830" spans="1:24">
      <c r="A7830">
        <f>HYPERLINK("https://www.philgeps.gov.ph/GEPSNONPILOT/Tender/SplashBidNoticeAbstractUI.aspx?menuIndex=3&amp;refID=7058653&amp;Result=3","7058653")</f>
        <v>0</v>
      </c>
      <c r="B7830" t="s">
        <v>1313</v>
      </c>
      <c r="C7830" t="s">
        <v>10952</v>
      </c>
      <c r="E7830" t="s">
        <v>25758</v>
      </c>
      <c r="F7830" t="s">
        <v>32664</v>
      </c>
      <c r="G7830" t="s">
        <v>32671</v>
      </c>
      <c r="H7830" t="s">
        <v>12635</v>
      </c>
      <c r="I7830" t="s">
        <v>32704</v>
      </c>
      <c r="J7830" t="s">
        <v>33015</v>
      </c>
      <c r="K7830" t="s">
        <v>42283</v>
      </c>
      <c r="M7830" t="s">
        <v>43960</v>
      </c>
      <c r="N7830" t="s">
        <v>46569</v>
      </c>
      <c r="O7830" t="s">
        <v>46570</v>
      </c>
      <c r="P7830">
        <v>0</v>
      </c>
      <c r="Q7830">
        <v>4</v>
      </c>
      <c r="R7830" t="s">
        <v>46574</v>
      </c>
      <c r="S7830" t="s">
        <v>46723</v>
      </c>
      <c r="T7830" t="s">
        <v>48562</v>
      </c>
      <c r="U7830" t="s">
        <v>55178</v>
      </c>
      <c r="W7830" t="s">
        <v>43960</v>
      </c>
      <c r="X7830" t="s">
        <v>46575</v>
      </c>
    </row>
    <row r="7831" spans="1:24">
      <c r="A7831">
        <f>HYPERLINK("https://www.philgeps.gov.ph/GEPSNONPILOT/Tender/SplashBidNoticeAbstractUI.aspx?menuIndex=3&amp;refID=7058796&amp;Result=3","7058796")</f>
        <v>0</v>
      </c>
      <c r="B7831" t="s">
        <v>964</v>
      </c>
      <c r="C7831" t="s">
        <v>10953</v>
      </c>
      <c r="D7831" t="s">
        <v>18786</v>
      </c>
      <c r="E7831" t="s">
        <v>25759</v>
      </c>
      <c r="F7831" t="s">
        <v>32664</v>
      </c>
      <c r="G7831" t="s">
        <v>32672</v>
      </c>
      <c r="H7831" t="s">
        <v>12635</v>
      </c>
      <c r="I7831" t="s">
        <v>4333</v>
      </c>
      <c r="J7831" t="s">
        <v>37607</v>
      </c>
      <c r="K7831" t="s">
        <v>42289</v>
      </c>
      <c r="M7831" t="s">
        <v>43572</v>
      </c>
      <c r="N7831" t="s">
        <v>46569</v>
      </c>
      <c r="O7831" t="s">
        <v>46570</v>
      </c>
      <c r="P7831">
        <v>0</v>
      </c>
      <c r="Q7831">
        <v>0</v>
      </c>
      <c r="R7831" t="s">
        <v>46574</v>
      </c>
      <c r="S7831" t="s">
        <v>46723</v>
      </c>
      <c r="T7831" t="s">
        <v>48298</v>
      </c>
      <c r="U7831" t="s">
        <v>55248</v>
      </c>
      <c r="W7831" t="s">
        <v>63499</v>
      </c>
      <c r="X7831" t="s">
        <v>46575</v>
      </c>
    </row>
    <row r="7832" spans="1:24">
      <c r="A7832">
        <f>HYPERLINK("https://www.philgeps.gov.ph/GEPSNONPILOT/Tender/SplashBidNoticeAbstractUI.aspx?menuIndex=3&amp;refID=7058786&amp;Result=3","7058786")</f>
        <v>0</v>
      </c>
      <c r="B7832" t="s">
        <v>69</v>
      </c>
      <c r="C7832" t="s">
        <v>10954</v>
      </c>
      <c r="D7832" t="s">
        <v>18784</v>
      </c>
      <c r="E7832" t="s">
        <v>25760</v>
      </c>
      <c r="F7832" t="s">
        <v>32664</v>
      </c>
      <c r="G7832" t="s">
        <v>32672</v>
      </c>
      <c r="H7832" t="s">
        <v>32683</v>
      </c>
      <c r="I7832" t="s">
        <v>10627</v>
      </c>
      <c r="J7832" t="s">
        <v>37608</v>
      </c>
      <c r="K7832" t="s">
        <v>42285</v>
      </c>
      <c r="M7832" t="s">
        <v>42632</v>
      </c>
      <c r="N7832" t="s">
        <v>46569</v>
      </c>
      <c r="O7832" t="s">
        <v>46570</v>
      </c>
      <c r="P7832">
        <v>0</v>
      </c>
      <c r="Q7832">
        <v>15</v>
      </c>
      <c r="R7832" t="s">
        <v>46574</v>
      </c>
      <c r="S7832" t="s">
        <v>46723</v>
      </c>
      <c r="T7832" t="s">
        <v>48429</v>
      </c>
      <c r="U7832" t="s">
        <v>55249</v>
      </c>
      <c r="W7832" t="s">
        <v>42632</v>
      </c>
      <c r="X7832" t="s">
        <v>46575</v>
      </c>
    </row>
    <row r="7833" spans="1:24">
      <c r="A7833">
        <f>HYPERLINK("https://www.philgeps.gov.ph/GEPSNONPILOT/Tender/SplashBidNoticeAbstractUI.aspx?menuIndex=3&amp;refID=7058752&amp;Result=3","7058752")</f>
        <v>0</v>
      </c>
      <c r="B7833" t="s">
        <v>1313</v>
      </c>
      <c r="C7833" t="s">
        <v>10955</v>
      </c>
      <c r="E7833" t="s">
        <v>25761</v>
      </c>
      <c r="F7833" t="s">
        <v>32664</v>
      </c>
      <c r="G7833" t="s">
        <v>32671</v>
      </c>
      <c r="H7833" t="s">
        <v>12635</v>
      </c>
      <c r="I7833" t="s">
        <v>32704</v>
      </c>
      <c r="J7833" t="s">
        <v>32859</v>
      </c>
      <c r="K7833" t="s">
        <v>42283</v>
      </c>
      <c r="M7833" t="s">
        <v>43960</v>
      </c>
      <c r="N7833" t="s">
        <v>46569</v>
      </c>
      <c r="O7833" t="s">
        <v>46570</v>
      </c>
      <c r="P7833">
        <v>0</v>
      </c>
      <c r="Q7833">
        <v>7</v>
      </c>
      <c r="R7833" t="s">
        <v>46574</v>
      </c>
      <c r="S7833" t="s">
        <v>46723</v>
      </c>
      <c r="T7833" t="s">
        <v>48562</v>
      </c>
      <c r="U7833" t="s">
        <v>55178</v>
      </c>
      <c r="W7833" t="s">
        <v>43960</v>
      </c>
      <c r="X7833" t="s">
        <v>46575</v>
      </c>
    </row>
    <row r="7834" spans="1:24">
      <c r="A7834">
        <f>HYPERLINK("https://www.philgeps.gov.ph/GEPSNONPILOT/Tender/SplashBidNoticeAbstractUI.aspx?menuIndex=3&amp;refID=7058785&amp;Result=3","7058785")</f>
        <v>0</v>
      </c>
      <c r="B7834" t="s">
        <v>1313</v>
      </c>
      <c r="C7834" t="s">
        <v>10956</v>
      </c>
      <c r="E7834" t="s">
        <v>25762</v>
      </c>
      <c r="F7834" t="s">
        <v>32664</v>
      </c>
      <c r="G7834" t="s">
        <v>32675</v>
      </c>
      <c r="H7834" t="s">
        <v>12635</v>
      </c>
      <c r="I7834" t="s">
        <v>6168</v>
      </c>
      <c r="J7834" t="s">
        <v>34624</v>
      </c>
      <c r="K7834" t="s">
        <v>42283</v>
      </c>
      <c r="M7834" t="s">
        <v>43960</v>
      </c>
      <c r="N7834" t="s">
        <v>46569</v>
      </c>
      <c r="O7834" t="s">
        <v>46570</v>
      </c>
      <c r="P7834">
        <v>0</v>
      </c>
      <c r="Q7834">
        <v>6</v>
      </c>
      <c r="R7834" t="s">
        <v>46574</v>
      </c>
      <c r="S7834" t="s">
        <v>46723</v>
      </c>
      <c r="T7834" t="s">
        <v>48562</v>
      </c>
      <c r="U7834" t="s">
        <v>55178</v>
      </c>
      <c r="W7834" t="s">
        <v>43960</v>
      </c>
      <c r="X7834" t="s">
        <v>46575</v>
      </c>
    </row>
    <row r="7835" spans="1:24">
      <c r="A7835">
        <f>HYPERLINK("https://www.philgeps.gov.ph/GEPSNONPILOT/Tender/SplashBidNoticeAbstractUI.aspx?menuIndex=3&amp;refID=7058761&amp;Result=3","7058761")</f>
        <v>0</v>
      </c>
      <c r="B7835" t="s">
        <v>1313</v>
      </c>
      <c r="C7835" t="s">
        <v>10957</v>
      </c>
      <c r="E7835" t="s">
        <v>25763</v>
      </c>
      <c r="F7835" t="s">
        <v>32664</v>
      </c>
      <c r="G7835" t="s">
        <v>32671</v>
      </c>
      <c r="H7835" t="s">
        <v>12635</v>
      </c>
      <c r="I7835" t="s">
        <v>7429</v>
      </c>
      <c r="J7835" t="s">
        <v>34184</v>
      </c>
      <c r="K7835" t="s">
        <v>42283</v>
      </c>
      <c r="M7835" t="s">
        <v>43960</v>
      </c>
      <c r="N7835" t="s">
        <v>46569</v>
      </c>
      <c r="O7835" t="s">
        <v>46570</v>
      </c>
      <c r="P7835">
        <v>0</v>
      </c>
      <c r="Q7835">
        <v>4</v>
      </c>
      <c r="R7835" t="s">
        <v>46574</v>
      </c>
      <c r="S7835" t="s">
        <v>46723</v>
      </c>
      <c r="T7835" t="s">
        <v>48562</v>
      </c>
      <c r="U7835" t="s">
        <v>55178</v>
      </c>
      <c r="W7835" t="s">
        <v>43960</v>
      </c>
      <c r="X7835" t="s">
        <v>46575</v>
      </c>
    </row>
    <row r="7836" spans="1:24">
      <c r="A7836">
        <f>HYPERLINK("https://www.philgeps.gov.ph/GEPSNONPILOT/Tender/SplashBidNoticeAbstractUI.aspx?menuIndex=3&amp;refID=7058791&amp;Result=3","7058791")</f>
        <v>0</v>
      </c>
      <c r="B7836" t="s">
        <v>352</v>
      </c>
      <c r="C7836" t="s">
        <v>10958</v>
      </c>
      <c r="E7836" t="s">
        <v>25764</v>
      </c>
      <c r="F7836" t="s">
        <v>32664</v>
      </c>
      <c r="G7836" t="s">
        <v>32672</v>
      </c>
      <c r="H7836" t="s">
        <v>12635</v>
      </c>
      <c r="I7836" t="s">
        <v>32779</v>
      </c>
      <c r="J7836" t="s">
        <v>37609</v>
      </c>
      <c r="K7836" t="s">
        <v>42283</v>
      </c>
      <c r="M7836" t="s">
        <v>45154</v>
      </c>
      <c r="N7836" t="s">
        <v>46569</v>
      </c>
      <c r="O7836" t="s">
        <v>46570</v>
      </c>
      <c r="P7836">
        <v>0</v>
      </c>
      <c r="Q7836">
        <v>0</v>
      </c>
      <c r="R7836" t="s">
        <v>46574</v>
      </c>
      <c r="S7836" t="s">
        <v>46723</v>
      </c>
      <c r="T7836" t="s">
        <v>48349</v>
      </c>
      <c r="U7836" t="s">
        <v>55250</v>
      </c>
      <c r="V7836" t="s">
        <v>62388</v>
      </c>
      <c r="W7836" t="s">
        <v>45154</v>
      </c>
      <c r="X7836" t="s">
        <v>46575</v>
      </c>
    </row>
    <row r="7837" spans="1:24">
      <c r="A7837">
        <f>HYPERLINK("https://www.philgeps.gov.ph/GEPSNONPILOT/Tender/SplashBidNoticeAbstractUI.aspx?menuIndex=3&amp;refID=7058781&amp;Result=3","7058781")</f>
        <v>0</v>
      </c>
      <c r="B7837" t="s">
        <v>1313</v>
      </c>
      <c r="C7837" t="s">
        <v>10959</v>
      </c>
      <c r="E7837" t="s">
        <v>25765</v>
      </c>
      <c r="F7837" t="s">
        <v>32664</v>
      </c>
      <c r="G7837" t="s">
        <v>32675</v>
      </c>
      <c r="H7837" t="s">
        <v>12635</v>
      </c>
      <c r="I7837" t="s">
        <v>6168</v>
      </c>
      <c r="J7837" t="s">
        <v>35629</v>
      </c>
      <c r="K7837" t="s">
        <v>42283</v>
      </c>
      <c r="M7837" t="s">
        <v>43960</v>
      </c>
      <c r="N7837" t="s">
        <v>46569</v>
      </c>
      <c r="O7837" t="s">
        <v>46570</v>
      </c>
      <c r="P7837">
        <v>0</v>
      </c>
      <c r="Q7837">
        <v>4</v>
      </c>
      <c r="R7837" t="s">
        <v>46574</v>
      </c>
      <c r="S7837" t="s">
        <v>46723</v>
      </c>
      <c r="T7837" t="s">
        <v>48562</v>
      </c>
      <c r="U7837" t="s">
        <v>55178</v>
      </c>
      <c r="W7837" t="s">
        <v>43960</v>
      </c>
      <c r="X7837" t="s">
        <v>46575</v>
      </c>
    </row>
    <row r="7838" spans="1:24">
      <c r="A7838">
        <f>HYPERLINK("https://www.philgeps.gov.ph/GEPSNONPILOT/Tender/SplashBidNoticeAbstractUI.aspx?menuIndex=3&amp;refID=7058790&amp;Result=3","7058790")</f>
        <v>0</v>
      </c>
      <c r="B7838" t="s">
        <v>1313</v>
      </c>
      <c r="C7838" t="s">
        <v>10960</v>
      </c>
      <c r="E7838" t="s">
        <v>25766</v>
      </c>
      <c r="F7838" t="s">
        <v>32664</v>
      </c>
      <c r="G7838" t="s">
        <v>32671</v>
      </c>
      <c r="H7838" t="s">
        <v>12635</v>
      </c>
      <c r="I7838" t="s">
        <v>32704</v>
      </c>
      <c r="J7838" t="s">
        <v>33177</v>
      </c>
      <c r="K7838" t="s">
        <v>42283</v>
      </c>
      <c r="M7838" t="s">
        <v>43960</v>
      </c>
      <c r="N7838" t="s">
        <v>46569</v>
      </c>
      <c r="O7838" t="s">
        <v>46570</v>
      </c>
      <c r="P7838">
        <v>0</v>
      </c>
      <c r="Q7838">
        <v>2</v>
      </c>
      <c r="R7838" t="s">
        <v>46574</v>
      </c>
      <c r="S7838" t="s">
        <v>46723</v>
      </c>
      <c r="T7838" t="s">
        <v>48562</v>
      </c>
      <c r="U7838" t="s">
        <v>55178</v>
      </c>
      <c r="W7838" t="s">
        <v>43960</v>
      </c>
      <c r="X7838" t="s">
        <v>46575</v>
      </c>
    </row>
    <row r="7839" spans="1:24">
      <c r="A7839">
        <f>HYPERLINK("https://www.philgeps.gov.ph/GEPSNONPILOT/Tender/SplashBidNoticeAbstractUI.aspx?menuIndex=3&amp;refID=7058800&amp;Result=3","7058800")</f>
        <v>0</v>
      </c>
      <c r="B7839" t="s">
        <v>964</v>
      </c>
      <c r="C7839" t="s">
        <v>10961</v>
      </c>
      <c r="D7839" t="s">
        <v>18786</v>
      </c>
      <c r="E7839" t="s">
        <v>25767</v>
      </c>
      <c r="F7839" t="s">
        <v>32664</v>
      </c>
      <c r="G7839" t="s">
        <v>32672</v>
      </c>
      <c r="H7839" t="s">
        <v>12635</v>
      </c>
      <c r="I7839" t="s">
        <v>4205</v>
      </c>
      <c r="J7839" t="s">
        <v>37610</v>
      </c>
      <c r="K7839" t="s">
        <v>42289</v>
      </c>
      <c r="M7839" t="s">
        <v>43572</v>
      </c>
      <c r="N7839" t="s">
        <v>46569</v>
      </c>
      <c r="O7839" t="s">
        <v>46570</v>
      </c>
      <c r="P7839">
        <v>0</v>
      </c>
      <c r="Q7839">
        <v>0</v>
      </c>
      <c r="R7839" t="s">
        <v>46574</v>
      </c>
      <c r="S7839" t="s">
        <v>46723</v>
      </c>
      <c r="T7839" t="s">
        <v>48298</v>
      </c>
      <c r="U7839" t="s">
        <v>55251</v>
      </c>
      <c r="W7839" t="s">
        <v>63499</v>
      </c>
      <c r="X7839" t="s">
        <v>46575</v>
      </c>
    </row>
    <row r="7840" spans="1:24">
      <c r="A7840">
        <f>HYPERLINK("https://www.philgeps.gov.ph/GEPSNONPILOT/Tender/SplashBidNoticeAbstractUI.aspx?menuIndex=3&amp;refID=7058783&amp;Result=3","7058783")</f>
        <v>0</v>
      </c>
      <c r="B7840" t="s">
        <v>2369</v>
      </c>
      <c r="C7840" t="s">
        <v>10962</v>
      </c>
      <c r="D7840" t="s">
        <v>18781</v>
      </c>
      <c r="E7840" t="s">
        <v>21561</v>
      </c>
      <c r="F7840" t="s">
        <v>32664</v>
      </c>
      <c r="G7840" t="s">
        <v>32672</v>
      </c>
      <c r="H7840" t="s">
        <v>32683</v>
      </c>
      <c r="I7840" t="s">
        <v>10627</v>
      </c>
      <c r="J7840" t="s">
        <v>37611</v>
      </c>
      <c r="K7840" t="s">
        <v>42281</v>
      </c>
      <c r="M7840" t="s">
        <v>45156</v>
      </c>
      <c r="N7840" t="s">
        <v>46569</v>
      </c>
      <c r="O7840" t="s">
        <v>46570</v>
      </c>
      <c r="P7840">
        <v>0</v>
      </c>
      <c r="Q7840">
        <v>0</v>
      </c>
      <c r="R7840" t="s">
        <v>46574</v>
      </c>
      <c r="S7840" t="s">
        <v>46723</v>
      </c>
      <c r="T7840" t="s">
        <v>48246</v>
      </c>
      <c r="U7840" t="s">
        <v>55252</v>
      </c>
      <c r="W7840" t="s">
        <v>45156</v>
      </c>
      <c r="X7840" t="s">
        <v>46575</v>
      </c>
    </row>
    <row r="7841" spans="1:24">
      <c r="A7841">
        <f>HYPERLINK("https://www.philgeps.gov.ph/GEPSNONPILOT/Tender/SplashBidNoticeAbstractUI.aspx?menuIndex=3&amp;refID=7058780&amp;Result=3","7058780")</f>
        <v>0</v>
      </c>
      <c r="B7841" t="s">
        <v>69</v>
      </c>
      <c r="C7841" t="s">
        <v>10963</v>
      </c>
      <c r="D7841" t="s">
        <v>18784</v>
      </c>
      <c r="E7841" t="s">
        <v>25768</v>
      </c>
      <c r="F7841" t="s">
        <v>32664</v>
      </c>
      <c r="G7841" t="s">
        <v>32672</v>
      </c>
      <c r="H7841" t="s">
        <v>32683</v>
      </c>
      <c r="I7841" t="s">
        <v>10627</v>
      </c>
      <c r="J7841" t="s">
        <v>37612</v>
      </c>
      <c r="K7841" t="s">
        <v>42333</v>
      </c>
      <c r="M7841" t="s">
        <v>42632</v>
      </c>
      <c r="N7841" t="s">
        <v>46569</v>
      </c>
      <c r="O7841" t="s">
        <v>46570</v>
      </c>
      <c r="P7841">
        <v>0</v>
      </c>
      <c r="Q7841">
        <v>14</v>
      </c>
      <c r="R7841" t="s">
        <v>46574</v>
      </c>
      <c r="S7841" t="s">
        <v>46723</v>
      </c>
      <c r="T7841" t="s">
        <v>48429</v>
      </c>
      <c r="U7841" t="s">
        <v>55253</v>
      </c>
      <c r="W7841" t="s">
        <v>42632</v>
      </c>
      <c r="X7841" t="s">
        <v>46575</v>
      </c>
    </row>
    <row r="7842" spans="1:24">
      <c r="A7842">
        <f>HYPERLINK("https://www.philgeps.gov.ph/GEPSNONPILOT/Tender/SplashBidNoticeAbstractUI.aspx?menuIndex=3&amp;refID=7058830&amp;Result=3","7058830")</f>
        <v>0</v>
      </c>
      <c r="B7842" t="s">
        <v>878</v>
      </c>
      <c r="C7842" t="s">
        <v>10964</v>
      </c>
      <c r="E7842" t="s">
        <v>25769</v>
      </c>
      <c r="F7842" t="s">
        <v>32664</v>
      </c>
      <c r="G7842" t="s">
        <v>32671</v>
      </c>
      <c r="H7842" t="s">
        <v>12635</v>
      </c>
      <c r="I7842" t="s">
        <v>32734</v>
      </c>
      <c r="J7842" t="s">
        <v>32859</v>
      </c>
      <c r="K7842" t="s">
        <v>42283</v>
      </c>
      <c r="M7842" t="s">
        <v>45157</v>
      </c>
      <c r="N7842" t="s">
        <v>46569</v>
      </c>
      <c r="O7842" t="s">
        <v>46570</v>
      </c>
      <c r="P7842">
        <v>0</v>
      </c>
      <c r="Q7842">
        <v>5</v>
      </c>
      <c r="R7842" t="s">
        <v>46574</v>
      </c>
      <c r="S7842" t="s">
        <v>46723</v>
      </c>
      <c r="T7842" t="s">
        <v>48562</v>
      </c>
      <c r="U7842" t="s">
        <v>55254</v>
      </c>
      <c r="W7842" t="s">
        <v>63492</v>
      </c>
      <c r="X7842" t="s">
        <v>46575</v>
      </c>
    </row>
    <row r="7843" spans="1:24">
      <c r="A7843">
        <f>HYPERLINK("https://www.philgeps.gov.ph/GEPSNONPILOT/Tender/SplashBidNoticeAbstractUI.aspx?menuIndex=3&amp;refID=7058826&amp;Result=3","7058826")</f>
        <v>0</v>
      </c>
      <c r="B7843" t="s">
        <v>2370</v>
      </c>
      <c r="C7843" t="s">
        <v>10965</v>
      </c>
      <c r="D7843" t="s">
        <v>18794</v>
      </c>
      <c r="E7843" t="s">
        <v>25770</v>
      </c>
      <c r="F7843" t="s">
        <v>32664</v>
      </c>
      <c r="G7843" t="s">
        <v>32674</v>
      </c>
      <c r="H7843" t="s">
        <v>12635</v>
      </c>
      <c r="I7843" t="s">
        <v>6168</v>
      </c>
      <c r="J7843" t="s">
        <v>37613</v>
      </c>
      <c r="K7843" t="s">
        <v>42281</v>
      </c>
      <c r="M7843" t="s">
        <v>45158</v>
      </c>
      <c r="N7843" t="s">
        <v>46569</v>
      </c>
      <c r="O7843" t="s">
        <v>46570</v>
      </c>
      <c r="P7843">
        <v>0</v>
      </c>
      <c r="Q7843">
        <v>0</v>
      </c>
      <c r="R7843" t="s">
        <v>46574</v>
      </c>
      <c r="S7843" t="s">
        <v>46723</v>
      </c>
      <c r="T7843" t="s">
        <v>48221</v>
      </c>
      <c r="U7843" t="s">
        <v>55255</v>
      </c>
      <c r="V7843" t="s">
        <v>62391</v>
      </c>
      <c r="W7843" t="s">
        <v>63559</v>
      </c>
      <c r="X7843" t="s">
        <v>46575</v>
      </c>
    </row>
    <row r="7844" spans="1:24">
      <c r="A7844">
        <f>HYPERLINK("https://www.philgeps.gov.ph/GEPSNONPILOT/Tender/SplashBidNoticeAbstractUI.aspx?menuIndex=3&amp;refID=7058784&amp;Result=3","7058784")</f>
        <v>0</v>
      </c>
      <c r="B7844" t="s">
        <v>528</v>
      </c>
      <c r="C7844" t="s">
        <v>10966</v>
      </c>
      <c r="D7844" t="s">
        <v>18838</v>
      </c>
      <c r="E7844" t="s">
        <v>25771</v>
      </c>
      <c r="F7844" t="s">
        <v>32664</v>
      </c>
      <c r="G7844" t="s">
        <v>32675</v>
      </c>
      <c r="H7844" t="s">
        <v>12635</v>
      </c>
      <c r="I7844" t="s">
        <v>6223</v>
      </c>
      <c r="J7844" t="s">
        <v>37614</v>
      </c>
      <c r="K7844" t="s">
        <v>42298</v>
      </c>
      <c r="M7844" t="s">
        <v>45146</v>
      </c>
      <c r="N7844" t="s">
        <v>46569</v>
      </c>
      <c r="O7844" t="s">
        <v>46570</v>
      </c>
      <c r="P7844">
        <v>0</v>
      </c>
      <c r="Q7844">
        <v>4</v>
      </c>
      <c r="R7844" t="s">
        <v>46574</v>
      </c>
      <c r="S7844" t="s">
        <v>46723</v>
      </c>
      <c r="T7844" t="s">
        <v>48283</v>
      </c>
      <c r="U7844" t="s">
        <v>55207</v>
      </c>
      <c r="W7844" t="s">
        <v>45146</v>
      </c>
      <c r="X7844" t="s">
        <v>46575</v>
      </c>
    </row>
    <row r="7845" spans="1:24">
      <c r="A7845">
        <f>HYPERLINK("https://www.philgeps.gov.ph/GEPSNONPILOT/Tender/SplashBidNoticeAbstractUI.aspx?menuIndex=3&amp;refID=7058587&amp;Result=3","7058587")</f>
        <v>0</v>
      </c>
      <c r="B7845" t="s">
        <v>1104</v>
      </c>
      <c r="C7845" t="s">
        <v>10967</v>
      </c>
      <c r="D7845" t="s">
        <v>18830</v>
      </c>
      <c r="E7845" t="s">
        <v>25772</v>
      </c>
      <c r="F7845" t="s">
        <v>32664</v>
      </c>
      <c r="G7845" t="s">
        <v>32672</v>
      </c>
      <c r="H7845" t="s">
        <v>12635</v>
      </c>
      <c r="I7845" t="s">
        <v>9486</v>
      </c>
      <c r="J7845" t="s">
        <v>37615</v>
      </c>
      <c r="K7845" t="s">
        <v>42283</v>
      </c>
      <c r="M7845" t="s">
        <v>43731</v>
      </c>
      <c r="N7845" t="s">
        <v>46569</v>
      </c>
      <c r="O7845" t="s">
        <v>46570</v>
      </c>
      <c r="P7845">
        <v>0</v>
      </c>
      <c r="Q7845">
        <v>2</v>
      </c>
      <c r="R7845" t="s">
        <v>46574</v>
      </c>
      <c r="S7845" t="s">
        <v>46723</v>
      </c>
      <c r="T7845" t="s">
        <v>48270</v>
      </c>
      <c r="U7845" t="s">
        <v>55256</v>
      </c>
      <c r="V7845" t="s">
        <v>62392</v>
      </c>
      <c r="W7845" t="s">
        <v>43731</v>
      </c>
      <c r="X7845" t="s">
        <v>46575</v>
      </c>
    </row>
    <row r="7846" spans="1:24">
      <c r="A7846">
        <f>HYPERLINK("https://www.philgeps.gov.ph/GEPSNONPILOT/Tender/SplashBidNoticeAbstractUI.aspx?menuIndex=3&amp;refID=7058818&amp;Result=3","7058818")</f>
        <v>0</v>
      </c>
      <c r="B7846" t="s">
        <v>964</v>
      </c>
      <c r="C7846" t="s">
        <v>10968</v>
      </c>
      <c r="D7846" t="s">
        <v>18786</v>
      </c>
      <c r="E7846" t="s">
        <v>25773</v>
      </c>
      <c r="F7846" t="s">
        <v>32664</v>
      </c>
      <c r="G7846" t="s">
        <v>32672</v>
      </c>
      <c r="H7846" t="s">
        <v>12635</v>
      </c>
      <c r="I7846" t="s">
        <v>7324</v>
      </c>
      <c r="J7846" t="s">
        <v>33096</v>
      </c>
      <c r="K7846" t="s">
        <v>42289</v>
      </c>
      <c r="M7846" t="s">
        <v>43572</v>
      </c>
      <c r="N7846" t="s">
        <v>46569</v>
      </c>
      <c r="O7846" t="s">
        <v>46570</v>
      </c>
      <c r="P7846">
        <v>0</v>
      </c>
      <c r="Q7846">
        <v>3</v>
      </c>
      <c r="R7846" t="s">
        <v>46574</v>
      </c>
      <c r="S7846" t="s">
        <v>46723</v>
      </c>
      <c r="T7846" t="s">
        <v>48298</v>
      </c>
      <c r="U7846" t="s">
        <v>55257</v>
      </c>
      <c r="W7846" t="s">
        <v>63499</v>
      </c>
      <c r="X7846" t="s">
        <v>46575</v>
      </c>
    </row>
    <row r="7847" spans="1:24">
      <c r="A7847">
        <f>HYPERLINK("https://www.philgeps.gov.ph/GEPSNONPILOT/Tender/SplashBidNoticeAbstractUI.aspx?menuIndex=3&amp;refID=7058832&amp;Result=3","7058832")</f>
        <v>0</v>
      </c>
      <c r="B7847" t="s">
        <v>1998</v>
      </c>
      <c r="C7847" t="s">
        <v>10969</v>
      </c>
      <c r="D7847" t="s">
        <v>18817</v>
      </c>
      <c r="E7847" t="s">
        <v>25774</v>
      </c>
      <c r="F7847" t="s">
        <v>32664</v>
      </c>
      <c r="G7847" t="s">
        <v>32672</v>
      </c>
      <c r="H7847" t="s">
        <v>32682</v>
      </c>
      <c r="I7847" t="s">
        <v>32689</v>
      </c>
      <c r="J7847" t="s">
        <v>37616</v>
      </c>
      <c r="K7847" t="s">
        <v>42281</v>
      </c>
      <c r="M7847" t="s">
        <v>44735</v>
      </c>
      <c r="N7847" t="s">
        <v>46569</v>
      </c>
      <c r="O7847" t="s">
        <v>46570</v>
      </c>
      <c r="P7847">
        <v>0</v>
      </c>
      <c r="Q7847">
        <v>5</v>
      </c>
      <c r="R7847" t="s">
        <v>46574</v>
      </c>
      <c r="S7847" t="s">
        <v>46723</v>
      </c>
      <c r="T7847" t="s">
        <v>48434</v>
      </c>
      <c r="U7847" t="s">
        <v>55258</v>
      </c>
      <c r="W7847" t="s">
        <v>44735</v>
      </c>
      <c r="X7847" t="s">
        <v>46575</v>
      </c>
    </row>
    <row r="7848" spans="1:24">
      <c r="A7848">
        <f>HYPERLINK("https://www.philgeps.gov.ph/GEPSNONPILOT/Tender/SplashBidNoticeAbstractUI.aspx?menuIndex=3&amp;refID=7058813&amp;Result=3","7058813")</f>
        <v>0</v>
      </c>
      <c r="B7848" t="s">
        <v>964</v>
      </c>
      <c r="C7848" t="s">
        <v>10970</v>
      </c>
      <c r="D7848" t="s">
        <v>18786</v>
      </c>
      <c r="E7848" t="s">
        <v>25775</v>
      </c>
      <c r="F7848" t="s">
        <v>32664</v>
      </c>
      <c r="G7848" t="s">
        <v>32672</v>
      </c>
      <c r="H7848" t="s">
        <v>12635</v>
      </c>
      <c r="I7848" t="s">
        <v>32792</v>
      </c>
      <c r="J7848" t="s">
        <v>37617</v>
      </c>
      <c r="K7848" t="s">
        <v>42281</v>
      </c>
      <c r="M7848" t="s">
        <v>43572</v>
      </c>
      <c r="N7848" t="s">
        <v>46569</v>
      </c>
      <c r="O7848" t="s">
        <v>46570</v>
      </c>
      <c r="P7848">
        <v>0</v>
      </c>
      <c r="Q7848">
        <v>0</v>
      </c>
      <c r="R7848" t="s">
        <v>46574</v>
      </c>
      <c r="S7848" t="s">
        <v>46723</v>
      </c>
      <c r="T7848" t="s">
        <v>48298</v>
      </c>
      <c r="U7848" t="s">
        <v>55259</v>
      </c>
      <c r="W7848" t="s">
        <v>63499</v>
      </c>
      <c r="X7848" t="s">
        <v>46575</v>
      </c>
    </row>
    <row r="7849" spans="1:24">
      <c r="A7849">
        <f>HYPERLINK("https://www.philgeps.gov.ph/GEPSNONPILOT/Tender/SplashBidNoticeAbstractUI.aspx?menuIndex=3&amp;refID=7058748&amp;Result=3","7058748")</f>
        <v>0</v>
      </c>
      <c r="B7849" t="s">
        <v>2371</v>
      </c>
      <c r="C7849" t="s">
        <v>10971</v>
      </c>
      <c r="D7849" t="s">
        <v>18781</v>
      </c>
      <c r="E7849" t="s">
        <v>25776</v>
      </c>
      <c r="F7849" t="s">
        <v>32664</v>
      </c>
      <c r="G7849" t="s">
        <v>32672</v>
      </c>
      <c r="H7849" t="s">
        <v>12635</v>
      </c>
      <c r="I7849" t="s">
        <v>11464</v>
      </c>
      <c r="J7849" t="s">
        <v>33008</v>
      </c>
      <c r="K7849" t="s">
        <v>42289</v>
      </c>
      <c r="M7849" t="s">
        <v>45159</v>
      </c>
      <c r="N7849" t="s">
        <v>46569</v>
      </c>
      <c r="O7849" t="s">
        <v>46570</v>
      </c>
      <c r="P7849">
        <v>0</v>
      </c>
      <c r="Q7849">
        <v>2</v>
      </c>
      <c r="R7849" t="s">
        <v>46574</v>
      </c>
      <c r="S7849" t="s">
        <v>46723</v>
      </c>
      <c r="T7849" t="s">
        <v>48246</v>
      </c>
      <c r="U7849" t="s">
        <v>55260</v>
      </c>
      <c r="W7849" t="s">
        <v>45159</v>
      </c>
      <c r="X7849" t="s">
        <v>46575</v>
      </c>
    </row>
    <row r="7850" spans="1:24">
      <c r="A7850">
        <f>HYPERLINK("https://www.philgeps.gov.ph/GEPSNONPILOT/Tender/SplashBidNoticeAbstractUI.aspx?menuIndex=3&amp;refID=7058810&amp;Result=3","7058810")</f>
        <v>0</v>
      </c>
      <c r="B7850" t="s">
        <v>1313</v>
      </c>
      <c r="C7850" t="s">
        <v>10972</v>
      </c>
      <c r="E7850" t="s">
        <v>25777</v>
      </c>
      <c r="F7850" t="s">
        <v>32664</v>
      </c>
      <c r="G7850" t="s">
        <v>32671</v>
      </c>
      <c r="H7850" t="s">
        <v>12635</v>
      </c>
      <c r="I7850" t="s">
        <v>32704</v>
      </c>
      <c r="J7850" t="s">
        <v>34064</v>
      </c>
      <c r="K7850" t="s">
        <v>42283</v>
      </c>
      <c r="M7850" t="s">
        <v>43960</v>
      </c>
      <c r="N7850" t="s">
        <v>46569</v>
      </c>
      <c r="O7850" t="s">
        <v>46570</v>
      </c>
      <c r="P7850">
        <v>0</v>
      </c>
      <c r="Q7850">
        <v>3</v>
      </c>
      <c r="R7850" t="s">
        <v>46574</v>
      </c>
      <c r="S7850" t="s">
        <v>46723</v>
      </c>
      <c r="T7850" t="s">
        <v>48562</v>
      </c>
      <c r="U7850" t="s">
        <v>55178</v>
      </c>
      <c r="W7850" t="s">
        <v>43960</v>
      </c>
      <c r="X7850" t="s">
        <v>46575</v>
      </c>
    </row>
    <row r="7851" spans="1:24">
      <c r="A7851">
        <f>HYPERLINK("https://www.philgeps.gov.ph/GEPSNONPILOT/Tender/SplashBidNoticeAbstractUI.aspx?menuIndex=3&amp;refID=7058811&amp;Result=3","7058811")</f>
        <v>0</v>
      </c>
      <c r="B7851" t="s">
        <v>1732</v>
      </c>
      <c r="C7851" t="s">
        <v>10973</v>
      </c>
      <c r="D7851" t="s">
        <v>18784</v>
      </c>
      <c r="E7851" t="s">
        <v>25778</v>
      </c>
      <c r="F7851" t="s">
        <v>32664</v>
      </c>
      <c r="G7851" t="s">
        <v>32671</v>
      </c>
      <c r="H7851" t="s">
        <v>12635</v>
      </c>
      <c r="I7851" t="s">
        <v>5501</v>
      </c>
      <c r="J7851" t="s">
        <v>37618</v>
      </c>
      <c r="K7851" t="s">
        <v>42297</v>
      </c>
      <c r="M7851" t="s">
        <v>44431</v>
      </c>
      <c r="N7851" t="s">
        <v>46569</v>
      </c>
      <c r="O7851" t="s">
        <v>46570</v>
      </c>
      <c r="P7851">
        <v>0</v>
      </c>
      <c r="Q7851">
        <v>6</v>
      </c>
      <c r="R7851" t="s">
        <v>46574</v>
      </c>
      <c r="S7851" t="s">
        <v>46723</v>
      </c>
      <c r="T7851" t="s">
        <v>48228</v>
      </c>
      <c r="U7851" t="s">
        <v>55261</v>
      </c>
      <c r="W7851" t="s">
        <v>44431</v>
      </c>
      <c r="X7851" t="s">
        <v>46575</v>
      </c>
    </row>
    <row r="7852" spans="1:24">
      <c r="A7852">
        <f>HYPERLINK("https://www.philgeps.gov.ph/GEPSNONPILOT/Tender/SplashBidNoticeAbstractUI.aspx?menuIndex=3&amp;refID=7058817&amp;Result=3","7058817")</f>
        <v>0</v>
      </c>
      <c r="B7852" t="s">
        <v>1313</v>
      </c>
      <c r="C7852" t="s">
        <v>10974</v>
      </c>
      <c r="E7852" t="s">
        <v>25779</v>
      </c>
      <c r="F7852" t="s">
        <v>32664</v>
      </c>
      <c r="G7852" t="s">
        <v>32671</v>
      </c>
      <c r="H7852" t="s">
        <v>12635</v>
      </c>
      <c r="I7852" t="s">
        <v>32704</v>
      </c>
      <c r="J7852" t="s">
        <v>35096</v>
      </c>
      <c r="K7852" t="s">
        <v>42283</v>
      </c>
      <c r="M7852" t="s">
        <v>43960</v>
      </c>
      <c r="N7852" t="s">
        <v>46569</v>
      </c>
      <c r="O7852" t="s">
        <v>46570</v>
      </c>
      <c r="P7852">
        <v>0</v>
      </c>
      <c r="Q7852">
        <v>5</v>
      </c>
      <c r="R7852" t="s">
        <v>46574</v>
      </c>
      <c r="S7852" t="s">
        <v>46723</v>
      </c>
      <c r="T7852" t="s">
        <v>48562</v>
      </c>
      <c r="U7852" t="s">
        <v>55178</v>
      </c>
      <c r="W7852" t="s">
        <v>43960</v>
      </c>
      <c r="X7852" t="s">
        <v>46575</v>
      </c>
    </row>
    <row r="7853" spans="1:24">
      <c r="A7853">
        <f>HYPERLINK("https://www.philgeps.gov.ph/GEPSNONPILOT/Tender/SplashBidNoticeAbstractUI.aspx?menuIndex=3&amp;refID=7058808&amp;Result=3","7058808")</f>
        <v>0</v>
      </c>
      <c r="B7853" t="s">
        <v>629</v>
      </c>
      <c r="C7853" t="s">
        <v>10975</v>
      </c>
      <c r="D7853" t="s">
        <v>18782</v>
      </c>
      <c r="E7853" t="s">
        <v>25780</v>
      </c>
      <c r="F7853" t="s">
        <v>32664</v>
      </c>
      <c r="G7853" t="s">
        <v>32674</v>
      </c>
      <c r="H7853" t="s">
        <v>12635</v>
      </c>
      <c r="I7853" t="s">
        <v>32756</v>
      </c>
      <c r="J7853" t="s">
        <v>37619</v>
      </c>
      <c r="K7853" t="s">
        <v>42283</v>
      </c>
      <c r="M7853" t="s">
        <v>43211</v>
      </c>
      <c r="N7853" t="s">
        <v>46569</v>
      </c>
      <c r="O7853" t="s">
        <v>46570</v>
      </c>
      <c r="P7853">
        <v>0</v>
      </c>
      <c r="Q7853">
        <v>2</v>
      </c>
      <c r="R7853" t="s">
        <v>46574</v>
      </c>
      <c r="S7853" t="s">
        <v>46723</v>
      </c>
      <c r="T7853" t="s">
        <v>48290</v>
      </c>
      <c r="U7853" t="s">
        <v>55262</v>
      </c>
      <c r="W7853" t="s">
        <v>43211</v>
      </c>
      <c r="X7853" t="s">
        <v>46575</v>
      </c>
    </row>
    <row r="7854" spans="1:24">
      <c r="A7854">
        <f>HYPERLINK("https://www.philgeps.gov.ph/GEPSNONPILOT/Tender/SplashBidNoticeAbstractUI.aspx?menuIndex=3&amp;refID=7058812&amp;Result=3","7058812")</f>
        <v>0</v>
      </c>
      <c r="B7854" t="s">
        <v>2372</v>
      </c>
      <c r="C7854" t="s">
        <v>10976</v>
      </c>
      <c r="D7854" t="s">
        <v>18814</v>
      </c>
      <c r="E7854" t="s">
        <v>25781</v>
      </c>
      <c r="F7854" t="s">
        <v>32664</v>
      </c>
      <c r="G7854" t="s">
        <v>32674</v>
      </c>
      <c r="H7854" t="s">
        <v>12635</v>
      </c>
      <c r="I7854" t="s">
        <v>32793</v>
      </c>
      <c r="J7854" t="s">
        <v>34156</v>
      </c>
      <c r="K7854" t="s">
        <v>42284</v>
      </c>
      <c r="M7854" t="s">
        <v>45160</v>
      </c>
      <c r="N7854" t="s">
        <v>46569</v>
      </c>
      <c r="O7854" t="s">
        <v>46570</v>
      </c>
      <c r="P7854">
        <v>0</v>
      </c>
      <c r="Q7854">
        <v>0</v>
      </c>
      <c r="R7854" t="s">
        <v>46574</v>
      </c>
      <c r="S7854" t="s">
        <v>46723</v>
      </c>
      <c r="T7854" t="s">
        <v>48609</v>
      </c>
      <c r="U7854" t="s">
        <v>55263</v>
      </c>
      <c r="W7854" t="s">
        <v>45160</v>
      </c>
      <c r="X7854" t="s">
        <v>46575</v>
      </c>
    </row>
    <row r="7855" spans="1:24">
      <c r="A7855">
        <f>HYPERLINK("https://www.philgeps.gov.ph/GEPSNONPILOT/Tender/SplashBidNoticeAbstractUI.aspx?menuIndex=3&amp;refID=7058793&amp;Result=3","7058793")</f>
        <v>0</v>
      </c>
      <c r="B7855" t="s">
        <v>1313</v>
      </c>
      <c r="C7855" t="s">
        <v>10977</v>
      </c>
      <c r="E7855" t="s">
        <v>25782</v>
      </c>
      <c r="F7855" t="s">
        <v>32664</v>
      </c>
      <c r="G7855" t="s">
        <v>32671</v>
      </c>
      <c r="H7855" t="s">
        <v>12635</v>
      </c>
      <c r="I7855" t="s">
        <v>32704</v>
      </c>
      <c r="J7855" t="s">
        <v>33114</v>
      </c>
      <c r="K7855" t="s">
        <v>42283</v>
      </c>
      <c r="M7855" t="s">
        <v>43960</v>
      </c>
      <c r="N7855" t="s">
        <v>46569</v>
      </c>
      <c r="O7855" t="s">
        <v>46570</v>
      </c>
      <c r="P7855">
        <v>0</v>
      </c>
      <c r="Q7855">
        <v>8</v>
      </c>
      <c r="R7855" t="s">
        <v>46574</v>
      </c>
      <c r="S7855" t="s">
        <v>46723</v>
      </c>
      <c r="T7855" t="s">
        <v>48562</v>
      </c>
      <c r="U7855" t="s">
        <v>55178</v>
      </c>
      <c r="W7855" t="s">
        <v>43960</v>
      </c>
      <c r="X7855" t="s">
        <v>46575</v>
      </c>
    </row>
    <row r="7856" spans="1:24">
      <c r="A7856">
        <f>HYPERLINK("https://www.philgeps.gov.ph/GEPSNONPILOT/Tender/SplashBidNoticeAbstractUI.aspx?menuIndex=3&amp;refID=7058807&amp;Result=3","7058807")</f>
        <v>0</v>
      </c>
      <c r="B7856" t="s">
        <v>964</v>
      </c>
      <c r="C7856" t="s">
        <v>10978</v>
      </c>
      <c r="D7856" t="s">
        <v>18786</v>
      </c>
      <c r="E7856" t="s">
        <v>25783</v>
      </c>
      <c r="F7856" t="s">
        <v>32664</v>
      </c>
      <c r="G7856" t="s">
        <v>32672</v>
      </c>
      <c r="H7856" t="s">
        <v>12635</v>
      </c>
      <c r="I7856" t="s">
        <v>8797</v>
      </c>
      <c r="J7856" t="s">
        <v>37620</v>
      </c>
      <c r="K7856" t="s">
        <v>42289</v>
      </c>
      <c r="M7856" t="s">
        <v>43572</v>
      </c>
      <c r="N7856" t="s">
        <v>46569</v>
      </c>
      <c r="O7856" t="s">
        <v>46570</v>
      </c>
      <c r="P7856">
        <v>0</v>
      </c>
      <c r="Q7856">
        <v>5</v>
      </c>
      <c r="R7856" t="s">
        <v>46574</v>
      </c>
      <c r="S7856" t="s">
        <v>46723</v>
      </c>
      <c r="T7856" t="s">
        <v>48298</v>
      </c>
      <c r="U7856" t="s">
        <v>55264</v>
      </c>
      <c r="W7856" t="s">
        <v>63499</v>
      </c>
      <c r="X7856" t="s">
        <v>46575</v>
      </c>
    </row>
    <row r="7857" spans="1:24">
      <c r="A7857">
        <f>HYPERLINK("https://www.philgeps.gov.ph/GEPSNONPILOT/Tender/SplashBidNoticeAbstractUI.aspx?menuIndex=3&amp;refID=7058806&amp;Result=3","7058806")</f>
        <v>0</v>
      </c>
      <c r="B7857" t="s">
        <v>1313</v>
      </c>
      <c r="C7857" t="s">
        <v>10979</v>
      </c>
      <c r="E7857" t="s">
        <v>25784</v>
      </c>
      <c r="F7857" t="s">
        <v>32664</v>
      </c>
      <c r="G7857" t="s">
        <v>32671</v>
      </c>
      <c r="H7857" t="s">
        <v>12635</v>
      </c>
      <c r="I7857" t="s">
        <v>32704</v>
      </c>
      <c r="J7857" t="s">
        <v>37621</v>
      </c>
      <c r="K7857" t="s">
        <v>42283</v>
      </c>
      <c r="M7857" t="s">
        <v>43960</v>
      </c>
      <c r="N7857" t="s">
        <v>46569</v>
      </c>
      <c r="O7857" t="s">
        <v>46570</v>
      </c>
      <c r="P7857">
        <v>0</v>
      </c>
      <c r="Q7857">
        <v>7</v>
      </c>
      <c r="R7857" t="s">
        <v>46574</v>
      </c>
      <c r="S7857" t="s">
        <v>46723</v>
      </c>
      <c r="T7857" t="s">
        <v>48562</v>
      </c>
      <c r="U7857" t="s">
        <v>55178</v>
      </c>
      <c r="W7857" t="s">
        <v>43960</v>
      </c>
      <c r="X7857" t="s">
        <v>46575</v>
      </c>
    </row>
    <row r="7858" spans="1:24">
      <c r="A7858">
        <f>HYPERLINK("https://www.philgeps.gov.ph/GEPSNONPILOT/Tender/SplashBidNoticeAbstractUI.aspx?menuIndex=3&amp;refID=7058799&amp;Result=3","7058799")</f>
        <v>0</v>
      </c>
      <c r="B7858" t="s">
        <v>1313</v>
      </c>
      <c r="C7858" t="s">
        <v>10980</v>
      </c>
      <c r="E7858" t="s">
        <v>25785</v>
      </c>
      <c r="F7858" t="s">
        <v>32664</v>
      </c>
      <c r="G7858" t="s">
        <v>32675</v>
      </c>
      <c r="H7858" t="s">
        <v>12635</v>
      </c>
      <c r="I7858" t="s">
        <v>6168</v>
      </c>
      <c r="J7858" t="s">
        <v>37622</v>
      </c>
      <c r="K7858" t="s">
        <v>42283</v>
      </c>
      <c r="M7858" t="s">
        <v>43960</v>
      </c>
      <c r="N7858" t="s">
        <v>46569</v>
      </c>
      <c r="O7858" t="s">
        <v>46570</v>
      </c>
      <c r="P7858">
        <v>0</v>
      </c>
      <c r="Q7858">
        <v>3</v>
      </c>
      <c r="R7858" t="s">
        <v>46574</v>
      </c>
      <c r="S7858" t="s">
        <v>46723</v>
      </c>
      <c r="T7858" t="s">
        <v>48562</v>
      </c>
      <c r="U7858" t="s">
        <v>55178</v>
      </c>
      <c r="W7858" t="s">
        <v>43960</v>
      </c>
      <c r="X7858" t="s">
        <v>46575</v>
      </c>
    </row>
    <row r="7859" spans="1:24">
      <c r="A7859">
        <f>HYPERLINK("https://www.philgeps.gov.ph/GEPSNONPILOT/Tender/SplashBidNoticeAbstractUI.aspx?menuIndex=3&amp;refID=7058801&amp;Result=3","7058801")</f>
        <v>0</v>
      </c>
      <c r="B7859" t="s">
        <v>2373</v>
      </c>
      <c r="C7859" t="s">
        <v>10981</v>
      </c>
      <c r="D7859" t="s">
        <v>18787</v>
      </c>
      <c r="E7859" t="s">
        <v>18926</v>
      </c>
      <c r="F7859" t="s">
        <v>32664</v>
      </c>
      <c r="G7859" t="s">
        <v>32672</v>
      </c>
      <c r="H7859" t="s">
        <v>32683</v>
      </c>
      <c r="I7859" t="s">
        <v>10627</v>
      </c>
      <c r="J7859" t="s">
        <v>35729</v>
      </c>
      <c r="K7859" t="s">
        <v>42289</v>
      </c>
      <c r="M7859" t="s">
        <v>45161</v>
      </c>
      <c r="N7859" t="s">
        <v>46569</v>
      </c>
      <c r="O7859" t="s">
        <v>46570</v>
      </c>
      <c r="P7859">
        <v>0</v>
      </c>
      <c r="Q7859">
        <v>0</v>
      </c>
      <c r="R7859" t="s">
        <v>46574</v>
      </c>
      <c r="S7859" t="s">
        <v>46723</v>
      </c>
      <c r="T7859" t="s">
        <v>48219</v>
      </c>
      <c r="U7859" t="s">
        <v>55265</v>
      </c>
      <c r="W7859" t="s">
        <v>45161</v>
      </c>
      <c r="X7859" t="s">
        <v>46575</v>
      </c>
    </row>
    <row r="7860" spans="1:24">
      <c r="A7860">
        <f>HYPERLINK("https://www.philgeps.gov.ph/GEPSNONPILOT/Tender/SplashBidNoticeAbstractUI.aspx?menuIndex=3&amp;refID=7058798&amp;Result=3","7058798")</f>
        <v>0</v>
      </c>
      <c r="B7860" t="s">
        <v>964</v>
      </c>
      <c r="C7860" t="s">
        <v>10982</v>
      </c>
      <c r="D7860" t="s">
        <v>18786</v>
      </c>
      <c r="E7860" t="s">
        <v>25786</v>
      </c>
      <c r="F7860" t="s">
        <v>32664</v>
      </c>
      <c r="G7860" t="s">
        <v>32672</v>
      </c>
      <c r="H7860" t="s">
        <v>12635</v>
      </c>
      <c r="I7860" t="s">
        <v>9486</v>
      </c>
      <c r="J7860" t="s">
        <v>37623</v>
      </c>
      <c r="K7860" t="s">
        <v>42289</v>
      </c>
      <c r="M7860" t="s">
        <v>43572</v>
      </c>
      <c r="N7860" t="s">
        <v>46569</v>
      </c>
      <c r="O7860" t="s">
        <v>46570</v>
      </c>
      <c r="P7860">
        <v>0</v>
      </c>
      <c r="Q7860">
        <v>2</v>
      </c>
      <c r="R7860" t="s">
        <v>46574</v>
      </c>
      <c r="S7860" t="s">
        <v>46723</v>
      </c>
      <c r="T7860" t="s">
        <v>48298</v>
      </c>
      <c r="U7860" t="s">
        <v>55266</v>
      </c>
      <c r="W7860" t="s">
        <v>63499</v>
      </c>
      <c r="X7860" t="s">
        <v>46575</v>
      </c>
    </row>
    <row r="7861" spans="1:24">
      <c r="A7861">
        <f>HYPERLINK("https://www.philgeps.gov.ph/GEPSNONPILOT/Tender/SplashBidNoticeAbstractUI.aspx?menuIndex=3&amp;refID=7058815&amp;Result=3","7058815")</f>
        <v>0</v>
      </c>
      <c r="B7861" t="s">
        <v>528</v>
      </c>
      <c r="C7861" t="s">
        <v>10983</v>
      </c>
      <c r="D7861" t="s">
        <v>18810</v>
      </c>
      <c r="E7861" t="s">
        <v>25787</v>
      </c>
      <c r="F7861" t="s">
        <v>32664</v>
      </c>
      <c r="G7861" t="s">
        <v>32675</v>
      </c>
      <c r="H7861" t="s">
        <v>12635</v>
      </c>
      <c r="I7861" t="s">
        <v>6223</v>
      </c>
      <c r="J7861" t="s">
        <v>37624</v>
      </c>
      <c r="K7861" t="s">
        <v>42281</v>
      </c>
      <c r="M7861" t="s">
        <v>45146</v>
      </c>
      <c r="N7861" t="s">
        <v>46569</v>
      </c>
      <c r="O7861" t="s">
        <v>46570</v>
      </c>
      <c r="P7861">
        <v>0</v>
      </c>
      <c r="Q7861">
        <v>5</v>
      </c>
      <c r="R7861" t="s">
        <v>46574</v>
      </c>
      <c r="S7861" t="s">
        <v>46723</v>
      </c>
      <c r="T7861" t="s">
        <v>48283</v>
      </c>
      <c r="U7861" t="s">
        <v>55207</v>
      </c>
      <c r="W7861" t="s">
        <v>45146</v>
      </c>
      <c r="X7861" t="s">
        <v>46575</v>
      </c>
    </row>
    <row r="7862" spans="1:24">
      <c r="A7862">
        <f>HYPERLINK("https://www.philgeps.gov.ph/GEPSNONPILOT/Tender/SplashBidNoticeAbstractUI.aspx?menuIndex=3&amp;refID=7058774&amp;Result=3","7058774")</f>
        <v>0</v>
      </c>
      <c r="B7862" t="s">
        <v>2374</v>
      </c>
      <c r="C7862" t="s">
        <v>10614</v>
      </c>
      <c r="D7862" t="s">
        <v>18781</v>
      </c>
      <c r="E7862" t="s">
        <v>19286</v>
      </c>
      <c r="F7862" t="s">
        <v>32664</v>
      </c>
      <c r="G7862" t="s">
        <v>32672</v>
      </c>
      <c r="H7862" t="s">
        <v>32683</v>
      </c>
      <c r="I7862" t="s">
        <v>10627</v>
      </c>
      <c r="J7862" t="s">
        <v>37625</v>
      </c>
      <c r="K7862" t="s">
        <v>42298</v>
      </c>
      <c r="M7862" t="s">
        <v>45162</v>
      </c>
      <c r="N7862" t="s">
        <v>46569</v>
      </c>
      <c r="O7862" t="s">
        <v>46570</v>
      </c>
      <c r="P7862">
        <v>0</v>
      </c>
      <c r="Q7862">
        <v>0</v>
      </c>
      <c r="R7862" t="s">
        <v>46574</v>
      </c>
      <c r="S7862" t="s">
        <v>46723</v>
      </c>
      <c r="T7862" t="s">
        <v>48246</v>
      </c>
      <c r="U7862" t="s">
        <v>55267</v>
      </c>
      <c r="W7862" t="s">
        <v>45162</v>
      </c>
      <c r="X7862" t="s">
        <v>46575</v>
      </c>
    </row>
    <row r="7863" spans="1:24">
      <c r="A7863">
        <f>HYPERLINK("https://www.philgeps.gov.ph/GEPSNONPILOT/Tender/SplashBidNoticeAbstractUI.aspx?menuIndex=3&amp;refID=7058773&amp;Result=3","7058773")</f>
        <v>0</v>
      </c>
      <c r="B7863" t="s">
        <v>1313</v>
      </c>
      <c r="C7863" t="s">
        <v>10984</v>
      </c>
      <c r="E7863" t="s">
        <v>25788</v>
      </c>
      <c r="F7863" t="s">
        <v>32664</v>
      </c>
      <c r="G7863" t="s">
        <v>32671</v>
      </c>
      <c r="H7863" t="s">
        <v>12635</v>
      </c>
      <c r="I7863" t="s">
        <v>32704</v>
      </c>
      <c r="J7863" t="s">
        <v>34182</v>
      </c>
      <c r="K7863" t="s">
        <v>42283</v>
      </c>
      <c r="M7863" t="s">
        <v>43960</v>
      </c>
      <c r="N7863" t="s">
        <v>46569</v>
      </c>
      <c r="O7863" t="s">
        <v>46570</v>
      </c>
      <c r="P7863">
        <v>0</v>
      </c>
      <c r="Q7863">
        <v>4</v>
      </c>
      <c r="R7863" t="s">
        <v>46574</v>
      </c>
      <c r="S7863" t="s">
        <v>46723</v>
      </c>
      <c r="T7863" t="s">
        <v>48562</v>
      </c>
      <c r="U7863" t="s">
        <v>55178</v>
      </c>
      <c r="W7863" t="s">
        <v>43960</v>
      </c>
      <c r="X7863" t="s">
        <v>46575</v>
      </c>
    </row>
    <row r="7864" spans="1:24">
      <c r="A7864">
        <f>HYPERLINK("https://www.philgeps.gov.ph/GEPSNONPILOT/Tender/SplashBidNoticeAbstractUI.aspx?menuIndex=3&amp;refID=7058767&amp;Result=3","7058767")</f>
        <v>0</v>
      </c>
      <c r="B7864" t="s">
        <v>1313</v>
      </c>
      <c r="C7864" t="s">
        <v>10985</v>
      </c>
      <c r="E7864" t="s">
        <v>25789</v>
      </c>
      <c r="F7864" t="s">
        <v>32664</v>
      </c>
      <c r="G7864" t="s">
        <v>32671</v>
      </c>
      <c r="H7864" t="s">
        <v>12635</v>
      </c>
      <c r="I7864" t="s">
        <v>32704</v>
      </c>
      <c r="J7864" t="s">
        <v>34182</v>
      </c>
      <c r="K7864" t="s">
        <v>42283</v>
      </c>
      <c r="M7864" t="s">
        <v>43960</v>
      </c>
      <c r="N7864" t="s">
        <v>46569</v>
      </c>
      <c r="O7864" t="s">
        <v>46570</v>
      </c>
      <c r="P7864">
        <v>0</v>
      </c>
      <c r="Q7864">
        <v>3</v>
      </c>
      <c r="R7864" t="s">
        <v>46574</v>
      </c>
      <c r="S7864" t="s">
        <v>46723</v>
      </c>
      <c r="T7864" t="s">
        <v>48562</v>
      </c>
      <c r="U7864" t="s">
        <v>55178</v>
      </c>
      <c r="W7864" t="s">
        <v>43960</v>
      </c>
      <c r="X7864" t="s">
        <v>46575</v>
      </c>
    </row>
    <row r="7865" spans="1:24">
      <c r="A7865">
        <f>HYPERLINK("https://www.philgeps.gov.ph/GEPSNONPILOT/Tender/SplashBidNoticeAbstractUI.aspx?menuIndex=3&amp;refID=7058765&amp;Result=3","7058765")</f>
        <v>0</v>
      </c>
      <c r="B7865" t="s">
        <v>1313</v>
      </c>
      <c r="C7865" t="s">
        <v>10986</v>
      </c>
      <c r="E7865" t="s">
        <v>25790</v>
      </c>
      <c r="F7865" t="s">
        <v>32664</v>
      </c>
      <c r="G7865" t="s">
        <v>32671</v>
      </c>
      <c r="H7865" t="s">
        <v>12635</v>
      </c>
      <c r="I7865" t="s">
        <v>32704</v>
      </c>
      <c r="J7865" t="s">
        <v>37626</v>
      </c>
      <c r="K7865" t="s">
        <v>42283</v>
      </c>
      <c r="M7865" t="s">
        <v>43960</v>
      </c>
      <c r="N7865" t="s">
        <v>46569</v>
      </c>
      <c r="O7865" t="s">
        <v>46570</v>
      </c>
      <c r="P7865">
        <v>0</v>
      </c>
      <c r="Q7865">
        <v>3</v>
      </c>
      <c r="R7865" t="s">
        <v>46574</v>
      </c>
      <c r="S7865" t="s">
        <v>46723</v>
      </c>
      <c r="T7865" t="s">
        <v>48562</v>
      </c>
      <c r="U7865" t="s">
        <v>55178</v>
      </c>
      <c r="W7865" t="s">
        <v>43960</v>
      </c>
      <c r="X7865" t="s">
        <v>46575</v>
      </c>
    </row>
    <row r="7866" spans="1:24">
      <c r="A7866">
        <f>HYPERLINK("https://www.philgeps.gov.ph/GEPSNONPILOT/Tender/SplashBidNoticeAbstractUI.aspx?menuIndex=3&amp;refID=7058809&amp;Result=3","7058809")</f>
        <v>0</v>
      </c>
      <c r="B7866" t="s">
        <v>964</v>
      </c>
      <c r="C7866" t="s">
        <v>10987</v>
      </c>
      <c r="D7866" t="s">
        <v>18786</v>
      </c>
      <c r="E7866" t="s">
        <v>25791</v>
      </c>
      <c r="F7866" t="s">
        <v>32664</v>
      </c>
      <c r="G7866" t="s">
        <v>32672</v>
      </c>
      <c r="H7866" t="s">
        <v>12635</v>
      </c>
      <c r="I7866" t="s">
        <v>9486</v>
      </c>
      <c r="J7866" t="s">
        <v>37627</v>
      </c>
      <c r="K7866" t="s">
        <v>42289</v>
      </c>
      <c r="M7866" t="s">
        <v>43572</v>
      </c>
      <c r="N7866" t="s">
        <v>46569</v>
      </c>
      <c r="O7866" t="s">
        <v>46570</v>
      </c>
      <c r="P7866">
        <v>0</v>
      </c>
      <c r="Q7866">
        <v>3</v>
      </c>
      <c r="R7866" t="s">
        <v>46574</v>
      </c>
      <c r="S7866" t="s">
        <v>46723</v>
      </c>
      <c r="T7866" t="s">
        <v>48298</v>
      </c>
      <c r="U7866" t="s">
        <v>55268</v>
      </c>
      <c r="W7866" t="s">
        <v>63499</v>
      </c>
      <c r="X7866" t="s">
        <v>46575</v>
      </c>
    </row>
    <row r="7867" spans="1:24">
      <c r="A7867">
        <f>HYPERLINK("https://www.philgeps.gov.ph/GEPSNONPILOT/Tender/SplashBidNoticeAbstractUI.aspx?menuIndex=3&amp;refID=7058778&amp;Result=3","7058778")</f>
        <v>0</v>
      </c>
      <c r="B7867" t="s">
        <v>1313</v>
      </c>
      <c r="C7867" t="s">
        <v>10988</v>
      </c>
      <c r="E7867" t="s">
        <v>25792</v>
      </c>
      <c r="F7867" t="s">
        <v>32664</v>
      </c>
      <c r="G7867" t="s">
        <v>32671</v>
      </c>
      <c r="H7867" t="s">
        <v>12635</v>
      </c>
      <c r="I7867" t="s">
        <v>32704</v>
      </c>
      <c r="J7867" t="s">
        <v>33520</v>
      </c>
      <c r="K7867" t="s">
        <v>42283</v>
      </c>
      <c r="M7867" t="s">
        <v>43960</v>
      </c>
      <c r="N7867" t="s">
        <v>46569</v>
      </c>
      <c r="O7867" t="s">
        <v>46570</v>
      </c>
      <c r="P7867">
        <v>0</v>
      </c>
      <c r="Q7867">
        <v>4</v>
      </c>
      <c r="R7867" t="s">
        <v>46574</v>
      </c>
      <c r="S7867" t="s">
        <v>46723</v>
      </c>
      <c r="T7867" t="s">
        <v>48562</v>
      </c>
      <c r="U7867" t="s">
        <v>55178</v>
      </c>
      <c r="W7867" t="s">
        <v>43960</v>
      </c>
      <c r="X7867" t="s">
        <v>46575</v>
      </c>
    </row>
    <row r="7868" spans="1:24">
      <c r="A7868">
        <f>HYPERLINK("https://www.philgeps.gov.ph/GEPSNONPILOT/Tender/SplashBidNoticeAbstractUI.aspx?menuIndex=3&amp;refID=7058770&amp;Result=3","7058770")</f>
        <v>0</v>
      </c>
      <c r="B7868" t="s">
        <v>528</v>
      </c>
      <c r="C7868" t="s">
        <v>10989</v>
      </c>
      <c r="D7868" t="s">
        <v>18803</v>
      </c>
      <c r="E7868" t="s">
        <v>25793</v>
      </c>
      <c r="F7868" t="s">
        <v>32664</v>
      </c>
      <c r="G7868" t="s">
        <v>32675</v>
      </c>
      <c r="H7868" t="s">
        <v>12635</v>
      </c>
      <c r="I7868" t="s">
        <v>6223</v>
      </c>
      <c r="J7868" t="s">
        <v>33051</v>
      </c>
      <c r="K7868" t="s">
        <v>42281</v>
      </c>
      <c r="M7868" t="s">
        <v>45146</v>
      </c>
      <c r="N7868" t="s">
        <v>46569</v>
      </c>
      <c r="O7868" t="s">
        <v>46570</v>
      </c>
      <c r="P7868">
        <v>0</v>
      </c>
      <c r="Q7868">
        <v>2</v>
      </c>
      <c r="R7868" t="s">
        <v>46574</v>
      </c>
      <c r="S7868" t="s">
        <v>46723</v>
      </c>
      <c r="T7868" t="s">
        <v>48283</v>
      </c>
      <c r="U7868" t="s">
        <v>55207</v>
      </c>
      <c r="W7868" t="s">
        <v>45146</v>
      </c>
      <c r="X7868" t="s">
        <v>46575</v>
      </c>
    </row>
    <row r="7869" spans="1:24">
      <c r="A7869">
        <f>HYPERLINK("https://www.philgeps.gov.ph/GEPSNONPILOT/Tender/SplashBidNoticeAbstractUI.aspx?menuIndex=3&amp;refID=7058744&amp;Result=3","7058744")</f>
        <v>0</v>
      </c>
      <c r="B7869" t="s">
        <v>1313</v>
      </c>
      <c r="C7869" t="s">
        <v>10990</v>
      </c>
      <c r="E7869" t="s">
        <v>25794</v>
      </c>
      <c r="F7869" t="s">
        <v>32664</v>
      </c>
      <c r="G7869" t="s">
        <v>32671</v>
      </c>
      <c r="H7869" t="s">
        <v>12635</v>
      </c>
      <c r="I7869" t="s">
        <v>32704</v>
      </c>
      <c r="J7869" t="s">
        <v>32917</v>
      </c>
      <c r="K7869" t="s">
        <v>42283</v>
      </c>
      <c r="M7869" t="s">
        <v>43960</v>
      </c>
      <c r="N7869" t="s">
        <v>46569</v>
      </c>
      <c r="O7869" t="s">
        <v>46570</v>
      </c>
      <c r="P7869">
        <v>0</v>
      </c>
      <c r="Q7869">
        <v>3</v>
      </c>
      <c r="R7869" t="s">
        <v>46574</v>
      </c>
      <c r="S7869" t="s">
        <v>46723</v>
      </c>
      <c r="T7869" t="s">
        <v>48562</v>
      </c>
      <c r="U7869" t="s">
        <v>55178</v>
      </c>
      <c r="W7869" t="s">
        <v>43960</v>
      </c>
      <c r="X7869" t="s">
        <v>46575</v>
      </c>
    </row>
    <row r="7870" spans="1:24">
      <c r="A7870">
        <f>HYPERLINK("https://www.philgeps.gov.ph/GEPSNONPILOT/Tender/SplashBidNoticeAbstractUI.aspx?menuIndex=3&amp;refID=7058743&amp;Result=3","7058743")</f>
        <v>0</v>
      </c>
      <c r="B7870" t="s">
        <v>2375</v>
      </c>
      <c r="C7870" t="s">
        <v>10991</v>
      </c>
      <c r="D7870" t="s">
        <v>18805</v>
      </c>
      <c r="E7870" t="s">
        <v>25795</v>
      </c>
      <c r="F7870" t="s">
        <v>32664</v>
      </c>
      <c r="G7870" t="s">
        <v>32672</v>
      </c>
      <c r="H7870" t="s">
        <v>12635</v>
      </c>
      <c r="I7870" t="s">
        <v>7703</v>
      </c>
      <c r="J7870" t="s">
        <v>33274</v>
      </c>
      <c r="K7870" t="s">
        <v>42306</v>
      </c>
      <c r="M7870" t="s">
        <v>45163</v>
      </c>
      <c r="N7870" t="s">
        <v>46569</v>
      </c>
      <c r="O7870" t="s">
        <v>46570</v>
      </c>
      <c r="P7870">
        <v>0</v>
      </c>
      <c r="Q7870">
        <v>0</v>
      </c>
      <c r="R7870" t="s">
        <v>46574</v>
      </c>
      <c r="S7870" t="s">
        <v>46723</v>
      </c>
      <c r="T7870" t="s">
        <v>48262</v>
      </c>
      <c r="U7870" t="s">
        <v>55269</v>
      </c>
      <c r="V7870" t="s">
        <v>62393</v>
      </c>
      <c r="W7870" t="s">
        <v>45163</v>
      </c>
      <c r="X7870" t="s">
        <v>46575</v>
      </c>
    </row>
    <row r="7871" spans="1:24">
      <c r="A7871">
        <f>HYPERLINK("https://www.philgeps.gov.ph/GEPSNONPILOT/Tender/SplashBidNoticeAbstractUI.aspx?menuIndex=3&amp;refID=7058805&amp;Result=3","7058805")</f>
        <v>0</v>
      </c>
      <c r="B7871" t="s">
        <v>528</v>
      </c>
      <c r="C7871" t="s">
        <v>10992</v>
      </c>
      <c r="D7871" t="s">
        <v>18838</v>
      </c>
      <c r="E7871" t="s">
        <v>25796</v>
      </c>
      <c r="F7871" t="s">
        <v>32664</v>
      </c>
      <c r="G7871" t="s">
        <v>32675</v>
      </c>
      <c r="H7871" t="s">
        <v>12635</v>
      </c>
      <c r="I7871" t="s">
        <v>6223</v>
      </c>
      <c r="J7871" t="s">
        <v>37628</v>
      </c>
      <c r="K7871" t="s">
        <v>42289</v>
      </c>
      <c r="M7871" t="s">
        <v>45146</v>
      </c>
      <c r="N7871" t="s">
        <v>46569</v>
      </c>
      <c r="O7871" t="s">
        <v>46570</v>
      </c>
      <c r="P7871">
        <v>0</v>
      </c>
      <c r="Q7871">
        <v>9</v>
      </c>
      <c r="R7871" t="s">
        <v>46574</v>
      </c>
      <c r="S7871" t="s">
        <v>46723</v>
      </c>
      <c r="T7871" t="s">
        <v>48283</v>
      </c>
      <c r="U7871" t="s">
        <v>55207</v>
      </c>
      <c r="W7871" t="s">
        <v>45146</v>
      </c>
      <c r="X7871" t="s">
        <v>46575</v>
      </c>
    </row>
    <row r="7872" spans="1:24">
      <c r="A7872">
        <f>HYPERLINK("https://www.philgeps.gov.ph/GEPSNONPILOT/Tender/SplashBidNoticeAbstractUI.aspx?menuIndex=3&amp;refID=7058840&amp;Result=3","7058840")</f>
        <v>0</v>
      </c>
      <c r="B7872" t="s">
        <v>629</v>
      </c>
      <c r="C7872" t="s">
        <v>10993</v>
      </c>
      <c r="D7872" t="s">
        <v>18782</v>
      </c>
      <c r="E7872" t="s">
        <v>25797</v>
      </c>
      <c r="F7872" t="s">
        <v>32664</v>
      </c>
      <c r="G7872" t="s">
        <v>32674</v>
      </c>
      <c r="H7872" t="s">
        <v>12635</v>
      </c>
      <c r="I7872" t="s">
        <v>6223</v>
      </c>
      <c r="J7872" t="s">
        <v>37629</v>
      </c>
      <c r="K7872" t="s">
        <v>42283</v>
      </c>
      <c r="M7872" t="s">
        <v>43211</v>
      </c>
      <c r="N7872" t="s">
        <v>46569</v>
      </c>
      <c r="O7872" t="s">
        <v>46570</v>
      </c>
      <c r="P7872">
        <v>0</v>
      </c>
      <c r="Q7872">
        <v>0</v>
      </c>
      <c r="R7872" t="s">
        <v>46574</v>
      </c>
      <c r="S7872" t="s">
        <v>46723</v>
      </c>
      <c r="T7872" t="s">
        <v>48290</v>
      </c>
      <c r="U7872" t="s">
        <v>55270</v>
      </c>
      <c r="W7872" t="s">
        <v>43211</v>
      </c>
      <c r="X7872" t="s">
        <v>46575</v>
      </c>
    </row>
    <row r="7873" spans="1:24">
      <c r="A7873">
        <f>HYPERLINK("https://www.philgeps.gov.ph/GEPSNONPILOT/Tender/SplashBidNoticeAbstractUI.aspx?menuIndex=3&amp;refID=7058742&amp;Result=3","7058742")</f>
        <v>0</v>
      </c>
      <c r="B7873" t="s">
        <v>352</v>
      </c>
      <c r="C7873" t="s">
        <v>10994</v>
      </c>
      <c r="E7873" t="s">
        <v>25798</v>
      </c>
      <c r="F7873" t="s">
        <v>32664</v>
      </c>
      <c r="G7873" t="s">
        <v>32672</v>
      </c>
      <c r="H7873" t="s">
        <v>12635</v>
      </c>
      <c r="I7873" t="s">
        <v>32779</v>
      </c>
      <c r="J7873" t="s">
        <v>32943</v>
      </c>
      <c r="K7873" t="s">
        <v>42283</v>
      </c>
      <c r="M7873" t="s">
        <v>45154</v>
      </c>
      <c r="N7873" t="s">
        <v>46569</v>
      </c>
      <c r="O7873" t="s">
        <v>46570</v>
      </c>
      <c r="P7873">
        <v>0</v>
      </c>
      <c r="Q7873">
        <v>0</v>
      </c>
      <c r="R7873" t="s">
        <v>46574</v>
      </c>
      <c r="S7873" t="s">
        <v>46723</v>
      </c>
      <c r="T7873" t="s">
        <v>48349</v>
      </c>
      <c r="U7873" t="s">
        <v>55271</v>
      </c>
      <c r="V7873" t="s">
        <v>62388</v>
      </c>
      <c r="W7873" t="s">
        <v>45154</v>
      </c>
      <c r="X7873" t="s">
        <v>46575</v>
      </c>
    </row>
    <row r="7874" spans="1:24">
      <c r="A7874">
        <f>HYPERLINK("https://www.philgeps.gov.ph/GEPSNONPILOT/Tender/SplashBidNoticeAbstractUI.aspx?menuIndex=3&amp;refID=7058746&amp;Result=3","7058746")</f>
        <v>0</v>
      </c>
      <c r="B7874" t="s">
        <v>1313</v>
      </c>
      <c r="C7874" t="s">
        <v>10995</v>
      </c>
      <c r="E7874" t="s">
        <v>25799</v>
      </c>
      <c r="F7874" t="s">
        <v>32664</v>
      </c>
      <c r="G7874" t="s">
        <v>32671</v>
      </c>
      <c r="H7874" t="s">
        <v>12635</v>
      </c>
      <c r="I7874" t="s">
        <v>32704</v>
      </c>
      <c r="J7874" t="s">
        <v>33051</v>
      </c>
      <c r="K7874" t="s">
        <v>42283</v>
      </c>
      <c r="M7874" t="s">
        <v>43960</v>
      </c>
      <c r="N7874" t="s">
        <v>46569</v>
      </c>
      <c r="O7874" t="s">
        <v>46570</v>
      </c>
      <c r="P7874">
        <v>0</v>
      </c>
      <c r="Q7874">
        <v>3</v>
      </c>
      <c r="R7874" t="s">
        <v>46574</v>
      </c>
      <c r="S7874" t="s">
        <v>46723</v>
      </c>
      <c r="T7874" t="s">
        <v>48562</v>
      </c>
      <c r="U7874" t="s">
        <v>55178</v>
      </c>
      <c r="W7874" t="s">
        <v>43960</v>
      </c>
      <c r="X7874" t="s">
        <v>46575</v>
      </c>
    </row>
    <row r="7875" spans="1:24">
      <c r="A7875">
        <f>HYPERLINK("https://www.philgeps.gov.ph/GEPSNONPILOT/Tender/SplashBidNoticeAbstractUI.aspx?menuIndex=3&amp;refID=7058864&amp;Result=3","7058864")</f>
        <v>0</v>
      </c>
      <c r="B7875" t="s">
        <v>609</v>
      </c>
      <c r="C7875" t="s">
        <v>10996</v>
      </c>
      <c r="D7875" t="s">
        <v>18792</v>
      </c>
      <c r="E7875" t="s">
        <v>25800</v>
      </c>
      <c r="F7875" t="s">
        <v>32664</v>
      </c>
      <c r="G7875" t="s">
        <v>32672</v>
      </c>
      <c r="H7875" t="s">
        <v>32683</v>
      </c>
      <c r="I7875" t="s">
        <v>10627</v>
      </c>
      <c r="J7875" t="s">
        <v>32865</v>
      </c>
      <c r="K7875" t="s">
        <v>42305</v>
      </c>
      <c r="M7875" t="s">
        <v>43189</v>
      </c>
      <c r="N7875" t="s">
        <v>46569</v>
      </c>
      <c r="O7875" t="s">
        <v>46570</v>
      </c>
      <c r="P7875">
        <v>0</v>
      </c>
      <c r="Q7875">
        <v>0</v>
      </c>
      <c r="R7875" t="s">
        <v>46574</v>
      </c>
      <c r="S7875" t="s">
        <v>46723</v>
      </c>
      <c r="T7875" t="s">
        <v>48304</v>
      </c>
      <c r="U7875" t="s">
        <v>55272</v>
      </c>
      <c r="W7875" t="s">
        <v>43189</v>
      </c>
      <c r="X7875" t="s">
        <v>46575</v>
      </c>
    </row>
    <row r="7876" spans="1:24">
      <c r="A7876">
        <f>HYPERLINK("https://www.philgeps.gov.ph/GEPSNONPILOT/Tender/SplashBidNoticeAbstractUI.aspx?menuIndex=3&amp;refID=7058860&amp;Result=3","7058860")</f>
        <v>0</v>
      </c>
      <c r="B7876" t="s">
        <v>609</v>
      </c>
      <c r="C7876" t="s">
        <v>10997</v>
      </c>
      <c r="D7876" t="s">
        <v>18792</v>
      </c>
      <c r="E7876" t="s">
        <v>25801</v>
      </c>
      <c r="F7876" t="s">
        <v>32664</v>
      </c>
      <c r="G7876" t="s">
        <v>32672</v>
      </c>
      <c r="H7876" t="s">
        <v>32682</v>
      </c>
      <c r="I7876" t="s">
        <v>32721</v>
      </c>
      <c r="J7876" t="s">
        <v>37630</v>
      </c>
      <c r="K7876" t="s">
        <v>42281</v>
      </c>
      <c r="M7876" t="s">
        <v>43189</v>
      </c>
      <c r="N7876" t="s">
        <v>46569</v>
      </c>
      <c r="O7876" t="s">
        <v>46570</v>
      </c>
      <c r="P7876">
        <v>0</v>
      </c>
      <c r="Q7876">
        <v>0</v>
      </c>
      <c r="R7876" t="s">
        <v>46574</v>
      </c>
      <c r="S7876" t="s">
        <v>46723</v>
      </c>
      <c r="T7876" t="s">
        <v>48304</v>
      </c>
      <c r="U7876" t="s">
        <v>55273</v>
      </c>
      <c r="W7876" t="s">
        <v>43189</v>
      </c>
      <c r="X7876" t="s">
        <v>46575</v>
      </c>
    </row>
    <row r="7877" spans="1:24">
      <c r="A7877">
        <f>HYPERLINK("https://www.philgeps.gov.ph/GEPSNONPILOT/Tender/SplashBidNoticeAbstractUI.aspx?menuIndex=3&amp;refID=7058863&amp;Result=3","7058863")</f>
        <v>0</v>
      </c>
      <c r="B7877" t="s">
        <v>609</v>
      </c>
      <c r="C7877" t="s">
        <v>10998</v>
      </c>
      <c r="D7877" t="s">
        <v>18792</v>
      </c>
      <c r="E7877" t="s">
        <v>25125</v>
      </c>
      <c r="F7877" t="s">
        <v>32664</v>
      </c>
      <c r="G7877" t="s">
        <v>32672</v>
      </c>
      <c r="H7877" t="s">
        <v>32683</v>
      </c>
      <c r="I7877" t="s">
        <v>10627</v>
      </c>
      <c r="J7877" t="s">
        <v>32865</v>
      </c>
      <c r="K7877" t="s">
        <v>42305</v>
      </c>
      <c r="M7877" t="s">
        <v>43189</v>
      </c>
      <c r="N7877" t="s">
        <v>46569</v>
      </c>
      <c r="O7877" t="s">
        <v>46570</v>
      </c>
      <c r="P7877">
        <v>0</v>
      </c>
      <c r="Q7877">
        <v>0</v>
      </c>
      <c r="R7877" t="s">
        <v>46574</v>
      </c>
      <c r="S7877" t="s">
        <v>46723</v>
      </c>
      <c r="T7877" t="s">
        <v>48304</v>
      </c>
      <c r="U7877" t="s">
        <v>55274</v>
      </c>
      <c r="W7877" t="s">
        <v>43189</v>
      </c>
      <c r="X7877" t="s">
        <v>46575</v>
      </c>
    </row>
    <row r="7878" spans="1:24">
      <c r="A7878">
        <f>HYPERLINK("https://www.philgeps.gov.ph/GEPSNONPILOT/Tender/SplashBidNoticeAbstractUI.aspx?menuIndex=3&amp;refID=7058819&amp;Result=3","7058819")</f>
        <v>0</v>
      </c>
      <c r="B7878" t="s">
        <v>1732</v>
      </c>
      <c r="C7878" t="s">
        <v>10999</v>
      </c>
      <c r="D7878" t="s">
        <v>18784</v>
      </c>
      <c r="E7878" t="s">
        <v>25778</v>
      </c>
      <c r="F7878" t="s">
        <v>32664</v>
      </c>
      <c r="G7878" t="s">
        <v>32671</v>
      </c>
      <c r="H7878" t="s">
        <v>12635</v>
      </c>
      <c r="I7878" t="s">
        <v>5501</v>
      </c>
      <c r="J7878" t="s">
        <v>37631</v>
      </c>
      <c r="K7878" t="s">
        <v>42297</v>
      </c>
      <c r="M7878" t="s">
        <v>44431</v>
      </c>
      <c r="N7878" t="s">
        <v>46569</v>
      </c>
      <c r="O7878" t="s">
        <v>46570</v>
      </c>
      <c r="P7878">
        <v>0</v>
      </c>
      <c r="Q7878">
        <v>7</v>
      </c>
      <c r="R7878" t="s">
        <v>46574</v>
      </c>
      <c r="S7878" t="s">
        <v>46723</v>
      </c>
      <c r="T7878" t="s">
        <v>48228</v>
      </c>
      <c r="U7878" t="s">
        <v>55275</v>
      </c>
      <c r="W7878" t="s">
        <v>44431</v>
      </c>
      <c r="X7878" t="s">
        <v>46575</v>
      </c>
    </row>
    <row r="7879" spans="1:24">
      <c r="A7879">
        <f>HYPERLINK("https://www.philgeps.gov.ph/GEPSNONPILOT/Tender/SplashBidNoticeAbstractUI.aspx?menuIndex=3&amp;refID=7058857&amp;Result=3","7058857")</f>
        <v>0</v>
      </c>
      <c r="B7879" t="s">
        <v>2376</v>
      </c>
      <c r="C7879" t="s">
        <v>11000</v>
      </c>
      <c r="D7879" t="s">
        <v>18803</v>
      </c>
      <c r="E7879" t="s">
        <v>21047</v>
      </c>
      <c r="F7879" t="s">
        <v>32664</v>
      </c>
      <c r="G7879" t="s">
        <v>32675</v>
      </c>
      <c r="H7879" t="s">
        <v>12635</v>
      </c>
      <c r="I7879" t="s">
        <v>6168</v>
      </c>
      <c r="J7879" t="s">
        <v>33820</v>
      </c>
      <c r="K7879" t="s">
        <v>42283</v>
      </c>
      <c r="M7879" t="s">
        <v>45164</v>
      </c>
      <c r="N7879" t="s">
        <v>46569</v>
      </c>
      <c r="O7879" t="s">
        <v>46570</v>
      </c>
      <c r="P7879">
        <v>0</v>
      </c>
      <c r="Q7879">
        <v>5</v>
      </c>
      <c r="R7879" t="s">
        <v>46574</v>
      </c>
      <c r="S7879" t="s">
        <v>46723</v>
      </c>
      <c r="T7879" t="s">
        <v>48219</v>
      </c>
      <c r="U7879" t="s">
        <v>55276</v>
      </c>
      <c r="W7879" t="s">
        <v>45164</v>
      </c>
      <c r="X7879" t="s">
        <v>46575</v>
      </c>
    </row>
    <row r="7880" spans="1:24">
      <c r="A7880">
        <f>HYPERLINK("https://www.philgeps.gov.ph/GEPSNONPILOT/Tender/SplashBidNoticeAbstractUI.aspx?menuIndex=3&amp;refID=7058856&amp;Result=3","7058856")</f>
        <v>0</v>
      </c>
      <c r="B7880" t="s">
        <v>609</v>
      </c>
      <c r="C7880" t="s">
        <v>11001</v>
      </c>
      <c r="D7880" t="s">
        <v>18792</v>
      </c>
      <c r="E7880" t="s">
        <v>25802</v>
      </c>
      <c r="F7880" t="s">
        <v>32664</v>
      </c>
      <c r="G7880" t="s">
        <v>32672</v>
      </c>
      <c r="H7880" t="s">
        <v>12635</v>
      </c>
      <c r="I7880" t="s">
        <v>4439</v>
      </c>
      <c r="J7880" t="s">
        <v>37632</v>
      </c>
      <c r="K7880" t="s">
        <v>42298</v>
      </c>
      <c r="M7880" t="s">
        <v>43189</v>
      </c>
      <c r="N7880" t="s">
        <v>46569</v>
      </c>
      <c r="O7880" t="s">
        <v>46570</v>
      </c>
      <c r="P7880">
        <v>0</v>
      </c>
      <c r="Q7880">
        <v>0</v>
      </c>
      <c r="R7880" t="s">
        <v>46574</v>
      </c>
      <c r="S7880" t="s">
        <v>46723</v>
      </c>
      <c r="T7880" t="s">
        <v>48304</v>
      </c>
      <c r="U7880" t="s">
        <v>55277</v>
      </c>
      <c r="W7880" t="s">
        <v>43189</v>
      </c>
      <c r="X7880" t="s">
        <v>46575</v>
      </c>
    </row>
    <row r="7881" spans="1:24">
      <c r="A7881">
        <f>HYPERLINK("https://www.philgeps.gov.ph/GEPSNONPILOT/Tender/SplashBidNoticeAbstractUI.aspx?menuIndex=3&amp;refID=7058779&amp;Result=3","7058779")</f>
        <v>0</v>
      </c>
      <c r="B7881" t="s">
        <v>629</v>
      </c>
      <c r="C7881" t="s">
        <v>11002</v>
      </c>
      <c r="D7881" t="s">
        <v>18782</v>
      </c>
      <c r="E7881" t="s">
        <v>25803</v>
      </c>
      <c r="F7881" t="s">
        <v>32664</v>
      </c>
      <c r="G7881" t="s">
        <v>32671</v>
      </c>
      <c r="H7881" t="s">
        <v>12635</v>
      </c>
      <c r="I7881" t="s">
        <v>32745</v>
      </c>
      <c r="J7881" t="s">
        <v>34285</v>
      </c>
      <c r="K7881" t="s">
        <v>42283</v>
      </c>
      <c r="M7881" t="s">
        <v>43211</v>
      </c>
      <c r="N7881" t="s">
        <v>46569</v>
      </c>
      <c r="O7881" t="s">
        <v>46570</v>
      </c>
      <c r="P7881">
        <v>0</v>
      </c>
      <c r="Q7881">
        <v>0</v>
      </c>
      <c r="R7881" t="s">
        <v>46574</v>
      </c>
      <c r="S7881" t="s">
        <v>46723</v>
      </c>
      <c r="T7881" t="s">
        <v>48449</v>
      </c>
      <c r="U7881" t="s">
        <v>55278</v>
      </c>
      <c r="W7881" t="s">
        <v>43211</v>
      </c>
      <c r="X7881" t="s">
        <v>46575</v>
      </c>
    </row>
    <row r="7882" spans="1:24">
      <c r="A7882">
        <f>HYPERLINK("https://www.philgeps.gov.ph/GEPSNONPILOT/Tender/SplashBidNoticeAbstractUI.aspx?menuIndex=3&amp;refID=7058865&amp;Result=3","7058865")</f>
        <v>0</v>
      </c>
      <c r="B7882" t="s">
        <v>980</v>
      </c>
      <c r="C7882" t="s">
        <v>11003</v>
      </c>
      <c r="D7882" t="s">
        <v>18816</v>
      </c>
      <c r="E7882" t="s">
        <v>25804</v>
      </c>
      <c r="F7882" t="s">
        <v>32664</v>
      </c>
      <c r="G7882" t="s">
        <v>32672</v>
      </c>
      <c r="H7882" t="s">
        <v>32683</v>
      </c>
      <c r="I7882" t="s">
        <v>10627</v>
      </c>
      <c r="J7882" t="s">
        <v>33150</v>
      </c>
      <c r="K7882" t="s">
        <v>42305</v>
      </c>
      <c r="M7882" t="s">
        <v>43589</v>
      </c>
      <c r="N7882" t="s">
        <v>46569</v>
      </c>
      <c r="O7882" t="s">
        <v>46570</v>
      </c>
      <c r="P7882">
        <v>0</v>
      </c>
      <c r="Q7882">
        <v>0</v>
      </c>
      <c r="R7882" t="s">
        <v>46574</v>
      </c>
      <c r="S7882" t="s">
        <v>46723</v>
      </c>
      <c r="T7882" t="s">
        <v>48302</v>
      </c>
      <c r="U7882" t="s">
        <v>55279</v>
      </c>
      <c r="W7882" t="s">
        <v>46552</v>
      </c>
      <c r="X7882" t="s">
        <v>46575</v>
      </c>
    </row>
    <row r="7883" spans="1:24">
      <c r="A7883">
        <f>HYPERLINK("https://www.philgeps.gov.ph/GEPSNONPILOT/Tender/SplashBidNoticeAbstractUI.aspx?menuIndex=3&amp;refID=7058855&amp;Result=3","7058855")</f>
        <v>0</v>
      </c>
      <c r="B7883" t="s">
        <v>1122</v>
      </c>
      <c r="C7883" t="s">
        <v>11004</v>
      </c>
      <c r="D7883" t="s">
        <v>18858</v>
      </c>
      <c r="E7883" t="s">
        <v>25805</v>
      </c>
      <c r="F7883" t="s">
        <v>32664</v>
      </c>
      <c r="G7883" t="s">
        <v>32672</v>
      </c>
      <c r="H7883" t="s">
        <v>12635</v>
      </c>
      <c r="I7883" t="s">
        <v>8797</v>
      </c>
      <c r="J7883" t="s">
        <v>37633</v>
      </c>
      <c r="K7883" t="s">
        <v>42281</v>
      </c>
      <c r="M7883" t="s">
        <v>44424</v>
      </c>
      <c r="N7883" t="s">
        <v>46569</v>
      </c>
      <c r="O7883" t="s">
        <v>46570</v>
      </c>
      <c r="P7883">
        <v>0</v>
      </c>
      <c r="Q7883">
        <v>25</v>
      </c>
      <c r="R7883" t="s">
        <v>46574</v>
      </c>
      <c r="S7883" t="s">
        <v>46723</v>
      </c>
      <c r="T7883" t="s">
        <v>48270</v>
      </c>
      <c r="U7883" t="s">
        <v>55280</v>
      </c>
      <c r="W7883" t="s">
        <v>44424</v>
      </c>
      <c r="X7883" t="s">
        <v>46575</v>
      </c>
    </row>
    <row r="7884" spans="1:24">
      <c r="A7884">
        <f>HYPERLINK("https://www.philgeps.gov.ph/GEPSNONPILOT/Tender/SplashBidNoticeAbstractUI.aspx?menuIndex=3&amp;refID=7058854&amp;Result=3","7058854")</f>
        <v>0</v>
      </c>
      <c r="B7884" t="s">
        <v>2377</v>
      </c>
      <c r="C7884" t="s">
        <v>11005</v>
      </c>
      <c r="D7884" t="s">
        <v>18784</v>
      </c>
      <c r="E7884" t="s">
        <v>23255</v>
      </c>
      <c r="F7884" t="s">
        <v>32664</v>
      </c>
      <c r="G7884" t="s">
        <v>32672</v>
      </c>
      <c r="H7884" t="s">
        <v>12635</v>
      </c>
      <c r="I7884" t="s">
        <v>6223</v>
      </c>
      <c r="J7884" t="s">
        <v>37634</v>
      </c>
      <c r="K7884" t="s">
        <v>42309</v>
      </c>
      <c r="M7884" t="s">
        <v>45165</v>
      </c>
      <c r="N7884" t="s">
        <v>46569</v>
      </c>
      <c r="O7884" t="s">
        <v>46570</v>
      </c>
      <c r="P7884">
        <v>0</v>
      </c>
      <c r="Q7884">
        <v>4</v>
      </c>
      <c r="R7884" t="s">
        <v>46574</v>
      </c>
      <c r="S7884" t="s">
        <v>46723</v>
      </c>
      <c r="T7884" t="s">
        <v>48298</v>
      </c>
      <c r="U7884" t="s">
        <v>55281</v>
      </c>
      <c r="W7884" t="s">
        <v>45165</v>
      </c>
      <c r="X7884" t="s">
        <v>46575</v>
      </c>
    </row>
    <row r="7885" spans="1:24">
      <c r="A7885">
        <f>HYPERLINK("https://www.philgeps.gov.ph/GEPSNONPILOT/Tender/SplashBidNoticeAbstractUI.aspx?menuIndex=3&amp;refID=7058853&amp;Result=3","7058853")</f>
        <v>0</v>
      </c>
      <c r="B7885" t="s">
        <v>964</v>
      </c>
      <c r="C7885" t="s">
        <v>11006</v>
      </c>
      <c r="D7885" t="s">
        <v>18786</v>
      </c>
      <c r="E7885" t="s">
        <v>25806</v>
      </c>
      <c r="F7885" t="s">
        <v>32664</v>
      </c>
      <c r="G7885" t="s">
        <v>32672</v>
      </c>
      <c r="H7885" t="s">
        <v>12635</v>
      </c>
      <c r="I7885" t="s">
        <v>6628</v>
      </c>
      <c r="J7885" t="s">
        <v>35727</v>
      </c>
      <c r="K7885" t="s">
        <v>42289</v>
      </c>
      <c r="M7885" t="s">
        <v>43572</v>
      </c>
      <c r="N7885" t="s">
        <v>46569</v>
      </c>
      <c r="O7885" t="s">
        <v>46570</v>
      </c>
      <c r="P7885">
        <v>0</v>
      </c>
      <c r="Q7885">
        <v>2</v>
      </c>
      <c r="R7885" t="s">
        <v>46574</v>
      </c>
      <c r="S7885" t="s">
        <v>46723</v>
      </c>
      <c r="T7885" t="s">
        <v>48298</v>
      </c>
      <c r="U7885" t="s">
        <v>55282</v>
      </c>
      <c r="W7885" t="s">
        <v>63499</v>
      </c>
      <c r="X7885" t="s">
        <v>46575</v>
      </c>
    </row>
    <row r="7886" spans="1:24">
      <c r="A7886">
        <f>HYPERLINK("https://www.philgeps.gov.ph/GEPSNONPILOT/Tender/SplashBidNoticeAbstractUI.aspx?menuIndex=3&amp;refID=7058849&amp;Result=3","7058849")</f>
        <v>0</v>
      </c>
      <c r="B7886" t="s">
        <v>964</v>
      </c>
      <c r="C7886" t="s">
        <v>11007</v>
      </c>
      <c r="D7886" t="s">
        <v>18786</v>
      </c>
      <c r="E7886" t="s">
        <v>25807</v>
      </c>
      <c r="F7886" t="s">
        <v>32664</v>
      </c>
      <c r="G7886" t="s">
        <v>32672</v>
      </c>
      <c r="H7886" t="s">
        <v>12635</v>
      </c>
      <c r="I7886" t="s">
        <v>5589</v>
      </c>
      <c r="J7886" t="s">
        <v>33466</v>
      </c>
      <c r="K7886" t="s">
        <v>42289</v>
      </c>
      <c r="M7886" t="s">
        <v>43572</v>
      </c>
      <c r="N7886" t="s">
        <v>46569</v>
      </c>
      <c r="O7886" t="s">
        <v>46570</v>
      </c>
      <c r="P7886">
        <v>0</v>
      </c>
      <c r="Q7886">
        <v>1</v>
      </c>
      <c r="R7886" t="s">
        <v>46574</v>
      </c>
      <c r="S7886" t="s">
        <v>46723</v>
      </c>
      <c r="T7886" t="s">
        <v>48298</v>
      </c>
      <c r="U7886" t="s">
        <v>55283</v>
      </c>
      <c r="W7886" t="s">
        <v>63499</v>
      </c>
      <c r="X7886" t="s">
        <v>46575</v>
      </c>
    </row>
    <row r="7887" spans="1:24">
      <c r="A7887">
        <f>HYPERLINK("https://www.philgeps.gov.ph/GEPSNONPILOT/Tender/SplashBidNoticeAbstractUI.aspx?menuIndex=3&amp;refID=7058862&amp;Result=3","7058862")</f>
        <v>0</v>
      </c>
      <c r="B7887" t="s">
        <v>609</v>
      </c>
      <c r="C7887" t="s">
        <v>11008</v>
      </c>
      <c r="D7887" t="s">
        <v>18792</v>
      </c>
      <c r="E7887" t="s">
        <v>25808</v>
      </c>
      <c r="F7887" t="s">
        <v>32664</v>
      </c>
      <c r="G7887" t="s">
        <v>32672</v>
      </c>
      <c r="H7887" t="s">
        <v>32683</v>
      </c>
      <c r="I7887" t="s">
        <v>10627</v>
      </c>
      <c r="J7887" t="s">
        <v>37635</v>
      </c>
      <c r="K7887" t="s">
        <v>42281</v>
      </c>
      <c r="M7887" t="s">
        <v>43189</v>
      </c>
      <c r="N7887" t="s">
        <v>46569</v>
      </c>
      <c r="O7887" t="s">
        <v>46570</v>
      </c>
      <c r="P7887">
        <v>0</v>
      </c>
      <c r="Q7887">
        <v>0</v>
      </c>
      <c r="R7887" t="s">
        <v>46574</v>
      </c>
      <c r="S7887" t="s">
        <v>46723</v>
      </c>
      <c r="T7887" t="s">
        <v>48304</v>
      </c>
      <c r="U7887" t="s">
        <v>55284</v>
      </c>
      <c r="W7887" t="s">
        <v>43189</v>
      </c>
      <c r="X7887" t="s">
        <v>46575</v>
      </c>
    </row>
    <row r="7888" spans="1:24">
      <c r="A7888">
        <f>HYPERLINK("https://www.philgeps.gov.ph/GEPSNONPILOT/Tender/SplashBidNoticeAbstractUI.aspx?menuIndex=3&amp;refID=7058896&amp;Result=3","7058896")</f>
        <v>0</v>
      </c>
      <c r="B7888" t="s">
        <v>2174</v>
      </c>
      <c r="C7888" t="s">
        <v>11009</v>
      </c>
      <c r="D7888" t="s">
        <v>18849</v>
      </c>
      <c r="E7888" t="s">
        <v>25809</v>
      </c>
      <c r="F7888" t="s">
        <v>32664</v>
      </c>
      <c r="G7888" t="s">
        <v>32672</v>
      </c>
      <c r="H7888" t="s">
        <v>32683</v>
      </c>
      <c r="I7888" t="s">
        <v>10627</v>
      </c>
      <c r="J7888" t="s">
        <v>37636</v>
      </c>
      <c r="K7888" t="s">
        <v>42311</v>
      </c>
      <c r="M7888" t="s">
        <v>44934</v>
      </c>
      <c r="N7888" t="s">
        <v>46569</v>
      </c>
      <c r="O7888" t="s">
        <v>46570</v>
      </c>
      <c r="P7888">
        <v>0</v>
      </c>
      <c r="Q7888">
        <v>0</v>
      </c>
      <c r="R7888" t="s">
        <v>46574</v>
      </c>
      <c r="S7888" t="s">
        <v>46723</v>
      </c>
      <c r="T7888" t="s">
        <v>48293</v>
      </c>
      <c r="U7888" t="s">
        <v>55285</v>
      </c>
      <c r="W7888" t="s">
        <v>44934</v>
      </c>
      <c r="X7888" t="s">
        <v>46575</v>
      </c>
    </row>
    <row r="7889" spans="1:24">
      <c r="A7889">
        <f>HYPERLINK("https://www.philgeps.gov.ph/GEPSNONPILOT/Tender/SplashBidNoticeAbstractUI.aspx?menuIndex=3&amp;refID=7058893&amp;Result=3","7058893")</f>
        <v>0</v>
      </c>
      <c r="B7889" t="s">
        <v>2174</v>
      </c>
      <c r="C7889" t="s">
        <v>11010</v>
      </c>
      <c r="D7889" t="s">
        <v>18849</v>
      </c>
      <c r="E7889" t="s">
        <v>25810</v>
      </c>
      <c r="F7889" t="s">
        <v>32664</v>
      </c>
      <c r="G7889" t="s">
        <v>32672</v>
      </c>
      <c r="H7889" t="s">
        <v>32683</v>
      </c>
      <c r="I7889" t="s">
        <v>10627</v>
      </c>
      <c r="J7889" t="s">
        <v>32837</v>
      </c>
      <c r="K7889" t="s">
        <v>42369</v>
      </c>
      <c r="M7889" t="s">
        <v>44934</v>
      </c>
      <c r="N7889" t="s">
        <v>46569</v>
      </c>
      <c r="O7889" t="s">
        <v>46570</v>
      </c>
      <c r="P7889">
        <v>0</v>
      </c>
      <c r="Q7889">
        <v>0</v>
      </c>
      <c r="R7889" t="s">
        <v>46574</v>
      </c>
      <c r="S7889" t="s">
        <v>46723</v>
      </c>
      <c r="T7889" t="s">
        <v>48293</v>
      </c>
      <c r="U7889" t="s">
        <v>55286</v>
      </c>
      <c r="W7889" t="s">
        <v>44934</v>
      </c>
      <c r="X7889" t="s">
        <v>46575</v>
      </c>
    </row>
    <row r="7890" spans="1:24">
      <c r="A7890">
        <f>HYPERLINK("https://www.philgeps.gov.ph/GEPSNONPILOT/Tender/SplashBidNoticeAbstractUI.aspx?menuIndex=3&amp;refID=7058895&amp;Result=3","7058895")</f>
        <v>0</v>
      </c>
      <c r="B7890" t="s">
        <v>1313</v>
      </c>
      <c r="C7890" t="s">
        <v>11011</v>
      </c>
      <c r="E7890" t="s">
        <v>25811</v>
      </c>
      <c r="F7890" t="s">
        <v>32664</v>
      </c>
      <c r="G7890" t="s">
        <v>32671</v>
      </c>
      <c r="H7890" t="s">
        <v>12635</v>
      </c>
      <c r="I7890" t="s">
        <v>32729</v>
      </c>
      <c r="J7890" t="s">
        <v>33360</v>
      </c>
      <c r="K7890" t="s">
        <v>42283</v>
      </c>
      <c r="M7890" t="s">
        <v>43960</v>
      </c>
      <c r="N7890" t="s">
        <v>46569</v>
      </c>
      <c r="O7890" t="s">
        <v>46570</v>
      </c>
      <c r="P7890">
        <v>0</v>
      </c>
      <c r="Q7890">
        <v>0</v>
      </c>
      <c r="R7890" t="s">
        <v>46574</v>
      </c>
      <c r="S7890" t="s">
        <v>46723</v>
      </c>
      <c r="T7890" t="s">
        <v>48562</v>
      </c>
      <c r="U7890" t="s">
        <v>55178</v>
      </c>
      <c r="W7890" t="s">
        <v>43960</v>
      </c>
      <c r="X7890" t="s">
        <v>46575</v>
      </c>
    </row>
    <row r="7891" spans="1:24">
      <c r="A7891">
        <f>HYPERLINK("https://www.philgeps.gov.ph/GEPSNONPILOT/Tender/SplashBidNoticeAbstractUI.aspx?menuIndex=3&amp;refID=7058880&amp;Result=3","7058880")</f>
        <v>0</v>
      </c>
      <c r="B7891" t="s">
        <v>2378</v>
      </c>
      <c r="C7891" t="s">
        <v>11012</v>
      </c>
      <c r="D7891" t="s">
        <v>18831</v>
      </c>
      <c r="E7891" t="s">
        <v>25812</v>
      </c>
      <c r="F7891" t="s">
        <v>32664</v>
      </c>
      <c r="G7891" t="s">
        <v>32671</v>
      </c>
      <c r="H7891" t="s">
        <v>12635</v>
      </c>
      <c r="I7891" t="s">
        <v>10590</v>
      </c>
      <c r="J7891" t="s">
        <v>37555</v>
      </c>
      <c r="K7891" t="s">
        <v>42281</v>
      </c>
      <c r="M7891" t="s">
        <v>45166</v>
      </c>
      <c r="N7891" t="s">
        <v>46569</v>
      </c>
      <c r="O7891" t="s">
        <v>46570</v>
      </c>
      <c r="P7891">
        <v>0</v>
      </c>
      <c r="Q7891">
        <v>0</v>
      </c>
      <c r="R7891" t="s">
        <v>46574</v>
      </c>
      <c r="S7891" t="s">
        <v>46723</v>
      </c>
      <c r="T7891" t="s">
        <v>48298</v>
      </c>
      <c r="U7891" t="s">
        <v>55287</v>
      </c>
      <c r="W7891" t="s">
        <v>45166</v>
      </c>
      <c r="X7891" t="s">
        <v>46575</v>
      </c>
    </row>
    <row r="7892" spans="1:24">
      <c r="A7892">
        <f>HYPERLINK("https://www.philgeps.gov.ph/GEPSNONPILOT/Tender/SplashBidNoticeAbstractUI.aspx?menuIndex=3&amp;refID=7058850&amp;Result=3","7058850")</f>
        <v>0</v>
      </c>
      <c r="B7892" t="s">
        <v>964</v>
      </c>
      <c r="C7892" t="s">
        <v>11013</v>
      </c>
      <c r="D7892" t="s">
        <v>18786</v>
      </c>
      <c r="E7892" t="s">
        <v>25813</v>
      </c>
      <c r="F7892" t="s">
        <v>32664</v>
      </c>
      <c r="G7892" t="s">
        <v>32672</v>
      </c>
      <c r="H7892" t="s">
        <v>12635</v>
      </c>
      <c r="I7892" t="s">
        <v>5589</v>
      </c>
      <c r="J7892" t="s">
        <v>37637</v>
      </c>
      <c r="K7892" t="s">
        <v>42289</v>
      </c>
      <c r="M7892" t="s">
        <v>43572</v>
      </c>
      <c r="N7892" t="s">
        <v>46569</v>
      </c>
      <c r="O7892" t="s">
        <v>46570</v>
      </c>
      <c r="P7892">
        <v>0</v>
      </c>
      <c r="Q7892">
        <v>1</v>
      </c>
      <c r="R7892" t="s">
        <v>46574</v>
      </c>
      <c r="S7892" t="s">
        <v>46723</v>
      </c>
      <c r="T7892" t="s">
        <v>48298</v>
      </c>
      <c r="U7892" t="s">
        <v>55288</v>
      </c>
      <c r="W7892" t="s">
        <v>63499</v>
      </c>
      <c r="X7892" t="s">
        <v>46575</v>
      </c>
    </row>
    <row r="7893" spans="1:24">
      <c r="A7893">
        <f>HYPERLINK("https://www.philgeps.gov.ph/GEPSNONPILOT/Tender/SplashBidNoticeAbstractUI.aspx?menuIndex=3&amp;refID=7058888&amp;Result=3","7058888")</f>
        <v>0</v>
      </c>
      <c r="B7893" t="s">
        <v>2174</v>
      </c>
      <c r="C7893" t="s">
        <v>11014</v>
      </c>
      <c r="D7893" t="s">
        <v>18849</v>
      </c>
      <c r="E7893" t="s">
        <v>25814</v>
      </c>
      <c r="F7893" t="s">
        <v>32664</v>
      </c>
      <c r="G7893" t="s">
        <v>32672</v>
      </c>
      <c r="H7893" t="s">
        <v>32683</v>
      </c>
      <c r="I7893" t="s">
        <v>10627</v>
      </c>
      <c r="J7893" t="s">
        <v>33167</v>
      </c>
      <c r="K7893" t="s">
        <v>42298</v>
      </c>
      <c r="M7893" t="s">
        <v>44934</v>
      </c>
      <c r="N7893" t="s">
        <v>46569</v>
      </c>
      <c r="O7893" t="s">
        <v>46570</v>
      </c>
      <c r="P7893">
        <v>0</v>
      </c>
      <c r="Q7893">
        <v>0</v>
      </c>
      <c r="R7893" t="s">
        <v>46574</v>
      </c>
      <c r="S7893" t="s">
        <v>46723</v>
      </c>
      <c r="T7893" t="s">
        <v>48293</v>
      </c>
      <c r="U7893" t="s">
        <v>55289</v>
      </c>
      <c r="W7893" t="s">
        <v>44934</v>
      </c>
      <c r="X7893" t="s">
        <v>46575</v>
      </c>
    </row>
    <row r="7894" spans="1:24">
      <c r="A7894">
        <f>HYPERLINK("https://www.philgeps.gov.ph/GEPSNONPILOT/Tender/SplashBidNoticeAbstractUI.aspx?menuIndex=3&amp;refID=7058747&amp;Result=3","7058747")</f>
        <v>0</v>
      </c>
      <c r="B7894" t="s">
        <v>1313</v>
      </c>
      <c r="C7894" t="s">
        <v>11015</v>
      </c>
      <c r="E7894" t="s">
        <v>25815</v>
      </c>
      <c r="F7894" t="s">
        <v>32664</v>
      </c>
      <c r="G7894" t="s">
        <v>32671</v>
      </c>
      <c r="H7894" t="s">
        <v>12635</v>
      </c>
      <c r="I7894" t="s">
        <v>32704</v>
      </c>
      <c r="J7894" t="s">
        <v>33267</v>
      </c>
      <c r="K7894" t="s">
        <v>42283</v>
      </c>
      <c r="M7894" t="s">
        <v>43960</v>
      </c>
      <c r="N7894" t="s">
        <v>46569</v>
      </c>
      <c r="O7894" t="s">
        <v>46570</v>
      </c>
      <c r="P7894">
        <v>0</v>
      </c>
      <c r="Q7894">
        <v>7</v>
      </c>
      <c r="R7894" t="s">
        <v>46574</v>
      </c>
      <c r="S7894" t="s">
        <v>46723</v>
      </c>
      <c r="T7894" t="s">
        <v>48562</v>
      </c>
      <c r="U7894" t="s">
        <v>55178</v>
      </c>
      <c r="W7894" t="s">
        <v>43960</v>
      </c>
      <c r="X7894" t="s">
        <v>46575</v>
      </c>
    </row>
    <row r="7895" spans="1:24">
      <c r="A7895">
        <f>HYPERLINK("https://www.philgeps.gov.ph/GEPSNONPILOT/Tender/SplashBidNoticeAbstractUI.aspx?menuIndex=3&amp;refID=7058859&amp;Result=3","7058859")</f>
        <v>0</v>
      </c>
      <c r="B7895" t="s">
        <v>980</v>
      </c>
      <c r="C7895" t="s">
        <v>11016</v>
      </c>
      <c r="D7895" t="s">
        <v>18816</v>
      </c>
      <c r="E7895" t="s">
        <v>25816</v>
      </c>
      <c r="F7895" t="s">
        <v>32664</v>
      </c>
      <c r="G7895" t="s">
        <v>32672</v>
      </c>
      <c r="H7895" t="s">
        <v>32683</v>
      </c>
      <c r="I7895" t="s">
        <v>10627</v>
      </c>
      <c r="J7895" t="s">
        <v>34559</v>
      </c>
      <c r="K7895" t="s">
        <v>42305</v>
      </c>
      <c r="M7895" t="s">
        <v>43589</v>
      </c>
      <c r="N7895" t="s">
        <v>46569</v>
      </c>
      <c r="O7895" t="s">
        <v>46570</v>
      </c>
      <c r="P7895">
        <v>0</v>
      </c>
      <c r="Q7895">
        <v>0</v>
      </c>
      <c r="R7895" t="s">
        <v>46574</v>
      </c>
      <c r="S7895" t="s">
        <v>46723</v>
      </c>
      <c r="T7895" t="s">
        <v>48302</v>
      </c>
      <c r="U7895" t="s">
        <v>55290</v>
      </c>
      <c r="W7895" t="s">
        <v>46552</v>
      </c>
      <c r="X7895" t="s">
        <v>46575</v>
      </c>
    </row>
    <row r="7896" spans="1:24">
      <c r="A7896">
        <f>HYPERLINK("https://www.philgeps.gov.ph/GEPSNONPILOT/Tender/SplashBidNoticeAbstractUI.aspx?menuIndex=3&amp;refID=7058892&amp;Result=3","7058892")</f>
        <v>0</v>
      </c>
      <c r="B7896" t="s">
        <v>1313</v>
      </c>
      <c r="C7896" t="s">
        <v>11017</v>
      </c>
      <c r="E7896" t="s">
        <v>25817</v>
      </c>
      <c r="F7896" t="s">
        <v>32664</v>
      </c>
      <c r="G7896" t="s">
        <v>32671</v>
      </c>
      <c r="H7896" t="s">
        <v>12635</v>
      </c>
      <c r="I7896" t="s">
        <v>32704</v>
      </c>
      <c r="J7896" t="s">
        <v>37638</v>
      </c>
      <c r="K7896" t="s">
        <v>42283</v>
      </c>
      <c r="M7896" t="s">
        <v>43960</v>
      </c>
      <c r="N7896" t="s">
        <v>46569</v>
      </c>
      <c r="O7896" t="s">
        <v>46570</v>
      </c>
      <c r="P7896">
        <v>0</v>
      </c>
      <c r="Q7896">
        <v>12</v>
      </c>
      <c r="R7896" t="s">
        <v>46574</v>
      </c>
      <c r="S7896" t="s">
        <v>46723</v>
      </c>
      <c r="T7896" t="s">
        <v>48562</v>
      </c>
      <c r="U7896" t="s">
        <v>55178</v>
      </c>
      <c r="W7896" t="s">
        <v>43960</v>
      </c>
      <c r="X7896" t="s">
        <v>46575</v>
      </c>
    </row>
    <row r="7897" spans="1:24">
      <c r="A7897">
        <f>HYPERLINK("https://www.philgeps.gov.ph/GEPSNONPILOT/Tender/SplashBidNoticeAbstractUI.aspx?menuIndex=3&amp;refID=7058891&amp;Result=3","7058891")</f>
        <v>0</v>
      </c>
      <c r="B7897" t="s">
        <v>2378</v>
      </c>
      <c r="C7897" t="s">
        <v>11018</v>
      </c>
      <c r="D7897" t="s">
        <v>18831</v>
      </c>
      <c r="E7897" t="s">
        <v>25818</v>
      </c>
      <c r="F7897" t="s">
        <v>32664</v>
      </c>
      <c r="G7897" t="s">
        <v>32675</v>
      </c>
      <c r="H7897" t="s">
        <v>12635</v>
      </c>
      <c r="I7897" t="s">
        <v>6168</v>
      </c>
      <c r="J7897" t="s">
        <v>37639</v>
      </c>
      <c r="K7897" t="s">
        <v>42281</v>
      </c>
      <c r="M7897" t="s">
        <v>45166</v>
      </c>
      <c r="N7897" t="s">
        <v>46569</v>
      </c>
      <c r="O7897" t="s">
        <v>46570</v>
      </c>
      <c r="P7897">
        <v>0</v>
      </c>
      <c r="Q7897">
        <v>3</v>
      </c>
      <c r="R7897" t="s">
        <v>46574</v>
      </c>
      <c r="S7897" t="s">
        <v>46723</v>
      </c>
      <c r="T7897" t="s">
        <v>48298</v>
      </c>
      <c r="U7897" t="s">
        <v>55287</v>
      </c>
      <c r="W7897" t="s">
        <v>45166</v>
      </c>
      <c r="X7897" t="s">
        <v>46575</v>
      </c>
    </row>
    <row r="7898" spans="1:24">
      <c r="A7898">
        <f>HYPERLINK("https://www.philgeps.gov.ph/GEPSNONPILOT/Tender/SplashBidNoticeAbstractUI.aspx?menuIndex=3&amp;refID=7058889&amp;Result=3","7058889")</f>
        <v>0</v>
      </c>
      <c r="B7898" t="s">
        <v>1313</v>
      </c>
      <c r="C7898" t="s">
        <v>11019</v>
      </c>
      <c r="E7898" t="s">
        <v>25819</v>
      </c>
      <c r="F7898" t="s">
        <v>32664</v>
      </c>
      <c r="G7898" t="s">
        <v>32671</v>
      </c>
      <c r="H7898" t="s">
        <v>12635</v>
      </c>
      <c r="I7898" t="s">
        <v>32704</v>
      </c>
      <c r="J7898" t="s">
        <v>33128</v>
      </c>
      <c r="K7898" t="s">
        <v>42283</v>
      </c>
      <c r="M7898" t="s">
        <v>43960</v>
      </c>
      <c r="N7898" t="s">
        <v>46569</v>
      </c>
      <c r="O7898" t="s">
        <v>46570</v>
      </c>
      <c r="P7898">
        <v>0</v>
      </c>
      <c r="Q7898">
        <v>17</v>
      </c>
      <c r="R7898" t="s">
        <v>46574</v>
      </c>
      <c r="S7898" t="s">
        <v>46723</v>
      </c>
      <c r="T7898" t="s">
        <v>48562</v>
      </c>
      <c r="U7898" t="s">
        <v>55178</v>
      </c>
      <c r="W7898" t="s">
        <v>43960</v>
      </c>
      <c r="X7898" t="s">
        <v>46575</v>
      </c>
    </row>
    <row r="7899" spans="1:24">
      <c r="A7899">
        <f>HYPERLINK("https://www.philgeps.gov.ph/GEPSNONPILOT/Tender/SplashBidNoticeAbstractUI.aspx?menuIndex=3&amp;refID=7058925&amp;Result=3","7058925")</f>
        <v>0</v>
      </c>
      <c r="B7899" t="s">
        <v>2379</v>
      </c>
      <c r="C7899" t="s">
        <v>11020</v>
      </c>
      <c r="D7899" t="s">
        <v>18784</v>
      </c>
      <c r="E7899" t="s">
        <v>25820</v>
      </c>
      <c r="F7899" t="s">
        <v>32664</v>
      </c>
      <c r="G7899" t="s">
        <v>32672</v>
      </c>
      <c r="H7899" t="s">
        <v>12635</v>
      </c>
      <c r="I7899" t="s">
        <v>6223</v>
      </c>
      <c r="J7899" t="s">
        <v>37640</v>
      </c>
      <c r="K7899" t="s">
        <v>42284</v>
      </c>
      <c r="M7899" t="s">
        <v>45167</v>
      </c>
      <c r="N7899" t="s">
        <v>46569</v>
      </c>
      <c r="O7899" t="s">
        <v>46570</v>
      </c>
      <c r="P7899">
        <v>0</v>
      </c>
      <c r="Q7899">
        <v>0</v>
      </c>
      <c r="R7899" t="s">
        <v>46574</v>
      </c>
      <c r="S7899" t="s">
        <v>46723</v>
      </c>
      <c r="T7899" t="s">
        <v>48244</v>
      </c>
      <c r="U7899" t="s">
        <v>51714</v>
      </c>
      <c r="W7899" t="s">
        <v>45167</v>
      </c>
      <c r="X7899" t="s">
        <v>46575</v>
      </c>
    </row>
    <row r="7900" spans="1:24">
      <c r="A7900">
        <f>HYPERLINK("https://www.philgeps.gov.ph/GEPSNONPILOT/Tender/SplashBidNoticeAbstractUI.aspx?menuIndex=3&amp;refID=7058887&amp;Result=3","7058887")</f>
        <v>0</v>
      </c>
      <c r="B7900" t="s">
        <v>1313</v>
      </c>
      <c r="C7900" t="s">
        <v>11021</v>
      </c>
      <c r="E7900" t="s">
        <v>25821</v>
      </c>
      <c r="F7900" t="s">
        <v>32664</v>
      </c>
      <c r="G7900" t="s">
        <v>32671</v>
      </c>
      <c r="H7900" t="s">
        <v>12635</v>
      </c>
      <c r="I7900" t="s">
        <v>32704</v>
      </c>
      <c r="J7900" t="s">
        <v>34433</v>
      </c>
      <c r="K7900" t="s">
        <v>42283</v>
      </c>
      <c r="M7900" t="s">
        <v>43960</v>
      </c>
      <c r="N7900" t="s">
        <v>46569</v>
      </c>
      <c r="O7900" t="s">
        <v>46570</v>
      </c>
      <c r="P7900">
        <v>0</v>
      </c>
      <c r="Q7900">
        <v>7</v>
      </c>
      <c r="R7900" t="s">
        <v>46574</v>
      </c>
      <c r="S7900" t="s">
        <v>46723</v>
      </c>
      <c r="T7900" t="s">
        <v>48562</v>
      </c>
      <c r="U7900" t="s">
        <v>55178</v>
      </c>
      <c r="W7900" t="s">
        <v>43960</v>
      </c>
      <c r="X7900" t="s">
        <v>46575</v>
      </c>
    </row>
    <row r="7901" spans="1:24">
      <c r="A7901">
        <f>HYPERLINK("https://www.philgeps.gov.ph/GEPSNONPILOT/Tender/SplashBidNoticeAbstractUI.aspx?menuIndex=3&amp;refID=7058923&amp;Result=3","7058923")</f>
        <v>0</v>
      </c>
      <c r="B7901" t="s">
        <v>2380</v>
      </c>
      <c r="C7901" t="s">
        <v>11022</v>
      </c>
      <c r="D7901" t="s">
        <v>18787</v>
      </c>
      <c r="E7901" t="s">
        <v>25822</v>
      </c>
      <c r="F7901" t="s">
        <v>32664</v>
      </c>
      <c r="G7901" t="s">
        <v>32672</v>
      </c>
      <c r="H7901" t="s">
        <v>32683</v>
      </c>
      <c r="I7901" t="s">
        <v>10627</v>
      </c>
      <c r="J7901" t="s">
        <v>37641</v>
      </c>
      <c r="K7901" t="s">
        <v>42283</v>
      </c>
      <c r="M7901" t="s">
        <v>45168</v>
      </c>
      <c r="N7901" t="s">
        <v>46569</v>
      </c>
      <c r="O7901" t="s">
        <v>46570</v>
      </c>
      <c r="P7901">
        <v>0</v>
      </c>
      <c r="Q7901">
        <v>0</v>
      </c>
      <c r="R7901" t="s">
        <v>46574</v>
      </c>
      <c r="S7901" t="s">
        <v>46723</v>
      </c>
      <c r="T7901" t="s">
        <v>48308</v>
      </c>
      <c r="U7901" t="s">
        <v>55291</v>
      </c>
      <c r="W7901" t="s">
        <v>45168</v>
      </c>
      <c r="X7901" t="s">
        <v>46575</v>
      </c>
    </row>
    <row r="7902" spans="1:24">
      <c r="A7902">
        <f>HYPERLINK("https://www.philgeps.gov.ph/GEPSNONPILOT/Tender/SplashBidNoticeAbstractUI.aspx?menuIndex=3&amp;refID=7058883&amp;Result=3","7058883")</f>
        <v>0</v>
      </c>
      <c r="B7902" t="s">
        <v>1313</v>
      </c>
      <c r="C7902" t="s">
        <v>11023</v>
      </c>
      <c r="E7902" t="s">
        <v>25823</v>
      </c>
      <c r="F7902" t="s">
        <v>32664</v>
      </c>
      <c r="G7902" t="s">
        <v>32671</v>
      </c>
      <c r="H7902" t="s">
        <v>12635</v>
      </c>
      <c r="I7902" t="s">
        <v>32704</v>
      </c>
      <c r="J7902" t="s">
        <v>34859</v>
      </c>
      <c r="K7902" t="s">
        <v>42283</v>
      </c>
      <c r="M7902" t="s">
        <v>43960</v>
      </c>
      <c r="N7902" t="s">
        <v>46569</v>
      </c>
      <c r="O7902" t="s">
        <v>46570</v>
      </c>
      <c r="P7902">
        <v>0</v>
      </c>
      <c r="Q7902">
        <v>4</v>
      </c>
      <c r="R7902" t="s">
        <v>46574</v>
      </c>
      <c r="S7902" t="s">
        <v>46723</v>
      </c>
      <c r="T7902" t="s">
        <v>48562</v>
      </c>
      <c r="U7902" t="s">
        <v>55178</v>
      </c>
      <c r="W7902" t="s">
        <v>43960</v>
      </c>
      <c r="X7902" t="s">
        <v>46575</v>
      </c>
    </row>
    <row r="7903" spans="1:24">
      <c r="A7903">
        <f>HYPERLINK("https://www.philgeps.gov.ph/GEPSNONPILOT/Tender/SplashBidNoticeAbstractUI.aspx?menuIndex=3&amp;refID=7058918&amp;Result=3","7058918")</f>
        <v>0</v>
      </c>
      <c r="B7903" t="s">
        <v>2379</v>
      </c>
      <c r="C7903" t="s">
        <v>11024</v>
      </c>
      <c r="D7903" t="s">
        <v>18784</v>
      </c>
      <c r="E7903" t="s">
        <v>25824</v>
      </c>
      <c r="F7903" t="s">
        <v>32664</v>
      </c>
      <c r="G7903" t="s">
        <v>32672</v>
      </c>
      <c r="H7903" t="s">
        <v>12635</v>
      </c>
      <c r="I7903" t="s">
        <v>32700</v>
      </c>
      <c r="J7903" t="s">
        <v>32898</v>
      </c>
      <c r="K7903" t="s">
        <v>42284</v>
      </c>
      <c r="M7903" t="s">
        <v>45167</v>
      </c>
      <c r="N7903" t="s">
        <v>46569</v>
      </c>
      <c r="O7903" t="s">
        <v>46570</v>
      </c>
      <c r="P7903">
        <v>0</v>
      </c>
      <c r="Q7903">
        <v>1</v>
      </c>
      <c r="R7903" t="s">
        <v>46574</v>
      </c>
      <c r="S7903" t="s">
        <v>46723</v>
      </c>
      <c r="T7903" t="s">
        <v>48244</v>
      </c>
      <c r="U7903" t="s">
        <v>55292</v>
      </c>
      <c r="W7903" t="s">
        <v>45167</v>
      </c>
      <c r="X7903" t="s">
        <v>46575</v>
      </c>
    </row>
    <row r="7904" spans="1:24">
      <c r="A7904">
        <f>HYPERLINK("https://www.philgeps.gov.ph/GEPSNONPILOT/Tender/SplashBidNoticeAbstractUI.aspx?menuIndex=3&amp;refID=7058919&amp;Result=3","7058919")</f>
        <v>0</v>
      </c>
      <c r="B7904" t="s">
        <v>2381</v>
      </c>
      <c r="C7904" t="s">
        <v>11025</v>
      </c>
      <c r="D7904" t="s">
        <v>18787</v>
      </c>
      <c r="E7904" t="s">
        <v>25825</v>
      </c>
      <c r="F7904" t="s">
        <v>32664</v>
      </c>
      <c r="G7904" t="s">
        <v>32672</v>
      </c>
      <c r="H7904" t="s">
        <v>32683</v>
      </c>
      <c r="I7904" t="s">
        <v>10627</v>
      </c>
      <c r="J7904" t="s">
        <v>37642</v>
      </c>
      <c r="K7904" t="s">
        <v>42283</v>
      </c>
      <c r="M7904" t="s">
        <v>45169</v>
      </c>
      <c r="N7904" t="s">
        <v>46569</v>
      </c>
      <c r="O7904" t="s">
        <v>46570</v>
      </c>
      <c r="P7904">
        <v>0</v>
      </c>
      <c r="Q7904">
        <v>0</v>
      </c>
      <c r="R7904" t="s">
        <v>46574</v>
      </c>
      <c r="S7904" t="s">
        <v>46723</v>
      </c>
      <c r="T7904" t="s">
        <v>48610</v>
      </c>
      <c r="U7904" t="s">
        <v>55293</v>
      </c>
      <c r="W7904" t="s">
        <v>45169</v>
      </c>
      <c r="X7904" t="s">
        <v>46575</v>
      </c>
    </row>
    <row r="7905" spans="1:24">
      <c r="A7905">
        <f>HYPERLINK("https://www.philgeps.gov.ph/GEPSNONPILOT/Tender/SplashBidNoticeAbstractUI.aspx?menuIndex=3&amp;refID=7058917&amp;Result=3","7058917")</f>
        <v>0</v>
      </c>
      <c r="B7905" t="s">
        <v>1726</v>
      </c>
      <c r="C7905" t="s">
        <v>11026</v>
      </c>
      <c r="D7905" t="s">
        <v>18837</v>
      </c>
      <c r="E7905" t="s">
        <v>25826</v>
      </c>
      <c r="F7905" t="s">
        <v>32664</v>
      </c>
      <c r="G7905" t="s">
        <v>32672</v>
      </c>
      <c r="H7905" t="s">
        <v>12635</v>
      </c>
      <c r="I7905" t="s">
        <v>32717</v>
      </c>
      <c r="J7905" t="s">
        <v>37643</v>
      </c>
      <c r="K7905" t="s">
        <v>42297</v>
      </c>
      <c r="M7905" t="s">
        <v>44425</v>
      </c>
      <c r="N7905" t="s">
        <v>46569</v>
      </c>
      <c r="O7905" t="s">
        <v>46570</v>
      </c>
      <c r="P7905">
        <v>0</v>
      </c>
      <c r="Q7905">
        <v>6</v>
      </c>
      <c r="R7905" t="s">
        <v>46574</v>
      </c>
      <c r="S7905" t="s">
        <v>46723</v>
      </c>
      <c r="T7905" t="s">
        <v>48349</v>
      </c>
      <c r="U7905" t="s">
        <v>55294</v>
      </c>
      <c r="V7905" t="s">
        <v>62145</v>
      </c>
      <c r="W7905" t="s">
        <v>44425</v>
      </c>
      <c r="X7905" t="s">
        <v>46575</v>
      </c>
    </row>
    <row r="7906" spans="1:24">
      <c r="A7906">
        <f>HYPERLINK("https://www.philgeps.gov.ph/GEPSNONPILOT/Tender/SplashBidNoticeAbstractUI.aspx?menuIndex=3&amp;refID=7058916&amp;Result=3","7058916")</f>
        <v>0</v>
      </c>
      <c r="B7906" t="s">
        <v>1234</v>
      </c>
      <c r="C7906" t="s">
        <v>11027</v>
      </c>
      <c r="D7906" t="s">
        <v>18784</v>
      </c>
      <c r="E7906" t="s">
        <v>25827</v>
      </c>
      <c r="F7906" t="s">
        <v>32664</v>
      </c>
      <c r="G7906" t="s">
        <v>32671</v>
      </c>
      <c r="H7906" t="s">
        <v>12635</v>
      </c>
      <c r="I7906" t="s">
        <v>5589</v>
      </c>
      <c r="J7906" t="s">
        <v>37644</v>
      </c>
      <c r="K7906" t="s">
        <v>42297</v>
      </c>
      <c r="M7906" t="s">
        <v>43875</v>
      </c>
      <c r="N7906" t="s">
        <v>46569</v>
      </c>
      <c r="O7906" t="s">
        <v>46570</v>
      </c>
      <c r="P7906">
        <v>0</v>
      </c>
      <c r="Q7906">
        <v>0</v>
      </c>
      <c r="R7906" t="s">
        <v>46574</v>
      </c>
      <c r="S7906" t="s">
        <v>46723</v>
      </c>
      <c r="T7906" t="s">
        <v>48450</v>
      </c>
      <c r="U7906" t="s">
        <v>55295</v>
      </c>
      <c r="V7906" t="s">
        <v>61916</v>
      </c>
      <c r="W7906" t="s">
        <v>43875</v>
      </c>
      <c r="X7906" t="s">
        <v>46575</v>
      </c>
    </row>
    <row r="7907" spans="1:24">
      <c r="A7907">
        <f>HYPERLINK("https://www.philgeps.gov.ph/GEPSNONPILOT/Tender/SplashBidNoticeAbstractUI.aspx?menuIndex=3&amp;refID=7058915&amp;Result=3","7058915")</f>
        <v>0</v>
      </c>
      <c r="B7907" t="s">
        <v>2382</v>
      </c>
      <c r="C7907" t="s">
        <v>11028</v>
      </c>
      <c r="D7907" t="s">
        <v>18791</v>
      </c>
      <c r="E7907" t="s">
        <v>19380</v>
      </c>
      <c r="F7907" t="s">
        <v>32664</v>
      </c>
      <c r="G7907" t="s">
        <v>32672</v>
      </c>
      <c r="H7907" t="s">
        <v>12635</v>
      </c>
      <c r="I7907" t="s">
        <v>4439</v>
      </c>
      <c r="J7907" t="s">
        <v>37645</v>
      </c>
      <c r="K7907" t="s">
        <v>42309</v>
      </c>
      <c r="M7907" t="s">
        <v>45170</v>
      </c>
      <c r="N7907" t="s">
        <v>46569</v>
      </c>
      <c r="O7907" t="s">
        <v>46570</v>
      </c>
      <c r="P7907">
        <v>0</v>
      </c>
      <c r="Q7907">
        <v>0</v>
      </c>
      <c r="R7907" t="s">
        <v>46574</v>
      </c>
      <c r="S7907" t="s">
        <v>46723</v>
      </c>
      <c r="T7907" t="s">
        <v>48285</v>
      </c>
      <c r="U7907" t="s">
        <v>55296</v>
      </c>
      <c r="W7907" t="s">
        <v>45170</v>
      </c>
      <c r="X7907" t="s">
        <v>46575</v>
      </c>
    </row>
    <row r="7908" spans="1:24">
      <c r="A7908">
        <f>HYPERLINK("https://www.philgeps.gov.ph/GEPSNONPILOT/Tender/SplashBidNoticeAbstractUI.aspx?menuIndex=3&amp;refID=7058914&amp;Result=3","7058914")</f>
        <v>0</v>
      </c>
      <c r="B7908" t="s">
        <v>2379</v>
      </c>
      <c r="C7908" t="s">
        <v>11029</v>
      </c>
      <c r="D7908" t="s">
        <v>18784</v>
      </c>
      <c r="E7908" t="s">
        <v>25828</v>
      </c>
      <c r="F7908" t="s">
        <v>32664</v>
      </c>
      <c r="G7908" t="s">
        <v>32672</v>
      </c>
      <c r="H7908" t="s">
        <v>12635</v>
      </c>
      <c r="I7908" t="s">
        <v>4439</v>
      </c>
      <c r="J7908" t="s">
        <v>37646</v>
      </c>
      <c r="K7908" t="s">
        <v>42284</v>
      </c>
      <c r="M7908" t="s">
        <v>45167</v>
      </c>
      <c r="N7908" t="s">
        <v>46569</v>
      </c>
      <c r="O7908" t="s">
        <v>46570</v>
      </c>
      <c r="P7908">
        <v>0</v>
      </c>
      <c r="Q7908">
        <v>0</v>
      </c>
      <c r="R7908" t="s">
        <v>46574</v>
      </c>
      <c r="S7908" t="s">
        <v>46723</v>
      </c>
      <c r="T7908" t="s">
        <v>48244</v>
      </c>
      <c r="U7908" t="s">
        <v>55297</v>
      </c>
      <c r="W7908" t="s">
        <v>45167</v>
      </c>
      <c r="X7908" t="s">
        <v>46575</v>
      </c>
    </row>
    <row r="7909" spans="1:24">
      <c r="A7909">
        <f>HYPERLINK("https://www.philgeps.gov.ph/GEPSNONPILOT/Tender/SplashBidNoticeAbstractUI.aspx?menuIndex=3&amp;refID=7058912&amp;Result=3","7058912")</f>
        <v>0</v>
      </c>
      <c r="B7909" t="s">
        <v>818</v>
      </c>
      <c r="C7909" t="s">
        <v>11030</v>
      </c>
      <c r="D7909" t="s">
        <v>18816</v>
      </c>
      <c r="E7909" t="s">
        <v>25829</v>
      </c>
      <c r="F7909" t="s">
        <v>32664</v>
      </c>
      <c r="G7909" t="s">
        <v>32672</v>
      </c>
      <c r="H7909" t="s">
        <v>32683</v>
      </c>
      <c r="I7909" t="s">
        <v>10627</v>
      </c>
      <c r="J7909" t="s">
        <v>37647</v>
      </c>
      <c r="K7909" t="s">
        <v>42331</v>
      </c>
      <c r="M7909" t="s">
        <v>43413</v>
      </c>
      <c r="N7909" t="s">
        <v>46569</v>
      </c>
      <c r="O7909" t="s">
        <v>46570</v>
      </c>
      <c r="P7909">
        <v>0</v>
      </c>
      <c r="Q7909">
        <v>0</v>
      </c>
      <c r="R7909" t="s">
        <v>46574</v>
      </c>
      <c r="S7909" t="s">
        <v>46723</v>
      </c>
      <c r="T7909" t="s">
        <v>48220</v>
      </c>
      <c r="U7909" t="s">
        <v>55298</v>
      </c>
      <c r="V7909" t="s">
        <v>62394</v>
      </c>
      <c r="W7909" t="s">
        <v>43413</v>
      </c>
      <c r="X7909" t="s">
        <v>46575</v>
      </c>
    </row>
    <row r="7910" spans="1:24">
      <c r="A7910">
        <f>HYPERLINK("https://www.philgeps.gov.ph/GEPSNONPILOT/Tender/SplashBidNoticeAbstractUI.aspx?menuIndex=3&amp;refID=7058922&amp;Result=3","7058922")</f>
        <v>0</v>
      </c>
      <c r="B7910" t="s">
        <v>2380</v>
      </c>
      <c r="C7910" t="s">
        <v>11031</v>
      </c>
      <c r="D7910" t="s">
        <v>18787</v>
      </c>
      <c r="E7910" t="s">
        <v>25830</v>
      </c>
      <c r="F7910" t="s">
        <v>32664</v>
      </c>
      <c r="G7910" t="s">
        <v>32672</v>
      </c>
      <c r="H7910" t="s">
        <v>32683</v>
      </c>
      <c r="I7910" t="s">
        <v>10627</v>
      </c>
      <c r="J7910" t="s">
        <v>37648</v>
      </c>
      <c r="K7910" t="s">
        <v>42283</v>
      </c>
      <c r="M7910" t="s">
        <v>45168</v>
      </c>
      <c r="N7910" t="s">
        <v>46569</v>
      </c>
      <c r="O7910" t="s">
        <v>46570</v>
      </c>
      <c r="P7910">
        <v>0</v>
      </c>
      <c r="Q7910">
        <v>0</v>
      </c>
      <c r="R7910" t="s">
        <v>46574</v>
      </c>
      <c r="S7910" t="s">
        <v>46723</v>
      </c>
      <c r="T7910" t="s">
        <v>48308</v>
      </c>
      <c r="U7910" t="s">
        <v>55299</v>
      </c>
      <c r="W7910" t="s">
        <v>45168</v>
      </c>
      <c r="X7910" t="s">
        <v>46575</v>
      </c>
    </row>
    <row r="7911" spans="1:24">
      <c r="A7911">
        <f>HYPERLINK("https://www.philgeps.gov.ph/GEPSNONPILOT/Tender/SplashBidNoticeAbstractUI.aspx?menuIndex=3&amp;refID=7058911&amp;Result=3","7058911")</f>
        <v>0</v>
      </c>
      <c r="B7911" t="s">
        <v>2380</v>
      </c>
      <c r="C7911" t="s">
        <v>11032</v>
      </c>
      <c r="D7911" t="s">
        <v>18787</v>
      </c>
      <c r="E7911" t="s">
        <v>25831</v>
      </c>
      <c r="F7911" t="s">
        <v>32664</v>
      </c>
      <c r="G7911" t="s">
        <v>32672</v>
      </c>
      <c r="H7911" t="s">
        <v>12635</v>
      </c>
      <c r="I7911" t="s">
        <v>32706</v>
      </c>
      <c r="J7911" t="s">
        <v>37649</v>
      </c>
      <c r="K7911" t="s">
        <v>42334</v>
      </c>
      <c r="M7911" t="s">
        <v>45171</v>
      </c>
      <c r="N7911" t="s">
        <v>46569</v>
      </c>
      <c r="O7911" t="s">
        <v>46570</v>
      </c>
      <c r="P7911">
        <v>0</v>
      </c>
      <c r="Q7911">
        <v>1</v>
      </c>
      <c r="R7911" t="s">
        <v>46574</v>
      </c>
      <c r="S7911" t="s">
        <v>46723</v>
      </c>
      <c r="T7911" t="s">
        <v>48308</v>
      </c>
      <c r="U7911" t="s">
        <v>55300</v>
      </c>
      <c r="W7911" t="s">
        <v>45168</v>
      </c>
      <c r="X7911" t="s">
        <v>46575</v>
      </c>
    </row>
    <row r="7912" spans="1:24">
      <c r="A7912">
        <f>HYPERLINK("https://www.philgeps.gov.ph/GEPSNONPILOT/Tender/SplashBidNoticeAbstractUI.aspx?menuIndex=3&amp;refID=7058910&amp;Result=3","7058910")</f>
        <v>0</v>
      </c>
      <c r="B7912" t="s">
        <v>2381</v>
      </c>
      <c r="C7912" t="s">
        <v>11033</v>
      </c>
      <c r="D7912" t="s">
        <v>18787</v>
      </c>
      <c r="E7912" t="s">
        <v>25832</v>
      </c>
      <c r="F7912" t="s">
        <v>32664</v>
      </c>
      <c r="G7912" t="s">
        <v>32672</v>
      </c>
      <c r="H7912" t="s">
        <v>32683</v>
      </c>
      <c r="I7912" t="s">
        <v>10627</v>
      </c>
      <c r="J7912" t="s">
        <v>37650</v>
      </c>
      <c r="K7912" t="s">
        <v>42283</v>
      </c>
      <c r="M7912" t="s">
        <v>45169</v>
      </c>
      <c r="N7912" t="s">
        <v>46569</v>
      </c>
      <c r="O7912" t="s">
        <v>46570</v>
      </c>
      <c r="P7912">
        <v>0</v>
      </c>
      <c r="Q7912">
        <v>0</v>
      </c>
      <c r="R7912" t="s">
        <v>46574</v>
      </c>
      <c r="S7912" t="s">
        <v>46723</v>
      </c>
      <c r="T7912" t="s">
        <v>48334</v>
      </c>
      <c r="U7912" t="s">
        <v>55301</v>
      </c>
      <c r="W7912" t="s">
        <v>45169</v>
      </c>
      <c r="X7912" t="s">
        <v>46575</v>
      </c>
    </row>
    <row r="7913" spans="1:24">
      <c r="A7913">
        <f>HYPERLINK("https://www.philgeps.gov.ph/GEPSNONPILOT/Tender/SplashBidNoticeAbstractUI.aspx?menuIndex=3&amp;refID=7058884&amp;Result=3","7058884")</f>
        <v>0</v>
      </c>
      <c r="B7913" t="s">
        <v>2378</v>
      </c>
      <c r="C7913" t="s">
        <v>11034</v>
      </c>
      <c r="D7913" t="s">
        <v>18831</v>
      </c>
      <c r="E7913" t="s">
        <v>25833</v>
      </c>
      <c r="F7913" t="s">
        <v>32664</v>
      </c>
      <c r="G7913" t="s">
        <v>32671</v>
      </c>
      <c r="H7913" t="s">
        <v>12635</v>
      </c>
      <c r="I7913" t="s">
        <v>32689</v>
      </c>
      <c r="J7913" t="s">
        <v>37651</v>
      </c>
      <c r="K7913" t="s">
        <v>42281</v>
      </c>
      <c r="M7913" t="s">
        <v>45166</v>
      </c>
      <c r="N7913" t="s">
        <v>46569</v>
      </c>
      <c r="O7913" t="s">
        <v>46570</v>
      </c>
      <c r="P7913">
        <v>0</v>
      </c>
      <c r="Q7913">
        <v>2</v>
      </c>
      <c r="R7913" t="s">
        <v>46574</v>
      </c>
      <c r="S7913" t="s">
        <v>46723</v>
      </c>
      <c r="T7913" t="s">
        <v>48298</v>
      </c>
      <c r="U7913" t="s">
        <v>55287</v>
      </c>
      <c r="W7913" t="s">
        <v>45166</v>
      </c>
      <c r="X7913" t="s">
        <v>46575</v>
      </c>
    </row>
    <row r="7914" spans="1:24">
      <c r="A7914">
        <f>HYPERLINK("https://www.philgeps.gov.ph/GEPSNONPILOT/Tender/SplashBidNoticeAbstractUI.aspx?menuIndex=3&amp;refID=7058882&amp;Result=3","7058882")</f>
        <v>0</v>
      </c>
      <c r="B7914" t="s">
        <v>2218</v>
      </c>
      <c r="C7914" t="s">
        <v>11035</v>
      </c>
      <c r="D7914" t="s">
        <v>18784</v>
      </c>
      <c r="E7914" t="s">
        <v>19653</v>
      </c>
      <c r="F7914" t="s">
        <v>32664</v>
      </c>
      <c r="G7914" t="s">
        <v>32672</v>
      </c>
      <c r="H7914" t="s">
        <v>12635</v>
      </c>
      <c r="I7914" t="s">
        <v>32701</v>
      </c>
      <c r="J7914" t="s">
        <v>33021</v>
      </c>
      <c r="K7914" t="s">
        <v>42283</v>
      </c>
      <c r="M7914" t="s">
        <v>44982</v>
      </c>
      <c r="N7914" t="s">
        <v>46569</v>
      </c>
      <c r="O7914" t="s">
        <v>46570</v>
      </c>
      <c r="P7914">
        <v>0</v>
      </c>
      <c r="Q7914">
        <v>0</v>
      </c>
      <c r="R7914" t="s">
        <v>46574</v>
      </c>
      <c r="S7914" t="s">
        <v>46723</v>
      </c>
      <c r="T7914" t="s">
        <v>48219</v>
      </c>
      <c r="U7914" t="s">
        <v>55302</v>
      </c>
      <c r="W7914" t="s">
        <v>44982</v>
      </c>
      <c r="X7914" t="s">
        <v>46575</v>
      </c>
    </row>
    <row r="7915" spans="1:24">
      <c r="A7915">
        <f>HYPERLINK("https://www.philgeps.gov.ph/GEPSNONPILOT/Tender/SplashBidNoticeAbstractUI.aspx?menuIndex=3&amp;refID=7058920&amp;Result=3","7058920")</f>
        <v>0</v>
      </c>
      <c r="B7915" t="s">
        <v>2379</v>
      </c>
      <c r="C7915" t="s">
        <v>11036</v>
      </c>
      <c r="D7915" t="s">
        <v>18784</v>
      </c>
      <c r="E7915" t="s">
        <v>25834</v>
      </c>
      <c r="F7915" t="s">
        <v>32664</v>
      </c>
      <c r="G7915" t="s">
        <v>32672</v>
      </c>
      <c r="H7915" t="s">
        <v>12635</v>
      </c>
      <c r="I7915" t="s">
        <v>32688</v>
      </c>
      <c r="J7915" t="s">
        <v>33021</v>
      </c>
      <c r="K7915" t="s">
        <v>42284</v>
      </c>
      <c r="M7915" t="s">
        <v>45167</v>
      </c>
      <c r="N7915" t="s">
        <v>46569</v>
      </c>
      <c r="O7915" t="s">
        <v>46570</v>
      </c>
      <c r="P7915">
        <v>0</v>
      </c>
      <c r="Q7915">
        <v>2</v>
      </c>
      <c r="R7915" t="s">
        <v>46574</v>
      </c>
      <c r="S7915" t="s">
        <v>46723</v>
      </c>
      <c r="T7915" t="s">
        <v>48244</v>
      </c>
      <c r="U7915" t="s">
        <v>55303</v>
      </c>
      <c r="W7915" t="s">
        <v>45167</v>
      </c>
      <c r="X7915" t="s">
        <v>46575</v>
      </c>
    </row>
    <row r="7916" spans="1:24">
      <c r="A7916">
        <f>HYPERLINK("https://www.philgeps.gov.ph/GEPSNONPILOT/Tender/SplashBidNoticeAbstractUI.aspx?menuIndex=3&amp;refID=7048772&amp;Result=3","7048772")</f>
        <v>0</v>
      </c>
      <c r="B7916" t="s">
        <v>1267</v>
      </c>
      <c r="C7916" t="s">
        <v>11037</v>
      </c>
      <c r="D7916" t="s">
        <v>18841</v>
      </c>
      <c r="E7916" t="s">
        <v>25835</v>
      </c>
      <c r="F7916" t="s">
        <v>32664</v>
      </c>
      <c r="G7916" t="s">
        <v>32672</v>
      </c>
      <c r="H7916" t="s">
        <v>12635</v>
      </c>
      <c r="I7916" t="s">
        <v>4439</v>
      </c>
      <c r="J7916" t="s">
        <v>33812</v>
      </c>
      <c r="K7916" t="s">
        <v>42297</v>
      </c>
      <c r="M7916" t="s">
        <v>43910</v>
      </c>
      <c r="N7916" t="s">
        <v>46569</v>
      </c>
      <c r="O7916" t="s">
        <v>46570</v>
      </c>
      <c r="P7916">
        <v>0</v>
      </c>
      <c r="Q7916">
        <v>0</v>
      </c>
      <c r="R7916" t="s">
        <v>46575</v>
      </c>
      <c r="S7916" t="s">
        <v>46744</v>
      </c>
      <c r="T7916" t="s">
        <v>48256</v>
      </c>
      <c r="U7916" t="s">
        <v>55304</v>
      </c>
      <c r="V7916" t="s">
        <v>62395</v>
      </c>
      <c r="W7916" t="s">
        <v>43910</v>
      </c>
      <c r="X7916" t="s">
        <v>46580</v>
      </c>
    </row>
    <row r="7917" spans="1:24">
      <c r="A7917">
        <f>HYPERLINK("https://www.philgeps.gov.ph/GEPSNONPILOT/Tender/SplashBidNoticeAbstractUI.aspx?menuIndex=3&amp;refID=7046205&amp;Result=3","7046205")</f>
        <v>0</v>
      </c>
      <c r="B7917" t="s">
        <v>32</v>
      </c>
      <c r="C7917" t="s">
        <v>11038</v>
      </c>
      <c r="D7917" t="s">
        <v>18788</v>
      </c>
      <c r="E7917" t="s">
        <v>25836</v>
      </c>
      <c r="F7917" t="s">
        <v>32664</v>
      </c>
      <c r="G7917" t="s">
        <v>32672</v>
      </c>
      <c r="H7917" t="s">
        <v>12635</v>
      </c>
      <c r="I7917" t="s">
        <v>6168</v>
      </c>
      <c r="J7917" t="s">
        <v>37652</v>
      </c>
      <c r="K7917" t="s">
        <v>42281</v>
      </c>
      <c r="M7917" t="s">
        <v>45172</v>
      </c>
      <c r="N7917" t="s">
        <v>46569</v>
      </c>
      <c r="O7917" t="s">
        <v>46570</v>
      </c>
      <c r="P7917">
        <v>0</v>
      </c>
      <c r="Q7917">
        <v>0</v>
      </c>
      <c r="R7917" t="s">
        <v>46575</v>
      </c>
      <c r="S7917" t="s">
        <v>46744</v>
      </c>
      <c r="T7917" t="s">
        <v>48221</v>
      </c>
      <c r="U7917" t="s">
        <v>55305</v>
      </c>
      <c r="V7917" t="s">
        <v>62396</v>
      </c>
      <c r="W7917" t="s">
        <v>45172</v>
      </c>
      <c r="X7917" t="s">
        <v>46581</v>
      </c>
    </row>
    <row r="7918" spans="1:24">
      <c r="A7918">
        <f>HYPERLINK("https://www.philgeps.gov.ph/GEPSNONPILOT/Tender/SplashBidNoticeAbstractUI.aspx?menuIndex=3&amp;refID=7048166&amp;Result=3","7048166")</f>
        <v>0</v>
      </c>
      <c r="B7918" t="s">
        <v>2383</v>
      </c>
      <c r="C7918" t="s">
        <v>11039</v>
      </c>
      <c r="D7918" t="s">
        <v>18789</v>
      </c>
      <c r="E7918" t="s">
        <v>25837</v>
      </c>
      <c r="F7918" t="s">
        <v>32664</v>
      </c>
      <c r="G7918" t="s">
        <v>32674</v>
      </c>
      <c r="H7918" t="s">
        <v>12635</v>
      </c>
      <c r="I7918" t="s">
        <v>32692</v>
      </c>
      <c r="J7918" t="s">
        <v>37653</v>
      </c>
      <c r="K7918" t="s">
        <v>42295</v>
      </c>
      <c r="M7918" t="s">
        <v>45173</v>
      </c>
      <c r="N7918" t="s">
        <v>46569</v>
      </c>
      <c r="O7918" t="s">
        <v>46570</v>
      </c>
      <c r="Q7918">
        <v>0</v>
      </c>
      <c r="R7918" t="s">
        <v>46575</v>
      </c>
      <c r="S7918" t="s">
        <v>46745</v>
      </c>
      <c r="T7918" t="s">
        <v>48492</v>
      </c>
      <c r="U7918" t="s">
        <v>55306</v>
      </c>
      <c r="V7918" t="s">
        <v>62397</v>
      </c>
      <c r="W7918" t="s">
        <v>45173</v>
      </c>
      <c r="X7918" t="s">
        <v>46580</v>
      </c>
    </row>
    <row r="7919" spans="1:24">
      <c r="A7919">
        <f>HYPERLINK("https://www.philgeps.gov.ph/GEPSNONPILOT/Tender/SplashBidNoticeAbstractUI.aspx?menuIndex=3&amp;refID=7058885&amp;Result=3","7058885")</f>
        <v>0</v>
      </c>
      <c r="B7919" t="s">
        <v>1234</v>
      </c>
      <c r="C7919" t="s">
        <v>11040</v>
      </c>
      <c r="D7919" t="s">
        <v>18784</v>
      </c>
      <c r="E7919" t="s">
        <v>25838</v>
      </c>
      <c r="F7919" t="s">
        <v>32664</v>
      </c>
      <c r="G7919" t="s">
        <v>32671</v>
      </c>
      <c r="H7919" t="s">
        <v>12635</v>
      </c>
      <c r="I7919" t="s">
        <v>32770</v>
      </c>
      <c r="J7919" t="s">
        <v>34432</v>
      </c>
      <c r="K7919" t="s">
        <v>42297</v>
      </c>
      <c r="M7919" t="s">
        <v>43875</v>
      </c>
      <c r="N7919" t="s">
        <v>46569</v>
      </c>
      <c r="O7919" t="s">
        <v>46570</v>
      </c>
      <c r="P7919">
        <v>0</v>
      </c>
      <c r="Q7919">
        <v>0</v>
      </c>
      <c r="R7919" t="s">
        <v>46574</v>
      </c>
      <c r="S7919" t="s">
        <v>46723</v>
      </c>
      <c r="T7919" t="s">
        <v>48450</v>
      </c>
      <c r="U7919" t="s">
        <v>55307</v>
      </c>
      <c r="V7919" t="s">
        <v>61916</v>
      </c>
      <c r="W7919" t="s">
        <v>43875</v>
      </c>
      <c r="X7919" t="s">
        <v>46575</v>
      </c>
    </row>
    <row r="7920" spans="1:24">
      <c r="A7920">
        <f>HYPERLINK("https://www.philgeps.gov.ph/GEPSNONPILOT/Tender/SplashBidNoticeAbstractUI.aspx?menuIndex=3&amp;refID=7058908&amp;Result=3","7058908")</f>
        <v>0</v>
      </c>
      <c r="B7920" t="s">
        <v>2384</v>
      </c>
      <c r="C7920" t="s">
        <v>11041</v>
      </c>
      <c r="D7920" t="s">
        <v>18829</v>
      </c>
      <c r="E7920" t="s">
        <v>18926</v>
      </c>
      <c r="F7920" t="s">
        <v>32664</v>
      </c>
      <c r="G7920" t="s">
        <v>32672</v>
      </c>
      <c r="H7920" t="s">
        <v>32683</v>
      </c>
      <c r="I7920" t="s">
        <v>10627</v>
      </c>
      <c r="J7920" t="s">
        <v>32859</v>
      </c>
      <c r="K7920" t="s">
        <v>42305</v>
      </c>
      <c r="M7920" t="s">
        <v>45174</v>
      </c>
      <c r="N7920" t="s">
        <v>46569</v>
      </c>
      <c r="O7920" t="s">
        <v>46570</v>
      </c>
      <c r="P7920">
        <v>0</v>
      </c>
      <c r="Q7920">
        <v>0</v>
      </c>
      <c r="R7920" t="s">
        <v>46574</v>
      </c>
      <c r="S7920" t="s">
        <v>46723</v>
      </c>
      <c r="T7920" t="s">
        <v>48246</v>
      </c>
      <c r="U7920" t="s">
        <v>55308</v>
      </c>
      <c r="W7920" t="s">
        <v>45174</v>
      </c>
      <c r="X7920" t="s">
        <v>46575</v>
      </c>
    </row>
    <row r="7921" spans="1:24">
      <c r="A7921">
        <f>HYPERLINK("https://www.philgeps.gov.ph/GEPSNONPILOT/Tender/SplashBidNoticeAbstractUI.aspx?menuIndex=3&amp;refID=7058927&amp;Result=3","7058927")</f>
        <v>0</v>
      </c>
      <c r="B7921" t="s">
        <v>2380</v>
      </c>
      <c r="C7921" t="s">
        <v>11042</v>
      </c>
      <c r="D7921" t="s">
        <v>18787</v>
      </c>
      <c r="E7921" t="s">
        <v>25839</v>
      </c>
      <c r="F7921" t="s">
        <v>32664</v>
      </c>
      <c r="G7921" t="s">
        <v>32672</v>
      </c>
      <c r="H7921" t="s">
        <v>32683</v>
      </c>
      <c r="I7921" t="s">
        <v>10627</v>
      </c>
      <c r="J7921" t="s">
        <v>37654</v>
      </c>
      <c r="K7921" t="s">
        <v>42283</v>
      </c>
      <c r="M7921" t="s">
        <v>45168</v>
      </c>
      <c r="N7921" t="s">
        <v>46569</v>
      </c>
      <c r="O7921" t="s">
        <v>46570</v>
      </c>
      <c r="P7921">
        <v>0</v>
      </c>
      <c r="Q7921">
        <v>0</v>
      </c>
      <c r="R7921" t="s">
        <v>46574</v>
      </c>
      <c r="S7921" t="s">
        <v>46723</v>
      </c>
      <c r="T7921" t="s">
        <v>48308</v>
      </c>
      <c r="U7921" t="s">
        <v>55309</v>
      </c>
      <c r="W7921" t="s">
        <v>45168</v>
      </c>
      <c r="X7921" t="s">
        <v>46575</v>
      </c>
    </row>
    <row r="7922" spans="1:24">
      <c r="A7922">
        <f>HYPERLINK("https://www.philgeps.gov.ph/GEPSNONPILOT/Tender/SplashBidNoticeAbstractUI.aspx?menuIndex=3&amp;refID=7041708&amp;Result=3","7041708")</f>
        <v>0</v>
      </c>
      <c r="B7922" t="s">
        <v>32</v>
      </c>
      <c r="C7922" t="s">
        <v>11043</v>
      </c>
      <c r="D7922" t="s">
        <v>18788</v>
      </c>
      <c r="E7922" t="s">
        <v>25840</v>
      </c>
      <c r="F7922" t="s">
        <v>32664</v>
      </c>
      <c r="G7922" t="s">
        <v>32672</v>
      </c>
      <c r="H7922" t="s">
        <v>12635</v>
      </c>
      <c r="I7922" t="s">
        <v>6168</v>
      </c>
      <c r="J7922" t="s">
        <v>37655</v>
      </c>
      <c r="K7922" t="s">
        <v>42281</v>
      </c>
      <c r="M7922" t="s">
        <v>45172</v>
      </c>
      <c r="N7922" t="s">
        <v>46569</v>
      </c>
      <c r="O7922" t="s">
        <v>46570</v>
      </c>
      <c r="P7922">
        <v>0</v>
      </c>
      <c r="Q7922">
        <v>0</v>
      </c>
      <c r="R7922" t="s">
        <v>46575</v>
      </c>
      <c r="S7922" t="s">
        <v>46744</v>
      </c>
      <c r="T7922" t="s">
        <v>48221</v>
      </c>
      <c r="U7922" t="s">
        <v>55310</v>
      </c>
      <c r="V7922" t="s">
        <v>61614</v>
      </c>
      <c r="W7922" t="s">
        <v>45172</v>
      </c>
      <c r="X7922" t="s">
        <v>46585</v>
      </c>
    </row>
    <row r="7923" spans="1:24">
      <c r="A7923">
        <f>HYPERLINK("https://www.philgeps.gov.ph/GEPSNONPILOT/Tender/SplashBidNoticeAbstractUI.aspx?menuIndex=3&amp;refID=7058842&amp;Result=3","7058842")</f>
        <v>0</v>
      </c>
      <c r="B7923" t="s">
        <v>2385</v>
      </c>
      <c r="C7923" t="s">
        <v>11044</v>
      </c>
      <c r="D7923" t="s">
        <v>18823</v>
      </c>
      <c r="E7923" t="s">
        <v>19380</v>
      </c>
      <c r="F7923" t="s">
        <v>32664</v>
      </c>
      <c r="G7923" t="s">
        <v>32672</v>
      </c>
      <c r="H7923" t="s">
        <v>12635</v>
      </c>
      <c r="I7923" t="s">
        <v>6223</v>
      </c>
      <c r="J7923" t="s">
        <v>37656</v>
      </c>
      <c r="K7923" t="s">
        <v>42281</v>
      </c>
      <c r="M7923" t="s">
        <v>45175</v>
      </c>
      <c r="N7923" t="s">
        <v>46569</v>
      </c>
      <c r="O7923" t="s">
        <v>46570</v>
      </c>
      <c r="P7923">
        <v>0</v>
      </c>
      <c r="Q7923">
        <v>3</v>
      </c>
      <c r="R7923" t="s">
        <v>46574</v>
      </c>
      <c r="S7923" t="s">
        <v>46723</v>
      </c>
      <c r="T7923" t="s">
        <v>48228</v>
      </c>
      <c r="U7923" t="s">
        <v>54421</v>
      </c>
      <c r="W7923" t="s">
        <v>45175</v>
      </c>
      <c r="X7923" t="s">
        <v>46575</v>
      </c>
    </row>
    <row r="7924" spans="1:24">
      <c r="A7924">
        <f>HYPERLINK("https://www.philgeps.gov.ph/GEPSNONPILOT/Tender/SplashBidNoticeAbstractUI.aspx?menuIndex=3&amp;refID=7041685&amp;Result=3","7041685")</f>
        <v>0</v>
      </c>
      <c r="B7924" t="s">
        <v>32</v>
      </c>
      <c r="C7924" t="s">
        <v>11045</v>
      </c>
      <c r="D7924" t="s">
        <v>18788</v>
      </c>
      <c r="E7924" t="s">
        <v>25841</v>
      </c>
      <c r="F7924" t="s">
        <v>32664</v>
      </c>
      <c r="G7924" t="s">
        <v>32672</v>
      </c>
      <c r="H7924" t="s">
        <v>12635</v>
      </c>
      <c r="I7924" t="s">
        <v>6168</v>
      </c>
      <c r="J7924" t="s">
        <v>37657</v>
      </c>
      <c r="K7924" t="s">
        <v>42281</v>
      </c>
      <c r="M7924" t="s">
        <v>45172</v>
      </c>
      <c r="N7924" t="s">
        <v>46569</v>
      </c>
      <c r="O7924" t="s">
        <v>46570</v>
      </c>
      <c r="P7924">
        <v>0</v>
      </c>
      <c r="Q7924">
        <v>2</v>
      </c>
      <c r="R7924" t="s">
        <v>46575</v>
      </c>
      <c r="S7924" t="s">
        <v>46744</v>
      </c>
      <c r="T7924" t="s">
        <v>48221</v>
      </c>
      <c r="U7924" t="s">
        <v>55311</v>
      </c>
      <c r="V7924" t="s">
        <v>61606</v>
      </c>
      <c r="W7924" t="s">
        <v>45172</v>
      </c>
      <c r="X7924" t="s">
        <v>46585</v>
      </c>
    </row>
    <row r="7925" spans="1:24">
      <c r="A7925">
        <f>HYPERLINK("https://www.philgeps.gov.ph/GEPSNONPILOT/Tender/SplashBidNoticeAbstractUI.aspx?menuIndex=3&amp;refID=7041647&amp;Result=3","7041647")</f>
        <v>0</v>
      </c>
      <c r="B7925" t="s">
        <v>32</v>
      </c>
      <c r="C7925" t="s">
        <v>11046</v>
      </c>
      <c r="D7925" t="s">
        <v>18788</v>
      </c>
      <c r="E7925" t="s">
        <v>25842</v>
      </c>
      <c r="F7925" t="s">
        <v>32664</v>
      </c>
      <c r="G7925" t="s">
        <v>32672</v>
      </c>
      <c r="H7925" t="s">
        <v>12635</v>
      </c>
      <c r="I7925" t="s">
        <v>6168</v>
      </c>
      <c r="J7925" t="s">
        <v>37658</v>
      </c>
      <c r="K7925" t="s">
        <v>42281</v>
      </c>
      <c r="M7925" t="s">
        <v>45172</v>
      </c>
      <c r="N7925" t="s">
        <v>46569</v>
      </c>
      <c r="O7925" t="s">
        <v>46570</v>
      </c>
      <c r="P7925">
        <v>0</v>
      </c>
      <c r="Q7925">
        <v>0</v>
      </c>
      <c r="R7925" t="s">
        <v>46575</v>
      </c>
      <c r="S7925" t="s">
        <v>46744</v>
      </c>
      <c r="T7925" t="s">
        <v>48221</v>
      </c>
      <c r="U7925" t="s">
        <v>55312</v>
      </c>
      <c r="V7925" t="s">
        <v>61606</v>
      </c>
      <c r="W7925" t="s">
        <v>45172</v>
      </c>
      <c r="X7925" t="s">
        <v>46585</v>
      </c>
    </row>
    <row r="7926" spans="1:24">
      <c r="A7926">
        <f>HYPERLINK("https://www.philgeps.gov.ph/GEPSNONPILOT/Tender/SplashBidNoticeAbstractUI.aspx?menuIndex=3&amp;refID=7040231&amp;Result=3","7040231")</f>
        <v>0</v>
      </c>
      <c r="B7926" t="s">
        <v>32</v>
      </c>
      <c r="C7926" t="s">
        <v>11047</v>
      </c>
      <c r="D7926" t="s">
        <v>18788</v>
      </c>
      <c r="E7926" t="s">
        <v>25843</v>
      </c>
      <c r="F7926" t="s">
        <v>32664</v>
      </c>
      <c r="G7926" t="s">
        <v>32672</v>
      </c>
      <c r="H7926" t="s">
        <v>12635</v>
      </c>
      <c r="I7926" t="s">
        <v>32698</v>
      </c>
      <c r="J7926" t="s">
        <v>37659</v>
      </c>
      <c r="K7926" t="s">
        <v>42281</v>
      </c>
      <c r="M7926" t="s">
        <v>45172</v>
      </c>
      <c r="N7926" t="s">
        <v>46569</v>
      </c>
      <c r="O7926" t="s">
        <v>46570</v>
      </c>
      <c r="P7926">
        <v>0</v>
      </c>
      <c r="Q7926">
        <v>0</v>
      </c>
      <c r="R7926" t="s">
        <v>46575</v>
      </c>
      <c r="S7926" t="s">
        <v>46744</v>
      </c>
      <c r="T7926" t="s">
        <v>48221</v>
      </c>
      <c r="U7926" t="s">
        <v>55313</v>
      </c>
      <c r="V7926" t="s">
        <v>62396</v>
      </c>
      <c r="W7926" t="s">
        <v>45172</v>
      </c>
      <c r="X7926" t="s">
        <v>46586</v>
      </c>
    </row>
    <row r="7927" spans="1:24">
      <c r="A7927">
        <f>HYPERLINK("https://www.philgeps.gov.ph/GEPSNONPILOT/Tender/SplashBidNoticeAbstractUI.aspx?menuIndex=3&amp;refID=7046156&amp;Result=3","7046156")</f>
        <v>0</v>
      </c>
      <c r="B7927" t="s">
        <v>32</v>
      </c>
      <c r="C7927" t="s">
        <v>11048</v>
      </c>
      <c r="D7927" t="s">
        <v>18788</v>
      </c>
      <c r="E7927" t="s">
        <v>25844</v>
      </c>
      <c r="F7927" t="s">
        <v>32664</v>
      </c>
      <c r="G7927" t="s">
        <v>32672</v>
      </c>
      <c r="H7927" t="s">
        <v>12635</v>
      </c>
      <c r="I7927" t="s">
        <v>4205</v>
      </c>
      <c r="J7927" t="s">
        <v>37660</v>
      </c>
      <c r="K7927" t="s">
        <v>42281</v>
      </c>
      <c r="M7927" t="s">
        <v>45172</v>
      </c>
      <c r="N7927" t="s">
        <v>46569</v>
      </c>
      <c r="O7927" t="s">
        <v>46570</v>
      </c>
      <c r="P7927">
        <v>0</v>
      </c>
      <c r="Q7927">
        <v>1</v>
      </c>
      <c r="R7927" t="s">
        <v>46575</v>
      </c>
      <c r="S7927" t="s">
        <v>46744</v>
      </c>
      <c r="T7927" t="s">
        <v>48221</v>
      </c>
      <c r="U7927" t="s">
        <v>55314</v>
      </c>
      <c r="V7927" t="s">
        <v>61606</v>
      </c>
      <c r="W7927" t="s">
        <v>45172</v>
      </c>
      <c r="X7927" t="s">
        <v>46581</v>
      </c>
    </row>
    <row r="7928" spans="1:24">
      <c r="A7928">
        <f>HYPERLINK("https://www.philgeps.gov.ph/GEPSNONPILOT/Tender/SplashBidNoticeAbstractUI.aspx?menuIndex=3&amp;refID=7058932&amp;Result=3","7058932")</f>
        <v>0</v>
      </c>
      <c r="B7928" t="s">
        <v>2212</v>
      </c>
      <c r="C7928" t="s">
        <v>11049</v>
      </c>
      <c r="E7928" t="s">
        <v>25845</v>
      </c>
      <c r="F7928" t="s">
        <v>32664</v>
      </c>
      <c r="G7928" t="s">
        <v>32672</v>
      </c>
      <c r="H7928" t="s">
        <v>12635</v>
      </c>
      <c r="I7928" t="s">
        <v>4439</v>
      </c>
      <c r="J7928" t="s">
        <v>37661</v>
      </c>
      <c r="K7928" t="s">
        <v>42283</v>
      </c>
      <c r="M7928" t="s">
        <v>44976</v>
      </c>
      <c r="N7928" t="s">
        <v>46569</v>
      </c>
      <c r="O7928" t="s">
        <v>46570</v>
      </c>
      <c r="P7928">
        <v>0</v>
      </c>
      <c r="Q7928">
        <v>0</v>
      </c>
      <c r="R7928" t="s">
        <v>46574</v>
      </c>
      <c r="S7928" t="s">
        <v>46723</v>
      </c>
      <c r="T7928" t="s">
        <v>48219</v>
      </c>
      <c r="U7928" t="s">
        <v>49565</v>
      </c>
      <c r="W7928" t="s">
        <v>44976</v>
      </c>
      <c r="X7928" t="s">
        <v>46575</v>
      </c>
    </row>
    <row r="7929" spans="1:24">
      <c r="A7929">
        <f>HYPERLINK("https://www.philgeps.gov.ph/GEPSNONPILOT/Tender/SplashBidNoticeAbstractUI.aspx?menuIndex=3&amp;refID=7046042&amp;Result=3","7046042")</f>
        <v>0</v>
      </c>
      <c r="B7929" t="s">
        <v>32</v>
      </c>
      <c r="C7929" t="s">
        <v>11050</v>
      </c>
      <c r="D7929" t="s">
        <v>18788</v>
      </c>
      <c r="E7929" t="s">
        <v>25846</v>
      </c>
      <c r="F7929" t="s">
        <v>32664</v>
      </c>
      <c r="G7929" t="s">
        <v>32672</v>
      </c>
      <c r="H7929" t="s">
        <v>12635</v>
      </c>
      <c r="I7929" t="s">
        <v>32699</v>
      </c>
      <c r="J7929" t="s">
        <v>32859</v>
      </c>
      <c r="K7929" t="s">
        <v>42281</v>
      </c>
      <c r="M7929" t="s">
        <v>45172</v>
      </c>
      <c r="N7929" t="s">
        <v>46569</v>
      </c>
      <c r="O7929" t="s">
        <v>46570</v>
      </c>
      <c r="P7929">
        <v>0</v>
      </c>
      <c r="Q7929">
        <v>2</v>
      </c>
      <c r="R7929" t="s">
        <v>46575</v>
      </c>
      <c r="S7929" t="s">
        <v>46744</v>
      </c>
      <c r="T7929" t="s">
        <v>48221</v>
      </c>
      <c r="U7929" t="s">
        <v>55315</v>
      </c>
      <c r="V7929" t="s">
        <v>62396</v>
      </c>
      <c r="W7929" t="s">
        <v>45172</v>
      </c>
      <c r="X7929" t="s">
        <v>46581</v>
      </c>
    </row>
    <row r="7930" spans="1:24">
      <c r="A7930">
        <f>HYPERLINK("https://www.philgeps.gov.ph/GEPSNONPILOT/Tender/SplashBidNoticeAbstractUI.aspx?menuIndex=3&amp;refID=7058928&amp;Result=3","7058928")</f>
        <v>0</v>
      </c>
      <c r="B7930" t="s">
        <v>2379</v>
      </c>
      <c r="C7930" t="s">
        <v>11051</v>
      </c>
      <c r="D7930" t="s">
        <v>18784</v>
      </c>
      <c r="E7930" t="s">
        <v>25847</v>
      </c>
      <c r="F7930" t="s">
        <v>32664</v>
      </c>
      <c r="G7930" t="s">
        <v>32672</v>
      </c>
      <c r="H7930" t="s">
        <v>12635</v>
      </c>
      <c r="I7930" t="s">
        <v>6223</v>
      </c>
      <c r="J7930" t="s">
        <v>32898</v>
      </c>
      <c r="K7930" t="s">
        <v>42284</v>
      </c>
      <c r="M7930" t="s">
        <v>45167</v>
      </c>
      <c r="N7930" t="s">
        <v>46569</v>
      </c>
      <c r="O7930" t="s">
        <v>46570</v>
      </c>
      <c r="P7930">
        <v>0</v>
      </c>
      <c r="Q7930">
        <v>1</v>
      </c>
      <c r="R7930" t="s">
        <v>46574</v>
      </c>
      <c r="S7930" t="s">
        <v>46723</v>
      </c>
      <c r="T7930" t="s">
        <v>48244</v>
      </c>
      <c r="U7930" t="s">
        <v>51714</v>
      </c>
      <c r="W7930" t="s">
        <v>45167</v>
      </c>
      <c r="X7930" t="s">
        <v>46575</v>
      </c>
    </row>
    <row r="7931" spans="1:24">
      <c r="A7931">
        <f>HYPERLINK("https://www.philgeps.gov.ph/GEPSNONPILOT/Tender/SplashBidNoticeAbstractUI.aspx?menuIndex=3&amp;refID=7040218&amp;Result=3","7040218")</f>
        <v>0</v>
      </c>
      <c r="B7931" t="s">
        <v>32</v>
      </c>
      <c r="C7931" t="s">
        <v>11052</v>
      </c>
      <c r="D7931" t="s">
        <v>18788</v>
      </c>
      <c r="E7931" t="s">
        <v>25848</v>
      </c>
      <c r="F7931" t="s">
        <v>32664</v>
      </c>
      <c r="G7931" t="s">
        <v>32672</v>
      </c>
      <c r="H7931" t="s">
        <v>12635</v>
      </c>
      <c r="I7931" t="s">
        <v>32699</v>
      </c>
      <c r="J7931" t="s">
        <v>32974</v>
      </c>
      <c r="K7931" t="s">
        <v>42281</v>
      </c>
      <c r="M7931" t="s">
        <v>45172</v>
      </c>
      <c r="N7931" t="s">
        <v>46569</v>
      </c>
      <c r="O7931" t="s">
        <v>46570</v>
      </c>
      <c r="P7931">
        <v>0</v>
      </c>
      <c r="Q7931">
        <v>3</v>
      </c>
      <c r="R7931" t="s">
        <v>46575</v>
      </c>
      <c r="S7931" t="s">
        <v>46744</v>
      </c>
      <c r="T7931" t="s">
        <v>48221</v>
      </c>
      <c r="U7931" t="s">
        <v>55316</v>
      </c>
      <c r="V7931" t="s">
        <v>62396</v>
      </c>
      <c r="W7931" t="s">
        <v>45172</v>
      </c>
      <c r="X7931" t="s">
        <v>46586</v>
      </c>
    </row>
    <row r="7932" spans="1:24">
      <c r="A7932">
        <f>HYPERLINK("https://www.philgeps.gov.ph/GEPSNONPILOT/Tender/SplashBidNoticeAbstractUI.aspx?menuIndex=3&amp;refID=7058926&amp;Result=3","7058926")</f>
        <v>0</v>
      </c>
      <c r="B7932" t="s">
        <v>2379</v>
      </c>
      <c r="C7932" t="s">
        <v>11053</v>
      </c>
      <c r="D7932" t="s">
        <v>18784</v>
      </c>
      <c r="E7932" t="s">
        <v>25849</v>
      </c>
      <c r="F7932" t="s">
        <v>32664</v>
      </c>
      <c r="G7932" t="s">
        <v>32672</v>
      </c>
      <c r="H7932" t="s">
        <v>12635</v>
      </c>
      <c r="I7932" t="s">
        <v>6223</v>
      </c>
      <c r="J7932" t="s">
        <v>37662</v>
      </c>
      <c r="K7932" t="s">
        <v>42284</v>
      </c>
      <c r="M7932" t="s">
        <v>45167</v>
      </c>
      <c r="N7932" t="s">
        <v>46569</v>
      </c>
      <c r="O7932" t="s">
        <v>46570</v>
      </c>
      <c r="P7932">
        <v>0</v>
      </c>
      <c r="Q7932">
        <v>0</v>
      </c>
      <c r="R7932" t="s">
        <v>46574</v>
      </c>
      <c r="S7932" t="s">
        <v>46723</v>
      </c>
      <c r="T7932" t="s">
        <v>48244</v>
      </c>
      <c r="U7932" t="s">
        <v>51714</v>
      </c>
      <c r="W7932" t="s">
        <v>45167</v>
      </c>
      <c r="X7932" t="s">
        <v>46575</v>
      </c>
    </row>
    <row r="7933" spans="1:24">
      <c r="A7933">
        <f>HYPERLINK("https://www.philgeps.gov.ph/GEPSNONPILOT/Tender/SplashBidNoticeAbstractUI.aspx?menuIndex=3&amp;refID=7058904&amp;Result=3","7058904")</f>
        <v>0</v>
      </c>
      <c r="B7933" t="s">
        <v>2380</v>
      </c>
      <c r="C7933" t="s">
        <v>11054</v>
      </c>
      <c r="D7933" t="s">
        <v>18787</v>
      </c>
      <c r="E7933" t="s">
        <v>25850</v>
      </c>
      <c r="F7933" t="s">
        <v>32664</v>
      </c>
      <c r="G7933" t="s">
        <v>32672</v>
      </c>
      <c r="H7933" t="s">
        <v>32682</v>
      </c>
      <c r="I7933" t="s">
        <v>32700</v>
      </c>
      <c r="J7933" t="s">
        <v>32837</v>
      </c>
      <c r="K7933" t="s">
        <v>42334</v>
      </c>
      <c r="M7933" t="s">
        <v>45171</v>
      </c>
      <c r="N7933" t="s">
        <v>46569</v>
      </c>
      <c r="O7933" t="s">
        <v>46570</v>
      </c>
      <c r="P7933">
        <v>0</v>
      </c>
      <c r="Q7933">
        <v>5</v>
      </c>
      <c r="R7933" t="s">
        <v>46574</v>
      </c>
      <c r="S7933" t="s">
        <v>46723</v>
      </c>
      <c r="T7933" t="s">
        <v>48308</v>
      </c>
      <c r="U7933" t="s">
        <v>55317</v>
      </c>
      <c r="W7933" t="s">
        <v>45168</v>
      </c>
      <c r="X7933" t="s">
        <v>46575</v>
      </c>
    </row>
    <row r="7934" spans="1:24">
      <c r="A7934">
        <f>HYPERLINK("https://www.philgeps.gov.ph/GEPSNONPILOT/Tender/SplashBidNoticeAbstractUI.aspx?menuIndex=3&amp;refID=7058931&amp;Result=3","7058931")</f>
        <v>0</v>
      </c>
      <c r="B7934" t="s">
        <v>1588</v>
      </c>
      <c r="C7934" t="s">
        <v>11055</v>
      </c>
      <c r="D7934" t="s">
        <v>18834</v>
      </c>
      <c r="E7934" t="s">
        <v>25851</v>
      </c>
      <c r="F7934" t="s">
        <v>32664</v>
      </c>
      <c r="G7934" t="s">
        <v>32672</v>
      </c>
      <c r="H7934" t="s">
        <v>12635</v>
      </c>
      <c r="I7934" t="s">
        <v>10627</v>
      </c>
      <c r="J7934" t="s">
        <v>37663</v>
      </c>
      <c r="K7934" t="s">
        <v>42285</v>
      </c>
      <c r="M7934" t="s">
        <v>44265</v>
      </c>
      <c r="N7934" t="s">
        <v>46569</v>
      </c>
      <c r="O7934" t="s">
        <v>46570</v>
      </c>
      <c r="P7934">
        <v>0</v>
      </c>
      <c r="Q7934">
        <v>5</v>
      </c>
      <c r="R7934" t="s">
        <v>46574</v>
      </c>
      <c r="S7934" t="s">
        <v>46723</v>
      </c>
      <c r="T7934" t="s">
        <v>48219</v>
      </c>
      <c r="U7934" t="s">
        <v>55318</v>
      </c>
      <c r="W7934" t="s">
        <v>44265</v>
      </c>
      <c r="X7934" t="s">
        <v>46575</v>
      </c>
    </row>
    <row r="7935" spans="1:24">
      <c r="A7935">
        <f>HYPERLINK("https://www.philgeps.gov.ph/GEPSNONPILOT/Tender/SplashBidNoticeAbstractUI.aspx?menuIndex=3&amp;refID=7058930&amp;Result=3","7058930")</f>
        <v>0</v>
      </c>
      <c r="B7935" t="s">
        <v>2380</v>
      </c>
      <c r="C7935" t="s">
        <v>11056</v>
      </c>
      <c r="D7935" t="s">
        <v>18787</v>
      </c>
      <c r="E7935" t="s">
        <v>25852</v>
      </c>
      <c r="F7935" t="s">
        <v>32664</v>
      </c>
      <c r="G7935" t="s">
        <v>32672</v>
      </c>
      <c r="H7935" t="s">
        <v>32683</v>
      </c>
      <c r="I7935" t="s">
        <v>10627</v>
      </c>
      <c r="J7935" t="s">
        <v>37664</v>
      </c>
      <c r="K7935" t="s">
        <v>42283</v>
      </c>
      <c r="M7935" t="s">
        <v>45168</v>
      </c>
      <c r="N7935" t="s">
        <v>46569</v>
      </c>
      <c r="O7935" t="s">
        <v>46570</v>
      </c>
      <c r="P7935">
        <v>0</v>
      </c>
      <c r="Q7935">
        <v>0</v>
      </c>
      <c r="R7935" t="s">
        <v>46574</v>
      </c>
      <c r="S7935" t="s">
        <v>46723</v>
      </c>
      <c r="T7935" t="s">
        <v>48308</v>
      </c>
      <c r="U7935" t="s">
        <v>55319</v>
      </c>
      <c r="W7935" t="s">
        <v>45168</v>
      </c>
      <c r="X7935" t="s">
        <v>46575</v>
      </c>
    </row>
    <row r="7936" spans="1:24">
      <c r="A7936">
        <f>HYPERLINK("https://www.philgeps.gov.ph/GEPSNONPILOT/Tender/SplashBidNoticeAbstractUI.aspx?menuIndex=3&amp;refID=7058900&amp;Result=3","7058900")</f>
        <v>0</v>
      </c>
      <c r="B7936" t="s">
        <v>2378</v>
      </c>
      <c r="C7936" t="s">
        <v>11057</v>
      </c>
      <c r="D7936" t="s">
        <v>18831</v>
      </c>
      <c r="E7936" t="s">
        <v>25853</v>
      </c>
      <c r="F7936" t="s">
        <v>32664</v>
      </c>
      <c r="G7936" t="s">
        <v>32675</v>
      </c>
      <c r="H7936" t="s">
        <v>12635</v>
      </c>
      <c r="I7936" t="s">
        <v>4205</v>
      </c>
      <c r="J7936" t="s">
        <v>34762</v>
      </c>
      <c r="K7936" t="s">
        <v>42281</v>
      </c>
      <c r="M7936" t="s">
        <v>45166</v>
      </c>
      <c r="N7936" t="s">
        <v>46569</v>
      </c>
      <c r="O7936" t="s">
        <v>46570</v>
      </c>
      <c r="P7936">
        <v>0</v>
      </c>
      <c r="Q7936">
        <v>2</v>
      </c>
      <c r="R7936" t="s">
        <v>46574</v>
      </c>
      <c r="S7936" t="s">
        <v>46723</v>
      </c>
      <c r="T7936" t="s">
        <v>48298</v>
      </c>
      <c r="U7936" t="s">
        <v>55287</v>
      </c>
      <c r="W7936" t="s">
        <v>45166</v>
      </c>
      <c r="X7936" t="s">
        <v>46575</v>
      </c>
    </row>
    <row r="7937" spans="1:24">
      <c r="A7937">
        <f>HYPERLINK("https://www.philgeps.gov.ph/GEPSNONPILOT/Tender/SplashBidNoticeAbstractUI.aspx?menuIndex=3&amp;refID=7058898&amp;Result=3","7058898")</f>
        <v>0</v>
      </c>
      <c r="B7937" t="s">
        <v>1313</v>
      </c>
      <c r="C7937" t="s">
        <v>11058</v>
      </c>
      <c r="E7937" t="s">
        <v>25854</v>
      </c>
      <c r="F7937" t="s">
        <v>32664</v>
      </c>
      <c r="G7937" t="s">
        <v>32671</v>
      </c>
      <c r="H7937" t="s">
        <v>12635</v>
      </c>
      <c r="I7937" t="s">
        <v>32772</v>
      </c>
      <c r="J7937" t="s">
        <v>37665</v>
      </c>
      <c r="K7937" t="s">
        <v>42283</v>
      </c>
      <c r="M7937" t="s">
        <v>43960</v>
      </c>
      <c r="N7937" t="s">
        <v>46569</v>
      </c>
      <c r="O7937" t="s">
        <v>46570</v>
      </c>
      <c r="P7937">
        <v>0</v>
      </c>
      <c r="Q7937">
        <v>4</v>
      </c>
      <c r="R7937" t="s">
        <v>46574</v>
      </c>
      <c r="S7937" t="s">
        <v>46723</v>
      </c>
      <c r="T7937" t="s">
        <v>48562</v>
      </c>
      <c r="U7937" t="s">
        <v>55178</v>
      </c>
      <c r="W7937" t="s">
        <v>43960</v>
      </c>
      <c r="X7937" t="s">
        <v>46575</v>
      </c>
    </row>
    <row r="7938" spans="1:24">
      <c r="A7938">
        <f>HYPERLINK("https://www.philgeps.gov.ph/GEPSNONPILOT/Tender/SplashBidNoticeAbstractUI.aspx?menuIndex=3&amp;refID=7058897&amp;Result=3","7058897")</f>
        <v>0</v>
      </c>
      <c r="B7938" t="s">
        <v>2386</v>
      </c>
      <c r="C7938" t="s">
        <v>11059</v>
      </c>
      <c r="D7938" t="s">
        <v>18835</v>
      </c>
      <c r="E7938" t="s">
        <v>25855</v>
      </c>
      <c r="F7938" t="s">
        <v>32664</v>
      </c>
      <c r="G7938" t="s">
        <v>32672</v>
      </c>
      <c r="H7938" t="s">
        <v>12635</v>
      </c>
      <c r="I7938" t="s">
        <v>8958</v>
      </c>
      <c r="J7938" t="s">
        <v>32917</v>
      </c>
      <c r="K7938" t="s">
        <v>42289</v>
      </c>
      <c r="M7938" t="s">
        <v>45176</v>
      </c>
      <c r="N7938" t="s">
        <v>46569</v>
      </c>
      <c r="O7938" t="s">
        <v>46570</v>
      </c>
      <c r="P7938">
        <v>0</v>
      </c>
      <c r="Q7938">
        <v>0</v>
      </c>
      <c r="R7938" t="s">
        <v>46574</v>
      </c>
      <c r="S7938" t="s">
        <v>46723</v>
      </c>
      <c r="T7938" t="s">
        <v>48274</v>
      </c>
      <c r="U7938" t="s">
        <v>55320</v>
      </c>
      <c r="W7938" t="s">
        <v>45176</v>
      </c>
      <c r="X7938" t="s">
        <v>46575</v>
      </c>
    </row>
    <row r="7939" spans="1:24">
      <c r="A7939">
        <f>HYPERLINK("https://www.philgeps.gov.ph/GEPSNONPILOT/Tender/SplashBidNoticeAbstractUI.aspx?menuIndex=3&amp;refID=7058907&amp;Result=3","7058907")</f>
        <v>0</v>
      </c>
      <c r="B7939" t="s">
        <v>2380</v>
      </c>
      <c r="C7939" t="s">
        <v>11060</v>
      </c>
      <c r="D7939" t="s">
        <v>18787</v>
      </c>
      <c r="E7939" t="s">
        <v>25856</v>
      </c>
      <c r="F7939" t="s">
        <v>32664</v>
      </c>
      <c r="G7939" t="s">
        <v>32672</v>
      </c>
      <c r="H7939" t="s">
        <v>12635</v>
      </c>
      <c r="I7939" t="s">
        <v>32684</v>
      </c>
      <c r="J7939" t="s">
        <v>37666</v>
      </c>
      <c r="K7939" t="s">
        <v>42283</v>
      </c>
      <c r="M7939" t="s">
        <v>45171</v>
      </c>
      <c r="N7939" t="s">
        <v>46569</v>
      </c>
      <c r="O7939" t="s">
        <v>46570</v>
      </c>
      <c r="P7939">
        <v>0</v>
      </c>
      <c r="Q7939">
        <v>9</v>
      </c>
      <c r="R7939" t="s">
        <v>46574</v>
      </c>
      <c r="S7939" t="s">
        <v>46723</v>
      </c>
      <c r="T7939" t="s">
        <v>48308</v>
      </c>
      <c r="U7939" t="s">
        <v>55321</v>
      </c>
      <c r="W7939" t="s">
        <v>45168</v>
      </c>
      <c r="X7939" t="s">
        <v>46575</v>
      </c>
    </row>
    <row r="7940" spans="1:24">
      <c r="A7940">
        <f>HYPERLINK("https://www.philgeps.gov.ph/GEPSNONPILOT/Tender/SplashBidNoticeAbstractUI.aspx?menuIndex=3&amp;refID=7058875&amp;Result=3","7058875")</f>
        <v>0</v>
      </c>
      <c r="B7940" t="s">
        <v>2387</v>
      </c>
      <c r="C7940" t="s">
        <v>11061</v>
      </c>
      <c r="D7940" t="s">
        <v>18855</v>
      </c>
      <c r="E7940" t="s">
        <v>25857</v>
      </c>
      <c r="F7940" t="s">
        <v>32664</v>
      </c>
      <c r="G7940" t="s">
        <v>32672</v>
      </c>
      <c r="H7940" t="s">
        <v>12635</v>
      </c>
      <c r="I7940" t="s">
        <v>9597</v>
      </c>
      <c r="J7940" t="s">
        <v>37667</v>
      </c>
      <c r="K7940" t="s">
        <v>42289</v>
      </c>
      <c r="M7940" t="s">
        <v>45177</v>
      </c>
      <c r="N7940" t="s">
        <v>46569</v>
      </c>
      <c r="O7940" t="s">
        <v>46570</v>
      </c>
      <c r="P7940">
        <v>0</v>
      </c>
      <c r="Q7940">
        <v>5</v>
      </c>
      <c r="R7940" t="s">
        <v>46574</v>
      </c>
      <c r="S7940" t="s">
        <v>46723</v>
      </c>
      <c r="T7940" t="s">
        <v>48264</v>
      </c>
      <c r="U7940" t="s">
        <v>55322</v>
      </c>
      <c r="V7940" t="s">
        <v>62398</v>
      </c>
      <c r="W7940" t="s">
        <v>45177</v>
      </c>
      <c r="X7940" t="s">
        <v>46575</v>
      </c>
    </row>
    <row r="7941" spans="1:24">
      <c r="A7941">
        <f>HYPERLINK("https://www.philgeps.gov.ph/GEPSNONPILOT/Tender/SplashBidNoticeAbstractUI.aspx?menuIndex=3&amp;refID=7058033&amp;Result=3","7058033")</f>
        <v>0</v>
      </c>
      <c r="B7941" t="s">
        <v>2388</v>
      </c>
      <c r="C7941" t="s">
        <v>11062</v>
      </c>
      <c r="D7941" t="s">
        <v>18841</v>
      </c>
      <c r="E7941" t="s">
        <v>25858</v>
      </c>
      <c r="F7941" t="s">
        <v>32664</v>
      </c>
      <c r="G7941" t="s">
        <v>32672</v>
      </c>
      <c r="H7941" t="s">
        <v>12635</v>
      </c>
      <c r="I7941" t="s">
        <v>32694</v>
      </c>
      <c r="J7941" t="s">
        <v>37668</v>
      </c>
      <c r="K7941" t="s">
        <v>42281</v>
      </c>
      <c r="M7941" t="s">
        <v>45178</v>
      </c>
      <c r="N7941" t="s">
        <v>46569</v>
      </c>
      <c r="O7941" t="s">
        <v>46570</v>
      </c>
      <c r="P7941">
        <v>0</v>
      </c>
      <c r="Q7941">
        <v>0</v>
      </c>
      <c r="R7941" t="s">
        <v>46575</v>
      </c>
      <c r="S7941" t="s">
        <v>46744</v>
      </c>
      <c r="T7941" t="s">
        <v>48349</v>
      </c>
      <c r="U7941" t="s">
        <v>55323</v>
      </c>
      <c r="V7941" t="s">
        <v>62399</v>
      </c>
      <c r="W7941" t="s">
        <v>45178</v>
      </c>
      <c r="X7941" t="s">
        <v>46577</v>
      </c>
    </row>
    <row r="7942" spans="1:24">
      <c r="A7942">
        <f>HYPERLINK("https://www.philgeps.gov.ph/GEPSNONPILOT/Tender/SplashBidNoticeAbstractUI.aspx?menuIndex=3&amp;refID=7041667&amp;Result=3","7041667")</f>
        <v>0</v>
      </c>
      <c r="B7942" t="s">
        <v>32</v>
      </c>
      <c r="C7942" t="s">
        <v>11063</v>
      </c>
      <c r="D7942" t="s">
        <v>18788</v>
      </c>
      <c r="E7942" t="s">
        <v>25859</v>
      </c>
      <c r="F7942" t="s">
        <v>32664</v>
      </c>
      <c r="G7942" t="s">
        <v>32672</v>
      </c>
      <c r="H7942" t="s">
        <v>12635</v>
      </c>
      <c r="I7942" t="s">
        <v>4205</v>
      </c>
      <c r="J7942" t="s">
        <v>32974</v>
      </c>
      <c r="K7942" t="s">
        <v>42281</v>
      </c>
      <c r="M7942" t="s">
        <v>45172</v>
      </c>
      <c r="N7942" t="s">
        <v>46569</v>
      </c>
      <c r="O7942" t="s">
        <v>46570</v>
      </c>
      <c r="P7942">
        <v>0</v>
      </c>
      <c r="Q7942">
        <v>2</v>
      </c>
      <c r="R7942" t="s">
        <v>46575</v>
      </c>
      <c r="S7942" t="s">
        <v>46744</v>
      </c>
      <c r="T7942" t="s">
        <v>48221</v>
      </c>
      <c r="U7942" t="s">
        <v>55324</v>
      </c>
      <c r="V7942" t="s">
        <v>61606</v>
      </c>
      <c r="W7942" t="s">
        <v>45172</v>
      </c>
      <c r="X7942" t="s">
        <v>46585</v>
      </c>
    </row>
    <row r="7943" spans="1:24">
      <c r="A7943">
        <f>HYPERLINK("https://www.philgeps.gov.ph/GEPSNONPILOT/Tender/SplashBidNoticeAbstractUI.aspx?menuIndex=3&amp;refID=7046106&amp;Result=3","7046106")</f>
        <v>0</v>
      </c>
      <c r="B7943" t="s">
        <v>32</v>
      </c>
      <c r="C7943" t="s">
        <v>11064</v>
      </c>
      <c r="D7943" t="s">
        <v>18788</v>
      </c>
      <c r="E7943" t="s">
        <v>25860</v>
      </c>
      <c r="F7943" t="s">
        <v>32664</v>
      </c>
      <c r="G7943" t="s">
        <v>32672</v>
      </c>
      <c r="H7943" t="s">
        <v>12635</v>
      </c>
      <c r="I7943" t="s">
        <v>32699</v>
      </c>
      <c r="J7943" t="s">
        <v>37669</v>
      </c>
      <c r="K7943" t="s">
        <v>42281</v>
      </c>
      <c r="M7943" t="s">
        <v>45172</v>
      </c>
      <c r="N7943" t="s">
        <v>46569</v>
      </c>
      <c r="O7943" t="s">
        <v>46570</v>
      </c>
      <c r="P7943">
        <v>0</v>
      </c>
      <c r="Q7943">
        <v>1</v>
      </c>
      <c r="R7943" t="s">
        <v>46575</v>
      </c>
      <c r="S7943" t="s">
        <v>46744</v>
      </c>
      <c r="T7943" t="s">
        <v>48221</v>
      </c>
      <c r="U7943" t="s">
        <v>55325</v>
      </c>
      <c r="V7943" t="s">
        <v>62396</v>
      </c>
      <c r="W7943" t="s">
        <v>45172</v>
      </c>
      <c r="X7943" t="s">
        <v>46581</v>
      </c>
    </row>
    <row r="7944" spans="1:24">
      <c r="A7944">
        <f>HYPERLINK("https://www.philgeps.gov.ph/GEPSNONPILOT/Tender/SplashBidNoticeAbstractUI.aspx?menuIndex=3&amp;refID=7058028&amp;Result=3","7058028")</f>
        <v>0</v>
      </c>
      <c r="B7944" t="s">
        <v>2388</v>
      </c>
      <c r="C7944" t="s">
        <v>11065</v>
      </c>
      <c r="D7944" t="s">
        <v>18841</v>
      </c>
      <c r="E7944" t="s">
        <v>25861</v>
      </c>
      <c r="F7944" t="s">
        <v>32664</v>
      </c>
      <c r="G7944" t="s">
        <v>32672</v>
      </c>
      <c r="H7944" t="s">
        <v>12635</v>
      </c>
      <c r="I7944" t="s">
        <v>32699</v>
      </c>
      <c r="J7944" t="s">
        <v>34095</v>
      </c>
      <c r="K7944" t="s">
        <v>42281</v>
      </c>
      <c r="M7944" t="s">
        <v>45178</v>
      </c>
      <c r="N7944" t="s">
        <v>46569</v>
      </c>
      <c r="O7944" t="s">
        <v>46570</v>
      </c>
      <c r="P7944">
        <v>0</v>
      </c>
      <c r="Q7944">
        <v>2</v>
      </c>
      <c r="R7944" t="s">
        <v>46575</v>
      </c>
      <c r="S7944" t="s">
        <v>46744</v>
      </c>
      <c r="T7944" t="s">
        <v>48349</v>
      </c>
      <c r="U7944" t="s">
        <v>55326</v>
      </c>
      <c r="V7944" t="s">
        <v>62399</v>
      </c>
      <c r="W7944" t="s">
        <v>45178</v>
      </c>
      <c r="X7944" t="s">
        <v>46577</v>
      </c>
    </row>
    <row r="7945" spans="1:24">
      <c r="A7945">
        <f>HYPERLINK("https://www.philgeps.gov.ph/GEPSNONPILOT/Tender/SplashBidNoticeAbstractUI.aspx?menuIndex=3&amp;refID=7058023&amp;Result=3","7058023")</f>
        <v>0</v>
      </c>
      <c r="B7945" t="s">
        <v>988</v>
      </c>
      <c r="C7945" t="s">
        <v>11066</v>
      </c>
      <c r="D7945" t="s">
        <v>18784</v>
      </c>
      <c r="E7945" t="s">
        <v>25862</v>
      </c>
      <c r="F7945" t="s">
        <v>32664</v>
      </c>
      <c r="G7945" t="s">
        <v>32671</v>
      </c>
      <c r="H7945" t="s">
        <v>12635</v>
      </c>
      <c r="I7945" t="s">
        <v>6628</v>
      </c>
      <c r="J7945" t="s">
        <v>37670</v>
      </c>
      <c r="K7945" t="s">
        <v>42281</v>
      </c>
      <c r="M7945" t="s">
        <v>44301</v>
      </c>
      <c r="N7945" t="s">
        <v>46569</v>
      </c>
      <c r="O7945" t="s">
        <v>46570</v>
      </c>
      <c r="P7945">
        <v>0</v>
      </c>
      <c r="Q7945">
        <v>5</v>
      </c>
      <c r="R7945" t="s">
        <v>46575</v>
      </c>
      <c r="S7945" t="s">
        <v>46744</v>
      </c>
      <c r="T7945" t="s">
        <v>48221</v>
      </c>
      <c r="U7945" t="s">
        <v>55327</v>
      </c>
      <c r="W7945" t="s">
        <v>44301</v>
      </c>
      <c r="X7945" t="s">
        <v>46577</v>
      </c>
    </row>
    <row r="7946" spans="1:24">
      <c r="A7946">
        <f>HYPERLINK("https://www.philgeps.gov.ph/GEPSNONPILOT/Tender/SplashBidNoticeAbstractUI.aspx?menuIndex=3&amp;refID=7046075&amp;Result=3","7046075")</f>
        <v>0</v>
      </c>
      <c r="B7946" t="s">
        <v>32</v>
      </c>
      <c r="C7946" t="s">
        <v>11067</v>
      </c>
      <c r="D7946" t="s">
        <v>18788</v>
      </c>
      <c r="E7946" t="s">
        <v>25863</v>
      </c>
      <c r="F7946" t="s">
        <v>32664</v>
      </c>
      <c r="G7946" t="s">
        <v>32672</v>
      </c>
      <c r="H7946" t="s">
        <v>12635</v>
      </c>
      <c r="I7946" t="s">
        <v>32698</v>
      </c>
      <c r="J7946" t="s">
        <v>37671</v>
      </c>
      <c r="K7946" t="s">
        <v>42281</v>
      </c>
      <c r="M7946" t="s">
        <v>45172</v>
      </c>
      <c r="N7946" t="s">
        <v>46569</v>
      </c>
      <c r="O7946" t="s">
        <v>46570</v>
      </c>
      <c r="P7946">
        <v>0</v>
      </c>
      <c r="Q7946">
        <v>1</v>
      </c>
      <c r="R7946" t="s">
        <v>46575</v>
      </c>
      <c r="S7946" t="s">
        <v>46744</v>
      </c>
      <c r="T7946" t="s">
        <v>48221</v>
      </c>
      <c r="U7946" t="s">
        <v>55328</v>
      </c>
      <c r="V7946" t="s">
        <v>62396</v>
      </c>
      <c r="W7946" t="s">
        <v>45172</v>
      </c>
      <c r="X7946" t="s">
        <v>46581</v>
      </c>
    </row>
    <row r="7947" spans="1:24">
      <c r="A7947">
        <f>HYPERLINK("https://www.philgeps.gov.ph/GEPSNONPILOT/Tender/SplashBidNoticeAbstractUI.aspx?menuIndex=3&amp;refID=7057517&amp;Result=3","7057517")</f>
        <v>0</v>
      </c>
      <c r="B7947" t="s">
        <v>2389</v>
      </c>
      <c r="C7947" t="s">
        <v>11068</v>
      </c>
      <c r="D7947" t="s">
        <v>18802</v>
      </c>
      <c r="E7947" t="s">
        <v>25864</v>
      </c>
      <c r="F7947" t="s">
        <v>32664</v>
      </c>
      <c r="G7947" t="s">
        <v>32672</v>
      </c>
      <c r="H7947" t="s">
        <v>12635</v>
      </c>
      <c r="I7947" t="s">
        <v>4439</v>
      </c>
      <c r="J7947" t="s">
        <v>37672</v>
      </c>
      <c r="K7947" t="s">
        <v>42281</v>
      </c>
      <c r="M7947" t="s">
        <v>45179</v>
      </c>
      <c r="N7947" t="s">
        <v>46569</v>
      </c>
      <c r="O7947" t="s">
        <v>46570</v>
      </c>
      <c r="P7947">
        <v>0</v>
      </c>
      <c r="Q7947">
        <v>2</v>
      </c>
      <c r="R7947" t="s">
        <v>46575</v>
      </c>
      <c r="S7947" t="s">
        <v>46744</v>
      </c>
      <c r="T7947" t="s">
        <v>48479</v>
      </c>
      <c r="U7947" t="s">
        <v>55329</v>
      </c>
      <c r="V7947" t="s">
        <v>62400</v>
      </c>
      <c r="W7947" t="s">
        <v>45179</v>
      </c>
      <c r="X7947" t="s">
        <v>46577</v>
      </c>
    </row>
    <row r="7948" spans="1:24">
      <c r="A7948">
        <f>HYPERLINK("https://www.philgeps.gov.ph/GEPSNONPILOT/Tender/SplashBidNoticeAbstractUI.aspx?menuIndex=3&amp;refID=7058032&amp;Result=3","7058032")</f>
        <v>0</v>
      </c>
      <c r="B7948" t="s">
        <v>2388</v>
      </c>
      <c r="C7948" t="s">
        <v>11069</v>
      </c>
      <c r="D7948" t="s">
        <v>18841</v>
      </c>
      <c r="E7948" t="s">
        <v>25865</v>
      </c>
      <c r="F7948" t="s">
        <v>32664</v>
      </c>
      <c r="G7948" t="s">
        <v>32672</v>
      </c>
      <c r="H7948" t="s">
        <v>12635</v>
      </c>
      <c r="I7948" t="s">
        <v>32694</v>
      </c>
      <c r="J7948" t="s">
        <v>37673</v>
      </c>
      <c r="K7948" t="s">
        <v>42281</v>
      </c>
      <c r="M7948" t="s">
        <v>45178</v>
      </c>
      <c r="N7948" t="s">
        <v>46569</v>
      </c>
      <c r="O7948" t="s">
        <v>46570</v>
      </c>
      <c r="P7948">
        <v>0</v>
      </c>
      <c r="Q7948">
        <v>0</v>
      </c>
      <c r="R7948" t="s">
        <v>46575</v>
      </c>
      <c r="S7948" t="s">
        <v>46744</v>
      </c>
      <c r="T7948" t="s">
        <v>48349</v>
      </c>
      <c r="U7948" t="s">
        <v>55330</v>
      </c>
      <c r="V7948" t="s">
        <v>62399</v>
      </c>
      <c r="W7948" t="s">
        <v>45178</v>
      </c>
      <c r="X7948" t="s">
        <v>46577</v>
      </c>
    </row>
    <row r="7949" spans="1:24">
      <c r="A7949">
        <f>HYPERLINK("https://www.philgeps.gov.ph/GEPSNONPILOT/Tender/SplashBidNoticeAbstractUI.aspx?menuIndex=3&amp;refID=7046254&amp;Result=3","7046254")</f>
        <v>0</v>
      </c>
      <c r="B7949" t="s">
        <v>32</v>
      </c>
      <c r="C7949" t="s">
        <v>11070</v>
      </c>
      <c r="D7949" t="s">
        <v>18788</v>
      </c>
      <c r="E7949" t="s">
        <v>25866</v>
      </c>
      <c r="F7949" t="s">
        <v>32664</v>
      </c>
      <c r="G7949" t="s">
        <v>32672</v>
      </c>
      <c r="H7949" t="s">
        <v>12635</v>
      </c>
      <c r="I7949" t="s">
        <v>32699</v>
      </c>
      <c r="J7949" t="s">
        <v>37674</v>
      </c>
      <c r="K7949" t="s">
        <v>42281</v>
      </c>
      <c r="M7949" t="s">
        <v>45172</v>
      </c>
      <c r="N7949" t="s">
        <v>46569</v>
      </c>
      <c r="O7949" t="s">
        <v>46570</v>
      </c>
      <c r="P7949">
        <v>0</v>
      </c>
      <c r="Q7949">
        <v>1</v>
      </c>
      <c r="R7949" t="s">
        <v>46575</v>
      </c>
      <c r="S7949" t="s">
        <v>46744</v>
      </c>
      <c r="T7949" t="s">
        <v>48221</v>
      </c>
      <c r="U7949" t="s">
        <v>55331</v>
      </c>
      <c r="V7949" t="s">
        <v>62396</v>
      </c>
      <c r="W7949" t="s">
        <v>45172</v>
      </c>
      <c r="X7949" t="s">
        <v>46581</v>
      </c>
    </row>
    <row r="7950" spans="1:24">
      <c r="A7950">
        <f>HYPERLINK("https://www.philgeps.gov.ph/GEPSNONPILOT/Tender/SplashBidNoticeAbstractUI.aspx?menuIndex=3&amp;refID=7058030&amp;Result=3","7058030")</f>
        <v>0</v>
      </c>
      <c r="B7950" t="s">
        <v>2388</v>
      </c>
      <c r="C7950" t="s">
        <v>11071</v>
      </c>
      <c r="D7950" t="s">
        <v>18841</v>
      </c>
      <c r="E7950" t="s">
        <v>25867</v>
      </c>
      <c r="F7950" t="s">
        <v>32664</v>
      </c>
      <c r="G7950" t="s">
        <v>32672</v>
      </c>
      <c r="H7950" t="s">
        <v>12635</v>
      </c>
      <c r="I7950" t="s">
        <v>32694</v>
      </c>
      <c r="J7950" t="s">
        <v>37675</v>
      </c>
      <c r="K7950" t="s">
        <v>42281</v>
      </c>
      <c r="M7950" t="s">
        <v>45178</v>
      </c>
      <c r="N7950" t="s">
        <v>46569</v>
      </c>
      <c r="O7950" t="s">
        <v>46570</v>
      </c>
      <c r="P7950">
        <v>0</v>
      </c>
      <c r="Q7950">
        <v>0</v>
      </c>
      <c r="R7950" t="s">
        <v>46575</v>
      </c>
      <c r="S7950" t="s">
        <v>46744</v>
      </c>
      <c r="T7950" t="s">
        <v>48349</v>
      </c>
      <c r="U7950" t="s">
        <v>55332</v>
      </c>
      <c r="V7950" t="s">
        <v>62399</v>
      </c>
      <c r="W7950" t="s">
        <v>45178</v>
      </c>
      <c r="X7950" t="s">
        <v>46577</v>
      </c>
    </row>
    <row r="7951" spans="1:24">
      <c r="A7951">
        <f>HYPERLINK("https://www.philgeps.gov.ph/GEPSNONPILOT/Tender/SplashBidNoticeAbstractUI.aspx?menuIndex=3&amp;refID=7054801&amp;Result=3","7054801")</f>
        <v>0</v>
      </c>
      <c r="B7951" t="s">
        <v>58</v>
      </c>
      <c r="C7951" t="s">
        <v>11072</v>
      </c>
      <c r="E7951" t="s">
        <v>25868</v>
      </c>
      <c r="F7951" t="s">
        <v>32664</v>
      </c>
      <c r="G7951" t="s">
        <v>32672</v>
      </c>
      <c r="H7951" t="s">
        <v>12635</v>
      </c>
      <c r="I7951" t="s">
        <v>32696</v>
      </c>
      <c r="J7951" t="s">
        <v>37676</v>
      </c>
      <c r="K7951" t="s">
        <v>42281</v>
      </c>
      <c r="M7951" t="s">
        <v>42620</v>
      </c>
      <c r="N7951" t="s">
        <v>46569</v>
      </c>
      <c r="O7951" t="s">
        <v>46570</v>
      </c>
      <c r="P7951">
        <v>0</v>
      </c>
      <c r="Q7951">
        <v>2</v>
      </c>
      <c r="R7951" t="s">
        <v>46575</v>
      </c>
      <c r="S7951" t="s">
        <v>46744</v>
      </c>
      <c r="T7951" t="s">
        <v>48302</v>
      </c>
      <c r="U7951" t="s">
        <v>55333</v>
      </c>
      <c r="V7951" t="s">
        <v>62401</v>
      </c>
      <c r="W7951" t="s">
        <v>42620</v>
      </c>
      <c r="X7951" t="s">
        <v>46578</v>
      </c>
    </row>
    <row r="7952" spans="1:24">
      <c r="A7952">
        <f>HYPERLINK("https://www.philgeps.gov.ph/GEPSNONPILOT/Tender/SplashBidNoticeAbstractUI.aspx?menuIndex=3&amp;refID=7054652&amp;Result=3","7054652")</f>
        <v>0</v>
      </c>
      <c r="B7952" t="s">
        <v>2390</v>
      </c>
      <c r="C7952" t="s">
        <v>11073</v>
      </c>
      <c r="D7952" t="s">
        <v>18838</v>
      </c>
      <c r="E7952" t="s">
        <v>25869</v>
      </c>
      <c r="F7952" t="s">
        <v>32664</v>
      </c>
      <c r="G7952" t="s">
        <v>32671</v>
      </c>
      <c r="H7952" t="s">
        <v>12635</v>
      </c>
      <c r="I7952" t="s">
        <v>32685</v>
      </c>
      <c r="J7952" t="s">
        <v>33330</v>
      </c>
      <c r="K7952" t="s">
        <v>42281</v>
      </c>
      <c r="M7952" t="s">
        <v>45180</v>
      </c>
      <c r="N7952" t="s">
        <v>46569</v>
      </c>
      <c r="O7952" t="s">
        <v>46570</v>
      </c>
      <c r="P7952">
        <v>0</v>
      </c>
      <c r="Q7952">
        <v>2</v>
      </c>
      <c r="R7952" t="s">
        <v>46575</v>
      </c>
      <c r="S7952" t="s">
        <v>46744</v>
      </c>
      <c r="T7952" t="s">
        <v>48611</v>
      </c>
      <c r="U7952" t="s">
        <v>55334</v>
      </c>
      <c r="W7952" t="s">
        <v>45180</v>
      </c>
      <c r="X7952" t="s">
        <v>46578</v>
      </c>
    </row>
    <row r="7953" spans="1:24">
      <c r="A7953">
        <f>HYPERLINK("https://www.philgeps.gov.ph/GEPSNONPILOT/Tender/SplashBidNoticeAbstractUI.aspx?menuIndex=3&amp;refID=7058002&amp;Result=3","7058002")</f>
        <v>0</v>
      </c>
      <c r="B7953" t="s">
        <v>2378</v>
      </c>
      <c r="C7953" t="s">
        <v>11074</v>
      </c>
      <c r="D7953" t="s">
        <v>18831</v>
      </c>
      <c r="E7953" t="s">
        <v>25870</v>
      </c>
      <c r="F7953" t="s">
        <v>32664</v>
      </c>
      <c r="G7953" t="s">
        <v>32671</v>
      </c>
      <c r="H7953" t="s">
        <v>12635</v>
      </c>
      <c r="I7953" t="s">
        <v>13883</v>
      </c>
      <c r="J7953" t="s">
        <v>37677</v>
      </c>
      <c r="K7953" t="s">
        <v>42281</v>
      </c>
      <c r="M7953" t="s">
        <v>45166</v>
      </c>
      <c r="N7953" t="s">
        <v>46569</v>
      </c>
      <c r="O7953" t="s">
        <v>46570</v>
      </c>
      <c r="P7953">
        <v>0</v>
      </c>
      <c r="Q7953">
        <v>7</v>
      </c>
      <c r="R7953" t="s">
        <v>46575</v>
      </c>
      <c r="S7953" t="s">
        <v>46744</v>
      </c>
      <c r="T7953" t="s">
        <v>48298</v>
      </c>
      <c r="U7953" t="s">
        <v>55287</v>
      </c>
      <c r="W7953" t="s">
        <v>45166</v>
      </c>
      <c r="X7953" t="s">
        <v>46577</v>
      </c>
    </row>
    <row r="7954" spans="1:24">
      <c r="A7954">
        <f>HYPERLINK("https://www.philgeps.gov.ph/GEPSNONPILOT/Tender/SplashBidNoticeAbstractUI.aspx?menuIndex=3&amp;refID=7054111&amp;Result=3","7054111")</f>
        <v>0</v>
      </c>
      <c r="B7954" t="s">
        <v>32</v>
      </c>
      <c r="C7954" t="s">
        <v>11075</v>
      </c>
      <c r="D7954" t="s">
        <v>18788</v>
      </c>
      <c r="E7954" t="s">
        <v>25871</v>
      </c>
      <c r="F7954" t="s">
        <v>32664</v>
      </c>
      <c r="G7954" t="s">
        <v>32672</v>
      </c>
      <c r="H7954" t="s">
        <v>12635</v>
      </c>
      <c r="I7954" t="s">
        <v>9486</v>
      </c>
      <c r="J7954" t="s">
        <v>37678</v>
      </c>
      <c r="K7954" t="s">
        <v>42281</v>
      </c>
      <c r="M7954" t="s">
        <v>45172</v>
      </c>
      <c r="N7954" t="s">
        <v>46569</v>
      </c>
      <c r="O7954" t="s">
        <v>46570</v>
      </c>
      <c r="P7954">
        <v>0</v>
      </c>
      <c r="Q7954">
        <v>2</v>
      </c>
      <c r="R7954" t="s">
        <v>46575</v>
      </c>
      <c r="S7954" t="s">
        <v>46744</v>
      </c>
      <c r="T7954" t="s">
        <v>48308</v>
      </c>
      <c r="U7954" t="s">
        <v>55335</v>
      </c>
      <c r="V7954" t="s">
        <v>62402</v>
      </c>
      <c r="W7954" t="s">
        <v>45172</v>
      </c>
      <c r="X7954" t="s">
        <v>46578</v>
      </c>
    </row>
    <row r="7955" spans="1:24">
      <c r="A7955">
        <f>HYPERLINK("https://www.philgeps.gov.ph/GEPSNONPILOT/Tender/SplashBidNoticeAbstractUI.aspx?menuIndex=3&amp;refID=7058903&amp;Result=3","7058903")</f>
        <v>0</v>
      </c>
      <c r="B7955" t="s">
        <v>2378</v>
      </c>
      <c r="C7955" t="s">
        <v>11076</v>
      </c>
      <c r="D7955" t="s">
        <v>18831</v>
      </c>
      <c r="E7955" t="s">
        <v>25872</v>
      </c>
      <c r="F7955" t="s">
        <v>32664</v>
      </c>
      <c r="G7955" t="s">
        <v>32671</v>
      </c>
      <c r="H7955" t="s">
        <v>12635</v>
      </c>
      <c r="I7955" t="s">
        <v>13883</v>
      </c>
      <c r="J7955" t="s">
        <v>37679</v>
      </c>
      <c r="K7955" t="s">
        <v>42281</v>
      </c>
      <c r="M7955" t="s">
        <v>45166</v>
      </c>
      <c r="N7955" t="s">
        <v>46569</v>
      </c>
      <c r="O7955" t="s">
        <v>46570</v>
      </c>
      <c r="P7955">
        <v>0</v>
      </c>
      <c r="Q7955">
        <v>6</v>
      </c>
      <c r="R7955" t="s">
        <v>46574</v>
      </c>
      <c r="S7955" t="s">
        <v>46723</v>
      </c>
      <c r="T7955" t="s">
        <v>48298</v>
      </c>
      <c r="U7955" t="s">
        <v>55287</v>
      </c>
      <c r="W7955" t="s">
        <v>45166</v>
      </c>
      <c r="X7955" t="s">
        <v>46575</v>
      </c>
    </row>
    <row r="7956" spans="1:24">
      <c r="A7956">
        <f>HYPERLINK("https://www.philgeps.gov.ph/GEPSNONPILOT/Tender/SplashBidNoticeAbstractUI.aspx?menuIndex=3&amp;refID=7053984&amp;Result=3","7053984")</f>
        <v>0</v>
      </c>
      <c r="B7956" t="s">
        <v>58</v>
      </c>
      <c r="C7956" t="s">
        <v>11077</v>
      </c>
      <c r="E7956" t="s">
        <v>25873</v>
      </c>
      <c r="F7956" t="s">
        <v>32664</v>
      </c>
      <c r="G7956" t="s">
        <v>32672</v>
      </c>
      <c r="H7956" t="s">
        <v>12635</v>
      </c>
      <c r="I7956" t="s">
        <v>32696</v>
      </c>
      <c r="J7956" t="s">
        <v>37680</v>
      </c>
      <c r="K7956" t="s">
        <v>42283</v>
      </c>
      <c r="M7956" t="s">
        <v>42620</v>
      </c>
      <c r="N7956" t="s">
        <v>46569</v>
      </c>
      <c r="O7956" t="s">
        <v>46570</v>
      </c>
      <c r="P7956">
        <v>0</v>
      </c>
      <c r="Q7956">
        <v>1</v>
      </c>
      <c r="R7956" t="s">
        <v>46575</v>
      </c>
      <c r="S7956" t="s">
        <v>46744</v>
      </c>
      <c r="T7956" t="s">
        <v>48302</v>
      </c>
      <c r="U7956" t="s">
        <v>55336</v>
      </c>
      <c r="V7956" t="s">
        <v>62401</v>
      </c>
      <c r="W7956" t="s">
        <v>42620</v>
      </c>
      <c r="X7956" t="s">
        <v>46578</v>
      </c>
    </row>
    <row r="7957" spans="1:24">
      <c r="A7957">
        <f>HYPERLINK("https://www.philgeps.gov.ph/GEPSNONPILOT/Tender/SplashBidNoticeAbstractUI.aspx?menuIndex=3&amp;refID=7057506&amp;Result=3","7057506")</f>
        <v>0</v>
      </c>
      <c r="B7957" t="s">
        <v>2391</v>
      </c>
      <c r="C7957" t="s">
        <v>11078</v>
      </c>
      <c r="D7957" t="s">
        <v>18830</v>
      </c>
      <c r="E7957" t="s">
        <v>25874</v>
      </c>
      <c r="F7957" t="s">
        <v>32664</v>
      </c>
      <c r="G7957" t="s">
        <v>32672</v>
      </c>
      <c r="H7957" t="s">
        <v>12635</v>
      </c>
      <c r="I7957" t="s">
        <v>5589</v>
      </c>
      <c r="J7957" t="s">
        <v>35541</v>
      </c>
      <c r="K7957" t="s">
        <v>42289</v>
      </c>
      <c r="M7957" t="s">
        <v>45181</v>
      </c>
      <c r="N7957" t="s">
        <v>46569</v>
      </c>
      <c r="O7957" t="s">
        <v>46570</v>
      </c>
      <c r="P7957">
        <v>0</v>
      </c>
      <c r="Q7957">
        <v>3</v>
      </c>
      <c r="R7957" t="s">
        <v>46575</v>
      </c>
      <c r="S7957" t="s">
        <v>46744</v>
      </c>
      <c r="T7957" t="s">
        <v>48246</v>
      </c>
      <c r="U7957" t="s">
        <v>55337</v>
      </c>
      <c r="V7957" t="s">
        <v>62403</v>
      </c>
      <c r="W7957" t="s">
        <v>45181</v>
      </c>
      <c r="X7957" t="s">
        <v>46577</v>
      </c>
    </row>
    <row r="7958" spans="1:24">
      <c r="A7958">
        <f>HYPERLINK("https://www.philgeps.gov.ph/GEPSNONPILOT/Tender/SplashBidNoticeAbstractUI.aspx?menuIndex=3&amp;refID=7053962&amp;Result=3","7053962")</f>
        <v>0</v>
      </c>
      <c r="B7958" t="s">
        <v>58</v>
      </c>
      <c r="C7958" t="s">
        <v>11079</v>
      </c>
      <c r="D7958" t="s">
        <v>18804</v>
      </c>
      <c r="E7958" t="s">
        <v>25875</v>
      </c>
      <c r="F7958" t="s">
        <v>32664</v>
      </c>
      <c r="G7958" t="s">
        <v>32672</v>
      </c>
      <c r="H7958" t="s">
        <v>12635</v>
      </c>
      <c r="I7958" t="s">
        <v>7709</v>
      </c>
      <c r="J7958" t="s">
        <v>37681</v>
      </c>
      <c r="K7958" t="s">
        <v>42283</v>
      </c>
      <c r="M7958" t="s">
        <v>42620</v>
      </c>
      <c r="N7958" t="s">
        <v>46569</v>
      </c>
      <c r="O7958" t="s">
        <v>46570</v>
      </c>
      <c r="P7958">
        <v>0</v>
      </c>
      <c r="Q7958">
        <v>2</v>
      </c>
      <c r="R7958" t="s">
        <v>46575</v>
      </c>
      <c r="S7958" t="s">
        <v>46744</v>
      </c>
      <c r="T7958" t="s">
        <v>48302</v>
      </c>
      <c r="U7958" t="s">
        <v>55338</v>
      </c>
      <c r="V7958" t="s">
        <v>62401</v>
      </c>
      <c r="W7958" t="s">
        <v>42620</v>
      </c>
      <c r="X7958" t="s">
        <v>46578</v>
      </c>
    </row>
    <row r="7959" spans="1:24">
      <c r="A7959">
        <f>HYPERLINK("https://www.philgeps.gov.ph/GEPSNONPILOT/Tender/SplashBidNoticeAbstractUI.aspx?menuIndex=3&amp;refID=7053929&amp;Result=3","7053929")</f>
        <v>0</v>
      </c>
      <c r="B7959" t="s">
        <v>58</v>
      </c>
      <c r="C7959" t="s">
        <v>11080</v>
      </c>
      <c r="D7959" t="s">
        <v>18804</v>
      </c>
      <c r="E7959" t="s">
        <v>25876</v>
      </c>
      <c r="F7959" t="s">
        <v>32664</v>
      </c>
      <c r="G7959" t="s">
        <v>32677</v>
      </c>
      <c r="H7959" t="s">
        <v>12635</v>
      </c>
      <c r="I7959" t="s">
        <v>32736</v>
      </c>
      <c r="J7959" t="s">
        <v>37682</v>
      </c>
      <c r="K7959" t="s">
        <v>42283</v>
      </c>
      <c r="M7959" t="s">
        <v>42620</v>
      </c>
      <c r="N7959" t="s">
        <v>46569</v>
      </c>
      <c r="O7959" t="s">
        <v>46570</v>
      </c>
      <c r="P7959">
        <v>0</v>
      </c>
      <c r="Q7959">
        <v>1</v>
      </c>
      <c r="R7959" t="s">
        <v>46575</v>
      </c>
      <c r="S7959" t="s">
        <v>46744</v>
      </c>
      <c r="T7959" t="s">
        <v>48244</v>
      </c>
      <c r="U7959" t="s">
        <v>55339</v>
      </c>
      <c r="V7959" t="s">
        <v>62401</v>
      </c>
      <c r="W7959" t="s">
        <v>42620</v>
      </c>
      <c r="X7959" t="s">
        <v>46578</v>
      </c>
    </row>
    <row r="7960" spans="1:24">
      <c r="A7960">
        <f>HYPERLINK("https://www.philgeps.gov.ph/GEPSNONPILOT/Tender/SplashBidNoticeAbstractUI.aspx?menuIndex=3&amp;refID=7049705&amp;Result=3","7049705")</f>
        <v>0</v>
      </c>
      <c r="B7960" t="s">
        <v>2392</v>
      </c>
      <c r="C7960" t="s">
        <v>11081</v>
      </c>
      <c r="D7960" t="s">
        <v>18801</v>
      </c>
      <c r="E7960" t="s">
        <v>25877</v>
      </c>
      <c r="F7960" t="s">
        <v>32664</v>
      </c>
      <c r="G7960" t="s">
        <v>32671</v>
      </c>
      <c r="H7960" t="s">
        <v>12635</v>
      </c>
      <c r="I7960" t="s">
        <v>9486</v>
      </c>
      <c r="J7960" t="s">
        <v>37683</v>
      </c>
      <c r="K7960" t="s">
        <v>42283</v>
      </c>
      <c r="M7960" t="s">
        <v>45182</v>
      </c>
      <c r="N7960" t="s">
        <v>46569</v>
      </c>
      <c r="O7960" t="s">
        <v>46570</v>
      </c>
      <c r="P7960">
        <v>0</v>
      </c>
      <c r="Q7960">
        <v>1</v>
      </c>
      <c r="R7960" t="s">
        <v>46575</v>
      </c>
      <c r="S7960" t="s">
        <v>46744</v>
      </c>
      <c r="T7960" t="s">
        <v>48473</v>
      </c>
      <c r="U7960" t="s">
        <v>55340</v>
      </c>
      <c r="W7960" t="s">
        <v>45182</v>
      </c>
      <c r="X7960" t="s">
        <v>46580</v>
      </c>
    </row>
    <row r="7961" spans="1:24">
      <c r="A7961">
        <f>HYPERLINK("https://www.philgeps.gov.ph/GEPSNONPILOT/Tender/SplashBidNoticeAbstractUI.aspx?menuIndex=3&amp;refID=7058874&amp;Result=3","7058874")</f>
        <v>0</v>
      </c>
      <c r="B7961" t="s">
        <v>2378</v>
      </c>
      <c r="C7961" t="s">
        <v>11082</v>
      </c>
      <c r="D7961" t="s">
        <v>18831</v>
      </c>
      <c r="E7961" t="s">
        <v>25878</v>
      </c>
      <c r="F7961" t="s">
        <v>32664</v>
      </c>
      <c r="G7961" t="s">
        <v>32671</v>
      </c>
      <c r="H7961" t="s">
        <v>12635</v>
      </c>
      <c r="I7961" t="s">
        <v>4439</v>
      </c>
      <c r="J7961" t="s">
        <v>37684</v>
      </c>
      <c r="K7961" t="s">
        <v>42297</v>
      </c>
      <c r="M7961" t="s">
        <v>45166</v>
      </c>
      <c r="N7961" t="s">
        <v>46569</v>
      </c>
      <c r="O7961" t="s">
        <v>46570</v>
      </c>
      <c r="P7961">
        <v>0</v>
      </c>
      <c r="Q7961">
        <v>1</v>
      </c>
      <c r="R7961" t="s">
        <v>46574</v>
      </c>
      <c r="S7961" t="s">
        <v>46723</v>
      </c>
      <c r="T7961" t="s">
        <v>48298</v>
      </c>
      <c r="U7961" t="s">
        <v>55341</v>
      </c>
      <c r="W7961" t="s">
        <v>45166</v>
      </c>
      <c r="X7961" t="s">
        <v>46575</v>
      </c>
    </row>
    <row r="7962" spans="1:24">
      <c r="A7962">
        <f>HYPERLINK("https://www.philgeps.gov.ph/GEPSNONPILOT/Tender/SplashBidNoticeAbstractUI.aspx?menuIndex=3&amp;refID=7058872&amp;Result=3","7058872")</f>
        <v>0</v>
      </c>
      <c r="B7962" t="s">
        <v>1234</v>
      </c>
      <c r="C7962" t="s">
        <v>11083</v>
      </c>
      <c r="D7962" t="s">
        <v>18784</v>
      </c>
      <c r="E7962" t="s">
        <v>25879</v>
      </c>
      <c r="F7962" t="s">
        <v>32664</v>
      </c>
      <c r="G7962" t="s">
        <v>32671</v>
      </c>
      <c r="H7962" t="s">
        <v>12635</v>
      </c>
      <c r="I7962" t="s">
        <v>5589</v>
      </c>
      <c r="J7962" t="s">
        <v>32959</v>
      </c>
      <c r="K7962" t="s">
        <v>42297</v>
      </c>
      <c r="M7962" t="s">
        <v>43875</v>
      </c>
      <c r="N7962" t="s">
        <v>46569</v>
      </c>
      <c r="O7962" t="s">
        <v>46570</v>
      </c>
      <c r="P7962">
        <v>0</v>
      </c>
      <c r="Q7962">
        <v>6</v>
      </c>
      <c r="R7962" t="s">
        <v>46574</v>
      </c>
      <c r="S7962" t="s">
        <v>46723</v>
      </c>
      <c r="T7962" t="s">
        <v>48450</v>
      </c>
      <c r="U7962" t="s">
        <v>55342</v>
      </c>
      <c r="V7962" t="s">
        <v>61916</v>
      </c>
      <c r="W7962" t="s">
        <v>43875</v>
      </c>
      <c r="X7962" t="s">
        <v>46575</v>
      </c>
    </row>
    <row r="7963" spans="1:24">
      <c r="A7963">
        <f>HYPERLINK("https://www.philgeps.gov.ph/GEPSNONPILOT/Tender/SplashBidNoticeAbstractUI.aspx?menuIndex=3&amp;refID=7051835&amp;Result=3","7051835")</f>
        <v>0</v>
      </c>
      <c r="B7963" t="s">
        <v>32</v>
      </c>
      <c r="C7963" t="s">
        <v>11084</v>
      </c>
      <c r="D7963" t="s">
        <v>18788</v>
      </c>
      <c r="E7963" t="s">
        <v>25880</v>
      </c>
      <c r="F7963" t="s">
        <v>32664</v>
      </c>
      <c r="G7963" t="s">
        <v>32672</v>
      </c>
      <c r="H7963" t="s">
        <v>12635</v>
      </c>
      <c r="I7963" t="s">
        <v>6168</v>
      </c>
      <c r="J7963" t="s">
        <v>37685</v>
      </c>
      <c r="K7963" t="s">
        <v>42281</v>
      </c>
      <c r="M7963" t="s">
        <v>45172</v>
      </c>
      <c r="N7963" t="s">
        <v>46569</v>
      </c>
      <c r="O7963" t="s">
        <v>46570</v>
      </c>
      <c r="P7963">
        <v>0</v>
      </c>
      <c r="Q7963">
        <v>0</v>
      </c>
      <c r="R7963" t="s">
        <v>46575</v>
      </c>
      <c r="S7963" t="s">
        <v>46744</v>
      </c>
      <c r="T7963" t="s">
        <v>48221</v>
      </c>
      <c r="U7963" t="s">
        <v>55343</v>
      </c>
      <c r="V7963" t="s">
        <v>61614</v>
      </c>
      <c r="W7963" t="s">
        <v>45172</v>
      </c>
      <c r="X7963" t="s">
        <v>46579</v>
      </c>
    </row>
    <row r="7964" spans="1:24">
      <c r="A7964">
        <f>HYPERLINK("https://www.philgeps.gov.ph/GEPSNONPILOT/Tender/SplashBidNoticeAbstractUI.aspx?menuIndex=3&amp;refID=7054410&amp;Result=3","7054410")</f>
        <v>0</v>
      </c>
      <c r="B7964" t="s">
        <v>2390</v>
      </c>
      <c r="C7964" t="s">
        <v>11085</v>
      </c>
      <c r="D7964" t="s">
        <v>18838</v>
      </c>
      <c r="E7964" t="s">
        <v>25881</v>
      </c>
      <c r="F7964" t="s">
        <v>32664</v>
      </c>
      <c r="G7964" t="s">
        <v>32671</v>
      </c>
      <c r="H7964" t="s">
        <v>12635</v>
      </c>
      <c r="I7964" t="s">
        <v>10590</v>
      </c>
      <c r="J7964" t="s">
        <v>37686</v>
      </c>
      <c r="K7964" t="s">
        <v>42281</v>
      </c>
      <c r="M7964" t="s">
        <v>45180</v>
      </c>
      <c r="N7964" t="s">
        <v>46569</v>
      </c>
      <c r="O7964" t="s">
        <v>46570</v>
      </c>
      <c r="P7964">
        <v>0</v>
      </c>
      <c r="Q7964">
        <v>0</v>
      </c>
      <c r="R7964" t="s">
        <v>46575</v>
      </c>
      <c r="S7964" t="s">
        <v>46744</v>
      </c>
      <c r="T7964" t="s">
        <v>48612</v>
      </c>
      <c r="U7964" t="s">
        <v>55334</v>
      </c>
      <c r="W7964" t="s">
        <v>45180</v>
      </c>
      <c r="X7964" t="s">
        <v>46578</v>
      </c>
    </row>
    <row r="7965" spans="1:24">
      <c r="A7965">
        <f>HYPERLINK("https://www.philgeps.gov.ph/GEPSNONPILOT/Tender/SplashBidNoticeAbstractUI.aspx?menuIndex=3&amp;refID=7058867&amp;Result=3","7058867")</f>
        <v>0</v>
      </c>
      <c r="B7965" t="s">
        <v>964</v>
      </c>
      <c r="C7965" t="s">
        <v>11086</v>
      </c>
      <c r="D7965" t="s">
        <v>18786</v>
      </c>
      <c r="E7965" t="s">
        <v>25882</v>
      </c>
      <c r="F7965" t="s">
        <v>32664</v>
      </c>
      <c r="G7965" t="s">
        <v>32672</v>
      </c>
      <c r="H7965" t="s">
        <v>12635</v>
      </c>
      <c r="I7965" t="s">
        <v>9486</v>
      </c>
      <c r="J7965" t="s">
        <v>37687</v>
      </c>
      <c r="K7965" t="s">
        <v>42289</v>
      </c>
      <c r="M7965" t="s">
        <v>43572</v>
      </c>
      <c r="N7965" t="s">
        <v>46569</v>
      </c>
      <c r="O7965" t="s">
        <v>46570</v>
      </c>
      <c r="P7965">
        <v>0</v>
      </c>
      <c r="Q7965">
        <v>1</v>
      </c>
      <c r="R7965" t="s">
        <v>46574</v>
      </c>
      <c r="S7965" t="s">
        <v>46723</v>
      </c>
      <c r="T7965" t="s">
        <v>48298</v>
      </c>
      <c r="U7965" t="s">
        <v>55344</v>
      </c>
      <c r="W7965" t="s">
        <v>63499</v>
      </c>
      <c r="X7965" t="s">
        <v>46575</v>
      </c>
    </row>
    <row r="7966" spans="1:24">
      <c r="A7966">
        <f>HYPERLINK("https://www.philgeps.gov.ph/GEPSNONPILOT/Tender/SplashBidNoticeAbstractUI.aspx?menuIndex=3&amp;refID=7058866&amp;Result=3","7058866")</f>
        <v>0</v>
      </c>
      <c r="B7966" t="s">
        <v>2393</v>
      </c>
      <c r="C7966" t="s">
        <v>11087</v>
      </c>
      <c r="D7966" t="s">
        <v>18826</v>
      </c>
      <c r="E7966" t="s">
        <v>25883</v>
      </c>
      <c r="F7966" t="s">
        <v>32664</v>
      </c>
      <c r="G7966" t="s">
        <v>32672</v>
      </c>
      <c r="H7966" t="s">
        <v>12635</v>
      </c>
      <c r="I7966" t="s">
        <v>4439</v>
      </c>
      <c r="J7966" t="s">
        <v>37688</v>
      </c>
      <c r="K7966" t="s">
        <v>42289</v>
      </c>
      <c r="M7966" t="s">
        <v>45183</v>
      </c>
      <c r="N7966" t="s">
        <v>46569</v>
      </c>
      <c r="O7966" t="s">
        <v>46570</v>
      </c>
      <c r="P7966">
        <v>0</v>
      </c>
      <c r="Q7966">
        <v>0</v>
      </c>
      <c r="R7966" t="s">
        <v>46574</v>
      </c>
      <c r="S7966" t="s">
        <v>46723</v>
      </c>
      <c r="T7966" t="s">
        <v>48244</v>
      </c>
      <c r="U7966" t="s">
        <v>55345</v>
      </c>
      <c r="W7966" t="s">
        <v>45183</v>
      </c>
      <c r="X7966" t="s">
        <v>46575</v>
      </c>
    </row>
    <row r="7967" spans="1:24">
      <c r="A7967">
        <f>HYPERLINK("https://www.philgeps.gov.ph/GEPSNONPILOT/Tender/SplashBidNoticeAbstractUI.aspx?menuIndex=3&amp;refID=7058871&amp;Result=3","7058871")</f>
        <v>0</v>
      </c>
      <c r="B7967" t="s">
        <v>2394</v>
      </c>
      <c r="C7967" t="s">
        <v>11088</v>
      </c>
      <c r="D7967" t="s">
        <v>18826</v>
      </c>
      <c r="E7967" t="s">
        <v>25883</v>
      </c>
      <c r="F7967" t="s">
        <v>32664</v>
      </c>
      <c r="G7967" t="s">
        <v>32672</v>
      </c>
      <c r="H7967" t="s">
        <v>12635</v>
      </c>
      <c r="I7967" t="s">
        <v>4439</v>
      </c>
      <c r="J7967" t="s">
        <v>37689</v>
      </c>
      <c r="K7967" t="s">
        <v>42289</v>
      </c>
      <c r="M7967" t="s">
        <v>45184</v>
      </c>
      <c r="N7967" t="s">
        <v>46569</v>
      </c>
      <c r="O7967" t="s">
        <v>46570</v>
      </c>
      <c r="P7967">
        <v>0</v>
      </c>
      <c r="Q7967">
        <v>0</v>
      </c>
      <c r="R7967" t="s">
        <v>46574</v>
      </c>
      <c r="S7967" t="s">
        <v>46723</v>
      </c>
      <c r="T7967" t="s">
        <v>48293</v>
      </c>
      <c r="U7967" t="s">
        <v>55346</v>
      </c>
      <c r="W7967" t="s">
        <v>45184</v>
      </c>
      <c r="X7967" t="s">
        <v>46575</v>
      </c>
    </row>
    <row r="7968" spans="1:24">
      <c r="A7968">
        <f>HYPERLINK("https://www.philgeps.gov.ph/GEPSNONPILOT/Tender/SplashBidNoticeAbstractUI.aspx?menuIndex=3&amp;refID=7058869&amp;Result=3","7058869")</f>
        <v>0</v>
      </c>
      <c r="B7968" t="s">
        <v>1122</v>
      </c>
      <c r="C7968" t="s">
        <v>11089</v>
      </c>
      <c r="D7968" t="s">
        <v>18858</v>
      </c>
      <c r="E7968" t="s">
        <v>25884</v>
      </c>
      <c r="F7968" t="s">
        <v>32664</v>
      </c>
      <c r="G7968" t="s">
        <v>32672</v>
      </c>
      <c r="H7968" t="s">
        <v>12635</v>
      </c>
      <c r="I7968" t="s">
        <v>32704</v>
      </c>
      <c r="J7968" t="s">
        <v>37690</v>
      </c>
      <c r="K7968" t="s">
        <v>42281</v>
      </c>
      <c r="M7968" t="s">
        <v>44424</v>
      </c>
      <c r="N7968" t="s">
        <v>46569</v>
      </c>
      <c r="O7968" t="s">
        <v>46570</v>
      </c>
      <c r="P7968">
        <v>0</v>
      </c>
      <c r="Q7968">
        <v>22</v>
      </c>
      <c r="R7968" t="s">
        <v>46574</v>
      </c>
      <c r="S7968" t="s">
        <v>46723</v>
      </c>
      <c r="T7968" t="s">
        <v>48302</v>
      </c>
      <c r="U7968" t="s">
        <v>55347</v>
      </c>
      <c r="W7968" t="s">
        <v>44424</v>
      </c>
      <c r="X7968" t="s">
        <v>46575</v>
      </c>
    </row>
    <row r="7969" spans="1:24">
      <c r="A7969">
        <f>HYPERLINK("https://www.philgeps.gov.ph/GEPSNONPILOT/Tender/SplashBidNoticeAbstractUI.aspx?menuIndex=3&amp;refID=7058843&amp;Result=3","7058843")</f>
        <v>0</v>
      </c>
      <c r="B7969" t="s">
        <v>2395</v>
      </c>
      <c r="C7969" t="s">
        <v>11090</v>
      </c>
      <c r="D7969" t="s">
        <v>18842</v>
      </c>
      <c r="E7969" t="s">
        <v>20724</v>
      </c>
      <c r="F7969" t="s">
        <v>32664</v>
      </c>
      <c r="G7969" t="s">
        <v>32672</v>
      </c>
      <c r="H7969" t="s">
        <v>32683</v>
      </c>
      <c r="I7969" t="s">
        <v>10627</v>
      </c>
      <c r="J7969" t="s">
        <v>33128</v>
      </c>
      <c r="K7969" t="s">
        <v>42284</v>
      </c>
      <c r="M7969" t="s">
        <v>45185</v>
      </c>
      <c r="N7969" t="s">
        <v>46569</v>
      </c>
      <c r="O7969" t="s">
        <v>46570</v>
      </c>
      <c r="P7969">
        <v>0</v>
      </c>
      <c r="Q7969">
        <v>0</v>
      </c>
      <c r="R7969" t="s">
        <v>46574</v>
      </c>
      <c r="S7969" t="s">
        <v>46723</v>
      </c>
      <c r="T7969" t="s">
        <v>48219</v>
      </c>
      <c r="U7969" t="s">
        <v>55348</v>
      </c>
      <c r="W7969" t="s">
        <v>45185</v>
      </c>
      <c r="X7969" t="s">
        <v>46575</v>
      </c>
    </row>
    <row r="7970" spans="1:24">
      <c r="A7970">
        <f>HYPERLINK("https://www.philgeps.gov.ph/GEPSNONPILOT/Tender/SplashBidNoticeAbstractUI.aspx?menuIndex=3&amp;refID=7058839&amp;Result=3","7058839")</f>
        <v>0</v>
      </c>
      <c r="B7970" t="s">
        <v>2396</v>
      </c>
      <c r="C7970" t="s">
        <v>11091</v>
      </c>
      <c r="D7970" t="s">
        <v>18791</v>
      </c>
      <c r="E7970" t="s">
        <v>25885</v>
      </c>
      <c r="F7970" t="s">
        <v>32664</v>
      </c>
      <c r="G7970" t="s">
        <v>32672</v>
      </c>
      <c r="H7970" t="s">
        <v>32683</v>
      </c>
      <c r="I7970" t="s">
        <v>10627</v>
      </c>
      <c r="J7970" t="s">
        <v>37691</v>
      </c>
      <c r="K7970" t="s">
        <v>42298</v>
      </c>
      <c r="M7970" t="s">
        <v>45186</v>
      </c>
      <c r="N7970" t="s">
        <v>46569</v>
      </c>
      <c r="O7970" t="s">
        <v>46570</v>
      </c>
      <c r="P7970">
        <v>0</v>
      </c>
      <c r="Q7970">
        <v>3</v>
      </c>
      <c r="R7970" t="s">
        <v>46574</v>
      </c>
      <c r="S7970" t="s">
        <v>46723</v>
      </c>
      <c r="T7970" t="s">
        <v>48547</v>
      </c>
      <c r="U7970" t="s">
        <v>55349</v>
      </c>
      <c r="W7970" t="s">
        <v>45186</v>
      </c>
      <c r="X7970" t="s">
        <v>46575</v>
      </c>
    </row>
    <row r="7971" spans="1:24">
      <c r="A7971">
        <f>HYPERLINK("https://www.philgeps.gov.ph/GEPSNONPILOT/Tender/SplashBidNoticeAbstractUI.aspx?menuIndex=3&amp;refID=7058836&amp;Result=3","7058836")</f>
        <v>0</v>
      </c>
      <c r="B7971" t="s">
        <v>2395</v>
      </c>
      <c r="C7971" t="s">
        <v>6405</v>
      </c>
      <c r="D7971" t="s">
        <v>18842</v>
      </c>
      <c r="E7971" t="s">
        <v>20248</v>
      </c>
      <c r="F7971" t="s">
        <v>32664</v>
      </c>
      <c r="G7971" t="s">
        <v>32672</v>
      </c>
      <c r="H7971" t="s">
        <v>32683</v>
      </c>
      <c r="I7971" t="s">
        <v>10627</v>
      </c>
      <c r="J7971" t="s">
        <v>32859</v>
      </c>
      <c r="K7971" t="s">
        <v>42284</v>
      </c>
      <c r="M7971" t="s">
        <v>45185</v>
      </c>
      <c r="N7971" t="s">
        <v>46569</v>
      </c>
      <c r="O7971" t="s">
        <v>46570</v>
      </c>
      <c r="P7971">
        <v>0</v>
      </c>
      <c r="Q7971">
        <v>0</v>
      </c>
      <c r="R7971" t="s">
        <v>46574</v>
      </c>
      <c r="S7971" t="s">
        <v>46723</v>
      </c>
      <c r="T7971" t="s">
        <v>48219</v>
      </c>
      <c r="U7971" t="s">
        <v>55350</v>
      </c>
      <c r="W7971" t="s">
        <v>45185</v>
      </c>
      <c r="X7971" t="s">
        <v>46575</v>
      </c>
    </row>
    <row r="7972" spans="1:24">
      <c r="A7972">
        <f>HYPERLINK("https://www.philgeps.gov.ph/GEPSNONPILOT/Tender/SplashBidNoticeAbstractUI.aspx?menuIndex=3&amp;refID=7058741&amp;Result=3","7058741")</f>
        <v>0</v>
      </c>
      <c r="B7972" t="s">
        <v>2397</v>
      </c>
      <c r="C7972" t="s">
        <v>11092</v>
      </c>
      <c r="D7972" t="s">
        <v>18822</v>
      </c>
      <c r="E7972" t="s">
        <v>25886</v>
      </c>
      <c r="F7972" t="s">
        <v>32664</v>
      </c>
      <c r="G7972" t="s">
        <v>32672</v>
      </c>
      <c r="H7972" t="s">
        <v>12635</v>
      </c>
      <c r="I7972" t="s">
        <v>11464</v>
      </c>
      <c r="J7972" t="s">
        <v>33755</v>
      </c>
      <c r="K7972" t="s">
        <v>42303</v>
      </c>
      <c r="M7972" t="s">
        <v>45187</v>
      </c>
      <c r="N7972" t="s">
        <v>46569</v>
      </c>
      <c r="O7972" t="s">
        <v>46570</v>
      </c>
      <c r="P7972">
        <v>0</v>
      </c>
      <c r="Q7972">
        <v>0</v>
      </c>
      <c r="R7972" t="s">
        <v>46574</v>
      </c>
      <c r="S7972" t="s">
        <v>46723</v>
      </c>
      <c r="T7972" t="s">
        <v>48412</v>
      </c>
      <c r="U7972" t="s">
        <v>55351</v>
      </c>
      <c r="W7972" t="s">
        <v>45187</v>
      </c>
      <c r="X7972" t="s">
        <v>46575</v>
      </c>
    </row>
    <row r="7973" spans="1:24">
      <c r="A7973">
        <f>HYPERLINK("https://www.philgeps.gov.ph/GEPSNONPILOT/Tender/SplashBidNoticeAbstractUI.aspx?menuIndex=3&amp;refID=7058739&amp;Result=3","7058739")</f>
        <v>0</v>
      </c>
      <c r="B7973" t="s">
        <v>2398</v>
      </c>
      <c r="C7973" t="s">
        <v>11093</v>
      </c>
      <c r="D7973" t="s">
        <v>18781</v>
      </c>
      <c r="E7973" t="s">
        <v>25887</v>
      </c>
      <c r="F7973" t="s">
        <v>32665</v>
      </c>
      <c r="G7973" t="s">
        <v>32672</v>
      </c>
      <c r="H7973" t="s">
        <v>12635</v>
      </c>
      <c r="I7973" t="s">
        <v>4439</v>
      </c>
      <c r="J7973" t="s">
        <v>37692</v>
      </c>
      <c r="K7973" t="s">
        <v>42289</v>
      </c>
      <c r="M7973" t="s">
        <v>45188</v>
      </c>
      <c r="N7973" t="s">
        <v>46569</v>
      </c>
      <c r="O7973" t="s">
        <v>46570</v>
      </c>
      <c r="P7973">
        <v>0</v>
      </c>
      <c r="Q7973">
        <v>0</v>
      </c>
      <c r="R7973" t="s">
        <v>46574</v>
      </c>
      <c r="S7973" t="s">
        <v>46723</v>
      </c>
      <c r="T7973" t="s">
        <v>48613</v>
      </c>
      <c r="U7973" t="s">
        <v>55352</v>
      </c>
      <c r="W7973" t="s">
        <v>45188</v>
      </c>
      <c r="X7973" t="s">
        <v>46575</v>
      </c>
    </row>
    <row r="7974" spans="1:24">
      <c r="A7974">
        <f>HYPERLINK("https://www.philgeps.gov.ph/GEPSNONPILOT/Tender/SplashBidNoticeAbstractUI.aspx?menuIndex=3&amp;refID=7058737&amp;Result=3","7058737")</f>
        <v>0</v>
      </c>
      <c r="B7974" t="s">
        <v>2399</v>
      </c>
      <c r="C7974" t="s">
        <v>11094</v>
      </c>
      <c r="D7974" t="s">
        <v>18823</v>
      </c>
      <c r="E7974" t="s">
        <v>19380</v>
      </c>
      <c r="F7974" t="s">
        <v>32664</v>
      </c>
      <c r="G7974" t="s">
        <v>32672</v>
      </c>
      <c r="H7974" t="s">
        <v>12635</v>
      </c>
      <c r="I7974" t="s">
        <v>6223</v>
      </c>
      <c r="J7974" t="s">
        <v>37693</v>
      </c>
      <c r="K7974" t="s">
        <v>42281</v>
      </c>
      <c r="M7974" t="s">
        <v>45189</v>
      </c>
      <c r="N7974" t="s">
        <v>46569</v>
      </c>
      <c r="O7974" t="s">
        <v>46570</v>
      </c>
      <c r="P7974">
        <v>0</v>
      </c>
      <c r="Q7974">
        <v>1</v>
      </c>
      <c r="R7974" t="s">
        <v>46574</v>
      </c>
      <c r="S7974" t="s">
        <v>46723</v>
      </c>
      <c r="T7974" t="s">
        <v>48228</v>
      </c>
      <c r="U7974" t="s">
        <v>54421</v>
      </c>
      <c r="W7974" t="s">
        <v>45189</v>
      </c>
      <c r="X7974" t="s">
        <v>46575</v>
      </c>
    </row>
    <row r="7975" spans="1:24">
      <c r="A7975">
        <f>HYPERLINK("https://www.philgeps.gov.ph/GEPSNONPILOT/Tender/SplashBidNoticeAbstractUI.aspx?menuIndex=3&amp;refID=7058715&amp;Result=3","7058715")</f>
        <v>0</v>
      </c>
      <c r="B7975" t="s">
        <v>2400</v>
      </c>
      <c r="C7975" t="s">
        <v>11095</v>
      </c>
      <c r="D7975" t="s">
        <v>18794</v>
      </c>
      <c r="E7975" t="s">
        <v>19226</v>
      </c>
      <c r="F7975" t="s">
        <v>32664</v>
      </c>
      <c r="G7975" t="s">
        <v>32672</v>
      </c>
      <c r="H7975" t="s">
        <v>12635</v>
      </c>
      <c r="I7975" t="s">
        <v>11464</v>
      </c>
      <c r="J7975" t="s">
        <v>37694</v>
      </c>
      <c r="K7975" t="s">
        <v>42305</v>
      </c>
      <c r="L7975" t="s">
        <v>2400</v>
      </c>
      <c r="M7975" t="s">
        <v>45190</v>
      </c>
      <c r="N7975" t="s">
        <v>46569</v>
      </c>
      <c r="O7975" t="s">
        <v>46570</v>
      </c>
      <c r="P7975">
        <v>0</v>
      </c>
      <c r="Q7975">
        <v>5</v>
      </c>
      <c r="R7975" t="s">
        <v>46574</v>
      </c>
      <c r="S7975" t="s">
        <v>46723</v>
      </c>
      <c r="T7975" t="s">
        <v>48313</v>
      </c>
      <c r="U7975" t="s">
        <v>55353</v>
      </c>
      <c r="V7975" t="s">
        <v>62404</v>
      </c>
      <c r="W7975" t="s">
        <v>45190</v>
      </c>
      <c r="X7975" t="s">
        <v>46575</v>
      </c>
    </row>
    <row r="7976" spans="1:24">
      <c r="A7976">
        <f>HYPERLINK("https://www.philgeps.gov.ph/GEPSNONPILOT/Tender/SplashBidNoticeAbstractUI.aspx?menuIndex=3&amp;refID=7058714&amp;Result=3","7058714")</f>
        <v>0</v>
      </c>
      <c r="B7976" t="s">
        <v>1718</v>
      </c>
      <c r="C7976" t="s">
        <v>11096</v>
      </c>
      <c r="D7976" t="s">
        <v>18783</v>
      </c>
      <c r="E7976" t="s">
        <v>25888</v>
      </c>
      <c r="F7976" t="s">
        <v>32664</v>
      </c>
      <c r="G7976" t="s">
        <v>32672</v>
      </c>
      <c r="H7976" t="s">
        <v>12635</v>
      </c>
      <c r="I7976" t="s">
        <v>14442</v>
      </c>
      <c r="J7976" t="s">
        <v>37695</v>
      </c>
      <c r="K7976" t="s">
        <v>42297</v>
      </c>
      <c r="M7976" t="s">
        <v>44415</v>
      </c>
      <c r="N7976" t="s">
        <v>46569</v>
      </c>
      <c r="O7976" t="s">
        <v>46570</v>
      </c>
      <c r="P7976">
        <v>0</v>
      </c>
      <c r="Q7976">
        <v>5</v>
      </c>
      <c r="R7976" t="s">
        <v>46574</v>
      </c>
      <c r="S7976" t="s">
        <v>46723</v>
      </c>
      <c r="T7976" t="s">
        <v>48467</v>
      </c>
      <c r="U7976" t="s">
        <v>55354</v>
      </c>
      <c r="W7976" t="s">
        <v>44415</v>
      </c>
      <c r="X7976" t="s">
        <v>46575</v>
      </c>
    </row>
    <row r="7977" spans="1:24">
      <c r="A7977">
        <f>HYPERLINK("https://www.philgeps.gov.ph/GEPSNONPILOT/Tender/SplashBidNoticeAbstractUI.aspx?menuIndex=3&amp;refID=7058845&amp;Result=3","7058845")</f>
        <v>0</v>
      </c>
      <c r="B7977" t="s">
        <v>2401</v>
      </c>
      <c r="C7977" t="s">
        <v>11097</v>
      </c>
      <c r="D7977" t="s">
        <v>18826</v>
      </c>
      <c r="E7977" t="s">
        <v>25889</v>
      </c>
      <c r="F7977" t="s">
        <v>32664</v>
      </c>
      <c r="G7977" t="s">
        <v>32672</v>
      </c>
      <c r="H7977" t="s">
        <v>32683</v>
      </c>
      <c r="I7977" t="s">
        <v>10627</v>
      </c>
      <c r="J7977" t="s">
        <v>32859</v>
      </c>
      <c r="K7977" t="s">
        <v>42281</v>
      </c>
      <c r="L7977" t="s">
        <v>2401</v>
      </c>
      <c r="M7977" t="s">
        <v>45191</v>
      </c>
      <c r="N7977" t="s">
        <v>46569</v>
      </c>
      <c r="O7977" t="s">
        <v>46570</v>
      </c>
      <c r="P7977">
        <v>0</v>
      </c>
      <c r="Q7977">
        <v>1</v>
      </c>
      <c r="R7977" t="s">
        <v>46574</v>
      </c>
      <c r="S7977" t="s">
        <v>46723</v>
      </c>
      <c r="T7977" t="s">
        <v>48614</v>
      </c>
      <c r="U7977" t="s">
        <v>55355</v>
      </c>
      <c r="V7977" t="s">
        <v>62405</v>
      </c>
      <c r="W7977" t="s">
        <v>45191</v>
      </c>
      <c r="X7977" t="s">
        <v>46575</v>
      </c>
    </row>
    <row r="7978" spans="1:24">
      <c r="A7978">
        <f>HYPERLINK("https://www.philgeps.gov.ph/GEPSNONPILOT/Tender/SplashBidNoticeAbstractUI.aspx?menuIndex=3&amp;refID=7054016&amp;Result=3","7054016")</f>
        <v>0</v>
      </c>
      <c r="B7978" t="s">
        <v>58</v>
      </c>
      <c r="C7978" t="s">
        <v>11098</v>
      </c>
      <c r="E7978" t="s">
        <v>25890</v>
      </c>
      <c r="F7978" t="s">
        <v>32664</v>
      </c>
      <c r="G7978" t="s">
        <v>32672</v>
      </c>
      <c r="H7978" t="s">
        <v>12635</v>
      </c>
      <c r="I7978" t="s">
        <v>32696</v>
      </c>
      <c r="J7978" t="s">
        <v>37696</v>
      </c>
      <c r="K7978" t="s">
        <v>42283</v>
      </c>
      <c r="M7978" t="s">
        <v>42620</v>
      </c>
      <c r="N7978" t="s">
        <v>46569</v>
      </c>
      <c r="O7978" t="s">
        <v>46570</v>
      </c>
      <c r="P7978">
        <v>0</v>
      </c>
      <c r="Q7978">
        <v>1</v>
      </c>
      <c r="R7978" t="s">
        <v>46575</v>
      </c>
      <c r="S7978" t="s">
        <v>46744</v>
      </c>
      <c r="T7978" t="s">
        <v>48302</v>
      </c>
      <c r="U7978" t="s">
        <v>55356</v>
      </c>
      <c r="V7978" t="s">
        <v>62401</v>
      </c>
      <c r="W7978" t="s">
        <v>42620</v>
      </c>
      <c r="X7978" t="s">
        <v>46578</v>
      </c>
    </row>
    <row r="7979" spans="1:24">
      <c r="A7979">
        <f>HYPERLINK("https://www.philgeps.gov.ph/GEPSNONPILOT/Tender/SplashBidNoticeAbstractUI.aspx?menuIndex=3&amp;refID=7058036&amp;Result=3","7058036")</f>
        <v>0</v>
      </c>
      <c r="B7979" t="s">
        <v>2388</v>
      </c>
      <c r="C7979" t="s">
        <v>11099</v>
      </c>
      <c r="D7979" t="s">
        <v>18841</v>
      </c>
      <c r="E7979" t="s">
        <v>25891</v>
      </c>
      <c r="F7979" t="s">
        <v>32664</v>
      </c>
      <c r="G7979" t="s">
        <v>32672</v>
      </c>
      <c r="H7979" t="s">
        <v>12635</v>
      </c>
      <c r="I7979" t="s">
        <v>32694</v>
      </c>
      <c r="J7979" t="s">
        <v>37697</v>
      </c>
      <c r="K7979" t="s">
        <v>42281</v>
      </c>
      <c r="M7979" t="s">
        <v>45178</v>
      </c>
      <c r="N7979" t="s">
        <v>46569</v>
      </c>
      <c r="O7979" t="s">
        <v>46570</v>
      </c>
      <c r="P7979">
        <v>0</v>
      </c>
      <c r="Q7979">
        <v>0</v>
      </c>
      <c r="R7979" t="s">
        <v>46575</v>
      </c>
      <c r="S7979" t="s">
        <v>46744</v>
      </c>
      <c r="T7979" t="s">
        <v>48349</v>
      </c>
      <c r="U7979" t="s">
        <v>55323</v>
      </c>
      <c r="V7979" t="s">
        <v>62399</v>
      </c>
      <c r="W7979" t="s">
        <v>45178</v>
      </c>
      <c r="X7979" t="s">
        <v>46577</v>
      </c>
    </row>
    <row r="7980" spans="1:24">
      <c r="A7980">
        <f>HYPERLINK("https://www.philgeps.gov.ph/GEPSNONPILOT/Tender/SplashBidNoticeAbstractUI.aspx?menuIndex=3&amp;refID=7058090&amp;Result=3","7058090")</f>
        <v>0</v>
      </c>
      <c r="B7980" t="s">
        <v>2402</v>
      </c>
      <c r="C7980" t="s">
        <v>11100</v>
      </c>
      <c r="D7980" t="s">
        <v>18858</v>
      </c>
      <c r="E7980" t="s">
        <v>25892</v>
      </c>
      <c r="F7980" t="s">
        <v>32664</v>
      </c>
      <c r="G7980" t="s">
        <v>32677</v>
      </c>
      <c r="H7980" t="s">
        <v>12635</v>
      </c>
      <c r="I7980" t="s">
        <v>8797</v>
      </c>
      <c r="J7980" t="s">
        <v>33051</v>
      </c>
      <c r="K7980" t="s">
        <v>42297</v>
      </c>
      <c r="M7980" t="s">
        <v>45192</v>
      </c>
      <c r="N7980" t="s">
        <v>46569</v>
      </c>
      <c r="O7980" t="s">
        <v>46570</v>
      </c>
      <c r="P7980">
        <v>0</v>
      </c>
      <c r="Q7980">
        <v>11</v>
      </c>
      <c r="R7980" t="s">
        <v>46575</v>
      </c>
      <c r="S7980" t="s">
        <v>46744</v>
      </c>
      <c r="T7980" t="s">
        <v>48598</v>
      </c>
      <c r="U7980" t="s">
        <v>55357</v>
      </c>
      <c r="W7980" t="s">
        <v>45192</v>
      </c>
      <c r="X7980" t="s">
        <v>46576</v>
      </c>
    </row>
    <row r="7981" spans="1:24">
      <c r="A7981">
        <f>HYPERLINK("https://www.philgeps.gov.ph/GEPSNONPILOT/Tender/SplashBidNoticeAbstractUI.aspx?menuIndex=3&amp;refID=7056093&amp;Result=3","7056093")</f>
        <v>0</v>
      </c>
      <c r="B7981" t="s">
        <v>2403</v>
      </c>
      <c r="C7981" t="s">
        <v>11101</v>
      </c>
      <c r="D7981" t="s">
        <v>18784</v>
      </c>
      <c r="E7981" t="s">
        <v>25893</v>
      </c>
      <c r="F7981" t="s">
        <v>32664</v>
      </c>
      <c r="G7981" t="s">
        <v>32671</v>
      </c>
      <c r="H7981" t="s">
        <v>12635</v>
      </c>
      <c r="I7981" t="s">
        <v>5589</v>
      </c>
      <c r="J7981" t="s">
        <v>33021</v>
      </c>
      <c r="K7981" t="s">
        <v>42291</v>
      </c>
      <c r="M7981" t="s">
        <v>45193</v>
      </c>
      <c r="N7981" t="s">
        <v>46569</v>
      </c>
      <c r="O7981" t="s">
        <v>46570</v>
      </c>
      <c r="P7981">
        <v>0</v>
      </c>
      <c r="Q7981">
        <v>7</v>
      </c>
      <c r="R7981" t="s">
        <v>46575</v>
      </c>
      <c r="S7981" t="s">
        <v>46744</v>
      </c>
      <c r="T7981" t="s">
        <v>48331</v>
      </c>
      <c r="U7981" t="s">
        <v>55358</v>
      </c>
      <c r="W7981" t="s">
        <v>45193</v>
      </c>
      <c r="X7981" t="s">
        <v>46577</v>
      </c>
    </row>
    <row r="7982" spans="1:24">
      <c r="A7982">
        <f>HYPERLINK("https://www.philgeps.gov.ph/GEPSNONPILOT/Tender/SplashBidNoticeAbstractUI.aspx?menuIndex=3&amp;refID=7058087&amp;Result=3","7058087")</f>
        <v>0</v>
      </c>
      <c r="B7982" t="s">
        <v>2404</v>
      </c>
      <c r="C7982" t="s">
        <v>11102</v>
      </c>
      <c r="E7982" t="s">
        <v>25894</v>
      </c>
      <c r="F7982" t="s">
        <v>32664</v>
      </c>
      <c r="G7982" t="s">
        <v>32672</v>
      </c>
      <c r="H7982" t="s">
        <v>12635</v>
      </c>
      <c r="I7982" t="s">
        <v>32696</v>
      </c>
      <c r="J7982" t="s">
        <v>37698</v>
      </c>
      <c r="K7982" t="s">
        <v>42283</v>
      </c>
      <c r="M7982" t="s">
        <v>45194</v>
      </c>
      <c r="N7982" t="s">
        <v>46569</v>
      </c>
      <c r="O7982" t="s">
        <v>46570</v>
      </c>
      <c r="P7982">
        <v>0</v>
      </c>
      <c r="Q7982">
        <v>5</v>
      </c>
      <c r="R7982" t="s">
        <v>46575</v>
      </c>
      <c r="S7982" t="s">
        <v>46744</v>
      </c>
      <c r="T7982" t="s">
        <v>48615</v>
      </c>
      <c r="U7982" t="s">
        <v>55359</v>
      </c>
      <c r="W7982" t="s">
        <v>45194</v>
      </c>
      <c r="X7982" t="s">
        <v>46576</v>
      </c>
    </row>
    <row r="7983" spans="1:24">
      <c r="A7983">
        <f>HYPERLINK("https://www.philgeps.gov.ph/GEPSNONPILOT/Tender/SplashBidNoticeAbstractUI.aspx?menuIndex=3&amp;refID=7058848&amp;Result=3","7058848")</f>
        <v>0</v>
      </c>
      <c r="B7983" t="s">
        <v>1998</v>
      </c>
      <c r="C7983" t="s">
        <v>11103</v>
      </c>
      <c r="D7983" t="s">
        <v>18817</v>
      </c>
      <c r="E7983" t="s">
        <v>25895</v>
      </c>
      <c r="F7983" t="s">
        <v>32664</v>
      </c>
      <c r="G7983" t="s">
        <v>32672</v>
      </c>
      <c r="H7983" t="s">
        <v>32683</v>
      </c>
      <c r="I7983" t="s">
        <v>10627</v>
      </c>
      <c r="J7983" t="s">
        <v>32962</v>
      </c>
      <c r="K7983" t="s">
        <v>42311</v>
      </c>
      <c r="M7983" t="s">
        <v>44735</v>
      </c>
      <c r="N7983" t="s">
        <v>46569</v>
      </c>
      <c r="O7983" t="s">
        <v>46570</v>
      </c>
      <c r="P7983">
        <v>0</v>
      </c>
      <c r="Q7983">
        <v>1</v>
      </c>
      <c r="R7983" t="s">
        <v>46574</v>
      </c>
      <c r="S7983" t="s">
        <v>46723</v>
      </c>
      <c r="T7983" t="s">
        <v>48358</v>
      </c>
      <c r="U7983" t="s">
        <v>55360</v>
      </c>
      <c r="W7983" t="s">
        <v>44735</v>
      </c>
      <c r="X7983" t="s">
        <v>46575</v>
      </c>
    </row>
    <row r="7984" spans="1:24">
      <c r="A7984">
        <f>HYPERLINK("https://www.philgeps.gov.ph/GEPSNONPILOT/Tender/SplashBidNoticeAbstractUI.aspx?menuIndex=3&amp;refID=7058097&amp;Result=3","7058097")</f>
        <v>0</v>
      </c>
      <c r="B7984" t="s">
        <v>2069</v>
      </c>
      <c r="C7984" t="s">
        <v>11104</v>
      </c>
      <c r="E7984" t="s">
        <v>25896</v>
      </c>
      <c r="F7984" t="s">
        <v>32664</v>
      </c>
      <c r="G7984" t="s">
        <v>32671</v>
      </c>
      <c r="H7984" t="s">
        <v>12635</v>
      </c>
      <c r="I7984" t="s">
        <v>7703</v>
      </c>
      <c r="J7984" t="s">
        <v>33167</v>
      </c>
      <c r="K7984" t="s">
        <v>42283</v>
      </c>
      <c r="M7984" t="s">
        <v>45195</v>
      </c>
      <c r="N7984" t="s">
        <v>46569</v>
      </c>
      <c r="O7984" t="s">
        <v>46570</v>
      </c>
      <c r="P7984">
        <v>0</v>
      </c>
      <c r="Q7984">
        <v>4</v>
      </c>
      <c r="R7984" t="s">
        <v>46575</v>
      </c>
      <c r="S7984" t="s">
        <v>46744</v>
      </c>
      <c r="T7984" t="s">
        <v>48562</v>
      </c>
      <c r="U7984" t="s">
        <v>50334</v>
      </c>
      <c r="W7984" t="s">
        <v>45195</v>
      </c>
      <c r="X7984" t="s">
        <v>46576</v>
      </c>
    </row>
    <row r="7985" spans="1:24">
      <c r="A7985">
        <f>HYPERLINK("https://www.philgeps.gov.ph/GEPSNONPILOT/Tender/SplashBidNoticeAbstractUI.aspx?menuIndex=3&amp;refID=7054999&amp;Result=3","7054999")</f>
        <v>0</v>
      </c>
      <c r="B7985" t="s">
        <v>2405</v>
      </c>
      <c r="C7985" t="s">
        <v>11105</v>
      </c>
      <c r="D7985" t="s">
        <v>18804</v>
      </c>
      <c r="E7985" t="s">
        <v>25897</v>
      </c>
      <c r="F7985" t="s">
        <v>32664</v>
      </c>
      <c r="G7985" t="s">
        <v>32674</v>
      </c>
      <c r="H7985" t="s">
        <v>12635</v>
      </c>
      <c r="I7985" t="s">
        <v>9597</v>
      </c>
      <c r="J7985" t="s">
        <v>32898</v>
      </c>
      <c r="K7985" t="s">
        <v>42330</v>
      </c>
      <c r="M7985" t="s">
        <v>45196</v>
      </c>
      <c r="N7985" t="s">
        <v>46569</v>
      </c>
      <c r="O7985" t="s">
        <v>46570</v>
      </c>
      <c r="P7985">
        <v>0</v>
      </c>
      <c r="Q7985">
        <v>3</v>
      </c>
      <c r="R7985" t="s">
        <v>46575</v>
      </c>
      <c r="S7985" t="s">
        <v>46744</v>
      </c>
      <c r="T7985" t="s">
        <v>48280</v>
      </c>
      <c r="U7985" t="s">
        <v>55361</v>
      </c>
      <c r="W7985" t="s">
        <v>45196</v>
      </c>
      <c r="X7985" t="s">
        <v>46578</v>
      </c>
    </row>
    <row r="7986" spans="1:24">
      <c r="A7986">
        <f>HYPERLINK("https://www.philgeps.gov.ph/GEPSNONPILOT/Tender/SplashBidNoticeAbstractUI.aspx?menuIndex=3&amp;refID=7058082&amp;Result=3","7058082")</f>
        <v>0</v>
      </c>
      <c r="B7986" t="s">
        <v>988</v>
      </c>
      <c r="C7986" t="s">
        <v>11106</v>
      </c>
      <c r="D7986" t="s">
        <v>18784</v>
      </c>
      <c r="E7986" t="s">
        <v>25898</v>
      </c>
      <c r="F7986" t="s">
        <v>32664</v>
      </c>
      <c r="G7986" t="s">
        <v>32671</v>
      </c>
      <c r="H7986" t="s">
        <v>12635</v>
      </c>
      <c r="I7986" t="s">
        <v>5589</v>
      </c>
      <c r="J7986" t="s">
        <v>36221</v>
      </c>
      <c r="K7986" t="s">
        <v>42289</v>
      </c>
      <c r="M7986" t="s">
        <v>44301</v>
      </c>
      <c r="N7986" t="s">
        <v>46569</v>
      </c>
      <c r="O7986" t="s">
        <v>46570</v>
      </c>
      <c r="P7986">
        <v>0</v>
      </c>
      <c r="Q7986">
        <v>0</v>
      </c>
      <c r="R7986" t="s">
        <v>46575</v>
      </c>
      <c r="S7986" t="s">
        <v>46744</v>
      </c>
      <c r="T7986" t="s">
        <v>48221</v>
      </c>
      <c r="U7986" t="s">
        <v>55362</v>
      </c>
      <c r="W7986" t="s">
        <v>44301</v>
      </c>
      <c r="X7986" t="s">
        <v>46576</v>
      </c>
    </row>
    <row r="7987" spans="1:24">
      <c r="A7987">
        <f>HYPERLINK("https://www.philgeps.gov.ph/GEPSNONPILOT/Tender/SplashBidNoticeAbstractUI.aspx?menuIndex=3&amp;refID=7058088&amp;Result=3","7058088")</f>
        <v>0</v>
      </c>
      <c r="B7987" t="s">
        <v>988</v>
      </c>
      <c r="C7987" t="s">
        <v>11107</v>
      </c>
      <c r="D7987" t="s">
        <v>18784</v>
      </c>
      <c r="E7987" t="s">
        <v>25899</v>
      </c>
      <c r="F7987" t="s">
        <v>32664</v>
      </c>
      <c r="G7987" t="s">
        <v>32671</v>
      </c>
      <c r="H7987" t="s">
        <v>12635</v>
      </c>
      <c r="I7987" t="s">
        <v>8797</v>
      </c>
      <c r="J7987" t="s">
        <v>37699</v>
      </c>
      <c r="K7987" t="s">
        <v>42289</v>
      </c>
      <c r="M7987" t="s">
        <v>44301</v>
      </c>
      <c r="N7987" t="s">
        <v>46569</v>
      </c>
      <c r="O7987" t="s">
        <v>46570</v>
      </c>
      <c r="P7987">
        <v>0</v>
      </c>
      <c r="Q7987">
        <v>7</v>
      </c>
      <c r="R7987" t="s">
        <v>46575</v>
      </c>
      <c r="S7987" t="s">
        <v>46744</v>
      </c>
      <c r="T7987" t="s">
        <v>48221</v>
      </c>
      <c r="U7987" t="s">
        <v>55363</v>
      </c>
      <c r="W7987" t="s">
        <v>44301</v>
      </c>
      <c r="X7987" t="s">
        <v>46576</v>
      </c>
    </row>
    <row r="7988" spans="1:24">
      <c r="A7988">
        <f>HYPERLINK("https://www.philgeps.gov.ph/GEPSNONPILOT/Tender/SplashBidNoticeAbstractUI.aspx?menuIndex=3&amp;refID=7058080&amp;Result=3","7058080")</f>
        <v>0</v>
      </c>
      <c r="B7988" t="s">
        <v>2406</v>
      </c>
      <c r="C7988" t="s">
        <v>11108</v>
      </c>
      <c r="D7988" t="s">
        <v>18790</v>
      </c>
      <c r="E7988" t="s">
        <v>19183</v>
      </c>
      <c r="F7988" t="s">
        <v>32664</v>
      </c>
      <c r="G7988" t="s">
        <v>32672</v>
      </c>
      <c r="H7988" t="s">
        <v>12635</v>
      </c>
      <c r="I7988" t="s">
        <v>11464</v>
      </c>
      <c r="J7988" t="s">
        <v>32982</v>
      </c>
      <c r="K7988" t="s">
        <v>42281</v>
      </c>
      <c r="M7988" t="s">
        <v>45197</v>
      </c>
      <c r="N7988" t="s">
        <v>46569</v>
      </c>
      <c r="O7988" t="s">
        <v>46570</v>
      </c>
      <c r="P7988">
        <v>0</v>
      </c>
      <c r="Q7988">
        <v>2</v>
      </c>
      <c r="R7988" t="s">
        <v>46575</v>
      </c>
      <c r="S7988" t="s">
        <v>46744</v>
      </c>
      <c r="T7988" t="s">
        <v>48308</v>
      </c>
      <c r="U7988" t="s">
        <v>55364</v>
      </c>
      <c r="W7988" t="s">
        <v>45197</v>
      </c>
      <c r="X7988" t="s">
        <v>46576</v>
      </c>
    </row>
    <row r="7989" spans="1:24">
      <c r="A7989">
        <f>HYPERLINK("https://www.philgeps.gov.ph/GEPSNONPILOT/Tender/SplashBidNoticeAbstractUI.aspx?menuIndex=3&amp;refID=7058078&amp;Result=3","7058078")</f>
        <v>0</v>
      </c>
      <c r="B7989" t="s">
        <v>2407</v>
      </c>
      <c r="C7989" t="s">
        <v>11109</v>
      </c>
      <c r="D7989" t="s">
        <v>18826</v>
      </c>
      <c r="E7989" t="s">
        <v>19202</v>
      </c>
      <c r="F7989" t="s">
        <v>32664</v>
      </c>
      <c r="G7989" t="s">
        <v>32672</v>
      </c>
      <c r="H7989" t="s">
        <v>32683</v>
      </c>
      <c r="I7989" t="s">
        <v>10627</v>
      </c>
      <c r="J7989" t="s">
        <v>32898</v>
      </c>
      <c r="K7989" t="s">
        <v>42308</v>
      </c>
      <c r="M7989" t="s">
        <v>45198</v>
      </c>
      <c r="N7989" t="s">
        <v>46569</v>
      </c>
      <c r="O7989" t="s">
        <v>46570</v>
      </c>
      <c r="P7989">
        <v>0</v>
      </c>
      <c r="Q7989">
        <v>0</v>
      </c>
      <c r="R7989" t="s">
        <v>46575</v>
      </c>
      <c r="S7989" t="s">
        <v>46744</v>
      </c>
      <c r="T7989" t="s">
        <v>48219</v>
      </c>
      <c r="U7989" t="s">
        <v>55365</v>
      </c>
      <c r="V7989" t="s">
        <v>62406</v>
      </c>
      <c r="W7989" t="s">
        <v>45198</v>
      </c>
      <c r="X7989" t="s">
        <v>46576</v>
      </c>
    </row>
    <row r="7990" spans="1:24">
      <c r="A7990">
        <f>HYPERLINK("https://www.philgeps.gov.ph/GEPSNONPILOT/Tender/SplashBidNoticeAbstractUI.aspx?menuIndex=3&amp;refID=7058074&amp;Result=3","7058074")</f>
        <v>0</v>
      </c>
      <c r="B7990" t="s">
        <v>2407</v>
      </c>
      <c r="C7990" t="s">
        <v>11110</v>
      </c>
      <c r="D7990" t="s">
        <v>18826</v>
      </c>
      <c r="E7990" t="s">
        <v>19681</v>
      </c>
      <c r="F7990" t="s">
        <v>32664</v>
      </c>
      <c r="G7990" t="s">
        <v>32672</v>
      </c>
      <c r="H7990" t="s">
        <v>32683</v>
      </c>
      <c r="I7990" t="s">
        <v>10627</v>
      </c>
      <c r="J7990" t="s">
        <v>33051</v>
      </c>
      <c r="K7990" t="s">
        <v>42308</v>
      </c>
      <c r="M7990" t="s">
        <v>45198</v>
      </c>
      <c r="N7990" t="s">
        <v>46569</v>
      </c>
      <c r="O7990" t="s">
        <v>46570</v>
      </c>
      <c r="P7990">
        <v>0</v>
      </c>
      <c r="Q7990">
        <v>0</v>
      </c>
      <c r="R7990" t="s">
        <v>46575</v>
      </c>
      <c r="S7990" t="s">
        <v>46744</v>
      </c>
      <c r="T7990" t="s">
        <v>48219</v>
      </c>
      <c r="U7990" t="s">
        <v>55366</v>
      </c>
      <c r="V7990" t="s">
        <v>62407</v>
      </c>
      <c r="W7990" t="s">
        <v>45198</v>
      </c>
      <c r="X7990" t="s">
        <v>46576</v>
      </c>
    </row>
    <row r="7991" spans="1:24">
      <c r="A7991">
        <f>HYPERLINK("https://www.philgeps.gov.ph/GEPSNONPILOT/Tender/SplashBidNoticeAbstractUI.aspx?menuIndex=3&amp;refID=7058085&amp;Result=3","7058085")</f>
        <v>0</v>
      </c>
      <c r="B7991" t="s">
        <v>988</v>
      </c>
      <c r="C7991" t="s">
        <v>11111</v>
      </c>
      <c r="D7991" t="s">
        <v>18784</v>
      </c>
      <c r="E7991" t="s">
        <v>25900</v>
      </c>
      <c r="F7991" t="s">
        <v>32664</v>
      </c>
      <c r="G7991" t="s">
        <v>32671</v>
      </c>
      <c r="H7991" t="s">
        <v>12635</v>
      </c>
      <c r="I7991" t="s">
        <v>5589</v>
      </c>
      <c r="J7991" t="s">
        <v>33215</v>
      </c>
      <c r="K7991" t="s">
        <v>42289</v>
      </c>
      <c r="M7991" t="s">
        <v>44301</v>
      </c>
      <c r="N7991" t="s">
        <v>46569</v>
      </c>
      <c r="O7991" t="s">
        <v>46570</v>
      </c>
      <c r="P7991">
        <v>0</v>
      </c>
      <c r="Q7991">
        <v>0</v>
      </c>
      <c r="R7991" t="s">
        <v>46575</v>
      </c>
      <c r="S7991" t="s">
        <v>46744</v>
      </c>
      <c r="T7991" t="s">
        <v>48221</v>
      </c>
      <c r="U7991" t="s">
        <v>55367</v>
      </c>
      <c r="W7991" t="s">
        <v>44301</v>
      </c>
      <c r="X7991" t="s">
        <v>46576</v>
      </c>
    </row>
    <row r="7992" spans="1:24">
      <c r="A7992">
        <f>HYPERLINK("https://www.philgeps.gov.ph/GEPSNONPILOT/Tender/SplashBidNoticeAbstractUI.aspx?menuIndex=3&amp;refID=7058104&amp;Result=3","7058104")</f>
        <v>0</v>
      </c>
      <c r="B7992" t="s">
        <v>2408</v>
      </c>
      <c r="C7992" t="s">
        <v>11112</v>
      </c>
      <c r="D7992" t="s">
        <v>18816</v>
      </c>
      <c r="E7992" t="s">
        <v>25901</v>
      </c>
      <c r="F7992" t="s">
        <v>32665</v>
      </c>
      <c r="G7992" t="s">
        <v>32672</v>
      </c>
      <c r="H7992" t="s">
        <v>12635</v>
      </c>
      <c r="I7992" t="s">
        <v>11464</v>
      </c>
      <c r="J7992" t="s">
        <v>37700</v>
      </c>
      <c r="K7992" t="s">
        <v>42330</v>
      </c>
      <c r="M7992" t="s">
        <v>45199</v>
      </c>
      <c r="N7992" t="s">
        <v>46569</v>
      </c>
      <c r="O7992" t="s">
        <v>46570</v>
      </c>
      <c r="P7992">
        <v>0</v>
      </c>
      <c r="Q7992">
        <v>4</v>
      </c>
      <c r="R7992" t="s">
        <v>46575</v>
      </c>
      <c r="S7992" t="s">
        <v>46744</v>
      </c>
      <c r="T7992" t="s">
        <v>48415</v>
      </c>
      <c r="U7992" t="s">
        <v>55368</v>
      </c>
      <c r="W7992" t="s">
        <v>45199</v>
      </c>
      <c r="X7992" t="s">
        <v>46576</v>
      </c>
    </row>
    <row r="7993" spans="1:24">
      <c r="A7993">
        <f>HYPERLINK("https://www.philgeps.gov.ph/GEPSNONPILOT/Tender/SplashBidNoticeAbstractUI.aspx?menuIndex=3&amp;refID=7058136&amp;Result=3","7058136")</f>
        <v>0</v>
      </c>
      <c r="B7993" t="s">
        <v>2409</v>
      </c>
      <c r="C7993" t="s">
        <v>11113</v>
      </c>
      <c r="D7993" t="s">
        <v>18786</v>
      </c>
      <c r="E7993" t="s">
        <v>25902</v>
      </c>
      <c r="F7993" t="s">
        <v>32664</v>
      </c>
      <c r="G7993" t="s">
        <v>32672</v>
      </c>
      <c r="H7993" t="s">
        <v>12635</v>
      </c>
      <c r="I7993" t="s">
        <v>6168</v>
      </c>
      <c r="J7993" t="s">
        <v>37701</v>
      </c>
      <c r="K7993" t="s">
        <v>42289</v>
      </c>
      <c r="M7993" t="s">
        <v>45200</v>
      </c>
      <c r="N7993" t="s">
        <v>46569</v>
      </c>
      <c r="O7993" t="s">
        <v>46570</v>
      </c>
      <c r="P7993">
        <v>0</v>
      </c>
      <c r="Q7993">
        <v>4</v>
      </c>
      <c r="R7993" t="s">
        <v>46575</v>
      </c>
      <c r="S7993" t="s">
        <v>46744</v>
      </c>
      <c r="T7993" t="s">
        <v>48248</v>
      </c>
      <c r="U7993" t="s">
        <v>49404</v>
      </c>
      <c r="W7993" t="s">
        <v>45200</v>
      </c>
      <c r="X7993" t="s">
        <v>46576</v>
      </c>
    </row>
    <row r="7994" spans="1:24">
      <c r="A7994">
        <f>HYPERLINK("https://www.philgeps.gov.ph/GEPSNONPILOT/Tender/SplashBidNoticeAbstractUI.aspx?menuIndex=3&amp;refID=7058095&amp;Result=3","7058095")</f>
        <v>0</v>
      </c>
      <c r="B7994" t="s">
        <v>2410</v>
      </c>
      <c r="C7994" t="s">
        <v>11114</v>
      </c>
      <c r="D7994" t="s">
        <v>18860</v>
      </c>
      <c r="E7994" t="s">
        <v>25903</v>
      </c>
      <c r="F7994" t="s">
        <v>32664</v>
      </c>
      <c r="G7994" t="s">
        <v>32672</v>
      </c>
      <c r="H7994" t="s">
        <v>32683</v>
      </c>
      <c r="I7994" t="s">
        <v>10627</v>
      </c>
      <c r="J7994" t="s">
        <v>37702</v>
      </c>
      <c r="K7994" t="s">
        <v>42312</v>
      </c>
      <c r="M7994" t="s">
        <v>45201</v>
      </c>
      <c r="N7994" t="s">
        <v>46569</v>
      </c>
      <c r="O7994" t="s">
        <v>46570</v>
      </c>
      <c r="P7994">
        <v>0</v>
      </c>
      <c r="Q7994">
        <v>0</v>
      </c>
      <c r="R7994" t="s">
        <v>46575</v>
      </c>
      <c r="S7994" t="s">
        <v>46744</v>
      </c>
      <c r="T7994" t="s">
        <v>48213</v>
      </c>
      <c r="U7994" t="s">
        <v>55369</v>
      </c>
      <c r="W7994" t="s">
        <v>45201</v>
      </c>
      <c r="X7994" t="s">
        <v>46576</v>
      </c>
    </row>
    <row r="7995" spans="1:24">
      <c r="A7995">
        <f>HYPERLINK("https://www.philgeps.gov.ph/GEPSNONPILOT/Tender/SplashBidNoticeAbstractUI.aspx?menuIndex=3&amp;refID=7058133&amp;Result=3","7058133")</f>
        <v>0</v>
      </c>
      <c r="B7995" t="s">
        <v>1813</v>
      </c>
      <c r="C7995" t="s">
        <v>11115</v>
      </c>
      <c r="D7995" t="s">
        <v>18797</v>
      </c>
      <c r="E7995" t="s">
        <v>22718</v>
      </c>
      <c r="F7995" t="s">
        <v>32666</v>
      </c>
      <c r="G7995" t="s">
        <v>32672</v>
      </c>
      <c r="H7995" t="s">
        <v>12635</v>
      </c>
      <c r="I7995" t="s">
        <v>11464</v>
      </c>
      <c r="J7995" t="s">
        <v>34258</v>
      </c>
      <c r="K7995" t="s">
        <v>42289</v>
      </c>
      <c r="M7995" t="s">
        <v>44519</v>
      </c>
      <c r="N7995" t="s">
        <v>46569</v>
      </c>
      <c r="O7995" t="s">
        <v>46570</v>
      </c>
      <c r="P7995">
        <v>0</v>
      </c>
      <c r="Q7995">
        <v>0</v>
      </c>
      <c r="R7995" t="s">
        <v>46575</v>
      </c>
      <c r="S7995" t="s">
        <v>46744</v>
      </c>
      <c r="T7995" t="s">
        <v>48236</v>
      </c>
      <c r="U7995" t="s">
        <v>55370</v>
      </c>
      <c r="V7995" t="s">
        <v>62408</v>
      </c>
      <c r="W7995" t="s">
        <v>44519</v>
      </c>
      <c r="X7995" t="s">
        <v>46576</v>
      </c>
    </row>
    <row r="7996" spans="1:24">
      <c r="A7996">
        <f>HYPERLINK("https://www.philgeps.gov.ph/GEPSNONPILOT/Tender/SplashBidNoticeAbstractUI.aspx?menuIndex=3&amp;refID=7058132&amp;Result=3","7058132")</f>
        <v>0</v>
      </c>
      <c r="B7996" t="s">
        <v>2409</v>
      </c>
      <c r="C7996" t="s">
        <v>11116</v>
      </c>
      <c r="D7996" t="s">
        <v>18786</v>
      </c>
      <c r="E7996" t="s">
        <v>25904</v>
      </c>
      <c r="F7996" t="s">
        <v>32664</v>
      </c>
      <c r="G7996" t="s">
        <v>32672</v>
      </c>
      <c r="H7996" t="s">
        <v>12635</v>
      </c>
      <c r="I7996" t="s">
        <v>32685</v>
      </c>
      <c r="J7996" t="s">
        <v>34803</v>
      </c>
      <c r="K7996" t="s">
        <v>42289</v>
      </c>
      <c r="M7996" t="s">
        <v>45200</v>
      </c>
      <c r="N7996" t="s">
        <v>46569</v>
      </c>
      <c r="O7996" t="s">
        <v>46570</v>
      </c>
      <c r="P7996">
        <v>0</v>
      </c>
      <c r="Q7996">
        <v>0</v>
      </c>
      <c r="R7996" t="s">
        <v>46575</v>
      </c>
      <c r="S7996" t="s">
        <v>46744</v>
      </c>
      <c r="T7996" t="s">
        <v>48268</v>
      </c>
      <c r="U7996" t="s">
        <v>55371</v>
      </c>
      <c r="W7996" t="s">
        <v>45200</v>
      </c>
      <c r="X7996" t="s">
        <v>46576</v>
      </c>
    </row>
    <row r="7997" spans="1:24">
      <c r="A7997">
        <f>HYPERLINK("https://www.philgeps.gov.ph/GEPSNONPILOT/Tender/SplashBidNoticeAbstractUI.aspx?menuIndex=3&amp;refID=7058076&amp;Result=3","7058076")</f>
        <v>0</v>
      </c>
      <c r="B7997" t="s">
        <v>2407</v>
      </c>
      <c r="C7997" t="s">
        <v>11117</v>
      </c>
      <c r="D7997" t="s">
        <v>18826</v>
      </c>
      <c r="E7997" t="s">
        <v>21047</v>
      </c>
      <c r="F7997" t="s">
        <v>32664</v>
      </c>
      <c r="G7997" t="s">
        <v>32672</v>
      </c>
      <c r="H7997" t="s">
        <v>32683</v>
      </c>
      <c r="I7997" t="s">
        <v>10627</v>
      </c>
      <c r="J7997" t="s">
        <v>32898</v>
      </c>
      <c r="K7997" t="s">
        <v>42308</v>
      </c>
      <c r="M7997" t="s">
        <v>45198</v>
      </c>
      <c r="N7997" t="s">
        <v>46569</v>
      </c>
      <c r="O7997" t="s">
        <v>46570</v>
      </c>
      <c r="P7997">
        <v>0</v>
      </c>
      <c r="Q7997">
        <v>0</v>
      </c>
      <c r="R7997" t="s">
        <v>46575</v>
      </c>
      <c r="S7997" t="s">
        <v>46744</v>
      </c>
      <c r="T7997" t="s">
        <v>48219</v>
      </c>
      <c r="U7997" t="s">
        <v>55372</v>
      </c>
      <c r="V7997" t="s">
        <v>62407</v>
      </c>
      <c r="W7997" t="s">
        <v>45198</v>
      </c>
      <c r="X7997" t="s">
        <v>46576</v>
      </c>
    </row>
    <row r="7998" spans="1:24">
      <c r="A7998">
        <f>HYPERLINK("https://www.philgeps.gov.ph/GEPSNONPILOT/Tender/SplashBidNoticeAbstractUI.aspx?menuIndex=3&amp;refID=7058125&amp;Result=3","7058125")</f>
        <v>0</v>
      </c>
      <c r="B7998" t="s">
        <v>2411</v>
      </c>
      <c r="C7998" t="s">
        <v>11118</v>
      </c>
      <c r="D7998" t="s">
        <v>18781</v>
      </c>
      <c r="E7998" t="s">
        <v>25905</v>
      </c>
      <c r="F7998" t="s">
        <v>32664</v>
      </c>
      <c r="G7998" t="s">
        <v>32674</v>
      </c>
      <c r="H7998" t="s">
        <v>32683</v>
      </c>
      <c r="I7998" t="s">
        <v>10627</v>
      </c>
      <c r="J7998" t="s">
        <v>37703</v>
      </c>
      <c r="K7998" t="s">
        <v>42281</v>
      </c>
      <c r="M7998" t="s">
        <v>45202</v>
      </c>
      <c r="N7998" t="s">
        <v>46569</v>
      </c>
      <c r="O7998" t="s">
        <v>46570</v>
      </c>
      <c r="P7998">
        <v>0</v>
      </c>
      <c r="Q7998">
        <v>1</v>
      </c>
      <c r="R7998" t="s">
        <v>46575</v>
      </c>
      <c r="S7998" t="s">
        <v>46744</v>
      </c>
      <c r="T7998" t="s">
        <v>48427</v>
      </c>
      <c r="U7998" t="s">
        <v>55373</v>
      </c>
      <c r="V7998" t="s">
        <v>62409</v>
      </c>
      <c r="W7998" t="s">
        <v>45202</v>
      </c>
      <c r="X7998" t="s">
        <v>46576</v>
      </c>
    </row>
    <row r="7999" spans="1:24">
      <c r="A7999">
        <f>HYPERLINK("https://www.philgeps.gov.ph/GEPSNONPILOT/Tender/SplashBidNoticeAbstractUI.aspx?menuIndex=3&amp;refID=7058084&amp;Result=3","7058084")</f>
        <v>0</v>
      </c>
      <c r="B7999" t="s">
        <v>2412</v>
      </c>
      <c r="C7999" t="s">
        <v>11119</v>
      </c>
      <c r="D7999" t="s">
        <v>18789</v>
      </c>
      <c r="E7999" t="s">
        <v>19681</v>
      </c>
      <c r="F7999" t="s">
        <v>32664</v>
      </c>
      <c r="G7999" t="s">
        <v>32672</v>
      </c>
      <c r="H7999" t="s">
        <v>32683</v>
      </c>
      <c r="I7999" t="s">
        <v>10627</v>
      </c>
      <c r="J7999" t="s">
        <v>32959</v>
      </c>
      <c r="K7999" t="s">
        <v>42281</v>
      </c>
      <c r="M7999" t="s">
        <v>45203</v>
      </c>
      <c r="N7999" t="s">
        <v>46569</v>
      </c>
      <c r="O7999" t="s">
        <v>46570</v>
      </c>
      <c r="P7999">
        <v>0</v>
      </c>
      <c r="Q7999">
        <v>1</v>
      </c>
      <c r="R7999" t="s">
        <v>46575</v>
      </c>
      <c r="S7999" t="s">
        <v>46744</v>
      </c>
      <c r="T7999" t="s">
        <v>48217</v>
      </c>
      <c r="U7999" t="s">
        <v>55374</v>
      </c>
      <c r="W7999" t="s">
        <v>45203</v>
      </c>
      <c r="X7999" t="s">
        <v>46576</v>
      </c>
    </row>
    <row r="8000" spans="1:24">
      <c r="A8000">
        <f>HYPERLINK("https://www.philgeps.gov.ph/GEPSNONPILOT/Tender/SplashBidNoticeAbstractUI.aspx?menuIndex=3&amp;refID=7058134&amp;Result=3","7058134")</f>
        <v>0</v>
      </c>
      <c r="B8000" t="s">
        <v>2413</v>
      </c>
      <c r="C8000" t="s">
        <v>11120</v>
      </c>
      <c r="D8000" t="s">
        <v>18807</v>
      </c>
      <c r="E8000" t="s">
        <v>25906</v>
      </c>
      <c r="F8000" t="s">
        <v>32664</v>
      </c>
      <c r="G8000" t="s">
        <v>32674</v>
      </c>
      <c r="H8000" t="s">
        <v>12635</v>
      </c>
      <c r="I8000" t="s">
        <v>9946</v>
      </c>
      <c r="J8000" t="s">
        <v>34390</v>
      </c>
      <c r="K8000" t="s">
        <v>42332</v>
      </c>
      <c r="M8000" t="s">
        <v>45204</v>
      </c>
      <c r="N8000" t="s">
        <v>46569</v>
      </c>
      <c r="O8000" t="s">
        <v>46570</v>
      </c>
      <c r="P8000">
        <v>0</v>
      </c>
      <c r="Q8000">
        <v>0</v>
      </c>
      <c r="R8000" t="s">
        <v>46575</v>
      </c>
      <c r="S8000" t="s">
        <v>46744</v>
      </c>
      <c r="T8000" t="s">
        <v>48246</v>
      </c>
      <c r="U8000" t="s">
        <v>55375</v>
      </c>
      <c r="W8000" t="s">
        <v>45204</v>
      </c>
      <c r="X8000" t="s">
        <v>46576</v>
      </c>
    </row>
    <row r="8001" spans="1:24">
      <c r="A8001">
        <f>HYPERLINK("https://www.philgeps.gov.ph/GEPSNONPILOT/Tender/SplashBidNoticeAbstractUI.aspx?menuIndex=3&amp;refID=7058123&amp;Result=3","7058123")</f>
        <v>0</v>
      </c>
      <c r="B8001" t="s">
        <v>2413</v>
      </c>
      <c r="C8001" t="s">
        <v>11121</v>
      </c>
      <c r="D8001" t="s">
        <v>18807</v>
      </c>
      <c r="E8001" t="s">
        <v>25907</v>
      </c>
      <c r="F8001" t="s">
        <v>32664</v>
      </c>
      <c r="G8001" t="s">
        <v>32674</v>
      </c>
      <c r="H8001" t="s">
        <v>12635</v>
      </c>
      <c r="I8001" t="s">
        <v>6168</v>
      </c>
      <c r="J8001" t="s">
        <v>34207</v>
      </c>
      <c r="K8001" t="s">
        <v>42332</v>
      </c>
      <c r="M8001" t="s">
        <v>45204</v>
      </c>
      <c r="N8001" t="s">
        <v>46569</v>
      </c>
      <c r="O8001" t="s">
        <v>46570</v>
      </c>
      <c r="P8001">
        <v>0</v>
      </c>
      <c r="Q8001">
        <v>0</v>
      </c>
      <c r="R8001" t="s">
        <v>46575</v>
      </c>
      <c r="S8001" t="s">
        <v>46744</v>
      </c>
      <c r="T8001" t="s">
        <v>48246</v>
      </c>
      <c r="U8001" t="s">
        <v>55375</v>
      </c>
      <c r="W8001" t="s">
        <v>45204</v>
      </c>
      <c r="X8001" t="s">
        <v>46576</v>
      </c>
    </row>
    <row r="8002" spans="1:24">
      <c r="A8002">
        <f>HYPERLINK("https://www.philgeps.gov.ph/GEPSNONPILOT/Tender/SplashBidNoticeAbstractUI.aspx?menuIndex=3&amp;refID=7058119&amp;Result=3","7058119")</f>
        <v>0</v>
      </c>
      <c r="B8002" t="s">
        <v>1154</v>
      </c>
      <c r="C8002" t="s">
        <v>11122</v>
      </c>
      <c r="D8002" t="s">
        <v>18826</v>
      </c>
      <c r="E8002" t="s">
        <v>25908</v>
      </c>
      <c r="F8002" t="s">
        <v>32664</v>
      </c>
      <c r="G8002" t="s">
        <v>32672</v>
      </c>
      <c r="H8002" t="s">
        <v>12635</v>
      </c>
      <c r="I8002" t="s">
        <v>4439</v>
      </c>
      <c r="J8002" t="s">
        <v>37704</v>
      </c>
      <c r="K8002" t="s">
        <v>42281</v>
      </c>
      <c r="M8002" t="s">
        <v>43785</v>
      </c>
      <c r="N8002" t="s">
        <v>46569</v>
      </c>
      <c r="O8002" t="s">
        <v>46570</v>
      </c>
      <c r="P8002">
        <v>0</v>
      </c>
      <c r="Q8002">
        <v>2</v>
      </c>
      <c r="R8002" t="s">
        <v>46575</v>
      </c>
      <c r="S8002" t="s">
        <v>46744</v>
      </c>
      <c r="T8002" t="s">
        <v>48533</v>
      </c>
      <c r="U8002" t="s">
        <v>55376</v>
      </c>
      <c r="W8002" t="s">
        <v>43785</v>
      </c>
      <c r="X8002" t="s">
        <v>46576</v>
      </c>
    </row>
    <row r="8003" spans="1:24">
      <c r="A8003">
        <f>HYPERLINK("https://www.philgeps.gov.ph/GEPSNONPILOT/Tender/SplashBidNoticeAbstractUI.aspx?menuIndex=3&amp;refID=7058073&amp;Result=3","7058073")</f>
        <v>0</v>
      </c>
      <c r="B8003" t="s">
        <v>2407</v>
      </c>
      <c r="C8003" t="s">
        <v>11123</v>
      </c>
      <c r="D8003" t="s">
        <v>18826</v>
      </c>
      <c r="E8003" t="s">
        <v>18926</v>
      </c>
      <c r="F8003" t="s">
        <v>32664</v>
      </c>
      <c r="G8003" t="s">
        <v>32672</v>
      </c>
      <c r="H8003" t="s">
        <v>32683</v>
      </c>
      <c r="I8003" t="s">
        <v>10627</v>
      </c>
      <c r="J8003" t="s">
        <v>32898</v>
      </c>
      <c r="K8003" t="s">
        <v>42308</v>
      </c>
      <c r="M8003" t="s">
        <v>45198</v>
      </c>
      <c r="N8003" t="s">
        <v>46569</v>
      </c>
      <c r="O8003" t="s">
        <v>46570</v>
      </c>
      <c r="P8003">
        <v>0</v>
      </c>
      <c r="Q8003">
        <v>0</v>
      </c>
      <c r="R8003" t="s">
        <v>46575</v>
      </c>
      <c r="S8003" t="s">
        <v>46744</v>
      </c>
      <c r="T8003" t="s">
        <v>48219</v>
      </c>
      <c r="U8003" t="s">
        <v>55377</v>
      </c>
      <c r="V8003" t="s">
        <v>62407</v>
      </c>
      <c r="W8003" t="s">
        <v>45198</v>
      </c>
      <c r="X8003" t="s">
        <v>46576</v>
      </c>
    </row>
    <row r="8004" spans="1:24">
      <c r="A8004">
        <f>HYPERLINK("https://www.philgeps.gov.ph/GEPSNONPILOT/Tender/SplashBidNoticeAbstractUI.aspx?menuIndex=3&amp;refID=7058129&amp;Result=3","7058129")</f>
        <v>0</v>
      </c>
      <c r="B8004" t="s">
        <v>2413</v>
      </c>
      <c r="C8004" t="s">
        <v>9356</v>
      </c>
      <c r="D8004" t="s">
        <v>18807</v>
      </c>
      <c r="E8004" t="s">
        <v>25909</v>
      </c>
      <c r="F8004" t="s">
        <v>32664</v>
      </c>
      <c r="G8004" t="s">
        <v>32674</v>
      </c>
      <c r="H8004" t="s">
        <v>12635</v>
      </c>
      <c r="I8004" t="s">
        <v>6628</v>
      </c>
      <c r="J8004" t="s">
        <v>36411</v>
      </c>
      <c r="K8004" t="s">
        <v>42332</v>
      </c>
      <c r="M8004" t="s">
        <v>45204</v>
      </c>
      <c r="N8004" t="s">
        <v>46569</v>
      </c>
      <c r="O8004" t="s">
        <v>46570</v>
      </c>
      <c r="P8004">
        <v>0</v>
      </c>
      <c r="Q8004">
        <v>0</v>
      </c>
      <c r="R8004" t="s">
        <v>46575</v>
      </c>
      <c r="S8004" t="s">
        <v>46744</v>
      </c>
      <c r="T8004" t="s">
        <v>48246</v>
      </c>
      <c r="U8004" t="s">
        <v>55375</v>
      </c>
      <c r="W8004" t="s">
        <v>45204</v>
      </c>
      <c r="X8004" t="s">
        <v>46576</v>
      </c>
    </row>
    <row r="8005" spans="1:24">
      <c r="A8005">
        <f>HYPERLINK("https://www.philgeps.gov.ph/GEPSNONPILOT/Tender/SplashBidNoticeAbstractUI.aspx?menuIndex=3&amp;refID=7058121&amp;Result=3","7058121")</f>
        <v>0</v>
      </c>
      <c r="B8005" t="s">
        <v>2411</v>
      </c>
      <c r="C8005" t="s">
        <v>11124</v>
      </c>
      <c r="D8005" t="s">
        <v>18781</v>
      </c>
      <c r="E8005" t="s">
        <v>25910</v>
      </c>
      <c r="F8005" t="s">
        <v>32664</v>
      </c>
      <c r="G8005" t="s">
        <v>32674</v>
      </c>
      <c r="H8005" t="s">
        <v>32683</v>
      </c>
      <c r="I8005" t="s">
        <v>10627</v>
      </c>
      <c r="J8005" t="s">
        <v>37705</v>
      </c>
      <c r="K8005" t="s">
        <v>42281</v>
      </c>
      <c r="M8005" t="s">
        <v>45202</v>
      </c>
      <c r="N8005" t="s">
        <v>46569</v>
      </c>
      <c r="O8005" t="s">
        <v>46570</v>
      </c>
      <c r="P8005">
        <v>0</v>
      </c>
      <c r="Q8005">
        <v>0</v>
      </c>
      <c r="R8005" t="s">
        <v>46575</v>
      </c>
      <c r="S8005" t="s">
        <v>46744</v>
      </c>
      <c r="T8005" t="s">
        <v>48427</v>
      </c>
      <c r="U8005" t="s">
        <v>55378</v>
      </c>
      <c r="V8005" t="s">
        <v>62410</v>
      </c>
      <c r="W8005" t="s">
        <v>45202</v>
      </c>
      <c r="X8005" t="s">
        <v>46576</v>
      </c>
    </row>
    <row r="8006" spans="1:24">
      <c r="A8006">
        <f>HYPERLINK("https://www.philgeps.gov.ph/GEPSNONPILOT/Tender/SplashBidNoticeAbstractUI.aspx?menuIndex=3&amp;refID=7058118&amp;Result=3","7058118")</f>
        <v>0</v>
      </c>
      <c r="B8006" t="s">
        <v>2413</v>
      </c>
      <c r="C8006" t="s">
        <v>11125</v>
      </c>
      <c r="D8006" t="s">
        <v>18807</v>
      </c>
      <c r="E8006" t="s">
        <v>25911</v>
      </c>
      <c r="F8006" t="s">
        <v>32664</v>
      </c>
      <c r="G8006" t="s">
        <v>32674</v>
      </c>
      <c r="H8006" t="s">
        <v>12635</v>
      </c>
      <c r="I8006" t="s">
        <v>32690</v>
      </c>
      <c r="J8006" t="s">
        <v>37706</v>
      </c>
      <c r="K8006" t="s">
        <v>42332</v>
      </c>
      <c r="M8006" t="s">
        <v>45204</v>
      </c>
      <c r="N8006" t="s">
        <v>46569</v>
      </c>
      <c r="O8006" t="s">
        <v>46570</v>
      </c>
      <c r="P8006">
        <v>0</v>
      </c>
      <c r="Q8006">
        <v>0</v>
      </c>
      <c r="R8006" t="s">
        <v>46575</v>
      </c>
      <c r="S8006" t="s">
        <v>46744</v>
      </c>
      <c r="T8006" t="s">
        <v>48246</v>
      </c>
      <c r="U8006" t="s">
        <v>55375</v>
      </c>
      <c r="W8006" t="s">
        <v>45204</v>
      </c>
      <c r="X8006" t="s">
        <v>46576</v>
      </c>
    </row>
    <row r="8007" spans="1:24">
      <c r="A8007">
        <f>HYPERLINK("https://www.philgeps.gov.ph/GEPSNONPILOT/Tender/SplashBidNoticeAbstractUI.aspx?menuIndex=3&amp;refID=7058128&amp;Result=3","7058128")</f>
        <v>0</v>
      </c>
      <c r="B8007" t="s">
        <v>2409</v>
      </c>
      <c r="C8007" t="s">
        <v>11113</v>
      </c>
      <c r="D8007" t="s">
        <v>18786</v>
      </c>
      <c r="E8007" t="s">
        <v>25912</v>
      </c>
      <c r="F8007" t="s">
        <v>32664</v>
      </c>
      <c r="G8007" t="s">
        <v>32672</v>
      </c>
      <c r="H8007" t="s">
        <v>12635</v>
      </c>
      <c r="I8007" t="s">
        <v>6168</v>
      </c>
      <c r="J8007" t="s">
        <v>37707</v>
      </c>
      <c r="K8007" t="s">
        <v>42289</v>
      </c>
      <c r="M8007" t="s">
        <v>45200</v>
      </c>
      <c r="N8007" t="s">
        <v>46569</v>
      </c>
      <c r="O8007" t="s">
        <v>46570</v>
      </c>
      <c r="P8007">
        <v>0</v>
      </c>
      <c r="Q8007">
        <v>5</v>
      </c>
      <c r="R8007" t="s">
        <v>46575</v>
      </c>
      <c r="S8007" t="s">
        <v>46744</v>
      </c>
      <c r="T8007" t="s">
        <v>48268</v>
      </c>
      <c r="U8007" t="s">
        <v>49404</v>
      </c>
      <c r="W8007" t="s">
        <v>45200</v>
      </c>
      <c r="X8007" t="s">
        <v>46576</v>
      </c>
    </row>
    <row r="8008" spans="1:24">
      <c r="A8008">
        <f>HYPERLINK("https://www.philgeps.gov.ph/GEPSNONPILOT/Tender/SplashBidNoticeAbstractUI.aspx?menuIndex=3&amp;refID=7058109&amp;Result=3","7058109")</f>
        <v>0</v>
      </c>
      <c r="B8008" t="s">
        <v>958</v>
      </c>
      <c r="C8008" t="s">
        <v>11126</v>
      </c>
      <c r="D8008" t="s">
        <v>18784</v>
      </c>
      <c r="E8008" t="s">
        <v>25913</v>
      </c>
      <c r="F8008" t="s">
        <v>32664</v>
      </c>
      <c r="G8008" t="s">
        <v>32674</v>
      </c>
      <c r="H8008" t="s">
        <v>12635</v>
      </c>
      <c r="I8008" t="s">
        <v>6168</v>
      </c>
      <c r="J8008" t="s">
        <v>37448</v>
      </c>
      <c r="K8008" t="s">
        <v>42284</v>
      </c>
      <c r="M8008" t="s">
        <v>43565</v>
      </c>
      <c r="N8008" t="s">
        <v>46569</v>
      </c>
      <c r="O8008" t="s">
        <v>46570</v>
      </c>
      <c r="P8008">
        <v>0</v>
      </c>
      <c r="Q8008">
        <v>5</v>
      </c>
      <c r="R8008" t="s">
        <v>46575</v>
      </c>
      <c r="S8008" t="s">
        <v>46744</v>
      </c>
      <c r="T8008" t="s">
        <v>48316</v>
      </c>
      <c r="U8008" t="s">
        <v>50675</v>
      </c>
      <c r="V8008" t="s">
        <v>62411</v>
      </c>
      <c r="W8008" t="s">
        <v>43565</v>
      </c>
      <c r="X8008" t="s">
        <v>46576</v>
      </c>
    </row>
    <row r="8009" spans="1:24">
      <c r="A8009">
        <f>HYPERLINK("https://www.philgeps.gov.ph/GEPSNONPILOT/Tender/SplashBidNoticeAbstractUI.aspx?menuIndex=3&amp;refID=7058110&amp;Result=3","7058110")</f>
        <v>0</v>
      </c>
      <c r="B8009" t="s">
        <v>2410</v>
      </c>
      <c r="C8009" t="s">
        <v>11127</v>
      </c>
      <c r="D8009" t="s">
        <v>18860</v>
      </c>
      <c r="E8009" t="s">
        <v>25914</v>
      </c>
      <c r="F8009" t="s">
        <v>32664</v>
      </c>
      <c r="G8009" t="s">
        <v>32672</v>
      </c>
      <c r="H8009" t="s">
        <v>32681</v>
      </c>
      <c r="I8009" t="s">
        <v>32681</v>
      </c>
      <c r="J8009" t="s">
        <v>37504</v>
      </c>
      <c r="K8009" t="s">
        <v>42281</v>
      </c>
      <c r="M8009" t="s">
        <v>45201</v>
      </c>
      <c r="N8009" t="s">
        <v>46569</v>
      </c>
      <c r="O8009" t="s">
        <v>46570</v>
      </c>
      <c r="P8009">
        <v>0</v>
      </c>
      <c r="Q8009">
        <v>0</v>
      </c>
      <c r="R8009" t="s">
        <v>46575</v>
      </c>
      <c r="S8009" t="s">
        <v>46744</v>
      </c>
      <c r="T8009" t="s">
        <v>48212</v>
      </c>
      <c r="U8009" t="s">
        <v>55379</v>
      </c>
      <c r="W8009" t="s">
        <v>45201</v>
      </c>
      <c r="X8009" t="s">
        <v>46576</v>
      </c>
    </row>
    <row r="8010" spans="1:24">
      <c r="A8010">
        <f>HYPERLINK("https://www.philgeps.gov.ph/GEPSNONPILOT/Tender/SplashBidNoticeAbstractUI.aspx?menuIndex=3&amp;refID=7058101&amp;Result=3","7058101")</f>
        <v>0</v>
      </c>
      <c r="B8010" t="s">
        <v>2069</v>
      </c>
      <c r="C8010" t="s">
        <v>11128</v>
      </c>
      <c r="E8010" t="s">
        <v>25915</v>
      </c>
      <c r="F8010" t="s">
        <v>32664</v>
      </c>
      <c r="G8010" t="s">
        <v>32671</v>
      </c>
      <c r="H8010" t="s">
        <v>12635</v>
      </c>
      <c r="I8010" t="s">
        <v>5589</v>
      </c>
      <c r="J8010" t="s">
        <v>34326</v>
      </c>
      <c r="K8010" t="s">
        <v>42283</v>
      </c>
      <c r="M8010" t="s">
        <v>45195</v>
      </c>
      <c r="N8010" t="s">
        <v>46569</v>
      </c>
      <c r="O8010" t="s">
        <v>46570</v>
      </c>
      <c r="P8010">
        <v>0</v>
      </c>
      <c r="Q8010">
        <v>3</v>
      </c>
      <c r="R8010" t="s">
        <v>46575</v>
      </c>
      <c r="S8010" t="s">
        <v>46744</v>
      </c>
      <c r="T8010" t="s">
        <v>48420</v>
      </c>
      <c r="U8010" t="s">
        <v>50334</v>
      </c>
      <c r="W8010" t="s">
        <v>45195</v>
      </c>
      <c r="X8010" t="s">
        <v>46576</v>
      </c>
    </row>
    <row r="8011" spans="1:24">
      <c r="A8011">
        <f>HYPERLINK("https://www.philgeps.gov.ph/GEPSNONPILOT/Tender/SplashBidNoticeAbstractUI.aspx?menuIndex=3&amp;refID=7058112&amp;Result=3","7058112")</f>
        <v>0</v>
      </c>
      <c r="B8011" t="s">
        <v>2413</v>
      </c>
      <c r="C8011" t="s">
        <v>11129</v>
      </c>
      <c r="D8011" t="s">
        <v>18807</v>
      </c>
      <c r="E8011" t="s">
        <v>25916</v>
      </c>
      <c r="F8011" t="s">
        <v>32664</v>
      </c>
      <c r="G8011" t="s">
        <v>32674</v>
      </c>
      <c r="H8011" t="s">
        <v>12635</v>
      </c>
      <c r="I8011" t="s">
        <v>32778</v>
      </c>
      <c r="J8011" t="s">
        <v>34247</v>
      </c>
      <c r="K8011" t="s">
        <v>42332</v>
      </c>
      <c r="M8011" t="s">
        <v>45204</v>
      </c>
      <c r="N8011" t="s">
        <v>46569</v>
      </c>
      <c r="O8011" t="s">
        <v>46570</v>
      </c>
      <c r="P8011">
        <v>0</v>
      </c>
      <c r="Q8011">
        <v>0</v>
      </c>
      <c r="R8011" t="s">
        <v>46575</v>
      </c>
      <c r="S8011" t="s">
        <v>46744</v>
      </c>
      <c r="T8011" t="s">
        <v>48246</v>
      </c>
      <c r="U8011" t="s">
        <v>55375</v>
      </c>
      <c r="W8011" t="s">
        <v>45204</v>
      </c>
      <c r="X8011" t="s">
        <v>46576</v>
      </c>
    </row>
    <row r="8012" spans="1:24">
      <c r="A8012">
        <f>HYPERLINK("https://www.philgeps.gov.ph/GEPSNONPILOT/Tender/SplashBidNoticeAbstractUI.aspx?menuIndex=3&amp;refID=7058107&amp;Result=3","7058107")</f>
        <v>0</v>
      </c>
      <c r="B8012" t="s">
        <v>2410</v>
      </c>
      <c r="C8012" t="s">
        <v>11130</v>
      </c>
      <c r="D8012" t="s">
        <v>18860</v>
      </c>
      <c r="E8012" t="s">
        <v>25917</v>
      </c>
      <c r="F8012" t="s">
        <v>32664</v>
      </c>
      <c r="G8012" t="s">
        <v>32672</v>
      </c>
      <c r="H8012" t="s">
        <v>32683</v>
      </c>
      <c r="I8012" t="s">
        <v>10627</v>
      </c>
      <c r="J8012" t="s">
        <v>37708</v>
      </c>
      <c r="K8012" t="s">
        <v>42298</v>
      </c>
      <c r="M8012" t="s">
        <v>45201</v>
      </c>
      <c r="N8012" t="s">
        <v>46569</v>
      </c>
      <c r="O8012" t="s">
        <v>46570</v>
      </c>
      <c r="P8012">
        <v>0</v>
      </c>
      <c r="Q8012">
        <v>0</v>
      </c>
      <c r="R8012" t="s">
        <v>46575</v>
      </c>
      <c r="S8012" t="s">
        <v>46744</v>
      </c>
      <c r="T8012" t="s">
        <v>48213</v>
      </c>
      <c r="U8012" t="s">
        <v>55380</v>
      </c>
      <c r="W8012" t="s">
        <v>45201</v>
      </c>
      <c r="X8012" t="s">
        <v>46576</v>
      </c>
    </row>
    <row r="8013" spans="1:24">
      <c r="A8013">
        <f>HYPERLINK("https://www.philgeps.gov.ph/GEPSNONPILOT/Tender/SplashBidNoticeAbstractUI.aspx?menuIndex=3&amp;refID=7058053&amp;Result=3","7058053")</f>
        <v>0</v>
      </c>
      <c r="B8013" t="s">
        <v>2383</v>
      </c>
      <c r="C8013" t="s">
        <v>11131</v>
      </c>
      <c r="D8013" t="s">
        <v>18789</v>
      </c>
      <c r="E8013" t="s">
        <v>25918</v>
      </c>
      <c r="F8013" t="s">
        <v>32664</v>
      </c>
      <c r="G8013" t="s">
        <v>32674</v>
      </c>
      <c r="H8013" t="s">
        <v>12635</v>
      </c>
      <c r="I8013" t="s">
        <v>32692</v>
      </c>
      <c r="J8013" t="s">
        <v>32929</v>
      </c>
      <c r="K8013" t="s">
        <v>42295</v>
      </c>
      <c r="M8013" t="s">
        <v>45173</v>
      </c>
      <c r="N8013" t="s">
        <v>46569</v>
      </c>
      <c r="O8013" t="s">
        <v>46570</v>
      </c>
      <c r="Q8013">
        <v>0</v>
      </c>
      <c r="R8013" t="s">
        <v>46575</v>
      </c>
      <c r="S8013" t="s">
        <v>46746</v>
      </c>
      <c r="T8013" t="s">
        <v>48492</v>
      </c>
      <c r="U8013" t="s">
        <v>55381</v>
      </c>
      <c r="V8013" t="s">
        <v>62412</v>
      </c>
      <c r="W8013" t="s">
        <v>45173</v>
      </c>
      <c r="X8013" t="s">
        <v>46576</v>
      </c>
    </row>
    <row r="8014" spans="1:24">
      <c r="A8014">
        <f>HYPERLINK("https://www.philgeps.gov.ph/GEPSNONPILOT/Tender/SplashBidNoticeAbstractUI.aspx?menuIndex=3&amp;refID=7058103&amp;Result=3","7058103")</f>
        <v>0</v>
      </c>
      <c r="B8014" t="s">
        <v>2069</v>
      </c>
      <c r="C8014" t="s">
        <v>11132</v>
      </c>
      <c r="E8014" t="s">
        <v>25919</v>
      </c>
      <c r="F8014" t="s">
        <v>32664</v>
      </c>
      <c r="G8014" t="s">
        <v>32671</v>
      </c>
      <c r="H8014" t="s">
        <v>12635</v>
      </c>
      <c r="I8014" t="s">
        <v>32745</v>
      </c>
      <c r="J8014" t="s">
        <v>32859</v>
      </c>
      <c r="K8014" t="s">
        <v>42283</v>
      </c>
      <c r="M8014" t="s">
        <v>45195</v>
      </c>
      <c r="N8014" t="s">
        <v>46569</v>
      </c>
      <c r="O8014" t="s">
        <v>46570</v>
      </c>
      <c r="Q8014">
        <v>2</v>
      </c>
      <c r="R8014" t="s">
        <v>46575</v>
      </c>
      <c r="S8014" t="s">
        <v>46747</v>
      </c>
      <c r="T8014" t="s">
        <v>48254</v>
      </c>
      <c r="U8014" t="s">
        <v>50334</v>
      </c>
      <c r="W8014" t="s">
        <v>45195</v>
      </c>
      <c r="X8014" t="s">
        <v>46576</v>
      </c>
    </row>
    <row r="8015" spans="1:24">
      <c r="A8015">
        <f>HYPERLINK("https://www.philgeps.gov.ph/GEPSNONPILOT/Tender/SplashBidNoticeAbstractUI.aspx?menuIndex=3&amp;refID=7058039&amp;Result=3","7058039")</f>
        <v>0</v>
      </c>
      <c r="B8015" t="s">
        <v>2388</v>
      </c>
      <c r="C8015" t="s">
        <v>11133</v>
      </c>
      <c r="D8015" t="s">
        <v>18841</v>
      </c>
      <c r="E8015" t="s">
        <v>25920</v>
      </c>
      <c r="F8015" t="s">
        <v>32664</v>
      </c>
      <c r="G8015" t="s">
        <v>32672</v>
      </c>
      <c r="H8015" t="s">
        <v>12635</v>
      </c>
      <c r="I8015" t="s">
        <v>32694</v>
      </c>
      <c r="J8015" t="s">
        <v>37709</v>
      </c>
      <c r="K8015" t="s">
        <v>42281</v>
      </c>
      <c r="M8015" t="s">
        <v>45178</v>
      </c>
      <c r="N8015" t="s">
        <v>46569</v>
      </c>
      <c r="O8015" t="s">
        <v>46570</v>
      </c>
      <c r="P8015">
        <v>0</v>
      </c>
      <c r="Q8015">
        <v>0</v>
      </c>
      <c r="R8015" t="s">
        <v>46575</v>
      </c>
      <c r="S8015" t="s">
        <v>46744</v>
      </c>
      <c r="T8015" t="s">
        <v>48349</v>
      </c>
      <c r="U8015" t="s">
        <v>55382</v>
      </c>
      <c r="V8015" t="s">
        <v>62399</v>
      </c>
      <c r="W8015" t="s">
        <v>45178</v>
      </c>
      <c r="X8015" t="s">
        <v>46577</v>
      </c>
    </row>
    <row r="8016" spans="1:24">
      <c r="A8016">
        <f>HYPERLINK("https://www.philgeps.gov.ph/GEPSNONPILOT/Tender/SplashBidNoticeAbstractUI.aspx?menuIndex=3&amp;refID=7058091&amp;Result=3","7058091")</f>
        <v>0</v>
      </c>
      <c r="B8016" t="s">
        <v>2389</v>
      </c>
      <c r="C8016" t="s">
        <v>11134</v>
      </c>
      <c r="D8016" t="s">
        <v>18802</v>
      </c>
      <c r="E8016" t="s">
        <v>25921</v>
      </c>
      <c r="F8016" t="s">
        <v>32664</v>
      </c>
      <c r="G8016" t="s">
        <v>32672</v>
      </c>
      <c r="H8016" t="s">
        <v>12635</v>
      </c>
      <c r="I8016" t="s">
        <v>4439</v>
      </c>
      <c r="J8016" t="s">
        <v>37710</v>
      </c>
      <c r="K8016" t="s">
        <v>42281</v>
      </c>
      <c r="M8016" t="s">
        <v>45179</v>
      </c>
      <c r="N8016" t="s">
        <v>46569</v>
      </c>
      <c r="O8016" t="s">
        <v>46570</v>
      </c>
      <c r="P8016">
        <v>0</v>
      </c>
      <c r="Q8016">
        <v>2</v>
      </c>
      <c r="R8016" t="s">
        <v>46575</v>
      </c>
      <c r="S8016" t="s">
        <v>46744</v>
      </c>
      <c r="T8016" t="s">
        <v>48479</v>
      </c>
      <c r="U8016" t="s">
        <v>55383</v>
      </c>
      <c r="V8016" t="s">
        <v>62400</v>
      </c>
      <c r="W8016" t="s">
        <v>45179</v>
      </c>
      <c r="X8016" t="s">
        <v>46576</v>
      </c>
    </row>
    <row r="8017" spans="1:24">
      <c r="A8017">
        <f>HYPERLINK("https://www.philgeps.gov.ph/GEPSNONPILOT/Tender/SplashBidNoticeAbstractUI.aspx?menuIndex=3&amp;refID=7058711&amp;Result=3","7058711")</f>
        <v>0</v>
      </c>
      <c r="B8017" t="s">
        <v>1718</v>
      </c>
      <c r="C8017" t="s">
        <v>11135</v>
      </c>
      <c r="D8017" t="s">
        <v>18783</v>
      </c>
      <c r="E8017" t="s">
        <v>25922</v>
      </c>
      <c r="F8017" t="s">
        <v>32664</v>
      </c>
      <c r="G8017" t="s">
        <v>32672</v>
      </c>
      <c r="H8017" t="s">
        <v>12635</v>
      </c>
      <c r="I8017" t="s">
        <v>4439</v>
      </c>
      <c r="J8017" t="s">
        <v>37711</v>
      </c>
      <c r="K8017" t="s">
        <v>42297</v>
      </c>
      <c r="M8017" t="s">
        <v>44415</v>
      </c>
      <c r="N8017" t="s">
        <v>46569</v>
      </c>
      <c r="O8017" t="s">
        <v>46570</v>
      </c>
      <c r="P8017">
        <v>0</v>
      </c>
      <c r="Q8017">
        <v>0</v>
      </c>
      <c r="R8017" t="s">
        <v>46574</v>
      </c>
      <c r="S8017" t="s">
        <v>46723</v>
      </c>
      <c r="T8017" t="s">
        <v>48467</v>
      </c>
      <c r="U8017" t="s">
        <v>55384</v>
      </c>
      <c r="W8017" t="s">
        <v>44415</v>
      </c>
      <c r="X8017" t="s">
        <v>46575</v>
      </c>
    </row>
    <row r="8018" spans="1:24">
      <c r="A8018">
        <f>HYPERLINK("https://www.philgeps.gov.ph/GEPSNONPILOT/Tender/SplashBidNoticeAbstractUI.aspx?menuIndex=3&amp;refID=7058710&amp;Result=3","7058710")</f>
        <v>0</v>
      </c>
      <c r="B8018" t="s">
        <v>2363</v>
      </c>
      <c r="C8018" t="s">
        <v>11136</v>
      </c>
      <c r="D8018" t="s">
        <v>18826</v>
      </c>
      <c r="E8018" t="s">
        <v>25923</v>
      </c>
      <c r="F8018" t="s">
        <v>32664</v>
      </c>
      <c r="G8018" t="s">
        <v>32672</v>
      </c>
      <c r="H8018" t="s">
        <v>32683</v>
      </c>
      <c r="I8018" t="s">
        <v>10627</v>
      </c>
      <c r="J8018" t="s">
        <v>32898</v>
      </c>
      <c r="K8018" t="s">
        <v>42281</v>
      </c>
      <c r="M8018" t="s">
        <v>45148</v>
      </c>
      <c r="N8018" t="s">
        <v>46569</v>
      </c>
      <c r="O8018" t="s">
        <v>46570</v>
      </c>
      <c r="P8018">
        <v>0</v>
      </c>
      <c r="Q8018">
        <v>0</v>
      </c>
      <c r="R8018" t="s">
        <v>46574</v>
      </c>
      <c r="S8018" t="s">
        <v>46723</v>
      </c>
      <c r="T8018" t="s">
        <v>48410</v>
      </c>
      <c r="U8018" t="s">
        <v>55385</v>
      </c>
      <c r="W8018" t="s">
        <v>45148</v>
      </c>
      <c r="X8018" t="s">
        <v>46575</v>
      </c>
    </row>
    <row r="8019" spans="1:24">
      <c r="A8019">
        <f>HYPERLINK("https://www.philgeps.gov.ph/GEPSNONPILOT/Tender/SplashBidNoticeAbstractUI.aspx?menuIndex=3&amp;refID=7058115&amp;Result=3","7058115")</f>
        <v>0</v>
      </c>
      <c r="B8019" t="s">
        <v>1154</v>
      </c>
      <c r="C8019" t="s">
        <v>11137</v>
      </c>
      <c r="D8019" t="s">
        <v>18826</v>
      </c>
      <c r="E8019" t="s">
        <v>25924</v>
      </c>
      <c r="F8019" t="s">
        <v>32664</v>
      </c>
      <c r="G8019" t="s">
        <v>32672</v>
      </c>
      <c r="H8019" t="s">
        <v>12635</v>
      </c>
      <c r="I8019" t="s">
        <v>4439</v>
      </c>
      <c r="J8019" t="s">
        <v>37712</v>
      </c>
      <c r="K8019" t="s">
        <v>42281</v>
      </c>
      <c r="M8019" t="s">
        <v>43785</v>
      </c>
      <c r="N8019" t="s">
        <v>46569</v>
      </c>
      <c r="O8019" t="s">
        <v>46570</v>
      </c>
      <c r="P8019">
        <v>0</v>
      </c>
      <c r="Q8019">
        <v>2</v>
      </c>
      <c r="R8019" t="s">
        <v>46575</v>
      </c>
      <c r="S8019" t="s">
        <v>46744</v>
      </c>
      <c r="T8019" t="s">
        <v>48533</v>
      </c>
      <c r="U8019" t="s">
        <v>55386</v>
      </c>
      <c r="W8019" t="s">
        <v>43785</v>
      </c>
      <c r="X8019" t="s">
        <v>46576</v>
      </c>
    </row>
    <row r="8020" spans="1:24">
      <c r="A8020">
        <f>HYPERLINK("https://www.philgeps.gov.ph/GEPSNONPILOT/Tender/SplashBidNoticeAbstractUI.aspx?menuIndex=3&amp;refID=7058707&amp;Result=3","7058707")</f>
        <v>0</v>
      </c>
      <c r="B8020" t="s">
        <v>1548</v>
      </c>
      <c r="C8020" t="s">
        <v>11138</v>
      </c>
      <c r="D8020" t="s">
        <v>18831</v>
      </c>
      <c r="E8020" t="s">
        <v>25925</v>
      </c>
      <c r="F8020" t="s">
        <v>32664</v>
      </c>
      <c r="G8020" t="s">
        <v>32672</v>
      </c>
      <c r="H8020" t="s">
        <v>12635</v>
      </c>
      <c r="I8020" t="s">
        <v>4439</v>
      </c>
      <c r="J8020" t="s">
        <v>37713</v>
      </c>
      <c r="K8020" t="s">
        <v>42297</v>
      </c>
      <c r="M8020" t="s">
        <v>44217</v>
      </c>
      <c r="N8020" t="s">
        <v>46569</v>
      </c>
      <c r="O8020" t="s">
        <v>46570</v>
      </c>
      <c r="P8020">
        <v>0</v>
      </c>
      <c r="Q8020">
        <v>2</v>
      </c>
      <c r="R8020" t="s">
        <v>46574</v>
      </c>
      <c r="S8020" t="s">
        <v>46723</v>
      </c>
      <c r="T8020" t="s">
        <v>48411</v>
      </c>
      <c r="U8020" t="s">
        <v>55387</v>
      </c>
      <c r="W8020" t="s">
        <v>44217</v>
      </c>
      <c r="X8020" t="s">
        <v>46575</v>
      </c>
    </row>
    <row r="8021" spans="1:24">
      <c r="A8021">
        <f>HYPERLINK("https://www.philgeps.gov.ph/GEPSNONPILOT/Tender/SplashBidNoticeAbstractUI.aspx?menuIndex=3&amp;refID=7058706&amp;Result=3","7058706")</f>
        <v>0</v>
      </c>
      <c r="B8021" t="s">
        <v>2414</v>
      </c>
      <c r="C8021" t="s">
        <v>11139</v>
      </c>
      <c r="D8021" t="s">
        <v>18797</v>
      </c>
      <c r="E8021" t="s">
        <v>25926</v>
      </c>
      <c r="F8021" t="s">
        <v>32664</v>
      </c>
      <c r="G8021" t="s">
        <v>32672</v>
      </c>
      <c r="H8021" t="s">
        <v>12635</v>
      </c>
      <c r="I8021" t="s">
        <v>32694</v>
      </c>
      <c r="J8021" t="s">
        <v>32945</v>
      </c>
      <c r="K8021" t="s">
        <v>42281</v>
      </c>
      <c r="M8021" t="s">
        <v>45205</v>
      </c>
      <c r="N8021" t="s">
        <v>46569</v>
      </c>
      <c r="O8021" t="s">
        <v>46570</v>
      </c>
      <c r="P8021">
        <v>0</v>
      </c>
      <c r="Q8021">
        <v>6</v>
      </c>
      <c r="R8021" t="s">
        <v>46574</v>
      </c>
      <c r="S8021" t="s">
        <v>46723</v>
      </c>
      <c r="T8021" t="s">
        <v>48443</v>
      </c>
      <c r="U8021" t="s">
        <v>55388</v>
      </c>
      <c r="V8021" t="s">
        <v>62413</v>
      </c>
      <c r="W8021" t="s">
        <v>45205</v>
      </c>
      <c r="X8021" t="s">
        <v>46575</v>
      </c>
    </row>
    <row r="8022" spans="1:24">
      <c r="A8022">
        <f>HYPERLINK("https://www.philgeps.gov.ph/GEPSNONPILOT/Tender/SplashBidNoticeAbstractUI.aspx?menuIndex=3&amp;refID=7058041&amp;Result=3","7058041")</f>
        <v>0</v>
      </c>
      <c r="B8022" t="s">
        <v>2388</v>
      </c>
      <c r="C8022" t="s">
        <v>11140</v>
      </c>
      <c r="D8022" t="s">
        <v>18841</v>
      </c>
      <c r="E8022" t="s">
        <v>25927</v>
      </c>
      <c r="F8022" t="s">
        <v>32664</v>
      </c>
      <c r="G8022" t="s">
        <v>32672</v>
      </c>
      <c r="H8022" t="s">
        <v>12635</v>
      </c>
      <c r="I8022" t="s">
        <v>32694</v>
      </c>
      <c r="J8022" t="s">
        <v>37714</v>
      </c>
      <c r="K8022" t="s">
        <v>42281</v>
      </c>
      <c r="M8022" t="s">
        <v>45178</v>
      </c>
      <c r="N8022" t="s">
        <v>46569</v>
      </c>
      <c r="O8022" t="s">
        <v>46570</v>
      </c>
      <c r="P8022">
        <v>0</v>
      </c>
      <c r="Q8022">
        <v>0</v>
      </c>
      <c r="R8022" t="s">
        <v>46575</v>
      </c>
      <c r="S8022" t="s">
        <v>46744</v>
      </c>
      <c r="T8022" t="s">
        <v>48349</v>
      </c>
      <c r="U8022" t="s">
        <v>55389</v>
      </c>
      <c r="V8022" t="s">
        <v>62399</v>
      </c>
      <c r="W8022" t="s">
        <v>45178</v>
      </c>
      <c r="X8022" t="s">
        <v>46577</v>
      </c>
    </row>
    <row r="8023" spans="1:24">
      <c r="A8023">
        <f>HYPERLINK("https://www.philgeps.gov.ph/GEPSNONPILOT/Tender/SplashBidNoticeAbstractUI.aspx?menuIndex=3&amp;refID=7058712&amp;Result=3","7058712")</f>
        <v>0</v>
      </c>
      <c r="B8023" t="s">
        <v>1718</v>
      </c>
      <c r="C8023" t="s">
        <v>11141</v>
      </c>
      <c r="D8023" t="s">
        <v>18783</v>
      </c>
      <c r="E8023" t="s">
        <v>25928</v>
      </c>
      <c r="F8023" t="s">
        <v>32664</v>
      </c>
      <c r="G8023" t="s">
        <v>32677</v>
      </c>
      <c r="H8023" t="s">
        <v>12635</v>
      </c>
      <c r="I8023" t="s">
        <v>4439</v>
      </c>
      <c r="J8023" t="s">
        <v>37715</v>
      </c>
      <c r="K8023" t="s">
        <v>42297</v>
      </c>
      <c r="M8023" t="s">
        <v>44415</v>
      </c>
      <c r="N8023" t="s">
        <v>46569</v>
      </c>
      <c r="O8023" t="s">
        <v>46570</v>
      </c>
      <c r="P8023">
        <v>0</v>
      </c>
      <c r="Q8023">
        <v>0</v>
      </c>
      <c r="R8023" t="s">
        <v>46574</v>
      </c>
      <c r="S8023" t="s">
        <v>46723</v>
      </c>
      <c r="T8023" t="s">
        <v>48467</v>
      </c>
      <c r="U8023" t="s">
        <v>55390</v>
      </c>
      <c r="W8023" t="s">
        <v>44415</v>
      </c>
      <c r="X8023" t="s">
        <v>46575</v>
      </c>
    </row>
    <row r="8024" spans="1:24">
      <c r="A8024">
        <f>HYPERLINK("https://www.philgeps.gov.ph/GEPSNONPILOT/Tender/SplashBidNoticeAbstractUI.aspx?menuIndex=3&amp;refID=7058221&amp;Result=3","7058221")</f>
        <v>0</v>
      </c>
      <c r="B8024" t="s">
        <v>2415</v>
      </c>
      <c r="C8024" t="s">
        <v>11142</v>
      </c>
      <c r="D8024" t="s">
        <v>18781</v>
      </c>
      <c r="E8024" t="s">
        <v>25929</v>
      </c>
      <c r="F8024" t="s">
        <v>32664</v>
      </c>
      <c r="G8024" t="s">
        <v>32672</v>
      </c>
      <c r="H8024" t="s">
        <v>12635</v>
      </c>
      <c r="I8024" t="s">
        <v>11464</v>
      </c>
      <c r="J8024" t="s">
        <v>33345</v>
      </c>
      <c r="K8024" t="s">
        <v>42297</v>
      </c>
      <c r="L8024" t="s">
        <v>2415</v>
      </c>
      <c r="M8024" t="s">
        <v>45206</v>
      </c>
      <c r="N8024" t="s">
        <v>46569</v>
      </c>
      <c r="O8024" t="s">
        <v>46570</v>
      </c>
      <c r="P8024">
        <v>0</v>
      </c>
      <c r="Q8024">
        <v>0</v>
      </c>
      <c r="R8024" t="s">
        <v>46575</v>
      </c>
      <c r="S8024" t="s">
        <v>46744</v>
      </c>
      <c r="T8024" t="s">
        <v>48616</v>
      </c>
      <c r="U8024" t="s">
        <v>55391</v>
      </c>
      <c r="W8024" t="s">
        <v>45206</v>
      </c>
      <c r="X8024" t="s">
        <v>46576</v>
      </c>
    </row>
    <row r="8025" spans="1:24">
      <c r="A8025">
        <f>HYPERLINK("https://www.philgeps.gov.ph/GEPSNONPILOT/Tender/SplashBidNoticeAbstractUI.aspx?menuIndex=3&amp;refID=7058209&amp;Result=3","7058209")</f>
        <v>0</v>
      </c>
      <c r="B8025" t="s">
        <v>1799</v>
      </c>
      <c r="C8025" t="s">
        <v>11143</v>
      </c>
      <c r="D8025" t="s">
        <v>18784</v>
      </c>
      <c r="E8025" t="s">
        <v>25930</v>
      </c>
      <c r="F8025" t="s">
        <v>32664</v>
      </c>
      <c r="G8025" t="s">
        <v>32672</v>
      </c>
      <c r="H8025" t="s">
        <v>12635</v>
      </c>
      <c r="I8025" t="s">
        <v>4439</v>
      </c>
      <c r="J8025" t="s">
        <v>37716</v>
      </c>
      <c r="K8025" t="s">
        <v>42289</v>
      </c>
      <c r="M8025" t="s">
        <v>44502</v>
      </c>
      <c r="N8025" t="s">
        <v>46569</v>
      </c>
      <c r="O8025" t="s">
        <v>46570</v>
      </c>
      <c r="P8025">
        <v>0</v>
      </c>
      <c r="Q8025">
        <v>0</v>
      </c>
      <c r="R8025" t="s">
        <v>46575</v>
      </c>
      <c r="S8025" t="s">
        <v>46744</v>
      </c>
      <c r="T8025" t="s">
        <v>48213</v>
      </c>
      <c r="U8025" t="s">
        <v>55392</v>
      </c>
      <c r="W8025" t="s">
        <v>63534</v>
      </c>
      <c r="X8025" t="s">
        <v>46576</v>
      </c>
    </row>
    <row r="8026" spans="1:24">
      <c r="A8026">
        <f>HYPERLINK("https://www.philgeps.gov.ph/GEPSNONPILOT/Tender/SplashBidNoticeAbstractUI.aspx?menuIndex=3&amp;refID=7058055&amp;Result=3","7058055")</f>
        <v>0</v>
      </c>
      <c r="B8026" t="s">
        <v>1807</v>
      </c>
      <c r="C8026" t="s">
        <v>11144</v>
      </c>
      <c r="E8026" t="s">
        <v>25931</v>
      </c>
      <c r="F8026" t="s">
        <v>32664</v>
      </c>
      <c r="G8026" t="s">
        <v>32672</v>
      </c>
      <c r="H8026" t="s">
        <v>32683</v>
      </c>
      <c r="I8026" t="s">
        <v>4439</v>
      </c>
      <c r="J8026" t="s">
        <v>37717</v>
      </c>
      <c r="K8026" t="s">
        <v>42283</v>
      </c>
      <c r="M8026" t="s">
        <v>44512</v>
      </c>
      <c r="N8026" t="s">
        <v>46569</v>
      </c>
      <c r="O8026" t="s">
        <v>46570</v>
      </c>
      <c r="P8026">
        <v>0</v>
      </c>
      <c r="Q8026">
        <v>0</v>
      </c>
      <c r="R8026" t="s">
        <v>46575</v>
      </c>
      <c r="S8026" t="s">
        <v>46744</v>
      </c>
      <c r="T8026" t="s">
        <v>48213</v>
      </c>
      <c r="U8026" t="s">
        <v>55393</v>
      </c>
      <c r="W8026" t="s">
        <v>44512</v>
      </c>
      <c r="X8026" t="s">
        <v>46576</v>
      </c>
    </row>
    <row r="8027" spans="1:24">
      <c r="A8027">
        <f>HYPERLINK("https://www.philgeps.gov.ph/GEPSNONPILOT/Tender/SplashBidNoticeAbstractUI.aspx?menuIndex=3&amp;refID=7058216&amp;Result=3","7058216")</f>
        <v>0</v>
      </c>
      <c r="B8027" t="s">
        <v>2416</v>
      </c>
      <c r="C8027" t="s">
        <v>11145</v>
      </c>
      <c r="D8027" t="s">
        <v>18786</v>
      </c>
      <c r="E8027" t="s">
        <v>25932</v>
      </c>
      <c r="F8027" t="s">
        <v>32664</v>
      </c>
      <c r="G8027" t="s">
        <v>32672</v>
      </c>
      <c r="H8027" t="s">
        <v>12635</v>
      </c>
      <c r="I8027" t="s">
        <v>10361</v>
      </c>
      <c r="J8027" t="s">
        <v>36161</v>
      </c>
      <c r="K8027" t="s">
        <v>42289</v>
      </c>
      <c r="M8027" t="s">
        <v>45207</v>
      </c>
      <c r="N8027" t="s">
        <v>46569</v>
      </c>
      <c r="O8027" t="s">
        <v>46570</v>
      </c>
      <c r="P8027">
        <v>0</v>
      </c>
      <c r="Q8027">
        <v>0</v>
      </c>
      <c r="R8027" t="s">
        <v>46575</v>
      </c>
      <c r="S8027" t="s">
        <v>46744</v>
      </c>
      <c r="T8027" t="s">
        <v>48220</v>
      </c>
      <c r="U8027" t="s">
        <v>55394</v>
      </c>
      <c r="W8027" t="s">
        <v>45207</v>
      </c>
      <c r="X8027" t="s">
        <v>46576</v>
      </c>
    </row>
    <row r="8028" spans="1:24">
      <c r="A8028">
        <f>HYPERLINK("https://www.philgeps.gov.ph/GEPSNONPILOT/Tender/SplashBidNoticeAbstractUI.aspx?menuIndex=3&amp;refID=7058205&amp;Result=3","7058205")</f>
        <v>0</v>
      </c>
      <c r="B8028" t="s">
        <v>1799</v>
      </c>
      <c r="C8028" t="s">
        <v>11146</v>
      </c>
      <c r="D8028" t="s">
        <v>18784</v>
      </c>
      <c r="E8028" t="s">
        <v>25933</v>
      </c>
      <c r="F8028" t="s">
        <v>32664</v>
      </c>
      <c r="G8028" t="s">
        <v>32672</v>
      </c>
      <c r="H8028" t="s">
        <v>12635</v>
      </c>
      <c r="I8028" t="s">
        <v>4439</v>
      </c>
      <c r="J8028" t="s">
        <v>37718</v>
      </c>
      <c r="K8028" t="s">
        <v>42289</v>
      </c>
      <c r="M8028" t="s">
        <v>44502</v>
      </c>
      <c r="N8028" t="s">
        <v>46569</v>
      </c>
      <c r="O8028" t="s">
        <v>46570</v>
      </c>
      <c r="P8028">
        <v>0</v>
      </c>
      <c r="Q8028">
        <v>0</v>
      </c>
      <c r="R8028" t="s">
        <v>46575</v>
      </c>
      <c r="S8028" t="s">
        <v>46744</v>
      </c>
      <c r="T8028" t="s">
        <v>48213</v>
      </c>
      <c r="U8028" t="s">
        <v>55395</v>
      </c>
      <c r="W8028" t="s">
        <v>63534</v>
      </c>
      <c r="X8028" t="s">
        <v>46576</v>
      </c>
    </row>
    <row r="8029" spans="1:24">
      <c r="A8029">
        <f>HYPERLINK("https://www.philgeps.gov.ph/GEPSNONPILOT/Tender/SplashBidNoticeAbstractUI.aspx?menuIndex=3&amp;refID=7058200&amp;Result=3","7058200")</f>
        <v>0</v>
      </c>
      <c r="B8029" t="s">
        <v>2417</v>
      </c>
      <c r="C8029" t="s">
        <v>11147</v>
      </c>
      <c r="D8029" t="s">
        <v>18799</v>
      </c>
      <c r="E8029" t="s">
        <v>25934</v>
      </c>
      <c r="F8029" t="s">
        <v>32664</v>
      </c>
      <c r="G8029" t="s">
        <v>32672</v>
      </c>
      <c r="H8029" t="s">
        <v>12635</v>
      </c>
      <c r="I8029" t="s">
        <v>32784</v>
      </c>
      <c r="J8029" t="s">
        <v>33359</v>
      </c>
      <c r="K8029" t="s">
        <v>42297</v>
      </c>
      <c r="M8029" t="s">
        <v>45208</v>
      </c>
      <c r="N8029" t="s">
        <v>46569</v>
      </c>
      <c r="O8029" t="s">
        <v>46570</v>
      </c>
      <c r="P8029">
        <v>0</v>
      </c>
      <c r="Q8029">
        <v>1</v>
      </c>
      <c r="R8029" t="s">
        <v>46575</v>
      </c>
      <c r="S8029" t="s">
        <v>46744</v>
      </c>
      <c r="T8029" t="s">
        <v>48219</v>
      </c>
      <c r="U8029" t="s">
        <v>55396</v>
      </c>
      <c r="W8029" t="s">
        <v>45208</v>
      </c>
      <c r="X8029" t="s">
        <v>46576</v>
      </c>
    </row>
    <row r="8030" spans="1:24">
      <c r="A8030">
        <f>HYPERLINK("https://www.philgeps.gov.ph/GEPSNONPILOT/Tender/SplashBidNoticeAbstractUI.aspx?menuIndex=3&amp;refID=7058199&amp;Result=3","7058199")</f>
        <v>0</v>
      </c>
      <c r="B8030" t="s">
        <v>2417</v>
      </c>
      <c r="C8030" t="s">
        <v>11148</v>
      </c>
      <c r="D8030" t="s">
        <v>18799</v>
      </c>
      <c r="E8030" t="s">
        <v>25935</v>
      </c>
      <c r="F8030" t="s">
        <v>32664</v>
      </c>
      <c r="G8030" t="s">
        <v>32672</v>
      </c>
      <c r="H8030" t="s">
        <v>12635</v>
      </c>
      <c r="I8030" t="s">
        <v>32692</v>
      </c>
      <c r="J8030" t="s">
        <v>34713</v>
      </c>
      <c r="K8030" t="s">
        <v>42297</v>
      </c>
      <c r="M8030" t="s">
        <v>45208</v>
      </c>
      <c r="N8030" t="s">
        <v>46569</v>
      </c>
      <c r="O8030" t="s">
        <v>46570</v>
      </c>
      <c r="P8030">
        <v>0</v>
      </c>
      <c r="Q8030">
        <v>0</v>
      </c>
      <c r="R8030" t="s">
        <v>46575</v>
      </c>
      <c r="S8030" t="s">
        <v>46744</v>
      </c>
      <c r="T8030" t="s">
        <v>48219</v>
      </c>
      <c r="U8030" t="s">
        <v>55397</v>
      </c>
      <c r="W8030" t="s">
        <v>45208</v>
      </c>
      <c r="X8030" t="s">
        <v>46576</v>
      </c>
    </row>
    <row r="8031" spans="1:24">
      <c r="A8031">
        <f>HYPERLINK("https://www.philgeps.gov.ph/GEPSNONPILOT/Tender/SplashBidNoticeAbstractUI.aspx?menuIndex=3&amp;refID=7058197&amp;Result=3","7058197")</f>
        <v>0</v>
      </c>
      <c r="B8031" t="s">
        <v>2417</v>
      </c>
      <c r="C8031" t="s">
        <v>11149</v>
      </c>
      <c r="D8031" t="s">
        <v>18799</v>
      </c>
      <c r="E8031" t="s">
        <v>21808</v>
      </c>
      <c r="F8031" t="s">
        <v>32664</v>
      </c>
      <c r="G8031" t="s">
        <v>32672</v>
      </c>
      <c r="H8031" t="s">
        <v>12635</v>
      </c>
      <c r="I8031" t="s">
        <v>32710</v>
      </c>
      <c r="J8031" t="s">
        <v>34193</v>
      </c>
      <c r="K8031" t="s">
        <v>42297</v>
      </c>
      <c r="M8031" t="s">
        <v>45208</v>
      </c>
      <c r="N8031" t="s">
        <v>46569</v>
      </c>
      <c r="O8031" t="s">
        <v>46570</v>
      </c>
      <c r="P8031">
        <v>0</v>
      </c>
      <c r="Q8031">
        <v>0</v>
      </c>
      <c r="R8031" t="s">
        <v>46575</v>
      </c>
      <c r="S8031" t="s">
        <v>46744</v>
      </c>
      <c r="T8031" t="s">
        <v>48219</v>
      </c>
      <c r="U8031" t="s">
        <v>55397</v>
      </c>
      <c r="W8031" t="s">
        <v>45208</v>
      </c>
      <c r="X8031" t="s">
        <v>46576</v>
      </c>
    </row>
    <row r="8032" spans="1:24">
      <c r="A8032">
        <f>HYPERLINK("https://www.philgeps.gov.ph/GEPSNONPILOT/Tender/SplashBidNoticeAbstractUI.aspx?menuIndex=3&amp;refID=7058196&amp;Result=3","7058196")</f>
        <v>0</v>
      </c>
      <c r="B8032" t="s">
        <v>2417</v>
      </c>
      <c r="C8032" t="s">
        <v>11150</v>
      </c>
      <c r="D8032" t="s">
        <v>18799</v>
      </c>
      <c r="E8032" t="s">
        <v>23540</v>
      </c>
      <c r="F8032" t="s">
        <v>32664</v>
      </c>
      <c r="G8032" t="s">
        <v>32672</v>
      </c>
      <c r="H8032" t="s">
        <v>12635</v>
      </c>
      <c r="I8032" t="s">
        <v>10374</v>
      </c>
      <c r="J8032" t="s">
        <v>34247</v>
      </c>
      <c r="K8032" t="s">
        <v>42297</v>
      </c>
      <c r="M8032" t="s">
        <v>45208</v>
      </c>
      <c r="N8032" t="s">
        <v>46569</v>
      </c>
      <c r="O8032" t="s">
        <v>46570</v>
      </c>
      <c r="P8032">
        <v>0</v>
      </c>
      <c r="Q8032">
        <v>1</v>
      </c>
      <c r="R8032" t="s">
        <v>46575</v>
      </c>
      <c r="S8032" t="s">
        <v>46744</v>
      </c>
      <c r="T8032" t="s">
        <v>48219</v>
      </c>
      <c r="U8032" t="s">
        <v>55398</v>
      </c>
      <c r="W8032" t="s">
        <v>45208</v>
      </c>
      <c r="X8032" t="s">
        <v>46576</v>
      </c>
    </row>
    <row r="8033" spans="1:24">
      <c r="A8033">
        <f>HYPERLINK("https://www.philgeps.gov.ph/GEPSNONPILOT/Tender/SplashBidNoticeAbstractUI.aspx?menuIndex=3&amp;refID=7058184&amp;Result=3","7058184")</f>
        <v>0</v>
      </c>
      <c r="B8033" t="s">
        <v>2418</v>
      </c>
      <c r="C8033" t="s">
        <v>11151</v>
      </c>
      <c r="D8033" t="s">
        <v>18784</v>
      </c>
      <c r="E8033" t="s">
        <v>25936</v>
      </c>
      <c r="F8033" t="s">
        <v>32664</v>
      </c>
      <c r="G8033" t="s">
        <v>32672</v>
      </c>
      <c r="H8033" t="s">
        <v>12635</v>
      </c>
      <c r="I8033" t="s">
        <v>32690</v>
      </c>
      <c r="J8033" t="s">
        <v>37719</v>
      </c>
      <c r="K8033" t="s">
        <v>42284</v>
      </c>
      <c r="M8033" t="s">
        <v>45209</v>
      </c>
      <c r="N8033" t="s">
        <v>46569</v>
      </c>
      <c r="O8033" t="s">
        <v>46570</v>
      </c>
      <c r="P8033">
        <v>0</v>
      </c>
      <c r="Q8033">
        <v>0</v>
      </c>
      <c r="R8033" t="s">
        <v>46575</v>
      </c>
      <c r="S8033" t="s">
        <v>46744</v>
      </c>
      <c r="T8033" t="s">
        <v>48349</v>
      </c>
      <c r="U8033" t="s">
        <v>55399</v>
      </c>
      <c r="W8033" t="s">
        <v>45209</v>
      </c>
      <c r="X8033" t="s">
        <v>46576</v>
      </c>
    </row>
    <row r="8034" spans="1:24">
      <c r="A8034">
        <f>HYPERLINK("https://www.philgeps.gov.ph/GEPSNONPILOT/Tender/SplashBidNoticeAbstractUI.aspx?menuIndex=3&amp;refID=7058207&amp;Result=3","7058207")</f>
        <v>0</v>
      </c>
      <c r="B8034" t="s">
        <v>2416</v>
      </c>
      <c r="C8034" t="s">
        <v>11152</v>
      </c>
      <c r="D8034" t="s">
        <v>18786</v>
      </c>
      <c r="E8034" t="s">
        <v>25937</v>
      </c>
      <c r="F8034" t="s">
        <v>32664</v>
      </c>
      <c r="G8034" t="s">
        <v>32672</v>
      </c>
      <c r="H8034" t="s">
        <v>12635</v>
      </c>
      <c r="I8034" t="s">
        <v>6223</v>
      </c>
      <c r="J8034" t="s">
        <v>37332</v>
      </c>
      <c r="K8034" t="s">
        <v>42289</v>
      </c>
      <c r="M8034" t="s">
        <v>45207</v>
      </c>
      <c r="N8034" t="s">
        <v>46569</v>
      </c>
      <c r="O8034" t="s">
        <v>46570</v>
      </c>
      <c r="P8034">
        <v>0</v>
      </c>
      <c r="Q8034">
        <v>1</v>
      </c>
      <c r="R8034" t="s">
        <v>46575</v>
      </c>
      <c r="S8034" t="s">
        <v>46744</v>
      </c>
      <c r="T8034" t="s">
        <v>48220</v>
      </c>
      <c r="U8034" t="s">
        <v>55400</v>
      </c>
      <c r="W8034" t="s">
        <v>45207</v>
      </c>
      <c r="X8034" t="s">
        <v>46576</v>
      </c>
    </row>
    <row r="8035" spans="1:24">
      <c r="A8035">
        <f>HYPERLINK("https://www.philgeps.gov.ph/GEPSNONPILOT/Tender/SplashBidNoticeAbstractUI.aspx?menuIndex=3&amp;refID=7058158&amp;Result=3","7058158")</f>
        <v>0</v>
      </c>
      <c r="B8035" t="s">
        <v>2419</v>
      </c>
      <c r="C8035" t="s">
        <v>11153</v>
      </c>
      <c r="D8035" t="s">
        <v>18837</v>
      </c>
      <c r="E8035" t="s">
        <v>25938</v>
      </c>
      <c r="F8035" t="s">
        <v>32665</v>
      </c>
      <c r="G8035" t="s">
        <v>32672</v>
      </c>
      <c r="H8035" t="s">
        <v>32683</v>
      </c>
      <c r="I8035" t="s">
        <v>10627</v>
      </c>
      <c r="J8035" t="s">
        <v>33118</v>
      </c>
      <c r="K8035" t="s">
        <v>42283</v>
      </c>
      <c r="M8035" t="s">
        <v>45210</v>
      </c>
      <c r="N8035" t="s">
        <v>46569</v>
      </c>
      <c r="O8035" t="s">
        <v>46570</v>
      </c>
      <c r="P8035">
        <v>0</v>
      </c>
      <c r="Q8035">
        <v>0</v>
      </c>
      <c r="R8035" t="s">
        <v>46575</v>
      </c>
      <c r="S8035" t="s">
        <v>46744</v>
      </c>
      <c r="T8035" t="s">
        <v>48479</v>
      </c>
      <c r="U8035" t="s">
        <v>55401</v>
      </c>
      <c r="W8035" t="s">
        <v>45210</v>
      </c>
      <c r="X8035" t="s">
        <v>46576</v>
      </c>
    </row>
    <row r="8036" spans="1:24">
      <c r="A8036">
        <f>HYPERLINK("https://www.philgeps.gov.ph/GEPSNONPILOT/Tender/SplashBidNoticeAbstractUI.aspx?menuIndex=3&amp;refID=7058263&amp;Result=3","7058263")</f>
        <v>0</v>
      </c>
      <c r="B8036" t="s">
        <v>2420</v>
      </c>
      <c r="C8036" t="s">
        <v>11154</v>
      </c>
      <c r="D8036" t="s">
        <v>18832</v>
      </c>
      <c r="E8036" t="s">
        <v>25939</v>
      </c>
      <c r="F8036" t="s">
        <v>32664</v>
      </c>
      <c r="G8036" t="s">
        <v>32677</v>
      </c>
      <c r="H8036" t="s">
        <v>32683</v>
      </c>
      <c r="I8036" t="s">
        <v>10627</v>
      </c>
      <c r="J8036" t="s">
        <v>37720</v>
      </c>
      <c r="K8036" t="s">
        <v>42281</v>
      </c>
      <c r="M8036" t="s">
        <v>45211</v>
      </c>
      <c r="N8036" t="s">
        <v>46569</v>
      </c>
      <c r="O8036" t="s">
        <v>46570</v>
      </c>
      <c r="P8036">
        <v>0</v>
      </c>
      <c r="Q8036">
        <v>0</v>
      </c>
      <c r="R8036" t="s">
        <v>46575</v>
      </c>
      <c r="S8036" t="s">
        <v>46744</v>
      </c>
      <c r="T8036" t="s">
        <v>48335</v>
      </c>
      <c r="U8036" t="s">
        <v>55402</v>
      </c>
      <c r="W8036" t="s">
        <v>45211</v>
      </c>
      <c r="X8036" t="s">
        <v>46576</v>
      </c>
    </row>
    <row r="8037" spans="1:24">
      <c r="A8037">
        <f>HYPERLINK("https://www.philgeps.gov.ph/GEPSNONPILOT/Tender/SplashBidNoticeAbstractUI.aspx?menuIndex=3&amp;refID=7058201&amp;Result=3","7058201")</f>
        <v>0</v>
      </c>
      <c r="B8037" t="s">
        <v>2417</v>
      </c>
      <c r="C8037" t="s">
        <v>11155</v>
      </c>
      <c r="D8037" t="s">
        <v>18799</v>
      </c>
      <c r="E8037" t="s">
        <v>20958</v>
      </c>
      <c r="F8037" t="s">
        <v>32664</v>
      </c>
      <c r="G8037" t="s">
        <v>32672</v>
      </c>
      <c r="H8037" t="s">
        <v>12635</v>
      </c>
      <c r="I8037" t="s">
        <v>6628</v>
      </c>
      <c r="J8037" t="s">
        <v>34433</v>
      </c>
      <c r="K8037" t="s">
        <v>42297</v>
      </c>
      <c r="M8037" t="s">
        <v>45208</v>
      </c>
      <c r="N8037" t="s">
        <v>46569</v>
      </c>
      <c r="O8037" t="s">
        <v>46570</v>
      </c>
      <c r="P8037">
        <v>0</v>
      </c>
      <c r="Q8037">
        <v>4</v>
      </c>
      <c r="R8037" t="s">
        <v>46575</v>
      </c>
      <c r="S8037" t="s">
        <v>46744</v>
      </c>
      <c r="T8037" t="s">
        <v>48219</v>
      </c>
      <c r="U8037" t="s">
        <v>55396</v>
      </c>
      <c r="W8037" t="s">
        <v>45208</v>
      </c>
      <c r="X8037" t="s">
        <v>46576</v>
      </c>
    </row>
    <row r="8038" spans="1:24">
      <c r="A8038">
        <f>HYPERLINK("https://www.philgeps.gov.ph/GEPSNONPILOT/Tender/SplashBidNoticeAbstractUI.aspx?menuIndex=3&amp;refID=7058262&amp;Result=3","7058262")</f>
        <v>0</v>
      </c>
      <c r="B8038" t="s">
        <v>910</v>
      </c>
      <c r="C8038" t="s">
        <v>11156</v>
      </c>
      <c r="E8038" t="s">
        <v>25940</v>
      </c>
      <c r="F8038" t="s">
        <v>32664</v>
      </c>
      <c r="G8038" t="s">
        <v>32672</v>
      </c>
      <c r="H8038" t="s">
        <v>32683</v>
      </c>
      <c r="I8038" t="s">
        <v>10627</v>
      </c>
      <c r="J8038" t="s">
        <v>37721</v>
      </c>
      <c r="K8038" t="s">
        <v>42283</v>
      </c>
      <c r="M8038" t="s">
        <v>43516</v>
      </c>
      <c r="N8038" t="s">
        <v>46569</v>
      </c>
      <c r="O8038" t="s">
        <v>46570</v>
      </c>
      <c r="P8038">
        <v>0</v>
      </c>
      <c r="Q8038">
        <v>0</v>
      </c>
      <c r="R8038" t="s">
        <v>46575</v>
      </c>
      <c r="S8038" t="s">
        <v>46744</v>
      </c>
      <c r="T8038" t="s">
        <v>48246</v>
      </c>
      <c r="U8038" t="s">
        <v>55403</v>
      </c>
      <c r="W8038" t="s">
        <v>43516</v>
      </c>
      <c r="X8038" t="s">
        <v>46576</v>
      </c>
    </row>
    <row r="8039" spans="1:24">
      <c r="A8039">
        <f>HYPERLINK("https://www.philgeps.gov.ph/GEPSNONPILOT/Tender/SplashBidNoticeAbstractUI.aspx?menuIndex=3&amp;refID=7058261&amp;Result=3","7058261")</f>
        <v>0</v>
      </c>
      <c r="B8039" t="s">
        <v>2421</v>
      </c>
      <c r="C8039" t="s">
        <v>11157</v>
      </c>
      <c r="D8039" t="s">
        <v>18819</v>
      </c>
      <c r="E8039" t="s">
        <v>25941</v>
      </c>
      <c r="F8039" t="s">
        <v>32664</v>
      </c>
      <c r="G8039" t="s">
        <v>32672</v>
      </c>
      <c r="H8039" t="s">
        <v>32683</v>
      </c>
      <c r="I8039" t="s">
        <v>10627</v>
      </c>
      <c r="J8039" t="s">
        <v>34379</v>
      </c>
      <c r="K8039" t="s">
        <v>42290</v>
      </c>
      <c r="M8039" t="s">
        <v>45212</v>
      </c>
      <c r="N8039" t="s">
        <v>46569</v>
      </c>
      <c r="O8039" t="s">
        <v>46570</v>
      </c>
      <c r="P8039">
        <v>0</v>
      </c>
      <c r="Q8039">
        <v>2</v>
      </c>
      <c r="R8039" t="s">
        <v>46575</v>
      </c>
      <c r="S8039" t="s">
        <v>46744</v>
      </c>
      <c r="T8039" t="s">
        <v>48212</v>
      </c>
      <c r="U8039" t="s">
        <v>55404</v>
      </c>
      <c r="W8039" t="s">
        <v>45212</v>
      </c>
      <c r="X8039" t="s">
        <v>46576</v>
      </c>
    </row>
    <row r="8040" spans="1:24">
      <c r="A8040">
        <f>HYPERLINK("https://www.philgeps.gov.ph/GEPSNONPILOT/Tender/SplashBidNoticeAbstractUI.aspx?menuIndex=3&amp;refID=7058256&amp;Result=3","7058256")</f>
        <v>0</v>
      </c>
      <c r="B8040" t="s">
        <v>2421</v>
      </c>
      <c r="C8040" t="s">
        <v>11158</v>
      </c>
      <c r="D8040" t="s">
        <v>18819</v>
      </c>
      <c r="E8040" t="s">
        <v>25942</v>
      </c>
      <c r="F8040" t="s">
        <v>32664</v>
      </c>
      <c r="G8040" t="s">
        <v>32672</v>
      </c>
      <c r="H8040" t="s">
        <v>32683</v>
      </c>
      <c r="I8040" t="s">
        <v>10627</v>
      </c>
      <c r="J8040" t="s">
        <v>34131</v>
      </c>
      <c r="K8040" t="s">
        <v>42290</v>
      </c>
      <c r="M8040" t="s">
        <v>45212</v>
      </c>
      <c r="N8040" t="s">
        <v>46569</v>
      </c>
      <c r="O8040" t="s">
        <v>46570</v>
      </c>
      <c r="P8040">
        <v>0</v>
      </c>
      <c r="Q8040">
        <v>2</v>
      </c>
      <c r="R8040" t="s">
        <v>46575</v>
      </c>
      <c r="S8040" t="s">
        <v>46744</v>
      </c>
      <c r="T8040" t="s">
        <v>48212</v>
      </c>
      <c r="U8040" t="s">
        <v>55405</v>
      </c>
      <c r="W8040" t="s">
        <v>45212</v>
      </c>
      <c r="X8040" t="s">
        <v>46576</v>
      </c>
    </row>
    <row r="8041" spans="1:24">
      <c r="A8041">
        <f>HYPERLINK("https://www.philgeps.gov.ph/GEPSNONPILOT/Tender/SplashBidNoticeAbstractUI.aspx?menuIndex=3&amp;refID=7058192&amp;Result=3","7058192")</f>
        <v>0</v>
      </c>
      <c r="B8041" t="s">
        <v>2422</v>
      </c>
      <c r="C8041" t="s">
        <v>11159</v>
      </c>
      <c r="D8041" t="s">
        <v>18835</v>
      </c>
      <c r="E8041" t="s">
        <v>25943</v>
      </c>
      <c r="F8041" t="s">
        <v>32664</v>
      </c>
      <c r="G8041" t="s">
        <v>32671</v>
      </c>
      <c r="H8041" t="s">
        <v>12635</v>
      </c>
      <c r="I8041" t="s">
        <v>7759</v>
      </c>
      <c r="J8041" t="s">
        <v>37722</v>
      </c>
      <c r="K8041" t="s">
        <v>42295</v>
      </c>
      <c r="M8041" t="s">
        <v>45213</v>
      </c>
      <c r="N8041" t="s">
        <v>46569</v>
      </c>
      <c r="O8041" t="s">
        <v>46570</v>
      </c>
      <c r="P8041">
        <v>0</v>
      </c>
      <c r="Q8041">
        <v>1</v>
      </c>
      <c r="R8041" t="s">
        <v>46575</v>
      </c>
      <c r="S8041" t="s">
        <v>46744</v>
      </c>
      <c r="T8041" t="s">
        <v>48376</v>
      </c>
      <c r="U8041" t="s">
        <v>55406</v>
      </c>
      <c r="W8041" t="s">
        <v>45213</v>
      </c>
      <c r="X8041" t="s">
        <v>46576</v>
      </c>
    </row>
    <row r="8042" spans="1:24">
      <c r="A8042">
        <f>HYPERLINK("https://www.philgeps.gov.ph/GEPSNONPILOT/Tender/SplashBidNoticeAbstractUI.aspx?menuIndex=3&amp;refID=7058214&amp;Result=3","7058214")</f>
        <v>0</v>
      </c>
      <c r="B8042" t="s">
        <v>910</v>
      </c>
      <c r="C8042" t="s">
        <v>11160</v>
      </c>
      <c r="E8042" t="s">
        <v>25944</v>
      </c>
      <c r="F8042" t="s">
        <v>32664</v>
      </c>
      <c r="G8042" t="s">
        <v>32672</v>
      </c>
      <c r="H8042" t="s">
        <v>12635</v>
      </c>
      <c r="I8042" t="s">
        <v>11464</v>
      </c>
      <c r="J8042" t="s">
        <v>33267</v>
      </c>
      <c r="K8042" t="s">
        <v>42283</v>
      </c>
      <c r="M8042" t="s">
        <v>43516</v>
      </c>
      <c r="N8042" t="s">
        <v>46569</v>
      </c>
      <c r="O8042" t="s">
        <v>46570</v>
      </c>
      <c r="P8042">
        <v>0</v>
      </c>
      <c r="Q8042">
        <v>1</v>
      </c>
      <c r="R8042" t="s">
        <v>46575</v>
      </c>
      <c r="S8042" t="s">
        <v>46744</v>
      </c>
      <c r="T8042" t="s">
        <v>48246</v>
      </c>
      <c r="U8042" t="s">
        <v>55407</v>
      </c>
      <c r="W8042" t="s">
        <v>43516</v>
      </c>
      <c r="X8042" t="s">
        <v>46576</v>
      </c>
    </row>
    <row r="8043" spans="1:24">
      <c r="A8043">
        <f>HYPERLINK("https://www.philgeps.gov.ph/GEPSNONPILOT/Tender/SplashBidNoticeAbstractUI.aspx?menuIndex=3&amp;refID=7058052&amp;Result=3","7058052")</f>
        <v>0</v>
      </c>
      <c r="B8043" t="s">
        <v>2378</v>
      </c>
      <c r="C8043" t="s">
        <v>11161</v>
      </c>
      <c r="D8043" t="s">
        <v>18831</v>
      </c>
      <c r="E8043" t="s">
        <v>25945</v>
      </c>
      <c r="F8043" t="s">
        <v>32664</v>
      </c>
      <c r="G8043" t="s">
        <v>32671</v>
      </c>
      <c r="H8043" t="s">
        <v>12635</v>
      </c>
      <c r="I8043" t="s">
        <v>13883</v>
      </c>
      <c r="J8043" t="s">
        <v>37723</v>
      </c>
      <c r="K8043" t="s">
        <v>42281</v>
      </c>
      <c r="M8043" t="s">
        <v>45166</v>
      </c>
      <c r="N8043" t="s">
        <v>46569</v>
      </c>
      <c r="O8043" t="s">
        <v>46570</v>
      </c>
      <c r="P8043">
        <v>0</v>
      </c>
      <c r="Q8043">
        <v>7</v>
      </c>
      <c r="R8043" t="s">
        <v>46575</v>
      </c>
      <c r="S8043" t="s">
        <v>46744</v>
      </c>
      <c r="T8043" t="s">
        <v>48298</v>
      </c>
      <c r="U8043" t="s">
        <v>55287</v>
      </c>
      <c r="W8043" t="s">
        <v>45166</v>
      </c>
      <c r="X8043" t="s">
        <v>46577</v>
      </c>
    </row>
    <row r="8044" spans="1:24">
      <c r="A8044">
        <f>HYPERLINK("https://www.philgeps.gov.ph/GEPSNONPILOT/Tender/SplashBidNoticeAbstractUI.aspx?menuIndex=3&amp;refID=7058246&amp;Result=3","7058246")</f>
        <v>0</v>
      </c>
      <c r="B8044" t="s">
        <v>2421</v>
      </c>
      <c r="C8044" t="s">
        <v>11162</v>
      </c>
      <c r="D8044" t="s">
        <v>18819</v>
      </c>
      <c r="E8044" t="s">
        <v>25946</v>
      </c>
      <c r="F8044" t="s">
        <v>32664</v>
      </c>
      <c r="G8044" t="s">
        <v>32672</v>
      </c>
      <c r="H8044" t="s">
        <v>32683</v>
      </c>
      <c r="I8044" t="s">
        <v>10627</v>
      </c>
      <c r="J8044" t="s">
        <v>37724</v>
      </c>
      <c r="K8044" t="s">
        <v>42308</v>
      </c>
      <c r="M8044" t="s">
        <v>45212</v>
      </c>
      <c r="N8044" t="s">
        <v>46569</v>
      </c>
      <c r="O8044" t="s">
        <v>46570</v>
      </c>
      <c r="P8044">
        <v>0</v>
      </c>
      <c r="Q8044">
        <v>3</v>
      </c>
      <c r="R8044" t="s">
        <v>46575</v>
      </c>
      <c r="S8044" t="s">
        <v>46744</v>
      </c>
      <c r="T8044" t="s">
        <v>48212</v>
      </c>
      <c r="U8044" t="s">
        <v>55408</v>
      </c>
      <c r="W8044" t="s">
        <v>45212</v>
      </c>
      <c r="X8044" t="s">
        <v>46576</v>
      </c>
    </row>
    <row r="8045" spans="1:24">
      <c r="A8045">
        <f>HYPERLINK("https://www.philgeps.gov.ph/GEPSNONPILOT/Tender/SplashBidNoticeAbstractUI.aspx?menuIndex=3&amp;refID=7058241&amp;Result=3","7058241")</f>
        <v>0</v>
      </c>
      <c r="B8045" t="s">
        <v>2421</v>
      </c>
      <c r="C8045" t="s">
        <v>11163</v>
      </c>
      <c r="D8045" t="s">
        <v>18819</v>
      </c>
      <c r="E8045" t="s">
        <v>25947</v>
      </c>
      <c r="F8045" t="s">
        <v>32664</v>
      </c>
      <c r="G8045" t="s">
        <v>32672</v>
      </c>
      <c r="H8045" t="s">
        <v>32683</v>
      </c>
      <c r="I8045" t="s">
        <v>10627</v>
      </c>
      <c r="J8045" t="s">
        <v>37724</v>
      </c>
      <c r="K8045" t="s">
        <v>42290</v>
      </c>
      <c r="M8045" t="s">
        <v>45212</v>
      </c>
      <c r="N8045" t="s">
        <v>46569</v>
      </c>
      <c r="O8045" t="s">
        <v>46570</v>
      </c>
      <c r="P8045">
        <v>0</v>
      </c>
      <c r="Q8045">
        <v>3</v>
      </c>
      <c r="R8045" t="s">
        <v>46575</v>
      </c>
      <c r="S8045" t="s">
        <v>46744</v>
      </c>
      <c r="T8045" t="s">
        <v>48212</v>
      </c>
      <c r="U8045" t="s">
        <v>55408</v>
      </c>
      <c r="W8045" t="s">
        <v>45212</v>
      </c>
      <c r="X8045" t="s">
        <v>46576</v>
      </c>
    </row>
    <row r="8046" spans="1:24">
      <c r="A8046">
        <f>HYPERLINK("https://www.philgeps.gov.ph/GEPSNONPILOT/Tender/SplashBidNoticeAbstractUI.aspx?menuIndex=3&amp;refID=7058257&amp;Result=3","7058257")</f>
        <v>0</v>
      </c>
      <c r="B8046" t="s">
        <v>910</v>
      </c>
      <c r="C8046" t="s">
        <v>11164</v>
      </c>
      <c r="E8046" t="s">
        <v>25948</v>
      </c>
      <c r="F8046" t="s">
        <v>32664</v>
      </c>
      <c r="G8046" t="s">
        <v>32672</v>
      </c>
      <c r="H8046" t="s">
        <v>12635</v>
      </c>
      <c r="I8046" t="s">
        <v>6553</v>
      </c>
      <c r="J8046" t="s">
        <v>37725</v>
      </c>
      <c r="K8046" t="s">
        <v>42283</v>
      </c>
      <c r="M8046" t="s">
        <v>43516</v>
      </c>
      <c r="N8046" t="s">
        <v>46569</v>
      </c>
      <c r="O8046" t="s">
        <v>46570</v>
      </c>
      <c r="P8046">
        <v>0</v>
      </c>
      <c r="Q8046">
        <v>0</v>
      </c>
      <c r="R8046" t="s">
        <v>46575</v>
      </c>
      <c r="S8046" t="s">
        <v>46744</v>
      </c>
      <c r="T8046" t="s">
        <v>48246</v>
      </c>
      <c r="U8046" t="s">
        <v>55407</v>
      </c>
      <c r="W8046" t="s">
        <v>43516</v>
      </c>
      <c r="X8046" t="s">
        <v>46576</v>
      </c>
    </row>
    <row r="8047" spans="1:24">
      <c r="A8047">
        <f>HYPERLINK("https://www.philgeps.gov.ph/GEPSNONPILOT/Tender/SplashBidNoticeAbstractUI.aspx?menuIndex=3&amp;refID=7058247&amp;Result=3","7058247")</f>
        <v>0</v>
      </c>
      <c r="B8047" t="s">
        <v>910</v>
      </c>
      <c r="C8047" t="s">
        <v>11165</v>
      </c>
      <c r="E8047" t="s">
        <v>25949</v>
      </c>
      <c r="F8047" t="s">
        <v>32664</v>
      </c>
      <c r="G8047" t="s">
        <v>32672</v>
      </c>
      <c r="H8047" t="s">
        <v>12635</v>
      </c>
      <c r="I8047" t="s">
        <v>32685</v>
      </c>
      <c r="J8047" t="s">
        <v>37726</v>
      </c>
      <c r="K8047" t="s">
        <v>42283</v>
      </c>
      <c r="M8047" t="s">
        <v>43516</v>
      </c>
      <c r="N8047" t="s">
        <v>46569</v>
      </c>
      <c r="O8047" t="s">
        <v>46570</v>
      </c>
      <c r="P8047">
        <v>0</v>
      </c>
      <c r="Q8047">
        <v>1</v>
      </c>
      <c r="R8047" t="s">
        <v>46575</v>
      </c>
      <c r="S8047" t="s">
        <v>46744</v>
      </c>
      <c r="T8047" t="s">
        <v>48246</v>
      </c>
      <c r="U8047" t="s">
        <v>55407</v>
      </c>
      <c r="W8047" t="s">
        <v>43516</v>
      </c>
      <c r="X8047" t="s">
        <v>46576</v>
      </c>
    </row>
    <row r="8048" spans="1:24">
      <c r="A8048">
        <f>HYPERLINK("https://www.philgeps.gov.ph/GEPSNONPILOT/Tender/SplashBidNoticeAbstractUI.aspx?menuIndex=3&amp;refID=7058236&amp;Result=3","7058236")</f>
        <v>0</v>
      </c>
      <c r="B8048" t="s">
        <v>910</v>
      </c>
      <c r="C8048" t="s">
        <v>11166</v>
      </c>
      <c r="E8048" t="s">
        <v>25950</v>
      </c>
      <c r="F8048" t="s">
        <v>32664</v>
      </c>
      <c r="G8048" t="s">
        <v>32672</v>
      </c>
      <c r="H8048" t="s">
        <v>12635</v>
      </c>
      <c r="I8048" t="s">
        <v>32706</v>
      </c>
      <c r="J8048" t="s">
        <v>37727</v>
      </c>
      <c r="K8048" t="s">
        <v>42283</v>
      </c>
      <c r="M8048" t="s">
        <v>43516</v>
      </c>
      <c r="N8048" t="s">
        <v>46569</v>
      </c>
      <c r="O8048" t="s">
        <v>46570</v>
      </c>
      <c r="P8048">
        <v>0</v>
      </c>
      <c r="Q8048">
        <v>0</v>
      </c>
      <c r="R8048" t="s">
        <v>46575</v>
      </c>
      <c r="S8048" t="s">
        <v>46744</v>
      </c>
      <c r="T8048" t="s">
        <v>48246</v>
      </c>
      <c r="U8048" t="s">
        <v>55407</v>
      </c>
      <c r="W8048" t="s">
        <v>43516</v>
      </c>
      <c r="X8048" t="s">
        <v>46576</v>
      </c>
    </row>
    <row r="8049" spans="1:24">
      <c r="A8049">
        <f>HYPERLINK("https://www.philgeps.gov.ph/GEPSNONPILOT/Tender/SplashBidNoticeAbstractUI.aspx?menuIndex=3&amp;refID=7058235&amp;Result=3","7058235")</f>
        <v>0</v>
      </c>
      <c r="B8049" t="s">
        <v>2420</v>
      </c>
      <c r="C8049" t="s">
        <v>11167</v>
      </c>
      <c r="D8049" t="s">
        <v>18832</v>
      </c>
      <c r="E8049" t="s">
        <v>25951</v>
      </c>
      <c r="F8049" t="s">
        <v>32664</v>
      </c>
      <c r="G8049" t="s">
        <v>32677</v>
      </c>
      <c r="H8049" t="s">
        <v>32683</v>
      </c>
      <c r="I8049" t="s">
        <v>10627</v>
      </c>
      <c r="J8049" t="s">
        <v>37728</v>
      </c>
      <c r="K8049" t="s">
        <v>42298</v>
      </c>
      <c r="M8049" t="s">
        <v>45211</v>
      </c>
      <c r="N8049" t="s">
        <v>46569</v>
      </c>
      <c r="O8049" t="s">
        <v>46570</v>
      </c>
      <c r="P8049">
        <v>0</v>
      </c>
      <c r="Q8049">
        <v>0</v>
      </c>
      <c r="R8049" t="s">
        <v>46575</v>
      </c>
      <c r="S8049" t="s">
        <v>46744</v>
      </c>
      <c r="T8049" t="s">
        <v>48236</v>
      </c>
      <c r="U8049" t="s">
        <v>55409</v>
      </c>
      <c r="W8049" t="s">
        <v>45211</v>
      </c>
      <c r="X8049" t="s">
        <v>46576</v>
      </c>
    </row>
    <row r="8050" spans="1:24">
      <c r="A8050">
        <f>HYPERLINK("https://www.philgeps.gov.ph/GEPSNONPILOT/Tender/SplashBidNoticeAbstractUI.aspx?menuIndex=3&amp;refID=7058233&amp;Result=3","7058233")</f>
        <v>0</v>
      </c>
      <c r="B8050" t="s">
        <v>910</v>
      </c>
      <c r="C8050" t="s">
        <v>11168</v>
      </c>
      <c r="E8050" t="s">
        <v>25952</v>
      </c>
      <c r="F8050" t="s">
        <v>32664</v>
      </c>
      <c r="G8050" t="s">
        <v>32672</v>
      </c>
      <c r="H8050" t="s">
        <v>12635</v>
      </c>
      <c r="I8050" t="s">
        <v>5589</v>
      </c>
      <c r="J8050" t="s">
        <v>34704</v>
      </c>
      <c r="K8050" t="s">
        <v>42283</v>
      </c>
      <c r="M8050" t="s">
        <v>43516</v>
      </c>
      <c r="N8050" t="s">
        <v>46569</v>
      </c>
      <c r="O8050" t="s">
        <v>46570</v>
      </c>
      <c r="P8050">
        <v>0</v>
      </c>
      <c r="Q8050">
        <v>2</v>
      </c>
      <c r="R8050" t="s">
        <v>46575</v>
      </c>
      <c r="S8050" t="s">
        <v>46744</v>
      </c>
      <c r="T8050" t="s">
        <v>48246</v>
      </c>
      <c r="U8050" t="s">
        <v>55407</v>
      </c>
      <c r="W8050" t="s">
        <v>43516</v>
      </c>
      <c r="X8050" t="s">
        <v>46576</v>
      </c>
    </row>
    <row r="8051" spans="1:24">
      <c r="A8051">
        <f>HYPERLINK("https://www.philgeps.gov.ph/GEPSNONPILOT/Tender/SplashBidNoticeAbstractUI.aspx?menuIndex=3&amp;refID=7058232&amp;Result=3","7058232")</f>
        <v>0</v>
      </c>
      <c r="B8051" t="s">
        <v>2421</v>
      </c>
      <c r="C8051" t="s">
        <v>11169</v>
      </c>
      <c r="D8051" t="s">
        <v>18819</v>
      </c>
      <c r="E8051" t="s">
        <v>25953</v>
      </c>
      <c r="F8051" t="s">
        <v>32664</v>
      </c>
      <c r="G8051" t="s">
        <v>32672</v>
      </c>
      <c r="H8051" t="s">
        <v>32683</v>
      </c>
      <c r="I8051" t="s">
        <v>10627</v>
      </c>
      <c r="J8051" t="s">
        <v>33508</v>
      </c>
      <c r="K8051" t="s">
        <v>42308</v>
      </c>
      <c r="M8051" t="s">
        <v>45212</v>
      </c>
      <c r="N8051" t="s">
        <v>46569</v>
      </c>
      <c r="O8051" t="s">
        <v>46570</v>
      </c>
      <c r="P8051">
        <v>0</v>
      </c>
      <c r="Q8051">
        <v>5</v>
      </c>
      <c r="R8051" t="s">
        <v>46575</v>
      </c>
      <c r="S8051" t="s">
        <v>46744</v>
      </c>
      <c r="T8051" t="s">
        <v>48212</v>
      </c>
      <c r="U8051" t="s">
        <v>55410</v>
      </c>
      <c r="W8051" t="s">
        <v>45212</v>
      </c>
      <c r="X8051" t="s">
        <v>46576</v>
      </c>
    </row>
    <row r="8052" spans="1:24">
      <c r="A8052">
        <f>HYPERLINK("https://www.philgeps.gov.ph/GEPSNONPILOT/Tender/SplashBidNoticeAbstractUI.aspx?menuIndex=3&amp;refID=7058231&amp;Result=3","7058231")</f>
        <v>0</v>
      </c>
      <c r="B8052" t="s">
        <v>910</v>
      </c>
      <c r="C8052" t="s">
        <v>11170</v>
      </c>
      <c r="E8052" t="s">
        <v>25954</v>
      </c>
      <c r="F8052" t="s">
        <v>32664</v>
      </c>
      <c r="G8052" t="s">
        <v>32672</v>
      </c>
      <c r="H8052" t="s">
        <v>12635</v>
      </c>
      <c r="I8052" t="s">
        <v>32738</v>
      </c>
      <c r="J8052" t="s">
        <v>32898</v>
      </c>
      <c r="K8052" t="s">
        <v>42283</v>
      </c>
      <c r="M8052" t="s">
        <v>43516</v>
      </c>
      <c r="N8052" t="s">
        <v>46569</v>
      </c>
      <c r="O8052" t="s">
        <v>46570</v>
      </c>
      <c r="P8052">
        <v>0</v>
      </c>
      <c r="Q8052">
        <v>1</v>
      </c>
      <c r="R8052" t="s">
        <v>46575</v>
      </c>
      <c r="S8052" t="s">
        <v>46744</v>
      </c>
      <c r="T8052" t="s">
        <v>48246</v>
      </c>
      <c r="U8052" t="s">
        <v>55407</v>
      </c>
      <c r="W8052" t="s">
        <v>43516</v>
      </c>
      <c r="X8052" t="s">
        <v>46576</v>
      </c>
    </row>
    <row r="8053" spans="1:24">
      <c r="A8053">
        <f>HYPERLINK("https://www.philgeps.gov.ph/GEPSNONPILOT/Tender/SplashBidNoticeAbstractUI.aspx?menuIndex=3&amp;refID=7058237&amp;Result=3","7058237")</f>
        <v>0</v>
      </c>
      <c r="B8053" t="s">
        <v>2421</v>
      </c>
      <c r="C8053" t="s">
        <v>11171</v>
      </c>
      <c r="D8053" t="s">
        <v>18819</v>
      </c>
      <c r="E8053" t="s">
        <v>25955</v>
      </c>
      <c r="F8053" t="s">
        <v>32664</v>
      </c>
      <c r="G8053" t="s">
        <v>32672</v>
      </c>
      <c r="H8053" t="s">
        <v>32683</v>
      </c>
      <c r="I8053" t="s">
        <v>10627</v>
      </c>
      <c r="J8053" t="s">
        <v>35171</v>
      </c>
      <c r="K8053" t="s">
        <v>42290</v>
      </c>
      <c r="M8053" t="s">
        <v>45212</v>
      </c>
      <c r="N8053" t="s">
        <v>46569</v>
      </c>
      <c r="O8053" t="s">
        <v>46570</v>
      </c>
      <c r="P8053">
        <v>0</v>
      </c>
      <c r="Q8053">
        <v>2</v>
      </c>
      <c r="R8053" t="s">
        <v>46575</v>
      </c>
      <c r="S8053" t="s">
        <v>46744</v>
      </c>
      <c r="T8053" t="s">
        <v>48212</v>
      </c>
      <c r="U8053" t="s">
        <v>55404</v>
      </c>
      <c r="W8053" t="s">
        <v>45212</v>
      </c>
      <c r="X8053" t="s">
        <v>46576</v>
      </c>
    </row>
    <row r="8054" spans="1:24">
      <c r="A8054">
        <f>HYPERLINK("https://www.philgeps.gov.ph/GEPSNONPILOT/Tender/SplashBidNoticeAbstractUI.aspx?menuIndex=3&amp;refID=7058230&amp;Result=3","7058230")</f>
        <v>0</v>
      </c>
      <c r="B8054" t="s">
        <v>2423</v>
      </c>
      <c r="C8054" t="s">
        <v>11172</v>
      </c>
      <c r="D8054" t="s">
        <v>18838</v>
      </c>
      <c r="E8054" t="s">
        <v>18889</v>
      </c>
      <c r="F8054" t="s">
        <v>32664</v>
      </c>
      <c r="G8054" t="s">
        <v>32672</v>
      </c>
      <c r="H8054" t="s">
        <v>32683</v>
      </c>
      <c r="I8054" t="s">
        <v>10627</v>
      </c>
      <c r="J8054" t="s">
        <v>37729</v>
      </c>
      <c r="K8054" t="s">
        <v>42420</v>
      </c>
      <c r="M8054" t="s">
        <v>45214</v>
      </c>
      <c r="N8054" t="s">
        <v>46569</v>
      </c>
      <c r="O8054" t="s">
        <v>46570</v>
      </c>
      <c r="P8054">
        <v>0</v>
      </c>
      <c r="Q8054">
        <v>3</v>
      </c>
      <c r="R8054" t="s">
        <v>46575</v>
      </c>
      <c r="S8054" t="s">
        <v>46744</v>
      </c>
      <c r="T8054" t="s">
        <v>48264</v>
      </c>
      <c r="U8054" t="s">
        <v>55411</v>
      </c>
      <c r="W8054" t="s">
        <v>45214</v>
      </c>
      <c r="X8054" t="s">
        <v>46576</v>
      </c>
    </row>
    <row r="8055" spans="1:24">
      <c r="A8055">
        <f>HYPERLINK("https://www.philgeps.gov.ph/GEPSNONPILOT/Tender/SplashBidNoticeAbstractUI.aspx?menuIndex=3&amp;refID=7058229&amp;Result=3","7058229")</f>
        <v>0</v>
      </c>
      <c r="B8055" t="s">
        <v>910</v>
      </c>
      <c r="C8055" t="s">
        <v>11173</v>
      </c>
      <c r="E8055" t="s">
        <v>25956</v>
      </c>
      <c r="F8055" t="s">
        <v>32664</v>
      </c>
      <c r="G8055" t="s">
        <v>32672</v>
      </c>
      <c r="H8055" t="s">
        <v>12635</v>
      </c>
      <c r="I8055" t="s">
        <v>32706</v>
      </c>
      <c r="J8055" t="s">
        <v>33138</v>
      </c>
      <c r="K8055" t="s">
        <v>42283</v>
      </c>
      <c r="M8055" t="s">
        <v>43516</v>
      </c>
      <c r="N8055" t="s">
        <v>46569</v>
      </c>
      <c r="O8055" t="s">
        <v>46570</v>
      </c>
      <c r="P8055">
        <v>0</v>
      </c>
      <c r="Q8055">
        <v>0</v>
      </c>
      <c r="R8055" t="s">
        <v>46575</v>
      </c>
      <c r="S8055" t="s">
        <v>46744</v>
      </c>
      <c r="T8055" t="s">
        <v>48246</v>
      </c>
      <c r="U8055" t="s">
        <v>55407</v>
      </c>
      <c r="W8055" t="s">
        <v>43516</v>
      </c>
      <c r="X8055" t="s">
        <v>46576</v>
      </c>
    </row>
    <row r="8056" spans="1:24">
      <c r="A8056">
        <f>HYPERLINK("https://www.philgeps.gov.ph/GEPSNONPILOT/Tender/SplashBidNoticeAbstractUI.aspx?menuIndex=3&amp;refID=7058183&amp;Result=3","7058183")</f>
        <v>0</v>
      </c>
      <c r="B8056" t="s">
        <v>2424</v>
      </c>
      <c r="C8056" t="s">
        <v>11174</v>
      </c>
      <c r="D8056" t="s">
        <v>18806</v>
      </c>
      <c r="E8056" t="s">
        <v>25957</v>
      </c>
      <c r="F8056" t="s">
        <v>32664</v>
      </c>
      <c r="G8056" t="s">
        <v>32671</v>
      </c>
      <c r="H8056" t="s">
        <v>12635</v>
      </c>
      <c r="I8056" t="s">
        <v>5501</v>
      </c>
      <c r="J8056" t="s">
        <v>37730</v>
      </c>
      <c r="K8056" t="s">
        <v>42281</v>
      </c>
      <c r="M8056" t="s">
        <v>45215</v>
      </c>
      <c r="N8056" t="s">
        <v>46569</v>
      </c>
      <c r="O8056" t="s">
        <v>46570</v>
      </c>
      <c r="P8056">
        <v>0</v>
      </c>
      <c r="Q8056">
        <v>18</v>
      </c>
      <c r="R8056" t="s">
        <v>46575</v>
      </c>
      <c r="S8056" t="s">
        <v>46744</v>
      </c>
      <c r="T8056" t="s">
        <v>48316</v>
      </c>
      <c r="U8056" t="s">
        <v>55412</v>
      </c>
      <c r="W8056" t="s">
        <v>45215</v>
      </c>
      <c r="X8056" t="s">
        <v>46576</v>
      </c>
    </row>
    <row r="8057" spans="1:24">
      <c r="A8057">
        <f>HYPERLINK("https://www.philgeps.gov.ph/GEPSNONPILOT/Tender/SplashBidNoticeAbstractUI.aspx?menuIndex=3&amp;refID=7058225&amp;Result=3","7058225")</f>
        <v>0</v>
      </c>
      <c r="B8057" t="s">
        <v>910</v>
      </c>
      <c r="C8057" t="s">
        <v>11175</v>
      </c>
      <c r="E8057" t="s">
        <v>25958</v>
      </c>
      <c r="F8057" t="s">
        <v>32664</v>
      </c>
      <c r="G8057" t="s">
        <v>32672</v>
      </c>
      <c r="H8057" t="s">
        <v>12635</v>
      </c>
      <c r="I8057" t="s">
        <v>6223</v>
      </c>
      <c r="J8057" t="s">
        <v>37731</v>
      </c>
      <c r="K8057" t="s">
        <v>42283</v>
      </c>
      <c r="M8057" t="s">
        <v>43516</v>
      </c>
      <c r="N8057" t="s">
        <v>46569</v>
      </c>
      <c r="O8057" t="s">
        <v>46570</v>
      </c>
      <c r="P8057">
        <v>0</v>
      </c>
      <c r="Q8057">
        <v>0</v>
      </c>
      <c r="R8057" t="s">
        <v>46575</v>
      </c>
      <c r="S8057" t="s">
        <v>46744</v>
      </c>
      <c r="T8057" t="s">
        <v>48246</v>
      </c>
      <c r="U8057" t="s">
        <v>55407</v>
      </c>
      <c r="W8057" t="s">
        <v>43516</v>
      </c>
      <c r="X8057" t="s">
        <v>46576</v>
      </c>
    </row>
    <row r="8058" spans="1:24">
      <c r="A8058">
        <f>HYPERLINK("https://www.philgeps.gov.ph/GEPSNONPILOT/Tender/SplashBidNoticeAbstractUI.aspx?menuIndex=3&amp;refID=7058180&amp;Result=3","7058180")</f>
        <v>0</v>
      </c>
      <c r="B8058" t="s">
        <v>2425</v>
      </c>
      <c r="C8058" t="s">
        <v>11176</v>
      </c>
      <c r="D8058" t="s">
        <v>18842</v>
      </c>
      <c r="E8058" t="s">
        <v>25959</v>
      </c>
      <c r="F8058" t="s">
        <v>32664</v>
      </c>
      <c r="G8058" t="s">
        <v>32671</v>
      </c>
      <c r="H8058" t="s">
        <v>12635</v>
      </c>
      <c r="I8058" t="s">
        <v>8797</v>
      </c>
      <c r="J8058" t="s">
        <v>34385</v>
      </c>
      <c r="K8058" t="s">
        <v>42297</v>
      </c>
      <c r="M8058" t="s">
        <v>45216</v>
      </c>
      <c r="N8058" t="s">
        <v>46569</v>
      </c>
      <c r="O8058" t="s">
        <v>46570</v>
      </c>
      <c r="P8058">
        <v>0</v>
      </c>
      <c r="Q8058">
        <v>4</v>
      </c>
      <c r="R8058" t="s">
        <v>46575</v>
      </c>
      <c r="S8058" t="s">
        <v>46744</v>
      </c>
      <c r="T8058" t="s">
        <v>48578</v>
      </c>
      <c r="U8058" t="s">
        <v>55413</v>
      </c>
      <c r="V8058" t="s">
        <v>62414</v>
      </c>
      <c r="W8058" t="s">
        <v>45216</v>
      </c>
      <c r="X8058" t="s">
        <v>46576</v>
      </c>
    </row>
    <row r="8059" spans="1:24">
      <c r="A8059">
        <f>HYPERLINK("https://www.philgeps.gov.ph/GEPSNONPILOT/Tender/SplashBidNoticeAbstractUI.aspx?menuIndex=3&amp;refID=7058178&amp;Result=3","7058178")</f>
        <v>0</v>
      </c>
      <c r="B8059" t="s">
        <v>2424</v>
      </c>
      <c r="C8059" t="s">
        <v>11177</v>
      </c>
      <c r="D8059" t="s">
        <v>18806</v>
      </c>
      <c r="E8059" t="s">
        <v>25960</v>
      </c>
      <c r="F8059" t="s">
        <v>32664</v>
      </c>
      <c r="G8059" t="s">
        <v>32671</v>
      </c>
      <c r="H8059" t="s">
        <v>12635</v>
      </c>
      <c r="I8059" t="s">
        <v>5501</v>
      </c>
      <c r="J8059" t="s">
        <v>37732</v>
      </c>
      <c r="K8059" t="s">
        <v>42281</v>
      </c>
      <c r="M8059" t="s">
        <v>45215</v>
      </c>
      <c r="N8059" t="s">
        <v>46569</v>
      </c>
      <c r="O8059" t="s">
        <v>46570</v>
      </c>
      <c r="P8059">
        <v>0</v>
      </c>
      <c r="Q8059">
        <v>14</v>
      </c>
      <c r="R8059" t="s">
        <v>46575</v>
      </c>
      <c r="S8059" t="s">
        <v>46744</v>
      </c>
      <c r="T8059" t="s">
        <v>48316</v>
      </c>
      <c r="U8059" t="s">
        <v>55412</v>
      </c>
      <c r="W8059" t="s">
        <v>45215</v>
      </c>
      <c r="X8059" t="s">
        <v>46576</v>
      </c>
    </row>
    <row r="8060" spans="1:24">
      <c r="A8060">
        <f>HYPERLINK("https://www.philgeps.gov.ph/GEPSNONPILOT/Tender/SplashBidNoticeAbstractUI.aspx?menuIndex=3&amp;refID=7058139&amp;Result=3","7058139")</f>
        <v>0</v>
      </c>
      <c r="B8060" t="s">
        <v>2409</v>
      </c>
      <c r="C8060" t="s">
        <v>11178</v>
      </c>
      <c r="D8060" t="s">
        <v>18786</v>
      </c>
      <c r="E8060" t="s">
        <v>25961</v>
      </c>
      <c r="F8060" t="s">
        <v>32664</v>
      </c>
      <c r="G8060" t="s">
        <v>32672</v>
      </c>
      <c r="H8060" t="s">
        <v>12635</v>
      </c>
      <c r="I8060" t="s">
        <v>32706</v>
      </c>
      <c r="J8060" t="s">
        <v>37733</v>
      </c>
      <c r="K8060" t="s">
        <v>42289</v>
      </c>
      <c r="M8060" t="s">
        <v>45200</v>
      </c>
      <c r="N8060" t="s">
        <v>46569</v>
      </c>
      <c r="O8060" t="s">
        <v>46570</v>
      </c>
      <c r="P8060">
        <v>0</v>
      </c>
      <c r="Q8060">
        <v>0</v>
      </c>
      <c r="R8060" t="s">
        <v>46575</v>
      </c>
      <c r="S8060" t="s">
        <v>46744</v>
      </c>
      <c r="T8060" t="s">
        <v>48248</v>
      </c>
      <c r="U8060" t="s">
        <v>55414</v>
      </c>
      <c r="W8060" t="s">
        <v>45200</v>
      </c>
      <c r="X8060" t="s">
        <v>46576</v>
      </c>
    </row>
    <row r="8061" spans="1:24">
      <c r="A8061">
        <f>HYPERLINK("https://www.philgeps.gov.ph/GEPSNONPILOT/Tender/SplashBidNoticeAbstractUI.aspx?menuIndex=3&amp;refID=7058239&amp;Result=3","7058239")</f>
        <v>0</v>
      </c>
      <c r="B8061" t="s">
        <v>910</v>
      </c>
      <c r="C8061" t="s">
        <v>11179</v>
      </c>
      <c r="E8061" t="s">
        <v>25962</v>
      </c>
      <c r="F8061" t="s">
        <v>32664</v>
      </c>
      <c r="G8061" t="s">
        <v>32672</v>
      </c>
      <c r="H8061" t="s">
        <v>12635</v>
      </c>
      <c r="I8061" t="s">
        <v>6118</v>
      </c>
      <c r="J8061" t="s">
        <v>37734</v>
      </c>
      <c r="K8061" t="s">
        <v>42283</v>
      </c>
      <c r="M8061" t="s">
        <v>43516</v>
      </c>
      <c r="N8061" t="s">
        <v>46569</v>
      </c>
      <c r="O8061" t="s">
        <v>46570</v>
      </c>
      <c r="P8061">
        <v>0</v>
      </c>
      <c r="Q8061">
        <v>0</v>
      </c>
      <c r="R8061" t="s">
        <v>46575</v>
      </c>
      <c r="S8061" t="s">
        <v>46744</v>
      </c>
      <c r="T8061" t="s">
        <v>48246</v>
      </c>
      <c r="U8061" t="s">
        <v>55407</v>
      </c>
      <c r="W8061" t="s">
        <v>43516</v>
      </c>
      <c r="X8061" t="s">
        <v>46576</v>
      </c>
    </row>
    <row r="8062" spans="1:24">
      <c r="A8062">
        <f>HYPERLINK("https://www.philgeps.gov.ph/GEPSNONPILOT/Tender/SplashBidNoticeAbstractUI.aspx?menuIndex=3&amp;refID=7058692&amp;Result=3","7058692")</f>
        <v>0</v>
      </c>
      <c r="B8062" t="s">
        <v>455</v>
      </c>
      <c r="C8062" t="s">
        <v>5825</v>
      </c>
      <c r="D8062" t="s">
        <v>18834</v>
      </c>
      <c r="E8062" t="s">
        <v>25963</v>
      </c>
      <c r="F8062" t="s">
        <v>32664</v>
      </c>
      <c r="G8062" t="s">
        <v>32671</v>
      </c>
      <c r="H8062" t="s">
        <v>12635</v>
      </c>
      <c r="I8062" t="s">
        <v>6168</v>
      </c>
      <c r="J8062" t="s">
        <v>37735</v>
      </c>
      <c r="K8062" t="s">
        <v>42281</v>
      </c>
      <c r="M8062" t="s">
        <v>43596</v>
      </c>
      <c r="N8062" t="s">
        <v>46569</v>
      </c>
      <c r="O8062" t="s">
        <v>46570</v>
      </c>
      <c r="P8062">
        <v>0</v>
      </c>
      <c r="Q8062">
        <v>0</v>
      </c>
      <c r="R8062" t="s">
        <v>46574</v>
      </c>
      <c r="S8062" t="s">
        <v>46723</v>
      </c>
      <c r="T8062" t="s">
        <v>48578</v>
      </c>
      <c r="U8062" t="s">
        <v>55415</v>
      </c>
      <c r="W8062" t="s">
        <v>43596</v>
      </c>
      <c r="X8062" t="s">
        <v>46575</v>
      </c>
    </row>
    <row r="8063" spans="1:24">
      <c r="A8063">
        <f>HYPERLINK("https://www.philgeps.gov.ph/GEPSNONPILOT/Tender/SplashBidNoticeAbstractUI.aspx?menuIndex=3&amp;refID=7058248&amp;Result=3","7058248")</f>
        <v>0</v>
      </c>
      <c r="B8063" t="s">
        <v>1313</v>
      </c>
      <c r="C8063" t="s">
        <v>11180</v>
      </c>
      <c r="E8063" t="s">
        <v>25964</v>
      </c>
      <c r="F8063" t="s">
        <v>32664</v>
      </c>
      <c r="G8063" t="s">
        <v>32671</v>
      </c>
      <c r="H8063" t="s">
        <v>12635</v>
      </c>
      <c r="I8063" t="s">
        <v>4333</v>
      </c>
      <c r="J8063" t="s">
        <v>33566</v>
      </c>
      <c r="K8063" t="s">
        <v>42311</v>
      </c>
      <c r="M8063" t="s">
        <v>43960</v>
      </c>
      <c r="N8063" t="s">
        <v>46569</v>
      </c>
      <c r="O8063" t="s">
        <v>46570</v>
      </c>
      <c r="P8063">
        <v>0</v>
      </c>
      <c r="Q8063">
        <v>4</v>
      </c>
      <c r="R8063" t="s">
        <v>46575</v>
      </c>
      <c r="S8063" t="s">
        <v>46744</v>
      </c>
      <c r="T8063" t="s">
        <v>48562</v>
      </c>
      <c r="U8063" t="s">
        <v>55416</v>
      </c>
      <c r="W8063" t="s">
        <v>43960</v>
      </c>
      <c r="X8063" t="s">
        <v>46576</v>
      </c>
    </row>
    <row r="8064" spans="1:24">
      <c r="A8064">
        <f>HYPERLINK("https://www.philgeps.gov.ph/GEPSNONPILOT/Tender/SplashBidNoticeAbstractUI.aspx?menuIndex=3&amp;refID=7058690&amp;Result=3","7058690")</f>
        <v>0</v>
      </c>
      <c r="B8064" t="s">
        <v>528</v>
      </c>
      <c r="C8064" t="s">
        <v>11181</v>
      </c>
      <c r="D8064" t="s">
        <v>18835</v>
      </c>
      <c r="E8064" t="s">
        <v>25965</v>
      </c>
      <c r="F8064" t="s">
        <v>32664</v>
      </c>
      <c r="G8064" t="s">
        <v>32671</v>
      </c>
      <c r="H8064" t="s">
        <v>12635</v>
      </c>
      <c r="I8064" t="s">
        <v>6223</v>
      </c>
      <c r="J8064" t="s">
        <v>33210</v>
      </c>
      <c r="K8064" t="s">
        <v>42281</v>
      </c>
      <c r="M8064" t="s">
        <v>45146</v>
      </c>
      <c r="N8064" t="s">
        <v>46569</v>
      </c>
      <c r="O8064" t="s">
        <v>46570</v>
      </c>
      <c r="P8064">
        <v>0</v>
      </c>
      <c r="Q8064">
        <v>7</v>
      </c>
      <c r="R8064" t="s">
        <v>46574</v>
      </c>
      <c r="S8064" t="s">
        <v>46723</v>
      </c>
      <c r="T8064" t="s">
        <v>48493</v>
      </c>
      <c r="U8064" t="s">
        <v>55207</v>
      </c>
      <c r="W8064" t="s">
        <v>45146</v>
      </c>
      <c r="X8064" t="s">
        <v>46575</v>
      </c>
    </row>
    <row r="8065" spans="1:24">
      <c r="A8065">
        <f>HYPERLINK("https://www.philgeps.gov.ph/GEPSNONPILOT/Tender/SplashBidNoticeAbstractUI.aspx?menuIndex=3&amp;refID=7058688&amp;Result=3","7058688")</f>
        <v>0</v>
      </c>
      <c r="B8065" t="s">
        <v>1250</v>
      </c>
      <c r="C8065" t="s">
        <v>11182</v>
      </c>
      <c r="D8065" t="s">
        <v>18806</v>
      </c>
      <c r="E8065" t="s">
        <v>23397</v>
      </c>
      <c r="F8065" t="s">
        <v>32664</v>
      </c>
      <c r="G8065" t="s">
        <v>32672</v>
      </c>
      <c r="H8065" t="s">
        <v>12635</v>
      </c>
      <c r="I8065" t="s">
        <v>4439</v>
      </c>
      <c r="J8065" t="s">
        <v>37736</v>
      </c>
      <c r="K8065" t="s">
        <v>42303</v>
      </c>
      <c r="M8065" t="s">
        <v>43892</v>
      </c>
      <c r="N8065" t="s">
        <v>46569</v>
      </c>
      <c r="O8065" t="s">
        <v>46570</v>
      </c>
      <c r="P8065">
        <v>0</v>
      </c>
      <c r="Q8065">
        <v>0</v>
      </c>
      <c r="R8065" t="s">
        <v>46574</v>
      </c>
      <c r="S8065" t="s">
        <v>46723</v>
      </c>
      <c r="T8065" t="s">
        <v>48280</v>
      </c>
      <c r="U8065" t="s">
        <v>55417</v>
      </c>
      <c r="W8065" t="s">
        <v>43892</v>
      </c>
      <c r="X8065" t="s">
        <v>46575</v>
      </c>
    </row>
    <row r="8066" spans="1:24">
      <c r="A8066">
        <f>HYPERLINK("https://www.philgeps.gov.ph/GEPSNONPILOT/Tender/SplashBidNoticeAbstractUI.aspx?menuIndex=3&amp;refID=7058686&amp;Result=3","7058686")</f>
        <v>0</v>
      </c>
      <c r="B8066" t="s">
        <v>1548</v>
      </c>
      <c r="C8066" t="s">
        <v>11183</v>
      </c>
      <c r="D8066" t="s">
        <v>18831</v>
      </c>
      <c r="E8066" t="s">
        <v>25966</v>
      </c>
      <c r="F8066" t="s">
        <v>32664</v>
      </c>
      <c r="G8066" t="s">
        <v>32672</v>
      </c>
      <c r="H8066" t="s">
        <v>12635</v>
      </c>
      <c r="I8066" t="s">
        <v>4439</v>
      </c>
      <c r="J8066" t="s">
        <v>37571</v>
      </c>
      <c r="K8066" t="s">
        <v>42297</v>
      </c>
      <c r="M8066" t="s">
        <v>44217</v>
      </c>
      <c r="N8066" t="s">
        <v>46569</v>
      </c>
      <c r="O8066" t="s">
        <v>46570</v>
      </c>
      <c r="P8066">
        <v>0</v>
      </c>
      <c r="Q8066">
        <v>1</v>
      </c>
      <c r="R8066" t="s">
        <v>46574</v>
      </c>
      <c r="S8066" t="s">
        <v>46723</v>
      </c>
      <c r="T8066" t="s">
        <v>48411</v>
      </c>
      <c r="U8066" t="s">
        <v>55418</v>
      </c>
      <c r="W8066" t="s">
        <v>44217</v>
      </c>
      <c r="X8066" t="s">
        <v>46575</v>
      </c>
    </row>
    <row r="8067" spans="1:24">
      <c r="A8067">
        <f>HYPERLINK("https://www.philgeps.gov.ph/GEPSNONPILOT/Tender/SplashBidNoticeAbstractUI.aspx?menuIndex=3&amp;refID=7058149&amp;Result=3","7058149")</f>
        <v>0</v>
      </c>
      <c r="B8067" t="s">
        <v>1393</v>
      </c>
      <c r="C8067" t="s">
        <v>11184</v>
      </c>
      <c r="D8067" t="s">
        <v>18831</v>
      </c>
      <c r="E8067" t="s">
        <v>25967</v>
      </c>
      <c r="F8067" t="s">
        <v>32664</v>
      </c>
      <c r="G8067" t="s">
        <v>32672</v>
      </c>
      <c r="H8067" t="s">
        <v>12635</v>
      </c>
      <c r="I8067" t="s">
        <v>8797</v>
      </c>
      <c r="J8067" t="s">
        <v>33345</v>
      </c>
      <c r="K8067" t="s">
        <v>42306</v>
      </c>
      <c r="M8067" t="s">
        <v>44049</v>
      </c>
      <c r="N8067" t="s">
        <v>46569</v>
      </c>
      <c r="O8067" t="s">
        <v>46570</v>
      </c>
      <c r="P8067">
        <v>0</v>
      </c>
      <c r="Q8067">
        <v>0</v>
      </c>
      <c r="R8067" t="s">
        <v>46575</v>
      </c>
      <c r="S8067" t="s">
        <v>46744</v>
      </c>
      <c r="T8067" t="s">
        <v>48221</v>
      </c>
      <c r="U8067" t="s">
        <v>55419</v>
      </c>
      <c r="W8067" t="s">
        <v>44049</v>
      </c>
      <c r="X8067" t="s">
        <v>46576</v>
      </c>
    </row>
    <row r="8068" spans="1:24">
      <c r="A8068">
        <f>HYPERLINK("https://www.philgeps.gov.ph/GEPSNONPILOT/Tender/SplashBidNoticeAbstractUI.aspx?menuIndex=3&amp;refID=7058242&amp;Result=3","7058242")</f>
        <v>0</v>
      </c>
      <c r="B8068" t="s">
        <v>910</v>
      </c>
      <c r="C8068" t="s">
        <v>11185</v>
      </c>
      <c r="E8068" t="s">
        <v>25968</v>
      </c>
      <c r="F8068" t="s">
        <v>32664</v>
      </c>
      <c r="G8068" t="s">
        <v>32672</v>
      </c>
      <c r="H8068" t="s">
        <v>12635</v>
      </c>
      <c r="I8068" t="s">
        <v>6118</v>
      </c>
      <c r="J8068" t="s">
        <v>33320</v>
      </c>
      <c r="K8068" t="s">
        <v>42283</v>
      </c>
      <c r="M8068" t="s">
        <v>43516</v>
      </c>
      <c r="N8068" t="s">
        <v>46569</v>
      </c>
      <c r="O8068" t="s">
        <v>46570</v>
      </c>
      <c r="P8068">
        <v>0</v>
      </c>
      <c r="Q8068">
        <v>0</v>
      </c>
      <c r="R8068" t="s">
        <v>46575</v>
      </c>
      <c r="S8068" t="s">
        <v>46744</v>
      </c>
      <c r="T8068" t="s">
        <v>48246</v>
      </c>
      <c r="U8068" t="s">
        <v>55407</v>
      </c>
      <c r="W8068" t="s">
        <v>43516</v>
      </c>
      <c r="X8068" t="s">
        <v>46576</v>
      </c>
    </row>
    <row r="8069" spans="1:24">
      <c r="A8069">
        <f>HYPERLINK("https://www.philgeps.gov.ph/GEPSNONPILOT/Tender/SplashBidNoticeAbstractUI.aspx?menuIndex=3&amp;refID=7058687&amp;Result=3","7058687")</f>
        <v>0</v>
      </c>
      <c r="B8069" t="s">
        <v>528</v>
      </c>
      <c r="C8069" t="s">
        <v>11186</v>
      </c>
      <c r="D8069" t="s">
        <v>18835</v>
      </c>
      <c r="E8069" t="s">
        <v>25969</v>
      </c>
      <c r="F8069" t="s">
        <v>32664</v>
      </c>
      <c r="G8069" t="s">
        <v>32671</v>
      </c>
      <c r="H8069" t="s">
        <v>12635</v>
      </c>
      <c r="I8069" t="s">
        <v>6223</v>
      </c>
      <c r="J8069" t="s">
        <v>37737</v>
      </c>
      <c r="K8069" t="s">
        <v>42298</v>
      </c>
      <c r="M8069" t="s">
        <v>45146</v>
      </c>
      <c r="N8069" t="s">
        <v>46569</v>
      </c>
      <c r="O8069" t="s">
        <v>46570</v>
      </c>
      <c r="P8069">
        <v>0</v>
      </c>
      <c r="Q8069">
        <v>9</v>
      </c>
      <c r="R8069" t="s">
        <v>46574</v>
      </c>
      <c r="S8069" t="s">
        <v>46723</v>
      </c>
      <c r="T8069" t="s">
        <v>48287</v>
      </c>
      <c r="U8069" t="s">
        <v>55207</v>
      </c>
      <c r="W8069" t="s">
        <v>45146</v>
      </c>
      <c r="X8069" t="s">
        <v>46575</v>
      </c>
    </row>
    <row r="8070" spans="1:24">
      <c r="A8070">
        <f>HYPERLINK("https://www.philgeps.gov.ph/GEPSNONPILOT/Tender/SplashBidNoticeAbstractUI.aspx?menuIndex=3&amp;refID=7058145&amp;Result=3","7058145")</f>
        <v>0</v>
      </c>
      <c r="B8070" t="s">
        <v>909</v>
      </c>
      <c r="C8070" t="s">
        <v>11187</v>
      </c>
      <c r="D8070" t="s">
        <v>18838</v>
      </c>
      <c r="E8070" t="s">
        <v>25970</v>
      </c>
      <c r="F8070" t="s">
        <v>32664</v>
      </c>
      <c r="G8070" t="s">
        <v>32672</v>
      </c>
      <c r="H8070" t="s">
        <v>32683</v>
      </c>
      <c r="I8070" t="s">
        <v>10627</v>
      </c>
      <c r="J8070" t="s">
        <v>37738</v>
      </c>
      <c r="K8070" t="s">
        <v>42290</v>
      </c>
      <c r="M8070" t="s">
        <v>43515</v>
      </c>
      <c r="N8070" t="s">
        <v>46569</v>
      </c>
      <c r="O8070" t="s">
        <v>46570</v>
      </c>
      <c r="P8070">
        <v>0</v>
      </c>
      <c r="Q8070">
        <v>8</v>
      </c>
      <c r="R8070" t="s">
        <v>46575</v>
      </c>
      <c r="S8070" t="s">
        <v>46744</v>
      </c>
      <c r="T8070" t="s">
        <v>48328</v>
      </c>
      <c r="U8070" t="s">
        <v>55420</v>
      </c>
      <c r="V8070" t="s">
        <v>62415</v>
      </c>
      <c r="W8070" t="s">
        <v>43515</v>
      </c>
      <c r="X8070" t="s">
        <v>46576</v>
      </c>
    </row>
    <row r="8071" spans="1:24">
      <c r="A8071">
        <f>HYPERLINK("https://www.philgeps.gov.ph/GEPSNONPILOT/Tender/SplashBidNoticeAbstractUI.aspx?menuIndex=3&amp;refID=7058609&amp;Result=3","7058609")</f>
        <v>0</v>
      </c>
      <c r="B8071" t="s">
        <v>2351</v>
      </c>
      <c r="C8071" t="s">
        <v>11188</v>
      </c>
      <c r="D8071" t="s">
        <v>18795</v>
      </c>
      <c r="E8071" t="s">
        <v>25971</v>
      </c>
      <c r="F8071" t="s">
        <v>32664</v>
      </c>
      <c r="G8071" t="s">
        <v>32677</v>
      </c>
      <c r="H8071" t="s">
        <v>12635</v>
      </c>
      <c r="I8071" t="s">
        <v>6168</v>
      </c>
      <c r="J8071" t="s">
        <v>37739</v>
      </c>
      <c r="K8071" t="s">
        <v>42289</v>
      </c>
      <c r="M8071" t="s">
        <v>45135</v>
      </c>
      <c r="N8071" t="s">
        <v>46569</v>
      </c>
      <c r="O8071" t="s">
        <v>46570</v>
      </c>
      <c r="P8071">
        <v>0</v>
      </c>
      <c r="Q8071">
        <v>0</v>
      </c>
      <c r="R8071" t="s">
        <v>46574</v>
      </c>
      <c r="S8071" t="s">
        <v>46723</v>
      </c>
      <c r="T8071" t="s">
        <v>48287</v>
      </c>
      <c r="U8071" t="s">
        <v>55421</v>
      </c>
      <c r="W8071" t="s">
        <v>45135</v>
      </c>
      <c r="X8071" t="s">
        <v>46575</v>
      </c>
    </row>
    <row r="8072" spans="1:24">
      <c r="A8072">
        <f>HYPERLINK("https://www.philgeps.gov.ph/GEPSNONPILOT/Tender/SplashBidNoticeAbstractUI.aspx?menuIndex=3&amp;refID=7058582&amp;Result=3","7058582")</f>
        <v>0</v>
      </c>
      <c r="B8072" t="s">
        <v>949</v>
      </c>
      <c r="C8072" t="s">
        <v>11189</v>
      </c>
      <c r="D8072" t="s">
        <v>18784</v>
      </c>
      <c r="E8072" t="s">
        <v>25972</v>
      </c>
      <c r="F8072" t="s">
        <v>32664</v>
      </c>
      <c r="G8072" t="s">
        <v>32671</v>
      </c>
      <c r="H8072" t="s">
        <v>12635</v>
      </c>
      <c r="I8072" t="s">
        <v>32703</v>
      </c>
      <c r="J8072" t="s">
        <v>37740</v>
      </c>
      <c r="K8072" t="s">
        <v>42289</v>
      </c>
      <c r="M8072" t="s">
        <v>43555</v>
      </c>
      <c r="N8072" t="s">
        <v>46569</v>
      </c>
      <c r="O8072" t="s">
        <v>46570</v>
      </c>
      <c r="P8072">
        <v>0</v>
      </c>
      <c r="Q8072">
        <v>0</v>
      </c>
      <c r="R8072" t="s">
        <v>46574</v>
      </c>
      <c r="S8072" t="s">
        <v>46723</v>
      </c>
      <c r="T8072" t="s">
        <v>48376</v>
      </c>
      <c r="U8072" t="s">
        <v>55422</v>
      </c>
      <c r="W8072" t="s">
        <v>43555</v>
      </c>
      <c r="X8072" t="s">
        <v>46575</v>
      </c>
    </row>
    <row r="8073" spans="1:24">
      <c r="A8073">
        <f>HYPERLINK("https://www.philgeps.gov.ph/GEPSNONPILOT/Tender/SplashBidNoticeAbstractUI.aspx?menuIndex=3&amp;refID=7058583&amp;Result=3","7058583")</f>
        <v>0</v>
      </c>
      <c r="B8073" t="s">
        <v>949</v>
      </c>
      <c r="C8073" t="s">
        <v>5739</v>
      </c>
      <c r="D8073" t="s">
        <v>18784</v>
      </c>
      <c r="E8073" t="s">
        <v>25973</v>
      </c>
      <c r="F8073" t="s">
        <v>32664</v>
      </c>
      <c r="G8073" t="s">
        <v>32675</v>
      </c>
      <c r="H8073" t="s">
        <v>12635</v>
      </c>
      <c r="I8073" t="s">
        <v>10370</v>
      </c>
      <c r="J8073" t="s">
        <v>32865</v>
      </c>
      <c r="K8073" t="s">
        <v>42303</v>
      </c>
      <c r="M8073" t="s">
        <v>43555</v>
      </c>
      <c r="N8073" t="s">
        <v>46569</v>
      </c>
      <c r="O8073" t="s">
        <v>46570</v>
      </c>
      <c r="P8073">
        <v>0</v>
      </c>
      <c r="Q8073">
        <v>17</v>
      </c>
      <c r="R8073" t="s">
        <v>46574</v>
      </c>
      <c r="S8073" t="s">
        <v>46723</v>
      </c>
      <c r="T8073" t="s">
        <v>48376</v>
      </c>
      <c r="U8073" t="s">
        <v>55423</v>
      </c>
      <c r="W8073" t="s">
        <v>43555</v>
      </c>
      <c r="X8073" t="s">
        <v>46575</v>
      </c>
    </row>
    <row r="8074" spans="1:24">
      <c r="A8074">
        <f>HYPERLINK("https://www.philgeps.gov.ph/GEPSNONPILOT/Tender/SplashBidNoticeAbstractUI.aspx?menuIndex=3&amp;refID=7058681&amp;Result=3","7058681")</f>
        <v>0</v>
      </c>
      <c r="B8074" t="s">
        <v>1548</v>
      </c>
      <c r="C8074" t="s">
        <v>11190</v>
      </c>
      <c r="D8074" t="s">
        <v>18831</v>
      </c>
      <c r="E8074" t="s">
        <v>25974</v>
      </c>
      <c r="F8074" t="s">
        <v>32664</v>
      </c>
      <c r="G8074" t="s">
        <v>32672</v>
      </c>
      <c r="H8074" t="s">
        <v>12635</v>
      </c>
      <c r="I8074" t="s">
        <v>4439</v>
      </c>
      <c r="J8074" t="s">
        <v>37571</v>
      </c>
      <c r="K8074" t="s">
        <v>42297</v>
      </c>
      <c r="M8074" t="s">
        <v>44217</v>
      </c>
      <c r="N8074" t="s">
        <v>46569</v>
      </c>
      <c r="O8074" t="s">
        <v>46570</v>
      </c>
      <c r="P8074">
        <v>0</v>
      </c>
      <c r="Q8074">
        <v>1</v>
      </c>
      <c r="R8074" t="s">
        <v>46574</v>
      </c>
      <c r="S8074" t="s">
        <v>46723</v>
      </c>
      <c r="T8074" t="s">
        <v>48411</v>
      </c>
      <c r="U8074" t="s">
        <v>55424</v>
      </c>
      <c r="W8074" t="s">
        <v>44217</v>
      </c>
      <c r="X8074" t="s">
        <v>46575</v>
      </c>
    </row>
    <row r="8075" spans="1:24">
      <c r="A8075">
        <f>HYPERLINK("https://www.philgeps.gov.ph/GEPSNONPILOT/Tender/SplashBidNoticeAbstractUI.aspx?menuIndex=3&amp;refID=7058581&amp;Result=3","7058581")</f>
        <v>0</v>
      </c>
      <c r="B8075" t="s">
        <v>633</v>
      </c>
      <c r="C8075" t="s">
        <v>11191</v>
      </c>
      <c r="D8075" t="s">
        <v>18814</v>
      </c>
      <c r="E8075" t="s">
        <v>25975</v>
      </c>
      <c r="F8075" t="s">
        <v>32664</v>
      </c>
      <c r="G8075" t="s">
        <v>32672</v>
      </c>
      <c r="H8075" t="s">
        <v>12635</v>
      </c>
      <c r="I8075" t="s">
        <v>32689</v>
      </c>
      <c r="J8075" t="s">
        <v>37741</v>
      </c>
      <c r="K8075" t="s">
        <v>42297</v>
      </c>
      <c r="M8075" t="s">
        <v>45217</v>
      </c>
      <c r="N8075" t="s">
        <v>46569</v>
      </c>
      <c r="O8075" t="s">
        <v>46570</v>
      </c>
      <c r="P8075">
        <v>0</v>
      </c>
      <c r="Q8075">
        <v>0</v>
      </c>
      <c r="R8075" t="s">
        <v>46574</v>
      </c>
      <c r="S8075" t="s">
        <v>46723</v>
      </c>
      <c r="T8075" t="s">
        <v>48282</v>
      </c>
      <c r="U8075" t="s">
        <v>55425</v>
      </c>
      <c r="W8075" t="s">
        <v>45217</v>
      </c>
      <c r="X8075" t="s">
        <v>46575</v>
      </c>
    </row>
    <row r="8076" spans="1:24">
      <c r="A8076">
        <f>HYPERLINK("https://www.philgeps.gov.ph/GEPSNONPILOT/Tender/SplashBidNoticeAbstractUI.aspx?menuIndex=3&amp;refID=7058580&amp;Result=3","7058580")</f>
        <v>0</v>
      </c>
      <c r="B8076" t="s">
        <v>2351</v>
      </c>
      <c r="C8076" t="s">
        <v>11192</v>
      </c>
      <c r="D8076" t="s">
        <v>18795</v>
      </c>
      <c r="E8076" t="s">
        <v>25976</v>
      </c>
      <c r="F8076" t="s">
        <v>32664</v>
      </c>
      <c r="G8076" t="s">
        <v>32672</v>
      </c>
      <c r="H8076" t="s">
        <v>12635</v>
      </c>
      <c r="I8076" t="s">
        <v>32729</v>
      </c>
      <c r="J8076" t="s">
        <v>37742</v>
      </c>
      <c r="K8076" t="s">
        <v>42298</v>
      </c>
      <c r="M8076" t="s">
        <v>45135</v>
      </c>
      <c r="N8076" t="s">
        <v>46569</v>
      </c>
      <c r="O8076" t="s">
        <v>46570</v>
      </c>
      <c r="P8076">
        <v>0</v>
      </c>
      <c r="Q8076">
        <v>0</v>
      </c>
      <c r="R8076" t="s">
        <v>46574</v>
      </c>
      <c r="S8076" t="s">
        <v>46723</v>
      </c>
      <c r="T8076" t="s">
        <v>48334</v>
      </c>
      <c r="U8076" t="s">
        <v>55426</v>
      </c>
      <c r="V8076" t="s">
        <v>62384</v>
      </c>
      <c r="W8076" t="s">
        <v>45135</v>
      </c>
      <c r="X8076" t="s">
        <v>46575</v>
      </c>
    </row>
    <row r="8077" spans="1:24">
      <c r="A8077">
        <f>HYPERLINK("https://www.philgeps.gov.ph/GEPSNONPILOT/Tender/SplashBidNoticeAbstractUI.aspx?menuIndex=3&amp;refID=7058579&amp;Result=3","7058579")</f>
        <v>0</v>
      </c>
      <c r="B8077" t="s">
        <v>2426</v>
      </c>
      <c r="C8077" t="s">
        <v>11193</v>
      </c>
      <c r="D8077" t="s">
        <v>18806</v>
      </c>
      <c r="E8077" t="s">
        <v>18889</v>
      </c>
      <c r="F8077" t="s">
        <v>32664</v>
      </c>
      <c r="G8077" t="s">
        <v>32672</v>
      </c>
      <c r="H8077" t="s">
        <v>12635</v>
      </c>
      <c r="I8077" t="s">
        <v>4439</v>
      </c>
      <c r="J8077" t="s">
        <v>37743</v>
      </c>
      <c r="K8077" t="s">
        <v>42289</v>
      </c>
      <c r="M8077" t="s">
        <v>45218</v>
      </c>
      <c r="N8077" t="s">
        <v>46569</v>
      </c>
      <c r="O8077" t="s">
        <v>46570</v>
      </c>
      <c r="P8077">
        <v>0</v>
      </c>
      <c r="Q8077">
        <v>0</v>
      </c>
      <c r="R8077" t="s">
        <v>46574</v>
      </c>
      <c r="S8077" t="s">
        <v>46723</v>
      </c>
      <c r="T8077" t="s">
        <v>48219</v>
      </c>
      <c r="U8077" t="s">
        <v>55427</v>
      </c>
      <c r="V8077" t="s">
        <v>62416</v>
      </c>
      <c r="W8077" t="s">
        <v>45218</v>
      </c>
      <c r="X8077" t="s">
        <v>46575</v>
      </c>
    </row>
    <row r="8078" spans="1:24">
      <c r="A8078">
        <f>HYPERLINK("https://www.philgeps.gov.ph/GEPSNONPILOT/Tender/SplashBidNoticeAbstractUI.aspx?menuIndex=3&amp;refID=7058576&amp;Result=3","7058576")</f>
        <v>0</v>
      </c>
      <c r="B8078" t="s">
        <v>2352</v>
      </c>
      <c r="C8078" t="s">
        <v>11194</v>
      </c>
      <c r="D8078" t="s">
        <v>18801</v>
      </c>
      <c r="E8078" t="s">
        <v>25977</v>
      </c>
      <c r="F8078" t="s">
        <v>32664</v>
      </c>
      <c r="G8078" t="s">
        <v>32672</v>
      </c>
      <c r="H8078" t="s">
        <v>12635</v>
      </c>
      <c r="I8078" t="s">
        <v>9486</v>
      </c>
      <c r="J8078" t="s">
        <v>37744</v>
      </c>
      <c r="K8078" t="s">
        <v>42289</v>
      </c>
      <c r="M8078" t="s">
        <v>45136</v>
      </c>
      <c r="N8078" t="s">
        <v>46569</v>
      </c>
      <c r="O8078" t="s">
        <v>46570</v>
      </c>
      <c r="P8078">
        <v>0</v>
      </c>
      <c r="Q8078">
        <v>5</v>
      </c>
      <c r="R8078" t="s">
        <v>46574</v>
      </c>
      <c r="S8078" t="s">
        <v>46723</v>
      </c>
      <c r="T8078" t="s">
        <v>48533</v>
      </c>
      <c r="U8078" t="s">
        <v>55428</v>
      </c>
      <c r="W8078" t="s">
        <v>45136</v>
      </c>
      <c r="X8078" t="s">
        <v>46575</v>
      </c>
    </row>
    <row r="8079" spans="1:24">
      <c r="A8079">
        <f>HYPERLINK("https://www.philgeps.gov.ph/GEPSNONPILOT/Tender/SplashBidNoticeAbstractUI.aspx?menuIndex=3&amp;refID=7058559&amp;Result=3","7058559")</f>
        <v>0</v>
      </c>
      <c r="B8079" t="s">
        <v>2353</v>
      </c>
      <c r="C8079" t="s">
        <v>11195</v>
      </c>
      <c r="D8079" t="s">
        <v>18827</v>
      </c>
      <c r="E8079" t="s">
        <v>25978</v>
      </c>
      <c r="F8079" t="s">
        <v>32664</v>
      </c>
      <c r="G8079" t="s">
        <v>32671</v>
      </c>
      <c r="H8079" t="s">
        <v>12635</v>
      </c>
      <c r="I8079" t="s">
        <v>32699</v>
      </c>
      <c r="J8079" t="s">
        <v>32853</v>
      </c>
      <c r="K8079" t="s">
        <v>42283</v>
      </c>
      <c r="M8079" t="s">
        <v>45137</v>
      </c>
      <c r="N8079" t="s">
        <v>46569</v>
      </c>
      <c r="O8079" t="s">
        <v>46570</v>
      </c>
      <c r="P8079">
        <v>0</v>
      </c>
      <c r="Q8079">
        <v>5</v>
      </c>
      <c r="R8079" t="s">
        <v>46574</v>
      </c>
      <c r="S8079" t="s">
        <v>46723</v>
      </c>
      <c r="T8079" t="s">
        <v>48316</v>
      </c>
      <c r="U8079" t="s">
        <v>49462</v>
      </c>
      <c r="W8079" t="s">
        <v>45137</v>
      </c>
      <c r="X8079" t="s">
        <v>46575</v>
      </c>
    </row>
    <row r="8080" spans="1:24">
      <c r="A8080">
        <f>HYPERLINK("https://www.philgeps.gov.ph/GEPSNONPILOT/Tender/SplashBidNoticeAbstractUI.aspx?menuIndex=3&amp;refID=7058558&amp;Result=3","7058558")</f>
        <v>0</v>
      </c>
      <c r="B8080" t="s">
        <v>2427</v>
      </c>
      <c r="C8080" t="s">
        <v>11196</v>
      </c>
      <c r="D8080" t="s">
        <v>18784</v>
      </c>
      <c r="E8080" t="s">
        <v>23737</v>
      </c>
      <c r="F8080" t="s">
        <v>32664</v>
      </c>
      <c r="G8080" t="s">
        <v>32672</v>
      </c>
      <c r="H8080" t="s">
        <v>32682</v>
      </c>
      <c r="I8080" t="s">
        <v>32701</v>
      </c>
      <c r="J8080" t="s">
        <v>37745</v>
      </c>
      <c r="K8080" t="s">
        <v>42469</v>
      </c>
      <c r="M8080" t="s">
        <v>45219</v>
      </c>
      <c r="N8080" t="s">
        <v>46569</v>
      </c>
      <c r="O8080" t="s">
        <v>46570</v>
      </c>
      <c r="P8080">
        <v>0</v>
      </c>
      <c r="Q8080">
        <v>1</v>
      </c>
      <c r="R8080" t="s">
        <v>46574</v>
      </c>
      <c r="S8080" t="s">
        <v>46723</v>
      </c>
      <c r="T8080" t="s">
        <v>48302</v>
      </c>
      <c r="U8080" t="s">
        <v>55429</v>
      </c>
      <c r="W8080" t="s">
        <v>45219</v>
      </c>
      <c r="X8080" t="s">
        <v>46575</v>
      </c>
    </row>
    <row r="8081" spans="1:24">
      <c r="A8081">
        <f>HYPERLINK("https://www.philgeps.gov.ph/GEPSNONPILOT/Tender/SplashBidNoticeAbstractUI.aspx?menuIndex=3&amp;refID=7058265&amp;Result=3","7058265")</f>
        <v>0</v>
      </c>
      <c r="B8081" t="s">
        <v>2421</v>
      </c>
      <c r="C8081" t="s">
        <v>11197</v>
      </c>
      <c r="D8081" t="s">
        <v>18819</v>
      </c>
      <c r="E8081" t="s">
        <v>25979</v>
      </c>
      <c r="F8081" t="s">
        <v>32664</v>
      </c>
      <c r="G8081" t="s">
        <v>32672</v>
      </c>
      <c r="H8081" t="s">
        <v>32683</v>
      </c>
      <c r="I8081" t="s">
        <v>10627</v>
      </c>
      <c r="J8081" t="s">
        <v>33127</v>
      </c>
      <c r="K8081" t="s">
        <v>42311</v>
      </c>
      <c r="M8081" t="s">
        <v>45212</v>
      </c>
      <c r="N8081" t="s">
        <v>46569</v>
      </c>
      <c r="O8081" t="s">
        <v>46570</v>
      </c>
      <c r="P8081">
        <v>0</v>
      </c>
      <c r="Q8081">
        <v>2</v>
      </c>
      <c r="R8081" t="s">
        <v>46575</v>
      </c>
      <c r="S8081" t="s">
        <v>46744</v>
      </c>
      <c r="T8081" t="s">
        <v>48212</v>
      </c>
      <c r="U8081" t="s">
        <v>55430</v>
      </c>
      <c r="W8081" t="s">
        <v>45212</v>
      </c>
      <c r="X8081" t="s">
        <v>46576</v>
      </c>
    </row>
    <row r="8082" spans="1:24">
      <c r="A8082">
        <f>HYPERLINK("https://www.philgeps.gov.ph/GEPSNONPILOT/Tender/SplashBidNoticeAbstractUI.aspx?menuIndex=3&amp;refID=7058343&amp;Result=3","7058343")</f>
        <v>0</v>
      </c>
      <c r="B8082" t="s">
        <v>2428</v>
      </c>
      <c r="C8082" t="s">
        <v>11198</v>
      </c>
      <c r="D8082" t="s">
        <v>18829</v>
      </c>
      <c r="E8082" t="s">
        <v>25980</v>
      </c>
      <c r="F8082" t="s">
        <v>32664</v>
      </c>
      <c r="G8082" t="s">
        <v>32672</v>
      </c>
      <c r="H8082" t="s">
        <v>32683</v>
      </c>
      <c r="I8082" t="s">
        <v>32733</v>
      </c>
      <c r="J8082" t="s">
        <v>36415</v>
      </c>
      <c r="K8082" t="s">
        <v>42298</v>
      </c>
      <c r="M8082" t="s">
        <v>45220</v>
      </c>
      <c r="N8082" t="s">
        <v>46569</v>
      </c>
      <c r="O8082" t="s">
        <v>46570</v>
      </c>
      <c r="P8082">
        <v>0</v>
      </c>
      <c r="Q8082">
        <v>0</v>
      </c>
      <c r="R8082" t="s">
        <v>46575</v>
      </c>
      <c r="S8082" t="s">
        <v>46744</v>
      </c>
      <c r="T8082" t="s">
        <v>48244</v>
      </c>
      <c r="U8082" t="s">
        <v>55431</v>
      </c>
      <c r="W8082" t="s">
        <v>45220</v>
      </c>
      <c r="X8082" t="s">
        <v>46576</v>
      </c>
    </row>
    <row r="8083" spans="1:24">
      <c r="A8083">
        <f>HYPERLINK("https://www.philgeps.gov.ph/GEPSNONPILOT/Tender/SplashBidNoticeAbstractUI.aspx?menuIndex=3&amp;refID=7058689&amp;Result=3","7058689")</f>
        <v>0</v>
      </c>
      <c r="B8083" t="s">
        <v>1548</v>
      </c>
      <c r="C8083" t="s">
        <v>11199</v>
      </c>
      <c r="D8083" t="s">
        <v>18831</v>
      </c>
      <c r="E8083" t="s">
        <v>25981</v>
      </c>
      <c r="F8083" t="s">
        <v>32664</v>
      </c>
      <c r="G8083" t="s">
        <v>32672</v>
      </c>
      <c r="H8083" t="s">
        <v>12635</v>
      </c>
      <c r="I8083" t="s">
        <v>4439</v>
      </c>
      <c r="J8083" t="s">
        <v>37571</v>
      </c>
      <c r="K8083" t="s">
        <v>42297</v>
      </c>
      <c r="M8083" t="s">
        <v>44217</v>
      </c>
      <c r="N8083" t="s">
        <v>46569</v>
      </c>
      <c r="O8083" t="s">
        <v>46570</v>
      </c>
      <c r="P8083">
        <v>0</v>
      </c>
      <c r="Q8083">
        <v>1</v>
      </c>
      <c r="R8083" t="s">
        <v>46574</v>
      </c>
      <c r="S8083" t="s">
        <v>46723</v>
      </c>
      <c r="T8083" t="s">
        <v>48411</v>
      </c>
      <c r="U8083" t="s">
        <v>55432</v>
      </c>
      <c r="W8083" t="s">
        <v>44217</v>
      </c>
      <c r="X8083" t="s">
        <v>46575</v>
      </c>
    </row>
    <row r="8084" spans="1:24">
      <c r="A8084">
        <f>HYPERLINK("https://www.philgeps.gov.ph/GEPSNONPILOT/Tender/SplashBidNoticeAbstractUI.aspx?menuIndex=3&amp;refID=7058682&amp;Result=3","7058682")</f>
        <v>0</v>
      </c>
      <c r="B8084" t="s">
        <v>528</v>
      </c>
      <c r="C8084" t="s">
        <v>11200</v>
      </c>
      <c r="D8084" t="s">
        <v>18812</v>
      </c>
      <c r="E8084" t="s">
        <v>25982</v>
      </c>
      <c r="F8084" t="s">
        <v>32664</v>
      </c>
      <c r="G8084" t="s">
        <v>32671</v>
      </c>
      <c r="H8084" t="s">
        <v>12635</v>
      </c>
      <c r="I8084" t="s">
        <v>6223</v>
      </c>
      <c r="J8084" t="s">
        <v>37746</v>
      </c>
      <c r="K8084" t="s">
        <v>42298</v>
      </c>
      <c r="M8084" t="s">
        <v>45146</v>
      </c>
      <c r="N8084" t="s">
        <v>46569</v>
      </c>
      <c r="O8084" t="s">
        <v>46570</v>
      </c>
      <c r="P8084">
        <v>0</v>
      </c>
      <c r="Q8084">
        <v>8</v>
      </c>
      <c r="R8084" t="s">
        <v>46574</v>
      </c>
      <c r="S8084" t="s">
        <v>46723</v>
      </c>
      <c r="T8084" t="s">
        <v>48287</v>
      </c>
      <c r="U8084" t="s">
        <v>55207</v>
      </c>
      <c r="W8084" t="s">
        <v>45146</v>
      </c>
      <c r="X8084" t="s">
        <v>46575</v>
      </c>
    </row>
    <row r="8085" spans="1:24">
      <c r="A8085">
        <f>HYPERLINK("https://www.philgeps.gov.ph/GEPSNONPILOT/Tender/SplashBidNoticeAbstractUI.aspx?menuIndex=3&amp;refID=7058335&amp;Result=3","7058335")</f>
        <v>0</v>
      </c>
      <c r="B8085" t="s">
        <v>1313</v>
      </c>
      <c r="C8085" t="s">
        <v>11201</v>
      </c>
      <c r="E8085" t="s">
        <v>25983</v>
      </c>
      <c r="F8085" t="s">
        <v>32664</v>
      </c>
      <c r="G8085" t="s">
        <v>32671</v>
      </c>
      <c r="H8085" t="s">
        <v>12635</v>
      </c>
      <c r="I8085" t="s">
        <v>4333</v>
      </c>
      <c r="J8085" t="s">
        <v>33218</v>
      </c>
      <c r="K8085" t="s">
        <v>42311</v>
      </c>
      <c r="M8085" t="s">
        <v>43960</v>
      </c>
      <c r="N8085" t="s">
        <v>46569</v>
      </c>
      <c r="O8085" t="s">
        <v>46570</v>
      </c>
      <c r="P8085">
        <v>0</v>
      </c>
      <c r="Q8085">
        <v>2</v>
      </c>
      <c r="R8085" t="s">
        <v>46575</v>
      </c>
      <c r="S8085" t="s">
        <v>46744</v>
      </c>
      <c r="T8085" t="s">
        <v>48562</v>
      </c>
      <c r="U8085" t="s">
        <v>55416</v>
      </c>
      <c r="W8085" t="s">
        <v>43960</v>
      </c>
      <c r="X8085" t="s">
        <v>46576</v>
      </c>
    </row>
    <row r="8086" spans="1:24">
      <c r="A8086">
        <f>HYPERLINK("https://www.philgeps.gov.ph/GEPSNONPILOT/Tender/SplashBidNoticeAbstractUI.aspx?menuIndex=3&amp;refID=7058607&amp;Result=3","7058607")</f>
        <v>0</v>
      </c>
      <c r="B8086" t="s">
        <v>1313</v>
      </c>
      <c r="C8086" t="s">
        <v>11202</v>
      </c>
      <c r="E8086" t="s">
        <v>25984</v>
      </c>
      <c r="F8086" t="s">
        <v>32664</v>
      </c>
      <c r="G8086" t="s">
        <v>32671</v>
      </c>
      <c r="H8086" t="s">
        <v>12635</v>
      </c>
      <c r="I8086" t="s">
        <v>32704</v>
      </c>
      <c r="J8086" t="s">
        <v>37747</v>
      </c>
      <c r="K8086" t="s">
        <v>42283</v>
      </c>
      <c r="M8086" t="s">
        <v>43960</v>
      </c>
      <c r="N8086" t="s">
        <v>46569</v>
      </c>
      <c r="O8086" t="s">
        <v>46570</v>
      </c>
      <c r="P8086">
        <v>0</v>
      </c>
      <c r="Q8086">
        <v>3</v>
      </c>
      <c r="R8086" t="s">
        <v>46574</v>
      </c>
      <c r="S8086" t="s">
        <v>46723</v>
      </c>
      <c r="T8086" t="s">
        <v>48562</v>
      </c>
      <c r="U8086" t="s">
        <v>55178</v>
      </c>
      <c r="W8086" t="s">
        <v>43960</v>
      </c>
      <c r="X8086" t="s">
        <v>46575</v>
      </c>
    </row>
    <row r="8087" spans="1:24">
      <c r="A8087">
        <f>HYPERLINK("https://www.philgeps.gov.ph/GEPSNONPILOT/Tender/SplashBidNoticeAbstractUI.aspx?menuIndex=3&amp;refID=7058332&amp;Result=3","7058332")</f>
        <v>0</v>
      </c>
      <c r="B8087" t="s">
        <v>2428</v>
      </c>
      <c r="C8087" t="s">
        <v>11203</v>
      </c>
      <c r="D8087" t="s">
        <v>18829</v>
      </c>
      <c r="E8087" t="s">
        <v>25980</v>
      </c>
      <c r="F8087" t="s">
        <v>32664</v>
      </c>
      <c r="G8087" t="s">
        <v>32672</v>
      </c>
      <c r="H8087" t="s">
        <v>32683</v>
      </c>
      <c r="I8087" t="s">
        <v>32733</v>
      </c>
      <c r="J8087" t="s">
        <v>32837</v>
      </c>
      <c r="K8087" t="s">
        <v>42298</v>
      </c>
      <c r="M8087" t="s">
        <v>45220</v>
      </c>
      <c r="N8087" t="s">
        <v>46569</v>
      </c>
      <c r="O8087" t="s">
        <v>46570</v>
      </c>
      <c r="P8087">
        <v>0</v>
      </c>
      <c r="Q8087">
        <v>0</v>
      </c>
      <c r="R8087" t="s">
        <v>46575</v>
      </c>
      <c r="S8087" t="s">
        <v>46744</v>
      </c>
      <c r="T8087" t="s">
        <v>48244</v>
      </c>
      <c r="U8087" t="s">
        <v>55431</v>
      </c>
      <c r="W8087" t="s">
        <v>45220</v>
      </c>
      <c r="X8087" t="s">
        <v>46576</v>
      </c>
    </row>
    <row r="8088" spans="1:24">
      <c r="A8088">
        <f>HYPERLINK("https://www.philgeps.gov.ph/GEPSNONPILOT/Tender/SplashBidNoticeAbstractUI.aspx?menuIndex=3&amp;refID=7058330&amp;Result=3","7058330")</f>
        <v>0</v>
      </c>
      <c r="B8088" t="s">
        <v>1313</v>
      </c>
      <c r="C8088" t="s">
        <v>11204</v>
      </c>
      <c r="E8088" t="s">
        <v>25985</v>
      </c>
      <c r="F8088" t="s">
        <v>32664</v>
      </c>
      <c r="G8088" t="s">
        <v>32671</v>
      </c>
      <c r="H8088" t="s">
        <v>12635</v>
      </c>
      <c r="I8088" t="s">
        <v>4333</v>
      </c>
      <c r="J8088" t="s">
        <v>33051</v>
      </c>
      <c r="K8088" t="s">
        <v>42311</v>
      </c>
      <c r="M8088" t="s">
        <v>43960</v>
      </c>
      <c r="N8088" t="s">
        <v>46569</v>
      </c>
      <c r="O8088" t="s">
        <v>46570</v>
      </c>
      <c r="P8088">
        <v>0</v>
      </c>
      <c r="Q8088">
        <v>2</v>
      </c>
      <c r="R8088" t="s">
        <v>46575</v>
      </c>
      <c r="S8088" t="s">
        <v>46744</v>
      </c>
      <c r="T8088" t="s">
        <v>48562</v>
      </c>
      <c r="U8088" t="s">
        <v>55416</v>
      </c>
      <c r="W8088" t="s">
        <v>43960</v>
      </c>
      <c r="X8088" t="s">
        <v>46576</v>
      </c>
    </row>
    <row r="8089" spans="1:24">
      <c r="A8089">
        <f>HYPERLINK("https://www.philgeps.gov.ph/GEPSNONPILOT/Tender/SplashBidNoticeAbstractUI.aspx?menuIndex=3&amp;refID=7058326&amp;Result=3","7058326")</f>
        <v>0</v>
      </c>
      <c r="B8089" t="s">
        <v>2428</v>
      </c>
      <c r="C8089" t="s">
        <v>11205</v>
      </c>
      <c r="D8089" t="s">
        <v>18829</v>
      </c>
      <c r="E8089" t="s">
        <v>25986</v>
      </c>
      <c r="F8089" t="s">
        <v>32664</v>
      </c>
      <c r="G8089" t="s">
        <v>32672</v>
      </c>
      <c r="H8089" t="s">
        <v>12635</v>
      </c>
      <c r="I8089" t="s">
        <v>32706</v>
      </c>
      <c r="J8089" t="s">
        <v>37748</v>
      </c>
      <c r="K8089" t="s">
        <v>42347</v>
      </c>
      <c r="M8089" t="s">
        <v>45220</v>
      </c>
      <c r="N8089" t="s">
        <v>46569</v>
      </c>
      <c r="O8089" t="s">
        <v>46570</v>
      </c>
      <c r="P8089">
        <v>0</v>
      </c>
      <c r="Q8089">
        <v>0</v>
      </c>
      <c r="R8089" t="s">
        <v>46575</v>
      </c>
      <c r="S8089" t="s">
        <v>46744</v>
      </c>
      <c r="T8089" t="s">
        <v>48219</v>
      </c>
      <c r="U8089" t="s">
        <v>55433</v>
      </c>
      <c r="W8089" t="s">
        <v>45220</v>
      </c>
      <c r="X8089" t="s">
        <v>46576</v>
      </c>
    </row>
    <row r="8090" spans="1:24">
      <c r="A8090">
        <f>HYPERLINK("https://www.philgeps.gov.ph/GEPSNONPILOT/Tender/SplashBidNoticeAbstractUI.aspx?menuIndex=3&amp;refID=7058106&amp;Result=3","7058106")</f>
        <v>0</v>
      </c>
      <c r="B8090" t="s">
        <v>2069</v>
      </c>
      <c r="C8090" t="s">
        <v>11206</v>
      </c>
      <c r="E8090" t="s">
        <v>25987</v>
      </c>
      <c r="F8090" t="s">
        <v>32664</v>
      </c>
      <c r="G8090" t="s">
        <v>32671</v>
      </c>
      <c r="H8090" t="s">
        <v>12635</v>
      </c>
      <c r="I8090" t="s">
        <v>32689</v>
      </c>
      <c r="J8090" t="s">
        <v>36171</v>
      </c>
      <c r="K8090" t="s">
        <v>42283</v>
      </c>
      <c r="M8090" t="s">
        <v>45195</v>
      </c>
      <c r="N8090" t="s">
        <v>46569</v>
      </c>
      <c r="O8090" t="s">
        <v>46570</v>
      </c>
      <c r="P8090">
        <v>0</v>
      </c>
      <c r="Q8090">
        <v>1</v>
      </c>
      <c r="R8090" t="s">
        <v>46575</v>
      </c>
      <c r="S8090" t="s">
        <v>46744</v>
      </c>
      <c r="T8090" t="s">
        <v>48420</v>
      </c>
      <c r="U8090" t="s">
        <v>50334</v>
      </c>
      <c r="W8090" t="s">
        <v>45195</v>
      </c>
      <c r="X8090" t="s">
        <v>46576</v>
      </c>
    </row>
    <row r="8091" spans="1:24">
      <c r="A8091">
        <f>HYPERLINK("https://www.philgeps.gov.ph/GEPSNONPILOT/Tender/SplashBidNoticeAbstractUI.aspx?menuIndex=3&amp;refID=7058302&amp;Result=3","7058302")</f>
        <v>0</v>
      </c>
      <c r="B8091" t="s">
        <v>476</v>
      </c>
      <c r="C8091" t="s">
        <v>11207</v>
      </c>
      <c r="D8091" t="s">
        <v>18788</v>
      </c>
      <c r="E8091" t="s">
        <v>20566</v>
      </c>
      <c r="F8091" t="s">
        <v>32664</v>
      </c>
      <c r="G8091" t="s">
        <v>32675</v>
      </c>
      <c r="H8091" t="s">
        <v>32682</v>
      </c>
      <c r="I8091" t="s">
        <v>6628</v>
      </c>
      <c r="J8091" t="s">
        <v>32917</v>
      </c>
      <c r="K8091" t="s">
        <v>42297</v>
      </c>
      <c r="M8091" t="s">
        <v>43051</v>
      </c>
      <c r="N8091" t="s">
        <v>46569</v>
      </c>
      <c r="O8091" t="s">
        <v>46570</v>
      </c>
      <c r="P8091">
        <v>0</v>
      </c>
      <c r="Q8091">
        <v>0</v>
      </c>
      <c r="R8091" t="s">
        <v>46575</v>
      </c>
      <c r="S8091" t="s">
        <v>46744</v>
      </c>
      <c r="T8091" t="s">
        <v>48221</v>
      </c>
      <c r="U8091" t="s">
        <v>55434</v>
      </c>
      <c r="W8091" t="s">
        <v>43051</v>
      </c>
      <c r="X8091" t="s">
        <v>46576</v>
      </c>
    </row>
    <row r="8092" spans="1:24">
      <c r="A8092">
        <f>HYPERLINK("https://www.philgeps.gov.ph/GEPSNONPILOT/Tender/SplashBidNoticeAbstractUI.aspx?menuIndex=3&amp;refID=7058291&amp;Result=3","7058291")</f>
        <v>0</v>
      </c>
      <c r="B8092" t="s">
        <v>2421</v>
      </c>
      <c r="C8092" t="s">
        <v>11208</v>
      </c>
      <c r="D8092" t="s">
        <v>18819</v>
      </c>
      <c r="E8092" t="s">
        <v>25988</v>
      </c>
      <c r="F8092" t="s">
        <v>32664</v>
      </c>
      <c r="G8092" t="s">
        <v>32672</v>
      </c>
      <c r="H8092" t="s">
        <v>12635</v>
      </c>
      <c r="I8092" t="s">
        <v>4439</v>
      </c>
      <c r="J8092" t="s">
        <v>37749</v>
      </c>
      <c r="K8092" t="s">
        <v>42281</v>
      </c>
      <c r="M8092" t="s">
        <v>45212</v>
      </c>
      <c r="N8092" t="s">
        <v>46569</v>
      </c>
      <c r="O8092" t="s">
        <v>46570</v>
      </c>
      <c r="P8092">
        <v>0</v>
      </c>
      <c r="Q8092">
        <v>1</v>
      </c>
      <c r="R8092" t="s">
        <v>46575</v>
      </c>
      <c r="S8092" t="s">
        <v>46744</v>
      </c>
      <c r="T8092" t="s">
        <v>48212</v>
      </c>
      <c r="U8092" t="s">
        <v>55435</v>
      </c>
      <c r="W8092" t="s">
        <v>45212</v>
      </c>
      <c r="X8092" t="s">
        <v>46576</v>
      </c>
    </row>
    <row r="8093" spans="1:24">
      <c r="A8093">
        <f>HYPERLINK("https://www.philgeps.gov.ph/GEPSNONPILOT/Tender/SplashBidNoticeAbstractUI.aspx?menuIndex=3&amp;refID=7058282&amp;Result=3","7058282")</f>
        <v>0</v>
      </c>
      <c r="B8093" t="s">
        <v>917</v>
      </c>
      <c r="C8093" t="s">
        <v>11209</v>
      </c>
      <c r="D8093" t="s">
        <v>18781</v>
      </c>
      <c r="E8093" t="s">
        <v>19357</v>
      </c>
      <c r="F8093" t="s">
        <v>32664</v>
      </c>
      <c r="G8093" t="s">
        <v>32672</v>
      </c>
      <c r="H8093" t="s">
        <v>12635</v>
      </c>
      <c r="I8093" t="s">
        <v>32694</v>
      </c>
      <c r="J8093" t="s">
        <v>37750</v>
      </c>
      <c r="K8093" t="s">
        <v>42283</v>
      </c>
      <c r="M8093" t="s">
        <v>43523</v>
      </c>
      <c r="N8093" t="s">
        <v>46569</v>
      </c>
      <c r="O8093" t="s">
        <v>46570</v>
      </c>
      <c r="P8093">
        <v>0</v>
      </c>
      <c r="Q8093">
        <v>0</v>
      </c>
      <c r="R8093" t="s">
        <v>46575</v>
      </c>
      <c r="S8093" t="s">
        <v>46744</v>
      </c>
      <c r="T8093" t="s">
        <v>48221</v>
      </c>
      <c r="U8093" t="s">
        <v>55436</v>
      </c>
      <c r="W8093" t="s">
        <v>43523</v>
      </c>
      <c r="X8093" t="s">
        <v>46576</v>
      </c>
    </row>
    <row r="8094" spans="1:24">
      <c r="A8094">
        <f>HYPERLINK("https://www.philgeps.gov.ph/GEPSNONPILOT/Tender/SplashBidNoticeAbstractUI.aspx?menuIndex=3&amp;refID=7058401&amp;Result=3","7058401")</f>
        <v>0</v>
      </c>
      <c r="B8094" t="s">
        <v>2421</v>
      </c>
      <c r="C8094" t="s">
        <v>11210</v>
      </c>
      <c r="D8094" t="s">
        <v>18819</v>
      </c>
      <c r="E8094" t="s">
        <v>25989</v>
      </c>
      <c r="F8094" t="s">
        <v>32664</v>
      </c>
      <c r="G8094" t="s">
        <v>32672</v>
      </c>
      <c r="H8094" t="s">
        <v>32683</v>
      </c>
      <c r="I8094" t="s">
        <v>10627</v>
      </c>
      <c r="J8094" t="s">
        <v>37751</v>
      </c>
      <c r="K8094" t="s">
        <v>42285</v>
      </c>
      <c r="M8094" t="s">
        <v>45212</v>
      </c>
      <c r="N8094" t="s">
        <v>46569</v>
      </c>
      <c r="O8094" t="s">
        <v>46570</v>
      </c>
      <c r="P8094">
        <v>0</v>
      </c>
      <c r="Q8094">
        <v>5</v>
      </c>
      <c r="R8094" t="s">
        <v>46575</v>
      </c>
      <c r="S8094" t="s">
        <v>46744</v>
      </c>
      <c r="T8094" t="s">
        <v>48213</v>
      </c>
      <c r="U8094" t="s">
        <v>55437</v>
      </c>
      <c r="W8094" t="s">
        <v>45212</v>
      </c>
      <c r="X8094" t="s">
        <v>46576</v>
      </c>
    </row>
    <row r="8095" spans="1:24">
      <c r="A8095">
        <f>HYPERLINK("https://www.philgeps.gov.ph/GEPSNONPILOT/Tender/SplashBidNoticeAbstractUI.aspx?menuIndex=3&amp;refID=7058341&amp;Result=3","7058341")</f>
        <v>0</v>
      </c>
      <c r="B8095" t="s">
        <v>1313</v>
      </c>
      <c r="C8095" t="s">
        <v>11211</v>
      </c>
      <c r="E8095" t="s">
        <v>25990</v>
      </c>
      <c r="F8095" t="s">
        <v>32664</v>
      </c>
      <c r="G8095" t="s">
        <v>32671</v>
      </c>
      <c r="H8095" t="s">
        <v>12635</v>
      </c>
      <c r="I8095" t="s">
        <v>4333</v>
      </c>
      <c r="J8095" t="s">
        <v>33566</v>
      </c>
      <c r="K8095" t="s">
        <v>42311</v>
      </c>
      <c r="M8095" t="s">
        <v>43960</v>
      </c>
      <c r="N8095" t="s">
        <v>46569</v>
      </c>
      <c r="O8095" t="s">
        <v>46570</v>
      </c>
      <c r="P8095">
        <v>0</v>
      </c>
      <c r="Q8095">
        <v>1</v>
      </c>
      <c r="R8095" t="s">
        <v>46575</v>
      </c>
      <c r="S8095" t="s">
        <v>46744</v>
      </c>
      <c r="T8095" t="s">
        <v>48562</v>
      </c>
      <c r="U8095" t="s">
        <v>55416</v>
      </c>
      <c r="W8095" t="s">
        <v>43960</v>
      </c>
      <c r="X8095" t="s">
        <v>46576</v>
      </c>
    </row>
    <row r="8096" spans="1:24">
      <c r="A8096">
        <f>HYPERLINK("https://www.philgeps.gov.ph/GEPSNONPILOT/Tender/SplashBidNoticeAbstractUI.aspx?menuIndex=3&amp;refID=7058285&amp;Result=3","7058285")</f>
        <v>0</v>
      </c>
      <c r="B8096" t="s">
        <v>2421</v>
      </c>
      <c r="C8096" t="s">
        <v>11212</v>
      </c>
      <c r="D8096" t="s">
        <v>18819</v>
      </c>
      <c r="E8096" t="s">
        <v>25991</v>
      </c>
      <c r="F8096" t="s">
        <v>32664</v>
      </c>
      <c r="G8096" t="s">
        <v>32672</v>
      </c>
      <c r="H8096" t="s">
        <v>12635</v>
      </c>
      <c r="I8096" t="s">
        <v>10627</v>
      </c>
      <c r="J8096" t="s">
        <v>37752</v>
      </c>
      <c r="K8096" t="s">
        <v>42311</v>
      </c>
      <c r="M8096" t="s">
        <v>45212</v>
      </c>
      <c r="N8096" t="s">
        <v>46569</v>
      </c>
      <c r="O8096" t="s">
        <v>46570</v>
      </c>
      <c r="P8096">
        <v>0</v>
      </c>
      <c r="Q8096">
        <v>3</v>
      </c>
      <c r="R8096" t="s">
        <v>46575</v>
      </c>
      <c r="S8096" t="s">
        <v>46744</v>
      </c>
      <c r="T8096" t="s">
        <v>48212</v>
      </c>
      <c r="U8096" t="s">
        <v>55438</v>
      </c>
      <c r="W8096" t="s">
        <v>45212</v>
      </c>
      <c r="X8096" t="s">
        <v>46576</v>
      </c>
    </row>
    <row r="8097" spans="1:24">
      <c r="A8097">
        <f>HYPERLINK("https://www.philgeps.gov.ph/GEPSNONPILOT/Tender/SplashBidNoticeAbstractUI.aspx?menuIndex=3&amp;refID=7058338&amp;Result=3","7058338")</f>
        <v>0</v>
      </c>
      <c r="B8097" t="s">
        <v>1313</v>
      </c>
      <c r="C8097" t="s">
        <v>11213</v>
      </c>
      <c r="E8097" t="s">
        <v>25992</v>
      </c>
      <c r="F8097" t="s">
        <v>32664</v>
      </c>
      <c r="G8097" t="s">
        <v>32671</v>
      </c>
      <c r="H8097" t="s">
        <v>12635</v>
      </c>
      <c r="I8097" t="s">
        <v>4333</v>
      </c>
      <c r="J8097" t="s">
        <v>32853</v>
      </c>
      <c r="K8097" t="s">
        <v>42283</v>
      </c>
      <c r="M8097" t="s">
        <v>43960</v>
      </c>
      <c r="N8097" t="s">
        <v>46569</v>
      </c>
      <c r="O8097" t="s">
        <v>46570</v>
      </c>
      <c r="P8097">
        <v>0</v>
      </c>
      <c r="Q8097">
        <v>1</v>
      </c>
      <c r="R8097" t="s">
        <v>46575</v>
      </c>
      <c r="S8097" t="s">
        <v>46744</v>
      </c>
      <c r="T8097" t="s">
        <v>48562</v>
      </c>
      <c r="U8097" t="s">
        <v>55416</v>
      </c>
      <c r="W8097" t="s">
        <v>43960</v>
      </c>
      <c r="X8097" t="s">
        <v>46576</v>
      </c>
    </row>
    <row r="8098" spans="1:24">
      <c r="A8098">
        <f>HYPERLINK("https://www.philgeps.gov.ph/GEPSNONPILOT/Tender/SplashBidNoticeAbstractUI.aspx?menuIndex=3&amp;refID=7058577&amp;Result=3","7058577")</f>
        <v>0</v>
      </c>
      <c r="B8098" t="s">
        <v>2351</v>
      </c>
      <c r="C8098" t="s">
        <v>11214</v>
      </c>
      <c r="D8098" t="s">
        <v>18795</v>
      </c>
      <c r="E8098" t="s">
        <v>22114</v>
      </c>
      <c r="F8098" t="s">
        <v>32664</v>
      </c>
      <c r="G8098" t="s">
        <v>32672</v>
      </c>
      <c r="H8098" t="s">
        <v>12635</v>
      </c>
      <c r="I8098" t="s">
        <v>10590</v>
      </c>
      <c r="J8098" t="s">
        <v>37753</v>
      </c>
      <c r="K8098" t="s">
        <v>42313</v>
      </c>
      <c r="M8098" t="s">
        <v>45135</v>
      </c>
      <c r="N8098" t="s">
        <v>46569</v>
      </c>
      <c r="O8098" t="s">
        <v>46570</v>
      </c>
      <c r="P8098">
        <v>0</v>
      </c>
      <c r="Q8098">
        <v>0</v>
      </c>
      <c r="R8098" t="s">
        <v>46574</v>
      </c>
      <c r="S8098" t="s">
        <v>46723</v>
      </c>
      <c r="T8098" t="s">
        <v>48334</v>
      </c>
      <c r="U8098" t="s">
        <v>55439</v>
      </c>
      <c r="V8098" t="s">
        <v>62384</v>
      </c>
      <c r="W8098" t="s">
        <v>45135</v>
      </c>
      <c r="X8098" t="s">
        <v>46575</v>
      </c>
    </row>
    <row r="8099" spans="1:24">
      <c r="A8099">
        <f>HYPERLINK("https://www.philgeps.gov.ph/GEPSNONPILOT/Tender/SplashBidNoticeAbstractUI.aspx?menuIndex=3&amp;refID=7058321&amp;Result=3","7058321")</f>
        <v>0</v>
      </c>
      <c r="B8099" t="s">
        <v>1313</v>
      </c>
      <c r="C8099" t="s">
        <v>11215</v>
      </c>
      <c r="E8099" t="s">
        <v>25993</v>
      </c>
      <c r="F8099" t="s">
        <v>32664</v>
      </c>
      <c r="G8099" t="s">
        <v>32671</v>
      </c>
      <c r="H8099" t="s">
        <v>12635</v>
      </c>
      <c r="I8099" t="s">
        <v>4333</v>
      </c>
      <c r="J8099" t="s">
        <v>32859</v>
      </c>
      <c r="K8099" t="s">
        <v>42311</v>
      </c>
      <c r="M8099" t="s">
        <v>43960</v>
      </c>
      <c r="N8099" t="s">
        <v>46569</v>
      </c>
      <c r="O8099" t="s">
        <v>46570</v>
      </c>
      <c r="P8099">
        <v>0</v>
      </c>
      <c r="Q8099">
        <v>3</v>
      </c>
      <c r="R8099" t="s">
        <v>46575</v>
      </c>
      <c r="S8099" t="s">
        <v>46744</v>
      </c>
      <c r="T8099" t="s">
        <v>48562</v>
      </c>
      <c r="U8099" t="s">
        <v>55416</v>
      </c>
      <c r="W8099" t="s">
        <v>43960</v>
      </c>
      <c r="X8099" t="s">
        <v>46576</v>
      </c>
    </row>
    <row r="8100" spans="1:24">
      <c r="A8100">
        <f>HYPERLINK("https://www.philgeps.gov.ph/GEPSNONPILOT/Tender/SplashBidNoticeAbstractUI.aspx?menuIndex=3&amp;refID=7058417&amp;Result=3","7058417")</f>
        <v>0</v>
      </c>
      <c r="B8100" t="s">
        <v>1313</v>
      </c>
      <c r="C8100" t="s">
        <v>11216</v>
      </c>
      <c r="E8100" t="s">
        <v>25994</v>
      </c>
      <c r="F8100" t="s">
        <v>32664</v>
      </c>
      <c r="G8100" t="s">
        <v>32672</v>
      </c>
      <c r="H8100" t="s">
        <v>32681</v>
      </c>
      <c r="I8100" t="s">
        <v>32681</v>
      </c>
      <c r="J8100" t="s">
        <v>34487</v>
      </c>
      <c r="K8100" t="s">
        <v>42290</v>
      </c>
      <c r="M8100" t="s">
        <v>43960</v>
      </c>
      <c r="N8100" t="s">
        <v>46569</v>
      </c>
      <c r="O8100" t="s">
        <v>46570</v>
      </c>
      <c r="P8100">
        <v>0</v>
      </c>
      <c r="Q8100">
        <v>2</v>
      </c>
      <c r="R8100" t="s">
        <v>46575</v>
      </c>
      <c r="S8100" t="s">
        <v>46744</v>
      </c>
      <c r="T8100" t="s">
        <v>48244</v>
      </c>
      <c r="U8100" t="s">
        <v>55440</v>
      </c>
      <c r="W8100" t="s">
        <v>43960</v>
      </c>
      <c r="X8100" t="s">
        <v>46576</v>
      </c>
    </row>
    <row r="8101" spans="1:24">
      <c r="A8101">
        <f>HYPERLINK("https://www.philgeps.gov.ph/GEPSNONPILOT/Tender/SplashBidNoticeAbstractUI.aspx?menuIndex=3&amp;refID=7058303&amp;Result=3","7058303")</f>
        <v>0</v>
      </c>
      <c r="B8101" t="s">
        <v>1313</v>
      </c>
      <c r="C8101" t="s">
        <v>11217</v>
      </c>
      <c r="E8101" t="s">
        <v>25995</v>
      </c>
      <c r="F8101" t="s">
        <v>32664</v>
      </c>
      <c r="G8101" t="s">
        <v>32671</v>
      </c>
      <c r="H8101" t="s">
        <v>12635</v>
      </c>
      <c r="I8101" t="s">
        <v>4333</v>
      </c>
      <c r="J8101" t="s">
        <v>33688</v>
      </c>
      <c r="K8101" t="s">
        <v>42311</v>
      </c>
      <c r="M8101" t="s">
        <v>43960</v>
      </c>
      <c r="N8101" t="s">
        <v>46569</v>
      </c>
      <c r="O8101" t="s">
        <v>46570</v>
      </c>
      <c r="P8101">
        <v>0</v>
      </c>
      <c r="Q8101">
        <v>3</v>
      </c>
      <c r="R8101" t="s">
        <v>46575</v>
      </c>
      <c r="S8101" t="s">
        <v>46744</v>
      </c>
      <c r="T8101" t="s">
        <v>48562</v>
      </c>
      <c r="U8101" t="s">
        <v>55416</v>
      </c>
      <c r="W8101" t="s">
        <v>43960</v>
      </c>
      <c r="X8101" t="s">
        <v>46576</v>
      </c>
    </row>
    <row r="8102" spans="1:24">
      <c r="A8102">
        <f>HYPERLINK("https://www.philgeps.gov.ph/GEPSNONPILOT/Tender/SplashBidNoticeAbstractUI.aspx?menuIndex=3&amp;refID=7058405&amp;Result=3","7058405")</f>
        <v>0</v>
      </c>
      <c r="B8102" t="s">
        <v>2421</v>
      </c>
      <c r="C8102" t="s">
        <v>11218</v>
      </c>
      <c r="D8102" t="s">
        <v>18819</v>
      </c>
      <c r="E8102" t="s">
        <v>25996</v>
      </c>
      <c r="F8102" t="s">
        <v>32664</v>
      </c>
      <c r="G8102" t="s">
        <v>32672</v>
      </c>
      <c r="H8102" t="s">
        <v>32683</v>
      </c>
      <c r="I8102" t="s">
        <v>10627</v>
      </c>
      <c r="J8102" t="s">
        <v>37751</v>
      </c>
      <c r="K8102" t="s">
        <v>42327</v>
      </c>
      <c r="M8102" t="s">
        <v>45212</v>
      </c>
      <c r="N8102" t="s">
        <v>46569</v>
      </c>
      <c r="O8102" t="s">
        <v>46570</v>
      </c>
      <c r="P8102">
        <v>0</v>
      </c>
      <c r="Q8102">
        <v>2</v>
      </c>
      <c r="R8102" t="s">
        <v>46575</v>
      </c>
      <c r="S8102" t="s">
        <v>46744</v>
      </c>
      <c r="T8102" t="s">
        <v>48213</v>
      </c>
      <c r="U8102" t="s">
        <v>55437</v>
      </c>
      <c r="W8102" t="s">
        <v>45212</v>
      </c>
      <c r="X8102" t="s">
        <v>46576</v>
      </c>
    </row>
    <row r="8103" spans="1:24">
      <c r="A8103">
        <f>HYPERLINK("https://www.philgeps.gov.ph/GEPSNONPILOT/Tender/SplashBidNoticeAbstractUI.aspx?menuIndex=3&amp;refID=7058409&amp;Result=3","7058409")</f>
        <v>0</v>
      </c>
      <c r="B8103" t="s">
        <v>2421</v>
      </c>
      <c r="C8103" t="s">
        <v>11219</v>
      </c>
      <c r="D8103" t="s">
        <v>18819</v>
      </c>
      <c r="E8103" t="s">
        <v>25997</v>
      </c>
      <c r="F8103" t="s">
        <v>32664</v>
      </c>
      <c r="G8103" t="s">
        <v>32672</v>
      </c>
      <c r="H8103" t="s">
        <v>32683</v>
      </c>
      <c r="I8103" t="s">
        <v>10627</v>
      </c>
      <c r="J8103" t="s">
        <v>34213</v>
      </c>
      <c r="K8103" t="s">
        <v>42290</v>
      </c>
      <c r="M8103" t="s">
        <v>45212</v>
      </c>
      <c r="N8103" t="s">
        <v>46569</v>
      </c>
      <c r="O8103" t="s">
        <v>46570</v>
      </c>
      <c r="P8103">
        <v>0</v>
      </c>
      <c r="Q8103">
        <v>1</v>
      </c>
      <c r="R8103" t="s">
        <v>46575</v>
      </c>
      <c r="S8103" t="s">
        <v>46744</v>
      </c>
      <c r="T8103" t="s">
        <v>48213</v>
      </c>
      <c r="U8103" t="s">
        <v>55404</v>
      </c>
      <c r="W8103" t="s">
        <v>45212</v>
      </c>
      <c r="X8103" t="s">
        <v>46576</v>
      </c>
    </row>
    <row r="8104" spans="1:24">
      <c r="A8104">
        <f>HYPERLINK("https://www.philgeps.gov.ph/GEPSNONPILOT/Tender/SplashBidNoticeAbstractUI.aspx?menuIndex=3&amp;refID=7058414&amp;Result=3","7058414")</f>
        <v>0</v>
      </c>
      <c r="B8104" t="s">
        <v>2421</v>
      </c>
      <c r="C8104" t="s">
        <v>11220</v>
      </c>
      <c r="D8104" t="s">
        <v>18819</v>
      </c>
      <c r="E8104" t="s">
        <v>25998</v>
      </c>
      <c r="F8104" t="s">
        <v>32664</v>
      </c>
      <c r="G8104" t="s">
        <v>32672</v>
      </c>
      <c r="H8104" t="s">
        <v>32683</v>
      </c>
      <c r="I8104" t="s">
        <v>10627</v>
      </c>
      <c r="J8104" t="s">
        <v>37751</v>
      </c>
      <c r="K8104" t="s">
        <v>42327</v>
      </c>
      <c r="M8104" t="s">
        <v>45212</v>
      </c>
      <c r="N8104" t="s">
        <v>46569</v>
      </c>
      <c r="O8104" t="s">
        <v>46570</v>
      </c>
      <c r="P8104">
        <v>0</v>
      </c>
      <c r="Q8104">
        <v>2</v>
      </c>
      <c r="R8104" t="s">
        <v>46575</v>
      </c>
      <c r="S8104" t="s">
        <v>46744</v>
      </c>
      <c r="T8104" t="s">
        <v>48213</v>
      </c>
      <c r="U8104" t="s">
        <v>55437</v>
      </c>
      <c r="W8104" t="s">
        <v>45212</v>
      </c>
      <c r="X8104" t="s">
        <v>46576</v>
      </c>
    </row>
    <row r="8105" spans="1:24">
      <c r="A8105">
        <f>HYPERLINK("https://www.philgeps.gov.ph/GEPSNONPILOT/Tender/SplashBidNoticeAbstractUI.aspx?menuIndex=3&amp;refID=7058396&amp;Result=3","7058396")</f>
        <v>0</v>
      </c>
      <c r="B8105" t="s">
        <v>2421</v>
      </c>
      <c r="C8105" t="s">
        <v>11221</v>
      </c>
      <c r="D8105" t="s">
        <v>18819</v>
      </c>
      <c r="E8105" t="s">
        <v>25999</v>
      </c>
      <c r="F8105" t="s">
        <v>32664</v>
      </c>
      <c r="G8105" t="s">
        <v>32672</v>
      </c>
      <c r="H8105" t="s">
        <v>32683</v>
      </c>
      <c r="I8105" t="s">
        <v>10627</v>
      </c>
      <c r="J8105" t="s">
        <v>34075</v>
      </c>
      <c r="K8105" t="s">
        <v>42290</v>
      </c>
      <c r="M8105" t="s">
        <v>45212</v>
      </c>
      <c r="N8105" t="s">
        <v>46569</v>
      </c>
      <c r="O8105" t="s">
        <v>46570</v>
      </c>
      <c r="P8105">
        <v>0</v>
      </c>
      <c r="Q8105">
        <v>2</v>
      </c>
      <c r="R8105" t="s">
        <v>46575</v>
      </c>
      <c r="S8105" t="s">
        <v>46744</v>
      </c>
      <c r="T8105" t="s">
        <v>48213</v>
      </c>
      <c r="U8105" t="s">
        <v>55410</v>
      </c>
      <c r="W8105" t="s">
        <v>45212</v>
      </c>
      <c r="X8105" t="s">
        <v>46576</v>
      </c>
    </row>
    <row r="8106" spans="1:24">
      <c r="A8106">
        <f>HYPERLINK("https://www.philgeps.gov.ph/GEPSNONPILOT/Tender/SplashBidNoticeAbstractUI.aspx?menuIndex=3&amp;refID=7058408&amp;Result=3","7058408")</f>
        <v>0</v>
      </c>
      <c r="B8106" t="s">
        <v>1306</v>
      </c>
      <c r="C8106" t="s">
        <v>11222</v>
      </c>
      <c r="D8106" t="s">
        <v>18804</v>
      </c>
      <c r="E8106" t="s">
        <v>26000</v>
      </c>
      <c r="F8106" t="s">
        <v>32664</v>
      </c>
      <c r="G8106" t="s">
        <v>32672</v>
      </c>
      <c r="H8106" t="s">
        <v>32683</v>
      </c>
      <c r="I8106" t="s">
        <v>10627</v>
      </c>
      <c r="J8106" t="s">
        <v>37754</v>
      </c>
      <c r="K8106" t="s">
        <v>42405</v>
      </c>
      <c r="M8106" t="s">
        <v>43951</v>
      </c>
      <c r="N8106" t="s">
        <v>46569</v>
      </c>
      <c r="O8106" t="s">
        <v>46570</v>
      </c>
      <c r="P8106">
        <v>0</v>
      </c>
      <c r="Q8106">
        <v>0</v>
      </c>
      <c r="R8106" t="s">
        <v>46575</v>
      </c>
      <c r="S8106" t="s">
        <v>46744</v>
      </c>
      <c r="T8106" t="s">
        <v>48349</v>
      </c>
      <c r="U8106" t="s">
        <v>55441</v>
      </c>
      <c r="W8106" t="s">
        <v>43951</v>
      </c>
      <c r="X8106" t="s">
        <v>46576</v>
      </c>
    </row>
    <row r="8107" spans="1:24">
      <c r="A8107">
        <f>HYPERLINK("https://www.philgeps.gov.ph/GEPSNONPILOT/Tender/SplashBidNoticeAbstractUI.aspx?menuIndex=3&amp;refID=7058387&amp;Result=3","7058387")</f>
        <v>0</v>
      </c>
      <c r="B8107" t="s">
        <v>2421</v>
      </c>
      <c r="C8107" t="s">
        <v>11223</v>
      </c>
      <c r="D8107" t="s">
        <v>18819</v>
      </c>
      <c r="E8107" t="s">
        <v>26001</v>
      </c>
      <c r="F8107" t="s">
        <v>32664</v>
      </c>
      <c r="G8107" t="s">
        <v>32672</v>
      </c>
      <c r="H8107" t="s">
        <v>32683</v>
      </c>
      <c r="I8107" t="s">
        <v>10627</v>
      </c>
      <c r="J8107" t="s">
        <v>34379</v>
      </c>
      <c r="K8107" t="s">
        <v>42290</v>
      </c>
      <c r="M8107" t="s">
        <v>45212</v>
      </c>
      <c r="N8107" t="s">
        <v>46569</v>
      </c>
      <c r="O8107" t="s">
        <v>46570</v>
      </c>
      <c r="P8107">
        <v>0</v>
      </c>
      <c r="Q8107">
        <v>2</v>
      </c>
      <c r="R8107" t="s">
        <v>46575</v>
      </c>
      <c r="S8107" t="s">
        <v>46744</v>
      </c>
      <c r="T8107" t="s">
        <v>48213</v>
      </c>
      <c r="U8107" t="s">
        <v>55404</v>
      </c>
      <c r="W8107" t="s">
        <v>45212</v>
      </c>
      <c r="X8107" t="s">
        <v>46576</v>
      </c>
    </row>
    <row r="8108" spans="1:24">
      <c r="A8108">
        <f>HYPERLINK("https://www.philgeps.gov.ph/GEPSNONPILOT/Tender/SplashBidNoticeAbstractUI.aspx?menuIndex=3&amp;refID=7058406&amp;Result=3","7058406")</f>
        <v>0</v>
      </c>
      <c r="B8108" t="s">
        <v>2421</v>
      </c>
      <c r="C8108" t="s">
        <v>11224</v>
      </c>
      <c r="D8108" t="s">
        <v>18819</v>
      </c>
      <c r="E8108" t="s">
        <v>26002</v>
      </c>
      <c r="F8108" t="s">
        <v>32664</v>
      </c>
      <c r="G8108" t="s">
        <v>32672</v>
      </c>
      <c r="H8108" t="s">
        <v>32683</v>
      </c>
      <c r="I8108" t="s">
        <v>10627</v>
      </c>
      <c r="J8108" t="s">
        <v>37755</v>
      </c>
      <c r="K8108" t="s">
        <v>42298</v>
      </c>
      <c r="M8108" t="s">
        <v>45212</v>
      </c>
      <c r="N8108" t="s">
        <v>46569</v>
      </c>
      <c r="O8108" t="s">
        <v>46570</v>
      </c>
      <c r="P8108">
        <v>0</v>
      </c>
      <c r="Q8108">
        <v>1</v>
      </c>
      <c r="R8108" t="s">
        <v>46575</v>
      </c>
      <c r="S8108" t="s">
        <v>46744</v>
      </c>
      <c r="T8108" t="s">
        <v>48213</v>
      </c>
      <c r="U8108" t="s">
        <v>55442</v>
      </c>
      <c r="W8108" t="s">
        <v>45212</v>
      </c>
      <c r="X8108" t="s">
        <v>46576</v>
      </c>
    </row>
    <row r="8109" spans="1:24">
      <c r="A8109">
        <f>HYPERLINK("https://www.philgeps.gov.ph/GEPSNONPILOT/Tender/SplashBidNoticeAbstractUI.aspx?menuIndex=3&amp;refID=7058377&amp;Result=3","7058377")</f>
        <v>0</v>
      </c>
      <c r="B8109" t="s">
        <v>2429</v>
      </c>
      <c r="C8109" t="s">
        <v>11225</v>
      </c>
      <c r="D8109" t="s">
        <v>18832</v>
      </c>
      <c r="E8109" t="s">
        <v>26003</v>
      </c>
      <c r="F8109" t="s">
        <v>32664</v>
      </c>
      <c r="G8109" t="s">
        <v>32672</v>
      </c>
      <c r="H8109" t="s">
        <v>32683</v>
      </c>
      <c r="I8109" t="s">
        <v>10627</v>
      </c>
      <c r="J8109" t="s">
        <v>37756</v>
      </c>
      <c r="K8109" t="s">
        <v>42289</v>
      </c>
      <c r="M8109" t="s">
        <v>45221</v>
      </c>
      <c r="N8109" t="s">
        <v>46569</v>
      </c>
      <c r="O8109" t="s">
        <v>46570</v>
      </c>
      <c r="P8109">
        <v>0</v>
      </c>
      <c r="Q8109">
        <v>0</v>
      </c>
      <c r="R8109" t="s">
        <v>46575</v>
      </c>
      <c r="S8109" t="s">
        <v>46744</v>
      </c>
      <c r="T8109" t="s">
        <v>48479</v>
      </c>
      <c r="U8109" t="s">
        <v>55443</v>
      </c>
      <c r="W8109" t="s">
        <v>45221</v>
      </c>
      <c r="X8109" t="s">
        <v>46576</v>
      </c>
    </row>
    <row r="8110" spans="1:24">
      <c r="A8110">
        <f>HYPERLINK("https://www.philgeps.gov.ph/GEPSNONPILOT/Tender/SplashBidNoticeAbstractUI.aspx?menuIndex=3&amp;refID=7058352&amp;Result=3","7058352")</f>
        <v>0</v>
      </c>
      <c r="B8110" t="s">
        <v>1313</v>
      </c>
      <c r="C8110" t="s">
        <v>11226</v>
      </c>
      <c r="E8110" t="s">
        <v>26004</v>
      </c>
      <c r="F8110" t="s">
        <v>32664</v>
      </c>
      <c r="G8110" t="s">
        <v>32671</v>
      </c>
      <c r="H8110" t="s">
        <v>12635</v>
      </c>
      <c r="I8110" t="s">
        <v>4333</v>
      </c>
      <c r="J8110" t="s">
        <v>33267</v>
      </c>
      <c r="K8110" t="s">
        <v>42311</v>
      </c>
      <c r="M8110" t="s">
        <v>43960</v>
      </c>
      <c r="N8110" t="s">
        <v>46569</v>
      </c>
      <c r="O8110" t="s">
        <v>46570</v>
      </c>
      <c r="P8110">
        <v>0</v>
      </c>
      <c r="Q8110">
        <v>3</v>
      </c>
      <c r="R8110" t="s">
        <v>46575</v>
      </c>
      <c r="S8110" t="s">
        <v>46744</v>
      </c>
      <c r="T8110" t="s">
        <v>48562</v>
      </c>
      <c r="U8110" t="s">
        <v>55416</v>
      </c>
      <c r="W8110" t="s">
        <v>43960</v>
      </c>
      <c r="X8110" t="s">
        <v>46576</v>
      </c>
    </row>
    <row r="8111" spans="1:24">
      <c r="A8111">
        <f>HYPERLINK("https://www.philgeps.gov.ph/GEPSNONPILOT/Tender/SplashBidNoticeAbstractUI.aspx?menuIndex=3&amp;refID=7058404&amp;Result=3","7058404")</f>
        <v>0</v>
      </c>
      <c r="B8111" t="s">
        <v>1306</v>
      </c>
      <c r="C8111" t="s">
        <v>11227</v>
      </c>
      <c r="D8111" t="s">
        <v>18804</v>
      </c>
      <c r="E8111" t="s">
        <v>26005</v>
      </c>
      <c r="F8111" t="s">
        <v>32664</v>
      </c>
      <c r="G8111" t="s">
        <v>32672</v>
      </c>
      <c r="H8111" t="s">
        <v>12635</v>
      </c>
      <c r="I8111" t="s">
        <v>11464</v>
      </c>
      <c r="J8111" t="s">
        <v>33261</v>
      </c>
      <c r="K8111" t="s">
        <v>42298</v>
      </c>
      <c r="M8111" t="s">
        <v>43951</v>
      </c>
      <c r="N8111" t="s">
        <v>46569</v>
      </c>
      <c r="O8111" t="s">
        <v>46570</v>
      </c>
      <c r="P8111">
        <v>0</v>
      </c>
      <c r="Q8111">
        <v>2</v>
      </c>
      <c r="R8111" t="s">
        <v>46575</v>
      </c>
      <c r="S8111" t="s">
        <v>46744</v>
      </c>
      <c r="T8111" t="s">
        <v>48349</v>
      </c>
      <c r="U8111" t="s">
        <v>55444</v>
      </c>
      <c r="W8111" t="s">
        <v>43951</v>
      </c>
      <c r="X8111" t="s">
        <v>46576</v>
      </c>
    </row>
    <row r="8112" spans="1:24">
      <c r="A8112">
        <f>HYPERLINK("https://www.philgeps.gov.ph/GEPSNONPILOT/Tender/SplashBidNoticeAbstractUI.aspx?menuIndex=3&amp;refID=7058399&amp;Result=3","7058399")</f>
        <v>0</v>
      </c>
      <c r="B8112" t="s">
        <v>2421</v>
      </c>
      <c r="C8112" t="s">
        <v>11228</v>
      </c>
      <c r="D8112" t="s">
        <v>18819</v>
      </c>
      <c r="E8112" t="s">
        <v>26006</v>
      </c>
      <c r="F8112" t="s">
        <v>32664</v>
      </c>
      <c r="G8112" t="s">
        <v>32672</v>
      </c>
      <c r="H8112" t="s">
        <v>32683</v>
      </c>
      <c r="I8112" t="s">
        <v>10627</v>
      </c>
      <c r="J8112" t="s">
        <v>34075</v>
      </c>
      <c r="K8112" t="s">
        <v>42290</v>
      </c>
      <c r="M8112" t="s">
        <v>45212</v>
      </c>
      <c r="N8112" t="s">
        <v>46569</v>
      </c>
      <c r="O8112" t="s">
        <v>46570</v>
      </c>
      <c r="P8112">
        <v>0</v>
      </c>
      <c r="Q8112">
        <v>2</v>
      </c>
      <c r="R8112" t="s">
        <v>46575</v>
      </c>
      <c r="S8112" t="s">
        <v>46744</v>
      </c>
      <c r="T8112" t="s">
        <v>48213</v>
      </c>
      <c r="U8112" t="s">
        <v>55408</v>
      </c>
      <c r="W8112" t="s">
        <v>45212</v>
      </c>
      <c r="X8112" t="s">
        <v>46576</v>
      </c>
    </row>
    <row r="8113" spans="1:24">
      <c r="A8113">
        <f>HYPERLINK("https://www.philgeps.gov.ph/GEPSNONPILOT/Tender/SplashBidNoticeAbstractUI.aspx?menuIndex=3&amp;refID=7058413&amp;Result=3","7058413")</f>
        <v>0</v>
      </c>
      <c r="B8113" t="s">
        <v>1306</v>
      </c>
      <c r="C8113" t="s">
        <v>11229</v>
      </c>
      <c r="D8113" t="s">
        <v>18804</v>
      </c>
      <c r="E8113" t="s">
        <v>26007</v>
      </c>
      <c r="F8113" t="s">
        <v>32664</v>
      </c>
      <c r="G8113" t="s">
        <v>32672</v>
      </c>
      <c r="H8113" t="s">
        <v>32683</v>
      </c>
      <c r="I8113" t="s">
        <v>10627</v>
      </c>
      <c r="J8113" t="s">
        <v>37757</v>
      </c>
      <c r="K8113" t="s">
        <v>42383</v>
      </c>
      <c r="M8113" t="s">
        <v>43951</v>
      </c>
      <c r="N8113" t="s">
        <v>46569</v>
      </c>
      <c r="O8113" t="s">
        <v>46570</v>
      </c>
      <c r="P8113">
        <v>0</v>
      </c>
      <c r="Q8113">
        <v>1</v>
      </c>
      <c r="R8113" t="s">
        <v>46575</v>
      </c>
      <c r="S8113" t="s">
        <v>46744</v>
      </c>
      <c r="T8113" t="s">
        <v>48349</v>
      </c>
      <c r="U8113" t="s">
        <v>55445</v>
      </c>
      <c r="W8113" t="s">
        <v>43951</v>
      </c>
      <c r="X8113" t="s">
        <v>46576</v>
      </c>
    </row>
    <row r="8114" spans="1:24">
      <c r="A8114">
        <f>HYPERLINK("https://www.philgeps.gov.ph/GEPSNONPILOT/Tender/SplashBidNoticeAbstractUI.aspx?menuIndex=3&amp;refID=7058459&amp;Result=3","7058459")</f>
        <v>0</v>
      </c>
      <c r="B8114" t="s">
        <v>1306</v>
      </c>
      <c r="C8114" t="s">
        <v>11230</v>
      </c>
      <c r="D8114" t="s">
        <v>18804</v>
      </c>
      <c r="E8114" t="s">
        <v>26008</v>
      </c>
      <c r="F8114" t="s">
        <v>32664</v>
      </c>
      <c r="G8114" t="s">
        <v>32672</v>
      </c>
      <c r="H8114" t="s">
        <v>32683</v>
      </c>
      <c r="I8114" t="s">
        <v>10627</v>
      </c>
      <c r="J8114" t="s">
        <v>37758</v>
      </c>
      <c r="K8114" t="s">
        <v>42313</v>
      </c>
      <c r="M8114" t="s">
        <v>43951</v>
      </c>
      <c r="N8114" t="s">
        <v>46569</v>
      </c>
      <c r="O8114" t="s">
        <v>46570</v>
      </c>
      <c r="P8114">
        <v>0</v>
      </c>
      <c r="Q8114">
        <v>1</v>
      </c>
      <c r="R8114" t="s">
        <v>46575</v>
      </c>
      <c r="S8114" t="s">
        <v>46744</v>
      </c>
      <c r="T8114" t="s">
        <v>48349</v>
      </c>
      <c r="U8114" t="s">
        <v>55446</v>
      </c>
      <c r="W8114" t="s">
        <v>43951</v>
      </c>
      <c r="X8114" t="s">
        <v>46576</v>
      </c>
    </row>
    <row r="8115" spans="1:24">
      <c r="A8115">
        <f>HYPERLINK("https://www.philgeps.gov.ph/GEPSNONPILOT/Tender/SplashBidNoticeAbstractUI.aspx?menuIndex=3&amp;refID=7058457&amp;Result=3","7058457")</f>
        <v>0</v>
      </c>
      <c r="B8115" t="s">
        <v>1313</v>
      </c>
      <c r="C8115" t="s">
        <v>11231</v>
      </c>
      <c r="E8115" t="s">
        <v>26009</v>
      </c>
      <c r="F8115" t="s">
        <v>32664</v>
      </c>
      <c r="G8115" t="s">
        <v>32671</v>
      </c>
      <c r="H8115" t="s">
        <v>12635</v>
      </c>
      <c r="I8115" t="s">
        <v>32727</v>
      </c>
      <c r="J8115" t="s">
        <v>37759</v>
      </c>
      <c r="K8115" t="s">
        <v>42283</v>
      </c>
      <c r="M8115" t="s">
        <v>43960</v>
      </c>
      <c r="N8115" t="s">
        <v>46569</v>
      </c>
      <c r="O8115" t="s">
        <v>46570</v>
      </c>
      <c r="P8115">
        <v>0</v>
      </c>
      <c r="Q8115">
        <v>2</v>
      </c>
      <c r="R8115" t="s">
        <v>46575</v>
      </c>
      <c r="S8115" t="s">
        <v>46744</v>
      </c>
      <c r="T8115" t="s">
        <v>48562</v>
      </c>
      <c r="U8115" t="s">
        <v>55416</v>
      </c>
      <c r="W8115" t="s">
        <v>43960</v>
      </c>
      <c r="X8115" t="s">
        <v>46576</v>
      </c>
    </row>
    <row r="8116" spans="1:24">
      <c r="A8116">
        <f>HYPERLINK("https://www.philgeps.gov.ph/GEPSNONPILOT/Tender/SplashBidNoticeAbstractUI.aspx?menuIndex=3&amp;refID=7058393&amp;Result=3","7058393")</f>
        <v>0</v>
      </c>
      <c r="B8116" t="s">
        <v>2421</v>
      </c>
      <c r="C8116" t="s">
        <v>11232</v>
      </c>
      <c r="D8116" t="s">
        <v>18819</v>
      </c>
      <c r="E8116" t="s">
        <v>26010</v>
      </c>
      <c r="F8116" t="s">
        <v>32664</v>
      </c>
      <c r="G8116" t="s">
        <v>32672</v>
      </c>
      <c r="H8116" t="s">
        <v>32683</v>
      </c>
      <c r="I8116" t="s">
        <v>10627</v>
      </c>
      <c r="J8116" t="s">
        <v>34131</v>
      </c>
      <c r="K8116" t="s">
        <v>42311</v>
      </c>
      <c r="M8116" t="s">
        <v>45212</v>
      </c>
      <c r="N8116" t="s">
        <v>46569</v>
      </c>
      <c r="O8116" t="s">
        <v>46570</v>
      </c>
      <c r="P8116">
        <v>0</v>
      </c>
      <c r="Q8116">
        <v>1</v>
      </c>
      <c r="R8116" t="s">
        <v>46575</v>
      </c>
      <c r="S8116" t="s">
        <v>46744</v>
      </c>
      <c r="T8116" t="s">
        <v>48213</v>
      </c>
      <c r="U8116" t="s">
        <v>55447</v>
      </c>
      <c r="W8116" t="s">
        <v>45212</v>
      </c>
      <c r="X8116" t="s">
        <v>46576</v>
      </c>
    </row>
    <row r="8117" spans="1:24">
      <c r="A8117">
        <f>HYPERLINK("https://www.philgeps.gov.ph/GEPSNONPILOT/Tender/SplashBidNoticeAbstractUI.aspx?menuIndex=3&amp;refID=7058448&amp;Result=3","7058448")</f>
        <v>0</v>
      </c>
      <c r="B8117" t="s">
        <v>1643</v>
      </c>
      <c r="C8117" t="s">
        <v>11233</v>
      </c>
      <c r="D8117" t="s">
        <v>18830</v>
      </c>
      <c r="E8117" t="s">
        <v>26011</v>
      </c>
      <c r="F8117" t="s">
        <v>32664</v>
      </c>
      <c r="G8117" t="s">
        <v>32671</v>
      </c>
      <c r="H8117" t="s">
        <v>12635</v>
      </c>
      <c r="I8117" t="s">
        <v>5501</v>
      </c>
      <c r="J8117" t="s">
        <v>37760</v>
      </c>
      <c r="K8117" t="s">
        <v>42309</v>
      </c>
      <c r="M8117" t="s">
        <v>44327</v>
      </c>
      <c r="N8117" t="s">
        <v>46569</v>
      </c>
      <c r="O8117" t="s">
        <v>46570</v>
      </c>
      <c r="P8117">
        <v>0</v>
      </c>
      <c r="Q8117">
        <v>8</v>
      </c>
      <c r="R8117" t="s">
        <v>46575</v>
      </c>
      <c r="S8117" t="s">
        <v>46744</v>
      </c>
      <c r="T8117" t="s">
        <v>48307</v>
      </c>
      <c r="U8117" t="s">
        <v>55448</v>
      </c>
      <c r="W8117" t="s">
        <v>44327</v>
      </c>
      <c r="X8117" t="s">
        <v>46576</v>
      </c>
    </row>
    <row r="8118" spans="1:24">
      <c r="A8118">
        <f>HYPERLINK("https://www.philgeps.gov.ph/GEPSNONPILOT/Tender/SplashBidNoticeAbstractUI.aspx?menuIndex=3&amp;refID=7058442&amp;Result=3","7058442")</f>
        <v>0</v>
      </c>
      <c r="B8118" t="s">
        <v>2430</v>
      </c>
      <c r="C8118" t="s">
        <v>11234</v>
      </c>
      <c r="D8118" t="s">
        <v>18785</v>
      </c>
      <c r="E8118" t="s">
        <v>26012</v>
      </c>
      <c r="F8118" t="s">
        <v>32664</v>
      </c>
      <c r="G8118" t="s">
        <v>32672</v>
      </c>
      <c r="H8118" t="s">
        <v>32683</v>
      </c>
      <c r="I8118" t="s">
        <v>10627</v>
      </c>
      <c r="J8118" t="s">
        <v>33304</v>
      </c>
      <c r="K8118" t="s">
        <v>42343</v>
      </c>
      <c r="M8118" t="s">
        <v>45222</v>
      </c>
      <c r="N8118" t="s">
        <v>46569</v>
      </c>
      <c r="O8118" t="s">
        <v>46570</v>
      </c>
      <c r="P8118">
        <v>0</v>
      </c>
      <c r="Q8118">
        <v>0</v>
      </c>
      <c r="R8118" t="s">
        <v>46575</v>
      </c>
      <c r="S8118" t="s">
        <v>46744</v>
      </c>
      <c r="T8118" t="s">
        <v>48219</v>
      </c>
      <c r="U8118" t="s">
        <v>55449</v>
      </c>
      <c r="W8118" t="s">
        <v>45222</v>
      </c>
      <c r="X8118" t="s">
        <v>46576</v>
      </c>
    </row>
    <row r="8119" spans="1:24">
      <c r="A8119">
        <f>HYPERLINK("https://www.philgeps.gov.ph/GEPSNONPILOT/Tender/SplashBidNoticeAbstractUI.aspx?menuIndex=3&amp;refID=7058410&amp;Result=3","7058410")</f>
        <v>0</v>
      </c>
      <c r="B8119" t="s">
        <v>2421</v>
      </c>
      <c r="C8119" t="s">
        <v>11235</v>
      </c>
      <c r="D8119" t="s">
        <v>18819</v>
      </c>
      <c r="E8119" t="s">
        <v>26013</v>
      </c>
      <c r="F8119" t="s">
        <v>32664</v>
      </c>
      <c r="G8119" t="s">
        <v>32672</v>
      </c>
      <c r="H8119" t="s">
        <v>32683</v>
      </c>
      <c r="I8119" t="s">
        <v>10627</v>
      </c>
      <c r="J8119" t="s">
        <v>34213</v>
      </c>
      <c r="K8119" t="s">
        <v>42290</v>
      </c>
      <c r="M8119" t="s">
        <v>45212</v>
      </c>
      <c r="N8119" t="s">
        <v>46569</v>
      </c>
      <c r="O8119" t="s">
        <v>46570</v>
      </c>
      <c r="P8119">
        <v>0</v>
      </c>
      <c r="Q8119">
        <v>1</v>
      </c>
      <c r="R8119" t="s">
        <v>46575</v>
      </c>
      <c r="S8119" t="s">
        <v>46744</v>
      </c>
      <c r="T8119" t="s">
        <v>48213</v>
      </c>
      <c r="U8119" t="s">
        <v>55404</v>
      </c>
      <c r="W8119" t="s">
        <v>45212</v>
      </c>
      <c r="X8119" t="s">
        <v>46576</v>
      </c>
    </row>
    <row r="8120" spans="1:24">
      <c r="A8120">
        <f>HYPERLINK("https://www.philgeps.gov.ph/GEPSNONPILOT/Tender/SplashBidNoticeAbstractUI.aspx?menuIndex=3&amp;refID=7058578&amp;Result=3","7058578")</f>
        <v>0</v>
      </c>
      <c r="B8120" t="s">
        <v>633</v>
      </c>
      <c r="C8120" t="s">
        <v>11236</v>
      </c>
      <c r="D8120" t="s">
        <v>18814</v>
      </c>
      <c r="E8120" t="s">
        <v>26014</v>
      </c>
      <c r="F8120" t="s">
        <v>32664</v>
      </c>
      <c r="G8120" t="s">
        <v>32672</v>
      </c>
      <c r="H8120" t="s">
        <v>12635</v>
      </c>
      <c r="I8120" t="s">
        <v>6168</v>
      </c>
      <c r="J8120" t="s">
        <v>37761</v>
      </c>
      <c r="K8120" t="s">
        <v>42297</v>
      </c>
      <c r="M8120" t="s">
        <v>45217</v>
      </c>
      <c r="N8120" t="s">
        <v>46569</v>
      </c>
      <c r="O8120" t="s">
        <v>46570</v>
      </c>
      <c r="P8120">
        <v>0</v>
      </c>
      <c r="Q8120">
        <v>0</v>
      </c>
      <c r="R8120" t="s">
        <v>46574</v>
      </c>
      <c r="S8120" t="s">
        <v>46723</v>
      </c>
      <c r="T8120" t="s">
        <v>48282</v>
      </c>
      <c r="U8120" t="s">
        <v>55450</v>
      </c>
      <c r="W8120" t="s">
        <v>45217</v>
      </c>
      <c r="X8120" t="s">
        <v>46575</v>
      </c>
    </row>
    <row r="8121" spans="1:24">
      <c r="A8121">
        <f>HYPERLINK("https://www.philgeps.gov.ph/GEPSNONPILOT/Tender/SplashBidNoticeAbstractUI.aspx?menuIndex=3&amp;refID=7058441&amp;Result=3","7058441")</f>
        <v>0</v>
      </c>
      <c r="B8121" t="s">
        <v>2431</v>
      </c>
      <c r="C8121" t="s">
        <v>11237</v>
      </c>
      <c r="D8121" t="s">
        <v>18784</v>
      </c>
      <c r="E8121" t="s">
        <v>26015</v>
      </c>
      <c r="F8121" t="s">
        <v>32664</v>
      </c>
      <c r="G8121" t="s">
        <v>32672</v>
      </c>
      <c r="H8121" t="s">
        <v>12635</v>
      </c>
      <c r="I8121" t="s">
        <v>5589</v>
      </c>
      <c r="J8121" t="s">
        <v>34487</v>
      </c>
      <c r="K8121" t="s">
        <v>42291</v>
      </c>
      <c r="M8121" t="s">
        <v>45223</v>
      </c>
      <c r="N8121" t="s">
        <v>46569</v>
      </c>
      <c r="O8121" t="s">
        <v>46570</v>
      </c>
      <c r="P8121">
        <v>0</v>
      </c>
      <c r="Q8121">
        <v>7</v>
      </c>
      <c r="R8121" t="s">
        <v>46575</v>
      </c>
      <c r="S8121" t="s">
        <v>46744</v>
      </c>
      <c r="T8121" t="s">
        <v>48434</v>
      </c>
      <c r="U8121" t="s">
        <v>55451</v>
      </c>
      <c r="W8121" t="s">
        <v>45223</v>
      </c>
      <c r="X8121" t="s">
        <v>46576</v>
      </c>
    </row>
    <row r="8122" spans="1:24">
      <c r="A8122">
        <f>HYPERLINK("https://www.philgeps.gov.ph/GEPSNONPILOT/Tender/SplashBidNoticeAbstractUI.aspx?menuIndex=3&amp;refID=7058376&amp;Result=3","7058376")</f>
        <v>0</v>
      </c>
      <c r="B8122" t="s">
        <v>2428</v>
      </c>
      <c r="C8122" t="s">
        <v>11238</v>
      </c>
      <c r="D8122" t="s">
        <v>18829</v>
      </c>
      <c r="E8122" t="s">
        <v>25980</v>
      </c>
      <c r="F8122" t="s">
        <v>32664</v>
      </c>
      <c r="G8122" t="s">
        <v>32672</v>
      </c>
      <c r="H8122" t="s">
        <v>32683</v>
      </c>
      <c r="I8122" t="s">
        <v>32733</v>
      </c>
      <c r="J8122" t="s">
        <v>37762</v>
      </c>
      <c r="K8122" t="s">
        <v>42298</v>
      </c>
      <c r="M8122" t="s">
        <v>45220</v>
      </c>
      <c r="N8122" t="s">
        <v>46569</v>
      </c>
      <c r="O8122" t="s">
        <v>46570</v>
      </c>
      <c r="P8122">
        <v>0</v>
      </c>
      <c r="Q8122">
        <v>0</v>
      </c>
      <c r="R8122" t="s">
        <v>46575</v>
      </c>
      <c r="S8122" t="s">
        <v>46744</v>
      </c>
      <c r="T8122" t="s">
        <v>48244</v>
      </c>
      <c r="U8122" t="s">
        <v>55431</v>
      </c>
      <c r="W8122" t="s">
        <v>45220</v>
      </c>
      <c r="X8122" t="s">
        <v>46576</v>
      </c>
    </row>
    <row r="8123" spans="1:24">
      <c r="A8123">
        <f>HYPERLINK("https://www.philgeps.gov.ph/GEPSNONPILOT/Tender/SplashBidNoticeAbstractUI.aspx?menuIndex=3&amp;refID=7058436&amp;Result=3","7058436")</f>
        <v>0</v>
      </c>
      <c r="B8123" t="s">
        <v>1313</v>
      </c>
      <c r="C8123" t="s">
        <v>11239</v>
      </c>
      <c r="E8123" t="s">
        <v>26016</v>
      </c>
      <c r="F8123" t="s">
        <v>32664</v>
      </c>
      <c r="G8123" t="s">
        <v>32671</v>
      </c>
      <c r="H8123" t="s">
        <v>12635</v>
      </c>
      <c r="I8123" t="s">
        <v>32704</v>
      </c>
      <c r="J8123" t="s">
        <v>33163</v>
      </c>
      <c r="K8123" t="s">
        <v>42283</v>
      </c>
      <c r="M8123" t="s">
        <v>43960</v>
      </c>
      <c r="N8123" t="s">
        <v>46569</v>
      </c>
      <c r="O8123" t="s">
        <v>46570</v>
      </c>
      <c r="P8123">
        <v>0</v>
      </c>
      <c r="Q8123">
        <v>10</v>
      </c>
      <c r="R8123" t="s">
        <v>46575</v>
      </c>
      <c r="S8123" t="s">
        <v>46744</v>
      </c>
      <c r="T8123" t="s">
        <v>48562</v>
      </c>
      <c r="U8123" t="s">
        <v>55416</v>
      </c>
      <c r="W8123" t="s">
        <v>43960</v>
      </c>
      <c r="X8123" t="s">
        <v>46576</v>
      </c>
    </row>
    <row r="8124" spans="1:24">
      <c r="A8124">
        <f>HYPERLINK("https://www.philgeps.gov.ph/GEPSNONPILOT/Tender/SplashBidNoticeAbstractUI.aspx?menuIndex=3&amp;refID=7058434&amp;Result=3","7058434")</f>
        <v>0</v>
      </c>
      <c r="B8124" t="s">
        <v>528</v>
      </c>
      <c r="C8124" t="s">
        <v>11240</v>
      </c>
      <c r="D8124" t="s">
        <v>18820</v>
      </c>
      <c r="E8124" t="s">
        <v>26017</v>
      </c>
      <c r="F8124" t="s">
        <v>32664</v>
      </c>
      <c r="G8124" t="s">
        <v>32671</v>
      </c>
      <c r="H8124" t="s">
        <v>12635</v>
      </c>
      <c r="I8124" t="s">
        <v>6223</v>
      </c>
      <c r="J8124" t="s">
        <v>37763</v>
      </c>
      <c r="K8124" t="s">
        <v>42298</v>
      </c>
      <c r="M8124" t="s">
        <v>45146</v>
      </c>
      <c r="N8124" t="s">
        <v>46569</v>
      </c>
      <c r="O8124" t="s">
        <v>46570</v>
      </c>
      <c r="P8124">
        <v>0</v>
      </c>
      <c r="Q8124">
        <v>7</v>
      </c>
      <c r="R8124" t="s">
        <v>46575</v>
      </c>
      <c r="S8124" t="s">
        <v>46744</v>
      </c>
      <c r="T8124" t="s">
        <v>48287</v>
      </c>
      <c r="U8124" t="s">
        <v>55207</v>
      </c>
      <c r="W8124" t="s">
        <v>45146</v>
      </c>
      <c r="X8124" t="s">
        <v>46576</v>
      </c>
    </row>
    <row r="8125" spans="1:24">
      <c r="A8125">
        <f>HYPERLINK("https://www.philgeps.gov.ph/GEPSNONPILOT/Tender/SplashBidNoticeAbstractUI.aspx?menuIndex=3&amp;refID=7058449&amp;Result=3","7058449")</f>
        <v>0</v>
      </c>
      <c r="B8125" t="s">
        <v>1313</v>
      </c>
      <c r="C8125" t="s">
        <v>11241</v>
      </c>
      <c r="E8125" t="s">
        <v>26018</v>
      </c>
      <c r="F8125" t="s">
        <v>32664</v>
      </c>
      <c r="G8125" t="s">
        <v>32671</v>
      </c>
      <c r="H8125" t="s">
        <v>12635</v>
      </c>
      <c r="I8125" t="s">
        <v>32704</v>
      </c>
      <c r="J8125" t="s">
        <v>37764</v>
      </c>
      <c r="K8125" t="s">
        <v>42283</v>
      </c>
      <c r="M8125" t="s">
        <v>43960</v>
      </c>
      <c r="N8125" t="s">
        <v>46569</v>
      </c>
      <c r="O8125" t="s">
        <v>46570</v>
      </c>
      <c r="P8125">
        <v>0</v>
      </c>
      <c r="Q8125">
        <v>7</v>
      </c>
      <c r="R8125" t="s">
        <v>46575</v>
      </c>
      <c r="S8125" t="s">
        <v>46744</v>
      </c>
      <c r="T8125" t="s">
        <v>48562</v>
      </c>
      <c r="U8125" t="s">
        <v>55416</v>
      </c>
      <c r="W8125" t="s">
        <v>43960</v>
      </c>
      <c r="X8125" t="s">
        <v>46576</v>
      </c>
    </row>
    <row r="8126" spans="1:24">
      <c r="A8126">
        <f>HYPERLINK("https://www.philgeps.gov.ph/GEPSNONPILOT/Tender/SplashBidNoticeAbstractUI.aspx?menuIndex=3&amp;refID=7058440&amp;Result=3","7058440")</f>
        <v>0</v>
      </c>
      <c r="B8126" t="s">
        <v>1313</v>
      </c>
      <c r="C8126" t="s">
        <v>11242</v>
      </c>
      <c r="E8126" t="s">
        <v>26019</v>
      </c>
      <c r="F8126" t="s">
        <v>32664</v>
      </c>
      <c r="G8126" t="s">
        <v>32671</v>
      </c>
      <c r="H8126" t="s">
        <v>12635</v>
      </c>
      <c r="I8126" t="s">
        <v>32704</v>
      </c>
      <c r="J8126" t="s">
        <v>33141</v>
      </c>
      <c r="K8126" t="s">
        <v>42283</v>
      </c>
      <c r="M8126" t="s">
        <v>43960</v>
      </c>
      <c r="N8126" t="s">
        <v>46569</v>
      </c>
      <c r="O8126" t="s">
        <v>46570</v>
      </c>
      <c r="P8126">
        <v>0</v>
      </c>
      <c r="Q8126">
        <v>10</v>
      </c>
      <c r="R8126" t="s">
        <v>46575</v>
      </c>
      <c r="S8126" t="s">
        <v>46744</v>
      </c>
      <c r="T8126" t="s">
        <v>48562</v>
      </c>
      <c r="U8126" t="s">
        <v>55416</v>
      </c>
      <c r="W8126" t="s">
        <v>43960</v>
      </c>
      <c r="X8126" t="s">
        <v>46576</v>
      </c>
    </row>
    <row r="8127" spans="1:24">
      <c r="A8127">
        <f>HYPERLINK("https://www.philgeps.gov.ph/GEPSNONPILOT/Tender/SplashBidNoticeAbstractUI.aspx?menuIndex=3&amp;refID=7058426&amp;Result=3","7058426")</f>
        <v>0</v>
      </c>
      <c r="B8127" t="s">
        <v>1313</v>
      </c>
      <c r="C8127" t="s">
        <v>11243</v>
      </c>
      <c r="E8127" t="s">
        <v>26020</v>
      </c>
      <c r="F8127" t="s">
        <v>32664</v>
      </c>
      <c r="G8127" t="s">
        <v>32671</v>
      </c>
      <c r="H8127" t="s">
        <v>12635</v>
      </c>
      <c r="I8127" t="s">
        <v>32727</v>
      </c>
      <c r="J8127" t="s">
        <v>32859</v>
      </c>
      <c r="K8127" t="s">
        <v>42283</v>
      </c>
      <c r="M8127" t="s">
        <v>43960</v>
      </c>
      <c r="N8127" t="s">
        <v>46569</v>
      </c>
      <c r="O8127" t="s">
        <v>46570</v>
      </c>
      <c r="P8127">
        <v>0</v>
      </c>
      <c r="Q8127">
        <v>3</v>
      </c>
      <c r="R8127" t="s">
        <v>46575</v>
      </c>
      <c r="S8127" t="s">
        <v>46744</v>
      </c>
      <c r="T8127" t="s">
        <v>48562</v>
      </c>
      <c r="U8127" t="s">
        <v>55416</v>
      </c>
      <c r="W8127" t="s">
        <v>43960</v>
      </c>
      <c r="X8127" t="s">
        <v>46576</v>
      </c>
    </row>
    <row r="8128" spans="1:24">
      <c r="A8128">
        <f>HYPERLINK("https://www.philgeps.gov.ph/GEPSNONPILOT/Tender/SplashBidNoticeAbstractUI.aspx?menuIndex=3&amp;refID=7058431&amp;Result=3","7058431")</f>
        <v>0</v>
      </c>
      <c r="B8128" t="s">
        <v>1478</v>
      </c>
      <c r="C8128" t="s">
        <v>11244</v>
      </c>
      <c r="D8128" t="s">
        <v>18853</v>
      </c>
      <c r="E8128" t="s">
        <v>26021</v>
      </c>
      <c r="F8128" t="s">
        <v>32664</v>
      </c>
      <c r="G8128" t="s">
        <v>32672</v>
      </c>
      <c r="H8128" t="s">
        <v>12635</v>
      </c>
      <c r="I8128" t="s">
        <v>32784</v>
      </c>
      <c r="J8128" t="s">
        <v>35908</v>
      </c>
      <c r="K8128" t="s">
        <v>42298</v>
      </c>
      <c r="M8128" t="s">
        <v>45122</v>
      </c>
      <c r="N8128" t="s">
        <v>46569</v>
      </c>
      <c r="O8128" t="s">
        <v>46570</v>
      </c>
      <c r="P8128">
        <v>0</v>
      </c>
      <c r="Q8128">
        <v>3</v>
      </c>
      <c r="R8128" t="s">
        <v>46575</v>
      </c>
      <c r="S8128" t="s">
        <v>46744</v>
      </c>
      <c r="T8128" t="s">
        <v>48238</v>
      </c>
      <c r="U8128" t="s">
        <v>55452</v>
      </c>
      <c r="W8128" t="s">
        <v>45122</v>
      </c>
      <c r="X8128" t="s">
        <v>46576</v>
      </c>
    </row>
    <row r="8129" spans="1:24">
      <c r="A8129">
        <f>HYPERLINK("https://www.philgeps.gov.ph/GEPSNONPILOT/Tender/SplashBidNoticeAbstractUI.aspx?menuIndex=3&amp;refID=7058453&amp;Result=3","7058453")</f>
        <v>0</v>
      </c>
      <c r="B8129" t="s">
        <v>1313</v>
      </c>
      <c r="C8129" t="s">
        <v>11245</v>
      </c>
      <c r="E8129" t="s">
        <v>26022</v>
      </c>
      <c r="F8129" t="s">
        <v>32664</v>
      </c>
      <c r="G8129" t="s">
        <v>32671</v>
      </c>
      <c r="H8129" t="s">
        <v>12635</v>
      </c>
      <c r="I8129" t="s">
        <v>32704</v>
      </c>
      <c r="J8129" t="s">
        <v>37765</v>
      </c>
      <c r="K8129" t="s">
        <v>42283</v>
      </c>
      <c r="M8129" t="s">
        <v>43960</v>
      </c>
      <c r="N8129" t="s">
        <v>46569</v>
      </c>
      <c r="O8129" t="s">
        <v>46570</v>
      </c>
      <c r="P8129">
        <v>0</v>
      </c>
      <c r="Q8129">
        <v>5</v>
      </c>
      <c r="R8129" t="s">
        <v>46575</v>
      </c>
      <c r="S8129" t="s">
        <v>46744</v>
      </c>
      <c r="T8129" t="s">
        <v>48562</v>
      </c>
      <c r="U8129" t="s">
        <v>55416</v>
      </c>
      <c r="W8129" t="s">
        <v>43960</v>
      </c>
      <c r="X8129" t="s">
        <v>46576</v>
      </c>
    </row>
    <row r="8130" spans="1:24">
      <c r="A8130">
        <f>HYPERLINK("https://www.philgeps.gov.ph/GEPSNONPILOT/Tender/SplashBidNoticeAbstractUI.aspx?menuIndex=3&amp;refID=7058420&amp;Result=3","7058420")</f>
        <v>0</v>
      </c>
      <c r="B8130" t="s">
        <v>2432</v>
      </c>
      <c r="C8130" t="s">
        <v>11246</v>
      </c>
      <c r="D8130" t="s">
        <v>18794</v>
      </c>
      <c r="E8130" t="s">
        <v>26023</v>
      </c>
      <c r="F8130" t="s">
        <v>32664</v>
      </c>
      <c r="G8130" t="s">
        <v>32672</v>
      </c>
      <c r="H8130" t="s">
        <v>32683</v>
      </c>
      <c r="I8130" t="s">
        <v>10627</v>
      </c>
      <c r="J8130" t="s">
        <v>33150</v>
      </c>
      <c r="K8130" t="s">
        <v>42290</v>
      </c>
      <c r="M8130" t="s">
        <v>45224</v>
      </c>
      <c r="N8130" t="s">
        <v>46569</v>
      </c>
      <c r="O8130" t="s">
        <v>46570</v>
      </c>
      <c r="Q8130">
        <v>2</v>
      </c>
      <c r="R8130" t="s">
        <v>46575</v>
      </c>
      <c r="S8130" t="s">
        <v>46748</v>
      </c>
      <c r="T8130" t="s">
        <v>48302</v>
      </c>
      <c r="U8130" t="s">
        <v>55453</v>
      </c>
      <c r="W8130" t="s">
        <v>45224</v>
      </c>
      <c r="X8130" t="s">
        <v>46576</v>
      </c>
    </row>
    <row r="8131" spans="1:24">
      <c r="A8131">
        <f>HYPERLINK("https://www.philgeps.gov.ph/GEPSNONPILOT/Tender/SplashBidNoticeAbstractUI.aspx?menuIndex=3&amp;refID=7058444&amp;Result=3","7058444")</f>
        <v>0</v>
      </c>
      <c r="B8131" t="s">
        <v>1313</v>
      </c>
      <c r="C8131" t="s">
        <v>11247</v>
      </c>
      <c r="E8131" t="s">
        <v>26024</v>
      </c>
      <c r="F8131" t="s">
        <v>32664</v>
      </c>
      <c r="G8131" t="s">
        <v>32671</v>
      </c>
      <c r="H8131" t="s">
        <v>12635</v>
      </c>
      <c r="I8131" t="s">
        <v>32704</v>
      </c>
      <c r="J8131" t="s">
        <v>37766</v>
      </c>
      <c r="K8131" t="s">
        <v>42283</v>
      </c>
      <c r="M8131" t="s">
        <v>43960</v>
      </c>
      <c r="N8131" t="s">
        <v>46569</v>
      </c>
      <c r="O8131" t="s">
        <v>46570</v>
      </c>
      <c r="P8131">
        <v>0</v>
      </c>
      <c r="Q8131">
        <v>7</v>
      </c>
      <c r="R8131" t="s">
        <v>46575</v>
      </c>
      <c r="S8131" t="s">
        <v>46744</v>
      </c>
      <c r="T8131" t="s">
        <v>48562</v>
      </c>
      <c r="U8131" t="s">
        <v>55416</v>
      </c>
      <c r="W8131" t="s">
        <v>43960</v>
      </c>
      <c r="X8131" t="s">
        <v>46576</v>
      </c>
    </row>
    <row r="8132" spans="1:24">
      <c r="A8132">
        <f>HYPERLINK("https://www.philgeps.gov.ph/GEPSNONPILOT/Tender/SplashBidNoticeAbstractUI.aspx?menuIndex=3&amp;refID=7058432&amp;Result=3","7058432")</f>
        <v>0</v>
      </c>
      <c r="B8132" t="s">
        <v>1313</v>
      </c>
      <c r="C8132" t="s">
        <v>11248</v>
      </c>
      <c r="E8132" t="s">
        <v>26025</v>
      </c>
      <c r="F8132" t="s">
        <v>32664</v>
      </c>
      <c r="G8132" t="s">
        <v>32671</v>
      </c>
      <c r="H8132" t="s">
        <v>12635</v>
      </c>
      <c r="I8132" t="s">
        <v>32727</v>
      </c>
      <c r="J8132" t="s">
        <v>33398</v>
      </c>
      <c r="K8132" t="s">
        <v>42283</v>
      </c>
      <c r="M8132" t="s">
        <v>43960</v>
      </c>
      <c r="N8132" t="s">
        <v>46569</v>
      </c>
      <c r="O8132" t="s">
        <v>46570</v>
      </c>
      <c r="P8132">
        <v>0</v>
      </c>
      <c r="Q8132">
        <v>2</v>
      </c>
      <c r="R8132" t="s">
        <v>46575</v>
      </c>
      <c r="S8132" t="s">
        <v>46744</v>
      </c>
      <c r="T8132" t="s">
        <v>48562</v>
      </c>
      <c r="U8132" t="s">
        <v>55416</v>
      </c>
      <c r="W8132" t="s">
        <v>43960</v>
      </c>
      <c r="X8132" t="s">
        <v>46576</v>
      </c>
    </row>
    <row r="8133" spans="1:24">
      <c r="A8133">
        <f>HYPERLINK("https://www.philgeps.gov.ph/GEPSNONPILOT/Tender/SplashBidNoticeAbstractUI.aspx?menuIndex=3&amp;refID=7058424&amp;Result=3","7058424")</f>
        <v>0</v>
      </c>
      <c r="B8133" t="s">
        <v>1313</v>
      </c>
      <c r="C8133" t="s">
        <v>11249</v>
      </c>
      <c r="E8133" t="s">
        <v>26026</v>
      </c>
      <c r="F8133" t="s">
        <v>32664</v>
      </c>
      <c r="G8133" t="s">
        <v>32671</v>
      </c>
      <c r="H8133" t="s">
        <v>12635</v>
      </c>
      <c r="I8133" t="s">
        <v>32727</v>
      </c>
      <c r="J8133" t="s">
        <v>33793</v>
      </c>
      <c r="K8133" t="s">
        <v>42283</v>
      </c>
      <c r="M8133" t="s">
        <v>43960</v>
      </c>
      <c r="N8133" t="s">
        <v>46569</v>
      </c>
      <c r="O8133" t="s">
        <v>46570</v>
      </c>
      <c r="P8133">
        <v>0</v>
      </c>
      <c r="Q8133">
        <v>1</v>
      </c>
      <c r="R8133" t="s">
        <v>46575</v>
      </c>
      <c r="S8133" t="s">
        <v>46744</v>
      </c>
      <c r="T8133" t="s">
        <v>48562</v>
      </c>
      <c r="U8133" t="s">
        <v>55416</v>
      </c>
      <c r="W8133" t="s">
        <v>43960</v>
      </c>
      <c r="X8133" t="s">
        <v>46576</v>
      </c>
    </row>
    <row r="8134" spans="1:24">
      <c r="A8134">
        <f>HYPERLINK("https://www.philgeps.gov.ph/GEPSNONPILOT/Tender/SplashBidNoticeAbstractUI.aspx?menuIndex=3&amp;refID=7058427&amp;Result=3","7058427")</f>
        <v>0</v>
      </c>
      <c r="B8134" t="s">
        <v>528</v>
      </c>
      <c r="C8134" t="s">
        <v>11250</v>
      </c>
      <c r="D8134" t="s">
        <v>18856</v>
      </c>
      <c r="E8134" t="s">
        <v>26027</v>
      </c>
      <c r="F8134" t="s">
        <v>32664</v>
      </c>
      <c r="G8134" t="s">
        <v>32671</v>
      </c>
      <c r="H8134" t="s">
        <v>12635</v>
      </c>
      <c r="I8134" t="s">
        <v>6223</v>
      </c>
      <c r="J8134" t="s">
        <v>37767</v>
      </c>
      <c r="K8134" t="s">
        <v>42281</v>
      </c>
      <c r="M8134" t="s">
        <v>45146</v>
      </c>
      <c r="N8134" t="s">
        <v>46569</v>
      </c>
      <c r="O8134" t="s">
        <v>46570</v>
      </c>
      <c r="P8134">
        <v>0</v>
      </c>
      <c r="Q8134">
        <v>7</v>
      </c>
      <c r="R8134" t="s">
        <v>46575</v>
      </c>
      <c r="S8134" t="s">
        <v>46744</v>
      </c>
      <c r="T8134" t="s">
        <v>48376</v>
      </c>
      <c r="U8134" t="s">
        <v>55207</v>
      </c>
      <c r="W8134" t="s">
        <v>45146</v>
      </c>
      <c r="X8134" t="s">
        <v>46576</v>
      </c>
    </row>
    <row r="8135" spans="1:24">
      <c r="A8135">
        <f>HYPERLINK("https://www.philgeps.gov.ph/GEPSNONPILOT/Tender/SplashBidNoticeAbstractUI.aspx?menuIndex=3&amp;refID=7058418&amp;Result=3","7058418")</f>
        <v>0</v>
      </c>
      <c r="B8135" t="s">
        <v>528</v>
      </c>
      <c r="C8135" t="s">
        <v>11251</v>
      </c>
      <c r="D8135" t="s">
        <v>18835</v>
      </c>
      <c r="E8135" t="s">
        <v>26028</v>
      </c>
      <c r="F8135" t="s">
        <v>32664</v>
      </c>
      <c r="G8135" t="s">
        <v>32671</v>
      </c>
      <c r="H8135" t="s">
        <v>12635</v>
      </c>
      <c r="I8135" t="s">
        <v>6223</v>
      </c>
      <c r="J8135" t="s">
        <v>37768</v>
      </c>
      <c r="K8135" t="s">
        <v>42281</v>
      </c>
      <c r="M8135" t="s">
        <v>45146</v>
      </c>
      <c r="N8135" t="s">
        <v>46569</v>
      </c>
      <c r="O8135" t="s">
        <v>46570</v>
      </c>
      <c r="P8135">
        <v>0</v>
      </c>
      <c r="Q8135">
        <v>4</v>
      </c>
      <c r="R8135" t="s">
        <v>46575</v>
      </c>
      <c r="S8135" t="s">
        <v>46744</v>
      </c>
      <c r="T8135" t="s">
        <v>48376</v>
      </c>
      <c r="U8135" t="s">
        <v>55207</v>
      </c>
      <c r="W8135" t="s">
        <v>45146</v>
      </c>
      <c r="X8135" t="s">
        <v>46576</v>
      </c>
    </row>
    <row r="8136" spans="1:24">
      <c r="A8136">
        <f>HYPERLINK("https://www.philgeps.gov.ph/GEPSNONPILOT/Tender/SplashBidNoticeAbstractUI.aspx?menuIndex=3&amp;refID=7058278&amp;Result=3","7058278")</f>
        <v>0</v>
      </c>
      <c r="B8136" t="s">
        <v>2421</v>
      </c>
      <c r="C8136" t="s">
        <v>11252</v>
      </c>
      <c r="D8136" t="s">
        <v>18819</v>
      </c>
      <c r="E8136" t="s">
        <v>26029</v>
      </c>
      <c r="F8136" t="s">
        <v>32664</v>
      </c>
      <c r="G8136" t="s">
        <v>32672</v>
      </c>
      <c r="H8136" t="s">
        <v>32683</v>
      </c>
      <c r="I8136" t="s">
        <v>10627</v>
      </c>
      <c r="J8136" t="s">
        <v>36848</v>
      </c>
      <c r="K8136" t="s">
        <v>42290</v>
      </c>
      <c r="M8136" t="s">
        <v>45212</v>
      </c>
      <c r="N8136" t="s">
        <v>46569</v>
      </c>
      <c r="O8136" t="s">
        <v>46570</v>
      </c>
      <c r="P8136">
        <v>0</v>
      </c>
      <c r="Q8136">
        <v>2</v>
      </c>
      <c r="R8136" t="s">
        <v>46575</v>
      </c>
      <c r="S8136" t="s">
        <v>46744</v>
      </c>
      <c r="T8136" t="s">
        <v>48212</v>
      </c>
      <c r="U8136" t="s">
        <v>55454</v>
      </c>
      <c r="W8136" t="s">
        <v>45212</v>
      </c>
      <c r="X8136" t="s">
        <v>46576</v>
      </c>
    </row>
    <row r="8137" spans="1:24">
      <c r="A8137">
        <f>HYPERLINK("https://www.philgeps.gov.ph/GEPSNONPILOT/Tender/SplashBidNoticeAbstractUI.aspx?menuIndex=3&amp;refID=7058277&amp;Result=3","7058277")</f>
        <v>0</v>
      </c>
      <c r="B8137" t="s">
        <v>2421</v>
      </c>
      <c r="C8137" t="s">
        <v>11253</v>
      </c>
      <c r="D8137" t="s">
        <v>18819</v>
      </c>
      <c r="E8137" t="s">
        <v>26030</v>
      </c>
      <c r="F8137" t="s">
        <v>32664</v>
      </c>
      <c r="G8137" t="s">
        <v>32672</v>
      </c>
      <c r="H8137" t="s">
        <v>32683</v>
      </c>
      <c r="I8137" t="s">
        <v>10627</v>
      </c>
      <c r="J8137" t="s">
        <v>37769</v>
      </c>
      <c r="K8137" t="s">
        <v>42308</v>
      </c>
      <c r="M8137" t="s">
        <v>45212</v>
      </c>
      <c r="N8137" t="s">
        <v>46569</v>
      </c>
      <c r="O8137" t="s">
        <v>46570</v>
      </c>
      <c r="P8137">
        <v>0</v>
      </c>
      <c r="Q8137">
        <v>3</v>
      </c>
      <c r="R8137" t="s">
        <v>46575</v>
      </c>
      <c r="S8137" t="s">
        <v>46744</v>
      </c>
      <c r="T8137" t="s">
        <v>48238</v>
      </c>
      <c r="U8137" t="s">
        <v>55408</v>
      </c>
      <c r="W8137" t="s">
        <v>45212</v>
      </c>
      <c r="X8137" t="s">
        <v>46576</v>
      </c>
    </row>
    <row r="8138" spans="1:24">
      <c r="A8138">
        <f>HYPERLINK("https://www.philgeps.gov.ph/GEPSNONPILOT/Tender/SplashBidNoticeAbstractUI.aspx?menuIndex=3&amp;refID=7058351&amp;Result=3","7058351")</f>
        <v>0</v>
      </c>
      <c r="B8138" t="s">
        <v>2428</v>
      </c>
      <c r="C8138" t="s">
        <v>11254</v>
      </c>
      <c r="D8138" t="s">
        <v>18829</v>
      </c>
      <c r="E8138" t="s">
        <v>25980</v>
      </c>
      <c r="F8138" t="s">
        <v>32664</v>
      </c>
      <c r="G8138" t="s">
        <v>32672</v>
      </c>
      <c r="H8138" t="s">
        <v>32683</v>
      </c>
      <c r="I8138" t="s">
        <v>32733</v>
      </c>
      <c r="J8138" t="s">
        <v>32962</v>
      </c>
      <c r="K8138" t="s">
        <v>42298</v>
      </c>
      <c r="M8138" t="s">
        <v>45220</v>
      </c>
      <c r="N8138" t="s">
        <v>46569</v>
      </c>
      <c r="O8138" t="s">
        <v>46570</v>
      </c>
      <c r="P8138">
        <v>0</v>
      </c>
      <c r="Q8138">
        <v>0</v>
      </c>
      <c r="R8138" t="s">
        <v>46575</v>
      </c>
      <c r="S8138" t="s">
        <v>46744</v>
      </c>
      <c r="T8138" t="s">
        <v>48244</v>
      </c>
      <c r="U8138" t="s">
        <v>55431</v>
      </c>
      <c r="W8138" t="s">
        <v>45220</v>
      </c>
      <c r="X8138" t="s">
        <v>46576</v>
      </c>
    </row>
    <row r="8139" spans="1:24">
      <c r="A8139">
        <f>HYPERLINK("https://www.philgeps.gov.ph/GEPSNONPILOT/Tender/SplashBidNoticeAbstractUI.aspx?menuIndex=3&amp;refID=7058478&amp;Result=3","7058478")</f>
        <v>0</v>
      </c>
      <c r="B8139" t="s">
        <v>2339</v>
      </c>
      <c r="C8139" t="s">
        <v>11255</v>
      </c>
      <c r="E8139" t="s">
        <v>26031</v>
      </c>
      <c r="F8139" t="s">
        <v>32664</v>
      </c>
      <c r="G8139" t="s">
        <v>32672</v>
      </c>
      <c r="H8139" t="s">
        <v>12635</v>
      </c>
      <c r="I8139" t="s">
        <v>32701</v>
      </c>
      <c r="J8139" t="s">
        <v>37770</v>
      </c>
      <c r="K8139" t="s">
        <v>42283</v>
      </c>
      <c r="M8139" t="s">
        <v>45119</v>
      </c>
      <c r="N8139" t="s">
        <v>46569</v>
      </c>
      <c r="O8139" t="s">
        <v>46570</v>
      </c>
      <c r="P8139">
        <v>0</v>
      </c>
      <c r="Q8139">
        <v>2</v>
      </c>
      <c r="R8139" t="s">
        <v>46575</v>
      </c>
      <c r="S8139" t="s">
        <v>46744</v>
      </c>
      <c r="T8139" t="s">
        <v>48222</v>
      </c>
      <c r="U8139" t="s">
        <v>55455</v>
      </c>
      <c r="V8139" t="s">
        <v>62417</v>
      </c>
      <c r="W8139" t="s">
        <v>45119</v>
      </c>
      <c r="X8139" t="s">
        <v>46576</v>
      </c>
    </row>
    <row r="8140" spans="1:24">
      <c r="A8140">
        <f>HYPERLINK("https://www.philgeps.gov.ph/GEPSNONPILOT/Tender/SplashBidNoticeAbstractUI.aspx?menuIndex=3&amp;refID=7058490&amp;Result=3","7058490")</f>
        <v>0</v>
      </c>
      <c r="B8140" t="s">
        <v>1313</v>
      </c>
      <c r="C8140" t="s">
        <v>11256</v>
      </c>
      <c r="E8140" t="s">
        <v>26032</v>
      </c>
      <c r="F8140" t="s">
        <v>32664</v>
      </c>
      <c r="G8140" t="s">
        <v>32671</v>
      </c>
      <c r="H8140" t="s">
        <v>12635</v>
      </c>
      <c r="I8140" t="s">
        <v>13883</v>
      </c>
      <c r="J8140" t="s">
        <v>33311</v>
      </c>
      <c r="K8140" t="s">
        <v>42283</v>
      </c>
      <c r="M8140" t="s">
        <v>43960</v>
      </c>
      <c r="N8140" t="s">
        <v>46569</v>
      </c>
      <c r="O8140" t="s">
        <v>46570</v>
      </c>
      <c r="P8140">
        <v>0</v>
      </c>
      <c r="Q8140">
        <v>2</v>
      </c>
      <c r="R8140" t="s">
        <v>46575</v>
      </c>
      <c r="S8140" t="s">
        <v>46744</v>
      </c>
      <c r="T8140" t="s">
        <v>48562</v>
      </c>
      <c r="U8140" t="s">
        <v>55416</v>
      </c>
      <c r="W8140" t="s">
        <v>43960</v>
      </c>
      <c r="X8140" t="s">
        <v>46576</v>
      </c>
    </row>
    <row r="8141" spans="1:24">
      <c r="A8141">
        <f>HYPERLINK("https://www.philgeps.gov.ph/GEPSNONPILOT/Tender/SplashBidNoticeAbstractUI.aspx?menuIndex=3&amp;refID=7058429&amp;Result=3","7058429")</f>
        <v>0</v>
      </c>
      <c r="B8141" t="s">
        <v>1313</v>
      </c>
      <c r="C8141" t="s">
        <v>11257</v>
      </c>
      <c r="E8141" t="s">
        <v>26033</v>
      </c>
      <c r="F8141" t="s">
        <v>32664</v>
      </c>
      <c r="G8141" t="s">
        <v>32675</v>
      </c>
      <c r="H8141" t="s">
        <v>12635</v>
      </c>
      <c r="I8141" t="s">
        <v>6168</v>
      </c>
      <c r="J8141" t="s">
        <v>35542</v>
      </c>
      <c r="K8141" t="s">
        <v>42283</v>
      </c>
      <c r="M8141" t="s">
        <v>43960</v>
      </c>
      <c r="N8141" t="s">
        <v>46569</v>
      </c>
      <c r="O8141" t="s">
        <v>46570</v>
      </c>
      <c r="P8141">
        <v>0</v>
      </c>
      <c r="Q8141">
        <v>2</v>
      </c>
      <c r="R8141" t="s">
        <v>46575</v>
      </c>
      <c r="S8141" t="s">
        <v>46744</v>
      </c>
      <c r="T8141" t="s">
        <v>48562</v>
      </c>
      <c r="U8141" t="s">
        <v>55416</v>
      </c>
      <c r="W8141" t="s">
        <v>43960</v>
      </c>
      <c r="X8141" t="s">
        <v>46576</v>
      </c>
    </row>
    <row r="8142" spans="1:24">
      <c r="A8142">
        <f>HYPERLINK("https://www.philgeps.gov.ph/GEPSNONPILOT/Tender/SplashBidNoticeAbstractUI.aspx?menuIndex=3&amp;refID=7058345&amp;Result=3","7058345")</f>
        <v>0</v>
      </c>
      <c r="B8142" t="s">
        <v>1313</v>
      </c>
      <c r="C8142" t="s">
        <v>11258</v>
      </c>
      <c r="E8142" t="s">
        <v>26034</v>
      </c>
      <c r="F8142" t="s">
        <v>32664</v>
      </c>
      <c r="G8142" t="s">
        <v>32671</v>
      </c>
      <c r="H8142" t="s">
        <v>12635</v>
      </c>
      <c r="I8142" t="s">
        <v>4333</v>
      </c>
      <c r="J8142" t="s">
        <v>33167</v>
      </c>
      <c r="K8142" t="s">
        <v>42311</v>
      </c>
      <c r="M8142" t="s">
        <v>43960</v>
      </c>
      <c r="N8142" t="s">
        <v>46569</v>
      </c>
      <c r="O8142" t="s">
        <v>46570</v>
      </c>
      <c r="P8142">
        <v>0</v>
      </c>
      <c r="Q8142">
        <v>2</v>
      </c>
      <c r="R8142" t="s">
        <v>46575</v>
      </c>
      <c r="S8142" t="s">
        <v>46744</v>
      </c>
      <c r="T8142" t="s">
        <v>48562</v>
      </c>
      <c r="U8142" t="s">
        <v>55416</v>
      </c>
      <c r="W8142" t="s">
        <v>43960</v>
      </c>
      <c r="X8142" t="s">
        <v>46576</v>
      </c>
    </row>
    <row r="8143" spans="1:24">
      <c r="A8143">
        <f>HYPERLINK("https://www.philgeps.gov.ph/GEPSNONPILOT/Tender/SplashBidNoticeAbstractUI.aspx?menuIndex=3&amp;refID=7058486&amp;Result=3","7058486")</f>
        <v>0</v>
      </c>
      <c r="B8143" t="s">
        <v>2433</v>
      </c>
      <c r="C8143" t="s">
        <v>11259</v>
      </c>
      <c r="D8143" t="s">
        <v>18842</v>
      </c>
      <c r="E8143" t="s">
        <v>19962</v>
      </c>
      <c r="F8143" t="s">
        <v>32664</v>
      </c>
      <c r="G8143" t="s">
        <v>32672</v>
      </c>
      <c r="H8143" t="s">
        <v>12635</v>
      </c>
      <c r="I8143" t="s">
        <v>7324</v>
      </c>
      <c r="J8143" t="s">
        <v>33128</v>
      </c>
      <c r="K8143" t="s">
        <v>42297</v>
      </c>
      <c r="M8143" t="s">
        <v>45225</v>
      </c>
      <c r="N8143" t="s">
        <v>46569</v>
      </c>
      <c r="O8143" t="s">
        <v>46570</v>
      </c>
      <c r="P8143">
        <v>0</v>
      </c>
      <c r="Q8143">
        <v>0</v>
      </c>
      <c r="R8143" t="s">
        <v>46575</v>
      </c>
      <c r="S8143" t="s">
        <v>46744</v>
      </c>
      <c r="T8143" t="s">
        <v>48221</v>
      </c>
      <c r="U8143" t="s">
        <v>55456</v>
      </c>
      <c r="W8143" t="s">
        <v>45225</v>
      </c>
      <c r="X8143" t="s">
        <v>46576</v>
      </c>
    </row>
    <row r="8144" spans="1:24">
      <c r="A8144">
        <f>HYPERLINK("https://www.philgeps.gov.ph/GEPSNONPILOT/Tender/SplashBidNoticeAbstractUI.aspx?menuIndex=3&amp;refID=7058423&amp;Result=3","7058423")</f>
        <v>0</v>
      </c>
      <c r="B8144" t="s">
        <v>528</v>
      </c>
      <c r="C8144" t="s">
        <v>11260</v>
      </c>
      <c r="D8144" t="s">
        <v>18856</v>
      </c>
      <c r="E8144" t="s">
        <v>26035</v>
      </c>
      <c r="F8144" t="s">
        <v>32664</v>
      </c>
      <c r="G8144" t="s">
        <v>32675</v>
      </c>
      <c r="H8144" t="s">
        <v>12635</v>
      </c>
      <c r="I8144" t="s">
        <v>6223</v>
      </c>
      <c r="J8144" t="s">
        <v>37771</v>
      </c>
      <c r="K8144" t="s">
        <v>42281</v>
      </c>
      <c r="M8144" t="s">
        <v>45146</v>
      </c>
      <c r="N8144" t="s">
        <v>46569</v>
      </c>
      <c r="O8144" t="s">
        <v>46570</v>
      </c>
      <c r="P8144">
        <v>0</v>
      </c>
      <c r="Q8144">
        <v>6</v>
      </c>
      <c r="R8144" t="s">
        <v>46575</v>
      </c>
      <c r="S8144" t="s">
        <v>46744</v>
      </c>
      <c r="T8144" t="s">
        <v>48376</v>
      </c>
      <c r="U8144" t="s">
        <v>55207</v>
      </c>
      <c r="W8144" t="s">
        <v>45146</v>
      </c>
      <c r="X8144" t="s">
        <v>46576</v>
      </c>
    </row>
    <row r="8145" spans="1:24">
      <c r="A8145">
        <f>HYPERLINK("https://www.philgeps.gov.ph/GEPSNONPILOT/Tender/SplashBidNoticeAbstractUI.aspx?menuIndex=3&amp;refID=7058349&amp;Result=3","7058349")</f>
        <v>0</v>
      </c>
      <c r="B8145" t="s">
        <v>2434</v>
      </c>
      <c r="C8145" t="s">
        <v>11261</v>
      </c>
      <c r="D8145" t="s">
        <v>18781</v>
      </c>
      <c r="E8145" t="s">
        <v>18926</v>
      </c>
      <c r="F8145" t="s">
        <v>32664</v>
      </c>
      <c r="G8145" t="s">
        <v>32672</v>
      </c>
      <c r="H8145" t="s">
        <v>32683</v>
      </c>
      <c r="I8145" t="s">
        <v>14442</v>
      </c>
      <c r="J8145" t="s">
        <v>37772</v>
      </c>
      <c r="K8145" t="s">
        <v>42284</v>
      </c>
      <c r="M8145" t="s">
        <v>45226</v>
      </c>
      <c r="N8145" t="s">
        <v>46569</v>
      </c>
      <c r="O8145" t="s">
        <v>46570</v>
      </c>
      <c r="P8145">
        <v>0</v>
      </c>
      <c r="Q8145">
        <v>1</v>
      </c>
      <c r="R8145" t="s">
        <v>46575</v>
      </c>
      <c r="S8145" t="s">
        <v>46744</v>
      </c>
      <c r="T8145" t="s">
        <v>48219</v>
      </c>
      <c r="U8145" t="s">
        <v>55457</v>
      </c>
      <c r="W8145" t="s">
        <v>45226</v>
      </c>
      <c r="X8145" t="s">
        <v>46576</v>
      </c>
    </row>
    <row r="8146" spans="1:24">
      <c r="A8146">
        <f>HYPERLINK("https://www.philgeps.gov.ph/GEPSNONPILOT/Tender/SplashBidNoticeAbstractUI.aspx?menuIndex=3&amp;refID=7058488&amp;Result=3","7058488")</f>
        <v>0</v>
      </c>
      <c r="B8146" t="s">
        <v>2435</v>
      </c>
      <c r="C8146" t="s">
        <v>11262</v>
      </c>
      <c r="E8146" t="s">
        <v>26036</v>
      </c>
      <c r="F8146" t="s">
        <v>32664</v>
      </c>
      <c r="G8146" t="s">
        <v>32672</v>
      </c>
      <c r="H8146" t="s">
        <v>12635</v>
      </c>
      <c r="I8146" t="s">
        <v>7759</v>
      </c>
      <c r="J8146" t="s">
        <v>37773</v>
      </c>
      <c r="K8146" t="s">
        <v>42283</v>
      </c>
      <c r="M8146" t="s">
        <v>45227</v>
      </c>
      <c r="N8146" t="s">
        <v>46569</v>
      </c>
      <c r="O8146" t="s">
        <v>46570</v>
      </c>
      <c r="P8146">
        <v>0</v>
      </c>
      <c r="Q8146">
        <v>0</v>
      </c>
      <c r="R8146" t="s">
        <v>46575</v>
      </c>
      <c r="S8146" t="s">
        <v>46744</v>
      </c>
      <c r="T8146" t="s">
        <v>48314</v>
      </c>
      <c r="U8146" t="s">
        <v>55458</v>
      </c>
      <c r="V8146" t="s">
        <v>62418</v>
      </c>
      <c r="W8146" t="s">
        <v>45227</v>
      </c>
      <c r="X8146" t="s">
        <v>46576</v>
      </c>
    </row>
    <row r="8147" spans="1:24">
      <c r="A8147">
        <f>HYPERLINK("https://www.philgeps.gov.ph/GEPSNONPILOT/Tender/SplashBidNoticeAbstractUI.aspx?menuIndex=3&amp;refID=7058474&amp;Result=3","7058474")</f>
        <v>0</v>
      </c>
      <c r="B8147" t="s">
        <v>1313</v>
      </c>
      <c r="C8147" t="s">
        <v>11263</v>
      </c>
      <c r="D8147" t="s">
        <v>18824</v>
      </c>
      <c r="E8147" t="s">
        <v>26037</v>
      </c>
      <c r="F8147" t="s">
        <v>32664</v>
      </c>
      <c r="G8147" t="s">
        <v>32671</v>
      </c>
      <c r="H8147" t="s">
        <v>12635</v>
      </c>
      <c r="I8147" t="s">
        <v>32704</v>
      </c>
      <c r="J8147" t="s">
        <v>33696</v>
      </c>
      <c r="K8147" t="s">
        <v>42283</v>
      </c>
      <c r="M8147" t="s">
        <v>43960</v>
      </c>
      <c r="N8147" t="s">
        <v>46569</v>
      </c>
      <c r="O8147" t="s">
        <v>46570</v>
      </c>
      <c r="P8147">
        <v>0</v>
      </c>
      <c r="Q8147">
        <v>1</v>
      </c>
      <c r="R8147" t="s">
        <v>46575</v>
      </c>
      <c r="S8147" t="s">
        <v>46744</v>
      </c>
      <c r="T8147" t="s">
        <v>48562</v>
      </c>
      <c r="U8147" t="s">
        <v>55416</v>
      </c>
      <c r="W8147" t="s">
        <v>43960</v>
      </c>
      <c r="X8147" t="s">
        <v>46576</v>
      </c>
    </row>
    <row r="8148" spans="1:24">
      <c r="A8148">
        <f>HYPERLINK("https://www.philgeps.gov.ph/GEPSNONPILOT/Tender/SplashBidNoticeAbstractUI.aspx?menuIndex=3&amp;refID=7058473&amp;Result=3","7058473")</f>
        <v>0</v>
      </c>
      <c r="B8148" t="s">
        <v>2436</v>
      </c>
      <c r="C8148" t="s">
        <v>11264</v>
      </c>
      <c r="E8148" t="s">
        <v>19010</v>
      </c>
      <c r="F8148" t="s">
        <v>32664</v>
      </c>
      <c r="G8148" t="s">
        <v>32672</v>
      </c>
      <c r="H8148" t="s">
        <v>12635</v>
      </c>
      <c r="I8148" t="s">
        <v>11464</v>
      </c>
      <c r="J8148" t="s">
        <v>32974</v>
      </c>
      <c r="K8148" t="s">
        <v>42283</v>
      </c>
      <c r="M8148" t="s">
        <v>45228</v>
      </c>
      <c r="N8148" t="s">
        <v>46569</v>
      </c>
      <c r="O8148" t="s">
        <v>46570</v>
      </c>
      <c r="P8148">
        <v>0</v>
      </c>
      <c r="Q8148">
        <v>1</v>
      </c>
      <c r="R8148" t="s">
        <v>46575</v>
      </c>
      <c r="S8148" t="s">
        <v>46744</v>
      </c>
      <c r="T8148" t="s">
        <v>48304</v>
      </c>
      <c r="U8148" t="s">
        <v>55459</v>
      </c>
      <c r="W8148" t="s">
        <v>45228</v>
      </c>
      <c r="X8148" t="s">
        <v>46576</v>
      </c>
    </row>
    <row r="8149" spans="1:24">
      <c r="A8149">
        <f>HYPERLINK("https://www.philgeps.gov.ph/GEPSNONPILOT/Tender/SplashBidNoticeAbstractUI.aspx?menuIndex=3&amp;refID=7058482&amp;Result=3","7058482")</f>
        <v>0</v>
      </c>
      <c r="B8149" t="s">
        <v>1313</v>
      </c>
      <c r="C8149" t="s">
        <v>11265</v>
      </c>
      <c r="E8149" t="s">
        <v>26038</v>
      </c>
      <c r="F8149" t="s">
        <v>32664</v>
      </c>
      <c r="G8149" t="s">
        <v>32671</v>
      </c>
      <c r="H8149" t="s">
        <v>12635</v>
      </c>
      <c r="I8149" t="s">
        <v>32727</v>
      </c>
      <c r="J8149" t="s">
        <v>37774</v>
      </c>
      <c r="K8149" t="s">
        <v>42283</v>
      </c>
      <c r="M8149" t="s">
        <v>43960</v>
      </c>
      <c r="N8149" t="s">
        <v>46569</v>
      </c>
      <c r="O8149" t="s">
        <v>46570</v>
      </c>
      <c r="P8149">
        <v>0</v>
      </c>
      <c r="Q8149">
        <v>2</v>
      </c>
      <c r="R8149" t="s">
        <v>46575</v>
      </c>
      <c r="S8149" t="s">
        <v>46744</v>
      </c>
      <c r="T8149" t="s">
        <v>48562</v>
      </c>
      <c r="U8149" t="s">
        <v>55416</v>
      </c>
      <c r="W8149" t="s">
        <v>43960</v>
      </c>
      <c r="X8149" t="s">
        <v>46576</v>
      </c>
    </row>
    <row r="8150" spans="1:24">
      <c r="A8150">
        <f>HYPERLINK("https://www.philgeps.gov.ph/GEPSNONPILOT/Tender/SplashBidNoticeAbstractUI.aspx?menuIndex=3&amp;refID=7058479&amp;Result=3","7058479")</f>
        <v>0</v>
      </c>
      <c r="B8150" t="s">
        <v>1313</v>
      </c>
      <c r="C8150" t="s">
        <v>11266</v>
      </c>
      <c r="E8150" t="s">
        <v>26039</v>
      </c>
      <c r="F8150" t="s">
        <v>32664</v>
      </c>
      <c r="G8150" t="s">
        <v>32675</v>
      </c>
      <c r="H8150" t="s">
        <v>12635</v>
      </c>
      <c r="I8150" t="s">
        <v>6168</v>
      </c>
      <c r="J8150" t="s">
        <v>37775</v>
      </c>
      <c r="K8150" t="s">
        <v>42283</v>
      </c>
      <c r="M8150" t="s">
        <v>43960</v>
      </c>
      <c r="N8150" t="s">
        <v>46569</v>
      </c>
      <c r="O8150" t="s">
        <v>46570</v>
      </c>
      <c r="P8150">
        <v>0</v>
      </c>
      <c r="Q8150">
        <v>3</v>
      </c>
      <c r="R8150" t="s">
        <v>46575</v>
      </c>
      <c r="S8150" t="s">
        <v>46744</v>
      </c>
      <c r="T8150" t="s">
        <v>48562</v>
      </c>
      <c r="U8150" t="s">
        <v>55416</v>
      </c>
      <c r="W8150" t="s">
        <v>43960</v>
      </c>
      <c r="X8150" t="s">
        <v>46576</v>
      </c>
    </row>
    <row r="8151" spans="1:24">
      <c r="A8151">
        <f>HYPERLINK("https://www.philgeps.gov.ph/GEPSNONPILOT/Tender/SplashBidNoticeAbstractUI.aspx?menuIndex=3&amp;refID=7058477&amp;Result=3","7058477")</f>
        <v>0</v>
      </c>
      <c r="B8151" t="s">
        <v>1531</v>
      </c>
      <c r="C8151" t="s">
        <v>11267</v>
      </c>
      <c r="D8151" t="s">
        <v>18781</v>
      </c>
      <c r="E8151" t="s">
        <v>26040</v>
      </c>
      <c r="F8151" t="s">
        <v>32664</v>
      </c>
      <c r="G8151" t="s">
        <v>32674</v>
      </c>
      <c r="H8151" t="s">
        <v>32682</v>
      </c>
      <c r="I8151" t="s">
        <v>32716</v>
      </c>
      <c r="J8151" t="s">
        <v>33126</v>
      </c>
      <c r="K8151" t="s">
        <v>42284</v>
      </c>
      <c r="M8151" t="s">
        <v>44198</v>
      </c>
      <c r="N8151" t="s">
        <v>46569</v>
      </c>
      <c r="O8151" t="s">
        <v>46570</v>
      </c>
      <c r="P8151">
        <v>0</v>
      </c>
      <c r="Q8151">
        <v>0</v>
      </c>
      <c r="R8151" t="s">
        <v>46575</v>
      </c>
      <c r="S8151" t="s">
        <v>46744</v>
      </c>
      <c r="T8151" t="s">
        <v>48290</v>
      </c>
      <c r="U8151" t="s">
        <v>55460</v>
      </c>
      <c r="W8151" t="s">
        <v>44198</v>
      </c>
      <c r="X8151" t="s">
        <v>46576</v>
      </c>
    </row>
    <row r="8152" spans="1:24">
      <c r="A8152">
        <f>HYPERLINK("https://www.philgeps.gov.ph/GEPSNONPILOT/Tender/SplashBidNoticeAbstractUI.aspx?menuIndex=3&amp;refID=7058467&amp;Result=3","7058467")</f>
        <v>0</v>
      </c>
      <c r="B8152" t="s">
        <v>1313</v>
      </c>
      <c r="C8152" t="s">
        <v>11268</v>
      </c>
      <c r="E8152" t="s">
        <v>26041</v>
      </c>
      <c r="F8152" t="s">
        <v>32664</v>
      </c>
      <c r="G8152" t="s">
        <v>32671</v>
      </c>
      <c r="H8152" t="s">
        <v>12635</v>
      </c>
      <c r="I8152" t="s">
        <v>32704</v>
      </c>
      <c r="J8152" t="s">
        <v>37776</v>
      </c>
      <c r="K8152" t="s">
        <v>42283</v>
      </c>
      <c r="M8152" t="s">
        <v>43960</v>
      </c>
      <c r="N8152" t="s">
        <v>46569</v>
      </c>
      <c r="O8152" t="s">
        <v>46570</v>
      </c>
      <c r="P8152">
        <v>0</v>
      </c>
      <c r="Q8152">
        <v>5</v>
      </c>
      <c r="R8152" t="s">
        <v>46575</v>
      </c>
      <c r="S8152" t="s">
        <v>46744</v>
      </c>
      <c r="T8152" t="s">
        <v>48562</v>
      </c>
      <c r="U8152" t="s">
        <v>55416</v>
      </c>
      <c r="W8152" t="s">
        <v>43960</v>
      </c>
      <c r="X8152" t="s">
        <v>46576</v>
      </c>
    </row>
    <row r="8153" spans="1:24">
      <c r="A8153">
        <f>HYPERLINK("https://www.philgeps.gov.ph/GEPSNONPILOT/Tender/SplashBidNoticeAbstractUI.aspx?menuIndex=3&amp;refID=7058464&amp;Result=3","7058464")</f>
        <v>0</v>
      </c>
      <c r="B8153" t="s">
        <v>2436</v>
      </c>
      <c r="C8153" t="s">
        <v>11269</v>
      </c>
      <c r="E8153" t="s">
        <v>19380</v>
      </c>
      <c r="F8153" t="s">
        <v>32664</v>
      </c>
      <c r="G8153" t="s">
        <v>32672</v>
      </c>
      <c r="H8153" t="s">
        <v>12635</v>
      </c>
      <c r="I8153" t="s">
        <v>4439</v>
      </c>
      <c r="J8153" t="s">
        <v>37777</v>
      </c>
      <c r="K8153" t="s">
        <v>42283</v>
      </c>
      <c r="M8153" t="s">
        <v>45228</v>
      </c>
      <c r="N8153" t="s">
        <v>46569</v>
      </c>
      <c r="O8153" t="s">
        <v>46570</v>
      </c>
      <c r="P8153">
        <v>0</v>
      </c>
      <c r="Q8153">
        <v>0</v>
      </c>
      <c r="R8153" t="s">
        <v>46575</v>
      </c>
      <c r="S8153" t="s">
        <v>46744</v>
      </c>
      <c r="T8153" t="s">
        <v>48304</v>
      </c>
      <c r="U8153" t="s">
        <v>55461</v>
      </c>
      <c r="W8153" t="s">
        <v>45228</v>
      </c>
      <c r="X8153" t="s">
        <v>46576</v>
      </c>
    </row>
    <row r="8154" spans="1:24">
      <c r="A8154">
        <f>HYPERLINK("https://www.philgeps.gov.ph/GEPSNONPILOT/Tender/SplashBidNoticeAbstractUI.aspx?menuIndex=3&amp;refID=7058462&amp;Result=3","7058462")</f>
        <v>0</v>
      </c>
      <c r="B8154" t="s">
        <v>2339</v>
      </c>
      <c r="C8154" t="s">
        <v>11270</v>
      </c>
      <c r="E8154" t="s">
        <v>26042</v>
      </c>
      <c r="F8154" t="s">
        <v>32664</v>
      </c>
      <c r="G8154" t="s">
        <v>32672</v>
      </c>
      <c r="H8154" t="s">
        <v>12635</v>
      </c>
      <c r="I8154" t="s">
        <v>9486</v>
      </c>
      <c r="J8154" t="s">
        <v>37778</v>
      </c>
      <c r="K8154" t="s">
        <v>42283</v>
      </c>
      <c r="M8154" t="s">
        <v>45119</v>
      </c>
      <c r="N8154" t="s">
        <v>46569</v>
      </c>
      <c r="O8154" t="s">
        <v>46570</v>
      </c>
      <c r="P8154">
        <v>0</v>
      </c>
      <c r="Q8154">
        <v>16</v>
      </c>
      <c r="R8154" t="s">
        <v>46575</v>
      </c>
      <c r="S8154" t="s">
        <v>46744</v>
      </c>
      <c r="T8154" t="s">
        <v>48222</v>
      </c>
      <c r="U8154" t="s">
        <v>55462</v>
      </c>
      <c r="V8154" t="s">
        <v>62419</v>
      </c>
      <c r="W8154" t="s">
        <v>45119</v>
      </c>
      <c r="X8154" t="s">
        <v>46576</v>
      </c>
    </row>
    <row r="8155" spans="1:24">
      <c r="A8155">
        <f>HYPERLINK("https://www.philgeps.gov.ph/GEPSNONPILOT/Tender/SplashBidNoticeAbstractUI.aspx?menuIndex=3&amp;refID=7058487&amp;Result=3","7058487")</f>
        <v>0</v>
      </c>
      <c r="B8155" t="s">
        <v>1313</v>
      </c>
      <c r="C8155" t="s">
        <v>11271</v>
      </c>
      <c r="E8155" t="s">
        <v>26043</v>
      </c>
      <c r="F8155" t="s">
        <v>32664</v>
      </c>
      <c r="G8155" t="s">
        <v>32671</v>
      </c>
      <c r="H8155" t="s">
        <v>12635</v>
      </c>
      <c r="I8155" t="s">
        <v>32704</v>
      </c>
      <c r="J8155" t="s">
        <v>33085</v>
      </c>
      <c r="K8155" t="s">
        <v>42283</v>
      </c>
      <c r="M8155" t="s">
        <v>43960</v>
      </c>
      <c r="N8155" t="s">
        <v>46569</v>
      </c>
      <c r="O8155" t="s">
        <v>46570</v>
      </c>
      <c r="P8155">
        <v>0</v>
      </c>
      <c r="Q8155">
        <v>3</v>
      </c>
      <c r="R8155" t="s">
        <v>46575</v>
      </c>
      <c r="S8155" t="s">
        <v>46744</v>
      </c>
      <c r="T8155" t="s">
        <v>48562</v>
      </c>
      <c r="U8155" t="s">
        <v>55416</v>
      </c>
      <c r="W8155" t="s">
        <v>43960</v>
      </c>
      <c r="X8155" t="s">
        <v>46576</v>
      </c>
    </row>
    <row r="8156" spans="1:24">
      <c r="A8156">
        <f>HYPERLINK("https://www.philgeps.gov.ph/GEPSNONPILOT/Tender/SplashBidNoticeAbstractUI.aspx?menuIndex=3&amp;refID=7058472&amp;Result=3","7058472")</f>
        <v>0</v>
      </c>
      <c r="B8156" t="s">
        <v>2339</v>
      </c>
      <c r="C8156" t="s">
        <v>11272</v>
      </c>
      <c r="E8156" t="s">
        <v>26044</v>
      </c>
      <c r="F8156" t="s">
        <v>32664</v>
      </c>
      <c r="G8156" t="s">
        <v>32672</v>
      </c>
      <c r="H8156" t="s">
        <v>12635</v>
      </c>
      <c r="I8156" t="s">
        <v>6223</v>
      </c>
      <c r="J8156" t="s">
        <v>37779</v>
      </c>
      <c r="K8156" t="s">
        <v>42283</v>
      </c>
      <c r="M8156" t="s">
        <v>45119</v>
      </c>
      <c r="N8156" t="s">
        <v>46569</v>
      </c>
      <c r="O8156" t="s">
        <v>46570</v>
      </c>
      <c r="P8156">
        <v>0</v>
      </c>
      <c r="Q8156">
        <v>3</v>
      </c>
      <c r="R8156" t="s">
        <v>46575</v>
      </c>
      <c r="S8156" t="s">
        <v>46744</v>
      </c>
      <c r="T8156" t="s">
        <v>48222</v>
      </c>
      <c r="U8156" t="s">
        <v>55463</v>
      </c>
      <c r="V8156" t="s">
        <v>62420</v>
      </c>
      <c r="W8156" t="s">
        <v>45119</v>
      </c>
      <c r="X8156" t="s">
        <v>46576</v>
      </c>
    </row>
    <row r="8157" spans="1:24">
      <c r="A8157">
        <f>HYPERLINK("https://www.philgeps.gov.ph/GEPSNONPILOT/Tender/SplashBidNoticeAbstractUI.aspx?menuIndex=3&amp;refID=7058461&amp;Result=3","7058461")</f>
        <v>0</v>
      </c>
      <c r="B8157" t="s">
        <v>1313</v>
      </c>
      <c r="C8157" t="s">
        <v>11273</v>
      </c>
      <c r="E8157" t="s">
        <v>26045</v>
      </c>
      <c r="F8157" t="s">
        <v>32664</v>
      </c>
      <c r="G8157" t="s">
        <v>32671</v>
      </c>
      <c r="H8157" t="s">
        <v>12635</v>
      </c>
      <c r="I8157" t="s">
        <v>32704</v>
      </c>
      <c r="J8157" t="s">
        <v>33398</v>
      </c>
      <c r="K8157" t="s">
        <v>42283</v>
      </c>
      <c r="M8157" t="s">
        <v>43960</v>
      </c>
      <c r="N8157" t="s">
        <v>46569</v>
      </c>
      <c r="O8157" t="s">
        <v>46570</v>
      </c>
      <c r="P8157">
        <v>0</v>
      </c>
      <c r="Q8157">
        <v>2</v>
      </c>
      <c r="R8157" t="s">
        <v>46575</v>
      </c>
      <c r="S8157" t="s">
        <v>46744</v>
      </c>
      <c r="T8157" t="s">
        <v>48562</v>
      </c>
      <c r="U8157" t="s">
        <v>55416</v>
      </c>
      <c r="W8157" t="s">
        <v>43960</v>
      </c>
      <c r="X8157" t="s">
        <v>46576</v>
      </c>
    </row>
    <row r="8158" spans="1:24">
      <c r="A8158">
        <f>HYPERLINK("https://www.philgeps.gov.ph/GEPSNONPILOT/Tender/SplashBidNoticeAbstractUI.aspx?menuIndex=3&amp;refID=7058460&amp;Result=3","7058460")</f>
        <v>0</v>
      </c>
      <c r="B8158" t="s">
        <v>1313</v>
      </c>
      <c r="C8158" t="s">
        <v>11274</v>
      </c>
      <c r="E8158" t="s">
        <v>26046</v>
      </c>
      <c r="F8158" t="s">
        <v>32664</v>
      </c>
      <c r="G8158" t="s">
        <v>32671</v>
      </c>
      <c r="H8158" t="s">
        <v>12635</v>
      </c>
      <c r="I8158" t="s">
        <v>32704</v>
      </c>
      <c r="J8158" t="s">
        <v>37780</v>
      </c>
      <c r="K8158" t="s">
        <v>42283</v>
      </c>
      <c r="M8158" t="s">
        <v>43960</v>
      </c>
      <c r="N8158" t="s">
        <v>46569</v>
      </c>
      <c r="O8158" t="s">
        <v>46570</v>
      </c>
      <c r="P8158">
        <v>0</v>
      </c>
      <c r="Q8158">
        <v>6</v>
      </c>
      <c r="R8158" t="s">
        <v>46575</v>
      </c>
      <c r="S8158" t="s">
        <v>46744</v>
      </c>
      <c r="T8158" t="s">
        <v>48562</v>
      </c>
      <c r="U8158" t="s">
        <v>55416</v>
      </c>
      <c r="W8158" t="s">
        <v>43960</v>
      </c>
      <c r="X8158" t="s">
        <v>46576</v>
      </c>
    </row>
    <row r="8159" spans="1:24">
      <c r="A8159">
        <f>HYPERLINK("https://www.philgeps.gov.ph/GEPSNONPILOT/Tender/SplashBidNoticeAbstractUI.aspx?menuIndex=3&amp;refID=7058275&amp;Result=3","7058275")</f>
        <v>0</v>
      </c>
      <c r="B8159" t="s">
        <v>2421</v>
      </c>
      <c r="C8159" t="s">
        <v>11275</v>
      </c>
      <c r="D8159" t="s">
        <v>18819</v>
      </c>
      <c r="E8159" t="s">
        <v>26047</v>
      </c>
      <c r="F8159" t="s">
        <v>32664</v>
      </c>
      <c r="G8159" t="s">
        <v>32672</v>
      </c>
      <c r="H8159" t="s">
        <v>32683</v>
      </c>
      <c r="I8159" t="s">
        <v>10627</v>
      </c>
      <c r="J8159" t="s">
        <v>37781</v>
      </c>
      <c r="K8159" t="s">
        <v>42301</v>
      </c>
      <c r="M8159" t="s">
        <v>45212</v>
      </c>
      <c r="N8159" t="s">
        <v>46569</v>
      </c>
      <c r="O8159" t="s">
        <v>46570</v>
      </c>
      <c r="P8159">
        <v>0</v>
      </c>
      <c r="Q8159">
        <v>6</v>
      </c>
      <c r="R8159" t="s">
        <v>46575</v>
      </c>
      <c r="S8159" t="s">
        <v>46744</v>
      </c>
      <c r="T8159" t="s">
        <v>48212</v>
      </c>
      <c r="U8159" t="s">
        <v>55404</v>
      </c>
      <c r="W8159" t="s">
        <v>45212</v>
      </c>
      <c r="X8159" t="s">
        <v>46576</v>
      </c>
    </row>
    <row r="8160" spans="1:24">
      <c r="A8160">
        <f>HYPERLINK("https://www.philgeps.gov.ph/GEPSNONPILOT/Tender/SplashBidNoticeAbstractUI.aspx?menuIndex=3&amp;refID=7058470&amp;Result=3","7058470")</f>
        <v>0</v>
      </c>
      <c r="B8160" t="s">
        <v>1313</v>
      </c>
      <c r="C8160" t="s">
        <v>11276</v>
      </c>
      <c r="E8160" t="s">
        <v>26048</v>
      </c>
      <c r="F8160" t="s">
        <v>32664</v>
      </c>
      <c r="G8160" t="s">
        <v>32671</v>
      </c>
      <c r="H8160" t="s">
        <v>12635</v>
      </c>
      <c r="I8160" t="s">
        <v>32704</v>
      </c>
      <c r="J8160" t="s">
        <v>37706</v>
      </c>
      <c r="K8160" t="s">
        <v>42283</v>
      </c>
      <c r="M8160" t="s">
        <v>43960</v>
      </c>
      <c r="N8160" t="s">
        <v>46569</v>
      </c>
      <c r="O8160" t="s">
        <v>46570</v>
      </c>
      <c r="P8160">
        <v>0</v>
      </c>
      <c r="Q8160">
        <v>2</v>
      </c>
      <c r="R8160" t="s">
        <v>46575</v>
      </c>
      <c r="S8160" t="s">
        <v>46744</v>
      </c>
      <c r="T8160" t="s">
        <v>48562</v>
      </c>
      <c r="U8160" t="s">
        <v>55416</v>
      </c>
      <c r="W8160" t="s">
        <v>43960</v>
      </c>
      <c r="X8160" t="s">
        <v>46576</v>
      </c>
    </row>
    <row r="8161" spans="1:24">
      <c r="A8161">
        <f>HYPERLINK("https://www.philgeps.gov.ph/GEPSNONPILOT/Tender/SplashBidNoticeAbstractUI.aspx?menuIndex=3&amp;refID=7058270&amp;Result=3","7058270")</f>
        <v>0</v>
      </c>
      <c r="B8161" t="s">
        <v>2421</v>
      </c>
      <c r="C8161" t="s">
        <v>11277</v>
      </c>
      <c r="D8161" t="s">
        <v>18819</v>
      </c>
      <c r="E8161" t="s">
        <v>26049</v>
      </c>
      <c r="F8161" t="s">
        <v>32664</v>
      </c>
      <c r="G8161" t="s">
        <v>32672</v>
      </c>
      <c r="H8161" t="s">
        <v>32683</v>
      </c>
      <c r="I8161" t="s">
        <v>10627</v>
      </c>
      <c r="J8161" t="s">
        <v>37782</v>
      </c>
      <c r="K8161" t="s">
        <v>42290</v>
      </c>
      <c r="M8161" t="s">
        <v>45212</v>
      </c>
      <c r="N8161" t="s">
        <v>46569</v>
      </c>
      <c r="O8161" t="s">
        <v>46570</v>
      </c>
      <c r="P8161">
        <v>0</v>
      </c>
      <c r="Q8161">
        <v>4</v>
      </c>
      <c r="R8161" t="s">
        <v>46575</v>
      </c>
      <c r="S8161" t="s">
        <v>46744</v>
      </c>
      <c r="T8161" t="s">
        <v>48238</v>
      </c>
      <c r="U8161" t="s">
        <v>55454</v>
      </c>
      <c r="W8161" t="s">
        <v>45212</v>
      </c>
      <c r="X8161" t="s">
        <v>46576</v>
      </c>
    </row>
    <row r="8162" spans="1:24">
      <c r="A8162">
        <f>HYPERLINK("https://www.philgeps.gov.ph/GEPSNONPILOT/Tender/SplashBidNoticeAbstractUI.aspx?menuIndex=3&amp;refID=7058465&amp;Result=3","7058465")</f>
        <v>0</v>
      </c>
      <c r="B8162" t="s">
        <v>2339</v>
      </c>
      <c r="C8162" t="s">
        <v>11278</v>
      </c>
      <c r="E8162" t="s">
        <v>26050</v>
      </c>
      <c r="F8162" t="s">
        <v>32664</v>
      </c>
      <c r="G8162" t="s">
        <v>32672</v>
      </c>
      <c r="H8162" t="s">
        <v>32683</v>
      </c>
      <c r="I8162" t="s">
        <v>10627</v>
      </c>
      <c r="J8162" t="s">
        <v>37783</v>
      </c>
      <c r="K8162" t="s">
        <v>42283</v>
      </c>
      <c r="M8162" t="s">
        <v>45119</v>
      </c>
      <c r="N8162" t="s">
        <v>46569</v>
      </c>
      <c r="O8162" t="s">
        <v>46570</v>
      </c>
      <c r="P8162">
        <v>0</v>
      </c>
      <c r="Q8162">
        <v>3</v>
      </c>
      <c r="R8162" t="s">
        <v>46575</v>
      </c>
      <c r="S8162" t="s">
        <v>46744</v>
      </c>
      <c r="T8162" t="s">
        <v>48222</v>
      </c>
      <c r="U8162" t="s">
        <v>55464</v>
      </c>
      <c r="V8162" t="s">
        <v>62421</v>
      </c>
      <c r="W8162" t="s">
        <v>45119</v>
      </c>
      <c r="X8162" t="s">
        <v>46576</v>
      </c>
    </row>
    <row r="8163" spans="1:24">
      <c r="A8163">
        <f>HYPERLINK("https://www.philgeps.gov.ph/GEPSNONPILOT/Tender/SplashBidNoticeAbstractUI.aspx?menuIndex=3&amp;refID=7058269&amp;Result=3","7058269")</f>
        <v>0</v>
      </c>
      <c r="B8163" t="s">
        <v>910</v>
      </c>
      <c r="C8163" t="s">
        <v>11279</v>
      </c>
      <c r="E8163" t="s">
        <v>26051</v>
      </c>
      <c r="F8163" t="s">
        <v>32664</v>
      </c>
      <c r="G8163" t="s">
        <v>32672</v>
      </c>
      <c r="H8163" t="s">
        <v>32683</v>
      </c>
      <c r="I8163" t="s">
        <v>10627</v>
      </c>
      <c r="J8163" t="s">
        <v>37784</v>
      </c>
      <c r="K8163" t="s">
        <v>42283</v>
      </c>
      <c r="M8163" t="s">
        <v>43516</v>
      </c>
      <c r="N8163" t="s">
        <v>46569</v>
      </c>
      <c r="O8163" t="s">
        <v>46570</v>
      </c>
      <c r="P8163">
        <v>0</v>
      </c>
      <c r="Q8163">
        <v>0</v>
      </c>
      <c r="R8163" t="s">
        <v>46575</v>
      </c>
      <c r="S8163" t="s">
        <v>46744</v>
      </c>
      <c r="T8163" t="s">
        <v>48412</v>
      </c>
      <c r="U8163" t="s">
        <v>55465</v>
      </c>
      <c r="W8163" t="s">
        <v>43516</v>
      </c>
      <c r="X8163" t="s">
        <v>46576</v>
      </c>
    </row>
    <row r="8164" spans="1:24">
      <c r="A8164">
        <f>HYPERLINK("https://www.philgeps.gov.ph/GEPSNONPILOT/Tender/SplashBidNoticeAbstractUI.aspx?menuIndex=3&amp;refID=7058463&amp;Result=3","7058463")</f>
        <v>0</v>
      </c>
      <c r="B8164" t="s">
        <v>1313</v>
      </c>
      <c r="C8164" t="s">
        <v>11280</v>
      </c>
      <c r="E8164" t="s">
        <v>26052</v>
      </c>
      <c r="F8164" t="s">
        <v>32664</v>
      </c>
      <c r="G8164" t="s">
        <v>32671</v>
      </c>
      <c r="H8164" t="s">
        <v>12635</v>
      </c>
      <c r="I8164" t="s">
        <v>32727</v>
      </c>
      <c r="J8164" t="s">
        <v>33051</v>
      </c>
      <c r="K8164" t="s">
        <v>42283</v>
      </c>
      <c r="M8164" t="s">
        <v>43960</v>
      </c>
      <c r="N8164" t="s">
        <v>46569</v>
      </c>
      <c r="O8164" t="s">
        <v>46570</v>
      </c>
      <c r="P8164">
        <v>0</v>
      </c>
      <c r="Q8164">
        <v>3</v>
      </c>
      <c r="R8164" t="s">
        <v>46575</v>
      </c>
      <c r="S8164" t="s">
        <v>46744</v>
      </c>
      <c r="T8164" t="s">
        <v>48448</v>
      </c>
      <c r="U8164" t="s">
        <v>55416</v>
      </c>
      <c r="W8164" t="s">
        <v>43960</v>
      </c>
      <c r="X8164" t="s">
        <v>46576</v>
      </c>
    </row>
    <row r="8165" spans="1:24">
      <c r="A8165">
        <f>HYPERLINK("https://www.philgeps.gov.ph/GEPSNONPILOT/Tender/SplashBidNoticeAbstractUI.aspx?menuIndex=3&amp;refID=7058552&amp;Result=3","7058552")</f>
        <v>0</v>
      </c>
      <c r="B8165" t="s">
        <v>2437</v>
      </c>
      <c r="C8165" t="s">
        <v>11281</v>
      </c>
      <c r="D8165" t="s">
        <v>18849</v>
      </c>
      <c r="E8165" t="s">
        <v>21636</v>
      </c>
      <c r="F8165" t="s">
        <v>32664</v>
      </c>
      <c r="G8165" t="s">
        <v>32672</v>
      </c>
      <c r="H8165" t="s">
        <v>32683</v>
      </c>
      <c r="I8165" t="s">
        <v>10627</v>
      </c>
      <c r="J8165" t="s">
        <v>32943</v>
      </c>
      <c r="K8165" t="s">
        <v>42311</v>
      </c>
      <c r="M8165" t="s">
        <v>45229</v>
      </c>
      <c r="N8165" t="s">
        <v>46569</v>
      </c>
      <c r="O8165" t="s">
        <v>46570</v>
      </c>
      <c r="P8165">
        <v>0</v>
      </c>
      <c r="Q8165">
        <v>0</v>
      </c>
      <c r="R8165" t="s">
        <v>46574</v>
      </c>
      <c r="S8165" t="s">
        <v>46723</v>
      </c>
      <c r="T8165" t="s">
        <v>48308</v>
      </c>
      <c r="U8165" t="s">
        <v>55466</v>
      </c>
      <c r="W8165" t="s">
        <v>45229</v>
      </c>
      <c r="X8165" t="s">
        <v>46575</v>
      </c>
    </row>
    <row r="8166" spans="1:24">
      <c r="A8166">
        <f>HYPERLINK("https://www.philgeps.gov.ph/GEPSNONPILOT/Tender/SplashBidNoticeAbstractUI.aspx?menuIndex=3&amp;refID=7058551&amp;Result=3","7058551")</f>
        <v>0</v>
      </c>
      <c r="B8166" t="s">
        <v>2437</v>
      </c>
      <c r="C8166" t="s">
        <v>11282</v>
      </c>
      <c r="D8166" t="s">
        <v>18849</v>
      </c>
      <c r="E8166" t="s">
        <v>21652</v>
      </c>
      <c r="F8166" t="s">
        <v>32664</v>
      </c>
      <c r="G8166" t="s">
        <v>32672</v>
      </c>
      <c r="H8166" t="s">
        <v>32683</v>
      </c>
      <c r="I8166" t="s">
        <v>10627</v>
      </c>
      <c r="J8166" t="s">
        <v>32865</v>
      </c>
      <c r="K8166" t="s">
        <v>42281</v>
      </c>
      <c r="M8166" t="s">
        <v>45229</v>
      </c>
      <c r="N8166" t="s">
        <v>46569</v>
      </c>
      <c r="O8166" t="s">
        <v>46570</v>
      </c>
      <c r="P8166">
        <v>0</v>
      </c>
      <c r="Q8166">
        <v>0</v>
      </c>
      <c r="R8166" t="s">
        <v>46574</v>
      </c>
      <c r="S8166" t="s">
        <v>46723</v>
      </c>
      <c r="T8166" t="s">
        <v>48308</v>
      </c>
      <c r="U8166" t="s">
        <v>55466</v>
      </c>
      <c r="W8166" t="s">
        <v>45229</v>
      </c>
      <c r="X8166" t="s">
        <v>46575</v>
      </c>
    </row>
    <row r="8167" spans="1:24">
      <c r="A8167">
        <f>HYPERLINK("https://www.philgeps.gov.ph/GEPSNONPILOT/Tender/SplashBidNoticeAbstractUI.aspx?menuIndex=3&amp;refID=7057410&amp;Result=3","7057410")</f>
        <v>0</v>
      </c>
      <c r="B8167" t="s">
        <v>1540</v>
      </c>
      <c r="C8167" t="s">
        <v>10654</v>
      </c>
      <c r="D8167" t="s">
        <v>18838</v>
      </c>
      <c r="E8167" t="s">
        <v>26053</v>
      </c>
      <c r="F8167" t="s">
        <v>32664</v>
      </c>
      <c r="G8167" t="s">
        <v>32671</v>
      </c>
      <c r="H8167" t="s">
        <v>12635</v>
      </c>
      <c r="I8167" t="s">
        <v>6223</v>
      </c>
      <c r="J8167" t="s">
        <v>33051</v>
      </c>
      <c r="K8167" t="s">
        <v>42283</v>
      </c>
      <c r="M8167" t="s">
        <v>44209</v>
      </c>
      <c r="N8167" t="s">
        <v>46569</v>
      </c>
      <c r="O8167" t="s">
        <v>46570</v>
      </c>
      <c r="P8167">
        <v>0</v>
      </c>
      <c r="Q8167">
        <v>0</v>
      </c>
      <c r="R8167" t="s">
        <v>46574</v>
      </c>
      <c r="S8167" t="s">
        <v>46723</v>
      </c>
      <c r="T8167" t="s">
        <v>48256</v>
      </c>
      <c r="U8167" t="s">
        <v>55467</v>
      </c>
      <c r="W8167" t="s">
        <v>44209</v>
      </c>
      <c r="X8167" t="s">
        <v>46577</v>
      </c>
    </row>
    <row r="8168" spans="1:24">
      <c r="A8168">
        <f>HYPERLINK("https://www.philgeps.gov.ph/GEPSNONPILOT/Tender/SplashBidNoticeAbstractUI.aspx?menuIndex=3&amp;refID=7058272&amp;Result=3","7058272")</f>
        <v>0</v>
      </c>
      <c r="B8168" t="s">
        <v>2421</v>
      </c>
      <c r="C8168" t="s">
        <v>11283</v>
      </c>
      <c r="D8168" t="s">
        <v>18819</v>
      </c>
      <c r="E8168" t="s">
        <v>26054</v>
      </c>
      <c r="F8168" t="s">
        <v>32664</v>
      </c>
      <c r="G8168" t="s">
        <v>32672</v>
      </c>
      <c r="H8168" t="s">
        <v>32683</v>
      </c>
      <c r="I8168" t="s">
        <v>10627</v>
      </c>
      <c r="J8168" t="s">
        <v>34213</v>
      </c>
      <c r="K8168" t="s">
        <v>42311</v>
      </c>
      <c r="M8168" t="s">
        <v>45212</v>
      </c>
      <c r="N8168" t="s">
        <v>46569</v>
      </c>
      <c r="O8168" t="s">
        <v>46570</v>
      </c>
      <c r="P8168">
        <v>0</v>
      </c>
      <c r="Q8168">
        <v>2</v>
      </c>
      <c r="R8168" t="s">
        <v>46575</v>
      </c>
      <c r="S8168" t="s">
        <v>46744</v>
      </c>
      <c r="T8168" t="s">
        <v>48212</v>
      </c>
      <c r="U8168" t="s">
        <v>55404</v>
      </c>
      <c r="W8168" t="s">
        <v>45212</v>
      </c>
      <c r="X8168" t="s">
        <v>46576</v>
      </c>
    </row>
    <row r="8169" spans="1:24">
      <c r="A8169">
        <f>HYPERLINK("https://www.philgeps.gov.ph/GEPSNONPILOT/Tender/SplashBidNoticeAbstractUI.aspx?menuIndex=3&amp;refID=7058475&amp;Result=3","7058475")</f>
        <v>0</v>
      </c>
      <c r="B8169" t="s">
        <v>2436</v>
      </c>
      <c r="C8169" t="s">
        <v>11284</v>
      </c>
      <c r="E8169" t="s">
        <v>19673</v>
      </c>
      <c r="F8169" t="s">
        <v>32664</v>
      </c>
      <c r="G8169" t="s">
        <v>32672</v>
      </c>
      <c r="H8169" t="s">
        <v>12635</v>
      </c>
      <c r="I8169" t="s">
        <v>11464</v>
      </c>
      <c r="J8169" t="s">
        <v>33001</v>
      </c>
      <c r="K8169" t="s">
        <v>42283</v>
      </c>
      <c r="M8169" t="s">
        <v>45228</v>
      </c>
      <c r="N8169" t="s">
        <v>46569</v>
      </c>
      <c r="O8169" t="s">
        <v>46570</v>
      </c>
      <c r="P8169">
        <v>0</v>
      </c>
      <c r="Q8169">
        <v>3</v>
      </c>
      <c r="R8169" t="s">
        <v>46575</v>
      </c>
      <c r="S8169" t="s">
        <v>46744</v>
      </c>
      <c r="T8169" t="s">
        <v>48236</v>
      </c>
      <c r="U8169" t="s">
        <v>55468</v>
      </c>
      <c r="W8169" t="s">
        <v>45228</v>
      </c>
      <c r="X8169" t="s">
        <v>46576</v>
      </c>
    </row>
    <row r="8170" spans="1:24">
      <c r="A8170">
        <f>HYPERLINK("https://www.philgeps.gov.ph/GEPSNONPILOT/Tender/SplashBidNoticeAbstractUI.aspx?menuIndex=3&amp;refID=7057336&amp;Result=3","7057336")</f>
        <v>0</v>
      </c>
      <c r="B8170" t="s">
        <v>2438</v>
      </c>
      <c r="C8170" t="s">
        <v>11285</v>
      </c>
      <c r="D8170" t="s">
        <v>18814</v>
      </c>
      <c r="E8170" t="s">
        <v>26055</v>
      </c>
      <c r="F8170" t="s">
        <v>32664</v>
      </c>
      <c r="G8170" t="s">
        <v>32677</v>
      </c>
      <c r="H8170" t="s">
        <v>12635</v>
      </c>
      <c r="I8170" t="s">
        <v>32706</v>
      </c>
      <c r="J8170" t="s">
        <v>37785</v>
      </c>
      <c r="K8170" t="s">
        <v>42347</v>
      </c>
      <c r="M8170" t="s">
        <v>45230</v>
      </c>
      <c r="N8170" t="s">
        <v>46569</v>
      </c>
      <c r="O8170" t="s">
        <v>46570</v>
      </c>
      <c r="P8170">
        <v>0</v>
      </c>
      <c r="Q8170">
        <v>0</v>
      </c>
      <c r="R8170" t="s">
        <v>46574</v>
      </c>
      <c r="S8170" t="s">
        <v>46723</v>
      </c>
      <c r="T8170" t="s">
        <v>48316</v>
      </c>
      <c r="U8170" t="s">
        <v>55469</v>
      </c>
      <c r="W8170" t="s">
        <v>45230</v>
      </c>
      <c r="X8170" t="s">
        <v>46577</v>
      </c>
    </row>
    <row r="8171" spans="1:24">
      <c r="A8171">
        <f>HYPERLINK("https://www.philgeps.gov.ph/GEPSNONPILOT/Tender/SplashBidNoticeAbstractUI.aspx?menuIndex=3&amp;refID=7057315&amp;Result=3","7057315")</f>
        <v>0</v>
      </c>
      <c r="B8171" t="s">
        <v>1540</v>
      </c>
      <c r="C8171" t="s">
        <v>11286</v>
      </c>
      <c r="D8171" t="s">
        <v>18838</v>
      </c>
      <c r="E8171" t="s">
        <v>26056</v>
      </c>
      <c r="F8171" t="s">
        <v>32664</v>
      </c>
      <c r="G8171" t="s">
        <v>32671</v>
      </c>
      <c r="H8171" t="s">
        <v>12635</v>
      </c>
      <c r="I8171" t="s">
        <v>6553</v>
      </c>
      <c r="J8171" t="s">
        <v>32853</v>
      </c>
      <c r="K8171" t="s">
        <v>42283</v>
      </c>
      <c r="M8171" t="s">
        <v>44209</v>
      </c>
      <c r="N8171" t="s">
        <v>46569</v>
      </c>
      <c r="O8171" t="s">
        <v>46570</v>
      </c>
      <c r="P8171">
        <v>0</v>
      </c>
      <c r="Q8171">
        <v>0</v>
      </c>
      <c r="R8171" t="s">
        <v>46574</v>
      </c>
      <c r="S8171" t="s">
        <v>46723</v>
      </c>
      <c r="T8171" t="s">
        <v>48256</v>
      </c>
      <c r="U8171" t="s">
        <v>55470</v>
      </c>
      <c r="W8171" t="s">
        <v>44209</v>
      </c>
      <c r="X8171" t="s">
        <v>46577</v>
      </c>
    </row>
    <row r="8172" spans="1:24">
      <c r="A8172">
        <f>HYPERLINK("https://www.philgeps.gov.ph/GEPSNONPILOT/Tender/SplashBidNoticeAbstractUI.aspx?menuIndex=3&amp;refID=7057321&amp;Result=3","7057321")</f>
        <v>0</v>
      </c>
      <c r="B8172" t="s">
        <v>269</v>
      </c>
      <c r="C8172" t="s">
        <v>11287</v>
      </c>
      <c r="D8172" t="s">
        <v>18831</v>
      </c>
      <c r="E8172" t="s">
        <v>26057</v>
      </c>
      <c r="F8172" t="s">
        <v>32664</v>
      </c>
      <c r="G8172" t="s">
        <v>32677</v>
      </c>
      <c r="H8172" t="s">
        <v>12635</v>
      </c>
      <c r="I8172" t="s">
        <v>6168</v>
      </c>
      <c r="J8172" t="s">
        <v>37786</v>
      </c>
      <c r="K8172" t="s">
        <v>42289</v>
      </c>
      <c r="M8172" t="s">
        <v>42834</v>
      </c>
      <c r="N8172" t="s">
        <v>46569</v>
      </c>
      <c r="O8172" t="s">
        <v>46570</v>
      </c>
      <c r="P8172">
        <v>0</v>
      </c>
      <c r="Q8172">
        <v>1</v>
      </c>
      <c r="R8172" t="s">
        <v>46574</v>
      </c>
      <c r="S8172" t="s">
        <v>46723</v>
      </c>
      <c r="T8172" t="s">
        <v>48283</v>
      </c>
      <c r="U8172" t="s">
        <v>55471</v>
      </c>
      <c r="W8172" t="s">
        <v>42834</v>
      </c>
      <c r="X8172" t="s">
        <v>46577</v>
      </c>
    </row>
    <row r="8173" spans="1:24">
      <c r="A8173">
        <f>HYPERLINK("https://www.philgeps.gov.ph/GEPSNONPILOT/Tender/SplashBidNoticeAbstractUI.aspx?menuIndex=3&amp;refID=7058557&amp;Result=3","7058557")</f>
        <v>0</v>
      </c>
      <c r="B8173" t="s">
        <v>2353</v>
      </c>
      <c r="C8173" t="s">
        <v>11288</v>
      </c>
      <c r="D8173" t="s">
        <v>18827</v>
      </c>
      <c r="E8173" t="s">
        <v>26058</v>
      </c>
      <c r="F8173" t="s">
        <v>32664</v>
      </c>
      <c r="G8173" t="s">
        <v>32671</v>
      </c>
      <c r="H8173" t="s">
        <v>12635</v>
      </c>
      <c r="I8173" t="s">
        <v>32778</v>
      </c>
      <c r="J8173" t="s">
        <v>35403</v>
      </c>
      <c r="K8173" t="s">
        <v>42283</v>
      </c>
      <c r="M8173" t="s">
        <v>45137</v>
      </c>
      <c r="N8173" t="s">
        <v>46569</v>
      </c>
      <c r="O8173" t="s">
        <v>46570</v>
      </c>
      <c r="P8173">
        <v>0</v>
      </c>
      <c r="Q8173">
        <v>2</v>
      </c>
      <c r="R8173" t="s">
        <v>46574</v>
      </c>
      <c r="S8173" t="s">
        <v>46723</v>
      </c>
      <c r="T8173" t="s">
        <v>48316</v>
      </c>
      <c r="U8173" t="s">
        <v>49462</v>
      </c>
      <c r="W8173" t="s">
        <v>45137</v>
      </c>
      <c r="X8173" t="s">
        <v>46575</v>
      </c>
    </row>
    <row r="8174" spans="1:24">
      <c r="A8174">
        <f>HYPERLINK("https://www.philgeps.gov.ph/GEPSNONPILOT/Tender/SplashBidNoticeAbstractUI.aspx?menuIndex=3&amp;refID=7057313&amp;Result=3","7057313")</f>
        <v>0</v>
      </c>
      <c r="B8174" t="s">
        <v>2300</v>
      </c>
      <c r="C8174" t="s">
        <v>11289</v>
      </c>
      <c r="D8174" t="s">
        <v>18824</v>
      </c>
      <c r="E8174" t="s">
        <v>21027</v>
      </c>
      <c r="F8174" t="s">
        <v>32664</v>
      </c>
      <c r="G8174" t="s">
        <v>32672</v>
      </c>
      <c r="H8174" t="s">
        <v>32683</v>
      </c>
      <c r="I8174" t="s">
        <v>10627</v>
      </c>
      <c r="J8174" t="s">
        <v>37787</v>
      </c>
      <c r="K8174" t="s">
        <v>42463</v>
      </c>
      <c r="M8174" t="s">
        <v>45071</v>
      </c>
      <c r="N8174" t="s">
        <v>46569</v>
      </c>
      <c r="O8174" t="s">
        <v>46570</v>
      </c>
      <c r="P8174">
        <v>0</v>
      </c>
      <c r="Q8174">
        <v>3</v>
      </c>
      <c r="R8174" t="s">
        <v>46574</v>
      </c>
      <c r="S8174" t="s">
        <v>46723</v>
      </c>
      <c r="T8174" t="s">
        <v>48369</v>
      </c>
      <c r="U8174" t="s">
        <v>54969</v>
      </c>
      <c r="W8174" t="s">
        <v>45071</v>
      </c>
      <c r="X8174" t="s">
        <v>46577</v>
      </c>
    </row>
    <row r="8175" spans="1:24">
      <c r="A8175">
        <f>HYPERLINK("https://www.philgeps.gov.ph/GEPSNONPILOT/Tender/SplashBidNoticeAbstractUI.aspx?menuIndex=3&amp;refID=7056939&amp;Result=3","7056939")</f>
        <v>0</v>
      </c>
      <c r="B8175" t="s">
        <v>1024</v>
      </c>
      <c r="C8175" t="s">
        <v>11290</v>
      </c>
      <c r="D8175" t="s">
        <v>18801</v>
      </c>
      <c r="E8175" t="s">
        <v>26059</v>
      </c>
      <c r="F8175" t="s">
        <v>32664</v>
      </c>
      <c r="G8175" t="s">
        <v>32675</v>
      </c>
      <c r="H8175" t="s">
        <v>12635</v>
      </c>
      <c r="I8175" t="s">
        <v>8797</v>
      </c>
      <c r="J8175" t="s">
        <v>37788</v>
      </c>
      <c r="K8175" t="s">
        <v>42297</v>
      </c>
      <c r="M8175" t="s">
        <v>43636</v>
      </c>
      <c r="N8175" t="s">
        <v>46569</v>
      </c>
      <c r="O8175" t="s">
        <v>46570</v>
      </c>
      <c r="P8175">
        <v>0</v>
      </c>
      <c r="Q8175">
        <v>2</v>
      </c>
      <c r="R8175" t="s">
        <v>46574</v>
      </c>
      <c r="S8175" t="s">
        <v>46723</v>
      </c>
      <c r="T8175" t="s">
        <v>48473</v>
      </c>
      <c r="U8175" t="s">
        <v>55472</v>
      </c>
      <c r="W8175" t="s">
        <v>43636</v>
      </c>
      <c r="X8175" t="s">
        <v>46577</v>
      </c>
    </row>
    <row r="8176" spans="1:24">
      <c r="A8176">
        <f>HYPERLINK("https://www.philgeps.gov.ph/GEPSNONPILOT/Tender/SplashBidNoticeAbstractUI.aspx?menuIndex=3&amp;refID=7056915&amp;Result=3","7056915")</f>
        <v>0</v>
      </c>
      <c r="B8176" t="s">
        <v>69</v>
      </c>
      <c r="C8176" t="s">
        <v>11291</v>
      </c>
      <c r="D8176" t="s">
        <v>18784</v>
      </c>
      <c r="E8176" t="s">
        <v>26060</v>
      </c>
      <c r="F8176" t="s">
        <v>32664</v>
      </c>
      <c r="G8176" t="s">
        <v>32671</v>
      </c>
      <c r="H8176" t="s">
        <v>12635</v>
      </c>
      <c r="I8176" t="s">
        <v>5589</v>
      </c>
      <c r="J8176" t="s">
        <v>33147</v>
      </c>
      <c r="K8176" t="s">
        <v>42281</v>
      </c>
      <c r="M8176" t="s">
        <v>43455</v>
      </c>
      <c r="N8176" t="s">
        <v>46569</v>
      </c>
      <c r="O8176" t="s">
        <v>46570</v>
      </c>
      <c r="P8176">
        <v>0</v>
      </c>
      <c r="Q8176">
        <v>13</v>
      </c>
      <c r="R8176" t="s">
        <v>46574</v>
      </c>
      <c r="S8176" t="s">
        <v>46723</v>
      </c>
      <c r="T8176" t="s">
        <v>48420</v>
      </c>
      <c r="U8176" t="s">
        <v>54915</v>
      </c>
      <c r="W8176" t="s">
        <v>43455</v>
      </c>
      <c r="X8176" t="s">
        <v>46577</v>
      </c>
    </row>
    <row r="8177" spans="1:24">
      <c r="A8177">
        <f>HYPERLINK("https://www.philgeps.gov.ph/GEPSNONPILOT/Tender/SplashBidNoticeAbstractUI.aspx?menuIndex=3&amp;refID=7056901&amp;Result=3","7056901")</f>
        <v>0</v>
      </c>
      <c r="B8177" t="s">
        <v>2281</v>
      </c>
      <c r="C8177" t="s">
        <v>11292</v>
      </c>
      <c r="D8177" t="s">
        <v>18845</v>
      </c>
      <c r="E8177" t="s">
        <v>26061</v>
      </c>
      <c r="F8177" t="s">
        <v>32664</v>
      </c>
      <c r="G8177" t="s">
        <v>32672</v>
      </c>
      <c r="H8177" t="s">
        <v>12635</v>
      </c>
      <c r="I8177" t="s">
        <v>4439</v>
      </c>
      <c r="J8177" t="s">
        <v>37789</v>
      </c>
      <c r="K8177" t="s">
        <v>42281</v>
      </c>
      <c r="M8177" t="s">
        <v>45048</v>
      </c>
      <c r="N8177" t="s">
        <v>46569</v>
      </c>
      <c r="O8177" t="s">
        <v>46570</v>
      </c>
      <c r="P8177">
        <v>0</v>
      </c>
      <c r="Q8177">
        <v>0</v>
      </c>
      <c r="R8177" t="s">
        <v>46574</v>
      </c>
      <c r="S8177" t="s">
        <v>46723</v>
      </c>
      <c r="T8177" t="s">
        <v>48302</v>
      </c>
      <c r="U8177" t="s">
        <v>55473</v>
      </c>
      <c r="W8177" t="s">
        <v>45048</v>
      </c>
      <c r="X8177" t="s">
        <v>46577</v>
      </c>
    </row>
    <row r="8178" spans="1:24">
      <c r="A8178">
        <f>HYPERLINK("https://www.philgeps.gov.ph/GEPSNONPILOT/Tender/SplashBidNoticeAbstractUI.aspx?menuIndex=3&amp;refID=7057061&amp;Result=3","7057061")</f>
        <v>0</v>
      </c>
      <c r="B8178" t="s">
        <v>2297</v>
      </c>
      <c r="C8178" t="s">
        <v>11293</v>
      </c>
      <c r="D8178" t="s">
        <v>18816</v>
      </c>
      <c r="E8178" t="s">
        <v>26062</v>
      </c>
      <c r="F8178" t="s">
        <v>32664</v>
      </c>
      <c r="G8178" t="s">
        <v>32672</v>
      </c>
      <c r="H8178" t="s">
        <v>32683</v>
      </c>
      <c r="I8178" t="s">
        <v>10627</v>
      </c>
      <c r="J8178" t="s">
        <v>37790</v>
      </c>
      <c r="K8178" t="s">
        <v>42312</v>
      </c>
      <c r="M8178" t="s">
        <v>45068</v>
      </c>
      <c r="N8178" t="s">
        <v>46569</v>
      </c>
      <c r="O8178" t="s">
        <v>46570</v>
      </c>
      <c r="P8178">
        <v>0</v>
      </c>
      <c r="Q8178">
        <v>0</v>
      </c>
      <c r="R8178" t="s">
        <v>46574</v>
      </c>
      <c r="S8178" t="s">
        <v>46723</v>
      </c>
      <c r="T8178" t="s">
        <v>48349</v>
      </c>
      <c r="U8178" t="s">
        <v>54960</v>
      </c>
      <c r="V8178" t="s">
        <v>62367</v>
      </c>
      <c r="W8178" t="s">
        <v>45068</v>
      </c>
      <c r="X8178" t="s">
        <v>46577</v>
      </c>
    </row>
    <row r="8179" spans="1:24">
      <c r="A8179">
        <f>HYPERLINK("https://www.philgeps.gov.ph/GEPSNONPILOT/Tender/SplashBidNoticeAbstractUI.aspx?menuIndex=3&amp;refID=7056888&amp;Result=3","7056888")</f>
        <v>0</v>
      </c>
      <c r="B8179" t="s">
        <v>2297</v>
      </c>
      <c r="C8179" t="s">
        <v>11294</v>
      </c>
      <c r="D8179" t="s">
        <v>18816</v>
      </c>
      <c r="E8179" t="s">
        <v>26063</v>
      </c>
      <c r="F8179" t="s">
        <v>32664</v>
      </c>
      <c r="G8179" t="s">
        <v>32672</v>
      </c>
      <c r="H8179" t="s">
        <v>32683</v>
      </c>
      <c r="I8179" t="s">
        <v>10627</v>
      </c>
      <c r="J8179" t="s">
        <v>37791</v>
      </c>
      <c r="K8179" t="s">
        <v>42345</v>
      </c>
      <c r="M8179" t="s">
        <v>45068</v>
      </c>
      <c r="N8179" t="s">
        <v>46569</v>
      </c>
      <c r="O8179" t="s">
        <v>46570</v>
      </c>
      <c r="P8179">
        <v>0</v>
      </c>
      <c r="Q8179">
        <v>0</v>
      </c>
      <c r="R8179" t="s">
        <v>46574</v>
      </c>
      <c r="S8179" t="s">
        <v>46723</v>
      </c>
      <c r="T8179" t="s">
        <v>48349</v>
      </c>
      <c r="U8179" t="s">
        <v>54960</v>
      </c>
      <c r="V8179" t="s">
        <v>62367</v>
      </c>
      <c r="W8179" t="s">
        <v>45068</v>
      </c>
      <c r="X8179" t="s">
        <v>46577</v>
      </c>
    </row>
    <row r="8180" spans="1:24">
      <c r="A8180">
        <f>HYPERLINK("https://www.philgeps.gov.ph/GEPSNONPILOT/Tender/SplashBidNoticeAbstractUI.aspx?menuIndex=3&amp;refID=7056919&amp;Result=3","7056919")</f>
        <v>0</v>
      </c>
      <c r="B8180" t="s">
        <v>2439</v>
      </c>
      <c r="C8180" t="s">
        <v>11295</v>
      </c>
      <c r="D8180" t="s">
        <v>18784</v>
      </c>
      <c r="E8180" t="s">
        <v>26064</v>
      </c>
      <c r="F8180" t="s">
        <v>32664</v>
      </c>
      <c r="G8180" t="s">
        <v>32671</v>
      </c>
      <c r="H8180" t="s">
        <v>12635</v>
      </c>
      <c r="I8180" t="s">
        <v>10370</v>
      </c>
      <c r="J8180" t="s">
        <v>32976</v>
      </c>
      <c r="K8180" t="s">
        <v>42284</v>
      </c>
      <c r="M8180" t="s">
        <v>45231</v>
      </c>
      <c r="N8180" t="s">
        <v>46569</v>
      </c>
      <c r="O8180" t="s">
        <v>46570</v>
      </c>
      <c r="P8180">
        <v>0</v>
      </c>
      <c r="Q8180">
        <v>11</v>
      </c>
      <c r="R8180" t="s">
        <v>46574</v>
      </c>
      <c r="S8180" t="s">
        <v>46723</v>
      </c>
      <c r="T8180" t="s">
        <v>48448</v>
      </c>
      <c r="U8180" t="s">
        <v>55474</v>
      </c>
      <c r="W8180" t="s">
        <v>45231</v>
      </c>
      <c r="X8180" t="s">
        <v>46577</v>
      </c>
    </row>
    <row r="8181" spans="1:24">
      <c r="A8181">
        <f>HYPERLINK("https://www.philgeps.gov.ph/GEPSNONPILOT/Tender/SplashBidNoticeAbstractUI.aspx?menuIndex=3&amp;refID=7028516&amp;Result=3","7028516")</f>
        <v>0</v>
      </c>
      <c r="B8181" t="s">
        <v>2440</v>
      </c>
      <c r="C8181" t="s">
        <v>11296</v>
      </c>
      <c r="D8181" t="s">
        <v>18799</v>
      </c>
      <c r="E8181" t="s">
        <v>26065</v>
      </c>
      <c r="F8181" t="s">
        <v>32665</v>
      </c>
      <c r="G8181" t="s">
        <v>32672</v>
      </c>
      <c r="H8181" t="s">
        <v>32683</v>
      </c>
      <c r="I8181" t="s">
        <v>10627</v>
      </c>
      <c r="J8181" t="s">
        <v>32962</v>
      </c>
      <c r="K8181" t="s">
        <v>42297</v>
      </c>
      <c r="M8181" t="s">
        <v>45232</v>
      </c>
      <c r="N8181" t="s">
        <v>46569</v>
      </c>
      <c r="O8181" t="s">
        <v>46570</v>
      </c>
      <c r="P8181">
        <v>0</v>
      </c>
      <c r="Q8181">
        <v>0</v>
      </c>
      <c r="R8181" t="s">
        <v>46576</v>
      </c>
      <c r="S8181" t="s">
        <v>46749</v>
      </c>
      <c r="T8181" t="s">
        <v>48220</v>
      </c>
      <c r="U8181" t="s">
        <v>55475</v>
      </c>
      <c r="W8181" t="s">
        <v>45232</v>
      </c>
      <c r="X8181" t="s">
        <v>46592</v>
      </c>
    </row>
    <row r="8182" spans="1:24">
      <c r="A8182">
        <f>HYPERLINK("https://www.philgeps.gov.ph/GEPSNONPILOT/Tender/SplashBidNoticeAbstractUI.aspx?menuIndex=3&amp;refID=7057317&amp;Result=3","7057317")</f>
        <v>0</v>
      </c>
      <c r="B8182" t="s">
        <v>908</v>
      </c>
      <c r="C8182" t="s">
        <v>11297</v>
      </c>
      <c r="E8182" t="s">
        <v>26066</v>
      </c>
      <c r="F8182" t="s">
        <v>32664</v>
      </c>
      <c r="G8182" t="s">
        <v>32671</v>
      </c>
      <c r="H8182" t="s">
        <v>12635</v>
      </c>
      <c r="I8182" t="s">
        <v>32709</v>
      </c>
      <c r="J8182" t="s">
        <v>33128</v>
      </c>
      <c r="K8182" t="s">
        <v>42289</v>
      </c>
      <c r="M8182" t="s">
        <v>43514</v>
      </c>
      <c r="N8182" t="s">
        <v>46569</v>
      </c>
      <c r="O8182" t="s">
        <v>46570</v>
      </c>
      <c r="P8182">
        <v>0</v>
      </c>
      <c r="Q8182">
        <v>5</v>
      </c>
      <c r="R8182" t="s">
        <v>46574</v>
      </c>
      <c r="S8182" t="s">
        <v>46723</v>
      </c>
      <c r="T8182" t="s">
        <v>48221</v>
      </c>
      <c r="U8182" t="s">
        <v>55476</v>
      </c>
      <c r="W8182" t="s">
        <v>43514</v>
      </c>
      <c r="X8182" t="s">
        <v>46577</v>
      </c>
    </row>
    <row r="8183" spans="1:24">
      <c r="A8183">
        <f>HYPERLINK("https://www.philgeps.gov.ph/GEPSNONPILOT/Tender/SplashBidNoticeAbstractUI.aspx?menuIndex=3&amp;refID=7057314&amp;Result=3","7057314")</f>
        <v>0</v>
      </c>
      <c r="B8183" t="s">
        <v>500</v>
      </c>
      <c r="C8183" t="s">
        <v>11298</v>
      </c>
      <c r="D8183" t="s">
        <v>18805</v>
      </c>
      <c r="E8183" t="s">
        <v>26067</v>
      </c>
      <c r="F8183" t="s">
        <v>32664</v>
      </c>
      <c r="G8183" t="s">
        <v>32671</v>
      </c>
      <c r="H8183" t="s">
        <v>12635</v>
      </c>
      <c r="I8183" t="s">
        <v>4439</v>
      </c>
      <c r="J8183" t="s">
        <v>37792</v>
      </c>
      <c r="K8183" t="s">
        <v>42283</v>
      </c>
      <c r="M8183" t="s">
        <v>44383</v>
      </c>
      <c r="N8183" t="s">
        <v>46569</v>
      </c>
      <c r="O8183" t="s">
        <v>46570</v>
      </c>
      <c r="P8183">
        <v>0</v>
      </c>
      <c r="Q8183">
        <v>0</v>
      </c>
      <c r="R8183" t="s">
        <v>46574</v>
      </c>
      <c r="S8183" t="s">
        <v>46723</v>
      </c>
      <c r="T8183" t="s">
        <v>48473</v>
      </c>
      <c r="U8183" t="s">
        <v>55001</v>
      </c>
      <c r="W8183" t="s">
        <v>44383</v>
      </c>
      <c r="X8183" t="s">
        <v>46577</v>
      </c>
    </row>
    <row r="8184" spans="1:24">
      <c r="A8184">
        <f>HYPERLINK("https://www.philgeps.gov.ph/GEPSNONPILOT/Tender/SplashBidNoticeAbstractUI.aspx?menuIndex=3&amp;refID=7057320&amp;Result=3","7057320")</f>
        <v>0</v>
      </c>
      <c r="B8184" t="s">
        <v>915</v>
      </c>
      <c r="C8184" t="s">
        <v>11299</v>
      </c>
      <c r="D8184" t="s">
        <v>18784</v>
      </c>
      <c r="E8184" t="s">
        <v>26068</v>
      </c>
      <c r="F8184" t="s">
        <v>32664</v>
      </c>
      <c r="G8184" t="s">
        <v>32671</v>
      </c>
      <c r="H8184" t="s">
        <v>12635</v>
      </c>
      <c r="I8184" t="s">
        <v>8797</v>
      </c>
      <c r="J8184" t="s">
        <v>37397</v>
      </c>
      <c r="K8184" t="s">
        <v>42283</v>
      </c>
      <c r="M8184" t="s">
        <v>43879</v>
      </c>
      <c r="N8184" t="s">
        <v>46569</v>
      </c>
      <c r="O8184" t="s">
        <v>46570</v>
      </c>
      <c r="P8184">
        <v>0</v>
      </c>
      <c r="Q8184">
        <v>4</v>
      </c>
      <c r="R8184" t="s">
        <v>46574</v>
      </c>
      <c r="S8184" t="s">
        <v>46723</v>
      </c>
      <c r="T8184" t="s">
        <v>48449</v>
      </c>
      <c r="U8184" t="s">
        <v>50592</v>
      </c>
      <c r="W8184" t="s">
        <v>43879</v>
      </c>
      <c r="X8184" t="s">
        <v>46577</v>
      </c>
    </row>
    <row r="8185" spans="1:24">
      <c r="A8185">
        <f>HYPERLINK("https://www.philgeps.gov.ph/GEPSNONPILOT/Tender/SplashBidNoticeAbstractUI.aspx?menuIndex=3&amp;refID=7028208&amp;Result=3","7028208")</f>
        <v>0</v>
      </c>
      <c r="B8185" t="s">
        <v>2440</v>
      </c>
      <c r="C8185" t="s">
        <v>11300</v>
      </c>
      <c r="D8185" t="s">
        <v>18799</v>
      </c>
      <c r="E8185" t="s">
        <v>26069</v>
      </c>
      <c r="F8185" t="s">
        <v>32665</v>
      </c>
      <c r="G8185" t="s">
        <v>32672</v>
      </c>
      <c r="H8185" t="s">
        <v>32683</v>
      </c>
      <c r="I8185" t="s">
        <v>10627</v>
      </c>
      <c r="J8185" t="s">
        <v>37793</v>
      </c>
      <c r="K8185" t="s">
        <v>42297</v>
      </c>
      <c r="M8185" t="s">
        <v>45232</v>
      </c>
      <c r="N8185" t="s">
        <v>46569</v>
      </c>
      <c r="O8185" t="s">
        <v>46570</v>
      </c>
      <c r="P8185">
        <v>0</v>
      </c>
      <c r="Q8185">
        <v>0</v>
      </c>
      <c r="R8185" t="s">
        <v>46576</v>
      </c>
      <c r="S8185" t="s">
        <v>46749</v>
      </c>
      <c r="T8185" t="s">
        <v>48220</v>
      </c>
      <c r="U8185" t="s">
        <v>55477</v>
      </c>
      <c r="W8185" t="s">
        <v>45232</v>
      </c>
      <c r="X8185" t="s">
        <v>46592</v>
      </c>
    </row>
    <row r="8186" spans="1:24">
      <c r="A8186">
        <f>HYPERLINK("https://www.philgeps.gov.ph/GEPSNONPILOT/Tender/SplashBidNoticeAbstractUI.aspx?menuIndex=3&amp;refID=6927623-2&amp;Result=3","6927623-2")</f>
        <v>0</v>
      </c>
      <c r="B8186" t="s">
        <v>374</v>
      </c>
      <c r="C8186" t="s">
        <v>11301</v>
      </c>
      <c r="D8186" t="s">
        <v>18784</v>
      </c>
      <c r="E8186" t="s">
        <v>26070</v>
      </c>
      <c r="F8186" t="s">
        <v>32664</v>
      </c>
      <c r="G8186" t="s">
        <v>32672</v>
      </c>
      <c r="H8186" t="s">
        <v>32681</v>
      </c>
      <c r="I8186" t="s">
        <v>32681</v>
      </c>
      <c r="J8186" t="s">
        <v>37794</v>
      </c>
      <c r="K8186" t="s">
        <v>42334</v>
      </c>
      <c r="M8186" t="s">
        <v>45233</v>
      </c>
      <c r="N8186" t="s">
        <v>46569</v>
      </c>
      <c r="O8186" t="s">
        <v>46570</v>
      </c>
      <c r="P8186">
        <v>0</v>
      </c>
      <c r="Q8186">
        <v>0</v>
      </c>
      <c r="R8186" t="s">
        <v>46576</v>
      </c>
      <c r="S8186" t="s">
        <v>46749</v>
      </c>
      <c r="T8186" t="s">
        <v>48469</v>
      </c>
      <c r="U8186" t="s">
        <v>55478</v>
      </c>
      <c r="V8186" t="s">
        <v>62422</v>
      </c>
      <c r="W8186" t="s">
        <v>45233</v>
      </c>
      <c r="X8186" t="s">
        <v>46577</v>
      </c>
    </row>
    <row r="8187" spans="1:24">
      <c r="A8187">
        <f>HYPERLINK("https://www.philgeps.gov.ph/GEPSNONPILOT/Tender/SplashBidNoticeAbstractUI.aspx?menuIndex=3&amp;refID=7013697-2&amp;Result=3","7013697-2")</f>
        <v>0</v>
      </c>
      <c r="B8187" t="s">
        <v>2441</v>
      </c>
      <c r="C8187" t="s">
        <v>11302</v>
      </c>
      <c r="D8187" t="s">
        <v>18810</v>
      </c>
      <c r="E8187" t="s">
        <v>26071</v>
      </c>
      <c r="F8187" t="s">
        <v>32664</v>
      </c>
      <c r="G8187" t="s">
        <v>32672</v>
      </c>
      <c r="H8187" t="s">
        <v>32681</v>
      </c>
      <c r="I8187" t="s">
        <v>32785</v>
      </c>
      <c r="J8187" t="s">
        <v>37795</v>
      </c>
      <c r="K8187" t="s">
        <v>42413</v>
      </c>
      <c r="M8187" t="s">
        <v>45234</v>
      </c>
      <c r="N8187" t="s">
        <v>46569</v>
      </c>
      <c r="O8187" t="s">
        <v>46570</v>
      </c>
      <c r="P8187">
        <v>0</v>
      </c>
      <c r="Q8187">
        <v>1</v>
      </c>
      <c r="R8187" t="s">
        <v>46576</v>
      </c>
      <c r="S8187" t="s">
        <v>46749</v>
      </c>
      <c r="T8187" t="s">
        <v>48220</v>
      </c>
      <c r="U8187" t="s">
        <v>55479</v>
      </c>
      <c r="V8187" t="s">
        <v>62423</v>
      </c>
      <c r="W8187" t="s">
        <v>45234</v>
      </c>
      <c r="X8187" t="s">
        <v>46577</v>
      </c>
    </row>
    <row r="8188" spans="1:24">
      <c r="A8188">
        <f>HYPERLINK("https://www.philgeps.gov.ph/GEPSNONPILOT/Tender/SplashBidNoticeAbstractUI.aspx?menuIndex=3&amp;refID=7058514&amp;Result=3","7058514")</f>
        <v>0</v>
      </c>
      <c r="B8188" t="s">
        <v>1313</v>
      </c>
      <c r="C8188" t="s">
        <v>11303</v>
      </c>
      <c r="E8188" t="s">
        <v>26072</v>
      </c>
      <c r="F8188" t="s">
        <v>32664</v>
      </c>
      <c r="G8188" t="s">
        <v>32671</v>
      </c>
      <c r="H8188" t="s">
        <v>12635</v>
      </c>
      <c r="I8188" t="s">
        <v>32704</v>
      </c>
      <c r="J8188" t="s">
        <v>33338</v>
      </c>
      <c r="K8188" t="s">
        <v>42283</v>
      </c>
      <c r="M8188" t="s">
        <v>43960</v>
      </c>
      <c r="N8188" t="s">
        <v>46569</v>
      </c>
      <c r="O8188" t="s">
        <v>46570</v>
      </c>
      <c r="P8188">
        <v>0</v>
      </c>
      <c r="Q8188">
        <v>2</v>
      </c>
      <c r="R8188" t="s">
        <v>46575</v>
      </c>
      <c r="S8188" t="s">
        <v>46744</v>
      </c>
      <c r="T8188" t="s">
        <v>48562</v>
      </c>
      <c r="U8188" t="s">
        <v>55416</v>
      </c>
      <c r="W8188" t="s">
        <v>43960</v>
      </c>
      <c r="X8188" t="s">
        <v>46576</v>
      </c>
    </row>
    <row r="8189" spans="1:24">
      <c r="A8189">
        <f>HYPERLINK("https://www.philgeps.gov.ph/GEPSNONPILOT/Tender/SplashBidNoticeAbstractUI.aspx?menuIndex=3&amp;refID=6960529-2&amp;Result=3","6960529-2")</f>
        <v>0</v>
      </c>
      <c r="B8189" t="s">
        <v>145</v>
      </c>
      <c r="C8189" t="s">
        <v>11304</v>
      </c>
      <c r="E8189" t="s">
        <v>26073</v>
      </c>
      <c r="F8189" t="s">
        <v>32664</v>
      </c>
      <c r="G8189" t="s">
        <v>32673</v>
      </c>
      <c r="H8189" t="s">
        <v>32681</v>
      </c>
      <c r="I8189" t="s">
        <v>32681</v>
      </c>
      <c r="J8189" t="s">
        <v>37796</v>
      </c>
      <c r="K8189" t="s">
        <v>42283</v>
      </c>
      <c r="M8189" t="s">
        <v>44376</v>
      </c>
      <c r="N8189" t="s">
        <v>46569</v>
      </c>
      <c r="O8189" t="s">
        <v>46570</v>
      </c>
      <c r="P8189">
        <v>0</v>
      </c>
      <c r="Q8189">
        <v>3</v>
      </c>
      <c r="R8189" t="s">
        <v>46576</v>
      </c>
      <c r="S8189" t="s">
        <v>46749</v>
      </c>
      <c r="T8189" t="s">
        <v>48270</v>
      </c>
      <c r="U8189" t="s">
        <v>55480</v>
      </c>
      <c r="V8189" t="s">
        <v>62424</v>
      </c>
      <c r="W8189" t="s">
        <v>44376</v>
      </c>
      <c r="X8189" t="s">
        <v>46577</v>
      </c>
    </row>
    <row r="8190" spans="1:24">
      <c r="A8190">
        <f>HYPERLINK("https://www.philgeps.gov.ph/GEPSNONPILOT/Tender/SplashBidNoticeAbstractUI.aspx?menuIndex=3&amp;refID=7058515&amp;Result=3","7058515")</f>
        <v>0</v>
      </c>
      <c r="B8190" t="s">
        <v>2339</v>
      </c>
      <c r="C8190" t="s">
        <v>11305</v>
      </c>
      <c r="E8190" t="s">
        <v>26074</v>
      </c>
      <c r="F8190" t="s">
        <v>32664</v>
      </c>
      <c r="G8190" t="s">
        <v>32671</v>
      </c>
      <c r="H8190" t="s">
        <v>12635</v>
      </c>
      <c r="I8190" t="s">
        <v>4333</v>
      </c>
      <c r="J8190" t="s">
        <v>37797</v>
      </c>
      <c r="K8190" t="s">
        <v>42283</v>
      </c>
      <c r="M8190" t="s">
        <v>45119</v>
      </c>
      <c r="N8190" t="s">
        <v>46569</v>
      </c>
      <c r="O8190" t="s">
        <v>46570</v>
      </c>
      <c r="P8190">
        <v>0</v>
      </c>
      <c r="Q8190">
        <v>1</v>
      </c>
      <c r="R8190" t="s">
        <v>46575</v>
      </c>
      <c r="S8190" t="s">
        <v>46744</v>
      </c>
      <c r="T8190" t="s">
        <v>48254</v>
      </c>
      <c r="U8190" t="s">
        <v>55481</v>
      </c>
      <c r="W8190" t="s">
        <v>45119</v>
      </c>
      <c r="X8190" t="s">
        <v>46576</v>
      </c>
    </row>
    <row r="8191" spans="1:24">
      <c r="A8191">
        <f>HYPERLINK("https://www.philgeps.gov.ph/GEPSNONPILOT/Tender/SplashBidNoticeAbstractUI.aspx?menuIndex=3&amp;refID=7058513&amp;Result=3","7058513")</f>
        <v>0</v>
      </c>
      <c r="B8191" t="s">
        <v>1313</v>
      </c>
      <c r="C8191" t="s">
        <v>11306</v>
      </c>
      <c r="E8191" t="s">
        <v>26075</v>
      </c>
      <c r="F8191" t="s">
        <v>32664</v>
      </c>
      <c r="G8191" t="s">
        <v>32671</v>
      </c>
      <c r="H8191" t="s">
        <v>12635</v>
      </c>
      <c r="I8191" t="s">
        <v>32704</v>
      </c>
      <c r="J8191" t="s">
        <v>33320</v>
      </c>
      <c r="K8191" t="s">
        <v>42283</v>
      </c>
      <c r="M8191" t="s">
        <v>43960</v>
      </c>
      <c r="N8191" t="s">
        <v>46569</v>
      </c>
      <c r="O8191" t="s">
        <v>46570</v>
      </c>
      <c r="P8191">
        <v>0</v>
      </c>
      <c r="Q8191">
        <v>14</v>
      </c>
      <c r="R8191" t="s">
        <v>46575</v>
      </c>
      <c r="S8191" t="s">
        <v>46744</v>
      </c>
      <c r="T8191" t="s">
        <v>48562</v>
      </c>
      <c r="U8191" t="s">
        <v>55416</v>
      </c>
      <c r="W8191" t="s">
        <v>43960</v>
      </c>
      <c r="X8191" t="s">
        <v>46576</v>
      </c>
    </row>
    <row r="8192" spans="1:24">
      <c r="A8192">
        <f>HYPERLINK("https://www.philgeps.gov.ph/GEPSNONPILOT/Tender/SplashBidNoticeAbstractUI.aspx?menuIndex=3&amp;refID=7058511&amp;Result=3","7058511")</f>
        <v>0</v>
      </c>
      <c r="B8192" t="s">
        <v>1313</v>
      </c>
      <c r="C8192" t="s">
        <v>11307</v>
      </c>
      <c r="E8192" t="s">
        <v>26076</v>
      </c>
      <c r="F8192" t="s">
        <v>32664</v>
      </c>
      <c r="G8192" t="s">
        <v>32675</v>
      </c>
      <c r="H8192" t="s">
        <v>12635</v>
      </c>
      <c r="I8192" t="s">
        <v>6628</v>
      </c>
      <c r="J8192" t="s">
        <v>33126</v>
      </c>
      <c r="K8192" t="s">
        <v>42283</v>
      </c>
      <c r="M8192" t="s">
        <v>43960</v>
      </c>
      <c r="N8192" t="s">
        <v>46569</v>
      </c>
      <c r="O8192" t="s">
        <v>46570</v>
      </c>
      <c r="P8192">
        <v>0</v>
      </c>
      <c r="Q8192">
        <v>5</v>
      </c>
      <c r="R8192" t="s">
        <v>46575</v>
      </c>
      <c r="S8192" t="s">
        <v>46744</v>
      </c>
      <c r="T8192" t="s">
        <v>48562</v>
      </c>
      <c r="U8192" t="s">
        <v>55416</v>
      </c>
      <c r="W8192" t="s">
        <v>43960</v>
      </c>
      <c r="X8192" t="s">
        <v>46576</v>
      </c>
    </row>
    <row r="8193" spans="1:24">
      <c r="A8193">
        <f>HYPERLINK("https://www.philgeps.gov.ph/GEPSNONPILOT/Tender/SplashBidNoticeAbstractUI.aspx?menuIndex=3&amp;refID=7058506&amp;Result=3","7058506")</f>
        <v>0</v>
      </c>
      <c r="B8193" t="s">
        <v>1313</v>
      </c>
      <c r="C8193" t="s">
        <v>11308</v>
      </c>
      <c r="E8193" t="s">
        <v>26077</v>
      </c>
      <c r="F8193" t="s">
        <v>32664</v>
      </c>
      <c r="G8193" t="s">
        <v>32671</v>
      </c>
      <c r="H8193" t="s">
        <v>12635</v>
      </c>
      <c r="I8193" t="s">
        <v>32704</v>
      </c>
      <c r="J8193" t="s">
        <v>37798</v>
      </c>
      <c r="K8193" t="s">
        <v>42283</v>
      </c>
      <c r="M8193" t="s">
        <v>43960</v>
      </c>
      <c r="N8193" t="s">
        <v>46569</v>
      </c>
      <c r="O8193" t="s">
        <v>46570</v>
      </c>
      <c r="P8193">
        <v>0</v>
      </c>
      <c r="Q8193">
        <v>9</v>
      </c>
      <c r="R8193" t="s">
        <v>46575</v>
      </c>
      <c r="S8193" t="s">
        <v>46744</v>
      </c>
      <c r="T8193" t="s">
        <v>48562</v>
      </c>
      <c r="U8193" t="s">
        <v>55416</v>
      </c>
      <c r="W8193" t="s">
        <v>43960</v>
      </c>
      <c r="X8193" t="s">
        <v>46576</v>
      </c>
    </row>
    <row r="8194" spans="1:24">
      <c r="A8194">
        <f>HYPERLINK("https://www.philgeps.gov.ph/GEPSNONPILOT/Tender/SplashBidNoticeAbstractUI.aspx?menuIndex=3&amp;refID=7058509&amp;Result=3","7058509")</f>
        <v>0</v>
      </c>
      <c r="B8194" t="s">
        <v>2339</v>
      </c>
      <c r="C8194" t="s">
        <v>11309</v>
      </c>
      <c r="E8194" t="s">
        <v>26078</v>
      </c>
      <c r="F8194" t="s">
        <v>32664</v>
      </c>
      <c r="G8194" t="s">
        <v>32671</v>
      </c>
      <c r="H8194" t="s">
        <v>12635</v>
      </c>
      <c r="I8194" t="s">
        <v>4333</v>
      </c>
      <c r="J8194" t="s">
        <v>37799</v>
      </c>
      <c r="K8194" t="s">
        <v>42283</v>
      </c>
      <c r="M8194" t="s">
        <v>45119</v>
      </c>
      <c r="N8194" t="s">
        <v>46569</v>
      </c>
      <c r="O8194" t="s">
        <v>46570</v>
      </c>
      <c r="P8194">
        <v>0</v>
      </c>
      <c r="Q8194">
        <v>2</v>
      </c>
      <c r="R8194" t="s">
        <v>46575</v>
      </c>
      <c r="S8194" t="s">
        <v>46744</v>
      </c>
      <c r="T8194" t="s">
        <v>48287</v>
      </c>
      <c r="U8194" t="s">
        <v>55482</v>
      </c>
      <c r="W8194" t="s">
        <v>45119</v>
      </c>
      <c r="X8194" t="s">
        <v>46576</v>
      </c>
    </row>
    <row r="8195" spans="1:24">
      <c r="A8195">
        <f>HYPERLINK("https://www.philgeps.gov.ph/GEPSNONPILOT/Tender/SplashBidNoticeAbstractUI.aspx?menuIndex=3&amp;refID=7050686&amp;Result=3","7050686")</f>
        <v>0</v>
      </c>
      <c r="B8195" t="s">
        <v>559</v>
      </c>
      <c r="C8195" t="s">
        <v>11310</v>
      </c>
      <c r="E8195" t="s">
        <v>26079</v>
      </c>
      <c r="F8195" t="s">
        <v>32664</v>
      </c>
      <c r="G8195" t="s">
        <v>32672</v>
      </c>
      <c r="H8195" t="s">
        <v>12635</v>
      </c>
      <c r="I8195" t="s">
        <v>11464</v>
      </c>
      <c r="J8195" t="s">
        <v>37800</v>
      </c>
      <c r="K8195" t="s">
        <v>42283</v>
      </c>
      <c r="M8195" t="s">
        <v>43139</v>
      </c>
      <c r="N8195" t="s">
        <v>46569</v>
      </c>
      <c r="O8195" t="s">
        <v>46570</v>
      </c>
      <c r="P8195">
        <v>0</v>
      </c>
      <c r="Q8195">
        <v>5</v>
      </c>
      <c r="R8195" t="s">
        <v>46576</v>
      </c>
      <c r="S8195" t="s">
        <v>46749</v>
      </c>
      <c r="T8195" t="s">
        <v>48220</v>
      </c>
      <c r="U8195" t="s">
        <v>55483</v>
      </c>
      <c r="V8195" t="s">
        <v>62425</v>
      </c>
      <c r="W8195" t="s">
        <v>43139</v>
      </c>
      <c r="X8195" t="s">
        <v>46579</v>
      </c>
    </row>
    <row r="8196" spans="1:24">
      <c r="A8196">
        <f>HYPERLINK("https://www.philgeps.gov.ph/GEPSNONPILOT/Tender/SplashBidNoticeAbstractUI.aspx?menuIndex=3&amp;refID=7050657&amp;Result=3","7050657")</f>
        <v>0</v>
      </c>
      <c r="B8196" t="s">
        <v>559</v>
      </c>
      <c r="C8196" t="s">
        <v>11311</v>
      </c>
      <c r="E8196" t="s">
        <v>26080</v>
      </c>
      <c r="F8196" t="s">
        <v>32664</v>
      </c>
      <c r="G8196" t="s">
        <v>32672</v>
      </c>
      <c r="H8196" t="s">
        <v>32683</v>
      </c>
      <c r="I8196" t="s">
        <v>10627</v>
      </c>
      <c r="J8196" t="s">
        <v>37801</v>
      </c>
      <c r="K8196" t="s">
        <v>42283</v>
      </c>
      <c r="M8196" t="s">
        <v>43139</v>
      </c>
      <c r="N8196" t="s">
        <v>46569</v>
      </c>
      <c r="O8196" t="s">
        <v>46570</v>
      </c>
      <c r="P8196">
        <v>0</v>
      </c>
      <c r="Q8196">
        <v>3</v>
      </c>
      <c r="R8196" t="s">
        <v>46576</v>
      </c>
      <c r="S8196" t="s">
        <v>46749</v>
      </c>
      <c r="T8196" t="s">
        <v>48220</v>
      </c>
      <c r="U8196" t="s">
        <v>55484</v>
      </c>
      <c r="V8196" t="s">
        <v>62425</v>
      </c>
      <c r="W8196" t="s">
        <v>43139</v>
      </c>
      <c r="X8196" t="s">
        <v>46579</v>
      </c>
    </row>
    <row r="8197" spans="1:24">
      <c r="A8197">
        <f>HYPERLINK("https://www.philgeps.gov.ph/GEPSNONPILOT/Tender/SplashBidNoticeAbstractUI.aspx?menuIndex=3&amp;refID=7058555&amp;Result=3","7058555")</f>
        <v>0</v>
      </c>
      <c r="B8197" t="s">
        <v>2437</v>
      </c>
      <c r="C8197" t="s">
        <v>11312</v>
      </c>
      <c r="D8197" t="s">
        <v>18849</v>
      </c>
      <c r="E8197" t="s">
        <v>19701</v>
      </c>
      <c r="F8197" t="s">
        <v>32664</v>
      </c>
      <c r="G8197" t="s">
        <v>32672</v>
      </c>
      <c r="H8197" t="s">
        <v>12635</v>
      </c>
      <c r="I8197" t="s">
        <v>32736</v>
      </c>
      <c r="J8197" t="s">
        <v>32962</v>
      </c>
      <c r="K8197" t="s">
        <v>42298</v>
      </c>
      <c r="M8197" t="s">
        <v>45229</v>
      </c>
      <c r="N8197" t="s">
        <v>46569</v>
      </c>
      <c r="O8197" t="s">
        <v>46570</v>
      </c>
      <c r="P8197">
        <v>0</v>
      </c>
      <c r="Q8197">
        <v>5</v>
      </c>
      <c r="R8197" t="s">
        <v>46574</v>
      </c>
      <c r="S8197" t="s">
        <v>46723</v>
      </c>
      <c r="T8197" t="s">
        <v>48308</v>
      </c>
      <c r="U8197" t="s">
        <v>55466</v>
      </c>
      <c r="W8197" t="s">
        <v>45229</v>
      </c>
      <c r="X8197" t="s">
        <v>46575</v>
      </c>
    </row>
    <row r="8198" spans="1:24">
      <c r="A8198">
        <f>HYPERLINK("https://www.philgeps.gov.ph/GEPSNONPILOT/Tender/SplashBidNoticeAbstractUI.aspx?menuIndex=3&amp;refID=7050641&amp;Result=3","7050641")</f>
        <v>0</v>
      </c>
      <c r="B8198" t="s">
        <v>559</v>
      </c>
      <c r="C8198" t="s">
        <v>11313</v>
      </c>
      <c r="E8198" t="s">
        <v>26081</v>
      </c>
      <c r="F8198" t="s">
        <v>32664</v>
      </c>
      <c r="G8198" t="s">
        <v>32672</v>
      </c>
      <c r="H8198" t="s">
        <v>32683</v>
      </c>
      <c r="I8198" t="s">
        <v>10627</v>
      </c>
      <c r="J8198" t="s">
        <v>37802</v>
      </c>
      <c r="K8198" t="s">
        <v>42283</v>
      </c>
      <c r="M8198" t="s">
        <v>43139</v>
      </c>
      <c r="N8198" t="s">
        <v>46569</v>
      </c>
      <c r="O8198" t="s">
        <v>46570</v>
      </c>
      <c r="P8198">
        <v>0</v>
      </c>
      <c r="Q8198">
        <v>3</v>
      </c>
      <c r="R8198" t="s">
        <v>46576</v>
      </c>
      <c r="S8198" t="s">
        <v>46749</v>
      </c>
      <c r="T8198" t="s">
        <v>48220</v>
      </c>
      <c r="U8198" t="s">
        <v>55485</v>
      </c>
      <c r="V8198" t="s">
        <v>62425</v>
      </c>
      <c r="W8198" t="s">
        <v>43139</v>
      </c>
      <c r="X8198" t="s">
        <v>46579</v>
      </c>
    </row>
    <row r="8199" spans="1:24">
      <c r="A8199">
        <f>HYPERLINK("https://www.philgeps.gov.ph/GEPSNONPILOT/Tender/SplashBidNoticeAbstractUI.aspx?menuIndex=3&amp;refID=7058508&amp;Result=3","7058508")</f>
        <v>0</v>
      </c>
      <c r="B8199" t="s">
        <v>1313</v>
      </c>
      <c r="C8199" t="s">
        <v>11314</v>
      </c>
      <c r="E8199" t="s">
        <v>26082</v>
      </c>
      <c r="F8199" t="s">
        <v>32664</v>
      </c>
      <c r="G8199" t="s">
        <v>32671</v>
      </c>
      <c r="H8199" t="s">
        <v>12635</v>
      </c>
      <c r="I8199" t="s">
        <v>9597</v>
      </c>
      <c r="J8199" t="s">
        <v>33215</v>
      </c>
      <c r="K8199" t="s">
        <v>42283</v>
      </c>
      <c r="M8199" t="s">
        <v>43960</v>
      </c>
      <c r="N8199" t="s">
        <v>46569</v>
      </c>
      <c r="O8199" t="s">
        <v>46570</v>
      </c>
      <c r="P8199">
        <v>0</v>
      </c>
      <c r="Q8199">
        <v>2</v>
      </c>
      <c r="R8199" t="s">
        <v>46575</v>
      </c>
      <c r="S8199" t="s">
        <v>46744</v>
      </c>
      <c r="T8199" t="s">
        <v>48562</v>
      </c>
      <c r="U8199" t="s">
        <v>55416</v>
      </c>
      <c r="W8199" t="s">
        <v>43960</v>
      </c>
      <c r="X8199" t="s">
        <v>46576</v>
      </c>
    </row>
    <row r="8200" spans="1:24">
      <c r="A8200">
        <f>HYPERLINK("https://www.philgeps.gov.ph/GEPSNONPILOT/Tender/SplashBidNoticeAbstractUI.aspx?menuIndex=3&amp;refID=7050598&amp;Result=3","7050598")</f>
        <v>0</v>
      </c>
      <c r="B8200" t="s">
        <v>559</v>
      </c>
      <c r="C8200" t="s">
        <v>11315</v>
      </c>
      <c r="E8200" t="s">
        <v>26083</v>
      </c>
      <c r="F8200" t="s">
        <v>32664</v>
      </c>
      <c r="G8200" t="s">
        <v>32672</v>
      </c>
      <c r="H8200" t="s">
        <v>32683</v>
      </c>
      <c r="I8200" t="s">
        <v>10627</v>
      </c>
      <c r="J8200" t="s">
        <v>37803</v>
      </c>
      <c r="K8200" t="s">
        <v>42283</v>
      </c>
      <c r="M8200" t="s">
        <v>43139</v>
      </c>
      <c r="N8200" t="s">
        <v>46569</v>
      </c>
      <c r="O8200" t="s">
        <v>46570</v>
      </c>
      <c r="P8200">
        <v>0</v>
      </c>
      <c r="Q8200">
        <v>3</v>
      </c>
      <c r="R8200" t="s">
        <v>46576</v>
      </c>
      <c r="S8200" t="s">
        <v>46749</v>
      </c>
      <c r="T8200" t="s">
        <v>48220</v>
      </c>
      <c r="U8200" t="s">
        <v>55486</v>
      </c>
      <c r="V8200" t="s">
        <v>62425</v>
      </c>
      <c r="W8200" t="s">
        <v>43139</v>
      </c>
      <c r="X8200" t="s">
        <v>46579</v>
      </c>
    </row>
    <row r="8201" spans="1:24">
      <c r="A8201">
        <f>HYPERLINK("https://www.philgeps.gov.ph/GEPSNONPILOT/Tender/SplashBidNoticeAbstractUI.aspx?menuIndex=3&amp;refID=7050395&amp;Result=3","7050395")</f>
        <v>0</v>
      </c>
      <c r="B8201" t="s">
        <v>2442</v>
      </c>
      <c r="C8201" t="s">
        <v>11316</v>
      </c>
      <c r="D8201" t="s">
        <v>18852</v>
      </c>
      <c r="E8201" t="s">
        <v>26084</v>
      </c>
      <c r="F8201" t="s">
        <v>32664</v>
      </c>
      <c r="G8201" t="s">
        <v>32672</v>
      </c>
      <c r="H8201" t="s">
        <v>32683</v>
      </c>
      <c r="I8201" t="s">
        <v>10627</v>
      </c>
      <c r="J8201" t="s">
        <v>37804</v>
      </c>
      <c r="K8201" t="s">
        <v>42292</v>
      </c>
      <c r="M8201" t="s">
        <v>45235</v>
      </c>
      <c r="N8201" t="s">
        <v>46569</v>
      </c>
      <c r="O8201" t="s">
        <v>46570</v>
      </c>
      <c r="P8201">
        <v>0</v>
      </c>
      <c r="Q8201">
        <v>0</v>
      </c>
      <c r="R8201" t="s">
        <v>46576</v>
      </c>
      <c r="S8201" t="s">
        <v>46749</v>
      </c>
      <c r="T8201" t="s">
        <v>48221</v>
      </c>
      <c r="U8201" t="s">
        <v>55487</v>
      </c>
      <c r="V8201" t="s">
        <v>52412</v>
      </c>
      <c r="W8201" t="s">
        <v>45235</v>
      </c>
      <c r="X8201" t="s">
        <v>46579</v>
      </c>
    </row>
    <row r="8202" spans="1:24">
      <c r="A8202">
        <f>HYPERLINK("https://www.philgeps.gov.ph/GEPSNONPILOT/Tender/SplashBidNoticeAbstractUI.aspx?menuIndex=3&amp;refID=7050371&amp;Result=3","7050371")</f>
        <v>0</v>
      </c>
      <c r="B8202" t="s">
        <v>2443</v>
      </c>
      <c r="C8202" t="s">
        <v>11317</v>
      </c>
      <c r="D8202" t="s">
        <v>18803</v>
      </c>
      <c r="E8202" t="s">
        <v>26085</v>
      </c>
      <c r="F8202" t="s">
        <v>32664</v>
      </c>
      <c r="G8202" t="s">
        <v>32672</v>
      </c>
      <c r="H8202" t="s">
        <v>32683</v>
      </c>
      <c r="I8202" t="s">
        <v>10627</v>
      </c>
      <c r="J8202" t="s">
        <v>33150</v>
      </c>
      <c r="K8202" t="s">
        <v>42283</v>
      </c>
      <c r="M8202" t="s">
        <v>45236</v>
      </c>
      <c r="N8202" t="s">
        <v>46569</v>
      </c>
      <c r="O8202" t="s">
        <v>46570</v>
      </c>
      <c r="P8202">
        <v>0</v>
      </c>
      <c r="Q8202">
        <v>1</v>
      </c>
      <c r="R8202" t="s">
        <v>46576</v>
      </c>
      <c r="S8202" t="s">
        <v>46749</v>
      </c>
      <c r="T8202" t="s">
        <v>48213</v>
      </c>
      <c r="U8202" t="s">
        <v>55488</v>
      </c>
      <c r="W8202" t="s">
        <v>45236</v>
      </c>
      <c r="X8202" t="s">
        <v>46579</v>
      </c>
    </row>
    <row r="8203" spans="1:24">
      <c r="A8203">
        <f>HYPERLINK("https://www.philgeps.gov.ph/GEPSNONPILOT/Tender/SplashBidNoticeAbstractUI.aspx?menuIndex=3&amp;refID=7050349&amp;Result=3","7050349")</f>
        <v>0</v>
      </c>
      <c r="B8203" t="s">
        <v>2443</v>
      </c>
      <c r="C8203" t="s">
        <v>11318</v>
      </c>
      <c r="D8203" t="s">
        <v>18803</v>
      </c>
      <c r="E8203" t="s">
        <v>26086</v>
      </c>
      <c r="F8203" t="s">
        <v>32664</v>
      </c>
      <c r="G8203" t="s">
        <v>32672</v>
      </c>
      <c r="H8203" t="s">
        <v>32683</v>
      </c>
      <c r="I8203" t="s">
        <v>10627</v>
      </c>
      <c r="J8203" t="s">
        <v>33150</v>
      </c>
      <c r="K8203" t="s">
        <v>42283</v>
      </c>
      <c r="M8203" t="s">
        <v>45236</v>
      </c>
      <c r="N8203" t="s">
        <v>46569</v>
      </c>
      <c r="O8203" t="s">
        <v>46570</v>
      </c>
      <c r="P8203">
        <v>0</v>
      </c>
      <c r="Q8203">
        <v>1</v>
      </c>
      <c r="R8203" t="s">
        <v>46576</v>
      </c>
      <c r="S8203" t="s">
        <v>46749</v>
      </c>
      <c r="T8203" t="s">
        <v>48213</v>
      </c>
      <c r="U8203" t="s">
        <v>55489</v>
      </c>
      <c r="W8203" t="s">
        <v>45236</v>
      </c>
      <c r="X8203" t="s">
        <v>46579</v>
      </c>
    </row>
    <row r="8204" spans="1:24">
      <c r="A8204">
        <f>HYPERLINK("https://www.philgeps.gov.ph/GEPSNONPILOT/Tender/SplashBidNoticeAbstractUI.aspx?menuIndex=3&amp;refID=7050669&amp;Result=3","7050669")</f>
        <v>0</v>
      </c>
      <c r="B8204" t="s">
        <v>559</v>
      </c>
      <c r="C8204" t="s">
        <v>11319</v>
      </c>
      <c r="E8204" t="s">
        <v>26087</v>
      </c>
      <c r="F8204" t="s">
        <v>32664</v>
      </c>
      <c r="G8204" t="s">
        <v>32672</v>
      </c>
      <c r="H8204" t="s">
        <v>32683</v>
      </c>
      <c r="I8204" t="s">
        <v>10627</v>
      </c>
      <c r="J8204" t="s">
        <v>37805</v>
      </c>
      <c r="K8204" t="s">
        <v>42283</v>
      </c>
      <c r="M8204" t="s">
        <v>43139</v>
      </c>
      <c r="N8204" t="s">
        <v>46569</v>
      </c>
      <c r="O8204" t="s">
        <v>46570</v>
      </c>
      <c r="P8204">
        <v>0</v>
      </c>
      <c r="Q8204">
        <v>3</v>
      </c>
      <c r="R8204" t="s">
        <v>46576</v>
      </c>
      <c r="S8204" t="s">
        <v>46749</v>
      </c>
      <c r="T8204" t="s">
        <v>48220</v>
      </c>
      <c r="U8204" t="s">
        <v>55490</v>
      </c>
      <c r="V8204" t="s">
        <v>62425</v>
      </c>
      <c r="W8204" t="s">
        <v>43139</v>
      </c>
      <c r="X8204" t="s">
        <v>46579</v>
      </c>
    </row>
    <row r="8205" spans="1:24">
      <c r="A8205">
        <f>HYPERLINK("https://www.philgeps.gov.ph/GEPSNONPILOT/Tender/SplashBidNoticeAbstractUI.aspx?menuIndex=3&amp;refID=7028139&amp;Result=3","7028139")</f>
        <v>0</v>
      </c>
      <c r="B8205" t="s">
        <v>2440</v>
      </c>
      <c r="C8205" t="s">
        <v>11320</v>
      </c>
      <c r="D8205" t="s">
        <v>18799</v>
      </c>
      <c r="E8205" t="s">
        <v>25436</v>
      </c>
      <c r="F8205" t="s">
        <v>32665</v>
      </c>
      <c r="G8205" t="s">
        <v>32672</v>
      </c>
      <c r="H8205" t="s">
        <v>32683</v>
      </c>
      <c r="I8205" t="s">
        <v>10627</v>
      </c>
      <c r="J8205" t="s">
        <v>33008</v>
      </c>
      <c r="K8205" t="s">
        <v>42297</v>
      </c>
      <c r="M8205" t="s">
        <v>45232</v>
      </c>
      <c r="N8205" t="s">
        <v>46569</v>
      </c>
      <c r="O8205" t="s">
        <v>46570</v>
      </c>
      <c r="P8205">
        <v>0</v>
      </c>
      <c r="Q8205">
        <v>0</v>
      </c>
      <c r="R8205" t="s">
        <v>46576</v>
      </c>
      <c r="S8205" t="s">
        <v>46749</v>
      </c>
      <c r="T8205" t="s">
        <v>48220</v>
      </c>
      <c r="U8205" t="s">
        <v>55475</v>
      </c>
      <c r="W8205" t="s">
        <v>45232</v>
      </c>
      <c r="X8205" t="s">
        <v>46592</v>
      </c>
    </row>
    <row r="8206" spans="1:24">
      <c r="A8206">
        <f>HYPERLINK("https://www.philgeps.gov.ph/GEPSNONPILOT/Tender/SplashBidNoticeAbstractUI.aspx?menuIndex=3&amp;refID=7050623&amp;Result=3","7050623")</f>
        <v>0</v>
      </c>
      <c r="B8206" t="s">
        <v>559</v>
      </c>
      <c r="C8206" t="s">
        <v>11321</v>
      </c>
      <c r="E8206" t="s">
        <v>26088</v>
      </c>
      <c r="F8206" t="s">
        <v>32664</v>
      </c>
      <c r="G8206" t="s">
        <v>32672</v>
      </c>
      <c r="H8206" t="s">
        <v>32683</v>
      </c>
      <c r="I8206" t="s">
        <v>10627</v>
      </c>
      <c r="J8206" t="s">
        <v>37806</v>
      </c>
      <c r="K8206" t="s">
        <v>42283</v>
      </c>
      <c r="M8206" t="s">
        <v>43139</v>
      </c>
      <c r="N8206" t="s">
        <v>46569</v>
      </c>
      <c r="O8206" t="s">
        <v>46570</v>
      </c>
      <c r="P8206">
        <v>0</v>
      </c>
      <c r="Q8206">
        <v>6</v>
      </c>
      <c r="R8206" t="s">
        <v>46576</v>
      </c>
      <c r="S8206" t="s">
        <v>46749</v>
      </c>
      <c r="T8206" t="s">
        <v>48220</v>
      </c>
      <c r="U8206" t="s">
        <v>55491</v>
      </c>
      <c r="V8206" t="s">
        <v>62425</v>
      </c>
      <c r="W8206" t="s">
        <v>43139</v>
      </c>
      <c r="X8206" t="s">
        <v>46579</v>
      </c>
    </row>
    <row r="8207" spans="1:24">
      <c r="A8207">
        <f>HYPERLINK("https://www.philgeps.gov.ph/GEPSNONPILOT/Tender/SplashBidNoticeAbstractUI.aspx?menuIndex=3&amp;refID=7046948&amp;Result=3","7046948")</f>
        <v>0</v>
      </c>
      <c r="B8207" t="s">
        <v>2444</v>
      </c>
      <c r="C8207" t="s">
        <v>11322</v>
      </c>
      <c r="D8207" t="s">
        <v>18781</v>
      </c>
      <c r="E8207" t="s">
        <v>26089</v>
      </c>
      <c r="F8207" t="s">
        <v>32664</v>
      </c>
      <c r="G8207" t="s">
        <v>32672</v>
      </c>
      <c r="H8207" t="s">
        <v>32683</v>
      </c>
      <c r="I8207" t="s">
        <v>10627</v>
      </c>
      <c r="J8207" t="s">
        <v>37807</v>
      </c>
      <c r="K8207" t="s">
        <v>42289</v>
      </c>
      <c r="M8207" t="s">
        <v>45237</v>
      </c>
      <c r="N8207" t="s">
        <v>46569</v>
      </c>
      <c r="O8207" t="s">
        <v>46570</v>
      </c>
      <c r="P8207">
        <v>0</v>
      </c>
      <c r="Q8207">
        <v>0</v>
      </c>
      <c r="R8207" t="s">
        <v>46576</v>
      </c>
      <c r="S8207" t="s">
        <v>46749</v>
      </c>
      <c r="T8207" t="s">
        <v>48249</v>
      </c>
      <c r="U8207" t="s">
        <v>55492</v>
      </c>
      <c r="W8207" t="s">
        <v>45237</v>
      </c>
      <c r="X8207" t="s">
        <v>46581</v>
      </c>
    </row>
    <row r="8208" spans="1:24">
      <c r="A8208">
        <f>HYPERLINK("https://www.philgeps.gov.ph/GEPSNONPILOT/Tender/SplashBidNoticeAbstractUI.aspx?menuIndex=3&amp;refID=7054771&amp;Result=3","7054771")</f>
        <v>0</v>
      </c>
      <c r="B8208" t="s">
        <v>2445</v>
      </c>
      <c r="C8208" t="s">
        <v>11323</v>
      </c>
      <c r="D8208" t="s">
        <v>18787</v>
      </c>
      <c r="E8208" t="s">
        <v>26090</v>
      </c>
      <c r="F8208" t="s">
        <v>32664</v>
      </c>
      <c r="G8208" t="s">
        <v>32672</v>
      </c>
      <c r="H8208" t="s">
        <v>32683</v>
      </c>
      <c r="I8208" t="s">
        <v>10627</v>
      </c>
      <c r="J8208" t="s">
        <v>37808</v>
      </c>
      <c r="K8208" t="s">
        <v>42467</v>
      </c>
      <c r="M8208" t="s">
        <v>45238</v>
      </c>
      <c r="N8208" t="s">
        <v>46569</v>
      </c>
      <c r="O8208" t="s">
        <v>46570</v>
      </c>
      <c r="P8208">
        <v>0</v>
      </c>
      <c r="Q8208">
        <v>0</v>
      </c>
      <c r="R8208" t="s">
        <v>46576</v>
      </c>
      <c r="S8208" t="s">
        <v>46749</v>
      </c>
      <c r="T8208" t="s">
        <v>48213</v>
      </c>
      <c r="U8208" t="s">
        <v>55493</v>
      </c>
      <c r="V8208" t="s">
        <v>62426</v>
      </c>
      <c r="W8208" t="s">
        <v>45238</v>
      </c>
      <c r="X8208" t="s">
        <v>46578</v>
      </c>
    </row>
    <row r="8209" spans="1:24">
      <c r="A8209">
        <f>HYPERLINK("https://www.philgeps.gov.ph/GEPSNONPILOT/Tender/SplashBidNoticeAbstractUI.aspx?menuIndex=3&amp;refID=7053491&amp;Result=3","7053491")</f>
        <v>0</v>
      </c>
      <c r="B8209" t="s">
        <v>1018</v>
      </c>
      <c r="C8209" t="s">
        <v>11324</v>
      </c>
      <c r="D8209" t="s">
        <v>18835</v>
      </c>
      <c r="E8209" t="s">
        <v>26091</v>
      </c>
      <c r="F8209" t="s">
        <v>32664</v>
      </c>
      <c r="G8209" t="s">
        <v>32672</v>
      </c>
      <c r="H8209" t="s">
        <v>12635</v>
      </c>
      <c r="I8209" t="s">
        <v>6168</v>
      </c>
      <c r="J8209" t="s">
        <v>35261</v>
      </c>
      <c r="K8209" t="s">
        <v>42297</v>
      </c>
      <c r="M8209" t="s">
        <v>43630</v>
      </c>
      <c r="N8209" t="s">
        <v>46569</v>
      </c>
      <c r="O8209" t="s">
        <v>46570</v>
      </c>
      <c r="P8209">
        <v>0</v>
      </c>
      <c r="Q8209">
        <v>2</v>
      </c>
      <c r="R8209" t="s">
        <v>46576</v>
      </c>
      <c r="S8209" t="s">
        <v>46749</v>
      </c>
      <c r="T8209" t="s">
        <v>48349</v>
      </c>
      <c r="U8209" t="s">
        <v>55494</v>
      </c>
      <c r="W8209" t="s">
        <v>43630</v>
      </c>
      <c r="X8209" t="s">
        <v>46578</v>
      </c>
    </row>
    <row r="8210" spans="1:24">
      <c r="A8210">
        <f>HYPERLINK("https://www.philgeps.gov.ph/GEPSNONPILOT/Tender/SplashBidNoticeAbstractUI.aspx?menuIndex=3&amp;refID=7054608&amp;Result=3","7054608")</f>
        <v>0</v>
      </c>
      <c r="B8210" t="s">
        <v>2446</v>
      </c>
      <c r="C8210" t="s">
        <v>11325</v>
      </c>
      <c r="E8210" t="s">
        <v>26092</v>
      </c>
      <c r="F8210" t="s">
        <v>32664</v>
      </c>
      <c r="G8210" t="s">
        <v>32672</v>
      </c>
      <c r="H8210" t="s">
        <v>12635</v>
      </c>
      <c r="I8210" t="s">
        <v>32712</v>
      </c>
      <c r="J8210" t="s">
        <v>34838</v>
      </c>
      <c r="K8210" t="s">
        <v>42283</v>
      </c>
      <c r="M8210" t="s">
        <v>45239</v>
      </c>
      <c r="N8210" t="s">
        <v>46569</v>
      </c>
      <c r="O8210" t="s">
        <v>46570</v>
      </c>
      <c r="P8210">
        <v>0</v>
      </c>
      <c r="Q8210">
        <v>12</v>
      </c>
      <c r="R8210" t="s">
        <v>46576</v>
      </c>
      <c r="S8210" t="s">
        <v>46749</v>
      </c>
      <c r="T8210" t="s">
        <v>48617</v>
      </c>
      <c r="U8210" t="s">
        <v>55495</v>
      </c>
      <c r="V8210" t="s">
        <v>62427</v>
      </c>
      <c r="W8210" t="s">
        <v>45239</v>
      </c>
      <c r="X8210" t="s">
        <v>46578</v>
      </c>
    </row>
    <row r="8211" spans="1:24">
      <c r="A8211">
        <f>HYPERLINK("https://www.philgeps.gov.ph/GEPSNONPILOT/Tender/SplashBidNoticeAbstractUI.aspx?menuIndex=3&amp;refID=7054563&amp;Result=3","7054563")</f>
        <v>0</v>
      </c>
      <c r="B8211" t="s">
        <v>2446</v>
      </c>
      <c r="C8211" t="s">
        <v>11326</v>
      </c>
      <c r="E8211" t="s">
        <v>26093</v>
      </c>
      <c r="F8211" t="s">
        <v>32664</v>
      </c>
      <c r="G8211" t="s">
        <v>32672</v>
      </c>
      <c r="H8211" t="s">
        <v>12635</v>
      </c>
      <c r="I8211" t="s">
        <v>32712</v>
      </c>
      <c r="J8211" t="s">
        <v>36084</v>
      </c>
      <c r="K8211" t="s">
        <v>42283</v>
      </c>
      <c r="M8211" t="s">
        <v>45239</v>
      </c>
      <c r="N8211" t="s">
        <v>46569</v>
      </c>
      <c r="O8211" t="s">
        <v>46570</v>
      </c>
      <c r="P8211">
        <v>0</v>
      </c>
      <c r="Q8211">
        <v>14</v>
      </c>
      <c r="R8211" t="s">
        <v>46576</v>
      </c>
      <c r="S8211" t="s">
        <v>46749</v>
      </c>
      <c r="T8211" t="s">
        <v>48618</v>
      </c>
      <c r="U8211" t="s">
        <v>55496</v>
      </c>
      <c r="V8211" t="s">
        <v>62428</v>
      </c>
      <c r="W8211" t="s">
        <v>45239</v>
      </c>
      <c r="X8211" t="s">
        <v>46578</v>
      </c>
    </row>
    <row r="8212" spans="1:24">
      <c r="A8212">
        <f>HYPERLINK("https://www.philgeps.gov.ph/GEPSNONPILOT/Tender/SplashBidNoticeAbstractUI.aspx?menuIndex=3&amp;refID=7053728&amp;Result=3","7053728")</f>
        <v>0</v>
      </c>
      <c r="B8212" t="s">
        <v>63</v>
      </c>
      <c r="C8212" t="s">
        <v>11327</v>
      </c>
      <c r="D8212" t="s">
        <v>18811</v>
      </c>
      <c r="E8212" t="s">
        <v>26094</v>
      </c>
      <c r="F8212" t="s">
        <v>32664</v>
      </c>
      <c r="G8212" t="s">
        <v>32671</v>
      </c>
      <c r="H8212" t="s">
        <v>12635</v>
      </c>
      <c r="I8212" t="s">
        <v>6628</v>
      </c>
      <c r="J8212" t="s">
        <v>37809</v>
      </c>
      <c r="K8212" t="s">
        <v>42303</v>
      </c>
      <c r="M8212" t="s">
        <v>42626</v>
      </c>
      <c r="N8212" t="s">
        <v>46569</v>
      </c>
      <c r="O8212" t="s">
        <v>46570</v>
      </c>
      <c r="P8212">
        <v>0</v>
      </c>
      <c r="Q8212">
        <v>0</v>
      </c>
      <c r="R8212" t="s">
        <v>46576</v>
      </c>
      <c r="S8212" t="s">
        <v>46749</v>
      </c>
      <c r="T8212" t="s">
        <v>48619</v>
      </c>
      <c r="U8212" t="s">
        <v>55497</v>
      </c>
      <c r="W8212" t="s">
        <v>63464</v>
      </c>
      <c r="X8212" t="s">
        <v>46578</v>
      </c>
    </row>
    <row r="8213" spans="1:24">
      <c r="A8213">
        <f>HYPERLINK("https://www.philgeps.gov.ph/GEPSNONPILOT/Tender/SplashBidNoticeAbstractUI.aspx?menuIndex=3&amp;refID=7050451&amp;Result=3","7050451")</f>
        <v>0</v>
      </c>
      <c r="B8213" t="s">
        <v>2442</v>
      </c>
      <c r="C8213" t="s">
        <v>11328</v>
      </c>
      <c r="D8213" t="s">
        <v>18852</v>
      </c>
      <c r="E8213" t="s">
        <v>26095</v>
      </c>
      <c r="F8213" t="s">
        <v>32664</v>
      </c>
      <c r="G8213" t="s">
        <v>32672</v>
      </c>
      <c r="H8213" t="s">
        <v>32683</v>
      </c>
      <c r="I8213" t="s">
        <v>10627</v>
      </c>
      <c r="J8213" t="s">
        <v>37810</v>
      </c>
      <c r="K8213" t="s">
        <v>42314</v>
      </c>
      <c r="M8213" t="s">
        <v>45235</v>
      </c>
      <c r="N8213" t="s">
        <v>46569</v>
      </c>
      <c r="O8213" t="s">
        <v>46570</v>
      </c>
      <c r="P8213">
        <v>0</v>
      </c>
      <c r="Q8213">
        <v>0</v>
      </c>
      <c r="R8213" t="s">
        <v>46576</v>
      </c>
      <c r="S8213" t="s">
        <v>46749</v>
      </c>
      <c r="T8213" t="s">
        <v>48221</v>
      </c>
      <c r="U8213" t="s">
        <v>55487</v>
      </c>
      <c r="V8213" t="s">
        <v>52412</v>
      </c>
      <c r="W8213" t="s">
        <v>45235</v>
      </c>
      <c r="X8213" t="s">
        <v>46579</v>
      </c>
    </row>
    <row r="8214" spans="1:24">
      <c r="A8214">
        <f>HYPERLINK("https://www.philgeps.gov.ph/GEPSNONPILOT/Tender/SplashBidNoticeAbstractUI.aspx?menuIndex=3&amp;refID=7053230&amp;Result=3","7053230")</f>
        <v>0</v>
      </c>
      <c r="B8214" t="s">
        <v>49</v>
      </c>
      <c r="C8214" t="s">
        <v>11329</v>
      </c>
      <c r="D8214" t="s">
        <v>18799</v>
      </c>
      <c r="E8214" t="s">
        <v>26096</v>
      </c>
      <c r="F8214" t="s">
        <v>32664</v>
      </c>
      <c r="G8214" t="s">
        <v>32672</v>
      </c>
      <c r="H8214" t="s">
        <v>32683</v>
      </c>
      <c r="I8214" t="s">
        <v>10627</v>
      </c>
      <c r="J8214" t="s">
        <v>37811</v>
      </c>
      <c r="K8214" t="s">
        <v>42301</v>
      </c>
      <c r="M8214" t="s">
        <v>42611</v>
      </c>
      <c r="N8214" t="s">
        <v>46569</v>
      </c>
      <c r="O8214" t="s">
        <v>46570</v>
      </c>
      <c r="P8214">
        <v>0</v>
      </c>
      <c r="Q8214">
        <v>5</v>
      </c>
      <c r="R8214" t="s">
        <v>46576</v>
      </c>
      <c r="S8214" t="s">
        <v>46749</v>
      </c>
      <c r="T8214" t="s">
        <v>48377</v>
      </c>
      <c r="U8214" t="s">
        <v>55498</v>
      </c>
      <c r="V8214" t="s">
        <v>62429</v>
      </c>
      <c r="W8214" t="s">
        <v>63463</v>
      </c>
      <c r="X8214" t="s">
        <v>46578</v>
      </c>
    </row>
    <row r="8215" spans="1:24">
      <c r="A8215">
        <f>HYPERLINK("https://www.philgeps.gov.ph/GEPSNONPILOT/Tender/SplashBidNoticeAbstractUI.aspx?menuIndex=3&amp;refID=7050335&amp;Result=3","7050335")</f>
        <v>0</v>
      </c>
      <c r="B8215" t="s">
        <v>2443</v>
      </c>
      <c r="C8215" t="s">
        <v>11330</v>
      </c>
      <c r="D8215" t="s">
        <v>18803</v>
      </c>
      <c r="E8215" t="s">
        <v>26097</v>
      </c>
      <c r="F8215" t="s">
        <v>32664</v>
      </c>
      <c r="G8215" t="s">
        <v>32672</v>
      </c>
      <c r="H8215" t="s">
        <v>32683</v>
      </c>
      <c r="I8215" t="s">
        <v>10627</v>
      </c>
      <c r="J8215" t="s">
        <v>33001</v>
      </c>
      <c r="K8215" t="s">
        <v>42283</v>
      </c>
      <c r="M8215" t="s">
        <v>45236</v>
      </c>
      <c r="N8215" t="s">
        <v>46569</v>
      </c>
      <c r="O8215" t="s">
        <v>46570</v>
      </c>
      <c r="P8215">
        <v>0</v>
      </c>
      <c r="Q8215">
        <v>1</v>
      </c>
      <c r="R8215" t="s">
        <v>46576</v>
      </c>
      <c r="S8215" t="s">
        <v>46749</v>
      </c>
      <c r="T8215" t="s">
        <v>48213</v>
      </c>
      <c r="U8215" t="s">
        <v>55499</v>
      </c>
      <c r="W8215" t="s">
        <v>45236</v>
      </c>
      <c r="X8215" t="s">
        <v>46579</v>
      </c>
    </row>
    <row r="8216" spans="1:24">
      <c r="A8216">
        <f>HYPERLINK("https://www.philgeps.gov.ph/GEPSNONPILOT/Tender/SplashBidNoticeAbstractUI.aspx?menuIndex=3&amp;refID=7053659&amp;Result=3","7053659")</f>
        <v>0</v>
      </c>
      <c r="B8216" t="s">
        <v>1713</v>
      </c>
      <c r="C8216" t="s">
        <v>11331</v>
      </c>
      <c r="D8216" t="s">
        <v>18799</v>
      </c>
      <c r="E8216" t="s">
        <v>26098</v>
      </c>
      <c r="F8216" t="s">
        <v>32664</v>
      </c>
      <c r="G8216" t="s">
        <v>32671</v>
      </c>
      <c r="H8216" t="s">
        <v>12635</v>
      </c>
      <c r="I8216" t="s">
        <v>10590</v>
      </c>
      <c r="J8216" t="s">
        <v>33295</v>
      </c>
      <c r="K8216" t="s">
        <v>42284</v>
      </c>
      <c r="M8216" t="s">
        <v>44408</v>
      </c>
      <c r="N8216" t="s">
        <v>46569</v>
      </c>
      <c r="O8216" t="s">
        <v>46570</v>
      </c>
      <c r="P8216">
        <v>0</v>
      </c>
      <c r="Q8216">
        <v>0</v>
      </c>
      <c r="R8216" t="s">
        <v>46576</v>
      </c>
      <c r="S8216" t="s">
        <v>46749</v>
      </c>
      <c r="T8216" t="s">
        <v>48287</v>
      </c>
      <c r="U8216" t="s">
        <v>55500</v>
      </c>
      <c r="W8216" t="s">
        <v>63529</v>
      </c>
      <c r="X8216" t="s">
        <v>46578</v>
      </c>
    </row>
    <row r="8217" spans="1:24">
      <c r="A8217">
        <f>HYPERLINK("https://www.philgeps.gov.ph/GEPSNONPILOT/Tender/SplashBidNoticeAbstractUI.aspx?menuIndex=3&amp;refID=7053275&amp;Result=3","7053275")</f>
        <v>0</v>
      </c>
      <c r="B8217" t="s">
        <v>49</v>
      </c>
      <c r="C8217" t="s">
        <v>11332</v>
      </c>
      <c r="D8217" t="s">
        <v>18799</v>
      </c>
      <c r="E8217" t="s">
        <v>26099</v>
      </c>
      <c r="F8217" t="s">
        <v>32664</v>
      </c>
      <c r="G8217" t="s">
        <v>32672</v>
      </c>
      <c r="H8217" t="s">
        <v>32683</v>
      </c>
      <c r="I8217" t="s">
        <v>10627</v>
      </c>
      <c r="J8217" t="s">
        <v>37812</v>
      </c>
      <c r="K8217" t="s">
        <v>42301</v>
      </c>
      <c r="M8217" t="s">
        <v>42611</v>
      </c>
      <c r="N8217" t="s">
        <v>46569</v>
      </c>
      <c r="O8217" t="s">
        <v>46570</v>
      </c>
      <c r="P8217">
        <v>0</v>
      </c>
      <c r="Q8217">
        <v>5</v>
      </c>
      <c r="R8217" t="s">
        <v>46576</v>
      </c>
      <c r="S8217" t="s">
        <v>46749</v>
      </c>
      <c r="T8217" t="s">
        <v>48377</v>
      </c>
      <c r="U8217" t="s">
        <v>55501</v>
      </c>
      <c r="V8217" t="s">
        <v>62429</v>
      </c>
      <c r="W8217" t="s">
        <v>63463</v>
      </c>
      <c r="X8217" t="s">
        <v>46578</v>
      </c>
    </row>
    <row r="8218" spans="1:24">
      <c r="A8218">
        <f>HYPERLINK("https://www.philgeps.gov.ph/GEPSNONPILOT/Tender/SplashBidNoticeAbstractUI.aspx?menuIndex=3&amp;refID=7051238&amp;Result=3","7051238")</f>
        <v>0</v>
      </c>
      <c r="B8218" t="s">
        <v>1046</v>
      </c>
      <c r="C8218" t="s">
        <v>11333</v>
      </c>
      <c r="D8218" t="s">
        <v>18815</v>
      </c>
      <c r="E8218" t="s">
        <v>26100</v>
      </c>
      <c r="F8218" t="s">
        <v>32664</v>
      </c>
      <c r="G8218" t="s">
        <v>32672</v>
      </c>
      <c r="H8218" t="s">
        <v>12635</v>
      </c>
      <c r="I8218" t="s">
        <v>6168</v>
      </c>
      <c r="J8218" t="s">
        <v>37813</v>
      </c>
      <c r="K8218" t="s">
        <v>42281</v>
      </c>
      <c r="M8218" t="s">
        <v>43661</v>
      </c>
      <c r="N8218" t="s">
        <v>46569</v>
      </c>
      <c r="O8218" t="s">
        <v>46570</v>
      </c>
      <c r="P8218">
        <v>0</v>
      </c>
      <c r="Q8218">
        <v>1</v>
      </c>
      <c r="R8218" t="s">
        <v>46576</v>
      </c>
      <c r="S8218" t="s">
        <v>46749</v>
      </c>
      <c r="T8218" t="s">
        <v>48221</v>
      </c>
      <c r="U8218" t="s">
        <v>55502</v>
      </c>
      <c r="V8218" t="s">
        <v>62430</v>
      </c>
      <c r="W8218" t="s">
        <v>43661</v>
      </c>
      <c r="X8218" t="s">
        <v>46579</v>
      </c>
    </row>
    <row r="8219" spans="1:24">
      <c r="A8219">
        <f>HYPERLINK("https://www.philgeps.gov.ph/GEPSNONPILOT/Tender/SplashBidNoticeAbstractUI.aspx?menuIndex=3&amp;refID=7054743&amp;Result=3","7054743")</f>
        <v>0</v>
      </c>
      <c r="B8219" t="s">
        <v>2445</v>
      </c>
      <c r="C8219" t="s">
        <v>11334</v>
      </c>
      <c r="D8219" t="s">
        <v>18787</v>
      </c>
      <c r="E8219" t="s">
        <v>26101</v>
      </c>
      <c r="F8219" t="s">
        <v>32664</v>
      </c>
      <c r="G8219" t="s">
        <v>32672</v>
      </c>
      <c r="H8219" t="s">
        <v>32683</v>
      </c>
      <c r="I8219" t="s">
        <v>10627</v>
      </c>
      <c r="J8219" t="s">
        <v>37814</v>
      </c>
      <c r="K8219" t="s">
        <v>42467</v>
      </c>
      <c r="M8219" t="s">
        <v>45238</v>
      </c>
      <c r="N8219" t="s">
        <v>46569</v>
      </c>
      <c r="O8219" t="s">
        <v>46570</v>
      </c>
      <c r="P8219">
        <v>0</v>
      </c>
      <c r="Q8219">
        <v>0</v>
      </c>
      <c r="R8219" t="s">
        <v>46576</v>
      </c>
      <c r="S8219" t="s">
        <v>46749</v>
      </c>
      <c r="T8219" t="s">
        <v>48213</v>
      </c>
      <c r="U8219" t="s">
        <v>55493</v>
      </c>
      <c r="V8219" t="s">
        <v>62431</v>
      </c>
      <c r="W8219" t="s">
        <v>45238</v>
      </c>
      <c r="X8219" t="s">
        <v>46578</v>
      </c>
    </row>
    <row r="8220" spans="1:24">
      <c r="A8220">
        <f>HYPERLINK("https://www.philgeps.gov.ph/GEPSNONPILOT/Tender/SplashBidNoticeAbstractUI.aspx?menuIndex=3&amp;refID=7053152&amp;Result=3","7053152")</f>
        <v>0</v>
      </c>
      <c r="B8220" t="s">
        <v>49</v>
      </c>
      <c r="C8220" t="s">
        <v>11335</v>
      </c>
      <c r="D8220" t="s">
        <v>18799</v>
      </c>
      <c r="E8220" t="s">
        <v>26102</v>
      </c>
      <c r="F8220" t="s">
        <v>32664</v>
      </c>
      <c r="G8220" t="s">
        <v>32672</v>
      </c>
      <c r="H8220" t="s">
        <v>32683</v>
      </c>
      <c r="I8220" t="s">
        <v>10627</v>
      </c>
      <c r="J8220" t="s">
        <v>37815</v>
      </c>
      <c r="K8220" t="s">
        <v>42365</v>
      </c>
      <c r="M8220" t="s">
        <v>42611</v>
      </c>
      <c r="N8220" t="s">
        <v>46569</v>
      </c>
      <c r="O8220" t="s">
        <v>46570</v>
      </c>
      <c r="P8220">
        <v>0</v>
      </c>
      <c r="Q8220">
        <v>4</v>
      </c>
      <c r="R8220" t="s">
        <v>46576</v>
      </c>
      <c r="S8220" t="s">
        <v>46749</v>
      </c>
      <c r="T8220" t="s">
        <v>48377</v>
      </c>
      <c r="U8220" t="s">
        <v>55503</v>
      </c>
      <c r="V8220" t="s">
        <v>62429</v>
      </c>
      <c r="W8220" t="s">
        <v>63463</v>
      </c>
      <c r="X8220" t="s">
        <v>46578</v>
      </c>
    </row>
    <row r="8221" spans="1:24">
      <c r="A8221">
        <f>HYPERLINK("https://www.philgeps.gov.ph/GEPSNONPILOT/Tender/SplashBidNoticeAbstractUI.aspx?menuIndex=3&amp;refID=7055702&amp;Result=3","7055702")</f>
        <v>0</v>
      </c>
      <c r="B8221" t="s">
        <v>2446</v>
      </c>
      <c r="C8221" t="s">
        <v>11336</v>
      </c>
      <c r="D8221" t="s">
        <v>18838</v>
      </c>
      <c r="E8221" t="s">
        <v>26103</v>
      </c>
      <c r="F8221" t="s">
        <v>32664</v>
      </c>
      <c r="G8221" t="s">
        <v>32672</v>
      </c>
      <c r="H8221" t="s">
        <v>12635</v>
      </c>
      <c r="I8221" t="s">
        <v>32708</v>
      </c>
      <c r="J8221" t="s">
        <v>33273</v>
      </c>
      <c r="K8221" t="s">
        <v>42283</v>
      </c>
      <c r="M8221" t="s">
        <v>45239</v>
      </c>
      <c r="N8221" t="s">
        <v>46569</v>
      </c>
      <c r="O8221" t="s">
        <v>46570</v>
      </c>
      <c r="P8221">
        <v>0</v>
      </c>
      <c r="Q8221">
        <v>12</v>
      </c>
      <c r="R8221" t="s">
        <v>46576</v>
      </c>
      <c r="S8221" t="s">
        <v>46749</v>
      </c>
      <c r="T8221" t="s">
        <v>48617</v>
      </c>
      <c r="U8221" t="s">
        <v>55504</v>
      </c>
      <c r="V8221" t="s">
        <v>62432</v>
      </c>
      <c r="W8221" t="s">
        <v>45239</v>
      </c>
      <c r="X8221" t="s">
        <v>46577</v>
      </c>
    </row>
    <row r="8222" spans="1:24">
      <c r="A8222">
        <f>HYPERLINK("https://www.philgeps.gov.ph/GEPSNONPILOT/Tender/SplashBidNoticeAbstractUI.aspx?menuIndex=3&amp;refID=7055696&amp;Result=3","7055696")</f>
        <v>0</v>
      </c>
      <c r="B8222" t="s">
        <v>1745</v>
      </c>
      <c r="C8222" t="s">
        <v>11337</v>
      </c>
      <c r="D8222" t="s">
        <v>18822</v>
      </c>
      <c r="E8222" t="s">
        <v>23449</v>
      </c>
      <c r="F8222" t="s">
        <v>32664</v>
      </c>
      <c r="G8222" t="s">
        <v>32672</v>
      </c>
      <c r="H8222" t="s">
        <v>12635</v>
      </c>
      <c r="I8222" t="s">
        <v>4439</v>
      </c>
      <c r="J8222" t="s">
        <v>34355</v>
      </c>
      <c r="K8222" t="s">
        <v>42289</v>
      </c>
      <c r="M8222" t="s">
        <v>44444</v>
      </c>
      <c r="N8222" t="s">
        <v>46569</v>
      </c>
      <c r="O8222" t="s">
        <v>46570</v>
      </c>
      <c r="P8222">
        <v>0</v>
      </c>
      <c r="Q8222">
        <v>1</v>
      </c>
      <c r="R8222" t="s">
        <v>46576</v>
      </c>
      <c r="S8222" t="s">
        <v>46749</v>
      </c>
      <c r="T8222" t="s">
        <v>48258</v>
      </c>
      <c r="U8222" t="s">
        <v>52992</v>
      </c>
      <c r="W8222" t="s">
        <v>44444</v>
      </c>
      <c r="X8222" t="s">
        <v>46577</v>
      </c>
    </row>
    <row r="8223" spans="1:24">
      <c r="A8223">
        <f>HYPERLINK("https://www.philgeps.gov.ph/GEPSNONPILOT/Tender/SplashBidNoticeAbstractUI.aspx?menuIndex=3&amp;refID=7055694&amp;Result=3","7055694")</f>
        <v>0</v>
      </c>
      <c r="B8223" t="s">
        <v>2447</v>
      </c>
      <c r="C8223" t="s">
        <v>11338</v>
      </c>
      <c r="D8223" t="s">
        <v>18858</v>
      </c>
      <c r="E8223" t="s">
        <v>24785</v>
      </c>
      <c r="F8223" t="s">
        <v>32664</v>
      </c>
      <c r="G8223" t="s">
        <v>32672</v>
      </c>
      <c r="H8223" t="s">
        <v>32683</v>
      </c>
      <c r="I8223" t="s">
        <v>10627</v>
      </c>
      <c r="J8223" t="s">
        <v>37816</v>
      </c>
      <c r="K8223" t="s">
        <v>42301</v>
      </c>
      <c r="M8223" t="s">
        <v>45240</v>
      </c>
      <c r="N8223" t="s">
        <v>46569</v>
      </c>
      <c r="O8223" t="s">
        <v>46570</v>
      </c>
      <c r="P8223">
        <v>0</v>
      </c>
      <c r="Q8223">
        <v>0</v>
      </c>
      <c r="R8223" t="s">
        <v>46576</v>
      </c>
      <c r="S8223" t="s">
        <v>46749</v>
      </c>
      <c r="T8223" t="s">
        <v>48620</v>
      </c>
      <c r="U8223" t="s">
        <v>55505</v>
      </c>
      <c r="W8223" t="s">
        <v>45240</v>
      </c>
      <c r="X8223" t="s">
        <v>46577</v>
      </c>
    </row>
    <row r="8224" spans="1:24">
      <c r="A8224">
        <f>HYPERLINK("https://www.philgeps.gov.ph/GEPSNONPILOT/Tender/SplashBidNoticeAbstractUI.aspx?menuIndex=3&amp;refID=7051181&amp;Result=3","7051181")</f>
        <v>0</v>
      </c>
      <c r="B8224" t="s">
        <v>943</v>
      </c>
      <c r="C8224" t="s">
        <v>11339</v>
      </c>
      <c r="D8224" t="s">
        <v>18784</v>
      </c>
      <c r="E8224" t="s">
        <v>26104</v>
      </c>
      <c r="F8224" t="s">
        <v>32664</v>
      </c>
      <c r="G8224" t="s">
        <v>32671</v>
      </c>
      <c r="H8224" t="s">
        <v>12635</v>
      </c>
      <c r="I8224" t="s">
        <v>32685</v>
      </c>
      <c r="J8224" t="s">
        <v>33089</v>
      </c>
      <c r="K8224" t="s">
        <v>42289</v>
      </c>
      <c r="M8224" t="s">
        <v>45241</v>
      </c>
      <c r="N8224" t="s">
        <v>46569</v>
      </c>
      <c r="O8224" t="s">
        <v>46570</v>
      </c>
      <c r="P8224">
        <v>0</v>
      </c>
      <c r="Q8224">
        <v>2</v>
      </c>
      <c r="R8224" t="s">
        <v>46576</v>
      </c>
      <c r="S8224" t="s">
        <v>46749</v>
      </c>
      <c r="T8224" t="s">
        <v>48316</v>
      </c>
      <c r="U8224" t="s">
        <v>55506</v>
      </c>
      <c r="V8224" t="s">
        <v>62433</v>
      </c>
      <c r="W8224" t="s">
        <v>45241</v>
      </c>
      <c r="X8224" t="s">
        <v>46579</v>
      </c>
    </row>
    <row r="8225" spans="1:24">
      <c r="A8225">
        <f>HYPERLINK("https://www.philgeps.gov.ph/GEPSNONPILOT/Tender/SplashBidNoticeAbstractUI.aspx?menuIndex=3&amp;refID=7055691&amp;Result=3","7055691")</f>
        <v>0</v>
      </c>
      <c r="B8225" t="s">
        <v>2448</v>
      </c>
      <c r="C8225" t="s">
        <v>11340</v>
      </c>
      <c r="D8225" t="s">
        <v>18827</v>
      </c>
      <c r="E8225" t="s">
        <v>26105</v>
      </c>
      <c r="F8225" t="s">
        <v>32664</v>
      </c>
      <c r="G8225" t="s">
        <v>32671</v>
      </c>
      <c r="H8225" t="s">
        <v>12635</v>
      </c>
      <c r="I8225" t="s">
        <v>32724</v>
      </c>
      <c r="J8225" t="s">
        <v>33387</v>
      </c>
      <c r="K8225" t="s">
        <v>42284</v>
      </c>
      <c r="M8225" t="s">
        <v>45242</v>
      </c>
      <c r="N8225" t="s">
        <v>46569</v>
      </c>
      <c r="O8225" t="s">
        <v>46570</v>
      </c>
      <c r="P8225">
        <v>0</v>
      </c>
      <c r="Q8225">
        <v>2</v>
      </c>
      <c r="R8225" t="s">
        <v>46576</v>
      </c>
      <c r="S8225" t="s">
        <v>46749</v>
      </c>
      <c r="T8225" t="s">
        <v>48290</v>
      </c>
      <c r="U8225" t="s">
        <v>52456</v>
      </c>
      <c r="W8225" t="s">
        <v>45242</v>
      </c>
      <c r="X8225" t="s">
        <v>46577</v>
      </c>
    </row>
    <row r="8226" spans="1:24">
      <c r="A8226">
        <f>HYPERLINK("https://www.philgeps.gov.ph/GEPSNONPILOT/Tender/SplashBidNoticeAbstractUI.aspx?menuIndex=3&amp;refID=7055682&amp;Result=3","7055682")</f>
        <v>0</v>
      </c>
      <c r="B8226" t="s">
        <v>1745</v>
      </c>
      <c r="C8226" t="s">
        <v>11341</v>
      </c>
      <c r="D8226" t="s">
        <v>18822</v>
      </c>
      <c r="E8226" t="s">
        <v>23449</v>
      </c>
      <c r="F8226" t="s">
        <v>32664</v>
      </c>
      <c r="G8226" t="s">
        <v>32672</v>
      </c>
      <c r="H8226" t="s">
        <v>12635</v>
      </c>
      <c r="I8226" t="s">
        <v>4439</v>
      </c>
      <c r="J8226" t="s">
        <v>34355</v>
      </c>
      <c r="K8226" t="s">
        <v>42289</v>
      </c>
      <c r="M8226" t="s">
        <v>44444</v>
      </c>
      <c r="N8226" t="s">
        <v>46569</v>
      </c>
      <c r="O8226" t="s">
        <v>46570</v>
      </c>
      <c r="P8226">
        <v>0</v>
      </c>
      <c r="Q8226">
        <v>1</v>
      </c>
      <c r="R8226" t="s">
        <v>46576</v>
      </c>
      <c r="S8226" t="s">
        <v>46749</v>
      </c>
      <c r="T8226" t="s">
        <v>48258</v>
      </c>
      <c r="U8226" t="s">
        <v>52992</v>
      </c>
      <c r="W8226" t="s">
        <v>44444</v>
      </c>
      <c r="X8226" t="s">
        <v>46577</v>
      </c>
    </row>
    <row r="8227" spans="1:24">
      <c r="A8227">
        <f>HYPERLINK("https://www.philgeps.gov.ph/GEPSNONPILOT/Tender/SplashBidNoticeAbstractUI.aspx?menuIndex=3&amp;refID=7055661&amp;Result=3","7055661")</f>
        <v>0</v>
      </c>
      <c r="B8227" t="s">
        <v>2449</v>
      </c>
      <c r="C8227" t="s">
        <v>11342</v>
      </c>
      <c r="D8227" t="s">
        <v>18806</v>
      </c>
      <c r="E8227" t="s">
        <v>19782</v>
      </c>
      <c r="F8227" t="s">
        <v>32664</v>
      </c>
      <c r="G8227" t="s">
        <v>32672</v>
      </c>
      <c r="H8227" t="s">
        <v>12635</v>
      </c>
      <c r="I8227" t="s">
        <v>4439</v>
      </c>
      <c r="J8227" t="s">
        <v>37817</v>
      </c>
      <c r="K8227" t="s">
        <v>42289</v>
      </c>
      <c r="M8227" t="s">
        <v>45243</v>
      </c>
      <c r="N8227" t="s">
        <v>46569</v>
      </c>
      <c r="O8227" t="s">
        <v>46570</v>
      </c>
      <c r="P8227">
        <v>0</v>
      </c>
      <c r="Q8227">
        <v>1</v>
      </c>
      <c r="R8227" t="s">
        <v>46576</v>
      </c>
      <c r="S8227" t="s">
        <v>46749</v>
      </c>
      <c r="T8227" t="s">
        <v>48477</v>
      </c>
      <c r="U8227" t="s">
        <v>49848</v>
      </c>
      <c r="W8227" t="s">
        <v>45243</v>
      </c>
      <c r="X8227" t="s">
        <v>46577</v>
      </c>
    </row>
    <row r="8228" spans="1:24">
      <c r="A8228">
        <f>HYPERLINK("https://www.philgeps.gov.ph/GEPSNONPILOT/Tender/SplashBidNoticeAbstractUI.aspx?menuIndex=3&amp;refID=7050033&amp;Result=3","7050033")</f>
        <v>0</v>
      </c>
      <c r="B8228" t="s">
        <v>2442</v>
      </c>
      <c r="C8228" t="s">
        <v>11343</v>
      </c>
      <c r="D8228" t="s">
        <v>18852</v>
      </c>
      <c r="E8228" t="s">
        <v>26106</v>
      </c>
      <c r="F8228" t="s">
        <v>32664</v>
      </c>
      <c r="G8228" t="s">
        <v>32672</v>
      </c>
      <c r="H8228" t="s">
        <v>32683</v>
      </c>
      <c r="I8228" t="s">
        <v>10627</v>
      </c>
      <c r="J8228" t="s">
        <v>37818</v>
      </c>
      <c r="K8228" t="s">
        <v>42395</v>
      </c>
      <c r="M8228" t="s">
        <v>45235</v>
      </c>
      <c r="N8228" t="s">
        <v>46569</v>
      </c>
      <c r="O8228" t="s">
        <v>46570</v>
      </c>
      <c r="P8228">
        <v>0</v>
      </c>
      <c r="Q8228">
        <v>0</v>
      </c>
      <c r="R8228" t="s">
        <v>46576</v>
      </c>
      <c r="S8228" t="s">
        <v>46749</v>
      </c>
      <c r="T8228" t="s">
        <v>48221</v>
      </c>
      <c r="U8228" t="s">
        <v>55487</v>
      </c>
      <c r="V8228" t="s">
        <v>52412</v>
      </c>
      <c r="W8228" t="s">
        <v>45235</v>
      </c>
      <c r="X8228" t="s">
        <v>46579</v>
      </c>
    </row>
    <row r="8229" spans="1:24">
      <c r="A8229">
        <f>HYPERLINK("https://www.philgeps.gov.ph/GEPSNONPILOT/Tender/SplashBidNoticeAbstractUI.aspx?menuIndex=3&amp;refID=7051998&amp;Result=3","7051998")</f>
        <v>0</v>
      </c>
      <c r="B8229" t="s">
        <v>2450</v>
      </c>
      <c r="C8229" t="s">
        <v>11344</v>
      </c>
      <c r="D8229" t="s">
        <v>18785</v>
      </c>
      <c r="E8229" t="s">
        <v>19323</v>
      </c>
      <c r="F8229" t="s">
        <v>32664</v>
      </c>
      <c r="G8229" t="s">
        <v>32672</v>
      </c>
      <c r="H8229" t="s">
        <v>12635</v>
      </c>
      <c r="I8229" t="s">
        <v>10374</v>
      </c>
      <c r="J8229" t="s">
        <v>37819</v>
      </c>
      <c r="K8229" t="s">
        <v>42332</v>
      </c>
      <c r="L8229" t="s">
        <v>2450</v>
      </c>
      <c r="M8229" t="s">
        <v>45244</v>
      </c>
      <c r="N8229" t="s">
        <v>46569</v>
      </c>
      <c r="O8229" t="s">
        <v>46570</v>
      </c>
      <c r="P8229">
        <v>0</v>
      </c>
      <c r="Q8229">
        <v>0</v>
      </c>
      <c r="R8229" t="s">
        <v>46576</v>
      </c>
      <c r="S8229" t="s">
        <v>46749</v>
      </c>
      <c r="T8229" t="s">
        <v>48221</v>
      </c>
      <c r="U8229" t="s">
        <v>55507</v>
      </c>
      <c r="W8229" t="s">
        <v>45244</v>
      </c>
      <c r="X8229" t="s">
        <v>46579</v>
      </c>
    </row>
    <row r="8230" spans="1:24">
      <c r="A8230">
        <f>HYPERLINK("https://www.philgeps.gov.ph/GEPSNONPILOT/Tender/SplashBidNoticeAbstractUI.aspx?menuIndex=3&amp;refID=7055659&amp;Result=3","7055659")</f>
        <v>0</v>
      </c>
      <c r="B8230" t="s">
        <v>2449</v>
      </c>
      <c r="C8230" t="s">
        <v>11345</v>
      </c>
      <c r="D8230" t="s">
        <v>18806</v>
      </c>
      <c r="E8230" t="s">
        <v>19183</v>
      </c>
      <c r="F8230" t="s">
        <v>32664</v>
      </c>
      <c r="G8230" t="s">
        <v>32672</v>
      </c>
      <c r="H8230" t="s">
        <v>12635</v>
      </c>
      <c r="I8230" t="s">
        <v>10590</v>
      </c>
      <c r="J8230" t="s">
        <v>33096</v>
      </c>
      <c r="K8230" t="s">
        <v>42289</v>
      </c>
      <c r="M8230" t="s">
        <v>45243</v>
      </c>
      <c r="N8230" t="s">
        <v>46569</v>
      </c>
      <c r="O8230" t="s">
        <v>46570</v>
      </c>
      <c r="P8230">
        <v>0</v>
      </c>
      <c r="Q8230">
        <v>0</v>
      </c>
      <c r="R8230" t="s">
        <v>46576</v>
      </c>
      <c r="S8230" t="s">
        <v>46749</v>
      </c>
      <c r="T8230" t="s">
        <v>48477</v>
      </c>
      <c r="U8230" t="s">
        <v>55508</v>
      </c>
      <c r="W8230" t="s">
        <v>45243</v>
      </c>
      <c r="X8230" t="s">
        <v>46577</v>
      </c>
    </row>
    <row r="8231" spans="1:24">
      <c r="A8231">
        <f>HYPERLINK("https://www.philgeps.gov.ph/GEPSNONPILOT/Tender/SplashBidNoticeAbstractUI.aspx?menuIndex=3&amp;refID=7055662&amp;Result=3","7055662")</f>
        <v>0</v>
      </c>
      <c r="B8231" t="s">
        <v>2449</v>
      </c>
      <c r="C8231" t="s">
        <v>11346</v>
      </c>
      <c r="D8231" t="s">
        <v>18806</v>
      </c>
      <c r="E8231" t="s">
        <v>19780</v>
      </c>
      <c r="F8231" t="s">
        <v>32664</v>
      </c>
      <c r="G8231" t="s">
        <v>32672</v>
      </c>
      <c r="H8231" t="s">
        <v>12635</v>
      </c>
      <c r="I8231" t="s">
        <v>4439</v>
      </c>
      <c r="J8231" t="s">
        <v>35111</v>
      </c>
      <c r="K8231" t="s">
        <v>42289</v>
      </c>
      <c r="M8231" t="s">
        <v>45243</v>
      </c>
      <c r="N8231" t="s">
        <v>46569</v>
      </c>
      <c r="O8231" t="s">
        <v>46570</v>
      </c>
      <c r="P8231">
        <v>0</v>
      </c>
      <c r="Q8231">
        <v>1</v>
      </c>
      <c r="R8231" t="s">
        <v>46576</v>
      </c>
      <c r="S8231" t="s">
        <v>46749</v>
      </c>
      <c r="T8231" t="s">
        <v>48477</v>
      </c>
      <c r="U8231" t="s">
        <v>49848</v>
      </c>
      <c r="W8231" t="s">
        <v>45243</v>
      </c>
      <c r="X8231" t="s">
        <v>46577</v>
      </c>
    </row>
    <row r="8232" spans="1:24">
      <c r="A8232">
        <f>HYPERLINK("https://www.philgeps.gov.ph/GEPSNONPILOT/Tender/SplashBidNoticeAbstractUI.aspx?menuIndex=3&amp;refID=7055658&amp;Result=3","7055658")</f>
        <v>0</v>
      </c>
      <c r="B8232" t="s">
        <v>2449</v>
      </c>
      <c r="C8232" t="s">
        <v>11347</v>
      </c>
      <c r="D8232" t="s">
        <v>18806</v>
      </c>
      <c r="E8232" t="s">
        <v>19708</v>
      </c>
      <c r="F8232" t="s">
        <v>32664</v>
      </c>
      <c r="G8232" t="s">
        <v>32672</v>
      </c>
      <c r="H8232" t="s">
        <v>12635</v>
      </c>
      <c r="I8232" t="s">
        <v>32685</v>
      </c>
      <c r="J8232" t="s">
        <v>33653</v>
      </c>
      <c r="K8232" t="s">
        <v>42289</v>
      </c>
      <c r="M8232" t="s">
        <v>45243</v>
      </c>
      <c r="N8232" t="s">
        <v>46569</v>
      </c>
      <c r="O8232" t="s">
        <v>46570</v>
      </c>
      <c r="P8232">
        <v>0</v>
      </c>
      <c r="Q8232">
        <v>2</v>
      </c>
      <c r="R8232" t="s">
        <v>46576</v>
      </c>
      <c r="S8232" t="s">
        <v>46749</v>
      </c>
      <c r="T8232" t="s">
        <v>48477</v>
      </c>
      <c r="U8232" t="s">
        <v>55509</v>
      </c>
      <c r="W8232" t="s">
        <v>45243</v>
      </c>
      <c r="X8232" t="s">
        <v>46577</v>
      </c>
    </row>
    <row r="8233" spans="1:24">
      <c r="A8233">
        <f>HYPERLINK("https://www.philgeps.gov.ph/GEPSNONPILOT/Tender/SplashBidNoticeAbstractUI.aspx?menuIndex=3&amp;refID=7055660&amp;Result=3","7055660")</f>
        <v>0</v>
      </c>
      <c r="B8233" t="s">
        <v>2449</v>
      </c>
      <c r="C8233" t="s">
        <v>11348</v>
      </c>
      <c r="D8233" t="s">
        <v>18806</v>
      </c>
      <c r="E8233" t="s">
        <v>19785</v>
      </c>
      <c r="F8233" t="s">
        <v>32664</v>
      </c>
      <c r="G8233" t="s">
        <v>32672</v>
      </c>
      <c r="H8233" t="s">
        <v>12635</v>
      </c>
      <c r="I8233" t="s">
        <v>4439</v>
      </c>
      <c r="J8233" t="s">
        <v>37820</v>
      </c>
      <c r="K8233" t="s">
        <v>42289</v>
      </c>
      <c r="M8233" t="s">
        <v>45243</v>
      </c>
      <c r="N8233" t="s">
        <v>46569</v>
      </c>
      <c r="O8233" t="s">
        <v>46570</v>
      </c>
      <c r="P8233">
        <v>0</v>
      </c>
      <c r="Q8233">
        <v>1</v>
      </c>
      <c r="R8233" t="s">
        <v>46576</v>
      </c>
      <c r="S8233" t="s">
        <v>46749</v>
      </c>
      <c r="T8233" t="s">
        <v>48621</v>
      </c>
      <c r="U8233" t="s">
        <v>49848</v>
      </c>
      <c r="W8233" t="s">
        <v>45243</v>
      </c>
      <c r="X8233" t="s">
        <v>46577</v>
      </c>
    </row>
    <row r="8234" spans="1:24">
      <c r="A8234">
        <f>HYPERLINK("https://www.philgeps.gov.ph/GEPSNONPILOT/Tender/SplashBidNoticeAbstractUI.aspx?menuIndex=3&amp;refID=7055701&amp;Result=3","7055701")</f>
        <v>0</v>
      </c>
      <c r="B8234" t="s">
        <v>327</v>
      </c>
      <c r="C8234" t="s">
        <v>11349</v>
      </c>
      <c r="D8234" t="s">
        <v>18826</v>
      </c>
      <c r="E8234" t="s">
        <v>26107</v>
      </c>
      <c r="F8234" t="s">
        <v>32664</v>
      </c>
      <c r="G8234" t="s">
        <v>32672</v>
      </c>
      <c r="H8234" t="s">
        <v>32683</v>
      </c>
      <c r="I8234" t="s">
        <v>10627</v>
      </c>
      <c r="J8234" t="s">
        <v>37821</v>
      </c>
      <c r="K8234" t="s">
        <v>42290</v>
      </c>
      <c r="M8234" t="s">
        <v>42895</v>
      </c>
      <c r="N8234" t="s">
        <v>46569</v>
      </c>
      <c r="O8234" t="s">
        <v>46570</v>
      </c>
      <c r="P8234">
        <v>0</v>
      </c>
      <c r="Q8234">
        <v>26</v>
      </c>
      <c r="R8234" t="s">
        <v>46576</v>
      </c>
      <c r="S8234" t="s">
        <v>46749</v>
      </c>
      <c r="T8234" t="s">
        <v>48603</v>
      </c>
      <c r="U8234" t="s">
        <v>55510</v>
      </c>
      <c r="W8234" t="s">
        <v>42895</v>
      </c>
      <c r="X8234" t="s">
        <v>46577</v>
      </c>
    </row>
    <row r="8235" spans="1:24">
      <c r="A8235">
        <f>HYPERLINK("https://www.philgeps.gov.ph/GEPSNONPILOT/Tender/SplashBidNoticeAbstractUI.aspx?menuIndex=3&amp;refID=7055783&amp;Result=3","7055783")</f>
        <v>0</v>
      </c>
      <c r="B8235" t="s">
        <v>565</v>
      </c>
      <c r="C8235" t="s">
        <v>11350</v>
      </c>
      <c r="E8235" t="s">
        <v>26108</v>
      </c>
      <c r="F8235" t="s">
        <v>32664</v>
      </c>
      <c r="G8235" t="s">
        <v>32672</v>
      </c>
      <c r="H8235" t="s">
        <v>12635</v>
      </c>
      <c r="I8235" t="s">
        <v>9486</v>
      </c>
      <c r="J8235" t="s">
        <v>37822</v>
      </c>
      <c r="K8235" t="s">
        <v>42283</v>
      </c>
      <c r="M8235" t="s">
        <v>43145</v>
      </c>
      <c r="N8235" t="s">
        <v>46569</v>
      </c>
      <c r="O8235" t="s">
        <v>46570</v>
      </c>
      <c r="P8235">
        <v>0</v>
      </c>
      <c r="Q8235">
        <v>4</v>
      </c>
      <c r="R8235" t="s">
        <v>46576</v>
      </c>
      <c r="S8235" t="s">
        <v>46749</v>
      </c>
      <c r="T8235" t="s">
        <v>48293</v>
      </c>
      <c r="U8235" t="s">
        <v>53837</v>
      </c>
      <c r="W8235" t="s">
        <v>43145</v>
      </c>
      <c r="X8235" t="s">
        <v>46577</v>
      </c>
    </row>
    <row r="8236" spans="1:24">
      <c r="A8236">
        <f>HYPERLINK("https://www.philgeps.gov.ph/GEPSNONPILOT/Tender/SplashBidNoticeAbstractUI.aspx?menuIndex=3&amp;refID=7055782&amp;Result=3","7055782")</f>
        <v>0</v>
      </c>
      <c r="B8236" t="s">
        <v>1752</v>
      </c>
      <c r="C8236" t="s">
        <v>11351</v>
      </c>
      <c r="D8236" t="s">
        <v>18791</v>
      </c>
      <c r="E8236" t="s">
        <v>26109</v>
      </c>
      <c r="F8236" t="s">
        <v>32664</v>
      </c>
      <c r="G8236" t="s">
        <v>32672</v>
      </c>
      <c r="H8236" t="s">
        <v>12635</v>
      </c>
      <c r="I8236" t="s">
        <v>14442</v>
      </c>
      <c r="J8236" t="s">
        <v>37823</v>
      </c>
      <c r="K8236" t="s">
        <v>42281</v>
      </c>
      <c r="M8236" t="s">
        <v>44452</v>
      </c>
      <c r="N8236" t="s">
        <v>46569</v>
      </c>
      <c r="O8236" t="s">
        <v>46570</v>
      </c>
      <c r="P8236">
        <v>0</v>
      </c>
      <c r="Q8236">
        <v>7</v>
      </c>
      <c r="R8236" t="s">
        <v>46576</v>
      </c>
      <c r="S8236" t="s">
        <v>46749</v>
      </c>
      <c r="T8236" t="s">
        <v>48293</v>
      </c>
      <c r="U8236" t="s">
        <v>55511</v>
      </c>
      <c r="V8236" t="s">
        <v>62434</v>
      </c>
      <c r="W8236" t="s">
        <v>44452</v>
      </c>
      <c r="X8236" t="s">
        <v>46577</v>
      </c>
    </row>
    <row r="8237" spans="1:24">
      <c r="A8237">
        <f>HYPERLINK("https://www.philgeps.gov.ph/GEPSNONPILOT/Tender/SplashBidNoticeAbstractUI.aspx?menuIndex=3&amp;refID=7055781&amp;Result=3","7055781")</f>
        <v>0</v>
      </c>
      <c r="B8237" t="s">
        <v>1452</v>
      </c>
      <c r="C8237" t="s">
        <v>11352</v>
      </c>
      <c r="D8237" t="s">
        <v>18812</v>
      </c>
      <c r="E8237" t="s">
        <v>26110</v>
      </c>
      <c r="F8237" t="s">
        <v>32664</v>
      </c>
      <c r="G8237" t="s">
        <v>32672</v>
      </c>
      <c r="H8237" t="s">
        <v>12635</v>
      </c>
      <c r="I8237" t="s">
        <v>4439</v>
      </c>
      <c r="J8237" t="s">
        <v>37824</v>
      </c>
      <c r="K8237" t="s">
        <v>42330</v>
      </c>
      <c r="M8237" t="s">
        <v>44113</v>
      </c>
      <c r="N8237" t="s">
        <v>46569</v>
      </c>
      <c r="O8237" t="s">
        <v>46570</v>
      </c>
      <c r="P8237">
        <v>0</v>
      </c>
      <c r="Q8237">
        <v>0</v>
      </c>
      <c r="R8237" t="s">
        <v>46576</v>
      </c>
      <c r="S8237" t="s">
        <v>46749</v>
      </c>
      <c r="T8237" t="s">
        <v>48282</v>
      </c>
      <c r="U8237" t="s">
        <v>55512</v>
      </c>
      <c r="W8237" t="s">
        <v>44113</v>
      </c>
      <c r="X8237" t="s">
        <v>46577</v>
      </c>
    </row>
    <row r="8238" spans="1:24">
      <c r="A8238">
        <f>HYPERLINK("https://www.philgeps.gov.ph/GEPSNONPILOT/Tender/SplashBidNoticeAbstractUI.aspx?menuIndex=3&amp;refID=7055780&amp;Result=3","7055780")</f>
        <v>0</v>
      </c>
      <c r="B8238" t="s">
        <v>2451</v>
      </c>
      <c r="C8238" t="s">
        <v>11353</v>
      </c>
      <c r="E8238" t="s">
        <v>26111</v>
      </c>
      <c r="F8238" t="s">
        <v>32665</v>
      </c>
      <c r="G8238" t="s">
        <v>32671</v>
      </c>
      <c r="H8238" t="s">
        <v>12635</v>
      </c>
      <c r="I8238" t="s">
        <v>6628</v>
      </c>
      <c r="J8238" t="s">
        <v>32976</v>
      </c>
      <c r="K8238" t="s">
        <v>42309</v>
      </c>
      <c r="M8238" t="s">
        <v>45245</v>
      </c>
      <c r="N8238" t="s">
        <v>46569</v>
      </c>
      <c r="O8238" t="s">
        <v>46570</v>
      </c>
      <c r="P8238">
        <v>0</v>
      </c>
      <c r="Q8238">
        <v>6</v>
      </c>
      <c r="R8238" t="s">
        <v>46576</v>
      </c>
      <c r="S8238" t="s">
        <v>46749</v>
      </c>
      <c r="T8238" t="s">
        <v>48219</v>
      </c>
      <c r="U8238" t="s">
        <v>55513</v>
      </c>
      <c r="W8238" t="s">
        <v>45245</v>
      </c>
      <c r="X8238" t="s">
        <v>46577</v>
      </c>
    </row>
    <row r="8239" spans="1:24">
      <c r="A8239">
        <f>HYPERLINK("https://www.philgeps.gov.ph/GEPSNONPILOT/Tender/SplashBidNoticeAbstractUI.aspx?menuIndex=3&amp;refID=7055770&amp;Result=3","7055770")</f>
        <v>0</v>
      </c>
      <c r="B8239" t="s">
        <v>2446</v>
      </c>
      <c r="C8239" t="s">
        <v>11354</v>
      </c>
      <c r="D8239" t="s">
        <v>18838</v>
      </c>
      <c r="E8239" t="s">
        <v>26112</v>
      </c>
      <c r="F8239" t="s">
        <v>32664</v>
      </c>
      <c r="G8239" t="s">
        <v>32672</v>
      </c>
      <c r="H8239" t="s">
        <v>12635</v>
      </c>
      <c r="I8239" t="s">
        <v>32704</v>
      </c>
      <c r="J8239" t="s">
        <v>37825</v>
      </c>
      <c r="K8239" t="s">
        <v>42283</v>
      </c>
      <c r="M8239" t="s">
        <v>45239</v>
      </c>
      <c r="N8239" t="s">
        <v>46569</v>
      </c>
      <c r="O8239" t="s">
        <v>46570</v>
      </c>
      <c r="P8239">
        <v>0</v>
      </c>
      <c r="Q8239">
        <v>37</v>
      </c>
      <c r="R8239" t="s">
        <v>46576</v>
      </c>
      <c r="S8239" t="s">
        <v>46749</v>
      </c>
      <c r="T8239" t="s">
        <v>48617</v>
      </c>
      <c r="U8239" t="s">
        <v>55514</v>
      </c>
      <c r="V8239" t="s">
        <v>62435</v>
      </c>
      <c r="W8239" t="s">
        <v>45239</v>
      </c>
      <c r="X8239" t="s">
        <v>46577</v>
      </c>
    </row>
    <row r="8240" spans="1:24">
      <c r="A8240">
        <f>HYPERLINK("https://www.philgeps.gov.ph/GEPSNONPILOT/Tender/SplashBidNoticeAbstractUI.aspx?menuIndex=3&amp;refID=7055757&amp;Result=3","7055757")</f>
        <v>0</v>
      </c>
      <c r="B8240" t="s">
        <v>1745</v>
      </c>
      <c r="C8240" t="s">
        <v>11355</v>
      </c>
      <c r="D8240" t="s">
        <v>18822</v>
      </c>
      <c r="E8240" t="s">
        <v>23449</v>
      </c>
      <c r="F8240" t="s">
        <v>32664</v>
      </c>
      <c r="G8240" t="s">
        <v>32672</v>
      </c>
      <c r="H8240" t="s">
        <v>12635</v>
      </c>
      <c r="I8240" t="s">
        <v>4439</v>
      </c>
      <c r="J8240" t="s">
        <v>37826</v>
      </c>
      <c r="K8240" t="s">
        <v>42289</v>
      </c>
      <c r="M8240" t="s">
        <v>44444</v>
      </c>
      <c r="N8240" t="s">
        <v>46569</v>
      </c>
      <c r="O8240" t="s">
        <v>46570</v>
      </c>
      <c r="P8240">
        <v>0</v>
      </c>
      <c r="Q8240">
        <v>3</v>
      </c>
      <c r="R8240" t="s">
        <v>46576</v>
      </c>
      <c r="S8240" t="s">
        <v>46749</v>
      </c>
      <c r="T8240" t="s">
        <v>48258</v>
      </c>
      <c r="U8240" t="s">
        <v>55515</v>
      </c>
      <c r="W8240" t="s">
        <v>44444</v>
      </c>
      <c r="X8240" t="s">
        <v>46577</v>
      </c>
    </row>
    <row r="8241" spans="1:24">
      <c r="A8241">
        <f>HYPERLINK("https://www.philgeps.gov.ph/GEPSNONPILOT/Tender/SplashBidNoticeAbstractUI.aspx?menuIndex=3&amp;refID=7056889&amp;Result=3","7056889")</f>
        <v>0</v>
      </c>
      <c r="B8241" t="s">
        <v>2289</v>
      </c>
      <c r="C8241" t="s">
        <v>7868</v>
      </c>
      <c r="D8241" t="s">
        <v>18837</v>
      </c>
      <c r="E8241" t="s">
        <v>26113</v>
      </c>
      <c r="F8241" t="s">
        <v>32664</v>
      </c>
      <c r="G8241" t="s">
        <v>32672</v>
      </c>
      <c r="H8241" t="s">
        <v>12635</v>
      </c>
      <c r="I8241" t="s">
        <v>5589</v>
      </c>
      <c r="J8241" t="s">
        <v>37827</v>
      </c>
      <c r="K8241" t="s">
        <v>42289</v>
      </c>
      <c r="M8241" t="s">
        <v>45060</v>
      </c>
      <c r="N8241" t="s">
        <v>46569</v>
      </c>
      <c r="O8241" t="s">
        <v>46570</v>
      </c>
      <c r="P8241">
        <v>0</v>
      </c>
      <c r="Q8241">
        <v>5</v>
      </c>
      <c r="R8241" t="s">
        <v>46574</v>
      </c>
      <c r="S8241" t="s">
        <v>46723</v>
      </c>
      <c r="T8241" t="s">
        <v>48282</v>
      </c>
      <c r="U8241" t="s">
        <v>55516</v>
      </c>
      <c r="V8241" t="s">
        <v>62436</v>
      </c>
      <c r="W8241" t="s">
        <v>45060</v>
      </c>
      <c r="X8241" t="s">
        <v>46577</v>
      </c>
    </row>
    <row r="8242" spans="1:24">
      <c r="A8242">
        <f>HYPERLINK("https://www.philgeps.gov.ph/GEPSNONPILOT/Tender/SplashBidNoticeAbstractUI.aspx?menuIndex=3&amp;refID=7055756&amp;Result=3","7055756")</f>
        <v>0</v>
      </c>
      <c r="B8242" t="s">
        <v>654</v>
      </c>
      <c r="C8242" t="s">
        <v>11356</v>
      </c>
      <c r="D8242" t="s">
        <v>18827</v>
      </c>
      <c r="E8242" t="s">
        <v>26114</v>
      </c>
      <c r="F8242" t="s">
        <v>32664</v>
      </c>
      <c r="G8242" t="s">
        <v>32672</v>
      </c>
      <c r="H8242" t="s">
        <v>32683</v>
      </c>
      <c r="I8242" t="s">
        <v>10627</v>
      </c>
      <c r="J8242" t="s">
        <v>37828</v>
      </c>
      <c r="K8242" t="s">
        <v>42470</v>
      </c>
      <c r="M8242" t="s">
        <v>43240</v>
      </c>
      <c r="N8242" t="s">
        <v>46569</v>
      </c>
      <c r="O8242" t="s">
        <v>46570</v>
      </c>
      <c r="P8242">
        <v>0</v>
      </c>
      <c r="Q8242">
        <v>3</v>
      </c>
      <c r="R8242" t="s">
        <v>46576</v>
      </c>
      <c r="S8242" t="s">
        <v>46749</v>
      </c>
      <c r="T8242" t="s">
        <v>48213</v>
      </c>
      <c r="U8242" t="s">
        <v>50013</v>
      </c>
      <c r="W8242" t="s">
        <v>43240</v>
      </c>
      <c r="X8242" t="s">
        <v>46577</v>
      </c>
    </row>
    <row r="8243" spans="1:24">
      <c r="A8243">
        <f>HYPERLINK("https://www.philgeps.gov.ph/GEPSNONPILOT/Tender/SplashBidNoticeAbstractUI.aspx?menuIndex=3&amp;refID=7055752&amp;Result=3","7055752")</f>
        <v>0</v>
      </c>
      <c r="B8243" t="s">
        <v>1968</v>
      </c>
      <c r="C8243" t="s">
        <v>11357</v>
      </c>
      <c r="D8243" t="s">
        <v>18791</v>
      </c>
      <c r="E8243" t="s">
        <v>20724</v>
      </c>
      <c r="F8243" t="s">
        <v>32664</v>
      </c>
      <c r="G8243" t="s">
        <v>32672</v>
      </c>
      <c r="H8243" t="s">
        <v>12635</v>
      </c>
      <c r="I8243" t="s">
        <v>7324</v>
      </c>
      <c r="J8243" t="s">
        <v>37829</v>
      </c>
      <c r="K8243" t="s">
        <v>42281</v>
      </c>
      <c r="M8243" t="s">
        <v>44701</v>
      </c>
      <c r="N8243" t="s">
        <v>46569</v>
      </c>
      <c r="O8243" t="s">
        <v>46570</v>
      </c>
      <c r="P8243">
        <v>0</v>
      </c>
      <c r="Q8243">
        <v>0</v>
      </c>
      <c r="R8243" t="s">
        <v>46576</v>
      </c>
      <c r="S8243" t="s">
        <v>46749</v>
      </c>
      <c r="T8243" t="s">
        <v>48467</v>
      </c>
      <c r="U8243" t="s">
        <v>55517</v>
      </c>
      <c r="W8243" t="s">
        <v>44701</v>
      </c>
      <c r="X8243" t="s">
        <v>46577</v>
      </c>
    </row>
    <row r="8244" spans="1:24">
      <c r="A8244">
        <f>HYPERLINK("https://www.philgeps.gov.ph/GEPSNONPILOT/Tender/SplashBidNoticeAbstractUI.aspx?menuIndex=3&amp;refID=7055748&amp;Result=3","7055748")</f>
        <v>0</v>
      </c>
      <c r="B8244" t="s">
        <v>654</v>
      </c>
      <c r="C8244" t="s">
        <v>11358</v>
      </c>
      <c r="D8244" t="s">
        <v>18827</v>
      </c>
      <c r="E8244" t="s">
        <v>26115</v>
      </c>
      <c r="F8244" t="s">
        <v>32664</v>
      </c>
      <c r="G8244" t="s">
        <v>32672</v>
      </c>
      <c r="H8244" t="s">
        <v>32683</v>
      </c>
      <c r="I8244" t="s">
        <v>10627</v>
      </c>
      <c r="J8244" t="s">
        <v>37830</v>
      </c>
      <c r="K8244" t="s">
        <v>42308</v>
      </c>
      <c r="M8244" t="s">
        <v>43240</v>
      </c>
      <c r="N8244" t="s">
        <v>46569</v>
      </c>
      <c r="O8244" t="s">
        <v>46570</v>
      </c>
      <c r="P8244">
        <v>0</v>
      </c>
      <c r="Q8244">
        <v>3</v>
      </c>
      <c r="R8244" t="s">
        <v>46576</v>
      </c>
      <c r="S8244" t="s">
        <v>46749</v>
      </c>
      <c r="T8244" t="s">
        <v>48213</v>
      </c>
      <c r="U8244" t="s">
        <v>50013</v>
      </c>
      <c r="W8244" t="s">
        <v>43240</v>
      </c>
      <c r="X8244" t="s">
        <v>46577</v>
      </c>
    </row>
    <row r="8245" spans="1:24">
      <c r="A8245">
        <f>HYPERLINK("https://www.philgeps.gov.ph/GEPSNONPILOT/Tender/SplashBidNoticeAbstractUI.aspx?menuIndex=3&amp;refID=7055746&amp;Result=3","7055746")</f>
        <v>0</v>
      </c>
      <c r="B8245" t="s">
        <v>1745</v>
      </c>
      <c r="C8245" t="s">
        <v>11359</v>
      </c>
      <c r="D8245" t="s">
        <v>18822</v>
      </c>
      <c r="E8245" t="s">
        <v>23449</v>
      </c>
      <c r="F8245" t="s">
        <v>32664</v>
      </c>
      <c r="G8245" t="s">
        <v>32672</v>
      </c>
      <c r="H8245" t="s">
        <v>12635</v>
      </c>
      <c r="I8245" t="s">
        <v>6168</v>
      </c>
      <c r="J8245" t="s">
        <v>37831</v>
      </c>
      <c r="K8245" t="s">
        <v>42289</v>
      </c>
      <c r="M8245" t="s">
        <v>44444</v>
      </c>
      <c r="N8245" t="s">
        <v>46569</v>
      </c>
      <c r="O8245" t="s">
        <v>46570</v>
      </c>
      <c r="P8245">
        <v>0</v>
      </c>
      <c r="Q8245">
        <v>3</v>
      </c>
      <c r="R8245" t="s">
        <v>46576</v>
      </c>
      <c r="S8245" t="s">
        <v>46749</v>
      </c>
      <c r="T8245" t="s">
        <v>48258</v>
      </c>
      <c r="U8245" t="s">
        <v>52992</v>
      </c>
      <c r="W8245" t="s">
        <v>44444</v>
      </c>
      <c r="X8245" t="s">
        <v>46577</v>
      </c>
    </row>
    <row r="8246" spans="1:24">
      <c r="A8246">
        <f>HYPERLINK("https://www.philgeps.gov.ph/GEPSNONPILOT/Tender/SplashBidNoticeAbstractUI.aspx?menuIndex=3&amp;refID=7055742&amp;Result=3","7055742")</f>
        <v>0</v>
      </c>
      <c r="B8246" t="s">
        <v>654</v>
      </c>
      <c r="C8246" t="s">
        <v>11360</v>
      </c>
      <c r="D8246" t="s">
        <v>18827</v>
      </c>
      <c r="E8246" t="s">
        <v>26116</v>
      </c>
      <c r="F8246" t="s">
        <v>32664</v>
      </c>
      <c r="G8246" t="s">
        <v>32672</v>
      </c>
      <c r="H8246" t="s">
        <v>32683</v>
      </c>
      <c r="I8246" t="s">
        <v>10627</v>
      </c>
      <c r="J8246" t="s">
        <v>33150</v>
      </c>
      <c r="K8246" t="s">
        <v>42326</v>
      </c>
      <c r="M8246" t="s">
        <v>43240</v>
      </c>
      <c r="N8246" t="s">
        <v>46569</v>
      </c>
      <c r="O8246" t="s">
        <v>46570</v>
      </c>
      <c r="P8246">
        <v>0</v>
      </c>
      <c r="Q8246">
        <v>2</v>
      </c>
      <c r="R8246" t="s">
        <v>46576</v>
      </c>
      <c r="S8246" t="s">
        <v>46749</v>
      </c>
      <c r="T8246" t="s">
        <v>48213</v>
      </c>
      <c r="U8246" t="s">
        <v>50013</v>
      </c>
      <c r="W8246" t="s">
        <v>43240</v>
      </c>
      <c r="X8246" t="s">
        <v>46577</v>
      </c>
    </row>
    <row r="8247" spans="1:24">
      <c r="A8247">
        <f>HYPERLINK("https://www.philgeps.gov.ph/GEPSNONPILOT/Tender/SplashBidNoticeAbstractUI.aspx?menuIndex=3&amp;refID=7055732&amp;Result=3","7055732")</f>
        <v>0</v>
      </c>
      <c r="B8247" t="s">
        <v>654</v>
      </c>
      <c r="C8247" t="s">
        <v>11361</v>
      </c>
      <c r="D8247" t="s">
        <v>18827</v>
      </c>
      <c r="E8247" t="s">
        <v>26117</v>
      </c>
      <c r="F8247" t="s">
        <v>32664</v>
      </c>
      <c r="G8247" t="s">
        <v>32672</v>
      </c>
      <c r="H8247" t="s">
        <v>32683</v>
      </c>
      <c r="I8247" t="s">
        <v>10627</v>
      </c>
      <c r="J8247" t="s">
        <v>37832</v>
      </c>
      <c r="K8247" t="s">
        <v>42308</v>
      </c>
      <c r="M8247" t="s">
        <v>43240</v>
      </c>
      <c r="N8247" t="s">
        <v>46569</v>
      </c>
      <c r="O8247" t="s">
        <v>46570</v>
      </c>
      <c r="P8247">
        <v>0</v>
      </c>
      <c r="Q8247">
        <v>3</v>
      </c>
      <c r="R8247" t="s">
        <v>46576</v>
      </c>
      <c r="S8247" t="s">
        <v>46749</v>
      </c>
      <c r="T8247" t="s">
        <v>48213</v>
      </c>
      <c r="U8247" t="s">
        <v>50013</v>
      </c>
      <c r="W8247" t="s">
        <v>43240</v>
      </c>
      <c r="X8247" t="s">
        <v>46577</v>
      </c>
    </row>
    <row r="8248" spans="1:24">
      <c r="A8248">
        <f>HYPERLINK("https://www.philgeps.gov.ph/GEPSNONPILOT/Tender/SplashBidNoticeAbstractUI.aspx?menuIndex=3&amp;refID=7055726&amp;Result=3","7055726")</f>
        <v>0</v>
      </c>
      <c r="B8248" t="s">
        <v>1745</v>
      </c>
      <c r="C8248" t="s">
        <v>11362</v>
      </c>
      <c r="D8248" t="s">
        <v>18822</v>
      </c>
      <c r="E8248" t="s">
        <v>23449</v>
      </c>
      <c r="F8248" t="s">
        <v>32664</v>
      </c>
      <c r="G8248" t="s">
        <v>32672</v>
      </c>
      <c r="H8248" t="s">
        <v>12635</v>
      </c>
      <c r="I8248" t="s">
        <v>4439</v>
      </c>
      <c r="J8248" t="s">
        <v>37833</v>
      </c>
      <c r="K8248" t="s">
        <v>42289</v>
      </c>
      <c r="M8248" t="s">
        <v>44444</v>
      </c>
      <c r="N8248" t="s">
        <v>46569</v>
      </c>
      <c r="O8248" t="s">
        <v>46570</v>
      </c>
      <c r="P8248">
        <v>0</v>
      </c>
      <c r="Q8248">
        <v>1</v>
      </c>
      <c r="R8248" t="s">
        <v>46576</v>
      </c>
      <c r="S8248" t="s">
        <v>46749</v>
      </c>
      <c r="T8248" t="s">
        <v>48258</v>
      </c>
      <c r="U8248" t="s">
        <v>52992</v>
      </c>
      <c r="W8248" t="s">
        <v>44444</v>
      </c>
      <c r="X8248" t="s">
        <v>46577</v>
      </c>
    </row>
    <row r="8249" spans="1:24">
      <c r="A8249">
        <f>HYPERLINK("https://www.philgeps.gov.ph/GEPSNONPILOT/Tender/SplashBidNoticeAbstractUI.aspx?menuIndex=3&amp;refID=7055720&amp;Result=3","7055720")</f>
        <v>0</v>
      </c>
      <c r="B8249" t="s">
        <v>327</v>
      </c>
      <c r="C8249" t="s">
        <v>11363</v>
      </c>
      <c r="D8249" t="s">
        <v>18826</v>
      </c>
      <c r="E8249" t="s">
        <v>26118</v>
      </c>
      <c r="F8249" t="s">
        <v>32664</v>
      </c>
      <c r="G8249" t="s">
        <v>32672</v>
      </c>
      <c r="H8249" t="s">
        <v>32683</v>
      </c>
      <c r="I8249" t="s">
        <v>10627</v>
      </c>
      <c r="J8249" t="s">
        <v>37834</v>
      </c>
      <c r="K8249" t="s">
        <v>42290</v>
      </c>
      <c r="M8249" t="s">
        <v>42895</v>
      </c>
      <c r="N8249" t="s">
        <v>46569</v>
      </c>
      <c r="O8249" t="s">
        <v>46570</v>
      </c>
      <c r="P8249">
        <v>0</v>
      </c>
      <c r="Q8249">
        <v>26</v>
      </c>
      <c r="R8249" t="s">
        <v>46576</v>
      </c>
      <c r="S8249" t="s">
        <v>46749</v>
      </c>
      <c r="T8249" t="s">
        <v>48603</v>
      </c>
      <c r="U8249" t="s">
        <v>55518</v>
      </c>
      <c r="W8249" t="s">
        <v>42895</v>
      </c>
      <c r="X8249" t="s">
        <v>46577</v>
      </c>
    </row>
    <row r="8250" spans="1:24">
      <c r="A8250">
        <f>HYPERLINK("https://www.philgeps.gov.ph/GEPSNONPILOT/Tender/SplashBidNoticeAbstractUI.aspx?menuIndex=3&amp;refID=7055717&amp;Result=3","7055717")</f>
        <v>0</v>
      </c>
      <c r="B8250" t="s">
        <v>2446</v>
      </c>
      <c r="C8250" t="s">
        <v>11364</v>
      </c>
      <c r="D8250" t="s">
        <v>18838</v>
      </c>
      <c r="E8250" t="s">
        <v>26119</v>
      </c>
      <c r="F8250" t="s">
        <v>32664</v>
      </c>
      <c r="G8250" t="s">
        <v>32672</v>
      </c>
      <c r="H8250" t="s">
        <v>12635</v>
      </c>
      <c r="I8250" t="s">
        <v>32708</v>
      </c>
      <c r="J8250" t="s">
        <v>33858</v>
      </c>
      <c r="K8250" t="s">
        <v>42283</v>
      </c>
      <c r="M8250" t="s">
        <v>45239</v>
      </c>
      <c r="N8250" t="s">
        <v>46569</v>
      </c>
      <c r="O8250" t="s">
        <v>46570</v>
      </c>
      <c r="P8250">
        <v>0</v>
      </c>
      <c r="Q8250">
        <v>20</v>
      </c>
      <c r="R8250" t="s">
        <v>46576</v>
      </c>
      <c r="S8250" t="s">
        <v>46749</v>
      </c>
      <c r="T8250" t="s">
        <v>48618</v>
      </c>
      <c r="U8250" t="s">
        <v>55519</v>
      </c>
      <c r="V8250" t="s">
        <v>62437</v>
      </c>
      <c r="W8250" t="s">
        <v>45239</v>
      </c>
      <c r="X8250" t="s">
        <v>46577</v>
      </c>
    </row>
    <row r="8251" spans="1:24">
      <c r="A8251">
        <f>HYPERLINK("https://www.philgeps.gov.ph/GEPSNONPILOT/Tender/SplashBidNoticeAbstractUI.aspx?menuIndex=3&amp;refID=7055706&amp;Result=3","7055706")</f>
        <v>0</v>
      </c>
      <c r="B8251" t="s">
        <v>2448</v>
      </c>
      <c r="C8251" t="s">
        <v>11365</v>
      </c>
      <c r="D8251" t="s">
        <v>18827</v>
      </c>
      <c r="E8251" t="s">
        <v>26120</v>
      </c>
      <c r="F8251" t="s">
        <v>32664</v>
      </c>
      <c r="G8251" t="s">
        <v>32671</v>
      </c>
      <c r="H8251" t="s">
        <v>12635</v>
      </c>
      <c r="I8251" t="s">
        <v>4439</v>
      </c>
      <c r="J8251" t="s">
        <v>33102</v>
      </c>
      <c r="K8251" t="s">
        <v>42284</v>
      </c>
      <c r="M8251" t="s">
        <v>45242</v>
      </c>
      <c r="N8251" t="s">
        <v>46569</v>
      </c>
      <c r="O8251" t="s">
        <v>46570</v>
      </c>
      <c r="P8251">
        <v>0</v>
      </c>
      <c r="Q8251">
        <v>0</v>
      </c>
      <c r="R8251" t="s">
        <v>46576</v>
      </c>
      <c r="S8251" t="s">
        <v>46749</v>
      </c>
      <c r="T8251" t="s">
        <v>48290</v>
      </c>
      <c r="U8251" t="s">
        <v>52456</v>
      </c>
      <c r="W8251" t="s">
        <v>45242</v>
      </c>
      <c r="X8251" t="s">
        <v>46577</v>
      </c>
    </row>
    <row r="8252" spans="1:24">
      <c r="A8252">
        <f>HYPERLINK("https://www.philgeps.gov.ph/GEPSNONPILOT/Tender/SplashBidNoticeAbstractUI.aspx?menuIndex=3&amp;refID=7055708&amp;Result=3","7055708")</f>
        <v>0</v>
      </c>
      <c r="B8252" t="s">
        <v>1745</v>
      </c>
      <c r="C8252" t="s">
        <v>11366</v>
      </c>
      <c r="D8252" t="s">
        <v>18822</v>
      </c>
      <c r="E8252" t="s">
        <v>23449</v>
      </c>
      <c r="F8252" t="s">
        <v>32664</v>
      </c>
      <c r="G8252" t="s">
        <v>32672</v>
      </c>
      <c r="H8252" t="s">
        <v>12635</v>
      </c>
      <c r="I8252" t="s">
        <v>4439</v>
      </c>
      <c r="J8252" t="s">
        <v>34355</v>
      </c>
      <c r="K8252" t="s">
        <v>42289</v>
      </c>
      <c r="M8252" t="s">
        <v>44444</v>
      </c>
      <c r="N8252" t="s">
        <v>46569</v>
      </c>
      <c r="O8252" t="s">
        <v>46570</v>
      </c>
      <c r="P8252">
        <v>0</v>
      </c>
      <c r="Q8252">
        <v>1</v>
      </c>
      <c r="R8252" t="s">
        <v>46576</v>
      </c>
      <c r="S8252" t="s">
        <v>46749</v>
      </c>
      <c r="T8252" t="s">
        <v>48258</v>
      </c>
      <c r="U8252" t="s">
        <v>52992</v>
      </c>
      <c r="W8252" t="s">
        <v>44444</v>
      </c>
      <c r="X8252" t="s">
        <v>46577</v>
      </c>
    </row>
    <row r="8253" spans="1:24">
      <c r="A8253">
        <f>HYPERLINK("https://www.philgeps.gov.ph/GEPSNONPILOT/Tender/SplashBidNoticeAbstractUI.aspx?menuIndex=3&amp;refID=7055763&amp;Result=3","7055763")</f>
        <v>0</v>
      </c>
      <c r="B8253" t="s">
        <v>519</v>
      </c>
      <c r="C8253" t="s">
        <v>11367</v>
      </c>
      <c r="D8253" t="s">
        <v>18838</v>
      </c>
      <c r="E8253" t="s">
        <v>26121</v>
      </c>
      <c r="F8253" t="s">
        <v>32664</v>
      </c>
      <c r="G8253" t="s">
        <v>32671</v>
      </c>
      <c r="H8253" t="s">
        <v>12635</v>
      </c>
      <c r="I8253" t="s">
        <v>9486</v>
      </c>
      <c r="J8253" t="s">
        <v>37835</v>
      </c>
      <c r="K8253" t="s">
        <v>42283</v>
      </c>
      <c r="M8253" t="s">
        <v>43096</v>
      </c>
      <c r="N8253" t="s">
        <v>46569</v>
      </c>
      <c r="O8253" t="s">
        <v>46570</v>
      </c>
      <c r="P8253">
        <v>0</v>
      </c>
      <c r="Q8253">
        <v>3</v>
      </c>
      <c r="R8253" t="s">
        <v>46576</v>
      </c>
      <c r="S8253" t="s">
        <v>46749</v>
      </c>
      <c r="T8253" t="s">
        <v>48287</v>
      </c>
      <c r="U8253" t="s">
        <v>55520</v>
      </c>
      <c r="W8253" t="s">
        <v>43096</v>
      </c>
      <c r="X8253" t="s">
        <v>46577</v>
      </c>
    </row>
    <row r="8254" spans="1:24">
      <c r="A8254">
        <f>HYPERLINK("https://www.philgeps.gov.ph/GEPSNONPILOT/Tender/SplashBidNoticeAbstractUI.aspx?menuIndex=3&amp;refID=7055651&amp;Result=3","7055651")</f>
        <v>0</v>
      </c>
      <c r="B8254" t="s">
        <v>2452</v>
      </c>
      <c r="C8254" t="s">
        <v>11368</v>
      </c>
      <c r="D8254" t="s">
        <v>18798</v>
      </c>
      <c r="E8254" t="s">
        <v>26122</v>
      </c>
      <c r="F8254" t="s">
        <v>32664</v>
      </c>
      <c r="G8254" t="s">
        <v>32671</v>
      </c>
      <c r="H8254" t="s">
        <v>12635</v>
      </c>
      <c r="I8254" t="s">
        <v>32696</v>
      </c>
      <c r="J8254" t="s">
        <v>32962</v>
      </c>
      <c r="K8254" t="s">
        <v>42281</v>
      </c>
      <c r="M8254" t="s">
        <v>45246</v>
      </c>
      <c r="N8254" t="s">
        <v>46569</v>
      </c>
      <c r="O8254" t="s">
        <v>46570</v>
      </c>
      <c r="P8254">
        <v>0</v>
      </c>
      <c r="Q8254">
        <v>4</v>
      </c>
      <c r="R8254" t="s">
        <v>46576</v>
      </c>
      <c r="S8254" t="s">
        <v>46749</v>
      </c>
      <c r="T8254" t="s">
        <v>48622</v>
      </c>
      <c r="U8254" t="s">
        <v>55521</v>
      </c>
      <c r="V8254" t="s">
        <v>62438</v>
      </c>
      <c r="W8254" t="s">
        <v>45246</v>
      </c>
      <c r="X8254" t="s">
        <v>46577</v>
      </c>
    </row>
    <row r="8255" spans="1:24">
      <c r="A8255">
        <f>HYPERLINK("https://www.philgeps.gov.ph/GEPSNONPILOT/Tender/SplashBidNoticeAbstractUI.aspx?menuIndex=3&amp;refID=7055646&amp;Result=3","7055646")</f>
        <v>0</v>
      </c>
      <c r="B8255" t="s">
        <v>2452</v>
      </c>
      <c r="C8255" t="s">
        <v>11369</v>
      </c>
      <c r="D8255" t="s">
        <v>18798</v>
      </c>
      <c r="E8255" t="s">
        <v>26123</v>
      </c>
      <c r="F8255" t="s">
        <v>32664</v>
      </c>
      <c r="G8255" t="s">
        <v>32671</v>
      </c>
      <c r="H8255" t="s">
        <v>12635</v>
      </c>
      <c r="I8255" t="s">
        <v>32696</v>
      </c>
      <c r="J8255" t="s">
        <v>33128</v>
      </c>
      <c r="K8255" t="s">
        <v>42281</v>
      </c>
      <c r="M8255" t="s">
        <v>45246</v>
      </c>
      <c r="N8255" t="s">
        <v>46569</v>
      </c>
      <c r="O8255" t="s">
        <v>46570</v>
      </c>
      <c r="P8255">
        <v>0</v>
      </c>
      <c r="Q8255">
        <v>2</v>
      </c>
      <c r="R8255" t="s">
        <v>46576</v>
      </c>
      <c r="S8255" t="s">
        <v>46749</v>
      </c>
      <c r="T8255" t="s">
        <v>48622</v>
      </c>
      <c r="U8255" t="s">
        <v>55522</v>
      </c>
      <c r="V8255" t="s">
        <v>62439</v>
      </c>
      <c r="W8255" t="s">
        <v>45246</v>
      </c>
      <c r="X8255" t="s">
        <v>46577</v>
      </c>
    </row>
    <row r="8256" spans="1:24">
      <c r="A8256">
        <f>HYPERLINK("https://www.philgeps.gov.ph/GEPSNONPILOT/Tender/SplashBidNoticeAbstractUI.aspx?menuIndex=3&amp;refID=7055450&amp;Result=3","7055450")</f>
        <v>0</v>
      </c>
      <c r="B8256" t="s">
        <v>1016</v>
      </c>
      <c r="C8256" t="s">
        <v>11370</v>
      </c>
      <c r="D8256" t="s">
        <v>18784</v>
      </c>
      <c r="E8256" t="s">
        <v>26124</v>
      </c>
      <c r="F8256" t="s">
        <v>32664</v>
      </c>
      <c r="G8256" t="s">
        <v>32672</v>
      </c>
      <c r="H8256" t="s">
        <v>12635</v>
      </c>
      <c r="I8256" t="s">
        <v>10590</v>
      </c>
      <c r="J8256" t="s">
        <v>33571</v>
      </c>
      <c r="K8256" t="s">
        <v>42289</v>
      </c>
      <c r="M8256" t="s">
        <v>43628</v>
      </c>
      <c r="N8256" t="s">
        <v>46569</v>
      </c>
      <c r="O8256" t="s">
        <v>46570</v>
      </c>
      <c r="P8256">
        <v>0</v>
      </c>
      <c r="Q8256">
        <v>0</v>
      </c>
      <c r="R8256" t="s">
        <v>46576</v>
      </c>
      <c r="S8256" t="s">
        <v>46749</v>
      </c>
      <c r="T8256" t="s">
        <v>48282</v>
      </c>
      <c r="U8256" t="s">
        <v>55523</v>
      </c>
      <c r="W8256" t="s">
        <v>63502</v>
      </c>
      <c r="X8256" t="s">
        <v>46578</v>
      </c>
    </row>
    <row r="8257" spans="1:24">
      <c r="A8257">
        <f>HYPERLINK("https://www.philgeps.gov.ph/GEPSNONPILOT/Tender/SplashBidNoticeAbstractUI.aspx?menuIndex=3&amp;refID=7055428&amp;Result=3","7055428")</f>
        <v>0</v>
      </c>
      <c r="B8257" t="s">
        <v>2117</v>
      </c>
      <c r="C8257" t="s">
        <v>11371</v>
      </c>
      <c r="E8257" t="s">
        <v>26125</v>
      </c>
      <c r="F8257" t="s">
        <v>32664</v>
      </c>
      <c r="G8257" t="s">
        <v>32672</v>
      </c>
      <c r="H8257" t="s">
        <v>12635</v>
      </c>
      <c r="I8257" t="s">
        <v>6223</v>
      </c>
      <c r="J8257" t="s">
        <v>37836</v>
      </c>
      <c r="K8257" t="s">
        <v>42298</v>
      </c>
      <c r="M8257" t="s">
        <v>45247</v>
      </c>
      <c r="N8257" t="s">
        <v>46569</v>
      </c>
      <c r="O8257" t="s">
        <v>46570</v>
      </c>
      <c r="P8257">
        <v>0</v>
      </c>
      <c r="Q8257">
        <v>1</v>
      </c>
      <c r="R8257" t="s">
        <v>46576</v>
      </c>
      <c r="S8257" t="s">
        <v>46749</v>
      </c>
      <c r="T8257" t="s">
        <v>48308</v>
      </c>
      <c r="U8257" t="s">
        <v>55524</v>
      </c>
      <c r="W8257" t="s">
        <v>45247</v>
      </c>
      <c r="X8257" t="s">
        <v>46578</v>
      </c>
    </row>
    <row r="8258" spans="1:24">
      <c r="A8258">
        <f>HYPERLINK("https://www.philgeps.gov.ph/GEPSNONPILOT/Tender/SplashBidNoticeAbstractUI.aspx?menuIndex=3&amp;refID=7055684&amp;Result=3","7055684")</f>
        <v>0</v>
      </c>
      <c r="B8258" t="s">
        <v>327</v>
      </c>
      <c r="C8258" t="s">
        <v>11372</v>
      </c>
      <c r="D8258" t="s">
        <v>18826</v>
      </c>
      <c r="E8258" t="s">
        <v>26126</v>
      </c>
      <c r="F8258" t="s">
        <v>32664</v>
      </c>
      <c r="G8258" t="s">
        <v>32672</v>
      </c>
      <c r="H8258" t="s">
        <v>32683</v>
      </c>
      <c r="I8258" t="s">
        <v>10627</v>
      </c>
      <c r="J8258" t="s">
        <v>37837</v>
      </c>
      <c r="K8258" t="s">
        <v>42311</v>
      </c>
      <c r="M8258" t="s">
        <v>42895</v>
      </c>
      <c r="N8258" t="s">
        <v>46569</v>
      </c>
      <c r="O8258" t="s">
        <v>46570</v>
      </c>
      <c r="P8258">
        <v>0</v>
      </c>
      <c r="Q8258">
        <v>28</v>
      </c>
      <c r="R8258" t="s">
        <v>46576</v>
      </c>
      <c r="S8258" t="s">
        <v>46749</v>
      </c>
      <c r="T8258" t="s">
        <v>48603</v>
      </c>
      <c r="U8258" t="s">
        <v>55525</v>
      </c>
      <c r="W8258" t="s">
        <v>42895</v>
      </c>
      <c r="X8258" t="s">
        <v>46577</v>
      </c>
    </row>
    <row r="8259" spans="1:24">
      <c r="A8259">
        <f>HYPERLINK("https://www.philgeps.gov.ph/GEPSNONPILOT/Tender/SplashBidNoticeAbstractUI.aspx?menuIndex=3&amp;refID=7055652&amp;Result=3","7055652")</f>
        <v>0</v>
      </c>
      <c r="B8259" t="s">
        <v>2249</v>
      </c>
      <c r="C8259" t="s">
        <v>11373</v>
      </c>
      <c r="D8259" t="s">
        <v>18805</v>
      </c>
      <c r="E8259" t="s">
        <v>26127</v>
      </c>
      <c r="F8259" t="s">
        <v>32664</v>
      </c>
      <c r="G8259" t="s">
        <v>32672</v>
      </c>
      <c r="H8259" t="s">
        <v>12635</v>
      </c>
      <c r="I8259" t="s">
        <v>32692</v>
      </c>
      <c r="J8259" t="s">
        <v>37838</v>
      </c>
      <c r="K8259" t="s">
        <v>42309</v>
      </c>
      <c r="M8259" t="s">
        <v>45014</v>
      </c>
      <c r="N8259" t="s">
        <v>46569</v>
      </c>
      <c r="O8259" t="s">
        <v>46570</v>
      </c>
      <c r="P8259">
        <v>0</v>
      </c>
      <c r="Q8259">
        <v>0</v>
      </c>
      <c r="R8259" t="s">
        <v>46576</v>
      </c>
      <c r="S8259" t="s">
        <v>46749</v>
      </c>
      <c r="T8259" t="s">
        <v>48453</v>
      </c>
      <c r="U8259" t="s">
        <v>55526</v>
      </c>
      <c r="W8259" t="s">
        <v>45014</v>
      </c>
      <c r="X8259" t="s">
        <v>46577</v>
      </c>
    </row>
    <row r="8260" spans="1:24">
      <c r="A8260">
        <f>HYPERLINK("https://www.philgeps.gov.ph/GEPSNONPILOT/Tender/SplashBidNoticeAbstractUI.aspx?menuIndex=3&amp;refID=7055712&amp;Result=3","7055712")</f>
        <v>0</v>
      </c>
      <c r="B8260" t="s">
        <v>327</v>
      </c>
      <c r="C8260" t="s">
        <v>11374</v>
      </c>
      <c r="D8260" t="s">
        <v>18826</v>
      </c>
      <c r="E8260" t="s">
        <v>26128</v>
      </c>
      <c r="F8260" t="s">
        <v>32664</v>
      </c>
      <c r="G8260" t="s">
        <v>32672</v>
      </c>
      <c r="H8260" t="s">
        <v>32683</v>
      </c>
      <c r="I8260" t="s">
        <v>10627</v>
      </c>
      <c r="J8260" t="s">
        <v>37839</v>
      </c>
      <c r="K8260" t="s">
        <v>42311</v>
      </c>
      <c r="M8260" t="s">
        <v>42895</v>
      </c>
      <c r="N8260" t="s">
        <v>46569</v>
      </c>
      <c r="O8260" t="s">
        <v>46570</v>
      </c>
      <c r="P8260">
        <v>0</v>
      </c>
      <c r="Q8260">
        <v>25</v>
      </c>
      <c r="R8260" t="s">
        <v>46576</v>
      </c>
      <c r="S8260" t="s">
        <v>46749</v>
      </c>
      <c r="T8260" t="s">
        <v>48603</v>
      </c>
      <c r="U8260" t="s">
        <v>55527</v>
      </c>
      <c r="W8260" t="s">
        <v>42895</v>
      </c>
      <c r="X8260" t="s">
        <v>46577</v>
      </c>
    </row>
    <row r="8261" spans="1:24">
      <c r="A8261">
        <f>HYPERLINK("https://www.philgeps.gov.ph/GEPSNONPILOT/Tender/SplashBidNoticeAbstractUI.aspx?menuIndex=3&amp;refID=7058553&amp;Result=3","7058553")</f>
        <v>0</v>
      </c>
      <c r="B8261" t="s">
        <v>2437</v>
      </c>
      <c r="C8261" t="s">
        <v>11375</v>
      </c>
      <c r="D8261" t="s">
        <v>18849</v>
      </c>
      <c r="E8261" t="s">
        <v>19688</v>
      </c>
      <c r="F8261" t="s">
        <v>32664</v>
      </c>
      <c r="G8261" t="s">
        <v>32672</v>
      </c>
      <c r="H8261" t="s">
        <v>32683</v>
      </c>
      <c r="I8261" t="s">
        <v>10627</v>
      </c>
      <c r="J8261" t="s">
        <v>37840</v>
      </c>
      <c r="K8261" t="s">
        <v>42298</v>
      </c>
      <c r="M8261" t="s">
        <v>45229</v>
      </c>
      <c r="N8261" t="s">
        <v>46569</v>
      </c>
      <c r="O8261" t="s">
        <v>46570</v>
      </c>
      <c r="P8261">
        <v>0</v>
      </c>
      <c r="Q8261">
        <v>0</v>
      </c>
      <c r="R8261" t="s">
        <v>46574</v>
      </c>
      <c r="S8261" t="s">
        <v>46723</v>
      </c>
      <c r="T8261" t="s">
        <v>48308</v>
      </c>
      <c r="U8261" t="s">
        <v>55466</v>
      </c>
      <c r="W8261" t="s">
        <v>45229</v>
      </c>
      <c r="X8261" t="s">
        <v>46575</v>
      </c>
    </row>
    <row r="8262" spans="1:24">
      <c r="A8262">
        <f>HYPERLINK("https://www.philgeps.gov.ph/GEPSNONPILOT/Tender/SplashBidNoticeAbstractUI.aspx?menuIndex=3&amp;refID=7054947&amp;Result=3","7054947")</f>
        <v>0</v>
      </c>
      <c r="B8262" t="s">
        <v>82</v>
      </c>
      <c r="C8262" t="s">
        <v>11376</v>
      </c>
      <c r="D8262" t="s">
        <v>18804</v>
      </c>
      <c r="E8262" t="s">
        <v>26129</v>
      </c>
      <c r="F8262" t="s">
        <v>32664</v>
      </c>
      <c r="G8262" t="s">
        <v>32672</v>
      </c>
      <c r="H8262" t="s">
        <v>12635</v>
      </c>
      <c r="I8262" t="s">
        <v>32700</v>
      </c>
      <c r="J8262" t="s">
        <v>37841</v>
      </c>
      <c r="K8262" t="s">
        <v>42289</v>
      </c>
      <c r="M8262" t="s">
        <v>42645</v>
      </c>
      <c r="N8262" t="s">
        <v>46569</v>
      </c>
      <c r="O8262" t="s">
        <v>46570</v>
      </c>
      <c r="P8262">
        <v>0</v>
      </c>
      <c r="Q8262">
        <v>4</v>
      </c>
      <c r="R8262" t="s">
        <v>46576</v>
      </c>
      <c r="S8262" t="s">
        <v>46749</v>
      </c>
      <c r="T8262" t="s">
        <v>48281</v>
      </c>
      <c r="U8262" t="s">
        <v>48918</v>
      </c>
      <c r="W8262" t="s">
        <v>42645</v>
      </c>
      <c r="X8262" t="s">
        <v>46578</v>
      </c>
    </row>
    <row r="8263" spans="1:24">
      <c r="A8263">
        <f>HYPERLINK("https://www.philgeps.gov.ph/GEPSNONPILOT/Tender/SplashBidNoticeAbstractUI.aspx?menuIndex=3&amp;refID=7054775&amp;Result=3","7054775")</f>
        <v>0</v>
      </c>
      <c r="B8263" t="s">
        <v>2453</v>
      </c>
      <c r="C8263" t="s">
        <v>11377</v>
      </c>
      <c r="D8263" t="s">
        <v>18791</v>
      </c>
      <c r="E8263" t="s">
        <v>26130</v>
      </c>
      <c r="F8263" t="s">
        <v>32664</v>
      </c>
      <c r="G8263" t="s">
        <v>32674</v>
      </c>
      <c r="H8263" t="s">
        <v>12635</v>
      </c>
      <c r="I8263" t="s">
        <v>6553</v>
      </c>
      <c r="J8263" t="s">
        <v>37842</v>
      </c>
      <c r="K8263" t="s">
        <v>42306</v>
      </c>
      <c r="M8263" t="s">
        <v>45248</v>
      </c>
      <c r="N8263" t="s">
        <v>46569</v>
      </c>
      <c r="O8263" t="s">
        <v>46570</v>
      </c>
      <c r="P8263">
        <v>0</v>
      </c>
      <c r="Q8263">
        <v>0</v>
      </c>
      <c r="R8263" t="s">
        <v>46576</v>
      </c>
      <c r="S8263" t="s">
        <v>46749</v>
      </c>
      <c r="T8263" t="s">
        <v>48316</v>
      </c>
      <c r="U8263" t="s">
        <v>55528</v>
      </c>
      <c r="V8263" t="s">
        <v>62440</v>
      </c>
      <c r="W8263" t="s">
        <v>45248</v>
      </c>
      <c r="X8263" t="s">
        <v>46578</v>
      </c>
    </row>
    <row r="8264" spans="1:24">
      <c r="A8264">
        <f>HYPERLINK("https://www.philgeps.gov.ph/GEPSNONPILOT/Tender/SplashBidNoticeAbstractUI.aspx?menuIndex=3&amp;refID=7050781&amp;Result=3","7050781")</f>
        <v>0</v>
      </c>
      <c r="B8264" t="s">
        <v>559</v>
      </c>
      <c r="C8264" t="s">
        <v>11378</v>
      </c>
      <c r="E8264" t="s">
        <v>26131</v>
      </c>
      <c r="F8264" t="s">
        <v>32664</v>
      </c>
      <c r="G8264" t="s">
        <v>32672</v>
      </c>
      <c r="H8264" t="s">
        <v>32683</v>
      </c>
      <c r="I8264" t="s">
        <v>10627</v>
      </c>
      <c r="J8264" t="s">
        <v>37843</v>
      </c>
      <c r="K8264" t="s">
        <v>42283</v>
      </c>
      <c r="M8264" t="s">
        <v>43139</v>
      </c>
      <c r="N8264" t="s">
        <v>46569</v>
      </c>
      <c r="O8264" t="s">
        <v>46570</v>
      </c>
      <c r="P8264">
        <v>0</v>
      </c>
      <c r="Q8264">
        <v>3</v>
      </c>
      <c r="R8264" t="s">
        <v>46576</v>
      </c>
      <c r="S8264" t="s">
        <v>46749</v>
      </c>
      <c r="T8264" t="s">
        <v>48220</v>
      </c>
      <c r="U8264" t="s">
        <v>55529</v>
      </c>
      <c r="V8264" t="s">
        <v>62425</v>
      </c>
      <c r="W8264" t="s">
        <v>43139</v>
      </c>
      <c r="X8264" t="s">
        <v>46579</v>
      </c>
    </row>
    <row r="8265" spans="1:24">
      <c r="A8265">
        <f>HYPERLINK("https://www.philgeps.gov.ph/GEPSNONPILOT/Tender/SplashBidNoticeAbstractUI.aspx?menuIndex=3&amp;refID=7050773&amp;Result=3","7050773")</f>
        <v>0</v>
      </c>
      <c r="B8265" t="s">
        <v>559</v>
      </c>
      <c r="C8265" t="s">
        <v>11379</v>
      </c>
      <c r="E8265" t="s">
        <v>26132</v>
      </c>
      <c r="F8265" t="s">
        <v>32664</v>
      </c>
      <c r="G8265" t="s">
        <v>32672</v>
      </c>
      <c r="H8265" t="s">
        <v>32683</v>
      </c>
      <c r="I8265" t="s">
        <v>10627</v>
      </c>
      <c r="J8265" t="s">
        <v>37844</v>
      </c>
      <c r="K8265" t="s">
        <v>42283</v>
      </c>
      <c r="M8265" t="s">
        <v>43139</v>
      </c>
      <c r="N8265" t="s">
        <v>46569</v>
      </c>
      <c r="O8265" t="s">
        <v>46570</v>
      </c>
      <c r="P8265">
        <v>0</v>
      </c>
      <c r="Q8265">
        <v>3</v>
      </c>
      <c r="R8265" t="s">
        <v>46576</v>
      </c>
      <c r="S8265" t="s">
        <v>46749</v>
      </c>
      <c r="T8265" t="s">
        <v>48220</v>
      </c>
      <c r="U8265" t="s">
        <v>55530</v>
      </c>
      <c r="V8265" t="s">
        <v>62425</v>
      </c>
      <c r="W8265" t="s">
        <v>43139</v>
      </c>
      <c r="X8265" t="s">
        <v>46579</v>
      </c>
    </row>
    <row r="8266" spans="1:24">
      <c r="A8266">
        <f>HYPERLINK("https://www.philgeps.gov.ph/GEPSNONPILOT/Tender/SplashBidNoticeAbstractUI.aspx?menuIndex=3&amp;refID=7045175&amp;Result=3","7045175")</f>
        <v>0</v>
      </c>
      <c r="B8266" t="s">
        <v>286</v>
      </c>
      <c r="C8266" t="s">
        <v>11380</v>
      </c>
      <c r="D8266" t="s">
        <v>18804</v>
      </c>
      <c r="E8266" t="s">
        <v>26133</v>
      </c>
      <c r="F8266" t="s">
        <v>32664</v>
      </c>
      <c r="G8266" t="s">
        <v>32672</v>
      </c>
      <c r="H8266" t="s">
        <v>12635</v>
      </c>
      <c r="I8266" t="s">
        <v>6168</v>
      </c>
      <c r="J8266" t="s">
        <v>37845</v>
      </c>
      <c r="K8266" t="s">
        <v>42283</v>
      </c>
      <c r="M8266" t="s">
        <v>42853</v>
      </c>
      <c r="N8266" t="s">
        <v>46569</v>
      </c>
      <c r="O8266" t="s">
        <v>46570</v>
      </c>
      <c r="P8266">
        <v>0</v>
      </c>
      <c r="Q8266">
        <v>3</v>
      </c>
      <c r="R8266" t="s">
        <v>46576</v>
      </c>
      <c r="S8266" t="s">
        <v>46749</v>
      </c>
      <c r="T8266" t="s">
        <v>48220</v>
      </c>
      <c r="U8266" t="s">
        <v>55531</v>
      </c>
      <c r="W8266" t="s">
        <v>42853</v>
      </c>
      <c r="X8266" t="s">
        <v>46581</v>
      </c>
    </row>
    <row r="8267" spans="1:24">
      <c r="A8267">
        <f>HYPERLINK("https://www.philgeps.gov.ph/GEPSNONPILOT/Tender/SplashBidNoticeAbstractUI.aspx?menuIndex=3&amp;refID=7050811&amp;Result=3","7050811")</f>
        <v>0</v>
      </c>
      <c r="B8267" t="s">
        <v>415</v>
      </c>
      <c r="C8267" t="s">
        <v>11381</v>
      </c>
      <c r="D8267" t="s">
        <v>18796</v>
      </c>
      <c r="E8267" t="s">
        <v>26134</v>
      </c>
      <c r="F8267" t="s">
        <v>32664</v>
      </c>
      <c r="G8267" t="s">
        <v>32672</v>
      </c>
      <c r="H8267" t="s">
        <v>12635</v>
      </c>
      <c r="I8267" t="s">
        <v>32721</v>
      </c>
      <c r="J8267" t="s">
        <v>34806</v>
      </c>
      <c r="K8267" t="s">
        <v>42281</v>
      </c>
      <c r="M8267" t="s">
        <v>42986</v>
      </c>
      <c r="N8267" t="s">
        <v>46569</v>
      </c>
      <c r="O8267" t="s">
        <v>46570</v>
      </c>
      <c r="P8267">
        <v>0</v>
      </c>
      <c r="Q8267">
        <v>3</v>
      </c>
      <c r="R8267" t="s">
        <v>46576</v>
      </c>
      <c r="S8267" t="s">
        <v>46749</v>
      </c>
      <c r="T8267" t="s">
        <v>48283</v>
      </c>
      <c r="U8267" t="s">
        <v>55532</v>
      </c>
      <c r="V8267" t="s">
        <v>62441</v>
      </c>
      <c r="W8267" t="s">
        <v>42986</v>
      </c>
      <c r="X8267" t="s">
        <v>46579</v>
      </c>
    </row>
    <row r="8268" spans="1:24">
      <c r="A8268">
        <f>HYPERLINK("https://www.philgeps.gov.ph/GEPSNONPILOT/Tender/SplashBidNoticeAbstractUI.aspx?menuIndex=3&amp;refID=7044274&amp;Result=3","7044274")</f>
        <v>0</v>
      </c>
      <c r="B8268" t="s">
        <v>2454</v>
      </c>
      <c r="C8268" t="s">
        <v>11382</v>
      </c>
      <c r="D8268" t="s">
        <v>18816</v>
      </c>
      <c r="E8268" t="s">
        <v>26135</v>
      </c>
      <c r="F8268" t="s">
        <v>32664</v>
      </c>
      <c r="G8268" t="s">
        <v>32672</v>
      </c>
      <c r="H8268" t="s">
        <v>32683</v>
      </c>
      <c r="I8268" t="s">
        <v>10627</v>
      </c>
      <c r="J8268" t="s">
        <v>37846</v>
      </c>
      <c r="K8268" t="s">
        <v>42298</v>
      </c>
      <c r="M8268" t="s">
        <v>45249</v>
      </c>
      <c r="N8268" t="s">
        <v>46569</v>
      </c>
      <c r="O8268" t="s">
        <v>46570</v>
      </c>
      <c r="P8268">
        <v>0</v>
      </c>
      <c r="Q8268">
        <v>0</v>
      </c>
      <c r="R8268" t="s">
        <v>46576</v>
      </c>
      <c r="S8268" t="s">
        <v>46749</v>
      </c>
      <c r="T8268" t="s">
        <v>48453</v>
      </c>
      <c r="U8268" t="s">
        <v>55533</v>
      </c>
      <c r="W8268" t="s">
        <v>45249</v>
      </c>
      <c r="X8268" t="s">
        <v>46582</v>
      </c>
    </row>
    <row r="8269" spans="1:24">
      <c r="A8269">
        <f>HYPERLINK("https://www.philgeps.gov.ph/GEPSNONPILOT/Tender/SplashBidNoticeAbstractUI.aspx?menuIndex=3&amp;refID=7042811&amp;Result=3","7042811")</f>
        <v>0</v>
      </c>
      <c r="B8269" t="s">
        <v>2455</v>
      </c>
      <c r="C8269" t="s">
        <v>11383</v>
      </c>
      <c r="D8269" t="s">
        <v>18801</v>
      </c>
      <c r="E8269" t="s">
        <v>26136</v>
      </c>
      <c r="F8269" t="s">
        <v>32664</v>
      </c>
      <c r="G8269" t="s">
        <v>32672</v>
      </c>
      <c r="H8269" t="s">
        <v>32683</v>
      </c>
      <c r="I8269" t="s">
        <v>10627</v>
      </c>
      <c r="J8269" t="s">
        <v>32943</v>
      </c>
      <c r="K8269" t="s">
        <v>42395</v>
      </c>
      <c r="M8269" t="s">
        <v>45250</v>
      </c>
      <c r="N8269" t="s">
        <v>46569</v>
      </c>
      <c r="O8269" t="s">
        <v>46570</v>
      </c>
      <c r="P8269">
        <v>0</v>
      </c>
      <c r="Q8269">
        <v>2</v>
      </c>
      <c r="R8269" t="s">
        <v>46576</v>
      </c>
      <c r="S8269" t="s">
        <v>46749</v>
      </c>
      <c r="T8269" t="s">
        <v>48308</v>
      </c>
      <c r="U8269" t="s">
        <v>55534</v>
      </c>
      <c r="W8269" t="s">
        <v>45250</v>
      </c>
      <c r="X8269" t="s">
        <v>46585</v>
      </c>
    </row>
    <row r="8270" spans="1:24">
      <c r="A8270">
        <f>HYPERLINK("https://www.philgeps.gov.ph/GEPSNONPILOT/Tender/SplashBidNoticeAbstractUI.aspx?menuIndex=3&amp;refID=7040351&amp;Result=3","7040351")</f>
        <v>0</v>
      </c>
      <c r="B8270" t="s">
        <v>1915</v>
      </c>
      <c r="C8270" t="s">
        <v>11384</v>
      </c>
      <c r="D8270" t="s">
        <v>18791</v>
      </c>
      <c r="E8270" t="s">
        <v>21424</v>
      </c>
      <c r="F8270" t="s">
        <v>32664</v>
      </c>
      <c r="G8270" t="s">
        <v>32677</v>
      </c>
      <c r="H8270" t="s">
        <v>12635</v>
      </c>
      <c r="I8270" t="s">
        <v>32704</v>
      </c>
      <c r="J8270" t="s">
        <v>37847</v>
      </c>
      <c r="K8270" t="s">
        <v>42281</v>
      </c>
      <c r="M8270" t="s">
        <v>44636</v>
      </c>
      <c r="N8270" t="s">
        <v>46569</v>
      </c>
      <c r="O8270" t="s">
        <v>46570</v>
      </c>
      <c r="P8270">
        <v>0</v>
      </c>
      <c r="Q8270">
        <v>8</v>
      </c>
      <c r="R8270" t="s">
        <v>46576</v>
      </c>
      <c r="S8270" t="s">
        <v>46749</v>
      </c>
      <c r="T8270" t="s">
        <v>48219</v>
      </c>
      <c r="U8270" t="s">
        <v>55535</v>
      </c>
      <c r="W8270" t="s">
        <v>44636</v>
      </c>
      <c r="X8270" t="s">
        <v>46586</v>
      </c>
    </row>
    <row r="8271" spans="1:24">
      <c r="A8271">
        <f>HYPERLINK("https://www.philgeps.gov.ph/GEPSNONPILOT/Tender/SplashBidNoticeAbstractUI.aspx?menuIndex=3&amp;refID=7055876&amp;Result=3","7055876")</f>
        <v>0</v>
      </c>
      <c r="B8271" t="s">
        <v>851</v>
      </c>
      <c r="C8271" t="s">
        <v>11385</v>
      </c>
      <c r="D8271" t="s">
        <v>18829</v>
      </c>
      <c r="E8271" t="s">
        <v>24619</v>
      </c>
      <c r="F8271" t="s">
        <v>32664</v>
      </c>
      <c r="G8271" t="s">
        <v>32674</v>
      </c>
      <c r="H8271" t="s">
        <v>12635</v>
      </c>
      <c r="I8271" t="s">
        <v>6168</v>
      </c>
      <c r="J8271" t="s">
        <v>37848</v>
      </c>
      <c r="K8271" t="s">
        <v>42284</v>
      </c>
      <c r="M8271" t="s">
        <v>43447</v>
      </c>
      <c r="N8271" t="s">
        <v>46569</v>
      </c>
      <c r="O8271" t="s">
        <v>46570</v>
      </c>
      <c r="P8271">
        <v>0</v>
      </c>
      <c r="Q8271">
        <v>1</v>
      </c>
      <c r="R8271" t="s">
        <v>46576</v>
      </c>
      <c r="S8271" t="s">
        <v>46749</v>
      </c>
      <c r="T8271" t="s">
        <v>48287</v>
      </c>
      <c r="U8271" t="s">
        <v>55536</v>
      </c>
      <c r="W8271" t="s">
        <v>43447</v>
      </c>
      <c r="X8271" t="s">
        <v>46577</v>
      </c>
    </row>
    <row r="8272" spans="1:24">
      <c r="A8272">
        <f>HYPERLINK("https://www.philgeps.gov.ph/GEPSNONPILOT/Tender/SplashBidNoticeAbstractUI.aspx?menuIndex=3&amp;refID=7050763&amp;Result=3","7050763")</f>
        <v>0</v>
      </c>
      <c r="B8272" t="s">
        <v>559</v>
      </c>
      <c r="C8272" t="s">
        <v>11386</v>
      </c>
      <c r="E8272" t="s">
        <v>26137</v>
      </c>
      <c r="F8272" t="s">
        <v>32664</v>
      </c>
      <c r="G8272" t="s">
        <v>32672</v>
      </c>
      <c r="H8272" t="s">
        <v>32683</v>
      </c>
      <c r="I8272" t="s">
        <v>10627</v>
      </c>
      <c r="J8272" t="s">
        <v>37844</v>
      </c>
      <c r="K8272" t="s">
        <v>42283</v>
      </c>
      <c r="M8272" t="s">
        <v>43139</v>
      </c>
      <c r="N8272" t="s">
        <v>46569</v>
      </c>
      <c r="O8272" t="s">
        <v>46570</v>
      </c>
      <c r="P8272">
        <v>0</v>
      </c>
      <c r="Q8272">
        <v>3</v>
      </c>
      <c r="R8272" t="s">
        <v>46576</v>
      </c>
      <c r="S8272" t="s">
        <v>46749</v>
      </c>
      <c r="T8272" t="s">
        <v>48220</v>
      </c>
      <c r="U8272" t="s">
        <v>55530</v>
      </c>
      <c r="V8272" t="s">
        <v>62425</v>
      </c>
      <c r="W8272" t="s">
        <v>43139</v>
      </c>
      <c r="X8272" t="s">
        <v>46579</v>
      </c>
    </row>
    <row r="8273" spans="1:24">
      <c r="A8273">
        <f>HYPERLINK("https://www.philgeps.gov.ph/GEPSNONPILOT/Tender/SplashBidNoticeAbstractUI.aspx?menuIndex=3&amp;refID=7050791&amp;Result=3","7050791")</f>
        <v>0</v>
      </c>
      <c r="B8273" t="s">
        <v>559</v>
      </c>
      <c r="C8273" t="s">
        <v>11387</v>
      </c>
      <c r="E8273" t="s">
        <v>26138</v>
      </c>
      <c r="F8273" t="s">
        <v>32664</v>
      </c>
      <c r="G8273" t="s">
        <v>32672</v>
      </c>
      <c r="H8273" t="s">
        <v>12635</v>
      </c>
      <c r="I8273" t="s">
        <v>11464</v>
      </c>
      <c r="J8273" t="s">
        <v>37849</v>
      </c>
      <c r="K8273" t="s">
        <v>42283</v>
      </c>
      <c r="M8273" t="s">
        <v>43139</v>
      </c>
      <c r="N8273" t="s">
        <v>46569</v>
      </c>
      <c r="O8273" t="s">
        <v>46570</v>
      </c>
      <c r="P8273">
        <v>0</v>
      </c>
      <c r="Q8273">
        <v>0</v>
      </c>
      <c r="R8273" t="s">
        <v>46576</v>
      </c>
      <c r="S8273" t="s">
        <v>46749</v>
      </c>
      <c r="T8273" t="s">
        <v>48220</v>
      </c>
      <c r="U8273" t="s">
        <v>55537</v>
      </c>
      <c r="V8273" t="s">
        <v>62425</v>
      </c>
      <c r="W8273" t="s">
        <v>43139</v>
      </c>
      <c r="X8273" t="s">
        <v>46579</v>
      </c>
    </row>
    <row r="8274" spans="1:24">
      <c r="A8274">
        <f>HYPERLINK("https://www.philgeps.gov.ph/GEPSNONPILOT/Tender/SplashBidNoticeAbstractUI.aspx?menuIndex=3&amp;refID=7055874&amp;Result=3","7055874")</f>
        <v>0</v>
      </c>
      <c r="B8274" t="s">
        <v>2029</v>
      </c>
      <c r="C8274" t="s">
        <v>11388</v>
      </c>
      <c r="D8274" t="s">
        <v>18784</v>
      </c>
      <c r="E8274" t="s">
        <v>26139</v>
      </c>
      <c r="F8274" t="s">
        <v>32664</v>
      </c>
      <c r="G8274" t="s">
        <v>32672</v>
      </c>
      <c r="H8274" t="s">
        <v>32683</v>
      </c>
      <c r="I8274" t="s">
        <v>10627</v>
      </c>
      <c r="J8274" t="s">
        <v>37850</v>
      </c>
      <c r="K8274" t="s">
        <v>42308</v>
      </c>
      <c r="M8274" t="s">
        <v>45251</v>
      </c>
      <c r="N8274" t="s">
        <v>46569</v>
      </c>
      <c r="O8274" t="s">
        <v>46570</v>
      </c>
      <c r="P8274">
        <v>0</v>
      </c>
      <c r="Q8274">
        <v>4</v>
      </c>
      <c r="R8274" t="s">
        <v>46576</v>
      </c>
      <c r="S8274" t="s">
        <v>46749</v>
      </c>
      <c r="T8274" t="s">
        <v>48292</v>
      </c>
      <c r="U8274" t="s">
        <v>55538</v>
      </c>
      <c r="V8274" t="s">
        <v>62442</v>
      </c>
      <c r="W8274" t="s">
        <v>45251</v>
      </c>
      <c r="X8274" t="s">
        <v>46577</v>
      </c>
    </row>
    <row r="8275" spans="1:24">
      <c r="A8275">
        <f>HYPERLINK("https://www.philgeps.gov.ph/GEPSNONPILOT/Tender/SplashBidNoticeAbstractUI.aspx?menuIndex=3&amp;refID=7055784&amp;Result=3","7055784")</f>
        <v>0</v>
      </c>
      <c r="B8275" t="s">
        <v>1745</v>
      </c>
      <c r="C8275" t="s">
        <v>11389</v>
      </c>
      <c r="D8275" t="s">
        <v>18822</v>
      </c>
      <c r="E8275" t="s">
        <v>23449</v>
      </c>
      <c r="F8275" t="s">
        <v>32664</v>
      </c>
      <c r="G8275" t="s">
        <v>32672</v>
      </c>
      <c r="H8275" t="s">
        <v>12635</v>
      </c>
      <c r="I8275" t="s">
        <v>4439</v>
      </c>
      <c r="J8275" t="s">
        <v>37851</v>
      </c>
      <c r="K8275" t="s">
        <v>42289</v>
      </c>
      <c r="M8275" t="s">
        <v>44444</v>
      </c>
      <c r="N8275" t="s">
        <v>46569</v>
      </c>
      <c r="O8275" t="s">
        <v>46570</v>
      </c>
      <c r="P8275">
        <v>0</v>
      </c>
      <c r="Q8275">
        <v>2</v>
      </c>
      <c r="R8275" t="s">
        <v>46576</v>
      </c>
      <c r="S8275" t="s">
        <v>46749</v>
      </c>
      <c r="T8275" t="s">
        <v>48258</v>
      </c>
      <c r="U8275" t="s">
        <v>55539</v>
      </c>
      <c r="W8275" t="s">
        <v>44444</v>
      </c>
      <c r="X8275" t="s">
        <v>46577</v>
      </c>
    </row>
    <row r="8276" spans="1:24">
      <c r="A8276">
        <f>HYPERLINK("https://www.philgeps.gov.ph/GEPSNONPILOT/Tender/SplashBidNoticeAbstractUI.aspx?menuIndex=3&amp;refID=7055865&amp;Result=3","7055865")</f>
        <v>0</v>
      </c>
      <c r="B8276" t="s">
        <v>2446</v>
      </c>
      <c r="C8276" t="s">
        <v>11390</v>
      </c>
      <c r="D8276" t="s">
        <v>18838</v>
      </c>
      <c r="E8276" t="s">
        <v>26140</v>
      </c>
      <c r="F8276" t="s">
        <v>32664</v>
      </c>
      <c r="G8276" t="s">
        <v>32672</v>
      </c>
      <c r="H8276" t="s">
        <v>12635</v>
      </c>
      <c r="I8276" t="s">
        <v>32712</v>
      </c>
      <c r="J8276" t="s">
        <v>37852</v>
      </c>
      <c r="K8276" t="s">
        <v>42283</v>
      </c>
      <c r="M8276" t="s">
        <v>45239</v>
      </c>
      <c r="N8276" t="s">
        <v>46569</v>
      </c>
      <c r="O8276" t="s">
        <v>46570</v>
      </c>
      <c r="P8276">
        <v>0</v>
      </c>
      <c r="Q8276">
        <v>6</v>
      </c>
      <c r="R8276" t="s">
        <v>46576</v>
      </c>
      <c r="S8276" t="s">
        <v>46749</v>
      </c>
      <c r="T8276" t="s">
        <v>48617</v>
      </c>
      <c r="U8276" t="s">
        <v>55540</v>
      </c>
      <c r="V8276" t="s">
        <v>62443</v>
      </c>
      <c r="W8276" t="s">
        <v>45239</v>
      </c>
      <c r="X8276" t="s">
        <v>46577</v>
      </c>
    </row>
    <row r="8277" spans="1:24">
      <c r="A8277">
        <f>HYPERLINK("https://www.philgeps.gov.ph/GEPSNONPILOT/Tender/SplashBidNoticeAbstractUI.aspx?menuIndex=3&amp;refID=7055146&amp;Result=3","7055146")</f>
        <v>0</v>
      </c>
      <c r="B8277" t="s">
        <v>2456</v>
      </c>
      <c r="C8277" t="s">
        <v>11391</v>
      </c>
      <c r="D8277" t="s">
        <v>18837</v>
      </c>
      <c r="E8277" t="s">
        <v>18926</v>
      </c>
      <c r="F8277" t="s">
        <v>32664</v>
      </c>
      <c r="G8277" t="s">
        <v>32672</v>
      </c>
      <c r="H8277" t="s">
        <v>32683</v>
      </c>
      <c r="I8277" t="s">
        <v>10627</v>
      </c>
      <c r="J8277" t="s">
        <v>37853</v>
      </c>
      <c r="K8277" t="s">
        <v>42283</v>
      </c>
      <c r="M8277" t="s">
        <v>45252</v>
      </c>
      <c r="N8277" t="s">
        <v>46569</v>
      </c>
      <c r="O8277" t="s">
        <v>46570</v>
      </c>
      <c r="P8277">
        <v>0</v>
      </c>
      <c r="Q8277">
        <v>1</v>
      </c>
      <c r="R8277" t="s">
        <v>46576</v>
      </c>
      <c r="S8277" t="s">
        <v>46749</v>
      </c>
      <c r="T8277" t="s">
        <v>48293</v>
      </c>
      <c r="U8277" t="s">
        <v>55541</v>
      </c>
      <c r="W8277" t="s">
        <v>45252</v>
      </c>
      <c r="X8277" t="s">
        <v>46578</v>
      </c>
    </row>
    <row r="8278" spans="1:24">
      <c r="A8278">
        <f>HYPERLINK("https://www.philgeps.gov.ph/GEPSNONPILOT/Tender/SplashBidNoticeAbstractUI.aspx?menuIndex=3&amp;refID=7055857&amp;Result=3","7055857")</f>
        <v>0</v>
      </c>
      <c r="B8278" t="s">
        <v>1709</v>
      </c>
      <c r="C8278" t="s">
        <v>11392</v>
      </c>
      <c r="D8278" t="s">
        <v>18834</v>
      </c>
      <c r="E8278" t="s">
        <v>26141</v>
      </c>
      <c r="F8278" t="s">
        <v>32664</v>
      </c>
      <c r="G8278" t="s">
        <v>32671</v>
      </c>
      <c r="H8278" t="s">
        <v>12635</v>
      </c>
      <c r="I8278" t="s">
        <v>32710</v>
      </c>
      <c r="J8278" t="s">
        <v>32865</v>
      </c>
      <c r="K8278" t="s">
        <v>42289</v>
      </c>
      <c r="M8278" t="s">
        <v>44745</v>
      </c>
      <c r="N8278" t="s">
        <v>46569</v>
      </c>
      <c r="O8278" t="s">
        <v>46570</v>
      </c>
      <c r="P8278">
        <v>0</v>
      </c>
      <c r="Q8278">
        <v>10</v>
      </c>
      <c r="R8278" t="s">
        <v>46576</v>
      </c>
      <c r="S8278" t="s">
        <v>46749</v>
      </c>
      <c r="T8278" t="s">
        <v>48290</v>
      </c>
      <c r="U8278" t="s">
        <v>55542</v>
      </c>
      <c r="W8278" t="s">
        <v>44745</v>
      </c>
      <c r="X8278" t="s">
        <v>46577</v>
      </c>
    </row>
    <row r="8279" spans="1:24">
      <c r="A8279">
        <f>HYPERLINK("https://www.philgeps.gov.ph/GEPSNONPILOT/Tender/SplashBidNoticeAbstractUI.aspx?menuIndex=3&amp;refID=7050785&amp;Result=3","7050785")</f>
        <v>0</v>
      </c>
      <c r="B8279" t="s">
        <v>559</v>
      </c>
      <c r="C8279" t="s">
        <v>11393</v>
      </c>
      <c r="E8279" t="s">
        <v>26142</v>
      </c>
      <c r="F8279" t="s">
        <v>32664</v>
      </c>
      <c r="G8279" t="s">
        <v>32672</v>
      </c>
      <c r="H8279" t="s">
        <v>32683</v>
      </c>
      <c r="I8279" t="s">
        <v>10627</v>
      </c>
      <c r="J8279" t="s">
        <v>37854</v>
      </c>
      <c r="K8279" t="s">
        <v>42283</v>
      </c>
      <c r="M8279" t="s">
        <v>43139</v>
      </c>
      <c r="N8279" t="s">
        <v>46569</v>
      </c>
      <c r="O8279" t="s">
        <v>46570</v>
      </c>
      <c r="P8279">
        <v>0</v>
      </c>
      <c r="Q8279">
        <v>3</v>
      </c>
      <c r="R8279" t="s">
        <v>46576</v>
      </c>
      <c r="S8279" t="s">
        <v>46749</v>
      </c>
      <c r="T8279" t="s">
        <v>48220</v>
      </c>
      <c r="U8279" t="s">
        <v>55543</v>
      </c>
      <c r="V8279" t="s">
        <v>62425</v>
      </c>
      <c r="W8279" t="s">
        <v>43139</v>
      </c>
      <c r="X8279" t="s">
        <v>46579</v>
      </c>
    </row>
    <row r="8280" spans="1:24">
      <c r="A8280">
        <f>HYPERLINK("https://www.philgeps.gov.ph/GEPSNONPILOT/Tender/SplashBidNoticeAbstractUI.aspx?menuIndex=3&amp;refID=7055862&amp;Result=3","7055862")</f>
        <v>0</v>
      </c>
      <c r="B8280" t="s">
        <v>2457</v>
      </c>
      <c r="C8280" t="s">
        <v>11394</v>
      </c>
      <c r="D8280" t="s">
        <v>18801</v>
      </c>
      <c r="E8280" t="s">
        <v>22276</v>
      </c>
      <c r="F8280" t="s">
        <v>32664</v>
      </c>
      <c r="G8280" t="s">
        <v>32672</v>
      </c>
      <c r="H8280" t="s">
        <v>32683</v>
      </c>
      <c r="I8280" t="s">
        <v>10627</v>
      </c>
      <c r="J8280" t="s">
        <v>37855</v>
      </c>
      <c r="K8280" t="s">
        <v>42281</v>
      </c>
      <c r="M8280" t="s">
        <v>45253</v>
      </c>
      <c r="N8280" t="s">
        <v>46569</v>
      </c>
      <c r="O8280" t="s">
        <v>46570</v>
      </c>
      <c r="P8280">
        <v>0</v>
      </c>
      <c r="Q8280">
        <v>0</v>
      </c>
      <c r="R8280" t="s">
        <v>46576</v>
      </c>
      <c r="S8280" t="s">
        <v>46749</v>
      </c>
      <c r="T8280" t="s">
        <v>48280</v>
      </c>
      <c r="U8280" t="s">
        <v>55544</v>
      </c>
      <c r="W8280" t="s">
        <v>45253</v>
      </c>
      <c r="X8280" t="s">
        <v>46577</v>
      </c>
    </row>
    <row r="8281" spans="1:24">
      <c r="A8281">
        <f>HYPERLINK("https://www.philgeps.gov.ph/GEPSNONPILOT/Tender/SplashBidNoticeAbstractUI.aspx?menuIndex=3&amp;refID=7055834&amp;Result=3","7055834")</f>
        <v>0</v>
      </c>
      <c r="B8281" t="s">
        <v>2458</v>
      </c>
      <c r="C8281" t="s">
        <v>11395</v>
      </c>
      <c r="D8281" t="s">
        <v>18792</v>
      </c>
      <c r="E8281" t="s">
        <v>26143</v>
      </c>
      <c r="F8281" t="s">
        <v>32664</v>
      </c>
      <c r="G8281" t="s">
        <v>32672</v>
      </c>
      <c r="H8281" t="s">
        <v>12635</v>
      </c>
      <c r="I8281" t="s">
        <v>4439</v>
      </c>
      <c r="J8281" t="s">
        <v>37856</v>
      </c>
      <c r="K8281" t="s">
        <v>42281</v>
      </c>
      <c r="M8281" t="s">
        <v>45254</v>
      </c>
      <c r="N8281" t="s">
        <v>46569</v>
      </c>
      <c r="O8281" t="s">
        <v>46570</v>
      </c>
      <c r="P8281">
        <v>0</v>
      </c>
      <c r="Q8281">
        <v>0</v>
      </c>
      <c r="R8281" t="s">
        <v>46576</v>
      </c>
      <c r="S8281" t="s">
        <v>46749</v>
      </c>
      <c r="T8281" t="s">
        <v>48244</v>
      </c>
      <c r="U8281" t="s">
        <v>55545</v>
      </c>
      <c r="W8281" t="s">
        <v>45254</v>
      </c>
      <c r="X8281" t="s">
        <v>46577</v>
      </c>
    </row>
    <row r="8282" spans="1:24">
      <c r="A8282">
        <f>HYPERLINK("https://www.philgeps.gov.ph/GEPSNONPILOT/Tender/SplashBidNoticeAbstractUI.aspx?menuIndex=3&amp;refID=7055849&amp;Result=3","7055849")</f>
        <v>0</v>
      </c>
      <c r="B8282" t="s">
        <v>2459</v>
      </c>
      <c r="C8282" t="s">
        <v>11396</v>
      </c>
      <c r="D8282" t="s">
        <v>18804</v>
      </c>
      <c r="E8282" t="s">
        <v>26144</v>
      </c>
      <c r="F8282" t="s">
        <v>32664</v>
      </c>
      <c r="G8282" t="s">
        <v>32671</v>
      </c>
      <c r="H8282" t="s">
        <v>12635</v>
      </c>
      <c r="I8282" t="s">
        <v>6168</v>
      </c>
      <c r="J8282" t="s">
        <v>37857</v>
      </c>
      <c r="K8282" t="s">
        <v>42281</v>
      </c>
      <c r="M8282" t="s">
        <v>45255</v>
      </c>
      <c r="N8282" t="s">
        <v>46569</v>
      </c>
      <c r="O8282" t="s">
        <v>46570</v>
      </c>
      <c r="P8282">
        <v>0</v>
      </c>
      <c r="Q8282">
        <v>1</v>
      </c>
      <c r="R8282" t="s">
        <v>46576</v>
      </c>
      <c r="S8282" t="s">
        <v>46749</v>
      </c>
      <c r="T8282" t="s">
        <v>48228</v>
      </c>
      <c r="U8282" t="s">
        <v>55546</v>
      </c>
      <c r="W8282" t="s">
        <v>45255</v>
      </c>
      <c r="X8282" t="s">
        <v>46577</v>
      </c>
    </row>
    <row r="8283" spans="1:24">
      <c r="A8283">
        <f>HYPERLINK("https://www.philgeps.gov.ph/GEPSNONPILOT/Tender/SplashBidNoticeAbstractUI.aspx?menuIndex=3&amp;refID=7055860&amp;Result=3","7055860")</f>
        <v>0</v>
      </c>
      <c r="B8283" t="s">
        <v>2460</v>
      </c>
      <c r="C8283" t="s">
        <v>11397</v>
      </c>
      <c r="D8283" t="s">
        <v>18783</v>
      </c>
      <c r="E8283" t="s">
        <v>19280</v>
      </c>
      <c r="F8283" t="s">
        <v>32664</v>
      </c>
      <c r="G8283" t="s">
        <v>32672</v>
      </c>
      <c r="H8283" t="s">
        <v>12635</v>
      </c>
      <c r="I8283" t="s">
        <v>4333</v>
      </c>
      <c r="J8283" t="s">
        <v>37858</v>
      </c>
      <c r="K8283" t="s">
        <v>42297</v>
      </c>
      <c r="M8283" t="s">
        <v>45256</v>
      </c>
      <c r="N8283" t="s">
        <v>46569</v>
      </c>
      <c r="O8283" t="s">
        <v>46570</v>
      </c>
      <c r="P8283">
        <v>0</v>
      </c>
      <c r="Q8283">
        <v>4</v>
      </c>
      <c r="R8283" t="s">
        <v>46576</v>
      </c>
      <c r="S8283" t="s">
        <v>46749</v>
      </c>
      <c r="T8283" t="s">
        <v>48221</v>
      </c>
      <c r="U8283" t="s">
        <v>55547</v>
      </c>
      <c r="W8283" t="s">
        <v>45256</v>
      </c>
      <c r="X8283" t="s">
        <v>46577</v>
      </c>
    </row>
    <row r="8284" spans="1:24">
      <c r="A8284">
        <f>HYPERLINK("https://www.philgeps.gov.ph/GEPSNONPILOT/Tender/SplashBidNoticeAbstractUI.aspx?menuIndex=3&amp;refID=7055824&amp;Result=3","7055824")</f>
        <v>0</v>
      </c>
      <c r="B8284" t="s">
        <v>1709</v>
      </c>
      <c r="C8284" t="s">
        <v>11398</v>
      </c>
      <c r="D8284" t="s">
        <v>18834</v>
      </c>
      <c r="E8284" t="s">
        <v>26145</v>
      </c>
      <c r="F8284" t="s">
        <v>32664</v>
      </c>
      <c r="G8284" t="s">
        <v>32671</v>
      </c>
      <c r="H8284" t="s">
        <v>12635</v>
      </c>
      <c r="I8284" t="s">
        <v>32694</v>
      </c>
      <c r="J8284" t="s">
        <v>37859</v>
      </c>
      <c r="K8284" t="s">
        <v>42289</v>
      </c>
      <c r="M8284" t="s">
        <v>44745</v>
      </c>
      <c r="N8284" t="s">
        <v>46569</v>
      </c>
      <c r="O8284" t="s">
        <v>46570</v>
      </c>
      <c r="P8284">
        <v>0</v>
      </c>
      <c r="Q8284">
        <v>5</v>
      </c>
      <c r="R8284" t="s">
        <v>46576</v>
      </c>
      <c r="S8284" t="s">
        <v>46749</v>
      </c>
      <c r="T8284" t="s">
        <v>48290</v>
      </c>
      <c r="U8284" t="s">
        <v>55548</v>
      </c>
      <c r="W8284" t="s">
        <v>44745</v>
      </c>
      <c r="X8284" t="s">
        <v>46577</v>
      </c>
    </row>
    <row r="8285" spans="1:24">
      <c r="A8285">
        <f>HYPERLINK("https://www.philgeps.gov.ph/GEPSNONPILOT/Tender/SplashBidNoticeAbstractUI.aspx?menuIndex=3&amp;refID=7055850&amp;Result=3","7055850")</f>
        <v>0</v>
      </c>
      <c r="B8285" t="s">
        <v>2461</v>
      </c>
      <c r="C8285" t="s">
        <v>11399</v>
      </c>
      <c r="D8285" t="s">
        <v>18784</v>
      </c>
      <c r="E8285" t="s">
        <v>26146</v>
      </c>
      <c r="F8285" t="s">
        <v>32668</v>
      </c>
      <c r="G8285" t="s">
        <v>32671</v>
      </c>
      <c r="H8285" t="s">
        <v>12635</v>
      </c>
      <c r="I8285" t="s">
        <v>6223</v>
      </c>
      <c r="J8285" t="s">
        <v>33632</v>
      </c>
      <c r="K8285" t="s">
        <v>42284</v>
      </c>
      <c r="M8285" t="s">
        <v>45257</v>
      </c>
      <c r="N8285" t="s">
        <v>46569</v>
      </c>
      <c r="O8285" t="s">
        <v>46570</v>
      </c>
      <c r="P8285">
        <v>0</v>
      </c>
      <c r="Q8285">
        <v>0</v>
      </c>
      <c r="R8285" t="s">
        <v>46576</v>
      </c>
      <c r="S8285" t="s">
        <v>46749</v>
      </c>
      <c r="T8285" t="s">
        <v>48623</v>
      </c>
      <c r="U8285" t="s">
        <v>55549</v>
      </c>
      <c r="W8285" t="s">
        <v>45257</v>
      </c>
      <c r="X8285" t="s">
        <v>46577</v>
      </c>
    </row>
    <row r="8286" spans="1:24">
      <c r="A8286">
        <f>HYPERLINK("https://www.philgeps.gov.ph/GEPSNONPILOT/Tender/SplashBidNoticeAbstractUI.aspx?menuIndex=3&amp;refID=7055831&amp;Result=3","7055831")</f>
        <v>0</v>
      </c>
      <c r="B8286" t="s">
        <v>2462</v>
      </c>
      <c r="C8286" t="s">
        <v>11400</v>
      </c>
      <c r="D8286" t="s">
        <v>18816</v>
      </c>
      <c r="E8286" t="s">
        <v>21652</v>
      </c>
      <c r="F8286" t="s">
        <v>32664</v>
      </c>
      <c r="G8286" t="s">
        <v>32671</v>
      </c>
      <c r="H8286" t="s">
        <v>12635</v>
      </c>
      <c r="I8286" t="s">
        <v>4333</v>
      </c>
      <c r="J8286" t="s">
        <v>37860</v>
      </c>
      <c r="K8286" t="s">
        <v>42284</v>
      </c>
      <c r="M8286" t="s">
        <v>45258</v>
      </c>
      <c r="N8286" t="s">
        <v>46569</v>
      </c>
      <c r="O8286" t="s">
        <v>46570</v>
      </c>
      <c r="P8286">
        <v>0</v>
      </c>
      <c r="Q8286">
        <v>2</v>
      </c>
      <c r="R8286" t="s">
        <v>46576</v>
      </c>
      <c r="S8286" t="s">
        <v>46749</v>
      </c>
      <c r="T8286" t="s">
        <v>48550</v>
      </c>
      <c r="U8286" t="s">
        <v>55550</v>
      </c>
      <c r="V8286" t="s">
        <v>62444</v>
      </c>
      <c r="W8286" t="s">
        <v>45258</v>
      </c>
      <c r="X8286" t="s">
        <v>46577</v>
      </c>
    </row>
    <row r="8287" spans="1:24">
      <c r="A8287">
        <f>HYPERLINK("https://www.philgeps.gov.ph/GEPSNONPILOT/Tender/SplashBidNoticeAbstractUI.aspx?menuIndex=3&amp;refID=7050776&amp;Result=3","7050776")</f>
        <v>0</v>
      </c>
      <c r="B8287" t="s">
        <v>559</v>
      </c>
      <c r="C8287" t="s">
        <v>11401</v>
      </c>
      <c r="E8287" t="s">
        <v>26147</v>
      </c>
      <c r="F8287" t="s">
        <v>32664</v>
      </c>
      <c r="G8287" t="s">
        <v>32672</v>
      </c>
      <c r="H8287" t="s">
        <v>32683</v>
      </c>
      <c r="I8287" t="s">
        <v>10627</v>
      </c>
      <c r="J8287" t="s">
        <v>37861</v>
      </c>
      <c r="K8287" t="s">
        <v>42283</v>
      </c>
      <c r="M8287" t="s">
        <v>43139</v>
      </c>
      <c r="N8287" t="s">
        <v>46569</v>
      </c>
      <c r="O8287" t="s">
        <v>46570</v>
      </c>
      <c r="P8287">
        <v>0</v>
      </c>
      <c r="Q8287">
        <v>3</v>
      </c>
      <c r="R8287" t="s">
        <v>46576</v>
      </c>
      <c r="S8287" t="s">
        <v>46749</v>
      </c>
      <c r="T8287" t="s">
        <v>48220</v>
      </c>
      <c r="U8287" t="s">
        <v>55551</v>
      </c>
      <c r="V8287" t="s">
        <v>62425</v>
      </c>
      <c r="W8287" t="s">
        <v>43139</v>
      </c>
      <c r="X8287" t="s">
        <v>46579</v>
      </c>
    </row>
    <row r="8288" spans="1:24">
      <c r="A8288">
        <f>HYPERLINK("https://www.philgeps.gov.ph/GEPSNONPILOT/Tender/SplashBidNoticeAbstractUI.aspx?menuIndex=3&amp;refID=7055803&amp;Result=3","7055803")</f>
        <v>0</v>
      </c>
      <c r="B8288" t="s">
        <v>1745</v>
      </c>
      <c r="C8288" t="s">
        <v>11402</v>
      </c>
      <c r="D8288" t="s">
        <v>18822</v>
      </c>
      <c r="E8288" t="s">
        <v>23449</v>
      </c>
      <c r="F8288" t="s">
        <v>32664</v>
      </c>
      <c r="G8288" t="s">
        <v>32672</v>
      </c>
      <c r="H8288" t="s">
        <v>12635</v>
      </c>
      <c r="I8288" t="s">
        <v>4439</v>
      </c>
      <c r="J8288" t="s">
        <v>37862</v>
      </c>
      <c r="K8288" t="s">
        <v>42289</v>
      </c>
      <c r="M8288" t="s">
        <v>44444</v>
      </c>
      <c r="N8288" t="s">
        <v>46569</v>
      </c>
      <c r="O8288" t="s">
        <v>46570</v>
      </c>
      <c r="P8288">
        <v>0</v>
      </c>
      <c r="Q8288">
        <v>2</v>
      </c>
      <c r="R8288" t="s">
        <v>46576</v>
      </c>
      <c r="S8288" t="s">
        <v>46749</v>
      </c>
      <c r="T8288" t="s">
        <v>48258</v>
      </c>
      <c r="U8288" t="s">
        <v>55552</v>
      </c>
      <c r="W8288" t="s">
        <v>44444</v>
      </c>
      <c r="X8288" t="s">
        <v>46577</v>
      </c>
    </row>
    <row r="8289" spans="1:24">
      <c r="A8289">
        <f>HYPERLINK("https://www.philgeps.gov.ph/GEPSNONPILOT/Tender/SplashBidNoticeAbstractUI.aspx?menuIndex=3&amp;refID=7055873&amp;Result=3","7055873")</f>
        <v>0</v>
      </c>
      <c r="B8289" t="s">
        <v>852</v>
      </c>
      <c r="C8289" t="s">
        <v>11403</v>
      </c>
      <c r="D8289" t="s">
        <v>18794</v>
      </c>
      <c r="E8289" t="s">
        <v>26148</v>
      </c>
      <c r="F8289" t="s">
        <v>32664</v>
      </c>
      <c r="G8289" t="s">
        <v>32671</v>
      </c>
      <c r="H8289" t="s">
        <v>12635</v>
      </c>
      <c r="I8289" t="s">
        <v>14442</v>
      </c>
      <c r="J8289" t="s">
        <v>32898</v>
      </c>
      <c r="K8289" t="s">
        <v>42303</v>
      </c>
      <c r="M8289" t="s">
        <v>43448</v>
      </c>
      <c r="N8289" t="s">
        <v>46569</v>
      </c>
      <c r="O8289" t="s">
        <v>46570</v>
      </c>
      <c r="P8289">
        <v>0</v>
      </c>
      <c r="Q8289">
        <v>5</v>
      </c>
      <c r="R8289" t="s">
        <v>46576</v>
      </c>
      <c r="S8289" t="s">
        <v>46749</v>
      </c>
      <c r="T8289" t="s">
        <v>48376</v>
      </c>
      <c r="U8289" t="s">
        <v>50431</v>
      </c>
      <c r="W8289" t="s">
        <v>43448</v>
      </c>
      <c r="X8289" t="s">
        <v>46577</v>
      </c>
    </row>
    <row r="8290" spans="1:24">
      <c r="A8290">
        <f>HYPERLINK("https://www.philgeps.gov.ph/GEPSNONPILOT/Tender/SplashBidNoticeAbstractUI.aspx?menuIndex=3&amp;refID=7055808&amp;Result=3","7055808")</f>
        <v>0</v>
      </c>
      <c r="B8290" t="s">
        <v>1150</v>
      </c>
      <c r="C8290" t="s">
        <v>6378</v>
      </c>
      <c r="D8290" t="s">
        <v>18845</v>
      </c>
      <c r="E8290" t="s">
        <v>26149</v>
      </c>
      <c r="F8290" t="s">
        <v>32664</v>
      </c>
      <c r="G8290" t="s">
        <v>32671</v>
      </c>
      <c r="H8290" t="s">
        <v>12635</v>
      </c>
      <c r="I8290" t="s">
        <v>6118</v>
      </c>
      <c r="J8290" t="s">
        <v>37863</v>
      </c>
      <c r="K8290" t="s">
        <v>42283</v>
      </c>
      <c r="M8290" t="s">
        <v>43781</v>
      </c>
      <c r="N8290" t="s">
        <v>46569</v>
      </c>
      <c r="O8290" t="s">
        <v>46570</v>
      </c>
      <c r="P8290">
        <v>0</v>
      </c>
      <c r="Q8290">
        <v>0</v>
      </c>
      <c r="R8290" t="s">
        <v>46576</v>
      </c>
      <c r="S8290" t="s">
        <v>46749</v>
      </c>
      <c r="T8290" t="s">
        <v>48290</v>
      </c>
      <c r="U8290" t="s">
        <v>55553</v>
      </c>
      <c r="W8290" t="s">
        <v>43781</v>
      </c>
      <c r="X8290" t="s">
        <v>46577</v>
      </c>
    </row>
    <row r="8291" spans="1:24">
      <c r="A8291">
        <f>HYPERLINK("https://www.philgeps.gov.ph/GEPSNONPILOT/Tender/SplashBidNoticeAbstractUI.aspx?menuIndex=3&amp;refID=7055932&amp;Result=3","7055932")</f>
        <v>0</v>
      </c>
      <c r="B8291" t="s">
        <v>2459</v>
      </c>
      <c r="C8291" t="s">
        <v>11404</v>
      </c>
      <c r="D8291" t="s">
        <v>18804</v>
      </c>
      <c r="E8291" t="s">
        <v>26150</v>
      </c>
      <c r="F8291" t="s">
        <v>32664</v>
      </c>
      <c r="G8291" t="s">
        <v>32671</v>
      </c>
      <c r="H8291" t="s">
        <v>12635</v>
      </c>
      <c r="I8291" t="s">
        <v>32694</v>
      </c>
      <c r="J8291" t="s">
        <v>37864</v>
      </c>
      <c r="K8291" t="s">
        <v>42281</v>
      </c>
      <c r="M8291" t="s">
        <v>45255</v>
      </c>
      <c r="N8291" t="s">
        <v>46569</v>
      </c>
      <c r="O8291" t="s">
        <v>46570</v>
      </c>
      <c r="P8291">
        <v>0</v>
      </c>
      <c r="Q8291">
        <v>2</v>
      </c>
      <c r="R8291" t="s">
        <v>46576</v>
      </c>
      <c r="S8291" t="s">
        <v>46749</v>
      </c>
      <c r="T8291" t="s">
        <v>48228</v>
      </c>
      <c r="U8291" t="s">
        <v>55554</v>
      </c>
      <c r="W8291" t="s">
        <v>45255</v>
      </c>
      <c r="X8291" t="s">
        <v>46577</v>
      </c>
    </row>
    <row r="8292" spans="1:24">
      <c r="A8292">
        <f>HYPERLINK("https://www.philgeps.gov.ph/GEPSNONPILOT/Tender/SplashBidNoticeAbstractUI.aspx?menuIndex=3&amp;refID=7055934&amp;Result=3","7055934")</f>
        <v>0</v>
      </c>
      <c r="B8292" t="s">
        <v>2463</v>
      </c>
      <c r="C8292" t="s">
        <v>11405</v>
      </c>
      <c r="D8292" t="s">
        <v>18783</v>
      </c>
      <c r="E8292" t="s">
        <v>26151</v>
      </c>
      <c r="F8292" t="s">
        <v>32664</v>
      </c>
      <c r="G8292" t="s">
        <v>32671</v>
      </c>
      <c r="H8292" t="s">
        <v>12635</v>
      </c>
      <c r="I8292" t="s">
        <v>10370</v>
      </c>
      <c r="J8292" t="s">
        <v>32851</v>
      </c>
      <c r="K8292" t="s">
        <v>42303</v>
      </c>
      <c r="M8292" t="s">
        <v>45259</v>
      </c>
      <c r="N8292" t="s">
        <v>46569</v>
      </c>
      <c r="O8292" t="s">
        <v>46570</v>
      </c>
      <c r="P8292">
        <v>0</v>
      </c>
      <c r="Q8292">
        <v>0</v>
      </c>
      <c r="R8292" t="s">
        <v>46576</v>
      </c>
      <c r="S8292" t="s">
        <v>46749</v>
      </c>
      <c r="T8292" t="s">
        <v>48562</v>
      </c>
      <c r="U8292" t="s">
        <v>52191</v>
      </c>
      <c r="W8292" t="s">
        <v>45259</v>
      </c>
      <c r="X8292" t="s">
        <v>46577</v>
      </c>
    </row>
    <row r="8293" spans="1:24">
      <c r="A8293">
        <f>HYPERLINK("https://www.philgeps.gov.ph/GEPSNONPILOT/Tender/SplashBidNoticeAbstractUI.aspx?menuIndex=3&amp;refID=7055922&amp;Result=3","7055922")</f>
        <v>0</v>
      </c>
      <c r="B8293" t="s">
        <v>1452</v>
      </c>
      <c r="C8293" t="s">
        <v>11406</v>
      </c>
      <c r="D8293" t="s">
        <v>18812</v>
      </c>
      <c r="E8293" t="s">
        <v>22393</v>
      </c>
      <c r="F8293" t="s">
        <v>32664</v>
      </c>
      <c r="G8293" t="s">
        <v>32671</v>
      </c>
      <c r="H8293" t="s">
        <v>12635</v>
      </c>
      <c r="I8293" t="s">
        <v>4439</v>
      </c>
      <c r="J8293" t="s">
        <v>37865</v>
      </c>
      <c r="K8293" t="s">
        <v>42321</v>
      </c>
      <c r="M8293" t="s">
        <v>44113</v>
      </c>
      <c r="N8293" t="s">
        <v>46569</v>
      </c>
      <c r="O8293" t="s">
        <v>46570</v>
      </c>
      <c r="P8293">
        <v>0</v>
      </c>
      <c r="Q8293">
        <v>0</v>
      </c>
      <c r="R8293" t="s">
        <v>46576</v>
      </c>
      <c r="S8293" t="s">
        <v>46749</v>
      </c>
      <c r="T8293" t="s">
        <v>48282</v>
      </c>
      <c r="U8293" t="s">
        <v>55555</v>
      </c>
      <c r="W8293" t="s">
        <v>44113</v>
      </c>
      <c r="X8293" t="s">
        <v>46577</v>
      </c>
    </row>
    <row r="8294" spans="1:24">
      <c r="A8294">
        <f>HYPERLINK("https://www.philgeps.gov.ph/GEPSNONPILOT/Tender/SplashBidNoticeAbstractUI.aspx?menuIndex=3&amp;refID=7055815&amp;Result=3","7055815")</f>
        <v>0</v>
      </c>
      <c r="B8294" t="s">
        <v>519</v>
      </c>
      <c r="C8294" t="s">
        <v>11407</v>
      </c>
      <c r="D8294" t="s">
        <v>18838</v>
      </c>
      <c r="E8294" t="s">
        <v>26152</v>
      </c>
      <c r="F8294" t="s">
        <v>32664</v>
      </c>
      <c r="G8294" t="s">
        <v>32671</v>
      </c>
      <c r="H8294" t="s">
        <v>32683</v>
      </c>
      <c r="I8294" t="s">
        <v>10627</v>
      </c>
      <c r="J8294" t="s">
        <v>37866</v>
      </c>
      <c r="K8294" t="s">
        <v>42283</v>
      </c>
      <c r="M8294" t="s">
        <v>43096</v>
      </c>
      <c r="N8294" t="s">
        <v>46569</v>
      </c>
      <c r="O8294" t="s">
        <v>46570</v>
      </c>
      <c r="P8294">
        <v>0</v>
      </c>
      <c r="Q8294">
        <v>4</v>
      </c>
      <c r="R8294" t="s">
        <v>46576</v>
      </c>
      <c r="S8294" t="s">
        <v>46749</v>
      </c>
      <c r="T8294" t="s">
        <v>48287</v>
      </c>
      <c r="U8294" t="s">
        <v>55556</v>
      </c>
      <c r="W8294" t="s">
        <v>43096</v>
      </c>
      <c r="X8294" t="s">
        <v>46577</v>
      </c>
    </row>
    <row r="8295" spans="1:24">
      <c r="A8295">
        <f>HYPERLINK("https://www.philgeps.gov.ph/GEPSNONPILOT/Tender/SplashBidNoticeAbstractUI.aspx?menuIndex=3&amp;refID=7055805&amp;Result=3","7055805")</f>
        <v>0</v>
      </c>
      <c r="B8295" t="s">
        <v>2458</v>
      </c>
      <c r="C8295" t="s">
        <v>11395</v>
      </c>
      <c r="D8295" t="s">
        <v>18792</v>
      </c>
      <c r="E8295" t="s">
        <v>26153</v>
      </c>
      <c r="F8295" t="s">
        <v>32664</v>
      </c>
      <c r="G8295" t="s">
        <v>32672</v>
      </c>
      <c r="H8295" t="s">
        <v>12635</v>
      </c>
      <c r="I8295" t="s">
        <v>4439</v>
      </c>
      <c r="J8295" t="s">
        <v>37867</v>
      </c>
      <c r="K8295" t="s">
        <v>42281</v>
      </c>
      <c r="M8295" t="s">
        <v>45254</v>
      </c>
      <c r="N8295" t="s">
        <v>46569</v>
      </c>
      <c r="O8295" t="s">
        <v>46570</v>
      </c>
      <c r="P8295">
        <v>0</v>
      </c>
      <c r="Q8295">
        <v>0</v>
      </c>
      <c r="R8295" t="s">
        <v>46576</v>
      </c>
      <c r="S8295" t="s">
        <v>46749</v>
      </c>
      <c r="T8295" t="s">
        <v>48244</v>
      </c>
      <c r="U8295" t="s">
        <v>55557</v>
      </c>
      <c r="W8295" t="s">
        <v>45254</v>
      </c>
      <c r="X8295" t="s">
        <v>46577</v>
      </c>
    </row>
    <row r="8296" spans="1:24">
      <c r="A8296">
        <f>HYPERLINK("https://www.philgeps.gov.ph/GEPSNONPILOT/Tender/SplashBidNoticeAbstractUI.aspx?menuIndex=3&amp;refID=7055912&amp;Result=3","7055912")</f>
        <v>0</v>
      </c>
      <c r="B8296" t="s">
        <v>2029</v>
      </c>
      <c r="C8296" t="s">
        <v>11408</v>
      </c>
      <c r="D8296" t="s">
        <v>18784</v>
      </c>
      <c r="E8296" t="s">
        <v>26154</v>
      </c>
      <c r="F8296" t="s">
        <v>32664</v>
      </c>
      <c r="G8296" t="s">
        <v>32672</v>
      </c>
      <c r="H8296" t="s">
        <v>32683</v>
      </c>
      <c r="I8296" t="s">
        <v>10627</v>
      </c>
      <c r="J8296" t="s">
        <v>37868</v>
      </c>
      <c r="K8296" t="s">
        <v>42285</v>
      </c>
      <c r="M8296" t="s">
        <v>45251</v>
      </c>
      <c r="N8296" t="s">
        <v>46569</v>
      </c>
      <c r="O8296" t="s">
        <v>46570</v>
      </c>
      <c r="P8296">
        <v>0</v>
      </c>
      <c r="Q8296">
        <v>3</v>
      </c>
      <c r="R8296" t="s">
        <v>46576</v>
      </c>
      <c r="S8296" t="s">
        <v>46749</v>
      </c>
      <c r="T8296" t="s">
        <v>48292</v>
      </c>
      <c r="U8296" t="s">
        <v>55558</v>
      </c>
      <c r="V8296" t="s">
        <v>62442</v>
      </c>
      <c r="W8296" t="s">
        <v>45251</v>
      </c>
      <c r="X8296" t="s">
        <v>46577</v>
      </c>
    </row>
    <row r="8297" spans="1:24">
      <c r="A8297">
        <f>HYPERLINK("https://www.philgeps.gov.ph/GEPSNONPILOT/Tender/SplashBidNoticeAbstractUI.aspx?menuIndex=3&amp;refID=7055854&amp;Result=3","7055854")</f>
        <v>0</v>
      </c>
      <c r="B8297" t="s">
        <v>2029</v>
      </c>
      <c r="C8297" t="s">
        <v>11409</v>
      </c>
      <c r="D8297" t="s">
        <v>18784</v>
      </c>
      <c r="E8297" t="s">
        <v>26155</v>
      </c>
      <c r="F8297" t="s">
        <v>32664</v>
      </c>
      <c r="G8297" t="s">
        <v>32672</v>
      </c>
      <c r="H8297" t="s">
        <v>12635</v>
      </c>
      <c r="I8297" t="s">
        <v>10627</v>
      </c>
      <c r="J8297" t="s">
        <v>37869</v>
      </c>
      <c r="K8297" t="s">
        <v>42290</v>
      </c>
      <c r="M8297" t="s">
        <v>45251</v>
      </c>
      <c r="N8297" t="s">
        <v>46569</v>
      </c>
      <c r="O8297" t="s">
        <v>46570</v>
      </c>
      <c r="P8297">
        <v>0</v>
      </c>
      <c r="Q8297">
        <v>3</v>
      </c>
      <c r="R8297" t="s">
        <v>46576</v>
      </c>
      <c r="S8297" t="s">
        <v>46749</v>
      </c>
      <c r="T8297" t="s">
        <v>48292</v>
      </c>
      <c r="U8297" t="s">
        <v>55559</v>
      </c>
      <c r="V8297" t="s">
        <v>62442</v>
      </c>
      <c r="W8297" t="s">
        <v>45251</v>
      </c>
      <c r="X8297" t="s">
        <v>46577</v>
      </c>
    </row>
    <row r="8298" spans="1:24">
      <c r="A8298">
        <f>HYPERLINK("https://www.philgeps.gov.ph/GEPSNONPILOT/Tender/SplashBidNoticeAbstractUI.aspx?menuIndex=3&amp;refID=7055920&amp;Result=3","7055920")</f>
        <v>0</v>
      </c>
      <c r="B8298" t="s">
        <v>2463</v>
      </c>
      <c r="C8298" t="s">
        <v>11410</v>
      </c>
      <c r="D8298" t="s">
        <v>18783</v>
      </c>
      <c r="E8298" t="s">
        <v>26156</v>
      </c>
      <c r="F8298" t="s">
        <v>32664</v>
      </c>
      <c r="G8298" t="s">
        <v>32671</v>
      </c>
      <c r="H8298" t="s">
        <v>12635</v>
      </c>
      <c r="I8298" t="s">
        <v>8797</v>
      </c>
      <c r="J8298" t="s">
        <v>35331</v>
      </c>
      <c r="K8298" t="s">
        <v>42303</v>
      </c>
      <c r="M8298" t="s">
        <v>45259</v>
      </c>
      <c r="N8298" t="s">
        <v>46569</v>
      </c>
      <c r="O8298" t="s">
        <v>46570</v>
      </c>
      <c r="P8298">
        <v>0</v>
      </c>
      <c r="Q8298">
        <v>1</v>
      </c>
      <c r="R8298" t="s">
        <v>46576</v>
      </c>
      <c r="S8298" t="s">
        <v>46749</v>
      </c>
      <c r="T8298" t="s">
        <v>48562</v>
      </c>
      <c r="U8298" t="s">
        <v>52191</v>
      </c>
      <c r="W8298" t="s">
        <v>45259</v>
      </c>
      <c r="X8298" t="s">
        <v>46577</v>
      </c>
    </row>
    <row r="8299" spans="1:24">
      <c r="A8299">
        <f>HYPERLINK("https://www.philgeps.gov.ph/GEPSNONPILOT/Tender/SplashBidNoticeAbstractUI.aspx?menuIndex=3&amp;refID=7055906&amp;Result=3","7055906")</f>
        <v>0</v>
      </c>
      <c r="B8299" t="s">
        <v>1257</v>
      </c>
      <c r="C8299" t="s">
        <v>6628</v>
      </c>
      <c r="E8299" t="s">
        <v>26157</v>
      </c>
      <c r="F8299" t="s">
        <v>32664</v>
      </c>
      <c r="G8299" t="s">
        <v>32672</v>
      </c>
      <c r="H8299" t="s">
        <v>12635</v>
      </c>
      <c r="I8299" t="s">
        <v>6628</v>
      </c>
      <c r="J8299" t="s">
        <v>37870</v>
      </c>
      <c r="K8299" t="s">
        <v>42283</v>
      </c>
      <c r="M8299" t="s">
        <v>43899</v>
      </c>
      <c r="N8299" t="s">
        <v>46569</v>
      </c>
      <c r="O8299" t="s">
        <v>46570</v>
      </c>
      <c r="P8299">
        <v>0</v>
      </c>
      <c r="Q8299">
        <v>0</v>
      </c>
      <c r="R8299" t="s">
        <v>46576</v>
      </c>
      <c r="S8299" t="s">
        <v>46749</v>
      </c>
      <c r="T8299" t="s">
        <v>48569</v>
      </c>
      <c r="U8299" t="s">
        <v>55560</v>
      </c>
      <c r="W8299" t="s">
        <v>43899</v>
      </c>
      <c r="X8299" t="s">
        <v>46577</v>
      </c>
    </row>
    <row r="8300" spans="1:24">
      <c r="A8300">
        <f>HYPERLINK("https://www.philgeps.gov.ph/GEPSNONPILOT/Tender/SplashBidNoticeAbstractUI.aspx?menuIndex=3&amp;refID=7055985&amp;Result=3","7055985")</f>
        <v>0</v>
      </c>
      <c r="B8300" t="s">
        <v>808</v>
      </c>
      <c r="C8300" t="s">
        <v>11411</v>
      </c>
      <c r="D8300" t="s">
        <v>18846</v>
      </c>
      <c r="E8300" t="s">
        <v>26158</v>
      </c>
      <c r="F8300" t="s">
        <v>32664</v>
      </c>
      <c r="G8300" t="s">
        <v>32672</v>
      </c>
      <c r="H8300" t="s">
        <v>12635</v>
      </c>
      <c r="I8300" t="s">
        <v>32706</v>
      </c>
      <c r="J8300" t="s">
        <v>37871</v>
      </c>
      <c r="K8300" t="s">
        <v>42298</v>
      </c>
      <c r="M8300" t="s">
        <v>45260</v>
      </c>
      <c r="N8300" t="s">
        <v>46569</v>
      </c>
      <c r="O8300" t="s">
        <v>46570</v>
      </c>
      <c r="P8300">
        <v>0</v>
      </c>
      <c r="Q8300">
        <v>0</v>
      </c>
      <c r="R8300" t="s">
        <v>46576</v>
      </c>
      <c r="S8300" t="s">
        <v>46749</v>
      </c>
      <c r="T8300" t="s">
        <v>48349</v>
      </c>
      <c r="U8300" t="s">
        <v>55561</v>
      </c>
      <c r="W8300" t="s">
        <v>45260</v>
      </c>
      <c r="X8300" t="s">
        <v>46577</v>
      </c>
    </row>
    <row r="8301" spans="1:24">
      <c r="A8301">
        <f>HYPERLINK("https://www.philgeps.gov.ph/GEPSNONPILOT/Tender/SplashBidNoticeAbstractUI.aspx?menuIndex=3&amp;refID=7055916&amp;Result=3","7055916")</f>
        <v>0</v>
      </c>
      <c r="B8301" t="s">
        <v>1709</v>
      </c>
      <c r="C8301" t="s">
        <v>11412</v>
      </c>
      <c r="D8301" t="s">
        <v>18834</v>
      </c>
      <c r="E8301" t="s">
        <v>26159</v>
      </c>
      <c r="F8301" t="s">
        <v>32664</v>
      </c>
      <c r="G8301" t="s">
        <v>32671</v>
      </c>
      <c r="H8301" t="s">
        <v>12635</v>
      </c>
      <c r="I8301" t="s">
        <v>10370</v>
      </c>
      <c r="J8301" t="s">
        <v>37872</v>
      </c>
      <c r="K8301" t="s">
        <v>42289</v>
      </c>
      <c r="M8301" t="s">
        <v>44745</v>
      </c>
      <c r="N8301" t="s">
        <v>46569</v>
      </c>
      <c r="O8301" t="s">
        <v>46570</v>
      </c>
      <c r="P8301">
        <v>0</v>
      </c>
      <c r="Q8301">
        <v>3</v>
      </c>
      <c r="R8301" t="s">
        <v>46576</v>
      </c>
      <c r="S8301" t="s">
        <v>46749</v>
      </c>
      <c r="T8301" t="s">
        <v>48290</v>
      </c>
      <c r="U8301" t="s">
        <v>55562</v>
      </c>
      <c r="W8301" t="s">
        <v>44745</v>
      </c>
      <c r="X8301" t="s">
        <v>46577</v>
      </c>
    </row>
    <row r="8302" spans="1:24">
      <c r="A8302">
        <f>HYPERLINK("https://www.philgeps.gov.ph/GEPSNONPILOT/Tender/SplashBidNoticeAbstractUI.aspx?menuIndex=3&amp;refID=7055837&amp;Result=3","7055837")</f>
        <v>0</v>
      </c>
      <c r="B8302" t="s">
        <v>2446</v>
      </c>
      <c r="C8302" t="s">
        <v>11413</v>
      </c>
      <c r="D8302" t="s">
        <v>18838</v>
      </c>
      <c r="E8302" t="s">
        <v>26160</v>
      </c>
      <c r="F8302" t="s">
        <v>32664</v>
      </c>
      <c r="G8302" t="s">
        <v>32672</v>
      </c>
      <c r="H8302" t="s">
        <v>12635</v>
      </c>
      <c r="I8302" t="s">
        <v>32712</v>
      </c>
      <c r="J8302" t="s">
        <v>34481</v>
      </c>
      <c r="K8302" t="s">
        <v>42283</v>
      </c>
      <c r="M8302" t="s">
        <v>45239</v>
      </c>
      <c r="N8302" t="s">
        <v>46569</v>
      </c>
      <c r="O8302" t="s">
        <v>46570</v>
      </c>
      <c r="P8302">
        <v>0</v>
      </c>
      <c r="Q8302">
        <v>33</v>
      </c>
      <c r="R8302" t="s">
        <v>46576</v>
      </c>
      <c r="S8302" t="s">
        <v>46749</v>
      </c>
      <c r="T8302" t="s">
        <v>48617</v>
      </c>
      <c r="U8302" t="s">
        <v>55563</v>
      </c>
      <c r="V8302" t="s">
        <v>62443</v>
      </c>
      <c r="W8302" t="s">
        <v>45239</v>
      </c>
      <c r="X8302" t="s">
        <v>46577</v>
      </c>
    </row>
    <row r="8303" spans="1:24">
      <c r="A8303">
        <f>HYPERLINK("https://www.philgeps.gov.ph/GEPSNONPILOT/Tender/SplashBidNoticeAbstractUI.aspx?menuIndex=3&amp;refID=7055999&amp;Result=3","7055999")</f>
        <v>0</v>
      </c>
      <c r="B8303" t="s">
        <v>2106</v>
      </c>
      <c r="C8303" t="s">
        <v>11414</v>
      </c>
      <c r="D8303" t="s">
        <v>18839</v>
      </c>
      <c r="E8303" t="s">
        <v>26161</v>
      </c>
      <c r="F8303" t="s">
        <v>32664</v>
      </c>
      <c r="G8303" t="s">
        <v>32672</v>
      </c>
      <c r="H8303" t="s">
        <v>12635</v>
      </c>
      <c r="I8303" t="s">
        <v>14442</v>
      </c>
      <c r="J8303" t="s">
        <v>32853</v>
      </c>
      <c r="K8303" t="s">
        <v>42284</v>
      </c>
      <c r="M8303" t="s">
        <v>44861</v>
      </c>
      <c r="N8303" t="s">
        <v>46569</v>
      </c>
      <c r="O8303" t="s">
        <v>46570</v>
      </c>
      <c r="P8303">
        <v>0</v>
      </c>
      <c r="Q8303">
        <v>1</v>
      </c>
      <c r="R8303" t="s">
        <v>46576</v>
      </c>
      <c r="S8303" t="s">
        <v>46749</v>
      </c>
      <c r="T8303" t="s">
        <v>48349</v>
      </c>
      <c r="U8303" t="s">
        <v>55564</v>
      </c>
      <c r="V8303" t="s">
        <v>62445</v>
      </c>
      <c r="W8303" t="s">
        <v>46359</v>
      </c>
      <c r="X8303" t="s">
        <v>46577</v>
      </c>
    </row>
    <row r="8304" spans="1:24">
      <c r="A8304">
        <f>HYPERLINK("https://www.philgeps.gov.ph/GEPSNONPILOT/Tender/SplashBidNoticeAbstractUI.aspx?menuIndex=3&amp;refID=7055998&amp;Result=3","7055998")</f>
        <v>0</v>
      </c>
      <c r="B8304" t="s">
        <v>2464</v>
      </c>
      <c r="C8304" t="s">
        <v>11415</v>
      </c>
      <c r="D8304" t="s">
        <v>18810</v>
      </c>
      <c r="E8304" t="s">
        <v>19889</v>
      </c>
      <c r="F8304" t="s">
        <v>32664</v>
      </c>
      <c r="G8304" t="s">
        <v>32671</v>
      </c>
      <c r="H8304" t="s">
        <v>12635</v>
      </c>
      <c r="I8304" t="s">
        <v>4333</v>
      </c>
      <c r="J8304" t="s">
        <v>37873</v>
      </c>
      <c r="K8304" t="s">
        <v>42297</v>
      </c>
      <c r="M8304" t="s">
        <v>45261</v>
      </c>
      <c r="N8304" t="s">
        <v>46569</v>
      </c>
      <c r="O8304" t="s">
        <v>46570</v>
      </c>
      <c r="P8304">
        <v>0</v>
      </c>
      <c r="Q8304">
        <v>2</v>
      </c>
      <c r="R8304" t="s">
        <v>46576</v>
      </c>
      <c r="S8304" t="s">
        <v>46749</v>
      </c>
      <c r="T8304" t="s">
        <v>48316</v>
      </c>
      <c r="U8304" t="s">
        <v>55565</v>
      </c>
      <c r="W8304" t="s">
        <v>45261</v>
      </c>
      <c r="X8304" t="s">
        <v>46577</v>
      </c>
    </row>
    <row r="8305" spans="1:24">
      <c r="A8305">
        <f>HYPERLINK("https://www.philgeps.gov.ph/GEPSNONPILOT/Tender/SplashBidNoticeAbstractUI.aspx?menuIndex=3&amp;refID=7055995&amp;Result=3","7055995")</f>
        <v>0</v>
      </c>
      <c r="B8305" t="s">
        <v>2457</v>
      </c>
      <c r="C8305" t="s">
        <v>11416</v>
      </c>
      <c r="D8305" t="s">
        <v>18801</v>
      </c>
      <c r="E8305" t="s">
        <v>20076</v>
      </c>
      <c r="F8305" t="s">
        <v>32664</v>
      </c>
      <c r="G8305" t="s">
        <v>32672</v>
      </c>
      <c r="H8305" t="s">
        <v>32683</v>
      </c>
      <c r="I8305" t="s">
        <v>10627</v>
      </c>
      <c r="J8305" t="s">
        <v>33008</v>
      </c>
      <c r="K8305" t="s">
        <v>42281</v>
      </c>
      <c r="M8305" t="s">
        <v>45253</v>
      </c>
      <c r="N8305" t="s">
        <v>46569</v>
      </c>
      <c r="O8305" t="s">
        <v>46570</v>
      </c>
      <c r="P8305">
        <v>0</v>
      </c>
      <c r="Q8305">
        <v>0</v>
      </c>
      <c r="R8305" t="s">
        <v>46576</v>
      </c>
      <c r="S8305" t="s">
        <v>46749</v>
      </c>
      <c r="T8305" t="s">
        <v>48280</v>
      </c>
      <c r="U8305" t="s">
        <v>55566</v>
      </c>
      <c r="W8305" t="s">
        <v>45253</v>
      </c>
      <c r="X8305" t="s">
        <v>46577</v>
      </c>
    </row>
    <row r="8306" spans="1:24">
      <c r="A8306">
        <f>HYPERLINK("https://www.philgeps.gov.ph/GEPSNONPILOT/Tender/SplashBidNoticeAbstractUI.aspx?menuIndex=3&amp;refID=7055988&amp;Result=3","7055988")</f>
        <v>0</v>
      </c>
      <c r="B8306" t="s">
        <v>2465</v>
      </c>
      <c r="C8306" t="s">
        <v>11417</v>
      </c>
      <c r="D8306" t="s">
        <v>18831</v>
      </c>
      <c r="E8306" t="s">
        <v>26148</v>
      </c>
      <c r="F8306" t="s">
        <v>32664</v>
      </c>
      <c r="G8306" t="s">
        <v>32672</v>
      </c>
      <c r="H8306" t="s">
        <v>32683</v>
      </c>
      <c r="I8306" t="s">
        <v>10627</v>
      </c>
      <c r="J8306" t="s">
        <v>37874</v>
      </c>
      <c r="K8306" t="s">
        <v>42303</v>
      </c>
      <c r="M8306" t="s">
        <v>45262</v>
      </c>
      <c r="N8306" t="s">
        <v>46569</v>
      </c>
      <c r="O8306" t="s">
        <v>46570</v>
      </c>
      <c r="P8306">
        <v>0</v>
      </c>
      <c r="Q8306">
        <v>1</v>
      </c>
      <c r="R8306" t="s">
        <v>46576</v>
      </c>
      <c r="S8306" t="s">
        <v>46749</v>
      </c>
      <c r="T8306" t="s">
        <v>48346</v>
      </c>
      <c r="U8306" t="s">
        <v>55567</v>
      </c>
      <c r="W8306" t="s">
        <v>45262</v>
      </c>
      <c r="X8306" t="s">
        <v>46577</v>
      </c>
    </row>
    <row r="8307" spans="1:24">
      <c r="A8307">
        <f>HYPERLINK("https://www.philgeps.gov.ph/GEPSNONPILOT/Tender/SplashBidNoticeAbstractUI.aspx?menuIndex=3&amp;refID=7055925&amp;Result=3","7055925")</f>
        <v>0</v>
      </c>
      <c r="B8307" t="s">
        <v>69</v>
      </c>
      <c r="C8307" t="s">
        <v>11418</v>
      </c>
      <c r="D8307" t="s">
        <v>18784</v>
      </c>
      <c r="E8307" t="s">
        <v>26162</v>
      </c>
      <c r="F8307" t="s">
        <v>32664</v>
      </c>
      <c r="G8307" t="s">
        <v>32671</v>
      </c>
      <c r="H8307" t="s">
        <v>12635</v>
      </c>
      <c r="I8307" t="s">
        <v>5589</v>
      </c>
      <c r="J8307" t="s">
        <v>37875</v>
      </c>
      <c r="K8307" t="s">
        <v>42281</v>
      </c>
      <c r="M8307" t="s">
        <v>43455</v>
      </c>
      <c r="N8307" t="s">
        <v>46569</v>
      </c>
      <c r="O8307" t="s">
        <v>46570</v>
      </c>
      <c r="P8307">
        <v>0</v>
      </c>
      <c r="Q8307">
        <v>21</v>
      </c>
      <c r="R8307" t="s">
        <v>46576</v>
      </c>
      <c r="S8307" t="s">
        <v>46749</v>
      </c>
      <c r="T8307" t="s">
        <v>48562</v>
      </c>
      <c r="U8307" t="s">
        <v>54915</v>
      </c>
      <c r="W8307" t="s">
        <v>43455</v>
      </c>
      <c r="X8307" t="s">
        <v>46577</v>
      </c>
    </row>
    <row r="8308" spans="1:24">
      <c r="A8308">
        <f>HYPERLINK("https://www.philgeps.gov.ph/GEPSNONPILOT/Tender/SplashBidNoticeAbstractUI.aspx?menuIndex=3&amp;refID=7055983&amp;Result=3","7055983")</f>
        <v>0</v>
      </c>
      <c r="B8308" t="s">
        <v>2466</v>
      </c>
      <c r="C8308" t="s">
        <v>6168</v>
      </c>
      <c r="D8308" t="s">
        <v>18784</v>
      </c>
      <c r="E8308" t="s">
        <v>19010</v>
      </c>
      <c r="F8308" t="s">
        <v>32664</v>
      </c>
      <c r="G8308" t="s">
        <v>32672</v>
      </c>
      <c r="H8308" t="s">
        <v>12635</v>
      </c>
      <c r="I8308" t="s">
        <v>6168</v>
      </c>
      <c r="J8308" t="s">
        <v>32984</v>
      </c>
      <c r="K8308" t="s">
        <v>42284</v>
      </c>
      <c r="M8308" t="s">
        <v>45263</v>
      </c>
      <c r="N8308" t="s">
        <v>46569</v>
      </c>
      <c r="O8308" t="s">
        <v>46570</v>
      </c>
      <c r="P8308">
        <v>0</v>
      </c>
      <c r="Q8308">
        <v>0</v>
      </c>
      <c r="R8308" t="s">
        <v>46576</v>
      </c>
      <c r="S8308" t="s">
        <v>46749</v>
      </c>
      <c r="T8308" t="s">
        <v>48246</v>
      </c>
      <c r="U8308" t="s">
        <v>55568</v>
      </c>
      <c r="W8308" t="s">
        <v>45263</v>
      </c>
      <c r="X8308" t="s">
        <v>46577</v>
      </c>
    </row>
    <row r="8309" spans="1:24">
      <c r="A8309">
        <f>HYPERLINK("https://www.philgeps.gov.ph/GEPSNONPILOT/Tender/SplashBidNoticeAbstractUI.aspx?menuIndex=3&amp;refID=7055979&amp;Result=3","7055979")</f>
        <v>0</v>
      </c>
      <c r="B8309" t="s">
        <v>82</v>
      </c>
      <c r="C8309" t="s">
        <v>11419</v>
      </c>
      <c r="D8309" t="s">
        <v>18804</v>
      </c>
      <c r="E8309" t="s">
        <v>26163</v>
      </c>
      <c r="F8309" t="s">
        <v>32664</v>
      </c>
      <c r="G8309" t="s">
        <v>32672</v>
      </c>
      <c r="H8309" t="s">
        <v>12635</v>
      </c>
      <c r="I8309" t="s">
        <v>32756</v>
      </c>
      <c r="J8309" t="s">
        <v>37876</v>
      </c>
      <c r="K8309" t="s">
        <v>42289</v>
      </c>
      <c r="M8309" t="s">
        <v>42645</v>
      </c>
      <c r="N8309" t="s">
        <v>46569</v>
      </c>
      <c r="O8309" t="s">
        <v>46570</v>
      </c>
      <c r="P8309">
        <v>0</v>
      </c>
      <c r="Q8309">
        <v>4</v>
      </c>
      <c r="R8309" t="s">
        <v>46576</v>
      </c>
      <c r="S8309" t="s">
        <v>46749</v>
      </c>
      <c r="T8309" t="s">
        <v>48281</v>
      </c>
      <c r="U8309" t="s">
        <v>48918</v>
      </c>
      <c r="V8309" t="s">
        <v>62446</v>
      </c>
      <c r="W8309" t="s">
        <v>42645</v>
      </c>
      <c r="X8309" t="s">
        <v>46577</v>
      </c>
    </row>
    <row r="8310" spans="1:24">
      <c r="A8310">
        <f>HYPERLINK("https://www.philgeps.gov.ph/GEPSNONPILOT/Tender/SplashBidNoticeAbstractUI.aspx?menuIndex=3&amp;refID=7055937&amp;Result=3","7055937")</f>
        <v>0</v>
      </c>
      <c r="B8310" t="s">
        <v>2457</v>
      </c>
      <c r="C8310" t="s">
        <v>11420</v>
      </c>
      <c r="D8310" t="s">
        <v>18801</v>
      </c>
      <c r="E8310" t="s">
        <v>19484</v>
      </c>
      <c r="F8310" t="s">
        <v>32664</v>
      </c>
      <c r="G8310" t="s">
        <v>32672</v>
      </c>
      <c r="H8310" t="s">
        <v>12635</v>
      </c>
      <c r="I8310" t="s">
        <v>9486</v>
      </c>
      <c r="J8310" t="s">
        <v>37877</v>
      </c>
      <c r="K8310" t="s">
        <v>42298</v>
      </c>
      <c r="M8310" t="s">
        <v>45253</v>
      </c>
      <c r="N8310" t="s">
        <v>46569</v>
      </c>
      <c r="O8310" t="s">
        <v>46570</v>
      </c>
      <c r="P8310">
        <v>0</v>
      </c>
      <c r="Q8310">
        <v>6</v>
      </c>
      <c r="R8310" t="s">
        <v>46576</v>
      </c>
      <c r="S8310" t="s">
        <v>46749</v>
      </c>
      <c r="T8310" t="s">
        <v>48280</v>
      </c>
      <c r="U8310" t="s">
        <v>55569</v>
      </c>
      <c r="W8310" t="s">
        <v>45253</v>
      </c>
      <c r="X8310" t="s">
        <v>46577</v>
      </c>
    </row>
    <row r="8311" spans="1:24">
      <c r="A8311">
        <f>HYPERLINK("https://www.philgeps.gov.ph/GEPSNONPILOT/Tender/SplashBidNoticeAbstractUI.aspx?menuIndex=3&amp;refID=7055976&amp;Result=3","7055976")</f>
        <v>0</v>
      </c>
      <c r="B8311" t="s">
        <v>2464</v>
      </c>
      <c r="C8311" t="s">
        <v>11421</v>
      </c>
      <c r="D8311" t="s">
        <v>18810</v>
      </c>
      <c r="E8311" t="s">
        <v>18927</v>
      </c>
      <c r="F8311" t="s">
        <v>32664</v>
      </c>
      <c r="G8311" t="s">
        <v>32671</v>
      </c>
      <c r="H8311" t="s">
        <v>12635</v>
      </c>
      <c r="I8311" t="s">
        <v>6628</v>
      </c>
      <c r="J8311" t="s">
        <v>32984</v>
      </c>
      <c r="K8311" t="s">
        <v>42297</v>
      </c>
      <c r="M8311" t="s">
        <v>45261</v>
      </c>
      <c r="N8311" t="s">
        <v>46569</v>
      </c>
      <c r="O8311" t="s">
        <v>46570</v>
      </c>
      <c r="P8311">
        <v>0</v>
      </c>
      <c r="Q8311">
        <v>0</v>
      </c>
      <c r="R8311" t="s">
        <v>46576</v>
      </c>
      <c r="S8311" t="s">
        <v>46749</v>
      </c>
      <c r="T8311" t="s">
        <v>48316</v>
      </c>
      <c r="U8311" t="s">
        <v>55570</v>
      </c>
      <c r="W8311" t="s">
        <v>45261</v>
      </c>
      <c r="X8311" t="s">
        <v>46577</v>
      </c>
    </row>
    <row r="8312" spans="1:24">
      <c r="A8312">
        <f>HYPERLINK("https://www.philgeps.gov.ph/GEPSNONPILOT/Tender/SplashBidNoticeAbstractUI.aspx?menuIndex=3&amp;refID=7055991&amp;Result=3","7055991")</f>
        <v>0</v>
      </c>
      <c r="B8312" t="s">
        <v>2467</v>
      </c>
      <c r="C8312" t="s">
        <v>11422</v>
      </c>
      <c r="D8312" t="s">
        <v>18807</v>
      </c>
      <c r="E8312" t="s">
        <v>26164</v>
      </c>
      <c r="F8312" t="s">
        <v>32664</v>
      </c>
      <c r="G8312" t="s">
        <v>32671</v>
      </c>
      <c r="H8312" t="s">
        <v>12635</v>
      </c>
      <c r="I8312" t="s">
        <v>14442</v>
      </c>
      <c r="J8312" t="s">
        <v>37878</v>
      </c>
      <c r="K8312" t="s">
        <v>42281</v>
      </c>
      <c r="L8312" t="s">
        <v>2467</v>
      </c>
      <c r="M8312" t="s">
        <v>45264</v>
      </c>
      <c r="N8312" t="s">
        <v>46569</v>
      </c>
      <c r="O8312" t="s">
        <v>46570</v>
      </c>
      <c r="P8312">
        <v>0</v>
      </c>
      <c r="Q8312">
        <v>0</v>
      </c>
      <c r="R8312" t="s">
        <v>46576</v>
      </c>
      <c r="S8312" t="s">
        <v>46749</v>
      </c>
      <c r="T8312" t="s">
        <v>48228</v>
      </c>
      <c r="U8312" t="s">
        <v>55571</v>
      </c>
      <c r="V8312" t="s">
        <v>62447</v>
      </c>
      <c r="W8312" t="s">
        <v>45264</v>
      </c>
      <c r="X8312" t="s">
        <v>46577</v>
      </c>
    </row>
    <row r="8313" spans="1:24">
      <c r="A8313">
        <f>HYPERLINK("https://www.philgeps.gov.ph/GEPSNONPILOT/Tender/SplashBidNoticeAbstractUI.aspx?menuIndex=3&amp;refID=7055965&amp;Result=3","7055965")</f>
        <v>0</v>
      </c>
      <c r="B8313" t="s">
        <v>2468</v>
      </c>
      <c r="C8313" t="s">
        <v>11423</v>
      </c>
      <c r="E8313" t="s">
        <v>26165</v>
      </c>
      <c r="F8313" t="s">
        <v>32668</v>
      </c>
      <c r="G8313" t="s">
        <v>32672</v>
      </c>
      <c r="H8313" t="s">
        <v>12635</v>
      </c>
      <c r="I8313" t="s">
        <v>32704</v>
      </c>
      <c r="J8313" t="s">
        <v>37879</v>
      </c>
      <c r="K8313" t="s">
        <v>42283</v>
      </c>
      <c r="M8313" t="s">
        <v>45265</v>
      </c>
      <c r="N8313" t="s">
        <v>46569</v>
      </c>
      <c r="O8313" t="s">
        <v>46570</v>
      </c>
      <c r="P8313">
        <v>0</v>
      </c>
      <c r="Q8313">
        <v>4</v>
      </c>
      <c r="R8313" t="s">
        <v>46576</v>
      </c>
      <c r="S8313" t="s">
        <v>46749</v>
      </c>
      <c r="T8313" t="s">
        <v>48308</v>
      </c>
      <c r="U8313" t="s">
        <v>55572</v>
      </c>
      <c r="W8313" t="s">
        <v>45265</v>
      </c>
      <c r="X8313" t="s">
        <v>46577</v>
      </c>
    </row>
    <row r="8314" spans="1:24">
      <c r="A8314">
        <f>HYPERLINK("https://www.philgeps.gov.ph/GEPSNONPILOT/Tender/SplashBidNoticeAbstractUI.aspx?menuIndex=3&amp;refID=7055960&amp;Result=3","7055960")</f>
        <v>0</v>
      </c>
      <c r="B8314" t="s">
        <v>1049</v>
      </c>
      <c r="C8314" t="s">
        <v>11424</v>
      </c>
      <c r="E8314" t="s">
        <v>26166</v>
      </c>
      <c r="F8314" t="s">
        <v>32664</v>
      </c>
      <c r="G8314" t="s">
        <v>32671</v>
      </c>
      <c r="H8314" t="s">
        <v>12635</v>
      </c>
      <c r="I8314" t="s">
        <v>32699</v>
      </c>
      <c r="J8314" t="s">
        <v>37880</v>
      </c>
      <c r="K8314" t="s">
        <v>42281</v>
      </c>
      <c r="M8314" t="s">
        <v>45266</v>
      </c>
      <c r="N8314" t="s">
        <v>46569</v>
      </c>
      <c r="O8314" t="s">
        <v>46570</v>
      </c>
      <c r="P8314">
        <v>0</v>
      </c>
      <c r="Q8314">
        <v>2</v>
      </c>
      <c r="R8314" t="s">
        <v>46576</v>
      </c>
      <c r="S8314" t="s">
        <v>46749</v>
      </c>
      <c r="T8314" t="s">
        <v>48410</v>
      </c>
      <c r="U8314" t="s">
        <v>55573</v>
      </c>
      <c r="W8314" t="s">
        <v>63560</v>
      </c>
      <c r="X8314" t="s">
        <v>46577</v>
      </c>
    </row>
    <row r="8315" spans="1:24">
      <c r="A8315">
        <f>HYPERLINK("https://www.philgeps.gov.ph/GEPSNONPILOT/Tender/SplashBidNoticeAbstractUI.aspx?menuIndex=3&amp;refID=7055975&amp;Result=3","7055975")</f>
        <v>0</v>
      </c>
      <c r="B8315" t="s">
        <v>2469</v>
      </c>
      <c r="C8315" t="s">
        <v>11425</v>
      </c>
      <c r="D8315" t="s">
        <v>18801</v>
      </c>
      <c r="E8315" t="s">
        <v>26167</v>
      </c>
      <c r="F8315" t="s">
        <v>32664</v>
      </c>
      <c r="G8315" t="s">
        <v>32672</v>
      </c>
      <c r="H8315" t="s">
        <v>12635</v>
      </c>
      <c r="I8315" t="s">
        <v>4439</v>
      </c>
      <c r="J8315" t="s">
        <v>37881</v>
      </c>
      <c r="K8315" t="s">
        <v>42281</v>
      </c>
      <c r="M8315" t="s">
        <v>45267</v>
      </c>
      <c r="N8315" t="s">
        <v>46569</v>
      </c>
      <c r="O8315" t="s">
        <v>46570</v>
      </c>
      <c r="P8315">
        <v>0</v>
      </c>
      <c r="Q8315">
        <v>2</v>
      </c>
      <c r="R8315" t="s">
        <v>46576</v>
      </c>
      <c r="S8315" t="s">
        <v>46749</v>
      </c>
      <c r="T8315" t="s">
        <v>48273</v>
      </c>
      <c r="U8315" t="s">
        <v>55574</v>
      </c>
      <c r="V8315" t="s">
        <v>62260</v>
      </c>
      <c r="W8315" t="s">
        <v>63561</v>
      </c>
      <c r="X8315" t="s">
        <v>46577</v>
      </c>
    </row>
    <row r="8316" spans="1:24">
      <c r="A8316">
        <f>HYPERLINK("https://www.philgeps.gov.ph/GEPSNONPILOT/Tender/SplashBidNoticeAbstractUI.aspx?menuIndex=3&amp;refID=7055977&amp;Result=3","7055977")</f>
        <v>0</v>
      </c>
      <c r="B8316" t="s">
        <v>69</v>
      </c>
      <c r="C8316" t="s">
        <v>11426</v>
      </c>
      <c r="D8316" t="s">
        <v>18784</v>
      </c>
      <c r="E8316" t="s">
        <v>26168</v>
      </c>
      <c r="F8316" t="s">
        <v>32664</v>
      </c>
      <c r="G8316" t="s">
        <v>32671</v>
      </c>
      <c r="H8316" t="s">
        <v>12635</v>
      </c>
      <c r="I8316" t="s">
        <v>4439</v>
      </c>
      <c r="J8316" t="s">
        <v>37882</v>
      </c>
      <c r="K8316" t="s">
        <v>42284</v>
      </c>
      <c r="M8316" t="s">
        <v>43455</v>
      </c>
      <c r="N8316" t="s">
        <v>46569</v>
      </c>
      <c r="O8316" t="s">
        <v>46570</v>
      </c>
      <c r="P8316">
        <v>0</v>
      </c>
      <c r="Q8316">
        <v>6</v>
      </c>
      <c r="R8316" t="s">
        <v>46576</v>
      </c>
      <c r="S8316" t="s">
        <v>46749</v>
      </c>
      <c r="T8316" t="s">
        <v>48562</v>
      </c>
      <c r="U8316" t="s">
        <v>54915</v>
      </c>
      <c r="W8316" t="s">
        <v>43455</v>
      </c>
      <c r="X8316" t="s">
        <v>46577</v>
      </c>
    </row>
    <row r="8317" spans="1:24">
      <c r="A8317">
        <f>HYPERLINK("https://www.philgeps.gov.ph/GEPSNONPILOT/Tender/SplashBidNoticeAbstractUI.aspx?menuIndex=3&amp;refID=7055969&amp;Result=3","7055969")</f>
        <v>0</v>
      </c>
      <c r="B8317" t="s">
        <v>2467</v>
      </c>
      <c r="C8317" t="s">
        <v>11427</v>
      </c>
      <c r="D8317" t="s">
        <v>18807</v>
      </c>
      <c r="E8317" t="s">
        <v>26169</v>
      </c>
      <c r="F8317" t="s">
        <v>32664</v>
      </c>
      <c r="G8317" t="s">
        <v>32671</v>
      </c>
      <c r="H8317" t="s">
        <v>12635</v>
      </c>
      <c r="I8317" t="s">
        <v>6223</v>
      </c>
      <c r="J8317" t="s">
        <v>33069</v>
      </c>
      <c r="K8317" t="s">
        <v>42281</v>
      </c>
      <c r="L8317" t="s">
        <v>2467</v>
      </c>
      <c r="M8317" t="s">
        <v>45264</v>
      </c>
      <c r="N8317" t="s">
        <v>46569</v>
      </c>
      <c r="O8317" t="s">
        <v>46570</v>
      </c>
      <c r="P8317">
        <v>0</v>
      </c>
      <c r="Q8317">
        <v>1</v>
      </c>
      <c r="R8317" t="s">
        <v>46576</v>
      </c>
      <c r="S8317" t="s">
        <v>46749</v>
      </c>
      <c r="T8317" t="s">
        <v>48228</v>
      </c>
      <c r="U8317" t="s">
        <v>55575</v>
      </c>
      <c r="V8317" t="s">
        <v>62448</v>
      </c>
      <c r="W8317" t="s">
        <v>45264</v>
      </c>
      <c r="X8317" t="s">
        <v>46577</v>
      </c>
    </row>
    <row r="8318" spans="1:24">
      <c r="A8318">
        <f>HYPERLINK("https://www.philgeps.gov.ph/GEPSNONPILOT/Tender/SplashBidNoticeAbstractUI.aspx?menuIndex=3&amp;refID=7055961&amp;Result=3","7055961")</f>
        <v>0</v>
      </c>
      <c r="B8318" t="s">
        <v>2459</v>
      </c>
      <c r="C8318" t="s">
        <v>11428</v>
      </c>
      <c r="D8318" t="s">
        <v>18804</v>
      </c>
      <c r="E8318" t="s">
        <v>26170</v>
      </c>
      <c r="F8318" t="s">
        <v>32664</v>
      </c>
      <c r="G8318" t="s">
        <v>32671</v>
      </c>
      <c r="H8318" t="s">
        <v>12635</v>
      </c>
      <c r="I8318" t="s">
        <v>4333</v>
      </c>
      <c r="J8318" t="s">
        <v>37883</v>
      </c>
      <c r="K8318" t="s">
        <v>42281</v>
      </c>
      <c r="M8318" t="s">
        <v>45255</v>
      </c>
      <c r="N8318" t="s">
        <v>46569</v>
      </c>
      <c r="O8318" t="s">
        <v>46570</v>
      </c>
      <c r="P8318">
        <v>0</v>
      </c>
      <c r="Q8318">
        <v>2</v>
      </c>
      <c r="R8318" t="s">
        <v>46576</v>
      </c>
      <c r="S8318" t="s">
        <v>46749</v>
      </c>
      <c r="T8318" t="s">
        <v>48228</v>
      </c>
      <c r="U8318" t="s">
        <v>55576</v>
      </c>
      <c r="W8318" t="s">
        <v>45255</v>
      </c>
      <c r="X8318" t="s">
        <v>46577</v>
      </c>
    </row>
    <row r="8319" spans="1:24">
      <c r="A8319">
        <f>HYPERLINK("https://www.philgeps.gov.ph/GEPSNONPILOT/Tender/SplashBidNoticeAbstractUI.aspx?menuIndex=3&amp;refID=7055953&amp;Result=3","7055953")</f>
        <v>0</v>
      </c>
      <c r="B8319" t="s">
        <v>209</v>
      </c>
      <c r="C8319" t="s">
        <v>11429</v>
      </c>
      <c r="D8319" t="s">
        <v>18789</v>
      </c>
      <c r="E8319" t="s">
        <v>26171</v>
      </c>
      <c r="F8319" t="s">
        <v>32664</v>
      </c>
      <c r="G8319" t="s">
        <v>32671</v>
      </c>
      <c r="H8319" t="s">
        <v>32683</v>
      </c>
      <c r="I8319" t="s">
        <v>4439</v>
      </c>
      <c r="J8319" t="s">
        <v>37884</v>
      </c>
      <c r="K8319" t="s">
        <v>42330</v>
      </c>
      <c r="M8319" t="s">
        <v>42773</v>
      </c>
      <c r="N8319" t="s">
        <v>46569</v>
      </c>
      <c r="O8319" t="s">
        <v>46570</v>
      </c>
      <c r="Q8319">
        <v>2</v>
      </c>
      <c r="R8319" t="s">
        <v>46576</v>
      </c>
      <c r="S8319" t="s">
        <v>46750</v>
      </c>
      <c r="T8319" t="s">
        <v>48376</v>
      </c>
      <c r="U8319" t="s">
        <v>55577</v>
      </c>
      <c r="W8319" t="s">
        <v>42773</v>
      </c>
      <c r="X8319" t="s">
        <v>46577</v>
      </c>
    </row>
    <row r="8320" spans="1:24">
      <c r="A8320">
        <f>HYPERLINK("https://www.philgeps.gov.ph/GEPSNONPILOT/Tender/SplashBidNoticeAbstractUI.aspx?menuIndex=3&amp;refID=7055938&amp;Result=3","7055938")</f>
        <v>0</v>
      </c>
      <c r="B8320" t="s">
        <v>1709</v>
      </c>
      <c r="C8320" t="s">
        <v>11430</v>
      </c>
      <c r="D8320" t="s">
        <v>18834</v>
      </c>
      <c r="E8320" t="s">
        <v>26172</v>
      </c>
      <c r="F8320" t="s">
        <v>32664</v>
      </c>
      <c r="G8320" t="s">
        <v>32671</v>
      </c>
      <c r="H8320" t="s">
        <v>12635</v>
      </c>
      <c r="I8320" t="s">
        <v>5589</v>
      </c>
      <c r="J8320" t="s">
        <v>37885</v>
      </c>
      <c r="K8320" t="s">
        <v>42289</v>
      </c>
      <c r="M8320" t="s">
        <v>44745</v>
      </c>
      <c r="N8320" t="s">
        <v>46569</v>
      </c>
      <c r="O8320" t="s">
        <v>46570</v>
      </c>
      <c r="P8320">
        <v>0</v>
      </c>
      <c r="Q8320">
        <v>6</v>
      </c>
      <c r="R8320" t="s">
        <v>46576</v>
      </c>
      <c r="S8320" t="s">
        <v>46749</v>
      </c>
      <c r="T8320" t="s">
        <v>48290</v>
      </c>
      <c r="U8320" t="s">
        <v>55578</v>
      </c>
      <c r="W8320" t="s">
        <v>44745</v>
      </c>
      <c r="X8320" t="s">
        <v>46577</v>
      </c>
    </row>
    <row r="8321" spans="1:24">
      <c r="A8321">
        <f>HYPERLINK("https://www.philgeps.gov.ph/GEPSNONPILOT/Tender/SplashBidNoticeAbstractUI.aspx?menuIndex=3&amp;refID=7056073&amp;Result=3","7056073")</f>
        <v>0</v>
      </c>
      <c r="B8321" t="s">
        <v>2470</v>
      </c>
      <c r="C8321" t="s">
        <v>9486</v>
      </c>
      <c r="D8321" t="s">
        <v>18827</v>
      </c>
      <c r="E8321" t="s">
        <v>26173</v>
      </c>
      <c r="F8321" t="s">
        <v>32664</v>
      </c>
      <c r="G8321" t="s">
        <v>32672</v>
      </c>
      <c r="H8321" t="s">
        <v>12635</v>
      </c>
      <c r="I8321" t="s">
        <v>9486</v>
      </c>
      <c r="J8321" t="s">
        <v>32898</v>
      </c>
      <c r="K8321" t="s">
        <v>42284</v>
      </c>
      <c r="M8321" t="s">
        <v>45268</v>
      </c>
      <c r="N8321" t="s">
        <v>46569</v>
      </c>
      <c r="O8321" t="s">
        <v>46570</v>
      </c>
      <c r="P8321">
        <v>0</v>
      </c>
      <c r="Q8321">
        <v>1</v>
      </c>
      <c r="R8321" t="s">
        <v>46576</v>
      </c>
      <c r="S8321" t="s">
        <v>46749</v>
      </c>
      <c r="T8321" t="s">
        <v>48219</v>
      </c>
      <c r="U8321" t="s">
        <v>55579</v>
      </c>
      <c r="W8321" t="s">
        <v>45268</v>
      </c>
      <c r="X8321" t="s">
        <v>46577</v>
      </c>
    </row>
    <row r="8322" spans="1:24">
      <c r="A8322">
        <f>HYPERLINK("https://www.philgeps.gov.ph/GEPSNONPILOT/Tender/SplashBidNoticeAbstractUI.aspx?menuIndex=3&amp;refID=7055901&amp;Result=3","7055901")</f>
        <v>0</v>
      </c>
      <c r="B8322" t="s">
        <v>2029</v>
      </c>
      <c r="C8322" t="s">
        <v>11431</v>
      </c>
      <c r="D8322" t="s">
        <v>18784</v>
      </c>
      <c r="E8322" t="s">
        <v>26174</v>
      </c>
      <c r="F8322" t="s">
        <v>32664</v>
      </c>
      <c r="G8322" t="s">
        <v>32672</v>
      </c>
      <c r="H8322" t="s">
        <v>32683</v>
      </c>
      <c r="I8322" t="s">
        <v>10627</v>
      </c>
      <c r="J8322" t="s">
        <v>37886</v>
      </c>
      <c r="K8322" t="s">
        <v>42326</v>
      </c>
      <c r="M8322" t="s">
        <v>45251</v>
      </c>
      <c r="N8322" t="s">
        <v>46569</v>
      </c>
      <c r="O8322" t="s">
        <v>46570</v>
      </c>
      <c r="P8322">
        <v>0</v>
      </c>
      <c r="Q8322">
        <v>3</v>
      </c>
      <c r="R8322" t="s">
        <v>46576</v>
      </c>
      <c r="S8322" t="s">
        <v>46749</v>
      </c>
      <c r="T8322" t="s">
        <v>48281</v>
      </c>
      <c r="U8322" t="s">
        <v>55580</v>
      </c>
      <c r="V8322" t="s">
        <v>62442</v>
      </c>
      <c r="W8322" t="s">
        <v>45251</v>
      </c>
      <c r="X8322" t="s">
        <v>46577</v>
      </c>
    </row>
    <row r="8323" spans="1:24">
      <c r="A8323">
        <f>HYPERLINK("https://www.philgeps.gov.ph/GEPSNONPILOT/Tender/SplashBidNoticeAbstractUI.aspx?menuIndex=3&amp;refID=7055987&amp;Result=3","7055987")</f>
        <v>0</v>
      </c>
      <c r="B8323" t="s">
        <v>1150</v>
      </c>
      <c r="C8323" t="s">
        <v>11432</v>
      </c>
      <c r="D8323" t="s">
        <v>18845</v>
      </c>
      <c r="E8323" t="s">
        <v>26175</v>
      </c>
      <c r="F8323" t="s">
        <v>32664</v>
      </c>
      <c r="G8323" t="s">
        <v>32671</v>
      </c>
      <c r="H8323" t="s">
        <v>12635</v>
      </c>
      <c r="I8323" t="s">
        <v>8797</v>
      </c>
      <c r="J8323" t="s">
        <v>35290</v>
      </c>
      <c r="K8323" t="s">
        <v>42283</v>
      </c>
      <c r="M8323" t="s">
        <v>43781</v>
      </c>
      <c r="N8323" t="s">
        <v>46569</v>
      </c>
      <c r="O8323" t="s">
        <v>46570</v>
      </c>
      <c r="P8323">
        <v>0</v>
      </c>
      <c r="Q8323">
        <v>0</v>
      </c>
      <c r="R8323" t="s">
        <v>46576</v>
      </c>
      <c r="S8323" t="s">
        <v>46749</v>
      </c>
      <c r="T8323" t="s">
        <v>48290</v>
      </c>
      <c r="U8323" t="s">
        <v>55581</v>
      </c>
      <c r="W8323" t="s">
        <v>43781</v>
      </c>
      <c r="X8323" t="s">
        <v>46577</v>
      </c>
    </row>
    <row r="8324" spans="1:24">
      <c r="A8324">
        <f>HYPERLINK("https://www.philgeps.gov.ph/GEPSNONPILOT/Tender/SplashBidNoticeAbstractUI.aspx?menuIndex=3&amp;refID=7055945&amp;Result=3","7055945")</f>
        <v>0</v>
      </c>
      <c r="B8324" t="s">
        <v>69</v>
      </c>
      <c r="C8324" t="s">
        <v>11433</v>
      </c>
      <c r="D8324" t="s">
        <v>18784</v>
      </c>
      <c r="E8324" t="s">
        <v>26176</v>
      </c>
      <c r="F8324" t="s">
        <v>32664</v>
      </c>
      <c r="G8324" t="s">
        <v>32671</v>
      </c>
      <c r="H8324" t="s">
        <v>12635</v>
      </c>
      <c r="I8324" t="s">
        <v>6628</v>
      </c>
      <c r="J8324" t="s">
        <v>37887</v>
      </c>
      <c r="K8324" t="s">
        <v>42281</v>
      </c>
      <c r="M8324" t="s">
        <v>43455</v>
      </c>
      <c r="N8324" t="s">
        <v>46569</v>
      </c>
      <c r="O8324" t="s">
        <v>46570</v>
      </c>
      <c r="P8324">
        <v>0</v>
      </c>
      <c r="Q8324">
        <v>8</v>
      </c>
      <c r="R8324" t="s">
        <v>46576</v>
      </c>
      <c r="S8324" t="s">
        <v>46749</v>
      </c>
      <c r="T8324" t="s">
        <v>48562</v>
      </c>
      <c r="U8324" t="s">
        <v>54915</v>
      </c>
      <c r="W8324" t="s">
        <v>43455</v>
      </c>
      <c r="X8324" t="s">
        <v>46577</v>
      </c>
    </row>
    <row r="8325" spans="1:24">
      <c r="A8325">
        <f>HYPERLINK("https://www.philgeps.gov.ph/GEPSNONPILOT/Tender/SplashBidNoticeAbstractUI.aspx?menuIndex=3&amp;refID=7056069&amp;Result=3","7056069")</f>
        <v>0</v>
      </c>
      <c r="B8325" t="s">
        <v>69</v>
      </c>
      <c r="C8325" t="s">
        <v>11434</v>
      </c>
      <c r="D8325" t="s">
        <v>18784</v>
      </c>
      <c r="E8325" t="s">
        <v>26177</v>
      </c>
      <c r="F8325" t="s">
        <v>32664</v>
      </c>
      <c r="G8325" t="s">
        <v>32671</v>
      </c>
      <c r="H8325" t="s">
        <v>12635</v>
      </c>
      <c r="I8325" t="s">
        <v>5589</v>
      </c>
      <c r="J8325" t="s">
        <v>33089</v>
      </c>
      <c r="K8325" t="s">
        <v>42281</v>
      </c>
      <c r="M8325" t="s">
        <v>43455</v>
      </c>
      <c r="N8325" t="s">
        <v>46569</v>
      </c>
      <c r="O8325" t="s">
        <v>46570</v>
      </c>
      <c r="P8325">
        <v>0</v>
      </c>
      <c r="Q8325">
        <v>4</v>
      </c>
      <c r="R8325" t="s">
        <v>46576</v>
      </c>
      <c r="S8325" t="s">
        <v>46749</v>
      </c>
      <c r="T8325" t="s">
        <v>48562</v>
      </c>
      <c r="U8325" t="s">
        <v>55582</v>
      </c>
      <c r="W8325" t="s">
        <v>43455</v>
      </c>
      <c r="X8325" t="s">
        <v>46577</v>
      </c>
    </row>
    <row r="8326" spans="1:24">
      <c r="A8326">
        <f>HYPERLINK("https://www.philgeps.gov.ph/GEPSNONPILOT/Tender/SplashBidNoticeAbstractUI.aspx?menuIndex=3&amp;refID=7056065&amp;Result=3","7056065")</f>
        <v>0</v>
      </c>
      <c r="B8326" t="s">
        <v>1994</v>
      </c>
      <c r="C8326" t="s">
        <v>11435</v>
      </c>
      <c r="D8326" t="s">
        <v>18784</v>
      </c>
      <c r="E8326" t="s">
        <v>26178</v>
      </c>
      <c r="F8326" t="s">
        <v>32664</v>
      </c>
      <c r="G8326" t="s">
        <v>32671</v>
      </c>
      <c r="H8326" t="s">
        <v>12635</v>
      </c>
      <c r="I8326" t="s">
        <v>8797</v>
      </c>
      <c r="J8326" t="s">
        <v>37888</v>
      </c>
      <c r="K8326" t="s">
        <v>42283</v>
      </c>
      <c r="M8326" t="s">
        <v>44729</v>
      </c>
      <c r="N8326" t="s">
        <v>46569</v>
      </c>
      <c r="O8326" t="s">
        <v>46570</v>
      </c>
      <c r="P8326">
        <v>0</v>
      </c>
      <c r="Q8326">
        <v>16</v>
      </c>
      <c r="R8326" t="s">
        <v>46576</v>
      </c>
      <c r="S8326" t="s">
        <v>46749</v>
      </c>
      <c r="T8326" t="s">
        <v>48473</v>
      </c>
      <c r="U8326" t="s">
        <v>55583</v>
      </c>
      <c r="W8326" t="s">
        <v>46084</v>
      </c>
      <c r="X8326" t="s">
        <v>46577</v>
      </c>
    </row>
    <row r="8327" spans="1:24">
      <c r="A8327">
        <f>HYPERLINK("https://www.philgeps.gov.ph/GEPSNONPILOT/Tender/SplashBidNoticeAbstractUI.aspx?menuIndex=3&amp;refID=7055895&amp;Result=3","7055895")</f>
        <v>0</v>
      </c>
      <c r="B8327" t="s">
        <v>1742</v>
      </c>
      <c r="C8327" t="s">
        <v>11436</v>
      </c>
      <c r="D8327" t="s">
        <v>18782</v>
      </c>
      <c r="E8327" t="s">
        <v>26179</v>
      </c>
      <c r="F8327" t="s">
        <v>32664</v>
      </c>
      <c r="G8327" t="s">
        <v>32672</v>
      </c>
      <c r="H8327" t="s">
        <v>12635</v>
      </c>
      <c r="I8327" t="s">
        <v>4439</v>
      </c>
      <c r="J8327" t="s">
        <v>37889</v>
      </c>
      <c r="K8327" t="s">
        <v>42295</v>
      </c>
      <c r="M8327" t="s">
        <v>44441</v>
      </c>
      <c r="N8327" t="s">
        <v>46569</v>
      </c>
      <c r="O8327" t="s">
        <v>46570</v>
      </c>
      <c r="P8327">
        <v>0</v>
      </c>
      <c r="Q8327">
        <v>0</v>
      </c>
      <c r="R8327" t="s">
        <v>46576</v>
      </c>
      <c r="S8327" t="s">
        <v>46749</v>
      </c>
      <c r="T8327" t="s">
        <v>48256</v>
      </c>
      <c r="U8327" t="s">
        <v>55584</v>
      </c>
      <c r="W8327" t="s">
        <v>44441</v>
      </c>
      <c r="X8327" t="s">
        <v>46577</v>
      </c>
    </row>
    <row r="8328" spans="1:24">
      <c r="A8328">
        <f>HYPERLINK("https://www.philgeps.gov.ph/GEPSNONPILOT/Tender/SplashBidNoticeAbstractUI.aspx?menuIndex=3&amp;refID=7056064&amp;Result=3","7056064")</f>
        <v>0</v>
      </c>
      <c r="B8328" t="s">
        <v>949</v>
      </c>
      <c r="C8328" t="s">
        <v>11437</v>
      </c>
      <c r="D8328" t="s">
        <v>18784</v>
      </c>
      <c r="E8328" t="s">
        <v>26180</v>
      </c>
      <c r="F8328" t="s">
        <v>32664</v>
      </c>
      <c r="G8328" t="s">
        <v>32671</v>
      </c>
      <c r="H8328" t="s">
        <v>12635</v>
      </c>
      <c r="I8328" t="s">
        <v>7324</v>
      </c>
      <c r="J8328" t="s">
        <v>33069</v>
      </c>
      <c r="K8328" t="s">
        <v>42289</v>
      </c>
      <c r="M8328" t="s">
        <v>43555</v>
      </c>
      <c r="N8328" t="s">
        <v>46569</v>
      </c>
      <c r="O8328" t="s">
        <v>46570</v>
      </c>
      <c r="P8328">
        <v>0</v>
      </c>
      <c r="Q8328">
        <v>4</v>
      </c>
      <c r="R8328" t="s">
        <v>46576</v>
      </c>
      <c r="S8328" t="s">
        <v>46749</v>
      </c>
      <c r="T8328" t="s">
        <v>48376</v>
      </c>
      <c r="U8328" t="s">
        <v>55585</v>
      </c>
      <c r="W8328" t="s">
        <v>43555</v>
      </c>
      <c r="X8328" t="s">
        <v>46577</v>
      </c>
    </row>
    <row r="8329" spans="1:24">
      <c r="A8329">
        <f>HYPERLINK("https://www.philgeps.gov.ph/GEPSNONPILOT/Tender/SplashBidNoticeAbstractUI.aspx?menuIndex=3&amp;refID=7056059&amp;Result=3","7056059")</f>
        <v>0</v>
      </c>
      <c r="B8329" t="s">
        <v>1150</v>
      </c>
      <c r="C8329" t="s">
        <v>11438</v>
      </c>
      <c r="D8329" t="s">
        <v>18845</v>
      </c>
      <c r="E8329" t="s">
        <v>26181</v>
      </c>
      <c r="F8329" t="s">
        <v>32664</v>
      </c>
      <c r="G8329" t="s">
        <v>32671</v>
      </c>
      <c r="H8329" t="s">
        <v>12635</v>
      </c>
      <c r="I8329" t="s">
        <v>32718</v>
      </c>
      <c r="J8329" t="s">
        <v>33008</v>
      </c>
      <c r="K8329" t="s">
        <v>42283</v>
      </c>
      <c r="M8329" t="s">
        <v>43781</v>
      </c>
      <c r="N8329" t="s">
        <v>46569</v>
      </c>
      <c r="O8329" t="s">
        <v>46570</v>
      </c>
      <c r="P8329">
        <v>0</v>
      </c>
      <c r="Q8329">
        <v>2</v>
      </c>
      <c r="R8329" t="s">
        <v>46576</v>
      </c>
      <c r="S8329" t="s">
        <v>46749</v>
      </c>
      <c r="T8329" t="s">
        <v>48290</v>
      </c>
      <c r="U8329" t="s">
        <v>55586</v>
      </c>
      <c r="W8329" t="s">
        <v>43781</v>
      </c>
      <c r="X8329" t="s">
        <v>46577</v>
      </c>
    </row>
    <row r="8330" spans="1:24">
      <c r="A8330">
        <f>HYPERLINK("https://www.philgeps.gov.ph/GEPSNONPILOT/Tender/SplashBidNoticeAbstractUI.aspx?menuIndex=3&amp;refID=7056044&amp;Result=3","7056044")</f>
        <v>0</v>
      </c>
      <c r="B8330" t="s">
        <v>332</v>
      </c>
      <c r="C8330" t="s">
        <v>11439</v>
      </c>
      <c r="D8330" t="s">
        <v>18818</v>
      </c>
      <c r="E8330" t="s">
        <v>26182</v>
      </c>
      <c r="F8330" t="s">
        <v>32664</v>
      </c>
      <c r="G8330" t="s">
        <v>32672</v>
      </c>
      <c r="H8330" t="s">
        <v>32683</v>
      </c>
      <c r="I8330" t="s">
        <v>10627</v>
      </c>
      <c r="J8330" t="s">
        <v>37890</v>
      </c>
      <c r="K8330" t="s">
        <v>42290</v>
      </c>
      <c r="M8330" t="s">
        <v>42900</v>
      </c>
      <c r="N8330" t="s">
        <v>46569</v>
      </c>
      <c r="O8330" t="s">
        <v>46570</v>
      </c>
      <c r="P8330">
        <v>0</v>
      </c>
      <c r="Q8330">
        <v>1</v>
      </c>
      <c r="R8330" t="s">
        <v>46576</v>
      </c>
      <c r="S8330" t="s">
        <v>46749</v>
      </c>
      <c r="T8330" t="s">
        <v>48412</v>
      </c>
      <c r="U8330" t="s">
        <v>55587</v>
      </c>
      <c r="W8330" t="s">
        <v>42900</v>
      </c>
      <c r="X8330" t="s">
        <v>46577</v>
      </c>
    </row>
    <row r="8331" spans="1:24">
      <c r="A8331">
        <f>HYPERLINK("https://www.philgeps.gov.ph/GEPSNONPILOT/Tender/SplashBidNoticeAbstractUI.aspx?menuIndex=3&amp;refID=7056033&amp;Result=3","7056033")</f>
        <v>0</v>
      </c>
      <c r="B8331" t="s">
        <v>490</v>
      </c>
      <c r="C8331" t="s">
        <v>11440</v>
      </c>
      <c r="D8331" t="s">
        <v>18805</v>
      </c>
      <c r="E8331" t="s">
        <v>26183</v>
      </c>
      <c r="F8331" t="s">
        <v>32664</v>
      </c>
      <c r="G8331" t="s">
        <v>32671</v>
      </c>
      <c r="H8331" t="s">
        <v>12635</v>
      </c>
      <c r="I8331" t="s">
        <v>4439</v>
      </c>
      <c r="J8331" t="s">
        <v>37891</v>
      </c>
      <c r="K8331" t="s">
        <v>42283</v>
      </c>
      <c r="M8331" t="s">
        <v>43066</v>
      </c>
      <c r="N8331" t="s">
        <v>46569</v>
      </c>
      <c r="O8331" t="s">
        <v>46570</v>
      </c>
      <c r="P8331">
        <v>0</v>
      </c>
      <c r="Q8331">
        <v>0</v>
      </c>
      <c r="R8331" t="s">
        <v>46576</v>
      </c>
      <c r="S8331" t="s">
        <v>46749</v>
      </c>
      <c r="T8331" t="s">
        <v>48590</v>
      </c>
      <c r="U8331" t="s">
        <v>55588</v>
      </c>
      <c r="V8331" t="s">
        <v>62449</v>
      </c>
      <c r="W8331" t="s">
        <v>43066</v>
      </c>
      <c r="X8331" t="s">
        <v>46577</v>
      </c>
    </row>
    <row r="8332" spans="1:24">
      <c r="A8332">
        <f>HYPERLINK("https://www.philgeps.gov.ph/GEPSNONPILOT/Tender/SplashBidNoticeAbstractUI.aspx?menuIndex=3&amp;refID=7056071&amp;Result=3","7056071")</f>
        <v>0</v>
      </c>
      <c r="B8332" t="s">
        <v>490</v>
      </c>
      <c r="C8332" t="s">
        <v>11441</v>
      </c>
      <c r="D8332" t="s">
        <v>18805</v>
      </c>
      <c r="E8332" t="s">
        <v>26184</v>
      </c>
      <c r="F8332" t="s">
        <v>32664</v>
      </c>
      <c r="G8332" t="s">
        <v>32671</v>
      </c>
      <c r="H8332" t="s">
        <v>12635</v>
      </c>
      <c r="I8332" t="s">
        <v>4439</v>
      </c>
      <c r="J8332" t="s">
        <v>37892</v>
      </c>
      <c r="K8332" t="s">
        <v>42283</v>
      </c>
      <c r="M8332" t="s">
        <v>43066</v>
      </c>
      <c r="N8332" t="s">
        <v>46569</v>
      </c>
      <c r="O8332" t="s">
        <v>46570</v>
      </c>
      <c r="P8332">
        <v>0</v>
      </c>
      <c r="Q8332">
        <v>0</v>
      </c>
      <c r="R8332" t="s">
        <v>46576</v>
      </c>
      <c r="S8332" t="s">
        <v>46749</v>
      </c>
      <c r="T8332" t="s">
        <v>48590</v>
      </c>
      <c r="U8332" t="s">
        <v>55589</v>
      </c>
      <c r="V8332" t="s">
        <v>62449</v>
      </c>
      <c r="W8332" t="s">
        <v>43066</v>
      </c>
      <c r="X8332" t="s">
        <v>46577</v>
      </c>
    </row>
    <row r="8333" spans="1:24">
      <c r="A8333">
        <f>HYPERLINK("https://www.philgeps.gov.ph/GEPSNONPILOT/Tender/SplashBidNoticeAbstractUI.aspx?menuIndex=3&amp;refID=7056031&amp;Result=3","7056031")</f>
        <v>0</v>
      </c>
      <c r="B8333" t="s">
        <v>2357</v>
      </c>
      <c r="C8333" t="s">
        <v>11442</v>
      </c>
      <c r="D8333" t="s">
        <v>18783</v>
      </c>
      <c r="E8333" t="s">
        <v>26185</v>
      </c>
      <c r="F8333" t="s">
        <v>32664</v>
      </c>
      <c r="G8333" t="s">
        <v>32672</v>
      </c>
      <c r="H8333" t="s">
        <v>32683</v>
      </c>
      <c r="I8333" t="s">
        <v>10627</v>
      </c>
      <c r="J8333" t="s">
        <v>32865</v>
      </c>
      <c r="K8333" t="s">
        <v>42298</v>
      </c>
      <c r="M8333" t="s">
        <v>45141</v>
      </c>
      <c r="N8333" t="s">
        <v>46569</v>
      </c>
      <c r="O8333" t="s">
        <v>46570</v>
      </c>
      <c r="P8333">
        <v>0</v>
      </c>
      <c r="Q8333">
        <v>2</v>
      </c>
      <c r="R8333" t="s">
        <v>46576</v>
      </c>
      <c r="S8333" t="s">
        <v>46749</v>
      </c>
      <c r="T8333" t="s">
        <v>48244</v>
      </c>
      <c r="U8333" t="s">
        <v>55590</v>
      </c>
      <c r="W8333" t="s">
        <v>45141</v>
      </c>
      <c r="X8333" t="s">
        <v>46577</v>
      </c>
    </row>
    <row r="8334" spans="1:24">
      <c r="A8334">
        <f>HYPERLINK("https://www.philgeps.gov.ph/GEPSNONPILOT/Tender/SplashBidNoticeAbstractUI.aspx?menuIndex=3&amp;refID=7056029&amp;Result=3","7056029")</f>
        <v>0</v>
      </c>
      <c r="B8334" t="s">
        <v>2471</v>
      </c>
      <c r="C8334" t="s">
        <v>9486</v>
      </c>
      <c r="D8334" t="s">
        <v>18827</v>
      </c>
      <c r="E8334" t="s">
        <v>26186</v>
      </c>
      <c r="F8334" t="s">
        <v>32664</v>
      </c>
      <c r="G8334" t="s">
        <v>32672</v>
      </c>
      <c r="H8334" t="s">
        <v>12635</v>
      </c>
      <c r="I8334" t="s">
        <v>9486</v>
      </c>
      <c r="J8334" t="s">
        <v>33147</v>
      </c>
      <c r="K8334" t="s">
        <v>42284</v>
      </c>
      <c r="M8334" t="s">
        <v>45269</v>
      </c>
      <c r="N8334" t="s">
        <v>46569</v>
      </c>
      <c r="O8334" t="s">
        <v>46570</v>
      </c>
      <c r="P8334">
        <v>0</v>
      </c>
      <c r="Q8334">
        <v>1</v>
      </c>
      <c r="R8334" t="s">
        <v>46576</v>
      </c>
      <c r="S8334" t="s">
        <v>46749</v>
      </c>
      <c r="T8334" t="s">
        <v>48624</v>
      </c>
      <c r="U8334" t="s">
        <v>55591</v>
      </c>
      <c r="W8334" t="s">
        <v>45269</v>
      </c>
      <c r="X8334" t="s">
        <v>46577</v>
      </c>
    </row>
    <row r="8335" spans="1:24">
      <c r="A8335">
        <f>HYPERLINK("https://www.philgeps.gov.ph/GEPSNONPILOT/Tender/SplashBidNoticeAbstractUI.aspx?menuIndex=3&amp;refID=7056027&amp;Result=3","7056027")</f>
        <v>0</v>
      </c>
      <c r="B8335" t="s">
        <v>2459</v>
      </c>
      <c r="C8335" t="s">
        <v>11443</v>
      </c>
      <c r="D8335" t="s">
        <v>18804</v>
      </c>
      <c r="E8335" t="s">
        <v>26187</v>
      </c>
      <c r="F8335" t="s">
        <v>32664</v>
      </c>
      <c r="G8335" t="s">
        <v>32671</v>
      </c>
      <c r="H8335" t="s">
        <v>12635</v>
      </c>
      <c r="I8335" t="s">
        <v>5589</v>
      </c>
      <c r="J8335" t="s">
        <v>33190</v>
      </c>
      <c r="K8335" t="s">
        <v>42281</v>
      </c>
      <c r="M8335" t="s">
        <v>45255</v>
      </c>
      <c r="N8335" t="s">
        <v>46569</v>
      </c>
      <c r="O8335" t="s">
        <v>46570</v>
      </c>
      <c r="P8335">
        <v>0</v>
      </c>
      <c r="Q8335">
        <v>3</v>
      </c>
      <c r="R8335" t="s">
        <v>46576</v>
      </c>
      <c r="S8335" t="s">
        <v>46749</v>
      </c>
      <c r="T8335" t="s">
        <v>48228</v>
      </c>
      <c r="U8335" t="s">
        <v>55592</v>
      </c>
      <c r="W8335" t="s">
        <v>45255</v>
      </c>
      <c r="X8335" t="s">
        <v>46577</v>
      </c>
    </row>
    <row r="8336" spans="1:24">
      <c r="A8336">
        <f>HYPERLINK("https://www.philgeps.gov.ph/GEPSNONPILOT/Tender/SplashBidNoticeAbstractUI.aspx?menuIndex=3&amp;refID=7056024&amp;Result=3","7056024")</f>
        <v>0</v>
      </c>
      <c r="B8336" t="s">
        <v>332</v>
      </c>
      <c r="C8336" t="s">
        <v>11444</v>
      </c>
      <c r="D8336" t="s">
        <v>18818</v>
      </c>
      <c r="E8336" t="s">
        <v>26188</v>
      </c>
      <c r="F8336" t="s">
        <v>32664</v>
      </c>
      <c r="G8336" t="s">
        <v>32672</v>
      </c>
      <c r="H8336" t="s">
        <v>32683</v>
      </c>
      <c r="I8336" t="s">
        <v>10627</v>
      </c>
      <c r="J8336" t="s">
        <v>37893</v>
      </c>
      <c r="K8336" t="s">
        <v>42311</v>
      </c>
      <c r="M8336" t="s">
        <v>42900</v>
      </c>
      <c r="N8336" t="s">
        <v>46569</v>
      </c>
      <c r="O8336" t="s">
        <v>46570</v>
      </c>
      <c r="P8336">
        <v>0</v>
      </c>
      <c r="Q8336">
        <v>0</v>
      </c>
      <c r="R8336" t="s">
        <v>46576</v>
      </c>
      <c r="S8336" t="s">
        <v>46749</v>
      </c>
      <c r="T8336" t="s">
        <v>48412</v>
      </c>
      <c r="U8336" t="s">
        <v>55593</v>
      </c>
      <c r="W8336" t="s">
        <v>42900</v>
      </c>
      <c r="X8336" t="s">
        <v>46577</v>
      </c>
    </row>
    <row r="8337" spans="1:24">
      <c r="A8337">
        <f>HYPERLINK("https://www.philgeps.gov.ph/GEPSNONPILOT/Tender/SplashBidNoticeAbstractUI.aspx?menuIndex=3&amp;refID=7055955&amp;Result=3","7055955")</f>
        <v>0</v>
      </c>
      <c r="B8337" t="s">
        <v>2466</v>
      </c>
      <c r="C8337" t="s">
        <v>6281</v>
      </c>
      <c r="D8337" t="s">
        <v>18784</v>
      </c>
      <c r="E8337" t="s">
        <v>19380</v>
      </c>
      <c r="F8337" t="s">
        <v>32664</v>
      </c>
      <c r="G8337" t="s">
        <v>32672</v>
      </c>
      <c r="H8337" t="s">
        <v>12635</v>
      </c>
      <c r="I8337" t="s">
        <v>8797</v>
      </c>
      <c r="J8337" t="s">
        <v>37894</v>
      </c>
      <c r="K8337" t="s">
        <v>42284</v>
      </c>
      <c r="M8337" t="s">
        <v>45263</v>
      </c>
      <c r="N8337" t="s">
        <v>46569</v>
      </c>
      <c r="O8337" t="s">
        <v>46570</v>
      </c>
      <c r="P8337">
        <v>0</v>
      </c>
      <c r="Q8337">
        <v>4</v>
      </c>
      <c r="R8337" t="s">
        <v>46576</v>
      </c>
      <c r="S8337" t="s">
        <v>46749</v>
      </c>
      <c r="T8337" t="s">
        <v>48246</v>
      </c>
      <c r="U8337" t="s">
        <v>55594</v>
      </c>
      <c r="W8337" t="s">
        <v>45263</v>
      </c>
      <c r="X8337" t="s">
        <v>46577</v>
      </c>
    </row>
    <row r="8338" spans="1:24">
      <c r="A8338">
        <f>HYPERLINK("https://www.philgeps.gov.ph/GEPSNONPILOT/Tender/SplashBidNoticeAbstractUI.aspx?menuIndex=3&amp;refID=7056030&amp;Result=3","7056030")</f>
        <v>0</v>
      </c>
      <c r="B8338" t="s">
        <v>826</v>
      </c>
      <c r="C8338" t="s">
        <v>11445</v>
      </c>
      <c r="D8338" t="s">
        <v>18799</v>
      </c>
      <c r="E8338" t="s">
        <v>21745</v>
      </c>
      <c r="F8338" t="s">
        <v>32664</v>
      </c>
      <c r="G8338" t="s">
        <v>32672</v>
      </c>
      <c r="H8338" t="s">
        <v>12635</v>
      </c>
      <c r="I8338" t="s">
        <v>4439</v>
      </c>
      <c r="J8338" t="s">
        <v>37895</v>
      </c>
      <c r="K8338" t="s">
        <v>42303</v>
      </c>
      <c r="M8338" t="s">
        <v>43421</v>
      </c>
      <c r="N8338" t="s">
        <v>46569</v>
      </c>
      <c r="O8338" t="s">
        <v>46570</v>
      </c>
      <c r="P8338">
        <v>0</v>
      </c>
      <c r="Q8338">
        <v>0</v>
      </c>
      <c r="R8338" t="s">
        <v>46576</v>
      </c>
      <c r="S8338" t="s">
        <v>46749</v>
      </c>
      <c r="T8338" t="s">
        <v>48256</v>
      </c>
      <c r="U8338" t="s">
        <v>55595</v>
      </c>
      <c r="W8338" t="s">
        <v>43421</v>
      </c>
      <c r="X8338" t="s">
        <v>46577</v>
      </c>
    </row>
    <row r="8339" spans="1:24">
      <c r="A8339">
        <f>HYPERLINK("https://www.philgeps.gov.ph/GEPSNONPILOT/Tender/SplashBidNoticeAbstractUI.aspx?menuIndex=3&amp;refID=7056012&amp;Result=3","7056012")</f>
        <v>0</v>
      </c>
      <c r="B8339" t="s">
        <v>2466</v>
      </c>
      <c r="C8339" t="s">
        <v>11446</v>
      </c>
      <c r="D8339" t="s">
        <v>18784</v>
      </c>
      <c r="E8339" t="s">
        <v>19673</v>
      </c>
      <c r="F8339" t="s">
        <v>32664</v>
      </c>
      <c r="G8339" t="s">
        <v>32672</v>
      </c>
      <c r="H8339" t="s">
        <v>12635</v>
      </c>
      <c r="I8339" t="s">
        <v>8730</v>
      </c>
      <c r="J8339" t="s">
        <v>33015</v>
      </c>
      <c r="K8339" t="s">
        <v>42284</v>
      </c>
      <c r="M8339" t="s">
        <v>45263</v>
      </c>
      <c r="N8339" t="s">
        <v>46569</v>
      </c>
      <c r="O8339" t="s">
        <v>46570</v>
      </c>
      <c r="P8339">
        <v>0</v>
      </c>
      <c r="Q8339">
        <v>4</v>
      </c>
      <c r="R8339" t="s">
        <v>46576</v>
      </c>
      <c r="S8339" t="s">
        <v>46749</v>
      </c>
      <c r="T8339" t="s">
        <v>48246</v>
      </c>
      <c r="U8339" t="s">
        <v>55596</v>
      </c>
      <c r="W8339" t="s">
        <v>45263</v>
      </c>
      <c r="X8339" t="s">
        <v>46577</v>
      </c>
    </row>
    <row r="8340" spans="1:24">
      <c r="A8340">
        <f>HYPERLINK("https://www.philgeps.gov.ph/GEPSNONPILOT/Tender/SplashBidNoticeAbstractUI.aspx?menuIndex=3&amp;refID=7056072&amp;Result=3","7056072")</f>
        <v>0</v>
      </c>
      <c r="B8340" t="s">
        <v>2469</v>
      </c>
      <c r="C8340" t="s">
        <v>11447</v>
      </c>
      <c r="D8340" t="s">
        <v>18801</v>
      </c>
      <c r="E8340" t="s">
        <v>26189</v>
      </c>
      <c r="F8340" t="s">
        <v>32664</v>
      </c>
      <c r="G8340" t="s">
        <v>32672</v>
      </c>
      <c r="H8340" t="s">
        <v>12635</v>
      </c>
      <c r="I8340" t="s">
        <v>4205</v>
      </c>
      <c r="J8340" t="s">
        <v>37896</v>
      </c>
      <c r="K8340" t="s">
        <v>42281</v>
      </c>
      <c r="M8340" t="s">
        <v>45270</v>
      </c>
      <c r="N8340" t="s">
        <v>46569</v>
      </c>
      <c r="O8340" t="s">
        <v>46570</v>
      </c>
      <c r="P8340">
        <v>0</v>
      </c>
      <c r="Q8340">
        <v>5</v>
      </c>
      <c r="R8340" t="s">
        <v>46576</v>
      </c>
      <c r="S8340" t="s">
        <v>46749</v>
      </c>
      <c r="T8340" t="s">
        <v>48273</v>
      </c>
      <c r="U8340" t="s">
        <v>55574</v>
      </c>
      <c r="V8340" t="s">
        <v>62260</v>
      </c>
      <c r="W8340" t="s">
        <v>63561</v>
      </c>
      <c r="X8340" t="s">
        <v>46577</v>
      </c>
    </row>
    <row r="8341" spans="1:24">
      <c r="A8341">
        <f>HYPERLINK("https://www.philgeps.gov.ph/GEPSNONPILOT/Tender/SplashBidNoticeAbstractUI.aspx?menuIndex=3&amp;refID=7056039&amp;Result=3","7056039")</f>
        <v>0</v>
      </c>
      <c r="B8341" t="s">
        <v>1788</v>
      </c>
      <c r="C8341" t="s">
        <v>11448</v>
      </c>
      <c r="D8341" t="s">
        <v>18802</v>
      </c>
      <c r="E8341" t="s">
        <v>26190</v>
      </c>
      <c r="F8341" t="s">
        <v>32664</v>
      </c>
      <c r="G8341" t="s">
        <v>32672</v>
      </c>
      <c r="H8341" t="s">
        <v>32683</v>
      </c>
      <c r="I8341" t="s">
        <v>10627</v>
      </c>
      <c r="J8341" t="s">
        <v>37897</v>
      </c>
      <c r="K8341" t="s">
        <v>42311</v>
      </c>
      <c r="M8341" t="s">
        <v>44490</v>
      </c>
      <c r="N8341" t="s">
        <v>46569</v>
      </c>
      <c r="O8341" t="s">
        <v>46570</v>
      </c>
      <c r="P8341">
        <v>0</v>
      </c>
      <c r="Q8341">
        <v>2</v>
      </c>
      <c r="R8341" t="s">
        <v>46576</v>
      </c>
      <c r="S8341" t="s">
        <v>46749</v>
      </c>
      <c r="T8341" t="s">
        <v>48349</v>
      </c>
      <c r="U8341" t="s">
        <v>55597</v>
      </c>
      <c r="W8341" t="s">
        <v>44490</v>
      </c>
      <c r="X8341" t="s">
        <v>46577</v>
      </c>
    </row>
    <row r="8342" spans="1:24">
      <c r="A8342">
        <f>HYPERLINK("https://www.philgeps.gov.ph/GEPSNONPILOT/Tender/SplashBidNoticeAbstractUI.aspx?menuIndex=3&amp;refID=7055894&amp;Result=3","7055894")</f>
        <v>0</v>
      </c>
      <c r="B8342" t="s">
        <v>2029</v>
      </c>
      <c r="C8342" t="s">
        <v>11449</v>
      </c>
      <c r="D8342" t="s">
        <v>18784</v>
      </c>
      <c r="E8342" t="s">
        <v>26191</v>
      </c>
      <c r="F8342" t="s">
        <v>32664</v>
      </c>
      <c r="G8342" t="s">
        <v>32672</v>
      </c>
      <c r="H8342" t="s">
        <v>12635</v>
      </c>
      <c r="I8342" t="s">
        <v>10627</v>
      </c>
      <c r="J8342" t="s">
        <v>37898</v>
      </c>
      <c r="K8342" t="s">
        <v>42285</v>
      </c>
      <c r="M8342" t="s">
        <v>45251</v>
      </c>
      <c r="N8342" t="s">
        <v>46569</v>
      </c>
      <c r="O8342" t="s">
        <v>46570</v>
      </c>
      <c r="P8342">
        <v>0</v>
      </c>
      <c r="Q8342">
        <v>5</v>
      </c>
      <c r="R8342" t="s">
        <v>46576</v>
      </c>
      <c r="S8342" t="s">
        <v>46749</v>
      </c>
      <c r="T8342" t="s">
        <v>48384</v>
      </c>
      <c r="U8342" t="s">
        <v>55598</v>
      </c>
      <c r="V8342" t="s">
        <v>62442</v>
      </c>
      <c r="W8342" t="s">
        <v>45251</v>
      </c>
      <c r="X8342" t="s">
        <v>46577</v>
      </c>
    </row>
    <row r="8343" spans="1:24">
      <c r="A8343">
        <f>HYPERLINK("https://www.philgeps.gov.ph/GEPSNONPILOT/Tender/SplashBidNoticeAbstractUI.aspx?menuIndex=3&amp;refID=7056023&amp;Result=3","7056023")</f>
        <v>0</v>
      </c>
      <c r="B8343" t="s">
        <v>949</v>
      </c>
      <c r="C8343" t="s">
        <v>5739</v>
      </c>
      <c r="D8343" t="s">
        <v>18784</v>
      </c>
      <c r="E8343" t="s">
        <v>26192</v>
      </c>
      <c r="F8343" t="s">
        <v>32664</v>
      </c>
      <c r="G8343" t="s">
        <v>32675</v>
      </c>
      <c r="H8343" t="s">
        <v>12635</v>
      </c>
      <c r="I8343" t="s">
        <v>10370</v>
      </c>
      <c r="J8343" t="s">
        <v>37899</v>
      </c>
      <c r="K8343" t="s">
        <v>42303</v>
      </c>
      <c r="M8343" t="s">
        <v>43555</v>
      </c>
      <c r="N8343" t="s">
        <v>46569</v>
      </c>
      <c r="O8343" t="s">
        <v>46570</v>
      </c>
      <c r="P8343">
        <v>0</v>
      </c>
      <c r="Q8343">
        <v>12</v>
      </c>
      <c r="R8343" t="s">
        <v>46576</v>
      </c>
      <c r="S8343" t="s">
        <v>46749</v>
      </c>
      <c r="T8343" t="s">
        <v>48376</v>
      </c>
      <c r="U8343" t="s">
        <v>55599</v>
      </c>
      <c r="W8343" t="s">
        <v>43555</v>
      </c>
      <c r="X8343" t="s">
        <v>46577</v>
      </c>
    </row>
    <row r="8344" spans="1:24">
      <c r="A8344">
        <f>HYPERLINK("https://www.philgeps.gov.ph/GEPSNONPILOT/Tender/SplashBidNoticeAbstractUI.aspx?menuIndex=3&amp;refID=7056021&amp;Result=3","7056021")</f>
        <v>0</v>
      </c>
      <c r="B8344" t="s">
        <v>2472</v>
      </c>
      <c r="C8344" t="s">
        <v>11450</v>
      </c>
      <c r="D8344" t="s">
        <v>18782</v>
      </c>
      <c r="E8344" t="s">
        <v>19583</v>
      </c>
      <c r="F8344" t="s">
        <v>32664</v>
      </c>
      <c r="G8344" t="s">
        <v>32672</v>
      </c>
      <c r="H8344" t="s">
        <v>12635</v>
      </c>
      <c r="I8344" t="s">
        <v>4439</v>
      </c>
      <c r="J8344" t="s">
        <v>37900</v>
      </c>
      <c r="K8344" t="s">
        <v>42281</v>
      </c>
      <c r="M8344" t="s">
        <v>45271</v>
      </c>
      <c r="N8344" t="s">
        <v>46569</v>
      </c>
      <c r="O8344" t="s">
        <v>46570</v>
      </c>
      <c r="P8344">
        <v>0</v>
      </c>
      <c r="Q8344">
        <v>1</v>
      </c>
      <c r="R8344" t="s">
        <v>46576</v>
      </c>
      <c r="S8344" t="s">
        <v>46749</v>
      </c>
      <c r="T8344" t="s">
        <v>48361</v>
      </c>
      <c r="U8344" t="s">
        <v>55600</v>
      </c>
      <c r="V8344" t="s">
        <v>62450</v>
      </c>
      <c r="W8344" t="s">
        <v>45271</v>
      </c>
      <c r="X8344" t="s">
        <v>46577</v>
      </c>
    </row>
    <row r="8345" spans="1:24">
      <c r="A8345">
        <f>HYPERLINK("https://www.philgeps.gov.ph/GEPSNONPILOT/Tender/SplashBidNoticeAbstractUI.aspx?menuIndex=3&amp;refID=7056011&amp;Result=3","7056011")</f>
        <v>0</v>
      </c>
      <c r="B8345" t="s">
        <v>2036</v>
      </c>
      <c r="C8345" t="s">
        <v>11451</v>
      </c>
      <c r="D8345" t="s">
        <v>18784</v>
      </c>
      <c r="E8345" t="s">
        <v>26193</v>
      </c>
      <c r="F8345" t="s">
        <v>32664</v>
      </c>
      <c r="G8345" t="s">
        <v>32671</v>
      </c>
      <c r="H8345" t="s">
        <v>12635</v>
      </c>
      <c r="I8345" t="s">
        <v>32694</v>
      </c>
      <c r="J8345" t="s">
        <v>37901</v>
      </c>
      <c r="K8345" t="s">
        <v>42289</v>
      </c>
      <c r="M8345" t="s">
        <v>44780</v>
      </c>
      <c r="N8345" t="s">
        <v>46569</v>
      </c>
      <c r="O8345" t="s">
        <v>46570</v>
      </c>
      <c r="P8345">
        <v>0</v>
      </c>
      <c r="Q8345">
        <v>5</v>
      </c>
      <c r="R8345" t="s">
        <v>46576</v>
      </c>
      <c r="S8345" t="s">
        <v>46749</v>
      </c>
      <c r="T8345" t="s">
        <v>48420</v>
      </c>
      <c r="U8345" t="s">
        <v>55601</v>
      </c>
      <c r="W8345" t="s">
        <v>44780</v>
      </c>
      <c r="X8345" t="s">
        <v>46577</v>
      </c>
    </row>
    <row r="8346" spans="1:24">
      <c r="A8346">
        <f>HYPERLINK("https://www.philgeps.gov.ph/GEPSNONPILOT/Tender/SplashBidNoticeAbstractUI.aspx?menuIndex=3&amp;refID=7055886&amp;Result=3","7055886")</f>
        <v>0</v>
      </c>
      <c r="B8346" t="s">
        <v>851</v>
      </c>
      <c r="C8346" t="s">
        <v>11452</v>
      </c>
      <c r="D8346" t="s">
        <v>18829</v>
      </c>
      <c r="E8346" t="s">
        <v>24577</v>
      </c>
      <c r="F8346" t="s">
        <v>32664</v>
      </c>
      <c r="G8346" t="s">
        <v>32674</v>
      </c>
      <c r="H8346" t="s">
        <v>12635</v>
      </c>
      <c r="I8346" t="s">
        <v>6168</v>
      </c>
      <c r="J8346" t="s">
        <v>37902</v>
      </c>
      <c r="K8346" t="s">
        <v>42284</v>
      </c>
      <c r="M8346" t="s">
        <v>43447</v>
      </c>
      <c r="N8346" t="s">
        <v>46569</v>
      </c>
      <c r="O8346" t="s">
        <v>46570</v>
      </c>
      <c r="P8346">
        <v>0</v>
      </c>
      <c r="Q8346">
        <v>1</v>
      </c>
      <c r="R8346" t="s">
        <v>46576</v>
      </c>
      <c r="S8346" t="s">
        <v>46749</v>
      </c>
      <c r="T8346" t="s">
        <v>48287</v>
      </c>
      <c r="U8346" t="s">
        <v>55602</v>
      </c>
      <c r="W8346" t="s">
        <v>43447</v>
      </c>
      <c r="X8346" t="s">
        <v>46577</v>
      </c>
    </row>
    <row r="8347" spans="1:24">
      <c r="A8347">
        <f>HYPERLINK("https://www.philgeps.gov.ph/GEPSNONPILOT/Tender/SplashBidNoticeAbstractUI.aspx?menuIndex=3&amp;refID=7055883&amp;Result=3","7055883")</f>
        <v>0</v>
      </c>
      <c r="B8347" t="s">
        <v>312</v>
      </c>
      <c r="C8347" t="s">
        <v>11453</v>
      </c>
      <c r="D8347" t="s">
        <v>18805</v>
      </c>
      <c r="E8347" t="s">
        <v>22075</v>
      </c>
      <c r="F8347" t="s">
        <v>32664</v>
      </c>
      <c r="G8347" t="s">
        <v>32672</v>
      </c>
      <c r="H8347" t="s">
        <v>12635</v>
      </c>
      <c r="I8347" t="s">
        <v>11464</v>
      </c>
      <c r="J8347" t="s">
        <v>32837</v>
      </c>
      <c r="K8347" t="s">
        <v>42283</v>
      </c>
      <c r="M8347" t="s">
        <v>42879</v>
      </c>
      <c r="N8347" t="s">
        <v>46569</v>
      </c>
      <c r="O8347" t="s">
        <v>46570</v>
      </c>
      <c r="P8347">
        <v>0</v>
      </c>
      <c r="Q8347">
        <v>2</v>
      </c>
      <c r="R8347" t="s">
        <v>46576</v>
      </c>
      <c r="S8347" t="s">
        <v>46749</v>
      </c>
      <c r="T8347" t="s">
        <v>48248</v>
      </c>
      <c r="U8347" t="s">
        <v>55603</v>
      </c>
      <c r="W8347" t="s">
        <v>42879</v>
      </c>
      <c r="X8347" t="s">
        <v>46577</v>
      </c>
    </row>
    <row r="8348" spans="1:24">
      <c r="A8348">
        <f>HYPERLINK("https://www.philgeps.gov.ph/GEPSNONPILOT/Tender/SplashBidNoticeAbstractUI.aspx?menuIndex=3&amp;refID=7055880&amp;Result=3","7055880")</f>
        <v>0</v>
      </c>
      <c r="B8348" t="s">
        <v>1245</v>
      </c>
      <c r="C8348" t="s">
        <v>11454</v>
      </c>
      <c r="E8348" t="s">
        <v>21539</v>
      </c>
      <c r="F8348" t="s">
        <v>32664</v>
      </c>
      <c r="G8348" t="s">
        <v>32671</v>
      </c>
      <c r="H8348" t="s">
        <v>12635</v>
      </c>
      <c r="I8348" t="s">
        <v>32684</v>
      </c>
      <c r="J8348" t="s">
        <v>37903</v>
      </c>
      <c r="K8348" t="s">
        <v>42283</v>
      </c>
      <c r="M8348" t="s">
        <v>45272</v>
      </c>
      <c r="N8348" t="s">
        <v>46569</v>
      </c>
      <c r="O8348" t="s">
        <v>46570</v>
      </c>
      <c r="P8348">
        <v>0</v>
      </c>
      <c r="Q8348">
        <v>13</v>
      </c>
      <c r="R8348" t="s">
        <v>46576</v>
      </c>
      <c r="S8348" t="s">
        <v>46749</v>
      </c>
      <c r="T8348" t="s">
        <v>48376</v>
      </c>
      <c r="U8348" t="s">
        <v>55604</v>
      </c>
      <c r="W8348" t="s">
        <v>45272</v>
      </c>
      <c r="X8348" t="s">
        <v>46577</v>
      </c>
    </row>
    <row r="8349" spans="1:24">
      <c r="A8349">
        <f>HYPERLINK("https://www.philgeps.gov.ph/GEPSNONPILOT/Tender/SplashBidNoticeAbstractUI.aspx?menuIndex=3&amp;refID=7055890&amp;Result=3","7055890")</f>
        <v>0</v>
      </c>
      <c r="B8349" t="s">
        <v>2473</v>
      </c>
      <c r="C8349" t="s">
        <v>11455</v>
      </c>
      <c r="D8349" t="s">
        <v>18826</v>
      </c>
      <c r="E8349" t="s">
        <v>26194</v>
      </c>
      <c r="F8349" t="s">
        <v>32664</v>
      </c>
      <c r="G8349" t="s">
        <v>32672</v>
      </c>
      <c r="H8349" t="s">
        <v>12635</v>
      </c>
      <c r="I8349" t="s">
        <v>11464</v>
      </c>
      <c r="J8349" t="s">
        <v>37904</v>
      </c>
      <c r="K8349" t="s">
        <v>42281</v>
      </c>
      <c r="M8349" t="s">
        <v>45273</v>
      </c>
      <c r="N8349" t="s">
        <v>46569</v>
      </c>
      <c r="O8349" t="s">
        <v>46570</v>
      </c>
      <c r="P8349">
        <v>0</v>
      </c>
      <c r="Q8349">
        <v>3</v>
      </c>
      <c r="R8349" t="s">
        <v>46576</v>
      </c>
      <c r="S8349" t="s">
        <v>46749</v>
      </c>
      <c r="T8349" t="s">
        <v>48625</v>
      </c>
      <c r="U8349" t="s">
        <v>55605</v>
      </c>
      <c r="W8349" t="s">
        <v>45273</v>
      </c>
      <c r="X8349" t="s">
        <v>46577</v>
      </c>
    </row>
    <row r="8350" spans="1:24">
      <c r="A8350">
        <f>HYPERLINK("https://www.philgeps.gov.ph/GEPSNONPILOT/Tender/SplashBidNoticeAbstractUI.aspx?menuIndex=3&amp;refID=7056142&amp;Result=3","7056142")</f>
        <v>0</v>
      </c>
      <c r="B8350" t="s">
        <v>2357</v>
      </c>
      <c r="C8350" t="s">
        <v>11456</v>
      </c>
      <c r="D8350" t="s">
        <v>18783</v>
      </c>
      <c r="E8350" t="s">
        <v>26195</v>
      </c>
      <c r="F8350" t="s">
        <v>32664</v>
      </c>
      <c r="G8350" t="s">
        <v>32672</v>
      </c>
      <c r="H8350" t="s">
        <v>32683</v>
      </c>
      <c r="I8350" t="s">
        <v>10627</v>
      </c>
      <c r="J8350" t="s">
        <v>32865</v>
      </c>
      <c r="K8350" t="s">
        <v>42311</v>
      </c>
      <c r="M8350" t="s">
        <v>45141</v>
      </c>
      <c r="N8350" t="s">
        <v>46569</v>
      </c>
      <c r="O8350" t="s">
        <v>46570</v>
      </c>
      <c r="P8350">
        <v>0</v>
      </c>
      <c r="Q8350">
        <v>1</v>
      </c>
      <c r="R8350" t="s">
        <v>46576</v>
      </c>
      <c r="S8350" t="s">
        <v>46749</v>
      </c>
      <c r="T8350" t="s">
        <v>48221</v>
      </c>
      <c r="U8350" t="s">
        <v>55590</v>
      </c>
      <c r="W8350" t="s">
        <v>45141</v>
      </c>
      <c r="X8350" t="s">
        <v>46577</v>
      </c>
    </row>
    <row r="8351" spans="1:24">
      <c r="A8351">
        <f>HYPERLINK("https://www.philgeps.gov.ph/GEPSNONPILOT/Tender/SplashBidNoticeAbstractUI.aspx?menuIndex=3&amp;refID=7055888&amp;Result=3","7055888")</f>
        <v>0</v>
      </c>
      <c r="B8351" t="s">
        <v>2463</v>
      </c>
      <c r="C8351" t="s">
        <v>11457</v>
      </c>
      <c r="D8351" t="s">
        <v>18783</v>
      </c>
      <c r="E8351" t="s">
        <v>26196</v>
      </c>
      <c r="F8351" t="s">
        <v>32664</v>
      </c>
      <c r="G8351" t="s">
        <v>32671</v>
      </c>
      <c r="H8351" t="s">
        <v>12635</v>
      </c>
      <c r="I8351" t="s">
        <v>32721</v>
      </c>
      <c r="J8351" t="s">
        <v>32902</v>
      </c>
      <c r="K8351" t="s">
        <v>42303</v>
      </c>
      <c r="M8351" t="s">
        <v>45259</v>
      </c>
      <c r="N8351" t="s">
        <v>46569</v>
      </c>
      <c r="O8351" t="s">
        <v>46570</v>
      </c>
      <c r="P8351">
        <v>0</v>
      </c>
      <c r="Q8351">
        <v>1</v>
      </c>
      <c r="R8351" t="s">
        <v>46576</v>
      </c>
      <c r="S8351" t="s">
        <v>46749</v>
      </c>
      <c r="T8351" t="s">
        <v>48562</v>
      </c>
      <c r="U8351" t="s">
        <v>52191</v>
      </c>
      <c r="W8351" t="s">
        <v>45259</v>
      </c>
      <c r="X8351" t="s">
        <v>46577</v>
      </c>
    </row>
    <row r="8352" spans="1:24">
      <c r="A8352">
        <f>HYPERLINK("https://www.philgeps.gov.ph/GEPSNONPILOT/Tender/SplashBidNoticeAbstractUI.aspx?menuIndex=3&amp;refID=7055887&amp;Result=3","7055887")</f>
        <v>0</v>
      </c>
      <c r="B8352" t="s">
        <v>1161</v>
      </c>
      <c r="C8352" t="s">
        <v>11458</v>
      </c>
      <c r="D8352" t="s">
        <v>18845</v>
      </c>
      <c r="E8352" t="s">
        <v>22842</v>
      </c>
      <c r="F8352" t="s">
        <v>32664</v>
      </c>
      <c r="G8352" t="s">
        <v>32671</v>
      </c>
      <c r="H8352" t="s">
        <v>12635</v>
      </c>
      <c r="I8352" t="s">
        <v>4439</v>
      </c>
      <c r="J8352" t="s">
        <v>37905</v>
      </c>
      <c r="K8352" t="s">
        <v>42284</v>
      </c>
      <c r="M8352" t="s">
        <v>43792</v>
      </c>
      <c r="N8352" t="s">
        <v>46569</v>
      </c>
      <c r="O8352" t="s">
        <v>46570</v>
      </c>
      <c r="P8352">
        <v>0</v>
      </c>
      <c r="Q8352">
        <v>1</v>
      </c>
      <c r="R8352" t="s">
        <v>46576</v>
      </c>
      <c r="S8352" t="s">
        <v>46749</v>
      </c>
      <c r="T8352" t="s">
        <v>48290</v>
      </c>
      <c r="U8352" t="s">
        <v>55606</v>
      </c>
      <c r="W8352" t="s">
        <v>43792</v>
      </c>
      <c r="X8352" t="s">
        <v>46577</v>
      </c>
    </row>
    <row r="8353" spans="1:24">
      <c r="A8353">
        <f>HYPERLINK("https://www.philgeps.gov.ph/GEPSNONPILOT/Tender/SplashBidNoticeAbstractUI.aspx?menuIndex=3&amp;refID=7056139&amp;Result=3","7056139")</f>
        <v>0</v>
      </c>
      <c r="B8353" t="s">
        <v>1085</v>
      </c>
      <c r="C8353" t="s">
        <v>11459</v>
      </c>
      <c r="D8353" t="s">
        <v>18851</v>
      </c>
      <c r="E8353" t="s">
        <v>26197</v>
      </c>
      <c r="F8353" t="s">
        <v>32664</v>
      </c>
      <c r="G8353" t="s">
        <v>32672</v>
      </c>
      <c r="H8353" t="s">
        <v>12635</v>
      </c>
      <c r="I8353" t="s">
        <v>4439</v>
      </c>
      <c r="J8353" t="s">
        <v>37906</v>
      </c>
      <c r="K8353" t="s">
        <v>42281</v>
      </c>
      <c r="M8353" t="s">
        <v>43711</v>
      </c>
      <c r="N8353" t="s">
        <v>46569</v>
      </c>
      <c r="O8353" t="s">
        <v>46570</v>
      </c>
      <c r="P8353">
        <v>0</v>
      </c>
      <c r="Q8353">
        <v>0</v>
      </c>
      <c r="R8353" t="s">
        <v>46576</v>
      </c>
      <c r="S8353" t="s">
        <v>46749</v>
      </c>
      <c r="T8353" t="s">
        <v>48293</v>
      </c>
      <c r="U8353" t="s">
        <v>55607</v>
      </c>
      <c r="W8353" t="s">
        <v>43711</v>
      </c>
      <c r="X8353" t="s">
        <v>46577</v>
      </c>
    </row>
    <row r="8354" spans="1:24">
      <c r="A8354">
        <f>HYPERLINK("https://www.philgeps.gov.ph/GEPSNONPILOT/Tender/SplashBidNoticeAbstractUI.aspx?menuIndex=3&amp;refID=7056131&amp;Result=3","7056131")</f>
        <v>0</v>
      </c>
      <c r="B8354" t="s">
        <v>1150</v>
      </c>
      <c r="C8354" t="s">
        <v>11460</v>
      </c>
      <c r="D8354" t="s">
        <v>18845</v>
      </c>
      <c r="E8354" t="s">
        <v>26198</v>
      </c>
      <c r="F8354" t="s">
        <v>32664</v>
      </c>
      <c r="G8354" t="s">
        <v>32671</v>
      </c>
      <c r="H8354" t="s">
        <v>12635</v>
      </c>
      <c r="I8354" t="s">
        <v>32685</v>
      </c>
      <c r="J8354" t="s">
        <v>33466</v>
      </c>
      <c r="K8354" t="s">
        <v>42283</v>
      </c>
      <c r="M8354" t="s">
        <v>43781</v>
      </c>
      <c r="N8354" t="s">
        <v>46569</v>
      </c>
      <c r="O8354" t="s">
        <v>46570</v>
      </c>
      <c r="P8354">
        <v>0</v>
      </c>
      <c r="Q8354">
        <v>0</v>
      </c>
      <c r="R8354" t="s">
        <v>46576</v>
      </c>
      <c r="S8354" t="s">
        <v>46749</v>
      </c>
      <c r="T8354" t="s">
        <v>48290</v>
      </c>
      <c r="U8354" t="s">
        <v>55608</v>
      </c>
      <c r="W8354" t="s">
        <v>43781</v>
      </c>
      <c r="X8354" t="s">
        <v>46577</v>
      </c>
    </row>
    <row r="8355" spans="1:24">
      <c r="A8355">
        <f>HYPERLINK("https://www.philgeps.gov.ph/GEPSNONPILOT/Tender/SplashBidNoticeAbstractUI.aspx?menuIndex=3&amp;refID=7055885&amp;Result=3","7055885")</f>
        <v>0</v>
      </c>
      <c r="B8355" t="s">
        <v>1709</v>
      </c>
      <c r="C8355" t="s">
        <v>11461</v>
      </c>
      <c r="D8355" t="s">
        <v>18834</v>
      </c>
      <c r="E8355" t="s">
        <v>26199</v>
      </c>
      <c r="F8355" t="s">
        <v>32664</v>
      </c>
      <c r="G8355" t="s">
        <v>32671</v>
      </c>
      <c r="H8355" t="s">
        <v>12635</v>
      </c>
      <c r="I8355" t="s">
        <v>9597</v>
      </c>
      <c r="J8355" t="s">
        <v>37907</v>
      </c>
      <c r="K8355" t="s">
        <v>42289</v>
      </c>
      <c r="M8355" t="s">
        <v>44745</v>
      </c>
      <c r="N8355" t="s">
        <v>46569</v>
      </c>
      <c r="O8355" t="s">
        <v>46570</v>
      </c>
      <c r="P8355">
        <v>0</v>
      </c>
      <c r="Q8355">
        <v>10</v>
      </c>
      <c r="R8355" t="s">
        <v>46576</v>
      </c>
      <c r="S8355" t="s">
        <v>46749</v>
      </c>
      <c r="T8355" t="s">
        <v>48290</v>
      </c>
      <c r="U8355" t="s">
        <v>55609</v>
      </c>
      <c r="W8355" t="s">
        <v>44745</v>
      </c>
      <c r="X8355" t="s">
        <v>46577</v>
      </c>
    </row>
    <row r="8356" spans="1:24">
      <c r="A8356">
        <f>HYPERLINK("https://www.philgeps.gov.ph/GEPSNONPILOT/Tender/SplashBidNoticeAbstractUI.aspx?menuIndex=3&amp;refID=7056114&amp;Result=3","7056114")</f>
        <v>0</v>
      </c>
      <c r="B8356" t="s">
        <v>2474</v>
      </c>
      <c r="C8356" t="s">
        <v>11462</v>
      </c>
      <c r="D8356" t="s">
        <v>18781</v>
      </c>
      <c r="E8356" t="s">
        <v>26200</v>
      </c>
      <c r="F8356" t="s">
        <v>32664</v>
      </c>
      <c r="G8356" t="s">
        <v>32672</v>
      </c>
      <c r="H8356" t="s">
        <v>32683</v>
      </c>
      <c r="I8356" t="s">
        <v>10627</v>
      </c>
      <c r="J8356" t="s">
        <v>33761</v>
      </c>
      <c r="K8356" t="s">
        <v>42290</v>
      </c>
      <c r="M8356" t="s">
        <v>45274</v>
      </c>
      <c r="N8356" t="s">
        <v>46569</v>
      </c>
      <c r="O8356" t="s">
        <v>46570</v>
      </c>
      <c r="Q8356">
        <v>0</v>
      </c>
      <c r="R8356" t="s">
        <v>46576</v>
      </c>
      <c r="S8356" t="s">
        <v>46751</v>
      </c>
      <c r="T8356" t="s">
        <v>48360</v>
      </c>
      <c r="U8356" t="s">
        <v>55610</v>
      </c>
      <c r="V8356" t="s">
        <v>62451</v>
      </c>
      <c r="W8356" t="s">
        <v>45274</v>
      </c>
      <c r="X8356" t="s">
        <v>46577</v>
      </c>
    </row>
    <row r="8357" spans="1:24">
      <c r="A8357">
        <f>HYPERLINK("https://www.philgeps.gov.ph/GEPSNONPILOT/Tender/SplashBidNoticeAbstractUI.aspx?menuIndex=3&amp;refID=7056110&amp;Result=3","7056110")</f>
        <v>0</v>
      </c>
      <c r="B8357" t="s">
        <v>879</v>
      </c>
      <c r="C8357" t="s">
        <v>11463</v>
      </c>
      <c r="D8357" t="s">
        <v>18821</v>
      </c>
      <c r="E8357" t="s">
        <v>26201</v>
      </c>
      <c r="F8357" t="s">
        <v>32664</v>
      </c>
      <c r="G8357" t="s">
        <v>32672</v>
      </c>
      <c r="H8357" t="s">
        <v>12635</v>
      </c>
      <c r="I8357" t="s">
        <v>32706</v>
      </c>
      <c r="J8357" t="s">
        <v>37908</v>
      </c>
      <c r="K8357" t="s">
        <v>42283</v>
      </c>
      <c r="M8357" t="s">
        <v>43479</v>
      </c>
      <c r="N8357" t="s">
        <v>46569</v>
      </c>
      <c r="O8357" t="s">
        <v>46570</v>
      </c>
      <c r="P8357">
        <v>0</v>
      </c>
      <c r="Q8357">
        <v>0</v>
      </c>
      <c r="R8357" t="s">
        <v>46576</v>
      </c>
      <c r="S8357" t="s">
        <v>46749</v>
      </c>
      <c r="T8357" t="s">
        <v>48244</v>
      </c>
      <c r="U8357" t="s">
        <v>55611</v>
      </c>
      <c r="W8357" t="s">
        <v>43479</v>
      </c>
      <c r="X8357" t="s">
        <v>46577</v>
      </c>
    </row>
    <row r="8358" spans="1:24">
      <c r="A8358">
        <f>HYPERLINK("https://www.philgeps.gov.ph/GEPSNONPILOT/Tender/SplashBidNoticeAbstractUI.aspx?menuIndex=3&amp;refID=7056055&amp;Result=3","7056055")</f>
        <v>0</v>
      </c>
      <c r="B8358" t="s">
        <v>2475</v>
      </c>
      <c r="C8358" t="s">
        <v>9486</v>
      </c>
      <c r="D8358" t="s">
        <v>18827</v>
      </c>
      <c r="E8358" t="s">
        <v>26202</v>
      </c>
      <c r="F8358" t="s">
        <v>32664</v>
      </c>
      <c r="G8358" t="s">
        <v>32672</v>
      </c>
      <c r="H8358" t="s">
        <v>12635</v>
      </c>
      <c r="I8358" t="s">
        <v>9486</v>
      </c>
      <c r="J8358" t="s">
        <v>32898</v>
      </c>
      <c r="K8358" t="s">
        <v>42284</v>
      </c>
      <c r="M8358" t="s">
        <v>45275</v>
      </c>
      <c r="N8358" t="s">
        <v>46569</v>
      </c>
      <c r="O8358" t="s">
        <v>46570</v>
      </c>
      <c r="P8358">
        <v>0</v>
      </c>
      <c r="Q8358">
        <v>1</v>
      </c>
      <c r="R8358" t="s">
        <v>46576</v>
      </c>
      <c r="S8358" t="s">
        <v>46749</v>
      </c>
      <c r="T8358" t="s">
        <v>48219</v>
      </c>
      <c r="U8358" t="s">
        <v>55591</v>
      </c>
      <c r="W8358" t="s">
        <v>45275</v>
      </c>
      <c r="X8358" t="s">
        <v>46577</v>
      </c>
    </row>
    <row r="8359" spans="1:24">
      <c r="A8359">
        <f>HYPERLINK("https://www.philgeps.gov.ph/GEPSNONPILOT/Tender/SplashBidNoticeAbstractUI.aspx?menuIndex=3&amp;refID=7056103&amp;Result=3","7056103")</f>
        <v>0</v>
      </c>
      <c r="B8359" t="s">
        <v>2476</v>
      </c>
      <c r="C8359" t="s">
        <v>11464</v>
      </c>
      <c r="D8359" t="s">
        <v>18827</v>
      </c>
      <c r="E8359" t="s">
        <v>26203</v>
      </c>
      <c r="F8359" t="s">
        <v>32664</v>
      </c>
      <c r="G8359" t="s">
        <v>32672</v>
      </c>
      <c r="H8359" t="s">
        <v>12635</v>
      </c>
      <c r="I8359" t="s">
        <v>11464</v>
      </c>
      <c r="J8359" t="s">
        <v>33051</v>
      </c>
      <c r="K8359" t="s">
        <v>42284</v>
      </c>
      <c r="M8359" t="s">
        <v>45276</v>
      </c>
      <c r="N8359" t="s">
        <v>46569</v>
      </c>
      <c r="O8359" t="s">
        <v>46570</v>
      </c>
      <c r="P8359">
        <v>0</v>
      </c>
      <c r="Q8359">
        <v>1</v>
      </c>
      <c r="R8359" t="s">
        <v>46576</v>
      </c>
      <c r="S8359" t="s">
        <v>46749</v>
      </c>
      <c r="T8359" t="s">
        <v>48219</v>
      </c>
      <c r="U8359" t="s">
        <v>55612</v>
      </c>
      <c r="W8359" t="s">
        <v>45276</v>
      </c>
      <c r="X8359" t="s">
        <v>46577</v>
      </c>
    </row>
    <row r="8360" spans="1:24">
      <c r="A8360">
        <f>HYPERLINK("https://www.philgeps.gov.ph/GEPSNONPILOT/Tender/SplashBidNoticeAbstractUI.aspx?menuIndex=3&amp;refID=7056123&amp;Result=3","7056123")</f>
        <v>0</v>
      </c>
      <c r="B8360" t="s">
        <v>826</v>
      </c>
      <c r="C8360" t="s">
        <v>11465</v>
      </c>
      <c r="D8360" t="s">
        <v>18799</v>
      </c>
      <c r="E8360" t="s">
        <v>26064</v>
      </c>
      <c r="F8360" t="s">
        <v>32664</v>
      </c>
      <c r="G8360" t="s">
        <v>32672</v>
      </c>
      <c r="H8360" t="s">
        <v>12635</v>
      </c>
      <c r="I8360" t="s">
        <v>32696</v>
      </c>
      <c r="J8360" t="s">
        <v>37909</v>
      </c>
      <c r="K8360" t="s">
        <v>42303</v>
      </c>
      <c r="M8360" t="s">
        <v>43421</v>
      </c>
      <c r="N8360" t="s">
        <v>46569</v>
      </c>
      <c r="O8360" t="s">
        <v>46570</v>
      </c>
      <c r="P8360">
        <v>0</v>
      </c>
      <c r="Q8360">
        <v>1</v>
      </c>
      <c r="R8360" t="s">
        <v>46576</v>
      </c>
      <c r="S8360" t="s">
        <v>46749</v>
      </c>
      <c r="T8360" t="s">
        <v>48256</v>
      </c>
      <c r="U8360" t="s">
        <v>55613</v>
      </c>
      <c r="V8360" t="s">
        <v>62452</v>
      </c>
      <c r="W8360" t="s">
        <v>43421</v>
      </c>
      <c r="X8360" t="s">
        <v>46577</v>
      </c>
    </row>
    <row r="8361" spans="1:24">
      <c r="A8361">
        <f>HYPERLINK("https://www.philgeps.gov.ph/GEPSNONPILOT/Tender/SplashBidNoticeAbstractUI.aspx?menuIndex=3&amp;refID=7056112&amp;Result=3","7056112")</f>
        <v>0</v>
      </c>
      <c r="B8361" t="s">
        <v>1897</v>
      </c>
      <c r="C8361" t="s">
        <v>11466</v>
      </c>
      <c r="D8361" t="s">
        <v>18802</v>
      </c>
      <c r="E8361" t="s">
        <v>26204</v>
      </c>
      <c r="F8361" t="s">
        <v>32664</v>
      </c>
      <c r="G8361" t="s">
        <v>32672</v>
      </c>
      <c r="H8361" t="s">
        <v>12635</v>
      </c>
      <c r="I8361" t="s">
        <v>10627</v>
      </c>
      <c r="J8361" t="s">
        <v>37910</v>
      </c>
      <c r="K8361" t="s">
        <v>42311</v>
      </c>
      <c r="M8361" t="s">
        <v>44616</v>
      </c>
      <c r="N8361" t="s">
        <v>46569</v>
      </c>
      <c r="O8361" t="s">
        <v>46570</v>
      </c>
      <c r="P8361">
        <v>0</v>
      </c>
      <c r="Q8361">
        <v>3</v>
      </c>
      <c r="R8361" t="s">
        <v>46576</v>
      </c>
      <c r="S8361" t="s">
        <v>46749</v>
      </c>
      <c r="T8361" t="s">
        <v>48297</v>
      </c>
      <c r="U8361" t="s">
        <v>55614</v>
      </c>
      <c r="W8361" t="s">
        <v>44616</v>
      </c>
      <c r="X8361" t="s">
        <v>46577</v>
      </c>
    </row>
    <row r="8362" spans="1:24">
      <c r="A8362">
        <f>HYPERLINK("https://www.philgeps.gov.ph/GEPSNONPILOT/Tender/SplashBidNoticeAbstractUI.aspx?menuIndex=3&amp;refID=7055931&amp;Result=3","7055931")</f>
        <v>0</v>
      </c>
      <c r="B8362" t="s">
        <v>2477</v>
      </c>
      <c r="C8362" t="s">
        <v>11467</v>
      </c>
      <c r="D8362" t="s">
        <v>18839</v>
      </c>
      <c r="E8362" t="s">
        <v>26205</v>
      </c>
      <c r="F8362" t="s">
        <v>32664</v>
      </c>
      <c r="G8362" t="s">
        <v>32672</v>
      </c>
      <c r="H8362" t="s">
        <v>12635</v>
      </c>
      <c r="I8362" t="s">
        <v>32696</v>
      </c>
      <c r="J8362" t="s">
        <v>33078</v>
      </c>
      <c r="K8362" t="s">
        <v>42284</v>
      </c>
      <c r="M8362" t="s">
        <v>45277</v>
      </c>
      <c r="N8362" t="s">
        <v>46569</v>
      </c>
      <c r="O8362" t="s">
        <v>46570</v>
      </c>
      <c r="P8362">
        <v>0</v>
      </c>
      <c r="Q8362">
        <v>1</v>
      </c>
      <c r="R8362" t="s">
        <v>46576</v>
      </c>
      <c r="S8362" t="s">
        <v>46749</v>
      </c>
      <c r="T8362" t="s">
        <v>48244</v>
      </c>
      <c r="U8362" t="s">
        <v>55615</v>
      </c>
      <c r="W8362" t="s">
        <v>45277</v>
      </c>
      <c r="X8362" t="s">
        <v>46577</v>
      </c>
    </row>
    <row r="8363" spans="1:24">
      <c r="A8363">
        <f>HYPERLINK("https://www.philgeps.gov.ph/GEPSNONPILOT/Tender/SplashBidNoticeAbstractUI.aspx?menuIndex=3&amp;refID=7056108&amp;Result=3","7056108")</f>
        <v>0</v>
      </c>
      <c r="B8363" t="s">
        <v>1085</v>
      </c>
      <c r="C8363" t="s">
        <v>11468</v>
      </c>
      <c r="D8363" t="s">
        <v>18851</v>
      </c>
      <c r="E8363" t="s">
        <v>26206</v>
      </c>
      <c r="F8363" t="s">
        <v>32664</v>
      </c>
      <c r="G8363" t="s">
        <v>32672</v>
      </c>
      <c r="H8363" t="s">
        <v>12635</v>
      </c>
      <c r="I8363" t="s">
        <v>32779</v>
      </c>
      <c r="J8363" t="s">
        <v>32859</v>
      </c>
      <c r="K8363" t="s">
        <v>42281</v>
      </c>
      <c r="M8363" t="s">
        <v>43711</v>
      </c>
      <c r="N8363" t="s">
        <v>46569</v>
      </c>
      <c r="O8363" t="s">
        <v>46570</v>
      </c>
      <c r="P8363">
        <v>0</v>
      </c>
      <c r="Q8363">
        <v>0</v>
      </c>
      <c r="R8363" t="s">
        <v>46576</v>
      </c>
      <c r="S8363" t="s">
        <v>46749</v>
      </c>
      <c r="T8363" t="s">
        <v>48293</v>
      </c>
      <c r="U8363" t="s">
        <v>55616</v>
      </c>
      <c r="W8363" t="s">
        <v>43711</v>
      </c>
      <c r="X8363" t="s">
        <v>46577</v>
      </c>
    </row>
    <row r="8364" spans="1:24">
      <c r="A8364">
        <f>HYPERLINK("https://www.philgeps.gov.ph/GEPSNONPILOT/Tender/SplashBidNoticeAbstractUI.aspx?menuIndex=3&amp;refID=7056130&amp;Result=3","7056130")</f>
        <v>0</v>
      </c>
      <c r="B8364" t="s">
        <v>2474</v>
      </c>
      <c r="C8364" t="s">
        <v>11469</v>
      </c>
      <c r="D8364" t="s">
        <v>18781</v>
      </c>
      <c r="E8364" t="s">
        <v>26200</v>
      </c>
      <c r="F8364" t="s">
        <v>32664</v>
      </c>
      <c r="G8364" t="s">
        <v>32672</v>
      </c>
      <c r="H8364" t="s">
        <v>32683</v>
      </c>
      <c r="I8364" t="s">
        <v>10627</v>
      </c>
      <c r="J8364" t="s">
        <v>32962</v>
      </c>
      <c r="K8364" t="s">
        <v>42298</v>
      </c>
      <c r="M8364" t="s">
        <v>45274</v>
      </c>
      <c r="N8364" t="s">
        <v>46569</v>
      </c>
      <c r="O8364" t="s">
        <v>46570</v>
      </c>
      <c r="Q8364">
        <v>0</v>
      </c>
      <c r="R8364" t="s">
        <v>46576</v>
      </c>
      <c r="S8364" t="s">
        <v>46752</v>
      </c>
      <c r="T8364" t="s">
        <v>48360</v>
      </c>
      <c r="U8364" t="s">
        <v>55610</v>
      </c>
      <c r="V8364" t="s">
        <v>62453</v>
      </c>
      <c r="W8364" t="s">
        <v>45274</v>
      </c>
      <c r="X8364" t="s">
        <v>46577</v>
      </c>
    </row>
    <row r="8365" spans="1:24">
      <c r="A8365">
        <f>HYPERLINK("https://www.philgeps.gov.ph/GEPSNONPILOT/Tender/SplashBidNoticeAbstractUI.aspx?menuIndex=3&amp;refID=7056120&amp;Result=3","7056120")</f>
        <v>0</v>
      </c>
      <c r="B8365" t="s">
        <v>1709</v>
      </c>
      <c r="C8365" t="s">
        <v>11470</v>
      </c>
      <c r="D8365" t="s">
        <v>18834</v>
      </c>
      <c r="E8365" t="s">
        <v>26207</v>
      </c>
      <c r="F8365" t="s">
        <v>32664</v>
      </c>
      <c r="G8365" t="s">
        <v>32671</v>
      </c>
      <c r="H8365" t="s">
        <v>32683</v>
      </c>
      <c r="I8365" t="s">
        <v>6553</v>
      </c>
      <c r="J8365" t="s">
        <v>37911</v>
      </c>
      <c r="K8365" t="s">
        <v>42305</v>
      </c>
      <c r="M8365" t="s">
        <v>44403</v>
      </c>
      <c r="N8365" t="s">
        <v>46569</v>
      </c>
      <c r="O8365" t="s">
        <v>46570</v>
      </c>
      <c r="P8365">
        <v>0</v>
      </c>
      <c r="Q8365">
        <v>4</v>
      </c>
      <c r="R8365" t="s">
        <v>46576</v>
      </c>
      <c r="S8365" t="s">
        <v>46749</v>
      </c>
      <c r="T8365" t="s">
        <v>48256</v>
      </c>
      <c r="U8365" t="s">
        <v>55617</v>
      </c>
      <c r="W8365" t="s">
        <v>44403</v>
      </c>
      <c r="X8365" t="s">
        <v>46577</v>
      </c>
    </row>
    <row r="8366" spans="1:24">
      <c r="A8366">
        <f>HYPERLINK("https://www.philgeps.gov.ph/GEPSNONPILOT/Tender/SplashBidNoticeAbstractUI.aspx?menuIndex=3&amp;refID=7056203&amp;Result=3","7056203")</f>
        <v>0</v>
      </c>
      <c r="B8366" t="s">
        <v>82</v>
      </c>
      <c r="C8366" t="s">
        <v>11471</v>
      </c>
      <c r="D8366" t="s">
        <v>18804</v>
      </c>
      <c r="E8366" t="s">
        <v>26208</v>
      </c>
      <c r="F8366" t="s">
        <v>32664</v>
      </c>
      <c r="G8366" t="s">
        <v>32672</v>
      </c>
      <c r="H8366" t="s">
        <v>12635</v>
      </c>
      <c r="I8366" t="s">
        <v>4439</v>
      </c>
      <c r="J8366" t="s">
        <v>37912</v>
      </c>
      <c r="K8366" t="s">
        <v>42289</v>
      </c>
      <c r="M8366" t="s">
        <v>42645</v>
      </c>
      <c r="N8366" t="s">
        <v>46569</v>
      </c>
      <c r="O8366" t="s">
        <v>46570</v>
      </c>
      <c r="P8366">
        <v>0</v>
      </c>
      <c r="Q8366">
        <v>0</v>
      </c>
      <c r="R8366" t="s">
        <v>46576</v>
      </c>
      <c r="S8366" t="s">
        <v>46749</v>
      </c>
      <c r="T8366" t="s">
        <v>48281</v>
      </c>
      <c r="U8366" t="s">
        <v>48918</v>
      </c>
      <c r="W8366" t="s">
        <v>42645</v>
      </c>
      <c r="X8366" t="s">
        <v>46577</v>
      </c>
    </row>
    <row r="8367" spans="1:24">
      <c r="A8367">
        <f>HYPERLINK("https://www.philgeps.gov.ph/GEPSNONPILOT/Tender/SplashBidNoticeAbstractUI.aspx?menuIndex=3&amp;refID=7056218&amp;Result=3","7056218")</f>
        <v>0</v>
      </c>
      <c r="B8367" t="s">
        <v>1049</v>
      </c>
      <c r="C8367" t="s">
        <v>11472</v>
      </c>
      <c r="E8367" t="s">
        <v>26209</v>
      </c>
      <c r="F8367" t="s">
        <v>32664</v>
      </c>
      <c r="G8367" t="s">
        <v>32671</v>
      </c>
      <c r="H8367" t="s">
        <v>12635</v>
      </c>
      <c r="I8367" t="s">
        <v>32696</v>
      </c>
      <c r="J8367" t="s">
        <v>33096</v>
      </c>
      <c r="K8367" t="s">
        <v>42281</v>
      </c>
      <c r="M8367" t="s">
        <v>45266</v>
      </c>
      <c r="N8367" t="s">
        <v>46569</v>
      </c>
      <c r="O8367" t="s">
        <v>46570</v>
      </c>
      <c r="P8367">
        <v>0</v>
      </c>
      <c r="Q8367">
        <v>0</v>
      </c>
      <c r="R8367" t="s">
        <v>46576</v>
      </c>
      <c r="S8367" t="s">
        <v>46749</v>
      </c>
      <c r="T8367" t="s">
        <v>48305</v>
      </c>
      <c r="U8367" t="s">
        <v>55618</v>
      </c>
      <c r="W8367" t="s">
        <v>63560</v>
      </c>
      <c r="X8367" t="s">
        <v>46577</v>
      </c>
    </row>
    <row r="8368" spans="1:24">
      <c r="A8368">
        <f>HYPERLINK("https://www.philgeps.gov.ph/GEPSNONPILOT/Tender/SplashBidNoticeAbstractUI.aspx?menuIndex=3&amp;refID=7056200&amp;Result=3","7056200")</f>
        <v>0</v>
      </c>
      <c r="B8368" t="s">
        <v>1154</v>
      </c>
      <c r="C8368" t="s">
        <v>11473</v>
      </c>
      <c r="D8368" t="s">
        <v>18826</v>
      </c>
      <c r="E8368" t="s">
        <v>26210</v>
      </c>
      <c r="F8368" t="s">
        <v>32664</v>
      </c>
      <c r="G8368" t="s">
        <v>32672</v>
      </c>
      <c r="H8368" t="s">
        <v>12635</v>
      </c>
      <c r="I8368" t="s">
        <v>11464</v>
      </c>
      <c r="J8368" t="s">
        <v>32943</v>
      </c>
      <c r="K8368" t="s">
        <v>42281</v>
      </c>
      <c r="M8368" t="s">
        <v>43785</v>
      </c>
      <c r="N8368" t="s">
        <v>46569</v>
      </c>
      <c r="O8368" t="s">
        <v>46570</v>
      </c>
      <c r="P8368">
        <v>0</v>
      </c>
      <c r="Q8368">
        <v>5</v>
      </c>
      <c r="R8368" t="s">
        <v>46576</v>
      </c>
      <c r="S8368" t="s">
        <v>46749</v>
      </c>
      <c r="T8368" t="s">
        <v>48533</v>
      </c>
      <c r="U8368" t="s">
        <v>55619</v>
      </c>
      <c r="W8368" t="s">
        <v>43785</v>
      </c>
      <c r="X8368" t="s">
        <v>46577</v>
      </c>
    </row>
    <row r="8369" spans="1:24">
      <c r="A8369">
        <f>HYPERLINK("https://www.philgeps.gov.ph/GEPSNONPILOT/Tender/SplashBidNoticeAbstractUI.aspx?menuIndex=3&amp;refID=7056100&amp;Result=3","7056100")</f>
        <v>0</v>
      </c>
      <c r="B8369" t="s">
        <v>949</v>
      </c>
      <c r="C8369" t="s">
        <v>11474</v>
      </c>
      <c r="D8369" t="s">
        <v>18784</v>
      </c>
      <c r="E8369" t="s">
        <v>26211</v>
      </c>
      <c r="F8369" t="s">
        <v>32664</v>
      </c>
      <c r="G8369" t="s">
        <v>32675</v>
      </c>
      <c r="H8369" t="s">
        <v>12635</v>
      </c>
      <c r="I8369" t="s">
        <v>8730</v>
      </c>
      <c r="J8369" t="s">
        <v>37913</v>
      </c>
      <c r="K8369" t="s">
        <v>42297</v>
      </c>
      <c r="M8369" t="s">
        <v>43555</v>
      </c>
      <c r="N8369" t="s">
        <v>46569</v>
      </c>
      <c r="O8369" t="s">
        <v>46570</v>
      </c>
      <c r="P8369">
        <v>0</v>
      </c>
      <c r="Q8369">
        <v>11</v>
      </c>
      <c r="R8369" t="s">
        <v>46576</v>
      </c>
      <c r="S8369" t="s">
        <v>46749</v>
      </c>
      <c r="T8369" t="s">
        <v>48376</v>
      </c>
      <c r="U8369" t="s">
        <v>55620</v>
      </c>
      <c r="W8369" t="s">
        <v>43555</v>
      </c>
      <c r="X8369" t="s">
        <v>46577</v>
      </c>
    </row>
    <row r="8370" spans="1:24">
      <c r="A8370">
        <f>HYPERLINK("https://www.philgeps.gov.ph/GEPSNONPILOT/Tender/SplashBidNoticeAbstractUI.aspx?menuIndex=3&amp;refID=7056193&amp;Result=3","7056193")</f>
        <v>0</v>
      </c>
      <c r="B8370" t="s">
        <v>2478</v>
      </c>
      <c r="C8370" t="s">
        <v>11475</v>
      </c>
      <c r="D8370" t="s">
        <v>18826</v>
      </c>
      <c r="E8370" t="s">
        <v>26212</v>
      </c>
      <c r="F8370" t="s">
        <v>32664</v>
      </c>
      <c r="G8370" t="s">
        <v>32672</v>
      </c>
      <c r="H8370" t="s">
        <v>32683</v>
      </c>
      <c r="I8370" t="s">
        <v>10627</v>
      </c>
      <c r="J8370" t="s">
        <v>32865</v>
      </c>
      <c r="K8370" t="s">
        <v>42311</v>
      </c>
      <c r="M8370" t="s">
        <v>45278</v>
      </c>
      <c r="N8370" t="s">
        <v>46569</v>
      </c>
      <c r="O8370" t="s">
        <v>46570</v>
      </c>
      <c r="P8370">
        <v>0</v>
      </c>
      <c r="Q8370">
        <v>5</v>
      </c>
      <c r="R8370" t="s">
        <v>46576</v>
      </c>
      <c r="S8370" t="s">
        <v>46749</v>
      </c>
      <c r="T8370" t="s">
        <v>48217</v>
      </c>
      <c r="U8370" t="s">
        <v>55621</v>
      </c>
      <c r="W8370" t="s">
        <v>45278</v>
      </c>
      <c r="X8370" t="s">
        <v>46577</v>
      </c>
    </row>
    <row r="8371" spans="1:24">
      <c r="A8371">
        <f>HYPERLINK("https://www.philgeps.gov.ph/GEPSNONPILOT/Tender/SplashBidNoticeAbstractUI.aspx?menuIndex=3&amp;refID=7056220&amp;Result=3","7056220")</f>
        <v>0</v>
      </c>
      <c r="B8371" t="s">
        <v>2479</v>
      </c>
      <c r="C8371" t="s">
        <v>11476</v>
      </c>
      <c r="D8371" t="s">
        <v>18842</v>
      </c>
      <c r="E8371" t="s">
        <v>26213</v>
      </c>
      <c r="F8371" t="s">
        <v>32664</v>
      </c>
      <c r="G8371" t="s">
        <v>32671</v>
      </c>
      <c r="H8371" t="s">
        <v>32683</v>
      </c>
      <c r="I8371" t="s">
        <v>10627</v>
      </c>
      <c r="J8371" t="s">
        <v>37914</v>
      </c>
      <c r="K8371" t="s">
        <v>42305</v>
      </c>
      <c r="M8371" t="s">
        <v>45279</v>
      </c>
      <c r="N8371" t="s">
        <v>46569</v>
      </c>
      <c r="O8371" t="s">
        <v>46570</v>
      </c>
      <c r="P8371">
        <v>0</v>
      </c>
      <c r="Q8371">
        <v>0</v>
      </c>
      <c r="R8371" t="s">
        <v>46576</v>
      </c>
      <c r="S8371" t="s">
        <v>46749</v>
      </c>
      <c r="T8371" t="s">
        <v>48246</v>
      </c>
      <c r="U8371" t="s">
        <v>55622</v>
      </c>
      <c r="W8371" t="s">
        <v>45279</v>
      </c>
      <c r="X8371" t="s">
        <v>46577</v>
      </c>
    </row>
    <row r="8372" spans="1:24">
      <c r="A8372">
        <f>HYPERLINK("https://www.philgeps.gov.ph/GEPSNONPILOT/Tender/SplashBidNoticeAbstractUI.aspx?menuIndex=3&amp;refID=7056186&amp;Result=3","7056186")</f>
        <v>0</v>
      </c>
      <c r="B8372" t="s">
        <v>2409</v>
      </c>
      <c r="C8372" t="s">
        <v>11477</v>
      </c>
      <c r="D8372" t="s">
        <v>18786</v>
      </c>
      <c r="E8372" t="s">
        <v>26214</v>
      </c>
      <c r="F8372" t="s">
        <v>32664</v>
      </c>
      <c r="G8372" t="s">
        <v>32672</v>
      </c>
      <c r="H8372" t="s">
        <v>12635</v>
      </c>
      <c r="I8372" t="s">
        <v>6168</v>
      </c>
      <c r="J8372" t="s">
        <v>37915</v>
      </c>
      <c r="K8372" t="s">
        <v>42289</v>
      </c>
      <c r="M8372" t="s">
        <v>45200</v>
      </c>
      <c r="N8372" t="s">
        <v>46569</v>
      </c>
      <c r="O8372" t="s">
        <v>46570</v>
      </c>
      <c r="P8372">
        <v>0</v>
      </c>
      <c r="Q8372">
        <v>3</v>
      </c>
      <c r="R8372" t="s">
        <v>46576</v>
      </c>
      <c r="S8372" t="s">
        <v>46749</v>
      </c>
      <c r="T8372" t="s">
        <v>48221</v>
      </c>
      <c r="U8372" t="s">
        <v>49404</v>
      </c>
      <c r="W8372" t="s">
        <v>45200</v>
      </c>
      <c r="X8372" t="s">
        <v>46577</v>
      </c>
    </row>
    <row r="8373" spans="1:24">
      <c r="A8373">
        <f>HYPERLINK("https://www.philgeps.gov.ph/GEPSNONPILOT/Tender/SplashBidNoticeAbstractUI.aspx?menuIndex=3&amp;refID=7056179&amp;Result=3","7056179")</f>
        <v>0</v>
      </c>
      <c r="B8373" t="s">
        <v>2446</v>
      </c>
      <c r="C8373" t="s">
        <v>11478</v>
      </c>
      <c r="D8373" t="s">
        <v>18838</v>
      </c>
      <c r="E8373" t="s">
        <v>26215</v>
      </c>
      <c r="F8373" t="s">
        <v>32664</v>
      </c>
      <c r="G8373" t="s">
        <v>32672</v>
      </c>
      <c r="H8373" t="s">
        <v>12635</v>
      </c>
      <c r="I8373" t="s">
        <v>32712</v>
      </c>
      <c r="J8373" t="s">
        <v>33302</v>
      </c>
      <c r="K8373" t="s">
        <v>42283</v>
      </c>
      <c r="M8373" t="s">
        <v>45239</v>
      </c>
      <c r="N8373" t="s">
        <v>46569</v>
      </c>
      <c r="O8373" t="s">
        <v>46570</v>
      </c>
      <c r="P8373">
        <v>0</v>
      </c>
      <c r="Q8373">
        <v>16</v>
      </c>
      <c r="R8373" t="s">
        <v>46576</v>
      </c>
      <c r="S8373" t="s">
        <v>46749</v>
      </c>
      <c r="T8373" t="s">
        <v>48618</v>
      </c>
      <c r="U8373" t="s">
        <v>55623</v>
      </c>
      <c r="V8373" t="s">
        <v>62454</v>
      </c>
      <c r="W8373" t="s">
        <v>45239</v>
      </c>
      <c r="X8373" t="s">
        <v>46577</v>
      </c>
    </row>
    <row r="8374" spans="1:24">
      <c r="A8374">
        <f>HYPERLINK("https://www.philgeps.gov.ph/GEPSNONPILOT/Tender/SplashBidNoticeAbstractUI.aspx?menuIndex=3&amp;refID=7056202&amp;Result=3","7056202")</f>
        <v>0</v>
      </c>
      <c r="B8374" t="s">
        <v>2480</v>
      </c>
      <c r="C8374" t="s">
        <v>4439</v>
      </c>
      <c r="D8374" t="s">
        <v>18827</v>
      </c>
      <c r="E8374" t="s">
        <v>26216</v>
      </c>
      <c r="F8374" t="s">
        <v>32664</v>
      </c>
      <c r="G8374" t="s">
        <v>32672</v>
      </c>
      <c r="H8374" t="s">
        <v>12635</v>
      </c>
      <c r="I8374" t="s">
        <v>4439</v>
      </c>
      <c r="J8374" t="s">
        <v>32898</v>
      </c>
      <c r="K8374" t="s">
        <v>42284</v>
      </c>
      <c r="M8374" t="s">
        <v>45280</v>
      </c>
      <c r="N8374" t="s">
        <v>46569</v>
      </c>
      <c r="O8374" t="s">
        <v>46570</v>
      </c>
      <c r="P8374">
        <v>0</v>
      </c>
      <c r="Q8374">
        <v>1</v>
      </c>
      <c r="R8374" t="s">
        <v>46576</v>
      </c>
      <c r="S8374" t="s">
        <v>46749</v>
      </c>
      <c r="T8374" t="s">
        <v>48219</v>
      </c>
      <c r="U8374" t="s">
        <v>55624</v>
      </c>
      <c r="W8374" t="s">
        <v>45280</v>
      </c>
      <c r="X8374" t="s">
        <v>46577</v>
      </c>
    </row>
    <row r="8375" spans="1:24">
      <c r="A8375">
        <f>HYPERLINK("https://www.philgeps.gov.ph/GEPSNONPILOT/Tender/SplashBidNoticeAbstractUI.aspx?menuIndex=3&amp;refID=7056178&amp;Result=3","7056178")</f>
        <v>0</v>
      </c>
      <c r="B8375" t="s">
        <v>2479</v>
      </c>
      <c r="C8375" t="s">
        <v>11479</v>
      </c>
      <c r="D8375" t="s">
        <v>18802</v>
      </c>
      <c r="E8375" t="s">
        <v>26217</v>
      </c>
      <c r="F8375" t="s">
        <v>32664</v>
      </c>
      <c r="G8375" t="s">
        <v>32671</v>
      </c>
      <c r="H8375" t="s">
        <v>32683</v>
      </c>
      <c r="I8375" t="s">
        <v>10627</v>
      </c>
      <c r="J8375" t="s">
        <v>37916</v>
      </c>
      <c r="K8375" t="s">
        <v>42426</v>
      </c>
      <c r="M8375" t="s">
        <v>45279</v>
      </c>
      <c r="N8375" t="s">
        <v>46569</v>
      </c>
      <c r="O8375" t="s">
        <v>46570</v>
      </c>
      <c r="P8375">
        <v>0</v>
      </c>
      <c r="Q8375">
        <v>0</v>
      </c>
      <c r="R8375" t="s">
        <v>46576</v>
      </c>
      <c r="S8375" t="s">
        <v>46749</v>
      </c>
      <c r="T8375" t="s">
        <v>48246</v>
      </c>
      <c r="U8375" t="s">
        <v>55625</v>
      </c>
      <c r="W8375" t="s">
        <v>45279</v>
      </c>
      <c r="X8375" t="s">
        <v>46577</v>
      </c>
    </row>
    <row r="8376" spans="1:24">
      <c r="A8376">
        <f>HYPERLINK("https://www.philgeps.gov.ph/GEPSNONPILOT/Tender/SplashBidNoticeAbstractUI.aspx?menuIndex=3&amp;refID=7056227&amp;Result=3","7056227")</f>
        <v>0</v>
      </c>
      <c r="B8376" t="s">
        <v>2357</v>
      </c>
      <c r="C8376" t="s">
        <v>11480</v>
      </c>
      <c r="D8376" t="s">
        <v>18783</v>
      </c>
      <c r="E8376" t="s">
        <v>26218</v>
      </c>
      <c r="F8376" t="s">
        <v>32664</v>
      </c>
      <c r="G8376" t="s">
        <v>32672</v>
      </c>
      <c r="H8376" t="s">
        <v>32683</v>
      </c>
      <c r="I8376" t="s">
        <v>10627</v>
      </c>
      <c r="J8376" t="s">
        <v>32865</v>
      </c>
      <c r="K8376" t="s">
        <v>42311</v>
      </c>
      <c r="M8376" t="s">
        <v>45141</v>
      </c>
      <c r="N8376" t="s">
        <v>46569</v>
      </c>
      <c r="O8376" t="s">
        <v>46570</v>
      </c>
      <c r="P8376">
        <v>0</v>
      </c>
      <c r="Q8376">
        <v>1</v>
      </c>
      <c r="R8376" t="s">
        <v>46576</v>
      </c>
      <c r="S8376" t="s">
        <v>46749</v>
      </c>
      <c r="T8376" t="s">
        <v>48298</v>
      </c>
      <c r="U8376" t="s">
        <v>55590</v>
      </c>
      <c r="W8376" t="s">
        <v>45141</v>
      </c>
      <c r="X8376" t="s">
        <v>46577</v>
      </c>
    </row>
    <row r="8377" spans="1:24">
      <c r="A8377">
        <f>HYPERLINK("https://www.philgeps.gov.ph/GEPSNONPILOT/Tender/SplashBidNoticeAbstractUI.aspx?menuIndex=3&amp;refID=7056096&amp;Result=3","7056096")</f>
        <v>0</v>
      </c>
      <c r="B8377" t="s">
        <v>1508</v>
      </c>
      <c r="C8377" t="s">
        <v>11481</v>
      </c>
      <c r="D8377" t="s">
        <v>18826</v>
      </c>
      <c r="E8377" t="s">
        <v>26219</v>
      </c>
      <c r="F8377" t="s">
        <v>32664</v>
      </c>
      <c r="G8377" t="s">
        <v>32673</v>
      </c>
      <c r="H8377" t="s">
        <v>32683</v>
      </c>
      <c r="I8377" t="s">
        <v>10627</v>
      </c>
      <c r="J8377" t="s">
        <v>37917</v>
      </c>
      <c r="K8377" t="s">
        <v>42285</v>
      </c>
      <c r="M8377" t="s">
        <v>44174</v>
      </c>
      <c r="N8377" t="s">
        <v>46569</v>
      </c>
      <c r="O8377" t="s">
        <v>46570</v>
      </c>
      <c r="P8377">
        <v>0</v>
      </c>
      <c r="Q8377">
        <v>6</v>
      </c>
      <c r="R8377" t="s">
        <v>46576</v>
      </c>
      <c r="S8377" t="s">
        <v>46749</v>
      </c>
      <c r="T8377" t="s">
        <v>48308</v>
      </c>
      <c r="U8377" t="s">
        <v>55626</v>
      </c>
      <c r="V8377" t="s">
        <v>62045</v>
      </c>
      <c r="W8377" t="s">
        <v>44174</v>
      </c>
      <c r="X8377" t="s">
        <v>46577</v>
      </c>
    </row>
    <row r="8378" spans="1:24">
      <c r="A8378">
        <f>HYPERLINK("https://www.philgeps.gov.ph/GEPSNONPILOT/Tender/SplashBidNoticeAbstractUI.aspx?menuIndex=3&amp;refID=7056292&amp;Result=3","7056292")</f>
        <v>0</v>
      </c>
      <c r="B8378" t="s">
        <v>2474</v>
      </c>
      <c r="C8378" t="s">
        <v>11482</v>
      </c>
      <c r="D8378" t="s">
        <v>18781</v>
      </c>
      <c r="E8378" t="s">
        <v>26200</v>
      </c>
      <c r="F8378" t="s">
        <v>32664</v>
      </c>
      <c r="G8378" t="s">
        <v>32672</v>
      </c>
      <c r="H8378" t="s">
        <v>32683</v>
      </c>
      <c r="I8378" t="s">
        <v>10627</v>
      </c>
      <c r="J8378" t="s">
        <v>32962</v>
      </c>
      <c r="K8378" t="s">
        <v>42298</v>
      </c>
      <c r="M8378" t="s">
        <v>45274</v>
      </c>
      <c r="N8378" t="s">
        <v>46569</v>
      </c>
      <c r="O8378" t="s">
        <v>46570</v>
      </c>
      <c r="Q8378">
        <v>0</v>
      </c>
      <c r="R8378" t="s">
        <v>46576</v>
      </c>
      <c r="S8378" t="s">
        <v>46753</v>
      </c>
      <c r="T8378" t="s">
        <v>48360</v>
      </c>
      <c r="U8378" t="s">
        <v>55610</v>
      </c>
      <c r="V8378" t="s">
        <v>62455</v>
      </c>
      <c r="W8378" t="s">
        <v>45274</v>
      </c>
      <c r="X8378" t="s">
        <v>46577</v>
      </c>
    </row>
    <row r="8379" spans="1:24">
      <c r="A8379">
        <f>HYPERLINK("https://www.philgeps.gov.ph/GEPSNONPILOT/Tender/SplashBidNoticeAbstractUI.aspx?menuIndex=3&amp;refID=7056198&amp;Result=3","7056198")</f>
        <v>0</v>
      </c>
      <c r="B8379" t="s">
        <v>2474</v>
      </c>
      <c r="C8379" t="s">
        <v>11483</v>
      </c>
      <c r="D8379" t="s">
        <v>18781</v>
      </c>
      <c r="E8379" t="s">
        <v>26200</v>
      </c>
      <c r="F8379" t="s">
        <v>32664</v>
      </c>
      <c r="G8379" t="s">
        <v>32672</v>
      </c>
      <c r="H8379" t="s">
        <v>32683</v>
      </c>
      <c r="I8379" t="s">
        <v>10627</v>
      </c>
      <c r="J8379" t="s">
        <v>34148</v>
      </c>
      <c r="K8379" t="s">
        <v>42290</v>
      </c>
      <c r="M8379" t="s">
        <v>45274</v>
      </c>
      <c r="N8379" t="s">
        <v>46569</v>
      </c>
      <c r="O8379" t="s">
        <v>46570</v>
      </c>
      <c r="Q8379">
        <v>0</v>
      </c>
      <c r="R8379" t="s">
        <v>46576</v>
      </c>
      <c r="S8379" t="s">
        <v>46754</v>
      </c>
      <c r="T8379" t="s">
        <v>48360</v>
      </c>
      <c r="U8379" t="s">
        <v>55610</v>
      </c>
      <c r="V8379" t="s">
        <v>62456</v>
      </c>
      <c r="W8379" t="s">
        <v>45274</v>
      </c>
      <c r="X8379" t="s">
        <v>46577</v>
      </c>
    </row>
    <row r="8380" spans="1:24">
      <c r="A8380">
        <f>HYPERLINK("https://www.philgeps.gov.ph/GEPSNONPILOT/Tender/SplashBidNoticeAbstractUI.aspx?menuIndex=3&amp;refID=7056133&amp;Result=3","7056133")</f>
        <v>0</v>
      </c>
      <c r="B8380" t="s">
        <v>2479</v>
      </c>
      <c r="C8380" t="s">
        <v>11484</v>
      </c>
      <c r="D8380" t="s">
        <v>18853</v>
      </c>
      <c r="E8380" t="s">
        <v>26220</v>
      </c>
      <c r="F8380" t="s">
        <v>32664</v>
      </c>
      <c r="G8380" t="s">
        <v>32671</v>
      </c>
      <c r="H8380" t="s">
        <v>32683</v>
      </c>
      <c r="I8380" t="s">
        <v>10627</v>
      </c>
      <c r="J8380" t="s">
        <v>37918</v>
      </c>
      <c r="K8380" t="s">
        <v>42305</v>
      </c>
      <c r="M8380" t="s">
        <v>45279</v>
      </c>
      <c r="N8380" t="s">
        <v>46569</v>
      </c>
      <c r="O8380" t="s">
        <v>46570</v>
      </c>
      <c r="P8380">
        <v>0</v>
      </c>
      <c r="Q8380">
        <v>1</v>
      </c>
      <c r="R8380" t="s">
        <v>46576</v>
      </c>
      <c r="S8380" t="s">
        <v>46749</v>
      </c>
      <c r="T8380" t="s">
        <v>48246</v>
      </c>
      <c r="U8380" t="s">
        <v>55622</v>
      </c>
      <c r="W8380" t="s">
        <v>45279</v>
      </c>
      <c r="X8380" t="s">
        <v>46577</v>
      </c>
    </row>
    <row r="8381" spans="1:24">
      <c r="A8381">
        <f>HYPERLINK("https://www.philgeps.gov.ph/GEPSNONPILOT/Tender/SplashBidNoticeAbstractUI.aspx?menuIndex=3&amp;refID=7056288&amp;Result=3","7056288")</f>
        <v>0</v>
      </c>
      <c r="B8381" t="s">
        <v>1479</v>
      </c>
      <c r="C8381" t="s">
        <v>11485</v>
      </c>
      <c r="D8381" t="s">
        <v>18788</v>
      </c>
      <c r="E8381" t="s">
        <v>26221</v>
      </c>
      <c r="F8381" t="s">
        <v>32664</v>
      </c>
      <c r="G8381" t="s">
        <v>32671</v>
      </c>
      <c r="H8381" t="s">
        <v>12635</v>
      </c>
      <c r="I8381" t="s">
        <v>6628</v>
      </c>
      <c r="J8381" t="s">
        <v>33078</v>
      </c>
      <c r="K8381" t="s">
        <v>42289</v>
      </c>
      <c r="M8381" t="s">
        <v>44142</v>
      </c>
      <c r="N8381" t="s">
        <v>46569</v>
      </c>
      <c r="O8381" t="s">
        <v>46570</v>
      </c>
      <c r="P8381">
        <v>0</v>
      </c>
      <c r="Q8381">
        <v>7</v>
      </c>
      <c r="R8381" t="s">
        <v>46576</v>
      </c>
      <c r="S8381" t="s">
        <v>46749</v>
      </c>
      <c r="T8381" t="s">
        <v>48449</v>
      </c>
      <c r="U8381" t="s">
        <v>52092</v>
      </c>
      <c r="W8381" t="s">
        <v>44142</v>
      </c>
      <c r="X8381" t="s">
        <v>46577</v>
      </c>
    </row>
    <row r="8382" spans="1:24">
      <c r="A8382">
        <f>HYPERLINK("https://www.philgeps.gov.ph/GEPSNONPILOT/Tender/SplashBidNoticeAbstractUI.aspx?menuIndex=3&amp;refID=7056278&amp;Result=3","7056278")</f>
        <v>0</v>
      </c>
      <c r="B8382" t="s">
        <v>1656</v>
      </c>
      <c r="C8382" t="s">
        <v>11486</v>
      </c>
      <c r="D8382" t="s">
        <v>18805</v>
      </c>
      <c r="E8382" t="s">
        <v>23397</v>
      </c>
      <c r="F8382" t="s">
        <v>32664</v>
      </c>
      <c r="G8382" t="s">
        <v>32671</v>
      </c>
      <c r="H8382" t="s">
        <v>12635</v>
      </c>
      <c r="I8382" t="s">
        <v>4333</v>
      </c>
      <c r="J8382" t="s">
        <v>33336</v>
      </c>
      <c r="K8382" t="s">
        <v>42306</v>
      </c>
      <c r="M8382" t="s">
        <v>44341</v>
      </c>
      <c r="N8382" t="s">
        <v>46569</v>
      </c>
      <c r="O8382" t="s">
        <v>46570</v>
      </c>
      <c r="P8382">
        <v>0</v>
      </c>
      <c r="Q8382">
        <v>0</v>
      </c>
      <c r="R8382" t="s">
        <v>46576</v>
      </c>
      <c r="S8382" t="s">
        <v>46749</v>
      </c>
      <c r="T8382" t="s">
        <v>48215</v>
      </c>
      <c r="U8382" t="s">
        <v>55627</v>
      </c>
      <c r="W8382" t="s">
        <v>44341</v>
      </c>
      <c r="X8382" t="s">
        <v>46577</v>
      </c>
    </row>
    <row r="8383" spans="1:24">
      <c r="A8383">
        <f>HYPERLINK("https://www.philgeps.gov.ph/GEPSNONPILOT/Tender/SplashBidNoticeAbstractUI.aspx?menuIndex=3&amp;refID=7056187&amp;Result=3","7056187")</f>
        <v>0</v>
      </c>
      <c r="B8383" t="s">
        <v>2481</v>
      </c>
      <c r="C8383" t="s">
        <v>11487</v>
      </c>
      <c r="D8383" t="s">
        <v>18806</v>
      </c>
      <c r="E8383" t="s">
        <v>21510</v>
      </c>
      <c r="F8383" t="s">
        <v>32664</v>
      </c>
      <c r="G8383" t="s">
        <v>32672</v>
      </c>
      <c r="H8383" t="s">
        <v>32683</v>
      </c>
      <c r="I8383" t="s">
        <v>32737</v>
      </c>
      <c r="J8383" t="s">
        <v>37919</v>
      </c>
      <c r="K8383" t="s">
        <v>42365</v>
      </c>
      <c r="M8383" t="s">
        <v>45281</v>
      </c>
      <c r="N8383" t="s">
        <v>46569</v>
      </c>
      <c r="O8383" t="s">
        <v>46570</v>
      </c>
      <c r="P8383">
        <v>0</v>
      </c>
      <c r="Q8383">
        <v>3</v>
      </c>
      <c r="R8383" t="s">
        <v>46576</v>
      </c>
      <c r="S8383" t="s">
        <v>46749</v>
      </c>
      <c r="T8383" t="s">
        <v>48412</v>
      </c>
      <c r="U8383" t="s">
        <v>55628</v>
      </c>
      <c r="W8383" t="s">
        <v>45281</v>
      </c>
      <c r="X8383" t="s">
        <v>46577</v>
      </c>
    </row>
    <row r="8384" spans="1:24">
      <c r="A8384">
        <f>HYPERLINK("https://www.philgeps.gov.ph/GEPSNONPILOT/Tender/SplashBidNoticeAbstractUI.aspx?menuIndex=3&amp;refID=7056275&amp;Result=3","7056275")</f>
        <v>0</v>
      </c>
      <c r="B8384" t="s">
        <v>2481</v>
      </c>
      <c r="C8384" t="s">
        <v>11488</v>
      </c>
      <c r="D8384" t="s">
        <v>18806</v>
      </c>
      <c r="E8384" t="s">
        <v>21625</v>
      </c>
      <c r="F8384" t="s">
        <v>32664</v>
      </c>
      <c r="G8384" t="s">
        <v>32672</v>
      </c>
      <c r="H8384" t="s">
        <v>32683</v>
      </c>
      <c r="I8384" t="s">
        <v>32737</v>
      </c>
      <c r="J8384" t="s">
        <v>37920</v>
      </c>
      <c r="K8384" t="s">
        <v>42308</v>
      </c>
      <c r="M8384" t="s">
        <v>45281</v>
      </c>
      <c r="N8384" t="s">
        <v>46569</v>
      </c>
      <c r="O8384" t="s">
        <v>46570</v>
      </c>
      <c r="P8384">
        <v>0</v>
      </c>
      <c r="Q8384">
        <v>1</v>
      </c>
      <c r="R8384" t="s">
        <v>46576</v>
      </c>
      <c r="S8384" t="s">
        <v>46749</v>
      </c>
      <c r="T8384" t="s">
        <v>48412</v>
      </c>
      <c r="U8384" t="s">
        <v>55629</v>
      </c>
      <c r="W8384" t="s">
        <v>45281</v>
      </c>
      <c r="X8384" t="s">
        <v>46577</v>
      </c>
    </row>
    <row r="8385" spans="1:24">
      <c r="A8385">
        <f>HYPERLINK("https://www.philgeps.gov.ph/GEPSNONPILOT/Tender/SplashBidNoticeAbstractUI.aspx?menuIndex=3&amp;refID=7056271&amp;Result=3","7056271")</f>
        <v>0</v>
      </c>
      <c r="B8385" t="s">
        <v>2474</v>
      </c>
      <c r="C8385" t="s">
        <v>11489</v>
      </c>
      <c r="D8385" t="s">
        <v>18781</v>
      </c>
      <c r="E8385" t="s">
        <v>26200</v>
      </c>
      <c r="F8385" t="s">
        <v>32664</v>
      </c>
      <c r="G8385" t="s">
        <v>32672</v>
      </c>
      <c r="H8385" t="s">
        <v>32683</v>
      </c>
      <c r="I8385" t="s">
        <v>10627</v>
      </c>
      <c r="J8385" t="s">
        <v>37921</v>
      </c>
      <c r="K8385" t="s">
        <v>42298</v>
      </c>
      <c r="M8385" t="s">
        <v>45274</v>
      </c>
      <c r="N8385" t="s">
        <v>46569</v>
      </c>
      <c r="O8385" t="s">
        <v>46570</v>
      </c>
      <c r="Q8385">
        <v>0</v>
      </c>
      <c r="R8385" t="s">
        <v>46576</v>
      </c>
      <c r="S8385" t="s">
        <v>46755</v>
      </c>
      <c r="T8385" t="s">
        <v>48360</v>
      </c>
      <c r="U8385" t="s">
        <v>55610</v>
      </c>
      <c r="V8385" t="s">
        <v>62457</v>
      </c>
      <c r="W8385" t="s">
        <v>45274</v>
      </c>
      <c r="X8385" t="s">
        <v>46577</v>
      </c>
    </row>
    <row r="8386" spans="1:24">
      <c r="A8386">
        <f>HYPERLINK("https://www.philgeps.gov.ph/GEPSNONPILOT/Tender/SplashBidNoticeAbstractUI.aspx?menuIndex=3&amp;refID=7056259&amp;Result=3","7056259")</f>
        <v>0</v>
      </c>
      <c r="B8386" t="s">
        <v>629</v>
      </c>
      <c r="C8386" t="s">
        <v>11490</v>
      </c>
      <c r="D8386" t="s">
        <v>18782</v>
      </c>
      <c r="E8386" t="s">
        <v>26222</v>
      </c>
      <c r="F8386" t="s">
        <v>32664</v>
      </c>
      <c r="G8386" t="s">
        <v>32674</v>
      </c>
      <c r="H8386" t="s">
        <v>12635</v>
      </c>
      <c r="I8386" t="s">
        <v>8730</v>
      </c>
      <c r="J8386" t="s">
        <v>37922</v>
      </c>
      <c r="K8386" t="s">
        <v>42283</v>
      </c>
      <c r="M8386" t="s">
        <v>43211</v>
      </c>
      <c r="N8386" t="s">
        <v>46569</v>
      </c>
      <c r="O8386" t="s">
        <v>46570</v>
      </c>
      <c r="P8386">
        <v>0</v>
      </c>
      <c r="Q8386">
        <v>1</v>
      </c>
      <c r="R8386" t="s">
        <v>46576</v>
      </c>
      <c r="S8386" t="s">
        <v>46749</v>
      </c>
      <c r="T8386" t="s">
        <v>48290</v>
      </c>
      <c r="U8386" t="s">
        <v>55630</v>
      </c>
      <c r="W8386" t="s">
        <v>43211</v>
      </c>
      <c r="X8386" t="s">
        <v>46577</v>
      </c>
    </row>
    <row r="8387" spans="1:24">
      <c r="A8387">
        <f>HYPERLINK("https://www.philgeps.gov.ph/GEPSNONPILOT/Tender/SplashBidNoticeAbstractUI.aspx?menuIndex=3&amp;refID=7056253&amp;Result=3","7056253")</f>
        <v>0</v>
      </c>
      <c r="B8387" t="s">
        <v>2469</v>
      </c>
      <c r="C8387" t="s">
        <v>11491</v>
      </c>
      <c r="D8387" t="s">
        <v>18801</v>
      </c>
      <c r="E8387" t="s">
        <v>26223</v>
      </c>
      <c r="F8387" t="s">
        <v>32664</v>
      </c>
      <c r="G8387" t="s">
        <v>32672</v>
      </c>
      <c r="H8387" t="s">
        <v>12635</v>
      </c>
      <c r="I8387" t="s">
        <v>8797</v>
      </c>
      <c r="J8387" t="s">
        <v>37923</v>
      </c>
      <c r="K8387" t="s">
        <v>42281</v>
      </c>
      <c r="M8387" t="s">
        <v>45270</v>
      </c>
      <c r="N8387" t="s">
        <v>46569</v>
      </c>
      <c r="O8387" t="s">
        <v>46570</v>
      </c>
      <c r="Q8387">
        <v>15</v>
      </c>
      <c r="R8387" t="s">
        <v>46576</v>
      </c>
      <c r="S8387" t="s">
        <v>46756</v>
      </c>
      <c r="T8387" t="s">
        <v>48273</v>
      </c>
      <c r="U8387" t="s">
        <v>55574</v>
      </c>
      <c r="V8387" t="s">
        <v>62260</v>
      </c>
      <c r="W8387" t="s">
        <v>63561</v>
      </c>
      <c r="X8387" t="s">
        <v>46577</v>
      </c>
    </row>
    <row r="8388" spans="1:24">
      <c r="A8388">
        <f>HYPERLINK("https://www.philgeps.gov.ph/GEPSNONPILOT/Tender/SplashBidNoticeAbstractUI.aspx?menuIndex=3&amp;refID=7056247&amp;Result=3","7056247")</f>
        <v>0</v>
      </c>
      <c r="B8388" t="s">
        <v>2474</v>
      </c>
      <c r="C8388" t="s">
        <v>11492</v>
      </c>
      <c r="D8388" t="s">
        <v>18781</v>
      </c>
      <c r="E8388" t="s">
        <v>26200</v>
      </c>
      <c r="F8388" t="s">
        <v>32664</v>
      </c>
      <c r="G8388" t="s">
        <v>32672</v>
      </c>
      <c r="H8388" t="s">
        <v>32683</v>
      </c>
      <c r="I8388" t="s">
        <v>10627</v>
      </c>
      <c r="J8388" t="s">
        <v>32962</v>
      </c>
      <c r="K8388" t="s">
        <v>42298</v>
      </c>
      <c r="M8388" t="s">
        <v>45274</v>
      </c>
      <c r="N8388" t="s">
        <v>46569</v>
      </c>
      <c r="O8388" t="s">
        <v>46570</v>
      </c>
      <c r="Q8388">
        <v>0</v>
      </c>
      <c r="R8388" t="s">
        <v>46576</v>
      </c>
      <c r="S8388" t="s">
        <v>46757</v>
      </c>
      <c r="T8388" t="s">
        <v>48360</v>
      </c>
      <c r="U8388" t="s">
        <v>55610</v>
      </c>
      <c r="V8388" t="s">
        <v>62458</v>
      </c>
      <c r="W8388" t="s">
        <v>45274</v>
      </c>
      <c r="X8388" t="s">
        <v>46577</v>
      </c>
    </row>
    <row r="8389" spans="1:24">
      <c r="A8389">
        <f>HYPERLINK("https://www.philgeps.gov.ph/GEPSNONPILOT/Tender/SplashBidNoticeAbstractUI.aspx?menuIndex=3&amp;refID=7056236&amp;Result=3","7056236")</f>
        <v>0</v>
      </c>
      <c r="B8389" t="s">
        <v>2480</v>
      </c>
      <c r="C8389" t="s">
        <v>4439</v>
      </c>
      <c r="D8389" t="s">
        <v>18827</v>
      </c>
      <c r="E8389" t="s">
        <v>26224</v>
      </c>
      <c r="F8389" t="s">
        <v>32664</v>
      </c>
      <c r="G8389" t="s">
        <v>32672</v>
      </c>
      <c r="H8389" t="s">
        <v>12635</v>
      </c>
      <c r="I8389" t="s">
        <v>4439</v>
      </c>
      <c r="J8389" t="s">
        <v>32917</v>
      </c>
      <c r="K8389" t="s">
        <v>42284</v>
      </c>
      <c r="M8389" t="s">
        <v>45280</v>
      </c>
      <c r="N8389" t="s">
        <v>46569</v>
      </c>
      <c r="O8389" t="s">
        <v>46570</v>
      </c>
      <c r="P8389">
        <v>0</v>
      </c>
      <c r="Q8389">
        <v>1</v>
      </c>
      <c r="R8389" t="s">
        <v>46576</v>
      </c>
      <c r="S8389" t="s">
        <v>46749</v>
      </c>
      <c r="T8389" t="s">
        <v>48219</v>
      </c>
      <c r="U8389" t="s">
        <v>55631</v>
      </c>
      <c r="W8389" t="s">
        <v>45280</v>
      </c>
      <c r="X8389" t="s">
        <v>46577</v>
      </c>
    </row>
    <row r="8390" spans="1:24">
      <c r="A8390">
        <f>HYPERLINK("https://www.philgeps.gov.ph/GEPSNONPILOT/Tender/SplashBidNoticeAbstractUI.aspx?menuIndex=3&amp;refID=7056283&amp;Result=3","7056283")</f>
        <v>0</v>
      </c>
      <c r="B8390" t="s">
        <v>2482</v>
      </c>
      <c r="C8390" t="s">
        <v>8762</v>
      </c>
      <c r="D8390" t="s">
        <v>18781</v>
      </c>
      <c r="E8390" t="s">
        <v>21583</v>
      </c>
      <c r="F8390" t="s">
        <v>32664</v>
      </c>
      <c r="G8390" t="s">
        <v>32672</v>
      </c>
      <c r="H8390" t="s">
        <v>12635</v>
      </c>
      <c r="I8390" t="s">
        <v>6223</v>
      </c>
      <c r="J8390" t="s">
        <v>37924</v>
      </c>
      <c r="K8390" t="s">
        <v>42283</v>
      </c>
      <c r="M8390" t="s">
        <v>45282</v>
      </c>
      <c r="N8390" t="s">
        <v>46569</v>
      </c>
      <c r="O8390" t="s">
        <v>46570</v>
      </c>
      <c r="P8390">
        <v>0</v>
      </c>
      <c r="Q8390">
        <v>0</v>
      </c>
      <c r="R8390" t="s">
        <v>46576</v>
      </c>
      <c r="S8390" t="s">
        <v>46749</v>
      </c>
      <c r="T8390" t="s">
        <v>48251</v>
      </c>
      <c r="U8390" t="s">
        <v>55632</v>
      </c>
      <c r="W8390" t="s">
        <v>45282</v>
      </c>
      <c r="X8390" t="s">
        <v>46577</v>
      </c>
    </row>
    <row r="8391" spans="1:24">
      <c r="A8391">
        <f>HYPERLINK("https://www.philgeps.gov.ph/GEPSNONPILOT/Tender/SplashBidNoticeAbstractUI.aspx?menuIndex=3&amp;refID=7056233&amp;Result=3","7056233")</f>
        <v>0</v>
      </c>
      <c r="B8391" t="s">
        <v>1274</v>
      </c>
      <c r="C8391" t="s">
        <v>11493</v>
      </c>
      <c r="D8391" t="s">
        <v>18784</v>
      </c>
      <c r="E8391" t="s">
        <v>26225</v>
      </c>
      <c r="F8391" t="s">
        <v>32664</v>
      </c>
      <c r="G8391" t="s">
        <v>32671</v>
      </c>
      <c r="H8391" t="s">
        <v>12635</v>
      </c>
      <c r="I8391" t="s">
        <v>5589</v>
      </c>
      <c r="J8391" t="s">
        <v>37925</v>
      </c>
      <c r="K8391" t="s">
        <v>42284</v>
      </c>
      <c r="M8391" t="s">
        <v>43917</v>
      </c>
      <c r="N8391" t="s">
        <v>46569</v>
      </c>
      <c r="O8391" t="s">
        <v>46570</v>
      </c>
      <c r="P8391">
        <v>0</v>
      </c>
      <c r="Q8391">
        <v>14</v>
      </c>
      <c r="R8391" t="s">
        <v>46576</v>
      </c>
      <c r="S8391" t="s">
        <v>46749</v>
      </c>
      <c r="T8391" t="s">
        <v>48316</v>
      </c>
      <c r="U8391" t="s">
        <v>55633</v>
      </c>
      <c r="V8391" t="s">
        <v>62118</v>
      </c>
      <c r="W8391" t="s">
        <v>43917</v>
      </c>
      <c r="X8391" t="s">
        <v>46577</v>
      </c>
    </row>
    <row r="8392" spans="1:24">
      <c r="A8392">
        <f>HYPERLINK("https://www.philgeps.gov.ph/GEPSNONPILOT/Tender/SplashBidNoticeAbstractUI.aspx?menuIndex=3&amp;refID=7056229&amp;Result=3","7056229")</f>
        <v>0</v>
      </c>
      <c r="B8392" t="s">
        <v>2474</v>
      </c>
      <c r="C8392" t="s">
        <v>11494</v>
      </c>
      <c r="D8392" t="s">
        <v>18781</v>
      </c>
      <c r="E8392" t="s">
        <v>26200</v>
      </c>
      <c r="F8392" t="s">
        <v>32664</v>
      </c>
      <c r="G8392" t="s">
        <v>32672</v>
      </c>
      <c r="H8392" t="s">
        <v>32683</v>
      </c>
      <c r="I8392" t="s">
        <v>10627</v>
      </c>
      <c r="J8392" t="s">
        <v>37926</v>
      </c>
      <c r="K8392" t="s">
        <v>42298</v>
      </c>
      <c r="M8392" t="s">
        <v>45274</v>
      </c>
      <c r="N8392" t="s">
        <v>46569</v>
      </c>
      <c r="O8392" t="s">
        <v>46570</v>
      </c>
      <c r="Q8392">
        <v>0</v>
      </c>
      <c r="R8392" t="s">
        <v>46576</v>
      </c>
      <c r="S8392" t="s">
        <v>46758</v>
      </c>
      <c r="T8392" t="s">
        <v>48360</v>
      </c>
      <c r="U8392" t="s">
        <v>55610</v>
      </c>
      <c r="V8392" t="s">
        <v>62459</v>
      </c>
      <c r="W8392" t="s">
        <v>45274</v>
      </c>
      <c r="X8392" t="s">
        <v>46577</v>
      </c>
    </row>
    <row r="8393" spans="1:24">
      <c r="A8393">
        <f>HYPERLINK("https://www.philgeps.gov.ph/GEPSNONPILOT/Tender/SplashBidNoticeAbstractUI.aspx?menuIndex=3&amp;refID=7056263&amp;Result=3","7056263")</f>
        <v>0</v>
      </c>
      <c r="B8393" t="s">
        <v>69</v>
      </c>
      <c r="C8393" t="s">
        <v>11495</v>
      </c>
      <c r="D8393" t="s">
        <v>18784</v>
      </c>
      <c r="E8393" t="s">
        <v>26226</v>
      </c>
      <c r="F8393" t="s">
        <v>32664</v>
      </c>
      <c r="G8393" t="s">
        <v>32671</v>
      </c>
      <c r="H8393" t="s">
        <v>12635</v>
      </c>
      <c r="I8393" t="s">
        <v>5589</v>
      </c>
      <c r="J8393" t="s">
        <v>33069</v>
      </c>
      <c r="K8393" t="s">
        <v>42284</v>
      </c>
      <c r="M8393" t="s">
        <v>43455</v>
      </c>
      <c r="N8393" t="s">
        <v>46569</v>
      </c>
      <c r="O8393" t="s">
        <v>46570</v>
      </c>
      <c r="P8393">
        <v>0</v>
      </c>
      <c r="Q8393">
        <v>6</v>
      </c>
      <c r="R8393" t="s">
        <v>46576</v>
      </c>
      <c r="S8393" t="s">
        <v>46749</v>
      </c>
      <c r="T8393" t="s">
        <v>48562</v>
      </c>
      <c r="U8393" t="s">
        <v>54915</v>
      </c>
      <c r="W8393" t="s">
        <v>43455</v>
      </c>
      <c r="X8393" t="s">
        <v>46577</v>
      </c>
    </row>
    <row r="8394" spans="1:24">
      <c r="A8394">
        <f>HYPERLINK("https://www.philgeps.gov.ph/GEPSNONPILOT/Tender/SplashBidNoticeAbstractUI.aspx?menuIndex=3&amp;refID=7056091&amp;Result=3","7056091")</f>
        <v>0</v>
      </c>
      <c r="B8394" t="s">
        <v>1514</v>
      </c>
      <c r="C8394" t="s">
        <v>11496</v>
      </c>
      <c r="D8394" t="s">
        <v>18829</v>
      </c>
      <c r="E8394" t="s">
        <v>26227</v>
      </c>
      <c r="F8394" t="s">
        <v>32664</v>
      </c>
      <c r="G8394" t="s">
        <v>32676</v>
      </c>
      <c r="H8394" t="s">
        <v>12635</v>
      </c>
      <c r="I8394" t="s">
        <v>7759</v>
      </c>
      <c r="J8394" t="s">
        <v>37927</v>
      </c>
      <c r="K8394" t="s">
        <v>42281</v>
      </c>
      <c r="M8394" t="s">
        <v>44180</v>
      </c>
      <c r="N8394" t="s">
        <v>46569</v>
      </c>
      <c r="O8394" t="s">
        <v>46570</v>
      </c>
      <c r="P8394">
        <v>0</v>
      </c>
      <c r="Q8394">
        <v>0</v>
      </c>
      <c r="R8394" t="s">
        <v>46576</v>
      </c>
      <c r="S8394" t="s">
        <v>46749</v>
      </c>
      <c r="T8394" t="s">
        <v>48381</v>
      </c>
      <c r="U8394" t="s">
        <v>55634</v>
      </c>
      <c r="W8394" t="s">
        <v>44180</v>
      </c>
      <c r="X8394" t="s">
        <v>46577</v>
      </c>
    </row>
    <row r="8395" spans="1:24">
      <c r="A8395">
        <f>HYPERLINK("https://www.philgeps.gov.ph/GEPSNONPILOT/Tender/SplashBidNoticeAbstractUI.aspx?menuIndex=3&amp;refID=7056228&amp;Result=3","7056228")</f>
        <v>0</v>
      </c>
      <c r="B8395" t="s">
        <v>69</v>
      </c>
      <c r="C8395" t="s">
        <v>11497</v>
      </c>
      <c r="D8395" t="s">
        <v>18784</v>
      </c>
      <c r="E8395" t="s">
        <v>26228</v>
      </c>
      <c r="F8395" t="s">
        <v>32664</v>
      </c>
      <c r="G8395" t="s">
        <v>32671</v>
      </c>
      <c r="H8395" t="s">
        <v>12635</v>
      </c>
      <c r="I8395" t="s">
        <v>32708</v>
      </c>
      <c r="J8395" t="s">
        <v>34210</v>
      </c>
      <c r="K8395" t="s">
        <v>42281</v>
      </c>
      <c r="M8395" t="s">
        <v>43455</v>
      </c>
      <c r="N8395" t="s">
        <v>46569</v>
      </c>
      <c r="O8395" t="s">
        <v>46570</v>
      </c>
      <c r="P8395">
        <v>0</v>
      </c>
      <c r="Q8395">
        <v>21</v>
      </c>
      <c r="R8395" t="s">
        <v>46576</v>
      </c>
      <c r="S8395" t="s">
        <v>46749</v>
      </c>
      <c r="T8395" t="s">
        <v>48562</v>
      </c>
      <c r="U8395" t="s">
        <v>55635</v>
      </c>
      <c r="W8395" t="s">
        <v>43455</v>
      </c>
      <c r="X8395" t="s">
        <v>46577</v>
      </c>
    </row>
    <row r="8396" spans="1:24">
      <c r="A8396">
        <f>HYPERLINK("https://www.philgeps.gov.ph/GEPSNONPILOT/Tender/SplashBidNoticeAbstractUI.aspx?menuIndex=3&amp;refID=7056222&amp;Result=3","7056222")</f>
        <v>0</v>
      </c>
      <c r="B8396" t="s">
        <v>2483</v>
      </c>
      <c r="C8396" t="s">
        <v>11498</v>
      </c>
      <c r="D8396" t="s">
        <v>18793</v>
      </c>
      <c r="E8396" t="s">
        <v>18926</v>
      </c>
      <c r="F8396" t="s">
        <v>32664</v>
      </c>
      <c r="G8396" t="s">
        <v>32672</v>
      </c>
      <c r="H8396" t="s">
        <v>32683</v>
      </c>
      <c r="I8396" t="s">
        <v>10627</v>
      </c>
      <c r="J8396" t="s">
        <v>32917</v>
      </c>
      <c r="K8396" t="s">
        <v>42281</v>
      </c>
      <c r="M8396" t="s">
        <v>45283</v>
      </c>
      <c r="N8396" t="s">
        <v>46569</v>
      </c>
      <c r="O8396" t="s">
        <v>46570</v>
      </c>
      <c r="P8396">
        <v>0</v>
      </c>
      <c r="Q8396">
        <v>0</v>
      </c>
      <c r="R8396" t="s">
        <v>46576</v>
      </c>
      <c r="S8396" t="s">
        <v>46749</v>
      </c>
      <c r="T8396" t="s">
        <v>48281</v>
      </c>
      <c r="U8396" t="s">
        <v>55636</v>
      </c>
      <c r="W8396" t="s">
        <v>45283</v>
      </c>
      <c r="X8396" t="s">
        <v>46577</v>
      </c>
    </row>
    <row r="8397" spans="1:24">
      <c r="A8397">
        <f>HYPERLINK("https://www.philgeps.gov.ph/GEPSNONPILOT/Tender/SplashBidNoticeAbstractUI.aspx?menuIndex=3&amp;refID=7056221&amp;Result=3","7056221")</f>
        <v>0</v>
      </c>
      <c r="B8397" t="s">
        <v>2469</v>
      </c>
      <c r="C8397" t="s">
        <v>11499</v>
      </c>
      <c r="D8397" t="s">
        <v>18801</v>
      </c>
      <c r="E8397" t="s">
        <v>26229</v>
      </c>
      <c r="F8397" t="s">
        <v>32664</v>
      </c>
      <c r="G8397" t="s">
        <v>32672</v>
      </c>
      <c r="H8397" t="s">
        <v>12635</v>
      </c>
      <c r="I8397" t="s">
        <v>4439</v>
      </c>
      <c r="J8397" t="s">
        <v>37928</v>
      </c>
      <c r="K8397" t="s">
        <v>42281</v>
      </c>
      <c r="M8397" t="s">
        <v>45270</v>
      </c>
      <c r="N8397" t="s">
        <v>46569</v>
      </c>
      <c r="O8397" t="s">
        <v>46570</v>
      </c>
      <c r="P8397">
        <v>0</v>
      </c>
      <c r="Q8397">
        <v>2</v>
      </c>
      <c r="R8397" t="s">
        <v>46576</v>
      </c>
      <c r="S8397" t="s">
        <v>46749</v>
      </c>
      <c r="T8397" t="s">
        <v>48273</v>
      </c>
      <c r="U8397" t="s">
        <v>55574</v>
      </c>
      <c r="V8397" t="s">
        <v>62260</v>
      </c>
      <c r="W8397" t="s">
        <v>63561</v>
      </c>
      <c r="X8397" t="s">
        <v>46577</v>
      </c>
    </row>
    <row r="8398" spans="1:24">
      <c r="A8398">
        <f>HYPERLINK("https://www.philgeps.gov.ph/GEPSNONPILOT/Tender/SplashBidNoticeAbstractUI.aspx?menuIndex=3&amp;refID=7056172&amp;Result=3","7056172")</f>
        <v>0</v>
      </c>
      <c r="B8398" t="s">
        <v>2484</v>
      </c>
      <c r="C8398" t="s">
        <v>11500</v>
      </c>
      <c r="D8398" t="s">
        <v>18822</v>
      </c>
      <c r="E8398" t="s">
        <v>26230</v>
      </c>
      <c r="F8398" t="s">
        <v>32664</v>
      </c>
      <c r="G8398" t="s">
        <v>32672</v>
      </c>
      <c r="H8398" t="s">
        <v>12635</v>
      </c>
      <c r="I8398" t="s">
        <v>7759</v>
      </c>
      <c r="J8398" t="s">
        <v>33267</v>
      </c>
      <c r="K8398" t="s">
        <v>42297</v>
      </c>
      <c r="M8398" t="s">
        <v>45284</v>
      </c>
      <c r="N8398" t="s">
        <v>46569</v>
      </c>
      <c r="O8398" t="s">
        <v>46570</v>
      </c>
      <c r="P8398">
        <v>0</v>
      </c>
      <c r="Q8398">
        <v>0</v>
      </c>
      <c r="R8398" t="s">
        <v>46576</v>
      </c>
      <c r="S8398" t="s">
        <v>46749</v>
      </c>
      <c r="T8398" t="s">
        <v>48283</v>
      </c>
      <c r="U8398" t="s">
        <v>55637</v>
      </c>
      <c r="W8398" t="s">
        <v>45284</v>
      </c>
      <c r="X8398" t="s">
        <v>46577</v>
      </c>
    </row>
    <row r="8399" spans="1:24">
      <c r="A8399">
        <f>HYPERLINK("https://www.philgeps.gov.ph/GEPSNONPILOT/Tender/SplashBidNoticeAbstractUI.aspx?menuIndex=3&amp;refID=7056234&amp;Result=3","7056234")</f>
        <v>0</v>
      </c>
      <c r="B8399" t="s">
        <v>808</v>
      </c>
      <c r="C8399" t="s">
        <v>11501</v>
      </c>
      <c r="D8399" t="s">
        <v>18846</v>
      </c>
      <c r="E8399" t="s">
        <v>26231</v>
      </c>
      <c r="F8399" t="s">
        <v>32664</v>
      </c>
      <c r="G8399" t="s">
        <v>32672</v>
      </c>
      <c r="H8399" t="s">
        <v>12635</v>
      </c>
      <c r="I8399" t="s">
        <v>32717</v>
      </c>
      <c r="J8399" t="s">
        <v>32962</v>
      </c>
      <c r="K8399" t="s">
        <v>42281</v>
      </c>
      <c r="M8399" t="s">
        <v>45260</v>
      </c>
      <c r="N8399" t="s">
        <v>46569</v>
      </c>
      <c r="O8399" t="s">
        <v>46570</v>
      </c>
      <c r="P8399">
        <v>0</v>
      </c>
      <c r="Q8399">
        <v>6</v>
      </c>
      <c r="R8399" t="s">
        <v>46576</v>
      </c>
      <c r="S8399" t="s">
        <v>46749</v>
      </c>
      <c r="T8399" t="s">
        <v>48349</v>
      </c>
      <c r="U8399" t="s">
        <v>55638</v>
      </c>
      <c r="W8399" t="s">
        <v>45260</v>
      </c>
      <c r="X8399" t="s">
        <v>46577</v>
      </c>
    </row>
    <row r="8400" spans="1:24">
      <c r="A8400">
        <f>HYPERLINK("https://www.philgeps.gov.ph/GEPSNONPILOT/Tender/SplashBidNoticeAbstractUI.aspx?menuIndex=3&amp;refID=7056152&amp;Result=3","7056152")</f>
        <v>0</v>
      </c>
      <c r="B8400" t="s">
        <v>715</v>
      </c>
      <c r="C8400" t="s">
        <v>11502</v>
      </c>
      <c r="D8400" t="s">
        <v>18807</v>
      </c>
      <c r="E8400" t="s">
        <v>26232</v>
      </c>
      <c r="F8400" t="s">
        <v>32664</v>
      </c>
      <c r="G8400" t="s">
        <v>32672</v>
      </c>
      <c r="H8400" t="s">
        <v>32683</v>
      </c>
      <c r="I8400" t="s">
        <v>10627</v>
      </c>
      <c r="J8400" t="s">
        <v>37929</v>
      </c>
      <c r="K8400" t="s">
        <v>42290</v>
      </c>
      <c r="M8400" t="s">
        <v>43302</v>
      </c>
      <c r="N8400" t="s">
        <v>46569</v>
      </c>
      <c r="O8400" t="s">
        <v>46570</v>
      </c>
      <c r="P8400">
        <v>0</v>
      </c>
      <c r="Q8400">
        <v>0</v>
      </c>
      <c r="R8400" t="s">
        <v>46576</v>
      </c>
      <c r="S8400" t="s">
        <v>46749</v>
      </c>
      <c r="T8400" t="s">
        <v>48362</v>
      </c>
      <c r="U8400" t="s">
        <v>51958</v>
      </c>
      <c r="W8400" t="s">
        <v>43302</v>
      </c>
      <c r="X8400" t="s">
        <v>46577</v>
      </c>
    </row>
    <row r="8401" spans="1:24">
      <c r="A8401">
        <f>HYPERLINK("https://www.philgeps.gov.ph/GEPSNONPILOT/Tender/SplashBidNoticeAbstractUI.aspx?menuIndex=3&amp;refID=7056230&amp;Result=3","7056230")</f>
        <v>0</v>
      </c>
      <c r="B8401" t="s">
        <v>1543</v>
      </c>
      <c r="C8401" t="s">
        <v>11503</v>
      </c>
      <c r="D8401" t="s">
        <v>18784</v>
      </c>
      <c r="E8401" t="s">
        <v>26233</v>
      </c>
      <c r="F8401" t="s">
        <v>32664</v>
      </c>
      <c r="G8401" t="s">
        <v>32671</v>
      </c>
      <c r="H8401" t="s">
        <v>12635</v>
      </c>
      <c r="I8401" t="s">
        <v>6223</v>
      </c>
      <c r="J8401" t="s">
        <v>34977</v>
      </c>
      <c r="K8401" t="s">
        <v>42289</v>
      </c>
      <c r="M8401" t="s">
        <v>44212</v>
      </c>
      <c r="N8401" t="s">
        <v>46569</v>
      </c>
      <c r="O8401" t="s">
        <v>46570</v>
      </c>
      <c r="P8401">
        <v>0</v>
      </c>
      <c r="Q8401">
        <v>2</v>
      </c>
      <c r="R8401" t="s">
        <v>46576</v>
      </c>
      <c r="S8401" t="s">
        <v>46749</v>
      </c>
      <c r="T8401" t="s">
        <v>48473</v>
      </c>
      <c r="U8401" t="s">
        <v>55639</v>
      </c>
      <c r="V8401" t="s">
        <v>62058</v>
      </c>
      <c r="W8401" t="s">
        <v>44212</v>
      </c>
      <c r="X8401" t="s">
        <v>46577</v>
      </c>
    </row>
    <row r="8402" spans="1:24">
      <c r="A8402">
        <f>HYPERLINK("https://www.philgeps.gov.ph/GEPSNONPILOT/Tender/SplashBidNoticeAbstractUI.aspx?menuIndex=3&amp;refID=7056151&amp;Result=3","7056151")</f>
        <v>0</v>
      </c>
      <c r="B8402" t="s">
        <v>2474</v>
      </c>
      <c r="C8402" t="s">
        <v>11504</v>
      </c>
      <c r="D8402" t="s">
        <v>18781</v>
      </c>
      <c r="E8402" t="s">
        <v>26200</v>
      </c>
      <c r="F8402" t="s">
        <v>32664</v>
      </c>
      <c r="G8402" t="s">
        <v>32672</v>
      </c>
      <c r="H8402" t="s">
        <v>32683</v>
      </c>
      <c r="I8402" t="s">
        <v>10627</v>
      </c>
      <c r="J8402" t="s">
        <v>33951</v>
      </c>
      <c r="K8402" t="s">
        <v>42311</v>
      </c>
      <c r="M8402" t="s">
        <v>45274</v>
      </c>
      <c r="N8402" t="s">
        <v>46569</v>
      </c>
      <c r="O8402" t="s">
        <v>46570</v>
      </c>
      <c r="Q8402">
        <v>0</v>
      </c>
      <c r="R8402" t="s">
        <v>46576</v>
      </c>
      <c r="S8402" t="s">
        <v>46759</v>
      </c>
      <c r="T8402" t="s">
        <v>48360</v>
      </c>
      <c r="U8402" t="s">
        <v>55610</v>
      </c>
      <c r="V8402" t="s">
        <v>62460</v>
      </c>
      <c r="W8402" t="s">
        <v>45274</v>
      </c>
      <c r="X8402" t="s">
        <v>46577</v>
      </c>
    </row>
    <row r="8403" spans="1:24">
      <c r="A8403">
        <f>HYPERLINK("https://www.philgeps.gov.ph/GEPSNONPILOT/Tender/SplashBidNoticeAbstractUI.aspx?menuIndex=3&amp;refID=7056284&amp;Result=3","7056284")</f>
        <v>0</v>
      </c>
      <c r="B8403" t="s">
        <v>2485</v>
      </c>
      <c r="C8403" t="s">
        <v>11505</v>
      </c>
      <c r="D8403" t="s">
        <v>18837</v>
      </c>
      <c r="E8403" t="s">
        <v>26234</v>
      </c>
      <c r="F8403" t="s">
        <v>32664</v>
      </c>
      <c r="G8403" t="s">
        <v>32672</v>
      </c>
      <c r="H8403" t="s">
        <v>12635</v>
      </c>
      <c r="I8403" t="s">
        <v>4439</v>
      </c>
      <c r="J8403" t="s">
        <v>37930</v>
      </c>
      <c r="K8403" t="s">
        <v>42283</v>
      </c>
      <c r="M8403" t="s">
        <v>45285</v>
      </c>
      <c r="N8403" t="s">
        <v>46569</v>
      </c>
      <c r="O8403" t="s">
        <v>46570</v>
      </c>
      <c r="P8403">
        <v>0</v>
      </c>
      <c r="Q8403">
        <v>1</v>
      </c>
      <c r="R8403" t="s">
        <v>46576</v>
      </c>
      <c r="S8403" t="s">
        <v>46749</v>
      </c>
      <c r="T8403" t="s">
        <v>48244</v>
      </c>
      <c r="U8403" t="s">
        <v>55640</v>
      </c>
      <c r="W8403" t="s">
        <v>45285</v>
      </c>
      <c r="X8403" t="s">
        <v>46577</v>
      </c>
    </row>
    <row r="8404" spans="1:24">
      <c r="A8404">
        <f>HYPERLINK("https://www.philgeps.gov.ph/GEPSNONPILOT/Tender/SplashBidNoticeAbstractUI.aspx?menuIndex=3&amp;refID=7056166&amp;Result=3","7056166")</f>
        <v>0</v>
      </c>
      <c r="B8404" t="s">
        <v>2486</v>
      </c>
      <c r="C8404" t="s">
        <v>4439</v>
      </c>
      <c r="D8404" t="s">
        <v>18827</v>
      </c>
      <c r="E8404" t="s">
        <v>26235</v>
      </c>
      <c r="F8404" t="s">
        <v>32664</v>
      </c>
      <c r="G8404" t="s">
        <v>32672</v>
      </c>
      <c r="H8404" t="s">
        <v>12635</v>
      </c>
      <c r="I8404" t="s">
        <v>4439</v>
      </c>
      <c r="J8404" t="s">
        <v>32898</v>
      </c>
      <c r="K8404" t="s">
        <v>42284</v>
      </c>
      <c r="M8404" t="s">
        <v>45286</v>
      </c>
      <c r="N8404" t="s">
        <v>46569</v>
      </c>
      <c r="O8404" t="s">
        <v>46570</v>
      </c>
      <c r="P8404">
        <v>0</v>
      </c>
      <c r="Q8404">
        <v>1</v>
      </c>
      <c r="R8404" t="s">
        <v>46576</v>
      </c>
      <c r="S8404" t="s">
        <v>46749</v>
      </c>
      <c r="T8404" t="s">
        <v>48219</v>
      </c>
      <c r="U8404" t="s">
        <v>55641</v>
      </c>
      <c r="W8404" t="s">
        <v>45286</v>
      </c>
      <c r="X8404" t="s">
        <v>46577</v>
      </c>
    </row>
    <row r="8405" spans="1:24">
      <c r="A8405">
        <f>HYPERLINK("https://www.philgeps.gov.ph/GEPSNONPILOT/Tender/SplashBidNoticeAbstractUI.aspx?menuIndex=3&amp;refID=7056089&amp;Result=3","7056089")</f>
        <v>0</v>
      </c>
      <c r="B8405" t="s">
        <v>433</v>
      </c>
      <c r="C8405" t="s">
        <v>11506</v>
      </c>
      <c r="D8405" t="s">
        <v>18831</v>
      </c>
      <c r="E8405" t="s">
        <v>20732</v>
      </c>
      <c r="F8405" t="s">
        <v>32664</v>
      </c>
      <c r="G8405" t="s">
        <v>32672</v>
      </c>
      <c r="H8405" t="s">
        <v>32683</v>
      </c>
      <c r="I8405" t="s">
        <v>10627</v>
      </c>
      <c r="J8405" t="s">
        <v>37931</v>
      </c>
      <c r="K8405" t="s">
        <v>42298</v>
      </c>
      <c r="M8405" t="s">
        <v>43005</v>
      </c>
      <c r="N8405" t="s">
        <v>46569</v>
      </c>
      <c r="O8405" t="s">
        <v>46570</v>
      </c>
      <c r="P8405">
        <v>0</v>
      </c>
      <c r="Q8405">
        <v>0</v>
      </c>
      <c r="R8405" t="s">
        <v>46576</v>
      </c>
      <c r="S8405" t="s">
        <v>46749</v>
      </c>
      <c r="T8405" t="s">
        <v>48282</v>
      </c>
      <c r="U8405" t="s">
        <v>55642</v>
      </c>
      <c r="W8405" t="s">
        <v>43005</v>
      </c>
      <c r="X8405" t="s">
        <v>46577</v>
      </c>
    </row>
    <row r="8406" spans="1:24">
      <c r="A8406">
        <f>HYPERLINK("https://www.philgeps.gov.ph/GEPSNONPILOT/Tender/SplashBidNoticeAbstractUI.aspx?menuIndex=3&amp;refID=7056153&amp;Result=3","7056153")</f>
        <v>0</v>
      </c>
      <c r="B8406" t="s">
        <v>2478</v>
      </c>
      <c r="C8406" t="s">
        <v>11507</v>
      </c>
      <c r="D8406" t="s">
        <v>18826</v>
      </c>
      <c r="E8406" t="s">
        <v>26236</v>
      </c>
      <c r="F8406" t="s">
        <v>32664</v>
      </c>
      <c r="G8406" t="s">
        <v>32672</v>
      </c>
      <c r="H8406" t="s">
        <v>12635</v>
      </c>
      <c r="I8406" t="s">
        <v>4439</v>
      </c>
      <c r="J8406" t="s">
        <v>37932</v>
      </c>
      <c r="K8406" t="s">
        <v>42309</v>
      </c>
      <c r="M8406" t="s">
        <v>45278</v>
      </c>
      <c r="N8406" t="s">
        <v>46569</v>
      </c>
      <c r="O8406" t="s">
        <v>46570</v>
      </c>
      <c r="P8406">
        <v>0</v>
      </c>
      <c r="Q8406">
        <v>2</v>
      </c>
      <c r="R8406" t="s">
        <v>46576</v>
      </c>
      <c r="S8406" t="s">
        <v>46749</v>
      </c>
      <c r="T8406" t="s">
        <v>48217</v>
      </c>
      <c r="U8406" t="s">
        <v>55643</v>
      </c>
      <c r="W8406" t="s">
        <v>45278</v>
      </c>
      <c r="X8406" t="s">
        <v>46577</v>
      </c>
    </row>
    <row r="8407" spans="1:24">
      <c r="A8407">
        <f>HYPERLINK("https://www.philgeps.gov.ph/GEPSNONPILOT/Tender/SplashBidNoticeAbstractUI.aspx?menuIndex=3&amp;refID=7056147&amp;Result=3","7056147")</f>
        <v>0</v>
      </c>
      <c r="B8407" t="s">
        <v>2487</v>
      </c>
      <c r="C8407" t="s">
        <v>11508</v>
      </c>
      <c r="D8407" t="s">
        <v>18792</v>
      </c>
      <c r="E8407" t="s">
        <v>26237</v>
      </c>
      <c r="F8407" t="s">
        <v>32664</v>
      </c>
      <c r="G8407" t="s">
        <v>32672</v>
      </c>
      <c r="H8407" t="s">
        <v>12635</v>
      </c>
      <c r="I8407" t="s">
        <v>6628</v>
      </c>
      <c r="J8407" t="s">
        <v>37933</v>
      </c>
      <c r="K8407" t="s">
        <v>42281</v>
      </c>
      <c r="L8407" t="s">
        <v>2487</v>
      </c>
      <c r="M8407" t="s">
        <v>45287</v>
      </c>
      <c r="N8407" t="s">
        <v>46569</v>
      </c>
      <c r="O8407" t="s">
        <v>46570</v>
      </c>
      <c r="Q8407">
        <v>3</v>
      </c>
      <c r="R8407" t="s">
        <v>46576</v>
      </c>
      <c r="S8407" t="s">
        <v>46760</v>
      </c>
      <c r="T8407" t="s">
        <v>48246</v>
      </c>
      <c r="U8407" t="s">
        <v>55644</v>
      </c>
      <c r="V8407" t="s">
        <v>49832</v>
      </c>
      <c r="W8407" t="s">
        <v>45287</v>
      </c>
      <c r="X8407" t="s">
        <v>46577</v>
      </c>
    </row>
    <row r="8408" spans="1:24">
      <c r="A8408">
        <f>HYPERLINK("https://www.philgeps.gov.ph/GEPSNONPILOT/Tender/SplashBidNoticeAbstractUI.aspx?menuIndex=3&amp;refID=7056077&amp;Result=3","7056077")</f>
        <v>0</v>
      </c>
      <c r="B8408" t="s">
        <v>2446</v>
      </c>
      <c r="C8408" t="s">
        <v>11509</v>
      </c>
      <c r="D8408" t="s">
        <v>18838</v>
      </c>
      <c r="E8408" t="s">
        <v>26238</v>
      </c>
      <c r="F8408" t="s">
        <v>32664</v>
      </c>
      <c r="G8408" t="s">
        <v>32672</v>
      </c>
      <c r="H8408" t="s">
        <v>12635</v>
      </c>
      <c r="I8408" t="s">
        <v>32708</v>
      </c>
      <c r="J8408" t="s">
        <v>36097</v>
      </c>
      <c r="K8408" t="s">
        <v>42283</v>
      </c>
      <c r="M8408" t="s">
        <v>45239</v>
      </c>
      <c r="N8408" t="s">
        <v>46569</v>
      </c>
      <c r="O8408" t="s">
        <v>46570</v>
      </c>
      <c r="P8408">
        <v>0</v>
      </c>
      <c r="Q8408">
        <v>10</v>
      </c>
      <c r="R8408" t="s">
        <v>46576</v>
      </c>
      <c r="S8408" t="s">
        <v>46749</v>
      </c>
      <c r="T8408" t="s">
        <v>48618</v>
      </c>
      <c r="U8408" t="s">
        <v>55645</v>
      </c>
      <c r="V8408" t="s">
        <v>62461</v>
      </c>
      <c r="W8408" t="s">
        <v>45239</v>
      </c>
      <c r="X8408" t="s">
        <v>46577</v>
      </c>
    </row>
    <row r="8409" spans="1:24">
      <c r="A8409">
        <f>HYPERLINK("https://www.philgeps.gov.ph/GEPSNONPILOT/Tender/SplashBidNoticeAbstractUI.aspx?menuIndex=3&amp;refID=7056146&amp;Result=3","7056146")</f>
        <v>0</v>
      </c>
      <c r="B8409" t="s">
        <v>2132</v>
      </c>
      <c r="C8409" t="s">
        <v>11510</v>
      </c>
      <c r="D8409" t="s">
        <v>18831</v>
      </c>
      <c r="E8409" t="s">
        <v>26239</v>
      </c>
      <c r="F8409" t="s">
        <v>32664</v>
      </c>
      <c r="G8409" t="s">
        <v>32672</v>
      </c>
      <c r="H8409" t="s">
        <v>12635</v>
      </c>
      <c r="I8409" t="s">
        <v>4439</v>
      </c>
      <c r="J8409" t="s">
        <v>35510</v>
      </c>
      <c r="K8409" t="s">
        <v>42281</v>
      </c>
      <c r="M8409" t="s">
        <v>44887</v>
      </c>
      <c r="N8409" t="s">
        <v>46569</v>
      </c>
      <c r="O8409" t="s">
        <v>46570</v>
      </c>
      <c r="P8409">
        <v>0</v>
      </c>
      <c r="Q8409">
        <v>3</v>
      </c>
      <c r="R8409" t="s">
        <v>46576</v>
      </c>
      <c r="S8409" t="s">
        <v>46749</v>
      </c>
      <c r="T8409" t="s">
        <v>48213</v>
      </c>
      <c r="U8409" t="s">
        <v>55646</v>
      </c>
      <c r="W8409" t="s">
        <v>44887</v>
      </c>
      <c r="X8409" t="s">
        <v>46577</v>
      </c>
    </row>
    <row r="8410" spans="1:24">
      <c r="A8410">
        <f>HYPERLINK("https://www.philgeps.gov.ph/GEPSNONPILOT/Tender/SplashBidNoticeAbstractUI.aspx?menuIndex=3&amp;refID=7055792&amp;Result=3","7055792")</f>
        <v>0</v>
      </c>
      <c r="B8410" t="s">
        <v>2446</v>
      </c>
      <c r="C8410" t="s">
        <v>11511</v>
      </c>
      <c r="D8410" t="s">
        <v>18838</v>
      </c>
      <c r="E8410" t="s">
        <v>26240</v>
      </c>
      <c r="F8410" t="s">
        <v>32664</v>
      </c>
      <c r="G8410" t="s">
        <v>32672</v>
      </c>
      <c r="H8410" t="s">
        <v>12635</v>
      </c>
      <c r="I8410" t="s">
        <v>32712</v>
      </c>
      <c r="J8410" t="s">
        <v>37934</v>
      </c>
      <c r="K8410" t="s">
        <v>42283</v>
      </c>
      <c r="M8410" t="s">
        <v>45239</v>
      </c>
      <c r="N8410" t="s">
        <v>46569</v>
      </c>
      <c r="O8410" t="s">
        <v>46570</v>
      </c>
      <c r="P8410">
        <v>0</v>
      </c>
      <c r="Q8410">
        <v>21</v>
      </c>
      <c r="R8410" t="s">
        <v>46576</v>
      </c>
      <c r="S8410" t="s">
        <v>46749</v>
      </c>
      <c r="T8410" t="s">
        <v>48618</v>
      </c>
      <c r="U8410" t="s">
        <v>55647</v>
      </c>
      <c r="V8410" t="s">
        <v>62462</v>
      </c>
      <c r="W8410" t="s">
        <v>45239</v>
      </c>
      <c r="X8410" t="s">
        <v>46577</v>
      </c>
    </row>
    <row r="8411" spans="1:24">
      <c r="A8411">
        <f>HYPERLINK("https://www.philgeps.gov.ph/GEPSNONPILOT/Tender/SplashBidNoticeAbstractUI.aspx?menuIndex=3&amp;refID=7056074&amp;Result=3","7056074")</f>
        <v>0</v>
      </c>
      <c r="B8411" t="s">
        <v>2488</v>
      </c>
      <c r="C8411" t="s">
        <v>11512</v>
      </c>
      <c r="D8411" t="s">
        <v>18788</v>
      </c>
      <c r="E8411" t="s">
        <v>26241</v>
      </c>
      <c r="F8411" t="s">
        <v>32664</v>
      </c>
      <c r="G8411" t="s">
        <v>32672</v>
      </c>
      <c r="H8411" t="s">
        <v>12635</v>
      </c>
      <c r="I8411" t="s">
        <v>4439</v>
      </c>
      <c r="J8411" t="s">
        <v>34855</v>
      </c>
      <c r="K8411" t="s">
        <v>42330</v>
      </c>
      <c r="M8411" t="s">
        <v>45288</v>
      </c>
      <c r="N8411" t="s">
        <v>46569</v>
      </c>
      <c r="O8411" t="s">
        <v>46570</v>
      </c>
      <c r="P8411">
        <v>0</v>
      </c>
      <c r="Q8411">
        <v>0</v>
      </c>
      <c r="R8411" t="s">
        <v>46576</v>
      </c>
      <c r="S8411" t="s">
        <v>46749</v>
      </c>
      <c r="T8411" t="s">
        <v>48283</v>
      </c>
      <c r="U8411" t="s">
        <v>55648</v>
      </c>
      <c r="V8411" t="s">
        <v>62463</v>
      </c>
      <c r="W8411" t="s">
        <v>45288</v>
      </c>
      <c r="X8411" t="s">
        <v>46577</v>
      </c>
    </row>
    <row r="8412" spans="1:24">
      <c r="A8412">
        <f>HYPERLINK("https://www.philgeps.gov.ph/GEPSNONPILOT/Tender/SplashBidNoticeAbstractUI.aspx?menuIndex=3&amp;refID=7040212&amp;Result=3","7040212")</f>
        <v>0</v>
      </c>
      <c r="B8412" t="s">
        <v>1915</v>
      </c>
      <c r="C8412" t="s">
        <v>11513</v>
      </c>
      <c r="D8412" t="s">
        <v>18791</v>
      </c>
      <c r="E8412" t="s">
        <v>20248</v>
      </c>
      <c r="F8412" t="s">
        <v>32664</v>
      </c>
      <c r="G8412" t="s">
        <v>32672</v>
      </c>
      <c r="H8412" t="s">
        <v>12635</v>
      </c>
      <c r="I8412" t="s">
        <v>32684</v>
      </c>
      <c r="J8412" t="s">
        <v>37935</v>
      </c>
      <c r="K8412" t="s">
        <v>42281</v>
      </c>
      <c r="M8412" t="s">
        <v>44636</v>
      </c>
      <c r="N8412" t="s">
        <v>46569</v>
      </c>
      <c r="O8412" t="s">
        <v>46570</v>
      </c>
      <c r="P8412">
        <v>0</v>
      </c>
      <c r="Q8412">
        <v>4</v>
      </c>
      <c r="R8412" t="s">
        <v>46576</v>
      </c>
      <c r="S8412" t="s">
        <v>46749</v>
      </c>
      <c r="T8412" t="s">
        <v>48246</v>
      </c>
      <c r="U8412" t="s">
        <v>55649</v>
      </c>
      <c r="W8412" t="s">
        <v>44636</v>
      </c>
      <c r="X8412" t="s">
        <v>46586</v>
      </c>
    </row>
    <row r="8413" spans="1:24">
      <c r="A8413">
        <f>HYPERLINK("https://www.philgeps.gov.ph/GEPSNONPILOT/Tender/SplashBidNoticeAbstractUI.aspx?menuIndex=3&amp;refID=7039382&amp;Result=3","7039382")</f>
        <v>0</v>
      </c>
      <c r="B8413" t="s">
        <v>1915</v>
      </c>
      <c r="C8413" t="s">
        <v>11195</v>
      </c>
      <c r="D8413" t="s">
        <v>18791</v>
      </c>
      <c r="E8413" t="s">
        <v>19673</v>
      </c>
      <c r="F8413" t="s">
        <v>32664</v>
      </c>
      <c r="G8413" t="s">
        <v>32672</v>
      </c>
      <c r="H8413" t="s">
        <v>12635</v>
      </c>
      <c r="I8413" t="s">
        <v>32699</v>
      </c>
      <c r="J8413" t="s">
        <v>32853</v>
      </c>
      <c r="K8413" t="s">
        <v>42281</v>
      </c>
      <c r="M8413" t="s">
        <v>44636</v>
      </c>
      <c r="N8413" t="s">
        <v>46569</v>
      </c>
      <c r="O8413" t="s">
        <v>46570</v>
      </c>
      <c r="P8413">
        <v>0</v>
      </c>
      <c r="Q8413">
        <v>2</v>
      </c>
      <c r="R8413" t="s">
        <v>46576</v>
      </c>
      <c r="S8413" t="s">
        <v>46749</v>
      </c>
      <c r="T8413" t="s">
        <v>48249</v>
      </c>
      <c r="U8413" t="s">
        <v>55650</v>
      </c>
      <c r="W8413" t="s">
        <v>44636</v>
      </c>
      <c r="X8413" t="s">
        <v>46586</v>
      </c>
    </row>
    <row r="8414" spans="1:24">
      <c r="A8414">
        <f>HYPERLINK("https://www.philgeps.gov.ph/GEPSNONPILOT/Tender/SplashBidNoticeAbstractUI.aspx?menuIndex=3&amp;refID=7058503&amp;Result=3","7058503")</f>
        <v>0</v>
      </c>
      <c r="B8414" t="s">
        <v>1313</v>
      </c>
      <c r="C8414" t="s">
        <v>11514</v>
      </c>
      <c r="E8414" t="s">
        <v>26242</v>
      </c>
      <c r="F8414" t="s">
        <v>32664</v>
      </c>
      <c r="G8414" t="s">
        <v>32671</v>
      </c>
      <c r="H8414" t="s">
        <v>12635</v>
      </c>
      <c r="I8414" t="s">
        <v>32704</v>
      </c>
      <c r="J8414" t="s">
        <v>33651</v>
      </c>
      <c r="K8414" t="s">
        <v>42283</v>
      </c>
      <c r="M8414" t="s">
        <v>43960</v>
      </c>
      <c r="N8414" t="s">
        <v>46569</v>
      </c>
      <c r="O8414" t="s">
        <v>46570</v>
      </c>
      <c r="P8414">
        <v>0</v>
      </c>
      <c r="Q8414">
        <v>5</v>
      </c>
      <c r="R8414" t="s">
        <v>46575</v>
      </c>
      <c r="S8414" t="s">
        <v>46744</v>
      </c>
      <c r="T8414" t="s">
        <v>48562</v>
      </c>
      <c r="U8414" t="s">
        <v>55416</v>
      </c>
      <c r="W8414" t="s">
        <v>43960</v>
      </c>
      <c r="X8414" t="s">
        <v>46576</v>
      </c>
    </row>
    <row r="8415" spans="1:24">
      <c r="A8415">
        <f>HYPERLINK("https://www.philgeps.gov.ph/GEPSNONPILOT/Tender/SplashBidNoticeAbstractUI.aspx?menuIndex=3&amp;refID=7055801&amp;Result=3","7055801")</f>
        <v>0</v>
      </c>
      <c r="B8415" t="s">
        <v>565</v>
      </c>
      <c r="C8415" t="s">
        <v>11515</v>
      </c>
      <c r="E8415" t="s">
        <v>26243</v>
      </c>
      <c r="F8415" t="s">
        <v>32664</v>
      </c>
      <c r="G8415" t="s">
        <v>32672</v>
      </c>
      <c r="H8415" t="s">
        <v>12635</v>
      </c>
      <c r="I8415" t="s">
        <v>32708</v>
      </c>
      <c r="J8415" t="s">
        <v>32937</v>
      </c>
      <c r="K8415" t="s">
        <v>42283</v>
      </c>
      <c r="M8415" t="s">
        <v>43145</v>
      </c>
      <c r="N8415" t="s">
        <v>46569</v>
      </c>
      <c r="O8415" t="s">
        <v>46570</v>
      </c>
      <c r="P8415">
        <v>0</v>
      </c>
      <c r="Q8415">
        <v>3</v>
      </c>
      <c r="R8415" t="s">
        <v>46576</v>
      </c>
      <c r="S8415" t="s">
        <v>46749</v>
      </c>
      <c r="T8415" t="s">
        <v>48293</v>
      </c>
      <c r="U8415" t="s">
        <v>53837</v>
      </c>
      <c r="W8415" t="s">
        <v>43145</v>
      </c>
      <c r="X8415" t="s">
        <v>46577</v>
      </c>
    </row>
    <row r="8416" spans="1:24">
      <c r="A8416">
        <f>HYPERLINK("https://www.philgeps.gov.ph/GEPSNONPILOT/Tender/SplashBidNoticeAbstractUI.aspx?menuIndex=3&amp;refID=7058500&amp;Result=3","7058500")</f>
        <v>0</v>
      </c>
      <c r="B8416" t="s">
        <v>1313</v>
      </c>
      <c r="C8416" t="s">
        <v>11516</v>
      </c>
      <c r="E8416" t="s">
        <v>26244</v>
      </c>
      <c r="F8416" t="s">
        <v>32664</v>
      </c>
      <c r="G8416" t="s">
        <v>32671</v>
      </c>
      <c r="H8416" t="s">
        <v>12635</v>
      </c>
      <c r="I8416" t="s">
        <v>32704</v>
      </c>
      <c r="J8416" t="s">
        <v>34013</v>
      </c>
      <c r="K8416" t="s">
        <v>42283</v>
      </c>
      <c r="M8416" t="s">
        <v>43960</v>
      </c>
      <c r="N8416" t="s">
        <v>46569</v>
      </c>
      <c r="O8416" t="s">
        <v>46570</v>
      </c>
      <c r="P8416">
        <v>0</v>
      </c>
      <c r="Q8416">
        <v>5</v>
      </c>
      <c r="R8416" t="s">
        <v>46575</v>
      </c>
      <c r="S8416" t="s">
        <v>46744</v>
      </c>
      <c r="T8416" t="s">
        <v>48562</v>
      </c>
      <c r="U8416" t="s">
        <v>55416</v>
      </c>
      <c r="W8416" t="s">
        <v>43960</v>
      </c>
      <c r="X8416" t="s">
        <v>46576</v>
      </c>
    </row>
    <row r="8417" spans="1:24">
      <c r="A8417">
        <f>HYPERLINK("https://www.philgeps.gov.ph/GEPSNONPILOT/Tender/SplashBidNoticeAbstractUI.aspx?menuIndex=3&amp;refID=7058497&amp;Result=3","7058497")</f>
        <v>0</v>
      </c>
      <c r="B8417" t="s">
        <v>1313</v>
      </c>
      <c r="C8417" t="s">
        <v>11517</v>
      </c>
      <c r="E8417" t="s">
        <v>26245</v>
      </c>
      <c r="F8417" t="s">
        <v>32664</v>
      </c>
      <c r="G8417" t="s">
        <v>32671</v>
      </c>
      <c r="H8417" t="s">
        <v>12635</v>
      </c>
      <c r="I8417" t="s">
        <v>10370</v>
      </c>
      <c r="J8417" t="s">
        <v>33126</v>
      </c>
      <c r="K8417" t="s">
        <v>42283</v>
      </c>
      <c r="M8417" t="s">
        <v>43960</v>
      </c>
      <c r="N8417" t="s">
        <v>46569</v>
      </c>
      <c r="O8417" t="s">
        <v>46570</v>
      </c>
      <c r="P8417">
        <v>0</v>
      </c>
      <c r="Q8417">
        <v>4</v>
      </c>
      <c r="R8417" t="s">
        <v>46575</v>
      </c>
      <c r="S8417" t="s">
        <v>46744</v>
      </c>
      <c r="T8417" t="s">
        <v>48562</v>
      </c>
      <c r="U8417" t="s">
        <v>55416</v>
      </c>
      <c r="W8417" t="s">
        <v>43960</v>
      </c>
      <c r="X8417" t="s">
        <v>46576</v>
      </c>
    </row>
    <row r="8418" spans="1:24">
      <c r="A8418">
        <f>HYPERLINK("https://www.philgeps.gov.ph/GEPSNONPILOT/Tender/SplashBidNoticeAbstractUI.aspx?menuIndex=3&amp;refID=7058492&amp;Result=3","7058492")</f>
        <v>0</v>
      </c>
      <c r="B8418" t="s">
        <v>2346</v>
      </c>
      <c r="C8418" t="s">
        <v>11518</v>
      </c>
      <c r="D8418" t="s">
        <v>18846</v>
      </c>
      <c r="E8418" t="s">
        <v>26246</v>
      </c>
      <c r="F8418" t="s">
        <v>32664</v>
      </c>
      <c r="G8418" t="s">
        <v>32672</v>
      </c>
      <c r="H8418" t="s">
        <v>12635</v>
      </c>
      <c r="I8418" t="s">
        <v>11464</v>
      </c>
      <c r="J8418" t="s">
        <v>33302</v>
      </c>
      <c r="K8418" t="s">
        <v>42298</v>
      </c>
      <c r="M8418" t="s">
        <v>45128</v>
      </c>
      <c r="N8418" t="s">
        <v>46569</v>
      </c>
      <c r="O8418" t="s">
        <v>46570</v>
      </c>
      <c r="P8418">
        <v>0</v>
      </c>
      <c r="Q8418">
        <v>4</v>
      </c>
      <c r="R8418" t="s">
        <v>46575</v>
      </c>
      <c r="S8418" t="s">
        <v>46744</v>
      </c>
      <c r="T8418" t="s">
        <v>48412</v>
      </c>
      <c r="U8418" t="s">
        <v>55651</v>
      </c>
      <c r="W8418" t="s">
        <v>45128</v>
      </c>
      <c r="X8418" t="s">
        <v>46576</v>
      </c>
    </row>
    <row r="8419" spans="1:24">
      <c r="A8419">
        <f>HYPERLINK("https://www.philgeps.gov.ph/GEPSNONPILOT/Tender/SplashBidNoticeAbstractUI.aspx?menuIndex=3&amp;refID=7056087&amp;Result=3","7056087")</f>
        <v>0</v>
      </c>
      <c r="B8419" t="s">
        <v>69</v>
      </c>
      <c r="C8419" t="s">
        <v>11519</v>
      </c>
      <c r="D8419" t="s">
        <v>18784</v>
      </c>
      <c r="E8419" t="s">
        <v>26247</v>
      </c>
      <c r="F8419" t="s">
        <v>32664</v>
      </c>
      <c r="G8419" t="s">
        <v>32671</v>
      </c>
      <c r="H8419" t="s">
        <v>12635</v>
      </c>
      <c r="I8419" t="s">
        <v>5589</v>
      </c>
      <c r="J8419" t="s">
        <v>37936</v>
      </c>
      <c r="K8419" t="s">
        <v>42289</v>
      </c>
      <c r="M8419" t="s">
        <v>43455</v>
      </c>
      <c r="N8419" t="s">
        <v>46569</v>
      </c>
      <c r="O8419" t="s">
        <v>46570</v>
      </c>
      <c r="P8419">
        <v>0</v>
      </c>
      <c r="Q8419">
        <v>18</v>
      </c>
      <c r="R8419" t="s">
        <v>46576</v>
      </c>
      <c r="S8419" t="s">
        <v>46749</v>
      </c>
      <c r="T8419" t="s">
        <v>48562</v>
      </c>
      <c r="U8419" t="s">
        <v>54915</v>
      </c>
      <c r="W8419" t="s">
        <v>43455</v>
      </c>
      <c r="X8419" t="s">
        <v>46577</v>
      </c>
    </row>
    <row r="8420" spans="1:24">
      <c r="A8420">
        <f>HYPERLINK("https://www.philgeps.gov.ph/GEPSNONPILOT/Tender/SplashBidNoticeAbstractUI.aspx?menuIndex=3&amp;refID=7038986&amp;Result=3","7038986")</f>
        <v>0</v>
      </c>
      <c r="B8420" t="s">
        <v>113</v>
      </c>
      <c r="C8420" t="s">
        <v>11520</v>
      </c>
      <c r="D8420" t="s">
        <v>18801</v>
      </c>
      <c r="E8420" t="s">
        <v>26248</v>
      </c>
      <c r="F8420" t="s">
        <v>32664</v>
      </c>
      <c r="G8420" t="s">
        <v>32674</v>
      </c>
      <c r="H8420" t="s">
        <v>12635</v>
      </c>
      <c r="I8420" t="s">
        <v>32690</v>
      </c>
      <c r="J8420" t="s">
        <v>37937</v>
      </c>
      <c r="K8420" t="s">
        <v>42303</v>
      </c>
      <c r="M8420" t="s">
        <v>42677</v>
      </c>
      <c r="N8420" t="s">
        <v>46569</v>
      </c>
      <c r="O8420" t="s">
        <v>46570</v>
      </c>
      <c r="P8420">
        <v>0</v>
      </c>
      <c r="Q8420">
        <v>6</v>
      </c>
      <c r="R8420" t="s">
        <v>46576</v>
      </c>
      <c r="S8420" t="s">
        <v>46749</v>
      </c>
      <c r="T8420" t="s">
        <v>48473</v>
      </c>
      <c r="U8420" t="s">
        <v>55652</v>
      </c>
      <c r="W8420" t="s">
        <v>42677</v>
      </c>
      <c r="X8420" t="s">
        <v>46586</v>
      </c>
    </row>
    <row r="8421" spans="1:24">
      <c r="A8421">
        <f>HYPERLINK("https://www.philgeps.gov.ph/GEPSNONPILOT/Tender/SplashBidNoticeAbstractUI.aspx?menuIndex=3&amp;refID=7056075&amp;Result=3","7056075")</f>
        <v>0</v>
      </c>
      <c r="B8421" t="s">
        <v>1994</v>
      </c>
      <c r="C8421" t="s">
        <v>11521</v>
      </c>
      <c r="D8421" t="s">
        <v>18784</v>
      </c>
      <c r="E8421" t="s">
        <v>26249</v>
      </c>
      <c r="F8421" t="s">
        <v>32664</v>
      </c>
      <c r="G8421" t="s">
        <v>32671</v>
      </c>
      <c r="H8421" t="s">
        <v>12635</v>
      </c>
      <c r="I8421" t="s">
        <v>8797</v>
      </c>
      <c r="J8421" t="s">
        <v>33345</v>
      </c>
      <c r="K8421" t="s">
        <v>42283</v>
      </c>
      <c r="M8421" t="s">
        <v>44729</v>
      </c>
      <c r="N8421" t="s">
        <v>46569</v>
      </c>
      <c r="O8421" t="s">
        <v>46570</v>
      </c>
      <c r="P8421">
        <v>0</v>
      </c>
      <c r="Q8421">
        <v>15</v>
      </c>
      <c r="R8421" t="s">
        <v>46576</v>
      </c>
      <c r="S8421" t="s">
        <v>46749</v>
      </c>
      <c r="T8421" t="s">
        <v>48473</v>
      </c>
      <c r="U8421" t="s">
        <v>53776</v>
      </c>
      <c r="W8421" t="s">
        <v>46084</v>
      </c>
      <c r="X8421" t="s">
        <v>46577</v>
      </c>
    </row>
    <row r="8422" spans="1:24">
      <c r="A8422">
        <f>HYPERLINK("https://www.philgeps.gov.ph/GEPSNONPILOT/Tender/SplashBidNoticeAbstractUI.aspx?menuIndex=3&amp;refID=7056177&amp;Result=3","7056177")</f>
        <v>0</v>
      </c>
      <c r="B8422" t="s">
        <v>2474</v>
      </c>
      <c r="C8422" t="s">
        <v>11522</v>
      </c>
      <c r="D8422" t="s">
        <v>18781</v>
      </c>
      <c r="E8422" t="s">
        <v>26200</v>
      </c>
      <c r="F8422" t="s">
        <v>32664</v>
      </c>
      <c r="G8422" t="s">
        <v>32672</v>
      </c>
      <c r="H8422" t="s">
        <v>32683</v>
      </c>
      <c r="I8422" t="s">
        <v>10627</v>
      </c>
      <c r="J8422" t="s">
        <v>37938</v>
      </c>
      <c r="K8422" t="s">
        <v>42290</v>
      </c>
      <c r="M8422" t="s">
        <v>45274</v>
      </c>
      <c r="N8422" t="s">
        <v>46569</v>
      </c>
      <c r="O8422" t="s">
        <v>46570</v>
      </c>
      <c r="Q8422">
        <v>0</v>
      </c>
      <c r="R8422" t="s">
        <v>46576</v>
      </c>
      <c r="S8422" t="s">
        <v>46761</v>
      </c>
      <c r="T8422" t="s">
        <v>48360</v>
      </c>
      <c r="U8422" t="s">
        <v>55610</v>
      </c>
      <c r="V8422" t="s">
        <v>62464</v>
      </c>
      <c r="W8422" t="s">
        <v>45274</v>
      </c>
      <c r="X8422" t="s">
        <v>46577</v>
      </c>
    </row>
    <row r="8423" spans="1:24">
      <c r="A8423">
        <f>HYPERLINK("https://www.philgeps.gov.ph/GEPSNONPILOT/Tender/SplashBidNoticeAbstractUI.aspx?menuIndex=3&amp;refID=7056351&amp;Result=3","7056351")</f>
        <v>0</v>
      </c>
      <c r="B8423" t="s">
        <v>2446</v>
      </c>
      <c r="C8423" t="s">
        <v>11523</v>
      </c>
      <c r="D8423" t="s">
        <v>18838</v>
      </c>
      <c r="E8423" t="s">
        <v>26250</v>
      </c>
      <c r="F8423" t="s">
        <v>32664</v>
      </c>
      <c r="G8423" t="s">
        <v>32672</v>
      </c>
      <c r="H8423" t="s">
        <v>12635</v>
      </c>
      <c r="I8423" t="s">
        <v>32708</v>
      </c>
      <c r="J8423" t="s">
        <v>32837</v>
      </c>
      <c r="K8423" t="s">
        <v>42283</v>
      </c>
      <c r="M8423" t="s">
        <v>45239</v>
      </c>
      <c r="N8423" t="s">
        <v>46569</v>
      </c>
      <c r="O8423" t="s">
        <v>46570</v>
      </c>
      <c r="P8423">
        <v>0</v>
      </c>
      <c r="Q8423">
        <v>14</v>
      </c>
      <c r="R8423" t="s">
        <v>46576</v>
      </c>
      <c r="S8423" t="s">
        <v>46749</v>
      </c>
      <c r="T8423" t="s">
        <v>48617</v>
      </c>
      <c r="U8423" t="s">
        <v>55653</v>
      </c>
      <c r="V8423" t="s">
        <v>62465</v>
      </c>
      <c r="W8423" t="s">
        <v>45239</v>
      </c>
      <c r="X8423" t="s">
        <v>46577</v>
      </c>
    </row>
    <row r="8424" spans="1:24">
      <c r="A8424">
        <f>HYPERLINK("https://www.philgeps.gov.ph/GEPSNONPILOT/Tender/SplashBidNoticeAbstractUI.aspx?menuIndex=3&amp;refID=7056347&amp;Result=3","7056347")</f>
        <v>0</v>
      </c>
      <c r="B8424" t="s">
        <v>2474</v>
      </c>
      <c r="C8424" t="s">
        <v>11524</v>
      </c>
      <c r="D8424" t="s">
        <v>18781</v>
      </c>
      <c r="E8424" t="s">
        <v>26200</v>
      </c>
      <c r="F8424" t="s">
        <v>32664</v>
      </c>
      <c r="G8424" t="s">
        <v>32672</v>
      </c>
      <c r="H8424" t="s">
        <v>32683</v>
      </c>
      <c r="I8424" t="s">
        <v>10627</v>
      </c>
      <c r="J8424" t="s">
        <v>32981</v>
      </c>
      <c r="K8424" t="s">
        <v>42290</v>
      </c>
      <c r="M8424" t="s">
        <v>45274</v>
      </c>
      <c r="N8424" t="s">
        <v>46569</v>
      </c>
      <c r="O8424" t="s">
        <v>46570</v>
      </c>
      <c r="Q8424">
        <v>0</v>
      </c>
      <c r="R8424" t="s">
        <v>46576</v>
      </c>
      <c r="S8424" t="s">
        <v>46762</v>
      </c>
      <c r="T8424" t="s">
        <v>48360</v>
      </c>
      <c r="U8424" t="s">
        <v>55610</v>
      </c>
      <c r="V8424" t="s">
        <v>62466</v>
      </c>
      <c r="W8424" t="s">
        <v>45274</v>
      </c>
      <c r="X8424" t="s">
        <v>46577</v>
      </c>
    </row>
    <row r="8425" spans="1:24">
      <c r="A8425">
        <f>HYPERLINK("https://www.philgeps.gov.ph/GEPSNONPILOT/Tender/SplashBidNoticeAbstractUI.aspx?menuIndex=3&amp;refID=7056180&amp;Result=3","7056180")</f>
        <v>0</v>
      </c>
      <c r="B8425" t="s">
        <v>1150</v>
      </c>
      <c r="C8425" t="s">
        <v>6396</v>
      </c>
      <c r="D8425" t="s">
        <v>18845</v>
      </c>
      <c r="E8425" t="s">
        <v>26251</v>
      </c>
      <c r="F8425" t="s">
        <v>32664</v>
      </c>
      <c r="G8425" t="s">
        <v>32671</v>
      </c>
      <c r="H8425" t="s">
        <v>12635</v>
      </c>
      <c r="I8425" t="s">
        <v>4439</v>
      </c>
      <c r="J8425" t="s">
        <v>32984</v>
      </c>
      <c r="K8425" t="s">
        <v>42283</v>
      </c>
      <c r="M8425" t="s">
        <v>43781</v>
      </c>
      <c r="N8425" t="s">
        <v>46569</v>
      </c>
      <c r="O8425" t="s">
        <v>46570</v>
      </c>
      <c r="P8425">
        <v>0</v>
      </c>
      <c r="Q8425">
        <v>0</v>
      </c>
      <c r="R8425" t="s">
        <v>46576</v>
      </c>
      <c r="S8425" t="s">
        <v>46749</v>
      </c>
      <c r="T8425" t="s">
        <v>48290</v>
      </c>
      <c r="U8425" t="s">
        <v>55654</v>
      </c>
      <c r="W8425" t="s">
        <v>43781</v>
      </c>
      <c r="X8425" t="s">
        <v>46577</v>
      </c>
    </row>
    <row r="8426" spans="1:24">
      <c r="A8426">
        <f>HYPERLINK("https://www.philgeps.gov.ph/GEPSNONPILOT/Tender/SplashBidNoticeAbstractUI.aspx?menuIndex=3&amp;refID=7056359&amp;Result=3","7056359")</f>
        <v>0</v>
      </c>
      <c r="B8426" t="s">
        <v>2489</v>
      </c>
      <c r="C8426" t="s">
        <v>11525</v>
      </c>
      <c r="D8426" t="s">
        <v>18806</v>
      </c>
      <c r="E8426" t="s">
        <v>19380</v>
      </c>
      <c r="F8426" t="s">
        <v>32664</v>
      </c>
      <c r="G8426" t="s">
        <v>32672</v>
      </c>
      <c r="H8426" t="s">
        <v>32683</v>
      </c>
      <c r="I8426" t="s">
        <v>10627</v>
      </c>
      <c r="J8426" t="s">
        <v>32859</v>
      </c>
      <c r="K8426" t="s">
        <v>42298</v>
      </c>
      <c r="M8426" t="s">
        <v>45289</v>
      </c>
      <c r="N8426" t="s">
        <v>46569</v>
      </c>
      <c r="O8426" t="s">
        <v>46570</v>
      </c>
      <c r="P8426">
        <v>0</v>
      </c>
      <c r="Q8426">
        <v>0</v>
      </c>
      <c r="R8426" t="s">
        <v>46576</v>
      </c>
      <c r="S8426" t="s">
        <v>46749</v>
      </c>
      <c r="T8426" t="s">
        <v>48246</v>
      </c>
      <c r="U8426" t="s">
        <v>55655</v>
      </c>
      <c r="W8426" t="s">
        <v>45289</v>
      </c>
      <c r="X8426" t="s">
        <v>46577</v>
      </c>
    </row>
    <row r="8427" spans="1:24">
      <c r="A8427">
        <f>HYPERLINK("https://www.philgeps.gov.ph/GEPSNONPILOT/Tender/SplashBidNoticeAbstractUI.aspx?menuIndex=3&amp;refID=7056329&amp;Result=3","7056329")</f>
        <v>0</v>
      </c>
      <c r="B8427" t="s">
        <v>2059</v>
      </c>
      <c r="C8427" t="s">
        <v>11526</v>
      </c>
      <c r="D8427" t="s">
        <v>18806</v>
      </c>
      <c r="E8427" t="s">
        <v>19304</v>
      </c>
      <c r="F8427" t="s">
        <v>32664</v>
      </c>
      <c r="G8427" t="s">
        <v>32672</v>
      </c>
      <c r="H8427" t="s">
        <v>12635</v>
      </c>
      <c r="I8427" t="s">
        <v>8730</v>
      </c>
      <c r="J8427" t="s">
        <v>37939</v>
      </c>
      <c r="K8427" t="s">
        <v>42298</v>
      </c>
      <c r="M8427" t="s">
        <v>44808</v>
      </c>
      <c r="N8427" t="s">
        <v>46569</v>
      </c>
      <c r="O8427" t="s">
        <v>46570</v>
      </c>
      <c r="P8427">
        <v>0</v>
      </c>
      <c r="Q8427">
        <v>3</v>
      </c>
      <c r="R8427" t="s">
        <v>46576</v>
      </c>
      <c r="S8427" t="s">
        <v>46749</v>
      </c>
      <c r="T8427" t="s">
        <v>48219</v>
      </c>
      <c r="U8427" t="s">
        <v>55655</v>
      </c>
      <c r="W8427" t="s">
        <v>44808</v>
      </c>
      <c r="X8427" t="s">
        <v>46577</v>
      </c>
    </row>
    <row r="8428" spans="1:24">
      <c r="A8428">
        <f>HYPERLINK("https://www.philgeps.gov.ph/GEPSNONPILOT/Tender/SplashBidNoticeAbstractUI.aspx?menuIndex=3&amp;refID=7056356&amp;Result=3","7056356")</f>
        <v>0</v>
      </c>
      <c r="B8428" t="s">
        <v>2469</v>
      </c>
      <c r="C8428" t="s">
        <v>11527</v>
      </c>
      <c r="D8428" t="s">
        <v>18801</v>
      </c>
      <c r="E8428" t="s">
        <v>26252</v>
      </c>
      <c r="F8428" t="s">
        <v>32664</v>
      </c>
      <c r="G8428" t="s">
        <v>32672</v>
      </c>
      <c r="H8428" t="s">
        <v>12635</v>
      </c>
      <c r="I8428" t="s">
        <v>5589</v>
      </c>
      <c r="J8428" t="s">
        <v>37940</v>
      </c>
      <c r="K8428" t="s">
        <v>42281</v>
      </c>
      <c r="M8428" t="s">
        <v>45290</v>
      </c>
      <c r="N8428" t="s">
        <v>46569</v>
      </c>
      <c r="O8428" t="s">
        <v>46570</v>
      </c>
      <c r="P8428">
        <v>0</v>
      </c>
      <c r="Q8428">
        <v>4</v>
      </c>
      <c r="R8428" t="s">
        <v>46576</v>
      </c>
      <c r="S8428" t="s">
        <v>46749</v>
      </c>
      <c r="T8428" t="s">
        <v>48273</v>
      </c>
      <c r="U8428" t="s">
        <v>55574</v>
      </c>
      <c r="V8428" t="s">
        <v>62260</v>
      </c>
      <c r="W8428" t="s">
        <v>63561</v>
      </c>
      <c r="X8428" t="s">
        <v>46577</v>
      </c>
    </row>
    <row r="8429" spans="1:24">
      <c r="A8429">
        <f>HYPERLINK("https://www.philgeps.gov.ph/GEPSNONPILOT/Tender/SplashBidNoticeAbstractUI.aspx?menuIndex=3&amp;refID=7056324&amp;Result=3","7056324")</f>
        <v>0</v>
      </c>
      <c r="B8429" t="s">
        <v>847</v>
      </c>
      <c r="C8429" t="s">
        <v>11528</v>
      </c>
      <c r="D8429" t="s">
        <v>18784</v>
      </c>
      <c r="E8429" t="s">
        <v>26253</v>
      </c>
      <c r="F8429" t="s">
        <v>32664</v>
      </c>
      <c r="G8429" t="s">
        <v>32671</v>
      </c>
      <c r="H8429" t="s">
        <v>12635</v>
      </c>
      <c r="I8429" t="s">
        <v>32769</v>
      </c>
      <c r="J8429" t="s">
        <v>37941</v>
      </c>
      <c r="K8429" t="s">
        <v>42281</v>
      </c>
      <c r="M8429" t="s">
        <v>43443</v>
      </c>
      <c r="N8429" t="s">
        <v>46569</v>
      </c>
      <c r="O8429" t="s">
        <v>46570</v>
      </c>
      <c r="P8429">
        <v>0</v>
      </c>
      <c r="Q8429">
        <v>1</v>
      </c>
      <c r="R8429" t="s">
        <v>46576</v>
      </c>
      <c r="S8429" t="s">
        <v>46749</v>
      </c>
      <c r="T8429" t="s">
        <v>48307</v>
      </c>
      <c r="U8429" t="s">
        <v>55656</v>
      </c>
      <c r="V8429" t="s">
        <v>62467</v>
      </c>
      <c r="W8429" t="s">
        <v>43443</v>
      </c>
      <c r="X8429" t="s">
        <v>46577</v>
      </c>
    </row>
    <row r="8430" spans="1:24">
      <c r="A8430">
        <f>HYPERLINK("https://www.philgeps.gov.ph/GEPSNONPILOT/Tender/SplashBidNoticeAbstractUI.aspx?menuIndex=3&amp;refID=7056328&amp;Result=3","7056328")</f>
        <v>0</v>
      </c>
      <c r="B8430" t="s">
        <v>2474</v>
      </c>
      <c r="C8430" t="s">
        <v>11529</v>
      </c>
      <c r="D8430" t="s">
        <v>18781</v>
      </c>
      <c r="E8430" t="s">
        <v>26200</v>
      </c>
      <c r="F8430" t="s">
        <v>32664</v>
      </c>
      <c r="G8430" t="s">
        <v>32672</v>
      </c>
      <c r="H8430" t="s">
        <v>32683</v>
      </c>
      <c r="I8430" t="s">
        <v>10627</v>
      </c>
      <c r="J8430" t="s">
        <v>37942</v>
      </c>
      <c r="K8430" t="s">
        <v>42311</v>
      </c>
      <c r="M8430" t="s">
        <v>45274</v>
      </c>
      <c r="N8430" t="s">
        <v>46569</v>
      </c>
      <c r="O8430" t="s">
        <v>46570</v>
      </c>
      <c r="Q8430">
        <v>0</v>
      </c>
      <c r="R8430" t="s">
        <v>46576</v>
      </c>
      <c r="S8430" t="s">
        <v>46763</v>
      </c>
      <c r="T8430" t="s">
        <v>48360</v>
      </c>
      <c r="U8430" t="s">
        <v>55610</v>
      </c>
      <c r="V8430" t="s">
        <v>62468</v>
      </c>
      <c r="W8430" t="s">
        <v>45274</v>
      </c>
      <c r="X8430" t="s">
        <v>46577</v>
      </c>
    </row>
    <row r="8431" spans="1:24">
      <c r="A8431">
        <f>HYPERLINK("https://www.philgeps.gov.ph/GEPSNONPILOT/Tender/SplashBidNoticeAbstractUI.aspx?menuIndex=3&amp;refID=7056323&amp;Result=3","7056323")</f>
        <v>0</v>
      </c>
      <c r="B8431" t="s">
        <v>2446</v>
      </c>
      <c r="C8431" t="s">
        <v>11530</v>
      </c>
      <c r="D8431" t="s">
        <v>18838</v>
      </c>
      <c r="E8431" t="s">
        <v>26254</v>
      </c>
      <c r="F8431" t="s">
        <v>32664</v>
      </c>
      <c r="G8431" t="s">
        <v>32672</v>
      </c>
      <c r="H8431" t="s">
        <v>12635</v>
      </c>
      <c r="I8431" t="s">
        <v>32712</v>
      </c>
      <c r="J8431" t="s">
        <v>33743</v>
      </c>
      <c r="K8431" t="s">
        <v>42283</v>
      </c>
      <c r="M8431" t="s">
        <v>45239</v>
      </c>
      <c r="N8431" t="s">
        <v>46569</v>
      </c>
      <c r="O8431" t="s">
        <v>46570</v>
      </c>
      <c r="P8431">
        <v>0</v>
      </c>
      <c r="Q8431">
        <v>20</v>
      </c>
      <c r="R8431" t="s">
        <v>46576</v>
      </c>
      <c r="S8431" t="s">
        <v>46749</v>
      </c>
      <c r="T8431" t="s">
        <v>48618</v>
      </c>
      <c r="U8431" t="s">
        <v>55657</v>
      </c>
      <c r="V8431" t="s">
        <v>62469</v>
      </c>
      <c r="W8431" t="s">
        <v>45239</v>
      </c>
      <c r="X8431" t="s">
        <v>46577</v>
      </c>
    </row>
    <row r="8432" spans="1:24">
      <c r="A8432">
        <f>HYPERLINK("https://www.philgeps.gov.ph/GEPSNONPILOT/Tender/SplashBidNoticeAbstractUI.aspx?menuIndex=3&amp;refID=7058504&amp;Result=3","7058504")</f>
        <v>0</v>
      </c>
      <c r="B8432" t="s">
        <v>1313</v>
      </c>
      <c r="C8432" t="s">
        <v>11531</v>
      </c>
      <c r="E8432" t="s">
        <v>26255</v>
      </c>
      <c r="F8432" t="s">
        <v>32664</v>
      </c>
      <c r="G8432" t="s">
        <v>32671</v>
      </c>
      <c r="H8432" t="s">
        <v>12635</v>
      </c>
      <c r="I8432" t="s">
        <v>32704</v>
      </c>
      <c r="J8432" t="s">
        <v>37943</v>
      </c>
      <c r="K8432" t="s">
        <v>42283</v>
      </c>
      <c r="M8432" t="s">
        <v>43960</v>
      </c>
      <c r="N8432" t="s">
        <v>46569</v>
      </c>
      <c r="O8432" t="s">
        <v>46570</v>
      </c>
      <c r="P8432">
        <v>0</v>
      </c>
      <c r="Q8432">
        <v>8</v>
      </c>
      <c r="R8432" t="s">
        <v>46575</v>
      </c>
      <c r="S8432" t="s">
        <v>46744</v>
      </c>
      <c r="T8432" t="s">
        <v>48562</v>
      </c>
      <c r="U8432" t="s">
        <v>55416</v>
      </c>
      <c r="W8432" t="s">
        <v>43960</v>
      </c>
      <c r="X8432" t="s">
        <v>46576</v>
      </c>
    </row>
    <row r="8433" spans="1:24">
      <c r="A8433">
        <f>HYPERLINK("https://www.philgeps.gov.ph/GEPSNONPILOT/Tender/SplashBidNoticeAbstractUI.aspx?menuIndex=3&amp;refID=7056369&amp;Result=3","7056369")</f>
        <v>0</v>
      </c>
      <c r="B8433" t="s">
        <v>2490</v>
      </c>
      <c r="C8433" t="s">
        <v>11532</v>
      </c>
      <c r="D8433" t="s">
        <v>18792</v>
      </c>
      <c r="E8433" t="s">
        <v>26256</v>
      </c>
      <c r="F8433" t="s">
        <v>32664</v>
      </c>
      <c r="G8433" t="s">
        <v>32672</v>
      </c>
      <c r="H8433" t="s">
        <v>12635</v>
      </c>
      <c r="I8433" t="s">
        <v>4439</v>
      </c>
      <c r="J8433" t="s">
        <v>37944</v>
      </c>
      <c r="K8433" t="s">
        <v>42305</v>
      </c>
      <c r="M8433" t="s">
        <v>45291</v>
      </c>
      <c r="N8433" t="s">
        <v>46569</v>
      </c>
      <c r="O8433" t="s">
        <v>46570</v>
      </c>
      <c r="P8433">
        <v>0</v>
      </c>
      <c r="Q8433">
        <v>0</v>
      </c>
      <c r="R8433" t="s">
        <v>46576</v>
      </c>
      <c r="S8433" t="s">
        <v>46749</v>
      </c>
      <c r="T8433" t="s">
        <v>48221</v>
      </c>
      <c r="U8433" t="s">
        <v>55658</v>
      </c>
      <c r="W8433" t="s">
        <v>45291</v>
      </c>
      <c r="X8433" t="s">
        <v>46577</v>
      </c>
    </row>
    <row r="8434" spans="1:24">
      <c r="A8434">
        <f>HYPERLINK("https://www.philgeps.gov.ph/GEPSNONPILOT/Tender/SplashBidNoticeAbstractUI.aspx?menuIndex=3&amp;refID=7056330&amp;Result=3","7056330")</f>
        <v>0</v>
      </c>
      <c r="B8434" t="s">
        <v>2481</v>
      </c>
      <c r="C8434" t="s">
        <v>11533</v>
      </c>
      <c r="D8434" t="s">
        <v>18806</v>
      </c>
      <c r="E8434" t="s">
        <v>21732</v>
      </c>
      <c r="F8434" t="s">
        <v>32664</v>
      </c>
      <c r="G8434" t="s">
        <v>32672</v>
      </c>
      <c r="H8434" t="s">
        <v>32683</v>
      </c>
      <c r="I8434" t="s">
        <v>32737</v>
      </c>
      <c r="J8434" t="s">
        <v>37945</v>
      </c>
      <c r="K8434" t="s">
        <v>42365</v>
      </c>
      <c r="M8434" t="s">
        <v>45281</v>
      </c>
      <c r="N8434" t="s">
        <v>46569</v>
      </c>
      <c r="O8434" t="s">
        <v>46570</v>
      </c>
      <c r="P8434">
        <v>0</v>
      </c>
      <c r="Q8434">
        <v>3</v>
      </c>
      <c r="R8434" t="s">
        <v>46576</v>
      </c>
      <c r="S8434" t="s">
        <v>46749</v>
      </c>
      <c r="T8434" t="s">
        <v>48392</v>
      </c>
      <c r="U8434" t="s">
        <v>55659</v>
      </c>
      <c r="W8434" t="s">
        <v>45281</v>
      </c>
      <c r="X8434" t="s">
        <v>46577</v>
      </c>
    </row>
    <row r="8435" spans="1:24">
      <c r="A8435">
        <f>HYPERLINK("https://www.philgeps.gov.ph/GEPSNONPILOT/Tender/SplashBidNoticeAbstractUI.aspx?menuIndex=3&amp;refID=7056364&amp;Result=3","7056364")</f>
        <v>0</v>
      </c>
      <c r="B8435" t="s">
        <v>1408</v>
      </c>
      <c r="C8435" t="s">
        <v>11534</v>
      </c>
      <c r="D8435" t="s">
        <v>18830</v>
      </c>
      <c r="E8435" t="s">
        <v>26257</v>
      </c>
      <c r="F8435" t="s">
        <v>32664</v>
      </c>
      <c r="G8435" t="s">
        <v>32671</v>
      </c>
      <c r="H8435" t="s">
        <v>12635</v>
      </c>
      <c r="I8435" t="s">
        <v>32701</v>
      </c>
      <c r="J8435" t="s">
        <v>32842</v>
      </c>
      <c r="K8435" t="s">
        <v>42281</v>
      </c>
      <c r="M8435" t="s">
        <v>44065</v>
      </c>
      <c r="N8435" t="s">
        <v>46569</v>
      </c>
      <c r="O8435" t="s">
        <v>46570</v>
      </c>
      <c r="P8435">
        <v>0</v>
      </c>
      <c r="Q8435">
        <v>1</v>
      </c>
      <c r="R8435" t="s">
        <v>46576</v>
      </c>
      <c r="S8435" t="s">
        <v>46749</v>
      </c>
      <c r="T8435" t="s">
        <v>48287</v>
      </c>
      <c r="U8435" t="s">
        <v>51835</v>
      </c>
      <c r="W8435" t="s">
        <v>44065</v>
      </c>
      <c r="X8435" t="s">
        <v>46577</v>
      </c>
    </row>
    <row r="8436" spans="1:24">
      <c r="A8436">
        <f>HYPERLINK("https://www.philgeps.gov.ph/GEPSNONPILOT/Tender/SplashBidNoticeAbstractUI.aspx?menuIndex=3&amp;refID=7058493&amp;Result=3","7058493")</f>
        <v>0</v>
      </c>
      <c r="B8436" t="s">
        <v>1313</v>
      </c>
      <c r="C8436" t="s">
        <v>11535</v>
      </c>
      <c r="E8436" t="s">
        <v>26258</v>
      </c>
      <c r="F8436" t="s">
        <v>32664</v>
      </c>
      <c r="G8436" t="s">
        <v>32671</v>
      </c>
      <c r="H8436" t="s">
        <v>12635</v>
      </c>
      <c r="I8436" t="s">
        <v>32704</v>
      </c>
      <c r="J8436" t="s">
        <v>33309</v>
      </c>
      <c r="K8436" t="s">
        <v>42283</v>
      </c>
      <c r="M8436" t="s">
        <v>43960</v>
      </c>
      <c r="N8436" t="s">
        <v>46569</v>
      </c>
      <c r="O8436" t="s">
        <v>46570</v>
      </c>
      <c r="P8436">
        <v>0</v>
      </c>
      <c r="Q8436">
        <v>8</v>
      </c>
      <c r="R8436" t="s">
        <v>46575</v>
      </c>
      <c r="S8436" t="s">
        <v>46744</v>
      </c>
      <c r="T8436" t="s">
        <v>48562</v>
      </c>
      <c r="U8436" t="s">
        <v>55416</v>
      </c>
      <c r="W8436" t="s">
        <v>43960</v>
      </c>
      <c r="X8436" t="s">
        <v>46576</v>
      </c>
    </row>
    <row r="8437" spans="1:24">
      <c r="A8437">
        <f>HYPERLINK("https://www.philgeps.gov.ph/GEPSNONPILOT/Tender/SplashBidNoticeAbstractUI.aspx?menuIndex=3&amp;refID=7056409&amp;Result=3","7056409")</f>
        <v>0</v>
      </c>
      <c r="B8437" t="s">
        <v>146</v>
      </c>
      <c r="C8437" t="s">
        <v>11536</v>
      </c>
      <c r="E8437" t="s">
        <v>26259</v>
      </c>
      <c r="F8437" t="s">
        <v>32664</v>
      </c>
      <c r="G8437" t="s">
        <v>32671</v>
      </c>
      <c r="H8437" t="s">
        <v>12635</v>
      </c>
      <c r="I8437" t="s">
        <v>32698</v>
      </c>
      <c r="J8437" t="s">
        <v>32847</v>
      </c>
      <c r="K8437" t="s">
        <v>42305</v>
      </c>
      <c r="M8437" t="s">
        <v>45292</v>
      </c>
      <c r="N8437" t="s">
        <v>46569</v>
      </c>
      <c r="O8437" t="s">
        <v>46570</v>
      </c>
      <c r="P8437">
        <v>0</v>
      </c>
      <c r="Q8437">
        <v>1</v>
      </c>
      <c r="R8437" t="s">
        <v>46576</v>
      </c>
      <c r="S8437" t="s">
        <v>46749</v>
      </c>
      <c r="T8437" t="s">
        <v>48590</v>
      </c>
      <c r="U8437" t="s">
        <v>55660</v>
      </c>
      <c r="W8437" t="s">
        <v>45292</v>
      </c>
      <c r="X8437" t="s">
        <v>46577</v>
      </c>
    </row>
    <row r="8438" spans="1:24">
      <c r="A8438">
        <f>HYPERLINK("https://www.philgeps.gov.ph/GEPSNONPILOT/Tender/SplashBidNoticeAbstractUI.aspx?menuIndex=3&amp;refID=7056410&amp;Result=3","7056410")</f>
        <v>0</v>
      </c>
      <c r="B8438" t="s">
        <v>2474</v>
      </c>
      <c r="C8438" t="s">
        <v>11537</v>
      </c>
      <c r="D8438" t="s">
        <v>18781</v>
      </c>
      <c r="E8438" t="s">
        <v>26200</v>
      </c>
      <c r="F8438" t="s">
        <v>32664</v>
      </c>
      <c r="G8438" t="s">
        <v>32672</v>
      </c>
      <c r="H8438" t="s">
        <v>32683</v>
      </c>
      <c r="I8438" t="s">
        <v>10627</v>
      </c>
      <c r="J8438" t="s">
        <v>32943</v>
      </c>
      <c r="K8438" t="s">
        <v>42298</v>
      </c>
      <c r="M8438" t="s">
        <v>45274</v>
      </c>
      <c r="N8438" t="s">
        <v>46569</v>
      </c>
      <c r="O8438" t="s">
        <v>46570</v>
      </c>
      <c r="Q8438">
        <v>0</v>
      </c>
      <c r="R8438" t="s">
        <v>46576</v>
      </c>
      <c r="S8438" t="s">
        <v>46764</v>
      </c>
      <c r="T8438" t="s">
        <v>48360</v>
      </c>
      <c r="U8438" t="s">
        <v>55610</v>
      </c>
      <c r="V8438" t="s">
        <v>62470</v>
      </c>
      <c r="W8438" t="s">
        <v>45274</v>
      </c>
      <c r="X8438" t="s">
        <v>46577</v>
      </c>
    </row>
    <row r="8439" spans="1:24">
      <c r="A8439">
        <f>HYPERLINK("https://www.philgeps.gov.ph/GEPSNONPILOT/Tender/SplashBidNoticeAbstractUI.aspx?menuIndex=3&amp;refID=7056313&amp;Result=3","7056313")</f>
        <v>0</v>
      </c>
      <c r="B8439" t="s">
        <v>2491</v>
      </c>
      <c r="C8439" t="s">
        <v>11538</v>
      </c>
      <c r="D8439" t="s">
        <v>18838</v>
      </c>
      <c r="E8439" t="s">
        <v>21832</v>
      </c>
      <c r="F8439" t="s">
        <v>32664</v>
      </c>
      <c r="G8439" t="s">
        <v>32672</v>
      </c>
      <c r="H8439" t="s">
        <v>12635</v>
      </c>
      <c r="I8439" t="s">
        <v>4439</v>
      </c>
      <c r="J8439" t="s">
        <v>32898</v>
      </c>
      <c r="K8439" t="s">
        <v>42297</v>
      </c>
      <c r="L8439" t="s">
        <v>2491</v>
      </c>
      <c r="M8439" t="s">
        <v>45293</v>
      </c>
      <c r="N8439" t="s">
        <v>46569</v>
      </c>
      <c r="O8439" t="s">
        <v>46570</v>
      </c>
      <c r="P8439">
        <v>0</v>
      </c>
      <c r="Q8439">
        <v>1</v>
      </c>
      <c r="R8439" t="s">
        <v>46576</v>
      </c>
      <c r="S8439" t="s">
        <v>46749</v>
      </c>
      <c r="T8439" t="s">
        <v>48293</v>
      </c>
      <c r="U8439" t="s">
        <v>55661</v>
      </c>
      <c r="W8439" t="s">
        <v>45293</v>
      </c>
      <c r="X8439" t="s">
        <v>46577</v>
      </c>
    </row>
    <row r="8440" spans="1:24">
      <c r="A8440">
        <f>HYPERLINK("https://www.philgeps.gov.ph/GEPSNONPILOT/Tender/SplashBidNoticeAbstractUI.aspx?menuIndex=3&amp;refID=7056401&amp;Result=3","7056401")</f>
        <v>0</v>
      </c>
      <c r="B8440" t="s">
        <v>2132</v>
      </c>
      <c r="C8440" t="s">
        <v>11510</v>
      </c>
      <c r="D8440" t="s">
        <v>18831</v>
      </c>
      <c r="E8440" t="s">
        <v>26260</v>
      </c>
      <c r="F8440" t="s">
        <v>32664</v>
      </c>
      <c r="G8440" t="s">
        <v>32672</v>
      </c>
      <c r="H8440" t="s">
        <v>12635</v>
      </c>
      <c r="I8440" t="s">
        <v>4439</v>
      </c>
      <c r="J8440" t="s">
        <v>35510</v>
      </c>
      <c r="K8440" t="s">
        <v>42281</v>
      </c>
      <c r="M8440" t="s">
        <v>44887</v>
      </c>
      <c r="N8440" t="s">
        <v>46569</v>
      </c>
      <c r="O8440" t="s">
        <v>46570</v>
      </c>
      <c r="P8440">
        <v>0</v>
      </c>
      <c r="Q8440">
        <v>3</v>
      </c>
      <c r="R8440" t="s">
        <v>46576</v>
      </c>
      <c r="S8440" t="s">
        <v>46749</v>
      </c>
      <c r="T8440" t="s">
        <v>48213</v>
      </c>
      <c r="U8440" t="s">
        <v>55646</v>
      </c>
      <c r="W8440" t="s">
        <v>44887</v>
      </c>
      <c r="X8440" t="s">
        <v>46577</v>
      </c>
    </row>
    <row r="8441" spans="1:24">
      <c r="A8441">
        <f>HYPERLINK("https://www.philgeps.gov.ph/GEPSNONPILOT/Tender/SplashBidNoticeAbstractUI.aspx?menuIndex=3&amp;refID=7056402&amp;Result=3","7056402")</f>
        <v>0</v>
      </c>
      <c r="B8441" t="s">
        <v>2474</v>
      </c>
      <c r="C8441" t="s">
        <v>11539</v>
      </c>
      <c r="D8441" t="s">
        <v>18781</v>
      </c>
      <c r="E8441" t="s">
        <v>26200</v>
      </c>
      <c r="F8441" t="s">
        <v>32664</v>
      </c>
      <c r="G8441" t="s">
        <v>32672</v>
      </c>
      <c r="H8441" t="s">
        <v>32683</v>
      </c>
      <c r="I8441" t="s">
        <v>10627</v>
      </c>
      <c r="J8441" t="s">
        <v>37946</v>
      </c>
      <c r="K8441" t="s">
        <v>42290</v>
      </c>
      <c r="M8441" t="s">
        <v>45274</v>
      </c>
      <c r="N8441" t="s">
        <v>46569</v>
      </c>
      <c r="O8441" t="s">
        <v>46570</v>
      </c>
      <c r="Q8441">
        <v>0</v>
      </c>
      <c r="R8441" t="s">
        <v>46576</v>
      </c>
      <c r="S8441" t="s">
        <v>46765</v>
      </c>
      <c r="T8441" t="s">
        <v>48360</v>
      </c>
      <c r="U8441" t="s">
        <v>55610</v>
      </c>
      <c r="V8441" t="s">
        <v>62471</v>
      </c>
      <c r="W8441" t="s">
        <v>45274</v>
      </c>
      <c r="X8441" t="s">
        <v>46577</v>
      </c>
    </row>
    <row r="8442" spans="1:24">
      <c r="A8442">
        <f>HYPERLINK("https://www.philgeps.gov.ph/GEPSNONPILOT/Tender/SplashBidNoticeAbstractUI.aspx?menuIndex=3&amp;refID=7056396&amp;Result=3","7056396")</f>
        <v>0</v>
      </c>
      <c r="B8442" t="s">
        <v>2409</v>
      </c>
      <c r="C8442" t="s">
        <v>11540</v>
      </c>
      <c r="D8442" t="s">
        <v>18786</v>
      </c>
      <c r="E8442" t="s">
        <v>26261</v>
      </c>
      <c r="F8442" t="s">
        <v>32664</v>
      </c>
      <c r="G8442" t="s">
        <v>32672</v>
      </c>
      <c r="H8442" t="s">
        <v>12635</v>
      </c>
      <c r="I8442" t="s">
        <v>32721</v>
      </c>
      <c r="J8442" t="s">
        <v>37947</v>
      </c>
      <c r="K8442" t="s">
        <v>42320</v>
      </c>
      <c r="M8442" t="s">
        <v>45200</v>
      </c>
      <c r="N8442" t="s">
        <v>46569</v>
      </c>
      <c r="O8442" t="s">
        <v>46570</v>
      </c>
      <c r="P8442">
        <v>0</v>
      </c>
      <c r="Q8442">
        <v>1</v>
      </c>
      <c r="R8442" t="s">
        <v>46576</v>
      </c>
      <c r="S8442" t="s">
        <v>46749</v>
      </c>
      <c r="T8442" t="s">
        <v>48221</v>
      </c>
      <c r="U8442" t="s">
        <v>55662</v>
      </c>
      <c r="W8442" t="s">
        <v>45200</v>
      </c>
      <c r="X8442" t="s">
        <v>46577</v>
      </c>
    </row>
    <row r="8443" spans="1:24">
      <c r="A8443">
        <f>HYPERLINK("https://www.philgeps.gov.ph/GEPSNONPILOT/Tender/SplashBidNoticeAbstractUI.aspx?menuIndex=3&amp;refID=7056391&amp;Result=3","7056391")</f>
        <v>0</v>
      </c>
      <c r="B8443" t="s">
        <v>2474</v>
      </c>
      <c r="C8443" t="s">
        <v>11541</v>
      </c>
      <c r="D8443" t="s">
        <v>18781</v>
      </c>
      <c r="E8443" t="s">
        <v>26200</v>
      </c>
      <c r="F8443" t="s">
        <v>32664</v>
      </c>
      <c r="G8443" t="s">
        <v>32672</v>
      </c>
      <c r="H8443" t="s">
        <v>32683</v>
      </c>
      <c r="I8443" t="s">
        <v>10627</v>
      </c>
      <c r="J8443" t="s">
        <v>37946</v>
      </c>
      <c r="K8443" t="s">
        <v>42290</v>
      </c>
      <c r="M8443" t="s">
        <v>45274</v>
      </c>
      <c r="N8443" t="s">
        <v>46569</v>
      </c>
      <c r="O8443" t="s">
        <v>46570</v>
      </c>
      <c r="Q8443">
        <v>0</v>
      </c>
      <c r="R8443" t="s">
        <v>46576</v>
      </c>
      <c r="S8443" t="s">
        <v>46766</v>
      </c>
      <c r="T8443" t="s">
        <v>48360</v>
      </c>
      <c r="U8443" t="s">
        <v>55610</v>
      </c>
      <c r="V8443" t="s">
        <v>62472</v>
      </c>
      <c r="W8443" t="s">
        <v>45274</v>
      </c>
      <c r="X8443" t="s">
        <v>46577</v>
      </c>
    </row>
    <row r="8444" spans="1:24">
      <c r="A8444">
        <f>HYPERLINK("https://www.philgeps.gov.ph/GEPSNONPILOT/Tender/SplashBidNoticeAbstractUI.aspx?menuIndex=3&amp;refID=7056311&amp;Result=3","7056311")</f>
        <v>0</v>
      </c>
      <c r="B8444" t="s">
        <v>2469</v>
      </c>
      <c r="C8444" t="s">
        <v>11542</v>
      </c>
      <c r="D8444" t="s">
        <v>18801</v>
      </c>
      <c r="E8444" t="s">
        <v>26262</v>
      </c>
      <c r="F8444" t="s">
        <v>32664</v>
      </c>
      <c r="G8444" t="s">
        <v>32672</v>
      </c>
      <c r="H8444" t="s">
        <v>12635</v>
      </c>
      <c r="I8444" t="s">
        <v>32719</v>
      </c>
      <c r="J8444" t="s">
        <v>34487</v>
      </c>
      <c r="K8444" t="s">
        <v>42281</v>
      </c>
      <c r="M8444" t="s">
        <v>45290</v>
      </c>
      <c r="N8444" t="s">
        <v>46569</v>
      </c>
      <c r="O8444" t="s">
        <v>46570</v>
      </c>
      <c r="P8444">
        <v>0</v>
      </c>
      <c r="Q8444">
        <v>6</v>
      </c>
      <c r="R8444" t="s">
        <v>46576</v>
      </c>
      <c r="S8444" t="s">
        <v>46749</v>
      </c>
      <c r="T8444" t="s">
        <v>48273</v>
      </c>
      <c r="U8444" t="s">
        <v>55574</v>
      </c>
      <c r="V8444" t="s">
        <v>62260</v>
      </c>
      <c r="W8444" t="s">
        <v>63561</v>
      </c>
      <c r="X8444" t="s">
        <v>46577</v>
      </c>
    </row>
    <row r="8445" spans="1:24">
      <c r="A8445">
        <f>HYPERLINK("https://www.philgeps.gov.ph/GEPSNONPILOT/Tender/SplashBidNoticeAbstractUI.aspx?menuIndex=3&amp;refID=7056405&amp;Result=3","7056405")</f>
        <v>0</v>
      </c>
      <c r="B8445" t="s">
        <v>2490</v>
      </c>
      <c r="C8445" t="s">
        <v>11543</v>
      </c>
      <c r="D8445" t="s">
        <v>18792</v>
      </c>
      <c r="E8445" t="s">
        <v>26263</v>
      </c>
      <c r="F8445" t="s">
        <v>32664</v>
      </c>
      <c r="G8445" t="s">
        <v>32672</v>
      </c>
      <c r="H8445" t="s">
        <v>12635</v>
      </c>
      <c r="I8445" t="s">
        <v>4439</v>
      </c>
      <c r="J8445" t="s">
        <v>37948</v>
      </c>
      <c r="K8445" t="s">
        <v>42305</v>
      </c>
      <c r="M8445" t="s">
        <v>45291</v>
      </c>
      <c r="N8445" t="s">
        <v>46569</v>
      </c>
      <c r="O8445" t="s">
        <v>46570</v>
      </c>
      <c r="P8445">
        <v>0</v>
      </c>
      <c r="Q8445">
        <v>1</v>
      </c>
      <c r="R8445" t="s">
        <v>46576</v>
      </c>
      <c r="S8445" t="s">
        <v>46749</v>
      </c>
      <c r="T8445" t="s">
        <v>48221</v>
      </c>
      <c r="U8445" t="s">
        <v>55663</v>
      </c>
      <c r="W8445" t="s">
        <v>45291</v>
      </c>
      <c r="X8445" t="s">
        <v>46577</v>
      </c>
    </row>
    <row r="8446" spans="1:24">
      <c r="A8446">
        <f>HYPERLINK("https://www.philgeps.gov.ph/GEPSNONPILOT/Tender/SplashBidNoticeAbstractUI.aspx?menuIndex=3&amp;refID=7056418&amp;Result=3","7056418")</f>
        <v>0</v>
      </c>
      <c r="B8446" t="s">
        <v>2474</v>
      </c>
      <c r="C8446" t="s">
        <v>11544</v>
      </c>
      <c r="D8446" t="s">
        <v>18781</v>
      </c>
      <c r="E8446" t="s">
        <v>26200</v>
      </c>
      <c r="F8446" t="s">
        <v>32664</v>
      </c>
      <c r="G8446" t="s">
        <v>32672</v>
      </c>
      <c r="H8446" t="s">
        <v>32683</v>
      </c>
      <c r="I8446" t="s">
        <v>10627</v>
      </c>
      <c r="J8446" t="s">
        <v>37949</v>
      </c>
      <c r="K8446" t="s">
        <v>42311</v>
      </c>
      <c r="M8446" t="s">
        <v>45274</v>
      </c>
      <c r="N8446" t="s">
        <v>46569</v>
      </c>
      <c r="O8446" t="s">
        <v>46570</v>
      </c>
      <c r="Q8446">
        <v>0</v>
      </c>
      <c r="R8446" t="s">
        <v>46576</v>
      </c>
      <c r="S8446" t="s">
        <v>46767</v>
      </c>
      <c r="T8446" t="s">
        <v>48360</v>
      </c>
      <c r="U8446" t="s">
        <v>55610</v>
      </c>
      <c r="V8446" t="s">
        <v>62473</v>
      </c>
      <c r="W8446" t="s">
        <v>45274</v>
      </c>
      <c r="X8446" t="s">
        <v>46577</v>
      </c>
    </row>
    <row r="8447" spans="1:24">
      <c r="A8447">
        <f>HYPERLINK("https://www.philgeps.gov.ph/GEPSNONPILOT/Tender/SplashBidNoticeAbstractUI.aspx?menuIndex=3&amp;refID=7056395&amp;Result=3","7056395")</f>
        <v>0</v>
      </c>
      <c r="B8447" t="s">
        <v>2492</v>
      </c>
      <c r="C8447" t="s">
        <v>11545</v>
      </c>
      <c r="D8447" t="s">
        <v>18806</v>
      </c>
      <c r="E8447" t="s">
        <v>26264</v>
      </c>
      <c r="F8447" t="s">
        <v>32664</v>
      </c>
      <c r="G8447" t="s">
        <v>32672</v>
      </c>
      <c r="H8447" t="s">
        <v>12635</v>
      </c>
      <c r="I8447" t="s">
        <v>11464</v>
      </c>
      <c r="J8447" t="s">
        <v>32859</v>
      </c>
      <c r="K8447" t="s">
        <v>42281</v>
      </c>
      <c r="M8447" t="s">
        <v>45294</v>
      </c>
      <c r="N8447" t="s">
        <v>46569</v>
      </c>
      <c r="O8447" t="s">
        <v>46570</v>
      </c>
      <c r="P8447">
        <v>0</v>
      </c>
      <c r="Q8447">
        <v>0</v>
      </c>
      <c r="R8447" t="s">
        <v>46576</v>
      </c>
      <c r="S8447" t="s">
        <v>46749</v>
      </c>
      <c r="T8447" t="s">
        <v>48404</v>
      </c>
      <c r="U8447" t="s">
        <v>55664</v>
      </c>
      <c r="V8447" t="s">
        <v>62474</v>
      </c>
      <c r="W8447" t="s">
        <v>45294</v>
      </c>
      <c r="X8447" t="s">
        <v>46577</v>
      </c>
    </row>
    <row r="8448" spans="1:24">
      <c r="A8448">
        <f>HYPERLINK("https://www.philgeps.gov.ph/GEPSNONPILOT/Tender/SplashBidNoticeAbstractUI.aspx?menuIndex=3&amp;refID=7056385&amp;Result=3","7056385")</f>
        <v>0</v>
      </c>
      <c r="B8448" t="s">
        <v>2446</v>
      </c>
      <c r="C8448" t="s">
        <v>11546</v>
      </c>
      <c r="D8448" t="s">
        <v>18838</v>
      </c>
      <c r="E8448" t="s">
        <v>26265</v>
      </c>
      <c r="F8448" t="s">
        <v>32664</v>
      </c>
      <c r="G8448" t="s">
        <v>32672</v>
      </c>
      <c r="H8448" t="s">
        <v>12635</v>
      </c>
      <c r="I8448" t="s">
        <v>32708</v>
      </c>
      <c r="J8448" t="s">
        <v>37950</v>
      </c>
      <c r="K8448" t="s">
        <v>42283</v>
      </c>
      <c r="M8448" t="s">
        <v>45239</v>
      </c>
      <c r="N8448" t="s">
        <v>46569</v>
      </c>
      <c r="O8448" t="s">
        <v>46570</v>
      </c>
      <c r="P8448">
        <v>0</v>
      </c>
      <c r="Q8448">
        <v>43</v>
      </c>
      <c r="R8448" t="s">
        <v>46576</v>
      </c>
      <c r="S8448" t="s">
        <v>46749</v>
      </c>
      <c r="T8448" t="s">
        <v>48617</v>
      </c>
      <c r="U8448" t="s">
        <v>55665</v>
      </c>
      <c r="V8448" t="s">
        <v>62475</v>
      </c>
      <c r="W8448" t="s">
        <v>45239</v>
      </c>
      <c r="X8448" t="s">
        <v>46577</v>
      </c>
    </row>
    <row r="8449" spans="1:24">
      <c r="A8449">
        <f>HYPERLINK("https://www.philgeps.gov.ph/GEPSNONPILOT/Tender/SplashBidNoticeAbstractUI.aspx?menuIndex=3&amp;refID=7056387&amp;Result=3","7056387")</f>
        <v>0</v>
      </c>
      <c r="B8449" t="s">
        <v>1328</v>
      </c>
      <c r="C8449" t="s">
        <v>5801</v>
      </c>
      <c r="E8449" t="s">
        <v>26266</v>
      </c>
      <c r="F8449" t="s">
        <v>32664</v>
      </c>
      <c r="G8449" t="s">
        <v>32672</v>
      </c>
      <c r="H8449" t="s">
        <v>12635</v>
      </c>
      <c r="I8449" t="s">
        <v>9486</v>
      </c>
      <c r="J8449" t="s">
        <v>34986</v>
      </c>
      <c r="K8449" t="s">
        <v>42289</v>
      </c>
      <c r="M8449" t="s">
        <v>43977</v>
      </c>
      <c r="N8449" t="s">
        <v>46569</v>
      </c>
      <c r="O8449" t="s">
        <v>46570</v>
      </c>
      <c r="P8449">
        <v>0</v>
      </c>
      <c r="Q8449">
        <v>11</v>
      </c>
      <c r="R8449" t="s">
        <v>46576</v>
      </c>
      <c r="S8449" t="s">
        <v>46749</v>
      </c>
      <c r="T8449" t="s">
        <v>48219</v>
      </c>
      <c r="U8449" t="s">
        <v>51618</v>
      </c>
      <c r="W8449" t="s">
        <v>43977</v>
      </c>
      <c r="X8449" t="s">
        <v>46577</v>
      </c>
    </row>
    <row r="8450" spans="1:24">
      <c r="A8450">
        <f>HYPERLINK("https://www.philgeps.gov.ph/GEPSNONPILOT/Tender/SplashBidNoticeAbstractUI.aspx?menuIndex=3&amp;refID=7056454&amp;Result=3","7056454")</f>
        <v>0</v>
      </c>
      <c r="B8450" t="s">
        <v>2409</v>
      </c>
      <c r="C8450" t="s">
        <v>11547</v>
      </c>
      <c r="D8450" t="s">
        <v>18786</v>
      </c>
      <c r="E8450" t="s">
        <v>26267</v>
      </c>
      <c r="F8450" t="s">
        <v>32664</v>
      </c>
      <c r="G8450" t="s">
        <v>32672</v>
      </c>
      <c r="H8450" t="s">
        <v>12635</v>
      </c>
      <c r="I8450" t="s">
        <v>32721</v>
      </c>
      <c r="J8450" t="s">
        <v>37947</v>
      </c>
      <c r="K8450" t="s">
        <v>42320</v>
      </c>
      <c r="M8450" t="s">
        <v>45200</v>
      </c>
      <c r="N8450" t="s">
        <v>46569</v>
      </c>
      <c r="O8450" t="s">
        <v>46570</v>
      </c>
      <c r="P8450">
        <v>0</v>
      </c>
      <c r="Q8450">
        <v>0</v>
      </c>
      <c r="R8450" t="s">
        <v>46576</v>
      </c>
      <c r="S8450" t="s">
        <v>46749</v>
      </c>
      <c r="T8450" t="s">
        <v>48221</v>
      </c>
      <c r="U8450" t="s">
        <v>55666</v>
      </c>
      <c r="W8450" t="s">
        <v>45200</v>
      </c>
      <c r="X8450" t="s">
        <v>46577</v>
      </c>
    </row>
    <row r="8451" spans="1:24">
      <c r="A8451">
        <f>HYPERLINK("https://www.philgeps.gov.ph/GEPSNONPILOT/Tender/SplashBidNoticeAbstractUI.aspx?menuIndex=3&amp;refID=7056411&amp;Result=3","7056411")</f>
        <v>0</v>
      </c>
      <c r="B8451" t="s">
        <v>2076</v>
      </c>
      <c r="C8451" t="s">
        <v>11548</v>
      </c>
      <c r="D8451" t="s">
        <v>18834</v>
      </c>
      <c r="E8451" t="s">
        <v>26268</v>
      </c>
      <c r="F8451" t="s">
        <v>32664</v>
      </c>
      <c r="G8451" t="s">
        <v>32672</v>
      </c>
      <c r="H8451" t="s">
        <v>12635</v>
      </c>
      <c r="I8451" t="s">
        <v>32684</v>
      </c>
      <c r="J8451" t="s">
        <v>37951</v>
      </c>
      <c r="K8451" t="s">
        <v>42297</v>
      </c>
      <c r="M8451" t="s">
        <v>44828</v>
      </c>
      <c r="N8451" t="s">
        <v>46569</v>
      </c>
      <c r="O8451" t="s">
        <v>46570</v>
      </c>
      <c r="P8451">
        <v>0</v>
      </c>
      <c r="Q8451">
        <v>9</v>
      </c>
      <c r="R8451" t="s">
        <v>46576</v>
      </c>
      <c r="S8451" t="s">
        <v>46749</v>
      </c>
      <c r="T8451" t="s">
        <v>48228</v>
      </c>
      <c r="U8451" t="s">
        <v>55667</v>
      </c>
      <c r="W8451" t="s">
        <v>44828</v>
      </c>
      <c r="X8451" t="s">
        <v>46577</v>
      </c>
    </row>
    <row r="8452" spans="1:24">
      <c r="A8452">
        <f>HYPERLINK("https://www.philgeps.gov.ph/GEPSNONPILOT/Tender/SplashBidNoticeAbstractUI.aspx?menuIndex=3&amp;refID=7056412&amp;Result=3","7056412")</f>
        <v>0</v>
      </c>
      <c r="B8452" t="s">
        <v>1054</v>
      </c>
      <c r="C8452" t="s">
        <v>11549</v>
      </c>
      <c r="D8452" t="s">
        <v>18814</v>
      </c>
      <c r="E8452" t="s">
        <v>26269</v>
      </c>
      <c r="F8452" t="s">
        <v>32664</v>
      </c>
      <c r="G8452" t="s">
        <v>32671</v>
      </c>
      <c r="H8452" t="s">
        <v>12635</v>
      </c>
      <c r="I8452" t="s">
        <v>8797</v>
      </c>
      <c r="J8452" t="s">
        <v>37952</v>
      </c>
      <c r="K8452" t="s">
        <v>42281</v>
      </c>
      <c r="M8452" t="s">
        <v>43672</v>
      </c>
      <c r="N8452" t="s">
        <v>46569</v>
      </c>
      <c r="O8452" t="s">
        <v>46570</v>
      </c>
      <c r="P8452">
        <v>0</v>
      </c>
      <c r="Q8452">
        <v>12</v>
      </c>
      <c r="R8452" t="s">
        <v>46576</v>
      </c>
      <c r="S8452" t="s">
        <v>46749</v>
      </c>
      <c r="T8452" t="s">
        <v>48598</v>
      </c>
      <c r="U8452" t="s">
        <v>55668</v>
      </c>
      <c r="W8452" t="s">
        <v>43672</v>
      </c>
      <c r="X8452" t="s">
        <v>46577</v>
      </c>
    </row>
    <row r="8453" spans="1:24">
      <c r="A8453">
        <f>HYPERLINK("https://www.philgeps.gov.ph/GEPSNONPILOT/Tender/SplashBidNoticeAbstractUI.aspx?menuIndex=3&amp;refID=7056445&amp;Result=3","7056445")</f>
        <v>0</v>
      </c>
      <c r="B8453" t="s">
        <v>2493</v>
      </c>
      <c r="C8453" t="s">
        <v>11550</v>
      </c>
      <c r="D8453" t="s">
        <v>18781</v>
      </c>
      <c r="E8453" t="s">
        <v>26270</v>
      </c>
      <c r="F8453" t="s">
        <v>32664</v>
      </c>
      <c r="G8453" t="s">
        <v>32672</v>
      </c>
      <c r="H8453" t="s">
        <v>32683</v>
      </c>
      <c r="I8453" t="s">
        <v>4439</v>
      </c>
      <c r="J8453" t="s">
        <v>37953</v>
      </c>
      <c r="K8453" t="s">
        <v>42281</v>
      </c>
      <c r="M8453" t="s">
        <v>45295</v>
      </c>
      <c r="N8453" t="s">
        <v>46569</v>
      </c>
      <c r="O8453" t="s">
        <v>46570</v>
      </c>
      <c r="P8453">
        <v>0</v>
      </c>
      <c r="Q8453">
        <v>0</v>
      </c>
      <c r="R8453" t="s">
        <v>46576</v>
      </c>
      <c r="S8453" t="s">
        <v>46749</v>
      </c>
      <c r="T8453" t="s">
        <v>48246</v>
      </c>
      <c r="U8453" t="s">
        <v>55669</v>
      </c>
      <c r="W8453" t="s">
        <v>45295</v>
      </c>
      <c r="X8453" t="s">
        <v>46577</v>
      </c>
    </row>
    <row r="8454" spans="1:24">
      <c r="A8454">
        <f>HYPERLINK("https://www.philgeps.gov.ph/GEPSNONPILOT/Tender/SplashBidNoticeAbstractUI.aspx?menuIndex=3&amp;refID=7056442&amp;Result=3","7056442")</f>
        <v>0</v>
      </c>
      <c r="B8454" t="s">
        <v>2409</v>
      </c>
      <c r="C8454" t="s">
        <v>11551</v>
      </c>
      <c r="D8454" t="s">
        <v>18786</v>
      </c>
      <c r="E8454" t="s">
        <v>26271</v>
      </c>
      <c r="F8454" t="s">
        <v>32664</v>
      </c>
      <c r="G8454" t="s">
        <v>32672</v>
      </c>
      <c r="H8454" t="s">
        <v>12635</v>
      </c>
      <c r="I8454" t="s">
        <v>32721</v>
      </c>
      <c r="J8454" t="s">
        <v>37947</v>
      </c>
      <c r="K8454" t="s">
        <v>42320</v>
      </c>
      <c r="M8454" t="s">
        <v>45200</v>
      </c>
      <c r="N8454" t="s">
        <v>46569</v>
      </c>
      <c r="O8454" t="s">
        <v>46570</v>
      </c>
      <c r="P8454">
        <v>0</v>
      </c>
      <c r="Q8454">
        <v>1</v>
      </c>
      <c r="R8454" t="s">
        <v>46576</v>
      </c>
      <c r="S8454" t="s">
        <v>46749</v>
      </c>
      <c r="T8454" t="s">
        <v>48221</v>
      </c>
      <c r="U8454" t="s">
        <v>55666</v>
      </c>
      <c r="W8454" t="s">
        <v>45200</v>
      </c>
      <c r="X8454" t="s">
        <v>46577</v>
      </c>
    </row>
    <row r="8455" spans="1:24">
      <c r="A8455">
        <f>HYPERLINK("https://www.philgeps.gov.ph/GEPSNONPILOT/Tender/SplashBidNoticeAbstractUI.aspx?menuIndex=3&amp;refID=7056452&amp;Result=3","7056452")</f>
        <v>0</v>
      </c>
      <c r="B8455" t="s">
        <v>2494</v>
      </c>
      <c r="C8455" t="s">
        <v>11552</v>
      </c>
      <c r="D8455" t="s">
        <v>18842</v>
      </c>
      <c r="E8455" t="s">
        <v>26272</v>
      </c>
      <c r="F8455" t="s">
        <v>32664</v>
      </c>
      <c r="G8455" t="s">
        <v>32671</v>
      </c>
      <c r="H8455" t="s">
        <v>32683</v>
      </c>
      <c r="I8455" t="s">
        <v>10627</v>
      </c>
      <c r="J8455" t="s">
        <v>33987</v>
      </c>
      <c r="K8455" t="s">
        <v>42281</v>
      </c>
      <c r="M8455" t="s">
        <v>45296</v>
      </c>
      <c r="N8455" t="s">
        <v>46569</v>
      </c>
      <c r="O8455" t="s">
        <v>46570</v>
      </c>
      <c r="P8455">
        <v>0</v>
      </c>
      <c r="Q8455">
        <v>1</v>
      </c>
      <c r="R8455" t="s">
        <v>46576</v>
      </c>
      <c r="S8455" t="s">
        <v>46749</v>
      </c>
      <c r="T8455" t="s">
        <v>48598</v>
      </c>
      <c r="U8455" t="s">
        <v>55670</v>
      </c>
      <c r="W8455" t="s">
        <v>45296</v>
      </c>
      <c r="X8455" t="s">
        <v>46577</v>
      </c>
    </row>
    <row r="8456" spans="1:24">
      <c r="A8456">
        <f>HYPERLINK("https://www.philgeps.gov.ph/GEPSNONPILOT/Tender/SplashBidNoticeAbstractUI.aspx?menuIndex=3&amp;refID=7056437&amp;Result=3","7056437")</f>
        <v>0</v>
      </c>
      <c r="B8456" t="s">
        <v>672</v>
      </c>
      <c r="C8456" t="s">
        <v>11553</v>
      </c>
      <c r="D8456" t="s">
        <v>18794</v>
      </c>
      <c r="E8456" t="s">
        <v>26273</v>
      </c>
      <c r="F8456" t="s">
        <v>32664</v>
      </c>
      <c r="G8456" t="s">
        <v>32671</v>
      </c>
      <c r="H8456" t="s">
        <v>12635</v>
      </c>
      <c r="I8456" t="s">
        <v>32706</v>
      </c>
      <c r="J8456" t="s">
        <v>37954</v>
      </c>
      <c r="K8456" t="s">
        <v>42303</v>
      </c>
      <c r="M8456" t="s">
        <v>43259</v>
      </c>
      <c r="N8456" t="s">
        <v>46569</v>
      </c>
      <c r="O8456" t="s">
        <v>46570</v>
      </c>
      <c r="P8456">
        <v>0</v>
      </c>
      <c r="Q8456">
        <v>0</v>
      </c>
      <c r="R8456" t="s">
        <v>46576</v>
      </c>
      <c r="S8456" t="s">
        <v>46749</v>
      </c>
      <c r="T8456" t="s">
        <v>48287</v>
      </c>
      <c r="U8456" t="s">
        <v>55671</v>
      </c>
      <c r="W8456" t="s">
        <v>43259</v>
      </c>
      <c r="X8456" t="s">
        <v>46577</v>
      </c>
    </row>
    <row r="8457" spans="1:24">
      <c r="A8457">
        <f>HYPERLINK("https://www.philgeps.gov.ph/GEPSNONPILOT/Tender/SplashBidNoticeAbstractUI.aspx?menuIndex=3&amp;refID=7056455&amp;Result=3","7056455")</f>
        <v>0</v>
      </c>
      <c r="B8457" t="s">
        <v>949</v>
      </c>
      <c r="C8457" t="s">
        <v>4928</v>
      </c>
      <c r="D8457" t="s">
        <v>18784</v>
      </c>
      <c r="E8457" t="s">
        <v>26274</v>
      </c>
      <c r="F8457" t="s">
        <v>32664</v>
      </c>
      <c r="G8457" t="s">
        <v>32675</v>
      </c>
      <c r="H8457" t="s">
        <v>12635</v>
      </c>
      <c r="I8457" t="s">
        <v>32684</v>
      </c>
      <c r="J8457" t="s">
        <v>35100</v>
      </c>
      <c r="K8457" t="s">
        <v>42303</v>
      </c>
      <c r="M8457" t="s">
        <v>43555</v>
      </c>
      <c r="N8457" t="s">
        <v>46569</v>
      </c>
      <c r="O8457" t="s">
        <v>46570</v>
      </c>
      <c r="P8457">
        <v>0</v>
      </c>
      <c r="Q8457">
        <v>13</v>
      </c>
      <c r="R8457" t="s">
        <v>46576</v>
      </c>
      <c r="S8457" t="s">
        <v>46749</v>
      </c>
      <c r="T8457" t="s">
        <v>48376</v>
      </c>
      <c r="U8457" t="s">
        <v>55672</v>
      </c>
      <c r="W8457" t="s">
        <v>43555</v>
      </c>
      <c r="X8457" t="s">
        <v>46577</v>
      </c>
    </row>
    <row r="8458" spans="1:24">
      <c r="A8458">
        <f>HYPERLINK("https://www.philgeps.gov.ph/GEPSNONPILOT/Tender/SplashBidNoticeAbstractUI.aspx?menuIndex=3&amp;refID=7056436&amp;Result=3","7056436")</f>
        <v>0</v>
      </c>
      <c r="B8458" t="s">
        <v>949</v>
      </c>
      <c r="C8458" t="s">
        <v>5228</v>
      </c>
      <c r="D8458" t="s">
        <v>18784</v>
      </c>
      <c r="E8458" t="s">
        <v>26275</v>
      </c>
      <c r="F8458" t="s">
        <v>32664</v>
      </c>
      <c r="G8458" t="s">
        <v>32671</v>
      </c>
      <c r="H8458" t="s">
        <v>12635</v>
      </c>
      <c r="I8458" t="s">
        <v>4333</v>
      </c>
      <c r="J8458" t="s">
        <v>37955</v>
      </c>
      <c r="K8458" t="s">
        <v>42289</v>
      </c>
      <c r="M8458" t="s">
        <v>43555</v>
      </c>
      <c r="N8458" t="s">
        <v>46569</v>
      </c>
      <c r="O8458" t="s">
        <v>46570</v>
      </c>
      <c r="P8458">
        <v>0</v>
      </c>
      <c r="Q8458">
        <v>8</v>
      </c>
      <c r="R8458" t="s">
        <v>46576</v>
      </c>
      <c r="S8458" t="s">
        <v>46749</v>
      </c>
      <c r="T8458" t="s">
        <v>48376</v>
      </c>
      <c r="U8458" t="s">
        <v>55673</v>
      </c>
      <c r="W8458" t="s">
        <v>43555</v>
      </c>
      <c r="X8458" t="s">
        <v>46577</v>
      </c>
    </row>
    <row r="8459" spans="1:24">
      <c r="A8459">
        <f>HYPERLINK("https://www.philgeps.gov.ph/GEPSNONPILOT/Tender/SplashBidNoticeAbstractUI.aspx?menuIndex=3&amp;refID=7056428&amp;Result=3","7056428")</f>
        <v>0</v>
      </c>
      <c r="B8459" t="s">
        <v>1524</v>
      </c>
      <c r="C8459" t="s">
        <v>11554</v>
      </c>
      <c r="D8459" t="s">
        <v>18804</v>
      </c>
      <c r="E8459" t="s">
        <v>26276</v>
      </c>
      <c r="F8459" t="s">
        <v>32664</v>
      </c>
      <c r="G8459" t="s">
        <v>32672</v>
      </c>
      <c r="H8459" t="s">
        <v>12635</v>
      </c>
      <c r="I8459" t="s">
        <v>8730</v>
      </c>
      <c r="J8459" t="s">
        <v>37956</v>
      </c>
      <c r="K8459" t="s">
        <v>42281</v>
      </c>
      <c r="M8459" t="s">
        <v>44191</v>
      </c>
      <c r="N8459" t="s">
        <v>46569</v>
      </c>
      <c r="O8459" t="s">
        <v>46570</v>
      </c>
      <c r="P8459">
        <v>0</v>
      </c>
      <c r="Q8459">
        <v>10</v>
      </c>
      <c r="R8459" t="s">
        <v>46576</v>
      </c>
      <c r="S8459" t="s">
        <v>46749</v>
      </c>
      <c r="T8459" t="s">
        <v>48626</v>
      </c>
      <c r="U8459" t="s">
        <v>52220</v>
      </c>
      <c r="V8459" t="s">
        <v>62052</v>
      </c>
      <c r="W8459" t="s">
        <v>44191</v>
      </c>
      <c r="X8459" t="s">
        <v>46577</v>
      </c>
    </row>
    <row r="8460" spans="1:24">
      <c r="A8460">
        <f>HYPERLINK("https://www.philgeps.gov.ph/GEPSNONPILOT/Tender/SplashBidNoticeAbstractUI.aspx?menuIndex=3&amp;refID=7056427&amp;Result=3","7056427")</f>
        <v>0</v>
      </c>
      <c r="B8460" t="s">
        <v>2474</v>
      </c>
      <c r="C8460" t="s">
        <v>11555</v>
      </c>
      <c r="D8460" t="s">
        <v>18781</v>
      </c>
      <c r="E8460" t="s">
        <v>26200</v>
      </c>
      <c r="F8460" t="s">
        <v>32664</v>
      </c>
      <c r="G8460" t="s">
        <v>32672</v>
      </c>
      <c r="H8460" t="s">
        <v>32683</v>
      </c>
      <c r="I8460" t="s">
        <v>10627</v>
      </c>
      <c r="J8460" t="s">
        <v>37957</v>
      </c>
      <c r="K8460" t="s">
        <v>42298</v>
      </c>
      <c r="M8460" t="s">
        <v>45274</v>
      </c>
      <c r="N8460" t="s">
        <v>46569</v>
      </c>
      <c r="O8460" t="s">
        <v>46570</v>
      </c>
      <c r="Q8460">
        <v>0</v>
      </c>
      <c r="R8460" t="s">
        <v>46576</v>
      </c>
      <c r="S8460" t="s">
        <v>46768</v>
      </c>
      <c r="T8460" t="s">
        <v>48360</v>
      </c>
      <c r="U8460" t="s">
        <v>55610</v>
      </c>
      <c r="V8460" t="s">
        <v>62476</v>
      </c>
      <c r="W8460" t="s">
        <v>45274</v>
      </c>
      <c r="X8460" t="s">
        <v>46577</v>
      </c>
    </row>
    <row r="8461" spans="1:24">
      <c r="A8461">
        <f>HYPERLINK("https://www.philgeps.gov.ph/GEPSNONPILOT/Tender/SplashBidNoticeAbstractUI.aspx?menuIndex=3&amp;refID=7056312&amp;Result=3","7056312")</f>
        <v>0</v>
      </c>
      <c r="B8461" t="s">
        <v>2495</v>
      </c>
      <c r="C8461" t="s">
        <v>11556</v>
      </c>
      <c r="D8461" t="s">
        <v>18827</v>
      </c>
      <c r="E8461" t="s">
        <v>26277</v>
      </c>
      <c r="F8461" t="s">
        <v>32664</v>
      </c>
      <c r="G8461" t="s">
        <v>32672</v>
      </c>
      <c r="H8461" t="s">
        <v>12635</v>
      </c>
      <c r="I8461" t="s">
        <v>9597</v>
      </c>
      <c r="J8461" t="s">
        <v>32898</v>
      </c>
      <c r="K8461" t="s">
        <v>42284</v>
      </c>
      <c r="M8461" t="s">
        <v>45297</v>
      </c>
      <c r="N8461" t="s">
        <v>46569</v>
      </c>
      <c r="O8461" t="s">
        <v>46570</v>
      </c>
      <c r="P8461">
        <v>0</v>
      </c>
      <c r="Q8461">
        <v>2</v>
      </c>
      <c r="R8461" t="s">
        <v>46576</v>
      </c>
      <c r="S8461" t="s">
        <v>46749</v>
      </c>
      <c r="T8461" t="s">
        <v>48219</v>
      </c>
      <c r="U8461" t="s">
        <v>55674</v>
      </c>
      <c r="W8461" t="s">
        <v>45297</v>
      </c>
      <c r="X8461" t="s">
        <v>46577</v>
      </c>
    </row>
    <row r="8462" spans="1:24">
      <c r="A8462">
        <f>HYPERLINK("https://www.philgeps.gov.ph/GEPSNONPILOT/Tender/SplashBidNoticeAbstractUI.aspx?menuIndex=3&amp;refID=7056425&amp;Result=3","7056425")</f>
        <v>0</v>
      </c>
      <c r="B8462" t="s">
        <v>2474</v>
      </c>
      <c r="C8462" t="s">
        <v>11557</v>
      </c>
      <c r="D8462" t="s">
        <v>18781</v>
      </c>
      <c r="E8462" t="s">
        <v>26200</v>
      </c>
      <c r="F8462" t="s">
        <v>32664</v>
      </c>
      <c r="G8462" t="s">
        <v>32672</v>
      </c>
      <c r="H8462" t="s">
        <v>32683</v>
      </c>
      <c r="I8462" t="s">
        <v>10627</v>
      </c>
      <c r="J8462" t="s">
        <v>37958</v>
      </c>
      <c r="K8462" t="s">
        <v>42298</v>
      </c>
      <c r="M8462" t="s">
        <v>45274</v>
      </c>
      <c r="N8462" t="s">
        <v>46569</v>
      </c>
      <c r="O8462" t="s">
        <v>46570</v>
      </c>
      <c r="Q8462">
        <v>0</v>
      </c>
      <c r="R8462" t="s">
        <v>46576</v>
      </c>
      <c r="S8462" t="s">
        <v>46769</v>
      </c>
      <c r="T8462" t="s">
        <v>48360</v>
      </c>
      <c r="U8462" t="s">
        <v>55610</v>
      </c>
      <c r="V8462" t="s">
        <v>62477</v>
      </c>
      <c r="W8462" t="s">
        <v>45274</v>
      </c>
      <c r="X8462" t="s">
        <v>46577</v>
      </c>
    </row>
    <row r="8463" spans="1:24">
      <c r="A8463">
        <f>HYPERLINK("https://www.philgeps.gov.ph/GEPSNONPILOT/Tender/SplashBidNoticeAbstractUI.aspx?menuIndex=3&amp;refID=7056474&amp;Result=3","7056474")</f>
        <v>0</v>
      </c>
      <c r="B8463" t="s">
        <v>2357</v>
      </c>
      <c r="C8463" t="s">
        <v>11558</v>
      </c>
      <c r="D8463" t="s">
        <v>18783</v>
      </c>
      <c r="E8463" t="s">
        <v>26278</v>
      </c>
      <c r="F8463" t="s">
        <v>32664</v>
      </c>
      <c r="G8463" t="s">
        <v>32672</v>
      </c>
      <c r="H8463" t="s">
        <v>32683</v>
      </c>
      <c r="I8463" t="s">
        <v>10627</v>
      </c>
      <c r="J8463" t="s">
        <v>32865</v>
      </c>
      <c r="K8463" t="s">
        <v>42298</v>
      </c>
      <c r="M8463" t="s">
        <v>45141</v>
      </c>
      <c r="N8463" t="s">
        <v>46569</v>
      </c>
      <c r="O8463" t="s">
        <v>46570</v>
      </c>
      <c r="P8463">
        <v>0</v>
      </c>
      <c r="Q8463">
        <v>2</v>
      </c>
      <c r="R8463" t="s">
        <v>46576</v>
      </c>
      <c r="S8463" t="s">
        <v>46749</v>
      </c>
      <c r="T8463" t="s">
        <v>48246</v>
      </c>
      <c r="U8463" t="s">
        <v>55590</v>
      </c>
      <c r="W8463" t="s">
        <v>45141</v>
      </c>
      <c r="X8463" t="s">
        <v>46577</v>
      </c>
    </row>
    <row r="8464" spans="1:24">
      <c r="A8464">
        <f>HYPERLINK("https://www.philgeps.gov.ph/GEPSNONPILOT/Tender/SplashBidNoticeAbstractUI.aspx?menuIndex=3&amp;refID=7056434&amp;Result=3","7056434")</f>
        <v>0</v>
      </c>
      <c r="B8464" t="s">
        <v>2474</v>
      </c>
      <c r="C8464" t="s">
        <v>11559</v>
      </c>
      <c r="D8464" t="s">
        <v>18781</v>
      </c>
      <c r="E8464" t="s">
        <v>26200</v>
      </c>
      <c r="F8464" t="s">
        <v>32664</v>
      </c>
      <c r="G8464" t="s">
        <v>32672</v>
      </c>
      <c r="H8464" t="s">
        <v>32683</v>
      </c>
      <c r="I8464" t="s">
        <v>10627</v>
      </c>
      <c r="J8464" t="s">
        <v>32962</v>
      </c>
      <c r="K8464" t="s">
        <v>42298</v>
      </c>
      <c r="M8464" t="s">
        <v>45274</v>
      </c>
      <c r="N8464" t="s">
        <v>46569</v>
      </c>
      <c r="O8464" t="s">
        <v>46570</v>
      </c>
      <c r="Q8464">
        <v>0</v>
      </c>
      <c r="R8464" t="s">
        <v>46576</v>
      </c>
      <c r="S8464" t="s">
        <v>46770</v>
      </c>
      <c r="T8464" t="s">
        <v>48360</v>
      </c>
      <c r="U8464" t="s">
        <v>55610</v>
      </c>
      <c r="V8464" t="s">
        <v>62478</v>
      </c>
      <c r="W8464" t="s">
        <v>45274</v>
      </c>
      <c r="X8464" t="s">
        <v>46577</v>
      </c>
    </row>
    <row r="8465" spans="1:24">
      <c r="A8465">
        <f>HYPERLINK("https://www.philgeps.gov.ph/GEPSNONPILOT/Tender/SplashBidNoticeAbstractUI.aspx?menuIndex=3&amp;refID=7056525&amp;Result=3","7056525")</f>
        <v>0</v>
      </c>
      <c r="B8465" t="s">
        <v>1423</v>
      </c>
      <c r="C8465" t="s">
        <v>11560</v>
      </c>
      <c r="E8465" t="s">
        <v>26279</v>
      </c>
      <c r="F8465" t="s">
        <v>32664</v>
      </c>
      <c r="G8465" t="s">
        <v>32672</v>
      </c>
      <c r="H8465" t="s">
        <v>12635</v>
      </c>
      <c r="I8465" t="s">
        <v>5460</v>
      </c>
      <c r="J8465" t="s">
        <v>37959</v>
      </c>
      <c r="K8465" t="s">
        <v>42281</v>
      </c>
      <c r="M8465" t="s">
        <v>45298</v>
      </c>
      <c r="N8465" t="s">
        <v>46569</v>
      </c>
      <c r="O8465" t="s">
        <v>46570</v>
      </c>
      <c r="Q8465">
        <v>2</v>
      </c>
      <c r="R8465" t="s">
        <v>46576</v>
      </c>
      <c r="S8465" t="s">
        <v>46771</v>
      </c>
      <c r="T8465" t="s">
        <v>48308</v>
      </c>
      <c r="U8465" t="s">
        <v>55675</v>
      </c>
      <c r="W8465" t="s">
        <v>45298</v>
      </c>
      <c r="X8465" t="s">
        <v>46577</v>
      </c>
    </row>
    <row r="8466" spans="1:24">
      <c r="A8466">
        <f>HYPERLINK("https://www.philgeps.gov.ph/GEPSNONPILOT/Tender/SplashBidNoticeAbstractUI.aspx?menuIndex=3&amp;refID=7056430&amp;Result=3","7056430")</f>
        <v>0</v>
      </c>
      <c r="B8466" t="s">
        <v>2444</v>
      </c>
      <c r="C8466" t="s">
        <v>11561</v>
      </c>
      <c r="D8466" t="s">
        <v>18781</v>
      </c>
      <c r="E8466" t="s">
        <v>26280</v>
      </c>
      <c r="F8466" t="s">
        <v>32664</v>
      </c>
      <c r="G8466" t="s">
        <v>32672</v>
      </c>
      <c r="H8466" t="s">
        <v>32683</v>
      </c>
      <c r="I8466" t="s">
        <v>10627</v>
      </c>
      <c r="J8466" t="s">
        <v>37960</v>
      </c>
      <c r="K8466" t="s">
        <v>42289</v>
      </c>
      <c r="M8466" t="s">
        <v>45237</v>
      </c>
      <c r="N8466" t="s">
        <v>46569</v>
      </c>
      <c r="O8466" t="s">
        <v>46570</v>
      </c>
      <c r="P8466">
        <v>0</v>
      </c>
      <c r="Q8466">
        <v>0</v>
      </c>
      <c r="R8466" t="s">
        <v>46576</v>
      </c>
      <c r="S8466" t="s">
        <v>46749</v>
      </c>
      <c r="T8466" t="s">
        <v>48249</v>
      </c>
      <c r="U8466" t="s">
        <v>55676</v>
      </c>
      <c r="W8466" t="s">
        <v>45237</v>
      </c>
      <c r="X8466" t="s">
        <v>46577</v>
      </c>
    </row>
    <row r="8467" spans="1:24">
      <c r="A8467">
        <f>HYPERLINK("https://www.philgeps.gov.ph/GEPSNONPILOT/Tender/SplashBidNoticeAbstractUI.aspx?menuIndex=3&amp;refID=7056524&amp;Result=3","7056524")</f>
        <v>0</v>
      </c>
      <c r="B8467" t="s">
        <v>2409</v>
      </c>
      <c r="C8467" t="s">
        <v>11562</v>
      </c>
      <c r="D8467" t="s">
        <v>18786</v>
      </c>
      <c r="E8467" t="s">
        <v>26281</v>
      </c>
      <c r="F8467" t="s">
        <v>32664</v>
      </c>
      <c r="G8467" t="s">
        <v>32672</v>
      </c>
      <c r="H8467" t="s">
        <v>12635</v>
      </c>
      <c r="I8467" t="s">
        <v>32721</v>
      </c>
      <c r="J8467" t="s">
        <v>37947</v>
      </c>
      <c r="K8467" t="s">
        <v>42320</v>
      </c>
      <c r="M8467" t="s">
        <v>45200</v>
      </c>
      <c r="N8467" t="s">
        <v>46569</v>
      </c>
      <c r="O8467" t="s">
        <v>46570</v>
      </c>
      <c r="P8467">
        <v>0</v>
      </c>
      <c r="Q8467">
        <v>0</v>
      </c>
      <c r="R8467" t="s">
        <v>46576</v>
      </c>
      <c r="S8467" t="s">
        <v>46749</v>
      </c>
      <c r="T8467" t="s">
        <v>48221</v>
      </c>
      <c r="U8467" t="s">
        <v>55677</v>
      </c>
      <c r="W8467" t="s">
        <v>45200</v>
      </c>
      <c r="X8467" t="s">
        <v>46577</v>
      </c>
    </row>
    <row r="8468" spans="1:24">
      <c r="A8468">
        <f>HYPERLINK("https://www.philgeps.gov.ph/GEPSNONPILOT/Tender/SplashBidNoticeAbstractUI.aspx?menuIndex=3&amp;refID=7056441&amp;Result=3","7056441")</f>
        <v>0</v>
      </c>
      <c r="B8468" t="s">
        <v>2474</v>
      </c>
      <c r="C8468" t="s">
        <v>11563</v>
      </c>
      <c r="D8468" t="s">
        <v>18781</v>
      </c>
      <c r="E8468" t="s">
        <v>26200</v>
      </c>
      <c r="F8468" t="s">
        <v>32664</v>
      </c>
      <c r="G8468" t="s">
        <v>32672</v>
      </c>
      <c r="H8468" t="s">
        <v>32683</v>
      </c>
      <c r="I8468" t="s">
        <v>10627</v>
      </c>
      <c r="J8468" t="s">
        <v>32962</v>
      </c>
      <c r="K8468" t="s">
        <v>42298</v>
      </c>
      <c r="M8468" t="s">
        <v>45274</v>
      </c>
      <c r="N8468" t="s">
        <v>46569</v>
      </c>
      <c r="O8468" t="s">
        <v>46570</v>
      </c>
      <c r="Q8468">
        <v>0</v>
      </c>
      <c r="R8468" t="s">
        <v>46576</v>
      </c>
      <c r="S8468" t="s">
        <v>46772</v>
      </c>
      <c r="T8468" t="s">
        <v>48360</v>
      </c>
      <c r="U8468" t="s">
        <v>55610</v>
      </c>
      <c r="V8468" t="s">
        <v>62479</v>
      </c>
      <c r="W8468" t="s">
        <v>45274</v>
      </c>
      <c r="X8468" t="s">
        <v>46577</v>
      </c>
    </row>
    <row r="8469" spans="1:24">
      <c r="A8469">
        <f>HYPERLINK("https://www.philgeps.gov.ph/GEPSNONPILOT/Tender/SplashBidNoticeAbstractUI.aspx?menuIndex=3&amp;refID=7056513&amp;Result=3","7056513")</f>
        <v>0</v>
      </c>
      <c r="B8469" t="s">
        <v>2496</v>
      </c>
      <c r="C8469" t="s">
        <v>11564</v>
      </c>
      <c r="D8469" t="s">
        <v>18798</v>
      </c>
      <c r="E8469" t="s">
        <v>26282</v>
      </c>
      <c r="F8469" t="s">
        <v>32664</v>
      </c>
      <c r="G8469" t="s">
        <v>32672</v>
      </c>
      <c r="H8469" t="s">
        <v>32683</v>
      </c>
      <c r="I8469" t="s">
        <v>10627</v>
      </c>
      <c r="J8469" t="s">
        <v>37961</v>
      </c>
      <c r="K8469" t="s">
        <v>42343</v>
      </c>
      <c r="M8469" t="s">
        <v>45299</v>
      </c>
      <c r="N8469" t="s">
        <v>46569</v>
      </c>
      <c r="O8469" t="s">
        <v>46570</v>
      </c>
      <c r="P8469">
        <v>0</v>
      </c>
      <c r="Q8469">
        <v>1</v>
      </c>
      <c r="R8469" t="s">
        <v>46576</v>
      </c>
      <c r="S8469" t="s">
        <v>46749</v>
      </c>
      <c r="T8469" t="s">
        <v>48219</v>
      </c>
      <c r="U8469" t="s">
        <v>55678</v>
      </c>
      <c r="W8469" t="s">
        <v>45299</v>
      </c>
      <c r="X8469" t="s">
        <v>46577</v>
      </c>
    </row>
    <row r="8470" spans="1:24">
      <c r="A8470">
        <f>HYPERLINK("https://www.philgeps.gov.ph/GEPSNONPILOT/Tender/SplashBidNoticeAbstractUI.aspx?menuIndex=3&amp;refID=7056423&amp;Result=3","7056423")</f>
        <v>0</v>
      </c>
      <c r="B8470" t="s">
        <v>146</v>
      </c>
      <c r="C8470" t="s">
        <v>11565</v>
      </c>
      <c r="E8470" t="s">
        <v>26283</v>
      </c>
      <c r="F8470" t="s">
        <v>32664</v>
      </c>
      <c r="G8470" t="s">
        <v>32671</v>
      </c>
      <c r="H8470" t="s">
        <v>12635</v>
      </c>
      <c r="I8470" t="s">
        <v>32725</v>
      </c>
      <c r="J8470" t="s">
        <v>37962</v>
      </c>
      <c r="K8470" t="s">
        <v>42281</v>
      </c>
      <c r="M8470" t="s">
        <v>45292</v>
      </c>
      <c r="N8470" t="s">
        <v>46569</v>
      </c>
      <c r="O8470" t="s">
        <v>46570</v>
      </c>
      <c r="P8470">
        <v>0</v>
      </c>
      <c r="Q8470">
        <v>11</v>
      </c>
      <c r="R8470" t="s">
        <v>46576</v>
      </c>
      <c r="S8470" t="s">
        <v>46749</v>
      </c>
      <c r="T8470" t="s">
        <v>48590</v>
      </c>
      <c r="U8470" t="s">
        <v>55679</v>
      </c>
      <c r="W8470" t="s">
        <v>45292</v>
      </c>
      <c r="X8470" t="s">
        <v>46577</v>
      </c>
    </row>
    <row r="8471" spans="1:24">
      <c r="A8471">
        <f>HYPERLINK("https://www.philgeps.gov.ph/GEPSNONPILOT/Tender/SplashBidNoticeAbstractUI.aspx?menuIndex=3&amp;refID=7056510&amp;Result=3","7056510")</f>
        <v>0</v>
      </c>
      <c r="B8471" t="s">
        <v>2497</v>
      </c>
      <c r="C8471" t="s">
        <v>11566</v>
      </c>
      <c r="D8471" t="s">
        <v>18839</v>
      </c>
      <c r="E8471" t="s">
        <v>26284</v>
      </c>
      <c r="F8471" t="s">
        <v>32664</v>
      </c>
      <c r="G8471" t="s">
        <v>32672</v>
      </c>
      <c r="H8471" t="s">
        <v>32683</v>
      </c>
      <c r="I8471" t="s">
        <v>10627</v>
      </c>
      <c r="J8471" t="s">
        <v>32962</v>
      </c>
      <c r="K8471" t="s">
        <v>42298</v>
      </c>
      <c r="M8471" t="s">
        <v>45300</v>
      </c>
      <c r="N8471" t="s">
        <v>46569</v>
      </c>
      <c r="O8471" t="s">
        <v>46570</v>
      </c>
      <c r="P8471">
        <v>0</v>
      </c>
      <c r="Q8471">
        <v>0</v>
      </c>
      <c r="R8471" t="s">
        <v>46576</v>
      </c>
      <c r="S8471" t="s">
        <v>46749</v>
      </c>
      <c r="T8471" t="s">
        <v>48283</v>
      </c>
      <c r="U8471" t="s">
        <v>55680</v>
      </c>
      <c r="W8471" t="s">
        <v>45300</v>
      </c>
      <c r="X8471" t="s">
        <v>46577</v>
      </c>
    </row>
    <row r="8472" spans="1:24">
      <c r="A8472">
        <f>HYPERLINK("https://www.philgeps.gov.ph/GEPSNONPILOT/Tender/SplashBidNoticeAbstractUI.aspx?menuIndex=3&amp;refID=7056504&amp;Result=3","7056504")</f>
        <v>0</v>
      </c>
      <c r="B8472" t="s">
        <v>2443</v>
      </c>
      <c r="C8472" t="s">
        <v>11567</v>
      </c>
      <c r="D8472" t="s">
        <v>18803</v>
      </c>
      <c r="E8472" t="s">
        <v>26285</v>
      </c>
      <c r="F8472" t="s">
        <v>32664</v>
      </c>
      <c r="G8472" t="s">
        <v>32672</v>
      </c>
      <c r="H8472" t="s">
        <v>32682</v>
      </c>
      <c r="I8472" t="s">
        <v>32700</v>
      </c>
      <c r="J8472" t="s">
        <v>37963</v>
      </c>
      <c r="K8472" t="s">
        <v>42283</v>
      </c>
      <c r="M8472" t="s">
        <v>45236</v>
      </c>
      <c r="N8472" t="s">
        <v>46569</v>
      </c>
      <c r="O8472" t="s">
        <v>46570</v>
      </c>
      <c r="P8472">
        <v>0</v>
      </c>
      <c r="Q8472">
        <v>1</v>
      </c>
      <c r="R8472" t="s">
        <v>46576</v>
      </c>
      <c r="S8472" t="s">
        <v>46749</v>
      </c>
      <c r="T8472" t="s">
        <v>48213</v>
      </c>
      <c r="U8472" t="s">
        <v>55681</v>
      </c>
      <c r="W8472" t="s">
        <v>45236</v>
      </c>
      <c r="X8472" t="s">
        <v>46577</v>
      </c>
    </row>
    <row r="8473" spans="1:24">
      <c r="A8473">
        <f>HYPERLINK("https://www.philgeps.gov.ph/GEPSNONPILOT/Tender/SplashBidNoticeAbstractUI.aspx?menuIndex=3&amp;refID=7056496&amp;Result=3","7056496")</f>
        <v>0</v>
      </c>
      <c r="B8473" t="s">
        <v>2498</v>
      </c>
      <c r="C8473" t="s">
        <v>11568</v>
      </c>
      <c r="D8473" t="s">
        <v>18806</v>
      </c>
      <c r="E8473" t="s">
        <v>26286</v>
      </c>
      <c r="F8473" t="s">
        <v>32664</v>
      </c>
      <c r="G8473" t="s">
        <v>32672</v>
      </c>
      <c r="H8473" t="s">
        <v>12635</v>
      </c>
      <c r="I8473" t="s">
        <v>6168</v>
      </c>
      <c r="J8473" t="s">
        <v>37964</v>
      </c>
      <c r="K8473" t="s">
        <v>42283</v>
      </c>
      <c r="M8473" t="s">
        <v>45301</v>
      </c>
      <c r="N8473" t="s">
        <v>46569</v>
      </c>
      <c r="O8473" t="s">
        <v>46570</v>
      </c>
      <c r="P8473">
        <v>0</v>
      </c>
      <c r="Q8473">
        <v>1</v>
      </c>
      <c r="R8473" t="s">
        <v>46576</v>
      </c>
      <c r="S8473" t="s">
        <v>46749</v>
      </c>
      <c r="T8473" t="s">
        <v>48308</v>
      </c>
      <c r="U8473" t="s">
        <v>55682</v>
      </c>
      <c r="V8473" t="s">
        <v>62480</v>
      </c>
      <c r="W8473" t="s">
        <v>45301</v>
      </c>
      <c r="X8473" t="s">
        <v>46577</v>
      </c>
    </row>
    <row r="8474" spans="1:24">
      <c r="A8474">
        <f>HYPERLINK("https://www.philgeps.gov.ph/GEPSNONPILOT/Tender/SplashBidNoticeAbstractUI.aspx?menuIndex=3&amp;refID=7056498&amp;Result=3","7056498")</f>
        <v>0</v>
      </c>
      <c r="B8474" t="s">
        <v>2474</v>
      </c>
      <c r="C8474" t="s">
        <v>11569</v>
      </c>
      <c r="D8474" t="s">
        <v>18781</v>
      </c>
      <c r="E8474" t="s">
        <v>26200</v>
      </c>
      <c r="F8474" t="s">
        <v>32664</v>
      </c>
      <c r="G8474" t="s">
        <v>32672</v>
      </c>
      <c r="H8474" t="s">
        <v>32683</v>
      </c>
      <c r="I8474" t="s">
        <v>10627</v>
      </c>
      <c r="J8474" t="s">
        <v>32865</v>
      </c>
      <c r="K8474" t="s">
        <v>42305</v>
      </c>
      <c r="M8474" t="s">
        <v>45274</v>
      </c>
      <c r="N8474" t="s">
        <v>46569</v>
      </c>
      <c r="O8474" t="s">
        <v>46570</v>
      </c>
      <c r="Q8474">
        <v>0</v>
      </c>
      <c r="R8474" t="s">
        <v>46576</v>
      </c>
      <c r="S8474" t="s">
        <v>46720</v>
      </c>
      <c r="T8474" t="s">
        <v>48360</v>
      </c>
      <c r="U8474" t="s">
        <v>55610</v>
      </c>
      <c r="V8474" t="s">
        <v>62481</v>
      </c>
      <c r="W8474" t="s">
        <v>45274</v>
      </c>
      <c r="X8474" t="s">
        <v>46577</v>
      </c>
    </row>
    <row r="8475" spans="1:24">
      <c r="A8475">
        <f>HYPERLINK("https://www.philgeps.gov.ph/GEPSNONPILOT/Tender/SplashBidNoticeAbstractUI.aspx?menuIndex=3&amp;refID=7056448&amp;Result=3","7056448")</f>
        <v>0</v>
      </c>
      <c r="B8475" t="s">
        <v>2285</v>
      </c>
      <c r="C8475" t="s">
        <v>11570</v>
      </c>
      <c r="D8475" t="s">
        <v>18784</v>
      </c>
      <c r="E8475" t="s">
        <v>26287</v>
      </c>
      <c r="F8475" t="s">
        <v>32664</v>
      </c>
      <c r="G8475" t="s">
        <v>32672</v>
      </c>
      <c r="H8475" t="s">
        <v>12635</v>
      </c>
      <c r="I8475" t="s">
        <v>10590</v>
      </c>
      <c r="J8475" t="s">
        <v>37965</v>
      </c>
      <c r="K8475" t="s">
        <v>42309</v>
      </c>
      <c r="M8475" t="s">
        <v>45055</v>
      </c>
      <c r="N8475" t="s">
        <v>46569</v>
      </c>
      <c r="O8475" t="s">
        <v>46570</v>
      </c>
      <c r="P8475">
        <v>0</v>
      </c>
      <c r="Q8475">
        <v>1</v>
      </c>
      <c r="R8475" t="s">
        <v>46576</v>
      </c>
      <c r="S8475" t="s">
        <v>46749</v>
      </c>
      <c r="T8475" t="s">
        <v>48293</v>
      </c>
      <c r="U8475" t="s">
        <v>49627</v>
      </c>
      <c r="W8475" t="s">
        <v>45055</v>
      </c>
      <c r="X8475" t="s">
        <v>46577</v>
      </c>
    </row>
    <row r="8476" spans="1:24">
      <c r="A8476">
        <f>HYPERLINK("https://www.philgeps.gov.ph/GEPSNONPILOT/Tender/SplashBidNoticeAbstractUI.aspx?menuIndex=3&amp;refID=7056482&amp;Result=3","7056482")</f>
        <v>0</v>
      </c>
      <c r="B8476" t="s">
        <v>2474</v>
      </c>
      <c r="C8476" t="s">
        <v>11571</v>
      </c>
      <c r="D8476" t="s">
        <v>18781</v>
      </c>
      <c r="E8476" t="s">
        <v>26200</v>
      </c>
      <c r="F8476" t="s">
        <v>32664</v>
      </c>
      <c r="G8476" t="s">
        <v>32672</v>
      </c>
      <c r="H8476" t="s">
        <v>32683</v>
      </c>
      <c r="I8476" t="s">
        <v>10627</v>
      </c>
      <c r="J8476" t="s">
        <v>32962</v>
      </c>
      <c r="K8476" t="s">
        <v>42298</v>
      </c>
      <c r="M8476" t="s">
        <v>45274</v>
      </c>
      <c r="N8476" t="s">
        <v>46569</v>
      </c>
      <c r="O8476" t="s">
        <v>46570</v>
      </c>
      <c r="Q8476">
        <v>0</v>
      </c>
      <c r="R8476" t="s">
        <v>46576</v>
      </c>
      <c r="S8476" t="s">
        <v>46773</v>
      </c>
      <c r="T8476" t="s">
        <v>48360</v>
      </c>
      <c r="U8476" t="s">
        <v>55610</v>
      </c>
      <c r="V8476" t="s">
        <v>62482</v>
      </c>
      <c r="W8476" t="s">
        <v>45274</v>
      </c>
      <c r="X8476" t="s">
        <v>46577</v>
      </c>
    </row>
    <row r="8477" spans="1:24">
      <c r="A8477">
        <f>HYPERLINK("https://www.philgeps.gov.ph/GEPSNONPILOT/Tender/SplashBidNoticeAbstractUI.aspx?menuIndex=3&amp;refID=7056478&amp;Result=3","7056478")</f>
        <v>0</v>
      </c>
      <c r="B8477" t="s">
        <v>2474</v>
      </c>
      <c r="C8477" t="s">
        <v>11572</v>
      </c>
      <c r="D8477" t="s">
        <v>18781</v>
      </c>
      <c r="E8477" t="s">
        <v>26200</v>
      </c>
      <c r="F8477" t="s">
        <v>32664</v>
      </c>
      <c r="G8477" t="s">
        <v>32672</v>
      </c>
      <c r="H8477" t="s">
        <v>32683</v>
      </c>
      <c r="I8477" t="s">
        <v>10627</v>
      </c>
      <c r="J8477" t="s">
        <v>32962</v>
      </c>
      <c r="K8477" t="s">
        <v>42298</v>
      </c>
      <c r="M8477" t="s">
        <v>45274</v>
      </c>
      <c r="N8477" t="s">
        <v>46569</v>
      </c>
      <c r="O8477" t="s">
        <v>46570</v>
      </c>
      <c r="Q8477">
        <v>0</v>
      </c>
      <c r="R8477" t="s">
        <v>46576</v>
      </c>
      <c r="S8477" t="s">
        <v>46774</v>
      </c>
      <c r="T8477" t="s">
        <v>48360</v>
      </c>
      <c r="U8477" t="s">
        <v>55610</v>
      </c>
      <c r="V8477" t="s">
        <v>62483</v>
      </c>
      <c r="W8477" t="s">
        <v>45274</v>
      </c>
      <c r="X8477" t="s">
        <v>46577</v>
      </c>
    </row>
    <row r="8478" spans="1:24">
      <c r="A8478">
        <f>HYPERLINK("https://www.philgeps.gov.ph/GEPSNONPILOT/Tender/SplashBidNoticeAbstractUI.aspx?menuIndex=3&amp;refID=7056495&amp;Result=3","7056495")</f>
        <v>0</v>
      </c>
      <c r="B8478" t="s">
        <v>2499</v>
      </c>
      <c r="C8478" t="s">
        <v>11573</v>
      </c>
      <c r="D8478" t="s">
        <v>18809</v>
      </c>
      <c r="E8478" t="s">
        <v>26288</v>
      </c>
      <c r="F8478" t="s">
        <v>32664</v>
      </c>
      <c r="G8478" t="s">
        <v>32672</v>
      </c>
      <c r="H8478" t="s">
        <v>12635</v>
      </c>
      <c r="I8478" t="s">
        <v>10627</v>
      </c>
      <c r="J8478" t="s">
        <v>37966</v>
      </c>
      <c r="K8478" t="s">
        <v>42281</v>
      </c>
      <c r="M8478" t="s">
        <v>45302</v>
      </c>
      <c r="N8478" t="s">
        <v>46569</v>
      </c>
      <c r="O8478" t="s">
        <v>46570</v>
      </c>
      <c r="P8478">
        <v>0</v>
      </c>
      <c r="Q8478">
        <v>0</v>
      </c>
      <c r="R8478" t="s">
        <v>46576</v>
      </c>
      <c r="S8478" t="s">
        <v>46749</v>
      </c>
      <c r="T8478" t="s">
        <v>48384</v>
      </c>
      <c r="U8478" t="s">
        <v>55683</v>
      </c>
      <c r="W8478" t="s">
        <v>45302</v>
      </c>
      <c r="X8478" t="s">
        <v>46577</v>
      </c>
    </row>
    <row r="8479" spans="1:24">
      <c r="A8479">
        <f>HYPERLINK("https://www.philgeps.gov.ph/GEPSNONPILOT/Tender/SplashBidNoticeAbstractUI.aspx?menuIndex=3&amp;refID=7056477&amp;Result=3","7056477")</f>
        <v>0</v>
      </c>
      <c r="B8479" t="s">
        <v>651</v>
      </c>
      <c r="C8479" t="s">
        <v>11574</v>
      </c>
      <c r="D8479" t="s">
        <v>18826</v>
      </c>
      <c r="E8479" t="s">
        <v>26289</v>
      </c>
      <c r="F8479" t="s">
        <v>32664</v>
      </c>
      <c r="G8479" t="s">
        <v>32672</v>
      </c>
      <c r="H8479" t="s">
        <v>12635</v>
      </c>
      <c r="I8479" t="s">
        <v>6168</v>
      </c>
      <c r="J8479" t="s">
        <v>37967</v>
      </c>
      <c r="K8479" t="s">
        <v>42303</v>
      </c>
      <c r="M8479" t="s">
        <v>43237</v>
      </c>
      <c r="N8479" t="s">
        <v>46569</v>
      </c>
      <c r="O8479" t="s">
        <v>46570</v>
      </c>
      <c r="P8479">
        <v>0</v>
      </c>
      <c r="Q8479">
        <v>3</v>
      </c>
      <c r="R8479" t="s">
        <v>46576</v>
      </c>
      <c r="S8479" t="s">
        <v>46749</v>
      </c>
      <c r="T8479" t="s">
        <v>48363</v>
      </c>
      <c r="U8479" t="s">
        <v>55684</v>
      </c>
      <c r="W8479" t="s">
        <v>43237</v>
      </c>
      <c r="X8479" t="s">
        <v>46577</v>
      </c>
    </row>
    <row r="8480" spans="1:24">
      <c r="A8480">
        <f>HYPERLINK("https://www.philgeps.gov.ph/GEPSNONPILOT/Tender/SplashBidNoticeAbstractUI.aspx?menuIndex=3&amp;refID=7056516&amp;Result=3","7056516")</f>
        <v>0</v>
      </c>
      <c r="B8480" t="s">
        <v>1996</v>
      </c>
      <c r="C8480" t="s">
        <v>11575</v>
      </c>
      <c r="D8480" t="s">
        <v>18801</v>
      </c>
      <c r="E8480" t="s">
        <v>26290</v>
      </c>
      <c r="F8480" t="s">
        <v>32664</v>
      </c>
      <c r="G8480" t="s">
        <v>32672</v>
      </c>
      <c r="H8480" t="s">
        <v>12635</v>
      </c>
      <c r="I8480" t="s">
        <v>32699</v>
      </c>
      <c r="J8480" t="s">
        <v>32981</v>
      </c>
      <c r="K8480" t="s">
        <v>42283</v>
      </c>
      <c r="M8480" t="s">
        <v>44731</v>
      </c>
      <c r="N8480" t="s">
        <v>46569</v>
      </c>
      <c r="O8480" t="s">
        <v>46570</v>
      </c>
      <c r="P8480">
        <v>0</v>
      </c>
      <c r="Q8480">
        <v>2</v>
      </c>
      <c r="R8480" t="s">
        <v>46576</v>
      </c>
      <c r="S8480" t="s">
        <v>46749</v>
      </c>
      <c r="T8480" t="s">
        <v>48410</v>
      </c>
      <c r="U8480" t="s">
        <v>55685</v>
      </c>
      <c r="W8480" t="s">
        <v>44731</v>
      </c>
      <c r="X8480" t="s">
        <v>46577</v>
      </c>
    </row>
    <row r="8481" spans="1:24">
      <c r="A8481">
        <f>HYPERLINK("https://www.philgeps.gov.ph/GEPSNONPILOT/Tender/SplashBidNoticeAbstractUI.aspx?menuIndex=3&amp;refID=7056473&amp;Result=3","7056473")</f>
        <v>0</v>
      </c>
      <c r="B8481" t="s">
        <v>1543</v>
      </c>
      <c r="C8481" t="s">
        <v>11576</v>
      </c>
      <c r="E8481" t="s">
        <v>26291</v>
      </c>
      <c r="F8481" t="s">
        <v>32664</v>
      </c>
      <c r="G8481" t="s">
        <v>32671</v>
      </c>
      <c r="H8481" t="s">
        <v>12635</v>
      </c>
      <c r="I8481" t="s">
        <v>32696</v>
      </c>
      <c r="J8481" t="s">
        <v>33196</v>
      </c>
      <c r="K8481" t="s">
        <v>42311</v>
      </c>
      <c r="M8481" t="s">
        <v>44212</v>
      </c>
      <c r="N8481" t="s">
        <v>46569</v>
      </c>
      <c r="O8481" t="s">
        <v>46570</v>
      </c>
      <c r="P8481">
        <v>0</v>
      </c>
      <c r="Q8481">
        <v>1</v>
      </c>
      <c r="R8481" t="s">
        <v>46576</v>
      </c>
      <c r="S8481" t="s">
        <v>46749</v>
      </c>
      <c r="T8481" t="s">
        <v>48473</v>
      </c>
      <c r="U8481" t="s">
        <v>55686</v>
      </c>
      <c r="V8481" t="s">
        <v>62058</v>
      </c>
      <c r="W8481" t="s">
        <v>44212</v>
      </c>
      <c r="X8481" t="s">
        <v>46577</v>
      </c>
    </row>
    <row r="8482" spans="1:24">
      <c r="A8482">
        <f>HYPERLINK("https://www.philgeps.gov.ph/GEPSNONPILOT/Tender/SplashBidNoticeAbstractUI.aspx?menuIndex=3&amp;refID=7056471&amp;Result=3","7056471")</f>
        <v>0</v>
      </c>
      <c r="B8482" t="s">
        <v>2024</v>
      </c>
      <c r="C8482" t="s">
        <v>11577</v>
      </c>
      <c r="D8482" t="s">
        <v>18805</v>
      </c>
      <c r="E8482" t="s">
        <v>26292</v>
      </c>
      <c r="F8482" t="s">
        <v>32664</v>
      </c>
      <c r="G8482" t="s">
        <v>32677</v>
      </c>
      <c r="H8482" t="s">
        <v>12635</v>
      </c>
      <c r="I8482" t="s">
        <v>11464</v>
      </c>
      <c r="J8482" t="s">
        <v>34487</v>
      </c>
      <c r="K8482" t="s">
        <v>42281</v>
      </c>
      <c r="M8482" t="s">
        <v>44766</v>
      </c>
      <c r="N8482" t="s">
        <v>46569</v>
      </c>
      <c r="O8482" t="s">
        <v>46570</v>
      </c>
      <c r="P8482">
        <v>0</v>
      </c>
      <c r="Q8482">
        <v>3</v>
      </c>
      <c r="R8482" t="s">
        <v>46576</v>
      </c>
      <c r="S8482" t="s">
        <v>46749</v>
      </c>
      <c r="T8482" t="s">
        <v>48302</v>
      </c>
      <c r="U8482" t="s">
        <v>55687</v>
      </c>
      <c r="W8482" t="s">
        <v>44766</v>
      </c>
      <c r="X8482" t="s">
        <v>46577</v>
      </c>
    </row>
    <row r="8483" spans="1:24">
      <c r="A8483">
        <f>HYPERLINK("https://www.philgeps.gov.ph/GEPSNONPILOT/Tender/SplashBidNoticeAbstractUI.aspx?menuIndex=3&amp;refID=7056489&amp;Result=3","7056489")</f>
        <v>0</v>
      </c>
      <c r="B8483" t="s">
        <v>2409</v>
      </c>
      <c r="C8483" t="s">
        <v>11578</v>
      </c>
      <c r="D8483" t="s">
        <v>18786</v>
      </c>
      <c r="E8483" t="s">
        <v>26293</v>
      </c>
      <c r="F8483" t="s">
        <v>32664</v>
      </c>
      <c r="G8483" t="s">
        <v>32672</v>
      </c>
      <c r="H8483" t="s">
        <v>12635</v>
      </c>
      <c r="I8483" t="s">
        <v>32721</v>
      </c>
      <c r="J8483" t="s">
        <v>37947</v>
      </c>
      <c r="K8483" t="s">
        <v>42320</v>
      </c>
      <c r="M8483" t="s">
        <v>45200</v>
      </c>
      <c r="N8483" t="s">
        <v>46569</v>
      </c>
      <c r="O8483" t="s">
        <v>46570</v>
      </c>
      <c r="P8483">
        <v>0</v>
      </c>
      <c r="Q8483">
        <v>1</v>
      </c>
      <c r="R8483" t="s">
        <v>46576</v>
      </c>
      <c r="S8483" t="s">
        <v>46749</v>
      </c>
      <c r="T8483" t="s">
        <v>48221</v>
      </c>
      <c r="U8483" t="s">
        <v>55666</v>
      </c>
      <c r="W8483" t="s">
        <v>45200</v>
      </c>
      <c r="X8483" t="s">
        <v>46577</v>
      </c>
    </row>
    <row r="8484" spans="1:24">
      <c r="A8484">
        <f>HYPERLINK("https://www.philgeps.gov.ph/GEPSNONPILOT/Tender/SplashBidNoticeAbstractUI.aspx?menuIndex=3&amp;refID=7056421&amp;Result=3","7056421")</f>
        <v>0</v>
      </c>
      <c r="B8484" t="s">
        <v>2409</v>
      </c>
      <c r="C8484" t="s">
        <v>11579</v>
      </c>
      <c r="D8484" t="s">
        <v>18786</v>
      </c>
      <c r="E8484" t="s">
        <v>26294</v>
      </c>
      <c r="F8484" t="s">
        <v>32664</v>
      </c>
      <c r="G8484" t="s">
        <v>32672</v>
      </c>
      <c r="H8484" t="s">
        <v>12635</v>
      </c>
      <c r="I8484" t="s">
        <v>32721</v>
      </c>
      <c r="J8484" t="s">
        <v>37947</v>
      </c>
      <c r="K8484" t="s">
        <v>42320</v>
      </c>
      <c r="M8484" t="s">
        <v>45200</v>
      </c>
      <c r="N8484" t="s">
        <v>46569</v>
      </c>
      <c r="O8484" t="s">
        <v>46570</v>
      </c>
      <c r="P8484">
        <v>0</v>
      </c>
      <c r="Q8484">
        <v>1</v>
      </c>
      <c r="R8484" t="s">
        <v>46576</v>
      </c>
      <c r="S8484" t="s">
        <v>46749</v>
      </c>
      <c r="T8484" t="s">
        <v>48219</v>
      </c>
      <c r="U8484" t="s">
        <v>55666</v>
      </c>
      <c r="W8484" t="s">
        <v>45200</v>
      </c>
      <c r="X8484" t="s">
        <v>46577</v>
      </c>
    </row>
    <row r="8485" spans="1:24">
      <c r="A8485">
        <f>HYPERLINK("https://www.philgeps.gov.ph/GEPSNONPILOT/Tender/SplashBidNoticeAbstractUI.aspx?menuIndex=3&amp;refID=7056417&amp;Result=3","7056417")</f>
        <v>0</v>
      </c>
      <c r="B8485" t="s">
        <v>949</v>
      </c>
      <c r="C8485" t="s">
        <v>5354</v>
      </c>
      <c r="D8485" t="s">
        <v>18784</v>
      </c>
      <c r="E8485" t="s">
        <v>26295</v>
      </c>
      <c r="F8485" t="s">
        <v>32664</v>
      </c>
      <c r="G8485" t="s">
        <v>32671</v>
      </c>
      <c r="H8485" t="s">
        <v>12635</v>
      </c>
      <c r="I8485" t="s">
        <v>4439</v>
      </c>
      <c r="J8485" t="s">
        <v>37968</v>
      </c>
      <c r="K8485" t="s">
        <v>42289</v>
      </c>
      <c r="M8485" t="s">
        <v>43555</v>
      </c>
      <c r="N8485" t="s">
        <v>46569</v>
      </c>
      <c r="O8485" t="s">
        <v>46570</v>
      </c>
      <c r="P8485">
        <v>0</v>
      </c>
      <c r="Q8485">
        <v>3</v>
      </c>
      <c r="R8485" t="s">
        <v>46576</v>
      </c>
      <c r="S8485" t="s">
        <v>46749</v>
      </c>
      <c r="T8485" t="s">
        <v>48376</v>
      </c>
      <c r="U8485" t="s">
        <v>55688</v>
      </c>
      <c r="W8485" t="s">
        <v>43555</v>
      </c>
      <c r="X8485" t="s">
        <v>46577</v>
      </c>
    </row>
    <row r="8486" spans="1:24">
      <c r="A8486">
        <f>HYPERLINK("https://www.philgeps.gov.ph/GEPSNONPILOT/Tender/SplashBidNoticeAbstractUI.aspx?menuIndex=3&amp;refID=7056476&amp;Result=3","7056476")</f>
        <v>0</v>
      </c>
      <c r="B8486" t="s">
        <v>1479</v>
      </c>
      <c r="C8486" t="s">
        <v>11580</v>
      </c>
      <c r="D8486" t="s">
        <v>18788</v>
      </c>
      <c r="E8486" t="s">
        <v>26296</v>
      </c>
      <c r="F8486" t="s">
        <v>32664</v>
      </c>
      <c r="G8486" t="s">
        <v>32671</v>
      </c>
      <c r="H8486" t="s">
        <v>12635</v>
      </c>
      <c r="I8486" t="s">
        <v>11464</v>
      </c>
      <c r="J8486" t="s">
        <v>33387</v>
      </c>
      <c r="K8486" t="s">
        <v>42289</v>
      </c>
      <c r="M8486" t="s">
        <v>44142</v>
      </c>
      <c r="N8486" t="s">
        <v>46569</v>
      </c>
      <c r="O8486" t="s">
        <v>46570</v>
      </c>
      <c r="P8486">
        <v>0</v>
      </c>
      <c r="Q8486">
        <v>0</v>
      </c>
      <c r="R8486" t="s">
        <v>46576</v>
      </c>
      <c r="S8486" t="s">
        <v>46749</v>
      </c>
      <c r="T8486" t="s">
        <v>48449</v>
      </c>
      <c r="U8486" t="s">
        <v>52092</v>
      </c>
      <c r="W8486" t="s">
        <v>44142</v>
      </c>
      <c r="X8486" t="s">
        <v>46577</v>
      </c>
    </row>
    <row r="8487" spans="1:24">
      <c r="A8487">
        <f>HYPERLINK("https://www.philgeps.gov.ph/GEPSNONPILOT/Tender/SplashBidNoticeAbstractUI.aspx?menuIndex=3&amp;refID=7056595&amp;Result=3","7056595")</f>
        <v>0</v>
      </c>
      <c r="B8487" t="s">
        <v>651</v>
      </c>
      <c r="C8487" t="s">
        <v>11581</v>
      </c>
      <c r="D8487" t="s">
        <v>18826</v>
      </c>
      <c r="E8487" t="s">
        <v>26297</v>
      </c>
      <c r="F8487" t="s">
        <v>32664</v>
      </c>
      <c r="G8487" t="s">
        <v>32672</v>
      </c>
      <c r="H8487" t="s">
        <v>12635</v>
      </c>
      <c r="I8487" t="s">
        <v>4439</v>
      </c>
      <c r="J8487" t="s">
        <v>37969</v>
      </c>
      <c r="K8487" t="s">
        <v>42283</v>
      </c>
      <c r="M8487" t="s">
        <v>43237</v>
      </c>
      <c r="N8487" t="s">
        <v>46569</v>
      </c>
      <c r="O8487" t="s">
        <v>46570</v>
      </c>
      <c r="P8487">
        <v>0</v>
      </c>
      <c r="Q8487">
        <v>3</v>
      </c>
      <c r="R8487" t="s">
        <v>46576</v>
      </c>
      <c r="S8487" t="s">
        <v>46749</v>
      </c>
      <c r="T8487" t="s">
        <v>48363</v>
      </c>
      <c r="U8487" t="s">
        <v>55689</v>
      </c>
      <c r="W8487" t="s">
        <v>43237</v>
      </c>
      <c r="X8487" t="s">
        <v>46577</v>
      </c>
    </row>
    <row r="8488" spans="1:24">
      <c r="A8488">
        <f>HYPERLINK("https://www.philgeps.gov.ph/GEPSNONPILOT/Tender/SplashBidNoticeAbstractUI.aspx?menuIndex=3&amp;refID=7056470&amp;Result=3","7056470")</f>
        <v>0</v>
      </c>
      <c r="B8488" t="s">
        <v>2474</v>
      </c>
      <c r="C8488" t="s">
        <v>11582</v>
      </c>
      <c r="D8488" t="s">
        <v>18781</v>
      </c>
      <c r="E8488" t="s">
        <v>26200</v>
      </c>
      <c r="F8488" t="s">
        <v>32664</v>
      </c>
      <c r="G8488" t="s">
        <v>32672</v>
      </c>
      <c r="H8488" t="s">
        <v>32683</v>
      </c>
      <c r="I8488" t="s">
        <v>10627</v>
      </c>
      <c r="J8488" t="s">
        <v>37970</v>
      </c>
      <c r="K8488" t="s">
        <v>42298</v>
      </c>
      <c r="M8488" t="s">
        <v>45274</v>
      </c>
      <c r="N8488" t="s">
        <v>46569</v>
      </c>
      <c r="O8488" t="s">
        <v>46570</v>
      </c>
      <c r="Q8488">
        <v>0</v>
      </c>
      <c r="R8488" t="s">
        <v>46576</v>
      </c>
      <c r="S8488" t="s">
        <v>46775</v>
      </c>
      <c r="T8488" t="s">
        <v>48360</v>
      </c>
      <c r="U8488" t="s">
        <v>55610</v>
      </c>
      <c r="V8488" t="s">
        <v>62484</v>
      </c>
      <c r="W8488" t="s">
        <v>45274</v>
      </c>
      <c r="X8488" t="s">
        <v>46577</v>
      </c>
    </row>
    <row r="8489" spans="1:24">
      <c r="A8489">
        <f>HYPERLINK("https://www.philgeps.gov.ph/GEPSNONPILOT/Tender/SplashBidNoticeAbstractUI.aspx?menuIndex=3&amp;refID=7056586&amp;Result=3","7056586")</f>
        <v>0</v>
      </c>
      <c r="B8489" t="s">
        <v>2474</v>
      </c>
      <c r="C8489" t="s">
        <v>11583</v>
      </c>
      <c r="D8489" t="s">
        <v>18781</v>
      </c>
      <c r="E8489" t="s">
        <v>26200</v>
      </c>
      <c r="F8489" t="s">
        <v>32664</v>
      </c>
      <c r="G8489" t="s">
        <v>32672</v>
      </c>
      <c r="H8489" t="s">
        <v>32683</v>
      </c>
      <c r="I8489" t="s">
        <v>10627</v>
      </c>
      <c r="J8489" t="s">
        <v>37971</v>
      </c>
      <c r="K8489" t="s">
        <v>42281</v>
      </c>
      <c r="M8489" t="s">
        <v>45274</v>
      </c>
      <c r="N8489" t="s">
        <v>46569</v>
      </c>
      <c r="O8489" t="s">
        <v>46570</v>
      </c>
      <c r="Q8489">
        <v>0</v>
      </c>
      <c r="R8489" t="s">
        <v>46576</v>
      </c>
      <c r="S8489" t="s">
        <v>46776</v>
      </c>
      <c r="T8489" t="s">
        <v>48360</v>
      </c>
      <c r="U8489" t="s">
        <v>55610</v>
      </c>
      <c r="V8489" t="s">
        <v>62485</v>
      </c>
      <c r="W8489" t="s">
        <v>45274</v>
      </c>
      <c r="X8489" t="s">
        <v>46577</v>
      </c>
    </row>
    <row r="8490" spans="1:24">
      <c r="A8490">
        <f>HYPERLINK("https://www.philgeps.gov.ph/GEPSNONPILOT/Tender/SplashBidNoticeAbstractUI.aspx?menuIndex=3&amp;refID=7056414&amp;Result=3","7056414")</f>
        <v>0</v>
      </c>
      <c r="B8490" t="s">
        <v>146</v>
      </c>
      <c r="C8490" t="s">
        <v>11584</v>
      </c>
      <c r="E8490" t="s">
        <v>26298</v>
      </c>
      <c r="F8490" t="s">
        <v>32664</v>
      </c>
      <c r="G8490" t="s">
        <v>32671</v>
      </c>
      <c r="H8490" t="s">
        <v>12635</v>
      </c>
      <c r="I8490" t="s">
        <v>32696</v>
      </c>
      <c r="J8490" t="s">
        <v>33050</v>
      </c>
      <c r="K8490" t="s">
        <v>42283</v>
      </c>
      <c r="M8490" t="s">
        <v>45292</v>
      </c>
      <c r="N8490" t="s">
        <v>46569</v>
      </c>
      <c r="O8490" t="s">
        <v>46570</v>
      </c>
      <c r="P8490">
        <v>0</v>
      </c>
      <c r="Q8490">
        <v>3</v>
      </c>
      <c r="R8490" t="s">
        <v>46576</v>
      </c>
      <c r="S8490" t="s">
        <v>46749</v>
      </c>
      <c r="T8490" t="s">
        <v>48590</v>
      </c>
      <c r="U8490" t="s">
        <v>55690</v>
      </c>
      <c r="W8490" t="s">
        <v>45292</v>
      </c>
      <c r="X8490" t="s">
        <v>46577</v>
      </c>
    </row>
    <row r="8491" spans="1:24">
      <c r="A8491">
        <f>HYPERLINK("https://www.philgeps.gov.ph/GEPSNONPILOT/Tender/SplashBidNoticeAbstractUI.aspx?menuIndex=3&amp;refID=7056584&amp;Result=3","7056584")</f>
        <v>0</v>
      </c>
      <c r="B8491" t="s">
        <v>253</v>
      </c>
      <c r="C8491" t="s">
        <v>11585</v>
      </c>
      <c r="D8491" t="s">
        <v>18790</v>
      </c>
      <c r="E8491" t="s">
        <v>26299</v>
      </c>
      <c r="F8491" t="s">
        <v>32664</v>
      </c>
      <c r="G8491" t="s">
        <v>32672</v>
      </c>
      <c r="H8491" t="s">
        <v>32683</v>
      </c>
      <c r="I8491" t="s">
        <v>10627</v>
      </c>
      <c r="J8491" t="s">
        <v>33952</v>
      </c>
      <c r="K8491" t="s">
        <v>42283</v>
      </c>
      <c r="M8491" t="s">
        <v>42851</v>
      </c>
      <c r="N8491" t="s">
        <v>46569</v>
      </c>
      <c r="O8491" t="s">
        <v>46570</v>
      </c>
      <c r="P8491">
        <v>0</v>
      </c>
      <c r="Q8491">
        <v>0</v>
      </c>
      <c r="R8491" t="s">
        <v>46576</v>
      </c>
      <c r="S8491" t="s">
        <v>46749</v>
      </c>
      <c r="T8491" t="s">
        <v>48283</v>
      </c>
      <c r="U8491" t="s">
        <v>55691</v>
      </c>
      <c r="W8491" t="s">
        <v>42851</v>
      </c>
      <c r="X8491" t="s">
        <v>46577</v>
      </c>
    </row>
    <row r="8492" spans="1:24">
      <c r="A8492">
        <f>HYPERLINK("https://www.philgeps.gov.ph/GEPSNONPILOT/Tender/SplashBidNoticeAbstractUI.aspx?menuIndex=3&amp;refID=7056446&amp;Result=3","7056446")</f>
        <v>0</v>
      </c>
      <c r="B8492" t="s">
        <v>2500</v>
      </c>
      <c r="C8492" t="s">
        <v>11586</v>
      </c>
      <c r="D8492" t="s">
        <v>18788</v>
      </c>
      <c r="E8492" t="s">
        <v>20738</v>
      </c>
      <c r="F8492" t="s">
        <v>32664</v>
      </c>
      <c r="G8492" t="s">
        <v>32672</v>
      </c>
      <c r="H8492" t="s">
        <v>12635</v>
      </c>
      <c r="I8492" t="s">
        <v>4333</v>
      </c>
      <c r="J8492" t="s">
        <v>33128</v>
      </c>
      <c r="K8492" t="s">
        <v>42295</v>
      </c>
      <c r="M8492" t="s">
        <v>45303</v>
      </c>
      <c r="N8492" t="s">
        <v>46569</v>
      </c>
      <c r="O8492" t="s">
        <v>46570</v>
      </c>
      <c r="P8492">
        <v>0</v>
      </c>
      <c r="Q8492">
        <v>1</v>
      </c>
      <c r="R8492" t="s">
        <v>46576</v>
      </c>
      <c r="S8492" t="s">
        <v>46749</v>
      </c>
      <c r="T8492" t="s">
        <v>48217</v>
      </c>
      <c r="U8492" t="s">
        <v>55692</v>
      </c>
      <c r="W8492" t="s">
        <v>45303</v>
      </c>
      <c r="X8492" t="s">
        <v>46577</v>
      </c>
    </row>
    <row r="8493" spans="1:24">
      <c r="A8493">
        <f>HYPERLINK("https://www.philgeps.gov.ph/GEPSNONPILOT/Tender/SplashBidNoticeAbstractUI.aspx?menuIndex=3&amp;refID=7056481&amp;Result=3","7056481")</f>
        <v>0</v>
      </c>
      <c r="B8493" t="s">
        <v>673</v>
      </c>
      <c r="C8493" t="s">
        <v>11587</v>
      </c>
      <c r="D8493" t="s">
        <v>18799</v>
      </c>
      <c r="E8493" t="s">
        <v>26300</v>
      </c>
      <c r="F8493" t="s">
        <v>32664</v>
      </c>
      <c r="G8493" t="s">
        <v>32671</v>
      </c>
      <c r="H8493" t="s">
        <v>12635</v>
      </c>
      <c r="I8493" t="s">
        <v>32699</v>
      </c>
      <c r="J8493" t="s">
        <v>33632</v>
      </c>
      <c r="K8493" t="s">
        <v>42283</v>
      </c>
      <c r="M8493" t="s">
        <v>43260</v>
      </c>
      <c r="N8493" t="s">
        <v>46569</v>
      </c>
      <c r="O8493" t="s">
        <v>46570</v>
      </c>
      <c r="P8493">
        <v>0</v>
      </c>
      <c r="Q8493">
        <v>1</v>
      </c>
      <c r="R8493" t="s">
        <v>46576</v>
      </c>
      <c r="S8493" t="s">
        <v>46749</v>
      </c>
      <c r="T8493" t="s">
        <v>48334</v>
      </c>
      <c r="U8493" t="s">
        <v>53659</v>
      </c>
      <c r="W8493" t="s">
        <v>43260</v>
      </c>
      <c r="X8493" t="s">
        <v>46577</v>
      </c>
    </row>
    <row r="8494" spans="1:24">
      <c r="A8494">
        <f>HYPERLINK("https://www.philgeps.gov.ph/GEPSNONPILOT/Tender/SplashBidNoticeAbstractUI.aspx?menuIndex=3&amp;refID=7056591&amp;Result=3","7056591")</f>
        <v>0</v>
      </c>
      <c r="B8494" t="s">
        <v>2501</v>
      </c>
      <c r="C8494" t="s">
        <v>11588</v>
      </c>
      <c r="D8494" t="s">
        <v>18842</v>
      </c>
      <c r="E8494" t="s">
        <v>20314</v>
      </c>
      <c r="F8494" t="s">
        <v>32664</v>
      </c>
      <c r="G8494" t="s">
        <v>32672</v>
      </c>
      <c r="H8494" t="s">
        <v>32683</v>
      </c>
      <c r="I8494" t="s">
        <v>10627</v>
      </c>
      <c r="J8494" t="s">
        <v>32930</v>
      </c>
      <c r="K8494" t="s">
        <v>42298</v>
      </c>
      <c r="M8494" t="s">
        <v>45304</v>
      </c>
      <c r="N8494" t="s">
        <v>46569</v>
      </c>
      <c r="O8494" t="s">
        <v>46570</v>
      </c>
      <c r="P8494">
        <v>0</v>
      </c>
      <c r="Q8494">
        <v>0</v>
      </c>
      <c r="R8494" t="s">
        <v>46576</v>
      </c>
      <c r="S8494" t="s">
        <v>46749</v>
      </c>
      <c r="T8494" t="s">
        <v>48233</v>
      </c>
      <c r="U8494" t="s">
        <v>55693</v>
      </c>
      <c r="W8494" t="s">
        <v>45304</v>
      </c>
      <c r="X8494" t="s">
        <v>46577</v>
      </c>
    </row>
    <row r="8495" spans="1:24">
      <c r="A8495">
        <f>HYPERLINK("https://www.philgeps.gov.ph/GEPSNONPILOT/Tender/SplashBidNoticeAbstractUI.aspx?menuIndex=3&amp;refID=7056577&amp;Result=3","7056577")</f>
        <v>0</v>
      </c>
      <c r="B8495" t="s">
        <v>2409</v>
      </c>
      <c r="C8495" t="s">
        <v>11589</v>
      </c>
      <c r="D8495" t="s">
        <v>18786</v>
      </c>
      <c r="E8495" t="s">
        <v>26301</v>
      </c>
      <c r="F8495" t="s">
        <v>32664</v>
      </c>
      <c r="G8495" t="s">
        <v>32672</v>
      </c>
      <c r="H8495" t="s">
        <v>12635</v>
      </c>
      <c r="I8495" t="s">
        <v>32721</v>
      </c>
      <c r="J8495" t="s">
        <v>37972</v>
      </c>
      <c r="K8495" t="s">
        <v>42417</v>
      </c>
      <c r="M8495" t="s">
        <v>45200</v>
      </c>
      <c r="N8495" t="s">
        <v>46569</v>
      </c>
      <c r="O8495" t="s">
        <v>46570</v>
      </c>
      <c r="P8495">
        <v>0</v>
      </c>
      <c r="Q8495">
        <v>1</v>
      </c>
      <c r="R8495" t="s">
        <v>46576</v>
      </c>
      <c r="S8495" t="s">
        <v>46749</v>
      </c>
      <c r="T8495" t="s">
        <v>48221</v>
      </c>
      <c r="U8495" t="s">
        <v>55694</v>
      </c>
      <c r="W8495" t="s">
        <v>45200</v>
      </c>
      <c r="X8495" t="s">
        <v>46577</v>
      </c>
    </row>
    <row r="8496" spans="1:24">
      <c r="A8496">
        <f>HYPERLINK("https://www.philgeps.gov.ph/GEPSNONPILOT/Tender/SplashBidNoticeAbstractUI.aspx?menuIndex=3&amp;refID=7056575&amp;Result=3","7056575")</f>
        <v>0</v>
      </c>
      <c r="B8496" t="s">
        <v>2474</v>
      </c>
      <c r="C8496" t="s">
        <v>11590</v>
      </c>
      <c r="D8496" t="s">
        <v>18781</v>
      </c>
      <c r="E8496" t="s">
        <v>26200</v>
      </c>
      <c r="F8496" t="s">
        <v>32664</v>
      </c>
      <c r="G8496" t="s">
        <v>32672</v>
      </c>
      <c r="H8496" t="s">
        <v>32683</v>
      </c>
      <c r="I8496" t="s">
        <v>10627</v>
      </c>
      <c r="J8496" t="s">
        <v>37973</v>
      </c>
      <c r="K8496" t="s">
        <v>42305</v>
      </c>
      <c r="M8496" t="s">
        <v>45274</v>
      </c>
      <c r="N8496" t="s">
        <v>46569</v>
      </c>
      <c r="O8496" t="s">
        <v>46570</v>
      </c>
      <c r="Q8496">
        <v>0</v>
      </c>
      <c r="R8496" t="s">
        <v>46576</v>
      </c>
      <c r="S8496" t="s">
        <v>46776</v>
      </c>
      <c r="T8496" t="s">
        <v>48360</v>
      </c>
      <c r="U8496" t="s">
        <v>55610</v>
      </c>
      <c r="V8496" t="s">
        <v>62486</v>
      </c>
      <c r="W8496" t="s">
        <v>45274</v>
      </c>
      <c r="X8496" t="s">
        <v>46577</v>
      </c>
    </row>
    <row r="8497" spans="1:24">
      <c r="A8497">
        <f>HYPERLINK("https://www.philgeps.gov.ph/GEPSNONPILOT/Tender/SplashBidNoticeAbstractUI.aspx?menuIndex=3&amp;refID=7056570&amp;Result=3","7056570")</f>
        <v>0</v>
      </c>
      <c r="B8497" t="s">
        <v>1479</v>
      </c>
      <c r="C8497" t="s">
        <v>11591</v>
      </c>
      <c r="D8497" t="s">
        <v>18788</v>
      </c>
      <c r="E8497" t="s">
        <v>26302</v>
      </c>
      <c r="F8497" t="s">
        <v>32664</v>
      </c>
      <c r="G8497" t="s">
        <v>32671</v>
      </c>
      <c r="H8497" t="s">
        <v>12635</v>
      </c>
      <c r="I8497" t="s">
        <v>10590</v>
      </c>
      <c r="J8497" t="s">
        <v>37974</v>
      </c>
      <c r="K8497" t="s">
        <v>42284</v>
      </c>
      <c r="M8497" t="s">
        <v>44142</v>
      </c>
      <c r="N8497" t="s">
        <v>46569</v>
      </c>
      <c r="O8497" t="s">
        <v>46570</v>
      </c>
      <c r="P8497">
        <v>0</v>
      </c>
      <c r="Q8497">
        <v>0</v>
      </c>
      <c r="R8497" t="s">
        <v>46576</v>
      </c>
      <c r="S8497" t="s">
        <v>46749</v>
      </c>
      <c r="T8497" t="s">
        <v>48449</v>
      </c>
      <c r="U8497" t="s">
        <v>52092</v>
      </c>
      <c r="W8497" t="s">
        <v>44142</v>
      </c>
      <c r="X8497" t="s">
        <v>46577</v>
      </c>
    </row>
    <row r="8498" spans="1:24">
      <c r="A8498">
        <f>HYPERLINK("https://www.philgeps.gov.ph/GEPSNONPILOT/Tender/SplashBidNoticeAbstractUI.aspx?menuIndex=3&amp;refID=7056561&amp;Result=3","7056561")</f>
        <v>0</v>
      </c>
      <c r="B8498" t="s">
        <v>673</v>
      </c>
      <c r="C8498" t="s">
        <v>11592</v>
      </c>
      <c r="D8498" t="s">
        <v>18799</v>
      </c>
      <c r="E8498" t="s">
        <v>26303</v>
      </c>
      <c r="F8498" t="s">
        <v>32664</v>
      </c>
      <c r="G8498" t="s">
        <v>32671</v>
      </c>
      <c r="H8498" t="s">
        <v>12635</v>
      </c>
      <c r="I8498" t="s">
        <v>32694</v>
      </c>
      <c r="J8498" t="s">
        <v>37975</v>
      </c>
      <c r="K8498" t="s">
        <v>42283</v>
      </c>
      <c r="M8498" t="s">
        <v>43260</v>
      </c>
      <c r="N8498" t="s">
        <v>46569</v>
      </c>
      <c r="O8498" t="s">
        <v>46570</v>
      </c>
      <c r="P8498">
        <v>0</v>
      </c>
      <c r="Q8498">
        <v>0</v>
      </c>
      <c r="R8498" t="s">
        <v>46576</v>
      </c>
      <c r="S8498" t="s">
        <v>46749</v>
      </c>
      <c r="T8498" t="s">
        <v>48334</v>
      </c>
      <c r="U8498" t="s">
        <v>53659</v>
      </c>
      <c r="W8498" t="s">
        <v>43260</v>
      </c>
      <c r="X8498" t="s">
        <v>46577</v>
      </c>
    </row>
    <row r="8499" spans="1:24">
      <c r="A8499">
        <f>HYPERLINK("https://www.philgeps.gov.ph/GEPSNONPILOT/Tender/SplashBidNoticeAbstractUI.aspx?menuIndex=3&amp;refID=7056553&amp;Result=3","7056553")</f>
        <v>0</v>
      </c>
      <c r="B8499" t="s">
        <v>1996</v>
      </c>
      <c r="C8499" t="s">
        <v>11593</v>
      </c>
      <c r="D8499" t="s">
        <v>18801</v>
      </c>
      <c r="E8499" t="s">
        <v>26304</v>
      </c>
      <c r="F8499" t="s">
        <v>32664</v>
      </c>
      <c r="G8499" t="s">
        <v>32672</v>
      </c>
      <c r="H8499" t="s">
        <v>12635</v>
      </c>
      <c r="I8499" t="s">
        <v>32704</v>
      </c>
      <c r="J8499" t="s">
        <v>37976</v>
      </c>
      <c r="K8499" t="s">
        <v>42283</v>
      </c>
      <c r="M8499" t="s">
        <v>44731</v>
      </c>
      <c r="N8499" t="s">
        <v>46569</v>
      </c>
      <c r="O8499" t="s">
        <v>46570</v>
      </c>
      <c r="P8499">
        <v>0</v>
      </c>
      <c r="Q8499">
        <v>10</v>
      </c>
      <c r="R8499" t="s">
        <v>46576</v>
      </c>
      <c r="S8499" t="s">
        <v>46749</v>
      </c>
      <c r="T8499" t="s">
        <v>48410</v>
      </c>
      <c r="U8499" t="s">
        <v>55695</v>
      </c>
      <c r="W8499" t="s">
        <v>44731</v>
      </c>
      <c r="X8499" t="s">
        <v>46577</v>
      </c>
    </row>
    <row r="8500" spans="1:24">
      <c r="A8500">
        <f>HYPERLINK("https://www.philgeps.gov.ph/GEPSNONPILOT/Tender/SplashBidNoticeAbstractUI.aspx?menuIndex=3&amp;refID=7056580&amp;Result=3","7056580")</f>
        <v>0</v>
      </c>
      <c r="B8500" t="s">
        <v>458</v>
      </c>
      <c r="C8500" t="s">
        <v>11594</v>
      </c>
      <c r="D8500" t="s">
        <v>18833</v>
      </c>
      <c r="E8500" t="s">
        <v>26305</v>
      </c>
      <c r="F8500" t="s">
        <v>32664</v>
      </c>
      <c r="G8500" t="s">
        <v>32672</v>
      </c>
      <c r="H8500" t="s">
        <v>12635</v>
      </c>
      <c r="I8500" t="s">
        <v>7759</v>
      </c>
      <c r="J8500" t="s">
        <v>37977</v>
      </c>
      <c r="K8500" t="s">
        <v>42289</v>
      </c>
      <c r="M8500" t="s">
        <v>43031</v>
      </c>
      <c r="N8500" t="s">
        <v>46569</v>
      </c>
      <c r="O8500" t="s">
        <v>46570</v>
      </c>
      <c r="P8500">
        <v>0</v>
      </c>
      <c r="Q8500">
        <v>1</v>
      </c>
      <c r="R8500" t="s">
        <v>46576</v>
      </c>
      <c r="S8500" t="s">
        <v>46749</v>
      </c>
      <c r="T8500" t="s">
        <v>48412</v>
      </c>
      <c r="U8500" t="s">
        <v>55696</v>
      </c>
      <c r="W8500" t="s">
        <v>43031</v>
      </c>
      <c r="X8500" t="s">
        <v>46577</v>
      </c>
    </row>
    <row r="8501" spans="1:24">
      <c r="A8501">
        <f>HYPERLINK("https://www.philgeps.gov.ph/GEPSNONPILOT/Tender/SplashBidNoticeAbstractUI.aspx?menuIndex=3&amp;refID=7056583&amp;Result=3","7056583")</f>
        <v>0</v>
      </c>
      <c r="B8501" t="s">
        <v>1656</v>
      </c>
      <c r="C8501" t="s">
        <v>11595</v>
      </c>
      <c r="D8501" t="s">
        <v>18805</v>
      </c>
      <c r="E8501" t="s">
        <v>21047</v>
      </c>
      <c r="F8501" t="s">
        <v>32664</v>
      </c>
      <c r="G8501" t="s">
        <v>32671</v>
      </c>
      <c r="H8501" t="s">
        <v>12635</v>
      </c>
      <c r="I8501" t="s">
        <v>32708</v>
      </c>
      <c r="J8501" t="s">
        <v>34207</v>
      </c>
      <c r="K8501" t="s">
        <v>42306</v>
      </c>
      <c r="M8501" t="s">
        <v>44341</v>
      </c>
      <c r="N8501" t="s">
        <v>46569</v>
      </c>
      <c r="O8501" t="s">
        <v>46570</v>
      </c>
      <c r="P8501">
        <v>0</v>
      </c>
      <c r="Q8501">
        <v>1</v>
      </c>
      <c r="R8501" t="s">
        <v>46576</v>
      </c>
      <c r="S8501" t="s">
        <v>46749</v>
      </c>
      <c r="T8501" t="s">
        <v>48215</v>
      </c>
      <c r="U8501" t="s">
        <v>55697</v>
      </c>
      <c r="W8501" t="s">
        <v>44341</v>
      </c>
      <c r="X8501" t="s">
        <v>46577</v>
      </c>
    </row>
    <row r="8502" spans="1:24">
      <c r="A8502">
        <f>HYPERLINK("https://www.philgeps.gov.ph/GEPSNONPILOT/Tender/SplashBidNoticeAbstractUI.aspx?menuIndex=3&amp;refID=7056545&amp;Result=3","7056545")</f>
        <v>0</v>
      </c>
      <c r="B8502" t="s">
        <v>2502</v>
      </c>
      <c r="C8502" t="s">
        <v>10090</v>
      </c>
      <c r="D8502" t="s">
        <v>18805</v>
      </c>
      <c r="E8502" t="s">
        <v>21808</v>
      </c>
      <c r="F8502" t="s">
        <v>32664</v>
      </c>
      <c r="G8502" t="s">
        <v>32672</v>
      </c>
      <c r="H8502" t="s">
        <v>12635</v>
      </c>
      <c r="I8502" t="s">
        <v>6168</v>
      </c>
      <c r="J8502" t="s">
        <v>33249</v>
      </c>
      <c r="K8502" t="s">
        <v>42306</v>
      </c>
      <c r="M8502" t="s">
        <v>45305</v>
      </c>
      <c r="N8502" t="s">
        <v>46569</v>
      </c>
      <c r="O8502" t="s">
        <v>46570</v>
      </c>
      <c r="P8502">
        <v>0</v>
      </c>
      <c r="Q8502">
        <v>3</v>
      </c>
      <c r="R8502" t="s">
        <v>46576</v>
      </c>
      <c r="S8502" t="s">
        <v>46749</v>
      </c>
      <c r="T8502" t="s">
        <v>48308</v>
      </c>
      <c r="U8502" t="s">
        <v>55698</v>
      </c>
      <c r="W8502" t="s">
        <v>45305</v>
      </c>
      <c r="X8502" t="s">
        <v>46577</v>
      </c>
    </row>
    <row r="8503" spans="1:24">
      <c r="A8503">
        <f>HYPERLINK("https://www.philgeps.gov.ph/GEPSNONPILOT/Tender/SplashBidNoticeAbstractUI.aspx?menuIndex=3&amp;refID=7056541&amp;Result=3","7056541")</f>
        <v>0</v>
      </c>
      <c r="B8503" t="s">
        <v>1996</v>
      </c>
      <c r="C8503" t="s">
        <v>11596</v>
      </c>
      <c r="D8503" t="s">
        <v>18801</v>
      </c>
      <c r="E8503" t="s">
        <v>26306</v>
      </c>
      <c r="F8503" t="s">
        <v>32664</v>
      </c>
      <c r="G8503" t="s">
        <v>32672</v>
      </c>
      <c r="H8503" t="s">
        <v>12635</v>
      </c>
      <c r="I8503" t="s">
        <v>5589</v>
      </c>
      <c r="J8503" t="s">
        <v>37978</v>
      </c>
      <c r="K8503" t="s">
        <v>42283</v>
      </c>
      <c r="M8503" t="s">
        <v>44731</v>
      </c>
      <c r="N8503" t="s">
        <v>46569</v>
      </c>
      <c r="O8503" t="s">
        <v>46570</v>
      </c>
      <c r="P8503">
        <v>0</v>
      </c>
      <c r="Q8503">
        <v>2</v>
      </c>
      <c r="R8503" t="s">
        <v>46576</v>
      </c>
      <c r="S8503" t="s">
        <v>46749</v>
      </c>
      <c r="T8503" t="s">
        <v>48410</v>
      </c>
      <c r="U8503" t="s">
        <v>55699</v>
      </c>
      <c r="W8503" t="s">
        <v>44731</v>
      </c>
      <c r="X8503" t="s">
        <v>46577</v>
      </c>
    </row>
    <row r="8504" spans="1:24">
      <c r="A8504">
        <f>HYPERLINK("https://www.philgeps.gov.ph/GEPSNONPILOT/Tender/SplashBidNoticeAbstractUI.aspx?menuIndex=3&amp;refID=7056539&amp;Result=3","7056539")</f>
        <v>0</v>
      </c>
      <c r="B8504" t="s">
        <v>651</v>
      </c>
      <c r="C8504" t="s">
        <v>11597</v>
      </c>
      <c r="E8504" t="s">
        <v>26307</v>
      </c>
      <c r="F8504" t="s">
        <v>32664</v>
      </c>
      <c r="G8504" t="s">
        <v>32672</v>
      </c>
      <c r="H8504" t="s">
        <v>12635</v>
      </c>
      <c r="I8504" t="s">
        <v>32706</v>
      </c>
      <c r="J8504" t="s">
        <v>37979</v>
      </c>
      <c r="K8504" t="s">
        <v>42283</v>
      </c>
      <c r="M8504" t="s">
        <v>43237</v>
      </c>
      <c r="N8504" t="s">
        <v>46569</v>
      </c>
      <c r="O8504" t="s">
        <v>46570</v>
      </c>
      <c r="P8504">
        <v>0</v>
      </c>
      <c r="Q8504">
        <v>3</v>
      </c>
      <c r="R8504" t="s">
        <v>46576</v>
      </c>
      <c r="S8504" t="s">
        <v>46749</v>
      </c>
      <c r="T8504" t="s">
        <v>48363</v>
      </c>
      <c r="U8504" t="s">
        <v>55700</v>
      </c>
      <c r="W8504" t="s">
        <v>43237</v>
      </c>
      <c r="X8504" t="s">
        <v>46577</v>
      </c>
    </row>
    <row r="8505" spans="1:24">
      <c r="A8505">
        <f>HYPERLINK("https://www.philgeps.gov.ph/GEPSNONPILOT/Tender/SplashBidNoticeAbstractUI.aspx?menuIndex=3&amp;refID=7056536&amp;Result=3","7056536")</f>
        <v>0</v>
      </c>
      <c r="B8505" t="s">
        <v>295</v>
      </c>
      <c r="C8505" t="s">
        <v>11598</v>
      </c>
      <c r="D8505" t="s">
        <v>18848</v>
      </c>
      <c r="E8505" t="s">
        <v>26308</v>
      </c>
      <c r="F8505" t="s">
        <v>32664</v>
      </c>
      <c r="G8505" t="s">
        <v>32672</v>
      </c>
      <c r="H8505" t="s">
        <v>12635</v>
      </c>
      <c r="I8505" t="s">
        <v>6168</v>
      </c>
      <c r="J8505" t="s">
        <v>33015</v>
      </c>
      <c r="K8505" t="s">
        <v>42297</v>
      </c>
      <c r="M8505" t="s">
        <v>42862</v>
      </c>
      <c r="N8505" t="s">
        <v>46569</v>
      </c>
      <c r="O8505" t="s">
        <v>46570</v>
      </c>
      <c r="P8505">
        <v>0</v>
      </c>
      <c r="Q8505">
        <v>0</v>
      </c>
      <c r="R8505" t="s">
        <v>46576</v>
      </c>
      <c r="S8505" t="s">
        <v>46749</v>
      </c>
      <c r="T8505" t="s">
        <v>48298</v>
      </c>
      <c r="U8505" t="s">
        <v>55701</v>
      </c>
      <c r="W8505" t="s">
        <v>42862</v>
      </c>
      <c r="X8505" t="s">
        <v>46577</v>
      </c>
    </row>
    <row r="8506" spans="1:24">
      <c r="A8506">
        <f>HYPERLINK("https://www.philgeps.gov.ph/GEPSNONPILOT/Tender/SplashBidNoticeAbstractUI.aspx?menuIndex=3&amp;refID=7056530&amp;Result=3","7056530")</f>
        <v>0</v>
      </c>
      <c r="B8506" t="s">
        <v>2499</v>
      </c>
      <c r="C8506" t="s">
        <v>11599</v>
      </c>
      <c r="D8506" t="s">
        <v>18809</v>
      </c>
      <c r="E8506" t="s">
        <v>26309</v>
      </c>
      <c r="F8506" t="s">
        <v>32664</v>
      </c>
      <c r="G8506" t="s">
        <v>32672</v>
      </c>
      <c r="H8506" t="s">
        <v>12635</v>
      </c>
      <c r="I8506" t="s">
        <v>32694</v>
      </c>
      <c r="J8506" t="s">
        <v>37980</v>
      </c>
      <c r="K8506" t="s">
        <v>42281</v>
      </c>
      <c r="M8506" t="s">
        <v>45302</v>
      </c>
      <c r="N8506" t="s">
        <v>46569</v>
      </c>
      <c r="O8506" t="s">
        <v>46570</v>
      </c>
      <c r="P8506">
        <v>0</v>
      </c>
      <c r="Q8506">
        <v>1</v>
      </c>
      <c r="R8506" t="s">
        <v>46576</v>
      </c>
      <c r="S8506" t="s">
        <v>46749</v>
      </c>
      <c r="T8506" t="s">
        <v>48228</v>
      </c>
      <c r="U8506" t="s">
        <v>55702</v>
      </c>
      <c r="W8506" t="s">
        <v>45302</v>
      </c>
      <c r="X8506" t="s">
        <v>46577</v>
      </c>
    </row>
    <row r="8507" spans="1:24">
      <c r="A8507">
        <f>HYPERLINK("https://www.philgeps.gov.ph/GEPSNONPILOT/Tender/SplashBidNoticeAbstractUI.aspx?menuIndex=3&amp;refID=7056533&amp;Result=3","7056533")</f>
        <v>0</v>
      </c>
      <c r="B8507" t="s">
        <v>1328</v>
      </c>
      <c r="C8507" t="s">
        <v>11600</v>
      </c>
      <c r="D8507" t="s">
        <v>18803</v>
      </c>
      <c r="E8507" t="s">
        <v>26310</v>
      </c>
      <c r="F8507" t="s">
        <v>32664</v>
      </c>
      <c r="G8507" t="s">
        <v>32672</v>
      </c>
      <c r="H8507" t="s">
        <v>12635</v>
      </c>
      <c r="I8507" t="s">
        <v>9486</v>
      </c>
      <c r="J8507" t="s">
        <v>33091</v>
      </c>
      <c r="K8507" t="s">
        <v>42289</v>
      </c>
      <c r="M8507" t="s">
        <v>43977</v>
      </c>
      <c r="N8507" t="s">
        <v>46569</v>
      </c>
      <c r="O8507" t="s">
        <v>46570</v>
      </c>
      <c r="P8507">
        <v>0</v>
      </c>
      <c r="Q8507">
        <v>4</v>
      </c>
      <c r="R8507" t="s">
        <v>46576</v>
      </c>
      <c r="S8507" t="s">
        <v>46749</v>
      </c>
      <c r="T8507" t="s">
        <v>48219</v>
      </c>
      <c r="U8507" t="s">
        <v>51618</v>
      </c>
      <c r="W8507" t="s">
        <v>43977</v>
      </c>
      <c r="X8507" t="s">
        <v>46577</v>
      </c>
    </row>
    <row r="8508" spans="1:24">
      <c r="A8508">
        <f>HYPERLINK("https://www.philgeps.gov.ph/GEPSNONPILOT/Tender/SplashBidNoticeAbstractUI.aspx?menuIndex=3&amp;refID=7056569&amp;Result=3","7056569")</f>
        <v>0</v>
      </c>
      <c r="B8508" t="s">
        <v>1328</v>
      </c>
      <c r="C8508" t="s">
        <v>11601</v>
      </c>
      <c r="D8508" t="s">
        <v>18803</v>
      </c>
      <c r="E8508" t="s">
        <v>26311</v>
      </c>
      <c r="F8508" t="s">
        <v>32664</v>
      </c>
      <c r="G8508" t="s">
        <v>32672</v>
      </c>
      <c r="H8508" t="s">
        <v>12635</v>
      </c>
      <c r="I8508" t="s">
        <v>9486</v>
      </c>
      <c r="J8508" t="s">
        <v>32865</v>
      </c>
      <c r="K8508" t="s">
        <v>42289</v>
      </c>
      <c r="M8508" t="s">
        <v>43977</v>
      </c>
      <c r="N8508" t="s">
        <v>46569</v>
      </c>
      <c r="O8508" t="s">
        <v>46570</v>
      </c>
      <c r="P8508">
        <v>0</v>
      </c>
      <c r="Q8508">
        <v>5</v>
      </c>
      <c r="R8508" t="s">
        <v>46576</v>
      </c>
      <c r="S8508" t="s">
        <v>46749</v>
      </c>
      <c r="T8508" t="s">
        <v>48219</v>
      </c>
      <c r="U8508" t="s">
        <v>51618</v>
      </c>
      <c r="W8508" t="s">
        <v>43977</v>
      </c>
      <c r="X8508" t="s">
        <v>46577</v>
      </c>
    </row>
    <row r="8509" spans="1:24">
      <c r="A8509">
        <f>HYPERLINK("https://www.philgeps.gov.ph/GEPSNONPILOT/Tender/SplashBidNoticeAbstractUI.aspx?menuIndex=3&amp;refID=7056529&amp;Result=3","7056529")</f>
        <v>0</v>
      </c>
      <c r="B8509" t="s">
        <v>1996</v>
      </c>
      <c r="C8509" t="s">
        <v>11602</v>
      </c>
      <c r="D8509" t="s">
        <v>18801</v>
      </c>
      <c r="E8509" t="s">
        <v>26312</v>
      </c>
      <c r="F8509" t="s">
        <v>32664</v>
      </c>
      <c r="G8509" t="s">
        <v>32672</v>
      </c>
      <c r="H8509" t="s">
        <v>12635</v>
      </c>
      <c r="I8509" t="s">
        <v>6168</v>
      </c>
      <c r="J8509" t="s">
        <v>37981</v>
      </c>
      <c r="K8509" t="s">
        <v>42283</v>
      </c>
      <c r="M8509" t="s">
        <v>44731</v>
      </c>
      <c r="N8509" t="s">
        <v>46569</v>
      </c>
      <c r="O8509" t="s">
        <v>46570</v>
      </c>
      <c r="P8509">
        <v>0</v>
      </c>
      <c r="Q8509">
        <v>4</v>
      </c>
      <c r="R8509" t="s">
        <v>46576</v>
      </c>
      <c r="S8509" t="s">
        <v>46749</v>
      </c>
      <c r="T8509" t="s">
        <v>48410</v>
      </c>
      <c r="U8509" t="s">
        <v>55703</v>
      </c>
      <c r="W8509" t="s">
        <v>44731</v>
      </c>
      <c r="X8509" t="s">
        <v>46577</v>
      </c>
    </row>
    <row r="8510" spans="1:24">
      <c r="A8510">
        <f>HYPERLINK("https://www.philgeps.gov.ph/GEPSNONPILOT/Tender/SplashBidNoticeAbstractUI.aspx?menuIndex=3&amp;refID=7056379&amp;Result=3","7056379")</f>
        <v>0</v>
      </c>
      <c r="B8510" t="s">
        <v>2474</v>
      </c>
      <c r="C8510" t="s">
        <v>11603</v>
      </c>
      <c r="D8510" t="s">
        <v>18781</v>
      </c>
      <c r="E8510" t="s">
        <v>26200</v>
      </c>
      <c r="F8510" t="s">
        <v>32664</v>
      </c>
      <c r="G8510" t="s">
        <v>32672</v>
      </c>
      <c r="H8510" t="s">
        <v>32683</v>
      </c>
      <c r="I8510" t="s">
        <v>10627</v>
      </c>
      <c r="J8510" t="s">
        <v>37982</v>
      </c>
      <c r="K8510" t="s">
        <v>42290</v>
      </c>
      <c r="M8510" t="s">
        <v>45274</v>
      </c>
      <c r="N8510" t="s">
        <v>46569</v>
      </c>
      <c r="O8510" t="s">
        <v>46570</v>
      </c>
      <c r="Q8510">
        <v>0</v>
      </c>
      <c r="R8510" t="s">
        <v>46576</v>
      </c>
      <c r="S8510" t="s">
        <v>46777</v>
      </c>
      <c r="T8510" t="s">
        <v>48360</v>
      </c>
      <c r="U8510" t="s">
        <v>55610</v>
      </c>
      <c r="V8510" t="s">
        <v>62487</v>
      </c>
      <c r="W8510" t="s">
        <v>45274</v>
      </c>
      <c r="X8510" t="s">
        <v>46577</v>
      </c>
    </row>
    <row r="8511" spans="1:24">
      <c r="A8511">
        <f>HYPERLINK("https://www.philgeps.gov.ph/GEPSNONPILOT/Tender/SplashBidNoticeAbstractUI.aspx?menuIndex=3&amp;refID=7056376&amp;Result=3","7056376")</f>
        <v>0</v>
      </c>
      <c r="B8511" t="s">
        <v>949</v>
      </c>
      <c r="C8511" t="s">
        <v>11604</v>
      </c>
      <c r="D8511" t="s">
        <v>18784</v>
      </c>
      <c r="E8511" t="s">
        <v>26313</v>
      </c>
      <c r="F8511" t="s">
        <v>32664</v>
      </c>
      <c r="G8511" t="s">
        <v>32675</v>
      </c>
      <c r="H8511" t="s">
        <v>12635</v>
      </c>
      <c r="I8511" t="s">
        <v>10370</v>
      </c>
      <c r="J8511" t="s">
        <v>37983</v>
      </c>
      <c r="K8511" t="s">
        <v>42303</v>
      </c>
      <c r="M8511" t="s">
        <v>43555</v>
      </c>
      <c r="N8511" t="s">
        <v>46569</v>
      </c>
      <c r="O8511" t="s">
        <v>46570</v>
      </c>
      <c r="P8511">
        <v>0</v>
      </c>
      <c r="Q8511">
        <v>20</v>
      </c>
      <c r="R8511" t="s">
        <v>46576</v>
      </c>
      <c r="S8511" t="s">
        <v>46749</v>
      </c>
      <c r="T8511" t="s">
        <v>48376</v>
      </c>
      <c r="U8511" t="s">
        <v>55704</v>
      </c>
      <c r="W8511" t="s">
        <v>43555</v>
      </c>
      <c r="X8511" t="s">
        <v>46577</v>
      </c>
    </row>
    <row r="8512" spans="1:24">
      <c r="A8512">
        <f>HYPERLINK("https://www.philgeps.gov.ph/GEPSNONPILOT/Tender/SplashBidNoticeAbstractUI.aspx?menuIndex=3&amp;refID=7056384&amp;Result=3","7056384")</f>
        <v>0</v>
      </c>
      <c r="B8512" t="s">
        <v>1467</v>
      </c>
      <c r="C8512" t="s">
        <v>11605</v>
      </c>
      <c r="D8512" t="s">
        <v>18809</v>
      </c>
      <c r="E8512" t="s">
        <v>26314</v>
      </c>
      <c r="F8512" t="s">
        <v>32664</v>
      </c>
      <c r="G8512" t="s">
        <v>32671</v>
      </c>
      <c r="H8512" t="s">
        <v>12635</v>
      </c>
      <c r="I8512" t="s">
        <v>32701</v>
      </c>
      <c r="J8512" t="s">
        <v>35695</v>
      </c>
      <c r="K8512" t="s">
        <v>42347</v>
      </c>
      <c r="M8512" t="s">
        <v>44129</v>
      </c>
      <c r="N8512" t="s">
        <v>46569</v>
      </c>
      <c r="O8512" t="s">
        <v>46570</v>
      </c>
      <c r="P8512">
        <v>0</v>
      </c>
      <c r="Q8512">
        <v>0</v>
      </c>
      <c r="R8512" t="s">
        <v>46576</v>
      </c>
      <c r="S8512" t="s">
        <v>46749</v>
      </c>
      <c r="T8512" t="s">
        <v>48293</v>
      </c>
      <c r="U8512" t="s">
        <v>55705</v>
      </c>
      <c r="W8512" t="s">
        <v>44129</v>
      </c>
      <c r="X8512" t="s">
        <v>46577</v>
      </c>
    </row>
    <row r="8513" spans="1:24">
      <c r="A8513">
        <f>HYPERLINK("https://www.philgeps.gov.ph/GEPSNONPILOT/Tender/SplashBidNoticeAbstractUI.aspx?menuIndex=3&amp;refID=7056370&amp;Result=3","7056370")</f>
        <v>0</v>
      </c>
      <c r="B8513" t="s">
        <v>1650</v>
      </c>
      <c r="C8513" t="s">
        <v>11606</v>
      </c>
      <c r="D8513" t="s">
        <v>18796</v>
      </c>
      <c r="E8513" t="s">
        <v>26315</v>
      </c>
      <c r="F8513" t="s">
        <v>32664</v>
      </c>
      <c r="G8513" t="s">
        <v>32674</v>
      </c>
      <c r="H8513" t="s">
        <v>12635</v>
      </c>
      <c r="I8513" t="s">
        <v>10374</v>
      </c>
      <c r="J8513" t="s">
        <v>37984</v>
      </c>
      <c r="K8513" t="s">
        <v>42297</v>
      </c>
      <c r="M8513" t="s">
        <v>44335</v>
      </c>
      <c r="N8513" t="s">
        <v>46569</v>
      </c>
      <c r="O8513" t="s">
        <v>46570</v>
      </c>
      <c r="P8513">
        <v>0</v>
      </c>
      <c r="Q8513">
        <v>0</v>
      </c>
      <c r="R8513" t="s">
        <v>46576</v>
      </c>
      <c r="S8513" t="s">
        <v>46749</v>
      </c>
      <c r="T8513" t="s">
        <v>48449</v>
      </c>
      <c r="U8513" t="s">
        <v>55706</v>
      </c>
      <c r="W8513" t="s">
        <v>44335</v>
      </c>
      <c r="X8513" t="s">
        <v>46577</v>
      </c>
    </row>
    <row r="8514" spans="1:24">
      <c r="A8514">
        <f>HYPERLINK("https://www.philgeps.gov.ph/GEPSNONPILOT/Tender/SplashBidNoticeAbstractUI.aspx?menuIndex=3&amp;refID=7056366&amp;Result=3","7056366")</f>
        <v>0</v>
      </c>
      <c r="B8514" t="s">
        <v>2503</v>
      </c>
      <c r="C8514" t="s">
        <v>11607</v>
      </c>
      <c r="D8514" t="s">
        <v>18792</v>
      </c>
      <c r="E8514" t="s">
        <v>19681</v>
      </c>
      <c r="F8514" t="s">
        <v>32664</v>
      </c>
      <c r="G8514" t="s">
        <v>32672</v>
      </c>
      <c r="H8514" t="s">
        <v>32683</v>
      </c>
      <c r="I8514" t="s">
        <v>10627</v>
      </c>
      <c r="J8514" t="s">
        <v>32853</v>
      </c>
      <c r="K8514" t="s">
        <v>42281</v>
      </c>
      <c r="M8514" t="s">
        <v>45306</v>
      </c>
      <c r="N8514" t="s">
        <v>46569</v>
      </c>
      <c r="O8514" t="s">
        <v>46570</v>
      </c>
      <c r="P8514">
        <v>0</v>
      </c>
      <c r="Q8514">
        <v>1</v>
      </c>
      <c r="R8514" t="s">
        <v>46576</v>
      </c>
      <c r="S8514" t="s">
        <v>46749</v>
      </c>
      <c r="T8514" t="s">
        <v>48221</v>
      </c>
      <c r="U8514" t="s">
        <v>55707</v>
      </c>
      <c r="W8514" t="s">
        <v>45306</v>
      </c>
      <c r="X8514" t="s">
        <v>46577</v>
      </c>
    </row>
    <row r="8515" spans="1:24">
      <c r="A8515">
        <f>HYPERLINK("https://www.philgeps.gov.ph/GEPSNONPILOT/Tender/SplashBidNoticeAbstractUI.aspx?menuIndex=3&amp;refID=7056308&amp;Result=3","7056308")</f>
        <v>0</v>
      </c>
      <c r="B8515" t="s">
        <v>1085</v>
      </c>
      <c r="C8515" t="s">
        <v>11608</v>
      </c>
      <c r="D8515" t="s">
        <v>18851</v>
      </c>
      <c r="E8515" t="s">
        <v>26316</v>
      </c>
      <c r="F8515" t="s">
        <v>32664</v>
      </c>
      <c r="G8515" t="s">
        <v>32672</v>
      </c>
      <c r="H8515" t="s">
        <v>12635</v>
      </c>
      <c r="I8515" t="s">
        <v>32770</v>
      </c>
      <c r="J8515" t="s">
        <v>34932</v>
      </c>
      <c r="K8515" t="s">
        <v>42281</v>
      </c>
      <c r="M8515" t="s">
        <v>43711</v>
      </c>
      <c r="N8515" t="s">
        <v>46569</v>
      </c>
      <c r="O8515" t="s">
        <v>46570</v>
      </c>
      <c r="P8515">
        <v>0</v>
      </c>
      <c r="Q8515">
        <v>0</v>
      </c>
      <c r="R8515" t="s">
        <v>46576</v>
      </c>
      <c r="S8515" t="s">
        <v>46749</v>
      </c>
      <c r="T8515" t="s">
        <v>48293</v>
      </c>
      <c r="U8515" t="s">
        <v>55708</v>
      </c>
      <c r="W8515" t="s">
        <v>43711</v>
      </c>
      <c r="X8515" t="s">
        <v>46577</v>
      </c>
    </row>
    <row r="8516" spans="1:24">
      <c r="A8516">
        <f>HYPERLINK("https://www.philgeps.gov.ph/GEPSNONPILOT/Tender/SplashBidNoticeAbstractUI.aspx?menuIndex=3&amp;refID=7056300&amp;Result=3","7056300")</f>
        <v>0</v>
      </c>
      <c r="B8516" t="s">
        <v>2504</v>
      </c>
      <c r="C8516" t="s">
        <v>11609</v>
      </c>
      <c r="D8516" t="s">
        <v>18781</v>
      </c>
      <c r="E8516" t="s">
        <v>21583</v>
      </c>
      <c r="F8516" t="s">
        <v>32664</v>
      </c>
      <c r="G8516" t="s">
        <v>32672</v>
      </c>
      <c r="H8516" t="s">
        <v>12635</v>
      </c>
      <c r="I8516" t="s">
        <v>6223</v>
      </c>
      <c r="J8516" t="s">
        <v>37985</v>
      </c>
      <c r="K8516" t="s">
        <v>42283</v>
      </c>
      <c r="M8516" t="s">
        <v>45307</v>
      </c>
      <c r="N8516" t="s">
        <v>46569</v>
      </c>
      <c r="O8516" t="s">
        <v>46570</v>
      </c>
      <c r="P8516">
        <v>0</v>
      </c>
      <c r="Q8516">
        <v>0</v>
      </c>
      <c r="R8516" t="s">
        <v>46576</v>
      </c>
      <c r="S8516" t="s">
        <v>46749</v>
      </c>
      <c r="T8516" t="s">
        <v>48293</v>
      </c>
      <c r="U8516" t="s">
        <v>55709</v>
      </c>
      <c r="W8516" t="s">
        <v>45307</v>
      </c>
      <c r="X8516" t="s">
        <v>46577</v>
      </c>
    </row>
    <row r="8517" spans="1:24">
      <c r="A8517">
        <f>HYPERLINK("https://www.philgeps.gov.ph/GEPSNONPILOT/Tender/SplashBidNoticeAbstractUI.aspx?menuIndex=3&amp;refID=7056297&amp;Result=3","7056297")</f>
        <v>0</v>
      </c>
      <c r="B8517" t="s">
        <v>1055</v>
      </c>
      <c r="C8517" t="s">
        <v>11610</v>
      </c>
      <c r="D8517" t="s">
        <v>18784</v>
      </c>
      <c r="E8517" t="s">
        <v>26317</v>
      </c>
      <c r="F8517" t="s">
        <v>32664</v>
      </c>
      <c r="G8517" t="s">
        <v>32671</v>
      </c>
      <c r="H8517" t="s">
        <v>12635</v>
      </c>
      <c r="I8517" t="s">
        <v>32704</v>
      </c>
      <c r="J8517" t="s">
        <v>33118</v>
      </c>
      <c r="K8517" t="s">
        <v>42283</v>
      </c>
      <c r="M8517" t="s">
        <v>43673</v>
      </c>
      <c r="N8517" t="s">
        <v>46569</v>
      </c>
      <c r="O8517" t="s">
        <v>46570</v>
      </c>
      <c r="P8517">
        <v>0</v>
      </c>
      <c r="Q8517">
        <v>7</v>
      </c>
      <c r="R8517" t="s">
        <v>46576</v>
      </c>
      <c r="S8517" t="s">
        <v>46749</v>
      </c>
      <c r="T8517" t="s">
        <v>48316</v>
      </c>
      <c r="U8517" t="s">
        <v>55710</v>
      </c>
      <c r="W8517" t="s">
        <v>43673</v>
      </c>
      <c r="X8517" t="s">
        <v>46577</v>
      </c>
    </row>
    <row r="8518" spans="1:24">
      <c r="A8518">
        <f>HYPERLINK("https://www.philgeps.gov.ph/GEPSNONPILOT/Tender/SplashBidNoticeAbstractUI.aspx?menuIndex=3&amp;refID=7056296&amp;Result=3","7056296")</f>
        <v>0</v>
      </c>
      <c r="B8518" t="s">
        <v>69</v>
      </c>
      <c r="C8518" t="s">
        <v>11611</v>
      </c>
      <c r="D8518" t="s">
        <v>18784</v>
      </c>
      <c r="E8518" t="s">
        <v>26318</v>
      </c>
      <c r="F8518" t="s">
        <v>32664</v>
      </c>
      <c r="G8518" t="s">
        <v>32671</v>
      </c>
      <c r="H8518" t="s">
        <v>12635</v>
      </c>
      <c r="I8518" t="s">
        <v>6628</v>
      </c>
      <c r="J8518" t="s">
        <v>37986</v>
      </c>
      <c r="K8518" t="s">
        <v>42281</v>
      </c>
      <c r="M8518" t="s">
        <v>43455</v>
      </c>
      <c r="N8518" t="s">
        <v>46569</v>
      </c>
      <c r="O8518" t="s">
        <v>46570</v>
      </c>
      <c r="P8518">
        <v>0</v>
      </c>
      <c r="Q8518">
        <v>6</v>
      </c>
      <c r="R8518" t="s">
        <v>46576</v>
      </c>
      <c r="S8518" t="s">
        <v>46749</v>
      </c>
      <c r="T8518" t="s">
        <v>48562</v>
      </c>
      <c r="U8518" t="s">
        <v>54915</v>
      </c>
      <c r="W8518" t="s">
        <v>43455</v>
      </c>
      <c r="X8518" t="s">
        <v>46577</v>
      </c>
    </row>
    <row r="8519" spans="1:24">
      <c r="A8519">
        <f>HYPERLINK("https://www.philgeps.gov.ph/GEPSNONPILOT/Tender/SplashBidNoticeAbstractUI.aspx?menuIndex=3&amp;refID=7056294&amp;Result=3","7056294")</f>
        <v>0</v>
      </c>
      <c r="B8519" t="s">
        <v>550</v>
      </c>
      <c r="C8519" t="s">
        <v>11612</v>
      </c>
      <c r="D8519" t="s">
        <v>18792</v>
      </c>
      <c r="E8519" t="s">
        <v>26319</v>
      </c>
      <c r="F8519" t="s">
        <v>32664</v>
      </c>
      <c r="G8519" t="s">
        <v>32672</v>
      </c>
      <c r="H8519" t="s">
        <v>12635</v>
      </c>
      <c r="I8519" t="s">
        <v>4439</v>
      </c>
      <c r="J8519" t="s">
        <v>37987</v>
      </c>
      <c r="K8519" t="s">
        <v>42281</v>
      </c>
      <c r="M8519" t="s">
        <v>45308</v>
      </c>
      <c r="N8519" t="s">
        <v>46569</v>
      </c>
      <c r="O8519" t="s">
        <v>46570</v>
      </c>
      <c r="P8519">
        <v>0</v>
      </c>
      <c r="Q8519">
        <v>0</v>
      </c>
      <c r="R8519" t="s">
        <v>46576</v>
      </c>
      <c r="S8519" t="s">
        <v>46749</v>
      </c>
      <c r="T8519" t="s">
        <v>48250</v>
      </c>
      <c r="U8519" t="s">
        <v>55711</v>
      </c>
      <c r="W8519" t="s">
        <v>43130</v>
      </c>
      <c r="X8519" t="s">
        <v>46577</v>
      </c>
    </row>
    <row r="8520" spans="1:24">
      <c r="A8520">
        <f>HYPERLINK("https://www.philgeps.gov.ph/GEPSNONPILOT/Tender/SplashBidNoticeAbstractUI.aspx?menuIndex=3&amp;refID=7058491&amp;Result=3","7058491")</f>
        <v>0</v>
      </c>
      <c r="B8520" t="s">
        <v>1313</v>
      </c>
      <c r="C8520" t="s">
        <v>11613</v>
      </c>
      <c r="E8520" t="s">
        <v>26320</v>
      </c>
      <c r="F8520" t="s">
        <v>32664</v>
      </c>
      <c r="G8520" t="s">
        <v>32675</v>
      </c>
      <c r="H8520" t="s">
        <v>12635</v>
      </c>
      <c r="I8520" t="s">
        <v>6168</v>
      </c>
      <c r="J8520" t="s">
        <v>34548</v>
      </c>
      <c r="K8520" t="s">
        <v>42283</v>
      </c>
      <c r="M8520" t="s">
        <v>43960</v>
      </c>
      <c r="N8520" t="s">
        <v>46569</v>
      </c>
      <c r="O8520" t="s">
        <v>46570</v>
      </c>
      <c r="P8520">
        <v>0</v>
      </c>
      <c r="Q8520">
        <v>1</v>
      </c>
      <c r="R8520" t="s">
        <v>46575</v>
      </c>
      <c r="S8520" t="s">
        <v>46744</v>
      </c>
      <c r="T8520" t="s">
        <v>48562</v>
      </c>
      <c r="U8520" t="s">
        <v>55416</v>
      </c>
      <c r="W8520" t="s">
        <v>43960</v>
      </c>
      <c r="X8520" t="s">
        <v>46576</v>
      </c>
    </row>
    <row r="8521" spans="1:24">
      <c r="A8521">
        <f>HYPERLINK("https://www.philgeps.gov.ph/GEPSNONPILOT/Tender/SplashBidNoticeAbstractUI.aspx?menuIndex=3&amp;refID=7056375&amp;Result=3","7056375")</f>
        <v>0</v>
      </c>
      <c r="B8521" t="s">
        <v>2481</v>
      </c>
      <c r="C8521" t="s">
        <v>11614</v>
      </c>
      <c r="D8521" t="s">
        <v>18806</v>
      </c>
      <c r="E8521" t="s">
        <v>19677</v>
      </c>
      <c r="F8521" t="s">
        <v>32664</v>
      </c>
      <c r="G8521" t="s">
        <v>32672</v>
      </c>
      <c r="H8521" t="s">
        <v>32683</v>
      </c>
      <c r="I8521" t="s">
        <v>32737</v>
      </c>
      <c r="J8521" t="s">
        <v>37988</v>
      </c>
      <c r="K8521" t="s">
        <v>42285</v>
      </c>
      <c r="M8521" t="s">
        <v>45281</v>
      </c>
      <c r="N8521" t="s">
        <v>46569</v>
      </c>
      <c r="O8521" t="s">
        <v>46570</v>
      </c>
      <c r="P8521">
        <v>0</v>
      </c>
      <c r="Q8521">
        <v>2</v>
      </c>
      <c r="R8521" t="s">
        <v>46576</v>
      </c>
      <c r="S8521" t="s">
        <v>46749</v>
      </c>
      <c r="T8521" t="s">
        <v>48392</v>
      </c>
      <c r="U8521" t="s">
        <v>55712</v>
      </c>
      <c r="W8521" t="s">
        <v>45281</v>
      </c>
      <c r="X8521" t="s">
        <v>46577</v>
      </c>
    </row>
    <row r="8522" spans="1:24">
      <c r="A8522">
        <f>HYPERLINK("https://www.philgeps.gov.ph/GEPSNONPILOT/Tender/SplashBidNoticeAbstractUI.aspx?menuIndex=3&amp;refID=7056884&amp;Result=3","7056884")</f>
        <v>0</v>
      </c>
      <c r="B8522" t="s">
        <v>1133</v>
      </c>
      <c r="C8522" t="s">
        <v>11615</v>
      </c>
      <c r="D8522" t="s">
        <v>18858</v>
      </c>
      <c r="E8522" t="s">
        <v>26321</v>
      </c>
      <c r="F8522" t="s">
        <v>32664</v>
      </c>
      <c r="G8522" t="s">
        <v>32672</v>
      </c>
      <c r="H8522" t="s">
        <v>32683</v>
      </c>
      <c r="I8522" t="s">
        <v>10627</v>
      </c>
      <c r="J8522" t="s">
        <v>37989</v>
      </c>
      <c r="K8522" t="s">
        <v>42311</v>
      </c>
      <c r="M8522" t="s">
        <v>43762</v>
      </c>
      <c r="N8522" t="s">
        <v>46569</v>
      </c>
      <c r="O8522" t="s">
        <v>46570</v>
      </c>
      <c r="P8522">
        <v>0</v>
      </c>
      <c r="Q8522">
        <v>0</v>
      </c>
      <c r="R8522" t="s">
        <v>46574</v>
      </c>
      <c r="S8522" t="s">
        <v>46723</v>
      </c>
      <c r="T8522" t="s">
        <v>48349</v>
      </c>
      <c r="U8522" t="s">
        <v>55713</v>
      </c>
      <c r="W8522" t="s">
        <v>43762</v>
      </c>
      <c r="X8522" t="s">
        <v>46577</v>
      </c>
    </row>
    <row r="8523" spans="1:24">
      <c r="A8523">
        <f>HYPERLINK("https://www.philgeps.gov.ph/GEPSNONPILOT/Tender/SplashBidNoticeAbstractUI.aspx?menuIndex=3&amp;refID=7056647&amp;Result=3","7056647")</f>
        <v>0</v>
      </c>
      <c r="B8523" t="s">
        <v>2505</v>
      </c>
      <c r="C8523" t="s">
        <v>11616</v>
      </c>
      <c r="D8523" t="s">
        <v>18809</v>
      </c>
      <c r="E8523" t="s">
        <v>26322</v>
      </c>
      <c r="F8523" t="s">
        <v>32664</v>
      </c>
      <c r="G8523" t="s">
        <v>32672</v>
      </c>
      <c r="H8523" t="s">
        <v>32682</v>
      </c>
      <c r="I8523" t="s">
        <v>32701</v>
      </c>
      <c r="J8523" t="s">
        <v>37990</v>
      </c>
      <c r="K8523" t="s">
        <v>42291</v>
      </c>
      <c r="M8523" t="s">
        <v>45309</v>
      </c>
      <c r="N8523" t="s">
        <v>46569</v>
      </c>
      <c r="O8523" t="s">
        <v>46570</v>
      </c>
      <c r="P8523">
        <v>0</v>
      </c>
      <c r="Q8523">
        <v>0</v>
      </c>
      <c r="R8523" t="s">
        <v>46576</v>
      </c>
      <c r="S8523" t="s">
        <v>46749</v>
      </c>
      <c r="T8523" t="s">
        <v>48218</v>
      </c>
      <c r="U8523" t="s">
        <v>55714</v>
      </c>
      <c r="W8523" t="s">
        <v>45309</v>
      </c>
      <c r="X8523" t="s">
        <v>46577</v>
      </c>
    </row>
    <row r="8524" spans="1:24">
      <c r="A8524">
        <f>HYPERLINK("https://www.philgeps.gov.ph/GEPSNONPILOT/Tender/SplashBidNoticeAbstractUI.aspx?menuIndex=3&amp;refID=7056646&amp;Result=3","7056646")</f>
        <v>0</v>
      </c>
      <c r="B8524" t="s">
        <v>2506</v>
      </c>
      <c r="C8524" t="s">
        <v>11617</v>
      </c>
      <c r="D8524" t="s">
        <v>18829</v>
      </c>
      <c r="E8524" t="s">
        <v>26323</v>
      </c>
      <c r="F8524" t="s">
        <v>32664</v>
      </c>
      <c r="G8524" t="s">
        <v>32672</v>
      </c>
      <c r="H8524" t="s">
        <v>12635</v>
      </c>
      <c r="I8524" t="s">
        <v>11464</v>
      </c>
      <c r="J8524" t="s">
        <v>32930</v>
      </c>
      <c r="K8524" t="s">
        <v>42298</v>
      </c>
      <c r="M8524" t="s">
        <v>45310</v>
      </c>
      <c r="N8524" t="s">
        <v>46569</v>
      </c>
      <c r="O8524" t="s">
        <v>46570</v>
      </c>
      <c r="P8524">
        <v>0</v>
      </c>
      <c r="Q8524">
        <v>4</v>
      </c>
      <c r="R8524" t="s">
        <v>46576</v>
      </c>
      <c r="S8524" t="s">
        <v>46749</v>
      </c>
      <c r="T8524" t="s">
        <v>48533</v>
      </c>
      <c r="U8524" t="s">
        <v>55715</v>
      </c>
      <c r="W8524" t="s">
        <v>45310</v>
      </c>
      <c r="X8524" t="s">
        <v>46577</v>
      </c>
    </row>
    <row r="8525" spans="1:24">
      <c r="A8525">
        <f>HYPERLINK("https://www.philgeps.gov.ph/GEPSNONPILOT/Tender/SplashBidNoticeAbstractUI.aspx?menuIndex=3&amp;refID=7056571&amp;Result=3","7056571")</f>
        <v>0</v>
      </c>
      <c r="B8525" t="s">
        <v>2507</v>
      </c>
      <c r="C8525" t="s">
        <v>11618</v>
      </c>
      <c r="D8525" t="s">
        <v>18852</v>
      </c>
      <c r="E8525" t="s">
        <v>26324</v>
      </c>
      <c r="F8525" t="s">
        <v>32664</v>
      </c>
      <c r="G8525" t="s">
        <v>32672</v>
      </c>
      <c r="H8525" t="s">
        <v>12635</v>
      </c>
      <c r="I8525" t="s">
        <v>10374</v>
      </c>
      <c r="J8525" t="s">
        <v>37991</v>
      </c>
      <c r="K8525" t="s">
        <v>42289</v>
      </c>
      <c r="M8525" t="s">
        <v>45311</v>
      </c>
      <c r="N8525" t="s">
        <v>46569</v>
      </c>
      <c r="O8525" t="s">
        <v>46570</v>
      </c>
      <c r="P8525">
        <v>0</v>
      </c>
      <c r="Q8525">
        <v>1</v>
      </c>
      <c r="R8525" t="s">
        <v>46576</v>
      </c>
      <c r="S8525" t="s">
        <v>46749</v>
      </c>
      <c r="T8525" t="s">
        <v>48410</v>
      </c>
      <c r="U8525" t="s">
        <v>55716</v>
      </c>
      <c r="W8525" t="s">
        <v>45311</v>
      </c>
      <c r="X8525" t="s">
        <v>46577</v>
      </c>
    </row>
    <row r="8526" spans="1:24">
      <c r="A8526">
        <f>HYPERLINK("https://www.philgeps.gov.ph/GEPSNONPILOT/Tender/SplashBidNoticeAbstractUI.aspx?menuIndex=3&amp;refID=7056657&amp;Result=3","7056657")</f>
        <v>0</v>
      </c>
      <c r="B8526" t="s">
        <v>2468</v>
      </c>
      <c r="C8526" t="s">
        <v>11619</v>
      </c>
      <c r="E8526" t="s">
        <v>26325</v>
      </c>
      <c r="F8526" t="s">
        <v>32664</v>
      </c>
      <c r="G8526" t="s">
        <v>32672</v>
      </c>
      <c r="H8526" t="s">
        <v>12635</v>
      </c>
      <c r="I8526" t="s">
        <v>7429</v>
      </c>
      <c r="J8526" t="s">
        <v>34148</v>
      </c>
      <c r="K8526" t="s">
        <v>42283</v>
      </c>
      <c r="M8526" t="s">
        <v>45265</v>
      </c>
      <c r="N8526" t="s">
        <v>46569</v>
      </c>
      <c r="O8526" t="s">
        <v>46570</v>
      </c>
      <c r="P8526">
        <v>0</v>
      </c>
      <c r="Q8526">
        <v>3</v>
      </c>
      <c r="R8526" t="s">
        <v>46576</v>
      </c>
      <c r="S8526" t="s">
        <v>46749</v>
      </c>
      <c r="T8526" t="s">
        <v>48308</v>
      </c>
      <c r="U8526" t="s">
        <v>55717</v>
      </c>
      <c r="W8526" t="s">
        <v>45265</v>
      </c>
      <c r="X8526" t="s">
        <v>46577</v>
      </c>
    </row>
    <row r="8527" spans="1:24">
      <c r="A8527">
        <f>HYPERLINK("https://www.philgeps.gov.ph/GEPSNONPILOT/Tender/SplashBidNoticeAbstractUI.aspx?menuIndex=3&amp;refID=7056644&amp;Result=3","7056644")</f>
        <v>0</v>
      </c>
      <c r="B8527" t="s">
        <v>2468</v>
      </c>
      <c r="C8527" t="s">
        <v>11620</v>
      </c>
      <c r="E8527" t="s">
        <v>26326</v>
      </c>
      <c r="F8527" t="s">
        <v>32664</v>
      </c>
      <c r="G8527" t="s">
        <v>32672</v>
      </c>
      <c r="H8527" t="s">
        <v>12635</v>
      </c>
      <c r="I8527" t="s">
        <v>8730</v>
      </c>
      <c r="J8527" t="s">
        <v>37992</v>
      </c>
      <c r="K8527" t="s">
        <v>42283</v>
      </c>
      <c r="M8527" t="s">
        <v>45265</v>
      </c>
      <c r="N8527" t="s">
        <v>46569</v>
      </c>
      <c r="O8527" t="s">
        <v>46570</v>
      </c>
      <c r="P8527">
        <v>0</v>
      </c>
      <c r="Q8527">
        <v>7</v>
      </c>
      <c r="R8527" t="s">
        <v>46576</v>
      </c>
      <c r="S8527" t="s">
        <v>46749</v>
      </c>
      <c r="T8527" t="s">
        <v>48308</v>
      </c>
      <c r="U8527" t="s">
        <v>55718</v>
      </c>
      <c r="W8527" t="s">
        <v>45265</v>
      </c>
      <c r="X8527" t="s">
        <v>46577</v>
      </c>
    </row>
    <row r="8528" spans="1:24">
      <c r="A8528">
        <f>HYPERLINK("https://www.philgeps.gov.ph/GEPSNONPILOT/Tender/SplashBidNoticeAbstractUI.aspx?menuIndex=3&amp;refID=7056645&amp;Result=3","7056645")</f>
        <v>0</v>
      </c>
      <c r="B8528" t="s">
        <v>2474</v>
      </c>
      <c r="C8528" t="s">
        <v>11621</v>
      </c>
      <c r="D8528" t="s">
        <v>18781</v>
      </c>
      <c r="E8528" t="s">
        <v>26200</v>
      </c>
      <c r="F8528" t="s">
        <v>32664</v>
      </c>
      <c r="G8528" t="s">
        <v>32672</v>
      </c>
      <c r="H8528" t="s">
        <v>32683</v>
      </c>
      <c r="I8528" t="s">
        <v>10627</v>
      </c>
      <c r="J8528" t="s">
        <v>37993</v>
      </c>
      <c r="K8528" t="s">
        <v>42305</v>
      </c>
      <c r="M8528" t="s">
        <v>45274</v>
      </c>
      <c r="N8528" t="s">
        <v>46569</v>
      </c>
      <c r="O8528" t="s">
        <v>46570</v>
      </c>
      <c r="Q8528">
        <v>0</v>
      </c>
      <c r="R8528" t="s">
        <v>46576</v>
      </c>
      <c r="S8528" t="s">
        <v>46778</v>
      </c>
      <c r="T8528" t="s">
        <v>48360</v>
      </c>
      <c r="U8528" t="s">
        <v>55610</v>
      </c>
      <c r="V8528" t="s">
        <v>62488</v>
      </c>
      <c r="W8528" t="s">
        <v>45274</v>
      </c>
      <c r="X8528" t="s">
        <v>46577</v>
      </c>
    </row>
    <row r="8529" spans="1:24">
      <c r="A8529">
        <f>HYPERLINK("https://www.philgeps.gov.ph/GEPSNONPILOT/Tender/SplashBidNoticeAbstractUI.aspx?menuIndex=3&amp;refID=7056340&amp;Result=3","7056340")</f>
        <v>0</v>
      </c>
      <c r="B8529" t="s">
        <v>2503</v>
      </c>
      <c r="C8529" t="s">
        <v>11622</v>
      </c>
      <c r="D8529" t="s">
        <v>18792</v>
      </c>
      <c r="E8529" t="s">
        <v>18926</v>
      </c>
      <c r="F8529" t="s">
        <v>32664</v>
      </c>
      <c r="G8529" t="s">
        <v>32672</v>
      </c>
      <c r="H8529" t="s">
        <v>32683</v>
      </c>
      <c r="I8529" t="s">
        <v>10627</v>
      </c>
      <c r="J8529" t="s">
        <v>32853</v>
      </c>
      <c r="K8529" t="s">
        <v>42281</v>
      </c>
      <c r="M8529" t="s">
        <v>45306</v>
      </c>
      <c r="N8529" t="s">
        <v>46569</v>
      </c>
      <c r="O8529" t="s">
        <v>46570</v>
      </c>
      <c r="P8529">
        <v>0</v>
      </c>
      <c r="Q8529">
        <v>1</v>
      </c>
      <c r="R8529" t="s">
        <v>46576</v>
      </c>
      <c r="S8529" t="s">
        <v>46749</v>
      </c>
      <c r="T8529" t="s">
        <v>48221</v>
      </c>
      <c r="U8529" t="s">
        <v>55719</v>
      </c>
      <c r="W8529" t="s">
        <v>45306</v>
      </c>
      <c r="X8529" t="s">
        <v>46577</v>
      </c>
    </row>
    <row r="8530" spans="1:24">
      <c r="A8530">
        <f>HYPERLINK("https://www.philgeps.gov.ph/GEPSNONPILOT/Tender/SplashBidNoticeAbstractUI.aspx?menuIndex=3&amp;refID=7056624&amp;Result=3","7056624")</f>
        <v>0</v>
      </c>
      <c r="B8530" t="s">
        <v>2508</v>
      </c>
      <c r="C8530" t="s">
        <v>11623</v>
      </c>
      <c r="D8530" t="s">
        <v>18791</v>
      </c>
      <c r="E8530" t="s">
        <v>26327</v>
      </c>
      <c r="F8530" t="s">
        <v>32664</v>
      </c>
      <c r="G8530" t="s">
        <v>32671</v>
      </c>
      <c r="H8530" t="s">
        <v>12635</v>
      </c>
      <c r="I8530" t="s">
        <v>32701</v>
      </c>
      <c r="J8530" t="s">
        <v>32859</v>
      </c>
      <c r="K8530" t="s">
        <v>42471</v>
      </c>
      <c r="M8530" t="s">
        <v>45312</v>
      </c>
      <c r="N8530" t="s">
        <v>46569</v>
      </c>
      <c r="O8530" t="s">
        <v>46570</v>
      </c>
      <c r="P8530">
        <v>0</v>
      </c>
      <c r="Q8530">
        <v>4</v>
      </c>
      <c r="R8530" t="s">
        <v>46576</v>
      </c>
      <c r="S8530" t="s">
        <v>46749</v>
      </c>
      <c r="T8530" t="s">
        <v>48283</v>
      </c>
      <c r="U8530" t="s">
        <v>55720</v>
      </c>
      <c r="W8530" t="s">
        <v>45312</v>
      </c>
      <c r="X8530" t="s">
        <v>46577</v>
      </c>
    </row>
    <row r="8531" spans="1:24">
      <c r="A8531">
        <f>HYPERLINK("https://www.philgeps.gov.ph/GEPSNONPILOT/Tender/SplashBidNoticeAbstractUI.aspx?menuIndex=3&amp;refID=7056368&amp;Result=3","7056368")</f>
        <v>0</v>
      </c>
      <c r="B8531" t="s">
        <v>2474</v>
      </c>
      <c r="C8531" t="s">
        <v>11624</v>
      </c>
      <c r="D8531" t="s">
        <v>18781</v>
      </c>
      <c r="E8531" t="s">
        <v>26200</v>
      </c>
      <c r="F8531" t="s">
        <v>32664</v>
      </c>
      <c r="G8531" t="s">
        <v>32672</v>
      </c>
      <c r="H8531" t="s">
        <v>32683</v>
      </c>
      <c r="I8531" t="s">
        <v>10627</v>
      </c>
      <c r="J8531" t="s">
        <v>33761</v>
      </c>
      <c r="K8531" t="s">
        <v>42342</v>
      </c>
      <c r="M8531" t="s">
        <v>45274</v>
      </c>
      <c r="N8531" t="s">
        <v>46569</v>
      </c>
      <c r="O8531" t="s">
        <v>46570</v>
      </c>
      <c r="Q8531">
        <v>0</v>
      </c>
      <c r="R8531" t="s">
        <v>46576</v>
      </c>
      <c r="S8531" t="s">
        <v>46779</v>
      </c>
      <c r="T8531" t="s">
        <v>48360</v>
      </c>
      <c r="U8531" t="s">
        <v>55610</v>
      </c>
      <c r="V8531" t="s">
        <v>62489</v>
      </c>
      <c r="W8531" t="s">
        <v>45274</v>
      </c>
      <c r="X8531" t="s">
        <v>46577</v>
      </c>
    </row>
    <row r="8532" spans="1:24">
      <c r="A8532">
        <f>HYPERLINK("https://www.philgeps.gov.ph/GEPSNONPILOT/Tender/SplashBidNoticeAbstractUI.aspx?menuIndex=3&amp;refID=7056621&amp;Result=3","7056621")</f>
        <v>0</v>
      </c>
      <c r="B8532" t="s">
        <v>2409</v>
      </c>
      <c r="C8532" t="s">
        <v>11625</v>
      </c>
      <c r="D8532" t="s">
        <v>18786</v>
      </c>
      <c r="E8532" t="s">
        <v>26328</v>
      </c>
      <c r="F8532" t="s">
        <v>32664</v>
      </c>
      <c r="G8532" t="s">
        <v>32672</v>
      </c>
      <c r="H8532" t="s">
        <v>12635</v>
      </c>
      <c r="I8532" t="s">
        <v>32721</v>
      </c>
      <c r="J8532" t="s">
        <v>37994</v>
      </c>
      <c r="K8532" t="s">
        <v>42417</v>
      </c>
      <c r="M8532" t="s">
        <v>45200</v>
      </c>
      <c r="N8532" t="s">
        <v>46569</v>
      </c>
      <c r="O8532" t="s">
        <v>46570</v>
      </c>
      <c r="P8532">
        <v>0</v>
      </c>
      <c r="Q8532">
        <v>1</v>
      </c>
      <c r="R8532" t="s">
        <v>46576</v>
      </c>
      <c r="S8532" t="s">
        <v>46749</v>
      </c>
      <c r="T8532" t="s">
        <v>48221</v>
      </c>
      <c r="U8532" t="s">
        <v>55721</v>
      </c>
      <c r="W8532" t="s">
        <v>45200</v>
      </c>
      <c r="X8532" t="s">
        <v>46577</v>
      </c>
    </row>
    <row r="8533" spans="1:24">
      <c r="A8533">
        <f>HYPERLINK("https://www.philgeps.gov.ph/GEPSNONPILOT/Tender/SplashBidNoticeAbstractUI.aspx?menuIndex=3&amp;refID=7056619&amp;Result=3","7056619")</f>
        <v>0</v>
      </c>
      <c r="B8533" t="s">
        <v>2509</v>
      </c>
      <c r="C8533" t="s">
        <v>11626</v>
      </c>
      <c r="D8533" t="s">
        <v>18787</v>
      </c>
      <c r="E8533" t="s">
        <v>26329</v>
      </c>
      <c r="F8533" t="s">
        <v>32664</v>
      </c>
      <c r="G8533" t="s">
        <v>32674</v>
      </c>
      <c r="H8533" t="s">
        <v>12635</v>
      </c>
      <c r="I8533" t="s">
        <v>10361</v>
      </c>
      <c r="J8533" t="s">
        <v>33688</v>
      </c>
      <c r="K8533" t="s">
        <v>42283</v>
      </c>
      <c r="M8533" t="s">
        <v>45313</v>
      </c>
      <c r="N8533" t="s">
        <v>46569</v>
      </c>
      <c r="O8533" t="s">
        <v>46570</v>
      </c>
      <c r="P8533">
        <v>0</v>
      </c>
      <c r="Q8533">
        <v>1</v>
      </c>
      <c r="R8533" t="s">
        <v>46576</v>
      </c>
      <c r="S8533" t="s">
        <v>46749</v>
      </c>
      <c r="T8533" t="s">
        <v>48219</v>
      </c>
      <c r="U8533" t="s">
        <v>55722</v>
      </c>
      <c r="W8533" t="s">
        <v>45313</v>
      </c>
      <c r="X8533" t="s">
        <v>46577</v>
      </c>
    </row>
    <row r="8534" spans="1:24">
      <c r="A8534">
        <f>HYPERLINK("https://www.philgeps.gov.ph/GEPSNONPILOT/Tender/SplashBidNoticeAbstractUI.aspx?menuIndex=3&amp;refID=7056305&amp;Result=3","7056305")</f>
        <v>0</v>
      </c>
      <c r="B8534" t="s">
        <v>2474</v>
      </c>
      <c r="C8534" t="s">
        <v>11627</v>
      </c>
      <c r="D8534" t="s">
        <v>18781</v>
      </c>
      <c r="E8534" t="s">
        <v>26200</v>
      </c>
      <c r="F8534" t="s">
        <v>32664</v>
      </c>
      <c r="G8534" t="s">
        <v>32672</v>
      </c>
      <c r="H8534" t="s">
        <v>32683</v>
      </c>
      <c r="I8534" t="s">
        <v>10627</v>
      </c>
      <c r="J8534" t="s">
        <v>37995</v>
      </c>
      <c r="K8534" t="s">
        <v>42298</v>
      </c>
      <c r="M8534" t="s">
        <v>45274</v>
      </c>
      <c r="N8534" t="s">
        <v>46569</v>
      </c>
      <c r="O8534" t="s">
        <v>46570</v>
      </c>
      <c r="Q8534">
        <v>0</v>
      </c>
      <c r="R8534" t="s">
        <v>46576</v>
      </c>
      <c r="S8534" t="s">
        <v>46780</v>
      </c>
      <c r="T8534" t="s">
        <v>48360</v>
      </c>
      <c r="U8534" t="s">
        <v>55610</v>
      </c>
      <c r="V8534" t="s">
        <v>62490</v>
      </c>
      <c r="W8534" t="s">
        <v>45274</v>
      </c>
      <c r="X8534" t="s">
        <v>46577</v>
      </c>
    </row>
    <row r="8535" spans="1:24">
      <c r="A8535">
        <f>HYPERLINK("https://www.philgeps.gov.ph/GEPSNONPILOT/Tender/SplashBidNoticeAbstractUI.aspx?menuIndex=3&amp;refID=7056618&amp;Result=3","7056618")</f>
        <v>0</v>
      </c>
      <c r="B8535" t="s">
        <v>1459</v>
      </c>
      <c r="C8535" t="s">
        <v>11628</v>
      </c>
      <c r="D8535" t="s">
        <v>18784</v>
      </c>
      <c r="E8535" t="s">
        <v>26330</v>
      </c>
      <c r="F8535" t="s">
        <v>32664</v>
      </c>
      <c r="G8535" t="s">
        <v>32672</v>
      </c>
      <c r="H8535" t="s">
        <v>32683</v>
      </c>
      <c r="I8535" t="s">
        <v>10627</v>
      </c>
      <c r="J8535" t="s">
        <v>37996</v>
      </c>
      <c r="K8535" t="s">
        <v>42349</v>
      </c>
      <c r="M8535" t="s">
        <v>44120</v>
      </c>
      <c r="N8535" t="s">
        <v>46569</v>
      </c>
      <c r="O8535" t="s">
        <v>46570</v>
      </c>
      <c r="P8535">
        <v>0</v>
      </c>
      <c r="Q8535">
        <v>25</v>
      </c>
      <c r="R8535" t="s">
        <v>46576</v>
      </c>
      <c r="S8535" t="s">
        <v>46749</v>
      </c>
      <c r="T8535" t="s">
        <v>48418</v>
      </c>
      <c r="U8535" t="s">
        <v>55723</v>
      </c>
      <c r="V8535" t="s">
        <v>62491</v>
      </c>
      <c r="W8535" t="s">
        <v>44120</v>
      </c>
      <c r="X8535" t="s">
        <v>46577</v>
      </c>
    </row>
    <row r="8536" spans="1:24">
      <c r="A8536">
        <f>HYPERLINK("https://www.philgeps.gov.ph/GEPSNONPILOT/Tender/SplashBidNoticeAbstractUI.aspx?menuIndex=3&amp;refID=7056614&amp;Result=3","7056614")</f>
        <v>0</v>
      </c>
      <c r="B8536" t="s">
        <v>2502</v>
      </c>
      <c r="C8536" t="s">
        <v>11629</v>
      </c>
      <c r="D8536" t="s">
        <v>18805</v>
      </c>
      <c r="E8536" t="s">
        <v>25935</v>
      </c>
      <c r="F8536" t="s">
        <v>32664</v>
      </c>
      <c r="G8536" t="s">
        <v>32672</v>
      </c>
      <c r="H8536" t="s">
        <v>12635</v>
      </c>
      <c r="I8536" t="s">
        <v>6168</v>
      </c>
      <c r="J8536" t="s">
        <v>37997</v>
      </c>
      <c r="K8536" t="s">
        <v>42306</v>
      </c>
      <c r="M8536" t="s">
        <v>45305</v>
      </c>
      <c r="N8536" t="s">
        <v>46569</v>
      </c>
      <c r="O8536" t="s">
        <v>46570</v>
      </c>
      <c r="P8536">
        <v>0</v>
      </c>
      <c r="Q8536">
        <v>0</v>
      </c>
      <c r="R8536" t="s">
        <v>46576</v>
      </c>
      <c r="S8536" t="s">
        <v>46749</v>
      </c>
      <c r="T8536" t="s">
        <v>48308</v>
      </c>
      <c r="U8536" t="s">
        <v>55724</v>
      </c>
      <c r="W8536" t="s">
        <v>45305</v>
      </c>
      <c r="X8536" t="s">
        <v>46577</v>
      </c>
    </row>
    <row r="8537" spans="1:24">
      <c r="A8537">
        <f>HYPERLINK("https://www.philgeps.gov.ph/GEPSNONPILOT/Tender/SplashBidNoticeAbstractUI.aspx?menuIndex=3&amp;refID=7056490&amp;Result=3","7056490")</f>
        <v>0</v>
      </c>
      <c r="B8537" t="s">
        <v>2474</v>
      </c>
      <c r="C8537" t="s">
        <v>11630</v>
      </c>
      <c r="D8537" t="s">
        <v>18781</v>
      </c>
      <c r="E8537" t="s">
        <v>26200</v>
      </c>
      <c r="F8537" t="s">
        <v>32664</v>
      </c>
      <c r="G8537" t="s">
        <v>32672</v>
      </c>
      <c r="H8537" t="s">
        <v>32683</v>
      </c>
      <c r="I8537" t="s">
        <v>10627</v>
      </c>
      <c r="J8537" t="s">
        <v>32962</v>
      </c>
      <c r="K8537" t="s">
        <v>42298</v>
      </c>
      <c r="M8537" t="s">
        <v>45274</v>
      </c>
      <c r="N8537" t="s">
        <v>46569</v>
      </c>
      <c r="O8537" t="s">
        <v>46570</v>
      </c>
      <c r="Q8537">
        <v>0</v>
      </c>
      <c r="R8537" t="s">
        <v>46576</v>
      </c>
      <c r="S8537" t="s">
        <v>46781</v>
      </c>
      <c r="T8537" t="s">
        <v>48360</v>
      </c>
      <c r="U8537" t="s">
        <v>55610</v>
      </c>
      <c r="V8537" t="s">
        <v>62492</v>
      </c>
      <c r="W8537" t="s">
        <v>45274</v>
      </c>
      <c r="X8537" t="s">
        <v>46577</v>
      </c>
    </row>
    <row r="8538" spans="1:24">
      <c r="A8538">
        <f>HYPERLINK("https://www.philgeps.gov.ph/GEPSNONPILOT/Tender/SplashBidNoticeAbstractUI.aspx?menuIndex=3&amp;refID=7056627&amp;Result=3","7056627")</f>
        <v>0</v>
      </c>
      <c r="B8538" t="s">
        <v>2468</v>
      </c>
      <c r="C8538" t="s">
        <v>11631</v>
      </c>
      <c r="E8538" t="s">
        <v>26331</v>
      </c>
      <c r="F8538" t="s">
        <v>32664</v>
      </c>
      <c r="G8538" t="s">
        <v>32672</v>
      </c>
      <c r="H8538" t="s">
        <v>12635</v>
      </c>
      <c r="I8538" t="s">
        <v>13883</v>
      </c>
      <c r="J8538" t="s">
        <v>37998</v>
      </c>
      <c r="K8538" t="s">
        <v>42283</v>
      </c>
      <c r="M8538" t="s">
        <v>45265</v>
      </c>
      <c r="N8538" t="s">
        <v>46569</v>
      </c>
      <c r="O8538" t="s">
        <v>46570</v>
      </c>
      <c r="P8538">
        <v>0</v>
      </c>
      <c r="Q8538">
        <v>13</v>
      </c>
      <c r="R8538" t="s">
        <v>46576</v>
      </c>
      <c r="S8538" t="s">
        <v>46749</v>
      </c>
      <c r="T8538" t="s">
        <v>48308</v>
      </c>
      <c r="U8538" t="s">
        <v>55725</v>
      </c>
      <c r="W8538" t="s">
        <v>45265</v>
      </c>
      <c r="X8538" t="s">
        <v>46577</v>
      </c>
    </row>
    <row r="8539" spans="1:24">
      <c r="A8539">
        <f>HYPERLINK("https://www.philgeps.gov.ph/GEPSNONPILOT/Tender/SplashBidNoticeAbstractUI.aspx?menuIndex=3&amp;refID=7056610&amp;Result=3","7056610")</f>
        <v>0</v>
      </c>
      <c r="B8539" t="s">
        <v>1459</v>
      </c>
      <c r="C8539" t="s">
        <v>11632</v>
      </c>
      <c r="D8539" t="s">
        <v>18784</v>
      </c>
      <c r="E8539" t="s">
        <v>26332</v>
      </c>
      <c r="F8539" t="s">
        <v>32664</v>
      </c>
      <c r="G8539" t="s">
        <v>32672</v>
      </c>
      <c r="H8539" t="s">
        <v>32683</v>
      </c>
      <c r="I8539" t="s">
        <v>10627</v>
      </c>
      <c r="J8539" t="s">
        <v>37999</v>
      </c>
      <c r="K8539" t="s">
        <v>42472</v>
      </c>
      <c r="M8539" t="s">
        <v>44120</v>
      </c>
      <c r="N8539" t="s">
        <v>46569</v>
      </c>
      <c r="O8539" t="s">
        <v>46570</v>
      </c>
      <c r="P8539">
        <v>0</v>
      </c>
      <c r="Q8539">
        <v>29</v>
      </c>
      <c r="R8539" t="s">
        <v>46576</v>
      </c>
      <c r="S8539" t="s">
        <v>46749</v>
      </c>
      <c r="T8539" t="s">
        <v>48418</v>
      </c>
      <c r="U8539" t="s">
        <v>55726</v>
      </c>
      <c r="V8539" t="s">
        <v>62491</v>
      </c>
      <c r="W8539" t="s">
        <v>44120</v>
      </c>
      <c r="X8539" t="s">
        <v>46577</v>
      </c>
    </row>
    <row r="8540" spans="1:24">
      <c r="A8540">
        <f>HYPERLINK("https://www.philgeps.gov.ph/GEPSNONPILOT/Tender/SplashBidNoticeAbstractUI.aspx?menuIndex=3&amp;refID=7056607&amp;Result=3","7056607")</f>
        <v>0</v>
      </c>
      <c r="B8540" t="s">
        <v>2510</v>
      </c>
      <c r="C8540" t="s">
        <v>11633</v>
      </c>
      <c r="D8540" t="s">
        <v>18826</v>
      </c>
      <c r="E8540" t="s">
        <v>26333</v>
      </c>
      <c r="F8540" t="s">
        <v>32664</v>
      </c>
      <c r="G8540" t="s">
        <v>32671</v>
      </c>
      <c r="H8540" t="s">
        <v>12635</v>
      </c>
      <c r="I8540" t="s">
        <v>32685</v>
      </c>
      <c r="J8540" t="s">
        <v>38000</v>
      </c>
      <c r="K8540" t="s">
        <v>42281</v>
      </c>
      <c r="M8540" t="s">
        <v>45314</v>
      </c>
      <c r="N8540" t="s">
        <v>46569</v>
      </c>
      <c r="O8540" t="s">
        <v>46570</v>
      </c>
      <c r="P8540">
        <v>0</v>
      </c>
      <c r="Q8540">
        <v>1</v>
      </c>
      <c r="R8540" t="s">
        <v>46576</v>
      </c>
      <c r="S8540" t="s">
        <v>46749</v>
      </c>
      <c r="T8540" t="s">
        <v>48450</v>
      </c>
      <c r="U8540" t="s">
        <v>55727</v>
      </c>
      <c r="W8540" t="s">
        <v>45314</v>
      </c>
      <c r="X8540" t="s">
        <v>46577</v>
      </c>
    </row>
    <row r="8541" spans="1:24">
      <c r="A8541">
        <f>HYPERLINK("https://www.philgeps.gov.ph/GEPSNONPILOT/Tender/SplashBidNoticeAbstractUI.aspx?menuIndex=3&amp;refID=7056604&amp;Result=3","7056604")</f>
        <v>0</v>
      </c>
      <c r="B8541" t="s">
        <v>2507</v>
      </c>
      <c r="C8541" t="s">
        <v>11634</v>
      </c>
      <c r="D8541" t="s">
        <v>18852</v>
      </c>
      <c r="E8541" t="s">
        <v>26334</v>
      </c>
      <c r="F8541" t="s">
        <v>32664</v>
      </c>
      <c r="G8541" t="s">
        <v>32672</v>
      </c>
      <c r="H8541" t="s">
        <v>12635</v>
      </c>
      <c r="I8541" t="s">
        <v>9486</v>
      </c>
      <c r="J8541" t="s">
        <v>38001</v>
      </c>
      <c r="K8541" t="s">
        <v>42289</v>
      </c>
      <c r="M8541" t="s">
        <v>45311</v>
      </c>
      <c r="N8541" t="s">
        <v>46569</v>
      </c>
      <c r="O8541" t="s">
        <v>46570</v>
      </c>
      <c r="P8541">
        <v>0</v>
      </c>
      <c r="Q8541">
        <v>3</v>
      </c>
      <c r="R8541" t="s">
        <v>46576</v>
      </c>
      <c r="S8541" t="s">
        <v>46749</v>
      </c>
      <c r="T8541" t="s">
        <v>48410</v>
      </c>
      <c r="U8541" t="s">
        <v>55728</v>
      </c>
      <c r="W8541" t="s">
        <v>45311</v>
      </c>
      <c r="X8541" t="s">
        <v>46577</v>
      </c>
    </row>
    <row r="8542" spans="1:24">
      <c r="A8542">
        <f>HYPERLINK("https://www.philgeps.gov.ph/GEPSNONPILOT/Tender/SplashBidNoticeAbstractUI.aspx?menuIndex=3&amp;refID=7056603&amp;Result=3","7056603")</f>
        <v>0</v>
      </c>
      <c r="B8542" t="s">
        <v>233</v>
      </c>
      <c r="C8542" t="s">
        <v>11635</v>
      </c>
      <c r="D8542" t="s">
        <v>18786</v>
      </c>
      <c r="E8542" t="s">
        <v>26335</v>
      </c>
      <c r="F8542" t="s">
        <v>32664</v>
      </c>
      <c r="G8542" t="s">
        <v>32674</v>
      </c>
      <c r="H8542" t="s">
        <v>12635</v>
      </c>
      <c r="I8542" t="s">
        <v>14442</v>
      </c>
      <c r="J8542" t="s">
        <v>38002</v>
      </c>
      <c r="K8542" t="s">
        <v>42281</v>
      </c>
      <c r="M8542" t="s">
        <v>42798</v>
      </c>
      <c r="N8542" t="s">
        <v>46569</v>
      </c>
      <c r="O8542" t="s">
        <v>46570</v>
      </c>
      <c r="P8542">
        <v>0</v>
      </c>
      <c r="Q8542">
        <v>3</v>
      </c>
      <c r="R8542" t="s">
        <v>46576</v>
      </c>
      <c r="S8542" t="s">
        <v>46749</v>
      </c>
      <c r="T8542" t="s">
        <v>48449</v>
      </c>
      <c r="U8542" t="s">
        <v>55729</v>
      </c>
      <c r="W8542" t="s">
        <v>42798</v>
      </c>
      <c r="X8542" t="s">
        <v>46577</v>
      </c>
    </row>
    <row r="8543" spans="1:24">
      <c r="A8543">
        <f>HYPERLINK("https://www.philgeps.gov.ph/GEPSNONPILOT/Tender/SplashBidNoticeAbstractUI.aspx?menuIndex=3&amp;refID=7056602&amp;Result=3","7056602")</f>
        <v>0</v>
      </c>
      <c r="B8543" t="s">
        <v>2474</v>
      </c>
      <c r="C8543" t="s">
        <v>11636</v>
      </c>
      <c r="D8543" t="s">
        <v>18781</v>
      </c>
      <c r="E8543" t="s">
        <v>26200</v>
      </c>
      <c r="F8543" t="s">
        <v>32664</v>
      </c>
      <c r="G8543" t="s">
        <v>32672</v>
      </c>
      <c r="H8543" t="s">
        <v>32683</v>
      </c>
      <c r="I8543" t="s">
        <v>10627</v>
      </c>
      <c r="J8543" t="s">
        <v>37993</v>
      </c>
      <c r="K8543" t="s">
        <v>42305</v>
      </c>
      <c r="M8543" t="s">
        <v>45274</v>
      </c>
      <c r="N8543" t="s">
        <v>46569</v>
      </c>
      <c r="O8543" t="s">
        <v>46570</v>
      </c>
      <c r="Q8543">
        <v>0</v>
      </c>
      <c r="R8543" t="s">
        <v>46576</v>
      </c>
      <c r="S8543" t="s">
        <v>46782</v>
      </c>
      <c r="T8543" t="s">
        <v>48360</v>
      </c>
      <c r="U8543" t="s">
        <v>55610</v>
      </c>
      <c r="V8543" t="s">
        <v>62493</v>
      </c>
      <c r="W8543" t="s">
        <v>45274</v>
      </c>
      <c r="X8543" t="s">
        <v>46577</v>
      </c>
    </row>
    <row r="8544" spans="1:24">
      <c r="A8544">
        <f>HYPERLINK("https://www.philgeps.gov.ph/GEPSNONPILOT/Tender/SplashBidNoticeAbstractUI.aspx?menuIndex=3&amp;refID=7056450&amp;Result=3","7056450")</f>
        <v>0</v>
      </c>
      <c r="B8544" t="s">
        <v>110</v>
      </c>
      <c r="C8544" t="s">
        <v>11637</v>
      </c>
      <c r="D8544" t="s">
        <v>18826</v>
      </c>
      <c r="E8544" t="s">
        <v>26336</v>
      </c>
      <c r="F8544" t="s">
        <v>32664</v>
      </c>
      <c r="G8544" t="s">
        <v>32672</v>
      </c>
      <c r="H8544" t="s">
        <v>32683</v>
      </c>
      <c r="I8544" t="s">
        <v>10627</v>
      </c>
      <c r="J8544" t="s">
        <v>38003</v>
      </c>
      <c r="K8544" t="s">
        <v>42308</v>
      </c>
      <c r="M8544" t="s">
        <v>43665</v>
      </c>
      <c r="N8544" t="s">
        <v>46569</v>
      </c>
      <c r="O8544" t="s">
        <v>46570</v>
      </c>
      <c r="P8544">
        <v>0</v>
      </c>
      <c r="Q8544">
        <v>3</v>
      </c>
      <c r="R8544" t="s">
        <v>46574</v>
      </c>
      <c r="S8544" t="s">
        <v>46723</v>
      </c>
      <c r="T8544" t="s">
        <v>48308</v>
      </c>
      <c r="U8544" t="s">
        <v>50948</v>
      </c>
      <c r="W8544" t="s">
        <v>43665</v>
      </c>
      <c r="X8544" t="s">
        <v>46577</v>
      </c>
    </row>
    <row r="8545" spans="1:24">
      <c r="A8545">
        <f>HYPERLINK("https://www.philgeps.gov.ph/GEPSNONPILOT/Tender/SplashBidNoticeAbstractUI.aspx?menuIndex=3&amp;refID=7066753&amp;Result=3","7066753")</f>
        <v>0</v>
      </c>
      <c r="B8545" t="s">
        <v>848</v>
      </c>
      <c r="C8545" t="s">
        <v>11638</v>
      </c>
      <c r="D8545" t="s">
        <v>18791</v>
      </c>
      <c r="E8545" t="s">
        <v>26337</v>
      </c>
      <c r="F8545" t="s">
        <v>32664</v>
      </c>
      <c r="G8545" t="s">
        <v>32671</v>
      </c>
      <c r="H8545" t="s">
        <v>12635</v>
      </c>
      <c r="I8545" t="s">
        <v>32728</v>
      </c>
      <c r="J8545" t="s">
        <v>38004</v>
      </c>
      <c r="K8545" t="s">
        <v>42284</v>
      </c>
      <c r="M8545" t="s">
        <v>43444</v>
      </c>
      <c r="N8545" t="s">
        <v>46569</v>
      </c>
      <c r="O8545" t="s">
        <v>46570</v>
      </c>
      <c r="P8545">
        <v>0</v>
      </c>
      <c r="Q8545">
        <v>0</v>
      </c>
      <c r="R8545" t="s">
        <v>46571</v>
      </c>
      <c r="S8545" t="s">
        <v>46687</v>
      </c>
      <c r="T8545" t="s">
        <v>48356</v>
      </c>
      <c r="U8545" t="s">
        <v>50421</v>
      </c>
      <c r="W8545" t="s">
        <v>43444</v>
      </c>
      <c r="X8545" t="s">
        <v>46572</v>
      </c>
    </row>
    <row r="8546" spans="1:24">
      <c r="A8546">
        <f>HYPERLINK("https://www.philgeps.gov.ph/GEPSNONPILOT/Tender/SplashBidNoticeAbstractUI.aspx?menuIndex=3&amp;refID=7066751&amp;Result=3","7066751")</f>
        <v>0</v>
      </c>
      <c r="B8546" t="s">
        <v>790</v>
      </c>
      <c r="C8546" t="s">
        <v>11639</v>
      </c>
      <c r="D8546" t="s">
        <v>18809</v>
      </c>
      <c r="E8546" t="s">
        <v>26338</v>
      </c>
      <c r="F8546" t="s">
        <v>32664</v>
      </c>
      <c r="G8546" t="s">
        <v>32671</v>
      </c>
      <c r="H8546" t="s">
        <v>12635</v>
      </c>
      <c r="I8546" t="s">
        <v>6223</v>
      </c>
      <c r="J8546" t="s">
        <v>38005</v>
      </c>
      <c r="K8546" t="s">
        <v>42295</v>
      </c>
      <c r="M8546" t="s">
        <v>43382</v>
      </c>
      <c r="N8546" t="s">
        <v>46569</v>
      </c>
      <c r="O8546" t="s">
        <v>46570</v>
      </c>
      <c r="P8546">
        <v>0</v>
      </c>
      <c r="Q8546">
        <v>0</v>
      </c>
      <c r="R8546" t="s">
        <v>46571</v>
      </c>
      <c r="S8546" t="s">
        <v>46687</v>
      </c>
      <c r="T8546" t="s">
        <v>48293</v>
      </c>
      <c r="U8546" t="s">
        <v>55730</v>
      </c>
      <c r="W8546" t="s">
        <v>43382</v>
      </c>
      <c r="X8546" t="s">
        <v>46572</v>
      </c>
    </row>
    <row r="8547" spans="1:24">
      <c r="A8547">
        <f>HYPERLINK("https://www.philgeps.gov.ph/GEPSNONPILOT/Tender/SplashBidNoticeAbstractUI.aspx?menuIndex=3&amp;refID=7066727&amp;Result=3","7066727")</f>
        <v>0</v>
      </c>
      <c r="B8547" t="s">
        <v>881</v>
      </c>
      <c r="C8547" t="s">
        <v>11640</v>
      </c>
      <c r="D8547" t="s">
        <v>18836</v>
      </c>
      <c r="E8547" t="s">
        <v>26339</v>
      </c>
      <c r="F8547" t="s">
        <v>32664</v>
      </c>
      <c r="G8547" t="s">
        <v>32671</v>
      </c>
      <c r="H8547" t="s">
        <v>12635</v>
      </c>
      <c r="I8547" t="s">
        <v>32684</v>
      </c>
      <c r="J8547" t="s">
        <v>38006</v>
      </c>
      <c r="K8547" t="s">
        <v>42284</v>
      </c>
      <c r="M8547" t="s">
        <v>43481</v>
      </c>
      <c r="N8547" t="s">
        <v>46569</v>
      </c>
      <c r="O8547" t="s">
        <v>46570</v>
      </c>
      <c r="P8547">
        <v>0</v>
      </c>
      <c r="Q8547">
        <v>4</v>
      </c>
      <c r="R8547" t="s">
        <v>46571</v>
      </c>
      <c r="S8547" t="s">
        <v>46687</v>
      </c>
      <c r="T8547" t="s">
        <v>48244</v>
      </c>
      <c r="U8547" t="s">
        <v>50502</v>
      </c>
      <c r="W8547" t="s">
        <v>43481</v>
      </c>
      <c r="X8547" t="s">
        <v>46572</v>
      </c>
    </row>
    <row r="8548" spans="1:24">
      <c r="A8548">
        <f>HYPERLINK("https://www.philgeps.gov.ph/GEPSNONPILOT/Tender/SplashBidNoticeAbstractUI.aspx?menuIndex=3&amp;refID=7056655&amp;Result=3","7056655")</f>
        <v>0</v>
      </c>
      <c r="B8548" t="s">
        <v>233</v>
      </c>
      <c r="C8548" t="s">
        <v>11641</v>
      </c>
      <c r="D8548" t="s">
        <v>18786</v>
      </c>
      <c r="E8548" t="s">
        <v>26340</v>
      </c>
      <c r="F8548" t="s">
        <v>32664</v>
      </c>
      <c r="G8548" t="s">
        <v>32674</v>
      </c>
      <c r="H8548" t="s">
        <v>12635</v>
      </c>
      <c r="I8548" t="s">
        <v>6168</v>
      </c>
      <c r="J8548" t="s">
        <v>38007</v>
      </c>
      <c r="K8548" t="s">
        <v>42281</v>
      </c>
      <c r="M8548" t="s">
        <v>42798</v>
      </c>
      <c r="N8548" t="s">
        <v>46569</v>
      </c>
      <c r="O8548" t="s">
        <v>46570</v>
      </c>
      <c r="P8548">
        <v>0</v>
      </c>
      <c r="Q8548">
        <v>0</v>
      </c>
      <c r="R8548" t="s">
        <v>46576</v>
      </c>
      <c r="S8548" t="s">
        <v>46749</v>
      </c>
      <c r="T8548" t="s">
        <v>48449</v>
      </c>
      <c r="U8548" t="s">
        <v>55731</v>
      </c>
      <c r="W8548" t="s">
        <v>42798</v>
      </c>
      <c r="X8548" t="s">
        <v>46577</v>
      </c>
    </row>
    <row r="8549" spans="1:24">
      <c r="A8549">
        <f>HYPERLINK("https://www.philgeps.gov.ph/GEPSNONPILOT/Tender/SplashBidNoticeAbstractUI.aspx?menuIndex=3&amp;refID=7066754&amp;Result=3","7066754")</f>
        <v>0</v>
      </c>
      <c r="B8549" t="s">
        <v>872</v>
      </c>
      <c r="C8549" t="s">
        <v>11642</v>
      </c>
      <c r="D8549" t="s">
        <v>18848</v>
      </c>
      <c r="E8549" t="s">
        <v>26341</v>
      </c>
      <c r="F8549" t="s">
        <v>32664</v>
      </c>
      <c r="G8549" t="s">
        <v>32672</v>
      </c>
      <c r="H8549" t="s">
        <v>32683</v>
      </c>
      <c r="I8549" t="s">
        <v>10627</v>
      </c>
      <c r="J8549" t="s">
        <v>38008</v>
      </c>
      <c r="K8549" t="s">
        <v>42283</v>
      </c>
      <c r="M8549" t="s">
        <v>43472</v>
      </c>
      <c r="N8549" t="s">
        <v>46569</v>
      </c>
      <c r="O8549" t="s">
        <v>46570</v>
      </c>
      <c r="P8549">
        <v>0</v>
      </c>
      <c r="Q8549">
        <v>0</v>
      </c>
      <c r="R8549" t="s">
        <v>46571</v>
      </c>
      <c r="S8549" t="s">
        <v>46687</v>
      </c>
      <c r="T8549" t="s">
        <v>48627</v>
      </c>
      <c r="U8549" t="s">
        <v>55732</v>
      </c>
      <c r="W8549" t="s">
        <v>43472</v>
      </c>
      <c r="X8549" t="s">
        <v>46572</v>
      </c>
    </row>
    <row r="8550" spans="1:24">
      <c r="A8550">
        <f>HYPERLINK("https://www.philgeps.gov.ph/GEPSNONPILOT/Tender/SplashBidNoticeAbstractUI.aspx?menuIndex=3&amp;refID=7056617&amp;Result=3","7056617")</f>
        <v>0</v>
      </c>
      <c r="B8550" t="s">
        <v>2474</v>
      </c>
      <c r="C8550" t="s">
        <v>11643</v>
      </c>
      <c r="D8550" t="s">
        <v>18781</v>
      </c>
      <c r="E8550" t="s">
        <v>26200</v>
      </c>
      <c r="F8550" t="s">
        <v>32664</v>
      </c>
      <c r="G8550" t="s">
        <v>32672</v>
      </c>
      <c r="H8550" t="s">
        <v>32683</v>
      </c>
      <c r="I8550" t="s">
        <v>10627</v>
      </c>
      <c r="J8550" t="s">
        <v>37993</v>
      </c>
      <c r="K8550" t="s">
        <v>42305</v>
      </c>
      <c r="M8550" t="s">
        <v>45274</v>
      </c>
      <c r="N8550" t="s">
        <v>46569</v>
      </c>
      <c r="O8550" t="s">
        <v>46570</v>
      </c>
      <c r="Q8550">
        <v>0</v>
      </c>
      <c r="R8550" t="s">
        <v>46576</v>
      </c>
      <c r="S8550" t="s">
        <v>46783</v>
      </c>
      <c r="T8550" t="s">
        <v>48360</v>
      </c>
      <c r="U8550" t="s">
        <v>55610</v>
      </c>
      <c r="V8550" t="s">
        <v>62494</v>
      </c>
      <c r="W8550" t="s">
        <v>45274</v>
      </c>
      <c r="X8550" t="s">
        <v>46577</v>
      </c>
    </row>
    <row r="8551" spans="1:24">
      <c r="A8551">
        <f>HYPERLINK("https://www.philgeps.gov.ph/GEPSNONPILOT/Tender/SplashBidNoticeAbstractUI.aspx?menuIndex=3&amp;refID=7056613&amp;Result=3","7056613")</f>
        <v>0</v>
      </c>
      <c r="B8551" t="s">
        <v>2357</v>
      </c>
      <c r="C8551" t="s">
        <v>11644</v>
      </c>
      <c r="D8551" t="s">
        <v>18783</v>
      </c>
      <c r="E8551" t="s">
        <v>26342</v>
      </c>
      <c r="F8551" t="s">
        <v>32664</v>
      </c>
      <c r="G8551" t="s">
        <v>32672</v>
      </c>
      <c r="H8551" t="s">
        <v>32683</v>
      </c>
      <c r="I8551" t="s">
        <v>10627</v>
      </c>
      <c r="J8551" t="s">
        <v>32865</v>
      </c>
      <c r="K8551" t="s">
        <v>42298</v>
      </c>
      <c r="M8551" t="s">
        <v>45141</v>
      </c>
      <c r="N8551" t="s">
        <v>46569</v>
      </c>
      <c r="O8551" t="s">
        <v>46570</v>
      </c>
      <c r="P8551">
        <v>0</v>
      </c>
      <c r="Q8551">
        <v>2</v>
      </c>
      <c r="R8551" t="s">
        <v>46576</v>
      </c>
      <c r="S8551" t="s">
        <v>46749</v>
      </c>
      <c r="T8551" t="s">
        <v>48293</v>
      </c>
      <c r="U8551" t="s">
        <v>55590</v>
      </c>
      <c r="W8551" t="s">
        <v>45141</v>
      </c>
      <c r="X8551" t="s">
        <v>46577</v>
      </c>
    </row>
    <row r="8552" spans="1:24">
      <c r="A8552">
        <f>HYPERLINK("https://www.philgeps.gov.ph/GEPSNONPILOT/Tender/SplashBidNoticeAbstractUI.aspx?menuIndex=3&amp;refID=7066698&amp;Result=3","7066698")</f>
        <v>0</v>
      </c>
      <c r="B8552" t="s">
        <v>815</v>
      </c>
      <c r="C8552" t="s">
        <v>11645</v>
      </c>
      <c r="D8552" t="s">
        <v>18794</v>
      </c>
      <c r="E8552" t="s">
        <v>26343</v>
      </c>
      <c r="F8552" t="s">
        <v>32664</v>
      </c>
      <c r="G8552" t="s">
        <v>32671</v>
      </c>
      <c r="H8552" t="s">
        <v>12635</v>
      </c>
      <c r="I8552" t="s">
        <v>4439</v>
      </c>
      <c r="J8552" t="s">
        <v>38009</v>
      </c>
      <c r="K8552" t="s">
        <v>42284</v>
      </c>
      <c r="M8552" t="s">
        <v>43409</v>
      </c>
      <c r="N8552" t="s">
        <v>46569</v>
      </c>
      <c r="O8552" t="s">
        <v>46570</v>
      </c>
      <c r="P8552">
        <v>0</v>
      </c>
      <c r="Q8552">
        <v>0</v>
      </c>
      <c r="R8552" t="s">
        <v>46571</v>
      </c>
      <c r="S8552" t="s">
        <v>46687</v>
      </c>
      <c r="T8552" t="s">
        <v>48249</v>
      </c>
      <c r="U8552" t="s">
        <v>55733</v>
      </c>
      <c r="V8552" t="s">
        <v>61748</v>
      </c>
      <c r="W8552" t="s">
        <v>43409</v>
      </c>
      <c r="X8552" t="s">
        <v>46572</v>
      </c>
    </row>
    <row r="8553" spans="1:24">
      <c r="A8553">
        <f>HYPERLINK("https://www.philgeps.gov.ph/GEPSNONPILOT/Tender/SplashBidNoticeAbstractUI.aspx?menuIndex=3&amp;refID=7066726&amp;Result=3","7066726")</f>
        <v>0</v>
      </c>
      <c r="B8553" t="s">
        <v>678</v>
      </c>
      <c r="C8553" t="s">
        <v>4108</v>
      </c>
      <c r="E8553" t="s">
        <v>26344</v>
      </c>
      <c r="F8553" t="s">
        <v>32664</v>
      </c>
      <c r="G8553" t="s">
        <v>32671</v>
      </c>
      <c r="H8553" t="s">
        <v>12635</v>
      </c>
      <c r="I8553" t="s">
        <v>6628</v>
      </c>
      <c r="J8553" t="s">
        <v>34624</v>
      </c>
      <c r="K8553" t="s">
        <v>42283</v>
      </c>
      <c r="M8553" t="s">
        <v>43265</v>
      </c>
      <c r="N8553" t="s">
        <v>46569</v>
      </c>
      <c r="O8553" t="s">
        <v>46570</v>
      </c>
      <c r="P8553">
        <v>0</v>
      </c>
      <c r="Q8553">
        <v>0</v>
      </c>
      <c r="R8553" t="s">
        <v>46571</v>
      </c>
      <c r="S8553" t="s">
        <v>46687</v>
      </c>
      <c r="T8553" t="s">
        <v>48312</v>
      </c>
      <c r="U8553" t="s">
        <v>55734</v>
      </c>
      <c r="W8553" t="s">
        <v>43265</v>
      </c>
      <c r="X8553" t="s">
        <v>46572</v>
      </c>
    </row>
    <row r="8554" spans="1:24">
      <c r="A8554">
        <f>HYPERLINK("https://www.philgeps.gov.ph/GEPSNONPILOT/Tender/SplashBidNoticeAbstractUI.aspx?menuIndex=3&amp;refID=7066725&amp;Result=3","7066725")</f>
        <v>0</v>
      </c>
      <c r="B8554" t="s">
        <v>467</v>
      </c>
      <c r="C8554" t="s">
        <v>11646</v>
      </c>
      <c r="D8554" t="s">
        <v>18834</v>
      </c>
      <c r="E8554" t="s">
        <v>26345</v>
      </c>
      <c r="F8554" t="s">
        <v>32664</v>
      </c>
      <c r="G8554" t="s">
        <v>32672</v>
      </c>
      <c r="H8554" t="s">
        <v>32683</v>
      </c>
      <c r="I8554" t="s">
        <v>10627</v>
      </c>
      <c r="J8554" t="s">
        <v>33761</v>
      </c>
      <c r="K8554" t="s">
        <v>42311</v>
      </c>
      <c r="M8554" t="s">
        <v>43042</v>
      </c>
      <c r="N8554" t="s">
        <v>46569</v>
      </c>
      <c r="O8554" t="s">
        <v>46570</v>
      </c>
      <c r="P8554">
        <v>0</v>
      </c>
      <c r="Q8554">
        <v>0</v>
      </c>
      <c r="R8554" t="s">
        <v>46571</v>
      </c>
      <c r="S8554" t="s">
        <v>46687</v>
      </c>
      <c r="T8554" t="s">
        <v>48586</v>
      </c>
      <c r="U8554" t="s">
        <v>55735</v>
      </c>
      <c r="W8554" t="s">
        <v>43042</v>
      </c>
      <c r="X8554" t="s">
        <v>46572</v>
      </c>
    </row>
    <row r="8555" spans="1:24">
      <c r="A8555">
        <f>HYPERLINK("https://www.philgeps.gov.ph/GEPSNONPILOT/Tender/SplashBidNoticeAbstractUI.aspx?menuIndex=3&amp;refID=7056640&amp;Result=3","7056640")</f>
        <v>0</v>
      </c>
      <c r="B8555" t="s">
        <v>1197</v>
      </c>
      <c r="C8555" t="s">
        <v>11647</v>
      </c>
      <c r="D8555" t="s">
        <v>18784</v>
      </c>
      <c r="E8555" t="s">
        <v>26346</v>
      </c>
      <c r="F8555" t="s">
        <v>32664</v>
      </c>
      <c r="G8555" t="s">
        <v>32671</v>
      </c>
      <c r="H8555" t="s">
        <v>12635</v>
      </c>
      <c r="I8555" t="s">
        <v>32748</v>
      </c>
      <c r="J8555" t="s">
        <v>38010</v>
      </c>
      <c r="K8555" t="s">
        <v>42290</v>
      </c>
      <c r="M8555" t="s">
        <v>45315</v>
      </c>
      <c r="N8555" t="s">
        <v>46569</v>
      </c>
      <c r="O8555" t="s">
        <v>46570</v>
      </c>
      <c r="P8555">
        <v>0</v>
      </c>
      <c r="Q8555">
        <v>3</v>
      </c>
      <c r="R8555" t="s">
        <v>46576</v>
      </c>
      <c r="S8555" t="s">
        <v>46749</v>
      </c>
      <c r="T8555" t="s">
        <v>48492</v>
      </c>
      <c r="U8555" t="s">
        <v>55736</v>
      </c>
      <c r="W8555" t="s">
        <v>45315</v>
      </c>
      <c r="X8555" t="s">
        <v>46577</v>
      </c>
    </row>
    <row r="8556" spans="1:24">
      <c r="A8556">
        <f>HYPERLINK("https://www.philgeps.gov.ph/GEPSNONPILOT/Tender/SplashBidNoticeAbstractUI.aspx?menuIndex=3&amp;refID=7056662&amp;Result=3","7056662")</f>
        <v>0</v>
      </c>
      <c r="B8556" t="s">
        <v>1459</v>
      </c>
      <c r="C8556" t="s">
        <v>11648</v>
      </c>
      <c r="D8556" t="s">
        <v>18784</v>
      </c>
      <c r="E8556" t="s">
        <v>26347</v>
      </c>
      <c r="F8556" t="s">
        <v>32664</v>
      </c>
      <c r="G8556" t="s">
        <v>32672</v>
      </c>
      <c r="H8556" t="s">
        <v>32683</v>
      </c>
      <c r="I8556" t="s">
        <v>10627</v>
      </c>
      <c r="J8556" t="s">
        <v>38011</v>
      </c>
      <c r="K8556" t="s">
        <v>42349</v>
      </c>
      <c r="M8556" t="s">
        <v>44120</v>
      </c>
      <c r="N8556" t="s">
        <v>46569</v>
      </c>
      <c r="O8556" t="s">
        <v>46570</v>
      </c>
      <c r="P8556">
        <v>0</v>
      </c>
      <c r="Q8556">
        <v>28</v>
      </c>
      <c r="R8556" t="s">
        <v>46576</v>
      </c>
      <c r="S8556" t="s">
        <v>46749</v>
      </c>
      <c r="T8556" t="s">
        <v>48418</v>
      </c>
      <c r="U8556" t="s">
        <v>55737</v>
      </c>
      <c r="V8556" t="s">
        <v>62491</v>
      </c>
      <c r="W8556" t="s">
        <v>44120</v>
      </c>
      <c r="X8556" t="s">
        <v>46577</v>
      </c>
    </row>
    <row r="8557" spans="1:24">
      <c r="A8557">
        <f>HYPERLINK("https://www.philgeps.gov.ph/GEPSNONPILOT/Tender/SplashBidNoticeAbstractUI.aspx?menuIndex=3&amp;refID=7056660&amp;Result=3","7056660")</f>
        <v>0</v>
      </c>
      <c r="B8557" t="s">
        <v>1397</v>
      </c>
      <c r="C8557" t="s">
        <v>11649</v>
      </c>
      <c r="D8557" t="s">
        <v>18803</v>
      </c>
      <c r="E8557" t="s">
        <v>26348</v>
      </c>
      <c r="F8557" t="s">
        <v>32664</v>
      </c>
      <c r="G8557" t="s">
        <v>32671</v>
      </c>
      <c r="H8557" t="s">
        <v>12635</v>
      </c>
      <c r="I8557" t="s">
        <v>6628</v>
      </c>
      <c r="J8557" t="s">
        <v>32984</v>
      </c>
      <c r="K8557" t="s">
        <v>42281</v>
      </c>
      <c r="M8557" t="s">
        <v>44054</v>
      </c>
      <c r="N8557" t="s">
        <v>46569</v>
      </c>
      <c r="O8557" t="s">
        <v>46570</v>
      </c>
      <c r="P8557">
        <v>0</v>
      </c>
      <c r="Q8557">
        <v>3</v>
      </c>
      <c r="R8557" t="s">
        <v>46576</v>
      </c>
      <c r="S8557" t="s">
        <v>46749</v>
      </c>
      <c r="T8557" t="s">
        <v>48492</v>
      </c>
      <c r="U8557" t="s">
        <v>51803</v>
      </c>
      <c r="W8557" t="s">
        <v>44054</v>
      </c>
      <c r="X8557" t="s">
        <v>46577</v>
      </c>
    </row>
    <row r="8558" spans="1:24">
      <c r="A8558">
        <f>HYPERLINK("https://www.philgeps.gov.ph/GEPSNONPILOT/Tender/SplashBidNoticeAbstractUI.aspx?menuIndex=3&amp;refID=7066696&amp;Result=3","7066696")</f>
        <v>0</v>
      </c>
      <c r="B8558" t="s">
        <v>239</v>
      </c>
      <c r="C8558" t="s">
        <v>11650</v>
      </c>
      <c r="D8558" t="s">
        <v>18801</v>
      </c>
      <c r="E8558" t="s">
        <v>26349</v>
      </c>
      <c r="F8558" t="s">
        <v>32664</v>
      </c>
      <c r="G8558" t="s">
        <v>32675</v>
      </c>
      <c r="H8558" t="s">
        <v>12635</v>
      </c>
      <c r="I8558" t="s">
        <v>10370</v>
      </c>
      <c r="J8558" t="s">
        <v>38012</v>
      </c>
      <c r="K8558" t="s">
        <v>42283</v>
      </c>
      <c r="M8558" t="s">
        <v>42804</v>
      </c>
      <c r="N8558" t="s">
        <v>46569</v>
      </c>
      <c r="O8558" t="s">
        <v>46570</v>
      </c>
      <c r="P8558">
        <v>0</v>
      </c>
      <c r="Q8558">
        <v>2</v>
      </c>
      <c r="R8558" t="s">
        <v>46571</v>
      </c>
      <c r="S8558" t="s">
        <v>46687</v>
      </c>
      <c r="T8558" t="s">
        <v>48258</v>
      </c>
      <c r="U8558" t="s">
        <v>50381</v>
      </c>
      <c r="W8558" t="s">
        <v>63468</v>
      </c>
      <c r="X8558" t="s">
        <v>46572</v>
      </c>
    </row>
    <row r="8559" spans="1:24">
      <c r="A8559">
        <f>HYPERLINK("https://www.philgeps.gov.ph/GEPSNONPILOT/Tender/SplashBidNoticeAbstractUI.aspx?menuIndex=3&amp;refID=7066697&amp;Result=3","7066697")</f>
        <v>0</v>
      </c>
      <c r="B8559" t="s">
        <v>234</v>
      </c>
      <c r="C8559" t="s">
        <v>11651</v>
      </c>
      <c r="D8559" t="s">
        <v>18831</v>
      </c>
      <c r="E8559" t="s">
        <v>26350</v>
      </c>
      <c r="F8559" t="s">
        <v>32665</v>
      </c>
      <c r="G8559" t="s">
        <v>32672</v>
      </c>
      <c r="H8559" t="s">
        <v>12635</v>
      </c>
      <c r="I8559" t="s">
        <v>9486</v>
      </c>
      <c r="J8559" t="s">
        <v>38013</v>
      </c>
      <c r="K8559" t="s">
        <v>42281</v>
      </c>
      <c r="M8559" t="s">
        <v>42799</v>
      </c>
      <c r="N8559" t="s">
        <v>46569</v>
      </c>
      <c r="O8559" t="s">
        <v>46570</v>
      </c>
      <c r="P8559">
        <v>0</v>
      </c>
      <c r="Q8559">
        <v>0</v>
      </c>
      <c r="R8559" t="s">
        <v>46571</v>
      </c>
      <c r="S8559" t="s">
        <v>46687</v>
      </c>
      <c r="T8559" t="s">
        <v>48273</v>
      </c>
      <c r="U8559" t="s">
        <v>55738</v>
      </c>
      <c r="V8559" t="s">
        <v>61674</v>
      </c>
      <c r="W8559" t="s">
        <v>42799</v>
      </c>
      <c r="X8559" t="s">
        <v>46572</v>
      </c>
    </row>
    <row r="8560" spans="1:24">
      <c r="A8560">
        <f>HYPERLINK("https://www.philgeps.gov.ph/GEPSNONPILOT/Tender/SplashBidNoticeAbstractUI.aspx?menuIndex=3&amp;refID=7056704&amp;Result=3","7056704")</f>
        <v>0</v>
      </c>
      <c r="B8560" t="s">
        <v>1508</v>
      </c>
      <c r="C8560" t="s">
        <v>11652</v>
      </c>
      <c r="D8560" t="s">
        <v>18826</v>
      </c>
      <c r="E8560" t="s">
        <v>26351</v>
      </c>
      <c r="F8560" t="s">
        <v>32664</v>
      </c>
      <c r="G8560" t="s">
        <v>32673</v>
      </c>
      <c r="H8560" t="s">
        <v>32683</v>
      </c>
      <c r="I8560" t="s">
        <v>10627</v>
      </c>
      <c r="J8560" t="s">
        <v>38014</v>
      </c>
      <c r="K8560" t="s">
        <v>42290</v>
      </c>
      <c r="M8560" t="s">
        <v>44174</v>
      </c>
      <c r="N8560" t="s">
        <v>46569</v>
      </c>
      <c r="O8560" t="s">
        <v>46570</v>
      </c>
      <c r="P8560">
        <v>0</v>
      </c>
      <c r="Q8560">
        <v>6</v>
      </c>
      <c r="R8560" t="s">
        <v>46576</v>
      </c>
      <c r="S8560" t="s">
        <v>46749</v>
      </c>
      <c r="T8560" t="s">
        <v>48308</v>
      </c>
      <c r="U8560" t="s">
        <v>55739</v>
      </c>
      <c r="V8560" t="s">
        <v>62045</v>
      </c>
      <c r="W8560" t="s">
        <v>44174</v>
      </c>
      <c r="X8560" t="s">
        <v>46577</v>
      </c>
    </row>
    <row r="8561" spans="1:24">
      <c r="A8561">
        <f>HYPERLINK("https://www.philgeps.gov.ph/GEPSNONPILOT/Tender/SplashBidNoticeAbstractUI.aspx?menuIndex=3&amp;refID=7066724&amp;Result=3","7066724")</f>
        <v>0</v>
      </c>
      <c r="B8561" t="s">
        <v>846</v>
      </c>
      <c r="C8561" t="s">
        <v>11653</v>
      </c>
      <c r="D8561" t="s">
        <v>18852</v>
      </c>
      <c r="E8561" t="s">
        <v>26352</v>
      </c>
      <c r="F8561" t="s">
        <v>32664</v>
      </c>
      <c r="G8561" t="s">
        <v>32671</v>
      </c>
      <c r="H8561" t="s">
        <v>32682</v>
      </c>
      <c r="I8561" t="s">
        <v>9946</v>
      </c>
      <c r="J8561" t="s">
        <v>34249</v>
      </c>
      <c r="K8561" t="s">
        <v>42334</v>
      </c>
      <c r="M8561" t="s">
        <v>43442</v>
      </c>
      <c r="N8561" t="s">
        <v>46569</v>
      </c>
      <c r="O8561" t="s">
        <v>46570</v>
      </c>
      <c r="P8561">
        <v>0</v>
      </c>
      <c r="Q8561">
        <v>2</v>
      </c>
      <c r="R8561" t="s">
        <v>46571</v>
      </c>
      <c r="S8561" t="s">
        <v>46687</v>
      </c>
      <c r="T8561" t="s">
        <v>48244</v>
      </c>
      <c r="U8561" t="s">
        <v>50434</v>
      </c>
      <c r="W8561" t="s">
        <v>43449</v>
      </c>
      <c r="X8561" t="s">
        <v>46572</v>
      </c>
    </row>
    <row r="8562" spans="1:24">
      <c r="A8562">
        <f>HYPERLINK("https://www.philgeps.gov.ph/GEPSNONPILOT/Tender/SplashBidNoticeAbstractUI.aspx?menuIndex=3&amp;refID=7066750&amp;Result=3","7066750")</f>
        <v>0</v>
      </c>
      <c r="B8562" t="s">
        <v>842</v>
      </c>
      <c r="C8562" t="s">
        <v>11654</v>
      </c>
      <c r="D8562" t="s">
        <v>18830</v>
      </c>
      <c r="E8562" t="s">
        <v>26353</v>
      </c>
      <c r="F8562" t="s">
        <v>32664</v>
      </c>
      <c r="G8562" t="s">
        <v>32671</v>
      </c>
      <c r="H8562" t="s">
        <v>12635</v>
      </c>
      <c r="I8562" t="s">
        <v>5501</v>
      </c>
      <c r="J8562" t="s">
        <v>38015</v>
      </c>
      <c r="K8562" t="s">
        <v>42297</v>
      </c>
      <c r="M8562" t="s">
        <v>43437</v>
      </c>
      <c r="N8562" t="s">
        <v>46569</v>
      </c>
      <c r="O8562" t="s">
        <v>46570</v>
      </c>
      <c r="P8562">
        <v>0</v>
      </c>
      <c r="Q8562">
        <v>4</v>
      </c>
      <c r="R8562" t="s">
        <v>46571</v>
      </c>
      <c r="S8562" t="s">
        <v>46687</v>
      </c>
      <c r="T8562" t="s">
        <v>48221</v>
      </c>
      <c r="U8562" t="s">
        <v>55740</v>
      </c>
      <c r="W8562" t="s">
        <v>43437</v>
      </c>
      <c r="X8562" t="s">
        <v>46572</v>
      </c>
    </row>
    <row r="8563" spans="1:24">
      <c r="A8563">
        <f>HYPERLINK("https://www.philgeps.gov.ph/GEPSNONPILOT/Tender/SplashBidNoticeAbstractUI.aspx?menuIndex=3&amp;refID=7056713&amp;Result=3","7056713")</f>
        <v>0</v>
      </c>
      <c r="B8563" t="s">
        <v>2511</v>
      </c>
      <c r="C8563" t="s">
        <v>11655</v>
      </c>
      <c r="D8563" t="s">
        <v>18831</v>
      </c>
      <c r="E8563" t="s">
        <v>26354</v>
      </c>
      <c r="F8563" t="s">
        <v>32664</v>
      </c>
      <c r="G8563" t="s">
        <v>32672</v>
      </c>
      <c r="H8563" t="s">
        <v>12635</v>
      </c>
      <c r="I8563" t="s">
        <v>4439</v>
      </c>
      <c r="J8563" t="s">
        <v>33267</v>
      </c>
      <c r="K8563" t="s">
        <v>42281</v>
      </c>
      <c r="M8563" t="s">
        <v>45316</v>
      </c>
      <c r="N8563" t="s">
        <v>46569</v>
      </c>
      <c r="O8563" t="s">
        <v>46570</v>
      </c>
      <c r="P8563">
        <v>0</v>
      </c>
      <c r="Q8563">
        <v>4</v>
      </c>
      <c r="R8563" t="s">
        <v>46576</v>
      </c>
      <c r="S8563" t="s">
        <v>46749</v>
      </c>
      <c r="T8563" t="s">
        <v>48302</v>
      </c>
      <c r="U8563" t="s">
        <v>55741</v>
      </c>
      <c r="W8563" t="s">
        <v>45316</v>
      </c>
      <c r="X8563" t="s">
        <v>46577</v>
      </c>
    </row>
    <row r="8564" spans="1:24">
      <c r="A8564">
        <f>HYPERLINK("https://www.philgeps.gov.ph/GEPSNONPILOT/Tender/SplashBidNoticeAbstractUI.aspx?menuIndex=3&amp;refID=7066699&amp;Result=3","7066699")</f>
        <v>0</v>
      </c>
      <c r="B8564" t="s">
        <v>806</v>
      </c>
      <c r="C8564" t="s">
        <v>5314</v>
      </c>
      <c r="D8564" t="s">
        <v>18858</v>
      </c>
      <c r="E8564" t="s">
        <v>26355</v>
      </c>
      <c r="F8564" t="s">
        <v>32664</v>
      </c>
      <c r="G8564" t="s">
        <v>32671</v>
      </c>
      <c r="H8564" t="s">
        <v>12635</v>
      </c>
      <c r="I8564" t="s">
        <v>32764</v>
      </c>
      <c r="J8564" t="s">
        <v>38016</v>
      </c>
      <c r="K8564" t="s">
        <v>42295</v>
      </c>
      <c r="M8564" t="s">
        <v>43398</v>
      </c>
      <c r="N8564" t="s">
        <v>46569</v>
      </c>
      <c r="O8564" t="s">
        <v>46570</v>
      </c>
      <c r="P8564">
        <v>0</v>
      </c>
      <c r="Q8564">
        <v>0</v>
      </c>
      <c r="R8564" t="s">
        <v>46571</v>
      </c>
      <c r="S8564" t="s">
        <v>46687</v>
      </c>
      <c r="T8564" t="s">
        <v>48256</v>
      </c>
      <c r="U8564" t="s">
        <v>50323</v>
      </c>
      <c r="W8564" t="s">
        <v>43398</v>
      </c>
      <c r="X8564" t="s">
        <v>46572</v>
      </c>
    </row>
    <row r="8565" spans="1:24">
      <c r="A8565">
        <f>HYPERLINK("https://www.philgeps.gov.ph/GEPSNONPILOT/Tender/SplashBidNoticeAbstractUI.aspx?menuIndex=3&amp;refID=7056711&amp;Result=3","7056711")</f>
        <v>0</v>
      </c>
      <c r="B8565" t="s">
        <v>2510</v>
      </c>
      <c r="C8565" t="s">
        <v>11656</v>
      </c>
      <c r="D8565" t="s">
        <v>18826</v>
      </c>
      <c r="E8565" t="s">
        <v>26356</v>
      </c>
      <c r="F8565" t="s">
        <v>32665</v>
      </c>
      <c r="G8565" t="s">
        <v>32671</v>
      </c>
      <c r="H8565" t="s">
        <v>12635</v>
      </c>
      <c r="I8565" t="s">
        <v>32758</v>
      </c>
      <c r="J8565" t="s">
        <v>38017</v>
      </c>
      <c r="K8565" t="s">
        <v>42298</v>
      </c>
      <c r="M8565" t="s">
        <v>45314</v>
      </c>
      <c r="N8565" t="s">
        <v>46569</v>
      </c>
      <c r="O8565" t="s">
        <v>46570</v>
      </c>
      <c r="P8565">
        <v>0</v>
      </c>
      <c r="Q8565">
        <v>0</v>
      </c>
      <c r="R8565" t="s">
        <v>46576</v>
      </c>
      <c r="S8565" t="s">
        <v>46749</v>
      </c>
      <c r="T8565" t="s">
        <v>48251</v>
      </c>
      <c r="U8565" t="s">
        <v>55742</v>
      </c>
      <c r="W8565" t="s">
        <v>45314</v>
      </c>
      <c r="X8565" t="s">
        <v>46577</v>
      </c>
    </row>
    <row r="8566" spans="1:24">
      <c r="A8566">
        <f>HYPERLINK("https://www.philgeps.gov.ph/GEPSNONPILOT/Tender/SplashBidNoticeAbstractUI.aspx?menuIndex=3&amp;refID=7056705&amp;Result=3","7056705")</f>
        <v>0</v>
      </c>
      <c r="B8566" t="s">
        <v>2512</v>
      </c>
      <c r="C8566" t="s">
        <v>11657</v>
      </c>
      <c r="D8566" t="s">
        <v>18805</v>
      </c>
      <c r="E8566" t="s">
        <v>26357</v>
      </c>
      <c r="F8566" t="s">
        <v>32664</v>
      </c>
      <c r="G8566" t="s">
        <v>32672</v>
      </c>
      <c r="H8566" t="s">
        <v>12635</v>
      </c>
      <c r="I8566" t="s">
        <v>32701</v>
      </c>
      <c r="J8566" t="s">
        <v>33793</v>
      </c>
      <c r="K8566" t="s">
        <v>42297</v>
      </c>
      <c r="M8566" t="s">
        <v>45317</v>
      </c>
      <c r="N8566" t="s">
        <v>46569</v>
      </c>
      <c r="O8566" t="s">
        <v>46570</v>
      </c>
      <c r="P8566">
        <v>0</v>
      </c>
      <c r="Q8566">
        <v>0</v>
      </c>
      <c r="R8566" t="s">
        <v>46576</v>
      </c>
      <c r="S8566" t="s">
        <v>46749</v>
      </c>
      <c r="T8566" t="s">
        <v>48293</v>
      </c>
      <c r="U8566" t="s">
        <v>55743</v>
      </c>
      <c r="W8566" t="s">
        <v>45317</v>
      </c>
      <c r="X8566" t="s">
        <v>46577</v>
      </c>
    </row>
    <row r="8567" spans="1:24">
      <c r="A8567">
        <f>HYPERLINK("https://www.philgeps.gov.ph/GEPSNONPILOT/Tender/SplashBidNoticeAbstractUI.aspx?menuIndex=3&amp;refID=7056699&amp;Result=3","7056699")</f>
        <v>0</v>
      </c>
      <c r="B8567" t="s">
        <v>2511</v>
      </c>
      <c r="C8567" t="s">
        <v>11658</v>
      </c>
      <c r="D8567" t="s">
        <v>18831</v>
      </c>
      <c r="E8567" t="s">
        <v>26358</v>
      </c>
      <c r="F8567" t="s">
        <v>32664</v>
      </c>
      <c r="G8567" t="s">
        <v>32672</v>
      </c>
      <c r="H8567" t="s">
        <v>12635</v>
      </c>
      <c r="I8567" t="s">
        <v>11464</v>
      </c>
      <c r="J8567" t="s">
        <v>32859</v>
      </c>
      <c r="K8567" t="s">
        <v>42281</v>
      </c>
      <c r="M8567" t="s">
        <v>45316</v>
      </c>
      <c r="N8567" t="s">
        <v>46569</v>
      </c>
      <c r="O8567" t="s">
        <v>46570</v>
      </c>
      <c r="P8567">
        <v>0</v>
      </c>
      <c r="Q8567">
        <v>0</v>
      </c>
      <c r="R8567" t="s">
        <v>46576</v>
      </c>
      <c r="S8567" t="s">
        <v>46749</v>
      </c>
      <c r="T8567" t="s">
        <v>48302</v>
      </c>
      <c r="U8567" t="s">
        <v>55744</v>
      </c>
      <c r="W8567" t="s">
        <v>45316</v>
      </c>
      <c r="X8567" t="s">
        <v>46577</v>
      </c>
    </row>
    <row r="8568" spans="1:24">
      <c r="A8568">
        <f>HYPERLINK("https://www.philgeps.gov.ph/GEPSNONPILOT/Tender/SplashBidNoticeAbstractUI.aspx?menuIndex=3&amp;refID=7056661&amp;Result=3","7056661")</f>
        <v>0</v>
      </c>
      <c r="B8568" t="s">
        <v>128</v>
      </c>
      <c r="C8568" t="s">
        <v>11659</v>
      </c>
      <c r="D8568" t="s">
        <v>18827</v>
      </c>
      <c r="E8568" t="s">
        <v>26359</v>
      </c>
      <c r="F8568" t="s">
        <v>32664</v>
      </c>
      <c r="G8568" t="s">
        <v>32672</v>
      </c>
      <c r="H8568" t="s">
        <v>12635</v>
      </c>
      <c r="I8568" t="s">
        <v>32706</v>
      </c>
      <c r="J8568" t="s">
        <v>38018</v>
      </c>
      <c r="K8568" t="s">
        <v>42311</v>
      </c>
      <c r="M8568" t="s">
        <v>42692</v>
      </c>
      <c r="N8568" t="s">
        <v>46569</v>
      </c>
      <c r="O8568" t="s">
        <v>46570</v>
      </c>
      <c r="P8568">
        <v>0</v>
      </c>
      <c r="Q8568">
        <v>0</v>
      </c>
      <c r="R8568" t="s">
        <v>46576</v>
      </c>
      <c r="S8568" t="s">
        <v>46749</v>
      </c>
      <c r="T8568" t="s">
        <v>48293</v>
      </c>
      <c r="U8568" t="s">
        <v>55745</v>
      </c>
      <c r="W8568" t="s">
        <v>42692</v>
      </c>
      <c r="X8568" t="s">
        <v>46577</v>
      </c>
    </row>
    <row r="8569" spans="1:24">
      <c r="A8569">
        <f>HYPERLINK("https://www.philgeps.gov.ph/GEPSNONPILOT/Tender/SplashBidNoticeAbstractUI.aspx?menuIndex=3&amp;refID=7056682&amp;Result=3","7056682")</f>
        <v>0</v>
      </c>
      <c r="B8569" t="s">
        <v>2509</v>
      </c>
      <c r="C8569" t="s">
        <v>11660</v>
      </c>
      <c r="D8569" t="s">
        <v>18787</v>
      </c>
      <c r="E8569" t="s">
        <v>26360</v>
      </c>
      <c r="F8569" t="s">
        <v>32664</v>
      </c>
      <c r="G8569" t="s">
        <v>32674</v>
      </c>
      <c r="H8569" t="s">
        <v>12635</v>
      </c>
      <c r="I8569" t="s">
        <v>10370</v>
      </c>
      <c r="J8569" t="s">
        <v>38019</v>
      </c>
      <c r="K8569" t="s">
        <v>42283</v>
      </c>
      <c r="M8569" t="s">
        <v>45313</v>
      </c>
      <c r="N8569" t="s">
        <v>46569</v>
      </c>
      <c r="O8569" t="s">
        <v>46570</v>
      </c>
      <c r="P8569">
        <v>0</v>
      </c>
      <c r="Q8569">
        <v>0</v>
      </c>
      <c r="R8569" t="s">
        <v>46576</v>
      </c>
      <c r="S8569" t="s">
        <v>46749</v>
      </c>
      <c r="T8569" t="s">
        <v>48219</v>
      </c>
      <c r="U8569" t="s">
        <v>55746</v>
      </c>
      <c r="W8569" t="s">
        <v>45313</v>
      </c>
      <c r="X8569" t="s">
        <v>46577</v>
      </c>
    </row>
    <row r="8570" spans="1:24">
      <c r="A8570">
        <f>HYPERLINK("https://www.philgeps.gov.ph/GEPSNONPILOT/Tender/SplashBidNoticeAbstractUI.aspx?menuIndex=3&amp;refID=7056676&amp;Result=3","7056676")</f>
        <v>0</v>
      </c>
      <c r="B8570" t="s">
        <v>1459</v>
      </c>
      <c r="C8570" t="s">
        <v>11661</v>
      </c>
      <c r="D8570" t="s">
        <v>18784</v>
      </c>
      <c r="E8570" t="s">
        <v>26361</v>
      </c>
      <c r="F8570" t="s">
        <v>32664</v>
      </c>
      <c r="G8570" t="s">
        <v>32672</v>
      </c>
      <c r="H8570" t="s">
        <v>32683</v>
      </c>
      <c r="I8570" t="s">
        <v>10627</v>
      </c>
      <c r="J8570" t="s">
        <v>38020</v>
      </c>
      <c r="K8570" t="s">
        <v>42308</v>
      </c>
      <c r="M8570" t="s">
        <v>44120</v>
      </c>
      <c r="N8570" t="s">
        <v>46569</v>
      </c>
      <c r="O8570" t="s">
        <v>46570</v>
      </c>
      <c r="P8570">
        <v>0</v>
      </c>
      <c r="Q8570">
        <v>43</v>
      </c>
      <c r="R8570" t="s">
        <v>46576</v>
      </c>
      <c r="S8570" t="s">
        <v>46749</v>
      </c>
      <c r="T8570" t="s">
        <v>48418</v>
      </c>
      <c r="U8570" t="s">
        <v>55747</v>
      </c>
      <c r="V8570" t="s">
        <v>62491</v>
      </c>
      <c r="W8570" t="s">
        <v>44120</v>
      </c>
      <c r="X8570" t="s">
        <v>46577</v>
      </c>
    </row>
    <row r="8571" spans="1:24">
      <c r="A8571">
        <f>HYPERLINK("https://www.philgeps.gov.ph/GEPSNONPILOT/Tender/SplashBidNoticeAbstractUI.aspx?menuIndex=3&amp;refID=7056714&amp;Result=3","7056714")</f>
        <v>0</v>
      </c>
      <c r="B8571" t="s">
        <v>2469</v>
      </c>
      <c r="C8571" t="s">
        <v>11662</v>
      </c>
      <c r="D8571" t="s">
        <v>18801</v>
      </c>
      <c r="E8571" t="s">
        <v>26362</v>
      </c>
      <c r="F8571" t="s">
        <v>32664</v>
      </c>
      <c r="G8571" t="s">
        <v>32672</v>
      </c>
      <c r="H8571" t="s">
        <v>32683</v>
      </c>
      <c r="I8571" t="s">
        <v>10627</v>
      </c>
      <c r="J8571" t="s">
        <v>38021</v>
      </c>
      <c r="K8571" t="s">
        <v>42290</v>
      </c>
      <c r="M8571" t="s">
        <v>45290</v>
      </c>
      <c r="N8571" t="s">
        <v>46569</v>
      </c>
      <c r="O8571" t="s">
        <v>46570</v>
      </c>
      <c r="P8571">
        <v>0</v>
      </c>
      <c r="Q8571">
        <v>6</v>
      </c>
      <c r="R8571" t="s">
        <v>46576</v>
      </c>
      <c r="S8571" t="s">
        <v>46749</v>
      </c>
      <c r="T8571" t="s">
        <v>48273</v>
      </c>
      <c r="U8571" t="s">
        <v>55574</v>
      </c>
      <c r="V8571" t="s">
        <v>62260</v>
      </c>
      <c r="W8571" t="s">
        <v>63561</v>
      </c>
      <c r="X8571" t="s">
        <v>46577</v>
      </c>
    </row>
    <row r="8572" spans="1:24">
      <c r="A8572">
        <f>HYPERLINK("https://www.philgeps.gov.ph/GEPSNONPILOT/Tender/SplashBidNoticeAbstractUI.aspx?menuIndex=3&amp;refID=7056668&amp;Result=3","7056668")</f>
        <v>0</v>
      </c>
      <c r="B8572" t="s">
        <v>1543</v>
      </c>
      <c r="C8572" t="s">
        <v>11663</v>
      </c>
      <c r="D8572" t="s">
        <v>18784</v>
      </c>
      <c r="E8572" t="s">
        <v>26363</v>
      </c>
      <c r="F8572" t="s">
        <v>32664</v>
      </c>
      <c r="G8572" t="s">
        <v>32671</v>
      </c>
      <c r="H8572" t="s">
        <v>12635</v>
      </c>
      <c r="I8572" t="s">
        <v>10370</v>
      </c>
      <c r="J8572" t="s">
        <v>34038</v>
      </c>
      <c r="K8572" t="s">
        <v>42369</v>
      </c>
      <c r="M8572" t="s">
        <v>44212</v>
      </c>
      <c r="N8572" t="s">
        <v>46569</v>
      </c>
      <c r="O8572" t="s">
        <v>46570</v>
      </c>
      <c r="P8572">
        <v>0</v>
      </c>
      <c r="Q8572">
        <v>13</v>
      </c>
      <c r="R8572" t="s">
        <v>46576</v>
      </c>
      <c r="S8572" t="s">
        <v>46749</v>
      </c>
      <c r="T8572" t="s">
        <v>48473</v>
      </c>
      <c r="U8572" t="s">
        <v>55748</v>
      </c>
      <c r="V8572" t="s">
        <v>62058</v>
      </c>
      <c r="W8572" t="s">
        <v>44212</v>
      </c>
      <c r="X8572" t="s">
        <v>46577</v>
      </c>
    </row>
    <row r="8573" spans="1:24">
      <c r="A8573">
        <f>HYPERLINK("https://www.philgeps.gov.ph/GEPSNONPILOT/Tender/SplashBidNoticeAbstractUI.aspx?menuIndex=3&amp;refID=7056665&amp;Result=3","7056665")</f>
        <v>0</v>
      </c>
      <c r="B8573" t="s">
        <v>2409</v>
      </c>
      <c r="C8573" t="s">
        <v>11664</v>
      </c>
      <c r="D8573" t="s">
        <v>18786</v>
      </c>
      <c r="E8573" t="s">
        <v>26364</v>
      </c>
      <c r="F8573" t="s">
        <v>32664</v>
      </c>
      <c r="G8573" t="s">
        <v>32672</v>
      </c>
      <c r="H8573" t="s">
        <v>12635</v>
      </c>
      <c r="I8573" t="s">
        <v>32721</v>
      </c>
      <c r="J8573" t="s">
        <v>38022</v>
      </c>
      <c r="K8573" t="s">
        <v>42329</v>
      </c>
      <c r="M8573" t="s">
        <v>45200</v>
      </c>
      <c r="N8573" t="s">
        <v>46569</v>
      </c>
      <c r="O8573" t="s">
        <v>46570</v>
      </c>
      <c r="P8573">
        <v>0</v>
      </c>
      <c r="Q8573">
        <v>0</v>
      </c>
      <c r="R8573" t="s">
        <v>46576</v>
      </c>
      <c r="S8573" t="s">
        <v>46749</v>
      </c>
      <c r="T8573" t="s">
        <v>48221</v>
      </c>
      <c r="U8573" t="s">
        <v>55721</v>
      </c>
      <c r="W8573" t="s">
        <v>45200</v>
      </c>
      <c r="X8573" t="s">
        <v>46577</v>
      </c>
    </row>
    <row r="8574" spans="1:24">
      <c r="A8574">
        <f>HYPERLINK("https://www.philgeps.gov.ph/GEPSNONPILOT/Tender/SplashBidNoticeAbstractUI.aspx?menuIndex=3&amp;refID=7056664&amp;Result=3","7056664")</f>
        <v>0</v>
      </c>
      <c r="B8574" t="s">
        <v>651</v>
      </c>
      <c r="C8574" t="s">
        <v>11665</v>
      </c>
      <c r="D8574" t="s">
        <v>18826</v>
      </c>
      <c r="E8574" t="s">
        <v>26365</v>
      </c>
      <c r="F8574" t="s">
        <v>32664</v>
      </c>
      <c r="G8574" t="s">
        <v>32672</v>
      </c>
      <c r="H8574" t="s">
        <v>12635</v>
      </c>
      <c r="I8574" t="s">
        <v>6628</v>
      </c>
      <c r="J8574" t="s">
        <v>33304</v>
      </c>
      <c r="K8574" t="s">
        <v>42283</v>
      </c>
      <c r="M8574" t="s">
        <v>43237</v>
      </c>
      <c r="N8574" t="s">
        <v>46569</v>
      </c>
      <c r="O8574" t="s">
        <v>46570</v>
      </c>
      <c r="P8574">
        <v>0</v>
      </c>
      <c r="Q8574">
        <v>3</v>
      </c>
      <c r="R8574" t="s">
        <v>46576</v>
      </c>
      <c r="S8574" t="s">
        <v>46749</v>
      </c>
      <c r="T8574" t="s">
        <v>48363</v>
      </c>
      <c r="U8574" t="s">
        <v>55749</v>
      </c>
      <c r="W8574" t="s">
        <v>43237</v>
      </c>
      <c r="X8574" t="s">
        <v>46577</v>
      </c>
    </row>
    <row r="8575" spans="1:24">
      <c r="A8575">
        <f>HYPERLINK("https://www.philgeps.gov.ph/GEPSNONPILOT/Tender/SplashBidNoticeAbstractUI.aspx?menuIndex=3&amp;refID=7056679&amp;Result=3","7056679")</f>
        <v>0</v>
      </c>
      <c r="B8575" t="s">
        <v>2076</v>
      </c>
      <c r="C8575" t="s">
        <v>11666</v>
      </c>
      <c r="D8575" t="s">
        <v>18834</v>
      </c>
      <c r="E8575" t="s">
        <v>26366</v>
      </c>
      <c r="F8575" t="s">
        <v>32664</v>
      </c>
      <c r="G8575" t="s">
        <v>32672</v>
      </c>
      <c r="H8575" t="s">
        <v>12635</v>
      </c>
      <c r="I8575" t="s">
        <v>4439</v>
      </c>
      <c r="J8575" t="s">
        <v>34518</v>
      </c>
      <c r="K8575" t="s">
        <v>42297</v>
      </c>
      <c r="M8575" t="s">
        <v>44828</v>
      </c>
      <c r="N8575" t="s">
        <v>46569</v>
      </c>
      <c r="O8575" t="s">
        <v>46570</v>
      </c>
      <c r="P8575">
        <v>0</v>
      </c>
      <c r="Q8575">
        <v>2</v>
      </c>
      <c r="R8575" t="s">
        <v>46576</v>
      </c>
      <c r="S8575" t="s">
        <v>46749</v>
      </c>
      <c r="T8575" t="s">
        <v>48216</v>
      </c>
      <c r="U8575" t="s">
        <v>55750</v>
      </c>
      <c r="W8575" t="s">
        <v>44828</v>
      </c>
      <c r="X8575" t="s">
        <v>46577</v>
      </c>
    </row>
    <row r="8576" spans="1:24">
      <c r="A8576">
        <f>HYPERLINK("https://www.philgeps.gov.ph/GEPSNONPILOT/Tender/SplashBidNoticeAbstractUI.aspx?menuIndex=3&amp;refID=7056677&amp;Result=3","7056677")</f>
        <v>0</v>
      </c>
      <c r="B8576" t="s">
        <v>2468</v>
      </c>
      <c r="C8576" t="s">
        <v>11667</v>
      </c>
      <c r="E8576" t="s">
        <v>26367</v>
      </c>
      <c r="F8576" t="s">
        <v>32664</v>
      </c>
      <c r="G8576" t="s">
        <v>32672</v>
      </c>
      <c r="H8576" t="s">
        <v>12635</v>
      </c>
      <c r="I8576" t="s">
        <v>5501</v>
      </c>
      <c r="J8576" t="s">
        <v>38023</v>
      </c>
      <c r="K8576" t="s">
        <v>42283</v>
      </c>
      <c r="M8576" t="s">
        <v>45265</v>
      </c>
      <c r="N8576" t="s">
        <v>46569</v>
      </c>
      <c r="O8576" t="s">
        <v>46570</v>
      </c>
      <c r="P8576">
        <v>0</v>
      </c>
      <c r="Q8576">
        <v>10</v>
      </c>
      <c r="R8576" t="s">
        <v>46576</v>
      </c>
      <c r="S8576" t="s">
        <v>46749</v>
      </c>
      <c r="T8576" t="s">
        <v>48308</v>
      </c>
      <c r="U8576" t="s">
        <v>55751</v>
      </c>
      <c r="W8576" t="s">
        <v>45265</v>
      </c>
      <c r="X8576" t="s">
        <v>46577</v>
      </c>
    </row>
    <row r="8577" spans="1:24">
      <c r="A8577">
        <f>HYPERLINK("https://www.philgeps.gov.ph/GEPSNONPILOT/Tender/SplashBidNoticeAbstractUI.aspx?menuIndex=3&amp;refID=7056784&amp;Result=3","7056784")</f>
        <v>0</v>
      </c>
      <c r="B8577" t="s">
        <v>2024</v>
      </c>
      <c r="C8577" t="s">
        <v>11668</v>
      </c>
      <c r="D8577" t="s">
        <v>18805</v>
      </c>
      <c r="E8577" t="s">
        <v>26368</v>
      </c>
      <c r="F8577" t="s">
        <v>32664</v>
      </c>
      <c r="G8577" t="s">
        <v>32677</v>
      </c>
      <c r="H8577" t="s">
        <v>12635</v>
      </c>
      <c r="I8577" t="s">
        <v>11464</v>
      </c>
      <c r="J8577" t="s">
        <v>33302</v>
      </c>
      <c r="K8577" t="s">
        <v>42281</v>
      </c>
      <c r="M8577" t="s">
        <v>44766</v>
      </c>
      <c r="N8577" t="s">
        <v>46569</v>
      </c>
      <c r="O8577" t="s">
        <v>46570</v>
      </c>
      <c r="P8577">
        <v>0</v>
      </c>
      <c r="Q8577">
        <v>3</v>
      </c>
      <c r="R8577" t="s">
        <v>46576</v>
      </c>
      <c r="S8577" t="s">
        <v>46749</v>
      </c>
      <c r="T8577" t="s">
        <v>48302</v>
      </c>
      <c r="U8577" t="s">
        <v>55752</v>
      </c>
      <c r="W8577" t="s">
        <v>44766</v>
      </c>
      <c r="X8577" t="s">
        <v>46577</v>
      </c>
    </row>
    <row r="8578" spans="1:24">
      <c r="A8578">
        <f>HYPERLINK("https://www.philgeps.gov.ph/GEPSNONPILOT/Tender/SplashBidNoticeAbstractUI.aspx?menuIndex=3&amp;refID=7056689&amp;Result=3","7056689")</f>
        <v>0</v>
      </c>
      <c r="B8578" t="s">
        <v>2469</v>
      </c>
      <c r="C8578" t="s">
        <v>11669</v>
      </c>
      <c r="D8578" t="s">
        <v>18801</v>
      </c>
      <c r="E8578" t="s">
        <v>26369</v>
      </c>
      <c r="F8578" t="s">
        <v>32664</v>
      </c>
      <c r="G8578" t="s">
        <v>32672</v>
      </c>
      <c r="H8578" t="s">
        <v>12635</v>
      </c>
      <c r="I8578" t="s">
        <v>4439</v>
      </c>
      <c r="J8578" t="s">
        <v>38024</v>
      </c>
      <c r="K8578" t="s">
        <v>42281</v>
      </c>
      <c r="M8578" t="s">
        <v>45267</v>
      </c>
      <c r="N8578" t="s">
        <v>46569</v>
      </c>
      <c r="O8578" t="s">
        <v>46570</v>
      </c>
      <c r="P8578">
        <v>0</v>
      </c>
      <c r="Q8578">
        <v>0</v>
      </c>
      <c r="R8578" t="s">
        <v>46576</v>
      </c>
      <c r="S8578" t="s">
        <v>46749</v>
      </c>
      <c r="T8578" t="s">
        <v>48273</v>
      </c>
      <c r="U8578" t="s">
        <v>55574</v>
      </c>
      <c r="V8578" t="s">
        <v>62260</v>
      </c>
      <c r="W8578" t="s">
        <v>63562</v>
      </c>
      <c r="X8578" t="s">
        <v>46577</v>
      </c>
    </row>
    <row r="8579" spans="1:24">
      <c r="A8579">
        <f>HYPERLINK("https://www.philgeps.gov.ph/GEPSNONPILOT/Tender/SplashBidNoticeAbstractUI.aspx?menuIndex=3&amp;refID=7056782&amp;Result=3","7056782")</f>
        <v>0</v>
      </c>
      <c r="B8579" t="s">
        <v>2513</v>
      </c>
      <c r="C8579" t="s">
        <v>11670</v>
      </c>
      <c r="D8579" t="s">
        <v>18835</v>
      </c>
      <c r="E8579" t="s">
        <v>26370</v>
      </c>
      <c r="F8579" t="s">
        <v>32664</v>
      </c>
      <c r="G8579" t="s">
        <v>32672</v>
      </c>
      <c r="H8579" t="s">
        <v>12635</v>
      </c>
      <c r="I8579" t="s">
        <v>4439</v>
      </c>
      <c r="J8579" t="s">
        <v>38025</v>
      </c>
      <c r="K8579" t="s">
        <v>42303</v>
      </c>
      <c r="M8579" t="s">
        <v>45318</v>
      </c>
      <c r="N8579" t="s">
        <v>46569</v>
      </c>
      <c r="O8579" t="s">
        <v>46570</v>
      </c>
      <c r="P8579">
        <v>0</v>
      </c>
      <c r="Q8579">
        <v>0</v>
      </c>
      <c r="R8579" t="s">
        <v>46576</v>
      </c>
      <c r="S8579" t="s">
        <v>46749</v>
      </c>
      <c r="T8579" t="s">
        <v>48283</v>
      </c>
      <c r="U8579" t="s">
        <v>55753</v>
      </c>
      <c r="V8579" t="s">
        <v>62495</v>
      </c>
      <c r="W8579" t="s">
        <v>45318</v>
      </c>
      <c r="X8579" t="s">
        <v>46577</v>
      </c>
    </row>
    <row r="8580" spans="1:24">
      <c r="A8580">
        <f>HYPERLINK("https://www.philgeps.gov.ph/GEPSNONPILOT/Tender/SplashBidNoticeAbstractUI.aspx?menuIndex=3&amp;refID=7056667&amp;Result=3","7056667")</f>
        <v>0</v>
      </c>
      <c r="B8580" t="s">
        <v>2474</v>
      </c>
      <c r="C8580" t="s">
        <v>11671</v>
      </c>
      <c r="D8580" t="s">
        <v>18781</v>
      </c>
      <c r="E8580" t="s">
        <v>26200</v>
      </c>
      <c r="F8580" t="s">
        <v>32664</v>
      </c>
      <c r="G8580" t="s">
        <v>32672</v>
      </c>
      <c r="H8580" t="s">
        <v>32683</v>
      </c>
      <c r="I8580" t="s">
        <v>10627</v>
      </c>
      <c r="J8580" t="s">
        <v>37993</v>
      </c>
      <c r="K8580" t="s">
        <v>42305</v>
      </c>
      <c r="M8580" t="s">
        <v>45274</v>
      </c>
      <c r="N8580" t="s">
        <v>46569</v>
      </c>
      <c r="O8580" t="s">
        <v>46570</v>
      </c>
      <c r="Q8580">
        <v>0</v>
      </c>
      <c r="R8580" t="s">
        <v>46576</v>
      </c>
      <c r="S8580" t="s">
        <v>46784</v>
      </c>
      <c r="T8580" t="s">
        <v>48360</v>
      </c>
      <c r="U8580" t="s">
        <v>55610</v>
      </c>
      <c r="V8580" t="s">
        <v>62496</v>
      </c>
      <c r="W8580" t="s">
        <v>45274</v>
      </c>
      <c r="X8580" t="s">
        <v>46577</v>
      </c>
    </row>
    <row r="8581" spans="1:24">
      <c r="A8581">
        <f>HYPERLINK("https://www.philgeps.gov.ph/GEPSNONPILOT/Tender/SplashBidNoticeAbstractUI.aspx?menuIndex=3&amp;refID=7056758&amp;Result=3","7056758")</f>
        <v>0</v>
      </c>
      <c r="B8581" t="s">
        <v>2514</v>
      </c>
      <c r="C8581" t="s">
        <v>11672</v>
      </c>
      <c r="E8581" t="s">
        <v>26371</v>
      </c>
      <c r="F8581" t="s">
        <v>32664</v>
      </c>
      <c r="G8581" t="s">
        <v>32672</v>
      </c>
      <c r="H8581" t="s">
        <v>12635</v>
      </c>
      <c r="I8581" t="s">
        <v>32704</v>
      </c>
      <c r="J8581" t="s">
        <v>38026</v>
      </c>
      <c r="K8581" t="s">
        <v>42281</v>
      </c>
      <c r="M8581" t="s">
        <v>45319</v>
      </c>
      <c r="N8581" t="s">
        <v>46569</v>
      </c>
      <c r="O8581" t="s">
        <v>46570</v>
      </c>
      <c r="Q8581">
        <v>7</v>
      </c>
      <c r="R8581" t="s">
        <v>46576</v>
      </c>
      <c r="S8581" t="s">
        <v>46785</v>
      </c>
      <c r="T8581" t="s">
        <v>48275</v>
      </c>
      <c r="U8581" t="s">
        <v>55754</v>
      </c>
      <c r="W8581" t="s">
        <v>45319</v>
      </c>
      <c r="X8581" t="s">
        <v>46577</v>
      </c>
    </row>
    <row r="8582" spans="1:24">
      <c r="A8582">
        <f>HYPERLINK("https://www.philgeps.gov.ph/GEPSNONPILOT/Tender/SplashBidNoticeAbstractUI.aspx?menuIndex=3&amp;refID=7056764&amp;Result=3","7056764")</f>
        <v>0</v>
      </c>
      <c r="B8582" t="s">
        <v>1292</v>
      </c>
      <c r="C8582" t="s">
        <v>11673</v>
      </c>
      <c r="D8582" t="s">
        <v>18807</v>
      </c>
      <c r="E8582" t="s">
        <v>26372</v>
      </c>
      <c r="F8582" t="s">
        <v>32665</v>
      </c>
      <c r="G8582" t="s">
        <v>32671</v>
      </c>
      <c r="H8582" t="s">
        <v>12635</v>
      </c>
      <c r="I8582" t="s">
        <v>4333</v>
      </c>
      <c r="J8582" t="s">
        <v>38027</v>
      </c>
      <c r="K8582" t="s">
        <v>42289</v>
      </c>
      <c r="M8582" t="s">
        <v>43936</v>
      </c>
      <c r="N8582" t="s">
        <v>46569</v>
      </c>
      <c r="O8582" t="s">
        <v>46570</v>
      </c>
      <c r="P8582">
        <v>0</v>
      </c>
      <c r="Q8582">
        <v>1</v>
      </c>
      <c r="R8582" t="s">
        <v>46576</v>
      </c>
      <c r="S8582" t="s">
        <v>46749</v>
      </c>
      <c r="T8582" t="s">
        <v>48230</v>
      </c>
      <c r="U8582" t="s">
        <v>51530</v>
      </c>
      <c r="V8582" t="s">
        <v>61958</v>
      </c>
      <c r="W8582" t="s">
        <v>63509</v>
      </c>
      <c r="X8582" t="s">
        <v>46577</v>
      </c>
    </row>
    <row r="8583" spans="1:24">
      <c r="A8583">
        <f>HYPERLINK("https://www.philgeps.gov.ph/GEPSNONPILOT/Tender/SplashBidNoticeAbstractUI.aspx?menuIndex=3&amp;refID=7056754&amp;Result=3","7056754")</f>
        <v>0</v>
      </c>
      <c r="B8583" t="s">
        <v>1602</v>
      </c>
      <c r="C8583" t="s">
        <v>11674</v>
      </c>
      <c r="D8583" t="s">
        <v>18784</v>
      </c>
      <c r="E8583" t="s">
        <v>26373</v>
      </c>
      <c r="F8583" t="s">
        <v>32664</v>
      </c>
      <c r="G8583" t="s">
        <v>32672</v>
      </c>
      <c r="H8583" t="s">
        <v>32683</v>
      </c>
      <c r="I8583" t="s">
        <v>10627</v>
      </c>
      <c r="J8583" t="s">
        <v>38028</v>
      </c>
      <c r="K8583" t="s">
        <v>42349</v>
      </c>
      <c r="M8583" t="s">
        <v>44280</v>
      </c>
      <c r="N8583" t="s">
        <v>46569</v>
      </c>
      <c r="O8583" t="s">
        <v>46570</v>
      </c>
      <c r="P8583">
        <v>0</v>
      </c>
      <c r="Q8583">
        <v>1</v>
      </c>
      <c r="R8583" t="s">
        <v>46576</v>
      </c>
      <c r="S8583" t="s">
        <v>46749</v>
      </c>
      <c r="T8583" t="s">
        <v>48273</v>
      </c>
      <c r="U8583" t="s">
        <v>55755</v>
      </c>
      <c r="W8583" t="s">
        <v>44280</v>
      </c>
      <c r="X8583" t="s">
        <v>46577</v>
      </c>
    </row>
    <row r="8584" spans="1:24">
      <c r="A8584">
        <f>HYPERLINK("https://www.philgeps.gov.ph/GEPSNONPILOT/Tender/SplashBidNoticeAbstractUI.aspx?menuIndex=3&amp;refID=7056747&amp;Result=3","7056747")</f>
        <v>0</v>
      </c>
      <c r="B8584" t="s">
        <v>1508</v>
      </c>
      <c r="C8584" t="s">
        <v>11675</v>
      </c>
      <c r="D8584" t="s">
        <v>18826</v>
      </c>
      <c r="E8584" t="s">
        <v>26374</v>
      </c>
      <c r="F8584" t="s">
        <v>32664</v>
      </c>
      <c r="G8584" t="s">
        <v>32673</v>
      </c>
      <c r="H8584" t="s">
        <v>32683</v>
      </c>
      <c r="I8584" t="s">
        <v>10627</v>
      </c>
      <c r="J8584" t="s">
        <v>38014</v>
      </c>
      <c r="K8584" t="s">
        <v>42290</v>
      </c>
      <c r="M8584" t="s">
        <v>44174</v>
      </c>
      <c r="N8584" t="s">
        <v>46569</v>
      </c>
      <c r="O8584" t="s">
        <v>46570</v>
      </c>
      <c r="P8584">
        <v>0</v>
      </c>
      <c r="Q8584">
        <v>6</v>
      </c>
      <c r="R8584" t="s">
        <v>46576</v>
      </c>
      <c r="S8584" t="s">
        <v>46749</v>
      </c>
      <c r="T8584" t="s">
        <v>48308</v>
      </c>
      <c r="U8584" t="s">
        <v>55756</v>
      </c>
      <c r="V8584" t="s">
        <v>62045</v>
      </c>
      <c r="W8584" t="s">
        <v>44174</v>
      </c>
      <c r="X8584" t="s">
        <v>46577</v>
      </c>
    </row>
    <row r="8585" spans="1:24">
      <c r="A8585">
        <f>HYPERLINK("https://www.philgeps.gov.ph/GEPSNONPILOT/Tender/SplashBidNoticeAbstractUI.aspx?menuIndex=3&amp;refID=7056688&amp;Result=3","7056688")</f>
        <v>0</v>
      </c>
      <c r="B8585" t="s">
        <v>1459</v>
      </c>
      <c r="C8585" t="s">
        <v>11676</v>
      </c>
      <c r="D8585" t="s">
        <v>18784</v>
      </c>
      <c r="E8585" t="s">
        <v>26375</v>
      </c>
      <c r="F8585" t="s">
        <v>32664</v>
      </c>
      <c r="G8585" t="s">
        <v>32672</v>
      </c>
      <c r="H8585" t="s">
        <v>32683</v>
      </c>
      <c r="I8585" t="s">
        <v>10627</v>
      </c>
      <c r="J8585" t="s">
        <v>34131</v>
      </c>
      <c r="K8585" t="s">
        <v>42285</v>
      </c>
      <c r="M8585" t="s">
        <v>44120</v>
      </c>
      <c r="N8585" t="s">
        <v>46569</v>
      </c>
      <c r="O8585" t="s">
        <v>46570</v>
      </c>
      <c r="P8585">
        <v>0</v>
      </c>
      <c r="Q8585">
        <v>38</v>
      </c>
      <c r="R8585" t="s">
        <v>46576</v>
      </c>
      <c r="S8585" t="s">
        <v>46749</v>
      </c>
      <c r="T8585" t="s">
        <v>48418</v>
      </c>
      <c r="U8585" t="s">
        <v>55757</v>
      </c>
      <c r="V8585" t="s">
        <v>62491</v>
      </c>
      <c r="W8585" t="s">
        <v>44120</v>
      </c>
      <c r="X8585" t="s">
        <v>46577</v>
      </c>
    </row>
    <row r="8586" spans="1:24">
      <c r="A8586">
        <f>HYPERLINK("https://www.philgeps.gov.ph/GEPSNONPILOT/Tender/SplashBidNoticeAbstractUI.aspx?menuIndex=3&amp;refID=7056744&amp;Result=3","7056744")</f>
        <v>0</v>
      </c>
      <c r="B8586" t="s">
        <v>160</v>
      </c>
      <c r="C8586" t="s">
        <v>11677</v>
      </c>
      <c r="D8586" t="s">
        <v>18806</v>
      </c>
      <c r="E8586" t="s">
        <v>26376</v>
      </c>
      <c r="F8586" t="s">
        <v>32664</v>
      </c>
      <c r="G8586" t="s">
        <v>32672</v>
      </c>
      <c r="H8586" t="s">
        <v>12635</v>
      </c>
      <c r="I8586" t="s">
        <v>4439</v>
      </c>
      <c r="J8586" t="s">
        <v>33078</v>
      </c>
      <c r="K8586" t="s">
        <v>42281</v>
      </c>
      <c r="M8586" t="s">
        <v>45320</v>
      </c>
      <c r="N8586" t="s">
        <v>46569</v>
      </c>
      <c r="O8586" t="s">
        <v>46570</v>
      </c>
      <c r="P8586">
        <v>0</v>
      </c>
      <c r="Q8586">
        <v>0</v>
      </c>
      <c r="R8586" t="s">
        <v>46576</v>
      </c>
      <c r="S8586" t="s">
        <v>46749</v>
      </c>
      <c r="T8586" t="s">
        <v>48293</v>
      </c>
      <c r="U8586" t="s">
        <v>55758</v>
      </c>
      <c r="W8586" t="s">
        <v>42724</v>
      </c>
      <c r="X8586" t="s">
        <v>46577</v>
      </c>
    </row>
    <row r="8587" spans="1:24">
      <c r="A8587">
        <f>HYPERLINK("https://www.philgeps.gov.ph/GEPSNONPILOT/Tender/SplashBidNoticeAbstractUI.aspx?menuIndex=3&amp;refID=7056743&amp;Result=3","7056743")</f>
        <v>0</v>
      </c>
      <c r="B8587" t="s">
        <v>673</v>
      </c>
      <c r="C8587" t="s">
        <v>11678</v>
      </c>
      <c r="D8587" t="s">
        <v>18799</v>
      </c>
      <c r="E8587" t="s">
        <v>26377</v>
      </c>
      <c r="F8587" t="s">
        <v>32664</v>
      </c>
      <c r="G8587" t="s">
        <v>32671</v>
      </c>
      <c r="H8587" t="s">
        <v>12635</v>
      </c>
      <c r="I8587" t="s">
        <v>32746</v>
      </c>
      <c r="J8587" t="s">
        <v>38029</v>
      </c>
      <c r="K8587" t="s">
        <v>42283</v>
      </c>
      <c r="M8587" t="s">
        <v>43260</v>
      </c>
      <c r="N8587" t="s">
        <v>46569</v>
      </c>
      <c r="O8587" t="s">
        <v>46570</v>
      </c>
      <c r="P8587">
        <v>0</v>
      </c>
      <c r="Q8587">
        <v>0</v>
      </c>
      <c r="R8587" t="s">
        <v>46576</v>
      </c>
      <c r="S8587" t="s">
        <v>46749</v>
      </c>
      <c r="T8587" t="s">
        <v>48305</v>
      </c>
      <c r="U8587" t="s">
        <v>53659</v>
      </c>
      <c r="W8587" t="s">
        <v>43260</v>
      </c>
      <c r="X8587" t="s">
        <v>46577</v>
      </c>
    </row>
    <row r="8588" spans="1:24">
      <c r="A8588">
        <f>HYPERLINK("https://www.philgeps.gov.ph/GEPSNONPILOT/Tender/SplashBidNoticeAbstractUI.aspx?menuIndex=3&amp;refID=7056742&amp;Result=3","7056742")</f>
        <v>0</v>
      </c>
      <c r="B8588" t="s">
        <v>2474</v>
      </c>
      <c r="C8588" t="s">
        <v>11679</v>
      </c>
      <c r="D8588" t="s">
        <v>18781</v>
      </c>
      <c r="E8588" t="s">
        <v>26200</v>
      </c>
      <c r="F8588" t="s">
        <v>32664</v>
      </c>
      <c r="G8588" t="s">
        <v>32672</v>
      </c>
      <c r="H8588" t="s">
        <v>32683</v>
      </c>
      <c r="I8588" t="s">
        <v>10627</v>
      </c>
      <c r="J8588" t="s">
        <v>37993</v>
      </c>
      <c r="K8588" t="s">
        <v>42305</v>
      </c>
      <c r="M8588" t="s">
        <v>45274</v>
      </c>
      <c r="N8588" t="s">
        <v>46569</v>
      </c>
      <c r="O8588" t="s">
        <v>46570</v>
      </c>
      <c r="Q8588">
        <v>0</v>
      </c>
      <c r="R8588" t="s">
        <v>46576</v>
      </c>
      <c r="S8588" t="s">
        <v>46786</v>
      </c>
      <c r="T8588" t="s">
        <v>48360</v>
      </c>
      <c r="U8588" t="s">
        <v>55610</v>
      </c>
      <c r="V8588" t="s">
        <v>62497</v>
      </c>
      <c r="W8588" t="s">
        <v>45274</v>
      </c>
      <c r="X8588" t="s">
        <v>46577</v>
      </c>
    </row>
    <row r="8589" spans="1:24">
      <c r="A8589">
        <f>HYPERLINK("https://www.philgeps.gov.ph/GEPSNONPILOT/Tender/SplashBidNoticeAbstractUI.aspx?menuIndex=3&amp;refID=7056749&amp;Result=3","7056749")</f>
        <v>0</v>
      </c>
      <c r="B8589" t="s">
        <v>1397</v>
      </c>
      <c r="C8589" t="s">
        <v>11680</v>
      </c>
      <c r="D8589" t="s">
        <v>18803</v>
      </c>
      <c r="E8589" t="s">
        <v>26378</v>
      </c>
      <c r="F8589" t="s">
        <v>32664</v>
      </c>
      <c r="G8589" t="s">
        <v>32671</v>
      </c>
      <c r="H8589" t="s">
        <v>12635</v>
      </c>
      <c r="I8589" t="s">
        <v>10370</v>
      </c>
      <c r="J8589" t="s">
        <v>38030</v>
      </c>
      <c r="K8589" t="s">
        <v>42281</v>
      </c>
      <c r="M8589" t="s">
        <v>44054</v>
      </c>
      <c r="N8589" t="s">
        <v>46569</v>
      </c>
      <c r="O8589" t="s">
        <v>46570</v>
      </c>
      <c r="P8589">
        <v>0</v>
      </c>
      <c r="Q8589">
        <v>4</v>
      </c>
      <c r="R8589" t="s">
        <v>46576</v>
      </c>
      <c r="S8589" t="s">
        <v>46749</v>
      </c>
      <c r="T8589" t="s">
        <v>48492</v>
      </c>
      <c r="U8589" t="s">
        <v>51803</v>
      </c>
      <c r="W8589" t="s">
        <v>44054</v>
      </c>
      <c r="X8589" t="s">
        <v>46577</v>
      </c>
    </row>
    <row r="8590" spans="1:24">
      <c r="A8590">
        <f>HYPERLINK("https://www.philgeps.gov.ph/GEPSNONPILOT/Tender/SplashBidNoticeAbstractUI.aspx?menuIndex=3&amp;refID=7056763&amp;Result=3","7056763")</f>
        <v>0</v>
      </c>
      <c r="B8590" t="s">
        <v>2474</v>
      </c>
      <c r="C8590" t="s">
        <v>11681</v>
      </c>
      <c r="D8590" t="s">
        <v>18781</v>
      </c>
      <c r="E8590" t="s">
        <v>26200</v>
      </c>
      <c r="F8590" t="s">
        <v>32664</v>
      </c>
      <c r="G8590" t="s">
        <v>32672</v>
      </c>
      <c r="H8590" t="s">
        <v>32683</v>
      </c>
      <c r="I8590" t="s">
        <v>10627</v>
      </c>
      <c r="J8590" t="s">
        <v>38031</v>
      </c>
      <c r="K8590" t="s">
        <v>42298</v>
      </c>
      <c r="M8590" t="s">
        <v>45274</v>
      </c>
      <c r="N8590" t="s">
        <v>46569</v>
      </c>
      <c r="O8590" t="s">
        <v>46570</v>
      </c>
      <c r="Q8590">
        <v>0</v>
      </c>
      <c r="R8590" t="s">
        <v>46576</v>
      </c>
      <c r="S8590" t="s">
        <v>46787</v>
      </c>
      <c r="T8590" t="s">
        <v>48360</v>
      </c>
      <c r="U8590" t="s">
        <v>55610</v>
      </c>
      <c r="V8590" t="s">
        <v>62498</v>
      </c>
      <c r="W8590" t="s">
        <v>45274</v>
      </c>
      <c r="X8590" t="s">
        <v>46577</v>
      </c>
    </row>
    <row r="8591" spans="1:24">
      <c r="A8591">
        <f>HYPERLINK("https://www.philgeps.gov.ph/GEPSNONPILOT/Tender/SplashBidNoticeAbstractUI.aspx?menuIndex=3&amp;refID=7056762&amp;Result=3","7056762")</f>
        <v>0</v>
      </c>
      <c r="B8591" t="s">
        <v>396</v>
      </c>
      <c r="C8591" t="s">
        <v>11682</v>
      </c>
      <c r="D8591" t="s">
        <v>18790</v>
      </c>
      <c r="E8591" t="s">
        <v>26379</v>
      </c>
      <c r="F8591" t="s">
        <v>32664</v>
      </c>
      <c r="G8591" t="s">
        <v>32672</v>
      </c>
      <c r="H8591" t="s">
        <v>12635</v>
      </c>
      <c r="I8591" t="s">
        <v>32754</v>
      </c>
      <c r="J8591" t="s">
        <v>38032</v>
      </c>
      <c r="K8591" t="s">
        <v>42297</v>
      </c>
      <c r="M8591" t="s">
        <v>42966</v>
      </c>
      <c r="N8591" t="s">
        <v>46569</v>
      </c>
      <c r="O8591" t="s">
        <v>46570</v>
      </c>
      <c r="P8591">
        <v>0</v>
      </c>
      <c r="Q8591">
        <v>0</v>
      </c>
      <c r="R8591" t="s">
        <v>46576</v>
      </c>
      <c r="S8591" t="s">
        <v>46749</v>
      </c>
      <c r="T8591" t="s">
        <v>48283</v>
      </c>
      <c r="U8591" t="s">
        <v>55759</v>
      </c>
      <c r="W8591" t="s">
        <v>42966</v>
      </c>
      <c r="X8591" t="s">
        <v>46577</v>
      </c>
    </row>
    <row r="8592" spans="1:24">
      <c r="A8592">
        <f>HYPERLINK("https://www.philgeps.gov.ph/GEPSNONPILOT/Tender/SplashBidNoticeAbstractUI.aspx?menuIndex=3&amp;refID=7066695&amp;Result=3","7066695")</f>
        <v>0</v>
      </c>
      <c r="B8592" t="s">
        <v>594</v>
      </c>
      <c r="C8592" t="s">
        <v>11683</v>
      </c>
      <c r="D8592" t="s">
        <v>18784</v>
      </c>
      <c r="E8592" t="s">
        <v>26380</v>
      </c>
      <c r="F8592" t="s">
        <v>32664</v>
      </c>
      <c r="G8592" t="s">
        <v>32674</v>
      </c>
      <c r="H8592" t="s">
        <v>12635</v>
      </c>
      <c r="I8592" t="s">
        <v>8797</v>
      </c>
      <c r="J8592" t="s">
        <v>33051</v>
      </c>
      <c r="K8592" t="s">
        <v>42297</v>
      </c>
      <c r="M8592" t="s">
        <v>43174</v>
      </c>
      <c r="N8592" t="s">
        <v>46569</v>
      </c>
      <c r="O8592" t="s">
        <v>46570</v>
      </c>
      <c r="P8592">
        <v>0</v>
      </c>
      <c r="Q8592">
        <v>6</v>
      </c>
      <c r="R8592" t="s">
        <v>46571</v>
      </c>
      <c r="S8592" t="s">
        <v>46687</v>
      </c>
      <c r="T8592" t="s">
        <v>48344</v>
      </c>
      <c r="U8592" t="s">
        <v>55760</v>
      </c>
      <c r="W8592" t="s">
        <v>43174</v>
      </c>
      <c r="X8592" t="s">
        <v>46572</v>
      </c>
    </row>
    <row r="8593" spans="1:24">
      <c r="A8593">
        <f>HYPERLINK("https://www.philgeps.gov.ph/GEPSNONPILOT/Tender/SplashBidNoticeAbstractUI.aspx?menuIndex=3&amp;refID=7056850&amp;Result=3","7056850")</f>
        <v>0</v>
      </c>
      <c r="B8593" t="s">
        <v>154</v>
      </c>
      <c r="C8593" t="s">
        <v>11684</v>
      </c>
      <c r="E8593" t="s">
        <v>26381</v>
      </c>
      <c r="F8593" t="s">
        <v>32664</v>
      </c>
      <c r="G8593" t="s">
        <v>32672</v>
      </c>
      <c r="H8593" t="s">
        <v>32683</v>
      </c>
      <c r="I8593" t="s">
        <v>10627</v>
      </c>
      <c r="J8593" t="s">
        <v>38033</v>
      </c>
      <c r="K8593" t="s">
        <v>42283</v>
      </c>
      <c r="M8593" t="s">
        <v>42718</v>
      </c>
      <c r="N8593" t="s">
        <v>46569</v>
      </c>
      <c r="O8593" t="s">
        <v>46570</v>
      </c>
      <c r="P8593">
        <v>0</v>
      </c>
      <c r="Q8593">
        <v>10</v>
      </c>
      <c r="R8593" t="s">
        <v>46576</v>
      </c>
      <c r="S8593" t="s">
        <v>46749</v>
      </c>
      <c r="T8593" t="s">
        <v>48439</v>
      </c>
      <c r="U8593" t="s">
        <v>55761</v>
      </c>
      <c r="V8593" t="s">
        <v>62499</v>
      </c>
      <c r="W8593" t="s">
        <v>42718</v>
      </c>
      <c r="X8593" t="s">
        <v>46577</v>
      </c>
    </row>
    <row r="8594" spans="1:24">
      <c r="A8594">
        <f>HYPERLINK("https://www.philgeps.gov.ph/GEPSNONPILOT/Tender/SplashBidNoticeAbstractUI.aspx?menuIndex=3&amp;refID=7056845&amp;Result=3","7056845")</f>
        <v>0</v>
      </c>
      <c r="B8594" t="s">
        <v>673</v>
      </c>
      <c r="C8594" t="s">
        <v>11685</v>
      </c>
      <c r="D8594" t="s">
        <v>18799</v>
      </c>
      <c r="E8594" t="s">
        <v>26382</v>
      </c>
      <c r="F8594" t="s">
        <v>32664</v>
      </c>
      <c r="G8594" t="s">
        <v>32671</v>
      </c>
      <c r="H8594" t="s">
        <v>12635</v>
      </c>
      <c r="I8594" t="s">
        <v>32694</v>
      </c>
      <c r="J8594" t="s">
        <v>38034</v>
      </c>
      <c r="K8594" t="s">
        <v>42283</v>
      </c>
      <c r="M8594" t="s">
        <v>43260</v>
      </c>
      <c r="N8594" t="s">
        <v>46569</v>
      </c>
      <c r="O8594" t="s">
        <v>46570</v>
      </c>
      <c r="P8594">
        <v>0</v>
      </c>
      <c r="Q8594">
        <v>0</v>
      </c>
      <c r="R8594" t="s">
        <v>46576</v>
      </c>
      <c r="S8594" t="s">
        <v>46749</v>
      </c>
      <c r="T8594" t="s">
        <v>48334</v>
      </c>
      <c r="U8594" t="s">
        <v>53659</v>
      </c>
      <c r="W8594" t="s">
        <v>43260</v>
      </c>
      <c r="X8594" t="s">
        <v>46577</v>
      </c>
    </row>
    <row r="8595" spans="1:24">
      <c r="A8595">
        <f>HYPERLINK("https://www.philgeps.gov.ph/GEPSNONPILOT/Tender/SplashBidNoticeAbstractUI.aspx?menuIndex=3&amp;refID=7056874&amp;Result=3","7056874")</f>
        <v>0</v>
      </c>
      <c r="B8595" t="s">
        <v>1292</v>
      </c>
      <c r="C8595" t="s">
        <v>11686</v>
      </c>
      <c r="D8595" t="s">
        <v>18807</v>
      </c>
      <c r="E8595" t="s">
        <v>26383</v>
      </c>
      <c r="F8595" t="s">
        <v>32665</v>
      </c>
      <c r="G8595" t="s">
        <v>32671</v>
      </c>
      <c r="H8595" t="s">
        <v>12635</v>
      </c>
      <c r="I8595" t="s">
        <v>14442</v>
      </c>
      <c r="J8595" t="s">
        <v>33584</v>
      </c>
      <c r="K8595" t="s">
        <v>42281</v>
      </c>
      <c r="M8595" t="s">
        <v>43936</v>
      </c>
      <c r="N8595" t="s">
        <v>46569</v>
      </c>
      <c r="O8595" t="s">
        <v>46570</v>
      </c>
      <c r="P8595">
        <v>0</v>
      </c>
      <c r="Q8595">
        <v>9</v>
      </c>
      <c r="R8595" t="s">
        <v>46576</v>
      </c>
      <c r="S8595" t="s">
        <v>46749</v>
      </c>
      <c r="T8595" t="s">
        <v>48230</v>
      </c>
      <c r="U8595" t="s">
        <v>51530</v>
      </c>
      <c r="V8595" t="s">
        <v>61958</v>
      </c>
      <c r="W8595" t="s">
        <v>63509</v>
      </c>
      <c r="X8595" t="s">
        <v>46577</v>
      </c>
    </row>
    <row r="8596" spans="1:24">
      <c r="A8596">
        <f>HYPERLINK("https://www.philgeps.gov.ph/GEPSNONPILOT/Tender/SplashBidNoticeAbstractUI.aspx?menuIndex=3&amp;refID=7056854&amp;Result=3","7056854")</f>
        <v>0</v>
      </c>
      <c r="B8596" t="s">
        <v>2515</v>
      </c>
      <c r="C8596" t="s">
        <v>11687</v>
      </c>
      <c r="D8596" t="s">
        <v>18801</v>
      </c>
      <c r="E8596" t="s">
        <v>19202</v>
      </c>
      <c r="F8596" t="s">
        <v>32664</v>
      </c>
      <c r="G8596" t="s">
        <v>32671</v>
      </c>
      <c r="H8596" t="s">
        <v>32683</v>
      </c>
      <c r="I8596" t="s">
        <v>6553</v>
      </c>
      <c r="J8596" t="s">
        <v>33069</v>
      </c>
      <c r="K8596" t="s">
        <v>42284</v>
      </c>
      <c r="M8596" t="s">
        <v>45321</v>
      </c>
      <c r="N8596" t="s">
        <v>46569</v>
      </c>
      <c r="O8596" t="s">
        <v>46570</v>
      </c>
      <c r="P8596">
        <v>0</v>
      </c>
      <c r="Q8596">
        <v>0</v>
      </c>
      <c r="R8596" t="s">
        <v>46576</v>
      </c>
      <c r="S8596" t="s">
        <v>46749</v>
      </c>
      <c r="T8596" t="s">
        <v>48254</v>
      </c>
      <c r="U8596" t="s">
        <v>55762</v>
      </c>
      <c r="W8596" t="s">
        <v>45321</v>
      </c>
      <c r="X8596" t="s">
        <v>46577</v>
      </c>
    </row>
    <row r="8597" spans="1:24">
      <c r="A8597">
        <f>HYPERLINK("https://www.philgeps.gov.ph/GEPSNONPILOT/Tender/SplashBidNoticeAbstractUI.aspx?menuIndex=3&amp;refID=7056839&amp;Result=3","7056839")</f>
        <v>0</v>
      </c>
      <c r="B8597" t="s">
        <v>2427</v>
      </c>
      <c r="C8597" t="s">
        <v>11688</v>
      </c>
      <c r="D8597" t="s">
        <v>18784</v>
      </c>
      <c r="E8597" t="s">
        <v>26384</v>
      </c>
      <c r="F8597" t="s">
        <v>32664</v>
      </c>
      <c r="G8597" t="s">
        <v>32672</v>
      </c>
      <c r="H8597" t="s">
        <v>32682</v>
      </c>
      <c r="I8597" t="s">
        <v>32701</v>
      </c>
      <c r="J8597" t="s">
        <v>36542</v>
      </c>
      <c r="K8597" t="s">
        <v>42390</v>
      </c>
      <c r="M8597" t="s">
        <v>45219</v>
      </c>
      <c r="N8597" t="s">
        <v>46569</v>
      </c>
      <c r="O8597" t="s">
        <v>46570</v>
      </c>
      <c r="P8597">
        <v>0</v>
      </c>
      <c r="Q8597">
        <v>0</v>
      </c>
      <c r="R8597" t="s">
        <v>46576</v>
      </c>
      <c r="S8597" t="s">
        <v>46749</v>
      </c>
      <c r="T8597" t="s">
        <v>48436</v>
      </c>
      <c r="U8597" t="s">
        <v>55763</v>
      </c>
      <c r="W8597" t="s">
        <v>45219</v>
      </c>
      <c r="X8597" t="s">
        <v>46577</v>
      </c>
    </row>
    <row r="8598" spans="1:24">
      <c r="A8598">
        <f>HYPERLINK("https://www.philgeps.gov.ph/GEPSNONPILOT/Tender/SplashBidNoticeAbstractUI.aspx?menuIndex=3&amp;refID=7056834&amp;Result=3","7056834")</f>
        <v>0</v>
      </c>
      <c r="B8598" t="s">
        <v>2516</v>
      </c>
      <c r="C8598" t="s">
        <v>11689</v>
      </c>
      <c r="D8598" t="s">
        <v>18804</v>
      </c>
      <c r="E8598" t="s">
        <v>26385</v>
      </c>
      <c r="F8598" t="s">
        <v>32664</v>
      </c>
      <c r="G8598" t="s">
        <v>32672</v>
      </c>
      <c r="H8598" t="s">
        <v>12635</v>
      </c>
      <c r="I8598" t="s">
        <v>10361</v>
      </c>
      <c r="J8598" t="s">
        <v>38035</v>
      </c>
      <c r="K8598" t="s">
        <v>42311</v>
      </c>
      <c r="M8598" t="s">
        <v>45322</v>
      </c>
      <c r="N8598" t="s">
        <v>46569</v>
      </c>
      <c r="O8598" t="s">
        <v>46570</v>
      </c>
      <c r="P8598">
        <v>0</v>
      </c>
      <c r="Q8598">
        <v>0</v>
      </c>
      <c r="R8598" t="s">
        <v>46576</v>
      </c>
      <c r="S8598" t="s">
        <v>46749</v>
      </c>
      <c r="T8598" t="s">
        <v>48244</v>
      </c>
      <c r="U8598" t="s">
        <v>55764</v>
      </c>
      <c r="W8598" t="s">
        <v>45322</v>
      </c>
      <c r="X8598" t="s">
        <v>46577</v>
      </c>
    </row>
    <row r="8599" spans="1:24">
      <c r="A8599">
        <f>HYPERLINK("https://www.philgeps.gov.ph/GEPSNONPILOT/Tender/SplashBidNoticeAbstractUI.aspx?menuIndex=3&amp;refID=7056838&amp;Result=3","7056838")</f>
        <v>0</v>
      </c>
      <c r="B8599" t="s">
        <v>2474</v>
      </c>
      <c r="C8599" t="s">
        <v>11690</v>
      </c>
      <c r="D8599" t="s">
        <v>18781</v>
      </c>
      <c r="E8599" t="s">
        <v>26200</v>
      </c>
      <c r="F8599" t="s">
        <v>32664</v>
      </c>
      <c r="G8599" t="s">
        <v>32672</v>
      </c>
      <c r="H8599" t="s">
        <v>32683</v>
      </c>
      <c r="I8599" t="s">
        <v>10627</v>
      </c>
      <c r="J8599" t="s">
        <v>38036</v>
      </c>
      <c r="K8599" t="s">
        <v>42308</v>
      </c>
      <c r="M8599" t="s">
        <v>45274</v>
      </c>
      <c r="N8599" t="s">
        <v>46569</v>
      </c>
      <c r="O8599" t="s">
        <v>46570</v>
      </c>
      <c r="Q8599">
        <v>0</v>
      </c>
      <c r="R8599" t="s">
        <v>46576</v>
      </c>
      <c r="S8599" t="s">
        <v>46788</v>
      </c>
      <c r="T8599" t="s">
        <v>48360</v>
      </c>
      <c r="U8599" t="s">
        <v>55610</v>
      </c>
      <c r="V8599" t="s">
        <v>62500</v>
      </c>
      <c r="W8599" t="s">
        <v>45274</v>
      </c>
      <c r="X8599" t="s">
        <v>46577</v>
      </c>
    </row>
    <row r="8600" spans="1:24">
      <c r="A8600">
        <f>HYPERLINK("https://www.philgeps.gov.ph/GEPSNONPILOT/Tender/SplashBidNoticeAbstractUI.aspx?menuIndex=3&amp;refID=7056829&amp;Result=3","7056829")</f>
        <v>0</v>
      </c>
      <c r="B8600" t="s">
        <v>1292</v>
      </c>
      <c r="C8600" t="s">
        <v>11691</v>
      </c>
      <c r="D8600" t="s">
        <v>18807</v>
      </c>
      <c r="E8600" t="s">
        <v>26386</v>
      </c>
      <c r="F8600" t="s">
        <v>32665</v>
      </c>
      <c r="G8600" t="s">
        <v>32671</v>
      </c>
      <c r="H8600" t="s">
        <v>12635</v>
      </c>
      <c r="I8600" t="s">
        <v>14442</v>
      </c>
      <c r="J8600" t="s">
        <v>33647</v>
      </c>
      <c r="K8600" t="s">
        <v>42281</v>
      </c>
      <c r="M8600" t="s">
        <v>43936</v>
      </c>
      <c r="N8600" t="s">
        <v>46569</v>
      </c>
      <c r="O8600" t="s">
        <v>46570</v>
      </c>
      <c r="P8600">
        <v>0</v>
      </c>
      <c r="Q8600">
        <v>12</v>
      </c>
      <c r="R8600" t="s">
        <v>46576</v>
      </c>
      <c r="S8600" t="s">
        <v>46749</v>
      </c>
      <c r="T8600" t="s">
        <v>48230</v>
      </c>
      <c r="U8600" t="s">
        <v>51530</v>
      </c>
      <c r="V8600" t="s">
        <v>61958</v>
      </c>
      <c r="W8600" t="s">
        <v>63509</v>
      </c>
      <c r="X8600" t="s">
        <v>46577</v>
      </c>
    </row>
    <row r="8601" spans="1:24">
      <c r="A8601">
        <f>HYPERLINK("https://www.philgeps.gov.ph/GEPSNONPILOT/Tender/SplashBidNoticeAbstractUI.aspx?menuIndex=3&amp;refID=7056844&amp;Result=3","7056844")</f>
        <v>0</v>
      </c>
      <c r="B8601" t="s">
        <v>2517</v>
      </c>
      <c r="C8601" t="s">
        <v>11692</v>
      </c>
      <c r="D8601" t="s">
        <v>18804</v>
      </c>
      <c r="E8601" t="s">
        <v>26387</v>
      </c>
      <c r="F8601" t="s">
        <v>32664</v>
      </c>
      <c r="G8601" t="s">
        <v>32671</v>
      </c>
      <c r="H8601" t="s">
        <v>32683</v>
      </c>
      <c r="I8601" t="s">
        <v>10627</v>
      </c>
      <c r="J8601" t="s">
        <v>32898</v>
      </c>
      <c r="K8601" t="s">
        <v>42284</v>
      </c>
      <c r="M8601" t="s">
        <v>45323</v>
      </c>
      <c r="N8601" t="s">
        <v>46569</v>
      </c>
      <c r="O8601" t="s">
        <v>46570</v>
      </c>
      <c r="P8601">
        <v>0</v>
      </c>
      <c r="Q8601">
        <v>0</v>
      </c>
      <c r="R8601" t="s">
        <v>46576</v>
      </c>
      <c r="S8601" t="s">
        <v>46749</v>
      </c>
      <c r="T8601" t="s">
        <v>48282</v>
      </c>
      <c r="U8601" t="s">
        <v>55765</v>
      </c>
      <c r="W8601" t="s">
        <v>45323</v>
      </c>
      <c r="X8601" t="s">
        <v>46577</v>
      </c>
    </row>
    <row r="8602" spans="1:24">
      <c r="A8602">
        <f>HYPERLINK("https://www.philgeps.gov.ph/GEPSNONPILOT/Tender/SplashBidNoticeAbstractUI.aspx?menuIndex=3&amp;refID=7056820&amp;Result=3","7056820")</f>
        <v>0</v>
      </c>
      <c r="B8602" t="s">
        <v>1423</v>
      </c>
      <c r="C8602" t="s">
        <v>11693</v>
      </c>
      <c r="E8602" t="s">
        <v>26388</v>
      </c>
      <c r="F8602" t="s">
        <v>32664</v>
      </c>
      <c r="G8602" t="s">
        <v>32672</v>
      </c>
      <c r="H8602" t="s">
        <v>32683</v>
      </c>
      <c r="I8602" t="s">
        <v>10627</v>
      </c>
      <c r="J8602" t="s">
        <v>38037</v>
      </c>
      <c r="K8602" t="s">
        <v>42327</v>
      </c>
      <c r="M8602" t="s">
        <v>45298</v>
      </c>
      <c r="N8602" t="s">
        <v>46569</v>
      </c>
      <c r="O8602" t="s">
        <v>46570</v>
      </c>
      <c r="Q8602">
        <v>0</v>
      </c>
      <c r="R8602" t="s">
        <v>46576</v>
      </c>
      <c r="S8602" t="s">
        <v>46789</v>
      </c>
      <c r="T8602" t="s">
        <v>48308</v>
      </c>
      <c r="U8602" t="s">
        <v>55766</v>
      </c>
      <c r="W8602" t="s">
        <v>45298</v>
      </c>
      <c r="X8602" t="s">
        <v>46577</v>
      </c>
    </row>
    <row r="8603" spans="1:24">
      <c r="A8603">
        <f>HYPERLINK("https://www.philgeps.gov.ph/GEPSNONPILOT/Tender/SplashBidNoticeAbstractUI.aspx?menuIndex=3&amp;refID=7056819&amp;Result=3","7056819")</f>
        <v>0</v>
      </c>
      <c r="B8603" t="s">
        <v>165</v>
      </c>
      <c r="C8603" t="s">
        <v>11694</v>
      </c>
      <c r="E8603" t="s">
        <v>26389</v>
      </c>
      <c r="F8603" t="s">
        <v>32664</v>
      </c>
      <c r="G8603" t="s">
        <v>32671</v>
      </c>
      <c r="H8603" t="s">
        <v>12635</v>
      </c>
      <c r="I8603" t="s">
        <v>9486</v>
      </c>
      <c r="J8603" t="s">
        <v>38038</v>
      </c>
      <c r="K8603" t="s">
        <v>42283</v>
      </c>
      <c r="M8603" t="s">
        <v>45324</v>
      </c>
      <c r="N8603" t="s">
        <v>46569</v>
      </c>
      <c r="O8603" t="s">
        <v>46570</v>
      </c>
      <c r="P8603">
        <v>0</v>
      </c>
      <c r="Q8603">
        <v>4</v>
      </c>
      <c r="R8603" t="s">
        <v>46576</v>
      </c>
      <c r="S8603" t="s">
        <v>46749</v>
      </c>
      <c r="T8603" t="s">
        <v>48254</v>
      </c>
      <c r="U8603" t="s">
        <v>55767</v>
      </c>
      <c r="W8603" t="s">
        <v>45324</v>
      </c>
      <c r="X8603" t="s">
        <v>46577</v>
      </c>
    </row>
    <row r="8604" spans="1:24">
      <c r="A8604">
        <f>HYPERLINK("https://www.philgeps.gov.ph/GEPSNONPILOT/Tender/SplashBidNoticeAbstractUI.aspx?menuIndex=3&amp;refID=7056811&amp;Result=3","7056811")</f>
        <v>0</v>
      </c>
      <c r="B8604" t="s">
        <v>2518</v>
      </c>
      <c r="C8604" t="s">
        <v>4355</v>
      </c>
      <c r="D8604" t="s">
        <v>18781</v>
      </c>
      <c r="E8604" t="s">
        <v>26390</v>
      </c>
      <c r="F8604" t="s">
        <v>32664</v>
      </c>
      <c r="G8604" t="s">
        <v>32672</v>
      </c>
      <c r="H8604" t="s">
        <v>12635</v>
      </c>
      <c r="I8604" t="s">
        <v>6223</v>
      </c>
      <c r="J8604" t="s">
        <v>32898</v>
      </c>
      <c r="K8604" t="s">
        <v>42283</v>
      </c>
      <c r="M8604" t="s">
        <v>45325</v>
      </c>
      <c r="N8604" t="s">
        <v>46569</v>
      </c>
      <c r="O8604" t="s">
        <v>46570</v>
      </c>
      <c r="P8604">
        <v>0</v>
      </c>
      <c r="Q8604">
        <v>0</v>
      </c>
      <c r="R8604" t="s">
        <v>46576</v>
      </c>
      <c r="S8604" t="s">
        <v>46749</v>
      </c>
      <c r="T8604" t="s">
        <v>48251</v>
      </c>
      <c r="U8604" t="s">
        <v>55768</v>
      </c>
      <c r="W8604" t="s">
        <v>45325</v>
      </c>
      <c r="X8604" t="s">
        <v>46577</v>
      </c>
    </row>
    <row r="8605" spans="1:24">
      <c r="A8605">
        <f>HYPERLINK("https://www.philgeps.gov.ph/GEPSNONPILOT/Tender/SplashBidNoticeAbstractUI.aspx?menuIndex=3&amp;refID=7056861&amp;Result=3","7056861")</f>
        <v>0</v>
      </c>
      <c r="B8605" t="s">
        <v>2513</v>
      </c>
      <c r="C8605" t="s">
        <v>11695</v>
      </c>
      <c r="D8605" t="s">
        <v>18835</v>
      </c>
      <c r="E8605" t="s">
        <v>26391</v>
      </c>
      <c r="F8605" t="s">
        <v>32664</v>
      </c>
      <c r="G8605" t="s">
        <v>32672</v>
      </c>
      <c r="H8605" t="s">
        <v>12635</v>
      </c>
      <c r="I8605" t="s">
        <v>4439</v>
      </c>
      <c r="J8605" t="s">
        <v>38039</v>
      </c>
      <c r="K8605" t="s">
        <v>42303</v>
      </c>
      <c r="M8605" t="s">
        <v>45318</v>
      </c>
      <c r="N8605" t="s">
        <v>46569</v>
      </c>
      <c r="O8605" t="s">
        <v>46570</v>
      </c>
      <c r="P8605">
        <v>0</v>
      </c>
      <c r="Q8605">
        <v>0</v>
      </c>
      <c r="R8605" t="s">
        <v>46576</v>
      </c>
      <c r="S8605" t="s">
        <v>46749</v>
      </c>
      <c r="T8605" t="s">
        <v>48283</v>
      </c>
      <c r="U8605" t="s">
        <v>55769</v>
      </c>
      <c r="V8605" t="s">
        <v>62495</v>
      </c>
      <c r="W8605" t="s">
        <v>45318</v>
      </c>
      <c r="X8605" t="s">
        <v>46577</v>
      </c>
    </row>
    <row r="8606" spans="1:24">
      <c r="A8606">
        <f>HYPERLINK("https://www.philgeps.gov.ph/GEPSNONPILOT/Tender/SplashBidNoticeAbstractUI.aspx?menuIndex=3&amp;refID=7056805&amp;Result=3","7056805")</f>
        <v>0</v>
      </c>
      <c r="B8606" t="s">
        <v>1389</v>
      </c>
      <c r="C8606" t="s">
        <v>11696</v>
      </c>
      <c r="D8606" t="s">
        <v>18857</v>
      </c>
      <c r="E8606" t="s">
        <v>26392</v>
      </c>
      <c r="F8606" t="s">
        <v>32664</v>
      </c>
      <c r="G8606" t="s">
        <v>32672</v>
      </c>
      <c r="H8606" t="s">
        <v>32683</v>
      </c>
      <c r="I8606" t="s">
        <v>10627</v>
      </c>
      <c r="J8606" t="s">
        <v>32943</v>
      </c>
      <c r="K8606" t="s">
        <v>42440</v>
      </c>
      <c r="L8606" t="s">
        <v>1389</v>
      </c>
      <c r="M8606" t="s">
        <v>44045</v>
      </c>
      <c r="N8606" t="s">
        <v>46569</v>
      </c>
      <c r="O8606" t="s">
        <v>46570</v>
      </c>
      <c r="P8606">
        <v>0</v>
      </c>
      <c r="Q8606">
        <v>0</v>
      </c>
      <c r="R8606" t="s">
        <v>46576</v>
      </c>
      <c r="S8606" t="s">
        <v>46749</v>
      </c>
      <c r="T8606" t="s">
        <v>48285</v>
      </c>
      <c r="U8606" t="s">
        <v>55770</v>
      </c>
      <c r="V8606" t="s">
        <v>62501</v>
      </c>
      <c r="W8606" t="s">
        <v>44045</v>
      </c>
      <c r="X8606" t="s">
        <v>46577</v>
      </c>
    </row>
    <row r="8607" spans="1:24">
      <c r="A8607">
        <f>HYPERLINK("https://www.philgeps.gov.ph/GEPSNONPILOT/Tender/SplashBidNoticeAbstractUI.aspx?menuIndex=3&amp;refID=7056825&amp;Result=3","7056825")</f>
        <v>0</v>
      </c>
      <c r="B8607" t="s">
        <v>1049</v>
      </c>
      <c r="C8607" t="s">
        <v>11697</v>
      </c>
      <c r="E8607" t="s">
        <v>26393</v>
      </c>
      <c r="F8607" t="s">
        <v>32664</v>
      </c>
      <c r="G8607" t="s">
        <v>32671</v>
      </c>
      <c r="H8607" t="s">
        <v>12635</v>
      </c>
      <c r="I8607" t="s">
        <v>32722</v>
      </c>
      <c r="J8607" t="s">
        <v>36239</v>
      </c>
      <c r="K8607" t="s">
        <v>42281</v>
      </c>
      <c r="M8607" t="s">
        <v>45266</v>
      </c>
      <c r="N8607" t="s">
        <v>46569</v>
      </c>
      <c r="O8607" t="s">
        <v>46570</v>
      </c>
      <c r="P8607">
        <v>0</v>
      </c>
      <c r="Q8607">
        <v>1</v>
      </c>
      <c r="R8607" t="s">
        <v>46576</v>
      </c>
      <c r="S8607" t="s">
        <v>46749</v>
      </c>
      <c r="T8607" t="s">
        <v>48410</v>
      </c>
      <c r="U8607" t="s">
        <v>55771</v>
      </c>
      <c r="W8607" t="s">
        <v>63560</v>
      </c>
      <c r="X8607" t="s">
        <v>46577</v>
      </c>
    </row>
    <row r="8608" spans="1:24">
      <c r="A8608">
        <f>HYPERLINK("https://www.philgeps.gov.ph/GEPSNONPILOT/Tender/SplashBidNoticeAbstractUI.aspx?menuIndex=3&amp;refID=7056789&amp;Result=3","7056789")</f>
        <v>0</v>
      </c>
      <c r="B8608" t="s">
        <v>2474</v>
      </c>
      <c r="C8608" t="s">
        <v>11698</v>
      </c>
      <c r="D8608" t="s">
        <v>18781</v>
      </c>
      <c r="E8608" t="s">
        <v>26200</v>
      </c>
      <c r="F8608" t="s">
        <v>32664</v>
      </c>
      <c r="G8608" t="s">
        <v>32672</v>
      </c>
      <c r="H8608" t="s">
        <v>32683</v>
      </c>
      <c r="I8608" t="s">
        <v>10627</v>
      </c>
      <c r="J8608" t="s">
        <v>38031</v>
      </c>
      <c r="K8608" t="s">
        <v>42298</v>
      </c>
      <c r="M8608" t="s">
        <v>45274</v>
      </c>
      <c r="N8608" t="s">
        <v>46569</v>
      </c>
      <c r="O8608" t="s">
        <v>46570</v>
      </c>
      <c r="Q8608">
        <v>0</v>
      </c>
      <c r="R8608" t="s">
        <v>46576</v>
      </c>
      <c r="S8608" t="s">
        <v>46790</v>
      </c>
      <c r="T8608" t="s">
        <v>48360</v>
      </c>
      <c r="U8608" t="s">
        <v>55610</v>
      </c>
      <c r="V8608" t="s">
        <v>62502</v>
      </c>
      <c r="W8608" t="s">
        <v>45274</v>
      </c>
      <c r="X8608" t="s">
        <v>46577</v>
      </c>
    </row>
    <row r="8609" spans="1:24">
      <c r="A8609">
        <f>HYPERLINK("https://www.philgeps.gov.ph/GEPSNONPILOT/Tender/SplashBidNoticeAbstractUI.aspx?menuIndex=3&amp;refID=7056793&amp;Result=3","7056793")</f>
        <v>0</v>
      </c>
      <c r="B8609" t="s">
        <v>2512</v>
      </c>
      <c r="C8609" t="s">
        <v>11699</v>
      </c>
      <c r="D8609" t="s">
        <v>18805</v>
      </c>
      <c r="E8609" t="s">
        <v>24785</v>
      </c>
      <c r="F8609" t="s">
        <v>32664</v>
      </c>
      <c r="G8609" t="s">
        <v>32672</v>
      </c>
      <c r="H8609" t="s">
        <v>12635</v>
      </c>
      <c r="I8609" t="s">
        <v>32701</v>
      </c>
      <c r="J8609" t="s">
        <v>34182</v>
      </c>
      <c r="K8609" t="s">
        <v>42297</v>
      </c>
      <c r="M8609" t="s">
        <v>45317</v>
      </c>
      <c r="N8609" t="s">
        <v>46569</v>
      </c>
      <c r="O8609" t="s">
        <v>46570</v>
      </c>
      <c r="P8609">
        <v>0</v>
      </c>
      <c r="Q8609">
        <v>0</v>
      </c>
      <c r="R8609" t="s">
        <v>46576</v>
      </c>
      <c r="S8609" t="s">
        <v>46749</v>
      </c>
      <c r="T8609" t="s">
        <v>48293</v>
      </c>
      <c r="U8609" t="s">
        <v>55772</v>
      </c>
      <c r="W8609" t="s">
        <v>45317</v>
      </c>
      <c r="X8609" t="s">
        <v>46577</v>
      </c>
    </row>
    <row r="8610" spans="1:24">
      <c r="A8610">
        <f>HYPERLINK("https://www.philgeps.gov.ph/GEPSNONPILOT/Tender/SplashBidNoticeAbstractUI.aspx?menuIndex=3&amp;refID=7056729&amp;Result=3","7056729")</f>
        <v>0</v>
      </c>
      <c r="B8610" t="s">
        <v>1049</v>
      </c>
      <c r="C8610" t="s">
        <v>11700</v>
      </c>
      <c r="E8610" t="s">
        <v>26394</v>
      </c>
      <c r="F8610" t="s">
        <v>32664</v>
      </c>
      <c r="G8610" t="s">
        <v>32671</v>
      </c>
      <c r="H8610" t="s">
        <v>12635</v>
      </c>
      <c r="I8610" t="s">
        <v>32696</v>
      </c>
      <c r="J8610" t="s">
        <v>38040</v>
      </c>
      <c r="K8610" t="s">
        <v>42281</v>
      </c>
      <c r="M8610" t="s">
        <v>45266</v>
      </c>
      <c r="N8610" t="s">
        <v>46569</v>
      </c>
      <c r="O8610" t="s">
        <v>46570</v>
      </c>
      <c r="P8610">
        <v>0</v>
      </c>
      <c r="Q8610">
        <v>0</v>
      </c>
      <c r="R8610" t="s">
        <v>46576</v>
      </c>
      <c r="S8610" t="s">
        <v>46749</v>
      </c>
      <c r="T8610" t="s">
        <v>48410</v>
      </c>
      <c r="U8610" t="s">
        <v>55773</v>
      </c>
      <c r="W8610" t="s">
        <v>63560</v>
      </c>
      <c r="X8610" t="s">
        <v>46577</v>
      </c>
    </row>
    <row r="8611" spans="1:24">
      <c r="A8611">
        <f>HYPERLINK("https://www.philgeps.gov.ph/GEPSNONPILOT/Tender/SplashBidNoticeAbstractUI.aspx?menuIndex=3&amp;refID=7056786&amp;Result=3","7056786")</f>
        <v>0</v>
      </c>
      <c r="B8611" t="s">
        <v>2519</v>
      </c>
      <c r="C8611" t="s">
        <v>11701</v>
      </c>
      <c r="D8611" t="s">
        <v>18784</v>
      </c>
      <c r="E8611" t="s">
        <v>19226</v>
      </c>
      <c r="F8611" t="s">
        <v>32664</v>
      </c>
      <c r="G8611" t="s">
        <v>32672</v>
      </c>
      <c r="H8611" t="s">
        <v>12635</v>
      </c>
      <c r="I8611" t="s">
        <v>32689</v>
      </c>
      <c r="J8611" t="s">
        <v>34006</v>
      </c>
      <c r="K8611" t="s">
        <v>42281</v>
      </c>
      <c r="M8611" t="s">
        <v>45326</v>
      </c>
      <c r="N8611" t="s">
        <v>46569</v>
      </c>
      <c r="O8611" t="s">
        <v>46570</v>
      </c>
      <c r="P8611">
        <v>0</v>
      </c>
      <c r="Q8611">
        <v>6</v>
      </c>
      <c r="R8611" t="s">
        <v>46576</v>
      </c>
      <c r="S8611" t="s">
        <v>46749</v>
      </c>
      <c r="T8611" t="s">
        <v>48221</v>
      </c>
      <c r="U8611" t="s">
        <v>55774</v>
      </c>
      <c r="V8611" t="s">
        <v>62503</v>
      </c>
      <c r="W8611" t="s">
        <v>45326</v>
      </c>
      <c r="X8611" t="s">
        <v>46577</v>
      </c>
    </row>
    <row r="8612" spans="1:24">
      <c r="A8612">
        <f>HYPERLINK("https://www.philgeps.gov.ph/GEPSNONPILOT/Tender/SplashBidNoticeAbstractUI.aspx?menuIndex=3&amp;refID=7056698&amp;Result=3","7056698")</f>
        <v>0</v>
      </c>
      <c r="B8612" t="s">
        <v>1459</v>
      </c>
      <c r="C8612" t="s">
        <v>11702</v>
      </c>
      <c r="D8612" t="s">
        <v>18784</v>
      </c>
      <c r="E8612" t="s">
        <v>26395</v>
      </c>
      <c r="F8612" t="s">
        <v>32664</v>
      </c>
      <c r="G8612" t="s">
        <v>32672</v>
      </c>
      <c r="H8612" t="s">
        <v>32683</v>
      </c>
      <c r="I8612" t="s">
        <v>10627</v>
      </c>
      <c r="J8612" t="s">
        <v>38041</v>
      </c>
      <c r="K8612" t="s">
        <v>42473</v>
      </c>
      <c r="M8612" t="s">
        <v>44120</v>
      </c>
      <c r="N8612" t="s">
        <v>46569</v>
      </c>
      <c r="O8612" t="s">
        <v>46570</v>
      </c>
      <c r="P8612">
        <v>0</v>
      </c>
      <c r="Q8612">
        <v>29</v>
      </c>
      <c r="R8612" t="s">
        <v>46576</v>
      </c>
      <c r="S8612" t="s">
        <v>46749</v>
      </c>
      <c r="T8612" t="s">
        <v>48418</v>
      </c>
      <c r="U8612" t="s">
        <v>55775</v>
      </c>
      <c r="V8612" t="s">
        <v>62491</v>
      </c>
      <c r="W8612" t="s">
        <v>44120</v>
      </c>
      <c r="X8612" t="s">
        <v>46577</v>
      </c>
    </row>
    <row r="8613" spans="1:24">
      <c r="A8613">
        <f>HYPERLINK("https://www.philgeps.gov.ph/GEPSNONPILOT/Tender/SplashBidNoticeAbstractUI.aspx?menuIndex=3&amp;refID=7056717&amp;Result=3","7056717")</f>
        <v>0</v>
      </c>
      <c r="B8613" t="s">
        <v>1397</v>
      </c>
      <c r="C8613" t="s">
        <v>11703</v>
      </c>
      <c r="D8613" t="s">
        <v>18803</v>
      </c>
      <c r="E8613" t="s">
        <v>26396</v>
      </c>
      <c r="F8613" t="s">
        <v>32664</v>
      </c>
      <c r="G8613" t="s">
        <v>32671</v>
      </c>
      <c r="H8613" t="s">
        <v>12635</v>
      </c>
      <c r="I8613" t="s">
        <v>7759</v>
      </c>
      <c r="J8613" t="s">
        <v>38042</v>
      </c>
      <c r="K8613" t="s">
        <v>42281</v>
      </c>
      <c r="M8613" t="s">
        <v>44054</v>
      </c>
      <c r="N8613" t="s">
        <v>46569</v>
      </c>
      <c r="O8613" t="s">
        <v>46570</v>
      </c>
      <c r="P8613">
        <v>0</v>
      </c>
      <c r="Q8613">
        <v>0</v>
      </c>
      <c r="R8613" t="s">
        <v>46576</v>
      </c>
      <c r="S8613" t="s">
        <v>46749</v>
      </c>
      <c r="T8613" t="s">
        <v>48492</v>
      </c>
      <c r="U8613" t="s">
        <v>51803</v>
      </c>
      <c r="W8613" t="s">
        <v>44054</v>
      </c>
      <c r="X8613" t="s">
        <v>46577</v>
      </c>
    </row>
    <row r="8614" spans="1:24">
      <c r="A8614">
        <f>HYPERLINK("https://www.philgeps.gov.ph/GEPSNONPILOT/Tender/SplashBidNoticeAbstractUI.aspx?menuIndex=3&amp;refID=7056726&amp;Result=3","7056726")</f>
        <v>0</v>
      </c>
      <c r="B8614" t="s">
        <v>1292</v>
      </c>
      <c r="C8614" t="s">
        <v>11704</v>
      </c>
      <c r="D8614" t="s">
        <v>18807</v>
      </c>
      <c r="E8614" t="s">
        <v>26397</v>
      </c>
      <c r="F8614" t="s">
        <v>32665</v>
      </c>
      <c r="G8614" t="s">
        <v>32671</v>
      </c>
      <c r="H8614" t="s">
        <v>12635</v>
      </c>
      <c r="I8614" t="s">
        <v>14442</v>
      </c>
      <c r="J8614" t="s">
        <v>38043</v>
      </c>
      <c r="K8614" t="s">
        <v>42281</v>
      </c>
      <c r="M8614" t="s">
        <v>43936</v>
      </c>
      <c r="N8614" t="s">
        <v>46569</v>
      </c>
      <c r="O8614" t="s">
        <v>46570</v>
      </c>
      <c r="P8614">
        <v>0</v>
      </c>
      <c r="Q8614">
        <v>10</v>
      </c>
      <c r="R8614" t="s">
        <v>46576</v>
      </c>
      <c r="S8614" t="s">
        <v>46749</v>
      </c>
      <c r="T8614" t="s">
        <v>48230</v>
      </c>
      <c r="U8614" t="s">
        <v>51530</v>
      </c>
      <c r="V8614" t="s">
        <v>61958</v>
      </c>
      <c r="W8614" t="s">
        <v>63509</v>
      </c>
      <c r="X8614" t="s">
        <v>46577</v>
      </c>
    </row>
    <row r="8615" spans="1:24">
      <c r="A8615">
        <f>HYPERLINK("https://www.philgeps.gov.ph/GEPSNONPILOT/Tender/SplashBidNoticeAbstractUI.aspx?menuIndex=3&amp;refID=7056750&amp;Result=3","7056750")</f>
        <v>0</v>
      </c>
      <c r="B8615" t="s">
        <v>2506</v>
      </c>
      <c r="C8615" t="s">
        <v>11705</v>
      </c>
      <c r="D8615" t="s">
        <v>18829</v>
      </c>
      <c r="E8615" t="s">
        <v>26398</v>
      </c>
      <c r="F8615" t="s">
        <v>32664</v>
      </c>
      <c r="G8615" t="s">
        <v>32672</v>
      </c>
      <c r="H8615" t="s">
        <v>32683</v>
      </c>
      <c r="I8615" t="s">
        <v>4333</v>
      </c>
      <c r="J8615" t="s">
        <v>33167</v>
      </c>
      <c r="K8615" t="s">
        <v>42305</v>
      </c>
      <c r="M8615" t="s">
        <v>45310</v>
      </c>
      <c r="N8615" t="s">
        <v>46569</v>
      </c>
      <c r="O8615" t="s">
        <v>46570</v>
      </c>
      <c r="P8615">
        <v>0</v>
      </c>
      <c r="Q8615">
        <v>1</v>
      </c>
      <c r="R8615" t="s">
        <v>46576</v>
      </c>
      <c r="S8615" t="s">
        <v>46749</v>
      </c>
      <c r="T8615" t="s">
        <v>48301</v>
      </c>
      <c r="U8615" t="s">
        <v>55776</v>
      </c>
      <c r="W8615" t="s">
        <v>45310</v>
      </c>
      <c r="X8615" t="s">
        <v>46577</v>
      </c>
    </row>
    <row r="8616" spans="1:24">
      <c r="A8616">
        <f>HYPERLINK("https://www.philgeps.gov.ph/GEPSNONPILOT/Tender/SplashBidNoticeAbstractUI.aspx?menuIndex=3&amp;refID=7056738&amp;Result=3","7056738")</f>
        <v>0</v>
      </c>
      <c r="B8616" t="s">
        <v>2511</v>
      </c>
      <c r="C8616" t="s">
        <v>5720</v>
      </c>
      <c r="D8616" t="s">
        <v>18831</v>
      </c>
      <c r="E8616" t="s">
        <v>26399</v>
      </c>
      <c r="F8616" t="s">
        <v>32664</v>
      </c>
      <c r="G8616" t="s">
        <v>32672</v>
      </c>
      <c r="H8616" t="s">
        <v>12635</v>
      </c>
      <c r="I8616" t="s">
        <v>4439</v>
      </c>
      <c r="J8616" t="s">
        <v>32898</v>
      </c>
      <c r="K8616" t="s">
        <v>42281</v>
      </c>
      <c r="M8616" t="s">
        <v>45316</v>
      </c>
      <c r="N8616" t="s">
        <v>46569</v>
      </c>
      <c r="O8616" t="s">
        <v>46570</v>
      </c>
      <c r="P8616">
        <v>0</v>
      </c>
      <c r="Q8616">
        <v>4</v>
      </c>
      <c r="R8616" t="s">
        <v>46576</v>
      </c>
      <c r="S8616" t="s">
        <v>46749</v>
      </c>
      <c r="T8616" t="s">
        <v>48302</v>
      </c>
      <c r="U8616" t="s">
        <v>55777</v>
      </c>
      <c r="W8616" t="s">
        <v>45316</v>
      </c>
      <c r="X8616" t="s">
        <v>46577</v>
      </c>
    </row>
    <row r="8617" spans="1:24">
      <c r="A8617">
        <f>HYPERLINK("https://www.philgeps.gov.ph/GEPSNONPILOT/Tender/SplashBidNoticeAbstractUI.aspx?menuIndex=3&amp;refID=7056722&amp;Result=3","7056722")</f>
        <v>0</v>
      </c>
      <c r="B8617" t="s">
        <v>2409</v>
      </c>
      <c r="C8617" t="s">
        <v>11706</v>
      </c>
      <c r="D8617" t="s">
        <v>18786</v>
      </c>
      <c r="E8617" t="s">
        <v>26400</v>
      </c>
      <c r="F8617" t="s">
        <v>32664</v>
      </c>
      <c r="G8617" t="s">
        <v>32672</v>
      </c>
      <c r="H8617" t="s">
        <v>12635</v>
      </c>
      <c r="I8617" t="s">
        <v>32721</v>
      </c>
      <c r="J8617" t="s">
        <v>38044</v>
      </c>
      <c r="K8617" t="s">
        <v>42297</v>
      </c>
      <c r="M8617" t="s">
        <v>45200</v>
      </c>
      <c r="N8617" t="s">
        <v>46569</v>
      </c>
      <c r="O8617" t="s">
        <v>46570</v>
      </c>
      <c r="P8617">
        <v>0</v>
      </c>
      <c r="Q8617">
        <v>0</v>
      </c>
      <c r="R8617" t="s">
        <v>46576</v>
      </c>
      <c r="S8617" t="s">
        <v>46749</v>
      </c>
      <c r="T8617" t="s">
        <v>48221</v>
      </c>
      <c r="U8617" t="s">
        <v>55721</v>
      </c>
      <c r="W8617" t="s">
        <v>45200</v>
      </c>
      <c r="X8617" t="s">
        <v>46577</v>
      </c>
    </row>
    <row r="8618" spans="1:24">
      <c r="A8618">
        <f>HYPERLINK("https://www.philgeps.gov.ph/GEPSNONPILOT/Tender/SplashBidNoticeAbstractUI.aspx?menuIndex=3&amp;refID=7056875&amp;Result=3","7056875")</f>
        <v>0</v>
      </c>
      <c r="B8618" t="s">
        <v>2357</v>
      </c>
      <c r="C8618" t="s">
        <v>11707</v>
      </c>
      <c r="D8618" t="s">
        <v>18783</v>
      </c>
      <c r="E8618" t="s">
        <v>26401</v>
      </c>
      <c r="F8618" t="s">
        <v>32664</v>
      </c>
      <c r="G8618" t="s">
        <v>32672</v>
      </c>
      <c r="H8618" t="s">
        <v>12635</v>
      </c>
      <c r="I8618" t="s">
        <v>4439</v>
      </c>
      <c r="J8618" t="s">
        <v>38045</v>
      </c>
      <c r="K8618" t="s">
        <v>42289</v>
      </c>
      <c r="M8618" t="s">
        <v>45141</v>
      </c>
      <c r="N8618" t="s">
        <v>46569</v>
      </c>
      <c r="O8618" t="s">
        <v>46570</v>
      </c>
      <c r="P8618">
        <v>0</v>
      </c>
      <c r="Q8618">
        <v>2</v>
      </c>
      <c r="R8618" t="s">
        <v>46576</v>
      </c>
      <c r="S8618" t="s">
        <v>46749</v>
      </c>
      <c r="T8618" t="s">
        <v>48314</v>
      </c>
      <c r="U8618" t="s">
        <v>55778</v>
      </c>
      <c r="W8618" t="s">
        <v>45141</v>
      </c>
      <c r="X8618" t="s">
        <v>46577</v>
      </c>
    </row>
    <row r="8619" spans="1:24">
      <c r="A8619">
        <f>HYPERLINK("https://www.philgeps.gov.ph/GEPSNONPILOT/Tender/SplashBidNoticeAbstractUI.aspx?menuIndex=3&amp;refID=7056944&amp;Result=3","7056944")</f>
        <v>0</v>
      </c>
      <c r="B8619" t="s">
        <v>1049</v>
      </c>
      <c r="C8619" t="s">
        <v>11708</v>
      </c>
      <c r="E8619" t="s">
        <v>26402</v>
      </c>
      <c r="F8619" t="s">
        <v>32664</v>
      </c>
      <c r="G8619" t="s">
        <v>32671</v>
      </c>
      <c r="H8619" t="s">
        <v>12635</v>
      </c>
      <c r="I8619" t="s">
        <v>6553</v>
      </c>
      <c r="J8619" t="s">
        <v>34076</v>
      </c>
      <c r="K8619" t="s">
        <v>42281</v>
      </c>
      <c r="M8619" t="s">
        <v>45266</v>
      </c>
      <c r="N8619" t="s">
        <v>46569</v>
      </c>
      <c r="O8619" t="s">
        <v>46570</v>
      </c>
      <c r="P8619">
        <v>0</v>
      </c>
      <c r="Q8619">
        <v>1</v>
      </c>
      <c r="R8619" t="s">
        <v>46576</v>
      </c>
      <c r="S8619" t="s">
        <v>46749</v>
      </c>
      <c r="T8619" t="s">
        <v>48410</v>
      </c>
      <c r="U8619" t="s">
        <v>55779</v>
      </c>
      <c r="W8619" t="s">
        <v>63560</v>
      </c>
      <c r="X8619" t="s">
        <v>46577</v>
      </c>
    </row>
    <row r="8620" spans="1:24">
      <c r="A8620">
        <f>HYPERLINK("https://www.philgeps.gov.ph/GEPSNONPILOT/Tender/SplashBidNoticeAbstractUI.aspx?menuIndex=3&amp;refID=7056720&amp;Result=3","7056720")</f>
        <v>0</v>
      </c>
      <c r="B8620" t="s">
        <v>295</v>
      </c>
      <c r="C8620" t="s">
        <v>11709</v>
      </c>
      <c r="D8620" t="s">
        <v>18848</v>
      </c>
      <c r="E8620" t="s">
        <v>26403</v>
      </c>
      <c r="F8620" t="s">
        <v>32664</v>
      </c>
      <c r="G8620" t="s">
        <v>32672</v>
      </c>
      <c r="H8620" t="s">
        <v>12635</v>
      </c>
      <c r="I8620" t="s">
        <v>6168</v>
      </c>
      <c r="J8620" t="s">
        <v>38046</v>
      </c>
      <c r="K8620" t="s">
        <v>42297</v>
      </c>
      <c r="M8620" t="s">
        <v>42862</v>
      </c>
      <c r="N8620" t="s">
        <v>46569</v>
      </c>
      <c r="O8620" t="s">
        <v>46570</v>
      </c>
      <c r="P8620">
        <v>0</v>
      </c>
      <c r="Q8620">
        <v>0</v>
      </c>
      <c r="R8620" t="s">
        <v>46576</v>
      </c>
      <c r="S8620" t="s">
        <v>46749</v>
      </c>
      <c r="T8620" t="s">
        <v>48298</v>
      </c>
      <c r="U8620" t="s">
        <v>55780</v>
      </c>
      <c r="W8620" t="s">
        <v>42862</v>
      </c>
      <c r="X8620" t="s">
        <v>46577</v>
      </c>
    </row>
    <row r="8621" spans="1:24">
      <c r="A8621">
        <f>HYPERLINK("https://www.philgeps.gov.ph/GEPSNONPILOT/Tender/SplashBidNoticeAbstractUI.aspx?menuIndex=3&amp;refID=7056813&amp;Result=3","7056813")</f>
        <v>0</v>
      </c>
      <c r="B8621" t="s">
        <v>2520</v>
      </c>
      <c r="C8621" t="s">
        <v>11710</v>
      </c>
      <c r="D8621" t="s">
        <v>18790</v>
      </c>
      <c r="E8621" t="s">
        <v>26404</v>
      </c>
      <c r="F8621" t="s">
        <v>32664</v>
      </c>
      <c r="G8621" t="s">
        <v>32672</v>
      </c>
      <c r="H8621" t="s">
        <v>12635</v>
      </c>
      <c r="I8621" t="s">
        <v>32706</v>
      </c>
      <c r="J8621" t="s">
        <v>38047</v>
      </c>
      <c r="K8621" t="s">
        <v>42281</v>
      </c>
      <c r="M8621" t="s">
        <v>45327</v>
      </c>
      <c r="N8621" t="s">
        <v>46569</v>
      </c>
      <c r="O8621" t="s">
        <v>46570</v>
      </c>
      <c r="P8621">
        <v>0</v>
      </c>
      <c r="Q8621">
        <v>0</v>
      </c>
      <c r="R8621" t="s">
        <v>46576</v>
      </c>
      <c r="S8621" t="s">
        <v>46749</v>
      </c>
      <c r="T8621" t="s">
        <v>48468</v>
      </c>
      <c r="U8621" t="s">
        <v>55781</v>
      </c>
      <c r="V8621" t="s">
        <v>62504</v>
      </c>
      <c r="W8621" t="s">
        <v>45327</v>
      </c>
      <c r="X8621" t="s">
        <v>46577</v>
      </c>
    </row>
    <row r="8622" spans="1:24">
      <c r="A8622">
        <f>HYPERLINK("https://www.philgeps.gov.ph/GEPSNONPILOT/Tender/SplashBidNoticeAbstractUI.aspx?menuIndex=3&amp;refID=7056872&amp;Result=3","7056872")</f>
        <v>0</v>
      </c>
      <c r="B8622" t="s">
        <v>2427</v>
      </c>
      <c r="C8622" t="s">
        <v>11711</v>
      </c>
      <c r="D8622" t="s">
        <v>18784</v>
      </c>
      <c r="E8622" t="s">
        <v>26405</v>
      </c>
      <c r="F8622" t="s">
        <v>32664</v>
      </c>
      <c r="G8622" t="s">
        <v>32672</v>
      </c>
      <c r="H8622" t="s">
        <v>32682</v>
      </c>
      <c r="I8622" t="s">
        <v>32701</v>
      </c>
      <c r="J8622" t="s">
        <v>38048</v>
      </c>
      <c r="K8622" t="s">
        <v>42289</v>
      </c>
      <c r="M8622" t="s">
        <v>45219</v>
      </c>
      <c r="N8622" t="s">
        <v>46569</v>
      </c>
      <c r="O8622" t="s">
        <v>46570</v>
      </c>
      <c r="P8622">
        <v>0</v>
      </c>
      <c r="Q8622">
        <v>1</v>
      </c>
      <c r="R8622" t="s">
        <v>46576</v>
      </c>
      <c r="S8622" t="s">
        <v>46749</v>
      </c>
      <c r="T8622" t="s">
        <v>48436</v>
      </c>
      <c r="U8622" t="s">
        <v>55782</v>
      </c>
      <c r="W8622" t="s">
        <v>45219</v>
      </c>
      <c r="X8622" t="s">
        <v>46577</v>
      </c>
    </row>
    <row r="8623" spans="1:24">
      <c r="A8623">
        <f>HYPERLINK("https://www.philgeps.gov.ph/GEPSNONPILOT/Tender/SplashBidNoticeAbstractUI.aspx?menuIndex=3&amp;refID=7056886&amp;Result=3","7056886")</f>
        <v>0</v>
      </c>
      <c r="B8623" t="s">
        <v>2427</v>
      </c>
      <c r="C8623" t="s">
        <v>11712</v>
      </c>
      <c r="D8623" t="s">
        <v>18784</v>
      </c>
      <c r="E8623" t="s">
        <v>26406</v>
      </c>
      <c r="F8623" t="s">
        <v>32664</v>
      </c>
      <c r="G8623" t="s">
        <v>32672</v>
      </c>
      <c r="H8623" t="s">
        <v>32682</v>
      </c>
      <c r="I8623" t="s">
        <v>9597</v>
      </c>
      <c r="J8623" t="s">
        <v>33464</v>
      </c>
      <c r="K8623" t="s">
        <v>42289</v>
      </c>
      <c r="M8623" t="s">
        <v>45219</v>
      </c>
      <c r="N8623" t="s">
        <v>46569</v>
      </c>
      <c r="O8623" t="s">
        <v>46570</v>
      </c>
      <c r="P8623">
        <v>0</v>
      </c>
      <c r="Q8623">
        <v>5</v>
      </c>
      <c r="R8623" t="s">
        <v>46576</v>
      </c>
      <c r="S8623" t="s">
        <v>46749</v>
      </c>
      <c r="T8623" t="s">
        <v>48436</v>
      </c>
      <c r="U8623" t="s">
        <v>55783</v>
      </c>
      <c r="W8623" t="s">
        <v>45219</v>
      </c>
      <c r="X8623" t="s">
        <v>46577</v>
      </c>
    </row>
    <row r="8624" spans="1:24">
      <c r="A8624">
        <f>HYPERLINK("https://www.philgeps.gov.ph/GEPSNONPILOT/Tender/SplashBidNoticeAbstractUI.aspx?menuIndex=3&amp;refID=7056877&amp;Result=3","7056877")</f>
        <v>0</v>
      </c>
      <c r="B8624" t="s">
        <v>295</v>
      </c>
      <c r="C8624" t="s">
        <v>11713</v>
      </c>
      <c r="D8624" t="s">
        <v>18848</v>
      </c>
      <c r="E8624" t="s">
        <v>26407</v>
      </c>
      <c r="F8624" t="s">
        <v>32664</v>
      </c>
      <c r="G8624" t="s">
        <v>32672</v>
      </c>
      <c r="H8624" t="s">
        <v>12635</v>
      </c>
      <c r="I8624" t="s">
        <v>6168</v>
      </c>
      <c r="J8624" t="s">
        <v>38049</v>
      </c>
      <c r="K8624" t="s">
        <v>42297</v>
      </c>
      <c r="M8624" t="s">
        <v>42862</v>
      </c>
      <c r="N8624" t="s">
        <v>46569</v>
      </c>
      <c r="O8624" t="s">
        <v>46570</v>
      </c>
      <c r="P8624">
        <v>0</v>
      </c>
      <c r="Q8624">
        <v>0</v>
      </c>
      <c r="R8624" t="s">
        <v>46576</v>
      </c>
      <c r="S8624" t="s">
        <v>46749</v>
      </c>
      <c r="T8624" t="s">
        <v>48298</v>
      </c>
      <c r="U8624" t="s">
        <v>55784</v>
      </c>
      <c r="W8624" t="s">
        <v>42862</v>
      </c>
      <c r="X8624" t="s">
        <v>46577</v>
      </c>
    </row>
    <row r="8625" spans="1:24">
      <c r="A8625">
        <f>HYPERLINK("https://www.philgeps.gov.ph/GEPSNONPILOT/Tender/SplashBidNoticeAbstractUI.aspx?menuIndex=3&amp;refID=7056945&amp;Result=3","7056945")</f>
        <v>0</v>
      </c>
      <c r="B8625" t="s">
        <v>396</v>
      </c>
      <c r="C8625" t="s">
        <v>11714</v>
      </c>
      <c r="D8625" t="s">
        <v>18790</v>
      </c>
      <c r="E8625" t="s">
        <v>26408</v>
      </c>
      <c r="F8625" t="s">
        <v>32664</v>
      </c>
      <c r="G8625" t="s">
        <v>32672</v>
      </c>
      <c r="H8625" t="s">
        <v>12635</v>
      </c>
      <c r="I8625" t="s">
        <v>4439</v>
      </c>
      <c r="J8625" t="s">
        <v>38050</v>
      </c>
      <c r="K8625" t="s">
        <v>42297</v>
      </c>
      <c r="M8625" t="s">
        <v>42966</v>
      </c>
      <c r="N8625" t="s">
        <v>46569</v>
      </c>
      <c r="O8625" t="s">
        <v>46570</v>
      </c>
      <c r="P8625">
        <v>0</v>
      </c>
      <c r="Q8625">
        <v>0</v>
      </c>
      <c r="R8625" t="s">
        <v>46576</v>
      </c>
      <c r="S8625" t="s">
        <v>46749</v>
      </c>
      <c r="T8625" t="s">
        <v>48283</v>
      </c>
      <c r="U8625" t="s">
        <v>55785</v>
      </c>
      <c r="W8625" t="s">
        <v>42966</v>
      </c>
      <c r="X8625" t="s">
        <v>46577</v>
      </c>
    </row>
    <row r="8626" spans="1:24">
      <c r="A8626">
        <f>HYPERLINK("https://www.philgeps.gov.ph/GEPSNONPILOT/Tender/SplashBidNoticeAbstractUI.aspx?menuIndex=3&amp;refID=7056937&amp;Result=3","7056937")</f>
        <v>0</v>
      </c>
      <c r="B8626" t="s">
        <v>2521</v>
      </c>
      <c r="C8626" t="s">
        <v>11715</v>
      </c>
      <c r="D8626" t="s">
        <v>18871</v>
      </c>
      <c r="E8626" t="s">
        <v>26409</v>
      </c>
      <c r="F8626" t="s">
        <v>32664</v>
      </c>
      <c r="G8626" t="s">
        <v>32672</v>
      </c>
      <c r="H8626" t="s">
        <v>12635</v>
      </c>
      <c r="I8626" t="s">
        <v>32701</v>
      </c>
      <c r="J8626" t="s">
        <v>38051</v>
      </c>
      <c r="K8626" t="s">
        <v>42348</v>
      </c>
      <c r="M8626" t="s">
        <v>45328</v>
      </c>
      <c r="N8626" t="s">
        <v>46569</v>
      </c>
      <c r="O8626" t="s">
        <v>46570</v>
      </c>
      <c r="P8626">
        <v>0</v>
      </c>
      <c r="Q8626">
        <v>0</v>
      </c>
      <c r="R8626" t="s">
        <v>46576</v>
      </c>
      <c r="S8626" t="s">
        <v>46749</v>
      </c>
      <c r="T8626" t="s">
        <v>48392</v>
      </c>
      <c r="U8626" t="s">
        <v>55786</v>
      </c>
      <c r="W8626" t="s">
        <v>45328</v>
      </c>
      <c r="X8626" t="s">
        <v>46577</v>
      </c>
    </row>
    <row r="8627" spans="1:24">
      <c r="A8627">
        <f>HYPERLINK("https://www.philgeps.gov.ph/GEPSNONPILOT/Tender/SplashBidNoticeAbstractUI.aspx?menuIndex=3&amp;refID=7056922&amp;Result=3","7056922")</f>
        <v>0</v>
      </c>
      <c r="B8627" t="s">
        <v>1049</v>
      </c>
      <c r="C8627" t="s">
        <v>11716</v>
      </c>
      <c r="E8627" t="s">
        <v>26410</v>
      </c>
      <c r="F8627" t="s">
        <v>32664</v>
      </c>
      <c r="G8627" t="s">
        <v>32671</v>
      </c>
      <c r="H8627" t="s">
        <v>12635</v>
      </c>
      <c r="I8627" t="s">
        <v>32727</v>
      </c>
      <c r="J8627" t="s">
        <v>38052</v>
      </c>
      <c r="K8627" t="s">
        <v>42281</v>
      </c>
      <c r="M8627" t="s">
        <v>45266</v>
      </c>
      <c r="N8627" t="s">
        <v>46569</v>
      </c>
      <c r="O8627" t="s">
        <v>46570</v>
      </c>
      <c r="P8627">
        <v>0</v>
      </c>
      <c r="Q8627">
        <v>5</v>
      </c>
      <c r="R8627" t="s">
        <v>46576</v>
      </c>
      <c r="S8627" t="s">
        <v>46749</v>
      </c>
      <c r="T8627" t="s">
        <v>48410</v>
      </c>
      <c r="U8627" t="s">
        <v>55787</v>
      </c>
      <c r="W8627" t="s">
        <v>63560</v>
      </c>
      <c r="X8627" t="s">
        <v>46577</v>
      </c>
    </row>
    <row r="8628" spans="1:24">
      <c r="A8628">
        <f>HYPERLINK("https://www.philgeps.gov.ph/GEPSNONPILOT/Tender/SplashBidNoticeAbstractUI.aspx?menuIndex=3&amp;refID=7056913&amp;Result=3","7056913")</f>
        <v>0</v>
      </c>
      <c r="B8628" t="s">
        <v>2474</v>
      </c>
      <c r="C8628" t="s">
        <v>11717</v>
      </c>
      <c r="D8628" t="s">
        <v>18781</v>
      </c>
      <c r="E8628" t="s">
        <v>26200</v>
      </c>
      <c r="F8628" t="s">
        <v>32664</v>
      </c>
      <c r="G8628" t="s">
        <v>32672</v>
      </c>
      <c r="H8628" t="s">
        <v>32683</v>
      </c>
      <c r="I8628" t="s">
        <v>10627</v>
      </c>
      <c r="J8628" t="s">
        <v>32981</v>
      </c>
      <c r="K8628" t="s">
        <v>42298</v>
      </c>
      <c r="M8628" t="s">
        <v>45274</v>
      </c>
      <c r="N8628" t="s">
        <v>46569</v>
      </c>
      <c r="O8628" t="s">
        <v>46570</v>
      </c>
      <c r="Q8628">
        <v>0</v>
      </c>
      <c r="R8628" t="s">
        <v>46576</v>
      </c>
      <c r="S8628" t="s">
        <v>46791</v>
      </c>
      <c r="T8628" t="s">
        <v>48360</v>
      </c>
      <c r="U8628" t="s">
        <v>55610</v>
      </c>
      <c r="V8628" t="s">
        <v>62505</v>
      </c>
      <c r="W8628" t="s">
        <v>45274</v>
      </c>
      <c r="X8628" t="s">
        <v>46577</v>
      </c>
    </row>
    <row r="8629" spans="1:24">
      <c r="A8629">
        <f>HYPERLINK("https://www.philgeps.gov.ph/GEPSNONPILOT/Tender/SplashBidNoticeAbstractUI.aspx?menuIndex=3&amp;refID=7056715&amp;Result=3","7056715")</f>
        <v>0</v>
      </c>
      <c r="B8629" t="s">
        <v>1459</v>
      </c>
      <c r="C8629" t="s">
        <v>11718</v>
      </c>
      <c r="D8629" t="s">
        <v>18784</v>
      </c>
      <c r="E8629" t="s">
        <v>26411</v>
      </c>
      <c r="F8629" t="s">
        <v>32664</v>
      </c>
      <c r="G8629" t="s">
        <v>32672</v>
      </c>
      <c r="H8629" t="s">
        <v>32683</v>
      </c>
      <c r="I8629" t="s">
        <v>10627</v>
      </c>
      <c r="J8629" t="s">
        <v>38053</v>
      </c>
      <c r="K8629" t="s">
        <v>42473</v>
      </c>
      <c r="M8629" t="s">
        <v>44120</v>
      </c>
      <c r="N8629" t="s">
        <v>46569</v>
      </c>
      <c r="O8629" t="s">
        <v>46570</v>
      </c>
      <c r="P8629">
        <v>0</v>
      </c>
      <c r="Q8629">
        <v>27</v>
      </c>
      <c r="R8629" t="s">
        <v>46576</v>
      </c>
      <c r="S8629" t="s">
        <v>46749</v>
      </c>
      <c r="T8629" t="s">
        <v>48418</v>
      </c>
      <c r="U8629" t="s">
        <v>55788</v>
      </c>
      <c r="V8629" t="s">
        <v>62491</v>
      </c>
      <c r="W8629" t="s">
        <v>44120</v>
      </c>
      <c r="X8629" t="s">
        <v>46577</v>
      </c>
    </row>
    <row r="8630" spans="1:24">
      <c r="A8630">
        <f>HYPERLINK("https://www.philgeps.gov.ph/GEPSNONPILOT/Tender/SplashBidNoticeAbstractUI.aspx?menuIndex=3&amp;refID=7056911&amp;Result=3","7056911")</f>
        <v>0</v>
      </c>
      <c r="B8630" t="s">
        <v>2512</v>
      </c>
      <c r="C8630" t="s">
        <v>11719</v>
      </c>
      <c r="D8630" t="s">
        <v>18805</v>
      </c>
      <c r="E8630" t="s">
        <v>22276</v>
      </c>
      <c r="F8630" t="s">
        <v>32664</v>
      </c>
      <c r="G8630" t="s">
        <v>32672</v>
      </c>
      <c r="H8630" t="s">
        <v>32682</v>
      </c>
      <c r="I8630" t="s">
        <v>32701</v>
      </c>
      <c r="J8630" t="s">
        <v>36179</v>
      </c>
      <c r="K8630" t="s">
        <v>42297</v>
      </c>
      <c r="M8630" t="s">
        <v>45317</v>
      </c>
      <c r="N8630" t="s">
        <v>46569</v>
      </c>
      <c r="O8630" t="s">
        <v>46570</v>
      </c>
      <c r="P8630">
        <v>0</v>
      </c>
      <c r="Q8630">
        <v>0</v>
      </c>
      <c r="R8630" t="s">
        <v>46576</v>
      </c>
      <c r="S8630" t="s">
        <v>46749</v>
      </c>
      <c r="T8630" t="s">
        <v>48293</v>
      </c>
      <c r="U8630" t="s">
        <v>55789</v>
      </c>
      <c r="W8630" t="s">
        <v>45317</v>
      </c>
      <c r="X8630" t="s">
        <v>46577</v>
      </c>
    </row>
    <row r="8631" spans="1:24">
      <c r="A8631">
        <f>HYPERLINK("https://www.philgeps.gov.ph/GEPSNONPILOT/Tender/SplashBidNoticeAbstractUI.aspx?menuIndex=3&amp;refID=7056909&amp;Result=3","7056909")</f>
        <v>0</v>
      </c>
      <c r="B8631" t="s">
        <v>154</v>
      </c>
      <c r="C8631" t="s">
        <v>11720</v>
      </c>
      <c r="E8631" t="s">
        <v>26412</v>
      </c>
      <c r="F8631" t="s">
        <v>32664</v>
      </c>
      <c r="G8631" t="s">
        <v>32678</v>
      </c>
      <c r="H8631" t="s">
        <v>32681</v>
      </c>
      <c r="I8631" t="s">
        <v>32681</v>
      </c>
      <c r="J8631" t="s">
        <v>38054</v>
      </c>
      <c r="K8631" t="s">
        <v>42283</v>
      </c>
      <c r="M8631" t="s">
        <v>42718</v>
      </c>
      <c r="N8631" t="s">
        <v>46569</v>
      </c>
      <c r="O8631" t="s">
        <v>46570</v>
      </c>
      <c r="P8631">
        <v>0</v>
      </c>
      <c r="Q8631">
        <v>4</v>
      </c>
      <c r="R8631" t="s">
        <v>46576</v>
      </c>
      <c r="S8631" t="s">
        <v>46749</v>
      </c>
      <c r="T8631" t="s">
        <v>48217</v>
      </c>
      <c r="U8631" t="s">
        <v>55790</v>
      </c>
      <c r="V8631" t="s">
        <v>62506</v>
      </c>
      <c r="W8631" t="s">
        <v>42718</v>
      </c>
      <c r="X8631" t="s">
        <v>46577</v>
      </c>
    </row>
    <row r="8632" spans="1:24">
      <c r="A8632">
        <f>HYPERLINK("https://www.philgeps.gov.ph/GEPSNONPILOT/Tender/SplashBidNoticeAbstractUI.aspx?menuIndex=3&amp;refID=7056898&amp;Result=3","7056898")</f>
        <v>0</v>
      </c>
      <c r="B8632" t="s">
        <v>396</v>
      </c>
      <c r="C8632" t="s">
        <v>11721</v>
      </c>
      <c r="D8632" t="s">
        <v>18790</v>
      </c>
      <c r="E8632" t="s">
        <v>26413</v>
      </c>
      <c r="F8632" t="s">
        <v>32664</v>
      </c>
      <c r="G8632" t="s">
        <v>32672</v>
      </c>
      <c r="H8632" t="s">
        <v>12635</v>
      </c>
      <c r="I8632" t="s">
        <v>32716</v>
      </c>
      <c r="J8632" t="s">
        <v>38055</v>
      </c>
      <c r="K8632" t="s">
        <v>42297</v>
      </c>
      <c r="M8632" t="s">
        <v>42966</v>
      </c>
      <c r="N8632" t="s">
        <v>46569</v>
      </c>
      <c r="O8632" t="s">
        <v>46570</v>
      </c>
      <c r="P8632">
        <v>0</v>
      </c>
      <c r="Q8632">
        <v>1</v>
      </c>
      <c r="R8632" t="s">
        <v>46576</v>
      </c>
      <c r="S8632" t="s">
        <v>46749</v>
      </c>
      <c r="T8632" t="s">
        <v>48283</v>
      </c>
      <c r="U8632" t="s">
        <v>55791</v>
      </c>
      <c r="W8632" t="s">
        <v>42966</v>
      </c>
      <c r="X8632" t="s">
        <v>46577</v>
      </c>
    </row>
    <row r="8633" spans="1:24">
      <c r="A8633">
        <f>HYPERLINK("https://www.philgeps.gov.ph/GEPSNONPILOT/Tender/SplashBidNoticeAbstractUI.aspx?menuIndex=3&amp;refID=7056895&amp;Result=3","7056895")</f>
        <v>0</v>
      </c>
      <c r="B8633" t="s">
        <v>2519</v>
      </c>
      <c r="C8633" t="s">
        <v>11722</v>
      </c>
      <c r="D8633" t="s">
        <v>18784</v>
      </c>
      <c r="E8633" t="s">
        <v>19312</v>
      </c>
      <c r="F8633" t="s">
        <v>32664</v>
      </c>
      <c r="G8633" t="s">
        <v>32672</v>
      </c>
      <c r="H8633" t="s">
        <v>12635</v>
      </c>
      <c r="I8633" t="s">
        <v>6118</v>
      </c>
      <c r="J8633" t="s">
        <v>33995</v>
      </c>
      <c r="K8633" t="s">
        <v>42281</v>
      </c>
      <c r="M8633" t="s">
        <v>45326</v>
      </c>
      <c r="N8633" t="s">
        <v>46569</v>
      </c>
      <c r="O8633" t="s">
        <v>46570</v>
      </c>
      <c r="P8633">
        <v>0</v>
      </c>
      <c r="Q8633">
        <v>0</v>
      </c>
      <c r="R8633" t="s">
        <v>46576</v>
      </c>
      <c r="S8633" t="s">
        <v>46749</v>
      </c>
      <c r="T8633" t="s">
        <v>48221</v>
      </c>
      <c r="U8633" t="s">
        <v>55792</v>
      </c>
      <c r="V8633" t="s">
        <v>62503</v>
      </c>
      <c r="W8633" t="s">
        <v>45326</v>
      </c>
      <c r="X8633" t="s">
        <v>46577</v>
      </c>
    </row>
    <row r="8634" spans="1:24">
      <c r="A8634">
        <f>HYPERLINK("https://www.philgeps.gov.ph/GEPSNONPILOT/Tender/SplashBidNoticeAbstractUI.aspx?menuIndex=3&amp;refID=7056891&amp;Result=3","7056891")</f>
        <v>0</v>
      </c>
      <c r="B8634" t="s">
        <v>2522</v>
      </c>
      <c r="C8634" t="s">
        <v>11723</v>
      </c>
      <c r="D8634" t="s">
        <v>18846</v>
      </c>
      <c r="E8634" t="s">
        <v>20024</v>
      </c>
      <c r="F8634" t="s">
        <v>32664</v>
      </c>
      <c r="G8634" t="s">
        <v>32672</v>
      </c>
      <c r="H8634" t="s">
        <v>12635</v>
      </c>
      <c r="I8634" t="s">
        <v>4439</v>
      </c>
      <c r="J8634" t="s">
        <v>38056</v>
      </c>
      <c r="K8634" t="s">
        <v>42330</v>
      </c>
      <c r="M8634" t="s">
        <v>45329</v>
      </c>
      <c r="N8634" t="s">
        <v>46569</v>
      </c>
      <c r="O8634" t="s">
        <v>46570</v>
      </c>
      <c r="P8634">
        <v>0</v>
      </c>
      <c r="Q8634">
        <v>1</v>
      </c>
      <c r="R8634" t="s">
        <v>46576</v>
      </c>
      <c r="S8634" t="s">
        <v>46749</v>
      </c>
      <c r="T8634" t="s">
        <v>48282</v>
      </c>
      <c r="U8634" t="s">
        <v>55793</v>
      </c>
      <c r="W8634" t="s">
        <v>45329</v>
      </c>
      <c r="X8634" t="s">
        <v>46577</v>
      </c>
    </row>
    <row r="8635" spans="1:24">
      <c r="A8635">
        <f>HYPERLINK("https://www.philgeps.gov.ph/GEPSNONPILOT/Tender/SplashBidNoticeAbstractUI.aspx?menuIndex=3&amp;refID=7056930&amp;Result=3","7056930")</f>
        <v>0</v>
      </c>
      <c r="B8635" t="s">
        <v>64</v>
      </c>
      <c r="C8635" t="s">
        <v>11724</v>
      </c>
      <c r="D8635" t="s">
        <v>18812</v>
      </c>
      <c r="E8635" t="s">
        <v>26414</v>
      </c>
      <c r="F8635" t="s">
        <v>32664</v>
      </c>
      <c r="G8635" t="s">
        <v>32674</v>
      </c>
      <c r="H8635" t="s">
        <v>12635</v>
      </c>
      <c r="I8635" t="s">
        <v>10370</v>
      </c>
      <c r="J8635" t="s">
        <v>38057</v>
      </c>
      <c r="K8635" t="s">
        <v>42306</v>
      </c>
      <c r="M8635" t="s">
        <v>42627</v>
      </c>
      <c r="N8635" t="s">
        <v>46569</v>
      </c>
      <c r="O8635" t="s">
        <v>46570</v>
      </c>
      <c r="Q8635">
        <v>2</v>
      </c>
      <c r="R8635" t="s">
        <v>46576</v>
      </c>
      <c r="S8635" t="s">
        <v>46792</v>
      </c>
      <c r="T8635" t="s">
        <v>48287</v>
      </c>
      <c r="U8635" t="s">
        <v>55794</v>
      </c>
      <c r="W8635" t="s">
        <v>42627</v>
      </c>
      <c r="X8635" t="s">
        <v>46577</v>
      </c>
    </row>
    <row r="8636" spans="1:24">
      <c r="A8636">
        <f>HYPERLINK("https://www.philgeps.gov.ph/GEPSNONPILOT/Tender/SplashBidNoticeAbstractUI.aspx?menuIndex=3&amp;refID=7056918&amp;Result=3","7056918")</f>
        <v>0</v>
      </c>
      <c r="B8636" t="s">
        <v>2427</v>
      </c>
      <c r="C8636" t="s">
        <v>11725</v>
      </c>
      <c r="D8636" t="s">
        <v>18784</v>
      </c>
      <c r="E8636" t="s">
        <v>26415</v>
      </c>
      <c r="F8636" t="s">
        <v>32664</v>
      </c>
      <c r="G8636" t="s">
        <v>32672</v>
      </c>
      <c r="H8636" t="s">
        <v>32682</v>
      </c>
      <c r="I8636" t="s">
        <v>9597</v>
      </c>
      <c r="J8636" t="s">
        <v>38058</v>
      </c>
      <c r="K8636" t="s">
        <v>42281</v>
      </c>
      <c r="M8636" t="s">
        <v>45219</v>
      </c>
      <c r="N8636" t="s">
        <v>46569</v>
      </c>
      <c r="O8636" t="s">
        <v>46570</v>
      </c>
      <c r="P8636">
        <v>0</v>
      </c>
      <c r="Q8636">
        <v>4</v>
      </c>
      <c r="R8636" t="s">
        <v>46576</v>
      </c>
      <c r="S8636" t="s">
        <v>46749</v>
      </c>
      <c r="T8636" t="s">
        <v>48436</v>
      </c>
      <c r="U8636" t="s">
        <v>55795</v>
      </c>
      <c r="W8636" t="s">
        <v>45219</v>
      </c>
      <c r="X8636" t="s">
        <v>46577</v>
      </c>
    </row>
    <row r="8637" spans="1:24">
      <c r="A8637">
        <f>HYPERLINK("https://www.philgeps.gov.ph/GEPSNONPILOT/Tender/SplashBidNoticeAbstractUI.aspx?menuIndex=3&amp;refID=7056924&amp;Result=3","7056924")</f>
        <v>0</v>
      </c>
      <c r="B8637" t="s">
        <v>2474</v>
      </c>
      <c r="C8637" t="s">
        <v>11726</v>
      </c>
      <c r="D8637" t="s">
        <v>18781</v>
      </c>
      <c r="E8637" t="s">
        <v>26200</v>
      </c>
      <c r="F8637" t="s">
        <v>32664</v>
      </c>
      <c r="G8637" t="s">
        <v>32672</v>
      </c>
      <c r="H8637" t="s">
        <v>32683</v>
      </c>
      <c r="I8637" t="s">
        <v>10627</v>
      </c>
      <c r="J8637" t="s">
        <v>38059</v>
      </c>
      <c r="K8637" t="s">
        <v>42298</v>
      </c>
      <c r="M8637" t="s">
        <v>45274</v>
      </c>
      <c r="N8637" t="s">
        <v>46569</v>
      </c>
      <c r="O8637" t="s">
        <v>46570</v>
      </c>
      <c r="Q8637">
        <v>0</v>
      </c>
      <c r="R8637" t="s">
        <v>46576</v>
      </c>
      <c r="S8637" t="s">
        <v>46793</v>
      </c>
      <c r="T8637" t="s">
        <v>48360</v>
      </c>
      <c r="U8637" t="s">
        <v>55610</v>
      </c>
      <c r="V8637" t="s">
        <v>62507</v>
      </c>
      <c r="W8637" t="s">
        <v>45274</v>
      </c>
      <c r="X8637" t="s">
        <v>46577</v>
      </c>
    </row>
    <row r="8638" spans="1:24">
      <c r="A8638">
        <f>HYPERLINK("https://www.philgeps.gov.ph/GEPSNONPILOT/Tender/SplashBidNoticeAbstractUI.aspx?menuIndex=3&amp;refID=7056890&amp;Result=3","7056890")</f>
        <v>0</v>
      </c>
      <c r="B8638" t="s">
        <v>673</v>
      </c>
      <c r="C8638" t="s">
        <v>11727</v>
      </c>
      <c r="D8638" t="s">
        <v>18799</v>
      </c>
      <c r="E8638" t="s">
        <v>26416</v>
      </c>
      <c r="F8638" t="s">
        <v>32664</v>
      </c>
      <c r="G8638" t="s">
        <v>32671</v>
      </c>
      <c r="H8638" t="s">
        <v>12635</v>
      </c>
      <c r="I8638" t="s">
        <v>32694</v>
      </c>
      <c r="J8638" t="s">
        <v>38060</v>
      </c>
      <c r="K8638" t="s">
        <v>42283</v>
      </c>
      <c r="M8638" t="s">
        <v>43260</v>
      </c>
      <c r="N8638" t="s">
        <v>46569</v>
      </c>
      <c r="O8638" t="s">
        <v>46570</v>
      </c>
      <c r="P8638">
        <v>0</v>
      </c>
      <c r="Q8638">
        <v>0</v>
      </c>
      <c r="R8638" t="s">
        <v>46576</v>
      </c>
      <c r="S8638" t="s">
        <v>46749</v>
      </c>
      <c r="T8638" t="s">
        <v>48305</v>
      </c>
      <c r="U8638" t="s">
        <v>53659</v>
      </c>
      <c r="W8638" t="s">
        <v>43260</v>
      </c>
      <c r="X8638" t="s">
        <v>46577</v>
      </c>
    </row>
    <row r="8639" spans="1:24">
      <c r="A8639">
        <f>HYPERLINK("https://www.philgeps.gov.ph/GEPSNONPILOT/Tender/SplashBidNoticeAbstractUI.aspx?menuIndex=3&amp;refID=7056887&amp;Result=3","7056887")</f>
        <v>0</v>
      </c>
      <c r="B8639" t="s">
        <v>2474</v>
      </c>
      <c r="C8639" t="s">
        <v>11728</v>
      </c>
      <c r="D8639" t="s">
        <v>18781</v>
      </c>
      <c r="E8639" t="s">
        <v>26200</v>
      </c>
      <c r="F8639" t="s">
        <v>32664</v>
      </c>
      <c r="G8639" t="s">
        <v>32672</v>
      </c>
      <c r="H8639" t="s">
        <v>32683</v>
      </c>
      <c r="I8639" t="s">
        <v>10627</v>
      </c>
      <c r="J8639" t="s">
        <v>32930</v>
      </c>
      <c r="K8639" t="s">
        <v>42281</v>
      </c>
      <c r="M8639" t="s">
        <v>45274</v>
      </c>
      <c r="N8639" t="s">
        <v>46569</v>
      </c>
      <c r="O8639" t="s">
        <v>46570</v>
      </c>
      <c r="Q8639">
        <v>2</v>
      </c>
      <c r="R8639" t="s">
        <v>46576</v>
      </c>
      <c r="S8639" t="s">
        <v>46794</v>
      </c>
      <c r="T8639" t="s">
        <v>48360</v>
      </c>
      <c r="U8639" t="s">
        <v>55610</v>
      </c>
      <c r="V8639" t="s">
        <v>62508</v>
      </c>
      <c r="W8639" t="s">
        <v>45274</v>
      </c>
      <c r="X8639" t="s">
        <v>46577</v>
      </c>
    </row>
    <row r="8640" spans="1:24">
      <c r="A8640">
        <f>HYPERLINK("https://www.philgeps.gov.ph/GEPSNONPILOT/Tender/SplashBidNoticeAbstractUI.aspx?menuIndex=3&amp;refID=7056948&amp;Result=3","7056948")</f>
        <v>0</v>
      </c>
      <c r="B8640" t="s">
        <v>2474</v>
      </c>
      <c r="C8640" t="s">
        <v>11729</v>
      </c>
      <c r="D8640" t="s">
        <v>18781</v>
      </c>
      <c r="E8640" t="s">
        <v>26200</v>
      </c>
      <c r="F8640" t="s">
        <v>32664</v>
      </c>
      <c r="G8640" t="s">
        <v>32672</v>
      </c>
      <c r="H8640" t="s">
        <v>32683</v>
      </c>
      <c r="I8640" t="s">
        <v>10627</v>
      </c>
      <c r="J8640" t="s">
        <v>38061</v>
      </c>
      <c r="K8640" t="s">
        <v>42298</v>
      </c>
      <c r="M8640" t="s">
        <v>45274</v>
      </c>
      <c r="N8640" t="s">
        <v>46569</v>
      </c>
      <c r="O8640" t="s">
        <v>46570</v>
      </c>
      <c r="Q8640">
        <v>0</v>
      </c>
      <c r="R8640" t="s">
        <v>46576</v>
      </c>
      <c r="S8640" t="s">
        <v>46795</v>
      </c>
      <c r="T8640" t="s">
        <v>48360</v>
      </c>
      <c r="U8640" t="s">
        <v>55610</v>
      </c>
      <c r="V8640" t="s">
        <v>62509</v>
      </c>
      <c r="W8640" t="s">
        <v>45274</v>
      </c>
      <c r="X8640" t="s">
        <v>46577</v>
      </c>
    </row>
    <row r="8641" spans="1:24">
      <c r="A8641">
        <f>HYPERLINK("https://www.philgeps.gov.ph/GEPSNONPILOT/Tender/SplashBidNoticeAbstractUI.aspx?menuIndex=3&amp;refID=7056987&amp;Result=3","7056987")</f>
        <v>0</v>
      </c>
      <c r="B8641" t="s">
        <v>673</v>
      </c>
      <c r="C8641" t="s">
        <v>11730</v>
      </c>
      <c r="D8641" t="s">
        <v>18799</v>
      </c>
      <c r="E8641" t="s">
        <v>26417</v>
      </c>
      <c r="F8641" t="s">
        <v>32664</v>
      </c>
      <c r="G8641" t="s">
        <v>32671</v>
      </c>
      <c r="H8641" t="s">
        <v>12635</v>
      </c>
      <c r="I8641" t="s">
        <v>32694</v>
      </c>
      <c r="J8641" t="s">
        <v>33722</v>
      </c>
      <c r="K8641" t="s">
        <v>42283</v>
      </c>
      <c r="M8641" t="s">
        <v>43260</v>
      </c>
      <c r="N8641" t="s">
        <v>46569</v>
      </c>
      <c r="O8641" t="s">
        <v>46570</v>
      </c>
      <c r="P8641">
        <v>0</v>
      </c>
      <c r="Q8641">
        <v>0</v>
      </c>
      <c r="R8641" t="s">
        <v>46576</v>
      </c>
      <c r="S8641" t="s">
        <v>46749</v>
      </c>
      <c r="T8641" t="s">
        <v>48305</v>
      </c>
      <c r="U8641" t="s">
        <v>53659</v>
      </c>
      <c r="W8641" t="s">
        <v>43260</v>
      </c>
      <c r="X8641" t="s">
        <v>46577</v>
      </c>
    </row>
    <row r="8642" spans="1:24">
      <c r="A8642">
        <f>HYPERLINK("https://www.philgeps.gov.ph/GEPSNONPILOT/Tender/SplashBidNoticeAbstractUI.aspx?menuIndex=3&amp;refID=7056972&amp;Result=3","7056972")</f>
        <v>0</v>
      </c>
      <c r="B8642" t="s">
        <v>2523</v>
      </c>
      <c r="C8642" t="s">
        <v>11731</v>
      </c>
      <c r="D8642" t="s">
        <v>18789</v>
      </c>
      <c r="E8642" t="s">
        <v>26418</v>
      </c>
      <c r="F8642" t="s">
        <v>32664</v>
      </c>
      <c r="G8642" t="s">
        <v>32671</v>
      </c>
      <c r="H8642" t="s">
        <v>12635</v>
      </c>
      <c r="I8642" t="s">
        <v>32727</v>
      </c>
      <c r="J8642" t="s">
        <v>38062</v>
      </c>
      <c r="K8642" t="s">
        <v>42284</v>
      </c>
      <c r="M8642" t="s">
        <v>45330</v>
      </c>
      <c r="N8642" t="s">
        <v>46569</v>
      </c>
      <c r="O8642" t="s">
        <v>46570</v>
      </c>
      <c r="P8642">
        <v>0</v>
      </c>
      <c r="Q8642">
        <v>0</v>
      </c>
      <c r="R8642" t="s">
        <v>46576</v>
      </c>
      <c r="S8642" t="s">
        <v>46749</v>
      </c>
      <c r="T8642" t="s">
        <v>48283</v>
      </c>
      <c r="U8642" t="s">
        <v>55796</v>
      </c>
      <c r="W8642" t="s">
        <v>45330</v>
      </c>
      <c r="X8642" t="s">
        <v>46577</v>
      </c>
    </row>
    <row r="8643" spans="1:24">
      <c r="A8643">
        <f>HYPERLINK("https://www.philgeps.gov.ph/GEPSNONPILOT/Tender/SplashBidNoticeAbstractUI.aspx?menuIndex=3&amp;refID=7056936&amp;Result=3","7056936")</f>
        <v>0</v>
      </c>
      <c r="B8643" t="s">
        <v>673</v>
      </c>
      <c r="C8643" t="s">
        <v>11732</v>
      </c>
      <c r="D8643" t="s">
        <v>18799</v>
      </c>
      <c r="E8643" t="s">
        <v>26419</v>
      </c>
      <c r="F8643" t="s">
        <v>32664</v>
      </c>
      <c r="G8643" t="s">
        <v>32671</v>
      </c>
      <c r="H8643" t="s">
        <v>12635</v>
      </c>
      <c r="I8643" t="s">
        <v>32694</v>
      </c>
      <c r="J8643" t="s">
        <v>38063</v>
      </c>
      <c r="K8643" t="s">
        <v>42283</v>
      </c>
      <c r="M8643" t="s">
        <v>43260</v>
      </c>
      <c r="N8643" t="s">
        <v>46569</v>
      </c>
      <c r="O8643" t="s">
        <v>46570</v>
      </c>
      <c r="P8643">
        <v>0</v>
      </c>
      <c r="Q8643">
        <v>0</v>
      </c>
      <c r="R8643" t="s">
        <v>46576</v>
      </c>
      <c r="S8643" t="s">
        <v>46749</v>
      </c>
      <c r="T8643" t="s">
        <v>48334</v>
      </c>
      <c r="U8643" t="s">
        <v>53659</v>
      </c>
      <c r="W8643" t="s">
        <v>43260</v>
      </c>
      <c r="X8643" t="s">
        <v>46577</v>
      </c>
    </row>
    <row r="8644" spans="1:24">
      <c r="A8644">
        <f>HYPERLINK("https://www.philgeps.gov.ph/GEPSNONPILOT/Tender/SplashBidNoticeAbstractUI.aspx?menuIndex=3&amp;refID=7056971&amp;Result=3","7056971")</f>
        <v>0</v>
      </c>
      <c r="B8644" t="s">
        <v>495</v>
      </c>
      <c r="C8644" t="s">
        <v>11733</v>
      </c>
      <c r="D8644" t="s">
        <v>18791</v>
      </c>
      <c r="E8644" t="s">
        <v>26420</v>
      </c>
      <c r="F8644" t="s">
        <v>32664</v>
      </c>
      <c r="G8644" t="s">
        <v>32671</v>
      </c>
      <c r="H8644" t="s">
        <v>12635</v>
      </c>
      <c r="I8644" t="s">
        <v>10590</v>
      </c>
      <c r="J8644" t="s">
        <v>33102</v>
      </c>
      <c r="K8644" t="s">
        <v>42289</v>
      </c>
      <c r="M8644" t="s">
        <v>43071</v>
      </c>
      <c r="N8644" t="s">
        <v>46569</v>
      </c>
      <c r="O8644" t="s">
        <v>46570</v>
      </c>
      <c r="P8644">
        <v>0</v>
      </c>
      <c r="Q8644">
        <v>0</v>
      </c>
      <c r="R8644" t="s">
        <v>46576</v>
      </c>
      <c r="S8644" t="s">
        <v>46749</v>
      </c>
      <c r="T8644" t="s">
        <v>48376</v>
      </c>
      <c r="U8644" t="s">
        <v>55797</v>
      </c>
      <c r="W8644" t="s">
        <v>43071</v>
      </c>
      <c r="X8644" t="s">
        <v>46577</v>
      </c>
    </row>
    <row r="8645" spans="1:24">
      <c r="A8645">
        <f>HYPERLINK("https://www.philgeps.gov.ph/GEPSNONPILOT/Tender/SplashBidNoticeAbstractUI.aspx?menuIndex=3&amp;refID=7056968&amp;Result=3","7056968")</f>
        <v>0</v>
      </c>
      <c r="B8645" t="s">
        <v>673</v>
      </c>
      <c r="C8645" t="s">
        <v>11734</v>
      </c>
      <c r="D8645" t="s">
        <v>18799</v>
      </c>
      <c r="E8645" t="s">
        <v>26421</v>
      </c>
      <c r="F8645" t="s">
        <v>32664</v>
      </c>
      <c r="G8645" t="s">
        <v>32671</v>
      </c>
      <c r="H8645" t="s">
        <v>12635</v>
      </c>
      <c r="I8645" t="s">
        <v>32694</v>
      </c>
      <c r="J8645" t="s">
        <v>38064</v>
      </c>
      <c r="K8645" t="s">
        <v>42283</v>
      </c>
      <c r="M8645" t="s">
        <v>43260</v>
      </c>
      <c r="N8645" t="s">
        <v>46569</v>
      </c>
      <c r="O8645" t="s">
        <v>46570</v>
      </c>
      <c r="P8645">
        <v>0</v>
      </c>
      <c r="Q8645">
        <v>0</v>
      </c>
      <c r="R8645" t="s">
        <v>46576</v>
      </c>
      <c r="S8645" t="s">
        <v>46749</v>
      </c>
      <c r="T8645" t="s">
        <v>48334</v>
      </c>
      <c r="U8645" t="s">
        <v>53659</v>
      </c>
      <c r="W8645" t="s">
        <v>43260</v>
      </c>
      <c r="X8645" t="s">
        <v>46577</v>
      </c>
    </row>
    <row r="8646" spans="1:24">
      <c r="A8646">
        <f>HYPERLINK("https://www.philgeps.gov.ph/GEPSNONPILOT/Tender/SplashBidNoticeAbstractUI.aspx?menuIndex=3&amp;refID=7056951&amp;Result=3","7056951")</f>
        <v>0</v>
      </c>
      <c r="B8646" t="s">
        <v>258</v>
      </c>
      <c r="C8646" t="s">
        <v>11735</v>
      </c>
      <c r="D8646" t="s">
        <v>18782</v>
      </c>
      <c r="E8646" t="s">
        <v>26422</v>
      </c>
      <c r="F8646" t="s">
        <v>32664</v>
      </c>
      <c r="G8646" t="s">
        <v>32672</v>
      </c>
      <c r="H8646" t="s">
        <v>12635</v>
      </c>
      <c r="I8646" t="s">
        <v>4439</v>
      </c>
      <c r="J8646" t="s">
        <v>38065</v>
      </c>
      <c r="K8646" t="s">
        <v>42284</v>
      </c>
      <c r="M8646" t="s">
        <v>42823</v>
      </c>
      <c r="N8646" t="s">
        <v>46569</v>
      </c>
      <c r="O8646" t="s">
        <v>46570</v>
      </c>
      <c r="P8646">
        <v>0</v>
      </c>
      <c r="Q8646">
        <v>0</v>
      </c>
      <c r="R8646" t="s">
        <v>46576</v>
      </c>
      <c r="S8646" t="s">
        <v>46749</v>
      </c>
      <c r="T8646" t="s">
        <v>48372</v>
      </c>
      <c r="U8646" t="s">
        <v>55798</v>
      </c>
      <c r="V8646" t="s">
        <v>62192</v>
      </c>
      <c r="W8646" t="s">
        <v>42823</v>
      </c>
      <c r="X8646" t="s">
        <v>46577</v>
      </c>
    </row>
    <row r="8647" spans="1:24">
      <c r="A8647">
        <f>HYPERLINK("https://www.philgeps.gov.ph/GEPSNONPILOT/Tender/SplashBidNoticeAbstractUI.aspx?menuIndex=3&amp;refID=7056986&amp;Result=3","7056986")</f>
        <v>0</v>
      </c>
      <c r="B8647" t="s">
        <v>258</v>
      </c>
      <c r="C8647" t="s">
        <v>11736</v>
      </c>
      <c r="D8647" t="s">
        <v>18782</v>
      </c>
      <c r="E8647" t="s">
        <v>26423</v>
      </c>
      <c r="F8647" t="s">
        <v>32664</v>
      </c>
      <c r="G8647" t="s">
        <v>32672</v>
      </c>
      <c r="H8647" t="s">
        <v>12635</v>
      </c>
      <c r="I8647" t="s">
        <v>4439</v>
      </c>
      <c r="J8647" t="s">
        <v>38066</v>
      </c>
      <c r="K8647" t="s">
        <v>42284</v>
      </c>
      <c r="M8647" t="s">
        <v>42823</v>
      </c>
      <c r="N8647" t="s">
        <v>46569</v>
      </c>
      <c r="O8647" t="s">
        <v>46570</v>
      </c>
      <c r="P8647">
        <v>0</v>
      </c>
      <c r="Q8647">
        <v>0</v>
      </c>
      <c r="R8647" t="s">
        <v>46576</v>
      </c>
      <c r="S8647" t="s">
        <v>46749</v>
      </c>
      <c r="T8647" t="s">
        <v>48372</v>
      </c>
      <c r="U8647" t="s">
        <v>55799</v>
      </c>
      <c r="V8647" t="s">
        <v>62192</v>
      </c>
      <c r="W8647" t="s">
        <v>42823</v>
      </c>
      <c r="X8647" t="s">
        <v>46577</v>
      </c>
    </row>
    <row r="8648" spans="1:24">
      <c r="A8648">
        <f>HYPERLINK("https://www.philgeps.gov.ph/GEPSNONPILOT/Tender/SplashBidNoticeAbstractUI.aspx?menuIndex=3&amp;refID=7057018&amp;Result=3","7057018")</f>
        <v>0</v>
      </c>
      <c r="B8648" t="s">
        <v>2524</v>
      </c>
      <c r="C8648" t="s">
        <v>11737</v>
      </c>
      <c r="D8648" t="s">
        <v>18810</v>
      </c>
      <c r="E8648" t="s">
        <v>26424</v>
      </c>
      <c r="F8648" t="s">
        <v>32664</v>
      </c>
      <c r="G8648" t="s">
        <v>32672</v>
      </c>
      <c r="H8648" t="s">
        <v>12635</v>
      </c>
      <c r="I8648" t="s">
        <v>6168</v>
      </c>
      <c r="J8648" t="s">
        <v>38067</v>
      </c>
      <c r="K8648" t="s">
        <v>42289</v>
      </c>
      <c r="M8648" t="s">
        <v>45331</v>
      </c>
      <c r="N8648" t="s">
        <v>46569</v>
      </c>
      <c r="O8648" t="s">
        <v>46570</v>
      </c>
      <c r="P8648">
        <v>0</v>
      </c>
      <c r="Q8648">
        <v>0</v>
      </c>
      <c r="R8648" t="s">
        <v>46576</v>
      </c>
      <c r="S8648" t="s">
        <v>46749</v>
      </c>
      <c r="T8648" t="s">
        <v>48602</v>
      </c>
      <c r="U8648" t="s">
        <v>55800</v>
      </c>
      <c r="W8648" t="s">
        <v>45331</v>
      </c>
      <c r="X8648" t="s">
        <v>46577</v>
      </c>
    </row>
    <row r="8649" spans="1:24">
      <c r="A8649">
        <f>HYPERLINK("https://www.philgeps.gov.ph/GEPSNONPILOT/Tender/SplashBidNoticeAbstractUI.aspx?menuIndex=3&amp;refID=7057017&amp;Result=3","7057017")</f>
        <v>0</v>
      </c>
      <c r="B8649" t="s">
        <v>1112</v>
      </c>
      <c r="C8649" t="s">
        <v>11738</v>
      </c>
      <c r="D8649" t="s">
        <v>18842</v>
      </c>
      <c r="E8649" t="s">
        <v>26425</v>
      </c>
      <c r="F8649" t="s">
        <v>32664</v>
      </c>
      <c r="G8649" t="s">
        <v>32672</v>
      </c>
      <c r="H8649" t="s">
        <v>12635</v>
      </c>
      <c r="I8649" t="s">
        <v>32708</v>
      </c>
      <c r="J8649" t="s">
        <v>38068</v>
      </c>
      <c r="K8649" t="s">
        <v>42283</v>
      </c>
      <c r="M8649" t="s">
        <v>43739</v>
      </c>
      <c r="N8649" t="s">
        <v>46569</v>
      </c>
      <c r="O8649" t="s">
        <v>46570</v>
      </c>
      <c r="P8649">
        <v>0</v>
      </c>
      <c r="Q8649">
        <v>13</v>
      </c>
      <c r="R8649" t="s">
        <v>46576</v>
      </c>
      <c r="S8649" t="s">
        <v>46749</v>
      </c>
      <c r="T8649" t="s">
        <v>48302</v>
      </c>
      <c r="U8649" t="s">
        <v>55801</v>
      </c>
      <c r="W8649" t="s">
        <v>43739</v>
      </c>
      <c r="X8649" t="s">
        <v>46577</v>
      </c>
    </row>
    <row r="8650" spans="1:24">
      <c r="A8650">
        <f>HYPERLINK("https://www.philgeps.gov.ph/GEPSNONPILOT/Tender/SplashBidNoticeAbstractUI.aspx?menuIndex=3&amp;refID=7056967&amp;Result=3","7056967")</f>
        <v>0</v>
      </c>
      <c r="B8650" t="s">
        <v>864</v>
      </c>
      <c r="C8650" t="s">
        <v>5488</v>
      </c>
      <c r="D8650" t="s">
        <v>18789</v>
      </c>
      <c r="E8650" t="s">
        <v>20061</v>
      </c>
      <c r="F8650" t="s">
        <v>32664</v>
      </c>
      <c r="G8650" t="s">
        <v>32672</v>
      </c>
      <c r="H8650" t="s">
        <v>12635</v>
      </c>
      <c r="I8650" t="s">
        <v>8730</v>
      </c>
      <c r="J8650" t="s">
        <v>33126</v>
      </c>
      <c r="K8650" t="s">
        <v>42295</v>
      </c>
      <c r="L8650" t="s">
        <v>864</v>
      </c>
      <c r="M8650" t="s">
        <v>43464</v>
      </c>
      <c r="N8650" t="s">
        <v>46569</v>
      </c>
      <c r="O8650" t="s">
        <v>46570</v>
      </c>
      <c r="P8650">
        <v>0</v>
      </c>
      <c r="Q8650">
        <v>0</v>
      </c>
      <c r="R8650" t="s">
        <v>46576</v>
      </c>
      <c r="S8650" t="s">
        <v>46749</v>
      </c>
      <c r="T8650" t="s">
        <v>48219</v>
      </c>
      <c r="U8650" t="s">
        <v>55802</v>
      </c>
      <c r="W8650" t="s">
        <v>43464</v>
      </c>
      <c r="X8650" t="s">
        <v>46577</v>
      </c>
    </row>
    <row r="8651" spans="1:24">
      <c r="A8651">
        <f>HYPERLINK("https://www.philgeps.gov.ph/GEPSNONPILOT/Tender/SplashBidNoticeAbstractUI.aspx?menuIndex=3&amp;refID=7056973&amp;Result=3","7056973")</f>
        <v>0</v>
      </c>
      <c r="B8651" t="s">
        <v>2474</v>
      </c>
      <c r="C8651" t="s">
        <v>11739</v>
      </c>
      <c r="D8651" t="s">
        <v>18781</v>
      </c>
      <c r="E8651" t="s">
        <v>26200</v>
      </c>
      <c r="F8651" t="s">
        <v>32664</v>
      </c>
      <c r="G8651" t="s">
        <v>32672</v>
      </c>
      <c r="H8651" t="s">
        <v>32683</v>
      </c>
      <c r="I8651" t="s">
        <v>10627</v>
      </c>
      <c r="J8651" t="s">
        <v>38069</v>
      </c>
      <c r="K8651" t="s">
        <v>42305</v>
      </c>
      <c r="M8651" t="s">
        <v>45274</v>
      </c>
      <c r="N8651" t="s">
        <v>46569</v>
      </c>
      <c r="O8651" t="s">
        <v>46570</v>
      </c>
      <c r="Q8651">
        <v>0</v>
      </c>
      <c r="R8651" t="s">
        <v>46576</v>
      </c>
      <c r="S8651" t="s">
        <v>46796</v>
      </c>
      <c r="T8651" t="s">
        <v>48360</v>
      </c>
      <c r="U8651" t="s">
        <v>55610</v>
      </c>
      <c r="V8651" t="s">
        <v>62510</v>
      </c>
      <c r="W8651" t="s">
        <v>45274</v>
      </c>
      <c r="X8651" t="s">
        <v>46577</v>
      </c>
    </row>
    <row r="8652" spans="1:24">
      <c r="A8652">
        <f>HYPERLINK("https://www.philgeps.gov.ph/GEPSNONPILOT/Tender/SplashBidNoticeAbstractUI.aspx?menuIndex=3&amp;refID=7056984&amp;Result=3","7056984")</f>
        <v>0</v>
      </c>
      <c r="B8652" t="s">
        <v>2523</v>
      </c>
      <c r="C8652" t="s">
        <v>11740</v>
      </c>
      <c r="D8652" t="s">
        <v>18789</v>
      </c>
      <c r="E8652" t="s">
        <v>26426</v>
      </c>
      <c r="F8652" t="s">
        <v>32664</v>
      </c>
      <c r="G8652" t="s">
        <v>32671</v>
      </c>
      <c r="H8652" t="s">
        <v>12635</v>
      </c>
      <c r="I8652" t="s">
        <v>10361</v>
      </c>
      <c r="J8652" t="s">
        <v>38070</v>
      </c>
      <c r="K8652" t="s">
        <v>42284</v>
      </c>
      <c r="M8652" t="s">
        <v>45330</v>
      </c>
      <c r="N8652" t="s">
        <v>46569</v>
      </c>
      <c r="O8652" t="s">
        <v>46570</v>
      </c>
      <c r="P8652">
        <v>0</v>
      </c>
      <c r="Q8652">
        <v>0</v>
      </c>
      <c r="R8652" t="s">
        <v>46576</v>
      </c>
      <c r="S8652" t="s">
        <v>46749</v>
      </c>
      <c r="T8652" t="s">
        <v>48283</v>
      </c>
      <c r="U8652" t="s">
        <v>55796</v>
      </c>
      <c r="W8652" t="s">
        <v>45330</v>
      </c>
      <c r="X8652" t="s">
        <v>46577</v>
      </c>
    </row>
    <row r="8653" spans="1:24">
      <c r="A8653">
        <f>HYPERLINK("https://www.philgeps.gov.ph/GEPSNONPILOT/Tender/SplashBidNoticeAbstractUI.aspx?menuIndex=3&amp;refID=7056994&amp;Result=3","7056994")</f>
        <v>0</v>
      </c>
      <c r="B8653" t="s">
        <v>2474</v>
      </c>
      <c r="C8653" t="s">
        <v>11741</v>
      </c>
      <c r="D8653" t="s">
        <v>18781</v>
      </c>
      <c r="E8653" t="s">
        <v>26200</v>
      </c>
      <c r="F8653" t="s">
        <v>32664</v>
      </c>
      <c r="G8653" t="s">
        <v>32672</v>
      </c>
      <c r="H8653" t="s">
        <v>32683</v>
      </c>
      <c r="I8653" t="s">
        <v>10627</v>
      </c>
      <c r="J8653" t="s">
        <v>38071</v>
      </c>
      <c r="K8653" t="s">
        <v>42298</v>
      </c>
      <c r="M8653" t="s">
        <v>45274</v>
      </c>
      <c r="N8653" t="s">
        <v>46569</v>
      </c>
      <c r="O8653" t="s">
        <v>46570</v>
      </c>
      <c r="Q8653">
        <v>0</v>
      </c>
      <c r="R8653" t="s">
        <v>46576</v>
      </c>
      <c r="S8653" t="s">
        <v>46797</v>
      </c>
      <c r="T8653" t="s">
        <v>48360</v>
      </c>
      <c r="U8653" t="s">
        <v>55610</v>
      </c>
      <c r="V8653" t="s">
        <v>62511</v>
      </c>
      <c r="W8653" t="s">
        <v>45274</v>
      </c>
      <c r="X8653" t="s">
        <v>46577</v>
      </c>
    </row>
    <row r="8654" spans="1:24">
      <c r="A8654">
        <f>HYPERLINK("https://www.philgeps.gov.ph/GEPSNONPILOT/Tender/SplashBidNoticeAbstractUI.aspx?menuIndex=3&amp;refID=7057006&amp;Result=3","7057006")</f>
        <v>0</v>
      </c>
      <c r="B8654" t="s">
        <v>553</v>
      </c>
      <c r="C8654" t="s">
        <v>11742</v>
      </c>
      <c r="D8654" t="s">
        <v>18828</v>
      </c>
      <c r="E8654" t="s">
        <v>21803</v>
      </c>
      <c r="F8654" t="s">
        <v>32664</v>
      </c>
      <c r="G8654" t="s">
        <v>32672</v>
      </c>
      <c r="H8654" t="s">
        <v>12635</v>
      </c>
      <c r="I8654" t="s">
        <v>32696</v>
      </c>
      <c r="J8654" t="s">
        <v>38072</v>
      </c>
      <c r="K8654" t="s">
        <v>42298</v>
      </c>
      <c r="M8654" t="s">
        <v>43133</v>
      </c>
      <c r="N8654" t="s">
        <v>46569</v>
      </c>
      <c r="O8654" t="s">
        <v>46570</v>
      </c>
      <c r="P8654">
        <v>0</v>
      </c>
      <c r="Q8654">
        <v>4</v>
      </c>
      <c r="R8654" t="s">
        <v>46576</v>
      </c>
      <c r="S8654" t="s">
        <v>46749</v>
      </c>
      <c r="T8654" t="s">
        <v>48479</v>
      </c>
      <c r="U8654" t="s">
        <v>55803</v>
      </c>
      <c r="W8654" t="s">
        <v>63482</v>
      </c>
      <c r="X8654" t="s">
        <v>46577</v>
      </c>
    </row>
    <row r="8655" spans="1:24">
      <c r="A8655">
        <f>HYPERLINK("https://www.philgeps.gov.ph/GEPSNONPILOT/Tender/SplashBidNoticeAbstractUI.aspx?menuIndex=3&amp;refID=7056992&amp;Result=3","7056992")</f>
        <v>0</v>
      </c>
      <c r="B8655" t="s">
        <v>396</v>
      </c>
      <c r="C8655" t="s">
        <v>11743</v>
      </c>
      <c r="D8655" t="s">
        <v>18790</v>
      </c>
      <c r="E8655" t="s">
        <v>26427</v>
      </c>
      <c r="F8655" t="s">
        <v>32664</v>
      </c>
      <c r="G8655" t="s">
        <v>32672</v>
      </c>
      <c r="H8655" t="s">
        <v>12635</v>
      </c>
      <c r="I8655" t="s">
        <v>4439</v>
      </c>
      <c r="J8655" t="s">
        <v>38073</v>
      </c>
      <c r="K8655" t="s">
        <v>42297</v>
      </c>
      <c r="M8655" t="s">
        <v>42966</v>
      </c>
      <c r="N8655" t="s">
        <v>46569</v>
      </c>
      <c r="O8655" t="s">
        <v>46570</v>
      </c>
      <c r="P8655">
        <v>0</v>
      </c>
      <c r="Q8655">
        <v>0</v>
      </c>
      <c r="R8655" t="s">
        <v>46576</v>
      </c>
      <c r="S8655" t="s">
        <v>46749</v>
      </c>
      <c r="T8655" t="s">
        <v>48283</v>
      </c>
      <c r="U8655" t="s">
        <v>55804</v>
      </c>
      <c r="W8655" t="s">
        <v>42966</v>
      </c>
      <c r="X8655" t="s">
        <v>46577</v>
      </c>
    </row>
    <row r="8656" spans="1:24">
      <c r="A8656">
        <f>HYPERLINK("https://www.philgeps.gov.ph/GEPSNONPILOT/Tender/SplashBidNoticeAbstractUI.aspx?menuIndex=3&amp;refID=7056947&amp;Result=3","7056947")</f>
        <v>0</v>
      </c>
      <c r="B8656" t="s">
        <v>332</v>
      </c>
      <c r="C8656" t="s">
        <v>11744</v>
      </c>
      <c r="D8656" t="s">
        <v>18818</v>
      </c>
      <c r="E8656" t="s">
        <v>26428</v>
      </c>
      <c r="F8656" t="s">
        <v>32664</v>
      </c>
      <c r="G8656" t="s">
        <v>32672</v>
      </c>
      <c r="H8656" t="s">
        <v>32683</v>
      </c>
      <c r="I8656" t="s">
        <v>10627</v>
      </c>
      <c r="J8656" t="s">
        <v>38074</v>
      </c>
      <c r="K8656" t="s">
        <v>42281</v>
      </c>
      <c r="M8656" t="s">
        <v>42900</v>
      </c>
      <c r="N8656" t="s">
        <v>46569</v>
      </c>
      <c r="O8656" t="s">
        <v>46570</v>
      </c>
      <c r="P8656">
        <v>0</v>
      </c>
      <c r="Q8656">
        <v>0</v>
      </c>
      <c r="R8656" t="s">
        <v>46576</v>
      </c>
      <c r="S8656" t="s">
        <v>46749</v>
      </c>
      <c r="T8656" t="s">
        <v>48412</v>
      </c>
      <c r="U8656" t="s">
        <v>55805</v>
      </c>
      <c r="W8656" t="s">
        <v>42900</v>
      </c>
      <c r="X8656" t="s">
        <v>46577</v>
      </c>
    </row>
    <row r="8657" spans="1:24">
      <c r="A8657">
        <f>HYPERLINK("https://www.philgeps.gov.ph/GEPSNONPILOT/Tender/SplashBidNoticeAbstractUI.aspx?menuIndex=3&amp;refID=7056989&amp;Result=3","7056989")</f>
        <v>0</v>
      </c>
      <c r="B8657" t="s">
        <v>2512</v>
      </c>
      <c r="C8657" t="s">
        <v>11745</v>
      </c>
      <c r="D8657" t="s">
        <v>18805</v>
      </c>
      <c r="E8657" t="s">
        <v>19484</v>
      </c>
      <c r="F8657" t="s">
        <v>32664</v>
      </c>
      <c r="G8657" t="s">
        <v>32672</v>
      </c>
      <c r="H8657" t="s">
        <v>32682</v>
      </c>
      <c r="I8657" t="s">
        <v>32701</v>
      </c>
      <c r="J8657" t="s">
        <v>33031</v>
      </c>
      <c r="K8657" t="s">
        <v>42297</v>
      </c>
      <c r="M8657" t="s">
        <v>45317</v>
      </c>
      <c r="N8657" t="s">
        <v>46569</v>
      </c>
      <c r="O8657" t="s">
        <v>46570</v>
      </c>
      <c r="P8657">
        <v>0</v>
      </c>
      <c r="Q8657">
        <v>0</v>
      </c>
      <c r="R8657" t="s">
        <v>46576</v>
      </c>
      <c r="S8657" t="s">
        <v>46749</v>
      </c>
      <c r="T8657" t="s">
        <v>48219</v>
      </c>
      <c r="U8657" t="s">
        <v>55806</v>
      </c>
      <c r="W8657" t="s">
        <v>45317</v>
      </c>
      <c r="X8657" t="s">
        <v>46577</v>
      </c>
    </row>
    <row r="8658" spans="1:24">
      <c r="A8658">
        <f>HYPERLINK("https://www.philgeps.gov.ph/GEPSNONPILOT/Tender/SplashBidNoticeAbstractUI.aspx?menuIndex=3&amp;refID=7057011&amp;Result=3","7057011")</f>
        <v>0</v>
      </c>
      <c r="B8658" t="s">
        <v>2523</v>
      </c>
      <c r="C8658" t="s">
        <v>11746</v>
      </c>
      <c r="D8658" t="s">
        <v>18789</v>
      </c>
      <c r="E8658" t="s">
        <v>26429</v>
      </c>
      <c r="F8658" t="s">
        <v>32664</v>
      </c>
      <c r="G8658" t="s">
        <v>32671</v>
      </c>
      <c r="H8658" t="s">
        <v>12635</v>
      </c>
      <c r="I8658" t="s">
        <v>5589</v>
      </c>
      <c r="J8658" t="s">
        <v>33304</v>
      </c>
      <c r="K8658" t="s">
        <v>42284</v>
      </c>
      <c r="M8658" t="s">
        <v>45330</v>
      </c>
      <c r="N8658" t="s">
        <v>46569</v>
      </c>
      <c r="O8658" t="s">
        <v>46570</v>
      </c>
      <c r="P8658">
        <v>0</v>
      </c>
      <c r="Q8658">
        <v>3</v>
      </c>
      <c r="R8658" t="s">
        <v>46576</v>
      </c>
      <c r="S8658" t="s">
        <v>46749</v>
      </c>
      <c r="T8658" t="s">
        <v>48283</v>
      </c>
      <c r="U8658" t="s">
        <v>55796</v>
      </c>
      <c r="W8658" t="s">
        <v>45330</v>
      </c>
      <c r="X8658" t="s">
        <v>46577</v>
      </c>
    </row>
    <row r="8659" spans="1:24">
      <c r="A8659">
        <f>HYPERLINK("https://www.philgeps.gov.ph/GEPSNONPILOT/Tender/SplashBidNoticeAbstractUI.aspx?menuIndex=3&amp;refID=7057039&amp;Result=3","7057039")</f>
        <v>0</v>
      </c>
      <c r="B8659" t="s">
        <v>231</v>
      </c>
      <c r="C8659" t="s">
        <v>11747</v>
      </c>
      <c r="D8659" t="s">
        <v>18845</v>
      </c>
      <c r="E8659" t="s">
        <v>26430</v>
      </c>
      <c r="F8659" t="s">
        <v>32664</v>
      </c>
      <c r="G8659" t="s">
        <v>32671</v>
      </c>
      <c r="H8659" t="s">
        <v>12635</v>
      </c>
      <c r="I8659" t="s">
        <v>32701</v>
      </c>
      <c r="J8659" t="s">
        <v>32974</v>
      </c>
      <c r="K8659" t="s">
        <v>42281</v>
      </c>
      <c r="M8659" t="s">
        <v>42795</v>
      </c>
      <c r="N8659" t="s">
        <v>46569</v>
      </c>
      <c r="O8659" t="s">
        <v>46570</v>
      </c>
      <c r="P8659">
        <v>0</v>
      </c>
      <c r="Q8659">
        <v>4</v>
      </c>
      <c r="R8659" t="s">
        <v>46576</v>
      </c>
      <c r="S8659" t="s">
        <v>46749</v>
      </c>
      <c r="T8659" t="s">
        <v>48268</v>
      </c>
      <c r="U8659" t="s">
        <v>55807</v>
      </c>
      <c r="W8659" t="s">
        <v>42795</v>
      </c>
      <c r="X8659" t="s">
        <v>46577</v>
      </c>
    </row>
    <row r="8660" spans="1:24">
      <c r="A8660">
        <f>HYPERLINK("https://www.philgeps.gov.ph/GEPSNONPILOT/Tender/SplashBidNoticeAbstractUI.aspx?menuIndex=3&amp;refID=7057097&amp;Result=3","7057097")</f>
        <v>0</v>
      </c>
      <c r="B8660" t="s">
        <v>1049</v>
      </c>
      <c r="C8660" t="s">
        <v>11748</v>
      </c>
      <c r="E8660" t="s">
        <v>26431</v>
      </c>
      <c r="F8660" t="s">
        <v>32664</v>
      </c>
      <c r="G8660" t="s">
        <v>32671</v>
      </c>
      <c r="H8660" t="s">
        <v>12635</v>
      </c>
      <c r="I8660" t="s">
        <v>32704</v>
      </c>
      <c r="J8660" t="s">
        <v>38075</v>
      </c>
      <c r="K8660" t="s">
        <v>42281</v>
      </c>
      <c r="M8660" t="s">
        <v>45266</v>
      </c>
      <c r="N8660" t="s">
        <v>46569</v>
      </c>
      <c r="O8660" t="s">
        <v>46570</v>
      </c>
      <c r="P8660">
        <v>0</v>
      </c>
      <c r="Q8660">
        <v>3</v>
      </c>
      <c r="R8660" t="s">
        <v>46576</v>
      </c>
      <c r="S8660" t="s">
        <v>46749</v>
      </c>
      <c r="T8660" t="s">
        <v>48410</v>
      </c>
      <c r="U8660" t="s">
        <v>55808</v>
      </c>
      <c r="W8660" t="s">
        <v>63560</v>
      </c>
      <c r="X8660" t="s">
        <v>46577</v>
      </c>
    </row>
    <row r="8661" spans="1:24">
      <c r="A8661">
        <f>HYPERLINK("https://www.philgeps.gov.ph/GEPSNONPILOT/Tender/SplashBidNoticeAbstractUI.aspx?menuIndex=3&amp;refID=7057089&amp;Result=3","7057089")</f>
        <v>0</v>
      </c>
      <c r="B8661" t="s">
        <v>2130</v>
      </c>
      <c r="C8661" t="s">
        <v>11749</v>
      </c>
      <c r="D8661" t="s">
        <v>18812</v>
      </c>
      <c r="E8661" t="s">
        <v>26432</v>
      </c>
      <c r="F8661" t="s">
        <v>32664</v>
      </c>
      <c r="G8661" t="s">
        <v>32672</v>
      </c>
      <c r="H8661" t="s">
        <v>12635</v>
      </c>
      <c r="I8661" t="s">
        <v>32704</v>
      </c>
      <c r="J8661" t="s">
        <v>38076</v>
      </c>
      <c r="K8661" t="s">
        <v>42281</v>
      </c>
      <c r="M8661" t="s">
        <v>44885</v>
      </c>
      <c r="N8661" t="s">
        <v>46569</v>
      </c>
      <c r="O8661" t="s">
        <v>46570</v>
      </c>
      <c r="P8661">
        <v>0</v>
      </c>
      <c r="Q8661">
        <v>15</v>
      </c>
      <c r="R8661" t="s">
        <v>46576</v>
      </c>
      <c r="S8661" t="s">
        <v>46749</v>
      </c>
      <c r="T8661" t="s">
        <v>48256</v>
      </c>
      <c r="U8661" t="s">
        <v>55809</v>
      </c>
      <c r="W8661" t="s">
        <v>44885</v>
      </c>
      <c r="X8661" t="s">
        <v>46577</v>
      </c>
    </row>
    <row r="8662" spans="1:24">
      <c r="A8662">
        <f>HYPERLINK("https://www.philgeps.gov.ph/GEPSNONPILOT/Tender/SplashBidNoticeAbstractUI.aspx?menuIndex=3&amp;refID=7056975&amp;Result=3","7056975")</f>
        <v>0</v>
      </c>
      <c r="B8662" t="s">
        <v>1479</v>
      </c>
      <c r="C8662" t="s">
        <v>11750</v>
      </c>
      <c r="D8662" t="s">
        <v>18788</v>
      </c>
      <c r="E8662" t="s">
        <v>26433</v>
      </c>
      <c r="F8662" t="s">
        <v>32664</v>
      </c>
      <c r="G8662" t="s">
        <v>32672</v>
      </c>
      <c r="H8662" t="s">
        <v>32683</v>
      </c>
      <c r="I8662" t="s">
        <v>10627</v>
      </c>
      <c r="J8662" t="s">
        <v>38077</v>
      </c>
      <c r="K8662" t="s">
        <v>42285</v>
      </c>
      <c r="M8662" t="s">
        <v>44142</v>
      </c>
      <c r="N8662" t="s">
        <v>46569</v>
      </c>
      <c r="O8662" t="s">
        <v>46570</v>
      </c>
      <c r="P8662">
        <v>0</v>
      </c>
      <c r="Q8662">
        <v>0</v>
      </c>
      <c r="R8662" t="s">
        <v>46576</v>
      </c>
      <c r="S8662" t="s">
        <v>46749</v>
      </c>
      <c r="T8662" t="s">
        <v>48349</v>
      </c>
      <c r="U8662" t="s">
        <v>55810</v>
      </c>
      <c r="W8662" t="s">
        <v>44142</v>
      </c>
      <c r="X8662" t="s">
        <v>46577</v>
      </c>
    </row>
    <row r="8663" spans="1:24">
      <c r="A8663">
        <f>HYPERLINK("https://www.philgeps.gov.ph/GEPSNONPILOT/Tender/SplashBidNoticeAbstractUI.aspx?menuIndex=3&amp;refID=7057079&amp;Result=3","7057079")</f>
        <v>0</v>
      </c>
      <c r="B8663" t="s">
        <v>2523</v>
      </c>
      <c r="C8663" t="s">
        <v>11751</v>
      </c>
      <c r="D8663" t="s">
        <v>18789</v>
      </c>
      <c r="E8663" t="s">
        <v>26434</v>
      </c>
      <c r="F8663" t="s">
        <v>32664</v>
      </c>
      <c r="G8663" t="s">
        <v>32671</v>
      </c>
      <c r="H8663" t="s">
        <v>12635</v>
      </c>
      <c r="I8663" t="s">
        <v>9486</v>
      </c>
      <c r="J8663" t="s">
        <v>38078</v>
      </c>
      <c r="K8663" t="s">
        <v>42284</v>
      </c>
      <c r="M8663" t="s">
        <v>45330</v>
      </c>
      <c r="N8663" t="s">
        <v>46569</v>
      </c>
      <c r="O8663" t="s">
        <v>46570</v>
      </c>
      <c r="P8663">
        <v>0</v>
      </c>
      <c r="Q8663">
        <v>3</v>
      </c>
      <c r="R8663" t="s">
        <v>46576</v>
      </c>
      <c r="S8663" t="s">
        <v>46749</v>
      </c>
      <c r="T8663" t="s">
        <v>48283</v>
      </c>
      <c r="U8663" t="s">
        <v>55796</v>
      </c>
      <c r="W8663" t="s">
        <v>45330</v>
      </c>
      <c r="X8663" t="s">
        <v>46577</v>
      </c>
    </row>
    <row r="8664" spans="1:24">
      <c r="A8664">
        <f>HYPERLINK("https://www.philgeps.gov.ph/GEPSNONPILOT/Tender/SplashBidNoticeAbstractUI.aspx?menuIndex=3&amp;refID=7057075&amp;Result=3","7057075")</f>
        <v>0</v>
      </c>
      <c r="B8664" t="s">
        <v>396</v>
      </c>
      <c r="C8664" t="s">
        <v>11752</v>
      </c>
      <c r="D8664" t="s">
        <v>18790</v>
      </c>
      <c r="E8664" t="s">
        <v>26435</v>
      </c>
      <c r="F8664" t="s">
        <v>32664</v>
      </c>
      <c r="G8664" t="s">
        <v>32672</v>
      </c>
      <c r="H8664" t="s">
        <v>12635</v>
      </c>
      <c r="I8664" t="s">
        <v>32716</v>
      </c>
      <c r="J8664" t="s">
        <v>38079</v>
      </c>
      <c r="K8664" t="s">
        <v>42297</v>
      </c>
      <c r="M8664" t="s">
        <v>42966</v>
      </c>
      <c r="N8664" t="s">
        <v>46569</v>
      </c>
      <c r="O8664" t="s">
        <v>46570</v>
      </c>
      <c r="P8664">
        <v>0</v>
      </c>
      <c r="Q8664">
        <v>1</v>
      </c>
      <c r="R8664" t="s">
        <v>46576</v>
      </c>
      <c r="S8664" t="s">
        <v>46749</v>
      </c>
      <c r="T8664" t="s">
        <v>48283</v>
      </c>
      <c r="U8664" t="s">
        <v>55811</v>
      </c>
      <c r="W8664" t="s">
        <v>42966</v>
      </c>
      <c r="X8664" t="s">
        <v>46577</v>
      </c>
    </row>
    <row r="8665" spans="1:24">
      <c r="A8665">
        <f>HYPERLINK("https://www.philgeps.gov.ph/GEPSNONPILOT/Tender/SplashBidNoticeAbstractUI.aspx?menuIndex=3&amp;refID=7057071&amp;Result=3","7057071")</f>
        <v>0</v>
      </c>
      <c r="B8665" t="s">
        <v>2525</v>
      </c>
      <c r="C8665" t="s">
        <v>11753</v>
      </c>
      <c r="D8665" t="s">
        <v>18781</v>
      </c>
      <c r="E8665" t="s">
        <v>26436</v>
      </c>
      <c r="F8665" t="s">
        <v>32664</v>
      </c>
      <c r="G8665" t="s">
        <v>32674</v>
      </c>
      <c r="H8665" t="s">
        <v>32682</v>
      </c>
      <c r="I8665" t="s">
        <v>14442</v>
      </c>
      <c r="J8665" t="s">
        <v>34279</v>
      </c>
      <c r="K8665" t="s">
        <v>42289</v>
      </c>
      <c r="M8665" t="s">
        <v>45332</v>
      </c>
      <c r="N8665" t="s">
        <v>46569</v>
      </c>
      <c r="O8665" t="s">
        <v>46570</v>
      </c>
      <c r="P8665">
        <v>0</v>
      </c>
      <c r="Q8665">
        <v>1</v>
      </c>
      <c r="R8665" t="s">
        <v>46576</v>
      </c>
      <c r="S8665" t="s">
        <v>46749</v>
      </c>
      <c r="T8665" t="s">
        <v>48244</v>
      </c>
      <c r="U8665" t="s">
        <v>55812</v>
      </c>
      <c r="W8665" t="s">
        <v>45332</v>
      </c>
      <c r="X8665" t="s">
        <v>46577</v>
      </c>
    </row>
    <row r="8666" spans="1:24">
      <c r="A8666">
        <f>HYPERLINK("https://www.philgeps.gov.ph/GEPSNONPILOT/Tender/SplashBidNoticeAbstractUI.aspx?menuIndex=3&amp;refID=7057005&amp;Result=3","7057005")</f>
        <v>0</v>
      </c>
      <c r="B8666" t="s">
        <v>153</v>
      </c>
      <c r="C8666" t="s">
        <v>11754</v>
      </c>
      <c r="D8666" t="s">
        <v>18809</v>
      </c>
      <c r="E8666" t="s">
        <v>26437</v>
      </c>
      <c r="F8666" t="s">
        <v>32664</v>
      </c>
      <c r="G8666" t="s">
        <v>32672</v>
      </c>
      <c r="H8666" t="s">
        <v>32683</v>
      </c>
      <c r="I8666" t="s">
        <v>10627</v>
      </c>
      <c r="J8666" t="s">
        <v>38080</v>
      </c>
      <c r="K8666" t="s">
        <v>42285</v>
      </c>
      <c r="M8666" t="s">
        <v>42717</v>
      </c>
      <c r="N8666" t="s">
        <v>46569</v>
      </c>
      <c r="O8666" t="s">
        <v>46570</v>
      </c>
      <c r="P8666">
        <v>0</v>
      </c>
      <c r="Q8666">
        <v>1</v>
      </c>
      <c r="R8666" t="s">
        <v>46576</v>
      </c>
      <c r="S8666" t="s">
        <v>46749</v>
      </c>
      <c r="T8666" t="s">
        <v>48483</v>
      </c>
      <c r="U8666" t="s">
        <v>49079</v>
      </c>
      <c r="W8666" t="s">
        <v>42717</v>
      </c>
      <c r="X8666" t="s">
        <v>46577</v>
      </c>
    </row>
    <row r="8667" spans="1:24">
      <c r="A8667">
        <f>HYPERLINK("https://www.philgeps.gov.ph/GEPSNONPILOT/Tender/SplashBidNoticeAbstractUI.aspx?menuIndex=3&amp;refID=7057108&amp;Result=3","7057108")</f>
        <v>0</v>
      </c>
      <c r="B8667" t="s">
        <v>1161</v>
      </c>
      <c r="C8667" t="s">
        <v>11755</v>
      </c>
      <c r="D8667" t="s">
        <v>18819</v>
      </c>
      <c r="E8667" t="s">
        <v>22886</v>
      </c>
      <c r="F8667" t="s">
        <v>32664</v>
      </c>
      <c r="G8667" t="s">
        <v>32671</v>
      </c>
      <c r="H8667" t="s">
        <v>12635</v>
      </c>
      <c r="I8667" t="s">
        <v>4333</v>
      </c>
      <c r="J8667" t="s">
        <v>38081</v>
      </c>
      <c r="K8667" t="s">
        <v>42309</v>
      </c>
      <c r="M8667" t="s">
        <v>43792</v>
      </c>
      <c r="N8667" t="s">
        <v>46569</v>
      </c>
      <c r="O8667" t="s">
        <v>46570</v>
      </c>
      <c r="P8667">
        <v>0</v>
      </c>
      <c r="Q8667">
        <v>7</v>
      </c>
      <c r="R8667" t="s">
        <v>46576</v>
      </c>
      <c r="S8667" t="s">
        <v>46749</v>
      </c>
      <c r="T8667" t="s">
        <v>48290</v>
      </c>
      <c r="U8667" t="s">
        <v>55813</v>
      </c>
      <c r="W8667" t="s">
        <v>43792</v>
      </c>
      <c r="X8667" t="s">
        <v>46577</v>
      </c>
    </row>
    <row r="8668" spans="1:24">
      <c r="A8668">
        <f>HYPERLINK("https://www.philgeps.gov.ph/GEPSNONPILOT/Tender/SplashBidNoticeAbstractUI.aspx?menuIndex=3&amp;refID=7057025&amp;Result=3","7057025")</f>
        <v>0</v>
      </c>
      <c r="B8668" t="s">
        <v>231</v>
      </c>
      <c r="C8668" t="s">
        <v>11756</v>
      </c>
      <c r="D8668" t="s">
        <v>18845</v>
      </c>
      <c r="E8668" t="s">
        <v>26438</v>
      </c>
      <c r="F8668" t="s">
        <v>32664</v>
      </c>
      <c r="G8668" t="s">
        <v>32675</v>
      </c>
      <c r="H8668" t="s">
        <v>12635</v>
      </c>
      <c r="I8668" t="s">
        <v>6223</v>
      </c>
      <c r="J8668" t="s">
        <v>38082</v>
      </c>
      <c r="K8668" t="s">
        <v>42281</v>
      </c>
      <c r="M8668" t="s">
        <v>42795</v>
      </c>
      <c r="N8668" t="s">
        <v>46569</v>
      </c>
      <c r="O8668" t="s">
        <v>46570</v>
      </c>
      <c r="P8668">
        <v>0</v>
      </c>
      <c r="Q8668">
        <v>1</v>
      </c>
      <c r="R8668" t="s">
        <v>46576</v>
      </c>
      <c r="S8668" t="s">
        <v>46749</v>
      </c>
      <c r="T8668" t="s">
        <v>48268</v>
      </c>
      <c r="U8668" t="s">
        <v>55814</v>
      </c>
      <c r="W8668" t="s">
        <v>42795</v>
      </c>
      <c r="X8668" t="s">
        <v>46577</v>
      </c>
    </row>
    <row r="8669" spans="1:24">
      <c r="A8669">
        <f>HYPERLINK("https://www.philgeps.gov.ph/GEPSNONPILOT/Tender/SplashBidNoticeAbstractUI.aspx?menuIndex=3&amp;refID=7057107&amp;Result=3","7057107")</f>
        <v>0</v>
      </c>
      <c r="B8669" t="s">
        <v>2526</v>
      </c>
      <c r="C8669" t="s">
        <v>11757</v>
      </c>
      <c r="D8669" t="s">
        <v>18794</v>
      </c>
      <c r="E8669" t="s">
        <v>26439</v>
      </c>
      <c r="F8669" t="s">
        <v>32664</v>
      </c>
      <c r="G8669" t="s">
        <v>32672</v>
      </c>
      <c r="H8669" t="s">
        <v>12635</v>
      </c>
      <c r="I8669" t="s">
        <v>32706</v>
      </c>
      <c r="J8669" t="s">
        <v>33820</v>
      </c>
      <c r="K8669" t="s">
        <v>42284</v>
      </c>
      <c r="M8669" t="s">
        <v>45333</v>
      </c>
      <c r="N8669" t="s">
        <v>46569</v>
      </c>
      <c r="O8669" t="s">
        <v>46570</v>
      </c>
      <c r="P8669">
        <v>0</v>
      </c>
      <c r="Q8669">
        <v>0</v>
      </c>
      <c r="R8669" t="s">
        <v>46576</v>
      </c>
      <c r="S8669" t="s">
        <v>46749</v>
      </c>
      <c r="T8669" t="s">
        <v>48256</v>
      </c>
      <c r="U8669" t="s">
        <v>55815</v>
      </c>
      <c r="W8669" t="s">
        <v>45333</v>
      </c>
      <c r="X8669" t="s">
        <v>46577</v>
      </c>
    </row>
    <row r="8670" spans="1:24">
      <c r="A8670">
        <f>HYPERLINK("https://www.philgeps.gov.ph/GEPSNONPILOT/Tender/SplashBidNoticeAbstractUI.aspx?menuIndex=3&amp;refID=7057102&amp;Result=3","7057102")</f>
        <v>0</v>
      </c>
      <c r="B8670" t="s">
        <v>2519</v>
      </c>
      <c r="C8670" t="s">
        <v>11758</v>
      </c>
      <c r="D8670" t="s">
        <v>18784</v>
      </c>
      <c r="E8670" t="s">
        <v>19110</v>
      </c>
      <c r="F8670" t="s">
        <v>32664</v>
      </c>
      <c r="G8670" t="s">
        <v>32672</v>
      </c>
      <c r="H8670" t="s">
        <v>12635</v>
      </c>
      <c r="I8670" t="s">
        <v>4205</v>
      </c>
      <c r="J8670" t="s">
        <v>38083</v>
      </c>
      <c r="K8670" t="s">
        <v>42281</v>
      </c>
      <c r="M8670" t="s">
        <v>45326</v>
      </c>
      <c r="N8670" t="s">
        <v>46569</v>
      </c>
      <c r="O8670" t="s">
        <v>46570</v>
      </c>
      <c r="P8670">
        <v>0</v>
      </c>
      <c r="Q8670">
        <v>4</v>
      </c>
      <c r="R8670" t="s">
        <v>46576</v>
      </c>
      <c r="S8670" t="s">
        <v>46749</v>
      </c>
      <c r="T8670" t="s">
        <v>48221</v>
      </c>
      <c r="U8670" t="s">
        <v>55816</v>
      </c>
      <c r="V8670" t="s">
        <v>62503</v>
      </c>
      <c r="W8670" t="s">
        <v>45326</v>
      </c>
      <c r="X8670" t="s">
        <v>46577</v>
      </c>
    </row>
    <row r="8671" spans="1:24">
      <c r="A8671">
        <f>HYPERLINK("https://www.philgeps.gov.ph/GEPSNONPILOT/Tender/SplashBidNoticeAbstractUI.aspx?menuIndex=3&amp;refID=7057095&amp;Result=3","7057095")</f>
        <v>0</v>
      </c>
      <c r="B8671" t="s">
        <v>847</v>
      </c>
      <c r="C8671" t="s">
        <v>11759</v>
      </c>
      <c r="D8671" t="s">
        <v>18782</v>
      </c>
      <c r="E8671" t="s">
        <v>26440</v>
      </c>
      <c r="F8671" t="s">
        <v>32664</v>
      </c>
      <c r="G8671" t="s">
        <v>32671</v>
      </c>
      <c r="H8671" t="s">
        <v>12635</v>
      </c>
      <c r="I8671" t="s">
        <v>4333</v>
      </c>
      <c r="J8671" t="s">
        <v>33196</v>
      </c>
      <c r="K8671" t="s">
        <v>42281</v>
      </c>
      <c r="M8671" t="s">
        <v>43443</v>
      </c>
      <c r="N8671" t="s">
        <v>46569</v>
      </c>
      <c r="O8671" t="s">
        <v>46570</v>
      </c>
      <c r="P8671">
        <v>0</v>
      </c>
      <c r="Q8671">
        <v>4</v>
      </c>
      <c r="R8671" t="s">
        <v>46576</v>
      </c>
      <c r="S8671" t="s">
        <v>46749</v>
      </c>
      <c r="T8671" t="s">
        <v>48307</v>
      </c>
      <c r="U8671" t="s">
        <v>55656</v>
      </c>
      <c r="V8671" t="s">
        <v>61831</v>
      </c>
      <c r="W8671" t="s">
        <v>43443</v>
      </c>
      <c r="X8671" t="s">
        <v>46577</v>
      </c>
    </row>
    <row r="8672" spans="1:24">
      <c r="A8672">
        <f>HYPERLINK("https://www.philgeps.gov.ph/GEPSNONPILOT/Tender/SplashBidNoticeAbstractUI.aspx?menuIndex=3&amp;refID=7057069&amp;Result=3","7057069")</f>
        <v>0</v>
      </c>
      <c r="B8672" t="s">
        <v>168</v>
      </c>
      <c r="C8672" t="s">
        <v>11760</v>
      </c>
      <c r="D8672" t="s">
        <v>18790</v>
      </c>
      <c r="E8672" t="s">
        <v>26441</v>
      </c>
      <c r="F8672" t="s">
        <v>32664</v>
      </c>
      <c r="G8672" t="s">
        <v>32672</v>
      </c>
      <c r="H8672" t="s">
        <v>12635</v>
      </c>
      <c r="I8672" t="s">
        <v>4439</v>
      </c>
      <c r="J8672" t="s">
        <v>38084</v>
      </c>
      <c r="K8672" t="s">
        <v>42284</v>
      </c>
      <c r="M8672" t="s">
        <v>42732</v>
      </c>
      <c r="N8672" t="s">
        <v>46569</v>
      </c>
      <c r="O8672" t="s">
        <v>46570</v>
      </c>
      <c r="P8672">
        <v>0</v>
      </c>
      <c r="Q8672">
        <v>0</v>
      </c>
      <c r="R8672" t="s">
        <v>46576</v>
      </c>
      <c r="S8672" t="s">
        <v>46749</v>
      </c>
      <c r="T8672" t="s">
        <v>48263</v>
      </c>
      <c r="U8672" t="s">
        <v>55817</v>
      </c>
      <c r="W8672" t="s">
        <v>42732</v>
      </c>
      <c r="X8672" t="s">
        <v>46577</v>
      </c>
    </row>
    <row r="8673" spans="1:24">
      <c r="A8673">
        <f>HYPERLINK("https://www.philgeps.gov.ph/GEPSNONPILOT/Tender/SplashBidNoticeAbstractUI.aspx?menuIndex=3&amp;refID=7057078&amp;Result=3","7057078")</f>
        <v>0</v>
      </c>
      <c r="B8673" t="s">
        <v>2527</v>
      </c>
      <c r="C8673" t="s">
        <v>11761</v>
      </c>
      <c r="D8673" t="s">
        <v>18856</v>
      </c>
      <c r="E8673" t="s">
        <v>26442</v>
      </c>
      <c r="F8673" t="s">
        <v>32664</v>
      </c>
      <c r="G8673" t="s">
        <v>32672</v>
      </c>
      <c r="H8673" t="s">
        <v>12635</v>
      </c>
      <c r="I8673" t="s">
        <v>8797</v>
      </c>
      <c r="J8673" t="s">
        <v>38085</v>
      </c>
      <c r="K8673" t="s">
        <v>42281</v>
      </c>
      <c r="M8673" t="s">
        <v>45334</v>
      </c>
      <c r="N8673" t="s">
        <v>46569</v>
      </c>
      <c r="O8673" t="s">
        <v>46570</v>
      </c>
      <c r="P8673">
        <v>0</v>
      </c>
      <c r="Q8673">
        <v>4</v>
      </c>
      <c r="R8673" t="s">
        <v>46576</v>
      </c>
      <c r="S8673" t="s">
        <v>46749</v>
      </c>
      <c r="T8673" t="s">
        <v>48580</v>
      </c>
      <c r="U8673" t="s">
        <v>55818</v>
      </c>
      <c r="V8673" t="s">
        <v>62512</v>
      </c>
      <c r="W8673" t="s">
        <v>45334</v>
      </c>
      <c r="X8673" t="s">
        <v>46577</v>
      </c>
    </row>
    <row r="8674" spans="1:24">
      <c r="A8674">
        <f>HYPERLINK("https://www.philgeps.gov.ph/GEPSNONPILOT/Tender/SplashBidNoticeAbstractUI.aspx?menuIndex=3&amp;refID=7057055&amp;Result=3","7057055")</f>
        <v>0</v>
      </c>
      <c r="B8674" t="s">
        <v>231</v>
      </c>
      <c r="C8674" t="s">
        <v>11762</v>
      </c>
      <c r="D8674" t="s">
        <v>18845</v>
      </c>
      <c r="E8674" t="s">
        <v>26443</v>
      </c>
      <c r="F8674" t="s">
        <v>32664</v>
      </c>
      <c r="G8674" t="s">
        <v>32671</v>
      </c>
      <c r="H8674" t="s">
        <v>12635</v>
      </c>
      <c r="I8674" t="s">
        <v>32701</v>
      </c>
      <c r="J8674" t="s">
        <v>33051</v>
      </c>
      <c r="K8674" t="s">
        <v>42281</v>
      </c>
      <c r="M8674" t="s">
        <v>42795</v>
      </c>
      <c r="N8674" t="s">
        <v>46569</v>
      </c>
      <c r="O8674" t="s">
        <v>46570</v>
      </c>
      <c r="P8674">
        <v>0</v>
      </c>
      <c r="Q8674">
        <v>1</v>
      </c>
      <c r="R8674" t="s">
        <v>46576</v>
      </c>
      <c r="S8674" t="s">
        <v>46749</v>
      </c>
      <c r="T8674" t="s">
        <v>48268</v>
      </c>
      <c r="U8674" t="s">
        <v>55819</v>
      </c>
      <c r="W8674" t="s">
        <v>42795</v>
      </c>
      <c r="X8674" t="s">
        <v>46577</v>
      </c>
    </row>
    <row r="8675" spans="1:24">
      <c r="A8675">
        <f>HYPERLINK("https://www.philgeps.gov.ph/GEPSNONPILOT/Tender/SplashBidNoticeAbstractUI.aspx?menuIndex=3&amp;refID=7057045&amp;Result=3","7057045")</f>
        <v>0</v>
      </c>
      <c r="B8675" t="s">
        <v>2528</v>
      </c>
      <c r="C8675" t="s">
        <v>11763</v>
      </c>
      <c r="D8675" t="s">
        <v>18840</v>
      </c>
      <c r="E8675" t="s">
        <v>26444</v>
      </c>
      <c r="F8675" t="s">
        <v>32664</v>
      </c>
      <c r="G8675" t="s">
        <v>32672</v>
      </c>
      <c r="H8675" t="s">
        <v>32683</v>
      </c>
      <c r="I8675" t="s">
        <v>10627</v>
      </c>
      <c r="J8675" t="s">
        <v>38086</v>
      </c>
      <c r="K8675" t="s">
        <v>42305</v>
      </c>
      <c r="M8675" t="s">
        <v>45335</v>
      </c>
      <c r="N8675" t="s">
        <v>46569</v>
      </c>
      <c r="O8675" t="s">
        <v>46570</v>
      </c>
      <c r="P8675">
        <v>0</v>
      </c>
      <c r="Q8675">
        <v>1</v>
      </c>
      <c r="R8675" t="s">
        <v>46576</v>
      </c>
      <c r="S8675" t="s">
        <v>46749</v>
      </c>
      <c r="T8675" t="s">
        <v>48302</v>
      </c>
      <c r="U8675" t="s">
        <v>55820</v>
      </c>
      <c r="W8675" t="s">
        <v>45335</v>
      </c>
      <c r="X8675" t="s">
        <v>46577</v>
      </c>
    </row>
    <row r="8676" spans="1:24">
      <c r="A8676">
        <f>HYPERLINK("https://www.philgeps.gov.ph/GEPSNONPILOT/Tender/SplashBidNoticeAbstractUI.aspx?menuIndex=3&amp;refID=7057110&amp;Result=3","7057110")</f>
        <v>0</v>
      </c>
      <c r="B8676" t="s">
        <v>2425</v>
      </c>
      <c r="C8676" t="s">
        <v>11764</v>
      </c>
      <c r="D8676" t="s">
        <v>18842</v>
      </c>
      <c r="E8676" t="s">
        <v>26445</v>
      </c>
      <c r="F8676" t="s">
        <v>32664</v>
      </c>
      <c r="G8676" t="s">
        <v>32672</v>
      </c>
      <c r="H8676" t="s">
        <v>12635</v>
      </c>
      <c r="I8676" t="s">
        <v>8730</v>
      </c>
      <c r="J8676" t="s">
        <v>38087</v>
      </c>
      <c r="K8676" t="s">
        <v>42281</v>
      </c>
      <c r="M8676" t="s">
        <v>45336</v>
      </c>
      <c r="N8676" t="s">
        <v>46569</v>
      </c>
      <c r="O8676" t="s">
        <v>46570</v>
      </c>
      <c r="P8676">
        <v>0</v>
      </c>
      <c r="Q8676">
        <v>1</v>
      </c>
      <c r="R8676" t="s">
        <v>46576</v>
      </c>
      <c r="S8676" t="s">
        <v>46749</v>
      </c>
      <c r="T8676" t="s">
        <v>48311</v>
      </c>
      <c r="U8676" t="s">
        <v>55821</v>
      </c>
      <c r="V8676" t="s">
        <v>62414</v>
      </c>
      <c r="W8676" t="s">
        <v>63563</v>
      </c>
      <c r="X8676" t="s">
        <v>46577</v>
      </c>
    </row>
    <row r="8677" spans="1:24">
      <c r="A8677">
        <f>HYPERLINK("https://www.philgeps.gov.ph/GEPSNONPILOT/Tender/SplashBidNoticeAbstractUI.aspx?menuIndex=3&amp;refID=7057041&amp;Result=3","7057041")</f>
        <v>0</v>
      </c>
      <c r="B8677" t="s">
        <v>2523</v>
      </c>
      <c r="C8677" t="s">
        <v>11765</v>
      </c>
      <c r="D8677" t="s">
        <v>18789</v>
      </c>
      <c r="E8677" t="s">
        <v>26446</v>
      </c>
      <c r="F8677" t="s">
        <v>32664</v>
      </c>
      <c r="G8677" t="s">
        <v>32671</v>
      </c>
      <c r="H8677" t="s">
        <v>12635</v>
      </c>
      <c r="I8677" t="s">
        <v>32686</v>
      </c>
      <c r="J8677" t="s">
        <v>38088</v>
      </c>
      <c r="K8677" t="s">
        <v>42284</v>
      </c>
      <c r="M8677" t="s">
        <v>45330</v>
      </c>
      <c r="N8677" t="s">
        <v>46569</v>
      </c>
      <c r="O8677" t="s">
        <v>46570</v>
      </c>
      <c r="P8677">
        <v>0</v>
      </c>
      <c r="Q8677">
        <v>3</v>
      </c>
      <c r="R8677" t="s">
        <v>46576</v>
      </c>
      <c r="S8677" t="s">
        <v>46749</v>
      </c>
      <c r="T8677" t="s">
        <v>48283</v>
      </c>
      <c r="U8677" t="s">
        <v>55796</v>
      </c>
      <c r="W8677" t="s">
        <v>45330</v>
      </c>
      <c r="X8677" t="s">
        <v>46577</v>
      </c>
    </row>
    <row r="8678" spans="1:24">
      <c r="A8678">
        <f>HYPERLINK("https://www.philgeps.gov.ph/GEPSNONPILOT/Tender/SplashBidNoticeAbstractUI.aspx?menuIndex=3&amp;refID=7057016&amp;Result=3","7057016")</f>
        <v>0</v>
      </c>
      <c r="B8678" t="s">
        <v>2290</v>
      </c>
      <c r="C8678" t="s">
        <v>11766</v>
      </c>
      <c r="D8678" t="s">
        <v>18826</v>
      </c>
      <c r="E8678" t="s">
        <v>26447</v>
      </c>
      <c r="F8678" t="s">
        <v>32664</v>
      </c>
      <c r="G8678" t="s">
        <v>32672</v>
      </c>
      <c r="H8678" t="s">
        <v>12635</v>
      </c>
      <c r="I8678" t="s">
        <v>32743</v>
      </c>
      <c r="J8678" t="s">
        <v>33196</v>
      </c>
      <c r="K8678" t="s">
        <v>42281</v>
      </c>
      <c r="M8678" t="s">
        <v>45061</v>
      </c>
      <c r="N8678" t="s">
        <v>46569</v>
      </c>
      <c r="O8678" t="s">
        <v>46570</v>
      </c>
      <c r="P8678">
        <v>0</v>
      </c>
      <c r="Q8678">
        <v>7</v>
      </c>
      <c r="R8678" t="s">
        <v>46576</v>
      </c>
      <c r="S8678" t="s">
        <v>46749</v>
      </c>
      <c r="T8678" t="s">
        <v>48213</v>
      </c>
      <c r="U8678" t="s">
        <v>55822</v>
      </c>
      <c r="W8678" t="s">
        <v>45061</v>
      </c>
      <c r="X8678" t="s">
        <v>46577</v>
      </c>
    </row>
    <row r="8679" spans="1:24">
      <c r="A8679">
        <f>HYPERLINK("https://www.philgeps.gov.ph/GEPSNONPILOT/Tender/SplashBidNoticeAbstractUI.aspx?menuIndex=3&amp;refID=7057063&amp;Result=3","7057063")</f>
        <v>0</v>
      </c>
      <c r="B8679" t="s">
        <v>2523</v>
      </c>
      <c r="C8679" t="s">
        <v>11767</v>
      </c>
      <c r="D8679" t="s">
        <v>18789</v>
      </c>
      <c r="E8679" t="s">
        <v>26448</v>
      </c>
      <c r="F8679" t="s">
        <v>32664</v>
      </c>
      <c r="G8679" t="s">
        <v>32671</v>
      </c>
      <c r="H8679" t="s">
        <v>12635</v>
      </c>
      <c r="I8679" t="s">
        <v>32691</v>
      </c>
      <c r="J8679" t="s">
        <v>38089</v>
      </c>
      <c r="K8679" t="s">
        <v>42284</v>
      </c>
      <c r="M8679" t="s">
        <v>45330</v>
      </c>
      <c r="N8679" t="s">
        <v>46569</v>
      </c>
      <c r="O8679" t="s">
        <v>46570</v>
      </c>
      <c r="P8679">
        <v>0</v>
      </c>
      <c r="Q8679">
        <v>0</v>
      </c>
      <c r="R8679" t="s">
        <v>46576</v>
      </c>
      <c r="S8679" t="s">
        <v>46749</v>
      </c>
      <c r="T8679" t="s">
        <v>48283</v>
      </c>
      <c r="U8679" t="s">
        <v>55796</v>
      </c>
      <c r="W8679" t="s">
        <v>45330</v>
      </c>
      <c r="X8679" t="s">
        <v>46577</v>
      </c>
    </row>
    <row r="8680" spans="1:24">
      <c r="A8680">
        <f>HYPERLINK("https://www.philgeps.gov.ph/GEPSNONPILOT/Tender/SplashBidNoticeAbstractUI.aspx?menuIndex=3&amp;refID=7057126&amp;Result=3","7057126")</f>
        <v>0</v>
      </c>
      <c r="B8680" t="s">
        <v>2523</v>
      </c>
      <c r="C8680" t="s">
        <v>11768</v>
      </c>
      <c r="D8680" t="s">
        <v>18789</v>
      </c>
      <c r="E8680" t="s">
        <v>26449</v>
      </c>
      <c r="F8680" t="s">
        <v>32664</v>
      </c>
      <c r="G8680" t="s">
        <v>32671</v>
      </c>
      <c r="H8680" t="s">
        <v>12635</v>
      </c>
      <c r="I8680" t="s">
        <v>8797</v>
      </c>
      <c r="J8680" t="s">
        <v>38090</v>
      </c>
      <c r="K8680" t="s">
        <v>42284</v>
      </c>
      <c r="M8680" t="s">
        <v>45330</v>
      </c>
      <c r="N8680" t="s">
        <v>46569</v>
      </c>
      <c r="O8680" t="s">
        <v>46570</v>
      </c>
      <c r="P8680">
        <v>0</v>
      </c>
      <c r="Q8680">
        <v>3</v>
      </c>
      <c r="R8680" t="s">
        <v>46576</v>
      </c>
      <c r="S8680" t="s">
        <v>46749</v>
      </c>
      <c r="T8680" t="s">
        <v>48283</v>
      </c>
      <c r="U8680" t="s">
        <v>55796</v>
      </c>
      <c r="W8680" t="s">
        <v>45330</v>
      </c>
      <c r="X8680" t="s">
        <v>46577</v>
      </c>
    </row>
    <row r="8681" spans="1:24">
      <c r="A8681">
        <f>HYPERLINK("https://www.philgeps.gov.ph/GEPSNONPILOT/Tender/SplashBidNoticeAbstractUI.aspx?menuIndex=3&amp;refID=7057173&amp;Result=3","7057173")</f>
        <v>0</v>
      </c>
      <c r="B8681" t="s">
        <v>1775</v>
      </c>
      <c r="C8681" t="s">
        <v>11769</v>
      </c>
      <c r="D8681" t="s">
        <v>18792</v>
      </c>
      <c r="E8681" t="s">
        <v>26450</v>
      </c>
      <c r="F8681" t="s">
        <v>32664</v>
      </c>
      <c r="G8681" t="s">
        <v>32672</v>
      </c>
      <c r="H8681" t="s">
        <v>12635</v>
      </c>
      <c r="I8681" t="s">
        <v>4439</v>
      </c>
      <c r="J8681" t="s">
        <v>38091</v>
      </c>
      <c r="K8681" t="s">
        <v>42297</v>
      </c>
      <c r="L8681" t="s">
        <v>1775</v>
      </c>
      <c r="M8681" t="s">
        <v>44477</v>
      </c>
      <c r="N8681" t="s">
        <v>46569</v>
      </c>
      <c r="O8681" t="s">
        <v>46570</v>
      </c>
      <c r="P8681">
        <v>0</v>
      </c>
      <c r="Q8681">
        <v>0</v>
      </c>
      <c r="R8681" t="s">
        <v>46576</v>
      </c>
      <c r="S8681" t="s">
        <v>46749</v>
      </c>
      <c r="T8681" t="s">
        <v>48468</v>
      </c>
      <c r="U8681" t="s">
        <v>50281</v>
      </c>
      <c r="V8681" t="s">
        <v>62513</v>
      </c>
      <c r="W8681" t="s">
        <v>44477</v>
      </c>
      <c r="X8681" t="s">
        <v>46577</v>
      </c>
    </row>
    <row r="8682" spans="1:24">
      <c r="A8682">
        <f>HYPERLINK("https://www.philgeps.gov.ph/GEPSNONPILOT/Tender/SplashBidNoticeAbstractUI.aspx?menuIndex=3&amp;refID=7057170&amp;Result=3","7057170")</f>
        <v>0</v>
      </c>
      <c r="B8682" t="s">
        <v>2523</v>
      </c>
      <c r="C8682" t="s">
        <v>11770</v>
      </c>
      <c r="D8682" t="s">
        <v>18789</v>
      </c>
      <c r="E8682" t="s">
        <v>26451</v>
      </c>
      <c r="F8682" t="s">
        <v>32664</v>
      </c>
      <c r="G8682" t="s">
        <v>32671</v>
      </c>
      <c r="H8682" t="s">
        <v>12635</v>
      </c>
      <c r="I8682" t="s">
        <v>32706</v>
      </c>
      <c r="J8682" t="s">
        <v>33015</v>
      </c>
      <c r="K8682" t="s">
        <v>42284</v>
      </c>
      <c r="M8682" t="s">
        <v>45330</v>
      </c>
      <c r="N8682" t="s">
        <v>46569</v>
      </c>
      <c r="O8682" t="s">
        <v>46570</v>
      </c>
      <c r="P8682">
        <v>0</v>
      </c>
      <c r="Q8682">
        <v>0</v>
      </c>
      <c r="R8682" t="s">
        <v>46576</v>
      </c>
      <c r="S8682" t="s">
        <v>46749</v>
      </c>
      <c r="T8682" t="s">
        <v>48283</v>
      </c>
      <c r="U8682" t="s">
        <v>55796</v>
      </c>
      <c r="W8682" t="s">
        <v>45330</v>
      </c>
      <c r="X8682" t="s">
        <v>46577</v>
      </c>
    </row>
    <row r="8683" spans="1:24">
      <c r="A8683">
        <f>HYPERLINK("https://www.philgeps.gov.ph/GEPSNONPILOT/Tender/SplashBidNoticeAbstractUI.aspx?menuIndex=3&amp;refID=7057167&amp;Result=3","7057167")</f>
        <v>0</v>
      </c>
      <c r="B8683" t="s">
        <v>673</v>
      </c>
      <c r="C8683" t="s">
        <v>11771</v>
      </c>
      <c r="D8683" t="s">
        <v>18799</v>
      </c>
      <c r="E8683" t="s">
        <v>26452</v>
      </c>
      <c r="F8683" t="s">
        <v>32664</v>
      </c>
      <c r="G8683" t="s">
        <v>32675</v>
      </c>
      <c r="H8683" t="s">
        <v>12635</v>
      </c>
      <c r="I8683" t="s">
        <v>5589</v>
      </c>
      <c r="J8683" t="s">
        <v>38092</v>
      </c>
      <c r="K8683" t="s">
        <v>42283</v>
      </c>
      <c r="M8683" t="s">
        <v>43260</v>
      </c>
      <c r="N8683" t="s">
        <v>46569</v>
      </c>
      <c r="O8683" t="s">
        <v>46570</v>
      </c>
      <c r="P8683">
        <v>0</v>
      </c>
      <c r="Q8683">
        <v>2</v>
      </c>
      <c r="R8683" t="s">
        <v>46576</v>
      </c>
      <c r="S8683" t="s">
        <v>46749</v>
      </c>
      <c r="T8683" t="s">
        <v>48334</v>
      </c>
      <c r="U8683" t="s">
        <v>53659</v>
      </c>
      <c r="W8683" t="s">
        <v>43260</v>
      </c>
      <c r="X8683" t="s">
        <v>46577</v>
      </c>
    </row>
    <row r="8684" spans="1:24">
      <c r="A8684">
        <f>HYPERLINK("https://www.philgeps.gov.ph/GEPSNONPILOT/Tender/SplashBidNoticeAbstractUI.aspx?menuIndex=3&amp;refID=7057160&amp;Result=3","7057160")</f>
        <v>0</v>
      </c>
      <c r="B8684" t="s">
        <v>2529</v>
      </c>
      <c r="C8684" t="s">
        <v>11772</v>
      </c>
      <c r="D8684" t="s">
        <v>18821</v>
      </c>
      <c r="E8684" t="s">
        <v>26453</v>
      </c>
      <c r="F8684" t="s">
        <v>32664</v>
      </c>
      <c r="G8684" t="s">
        <v>32672</v>
      </c>
      <c r="H8684" t="s">
        <v>32683</v>
      </c>
      <c r="I8684" t="s">
        <v>10627</v>
      </c>
      <c r="J8684" t="s">
        <v>36843</v>
      </c>
      <c r="K8684" t="s">
        <v>42284</v>
      </c>
      <c r="L8684" t="s">
        <v>2529</v>
      </c>
      <c r="M8684" t="s">
        <v>45337</v>
      </c>
      <c r="N8684" t="s">
        <v>46569</v>
      </c>
      <c r="O8684" t="s">
        <v>46570</v>
      </c>
      <c r="P8684">
        <v>0</v>
      </c>
      <c r="Q8684">
        <v>1</v>
      </c>
      <c r="R8684" t="s">
        <v>46576</v>
      </c>
      <c r="S8684" t="s">
        <v>46749</v>
      </c>
      <c r="T8684" t="s">
        <v>48251</v>
      </c>
      <c r="U8684" t="s">
        <v>55823</v>
      </c>
      <c r="V8684" t="s">
        <v>62514</v>
      </c>
      <c r="W8684" t="s">
        <v>45337</v>
      </c>
      <c r="X8684" t="s">
        <v>46577</v>
      </c>
    </row>
    <row r="8685" spans="1:24">
      <c r="A8685">
        <f>HYPERLINK("https://www.philgeps.gov.ph/GEPSNONPILOT/Tender/SplashBidNoticeAbstractUI.aspx?menuIndex=3&amp;refID=7057158&amp;Result=3","7057158")</f>
        <v>0</v>
      </c>
      <c r="B8685" t="s">
        <v>312</v>
      </c>
      <c r="C8685" t="s">
        <v>5492</v>
      </c>
      <c r="D8685" t="s">
        <v>18805</v>
      </c>
      <c r="E8685" t="s">
        <v>26454</v>
      </c>
      <c r="F8685" t="s">
        <v>32664</v>
      </c>
      <c r="G8685" t="s">
        <v>32671</v>
      </c>
      <c r="H8685" t="s">
        <v>12635</v>
      </c>
      <c r="I8685" t="s">
        <v>8797</v>
      </c>
      <c r="J8685" t="s">
        <v>34257</v>
      </c>
      <c r="K8685" t="s">
        <v>42283</v>
      </c>
      <c r="M8685" t="s">
        <v>42879</v>
      </c>
      <c r="N8685" t="s">
        <v>46569</v>
      </c>
      <c r="O8685" t="s">
        <v>46570</v>
      </c>
      <c r="P8685">
        <v>0</v>
      </c>
      <c r="Q8685">
        <v>2</v>
      </c>
      <c r="R8685" t="s">
        <v>46576</v>
      </c>
      <c r="S8685" t="s">
        <v>46749</v>
      </c>
      <c r="T8685" t="s">
        <v>48228</v>
      </c>
      <c r="U8685" t="s">
        <v>49337</v>
      </c>
      <c r="W8685" t="s">
        <v>42879</v>
      </c>
      <c r="X8685" t="s">
        <v>46577</v>
      </c>
    </row>
    <row r="8686" spans="1:24">
      <c r="A8686">
        <f>HYPERLINK("https://www.philgeps.gov.ph/GEPSNONPILOT/Tender/SplashBidNoticeAbstractUI.aspx?menuIndex=3&amp;refID=7057150&amp;Result=3","7057150")</f>
        <v>0</v>
      </c>
      <c r="B8686" t="s">
        <v>2530</v>
      </c>
      <c r="C8686" t="s">
        <v>9486</v>
      </c>
      <c r="D8686" t="s">
        <v>18788</v>
      </c>
      <c r="E8686" t="s">
        <v>24785</v>
      </c>
      <c r="F8686" t="s">
        <v>32664</v>
      </c>
      <c r="G8686" t="s">
        <v>32672</v>
      </c>
      <c r="H8686" t="s">
        <v>12635</v>
      </c>
      <c r="I8686" t="s">
        <v>9486</v>
      </c>
      <c r="J8686" t="s">
        <v>38093</v>
      </c>
      <c r="K8686" t="s">
        <v>42284</v>
      </c>
      <c r="M8686" t="s">
        <v>45338</v>
      </c>
      <c r="N8686" t="s">
        <v>46569</v>
      </c>
      <c r="O8686" t="s">
        <v>46570</v>
      </c>
      <c r="P8686">
        <v>0</v>
      </c>
      <c r="Q8686">
        <v>1</v>
      </c>
      <c r="R8686" t="s">
        <v>46576</v>
      </c>
      <c r="S8686" t="s">
        <v>46749</v>
      </c>
      <c r="T8686" t="s">
        <v>48244</v>
      </c>
      <c r="U8686" t="s">
        <v>55824</v>
      </c>
      <c r="W8686" t="s">
        <v>45338</v>
      </c>
      <c r="X8686" t="s">
        <v>46577</v>
      </c>
    </row>
    <row r="8687" spans="1:24">
      <c r="A8687">
        <f>HYPERLINK("https://www.philgeps.gov.ph/GEPSNONPILOT/Tender/SplashBidNoticeAbstractUI.aspx?menuIndex=3&amp;refID=7057146&amp;Result=3","7057146")</f>
        <v>0</v>
      </c>
      <c r="B8687" t="s">
        <v>2531</v>
      </c>
      <c r="C8687" t="s">
        <v>11773</v>
      </c>
      <c r="D8687" t="s">
        <v>18784</v>
      </c>
      <c r="E8687" t="s">
        <v>11773</v>
      </c>
      <c r="F8687" t="s">
        <v>32664</v>
      </c>
      <c r="G8687" t="s">
        <v>32671</v>
      </c>
      <c r="H8687" t="s">
        <v>12635</v>
      </c>
      <c r="I8687" t="s">
        <v>32766</v>
      </c>
      <c r="J8687" t="s">
        <v>38094</v>
      </c>
      <c r="K8687" t="s">
        <v>42283</v>
      </c>
      <c r="M8687" t="s">
        <v>45339</v>
      </c>
      <c r="N8687" t="s">
        <v>46569</v>
      </c>
      <c r="O8687" t="s">
        <v>46570</v>
      </c>
      <c r="P8687">
        <v>0</v>
      </c>
      <c r="Q8687">
        <v>3</v>
      </c>
      <c r="R8687" t="s">
        <v>46576</v>
      </c>
      <c r="S8687" t="s">
        <v>46749</v>
      </c>
      <c r="T8687" t="s">
        <v>48562</v>
      </c>
      <c r="U8687" t="s">
        <v>55825</v>
      </c>
      <c r="W8687" t="s">
        <v>45339</v>
      </c>
      <c r="X8687" t="s">
        <v>46577</v>
      </c>
    </row>
    <row r="8688" spans="1:24">
      <c r="A8688">
        <f>HYPERLINK("https://www.philgeps.gov.ph/GEPSNONPILOT/Tender/SplashBidNoticeAbstractUI.aspx?menuIndex=3&amp;refID=7057181&amp;Result=3","7057181")</f>
        <v>0</v>
      </c>
      <c r="B8688" t="s">
        <v>768</v>
      </c>
      <c r="C8688" t="s">
        <v>11774</v>
      </c>
      <c r="D8688" t="s">
        <v>18804</v>
      </c>
      <c r="E8688" t="s">
        <v>26455</v>
      </c>
      <c r="F8688" t="s">
        <v>32664</v>
      </c>
      <c r="G8688" t="s">
        <v>32672</v>
      </c>
      <c r="H8688" t="s">
        <v>12635</v>
      </c>
      <c r="I8688" t="s">
        <v>5589</v>
      </c>
      <c r="J8688" t="s">
        <v>34587</v>
      </c>
      <c r="K8688" t="s">
        <v>42281</v>
      </c>
      <c r="M8688" t="s">
        <v>43359</v>
      </c>
      <c r="N8688" t="s">
        <v>46569</v>
      </c>
      <c r="O8688" t="s">
        <v>46570</v>
      </c>
      <c r="P8688">
        <v>0</v>
      </c>
      <c r="Q8688">
        <v>4</v>
      </c>
      <c r="R8688" t="s">
        <v>46576</v>
      </c>
      <c r="S8688" t="s">
        <v>46749</v>
      </c>
      <c r="T8688" t="s">
        <v>48349</v>
      </c>
      <c r="U8688" t="s">
        <v>55826</v>
      </c>
      <c r="W8688" t="s">
        <v>43359</v>
      </c>
      <c r="X8688" t="s">
        <v>46577</v>
      </c>
    </row>
    <row r="8689" spans="1:24">
      <c r="A8689">
        <f>HYPERLINK("https://www.philgeps.gov.ph/GEPSNONPILOT/Tender/SplashBidNoticeAbstractUI.aspx?menuIndex=3&amp;refID=7057101&amp;Result=3","7057101")</f>
        <v>0</v>
      </c>
      <c r="B8689" t="s">
        <v>2523</v>
      </c>
      <c r="C8689" t="s">
        <v>11775</v>
      </c>
      <c r="D8689" t="s">
        <v>18789</v>
      </c>
      <c r="E8689" t="s">
        <v>26456</v>
      </c>
      <c r="F8689" t="s">
        <v>32664</v>
      </c>
      <c r="G8689" t="s">
        <v>32671</v>
      </c>
      <c r="H8689" t="s">
        <v>12635</v>
      </c>
      <c r="I8689" t="s">
        <v>10590</v>
      </c>
      <c r="J8689" t="s">
        <v>38095</v>
      </c>
      <c r="K8689" t="s">
        <v>42284</v>
      </c>
      <c r="M8689" t="s">
        <v>45330</v>
      </c>
      <c r="N8689" t="s">
        <v>46569</v>
      </c>
      <c r="O8689" t="s">
        <v>46570</v>
      </c>
      <c r="P8689">
        <v>0</v>
      </c>
      <c r="Q8689">
        <v>0</v>
      </c>
      <c r="R8689" t="s">
        <v>46576</v>
      </c>
      <c r="S8689" t="s">
        <v>46749</v>
      </c>
      <c r="T8689" t="s">
        <v>48283</v>
      </c>
      <c r="U8689" t="s">
        <v>55796</v>
      </c>
      <c r="W8689" t="s">
        <v>45330</v>
      </c>
      <c r="X8689" t="s">
        <v>46577</v>
      </c>
    </row>
    <row r="8690" spans="1:24">
      <c r="A8690">
        <f>HYPERLINK("https://www.philgeps.gov.ph/GEPSNONPILOT/Tender/SplashBidNoticeAbstractUI.aspx?menuIndex=3&amp;refID=7057172&amp;Result=3","7057172")</f>
        <v>0</v>
      </c>
      <c r="B8690" t="s">
        <v>847</v>
      </c>
      <c r="C8690" t="s">
        <v>11776</v>
      </c>
      <c r="D8690" t="s">
        <v>18863</v>
      </c>
      <c r="E8690" t="s">
        <v>26457</v>
      </c>
      <c r="F8690" t="s">
        <v>32664</v>
      </c>
      <c r="G8690" t="s">
        <v>32671</v>
      </c>
      <c r="H8690" t="s">
        <v>12635</v>
      </c>
      <c r="I8690" t="s">
        <v>32758</v>
      </c>
      <c r="J8690" t="s">
        <v>33309</v>
      </c>
      <c r="K8690" t="s">
        <v>42281</v>
      </c>
      <c r="M8690" t="s">
        <v>43443</v>
      </c>
      <c r="N8690" t="s">
        <v>46569</v>
      </c>
      <c r="O8690" t="s">
        <v>46570</v>
      </c>
      <c r="P8690">
        <v>0</v>
      </c>
      <c r="Q8690">
        <v>1</v>
      </c>
      <c r="R8690" t="s">
        <v>46576</v>
      </c>
      <c r="S8690" t="s">
        <v>46749</v>
      </c>
      <c r="T8690" t="s">
        <v>48307</v>
      </c>
      <c r="U8690" t="s">
        <v>55656</v>
      </c>
      <c r="V8690" t="s">
        <v>62515</v>
      </c>
      <c r="W8690" t="s">
        <v>43443</v>
      </c>
      <c r="X8690" t="s">
        <v>46577</v>
      </c>
    </row>
    <row r="8691" spans="1:24">
      <c r="A8691">
        <f>HYPERLINK("https://www.philgeps.gov.ph/GEPSNONPILOT/Tender/SplashBidNoticeAbstractUI.aspx?menuIndex=3&amp;refID=7057113&amp;Result=3","7057113")</f>
        <v>0</v>
      </c>
      <c r="B8691" t="s">
        <v>2532</v>
      </c>
      <c r="C8691" t="s">
        <v>11777</v>
      </c>
      <c r="D8691" t="s">
        <v>18826</v>
      </c>
      <c r="E8691" t="s">
        <v>19815</v>
      </c>
      <c r="F8691" t="s">
        <v>32664</v>
      </c>
      <c r="G8691" t="s">
        <v>32672</v>
      </c>
      <c r="H8691" t="s">
        <v>12635</v>
      </c>
      <c r="I8691" t="s">
        <v>4439</v>
      </c>
      <c r="J8691" t="s">
        <v>38096</v>
      </c>
      <c r="K8691" t="s">
        <v>42284</v>
      </c>
      <c r="M8691" t="s">
        <v>45340</v>
      </c>
      <c r="N8691" t="s">
        <v>46569</v>
      </c>
      <c r="O8691" t="s">
        <v>46570</v>
      </c>
      <c r="P8691">
        <v>0</v>
      </c>
      <c r="Q8691">
        <v>0</v>
      </c>
      <c r="R8691" t="s">
        <v>46576</v>
      </c>
      <c r="S8691" t="s">
        <v>46749</v>
      </c>
      <c r="T8691" t="s">
        <v>48217</v>
      </c>
      <c r="U8691" t="s">
        <v>55827</v>
      </c>
      <c r="W8691" t="s">
        <v>45340</v>
      </c>
      <c r="X8691" t="s">
        <v>46577</v>
      </c>
    </row>
    <row r="8692" spans="1:24">
      <c r="A8692">
        <f>HYPERLINK("https://www.philgeps.gov.ph/GEPSNONPILOT/Tender/SplashBidNoticeAbstractUI.aspx?menuIndex=3&amp;refID=7057143&amp;Result=3","7057143")</f>
        <v>0</v>
      </c>
      <c r="B8692" t="s">
        <v>673</v>
      </c>
      <c r="C8692" t="s">
        <v>11778</v>
      </c>
      <c r="D8692" t="s">
        <v>18799</v>
      </c>
      <c r="E8692" t="s">
        <v>26458</v>
      </c>
      <c r="F8692" t="s">
        <v>32664</v>
      </c>
      <c r="G8692" t="s">
        <v>32675</v>
      </c>
      <c r="H8692" t="s">
        <v>12635</v>
      </c>
      <c r="I8692" t="s">
        <v>5589</v>
      </c>
      <c r="J8692" t="s">
        <v>32898</v>
      </c>
      <c r="K8692" t="s">
        <v>42283</v>
      </c>
      <c r="M8692" t="s">
        <v>43260</v>
      </c>
      <c r="N8692" t="s">
        <v>46569</v>
      </c>
      <c r="O8692" t="s">
        <v>46570</v>
      </c>
      <c r="P8692">
        <v>0</v>
      </c>
      <c r="Q8692">
        <v>4</v>
      </c>
      <c r="R8692" t="s">
        <v>46576</v>
      </c>
      <c r="S8692" t="s">
        <v>46749</v>
      </c>
      <c r="T8692" t="s">
        <v>48305</v>
      </c>
      <c r="U8692" t="s">
        <v>53659</v>
      </c>
      <c r="W8692" t="s">
        <v>43260</v>
      </c>
      <c r="X8692" t="s">
        <v>46577</v>
      </c>
    </row>
    <row r="8693" spans="1:24">
      <c r="A8693">
        <f>HYPERLINK("https://www.philgeps.gov.ph/GEPSNONPILOT/Tender/SplashBidNoticeAbstractUI.aspx?menuIndex=3&amp;refID=7057193&amp;Result=3","7057193")</f>
        <v>0</v>
      </c>
      <c r="B8693" t="s">
        <v>1449</v>
      </c>
      <c r="C8693" t="s">
        <v>11779</v>
      </c>
      <c r="D8693" t="s">
        <v>18801</v>
      </c>
      <c r="E8693" t="s">
        <v>26459</v>
      </c>
      <c r="F8693" t="s">
        <v>32664</v>
      </c>
      <c r="G8693" t="s">
        <v>32671</v>
      </c>
      <c r="H8693" t="s">
        <v>12635</v>
      </c>
      <c r="I8693" t="s">
        <v>32692</v>
      </c>
      <c r="J8693" t="s">
        <v>33111</v>
      </c>
      <c r="K8693" t="s">
        <v>42281</v>
      </c>
      <c r="M8693" t="s">
        <v>44110</v>
      </c>
      <c r="N8693" t="s">
        <v>46569</v>
      </c>
      <c r="O8693" t="s">
        <v>46570</v>
      </c>
      <c r="P8693">
        <v>0</v>
      </c>
      <c r="Q8693">
        <v>2</v>
      </c>
      <c r="R8693" t="s">
        <v>46576</v>
      </c>
      <c r="S8693" t="s">
        <v>46749</v>
      </c>
      <c r="T8693" t="s">
        <v>48307</v>
      </c>
      <c r="U8693" t="s">
        <v>55828</v>
      </c>
      <c r="W8693" t="s">
        <v>44110</v>
      </c>
      <c r="X8693" t="s">
        <v>46577</v>
      </c>
    </row>
    <row r="8694" spans="1:24">
      <c r="A8694">
        <f>HYPERLINK("https://www.philgeps.gov.ph/GEPSNONPILOT/Tender/SplashBidNoticeAbstractUI.aspx?menuIndex=3&amp;refID=7057189&amp;Result=3","7057189")</f>
        <v>0</v>
      </c>
      <c r="B8694" t="s">
        <v>2533</v>
      </c>
      <c r="C8694" t="s">
        <v>11780</v>
      </c>
      <c r="D8694" t="s">
        <v>18829</v>
      </c>
      <c r="E8694" t="s">
        <v>26460</v>
      </c>
      <c r="F8694" t="s">
        <v>32664</v>
      </c>
      <c r="G8694" t="s">
        <v>32671</v>
      </c>
      <c r="H8694" t="s">
        <v>12635</v>
      </c>
      <c r="I8694" t="s">
        <v>8730</v>
      </c>
      <c r="J8694" t="s">
        <v>33311</v>
      </c>
      <c r="K8694" t="s">
        <v>42284</v>
      </c>
      <c r="M8694" t="s">
        <v>45341</v>
      </c>
      <c r="N8694" t="s">
        <v>46569</v>
      </c>
      <c r="O8694" t="s">
        <v>46570</v>
      </c>
      <c r="P8694">
        <v>0</v>
      </c>
      <c r="Q8694">
        <v>0</v>
      </c>
      <c r="R8694" t="s">
        <v>46576</v>
      </c>
      <c r="S8694" t="s">
        <v>46749</v>
      </c>
      <c r="T8694" t="s">
        <v>48244</v>
      </c>
      <c r="U8694" t="s">
        <v>55829</v>
      </c>
      <c r="W8694" t="s">
        <v>45341</v>
      </c>
      <c r="X8694" t="s">
        <v>46577</v>
      </c>
    </row>
    <row r="8695" spans="1:24">
      <c r="A8695">
        <f>HYPERLINK("https://www.philgeps.gov.ph/GEPSNONPILOT/Tender/SplashBidNoticeAbstractUI.aspx?menuIndex=3&amp;refID=7057144&amp;Result=3","7057144")</f>
        <v>0</v>
      </c>
      <c r="B8695" t="s">
        <v>2523</v>
      </c>
      <c r="C8695" t="s">
        <v>11781</v>
      </c>
      <c r="D8695" t="s">
        <v>18789</v>
      </c>
      <c r="E8695" t="s">
        <v>26461</v>
      </c>
      <c r="F8695" t="s">
        <v>32664</v>
      </c>
      <c r="G8695" t="s">
        <v>32671</v>
      </c>
      <c r="H8695" t="s">
        <v>12635</v>
      </c>
      <c r="I8695" t="s">
        <v>10590</v>
      </c>
      <c r="J8695" t="s">
        <v>35513</v>
      </c>
      <c r="K8695" t="s">
        <v>42284</v>
      </c>
      <c r="M8695" t="s">
        <v>45330</v>
      </c>
      <c r="N8695" t="s">
        <v>46569</v>
      </c>
      <c r="O8695" t="s">
        <v>46570</v>
      </c>
      <c r="P8695">
        <v>0</v>
      </c>
      <c r="Q8695">
        <v>0</v>
      </c>
      <c r="R8695" t="s">
        <v>46576</v>
      </c>
      <c r="S8695" t="s">
        <v>46749</v>
      </c>
      <c r="T8695" t="s">
        <v>48283</v>
      </c>
      <c r="U8695" t="s">
        <v>55796</v>
      </c>
      <c r="W8695" t="s">
        <v>45330</v>
      </c>
      <c r="X8695" t="s">
        <v>46577</v>
      </c>
    </row>
    <row r="8696" spans="1:24">
      <c r="A8696">
        <f>HYPERLINK("https://www.philgeps.gov.ph/GEPSNONPILOT/Tender/SplashBidNoticeAbstractUI.aspx?menuIndex=3&amp;refID=7057128&amp;Result=3","7057128")</f>
        <v>0</v>
      </c>
      <c r="B8696" t="s">
        <v>2534</v>
      </c>
      <c r="C8696" t="s">
        <v>11782</v>
      </c>
      <c r="D8696" t="s">
        <v>18783</v>
      </c>
      <c r="E8696" t="s">
        <v>26462</v>
      </c>
      <c r="F8696" t="s">
        <v>32664</v>
      </c>
      <c r="G8696" t="s">
        <v>32672</v>
      </c>
      <c r="H8696" t="s">
        <v>32683</v>
      </c>
      <c r="I8696" t="s">
        <v>10627</v>
      </c>
      <c r="J8696" t="s">
        <v>38097</v>
      </c>
      <c r="K8696" t="s">
        <v>42290</v>
      </c>
      <c r="M8696" t="s">
        <v>45342</v>
      </c>
      <c r="N8696" t="s">
        <v>46569</v>
      </c>
      <c r="O8696" t="s">
        <v>46570</v>
      </c>
      <c r="P8696">
        <v>0</v>
      </c>
      <c r="Q8696">
        <v>0</v>
      </c>
      <c r="R8696" t="s">
        <v>46576</v>
      </c>
      <c r="S8696" t="s">
        <v>46749</v>
      </c>
      <c r="T8696" t="s">
        <v>48467</v>
      </c>
      <c r="U8696" t="s">
        <v>55830</v>
      </c>
      <c r="W8696" t="s">
        <v>45342</v>
      </c>
      <c r="X8696" t="s">
        <v>46577</v>
      </c>
    </row>
    <row r="8697" spans="1:24">
      <c r="A8697">
        <f>HYPERLINK("https://www.philgeps.gov.ph/GEPSNONPILOT/Tender/SplashBidNoticeAbstractUI.aspx?menuIndex=3&amp;refID=7057199&amp;Result=3","7057199")</f>
        <v>0</v>
      </c>
      <c r="B8697" t="s">
        <v>2535</v>
      </c>
      <c r="C8697" t="s">
        <v>11783</v>
      </c>
      <c r="D8697" t="s">
        <v>18845</v>
      </c>
      <c r="E8697" t="s">
        <v>19634</v>
      </c>
      <c r="F8697" t="s">
        <v>32664</v>
      </c>
      <c r="G8697" t="s">
        <v>32672</v>
      </c>
      <c r="H8697" t="s">
        <v>12635</v>
      </c>
      <c r="I8697" t="s">
        <v>11464</v>
      </c>
      <c r="J8697" t="s">
        <v>35617</v>
      </c>
      <c r="K8697" t="s">
        <v>42297</v>
      </c>
      <c r="M8697" t="s">
        <v>45343</v>
      </c>
      <c r="N8697" t="s">
        <v>46569</v>
      </c>
      <c r="O8697" t="s">
        <v>46570</v>
      </c>
      <c r="P8697">
        <v>0</v>
      </c>
      <c r="Q8697">
        <v>3</v>
      </c>
      <c r="R8697" t="s">
        <v>46576</v>
      </c>
      <c r="S8697" t="s">
        <v>46749</v>
      </c>
      <c r="T8697" t="s">
        <v>48580</v>
      </c>
      <c r="U8697" t="s">
        <v>55831</v>
      </c>
      <c r="V8697" t="s">
        <v>62516</v>
      </c>
      <c r="W8697" t="s">
        <v>45343</v>
      </c>
      <c r="X8697" t="s">
        <v>46577</v>
      </c>
    </row>
    <row r="8698" spans="1:24">
      <c r="A8698">
        <f>HYPERLINK("https://www.philgeps.gov.ph/GEPSNONPILOT/Tender/SplashBidNoticeAbstractUI.aspx?menuIndex=3&amp;refID=7057242&amp;Result=3","7057242")</f>
        <v>0</v>
      </c>
      <c r="B8698" t="s">
        <v>2523</v>
      </c>
      <c r="C8698" t="s">
        <v>11784</v>
      </c>
      <c r="D8698" t="s">
        <v>18789</v>
      </c>
      <c r="E8698" t="s">
        <v>26463</v>
      </c>
      <c r="F8698" t="s">
        <v>32664</v>
      </c>
      <c r="G8698" t="s">
        <v>32671</v>
      </c>
      <c r="H8698" t="s">
        <v>12635</v>
      </c>
      <c r="I8698" t="s">
        <v>32687</v>
      </c>
      <c r="J8698" t="s">
        <v>33147</v>
      </c>
      <c r="K8698" t="s">
        <v>42284</v>
      </c>
      <c r="M8698" t="s">
        <v>45330</v>
      </c>
      <c r="N8698" t="s">
        <v>46569</v>
      </c>
      <c r="O8698" t="s">
        <v>46570</v>
      </c>
      <c r="P8698">
        <v>0</v>
      </c>
      <c r="Q8698">
        <v>2</v>
      </c>
      <c r="R8698" t="s">
        <v>46576</v>
      </c>
      <c r="S8698" t="s">
        <v>46749</v>
      </c>
      <c r="T8698" t="s">
        <v>48283</v>
      </c>
      <c r="U8698" t="s">
        <v>55796</v>
      </c>
      <c r="W8698" t="s">
        <v>45330</v>
      </c>
      <c r="X8698" t="s">
        <v>46577</v>
      </c>
    </row>
    <row r="8699" spans="1:24">
      <c r="A8699">
        <f>HYPERLINK("https://www.philgeps.gov.ph/GEPSNONPILOT/Tender/SplashBidNoticeAbstractUI.aspx?menuIndex=3&amp;refID=7057236&amp;Result=3","7057236")</f>
        <v>0</v>
      </c>
      <c r="B8699" t="s">
        <v>2534</v>
      </c>
      <c r="C8699" t="s">
        <v>11785</v>
      </c>
      <c r="D8699" t="s">
        <v>18783</v>
      </c>
      <c r="E8699" t="s">
        <v>26464</v>
      </c>
      <c r="F8699" t="s">
        <v>32664</v>
      </c>
      <c r="G8699" t="s">
        <v>32672</v>
      </c>
      <c r="H8699" t="s">
        <v>32683</v>
      </c>
      <c r="I8699" t="s">
        <v>10627</v>
      </c>
      <c r="J8699" t="s">
        <v>38098</v>
      </c>
      <c r="K8699" t="s">
        <v>42290</v>
      </c>
      <c r="M8699" t="s">
        <v>45342</v>
      </c>
      <c r="N8699" t="s">
        <v>46569</v>
      </c>
      <c r="O8699" t="s">
        <v>46570</v>
      </c>
      <c r="P8699">
        <v>0</v>
      </c>
      <c r="Q8699">
        <v>0</v>
      </c>
      <c r="R8699" t="s">
        <v>46576</v>
      </c>
      <c r="S8699" t="s">
        <v>46749</v>
      </c>
      <c r="T8699" t="s">
        <v>48467</v>
      </c>
      <c r="U8699" t="s">
        <v>55832</v>
      </c>
      <c r="W8699" t="s">
        <v>45342</v>
      </c>
      <c r="X8699" t="s">
        <v>46577</v>
      </c>
    </row>
    <row r="8700" spans="1:24">
      <c r="A8700">
        <f>HYPERLINK("https://www.philgeps.gov.ph/GEPSNONPILOT/Tender/SplashBidNoticeAbstractUI.aspx?menuIndex=3&amp;refID=7057231&amp;Result=3","7057231")</f>
        <v>0</v>
      </c>
      <c r="B8700" t="s">
        <v>2527</v>
      </c>
      <c r="C8700" t="s">
        <v>7455</v>
      </c>
      <c r="D8700" t="s">
        <v>18856</v>
      </c>
      <c r="E8700" t="s">
        <v>26465</v>
      </c>
      <c r="F8700" t="s">
        <v>32664</v>
      </c>
      <c r="G8700" t="s">
        <v>32672</v>
      </c>
      <c r="H8700" t="s">
        <v>12635</v>
      </c>
      <c r="I8700" t="s">
        <v>9486</v>
      </c>
      <c r="J8700" t="s">
        <v>38099</v>
      </c>
      <c r="K8700" t="s">
        <v>42281</v>
      </c>
      <c r="M8700" t="s">
        <v>45334</v>
      </c>
      <c r="N8700" t="s">
        <v>46569</v>
      </c>
      <c r="O8700" t="s">
        <v>46570</v>
      </c>
      <c r="P8700">
        <v>0</v>
      </c>
      <c r="Q8700">
        <v>3</v>
      </c>
      <c r="R8700" t="s">
        <v>46576</v>
      </c>
      <c r="S8700" t="s">
        <v>46749</v>
      </c>
      <c r="T8700" t="s">
        <v>48580</v>
      </c>
      <c r="U8700" t="s">
        <v>53962</v>
      </c>
      <c r="V8700" t="s">
        <v>62517</v>
      </c>
      <c r="W8700" t="s">
        <v>45334</v>
      </c>
      <c r="X8700" t="s">
        <v>46577</v>
      </c>
    </row>
    <row r="8701" spans="1:24">
      <c r="A8701">
        <f>HYPERLINK("https://www.philgeps.gov.ph/GEPSNONPILOT/Tender/SplashBidNoticeAbstractUI.aspx?menuIndex=3&amp;refID=7057229&amp;Result=3","7057229")</f>
        <v>0</v>
      </c>
      <c r="B8701" t="s">
        <v>1807</v>
      </c>
      <c r="C8701" t="s">
        <v>11786</v>
      </c>
      <c r="E8701" t="s">
        <v>26466</v>
      </c>
      <c r="F8701" t="s">
        <v>32664</v>
      </c>
      <c r="G8701" t="s">
        <v>32672</v>
      </c>
      <c r="H8701" t="s">
        <v>32683</v>
      </c>
      <c r="I8701" t="s">
        <v>4439</v>
      </c>
      <c r="J8701" t="s">
        <v>38100</v>
      </c>
      <c r="K8701" t="s">
        <v>42283</v>
      </c>
      <c r="M8701" t="s">
        <v>44512</v>
      </c>
      <c r="N8701" t="s">
        <v>46569</v>
      </c>
      <c r="O8701" t="s">
        <v>46570</v>
      </c>
      <c r="P8701">
        <v>0</v>
      </c>
      <c r="Q8701">
        <v>1</v>
      </c>
      <c r="R8701" t="s">
        <v>46576</v>
      </c>
      <c r="S8701" t="s">
        <v>46749</v>
      </c>
      <c r="T8701" t="s">
        <v>48283</v>
      </c>
      <c r="U8701" t="s">
        <v>55833</v>
      </c>
      <c r="W8701" t="s">
        <v>44512</v>
      </c>
      <c r="X8701" t="s">
        <v>46577</v>
      </c>
    </row>
    <row r="8702" spans="1:24">
      <c r="A8702">
        <f>HYPERLINK("https://www.philgeps.gov.ph/GEPSNONPILOT/Tender/SplashBidNoticeAbstractUI.aspx?menuIndex=3&amp;refID=7057228&amp;Result=3","7057228")</f>
        <v>0</v>
      </c>
      <c r="B8702" t="s">
        <v>789</v>
      </c>
      <c r="C8702" t="s">
        <v>11787</v>
      </c>
      <c r="D8702" t="s">
        <v>18805</v>
      </c>
      <c r="E8702" t="s">
        <v>26467</v>
      </c>
      <c r="F8702" t="s">
        <v>32664</v>
      </c>
      <c r="G8702" t="s">
        <v>32672</v>
      </c>
      <c r="H8702" t="s">
        <v>32683</v>
      </c>
      <c r="I8702" t="s">
        <v>10627</v>
      </c>
      <c r="J8702" t="s">
        <v>38101</v>
      </c>
      <c r="K8702" t="s">
        <v>42290</v>
      </c>
      <c r="M8702" t="s">
        <v>43381</v>
      </c>
      <c r="N8702" t="s">
        <v>46569</v>
      </c>
      <c r="O8702" t="s">
        <v>46570</v>
      </c>
      <c r="P8702">
        <v>0</v>
      </c>
      <c r="Q8702">
        <v>1</v>
      </c>
      <c r="R8702" t="s">
        <v>46576</v>
      </c>
      <c r="S8702" t="s">
        <v>46749</v>
      </c>
      <c r="T8702" t="s">
        <v>48264</v>
      </c>
      <c r="U8702" t="s">
        <v>55834</v>
      </c>
      <c r="V8702" t="s">
        <v>61811</v>
      </c>
      <c r="W8702" t="s">
        <v>43381</v>
      </c>
      <c r="X8702" t="s">
        <v>46577</v>
      </c>
    </row>
    <row r="8703" spans="1:24">
      <c r="A8703">
        <f>HYPERLINK("https://www.philgeps.gov.ph/GEPSNONPILOT/Tender/SplashBidNoticeAbstractUI.aspx?menuIndex=3&amp;refID=7057134&amp;Result=3","7057134")</f>
        <v>0</v>
      </c>
      <c r="B8703" t="s">
        <v>2519</v>
      </c>
      <c r="C8703" t="s">
        <v>11788</v>
      </c>
      <c r="D8703" t="s">
        <v>18784</v>
      </c>
      <c r="E8703" t="s">
        <v>19246</v>
      </c>
      <c r="F8703" t="s">
        <v>32664</v>
      </c>
      <c r="G8703" t="s">
        <v>32672</v>
      </c>
      <c r="H8703" t="s">
        <v>12635</v>
      </c>
      <c r="I8703" t="s">
        <v>5460</v>
      </c>
      <c r="J8703" t="s">
        <v>32974</v>
      </c>
      <c r="K8703" t="s">
        <v>42281</v>
      </c>
      <c r="M8703" t="s">
        <v>45326</v>
      </c>
      <c r="N8703" t="s">
        <v>46569</v>
      </c>
      <c r="O8703" t="s">
        <v>46570</v>
      </c>
      <c r="P8703">
        <v>0</v>
      </c>
      <c r="Q8703">
        <v>3</v>
      </c>
      <c r="R8703" t="s">
        <v>46576</v>
      </c>
      <c r="S8703" t="s">
        <v>46749</v>
      </c>
      <c r="T8703" t="s">
        <v>48221</v>
      </c>
      <c r="U8703" t="s">
        <v>55835</v>
      </c>
      <c r="V8703" t="s">
        <v>62503</v>
      </c>
      <c r="W8703" t="s">
        <v>45326</v>
      </c>
      <c r="X8703" t="s">
        <v>46577</v>
      </c>
    </row>
    <row r="8704" spans="1:24">
      <c r="A8704">
        <f>HYPERLINK("https://www.philgeps.gov.ph/GEPSNONPILOT/Tender/SplashBidNoticeAbstractUI.aspx?menuIndex=3&amp;refID=7057223&amp;Result=3","7057223")</f>
        <v>0</v>
      </c>
      <c r="B8704" t="s">
        <v>470</v>
      </c>
      <c r="C8704" t="s">
        <v>11789</v>
      </c>
      <c r="D8704" t="s">
        <v>18816</v>
      </c>
      <c r="E8704" t="s">
        <v>11789</v>
      </c>
      <c r="F8704" t="s">
        <v>32664</v>
      </c>
      <c r="G8704" t="s">
        <v>32672</v>
      </c>
      <c r="H8704" t="s">
        <v>32683</v>
      </c>
      <c r="I8704" t="s">
        <v>10627</v>
      </c>
      <c r="J8704" t="s">
        <v>38102</v>
      </c>
      <c r="K8704" t="s">
        <v>42290</v>
      </c>
      <c r="M8704" t="s">
        <v>43045</v>
      </c>
      <c r="N8704" t="s">
        <v>46569</v>
      </c>
      <c r="O8704" t="s">
        <v>46570</v>
      </c>
      <c r="Q8704">
        <v>0</v>
      </c>
      <c r="R8704" t="s">
        <v>46576</v>
      </c>
      <c r="S8704" t="s">
        <v>46798</v>
      </c>
      <c r="T8704" t="s">
        <v>48452</v>
      </c>
      <c r="U8704" t="s">
        <v>55836</v>
      </c>
      <c r="W8704" t="s">
        <v>43045</v>
      </c>
      <c r="X8704" t="s">
        <v>46577</v>
      </c>
    </row>
    <row r="8705" spans="1:24">
      <c r="A8705">
        <f>HYPERLINK("https://www.philgeps.gov.ph/GEPSNONPILOT/Tender/SplashBidNoticeAbstractUI.aspx?menuIndex=3&amp;refID=7057132&amp;Result=3","7057132")</f>
        <v>0</v>
      </c>
      <c r="B8705" t="s">
        <v>847</v>
      </c>
      <c r="C8705" t="s">
        <v>11790</v>
      </c>
      <c r="D8705" t="s">
        <v>18863</v>
      </c>
      <c r="E8705" t="s">
        <v>26468</v>
      </c>
      <c r="F8705" t="s">
        <v>32664</v>
      </c>
      <c r="G8705" t="s">
        <v>32671</v>
      </c>
      <c r="H8705" t="s">
        <v>12635</v>
      </c>
      <c r="I8705" t="s">
        <v>32727</v>
      </c>
      <c r="J8705" t="s">
        <v>38103</v>
      </c>
      <c r="K8705" t="s">
        <v>42281</v>
      </c>
      <c r="M8705" t="s">
        <v>43443</v>
      </c>
      <c r="N8705" t="s">
        <v>46569</v>
      </c>
      <c r="O8705" t="s">
        <v>46570</v>
      </c>
      <c r="P8705">
        <v>0</v>
      </c>
      <c r="Q8705">
        <v>4</v>
      </c>
      <c r="R8705" t="s">
        <v>46576</v>
      </c>
      <c r="S8705" t="s">
        <v>46749</v>
      </c>
      <c r="T8705" t="s">
        <v>48307</v>
      </c>
      <c r="U8705" t="s">
        <v>55656</v>
      </c>
      <c r="V8705" t="s">
        <v>62518</v>
      </c>
      <c r="W8705" t="s">
        <v>43443</v>
      </c>
      <c r="X8705" t="s">
        <v>46577</v>
      </c>
    </row>
    <row r="8706" spans="1:24">
      <c r="A8706">
        <f>HYPERLINK("https://www.philgeps.gov.ph/GEPSNONPILOT/Tender/SplashBidNoticeAbstractUI.aspx?menuIndex=3&amp;refID=7057195&amp;Result=3","7057195")</f>
        <v>0</v>
      </c>
      <c r="B8706" t="s">
        <v>1807</v>
      </c>
      <c r="C8706" t="s">
        <v>11791</v>
      </c>
      <c r="E8706" t="s">
        <v>26469</v>
      </c>
      <c r="F8706" t="s">
        <v>32664</v>
      </c>
      <c r="G8706" t="s">
        <v>32671</v>
      </c>
      <c r="H8706" t="s">
        <v>12635</v>
      </c>
      <c r="I8706" t="s">
        <v>6223</v>
      </c>
      <c r="J8706" t="s">
        <v>38104</v>
      </c>
      <c r="K8706" t="s">
        <v>42283</v>
      </c>
      <c r="M8706" t="s">
        <v>44512</v>
      </c>
      <c r="N8706" t="s">
        <v>46569</v>
      </c>
      <c r="O8706" t="s">
        <v>46570</v>
      </c>
      <c r="P8706">
        <v>0</v>
      </c>
      <c r="Q8706">
        <v>0</v>
      </c>
      <c r="R8706" t="s">
        <v>46576</v>
      </c>
      <c r="S8706" t="s">
        <v>46749</v>
      </c>
      <c r="T8706" t="s">
        <v>48287</v>
      </c>
      <c r="U8706" t="s">
        <v>55837</v>
      </c>
      <c r="W8706" t="s">
        <v>44512</v>
      </c>
      <c r="X8706" t="s">
        <v>46577</v>
      </c>
    </row>
    <row r="8707" spans="1:24">
      <c r="A8707">
        <f>HYPERLINK("https://www.philgeps.gov.ph/GEPSNONPILOT/Tender/SplashBidNoticeAbstractUI.aspx?menuIndex=3&amp;refID=7057254&amp;Result=3","7057254")</f>
        <v>0</v>
      </c>
      <c r="B8707" t="s">
        <v>847</v>
      </c>
      <c r="C8707" t="s">
        <v>11792</v>
      </c>
      <c r="D8707" t="s">
        <v>18863</v>
      </c>
      <c r="E8707" t="s">
        <v>26470</v>
      </c>
      <c r="F8707" t="s">
        <v>32664</v>
      </c>
      <c r="G8707" t="s">
        <v>32671</v>
      </c>
      <c r="H8707" t="s">
        <v>12635</v>
      </c>
      <c r="I8707" t="s">
        <v>32758</v>
      </c>
      <c r="J8707" t="s">
        <v>34436</v>
      </c>
      <c r="K8707" t="s">
        <v>42281</v>
      </c>
      <c r="M8707" t="s">
        <v>43443</v>
      </c>
      <c r="N8707" t="s">
        <v>46569</v>
      </c>
      <c r="O8707" t="s">
        <v>46570</v>
      </c>
      <c r="P8707">
        <v>0</v>
      </c>
      <c r="Q8707">
        <v>1</v>
      </c>
      <c r="R8707" t="s">
        <v>46576</v>
      </c>
      <c r="S8707" t="s">
        <v>46749</v>
      </c>
      <c r="T8707" t="s">
        <v>48307</v>
      </c>
      <c r="U8707" t="s">
        <v>55656</v>
      </c>
      <c r="V8707" t="s">
        <v>62518</v>
      </c>
      <c r="W8707" t="s">
        <v>43443</v>
      </c>
      <c r="X8707" t="s">
        <v>46577</v>
      </c>
    </row>
    <row r="8708" spans="1:24">
      <c r="A8708">
        <f>HYPERLINK("https://www.philgeps.gov.ph/GEPSNONPILOT/Tender/SplashBidNoticeAbstractUI.aspx?menuIndex=3&amp;refID=7057246&amp;Result=3","7057246")</f>
        <v>0</v>
      </c>
      <c r="B8708" t="s">
        <v>396</v>
      </c>
      <c r="C8708" t="s">
        <v>11793</v>
      </c>
      <c r="D8708" t="s">
        <v>18790</v>
      </c>
      <c r="E8708" t="s">
        <v>26471</v>
      </c>
      <c r="F8708" t="s">
        <v>32664</v>
      </c>
      <c r="G8708" t="s">
        <v>32672</v>
      </c>
      <c r="H8708" t="s">
        <v>12635</v>
      </c>
      <c r="I8708" t="s">
        <v>4439</v>
      </c>
      <c r="J8708" t="s">
        <v>38105</v>
      </c>
      <c r="K8708" t="s">
        <v>42297</v>
      </c>
      <c r="M8708" t="s">
        <v>42966</v>
      </c>
      <c r="N8708" t="s">
        <v>46569</v>
      </c>
      <c r="O8708" t="s">
        <v>46570</v>
      </c>
      <c r="P8708">
        <v>0</v>
      </c>
      <c r="Q8708">
        <v>1</v>
      </c>
      <c r="R8708" t="s">
        <v>46576</v>
      </c>
      <c r="S8708" t="s">
        <v>46749</v>
      </c>
      <c r="T8708" t="s">
        <v>48283</v>
      </c>
      <c r="U8708" t="s">
        <v>55838</v>
      </c>
      <c r="W8708" t="s">
        <v>42966</v>
      </c>
      <c r="X8708" t="s">
        <v>46577</v>
      </c>
    </row>
    <row r="8709" spans="1:24">
      <c r="A8709">
        <f>HYPERLINK("https://www.philgeps.gov.ph/GEPSNONPILOT/Tender/SplashBidNoticeAbstractUI.aspx?menuIndex=3&amp;refID=7057122&amp;Result=3","7057122")</f>
        <v>0</v>
      </c>
      <c r="B8709" t="s">
        <v>2533</v>
      </c>
      <c r="C8709" t="s">
        <v>11794</v>
      </c>
      <c r="D8709" t="s">
        <v>18829</v>
      </c>
      <c r="E8709" t="s">
        <v>26472</v>
      </c>
      <c r="F8709" t="s">
        <v>32664</v>
      </c>
      <c r="G8709" t="s">
        <v>32671</v>
      </c>
      <c r="H8709" t="s">
        <v>12635</v>
      </c>
      <c r="I8709" t="s">
        <v>8730</v>
      </c>
      <c r="J8709" t="s">
        <v>33215</v>
      </c>
      <c r="K8709" t="s">
        <v>42284</v>
      </c>
      <c r="M8709" t="s">
        <v>45341</v>
      </c>
      <c r="N8709" t="s">
        <v>46569</v>
      </c>
      <c r="O8709" t="s">
        <v>46570</v>
      </c>
      <c r="P8709">
        <v>0</v>
      </c>
      <c r="Q8709">
        <v>0</v>
      </c>
      <c r="R8709" t="s">
        <v>46576</v>
      </c>
      <c r="S8709" t="s">
        <v>46749</v>
      </c>
      <c r="T8709" t="s">
        <v>48217</v>
      </c>
      <c r="U8709" t="s">
        <v>55839</v>
      </c>
      <c r="W8709" t="s">
        <v>45341</v>
      </c>
      <c r="X8709" t="s">
        <v>46577</v>
      </c>
    </row>
    <row r="8710" spans="1:24">
      <c r="A8710">
        <f>HYPERLINK("https://www.philgeps.gov.ph/GEPSNONPILOT/Tender/SplashBidNoticeAbstractUI.aspx?menuIndex=3&amp;refID=7057209&amp;Result=3","7057209")</f>
        <v>0</v>
      </c>
      <c r="B8710" t="s">
        <v>1449</v>
      </c>
      <c r="C8710" t="s">
        <v>11795</v>
      </c>
      <c r="D8710" t="s">
        <v>18801</v>
      </c>
      <c r="E8710" t="s">
        <v>26473</v>
      </c>
      <c r="F8710" t="s">
        <v>32664</v>
      </c>
      <c r="G8710" t="s">
        <v>32671</v>
      </c>
      <c r="H8710" t="s">
        <v>12635</v>
      </c>
      <c r="I8710" t="s">
        <v>8797</v>
      </c>
      <c r="J8710" t="s">
        <v>34050</v>
      </c>
      <c r="K8710" t="s">
        <v>42281</v>
      </c>
      <c r="M8710" t="s">
        <v>44110</v>
      </c>
      <c r="N8710" t="s">
        <v>46569</v>
      </c>
      <c r="O8710" t="s">
        <v>46570</v>
      </c>
      <c r="P8710">
        <v>0</v>
      </c>
      <c r="Q8710">
        <v>6</v>
      </c>
      <c r="R8710" t="s">
        <v>46576</v>
      </c>
      <c r="S8710" t="s">
        <v>46749</v>
      </c>
      <c r="T8710" t="s">
        <v>48307</v>
      </c>
      <c r="U8710" t="s">
        <v>55840</v>
      </c>
      <c r="W8710" t="s">
        <v>44110</v>
      </c>
      <c r="X8710" t="s">
        <v>46577</v>
      </c>
    </row>
    <row r="8711" spans="1:24">
      <c r="A8711">
        <f>HYPERLINK("https://www.philgeps.gov.ph/GEPSNONPILOT/Tender/SplashBidNoticeAbstractUI.aspx?menuIndex=3&amp;refID=7057247&amp;Result=3","7057247")</f>
        <v>0</v>
      </c>
      <c r="B8711" t="s">
        <v>2536</v>
      </c>
      <c r="C8711" t="s">
        <v>11796</v>
      </c>
      <c r="E8711" t="s">
        <v>26474</v>
      </c>
      <c r="F8711" t="s">
        <v>32664</v>
      </c>
      <c r="G8711" t="s">
        <v>32671</v>
      </c>
      <c r="H8711" t="s">
        <v>12635</v>
      </c>
      <c r="I8711" t="s">
        <v>4439</v>
      </c>
      <c r="J8711" t="s">
        <v>38106</v>
      </c>
      <c r="K8711" t="s">
        <v>42283</v>
      </c>
      <c r="M8711" t="s">
        <v>45344</v>
      </c>
      <c r="N8711" t="s">
        <v>46569</v>
      </c>
      <c r="O8711" t="s">
        <v>46570</v>
      </c>
      <c r="P8711">
        <v>0</v>
      </c>
      <c r="Q8711">
        <v>0</v>
      </c>
      <c r="R8711" t="s">
        <v>46576</v>
      </c>
      <c r="S8711" t="s">
        <v>46749</v>
      </c>
      <c r="T8711" t="s">
        <v>48246</v>
      </c>
      <c r="U8711" t="s">
        <v>55841</v>
      </c>
      <c r="W8711" t="s">
        <v>45344</v>
      </c>
      <c r="X8711" t="s">
        <v>46577</v>
      </c>
    </row>
    <row r="8712" spans="1:24">
      <c r="A8712">
        <f>HYPERLINK("https://www.philgeps.gov.ph/GEPSNONPILOT/Tender/SplashBidNoticeAbstractUI.aspx?menuIndex=3&amp;refID=7057208&amp;Result=3","7057208")</f>
        <v>0</v>
      </c>
      <c r="B8712" t="s">
        <v>2536</v>
      </c>
      <c r="C8712" t="s">
        <v>11797</v>
      </c>
      <c r="E8712" t="s">
        <v>26475</v>
      </c>
      <c r="F8712" t="s">
        <v>32664</v>
      </c>
      <c r="G8712" t="s">
        <v>32671</v>
      </c>
      <c r="H8712" t="s">
        <v>12635</v>
      </c>
      <c r="I8712" t="s">
        <v>4439</v>
      </c>
      <c r="J8712" t="s">
        <v>38107</v>
      </c>
      <c r="K8712" t="s">
        <v>42283</v>
      </c>
      <c r="M8712" t="s">
        <v>45344</v>
      </c>
      <c r="N8712" t="s">
        <v>46569</v>
      </c>
      <c r="O8712" t="s">
        <v>46570</v>
      </c>
      <c r="P8712">
        <v>0</v>
      </c>
      <c r="Q8712">
        <v>0</v>
      </c>
      <c r="R8712" t="s">
        <v>46576</v>
      </c>
      <c r="S8712" t="s">
        <v>46749</v>
      </c>
      <c r="T8712" t="s">
        <v>48246</v>
      </c>
      <c r="U8712" t="s">
        <v>55842</v>
      </c>
      <c r="W8712" t="s">
        <v>45344</v>
      </c>
      <c r="X8712" t="s">
        <v>46577</v>
      </c>
    </row>
    <row r="8713" spans="1:24">
      <c r="A8713">
        <f>HYPERLINK("https://www.philgeps.gov.ph/GEPSNONPILOT/Tender/SplashBidNoticeAbstractUI.aspx?menuIndex=3&amp;refID=7057213&amp;Result=3","7057213")</f>
        <v>0</v>
      </c>
      <c r="B8713" t="s">
        <v>2523</v>
      </c>
      <c r="C8713" t="s">
        <v>11798</v>
      </c>
      <c r="D8713" t="s">
        <v>18789</v>
      </c>
      <c r="E8713" t="s">
        <v>26476</v>
      </c>
      <c r="F8713" t="s">
        <v>32664</v>
      </c>
      <c r="G8713" t="s">
        <v>32671</v>
      </c>
      <c r="H8713" t="s">
        <v>12635</v>
      </c>
      <c r="I8713" t="s">
        <v>32741</v>
      </c>
      <c r="J8713" t="s">
        <v>32984</v>
      </c>
      <c r="K8713" t="s">
        <v>42284</v>
      </c>
      <c r="M8713" t="s">
        <v>45330</v>
      </c>
      <c r="N8713" t="s">
        <v>46569</v>
      </c>
      <c r="O8713" t="s">
        <v>46570</v>
      </c>
      <c r="P8713">
        <v>0</v>
      </c>
      <c r="Q8713">
        <v>10</v>
      </c>
      <c r="R8713" t="s">
        <v>46576</v>
      </c>
      <c r="S8713" t="s">
        <v>46749</v>
      </c>
      <c r="T8713" t="s">
        <v>48283</v>
      </c>
      <c r="U8713" t="s">
        <v>55796</v>
      </c>
      <c r="W8713" t="s">
        <v>45330</v>
      </c>
      <c r="X8713" t="s">
        <v>46577</v>
      </c>
    </row>
    <row r="8714" spans="1:24">
      <c r="A8714">
        <f>HYPERLINK("https://www.philgeps.gov.ph/GEPSNONPILOT/Tender/SplashBidNoticeAbstractUI.aspx?menuIndex=3&amp;refID=7057250&amp;Result=3","7057250")</f>
        <v>0</v>
      </c>
      <c r="B8714" t="s">
        <v>1479</v>
      </c>
      <c r="C8714" t="s">
        <v>11799</v>
      </c>
      <c r="D8714" t="s">
        <v>18788</v>
      </c>
      <c r="E8714" t="s">
        <v>26477</v>
      </c>
      <c r="F8714" t="s">
        <v>32664</v>
      </c>
      <c r="G8714" t="s">
        <v>32672</v>
      </c>
      <c r="H8714" t="s">
        <v>12635</v>
      </c>
      <c r="I8714" t="s">
        <v>8730</v>
      </c>
      <c r="J8714" t="s">
        <v>38108</v>
      </c>
      <c r="K8714" t="s">
        <v>42289</v>
      </c>
      <c r="M8714" t="s">
        <v>44142</v>
      </c>
      <c r="N8714" t="s">
        <v>46569</v>
      </c>
      <c r="O8714" t="s">
        <v>46570</v>
      </c>
      <c r="P8714">
        <v>0</v>
      </c>
      <c r="Q8714">
        <v>3</v>
      </c>
      <c r="R8714" t="s">
        <v>46576</v>
      </c>
      <c r="S8714" t="s">
        <v>46749</v>
      </c>
      <c r="T8714" t="s">
        <v>48603</v>
      </c>
      <c r="U8714" t="s">
        <v>55810</v>
      </c>
      <c r="W8714" t="s">
        <v>44142</v>
      </c>
      <c r="X8714" t="s">
        <v>46577</v>
      </c>
    </row>
    <row r="8715" spans="1:24">
      <c r="A8715">
        <f>HYPERLINK("https://www.philgeps.gov.ph/GEPSNONPILOT/Tender/SplashBidNoticeAbstractUI.aspx?menuIndex=3&amp;refID=7057200&amp;Result=3","7057200")</f>
        <v>0</v>
      </c>
      <c r="B8715" t="s">
        <v>168</v>
      </c>
      <c r="C8715" t="s">
        <v>11800</v>
      </c>
      <c r="D8715" t="s">
        <v>18790</v>
      </c>
      <c r="E8715" t="s">
        <v>26478</v>
      </c>
      <c r="F8715" t="s">
        <v>32664</v>
      </c>
      <c r="G8715" t="s">
        <v>32672</v>
      </c>
      <c r="H8715" t="s">
        <v>12635</v>
      </c>
      <c r="I8715" t="s">
        <v>4439</v>
      </c>
      <c r="J8715" t="s">
        <v>38109</v>
      </c>
      <c r="K8715" t="s">
        <v>42284</v>
      </c>
      <c r="M8715" t="s">
        <v>42732</v>
      </c>
      <c r="N8715" t="s">
        <v>46569</v>
      </c>
      <c r="O8715" t="s">
        <v>46570</v>
      </c>
      <c r="P8715">
        <v>0</v>
      </c>
      <c r="Q8715">
        <v>0</v>
      </c>
      <c r="R8715" t="s">
        <v>46576</v>
      </c>
      <c r="S8715" t="s">
        <v>46749</v>
      </c>
      <c r="T8715" t="s">
        <v>48263</v>
      </c>
      <c r="U8715" t="s">
        <v>55843</v>
      </c>
      <c r="W8715" t="s">
        <v>42732</v>
      </c>
      <c r="X8715" t="s">
        <v>46577</v>
      </c>
    </row>
    <row r="8716" spans="1:24">
      <c r="A8716">
        <f>HYPERLINK("https://www.philgeps.gov.ph/GEPSNONPILOT/Tender/SplashBidNoticeAbstractUI.aspx?menuIndex=3&amp;refID=7057051&amp;Result=3","7057051")</f>
        <v>0</v>
      </c>
      <c r="B8716" t="s">
        <v>2519</v>
      </c>
      <c r="C8716" t="s">
        <v>11526</v>
      </c>
      <c r="D8716" t="s">
        <v>18784</v>
      </c>
      <c r="E8716" t="s">
        <v>19304</v>
      </c>
      <c r="F8716" t="s">
        <v>32664</v>
      </c>
      <c r="G8716" t="s">
        <v>32672</v>
      </c>
      <c r="H8716" t="s">
        <v>12635</v>
      </c>
      <c r="I8716" t="s">
        <v>8730</v>
      </c>
      <c r="J8716" t="s">
        <v>38110</v>
      </c>
      <c r="K8716" t="s">
        <v>42281</v>
      </c>
      <c r="M8716" t="s">
        <v>45326</v>
      </c>
      <c r="N8716" t="s">
        <v>46569</v>
      </c>
      <c r="O8716" t="s">
        <v>46570</v>
      </c>
      <c r="P8716">
        <v>0</v>
      </c>
      <c r="Q8716">
        <v>2</v>
      </c>
      <c r="R8716" t="s">
        <v>46576</v>
      </c>
      <c r="S8716" t="s">
        <v>46749</v>
      </c>
      <c r="T8716" t="s">
        <v>48221</v>
      </c>
      <c r="U8716" t="s">
        <v>55844</v>
      </c>
      <c r="V8716" t="s">
        <v>62503</v>
      </c>
      <c r="W8716" t="s">
        <v>45326</v>
      </c>
      <c r="X8716" t="s">
        <v>46577</v>
      </c>
    </row>
    <row r="8717" spans="1:24">
      <c r="A8717">
        <f>HYPERLINK("https://www.philgeps.gov.ph/GEPSNONPILOT/Tender/SplashBidNoticeAbstractUI.aspx?menuIndex=3&amp;refID=7057207&amp;Result=3","7057207")</f>
        <v>0</v>
      </c>
      <c r="B8717" t="s">
        <v>2148</v>
      </c>
      <c r="C8717" t="s">
        <v>9486</v>
      </c>
      <c r="D8717" t="s">
        <v>18788</v>
      </c>
      <c r="E8717" t="s">
        <v>21126</v>
      </c>
      <c r="F8717" t="s">
        <v>32664</v>
      </c>
      <c r="G8717" t="s">
        <v>32672</v>
      </c>
      <c r="H8717" t="s">
        <v>12635</v>
      </c>
      <c r="I8717" t="s">
        <v>9486</v>
      </c>
      <c r="J8717" t="s">
        <v>38111</v>
      </c>
      <c r="K8717" t="s">
        <v>42284</v>
      </c>
      <c r="M8717" t="s">
        <v>44904</v>
      </c>
      <c r="N8717" t="s">
        <v>46569</v>
      </c>
      <c r="O8717" t="s">
        <v>46570</v>
      </c>
      <c r="P8717">
        <v>0</v>
      </c>
      <c r="Q8717">
        <v>1</v>
      </c>
      <c r="R8717" t="s">
        <v>46576</v>
      </c>
      <c r="S8717" t="s">
        <v>46749</v>
      </c>
      <c r="T8717" t="s">
        <v>48283</v>
      </c>
      <c r="U8717" t="s">
        <v>55845</v>
      </c>
      <c r="W8717" t="s">
        <v>44904</v>
      </c>
      <c r="X8717" t="s">
        <v>46577</v>
      </c>
    </row>
    <row r="8718" spans="1:24">
      <c r="A8718">
        <f>HYPERLINK("https://www.philgeps.gov.ph/GEPSNONPILOT/Tender/SplashBidNoticeAbstractUI.aspx?menuIndex=3&amp;refID=7057290&amp;Result=3","7057290")</f>
        <v>0</v>
      </c>
      <c r="B8718" t="s">
        <v>1543</v>
      </c>
      <c r="C8718" t="s">
        <v>11801</v>
      </c>
      <c r="D8718" t="s">
        <v>18784</v>
      </c>
      <c r="E8718" t="s">
        <v>26479</v>
      </c>
      <c r="F8718" t="s">
        <v>32664</v>
      </c>
      <c r="G8718" t="s">
        <v>32671</v>
      </c>
      <c r="H8718" t="s">
        <v>12635</v>
      </c>
      <c r="I8718" t="s">
        <v>32727</v>
      </c>
      <c r="J8718" t="s">
        <v>38112</v>
      </c>
      <c r="K8718" t="s">
        <v>42281</v>
      </c>
      <c r="M8718" t="s">
        <v>44212</v>
      </c>
      <c r="N8718" t="s">
        <v>46569</v>
      </c>
      <c r="O8718" t="s">
        <v>46570</v>
      </c>
      <c r="P8718">
        <v>0</v>
      </c>
      <c r="Q8718">
        <v>3</v>
      </c>
      <c r="R8718" t="s">
        <v>46576</v>
      </c>
      <c r="S8718" t="s">
        <v>46749</v>
      </c>
      <c r="T8718" t="s">
        <v>48316</v>
      </c>
      <c r="U8718" t="s">
        <v>55846</v>
      </c>
      <c r="V8718" t="s">
        <v>62058</v>
      </c>
      <c r="W8718" t="s">
        <v>44212</v>
      </c>
      <c r="X8718" t="s">
        <v>46577</v>
      </c>
    </row>
    <row r="8719" spans="1:24">
      <c r="A8719">
        <f>HYPERLINK("https://www.philgeps.gov.ph/GEPSNONPILOT/Tender/SplashBidNoticeAbstractUI.aspx?menuIndex=3&amp;refID=7057204&amp;Result=3","7057204")</f>
        <v>0</v>
      </c>
      <c r="B8719" t="s">
        <v>2533</v>
      </c>
      <c r="C8719" t="s">
        <v>5193</v>
      </c>
      <c r="D8719" t="s">
        <v>18829</v>
      </c>
      <c r="E8719" t="s">
        <v>26480</v>
      </c>
      <c r="F8719" t="s">
        <v>32664</v>
      </c>
      <c r="G8719" t="s">
        <v>32675</v>
      </c>
      <c r="H8719" t="s">
        <v>12635</v>
      </c>
      <c r="I8719" t="s">
        <v>8730</v>
      </c>
      <c r="J8719" t="s">
        <v>38113</v>
      </c>
      <c r="K8719" t="s">
        <v>42284</v>
      </c>
      <c r="M8719" t="s">
        <v>45341</v>
      </c>
      <c r="N8719" t="s">
        <v>46569</v>
      </c>
      <c r="O8719" t="s">
        <v>46570</v>
      </c>
      <c r="P8719">
        <v>0</v>
      </c>
      <c r="Q8719">
        <v>0</v>
      </c>
      <c r="R8719" t="s">
        <v>46576</v>
      </c>
      <c r="S8719" t="s">
        <v>46749</v>
      </c>
      <c r="T8719" t="s">
        <v>48221</v>
      </c>
      <c r="U8719" t="s">
        <v>55847</v>
      </c>
      <c r="W8719" t="s">
        <v>45341</v>
      </c>
      <c r="X8719" t="s">
        <v>46577</v>
      </c>
    </row>
    <row r="8720" spans="1:24">
      <c r="A8720">
        <f>HYPERLINK("https://www.philgeps.gov.ph/GEPSNONPILOT/Tender/SplashBidNoticeAbstractUI.aspx?menuIndex=3&amp;refID=7057201&amp;Result=3","7057201")</f>
        <v>0</v>
      </c>
      <c r="B8720" t="s">
        <v>847</v>
      </c>
      <c r="C8720" t="s">
        <v>11802</v>
      </c>
      <c r="D8720" t="s">
        <v>18863</v>
      </c>
      <c r="E8720" t="s">
        <v>26481</v>
      </c>
      <c r="F8720" t="s">
        <v>32664</v>
      </c>
      <c r="G8720" t="s">
        <v>32671</v>
      </c>
      <c r="H8720" t="s">
        <v>12635</v>
      </c>
      <c r="I8720" t="s">
        <v>32758</v>
      </c>
      <c r="J8720" t="s">
        <v>32853</v>
      </c>
      <c r="K8720" t="s">
        <v>42281</v>
      </c>
      <c r="M8720" t="s">
        <v>43443</v>
      </c>
      <c r="N8720" t="s">
        <v>46569</v>
      </c>
      <c r="O8720" t="s">
        <v>46570</v>
      </c>
      <c r="P8720">
        <v>0</v>
      </c>
      <c r="Q8720">
        <v>0</v>
      </c>
      <c r="R8720" t="s">
        <v>46576</v>
      </c>
      <c r="S8720" t="s">
        <v>46749</v>
      </c>
      <c r="T8720" t="s">
        <v>48307</v>
      </c>
      <c r="U8720" t="s">
        <v>55656</v>
      </c>
      <c r="V8720" t="s">
        <v>61846</v>
      </c>
      <c r="W8720" t="s">
        <v>43443</v>
      </c>
      <c r="X8720" t="s">
        <v>46577</v>
      </c>
    </row>
    <row r="8721" spans="1:24">
      <c r="A8721">
        <f>HYPERLINK("https://www.philgeps.gov.ph/GEPSNONPILOT/Tender/SplashBidNoticeAbstractUI.aspx?menuIndex=3&amp;refID=7057218&amp;Result=3","7057218")</f>
        <v>0</v>
      </c>
      <c r="B8721" t="s">
        <v>2529</v>
      </c>
      <c r="C8721" t="s">
        <v>11803</v>
      </c>
      <c r="D8721" t="s">
        <v>18821</v>
      </c>
      <c r="E8721" t="s">
        <v>26482</v>
      </c>
      <c r="F8721" t="s">
        <v>32664</v>
      </c>
      <c r="G8721" t="s">
        <v>32672</v>
      </c>
      <c r="H8721" t="s">
        <v>32683</v>
      </c>
      <c r="I8721" t="s">
        <v>10627</v>
      </c>
      <c r="J8721" t="s">
        <v>32853</v>
      </c>
      <c r="K8721" t="s">
        <v>42284</v>
      </c>
      <c r="L8721" t="s">
        <v>2529</v>
      </c>
      <c r="M8721" t="s">
        <v>45337</v>
      </c>
      <c r="N8721" t="s">
        <v>46569</v>
      </c>
      <c r="O8721" t="s">
        <v>46570</v>
      </c>
      <c r="P8721">
        <v>0</v>
      </c>
      <c r="Q8721">
        <v>1</v>
      </c>
      <c r="R8721" t="s">
        <v>46576</v>
      </c>
      <c r="S8721" t="s">
        <v>46749</v>
      </c>
      <c r="T8721" t="s">
        <v>48251</v>
      </c>
      <c r="U8721" t="s">
        <v>55848</v>
      </c>
      <c r="V8721" t="s">
        <v>62519</v>
      </c>
      <c r="W8721" t="s">
        <v>45337</v>
      </c>
      <c r="X8721" t="s">
        <v>46577</v>
      </c>
    </row>
    <row r="8722" spans="1:24">
      <c r="A8722">
        <f>HYPERLINK("https://www.philgeps.gov.ph/GEPSNONPILOT/Tender/SplashBidNoticeAbstractUI.aspx?menuIndex=3&amp;refID=7057294&amp;Result=3","7057294")</f>
        <v>0</v>
      </c>
      <c r="B8722" t="s">
        <v>2537</v>
      </c>
      <c r="C8722" t="s">
        <v>11804</v>
      </c>
      <c r="E8722" t="s">
        <v>26483</v>
      </c>
      <c r="F8722" t="s">
        <v>32668</v>
      </c>
      <c r="G8722" t="s">
        <v>32671</v>
      </c>
      <c r="H8722" t="s">
        <v>12635</v>
      </c>
      <c r="I8722" t="s">
        <v>10627</v>
      </c>
      <c r="J8722" t="s">
        <v>38114</v>
      </c>
      <c r="K8722" t="s">
        <v>42305</v>
      </c>
      <c r="M8722" t="s">
        <v>45345</v>
      </c>
      <c r="N8722" t="s">
        <v>46569</v>
      </c>
      <c r="O8722" t="s">
        <v>46570</v>
      </c>
      <c r="P8722">
        <v>0</v>
      </c>
      <c r="Q8722">
        <v>1</v>
      </c>
      <c r="R8722" t="s">
        <v>46576</v>
      </c>
      <c r="S8722" t="s">
        <v>46749</v>
      </c>
      <c r="T8722" t="s">
        <v>48219</v>
      </c>
      <c r="U8722" t="s">
        <v>55849</v>
      </c>
      <c r="V8722" t="s">
        <v>62520</v>
      </c>
      <c r="W8722" t="s">
        <v>45345</v>
      </c>
      <c r="X8722" t="s">
        <v>46577</v>
      </c>
    </row>
    <row r="8723" spans="1:24">
      <c r="A8723">
        <f>HYPERLINK("https://www.philgeps.gov.ph/GEPSNONPILOT/Tender/SplashBidNoticeAbstractUI.aspx?menuIndex=3&amp;refID=7057326&amp;Result=3","7057326")</f>
        <v>0</v>
      </c>
      <c r="B8723" t="s">
        <v>161</v>
      </c>
      <c r="C8723" t="s">
        <v>11805</v>
      </c>
      <c r="D8723" t="s">
        <v>18826</v>
      </c>
      <c r="E8723" t="s">
        <v>20953</v>
      </c>
      <c r="F8723" t="s">
        <v>32664</v>
      </c>
      <c r="G8723" t="s">
        <v>32672</v>
      </c>
      <c r="H8723" t="s">
        <v>12635</v>
      </c>
      <c r="I8723" t="s">
        <v>32716</v>
      </c>
      <c r="J8723" t="s">
        <v>33334</v>
      </c>
      <c r="K8723" t="s">
        <v>42284</v>
      </c>
      <c r="M8723" t="s">
        <v>42725</v>
      </c>
      <c r="N8723" t="s">
        <v>46569</v>
      </c>
      <c r="O8723" t="s">
        <v>46570</v>
      </c>
      <c r="P8723">
        <v>0</v>
      </c>
      <c r="Q8723">
        <v>1</v>
      </c>
      <c r="R8723" t="s">
        <v>46576</v>
      </c>
      <c r="S8723" t="s">
        <v>46749</v>
      </c>
      <c r="T8723" t="s">
        <v>48217</v>
      </c>
      <c r="U8723" t="s">
        <v>55850</v>
      </c>
      <c r="W8723" t="s">
        <v>42725</v>
      </c>
      <c r="X8723" t="s">
        <v>46577</v>
      </c>
    </row>
    <row r="8724" spans="1:24">
      <c r="A8724">
        <f>HYPERLINK("https://www.philgeps.gov.ph/GEPSNONPILOT/Tender/SplashBidNoticeAbstractUI.aspx?menuIndex=3&amp;refID=7057325&amp;Result=3","7057325")</f>
        <v>0</v>
      </c>
      <c r="B8724" t="s">
        <v>1745</v>
      </c>
      <c r="C8724" t="s">
        <v>11806</v>
      </c>
      <c r="D8724" t="s">
        <v>18822</v>
      </c>
      <c r="E8724" t="s">
        <v>23449</v>
      </c>
      <c r="F8724" t="s">
        <v>32664</v>
      </c>
      <c r="G8724" t="s">
        <v>32672</v>
      </c>
      <c r="H8724" t="s">
        <v>12635</v>
      </c>
      <c r="I8724" t="s">
        <v>4439</v>
      </c>
      <c r="J8724" t="s">
        <v>38115</v>
      </c>
      <c r="K8724" t="s">
        <v>42289</v>
      </c>
      <c r="M8724" t="s">
        <v>44444</v>
      </c>
      <c r="N8724" t="s">
        <v>46569</v>
      </c>
      <c r="O8724" t="s">
        <v>46570</v>
      </c>
      <c r="P8724">
        <v>0</v>
      </c>
      <c r="Q8724">
        <v>1</v>
      </c>
      <c r="R8724" t="s">
        <v>46576</v>
      </c>
      <c r="S8724" t="s">
        <v>46749</v>
      </c>
      <c r="T8724" t="s">
        <v>48258</v>
      </c>
      <c r="U8724" t="s">
        <v>52992</v>
      </c>
      <c r="W8724" t="s">
        <v>44444</v>
      </c>
      <c r="X8724" t="s">
        <v>46577</v>
      </c>
    </row>
    <row r="8725" spans="1:24">
      <c r="A8725">
        <f>HYPERLINK("https://www.philgeps.gov.ph/GEPSNONPILOT/Tender/SplashBidNoticeAbstractUI.aspx?menuIndex=3&amp;refID=7057346&amp;Result=3","7057346")</f>
        <v>0</v>
      </c>
      <c r="B8725" t="s">
        <v>988</v>
      </c>
      <c r="C8725" t="s">
        <v>11807</v>
      </c>
      <c r="E8725" t="s">
        <v>26484</v>
      </c>
      <c r="F8725" t="s">
        <v>32664</v>
      </c>
      <c r="G8725" t="s">
        <v>32671</v>
      </c>
      <c r="H8725" t="s">
        <v>12635</v>
      </c>
      <c r="I8725" t="s">
        <v>6628</v>
      </c>
      <c r="J8725" t="s">
        <v>34216</v>
      </c>
      <c r="K8725" t="s">
        <v>42283</v>
      </c>
      <c r="M8725" t="s">
        <v>44301</v>
      </c>
      <c r="N8725" t="s">
        <v>46569</v>
      </c>
      <c r="O8725" t="s">
        <v>46570</v>
      </c>
      <c r="P8725">
        <v>0</v>
      </c>
      <c r="Q8725">
        <v>10</v>
      </c>
      <c r="R8725" t="s">
        <v>46576</v>
      </c>
      <c r="S8725" t="s">
        <v>46749</v>
      </c>
      <c r="T8725" t="s">
        <v>48221</v>
      </c>
      <c r="U8725" t="s">
        <v>55851</v>
      </c>
      <c r="W8725" t="s">
        <v>44301</v>
      </c>
      <c r="X8725" t="s">
        <v>46577</v>
      </c>
    </row>
    <row r="8726" spans="1:24">
      <c r="A8726">
        <f>HYPERLINK("https://www.philgeps.gov.ph/GEPSNONPILOT/Tender/SplashBidNoticeAbstractUI.aspx?menuIndex=3&amp;refID=7057319&amp;Result=3","7057319")</f>
        <v>0</v>
      </c>
      <c r="B8726" t="s">
        <v>2529</v>
      </c>
      <c r="C8726" t="s">
        <v>11808</v>
      </c>
      <c r="D8726" t="s">
        <v>18821</v>
      </c>
      <c r="E8726" t="s">
        <v>26485</v>
      </c>
      <c r="F8726" t="s">
        <v>32664</v>
      </c>
      <c r="G8726" t="s">
        <v>32672</v>
      </c>
      <c r="H8726" t="s">
        <v>32683</v>
      </c>
      <c r="I8726" t="s">
        <v>10627</v>
      </c>
      <c r="J8726" t="s">
        <v>33051</v>
      </c>
      <c r="K8726" t="s">
        <v>42284</v>
      </c>
      <c r="L8726" t="s">
        <v>2529</v>
      </c>
      <c r="M8726" t="s">
        <v>45337</v>
      </c>
      <c r="N8726" t="s">
        <v>46569</v>
      </c>
      <c r="O8726" t="s">
        <v>46570</v>
      </c>
      <c r="P8726">
        <v>0</v>
      </c>
      <c r="Q8726">
        <v>1</v>
      </c>
      <c r="R8726" t="s">
        <v>46576</v>
      </c>
      <c r="S8726" t="s">
        <v>46749</v>
      </c>
      <c r="T8726" t="s">
        <v>48251</v>
      </c>
      <c r="U8726" t="s">
        <v>55852</v>
      </c>
      <c r="V8726" t="s">
        <v>62521</v>
      </c>
      <c r="W8726" t="s">
        <v>45337</v>
      </c>
      <c r="X8726" t="s">
        <v>46577</v>
      </c>
    </row>
    <row r="8727" spans="1:24">
      <c r="A8727">
        <f>HYPERLINK("https://www.philgeps.gov.ph/GEPSNONPILOT/Tender/SplashBidNoticeAbstractUI.aspx?menuIndex=3&amp;refID=7057255&amp;Result=3","7057255")</f>
        <v>0</v>
      </c>
      <c r="B8727" t="s">
        <v>2538</v>
      </c>
      <c r="C8727" t="s">
        <v>11809</v>
      </c>
      <c r="D8727" t="s">
        <v>18805</v>
      </c>
      <c r="E8727" t="s">
        <v>26486</v>
      </c>
      <c r="F8727" t="s">
        <v>32664</v>
      </c>
      <c r="G8727" t="s">
        <v>32671</v>
      </c>
      <c r="H8727" t="s">
        <v>12635</v>
      </c>
      <c r="I8727" t="s">
        <v>8730</v>
      </c>
      <c r="J8727" t="s">
        <v>38116</v>
      </c>
      <c r="K8727" t="s">
        <v>42289</v>
      </c>
      <c r="M8727" t="s">
        <v>45346</v>
      </c>
      <c r="N8727" t="s">
        <v>46569</v>
      </c>
      <c r="O8727" t="s">
        <v>46570</v>
      </c>
      <c r="P8727">
        <v>0</v>
      </c>
      <c r="Q8727">
        <v>4</v>
      </c>
      <c r="R8727" t="s">
        <v>46576</v>
      </c>
      <c r="S8727" t="s">
        <v>46749</v>
      </c>
      <c r="T8727" t="s">
        <v>48254</v>
      </c>
      <c r="U8727" t="s">
        <v>55853</v>
      </c>
      <c r="W8727" t="s">
        <v>45346</v>
      </c>
      <c r="X8727" t="s">
        <v>46577</v>
      </c>
    </row>
    <row r="8728" spans="1:24">
      <c r="A8728">
        <f>HYPERLINK("https://www.philgeps.gov.ph/GEPSNONPILOT/Tender/SplashBidNoticeAbstractUI.aspx?menuIndex=3&amp;refID=7057328&amp;Result=3","7057328")</f>
        <v>0</v>
      </c>
      <c r="B8728" t="s">
        <v>2539</v>
      </c>
      <c r="C8728" t="s">
        <v>11810</v>
      </c>
      <c r="D8728" t="s">
        <v>18807</v>
      </c>
      <c r="E8728" t="s">
        <v>19193</v>
      </c>
      <c r="F8728" t="s">
        <v>32664</v>
      </c>
      <c r="G8728" t="s">
        <v>32672</v>
      </c>
      <c r="H8728" t="s">
        <v>12635</v>
      </c>
      <c r="I8728" t="s">
        <v>14442</v>
      </c>
      <c r="J8728" t="s">
        <v>34268</v>
      </c>
      <c r="K8728" t="s">
        <v>42281</v>
      </c>
      <c r="M8728" t="s">
        <v>45347</v>
      </c>
      <c r="N8728" t="s">
        <v>46569</v>
      </c>
      <c r="O8728" t="s">
        <v>46570</v>
      </c>
      <c r="P8728">
        <v>0</v>
      </c>
      <c r="Q8728">
        <v>1</v>
      </c>
      <c r="R8728" t="s">
        <v>46576</v>
      </c>
      <c r="S8728" t="s">
        <v>46749</v>
      </c>
      <c r="T8728" t="s">
        <v>48268</v>
      </c>
      <c r="U8728" t="s">
        <v>55854</v>
      </c>
      <c r="W8728" t="s">
        <v>45347</v>
      </c>
      <c r="X8728" t="s">
        <v>46577</v>
      </c>
    </row>
    <row r="8729" spans="1:24">
      <c r="A8729">
        <f>HYPERLINK("https://www.philgeps.gov.ph/GEPSNONPILOT/Tender/SplashBidNoticeAbstractUI.aspx?menuIndex=3&amp;refID=7057289&amp;Result=3","7057289")</f>
        <v>0</v>
      </c>
      <c r="B8729" t="s">
        <v>2534</v>
      </c>
      <c r="C8729" t="s">
        <v>11811</v>
      </c>
      <c r="E8729" t="s">
        <v>26487</v>
      </c>
      <c r="F8729" t="s">
        <v>32664</v>
      </c>
      <c r="G8729" t="s">
        <v>32672</v>
      </c>
      <c r="H8729" t="s">
        <v>32683</v>
      </c>
      <c r="I8729" t="s">
        <v>10627</v>
      </c>
      <c r="J8729" t="s">
        <v>38098</v>
      </c>
      <c r="K8729" t="s">
        <v>42290</v>
      </c>
      <c r="N8729" t="s">
        <v>46569</v>
      </c>
      <c r="O8729" t="s">
        <v>46570</v>
      </c>
      <c r="P8729">
        <v>0</v>
      </c>
      <c r="Q8729">
        <v>0</v>
      </c>
      <c r="R8729" t="s">
        <v>46576</v>
      </c>
      <c r="S8729" t="s">
        <v>46749</v>
      </c>
      <c r="T8729" t="s">
        <v>48467</v>
      </c>
      <c r="U8729" t="s">
        <v>55832</v>
      </c>
      <c r="W8729" t="s">
        <v>45342</v>
      </c>
      <c r="X8729" t="s">
        <v>46577</v>
      </c>
    </row>
    <row r="8730" spans="1:24">
      <c r="A8730">
        <f>HYPERLINK("https://www.philgeps.gov.ph/GEPSNONPILOT/Tender/SplashBidNoticeAbstractUI.aspx?menuIndex=3&amp;refID=7057283&amp;Result=3","7057283")</f>
        <v>0</v>
      </c>
      <c r="B8730" t="s">
        <v>396</v>
      </c>
      <c r="C8730" t="s">
        <v>11812</v>
      </c>
      <c r="D8730" t="s">
        <v>18790</v>
      </c>
      <c r="E8730" t="s">
        <v>26488</v>
      </c>
      <c r="F8730" t="s">
        <v>32664</v>
      </c>
      <c r="G8730" t="s">
        <v>32672</v>
      </c>
      <c r="H8730" t="s">
        <v>12635</v>
      </c>
      <c r="I8730" t="s">
        <v>4439</v>
      </c>
      <c r="J8730" t="s">
        <v>38117</v>
      </c>
      <c r="K8730" t="s">
        <v>42297</v>
      </c>
      <c r="M8730" t="s">
        <v>42966</v>
      </c>
      <c r="N8730" t="s">
        <v>46569</v>
      </c>
      <c r="O8730" t="s">
        <v>46570</v>
      </c>
      <c r="P8730">
        <v>0</v>
      </c>
      <c r="Q8730">
        <v>0</v>
      </c>
      <c r="R8730" t="s">
        <v>46576</v>
      </c>
      <c r="S8730" t="s">
        <v>46749</v>
      </c>
      <c r="T8730" t="s">
        <v>48283</v>
      </c>
      <c r="U8730" t="s">
        <v>55855</v>
      </c>
      <c r="W8730" t="s">
        <v>42966</v>
      </c>
      <c r="X8730" t="s">
        <v>46577</v>
      </c>
    </row>
    <row r="8731" spans="1:24">
      <c r="A8731">
        <f>HYPERLINK("https://www.philgeps.gov.ph/GEPSNONPILOT/Tender/SplashBidNoticeAbstractUI.aspx?menuIndex=3&amp;refID=7057279&amp;Result=3","7057279")</f>
        <v>0</v>
      </c>
      <c r="B8731" t="s">
        <v>847</v>
      </c>
      <c r="C8731" t="s">
        <v>11813</v>
      </c>
      <c r="D8731" t="s">
        <v>18782</v>
      </c>
      <c r="E8731" t="s">
        <v>26489</v>
      </c>
      <c r="F8731" t="s">
        <v>32664</v>
      </c>
      <c r="G8731" t="s">
        <v>32671</v>
      </c>
      <c r="H8731" t="s">
        <v>12635</v>
      </c>
      <c r="I8731" t="s">
        <v>6223</v>
      </c>
      <c r="J8731" t="s">
        <v>38118</v>
      </c>
      <c r="K8731" t="s">
        <v>42281</v>
      </c>
      <c r="M8731" t="s">
        <v>43443</v>
      </c>
      <c r="N8731" t="s">
        <v>46569</v>
      </c>
      <c r="O8731" t="s">
        <v>46570</v>
      </c>
      <c r="P8731">
        <v>0</v>
      </c>
      <c r="Q8731">
        <v>1</v>
      </c>
      <c r="R8731" t="s">
        <v>46576</v>
      </c>
      <c r="S8731" t="s">
        <v>46749</v>
      </c>
      <c r="T8731" t="s">
        <v>48307</v>
      </c>
      <c r="U8731" t="s">
        <v>55656</v>
      </c>
      <c r="V8731" t="s">
        <v>61831</v>
      </c>
      <c r="W8731" t="s">
        <v>43443</v>
      </c>
      <c r="X8731" t="s">
        <v>46577</v>
      </c>
    </row>
    <row r="8732" spans="1:24">
      <c r="A8732">
        <f>HYPERLINK("https://www.philgeps.gov.ph/GEPSNONPILOT/Tender/SplashBidNoticeAbstractUI.aspx?menuIndex=3&amp;refID=7057274&amp;Result=3","7057274")</f>
        <v>0</v>
      </c>
      <c r="B8732" t="s">
        <v>1745</v>
      </c>
      <c r="C8732" t="s">
        <v>11814</v>
      </c>
      <c r="D8732" t="s">
        <v>18822</v>
      </c>
      <c r="E8732" t="s">
        <v>26490</v>
      </c>
      <c r="F8732" t="s">
        <v>32664</v>
      </c>
      <c r="G8732" t="s">
        <v>32672</v>
      </c>
      <c r="H8732" t="s">
        <v>12635</v>
      </c>
      <c r="I8732" t="s">
        <v>4439</v>
      </c>
      <c r="J8732" t="s">
        <v>38119</v>
      </c>
      <c r="K8732" t="s">
        <v>42289</v>
      </c>
      <c r="M8732" t="s">
        <v>44444</v>
      </c>
      <c r="N8732" t="s">
        <v>46569</v>
      </c>
      <c r="O8732" t="s">
        <v>46570</v>
      </c>
      <c r="P8732">
        <v>0</v>
      </c>
      <c r="Q8732">
        <v>1</v>
      </c>
      <c r="R8732" t="s">
        <v>46576</v>
      </c>
      <c r="S8732" t="s">
        <v>46749</v>
      </c>
      <c r="T8732" t="s">
        <v>48258</v>
      </c>
      <c r="U8732" t="s">
        <v>52992</v>
      </c>
      <c r="W8732" t="s">
        <v>44444</v>
      </c>
      <c r="X8732" t="s">
        <v>46577</v>
      </c>
    </row>
    <row r="8733" spans="1:24">
      <c r="A8733">
        <f>HYPERLINK("https://www.philgeps.gov.ph/GEPSNONPILOT/Tender/SplashBidNoticeAbstractUI.aspx?menuIndex=3&amp;refID=7057343&amp;Result=3","7057343")</f>
        <v>0</v>
      </c>
      <c r="B8733" t="s">
        <v>847</v>
      </c>
      <c r="C8733" t="s">
        <v>11815</v>
      </c>
      <c r="D8733" t="s">
        <v>18863</v>
      </c>
      <c r="E8733" t="s">
        <v>26491</v>
      </c>
      <c r="F8733" t="s">
        <v>32664</v>
      </c>
      <c r="G8733" t="s">
        <v>32671</v>
      </c>
      <c r="H8733" t="s">
        <v>12635</v>
      </c>
      <c r="I8733" t="s">
        <v>32758</v>
      </c>
      <c r="J8733" t="s">
        <v>38120</v>
      </c>
      <c r="K8733" t="s">
        <v>42281</v>
      </c>
      <c r="M8733" t="s">
        <v>43443</v>
      </c>
      <c r="N8733" t="s">
        <v>46569</v>
      </c>
      <c r="O8733" t="s">
        <v>46570</v>
      </c>
      <c r="P8733">
        <v>0</v>
      </c>
      <c r="Q8733">
        <v>1</v>
      </c>
      <c r="R8733" t="s">
        <v>46576</v>
      </c>
      <c r="S8733" t="s">
        <v>46749</v>
      </c>
      <c r="T8733" t="s">
        <v>48307</v>
      </c>
      <c r="U8733" t="s">
        <v>55656</v>
      </c>
      <c r="V8733" t="s">
        <v>62518</v>
      </c>
      <c r="W8733" t="s">
        <v>43443</v>
      </c>
      <c r="X8733" t="s">
        <v>46577</v>
      </c>
    </row>
    <row r="8734" spans="1:24">
      <c r="A8734">
        <f>HYPERLINK("https://www.philgeps.gov.ph/GEPSNONPILOT/Tender/SplashBidNoticeAbstractUI.aspx?menuIndex=3&amp;refID=7057272&amp;Result=3","7057272")</f>
        <v>0</v>
      </c>
      <c r="B8734" t="s">
        <v>168</v>
      </c>
      <c r="C8734" t="s">
        <v>11816</v>
      </c>
      <c r="D8734" t="s">
        <v>18790</v>
      </c>
      <c r="E8734" t="s">
        <v>26492</v>
      </c>
      <c r="F8734" t="s">
        <v>32664</v>
      </c>
      <c r="G8734" t="s">
        <v>32672</v>
      </c>
      <c r="H8734" t="s">
        <v>12635</v>
      </c>
      <c r="I8734" t="s">
        <v>4439</v>
      </c>
      <c r="J8734" t="s">
        <v>38121</v>
      </c>
      <c r="K8734" t="s">
        <v>42284</v>
      </c>
      <c r="M8734" t="s">
        <v>42732</v>
      </c>
      <c r="N8734" t="s">
        <v>46569</v>
      </c>
      <c r="O8734" t="s">
        <v>46570</v>
      </c>
      <c r="P8734">
        <v>0</v>
      </c>
      <c r="Q8734">
        <v>1</v>
      </c>
      <c r="R8734" t="s">
        <v>46576</v>
      </c>
      <c r="S8734" t="s">
        <v>46749</v>
      </c>
      <c r="T8734" t="s">
        <v>48263</v>
      </c>
      <c r="U8734" t="s">
        <v>55856</v>
      </c>
      <c r="W8734" t="s">
        <v>42732</v>
      </c>
      <c r="X8734" t="s">
        <v>46577</v>
      </c>
    </row>
    <row r="8735" spans="1:24">
      <c r="A8735">
        <f>HYPERLINK("https://www.philgeps.gov.ph/GEPSNONPILOT/Tender/SplashBidNoticeAbstractUI.aspx?menuIndex=3&amp;refID=7057263&amp;Result=3","7057263")</f>
        <v>0</v>
      </c>
      <c r="B8735" t="s">
        <v>2529</v>
      </c>
      <c r="C8735" t="s">
        <v>11817</v>
      </c>
      <c r="D8735" t="s">
        <v>18821</v>
      </c>
      <c r="E8735" t="s">
        <v>26493</v>
      </c>
      <c r="F8735" t="s">
        <v>32664</v>
      </c>
      <c r="G8735" t="s">
        <v>32672</v>
      </c>
      <c r="H8735" t="s">
        <v>32683</v>
      </c>
      <c r="I8735" t="s">
        <v>10627</v>
      </c>
      <c r="J8735" t="s">
        <v>32917</v>
      </c>
      <c r="K8735" t="s">
        <v>42284</v>
      </c>
      <c r="L8735" t="s">
        <v>2529</v>
      </c>
      <c r="M8735" t="s">
        <v>45337</v>
      </c>
      <c r="N8735" t="s">
        <v>46569</v>
      </c>
      <c r="O8735" t="s">
        <v>46570</v>
      </c>
      <c r="P8735">
        <v>0</v>
      </c>
      <c r="Q8735">
        <v>1</v>
      </c>
      <c r="R8735" t="s">
        <v>46576</v>
      </c>
      <c r="S8735" t="s">
        <v>46749</v>
      </c>
      <c r="T8735" t="s">
        <v>48251</v>
      </c>
      <c r="U8735" t="s">
        <v>55857</v>
      </c>
      <c r="V8735" t="s">
        <v>62522</v>
      </c>
      <c r="W8735" t="s">
        <v>45337</v>
      </c>
      <c r="X8735" t="s">
        <v>46577</v>
      </c>
    </row>
    <row r="8736" spans="1:24">
      <c r="A8736">
        <f>HYPERLINK("https://www.philgeps.gov.ph/GEPSNONPILOT/Tender/SplashBidNoticeAbstractUI.aspx?menuIndex=3&amp;refID=7057259&amp;Result=3","7057259")</f>
        <v>0</v>
      </c>
      <c r="B8736" t="s">
        <v>1161</v>
      </c>
      <c r="C8736" t="s">
        <v>11818</v>
      </c>
      <c r="D8736" t="s">
        <v>18819</v>
      </c>
      <c r="E8736" t="s">
        <v>19568</v>
      </c>
      <c r="F8736" t="s">
        <v>32664</v>
      </c>
      <c r="G8736" t="s">
        <v>32671</v>
      </c>
      <c r="H8736" t="s">
        <v>12635</v>
      </c>
      <c r="I8736" t="s">
        <v>4439</v>
      </c>
      <c r="J8736" t="s">
        <v>33738</v>
      </c>
      <c r="K8736" t="s">
        <v>42309</v>
      </c>
      <c r="M8736" t="s">
        <v>43792</v>
      </c>
      <c r="N8736" t="s">
        <v>46569</v>
      </c>
      <c r="O8736" t="s">
        <v>46570</v>
      </c>
      <c r="P8736">
        <v>0</v>
      </c>
      <c r="Q8736">
        <v>4</v>
      </c>
      <c r="R8736" t="s">
        <v>46576</v>
      </c>
      <c r="S8736" t="s">
        <v>46749</v>
      </c>
      <c r="T8736" t="s">
        <v>48290</v>
      </c>
      <c r="U8736" t="s">
        <v>55858</v>
      </c>
      <c r="W8736" t="s">
        <v>43792</v>
      </c>
      <c r="X8736" t="s">
        <v>46577</v>
      </c>
    </row>
    <row r="8737" spans="1:24">
      <c r="A8737">
        <f>HYPERLINK("https://www.philgeps.gov.ph/GEPSNONPILOT/Tender/SplashBidNoticeAbstractUI.aspx?menuIndex=3&amp;refID=7057421&amp;Result=3","7057421")</f>
        <v>0</v>
      </c>
      <c r="B8737" t="s">
        <v>469</v>
      </c>
      <c r="C8737" t="s">
        <v>11819</v>
      </c>
      <c r="D8737" t="s">
        <v>18784</v>
      </c>
      <c r="E8737" t="s">
        <v>23256</v>
      </c>
      <c r="F8737" t="s">
        <v>32664</v>
      </c>
      <c r="G8737" t="s">
        <v>32671</v>
      </c>
      <c r="H8737" t="s">
        <v>12635</v>
      </c>
      <c r="I8737" t="s">
        <v>32757</v>
      </c>
      <c r="J8737" t="s">
        <v>38122</v>
      </c>
      <c r="K8737" t="s">
        <v>42283</v>
      </c>
      <c r="M8737" t="s">
        <v>43044</v>
      </c>
      <c r="N8737" t="s">
        <v>46569</v>
      </c>
      <c r="O8737" t="s">
        <v>46570</v>
      </c>
      <c r="P8737">
        <v>0</v>
      </c>
      <c r="Q8737">
        <v>0</v>
      </c>
      <c r="R8737" t="s">
        <v>46576</v>
      </c>
      <c r="S8737" t="s">
        <v>46749</v>
      </c>
      <c r="T8737" t="s">
        <v>48449</v>
      </c>
      <c r="U8737" t="s">
        <v>49619</v>
      </c>
      <c r="W8737" t="s">
        <v>43044</v>
      </c>
      <c r="X8737" t="s">
        <v>46577</v>
      </c>
    </row>
    <row r="8738" spans="1:24">
      <c r="A8738">
        <f>HYPERLINK("https://www.philgeps.gov.ph/GEPSNONPILOT/Tender/SplashBidNoticeAbstractUI.aspx?menuIndex=3&amp;refID=7057310&amp;Result=3","7057310")</f>
        <v>0</v>
      </c>
      <c r="B8738" t="s">
        <v>2540</v>
      </c>
      <c r="C8738" t="s">
        <v>11820</v>
      </c>
      <c r="D8738" t="s">
        <v>18843</v>
      </c>
      <c r="E8738" t="s">
        <v>26494</v>
      </c>
      <c r="F8738" t="s">
        <v>32664</v>
      </c>
      <c r="G8738" t="s">
        <v>32672</v>
      </c>
      <c r="H8738" t="s">
        <v>12635</v>
      </c>
      <c r="I8738" t="s">
        <v>4439</v>
      </c>
      <c r="J8738" t="s">
        <v>37576</v>
      </c>
      <c r="K8738" t="s">
        <v>42283</v>
      </c>
      <c r="M8738" t="s">
        <v>45348</v>
      </c>
      <c r="N8738" t="s">
        <v>46569</v>
      </c>
      <c r="O8738" t="s">
        <v>46570</v>
      </c>
      <c r="P8738">
        <v>0</v>
      </c>
      <c r="Q8738">
        <v>0</v>
      </c>
      <c r="R8738" t="s">
        <v>46576</v>
      </c>
      <c r="S8738" t="s">
        <v>46749</v>
      </c>
      <c r="T8738" t="s">
        <v>48244</v>
      </c>
      <c r="U8738" t="s">
        <v>55859</v>
      </c>
      <c r="W8738" t="s">
        <v>45348</v>
      </c>
      <c r="X8738" t="s">
        <v>46577</v>
      </c>
    </row>
    <row r="8739" spans="1:24">
      <c r="A8739">
        <f>HYPERLINK("https://www.philgeps.gov.ph/GEPSNONPILOT/Tender/SplashBidNoticeAbstractUI.aspx?menuIndex=3&amp;refID=7057420&amp;Result=3","7057420")</f>
        <v>0</v>
      </c>
      <c r="B8739" t="s">
        <v>988</v>
      </c>
      <c r="C8739" t="s">
        <v>11821</v>
      </c>
      <c r="E8739" t="s">
        <v>26495</v>
      </c>
      <c r="F8739" t="s">
        <v>32664</v>
      </c>
      <c r="G8739" t="s">
        <v>32671</v>
      </c>
      <c r="H8739" t="s">
        <v>12635</v>
      </c>
      <c r="I8739" t="s">
        <v>5589</v>
      </c>
      <c r="J8739" t="s">
        <v>32984</v>
      </c>
      <c r="K8739" t="s">
        <v>42283</v>
      </c>
      <c r="M8739" t="s">
        <v>44301</v>
      </c>
      <c r="N8739" t="s">
        <v>46569</v>
      </c>
      <c r="O8739" t="s">
        <v>46570</v>
      </c>
      <c r="P8739">
        <v>0</v>
      </c>
      <c r="Q8739">
        <v>5</v>
      </c>
      <c r="R8739" t="s">
        <v>46576</v>
      </c>
      <c r="S8739" t="s">
        <v>46749</v>
      </c>
      <c r="T8739" t="s">
        <v>48221</v>
      </c>
      <c r="U8739" t="s">
        <v>55860</v>
      </c>
      <c r="W8739" t="s">
        <v>44301</v>
      </c>
      <c r="X8739" t="s">
        <v>46577</v>
      </c>
    </row>
    <row r="8740" spans="1:24">
      <c r="A8740">
        <f>HYPERLINK("https://www.philgeps.gov.ph/GEPSNONPILOT/Tender/SplashBidNoticeAbstractUI.aspx?menuIndex=3&amp;refID=7057416&amp;Result=3","7057416")</f>
        <v>0</v>
      </c>
      <c r="B8740" t="s">
        <v>1926</v>
      </c>
      <c r="C8740" t="s">
        <v>11822</v>
      </c>
      <c r="D8740" t="s">
        <v>18787</v>
      </c>
      <c r="E8740" t="s">
        <v>26496</v>
      </c>
      <c r="F8740" t="s">
        <v>32664</v>
      </c>
      <c r="G8740" t="s">
        <v>32672</v>
      </c>
      <c r="H8740" t="s">
        <v>32683</v>
      </c>
      <c r="I8740" t="s">
        <v>10627</v>
      </c>
      <c r="J8740" t="s">
        <v>38123</v>
      </c>
      <c r="K8740" t="s">
        <v>42290</v>
      </c>
      <c r="M8740" t="s">
        <v>44648</v>
      </c>
      <c r="N8740" t="s">
        <v>46569</v>
      </c>
      <c r="O8740" t="s">
        <v>46570</v>
      </c>
      <c r="P8740">
        <v>0</v>
      </c>
      <c r="Q8740">
        <v>0</v>
      </c>
      <c r="R8740" t="s">
        <v>46576</v>
      </c>
      <c r="S8740" t="s">
        <v>46749</v>
      </c>
      <c r="T8740" t="s">
        <v>48328</v>
      </c>
      <c r="U8740" t="s">
        <v>53569</v>
      </c>
      <c r="W8740" t="s">
        <v>44648</v>
      </c>
      <c r="X8740" t="s">
        <v>46577</v>
      </c>
    </row>
    <row r="8741" spans="1:24">
      <c r="A8741">
        <f>HYPERLINK("https://www.philgeps.gov.ph/GEPSNONPILOT/Tender/SplashBidNoticeAbstractUI.aspx?menuIndex=3&amp;refID=7057425&amp;Result=3","7057425")</f>
        <v>0</v>
      </c>
      <c r="B8741" t="s">
        <v>1054</v>
      </c>
      <c r="C8741" t="s">
        <v>11823</v>
      </c>
      <c r="D8741" t="s">
        <v>18814</v>
      </c>
      <c r="E8741" t="s">
        <v>26497</v>
      </c>
      <c r="F8741" t="s">
        <v>32664</v>
      </c>
      <c r="G8741" t="s">
        <v>32671</v>
      </c>
      <c r="H8741" t="s">
        <v>12635</v>
      </c>
      <c r="I8741" t="s">
        <v>32727</v>
      </c>
      <c r="J8741" t="s">
        <v>38124</v>
      </c>
      <c r="K8741" t="s">
        <v>42285</v>
      </c>
      <c r="M8741" t="s">
        <v>43672</v>
      </c>
      <c r="N8741" t="s">
        <v>46569</v>
      </c>
      <c r="O8741" t="s">
        <v>46570</v>
      </c>
      <c r="P8741">
        <v>0</v>
      </c>
      <c r="Q8741">
        <v>5</v>
      </c>
      <c r="R8741" t="s">
        <v>46576</v>
      </c>
      <c r="S8741" t="s">
        <v>46749</v>
      </c>
      <c r="T8741" t="s">
        <v>48448</v>
      </c>
      <c r="U8741" t="s">
        <v>55861</v>
      </c>
      <c r="W8741" t="s">
        <v>43672</v>
      </c>
      <c r="X8741" t="s">
        <v>46577</v>
      </c>
    </row>
    <row r="8742" spans="1:24">
      <c r="A8742">
        <f>HYPERLINK("https://www.philgeps.gov.ph/GEPSNONPILOT/Tender/SplashBidNoticeAbstractUI.aspx?menuIndex=3&amp;refID=7057403&amp;Result=3","7057403")</f>
        <v>0</v>
      </c>
      <c r="B8742" t="s">
        <v>2455</v>
      </c>
      <c r="C8742" t="s">
        <v>11824</v>
      </c>
      <c r="D8742" t="s">
        <v>18801</v>
      </c>
      <c r="E8742" t="s">
        <v>26498</v>
      </c>
      <c r="F8742" t="s">
        <v>32664</v>
      </c>
      <c r="G8742" t="s">
        <v>32672</v>
      </c>
      <c r="H8742" t="s">
        <v>32683</v>
      </c>
      <c r="I8742" t="s">
        <v>10627</v>
      </c>
      <c r="J8742" t="s">
        <v>32962</v>
      </c>
      <c r="K8742" t="s">
        <v>42387</v>
      </c>
      <c r="M8742" t="s">
        <v>45250</v>
      </c>
      <c r="N8742" t="s">
        <v>46569</v>
      </c>
      <c r="O8742" t="s">
        <v>46570</v>
      </c>
      <c r="P8742">
        <v>0</v>
      </c>
      <c r="Q8742">
        <v>3</v>
      </c>
      <c r="R8742" t="s">
        <v>46576</v>
      </c>
      <c r="S8742" t="s">
        <v>46749</v>
      </c>
      <c r="T8742" t="s">
        <v>48385</v>
      </c>
      <c r="U8742" t="s">
        <v>55534</v>
      </c>
      <c r="W8742" t="s">
        <v>45250</v>
      </c>
      <c r="X8742" t="s">
        <v>46577</v>
      </c>
    </row>
    <row r="8743" spans="1:24">
      <c r="A8743">
        <f>HYPERLINK("https://www.philgeps.gov.ph/GEPSNONPILOT/Tender/SplashBidNoticeAbstractUI.aspx?menuIndex=3&amp;refID=7057249&amp;Result=3","7057249")</f>
        <v>0</v>
      </c>
      <c r="B8743" t="s">
        <v>2541</v>
      </c>
      <c r="C8743" t="s">
        <v>11825</v>
      </c>
      <c r="D8743" t="s">
        <v>18784</v>
      </c>
      <c r="E8743" t="s">
        <v>26499</v>
      </c>
      <c r="F8743" t="s">
        <v>32664</v>
      </c>
      <c r="G8743" t="s">
        <v>32671</v>
      </c>
      <c r="H8743" t="s">
        <v>12635</v>
      </c>
      <c r="I8743" t="s">
        <v>8730</v>
      </c>
      <c r="J8743" t="s">
        <v>35294</v>
      </c>
      <c r="K8743" t="s">
        <v>42283</v>
      </c>
      <c r="M8743" t="s">
        <v>45349</v>
      </c>
      <c r="N8743" t="s">
        <v>46569</v>
      </c>
      <c r="O8743" t="s">
        <v>46570</v>
      </c>
      <c r="P8743">
        <v>0</v>
      </c>
      <c r="Q8743">
        <v>20</v>
      </c>
      <c r="R8743" t="s">
        <v>46576</v>
      </c>
      <c r="S8743" t="s">
        <v>46749</v>
      </c>
      <c r="T8743" t="s">
        <v>48287</v>
      </c>
      <c r="U8743" t="s">
        <v>55862</v>
      </c>
      <c r="W8743" t="s">
        <v>45349</v>
      </c>
      <c r="X8743" t="s">
        <v>46577</v>
      </c>
    </row>
    <row r="8744" spans="1:24">
      <c r="A8744">
        <f>HYPERLINK("https://www.philgeps.gov.ph/GEPSNONPILOT/Tender/SplashBidNoticeAbstractUI.aspx?menuIndex=3&amp;refID=7057308&amp;Result=3","7057308")</f>
        <v>0</v>
      </c>
      <c r="B8744" t="s">
        <v>847</v>
      </c>
      <c r="C8744" t="s">
        <v>11826</v>
      </c>
      <c r="D8744" t="s">
        <v>18811</v>
      </c>
      <c r="E8744" t="s">
        <v>26500</v>
      </c>
      <c r="F8744" t="s">
        <v>32664</v>
      </c>
      <c r="G8744" t="s">
        <v>32671</v>
      </c>
      <c r="H8744" t="s">
        <v>12635</v>
      </c>
      <c r="I8744" t="s">
        <v>6223</v>
      </c>
      <c r="J8744" t="s">
        <v>38125</v>
      </c>
      <c r="K8744" t="s">
        <v>42281</v>
      </c>
      <c r="M8744" t="s">
        <v>43443</v>
      </c>
      <c r="N8744" t="s">
        <v>46569</v>
      </c>
      <c r="O8744" t="s">
        <v>46570</v>
      </c>
      <c r="P8744">
        <v>0</v>
      </c>
      <c r="Q8744">
        <v>1</v>
      </c>
      <c r="R8744" t="s">
        <v>46576</v>
      </c>
      <c r="S8744" t="s">
        <v>46749</v>
      </c>
      <c r="T8744" t="s">
        <v>48307</v>
      </c>
      <c r="U8744" t="s">
        <v>55656</v>
      </c>
      <c r="V8744" t="s">
        <v>62523</v>
      </c>
      <c r="W8744" t="s">
        <v>43443</v>
      </c>
      <c r="X8744" t="s">
        <v>46577</v>
      </c>
    </row>
    <row r="8745" spans="1:24">
      <c r="A8745">
        <f>HYPERLINK("https://www.philgeps.gov.ph/GEPSNONPILOT/Tender/SplashBidNoticeAbstractUI.aspx?menuIndex=3&amp;refID=7057329&amp;Result=3","7057329")</f>
        <v>0</v>
      </c>
      <c r="B8745" t="s">
        <v>1423</v>
      </c>
      <c r="C8745" t="s">
        <v>11827</v>
      </c>
      <c r="E8745" t="s">
        <v>26501</v>
      </c>
      <c r="F8745" t="s">
        <v>32664</v>
      </c>
      <c r="G8745" t="s">
        <v>32672</v>
      </c>
      <c r="H8745" t="s">
        <v>32683</v>
      </c>
      <c r="I8745" t="s">
        <v>10627</v>
      </c>
      <c r="J8745" t="s">
        <v>38126</v>
      </c>
      <c r="K8745" t="s">
        <v>42474</v>
      </c>
      <c r="M8745" t="s">
        <v>45298</v>
      </c>
      <c r="N8745" t="s">
        <v>46569</v>
      </c>
      <c r="O8745" t="s">
        <v>46570</v>
      </c>
      <c r="Q8745">
        <v>5</v>
      </c>
      <c r="R8745" t="s">
        <v>46576</v>
      </c>
      <c r="S8745" t="s">
        <v>46799</v>
      </c>
      <c r="T8745" t="s">
        <v>48308</v>
      </c>
      <c r="U8745" t="s">
        <v>55863</v>
      </c>
      <c r="W8745" t="s">
        <v>45298</v>
      </c>
      <c r="X8745" t="s">
        <v>46577</v>
      </c>
    </row>
    <row r="8746" spans="1:24">
      <c r="A8746">
        <f>HYPERLINK("https://www.philgeps.gov.ph/GEPSNONPILOT/Tender/SplashBidNoticeAbstractUI.aspx?menuIndex=3&amp;refID=7057382&amp;Result=3","7057382")</f>
        <v>0</v>
      </c>
      <c r="B8746" t="s">
        <v>168</v>
      </c>
      <c r="C8746" t="s">
        <v>11828</v>
      </c>
      <c r="D8746" t="s">
        <v>18790</v>
      </c>
      <c r="E8746" t="s">
        <v>26502</v>
      </c>
      <c r="F8746" t="s">
        <v>32664</v>
      </c>
      <c r="G8746" t="s">
        <v>32672</v>
      </c>
      <c r="H8746" t="s">
        <v>12635</v>
      </c>
      <c r="I8746" t="s">
        <v>4439</v>
      </c>
      <c r="J8746" t="s">
        <v>38127</v>
      </c>
      <c r="K8746" t="s">
        <v>42284</v>
      </c>
      <c r="M8746" t="s">
        <v>42732</v>
      </c>
      <c r="N8746" t="s">
        <v>46569</v>
      </c>
      <c r="O8746" t="s">
        <v>46570</v>
      </c>
      <c r="P8746">
        <v>0</v>
      </c>
      <c r="Q8746">
        <v>0</v>
      </c>
      <c r="R8746" t="s">
        <v>46576</v>
      </c>
      <c r="S8746" t="s">
        <v>46749</v>
      </c>
      <c r="T8746" t="s">
        <v>48263</v>
      </c>
      <c r="U8746" t="s">
        <v>55864</v>
      </c>
      <c r="W8746" t="s">
        <v>42732</v>
      </c>
      <c r="X8746" t="s">
        <v>46577</v>
      </c>
    </row>
    <row r="8747" spans="1:24">
      <c r="A8747">
        <f>HYPERLINK("https://www.philgeps.gov.ph/GEPSNONPILOT/Tender/SplashBidNoticeAbstractUI.aspx?menuIndex=3&amp;refID=7057379&amp;Result=3","7057379")</f>
        <v>0</v>
      </c>
      <c r="B8747" t="s">
        <v>1709</v>
      </c>
      <c r="C8747" t="s">
        <v>11829</v>
      </c>
      <c r="D8747" t="s">
        <v>18834</v>
      </c>
      <c r="E8747" t="s">
        <v>26503</v>
      </c>
      <c r="F8747" t="s">
        <v>32664</v>
      </c>
      <c r="G8747" t="s">
        <v>32671</v>
      </c>
      <c r="H8747" t="s">
        <v>32683</v>
      </c>
      <c r="I8747" t="s">
        <v>6553</v>
      </c>
      <c r="J8747" t="s">
        <v>38128</v>
      </c>
      <c r="K8747" t="s">
        <v>42305</v>
      </c>
      <c r="M8747" t="s">
        <v>44403</v>
      </c>
      <c r="N8747" t="s">
        <v>46569</v>
      </c>
      <c r="O8747" t="s">
        <v>46570</v>
      </c>
      <c r="P8747">
        <v>0</v>
      </c>
      <c r="Q8747">
        <v>3</v>
      </c>
      <c r="R8747" t="s">
        <v>46576</v>
      </c>
      <c r="S8747" t="s">
        <v>46749</v>
      </c>
      <c r="T8747" t="s">
        <v>48256</v>
      </c>
      <c r="U8747" t="s">
        <v>55865</v>
      </c>
      <c r="W8747" t="s">
        <v>44403</v>
      </c>
      <c r="X8747" t="s">
        <v>46577</v>
      </c>
    </row>
    <row r="8748" spans="1:24">
      <c r="A8748">
        <f>HYPERLINK("https://www.philgeps.gov.ph/GEPSNONPILOT/Tender/SplashBidNoticeAbstractUI.aspx?menuIndex=3&amp;refID=7057433&amp;Result=3","7057433")</f>
        <v>0</v>
      </c>
      <c r="B8748" t="s">
        <v>1031</v>
      </c>
      <c r="C8748" t="s">
        <v>11830</v>
      </c>
      <c r="D8748" t="s">
        <v>18809</v>
      </c>
      <c r="E8748" t="s">
        <v>26504</v>
      </c>
      <c r="F8748" t="s">
        <v>32665</v>
      </c>
      <c r="G8748" t="s">
        <v>32671</v>
      </c>
      <c r="H8748" t="s">
        <v>32683</v>
      </c>
      <c r="I8748" t="s">
        <v>32721</v>
      </c>
      <c r="J8748" t="s">
        <v>37594</v>
      </c>
      <c r="K8748" t="s">
        <v>42303</v>
      </c>
      <c r="M8748" t="s">
        <v>43644</v>
      </c>
      <c r="N8748" t="s">
        <v>46569</v>
      </c>
      <c r="O8748" t="s">
        <v>46570</v>
      </c>
      <c r="P8748">
        <v>0</v>
      </c>
      <c r="Q8748">
        <v>1</v>
      </c>
      <c r="R8748" t="s">
        <v>46576</v>
      </c>
      <c r="S8748" t="s">
        <v>46749</v>
      </c>
      <c r="T8748" t="s">
        <v>48256</v>
      </c>
      <c r="U8748" t="s">
        <v>51035</v>
      </c>
      <c r="W8748" t="s">
        <v>43644</v>
      </c>
      <c r="X8748" t="s">
        <v>46577</v>
      </c>
    </row>
    <row r="8749" spans="1:24">
      <c r="A8749">
        <f>HYPERLINK("https://www.philgeps.gov.ph/GEPSNONPILOT/Tender/SplashBidNoticeAbstractUI.aspx?menuIndex=3&amp;refID=7057412&amp;Result=3","7057412")</f>
        <v>0</v>
      </c>
      <c r="B8749" t="s">
        <v>2461</v>
      </c>
      <c r="C8749" t="s">
        <v>11831</v>
      </c>
      <c r="D8749" t="s">
        <v>18784</v>
      </c>
      <c r="E8749" t="s">
        <v>26505</v>
      </c>
      <c r="F8749" t="s">
        <v>32664</v>
      </c>
      <c r="G8749" t="s">
        <v>32671</v>
      </c>
      <c r="H8749" t="s">
        <v>12635</v>
      </c>
      <c r="I8749" t="s">
        <v>6223</v>
      </c>
      <c r="J8749" t="s">
        <v>34152</v>
      </c>
      <c r="K8749" t="s">
        <v>42284</v>
      </c>
      <c r="M8749" t="s">
        <v>45257</v>
      </c>
      <c r="N8749" t="s">
        <v>46569</v>
      </c>
      <c r="O8749" t="s">
        <v>46570</v>
      </c>
      <c r="P8749">
        <v>0</v>
      </c>
      <c r="Q8749">
        <v>1</v>
      </c>
      <c r="R8749" t="s">
        <v>46576</v>
      </c>
      <c r="S8749" t="s">
        <v>46749</v>
      </c>
      <c r="T8749" t="s">
        <v>48427</v>
      </c>
      <c r="U8749" t="s">
        <v>55866</v>
      </c>
      <c r="W8749" t="s">
        <v>45257</v>
      </c>
      <c r="X8749" t="s">
        <v>46577</v>
      </c>
    </row>
    <row r="8750" spans="1:24">
      <c r="A8750">
        <f>HYPERLINK("https://www.philgeps.gov.ph/GEPSNONPILOT/Tender/SplashBidNoticeAbstractUI.aspx?menuIndex=3&amp;refID=7057553&amp;Result=3","7057553")</f>
        <v>0</v>
      </c>
      <c r="B8750" t="s">
        <v>146</v>
      </c>
      <c r="C8750" t="s">
        <v>11832</v>
      </c>
      <c r="D8750" t="s">
        <v>18826</v>
      </c>
      <c r="E8750" t="s">
        <v>26506</v>
      </c>
      <c r="F8750" t="s">
        <v>32664</v>
      </c>
      <c r="G8750" t="s">
        <v>32671</v>
      </c>
      <c r="H8750" t="s">
        <v>12635</v>
      </c>
      <c r="I8750" t="s">
        <v>32699</v>
      </c>
      <c r="J8750" t="s">
        <v>38129</v>
      </c>
      <c r="K8750" t="s">
        <v>42281</v>
      </c>
      <c r="M8750" t="s">
        <v>42710</v>
      </c>
      <c r="N8750" t="s">
        <v>46569</v>
      </c>
      <c r="O8750" t="s">
        <v>46570</v>
      </c>
      <c r="P8750">
        <v>0</v>
      </c>
      <c r="Q8750">
        <v>0</v>
      </c>
      <c r="R8750" t="s">
        <v>46576</v>
      </c>
      <c r="S8750" t="s">
        <v>46749</v>
      </c>
      <c r="T8750" t="s">
        <v>48307</v>
      </c>
      <c r="U8750" t="s">
        <v>55867</v>
      </c>
      <c r="W8750" t="s">
        <v>42710</v>
      </c>
      <c r="X8750" t="s">
        <v>46577</v>
      </c>
    </row>
    <row r="8751" spans="1:24">
      <c r="A8751">
        <f>HYPERLINK("https://www.philgeps.gov.ph/GEPSNONPILOT/Tender/SplashBidNoticeAbstractUI.aspx?menuIndex=3&amp;refID=7057534&amp;Result=3","7057534")</f>
        <v>0</v>
      </c>
      <c r="B8751" t="s">
        <v>1479</v>
      </c>
      <c r="C8751" t="s">
        <v>11833</v>
      </c>
      <c r="D8751" t="s">
        <v>18788</v>
      </c>
      <c r="E8751" t="s">
        <v>26507</v>
      </c>
      <c r="F8751" t="s">
        <v>32664</v>
      </c>
      <c r="G8751" t="s">
        <v>32672</v>
      </c>
      <c r="H8751" t="s">
        <v>32683</v>
      </c>
      <c r="I8751" t="s">
        <v>10627</v>
      </c>
      <c r="J8751" t="s">
        <v>38130</v>
      </c>
      <c r="K8751" t="s">
        <v>42298</v>
      </c>
      <c r="M8751" t="s">
        <v>44142</v>
      </c>
      <c r="N8751" t="s">
        <v>46569</v>
      </c>
      <c r="O8751" t="s">
        <v>46570</v>
      </c>
      <c r="P8751">
        <v>0</v>
      </c>
      <c r="Q8751">
        <v>0</v>
      </c>
      <c r="R8751" t="s">
        <v>46576</v>
      </c>
      <c r="S8751" t="s">
        <v>46749</v>
      </c>
      <c r="T8751" t="s">
        <v>48282</v>
      </c>
      <c r="U8751" t="s">
        <v>55810</v>
      </c>
      <c r="W8751" t="s">
        <v>44142</v>
      </c>
      <c r="X8751" t="s">
        <v>46577</v>
      </c>
    </row>
    <row r="8752" spans="1:24">
      <c r="A8752">
        <f>HYPERLINK("https://www.philgeps.gov.ph/GEPSNONPILOT/Tender/SplashBidNoticeAbstractUI.aspx?menuIndex=3&amp;refID=7057402&amp;Result=3","7057402")</f>
        <v>0</v>
      </c>
      <c r="B8752" t="s">
        <v>2542</v>
      </c>
      <c r="C8752" t="s">
        <v>11834</v>
      </c>
      <c r="D8752" t="s">
        <v>18784</v>
      </c>
      <c r="E8752" t="s">
        <v>26508</v>
      </c>
      <c r="F8752" t="s">
        <v>32664</v>
      </c>
      <c r="G8752" t="s">
        <v>32672</v>
      </c>
      <c r="H8752" t="s">
        <v>12635</v>
      </c>
      <c r="I8752" t="s">
        <v>9597</v>
      </c>
      <c r="J8752" t="s">
        <v>38131</v>
      </c>
      <c r="K8752" t="s">
        <v>42284</v>
      </c>
      <c r="M8752" t="s">
        <v>45350</v>
      </c>
      <c r="N8752" t="s">
        <v>46569</v>
      </c>
      <c r="O8752" t="s">
        <v>46570</v>
      </c>
      <c r="P8752">
        <v>0</v>
      </c>
      <c r="Q8752">
        <v>0</v>
      </c>
      <c r="R8752" t="s">
        <v>46576</v>
      </c>
      <c r="S8752" t="s">
        <v>46749</v>
      </c>
      <c r="T8752" t="s">
        <v>48256</v>
      </c>
      <c r="U8752" t="s">
        <v>55868</v>
      </c>
      <c r="W8752" t="s">
        <v>45350</v>
      </c>
      <c r="X8752" t="s">
        <v>46577</v>
      </c>
    </row>
    <row r="8753" spans="1:24">
      <c r="A8753">
        <f>HYPERLINK("https://www.philgeps.gov.ph/GEPSNONPILOT/Tender/SplashBidNoticeAbstractUI.aspx?menuIndex=3&amp;refID=7057392&amp;Result=3","7057392")</f>
        <v>0</v>
      </c>
      <c r="B8753" t="s">
        <v>1745</v>
      </c>
      <c r="C8753" t="s">
        <v>11835</v>
      </c>
      <c r="D8753" t="s">
        <v>18822</v>
      </c>
      <c r="E8753" t="s">
        <v>23449</v>
      </c>
      <c r="F8753" t="s">
        <v>32664</v>
      </c>
      <c r="G8753" t="s">
        <v>32672</v>
      </c>
      <c r="H8753" t="s">
        <v>12635</v>
      </c>
      <c r="I8753" t="s">
        <v>4439</v>
      </c>
      <c r="J8753" t="s">
        <v>38132</v>
      </c>
      <c r="K8753" t="s">
        <v>42289</v>
      </c>
      <c r="M8753" t="s">
        <v>44444</v>
      </c>
      <c r="N8753" t="s">
        <v>46569</v>
      </c>
      <c r="O8753" t="s">
        <v>46570</v>
      </c>
      <c r="P8753">
        <v>0</v>
      </c>
      <c r="Q8753">
        <v>1</v>
      </c>
      <c r="R8753" t="s">
        <v>46576</v>
      </c>
      <c r="S8753" t="s">
        <v>46749</v>
      </c>
      <c r="T8753" t="s">
        <v>48258</v>
      </c>
      <c r="U8753" t="s">
        <v>52992</v>
      </c>
      <c r="W8753" t="s">
        <v>44444</v>
      </c>
      <c r="X8753" t="s">
        <v>46577</v>
      </c>
    </row>
    <row r="8754" spans="1:24">
      <c r="A8754">
        <f>HYPERLINK("https://www.philgeps.gov.ph/GEPSNONPILOT/Tender/SplashBidNoticeAbstractUI.aspx?menuIndex=3&amp;refID=7057530&amp;Result=3","7057530")</f>
        <v>0</v>
      </c>
      <c r="B8754" t="s">
        <v>847</v>
      </c>
      <c r="C8754" t="s">
        <v>11836</v>
      </c>
      <c r="D8754" t="s">
        <v>18863</v>
      </c>
      <c r="E8754" t="s">
        <v>26509</v>
      </c>
      <c r="F8754" t="s">
        <v>32664</v>
      </c>
      <c r="G8754" t="s">
        <v>32671</v>
      </c>
      <c r="H8754" t="s">
        <v>12635</v>
      </c>
      <c r="I8754" t="s">
        <v>6223</v>
      </c>
      <c r="J8754" t="s">
        <v>34932</v>
      </c>
      <c r="K8754" t="s">
        <v>42281</v>
      </c>
      <c r="M8754" t="s">
        <v>43443</v>
      </c>
      <c r="N8754" t="s">
        <v>46569</v>
      </c>
      <c r="O8754" t="s">
        <v>46570</v>
      </c>
      <c r="P8754">
        <v>0</v>
      </c>
      <c r="Q8754">
        <v>1</v>
      </c>
      <c r="R8754" t="s">
        <v>46576</v>
      </c>
      <c r="S8754" t="s">
        <v>46749</v>
      </c>
      <c r="T8754" t="s">
        <v>48307</v>
      </c>
      <c r="U8754" t="s">
        <v>55656</v>
      </c>
      <c r="V8754" t="s">
        <v>61846</v>
      </c>
      <c r="W8754" t="s">
        <v>43443</v>
      </c>
      <c r="X8754" t="s">
        <v>46577</v>
      </c>
    </row>
    <row r="8755" spans="1:24">
      <c r="A8755">
        <f>HYPERLINK("https://www.philgeps.gov.ph/GEPSNONPILOT/Tender/SplashBidNoticeAbstractUI.aspx?menuIndex=3&amp;refID=7057505&amp;Result=3","7057505")</f>
        <v>0</v>
      </c>
      <c r="B8755" t="s">
        <v>1055</v>
      </c>
      <c r="C8755" t="s">
        <v>11837</v>
      </c>
      <c r="D8755" t="s">
        <v>18784</v>
      </c>
      <c r="E8755" t="s">
        <v>26510</v>
      </c>
      <c r="F8755" t="s">
        <v>32664</v>
      </c>
      <c r="G8755" t="s">
        <v>32672</v>
      </c>
      <c r="H8755" t="s">
        <v>32683</v>
      </c>
      <c r="I8755" t="s">
        <v>10627</v>
      </c>
      <c r="J8755" t="s">
        <v>38133</v>
      </c>
      <c r="K8755" t="s">
        <v>42342</v>
      </c>
      <c r="M8755" t="s">
        <v>43998</v>
      </c>
      <c r="N8755" t="s">
        <v>46569</v>
      </c>
      <c r="O8755" t="s">
        <v>46570</v>
      </c>
      <c r="Q8755">
        <v>6</v>
      </c>
      <c r="R8755" t="s">
        <v>46576</v>
      </c>
      <c r="S8755" t="s">
        <v>46800</v>
      </c>
      <c r="T8755" t="s">
        <v>48273</v>
      </c>
      <c r="U8755" t="s">
        <v>55869</v>
      </c>
      <c r="V8755" t="s">
        <v>62093</v>
      </c>
      <c r="W8755" t="s">
        <v>43998</v>
      </c>
      <c r="X8755" t="s">
        <v>46577</v>
      </c>
    </row>
    <row r="8756" spans="1:24">
      <c r="A8756">
        <f>HYPERLINK("https://www.philgeps.gov.ph/GEPSNONPILOT/Tender/SplashBidNoticeAbstractUI.aspx?menuIndex=3&amp;refID=7057459&amp;Result=3","7057459")</f>
        <v>0</v>
      </c>
      <c r="B8756" t="s">
        <v>2543</v>
      </c>
      <c r="C8756" t="s">
        <v>11838</v>
      </c>
      <c r="D8756" t="s">
        <v>18784</v>
      </c>
      <c r="E8756" t="s">
        <v>23255</v>
      </c>
      <c r="F8756" t="s">
        <v>32664</v>
      </c>
      <c r="G8756" t="s">
        <v>32672</v>
      </c>
      <c r="H8756" t="s">
        <v>12635</v>
      </c>
      <c r="I8756" t="s">
        <v>6223</v>
      </c>
      <c r="J8756" t="s">
        <v>33267</v>
      </c>
      <c r="K8756" t="s">
        <v>42309</v>
      </c>
      <c r="M8756" t="s">
        <v>45351</v>
      </c>
      <c r="N8756" t="s">
        <v>46569</v>
      </c>
      <c r="O8756" t="s">
        <v>46570</v>
      </c>
      <c r="P8756">
        <v>0</v>
      </c>
      <c r="Q8756">
        <v>4</v>
      </c>
      <c r="R8756" t="s">
        <v>46576</v>
      </c>
      <c r="S8756" t="s">
        <v>46749</v>
      </c>
      <c r="T8756" t="s">
        <v>48221</v>
      </c>
      <c r="U8756" t="s">
        <v>55870</v>
      </c>
      <c r="W8756" t="s">
        <v>45351</v>
      </c>
      <c r="X8756" t="s">
        <v>46577</v>
      </c>
    </row>
    <row r="8757" spans="1:24">
      <c r="A8757">
        <f>HYPERLINK("https://www.philgeps.gov.ph/GEPSNONPILOT/Tender/SplashBidNoticeAbstractUI.aspx?menuIndex=3&amp;refID=7057502&amp;Result=3","7057502")</f>
        <v>0</v>
      </c>
      <c r="B8757" t="s">
        <v>470</v>
      </c>
      <c r="C8757" t="s">
        <v>11839</v>
      </c>
      <c r="D8757" t="s">
        <v>18816</v>
      </c>
      <c r="E8757" t="s">
        <v>11839</v>
      </c>
      <c r="F8757" t="s">
        <v>32664</v>
      </c>
      <c r="G8757" t="s">
        <v>32672</v>
      </c>
      <c r="H8757" t="s">
        <v>32683</v>
      </c>
      <c r="I8757" t="s">
        <v>10627</v>
      </c>
      <c r="J8757" t="s">
        <v>33302</v>
      </c>
      <c r="K8757" t="s">
        <v>42290</v>
      </c>
      <c r="M8757" t="s">
        <v>43045</v>
      </c>
      <c r="N8757" t="s">
        <v>46569</v>
      </c>
      <c r="O8757" t="s">
        <v>46570</v>
      </c>
      <c r="P8757">
        <v>0</v>
      </c>
      <c r="Q8757">
        <v>0</v>
      </c>
      <c r="R8757" t="s">
        <v>46576</v>
      </c>
      <c r="S8757" t="s">
        <v>46749</v>
      </c>
      <c r="T8757" t="s">
        <v>48628</v>
      </c>
      <c r="U8757" t="s">
        <v>55871</v>
      </c>
      <c r="W8757" t="s">
        <v>43045</v>
      </c>
      <c r="X8757" t="s">
        <v>46577</v>
      </c>
    </row>
    <row r="8758" spans="1:24">
      <c r="A8758">
        <f>HYPERLINK("https://www.philgeps.gov.ph/GEPSNONPILOT/Tender/SplashBidNoticeAbstractUI.aspx?menuIndex=3&amp;refID=7057545&amp;Result=3","7057545")</f>
        <v>0</v>
      </c>
      <c r="B8758" t="s">
        <v>2425</v>
      </c>
      <c r="C8758" t="s">
        <v>11840</v>
      </c>
      <c r="D8758" t="s">
        <v>18842</v>
      </c>
      <c r="E8758" t="s">
        <v>26511</v>
      </c>
      <c r="F8758" t="s">
        <v>32664</v>
      </c>
      <c r="G8758" t="s">
        <v>32672</v>
      </c>
      <c r="H8758" t="s">
        <v>12635</v>
      </c>
      <c r="I8758" t="s">
        <v>32694</v>
      </c>
      <c r="J8758" t="s">
        <v>38134</v>
      </c>
      <c r="K8758" t="s">
        <v>42281</v>
      </c>
      <c r="M8758" t="s">
        <v>45336</v>
      </c>
      <c r="N8758" t="s">
        <v>46569</v>
      </c>
      <c r="O8758" t="s">
        <v>46570</v>
      </c>
      <c r="P8758">
        <v>0</v>
      </c>
      <c r="Q8758">
        <v>0</v>
      </c>
      <c r="R8758" t="s">
        <v>46576</v>
      </c>
      <c r="S8758" t="s">
        <v>46749</v>
      </c>
      <c r="T8758" t="s">
        <v>48228</v>
      </c>
      <c r="U8758" t="s">
        <v>55872</v>
      </c>
      <c r="V8758" t="s">
        <v>62414</v>
      </c>
      <c r="W8758" t="s">
        <v>63563</v>
      </c>
      <c r="X8758" t="s">
        <v>46577</v>
      </c>
    </row>
    <row r="8759" spans="1:24">
      <c r="A8759">
        <f>HYPERLINK("https://www.philgeps.gov.ph/GEPSNONPILOT/Tender/SplashBidNoticeAbstractUI.aspx?menuIndex=3&amp;refID=7057496&amp;Result=3","7057496")</f>
        <v>0</v>
      </c>
      <c r="B8759" t="s">
        <v>475</v>
      </c>
      <c r="C8759" t="s">
        <v>11841</v>
      </c>
      <c r="D8759" t="s">
        <v>18796</v>
      </c>
      <c r="E8759" t="s">
        <v>26512</v>
      </c>
      <c r="F8759" t="s">
        <v>32664</v>
      </c>
      <c r="G8759" t="s">
        <v>32672</v>
      </c>
      <c r="H8759" t="s">
        <v>12635</v>
      </c>
      <c r="I8759" t="s">
        <v>14442</v>
      </c>
      <c r="J8759" t="s">
        <v>38135</v>
      </c>
      <c r="K8759" t="s">
        <v>42281</v>
      </c>
      <c r="M8759" t="s">
        <v>43050</v>
      </c>
      <c r="N8759" t="s">
        <v>46569</v>
      </c>
      <c r="O8759" t="s">
        <v>46570</v>
      </c>
      <c r="P8759">
        <v>0</v>
      </c>
      <c r="Q8759">
        <v>5</v>
      </c>
      <c r="R8759" t="s">
        <v>46576</v>
      </c>
      <c r="S8759" t="s">
        <v>46749</v>
      </c>
      <c r="T8759" t="s">
        <v>48423</v>
      </c>
      <c r="U8759" t="s">
        <v>55873</v>
      </c>
      <c r="W8759" t="s">
        <v>43050</v>
      </c>
      <c r="X8759" t="s">
        <v>46577</v>
      </c>
    </row>
    <row r="8760" spans="1:24">
      <c r="A8760">
        <f>HYPERLINK("https://www.philgeps.gov.ph/GEPSNONPILOT/Tender/SplashBidNoticeAbstractUI.aspx?menuIndex=3&amp;refID=7057531&amp;Result=3","7057531")</f>
        <v>0</v>
      </c>
      <c r="B8760" t="s">
        <v>295</v>
      </c>
      <c r="C8760" t="s">
        <v>11842</v>
      </c>
      <c r="D8760" t="s">
        <v>18848</v>
      </c>
      <c r="E8760" t="s">
        <v>26513</v>
      </c>
      <c r="F8760" t="s">
        <v>32664</v>
      </c>
      <c r="G8760" t="s">
        <v>32672</v>
      </c>
      <c r="H8760" t="s">
        <v>12635</v>
      </c>
      <c r="I8760" t="s">
        <v>32717</v>
      </c>
      <c r="J8760" t="s">
        <v>33215</v>
      </c>
      <c r="K8760" t="s">
        <v>42297</v>
      </c>
      <c r="M8760" t="s">
        <v>42862</v>
      </c>
      <c r="N8760" t="s">
        <v>46569</v>
      </c>
      <c r="O8760" t="s">
        <v>46570</v>
      </c>
      <c r="P8760">
        <v>0</v>
      </c>
      <c r="Q8760">
        <v>0</v>
      </c>
      <c r="R8760" t="s">
        <v>46576</v>
      </c>
      <c r="S8760" t="s">
        <v>46749</v>
      </c>
      <c r="T8760" t="s">
        <v>48298</v>
      </c>
      <c r="U8760" t="s">
        <v>55874</v>
      </c>
      <c r="W8760" t="s">
        <v>42862</v>
      </c>
      <c r="X8760" t="s">
        <v>46577</v>
      </c>
    </row>
    <row r="8761" spans="1:24">
      <c r="A8761">
        <f>HYPERLINK("https://www.philgeps.gov.ph/GEPSNONPILOT/Tender/SplashBidNoticeAbstractUI.aspx?menuIndex=3&amp;refID=7057481&amp;Result=3","7057481")</f>
        <v>0</v>
      </c>
      <c r="B8761" t="s">
        <v>1734</v>
      </c>
      <c r="C8761" t="s">
        <v>11843</v>
      </c>
      <c r="D8761" t="s">
        <v>18789</v>
      </c>
      <c r="E8761" t="s">
        <v>26514</v>
      </c>
      <c r="F8761" t="s">
        <v>32664</v>
      </c>
      <c r="G8761" t="s">
        <v>32671</v>
      </c>
      <c r="H8761" t="s">
        <v>12635</v>
      </c>
      <c r="I8761" t="s">
        <v>32701</v>
      </c>
      <c r="J8761" t="s">
        <v>33426</v>
      </c>
      <c r="K8761" t="s">
        <v>42281</v>
      </c>
      <c r="M8761" t="s">
        <v>44433</v>
      </c>
      <c r="N8761" t="s">
        <v>46569</v>
      </c>
      <c r="O8761" t="s">
        <v>46570</v>
      </c>
      <c r="P8761">
        <v>0</v>
      </c>
      <c r="Q8761">
        <v>1</v>
      </c>
      <c r="R8761" t="s">
        <v>46576</v>
      </c>
      <c r="S8761" t="s">
        <v>46749</v>
      </c>
      <c r="T8761" t="s">
        <v>48316</v>
      </c>
      <c r="U8761" t="s">
        <v>55875</v>
      </c>
      <c r="W8761" t="s">
        <v>44433</v>
      </c>
      <c r="X8761" t="s">
        <v>46577</v>
      </c>
    </row>
    <row r="8762" spans="1:24">
      <c r="A8762">
        <f>HYPERLINK("https://www.philgeps.gov.ph/GEPSNONPILOT/Tender/SplashBidNoticeAbstractUI.aspx?menuIndex=3&amp;refID=7057468&amp;Result=3","7057468")</f>
        <v>0</v>
      </c>
      <c r="B8762" t="s">
        <v>2544</v>
      </c>
      <c r="C8762" t="s">
        <v>11844</v>
      </c>
      <c r="D8762" t="s">
        <v>18816</v>
      </c>
      <c r="E8762" t="s">
        <v>26515</v>
      </c>
      <c r="F8762" t="s">
        <v>32664</v>
      </c>
      <c r="G8762" t="s">
        <v>32672</v>
      </c>
      <c r="H8762" t="s">
        <v>12635</v>
      </c>
      <c r="I8762" t="s">
        <v>11464</v>
      </c>
      <c r="J8762" t="s">
        <v>33302</v>
      </c>
      <c r="K8762" t="s">
        <v>42297</v>
      </c>
      <c r="M8762" t="s">
        <v>45352</v>
      </c>
      <c r="N8762" t="s">
        <v>46569</v>
      </c>
      <c r="O8762" t="s">
        <v>46570</v>
      </c>
      <c r="P8762">
        <v>0</v>
      </c>
      <c r="Q8762">
        <v>2</v>
      </c>
      <c r="R8762" t="s">
        <v>46576</v>
      </c>
      <c r="S8762" t="s">
        <v>46749</v>
      </c>
      <c r="T8762" t="s">
        <v>48248</v>
      </c>
      <c r="U8762" t="s">
        <v>55876</v>
      </c>
      <c r="W8762" t="s">
        <v>45352</v>
      </c>
      <c r="X8762" t="s">
        <v>46577</v>
      </c>
    </row>
    <row r="8763" spans="1:24">
      <c r="A8763">
        <f>HYPERLINK("https://www.philgeps.gov.ph/GEPSNONPILOT/Tender/SplashBidNoticeAbstractUI.aspx?menuIndex=3&amp;refID=7057461&amp;Result=3","7057461")</f>
        <v>0</v>
      </c>
      <c r="B8763" t="s">
        <v>2545</v>
      </c>
      <c r="C8763" t="s">
        <v>11845</v>
      </c>
      <c r="D8763" t="s">
        <v>18806</v>
      </c>
      <c r="E8763" t="s">
        <v>19955</v>
      </c>
      <c r="F8763" t="s">
        <v>32664</v>
      </c>
      <c r="G8763" t="s">
        <v>32672</v>
      </c>
      <c r="H8763" t="s">
        <v>32683</v>
      </c>
      <c r="I8763" t="s">
        <v>10627</v>
      </c>
      <c r="J8763" t="s">
        <v>36084</v>
      </c>
      <c r="K8763" t="s">
        <v>42311</v>
      </c>
      <c r="M8763" t="s">
        <v>45353</v>
      </c>
      <c r="N8763" t="s">
        <v>46569</v>
      </c>
      <c r="O8763" t="s">
        <v>46570</v>
      </c>
      <c r="P8763">
        <v>0</v>
      </c>
      <c r="Q8763">
        <v>1</v>
      </c>
      <c r="R8763" t="s">
        <v>46576</v>
      </c>
      <c r="S8763" t="s">
        <v>46749</v>
      </c>
      <c r="T8763" t="s">
        <v>48284</v>
      </c>
      <c r="U8763" t="s">
        <v>55877</v>
      </c>
      <c r="W8763" t="s">
        <v>45353</v>
      </c>
      <c r="X8763" t="s">
        <v>46577</v>
      </c>
    </row>
    <row r="8764" spans="1:24">
      <c r="A8764">
        <f>HYPERLINK("https://www.philgeps.gov.ph/GEPSNONPILOT/Tender/SplashBidNoticeAbstractUI.aspx?menuIndex=3&amp;refID=7057282&amp;Result=3","7057282")</f>
        <v>0</v>
      </c>
      <c r="B8764" t="s">
        <v>1775</v>
      </c>
      <c r="C8764" t="s">
        <v>11846</v>
      </c>
      <c r="D8764" t="s">
        <v>18792</v>
      </c>
      <c r="E8764" t="s">
        <v>26516</v>
      </c>
      <c r="F8764" t="s">
        <v>32664</v>
      </c>
      <c r="G8764" t="s">
        <v>32671</v>
      </c>
      <c r="H8764" t="s">
        <v>32683</v>
      </c>
      <c r="I8764" t="s">
        <v>32701</v>
      </c>
      <c r="J8764" t="s">
        <v>38136</v>
      </c>
      <c r="K8764" t="s">
        <v>42308</v>
      </c>
      <c r="L8764" t="s">
        <v>1775</v>
      </c>
      <c r="M8764" t="s">
        <v>44477</v>
      </c>
      <c r="N8764" t="s">
        <v>46569</v>
      </c>
      <c r="O8764" t="s">
        <v>46570</v>
      </c>
      <c r="P8764">
        <v>0</v>
      </c>
      <c r="Q8764">
        <v>0</v>
      </c>
      <c r="R8764" t="s">
        <v>46576</v>
      </c>
      <c r="S8764" t="s">
        <v>46749</v>
      </c>
      <c r="T8764" t="s">
        <v>48468</v>
      </c>
      <c r="U8764" t="s">
        <v>55878</v>
      </c>
      <c r="V8764" t="s">
        <v>62524</v>
      </c>
      <c r="W8764" t="s">
        <v>44477</v>
      </c>
      <c r="X8764" t="s">
        <v>46577</v>
      </c>
    </row>
    <row r="8765" spans="1:24">
      <c r="A8765">
        <f>HYPERLINK("https://www.philgeps.gov.ph/GEPSNONPILOT/Tender/SplashBidNoticeAbstractUI.aspx?menuIndex=3&amp;refID=7057518&amp;Result=3","7057518")</f>
        <v>0</v>
      </c>
      <c r="B8765" t="s">
        <v>674</v>
      </c>
      <c r="C8765" t="s">
        <v>11847</v>
      </c>
      <c r="D8765" t="s">
        <v>18821</v>
      </c>
      <c r="E8765" t="s">
        <v>26517</v>
      </c>
      <c r="F8765" t="s">
        <v>32664</v>
      </c>
      <c r="G8765" t="s">
        <v>32672</v>
      </c>
      <c r="H8765" t="s">
        <v>12635</v>
      </c>
      <c r="I8765" t="s">
        <v>4439</v>
      </c>
      <c r="J8765" t="s">
        <v>38137</v>
      </c>
      <c r="K8765" t="s">
        <v>42303</v>
      </c>
      <c r="M8765" t="s">
        <v>43261</v>
      </c>
      <c r="N8765" t="s">
        <v>46569</v>
      </c>
      <c r="O8765" t="s">
        <v>46570</v>
      </c>
      <c r="P8765">
        <v>0</v>
      </c>
      <c r="Q8765">
        <v>1</v>
      </c>
      <c r="R8765" t="s">
        <v>46576</v>
      </c>
      <c r="S8765" t="s">
        <v>46749</v>
      </c>
      <c r="T8765" t="s">
        <v>48328</v>
      </c>
      <c r="U8765" t="s">
        <v>55879</v>
      </c>
      <c r="W8765" t="s">
        <v>43261</v>
      </c>
      <c r="X8765" t="s">
        <v>46577</v>
      </c>
    </row>
    <row r="8766" spans="1:24">
      <c r="A8766">
        <f>HYPERLINK("https://www.philgeps.gov.ph/GEPSNONPILOT/Tender/SplashBidNoticeAbstractUI.aspx?menuIndex=3&amp;refID=7057476&amp;Result=3","7057476")</f>
        <v>0</v>
      </c>
      <c r="B8766" t="s">
        <v>1112</v>
      </c>
      <c r="C8766" t="s">
        <v>11848</v>
      </c>
      <c r="D8766" t="s">
        <v>18842</v>
      </c>
      <c r="E8766" t="s">
        <v>26518</v>
      </c>
      <c r="F8766" t="s">
        <v>32664</v>
      </c>
      <c r="G8766" t="s">
        <v>32671</v>
      </c>
      <c r="H8766" t="s">
        <v>12635</v>
      </c>
      <c r="I8766" t="s">
        <v>32712</v>
      </c>
      <c r="J8766" t="s">
        <v>38138</v>
      </c>
      <c r="K8766" t="s">
        <v>42283</v>
      </c>
      <c r="M8766" t="s">
        <v>43739</v>
      </c>
      <c r="N8766" t="s">
        <v>46569</v>
      </c>
      <c r="O8766" t="s">
        <v>46570</v>
      </c>
      <c r="P8766">
        <v>0</v>
      </c>
      <c r="Q8766">
        <v>6</v>
      </c>
      <c r="R8766" t="s">
        <v>46576</v>
      </c>
      <c r="S8766" t="s">
        <v>46749</v>
      </c>
      <c r="T8766" t="s">
        <v>48217</v>
      </c>
      <c r="U8766" t="s">
        <v>55880</v>
      </c>
      <c r="W8766" t="s">
        <v>43739</v>
      </c>
      <c r="X8766" t="s">
        <v>46577</v>
      </c>
    </row>
    <row r="8767" spans="1:24">
      <c r="A8767">
        <f>HYPERLINK("https://www.philgeps.gov.ph/GEPSNONPILOT/Tender/SplashBidNoticeAbstractUI.aspx?menuIndex=3&amp;refID=7057374&amp;Result=3","7057374")</f>
        <v>0</v>
      </c>
      <c r="B8767" t="s">
        <v>2546</v>
      </c>
      <c r="C8767" t="s">
        <v>11849</v>
      </c>
      <c r="D8767" t="s">
        <v>18812</v>
      </c>
      <c r="E8767" t="s">
        <v>19202</v>
      </c>
      <c r="F8767" t="s">
        <v>32664</v>
      </c>
      <c r="G8767" t="s">
        <v>32672</v>
      </c>
      <c r="H8767" t="s">
        <v>32683</v>
      </c>
      <c r="I8767" t="s">
        <v>10627</v>
      </c>
      <c r="J8767" t="s">
        <v>33615</v>
      </c>
      <c r="K8767" t="s">
        <v>42313</v>
      </c>
      <c r="M8767" t="s">
        <v>45354</v>
      </c>
      <c r="N8767" t="s">
        <v>46569</v>
      </c>
      <c r="O8767" t="s">
        <v>46570</v>
      </c>
      <c r="P8767">
        <v>0</v>
      </c>
      <c r="Q8767">
        <v>0</v>
      </c>
      <c r="R8767" t="s">
        <v>46576</v>
      </c>
      <c r="S8767" t="s">
        <v>46749</v>
      </c>
      <c r="T8767" t="s">
        <v>48349</v>
      </c>
      <c r="U8767" t="s">
        <v>55881</v>
      </c>
      <c r="W8767" t="s">
        <v>45354</v>
      </c>
      <c r="X8767" t="s">
        <v>46577</v>
      </c>
    </row>
    <row r="8768" spans="1:24">
      <c r="A8768">
        <f>HYPERLINK("https://www.philgeps.gov.ph/GEPSNONPILOT/Tender/SplashBidNoticeAbstractUI.aspx?menuIndex=3&amp;refID=7057373&amp;Result=3","7057373")</f>
        <v>0</v>
      </c>
      <c r="B8768" t="s">
        <v>2057</v>
      </c>
      <c r="C8768" t="s">
        <v>11850</v>
      </c>
      <c r="D8768" t="s">
        <v>18845</v>
      </c>
      <c r="E8768" t="s">
        <v>26519</v>
      </c>
      <c r="F8768" t="s">
        <v>32664</v>
      </c>
      <c r="G8768" t="s">
        <v>32671</v>
      </c>
      <c r="H8768" t="s">
        <v>12635</v>
      </c>
      <c r="I8768" t="s">
        <v>32704</v>
      </c>
      <c r="J8768" t="s">
        <v>32974</v>
      </c>
      <c r="K8768" t="s">
        <v>42281</v>
      </c>
      <c r="M8768" t="s">
        <v>44806</v>
      </c>
      <c r="N8768" t="s">
        <v>46569</v>
      </c>
      <c r="O8768" t="s">
        <v>46570</v>
      </c>
      <c r="P8768">
        <v>0</v>
      </c>
      <c r="Q8768">
        <v>4</v>
      </c>
      <c r="R8768" t="s">
        <v>46576</v>
      </c>
      <c r="S8768" t="s">
        <v>46749</v>
      </c>
      <c r="T8768" t="s">
        <v>48376</v>
      </c>
      <c r="U8768" t="s">
        <v>55882</v>
      </c>
      <c r="W8768" t="s">
        <v>44806</v>
      </c>
      <c r="X8768" t="s">
        <v>46577</v>
      </c>
    </row>
    <row r="8769" spans="1:24">
      <c r="A8769">
        <f>HYPERLINK("https://www.philgeps.gov.ph/GEPSNONPILOT/Tender/SplashBidNoticeAbstractUI.aspx?menuIndex=3&amp;refID=7057460&amp;Result=3","7057460")</f>
        <v>0</v>
      </c>
      <c r="B8769" t="s">
        <v>295</v>
      </c>
      <c r="C8769" t="s">
        <v>11851</v>
      </c>
      <c r="D8769" t="s">
        <v>18848</v>
      </c>
      <c r="E8769" t="s">
        <v>26520</v>
      </c>
      <c r="F8769" t="s">
        <v>32664</v>
      </c>
      <c r="G8769" t="s">
        <v>32672</v>
      </c>
      <c r="H8769" t="s">
        <v>12635</v>
      </c>
      <c r="I8769" t="s">
        <v>6168</v>
      </c>
      <c r="J8769" t="s">
        <v>38139</v>
      </c>
      <c r="K8769" t="s">
        <v>42297</v>
      </c>
      <c r="M8769" t="s">
        <v>42862</v>
      </c>
      <c r="N8769" t="s">
        <v>46569</v>
      </c>
      <c r="O8769" t="s">
        <v>46570</v>
      </c>
      <c r="P8769">
        <v>0</v>
      </c>
      <c r="Q8769">
        <v>0</v>
      </c>
      <c r="R8769" t="s">
        <v>46576</v>
      </c>
      <c r="S8769" t="s">
        <v>46749</v>
      </c>
      <c r="T8769" t="s">
        <v>48298</v>
      </c>
      <c r="U8769" t="s">
        <v>55883</v>
      </c>
      <c r="W8769" t="s">
        <v>42862</v>
      </c>
      <c r="X8769" t="s">
        <v>46577</v>
      </c>
    </row>
    <row r="8770" spans="1:24">
      <c r="A8770">
        <f>HYPERLINK("https://www.philgeps.gov.ph/GEPSNONPILOT/Tender/SplashBidNoticeAbstractUI.aspx?menuIndex=3&amp;refID=7057368&amp;Result=3","7057368")</f>
        <v>0</v>
      </c>
      <c r="B8770" t="s">
        <v>1926</v>
      </c>
      <c r="C8770" t="s">
        <v>11852</v>
      </c>
      <c r="D8770" t="s">
        <v>18787</v>
      </c>
      <c r="E8770" t="s">
        <v>26521</v>
      </c>
      <c r="F8770" t="s">
        <v>32664</v>
      </c>
      <c r="G8770" t="s">
        <v>32672</v>
      </c>
      <c r="H8770" t="s">
        <v>32683</v>
      </c>
      <c r="I8770" t="s">
        <v>10627</v>
      </c>
      <c r="J8770" t="s">
        <v>38140</v>
      </c>
      <c r="K8770" t="s">
        <v>42308</v>
      </c>
      <c r="M8770" t="s">
        <v>44648</v>
      </c>
      <c r="N8770" t="s">
        <v>46569</v>
      </c>
      <c r="O8770" t="s">
        <v>46570</v>
      </c>
      <c r="P8770">
        <v>0</v>
      </c>
      <c r="Q8770">
        <v>0</v>
      </c>
      <c r="R8770" t="s">
        <v>46576</v>
      </c>
      <c r="S8770" t="s">
        <v>46749</v>
      </c>
      <c r="T8770" t="s">
        <v>48328</v>
      </c>
      <c r="U8770" t="s">
        <v>53569</v>
      </c>
      <c r="W8770" t="s">
        <v>44648</v>
      </c>
      <c r="X8770" t="s">
        <v>46577</v>
      </c>
    </row>
    <row r="8771" spans="1:24">
      <c r="A8771">
        <f>HYPERLINK("https://www.philgeps.gov.ph/GEPSNONPILOT/Tender/SplashBidNoticeAbstractUI.aspx?menuIndex=3&amp;refID=7057439&amp;Result=3","7057439")</f>
        <v>0</v>
      </c>
      <c r="B8771" t="s">
        <v>1926</v>
      </c>
      <c r="C8771" t="s">
        <v>11853</v>
      </c>
      <c r="D8771" t="s">
        <v>18787</v>
      </c>
      <c r="E8771" t="s">
        <v>26522</v>
      </c>
      <c r="F8771" t="s">
        <v>32664</v>
      </c>
      <c r="G8771" t="s">
        <v>32672</v>
      </c>
      <c r="H8771" t="s">
        <v>32683</v>
      </c>
      <c r="I8771" t="s">
        <v>10627</v>
      </c>
      <c r="J8771" t="s">
        <v>38141</v>
      </c>
      <c r="K8771" t="s">
        <v>42290</v>
      </c>
      <c r="M8771" t="s">
        <v>44648</v>
      </c>
      <c r="N8771" t="s">
        <v>46569</v>
      </c>
      <c r="O8771" t="s">
        <v>46570</v>
      </c>
      <c r="P8771">
        <v>0</v>
      </c>
      <c r="Q8771">
        <v>0</v>
      </c>
      <c r="R8771" t="s">
        <v>46576</v>
      </c>
      <c r="S8771" t="s">
        <v>46749</v>
      </c>
      <c r="T8771" t="s">
        <v>48328</v>
      </c>
      <c r="U8771" t="s">
        <v>53569</v>
      </c>
      <c r="W8771" t="s">
        <v>44648</v>
      </c>
      <c r="X8771" t="s">
        <v>46577</v>
      </c>
    </row>
    <row r="8772" spans="1:24">
      <c r="A8772">
        <f>HYPERLINK("https://www.philgeps.gov.ph/GEPSNONPILOT/Tender/SplashBidNoticeAbstractUI.aspx?menuIndex=3&amp;refID=7057355&amp;Result=3","7057355")</f>
        <v>0</v>
      </c>
      <c r="B8772" t="s">
        <v>396</v>
      </c>
      <c r="C8772" t="s">
        <v>11854</v>
      </c>
      <c r="D8772" t="s">
        <v>18790</v>
      </c>
      <c r="E8772" t="s">
        <v>26523</v>
      </c>
      <c r="F8772" t="s">
        <v>32664</v>
      </c>
      <c r="G8772" t="s">
        <v>32672</v>
      </c>
      <c r="H8772" t="s">
        <v>12635</v>
      </c>
      <c r="I8772" t="s">
        <v>32779</v>
      </c>
      <c r="J8772" t="s">
        <v>36867</v>
      </c>
      <c r="K8772" t="s">
        <v>42297</v>
      </c>
      <c r="M8772" t="s">
        <v>42966</v>
      </c>
      <c r="N8772" t="s">
        <v>46569</v>
      </c>
      <c r="O8772" t="s">
        <v>46570</v>
      </c>
      <c r="P8772">
        <v>0</v>
      </c>
      <c r="Q8772">
        <v>0</v>
      </c>
      <c r="R8772" t="s">
        <v>46576</v>
      </c>
      <c r="S8772" t="s">
        <v>46749</v>
      </c>
      <c r="T8772" t="s">
        <v>48283</v>
      </c>
      <c r="U8772" t="s">
        <v>55884</v>
      </c>
      <c r="W8772" t="s">
        <v>42966</v>
      </c>
      <c r="X8772" t="s">
        <v>46577</v>
      </c>
    </row>
    <row r="8773" spans="1:24">
      <c r="A8773">
        <f>HYPERLINK("https://www.philgeps.gov.ph/GEPSNONPILOT/Tender/SplashBidNoticeAbstractUI.aspx?menuIndex=3&amp;refID=7057448&amp;Result=3","7057448")</f>
        <v>0</v>
      </c>
      <c r="B8773" t="s">
        <v>1115</v>
      </c>
      <c r="C8773" t="s">
        <v>11855</v>
      </c>
      <c r="E8773" t="s">
        <v>24993</v>
      </c>
      <c r="F8773" t="s">
        <v>32664</v>
      </c>
      <c r="G8773" t="s">
        <v>32671</v>
      </c>
      <c r="H8773" t="s">
        <v>12635</v>
      </c>
      <c r="I8773" t="s">
        <v>14442</v>
      </c>
      <c r="J8773" t="s">
        <v>33726</v>
      </c>
      <c r="K8773" t="s">
        <v>42283</v>
      </c>
      <c r="M8773" t="s">
        <v>44252</v>
      </c>
      <c r="N8773" t="s">
        <v>46569</v>
      </c>
      <c r="O8773" t="s">
        <v>46570</v>
      </c>
      <c r="P8773">
        <v>0</v>
      </c>
      <c r="Q8773">
        <v>1</v>
      </c>
      <c r="R8773" t="s">
        <v>46576</v>
      </c>
      <c r="S8773" t="s">
        <v>46749</v>
      </c>
      <c r="T8773" t="s">
        <v>48316</v>
      </c>
      <c r="U8773" t="s">
        <v>52416</v>
      </c>
      <c r="W8773" t="s">
        <v>44252</v>
      </c>
      <c r="X8773" t="s">
        <v>46577</v>
      </c>
    </row>
    <row r="8774" spans="1:24">
      <c r="A8774">
        <f>HYPERLINK("https://www.philgeps.gov.ph/GEPSNONPILOT/Tender/SplashBidNoticeAbstractUI.aspx?menuIndex=3&amp;refID=7057552&amp;Result=3","7057552")</f>
        <v>0</v>
      </c>
      <c r="B8774" t="s">
        <v>2460</v>
      </c>
      <c r="C8774" t="s">
        <v>11856</v>
      </c>
      <c r="D8774" t="s">
        <v>18783</v>
      </c>
      <c r="E8774" t="s">
        <v>21565</v>
      </c>
      <c r="F8774" t="s">
        <v>32664</v>
      </c>
      <c r="G8774" t="s">
        <v>32672</v>
      </c>
      <c r="H8774" t="s">
        <v>12635</v>
      </c>
      <c r="I8774" t="s">
        <v>4439</v>
      </c>
      <c r="J8774" t="s">
        <v>38142</v>
      </c>
      <c r="K8774" t="s">
        <v>42297</v>
      </c>
      <c r="M8774" t="s">
        <v>45256</v>
      </c>
      <c r="N8774" t="s">
        <v>46569</v>
      </c>
      <c r="O8774" t="s">
        <v>46570</v>
      </c>
      <c r="P8774">
        <v>0</v>
      </c>
      <c r="Q8774">
        <v>4</v>
      </c>
      <c r="R8774" t="s">
        <v>46576</v>
      </c>
      <c r="S8774" t="s">
        <v>46749</v>
      </c>
      <c r="T8774" t="s">
        <v>48221</v>
      </c>
      <c r="U8774" t="s">
        <v>55885</v>
      </c>
      <c r="W8774" t="s">
        <v>45256</v>
      </c>
      <c r="X8774" t="s">
        <v>46577</v>
      </c>
    </row>
    <row r="8775" spans="1:24">
      <c r="A8775">
        <f>HYPERLINK("https://www.philgeps.gov.ph/GEPSNONPILOT/Tender/SplashBidNoticeAbstractUI.aspx?menuIndex=3&amp;refID=7057361&amp;Result=3","7057361")</f>
        <v>0</v>
      </c>
      <c r="B8775" t="s">
        <v>2534</v>
      </c>
      <c r="C8775" t="s">
        <v>11857</v>
      </c>
      <c r="D8775" t="s">
        <v>18783</v>
      </c>
      <c r="E8775" t="s">
        <v>26524</v>
      </c>
      <c r="F8775" t="s">
        <v>32664</v>
      </c>
      <c r="G8775" t="s">
        <v>32672</v>
      </c>
      <c r="H8775" t="s">
        <v>32683</v>
      </c>
      <c r="I8775" t="s">
        <v>10627</v>
      </c>
      <c r="J8775" t="s">
        <v>38143</v>
      </c>
      <c r="K8775" t="s">
        <v>42290</v>
      </c>
      <c r="M8775" t="s">
        <v>45342</v>
      </c>
      <c r="N8775" t="s">
        <v>46569</v>
      </c>
      <c r="O8775" t="s">
        <v>46570</v>
      </c>
      <c r="P8775">
        <v>0</v>
      </c>
      <c r="Q8775">
        <v>0</v>
      </c>
      <c r="R8775" t="s">
        <v>46576</v>
      </c>
      <c r="S8775" t="s">
        <v>46749</v>
      </c>
      <c r="T8775" t="s">
        <v>48467</v>
      </c>
      <c r="U8775" t="s">
        <v>55832</v>
      </c>
      <c r="W8775" t="s">
        <v>45342</v>
      </c>
      <c r="X8775" t="s">
        <v>46577</v>
      </c>
    </row>
    <row r="8776" spans="1:24">
      <c r="A8776">
        <f>HYPERLINK("https://www.philgeps.gov.ph/GEPSNONPILOT/Tender/SplashBidNoticeAbstractUI.aspx?menuIndex=3&amp;refID=7057350&amp;Result=3","7057350")</f>
        <v>0</v>
      </c>
      <c r="B8776" t="s">
        <v>168</v>
      </c>
      <c r="C8776" t="s">
        <v>11858</v>
      </c>
      <c r="D8776" t="s">
        <v>18790</v>
      </c>
      <c r="E8776" t="s">
        <v>26525</v>
      </c>
      <c r="F8776" t="s">
        <v>32664</v>
      </c>
      <c r="G8776" t="s">
        <v>32672</v>
      </c>
      <c r="H8776" t="s">
        <v>12635</v>
      </c>
      <c r="I8776" t="s">
        <v>4439</v>
      </c>
      <c r="J8776" t="s">
        <v>38144</v>
      </c>
      <c r="K8776" t="s">
        <v>42284</v>
      </c>
      <c r="M8776" t="s">
        <v>42732</v>
      </c>
      <c r="N8776" t="s">
        <v>46569</v>
      </c>
      <c r="O8776" t="s">
        <v>46570</v>
      </c>
      <c r="P8776">
        <v>0</v>
      </c>
      <c r="Q8776">
        <v>0</v>
      </c>
      <c r="R8776" t="s">
        <v>46576</v>
      </c>
      <c r="S8776" t="s">
        <v>46749</v>
      </c>
      <c r="T8776" t="s">
        <v>48263</v>
      </c>
      <c r="U8776" t="s">
        <v>55886</v>
      </c>
      <c r="W8776" t="s">
        <v>42732</v>
      </c>
      <c r="X8776" t="s">
        <v>46577</v>
      </c>
    </row>
    <row r="8777" spans="1:24">
      <c r="A8777">
        <f>HYPERLINK("https://www.philgeps.gov.ph/GEPSNONPILOT/Tender/SplashBidNoticeAbstractUI.aspx?menuIndex=3&amp;refID=7057353&amp;Result=3","7057353")</f>
        <v>0</v>
      </c>
      <c r="B8777" t="s">
        <v>2547</v>
      </c>
      <c r="C8777" t="s">
        <v>11859</v>
      </c>
      <c r="D8777" t="s">
        <v>18845</v>
      </c>
      <c r="E8777" t="s">
        <v>22743</v>
      </c>
      <c r="F8777" t="s">
        <v>32664</v>
      </c>
      <c r="G8777" t="s">
        <v>32674</v>
      </c>
      <c r="H8777" t="s">
        <v>12635</v>
      </c>
      <c r="I8777" t="s">
        <v>14442</v>
      </c>
      <c r="J8777" t="s">
        <v>34754</v>
      </c>
      <c r="K8777" t="s">
        <v>42284</v>
      </c>
      <c r="M8777" t="s">
        <v>45355</v>
      </c>
      <c r="N8777" t="s">
        <v>46569</v>
      </c>
      <c r="O8777" t="s">
        <v>46570</v>
      </c>
      <c r="P8777">
        <v>0</v>
      </c>
      <c r="Q8777">
        <v>4</v>
      </c>
      <c r="R8777" t="s">
        <v>46576</v>
      </c>
      <c r="S8777" t="s">
        <v>46749</v>
      </c>
      <c r="T8777" t="s">
        <v>48287</v>
      </c>
      <c r="U8777" t="s">
        <v>55887</v>
      </c>
      <c r="W8777" t="s">
        <v>45355</v>
      </c>
      <c r="X8777" t="s">
        <v>46577</v>
      </c>
    </row>
    <row r="8778" spans="1:24">
      <c r="A8778">
        <f>HYPERLINK("https://www.philgeps.gov.ph/GEPSNONPILOT/Tender/SplashBidNoticeAbstractUI.aspx?menuIndex=3&amp;refID=7057622&amp;Result=3","7057622")</f>
        <v>0</v>
      </c>
      <c r="B8778" t="s">
        <v>273</v>
      </c>
      <c r="C8778" t="s">
        <v>11860</v>
      </c>
      <c r="D8778" t="s">
        <v>18812</v>
      </c>
      <c r="E8778" t="s">
        <v>26526</v>
      </c>
      <c r="F8778" t="s">
        <v>32664</v>
      </c>
      <c r="G8778" t="s">
        <v>32672</v>
      </c>
      <c r="H8778" t="s">
        <v>32683</v>
      </c>
      <c r="I8778" t="s">
        <v>10627</v>
      </c>
      <c r="J8778" t="s">
        <v>38145</v>
      </c>
      <c r="K8778" t="s">
        <v>42285</v>
      </c>
      <c r="M8778" t="s">
        <v>42838</v>
      </c>
      <c r="N8778" t="s">
        <v>46569</v>
      </c>
      <c r="O8778" t="s">
        <v>46570</v>
      </c>
      <c r="P8778">
        <v>0</v>
      </c>
      <c r="Q8778">
        <v>0</v>
      </c>
      <c r="R8778" t="s">
        <v>46576</v>
      </c>
      <c r="S8778" t="s">
        <v>46749</v>
      </c>
      <c r="T8778" t="s">
        <v>48233</v>
      </c>
      <c r="U8778" t="s">
        <v>55888</v>
      </c>
      <c r="W8778" t="s">
        <v>42838</v>
      </c>
      <c r="X8778" t="s">
        <v>46577</v>
      </c>
    </row>
    <row r="8779" spans="1:24">
      <c r="A8779">
        <f>HYPERLINK("https://www.philgeps.gov.ph/GEPSNONPILOT/Tender/SplashBidNoticeAbstractUI.aspx?menuIndex=3&amp;refID=7057621&amp;Result=3","7057621")</f>
        <v>0</v>
      </c>
      <c r="B8779" t="s">
        <v>2202</v>
      </c>
      <c r="C8779" t="s">
        <v>11861</v>
      </c>
      <c r="D8779" t="s">
        <v>18844</v>
      </c>
      <c r="E8779" t="s">
        <v>26527</v>
      </c>
      <c r="F8779" t="s">
        <v>32664</v>
      </c>
      <c r="G8779" t="s">
        <v>32672</v>
      </c>
      <c r="H8779" t="s">
        <v>32683</v>
      </c>
      <c r="I8779" t="s">
        <v>10627</v>
      </c>
      <c r="J8779" t="s">
        <v>33118</v>
      </c>
      <c r="K8779" t="s">
        <v>42354</v>
      </c>
      <c r="M8779" t="s">
        <v>44966</v>
      </c>
      <c r="N8779" t="s">
        <v>46569</v>
      </c>
      <c r="O8779" t="s">
        <v>46570</v>
      </c>
      <c r="P8779">
        <v>0</v>
      </c>
      <c r="Q8779">
        <v>0</v>
      </c>
      <c r="R8779" t="s">
        <v>46576</v>
      </c>
      <c r="S8779" t="s">
        <v>46749</v>
      </c>
      <c r="T8779" t="s">
        <v>48346</v>
      </c>
      <c r="U8779" t="s">
        <v>55889</v>
      </c>
      <c r="V8779" t="s">
        <v>62525</v>
      </c>
      <c r="W8779" t="s">
        <v>44966</v>
      </c>
      <c r="X8779" t="s">
        <v>46577</v>
      </c>
    </row>
    <row r="8780" spans="1:24">
      <c r="A8780">
        <f>HYPERLINK("https://www.philgeps.gov.ph/GEPSNONPILOT/Tender/SplashBidNoticeAbstractUI.aspx?menuIndex=3&amp;refID=7057498&amp;Result=3","7057498")</f>
        <v>0</v>
      </c>
      <c r="B8780" t="s">
        <v>2505</v>
      </c>
      <c r="C8780" t="s">
        <v>11862</v>
      </c>
      <c r="D8780" t="s">
        <v>18809</v>
      </c>
      <c r="E8780" t="s">
        <v>26528</v>
      </c>
      <c r="F8780" t="s">
        <v>32664</v>
      </c>
      <c r="G8780" t="s">
        <v>32671</v>
      </c>
      <c r="H8780" t="s">
        <v>12635</v>
      </c>
      <c r="I8780" t="s">
        <v>5589</v>
      </c>
      <c r="J8780" t="s">
        <v>33107</v>
      </c>
      <c r="K8780" t="s">
        <v>42281</v>
      </c>
      <c r="M8780" t="s">
        <v>45309</v>
      </c>
      <c r="N8780" t="s">
        <v>46569</v>
      </c>
      <c r="O8780" t="s">
        <v>46570</v>
      </c>
      <c r="P8780">
        <v>0</v>
      </c>
      <c r="Q8780">
        <v>3</v>
      </c>
      <c r="R8780" t="s">
        <v>46576</v>
      </c>
      <c r="S8780" t="s">
        <v>46749</v>
      </c>
      <c r="T8780" t="s">
        <v>48427</v>
      </c>
      <c r="U8780" t="s">
        <v>55890</v>
      </c>
      <c r="W8780" t="s">
        <v>45309</v>
      </c>
      <c r="X8780" t="s">
        <v>46577</v>
      </c>
    </row>
    <row r="8781" spans="1:24">
      <c r="A8781">
        <f>HYPERLINK("https://www.philgeps.gov.ph/GEPSNONPILOT/Tender/SplashBidNoticeAbstractUI.aspx?menuIndex=3&amp;refID=7057636&amp;Result=3","7057636")</f>
        <v>0</v>
      </c>
      <c r="B8781" t="s">
        <v>2333</v>
      </c>
      <c r="C8781" t="s">
        <v>11863</v>
      </c>
      <c r="E8781" t="s">
        <v>26529</v>
      </c>
      <c r="F8781" t="s">
        <v>32664</v>
      </c>
      <c r="G8781" t="s">
        <v>32671</v>
      </c>
      <c r="H8781" t="s">
        <v>12635</v>
      </c>
      <c r="I8781" t="s">
        <v>32701</v>
      </c>
      <c r="J8781" t="s">
        <v>38146</v>
      </c>
      <c r="K8781" t="s">
        <v>42283</v>
      </c>
      <c r="M8781" t="s">
        <v>45109</v>
      </c>
      <c r="N8781" t="s">
        <v>46569</v>
      </c>
      <c r="O8781" t="s">
        <v>46570</v>
      </c>
      <c r="Q8781">
        <v>1</v>
      </c>
      <c r="R8781" t="s">
        <v>46576</v>
      </c>
      <c r="S8781" t="s">
        <v>46800</v>
      </c>
      <c r="T8781" t="s">
        <v>48244</v>
      </c>
      <c r="U8781" t="s">
        <v>49518</v>
      </c>
      <c r="W8781" t="s">
        <v>45109</v>
      </c>
      <c r="X8781" t="s">
        <v>46577</v>
      </c>
    </row>
    <row r="8782" spans="1:24">
      <c r="A8782">
        <f>HYPERLINK("https://www.philgeps.gov.ph/GEPSNONPILOT/Tender/SplashBidNoticeAbstractUI.aspx?menuIndex=3&amp;refID=7057356&amp;Result=3","7057356")</f>
        <v>0</v>
      </c>
      <c r="B8782" t="s">
        <v>2548</v>
      </c>
      <c r="C8782" t="s">
        <v>11864</v>
      </c>
      <c r="D8782" t="s">
        <v>18806</v>
      </c>
      <c r="E8782" t="s">
        <v>26530</v>
      </c>
      <c r="F8782" t="s">
        <v>32664</v>
      </c>
      <c r="G8782" t="s">
        <v>32672</v>
      </c>
      <c r="H8782" t="s">
        <v>12635</v>
      </c>
      <c r="I8782" t="s">
        <v>6168</v>
      </c>
      <c r="J8782" t="s">
        <v>38147</v>
      </c>
      <c r="K8782" t="s">
        <v>42283</v>
      </c>
      <c r="M8782" t="s">
        <v>45356</v>
      </c>
      <c r="N8782" t="s">
        <v>46569</v>
      </c>
      <c r="O8782" t="s">
        <v>46570</v>
      </c>
      <c r="P8782">
        <v>0</v>
      </c>
      <c r="Q8782">
        <v>1</v>
      </c>
      <c r="R8782" t="s">
        <v>46576</v>
      </c>
      <c r="S8782" t="s">
        <v>46749</v>
      </c>
      <c r="T8782" t="s">
        <v>48280</v>
      </c>
      <c r="U8782" t="s">
        <v>55891</v>
      </c>
      <c r="W8782" t="s">
        <v>45356</v>
      </c>
      <c r="X8782" t="s">
        <v>46577</v>
      </c>
    </row>
    <row r="8783" spans="1:24">
      <c r="A8783">
        <f>HYPERLINK("https://www.philgeps.gov.ph/GEPSNONPILOT/Tender/SplashBidNoticeAbstractUI.aspx?menuIndex=3&amp;refID=7057559&amp;Result=3","7057559")</f>
        <v>0</v>
      </c>
      <c r="B8783" t="s">
        <v>1055</v>
      </c>
      <c r="C8783" t="s">
        <v>11865</v>
      </c>
      <c r="D8783" t="s">
        <v>18849</v>
      </c>
      <c r="E8783" t="s">
        <v>26531</v>
      </c>
      <c r="F8783" t="s">
        <v>32664</v>
      </c>
      <c r="G8783" t="s">
        <v>32671</v>
      </c>
      <c r="H8783" t="s">
        <v>12635</v>
      </c>
      <c r="I8783" t="s">
        <v>32704</v>
      </c>
      <c r="J8783" t="s">
        <v>34759</v>
      </c>
      <c r="K8783" t="s">
        <v>42283</v>
      </c>
      <c r="M8783" t="s">
        <v>43673</v>
      </c>
      <c r="N8783" t="s">
        <v>46569</v>
      </c>
      <c r="O8783" t="s">
        <v>46570</v>
      </c>
      <c r="P8783">
        <v>0</v>
      </c>
      <c r="Q8783">
        <v>3</v>
      </c>
      <c r="R8783" t="s">
        <v>46576</v>
      </c>
      <c r="S8783" t="s">
        <v>46749</v>
      </c>
      <c r="T8783" t="s">
        <v>48550</v>
      </c>
      <c r="U8783" t="s">
        <v>55892</v>
      </c>
      <c r="W8783" t="s">
        <v>43673</v>
      </c>
      <c r="X8783" t="s">
        <v>46577</v>
      </c>
    </row>
    <row r="8784" spans="1:24">
      <c r="A8784">
        <f>HYPERLINK("https://www.philgeps.gov.ph/GEPSNONPILOT/Tender/SplashBidNoticeAbstractUI.aspx?menuIndex=3&amp;refID=7057623&amp;Result=3","7057623")</f>
        <v>0</v>
      </c>
      <c r="B8784" t="s">
        <v>1717</v>
      </c>
      <c r="C8784" t="s">
        <v>11866</v>
      </c>
      <c r="D8784" t="s">
        <v>18790</v>
      </c>
      <c r="E8784" t="s">
        <v>26532</v>
      </c>
      <c r="F8784" t="s">
        <v>32664</v>
      </c>
      <c r="G8784" t="s">
        <v>32671</v>
      </c>
      <c r="H8784" t="s">
        <v>12635</v>
      </c>
      <c r="I8784" t="s">
        <v>7429</v>
      </c>
      <c r="J8784" t="s">
        <v>38148</v>
      </c>
      <c r="K8784" t="s">
        <v>42283</v>
      </c>
      <c r="M8784" t="s">
        <v>45357</v>
      </c>
      <c r="N8784" t="s">
        <v>46569</v>
      </c>
      <c r="O8784" t="s">
        <v>46570</v>
      </c>
      <c r="P8784">
        <v>0</v>
      </c>
      <c r="Q8784">
        <v>0</v>
      </c>
      <c r="R8784" t="s">
        <v>46576</v>
      </c>
      <c r="S8784" t="s">
        <v>46749</v>
      </c>
      <c r="T8784" t="s">
        <v>48376</v>
      </c>
      <c r="U8784" t="s">
        <v>55893</v>
      </c>
      <c r="W8784" t="s">
        <v>63530</v>
      </c>
      <c r="X8784" t="s">
        <v>46577</v>
      </c>
    </row>
    <row r="8785" spans="1:24">
      <c r="A8785">
        <f>HYPERLINK("https://www.philgeps.gov.ph/GEPSNONPILOT/Tender/SplashBidNoticeAbstractUI.aspx?menuIndex=3&amp;refID=7057616&amp;Result=3","7057616")</f>
        <v>0</v>
      </c>
      <c r="B8785" t="s">
        <v>346</v>
      </c>
      <c r="C8785" t="s">
        <v>11867</v>
      </c>
      <c r="D8785" t="s">
        <v>18817</v>
      </c>
      <c r="E8785" t="s">
        <v>26533</v>
      </c>
      <c r="F8785" t="s">
        <v>32664</v>
      </c>
      <c r="G8785" t="s">
        <v>32672</v>
      </c>
      <c r="H8785" t="s">
        <v>32683</v>
      </c>
      <c r="I8785" t="s">
        <v>10627</v>
      </c>
      <c r="J8785" t="s">
        <v>38149</v>
      </c>
      <c r="K8785" t="s">
        <v>42467</v>
      </c>
      <c r="M8785" t="s">
        <v>42915</v>
      </c>
      <c r="N8785" t="s">
        <v>46569</v>
      </c>
      <c r="O8785" t="s">
        <v>46570</v>
      </c>
      <c r="P8785">
        <v>0</v>
      </c>
      <c r="Q8785">
        <v>0</v>
      </c>
      <c r="R8785" t="s">
        <v>46576</v>
      </c>
      <c r="S8785" t="s">
        <v>46749</v>
      </c>
      <c r="T8785" t="s">
        <v>48318</v>
      </c>
      <c r="U8785" t="s">
        <v>55894</v>
      </c>
      <c r="W8785" t="s">
        <v>42915</v>
      </c>
      <c r="X8785" t="s">
        <v>46577</v>
      </c>
    </row>
    <row r="8786" spans="1:24">
      <c r="A8786">
        <f>HYPERLINK("https://www.philgeps.gov.ph/GEPSNONPILOT/Tender/SplashBidNoticeAbstractUI.aspx?menuIndex=3&amp;refID=7057443&amp;Result=3","7057443")</f>
        <v>0</v>
      </c>
      <c r="B8786" t="s">
        <v>2492</v>
      </c>
      <c r="C8786" t="s">
        <v>11868</v>
      </c>
      <c r="D8786" t="s">
        <v>18806</v>
      </c>
      <c r="E8786" t="s">
        <v>26534</v>
      </c>
      <c r="F8786" t="s">
        <v>32664</v>
      </c>
      <c r="G8786" t="s">
        <v>32677</v>
      </c>
      <c r="H8786" t="s">
        <v>12635</v>
      </c>
      <c r="I8786" t="s">
        <v>10627</v>
      </c>
      <c r="J8786" t="s">
        <v>38150</v>
      </c>
      <c r="K8786" t="s">
        <v>42303</v>
      </c>
      <c r="M8786" t="s">
        <v>45294</v>
      </c>
      <c r="N8786" t="s">
        <v>46569</v>
      </c>
      <c r="O8786" t="s">
        <v>46570</v>
      </c>
      <c r="P8786">
        <v>0</v>
      </c>
      <c r="Q8786">
        <v>1</v>
      </c>
      <c r="R8786" t="s">
        <v>46576</v>
      </c>
      <c r="S8786" t="s">
        <v>46749</v>
      </c>
      <c r="T8786" t="s">
        <v>48321</v>
      </c>
      <c r="U8786" t="s">
        <v>55895</v>
      </c>
      <c r="V8786" t="s">
        <v>62526</v>
      </c>
      <c r="W8786" t="s">
        <v>45294</v>
      </c>
      <c r="X8786" t="s">
        <v>46577</v>
      </c>
    </row>
    <row r="8787" spans="1:24">
      <c r="A8787">
        <f>HYPERLINK("https://www.philgeps.gov.ph/GEPSNONPILOT/Tender/SplashBidNoticeAbstractUI.aspx?menuIndex=3&amp;refID=7057579&amp;Result=3","7057579")</f>
        <v>0</v>
      </c>
      <c r="B8787" t="s">
        <v>36</v>
      </c>
      <c r="C8787" t="s">
        <v>11869</v>
      </c>
      <c r="D8787" t="s">
        <v>18792</v>
      </c>
      <c r="E8787" t="s">
        <v>26535</v>
      </c>
      <c r="F8787" t="s">
        <v>32664</v>
      </c>
      <c r="G8787" t="s">
        <v>32671</v>
      </c>
      <c r="H8787" t="s">
        <v>12635</v>
      </c>
      <c r="I8787" t="s">
        <v>8730</v>
      </c>
      <c r="J8787" t="s">
        <v>38151</v>
      </c>
      <c r="K8787" t="s">
        <v>42289</v>
      </c>
      <c r="M8787" t="s">
        <v>42598</v>
      </c>
      <c r="N8787" t="s">
        <v>46569</v>
      </c>
      <c r="O8787" t="s">
        <v>46570</v>
      </c>
      <c r="P8787">
        <v>0</v>
      </c>
      <c r="Q8787">
        <v>1</v>
      </c>
      <c r="R8787" t="s">
        <v>46576</v>
      </c>
      <c r="S8787" t="s">
        <v>46749</v>
      </c>
      <c r="T8787" t="s">
        <v>48287</v>
      </c>
      <c r="U8787" t="s">
        <v>55896</v>
      </c>
      <c r="V8787" t="s">
        <v>62527</v>
      </c>
      <c r="W8787" t="s">
        <v>42598</v>
      </c>
      <c r="X8787" t="s">
        <v>46577</v>
      </c>
    </row>
    <row r="8788" spans="1:24">
      <c r="A8788">
        <f>HYPERLINK("https://www.philgeps.gov.ph/GEPSNONPILOT/Tender/SplashBidNoticeAbstractUI.aspx?menuIndex=3&amp;refID=7057619&amp;Result=3","7057619")</f>
        <v>0</v>
      </c>
      <c r="B8788" t="s">
        <v>2425</v>
      </c>
      <c r="C8788" t="s">
        <v>11870</v>
      </c>
      <c r="D8788" t="s">
        <v>18842</v>
      </c>
      <c r="E8788" t="s">
        <v>26536</v>
      </c>
      <c r="F8788" t="s">
        <v>32664</v>
      </c>
      <c r="G8788" t="s">
        <v>32672</v>
      </c>
      <c r="H8788" t="s">
        <v>12635</v>
      </c>
      <c r="I8788" t="s">
        <v>32689</v>
      </c>
      <c r="J8788" t="s">
        <v>38152</v>
      </c>
      <c r="K8788" t="s">
        <v>42281</v>
      </c>
      <c r="M8788" t="s">
        <v>45336</v>
      </c>
      <c r="N8788" t="s">
        <v>46569</v>
      </c>
      <c r="O8788" t="s">
        <v>46570</v>
      </c>
      <c r="P8788">
        <v>0</v>
      </c>
      <c r="Q8788">
        <v>1</v>
      </c>
      <c r="R8788" t="s">
        <v>46576</v>
      </c>
      <c r="S8788" t="s">
        <v>46749</v>
      </c>
      <c r="T8788" t="s">
        <v>48334</v>
      </c>
      <c r="U8788" t="s">
        <v>55897</v>
      </c>
      <c r="V8788" t="s">
        <v>62414</v>
      </c>
      <c r="W8788" t="s">
        <v>63563</v>
      </c>
      <c r="X8788" t="s">
        <v>46577</v>
      </c>
    </row>
    <row r="8789" spans="1:24">
      <c r="A8789">
        <f>HYPERLINK("https://www.philgeps.gov.ph/GEPSNONPILOT/Tender/SplashBidNoticeAbstractUI.aspx?menuIndex=3&amp;refID=7057351&amp;Result=3","7057351")</f>
        <v>0</v>
      </c>
      <c r="B8789" t="s">
        <v>1423</v>
      </c>
      <c r="C8789" t="s">
        <v>11871</v>
      </c>
      <c r="E8789" t="s">
        <v>26537</v>
      </c>
      <c r="F8789" t="s">
        <v>32664</v>
      </c>
      <c r="G8789" t="s">
        <v>32672</v>
      </c>
      <c r="H8789" t="s">
        <v>32683</v>
      </c>
      <c r="I8789" t="s">
        <v>10627</v>
      </c>
      <c r="J8789" t="s">
        <v>36944</v>
      </c>
      <c r="K8789" t="s">
        <v>42475</v>
      </c>
      <c r="M8789" t="s">
        <v>45298</v>
      </c>
      <c r="N8789" t="s">
        <v>46569</v>
      </c>
      <c r="O8789" t="s">
        <v>46570</v>
      </c>
      <c r="Q8789">
        <v>5</v>
      </c>
      <c r="R8789" t="s">
        <v>46576</v>
      </c>
      <c r="S8789" t="s">
        <v>46801</v>
      </c>
      <c r="T8789" t="s">
        <v>48308</v>
      </c>
      <c r="U8789" t="s">
        <v>55898</v>
      </c>
      <c r="W8789" t="s">
        <v>45298</v>
      </c>
      <c r="X8789" t="s">
        <v>46577</v>
      </c>
    </row>
    <row r="8790" spans="1:24">
      <c r="A8790">
        <f>HYPERLINK("https://www.philgeps.gov.ph/GEPSNONPILOT/Tender/SplashBidNoticeAbstractUI.aspx?menuIndex=3&amp;refID=7057615&amp;Result=3","7057615")</f>
        <v>0</v>
      </c>
      <c r="B8790" t="s">
        <v>2549</v>
      </c>
      <c r="C8790" t="s">
        <v>10427</v>
      </c>
      <c r="D8790" t="s">
        <v>18803</v>
      </c>
      <c r="E8790" t="s">
        <v>26538</v>
      </c>
      <c r="F8790" t="s">
        <v>32664</v>
      </c>
      <c r="G8790" t="s">
        <v>32672</v>
      </c>
      <c r="H8790" t="s">
        <v>12635</v>
      </c>
      <c r="I8790" t="s">
        <v>9486</v>
      </c>
      <c r="J8790" t="s">
        <v>32974</v>
      </c>
      <c r="K8790" t="s">
        <v>42283</v>
      </c>
      <c r="M8790" t="s">
        <v>45358</v>
      </c>
      <c r="N8790" t="s">
        <v>46569</v>
      </c>
      <c r="O8790" t="s">
        <v>46570</v>
      </c>
      <c r="P8790">
        <v>0</v>
      </c>
      <c r="Q8790">
        <v>3</v>
      </c>
      <c r="R8790" t="s">
        <v>46576</v>
      </c>
      <c r="S8790" t="s">
        <v>46749</v>
      </c>
      <c r="T8790" t="s">
        <v>48284</v>
      </c>
      <c r="U8790" t="s">
        <v>55899</v>
      </c>
      <c r="W8790" t="s">
        <v>45358</v>
      </c>
      <c r="X8790" t="s">
        <v>46577</v>
      </c>
    </row>
    <row r="8791" spans="1:24">
      <c r="A8791">
        <f>HYPERLINK("https://www.philgeps.gov.ph/GEPSNONPILOT/Tender/SplashBidNoticeAbstractUI.aspx?menuIndex=3&amp;refID=7057606&amp;Result=3","7057606")</f>
        <v>0</v>
      </c>
      <c r="B8791" t="s">
        <v>695</v>
      </c>
      <c r="C8791" t="s">
        <v>11872</v>
      </c>
      <c r="D8791" t="s">
        <v>18816</v>
      </c>
      <c r="E8791" t="s">
        <v>26539</v>
      </c>
      <c r="F8791" t="s">
        <v>32664</v>
      </c>
      <c r="G8791" t="s">
        <v>32674</v>
      </c>
      <c r="H8791" t="s">
        <v>12635</v>
      </c>
      <c r="I8791" t="s">
        <v>14442</v>
      </c>
      <c r="J8791" t="s">
        <v>38153</v>
      </c>
      <c r="K8791" t="s">
        <v>42284</v>
      </c>
      <c r="M8791" t="s">
        <v>43282</v>
      </c>
      <c r="N8791" t="s">
        <v>46569</v>
      </c>
      <c r="O8791" t="s">
        <v>46570</v>
      </c>
      <c r="P8791">
        <v>0</v>
      </c>
      <c r="Q8791">
        <v>7</v>
      </c>
      <c r="R8791" t="s">
        <v>46576</v>
      </c>
      <c r="S8791" t="s">
        <v>46749</v>
      </c>
      <c r="T8791" t="s">
        <v>48376</v>
      </c>
      <c r="U8791" t="s">
        <v>55900</v>
      </c>
      <c r="W8791" t="s">
        <v>43282</v>
      </c>
      <c r="X8791" t="s">
        <v>46577</v>
      </c>
    </row>
    <row r="8792" spans="1:24">
      <c r="A8792">
        <f>HYPERLINK("https://www.philgeps.gov.ph/GEPSNONPILOT/Tender/SplashBidNoticeAbstractUI.aspx?menuIndex=3&amp;refID=7057600&amp;Result=3","7057600")</f>
        <v>0</v>
      </c>
      <c r="B8792" t="s">
        <v>36</v>
      </c>
      <c r="C8792" t="s">
        <v>11873</v>
      </c>
      <c r="D8792" t="s">
        <v>18792</v>
      </c>
      <c r="E8792" t="s">
        <v>26540</v>
      </c>
      <c r="F8792" t="s">
        <v>32664</v>
      </c>
      <c r="G8792" t="s">
        <v>32671</v>
      </c>
      <c r="H8792" t="s">
        <v>12635</v>
      </c>
      <c r="I8792" t="s">
        <v>8730</v>
      </c>
      <c r="J8792" t="s">
        <v>38154</v>
      </c>
      <c r="K8792" t="s">
        <v>42289</v>
      </c>
      <c r="M8792" t="s">
        <v>42598</v>
      </c>
      <c r="N8792" t="s">
        <v>46569</v>
      </c>
      <c r="O8792" t="s">
        <v>46570</v>
      </c>
      <c r="P8792">
        <v>0</v>
      </c>
      <c r="Q8792">
        <v>1</v>
      </c>
      <c r="R8792" t="s">
        <v>46576</v>
      </c>
      <c r="S8792" t="s">
        <v>46749</v>
      </c>
      <c r="T8792" t="s">
        <v>48287</v>
      </c>
      <c r="U8792" t="s">
        <v>55901</v>
      </c>
      <c r="V8792" t="s">
        <v>62527</v>
      </c>
      <c r="W8792" t="s">
        <v>42598</v>
      </c>
      <c r="X8792" t="s">
        <v>46577</v>
      </c>
    </row>
    <row r="8793" spans="1:24">
      <c r="A8793">
        <f>HYPERLINK("https://www.philgeps.gov.ph/GEPSNONPILOT/Tender/SplashBidNoticeAbstractUI.aspx?menuIndex=3&amp;refID=7057613&amp;Result=3","7057613")</f>
        <v>0</v>
      </c>
      <c r="B8793" t="s">
        <v>805</v>
      </c>
      <c r="C8793" t="s">
        <v>11874</v>
      </c>
      <c r="D8793" t="s">
        <v>18838</v>
      </c>
      <c r="E8793" t="s">
        <v>26541</v>
      </c>
      <c r="F8793" t="s">
        <v>32664</v>
      </c>
      <c r="G8793" t="s">
        <v>32672</v>
      </c>
      <c r="H8793" t="s">
        <v>12635</v>
      </c>
      <c r="I8793" t="s">
        <v>32735</v>
      </c>
      <c r="J8793" t="s">
        <v>34487</v>
      </c>
      <c r="K8793" t="s">
        <v>42305</v>
      </c>
      <c r="M8793" t="s">
        <v>43397</v>
      </c>
      <c r="N8793" t="s">
        <v>46569</v>
      </c>
      <c r="O8793" t="s">
        <v>46570</v>
      </c>
      <c r="P8793">
        <v>0</v>
      </c>
      <c r="Q8793">
        <v>3</v>
      </c>
      <c r="R8793" t="s">
        <v>46576</v>
      </c>
      <c r="S8793" t="s">
        <v>46749</v>
      </c>
      <c r="T8793" t="s">
        <v>48412</v>
      </c>
      <c r="U8793" t="s">
        <v>55902</v>
      </c>
      <c r="V8793" t="s">
        <v>62528</v>
      </c>
      <c r="W8793" t="s">
        <v>43397</v>
      </c>
      <c r="X8793" t="s">
        <v>46577</v>
      </c>
    </row>
    <row r="8794" spans="1:24">
      <c r="A8794">
        <f>HYPERLINK("https://www.philgeps.gov.ph/GEPSNONPILOT/Tender/SplashBidNoticeAbstractUI.aspx?menuIndex=3&amp;refID=7057612&amp;Result=3","7057612")</f>
        <v>0</v>
      </c>
      <c r="B8794" t="s">
        <v>1734</v>
      </c>
      <c r="C8794" t="s">
        <v>11875</v>
      </c>
      <c r="D8794" t="s">
        <v>18789</v>
      </c>
      <c r="E8794" t="s">
        <v>26542</v>
      </c>
      <c r="F8794" t="s">
        <v>32664</v>
      </c>
      <c r="G8794" t="s">
        <v>32671</v>
      </c>
      <c r="H8794" t="s">
        <v>12635</v>
      </c>
      <c r="I8794" t="s">
        <v>32706</v>
      </c>
      <c r="J8794" t="s">
        <v>33349</v>
      </c>
      <c r="K8794" t="s">
        <v>42289</v>
      </c>
      <c r="M8794" t="s">
        <v>44433</v>
      </c>
      <c r="N8794" t="s">
        <v>46569</v>
      </c>
      <c r="O8794" t="s">
        <v>46570</v>
      </c>
      <c r="P8794">
        <v>0</v>
      </c>
      <c r="Q8794">
        <v>0</v>
      </c>
      <c r="R8794" t="s">
        <v>46576</v>
      </c>
      <c r="S8794" t="s">
        <v>46749</v>
      </c>
      <c r="T8794" t="s">
        <v>48316</v>
      </c>
      <c r="U8794" t="s">
        <v>55903</v>
      </c>
      <c r="W8794" t="s">
        <v>44433</v>
      </c>
      <c r="X8794" t="s">
        <v>46577</v>
      </c>
    </row>
    <row r="8795" spans="1:24">
      <c r="A8795">
        <f>HYPERLINK("https://www.philgeps.gov.ph/GEPSNONPILOT/Tender/SplashBidNoticeAbstractUI.aspx?menuIndex=3&amp;refID=7057596&amp;Result=3","7057596")</f>
        <v>0</v>
      </c>
      <c r="B8795" t="s">
        <v>312</v>
      </c>
      <c r="C8795" t="s">
        <v>11876</v>
      </c>
      <c r="D8795" t="s">
        <v>18805</v>
      </c>
      <c r="E8795" t="s">
        <v>26543</v>
      </c>
      <c r="F8795" t="s">
        <v>32664</v>
      </c>
      <c r="G8795" t="s">
        <v>32671</v>
      </c>
      <c r="H8795" t="s">
        <v>12635</v>
      </c>
      <c r="I8795" t="s">
        <v>32701</v>
      </c>
      <c r="J8795" t="s">
        <v>32918</v>
      </c>
      <c r="K8795" t="s">
        <v>42283</v>
      </c>
      <c r="M8795" t="s">
        <v>42879</v>
      </c>
      <c r="N8795" t="s">
        <v>46569</v>
      </c>
      <c r="O8795" t="s">
        <v>46570</v>
      </c>
      <c r="P8795">
        <v>0</v>
      </c>
      <c r="Q8795">
        <v>0</v>
      </c>
      <c r="R8795" t="s">
        <v>46576</v>
      </c>
      <c r="S8795" t="s">
        <v>46749</v>
      </c>
      <c r="T8795" t="s">
        <v>48283</v>
      </c>
      <c r="U8795" t="s">
        <v>51797</v>
      </c>
      <c r="W8795" t="s">
        <v>42879</v>
      </c>
      <c r="X8795" t="s">
        <v>46577</v>
      </c>
    </row>
    <row r="8796" spans="1:24">
      <c r="A8796">
        <f>HYPERLINK("https://www.philgeps.gov.ph/GEPSNONPILOT/Tender/SplashBidNoticeAbstractUI.aspx?menuIndex=3&amp;refID=7057626&amp;Result=3","7057626")</f>
        <v>0</v>
      </c>
      <c r="B8796" t="s">
        <v>2549</v>
      </c>
      <c r="C8796" t="s">
        <v>11877</v>
      </c>
      <c r="D8796" t="s">
        <v>18803</v>
      </c>
      <c r="E8796" t="s">
        <v>26544</v>
      </c>
      <c r="F8796" t="s">
        <v>32664</v>
      </c>
      <c r="G8796" t="s">
        <v>32672</v>
      </c>
      <c r="H8796" t="s">
        <v>12635</v>
      </c>
      <c r="I8796" t="s">
        <v>8797</v>
      </c>
      <c r="J8796" t="s">
        <v>32898</v>
      </c>
      <c r="K8796" t="s">
        <v>42283</v>
      </c>
      <c r="M8796" t="s">
        <v>45358</v>
      </c>
      <c r="N8796" t="s">
        <v>46569</v>
      </c>
      <c r="O8796" t="s">
        <v>46570</v>
      </c>
      <c r="P8796">
        <v>0</v>
      </c>
      <c r="Q8796">
        <v>1</v>
      </c>
      <c r="R8796" t="s">
        <v>46576</v>
      </c>
      <c r="S8796" t="s">
        <v>46749</v>
      </c>
      <c r="T8796" t="s">
        <v>48284</v>
      </c>
      <c r="U8796" t="s">
        <v>55904</v>
      </c>
      <c r="W8796" t="s">
        <v>45358</v>
      </c>
      <c r="X8796" t="s">
        <v>46577</v>
      </c>
    </row>
    <row r="8797" spans="1:24">
      <c r="A8797">
        <f>HYPERLINK("https://www.philgeps.gov.ph/GEPSNONPILOT/Tender/SplashBidNoticeAbstractUI.aspx?menuIndex=3&amp;refID=7057637&amp;Result=3","7057637")</f>
        <v>0</v>
      </c>
      <c r="B8797" t="s">
        <v>1305</v>
      </c>
      <c r="C8797" t="s">
        <v>11878</v>
      </c>
      <c r="D8797" t="s">
        <v>18822</v>
      </c>
      <c r="E8797" t="s">
        <v>26545</v>
      </c>
      <c r="F8797" t="s">
        <v>32666</v>
      </c>
      <c r="G8797" t="s">
        <v>32671</v>
      </c>
      <c r="H8797" t="s">
        <v>12635</v>
      </c>
      <c r="I8797" t="s">
        <v>4439</v>
      </c>
      <c r="J8797" t="s">
        <v>33433</v>
      </c>
      <c r="K8797" t="s">
        <v>42284</v>
      </c>
      <c r="M8797" t="s">
        <v>45359</v>
      </c>
      <c r="N8797" t="s">
        <v>46569</v>
      </c>
      <c r="O8797" t="s">
        <v>46570</v>
      </c>
      <c r="P8797">
        <v>0</v>
      </c>
      <c r="Q8797">
        <v>2</v>
      </c>
      <c r="R8797" t="s">
        <v>46576</v>
      </c>
      <c r="S8797" t="s">
        <v>46749</v>
      </c>
      <c r="T8797" t="s">
        <v>48246</v>
      </c>
      <c r="U8797" t="s">
        <v>55905</v>
      </c>
      <c r="W8797" t="s">
        <v>45359</v>
      </c>
      <c r="X8797" t="s">
        <v>46577</v>
      </c>
    </row>
    <row r="8798" spans="1:24">
      <c r="A8798">
        <f>HYPERLINK("https://www.philgeps.gov.ph/GEPSNONPILOT/Tender/SplashBidNoticeAbstractUI.aspx?menuIndex=3&amp;refID=7057673&amp;Result=3","7057673")</f>
        <v>0</v>
      </c>
      <c r="B8798" t="s">
        <v>943</v>
      </c>
      <c r="C8798" t="s">
        <v>11879</v>
      </c>
      <c r="D8798" t="s">
        <v>18784</v>
      </c>
      <c r="E8798" t="s">
        <v>26546</v>
      </c>
      <c r="F8798" t="s">
        <v>32664</v>
      </c>
      <c r="G8798" t="s">
        <v>32671</v>
      </c>
      <c r="H8798" t="s">
        <v>12635</v>
      </c>
      <c r="I8798" t="s">
        <v>32757</v>
      </c>
      <c r="J8798" t="s">
        <v>33051</v>
      </c>
      <c r="K8798" t="s">
        <v>42291</v>
      </c>
      <c r="M8798" t="s">
        <v>45241</v>
      </c>
      <c r="N8798" t="s">
        <v>46569</v>
      </c>
      <c r="O8798" t="s">
        <v>46570</v>
      </c>
      <c r="P8798">
        <v>0</v>
      </c>
      <c r="Q8798">
        <v>0</v>
      </c>
      <c r="R8798" t="s">
        <v>46576</v>
      </c>
      <c r="S8798" t="s">
        <v>46749</v>
      </c>
      <c r="T8798" t="s">
        <v>48316</v>
      </c>
      <c r="U8798" t="s">
        <v>55906</v>
      </c>
      <c r="V8798" t="s">
        <v>62529</v>
      </c>
      <c r="W8798" t="s">
        <v>45241</v>
      </c>
      <c r="X8798" t="s">
        <v>46577</v>
      </c>
    </row>
    <row r="8799" spans="1:24">
      <c r="A8799">
        <f>HYPERLINK("https://www.philgeps.gov.ph/GEPSNONPILOT/Tender/SplashBidNoticeAbstractUI.aspx?menuIndex=3&amp;refID=7057672&amp;Result=3","7057672")</f>
        <v>0</v>
      </c>
      <c r="B8799" t="s">
        <v>502</v>
      </c>
      <c r="C8799" t="s">
        <v>11880</v>
      </c>
      <c r="D8799" t="s">
        <v>18782</v>
      </c>
      <c r="E8799" t="s">
        <v>26547</v>
      </c>
      <c r="F8799" t="s">
        <v>32664</v>
      </c>
      <c r="G8799" t="s">
        <v>32672</v>
      </c>
      <c r="H8799" t="s">
        <v>32683</v>
      </c>
      <c r="I8799" t="s">
        <v>10627</v>
      </c>
      <c r="J8799" t="s">
        <v>38155</v>
      </c>
      <c r="K8799" t="s">
        <v>42298</v>
      </c>
      <c r="M8799" t="s">
        <v>43078</v>
      </c>
      <c r="N8799" t="s">
        <v>46569</v>
      </c>
      <c r="O8799" t="s">
        <v>46570</v>
      </c>
      <c r="P8799">
        <v>0</v>
      </c>
      <c r="Q8799">
        <v>0</v>
      </c>
      <c r="R8799" t="s">
        <v>46576</v>
      </c>
      <c r="S8799" t="s">
        <v>46749</v>
      </c>
      <c r="T8799" t="s">
        <v>48230</v>
      </c>
      <c r="U8799" t="s">
        <v>55907</v>
      </c>
      <c r="W8799" t="s">
        <v>43078</v>
      </c>
      <c r="X8799" t="s">
        <v>46577</v>
      </c>
    </row>
    <row r="8800" spans="1:24">
      <c r="A8800">
        <f>HYPERLINK("https://www.philgeps.gov.ph/GEPSNONPILOT/Tender/SplashBidNoticeAbstractUI.aspx?menuIndex=3&amp;refID=7057601&amp;Result=3","7057601")</f>
        <v>0</v>
      </c>
      <c r="B8800" t="s">
        <v>2550</v>
      </c>
      <c r="C8800" t="s">
        <v>11881</v>
      </c>
      <c r="D8800" t="s">
        <v>18799</v>
      </c>
      <c r="E8800" t="s">
        <v>26548</v>
      </c>
      <c r="F8800" t="s">
        <v>32664</v>
      </c>
      <c r="G8800" t="s">
        <v>32671</v>
      </c>
      <c r="H8800" t="s">
        <v>12635</v>
      </c>
      <c r="I8800" t="s">
        <v>32704</v>
      </c>
      <c r="J8800" t="s">
        <v>33461</v>
      </c>
      <c r="K8800" t="s">
        <v>42298</v>
      </c>
      <c r="M8800" t="s">
        <v>45360</v>
      </c>
      <c r="N8800" t="s">
        <v>46569</v>
      </c>
      <c r="O8800" t="s">
        <v>46570</v>
      </c>
      <c r="P8800">
        <v>0</v>
      </c>
      <c r="Q8800">
        <v>6</v>
      </c>
      <c r="R8800" t="s">
        <v>46576</v>
      </c>
      <c r="S8800" t="s">
        <v>46749</v>
      </c>
      <c r="T8800" t="s">
        <v>48473</v>
      </c>
      <c r="U8800" t="s">
        <v>55908</v>
      </c>
      <c r="W8800" t="s">
        <v>45360</v>
      </c>
      <c r="X8800" t="s">
        <v>46577</v>
      </c>
    </row>
    <row r="8801" spans="1:24">
      <c r="A8801">
        <f>HYPERLINK("https://www.philgeps.gov.ph/GEPSNONPILOT/Tender/SplashBidNoticeAbstractUI.aspx?menuIndex=3&amp;refID=7057582&amp;Result=3","7057582")</f>
        <v>0</v>
      </c>
      <c r="B8801" t="s">
        <v>2551</v>
      </c>
      <c r="C8801" t="s">
        <v>11882</v>
      </c>
      <c r="D8801" t="s">
        <v>18784</v>
      </c>
      <c r="E8801" t="s">
        <v>26549</v>
      </c>
      <c r="F8801" t="s">
        <v>32664</v>
      </c>
      <c r="G8801" t="s">
        <v>32672</v>
      </c>
      <c r="H8801" t="s">
        <v>12635</v>
      </c>
      <c r="I8801" t="s">
        <v>32704</v>
      </c>
      <c r="J8801" t="s">
        <v>32982</v>
      </c>
      <c r="K8801" t="s">
        <v>42290</v>
      </c>
      <c r="M8801" t="s">
        <v>45361</v>
      </c>
      <c r="N8801" t="s">
        <v>46569</v>
      </c>
      <c r="O8801" t="s">
        <v>46570</v>
      </c>
      <c r="P8801">
        <v>0</v>
      </c>
      <c r="Q8801">
        <v>4</v>
      </c>
      <c r="R8801" t="s">
        <v>46576</v>
      </c>
      <c r="S8801" t="s">
        <v>46749</v>
      </c>
      <c r="T8801" t="s">
        <v>48308</v>
      </c>
      <c r="U8801" t="s">
        <v>55909</v>
      </c>
      <c r="W8801" t="s">
        <v>45361</v>
      </c>
      <c r="X8801" t="s">
        <v>46577</v>
      </c>
    </row>
    <row r="8802" spans="1:24">
      <c r="A8802">
        <f>HYPERLINK("https://www.philgeps.gov.ph/GEPSNONPILOT/Tender/SplashBidNoticeAbstractUI.aspx?menuIndex=3&amp;refID=7057676&amp;Result=3","7057676")</f>
        <v>0</v>
      </c>
      <c r="B8802" t="s">
        <v>2409</v>
      </c>
      <c r="C8802" t="s">
        <v>11883</v>
      </c>
      <c r="D8802" t="s">
        <v>18786</v>
      </c>
      <c r="E8802" t="s">
        <v>26550</v>
      </c>
      <c r="F8802" t="s">
        <v>32664</v>
      </c>
      <c r="G8802" t="s">
        <v>32672</v>
      </c>
      <c r="H8802" t="s">
        <v>32683</v>
      </c>
      <c r="I8802" t="s">
        <v>10627</v>
      </c>
      <c r="J8802" t="s">
        <v>37782</v>
      </c>
      <c r="K8802" t="s">
        <v>42445</v>
      </c>
      <c r="L8802" t="s">
        <v>2409</v>
      </c>
      <c r="M8802" t="s">
        <v>45362</v>
      </c>
      <c r="N8802" t="s">
        <v>46569</v>
      </c>
      <c r="O8802" t="s">
        <v>46570</v>
      </c>
      <c r="P8802">
        <v>0</v>
      </c>
      <c r="Q8802">
        <v>1</v>
      </c>
      <c r="R8802" t="s">
        <v>46576</v>
      </c>
      <c r="S8802" t="s">
        <v>46749</v>
      </c>
      <c r="T8802" t="s">
        <v>48328</v>
      </c>
      <c r="U8802" t="s">
        <v>55910</v>
      </c>
      <c r="W8802" t="s">
        <v>45362</v>
      </c>
      <c r="X8802" t="s">
        <v>46577</v>
      </c>
    </row>
    <row r="8803" spans="1:24">
      <c r="A8803">
        <f>HYPERLINK("https://www.philgeps.gov.ph/GEPSNONPILOT/Tender/SplashBidNoticeAbstractUI.aspx?menuIndex=3&amp;refID=7057705&amp;Result=3","7057705")</f>
        <v>0</v>
      </c>
      <c r="B8803" t="s">
        <v>1479</v>
      </c>
      <c r="C8803" t="s">
        <v>11884</v>
      </c>
      <c r="D8803" t="s">
        <v>18788</v>
      </c>
      <c r="E8803" t="s">
        <v>26551</v>
      </c>
      <c r="F8803" t="s">
        <v>32664</v>
      </c>
      <c r="G8803" t="s">
        <v>32672</v>
      </c>
      <c r="H8803" t="s">
        <v>32683</v>
      </c>
      <c r="I8803" t="s">
        <v>10627</v>
      </c>
      <c r="J8803" t="s">
        <v>38156</v>
      </c>
      <c r="K8803" t="s">
        <v>42298</v>
      </c>
      <c r="M8803" t="s">
        <v>44142</v>
      </c>
      <c r="N8803" t="s">
        <v>46569</v>
      </c>
      <c r="O8803" t="s">
        <v>46570</v>
      </c>
      <c r="P8803">
        <v>0</v>
      </c>
      <c r="Q8803">
        <v>0</v>
      </c>
      <c r="R8803" t="s">
        <v>46576</v>
      </c>
      <c r="S8803" t="s">
        <v>46749</v>
      </c>
      <c r="T8803" t="s">
        <v>48282</v>
      </c>
      <c r="U8803" t="s">
        <v>55911</v>
      </c>
      <c r="W8803" t="s">
        <v>44142</v>
      </c>
      <c r="X8803" t="s">
        <v>46577</v>
      </c>
    </row>
    <row r="8804" spans="1:24">
      <c r="A8804">
        <f>HYPERLINK("https://www.philgeps.gov.ph/GEPSNONPILOT/Tender/SplashBidNoticeAbstractUI.aspx?menuIndex=3&amp;refID=7057605&amp;Result=3","7057605")</f>
        <v>0</v>
      </c>
      <c r="B8804" t="s">
        <v>1479</v>
      </c>
      <c r="C8804" t="s">
        <v>11885</v>
      </c>
      <c r="D8804" t="s">
        <v>18788</v>
      </c>
      <c r="E8804" t="s">
        <v>26552</v>
      </c>
      <c r="F8804" t="s">
        <v>32664</v>
      </c>
      <c r="G8804" t="s">
        <v>32672</v>
      </c>
      <c r="H8804" t="s">
        <v>32683</v>
      </c>
      <c r="I8804" t="s">
        <v>10627</v>
      </c>
      <c r="J8804" t="s">
        <v>38157</v>
      </c>
      <c r="K8804" t="s">
        <v>42305</v>
      </c>
      <c r="M8804" t="s">
        <v>44142</v>
      </c>
      <c r="N8804" t="s">
        <v>46569</v>
      </c>
      <c r="O8804" t="s">
        <v>46570</v>
      </c>
      <c r="P8804">
        <v>0</v>
      </c>
      <c r="Q8804">
        <v>0</v>
      </c>
      <c r="R8804" t="s">
        <v>46576</v>
      </c>
      <c r="S8804" t="s">
        <v>46749</v>
      </c>
      <c r="T8804" t="s">
        <v>48258</v>
      </c>
      <c r="U8804" t="s">
        <v>55911</v>
      </c>
      <c r="W8804" t="s">
        <v>44142</v>
      </c>
      <c r="X8804" t="s">
        <v>46577</v>
      </c>
    </row>
    <row r="8805" spans="1:24">
      <c r="A8805">
        <f>HYPERLINK("https://www.philgeps.gov.ph/GEPSNONPILOT/Tender/SplashBidNoticeAbstractUI.aspx?menuIndex=3&amp;refID=7057701&amp;Result=3","7057701")</f>
        <v>0</v>
      </c>
      <c r="B8805" t="s">
        <v>930</v>
      </c>
      <c r="C8805" t="s">
        <v>11886</v>
      </c>
      <c r="D8805" t="s">
        <v>18839</v>
      </c>
      <c r="E8805" t="s">
        <v>24785</v>
      </c>
      <c r="F8805" t="s">
        <v>32664</v>
      </c>
      <c r="G8805" t="s">
        <v>32672</v>
      </c>
      <c r="H8805" t="s">
        <v>32683</v>
      </c>
      <c r="I8805" t="s">
        <v>14442</v>
      </c>
      <c r="J8805" t="s">
        <v>38158</v>
      </c>
      <c r="K8805" t="s">
        <v>42353</v>
      </c>
      <c r="M8805" t="s">
        <v>43536</v>
      </c>
      <c r="N8805" t="s">
        <v>46569</v>
      </c>
      <c r="O8805" t="s">
        <v>46570</v>
      </c>
      <c r="P8805">
        <v>0</v>
      </c>
      <c r="Q8805">
        <v>2</v>
      </c>
      <c r="R8805" t="s">
        <v>46576</v>
      </c>
      <c r="S8805" t="s">
        <v>46749</v>
      </c>
      <c r="T8805" t="s">
        <v>48394</v>
      </c>
      <c r="U8805" t="s">
        <v>55912</v>
      </c>
      <c r="W8805" t="s">
        <v>43536</v>
      </c>
      <c r="X8805" t="s">
        <v>46577</v>
      </c>
    </row>
    <row r="8806" spans="1:24">
      <c r="A8806">
        <f>HYPERLINK("https://www.philgeps.gov.ph/GEPSNONPILOT/Tender/SplashBidNoticeAbstractUI.aspx?menuIndex=3&amp;refID=7057707&amp;Result=3","7057707")</f>
        <v>0</v>
      </c>
      <c r="B8806" t="s">
        <v>592</v>
      </c>
      <c r="C8806" t="s">
        <v>11887</v>
      </c>
      <c r="D8806" t="s">
        <v>18854</v>
      </c>
      <c r="E8806" t="s">
        <v>26553</v>
      </c>
      <c r="F8806" t="s">
        <v>32664</v>
      </c>
      <c r="G8806" t="s">
        <v>32672</v>
      </c>
      <c r="H8806" t="s">
        <v>12635</v>
      </c>
      <c r="I8806" t="s">
        <v>32738</v>
      </c>
      <c r="J8806" t="s">
        <v>38159</v>
      </c>
      <c r="K8806" t="s">
        <v>42298</v>
      </c>
      <c r="M8806" t="s">
        <v>43411</v>
      </c>
      <c r="N8806" t="s">
        <v>46569</v>
      </c>
      <c r="O8806" t="s">
        <v>46570</v>
      </c>
      <c r="Q8806">
        <v>10</v>
      </c>
      <c r="R8806" t="s">
        <v>46576</v>
      </c>
      <c r="S8806" t="s">
        <v>46802</v>
      </c>
      <c r="T8806" t="s">
        <v>48347</v>
      </c>
      <c r="U8806" t="s">
        <v>55913</v>
      </c>
      <c r="V8806" t="s">
        <v>61818</v>
      </c>
      <c r="W8806" t="s">
        <v>43411</v>
      </c>
      <c r="X8806" t="s">
        <v>46577</v>
      </c>
    </row>
    <row r="8807" spans="1:24">
      <c r="A8807">
        <f>HYPERLINK("https://www.philgeps.gov.ph/GEPSNONPILOT/Tender/SplashBidNoticeAbstractUI.aspx?menuIndex=3&amp;refID=7057690&amp;Result=3","7057690")</f>
        <v>0</v>
      </c>
      <c r="B8807" t="s">
        <v>2552</v>
      </c>
      <c r="C8807" t="s">
        <v>11888</v>
      </c>
      <c r="E8807" t="s">
        <v>26554</v>
      </c>
      <c r="F8807" t="s">
        <v>32664</v>
      </c>
      <c r="G8807" t="s">
        <v>32672</v>
      </c>
      <c r="H8807" t="s">
        <v>12635</v>
      </c>
      <c r="I8807" t="s">
        <v>32688</v>
      </c>
      <c r="J8807" t="s">
        <v>38160</v>
      </c>
      <c r="K8807" t="s">
        <v>42283</v>
      </c>
      <c r="M8807" t="s">
        <v>45363</v>
      </c>
      <c r="N8807" t="s">
        <v>46569</v>
      </c>
      <c r="O8807" t="s">
        <v>46570</v>
      </c>
      <c r="P8807">
        <v>0</v>
      </c>
      <c r="Q8807">
        <v>9</v>
      </c>
      <c r="R8807" t="s">
        <v>46576</v>
      </c>
      <c r="S8807" t="s">
        <v>46749</v>
      </c>
      <c r="T8807" t="s">
        <v>48629</v>
      </c>
      <c r="U8807" t="s">
        <v>55914</v>
      </c>
      <c r="W8807" t="s">
        <v>45363</v>
      </c>
      <c r="X8807" t="s">
        <v>46577</v>
      </c>
    </row>
    <row r="8808" spans="1:24">
      <c r="A8808">
        <f>HYPERLINK("https://www.philgeps.gov.ph/GEPSNONPILOT/Tender/SplashBidNoticeAbstractUI.aspx?menuIndex=3&amp;refID=7057706&amp;Result=3","7057706")</f>
        <v>0</v>
      </c>
      <c r="B8808" t="s">
        <v>2552</v>
      </c>
      <c r="C8808" t="s">
        <v>11889</v>
      </c>
      <c r="E8808" t="s">
        <v>26555</v>
      </c>
      <c r="F8808" t="s">
        <v>32664</v>
      </c>
      <c r="G8808" t="s">
        <v>32672</v>
      </c>
      <c r="H8808" t="s">
        <v>12635</v>
      </c>
      <c r="I8808" t="s">
        <v>32794</v>
      </c>
      <c r="J8808" t="s">
        <v>38161</v>
      </c>
      <c r="K8808" t="s">
        <v>42283</v>
      </c>
      <c r="M8808" t="s">
        <v>45363</v>
      </c>
      <c r="N8808" t="s">
        <v>46569</v>
      </c>
      <c r="O8808" t="s">
        <v>46570</v>
      </c>
      <c r="P8808">
        <v>0</v>
      </c>
      <c r="Q8808">
        <v>10</v>
      </c>
      <c r="R8808" t="s">
        <v>46576</v>
      </c>
      <c r="S8808" t="s">
        <v>46749</v>
      </c>
      <c r="T8808" t="s">
        <v>48629</v>
      </c>
      <c r="U8808" t="s">
        <v>55914</v>
      </c>
      <c r="W8808" t="s">
        <v>45363</v>
      </c>
      <c r="X8808" t="s">
        <v>46577</v>
      </c>
    </row>
    <row r="8809" spans="1:24">
      <c r="A8809">
        <f>HYPERLINK("https://www.philgeps.gov.ph/GEPSNONPILOT/Tender/SplashBidNoticeAbstractUI.aspx?menuIndex=3&amp;refID=7057681&amp;Result=3","7057681")</f>
        <v>0</v>
      </c>
      <c r="B8809" t="s">
        <v>295</v>
      </c>
      <c r="C8809" t="s">
        <v>11890</v>
      </c>
      <c r="D8809" t="s">
        <v>18848</v>
      </c>
      <c r="E8809" t="s">
        <v>26556</v>
      </c>
      <c r="F8809" t="s">
        <v>32664</v>
      </c>
      <c r="G8809" t="s">
        <v>32672</v>
      </c>
      <c r="H8809" t="s">
        <v>12635</v>
      </c>
      <c r="I8809" t="s">
        <v>32699</v>
      </c>
      <c r="J8809" t="s">
        <v>32898</v>
      </c>
      <c r="K8809" t="s">
        <v>42297</v>
      </c>
      <c r="M8809" t="s">
        <v>42862</v>
      </c>
      <c r="N8809" t="s">
        <v>46569</v>
      </c>
      <c r="O8809" t="s">
        <v>46570</v>
      </c>
      <c r="P8809">
        <v>0</v>
      </c>
      <c r="Q8809">
        <v>0</v>
      </c>
      <c r="R8809" t="s">
        <v>46576</v>
      </c>
      <c r="S8809" t="s">
        <v>46749</v>
      </c>
      <c r="T8809" t="s">
        <v>48298</v>
      </c>
      <c r="U8809" t="s">
        <v>55915</v>
      </c>
      <c r="W8809" t="s">
        <v>42862</v>
      </c>
      <c r="X8809" t="s">
        <v>46577</v>
      </c>
    </row>
    <row r="8810" spans="1:24">
      <c r="A8810">
        <f>HYPERLINK("https://www.philgeps.gov.ph/GEPSNONPILOT/Tender/SplashBidNoticeAbstractUI.aspx?menuIndex=3&amp;refID=7057669&amp;Result=3","7057669")</f>
        <v>0</v>
      </c>
      <c r="B8810" t="s">
        <v>1745</v>
      </c>
      <c r="C8810" t="s">
        <v>11891</v>
      </c>
      <c r="D8810" t="s">
        <v>18822</v>
      </c>
      <c r="E8810" t="s">
        <v>23449</v>
      </c>
      <c r="F8810" t="s">
        <v>32664</v>
      </c>
      <c r="G8810" t="s">
        <v>32672</v>
      </c>
      <c r="H8810" t="s">
        <v>12635</v>
      </c>
      <c r="I8810" t="s">
        <v>4439</v>
      </c>
      <c r="J8810" t="s">
        <v>38162</v>
      </c>
      <c r="K8810" t="s">
        <v>42289</v>
      </c>
      <c r="M8810" t="s">
        <v>44444</v>
      </c>
      <c r="N8810" t="s">
        <v>46569</v>
      </c>
      <c r="O8810" t="s">
        <v>46570</v>
      </c>
      <c r="P8810">
        <v>0</v>
      </c>
      <c r="Q8810">
        <v>0</v>
      </c>
      <c r="R8810" t="s">
        <v>46576</v>
      </c>
      <c r="S8810" t="s">
        <v>46749</v>
      </c>
      <c r="T8810" t="s">
        <v>48258</v>
      </c>
      <c r="U8810" t="s">
        <v>52992</v>
      </c>
      <c r="W8810" t="s">
        <v>44444</v>
      </c>
      <c r="X8810" t="s">
        <v>46577</v>
      </c>
    </row>
    <row r="8811" spans="1:24">
      <c r="A8811">
        <f>HYPERLINK("https://www.philgeps.gov.ph/GEPSNONPILOT/Tender/SplashBidNoticeAbstractUI.aspx?menuIndex=3&amp;refID=7057667&amp;Result=3","7057667")</f>
        <v>0</v>
      </c>
      <c r="B8811" t="s">
        <v>295</v>
      </c>
      <c r="C8811" t="s">
        <v>11892</v>
      </c>
      <c r="D8811" t="s">
        <v>18848</v>
      </c>
      <c r="E8811" t="s">
        <v>26557</v>
      </c>
      <c r="F8811" t="s">
        <v>32664</v>
      </c>
      <c r="G8811" t="s">
        <v>32672</v>
      </c>
      <c r="H8811" t="s">
        <v>12635</v>
      </c>
      <c r="I8811" t="s">
        <v>4439</v>
      </c>
      <c r="J8811" t="s">
        <v>38163</v>
      </c>
      <c r="K8811" t="s">
        <v>42297</v>
      </c>
      <c r="M8811" t="s">
        <v>42862</v>
      </c>
      <c r="N8811" t="s">
        <v>46569</v>
      </c>
      <c r="O8811" t="s">
        <v>46570</v>
      </c>
      <c r="P8811">
        <v>0</v>
      </c>
      <c r="Q8811">
        <v>0</v>
      </c>
      <c r="R8811" t="s">
        <v>46576</v>
      </c>
      <c r="S8811" t="s">
        <v>46749</v>
      </c>
      <c r="T8811" t="s">
        <v>48298</v>
      </c>
      <c r="U8811" t="s">
        <v>55916</v>
      </c>
      <c r="W8811" t="s">
        <v>42862</v>
      </c>
      <c r="X8811" t="s">
        <v>46577</v>
      </c>
    </row>
    <row r="8812" spans="1:24">
      <c r="A8812">
        <f>HYPERLINK("https://www.philgeps.gov.ph/GEPSNONPILOT/Tender/SplashBidNoticeAbstractUI.aspx?menuIndex=3&amp;refID=7057654&amp;Result=3","7057654")</f>
        <v>0</v>
      </c>
      <c r="B8812" t="s">
        <v>2551</v>
      </c>
      <c r="C8812" t="s">
        <v>11893</v>
      </c>
      <c r="D8812" t="s">
        <v>18784</v>
      </c>
      <c r="E8812" t="s">
        <v>26558</v>
      </c>
      <c r="F8812" t="s">
        <v>32664</v>
      </c>
      <c r="G8812" t="s">
        <v>32672</v>
      </c>
      <c r="H8812" t="s">
        <v>12635</v>
      </c>
      <c r="I8812" t="s">
        <v>32784</v>
      </c>
      <c r="J8812" t="s">
        <v>38164</v>
      </c>
      <c r="K8812" t="s">
        <v>42281</v>
      </c>
      <c r="M8812" t="s">
        <v>45361</v>
      </c>
      <c r="N8812" t="s">
        <v>46569</v>
      </c>
      <c r="O8812" t="s">
        <v>46570</v>
      </c>
      <c r="P8812">
        <v>0</v>
      </c>
      <c r="Q8812">
        <v>7</v>
      </c>
      <c r="R8812" t="s">
        <v>46576</v>
      </c>
      <c r="S8812" t="s">
        <v>46749</v>
      </c>
      <c r="T8812" t="s">
        <v>48483</v>
      </c>
      <c r="U8812" t="s">
        <v>55917</v>
      </c>
      <c r="W8812" t="s">
        <v>45361</v>
      </c>
      <c r="X8812" t="s">
        <v>46577</v>
      </c>
    </row>
    <row r="8813" spans="1:24">
      <c r="A8813">
        <f>HYPERLINK("https://www.philgeps.gov.ph/GEPSNONPILOT/Tender/SplashBidNoticeAbstractUI.aspx?menuIndex=3&amp;refID=7057665&amp;Result=3","7057665")</f>
        <v>0</v>
      </c>
      <c r="B8813" t="s">
        <v>565</v>
      </c>
      <c r="C8813" t="s">
        <v>11894</v>
      </c>
      <c r="E8813" t="s">
        <v>26559</v>
      </c>
      <c r="F8813" t="s">
        <v>32664</v>
      </c>
      <c r="G8813" t="s">
        <v>32671</v>
      </c>
      <c r="H8813" t="s">
        <v>12635</v>
      </c>
      <c r="I8813" t="s">
        <v>14442</v>
      </c>
      <c r="J8813" t="s">
        <v>33863</v>
      </c>
      <c r="K8813" t="s">
        <v>42283</v>
      </c>
      <c r="M8813" t="s">
        <v>43145</v>
      </c>
      <c r="N8813" t="s">
        <v>46569</v>
      </c>
      <c r="O8813" t="s">
        <v>46570</v>
      </c>
      <c r="P8813">
        <v>0</v>
      </c>
      <c r="Q8813">
        <v>0</v>
      </c>
      <c r="R8813" t="s">
        <v>46576</v>
      </c>
      <c r="S8813" t="s">
        <v>46749</v>
      </c>
      <c r="T8813" t="s">
        <v>48293</v>
      </c>
      <c r="U8813" t="s">
        <v>55918</v>
      </c>
      <c r="W8813" t="s">
        <v>43145</v>
      </c>
      <c r="X8813" t="s">
        <v>46577</v>
      </c>
    </row>
    <row r="8814" spans="1:24">
      <c r="A8814">
        <f>HYPERLINK("https://www.philgeps.gov.ph/GEPSNONPILOT/Tender/SplashBidNoticeAbstractUI.aspx?menuIndex=3&amp;refID=7057655&amp;Result=3","7057655")</f>
        <v>0</v>
      </c>
      <c r="B8814" t="s">
        <v>1734</v>
      </c>
      <c r="C8814" t="s">
        <v>11895</v>
      </c>
      <c r="D8814" t="s">
        <v>18789</v>
      </c>
      <c r="E8814" t="s">
        <v>26560</v>
      </c>
      <c r="F8814" t="s">
        <v>32664</v>
      </c>
      <c r="G8814" t="s">
        <v>32671</v>
      </c>
      <c r="H8814" t="s">
        <v>12635</v>
      </c>
      <c r="I8814" t="s">
        <v>32701</v>
      </c>
      <c r="J8814" t="s">
        <v>33295</v>
      </c>
      <c r="K8814" t="s">
        <v>42289</v>
      </c>
      <c r="M8814" t="s">
        <v>44433</v>
      </c>
      <c r="N8814" t="s">
        <v>46569</v>
      </c>
      <c r="O8814" t="s">
        <v>46570</v>
      </c>
      <c r="P8814">
        <v>0</v>
      </c>
      <c r="Q8814">
        <v>3</v>
      </c>
      <c r="R8814" t="s">
        <v>46576</v>
      </c>
      <c r="S8814" t="s">
        <v>46749</v>
      </c>
      <c r="T8814" t="s">
        <v>48316</v>
      </c>
      <c r="U8814" t="s">
        <v>55919</v>
      </c>
      <c r="W8814" t="s">
        <v>44433</v>
      </c>
      <c r="X8814" t="s">
        <v>46577</v>
      </c>
    </row>
    <row r="8815" spans="1:24">
      <c r="A8815">
        <f>HYPERLINK("https://www.philgeps.gov.ph/GEPSNONPILOT/Tender/SplashBidNoticeAbstractUI.aspx?menuIndex=3&amp;refID=7057646&amp;Result=3","7057646")</f>
        <v>0</v>
      </c>
      <c r="B8815" t="s">
        <v>1467</v>
      </c>
      <c r="C8815" t="s">
        <v>11896</v>
      </c>
      <c r="D8815" t="s">
        <v>18809</v>
      </c>
      <c r="E8815" t="s">
        <v>26314</v>
      </c>
      <c r="F8815" t="s">
        <v>32664</v>
      </c>
      <c r="G8815" t="s">
        <v>32671</v>
      </c>
      <c r="H8815" t="s">
        <v>12635</v>
      </c>
      <c r="I8815" t="s">
        <v>4439</v>
      </c>
      <c r="J8815" t="s">
        <v>38165</v>
      </c>
      <c r="K8815" t="s">
        <v>42289</v>
      </c>
      <c r="M8815" t="s">
        <v>44129</v>
      </c>
      <c r="N8815" t="s">
        <v>46569</v>
      </c>
      <c r="O8815" t="s">
        <v>46570</v>
      </c>
      <c r="P8815">
        <v>0</v>
      </c>
      <c r="Q8815">
        <v>0</v>
      </c>
      <c r="R8815" t="s">
        <v>46576</v>
      </c>
      <c r="S8815" t="s">
        <v>46749</v>
      </c>
      <c r="T8815" t="s">
        <v>48293</v>
      </c>
      <c r="U8815" t="s">
        <v>55920</v>
      </c>
      <c r="W8815" t="s">
        <v>44129</v>
      </c>
      <c r="X8815" t="s">
        <v>46577</v>
      </c>
    </row>
    <row r="8816" spans="1:24">
      <c r="A8816">
        <f>HYPERLINK("https://www.philgeps.gov.ph/GEPSNONPILOT/Tender/SplashBidNoticeAbstractUI.aspx?menuIndex=3&amp;refID=7057641&amp;Result=3","7057641")</f>
        <v>0</v>
      </c>
      <c r="B8816" t="s">
        <v>1055</v>
      </c>
      <c r="C8816" t="s">
        <v>11897</v>
      </c>
      <c r="D8816" t="s">
        <v>18784</v>
      </c>
      <c r="E8816" t="s">
        <v>26561</v>
      </c>
      <c r="F8816" t="s">
        <v>32664</v>
      </c>
      <c r="G8816" t="s">
        <v>32671</v>
      </c>
      <c r="H8816" t="s">
        <v>12635</v>
      </c>
      <c r="I8816" t="s">
        <v>6553</v>
      </c>
      <c r="J8816" t="s">
        <v>32917</v>
      </c>
      <c r="K8816" t="s">
        <v>42283</v>
      </c>
      <c r="M8816" t="s">
        <v>43673</v>
      </c>
      <c r="N8816" t="s">
        <v>46569</v>
      </c>
      <c r="O8816" t="s">
        <v>46570</v>
      </c>
      <c r="P8816">
        <v>0</v>
      </c>
      <c r="Q8816">
        <v>2</v>
      </c>
      <c r="R8816" t="s">
        <v>46576</v>
      </c>
      <c r="S8816" t="s">
        <v>46749</v>
      </c>
      <c r="T8816" t="s">
        <v>48316</v>
      </c>
      <c r="U8816" t="s">
        <v>55921</v>
      </c>
      <c r="W8816" t="s">
        <v>43673</v>
      </c>
      <c r="X8816" t="s">
        <v>46577</v>
      </c>
    </row>
    <row r="8817" spans="1:24">
      <c r="A8817">
        <f>HYPERLINK("https://www.philgeps.gov.ph/GEPSNONPILOT/Tender/SplashBidNoticeAbstractUI.aspx?menuIndex=3&amp;refID=7057708&amp;Result=3","7057708")</f>
        <v>0</v>
      </c>
      <c r="B8817" t="s">
        <v>2553</v>
      </c>
      <c r="C8817" t="s">
        <v>11505</v>
      </c>
      <c r="D8817" t="s">
        <v>18837</v>
      </c>
      <c r="E8817" t="s">
        <v>26234</v>
      </c>
      <c r="F8817" t="s">
        <v>32664</v>
      </c>
      <c r="G8817" t="s">
        <v>32672</v>
      </c>
      <c r="H8817" t="s">
        <v>12635</v>
      </c>
      <c r="I8817" t="s">
        <v>4439</v>
      </c>
      <c r="J8817" t="s">
        <v>38166</v>
      </c>
      <c r="K8817" t="s">
        <v>42297</v>
      </c>
      <c r="M8817" t="s">
        <v>45364</v>
      </c>
      <c r="N8817" t="s">
        <v>46569</v>
      </c>
      <c r="O8817" t="s">
        <v>46570</v>
      </c>
      <c r="P8817">
        <v>0</v>
      </c>
      <c r="Q8817">
        <v>1</v>
      </c>
      <c r="R8817" t="s">
        <v>46576</v>
      </c>
      <c r="S8817" t="s">
        <v>46749</v>
      </c>
      <c r="T8817" t="s">
        <v>48298</v>
      </c>
      <c r="U8817" t="s">
        <v>55922</v>
      </c>
      <c r="W8817" t="s">
        <v>45364</v>
      </c>
      <c r="X8817" t="s">
        <v>46577</v>
      </c>
    </row>
    <row r="8818" spans="1:24">
      <c r="A8818">
        <f>HYPERLINK("https://www.philgeps.gov.ph/GEPSNONPILOT/Tender/SplashBidNoticeAbstractUI.aspx?menuIndex=3&amp;refID=7057753&amp;Result=3","7057753")</f>
        <v>0</v>
      </c>
      <c r="B8818" t="s">
        <v>1479</v>
      </c>
      <c r="C8818" t="s">
        <v>11898</v>
      </c>
      <c r="D8818" t="s">
        <v>18788</v>
      </c>
      <c r="E8818" t="s">
        <v>26562</v>
      </c>
      <c r="F8818" t="s">
        <v>32664</v>
      </c>
      <c r="G8818" t="s">
        <v>32672</v>
      </c>
      <c r="H8818" t="s">
        <v>32683</v>
      </c>
      <c r="I8818" t="s">
        <v>10627</v>
      </c>
      <c r="J8818" t="s">
        <v>38167</v>
      </c>
      <c r="K8818" t="s">
        <v>42298</v>
      </c>
      <c r="M8818" t="s">
        <v>44142</v>
      </c>
      <c r="N8818" t="s">
        <v>46569</v>
      </c>
      <c r="O8818" t="s">
        <v>46570</v>
      </c>
      <c r="P8818">
        <v>0</v>
      </c>
      <c r="Q8818">
        <v>0</v>
      </c>
      <c r="R8818" t="s">
        <v>46576</v>
      </c>
      <c r="S8818" t="s">
        <v>46749</v>
      </c>
      <c r="T8818" t="s">
        <v>48282</v>
      </c>
      <c r="U8818" t="s">
        <v>55923</v>
      </c>
      <c r="W8818" t="s">
        <v>44142</v>
      </c>
      <c r="X8818" t="s">
        <v>46577</v>
      </c>
    </row>
    <row r="8819" spans="1:24">
      <c r="A8819">
        <f>HYPERLINK("https://www.philgeps.gov.ph/GEPSNONPILOT/Tender/SplashBidNoticeAbstractUI.aspx?menuIndex=3&amp;refID=7057749&amp;Result=3","7057749")</f>
        <v>0</v>
      </c>
      <c r="B8819" t="s">
        <v>1115</v>
      </c>
      <c r="C8819" t="s">
        <v>11899</v>
      </c>
      <c r="E8819" t="s">
        <v>21247</v>
      </c>
      <c r="F8819" t="s">
        <v>32664</v>
      </c>
      <c r="G8819" t="s">
        <v>32671</v>
      </c>
      <c r="H8819" t="s">
        <v>12635</v>
      </c>
      <c r="I8819" t="s">
        <v>9597</v>
      </c>
      <c r="J8819" t="s">
        <v>38168</v>
      </c>
      <c r="K8819" t="s">
        <v>42283</v>
      </c>
      <c r="M8819" t="s">
        <v>44252</v>
      </c>
      <c r="N8819" t="s">
        <v>46569</v>
      </c>
      <c r="O8819" t="s">
        <v>46570</v>
      </c>
      <c r="P8819">
        <v>0</v>
      </c>
      <c r="Q8819">
        <v>10</v>
      </c>
      <c r="R8819" t="s">
        <v>46576</v>
      </c>
      <c r="S8819" t="s">
        <v>46749</v>
      </c>
      <c r="T8819" t="s">
        <v>48316</v>
      </c>
      <c r="U8819" t="s">
        <v>52416</v>
      </c>
      <c r="W8819" t="s">
        <v>44252</v>
      </c>
      <c r="X8819" t="s">
        <v>46577</v>
      </c>
    </row>
    <row r="8820" spans="1:24">
      <c r="A8820">
        <f>HYPERLINK("https://www.philgeps.gov.ph/GEPSNONPILOT/Tender/SplashBidNoticeAbstractUI.aspx?menuIndex=3&amp;refID=7057554&amp;Result=3","7057554")</f>
        <v>0</v>
      </c>
      <c r="B8820" t="s">
        <v>2548</v>
      </c>
      <c r="C8820" t="s">
        <v>11900</v>
      </c>
      <c r="D8820" t="s">
        <v>18806</v>
      </c>
      <c r="E8820" t="s">
        <v>26563</v>
      </c>
      <c r="F8820" t="s">
        <v>32664</v>
      </c>
      <c r="G8820" t="s">
        <v>32671</v>
      </c>
      <c r="H8820" t="s">
        <v>12635</v>
      </c>
      <c r="I8820" t="s">
        <v>4439</v>
      </c>
      <c r="J8820" t="s">
        <v>38169</v>
      </c>
      <c r="K8820" t="s">
        <v>42283</v>
      </c>
      <c r="M8820" t="s">
        <v>45356</v>
      </c>
      <c r="N8820" t="s">
        <v>46569</v>
      </c>
      <c r="O8820" t="s">
        <v>46570</v>
      </c>
      <c r="P8820">
        <v>0</v>
      </c>
      <c r="Q8820">
        <v>0</v>
      </c>
      <c r="R8820" t="s">
        <v>46576</v>
      </c>
      <c r="S8820" t="s">
        <v>46749</v>
      </c>
      <c r="T8820" t="s">
        <v>48316</v>
      </c>
      <c r="U8820" t="s">
        <v>55924</v>
      </c>
      <c r="W8820" t="s">
        <v>45356</v>
      </c>
      <c r="X8820" t="s">
        <v>46577</v>
      </c>
    </row>
    <row r="8821" spans="1:24">
      <c r="A8821">
        <f>HYPERLINK("https://www.philgeps.gov.ph/GEPSNONPILOT/Tender/SplashBidNoticeAbstractUI.aspx?menuIndex=3&amp;refID=7057658&amp;Result=3","7057658")</f>
        <v>0</v>
      </c>
      <c r="B8821" t="s">
        <v>2554</v>
      </c>
      <c r="C8821" t="s">
        <v>11901</v>
      </c>
      <c r="D8821" t="s">
        <v>18849</v>
      </c>
      <c r="E8821" t="s">
        <v>26564</v>
      </c>
      <c r="F8821" t="s">
        <v>32664</v>
      </c>
      <c r="G8821" t="s">
        <v>32674</v>
      </c>
      <c r="H8821" t="s">
        <v>12635</v>
      </c>
      <c r="I8821" t="s">
        <v>32743</v>
      </c>
      <c r="J8821" t="s">
        <v>32961</v>
      </c>
      <c r="K8821" t="s">
        <v>42284</v>
      </c>
      <c r="M8821" t="s">
        <v>45365</v>
      </c>
      <c r="N8821" t="s">
        <v>46569</v>
      </c>
      <c r="O8821" t="s">
        <v>46570</v>
      </c>
      <c r="P8821">
        <v>0</v>
      </c>
      <c r="Q8821">
        <v>5</v>
      </c>
      <c r="R8821" t="s">
        <v>46576</v>
      </c>
      <c r="S8821" t="s">
        <v>46749</v>
      </c>
      <c r="T8821" t="s">
        <v>48287</v>
      </c>
      <c r="U8821" t="s">
        <v>55925</v>
      </c>
      <c r="V8821" t="s">
        <v>62530</v>
      </c>
      <c r="W8821" t="s">
        <v>45365</v>
      </c>
      <c r="X8821" t="s">
        <v>46577</v>
      </c>
    </row>
    <row r="8822" spans="1:24">
      <c r="A8822">
        <f>HYPERLINK("https://www.philgeps.gov.ph/GEPSNONPILOT/Tender/SplashBidNoticeAbstractUI.aspx?menuIndex=3&amp;refID=7057748&amp;Result=3","7057748")</f>
        <v>0</v>
      </c>
      <c r="B8822" t="s">
        <v>2555</v>
      </c>
      <c r="C8822" t="s">
        <v>11902</v>
      </c>
      <c r="D8822" t="s">
        <v>18807</v>
      </c>
      <c r="E8822" t="s">
        <v>26565</v>
      </c>
      <c r="F8822" t="s">
        <v>32664</v>
      </c>
      <c r="G8822" t="s">
        <v>32674</v>
      </c>
      <c r="H8822" t="s">
        <v>12635</v>
      </c>
      <c r="I8822" t="s">
        <v>6168</v>
      </c>
      <c r="J8822" t="s">
        <v>33175</v>
      </c>
      <c r="K8822" t="s">
        <v>42297</v>
      </c>
      <c r="M8822" t="s">
        <v>45366</v>
      </c>
      <c r="N8822" t="s">
        <v>46569</v>
      </c>
      <c r="O8822" t="s">
        <v>46570</v>
      </c>
      <c r="P8822">
        <v>0</v>
      </c>
      <c r="Q8822">
        <v>1</v>
      </c>
      <c r="R8822" t="s">
        <v>46576</v>
      </c>
      <c r="S8822" t="s">
        <v>46749</v>
      </c>
      <c r="T8822" t="s">
        <v>48307</v>
      </c>
      <c r="U8822" t="s">
        <v>55926</v>
      </c>
      <c r="W8822" t="s">
        <v>45366</v>
      </c>
      <c r="X8822" t="s">
        <v>46577</v>
      </c>
    </row>
    <row r="8823" spans="1:24">
      <c r="A8823">
        <f>HYPERLINK("https://www.philgeps.gov.ph/GEPSNONPILOT/Tender/SplashBidNoticeAbstractUI.aspx?menuIndex=3&amp;refID=7057692&amp;Result=3","7057692")</f>
        <v>0</v>
      </c>
      <c r="B8823" t="s">
        <v>2556</v>
      </c>
      <c r="C8823" t="s">
        <v>11903</v>
      </c>
      <c r="D8823" t="s">
        <v>18784</v>
      </c>
      <c r="E8823" t="s">
        <v>26566</v>
      </c>
      <c r="F8823" t="s">
        <v>32666</v>
      </c>
      <c r="G8823" t="s">
        <v>32672</v>
      </c>
      <c r="H8823" t="s">
        <v>12635</v>
      </c>
      <c r="I8823" t="s">
        <v>6223</v>
      </c>
      <c r="J8823" t="s">
        <v>33024</v>
      </c>
      <c r="K8823" t="s">
        <v>42284</v>
      </c>
      <c r="M8823" t="s">
        <v>45367</v>
      </c>
      <c r="N8823" t="s">
        <v>46569</v>
      </c>
      <c r="O8823" t="s">
        <v>46570</v>
      </c>
      <c r="P8823">
        <v>0</v>
      </c>
      <c r="Q8823">
        <v>3</v>
      </c>
      <c r="R8823" t="s">
        <v>46576</v>
      </c>
      <c r="S8823" t="s">
        <v>46749</v>
      </c>
      <c r="T8823" t="s">
        <v>48303</v>
      </c>
      <c r="U8823" t="s">
        <v>55927</v>
      </c>
      <c r="W8823" t="s">
        <v>45367</v>
      </c>
      <c r="X8823" t="s">
        <v>46577</v>
      </c>
    </row>
    <row r="8824" spans="1:24">
      <c r="A8824">
        <f>HYPERLINK("https://www.philgeps.gov.ph/GEPSNONPILOT/Tender/SplashBidNoticeAbstractUI.aspx?menuIndex=3&amp;refID=7057754&amp;Result=3","7057754")</f>
        <v>0</v>
      </c>
      <c r="B8824" t="s">
        <v>2557</v>
      </c>
      <c r="C8824" t="s">
        <v>11904</v>
      </c>
      <c r="D8824" t="s">
        <v>18837</v>
      </c>
      <c r="E8824" t="s">
        <v>26567</v>
      </c>
      <c r="F8824" t="s">
        <v>32664</v>
      </c>
      <c r="G8824" t="s">
        <v>32672</v>
      </c>
      <c r="H8824" t="s">
        <v>32683</v>
      </c>
      <c r="I8824" t="s">
        <v>10627</v>
      </c>
      <c r="J8824" t="s">
        <v>38170</v>
      </c>
      <c r="K8824" t="s">
        <v>42327</v>
      </c>
      <c r="M8824" t="s">
        <v>45368</v>
      </c>
      <c r="N8824" t="s">
        <v>46569</v>
      </c>
      <c r="O8824" t="s">
        <v>46570</v>
      </c>
      <c r="P8824">
        <v>0</v>
      </c>
      <c r="Q8824">
        <v>1</v>
      </c>
      <c r="R8824" t="s">
        <v>46576</v>
      </c>
      <c r="S8824" t="s">
        <v>46749</v>
      </c>
      <c r="T8824" t="s">
        <v>48274</v>
      </c>
      <c r="U8824" t="s">
        <v>55928</v>
      </c>
      <c r="W8824" t="s">
        <v>45368</v>
      </c>
      <c r="X8824" t="s">
        <v>46577</v>
      </c>
    </row>
    <row r="8825" spans="1:24">
      <c r="A8825">
        <f>HYPERLINK("https://www.philgeps.gov.ph/GEPSNONPILOT/Tender/SplashBidNoticeAbstractUI.aspx?menuIndex=3&amp;refID=7057775&amp;Result=3","7057775")</f>
        <v>0</v>
      </c>
      <c r="B8825" t="s">
        <v>2558</v>
      </c>
      <c r="C8825" t="s">
        <v>11905</v>
      </c>
      <c r="D8825" t="s">
        <v>18846</v>
      </c>
      <c r="E8825" t="s">
        <v>26568</v>
      </c>
      <c r="F8825" t="s">
        <v>32664</v>
      </c>
      <c r="G8825" t="s">
        <v>32672</v>
      </c>
      <c r="H8825" t="s">
        <v>12635</v>
      </c>
      <c r="I8825" t="s">
        <v>11464</v>
      </c>
      <c r="J8825" t="s">
        <v>38171</v>
      </c>
      <c r="K8825" t="s">
        <v>42330</v>
      </c>
      <c r="M8825" t="s">
        <v>45369</v>
      </c>
      <c r="N8825" t="s">
        <v>46569</v>
      </c>
      <c r="O8825" t="s">
        <v>46570</v>
      </c>
      <c r="P8825">
        <v>0</v>
      </c>
      <c r="Q8825">
        <v>0</v>
      </c>
      <c r="R8825" t="s">
        <v>46576</v>
      </c>
      <c r="S8825" t="s">
        <v>46749</v>
      </c>
      <c r="T8825" t="s">
        <v>48212</v>
      </c>
      <c r="U8825" t="s">
        <v>55929</v>
      </c>
      <c r="W8825" t="s">
        <v>45369</v>
      </c>
      <c r="X8825" t="s">
        <v>46577</v>
      </c>
    </row>
    <row r="8826" spans="1:24">
      <c r="A8826">
        <f>HYPERLINK("https://www.philgeps.gov.ph/GEPSNONPILOT/Tender/SplashBidNoticeAbstractUI.aspx?menuIndex=3&amp;refID=7057767&amp;Result=3","7057767")</f>
        <v>0</v>
      </c>
      <c r="B8826" t="s">
        <v>918</v>
      </c>
      <c r="C8826" t="s">
        <v>11906</v>
      </c>
      <c r="D8826" t="s">
        <v>18872</v>
      </c>
      <c r="E8826" t="s">
        <v>22457</v>
      </c>
      <c r="F8826" t="s">
        <v>32664</v>
      </c>
      <c r="G8826" t="s">
        <v>32672</v>
      </c>
      <c r="H8826" t="s">
        <v>12635</v>
      </c>
      <c r="I8826" t="s">
        <v>10361</v>
      </c>
      <c r="J8826" t="s">
        <v>38172</v>
      </c>
      <c r="K8826" t="s">
        <v>42340</v>
      </c>
      <c r="M8826" t="s">
        <v>43524</v>
      </c>
      <c r="N8826" t="s">
        <v>46569</v>
      </c>
      <c r="O8826" t="s">
        <v>46570</v>
      </c>
      <c r="P8826">
        <v>0</v>
      </c>
      <c r="Q8826">
        <v>5</v>
      </c>
      <c r="R8826" t="s">
        <v>46576</v>
      </c>
      <c r="S8826" t="s">
        <v>46749</v>
      </c>
      <c r="T8826" t="s">
        <v>48302</v>
      </c>
      <c r="U8826" t="s">
        <v>50334</v>
      </c>
      <c r="W8826" t="s">
        <v>43524</v>
      </c>
      <c r="X8826" t="s">
        <v>46577</v>
      </c>
    </row>
    <row r="8827" spans="1:24">
      <c r="A8827">
        <f>HYPERLINK("https://www.philgeps.gov.ph/GEPSNONPILOT/Tender/SplashBidNoticeAbstractUI.aspx?menuIndex=3&amp;refID=7057728&amp;Result=3","7057728")</f>
        <v>0</v>
      </c>
      <c r="B8827" t="s">
        <v>1479</v>
      </c>
      <c r="C8827" t="s">
        <v>11907</v>
      </c>
      <c r="D8827" t="s">
        <v>18788</v>
      </c>
      <c r="E8827" t="s">
        <v>26569</v>
      </c>
      <c r="F8827" t="s">
        <v>32664</v>
      </c>
      <c r="G8827" t="s">
        <v>32672</v>
      </c>
      <c r="H8827" t="s">
        <v>32683</v>
      </c>
      <c r="I8827" t="s">
        <v>10627</v>
      </c>
      <c r="J8827" t="s">
        <v>38173</v>
      </c>
      <c r="K8827" t="s">
        <v>42298</v>
      </c>
      <c r="M8827" t="s">
        <v>44142</v>
      </c>
      <c r="N8827" t="s">
        <v>46569</v>
      </c>
      <c r="O8827" t="s">
        <v>46570</v>
      </c>
      <c r="P8827">
        <v>0</v>
      </c>
      <c r="Q8827">
        <v>0</v>
      </c>
      <c r="R8827" t="s">
        <v>46576</v>
      </c>
      <c r="S8827" t="s">
        <v>46749</v>
      </c>
      <c r="T8827" t="s">
        <v>48282</v>
      </c>
      <c r="U8827" t="s">
        <v>55911</v>
      </c>
      <c r="W8827" t="s">
        <v>44142</v>
      </c>
      <c r="X8827" t="s">
        <v>46577</v>
      </c>
    </row>
    <row r="8828" spans="1:24">
      <c r="A8828">
        <f>HYPERLINK("https://www.philgeps.gov.ph/GEPSNONPILOT/Tender/SplashBidNoticeAbstractUI.aspx?menuIndex=3&amp;refID=7057714&amp;Result=3","7057714")</f>
        <v>0</v>
      </c>
      <c r="B8828" t="s">
        <v>2552</v>
      </c>
      <c r="C8828" t="s">
        <v>11908</v>
      </c>
      <c r="E8828" t="s">
        <v>26570</v>
      </c>
      <c r="F8828" t="s">
        <v>32664</v>
      </c>
      <c r="G8828" t="s">
        <v>32672</v>
      </c>
      <c r="H8828" t="s">
        <v>12635</v>
      </c>
      <c r="I8828" t="s">
        <v>32794</v>
      </c>
      <c r="J8828" t="s">
        <v>37816</v>
      </c>
      <c r="K8828" t="s">
        <v>42283</v>
      </c>
      <c r="M8828" t="s">
        <v>45363</v>
      </c>
      <c r="N8828" t="s">
        <v>46569</v>
      </c>
      <c r="O8828" t="s">
        <v>46570</v>
      </c>
      <c r="Q8828">
        <v>10</v>
      </c>
      <c r="R8828" t="s">
        <v>46576</v>
      </c>
      <c r="S8828" t="s">
        <v>46692</v>
      </c>
      <c r="T8828" t="s">
        <v>48629</v>
      </c>
      <c r="U8828" t="s">
        <v>55914</v>
      </c>
      <c r="W8828" t="s">
        <v>45363</v>
      </c>
      <c r="X8828" t="s">
        <v>46577</v>
      </c>
    </row>
    <row r="8829" spans="1:24">
      <c r="A8829">
        <f>HYPERLINK("https://www.philgeps.gov.ph/GEPSNONPILOT/Tender/SplashBidNoticeAbstractUI.aspx?menuIndex=3&amp;refID=7057761&amp;Result=3","7057761")</f>
        <v>0</v>
      </c>
      <c r="B8829" t="s">
        <v>1847</v>
      </c>
      <c r="C8829" t="s">
        <v>11909</v>
      </c>
      <c r="D8829" t="s">
        <v>18837</v>
      </c>
      <c r="E8829" t="s">
        <v>26571</v>
      </c>
      <c r="F8829" t="s">
        <v>32664</v>
      </c>
      <c r="G8829" t="s">
        <v>32671</v>
      </c>
      <c r="H8829" t="s">
        <v>12635</v>
      </c>
      <c r="I8829" t="s">
        <v>6628</v>
      </c>
      <c r="J8829" t="s">
        <v>33163</v>
      </c>
      <c r="K8829" t="s">
        <v>42281</v>
      </c>
      <c r="M8829" t="s">
        <v>44556</v>
      </c>
      <c r="N8829" t="s">
        <v>46569</v>
      </c>
      <c r="O8829" t="s">
        <v>46570</v>
      </c>
      <c r="P8829">
        <v>0</v>
      </c>
      <c r="Q8829">
        <v>1</v>
      </c>
      <c r="R8829" t="s">
        <v>46576</v>
      </c>
      <c r="S8829" t="s">
        <v>46749</v>
      </c>
      <c r="T8829" t="s">
        <v>48448</v>
      </c>
      <c r="U8829" t="s">
        <v>55930</v>
      </c>
      <c r="W8829" t="s">
        <v>44556</v>
      </c>
      <c r="X8829" t="s">
        <v>46577</v>
      </c>
    </row>
    <row r="8830" spans="1:24">
      <c r="A8830">
        <f>HYPERLINK("https://www.philgeps.gov.ph/GEPSNONPILOT/Tender/SplashBidNoticeAbstractUI.aspx?menuIndex=3&amp;refID=7057774&amp;Result=3","7057774")</f>
        <v>0</v>
      </c>
      <c r="B8830" t="s">
        <v>2559</v>
      </c>
      <c r="C8830" t="s">
        <v>11910</v>
      </c>
      <c r="D8830" t="s">
        <v>18859</v>
      </c>
      <c r="E8830" t="s">
        <v>26572</v>
      </c>
      <c r="F8830" t="s">
        <v>32664</v>
      </c>
      <c r="G8830" t="s">
        <v>32671</v>
      </c>
      <c r="H8830" t="s">
        <v>12635</v>
      </c>
      <c r="I8830" t="s">
        <v>32701</v>
      </c>
      <c r="J8830" t="s">
        <v>32984</v>
      </c>
      <c r="K8830" t="s">
        <v>42303</v>
      </c>
      <c r="M8830" t="s">
        <v>45370</v>
      </c>
      <c r="N8830" t="s">
        <v>46569</v>
      </c>
      <c r="O8830" t="s">
        <v>46570</v>
      </c>
      <c r="P8830">
        <v>0</v>
      </c>
      <c r="Q8830">
        <v>1</v>
      </c>
      <c r="R8830" t="s">
        <v>46576</v>
      </c>
      <c r="S8830" t="s">
        <v>46749</v>
      </c>
      <c r="T8830" t="s">
        <v>48244</v>
      </c>
      <c r="U8830" t="s">
        <v>55931</v>
      </c>
      <c r="V8830" t="s">
        <v>62531</v>
      </c>
      <c r="W8830" t="s">
        <v>45370</v>
      </c>
      <c r="X8830" t="s">
        <v>46577</v>
      </c>
    </row>
    <row r="8831" spans="1:24">
      <c r="A8831">
        <f>HYPERLINK("https://www.philgeps.gov.ph/GEPSNONPILOT/Tender/SplashBidNoticeAbstractUI.aspx?menuIndex=3&amp;refID=7057756&amp;Result=3","7057756")</f>
        <v>0</v>
      </c>
      <c r="B8831" t="s">
        <v>1847</v>
      </c>
      <c r="C8831" t="s">
        <v>11911</v>
      </c>
      <c r="D8831" t="s">
        <v>18837</v>
      </c>
      <c r="E8831" t="s">
        <v>26573</v>
      </c>
      <c r="F8831" t="s">
        <v>32664</v>
      </c>
      <c r="G8831" t="s">
        <v>32671</v>
      </c>
      <c r="H8831" t="s">
        <v>12635</v>
      </c>
      <c r="I8831" t="s">
        <v>5501</v>
      </c>
      <c r="J8831" t="s">
        <v>33831</v>
      </c>
      <c r="K8831" t="s">
        <v>42281</v>
      </c>
      <c r="M8831" t="s">
        <v>44556</v>
      </c>
      <c r="N8831" t="s">
        <v>46569</v>
      </c>
      <c r="O8831" t="s">
        <v>46570</v>
      </c>
      <c r="P8831">
        <v>0</v>
      </c>
      <c r="Q8831">
        <v>2</v>
      </c>
      <c r="R8831" t="s">
        <v>46576</v>
      </c>
      <c r="S8831" t="s">
        <v>46749</v>
      </c>
      <c r="T8831" t="s">
        <v>48448</v>
      </c>
      <c r="U8831" t="s">
        <v>55932</v>
      </c>
      <c r="W8831" t="s">
        <v>44556</v>
      </c>
      <c r="X8831" t="s">
        <v>46577</v>
      </c>
    </row>
    <row r="8832" spans="1:24">
      <c r="A8832">
        <f>HYPERLINK("https://www.philgeps.gov.ph/GEPSNONPILOT/Tender/SplashBidNoticeAbstractUI.aspx?menuIndex=3&amp;refID=7057696&amp;Result=3","7057696")</f>
        <v>0</v>
      </c>
      <c r="B8832" t="s">
        <v>2333</v>
      </c>
      <c r="C8832" t="s">
        <v>11912</v>
      </c>
      <c r="E8832" t="s">
        <v>26574</v>
      </c>
      <c r="F8832" t="s">
        <v>32664</v>
      </c>
      <c r="G8832" t="s">
        <v>32671</v>
      </c>
      <c r="H8832" t="s">
        <v>12635</v>
      </c>
      <c r="I8832" t="s">
        <v>32701</v>
      </c>
      <c r="J8832" t="s">
        <v>38174</v>
      </c>
      <c r="K8832" t="s">
        <v>42283</v>
      </c>
      <c r="M8832" t="s">
        <v>45109</v>
      </c>
      <c r="N8832" t="s">
        <v>46569</v>
      </c>
      <c r="O8832" t="s">
        <v>46570</v>
      </c>
      <c r="Q8832">
        <v>2</v>
      </c>
      <c r="R8832" t="s">
        <v>46576</v>
      </c>
      <c r="S8832" t="s">
        <v>46803</v>
      </c>
      <c r="T8832" t="s">
        <v>48244</v>
      </c>
      <c r="U8832" t="s">
        <v>49518</v>
      </c>
      <c r="W8832" t="s">
        <v>45109</v>
      </c>
      <c r="X8832" t="s">
        <v>46577</v>
      </c>
    </row>
    <row r="8833" spans="1:24">
      <c r="A8833">
        <f>HYPERLINK("https://www.philgeps.gov.ph/GEPSNONPILOT/Tender/SplashBidNoticeAbstractUI.aspx?menuIndex=3&amp;refID=7057720&amp;Result=3","7057720")</f>
        <v>0</v>
      </c>
      <c r="B8833" t="s">
        <v>2550</v>
      </c>
      <c r="C8833" t="s">
        <v>11913</v>
      </c>
      <c r="D8833" t="s">
        <v>18799</v>
      </c>
      <c r="E8833" t="s">
        <v>26575</v>
      </c>
      <c r="F8833" t="s">
        <v>32664</v>
      </c>
      <c r="G8833" t="s">
        <v>32671</v>
      </c>
      <c r="H8833" t="s">
        <v>12635</v>
      </c>
      <c r="I8833" t="s">
        <v>32704</v>
      </c>
      <c r="J8833" t="s">
        <v>38175</v>
      </c>
      <c r="K8833" t="s">
        <v>42298</v>
      </c>
      <c r="M8833" t="s">
        <v>45360</v>
      </c>
      <c r="N8833" t="s">
        <v>46569</v>
      </c>
      <c r="O8833" t="s">
        <v>46570</v>
      </c>
      <c r="P8833">
        <v>0</v>
      </c>
      <c r="Q8833">
        <v>3</v>
      </c>
      <c r="R8833" t="s">
        <v>46576</v>
      </c>
      <c r="S8833" t="s">
        <v>46749</v>
      </c>
      <c r="T8833" t="s">
        <v>48473</v>
      </c>
      <c r="U8833" t="s">
        <v>55933</v>
      </c>
      <c r="W8833" t="s">
        <v>45360</v>
      </c>
      <c r="X8833" t="s">
        <v>46577</v>
      </c>
    </row>
    <row r="8834" spans="1:24">
      <c r="A8834">
        <f>HYPERLINK("https://www.philgeps.gov.ph/GEPSNONPILOT/Tender/SplashBidNoticeAbstractUI.aspx?menuIndex=3&amp;refID=7057716&amp;Result=3","7057716")</f>
        <v>0</v>
      </c>
      <c r="B8834" t="s">
        <v>2555</v>
      </c>
      <c r="C8834" t="s">
        <v>11914</v>
      </c>
      <c r="D8834" t="s">
        <v>18807</v>
      </c>
      <c r="E8834" t="s">
        <v>26576</v>
      </c>
      <c r="F8834" t="s">
        <v>32664</v>
      </c>
      <c r="G8834" t="s">
        <v>32674</v>
      </c>
      <c r="H8834" t="s">
        <v>12635</v>
      </c>
      <c r="I8834" t="s">
        <v>6168</v>
      </c>
      <c r="J8834" t="s">
        <v>38176</v>
      </c>
      <c r="K8834" t="s">
        <v>42297</v>
      </c>
      <c r="M8834" t="s">
        <v>45366</v>
      </c>
      <c r="N8834" t="s">
        <v>46569</v>
      </c>
      <c r="O8834" t="s">
        <v>46570</v>
      </c>
      <c r="P8834">
        <v>0</v>
      </c>
      <c r="Q8834">
        <v>1</v>
      </c>
      <c r="R8834" t="s">
        <v>46576</v>
      </c>
      <c r="S8834" t="s">
        <v>46749</v>
      </c>
      <c r="T8834" t="s">
        <v>48307</v>
      </c>
      <c r="U8834" t="s">
        <v>55934</v>
      </c>
      <c r="W8834" t="s">
        <v>45366</v>
      </c>
      <c r="X8834" t="s">
        <v>46577</v>
      </c>
    </row>
    <row r="8835" spans="1:24">
      <c r="A8835">
        <f>HYPERLINK("https://www.philgeps.gov.ph/GEPSNONPILOT/Tender/SplashBidNoticeAbstractUI.aspx?menuIndex=3&amp;refID=7057715&amp;Result=3","7057715")</f>
        <v>0</v>
      </c>
      <c r="B8835" t="s">
        <v>2560</v>
      </c>
      <c r="C8835" t="s">
        <v>11915</v>
      </c>
      <c r="D8835" t="s">
        <v>18783</v>
      </c>
      <c r="E8835" t="s">
        <v>19193</v>
      </c>
      <c r="F8835" t="s">
        <v>32664</v>
      </c>
      <c r="G8835" t="s">
        <v>32672</v>
      </c>
      <c r="H8835" t="s">
        <v>12635</v>
      </c>
      <c r="I8835" t="s">
        <v>4439</v>
      </c>
      <c r="J8835" t="s">
        <v>38177</v>
      </c>
      <c r="K8835" t="s">
        <v>42281</v>
      </c>
      <c r="M8835" t="s">
        <v>45371</v>
      </c>
      <c r="N8835" t="s">
        <v>46569</v>
      </c>
      <c r="O8835" t="s">
        <v>46570</v>
      </c>
      <c r="P8835">
        <v>0</v>
      </c>
      <c r="Q8835">
        <v>0</v>
      </c>
      <c r="R8835" t="s">
        <v>46576</v>
      </c>
      <c r="S8835" t="s">
        <v>46749</v>
      </c>
      <c r="T8835" t="s">
        <v>48221</v>
      </c>
      <c r="U8835" t="s">
        <v>55935</v>
      </c>
      <c r="W8835" t="s">
        <v>45371</v>
      </c>
      <c r="X8835" t="s">
        <v>46577</v>
      </c>
    </row>
    <row r="8836" spans="1:24">
      <c r="A8836">
        <f>HYPERLINK("https://www.philgeps.gov.ph/GEPSNONPILOT/Tender/SplashBidNoticeAbstractUI.aspx?menuIndex=3&amp;refID=7057783&amp;Result=3","7057783")</f>
        <v>0</v>
      </c>
      <c r="B8836" t="s">
        <v>2561</v>
      </c>
      <c r="C8836" t="s">
        <v>11916</v>
      </c>
      <c r="D8836" t="s">
        <v>18852</v>
      </c>
      <c r="E8836" t="s">
        <v>26577</v>
      </c>
      <c r="F8836" t="s">
        <v>32664</v>
      </c>
      <c r="G8836" t="s">
        <v>32672</v>
      </c>
      <c r="H8836" t="s">
        <v>12635</v>
      </c>
      <c r="I8836" t="s">
        <v>4439</v>
      </c>
      <c r="J8836" t="s">
        <v>38178</v>
      </c>
      <c r="K8836" t="s">
        <v>42297</v>
      </c>
      <c r="M8836" t="s">
        <v>45372</v>
      </c>
      <c r="N8836" t="s">
        <v>46569</v>
      </c>
      <c r="O8836" t="s">
        <v>46570</v>
      </c>
      <c r="P8836">
        <v>0</v>
      </c>
      <c r="Q8836">
        <v>0</v>
      </c>
      <c r="R8836" t="s">
        <v>46576</v>
      </c>
      <c r="S8836" t="s">
        <v>46749</v>
      </c>
      <c r="T8836" t="s">
        <v>48236</v>
      </c>
      <c r="U8836" t="s">
        <v>55936</v>
      </c>
      <c r="V8836" t="s">
        <v>62532</v>
      </c>
      <c r="W8836" t="s">
        <v>45372</v>
      </c>
      <c r="X8836" t="s">
        <v>46577</v>
      </c>
    </row>
    <row r="8837" spans="1:24">
      <c r="A8837">
        <f>HYPERLINK("https://www.philgeps.gov.ph/GEPSNONPILOT/Tender/SplashBidNoticeAbstractUI.aspx?menuIndex=3&amp;refID=7057839&amp;Result=3","7057839")</f>
        <v>0</v>
      </c>
      <c r="B8837" t="s">
        <v>2562</v>
      </c>
      <c r="C8837" t="s">
        <v>4250</v>
      </c>
      <c r="D8837" t="s">
        <v>18826</v>
      </c>
      <c r="E8837" t="s">
        <v>23415</v>
      </c>
      <c r="F8837" t="s">
        <v>32665</v>
      </c>
      <c r="G8837" t="s">
        <v>32671</v>
      </c>
      <c r="H8837" t="s">
        <v>12635</v>
      </c>
      <c r="I8837" t="s">
        <v>4439</v>
      </c>
      <c r="J8837" t="s">
        <v>32853</v>
      </c>
      <c r="K8837" t="s">
        <v>42309</v>
      </c>
      <c r="M8837" t="s">
        <v>45373</v>
      </c>
      <c r="N8837" t="s">
        <v>46569</v>
      </c>
      <c r="O8837" t="s">
        <v>46570</v>
      </c>
      <c r="P8837">
        <v>0</v>
      </c>
      <c r="Q8837">
        <v>0</v>
      </c>
      <c r="R8837" t="s">
        <v>46576</v>
      </c>
      <c r="S8837" t="s">
        <v>46749</v>
      </c>
      <c r="T8837" t="s">
        <v>48219</v>
      </c>
      <c r="U8837" t="s">
        <v>55937</v>
      </c>
      <c r="W8837" t="s">
        <v>45373</v>
      </c>
      <c r="X8837" t="s">
        <v>46577</v>
      </c>
    </row>
    <row r="8838" spans="1:24">
      <c r="A8838">
        <f>HYPERLINK("https://www.philgeps.gov.ph/GEPSNONPILOT/Tender/SplashBidNoticeAbstractUI.aspx?menuIndex=3&amp;refID=7057727&amp;Result=3","7057727")</f>
        <v>0</v>
      </c>
      <c r="B8838" t="s">
        <v>2563</v>
      </c>
      <c r="C8838" t="s">
        <v>5954</v>
      </c>
      <c r="D8838" t="s">
        <v>18862</v>
      </c>
      <c r="E8838" t="s">
        <v>26578</v>
      </c>
      <c r="F8838" t="s">
        <v>32664</v>
      </c>
      <c r="G8838" t="s">
        <v>32671</v>
      </c>
      <c r="H8838" t="s">
        <v>12635</v>
      </c>
      <c r="I8838" t="s">
        <v>32704</v>
      </c>
      <c r="J8838" t="s">
        <v>38179</v>
      </c>
      <c r="K8838" t="s">
        <v>42297</v>
      </c>
      <c r="M8838" t="s">
        <v>45374</v>
      </c>
      <c r="N8838" t="s">
        <v>46569</v>
      </c>
      <c r="O8838" t="s">
        <v>46570</v>
      </c>
      <c r="P8838">
        <v>0</v>
      </c>
      <c r="Q8838">
        <v>2</v>
      </c>
      <c r="R8838" t="s">
        <v>46576</v>
      </c>
      <c r="S8838" t="s">
        <v>46749</v>
      </c>
      <c r="T8838" t="s">
        <v>48254</v>
      </c>
      <c r="U8838" t="s">
        <v>55938</v>
      </c>
      <c r="W8838" t="s">
        <v>45374</v>
      </c>
      <c r="X8838" t="s">
        <v>46577</v>
      </c>
    </row>
    <row r="8839" spans="1:24">
      <c r="A8839">
        <f>HYPERLINK("https://www.philgeps.gov.ph/GEPSNONPILOT/Tender/SplashBidNoticeAbstractUI.aspx?menuIndex=3&amp;refID=7057837&amp;Result=3","7057837")</f>
        <v>0</v>
      </c>
      <c r="B8839" t="s">
        <v>2564</v>
      </c>
      <c r="C8839" t="s">
        <v>11917</v>
      </c>
      <c r="D8839" t="s">
        <v>18820</v>
      </c>
      <c r="E8839" t="s">
        <v>26579</v>
      </c>
      <c r="F8839" t="s">
        <v>32664</v>
      </c>
      <c r="G8839" t="s">
        <v>32672</v>
      </c>
      <c r="H8839" t="s">
        <v>12635</v>
      </c>
      <c r="I8839" t="s">
        <v>32688</v>
      </c>
      <c r="J8839" t="s">
        <v>38180</v>
      </c>
      <c r="K8839" t="s">
        <v>42281</v>
      </c>
      <c r="M8839" t="s">
        <v>45375</v>
      </c>
      <c r="N8839" t="s">
        <v>46569</v>
      </c>
      <c r="O8839" t="s">
        <v>46570</v>
      </c>
      <c r="P8839">
        <v>0</v>
      </c>
      <c r="Q8839">
        <v>5</v>
      </c>
      <c r="R8839" t="s">
        <v>46576</v>
      </c>
      <c r="S8839" t="s">
        <v>46749</v>
      </c>
      <c r="T8839" t="s">
        <v>48273</v>
      </c>
      <c r="U8839" t="s">
        <v>55939</v>
      </c>
      <c r="W8839" t="s">
        <v>45375</v>
      </c>
      <c r="X8839" t="s">
        <v>46577</v>
      </c>
    </row>
    <row r="8840" spans="1:24">
      <c r="A8840">
        <f>HYPERLINK("https://www.philgeps.gov.ph/GEPSNONPILOT/Tender/SplashBidNoticeAbstractUI.aspx?menuIndex=3&amp;refID=7057719&amp;Result=3","7057719")</f>
        <v>0</v>
      </c>
      <c r="B8840" t="s">
        <v>2552</v>
      </c>
      <c r="C8840" t="s">
        <v>11918</v>
      </c>
      <c r="E8840" t="s">
        <v>26580</v>
      </c>
      <c r="F8840" t="s">
        <v>32664</v>
      </c>
      <c r="G8840" t="s">
        <v>32672</v>
      </c>
      <c r="H8840" t="s">
        <v>12635</v>
      </c>
      <c r="I8840" t="s">
        <v>32794</v>
      </c>
      <c r="J8840" t="s">
        <v>38181</v>
      </c>
      <c r="K8840" t="s">
        <v>42283</v>
      </c>
      <c r="M8840" t="s">
        <v>45363</v>
      </c>
      <c r="N8840" t="s">
        <v>46569</v>
      </c>
      <c r="O8840" t="s">
        <v>46570</v>
      </c>
      <c r="P8840">
        <v>0</v>
      </c>
      <c r="Q8840">
        <v>10</v>
      </c>
      <c r="R8840" t="s">
        <v>46576</v>
      </c>
      <c r="S8840" t="s">
        <v>46749</v>
      </c>
      <c r="T8840" t="s">
        <v>48629</v>
      </c>
      <c r="U8840" t="s">
        <v>55914</v>
      </c>
      <c r="W8840" t="s">
        <v>45363</v>
      </c>
      <c r="X8840" t="s">
        <v>46577</v>
      </c>
    </row>
    <row r="8841" spans="1:24">
      <c r="A8841">
        <f>HYPERLINK("https://www.philgeps.gov.ph/GEPSNONPILOT/Tender/SplashBidNoticeAbstractUI.aspx?menuIndex=3&amp;refID=7057828&amp;Result=3","7057828")</f>
        <v>0</v>
      </c>
      <c r="B8841" t="s">
        <v>2562</v>
      </c>
      <c r="C8841" t="s">
        <v>11919</v>
      </c>
      <c r="D8841" t="s">
        <v>18826</v>
      </c>
      <c r="E8841" t="s">
        <v>26581</v>
      </c>
      <c r="F8841" t="s">
        <v>32665</v>
      </c>
      <c r="G8841" t="s">
        <v>32671</v>
      </c>
      <c r="H8841" t="s">
        <v>12635</v>
      </c>
      <c r="I8841" t="s">
        <v>32795</v>
      </c>
      <c r="J8841" t="s">
        <v>32898</v>
      </c>
      <c r="K8841" t="s">
        <v>42289</v>
      </c>
      <c r="M8841" t="s">
        <v>45373</v>
      </c>
      <c r="N8841" t="s">
        <v>46569</v>
      </c>
      <c r="O8841" t="s">
        <v>46570</v>
      </c>
      <c r="P8841">
        <v>0</v>
      </c>
      <c r="Q8841">
        <v>3</v>
      </c>
      <c r="R8841" t="s">
        <v>46576</v>
      </c>
      <c r="S8841" t="s">
        <v>46749</v>
      </c>
      <c r="T8841" t="s">
        <v>48244</v>
      </c>
      <c r="U8841" t="s">
        <v>55940</v>
      </c>
      <c r="W8841" t="s">
        <v>45373</v>
      </c>
      <c r="X8841" t="s">
        <v>46577</v>
      </c>
    </row>
    <row r="8842" spans="1:24">
      <c r="A8842">
        <f>HYPERLINK("https://www.philgeps.gov.ph/GEPSNONPILOT/Tender/SplashBidNoticeAbstractUI.aspx?menuIndex=3&amp;refID=7057818&amp;Result=3","7057818")</f>
        <v>0</v>
      </c>
      <c r="B8842" t="s">
        <v>1479</v>
      </c>
      <c r="C8842" t="s">
        <v>11920</v>
      </c>
      <c r="D8842" t="s">
        <v>18788</v>
      </c>
      <c r="E8842" t="s">
        <v>26582</v>
      </c>
      <c r="F8842" t="s">
        <v>32664</v>
      </c>
      <c r="G8842" t="s">
        <v>32672</v>
      </c>
      <c r="H8842" t="s">
        <v>32683</v>
      </c>
      <c r="I8842" t="s">
        <v>10627</v>
      </c>
      <c r="J8842" t="s">
        <v>38182</v>
      </c>
      <c r="K8842" t="s">
        <v>42298</v>
      </c>
      <c r="M8842" t="s">
        <v>44142</v>
      </c>
      <c r="N8842" t="s">
        <v>46569</v>
      </c>
      <c r="O8842" t="s">
        <v>46570</v>
      </c>
      <c r="P8842">
        <v>0</v>
      </c>
      <c r="Q8842">
        <v>1</v>
      </c>
      <c r="R8842" t="s">
        <v>46576</v>
      </c>
      <c r="S8842" t="s">
        <v>46749</v>
      </c>
      <c r="T8842" t="s">
        <v>48282</v>
      </c>
      <c r="U8842" t="s">
        <v>55923</v>
      </c>
      <c r="W8842" t="s">
        <v>44142</v>
      </c>
      <c r="X8842" t="s">
        <v>46577</v>
      </c>
    </row>
    <row r="8843" spans="1:24">
      <c r="A8843">
        <f>HYPERLINK("https://www.philgeps.gov.ph/GEPSNONPILOT/Tender/SplashBidNoticeAbstractUI.aspx?menuIndex=3&amp;refID=7057609&amp;Result=3","7057609")</f>
        <v>0</v>
      </c>
      <c r="B8843" t="s">
        <v>847</v>
      </c>
      <c r="C8843" t="s">
        <v>11921</v>
      </c>
      <c r="D8843" t="s">
        <v>18811</v>
      </c>
      <c r="E8843" t="s">
        <v>26583</v>
      </c>
      <c r="F8843" t="s">
        <v>32664</v>
      </c>
      <c r="G8843" t="s">
        <v>32671</v>
      </c>
      <c r="H8843" t="s">
        <v>12635</v>
      </c>
      <c r="I8843" t="s">
        <v>6223</v>
      </c>
      <c r="J8843" t="s">
        <v>35111</v>
      </c>
      <c r="K8843" t="s">
        <v>42281</v>
      </c>
      <c r="M8843" t="s">
        <v>43443</v>
      </c>
      <c r="N8843" t="s">
        <v>46569</v>
      </c>
      <c r="O8843" t="s">
        <v>46570</v>
      </c>
      <c r="P8843">
        <v>0</v>
      </c>
      <c r="Q8843">
        <v>1</v>
      </c>
      <c r="R8843" t="s">
        <v>46576</v>
      </c>
      <c r="S8843" t="s">
        <v>46749</v>
      </c>
      <c r="T8843" t="s">
        <v>48307</v>
      </c>
      <c r="U8843" t="s">
        <v>55656</v>
      </c>
      <c r="V8843" t="s">
        <v>62533</v>
      </c>
      <c r="W8843" t="s">
        <v>43443</v>
      </c>
      <c r="X8843" t="s">
        <v>46577</v>
      </c>
    </row>
    <row r="8844" spans="1:24">
      <c r="A8844">
        <f>HYPERLINK("https://www.philgeps.gov.ph/GEPSNONPILOT/Tender/SplashBidNoticeAbstractUI.aspx?menuIndex=3&amp;refID=7057769&amp;Result=3","7057769")</f>
        <v>0</v>
      </c>
      <c r="B8844" t="s">
        <v>1847</v>
      </c>
      <c r="C8844" t="s">
        <v>11922</v>
      </c>
      <c r="D8844" t="s">
        <v>18837</v>
      </c>
      <c r="E8844" t="s">
        <v>26584</v>
      </c>
      <c r="F8844" t="s">
        <v>32664</v>
      </c>
      <c r="G8844" t="s">
        <v>32671</v>
      </c>
      <c r="H8844" t="s">
        <v>12635</v>
      </c>
      <c r="I8844" t="s">
        <v>6628</v>
      </c>
      <c r="J8844" t="s">
        <v>35590</v>
      </c>
      <c r="K8844" t="s">
        <v>42281</v>
      </c>
      <c r="M8844" t="s">
        <v>44556</v>
      </c>
      <c r="N8844" t="s">
        <v>46569</v>
      </c>
      <c r="O8844" t="s">
        <v>46570</v>
      </c>
      <c r="P8844">
        <v>0</v>
      </c>
      <c r="Q8844">
        <v>3</v>
      </c>
      <c r="R8844" t="s">
        <v>46576</v>
      </c>
      <c r="S8844" t="s">
        <v>46749</v>
      </c>
      <c r="T8844" t="s">
        <v>48448</v>
      </c>
      <c r="U8844" t="s">
        <v>55941</v>
      </c>
      <c r="W8844" t="s">
        <v>44556</v>
      </c>
      <c r="X8844" t="s">
        <v>46577</v>
      </c>
    </row>
    <row r="8845" spans="1:24">
      <c r="A8845">
        <f>HYPERLINK("https://www.philgeps.gov.ph/GEPSNONPILOT/Tender/SplashBidNoticeAbstractUI.aspx?menuIndex=3&amp;refID=7057815&amp;Result=3","7057815")</f>
        <v>0</v>
      </c>
      <c r="B8845" t="s">
        <v>1897</v>
      </c>
      <c r="C8845" t="s">
        <v>11923</v>
      </c>
      <c r="D8845" t="s">
        <v>18802</v>
      </c>
      <c r="E8845" t="s">
        <v>26585</v>
      </c>
      <c r="F8845" t="s">
        <v>32664</v>
      </c>
      <c r="G8845" t="s">
        <v>32672</v>
      </c>
      <c r="H8845" t="s">
        <v>12635</v>
      </c>
      <c r="I8845" t="s">
        <v>4439</v>
      </c>
      <c r="J8845" t="s">
        <v>33051</v>
      </c>
      <c r="K8845" t="s">
        <v>42281</v>
      </c>
      <c r="M8845" t="s">
        <v>44616</v>
      </c>
      <c r="N8845" t="s">
        <v>46569</v>
      </c>
      <c r="O8845" t="s">
        <v>46570</v>
      </c>
      <c r="P8845">
        <v>0</v>
      </c>
      <c r="Q8845">
        <v>0</v>
      </c>
      <c r="R8845" t="s">
        <v>46576</v>
      </c>
      <c r="S8845" t="s">
        <v>46749</v>
      </c>
      <c r="T8845" t="s">
        <v>48297</v>
      </c>
      <c r="U8845" t="s">
        <v>55942</v>
      </c>
      <c r="W8845" t="s">
        <v>44616</v>
      </c>
      <c r="X8845" t="s">
        <v>46577</v>
      </c>
    </row>
    <row r="8846" spans="1:24">
      <c r="A8846">
        <f>HYPERLINK("https://www.philgeps.gov.ph/GEPSNONPILOT/Tender/SplashBidNoticeAbstractUI.aspx?menuIndex=3&amp;refID=7057803&amp;Result=3","7057803")</f>
        <v>0</v>
      </c>
      <c r="B8846" t="s">
        <v>2558</v>
      </c>
      <c r="C8846" t="s">
        <v>11924</v>
      </c>
      <c r="D8846" t="s">
        <v>18846</v>
      </c>
      <c r="E8846" t="s">
        <v>26586</v>
      </c>
      <c r="F8846" t="s">
        <v>32664</v>
      </c>
      <c r="G8846" t="s">
        <v>32672</v>
      </c>
      <c r="H8846" t="s">
        <v>32683</v>
      </c>
      <c r="I8846" t="s">
        <v>10627</v>
      </c>
      <c r="J8846" t="s">
        <v>33969</v>
      </c>
      <c r="K8846" t="s">
        <v>42327</v>
      </c>
      <c r="M8846" t="s">
        <v>45369</v>
      </c>
      <c r="N8846" t="s">
        <v>46569</v>
      </c>
      <c r="O8846" t="s">
        <v>46570</v>
      </c>
      <c r="P8846">
        <v>0</v>
      </c>
      <c r="Q8846">
        <v>1</v>
      </c>
      <c r="R8846" t="s">
        <v>46576</v>
      </c>
      <c r="S8846" t="s">
        <v>46749</v>
      </c>
      <c r="T8846" t="s">
        <v>48274</v>
      </c>
      <c r="U8846" t="s">
        <v>55943</v>
      </c>
      <c r="W8846" t="s">
        <v>45369</v>
      </c>
      <c r="X8846" t="s">
        <v>46577</v>
      </c>
    </row>
    <row r="8847" spans="1:24">
      <c r="A8847">
        <f>HYPERLINK("https://www.philgeps.gov.ph/GEPSNONPILOT/Tender/SplashBidNoticeAbstractUI.aspx?menuIndex=3&amp;refID=7057811&amp;Result=3","7057811")</f>
        <v>0</v>
      </c>
      <c r="B8847" t="s">
        <v>225</v>
      </c>
      <c r="C8847" t="s">
        <v>11925</v>
      </c>
      <c r="D8847" t="s">
        <v>18784</v>
      </c>
      <c r="E8847" t="s">
        <v>26587</v>
      </c>
      <c r="F8847" t="s">
        <v>32664</v>
      </c>
      <c r="G8847" t="s">
        <v>32672</v>
      </c>
      <c r="H8847" t="s">
        <v>32683</v>
      </c>
      <c r="I8847" t="s">
        <v>10627</v>
      </c>
      <c r="J8847" t="s">
        <v>38183</v>
      </c>
      <c r="K8847" t="s">
        <v>42301</v>
      </c>
      <c r="M8847" t="s">
        <v>43870</v>
      </c>
      <c r="N8847" t="s">
        <v>46569</v>
      </c>
      <c r="O8847" t="s">
        <v>46570</v>
      </c>
      <c r="P8847">
        <v>0</v>
      </c>
      <c r="Q8847">
        <v>34</v>
      </c>
      <c r="R8847" t="s">
        <v>46576</v>
      </c>
      <c r="S8847" t="s">
        <v>46749</v>
      </c>
      <c r="T8847" t="s">
        <v>48218</v>
      </c>
      <c r="U8847" t="s">
        <v>51407</v>
      </c>
      <c r="V8847" t="s">
        <v>62534</v>
      </c>
      <c r="W8847" t="s">
        <v>43870</v>
      </c>
      <c r="X8847" t="s">
        <v>46577</v>
      </c>
    </row>
    <row r="8848" spans="1:24">
      <c r="A8848">
        <f>HYPERLINK("https://www.philgeps.gov.ph/GEPSNONPILOT/Tender/SplashBidNoticeAbstractUI.aspx?menuIndex=3&amp;refID=7057758&amp;Result=3","7057758")</f>
        <v>0</v>
      </c>
      <c r="B8848" t="s">
        <v>318</v>
      </c>
      <c r="C8848" t="s">
        <v>11926</v>
      </c>
      <c r="D8848" t="s">
        <v>18842</v>
      </c>
      <c r="E8848" t="s">
        <v>26588</v>
      </c>
      <c r="F8848" t="s">
        <v>32664</v>
      </c>
      <c r="G8848" t="s">
        <v>32671</v>
      </c>
      <c r="H8848" t="s">
        <v>12635</v>
      </c>
      <c r="I8848" t="s">
        <v>6628</v>
      </c>
      <c r="J8848" t="s">
        <v>33893</v>
      </c>
      <c r="K8848" t="s">
        <v>42297</v>
      </c>
      <c r="M8848" t="s">
        <v>42886</v>
      </c>
      <c r="N8848" t="s">
        <v>46569</v>
      </c>
      <c r="O8848" t="s">
        <v>46570</v>
      </c>
      <c r="P8848">
        <v>0</v>
      </c>
      <c r="Q8848">
        <v>0</v>
      </c>
      <c r="R8848" t="s">
        <v>46576</v>
      </c>
      <c r="S8848" t="s">
        <v>46749</v>
      </c>
      <c r="T8848" t="s">
        <v>48562</v>
      </c>
      <c r="U8848" t="s">
        <v>55944</v>
      </c>
      <c r="W8848" t="s">
        <v>42886</v>
      </c>
      <c r="X8848" t="s">
        <v>46577</v>
      </c>
    </row>
    <row r="8849" spans="1:24">
      <c r="A8849">
        <f>HYPERLINK("https://www.philgeps.gov.ph/GEPSNONPILOT/Tender/SplashBidNoticeAbstractUI.aspx?menuIndex=3&amp;refID=7057835&amp;Result=3","7057835")</f>
        <v>0</v>
      </c>
      <c r="B8849" t="s">
        <v>2565</v>
      </c>
      <c r="C8849" t="s">
        <v>11927</v>
      </c>
      <c r="D8849" t="s">
        <v>18781</v>
      </c>
      <c r="E8849" t="s">
        <v>18889</v>
      </c>
      <c r="F8849" t="s">
        <v>32664</v>
      </c>
      <c r="G8849" t="s">
        <v>32672</v>
      </c>
      <c r="H8849" t="s">
        <v>12635</v>
      </c>
      <c r="I8849" t="s">
        <v>14442</v>
      </c>
      <c r="J8849" t="s">
        <v>38184</v>
      </c>
      <c r="K8849" t="s">
        <v>42309</v>
      </c>
      <c r="L8849" t="s">
        <v>2565</v>
      </c>
      <c r="M8849" t="s">
        <v>45376</v>
      </c>
      <c r="N8849" t="s">
        <v>46569</v>
      </c>
      <c r="O8849" t="s">
        <v>46570</v>
      </c>
      <c r="P8849">
        <v>0</v>
      </c>
      <c r="Q8849">
        <v>1</v>
      </c>
      <c r="R8849" t="s">
        <v>46576</v>
      </c>
      <c r="S8849" t="s">
        <v>46749</v>
      </c>
      <c r="T8849" t="s">
        <v>48246</v>
      </c>
      <c r="U8849" t="s">
        <v>55945</v>
      </c>
      <c r="W8849" t="s">
        <v>45376</v>
      </c>
      <c r="X8849" t="s">
        <v>46577</v>
      </c>
    </row>
    <row r="8850" spans="1:24">
      <c r="A8850">
        <f>HYPERLINK("https://www.philgeps.gov.ph/GEPSNONPILOT/Tender/SplashBidNoticeAbstractUI.aspx?menuIndex=3&amp;refID=7057797&amp;Result=3","7057797")</f>
        <v>0</v>
      </c>
      <c r="B8850" t="s">
        <v>2558</v>
      </c>
      <c r="C8850" t="s">
        <v>11928</v>
      </c>
      <c r="D8850" t="s">
        <v>18828</v>
      </c>
      <c r="E8850" t="s">
        <v>26589</v>
      </c>
      <c r="F8850" t="s">
        <v>32664</v>
      </c>
      <c r="G8850" t="s">
        <v>32672</v>
      </c>
      <c r="H8850" t="s">
        <v>32683</v>
      </c>
      <c r="I8850" t="s">
        <v>10627</v>
      </c>
      <c r="J8850" t="s">
        <v>33969</v>
      </c>
      <c r="K8850" t="s">
        <v>42327</v>
      </c>
      <c r="M8850" t="s">
        <v>45369</v>
      </c>
      <c r="N8850" t="s">
        <v>46569</v>
      </c>
      <c r="O8850" t="s">
        <v>46570</v>
      </c>
      <c r="P8850">
        <v>0</v>
      </c>
      <c r="Q8850">
        <v>0</v>
      </c>
      <c r="R8850" t="s">
        <v>46576</v>
      </c>
      <c r="S8850" t="s">
        <v>46749</v>
      </c>
      <c r="T8850" t="s">
        <v>48274</v>
      </c>
      <c r="U8850" t="s">
        <v>55946</v>
      </c>
      <c r="W8850" t="s">
        <v>45369</v>
      </c>
      <c r="X8850" t="s">
        <v>46577</v>
      </c>
    </row>
    <row r="8851" spans="1:24">
      <c r="A8851">
        <f>HYPERLINK("https://www.philgeps.gov.ph/GEPSNONPILOT/Tender/SplashBidNoticeAbstractUI.aspx?menuIndex=3&amp;refID=7057793&amp;Result=3","7057793")</f>
        <v>0</v>
      </c>
      <c r="B8851" t="s">
        <v>310</v>
      </c>
      <c r="C8851" t="s">
        <v>11929</v>
      </c>
      <c r="D8851" t="s">
        <v>18789</v>
      </c>
      <c r="E8851" t="s">
        <v>23397</v>
      </c>
      <c r="F8851" t="s">
        <v>32664</v>
      </c>
      <c r="G8851" t="s">
        <v>32671</v>
      </c>
      <c r="H8851" t="s">
        <v>12635</v>
      </c>
      <c r="I8851" t="s">
        <v>7429</v>
      </c>
      <c r="J8851" t="s">
        <v>38185</v>
      </c>
      <c r="K8851" t="s">
        <v>42289</v>
      </c>
      <c r="M8851" t="s">
        <v>42877</v>
      </c>
      <c r="N8851" t="s">
        <v>46569</v>
      </c>
      <c r="O8851" t="s">
        <v>46570</v>
      </c>
      <c r="P8851">
        <v>0</v>
      </c>
      <c r="Q8851">
        <v>0</v>
      </c>
      <c r="R8851" t="s">
        <v>46576</v>
      </c>
      <c r="S8851" t="s">
        <v>46749</v>
      </c>
      <c r="T8851" t="s">
        <v>48290</v>
      </c>
      <c r="U8851" t="s">
        <v>55947</v>
      </c>
      <c r="V8851" t="s">
        <v>62535</v>
      </c>
      <c r="W8851" t="s">
        <v>42877</v>
      </c>
      <c r="X8851" t="s">
        <v>46577</v>
      </c>
    </row>
    <row r="8852" spans="1:24">
      <c r="A8852">
        <f>HYPERLINK("https://www.philgeps.gov.ph/GEPSNONPILOT/Tender/SplashBidNoticeAbstractUI.aspx?menuIndex=3&amp;refID=7057808&amp;Result=3","7057808")</f>
        <v>0</v>
      </c>
      <c r="B8852" t="s">
        <v>225</v>
      </c>
      <c r="C8852" t="s">
        <v>11930</v>
      </c>
      <c r="D8852" t="s">
        <v>18784</v>
      </c>
      <c r="E8852" t="s">
        <v>26590</v>
      </c>
      <c r="F8852" t="s">
        <v>32664</v>
      </c>
      <c r="G8852" t="s">
        <v>32672</v>
      </c>
      <c r="H8852" t="s">
        <v>32683</v>
      </c>
      <c r="I8852" t="s">
        <v>10627</v>
      </c>
      <c r="J8852" t="s">
        <v>38186</v>
      </c>
      <c r="K8852" t="s">
        <v>42450</v>
      </c>
      <c r="M8852" t="s">
        <v>43870</v>
      </c>
      <c r="N8852" t="s">
        <v>46569</v>
      </c>
      <c r="O8852" t="s">
        <v>46570</v>
      </c>
      <c r="P8852">
        <v>0</v>
      </c>
      <c r="Q8852">
        <v>35</v>
      </c>
      <c r="R8852" t="s">
        <v>46576</v>
      </c>
      <c r="S8852" t="s">
        <v>46749</v>
      </c>
      <c r="T8852" t="s">
        <v>48218</v>
      </c>
      <c r="U8852" t="s">
        <v>51407</v>
      </c>
      <c r="V8852" t="s">
        <v>62536</v>
      </c>
      <c r="W8852" t="s">
        <v>43870</v>
      </c>
      <c r="X8852" t="s">
        <v>46577</v>
      </c>
    </row>
    <row r="8853" spans="1:24">
      <c r="A8853">
        <f>HYPERLINK("https://www.philgeps.gov.ph/GEPSNONPILOT/Tender/SplashBidNoticeAbstractUI.aspx?menuIndex=3&amp;refID=7057791&amp;Result=3","7057791")</f>
        <v>0</v>
      </c>
      <c r="B8853" t="s">
        <v>2562</v>
      </c>
      <c r="C8853" t="s">
        <v>11931</v>
      </c>
      <c r="D8853" t="s">
        <v>18826</v>
      </c>
      <c r="E8853" t="s">
        <v>26591</v>
      </c>
      <c r="F8853" t="s">
        <v>32665</v>
      </c>
      <c r="G8853" t="s">
        <v>32671</v>
      </c>
      <c r="H8853" t="s">
        <v>12635</v>
      </c>
      <c r="I8853" t="s">
        <v>5589</v>
      </c>
      <c r="J8853" t="s">
        <v>34073</v>
      </c>
      <c r="K8853" t="s">
        <v>42309</v>
      </c>
      <c r="M8853" t="s">
        <v>45373</v>
      </c>
      <c r="N8853" t="s">
        <v>46569</v>
      </c>
      <c r="O8853" t="s">
        <v>46570</v>
      </c>
      <c r="P8853">
        <v>0</v>
      </c>
      <c r="Q8853">
        <v>3</v>
      </c>
      <c r="R8853" t="s">
        <v>46576</v>
      </c>
      <c r="S8853" t="s">
        <v>46749</v>
      </c>
      <c r="T8853" t="s">
        <v>48244</v>
      </c>
      <c r="U8853" t="s">
        <v>55948</v>
      </c>
      <c r="W8853" t="s">
        <v>45373</v>
      </c>
      <c r="X8853" t="s">
        <v>46577</v>
      </c>
    </row>
    <row r="8854" spans="1:24">
      <c r="A8854">
        <f>HYPERLINK("https://www.philgeps.gov.ph/GEPSNONPILOT/Tender/SplashBidNoticeAbstractUI.aspx?menuIndex=3&amp;refID=7057777&amp;Result=3","7057777")</f>
        <v>0</v>
      </c>
      <c r="B8854" t="s">
        <v>1847</v>
      </c>
      <c r="C8854" t="s">
        <v>11932</v>
      </c>
      <c r="D8854" t="s">
        <v>18837</v>
      </c>
      <c r="E8854" t="s">
        <v>26592</v>
      </c>
      <c r="F8854" t="s">
        <v>32664</v>
      </c>
      <c r="G8854" t="s">
        <v>32671</v>
      </c>
      <c r="H8854" t="s">
        <v>12635</v>
      </c>
      <c r="I8854" t="s">
        <v>5501</v>
      </c>
      <c r="J8854" t="s">
        <v>33683</v>
      </c>
      <c r="K8854" t="s">
        <v>42281</v>
      </c>
      <c r="M8854" t="s">
        <v>44556</v>
      </c>
      <c r="N8854" t="s">
        <v>46569</v>
      </c>
      <c r="O8854" t="s">
        <v>46570</v>
      </c>
      <c r="P8854">
        <v>0</v>
      </c>
      <c r="Q8854">
        <v>2</v>
      </c>
      <c r="R8854" t="s">
        <v>46576</v>
      </c>
      <c r="S8854" t="s">
        <v>46749</v>
      </c>
      <c r="T8854" t="s">
        <v>48448</v>
      </c>
      <c r="U8854" t="s">
        <v>55949</v>
      </c>
      <c r="W8854" t="s">
        <v>44556</v>
      </c>
      <c r="X8854" t="s">
        <v>46577</v>
      </c>
    </row>
    <row r="8855" spans="1:24">
      <c r="A8855">
        <f>HYPERLINK("https://www.philgeps.gov.ph/GEPSNONPILOT/Tender/SplashBidNoticeAbstractUI.aspx?menuIndex=3&amp;refID=7057802&amp;Result=3","7057802")</f>
        <v>0</v>
      </c>
      <c r="B8855" t="s">
        <v>225</v>
      </c>
      <c r="C8855" t="s">
        <v>11933</v>
      </c>
      <c r="D8855" t="s">
        <v>18784</v>
      </c>
      <c r="E8855" t="s">
        <v>26593</v>
      </c>
      <c r="F8855" t="s">
        <v>32664</v>
      </c>
      <c r="G8855" t="s">
        <v>32672</v>
      </c>
      <c r="H8855" t="s">
        <v>32683</v>
      </c>
      <c r="I8855" t="s">
        <v>10627</v>
      </c>
      <c r="J8855" t="s">
        <v>38187</v>
      </c>
      <c r="K8855" t="s">
        <v>42301</v>
      </c>
      <c r="M8855" t="s">
        <v>43870</v>
      </c>
      <c r="N8855" t="s">
        <v>46569</v>
      </c>
      <c r="O8855" t="s">
        <v>46570</v>
      </c>
      <c r="P8855">
        <v>0</v>
      </c>
      <c r="Q8855">
        <v>36</v>
      </c>
      <c r="R8855" t="s">
        <v>46576</v>
      </c>
      <c r="S8855" t="s">
        <v>46749</v>
      </c>
      <c r="T8855" t="s">
        <v>48218</v>
      </c>
      <c r="U8855" t="s">
        <v>51407</v>
      </c>
      <c r="V8855" t="s">
        <v>62537</v>
      </c>
      <c r="W8855" t="s">
        <v>43870</v>
      </c>
      <c r="X8855" t="s">
        <v>46577</v>
      </c>
    </row>
    <row r="8856" spans="1:24">
      <c r="A8856">
        <f>HYPERLINK("https://www.philgeps.gov.ph/GEPSNONPILOT/Tender/SplashBidNoticeAbstractUI.aspx?menuIndex=3&amp;refID=7057846&amp;Result=3","7057846")</f>
        <v>0</v>
      </c>
      <c r="B8856" t="s">
        <v>2566</v>
      </c>
      <c r="C8856" t="s">
        <v>11934</v>
      </c>
      <c r="D8856" t="s">
        <v>18823</v>
      </c>
      <c r="E8856" t="s">
        <v>26594</v>
      </c>
      <c r="F8856" t="s">
        <v>32664</v>
      </c>
      <c r="G8856" t="s">
        <v>32671</v>
      </c>
      <c r="H8856" t="s">
        <v>12635</v>
      </c>
      <c r="I8856" t="s">
        <v>4205</v>
      </c>
      <c r="J8856" t="s">
        <v>38188</v>
      </c>
      <c r="K8856" t="s">
        <v>42297</v>
      </c>
      <c r="M8856" t="s">
        <v>45377</v>
      </c>
      <c r="N8856" t="s">
        <v>46569</v>
      </c>
      <c r="O8856" t="s">
        <v>46570</v>
      </c>
      <c r="P8856">
        <v>0</v>
      </c>
      <c r="Q8856">
        <v>3</v>
      </c>
      <c r="R8856" t="s">
        <v>46576</v>
      </c>
      <c r="S8856" t="s">
        <v>46749</v>
      </c>
      <c r="T8856" t="s">
        <v>48287</v>
      </c>
      <c r="U8856" t="s">
        <v>55950</v>
      </c>
      <c r="W8856" t="s">
        <v>45377</v>
      </c>
      <c r="X8856" t="s">
        <v>46577</v>
      </c>
    </row>
    <row r="8857" spans="1:24">
      <c r="A8857">
        <f>HYPERLINK("https://www.philgeps.gov.ph/GEPSNONPILOT/Tender/SplashBidNoticeAbstractUI.aspx?menuIndex=3&amp;refID=7057799&amp;Result=3","7057799")</f>
        <v>0</v>
      </c>
      <c r="B8857" t="s">
        <v>2558</v>
      </c>
      <c r="C8857" t="s">
        <v>11935</v>
      </c>
      <c r="D8857" t="s">
        <v>18846</v>
      </c>
      <c r="E8857" t="s">
        <v>26595</v>
      </c>
      <c r="F8857" t="s">
        <v>32664</v>
      </c>
      <c r="G8857" t="s">
        <v>32672</v>
      </c>
      <c r="H8857" t="s">
        <v>32683</v>
      </c>
      <c r="I8857" t="s">
        <v>10627</v>
      </c>
      <c r="J8857" t="s">
        <v>33969</v>
      </c>
      <c r="K8857" t="s">
        <v>42327</v>
      </c>
      <c r="M8857" t="s">
        <v>45369</v>
      </c>
      <c r="N8857" t="s">
        <v>46569</v>
      </c>
      <c r="O8857" t="s">
        <v>46570</v>
      </c>
      <c r="P8857">
        <v>0</v>
      </c>
      <c r="Q8857">
        <v>1</v>
      </c>
      <c r="R8857" t="s">
        <v>46576</v>
      </c>
      <c r="S8857" t="s">
        <v>46749</v>
      </c>
      <c r="T8857" t="s">
        <v>48274</v>
      </c>
      <c r="U8857" t="s">
        <v>55951</v>
      </c>
      <c r="W8857" t="s">
        <v>45369</v>
      </c>
      <c r="X8857" t="s">
        <v>46577</v>
      </c>
    </row>
    <row r="8858" spans="1:24">
      <c r="A8858">
        <f>HYPERLINK("https://www.philgeps.gov.ph/GEPSNONPILOT/Tender/SplashBidNoticeAbstractUI.aspx?menuIndex=3&amp;refID=7057845&amp;Result=3","7057845")</f>
        <v>0</v>
      </c>
      <c r="B8858" t="s">
        <v>873</v>
      </c>
      <c r="C8858" t="s">
        <v>11936</v>
      </c>
      <c r="D8858" t="s">
        <v>18798</v>
      </c>
      <c r="E8858" t="s">
        <v>26596</v>
      </c>
      <c r="F8858" t="s">
        <v>32664</v>
      </c>
      <c r="G8858" t="s">
        <v>32674</v>
      </c>
      <c r="H8858" t="s">
        <v>12635</v>
      </c>
      <c r="I8858" t="s">
        <v>8797</v>
      </c>
      <c r="J8858" t="s">
        <v>38189</v>
      </c>
      <c r="K8858" t="s">
        <v>42284</v>
      </c>
      <c r="M8858" t="s">
        <v>43473</v>
      </c>
      <c r="N8858" t="s">
        <v>46569</v>
      </c>
      <c r="O8858" t="s">
        <v>46570</v>
      </c>
      <c r="P8858">
        <v>0</v>
      </c>
      <c r="Q8858">
        <v>11</v>
      </c>
      <c r="R8858" t="s">
        <v>46576</v>
      </c>
      <c r="S8858" t="s">
        <v>46749</v>
      </c>
      <c r="T8858" t="s">
        <v>48473</v>
      </c>
      <c r="U8858" t="s">
        <v>55952</v>
      </c>
      <c r="W8858" t="s">
        <v>43473</v>
      </c>
      <c r="X8858" t="s">
        <v>46577</v>
      </c>
    </row>
    <row r="8859" spans="1:24">
      <c r="A8859">
        <f>HYPERLINK("https://www.philgeps.gov.ph/GEPSNONPILOT/Tender/SplashBidNoticeAbstractUI.aspx?menuIndex=3&amp;refID=7057892&amp;Result=3","7057892")</f>
        <v>0</v>
      </c>
      <c r="B8859" t="s">
        <v>1154</v>
      </c>
      <c r="C8859" t="s">
        <v>11937</v>
      </c>
      <c r="D8859" t="s">
        <v>18826</v>
      </c>
      <c r="E8859" t="s">
        <v>26597</v>
      </c>
      <c r="F8859" t="s">
        <v>32664</v>
      </c>
      <c r="G8859" t="s">
        <v>32677</v>
      </c>
      <c r="H8859" t="s">
        <v>12635</v>
      </c>
      <c r="I8859" t="s">
        <v>32699</v>
      </c>
      <c r="J8859" t="s">
        <v>38190</v>
      </c>
      <c r="K8859" t="s">
        <v>42281</v>
      </c>
      <c r="M8859" t="s">
        <v>43785</v>
      </c>
      <c r="N8859" t="s">
        <v>46569</v>
      </c>
      <c r="O8859" t="s">
        <v>46570</v>
      </c>
      <c r="P8859">
        <v>0</v>
      </c>
      <c r="Q8859">
        <v>3</v>
      </c>
      <c r="R8859" t="s">
        <v>46576</v>
      </c>
      <c r="S8859" t="s">
        <v>46749</v>
      </c>
      <c r="T8859" t="s">
        <v>48301</v>
      </c>
      <c r="U8859" t="s">
        <v>55953</v>
      </c>
      <c r="W8859" t="s">
        <v>43785</v>
      </c>
      <c r="X8859" t="s">
        <v>46577</v>
      </c>
    </row>
    <row r="8860" spans="1:24">
      <c r="A8860">
        <f>HYPERLINK("https://www.philgeps.gov.ph/GEPSNONPILOT/Tender/SplashBidNoticeAbstractUI.aspx?menuIndex=3&amp;refID=7057891&amp;Result=3","7057891")</f>
        <v>0</v>
      </c>
      <c r="B8860" t="s">
        <v>2567</v>
      </c>
      <c r="C8860" t="s">
        <v>11938</v>
      </c>
      <c r="D8860" t="s">
        <v>18784</v>
      </c>
      <c r="E8860" t="s">
        <v>26598</v>
      </c>
      <c r="F8860" t="s">
        <v>32664</v>
      </c>
      <c r="G8860" t="s">
        <v>32672</v>
      </c>
      <c r="H8860" t="s">
        <v>32683</v>
      </c>
      <c r="I8860" t="s">
        <v>10627</v>
      </c>
      <c r="J8860" t="s">
        <v>38191</v>
      </c>
      <c r="K8860" t="s">
        <v>42301</v>
      </c>
      <c r="M8860" t="s">
        <v>45378</v>
      </c>
      <c r="N8860" t="s">
        <v>46569</v>
      </c>
      <c r="O8860" t="s">
        <v>46570</v>
      </c>
      <c r="Q8860">
        <v>10</v>
      </c>
      <c r="R8860" t="s">
        <v>46576</v>
      </c>
      <c r="S8860" t="s">
        <v>46804</v>
      </c>
      <c r="T8860" t="s">
        <v>48213</v>
      </c>
      <c r="U8860" t="s">
        <v>55954</v>
      </c>
      <c r="W8860" t="s">
        <v>45378</v>
      </c>
      <c r="X8860" t="s">
        <v>46577</v>
      </c>
    </row>
    <row r="8861" spans="1:24">
      <c r="A8861">
        <f>HYPERLINK("https://www.philgeps.gov.ph/GEPSNONPILOT/Tender/SplashBidNoticeAbstractUI.aspx?menuIndex=3&amp;refID=7057731&amp;Result=3","7057731")</f>
        <v>0</v>
      </c>
      <c r="B8861" t="s">
        <v>256</v>
      </c>
      <c r="C8861" t="s">
        <v>11939</v>
      </c>
      <c r="D8861" t="s">
        <v>18822</v>
      </c>
      <c r="E8861" t="s">
        <v>26599</v>
      </c>
      <c r="F8861" t="s">
        <v>32664</v>
      </c>
      <c r="G8861" t="s">
        <v>32671</v>
      </c>
      <c r="H8861" t="s">
        <v>12635</v>
      </c>
      <c r="I8861" t="s">
        <v>32731</v>
      </c>
      <c r="J8861" t="s">
        <v>33138</v>
      </c>
      <c r="K8861" t="s">
        <v>42334</v>
      </c>
      <c r="M8861" t="s">
        <v>42821</v>
      </c>
      <c r="N8861" t="s">
        <v>46569</v>
      </c>
      <c r="O8861" t="s">
        <v>46570</v>
      </c>
      <c r="P8861">
        <v>0</v>
      </c>
      <c r="Q8861">
        <v>2</v>
      </c>
      <c r="R8861" t="s">
        <v>46576</v>
      </c>
      <c r="S8861" t="s">
        <v>46749</v>
      </c>
      <c r="T8861" t="s">
        <v>48287</v>
      </c>
      <c r="U8861" t="s">
        <v>55955</v>
      </c>
      <c r="V8861" t="s">
        <v>62538</v>
      </c>
      <c r="W8861" t="s">
        <v>42821</v>
      </c>
      <c r="X8861" t="s">
        <v>46577</v>
      </c>
    </row>
    <row r="8862" spans="1:24">
      <c r="A8862">
        <f>HYPERLINK("https://www.philgeps.gov.ph/GEPSNONPILOT/Tender/SplashBidNoticeAbstractUI.aspx?menuIndex=3&amp;refID=7057806&amp;Result=3","7057806")</f>
        <v>0</v>
      </c>
      <c r="B8862" t="s">
        <v>2558</v>
      </c>
      <c r="C8862" t="s">
        <v>11940</v>
      </c>
      <c r="D8862" t="s">
        <v>18846</v>
      </c>
      <c r="E8862" t="s">
        <v>26600</v>
      </c>
      <c r="F8862" t="s">
        <v>32664</v>
      </c>
      <c r="G8862" t="s">
        <v>32672</v>
      </c>
      <c r="H8862" t="s">
        <v>32683</v>
      </c>
      <c r="I8862" t="s">
        <v>10627</v>
      </c>
      <c r="J8862" t="s">
        <v>32943</v>
      </c>
      <c r="K8862" t="s">
        <v>42328</v>
      </c>
      <c r="M8862" t="s">
        <v>45369</v>
      </c>
      <c r="N8862" t="s">
        <v>46569</v>
      </c>
      <c r="O8862" t="s">
        <v>46570</v>
      </c>
      <c r="P8862">
        <v>0</v>
      </c>
      <c r="Q8862">
        <v>0</v>
      </c>
      <c r="R8862" t="s">
        <v>46576</v>
      </c>
      <c r="S8862" t="s">
        <v>46749</v>
      </c>
      <c r="T8862" t="s">
        <v>48274</v>
      </c>
      <c r="U8862" t="s">
        <v>55956</v>
      </c>
      <c r="W8862" t="s">
        <v>45369</v>
      </c>
      <c r="X8862" t="s">
        <v>46577</v>
      </c>
    </row>
    <row r="8863" spans="1:24">
      <c r="A8863">
        <f>HYPERLINK("https://www.philgeps.gov.ph/GEPSNONPILOT/Tender/SplashBidNoticeAbstractUI.aspx?menuIndex=3&amp;refID=7057844&amp;Result=3","7057844")</f>
        <v>0</v>
      </c>
      <c r="B8863" t="s">
        <v>1359</v>
      </c>
      <c r="C8863" t="s">
        <v>11941</v>
      </c>
      <c r="D8863" t="s">
        <v>18830</v>
      </c>
      <c r="E8863" t="s">
        <v>26601</v>
      </c>
      <c r="F8863" t="s">
        <v>32664</v>
      </c>
      <c r="G8863" t="s">
        <v>32671</v>
      </c>
      <c r="H8863" t="s">
        <v>12635</v>
      </c>
      <c r="I8863" t="s">
        <v>32704</v>
      </c>
      <c r="J8863" t="s">
        <v>32974</v>
      </c>
      <c r="K8863" t="s">
        <v>42281</v>
      </c>
      <c r="M8863" t="s">
        <v>45379</v>
      </c>
      <c r="N8863" t="s">
        <v>46569</v>
      </c>
      <c r="O8863" t="s">
        <v>46570</v>
      </c>
      <c r="P8863">
        <v>0</v>
      </c>
      <c r="Q8863">
        <v>22</v>
      </c>
      <c r="R8863" t="s">
        <v>46576</v>
      </c>
      <c r="S8863" t="s">
        <v>46749</v>
      </c>
      <c r="T8863" t="s">
        <v>48427</v>
      </c>
      <c r="U8863" t="s">
        <v>55957</v>
      </c>
      <c r="W8863" t="s">
        <v>63564</v>
      </c>
      <c r="X8863" t="s">
        <v>46577</v>
      </c>
    </row>
    <row r="8864" spans="1:24">
      <c r="A8864">
        <f>HYPERLINK("https://www.philgeps.gov.ph/GEPSNONPILOT/Tender/SplashBidNoticeAbstractUI.aspx?menuIndex=3&amp;refID=7057877&amp;Result=3","7057877")</f>
        <v>0</v>
      </c>
      <c r="B8864" t="s">
        <v>2495</v>
      </c>
      <c r="C8864" t="s">
        <v>11942</v>
      </c>
      <c r="D8864" t="s">
        <v>18827</v>
      </c>
      <c r="E8864" t="s">
        <v>26602</v>
      </c>
      <c r="F8864" t="s">
        <v>32664</v>
      </c>
      <c r="G8864" t="s">
        <v>32672</v>
      </c>
      <c r="H8864" t="s">
        <v>12635</v>
      </c>
      <c r="I8864" t="s">
        <v>32716</v>
      </c>
      <c r="J8864" t="s">
        <v>38192</v>
      </c>
      <c r="K8864" t="s">
        <v>42297</v>
      </c>
      <c r="M8864" t="s">
        <v>45297</v>
      </c>
      <c r="N8864" t="s">
        <v>46569</v>
      </c>
      <c r="O8864" t="s">
        <v>46570</v>
      </c>
      <c r="P8864">
        <v>0</v>
      </c>
      <c r="Q8864">
        <v>3</v>
      </c>
      <c r="R8864" t="s">
        <v>46576</v>
      </c>
      <c r="S8864" t="s">
        <v>46749</v>
      </c>
      <c r="T8864" t="s">
        <v>48219</v>
      </c>
      <c r="U8864" t="s">
        <v>55958</v>
      </c>
      <c r="W8864" t="s">
        <v>45297</v>
      </c>
      <c r="X8864" t="s">
        <v>46577</v>
      </c>
    </row>
    <row r="8865" spans="1:24">
      <c r="A8865">
        <f>HYPERLINK("https://www.philgeps.gov.ph/GEPSNONPILOT/Tender/SplashBidNoticeAbstractUI.aspx?menuIndex=3&amp;refID=7057889&amp;Result=3","7057889")</f>
        <v>0</v>
      </c>
      <c r="B8865" t="s">
        <v>2568</v>
      </c>
      <c r="C8865" t="s">
        <v>11943</v>
      </c>
      <c r="D8865" t="s">
        <v>18845</v>
      </c>
      <c r="E8865" t="s">
        <v>22982</v>
      </c>
      <c r="F8865" t="s">
        <v>32664</v>
      </c>
      <c r="G8865" t="s">
        <v>32672</v>
      </c>
      <c r="H8865" t="s">
        <v>12635</v>
      </c>
      <c r="I8865" t="s">
        <v>8849</v>
      </c>
      <c r="J8865" t="s">
        <v>38193</v>
      </c>
      <c r="K8865" t="s">
        <v>42290</v>
      </c>
      <c r="M8865" t="s">
        <v>45380</v>
      </c>
      <c r="N8865" t="s">
        <v>46569</v>
      </c>
      <c r="O8865" t="s">
        <v>46570</v>
      </c>
      <c r="P8865">
        <v>0</v>
      </c>
      <c r="Q8865">
        <v>1</v>
      </c>
      <c r="R8865" t="s">
        <v>46576</v>
      </c>
      <c r="S8865" t="s">
        <v>46749</v>
      </c>
      <c r="T8865" t="s">
        <v>48221</v>
      </c>
      <c r="U8865" t="s">
        <v>55959</v>
      </c>
      <c r="W8865" t="s">
        <v>45380</v>
      </c>
      <c r="X8865" t="s">
        <v>46577</v>
      </c>
    </row>
    <row r="8866" spans="1:24">
      <c r="A8866">
        <f>HYPERLINK("https://www.philgeps.gov.ph/GEPSNONPILOT/Tender/SplashBidNoticeAbstractUI.aspx?menuIndex=3&amp;refID=7057875&amp;Result=3","7057875")</f>
        <v>0</v>
      </c>
      <c r="B8866" t="s">
        <v>1543</v>
      </c>
      <c r="C8866" t="s">
        <v>11944</v>
      </c>
      <c r="D8866" t="s">
        <v>18784</v>
      </c>
      <c r="E8866" t="s">
        <v>26603</v>
      </c>
      <c r="F8866" t="s">
        <v>32664</v>
      </c>
      <c r="G8866" t="s">
        <v>32671</v>
      </c>
      <c r="H8866" t="s">
        <v>12635</v>
      </c>
      <c r="I8866" t="s">
        <v>32727</v>
      </c>
      <c r="J8866" t="s">
        <v>38194</v>
      </c>
      <c r="K8866" t="s">
        <v>42281</v>
      </c>
      <c r="M8866" t="s">
        <v>44212</v>
      </c>
      <c r="N8866" t="s">
        <v>46569</v>
      </c>
      <c r="O8866" t="s">
        <v>46570</v>
      </c>
      <c r="P8866">
        <v>0</v>
      </c>
      <c r="Q8866">
        <v>4</v>
      </c>
      <c r="R8866" t="s">
        <v>46576</v>
      </c>
      <c r="S8866" t="s">
        <v>46749</v>
      </c>
      <c r="T8866" t="s">
        <v>48316</v>
      </c>
      <c r="U8866" t="s">
        <v>55960</v>
      </c>
      <c r="V8866" t="s">
        <v>62058</v>
      </c>
      <c r="W8866" t="s">
        <v>44212</v>
      </c>
      <c r="X8866" t="s">
        <v>46577</v>
      </c>
    </row>
    <row r="8867" spans="1:24">
      <c r="A8867">
        <f>HYPERLINK("https://www.philgeps.gov.ph/GEPSNONPILOT/Tender/SplashBidNoticeAbstractUI.aspx?menuIndex=3&amp;refID=7057883&amp;Result=3","7057883")</f>
        <v>0</v>
      </c>
      <c r="B8867" t="s">
        <v>2569</v>
      </c>
      <c r="C8867" t="s">
        <v>11945</v>
      </c>
      <c r="D8867" t="s">
        <v>18806</v>
      </c>
      <c r="E8867" t="s">
        <v>26604</v>
      </c>
      <c r="F8867" t="s">
        <v>32664</v>
      </c>
      <c r="G8867" t="s">
        <v>32672</v>
      </c>
      <c r="H8867" t="s">
        <v>32683</v>
      </c>
      <c r="I8867" t="s">
        <v>10627</v>
      </c>
      <c r="J8867" t="s">
        <v>38195</v>
      </c>
      <c r="K8867" t="s">
        <v>42411</v>
      </c>
      <c r="M8867" t="s">
        <v>45381</v>
      </c>
      <c r="N8867" t="s">
        <v>46569</v>
      </c>
      <c r="O8867" t="s">
        <v>46570</v>
      </c>
      <c r="P8867">
        <v>0</v>
      </c>
      <c r="Q8867">
        <v>0</v>
      </c>
      <c r="R8867" t="s">
        <v>46576</v>
      </c>
      <c r="S8867" t="s">
        <v>46749</v>
      </c>
      <c r="T8867" t="s">
        <v>48213</v>
      </c>
      <c r="U8867" t="s">
        <v>55961</v>
      </c>
      <c r="V8867" t="s">
        <v>62539</v>
      </c>
      <c r="W8867" t="s">
        <v>45381</v>
      </c>
      <c r="X8867" t="s">
        <v>46577</v>
      </c>
    </row>
    <row r="8868" spans="1:24">
      <c r="A8868">
        <f>HYPERLINK("https://www.philgeps.gov.ph/GEPSNONPILOT/Tender/SplashBidNoticeAbstractUI.aspx?menuIndex=3&amp;refID=7057878&amp;Result=3","7057878")</f>
        <v>0</v>
      </c>
      <c r="B8868" t="s">
        <v>1734</v>
      </c>
      <c r="C8868" t="s">
        <v>11946</v>
      </c>
      <c r="D8868" t="s">
        <v>18789</v>
      </c>
      <c r="E8868" t="s">
        <v>26605</v>
      </c>
      <c r="F8868" t="s">
        <v>32664</v>
      </c>
      <c r="G8868" t="s">
        <v>32671</v>
      </c>
      <c r="H8868" t="s">
        <v>12635</v>
      </c>
      <c r="I8868" t="s">
        <v>32701</v>
      </c>
      <c r="J8868" t="s">
        <v>36483</v>
      </c>
      <c r="K8868" t="s">
        <v>42289</v>
      </c>
      <c r="M8868" t="s">
        <v>44433</v>
      </c>
      <c r="N8868" t="s">
        <v>46569</v>
      </c>
      <c r="O8868" t="s">
        <v>46570</v>
      </c>
      <c r="P8868">
        <v>0</v>
      </c>
      <c r="Q8868">
        <v>0</v>
      </c>
      <c r="R8868" t="s">
        <v>46576</v>
      </c>
      <c r="S8868" t="s">
        <v>46749</v>
      </c>
      <c r="T8868" t="s">
        <v>48316</v>
      </c>
      <c r="U8868" t="s">
        <v>55962</v>
      </c>
      <c r="W8868" t="s">
        <v>44433</v>
      </c>
      <c r="X8868" t="s">
        <v>46577</v>
      </c>
    </row>
    <row r="8869" spans="1:24">
      <c r="A8869">
        <f>HYPERLINK("https://www.philgeps.gov.ph/GEPSNONPILOT/Tender/SplashBidNoticeAbstractUI.aspx?menuIndex=3&amp;refID=7057869&amp;Result=3","7057869")</f>
        <v>0</v>
      </c>
      <c r="B8869" t="s">
        <v>2569</v>
      </c>
      <c r="C8869" t="s">
        <v>11947</v>
      </c>
      <c r="D8869" t="s">
        <v>18806</v>
      </c>
      <c r="E8869" t="s">
        <v>26606</v>
      </c>
      <c r="F8869" t="s">
        <v>32664</v>
      </c>
      <c r="G8869" t="s">
        <v>32672</v>
      </c>
      <c r="H8869" t="s">
        <v>32683</v>
      </c>
      <c r="I8869" t="s">
        <v>10627</v>
      </c>
      <c r="J8869" t="s">
        <v>38195</v>
      </c>
      <c r="K8869" t="s">
        <v>42411</v>
      </c>
      <c r="M8869" t="s">
        <v>45381</v>
      </c>
      <c r="N8869" t="s">
        <v>46569</v>
      </c>
      <c r="O8869" t="s">
        <v>46570</v>
      </c>
      <c r="P8869">
        <v>0</v>
      </c>
      <c r="Q8869">
        <v>0</v>
      </c>
      <c r="R8869" t="s">
        <v>46576</v>
      </c>
      <c r="S8869" t="s">
        <v>46749</v>
      </c>
      <c r="T8869" t="s">
        <v>48213</v>
      </c>
      <c r="U8869" t="s">
        <v>55961</v>
      </c>
      <c r="V8869" t="s">
        <v>62540</v>
      </c>
      <c r="W8869" t="s">
        <v>45381</v>
      </c>
      <c r="X8869" t="s">
        <v>46577</v>
      </c>
    </row>
    <row r="8870" spans="1:24">
      <c r="A8870">
        <f>HYPERLINK("https://www.philgeps.gov.ph/GEPSNONPILOT/Tender/SplashBidNoticeAbstractUI.aspx?menuIndex=3&amp;refID=7057876&amp;Result=3","7057876")</f>
        <v>0</v>
      </c>
      <c r="B8870" t="s">
        <v>2569</v>
      </c>
      <c r="C8870" t="s">
        <v>11948</v>
      </c>
      <c r="D8870" t="s">
        <v>18806</v>
      </c>
      <c r="E8870" t="s">
        <v>26607</v>
      </c>
      <c r="F8870" t="s">
        <v>32664</v>
      </c>
      <c r="G8870" t="s">
        <v>32672</v>
      </c>
      <c r="H8870" t="s">
        <v>32683</v>
      </c>
      <c r="I8870" t="s">
        <v>10627</v>
      </c>
      <c r="J8870" t="s">
        <v>34482</v>
      </c>
      <c r="K8870" t="s">
        <v>42323</v>
      </c>
      <c r="M8870" t="s">
        <v>45381</v>
      </c>
      <c r="N8870" t="s">
        <v>46569</v>
      </c>
      <c r="O8870" t="s">
        <v>46570</v>
      </c>
      <c r="P8870">
        <v>0</v>
      </c>
      <c r="Q8870">
        <v>0</v>
      </c>
      <c r="R8870" t="s">
        <v>46576</v>
      </c>
      <c r="S8870" t="s">
        <v>46749</v>
      </c>
      <c r="T8870" t="s">
        <v>48213</v>
      </c>
      <c r="U8870" t="s">
        <v>55961</v>
      </c>
      <c r="V8870" t="s">
        <v>62541</v>
      </c>
      <c r="W8870" t="s">
        <v>45381</v>
      </c>
      <c r="X8870" t="s">
        <v>46577</v>
      </c>
    </row>
    <row r="8871" spans="1:24">
      <c r="A8871">
        <f>HYPERLINK("https://www.philgeps.gov.ph/GEPSNONPILOT/Tender/SplashBidNoticeAbstractUI.aspx?menuIndex=3&amp;refID=7057864&amp;Result=3","7057864")</f>
        <v>0</v>
      </c>
      <c r="B8871" t="s">
        <v>2569</v>
      </c>
      <c r="C8871" t="s">
        <v>11949</v>
      </c>
      <c r="D8871" t="s">
        <v>18806</v>
      </c>
      <c r="E8871" t="s">
        <v>26608</v>
      </c>
      <c r="F8871" t="s">
        <v>32664</v>
      </c>
      <c r="G8871" t="s">
        <v>32672</v>
      </c>
      <c r="H8871" t="s">
        <v>32683</v>
      </c>
      <c r="I8871" t="s">
        <v>10627</v>
      </c>
      <c r="J8871" t="s">
        <v>37270</v>
      </c>
      <c r="K8871" t="s">
        <v>42323</v>
      </c>
      <c r="M8871" t="s">
        <v>45381</v>
      </c>
      <c r="N8871" t="s">
        <v>46569</v>
      </c>
      <c r="O8871" t="s">
        <v>46570</v>
      </c>
      <c r="P8871">
        <v>0</v>
      </c>
      <c r="Q8871">
        <v>2</v>
      </c>
      <c r="R8871" t="s">
        <v>46576</v>
      </c>
      <c r="S8871" t="s">
        <v>46749</v>
      </c>
      <c r="T8871" t="s">
        <v>48213</v>
      </c>
      <c r="U8871" t="s">
        <v>55961</v>
      </c>
      <c r="V8871" t="s">
        <v>62542</v>
      </c>
      <c r="W8871" t="s">
        <v>45381</v>
      </c>
      <c r="X8871" t="s">
        <v>46577</v>
      </c>
    </row>
    <row r="8872" spans="1:24">
      <c r="A8872">
        <f>HYPERLINK("https://www.philgeps.gov.ph/GEPSNONPILOT/Tender/SplashBidNoticeAbstractUI.aspx?menuIndex=3&amp;refID=7057861&amp;Result=3","7057861")</f>
        <v>0</v>
      </c>
      <c r="B8872" t="s">
        <v>2567</v>
      </c>
      <c r="C8872" t="s">
        <v>11950</v>
      </c>
      <c r="D8872" t="s">
        <v>18784</v>
      </c>
      <c r="E8872" t="s">
        <v>26609</v>
      </c>
      <c r="F8872" t="s">
        <v>32664</v>
      </c>
      <c r="G8872" t="s">
        <v>32672</v>
      </c>
      <c r="H8872" t="s">
        <v>32683</v>
      </c>
      <c r="I8872" t="s">
        <v>10627</v>
      </c>
      <c r="J8872" t="s">
        <v>38196</v>
      </c>
      <c r="K8872" t="s">
        <v>42349</v>
      </c>
      <c r="M8872" t="s">
        <v>45378</v>
      </c>
      <c r="N8872" t="s">
        <v>46569</v>
      </c>
      <c r="O8872" t="s">
        <v>46570</v>
      </c>
      <c r="P8872">
        <v>0</v>
      </c>
      <c r="Q8872">
        <v>12</v>
      </c>
      <c r="R8872" t="s">
        <v>46576</v>
      </c>
      <c r="S8872" t="s">
        <v>46749</v>
      </c>
      <c r="T8872" t="s">
        <v>48213</v>
      </c>
      <c r="U8872" t="s">
        <v>55954</v>
      </c>
      <c r="W8872" t="s">
        <v>45378</v>
      </c>
      <c r="X8872" t="s">
        <v>46577</v>
      </c>
    </row>
    <row r="8873" spans="1:24">
      <c r="A8873">
        <f>HYPERLINK("https://www.philgeps.gov.ph/GEPSNONPILOT/Tender/SplashBidNoticeAbstractUI.aspx?menuIndex=3&amp;refID=7057859&amp;Result=3","7057859")</f>
        <v>0</v>
      </c>
      <c r="B8873" t="s">
        <v>2567</v>
      </c>
      <c r="C8873" t="s">
        <v>11951</v>
      </c>
      <c r="D8873" t="s">
        <v>18784</v>
      </c>
      <c r="E8873" t="s">
        <v>26610</v>
      </c>
      <c r="F8873" t="s">
        <v>32664</v>
      </c>
      <c r="G8873" t="s">
        <v>32672</v>
      </c>
      <c r="H8873" t="s">
        <v>32683</v>
      </c>
      <c r="I8873" t="s">
        <v>10627</v>
      </c>
      <c r="J8873" t="s">
        <v>38197</v>
      </c>
      <c r="K8873" t="s">
        <v>42285</v>
      </c>
      <c r="M8873" t="s">
        <v>45378</v>
      </c>
      <c r="N8873" t="s">
        <v>46569</v>
      </c>
      <c r="O8873" t="s">
        <v>46570</v>
      </c>
      <c r="P8873">
        <v>0</v>
      </c>
      <c r="Q8873">
        <v>17</v>
      </c>
      <c r="R8873" t="s">
        <v>46576</v>
      </c>
      <c r="S8873" t="s">
        <v>46749</v>
      </c>
      <c r="T8873" t="s">
        <v>48213</v>
      </c>
      <c r="U8873" t="s">
        <v>55954</v>
      </c>
      <c r="W8873" t="s">
        <v>45378</v>
      </c>
      <c r="X8873" t="s">
        <v>46577</v>
      </c>
    </row>
    <row r="8874" spans="1:24">
      <c r="A8874">
        <f>HYPERLINK("https://www.philgeps.gov.ph/GEPSNONPILOT/Tender/SplashBidNoticeAbstractUI.aspx?menuIndex=3&amp;refID=7057841&amp;Result=3","7057841")</f>
        <v>0</v>
      </c>
      <c r="B8874" t="s">
        <v>2564</v>
      </c>
      <c r="C8874" t="s">
        <v>11952</v>
      </c>
      <c r="D8874" t="s">
        <v>18820</v>
      </c>
      <c r="E8874" t="s">
        <v>26611</v>
      </c>
      <c r="F8874" t="s">
        <v>32664</v>
      </c>
      <c r="G8874" t="s">
        <v>32672</v>
      </c>
      <c r="H8874" t="s">
        <v>32683</v>
      </c>
      <c r="I8874" t="s">
        <v>10627</v>
      </c>
      <c r="J8874" t="s">
        <v>38198</v>
      </c>
      <c r="K8874" t="s">
        <v>42476</v>
      </c>
      <c r="M8874" t="s">
        <v>45375</v>
      </c>
      <c r="N8874" t="s">
        <v>46569</v>
      </c>
      <c r="O8874" t="s">
        <v>46570</v>
      </c>
      <c r="P8874">
        <v>0</v>
      </c>
      <c r="Q8874">
        <v>0</v>
      </c>
      <c r="R8874" t="s">
        <v>46576</v>
      </c>
      <c r="S8874" t="s">
        <v>46749</v>
      </c>
      <c r="T8874" t="s">
        <v>48273</v>
      </c>
      <c r="U8874" t="s">
        <v>55963</v>
      </c>
      <c r="W8874" t="s">
        <v>45375</v>
      </c>
      <c r="X8874" t="s">
        <v>46577</v>
      </c>
    </row>
    <row r="8875" spans="1:24">
      <c r="A8875">
        <f>HYPERLINK("https://www.philgeps.gov.ph/GEPSNONPILOT/Tender/SplashBidNoticeAbstractUI.aspx?menuIndex=3&amp;refID=7057842&amp;Result=3","7057842")</f>
        <v>0</v>
      </c>
      <c r="B8875" t="s">
        <v>2570</v>
      </c>
      <c r="C8875" t="s">
        <v>11953</v>
      </c>
      <c r="D8875" t="s">
        <v>18784</v>
      </c>
      <c r="E8875" t="s">
        <v>26612</v>
      </c>
      <c r="F8875" t="s">
        <v>32666</v>
      </c>
      <c r="G8875" t="s">
        <v>32672</v>
      </c>
      <c r="H8875" t="s">
        <v>12635</v>
      </c>
      <c r="I8875" t="s">
        <v>6223</v>
      </c>
      <c r="J8875" t="s">
        <v>38199</v>
      </c>
      <c r="K8875" t="s">
        <v>42284</v>
      </c>
      <c r="M8875" t="s">
        <v>45382</v>
      </c>
      <c r="N8875" t="s">
        <v>46569</v>
      </c>
      <c r="O8875" t="s">
        <v>46570</v>
      </c>
      <c r="P8875">
        <v>0</v>
      </c>
      <c r="Q8875">
        <v>0</v>
      </c>
      <c r="R8875" t="s">
        <v>46576</v>
      </c>
      <c r="S8875" t="s">
        <v>46749</v>
      </c>
      <c r="T8875" t="s">
        <v>48284</v>
      </c>
      <c r="U8875" t="s">
        <v>55964</v>
      </c>
      <c r="W8875" t="s">
        <v>45382</v>
      </c>
      <c r="X8875" t="s">
        <v>46577</v>
      </c>
    </row>
    <row r="8876" spans="1:24">
      <c r="A8876">
        <f>HYPERLINK("https://www.philgeps.gov.ph/GEPSNONPILOT/Tender/SplashBidNoticeAbstractUI.aspx?menuIndex=3&amp;refID=7057866&amp;Result=3","7057866")</f>
        <v>0</v>
      </c>
      <c r="B8876" t="s">
        <v>2569</v>
      </c>
      <c r="C8876" t="s">
        <v>11954</v>
      </c>
      <c r="D8876" t="s">
        <v>18806</v>
      </c>
      <c r="E8876" t="s">
        <v>26613</v>
      </c>
      <c r="F8876" t="s">
        <v>32664</v>
      </c>
      <c r="G8876" t="s">
        <v>32672</v>
      </c>
      <c r="H8876" t="s">
        <v>32683</v>
      </c>
      <c r="I8876" t="s">
        <v>10627</v>
      </c>
      <c r="J8876" t="s">
        <v>38200</v>
      </c>
      <c r="K8876" t="s">
        <v>42477</v>
      </c>
      <c r="M8876" t="s">
        <v>45381</v>
      </c>
      <c r="N8876" t="s">
        <v>46569</v>
      </c>
      <c r="O8876" t="s">
        <v>46570</v>
      </c>
      <c r="P8876">
        <v>0</v>
      </c>
      <c r="Q8876">
        <v>0</v>
      </c>
      <c r="R8876" t="s">
        <v>46576</v>
      </c>
      <c r="S8876" t="s">
        <v>46749</v>
      </c>
      <c r="T8876" t="s">
        <v>48213</v>
      </c>
      <c r="U8876" t="s">
        <v>55961</v>
      </c>
      <c r="V8876" t="s">
        <v>62543</v>
      </c>
      <c r="W8876" t="s">
        <v>45381</v>
      </c>
      <c r="X8876" t="s">
        <v>46577</v>
      </c>
    </row>
    <row r="8877" spans="1:24">
      <c r="A8877">
        <f>HYPERLINK("https://www.philgeps.gov.ph/GEPSNONPILOT/Tender/SplashBidNoticeAbstractUI.aspx?menuIndex=3&amp;refID=7057870&amp;Result=3","7057870")</f>
        <v>0</v>
      </c>
      <c r="B8877" t="s">
        <v>2571</v>
      </c>
      <c r="C8877" t="s">
        <v>11955</v>
      </c>
      <c r="D8877" t="s">
        <v>18799</v>
      </c>
      <c r="E8877" t="s">
        <v>21888</v>
      </c>
      <c r="F8877" t="s">
        <v>32664</v>
      </c>
      <c r="G8877" t="s">
        <v>32672</v>
      </c>
      <c r="H8877" t="s">
        <v>32682</v>
      </c>
      <c r="I8877" t="s">
        <v>32692</v>
      </c>
      <c r="J8877" t="s">
        <v>38201</v>
      </c>
      <c r="K8877" t="s">
        <v>42297</v>
      </c>
      <c r="M8877" t="s">
        <v>45383</v>
      </c>
      <c r="N8877" t="s">
        <v>46569</v>
      </c>
      <c r="O8877" t="s">
        <v>46570</v>
      </c>
      <c r="P8877">
        <v>0</v>
      </c>
      <c r="Q8877">
        <v>0</v>
      </c>
      <c r="R8877" t="s">
        <v>46576</v>
      </c>
      <c r="S8877" t="s">
        <v>46749</v>
      </c>
      <c r="T8877" t="s">
        <v>48305</v>
      </c>
      <c r="U8877" t="s">
        <v>55965</v>
      </c>
      <c r="V8877" t="s">
        <v>62544</v>
      </c>
      <c r="W8877" t="s">
        <v>45383</v>
      </c>
      <c r="X8877" t="s">
        <v>46577</v>
      </c>
    </row>
    <row r="8878" spans="1:24">
      <c r="A8878">
        <f>HYPERLINK("https://www.philgeps.gov.ph/GEPSNONPILOT/Tender/SplashBidNoticeAbstractUI.aspx?menuIndex=3&amp;refID=7057894&amp;Result=3","7057894")</f>
        <v>0</v>
      </c>
      <c r="B8878" t="s">
        <v>2572</v>
      </c>
      <c r="C8878" t="s">
        <v>6902</v>
      </c>
      <c r="D8878" t="s">
        <v>18831</v>
      </c>
      <c r="E8878" t="s">
        <v>26614</v>
      </c>
      <c r="F8878" t="s">
        <v>32664</v>
      </c>
      <c r="G8878" t="s">
        <v>32671</v>
      </c>
      <c r="H8878" t="s">
        <v>12635</v>
      </c>
      <c r="I8878" t="s">
        <v>32706</v>
      </c>
      <c r="J8878" t="s">
        <v>38202</v>
      </c>
      <c r="K8878" t="s">
        <v>42281</v>
      </c>
      <c r="M8878" t="s">
        <v>45384</v>
      </c>
      <c r="N8878" t="s">
        <v>46569</v>
      </c>
      <c r="O8878" t="s">
        <v>46570</v>
      </c>
      <c r="P8878">
        <v>0</v>
      </c>
      <c r="Q8878">
        <v>2</v>
      </c>
      <c r="R8878" t="s">
        <v>46576</v>
      </c>
      <c r="S8878" t="s">
        <v>46749</v>
      </c>
      <c r="T8878" t="s">
        <v>48221</v>
      </c>
      <c r="U8878" t="s">
        <v>55966</v>
      </c>
      <c r="W8878" t="s">
        <v>45384</v>
      </c>
      <c r="X8878" t="s">
        <v>46577</v>
      </c>
    </row>
    <row r="8879" spans="1:24">
      <c r="A8879">
        <f>HYPERLINK("https://www.philgeps.gov.ph/GEPSNONPILOT/Tender/SplashBidNoticeAbstractUI.aspx?menuIndex=3&amp;refID=7057909&amp;Result=3","7057909")</f>
        <v>0</v>
      </c>
      <c r="B8879" t="s">
        <v>2567</v>
      </c>
      <c r="C8879" t="s">
        <v>11956</v>
      </c>
      <c r="D8879" t="s">
        <v>18784</v>
      </c>
      <c r="E8879" t="s">
        <v>26615</v>
      </c>
      <c r="F8879" t="s">
        <v>32664</v>
      </c>
      <c r="G8879" t="s">
        <v>32672</v>
      </c>
      <c r="H8879" t="s">
        <v>32683</v>
      </c>
      <c r="I8879" t="s">
        <v>10627</v>
      </c>
      <c r="J8879" t="s">
        <v>38203</v>
      </c>
      <c r="K8879" t="s">
        <v>42410</v>
      </c>
      <c r="M8879" t="s">
        <v>45378</v>
      </c>
      <c r="N8879" t="s">
        <v>46569</v>
      </c>
      <c r="O8879" t="s">
        <v>46570</v>
      </c>
      <c r="Q8879">
        <v>10</v>
      </c>
      <c r="R8879" t="s">
        <v>46576</v>
      </c>
      <c r="S8879" t="s">
        <v>46805</v>
      </c>
      <c r="T8879" t="s">
        <v>48213</v>
      </c>
      <c r="U8879" t="s">
        <v>55954</v>
      </c>
      <c r="W8879" t="s">
        <v>45378</v>
      </c>
      <c r="X8879" t="s">
        <v>46577</v>
      </c>
    </row>
    <row r="8880" spans="1:24">
      <c r="A8880">
        <f>HYPERLINK("https://www.philgeps.gov.ph/GEPSNONPILOT/Tender/SplashBidNoticeAbstractUI.aspx?menuIndex=3&amp;refID=7057907&amp;Result=3","7057907")</f>
        <v>0</v>
      </c>
      <c r="B8880" t="s">
        <v>2573</v>
      </c>
      <c r="C8880" t="s">
        <v>11957</v>
      </c>
      <c r="E8880" t="s">
        <v>26616</v>
      </c>
      <c r="F8880" t="s">
        <v>32664</v>
      </c>
      <c r="G8880" t="s">
        <v>32672</v>
      </c>
      <c r="H8880" t="s">
        <v>12635</v>
      </c>
      <c r="I8880" t="s">
        <v>32698</v>
      </c>
      <c r="J8880" t="s">
        <v>38204</v>
      </c>
      <c r="K8880" t="s">
        <v>42283</v>
      </c>
      <c r="M8880" t="s">
        <v>45385</v>
      </c>
      <c r="N8880" t="s">
        <v>46569</v>
      </c>
      <c r="O8880" t="s">
        <v>46570</v>
      </c>
      <c r="P8880">
        <v>0</v>
      </c>
      <c r="Q8880">
        <v>2</v>
      </c>
      <c r="R8880" t="s">
        <v>46576</v>
      </c>
      <c r="S8880" t="s">
        <v>46749</v>
      </c>
      <c r="T8880" t="s">
        <v>48216</v>
      </c>
      <c r="U8880" t="s">
        <v>55967</v>
      </c>
      <c r="W8880" t="s">
        <v>45385</v>
      </c>
      <c r="X8880" t="s">
        <v>46577</v>
      </c>
    </row>
    <row r="8881" spans="1:24">
      <c r="A8881">
        <f>HYPERLINK("https://www.philgeps.gov.ph/GEPSNONPILOT/Tender/SplashBidNoticeAbstractUI.aspx?menuIndex=3&amp;refID=7057906&amp;Result=3","7057906")</f>
        <v>0</v>
      </c>
      <c r="B8881" t="s">
        <v>2567</v>
      </c>
      <c r="C8881" t="s">
        <v>11958</v>
      </c>
      <c r="D8881" t="s">
        <v>18784</v>
      </c>
      <c r="E8881" t="s">
        <v>26617</v>
      </c>
      <c r="F8881" t="s">
        <v>32664</v>
      </c>
      <c r="G8881" t="s">
        <v>32672</v>
      </c>
      <c r="H8881" t="s">
        <v>32683</v>
      </c>
      <c r="I8881" t="s">
        <v>10627</v>
      </c>
      <c r="J8881" t="s">
        <v>38205</v>
      </c>
      <c r="K8881" t="s">
        <v>42285</v>
      </c>
      <c r="M8881" t="s">
        <v>45378</v>
      </c>
      <c r="N8881" t="s">
        <v>46569</v>
      </c>
      <c r="O8881" t="s">
        <v>46570</v>
      </c>
      <c r="Q8881">
        <v>11</v>
      </c>
      <c r="R8881" t="s">
        <v>46576</v>
      </c>
      <c r="S8881" t="s">
        <v>46806</v>
      </c>
      <c r="T8881" t="s">
        <v>48213</v>
      </c>
      <c r="U8881" t="s">
        <v>55954</v>
      </c>
      <c r="W8881" t="s">
        <v>45378</v>
      </c>
      <c r="X8881" t="s">
        <v>46577</v>
      </c>
    </row>
    <row r="8882" spans="1:24">
      <c r="A8882">
        <f>HYPERLINK("https://www.philgeps.gov.ph/GEPSNONPILOT/Tender/SplashBidNoticeAbstractUI.aspx?menuIndex=3&amp;refID=7057779&amp;Result=3","7057779")</f>
        <v>0</v>
      </c>
      <c r="B8882" t="s">
        <v>318</v>
      </c>
      <c r="C8882" t="s">
        <v>11959</v>
      </c>
      <c r="D8882" t="s">
        <v>18842</v>
      </c>
      <c r="E8882" t="s">
        <v>26618</v>
      </c>
      <c r="F8882" t="s">
        <v>32664</v>
      </c>
      <c r="G8882" t="s">
        <v>32671</v>
      </c>
      <c r="H8882" t="s">
        <v>12635</v>
      </c>
      <c r="I8882" t="s">
        <v>32684</v>
      </c>
      <c r="J8882" t="s">
        <v>38206</v>
      </c>
      <c r="K8882" t="s">
        <v>42297</v>
      </c>
      <c r="M8882" t="s">
        <v>42886</v>
      </c>
      <c r="N8882" t="s">
        <v>46569</v>
      </c>
      <c r="O8882" t="s">
        <v>46570</v>
      </c>
      <c r="P8882">
        <v>0</v>
      </c>
      <c r="Q8882">
        <v>1</v>
      </c>
      <c r="R8882" t="s">
        <v>46576</v>
      </c>
      <c r="S8882" t="s">
        <v>46749</v>
      </c>
      <c r="T8882" t="s">
        <v>48562</v>
      </c>
      <c r="U8882" t="s">
        <v>55968</v>
      </c>
      <c r="W8882" t="s">
        <v>42886</v>
      </c>
      <c r="X8882" t="s">
        <v>46577</v>
      </c>
    </row>
    <row r="8883" spans="1:24">
      <c r="A8883">
        <f>HYPERLINK("https://www.philgeps.gov.ph/GEPSNONPILOT/Tender/SplashBidNoticeAbstractUI.aspx?menuIndex=3&amp;refID=7057905&amp;Result=3","7057905")</f>
        <v>0</v>
      </c>
      <c r="B8883" t="s">
        <v>1773</v>
      </c>
      <c r="C8883" t="s">
        <v>11960</v>
      </c>
      <c r="D8883" t="s">
        <v>18834</v>
      </c>
      <c r="E8883" t="s">
        <v>26619</v>
      </c>
      <c r="F8883" t="s">
        <v>32664</v>
      </c>
      <c r="G8883" t="s">
        <v>32672</v>
      </c>
      <c r="H8883" t="s">
        <v>32683</v>
      </c>
      <c r="I8883" t="s">
        <v>10627</v>
      </c>
      <c r="J8883" t="s">
        <v>38207</v>
      </c>
      <c r="K8883" t="s">
        <v>42298</v>
      </c>
      <c r="M8883" t="s">
        <v>44475</v>
      </c>
      <c r="N8883" t="s">
        <v>46569</v>
      </c>
      <c r="O8883" t="s">
        <v>46570</v>
      </c>
      <c r="P8883">
        <v>0</v>
      </c>
      <c r="Q8883">
        <v>6</v>
      </c>
      <c r="R8883" t="s">
        <v>46576</v>
      </c>
      <c r="S8883" t="s">
        <v>46749</v>
      </c>
      <c r="T8883" t="s">
        <v>48297</v>
      </c>
      <c r="U8883" t="s">
        <v>53064</v>
      </c>
      <c r="W8883" t="s">
        <v>44475</v>
      </c>
      <c r="X8883" t="s">
        <v>46577</v>
      </c>
    </row>
    <row r="8884" spans="1:24">
      <c r="A8884">
        <f>HYPERLINK("https://www.philgeps.gov.ph/GEPSNONPILOT/Tender/SplashBidNoticeAbstractUI.aspx?menuIndex=3&amp;refID=7057911&amp;Result=3","7057911")</f>
        <v>0</v>
      </c>
      <c r="B8884" t="s">
        <v>2567</v>
      </c>
      <c r="C8884" t="s">
        <v>11961</v>
      </c>
      <c r="D8884" t="s">
        <v>18784</v>
      </c>
      <c r="E8884" t="s">
        <v>26620</v>
      </c>
      <c r="F8884" t="s">
        <v>32664</v>
      </c>
      <c r="G8884" t="s">
        <v>32672</v>
      </c>
      <c r="H8884" t="s">
        <v>32683</v>
      </c>
      <c r="I8884" t="s">
        <v>10627</v>
      </c>
      <c r="J8884" t="s">
        <v>38208</v>
      </c>
      <c r="K8884" t="s">
        <v>42397</v>
      </c>
      <c r="M8884" t="s">
        <v>45378</v>
      </c>
      <c r="N8884" t="s">
        <v>46569</v>
      </c>
      <c r="O8884" t="s">
        <v>46570</v>
      </c>
      <c r="P8884">
        <v>0</v>
      </c>
      <c r="Q8884">
        <v>13</v>
      </c>
      <c r="R8884" t="s">
        <v>46576</v>
      </c>
      <c r="S8884" t="s">
        <v>46749</v>
      </c>
      <c r="T8884" t="s">
        <v>48213</v>
      </c>
      <c r="U8884" t="s">
        <v>55954</v>
      </c>
      <c r="W8884" t="s">
        <v>45378</v>
      </c>
      <c r="X8884" t="s">
        <v>46577</v>
      </c>
    </row>
    <row r="8885" spans="1:24">
      <c r="A8885">
        <f>HYPERLINK("https://www.philgeps.gov.ph/GEPSNONPILOT/Tender/SplashBidNoticeAbstractUI.aspx?menuIndex=3&amp;refID=7057920&amp;Result=3","7057920")</f>
        <v>0</v>
      </c>
      <c r="B8885" t="s">
        <v>2574</v>
      </c>
      <c r="C8885" t="s">
        <v>11962</v>
      </c>
      <c r="D8885" t="s">
        <v>18781</v>
      </c>
      <c r="E8885" t="s">
        <v>26621</v>
      </c>
      <c r="F8885" t="s">
        <v>32664</v>
      </c>
      <c r="G8885" t="s">
        <v>32672</v>
      </c>
      <c r="H8885" t="s">
        <v>32683</v>
      </c>
      <c r="I8885" t="s">
        <v>10627</v>
      </c>
      <c r="J8885" t="s">
        <v>38209</v>
      </c>
      <c r="K8885" t="s">
        <v>42326</v>
      </c>
      <c r="M8885" t="s">
        <v>45386</v>
      </c>
      <c r="N8885" t="s">
        <v>46569</v>
      </c>
      <c r="O8885" t="s">
        <v>46570</v>
      </c>
      <c r="P8885">
        <v>0</v>
      </c>
      <c r="Q8885">
        <v>0</v>
      </c>
      <c r="R8885" t="s">
        <v>46576</v>
      </c>
      <c r="S8885" t="s">
        <v>46749</v>
      </c>
      <c r="T8885" t="s">
        <v>48630</v>
      </c>
      <c r="U8885" t="s">
        <v>55969</v>
      </c>
      <c r="W8885" t="s">
        <v>45386</v>
      </c>
      <c r="X8885" t="s">
        <v>46577</v>
      </c>
    </row>
    <row r="8886" spans="1:24">
      <c r="A8886">
        <f>HYPERLINK("https://www.philgeps.gov.ph/GEPSNONPILOT/Tender/SplashBidNoticeAbstractUI.aspx?menuIndex=3&amp;refID=7057910&amp;Result=3","7057910")</f>
        <v>0</v>
      </c>
      <c r="B8886" t="s">
        <v>1543</v>
      </c>
      <c r="C8886" t="s">
        <v>11963</v>
      </c>
      <c r="D8886" t="s">
        <v>18784</v>
      </c>
      <c r="E8886" t="s">
        <v>26622</v>
      </c>
      <c r="F8886" t="s">
        <v>32664</v>
      </c>
      <c r="G8886" t="s">
        <v>32671</v>
      </c>
      <c r="H8886" t="s">
        <v>12635</v>
      </c>
      <c r="I8886" t="s">
        <v>32727</v>
      </c>
      <c r="J8886" t="s">
        <v>38210</v>
      </c>
      <c r="K8886" t="s">
        <v>42281</v>
      </c>
      <c r="M8886" t="s">
        <v>44212</v>
      </c>
      <c r="N8886" t="s">
        <v>46569</v>
      </c>
      <c r="O8886" t="s">
        <v>46570</v>
      </c>
      <c r="P8886">
        <v>0</v>
      </c>
      <c r="Q8886">
        <v>5</v>
      </c>
      <c r="R8886" t="s">
        <v>46576</v>
      </c>
      <c r="S8886" t="s">
        <v>46749</v>
      </c>
      <c r="T8886" t="s">
        <v>48316</v>
      </c>
      <c r="U8886" t="s">
        <v>55970</v>
      </c>
      <c r="V8886" t="s">
        <v>62058</v>
      </c>
      <c r="W8886" t="s">
        <v>44212</v>
      </c>
      <c r="X8886" t="s">
        <v>46577</v>
      </c>
    </row>
    <row r="8887" spans="1:24">
      <c r="A8887">
        <f>HYPERLINK("https://www.philgeps.gov.ph/GEPSNONPILOT/Tender/SplashBidNoticeAbstractUI.aspx?menuIndex=3&amp;refID=7057918&amp;Result=3","7057918")</f>
        <v>0</v>
      </c>
      <c r="B8887" t="s">
        <v>2567</v>
      </c>
      <c r="C8887" t="s">
        <v>11964</v>
      </c>
      <c r="D8887" t="s">
        <v>18784</v>
      </c>
      <c r="E8887" t="s">
        <v>26623</v>
      </c>
      <c r="F8887" t="s">
        <v>32664</v>
      </c>
      <c r="G8887" t="s">
        <v>32672</v>
      </c>
      <c r="H8887" t="s">
        <v>32683</v>
      </c>
      <c r="I8887" t="s">
        <v>10627</v>
      </c>
      <c r="J8887" t="s">
        <v>38211</v>
      </c>
      <c r="K8887" t="s">
        <v>42285</v>
      </c>
      <c r="M8887" t="s">
        <v>45378</v>
      </c>
      <c r="N8887" t="s">
        <v>46569</v>
      </c>
      <c r="O8887" t="s">
        <v>46570</v>
      </c>
      <c r="P8887">
        <v>0</v>
      </c>
      <c r="Q8887">
        <v>11</v>
      </c>
      <c r="R8887" t="s">
        <v>46576</v>
      </c>
      <c r="S8887" t="s">
        <v>46749</v>
      </c>
      <c r="T8887" t="s">
        <v>48213</v>
      </c>
      <c r="U8887" t="s">
        <v>55954</v>
      </c>
      <c r="W8887" t="s">
        <v>45378</v>
      </c>
      <c r="X8887" t="s">
        <v>46577</v>
      </c>
    </row>
    <row r="8888" spans="1:24">
      <c r="A8888">
        <f>HYPERLINK("https://www.philgeps.gov.ph/GEPSNONPILOT/Tender/SplashBidNoticeAbstractUI.aspx?menuIndex=3&amp;refID=7057916&amp;Result=3","7057916")</f>
        <v>0</v>
      </c>
      <c r="B8888" t="s">
        <v>2567</v>
      </c>
      <c r="C8888" t="s">
        <v>11965</v>
      </c>
      <c r="D8888" t="s">
        <v>18784</v>
      </c>
      <c r="E8888" t="s">
        <v>26624</v>
      </c>
      <c r="F8888" t="s">
        <v>32664</v>
      </c>
      <c r="G8888" t="s">
        <v>32672</v>
      </c>
      <c r="H8888" t="s">
        <v>32683</v>
      </c>
      <c r="I8888" t="s">
        <v>10627</v>
      </c>
      <c r="J8888" t="s">
        <v>38212</v>
      </c>
      <c r="K8888" t="s">
        <v>42397</v>
      </c>
      <c r="M8888" t="s">
        <v>45378</v>
      </c>
      <c r="N8888" t="s">
        <v>46569</v>
      </c>
      <c r="O8888" t="s">
        <v>46570</v>
      </c>
      <c r="P8888">
        <v>0</v>
      </c>
      <c r="Q8888">
        <v>12</v>
      </c>
      <c r="R8888" t="s">
        <v>46576</v>
      </c>
      <c r="S8888" t="s">
        <v>46749</v>
      </c>
      <c r="T8888" t="s">
        <v>48213</v>
      </c>
      <c r="U8888" t="s">
        <v>55954</v>
      </c>
      <c r="W8888" t="s">
        <v>45378</v>
      </c>
      <c r="X8888" t="s">
        <v>46577</v>
      </c>
    </row>
    <row r="8889" spans="1:24">
      <c r="A8889">
        <f>HYPERLINK("https://www.philgeps.gov.ph/GEPSNONPILOT/Tender/SplashBidNoticeAbstractUI.aspx?menuIndex=3&amp;refID=7057904&amp;Result=3","7057904")</f>
        <v>0</v>
      </c>
      <c r="B8889" t="s">
        <v>1154</v>
      </c>
      <c r="C8889" t="s">
        <v>11966</v>
      </c>
      <c r="D8889" t="s">
        <v>18826</v>
      </c>
      <c r="E8889" t="s">
        <v>26625</v>
      </c>
      <c r="F8889" t="s">
        <v>32664</v>
      </c>
      <c r="G8889" t="s">
        <v>32677</v>
      </c>
      <c r="H8889" t="s">
        <v>12635</v>
      </c>
      <c r="I8889" t="s">
        <v>32685</v>
      </c>
      <c r="J8889" t="s">
        <v>38213</v>
      </c>
      <c r="K8889" t="s">
        <v>42281</v>
      </c>
      <c r="M8889" t="s">
        <v>43785</v>
      </c>
      <c r="N8889" t="s">
        <v>46569</v>
      </c>
      <c r="O8889" t="s">
        <v>46570</v>
      </c>
      <c r="P8889">
        <v>0</v>
      </c>
      <c r="Q8889">
        <v>0</v>
      </c>
      <c r="R8889" t="s">
        <v>46576</v>
      </c>
      <c r="S8889" t="s">
        <v>46749</v>
      </c>
      <c r="T8889" t="s">
        <v>48301</v>
      </c>
      <c r="U8889" t="s">
        <v>55971</v>
      </c>
      <c r="W8889" t="s">
        <v>43785</v>
      </c>
      <c r="X8889" t="s">
        <v>46577</v>
      </c>
    </row>
    <row r="8890" spans="1:24">
      <c r="A8890">
        <f>HYPERLINK("https://www.philgeps.gov.ph/GEPSNONPILOT/Tender/SplashBidNoticeAbstractUI.aspx?menuIndex=3&amp;refID=7057912&amp;Result=3","7057912")</f>
        <v>0</v>
      </c>
      <c r="B8890" t="s">
        <v>1734</v>
      </c>
      <c r="C8890" t="s">
        <v>11967</v>
      </c>
      <c r="D8890" t="s">
        <v>18789</v>
      </c>
      <c r="E8890" t="s">
        <v>26626</v>
      </c>
      <c r="F8890" t="s">
        <v>32664</v>
      </c>
      <c r="G8890" t="s">
        <v>32671</v>
      </c>
      <c r="H8890" t="s">
        <v>12635</v>
      </c>
      <c r="I8890" t="s">
        <v>32704</v>
      </c>
      <c r="J8890" t="s">
        <v>38214</v>
      </c>
      <c r="K8890" t="s">
        <v>42289</v>
      </c>
      <c r="M8890" t="s">
        <v>44433</v>
      </c>
      <c r="N8890" t="s">
        <v>46569</v>
      </c>
      <c r="O8890" t="s">
        <v>46570</v>
      </c>
      <c r="P8890">
        <v>0</v>
      </c>
      <c r="Q8890">
        <v>5</v>
      </c>
      <c r="R8890" t="s">
        <v>46576</v>
      </c>
      <c r="S8890" t="s">
        <v>46749</v>
      </c>
      <c r="T8890" t="s">
        <v>48316</v>
      </c>
      <c r="U8890" t="s">
        <v>55972</v>
      </c>
      <c r="W8890" t="s">
        <v>44433</v>
      </c>
      <c r="X8890" t="s">
        <v>46577</v>
      </c>
    </row>
    <row r="8891" spans="1:24">
      <c r="A8891">
        <f>HYPERLINK("https://www.philgeps.gov.ph/GEPSNONPILOT/Tender/SplashBidNoticeAbstractUI.aspx?menuIndex=3&amp;refID=7057903&amp;Result=3","7057903")</f>
        <v>0</v>
      </c>
      <c r="B8891" t="s">
        <v>2567</v>
      </c>
      <c r="C8891" t="s">
        <v>11968</v>
      </c>
      <c r="D8891" t="s">
        <v>18784</v>
      </c>
      <c r="E8891" t="s">
        <v>26627</v>
      </c>
      <c r="F8891" t="s">
        <v>32664</v>
      </c>
      <c r="G8891" t="s">
        <v>32672</v>
      </c>
      <c r="H8891" t="s">
        <v>32683</v>
      </c>
      <c r="I8891" t="s">
        <v>10627</v>
      </c>
      <c r="J8891" t="s">
        <v>38215</v>
      </c>
      <c r="K8891" t="s">
        <v>42365</v>
      </c>
      <c r="M8891" t="s">
        <v>45378</v>
      </c>
      <c r="N8891" t="s">
        <v>46569</v>
      </c>
      <c r="O8891" t="s">
        <v>46570</v>
      </c>
      <c r="Q8891">
        <v>16</v>
      </c>
      <c r="R8891" t="s">
        <v>46576</v>
      </c>
      <c r="S8891" t="s">
        <v>46807</v>
      </c>
      <c r="T8891" t="s">
        <v>48213</v>
      </c>
      <c r="U8891" t="s">
        <v>55954</v>
      </c>
      <c r="W8891" t="s">
        <v>45378</v>
      </c>
      <c r="X8891" t="s">
        <v>46577</v>
      </c>
    </row>
    <row r="8892" spans="1:24">
      <c r="A8892">
        <f>HYPERLINK("https://www.philgeps.gov.ph/GEPSNONPILOT/Tender/SplashBidNoticeAbstractUI.aspx?menuIndex=3&amp;refID=7057915&amp;Result=3","7057915")</f>
        <v>0</v>
      </c>
      <c r="B8892" t="s">
        <v>2555</v>
      </c>
      <c r="C8892" t="s">
        <v>11969</v>
      </c>
      <c r="D8892" t="s">
        <v>18807</v>
      </c>
      <c r="E8892" t="s">
        <v>26628</v>
      </c>
      <c r="F8892" t="s">
        <v>32664</v>
      </c>
      <c r="G8892" t="s">
        <v>32674</v>
      </c>
      <c r="H8892" t="s">
        <v>12635</v>
      </c>
      <c r="I8892" t="s">
        <v>5589</v>
      </c>
      <c r="J8892" t="s">
        <v>33126</v>
      </c>
      <c r="K8892" t="s">
        <v>42297</v>
      </c>
      <c r="M8892" t="s">
        <v>45366</v>
      </c>
      <c r="N8892" t="s">
        <v>46569</v>
      </c>
      <c r="O8892" t="s">
        <v>46570</v>
      </c>
      <c r="P8892">
        <v>0</v>
      </c>
      <c r="Q8892">
        <v>1</v>
      </c>
      <c r="R8892" t="s">
        <v>46576</v>
      </c>
      <c r="S8892" t="s">
        <v>46749</v>
      </c>
      <c r="T8892" t="s">
        <v>48307</v>
      </c>
      <c r="U8892" t="s">
        <v>55973</v>
      </c>
      <c r="W8892" t="s">
        <v>45366</v>
      </c>
      <c r="X8892" t="s">
        <v>46577</v>
      </c>
    </row>
    <row r="8893" spans="1:24">
      <c r="A8893">
        <f>HYPERLINK("https://www.philgeps.gov.ph/GEPSNONPILOT/Tender/SplashBidNoticeAbstractUI.aspx?menuIndex=3&amp;refID=7057900&amp;Result=3","7057900")</f>
        <v>0</v>
      </c>
      <c r="B8893" t="s">
        <v>2575</v>
      </c>
      <c r="C8893" t="s">
        <v>11970</v>
      </c>
      <c r="D8893" t="s">
        <v>18817</v>
      </c>
      <c r="E8893" t="s">
        <v>19246</v>
      </c>
      <c r="F8893" t="s">
        <v>32664</v>
      </c>
      <c r="G8893" t="s">
        <v>32672</v>
      </c>
      <c r="H8893" t="s">
        <v>12635</v>
      </c>
      <c r="I8893" t="s">
        <v>32689</v>
      </c>
      <c r="J8893" t="s">
        <v>38216</v>
      </c>
      <c r="K8893" t="s">
        <v>42281</v>
      </c>
      <c r="M8893" t="s">
        <v>45387</v>
      </c>
      <c r="N8893" t="s">
        <v>46569</v>
      </c>
      <c r="O8893" t="s">
        <v>46570</v>
      </c>
      <c r="P8893">
        <v>0</v>
      </c>
      <c r="Q8893">
        <v>4</v>
      </c>
      <c r="R8893" t="s">
        <v>46576</v>
      </c>
      <c r="S8893" t="s">
        <v>46749</v>
      </c>
      <c r="T8893" t="s">
        <v>48301</v>
      </c>
      <c r="U8893" t="s">
        <v>55974</v>
      </c>
      <c r="W8893" t="s">
        <v>45387</v>
      </c>
      <c r="X8893" t="s">
        <v>46577</v>
      </c>
    </row>
    <row r="8894" spans="1:24">
      <c r="A8894">
        <f>HYPERLINK("https://www.philgeps.gov.ph/GEPSNONPILOT/Tender/SplashBidNoticeAbstractUI.aspx?menuIndex=3&amp;refID=7057898&amp;Result=3","7057898")</f>
        <v>0</v>
      </c>
      <c r="B8894" t="s">
        <v>2567</v>
      </c>
      <c r="C8894" t="s">
        <v>11971</v>
      </c>
      <c r="D8894" t="s">
        <v>18784</v>
      </c>
      <c r="E8894" t="s">
        <v>26629</v>
      </c>
      <c r="F8894" t="s">
        <v>32664</v>
      </c>
      <c r="G8894" t="s">
        <v>32672</v>
      </c>
      <c r="H8894" t="s">
        <v>32683</v>
      </c>
      <c r="I8894" t="s">
        <v>10627</v>
      </c>
      <c r="J8894" t="s">
        <v>38217</v>
      </c>
      <c r="K8894" t="s">
        <v>42285</v>
      </c>
      <c r="M8894" t="s">
        <v>45378</v>
      </c>
      <c r="N8894" t="s">
        <v>46569</v>
      </c>
      <c r="O8894" t="s">
        <v>46570</v>
      </c>
      <c r="P8894">
        <v>0</v>
      </c>
      <c r="Q8894">
        <v>10</v>
      </c>
      <c r="R8894" t="s">
        <v>46576</v>
      </c>
      <c r="S8894" t="s">
        <v>46749</v>
      </c>
      <c r="T8894" t="s">
        <v>48213</v>
      </c>
      <c r="U8894" t="s">
        <v>55954</v>
      </c>
      <c r="W8894" t="s">
        <v>45378</v>
      </c>
      <c r="X8894" t="s">
        <v>46577</v>
      </c>
    </row>
    <row r="8895" spans="1:24">
      <c r="A8895">
        <f>HYPERLINK("https://www.philgeps.gov.ph/GEPSNONPILOT/Tender/SplashBidNoticeAbstractUI.aspx?menuIndex=3&amp;refID=7057913&amp;Result=3","7057913")</f>
        <v>0</v>
      </c>
      <c r="B8895" t="s">
        <v>2576</v>
      </c>
      <c r="C8895" t="s">
        <v>11972</v>
      </c>
      <c r="D8895" t="s">
        <v>18854</v>
      </c>
      <c r="E8895" t="s">
        <v>26630</v>
      </c>
      <c r="F8895" t="s">
        <v>32664</v>
      </c>
      <c r="G8895" t="s">
        <v>32672</v>
      </c>
      <c r="H8895" t="s">
        <v>12635</v>
      </c>
      <c r="I8895" t="s">
        <v>9597</v>
      </c>
      <c r="J8895" t="s">
        <v>38218</v>
      </c>
      <c r="K8895" t="s">
        <v>42289</v>
      </c>
      <c r="M8895" t="s">
        <v>45388</v>
      </c>
      <c r="N8895" t="s">
        <v>46569</v>
      </c>
      <c r="O8895" t="s">
        <v>46570</v>
      </c>
      <c r="P8895">
        <v>0</v>
      </c>
      <c r="Q8895">
        <v>1</v>
      </c>
      <c r="R8895" t="s">
        <v>46576</v>
      </c>
      <c r="S8895" t="s">
        <v>46749</v>
      </c>
      <c r="T8895" t="s">
        <v>48219</v>
      </c>
      <c r="U8895" t="s">
        <v>55975</v>
      </c>
      <c r="W8895" t="s">
        <v>45388</v>
      </c>
      <c r="X8895" t="s">
        <v>46577</v>
      </c>
    </row>
    <row r="8896" spans="1:24">
      <c r="A8896">
        <f>HYPERLINK("https://www.philgeps.gov.ph/GEPSNONPILOT/Tender/SplashBidNoticeAbstractUI.aspx?menuIndex=3&amp;refID=7057925&amp;Result=3","7057925")</f>
        <v>0</v>
      </c>
      <c r="B8896" t="s">
        <v>2567</v>
      </c>
      <c r="C8896" t="s">
        <v>11973</v>
      </c>
      <c r="D8896" t="s">
        <v>18784</v>
      </c>
      <c r="E8896" t="s">
        <v>26631</v>
      </c>
      <c r="F8896" t="s">
        <v>32664</v>
      </c>
      <c r="G8896" t="s">
        <v>32672</v>
      </c>
      <c r="H8896" t="s">
        <v>32683</v>
      </c>
      <c r="I8896" t="s">
        <v>10627</v>
      </c>
      <c r="J8896" t="s">
        <v>38219</v>
      </c>
      <c r="K8896" t="s">
        <v>42285</v>
      </c>
      <c r="M8896" t="s">
        <v>45378</v>
      </c>
      <c r="N8896" t="s">
        <v>46569</v>
      </c>
      <c r="O8896" t="s">
        <v>46570</v>
      </c>
      <c r="P8896">
        <v>0</v>
      </c>
      <c r="Q8896">
        <v>17</v>
      </c>
      <c r="R8896" t="s">
        <v>46576</v>
      </c>
      <c r="S8896" t="s">
        <v>46749</v>
      </c>
      <c r="T8896" t="s">
        <v>48213</v>
      </c>
      <c r="U8896" t="s">
        <v>55954</v>
      </c>
      <c r="W8896" t="s">
        <v>45378</v>
      </c>
      <c r="X8896" t="s">
        <v>46577</v>
      </c>
    </row>
    <row r="8897" spans="1:24">
      <c r="A8897">
        <f>HYPERLINK("https://www.philgeps.gov.ph/GEPSNONPILOT/Tender/SplashBidNoticeAbstractUI.aspx?menuIndex=3&amp;refID=7058005&amp;Result=3","7058005")</f>
        <v>0</v>
      </c>
      <c r="B8897" t="s">
        <v>2577</v>
      </c>
      <c r="C8897" t="s">
        <v>11974</v>
      </c>
      <c r="D8897" t="s">
        <v>18826</v>
      </c>
      <c r="E8897" t="s">
        <v>26632</v>
      </c>
      <c r="F8897" t="s">
        <v>32664</v>
      </c>
      <c r="G8897" t="s">
        <v>32671</v>
      </c>
      <c r="H8897" t="s">
        <v>12635</v>
      </c>
      <c r="I8897" t="s">
        <v>32694</v>
      </c>
      <c r="J8897" t="s">
        <v>38220</v>
      </c>
      <c r="K8897" t="s">
        <v>42284</v>
      </c>
      <c r="M8897" t="s">
        <v>45389</v>
      </c>
      <c r="N8897" t="s">
        <v>46569</v>
      </c>
      <c r="O8897" t="s">
        <v>46570</v>
      </c>
      <c r="P8897">
        <v>0</v>
      </c>
      <c r="Q8897">
        <v>0</v>
      </c>
      <c r="R8897" t="s">
        <v>46576</v>
      </c>
      <c r="S8897" t="s">
        <v>46749</v>
      </c>
      <c r="T8897" t="s">
        <v>48316</v>
      </c>
      <c r="U8897" t="s">
        <v>55976</v>
      </c>
      <c r="V8897" t="s">
        <v>62545</v>
      </c>
      <c r="W8897" t="s">
        <v>45389</v>
      </c>
      <c r="X8897" t="s">
        <v>46577</v>
      </c>
    </row>
    <row r="8898" spans="1:24">
      <c r="A8898">
        <f>HYPERLINK("https://www.philgeps.gov.ph/GEPSNONPILOT/Tender/SplashBidNoticeAbstractUI.aspx?menuIndex=3&amp;refID=7057785&amp;Result=3","7057785")</f>
        <v>0</v>
      </c>
      <c r="B8898" t="s">
        <v>1479</v>
      </c>
      <c r="C8898" t="s">
        <v>11975</v>
      </c>
      <c r="D8898" t="s">
        <v>18788</v>
      </c>
      <c r="E8898" t="s">
        <v>26633</v>
      </c>
      <c r="F8898" t="s">
        <v>32664</v>
      </c>
      <c r="G8898" t="s">
        <v>32672</v>
      </c>
      <c r="H8898" t="s">
        <v>32683</v>
      </c>
      <c r="I8898" t="s">
        <v>10627</v>
      </c>
      <c r="J8898" t="s">
        <v>38221</v>
      </c>
      <c r="K8898" t="s">
        <v>42281</v>
      </c>
      <c r="M8898" t="s">
        <v>44142</v>
      </c>
      <c r="N8898" t="s">
        <v>46569</v>
      </c>
      <c r="O8898" t="s">
        <v>46570</v>
      </c>
      <c r="P8898">
        <v>0</v>
      </c>
      <c r="Q8898">
        <v>0</v>
      </c>
      <c r="R8898" t="s">
        <v>46576</v>
      </c>
      <c r="S8898" t="s">
        <v>46749</v>
      </c>
      <c r="T8898" t="s">
        <v>48282</v>
      </c>
      <c r="U8898" t="s">
        <v>55923</v>
      </c>
      <c r="W8898" t="s">
        <v>44142</v>
      </c>
      <c r="X8898" t="s">
        <v>46577</v>
      </c>
    </row>
    <row r="8899" spans="1:24">
      <c r="A8899">
        <f>HYPERLINK("https://www.philgeps.gov.ph/GEPSNONPILOT/Tender/SplashBidNoticeAbstractUI.aspx?menuIndex=3&amp;refID=7057863&amp;Result=3","7057863")</f>
        <v>0</v>
      </c>
      <c r="B8899" t="s">
        <v>873</v>
      </c>
      <c r="C8899" t="s">
        <v>11976</v>
      </c>
      <c r="D8899" t="s">
        <v>18798</v>
      </c>
      <c r="E8899" t="s">
        <v>26634</v>
      </c>
      <c r="F8899" t="s">
        <v>32664</v>
      </c>
      <c r="G8899" t="s">
        <v>32674</v>
      </c>
      <c r="H8899" t="s">
        <v>12635</v>
      </c>
      <c r="I8899" t="s">
        <v>8797</v>
      </c>
      <c r="J8899" t="s">
        <v>38222</v>
      </c>
      <c r="K8899" t="s">
        <v>42284</v>
      </c>
      <c r="M8899" t="s">
        <v>43473</v>
      </c>
      <c r="N8899" t="s">
        <v>46569</v>
      </c>
      <c r="O8899" t="s">
        <v>46570</v>
      </c>
      <c r="P8899">
        <v>0</v>
      </c>
      <c r="Q8899">
        <v>11</v>
      </c>
      <c r="R8899" t="s">
        <v>46576</v>
      </c>
      <c r="S8899" t="s">
        <v>46749</v>
      </c>
      <c r="T8899" t="s">
        <v>48473</v>
      </c>
      <c r="U8899" t="s">
        <v>50322</v>
      </c>
      <c r="W8899" t="s">
        <v>43473</v>
      </c>
      <c r="X8899" t="s">
        <v>46577</v>
      </c>
    </row>
    <row r="8900" spans="1:24">
      <c r="A8900">
        <f>HYPERLINK("https://www.philgeps.gov.ph/GEPSNONPILOT/Tender/SplashBidNoticeAbstractUI.aspx?menuIndex=3&amp;refID=7057998&amp;Result=3","7057998")</f>
        <v>0</v>
      </c>
      <c r="B8900" t="s">
        <v>2578</v>
      </c>
      <c r="C8900" t="s">
        <v>11977</v>
      </c>
      <c r="D8900" t="s">
        <v>18789</v>
      </c>
      <c r="E8900" t="s">
        <v>26635</v>
      </c>
      <c r="F8900" t="s">
        <v>32664</v>
      </c>
      <c r="G8900" t="s">
        <v>32672</v>
      </c>
      <c r="H8900" t="s">
        <v>12635</v>
      </c>
      <c r="I8900" t="s">
        <v>4439</v>
      </c>
      <c r="J8900" t="s">
        <v>38223</v>
      </c>
      <c r="K8900" t="s">
        <v>42295</v>
      </c>
      <c r="M8900" t="s">
        <v>45390</v>
      </c>
      <c r="N8900" t="s">
        <v>46569</v>
      </c>
      <c r="O8900" t="s">
        <v>46570</v>
      </c>
      <c r="P8900">
        <v>0</v>
      </c>
      <c r="Q8900">
        <v>2</v>
      </c>
      <c r="R8900" t="s">
        <v>46576</v>
      </c>
      <c r="S8900" t="s">
        <v>46749</v>
      </c>
      <c r="T8900" t="s">
        <v>48217</v>
      </c>
      <c r="U8900" t="s">
        <v>55977</v>
      </c>
      <c r="W8900" t="s">
        <v>45390</v>
      </c>
      <c r="X8900" t="s">
        <v>46577</v>
      </c>
    </row>
    <row r="8901" spans="1:24">
      <c r="A8901">
        <f>HYPERLINK("https://www.philgeps.gov.ph/GEPSNONPILOT/Tender/SplashBidNoticeAbstractUI.aspx?menuIndex=3&amp;refID=7057992&amp;Result=3","7057992")</f>
        <v>0</v>
      </c>
      <c r="B8901" t="s">
        <v>2378</v>
      </c>
      <c r="C8901" t="s">
        <v>11978</v>
      </c>
      <c r="D8901" t="s">
        <v>18831</v>
      </c>
      <c r="E8901" t="s">
        <v>26636</v>
      </c>
      <c r="F8901" t="s">
        <v>32664</v>
      </c>
      <c r="G8901" t="s">
        <v>32671</v>
      </c>
      <c r="H8901" t="s">
        <v>12635</v>
      </c>
      <c r="I8901" t="s">
        <v>32706</v>
      </c>
      <c r="J8901" t="s">
        <v>38224</v>
      </c>
      <c r="K8901" t="s">
        <v>42281</v>
      </c>
      <c r="M8901" t="s">
        <v>45166</v>
      </c>
      <c r="N8901" t="s">
        <v>46569</v>
      </c>
      <c r="O8901" t="s">
        <v>46570</v>
      </c>
      <c r="P8901">
        <v>0</v>
      </c>
      <c r="Q8901">
        <v>2</v>
      </c>
      <c r="R8901" t="s">
        <v>46576</v>
      </c>
      <c r="S8901" t="s">
        <v>46749</v>
      </c>
      <c r="T8901" t="s">
        <v>48502</v>
      </c>
      <c r="U8901" t="s">
        <v>55287</v>
      </c>
      <c r="W8901" t="s">
        <v>45166</v>
      </c>
      <c r="X8901" t="s">
        <v>46577</v>
      </c>
    </row>
    <row r="8902" spans="1:24">
      <c r="A8902">
        <f>HYPERLINK("https://www.philgeps.gov.ph/GEPSNONPILOT/Tender/SplashBidNoticeAbstractUI.aspx?menuIndex=3&amp;refID=7057985&amp;Result=3","7057985")</f>
        <v>0</v>
      </c>
      <c r="B8902" t="s">
        <v>2425</v>
      </c>
      <c r="C8902" t="s">
        <v>11979</v>
      </c>
      <c r="D8902" t="s">
        <v>18842</v>
      </c>
      <c r="E8902" t="s">
        <v>26637</v>
      </c>
      <c r="F8902" t="s">
        <v>32664</v>
      </c>
      <c r="G8902" t="s">
        <v>32672</v>
      </c>
      <c r="H8902" t="s">
        <v>12635</v>
      </c>
      <c r="I8902" t="s">
        <v>11464</v>
      </c>
      <c r="J8902" t="s">
        <v>38225</v>
      </c>
      <c r="K8902" t="s">
        <v>42281</v>
      </c>
      <c r="M8902" t="s">
        <v>45336</v>
      </c>
      <c r="N8902" t="s">
        <v>46569</v>
      </c>
      <c r="O8902" t="s">
        <v>46570</v>
      </c>
      <c r="P8902">
        <v>0</v>
      </c>
      <c r="Q8902">
        <v>2</v>
      </c>
      <c r="R8902" t="s">
        <v>46576</v>
      </c>
      <c r="S8902" t="s">
        <v>46749</v>
      </c>
      <c r="T8902" t="s">
        <v>48302</v>
      </c>
      <c r="U8902" t="s">
        <v>55978</v>
      </c>
      <c r="V8902" t="s">
        <v>62414</v>
      </c>
      <c r="W8902" t="s">
        <v>63563</v>
      </c>
      <c r="X8902" t="s">
        <v>46577</v>
      </c>
    </row>
    <row r="8903" spans="1:24">
      <c r="A8903">
        <f>HYPERLINK("https://www.philgeps.gov.ph/GEPSNONPILOT/Tender/SplashBidNoticeAbstractUI.aspx?menuIndex=3&amp;refID=7057897&amp;Result=3","7057897")</f>
        <v>0</v>
      </c>
      <c r="B8903" t="s">
        <v>1543</v>
      </c>
      <c r="C8903" t="s">
        <v>11980</v>
      </c>
      <c r="D8903" t="s">
        <v>18784</v>
      </c>
      <c r="E8903" t="s">
        <v>26638</v>
      </c>
      <c r="F8903" t="s">
        <v>32664</v>
      </c>
      <c r="G8903" t="s">
        <v>32671</v>
      </c>
      <c r="H8903" t="s">
        <v>12635</v>
      </c>
      <c r="I8903" t="s">
        <v>32727</v>
      </c>
      <c r="J8903" t="s">
        <v>33552</v>
      </c>
      <c r="K8903" t="s">
        <v>42281</v>
      </c>
      <c r="M8903" t="s">
        <v>44212</v>
      </c>
      <c r="N8903" t="s">
        <v>46569</v>
      </c>
      <c r="O8903" t="s">
        <v>46570</v>
      </c>
      <c r="P8903">
        <v>0</v>
      </c>
      <c r="Q8903">
        <v>4</v>
      </c>
      <c r="R8903" t="s">
        <v>46576</v>
      </c>
      <c r="S8903" t="s">
        <v>46749</v>
      </c>
      <c r="T8903" t="s">
        <v>48316</v>
      </c>
      <c r="U8903" t="s">
        <v>55979</v>
      </c>
      <c r="V8903" t="s">
        <v>62058</v>
      </c>
      <c r="W8903" t="s">
        <v>44212</v>
      </c>
      <c r="X8903" t="s">
        <v>46577</v>
      </c>
    </row>
    <row r="8904" spans="1:24">
      <c r="A8904">
        <f>HYPERLINK("https://www.philgeps.gov.ph/GEPSNONPILOT/Tender/SplashBidNoticeAbstractUI.aspx?menuIndex=3&amp;refID=7057789&amp;Result=3","7057789")</f>
        <v>0</v>
      </c>
      <c r="B8904" t="s">
        <v>2558</v>
      </c>
      <c r="C8904" t="s">
        <v>11981</v>
      </c>
      <c r="D8904" t="s">
        <v>18846</v>
      </c>
      <c r="E8904" t="s">
        <v>26639</v>
      </c>
      <c r="F8904" t="s">
        <v>32664</v>
      </c>
      <c r="G8904" t="s">
        <v>32672</v>
      </c>
      <c r="H8904" t="s">
        <v>32683</v>
      </c>
      <c r="I8904" t="s">
        <v>10627</v>
      </c>
      <c r="J8904" t="s">
        <v>33969</v>
      </c>
      <c r="K8904" t="s">
        <v>42327</v>
      </c>
      <c r="M8904" t="s">
        <v>45369</v>
      </c>
      <c r="N8904" t="s">
        <v>46569</v>
      </c>
      <c r="O8904" t="s">
        <v>46570</v>
      </c>
      <c r="P8904">
        <v>0</v>
      </c>
      <c r="Q8904">
        <v>0</v>
      </c>
      <c r="R8904" t="s">
        <v>46576</v>
      </c>
      <c r="S8904" t="s">
        <v>46749</v>
      </c>
      <c r="T8904" t="s">
        <v>48274</v>
      </c>
      <c r="U8904" t="s">
        <v>55980</v>
      </c>
      <c r="W8904" t="s">
        <v>45369</v>
      </c>
      <c r="X8904" t="s">
        <v>46577</v>
      </c>
    </row>
    <row r="8905" spans="1:24">
      <c r="A8905">
        <f>HYPERLINK("https://www.philgeps.gov.ph/GEPSNONPILOT/Tender/SplashBidNoticeAbstractUI.aspx?menuIndex=3&amp;refID=7057964&amp;Result=3","7057964")</f>
        <v>0</v>
      </c>
      <c r="B8905" t="s">
        <v>366</v>
      </c>
      <c r="C8905" t="s">
        <v>11982</v>
      </c>
      <c r="D8905" t="s">
        <v>18785</v>
      </c>
      <c r="E8905" t="s">
        <v>26640</v>
      </c>
      <c r="F8905" t="s">
        <v>32664</v>
      </c>
      <c r="G8905" t="s">
        <v>32672</v>
      </c>
      <c r="H8905" t="s">
        <v>12635</v>
      </c>
      <c r="I8905" t="s">
        <v>4439</v>
      </c>
      <c r="J8905" t="s">
        <v>38226</v>
      </c>
      <c r="K8905" t="s">
        <v>42281</v>
      </c>
      <c r="M8905" t="s">
        <v>45391</v>
      </c>
      <c r="N8905" t="s">
        <v>46569</v>
      </c>
      <c r="O8905" t="s">
        <v>46570</v>
      </c>
      <c r="P8905">
        <v>0</v>
      </c>
      <c r="Q8905">
        <v>3</v>
      </c>
      <c r="R8905" t="s">
        <v>46576</v>
      </c>
      <c r="S8905" t="s">
        <v>46749</v>
      </c>
      <c r="T8905" t="s">
        <v>48246</v>
      </c>
      <c r="U8905" t="s">
        <v>55981</v>
      </c>
      <c r="W8905" t="s">
        <v>45391</v>
      </c>
      <c r="X8905" t="s">
        <v>46577</v>
      </c>
    </row>
    <row r="8906" spans="1:24">
      <c r="A8906">
        <f>HYPERLINK("https://www.philgeps.gov.ph/GEPSNONPILOT/Tender/SplashBidNoticeAbstractUI.aspx?menuIndex=3&amp;refID=7057973&amp;Result=3","7057973")</f>
        <v>0</v>
      </c>
      <c r="B8906" t="s">
        <v>2454</v>
      </c>
      <c r="C8906" t="s">
        <v>11983</v>
      </c>
      <c r="D8906" t="s">
        <v>18816</v>
      </c>
      <c r="E8906" t="s">
        <v>26641</v>
      </c>
      <c r="F8906" t="s">
        <v>32664</v>
      </c>
      <c r="G8906" t="s">
        <v>32672</v>
      </c>
      <c r="H8906" t="s">
        <v>12635</v>
      </c>
      <c r="I8906" t="s">
        <v>11464</v>
      </c>
      <c r="J8906" t="s">
        <v>32982</v>
      </c>
      <c r="K8906" t="s">
        <v>42297</v>
      </c>
      <c r="M8906" t="s">
        <v>45249</v>
      </c>
      <c r="N8906" t="s">
        <v>46569</v>
      </c>
      <c r="O8906" t="s">
        <v>46570</v>
      </c>
      <c r="P8906">
        <v>0</v>
      </c>
      <c r="Q8906">
        <v>2</v>
      </c>
      <c r="R8906" t="s">
        <v>46576</v>
      </c>
      <c r="S8906" t="s">
        <v>46749</v>
      </c>
      <c r="T8906" t="s">
        <v>48631</v>
      </c>
      <c r="U8906" t="s">
        <v>55982</v>
      </c>
      <c r="W8906" t="s">
        <v>45249</v>
      </c>
      <c r="X8906" t="s">
        <v>46577</v>
      </c>
    </row>
    <row r="8907" spans="1:24">
      <c r="A8907">
        <f>HYPERLINK("https://www.philgeps.gov.ph/GEPSNONPILOT/Tender/SplashBidNoticeAbstractUI.aspx?menuIndex=3&amp;refID=7057946&amp;Result=3","7057946")</f>
        <v>0</v>
      </c>
      <c r="B8907" t="s">
        <v>1734</v>
      </c>
      <c r="C8907" t="s">
        <v>11984</v>
      </c>
      <c r="D8907" t="s">
        <v>18789</v>
      </c>
      <c r="E8907" t="s">
        <v>26642</v>
      </c>
      <c r="F8907" t="s">
        <v>32664</v>
      </c>
      <c r="G8907" t="s">
        <v>32671</v>
      </c>
      <c r="H8907" t="s">
        <v>32682</v>
      </c>
      <c r="I8907" t="s">
        <v>32701</v>
      </c>
      <c r="J8907" t="s">
        <v>33311</v>
      </c>
      <c r="K8907" t="s">
        <v>42289</v>
      </c>
      <c r="M8907" t="s">
        <v>44433</v>
      </c>
      <c r="N8907" t="s">
        <v>46569</v>
      </c>
      <c r="O8907" t="s">
        <v>46570</v>
      </c>
      <c r="P8907">
        <v>0</v>
      </c>
      <c r="Q8907">
        <v>1</v>
      </c>
      <c r="R8907" t="s">
        <v>46576</v>
      </c>
      <c r="S8907" t="s">
        <v>46749</v>
      </c>
      <c r="T8907" t="s">
        <v>48316</v>
      </c>
      <c r="U8907" t="s">
        <v>55983</v>
      </c>
      <c r="W8907" t="s">
        <v>44433</v>
      </c>
      <c r="X8907" t="s">
        <v>46577</v>
      </c>
    </row>
    <row r="8908" spans="1:24">
      <c r="A8908">
        <f>HYPERLINK("https://www.philgeps.gov.ph/GEPSNONPILOT/Tender/SplashBidNoticeAbstractUI.aspx?menuIndex=3&amp;refID=7057965&amp;Result=3","7057965")</f>
        <v>0</v>
      </c>
      <c r="B8908" t="s">
        <v>2454</v>
      </c>
      <c r="C8908" t="s">
        <v>11985</v>
      </c>
      <c r="D8908" t="s">
        <v>18816</v>
      </c>
      <c r="E8908" t="s">
        <v>26643</v>
      </c>
      <c r="F8908" t="s">
        <v>32664</v>
      </c>
      <c r="G8908" t="s">
        <v>32672</v>
      </c>
      <c r="H8908" t="s">
        <v>32683</v>
      </c>
      <c r="I8908" t="s">
        <v>10627</v>
      </c>
      <c r="J8908" t="s">
        <v>38227</v>
      </c>
      <c r="K8908" t="s">
        <v>42281</v>
      </c>
      <c r="M8908" t="s">
        <v>45249</v>
      </c>
      <c r="N8908" t="s">
        <v>46569</v>
      </c>
      <c r="O8908" t="s">
        <v>46570</v>
      </c>
      <c r="P8908">
        <v>0</v>
      </c>
      <c r="Q8908">
        <v>0</v>
      </c>
      <c r="R8908" t="s">
        <v>46576</v>
      </c>
      <c r="S8908" t="s">
        <v>46749</v>
      </c>
      <c r="T8908" t="s">
        <v>48453</v>
      </c>
      <c r="U8908" t="s">
        <v>55984</v>
      </c>
      <c r="W8908" t="s">
        <v>45249</v>
      </c>
      <c r="X8908" t="s">
        <v>46577</v>
      </c>
    </row>
    <row r="8909" spans="1:24">
      <c r="A8909">
        <f>HYPERLINK("https://www.philgeps.gov.ph/GEPSNONPILOT/Tender/SplashBidNoticeAbstractUI.aspx?menuIndex=3&amp;refID=7057944&amp;Result=3","7057944")</f>
        <v>0</v>
      </c>
      <c r="B8909" t="s">
        <v>2579</v>
      </c>
      <c r="C8909" t="s">
        <v>11986</v>
      </c>
      <c r="E8909" t="s">
        <v>26644</v>
      </c>
      <c r="F8909" t="s">
        <v>32664</v>
      </c>
      <c r="G8909" t="s">
        <v>32672</v>
      </c>
      <c r="H8909" t="s">
        <v>32683</v>
      </c>
      <c r="I8909" t="s">
        <v>10627</v>
      </c>
      <c r="J8909" t="s">
        <v>38228</v>
      </c>
      <c r="K8909" t="s">
        <v>42283</v>
      </c>
      <c r="M8909" t="s">
        <v>45392</v>
      </c>
      <c r="N8909" t="s">
        <v>46569</v>
      </c>
      <c r="O8909" t="s">
        <v>46570</v>
      </c>
      <c r="P8909">
        <v>0</v>
      </c>
      <c r="Q8909">
        <v>1</v>
      </c>
      <c r="R8909" t="s">
        <v>46576</v>
      </c>
      <c r="S8909" t="s">
        <v>46749</v>
      </c>
      <c r="T8909" t="s">
        <v>48219</v>
      </c>
      <c r="U8909" t="s">
        <v>55985</v>
      </c>
      <c r="W8909" t="s">
        <v>45392</v>
      </c>
      <c r="X8909" t="s">
        <v>46577</v>
      </c>
    </row>
    <row r="8910" spans="1:24">
      <c r="A8910">
        <f>HYPERLINK("https://www.philgeps.gov.ph/GEPSNONPILOT/Tender/SplashBidNoticeAbstractUI.aspx?menuIndex=3&amp;refID=7057942&amp;Result=3","7057942")</f>
        <v>0</v>
      </c>
      <c r="B8910" t="s">
        <v>2555</v>
      </c>
      <c r="C8910" t="s">
        <v>11987</v>
      </c>
      <c r="D8910" t="s">
        <v>18807</v>
      </c>
      <c r="E8910" t="s">
        <v>26645</v>
      </c>
      <c r="F8910" t="s">
        <v>32664</v>
      </c>
      <c r="G8910" t="s">
        <v>32674</v>
      </c>
      <c r="H8910" t="s">
        <v>12635</v>
      </c>
      <c r="I8910" t="s">
        <v>5589</v>
      </c>
      <c r="J8910" t="s">
        <v>33163</v>
      </c>
      <c r="K8910" t="s">
        <v>42297</v>
      </c>
      <c r="M8910" t="s">
        <v>45366</v>
      </c>
      <c r="N8910" t="s">
        <v>46569</v>
      </c>
      <c r="O8910" t="s">
        <v>46570</v>
      </c>
      <c r="P8910">
        <v>0</v>
      </c>
      <c r="Q8910">
        <v>1</v>
      </c>
      <c r="R8910" t="s">
        <v>46576</v>
      </c>
      <c r="S8910" t="s">
        <v>46749</v>
      </c>
      <c r="T8910" t="s">
        <v>48307</v>
      </c>
      <c r="U8910" t="s">
        <v>55986</v>
      </c>
      <c r="W8910" t="s">
        <v>45366</v>
      </c>
      <c r="X8910" t="s">
        <v>46577</v>
      </c>
    </row>
    <row r="8911" spans="1:24">
      <c r="A8911">
        <f>HYPERLINK("https://www.philgeps.gov.ph/GEPSNONPILOT/Tender/SplashBidNoticeAbstractUI.aspx?menuIndex=3&amp;refID=7057937&amp;Result=3","7057937")</f>
        <v>0</v>
      </c>
      <c r="B8911" t="s">
        <v>2555</v>
      </c>
      <c r="C8911" t="s">
        <v>11988</v>
      </c>
      <c r="D8911" t="s">
        <v>18807</v>
      </c>
      <c r="E8911" t="s">
        <v>26646</v>
      </c>
      <c r="F8911" t="s">
        <v>32664</v>
      </c>
      <c r="G8911" t="s">
        <v>32674</v>
      </c>
      <c r="H8911" t="s">
        <v>12635</v>
      </c>
      <c r="I8911" t="s">
        <v>4997</v>
      </c>
      <c r="J8911" t="s">
        <v>33817</v>
      </c>
      <c r="K8911" t="s">
        <v>42297</v>
      </c>
      <c r="M8911" t="s">
        <v>45366</v>
      </c>
      <c r="N8911" t="s">
        <v>46569</v>
      </c>
      <c r="O8911" t="s">
        <v>46570</v>
      </c>
      <c r="P8911">
        <v>0</v>
      </c>
      <c r="Q8911">
        <v>1</v>
      </c>
      <c r="R8911" t="s">
        <v>46576</v>
      </c>
      <c r="S8911" t="s">
        <v>46749</v>
      </c>
      <c r="T8911" t="s">
        <v>48307</v>
      </c>
      <c r="U8911" t="s">
        <v>55987</v>
      </c>
      <c r="W8911" t="s">
        <v>45366</v>
      </c>
      <c r="X8911" t="s">
        <v>46577</v>
      </c>
    </row>
    <row r="8912" spans="1:24">
      <c r="A8912">
        <f>HYPERLINK("https://www.philgeps.gov.ph/GEPSNONPILOT/Tender/SplashBidNoticeAbstractUI.aspx?menuIndex=3&amp;refID=7057935&amp;Result=3","7057935")</f>
        <v>0</v>
      </c>
      <c r="B8912" t="s">
        <v>2580</v>
      </c>
      <c r="C8912" t="s">
        <v>11989</v>
      </c>
      <c r="D8912" t="s">
        <v>18814</v>
      </c>
      <c r="E8912" t="s">
        <v>26647</v>
      </c>
      <c r="F8912" t="s">
        <v>32664</v>
      </c>
      <c r="G8912" t="s">
        <v>32672</v>
      </c>
      <c r="H8912" t="s">
        <v>12635</v>
      </c>
      <c r="I8912" t="s">
        <v>32712</v>
      </c>
      <c r="J8912" t="s">
        <v>35315</v>
      </c>
      <c r="K8912" t="s">
        <v>42298</v>
      </c>
      <c r="M8912" t="s">
        <v>45393</v>
      </c>
      <c r="N8912" t="s">
        <v>46569</v>
      </c>
      <c r="O8912" t="s">
        <v>46570</v>
      </c>
      <c r="P8912">
        <v>0</v>
      </c>
      <c r="Q8912">
        <v>10</v>
      </c>
      <c r="R8912" t="s">
        <v>46576</v>
      </c>
      <c r="S8912" t="s">
        <v>46749</v>
      </c>
      <c r="T8912" t="s">
        <v>48406</v>
      </c>
      <c r="U8912" t="s">
        <v>55988</v>
      </c>
      <c r="W8912" t="s">
        <v>45393</v>
      </c>
      <c r="X8912" t="s">
        <v>46577</v>
      </c>
    </row>
    <row r="8913" spans="1:24">
      <c r="A8913">
        <f>HYPERLINK("https://www.philgeps.gov.ph/GEPSNONPILOT/Tender/SplashBidNoticeAbstractUI.aspx?menuIndex=3&amp;refID=7057931&amp;Result=3","7057931")</f>
        <v>0</v>
      </c>
      <c r="B8913" t="s">
        <v>1734</v>
      </c>
      <c r="C8913" t="s">
        <v>11990</v>
      </c>
      <c r="D8913" t="s">
        <v>18789</v>
      </c>
      <c r="E8913" t="s">
        <v>26648</v>
      </c>
      <c r="F8913" t="s">
        <v>32664</v>
      </c>
      <c r="G8913" t="s">
        <v>32671</v>
      </c>
      <c r="H8913" t="s">
        <v>12635</v>
      </c>
      <c r="I8913" t="s">
        <v>8730</v>
      </c>
      <c r="J8913" t="s">
        <v>36808</v>
      </c>
      <c r="K8913" t="s">
        <v>42289</v>
      </c>
      <c r="M8913" t="s">
        <v>44433</v>
      </c>
      <c r="N8913" t="s">
        <v>46569</v>
      </c>
      <c r="O8913" t="s">
        <v>46570</v>
      </c>
      <c r="P8913">
        <v>0</v>
      </c>
      <c r="Q8913">
        <v>1</v>
      </c>
      <c r="R8913" t="s">
        <v>46576</v>
      </c>
      <c r="S8913" t="s">
        <v>46749</v>
      </c>
      <c r="T8913" t="s">
        <v>48316</v>
      </c>
      <c r="U8913" t="s">
        <v>55989</v>
      </c>
      <c r="W8913" t="s">
        <v>44433</v>
      </c>
      <c r="X8913" t="s">
        <v>46577</v>
      </c>
    </row>
    <row r="8914" spans="1:24">
      <c r="A8914">
        <f>HYPERLINK("https://www.philgeps.gov.ph/GEPSNONPILOT/Tender/SplashBidNoticeAbstractUI.aspx?menuIndex=3&amp;refID=7057962&amp;Result=3","7057962")</f>
        <v>0</v>
      </c>
      <c r="B8914" t="s">
        <v>2454</v>
      </c>
      <c r="C8914" t="s">
        <v>11991</v>
      </c>
      <c r="D8914" t="s">
        <v>18816</v>
      </c>
      <c r="E8914" t="s">
        <v>26649</v>
      </c>
      <c r="F8914" t="s">
        <v>32664</v>
      </c>
      <c r="G8914" t="s">
        <v>32672</v>
      </c>
      <c r="H8914" t="s">
        <v>32683</v>
      </c>
      <c r="I8914" t="s">
        <v>10627</v>
      </c>
      <c r="J8914" t="s">
        <v>38229</v>
      </c>
      <c r="K8914" t="s">
        <v>42290</v>
      </c>
      <c r="M8914" t="s">
        <v>45249</v>
      </c>
      <c r="N8914" t="s">
        <v>46569</v>
      </c>
      <c r="O8914" t="s">
        <v>46570</v>
      </c>
      <c r="P8914">
        <v>0</v>
      </c>
      <c r="Q8914">
        <v>0</v>
      </c>
      <c r="R8914" t="s">
        <v>46576</v>
      </c>
      <c r="S8914" t="s">
        <v>46749</v>
      </c>
      <c r="T8914" t="s">
        <v>48453</v>
      </c>
      <c r="U8914" t="s">
        <v>55990</v>
      </c>
      <c r="W8914" t="s">
        <v>45249</v>
      </c>
      <c r="X8914" t="s">
        <v>46577</v>
      </c>
    </row>
    <row r="8915" spans="1:24">
      <c r="A8915">
        <f>HYPERLINK("https://www.philgeps.gov.ph/GEPSNONPILOT/Tender/SplashBidNoticeAbstractUI.aspx?menuIndex=3&amp;refID=7057923&amp;Result=3","7057923")</f>
        <v>0</v>
      </c>
      <c r="B8915" t="s">
        <v>2555</v>
      </c>
      <c r="C8915" t="s">
        <v>11992</v>
      </c>
      <c r="D8915" t="s">
        <v>18807</v>
      </c>
      <c r="E8915" t="s">
        <v>26650</v>
      </c>
      <c r="F8915" t="s">
        <v>32664</v>
      </c>
      <c r="G8915" t="s">
        <v>32674</v>
      </c>
      <c r="H8915" t="s">
        <v>12635</v>
      </c>
      <c r="I8915" t="s">
        <v>32684</v>
      </c>
      <c r="J8915" t="s">
        <v>33215</v>
      </c>
      <c r="K8915" t="s">
        <v>42297</v>
      </c>
      <c r="M8915" t="s">
        <v>45366</v>
      </c>
      <c r="N8915" t="s">
        <v>46569</v>
      </c>
      <c r="O8915" t="s">
        <v>46570</v>
      </c>
      <c r="P8915">
        <v>0</v>
      </c>
      <c r="Q8915">
        <v>2</v>
      </c>
      <c r="R8915" t="s">
        <v>46576</v>
      </c>
      <c r="S8915" t="s">
        <v>46749</v>
      </c>
      <c r="T8915" t="s">
        <v>48307</v>
      </c>
      <c r="U8915" t="s">
        <v>55991</v>
      </c>
      <c r="W8915" t="s">
        <v>45366</v>
      </c>
      <c r="X8915" t="s">
        <v>46577</v>
      </c>
    </row>
    <row r="8916" spans="1:24">
      <c r="A8916">
        <f>HYPERLINK("https://www.philgeps.gov.ph/GEPSNONPILOT/Tender/SplashBidNoticeAbstractUI.aspx?menuIndex=3&amp;refID=7038302&amp;Result=3","7038302")</f>
        <v>0</v>
      </c>
      <c r="B8916" t="s">
        <v>684</v>
      </c>
      <c r="C8916" t="s">
        <v>11993</v>
      </c>
      <c r="E8916" t="s">
        <v>26651</v>
      </c>
      <c r="F8916" t="s">
        <v>32664</v>
      </c>
      <c r="G8916" t="s">
        <v>32672</v>
      </c>
      <c r="H8916" t="s">
        <v>32683</v>
      </c>
      <c r="I8916" t="s">
        <v>10627</v>
      </c>
      <c r="J8916" t="s">
        <v>38230</v>
      </c>
      <c r="K8916" t="s">
        <v>42285</v>
      </c>
      <c r="M8916" t="s">
        <v>45394</v>
      </c>
      <c r="N8916" t="s">
        <v>46569</v>
      </c>
      <c r="O8916" t="s">
        <v>46570</v>
      </c>
      <c r="P8916">
        <v>0</v>
      </c>
      <c r="Q8916">
        <v>1</v>
      </c>
      <c r="R8916" t="s">
        <v>46577</v>
      </c>
      <c r="S8916" t="s">
        <v>46808</v>
      </c>
      <c r="T8916" t="s">
        <v>48453</v>
      </c>
      <c r="U8916" t="s">
        <v>55992</v>
      </c>
      <c r="W8916" t="s">
        <v>45394</v>
      </c>
      <c r="X8916" t="s">
        <v>46586</v>
      </c>
    </row>
    <row r="8917" spans="1:24">
      <c r="A8917">
        <f>HYPERLINK("https://www.philgeps.gov.ph/GEPSNONPILOT/Tender/SplashBidNoticeAbstractUI.aspx?menuIndex=3&amp;refID=7038262&amp;Result=3","7038262")</f>
        <v>0</v>
      </c>
      <c r="B8917" t="s">
        <v>684</v>
      </c>
      <c r="C8917" t="s">
        <v>11994</v>
      </c>
      <c r="E8917" t="s">
        <v>26652</v>
      </c>
      <c r="F8917" t="s">
        <v>32664</v>
      </c>
      <c r="G8917" t="s">
        <v>32672</v>
      </c>
      <c r="H8917" t="s">
        <v>32683</v>
      </c>
      <c r="I8917" t="s">
        <v>10627</v>
      </c>
      <c r="J8917" t="s">
        <v>38231</v>
      </c>
      <c r="K8917" t="s">
        <v>42290</v>
      </c>
      <c r="M8917" t="s">
        <v>45394</v>
      </c>
      <c r="N8917" t="s">
        <v>46569</v>
      </c>
      <c r="O8917" t="s">
        <v>46570</v>
      </c>
      <c r="P8917">
        <v>0</v>
      </c>
      <c r="Q8917">
        <v>0</v>
      </c>
      <c r="R8917" t="s">
        <v>46577</v>
      </c>
      <c r="S8917" t="s">
        <v>46808</v>
      </c>
      <c r="T8917" t="s">
        <v>48453</v>
      </c>
      <c r="U8917" t="s">
        <v>55993</v>
      </c>
      <c r="W8917" t="s">
        <v>45394</v>
      </c>
      <c r="X8917" t="s">
        <v>46586</v>
      </c>
    </row>
    <row r="8918" spans="1:24">
      <c r="A8918">
        <f>HYPERLINK("https://www.philgeps.gov.ph/GEPSNONPILOT/Tender/SplashBidNoticeAbstractUI.aspx?menuIndex=3&amp;refID=7038021&amp;Result=3","7038021")</f>
        <v>0</v>
      </c>
      <c r="B8918" t="s">
        <v>2363</v>
      </c>
      <c r="C8918" t="s">
        <v>11995</v>
      </c>
      <c r="D8918" t="s">
        <v>18826</v>
      </c>
      <c r="E8918" t="s">
        <v>26653</v>
      </c>
      <c r="F8918" t="s">
        <v>32664</v>
      </c>
      <c r="G8918" t="s">
        <v>32672</v>
      </c>
      <c r="H8918" t="s">
        <v>32682</v>
      </c>
      <c r="I8918" t="s">
        <v>11464</v>
      </c>
      <c r="J8918" t="s">
        <v>33147</v>
      </c>
      <c r="K8918" t="s">
        <v>42281</v>
      </c>
      <c r="M8918" t="s">
        <v>45148</v>
      </c>
      <c r="N8918" t="s">
        <v>46569</v>
      </c>
      <c r="O8918" t="s">
        <v>46570</v>
      </c>
      <c r="P8918">
        <v>0</v>
      </c>
      <c r="Q8918">
        <v>3</v>
      </c>
      <c r="R8918" t="s">
        <v>46577</v>
      </c>
      <c r="S8918" t="s">
        <v>46808</v>
      </c>
      <c r="T8918" t="s">
        <v>48217</v>
      </c>
      <c r="U8918" t="s">
        <v>55994</v>
      </c>
      <c r="W8918" t="s">
        <v>45148</v>
      </c>
      <c r="X8918" t="s">
        <v>46587</v>
      </c>
    </row>
    <row r="8919" spans="1:24">
      <c r="A8919">
        <f>HYPERLINK("https://www.philgeps.gov.ph/GEPSNONPILOT/Tender/SplashBidNoticeAbstractUI.aspx?menuIndex=3&amp;refID=7035379&amp;Result=3","7035379")</f>
        <v>0</v>
      </c>
      <c r="B8919" t="s">
        <v>2581</v>
      </c>
      <c r="C8919" t="s">
        <v>11996</v>
      </c>
      <c r="D8919" t="s">
        <v>18833</v>
      </c>
      <c r="E8919" t="s">
        <v>26654</v>
      </c>
      <c r="F8919" t="s">
        <v>32664</v>
      </c>
      <c r="G8919" t="s">
        <v>32671</v>
      </c>
      <c r="H8919" t="s">
        <v>12635</v>
      </c>
      <c r="I8919" t="s">
        <v>7759</v>
      </c>
      <c r="J8919" t="s">
        <v>32974</v>
      </c>
      <c r="K8919" t="s">
        <v>42309</v>
      </c>
      <c r="M8919" t="s">
        <v>45395</v>
      </c>
      <c r="N8919" t="s">
        <v>46569</v>
      </c>
      <c r="O8919" t="s">
        <v>46570</v>
      </c>
      <c r="P8919">
        <v>0</v>
      </c>
      <c r="Q8919">
        <v>0</v>
      </c>
      <c r="R8919" t="s">
        <v>46577</v>
      </c>
      <c r="S8919" t="s">
        <v>46808</v>
      </c>
      <c r="T8919" t="s">
        <v>48290</v>
      </c>
      <c r="U8919" t="s">
        <v>55995</v>
      </c>
      <c r="V8919" t="s">
        <v>62546</v>
      </c>
      <c r="W8919" t="s">
        <v>45395</v>
      </c>
      <c r="X8919" t="s">
        <v>46587</v>
      </c>
    </row>
    <row r="8920" spans="1:24">
      <c r="A8920">
        <f>HYPERLINK("https://www.philgeps.gov.ph/GEPSNONPILOT/Tender/SplashBidNoticeAbstractUI.aspx?menuIndex=3&amp;refID=7033878&amp;Result=3","7033878")</f>
        <v>0</v>
      </c>
      <c r="B8920" t="s">
        <v>2582</v>
      </c>
      <c r="C8920" t="s">
        <v>11997</v>
      </c>
      <c r="D8920" t="s">
        <v>18796</v>
      </c>
      <c r="E8920" t="s">
        <v>21047</v>
      </c>
      <c r="F8920" t="s">
        <v>32664</v>
      </c>
      <c r="G8920" t="s">
        <v>32672</v>
      </c>
      <c r="H8920" t="s">
        <v>12635</v>
      </c>
      <c r="I8920" t="s">
        <v>8797</v>
      </c>
      <c r="J8920" t="s">
        <v>38232</v>
      </c>
      <c r="K8920" t="s">
        <v>42281</v>
      </c>
      <c r="M8920" t="s">
        <v>45396</v>
      </c>
      <c r="N8920" t="s">
        <v>46569</v>
      </c>
      <c r="O8920" t="s">
        <v>46570</v>
      </c>
      <c r="Q8920">
        <v>7</v>
      </c>
      <c r="R8920" t="s">
        <v>46577</v>
      </c>
      <c r="S8920" t="s">
        <v>46809</v>
      </c>
      <c r="T8920" t="s">
        <v>48213</v>
      </c>
      <c r="U8920" t="s">
        <v>55996</v>
      </c>
      <c r="W8920" t="s">
        <v>45396</v>
      </c>
      <c r="X8920" t="s">
        <v>46588</v>
      </c>
    </row>
    <row r="8921" spans="1:24">
      <c r="A8921">
        <f>HYPERLINK("https://www.philgeps.gov.ph/GEPSNONPILOT/Tender/SplashBidNoticeAbstractUI.aspx?menuIndex=3&amp;refID=7057895&amp;Result=3","7057895")</f>
        <v>0</v>
      </c>
      <c r="B8921" t="s">
        <v>2583</v>
      </c>
      <c r="C8921" t="s">
        <v>11998</v>
      </c>
      <c r="D8921" t="s">
        <v>18789</v>
      </c>
      <c r="E8921" t="s">
        <v>26655</v>
      </c>
      <c r="F8921" t="s">
        <v>32665</v>
      </c>
      <c r="G8921" t="s">
        <v>32671</v>
      </c>
      <c r="H8921" t="s">
        <v>12635</v>
      </c>
      <c r="I8921" t="s">
        <v>32692</v>
      </c>
      <c r="J8921" t="s">
        <v>38233</v>
      </c>
      <c r="K8921" t="s">
        <v>42295</v>
      </c>
      <c r="M8921" t="s">
        <v>45397</v>
      </c>
      <c r="N8921" t="s">
        <v>46569</v>
      </c>
      <c r="O8921" t="s">
        <v>46570</v>
      </c>
      <c r="P8921">
        <v>0</v>
      </c>
      <c r="Q8921">
        <v>1</v>
      </c>
      <c r="R8921" t="s">
        <v>46576</v>
      </c>
      <c r="S8921" t="s">
        <v>46749</v>
      </c>
      <c r="T8921" t="s">
        <v>48373</v>
      </c>
      <c r="U8921" t="s">
        <v>55997</v>
      </c>
      <c r="W8921" t="s">
        <v>45397</v>
      </c>
      <c r="X8921" t="s">
        <v>46577</v>
      </c>
    </row>
    <row r="8922" spans="1:24">
      <c r="A8922">
        <f>HYPERLINK("https://www.philgeps.gov.ph/GEPSNONPILOT/Tender/SplashBidNoticeAbstractUI.aspx?menuIndex=3&amp;refID=7029449&amp;Result=3","7029449")</f>
        <v>0</v>
      </c>
      <c r="B8922" t="s">
        <v>2584</v>
      </c>
      <c r="C8922" t="s">
        <v>11999</v>
      </c>
      <c r="D8922" t="s">
        <v>18818</v>
      </c>
      <c r="E8922" t="s">
        <v>25232</v>
      </c>
      <c r="F8922" t="s">
        <v>32664</v>
      </c>
      <c r="G8922" t="s">
        <v>32672</v>
      </c>
      <c r="H8922" t="s">
        <v>12635</v>
      </c>
      <c r="I8922" t="s">
        <v>4439</v>
      </c>
      <c r="J8922" t="s">
        <v>38234</v>
      </c>
      <c r="K8922" t="s">
        <v>42311</v>
      </c>
      <c r="M8922" t="s">
        <v>45398</v>
      </c>
      <c r="N8922" t="s">
        <v>46569</v>
      </c>
      <c r="O8922" t="s">
        <v>46570</v>
      </c>
      <c r="P8922">
        <v>0</v>
      </c>
      <c r="Q8922">
        <v>0</v>
      </c>
      <c r="R8922" t="s">
        <v>46577</v>
      </c>
      <c r="S8922" t="s">
        <v>46808</v>
      </c>
      <c r="T8922" t="s">
        <v>48313</v>
      </c>
      <c r="U8922" t="s">
        <v>55998</v>
      </c>
      <c r="W8922" t="s">
        <v>45398</v>
      </c>
      <c r="X8922" t="s">
        <v>46592</v>
      </c>
    </row>
    <row r="8923" spans="1:24">
      <c r="A8923">
        <f>HYPERLINK("https://www.philgeps.gov.ph/GEPSNONPILOT/Tender/SplashBidNoticeAbstractUI.aspx?menuIndex=3&amp;refID=7026745-2&amp;Result=3","7026745-2")</f>
        <v>0</v>
      </c>
      <c r="B8923" t="s">
        <v>2585</v>
      </c>
      <c r="C8923" t="s">
        <v>12000</v>
      </c>
      <c r="E8923" t="s">
        <v>26656</v>
      </c>
      <c r="F8923" t="s">
        <v>32664</v>
      </c>
      <c r="G8923" t="s">
        <v>32672</v>
      </c>
      <c r="H8923" t="s">
        <v>32681</v>
      </c>
      <c r="I8923" t="s">
        <v>32785</v>
      </c>
      <c r="J8923" t="s">
        <v>38235</v>
      </c>
      <c r="K8923" t="s">
        <v>42478</v>
      </c>
      <c r="M8923" t="s">
        <v>45399</v>
      </c>
      <c r="N8923" t="s">
        <v>46569</v>
      </c>
      <c r="O8923" t="s">
        <v>46570</v>
      </c>
      <c r="P8923">
        <v>0</v>
      </c>
      <c r="Q8923">
        <v>1</v>
      </c>
      <c r="R8923" t="s">
        <v>46577</v>
      </c>
      <c r="S8923" t="s">
        <v>46808</v>
      </c>
      <c r="T8923" t="s">
        <v>48313</v>
      </c>
      <c r="U8923" t="s">
        <v>55999</v>
      </c>
      <c r="V8923" t="s">
        <v>62547</v>
      </c>
      <c r="W8923" t="s">
        <v>45399</v>
      </c>
      <c r="X8923" t="s">
        <v>46579</v>
      </c>
    </row>
    <row r="8924" spans="1:24">
      <c r="A8924">
        <f>HYPERLINK("https://www.philgeps.gov.ph/GEPSNONPILOT/Tender/SplashBidNoticeAbstractUI.aspx?menuIndex=3&amp;refID=7057969&amp;Result=3","7057969")</f>
        <v>0</v>
      </c>
      <c r="B8924" t="s">
        <v>2454</v>
      </c>
      <c r="C8924" t="s">
        <v>12001</v>
      </c>
      <c r="D8924" t="s">
        <v>18816</v>
      </c>
      <c r="E8924" t="s">
        <v>26657</v>
      </c>
      <c r="F8924" t="s">
        <v>32664</v>
      </c>
      <c r="G8924" t="s">
        <v>32672</v>
      </c>
      <c r="H8924" t="s">
        <v>32683</v>
      </c>
      <c r="I8924" t="s">
        <v>10627</v>
      </c>
      <c r="J8924" t="s">
        <v>38236</v>
      </c>
      <c r="K8924" t="s">
        <v>42281</v>
      </c>
      <c r="M8924" t="s">
        <v>45249</v>
      </c>
      <c r="N8924" t="s">
        <v>46569</v>
      </c>
      <c r="O8924" t="s">
        <v>46570</v>
      </c>
      <c r="P8924">
        <v>0</v>
      </c>
      <c r="Q8924">
        <v>0</v>
      </c>
      <c r="R8924" t="s">
        <v>46576</v>
      </c>
      <c r="S8924" t="s">
        <v>46749</v>
      </c>
      <c r="T8924" t="s">
        <v>48453</v>
      </c>
      <c r="U8924" t="s">
        <v>56000</v>
      </c>
      <c r="W8924" t="s">
        <v>45249</v>
      </c>
      <c r="X8924" t="s">
        <v>46577</v>
      </c>
    </row>
    <row r="8925" spans="1:24">
      <c r="A8925">
        <f>HYPERLINK("https://www.philgeps.gov.ph/GEPSNONPILOT/Tender/SplashBidNoticeAbstractUI.aspx?menuIndex=3&amp;refID=7016970&amp;Result=3","7016970")</f>
        <v>0</v>
      </c>
      <c r="B8925" t="s">
        <v>163</v>
      </c>
      <c r="C8925" t="s">
        <v>12002</v>
      </c>
      <c r="D8925" t="s">
        <v>18799</v>
      </c>
      <c r="E8925" t="s">
        <v>26658</v>
      </c>
      <c r="F8925" t="s">
        <v>32664</v>
      </c>
      <c r="G8925" t="s">
        <v>32674</v>
      </c>
      <c r="H8925" t="s">
        <v>12635</v>
      </c>
      <c r="I8925" t="s">
        <v>5589</v>
      </c>
      <c r="J8925" t="s">
        <v>32853</v>
      </c>
      <c r="K8925" t="s">
        <v>42281</v>
      </c>
      <c r="M8925" t="s">
        <v>45400</v>
      </c>
      <c r="N8925" t="s">
        <v>46569</v>
      </c>
      <c r="O8925" t="s">
        <v>46570</v>
      </c>
      <c r="Q8925">
        <v>3</v>
      </c>
      <c r="R8925" t="s">
        <v>46577</v>
      </c>
      <c r="S8925" t="s">
        <v>46762</v>
      </c>
      <c r="T8925" t="s">
        <v>48316</v>
      </c>
      <c r="U8925" t="s">
        <v>56001</v>
      </c>
      <c r="W8925" t="s">
        <v>45400</v>
      </c>
      <c r="X8925" t="s">
        <v>46596</v>
      </c>
    </row>
    <row r="8926" spans="1:24">
      <c r="A8926">
        <f>HYPERLINK("https://www.philgeps.gov.ph/GEPSNONPILOT/Tender/SplashBidNoticeAbstractUI.aspx?menuIndex=3&amp;refID=7057990&amp;Result=3","7057990")</f>
        <v>0</v>
      </c>
      <c r="B8926" t="s">
        <v>2577</v>
      </c>
      <c r="C8926" t="s">
        <v>12003</v>
      </c>
      <c r="D8926" t="s">
        <v>18826</v>
      </c>
      <c r="E8926" t="s">
        <v>26659</v>
      </c>
      <c r="F8926" t="s">
        <v>32664</v>
      </c>
      <c r="G8926" t="s">
        <v>32671</v>
      </c>
      <c r="H8926" t="s">
        <v>12635</v>
      </c>
      <c r="I8926" t="s">
        <v>4439</v>
      </c>
      <c r="J8926" t="s">
        <v>38237</v>
      </c>
      <c r="K8926" t="s">
        <v>42284</v>
      </c>
      <c r="M8926" t="s">
        <v>45389</v>
      </c>
      <c r="N8926" t="s">
        <v>46569</v>
      </c>
      <c r="O8926" t="s">
        <v>46570</v>
      </c>
      <c r="P8926">
        <v>0</v>
      </c>
      <c r="Q8926">
        <v>0</v>
      </c>
      <c r="R8926" t="s">
        <v>46576</v>
      </c>
      <c r="S8926" t="s">
        <v>46749</v>
      </c>
      <c r="T8926" t="s">
        <v>48316</v>
      </c>
      <c r="U8926" t="s">
        <v>56002</v>
      </c>
      <c r="V8926" t="s">
        <v>62548</v>
      </c>
      <c r="W8926" t="s">
        <v>45389</v>
      </c>
      <c r="X8926" t="s">
        <v>46577</v>
      </c>
    </row>
    <row r="8927" spans="1:24">
      <c r="A8927">
        <f>HYPERLINK("https://www.philgeps.gov.ph/GEPSNONPILOT/Tender/SplashBidNoticeAbstractUI.aspx?menuIndex=3&amp;refID=7034087&amp;Result=3","7034087")</f>
        <v>0</v>
      </c>
      <c r="B8927" t="s">
        <v>2582</v>
      </c>
      <c r="C8927" t="s">
        <v>9120</v>
      </c>
      <c r="D8927" t="s">
        <v>18796</v>
      </c>
      <c r="E8927" t="s">
        <v>19202</v>
      </c>
      <c r="F8927" t="s">
        <v>32664</v>
      </c>
      <c r="G8927" t="s">
        <v>32672</v>
      </c>
      <c r="H8927" t="s">
        <v>12635</v>
      </c>
      <c r="I8927" t="s">
        <v>8797</v>
      </c>
      <c r="J8927" t="s">
        <v>38238</v>
      </c>
      <c r="K8927" t="s">
        <v>42281</v>
      </c>
      <c r="M8927" t="s">
        <v>45396</v>
      </c>
      <c r="N8927" t="s">
        <v>46569</v>
      </c>
      <c r="O8927" t="s">
        <v>46570</v>
      </c>
      <c r="Q8927">
        <v>9</v>
      </c>
      <c r="R8927" t="s">
        <v>46577</v>
      </c>
      <c r="S8927" t="s">
        <v>46810</v>
      </c>
      <c r="T8927" t="s">
        <v>48632</v>
      </c>
      <c r="U8927" t="s">
        <v>56003</v>
      </c>
      <c r="W8927" t="s">
        <v>45396</v>
      </c>
      <c r="X8927" t="s">
        <v>46588</v>
      </c>
    </row>
    <row r="8928" spans="1:24">
      <c r="A8928">
        <f>HYPERLINK("https://www.philgeps.gov.ph/GEPSNONPILOT/Tender/SplashBidNoticeAbstractUI.aspx?menuIndex=3&amp;refID=7058047&amp;Result=3","7058047")</f>
        <v>0</v>
      </c>
      <c r="B8928" t="s">
        <v>2378</v>
      </c>
      <c r="C8928" t="s">
        <v>12004</v>
      </c>
      <c r="D8928" t="s">
        <v>18831</v>
      </c>
      <c r="E8928" t="s">
        <v>26660</v>
      </c>
      <c r="F8928" t="s">
        <v>32664</v>
      </c>
      <c r="G8928" t="s">
        <v>32671</v>
      </c>
      <c r="H8928" t="s">
        <v>12635</v>
      </c>
      <c r="I8928" t="s">
        <v>4439</v>
      </c>
      <c r="J8928" t="s">
        <v>38239</v>
      </c>
      <c r="K8928" t="s">
        <v>42281</v>
      </c>
      <c r="M8928" t="s">
        <v>45166</v>
      </c>
      <c r="N8928" t="s">
        <v>46569</v>
      </c>
      <c r="O8928" t="s">
        <v>46570</v>
      </c>
      <c r="P8928">
        <v>0</v>
      </c>
      <c r="Q8928">
        <v>0</v>
      </c>
      <c r="R8928" t="s">
        <v>46576</v>
      </c>
      <c r="S8928" t="s">
        <v>46749</v>
      </c>
      <c r="T8928" t="s">
        <v>48502</v>
      </c>
      <c r="U8928" t="s">
        <v>55287</v>
      </c>
      <c r="W8928" t="s">
        <v>45166</v>
      </c>
      <c r="X8928" t="s">
        <v>46577</v>
      </c>
    </row>
    <row r="8929" spans="1:24">
      <c r="A8929">
        <f>HYPERLINK("https://www.philgeps.gov.ph/GEPSNONPILOT/Tender/SplashBidNoticeAbstractUI.aspx?menuIndex=3&amp;refID=7058035&amp;Result=3","7058035")</f>
        <v>0</v>
      </c>
      <c r="B8929" t="s">
        <v>2555</v>
      </c>
      <c r="C8929" t="s">
        <v>12005</v>
      </c>
      <c r="D8929" t="s">
        <v>18807</v>
      </c>
      <c r="E8929" t="s">
        <v>26661</v>
      </c>
      <c r="F8929" t="s">
        <v>32664</v>
      </c>
      <c r="G8929" t="s">
        <v>32674</v>
      </c>
      <c r="H8929" t="s">
        <v>12635</v>
      </c>
      <c r="I8929" t="s">
        <v>7429</v>
      </c>
      <c r="J8929" t="s">
        <v>38240</v>
      </c>
      <c r="K8929" t="s">
        <v>42297</v>
      </c>
      <c r="M8929" t="s">
        <v>45366</v>
      </c>
      <c r="N8929" t="s">
        <v>46569</v>
      </c>
      <c r="O8929" t="s">
        <v>46570</v>
      </c>
      <c r="P8929">
        <v>0</v>
      </c>
      <c r="Q8929">
        <v>0</v>
      </c>
      <c r="R8929" t="s">
        <v>46576</v>
      </c>
      <c r="S8929" t="s">
        <v>46749</v>
      </c>
      <c r="T8929" t="s">
        <v>48307</v>
      </c>
      <c r="U8929" t="s">
        <v>56004</v>
      </c>
      <c r="W8929" t="s">
        <v>45366</v>
      </c>
      <c r="X8929" t="s">
        <v>46577</v>
      </c>
    </row>
    <row r="8930" spans="1:24">
      <c r="A8930">
        <f>HYPERLINK("https://www.philgeps.gov.ph/GEPSNONPILOT/Tender/SplashBidNoticeAbstractUI.aspx?menuIndex=3&amp;refID=7058038&amp;Result=3","7058038")</f>
        <v>0</v>
      </c>
      <c r="B8930" t="s">
        <v>2555</v>
      </c>
      <c r="C8930" t="s">
        <v>12006</v>
      </c>
      <c r="D8930" t="s">
        <v>18807</v>
      </c>
      <c r="E8930" t="s">
        <v>26662</v>
      </c>
      <c r="F8930" t="s">
        <v>32664</v>
      </c>
      <c r="G8930" t="s">
        <v>32674</v>
      </c>
      <c r="H8930" t="s">
        <v>12635</v>
      </c>
      <c r="I8930" t="s">
        <v>6168</v>
      </c>
      <c r="J8930" t="s">
        <v>38241</v>
      </c>
      <c r="K8930" t="s">
        <v>42297</v>
      </c>
      <c r="M8930" t="s">
        <v>45366</v>
      </c>
      <c r="N8930" t="s">
        <v>46569</v>
      </c>
      <c r="O8930" t="s">
        <v>46570</v>
      </c>
      <c r="P8930">
        <v>0</v>
      </c>
      <c r="Q8930">
        <v>1</v>
      </c>
      <c r="R8930" t="s">
        <v>46576</v>
      </c>
      <c r="S8930" t="s">
        <v>46749</v>
      </c>
      <c r="T8930" t="s">
        <v>48307</v>
      </c>
      <c r="U8930" t="s">
        <v>56005</v>
      </c>
      <c r="W8930" t="s">
        <v>45366</v>
      </c>
      <c r="X8930" t="s">
        <v>46577</v>
      </c>
    </row>
    <row r="8931" spans="1:24">
      <c r="A8931">
        <f>HYPERLINK("https://www.philgeps.gov.ph/GEPSNONPILOT/Tender/SplashBidNoticeAbstractUI.aspx?menuIndex=3&amp;refID=7058034&amp;Result=3","7058034")</f>
        <v>0</v>
      </c>
      <c r="B8931" t="s">
        <v>1313</v>
      </c>
      <c r="C8931" t="s">
        <v>12007</v>
      </c>
      <c r="E8931" t="s">
        <v>26663</v>
      </c>
      <c r="F8931" t="s">
        <v>32664</v>
      </c>
      <c r="G8931" t="s">
        <v>32672</v>
      </c>
      <c r="H8931" t="s">
        <v>32683</v>
      </c>
      <c r="I8931" t="s">
        <v>10627</v>
      </c>
      <c r="J8931" t="s">
        <v>38242</v>
      </c>
      <c r="K8931" t="s">
        <v>42290</v>
      </c>
      <c r="M8931" t="s">
        <v>43960</v>
      </c>
      <c r="N8931" t="s">
        <v>46569</v>
      </c>
      <c r="O8931" t="s">
        <v>46570</v>
      </c>
      <c r="P8931">
        <v>0</v>
      </c>
      <c r="Q8931">
        <v>2</v>
      </c>
      <c r="R8931" t="s">
        <v>46576</v>
      </c>
      <c r="S8931" t="s">
        <v>46749</v>
      </c>
      <c r="T8931" t="s">
        <v>48302</v>
      </c>
      <c r="U8931" t="s">
        <v>56006</v>
      </c>
      <c r="W8931" t="s">
        <v>43960</v>
      </c>
      <c r="X8931" t="s">
        <v>46577</v>
      </c>
    </row>
    <row r="8932" spans="1:24">
      <c r="A8932">
        <f>HYPERLINK("https://www.philgeps.gov.ph/GEPSNONPILOT/Tender/SplashBidNoticeAbstractUI.aspx?menuIndex=3&amp;refID=7058031&amp;Result=3","7058031")</f>
        <v>0</v>
      </c>
      <c r="B8932" t="s">
        <v>2555</v>
      </c>
      <c r="C8932" t="s">
        <v>12008</v>
      </c>
      <c r="D8932" t="s">
        <v>18807</v>
      </c>
      <c r="E8932" t="s">
        <v>26664</v>
      </c>
      <c r="F8932" t="s">
        <v>32664</v>
      </c>
      <c r="G8932" t="s">
        <v>32674</v>
      </c>
      <c r="H8932" t="s">
        <v>12635</v>
      </c>
      <c r="I8932" t="s">
        <v>32689</v>
      </c>
      <c r="J8932" t="s">
        <v>33311</v>
      </c>
      <c r="K8932" t="s">
        <v>42289</v>
      </c>
      <c r="M8932" t="s">
        <v>45366</v>
      </c>
      <c r="N8932" t="s">
        <v>46569</v>
      </c>
      <c r="O8932" t="s">
        <v>46570</v>
      </c>
      <c r="P8932">
        <v>0</v>
      </c>
      <c r="Q8932">
        <v>0</v>
      </c>
      <c r="R8932" t="s">
        <v>46576</v>
      </c>
      <c r="S8932" t="s">
        <v>46749</v>
      </c>
      <c r="T8932" t="s">
        <v>48307</v>
      </c>
      <c r="U8932" t="s">
        <v>56007</v>
      </c>
      <c r="W8932" t="s">
        <v>45366</v>
      </c>
      <c r="X8932" t="s">
        <v>46577</v>
      </c>
    </row>
    <row r="8933" spans="1:24">
      <c r="A8933">
        <f>HYPERLINK("https://www.philgeps.gov.ph/GEPSNONPILOT/Tender/SplashBidNoticeAbstractUI.aspx?menuIndex=3&amp;refID=7058019&amp;Result=3","7058019")</f>
        <v>0</v>
      </c>
      <c r="B8933" t="s">
        <v>2555</v>
      </c>
      <c r="C8933" t="s">
        <v>12009</v>
      </c>
      <c r="D8933" t="s">
        <v>18807</v>
      </c>
      <c r="E8933" t="s">
        <v>26665</v>
      </c>
      <c r="F8933" t="s">
        <v>32664</v>
      </c>
      <c r="G8933" t="s">
        <v>32674</v>
      </c>
      <c r="H8933" t="s">
        <v>12635</v>
      </c>
      <c r="I8933" t="s">
        <v>6168</v>
      </c>
      <c r="J8933" t="s">
        <v>33621</v>
      </c>
      <c r="K8933" t="s">
        <v>42297</v>
      </c>
      <c r="M8933" t="s">
        <v>45366</v>
      </c>
      <c r="N8933" t="s">
        <v>46569</v>
      </c>
      <c r="O8933" t="s">
        <v>46570</v>
      </c>
      <c r="P8933">
        <v>0</v>
      </c>
      <c r="Q8933">
        <v>1</v>
      </c>
      <c r="R8933" t="s">
        <v>46576</v>
      </c>
      <c r="S8933" t="s">
        <v>46749</v>
      </c>
      <c r="T8933" t="s">
        <v>48307</v>
      </c>
      <c r="U8933" t="s">
        <v>56008</v>
      </c>
      <c r="W8933" t="s">
        <v>45366</v>
      </c>
      <c r="X8933" t="s">
        <v>46577</v>
      </c>
    </row>
    <row r="8934" spans="1:24">
      <c r="A8934">
        <f>HYPERLINK("https://www.philgeps.gov.ph/GEPSNONPILOT/Tender/SplashBidNoticeAbstractUI.aspx?menuIndex=3&amp;refID=7057896&amp;Result=3","7057896")</f>
        <v>0</v>
      </c>
      <c r="B8934" t="s">
        <v>2555</v>
      </c>
      <c r="C8934" t="s">
        <v>11902</v>
      </c>
      <c r="D8934" t="s">
        <v>18807</v>
      </c>
      <c r="E8934" t="s">
        <v>26666</v>
      </c>
      <c r="F8934" t="s">
        <v>32664</v>
      </c>
      <c r="G8934" t="s">
        <v>32674</v>
      </c>
      <c r="H8934" t="s">
        <v>12635</v>
      </c>
      <c r="I8934" t="s">
        <v>6168</v>
      </c>
      <c r="J8934" t="s">
        <v>33311</v>
      </c>
      <c r="K8934" t="s">
        <v>42297</v>
      </c>
      <c r="M8934" t="s">
        <v>45366</v>
      </c>
      <c r="N8934" t="s">
        <v>46569</v>
      </c>
      <c r="O8934" t="s">
        <v>46570</v>
      </c>
      <c r="P8934">
        <v>0</v>
      </c>
      <c r="Q8934">
        <v>1</v>
      </c>
      <c r="R8934" t="s">
        <v>46576</v>
      </c>
      <c r="S8934" t="s">
        <v>46749</v>
      </c>
      <c r="T8934" t="s">
        <v>48307</v>
      </c>
      <c r="U8934" t="s">
        <v>56009</v>
      </c>
      <c r="W8934" t="s">
        <v>45366</v>
      </c>
      <c r="X8934" t="s">
        <v>46577</v>
      </c>
    </row>
    <row r="8935" spans="1:24">
      <c r="A8935">
        <f>HYPERLINK("https://www.philgeps.gov.ph/GEPSNONPILOT/Tender/SplashBidNoticeAbstractUI.aspx?menuIndex=3&amp;refID=7058012&amp;Result=3","7058012")</f>
        <v>0</v>
      </c>
      <c r="B8935" t="s">
        <v>2577</v>
      </c>
      <c r="C8935" t="s">
        <v>12010</v>
      </c>
      <c r="D8935" t="s">
        <v>18826</v>
      </c>
      <c r="E8935" t="s">
        <v>26632</v>
      </c>
      <c r="F8935" t="s">
        <v>32664</v>
      </c>
      <c r="G8935" t="s">
        <v>32671</v>
      </c>
      <c r="H8935" t="s">
        <v>12635</v>
      </c>
      <c r="I8935" t="s">
        <v>32694</v>
      </c>
      <c r="J8935" t="s">
        <v>34142</v>
      </c>
      <c r="K8935" t="s">
        <v>42284</v>
      </c>
      <c r="M8935" t="s">
        <v>45389</v>
      </c>
      <c r="N8935" t="s">
        <v>46569</v>
      </c>
      <c r="O8935" t="s">
        <v>46570</v>
      </c>
      <c r="P8935">
        <v>0</v>
      </c>
      <c r="Q8935">
        <v>1</v>
      </c>
      <c r="R8935" t="s">
        <v>46576</v>
      </c>
      <c r="S8935" t="s">
        <v>46749</v>
      </c>
      <c r="T8935" t="s">
        <v>48316</v>
      </c>
      <c r="U8935" t="s">
        <v>56010</v>
      </c>
      <c r="V8935" t="s">
        <v>62545</v>
      </c>
      <c r="W8935" t="s">
        <v>45389</v>
      </c>
      <c r="X8935" t="s">
        <v>46577</v>
      </c>
    </row>
    <row r="8936" spans="1:24">
      <c r="A8936">
        <f>HYPERLINK("https://www.philgeps.gov.ph/GEPSNONPILOT/Tender/SplashBidNoticeAbstractUI.aspx?menuIndex=3&amp;refID=7057921&amp;Result=3","7057921")</f>
        <v>0</v>
      </c>
      <c r="B8936" t="s">
        <v>2573</v>
      </c>
      <c r="C8936" t="s">
        <v>12011</v>
      </c>
      <c r="E8936" t="s">
        <v>26667</v>
      </c>
      <c r="F8936" t="s">
        <v>32664</v>
      </c>
      <c r="G8936" t="s">
        <v>32672</v>
      </c>
      <c r="H8936" t="s">
        <v>12635</v>
      </c>
      <c r="I8936" t="s">
        <v>7709</v>
      </c>
      <c r="J8936" t="s">
        <v>38243</v>
      </c>
      <c r="K8936" t="s">
        <v>42283</v>
      </c>
      <c r="M8936" t="s">
        <v>45385</v>
      </c>
      <c r="N8936" t="s">
        <v>46569</v>
      </c>
      <c r="O8936" t="s">
        <v>46570</v>
      </c>
      <c r="P8936">
        <v>0</v>
      </c>
      <c r="Q8936">
        <v>1</v>
      </c>
      <c r="R8936" t="s">
        <v>46576</v>
      </c>
      <c r="S8936" t="s">
        <v>46749</v>
      </c>
      <c r="T8936" t="s">
        <v>48216</v>
      </c>
      <c r="U8936" t="s">
        <v>56011</v>
      </c>
      <c r="W8936" t="s">
        <v>45385</v>
      </c>
      <c r="X8936" t="s">
        <v>46577</v>
      </c>
    </row>
    <row r="8937" spans="1:24">
      <c r="A8937">
        <f>HYPERLINK("https://www.philgeps.gov.ph/GEPSNONPILOT/Tender/SplashBidNoticeAbstractUI.aspx?menuIndex=3&amp;refID=7038337&amp;Result=3","7038337")</f>
        <v>0</v>
      </c>
      <c r="B8937" t="s">
        <v>684</v>
      </c>
      <c r="C8937" t="s">
        <v>12012</v>
      </c>
      <c r="E8937" t="s">
        <v>26668</v>
      </c>
      <c r="F8937" t="s">
        <v>32664</v>
      </c>
      <c r="G8937" t="s">
        <v>32672</v>
      </c>
      <c r="H8937" t="s">
        <v>32683</v>
      </c>
      <c r="I8937" t="s">
        <v>10627</v>
      </c>
      <c r="J8937" t="s">
        <v>38230</v>
      </c>
      <c r="K8937" t="s">
        <v>42285</v>
      </c>
      <c r="M8937" t="s">
        <v>45394</v>
      </c>
      <c r="N8937" t="s">
        <v>46569</v>
      </c>
      <c r="O8937" t="s">
        <v>46570</v>
      </c>
      <c r="P8937">
        <v>0</v>
      </c>
      <c r="Q8937">
        <v>2</v>
      </c>
      <c r="R8937" t="s">
        <v>46577</v>
      </c>
      <c r="S8937" t="s">
        <v>46808</v>
      </c>
      <c r="T8937" t="s">
        <v>48453</v>
      </c>
      <c r="U8937" t="s">
        <v>56012</v>
      </c>
      <c r="W8937" t="s">
        <v>45394</v>
      </c>
      <c r="X8937" t="s">
        <v>46586</v>
      </c>
    </row>
    <row r="8938" spans="1:24">
      <c r="A8938">
        <f>HYPERLINK("https://www.philgeps.gov.ph/GEPSNONPILOT/Tender/SplashBidNoticeAbstractUI.aspx?menuIndex=3&amp;refID=7045768&amp;Result=3","7045768")</f>
        <v>0</v>
      </c>
      <c r="B8938" t="s">
        <v>2586</v>
      </c>
      <c r="C8938" t="s">
        <v>12013</v>
      </c>
      <c r="D8938" t="s">
        <v>18796</v>
      </c>
      <c r="E8938" t="s">
        <v>26669</v>
      </c>
      <c r="F8938" t="s">
        <v>32664</v>
      </c>
      <c r="G8938" t="s">
        <v>32672</v>
      </c>
      <c r="H8938" t="s">
        <v>32683</v>
      </c>
      <c r="I8938" t="s">
        <v>10627</v>
      </c>
      <c r="J8938" t="s">
        <v>38244</v>
      </c>
      <c r="K8938" t="s">
        <v>42310</v>
      </c>
      <c r="M8938" t="s">
        <v>45401</v>
      </c>
      <c r="N8938" t="s">
        <v>46569</v>
      </c>
      <c r="O8938" t="s">
        <v>46570</v>
      </c>
      <c r="P8938">
        <v>0</v>
      </c>
      <c r="Q8938">
        <v>0</v>
      </c>
      <c r="R8938" t="s">
        <v>46577</v>
      </c>
      <c r="S8938" t="s">
        <v>46808</v>
      </c>
      <c r="T8938" t="s">
        <v>48580</v>
      </c>
      <c r="U8938" t="s">
        <v>56013</v>
      </c>
      <c r="W8938" t="s">
        <v>45401</v>
      </c>
      <c r="X8938" t="s">
        <v>46581</v>
      </c>
    </row>
    <row r="8939" spans="1:24">
      <c r="A8939">
        <f>HYPERLINK("https://www.philgeps.gov.ph/GEPSNONPILOT/Tender/SplashBidNoticeAbstractUI.aspx?menuIndex=3&amp;refID=7045369&amp;Result=3","7045369")</f>
        <v>0</v>
      </c>
      <c r="B8939" t="s">
        <v>460</v>
      </c>
      <c r="C8939" t="s">
        <v>12014</v>
      </c>
      <c r="D8939" t="s">
        <v>18806</v>
      </c>
      <c r="E8939" t="s">
        <v>26670</v>
      </c>
      <c r="F8939" t="s">
        <v>32664</v>
      </c>
      <c r="G8939" t="s">
        <v>32672</v>
      </c>
      <c r="H8939" t="s">
        <v>12635</v>
      </c>
      <c r="I8939" t="s">
        <v>32704</v>
      </c>
      <c r="J8939" t="s">
        <v>34712</v>
      </c>
      <c r="K8939" t="s">
        <v>42330</v>
      </c>
      <c r="M8939" t="s">
        <v>43035</v>
      </c>
      <c r="N8939" t="s">
        <v>46569</v>
      </c>
      <c r="O8939" t="s">
        <v>46570</v>
      </c>
      <c r="Q8939">
        <v>3</v>
      </c>
      <c r="R8939" t="s">
        <v>46577</v>
      </c>
      <c r="S8939" t="s">
        <v>46811</v>
      </c>
      <c r="T8939" t="s">
        <v>48307</v>
      </c>
      <c r="U8939" t="s">
        <v>56014</v>
      </c>
      <c r="V8939" t="s">
        <v>61891</v>
      </c>
      <c r="W8939" t="s">
        <v>43035</v>
      </c>
      <c r="X8939" t="s">
        <v>46581</v>
      </c>
    </row>
    <row r="8940" spans="1:24">
      <c r="A8940">
        <f>HYPERLINK("https://www.philgeps.gov.ph/GEPSNONPILOT/Tender/SplashBidNoticeAbstractUI.aspx?menuIndex=3&amp;refID=6954725&amp;Result=3","6954725")</f>
        <v>0</v>
      </c>
      <c r="B8940" t="s">
        <v>844</v>
      </c>
      <c r="C8940" t="s">
        <v>12015</v>
      </c>
      <c r="D8940" t="s">
        <v>18805</v>
      </c>
      <c r="E8940" t="s">
        <v>25664</v>
      </c>
      <c r="F8940" t="s">
        <v>32664</v>
      </c>
      <c r="G8940" t="s">
        <v>32671</v>
      </c>
      <c r="H8940" t="s">
        <v>12635</v>
      </c>
      <c r="I8940" t="s">
        <v>8730</v>
      </c>
      <c r="J8940" t="s">
        <v>33311</v>
      </c>
      <c r="K8940" t="s">
        <v>42306</v>
      </c>
      <c r="M8940" t="s">
        <v>43439</v>
      </c>
      <c r="N8940" t="s">
        <v>46569</v>
      </c>
      <c r="O8940" t="s">
        <v>46570</v>
      </c>
      <c r="P8940">
        <v>0</v>
      </c>
      <c r="Q8940">
        <v>2</v>
      </c>
      <c r="R8940" t="s">
        <v>46577</v>
      </c>
      <c r="S8940" t="s">
        <v>46808</v>
      </c>
      <c r="T8940" t="s">
        <v>48410</v>
      </c>
      <c r="U8940" t="s">
        <v>56015</v>
      </c>
      <c r="W8940" t="s">
        <v>43439</v>
      </c>
      <c r="X8940" t="s">
        <v>63611</v>
      </c>
    </row>
    <row r="8941" spans="1:24">
      <c r="A8941">
        <f>HYPERLINK("https://www.philgeps.gov.ph/GEPSNONPILOT/Tender/SplashBidNoticeAbstractUI.aspx?menuIndex=3&amp;refID=7058027&amp;Result=3","7058027")</f>
        <v>0</v>
      </c>
      <c r="B8941" t="s">
        <v>2555</v>
      </c>
      <c r="C8941" t="s">
        <v>12016</v>
      </c>
      <c r="D8941" t="s">
        <v>18807</v>
      </c>
      <c r="E8941" t="s">
        <v>26671</v>
      </c>
      <c r="F8941" t="s">
        <v>32664</v>
      </c>
      <c r="G8941" t="s">
        <v>32674</v>
      </c>
      <c r="H8941" t="s">
        <v>12635</v>
      </c>
      <c r="I8941" t="s">
        <v>32706</v>
      </c>
      <c r="J8941" t="s">
        <v>38245</v>
      </c>
      <c r="K8941" t="s">
        <v>42297</v>
      </c>
      <c r="M8941" t="s">
        <v>45366</v>
      </c>
      <c r="N8941" t="s">
        <v>46569</v>
      </c>
      <c r="O8941" t="s">
        <v>46570</v>
      </c>
      <c r="P8941">
        <v>0</v>
      </c>
      <c r="Q8941">
        <v>0</v>
      </c>
      <c r="R8941" t="s">
        <v>46576</v>
      </c>
      <c r="S8941" t="s">
        <v>46749</v>
      </c>
      <c r="T8941" t="s">
        <v>48307</v>
      </c>
      <c r="U8941" t="s">
        <v>56016</v>
      </c>
      <c r="W8941" t="s">
        <v>45366</v>
      </c>
      <c r="X8941" t="s">
        <v>46577</v>
      </c>
    </row>
    <row r="8942" spans="1:24">
      <c r="A8942">
        <f>HYPERLINK("https://www.philgeps.gov.ph/GEPSNONPILOT/Tender/SplashBidNoticeAbstractUI.aspx?menuIndex=3&amp;refID=7045358&amp;Result=3","7045358")</f>
        <v>0</v>
      </c>
      <c r="B8942" t="s">
        <v>460</v>
      </c>
      <c r="C8942" t="s">
        <v>12017</v>
      </c>
      <c r="D8942" t="s">
        <v>18806</v>
      </c>
      <c r="E8942" t="s">
        <v>26672</v>
      </c>
      <c r="F8942" t="s">
        <v>32664</v>
      </c>
      <c r="G8942" t="s">
        <v>32672</v>
      </c>
      <c r="H8942" t="s">
        <v>12635</v>
      </c>
      <c r="I8942" t="s">
        <v>32704</v>
      </c>
      <c r="J8942" t="s">
        <v>35245</v>
      </c>
      <c r="K8942" t="s">
        <v>42330</v>
      </c>
      <c r="M8942" t="s">
        <v>43035</v>
      </c>
      <c r="N8942" t="s">
        <v>46569</v>
      </c>
      <c r="O8942" t="s">
        <v>46570</v>
      </c>
      <c r="Q8942">
        <v>5</v>
      </c>
      <c r="R8942" t="s">
        <v>46577</v>
      </c>
      <c r="S8942" t="s">
        <v>46812</v>
      </c>
      <c r="T8942" t="s">
        <v>48307</v>
      </c>
      <c r="U8942" t="s">
        <v>56017</v>
      </c>
      <c r="V8942" t="s">
        <v>61891</v>
      </c>
      <c r="W8942" t="s">
        <v>43035</v>
      </c>
      <c r="X8942" t="s">
        <v>46581</v>
      </c>
    </row>
    <row r="8943" spans="1:24">
      <c r="A8943">
        <f>HYPERLINK("https://www.philgeps.gov.ph/GEPSNONPILOT/Tender/SplashBidNoticeAbstractUI.aspx?menuIndex=3&amp;refID=7045341&amp;Result=3","7045341")</f>
        <v>0</v>
      </c>
      <c r="B8943" t="s">
        <v>460</v>
      </c>
      <c r="C8943" t="s">
        <v>12018</v>
      </c>
      <c r="D8943" t="s">
        <v>18806</v>
      </c>
      <c r="E8943" t="s">
        <v>26673</v>
      </c>
      <c r="F8943" t="s">
        <v>32664</v>
      </c>
      <c r="G8943" t="s">
        <v>32672</v>
      </c>
      <c r="H8943" t="s">
        <v>12635</v>
      </c>
      <c r="I8943" t="s">
        <v>8797</v>
      </c>
      <c r="J8943" t="s">
        <v>38246</v>
      </c>
      <c r="K8943" t="s">
        <v>42330</v>
      </c>
      <c r="M8943" t="s">
        <v>43035</v>
      </c>
      <c r="N8943" t="s">
        <v>46569</v>
      </c>
      <c r="O8943" t="s">
        <v>46570</v>
      </c>
      <c r="Q8943">
        <v>5</v>
      </c>
      <c r="R8943" t="s">
        <v>46577</v>
      </c>
      <c r="S8943" t="s">
        <v>46813</v>
      </c>
      <c r="T8943" t="s">
        <v>48307</v>
      </c>
      <c r="U8943" t="s">
        <v>56018</v>
      </c>
      <c r="V8943" t="s">
        <v>61891</v>
      </c>
      <c r="W8943" t="s">
        <v>43035</v>
      </c>
      <c r="X8943" t="s">
        <v>46581</v>
      </c>
    </row>
    <row r="8944" spans="1:24">
      <c r="A8944">
        <f>HYPERLINK("https://www.philgeps.gov.ph/GEPSNONPILOT/Tender/SplashBidNoticeAbstractUI.aspx?menuIndex=3&amp;refID=7046072&amp;Result=3","7046072")</f>
        <v>0</v>
      </c>
      <c r="B8944" t="s">
        <v>460</v>
      </c>
      <c r="C8944" t="s">
        <v>12019</v>
      </c>
      <c r="D8944" t="s">
        <v>18806</v>
      </c>
      <c r="E8944" t="s">
        <v>26674</v>
      </c>
      <c r="F8944" t="s">
        <v>32664</v>
      </c>
      <c r="G8944" t="s">
        <v>32672</v>
      </c>
      <c r="H8944" t="s">
        <v>12635</v>
      </c>
      <c r="I8944" t="s">
        <v>32704</v>
      </c>
      <c r="J8944" t="s">
        <v>38247</v>
      </c>
      <c r="K8944" t="s">
        <v>42330</v>
      </c>
      <c r="M8944" t="s">
        <v>43641</v>
      </c>
      <c r="N8944" t="s">
        <v>46569</v>
      </c>
      <c r="O8944" t="s">
        <v>46570</v>
      </c>
      <c r="P8944">
        <v>0</v>
      </c>
      <c r="Q8944">
        <v>4</v>
      </c>
      <c r="R8944" t="s">
        <v>46577</v>
      </c>
      <c r="S8944" t="s">
        <v>46808</v>
      </c>
      <c r="T8944" t="s">
        <v>48228</v>
      </c>
      <c r="U8944" t="s">
        <v>56019</v>
      </c>
      <c r="V8944" t="s">
        <v>61876</v>
      </c>
      <c r="W8944" t="s">
        <v>43641</v>
      </c>
      <c r="X8944" t="s">
        <v>46581</v>
      </c>
    </row>
    <row r="8945" spans="1:24">
      <c r="A8945">
        <f>HYPERLINK("https://www.philgeps.gov.ph/GEPSNONPILOT/Tender/SplashBidNoticeAbstractUI.aspx?menuIndex=3&amp;refID=7038397&amp;Result=3","7038397")</f>
        <v>0</v>
      </c>
      <c r="B8945" t="s">
        <v>684</v>
      </c>
      <c r="C8945" t="s">
        <v>12020</v>
      </c>
      <c r="E8945" t="s">
        <v>26675</v>
      </c>
      <c r="F8945" t="s">
        <v>32664</v>
      </c>
      <c r="G8945" t="s">
        <v>32672</v>
      </c>
      <c r="H8945" t="s">
        <v>32683</v>
      </c>
      <c r="I8945" t="s">
        <v>10627</v>
      </c>
      <c r="J8945" t="s">
        <v>34431</v>
      </c>
      <c r="K8945" t="s">
        <v>42345</v>
      </c>
      <c r="M8945" t="s">
        <v>45394</v>
      </c>
      <c r="N8945" t="s">
        <v>46569</v>
      </c>
      <c r="O8945" t="s">
        <v>46570</v>
      </c>
      <c r="P8945">
        <v>0</v>
      </c>
      <c r="Q8945">
        <v>1</v>
      </c>
      <c r="R8945" t="s">
        <v>46577</v>
      </c>
      <c r="S8945" t="s">
        <v>46808</v>
      </c>
      <c r="T8945" t="s">
        <v>48453</v>
      </c>
      <c r="U8945" t="s">
        <v>56020</v>
      </c>
      <c r="W8945" t="s">
        <v>45394</v>
      </c>
      <c r="X8945" t="s">
        <v>46586</v>
      </c>
    </row>
    <row r="8946" spans="1:24">
      <c r="A8946">
        <f>HYPERLINK("https://www.philgeps.gov.ph/GEPSNONPILOT/Tender/SplashBidNoticeAbstractUI.aspx?menuIndex=3&amp;refID=7046056&amp;Result=3","7046056")</f>
        <v>0</v>
      </c>
      <c r="B8946" t="s">
        <v>460</v>
      </c>
      <c r="C8946" t="s">
        <v>12021</v>
      </c>
      <c r="D8946" t="s">
        <v>18806</v>
      </c>
      <c r="E8946" t="s">
        <v>26676</v>
      </c>
      <c r="F8946" t="s">
        <v>32664</v>
      </c>
      <c r="G8946" t="s">
        <v>32672</v>
      </c>
      <c r="H8946" t="s">
        <v>12635</v>
      </c>
      <c r="I8946" t="s">
        <v>9486</v>
      </c>
      <c r="J8946" t="s">
        <v>38248</v>
      </c>
      <c r="K8946" t="s">
        <v>42330</v>
      </c>
      <c r="M8946" t="s">
        <v>43641</v>
      </c>
      <c r="N8946" t="s">
        <v>46569</v>
      </c>
      <c r="O8946" t="s">
        <v>46570</v>
      </c>
      <c r="P8946">
        <v>0</v>
      </c>
      <c r="Q8946">
        <v>1</v>
      </c>
      <c r="R8946" t="s">
        <v>46577</v>
      </c>
      <c r="S8946" t="s">
        <v>46808</v>
      </c>
      <c r="T8946" t="s">
        <v>48228</v>
      </c>
      <c r="U8946" t="s">
        <v>56021</v>
      </c>
      <c r="V8946" t="s">
        <v>61876</v>
      </c>
      <c r="W8946" t="s">
        <v>43641</v>
      </c>
      <c r="X8946" t="s">
        <v>46581</v>
      </c>
    </row>
    <row r="8947" spans="1:24">
      <c r="A8947">
        <f>HYPERLINK("https://www.philgeps.gov.ph/GEPSNONPILOT/Tender/SplashBidNoticeAbstractUI.aspx?menuIndex=3&amp;refID=7045844&amp;Result=3","7045844")</f>
        <v>0</v>
      </c>
      <c r="B8947" t="s">
        <v>2587</v>
      </c>
      <c r="C8947" t="s">
        <v>12022</v>
      </c>
      <c r="D8947" t="s">
        <v>18804</v>
      </c>
      <c r="E8947" t="s">
        <v>26677</v>
      </c>
      <c r="F8947" t="s">
        <v>32664</v>
      </c>
      <c r="G8947" t="s">
        <v>32672</v>
      </c>
      <c r="H8947" t="s">
        <v>32683</v>
      </c>
      <c r="I8947" t="s">
        <v>10627</v>
      </c>
      <c r="J8947" t="s">
        <v>32865</v>
      </c>
      <c r="K8947" t="s">
        <v>42311</v>
      </c>
      <c r="M8947" t="s">
        <v>45402</v>
      </c>
      <c r="N8947" t="s">
        <v>46569</v>
      </c>
      <c r="O8947" t="s">
        <v>46570</v>
      </c>
      <c r="P8947">
        <v>0</v>
      </c>
      <c r="Q8947">
        <v>0</v>
      </c>
      <c r="R8947" t="s">
        <v>46577</v>
      </c>
      <c r="S8947" t="s">
        <v>46808</v>
      </c>
      <c r="T8947" t="s">
        <v>48213</v>
      </c>
      <c r="U8947" t="s">
        <v>56022</v>
      </c>
      <c r="W8947" t="s">
        <v>45402</v>
      </c>
      <c r="X8947" t="s">
        <v>46581</v>
      </c>
    </row>
    <row r="8948" spans="1:24">
      <c r="A8948">
        <f>HYPERLINK("https://www.philgeps.gov.ph/GEPSNONPILOT/Tender/SplashBidNoticeAbstractUI.aspx?menuIndex=3&amp;refID=7045331&amp;Result=3","7045331")</f>
        <v>0</v>
      </c>
      <c r="B8948" t="s">
        <v>460</v>
      </c>
      <c r="C8948" t="s">
        <v>12023</v>
      </c>
      <c r="D8948" t="s">
        <v>18806</v>
      </c>
      <c r="E8948" t="s">
        <v>26678</v>
      </c>
      <c r="F8948" t="s">
        <v>32664</v>
      </c>
      <c r="G8948" t="s">
        <v>32672</v>
      </c>
      <c r="H8948" t="s">
        <v>12635</v>
      </c>
      <c r="I8948" t="s">
        <v>8797</v>
      </c>
      <c r="J8948" t="s">
        <v>38249</v>
      </c>
      <c r="K8948" t="s">
        <v>42330</v>
      </c>
      <c r="M8948" t="s">
        <v>43035</v>
      </c>
      <c r="N8948" t="s">
        <v>46569</v>
      </c>
      <c r="O8948" t="s">
        <v>46570</v>
      </c>
      <c r="Q8948">
        <v>4</v>
      </c>
      <c r="R8948" t="s">
        <v>46577</v>
      </c>
      <c r="S8948" t="s">
        <v>46814</v>
      </c>
      <c r="T8948" t="s">
        <v>48307</v>
      </c>
      <c r="U8948" t="s">
        <v>56023</v>
      </c>
      <c r="V8948" t="s">
        <v>61891</v>
      </c>
      <c r="W8948" t="s">
        <v>43035</v>
      </c>
      <c r="X8948" t="s">
        <v>46581</v>
      </c>
    </row>
    <row r="8949" spans="1:24">
      <c r="A8949">
        <f>HYPERLINK("https://www.philgeps.gov.ph/GEPSNONPILOT/Tender/SplashBidNoticeAbstractUI.aspx?menuIndex=3&amp;refID=7044328&amp;Result=3","7044328")</f>
        <v>0</v>
      </c>
      <c r="B8949" t="s">
        <v>1629</v>
      </c>
      <c r="C8949" t="s">
        <v>12024</v>
      </c>
      <c r="D8949" t="s">
        <v>18786</v>
      </c>
      <c r="E8949" t="s">
        <v>26679</v>
      </c>
      <c r="F8949" t="s">
        <v>32664</v>
      </c>
      <c r="G8949" t="s">
        <v>32671</v>
      </c>
      <c r="H8949" t="s">
        <v>12635</v>
      </c>
      <c r="I8949" t="s">
        <v>6118</v>
      </c>
      <c r="J8949" t="s">
        <v>32898</v>
      </c>
      <c r="K8949" t="s">
        <v>42297</v>
      </c>
      <c r="M8949" t="s">
        <v>44311</v>
      </c>
      <c r="N8949" t="s">
        <v>46569</v>
      </c>
      <c r="O8949" t="s">
        <v>46570</v>
      </c>
      <c r="P8949">
        <v>0</v>
      </c>
      <c r="Q8949">
        <v>1</v>
      </c>
      <c r="R8949" t="s">
        <v>46577</v>
      </c>
      <c r="S8949" t="s">
        <v>46808</v>
      </c>
      <c r="T8949" t="s">
        <v>48590</v>
      </c>
      <c r="U8949" t="s">
        <v>56024</v>
      </c>
      <c r="W8949" t="s">
        <v>44311</v>
      </c>
      <c r="X8949" t="s">
        <v>46582</v>
      </c>
    </row>
    <row r="8950" spans="1:24">
      <c r="A8950">
        <f>HYPERLINK("https://www.philgeps.gov.ph/GEPSNONPILOT/Tender/SplashBidNoticeAbstractUI.aspx?menuIndex=3&amp;refID=7058049&amp;Result=3","7058049")</f>
        <v>0</v>
      </c>
      <c r="B8950" t="s">
        <v>2378</v>
      </c>
      <c r="C8950" t="s">
        <v>12025</v>
      </c>
      <c r="D8950" t="s">
        <v>18831</v>
      </c>
      <c r="E8950" t="s">
        <v>26680</v>
      </c>
      <c r="F8950" t="s">
        <v>32664</v>
      </c>
      <c r="G8950" t="s">
        <v>32671</v>
      </c>
      <c r="H8950" t="s">
        <v>12635</v>
      </c>
      <c r="I8950" t="s">
        <v>4439</v>
      </c>
      <c r="J8950" t="s">
        <v>38250</v>
      </c>
      <c r="K8950" t="s">
        <v>42281</v>
      </c>
      <c r="M8950" t="s">
        <v>45166</v>
      </c>
      <c r="N8950" t="s">
        <v>46569</v>
      </c>
      <c r="O8950" t="s">
        <v>46570</v>
      </c>
      <c r="P8950">
        <v>0</v>
      </c>
      <c r="Q8950">
        <v>0</v>
      </c>
      <c r="R8950" t="s">
        <v>46576</v>
      </c>
      <c r="S8950" t="s">
        <v>46749</v>
      </c>
      <c r="T8950" t="s">
        <v>48502</v>
      </c>
      <c r="U8950" t="s">
        <v>55287</v>
      </c>
      <c r="W8950" t="s">
        <v>45166</v>
      </c>
      <c r="X8950" t="s">
        <v>46577</v>
      </c>
    </row>
    <row r="8951" spans="1:24">
      <c r="A8951">
        <f>HYPERLINK("https://www.philgeps.gov.ph/GEPSNONPILOT/Tender/SplashBidNoticeAbstractUI.aspx?menuIndex=3&amp;refID=7043019&amp;Result=3","7043019")</f>
        <v>0</v>
      </c>
      <c r="B8951" t="s">
        <v>1048</v>
      </c>
      <c r="C8951" t="s">
        <v>10022</v>
      </c>
      <c r="D8951" t="s">
        <v>18831</v>
      </c>
      <c r="E8951" t="s">
        <v>24938</v>
      </c>
      <c r="F8951" t="s">
        <v>32664</v>
      </c>
      <c r="G8951" t="s">
        <v>32672</v>
      </c>
      <c r="H8951" t="s">
        <v>32683</v>
      </c>
      <c r="I8951" t="s">
        <v>10627</v>
      </c>
      <c r="J8951" t="s">
        <v>33657</v>
      </c>
      <c r="K8951" t="s">
        <v>42369</v>
      </c>
      <c r="M8951" t="s">
        <v>43664</v>
      </c>
      <c r="N8951" t="s">
        <v>46569</v>
      </c>
      <c r="O8951" t="s">
        <v>46570</v>
      </c>
      <c r="Q8951">
        <v>1</v>
      </c>
      <c r="R8951" t="s">
        <v>46577</v>
      </c>
      <c r="S8951" t="s">
        <v>46815</v>
      </c>
      <c r="T8951" t="s">
        <v>48256</v>
      </c>
      <c r="U8951" t="s">
        <v>54432</v>
      </c>
      <c r="W8951" t="s">
        <v>43664</v>
      </c>
      <c r="X8951" t="s">
        <v>46585</v>
      </c>
    </row>
    <row r="8952" spans="1:24">
      <c r="A8952">
        <f>HYPERLINK("https://www.philgeps.gov.ph/GEPSNONPILOT/Tender/SplashBidNoticeAbstractUI.aspx?menuIndex=3&amp;refID=7042154&amp;Result=3","7042154")</f>
        <v>0</v>
      </c>
      <c r="B8952" t="s">
        <v>2588</v>
      </c>
      <c r="C8952" t="s">
        <v>12026</v>
      </c>
      <c r="D8952" t="s">
        <v>18822</v>
      </c>
      <c r="E8952" t="s">
        <v>26681</v>
      </c>
      <c r="F8952" t="s">
        <v>32664</v>
      </c>
      <c r="G8952" t="s">
        <v>32672</v>
      </c>
      <c r="H8952" t="s">
        <v>32683</v>
      </c>
      <c r="I8952" t="s">
        <v>4439</v>
      </c>
      <c r="J8952" t="s">
        <v>32974</v>
      </c>
      <c r="K8952" t="s">
        <v>42283</v>
      </c>
      <c r="M8952" t="s">
        <v>45403</v>
      </c>
      <c r="N8952" t="s">
        <v>46569</v>
      </c>
      <c r="O8952" t="s">
        <v>46570</v>
      </c>
      <c r="P8952">
        <v>0</v>
      </c>
      <c r="Q8952">
        <v>0</v>
      </c>
      <c r="R8952" t="s">
        <v>46577</v>
      </c>
      <c r="S8952" t="s">
        <v>46808</v>
      </c>
      <c r="T8952" t="s">
        <v>48246</v>
      </c>
      <c r="U8952" t="s">
        <v>56025</v>
      </c>
      <c r="V8952" t="s">
        <v>62549</v>
      </c>
      <c r="W8952" t="s">
        <v>45403</v>
      </c>
      <c r="X8952" t="s">
        <v>46585</v>
      </c>
    </row>
    <row r="8953" spans="1:24">
      <c r="A8953">
        <f>HYPERLINK("https://www.philgeps.gov.ph/GEPSNONPILOT/Tender/SplashBidNoticeAbstractUI.aspx?menuIndex=3&amp;refID=7041241&amp;Result=3","7041241")</f>
        <v>0</v>
      </c>
      <c r="B8953" t="s">
        <v>53</v>
      </c>
      <c r="C8953" t="s">
        <v>12027</v>
      </c>
      <c r="E8953" t="s">
        <v>26682</v>
      </c>
      <c r="F8953" t="s">
        <v>32664</v>
      </c>
      <c r="G8953" t="s">
        <v>32671</v>
      </c>
      <c r="H8953" t="s">
        <v>12635</v>
      </c>
      <c r="I8953" t="s">
        <v>32704</v>
      </c>
      <c r="J8953" t="s">
        <v>38251</v>
      </c>
      <c r="K8953" t="s">
        <v>42284</v>
      </c>
      <c r="M8953" t="s">
        <v>42624</v>
      </c>
      <c r="N8953" t="s">
        <v>46569</v>
      </c>
      <c r="O8953" t="s">
        <v>46570</v>
      </c>
      <c r="P8953">
        <v>0</v>
      </c>
      <c r="Q8953">
        <v>10</v>
      </c>
      <c r="R8953" t="s">
        <v>46577</v>
      </c>
      <c r="S8953" t="s">
        <v>46808</v>
      </c>
      <c r="T8953" t="s">
        <v>48376</v>
      </c>
      <c r="U8953" t="s">
        <v>50477</v>
      </c>
      <c r="W8953" t="s">
        <v>42624</v>
      </c>
      <c r="X8953" t="s">
        <v>46585</v>
      </c>
    </row>
    <row r="8954" spans="1:24">
      <c r="A8954">
        <f>HYPERLINK("https://www.philgeps.gov.ph/GEPSNONPILOT/Tender/SplashBidNoticeAbstractUI.aspx?menuIndex=3&amp;refID=7041190&amp;Result=3","7041190")</f>
        <v>0</v>
      </c>
      <c r="B8954" t="s">
        <v>2589</v>
      </c>
      <c r="C8954" t="s">
        <v>12028</v>
      </c>
      <c r="D8954" t="s">
        <v>18851</v>
      </c>
      <c r="E8954" t="s">
        <v>26683</v>
      </c>
      <c r="F8954" t="s">
        <v>32664</v>
      </c>
      <c r="G8954" t="s">
        <v>32672</v>
      </c>
      <c r="H8954" t="s">
        <v>32683</v>
      </c>
      <c r="I8954" t="s">
        <v>10627</v>
      </c>
      <c r="J8954" t="s">
        <v>33218</v>
      </c>
      <c r="K8954" t="s">
        <v>42298</v>
      </c>
      <c r="M8954" t="s">
        <v>45404</v>
      </c>
      <c r="N8954" t="s">
        <v>46569</v>
      </c>
      <c r="O8954" t="s">
        <v>46570</v>
      </c>
      <c r="P8954">
        <v>0</v>
      </c>
      <c r="Q8954">
        <v>0</v>
      </c>
      <c r="R8954" t="s">
        <v>46577</v>
      </c>
      <c r="S8954" t="s">
        <v>46808</v>
      </c>
      <c r="T8954" t="s">
        <v>48293</v>
      </c>
      <c r="U8954" t="s">
        <v>56026</v>
      </c>
      <c r="W8954" t="s">
        <v>45404</v>
      </c>
      <c r="X8954" t="s">
        <v>46585</v>
      </c>
    </row>
    <row r="8955" spans="1:24">
      <c r="A8955">
        <f>HYPERLINK("https://www.philgeps.gov.ph/GEPSNONPILOT/Tender/SplashBidNoticeAbstractUI.aspx?menuIndex=3&amp;refID=7039324&amp;Result=3","7039324")</f>
        <v>0</v>
      </c>
      <c r="B8955" t="s">
        <v>2590</v>
      </c>
      <c r="C8955" t="s">
        <v>12029</v>
      </c>
      <c r="D8955" t="s">
        <v>18792</v>
      </c>
      <c r="E8955" t="s">
        <v>26684</v>
      </c>
      <c r="F8955" t="s">
        <v>32664</v>
      </c>
      <c r="G8955" t="s">
        <v>32672</v>
      </c>
      <c r="H8955" t="s">
        <v>12635</v>
      </c>
      <c r="I8955" t="s">
        <v>4439</v>
      </c>
      <c r="J8955" t="s">
        <v>32898</v>
      </c>
      <c r="K8955" t="s">
        <v>42281</v>
      </c>
      <c r="M8955" t="s">
        <v>45405</v>
      </c>
      <c r="N8955" t="s">
        <v>46569</v>
      </c>
      <c r="O8955" t="s">
        <v>46570</v>
      </c>
      <c r="P8955">
        <v>0</v>
      </c>
      <c r="Q8955">
        <v>0</v>
      </c>
      <c r="R8955" t="s">
        <v>46577</v>
      </c>
      <c r="S8955" t="s">
        <v>46808</v>
      </c>
      <c r="T8955" t="s">
        <v>48284</v>
      </c>
      <c r="U8955" t="s">
        <v>50059</v>
      </c>
      <c r="W8955" t="s">
        <v>45405</v>
      </c>
      <c r="X8955" t="s">
        <v>46586</v>
      </c>
    </row>
    <row r="8956" spans="1:24">
      <c r="A8956">
        <f>HYPERLINK("https://www.philgeps.gov.ph/GEPSNONPILOT/Tender/SplashBidNoticeAbstractUI.aspx?menuIndex=3&amp;refID=7038409&amp;Result=3","7038409")</f>
        <v>0</v>
      </c>
      <c r="B8956" t="s">
        <v>684</v>
      </c>
      <c r="C8956" t="s">
        <v>12030</v>
      </c>
      <c r="E8956" t="s">
        <v>26685</v>
      </c>
      <c r="F8956" t="s">
        <v>32664</v>
      </c>
      <c r="G8956" t="s">
        <v>32672</v>
      </c>
      <c r="H8956" t="s">
        <v>32683</v>
      </c>
      <c r="I8956" t="s">
        <v>10627</v>
      </c>
      <c r="J8956" t="s">
        <v>38230</v>
      </c>
      <c r="K8956" t="s">
        <v>42308</v>
      </c>
      <c r="M8956" t="s">
        <v>45394</v>
      </c>
      <c r="N8956" t="s">
        <v>46569</v>
      </c>
      <c r="O8956" t="s">
        <v>46570</v>
      </c>
      <c r="P8956">
        <v>0</v>
      </c>
      <c r="Q8956">
        <v>2</v>
      </c>
      <c r="R8956" t="s">
        <v>46577</v>
      </c>
      <c r="S8956" t="s">
        <v>46808</v>
      </c>
      <c r="T8956" t="s">
        <v>48453</v>
      </c>
      <c r="U8956" t="s">
        <v>56027</v>
      </c>
      <c r="W8956" t="s">
        <v>45394</v>
      </c>
      <c r="X8956" t="s">
        <v>46586</v>
      </c>
    </row>
    <row r="8957" spans="1:24">
      <c r="A8957">
        <f>HYPERLINK("https://www.philgeps.gov.ph/GEPSNONPILOT/Tender/SplashBidNoticeAbstractUI.aspx?menuIndex=3&amp;refID=7043681&amp;Result=3","7043681")</f>
        <v>0</v>
      </c>
      <c r="B8957" t="s">
        <v>2591</v>
      </c>
      <c r="C8957" t="s">
        <v>12031</v>
      </c>
      <c r="D8957" t="s">
        <v>18849</v>
      </c>
      <c r="E8957" t="s">
        <v>26686</v>
      </c>
      <c r="F8957" t="s">
        <v>32664</v>
      </c>
      <c r="G8957" t="s">
        <v>32672</v>
      </c>
      <c r="H8957" t="s">
        <v>32683</v>
      </c>
      <c r="I8957" t="s">
        <v>10627</v>
      </c>
      <c r="J8957" t="s">
        <v>33009</v>
      </c>
      <c r="K8957" t="s">
        <v>42290</v>
      </c>
      <c r="M8957" t="s">
        <v>45406</v>
      </c>
      <c r="N8957" t="s">
        <v>46569</v>
      </c>
      <c r="O8957" t="s">
        <v>46570</v>
      </c>
      <c r="P8957">
        <v>0</v>
      </c>
      <c r="Q8957">
        <v>0</v>
      </c>
      <c r="R8957" t="s">
        <v>46577</v>
      </c>
      <c r="S8957" t="s">
        <v>46808</v>
      </c>
      <c r="T8957" t="s">
        <v>48238</v>
      </c>
      <c r="U8957" t="s">
        <v>56028</v>
      </c>
      <c r="W8957" t="s">
        <v>63565</v>
      </c>
      <c r="X8957" t="s">
        <v>46584</v>
      </c>
    </row>
    <row r="8958" spans="1:24">
      <c r="A8958">
        <f>HYPERLINK("https://www.philgeps.gov.ph/GEPSNONPILOT/Tender/SplashBidNoticeAbstractUI.aspx?menuIndex=3&amp;refID=7045395&amp;Result=3","7045395")</f>
        <v>0</v>
      </c>
      <c r="B8958" t="s">
        <v>460</v>
      </c>
      <c r="C8958" t="s">
        <v>12032</v>
      </c>
      <c r="D8958" t="s">
        <v>18806</v>
      </c>
      <c r="E8958" t="s">
        <v>26687</v>
      </c>
      <c r="F8958" t="s">
        <v>32664</v>
      </c>
      <c r="G8958" t="s">
        <v>32672</v>
      </c>
      <c r="H8958" t="s">
        <v>12635</v>
      </c>
      <c r="I8958" t="s">
        <v>32704</v>
      </c>
      <c r="J8958" t="s">
        <v>38252</v>
      </c>
      <c r="K8958" t="s">
        <v>42330</v>
      </c>
      <c r="M8958" t="s">
        <v>43035</v>
      </c>
      <c r="N8958" t="s">
        <v>46569</v>
      </c>
      <c r="O8958" t="s">
        <v>46570</v>
      </c>
      <c r="Q8958">
        <v>4</v>
      </c>
      <c r="R8958" t="s">
        <v>46577</v>
      </c>
      <c r="S8958" t="s">
        <v>46816</v>
      </c>
      <c r="T8958" t="s">
        <v>48307</v>
      </c>
      <c r="U8958" t="s">
        <v>56029</v>
      </c>
      <c r="V8958" t="s">
        <v>61891</v>
      </c>
      <c r="W8958" t="s">
        <v>43035</v>
      </c>
      <c r="X8958" t="s">
        <v>46581</v>
      </c>
    </row>
    <row r="8959" spans="1:24">
      <c r="A8959">
        <f>HYPERLINK("https://www.philgeps.gov.ph/GEPSNONPILOT/Tender/SplashBidNoticeAbstractUI.aspx?menuIndex=3&amp;refID=7045905&amp;Result=3","7045905")</f>
        <v>0</v>
      </c>
      <c r="B8959" t="s">
        <v>2586</v>
      </c>
      <c r="C8959" t="s">
        <v>12033</v>
      </c>
      <c r="D8959" t="s">
        <v>18796</v>
      </c>
      <c r="E8959" t="s">
        <v>26688</v>
      </c>
      <c r="F8959" t="s">
        <v>32664</v>
      </c>
      <c r="G8959" t="s">
        <v>32672</v>
      </c>
      <c r="H8959" t="s">
        <v>32683</v>
      </c>
      <c r="I8959" t="s">
        <v>10627</v>
      </c>
      <c r="J8959" t="s">
        <v>38253</v>
      </c>
      <c r="K8959" t="s">
        <v>42310</v>
      </c>
      <c r="M8959" t="s">
        <v>45401</v>
      </c>
      <c r="N8959" t="s">
        <v>46569</v>
      </c>
      <c r="O8959" t="s">
        <v>46570</v>
      </c>
      <c r="P8959">
        <v>0</v>
      </c>
      <c r="Q8959">
        <v>1</v>
      </c>
      <c r="R8959" t="s">
        <v>46577</v>
      </c>
      <c r="S8959" t="s">
        <v>46808</v>
      </c>
      <c r="T8959" t="s">
        <v>48580</v>
      </c>
      <c r="U8959" t="s">
        <v>56030</v>
      </c>
      <c r="W8959" t="s">
        <v>45401</v>
      </c>
      <c r="X8959" t="s">
        <v>46581</v>
      </c>
    </row>
    <row r="8960" spans="1:24">
      <c r="A8960">
        <f>HYPERLINK("https://www.philgeps.gov.ph/GEPSNONPILOT/Tender/SplashBidNoticeAbstractUI.aspx?menuIndex=3&amp;refID=6973550&amp;Result=3","6973550")</f>
        <v>0</v>
      </c>
      <c r="B8960" t="s">
        <v>2592</v>
      </c>
      <c r="C8960" t="s">
        <v>12034</v>
      </c>
      <c r="D8960" t="s">
        <v>18806</v>
      </c>
      <c r="E8960" t="s">
        <v>26689</v>
      </c>
      <c r="F8960" t="s">
        <v>32664</v>
      </c>
      <c r="G8960" t="s">
        <v>32672</v>
      </c>
      <c r="H8960" t="s">
        <v>12635</v>
      </c>
      <c r="I8960" t="s">
        <v>32684</v>
      </c>
      <c r="J8960" t="s">
        <v>38254</v>
      </c>
      <c r="K8960" t="s">
        <v>42284</v>
      </c>
      <c r="M8960" t="s">
        <v>45407</v>
      </c>
      <c r="N8960" t="s">
        <v>46569</v>
      </c>
      <c r="O8960" t="s">
        <v>46570</v>
      </c>
      <c r="P8960">
        <v>0</v>
      </c>
      <c r="Q8960">
        <v>5</v>
      </c>
      <c r="R8960" t="s">
        <v>46577</v>
      </c>
      <c r="S8960" t="s">
        <v>46808</v>
      </c>
      <c r="T8960" t="s">
        <v>48216</v>
      </c>
      <c r="U8960" t="s">
        <v>56031</v>
      </c>
      <c r="W8960" t="s">
        <v>45407</v>
      </c>
      <c r="X8960" t="s">
        <v>63612</v>
      </c>
    </row>
    <row r="8961" spans="1:24">
      <c r="A8961">
        <f>HYPERLINK("https://www.philgeps.gov.ph/GEPSNONPILOT/Tender/SplashBidNoticeAbstractUI.aspx?menuIndex=3&amp;refID=7047543&amp;Result=3","7047543")</f>
        <v>0</v>
      </c>
      <c r="B8961" t="s">
        <v>1360</v>
      </c>
      <c r="C8961" t="s">
        <v>12035</v>
      </c>
      <c r="D8961" t="s">
        <v>18806</v>
      </c>
      <c r="E8961" t="s">
        <v>22020</v>
      </c>
      <c r="F8961" t="s">
        <v>32664</v>
      </c>
      <c r="G8961" t="s">
        <v>32674</v>
      </c>
      <c r="H8961" t="s">
        <v>12635</v>
      </c>
      <c r="I8961" t="s">
        <v>4439</v>
      </c>
      <c r="J8961" t="s">
        <v>38255</v>
      </c>
      <c r="K8961" t="s">
        <v>42317</v>
      </c>
      <c r="M8961" t="s">
        <v>44014</v>
      </c>
      <c r="N8961" t="s">
        <v>46569</v>
      </c>
      <c r="O8961" t="s">
        <v>46570</v>
      </c>
      <c r="P8961">
        <v>0</v>
      </c>
      <c r="Q8961">
        <v>0</v>
      </c>
      <c r="R8961" t="s">
        <v>46577</v>
      </c>
      <c r="S8961" t="s">
        <v>46808</v>
      </c>
      <c r="T8961" t="s">
        <v>48307</v>
      </c>
      <c r="U8961" t="s">
        <v>56032</v>
      </c>
      <c r="W8961" t="s">
        <v>44014</v>
      </c>
      <c r="X8961" t="s">
        <v>46580</v>
      </c>
    </row>
    <row r="8962" spans="1:24">
      <c r="A8962">
        <f>HYPERLINK("https://www.philgeps.gov.ph/GEPSNONPILOT/Tender/SplashBidNoticeAbstractUI.aspx?menuIndex=3&amp;refID=7046090&amp;Result=3","7046090")</f>
        <v>0</v>
      </c>
      <c r="B8962" t="s">
        <v>460</v>
      </c>
      <c r="C8962" t="s">
        <v>12036</v>
      </c>
      <c r="D8962" t="s">
        <v>18806</v>
      </c>
      <c r="E8962" t="s">
        <v>26690</v>
      </c>
      <c r="F8962" t="s">
        <v>32664</v>
      </c>
      <c r="G8962" t="s">
        <v>32672</v>
      </c>
      <c r="H8962" t="s">
        <v>12635</v>
      </c>
      <c r="I8962" t="s">
        <v>9486</v>
      </c>
      <c r="J8962" t="s">
        <v>38256</v>
      </c>
      <c r="K8962" t="s">
        <v>42330</v>
      </c>
      <c r="M8962" t="s">
        <v>43641</v>
      </c>
      <c r="N8962" t="s">
        <v>46569</v>
      </c>
      <c r="O8962" t="s">
        <v>46570</v>
      </c>
      <c r="P8962">
        <v>0</v>
      </c>
      <c r="Q8962">
        <v>1</v>
      </c>
      <c r="R8962" t="s">
        <v>46577</v>
      </c>
      <c r="S8962" t="s">
        <v>46808</v>
      </c>
      <c r="T8962" t="s">
        <v>48305</v>
      </c>
      <c r="U8962" t="s">
        <v>56033</v>
      </c>
      <c r="V8962" t="s">
        <v>61876</v>
      </c>
      <c r="W8962" t="s">
        <v>43641</v>
      </c>
      <c r="X8962" t="s">
        <v>46581</v>
      </c>
    </row>
    <row r="8963" spans="1:24">
      <c r="A8963">
        <f>HYPERLINK("https://www.philgeps.gov.ph/GEPSNONPILOT/Tender/SplashBidNoticeAbstractUI.aspx?menuIndex=3&amp;refID=7047512&amp;Result=3","7047512")</f>
        <v>0</v>
      </c>
      <c r="B8963" t="s">
        <v>1360</v>
      </c>
      <c r="C8963" t="s">
        <v>12037</v>
      </c>
      <c r="D8963" t="s">
        <v>18806</v>
      </c>
      <c r="E8963" t="s">
        <v>21371</v>
      </c>
      <c r="F8963" t="s">
        <v>32664</v>
      </c>
      <c r="G8963" t="s">
        <v>32674</v>
      </c>
      <c r="H8963" t="s">
        <v>12635</v>
      </c>
      <c r="I8963" t="s">
        <v>4439</v>
      </c>
      <c r="J8963" t="s">
        <v>38255</v>
      </c>
      <c r="K8963" t="s">
        <v>42317</v>
      </c>
      <c r="M8963" t="s">
        <v>44014</v>
      </c>
      <c r="N8963" t="s">
        <v>46569</v>
      </c>
      <c r="O8963" t="s">
        <v>46570</v>
      </c>
      <c r="P8963">
        <v>0</v>
      </c>
      <c r="Q8963">
        <v>0</v>
      </c>
      <c r="R8963" t="s">
        <v>46577</v>
      </c>
      <c r="S8963" t="s">
        <v>46808</v>
      </c>
      <c r="T8963" t="s">
        <v>48307</v>
      </c>
      <c r="U8963" t="s">
        <v>56032</v>
      </c>
      <c r="W8963" t="s">
        <v>44014</v>
      </c>
      <c r="X8963" t="s">
        <v>46580</v>
      </c>
    </row>
    <row r="8964" spans="1:24">
      <c r="A8964">
        <f>HYPERLINK("https://www.philgeps.gov.ph/GEPSNONPILOT/Tender/SplashBidNoticeAbstractUI.aspx?menuIndex=3&amp;refID=7047499&amp;Result=3","7047499")</f>
        <v>0</v>
      </c>
      <c r="B8964" t="s">
        <v>1360</v>
      </c>
      <c r="C8964" t="s">
        <v>12038</v>
      </c>
      <c r="D8964" t="s">
        <v>18806</v>
      </c>
      <c r="E8964" t="s">
        <v>26499</v>
      </c>
      <c r="F8964" t="s">
        <v>32664</v>
      </c>
      <c r="G8964" t="s">
        <v>32674</v>
      </c>
      <c r="H8964" t="s">
        <v>12635</v>
      </c>
      <c r="I8964" t="s">
        <v>4439</v>
      </c>
      <c r="J8964" t="s">
        <v>38255</v>
      </c>
      <c r="K8964" t="s">
        <v>42317</v>
      </c>
      <c r="M8964" t="s">
        <v>44014</v>
      </c>
      <c r="N8964" t="s">
        <v>46569</v>
      </c>
      <c r="O8964" t="s">
        <v>46570</v>
      </c>
      <c r="P8964">
        <v>0</v>
      </c>
      <c r="Q8964">
        <v>0</v>
      </c>
      <c r="R8964" t="s">
        <v>46577</v>
      </c>
      <c r="S8964" t="s">
        <v>46808</v>
      </c>
      <c r="T8964" t="s">
        <v>48307</v>
      </c>
      <c r="U8964" t="s">
        <v>56032</v>
      </c>
      <c r="W8964" t="s">
        <v>44014</v>
      </c>
      <c r="X8964" t="s">
        <v>46580</v>
      </c>
    </row>
    <row r="8965" spans="1:24">
      <c r="A8965">
        <f>HYPERLINK("https://www.philgeps.gov.ph/GEPSNONPILOT/Tender/SplashBidNoticeAbstractUI.aspx?menuIndex=3&amp;refID=7057940&amp;Result=3","7057940")</f>
        <v>0</v>
      </c>
      <c r="B8965" t="s">
        <v>2579</v>
      </c>
      <c r="C8965" t="s">
        <v>12039</v>
      </c>
      <c r="E8965" t="s">
        <v>26691</v>
      </c>
      <c r="F8965" t="s">
        <v>32664</v>
      </c>
      <c r="G8965" t="s">
        <v>32672</v>
      </c>
      <c r="H8965" t="s">
        <v>32683</v>
      </c>
      <c r="I8965" t="s">
        <v>10627</v>
      </c>
      <c r="J8965" t="s">
        <v>38257</v>
      </c>
      <c r="K8965" t="s">
        <v>42283</v>
      </c>
      <c r="M8965" t="s">
        <v>45392</v>
      </c>
      <c r="N8965" t="s">
        <v>46569</v>
      </c>
      <c r="O8965" t="s">
        <v>46570</v>
      </c>
      <c r="P8965">
        <v>0</v>
      </c>
      <c r="Q8965">
        <v>1</v>
      </c>
      <c r="R8965" t="s">
        <v>46576</v>
      </c>
      <c r="S8965" t="s">
        <v>46749</v>
      </c>
      <c r="T8965" t="s">
        <v>48219</v>
      </c>
      <c r="U8965" t="s">
        <v>56034</v>
      </c>
      <c r="W8965" t="s">
        <v>45392</v>
      </c>
      <c r="X8965" t="s">
        <v>46577</v>
      </c>
    </row>
    <row r="8966" spans="1:24">
      <c r="A8966">
        <f>HYPERLINK("https://www.philgeps.gov.ph/GEPSNONPILOT/Tender/SplashBidNoticeAbstractUI.aspx?menuIndex=3&amp;refID=7047462&amp;Result=3","7047462")</f>
        <v>0</v>
      </c>
      <c r="B8966" t="s">
        <v>1360</v>
      </c>
      <c r="C8966" t="s">
        <v>12040</v>
      </c>
      <c r="D8966" t="s">
        <v>18806</v>
      </c>
      <c r="E8966" t="s">
        <v>25518</v>
      </c>
      <c r="F8966" t="s">
        <v>32664</v>
      </c>
      <c r="G8966" t="s">
        <v>32674</v>
      </c>
      <c r="H8966" t="s">
        <v>12635</v>
      </c>
      <c r="I8966" t="s">
        <v>4439</v>
      </c>
      <c r="J8966" t="s">
        <v>38258</v>
      </c>
      <c r="K8966" t="s">
        <v>42305</v>
      </c>
      <c r="M8966" t="s">
        <v>44014</v>
      </c>
      <c r="N8966" t="s">
        <v>46569</v>
      </c>
      <c r="O8966" t="s">
        <v>46570</v>
      </c>
      <c r="P8966">
        <v>0</v>
      </c>
      <c r="Q8966">
        <v>0</v>
      </c>
      <c r="R8966" t="s">
        <v>46577</v>
      </c>
      <c r="S8966" t="s">
        <v>46808</v>
      </c>
      <c r="T8966" t="s">
        <v>48307</v>
      </c>
      <c r="U8966" t="s">
        <v>56032</v>
      </c>
      <c r="W8966" t="s">
        <v>44014</v>
      </c>
      <c r="X8966" t="s">
        <v>46580</v>
      </c>
    </row>
    <row r="8967" spans="1:24">
      <c r="A8967">
        <f>HYPERLINK("https://www.philgeps.gov.ph/GEPSNONPILOT/Tender/SplashBidNoticeAbstractUI.aspx?menuIndex=3&amp;refID=7047118&amp;Result=3","7047118")</f>
        <v>0</v>
      </c>
      <c r="B8967" t="s">
        <v>1629</v>
      </c>
      <c r="C8967" t="s">
        <v>12041</v>
      </c>
      <c r="D8967" t="s">
        <v>18786</v>
      </c>
      <c r="E8967" t="s">
        <v>26692</v>
      </c>
      <c r="F8967" t="s">
        <v>32664</v>
      </c>
      <c r="G8967" t="s">
        <v>32674</v>
      </c>
      <c r="H8967" t="s">
        <v>12635</v>
      </c>
      <c r="I8967" t="s">
        <v>8730</v>
      </c>
      <c r="J8967" t="s">
        <v>38259</v>
      </c>
      <c r="K8967" t="s">
        <v>42281</v>
      </c>
      <c r="M8967" t="s">
        <v>44311</v>
      </c>
      <c r="N8967" t="s">
        <v>46569</v>
      </c>
      <c r="O8967" t="s">
        <v>46570</v>
      </c>
      <c r="P8967">
        <v>0</v>
      </c>
      <c r="Q8967">
        <v>1</v>
      </c>
      <c r="R8967" t="s">
        <v>46577</v>
      </c>
      <c r="S8967" t="s">
        <v>46808</v>
      </c>
      <c r="T8967" t="s">
        <v>48590</v>
      </c>
      <c r="U8967" t="s">
        <v>56035</v>
      </c>
      <c r="W8967" t="s">
        <v>44311</v>
      </c>
      <c r="X8967" t="s">
        <v>46581</v>
      </c>
    </row>
    <row r="8968" spans="1:24">
      <c r="A8968">
        <f>HYPERLINK("https://www.philgeps.gov.ph/GEPSNONPILOT/Tender/SplashBidNoticeAbstractUI.aspx?menuIndex=3&amp;refID=7047575&amp;Result=3","7047575")</f>
        <v>0</v>
      </c>
      <c r="B8968" t="s">
        <v>1360</v>
      </c>
      <c r="C8968" t="s">
        <v>12042</v>
      </c>
      <c r="D8968" t="s">
        <v>18806</v>
      </c>
      <c r="E8968" t="s">
        <v>21413</v>
      </c>
      <c r="F8968" t="s">
        <v>32664</v>
      </c>
      <c r="G8968" t="s">
        <v>32674</v>
      </c>
      <c r="H8968" t="s">
        <v>12635</v>
      </c>
      <c r="I8968" t="s">
        <v>4439</v>
      </c>
      <c r="J8968" t="s">
        <v>38255</v>
      </c>
      <c r="K8968" t="s">
        <v>42317</v>
      </c>
      <c r="M8968" t="s">
        <v>44014</v>
      </c>
      <c r="N8968" t="s">
        <v>46569</v>
      </c>
      <c r="O8968" t="s">
        <v>46570</v>
      </c>
      <c r="P8968">
        <v>0</v>
      </c>
      <c r="Q8968">
        <v>0</v>
      </c>
      <c r="R8968" t="s">
        <v>46577</v>
      </c>
      <c r="S8968" t="s">
        <v>46808</v>
      </c>
      <c r="T8968" t="s">
        <v>48307</v>
      </c>
      <c r="U8968" t="s">
        <v>56032</v>
      </c>
      <c r="W8968" t="s">
        <v>44014</v>
      </c>
      <c r="X8968" t="s">
        <v>46580</v>
      </c>
    </row>
    <row r="8969" spans="1:24">
      <c r="A8969">
        <f>HYPERLINK("https://www.philgeps.gov.ph/GEPSNONPILOT/Tender/SplashBidNoticeAbstractUI.aspx?menuIndex=3&amp;refID=7046231&amp;Result=3","7046231")</f>
        <v>0</v>
      </c>
      <c r="B8969" t="s">
        <v>2587</v>
      </c>
      <c r="C8969" t="s">
        <v>12043</v>
      </c>
      <c r="D8969" t="s">
        <v>18804</v>
      </c>
      <c r="E8969" t="s">
        <v>26693</v>
      </c>
      <c r="F8969" t="s">
        <v>32664</v>
      </c>
      <c r="G8969" t="s">
        <v>32672</v>
      </c>
      <c r="H8969" t="s">
        <v>32683</v>
      </c>
      <c r="I8969" t="s">
        <v>10627</v>
      </c>
      <c r="J8969" t="s">
        <v>32865</v>
      </c>
      <c r="K8969" t="s">
        <v>42311</v>
      </c>
      <c r="M8969" t="s">
        <v>45402</v>
      </c>
      <c r="N8969" t="s">
        <v>46569</v>
      </c>
      <c r="O8969" t="s">
        <v>46570</v>
      </c>
      <c r="P8969">
        <v>0</v>
      </c>
      <c r="Q8969">
        <v>0</v>
      </c>
      <c r="R8969" t="s">
        <v>46577</v>
      </c>
      <c r="S8969" t="s">
        <v>46808</v>
      </c>
      <c r="T8969" t="s">
        <v>48478</v>
      </c>
      <c r="U8969" t="s">
        <v>56036</v>
      </c>
      <c r="W8969" t="s">
        <v>45402</v>
      </c>
      <c r="X8969" t="s">
        <v>46581</v>
      </c>
    </row>
    <row r="8970" spans="1:24">
      <c r="A8970">
        <f>HYPERLINK("https://www.philgeps.gov.ph/GEPSNONPILOT/Tender/SplashBidNoticeAbstractUI.aspx?menuIndex=3&amp;refID=7048212&amp;Result=3","7048212")</f>
        <v>0</v>
      </c>
      <c r="B8970" t="s">
        <v>65</v>
      </c>
      <c r="C8970" t="s">
        <v>12044</v>
      </c>
      <c r="D8970" t="s">
        <v>18783</v>
      </c>
      <c r="E8970" t="s">
        <v>26694</v>
      </c>
      <c r="F8970" t="s">
        <v>32664</v>
      </c>
      <c r="G8970" t="s">
        <v>32672</v>
      </c>
      <c r="H8970" t="s">
        <v>32683</v>
      </c>
      <c r="I8970" t="s">
        <v>10627</v>
      </c>
      <c r="J8970" t="s">
        <v>38260</v>
      </c>
      <c r="K8970" t="s">
        <v>42479</v>
      </c>
      <c r="M8970" t="s">
        <v>42628</v>
      </c>
      <c r="N8970" t="s">
        <v>46569</v>
      </c>
      <c r="O8970" t="s">
        <v>46570</v>
      </c>
      <c r="P8970">
        <v>0</v>
      </c>
      <c r="Q8970">
        <v>0</v>
      </c>
      <c r="R8970" t="s">
        <v>46577</v>
      </c>
      <c r="S8970" t="s">
        <v>46808</v>
      </c>
      <c r="T8970" t="s">
        <v>48313</v>
      </c>
      <c r="U8970" t="s">
        <v>56037</v>
      </c>
      <c r="V8970" t="s">
        <v>61624</v>
      </c>
      <c r="W8970" t="s">
        <v>42628</v>
      </c>
      <c r="X8970" t="s">
        <v>46580</v>
      </c>
    </row>
    <row r="8971" spans="1:24">
      <c r="A8971">
        <f>HYPERLINK("https://www.philgeps.gov.ph/GEPSNONPILOT/Tender/SplashBidNoticeAbstractUI.aspx?menuIndex=3&amp;refID=7048189&amp;Result=3","7048189")</f>
        <v>0</v>
      </c>
      <c r="B8971" t="s">
        <v>1626</v>
      </c>
      <c r="C8971" t="s">
        <v>12045</v>
      </c>
      <c r="D8971" t="s">
        <v>18852</v>
      </c>
      <c r="E8971" t="s">
        <v>26695</v>
      </c>
      <c r="F8971" t="s">
        <v>32664</v>
      </c>
      <c r="G8971" t="s">
        <v>32672</v>
      </c>
      <c r="H8971" t="s">
        <v>32683</v>
      </c>
      <c r="I8971" t="s">
        <v>10627</v>
      </c>
      <c r="J8971" t="s">
        <v>32859</v>
      </c>
      <c r="K8971" t="s">
        <v>42289</v>
      </c>
      <c r="M8971" t="s">
        <v>44308</v>
      </c>
      <c r="N8971" t="s">
        <v>46569</v>
      </c>
      <c r="O8971" t="s">
        <v>46570</v>
      </c>
      <c r="P8971">
        <v>0</v>
      </c>
      <c r="Q8971">
        <v>0</v>
      </c>
      <c r="R8971" t="s">
        <v>46577</v>
      </c>
      <c r="S8971" t="s">
        <v>46808</v>
      </c>
      <c r="T8971" t="s">
        <v>48254</v>
      </c>
      <c r="U8971" t="s">
        <v>56038</v>
      </c>
      <c r="W8971" t="s">
        <v>44308</v>
      </c>
      <c r="X8971" t="s">
        <v>46580</v>
      </c>
    </row>
    <row r="8972" spans="1:24">
      <c r="A8972">
        <f>HYPERLINK("https://www.philgeps.gov.ph/GEPSNONPILOT/Tender/SplashBidNoticeAbstractUI.aspx?menuIndex=3&amp;refID=7047369&amp;Result=3","7047369")</f>
        <v>0</v>
      </c>
      <c r="B8972" t="s">
        <v>951</v>
      </c>
      <c r="C8972" t="s">
        <v>12046</v>
      </c>
      <c r="D8972" t="s">
        <v>18787</v>
      </c>
      <c r="E8972" t="s">
        <v>26696</v>
      </c>
      <c r="F8972" t="s">
        <v>32664</v>
      </c>
      <c r="G8972" t="s">
        <v>32672</v>
      </c>
      <c r="H8972" t="s">
        <v>12635</v>
      </c>
      <c r="I8972" t="s">
        <v>8797</v>
      </c>
      <c r="J8972" t="s">
        <v>38261</v>
      </c>
      <c r="K8972" t="s">
        <v>42283</v>
      </c>
      <c r="M8972" t="s">
        <v>44587</v>
      </c>
      <c r="N8972" t="s">
        <v>46569</v>
      </c>
      <c r="O8972" t="s">
        <v>46570</v>
      </c>
      <c r="P8972">
        <v>0</v>
      </c>
      <c r="Q8972">
        <v>46</v>
      </c>
      <c r="R8972" t="s">
        <v>46577</v>
      </c>
      <c r="S8972" t="s">
        <v>46808</v>
      </c>
      <c r="T8972" t="s">
        <v>48270</v>
      </c>
      <c r="U8972" t="s">
        <v>56039</v>
      </c>
      <c r="W8972" t="s">
        <v>44587</v>
      </c>
      <c r="X8972" t="s">
        <v>46580</v>
      </c>
    </row>
    <row r="8973" spans="1:24">
      <c r="A8973">
        <f>HYPERLINK("https://www.philgeps.gov.ph/GEPSNONPILOT/Tender/SplashBidNoticeAbstractUI.aspx?menuIndex=3&amp;refID=7047790&amp;Result=3","7047790")</f>
        <v>0</v>
      </c>
      <c r="B8973" t="s">
        <v>684</v>
      </c>
      <c r="C8973" t="s">
        <v>12047</v>
      </c>
      <c r="E8973" t="s">
        <v>26697</v>
      </c>
      <c r="F8973" t="s">
        <v>32664</v>
      </c>
      <c r="G8973" t="s">
        <v>32672</v>
      </c>
      <c r="H8973" t="s">
        <v>12635</v>
      </c>
      <c r="I8973" t="s">
        <v>8797</v>
      </c>
      <c r="J8973" t="s">
        <v>38262</v>
      </c>
      <c r="K8973" t="s">
        <v>42283</v>
      </c>
      <c r="M8973" t="s">
        <v>45394</v>
      </c>
      <c r="N8973" t="s">
        <v>46569</v>
      </c>
      <c r="O8973" t="s">
        <v>46570</v>
      </c>
      <c r="P8973">
        <v>0</v>
      </c>
      <c r="Q8973">
        <v>10</v>
      </c>
      <c r="R8973" t="s">
        <v>46577</v>
      </c>
      <c r="S8973" t="s">
        <v>46808</v>
      </c>
      <c r="T8973" t="s">
        <v>48394</v>
      </c>
      <c r="U8973" t="s">
        <v>56040</v>
      </c>
      <c r="W8973" t="s">
        <v>45394</v>
      </c>
      <c r="X8973" t="s">
        <v>46580</v>
      </c>
    </row>
    <row r="8974" spans="1:24">
      <c r="A8974">
        <f>HYPERLINK("https://www.philgeps.gov.ph/GEPSNONPILOT/Tender/SplashBidNoticeAbstractUI.aspx?menuIndex=3&amp;refID=7048004&amp;Result=3","7048004")</f>
        <v>0</v>
      </c>
      <c r="B8974" t="s">
        <v>2593</v>
      </c>
      <c r="C8974" t="s">
        <v>12048</v>
      </c>
      <c r="D8974" t="s">
        <v>18806</v>
      </c>
      <c r="E8974" t="s">
        <v>26698</v>
      </c>
      <c r="F8974" t="s">
        <v>32665</v>
      </c>
      <c r="G8974" t="s">
        <v>32672</v>
      </c>
      <c r="H8974" t="s">
        <v>12635</v>
      </c>
      <c r="I8974" t="s">
        <v>10627</v>
      </c>
      <c r="J8974" t="s">
        <v>32859</v>
      </c>
      <c r="K8974" t="s">
        <v>42311</v>
      </c>
      <c r="M8974" t="s">
        <v>45408</v>
      </c>
      <c r="N8974" t="s">
        <v>46569</v>
      </c>
      <c r="O8974" t="s">
        <v>46570</v>
      </c>
      <c r="P8974">
        <v>0</v>
      </c>
      <c r="Q8974">
        <v>0</v>
      </c>
      <c r="R8974" t="s">
        <v>46577</v>
      </c>
      <c r="S8974" t="s">
        <v>46808</v>
      </c>
      <c r="T8974" t="s">
        <v>48212</v>
      </c>
      <c r="U8974" t="s">
        <v>56041</v>
      </c>
      <c r="V8974" t="s">
        <v>62550</v>
      </c>
      <c r="W8974" t="s">
        <v>45408</v>
      </c>
      <c r="X8974" t="s">
        <v>46580</v>
      </c>
    </row>
    <row r="8975" spans="1:24">
      <c r="A8975">
        <f>HYPERLINK("https://www.philgeps.gov.ph/GEPSNONPILOT/Tender/SplashBidNoticeAbstractUI.aspx?menuIndex=3&amp;refID=7047017&amp;Result=3","7047017")</f>
        <v>0</v>
      </c>
      <c r="B8975" t="s">
        <v>2594</v>
      </c>
      <c r="C8975" t="s">
        <v>12049</v>
      </c>
      <c r="D8975" t="s">
        <v>18818</v>
      </c>
      <c r="E8975" t="s">
        <v>26699</v>
      </c>
      <c r="F8975" t="s">
        <v>32664</v>
      </c>
      <c r="G8975" t="s">
        <v>32672</v>
      </c>
      <c r="H8975" t="s">
        <v>12635</v>
      </c>
      <c r="I8975" t="s">
        <v>32689</v>
      </c>
      <c r="J8975" t="s">
        <v>38263</v>
      </c>
      <c r="K8975" t="s">
        <v>42289</v>
      </c>
      <c r="M8975" t="s">
        <v>45409</v>
      </c>
      <c r="N8975" t="s">
        <v>46569</v>
      </c>
      <c r="O8975" t="s">
        <v>46570</v>
      </c>
      <c r="P8975">
        <v>0</v>
      </c>
      <c r="Q8975">
        <v>4</v>
      </c>
      <c r="R8975" t="s">
        <v>46577</v>
      </c>
      <c r="S8975" t="s">
        <v>46808</v>
      </c>
      <c r="T8975" t="s">
        <v>48287</v>
      </c>
      <c r="U8975" t="s">
        <v>56042</v>
      </c>
      <c r="W8975" t="s">
        <v>45409</v>
      </c>
      <c r="X8975" t="s">
        <v>46581</v>
      </c>
    </row>
    <row r="8976" spans="1:24">
      <c r="A8976">
        <f>HYPERLINK("https://www.philgeps.gov.ph/GEPSNONPILOT/Tender/SplashBidNoticeAbstractUI.aspx?menuIndex=3&amp;refID=7046148&amp;Result=3","7046148")</f>
        <v>0</v>
      </c>
      <c r="B8976" t="s">
        <v>460</v>
      </c>
      <c r="C8976" t="s">
        <v>12050</v>
      </c>
      <c r="D8976" t="s">
        <v>18806</v>
      </c>
      <c r="E8976" t="s">
        <v>26700</v>
      </c>
      <c r="F8976" t="s">
        <v>32664</v>
      </c>
      <c r="G8976" t="s">
        <v>32672</v>
      </c>
      <c r="H8976" t="s">
        <v>12635</v>
      </c>
      <c r="I8976" t="s">
        <v>32712</v>
      </c>
      <c r="J8976" t="s">
        <v>32859</v>
      </c>
      <c r="K8976" t="s">
        <v>42330</v>
      </c>
      <c r="M8976" t="s">
        <v>43641</v>
      </c>
      <c r="N8976" t="s">
        <v>46569</v>
      </c>
      <c r="O8976" t="s">
        <v>46570</v>
      </c>
      <c r="P8976">
        <v>0</v>
      </c>
      <c r="Q8976">
        <v>3</v>
      </c>
      <c r="R8976" t="s">
        <v>46577</v>
      </c>
      <c r="S8976" t="s">
        <v>46808</v>
      </c>
      <c r="T8976" t="s">
        <v>48228</v>
      </c>
      <c r="U8976" t="s">
        <v>56043</v>
      </c>
      <c r="V8976" t="s">
        <v>61876</v>
      </c>
      <c r="W8976" t="s">
        <v>43641</v>
      </c>
      <c r="X8976" t="s">
        <v>46581</v>
      </c>
    </row>
    <row r="8977" spans="1:24">
      <c r="A8977">
        <f>HYPERLINK("https://www.philgeps.gov.ph/GEPSNONPILOT/Tender/SplashBidNoticeAbstractUI.aspx?menuIndex=3&amp;refID=7046125&amp;Result=3","7046125")</f>
        <v>0</v>
      </c>
      <c r="B8977" t="s">
        <v>460</v>
      </c>
      <c r="C8977" t="s">
        <v>12051</v>
      </c>
      <c r="D8977" t="s">
        <v>18806</v>
      </c>
      <c r="E8977" t="s">
        <v>26701</v>
      </c>
      <c r="F8977" t="s">
        <v>32664</v>
      </c>
      <c r="G8977" t="s">
        <v>32672</v>
      </c>
      <c r="H8977" t="s">
        <v>12635</v>
      </c>
      <c r="I8977" t="s">
        <v>32704</v>
      </c>
      <c r="J8977" t="s">
        <v>38264</v>
      </c>
      <c r="K8977" t="s">
        <v>42330</v>
      </c>
      <c r="M8977" t="s">
        <v>43641</v>
      </c>
      <c r="N8977" t="s">
        <v>46569</v>
      </c>
      <c r="O8977" t="s">
        <v>46570</v>
      </c>
      <c r="P8977">
        <v>0</v>
      </c>
      <c r="Q8977">
        <v>5</v>
      </c>
      <c r="R8977" t="s">
        <v>46577</v>
      </c>
      <c r="S8977" t="s">
        <v>46808</v>
      </c>
      <c r="T8977" t="s">
        <v>48228</v>
      </c>
      <c r="U8977" t="s">
        <v>56044</v>
      </c>
      <c r="V8977" t="s">
        <v>61876</v>
      </c>
      <c r="W8977" t="s">
        <v>43641</v>
      </c>
      <c r="X8977" t="s">
        <v>46581</v>
      </c>
    </row>
    <row r="8978" spans="1:24">
      <c r="A8978">
        <f>HYPERLINK("https://www.philgeps.gov.ph/GEPSNONPILOT/Tender/SplashBidNoticeAbstractUI.aspx?menuIndex=3&amp;refID=7048631&amp;Result=3","7048631")</f>
        <v>0</v>
      </c>
      <c r="B8978" t="s">
        <v>2595</v>
      </c>
      <c r="C8978" t="s">
        <v>12052</v>
      </c>
      <c r="D8978" t="s">
        <v>18850</v>
      </c>
      <c r="E8978" t="s">
        <v>26702</v>
      </c>
      <c r="F8978" t="s">
        <v>32664</v>
      </c>
      <c r="G8978" t="s">
        <v>32674</v>
      </c>
      <c r="H8978" t="s">
        <v>12635</v>
      </c>
      <c r="I8978" t="s">
        <v>8730</v>
      </c>
      <c r="J8978" t="s">
        <v>38265</v>
      </c>
      <c r="K8978" t="s">
        <v>42305</v>
      </c>
      <c r="M8978" t="s">
        <v>45410</v>
      </c>
      <c r="N8978" t="s">
        <v>46569</v>
      </c>
      <c r="O8978" t="s">
        <v>46570</v>
      </c>
      <c r="P8978">
        <v>0</v>
      </c>
      <c r="Q8978">
        <v>4</v>
      </c>
      <c r="R8978" t="s">
        <v>46577</v>
      </c>
      <c r="S8978" t="s">
        <v>46808</v>
      </c>
      <c r="T8978" t="s">
        <v>48254</v>
      </c>
      <c r="U8978" t="s">
        <v>56045</v>
      </c>
      <c r="W8978" t="s">
        <v>45410</v>
      </c>
      <c r="X8978" t="s">
        <v>46580</v>
      </c>
    </row>
    <row r="8979" spans="1:24">
      <c r="A8979">
        <f>HYPERLINK("https://www.philgeps.gov.ph/GEPSNONPILOT/Tender/SplashBidNoticeAbstractUI.aspx?menuIndex=3&amp;refID=7046112&amp;Result=3","7046112")</f>
        <v>0</v>
      </c>
      <c r="B8979" t="s">
        <v>460</v>
      </c>
      <c r="C8979" t="s">
        <v>12053</v>
      </c>
      <c r="D8979" t="s">
        <v>18806</v>
      </c>
      <c r="E8979" t="s">
        <v>26703</v>
      </c>
      <c r="F8979" t="s">
        <v>32664</v>
      </c>
      <c r="G8979" t="s">
        <v>32672</v>
      </c>
      <c r="H8979" t="s">
        <v>12635</v>
      </c>
      <c r="I8979" t="s">
        <v>9486</v>
      </c>
      <c r="J8979" t="s">
        <v>38266</v>
      </c>
      <c r="K8979" t="s">
        <v>42330</v>
      </c>
      <c r="M8979" t="s">
        <v>43641</v>
      </c>
      <c r="N8979" t="s">
        <v>46569</v>
      </c>
      <c r="O8979" t="s">
        <v>46570</v>
      </c>
      <c r="P8979">
        <v>0</v>
      </c>
      <c r="Q8979">
        <v>2</v>
      </c>
      <c r="R8979" t="s">
        <v>46577</v>
      </c>
      <c r="S8979" t="s">
        <v>46808</v>
      </c>
      <c r="T8979" t="s">
        <v>48228</v>
      </c>
      <c r="U8979" t="s">
        <v>56046</v>
      </c>
      <c r="V8979" t="s">
        <v>61876</v>
      </c>
      <c r="W8979" t="s">
        <v>43641</v>
      </c>
      <c r="X8979" t="s">
        <v>46581</v>
      </c>
    </row>
    <row r="8980" spans="1:24">
      <c r="A8980">
        <f>HYPERLINK("https://www.philgeps.gov.ph/GEPSNONPILOT/Tender/SplashBidNoticeAbstractUI.aspx?menuIndex=3&amp;refID=7047926&amp;Result=3","7047926")</f>
        <v>0</v>
      </c>
      <c r="B8980" t="s">
        <v>684</v>
      </c>
      <c r="C8980" t="s">
        <v>12054</v>
      </c>
      <c r="E8980" t="s">
        <v>26704</v>
      </c>
      <c r="F8980" t="s">
        <v>32664</v>
      </c>
      <c r="G8980" t="s">
        <v>32672</v>
      </c>
      <c r="H8980" t="s">
        <v>12635</v>
      </c>
      <c r="I8980" t="s">
        <v>8797</v>
      </c>
      <c r="J8980" t="s">
        <v>33876</v>
      </c>
      <c r="K8980" t="s">
        <v>42283</v>
      </c>
      <c r="M8980" t="s">
        <v>45394</v>
      </c>
      <c r="N8980" t="s">
        <v>46569</v>
      </c>
      <c r="O8980" t="s">
        <v>46570</v>
      </c>
      <c r="P8980">
        <v>0</v>
      </c>
      <c r="Q8980">
        <v>11</v>
      </c>
      <c r="R8980" t="s">
        <v>46577</v>
      </c>
      <c r="S8980" t="s">
        <v>46808</v>
      </c>
      <c r="T8980" t="s">
        <v>48394</v>
      </c>
      <c r="U8980" t="s">
        <v>56047</v>
      </c>
      <c r="W8980" t="s">
        <v>45394</v>
      </c>
      <c r="X8980" t="s">
        <v>46580</v>
      </c>
    </row>
    <row r="8981" spans="1:24">
      <c r="A8981">
        <f>HYPERLINK("https://www.philgeps.gov.ph/GEPSNONPILOT/Tender/SplashBidNoticeAbstractUI.aspx?menuIndex=3&amp;refID=7049183&amp;Result=3","7049183")</f>
        <v>0</v>
      </c>
      <c r="B8981" t="s">
        <v>1765</v>
      </c>
      <c r="C8981" t="s">
        <v>12055</v>
      </c>
      <c r="D8981" t="s">
        <v>18783</v>
      </c>
      <c r="E8981" t="s">
        <v>26705</v>
      </c>
      <c r="F8981" t="s">
        <v>32664</v>
      </c>
      <c r="G8981" t="s">
        <v>32672</v>
      </c>
      <c r="H8981" t="s">
        <v>12635</v>
      </c>
      <c r="I8981" t="s">
        <v>9486</v>
      </c>
      <c r="J8981" t="s">
        <v>38267</v>
      </c>
      <c r="K8981" t="s">
        <v>42289</v>
      </c>
      <c r="M8981" t="s">
        <v>44467</v>
      </c>
      <c r="N8981" t="s">
        <v>46569</v>
      </c>
      <c r="O8981" t="s">
        <v>46570</v>
      </c>
      <c r="P8981">
        <v>0</v>
      </c>
      <c r="Q8981">
        <v>0</v>
      </c>
      <c r="R8981" t="s">
        <v>46577</v>
      </c>
      <c r="S8981" t="s">
        <v>46808</v>
      </c>
      <c r="T8981" t="s">
        <v>48374</v>
      </c>
      <c r="U8981" t="s">
        <v>56048</v>
      </c>
      <c r="V8981" t="s">
        <v>62551</v>
      </c>
      <c r="W8981" t="s">
        <v>44467</v>
      </c>
      <c r="X8981" t="s">
        <v>46580</v>
      </c>
    </row>
    <row r="8982" spans="1:24">
      <c r="A8982">
        <f>HYPERLINK("https://www.philgeps.gov.ph/GEPSNONPILOT/Tender/SplashBidNoticeAbstractUI.aspx?menuIndex=3&amp;refID=7049132&amp;Result=3","7049132")</f>
        <v>0</v>
      </c>
      <c r="B8982" t="s">
        <v>1765</v>
      </c>
      <c r="C8982" t="s">
        <v>12056</v>
      </c>
      <c r="D8982" t="s">
        <v>18783</v>
      </c>
      <c r="E8982" t="s">
        <v>26706</v>
      </c>
      <c r="F8982" t="s">
        <v>32664</v>
      </c>
      <c r="G8982" t="s">
        <v>32672</v>
      </c>
      <c r="H8982" t="s">
        <v>12635</v>
      </c>
      <c r="I8982" t="s">
        <v>9597</v>
      </c>
      <c r="J8982" t="s">
        <v>32837</v>
      </c>
      <c r="K8982" t="s">
        <v>42289</v>
      </c>
      <c r="M8982" t="s">
        <v>44467</v>
      </c>
      <c r="N8982" t="s">
        <v>46569</v>
      </c>
      <c r="O8982" t="s">
        <v>46570</v>
      </c>
      <c r="P8982">
        <v>0</v>
      </c>
      <c r="Q8982">
        <v>6</v>
      </c>
      <c r="R8982" t="s">
        <v>46577</v>
      </c>
      <c r="S8982" t="s">
        <v>46808</v>
      </c>
      <c r="T8982" t="s">
        <v>48374</v>
      </c>
      <c r="U8982" t="s">
        <v>56049</v>
      </c>
      <c r="V8982" t="s">
        <v>62551</v>
      </c>
      <c r="W8982" t="s">
        <v>44467</v>
      </c>
      <c r="X8982" t="s">
        <v>46580</v>
      </c>
    </row>
    <row r="8983" spans="1:24">
      <c r="A8983">
        <f>HYPERLINK("https://www.philgeps.gov.ph/GEPSNONPILOT/Tender/SplashBidNoticeAbstractUI.aspx?menuIndex=3&amp;refID=7047622&amp;Result=3","7047622")</f>
        <v>0</v>
      </c>
      <c r="B8983" t="s">
        <v>684</v>
      </c>
      <c r="C8983" t="s">
        <v>12057</v>
      </c>
      <c r="E8983" t="s">
        <v>26707</v>
      </c>
      <c r="F8983" t="s">
        <v>32664</v>
      </c>
      <c r="G8983" t="s">
        <v>32672</v>
      </c>
      <c r="H8983" t="s">
        <v>12635</v>
      </c>
      <c r="I8983" t="s">
        <v>32796</v>
      </c>
      <c r="J8983" t="s">
        <v>33396</v>
      </c>
      <c r="K8983" t="s">
        <v>42283</v>
      </c>
      <c r="M8983" t="s">
        <v>45394</v>
      </c>
      <c r="N8983" t="s">
        <v>46569</v>
      </c>
      <c r="O8983" t="s">
        <v>46570</v>
      </c>
      <c r="P8983">
        <v>0</v>
      </c>
      <c r="Q8983">
        <v>6</v>
      </c>
      <c r="R8983" t="s">
        <v>46577</v>
      </c>
      <c r="S8983" t="s">
        <v>46808</v>
      </c>
      <c r="T8983" t="s">
        <v>48394</v>
      </c>
      <c r="U8983" t="s">
        <v>56050</v>
      </c>
      <c r="W8983" t="s">
        <v>45394</v>
      </c>
      <c r="X8983" t="s">
        <v>46580</v>
      </c>
    </row>
    <row r="8984" spans="1:24">
      <c r="A8984">
        <f>HYPERLINK("https://www.philgeps.gov.ph/GEPSNONPILOT/Tender/SplashBidNoticeAbstractUI.aspx?menuIndex=3&amp;refID=7048282&amp;Result=3","7048282")</f>
        <v>0</v>
      </c>
      <c r="B8984" t="s">
        <v>2595</v>
      </c>
      <c r="C8984" t="s">
        <v>12058</v>
      </c>
      <c r="D8984" t="s">
        <v>18850</v>
      </c>
      <c r="E8984" t="s">
        <v>26708</v>
      </c>
      <c r="F8984" t="s">
        <v>32664</v>
      </c>
      <c r="G8984" t="s">
        <v>32674</v>
      </c>
      <c r="H8984" t="s">
        <v>12635</v>
      </c>
      <c r="I8984" t="s">
        <v>6168</v>
      </c>
      <c r="J8984" t="s">
        <v>38268</v>
      </c>
      <c r="K8984" t="s">
        <v>42305</v>
      </c>
      <c r="M8984" t="s">
        <v>45410</v>
      </c>
      <c r="N8984" t="s">
        <v>46569</v>
      </c>
      <c r="O8984" t="s">
        <v>46570</v>
      </c>
      <c r="P8984">
        <v>0</v>
      </c>
      <c r="Q8984">
        <v>3</v>
      </c>
      <c r="R8984" t="s">
        <v>46577</v>
      </c>
      <c r="S8984" t="s">
        <v>46808</v>
      </c>
      <c r="T8984" t="s">
        <v>48254</v>
      </c>
      <c r="U8984" t="s">
        <v>50718</v>
      </c>
      <c r="W8984" t="s">
        <v>45410</v>
      </c>
      <c r="X8984" t="s">
        <v>46580</v>
      </c>
    </row>
    <row r="8985" spans="1:24">
      <c r="A8985">
        <f>HYPERLINK("https://www.philgeps.gov.ph/GEPSNONPILOT/Tender/SplashBidNoticeAbstractUI.aspx?menuIndex=3&amp;refID=7048460&amp;Result=3","7048460")</f>
        <v>0</v>
      </c>
      <c r="B8985" t="s">
        <v>684</v>
      </c>
      <c r="C8985" t="s">
        <v>12059</v>
      </c>
      <c r="E8985" t="s">
        <v>26709</v>
      </c>
      <c r="F8985" t="s">
        <v>32664</v>
      </c>
      <c r="G8985" t="s">
        <v>32672</v>
      </c>
      <c r="H8985" t="s">
        <v>12635</v>
      </c>
      <c r="I8985" t="s">
        <v>32797</v>
      </c>
      <c r="J8985" t="s">
        <v>38269</v>
      </c>
      <c r="K8985" t="s">
        <v>42283</v>
      </c>
      <c r="M8985" t="s">
        <v>45394</v>
      </c>
      <c r="N8985" t="s">
        <v>46569</v>
      </c>
      <c r="O8985" t="s">
        <v>46570</v>
      </c>
      <c r="P8985">
        <v>0</v>
      </c>
      <c r="Q8985">
        <v>3</v>
      </c>
      <c r="R8985" t="s">
        <v>46577</v>
      </c>
      <c r="S8985" t="s">
        <v>46808</v>
      </c>
      <c r="T8985" t="s">
        <v>48394</v>
      </c>
      <c r="U8985" t="s">
        <v>56051</v>
      </c>
      <c r="W8985" t="s">
        <v>45394</v>
      </c>
      <c r="X8985" t="s">
        <v>46580</v>
      </c>
    </row>
    <row r="8986" spans="1:24">
      <c r="A8986">
        <f>HYPERLINK("https://www.philgeps.gov.ph/GEPSNONPILOT/Tender/SplashBidNoticeAbstractUI.aspx?menuIndex=3&amp;refID=7048933&amp;Result=3","7048933")</f>
        <v>0</v>
      </c>
      <c r="B8986" t="s">
        <v>1765</v>
      </c>
      <c r="C8986" t="s">
        <v>12060</v>
      </c>
      <c r="D8986" t="s">
        <v>18783</v>
      </c>
      <c r="E8986" t="s">
        <v>26710</v>
      </c>
      <c r="F8986" t="s">
        <v>32664</v>
      </c>
      <c r="G8986" t="s">
        <v>32672</v>
      </c>
      <c r="H8986" t="s">
        <v>12635</v>
      </c>
      <c r="I8986" t="s">
        <v>32738</v>
      </c>
      <c r="J8986" t="s">
        <v>33888</v>
      </c>
      <c r="K8986" t="s">
        <v>42289</v>
      </c>
      <c r="M8986" t="s">
        <v>44467</v>
      </c>
      <c r="N8986" t="s">
        <v>46569</v>
      </c>
      <c r="O8986" t="s">
        <v>46570</v>
      </c>
      <c r="P8986">
        <v>0</v>
      </c>
      <c r="Q8986">
        <v>0</v>
      </c>
      <c r="R8986" t="s">
        <v>46577</v>
      </c>
      <c r="S8986" t="s">
        <v>46808</v>
      </c>
      <c r="T8986" t="s">
        <v>48374</v>
      </c>
      <c r="U8986" t="s">
        <v>56052</v>
      </c>
      <c r="V8986" t="s">
        <v>62551</v>
      </c>
      <c r="W8986" t="s">
        <v>44467</v>
      </c>
      <c r="X8986" t="s">
        <v>46580</v>
      </c>
    </row>
    <row r="8987" spans="1:24">
      <c r="A8987">
        <f>HYPERLINK("https://www.philgeps.gov.ph/GEPSNONPILOT/Tender/SplashBidNoticeAbstractUI.aspx?menuIndex=3&amp;refID=7049145&amp;Result=3","7049145")</f>
        <v>0</v>
      </c>
      <c r="B8987" t="s">
        <v>1007</v>
      </c>
      <c r="C8987" t="s">
        <v>12061</v>
      </c>
      <c r="D8987" t="s">
        <v>18812</v>
      </c>
      <c r="E8987" t="s">
        <v>26711</v>
      </c>
      <c r="F8987" t="s">
        <v>32664</v>
      </c>
      <c r="G8987" t="s">
        <v>32672</v>
      </c>
      <c r="H8987" t="s">
        <v>32683</v>
      </c>
      <c r="I8987" t="s">
        <v>10627</v>
      </c>
      <c r="J8987" t="s">
        <v>38270</v>
      </c>
      <c r="K8987" t="s">
        <v>42344</v>
      </c>
      <c r="M8987" t="s">
        <v>43619</v>
      </c>
      <c r="N8987" t="s">
        <v>46569</v>
      </c>
      <c r="O8987" t="s">
        <v>46570</v>
      </c>
      <c r="P8987">
        <v>0</v>
      </c>
      <c r="Q8987">
        <v>0</v>
      </c>
      <c r="R8987" t="s">
        <v>46577</v>
      </c>
      <c r="S8987" t="s">
        <v>46808</v>
      </c>
      <c r="T8987" t="s">
        <v>48621</v>
      </c>
      <c r="U8987" t="s">
        <v>56053</v>
      </c>
      <c r="W8987" t="s">
        <v>43619</v>
      </c>
      <c r="X8987" t="s">
        <v>46580</v>
      </c>
    </row>
    <row r="8988" spans="1:24">
      <c r="A8988">
        <f>HYPERLINK("https://www.philgeps.gov.ph/GEPSNONPILOT/Tender/SplashBidNoticeAbstractUI.aspx?menuIndex=3&amp;refID=7049059&amp;Result=3","7049059")</f>
        <v>0</v>
      </c>
      <c r="B8988" t="s">
        <v>1765</v>
      </c>
      <c r="C8988" t="s">
        <v>12062</v>
      </c>
      <c r="D8988" t="s">
        <v>18783</v>
      </c>
      <c r="E8988" t="s">
        <v>26712</v>
      </c>
      <c r="F8988" t="s">
        <v>32664</v>
      </c>
      <c r="G8988" t="s">
        <v>32672</v>
      </c>
      <c r="H8988" t="s">
        <v>12635</v>
      </c>
      <c r="I8988" t="s">
        <v>9597</v>
      </c>
      <c r="J8988" t="s">
        <v>33177</v>
      </c>
      <c r="K8988" t="s">
        <v>42289</v>
      </c>
      <c r="M8988" t="s">
        <v>44467</v>
      </c>
      <c r="N8988" t="s">
        <v>46569</v>
      </c>
      <c r="O8988" t="s">
        <v>46570</v>
      </c>
      <c r="P8988">
        <v>0</v>
      </c>
      <c r="Q8988">
        <v>1</v>
      </c>
      <c r="R8988" t="s">
        <v>46577</v>
      </c>
      <c r="S8988" t="s">
        <v>46808</v>
      </c>
      <c r="T8988" t="s">
        <v>48374</v>
      </c>
      <c r="U8988" t="s">
        <v>56054</v>
      </c>
      <c r="V8988" t="s">
        <v>62551</v>
      </c>
      <c r="W8988" t="s">
        <v>44467</v>
      </c>
      <c r="X8988" t="s">
        <v>46580</v>
      </c>
    </row>
    <row r="8989" spans="1:24">
      <c r="A8989">
        <f>HYPERLINK("https://www.philgeps.gov.ph/GEPSNONPILOT/Tender/SplashBidNoticeAbstractUI.aspx?menuIndex=3&amp;refID=7049244&amp;Result=3","7049244")</f>
        <v>0</v>
      </c>
      <c r="B8989" t="s">
        <v>2596</v>
      </c>
      <c r="C8989" t="s">
        <v>12063</v>
      </c>
      <c r="D8989" t="s">
        <v>18842</v>
      </c>
      <c r="E8989" t="s">
        <v>26713</v>
      </c>
      <c r="F8989" t="s">
        <v>32664</v>
      </c>
      <c r="G8989" t="s">
        <v>32672</v>
      </c>
      <c r="H8989" t="s">
        <v>12635</v>
      </c>
      <c r="I8989" t="s">
        <v>32694</v>
      </c>
      <c r="J8989" t="s">
        <v>38271</v>
      </c>
      <c r="K8989" t="s">
        <v>42289</v>
      </c>
      <c r="M8989" t="s">
        <v>45411</v>
      </c>
      <c r="N8989" t="s">
        <v>46569</v>
      </c>
      <c r="O8989" t="s">
        <v>46570</v>
      </c>
      <c r="P8989">
        <v>0</v>
      </c>
      <c r="Q8989">
        <v>0</v>
      </c>
      <c r="R8989" t="s">
        <v>46577</v>
      </c>
      <c r="S8989" t="s">
        <v>46808</v>
      </c>
      <c r="T8989" t="s">
        <v>48394</v>
      </c>
      <c r="U8989" t="s">
        <v>56055</v>
      </c>
      <c r="W8989" t="s">
        <v>45411</v>
      </c>
      <c r="X8989" t="s">
        <v>46580</v>
      </c>
    </row>
    <row r="8990" spans="1:24">
      <c r="A8990">
        <f>HYPERLINK("https://www.philgeps.gov.ph/GEPSNONPILOT/Tender/SplashBidNoticeAbstractUI.aspx?menuIndex=3&amp;refID=7049222&amp;Result=3","7049222")</f>
        <v>0</v>
      </c>
      <c r="B8990" t="s">
        <v>1765</v>
      </c>
      <c r="C8990" t="s">
        <v>8616</v>
      </c>
      <c r="D8990" t="s">
        <v>18783</v>
      </c>
      <c r="E8990" t="s">
        <v>26714</v>
      </c>
      <c r="F8990" t="s">
        <v>32664</v>
      </c>
      <c r="G8990" t="s">
        <v>32672</v>
      </c>
      <c r="H8990" t="s">
        <v>12635</v>
      </c>
      <c r="I8990" t="s">
        <v>32685</v>
      </c>
      <c r="J8990" t="s">
        <v>32865</v>
      </c>
      <c r="K8990" t="s">
        <v>42289</v>
      </c>
      <c r="M8990" t="s">
        <v>44467</v>
      </c>
      <c r="N8990" t="s">
        <v>46569</v>
      </c>
      <c r="O8990" t="s">
        <v>46570</v>
      </c>
      <c r="P8990">
        <v>0</v>
      </c>
      <c r="Q8990">
        <v>0</v>
      </c>
      <c r="R8990" t="s">
        <v>46577</v>
      </c>
      <c r="S8990" t="s">
        <v>46808</v>
      </c>
      <c r="T8990" t="s">
        <v>48374</v>
      </c>
      <c r="U8990" t="s">
        <v>56056</v>
      </c>
      <c r="V8990" t="s">
        <v>62551</v>
      </c>
      <c r="W8990" t="s">
        <v>44467</v>
      </c>
      <c r="X8990" t="s">
        <v>46580</v>
      </c>
    </row>
    <row r="8991" spans="1:24">
      <c r="A8991">
        <f>HYPERLINK("https://www.philgeps.gov.ph/GEPSNONPILOT/Tender/SplashBidNoticeAbstractUI.aspx?menuIndex=3&amp;refID=7048442&amp;Result=3","7048442")</f>
        <v>0</v>
      </c>
      <c r="B8991" t="s">
        <v>684</v>
      </c>
      <c r="C8991" t="s">
        <v>12064</v>
      </c>
      <c r="E8991" t="s">
        <v>26715</v>
      </c>
      <c r="F8991" t="s">
        <v>32664</v>
      </c>
      <c r="G8991" t="s">
        <v>32672</v>
      </c>
      <c r="H8991" t="s">
        <v>12635</v>
      </c>
      <c r="I8991" t="s">
        <v>8797</v>
      </c>
      <c r="J8991" t="s">
        <v>38272</v>
      </c>
      <c r="K8991" t="s">
        <v>42283</v>
      </c>
      <c r="M8991" t="s">
        <v>45394</v>
      </c>
      <c r="N8991" t="s">
        <v>46569</v>
      </c>
      <c r="O8991" t="s">
        <v>46570</v>
      </c>
      <c r="P8991">
        <v>0</v>
      </c>
      <c r="Q8991">
        <v>24</v>
      </c>
      <c r="R8991" t="s">
        <v>46577</v>
      </c>
      <c r="S8991" t="s">
        <v>46808</v>
      </c>
      <c r="T8991" t="s">
        <v>48394</v>
      </c>
      <c r="U8991" t="s">
        <v>56057</v>
      </c>
      <c r="W8991" t="s">
        <v>45394</v>
      </c>
      <c r="X8991" t="s">
        <v>46580</v>
      </c>
    </row>
    <row r="8992" spans="1:24">
      <c r="A8992">
        <f>HYPERLINK("https://www.philgeps.gov.ph/GEPSNONPILOT/Tender/SplashBidNoticeAbstractUI.aspx?menuIndex=3&amp;refID=7048839&amp;Result=3","7048839")</f>
        <v>0</v>
      </c>
      <c r="B8992" t="s">
        <v>1765</v>
      </c>
      <c r="C8992" t="s">
        <v>12065</v>
      </c>
      <c r="D8992" t="s">
        <v>18783</v>
      </c>
      <c r="E8992" t="s">
        <v>26716</v>
      </c>
      <c r="F8992" t="s">
        <v>32664</v>
      </c>
      <c r="G8992" t="s">
        <v>32672</v>
      </c>
      <c r="H8992" t="s">
        <v>12635</v>
      </c>
      <c r="I8992" t="s">
        <v>32756</v>
      </c>
      <c r="J8992" t="s">
        <v>38202</v>
      </c>
      <c r="K8992" t="s">
        <v>42289</v>
      </c>
      <c r="M8992" t="s">
        <v>44467</v>
      </c>
      <c r="N8992" t="s">
        <v>46569</v>
      </c>
      <c r="O8992" t="s">
        <v>46570</v>
      </c>
      <c r="P8992">
        <v>0</v>
      </c>
      <c r="Q8992">
        <v>2</v>
      </c>
      <c r="R8992" t="s">
        <v>46577</v>
      </c>
      <c r="S8992" t="s">
        <v>46808</v>
      </c>
      <c r="T8992" t="s">
        <v>48374</v>
      </c>
      <c r="U8992" t="s">
        <v>56058</v>
      </c>
      <c r="W8992" t="s">
        <v>44467</v>
      </c>
      <c r="X8992" t="s">
        <v>46580</v>
      </c>
    </row>
    <row r="8993" spans="1:24">
      <c r="A8993">
        <f>HYPERLINK("https://www.philgeps.gov.ph/GEPSNONPILOT/Tender/SplashBidNoticeAbstractUI.aspx?menuIndex=3&amp;refID=7048820&amp;Result=3","7048820")</f>
        <v>0</v>
      </c>
      <c r="B8993" t="s">
        <v>1007</v>
      </c>
      <c r="C8993" t="s">
        <v>12066</v>
      </c>
      <c r="D8993" t="s">
        <v>18812</v>
      </c>
      <c r="E8993" t="s">
        <v>26717</v>
      </c>
      <c r="F8993" t="s">
        <v>32664</v>
      </c>
      <c r="G8993" t="s">
        <v>32672</v>
      </c>
      <c r="H8993" t="s">
        <v>32683</v>
      </c>
      <c r="I8993" t="s">
        <v>10627</v>
      </c>
      <c r="J8993" t="s">
        <v>38273</v>
      </c>
      <c r="K8993" t="s">
        <v>42292</v>
      </c>
      <c r="M8993" t="s">
        <v>43619</v>
      </c>
      <c r="N8993" t="s">
        <v>46569</v>
      </c>
      <c r="O8993" t="s">
        <v>46570</v>
      </c>
      <c r="P8993">
        <v>0</v>
      </c>
      <c r="Q8993">
        <v>0</v>
      </c>
      <c r="R8993" t="s">
        <v>46577</v>
      </c>
      <c r="S8993" t="s">
        <v>46808</v>
      </c>
      <c r="T8993" t="s">
        <v>48621</v>
      </c>
      <c r="U8993" t="s">
        <v>56059</v>
      </c>
      <c r="W8993" t="s">
        <v>43619</v>
      </c>
      <c r="X8993" t="s">
        <v>46580</v>
      </c>
    </row>
    <row r="8994" spans="1:24">
      <c r="A8994">
        <f>HYPERLINK("https://www.philgeps.gov.ph/GEPSNONPILOT/Tender/SplashBidNoticeAbstractUI.aspx?menuIndex=3&amp;refID=7048752&amp;Result=3","7048752")</f>
        <v>0</v>
      </c>
      <c r="B8994" t="s">
        <v>460</v>
      </c>
      <c r="C8994" t="s">
        <v>12067</v>
      </c>
      <c r="D8994" t="s">
        <v>18806</v>
      </c>
      <c r="E8994" t="s">
        <v>26718</v>
      </c>
      <c r="F8994" t="s">
        <v>32664</v>
      </c>
      <c r="G8994" t="s">
        <v>32672</v>
      </c>
      <c r="H8994" t="s">
        <v>12635</v>
      </c>
      <c r="I8994" t="s">
        <v>32685</v>
      </c>
      <c r="J8994" t="s">
        <v>38274</v>
      </c>
      <c r="K8994" t="s">
        <v>42330</v>
      </c>
      <c r="M8994" t="s">
        <v>43641</v>
      </c>
      <c r="N8994" t="s">
        <v>46569</v>
      </c>
      <c r="O8994" t="s">
        <v>46570</v>
      </c>
      <c r="P8994">
        <v>0</v>
      </c>
      <c r="Q8994">
        <v>1</v>
      </c>
      <c r="R8994" t="s">
        <v>46577</v>
      </c>
      <c r="S8994" t="s">
        <v>46808</v>
      </c>
      <c r="T8994" t="s">
        <v>48228</v>
      </c>
      <c r="U8994" t="s">
        <v>56060</v>
      </c>
      <c r="V8994" t="s">
        <v>61876</v>
      </c>
      <c r="W8994" t="s">
        <v>43641</v>
      </c>
      <c r="X8994" t="s">
        <v>46580</v>
      </c>
    </row>
    <row r="8995" spans="1:24">
      <c r="A8995">
        <f>HYPERLINK("https://www.philgeps.gov.ph/GEPSNONPILOT/Tender/SplashBidNoticeAbstractUI.aspx?menuIndex=3&amp;refID=7048756&amp;Result=3","7048756")</f>
        <v>0</v>
      </c>
      <c r="B8995" t="s">
        <v>1765</v>
      </c>
      <c r="C8995" t="s">
        <v>12068</v>
      </c>
      <c r="D8995" t="s">
        <v>18783</v>
      </c>
      <c r="E8995" t="s">
        <v>26719</v>
      </c>
      <c r="F8995" t="s">
        <v>32664</v>
      </c>
      <c r="G8995" t="s">
        <v>32672</v>
      </c>
      <c r="H8995" t="s">
        <v>12635</v>
      </c>
      <c r="I8995" t="s">
        <v>10370</v>
      </c>
      <c r="J8995" t="s">
        <v>32865</v>
      </c>
      <c r="K8995" t="s">
        <v>42289</v>
      </c>
      <c r="M8995" t="s">
        <v>44467</v>
      </c>
      <c r="N8995" t="s">
        <v>46569</v>
      </c>
      <c r="O8995" t="s">
        <v>46570</v>
      </c>
      <c r="P8995">
        <v>0</v>
      </c>
      <c r="Q8995">
        <v>1</v>
      </c>
      <c r="R8995" t="s">
        <v>46577</v>
      </c>
      <c r="S8995" t="s">
        <v>46808</v>
      </c>
      <c r="T8995" t="s">
        <v>48374</v>
      </c>
      <c r="U8995" t="s">
        <v>56061</v>
      </c>
      <c r="V8995" t="s">
        <v>62551</v>
      </c>
      <c r="W8995" t="s">
        <v>44467</v>
      </c>
      <c r="X8995" t="s">
        <v>46580</v>
      </c>
    </row>
    <row r="8996" spans="1:24">
      <c r="A8996">
        <f>HYPERLINK("https://www.philgeps.gov.ph/GEPSNONPILOT/Tender/SplashBidNoticeAbstractUI.aspx?menuIndex=3&amp;refID=7048760&amp;Result=3","7048760")</f>
        <v>0</v>
      </c>
      <c r="B8996" t="s">
        <v>1007</v>
      </c>
      <c r="C8996" t="s">
        <v>12069</v>
      </c>
      <c r="D8996" t="s">
        <v>18812</v>
      </c>
      <c r="E8996" t="s">
        <v>26720</v>
      </c>
      <c r="F8996" t="s">
        <v>32664</v>
      </c>
      <c r="G8996" t="s">
        <v>32672</v>
      </c>
      <c r="H8996" t="s">
        <v>32683</v>
      </c>
      <c r="I8996" t="s">
        <v>10627</v>
      </c>
      <c r="J8996" t="s">
        <v>38275</v>
      </c>
      <c r="K8996" t="s">
        <v>42358</v>
      </c>
      <c r="M8996" t="s">
        <v>43619</v>
      </c>
      <c r="N8996" t="s">
        <v>46569</v>
      </c>
      <c r="O8996" t="s">
        <v>46570</v>
      </c>
      <c r="P8996">
        <v>0</v>
      </c>
      <c r="Q8996">
        <v>0</v>
      </c>
      <c r="R8996" t="s">
        <v>46577</v>
      </c>
      <c r="S8996" t="s">
        <v>46808</v>
      </c>
      <c r="T8996" t="s">
        <v>48621</v>
      </c>
      <c r="U8996" t="s">
        <v>56062</v>
      </c>
      <c r="W8996" t="s">
        <v>43619</v>
      </c>
      <c r="X8996" t="s">
        <v>46580</v>
      </c>
    </row>
    <row r="8997" spans="1:24">
      <c r="A8997">
        <f>HYPERLINK("https://www.philgeps.gov.ph/GEPSNONPILOT/Tender/SplashBidNoticeAbstractUI.aspx?menuIndex=3&amp;refID=7048732&amp;Result=3","7048732")</f>
        <v>0</v>
      </c>
      <c r="B8997" t="s">
        <v>460</v>
      </c>
      <c r="C8997" t="s">
        <v>12070</v>
      </c>
      <c r="D8997" t="s">
        <v>18806</v>
      </c>
      <c r="E8997" t="s">
        <v>26721</v>
      </c>
      <c r="F8997" t="s">
        <v>32664</v>
      </c>
      <c r="G8997" t="s">
        <v>32672</v>
      </c>
      <c r="H8997" t="s">
        <v>12635</v>
      </c>
      <c r="I8997" t="s">
        <v>32704</v>
      </c>
      <c r="J8997" t="s">
        <v>38276</v>
      </c>
      <c r="K8997" t="s">
        <v>42330</v>
      </c>
      <c r="M8997" t="s">
        <v>43641</v>
      </c>
      <c r="N8997" t="s">
        <v>46569</v>
      </c>
      <c r="O8997" t="s">
        <v>46570</v>
      </c>
      <c r="P8997">
        <v>0</v>
      </c>
      <c r="Q8997">
        <v>5</v>
      </c>
      <c r="R8997" t="s">
        <v>46577</v>
      </c>
      <c r="S8997" t="s">
        <v>46808</v>
      </c>
      <c r="T8997" t="s">
        <v>48228</v>
      </c>
      <c r="U8997" t="s">
        <v>56063</v>
      </c>
      <c r="V8997" t="s">
        <v>61876</v>
      </c>
      <c r="W8997" t="s">
        <v>43641</v>
      </c>
      <c r="X8997" t="s">
        <v>46580</v>
      </c>
    </row>
    <row r="8998" spans="1:24">
      <c r="A8998">
        <f>HYPERLINK("https://www.philgeps.gov.ph/GEPSNONPILOT/Tender/SplashBidNoticeAbstractUI.aspx?menuIndex=3&amp;refID=7048996&amp;Result=3","7048996")</f>
        <v>0</v>
      </c>
      <c r="B8998" t="s">
        <v>2596</v>
      </c>
      <c r="C8998" t="s">
        <v>12071</v>
      </c>
      <c r="D8998" t="s">
        <v>18842</v>
      </c>
      <c r="E8998" t="s">
        <v>26722</v>
      </c>
      <c r="F8998" t="s">
        <v>32664</v>
      </c>
      <c r="G8998" t="s">
        <v>32672</v>
      </c>
      <c r="H8998" t="s">
        <v>12635</v>
      </c>
      <c r="I8998" t="s">
        <v>32694</v>
      </c>
      <c r="J8998" t="s">
        <v>38277</v>
      </c>
      <c r="K8998" t="s">
        <v>42289</v>
      </c>
      <c r="M8998" t="s">
        <v>45411</v>
      </c>
      <c r="N8998" t="s">
        <v>46569</v>
      </c>
      <c r="O8998" t="s">
        <v>46570</v>
      </c>
      <c r="P8998">
        <v>0</v>
      </c>
      <c r="Q8998">
        <v>0</v>
      </c>
      <c r="R8998" t="s">
        <v>46577</v>
      </c>
      <c r="S8998" t="s">
        <v>46808</v>
      </c>
      <c r="T8998" t="s">
        <v>48394</v>
      </c>
      <c r="U8998" t="s">
        <v>56064</v>
      </c>
      <c r="W8998" t="s">
        <v>45411</v>
      </c>
      <c r="X8998" t="s">
        <v>46580</v>
      </c>
    </row>
    <row r="8999" spans="1:24">
      <c r="A8999">
        <f>HYPERLINK("https://www.philgeps.gov.ph/GEPSNONPILOT/Tender/SplashBidNoticeAbstractUI.aspx?menuIndex=3&amp;refID=7049271&amp;Result=3","7049271")</f>
        <v>0</v>
      </c>
      <c r="B8999" t="s">
        <v>1765</v>
      </c>
      <c r="C8999" t="s">
        <v>12072</v>
      </c>
      <c r="D8999" t="s">
        <v>18783</v>
      </c>
      <c r="E8999" t="s">
        <v>26723</v>
      </c>
      <c r="F8999" t="s">
        <v>32664</v>
      </c>
      <c r="G8999" t="s">
        <v>32672</v>
      </c>
      <c r="H8999" t="s">
        <v>12635</v>
      </c>
      <c r="I8999" t="s">
        <v>4205</v>
      </c>
      <c r="J8999" t="s">
        <v>32865</v>
      </c>
      <c r="K8999" t="s">
        <v>42289</v>
      </c>
      <c r="M8999" t="s">
        <v>44467</v>
      </c>
      <c r="N8999" t="s">
        <v>46569</v>
      </c>
      <c r="O8999" t="s">
        <v>46570</v>
      </c>
      <c r="P8999">
        <v>0</v>
      </c>
      <c r="Q8999">
        <v>1</v>
      </c>
      <c r="R8999" t="s">
        <v>46577</v>
      </c>
      <c r="S8999" t="s">
        <v>46808</v>
      </c>
      <c r="T8999" t="s">
        <v>48374</v>
      </c>
      <c r="U8999" t="s">
        <v>56065</v>
      </c>
      <c r="V8999" t="s">
        <v>62551</v>
      </c>
      <c r="W8999" t="s">
        <v>44467</v>
      </c>
      <c r="X8999" t="s">
        <v>46580</v>
      </c>
    </row>
    <row r="9000" spans="1:24">
      <c r="A9000">
        <f>HYPERLINK("https://www.philgeps.gov.ph/GEPSNONPILOT/Tender/SplashBidNoticeAbstractUI.aspx?menuIndex=3&amp;refID=7050169&amp;Result=3","7050169")</f>
        <v>0</v>
      </c>
      <c r="B9000" t="s">
        <v>1300</v>
      </c>
      <c r="C9000" t="s">
        <v>12073</v>
      </c>
      <c r="D9000" t="s">
        <v>18782</v>
      </c>
      <c r="E9000" t="s">
        <v>26724</v>
      </c>
      <c r="F9000" t="s">
        <v>32664</v>
      </c>
      <c r="G9000" t="s">
        <v>32671</v>
      </c>
      <c r="H9000" t="s">
        <v>12635</v>
      </c>
      <c r="I9000" t="s">
        <v>9946</v>
      </c>
      <c r="J9000" t="s">
        <v>38278</v>
      </c>
      <c r="K9000" t="s">
        <v>42401</v>
      </c>
      <c r="M9000" t="s">
        <v>45412</v>
      </c>
      <c r="N9000" t="s">
        <v>46569</v>
      </c>
      <c r="O9000" t="s">
        <v>46570</v>
      </c>
      <c r="P9000">
        <v>0</v>
      </c>
      <c r="Q9000">
        <v>1</v>
      </c>
      <c r="R9000" t="s">
        <v>46577</v>
      </c>
      <c r="S9000" t="s">
        <v>46808</v>
      </c>
      <c r="T9000" t="s">
        <v>48287</v>
      </c>
      <c r="U9000" t="s">
        <v>56066</v>
      </c>
      <c r="V9000" t="s">
        <v>62552</v>
      </c>
      <c r="W9000" t="s">
        <v>45412</v>
      </c>
      <c r="X9000" t="s">
        <v>46579</v>
      </c>
    </row>
    <row r="9001" spans="1:24">
      <c r="A9001">
        <f>HYPERLINK("https://www.philgeps.gov.ph/GEPSNONPILOT/Tender/SplashBidNoticeAbstractUI.aspx?menuIndex=3&amp;refID=7050152&amp;Result=3","7050152")</f>
        <v>0</v>
      </c>
      <c r="B9001" t="s">
        <v>1300</v>
      </c>
      <c r="C9001" t="s">
        <v>12074</v>
      </c>
      <c r="D9001" t="s">
        <v>18782</v>
      </c>
      <c r="E9001" t="s">
        <v>26725</v>
      </c>
      <c r="F9001" t="s">
        <v>32664</v>
      </c>
      <c r="G9001" t="s">
        <v>32671</v>
      </c>
      <c r="H9001" t="s">
        <v>12635</v>
      </c>
      <c r="I9001" t="s">
        <v>9946</v>
      </c>
      <c r="J9001" t="s">
        <v>38278</v>
      </c>
      <c r="K9001" t="s">
        <v>42401</v>
      </c>
      <c r="M9001" t="s">
        <v>45412</v>
      </c>
      <c r="N9001" t="s">
        <v>46569</v>
      </c>
      <c r="O9001" t="s">
        <v>46570</v>
      </c>
      <c r="P9001">
        <v>0</v>
      </c>
      <c r="Q9001">
        <v>1</v>
      </c>
      <c r="R9001" t="s">
        <v>46577</v>
      </c>
      <c r="S9001" t="s">
        <v>46808</v>
      </c>
      <c r="T9001" t="s">
        <v>48287</v>
      </c>
      <c r="U9001" t="s">
        <v>56067</v>
      </c>
      <c r="V9001" t="s">
        <v>62552</v>
      </c>
      <c r="W9001" t="s">
        <v>45412</v>
      </c>
      <c r="X9001" t="s">
        <v>46579</v>
      </c>
    </row>
    <row r="9002" spans="1:24">
      <c r="A9002">
        <f>HYPERLINK("https://www.philgeps.gov.ph/GEPSNONPILOT/Tender/SplashBidNoticeAbstractUI.aspx?menuIndex=3&amp;refID=7048896&amp;Result=3","7048896")</f>
        <v>0</v>
      </c>
      <c r="B9002" t="s">
        <v>460</v>
      </c>
      <c r="C9002" t="s">
        <v>12075</v>
      </c>
      <c r="D9002" t="s">
        <v>18806</v>
      </c>
      <c r="E9002" t="s">
        <v>26726</v>
      </c>
      <c r="F9002" t="s">
        <v>32664</v>
      </c>
      <c r="G9002" t="s">
        <v>32672</v>
      </c>
      <c r="H9002" t="s">
        <v>12635</v>
      </c>
      <c r="I9002" t="s">
        <v>32712</v>
      </c>
      <c r="J9002" t="s">
        <v>37294</v>
      </c>
      <c r="K9002" t="s">
        <v>42330</v>
      </c>
      <c r="M9002" t="s">
        <v>43641</v>
      </c>
      <c r="N9002" t="s">
        <v>46569</v>
      </c>
      <c r="O9002" t="s">
        <v>46570</v>
      </c>
      <c r="P9002">
        <v>0</v>
      </c>
      <c r="Q9002">
        <v>2</v>
      </c>
      <c r="R9002" t="s">
        <v>46577</v>
      </c>
      <c r="S9002" t="s">
        <v>46808</v>
      </c>
      <c r="T9002" t="s">
        <v>48228</v>
      </c>
      <c r="U9002" t="s">
        <v>56068</v>
      </c>
      <c r="V9002" t="s">
        <v>61876</v>
      </c>
      <c r="W9002" t="s">
        <v>43641</v>
      </c>
      <c r="X9002" t="s">
        <v>46580</v>
      </c>
    </row>
    <row r="9003" spans="1:24">
      <c r="A9003">
        <f>HYPERLINK("https://www.philgeps.gov.ph/GEPSNONPILOT/Tender/SplashBidNoticeAbstractUI.aspx?menuIndex=3&amp;refID=7050142&amp;Result=3","7050142")</f>
        <v>0</v>
      </c>
      <c r="B9003" t="s">
        <v>1300</v>
      </c>
      <c r="C9003" t="s">
        <v>12076</v>
      </c>
      <c r="D9003" t="s">
        <v>18782</v>
      </c>
      <c r="E9003" t="s">
        <v>26727</v>
      </c>
      <c r="F9003" t="s">
        <v>32664</v>
      </c>
      <c r="G9003" t="s">
        <v>32671</v>
      </c>
      <c r="H9003" t="s">
        <v>12635</v>
      </c>
      <c r="I9003" t="s">
        <v>9946</v>
      </c>
      <c r="J9003" t="s">
        <v>38279</v>
      </c>
      <c r="K9003" t="s">
        <v>42401</v>
      </c>
      <c r="M9003" t="s">
        <v>45412</v>
      </c>
      <c r="N9003" t="s">
        <v>46569</v>
      </c>
      <c r="O9003" t="s">
        <v>46570</v>
      </c>
      <c r="P9003">
        <v>0</v>
      </c>
      <c r="Q9003">
        <v>1</v>
      </c>
      <c r="R9003" t="s">
        <v>46577</v>
      </c>
      <c r="S9003" t="s">
        <v>46808</v>
      </c>
      <c r="T9003" t="s">
        <v>48287</v>
      </c>
      <c r="U9003" t="s">
        <v>56069</v>
      </c>
      <c r="V9003" t="s">
        <v>62552</v>
      </c>
      <c r="W9003" t="s">
        <v>45412</v>
      </c>
      <c r="X9003" t="s">
        <v>46579</v>
      </c>
    </row>
    <row r="9004" spans="1:24">
      <c r="A9004">
        <f>HYPERLINK("https://www.philgeps.gov.ph/GEPSNONPILOT/Tender/SplashBidNoticeAbstractUI.aspx?menuIndex=3&amp;refID=7050126&amp;Result=3","7050126")</f>
        <v>0</v>
      </c>
      <c r="B9004" t="s">
        <v>1300</v>
      </c>
      <c r="C9004" t="s">
        <v>12077</v>
      </c>
      <c r="D9004" t="s">
        <v>18782</v>
      </c>
      <c r="E9004" t="s">
        <v>26728</v>
      </c>
      <c r="F9004" t="s">
        <v>32664</v>
      </c>
      <c r="G9004" t="s">
        <v>32671</v>
      </c>
      <c r="H9004" t="s">
        <v>12635</v>
      </c>
      <c r="I9004" t="s">
        <v>9946</v>
      </c>
      <c r="J9004" t="s">
        <v>38280</v>
      </c>
      <c r="K9004" t="s">
        <v>42401</v>
      </c>
      <c r="M9004" t="s">
        <v>45412</v>
      </c>
      <c r="N9004" t="s">
        <v>46569</v>
      </c>
      <c r="O9004" t="s">
        <v>46570</v>
      </c>
      <c r="P9004">
        <v>0</v>
      </c>
      <c r="Q9004">
        <v>2</v>
      </c>
      <c r="R9004" t="s">
        <v>46577</v>
      </c>
      <c r="S9004" t="s">
        <v>46808</v>
      </c>
      <c r="T9004" t="s">
        <v>48287</v>
      </c>
      <c r="U9004" t="s">
        <v>56070</v>
      </c>
      <c r="V9004" t="s">
        <v>62552</v>
      </c>
      <c r="W9004" t="s">
        <v>45412</v>
      </c>
      <c r="X9004" t="s">
        <v>46579</v>
      </c>
    </row>
    <row r="9005" spans="1:24">
      <c r="A9005">
        <f>HYPERLINK("https://www.philgeps.gov.ph/GEPSNONPILOT/Tender/SplashBidNoticeAbstractUI.aspx?menuIndex=3&amp;refID=7047609&amp;Result=3","7047609")</f>
        <v>0</v>
      </c>
      <c r="B9005" t="s">
        <v>1360</v>
      </c>
      <c r="C9005" t="s">
        <v>12078</v>
      </c>
      <c r="D9005" t="s">
        <v>18806</v>
      </c>
      <c r="E9005" t="s">
        <v>19357</v>
      </c>
      <c r="F9005" t="s">
        <v>32664</v>
      </c>
      <c r="G9005" t="s">
        <v>32674</v>
      </c>
      <c r="H9005" t="s">
        <v>12635</v>
      </c>
      <c r="I9005" t="s">
        <v>4439</v>
      </c>
      <c r="J9005" t="s">
        <v>38255</v>
      </c>
      <c r="K9005" t="s">
        <v>42317</v>
      </c>
      <c r="M9005" t="s">
        <v>44014</v>
      </c>
      <c r="N9005" t="s">
        <v>46569</v>
      </c>
      <c r="O9005" t="s">
        <v>46570</v>
      </c>
      <c r="P9005">
        <v>0</v>
      </c>
      <c r="Q9005">
        <v>0</v>
      </c>
      <c r="R9005" t="s">
        <v>46577</v>
      </c>
      <c r="S9005" t="s">
        <v>46808</v>
      </c>
      <c r="T9005" t="s">
        <v>48307</v>
      </c>
      <c r="U9005" t="s">
        <v>56032</v>
      </c>
      <c r="W9005" t="s">
        <v>44014</v>
      </c>
      <c r="X9005" t="s">
        <v>46580</v>
      </c>
    </row>
    <row r="9006" spans="1:24">
      <c r="A9006">
        <f>HYPERLINK("https://www.philgeps.gov.ph/GEPSNONPILOT/Tender/SplashBidNoticeAbstractUI.aspx?menuIndex=3&amp;refID=7049457&amp;Result=3","7049457")</f>
        <v>0</v>
      </c>
      <c r="B9006" t="s">
        <v>1765</v>
      </c>
      <c r="C9006" t="s">
        <v>12079</v>
      </c>
      <c r="D9006" t="s">
        <v>18783</v>
      </c>
      <c r="E9006" t="s">
        <v>26729</v>
      </c>
      <c r="F9006" t="s">
        <v>32664</v>
      </c>
      <c r="G9006" t="s">
        <v>32672</v>
      </c>
      <c r="H9006" t="s">
        <v>12635</v>
      </c>
      <c r="I9006" t="s">
        <v>32707</v>
      </c>
      <c r="J9006" t="s">
        <v>33083</v>
      </c>
      <c r="K9006" t="s">
        <v>42289</v>
      </c>
      <c r="M9006" t="s">
        <v>44467</v>
      </c>
      <c r="N9006" t="s">
        <v>46569</v>
      </c>
      <c r="O9006" t="s">
        <v>46570</v>
      </c>
      <c r="P9006">
        <v>0</v>
      </c>
      <c r="Q9006">
        <v>1</v>
      </c>
      <c r="R9006" t="s">
        <v>46577</v>
      </c>
      <c r="S9006" t="s">
        <v>46808</v>
      </c>
      <c r="T9006" t="s">
        <v>48374</v>
      </c>
      <c r="U9006" t="s">
        <v>56071</v>
      </c>
      <c r="V9006" t="s">
        <v>62551</v>
      </c>
      <c r="W9006" t="s">
        <v>44467</v>
      </c>
      <c r="X9006" t="s">
        <v>46580</v>
      </c>
    </row>
    <row r="9007" spans="1:24">
      <c r="A9007">
        <f>HYPERLINK("https://www.philgeps.gov.ph/GEPSNONPILOT/Tender/SplashBidNoticeAbstractUI.aspx?menuIndex=3&amp;refID=7049670&amp;Result=3","7049670")</f>
        <v>0</v>
      </c>
      <c r="B9007" t="s">
        <v>402</v>
      </c>
      <c r="C9007" t="s">
        <v>12080</v>
      </c>
      <c r="D9007" t="s">
        <v>18781</v>
      </c>
      <c r="E9007" t="s">
        <v>26730</v>
      </c>
      <c r="F9007" t="s">
        <v>32664</v>
      </c>
      <c r="G9007" t="s">
        <v>32672</v>
      </c>
      <c r="H9007" t="s">
        <v>12635</v>
      </c>
      <c r="I9007" t="s">
        <v>9486</v>
      </c>
      <c r="J9007" t="s">
        <v>38281</v>
      </c>
      <c r="K9007" t="s">
        <v>42283</v>
      </c>
      <c r="M9007" t="s">
        <v>42972</v>
      </c>
      <c r="N9007" t="s">
        <v>46569</v>
      </c>
      <c r="O9007" t="s">
        <v>46570</v>
      </c>
      <c r="P9007">
        <v>0</v>
      </c>
      <c r="Q9007">
        <v>4</v>
      </c>
      <c r="R9007" t="s">
        <v>46577</v>
      </c>
      <c r="S9007" t="s">
        <v>46808</v>
      </c>
      <c r="T9007" t="s">
        <v>48313</v>
      </c>
      <c r="U9007" t="s">
        <v>56072</v>
      </c>
      <c r="W9007" t="s">
        <v>42972</v>
      </c>
      <c r="X9007" t="s">
        <v>46580</v>
      </c>
    </row>
    <row r="9008" spans="1:24">
      <c r="A9008">
        <f>HYPERLINK("https://www.philgeps.gov.ph/GEPSNONPILOT/Tender/SplashBidNoticeAbstractUI.aspx?menuIndex=3&amp;refID=7050289&amp;Result=3","7050289")</f>
        <v>0</v>
      </c>
      <c r="B9008" t="s">
        <v>1300</v>
      </c>
      <c r="C9008" t="s">
        <v>12081</v>
      </c>
      <c r="D9008" t="s">
        <v>18782</v>
      </c>
      <c r="E9008" t="s">
        <v>26731</v>
      </c>
      <c r="F9008" t="s">
        <v>32664</v>
      </c>
      <c r="G9008" t="s">
        <v>32671</v>
      </c>
      <c r="H9008" t="s">
        <v>12635</v>
      </c>
      <c r="I9008" t="s">
        <v>10590</v>
      </c>
      <c r="J9008" t="s">
        <v>38282</v>
      </c>
      <c r="K9008" t="s">
        <v>42297</v>
      </c>
      <c r="M9008" t="s">
        <v>45412</v>
      </c>
      <c r="N9008" t="s">
        <v>46569</v>
      </c>
      <c r="O9008" t="s">
        <v>46570</v>
      </c>
      <c r="P9008">
        <v>0</v>
      </c>
      <c r="Q9008">
        <v>0</v>
      </c>
      <c r="R9008" t="s">
        <v>46577</v>
      </c>
      <c r="S9008" t="s">
        <v>46808</v>
      </c>
      <c r="T9008" t="s">
        <v>48287</v>
      </c>
      <c r="U9008" t="s">
        <v>56073</v>
      </c>
      <c r="V9008" t="s">
        <v>62552</v>
      </c>
      <c r="W9008" t="s">
        <v>45412</v>
      </c>
      <c r="X9008" t="s">
        <v>46579</v>
      </c>
    </row>
    <row r="9009" spans="1:24">
      <c r="A9009">
        <f>HYPERLINK("https://www.philgeps.gov.ph/GEPSNONPILOT/Tender/SplashBidNoticeAbstractUI.aspx?menuIndex=3&amp;refID=7050182&amp;Result=3","7050182")</f>
        <v>0</v>
      </c>
      <c r="B9009" t="s">
        <v>1300</v>
      </c>
      <c r="C9009" t="s">
        <v>12073</v>
      </c>
      <c r="D9009" t="s">
        <v>18782</v>
      </c>
      <c r="E9009" t="s">
        <v>26732</v>
      </c>
      <c r="F9009" t="s">
        <v>32664</v>
      </c>
      <c r="G9009" t="s">
        <v>32671</v>
      </c>
      <c r="H9009" t="s">
        <v>12635</v>
      </c>
      <c r="I9009" t="s">
        <v>9946</v>
      </c>
      <c r="J9009" t="s">
        <v>38278</v>
      </c>
      <c r="K9009" t="s">
        <v>42401</v>
      </c>
      <c r="M9009" t="s">
        <v>45412</v>
      </c>
      <c r="N9009" t="s">
        <v>46569</v>
      </c>
      <c r="O9009" t="s">
        <v>46570</v>
      </c>
      <c r="P9009">
        <v>0</v>
      </c>
      <c r="Q9009">
        <v>1</v>
      </c>
      <c r="R9009" t="s">
        <v>46577</v>
      </c>
      <c r="S9009" t="s">
        <v>46808</v>
      </c>
      <c r="T9009" t="s">
        <v>48287</v>
      </c>
      <c r="U9009" t="s">
        <v>56074</v>
      </c>
      <c r="V9009" t="s">
        <v>62552</v>
      </c>
      <c r="W9009" t="s">
        <v>45412</v>
      </c>
      <c r="X9009" t="s">
        <v>46579</v>
      </c>
    </row>
    <row r="9010" spans="1:24">
      <c r="A9010">
        <f>HYPERLINK("https://www.philgeps.gov.ph/GEPSNONPILOT/Tender/SplashBidNoticeAbstractUI.aspx?menuIndex=3&amp;refID=7050274&amp;Result=3","7050274")</f>
        <v>0</v>
      </c>
      <c r="B9010" t="s">
        <v>1300</v>
      </c>
      <c r="C9010" t="s">
        <v>12082</v>
      </c>
      <c r="D9010" t="s">
        <v>18782</v>
      </c>
      <c r="E9010" t="s">
        <v>26733</v>
      </c>
      <c r="F9010" t="s">
        <v>32664</v>
      </c>
      <c r="G9010" t="s">
        <v>32671</v>
      </c>
      <c r="H9010" t="s">
        <v>12635</v>
      </c>
      <c r="I9010" t="s">
        <v>11464</v>
      </c>
      <c r="J9010" t="s">
        <v>33299</v>
      </c>
      <c r="K9010" t="s">
        <v>42297</v>
      </c>
      <c r="M9010" t="s">
        <v>45412</v>
      </c>
      <c r="N9010" t="s">
        <v>46569</v>
      </c>
      <c r="O9010" t="s">
        <v>46570</v>
      </c>
      <c r="P9010">
        <v>0</v>
      </c>
      <c r="Q9010">
        <v>0</v>
      </c>
      <c r="R9010" t="s">
        <v>46577</v>
      </c>
      <c r="S9010" t="s">
        <v>46808</v>
      </c>
      <c r="T9010" t="s">
        <v>48287</v>
      </c>
      <c r="U9010" t="s">
        <v>56075</v>
      </c>
      <c r="V9010" t="s">
        <v>62552</v>
      </c>
      <c r="W9010" t="s">
        <v>45412</v>
      </c>
      <c r="X9010" t="s">
        <v>46579</v>
      </c>
    </row>
    <row r="9011" spans="1:24">
      <c r="A9011">
        <f>HYPERLINK("https://www.philgeps.gov.ph/GEPSNONPILOT/Tender/SplashBidNoticeAbstractUI.aspx?menuIndex=3&amp;refID=7050264&amp;Result=3","7050264")</f>
        <v>0</v>
      </c>
      <c r="B9011" t="s">
        <v>1300</v>
      </c>
      <c r="C9011" t="s">
        <v>12083</v>
      </c>
      <c r="D9011" t="s">
        <v>18782</v>
      </c>
      <c r="E9011" t="s">
        <v>26734</v>
      </c>
      <c r="F9011" t="s">
        <v>32664</v>
      </c>
      <c r="G9011" t="s">
        <v>32671</v>
      </c>
      <c r="H9011" t="s">
        <v>12635</v>
      </c>
      <c r="I9011" t="s">
        <v>4439</v>
      </c>
      <c r="J9011" t="s">
        <v>38283</v>
      </c>
      <c r="K9011" t="s">
        <v>42297</v>
      </c>
      <c r="M9011" t="s">
        <v>45412</v>
      </c>
      <c r="N9011" t="s">
        <v>46569</v>
      </c>
      <c r="O9011" t="s">
        <v>46570</v>
      </c>
      <c r="P9011">
        <v>0</v>
      </c>
      <c r="Q9011">
        <v>1</v>
      </c>
      <c r="R9011" t="s">
        <v>46577</v>
      </c>
      <c r="S9011" t="s">
        <v>46808</v>
      </c>
      <c r="T9011" t="s">
        <v>48287</v>
      </c>
      <c r="U9011" t="s">
        <v>56076</v>
      </c>
      <c r="V9011" t="s">
        <v>62552</v>
      </c>
      <c r="W9011" t="s">
        <v>45412</v>
      </c>
      <c r="X9011" t="s">
        <v>46579</v>
      </c>
    </row>
    <row r="9012" spans="1:24">
      <c r="A9012">
        <f>HYPERLINK("https://www.philgeps.gov.ph/GEPSNONPILOT/Tender/SplashBidNoticeAbstractUI.aspx?menuIndex=3&amp;refID=7050246&amp;Result=3","7050246")</f>
        <v>0</v>
      </c>
      <c r="B9012" t="s">
        <v>1300</v>
      </c>
      <c r="C9012" t="s">
        <v>12084</v>
      </c>
      <c r="D9012" t="s">
        <v>18782</v>
      </c>
      <c r="E9012" t="s">
        <v>26735</v>
      </c>
      <c r="F9012" t="s">
        <v>32664</v>
      </c>
      <c r="G9012" t="s">
        <v>32671</v>
      </c>
      <c r="H9012" t="s">
        <v>12635</v>
      </c>
      <c r="I9012" t="s">
        <v>9946</v>
      </c>
      <c r="J9012" t="s">
        <v>38278</v>
      </c>
      <c r="K9012" t="s">
        <v>42401</v>
      </c>
      <c r="M9012" t="s">
        <v>45412</v>
      </c>
      <c r="N9012" t="s">
        <v>46569</v>
      </c>
      <c r="O9012" t="s">
        <v>46570</v>
      </c>
      <c r="P9012">
        <v>0</v>
      </c>
      <c r="Q9012">
        <v>2</v>
      </c>
      <c r="R9012" t="s">
        <v>46577</v>
      </c>
      <c r="S9012" t="s">
        <v>46808</v>
      </c>
      <c r="T9012" t="s">
        <v>48287</v>
      </c>
      <c r="U9012" t="s">
        <v>56077</v>
      </c>
      <c r="V9012" t="s">
        <v>62552</v>
      </c>
      <c r="W9012" t="s">
        <v>45412</v>
      </c>
      <c r="X9012" t="s">
        <v>46579</v>
      </c>
    </row>
    <row r="9013" spans="1:24">
      <c r="A9013">
        <f>HYPERLINK("https://www.philgeps.gov.ph/GEPSNONPILOT/Tender/SplashBidNoticeAbstractUI.aspx?menuIndex=3&amp;refID=7048892&amp;Result=3","7048892")</f>
        <v>0</v>
      </c>
      <c r="B9013" t="s">
        <v>2596</v>
      </c>
      <c r="C9013" t="s">
        <v>12085</v>
      </c>
      <c r="D9013" t="s">
        <v>18842</v>
      </c>
      <c r="E9013" t="s">
        <v>26736</v>
      </c>
      <c r="F9013" t="s">
        <v>32664</v>
      </c>
      <c r="G9013" t="s">
        <v>32672</v>
      </c>
      <c r="H9013" t="s">
        <v>12635</v>
      </c>
      <c r="I9013" t="s">
        <v>32694</v>
      </c>
      <c r="J9013" t="s">
        <v>38284</v>
      </c>
      <c r="K9013" t="s">
        <v>42289</v>
      </c>
      <c r="M9013" t="s">
        <v>45411</v>
      </c>
      <c r="N9013" t="s">
        <v>46569</v>
      </c>
      <c r="O9013" t="s">
        <v>46570</v>
      </c>
      <c r="P9013">
        <v>0</v>
      </c>
      <c r="Q9013">
        <v>0</v>
      </c>
      <c r="R9013" t="s">
        <v>46577</v>
      </c>
      <c r="S9013" t="s">
        <v>46808</v>
      </c>
      <c r="T9013" t="s">
        <v>48394</v>
      </c>
      <c r="U9013" t="s">
        <v>56078</v>
      </c>
      <c r="W9013" t="s">
        <v>45411</v>
      </c>
      <c r="X9013" t="s">
        <v>46580</v>
      </c>
    </row>
    <row r="9014" spans="1:24">
      <c r="A9014">
        <f>HYPERLINK("https://www.philgeps.gov.ph/GEPSNONPILOT/Tender/SplashBidNoticeAbstractUI.aspx?menuIndex=3&amp;refID=7050211&amp;Result=3","7050211")</f>
        <v>0</v>
      </c>
      <c r="B9014" t="s">
        <v>1300</v>
      </c>
      <c r="C9014" t="s">
        <v>12073</v>
      </c>
      <c r="D9014" t="s">
        <v>18782</v>
      </c>
      <c r="E9014" t="s">
        <v>26737</v>
      </c>
      <c r="F9014" t="s">
        <v>32664</v>
      </c>
      <c r="G9014" t="s">
        <v>32671</v>
      </c>
      <c r="H9014" t="s">
        <v>12635</v>
      </c>
      <c r="I9014" t="s">
        <v>9946</v>
      </c>
      <c r="J9014" t="s">
        <v>38285</v>
      </c>
      <c r="K9014" t="s">
        <v>42401</v>
      </c>
      <c r="M9014" t="s">
        <v>45412</v>
      </c>
      <c r="N9014" t="s">
        <v>46569</v>
      </c>
      <c r="O9014" t="s">
        <v>46570</v>
      </c>
      <c r="P9014">
        <v>0</v>
      </c>
      <c r="Q9014">
        <v>1</v>
      </c>
      <c r="R9014" t="s">
        <v>46577</v>
      </c>
      <c r="S9014" t="s">
        <v>46808</v>
      </c>
      <c r="T9014" t="s">
        <v>48287</v>
      </c>
      <c r="U9014" t="s">
        <v>56079</v>
      </c>
      <c r="V9014" t="s">
        <v>62552</v>
      </c>
      <c r="W9014" t="s">
        <v>45412</v>
      </c>
      <c r="X9014" t="s">
        <v>46579</v>
      </c>
    </row>
    <row r="9015" spans="1:24">
      <c r="A9015">
        <f>HYPERLINK("https://www.philgeps.gov.ph/GEPSNONPILOT/Tender/SplashBidNoticeAbstractUI.aspx?menuIndex=3&amp;refID=7050196&amp;Result=3","7050196")</f>
        <v>0</v>
      </c>
      <c r="B9015" t="s">
        <v>1300</v>
      </c>
      <c r="C9015" t="s">
        <v>12073</v>
      </c>
      <c r="D9015" t="s">
        <v>18782</v>
      </c>
      <c r="E9015" t="s">
        <v>26738</v>
      </c>
      <c r="F9015" t="s">
        <v>32664</v>
      </c>
      <c r="G9015" t="s">
        <v>32671</v>
      </c>
      <c r="H9015" t="s">
        <v>12635</v>
      </c>
      <c r="I9015" t="s">
        <v>9946</v>
      </c>
      <c r="J9015" t="s">
        <v>38285</v>
      </c>
      <c r="K9015" t="s">
        <v>42401</v>
      </c>
      <c r="M9015" t="s">
        <v>45412</v>
      </c>
      <c r="N9015" t="s">
        <v>46569</v>
      </c>
      <c r="O9015" t="s">
        <v>46570</v>
      </c>
      <c r="P9015">
        <v>0</v>
      </c>
      <c r="Q9015">
        <v>1</v>
      </c>
      <c r="R9015" t="s">
        <v>46577</v>
      </c>
      <c r="S9015" t="s">
        <v>46808</v>
      </c>
      <c r="T9015" t="s">
        <v>48287</v>
      </c>
      <c r="U9015" t="s">
        <v>56080</v>
      </c>
      <c r="V9015" t="s">
        <v>62552</v>
      </c>
      <c r="W9015" t="s">
        <v>45412</v>
      </c>
      <c r="X9015" t="s">
        <v>46579</v>
      </c>
    </row>
    <row r="9016" spans="1:24">
      <c r="A9016">
        <f>HYPERLINK("https://www.philgeps.gov.ph/GEPSNONPILOT/Tender/SplashBidNoticeAbstractUI.aspx?menuIndex=3&amp;refID=7050320&amp;Result=3","7050320")</f>
        <v>0</v>
      </c>
      <c r="B9016" t="s">
        <v>1300</v>
      </c>
      <c r="C9016" t="s">
        <v>12086</v>
      </c>
      <c r="D9016" t="s">
        <v>18782</v>
      </c>
      <c r="E9016" t="s">
        <v>26739</v>
      </c>
      <c r="F9016" t="s">
        <v>32664</v>
      </c>
      <c r="G9016" t="s">
        <v>32671</v>
      </c>
      <c r="H9016" t="s">
        <v>12635</v>
      </c>
      <c r="I9016" t="s">
        <v>4439</v>
      </c>
      <c r="J9016" t="s">
        <v>38286</v>
      </c>
      <c r="K9016" t="s">
        <v>42297</v>
      </c>
      <c r="M9016" t="s">
        <v>45412</v>
      </c>
      <c r="N9016" t="s">
        <v>46569</v>
      </c>
      <c r="O9016" t="s">
        <v>46570</v>
      </c>
      <c r="P9016">
        <v>0</v>
      </c>
      <c r="Q9016">
        <v>0</v>
      </c>
      <c r="R9016" t="s">
        <v>46577</v>
      </c>
      <c r="S9016" t="s">
        <v>46808</v>
      </c>
      <c r="T9016" t="s">
        <v>48287</v>
      </c>
      <c r="U9016" t="s">
        <v>56081</v>
      </c>
      <c r="V9016" t="s">
        <v>62552</v>
      </c>
      <c r="W9016" t="s">
        <v>45412</v>
      </c>
      <c r="X9016" t="s">
        <v>46579</v>
      </c>
    </row>
    <row r="9017" spans="1:24">
      <c r="A9017">
        <f>HYPERLINK("https://www.philgeps.gov.ph/GEPSNONPILOT/Tender/SplashBidNoticeAbstractUI.aspx?menuIndex=3&amp;refID=7050312&amp;Result=3","7050312")</f>
        <v>0</v>
      </c>
      <c r="B9017" t="s">
        <v>135</v>
      </c>
      <c r="C9017" t="s">
        <v>12087</v>
      </c>
      <c r="D9017" t="s">
        <v>18807</v>
      </c>
      <c r="E9017" t="s">
        <v>26740</v>
      </c>
      <c r="F9017" t="s">
        <v>32664</v>
      </c>
      <c r="G9017" t="s">
        <v>32672</v>
      </c>
      <c r="H9017" t="s">
        <v>12635</v>
      </c>
      <c r="I9017" t="s">
        <v>9486</v>
      </c>
      <c r="J9017" t="s">
        <v>38287</v>
      </c>
      <c r="K9017" t="s">
        <v>42281</v>
      </c>
      <c r="M9017" t="s">
        <v>42852</v>
      </c>
      <c r="N9017" t="s">
        <v>46569</v>
      </c>
      <c r="O9017" t="s">
        <v>46570</v>
      </c>
      <c r="P9017">
        <v>0</v>
      </c>
      <c r="Q9017">
        <v>3</v>
      </c>
      <c r="R9017" t="s">
        <v>46577</v>
      </c>
      <c r="S9017" t="s">
        <v>46808</v>
      </c>
      <c r="T9017" t="s">
        <v>48216</v>
      </c>
      <c r="U9017" t="s">
        <v>49052</v>
      </c>
      <c r="V9017" t="s">
        <v>61650</v>
      </c>
      <c r="W9017" t="s">
        <v>42852</v>
      </c>
      <c r="X9017" t="s">
        <v>46579</v>
      </c>
    </row>
    <row r="9018" spans="1:24">
      <c r="A9018">
        <f>HYPERLINK("https://www.philgeps.gov.ph/GEPSNONPILOT/Tender/SplashBidNoticeAbstractUI.aspx?menuIndex=3&amp;refID=7049294&amp;Result=3","7049294")</f>
        <v>0</v>
      </c>
      <c r="B9018" t="s">
        <v>2597</v>
      </c>
      <c r="C9018" t="s">
        <v>12088</v>
      </c>
      <c r="D9018" t="s">
        <v>18842</v>
      </c>
      <c r="E9018" t="s">
        <v>26741</v>
      </c>
      <c r="F9018" t="s">
        <v>32664</v>
      </c>
      <c r="G9018" t="s">
        <v>32672</v>
      </c>
      <c r="H9018" t="s">
        <v>12635</v>
      </c>
      <c r="I9018" t="s">
        <v>32694</v>
      </c>
      <c r="J9018" t="s">
        <v>38288</v>
      </c>
      <c r="K9018" t="s">
        <v>42289</v>
      </c>
      <c r="M9018" t="s">
        <v>45413</v>
      </c>
      <c r="N9018" t="s">
        <v>46569</v>
      </c>
      <c r="O9018" t="s">
        <v>46570</v>
      </c>
      <c r="P9018">
        <v>0</v>
      </c>
      <c r="Q9018">
        <v>0</v>
      </c>
      <c r="R9018" t="s">
        <v>46577</v>
      </c>
      <c r="S9018" t="s">
        <v>46808</v>
      </c>
      <c r="T9018" t="s">
        <v>48394</v>
      </c>
      <c r="U9018" t="s">
        <v>56082</v>
      </c>
      <c r="W9018" t="s">
        <v>45413</v>
      </c>
      <c r="X9018" t="s">
        <v>46580</v>
      </c>
    </row>
    <row r="9019" spans="1:24">
      <c r="A9019">
        <f>HYPERLINK("https://www.philgeps.gov.ph/GEPSNONPILOT/Tender/SplashBidNoticeAbstractUI.aspx?menuIndex=3&amp;refID=7050195&amp;Result=3","7050195")</f>
        <v>0</v>
      </c>
      <c r="B9019" t="s">
        <v>327</v>
      </c>
      <c r="C9019" t="s">
        <v>12089</v>
      </c>
      <c r="D9019" t="s">
        <v>18826</v>
      </c>
      <c r="E9019" t="s">
        <v>26742</v>
      </c>
      <c r="F9019" t="s">
        <v>32664</v>
      </c>
      <c r="G9019" t="s">
        <v>32676</v>
      </c>
      <c r="H9019" t="s">
        <v>32682</v>
      </c>
      <c r="I9019" t="s">
        <v>32701</v>
      </c>
      <c r="J9019" t="s">
        <v>38289</v>
      </c>
      <c r="K9019" t="s">
        <v>42480</v>
      </c>
      <c r="M9019" t="s">
        <v>42895</v>
      </c>
      <c r="N9019" t="s">
        <v>46569</v>
      </c>
      <c r="O9019" t="s">
        <v>46570</v>
      </c>
      <c r="P9019">
        <v>0</v>
      </c>
      <c r="Q9019">
        <v>0</v>
      </c>
      <c r="R9019" t="s">
        <v>46577</v>
      </c>
      <c r="S9019" t="s">
        <v>46808</v>
      </c>
      <c r="T9019" t="s">
        <v>48603</v>
      </c>
      <c r="U9019" t="s">
        <v>56083</v>
      </c>
      <c r="W9019" t="s">
        <v>42895</v>
      </c>
      <c r="X9019" t="s">
        <v>46579</v>
      </c>
    </row>
    <row r="9020" spans="1:24">
      <c r="A9020">
        <f>HYPERLINK("https://www.philgeps.gov.ph/GEPSNONPILOT/Tender/SplashBidNoticeAbstractUI.aspx?menuIndex=3&amp;refID=7050251&amp;Result=3","7050251")</f>
        <v>0</v>
      </c>
      <c r="B9020" t="s">
        <v>1300</v>
      </c>
      <c r="C9020" t="s">
        <v>12090</v>
      </c>
      <c r="D9020" t="s">
        <v>18782</v>
      </c>
      <c r="E9020" t="s">
        <v>26743</v>
      </c>
      <c r="F9020" t="s">
        <v>32664</v>
      </c>
      <c r="G9020" t="s">
        <v>32671</v>
      </c>
      <c r="H9020" t="s">
        <v>12635</v>
      </c>
      <c r="I9020" t="s">
        <v>4439</v>
      </c>
      <c r="J9020" t="s">
        <v>38290</v>
      </c>
      <c r="K9020" t="s">
        <v>42297</v>
      </c>
      <c r="M9020" t="s">
        <v>45412</v>
      </c>
      <c r="N9020" t="s">
        <v>46569</v>
      </c>
      <c r="O9020" t="s">
        <v>46570</v>
      </c>
      <c r="P9020">
        <v>0</v>
      </c>
      <c r="Q9020">
        <v>1</v>
      </c>
      <c r="R9020" t="s">
        <v>46577</v>
      </c>
      <c r="S9020" t="s">
        <v>46808</v>
      </c>
      <c r="T9020" t="s">
        <v>48287</v>
      </c>
      <c r="U9020" t="s">
        <v>56084</v>
      </c>
      <c r="V9020" t="s">
        <v>62552</v>
      </c>
      <c r="W9020" t="s">
        <v>45412</v>
      </c>
      <c r="X9020" t="s">
        <v>46579</v>
      </c>
    </row>
    <row r="9021" spans="1:24">
      <c r="A9021">
        <f>HYPERLINK("https://www.philgeps.gov.ph/GEPSNONPILOT/Tender/SplashBidNoticeAbstractUI.aspx?menuIndex=3&amp;refID=7050315&amp;Result=3","7050315")</f>
        <v>0</v>
      </c>
      <c r="B9021" t="s">
        <v>2598</v>
      </c>
      <c r="C9021" t="s">
        <v>12091</v>
      </c>
      <c r="D9021" t="s">
        <v>18842</v>
      </c>
      <c r="E9021" t="s">
        <v>26744</v>
      </c>
      <c r="F9021" t="s">
        <v>32664</v>
      </c>
      <c r="G9021" t="s">
        <v>32672</v>
      </c>
      <c r="H9021" t="s">
        <v>32683</v>
      </c>
      <c r="I9021" t="s">
        <v>10627</v>
      </c>
      <c r="J9021" t="s">
        <v>32976</v>
      </c>
      <c r="K9021" t="s">
        <v>42281</v>
      </c>
      <c r="M9021" t="s">
        <v>45414</v>
      </c>
      <c r="N9021" t="s">
        <v>46569</v>
      </c>
      <c r="O9021" t="s">
        <v>46570</v>
      </c>
      <c r="P9021">
        <v>0</v>
      </c>
      <c r="Q9021">
        <v>0</v>
      </c>
      <c r="R9021" t="s">
        <v>46577</v>
      </c>
      <c r="S9021" t="s">
        <v>46808</v>
      </c>
      <c r="T9021" t="s">
        <v>48583</v>
      </c>
      <c r="U9021" t="s">
        <v>56085</v>
      </c>
      <c r="W9021" t="s">
        <v>45414</v>
      </c>
      <c r="X9021" t="s">
        <v>46579</v>
      </c>
    </row>
    <row r="9022" spans="1:24">
      <c r="A9022">
        <f>HYPERLINK("https://www.philgeps.gov.ph/GEPSNONPILOT/Tender/SplashBidNoticeAbstractUI.aspx?menuIndex=3&amp;refID=7051194&amp;Result=3","7051194")</f>
        <v>0</v>
      </c>
      <c r="B9022" t="s">
        <v>1007</v>
      </c>
      <c r="C9022" t="s">
        <v>12092</v>
      </c>
      <c r="D9022" t="s">
        <v>18812</v>
      </c>
      <c r="E9022" t="s">
        <v>26745</v>
      </c>
      <c r="F9022" t="s">
        <v>32664</v>
      </c>
      <c r="G9022" t="s">
        <v>32672</v>
      </c>
      <c r="H9022" t="s">
        <v>32683</v>
      </c>
      <c r="I9022" t="s">
        <v>10627</v>
      </c>
      <c r="J9022" t="s">
        <v>38291</v>
      </c>
      <c r="K9022" t="s">
        <v>42481</v>
      </c>
      <c r="M9022" t="s">
        <v>43619</v>
      </c>
      <c r="N9022" t="s">
        <v>46569</v>
      </c>
      <c r="O9022" t="s">
        <v>46570</v>
      </c>
      <c r="P9022">
        <v>0</v>
      </c>
      <c r="Q9022">
        <v>1</v>
      </c>
      <c r="R9022" t="s">
        <v>46577</v>
      </c>
      <c r="S9022" t="s">
        <v>46808</v>
      </c>
      <c r="T9022" t="s">
        <v>48621</v>
      </c>
      <c r="U9022" t="s">
        <v>56086</v>
      </c>
      <c r="W9022" t="s">
        <v>43619</v>
      </c>
      <c r="X9022" t="s">
        <v>46579</v>
      </c>
    </row>
    <row r="9023" spans="1:24">
      <c r="A9023">
        <f>HYPERLINK("https://www.philgeps.gov.ph/GEPSNONPILOT/Tender/SplashBidNoticeAbstractUI.aspx?menuIndex=3&amp;refID=7050967&amp;Result=3","7050967")</f>
        <v>0</v>
      </c>
      <c r="B9023" t="s">
        <v>2231</v>
      </c>
      <c r="C9023" t="s">
        <v>12093</v>
      </c>
      <c r="D9023" t="s">
        <v>18804</v>
      </c>
      <c r="E9023" t="s">
        <v>26746</v>
      </c>
      <c r="F9023" t="s">
        <v>32664</v>
      </c>
      <c r="G9023" t="s">
        <v>32675</v>
      </c>
      <c r="H9023" t="s">
        <v>12635</v>
      </c>
      <c r="I9023" t="s">
        <v>32734</v>
      </c>
      <c r="J9023" t="s">
        <v>38292</v>
      </c>
      <c r="K9023" t="s">
        <v>42297</v>
      </c>
      <c r="M9023" t="s">
        <v>44995</v>
      </c>
      <c r="N9023" t="s">
        <v>46569</v>
      </c>
      <c r="O9023" t="s">
        <v>46570</v>
      </c>
      <c r="P9023">
        <v>0</v>
      </c>
      <c r="Q9023">
        <v>2</v>
      </c>
      <c r="R9023" t="s">
        <v>46577</v>
      </c>
      <c r="S9023" t="s">
        <v>46808</v>
      </c>
      <c r="T9023" t="s">
        <v>48254</v>
      </c>
      <c r="U9023" t="s">
        <v>56087</v>
      </c>
      <c r="W9023" t="s">
        <v>44995</v>
      </c>
      <c r="X9023" t="s">
        <v>46579</v>
      </c>
    </row>
    <row r="9024" spans="1:24">
      <c r="A9024">
        <f>HYPERLINK("https://www.philgeps.gov.ph/GEPSNONPILOT/Tender/SplashBidNoticeAbstractUI.aspx?menuIndex=3&amp;refID=7051275&amp;Result=3","7051275")</f>
        <v>0</v>
      </c>
      <c r="B9024" t="s">
        <v>63</v>
      </c>
      <c r="C9024" t="s">
        <v>12094</v>
      </c>
      <c r="D9024" t="s">
        <v>18811</v>
      </c>
      <c r="E9024" t="s">
        <v>26747</v>
      </c>
      <c r="F9024" t="s">
        <v>32664</v>
      </c>
      <c r="G9024" t="s">
        <v>32671</v>
      </c>
      <c r="H9024" t="s">
        <v>32683</v>
      </c>
      <c r="I9024" t="s">
        <v>10627</v>
      </c>
      <c r="J9024" t="s">
        <v>38293</v>
      </c>
      <c r="K9024" t="s">
        <v>42305</v>
      </c>
      <c r="M9024" t="s">
        <v>42626</v>
      </c>
      <c r="N9024" t="s">
        <v>46569</v>
      </c>
      <c r="O9024" t="s">
        <v>46570</v>
      </c>
      <c r="P9024">
        <v>0</v>
      </c>
      <c r="Q9024">
        <v>0</v>
      </c>
      <c r="R9024" t="s">
        <v>46577</v>
      </c>
      <c r="S9024" t="s">
        <v>46808</v>
      </c>
      <c r="T9024" t="s">
        <v>48244</v>
      </c>
      <c r="U9024" t="s">
        <v>56088</v>
      </c>
      <c r="W9024" t="s">
        <v>63464</v>
      </c>
      <c r="X9024" t="s">
        <v>46579</v>
      </c>
    </row>
    <row r="9025" spans="1:24">
      <c r="A9025">
        <f>HYPERLINK("https://www.philgeps.gov.ph/GEPSNONPILOT/Tender/SplashBidNoticeAbstractUI.aspx?menuIndex=3&amp;refID=7049482&amp;Result=3","7049482")</f>
        <v>0</v>
      </c>
      <c r="B9025" t="s">
        <v>1765</v>
      </c>
      <c r="C9025" t="s">
        <v>12068</v>
      </c>
      <c r="D9025" t="s">
        <v>18783</v>
      </c>
      <c r="E9025" t="s">
        <v>26748</v>
      </c>
      <c r="F9025" t="s">
        <v>32664</v>
      </c>
      <c r="G9025" t="s">
        <v>32672</v>
      </c>
      <c r="H9025" t="s">
        <v>12635</v>
      </c>
      <c r="I9025" t="s">
        <v>10370</v>
      </c>
      <c r="J9025" t="s">
        <v>38294</v>
      </c>
      <c r="K9025" t="s">
        <v>42289</v>
      </c>
      <c r="M9025" t="s">
        <v>44467</v>
      </c>
      <c r="N9025" t="s">
        <v>46569</v>
      </c>
      <c r="O9025" t="s">
        <v>46570</v>
      </c>
      <c r="P9025">
        <v>0</v>
      </c>
      <c r="Q9025">
        <v>1</v>
      </c>
      <c r="R9025" t="s">
        <v>46577</v>
      </c>
      <c r="S9025" t="s">
        <v>46808</v>
      </c>
      <c r="T9025" t="s">
        <v>48374</v>
      </c>
      <c r="U9025" t="s">
        <v>56089</v>
      </c>
      <c r="V9025" t="s">
        <v>62551</v>
      </c>
      <c r="W9025" t="s">
        <v>44467</v>
      </c>
      <c r="X9025" t="s">
        <v>46580</v>
      </c>
    </row>
    <row r="9026" spans="1:24">
      <c r="A9026">
        <f>HYPERLINK("https://www.philgeps.gov.ph/GEPSNONPILOT/Tender/SplashBidNoticeAbstractUI.aspx?menuIndex=3&amp;refID=7049407&amp;Result=3","7049407")</f>
        <v>0</v>
      </c>
      <c r="B9026" t="s">
        <v>1765</v>
      </c>
      <c r="C9026" t="s">
        <v>12095</v>
      </c>
      <c r="D9026" t="s">
        <v>18783</v>
      </c>
      <c r="E9026" t="s">
        <v>26749</v>
      </c>
      <c r="F9026" t="s">
        <v>32664</v>
      </c>
      <c r="G9026" t="s">
        <v>32672</v>
      </c>
      <c r="H9026" t="s">
        <v>12635</v>
      </c>
      <c r="I9026" t="s">
        <v>13883</v>
      </c>
      <c r="J9026" t="s">
        <v>38295</v>
      </c>
      <c r="K9026" t="s">
        <v>42289</v>
      </c>
      <c r="M9026" t="s">
        <v>44467</v>
      </c>
      <c r="N9026" t="s">
        <v>46569</v>
      </c>
      <c r="O9026" t="s">
        <v>46570</v>
      </c>
      <c r="P9026">
        <v>0</v>
      </c>
      <c r="Q9026">
        <v>2</v>
      </c>
      <c r="R9026" t="s">
        <v>46577</v>
      </c>
      <c r="S9026" t="s">
        <v>46808</v>
      </c>
      <c r="T9026" t="s">
        <v>48374</v>
      </c>
      <c r="U9026" t="s">
        <v>56090</v>
      </c>
      <c r="V9026" t="s">
        <v>62551</v>
      </c>
      <c r="W9026" t="s">
        <v>44467</v>
      </c>
      <c r="X9026" t="s">
        <v>46580</v>
      </c>
    </row>
    <row r="9027" spans="1:24">
      <c r="A9027">
        <f>HYPERLINK("https://www.philgeps.gov.ph/GEPSNONPILOT/Tender/SplashBidNoticeAbstractUI.aspx?menuIndex=3&amp;refID=7050912&amp;Result=3","7050912")</f>
        <v>0</v>
      </c>
      <c r="B9027" t="s">
        <v>160</v>
      </c>
      <c r="C9027" t="s">
        <v>12096</v>
      </c>
      <c r="D9027" t="s">
        <v>18806</v>
      </c>
      <c r="E9027" t="s">
        <v>26750</v>
      </c>
      <c r="F9027" t="s">
        <v>32664</v>
      </c>
      <c r="G9027" t="s">
        <v>32672</v>
      </c>
      <c r="H9027" t="s">
        <v>12635</v>
      </c>
      <c r="I9027" t="s">
        <v>32696</v>
      </c>
      <c r="J9027" t="s">
        <v>32962</v>
      </c>
      <c r="K9027" t="s">
        <v>42281</v>
      </c>
      <c r="M9027" t="s">
        <v>42724</v>
      </c>
      <c r="N9027" t="s">
        <v>46569</v>
      </c>
      <c r="O9027" t="s">
        <v>46570</v>
      </c>
      <c r="P9027">
        <v>0</v>
      </c>
      <c r="Q9027">
        <v>3</v>
      </c>
      <c r="R9027" t="s">
        <v>46577</v>
      </c>
      <c r="S9027" t="s">
        <v>46808</v>
      </c>
      <c r="T9027" t="s">
        <v>48293</v>
      </c>
      <c r="U9027" t="s">
        <v>56091</v>
      </c>
      <c r="W9027" t="s">
        <v>42724</v>
      </c>
      <c r="X9027" t="s">
        <v>46579</v>
      </c>
    </row>
    <row r="9028" spans="1:24">
      <c r="A9028">
        <f>HYPERLINK("https://www.philgeps.gov.ph/GEPSNONPILOT/Tender/SplashBidNoticeAbstractUI.aspx?menuIndex=3&amp;refID=7049355&amp;Result=3","7049355")</f>
        <v>0</v>
      </c>
      <c r="B9028" t="s">
        <v>1765</v>
      </c>
      <c r="C9028" t="s">
        <v>12097</v>
      </c>
      <c r="D9028" t="s">
        <v>18783</v>
      </c>
      <c r="E9028" t="s">
        <v>26751</v>
      </c>
      <c r="F9028" t="s">
        <v>32664</v>
      </c>
      <c r="G9028" t="s">
        <v>32672</v>
      </c>
      <c r="H9028" t="s">
        <v>12635</v>
      </c>
      <c r="I9028" t="s">
        <v>32706</v>
      </c>
      <c r="J9028" t="s">
        <v>38296</v>
      </c>
      <c r="K9028" t="s">
        <v>42289</v>
      </c>
      <c r="M9028" t="s">
        <v>44467</v>
      </c>
      <c r="N9028" t="s">
        <v>46569</v>
      </c>
      <c r="O9028" t="s">
        <v>46570</v>
      </c>
      <c r="P9028">
        <v>0</v>
      </c>
      <c r="Q9028">
        <v>0</v>
      </c>
      <c r="R9028" t="s">
        <v>46577</v>
      </c>
      <c r="S9028" t="s">
        <v>46808</v>
      </c>
      <c r="T9028" t="s">
        <v>48374</v>
      </c>
      <c r="U9028" t="s">
        <v>56092</v>
      </c>
      <c r="V9028" t="s">
        <v>62551</v>
      </c>
      <c r="W9028" t="s">
        <v>44467</v>
      </c>
      <c r="X9028" t="s">
        <v>46580</v>
      </c>
    </row>
    <row r="9029" spans="1:24">
      <c r="A9029">
        <f>HYPERLINK("https://www.philgeps.gov.ph/GEPSNONPILOT/Tender/SplashBidNoticeAbstractUI.aspx?menuIndex=3&amp;refID=7050840&amp;Result=3","7050840")</f>
        <v>0</v>
      </c>
      <c r="B9029" t="s">
        <v>144</v>
      </c>
      <c r="C9029" t="s">
        <v>12098</v>
      </c>
      <c r="D9029" t="s">
        <v>18817</v>
      </c>
      <c r="E9029" t="s">
        <v>26752</v>
      </c>
      <c r="F9029" t="s">
        <v>32664</v>
      </c>
      <c r="G9029" t="s">
        <v>32674</v>
      </c>
      <c r="H9029" t="s">
        <v>12635</v>
      </c>
      <c r="I9029" t="s">
        <v>32701</v>
      </c>
      <c r="J9029" t="s">
        <v>38297</v>
      </c>
      <c r="K9029" t="s">
        <v>42281</v>
      </c>
      <c r="M9029" t="s">
        <v>42708</v>
      </c>
      <c r="N9029" t="s">
        <v>46569</v>
      </c>
      <c r="O9029" t="s">
        <v>46570</v>
      </c>
      <c r="P9029">
        <v>0</v>
      </c>
      <c r="Q9029">
        <v>0</v>
      </c>
      <c r="R9029" t="s">
        <v>46577</v>
      </c>
      <c r="S9029" t="s">
        <v>46808</v>
      </c>
      <c r="T9029" t="s">
        <v>48254</v>
      </c>
      <c r="U9029" t="s">
        <v>56093</v>
      </c>
      <c r="W9029" t="s">
        <v>42708</v>
      </c>
      <c r="X9029" t="s">
        <v>46579</v>
      </c>
    </row>
    <row r="9030" spans="1:24">
      <c r="A9030">
        <f>HYPERLINK("https://www.philgeps.gov.ph/GEPSNONPILOT/Tender/SplashBidNoticeAbstractUI.aspx?menuIndex=3&amp;refID=7050825&amp;Result=3","7050825")</f>
        <v>0</v>
      </c>
      <c r="B9030" t="s">
        <v>2599</v>
      </c>
      <c r="C9030" t="s">
        <v>12099</v>
      </c>
      <c r="D9030" t="s">
        <v>18792</v>
      </c>
      <c r="E9030" t="s">
        <v>18926</v>
      </c>
      <c r="F9030" t="s">
        <v>32664</v>
      </c>
      <c r="G9030" t="s">
        <v>32672</v>
      </c>
      <c r="H9030" t="s">
        <v>12635</v>
      </c>
      <c r="I9030" t="s">
        <v>32684</v>
      </c>
      <c r="J9030" t="s">
        <v>32898</v>
      </c>
      <c r="K9030" t="s">
        <v>42281</v>
      </c>
      <c r="M9030" t="s">
        <v>45415</v>
      </c>
      <c r="N9030" t="s">
        <v>46569</v>
      </c>
      <c r="O9030" t="s">
        <v>46570</v>
      </c>
      <c r="P9030">
        <v>0</v>
      </c>
      <c r="Q9030">
        <v>1</v>
      </c>
      <c r="R9030" t="s">
        <v>46577</v>
      </c>
      <c r="S9030" t="s">
        <v>46808</v>
      </c>
      <c r="T9030" t="s">
        <v>48258</v>
      </c>
      <c r="U9030" t="s">
        <v>56094</v>
      </c>
      <c r="W9030" t="s">
        <v>45415</v>
      </c>
      <c r="X9030" t="s">
        <v>46579</v>
      </c>
    </row>
    <row r="9031" spans="1:24">
      <c r="A9031">
        <f>HYPERLINK("https://www.philgeps.gov.ph/GEPSNONPILOT/Tender/SplashBidNoticeAbstractUI.aspx?menuIndex=3&amp;refID=7050433&amp;Result=3","7050433")</f>
        <v>0</v>
      </c>
      <c r="B9031" t="s">
        <v>2600</v>
      </c>
      <c r="C9031" t="s">
        <v>12100</v>
      </c>
      <c r="D9031" t="s">
        <v>18839</v>
      </c>
      <c r="E9031" t="s">
        <v>26753</v>
      </c>
      <c r="F9031" t="s">
        <v>32664</v>
      </c>
      <c r="G9031" t="s">
        <v>32671</v>
      </c>
      <c r="H9031" t="s">
        <v>32683</v>
      </c>
      <c r="I9031" t="s">
        <v>10627</v>
      </c>
      <c r="J9031" t="s">
        <v>32929</v>
      </c>
      <c r="K9031" t="s">
        <v>42311</v>
      </c>
      <c r="M9031" t="s">
        <v>45416</v>
      </c>
      <c r="N9031" t="s">
        <v>46569</v>
      </c>
      <c r="O9031" t="s">
        <v>46570</v>
      </c>
      <c r="P9031">
        <v>0</v>
      </c>
      <c r="Q9031">
        <v>1</v>
      </c>
      <c r="R9031" t="s">
        <v>46577</v>
      </c>
      <c r="S9031" t="s">
        <v>46808</v>
      </c>
      <c r="T9031" t="s">
        <v>48290</v>
      </c>
      <c r="U9031" t="s">
        <v>56095</v>
      </c>
      <c r="W9031" t="s">
        <v>45416</v>
      </c>
      <c r="X9031" t="s">
        <v>46579</v>
      </c>
    </row>
    <row r="9032" spans="1:24">
      <c r="A9032">
        <f>HYPERLINK("https://www.philgeps.gov.ph/GEPSNONPILOT/Tender/SplashBidNoticeAbstractUI.aspx?menuIndex=3&amp;refID=7050363&amp;Result=3","7050363")</f>
        <v>0</v>
      </c>
      <c r="B9032" t="s">
        <v>1300</v>
      </c>
      <c r="C9032" t="s">
        <v>12101</v>
      </c>
      <c r="D9032" t="s">
        <v>18782</v>
      </c>
      <c r="E9032" t="s">
        <v>26754</v>
      </c>
      <c r="F9032" t="s">
        <v>32664</v>
      </c>
      <c r="G9032" t="s">
        <v>32671</v>
      </c>
      <c r="H9032" t="s">
        <v>12635</v>
      </c>
      <c r="I9032" t="s">
        <v>6628</v>
      </c>
      <c r="J9032" t="s">
        <v>32853</v>
      </c>
      <c r="K9032" t="s">
        <v>42297</v>
      </c>
      <c r="M9032" t="s">
        <v>45412</v>
      </c>
      <c r="N9032" t="s">
        <v>46569</v>
      </c>
      <c r="O9032" t="s">
        <v>46570</v>
      </c>
      <c r="P9032">
        <v>0</v>
      </c>
      <c r="Q9032">
        <v>7</v>
      </c>
      <c r="R9032" t="s">
        <v>46577</v>
      </c>
      <c r="S9032" t="s">
        <v>46808</v>
      </c>
      <c r="T9032" t="s">
        <v>48287</v>
      </c>
      <c r="U9032" t="s">
        <v>56096</v>
      </c>
      <c r="V9032" t="s">
        <v>62552</v>
      </c>
      <c r="W9032" t="s">
        <v>45412</v>
      </c>
      <c r="X9032" t="s">
        <v>46579</v>
      </c>
    </row>
    <row r="9033" spans="1:24">
      <c r="A9033">
        <f>HYPERLINK("https://www.philgeps.gov.ph/GEPSNONPILOT/Tender/SplashBidNoticeAbstractUI.aspx?menuIndex=3&amp;refID=7050916&amp;Result=3","7050916")</f>
        <v>0</v>
      </c>
      <c r="B9033" t="s">
        <v>2601</v>
      </c>
      <c r="C9033" t="s">
        <v>12102</v>
      </c>
      <c r="D9033" t="s">
        <v>18842</v>
      </c>
      <c r="E9033" t="s">
        <v>26755</v>
      </c>
      <c r="F9033" t="s">
        <v>32664</v>
      </c>
      <c r="G9033" t="s">
        <v>32671</v>
      </c>
      <c r="H9033" t="s">
        <v>12635</v>
      </c>
      <c r="I9033" t="s">
        <v>6628</v>
      </c>
      <c r="J9033" t="s">
        <v>33330</v>
      </c>
      <c r="K9033" t="s">
        <v>42289</v>
      </c>
      <c r="M9033" t="s">
        <v>45417</v>
      </c>
      <c r="N9033" t="s">
        <v>46569</v>
      </c>
      <c r="O9033" t="s">
        <v>46570</v>
      </c>
      <c r="P9033">
        <v>0</v>
      </c>
      <c r="Q9033">
        <v>5</v>
      </c>
      <c r="R9033" t="s">
        <v>46577</v>
      </c>
      <c r="S9033" t="s">
        <v>46808</v>
      </c>
      <c r="T9033" t="s">
        <v>48221</v>
      </c>
      <c r="U9033" t="s">
        <v>56097</v>
      </c>
      <c r="W9033" t="s">
        <v>63566</v>
      </c>
      <c r="X9033" t="s">
        <v>46579</v>
      </c>
    </row>
    <row r="9034" spans="1:24">
      <c r="A9034">
        <f>HYPERLINK("https://www.philgeps.gov.ph/GEPSNONPILOT/Tender/SplashBidNoticeAbstractUI.aspx?menuIndex=3&amp;refID=7050354&amp;Result=3","7050354")</f>
        <v>0</v>
      </c>
      <c r="B9034" t="s">
        <v>2231</v>
      </c>
      <c r="C9034" t="s">
        <v>5193</v>
      </c>
      <c r="D9034" t="s">
        <v>18804</v>
      </c>
      <c r="E9034" t="s">
        <v>26756</v>
      </c>
      <c r="F9034" t="s">
        <v>32664</v>
      </c>
      <c r="G9034" t="s">
        <v>32675</v>
      </c>
      <c r="H9034" t="s">
        <v>12635</v>
      </c>
      <c r="I9034" t="s">
        <v>6628</v>
      </c>
      <c r="J9034" t="s">
        <v>33626</v>
      </c>
      <c r="K9034" t="s">
        <v>42289</v>
      </c>
      <c r="M9034" t="s">
        <v>44995</v>
      </c>
      <c r="N9034" t="s">
        <v>46569</v>
      </c>
      <c r="O9034" t="s">
        <v>46570</v>
      </c>
      <c r="P9034">
        <v>0</v>
      </c>
      <c r="Q9034">
        <v>0</v>
      </c>
      <c r="R9034" t="s">
        <v>46577</v>
      </c>
      <c r="S9034" t="s">
        <v>46808</v>
      </c>
      <c r="T9034" t="s">
        <v>48254</v>
      </c>
      <c r="U9034" t="s">
        <v>56098</v>
      </c>
      <c r="W9034" t="s">
        <v>44995</v>
      </c>
      <c r="X9034" t="s">
        <v>46579</v>
      </c>
    </row>
    <row r="9035" spans="1:24">
      <c r="A9035">
        <f>HYPERLINK("https://www.philgeps.gov.ph/GEPSNONPILOT/Tender/SplashBidNoticeAbstractUI.aspx?menuIndex=3&amp;refID=7051074&amp;Result=3","7051074")</f>
        <v>0</v>
      </c>
      <c r="B9035" t="s">
        <v>2602</v>
      </c>
      <c r="C9035" t="s">
        <v>12103</v>
      </c>
      <c r="D9035" t="s">
        <v>18802</v>
      </c>
      <c r="E9035" t="s">
        <v>26757</v>
      </c>
      <c r="F9035" t="s">
        <v>32664</v>
      </c>
      <c r="G9035" t="s">
        <v>32672</v>
      </c>
      <c r="H9035" t="s">
        <v>12635</v>
      </c>
      <c r="I9035" t="s">
        <v>10627</v>
      </c>
      <c r="J9035" t="s">
        <v>38298</v>
      </c>
      <c r="K9035" t="s">
        <v>42297</v>
      </c>
      <c r="M9035" t="s">
        <v>45418</v>
      </c>
      <c r="N9035" t="s">
        <v>46569</v>
      </c>
      <c r="O9035" t="s">
        <v>46570</v>
      </c>
      <c r="P9035">
        <v>0</v>
      </c>
      <c r="Q9035">
        <v>0</v>
      </c>
      <c r="R9035" t="s">
        <v>46577</v>
      </c>
      <c r="S9035" t="s">
        <v>46808</v>
      </c>
      <c r="T9035" t="s">
        <v>48254</v>
      </c>
      <c r="U9035" t="s">
        <v>56099</v>
      </c>
      <c r="W9035" t="s">
        <v>45418</v>
      </c>
      <c r="X9035" t="s">
        <v>46579</v>
      </c>
    </row>
    <row r="9036" spans="1:24">
      <c r="A9036">
        <f>HYPERLINK("https://www.philgeps.gov.ph/GEPSNONPILOT/Tender/SplashBidNoticeAbstractUI.aspx?menuIndex=3&amp;refID=7050650&amp;Result=3","7050650")</f>
        <v>0</v>
      </c>
      <c r="B9036" t="s">
        <v>2603</v>
      </c>
      <c r="C9036" t="s">
        <v>10281</v>
      </c>
      <c r="D9036" t="s">
        <v>18842</v>
      </c>
      <c r="E9036" t="s">
        <v>26744</v>
      </c>
      <c r="F9036" t="s">
        <v>32664</v>
      </c>
      <c r="G9036" t="s">
        <v>32672</v>
      </c>
      <c r="H9036" t="s">
        <v>32683</v>
      </c>
      <c r="I9036" t="s">
        <v>10627</v>
      </c>
      <c r="J9036" t="s">
        <v>33299</v>
      </c>
      <c r="K9036" t="s">
        <v>42297</v>
      </c>
      <c r="M9036" t="s">
        <v>45419</v>
      </c>
      <c r="N9036" t="s">
        <v>46569</v>
      </c>
      <c r="O9036" t="s">
        <v>46570</v>
      </c>
      <c r="P9036">
        <v>0</v>
      </c>
      <c r="Q9036">
        <v>0</v>
      </c>
      <c r="R9036" t="s">
        <v>46577</v>
      </c>
      <c r="S9036" t="s">
        <v>46808</v>
      </c>
      <c r="T9036" t="s">
        <v>48583</v>
      </c>
      <c r="U9036" t="s">
        <v>56100</v>
      </c>
      <c r="W9036" t="s">
        <v>45419</v>
      </c>
      <c r="X9036" t="s">
        <v>46579</v>
      </c>
    </row>
    <row r="9037" spans="1:24">
      <c r="A9037">
        <f>HYPERLINK("https://www.philgeps.gov.ph/GEPSNONPILOT/Tender/SplashBidNoticeAbstractUI.aspx?menuIndex=3&amp;refID=7050548&amp;Result=3","7050548")</f>
        <v>0</v>
      </c>
      <c r="B9037" t="s">
        <v>2604</v>
      </c>
      <c r="C9037" t="s">
        <v>12104</v>
      </c>
      <c r="D9037" t="s">
        <v>18842</v>
      </c>
      <c r="E9037" t="s">
        <v>26744</v>
      </c>
      <c r="F9037" t="s">
        <v>32664</v>
      </c>
      <c r="G9037" t="s">
        <v>32672</v>
      </c>
      <c r="H9037" t="s">
        <v>32683</v>
      </c>
      <c r="I9037" t="s">
        <v>10627</v>
      </c>
      <c r="J9037" t="s">
        <v>32917</v>
      </c>
      <c r="K9037" t="s">
        <v>42284</v>
      </c>
      <c r="M9037" t="s">
        <v>45420</v>
      </c>
      <c r="N9037" t="s">
        <v>46569</v>
      </c>
      <c r="O9037" t="s">
        <v>46570</v>
      </c>
      <c r="P9037">
        <v>0</v>
      </c>
      <c r="Q9037">
        <v>0</v>
      </c>
      <c r="R9037" t="s">
        <v>46577</v>
      </c>
      <c r="S9037" t="s">
        <v>46808</v>
      </c>
      <c r="T9037" t="s">
        <v>48583</v>
      </c>
      <c r="U9037" t="s">
        <v>56101</v>
      </c>
      <c r="W9037" t="s">
        <v>45420</v>
      </c>
      <c r="X9037" t="s">
        <v>46579</v>
      </c>
    </row>
    <row r="9038" spans="1:24">
      <c r="A9038">
        <f>HYPERLINK("https://www.philgeps.gov.ph/GEPSNONPILOT/Tender/SplashBidNoticeAbstractUI.aspx?menuIndex=3&amp;refID=7050358&amp;Result=3","7050358")</f>
        <v>0</v>
      </c>
      <c r="B9038" t="s">
        <v>1300</v>
      </c>
      <c r="C9038" t="s">
        <v>12105</v>
      </c>
      <c r="D9038" t="s">
        <v>18782</v>
      </c>
      <c r="E9038" t="s">
        <v>26758</v>
      </c>
      <c r="F9038" t="s">
        <v>32664</v>
      </c>
      <c r="G9038" t="s">
        <v>32671</v>
      </c>
      <c r="H9038" t="s">
        <v>12635</v>
      </c>
      <c r="I9038" t="s">
        <v>6628</v>
      </c>
      <c r="J9038" t="s">
        <v>32917</v>
      </c>
      <c r="K9038" t="s">
        <v>42297</v>
      </c>
      <c r="M9038" t="s">
        <v>45412</v>
      </c>
      <c r="N9038" t="s">
        <v>46569</v>
      </c>
      <c r="O9038" t="s">
        <v>46570</v>
      </c>
      <c r="P9038">
        <v>0</v>
      </c>
      <c r="Q9038">
        <v>9</v>
      </c>
      <c r="R9038" t="s">
        <v>46577</v>
      </c>
      <c r="S9038" t="s">
        <v>46808</v>
      </c>
      <c r="T9038" t="s">
        <v>48287</v>
      </c>
      <c r="U9038" t="s">
        <v>56102</v>
      </c>
      <c r="V9038" t="s">
        <v>62552</v>
      </c>
      <c r="W9038" t="s">
        <v>45412</v>
      </c>
      <c r="X9038" t="s">
        <v>46579</v>
      </c>
    </row>
    <row r="9039" spans="1:24">
      <c r="A9039">
        <f>HYPERLINK("https://www.philgeps.gov.ph/GEPSNONPILOT/Tender/SplashBidNoticeAbstractUI.aspx?menuIndex=3&amp;refID=7050331&amp;Result=3","7050331")</f>
        <v>0</v>
      </c>
      <c r="B9039" t="s">
        <v>1300</v>
      </c>
      <c r="C9039" t="s">
        <v>12106</v>
      </c>
      <c r="D9039" t="s">
        <v>18782</v>
      </c>
      <c r="E9039" t="s">
        <v>26759</v>
      </c>
      <c r="F9039" t="s">
        <v>32664</v>
      </c>
      <c r="G9039" t="s">
        <v>32671</v>
      </c>
      <c r="H9039" t="s">
        <v>12635</v>
      </c>
      <c r="I9039" t="s">
        <v>5501</v>
      </c>
      <c r="J9039" t="s">
        <v>33128</v>
      </c>
      <c r="K9039" t="s">
        <v>42297</v>
      </c>
      <c r="M9039" t="s">
        <v>45412</v>
      </c>
      <c r="N9039" t="s">
        <v>46569</v>
      </c>
      <c r="O9039" t="s">
        <v>46570</v>
      </c>
      <c r="P9039">
        <v>0</v>
      </c>
      <c r="Q9039">
        <v>12</v>
      </c>
      <c r="R9039" t="s">
        <v>46577</v>
      </c>
      <c r="S9039" t="s">
        <v>46808</v>
      </c>
      <c r="T9039" t="s">
        <v>48287</v>
      </c>
      <c r="U9039" t="s">
        <v>56103</v>
      </c>
      <c r="V9039" t="s">
        <v>62552</v>
      </c>
      <c r="W9039" t="s">
        <v>45412</v>
      </c>
      <c r="X9039" t="s">
        <v>46579</v>
      </c>
    </row>
    <row r="9040" spans="1:24">
      <c r="A9040">
        <f>HYPERLINK("https://www.philgeps.gov.ph/GEPSNONPILOT/Tender/SplashBidNoticeAbstractUI.aspx?menuIndex=3&amp;refID=7050306&amp;Result=3","7050306")</f>
        <v>0</v>
      </c>
      <c r="B9040" t="s">
        <v>1300</v>
      </c>
      <c r="C9040" t="s">
        <v>12107</v>
      </c>
      <c r="D9040" t="s">
        <v>18782</v>
      </c>
      <c r="E9040" t="s">
        <v>26760</v>
      </c>
      <c r="F9040" t="s">
        <v>32664</v>
      </c>
      <c r="G9040" t="s">
        <v>32671</v>
      </c>
      <c r="H9040" t="s">
        <v>12635</v>
      </c>
      <c r="I9040" t="s">
        <v>6223</v>
      </c>
      <c r="J9040" t="s">
        <v>38299</v>
      </c>
      <c r="K9040" t="s">
        <v>42284</v>
      </c>
      <c r="M9040" t="s">
        <v>45412</v>
      </c>
      <c r="N9040" t="s">
        <v>46569</v>
      </c>
      <c r="O9040" t="s">
        <v>46570</v>
      </c>
      <c r="P9040">
        <v>0</v>
      </c>
      <c r="Q9040">
        <v>4</v>
      </c>
      <c r="R9040" t="s">
        <v>46577</v>
      </c>
      <c r="S9040" t="s">
        <v>46808</v>
      </c>
      <c r="T9040" t="s">
        <v>48287</v>
      </c>
      <c r="U9040" t="s">
        <v>56104</v>
      </c>
      <c r="V9040" t="s">
        <v>62552</v>
      </c>
      <c r="W9040" t="s">
        <v>45412</v>
      </c>
      <c r="X9040" t="s">
        <v>46579</v>
      </c>
    </row>
    <row r="9041" spans="1:24">
      <c r="A9041">
        <f>HYPERLINK("https://www.philgeps.gov.ph/GEPSNONPILOT/Tender/SplashBidNoticeAbstractUI.aspx?menuIndex=3&amp;refID=7050350&amp;Result=3","7050350")</f>
        <v>0</v>
      </c>
      <c r="B9041" t="s">
        <v>1300</v>
      </c>
      <c r="C9041" t="s">
        <v>12108</v>
      </c>
      <c r="D9041" t="s">
        <v>18782</v>
      </c>
      <c r="E9041" t="s">
        <v>26761</v>
      </c>
      <c r="F9041" t="s">
        <v>32664</v>
      </c>
      <c r="G9041" t="s">
        <v>32671</v>
      </c>
      <c r="H9041" t="s">
        <v>12635</v>
      </c>
      <c r="I9041" t="s">
        <v>6628</v>
      </c>
      <c r="J9041" t="s">
        <v>34494</v>
      </c>
      <c r="K9041" t="s">
        <v>42297</v>
      </c>
      <c r="M9041" t="s">
        <v>45412</v>
      </c>
      <c r="N9041" t="s">
        <v>46569</v>
      </c>
      <c r="O9041" t="s">
        <v>46570</v>
      </c>
      <c r="P9041">
        <v>0</v>
      </c>
      <c r="Q9041">
        <v>3</v>
      </c>
      <c r="R9041" t="s">
        <v>46577</v>
      </c>
      <c r="S9041" t="s">
        <v>46808</v>
      </c>
      <c r="T9041" t="s">
        <v>48287</v>
      </c>
      <c r="U9041" t="s">
        <v>56105</v>
      </c>
      <c r="V9041" t="s">
        <v>62552</v>
      </c>
      <c r="W9041" t="s">
        <v>45412</v>
      </c>
      <c r="X9041" t="s">
        <v>46579</v>
      </c>
    </row>
    <row r="9042" spans="1:24">
      <c r="A9042">
        <f>HYPERLINK("https://www.philgeps.gov.ph/GEPSNONPILOT/Tender/SplashBidNoticeAbstractUI.aspx?menuIndex=3&amp;refID=7052039&amp;Result=3","7052039")</f>
        <v>0</v>
      </c>
      <c r="B9042" t="s">
        <v>460</v>
      </c>
      <c r="C9042" t="s">
        <v>12109</v>
      </c>
      <c r="D9042" t="s">
        <v>18806</v>
      </c>
      <c r="E9042" t="s">
        <v>26762</v>
      </c>
      <c r="F9042" t="s">
        <v>32664</v>
      </c>
      <c r="G9042" t="s">
        <v>32672</v>
      </c>
      <c r="H9042" t="s">
        <v>12635</v>
      </c>
      <c r="I9042" t="s">
        <v>9486</v>
      </c>
      <c r="J9042" t="s">
        <v>38300</v>
      </c>
      <c r="K9042" t="s">
        <v>42330</v>
      </c>
      <c r="M9042" t="s">
        <v>43033</v>
      </c>
      <c r="N9042" t="s">
        <v>46569</v>
      </c>
      <c r="O9042" t="s">
        <v>46570</v>
      </c>
      <c r="P9042">
        <v>0</v>
      </c>
      <c r="Q9042">
        <v>1</v>
      </c>
      <c r="R9042" t="s">
        <v>46577</v>
      </c>
      <c r="S9042" t="s">
        <v>46808</v>
      </c>
      <c r="T9042" t="s">
        <v>48307</v>
      </c>
      <c r="U9042" t="s">
        <v>56106</v>
      </c>
      <c r="V9042" t="s">
        <v>61891</v>
      </c>
      <c r="W9042" t="s">
        <v>43033</v>
      </c>
      <c r="X9042" t="s">
        <v>46579</v>
      </c>
    </row>
    <row r="9043" spans="1:24">
      <c r="A9043">
        <f>HYPERLINK("https://www.philgeps.gov.ph/GEPSNONPILOT/Tender/SplashBidNoticeAbstractUI.aspx?menuIndex=3&amp;refID=7052022&amp;Result=3","7052022")</f>
        <v>0</v>
      </c>
      <c r="B9043" t="s">
        <v>683</v>
      </c>
      <c r="C9043" t="s">
        <v>12110</v>
      </c>
      <c r="E9043" t="s">
        <v>26763</v>
      </c>
      <c r="F9043" t="s">
        <v>32664</v>
      </c>
      <c r="G9043" t="s">
        <v>32672</v>
      </c>
      <c r="H9043" t="s">
        <v>32683</v>
      </c>
      <c r="I9043" t="s">
        <v>10627</v>
      </c>
      <c r="J9043" t="s">
        <v>38301</v>
      </c>
      <c r="K9043" t="s">
        <v>42380</v>
      </c>
      <c r="M9043" t="s">
        <v>43270</v>
      </c>
      <c r="N9043" t="s">
        <v>46569</v>
      </c>
      <c r="O9043" t="s">
        <v>46570</v>
      </c>
      <c r="P9043">
        <v>0</v>
      </c>
      <c r="Q9043">
        <v>0</v>
      </c>
      <c r="R9043" t="s">
        <v>46577</v>
      </c>
      <c r="S9043" t="s">
        <v>46808</v>
      </c>
      <c r="T9043" t="s">
        <v>48317</v>
      </c>
      <c r="U9043" t="s">
        <v>56107</v>
      </c>
      <c r="W9043" t="s">
        <v>43270</v>
      </c>
      <c r="X9043" t="s">
        <v>46579</v>
      </c>
    </row>
    <row r="9044" spans="1:24">
      <c r="A9044">
        <f>HYPERLINK("https://www.philgeps.gov.ph/GEPSNONPILOT/Tender/SplashBidNoticeAbstractUI.aspx?menuIndex=3&amp;refID=7051997&amp;Result=3","7051997")</f>
        <v>0</v>
      </c>
      <c r="B9044" t="s">
        <v>1007</v>
      </c>
      <c r="C9044" t="s">
        <v>12111</v>
      </c>
      <c r="D9044" t="s">
        <v>18812</v>
      </c>
      <c r="E9044" t="s">
        <v>26764</v>
      </c>
      <c r="F9044" t="s">
        <v>32664</v>
      </c>
      <c r="G9044" t="s">
        <v>32672</v>
      </c>
      <c r="H9044" t="s">
        <v>32683</v>
      </c>
      <c r="I9044" t="s">
        <v>10627</v>
      </c>
      <c r="J9044" t="s">
        <v>38302</v>
      </c>
      <c r="K9044" t="s">
        <v>42482</v>
      </c>
      <c r="M9044" t="s">
        <v>43619</v>
      </c>
      <c r="N9044" t="s">
        <v>46569</v>
      </c>
      <c r="O9044" t="s">
        <v>46570</v>
      </c>
      <c r="P9044">
        <v>0</v>
      </c>
      <c r="Q9044">
        <v>0</v>
      </c>
      <c r="R9044" t="s">
        <v>46577</v>
      </c>
      <c r="S9044" t="s">
        <v>46808</v>
      </c>
      <c r="T9044" t="s">
        <v>48621</v>
      </c>
      <c r="U9044" t="s">
        <v>56108</v>
      </c>
      <c r="W9044" t="s">
        <v>43619</v>
      </c>
      <c r="X9044" t="s">
        <v>46579</v>
      </c>
    </row>
    <row r="9045" spans="1:24">
      <c r="A9045">
        <f>HYPERLINK("https://www.philgeps.gov.ph/GEPSNONPILOT/Tender/SplashBidNoticeAbstractUI.aspx?menuIndex=3&amp;refID=7051990&amp;Result=3","7051990")</f>
        <v>0</v>
      </c>
      <c r="B9045" t="s">
        <v>460</v>
      </c>
      <c r="C9045" t="s">
        <v>12112</v>
      </c>
      <c r="D9045" t="s">
        <v>18806</v>
      </c>
      <c r="E9045" t="s">
        <v>26765</v>
      </c>
      <c r="F9045" t="s">
        <v>32664</v>
      </c>
      <c r="G9045" t="s">
        <v>32672</v>
      </c>
      <c r="H9045" t="s">
        <v>12635</v>
      </c>
      <c r="I9045" t="s">
        <v>9486</v>
      </c>
      <c r="J9045" t="s">
        <v>38303</v>
      </c>
      <c r="K9045" t="s">
        <v>42330</v>
      </c>
      <c r="M9045" t="s">
        <v>43033</v>
      </c>
      <c r="N9045" t="s">
        <v>46569</v>
      </c>
      <c r="O9045" t="s">
        <v>46570</v>
      </c>
      <c r="P9045">
        <v>0</v>
      </c>
      <c r="Q9045">
        <v>1</v>
      </c>
      <c r="R9045" t="s">
        <v>46577</v>
      </c>
      <c r="S9045" t="s">
        <v>46808</v>
      </c>
      <c r="T9045" t="s">
        <v>48307</v>
      </c>
      <c r="U9045" t="s">
        <v>56109</v>
      </c>
      <c r="V9045" t="s">
        <v>61891</v>
      </c>
      <c r="W9045" t="s">
        <v>43033</v>
      </c>
      <c r="X9045" t="s">
        <v>46579</v>
      </c>
    </row>
    <row r="9046" spans="1:24">
      <c r="A9046">
        <f>HYPERLINK("https://www.philgeps.gov.ph/GEPSNONPILOT/Tender/SplashBidNoticeAbstractUI.aspx?menuIndex=3&amp;refID=7051278&amp;Result=3","7051278")</f>
        <v>0</v>
      </c>
      <c r="B9046" t="s">
        <v>471</v>
      </c>
      <c r="C9046" t="s">
        <v>12113</v>
      </c>
      <c r="D9046" t="s">
        <v>18785</v>
      </c>
      <c r="E9046" t="s">
        <v>26766</v>
      </c>
      <c r="F9046" t="s">
        <v>32664</v>
      </c>
      <c r="G9046" t="s">
        <v>32672</v>
      </c>
      <c r="H9046" t="s">
        <v>32683</v>
      </c>
      <c r="I9046" t="s">
        <v>10627</v>
      </c>
      <c r="J9046" t="s">
        <v>32837</v>
      </c>
      <c r="K9046" t="s">
        <v>42427</v>
      </c>
      <c r="M9046" t="s">
        <v>43046</v>
      </c>
      <c r="N9046" t="s">
        <v>46569</v>
      </c>
      <c r="O9046" t="s">
        <v>46570</v>
      </c>
      <c r="P9046">
        <v>0</v>
      </c>
      <c r="Q9046">
        <v>0</v>
      </c>
      <c r="R9046" t="s">
        <v>46577</v>
      </c>
      <c r="S9046" t="s">
        <v>46808</v>
      </c>
      <c r="T9046" t="s">
        <v>48213</v>
      </c>
      <c r="U9046" t="s">
        <v>56110</v>
      </c>
      <c r="W9046" t="s">
        <v>43046</v>
      </c>
      <c r="X9046" t="s">
        <v>46579</v>
      </c>
    </row>
    <row r="9047" spans="1:24">
      <c r="A9047">
        <f>HYPERLINK("https://www.philgeps.gov.ph/GEPSNONPILOT/Tender/SplashBidNoticeAbstractUI.aspx?menuIndex=3&amp;refID=7051911&amp;Result=3","7051911")</f>
        <v>0</v>
      </c>
      <c r="B9047" t="s">
        <v>683</v>
      </c>
      <c r="C9047" t="s">
        <v>12114</v>
      </c>
      <c r="E9047" t="s">
        <v>26767</v>
      </c>
      <c r="F9047" t="s">
        <v>32664</v>
      </c>
      <c r="G9047" t="s">
        <v>32672</v>
      </c>
      <c r="H9047" t="s">
        <v>32683</v>
      </c>
      <c r="I9047" t="s">
        <v>10627</v>
      </c>
      <c r="J9047" t="s">
        <v>38304</v>
      </c>
      <c r="K9047" t="s">
        <v>42285</v>
      </c>
      <c r="M9047" t="s">
        <v>43270</v>
      </c>
      <c r="N9047" t="s">
        <v>46569</v>
      </c>
      <c r="O9047" t="s">
        <v>46570</v>
      </c>
      <c r="P9047">
        <v>0</v>
      </c>
      <c r="Q9047">
        <v>0</v>
      </c>
      <c r="R9047" t="s">
        <v>46577</v>
      </c>
      <c r="S9047" t="s">
        <v>46808</v>
      </c>
      <c r="T9047" t="s">
        <v>48317</v>
      </c>
      <c r="U9047" t="s">
        <v>56111</v>
      </c>
      <c r="W9047" t="s">
        <v>43270</v>
      </c>
      <c r="X9047" t="s">
        <v>46579</v>
      </c>
    </row>
    <row r="9048" spans="1:24">
      <c r="A9048">
        <f>HYPERLINK("https://www.philgeps.gov.ph/GEPSNONPILOT/Tender/SplashBidNoticeAbstractUI.aspx?menuIndex=3&amp;refID=7051825&amp;Result=3","7051825")</f>
        <v>0</v>
      </c>
      <c r="B9048" t="s">
        <v>2605</v>
      </c>
      <c r="C9048" t="s">
        <v>12115</v>
      </c>
      <c r="D9048" t="s">
        <v>18839</v>
      </c>
      <c r="E9048" t="s">
        <v>26768</v>
      </c>
      <c r="F9048" t="s">
        <v>32664</v>
      </c>
      <c r="G9048" t="s">
        <v>32674</v>
      </c>
      <c r="H9048" t="s">
        <v>12635</v>
      </c>
      <c r="I9048" t="s">
        <v>5589</v>
      </c>
      <c r="J9048" t="s">
        <v>33899</v>
      </c>
      <c r="K9048" t="s">
        <v>42289</v>
      </c>
      <c r="M9048" t="s">
        <v>45421</v>
      </c>
      <c r="N9048" t="s">
        <v>46569</v>
      </c>
      <c r="O9048" t="s">
        <v>46570</v>
      </c>
      <c r="P9048">
        <v>0</v>
      </c>
      <c r="Q9048">
        <v>2</v>
      </c>
      <c r="R9048" t="s">
        <v>46577</v>
      </c>
      <c r="S9048" t="s">
        <v>46808</v>
      </c>
      <c r="T9048" t="s">
        <v>48254</v>
      </c>
      <c r="U9048" t="s">
        <v>56112</v>
      </c>
      <c r="W9048" t="s">
        <v>45421</v>
      </c>
      <c r="X9048" t="s">
        <v>46579</v>
      </c>
    </row>
    <row r="9049" spans="1:24">
      <c r="A9049">
        <f>HYPERLINK("https://www.philgeps.gov.ph/GEPSNONPILOT/Tender/SplashBidNoticeAbstractUI.aspx?menuIndex=3&amp;refID=7052033&amp;Result=3","7052033")</f>
        <v>0</v>
      </c>
      <c r="B9049" t="s">
        <v>683</v>
      </c>
      <c r="C9049" t="s">
        <v>12116</v>
      </c>
      <c r="E9049" t="s">
        <v>26769</v>
      </c>
      <c r="F9049" t="s">
        <v>32664</v>
      </c>
      <c r="G9049" t="s">
        <v>32672</v>
      </c>
      <c r="H9049" t="s">
        <v>32683</v>
      </c>
      <c r="I9049" t="s">
        <v>10627</v>
      </c>
      <c r="J9049" t="s">
        <v>38305</v>
      </c>
      <c r="K9049" t="s">
        <v>42285</v>
      </c>
      <c r="M9049" t="s">
        <v>43270</v>
      </c>
      <c r="N9049" t="s">
        <v>46569</v>
      </c>
      <c r="O9049" t="s">
        <v>46570</v>
      </c>
      <c r="P9049">
        <v>0</v>
      </c>
      <c r="Q9049">
        <v>0</v>
      </c>
      <c r="R9049" t="s">
        <v>46577</v>
      </c>
      <c r="S9049" t="s">
        <v>46808</v>
      </c>
      <c r="T9049" t="s">
        <v>48317</v>
      </c>
      <c r="U9049" t="s">
        <v>56113</v>
      </c>
      <c r="W9049" t="s">
        <v>43270</v>
      </c>
      <c r="X9049" t="s">
        <v>46579</v>
      </c>
    </row>
    <row r="9050" spans="1:24">
      <c r="A9050">
        <f>HYPERLINK("https://www.philgeps.gov.ph/GEPSNONPILOT/Tender/SplashBidNoticeAbstractUI.aspx?menuIndex=3&amp;refID=7051810&amp;Result=3","7051810")</f>
        <v>0</v>
      </c>
      <c r="B9050" t="s">
        <v>1007</v>
      </c>
      <c r="C9050" t="s">
        <v>12117</v>
      </c>
      <c r="D9050" t="s">
        <v>18812</v>
      </c>
      <c r="E9050" t="s">
        <v>26770</v>
      </c>
      <c r="F9050" t="s">
        <v>32664</v>
      </c>
      <c r="G9050" t="s">
        <v>32672</v>
      </c>
      <c r="H9050" t="s">
        <v>32683</v>
      </c>
      <c r="I9050" t="s">
        <v>10627</v>
      </c>
      <c r="J9050" t="s">
        <v>38306</v>
      </c>
      <c r="K9050" t="s">
        <v>42427</v>
      </c>
      <c r="M9050" t="s">
        <v>43619</v>
      </c>
      <c r="N9050" t="s">
        <v>46569</v>
      </c>
      <c r="O9050" t="s">
        <v>46570</v>
      </c>
      <c r="P9050">
        <v>0</v>
      </c>
      <c r="Q9050">
        <v>0</v>
      </c>
      <c r="R9050" t="s">
        <v>46577</v>
      </c>
      <c r="S9050" t="s">
        <v>46808</v>
      </c>
      <c r="T9050" t="s">
        <v>48621</v>
      </c>
      <c r="U9050" t="s">
        <v>56114</v>
      </c>
      <c r="W9050" t="s">
        <v>43619</v>
      </c>
      <c r="X9050" t="s">
        <v>46579</v>
      </c>
    </row>
    <row r="9051" spans="1:24">
      <c r="A9051">
        <f>HYPERLINK("https://www.philgeps.gov.ph/GEPSNONPILOT/Tender/SplashBidNoticeAbstractUI.aspx?menuIndex=3&amp;refID=7051392&amp;Result=3","7051392")</f>
        <v>0</v>
      </c>
      <c r="B9051" t="s">
        <v>1007</v>
      </c>
      <c r="C9051" t="s">
        <v>12118</v>
      </c>
      <c r="D9051" t="s">
        <v>18812</v>
      </c>
      <c r="E9051" t="s">
        <v>26771</v>
      </c>
      <c r="F9051" t="s">
        <v>32664</v>
      </c>
      <c r="G9051" t="s">
        <v>32672</v>
      </c>
      <c r="H9051" t="s">
        <v>32683</v>
      </c>
      <c r="I9051" t="s">
        <v>10627</v>
      </c>
      <c r="J9051" t="s">
        <v>38307</v>
      </c>
      <c r="K9051" t="s">
        <v>42314</v>
      </c>
      <c r="M9051" t="s">
        <v>43619</v>
      </c>
      <c r="N9051" t="s">
        <v>46569</v>
      </c>
      <c r="O9051" t="s">
        <v>46570</v>
      </c>
      <c r="P9051">
        <v>0</v>
      </c>
      <c r="Q9051">
        <v>0</v>
      </c>
      <c r="R9051" t="s">
        <v>46577</v>
      </c>
      <c r="S9051" t="s">
        <v>46808</v>
      </c>
      <c r="T9051" t="s">
        <v>48621</v>
      </c>
      <c r="U9051" t="s">
        <v>56115</v>
      </c>
      <c r="W9051" t="s">
        <v>43619</v>
      </c>
      <c r="X9051" t="s">
        <v>46579</v>
      </c>
    </row>
    <row r="9052" spans="1:24">
      <c r="A9052">
        <f>HYPERLINK("https://www.philgeps.gov.ph/GEPSNONPILOT/Tender/SplashBidNoticeAbstractUI.aspx?menuIndex=3&amp;refID=7052075&amp;Result=3","7052075")</f>
        <v>0</v>
      </c>
      <c r="B9052" t="s">
        <v>1609</v>
      </c>
      <c r="C9052" t="s">
        <v>12119</v>
      </c>
      <c r="D9052" t="s">
        <v>18782</v>
      </c>
      <c r="E9052" t="s">
        <v>26772</v>
      </c>
      <c r="F9052" t="s">
        <v>32664</v>
      </c>
      <c r="G9052" t="s">
        <v>32671</v>
      </c>
      <c r="H9052" t="s">
        <v>12635</v>
      </c>
      <c r="I9052" t="s">
        <v>6223</v>
      </c>
      <c r="J9052" t="s">
        <v>34732</v>
      </c>
      <c r="K9052" t="s">
        <v>42281</v>
      </c>
      <c r="M9052" t="s">
        <v>44288</v>
      </c>
      <c r="N9052" t="s">
        <v>46569</v>
      </c>
      <c r="O9052" t="s">
        <v>46570</v>
      </c>
      <c r="Q9052">
        <v>1</v>
      </c>
      <c r="R9052" t="s">
        <v>46577</v>
      </c>
      <c r="S9052" t="s">
        <v>46817</v>
      </c>
      <c r="T9052" t="s">
        <v>48287</v>
      </c>
      <c r="U9052" t="s">
        <v>56116</v>
      </c>
      <c r="V9052" t="s">
        <v>62553</v>
      </c>
      <c r="W9052" t="s">
        <v>44288</v>
      </c>
      <c r="X9052" t="s">
        <v>46579</v>
      </c>
    </row>
    <row r="9053" spans="1:24">
      <c r="A9053">
        <f>HYPERLINK("https://www.philgeps.gov.ph/GEPSNONPILOT/Tender/SplashBidNoticeAbstractUI.aspx?menuIndex=3&amp;refID=7051871&amp;Result=3","7051871")</f>
        <v>0</v>
      </c>
      <c r="B9053" t="s">
        <v>683</v>
      </c>
      <c r="C9053" t="s">
        <v>12120</v>
      </c>
      <c r="E9053" t="s">
        <v>26773</v>
      </c>
      <c r="F9053" t="s">
        <v>32664</v>
      </c>
      <c r="G9053" t="s">
        <v>32672</v>
      </c>
      <c r="H9053" t="s">
        <v>32683</v>
      </c>
      <c r="I9053" t="s">
        <v>10627</v>
      </c>
      <c r="J9053" t="s">
        <v>38308</v>
      </c>
      <c r="K9053" t="s">
        <v>42285</v>
      </c>
      <c r="M9053" t="s">
        <v>43270</v>
      </c>
      <c r="N9053" t="s">
        <v>46569</v>
      </c>
      <c r="O9053" t="s">
        <v>46570</v>
      </c>
      <c r="P9053">
        <v>0</v>
      </c>
      <c r="Q9053">
        <v>0</v>
      </c>
      <c r="R9053" t="s">
        <v>46577</v>
      </c>
      <c r="S9053" t="s">
        <v>46808</v>
      </c>
      <c r="T9053" t="s">
        <v>48317</v>
      </c>
      <c r="U9053" t="s">
        <v>56117</v>
      </c>
      <c r="W9053" t="s">
        <v>43270</v>
      </c>
      <c r="X9053" t="s">
        <v>46579</v>
      </c>
    </row>
    <row r="9054" spans="1:24">
      <c r="A9054">
        <f>HYPERLINK("https://www.philgeps.gov.ph/GEPSNONPILOT/Tender/SplashBidNoticeAbstractUI.aspx?menuIndex=3&amp;refID=7052002&amp;Result=3","7052002")</f>
        <v>0</v>
      </c>
      <c r="B9054" t="s">
        <v>683</v>
      </c>
      <c r="C9054" t="s">
        <v>12121</v>
      </c>
      <c r="E9054" t="s">
        <v>26774</v>
      </c>
      <c r="F9054" t="s">
        <v>32664</v>
      </c>
      <c r="G9054" t="s">
        <v>32672</v>
      </c>
      <c r="H9054" t="s">
        <v>32683</v>
      </c>
      <c r="I9054" t="s">
        <v>10627</v>
      </c>
      <c r="J9054" t="s">
        <v>38309</v>
      </c>
      <c r="K9054" t="s">
        <v>42285</v>
      </c>
      <c r="M9054" t="s">
        <v>43270</v>
      </c>
      <c r="N9054" t="s">
        <v>46569</v>
      </c>
      <c r="O9054" t="s">
        <v>46570</v>
      </c>
      <c r="P9054">
        <v>0</v>
      </c>
      <c r="Q9054">
        <v>0</v>
      </c>
      <c r="R9054" t="s">
        <v>46577</v>
      </c>
      <c r="S9054" t="s">
        <v>46808</v>
      </c>
      <c r="T9054" t="s">
        <v>48317</v>
      </c>
      <c r="U9054" t="s">
        <v>56118</v>
      </c>
      <c r="W9054" t="s">
        <v>43270</v>
      </c>
      <c r="X9054" t="s">
        <v>46579</v>
      </c>
    </row>
    <row r="9055" spans="1:24">
      <c r="A9055">
        <f>HYPERLINK("https://www.philgeps.gov.ph/GEPSNONPILOT/Tender/SplashBidNoticeAbstractUI.aspx?menuIndex=3&amp;refID=7052065&amp;Result=3","7052065")</f>
        <v>0</v>
      </c>
      <c r="B9055" t="s">
        <v>683</v>
      </c>
      <c r="C9055" t="s">
        <v>12122</v>
      </c>
      <c r="E9055" t="s">
        <v>26775</v>
      </c>
      <c r="F9055" t="s">
        <v>32664</v>
      </c>
      <c r="G9055" t="s">
        <v>32672</v>
      </c>
      <c r="H9055" t="s">
        <v>32683</v>
      </c>
      <c r="I9055" t="s">
        <v>10627</v>
      </c>
      <c r="J9055" t="s">
        <v>38310</v>
      </c>
      <c r="K9055" t="s">
        <v>42308</v>
      </c>
      <c r="M9055" t="s">
        <v>43270</v>
      </c>
      <c r="N9055" t="s">
        <v>46569</v>
      </c>
      <c r="O9055" t="s">
        <v>46570</v>
      </c>
      <c r="P9055">
        <v>0</v>
      </c>
      <c r="Q9055">
        <v>0</v>
      </c>
      <c r="R9055" t="s">
        <v>46577</v>
      </c>
      <c r="S9055" t="s">
        <v>46808</v>
      </c>
      <c r="T9055" t="s">
        <v>48317</v>
      </c>
      <c r="U9055" t="s">
        <v>56119</v>
      </c>
      <c r="W9055" t="s">
        <v>43270</v>
      </c>
      <c r="X9055" t="s">
        <v>46579</v>
      </c>
    </row>
    <row r="9056" spans="1:24">
      <c r="A9056">
        <f>HYPERLINK("https://www.philgeps.gov.ph/GEPSNONPILOT/Tender/SplashBidNoticeAbstractUI.aspx?menuIndex=3&amp;refID=7052085&amp;Result=3","7052085")</f>
        <v>0</v>
      </c>
      <c r="B9056" t="s">
        <v>683</v>
      </c>
      <c r="C9056" t="s">
        <v>12123</v>
      </c>
      <c r="E9056" t="s">
        <v>26776</v>
      </c>
      <c r="F9056" t="s">
        <v>32664</v>
      </c>
      <c r="G9056" t="s">
        <v>32672</v>
      </c>
      <c r="H9056" t="s">
        <v>32683</v>
      </c>
      <c r="I9056" t="s">
        <v>10627</v>
      </c>
      <c r="J9056" t="s">
        <v>38311</v>
      </c>
      <c r="K9056" t="s">
        <v>42345</v>
      </c>
      <c r="M9056" t="s">
        <v>43270</v>
      </c>
      <c r="N9056" t="s">
        <v>46569</v>
      </c>
      <c r="O9056" t="s">
        <v>46570</v>
      </c>
      <c r="P9056">
        <v>0</v>
      </c>
      <c r="Q9056">
        <v>0</v>
      </c>
      <c r="R9056" t="s">
        <v>46577</v>
      </c>
      <c r="S9056" t="s">
        <v>46808</v>
      </c>
      <c r="T9056" t="s">
        <v>48633</v>
      </c>
      <c r="U9056" t="s">
        <v>56120</v>
      </c>
      <c r="W9056" t="s">
        <v>43270</v>
      </c>
      <c r="X9056" t="s">
        <v>46579</v>
      </c>
    </row>
    <row r="9057" spans="1:24">
      <c r="A9057">
        <f>HYPERLINK("https://www.philgeps.gov.ph/GEPSNONPILOT/Tender/SplashBidNoticeAbstractUI.aspx?menuIndex=3&amp;refID=7051332&amp;Result=3","7051332")</f>
        <v>0</v>
      </c>
      <c r="B9057" t="s">
        <v>471</v>
      </c>
      <c r="C9057" t="s">
        <v>12124</v>
      </c>
      <c r="D9057" t="s">
        <v>18785</v>
      </c>
      <c r="E9057" t="s">
        <v>26777</v>
      </c>
      <c r="F9057" t="s">
        <v>32664</v>
      </c>
      <c r="G9057" t="s">
        <v>32672</v>
      </c>
      <c r="H9057" t="s">
        <v>32683</v>
      </c>
      <c r="I9057" t="s">
        <v>10627</v>
      </c>
      <c r="J9057" t="s">
        <v>32943</v>
      </c>
      <c r="K9057" t="s">
        <v>42314</v>
      </c>
      <c r="M9057" t="s">
        <v>43046</v>
      </c>
      <c r="N9057" t="s">
        <v>46569</v>
      </c>
      <c r="O9057" t="s">
        <v>46570</v>
      </c>
      <c r="P9057">
        <v>0</v>
      </c>
      <c r="Q9057">
        <v>0</v>
      </c>
      <c r="R9057" t="s">
        <v>46577</v>
      </c>
      <c r="S9057" t="s">
        <v>46808</v>
      </c>
      <c r="T9057" t="s">
        <v>48571</v>
      </c>
      <c r="U9057" t="s">
        <v>56121</v>
      </c>
      <c r="W9057" t="s">
        <v>43046</v>
      </c>
      <c r="X9057" t="s">
        <v>46579</v>
      </c>
    </row>
    <row r="9058" spans="1:24">
      <c r="A9058">
        <f>HYPERLINK("https://www.philgeps.gov.ph/GEPSNONPILOT/Tender/SplashBidNoticeAbstractUI.aspx?menuIndex=3&amp;refID=7051513&amp;Result=3","7051513")</f>
        <v>0</v>
      </c>
      <c r="B9058" t="s">
        <v>884</v>
      </c>
      <c r="C9058" t="s">
        <v>12125</v>
      </c>
      <c r="D9058" t="s">
        <v>18816</v>
      </c>
      <c r="E9058" t="s">
        <v>26778</v>
      </c>
      <c r="F9058" t="s">
        <v>32664</v>
      </c>
      <c r="G9058" t="s">
        <v>32672</v>
      </c>
      <c r="H9058" t="s">
        <v>12635</v>
      </c>
      <c r="I9058" t="s">
        <v>11464</v>
      </c>
      <c r="J9058" t="s">
        <v>33084</v>
      </c>
      <c r="K9058" t="s">
        <v>42281</v>
      </c>
      <c r="M9058" t="s">
        <v>43485</v>
      </c>
      <c r="N9058" t="s">
        <v>46569</v>
      </c>
      <c r="O9058" t="s">
        <v>46570</v>
      </c>
      <c r="P9058">
        <v>0</v>
      </c>
      <c r="Q9058">
        <v>5</v>
      </c>
      <c r="R9058" t="s">
        <v>46577</v>
      </c>
      <c r="S9058" t="s">
        <v>46808</v>
      </c>
      <c r="T9058" t="s">
        <v>48405</v>
      </c>
      <c r="U9058" t="s">
        <v>56122</v>
      </c>
      <c r="W9058" t="s">
        <v>43485</v>
      </c>
      <c r="X9058" t="s">
        <v>46579</v>
      </c>
    </row>
    <row r="9059" spans="1:24">
      <c r="A9059">
        <f>HYPERLINK("https://www.philgeps.gov.ph/GEPSNONPILOT/Tender/SplashBidNoticeAbstractUI.aspx?menuIndex=3&amp;refID=7052057&amp;Result=3","7052057")</f>
        <v>0</v>
      </c>
      <c r="B9059" t="s">
        <v>175</v>
      </c>
      <c r="C9059" t="s">
        <v>12126</v>
      </c>
      <c r="D9059" t="s">
        <v>18784</v>
      </c>
      <c r="E9059" t="s">
        <v>19701</v>
      </c>
      <c r="F9059" t="s">
        <v>32664</v>
      </c>
      <c r="G9059" t="s">
        <v>32672</v>
      </c>
      <c r="H9059" t="s">
        <v>12635</v>
      </c>
      <c r="I9059" t="s">
        <v>6553</v>
      </c>
      <c r="J9059" t="s">
        <v>38312</v>
      </c>
      <c r="K9059" t="s">
        <v>42298</v>
      </c>
      <c r="M9059" t="s">
        <v>45422</v>
      </c>
      <c r="N9059" t="s">
        <v>46569</v>
      </c>
      <c r="O9059" t="s">
        <v>46570</v>
      </c>
      <c r="P9059">
        <v>0</v>
      </c>
      <c r="Q9059">
        <v>6</v>
      </c>
      <c r="R9059" t="s">
        <v>46577</v>
      </c>
      <c r="S9059" t="s">
        <v>46808</v>
      </c>
      <c r="T9059" t="s">
        <v>48453</v>
      </c>
      <c r="U9059" t="s">
        <v>56123</v>
      </c>
      <c r="W9059" t="s">
        <v>45422</v>
      </c>
      <c r="X9059" t="s">
        <v>46579</v>
      </c>
    </row>
    <row r="9060" spans="1:24">
      <c r="A9060">
        <f>HYPERLINK("https://www.philgeps.gov.ph/GEPSNONPILOT/Tender/SplashBidNoticeAbstractUI.aspx?menuIndex=3&amp;refID=7052108&amp;Result=3","7052108")</f>
        <v>0</v>
      </c>
      <c r="B9060" t="s">
        <v>1007</v>
      </c>
      <c r="C9060" t="s">
        <v>12127</v>
      </c>
      <c r="D9060" t="s">
        <v>18812</v>
      </c>
      <c r="E9060" t="s">
        <v>26779</v>
      </c>
      <c r="F9060" t="s">
        <v>32664</v>
      </c>
      <c r="G9060" t="s">
        <v>32672</v>
      </c>
      <c r="H9060" t="s">
        <v>32683</v>
      </c>
      <c r="I9060" t="s">
        <v>10627</v>
      </c>
      <c r="J9060" t="s">
        <v>38313</v>
      </c>
      <c r="K9060" t="s">
        <v>42314</v>
      </c>
      <c r="M9060" t="s">
        <v>43619</v>
      </c>
      <c r="N9060" t="s">
        <v>46569</v>
      </c>
      <c r="O9060" t="s">
        <v>46570</v>
      </c>
      <c r="P9060">
        <v>0</v>
      </c>
      <c r="Q9060">
        <v>0</v>
      </c>
      <c r="R9060" t="s">
        <v>46577</v>
      </c>
      <c r="S9060" t="s">
        <v>46808</v>
      </c>
      <c r="T9060" t="s">
        <v>48621</v>
      </c>
      <c r="U9060" t="s">
        <v>56124</v>
      </c>
      <c r="W9060" t="s">
        <v>43619</v>
      </c>
      <c r="X9060" t="s">
        <v>46579</v>
      </c>
    </row>
    <row r="9061" spans="1:24">
      <c r="A9061">
        <f>HYPERLINK("https://www.philgeps.gov.ph/GEPSNONPILOT/Tender/SplashBidNoticeAbstractUI.aspx?menuIndex=3&amp;refID=7052202&amp;Result=3","7052202")</f>
        <v>0</v>
      </c>
      <c r="B9061" t="s">
        <v>2606</v>
      </c>
      <c r="C9061" t="s">
        <v>12128</v>
      </c>
      <c r="D9061" t="s">
        <v>18844</v>
      </c>
      <c r="E9061" t="s">
        <v>26780</v>
      </c>
      <c r="F9061" t="s">
        <v>32664</v>
      </c>
      <c r="G9061" t="s">
        <v>32672</v>
      </c>
      <c r="H9061" t="s">
        <v>32683</v>
      </c>
      <c r="I9061" t="s">
        <v>10627</v>
      </c>
      <c r="J9061" t="s">
        <v>38314</v>
      </c>
      <c r="K9061" t="s">
        <v>42387</v>
      </c>
      <c r="M9061" t="s">
        <v>45423</v>
      </c>
      <c r="N9061" t="s">
        <v>46569</v>
      </c>
      <c r="O9061" t="s">
        <v>46570</v>
      </c>
      <c r="P9061">
        <v>0</v>
      </c>
      <c r="Q9061">
        <v>0</v>
      </c>
      <c r="R9061" t="s">
        <v>46577</v>
      </c>
      <c r="S9061" t="s">
        <v>46808</v>
      </c>
      <c r="T9061" t="s">
        <v>48313</v>
      </c>
      <c r="U9061" t="s">
        <v>56125</v>
      </c>
      <c r="W9061" t="s">
        <v>45423</v>
      </c>
      <c r="X9061" t="s">
        <v>46579</v>
      </c>
    </row>
    <row r="9062" spans="1:24">
      <c r="A9062">
        <f>HYPERLINK("https://www.philgeps.gov.ph/GEPSNONPILOT/Tender/SplashBidNoticeAbstractUI.aspx?menuIndex=3&amp;refID=7052200&amp;Result=3","7052200")</f>
        <v>0</v>
      </c>
      <c r="B9062" t="s">
        <v>460</v>
      </c>
      <c r="C9062" t="s">
        <v>12129</v>
      </c>
      <c r="D9062" t="s">
        <v>18806</v>
      </c>
      <c r="E9062" t="s">
        <v>26781</v>
      </c>
      <c r="F9062" t="s">
        <v>32664</v>
      </c>
      <c r="G9062" t="s">
        <v>32672</v>
      </c>
      <c r="H9062" t="s">
        <v>12635</v>
      </c>
      <c r="I9062" t="s">
        <v>6628</v>
      </c>
      <c r="J9062" t="s">
        <v>36873</v>
      </c>
      <c r="K9062" t="s">
        <v>42330</v>
      </c>
      <c r="M9062" t="s">
        <v>43033</v>
      </c>
      <c r="N9062" t="s">
        <v>46569</v>
      </c>
      <c r="O9062" t="s">
        <v>46570</v>
      </c>
      <c r="P9062">
        <v>0</v>
      </c>
      <c r="Q9062">
        <v>2</v>
      </c>
      <c r="R9062" t="s">
        <v>46577</v>
      </c>
      <c r="S9062" t="s">
        <v>46808</v>
      </c>
      <c r="T9062" t="s">
        <v>48384</v>
      </c>
      <c r="U9062" t="s">
        <v>56126</v>
      </c>
      <c r="V9062" t="s">
        <v>61891</v>
      </c>
      <c r="W9062" t="s">
        <v>43033</v>
      </c>
      <c r="X9062" t="s">
        <v>46579</v>
      </c>
    </row>
    <row r="9063" spans="1:24">
      <c r="A9063">
        <f>HYPERLINK("https://www.philgeps.gov.ph/GEPSNONPILOT/Tender/SplashBidNoticeAbstractUI.aspx?menuIndex=3&amp;refID=7052191&amp;Result=3","7052191")</f>
        <v>0</v>
      </c>
      <c r="B9063" t="s">
        <v>683</v>
      </c>
      <c r="C9063" t="s">
        <v>12130</v>
      </c>
      <c r="E9063" t="s">
        <v>26782</v>
      </c>
      <c r="F9063" t="s">
        <v>32664</v>
      </c>
      <c r="G9063" t="s">
        <v>32672</v>
      </c>
      <c r="H9063" t="s">
        <v>32683</v>
      </c>
      <c r="I9063" t="s">
        <v>10627</v>
      </c>
      <c r="J9063" t="s">
        <v>38315</v>
      </c>
      <c r="K9063" t="s">
        <v>42369</v>
      </c>
      <c r="M9063" t="s">
        <v>43270</v>
      </c>
      <c r="N9063" t="s">
        <v>46569</v>
      </c>
      <c r="O9063" t="s">
        <v>46570</v>
      </c>
      <c r="P9063">
        <v>0</v>
      </c>
      <c r="Q9063">
        <v>0</v>
      </c>
      <c r="R9063" t="s">
        <v>46577</v>
      </c>
      <c r="S9063" t="s">
        <v>46808</v>
      </c>
      <c r="T9063" t="s">
        <v>48317</v>
      </c>
      <c r="U9063" t="s">
        <v>56127</v>
      </c>
      <c r="W9063" t="s">
        <v>43270</v>
      </c>
      <c r="X9063" t="s">
        <v>46579</v>
      </c>
    </row>
    <row r="9064" spans="1:24">
      <c r="A9064">
        <f>HYPERLINK("https://www.philgeps.gov.ph/GEPSNONPILOT/Tender/SplashBidNoticeAbstractUI.aspx?menuIndex=3&amp;refID=7052210&amp;Result=3","7052210")</f>
        <v>0</v>
      </c>
      <c r="B9064" t="s">
        <v>683</v>
      </c>
      <c r="C9064" t="s">
        <v>12131</v>
      </c>
      <c r="E9064" t="s">
        <v>26783</v>
      </c>
      <c r="F9064" t="s">
        <v>32664</v>
      </c>
      <c r="G9064" t="s">
        <v>32672</v>
      </c>
      <c r="H9064" t="s">
        <v>32683</v>
      </c>
      <c r="I9064" t="s">
        <v>10627</v>
      </c>
      <c r="J9064" t="s">
        <v>38316</v>
      </c>
      <c r="K9064" t="s">
        <v>42285</v>
      </c>
      <c r="M9064" t="s">
        <v>43270</v>
      </c>
      <c r="N9064" t="s">
        <v>46569</v>
      </c>
      <c r="O9064" t="s">
        <v>46570</v>
      </c>
      <c r="P9064">
        <v>0</v>
      </c>
      <c r="Q9064">
        <v>0</v>
      </c>
      <c r="R9064" t="s">
        <v>46577</v>
      </c>
      <c r="S9064" t="s">
        <v>46808</v>
      </c>
      <c r="T9064" t="s">
        <v>48317</v>
      </c>
      <c r="U9064" t="s">
        <v>56128</v>
      </c>
      <c r="W9064" t="s">
        <v>43270</v>
      </c>
      <c r="X9064" t="s">
        <v>46579</v>
      </c>
    </row>
    <row r="9065" spans="1:24">
      <c r="A9065">
        <f>HYPERLINK("https://www.philgeps.gov.ph/GEPSNONPILOT/Tender/SplashBidNoticeAbstractUI.aspx?menuIndex=3&amp;refID=7052050&amp;Result=3","7052050")</f>
        <v>0</v>
      </c>
      <c r="B9065" t="s">
        <v>683</v>
      </c>
      <c r="C9065" t="s">
        <v>12132</v>
      </c>
      <c r="E9065" t="s">
        <v>26784</v>
      </c>
      <c r="F9065" t="s">
        <v>32664</v>
      </c>
      <c r="G9065" t="s">
        <v>32672</v>
      </c>
      <c r="H9065" t="s">
        <v>32683</v>
      </c>
      <c r="I9065" t="s">
        <v>10627</v>
      </c>
      <c r="J9065" t="s">
        <v>38317</v>
      </c>
      <c r="K9065" t="s">
        <v>42367</v>
      </c>
      <c r="M9065" t="s">
        <v>43270</v>
      </c>
      <c r="N9065" t="s">
        <v>46569</v>
      </c>
      <c r="O9065" t="s">
        <v>46570</v>
      </c>
      <c r="P9065">
        <v>0</v>
      </c>
      <c r="Q9065">
        <v>0</v>
      </c>
      <c r="R9065" t="s">
        <v>46577</v>
      </c>
      <c r="S9065" t="s">
        <v>46808</v>
      </c>
      <c r="T9065" t="s">
        <v>48317</v>
      </c>
      <c r="U9065" t="s">
        <v>56129</v>
      </c>
      <c r="W9065" t="s">
        <v>43270</v>
      </c>
      <c r="X9065" t="s">
        <v>46579</v>
      </c>
    </row>
    <row r="9066" spans="1:24">
      <c r="A9066">
        <f>HYPERLINK("https://www.philgeps.gov.ph/GEPSNONPILOT/Tender/SplashBidNoticeAbstractUI.aspx?menuIndex=3&amp;refID=7052152&amp;Result=3","7052152")</f>
        <v>0</v>
      </c>
      <c r="B9066" t="s">
        <v>1609</v>
      </c>
      <c r="C9066" t="s">
        <v>12133</v>
      </c>
      <c r="D9066" t="s">
        <v>18782</v>
      </c>
      <c r="E9066" t="s">
        <v>26785</v>
      </c>
      <c r="F9066" t="s">
        <v>32664</v>
      </c>
      <c r="G9066" t="s">
        <v>32671</v>
      </c>
      <c r="H9066" t="s">
        <v>12635</v>
      </c>
      <c r="I9066" t="s">
        <v>10370</v>
      </c>
      <c r="J9066" t="s">
        <v>35003</v>
      </c>
      <c r="K9066" t="s">
        <v>42305</v>
      </c>
      <c r="M9066" t="s">
        <v>44288</v>
      </c>
      <c r="N9066" t="s">
        <v>46569</v>
      </c>
      <c r="O9066" t="s">
        <v>46570</v>
      </c>
      <c r="P9066">
        <v>0</v>
      </c>
      <c r="Q9066">
        <v>5</v>
      </c>
      <c r="R9066" t="s">
        <v>46577</v>
      </c>
      <c r="S9066" t="s">
        <v>46808</v>
      </c>
      <c r="T9066" t="s">
        <v>48287</v>
      </c>
      <c r="U9066" t="s">
        <v>56130</v>
      </c>
      <c r="V9066" t="s">
        <v>62553</v>
      </c>
      <c r="W9066" t="s">
        <v>44288</v>
      </c>
      <c r="X9066" t="s">
        <v>46579</v>
      </c>
    </row>
    <row r="9067" spans="1:24">
      <c r="A9067">
        <f>HYPERLINK("https://www.philgeps.gov.ph/GEPSNONPILOT/Tender/SplashBidNoticeAbstractUI.aspx?menuIndex=3&amp;refID=7052197&amp;Result=3","7052197")</f>
        <v>0</v>
      </c>
      <c r="B9067" t="s">
        <v>1609</v>
      </c>
      <c r="C9067" t="s">
        <v>12134</v>
      </c>
      <c r="D9067" t="s">
        <v>18782</v>
      </c>
      <c r="E9067" t="s">
        <v>26786</v>
      </c>
      <c r="F9067" t="s">
        <v>32664</v>
      </c>
      <c r="G9067" t="s">
        <v>32671</v>
      </c>
      <c r="H9067" t="s">
        <v>12635</v>
      </c>
      <c r="I9067" t="s">
        <v>6168</v>
      </c>
      <c r="J9067" t="s">
        <v>32842</v>
      </c>
      <c r="K9067" t="s">
        <v>42289</v>
      </c>
      <c r="M9067" t="s">
        <v>44288</v>
      </c>
      <c r="N9067" t="s">
        <v>46569</v>
      </c>
      <c r="O9067" t="s">
        <v>46570</v>
      </c>
      <c r="P9067">
        <v>0</v>
      </c>
      <c r="Q9067">
        <v>3</v>
      </c>
      <c r="R9067" t="s">
        <v>46577</v>
      </c>
      <c r="S9067" t="s">
        <v>46808</v>
      </c>
      <c r="T9067" t="s">
        <v>48287</v>
      </c>
      <c r="U9067" t="s">
        <v>56131</v>
      </c>
      <c r="V9067" t="s">
        <v>62553</v>
      </c>
      <c r="W9067" t="s">
        <v>44288</v>
      </c>
      <c r="X9067" t="s">
        <v>46579</v>
      </c>
    </row>
    <row r="9068" spans="1:24">
      <c r="A9068">
        <f>HYPERLINK("https://www.philgeps.gov.ph/GEPSNONPILOT/Tender/SplashBidNoticeAbstractUI.aspx?menuIndex=3&amp;refID=7052181&amp;Result=3","7052181")</f>
        <v>0</v>
      </c>
      <c r="B9068" t="s">
        <v>683</v>
      </c>
      <c r="C9068" t="s">
        <v>12135</v>
      </c>
      <c r="E9068" t="s">
        <v>26787</v>
      </c>
      <c r="F9068" t="s">
        <v>32664</v>
      </c>
      <c r="G9068" t="s">
        <v>32672</v>
      </c>
      <c r="H9068" t="s">
        <v>32683</v>
      </c>
      <c r="I9068" t="s">
        <v>10627</v>
      </c>
      <c r="J9068" t="s">
        <v>38318</v>
      </c>
      <c r="K9068" t="s">
        <v>42311</v>
      </c>
      <c r="M9068" t="s">
        <v>43270</v>
      </c>
      <c r="N9068" t="s">
        <v>46569</v>
      </c>
      <c r="O9068" t="s">
        <v>46570</v>
      </c>
      <c r="P9068">
        <v>0</v>
      </c>
      <c r="Q9068">
        <v>0</v>
      </c>
      <c r="R9068" t="s">
        <v>46577</v>
      </c>
      <c r="S9068" t="s">
        <v>46808</v>
      </c>
      <c r="T9068" t="s">
        <v>48317</v>
      </c>
      <c r="U9068" t="s">
        <v>56132</v>
      </c>
      <c r="W9068" t="s">
        <v>43270</v>
      </c>
      <c r="X9068" t="s">
        <v>46579</v>
      </c>
    </row>
    <row r="9069" spans="1:24">
      <c r="A9069">
        <f>HYPERLINK("https://www.philgeps.gov.ph/GEPSNONPILOT/Tender/SplashBidNoticeAbstractUI.aspx?menuIndex=3&amp;refID=7052103&amp;Result=3","7052103")</f>
        <v>0</v>
      </c>
      <c r="B9069" t="s">
        <v>683</v>
      </c>
      <c r="C9069" t="s">
        <v>12136</v>
      </c>
      <c r="E9069" t="s">
        <v>26788</v>
      </c>
      <c r="F9069" t="s">
        <v>32664</v>
      </c>
      <c r="G9069" t="s">
        <v>32672</v>
      </c>
      <c r="H9069" t="s">
        <v>32683</v>
      </c>
      <c r="I9069" t="s">
        <v>10627</v>
      </c>
      <c r="J9069" t="s">
        <v>33761</v>
      </c>
      <c r="K9069" t="s">
        <v>42397</v>
      </c>
      <c r="M9069" t="s">
        <v>43270</v>
      </c>
      <c r="N9069" t="s">
        <v>46569</v>
      </c>
      <c r="O9069" t="s">
        <v>46570</v>
      </c>
      <c r="P9069">
        <v>0</v>
      </c>
      <c r="Q9069">
        <v>1</v>
      </c>
      <c r="R9069" t="s">
        <v>46577</v>
      </c>
      <c r="S9069" t="s">
        <v>46808</v>
      </c>
      <c r="T9069" t="s">
        <v>48317</v>
      </c>
      <c r="U9069" t="s">
        <v>56133</v>
      </c>
      <c r="W9069" t="s">
        <v>43270</v>
      </c>
      <c r="X9069" t="s">
        <v>46579</v>
      </c>
    </row>
    <row r="9070" spans="1:24">
      <c r="A9070">
        <f>HYPERLINK("https://www.philgeps.gov.ph/GEPSNONPILOT/Tender/SplashBidNoticeAbstractUI.aspx?menuIndex=3&amp;refID=7052262&amp;Result=3","7052262")</f>
        <v>0</v>
      </c>
      <c r="B9070" t="s">
        <v>2606</v>
      </c>
      <c r="C9070" t="s">
        <v>12137</v>
      </c>
      <c r="D9070" t="s">
        <v>18844</v>
      </c>
      <c r="E9070" t="s">
        <v>26789</v>
      </c>
      <c r="F9070" t="s">
        <v>32664</v>
      </c>
      <c r="G9070" t="s">
        <v>32672</v>
      </c>
      <c r="H9070" t="s">
        <v>32683</v>
      </c>
      <c r="I9070" t="s">
        <v>10627</v>
      </c>
      <c r="J9070" t="s">
        <v>38319</v>
      </c>
      <c r="K9070" t="s">
        <v>42395</v>
      </c>
      <c r="M9070" t="s">
        <v>45423</v>
      </c>
      <c r="N9070" t="s">
        <v>46569</v>
      </c>
      <c r="O9070" t="s">
        <v>46570</v>
      </c>
      <c r="P9070">
        <v>0</v>
      </c>
      <c r="Q9070">
        <v>0</v>
      </c>
      <c r="R9070" t="s">
        <v>46577</v>
      </c>
      <c r="S9070" t="s">
        <v>46808</v>
      </c>
      <c r="T9070" t="s">
        <v>48313</v>
      </c>
      <c r="U9070" t="s">
        <v>56134</v>
      </c>
      <c r="W9070" t="s">
        <v>45423</v>
      </c>
      <c r="X9070" t="s">
        <v>46579</v>
      </c>
    </row>
    <row r="9071" spans="1:24">
      <c r="A9071">
        <f>HYPERLINK("https://www.philgeps.gov.ph/GEPSNONPILOT/Tender/SplashBidNoticeAbstractUI.aspx?menuIndex=3&amp;refID=7052142&amp;Result=3","7052142")</f>
        <v>0</v>
      </c>
      <c r="B9071" t="s">
        <v>884</v>
      </c>
      <c r="C9071" t="s">
        <v>12138</v>
      </c>
      <c r="D9071" t="s">
        <v>18816</v>
      </c>
      <c r="E9071" t="s">
        <v>26790</v>
      </c>
      <c r="F9071" t="s">
        <v>32664</v>
      </c>
      <c r="G9071" t="s">
        <v>32672</v>
      </c>
      <c r="H9071" t="s">
        <v>12635</v>
      </c>
      <c r="I9071" t="s">
        <v>11464</v>
      </c>
      <c r="J9071" t="s">
        <v>32982</v>
      </c>
      <c r="K9071" t="s">
        <v>42281</v>
      </c>
      <c r="M9071" t="s">
        <v>43485</v>
      </c>
      <c r="N9071" t="s">
        <v>46569</v>
      </c>
      <c r="O9071" t="s">
        <v>46570</v>
      </c>
      <c r="P9071">
        <v>0</v>
      </c>
      <c r="Q9071">
        <v>3</v>
      </c>
      <c r="R9071" t="s">
        <v>46577</v>
      </c>
      <c r="S9071" t="s">
        <v>46808</v>
      </c>
      <c r="T9071" t="s">
        <v>48405</v>
      </c>
      <c r="U9071" t="s">
        <v>56135</v>
      </c>
      <c r="W9071" t="s">
        <v>43485</v>
      </c>
      <c r="X9071" t="s">
        <v>46579</v>
      </c>
    </row>
    <row r="9072" spans="1:24">
      <c r="A9072">
        <f>HYPERLINK("https://www.philgeps.gov.ph/GEPSNONPILOT/Tender/SplashBidNoticeAbstractUI.aspx?menuIndex=3&amp;refID=7052159&amp;Result=3","7052159")</f>
        <v>0</v>
      </c>
      <c r="B9072" t="s">
        <v>2060</v>
      </c>
      <c r="C9072" t="s">
        <v>12139</v>
      </c>
      <c r="D9072" t="s">
        <v>18819</v>
      </c>
      <c r="E9072" t="s">
        <v>26791</v>
      </c>
      <c r="F9072" t="s">
        <v>32664</v>
      </c>
      <c r="G9072" t="s">
        <v>32672</v>
      </c>
      <c r="H9072" t="s">
        <v>32683</v>
      </c>
      <c r="I9072" t="s">
        <v>10627</v>
      </c>
      <c r="J9072" t="s">
        <v>38320</v>
      </c>
      <c r="K9072" t="s">
        <v>42290</v>
      </c>
      <c r="M9072" t="s">
        <v>44809</v>
      </c>
      <c r="N9072" t="s">
        <v>46569</v>
      </c>
      <c r="O9072" t="s">
        <v>46570</v>
      </c>
      <c r="P9072">
        <v>0</v>
      </c>
      <c r="Q9072">
        <v>0</v>
      </c>
      <c r="R9072" t="s">
        <v>46577</v>
      </c>
      <c r="S9072" t="s">
        <v>46808</v>
      </c>
      <c r="T9072" t="s">
        <v>48375</v>
      </c>
      <c r="U9072" t="s">
        <v>56136</v>
      </c>
      <c r="W9072" t="s">
        <v>44809</v>
      </c>
      <c r="X9072" t="s">
        <v>46579</v>
      </c>
    </row>
    <row r="9073" spans="1:24">
      <c r="A9073">
        <f>HYPERLINK("https://www.philgeps.gov.ph/GEPSNONPILOT/Tender/SplashBidNoticeAbstractUI.aspx?menuIndex=3&amp;refID=7052127&amp;Result=3","7052127")</f>
        <v>0</v>
      </c>
      <c r="B9073" t="s">
        <v>1609</v>
      </c>
      <c r="C9073" t="s">
        <v>12140</v>
      </c>
      <c r="D9073" t="s">
        <v>18782</v>
      </c>
      <c r="E9073" t="s">
        <v>26792</v>
      </c>
      <c r="F9073" t="s">
        <v>32664</v>
      </c>
      <c r="G9073" t="s">
        <v>32671</v>
      </c>
      <c r="H9073" t="s">
        <v>12635</v>
      </c>
      <c r="I9073" t="s">
        <v>8797</v>
      </c>
      <c r="J9073" t="s">
        <v>33279</v>
      </c>
      <c r="K9073" t="s">
        <v>42281</v>
      </c>
      <c r="M9073" t="s">
        <v>44288</v>
      </c>
      <c r="N9073" t="s">
        <v>46569</v>
      </c>
      <c r="O9073" t="s">
        <v>46570</v>
      </c>
      <c r="P9073">
        <v>0</v>
      </c>
      <c r="Q9073">
        <v>6</v>
      </c>
      <c r="R9073" t="s">
        <v>46577</v>
      </c>
      <c r="S9073" t="s">
        <v>46808</v>
      </c>
      <c r="T9073" t="s">
        <v>48287</v>
      </c>
      <c r="U9073" t="s">
        <v>56137</v>
      </c>
      <c r="V9073" t="s">
        <v>62553</v>
      </c>
      <c r="W9073" t="s">
        <v>44288</v>
      </c>
      <c r="X9073" t="s">
        <v>46579</v>
      </c>
    </row>
    <row r="9074" spans="1:24">
      <c r="A9074">
        <f>HYPERLINK("https://www.philgeps.gov.ph/GEPSNONPILOT/Tender/SplashBidNoticeAbstractUI.aspx?menuIndex=3&amp;refID=7052243&amp;Result=3","7052243")</f>
        <v>0</v>
      </c>
      <c r="B9074" t="s">
        <v>1028</v>
      </c>
      <c r="C9074" t="s">
        <v>12141</v>
      </c>
      <c r="D9074" t="s">
        <v>18805</v>
      </c>
      <c r="E9074" t="s">
        <v>26793</v>
      </c>
      <c r="F9074" t="s">
        <v>32664</v>
      </c>
      <c r="G9074" t="s">
        <v>32672</v>
      </c>
      <c r="H9074" t="s">
        <v>12635</v>
      </c>
      <c r="I9074" t="s">
        <v>10590</v>
      </c>
      <c r="J9074" t="s">
        <v>38321</v>
      </c>
      <c r="K9074" t="s">
        <v>42303</v>
      </c>
      <c r="M9074" t="s">
        <v>43640</v>
      </c>
      <c r="N9074" t="s">
        <v>46569</v>
      </c>
      <c r="O9074" t="s">
        <v>46570</v>
      </c>
      <c r="P9074">
        <v>0</v>
      </c>
      <c r="Q9074">
        <v>1</v>
      </c>
      <c r="R9074" t="s">
        <v>46577</v>
      </c>
      <c r="S9074" t="s">
        <v>46808</v>
      </c>
      <c r="T9074" t="s">
        <v>48334</v>
      </c>
      <c r="U9074" t="s">
        <v>56138</v>
      </c>
      <c r="W9074" t="s">
        <v>63503</v>
      </c>
      <c r="X9074" t="s">
        <v>46579</v>
      </c>
    </row>
    <row r="9075" spans="1:24">
      <c r="A9075">
        <f>HYPERLINK("https://www.philgeps.gov.ph/GEPSNONPILOT/Tender/SplashBidNoticeAbstractUI.aspx?menuIndex=3&amp;refID=7052227&amp;Result=3","7052227")</f>
        <v>0</v>
      </c>
      <c r="B9075" t="s">
        <v>460</v>
      </c>
      <c r="C9075" t="s">
        <v>12142</v>
      </c>
      <c r="D9075" t="s">
        <v>18806</v>
      </c>
      <c r="E9075" t="s">
        <v>26794</v>
      </c>
      <c r="F9075" t="s">
        <v>32664</v>
      </c>
      <c r="G9075" t="s">
        <v>32672</v>
      </c>
      <c r="H9075" t="s">
        <v>12635</v>
      </c>
      <c r="I9075" t="s">
        <v>4439</v>
      </c>
      <c r="J9075" t="s">
        <v>38322</v>
      </c>
      <c r="K9075" t="s">
        <v>42309</v>
      </c>
      <c r="M9075" t="s">
        <v>43033</v>
      </c>
      <c r="N9075" t="s">
        <v>46569</v>
      </c>
      <c r="O9075" t="s">
        <v>46570</v>
      </c>
      <c r="P9075">
        <v>0</v>
      </c>
      <c r="Q9075">
        <v>0</v>
      </c>
      <c r="R9075" t="s">
        <v>46577</v>
      </c>
      <c r="S9075" t="s">
        <v>46808</v>
      </c>
      <c r="T9075" t="s">
        <v>48384</v>
      </c>
      <c r="U9075" t="s">
        <v>56139</v>
      </c>
      <c r="V9075" t="s">
        <v>61891</v>
      </c>
      <c r="W9075" t="s">
        <v>43033</v>
      </c>
      <c r="X9075" t="s">
        <v>46579</v>
      </c>
    </row>
    <row r="9076" spans="1:24">
      <c r="A9076">
        <f>HYPERLINK("https://www.philgeps.gov.ph/GEPSNONPILOT/Tender/SplashBidNoticeAbstractUI.aspx?menuIndex=3&amp;refID=7052273&amp;Result=3","7052273")</f>
        <v>0</v>
      </c>
      <c r="B9076" t="s">
        <v>1028</v>
      </c>
      <c r="C9076" t="s">
        <v>12143</v>
      </c>
      <c r="D9076" t="s">
        <v>18805</v>
      </c>
      <c r="E9076" t="s">
        <v>26795</v>
      </c>
      <c r="F9076" t="s">
        <v>32664</v>
      </c>
      <c r="G9076" t="s">
        <v>32672</v>
      </c>
      <c r="H9076" t="s">
        <v>12635</v>
      </c>
      <c r="I9076" t="s">
        <v>4205</v>
      </c>
      <c r="J9076" t="s">
        <v>38323</v>
      </c>
      <c r="K9076" t="s">
        <v>42303</v>
      </c>
      <c r="M9076" t="s">
        <v>43640</v>
      </c>
      <c r="N9076" t="s">
        <v>46569</v>
      </c>
      <c r="O9076" t="s">
        <v>46570</v>
      </c>
      <c r="P9076">
        <v>0</v>
      </c>
      <c r="Q9076">
        <v>1</v>
      </c>
      <c r="R9076" t="s">
        <v>46577</v>
      </c>
      <c r="S9076" t="s">
        <v>46808</v>
      </c>
      <c r="T9076" t="s">
        <v>48334</v>
      </c>
      <c r="U9076" t="s">
        <v>56138</v>
      </c>
      <c r="W9076" t="s">
        <v>63503</v>
      </c>
      <c r="X9076" t="s">
        <v>46579</v>
      </c>
    </row>
    <row r="9077" spans="1:24">
      <c r="A9077">
        <f>HYPERLINK("https://www.philgeps.gov.ph/GEPSNONPILOT/Tender/SplashBidNoticeAbstractUI.aspx?menuIndex=3&amp;refID=7052247&amp;Result=3","7052247")</f>
        <v>0</v>
      </c>
      <c r="B9077" t="s">
        <v>460</v>
      </c>
      <c r="C9077" t="s">
        <v>12144</v>
      </c>
      <c r="D9077" t="s">
        <v>18806</v>
      </c>
      <c r="E9077" t="s">
        <v>26796</v>
      </c>
      <c r="F9077" t="s">
        <v>32664</v>
      </c>
      <c r="G9077" t="s">
        <v>32672</v>
      </c>
      <c r="H9077" t="s">
        <v>12635</v>
      </c>
      <c r="I9077" t="s">
        <v>6168</v>
      </c>
      <c r="J9077" t="s">
        <v>38324</v>
      </c>
      <c r="K9077" t="s">
        <v>42330</v>
      </c>
      <c r="M9077" t="s">
        <v>43033</v>
      </c>
      <c r="N9077" t="s">
        <v>46569</v>
      </c>
      <c r="O9077" t="s">
        <v>46570</v>
      </c>
      <c r="P9077">
        <v>0</v>
      </c>
      <c r="Q9077">
        <v>0</v>
      </c>
      <c r="R9077" t="s">
        <v>46577</v>
      </c>
      <c r="S9077" t="s">
        <v>46808</v>
      </c>
      <c r="T9077" t="s">
        <v>48307</v>
      </c>
      <c r="U9077" t="s">
        <v>56140</v>
      </c>
      <c r="V9077" t="s">
        <v>61891</v>
      </c>
      <c r="W9077" t="s">
        <v>43033</v>
      </c>
      <c r="X9077" t="s">
        <v>46579</v>
      </c>
    </row>
    <row r="9078" spans="1:24">
      <c r="A9078">
        <f>HYPERLINK("https://www.philgeps.gov.ph/GEPSNONPILOT/Tender/SplashBidNoticeAbstractUI.aspx?menuIndex=3&amp;refID=7052221&amp;Result=3","7052221")</f>
        <v>0</v>
      </c>
      <c r="B9078" t="s">
        <v>683</v>
      </c>
      <c r="C9078" t="s">
        <v>12145</v>
      </c>
      <c r="E9078" t="s">
        <v>26797</v>
      </c>
      <c r="F9078" t="s">
        <v>32664</v>
      </c>
      <c r="G9078" t="s">
        <v>32672</v>
      </c>
      <c r="H9078" t="s">
        <v>32683</v>
      </c>
      <c r="I9078" t="s">
        <v>10627</v>
      </c>
      <c r="J9078" t="s">
        <v>38325</v>
      </c>
      <c r="K9078" t="s">
        <v>42285</v>
      </c>
      <c r="M9078" t="s">
        <v>43270</v>
      </c>
      <c r="N9078" t="s">
        <v>46569</v>
      </c>
      <c r="O9078" t="s">
        <v>46570</v>
      </c>
      <c r="P9078">
        <v>0</v>
      </c>
      <c r="Q9078">
        <v>0</v>
      </c>
      <c r="R9078" t="s">
        <v>46577</v>
      </c>
      <c r="S9078" t="s">
        <v>46808</v>
      </c>
      <c r="T9078" t="s">
        <v>48317</v>
      </c>
      <c r="U9078" t="s">
        <v>56141</v>
      </c>
      <c r="W9078" t="s">
        <v>43270</v>
      </c>
      <c r="X9078" t="s">
        <v>46579</v>
      </c>
    </row>
    <row r="9079" spans="1:24">
      <c r="A9079">
        <f>HYPERLINK("https://www.philgeps.gov.ph/GEPSNONPILOT/Tender/SplashBidNoticeAbstractUI.aspx?menuIndex=3&amp;refID=7052674&amp;Result=3","7052674")</f>
        <v>0</v>
      </c>
      <c r="B9079" t="s">
        <v>2577</v>
      </c>
      <c r="C9079" t="s">
        <v>12146</v>
      </c>
      <c r="D9079" t="s">
        <v>18826</v>
      </c>
      <c r="E9079" t="s">
        <v>26798</v>
      </c>
      <c r="F9079" t="s">
        <v>32664</v>
      </c>
      <c r="G9079" t="s">
        <v>32671</v>
      </c>
      <c r="H9079" t="s">
        <v>12635</v>
      </c>
      <c r="I9079" t="s">
        <v>4205</v>
      </c>
      <c r="J9079" t="s">
        <v>32898</v>
      </c>
      <c r="K9079" t="s">
        <v>42284</v>
      </c>
      <c r="M9079" t="s">
        <v>45389</v>
      </c>
      <c r="N9079" t="s">
        <v>46569</v>
      </c>
      <c r="O9079" t="s">
        <v>46570</v>
      </c>
      <c r="P9079">
        <v>0</v>
      </c>
      <c r="Q9079">
        <v>1</v>
      </c>
      <c r="R9079" t="s">
        <v>46577</v>
      </c>
      <c r="S9079" t="s">
        <v>46808</v>
      </c>
      <c r="T9079" t="s">
        <v>48473</v>
      </c>
      <c r="U9079" t="s">
        <v>56142</v>
      </c>
      <c r="V9079" t="s">
        <v>62548</v>
      </c>
      <c r="W9079" t="s">
        <v>45389</v>
      </c>
      <c r="X9079" t="s">
        <v>46578</v>
      </c>
    </row>
    <row r="9080" spans="1:24">
      <c r="A9080">
        <f>HYPERLINK("https://www.philgeps.gov.ph/GEPSNONPILOT/Tender/SplashBidNoticeAbstractUI.aspx?menuIndex=3&amp;refID=7052671&amp;Result=3","7052671")</f>
        <v>0</v>
      </c>
      <c r="B9080" t="s">
        <v>2577</v>
      </c>
      <c r="C9080" t="s">
        <v>12147</v>
      </c>
      <c r="D9080" t="s">
        <v>18826</v>
      </c>
      <c r="E9080" t="s">
        <v>26799</v>
      </c>
      <c r="F9080" t="s">
        <v>32664</v>
      </c>
      <c r="G9080" t="s">
        <v>32671</v>
      </c>
      <c r="H9080" t="s">
        <v>12635</v>
      </c>
      <c r="I9080" t="s">
        <v>6168</v>
      </c>
      <c r="J9080" t="s">
        <v>38326</v>
      </c>
      <c r="K9080" t="s">
        <v>42284</v>
      </c>
      <c r="M9080" t="s">
        <v>45389</v>
      </c>
      <c r="N9080" t="s">
        <v>46569</v>
      </c>
      <c r="O9080" t="s">
        <v>46570</v>
      </c>
      <c r="P9080">
        <v>0</v>
      </c>
      <c r="Q9080">
        <v>2</v>
      </c>
      <c r="R9080" t="s">
        <v>46577</v>
      </c>
      <c r="S9080" t="s">
        <v>46808</v>
      </c>
      <c r="T9080" t="s">
        <v>48473</v>
      </c>
      <c r="U9080" t="s">
        <v>56143</v>
      </c>
      <c r="W9080" t="s">
        <v>45389</v>
      </c>
      <c r="X9080" t="s">
        <v>46578</v>
      </c>
    </row>
    <row r="9081" spans="1:24">
      <c r="A9081">
        <f>HYPERLINK("https://www.philgeps.gov.ph/GEPSNONPILOT/Tender/SplashBidNoticeAbstractUI.aspx?menuIndex=3&amp;refID=7052685&amp;Result=3","7052685")</f>
        <v>0</v>
      </c>
      <c r="B9081" t="s">
        <v>2607</v>
      </c>
      <c r="C9081" t="s">
        <v>12148</v>
      </c>
      <c r="D9081" t="s">
        <v>18803</v>
      </c>
      <c r="E9081" t="s">
        <v>23458</v>
      </c>
      <c r="F9081" t="s">
        <v>32664</v>
      </c>
      <c r="G9081" t="s">
        <v>32672</v>
      </c>
      <c r="H9081" t="s">
        <v>32683</v>
      </c>
      <c r="I9081" t="s">
        <v>10627</v>
      </c>
      <c r="J9081" t="s">
        <v>33051</v>
      </c>
      <c r="K9081" t="s">
        <v>42283</v>
      </c>
      <c r="M9081" t="s">
        <v>45424</v>
      </c>
      <c r="N9081" t="s">
        <v>46569</v>
      </c>
      <c r="O9081" t="s">
        <v>46570</v>
      </c>
      <c r="P9081">
        <v>0</v>
      </c>
      <c r="Q9081">
        <v>0</v>
      </c>
      <c r="R9081" t="s">
        <v>46577</v>
      </c>
      <c r="S9081" t="s">
        <v>46808</v>
      </c>
      <c r="T9081" t="s">
        <v>48287</v>
      </c>
      <c r="U9081" t="s">
        <v>56144</v>
      </c>
      <c r="W9081" t="s">
        <v>45424</v>
      </c>
      <c r="X9081" t="s">
        <v>46578</v>
      </c>
    </row>
    <row r="9082" spans="1:24">
      <c r="A9082">
        <f>HYPERLINK("https://www.philgeps.gov.ph/GEPSNONPILOT/Tender/SplashBidNoticeAbstractUI.aspx?menuIndex=3&amp;refID=7052676&amp;Result=3","7052676")</f>
        <v>0</v>
      </c>
      <c r="B9082" t="s">
        <v>2608</v>
      </c>
      <c r="C9082" t="s">
        <v>12149</v>
      </c>
      <c r="D9082" t="s">
        <v>18842</v>
      </c>
      <c r="E9082" t="s">
        <v>20901</v>
      </c>
      <c r="F9082" t="s">
        <v>32664</v>
      </c>
      <c r="G9082" t="s">
        <v>32672</v>
      </c>
      <c r="H9082" t="s">
        <v>12635</v>
      </c>
      <c r="I9082" t="s">
        <v>4439</v>
      </c>
      <c r="J9082" t="s">
        <v>38327</v>
      </c>
      <c r="K9082" t="s">
        <v>42281</v>
      </c>
      <c r="M9082" t="s">
        <v>45425</v>
      </c>
      <c r="N9082" t="s">
        <v>46569</v>
      </c>
      <c r="O9082" t="s">
        <v>46570</v>
      </c>
      <c r="P9082">
        <v>0</v>
      </c>
      <c r="Q9082">
        <v>1</v>
      </c>
      <c r="R9082" t="s">
        <v>46577</v>
      </c>
      <c r="S9082" t="s">
        <v>46808</v>
      </c>
      <c r="T9082" t="s">
        <v>48550</v>
      </c>
      <c r="U9082" t="s">
        <v>56145</v>
      </c>
      <c r="W9082" t="s">
        <v>45425</v>
      </c>
      <c r="X9082" t="s">
        <v>46578</v>
      </c>
    </row>
    <row r="9083" spans="1:24">
      <c r="A9083">
        <f>HYPERLINK("https://www.philgeps.gov.ph/GEPSNONPILOT/Tender/SplashBidNoticeAbstractUI.aspx?menuIndex=3&amp;refID=7052125&amp;Result=3","7052125")</f>
        <v>0</v>
      </c>
      <c r="B9083" t="s">
        <v>683</v>
      </c>
      <c r="C9083" t="s">
        <v>12150</v>
      </c>
      <c r="E9083" t="s">
        <v>26800</v>
      </c>
      <c r="F9083" t="s">
        <v>32664</v>
      </c>
      <c r="G9083" t="s">
        <v>32672</v>
      </c>
      <c r="H9083" t="s">
        <v>32683</v>
      </c>
      <c r="I9083" t="s">
        <v>10627</v>
      </c>
      <c r="J9083" t="s">
        <v>38328</v>
      </c>
      <c r="K9083" t="s">
        <v>42311</v>
      </c>
      <c r="M9083" t="s">
        <v>43270</v>
      </c>
      <c r="N9083" t="s">
        <v>46569</v>
      </c>
      <c r="O9083" t="s">
        <v>46570</v>
      </c>
      <c r="P9083">
        <v>0</v>
      </c>
      <c r="Q9083">
        <v>0</v>
      </c>
      <c r="R9083" t="s">
        <v>46577</v>
      </c>
      <c r="S9083" t="s">
        <v>46808</v>
      </c>
      <c r="T9083" t="s">
        <v>48317</v>
      </c>
      <c r="U9083" t="s">
        <v>56146</v>
      </c>
      <c r="W9083" t="s">
        <v>43270</v>
      </c>
      <c r="X9083" t="s">
        <v>46579</v>
      </c>
    </row>
    <row r="9084" spans="1:24">
      <c r="A9084">
        <f>HYPERLINK("https://www.philgeps.gov.ph/GEPSNONPILOT/Tender/SplashBidNoticeAbstractUI.aspx?menuIndex=3&amp;refID=7052678&amp;Result=3","7052678")</f>
        <v>0</v>
      </c>
      <c r="B9084" t="s">
        <v>2608</v>
      </c>
      <c r="C9084" t="s">
        <v>12151</v>
      </c>
      <c r="D9084" t="s">
        <v>18842</v>
      </c>
      <c r="E9084" t="s">
        <v>26801</v>
      </c>
      <c r="F9084" t="s">
        <v>32664</v>
      </c>
      <c r="G9084" t="s">
        <v>32672</v>
      </c>
      <c r="H9084" t="s">
        <v>12635</v>
      </c>
      <c r="I9084" t="s">
        <v>4439</v>
      </c>
      <c r="J9084" t="s">
        <v>38329</v>
      </c>
      <c r="K9084" t="s">
        <v>42281</v>
      </c>
      <c r="M9084" t="s">
        <v>45425</v>
      </c>
      <c r="N9084" t="s">
        <v>46569</v>
      </c>
      <c r="O9084" t="s">
        <v>46570</v>
      </c>
      <c r="P9084">
        <v>0</v>
      </c>
      <c r="Q9084">
        <v>0</v>
      </c>
      <c r="R9084" t="s">
        <v>46577</v>
      </c>
      <c r="S9084" t="s">
        <v>46808</v>
      </c>
      <c r="T9084" t="s">
        <v>48316</v>
      </c>
      <c r="U9084" t="s">
        <v>56147</v>
      </c>
      <c r="W9084" t="s">
        <v>45425</v>
      </c>
      <c r="X9084" t="s">
        <v>46578</v>
      </c>
    </row>
    <row r="9085" spans="1:24">
      <c r="A9085">
        <f>HYPERLINK("https://www.philgeps.gov.ph/GEPSNONPILOT/Tender/SplashBidNoticeAbstractUI.aspx?menuIndex=3&amp;refID=7052246&amp;Result=3","7052246")</f>
        <v>0</v>
      </c>
      <c r="B9085" t="s">
        <v>2606</v>
      </c>
      <c r="C9085" t="s">
        <v>12152</v>
      </c>
      <c r="D9085" t="s">
        <v>18844</v>
      </c>
      <c r="E9085" t="s">
        <v>26802</v>
      </c>
      <c r="F9085" t="s">
        <v>32664</v>
      </c>
      <c r="G9085" t="s">
        <v>32672</v>
      </c>
      <c r="H9085" t="s">
        <v>32683</v>
      </c>
      <c r="I9085" t="s">
        <v>10627</v>
      </c>
      <c r="J9085" t="s">
        <v>38330</v>
      </c>
      <c r="K9085" t="s">
        <v>42483</v>
      </c>
      <c r="M9085" t="s">
        <v>45423</v>
      </c>
      <c r="N9085" t="s">
        <v>46569</v>
      </c>
      <c r="O9085" t="s">
        <v>46570</v>
      </c>
      <c r="P9085">
        <v>0</v>
      </c>
      <c r="Q9085">
        <v>0</v>
      </c>
      <c r="R9085" t="s">
        <v>46577</v>
      </c>
      <c r="S9085" t="s">
        <v>46808</v>
      </c>
      <c r="T9085" t="s">
        <v>48313</v>
      </c>
      <c r="U9085" t="s">
        <v>56148</v>
      </c>
      <c r="W9085" t="s">
        <v>45423</v>
      </c>
      <c r="X9085" t="s">
        <v>46579</v>
      </c>
    </row>
    <row r="9086" spans="1:24">
      <c r="A9086">
        <f>HYPERLINK("https://www.philgeps.gov.ph/GEPSNONPILOT/Tender/SplashBidNoticeAbstractUI.aspx?menuIndex=3&amp;refID=7052669&amp;Result=3","7052669")</f>
        <v>0</v>
      </c>
      <c r="B9086" t="s">
        <v>2609</v>
      </c>
      <c r="C9086" t="s">
        <v>6031</v>
      </c>
      <c r="D9086" t="s">
        <v>18784</v>
      </c>
      <c r="E9086" t="s">
        <v>26803</v>
      </c>
      <c r="F9086" t="s">
        <v>32664</v>
      </c>
      <c r="G9086" t="s">
        <v>32671</v>
      </c>
      <c r="H9086" t="s">
        <v>12635</v>
      </c>
      <c r="I9086" t="s">
        <v>6223</v>
      </c>
      <c r="J9086" t="s">
        <v>33299</v>
      </c>
      <c r="K9086" t="s">
        <v>42295</v>
      </c>
      <c r="M9086" t="s">
        <v>45426</v>
      </c>
      <c r="N9086" t="s">
        <v>46569</v>
      </c>
      <c r="O9086" t="s">
        <v>46570</v>
      </c>
      <c r="P9086">
        <v>0</v>
      </c>
      <c r="Q9086">
        <v>5</v>
      </c>
      <c r="R9086" t="s">
        <v>46577</v>
      </c>
      <c r="S9086" t="s">
        <v>46808</v>
      </c>
      <c r="T9086" t="s">
        <v>48290</v>
      </c>
      <c r="U9086" t="s">
        <v>56149</v>
      </c>
      <c r="V9086" t="s">
        <v>62554</v>
      </c>
      <c r="W9086" t="s">
        <v>45426</v>
      </c>
      <c r="X9086" t="s">
        <v>46578</v>
      </c>
    </row>
    <row r="9087" spans="1:24">
      <c r="A9087">
        <f>HYPERLINK("https://www.philgeps.gov.ph/GEPSNONPILOT/Tender/SplashBidNoticeAbstractUI.aspx?menuIndex=3&amp;refID=7052675&amp;Result=3","7052675")</f>
        <v>0</v>
      </c>
      <c r="B9087" t="s">
        <v>952</v>
      </c>
      <c r="C9087" t="s">
        <v>12153</v>
      </c>
      <c r="D9087" t="s">
        <v>18786</v>
      </c>
      <c r="E9087" t="s">
        <v>26804</v>
      </c>
      <c r="F9087" t="s">
        <v>32664</v>
      </c>
      <c r="G9087" t="s">
        <v>32672</v>
      </c>
      <c r="H9087" t="s">
        <v>12635</v>
      </c>
      <c r="I9087" t="s">
        <v>32741</v>
      </c>
      <c r="J9087" t="s">
        <v>33128</v>
      </c>
      <c r="K9087" t="s">
        <v>42281</v>
      </c>
      <c r="M9087" t="s">
        <v>43558</v>
      </c>
      <c r="N9087" t="s">
        <v>46569</v>
      </c>
      <c r="O9087" t="s">
        <v>46570</v>
      </c>
      <c r="P9087">
        <v>0</v>
      </c>
      <c r="Q9087">
        <v>2</v>
      </c>
      <c r="R9087" t="s">
        <v>46577</v>
      </c>
      <c r="S9087" t="s">
        <v>46808</v>
      </c>
      <c r="T9087" t="s">
        <v>48221</v>
      </c>
      <c r="U9087" t="s">
        <v>56150</v>
      </c>
      <c r="V9087" t="s">
        <v>62555</v>
      </c>
      <c r="W9087" t="s">
        <v>43558</v>
      </c>
      <c r="X9087" t="s">
        <v>46578</v>
      </c>
    </row>
    <row r="9088" spans="1:24">
      <c r="A9088">
        <f>HYPERLINK("https://www.philgeps.gov.ph/GEPSNONPILOT/Tender/SplashBidNoticeAbstractUI.aspx?menuIndex=3&amp;refID=7052506&amp;Result=3","7052506")</f>
        <v>0</v>
      </c>
      <c r="B9088" t="s">
        <v>2610</v>
      </c>
      <c r="C9088" t="s">
        <v>12154</v>
      </c>
      <c r="D9088" t="s">
        <v>18784</v>
      </c>
      <c r="E9088" t="s">
        <v>25674</v>
      </c>
      <c r="F9088" t="s">
        <v>32664</v>
      </c>
      <c r="G9088" t="s">
        <v>32672</v>
      </c>
      <c r="H9088" t="s">
        <v>12635</v>
      </c>
      <c r="I9088" t="s">
        <v>6628</v>
      </c>
      <c r="J9088" t="s">
        <v>32865</v>
      </c>
      <c r="K9088" t="s">
        <v>42281</v>
      </c>
      <c r="M9088" t="s">
        <v>45427</v>
      </c>
      <c r="N9088" t="s">
        <v>46569</v>
      </c>
      <c r="O9088" t="s">
        <v>46570</v>
      </c>
      <c r="P9088">
        <v>0</v>
      </c>
      <c r="Q9088">
        <v>4</v>
      </c>
      <c r="R9088" t="s">
        <v>46577</v>
      </c>
      <c r="S9088" t="s">
        <v>46808</v>
      </c>
      <c r="T9088" t="s">
        <v>48283</v>
      </c>
      <c r="U9088" t="s">
        <v>56151</v>
      </c>
      <c r="W9088" t="s">
        <v>45427</v>
      </c>
      <c r="X9088" t="s">
        <v>46579</v>
      </c>
    </row>
    <row r="9089" spans="1:24">
      <c r="A9089">
        <f>HYPERLINK("https://www.philgeps.gov.ph/GEPSNONPILOT/Tender/SplashBidNoticeAbstractUI.aspx?menuIndex=3&amp;refID=7052683&amp;Result=3","7052683")</f>
        <v>0</v>
      </c>
      <c r="B9089" t="s">
        <v>2611</v>
      </c>
      <c r="C9089" t="s">
        <v>12155</v>
      </c>
      <c r="D9089" t="s">
        <v>18799</v>
      </c>
      <c r="E9089" t="s">
        <v>26805</v>
      </c>
      <c r="F9089" t="s">
        <v>32664</v>
      </c>
      <c r="G9089" t="s">
        <v>32672</v>
      </c>
      <c r="H9089" t="s">
        <v>12635</v>
      </c>
      <c r="I9089" t="s">
        <v>32689</v>
      </c>
      <c r="J9089" t="s">
        <v>32830</v>
      </c>
      <c r="K9089" t="s">
        <v>42289</v>
      </c>
      <c r="M9089" t="s">
        <v>45428</v>
      </c>
      <c r="N9089" t="s">
        <v>46569</v>
      </c>
      <c r="O9089" t="s">
        <v>46570</v>
      </c>
      <c r="P9089">
        <v>0</v>
      </c>
      <c r="Q9089">
        <v>2</v>
      </c>
      <c r="R9089" t="s">
        <v>46577</v>
      </c>
      <c r="S9089" t="s">
        <v>46808</v>
      </c>
      <c r="T9089" t="s">
        <v>48314</v>
      </c>
      <c r="U9089" t="s">
        <v>56152</v>
      </c>
      <c r="W9089" t="s">
        <v>45428</v>
      </c>
      <c r="X9089" t="s">
        <v>46578</v>
      </c>
    </row>
    <row r="9090" spans="1:24">
      <c r="A9090">
        <f>HYPERLINK("https://www.philgeps.gov.ph/GEPSNONPILOT/Tender/SplashBidNoticeAbstractUI.aspx?menuIndex=3&amp;refID=7052298&amp;Result=3","7052298")</f>
        <v>0</v>
      </c>
      <c r="B9090" t="s">
        <v>2606</v>
      </c>
      <c r="C9090" t="s">
        <v>12156</v>
      </c>
      <c r="D9090" t="s">
        <v>18844</v>
      </c>
      <c r="E9090" t="s">
        <v>26806</v>
      </c>
      <c r="F9090" t="s">
        <v>32664</v>
      </c>
      <c r="G9090" t="s">
        <v>32672</v>
      </c>
      <c r="H9090" t="s">
        <v>32683</v>
      </c>
      <c r="I9090" t="s">
        <v>10627</v>
      </c>
      <c r="J9090" t="s">
        <v>38331</v>
      </c>
      <c r="K9090" t="s">
        <v>42344</v>
      </c>
      <c r="M9090" t="s">
        <v>45423</v>
      </c>
      <c r="N9090" t="s">
        <v>46569</v>
      </c>
      <c r="O9090" t="s">
        <v>46570</v>
      </c>
      <c r="P9090">
        <v>0</v>
      </c>
      <c r="Q9090">
        <v>0</v>
      </c>
      <c r="R9090" t="s">
        <v>46577</v>
      </c>
      <c r="S9090" t="s">
        <v>46808</v>
      </c>
      <c r="T9090" t="s">
        <v>48287</v>
      </c>
      <c r="U9090" t="s">
        <v>56153</v>
      </c>
      <c r="W9090" t="s">
        <v>45423</v>
      </c>
      <c r="X9090" t="s">
        <v>46579</v>
      </c>
    </row>
    <row r="9091" spans="1:24">
      <c r="A9091">
        <f>HYPERLINK("https://www.philgeps.gov.ph/GEPSNONPILOT/Tender/SplashBidNoticeAbstractUI.aspx?menuIndex=3&amp;refID=7052226&amp;Result=3","7052226")</f>
        <v>0</v>
      </c>
      <c r="B9091" t="s">
        <v>2606</v>
      </c>
      <c r="C9091" t="s">
        <v>12157</v>
      </c>
      <c r="D9091" t="s">
        <v>18844</v>
      </c>
      <c r="E9091" t="s">
        <v>26807</v>
      </c>
      <c r="F9091" t="s">
        <v>32664</v>
      </c>
      <c r="G9091" t="s">
        <v>32672</v>
      </c>
      <c r="H9091" t="s">
        <v>32683</v>
      </c>
      <c r="I9091" t="s">
        <v>10627</v>
      </c>
      <c r="J9091" t="s">
        <v>38332</v>
      </c>
      <c r="K9091" t="s">
        <v>42484</v>
      </c>
      <c r="M9091" t="s">
        <v>45423</v>
      </c>
      <c r="N9091" t="s">
        <v>46569</v>
      </c>
      <c r="O9091" t="s">
        <v>46570</v>
      </c>
      <c r="P9091">
        <v>0</v>
      </c>
      <c r="Q9091">
        <v>1</v>
      </c>
      <c r="R9091" t="s">
        <v>46577</v>
      </c>
      <c r="S9091" t="s">
        <v>46808</v>
      </c>
      <c r="T9091" t="s">
        <v>48313</v>
      </c>
      <c r="U9091" t="s">
        <v>56154</v>
      </c>
      <c r="W9091" t="s">
        <v>45423</v>
      </c>
      <c r="X9091" t="s">
        <v>46579</v>
      </c>
    </row>
    <row r="9092" spans="1:24">
      <c r="A9092">
        <f>HYPERLINK("https://www.philgeps.gov.ph/GEPSNONPILOT/Tender/SplashBidNoticeAbstractUI.aspx?menuIndex=3&amp;refID=7052284&amp;Result=3","7052284")</f>
        <v>0</v>
      </c>
      <c r="B9092" t="s">
        <v>2606</v>
      </c>
      <c r="C9092" t="s">
        <v>12158</v>
      </c>
      <c r="D9092" t="s">
        <v>18844</v>
      </c>
      <c r="E9092" t="s">
        <v>26808</v>
      </c>
      <c r="F9092" t="s">
        <v>32664</v>
      </c>
      <c r="G9092" t="s">
        <v>32672</v>
      </c>
      <c r="H9092" t="s">
        <v>32683</v>
      </c>
      <c r="I9092" t="s">
        <v>10627</v>
      </c>
      <c r="J9092" t="s">
        <v>38333</v>
      </c>
      <c r="K9092" t="s">
        <v>42413</v>
      </c>
      <c r="M9092" t="s">
        <v>45423</v>
      </c>
      <c r="N9092" t="s">
        <v>46569</v>
      </c>
      <c r="O9092" t="s">
        <v>46570</v>
      </c>
      <c r="P9092">
        <v>0</v>
      </c>
      <c r="Q9092">
        <v>0</v>
      </c>
      <c r="R9092" t="s">
        <v>46577</v>
      </c>
      <c r="S9092" t="s">
        <v>46808</v>
      </c>
      <c r="T9092" t="s">
        <v>48313</v>
      </c>
      <c r="U9092" t="s">
        <v>56155</v>
      </c>
      <c r="W9092" t="s">
        <v>45423</v>
      </c>
      <c r="X9092" t="s">
        <v>46579</v>
      </c>
    </row>
    <row r="9093" spans="1:24">
      <c r="A9093">
        <f>HYPERLINK("https://www.philgeps.gov.ph/GEPSNONPILOT/Tender/SplashBidNoticeAbstractUI.aspx?menuIndex=3&amp;refID=7052667&amp;Result=3","7052667")</f>
        <v>0</v>
      </c>
      <c r="B9093" t="s">
        <v>1660</v>
      </c>
      <c r="C9093" t="s">
        <v>12159</v>
      </c>
      <c r="D9093" t="s">
        <v>18783</v>
      </c>
      <c r="E9093" t="s">
        <v>26809</v>
      </c>
      <c r="F9093" t="s">
        <v>32664</v>
      </c>
      <c r="G9093" t="s">
        <v>32672</v>
      </c>
      <c r="H9093" t="s">
        <v>12635</v>
      </c>
      <c r="I9093" t="s">
        <v>4439</v>
      </c>
      <c r="J9093" t="s">
        <v>38334</v>
      </c>
      <c r="K9093" t="s">
        <v>42281</v>
      </c>
      <c r="M9093" t="s">
        <v>44345</v>
      </c>
      <c r="N9093" t="s">
        <v>46569</v>
      </c>
      <c r="O9093" t="s">
        <v>46570</v>
      </c>
      <c r="P9093">
        <v>0</v>
      </c>
      <c r="Q9093">
        <v>0</v>
      </c>
      <c r="R9093" t="s">
        <v>46577</v>
      </c>
      <c r="S9093" t="s">
        <v>46808</v>
      </c>
      <c r="T9093" t="s">
        <v>48571</v>
      </c>
      <c r="U9093" t="s">
        <v>56156</v>
      </c>
      <c r="W9093" t="s">
        <v>44347</v>
      </c>
      <c r="X9093" t="s">
        <v>46579</v>
      </c>
    </row>
    <row r="9094" spans="1:24">
      <c r="A9094">
        <f>HYPERLINK("https://www.philgeps.gov.ph/GEPSNONPILOT/Tender/SplashBidNoticeAbstractUI.aspx?menuIndex=3&amp;refID=7052687&amp;Result=3","7052687")</f>
        <v>0</v>
      </c>
      <c r="B9094" t="s">
        <v>2607</v>
      </c>
      <c r="C9094" t="s">
        <v>12148</v>
      </c>
      <c r="D9094" t="s">
        <v>18803</v>
      </c>
      <c r="E9094" t="s">
        <v>25333</v>
      </c>
      <c r="F9094" t="s">
        <v>32664</v>
      </c>
      <c r="G9094" t="s">
        <v>32672</v>
      </c>
      <c r="H9094" t="s">
        <v>32683</v>
      </c>
      <c r="I9094" t="s">
        <v>10627</v>
      </c>
      <c r="J9094" t="s">
        <v>32898</v>
      </c>
      <c r="K9094" t="s">
        <v>42283</v>
      </c>
      <c r="M9094" t="s">
        <v>45424</v>
      </c>
      <c r="N9094" t="s">
        <v>46569</v>
      </c>
      <c r="O9094" t="s">
        <v>46570</v>
      </c>
      <c r="P9094">
        <v>0</v>
      </c>
      <c r="Q9094">
        <v>0</v>
      </c>
      <c r="R9094" t="s">
        <v>46577</v>
      </c>
      <c r="S9094" t="s">
        <v>46808</v>
      </c>
      <c r="T9094" t="s">
        <v>48287</v>
      </c>
      <c r="U9094" t="s">
        <v>56157</v>
      </c>
      <c r="W9094" t="s">
        <v>45424</v>
      </c>
      <c r="X9094" t="s">
        <v>46578</v>
      </c>
    </row>
    <row r="9095" spans="1:24">
      <c r="A9095">
        <f>HYPERLINK("https://www.philgeps.gov.ph/GEPSNONPILOT/Tender/SplashBidNoticeAbstractUI.aspx?menuIndex=3&amp;refID=7051509&amp;Result=3","7051509")</f>
        <v>0</v>
      </c>
      <c r="B9095" t="s">
        <v>1007</v>
      </c>
      <c r="C9095" t="s">
        <v>12160</v>
      </c>
      <c r="D9095" t="s">
        <v>18812</v>
      </c>
      <c r="E9095" t="s">
        <v>26810</v>
      </c>
      <c r="F9095" t="s">
        <v>32664</v>
      </c>
      <c r="G9095" t="s">
        <v>32672</v>
      </c>
      <c r="H9095" t="s">
        <v>32683</v>
      </c>
      <c r="I9095" t="s">
        <v>10627</v>
      </c>
      <c r="J9095" t="s">
        <v>38335</v>
      </c>
      <c r="K9095" t="s">
        <v>42427</v>
      </c>
      <c r="M9095" t="s">
        <v>43619</v>
      </c>
      <c r="N9095" t="s">
        <v>46569</v>
      </c>
      <c r="O9095" t="s">
        <v>46570</v>
      </c>
      <c r="P9095">
        <v>0</v>
      </c>
      <c r="Q9095">
        <v>0</v>
      </c>
      <c r="R9095" t="s">
        <v>46577</v>
      </c>
      <c r="S9095" t="s">
        <v>46808</v>
      </c>
      <c r="T9095" t="s">
        <v>48621</v>
      </c>
      <c r="U9095" t="s">
        <v>56158</v>
      </c>
      <c r="W9095" t="s">
        <v>43619</v>
      </c>
      <c r="X9095" t="s">
        <v>46579</v>
      </c>
    </row>
    <row r="9096" spans="1:24">
      <c r="A9096">
        <f>HYPERLINK("https://www.philgeps.gov.ph/GEPSNONPILOT/Tender/SplashBidNoticeAbstractUI.aspx?menuIndex=3&amp;refID=7052732&amp;Result=3","7052732")</f>
        <v>0</v>
      </c>
      <c r="B9096" t="s">
        <v>961</v>
      </c>
      <c r="C9096" t="s">
        <v>5818</v>
      </c>
      <c r="D9096" t="s">
        <v>18858</v>
      </c>
      <c r="E9096" t="s">
        <v>22795</v>
      </c>
      <c r="F9096" t="s">
        <v>32664</v>
      </c>
      <c r="G9096" t="s">
        <v>32672</v>
      </c>
      <c r="H9096" t="s">
        <v>32682</v>
      </c>
      <c r="I9096" t="s">
        <v>32699</v>
      </c>
      <c r="J9096" t="s">
        <v>38336</v>
      </c>
      <c r="K9096" t="s">
        <v>42281</v>
      </c>
      <c r="M9096" t="s">
        <v>43569</v>
      </c>
      <c r="N9096" t="s">
        <v>46569</v>
      </c>
      <c r="O9096" t="s">
        <v>46570</v>
      </c>
      <c r="P9096">
        <v>0</v>
      </c>
      <c r="Q9096">
        <v>0</v>
      </c>
      <c r="R9096" t="s">
        <v>46577</v>
      </c>
      <c r="S9096" t="s">
        <v>46808</v>
      </c>
      <c r="T9096" t="s">
        <v>48468</v>
      </c>
      <c r="U9096" t="s">
        <v>56159</v>
      </c>
      <c r="W9096" t="s">
        <v>43569</v>
      </c>
      <c r="X9096" t="s">
        <v>46578</v>
      </c>
    </row>
    <row r="9097" spans="1:24">
      <c r="A9097">
        <f>HYPERLINK("https://www.philgeps.gov.ph/GEPSNONPILOT/Tender/SplashBidNoticeAbstractUI.aspx?menuIndex=3&amp;refID=7052668&amp;Result=3","7052668")</f>
        <v>0</v>
      </c>
      <c r="B9097" t="s">
        <v>1660</v>
      </c>
      <c r="C9097" t="s">
        <v>12161</v>
      </c>
      <c r="D9097" t="s">
        <v>18783</v>
      </c>
      <c r="E9097" t="s">
        <v>26811</v>
      </c>
      <c r="F9097" t="s">
        <v>32664</v>
      </c>
      <c r="G9097" t="s">
        <v>32672</v>
      </c>
      <c r="H9097" t="s">
        <v>12635</v>
      </c>
      <c r="I9097" t="s">
        <v>4439</v>
      </c>
      <c r="J9097" t="s">
        <v>38334</v>
      </c>
      <c r="K9097" t="s">
        <v>42281</v>
      </c>
      <c r="M9097" t="s">
        <v>44345</v>
      </c>
      <c r="N9097" t="s">
        <v>46569</v>
      </c>
      <c r="O9097" t="s">
        <v>46570</v>
      </c>
      <c r="P9097">
        <v>0</v>
      </c>
      <c r="Q9097">
        <v>0</v>
      </c>
      <c r="R9097" t="s">
        <v>46577</v>
      </c>
      <c r="S9097" t="s">
        <v>46808</v>
      </c>
      <c r="T9097" t="s">
        <v>48571</v>
      </c>
      <c r="U9097" t="s">
        <v>56156</v>
      </c>
      <c r="W9097" t="s">
        <v>44347</v>
      </c>
      <c r="X9097" t="s">
        <v>46578</v>
      </c>
    </row>
    <row r="9098" spans="1:24">
      <c r="A9098">
        <f>HYPERLINK("https://www.philgeps.gov.ph/GEPSNONPILOT/Tender/SplashBidNoticeAbstractUI.aspx?menuIndex=3&amp;refID=7052730&amp;Result=3","7052730")</f>
        <v>0</v>
      </c>
      <c r="B9098" t="s">
        <v>961</v>
      </c>
      <c r="C9098" t="s">
        <v>12162</v>
      </c>
      <c r="D9098" t="s">
        <v>18858</v>
      </c>
      <c r="E9098" t="s">
        <v>22820</v>
      </c>
      <c r="F9098" t="s">
        <v>32664</v>
      </c>
      <c r="G9098" t="s">
        <v>32672</v>
      </c>
      <c r="H9098" t="s">
        <v>32682</v>
      </c>
      <c r="I9098" t="s">
        <v>6223</v>
      </c>
      <c r="J9098" t="s">
        <v>33118</v>
      </c>
      <c r="K9098" t="s">
        <v>42281</v>
      </c>
      <c r="M9098" t="s">
        <v>43569</v>
      </c>
      <c r="N9098" t="s">
        <v>46569</v>
      </c>
      <c r="O9098" t="s">
        <v>46570</v>
      </c>
      <c r="P9098">
        <v>0</v>
      </c>
      <c r="Q9098">
        <v>1</v>
      </c>
      <c r="R9098" t="s">
        <v>46577</v>
      </c>
      <c r="S9098" t="s">
        <v>46808</v>
      </c>
      <c r="T9098" t="s">
        <v>48468</v>
      </c>
      <c r="U9098" t="s">
        <v>56160</v>
      </c>
      <c r="W9098" t="s">
        <v>43569</v>
      </c>
      <c r="X9098" t="s">
        <v>46578</v>
      </c>
    </row>
    <row r="9099" spans="1:24">
      <c r="A9099">
        <f>HYPERLINK("https://www.philgeps.gov.ph/GEPSNONPILOT/Tender/SplashBidNoticeAbstractUI.aspx?menuIndex=3&amp;refID=7052733&amp;Result=3","7052733")</f>
        <v>0</v>
      </c>
      <c r="B9099" t="s">
        <v>1884</v>
      </c>
      <c r="C9099" t="s">
        <v>12163</v>
      </c>
      <c r="D9099" t="s">
        <v>18784</v>
      </c>
      <c r="E9099" t="s">
        <v>26812</v>
      </c>
      <c r="F9099" t="s">
        <v>32664</v>
      </c>
      <c r="G9099" t="s">
        <v>32671</v>
      </c>
      <c r="H9099" t="s">
        <v>12635</v>
      </c>
      <c r="I9099" t="s">
        <v>7429</v>
      </c>
      <c r="J9099" t="s">
        <v>33457</v>
      </c>
      <c r="K9099" t="s">
        <v>42284</v>
      </c>
      <c r="M9099" t="s">
        <v>44603</v>
      </c>
      <c r="N9099" t="s">
        <v>46569</v>
      </c>
      <c r="O9099" t="s">
        <v>46570</v>
      </c>
      <c r="P9099">
        <v>0</v>
      </c>
      <c r="Q9099">
        <v>6</v>
      </c>
      <c r="R9099" t="s">
        <v>46577</v>
      </c>
      <c r="S9099" t="s">
        <v>46808</v>
      </c>
      <c r="T9099" t="s">
        <v>48254</v>
      </c>
      <c r="U9099" t="s">
        <v>56161</v>
      </c>
      <c r="V9099" t="s">
        <v>62212</v>
      </c>
      <c r="W9099" t="s">
        <v>44603</v>
      </c>
      <c r="X9099" t="s">
        <v>46578</v>
      </c>
    </row>
    <row r="9100" spans="1:24">
      <c r="A9100">
        <f>HYPERLINK("https://www.philgeps.gov.ph/GEPSNONPILOT/Tender/SplashBidNoticeAbstractUI.aspx?menuIndex=3&amp;refID=7052294&amp;Result=3","7052294")</f>
        <v>0</v>
      </c>
      <c r="B9100" t="s">
        <v>1028</v>
      </c>
      <c r="C9100" t="s">
        <v>12164</v>
      </c>
      <c r="D9100" t="s">
        <v>18805</v>
      </c>
      <c r="E9100" t="s">
        <v>26813</v>
      </c>
      <c r="F9100" t="s">
        <v>32664</v>
      </c>
      <c r="G9100" t="s">
        <v>32672</v>
      </c>
      <c r="H9100" t="s">
        <v>12635</v>
      </c>
      <c r="I9100" t="s">
        <v>4333</v>
      </c>
      <c r="J9100" t="s">
        <v>38337</v>
      </c>
      <c r="K9100" t="s">
        <v>42303</v>
      </c>
      <c r="M9100" t="s">
        <v>43640</v>
      </c>
      <c r="N9100" t="s">
        <v>46569</v>
      </c>
      <c r="O9100" t="s">
        <v>46570</v>
      </c>
      <c r="P9100">
        <v>0</v>
      </c>
      <c r="Q9100">
        <v>3</v>
      </c>
      <c r="R9100" t="s">
        <v>46577</v>
      </c>
      <c r="S9100" t="s">
        <v>46808</v>
      </c>
      <c r="T9100" t="s">
        <v>48334</v>
      </c>
      <c r="U9100" t="s">
        <v>56138</v>
      </c>
      <c r="W9100" t="s">
        <v>63503</v>
      </c>
      <c r="X9100" t="s">
        <v>46579</v>
      </c>
    </row>
    <row r="9101" spans="1:24">
      <c r="A9101">
        <f>HYPERLINK("https://www.philgeps.gov.ph/GEPSNONPILOT/Tender/SplashBidNoticeAbstractUI.aspx?menuIndex=3&amp;refID=7052724&amp;Result=3","7052724")</f>
        <v>0</v>
      </c>
      <c r="B9101" t="s">
        <v>2612</v>
      </c>
      <c r="C9101" t="s">
        <v>12165</v>
      </c>
      <c r="D9101" t="s">
        <v>18839</v>
      </c>
      <c r="E9101" t="s">
        <v>26814</v>
      </c>
      <c r="F9101" t="s">
        <v>32664</v>
      </c>
      <c r="G9101" t="s">
        <v>32672</v>
      </c>
      <c r="H9101" t="s">
        <v>12635</v>
      </c>
      <c r="I9101" t="s">
        <v>11464</v>
      </c>
      <c r="J9101" t="s">
        <v>38338</v>
      </c>
      <c r="K9101" t="s">
        <v>42281</v>
      </c>
      <c r="M9101" t="s">
        <v>45429</v>
      </c>
      <c r="N9101" t="s">
        <v>46569</v>
      </c>
      <c r="O9101" t="s">
        <v>46570</v>
      </c>
      <c r="P9101">
        <v>0</v>
      </c>
      <c r="Q9101">
        <v>4</v>
      </c>
      <c r="R9101" t="s">
        <v>46577</v>
      </c>
      <c r="S9101" t="s">
        <v>46808</v>
      </c>
      <c r="T9101" t="s">
        <v>48328</v>
      </c>
      <c r="U9101" t="s">
        <v>56162</v>
      </c>
      <c r="V9101" t="s">
        <v>62556</v>
      </c>
      <c r="W9101" t="s">
        <v>45429</v>
      </c>
      <c r="X9101" t="s">
        <v>46578</v>
      </c>
    </row>
    <row r="9102" spans="1:24">
      <c r="A9102">
        <f>HYPERLINK("https://www.philgeps.gov.ph/GEPSNONPILOT/Tender/SplashBidNoticeAbstractUI.aspx?menuIndex=3&amp;refID=7052720&amp;Result=3","7052720")</f>
        <v>0</v>
      </c>
      <c r="B9102" t="s">
        <v>36</v>
      </c>
      <c r="C9102" t="s">
        <v>12166</v>
      </c>
      <c r="D9102" t="s">
        <v>18792</v>
      </c>
      <c r="E9102" t="s">
        <v>26815</v>
      </c>
      <c r="F9102" t="s">
        <v>32664</v>
      </c>
      <c r="G9102" t="s">
        <v>32671</v>
      </c>
      <c r="H9102" t="s">
        <v>12635</v>
      </c>
      <c r="I9102" t="s">
        <v>6628</v>
      </c>
      <c r="J9102" t="s">
        <v>33021</v>
      </c>
      <c r="K9102" t="s">
        <v>42281</v>
      </c>
      <c r="M9102" t="s">
        <v>42598</v>
      </c>
      <c r="N9102" t="s">
        <v>46569</v>
      </c>
      <c r="O9102" t="s">
        <v>46570</v>
      </c>
      <c r="P9102">
        <v>0</v>
      </c>
      <c r="Q9102">
        <v>0</v>
      </c>
      <c r="R9102" t="s">
        <v>46577</v>
      </c>
      <c r="S9102" t="s">
        <v>46808</v>
      </c>
      <c r="T9102" t="s">
        <v>48316</v>
      </c>
      <c r="U9102" t="s">
        <v>56163</v>
      </c>
      <c r="V9102" t="s">
        <v>62557</v>
      </c>
      <c r="W9102" t="s">
        <v>42598</v>
      </c>
      <c r="X9102" t="s">
        <v>46578</v>
      </c>
    </row>
    <row r="9103" spans="1:24">
      <c r="A9103">
        <f>HYPERLINK("https://www.philgeps.gov.ph/GEPSNONPILOT/Tender/SplashBidNoticeAbstractUI.aspx?menuIndex=3&amp;refID=7052292&amp;Result=3","7052292")</f>
        <v>0</v>
      </c>
      <c r="B9103" t="s">
        <v>101</v>
      </c>
      <c r="C9103" t="s">
        <v>12167</v>
      </c>
      <c r="D9103" t="s">
        <v>18816</v>
      </c>
      <c r="E9103" t="s">
        <v>26816</v>
      </c>
      <c r="F9103" t="s">
        <v>32664</v>
      </c>
      <c r="G9103" t="s">
        <v>32671</v>
      </c>
      <c r="H9103" t="s">
        <v>12635</v>
      </c>
      <c r="I9103" t="s">
        <v>32689</v>
      </c>
      <c r="J9103" t="s">
        <v>38339</v>
      </c>
      <c r="K9103" t="s">
        <v>42284</v>
      </c>
      <c r="M9103" t="s">
        <v>43719</v>
      </c>
      <c r="N9103" t="s">
        <v>46569</v>
      </c>
      <c r="O9103" t="s">
        <v>46570</v>
      </c>
      <c r="P9103">
        <v>0</v>
      </c>
      <c r="Q9103">
        <v>1</v>
      </c>
      <c r="R9103" t="s">
        <v>46577</v>
      </c>
      <c r="S9103" t="s">
        <v>46808</v>
      </c>
      <c r="T9103" t="s">
        <v>48450</v>
      </c>
      <c r="U9103" t="s">
        <v>56164</v>
      </c>
      <c r="W9103" t="s">
        <v>43719</v>
      </c>
      <c r="X9103" t="s">
        <v>46579</v>
      </c>
    </row>
    <row r="9104" spans="1:24">
      <c r="A9104">
        <f>HYPERLINK("https://www.philgeps.gov.ph/GEPSNONPILOT/Tender/SplashBidNoticeAbstractUI.aspx?menuIndex=3&amp;refID=7052710&amp;Result=3","7052710")</f>
        <v>0</v>
      </c>
      <c r="B9104" t="s">
        <v>36</v>
      </c>
      <c r="C9104" t="s">
        <v>12166</v>
      </c>
      <c r="D9104" t="s">
        <v>18792</v>
      </c>
      <c r="E9104" t="s">
        <v>26817</v>
      </c>
      <c r="F9104" t="s">
        <v>32664</v>
      </c>
      <c r="G9104" t="s">
        <v>32671</v>
      </c>
      <c r="H9104" t="s">
        <v>12635</v>
      </c>
      <c r="I9104" t="s">
        <v>6628</v>
      </c>
      <c r="J9104" t="s">
        <v>34704</v>
      </c>
      <c r="K9104" t="s">
        <v>42281</v>
      </c>
      <c r="M9104" t="s">
        <v>42598</v>
      </c>
      <c r="N9104" t="s">
        <v>46569</v>
      </c>
      <c r="O9104" t="s">
        <v>46570</v>
      </c>
      <c r="P9104">
        <v>0</v>
      </c>
      <c r="Q9104">
        <v>2</v>
      </c>
      <c r="R9104" t="s">
        <v>46577</v>
      </c>
      <c r="S9104" t="s">
        <v>46808</v>
      </c>
      <c r="T9104" t="s">
        <v>48316</v>
      </c>
      <c r="U9104" t="s">
        <v>56165</v>
      </c>
      <c r="V9104" t="s">
        <v>62557</v>
      </c>
      <c r="W9104" t="s">
        <v>42598</v>
      </c>
      <c r="X9104" t="s">
        <v>46578</v>
      </c>
    </row>
    <row r="9105" spans="1:24">
      <c r="A9105">
        <f>HYPERLINK("https://www.philgeps.gov.ph/GEPSNONPILOT/Tender/SplashBidNoticeAbstractUI.aspx?menuIndex=3&amp;refID=7052700&amp;Result=3","7052700")</f>
        <v>0</v>
      </c>
      <c r="B9105" t="s">
        <v>2275</v>
      </c>
      <c r="C9105" t="s">
        <v>12168</v>
      </c>
      <c r="D9105" t="s">
        <v>18784</v>
      </c>
      <c r="E9105" t="s">
        <v>26818</v>
      </c>
      <c r="F9105" t="s">
        <v>32664</v>
      </c>
      <c r="G9105" t="s">
        <v>32671</v>
      </c>
      <c r="H9105" t="s">
        <v>12635</v>
      </c>
      <c r="I9105" t="s">
        <v>6223</v>
      </c>
      <c r="J9105" t="s">
        <v>38340</v>
      </c>
      <c r="K9105" t="s">
        <v>42281</v>
      </c>
      <c r="M9105" t="s">
        <v>45430</v>
      </c>
      <c r="N9105" t="s">
        <v>46569</v>
      </c>
      <c r="O9105" t="s">
        <v>46570</v>
      </c>
      <c r="Q9105">
        <v>6</v>
      </c>
      <c r="R9105" t="s">
        <v>46577</v>
      </c>
      <c r="S9105" t="s">
        <v>46785</v>
      </c>
      <c r="T9105" t="s">
        <v>48228</v>
      </c>
      <c r="U9105" t="s">
        <v>56166</v>
      </c>
      <c r="W9105" t="s">
        <v>45430</v>
      </c>
      <c r="X9105" t="s">
        <v>46578</v>
      </c>
    </row>
    <row r="9106" spans="1:24">
      <c r="A9106">
        <f>HYPERLINK("https://www.philgeps.gov.ph/GEPSNONPILOT/Tender/SplashBidNoticeAbstractUI.aspx?menuIndex=3&amp;refID=7052727&amp;Result=3","7052727")</f>
        <v>0</v>
      </c>
      <c r="B9106" t="s">
        <v>2613</v>
      </c>
      <c r="C9106" t="s">
        <v>12169</v>
      </c>
      <c r="D9106" t="s">
        <v>18804</v>
      </c>
      <c r="E9106" t="s">
        <v>26819</v>
      </c>
      <c r="F9106" t="s">
        <v>32664</v>
      </c>
      <c r="G9106" t="s">
        <v>32672</v>
      </c>
      <c r="H9106" t="s">
        <v>32683</v>
      </c>
      <c r="I9106" t="s">
        <v>10627</v>
      </c>
      <c r="J9106" t="s">
        <v>32917</v>
      </c>
      <c r="K9106" t="s">
        <v>42355</v>
      </c>
      <c r="L9106" t="s">
        <v>2613</v>
      </c>
      <c r="M9106" t="s">
        <v>45431</v>
      </c>
      <c r="N9106" t="s">
        <v>46569</v>
      </c>
      <c r="O9106" t="s">
        <v>46570</v>
      </c>
      <c r="P9106">
        <v>0</v>
      </c>
      <c r="Q9106">
        <v>0</v>
      </c>
      <c r="R9106" t="s">
        <v>46577</v>
      </c>
      <c r="S9106" t="s">
        <v>46808</v>
      </c>
      <c r="T9106" t="s">
        <v>48221</v>
      </c>
      <c r="U9106" t="s">
        <v>56167</v>
      </c>
      <c r="W9106" t="s">
        <v>45431</v>
      </c>
      <c r="X9106" t="s">
        <v>46578</v>
      </c>
    </row>
    <row r="9107" spans="1:24">
      <c r="A9107">
        <f>HYPERLINK("https://www.philgeps.gov.ph/GEPSNONPILOT/Tender/SplashBidNoticeAbstractUI.aspx?menuIndex=3&amp;refID=7052697&amp;Result=3","7052697")</f>
        <v>0</v>
      </c>
      <c r="B9107" t="s">
        <v>2614</v>
      </c>
      <c r="C9107" t="s">
        <v>12170</v>
      </c>
      <c r="E9107" t="s">
        <v>19010</v>
      </c>
      <c r="F9107" t="s">
        <v>32664</v>
      </c>
      <c r="G9107" t="s">
        <v>32672</v>
      </c>
      <c r="H9107" t="s">
        <v>12635</v>
      </c>
      <c r="I9107" t="s">
        <v>32723</v>
      </c>
      <c r="J9107" t="s">
        <v>38341</v>
      </c>
      <c r="K9107" t="s">
        <v>42283</v>
      </c>
      <c r="M9107" t="s">
        <v>45432</v>
      </c>
      <c r="N9107" t="s">
        <v>46569</v>
      </c>
      <c r="O9107" t="s">
        <v>46570</v>
      </c>
      <c r="P9107">
        <v>0</v>
      </c>
      <c r="Q9107">
        <v>0</v>
      </c>
      <c r="R9107" t="s">
        <v>46577</v>
      </c>
      <c r="S9107" t="s">
        <v>46808</v>
      </c>
      <c r="T9107" t="s">
        <v>48287</v>
      </c>
      <c r="U9107" t="s">
        <v>56168</v>
      </c>
      <c r="W9107" t="s">
        <v>45432</v>
      </c>
      <c r="X9107" t="s">
        <v>46578</v>
      </c>
    </row>
    <row r="9108" spans="1:24">
      <c r="A9108">
        <f>HYPERLINK("https://www.philgeps.gov.ph/GEPSNONPILOT/Tender/SplashBidNoticeAbstractUI.aspx?menuIndex=3&amp;refID=7052670&amp;Result=3","7052670")</f>
        <v>0</v>
      </c>
      <c r="B9108" t="s">
        <v>2615</v>
      </c>
      <c r="C9108" t="s">
        <v>12171</v>
      </c>
      <c r="D9108" t="s">
        <v>18799</v>
      </c>
      <c r="E9108" t="s">
        <v>20999</v>
      </c>
      <c r="F9108" t="s">
        <v>32664</v>
      </c>
      <c r="G9108" t="s">
        <v>32674</v>
      </c>
      <c r="H9108" t="s">
        <v>12635</v>
      </c>
      <c r="I9108" t="s">
        <v>32692</v>
      </c>
      <c r="J9108" t="s">
        <v>38342</v>
      </c>
      <c r="K9108" t="s">
        <v>42297</v>
      </c>
      <c r="M9108" t="s">
        <v>45433</v>
      </c>
      <c r="N9108" t="s">
        <v>46569</v>
      </c>
      <c r="O9108" t="s">
        <v>46570</v>
      </c>
      <c r="P9108">
        <v>0</v>
      </c>
      <c r="Q9108">
        <v>1</v>
      </c>
      <c r="R9108" t="s">
        <v>46577</v>
      </c>
      <c r="S9108" t="s">
        <v>46808</v>
      </c>
      <c r="T9108" t="s">
        <v>48248</v>
      </c>
      <c r="U9108" t="s">
        <v>56169</v>
      </c>
      <c r="W9108" t="s">
        <v>45433</v>
      </c>
      <c r="X9108" t="s">
        <v>46578</v>
      </c>
    </row>
    <row r="9109" spans="1:24">
      <c r="A9109">
        <f>HYPERLINK("https://www.philgeps.gov.ph/GEPSNONPILOT/Tender/SplashBidNoticeAbstractUI.aspx?menuIndex=3&amp;refID=7052684&amp;Result=3","7052684")</f>
        <v>0</v>
      </c>
      <c r="B9109" t="s">
        <v>2611</v>
      </c>
      <c r="C9109" t="s">
        <v>12172</v>
      </c>
      <c r="D9109" t="s">
        <v>18799</v>
      </c>
      <c r="E9109" t="s">
        <v>26820</v>
      </c>
      <c r="F9109" t="s">
        <v>32664</v>
      </c>
      <c r="G9109" t="s">
        <v>32672</v>
      </c>
      <c r="H9109" t="s">
        <v>12635</v>
      </c>
      <c r="I9109" t="s">
        <v>32694</v>
      </c>
      <c r="J9109" t="s">
        <v>38343</v>
      </c>
      <c r="K9109" t="s">
        <v>42289</v>
      </c>
      <c r="M9109" t="s">
        <v>45428</v>
      </c>
      <c r="N9109" t="s">
        <v>46569</v>
      </c>
      <c r="O9109" t="s">
        <v>46570</v>
      </c>
      <c r="P9109">
        <v>0</v>
      </c>
      <c r="Q9109">
        <v>1</v>
      </c>
      <c r="R9109" t="s">
        <v>46577</v>
      </c>
      <c r="S9109" t="s">
        <v>46808</v>
      </c>
      <c r="T9109" t="s">
        <v>48314</v>
      </c>
      <c r="U9109" t="s">
        <v>56170</v>
      </c>
      <c r="W9109" t="s">
        <v>45428</v>
      </c>
      <c r="X9109" t="s">
        <v>46578</v>
      </c>
    </row>
    <row r="9110" spans="1:24">
      <c r="A9110">
        <f>HYPERLINK("https://www.philgeps.gov.ph/GEPSNONPILOT/Tender/SplashBidNoticeAbstractUI.aspx?menuIndex=3&amp;refID=7052694&amp;Result=3","7052694")</f>
        <v>0</v>
      </c>
      <c r="B9110" t="s">
        <v>2616</v>
      </c>
      <c r="C9110" t="s">
        <v>12173</v>
      </c>
      <c r="E9110" t="s">
        <v>19380</v>
      </c>
      <c r="F9110" t="s">
        <v>32664</v>
      </c>
      <c r="G9110" t="s">
        <v>32672</v>
      </c>
      <c r="H9110" t="s">
        <v>12635</v>
      </c>
      <c r="I9110" t="s">
        <v>4439</v>
      </c>
      <c r="J9110" t="s">
        <v>38344</v>
      </c>
      <c r="K9110" t="s">
        <v>42283</v>
      </c>
      <c r="M9110" t="s">
        <v>45434</v>
      </c>
      <c r="N9110" t="s">
        <v>46569</v>
      </c>
      <c r="O9110" t="s">
        <v>46570</v>
      </c>
      <c r="P9110">
        <v>0</v>
      </c>
      <c r="Q9110">
        <v>1</v>
      </c>
      <c r="R9110" t="s">
        <v>46577</v>
      </c>
      <c r="S9110" t="s">
        <v>46808</v>
      </c>
      <c r="T9110" t="s">
        <v>48287</v>
      </c>
      <c r="U9110" t="s">
        <v>56171</v>
      </c>
      <c r="W9110" t="s">
        <v>45434</v>
      </c>
      <c r="X9110" t="s">
        <v>46578</v>
      </c>
    </row>
    <row r="9111" spans="1:24">
      <c r="A9111">
        <f>HYPERLINK("https://www.philgeps.gov.ph/GEPSNONPILOT/Tender/SplashBidNoticeAbstractUI.aspx?menuIndex=3&amp;refID=7052696&amp;Result=3","7052696")</f>
        <v>0</v>
      </c>
      <c r="B9111" t="s">
        <v>2614</v>
      </c>
      <c r="C9111" t="s">
        <v>12170</v>
      </c>
      <c r="E9111" t="s">
        <v>19380</v>
      </c>
      <c r="F9111" t="s">
        <v>32664</v>
      </c>
      <c r="G9111" t="s">
        <v>32672</v>
      </c>
      <c r="H9111" t="s">
        <v>12635</v>
      </c>
      <c r="I9111" t="s">
        <v>32723</v>
      </c>
      <c r="J9111" t="s">
        <v>33140</v>
      </c>
      <c r="K9111" t="s">
        <v>42283</v>
      </c>
      <c r="M9111" t="s">
        <v>45432</v>
      </c>
      <c r="N9111" t="s">
        <v>46569</v>
      </c>
      <c r="O9111" t="s">
        <v>46570</v>
      </c>
      <c r="P9111">
        <v>0</v>
      </c>
      <c r="Q9111">
        <v>0</v>
      </c>
      <c r="R9111" t="s">
        <v>46577</v>
      </c>
      <c r="S9111" t="s">
        <v>46808</v>
      </c>
      <c r="T9111" t="s">
        <v>48287</v>
      </c>
      <c r="U9111" t="s">
        <v>56172</v>
      </c>
      <c r="W9111" t="s">
        <v>45432</v>
      </c>
      <c r="X9111" t="s">
        <v>46578</v>
      </c>
    </row>
    <row r="9112" spans="1:24">
      <c r="A9112">
        <f>HYPERLINK("https://www.philgeps.gov.ph/GEPSNONPILOT/Tender/SplashBidNoticeAbstractUI.aspx?menuIndex=3&amp;refID=7052692&amp;Result=3","7052692")</f>
        <v>0</v>
      </c>
      <c r="B9112" t="s">
        <v>2617</v>
      </c>
      <c r="C9112" t="s">
        <v>12174</v>
      </c>
      <c r="D9112" t="s">
        <v>18826</v>
      </c>
      <c r="E9112" t="s">
        <v>26821</v>
      </c>
      <c r="F9112" t="s">
        <v>32664</v>
      </c>
      <c r="G9112" t="s">
        <v>32672</v>
      </c>
      <c r="H9112" t="s">
        <v>12635</v>
      </c>
      <c r="I9112" t="s">
        <v>4439</v>
      </c>
      <c r="J9112" t="s">
        <v>38345</v>
      </c>
      <c r="K9112" t="s">
        <v>42289</v>
      </c>
      <c r="M9112" t="s">
        <v>45435</v>
      </c>
      <c r="N9112" t="s">
        <v>46569</v>
      </c>
      <c r="O9112" t="s">
        <v>46570</v>
      </c>
      <c r="P9112">
        <v>0</v>
      </c>
      <c r="Q9112">
        <v>0</v>
      </c>
      <c r="R9112" t="s">
        <v>46577</v>
      </c>
      <c r="S9112" t="s">
        <v>46808</v>
      </c>
      <c r="T9112" t="s">
        <v>48307</v>
      </c>
      <c r="U9112" t="s">
        <v>55345</v>
      </c>
      <c r="W9112" t="s">
        <v>45435</v>
      </c>
      <c r="X9112" t="s">
        <v>46578</v>
      </c>
    </row>
    <row r="9113" spans="1:24">
      <c r="A9113">
        <f>HYPERLINK("https://www.philgeps.gov.ph/GEPSNONPILOT/Tender/SplashBidNoticeAbstractUI.aspx?menuIndex=3&amp;refID=7052689&amp;Result=3","7052689")</f>
        <v>0</v>
      </c>
      <c r="B9113" t="s">
        <v>2607</v>
      </c>
      <c r="C9113" t="s">
        <v>12148</v>
      </c>
      <c r="E9113" t="s">
        <v>26822</v>
      </c>
      <c r="F9113" t="s">
        <v>32664</v>
      </c>
      <c r="G9113" t="s">
        <v>32672</v>
      </c>
      <c r="H9113" t="s">
        <v>32683</v>
      </c>
      <c r="I9113" t="s">
        <v>10627</v>
      </c>
      <c r="J9113" t="s">
        <v>32898</v>
      </c>
      <c r="K9113" t="s">
        <v>42283</v>
      </c>
      <c r="M9113" t="s">
        <v>45424</v>
      </c>
      <c r="N9113" t="s">
        <v>46569</v>
      </c>
      <c r="O9113" t="s">
        <v>46570</v>
      </c>
      <c r="P9113">
        <v>0</v>
      </c>
      <c r="Q9113">
        <v>0</v>
      </c>
      <c r="R9113" t="s">
        <v>46577</v>
      </c>
      <c r="S9113" t="s">
        <v>46808</v>
      </c>
      <c r="T9113" t="s">
        <v>48287</v>
      </c>
      <c r="U9113" t="s">
        <v>56173</v>
      </c>
      <c r="W9113" t="s">
        <v>45424</v>
      </c>
      <c r="X9113" t="s">
        <v>46578</v>
      </c>
    </row>
    <row r="9114" spans="1:24">
      <c r="A9114">
        <f>HYPERLINK("https://www.philgeps.gov.ph/GEPSNONPILOT/Tender/SplashBidNoticeAbstractUI.aspx?menuIndex=3&amp;refID=7052281&amp;Result=3","7052281")</f>
        <v>0</v>
      </c>
      <c r="B9114" t="s">
        <v>1028</v>
      </c>
      <c r="C9114" t="s">
        <v>12175</v>
      </c>
      <c r="D9114" t="s">
        <v>18805</v>
      </c>
      <c r="E9114" t="s">
        <v>26823</v>
      </c>
      <c r="F9114" t="s">
        <v>32664</v>
      </c>
      <c r="G9114" t="s">
        <v>32672</v>
      </c>
      <c r="H9114" t="s">
        <v>12635</v>
      </c>
      <c r="I9114" t="s">
        <v>10590</v>
      </c>
      <c r="J9114" t="s">
        <v>33625</v>
      </c>
      <c r="K9114" t="s">
        <v>42303</v>
      </c>
      <c r="M9114" t="s">
        <v>43640</v>
      </c>
      <c r="N9114" t="s">
        <v>46569</v>
      </c>
      <c r="O9114" t="s">
        <v>46570</v>
      </c>
      <c r="P9114">
        <v>0</v>
      </c>
      <c r="Q9114">
        <v>1</v>
      </c>
      <c r="R9114" t="s">
        <v>46577</v>
      </c>
      <c r="S9114" t="s">
        <v>46808</v>
      </c>
      <c r="T9114" t="s">
        <v>48334</v>
      </c>
      <c r="U9114" t="s">
        <v>56138</v>
      </c>
      <c r="W9114" t="s">
        <v>63503</v>
      </c>
      <c r="X9114" t="s">
        <v>46579</v>
      </c>
    </row>
    <row r="9115" spans="1:24">
      <c r="A9115">
        <f>HYPERLINK("https://www.philgeps.gov.ph/GEPSNONPILOT/Tender/SplashBidNoticeAbstractUI.aspx?menuIndex=3&amp;refID=7052695&amp;Result=3","7052695")</f>
        <v>0</v>
      </c>
      <c r="B9115" t="s">
        <v>1031</v>
      </c>
      <c r="C9115" t="s">
        <v>12176</v>
      </c>
      <c r="D9115" t="s">
        <v>18858</v>
      </c>
      <c r="E9115" t="s">
        <v>26824</v>
      </c>
      <c r="F9115" t="s">
        <v>32665</v>
      </c>
      <c r="G9115" t="s">
        <v>32671</v>
      </c>
      <c r="H9115" t="s">
        <v>12635</v>
      </c>
      <c r="I9115" t="s">
        <v>32694</v>
      </c>
      <c r="J9115" t="s">
        <v>38346</v>
      </c>
      <c r="K9115" t="s">
        <v>42289</v>
      </c>
      <c r="M9115" t="s">
        <v>43644</v>
      </c>
      <c r="N9115" t="s">
        <v>46569</v>
      </c>
      <c r="O9115" t="s">
        <v>46570</v>
      </c>
      <c r="P9115">
        <v>0</v>
      </c>
      <c r="Q9115">
        <v>1</v>
      </c>
      <c r="R9115" t="s">
        <v>46577</v>
      </c>
      <c r="S9115" t="s">
        <v>46808</v>
      </c>
      <c r="T9115" t="s">
        <v>48316</v>
      </c>
      <c r="U9115" t="s">
        <v>51035</v>
      </c>
      <c r="W9115" t="s">
        <v>43644</v>
      </c>
      <c r="X9115" t="s">
        <v>46578</v>
      </c>
    </row>
    <row r="9116" spans="1:24">
      <c r="A9116">
        <f>HYPERLINK("https://www.philgeps.gov.ph/GEPSNONPILOT/Tender/SplashBidNoticeAbstractUI.aspx?menuIndex=3&amp;refID=7052737&amp;Result=3","7052737")</f>
        <v>0</v>
      </c>
      <c r="B9116" t="s">
        <v>2052</v>
      </c>
      <c r="C9116" t="s">
        <v>12177</v>
      </c>
      <c r="D9116" t="s">
        <v>18782</v>
      </c>
      <c r="E9116" t="s">
        <v>21048</v>
      </c>
      <c r="F9116" t="s">
        <v>32664</v>
      </c>
      <c r="G9116" t="s">
        <v>32672</v>
      </c>
      <c r="H9116" t="s">
        <v>32683</v>
      </c>
      <c r="I9116" t="s">
        <v>32706</v>
      </c>
      <c r="J9116" t="s">
        <v>38347</v>
      </c>
      <c r="K9116" t="s">
        <v>42284</v>
      </c>
      <c r="M9116" t="s">
        <v>44802</v>
      </c>
      <c r="N9116" t="s">
        <v>46569</v>
      </c>
      <c r="O9116" t="s">
        <v>46570</v>
      </c>
      <c r="P9116">
        <v>0</v>
      </c>
      <c r="Q9116">
        <v>0</v>
      </c>
      <c r="R9116" t="s">
        <v>46577</v>
      </c>
      <c r="S9116" t="s">
        <v>46808</v>
      </c>
      <c r="T9116" t="s">
        <v>48634</v>
      </c>
      <c r="U9116" t="s">
        <v>54002</v>
      </c>
      <c r="W9116" t="s">
        <v>44802</v>
      </c>
      <c r="X9116" t="s">
        <v>46578</v>
      </c>
    </row>
    <row r="9117" spans="1:24">
      <c r="A9117">
        <f>HYPERLINK("https://www.philgeps.gov.ph/GEPSNONPILOT/Tender/SplashBidNoticeAbstractUI.aspx?menuIndex=3&amp;refID=7052690&amp;Result=3","7052690")</f>
        <v>0</v>
      </c>
      <c r="B9117" t="s">
        <v>2607</v>
      </c>
      <c r="C9117" t="s">
        <v>12148</v>
      </c>
      <c r="E9117" t="s">
        <v>26825</v>
      </c>
      <c r="F9117" t="s">
        <v>32664</v>
      </c>
      <c r="G9117" t="s">
        <v>32672</v>
      </c>
      <c r="H9117" t="s">
        <v>32683</v>
      </c>
      <c r="I9117" t="s">
        <v>10627</v>
      </c>
      <c r="J9117" t="s">
        <v>32898</v>
      </c>
      <c r="K9117" t="s">
        <v>42283</v>
      </c>
      <c r="M9117" t="s">
        <v>45424</v>
      </c>
      <c r="N9117" t="s">
        <v>46569</v>
      </c>
      <c r="O9117" t="s">
        <v>46570</v>
      </c>
      <c r="P9117">
        <v>0</v>
      </c>
      <c r="Q9117">
        <v>0</v>
      </c>
      <c r="R9117" t="s">
        <v>46577</v>
      </c>
      <c r="S9117" t="s">
        <v>46808</v>
      </c>
      <c r="T9117" t="s">
        <v>48287</v>
      </c>
      <c r="U9117" t="s">
        <v>56174</v>
      </c>
      <c r="W9117" t="s">
        <v>45424</v>
      </c>
      <c r="X9117" t="s">
        <v>46578</v>
      </c>
    </row>
    <row r="9118" spans="1:24">
      <c r="A9118">
        <f>HYPERLINK("https://www.philgeps.gov.ph/GEPSNONPILOT/Tender/SplashBidNoticeAbstractUI.aspx?menuIndex=3&amp;refID=7052688&amp;Result=3","7052688")</f>
        <v>0</v>
      </c>
      <c r="B9118" t="s">
        <v>2618</v>
      </c>
      <c r="C9118" t="s">
        <v>12178</v>
      </c>
      <c r="E9118" t="s">
        <v>26826</v>
      </c>
      <c r="F9118" t="s">
        <v>32664</v>
      </c>
      <c r="G9118" t="s">
        <v>32672</v>
      </c>
      <c r="H9118" t="s">
        <v>12635</v>
      </c>
      <c r="I9118" t="s">
        <v>5501</v>
      </c>
      <c r="J9118" t="s">
        <v>33215</v>
      </c>
      <c r="K9118" t="s">
        <v>42283</v>
      </c>
      <c r="M9118" t="s">
        <v>45436</v>
      </c>
      <c r="N9118" t="s">
        <v>46569</v>
      </c>
      <c r="O9118" t="s">
        <v>46570</v>
      </c>
      <c r="P9118">
        <v>0</v>
      </c>
      <c r="Q9118">
        <v>2</v>
      </c>
      <c r="R9118" t="s">
        <v>46577</v>
      </c>
      <c r="S9118" t="s">
        <v>46808</v>
      </c>
      <c r="T9118" t="s">
        <v>48394</v>
      </c>
      <c r="U9118" t="s">
        <v>56175</v>
      </c>
      <c r="W9118" t="s">
        <v>45436</v>
      </c>
      <c r="X9118" t="s">
        <v>46578</v>
      </c>
    </row>
    <row r="9119" spans="1:24">
      <c r="A9119">
        <f>HYPERLINK("https://www.philgeps.gov.ph/GEPSNONPILOT/Tender/SplashBidNoticeAbstractUI.aspx?menuIndex=3&amp;refID=7052282&amp;Result=3","7052282")</f>
        <v>0</v>
      </c>
      <c r="B9119" t="s">
        <v>65</v>
      </c>
      <c r="C9119" t="s">
        <v>12179</v>
      </c>
      <c r="D9119" t="s">
        <v>18783</v>
      </c>
      <c r="E9119" t="s">
        <v>26827</v>
      </c>
      <c r="F9119" t="s">
        <v>32664</v>
      </c>
      <c r="G9119" t="s">
        <v>32672</v>
      </c>
      <c r="H9119" t="s">
        <v>32683</v>
      </c>
      <c r="I9119" t="s">
        <v>10627</v>
      </c>
      <c r="J9119" t="s">
        <v>38348</v>
      </c>
      <c r="K9119" t="s">
        <v>42485</v>
      </c>
      <c r="M9119" t="s">
        <v>42628</v>
      </c>
      <c r="N9119" t="s">
        <v>46569</v>
      </c>
      <c r="O9119" t="s">
        <v>46570</v>
      </c>
      <c r="P9119">
        <v>0</v>
      </c>
      <c r="Q9119">
        <v>0</v>
      </c>
      <c r="R9119" t="s">
        <v>46577</v>
      </c>
      <c r="S9119" t="s">
        <v>46808</v>
      </c>
      <c r="T9119" t="s">
        <v>48313</v>
      </c>
      <c r="U9119" t="s">
        <v>55437</v>
      </c>
      <c r="V9119" t="s">
        <v>61624</v>
      </c>
      <c r="W9119" t="s">
        <v>42628</v>
      </c>
      <c r="X9119" t="s">
        <v>46579</v>
      </c>
    </row>
    <row r="9120" spans="1:24">
      <c r="A9120">
        <f>HYPERLINK("https://www.philgeps.gov.ph/GEPSNONPILOT/Tender/SplashBidNoticeAbstractUI.aspx?menuIndex=3&amp;refID=7052757&amp;Result=3","7052757")</f>
        <v>0</v>
      </c>
      <c r="B9120" t="s">
        <v>2619</v>
      </c>
      <c r="C9120" t="s">
        <v>12180</v>
      </c>
      <c r="D9120" t="s">
        <v>18787</v>
      </c>
      <c r="E9120" t="s">
        <v>26828</v>
      </c>
      <c r="F9120" t="s">
        <v>32664</v>
      </c>
      <c r="G9120" t="s">
        <v>32672</v>
      </c>
      <c r="H9120" t="s">
        <v>32683</v>
      </c>
      <c r="I9120" t="s">
        <v>10627</v>
      </c>
      <c r="J9120" t="s">
        <v>36751</v>
      </c>
      <c r="K9120" t="s">
        <v>42486</v>
      </c>
      <c r="M9120" t="s">
        <v>45437</v>
      </c>
      <c r="N9120" t="s">
        <v>46569</v>
      </c>
      <c r="O9120" t="s">
        <v>46570</v>
      </c>
      <c r="P9120">
        <v>0</v>
      </c>
      <c r="Q9120">
        <v>0</v>
      </c>
      <c r="R9120" t="s">
        <v>46577</v>
      </c>
      <c r="S9120" t="s">
        <v>46808</v>
      </c>
      <c r="T9120" t="s">
        <v>48254</v>
      </c>
      <c r="U9120" t="s">
        <v>56176</v>
      </c>
      <c r="W9120" t="s">
        <v>45437</v>
      </c>
      <c r="X9120" t="s">
        <v>46578</v>
      </c>
    </row>
    <row r="9121" spans="1:24">
      <c r="A9121">
        <f>HYPERLINK("https://www.philgeps.gov.ph/GEPSNONPILOT/Tender/SplashBidNoticeAbstractUI.aspx?menuIndex=3&amp;refID=7052713&amp;Result=3","7052713")</f>
        <v>0</v>
      </c>
      <c r="B9121" t="s">
        <v>2620</v>
      </c>
      <c r="C9121" t="s">
        <v>12181</v>
      </c>
      <c r="E9121" t="s">
        <v>26829</v>
      </c>
      <c r="F9121" t="s">
        <v>32664</v>
      </c>
      <c r="G9121" t="s">
        <v>32672</v>
      </c>
      <c r="H9121" t="s">
        <v>12635</v>
      </c>
      <c r="I9121" t="s">
        <v>32692</v>
      </c>
      <c r="J9121" t="s">
        <v>38349</v>
      </c>
      <c r="K9121" t="s">
        <v>42283</v>
      </c>
      <c r="M9121" t="s">
        <v>45438</v>
      </c>
      <c r="N9121" t="s">
        <v>46569</v>
      </c>
      <c r="O9121" t="s">
        <v>46570</v>
      </c>
      <c r="P9121">
        <v>0</v>
      </c>
      <c r="Q9121">
        <v>0</v>
      </c>
      <c r="R9121" t="s">
        <v>46577</v>
      </c>
      <c r="S9121" t="s">
        <v>46808</v>
      </c>
      <c r="T9121" t="s">
        <v>48219</v>
      </c>
      <c r="U9121" t="s">
        <v>56177</v>
      </c>
      <c r="W9121" t="s">
        <v>45438</v>
      </c>
      <c r="X9121" t="s">
        <v>46578</v>
      </c>
    </row>
    <row r="9122" spans="1:24">
      <c r="A9122">
        <f>HYPERLINK("https://www.philgeps.gov.ph/GEPSNONPILOT/Tender/SplashBidNoticeAbstractUI.aspx?menuIndex=3&amp;refID=7052735&amp;Result=3","7052735")</f>
        <v>0</v>
      </c>
      <c r="B9122" t="s">
        <v>1173</v>
      </c>
      <c r="C9122" t="s">
        <v>12182</v>
      </c>
      <c r="E9122" t="s">
        <v>26830</v>
      </c>
      <c r="F9122" t="s">
        <v>32664</v>
      </c>
      <c r="G9122" t="s">
        <v>32672</v>
      </c>
      <c r="H9122" t="s">
        <v>12635</v>
      </c>
      <c r="I9122" t="s">
        <v>32689</v>
      </c>
      <c r="J9122" t="s">
        <v>37519</v>
      </c>
      <c r="K9122" t="s">
        <v>42283</v>
      </c>
      <c r="M9122" t="s">
        <v>43807</v>
      </c>
      <c r="N9122" t="s">
        <v>46569</v>
      </c>
      <c r="O9122" t="s">
        <v>46570</v>
      </c>
      <c r="P9122">
        <v>0</v>
      </c>
      <c r="Q9122">
        <v>17</v>
      </c>
      <c r="R9122" t="s">
        <v>46577</v>
      </c>
      <c r="S9122" t="s">
        <v>46808</v>
      </c>
      <c r="T9122" t="s">
        <v>48213</v>
      </c>
      <c r="U9122" t="s">
        <v>56178</v>
      </c>
      <c r="W9122" t="s">
        <v>43807</v>
      </c>
      <c r="X9122" t="s">
        <v>46578</v>
      </c>
    </row>
    <row r="9123" spans="1:24">
      <c r="A9123">
        <f>HYPERLINK("https://www.philgeps.gov.ph/GEPSNONPILOT/Tender/SplashBidNoticeAbstractUI.aspx?menuIndex=3&amp;refID=7052778&amp;Result=3","7052778")</f>
        <v>0</v>
      </c>
      <c r="B9123" t="s">
        <v>1437</v>
      </c>
      <c r="C9123" t="s">
        <v>12183</v>
      </c>
      <c r="D9123" t="s">
        <v>18785</v>
      </c>
      <c r="E9123" t="s">
        <v>26831</v>
      </c>
      <c r="F9123" t="s">
        <v>32664</v>
      </c>
      <c r="G9123" t="s">
        <v>32672</v>
      </c>
      <c r="H9123" t="s">
        <v>12635</v>
      </c>
      <c r="I9123" t="s">
        <v>9597</v>
      </c>
      <c r="J9123" t="s">
        <v>38350</v>
      </c>
      <c r="K9123" t="s">
        <v>42284</v>
      </c>
      <c r="M9123" t="s">
        <v>44098</v>
      </c>
      <c r="N9123" t="s">
        <v>46569</v>
      </c>
      <c r="O9123" t="s">
        <v>46570</v>
      </c>
      <c r="P9123">
        <v>0</v>
      </c>
      <c r="Q9123">
        <v>8</v>
      </c>
      <c r="R9123" t="s">
        <v>46577</v>
      </c>
      <c r="S9123" t="s">
        <v>46808</v>
      </c>
      <c r="T9123" t="s">
        <v>48267</v>
      </c>
      <c r="U9123" t="s">
        <v>56179</v>
      </c>
      <c r="W9123" t="s">
        <v>44098</v>
      </c>
      <c r="X9123" t="s">
        <v>46578</v>
      </c>
    </row>
    <row r="9124" spans="1:24">
      <c r="A9124">
        <f>HYPERLINK("https://www.philgeps.gov.ph/GEPSNONPILOT/Tender/SplashBidNoticeAbstractUI.aspx?menuIndex=3&amp;refID=7052698&amp;Result=3","7052698")</f>
        <v>0</v>
      </c>
      <c r="B9124" t="s">
        <v>2621</v>
      </c>
      <c r="C9124" t="s">
        <v>12184</v>
      </c>
      <c r="D9124" t="s">
        <v>18832</v>
      </c>
      <c r="E9124" t="s">
        <v>26832</v>
      </c>
      <c r="F9124" t="s">
        <v>32664</v>
      </c>
      <c r="G9124" t="s">
        <v>32672</v>
      </c>
      <c r="H9124" t="s">
        <v>32683</v>
      </c>
      <c r="I9124" t="s">
        <v>10627</v>
      </c>
      <c r="J9124" t="s">
        <v>38351</v>
      </c>
      <c r="K9124" t="s">
        <v>42281</v>
      </c>
      <c r="M9124" t="s">
        <v>45439</v>
      </c>
      <c r="N9124" t="s">
        <v>46569</v>
      </c>
      <c r="O9124" t="s">
        <v>46570</v>
      </c>
      <c r="P9124">
        <v>0</v>
      </c>
      <c r="Q9124">
        <v>0</v>
      </c>
      <c r="R9124" t="s">
        <v>46577</v>
      </c>
      <c r="S9124" t="s">
        <v>46808</v>
      </c>
      <c r="T9124" t="s">
        <v>48468</v>
      </c>
      <c r="U9124" t="s">
        <v>56180</v>
      </c>
      <c r="W9124" t="s">
        <v>45439</v>
      </c>
      <c r="X9124" t="s">
        <v>46578</v>
      </c>
    </row>
    <row r="9125" spans="1:24">
      <c r="A9125">
        <f>HYPERLINK("https://www.philgeps.gov.ph/GEPSNONPILOT/Tender/SplashBidNoticeAbstractUI.aspx?menuIndex=3&amp;refID=7052769&amp;Result=3","7052769")</f>
        <v>0</v>
      </c>
      <c r="B9125" t="s">
        <v>137</v>
      </c>
      <c r="C9125" t="s">
        <v>12185</v>
      </c>
      <c r="D9125" t="s">
        <v>18838</v>
      </c>
      <c r="E9125" t="s">
        <v>26833</v>
      </c>
      <c r="F9125" t="s">
        <v>32664</v>
      </c>
      <c r="G9125" t="s">
        <v>32672</v>
      </c>
      <c r="H9125" t="s">
        <v>12635</v>
      </c>
      <c r="I9125" t="s">
        <v>32736</v>
      </c>
      <c r="J9125" t="s">
        <v>32962</v>
      </c>
      <c r="K9125" t="s">
        <v>42289</v>
      </c>
      <c r="M9125" t="s">
        <v>42701</v>
      </c>
      <c r="N9125" t="s">
        <v>46569</v>
      </c>
      <c r="O9125" t="s">
        <v>46570</v>
      </c>
      <c r="P9125">
        <v>0</v>
      </c>
      <c r="Q9125">
        <v>1</v>
      </c>
      <c r="R9125" t="s">
        <v>46577</v>
      </c>
      <c r="S9125" t="s">
        <v>46808</v>
      </c>
      <c r="T9125" t="s">
        <v>48221</v>
      </c>
      <c r="U9125" t="s">
        <v>56181</v>
      </c>
      <c r="W9125" t="s">
        <v>42701</v>
      </c>
      <c r="X9125" t="s">
        <v>46578</v>
      </c>
    </row>
    <row r="9126" spans="1:24">
      <c r="A9126">
        <f>HYPERLINK("https://www.philgeps.gov.ph/GEPSNONPILOT/Tender/SplashBidNoticeAbstractUI.aspx?menuIndex=3&amp;refID=7052762&amp;Result=3","7052762")</f>
        <v>0</v>
      </c>
      <c r="B9126" t="s">
        <v>555</v>
      </c>
      <c r="C9126" t="s">
        <v>12186</v>
      </c>
      <c r="D9126" t="s">
        <v>18841</v>
      </c>
      <c r="E9126" t="s">
        <v>26834</v>
      </c>
      <c r="F9126" t="s">
        <v>32664</v>
      </c>
      <c r="G9126" t="s">
        <v>32671</v>
      </c>
      <c r="H9126" t="s">
        <v>12635</v>
      </c>
      <c r="I9126" t="s">
        <v>32706</v>
      </c>
      <c r="J9126" t="s">
        <v>38352</v>
      </c>
      <c r="K9126" t="s">
        <v>42289</v>
      </c>
      <c r="M9126" t="s">
        <v>43135</v>
      </c>
      <c r="N9126" t="s">
        <v>46569</v>
      </c>
      <c r="O9126" t="s">
        <v>46570</v>
      </c>
      <c r="P9126">
        <v>0</v>
      </c>
      <c r="Q9126">
        <v>0</v>
      </c>
      <c r="R9126" t="s">
        <v>46577</v>
      </c>
      <c r="S9126" t="s">
        <v>46808</v>
      </c>
      <c r="T9126" t="s">
        <v>48448</v>
      </c>
      <c r="U9126" t="s">
        <v>56182</v>
      </c>
      <c r="W9126" t="s">
        <v>43135</v>
      </c>
      <c r="X9126" t="s">
        <v>46578</v>
      </c>
    </row>
    <row r="9127" spans="1:24">
      <c r="A9127">
        <f>HYPERLINK("https://www.philgeps.gov.ph/GEPSNONPILOT/Tender/SplashBidNoticeAbstractUI.aspx?menuIndex=3&amp;refID=7052756&amp;Result=3","7052756")</f>
        <v>0</v>
      </c>
      <c r="B9127" t="s">
        <v>2581</v>
      </c>
      <c r="C9127" t="s">
        <v>11996</v>
      </c>
      <c r="D9127" t="s">
        <v>18833</v>
      </c>
      <c r="E9127" t="s">
        <v>26654</v>
      </c>
      <c r="F9127" t="s">
        <v>32666</v>
      </c>
      <c r="G9127" t="s">
        <v>32671</v>
      </c>
      <c r="H9127" t="s">
        <v>12635</v>
      </c>
      <c r="I9127" t="s">
        <v>7759</v>
      </c>
      <c r="J9127" t="s">
        <v>32974</v>
      </c>
      <c r="K9127" t="s">
        <v>42309</v>
      </c>
      <c r="M9127" t="s">
        <v>45395</v>
      </c>
      <c r="N9127" t="s">
        <v>46569</v>
      </c>
      <c r="O9127" t="s">
        <v>46570</v>
      </c>
      <c r="P9127">
        <v>0</v>
      </c>
      <c r="Q9127">
        <v>0</v>
      </c>
      <c r="R9127" t="s">
        <v>46577</v>
      </c>
      <c r="S9127" t="s">
        <v>46808</v>
      </c>
      <c r="T9127" t="s">
        <v>48290</v>
      </c>
      <c r="U9127" t="s">
        <v>56183</v>
      </c>
      <c r="V9127" t="s">
        <v>62558</v>
      </c>
      <c r="W9127" t="s">
        <v>45395</v>
      </c>
      <c r="X9127" t="s">
        <v>46578</v>
      </c>
    </row>
    <row r="9128" spans="1:24">
      <c r="A9128">
        <f>HYPERLINK("https://www.philgeps.gov.ph/GEPSNONPILOT/Tender/SplashBidNoticeAbstractUI.aspx?menuIndex=3&amp;refID=7052755&amp;Result=3","7052755")</f>
        <v>0</v>
      </c>
      <c r="B9128" t="s">
        <v>2622</v>
      </c>
      <c r="C9128" t="s">
        <v>12187</v>
      </c>
      <c r="D9128" t="s">
        <v>18789</v>
      </c>
      <c r="E9128" t="s">
        <v>26835</v>
      </c>
      <c r="F9128" t="s">
        <v>32664</v>
      </c>
      <c r="G9128" t="s">
        <v>32675</v>
      </c>
      <c r="H9128" t="s">
        <v>12635</v>
      </c>
      <c r="I9128" t="s">
        <v>4333</v>
      </c>
      <c r="J9128" t="s">
        <v>32865</v>
      </c>
      <c r="K9128" t="s">
        <v>42281</v>
      </c>
      <c r="M9128" t="s">
        <v>45440</v>
      </c>
      <c r="N9128" t="s">
        <v>46569</v>
      </c>
      <c r="O9128" t="s">
        <v>46570</v>
      </c>
      <c r="P9128">
        <v>0</v>
      </c>
      <c r="Q9128">
        <v>9</v>
      </c>
      <c r="R9128" t="s">
        <v>46577</v>
      </c>
      <c r="S9128" t="s">
        <v>46808</v>
      </c>
      <c r="T9128" t="s">
        <v>48290</v>
      </c>
      <c r="U9128" t="s">
        <v>56184</v>
      </c>
      <c r="V9128" t="s">
        <v>62559</v>
      </c>
      <c r="W9128" t="s">
        <v>45440</v>
      </c>
      <c r="X9128" t="s">
        <v>46578</v>
      </c>
    </row>
    <row r="9129" spans="1:24">
      <c r="A9129">
        <f>HYPERLINK("https://www.philgeps.gov.ph/GEPSNONPILOT/Tender/SplashBidNoticeAbstractUI.aspx?menuIndex=3&amp;refID=7052758&amp;Result=3","7052758")</f>
        <v>0</v>
      </c>
      <c r="B9129" t="s">
        <v>2623</v>
      </c>
      <c r="C9129" t="s">
        <v>12188</v>
      </c>
      <c r="D9129" t="s">
        <v>18856</v>
      </c>
      <c r="E9129" t="s">
        <v>26836</v>
      </c>
      <c r="F9129" t="s">
        <v>32664</v>
      </c>
      <c r="G9129" t="s">
        <v>32671</v>
      </c>
      <c r="H9129" t="s">
        <v>12635</v>
      </c>
      <c r="I9129" t="s">
        <v>6628</v>
      </c>
      <c r="J9129" t="s">
        <v>34629</v>
      </c>
      <c r="K9129" t="s">
        <v>42281</v>
      </c>
      <c r="M9129" t="s">
        <v>45441</v>
      </c>
      <c r="N9129" t="s">
        <v>46569</v>
      </c>
      <c r="O9129" t="s">
        <v>46570</v>
      </c>
      <c r="P9129">
        <v>0</v>
      </c>
      <c r="Q9129">
        <v>2</v>
      </c>
      <c r="R9129" t="s">
        <v>46577</v>
      </c>
      <c r="S9129" t="s">
        <v>46808</v>
      </c>
      <c r="T9129" t="s">
        <v>48285</v>
      </c>
      <c r="U9129" t="s">
        <v>56185</v>
      </c>
      <c r="V9129" t="s">
        <v>62560</v>
      </c>
      <c r="W9129" t="s">
        <v>45441</v>
      </c>
      <c r="X9129" t="s">
        <v>46578</v>
      </c>
    </row>
    <row r="9130" spans="1:24">
      <c r="A9130">
        <f>HYPERLINK("https://www.philgeps.gov.ph/GEPSNONPILOT/Tender/SplashBidNoticeAbstractUI.aspx?menuIndex=3&amp;refID=7052746&amp;Result=3","7052746")</f>
        <v>0</v>
      </c>
      <c r="B9130" t="s">
        <v>342</v>
      </c>
      <c r="C9130" t="s">
        <v>12189</v>
      </c>
      <c r="D9130" t="s">
        <v>18782</v>
      </c>
      <c r="E9130" t="s">
        <v>26837</v>
      </c>
      <c r="F9130" t="s">
        <v>32665</v>
      </c>
      <c r="G9130" t="s">
        <v>32671</v>
      </c>
      <c r="H9130" t="s">
        <v>12635</v>
      </c>
      <c r="I9130" t="s">
        <v>32701</v>
      </c>
      <c r="J9130" t="s">
        <v>38353</v>
      </c>
      <c r="K9130" t="s">
        <v>42281</v>
      </c>
      <c r="M9130" t="s">
        <v>42911</v>
      </c>
      <c r="N9130" t="s">
        <v>46569</v>
      </c>
      <c r="O9130" t="s">
        <v>46570</v>
      </c>
      <c r="P9130">
        <v>0</v>
      </c>
      <c r="Q9130">
        <v>1</v>
      </c>
      <c r="R9130" t="s">
        <v>46577</v>
      </c>
      <c r="S9130" t="s">
        <v>46808</v>
      </c>
      <c r="T9130" t="s">
        <v>48237</v>
      </c>
      <c r="U9130" t="s">
        <v>56186</v>
      </c>
      <c r="V9130" t="s">
        <v>62561</v>
      </c>
      <c r="W9130" t="s">
        <v>42911</v>
      </c>
      <c r="X9130" t="s">
        <v>46578</v>
      </c>
    </row>
    <row r="9131" spans="1:24">
      <c r="A9131">
        <f>HYPERLINK("https://www.philgeps.gov.ph/GEPSNONPILOT/Tender/SplashBidNoticeAbstractUI.aspx?menuIndex=3&amp;refID=7052759&amp;Result=3","7052759")</f>
        <v>0</v>
      </c>
      <c r="B9131" t="s">
        <v>1138</v>
      </c>
      <c r="C9131" t="s">
        <v>12190</v>
      </c>
      <c r="D9131" t="s">
        <v>18842</v>
      </c>
      <c r="E9131" t="s">
        <v>25931</v>
      </c>
      <c r="F9131" t="s">
        <v>32664</v>
      </c>
      <c r="G9131" t="s">
        <v>32672</v>
      </c>
      <c r="H9131" t="s">
        <v>32683</v>
      </c>
      <c r="I9131" t="s">
        <v>10627</v>
      </c>
      <c r="J9131" t="s">
        <v>32962</v>
      </c>
      <c r="K9131" t="s">
        <v>42298</v>
      </c>
      <c r="M9131" t="s">
        <v>43769</v>
      </c>
      <c r="N9131" t="s">
        <v>46569</v>
      </c>
      <c r="O9131" t="s">
        <v>46570</v>
      </c>
      <c r="P9131">
        <v>0</v>
      </c>
      <c r="Q9131">
        <v>0</v>
      </c>
      <c r="R9131" t="s">
        <v>46577</v>
      </c>
      <c r="S9131" t="s">
        <v>46808</v>
      </c>
      <c r="T9131" t="s">
        <v>48280</v>
      </c>
      <c r="U9131" t="s">
        <v>51666</v>
      </c>
      <c r="W9131" t="s">
        <v>43769</v>
      </c>
      <c r="X9131" t="s">
        <v>46578</v>
      </c>
    </row>
    <row r="9132" spans="1:24">
      <c r="A9132">
        <f>HYPERLINK("https://www.philgeps.gov.ph/GEPSNONPILOT/Tender/SplashBidNoticeAbstractUI.aspx?menuIndex=3&amp;refID=7052747&amp;Result=3","7052747")</f>
        <v>0</v>
      </c>
      <c r="B9132" t="s">
        <v>184</v>
      </c>
      <c r="C9132" t="s">
        <v>12191</v>
      </c>
      <c r="D9132" t="s">
        <v>18825</v>
      </c>
      <c r="E9132" t="s">
        <v>26838</v>
      </c>
      <c r="F9132" t="s">
        <v>32664</v>
      </c>
      <c r="G9132" t="s">
        <v>32675</v>
      </c>
      <c r="H9132" t="s">
        <v>12635</v>
      </c>
      <c r="I9132" t="s">
        <v>6168</v>
      </c>
      <c r="J9132" t="s">
        <v>38354</v>
      </c>
      <c r="K9132" t="s">
        <v>42284</v>
      </c>
      <c r="M9132" t="s">
        <v>42748</v>
      </c>
      <c r="N9132" t="s">
        <v>46569</v>
      </c>
      <c r="O9132" t="s">
        <v>46570</v>
      </c>
      <c r="P9132">
        <v>0</v>
      </c>
      <c r="Q9132">
        <v>3</v>
      </c>
      <c r="R9132" t="s">
        <v>46577</v>
      </c>
      <c r="S9132" t="s">
        <v>46808</v>
      </c>
      <c r="T9132" t="s">
        <v>48305</v>
      </c>
      <c r="U9132" t="s">
        <v>49553</v>
      </c>
      <c r="W9132" t="s">
        <v>42748</v>
      </c>
      <c r="X9132" t="s">
        <v>46578</v>
      </c>
    </row>
    <row r="9133" spans="1:24">
      <c r="A9133">
        <f>HYPERLINK("https://www.philgeps.gov.ph/GEPSNONPILOT/Tender/SplashBidNoticeAbstractUI.aspx?menuIndex=3&amp;refID=7052740&amp;Result=3","7052740")</f>
        <v>0</v>
      </c>
      <c r="B9133" t="s">
        <v>961</v>
      </c>
      <c r="C9133" t="s">
        <v>5846</v>
      </c>
      <c r="D9133" t="s">
        <v>18858</v>
      </c>
      <c r="E9133" t="s">
        <v>22787</v>
      </c>
      <c r="F9133" t="s">
        <v>32664</v>
      </c>
      <c r="G9133" t="s">
        <v>32672</v>
      </c>
      <c r="H9133" t="s">
        <v>32683</v>
      </c>
      <c r="I9133" t="s">
        <v>10627</v>
      </c>
      <c r="J9133" t="s">
        <v>33128</v>
      </c>
      <c r="K9133" t="s">
        <v>42281</v>
      </c>
      <c r="M9133" t="s">
        <v>43569</v>
      </c>
      <c r="N9133" t="s">
        <v>46569</v>
      </c>
      <c r="O9133" t="s">
        <v>46570</v>
      </c>
      <c r="P9133">
        <v>0</v>
      </c>
      <c r="Q9133">
        <v>0</v>
      </c>
      <c r="R9133" t="s">
        <v>46577</v>
      </c>
      <c r="S9133" t="s">
        <v>46808</v>
      </c>
      <c r="T9133" t="s">
        <v>48468</v>
      </c>
      <c r="U9133" t="s">
        <v>56187</v>
      </c>
      <c r="W9133" t="s">
        <v>43569</v>
      </c>
      <c r="X9133" t="s">
        <v>46578</v>
      </c>
    </row>
    <row r="9134" spans="1:24">
      <c r="A9134">
        <f>HYPERLINK("https://www.philgeps.gov.ph/GEPSNONPILOT/Tender/SplashBidNoticeAbstractUI.aspx?menuIndex=3&amp;refID=7052739&amp;Result=3","7052739")</f>
        <v>0</v>
      </c>
      <c r="B9134" t="s">
        <v>1138</v>
      </c>
      <c r="C9134" t="s">
        <v>12192</v>
      </c>
      <c r="D9134" t="s">
        <v>18842</v>
      </c>
      <c r="E9134" t="s">
        <v>26466</v>
      </c>
      <c r="F9134" t="s">
        <v>32664</v>
      </c>
      <c r="G9134" t="s">
        <v>32672</v>
      </c>
      <c r="H9134" t="s">
        <v>32683</v>
      </c>
      <c r="I9134" t="s">
        <v>10627</v>
      </c>
      <c r="J9134" t="s">
        <v>32962</v>
      </c>
      <c r="K9134" t="s">
        <v>42298</v>
      </c>
      <c r="M9134" t="s">
        <v>43769</v>
      </c>
      <c r="N9134" t="s">
        <v>46569</v>
      </c>
      <c r="O9134" t="s">
        <v>46570</v>
      </c>
      <c r="P9134">
        <v>0</v>
      </c>
      <c r="Q9134">
        <v>0</v>
      </c>
      <c r="R9134" t="s">
        <v>46577</v>
      </c>
      <c r="S9134" t="s">
        <v>46808</v>
      </c>
      <c r="T9134" t="s">
        <v>48280</v>
      </c>
      <c r="U9134" t="s">
        <v>51666</v>
      </c>
      <c r="W9134" t="s">
        <v>43769</v>
      </c>
      <c r="X9134" t="s">
        <v>46578</v>
      </c>
    </row>
    <row r="9135" spans="1:24">
      <c r="A9135">
        <f>HYPERLINK("https://www.philgeps.gov.ph/GEPSNONPILOT/Tender/SplashBidNoticeAbstractUI.aspx?menuIndex=3&amp;refID=7052738&amp;Result=3","7052738")</f>
        <v>0</v>
      </c>
      <c r="B9135" t="s">
        <v>289</v>
      </c>
      <c r="C9135" t="s">
        <v>12193</v>
      </c>
      <c r="D9135" t="s">
        <v>18791</v>
      </c>
      <c r="E9135" t="s">
        <v>26839</v>
      </c>
      <c r="F9135" t="s">
        <v>32664</v>
      </c>
      <c r="G9135" t="s">
        <v>32671</v>
      </c>
      <c r="H9135" t="s">
        <v>12635</v>
      </c>
      <c r="I9135" t="s">
        <v>14442</v>
      </c>
      <c r="J9135" t="s">
        <v>38355</v>
      </c>
      <c r="K9135" t="s">
        <v>42297</v>
      </c>
      <c r="M9135" t="s">
        <v>42856</v>
      </c>
      <c r="N9135" t="s">
        <v>46569</v>
      </c>
      <c r="O9135" t="s">
        <v>46570</v>
      </c>
      <c r="P9135">
        <v>0</v>
      </c>
      <c r="Q9135">
        <v>3</v>
      </c>
      <c r="R9135" t="s">
        <v>46577</v>
      </c>
      <c r="S9135" t="s">
        <v>46808</v>
      </c>
      <c r="T9135" t="s">
        <v>48254</v>
      </c>
      <c r="U9135" t="s">
        <v>56188</v>
      </c>
      <c r="W9135" t="s">
        <v>42856</v>
      </c>
      <c r="X9135" t="s">
        <v>46578</v>
      </c>
    </row>
    <row r="9136" spans="1:24">
      <c r="A9136">
        <f>HYPERLINK("https://www.philgeps.gov.ph/GEPSNONPILOT/Tender/SplashBidNoticeAbstractUI.aspx?menuIndex=3&amp;refID=7052786&amp;Result=3","7052786")</f>
        <v>0</v>
      </c>
      <c r="B9136" t="s">
        <v>2624</v>
      </c>
      <c r="C9136" t="s">
        <v>12194</v>
      </c>
      <c r="D9136" t="s">
        <v>18790</v>
      </c>
      <c r="E9136" t="s">
        <v>26840</v>
      </c>
      <c r="F9136" t="s">
        <v>32664</v>
      </c>
      <c r="G9136" t="s">
        <v>32671</v>
      </c>
      <c r="H9136" t="s">
        <v>12635</v>
      </c>
      <c r="I9136" t="s">
        <v>14442</v>
      </c>
      <c r="J9136" t="s">
        <v>38356</v>
      </c>
      <c r="K9136" t="s">
        <v>42284</v>
      </c>
      <c r="M9136" t="s">
        <v>45442</v>
      </c>
      <c r="N9136" t="s">
        <v>46569</v>
      </c>
      <c r="O9136" t="s">
        <v>46570</v>
      </c>
      <c r="P9136">
        <v>0</v>
      </c>
      <c r="Q9136">
        <v>9</v>
      </c>
      <c r="R9136" t="s">
        <v>46577</v>
      </c>
      <c r="S9136" t="s">
        <v>46808</v>
      </c>
      <c r="T9136" t="s">
        <v>48316</v>
      </c>
      <c r="U9136" t="s">
        <v>56189</v>
      </c>
      <c r="W9136" t="s">
        <v>45442</v>
      </c>
      <c r="X9136" t="s">
        <v>46578</v>
      </c>
    </row>
    <row r="9137" spans="1:24">
      <c r="A9137">
        <f>HYPERLINK("https://www.philgeps.gov.ph/GEPSNONPILOT/Tender/SplashBidNoticeAbstractUI.aspx?menuIndex=3&amp;refID=7052784&amp;Result=3","7052784")</f>
        <v>0</v>
      </c>
      <c r="B9137" t="s">
        <v>1349</v>
      </c>
      <c r="C9137" t="s">
        <v>12195</v>
      </c>
      <c r="D9137" t="s">
        <v>18790</v>
      </c>
      <c r="E9137" t="s">
        <v>25668</v>
      </c>
      <c r="F9137" t="s">
        <v>32664</v>
      </c>
      <c r="G9137" t="s">
        <v>32672</v>
      </c>
      <c r="H9137" t="s">
        <v>12635</v>
      </c>
      <c r="I9137" t="s">
        <v>4439</v>
      </c>
      <c r="J9137" t="s">
        <v>38357</v>
      </c>
      <c r="K9137" t="s">
        <v>42289</v>
      </c>
      <c r="M9137" t="s">
        <v>44001</v>
      </c>
      <c r="N9137" t="s">
        <v>46569</v>
      </c>
      <c r="O9137" t="s">
        <v>46570</v>
      </c>
      <c r="P9137">
        <v>0</v>
      </c>
      <c r="Q9137">
        <v>0</v>
      </c>
      <c r="R9137" t="s">
        <v>46577</v>
      </c>
      <c r="S9137" t="s">
        <v>46808</v>
      </c>
      <c r="T9137" t="s">
        <v>48376</v>
      </c>
      <c r="U9137" t="s">
        <v>51663</v>
      </c>
      <c r="W9137" t="s">
        <v>44001</v>
      </c>
      <c r="X9137" t="s">
        <v>46578</v>
      </c>
    </row>
    <row r="9138" spans="1:24">
      <c r="A9138">
        <f>HYPERLINK("https://www.philgeps.gov.ph/GEPSNONPILOT/Tender/SplashBidNoticeAbstractUI.aspx?menuIndex=3&amp;refID=7052780&amp;Result=3","7052780")</f>
        <v>0</v>
      </c>
      <c r="B9138" t="s">
        <v>289</v>
      </c>
      <c r="C9138" t="s">
        <v>12196</v>
      </c>
      <c r="D9138" t="s">
        <v>18791</v>
      </c>
      <c r="E9138" t="s">
        <v>26841</v>
      </c>
      <c r="F9138" t="s">
        <v>32664</v>
      </c>
      <c r="G9138" t="s">
        <v>32671</v>
      </c>
      <c r="H9138" t="s">
        <v>12635</v>
      </c>
      <c r="I9138" t="s">
        <v>14442</v>
      </c>
      <c r="J9138" t="s">
        <v>32959</v>
      </c>
      <c r="K9138" t="s">
        <v>42297</v>
      </c>
      <c r="M9138" t="s">
        <v>42856</v>
      </c>
      <c r="N9138" t="s">
        <v>46569</v>
      </c>
      <c r="O9138" t="s">
        <v>46570</v>
      </c>
      <c r="P9138">
        <v>0</v>
      </c>
      <c r="Q9138">
        <v>2</v>
      </c>
      <c r="R9138" t="s">
        <v>46577</v>
      </c>
      <c r="S9138" t="s">
        <v>46808</v>
      </c>
      <c r="T9138" t="s">
        <v>48450</v>
      </c>
      <c r="U9138" t="s">
        <v>56190</v>
      </c>
      <c r="W9138" t="s">
        <v>42856</v>
      </c>
      <c r="X9138" t="s">
        <v>46578</v>
      </c>
    </row>
    <row r="9139" spans="1:24">
      <c r="A9139">
        <f>HYPERLINK("https://www.philgeps.gov.ph/GEPSNONPILOT/Tender/SplashBidNoticeAbstractUI.aspx?menuIndex=3&amp;refID=7052745&amp;Result=3","7052745")</f>
        <v>0</v>
      </c>
      <c r="B9139" t="s">
        <v>1411</v>
      </c>
      <c r="C9139" t="s">
        <v>12197</v>
      </c>
      <c r="D9139" t="s">
        <v>18790</v>
      </c>
      <c r="E9139" t="s">
        <v>26842</v>
      </c>
      <c r="F9139" t="s">
        <v>32664</v>
      </c>
      <c r="G9139" t="s">
        <v>32672</v>
      </c>
      <c r="H9139" t="s">
        <v>12635</v>
      </c>
      <c r="I9139" t="s">
        <v>32699</v>
      </c>
      <c r="J9139" t="s">
        <v>38358</v>
      </c>
      <c r="K9139" t="s">
        <v>42289</v>
      </c>
      <c r="M9139" t="s">
        <v>45443</v>
      </c>
      <c r="N9139" t="s">
        <v>46569</v>
      </c>
      <c r="O9139" t="s">
        <v>46570</v>
      </c>
      <c r="P9139">
        <v>0</v>
      </c>
      <c r="Q9139">
        <v>0</v>
      </c>
      <c r="R9139" t="s">
        <v>46577</v>
      </c>
      <c r="S9139" t="s">
        <v>46808</v>
      </c>
      <c r="T9139" t="s">
        <v>48212</v>
      </c>
      <c r="U9139" t="s">
        <v>56191</v>
      </c>
      <c r="W9139" t="s">
        <v>45443</v>
      </c>
      <c r="X9139" t="s">
        <v>46578</v>
      </c>
    </row>
    <row r="9140" spans="1:24">
      <c r="A9140">
        <f>HYPERLINK("https://www.philgeps.gov.ph/GEPSNONPILOT/Tender/SplashBidNoticeAbstractUI.aspx?menuIndex=3&amp;refID=7052827&amp;Result=3","7052827")</f>
        <v>0</v>
      </c>
      <c r="B9140" t="s">
        <v>264</v>
      </c>
      <c r="C9140" t="s">
        <v>12198</v>
      </c>
      <c r="D9140" t="s">
        <v>18841</v>
      </c>
      <c r="E9140" t="s">
        <v>26843</v>
      </c>
      <c r="F9140" t="s">
        <v>32664</v>
      </c>
      <c r="G9140" t="s">
        <v>32672</v>
      </c>
      <c r="H9140" t="s">
        <v>12635</v>
      </c>
      <c r="I9140" t="s">
        <v>32708</v>
      </c>
      <c r="J9140" t="s">
        <v>38359</v>
      </c>
      <c r="K9140" t="s">
        <v>42284</v>
      </c>
      <c r="M9140" t="s">
        <v>42829</v>
      </c>
      <c r="N9140" t="s">
        <v>46569</v>
      </c>
      <c r="O9140" t="s">
        <v>46570</v>
      </c>
      <c r="P9140">
        <v>0</v>
      </c>
      <c r="Q9140">
        <v>4</v>
      </c>
      <c r="R9140" t="s">
        <v>46577</v>
      </c>
      <c r="S9140" t="s">
        <v>46808</v>
      </c>
      <c r="T9140" t="s">
        <v>48282</v>
      </c>
      <c r="U9140" t="s">
        <v>56192</v>
      </c>
      <c r="W9140" t="s">
        <v>42829</v>
      </c>
      <c r="X9140" t="s">
        <v>46578</v>
      </c>
    </row>
    <row r="9141" spans="1:24">
      <c r="A9141">
        <f>HYPERLINK("https://www.philgeps.gov.ph/GEPSNONPILOT/Tender/SplashBidNoticeAbstractUI.aspx?menuIndex=3&amp;refID=7052823&amp;Result=3","7052823")</f>
        <v>0</v>
      </c>
      <c r="B9141" t="s">
        <v>2625</v>
      </c>
      <c r="C9141" t="s">
        <v>11660</v>
      </c>
      <c r="D9141" t="s">
        <v>18807</v>
      </c>
      <c r="E9141" t="s">
        <v>26844</v>
      </c>
      <c r="F9141" t="s">
        <v>32664</v>
      </c>
      <c r="G9141" t="s">
        <v>32672</v>
      </c>
      <c r="H9141" t="s">
        <v>12635</v>
      </c>
      <c r="I9141" t="s">
        <v>5589</v>
      </c>
      <c r="J9141" t="s">
        <v>38360</v>
      </c>
      <c r="K9141" t="s">
        <v>42281</v>
      </c>
      <c r="M9141" t="s">
        <v>45444</v>
      </c>
      <c r="N9141" t="s">
        <v>46569</v>
      </c>
      <c r="O9141" t="s">
        <v>46570</v>
      </c>
      <c r="P9141">
        <v>0</v>
      </c>
      <c r="Q9141">
        <v>3</v>
      </c>
      <c r="R9141" t="s">
        <v>46577</v>
      </c>
      <c r="S9141" t="s">
        <v>46808</v>
      </c>
      <c r="T9141" t="s">
        <v>48532</v>
      </c>
      <c r="U9141" t="s">
        <v>56193</v>
      </c>
      <c r="W9141" t="s">
        <v>45444</v>
      </c>
      <c r="X9141" t="s">
        <v>46578</v>
      </c>
    </row>
    <row r="9142" spans="1:24">
      <c r="A9142">
        <f>HYPERLINK("https://www.philgeps.gov.ph/GEPSNONPILOT/Tender/SplashBidNoticeAbstractUI.aspx?menuIndex=3&amp;refID=7052836&amp;Result=3","7052836")</f>
        <v>0</v>
      </c>
      <c r="B9142" t="s">
        <v>1349</v>
      </c>
      <c r="C9142" t="s">
        <v>12199</v>
      </c>
      <c r="D9142" t="s">
        <v>18790</v>
      </c>
      <c r="E9142" t="s">
        <v>22542</v>
      </c>
      <c r="F9142" t="s">
        <v>32664</v>
      </c>
      <c r="G9142" t="s">
        <v>32672</v>
      </c>
      <c r="H9142" t="s">
        <v>12635</v>
      </c>
      <c r="I9142" t="s">
        <v>11464</v>
      </c>
      <c r="J9142" t="s">
        <v>33008</v>
      </c>
      <c r="K9142" t="s">
        <v>42289</v>
      </c>
      <c r="M9142" t="s">
        <v>44001</v>
      </c>
      <c r="N9142" t="s">
        <v>46569</v>
      </c>
      <c r="O9142" t="s">
        <v>46570</v>
      </c>
      <c r="P9142">
        <v>0</v>
      </c>
      <c r="Q9142">
        <v>3</v>
      </c>
      <c r="R9142" t="s">
        <v>46577</v>
      </c>
      <c r="S9142" t="s">
        <v>46808</v>
      </c>
      <c r="T9142" t="s">
        <v>48376</v>
      </c>
      <c r="U9142" t="s">
        <v>51663</v>
      </c>
      <c r="W9142" t="s">
        <v>44001</v>
      </c>
      <c r="X9142" t="s">
        <v>46578</v>
      </c>
    </row>
    <row r="9143" spans="1:24">
      <c r="A9143">
        <f>HYPERLINK("https://www.philgeps.gov.ph/GEPSNONPILOT/Tender/SplashBidNoticeAbstractUI.aspx?menuIndex=3&amp;refID=7052835&amp;Result=3","7052835")</f>
        <v>0</v>
      </c>
      <c r="B9143" t="s">
        <v>2626</v>
      </c>
      <c r="C9143" t="s">
        <v>12200</v>
      </c>
      <c r="D9143" t="s">
        <v>18830</v>
      </c>
      <c r="E9143" t="s">
        <v>26845</v>
      </c>
      <c r="F9143" t="s">
        <v>32664</v>
      </c>
      <c r="G9143" t="s">
        <v>32672</v>
      </c>
      <c r="H9143" t="s">
        <v>12635</v>
      </c>
      <c r="I9143" t="s">
        <v>32725</v>
      </c>
      <c r="J9143" t="s">
        <v>38361</v>
      </c>
      <c r="K9143" t="s">
        <v>42281</v>
      </c>
      <c r="M9143" t="s">
        <v>45445</v>
      </c>
      <c r="N9143" t="s">
        <v>46569</v>
      </c>
      <c r="O9143" t="s">
        <v>46570</v>
      </c>
      <c r="Q9143">
        <v>9</v>
      </c>
      <c r="R9143" t="s">
        <v>46577</v>
      </c>
      <c r="S9143" t="s">
        <v>46818</v>
      </c>
      <c r="T9143" t="s">
        <v>48321</v>
      </c>
      <c r="U9143" t="s">
        <v>56194</v>
      </c>
      <c r="W9143" t="s">
        <v>45445</v>
      </c>
      <c r="X9143" t="s">
        <v>46578</v>
      </c>
    </row>
    <row r="9144" spans="1:24">
      <c r="A9144">
        <f>HYPERLINK("https://www.philgeps.gov.ph/GEPSNONPILOT/Tender/SplashBidNoticeAbstractUI.aspx?menuIndex=3&amp;refID=7052829&amp;Result=3","7052829")</f>
        <v>0</v>
      </c>
      <c r="B9144" t="s">
        <v>289</v>
      </c>
      <c r="C9144" t="s">
        <v>12201</v>
      </c>
      <c r="D9144" t="s">
        <v>18791</v>
      </c>
      <c r="E9144" t="s">
        <v>26846</v>
      </c>
      <c r="F9144" t="s">
        <v>32664</v>
      </c>
      <c r="G9144" t="s">
        <v>32671</v>
      </c>
      <c r="H9144" t="s">
        <v>12635</v>
      </c>
      <c r="I9144" t="s">
        <v>32704</v>
      </c>
      <c r="J9144" t="s">
        <v>33096</v>
      </c>
      <c r="K9144" t="s">
        <v>42297</v>
      </c>
      <c r="M9144" t="s">
        <v>42856</v>
      </c>
      <c r="N9144" t="s">
        <v>46569</v>
      </c>
      <c r="O9144" t="s">
        <v>46570</v>
      </c>
      <c r="P9144">
        <v>0</v>
      </c>
      <c r="Q9144">
        <v>4</v>
      </c>
      <c r="R9144" t="s">
        <v>46577</v>
      </c>
      <c r="S9144" t="s">
        <v>46808</v>
      </c>
      <c r="T9144" t="s">
        <v>48450</v>
      </c>
      <c r="U9144" t="s">
        <v>56195</v>
      </c>
      <c r="W9144" t="s">
        <v>42856</v>
      </c>
      <c r="X9144" t="s">
        <v>46578</v>
      </c>
    </row>
    <row r="9145" spans="1:24">
      <c r="A9145">
        <f>HYPERLINK("https://www.philgeps.gov.ph/GEPSNONPILOT/Tender/SplashBidNoticeAbstractUI.aspx?menuIndex=3&amp;refID=7052818&amp;Result=3","7052818")</f>
        <v>0</v>
      </c>
      <c r="B9145" t="s">
        <v>555</v>
      </c>
      <c r="C9145" t="s">
        <v>12202</v>
      </c>
      <c r="D9145" t="s">
        <v>18841</v>
      </c>
      <c r="E9145" t="s">
        <v>26847</v>
      </c>
      <c r="F9145" t="s">
        <v>32664</v>
      </c>
      <c r="G9145" t="s">
        <v>32671</v>
      </c>
      <c r="H9145" t="s">
        <v>12635</v>
      </c>
      <c r="I9145" t="s">
        <v>32706</v>
      </c>
      <c r="J9145" t="s">
        <v>33657</v>
      </c>
      <c r="K9145" t="s">
        <v>42289</v>
      </c>
      <c r="M9145" t="s">
        <v>43135</v>
      </c>
      <c r="N9145" t="s">
        <v>46569</v>
      </c>
      <c r="O9145" t="s">
        <v>46570</v>
      </c>
      <c r="P9145">
        <v>0</v>
      </c>
      <c r="Q9145">
        <v>0</v>
      </c>
      <c r="R9145" t="s">
        <v>46577</v>
      </c>
      <c r="S9145" t="s">
        <v>46808</v>
      </c>
      <c r="T9145" t="s">
        <v>48448</v>
      </c>
      <c r="U9145" t="s">
        <v>56182</v>
      </c>
      <c r="W9145" t="s">
        <v>43135</v>
      </c>
      <c r="X9145" t="s">
        <v>46578</v>
      </c>
    </row>
    <row r="9146" spans="1:24">
      <c r="A9146">
        <f>HYPERLINK("https://www.philgeps.gov.ph/GEPSNONPILOT/Tender/SplashBidNoticeAbstractUI.aspx?menuIndex=3&amp;refID=7052814&amp;Result=3","7052814")</f>
        <v>0</v>
      </c>
      <c r="B9146" t="s">
        <v>2627</v>
      </c>
      <c r="C9146" t="s">
        <v>12203</v>
      </c>
      <c r="D9146" t="s">
        <v>18856</v>
      </c>
      <c r="E9146" t="s">
        <v>26848</v>
      </c>
      <c r="F9146" t="s">
        <v>32664</v>
      </c>
      <c r="G9146" t="s">
        <v>32672</v>
      </c>
      <c r="H9146" t="s">
        <v>12635</v>
      </c>
      <c r="I9146" t="s">
        <v>4439</v>
      </c>
      <c r="J9146" t="s">
        <v>32898</v>
      </c>
      <c r="K9146" t="s">
        <v>42281</v>
      </c>
      <c r="M9146" t="s">
        <v>45446</v>
      </c>
      <c r="N9146" t="s">
        <v>46569</v>
      </c>
      <c r="O9146" t="s">
        <v>46570</v>
      </c>
      <c r="P9146">
        <v>0</v>
      </c>
      <c r="Q9146">
        <v>0</v>
      </c>
      <c r="R9146" t="s">
        <v>46577</v>
      </c>
      <c r="S9146" t="s">
        <v>46808</v>
      </c>
      <c r="T9146" t="s">
        <v>48254</v>
      </c>
      <c r="U9146" t="s">
        <v>56196</v>
      </c>
      <c r="W9146" t="s">
        <v>45446</v>
      </c>
      <c r="X9146" t="s">
        <v>46578</v>
      </c>
    </row>
    <row r="9147" spans="1:24">
      <c r="A9147">
        <f>HYPERLINK("https://www.philgeps.gov.ph/GEPSNONPILOT/Tender/SplashBidNoticeAbstractUI.aspx?menuIndex=3&amp;refID=7052813&amp;Result=3","7052813")</f>
        <v>0</v>
      </c>
      <c r="B9147" t="s">
        <v>1138</v>
      </c>
      <c r="C9147" t="s">
        <v>12204</v>
      </c>
      <c r="D9147" t="s">
        <v>18842</v>
      </c>
      <c r="E9147" t="s">
        <v>19444</v>
      </c>
      <c r="F9147" t="s">
        <v>32664</v>
      </c>
      <c r="G9147" t="s">
        <v>32671</v>
      </c>
      <c r="H9147" t="s">
        <v>32683</v>
      </c>
      <c r="I9147" t="s">
        <v>10627</v>
      </c>
      <c r="J9147" t="s">
        <v>38362</v>
      </c>
      <c r="K9147" t="s">
        <v>42281</v>
      </c>
      <c r="M9147" t="s">
        <v>43769</v>
      </c>
      <c r="N9147" t="s">
        <v>46569</v>
      </c>
      <c r="O9147" t="s">
        <v>46570</v>
      </c>
      <c r="P9147">
        <v>0</v>
      </c>
      <c r="Q9147">
        <v>0</v>
      </c>
      <c r="R9147" t="s">
        <v>46577</v>
      </c>
      <c r="S9147" t="s">
        <v>46808</v>
      </c>
      <c r="T9147" t="s">
        <v>48473</v>
      </c>
      <c r="U9147" t="s">
        <v>56197</v>
      </c>
      <c r="W9147" t="s">
        <v>43769</v>
      </c>
      <c r="X9147" t="s">
        <v>46578</v>
      </c>
    </row>
    <row r="9148" spans="1:24">
      <c r="A9148">
        <f>HYPERLINK("https://www.philgeps.gov.ph/GEPSNONPILOT/Tender/SplashBidNoticeAbstractUI.aspx?menuIndex=3&amp;refID=7052809&amp;Result=3","7052809")</f>
        <v>0</v>
      </c>
      <c r="B9148" t="s">
        <v>137</v>
      </c>
      <c r="C9148" t="s">
        <v>12205</v>
      </c>
      <c r="D9148" t="s">
        <v>18826</v>
      </c>
      <c r="E9148" t="s">
        <v>26849</v>
      </c>
      <c r="F9148" t="s">
        <v>32664</v>
      </c>
      <c r="G9148" t="s">
        <v>32675</v>
      </c>
      <c r="H9148" t="s">
        <v>12635</v>
      </c>
      <c r="I9148" t="s">
        <v>7709</v>
      </c>
      <c r="J9148" t="s">
        <v>38363</v>
      </c>
      <c r="K9148" t="s">
        <v>42281</v>
      </c>
      <c r="M9148" t="s">
        <v>42701</v>
      </c>
      <c r="N9148" t="s">
        <v>46569</v>
      </c>
      <c r="O9148" t="s">
        <v>46570</v>
      </c>
      <c r="P9148">
        <v>0</v>
      </c>
      <c r="Q9148">
        <v>0</v>
      </c>
      <c r="R9148" t="s">
        <v>46577</v>
      </c>
      <c r="S9148" t="s">
        <v>46808</v>
      </c>
      <c r="T9148" t="s">
        <v>48221</v>
      </c>
      <c r="U9148" t="s">
        <v>56198</v>
      </c>
      <c r="W9148" t="s">
        <v>42701</v>
      </c>
      <c r="X9148" t="s">
        <v>46578</v>
      </c>
    </row>
    <row r="9149" spans="1:24">
      <c r="A9149">
        <f>HYPERLINK("https://www.philgeps.gov.ph/GEPSNONPILOT/Tender/SplashBidNoticeAbstractUI.aspx?menuIndex=3&amp;refID=7052806&amp;Result=3","7052806")</f>
        <v>0</v>
      </c>
      <c r="B9149" t="s">
        <v>1349</v>
      </c>
      <c r="C9149" t="s">
        <v>12206</v>
      </c>
      <c r="D9149" t="s">
        <v>18790</v>
      </c>
      <c r="E9149" t="s">
        <v>25976</v>
      </c>
      <c r="F9149" t="s">
        <v>32664</v>
      </c>
      <c r="G9149" t="s">
        <v>32672</v>
      </c>
      <c r="H9149" t="s">
        <v>12635</v>
      </c>
      <c r="I9149" t="s">
        <v>4439</v>
      </c>
      <c r="J9149" t="s">
        <v>38364</v>
      </c>
      <c r="K9149" t="s">
        <v>42289</v>
      </c>
      <c r="M9149" t="s">
        <v>44001</v>
      </c>
      <c r="N9149" t="s">
        <v>46569</v>
      </c>
      <c r="O9149" t="s">
        <v>46570</v>
      </c>
      <c r="P9149">
        <v>0</v>
      </c>
      <c r="Q9149">
        <v>0</v>
      </c>
      <c r="R9149" t="s">
        <v>46577</v>
      </c>
      <c r="S9149" t="s">
        <v>46808</v>
      </c>
      <c r="T9149" t="s">
        <v>48376</v>
      </c>
      <c r="U9149" t="s">
        <v>51663</v>
      </c>
      <c r="W9149" t="s">
        <v>44001</v>
      </c>
      <c r="X9149" t="s">
        <v>46578</v>
      </c>
    </row>
    <row r="9150" spans="1:24">
      <c r="A9150">
        <f>HYPERLINK("https://www.philgeps.gov.ph/GEPSNONPILOT/Tender/SplashBidNoticeAbstractUI.aspx?menuIndex=3&amp;refID=7052804&amp;Result=3","7052804")</f>
        <v>0</v>
      </c>
      <c r="B9150" t="s">
        <v>2628</v>
      </c>
      <c r="C9150" t="s">
        <v>12207</v>
      </c>
      <c r="E9150" t="s">
        <v>19380</v>
      </c>
      <c r="F9150" t="s">
        <v>32664</v>
      </c>
      <c r="G9150" t="s">
        <v>32672</v>
      </c>
      <c r="H9150" t="s">
        <v>12635</v>
      </c>
      <c r="I9150" t="s">
        <v>4439</v>
      </c>
      <c r="J9150" t="s">
        <v>38365</v>
      </c>
      <c r="K9150" t="s">
        <v>42283</v>
      </c>
      <c r="M9150" t="s">
        <v>45447</v>
      </c>
      <c r="N9150" t="s">
        <v>46569</v>
      </c>
      <c r="O9150" t="s">
        <v>46570</v>
      </c>
      <c r="P9150">
        <v>0</v>
      </c>
      <c r="Q9150">
        <v>1</v>
      </c>
      <c r="R9150" t="s">
        <v>46577</v>
      </c>
      <c r="S9150" t="s">
        <v>46808</v>
      </c>
      <c r="T9150" t="s">
        <v>48380</v>
      </c>
      <c r="U9150" t="s">
        <v>56199</v>
      </c>
      <c r="W9150" t="s">
        <v>45447</v>
      </c>
      <c r="X9150" t="s">
        <v>46578</v>
      </c>
    </row>
    <row r="9151" spans="1:24">
      <c r="A9151">
        <f>HYPERLINK("https://www.philgeps.gov.ph/GEPSNONPILOT/Tender/SplashBidNoticeAbstractUI.aspx?menuIndex=3&amp;refID=7052801&amp;Result=3","7052801")</f>
        <v>0</v>
      </c>
      <c r="B9151" t="s">
        <v>184</v>
      </c>
      <c r="C9151" t="s">
        <v>12208</v>
      </c>
      <c r="D9151" t="s">
        <v>18825</v>
      </c>
      <c r="E9151" t="s">
        <v>26850</v>
      </c>
      <c r="F9151" t="s">
        <v>32664</v>
      </c>
      <c r="G9151" t="s">
        <v>32671</v>
      </c>
      <c r="H9151" t="s">
        <v>12635</v>
      </c>
      <c r="I9151" t="s">
        <v>6553</v>
      </c>
      <c r="J9151" t="s">
        <v>33182</v>
      </c>
      <c r="K9151" t="s">
        <v>42284</v>
      </c>
      <c r="M9151" t="s">
        <v>42748</v>
      </c>
      <c r="N9151" t="s">
        <v>46569</v>
      </c>
      <c r="O9151" t="s">
        <v>46570</v>
      </c>
      <c r="P9151">
        <v>0</v>
      </c>
      <c r="Q9151">
        <v>1</v>
      </c>
      <c r="R9151" t="s">
        <v>46577</v>
      </c>
      <c r="S9151" t="s">
        <v>46808</v>
      </c>
      <c r="T9151" t="s">
        <v>48305</v>
      </c>
      <c r="U9151" t="s">
        <v>56200</v>
      </c>
      <c r="W9151" t="s">
        <v>42748</v>
      </c>
      <c r="X9151" t="s">
        <v>46578</v>
      </c>
    </row>
    <row r="9152" spans="1:24">
      <c r="A9152">
        <f>HYPERLINK("https://www.philgeps.gov.ph/GEPSNONPILOT/Tender/SplashBidNoticeAbstractUI.aspx?menuIndex=3&amp;refID=7052800&amp;Result=3","7052800")</f>
        <v>0</v>
      </c>
      <c r="B9152" t="s">
        <v>264</v>
      </c>
      <c r="C9152" t="s">
        <v>12209</v>
      </c>
      <c r="D9152" t="s">
        <v>18841</v>
      </c>
      <c r="E9152" t="s">
        <v>26851</v>
      </c>
      <c r="F9152" t="s">
        <v>32664</v>
      </c>
      <c r="G9152" t="s">
        <v>32672</v>
      </c>
      <c r="H9152" t="s">
        <v>32682</v>
      </c>
      <c r="I9152" t="s">
        <v>7324</v>
      </c>
      <c r="J9152" t="s">
        <v>33051</v>
      </c>
      <c r="K9152" t="s">
        <v>42284</v>
      </c>
      <c r="M9152" t="s">
        <v>42829</v>
      </c>
      <c r="N9152" t="s">
        <v>46569</v>
      </c>
      <c r="O9152" t="s">
        <v>46570</v>
      </c>
      <c r="P9152">
        <v>0</v>
      </c>
      <c r="Q9152">
        <v>2</v>
      </c>
      <c r="R9152" t="s">
        <v>46577</v>
      </c>
      <c r="S9152" t="s">
        <v>46808</v>
      </c>
      <c r="T9152" t="s">
        <v>48282</v>
      </c>
      <c r="U9152" t="s">
        <v>56192</v>
      </c>
      <c r="W9152" t="s">
        <v>42829</v>
      </c>
      <c r="X9152" t="s">
        <v>46578</v>
      </c>
    </row>
    <row r="9153" spans="1:24">
      <c r="A9153">
        <f>HYPERLINK("https://www.philgeps.gov.ph/GEPSNONPILOT/Tender/SplashBidNoticeAbstractUI.aspx?menuIndex=3&amp;refID=7052791&amp;Result=3","7052791")</f>
        <v>0</v>
      </c>
      <c r="B9153" t="s">
        <v>555</v>
      </c>
      <c r="C9153" t="s">
        <v>12210</v>
      </c>
      <c r="D9153" t="s">
        <v>18841</v>
      </c>
      <c r="E9153" t="s">
        <v>26852</v>
      </c>
      <c r="F9153" t="s">
        <v>32664</v>
      </c>
      <c r="G9153" t="s">
        <v>32672</v>
      </c>
      <c r="H9153" t="s">
        <v>12635</v>
      </c>
      <c r="I9153" t="s">
        <v>32706</v>
      </c>
      <c r="J9153" t="s">
        <v>38366</v>
      </c>
      <c r="K9153" t="s">
        <v>42289</v>
      </c>
      <c r="M9153" t="s">
        <v>43135</v>
      </c>
      <c r="N9153" t="s">
        <v>46569</v>
      </c>
      <c r="O9153" t="s">
        <v>46570</v>
      </c>
      <c r="P9153">
        <v>0</v>
      </c>
      <c r="Q9153">
        <v>0</v>
      </c>
      <c r="R9153" t="s">
        <v>46577</v>
      </c>
      <c r="S9153" t="s">
        <v>46808</v>
      </c>
      <c r="T9153" t="s">
        <v>48293</v>
      </c>
      <c r="U9153" t="s">
        <v>56201</v>
      </c>
      <c r="W9153" t="s">
        <v>43135</v>
      </c>
      <c r="X9153" t="s">
        <v>46578</v>
      </c>
    </row>
    <row r="9154" spans="1:24">
      <c r="A9154">
        <f>HYPERLINK("https://www.philgeps.gov.ph/GEPSNONPILOT/Tender/SplashBidNoticeAbstractUI.aspx?menuIndex=3&amp;refID=7052789&amp;Result=3","7052789")</f>
        <v>0</v>
      </c>
      <c r="B9154" t="s">
        <v>567</v>
      </c>
      <c r="C9154" t="s">
        <v>12211</v>
      </c>
      <c r="D9154" t="s">
        <v>18784</v>
      </c>
      <c r="E9154" t="s">
        <v>26853</v>
      </c>
      <c r="F9154" t="s">
        <v>32664</v>
      </c>
      <c r="G9154" t="s">
        <v>32674</v>
      </c>
      <c r="H9154" t="s">
        <v>12635</v>
      </c>
      <c r="I9154" t="s">
        <v>6223</v>
      </c>
      <c r="J9154" t="s">
        <v>33021</v>
      </c>
      <c r="K9154" t="s">
        <v>42284</v>
      </c>
      <c r="M9154" t="s">
        <v>45448</v>
      </c>
      <c r="N9154" t="s">
        <v>46569</v>
      </c>
      <c r="O9154" t="s">
        <v>46570</v>
      </c>
      <c r="P9154">
        <v>0</v>
      </c>
      <c r="Q9154">
        <v>4</v>
      </c>
      <c r="R9154" t="s">
        <v>46577</v>
      </c>
      <c r="S9154" t="s">
        <v>46808</v>
      </c>
      <c r="T9154" t="s">
        <v>48449</v>
      </c>
      <c r="U9154" t="s">
        <v>56202</v>
      </c>
      <c r="W9154" t="s">
        <v>45448</v>
      </c>
      <c r="X9154" t="s">
        <v>46578</v>
      </c>
    </row>
    <row r="9155" spans="1:24">
      <c r="A9155">
        <f>HYPERLINK("https://www.philgeps.gov.ph/GEPSNONPILOT/Tender/SplashBidNoticeAbstractUI.aspx?menuIndex=3&amp;refID=7052788&amp;Result=3","7052788")</f>
        <v>0</v>
      </c>
      <c r="B9155" t="s">
        <v>184</v>
      </c>
      <c r="C9155" t="s">
        <v>12212</v>
      </c>
      <c r="D9155" t="s">
        <v>18825</v>
      </c>
      <c r="E9155" t="s">
        <v>26854</v>
      </c>
      <c r="F9155" t="s">
        <v>32664</v>
      </c>
      <c r="G9155" t="s">
        <v>32671</v>
      </c>
      <c r="H9155" t="s">
        <v>12635</v>
      </c>
      <c r="I9155" t="s">
        <v>6118</v>
      </c>
      <c r="J9155" t="s">
        <v>38367</v>
      </c>
      <c r="K9155" t="s">
        <v>42284</v>
      </c>
      <c r="M9155" t="s">
        <v>42748</v>
      </c>
      <c r="N9155" t="s">
        <v>46569</v>
      </c>
      <c r="O9155" t="s">
        <v>46570</v>
      </c>
      <c r="P9155">
        <v>0</v>
      </c>
      <c r="Q9155">
        <v>0</v>
      </c>
      <c r="R9155" t="s">
        <v>46577</v>
      </c>
      <c r="S9155" t="s">
        <v>46808</v>
      </c>
      <c r="T9155" t="s">
        <v>48228</v>
      </c>
      <c r="U9155" t="s">
        <v>56203</v>
      </c>
      <c r="W9155" t="s">
        <v>42748</v>
      </c>
      <c r="X9155" t="s">
        <v>46578</v>
      </c>
    </row>
    <row r="9156" spans="1:24">
      <c r="A9156">
        <f>HYPERLINK("https://www.philgeps.gov.ph/GEPSNONPILOT/Tender/SplashBidNoticeAbstractUI.aspx?menuIndex=3&amp;refID=7052787&amp;Result=3","7052787")</f>
        <v>0</v>
      </c>
      <c r="B9156" t="s">
        <v>1138</v>
      </c>
      <c r="C9156" t="s">
        <v>12213</v>
      </c>
      <c r="E9156" t="s">
        <v>19356</v>
      </c>
      <c r="F9156" t="s">
        <v>32664</v>
      </c>
      <c r="G9156" t="s">
        <v>32672</v>
      </c>
      <c r="H9156" t="s">
        <v>32683</v>
      </c>
      <c r="I9156" t="s">
        <v>10627</v>
      </c>
      <c r="J9156" t="s">
        <v>34439</v>
      </c>
      <c r="K9156" t="s">
        <v>42305</v>
      </c>
      <c r="M9156" t="s">
        <v>43769</v>
      </c>
      <c r="N9156" t="s">
        <v>46569</v>
      </c>
      <c r="O9156" t="s">
        <v>46570</v>
      </c>
      <c r="P9156">
        <v>0</v>
      </c>
      <c r="Q9156">
        <v>0</v>
      </c>
      <c r="R9156" t="s">
        <v>46577</v>
      </c>
      <c r="S9156" t="s">
        <v>46808</v>
      </c>
      <c r="T9156" t="s">
        <v>48256</v>
      </c>
      <c r="U9156" t="s">
        <v>51666</v>
      </c>
      <c r="W9156" t="s">
        <v>43769</v>
      </c>
      <c r="X9156" t="s">
        <v>46578</v>
      </c>
    </row>
    <row r="9157" spans="1:24">
      <c r="A9157">
        <f>HYPERLINK("https://www.philgeps.gov.ph/GEPSNONPILOT/Tender/SplashBidNoticeAbstractUI.aspx?menuIndex=3&amp;refID=7052752&amp;Result=3","7052752")</f>
        <v>0</v>
      </c>
      <c r="B9157" t="s">
        <v>1349</v>
      </c>
      <c r="C9157" t="s">
        <v>12214</v>
      </c>
      <c r="D9157" t="s">
        <v>18790</v>
      </c>
      <c r="E9157" t="s">
        <v>19185</v>
      </c>
      <c r="F9157" t="s">
        <v>32664</v>
      </c>
      <c r="G9157" t="s">
        <v>32672</v>
      </c>
      <c r="H9157" t="s">
        <v>12635</v>
      </c>
      <c r="I9157" t="s">
        <v>4439</v>
      </c>
      <c r="J9157" t="s">
        <v>38368</v>
      </c>
      <c r="K9157" t="s">
        <v>42289</v>
      </c>
      <c r="M9157" t="s">
        <v>44001</v>
      </c>
      <c r="N9157" t="s">
        <v>46569</v>
      </c>
      <c r="O9157" t="s">
        <v>46570</v>
      </c>
      <c r="P9157">
        <v>0</v>
      </c>
      <c r="Q9157">
        <v>1</v>
      </c>
      <c r="R9157" t="s">
        <v>46577</v>
      </c>
      <c r="S9157" t="s">
        <v>46808</v>
      </c>
      <c r="T9157" t="s">
        <v>48468</v>
      </c>
      <c r="U9157" t="s">
        <v>51663</v>
      </c>
      <c r="V9157" t="s">
        <v>62562</v>
      </c>
      <c r="W9157" t="s">
        <v>44001</v>
      </c>
      <c r="X9157" t="s">
        <v>46578</v>
      </c>
    </row>
    <row r="9158" spans="1:24">
      <c r="A9158">
        <f>HYPERLINK("https://www.philgeps.gov.ph/GEPSNONPILOT/Tender/SplashBidNoticeAbstractUI.aspx?menuIndex=3&amp;refID=7052750&amp;Result=3","7052750")</f>
        <v>0</v>
      </c>
      <c r="B9158" t="s">
        <v>1411</v>
      </c>
      <c r="C9158" t="s">
        <v>12215</v>
      </c>
      <c r="D9158" t="s">
        <v>18790</v>
      </c>
      <c r="E9158" t="s">
        <v>26855</v>
      </c>
      <c r="F9158" t="s">
        <v>32664</v>
      </c>
      <c r="G9158" t="s">
        <v>32672</v>
      </c>
      <c r="H9158" t="s">
        <v>12635</v>
      </c>
      <c r="I9158" t="s">
        <v>32768</v>
      </c>
      <c r="J9158" t="s">
        <v>32837</v>
      </c>
      <c r="K9158" t="s">
        <v>42289</v>
      </c>
      <c r="M9158" t="s">
        <v>45443</v>
      </c>
      <c r="N9158" t="s">
        <v>46569</v>
      </c>
      <c r="O9158" t="s">
        <v>46570</v>
      </c>
      <c r="P9158">
        <v>0</v>
      </c>
      <c r="Q9158">
        <v>0</v>
      </c>
      <c r="R9158" t="s">
        <v>46577</v>
      </c>
      <c r="S9158" t="s">
        <v>46808</v>
      </c>
      <c r="T9158" t="s">
        <v>48212</v>
      </c>
      <c r="U9158" t="s">
        <v>56204</v>
      </c>
      <c r="W9158" t="s">
        <v>45443</v>
      </c>
      <c r="X9158" t="s">
        <v>46578</v>
      </c>
    </row>
    <row r="9159" spans="1:24">
      <c r="A9159">
        <f>HYPERLINK("https://www.philgeps.gov.ph/GEPSNONPILOT/Tender/SplashBidNoticeAbstractUI.aspx?menuIndex=3&amp;refID=7052761&amp;Result=3","7052761")</f>
        <v>0</v>
      </c>
      <c r="B9159" t="s">
        <v>2629</v>
      </c>
      <c r="C9159" t="s">
        <v>12216</v>
      </c>
      <c r="D9159" t="s">
        <v>18827</v>
      </c>
      <c r="E9159" t="s">
        <v>26856</v>
      </c>
      <c r="F9159" t="s">
        <v>32664</v>
      </c>
      <c r="G9159" t="s">
        <v>32671</v>
      </c>
      <c r="H9159" t="s">
        <v>12635</v>
      </c>
      <c r="I9159" t="s">
        <v>32692</v>
      </c>
      <c r="J9159" t="s">
        <v>32842</v>
      </c>
      <c r="K9159" t="s">
        <v>42297</v>
      </c>
      <c r="M9159" t="s">
        <v>45449</v>
      </c>
      <c r="N9159" t="s">
        <v>46569</v>
      </c>
      <c r="O9159" t="s">
        <v>46570</v>
      </c>
      <c r="P9159">
        <v>0</v>
      </c>
      <c r="Q9159">
        <v>0</v>
      </c>
      <c r="R9159" t="s">
        <v>46577</v>
      </c>
      <c r="S9159" t="s">
        <v>46808</v>
      </c>
      <c r="T9159" t="s">
        <v>48254</v>
      </c>
      <c r="U9159" t="s">
        <v>56205</v>
      </c>
      <c r="W9159" t="s">
        <v>45449</v>
      </c>
      <c r="X9159" t="s">
        <v>46578</v>
      </c>
    </row>
    <row r="9160" spans="1:24">
      <c r="A9160">
        <f>HYPERLINK("https://www.philgeps.gov.ph/GEPSNONPILOT/Tender/SplashBidNoticeAbstractUI.aspx?menuIndex=3&amp;refID=7052743&amp;Result=3","7052743")</f>
        <v>0</v>
      </c>
      <c r="B9160" t="s">
        <v>2600</v>
      </c>
      <c r="C9160" t="s">
        <v>12217</v>
      </c>
      <c r="D9160" t="s">
        <v>18839</v>
      </c>
      <c r="E9160" t="s">
        <v>26857</v>
      </c>
      <c r="F9160" t="s">
        <v>32664</v>
      </c>
      <c r="G9160" t="s">
        <v>32671</v>
      </c>
      <c r="H9160" t="s">
        <v>12635</v>
      </c>
      <c r="I9160" t="s">
        <v>14442</v>
      </c>
      <c r="J9160" t="s">
        <v>38369</v>
      </c>
      <c r="K9160" t="s">
        <v>42284</v>
      </c>
      <c r="M9160" t="s">
        <v>45416</v>
      </c>
      <c r="N9160" t="s">
        <v>46569</v>
      </c>
      <c r="O9160" t="s">
        <v>46570</v>
      </c>
      <c r="P9160">
        <v>0</v>
      </c>
      <c r="Q9160">
        <v>12</v>
      </c>
      <c r="R9160" t="s">
        <v>46577</v>
      </c>
      <c r="S9160" t="s">
        <v>46808</v>
      </c>
      <c r="T9160" t="s">
        <v>48290</v>
      </c>
      <c r="U9160" t="s">
        <v>56206</v>
      </c>
      <c r="W9160" t="s">
        <v>45416</v>
      </c>
      <c r="X9160" t="s">
        <v>46578</v>
      </c>
    </row>
    <row r="9161" spans="1:24">
      <c r="A9161">
        <f>HYPERLINK("https://www.philgeps.gov.ph/GEPSNONPILOT/Tender/SplashBidNoticeAbstractUI.aspx?menuIndex=3&amp;refID=7052840&amp;Result=3","7052840")</f>
        <v>0</v>
      </c>
      <c r="B9161" t="s">
        <v>1138</v>
      </c>
      <c r="C9161" t="s">
        <v>12213</v>
      </c>
      <c r="D9161" t="s">
        <v>18842</v>
      </c>
      <c r="E9161" t="s">
        <v>19613</v>
      </c>
      <c r="F9161" t="s">
        <v>32664</v>
      </c>
      <c r="G9161" t="s">
        <v>32671</v>
      </c>
      <c r="H9161" t="s">
        <v>32683</v>
      </c>
      <c r="I9161" t="s">
        <v>10627</v>
      </c>
      <c r="J9161" t="s">
        <v>36154</v>
      </c>
      <c r="K9161" t="s">
        <v>42289</v>
      </c>
      <c r="M9161" t="s">
        <v>43769</v>
      </c>
      <c r="N9161" t="s">
        <v>46569</v>
      </c>
      <c r="O9161" t="s">
        <v>46570</v>
      </c>
      <c r="P9161">
        <v>0</v>
      </c>
      <c r="Q9161">
        <v>0</v>
      </c>
      <c r="R9161" t="s">
        <v>46577</v>
      </c>
      <c r="S9161" t="s">
        <v>46808</v>
      </c>
      <c r="T9161" t="s">
        <v>48473</v>
      </c>
      <c r="U9161" t="s">
        <v>56207</v>
      </c>
      <c r="W9161" t="s">
        <v>43769</v>
      </c>
      <c r="X9161" t="s">
        <v>46578</v>
      </c>
    </row>
    <row r="9162" spans="1:24">
      <c r="A9162">
        <f>HYPERLINK("https://www.philgeps.gov.ph/GEPSNONPILOT/Tender/SplashBidNoticeAbstractUI.aspx?menuIndex=3&amp;refID=7052865&amp;Result=3","7052865")</f>
        <v>0</v>
      </c>
      <c r="B9162" t="s">
        <v>208</v>
      </c>
      <c r="C9162" t="s">
        <v>11780</v>
      </c>
      <c r="D9162" t="s">
        <v>18837</v>
      </c>
      <c r="E9162" t="s">
        <v>19193</v>
      </c>
      <c r="F9162" t="s">
        <v>32664</v>
      </c>
      <c r="G9162" t="s">
        <v>32675</v>
      </c>
      <c r="H9162" t="s">
        <v>12635</v>
      </c>
      <c r="I9162" t="s">
        <v>6628</v>
      </c>
      <c r="J9162" t="s">
        <v>33338</v>
      </c>
      <c r="K9162" t="s">
        <v>42284</v>
      </c>
      <c r="M9162" t="s">
        <v>42772</v>
      </c>
      <c r="N9162" t="s">
        <v>46569</v>
      </c>
      <c r="O9162" t="s">
        <v>46570</v>
      </c>
      <c r="P9162">
        <v>0</v>
      </c>
      <c r="Q9162">
        <v>3</v>
      </c>
      <c r="R9162" t="s">
        <v>46577</v>
      </c>
      <c r="S9162" t="s">
        <v>46808</v>
      </c>
      <c r="T9162" t="s">
        <v>48287</v>
      </c>
      <c r="U9162" t="s">
        <v>49152</v>
      </c>
      <c r="W9162" t="s">
        <v>42772</v>
      </c>
      <c r="X9162" t="s">
        <v>46578</v>
      </c>
    </row>
    <row r="9163" spans="1:24">
      <c r="A9163">
        <f>HYPERLINK("https://www.philgeps.gov.ph/GEPSNONPILOT/Tender/SplashBidNoticeAbstractUI.aspx?menuIndex=3&amp;refID=7052871&amp;Result=3","7052871")</f>
        <v>0</v>
      </c>
      <c r="B9163" t="s">
        <v>2446</v>
      </c>
      <c r="C9163" t="s">
        <v>12218</v>
      </c>
      <c r="E9163" t="s">
        <v>26858</v>
      </c>
      <c r="F9163" t="s">
        <v>32664</v>
      </c>
      <c r="G9163" t="s">
        <v>32672</v>
      </c>
      <c r="H9163" t="s">
        <v>12635</v>
      </c>
      <c r="I9163" t="s">
        <v>32712</v>
      </c>
      <c r="J9163" t="s">
        <v>38370</v>
      </c>
      <c r="K9163" t="s">
        <v>42283</v>
      </c>
      <c r="M9163" t="s">
        <v>45239</v>
      </c>
      <c r="N9163" t="s">
        <v>46569</v>
      </c>
      <c r="O9163" t="s">
        <v>46570</v>
      </c>
      <c r="Q9163">
        <v>17</v>
      </c>
      <c r="R9163" t="s">
        <v>46577</v>
      </c>
      <c r="S9163" t="s">
        <v>46819</v>
      </c>
      <c r="T9163" t="s">
        <v>48635</v>
      </c>
      <c r="U9163" t="s">
        <v>56208</v>
      </c>
      <c r="V9163" t="s">
        <v>62563</v>
      </c>
      <c r="W9163" t="s">
        <v>45239</v>
      </c>
      <c r="X9163" t="s">
        <v>46578</v>
      </c>
    </row>
    <row r="9164" spans="1:24">
      <c r="A9164">
        <f>HYPERLINK("https://www.philgeps.gov.ph/GEPSNONPILOT/Tender/SplashBidNoticeAbstractUI.aspx?menuIndex=3&amp;refID=7052699&amp;Result=3","7052699")</f>
        <v>0</v>
      </c>
      <c r="B9164" t="s">
        <v>2630</v>
      </c>
      <c r="C9164" t="s">
        <v>12219</v>
      </c>
      <c r="E9164" t="s">
        <v>19193</v>
      </c>
      <c r="F9164" t="s">
        <v>32664</v>
      </c>
      <c r="G9164" t="s">
        <v>32672</v>
      </c>
      <c r="H9164" t="s">
        <v>12635</v>
      </c>
      <c r="I9164" t="s">
        <v>32736</v>
      </c>
      <c r="J9164" t="s">
        <v>38371</v>
      </c>
      <c r="K9164" t="s">
        <v>42283</v>
      </c>
      <c r="M9164" t="s">
        <v>45450</v>
      </c>
      <c r="N9164" t="s">
        <v>46569</v>
      </c>
      <c r="O9164" t="s">
        <v>46570</v>
      </c>
      <c r="P9164">
        <v>0</v>
      </c>
      <c r="Q9164">
        <v>0</v>
      </c>
      <c r="R9164" t="s">
        <v>46577</v>
      </c>
      <c r="S9164" t="s">
        <v>46808</v>
      </c>
      <c r="T9164" t="s">
        <v>48221</v>
      </c>
      <c r="U9164" t="s">
        <v>56209</v>
      </c>
      <c r="W9164" t="s">
        <v>45450</v>
      </c>
      <c r="X9164" t="s">
        <v>46578</v>
      </c>
    </row>
    <row r="9165" spans="1:24">
      <c r="A9165">
        <f>HYPERLINK("https://www.philgeps.gov.ph/GEPSNONPILOT/Tender/SplashBidNoticeAbstractUI.aspx?menuIndex=3&amp;refID=7052866&amp;Result=3","7052866")</f>
        <v>0</v>
      </c>
      <c r="B9165" t="s">
        <v>2484</v>
      </c>
      <c r="C9165" t="s">
        <v>12220</v>
      </c>
      <c r="D9165" t="s">
        <v>18822</v>
      </c>
      <c r="E9165" t="s">
        <v>26859</v>
      </c>
      <c r="F9165" t="s">
        <v>32664</v>
      </c>
      <c r="G9165" t="s">
        <v>32672</v>
      </c>
      <c r="H9165" t="s">
        <v>12635</v>
      </c>
      <c r="I9165" t="s">
        <v>4439</v>
      </c>
      <c r="J9165" t="s">
        <v>33175</v>
      </c>
      <c r="K9165" t="s">
        <v>42297</v>
      </c>
      <c r="M9165" t="s">
        <v>45284</v>
      </c>
      <c r="N9165" t="s">
        <v>46569</v>
      </c>
      <c r="O9165" t="s">
        <v>46570</v>
      </c>
      <c r="P9165">
        <v>0</v>
      </c>
      <c r="Q9165">
        <v>0</v>
      </c>
      <c r="R9165" t="s">
        <v>46577</v>
      </c>
      <c r="S9165" t="s">
        <v>46808</v>
      </c>
      <c r="T9165" t="s">
        <v>48283</v>
      </c>
      <c r="U9165" t="s">
        <v>56210</v>
      </c>
      <c r="W9165" t="s">
        <v>45284</v>
      </c>
      <c r="X9165" t="s">
        <v>46578</v>
      </c>
    </row>
    <row r="9166" spans="1:24">
      <c r="A9166">
        <f>HYPERLINK("https://www.philgeps.gov.ph/GEPSNONPILOT/Tender/SplashBidNoticeAbstractUI.aspx?menuIndex=3&amp;refID=7052858&amp;Result=3","7052858")</f>
        <v>0</v>
      </c>
      <c r="B9166" t="s">
        <v>289</v>
      </c>
      <c r="C9166" t="s">
        <v>12221</v>
      </c>
      <c r="D9166" t="s">
        <v>18791</v>
      </c>
      <c r="E9166" t="s">
        <v>26860</v>
      </c>
      <c r="F9166" t="s">
        <v>32664</v>
      </c>
      <c r="G9166" t="s">
        <v>32671</v>
      </c>
      <c r="H9166" t="s">
        <v>12635</v>
      </c>
      <c r="I9166" t="s">
        <v>32755</v>
      </c>
      <c r="J9166" t="s">
        <v>33251</v>
      </c>
      <c r="K9166" t="s">
        <v>42297</v>
      </c>
      <c r="M9166" t="s">
        <v>42856</v>
      </c>
      <c r="N9166" t="s">
        <v>46569</v>
      </c>
      <c r="O9166" t="s">
        <v>46570</v>
      </c>
      <c r="P9166">
        <v>0</v>
      </c>
      <c r="Q9166">
        <v>1</v>
      </c>
      <c r="R9166" t="s">
        <v>46577</v>
      </c>
      <c r="S9166" t="s">
        <v>46808</v>
      </c>
      <c r="T9166" t="s">
        <v>48450</v>
      </c>
      <c r="U9166" t="s">
        <v>56211</v>
      </c>
      <c r="W9166" t="s">
        <v>42856</v>
      </c>
      <c r="X9166" t="s">
        <v>46578</v>
      </c>
    </row>
    <row r="9167" spans="1:24">
      <c r="A9167">
        <f>HYPERLINK("https://www.philgeps.gov.ph/GEPSNONPILOT/Tender/SplashBidNoticeAbstractUI.aspx?menuIndex=3&amp;refID=7052856&amp;Result=3","7052856")</f>
        <v>0</v>
      </c>
      <c r="B9167" t="s">
        <v>396</v>
      </c>
      <c r="C9167" t="s">
        <v>12222</v>
      </c>
      <c r="D9167" t="s">
        <v>18790</v>
      </c>
      <c r="E9167" t="s">
        <v>26861</v>
      </c>
      <c r="F9167" t="s">
        <v>32664</v>
      </c>
      <c r="G9167" t="s">
        <v>32672</v>
      </c>
      <c r="H9167" t="s">
        <v>12635</v>
      </c>
      <c r="I9167" t="s">
        <v>4439</v>
      </c>
      <c r="J9167" t="s">
        <v>38372</v>
      </c>
      <c r="K9167" t="s">
        <v>42297</v>
      </c>
      <c r="M9167" t="s">
        <v>42966</v>
      </c>
      <c r="N9167" t="s">
        <v>46569</v>
      </c>
      <c r="O9167" t="s">
        <v>46570</v>
      </c>
      <c r="P9167">
        <v>0</v>
      </c>
      <c r="Q9167">
        <v>0</v>
      </c>
      <c r="R9167" t="s">
        <v>46577</v>
      </c>
      <c r="S9167" t="s">
        <v>46808</v>
      </c>
      <c r="T9167" t="s">
        <v>48283</v>
      </c>
      <c r="U9167" t="s">
        <v>56212</v>
      </c>
      <c r="W9167" t="s">
        <v>42966</v>
      </c>
      <c r="X9167" t="s">
        <v>46578</v>
      </c>
    </row>
    <row r="9168" spans="1:24">
      <c r="A9168">
        <f>HYPERLINK("https://www.philgeps.gov.ph/GEPSNONPILOT/Tender/SplashBidNoticeAbstractUI.aspx?menuIndex=3&amp;refID=7052870&amp;Result=3","7052870")</f>
        <v>0</v>
      </c>
      <c r="B9168" t="s">
        <v>2631</v>
      </c>
      <c r="C9168" t="s">
        <v>12223</v>
      </c>
      <c r="D9168" t="s">
        <v>18810</v>
      </c>
      <c r="E9168" t="s">
        <v>21076</v>
      </c>
      <c r="F9168" t="s">
        <v>32664</v>
      </c>
      <c r="G9168" t="s">
        <v>32677</v>
      </c>
      <c r="H9168" t="s">
        <v>12635</v>
      </c>
      <c r="I9168" t="s">
        <v>11464</v>
      </c>
      <c r="J9168" t="s">
        <v>32930</v>
      </c>
      <c r="K9168" t="s">
        <v>42289</v>
      </c>
      <c r="M9168" t="s">
        <v>45451</v>
      </c>
      <c r="N9168" t="s">
        <v>46569</v>
      </c>
      <c r="O9168" t="s">
        <v>46570</v>
      </c>
      <c r="P9168">
        <v>0</v>
      </c>
      <c r="Q9168">
        <v>9</v>
      </c>
      <c r="R9168" t="s">
        <v>46577</v>
      </c>
      <c r="S9168" t="s">
        <v>46808</v>
      </c>
      <c r="T9168" t="s">
        <v>48307</v>
      </c>
      <c r="U9168" t="s">
        <v>56213</v>
      </c>
      <c r="V9168" t="s">
        <v>62564</v>
      </c>
      <c r="W9168" t="s">
        <v>45451</v>
      </c>
      <c r="X9168" t="s">
        <v>46578</v>
      </c>
    </row>
    <row r="9169" spans="1:24">
      <c r="A9169">
        <f>HYPERLINK("https://www.philgeps.gov.ph/GEPSNONPILOT/Tender/SplashBidNoticeAbstractUI.aspx?menuIndex=3&amp;refID=7052854&amp;Result=3","7052854")</f>
        <v>0</v>
      </c>
      <c r="B9169" t="s">
        <v>2632</v>
      </c>
      <c r="C9169" t="s">
        <v>12224</v>
      </c>
      <c r="D9169" t="s">
        <v>18817</v>
      </c>
      <c r="E9169" t="s">
        <v>20490</v>
      </c>
      <c r="F9169" t="s">
        <v>32664</v>
      </c>
      <c r="G9169" t="s">
        <v>32672</v>
      </c>
      <c r="H9169" t="s">
        <v>32683</v>
      </c>
      <c r="I9169" t="s">
        <v>10627</v>
      </c>
      <c r="J9169" t="s">
        <v>32837</v>
      </c>
      <c r="K9169" t="s">
        <v>42310</v>
      </c>
      <c r="M9169" t="s">
        <v>45452</v>
      </c>
      <c r="N9169" t="s">
        <v>46569</v>
      </c>
      <c r="O9169" t="s">
        <v>46570</v>
      </c>
      <c r="P9169">
        <v>0</v>
      </c>
      <c r="Q9169">
        <v>0</v>
      </c>
      <c r="R9169" t="s">
        <v>46577</v>
      </c>
      <c r="S9169" t="s">
        <v>46808</v>
      </c>
      <c r="T9169" t="s">
        <v>48507</v>
      </c>
      <c r="U9169" t="s">
        <v>56214</v>
      </c>
      <c r="W9169" t="s">
        <v>45452</v>
      </c>
      <c r="X9169" t="s">
        <v>46578</v>
      </c>
    </row>
    <row r="9170" spans="1:24">
      <c r="A9170">
        <f>HYPERLINK("https://www.philgeps.gov.ph/GEPSNONPILOT/Tender/SplashBidNoticeAbstractUI.aspx?menuIndex=3&amp;refID=7052857&amp;Result=3","7052857")</f>
        <v>0</v>
      </c>
      <c r="B9170" t="s">
        <v>2633</v>
      </c>
      <c r="C9170" t="s">
        <v>12225</v>
      </c>
      <c r="D9170" t="s">
        <v>18784</v>
      </c>
      <c r="E9170" t="s">
        <v>26862</v>
      </c>
      <c r="F9170" t="s">
        <v>32664</v>
      </c>
      <c r="G9170" t="s">
        <v>32671</v>
      </c>
      <c r="H9170" t="s">
        <v>12635</v>
      </c>
      <c r="I9170" t="s">
        <v>32731</v>
      </c>
      <c r="J9170" t="s">
        <v>33078</v>
      </c>
      <c r="K9170" t="s">
        <v>42284</v>
      </c>
      <c r="M9170" t="s">
        <v>45453</v>
      </c>
      <c r="N9170" t="s">
        <v>46569</v>
      </c>
      <c r="O9170" t="s">
        <v>46570</v>
      </c>
      <c r="P9170">
        <v>0</v>
      </c>
      <c r="Q9170">
        <v>2</v>
      </c>
      <c r="R9170" t="s">
        <v>46577</v>
      </c>
      <c r="S9170" t="s">
        <v>46808</v>
      </c>
      <c r="T9170" t="s">
        <v>48551</v>
      </c>
      <c r="U9170" t="s">
        <v>56215</v>
      </c>
      <c r="W9170" t="s">
        <v>45453</v>
      </c>
      <c r="X9170" t="s">
        <v>46578</v>
      </c>
    </row>
    <row r="9171" spans="1:24">
      <c r="A9171">
        <f>HYPERLINK("https://www.philgeps.gov.ph/GEPSNONPILOT/Tender/SplashBidNoticeAbstractUI.aspx?menuIndex=3&amp;refID=7052873&amp;Result=3","7052873")</f>
        <v>0</v>
      </c>
      <c r="B9171" t="s">
        <v>1138</v>
      </c>
      <c r="C9171" t="s">
        <v>12204</v>
      </c>
      <c r="D9171" t="s">
        <v>18842</v>
      </c>
      <c r="E9171" t="s">
        <v>19654</v>
      </c>
      <c r="F9171" t="s">
        <v>32664</v>
      </c>
      <c r="G9171" t="s">
        <v>32671</v>
      </c>
      <c r="H9171" t="s">
        <v>32683</v>
      </c>
      <c r="I9171" t="s">
        <v>10627</v>
      </c>
      <c r="J9171" t="s">
        <v>33147</v>
      </c>
      <c r="K9171" t="s">
        <v>42303</v>
      </c>
      <c r="M9171" t="s">
        <v>43769</v>
      </c>
      <c r="N9171" t="s">
        <v>46569</v>
      </c>
      <c r="O9171" t="s">
        <v>46570</v>
      </c>
      <c r="P9171">
        <v>0</v>
      </c>
      <c r="Q9171">
        <v>0</v>
      </c>
      <c r="R9171" t="s">
        <v>46577</v>
      </c>
      <c r="S9171" t="s">
        <v>46808</v>
      </c>
      <c r="T9171" t="s">
        <v>48473</v>
      </c>
      <c r="U9171" t="s">
        <v>56197</v>
      </c>
      <c r="W9171" t="s">
        <v>43769</v>
      </c>
      <c r="X9171" t="s">
        <v>46578</v>
      </c>
    </row>
    <row r="9172" spans="1:24">
      <c r="A9172">
        <f>HYPERLINK("https://www.philgeps.gov.ph/GEPSNONPILOT/Tender/SplashBidNoticeAbstractUI.aspx?menuIndex=3&amp;refID=7052852&amp;Result=3","7052852")</f>
        <v>0</v>
      </c>
      <c r="B9172" t="s">
        <v>2484</v>
      </c>
      <c r="C9172" t="s">
        <v>12226</v>
      </c>
      <c r="D9172" t="s">
        <v>18822</v>
      </c>
      <c r="E9172" t="s">
        <v>26863</v>
      </c>
      <c r="F9172" t="s">
        <v>32664</v>
      </c>
      <c r="G9172" t="s">
        <v>32672</v>
      </c>
      <c r="H9172" t="s">
        <v>12635</v>
      </c>
      <c r="I9172" t="s">
        <v>4439</v>
      </c>
      <c r="J9172" t="s">
        <v>33175</v>
      </c>
      <c r="K9172" t="s">
        <v>42297</v>
      </c>
      <c r="M9172" t="s">
        <v>45284</v>
      </c>
      <c r="N9172" t="s">
        <v>46569</v>
      </c>
      <c r="O9172" t="s">
        <v>46570</v>
      </c>
      <c r="P9172">
        <v>0</v>
      </c>
      <c r="Q9172">
        <v>1</v>
      </c>
      <c r="R9172" t="s">
        <v>46577</v>
      </c>
      <c r="S9172" t="s">
        <v>46808</v>
      </c>
      <c r="T9172" t="s">
        <v>48283</v>
      </c>
      <c r="U9172" t="s">
        <v>56210</v>
      </c>
      <c r="W9172" t="s">
        <v>45284</v>
      </c>
      <c r="X9172" t="s">
        <v>46578</v>
      </c>
    </row>
    <row r="9173" spans="1:24">
      <c r="A9173">
        <f>HYPERLINK("https://www.philgeps.gov.ph/GEPSNONPILOT/Tender/SplashBidNoticeAbstractUI.aspx?menuIndex=3&amp;refID=7052874&amp;Result=3","7052874")</f>
        <v>0</v>
      </c>
      <c r="B9173" t="s">
        <v>2634</v>
      </c>
      <c r="C9173" t="s">
        <v>12227</v>
      </c>
      <c r="D9173" t="s">
        <v>18798</v>
      </c>
      <c r="E9173" t="s">
        <v>26864</v>
      </c>
      <c r="F9173" t="s">
        <v>32664</v>
      </c>
      <c r="G9173" t="s">
        <v>32671</v>
      </c>
      <c r="H9173" t="s">
        <v>32682</v>
      </c>
      <c r="I9173" t="s">
        <v>32730</v>
      </c>
      <c r="J9173" t="s">
        <v>34388</v>
      </c>
      <c r="K9173" t="s">
        <v>42291</v>
      </c>
      <c r="M9173" t="s">
        <v>45454</v>
      </c>
      <c r="N9173" t="s">
        <v>46569</v>
      </c>
      <c r="O9173" t="s">
        <v>46570</v>
      </c>
      <c r="P9173">
        <v>0</v>
      </c>
      <c r="Q9173">
        <v>4</v>
      </c>
      <c r="R9173" t="s">
        <v>46577</v>
      </c>
      <c r="S9173" t="s">
        <v>46808</v>
      </c>
      <c r="T9173" t="s">
        <v>48256</v>
      </c>
      <c r="U9173" t="s">
        <v>56216</v>
      </c>
      <c r="V9173" t="s">
        <v>62565</v>
      </c>
      <c r="W9173" t="s">
        <v>45454</v>
      </c>
      <c r="X9173" t="s">
        <v>46578</v>
      </c>
    </row>
    <row r="9174" spans="1:24">
      <c r="A9174">
        <f>HYPERLINK("https://www.philgeps.gov.ph/GEPSNONPILOT/Tender/SplashBidNoticeAbstractUI.aspx?menuIndex=3&amp;refID=7052863&amp;Result=3","7052863")</f>
        <v>0</v>
      </c>
      <c r="B9174" t="s">
        <v>695</v>
      </c>
      <c r="C9174" t="s">
        <v>12228</v>
      </c>
      <c r="D9174" t="s">
        <v>18816</v>
      </c>
      <c r="E9174" t="s">
        <v>26865</v>
      </c>
      <c r="F9174" t="s">
        <v>32664</v>
      </c>
      <c r="G9174" t="s">
        <v>32674</v>
      </c>
      <c r="H9174" t="s">
        <v>12635</v>
      </c>
      <c r="I9174" t="s">
        <v>14442</v>
      </c>
      <c r="J9174" t="s">
        <v>38373</v>
      </c>
      <c r="K9174" t="s">
        <v>42284</v>
      </c>
      <c r="M9174" t="s">
        <v>43282</v>
      </c>
      <c r="N9174" t="s">
        <v>46569</v>
      </c>
      <c r="O9174" t="s">
        <v>46570</v>
      </c>
      <c r="P9174">
        <v>0</v>
      </c>
      <c r="Q9174">
        <v>3</v>
      </c>
      <c r="R9174" t="s">
        <v>46577</v>
      </c>
      <c r="S9174" t="s">
        <v>46808</v>
      </c>
      <c r="T9174" t="s">
        <v>48448</v>
      </c>
      <c r="U9174" t="s">
        <v>56217</v>
      </c>
      <c r="W9174" t="s">
        <v>43282</v>
      </c>
      <c r="X9174" t="s">
        <v>46578</v>
      </c>
    </row>
    <row r="9175" spans="1:24">
      <c r="A9175">
        <f>HYPERLINK("https://www.philgeps.gov.ph/GEPSNONPILOT/Tender/SplashBidNoticeAbstractUI.aspx?menuIndex=3&amp;refID=7052850&amp;Result=3","7052850")</f>
        <v>0</v>
      </c>
      <c r="B9175" t="s">
        <v>460</v>
      </c>
      <c r="C9175" t="s">
        <v>12229</v>
      </c>
      <c r="D9175" t="s">
        <v>18806</v>
      </c>
      <c r="E9175" t="s">
        <v>26866</v>
      </c>
      <c r="F9175" t="s">
        <v>32664</v>
      </c>
      <c r="G9175" t="s">
        <v>32672</v>
      </c>
      <c r="H9175" t="s">
        <v>12635</v>
      </c>
      <c r="I9175" t="s">
        <v>9486</v>
      </c>
      <c r="J9175" t="s">
        <v>38374</v>
      </c>
      <c r="K9175" t="s">
        <v>42330</v>
      </c>
      <c r="M9175" t="s">
        <v>43641</v>
      </c>
      <c r="N9175" t="s">
        <v>46569</v>
      </c>
      <c r="O9175" t="s">
        <v>46570</v>
      </c>
      <c r="P9175">
        <v>0</v>
      </c>
      <c r="Q9175">
        <v>2</v>
      </c>
      <c r="R9175" t="s">
        <v>46577</v>
      </c>
      <c r="S9175" t="s">
        <v>46808</v>
      </c>
      <c r="T9175" t="s">
        <v>48244</v>
      </c>
      <c r="U9175" t="s">
        <v>56218</v>
      </c>
      <c r="V9175" t="s">
        <v>61876</v>
      </c>
      <c r="W9175" t="s">
        <v>43641</v>
      </c>
      <c r="X9175" t="s">
        <v>46578</v>
      </c>
    </row>
    <row r="9176" spans="1:24">
      <c r="A9176">
        <f>HYPERLINK("https://www.philgeps.gov.ph/GEPSNONPILOT/Tender/SplashBidNoticeAbstractUI.aspx?menuIndex=3&amp;refID=7052872&amp;Result=3","7052872")</f>
        <v>0</v>
      </c>
      <c r="B9176" t="s">
        <v>2635</v>
      </c>
      <c r="C9176" t="s">
        <v>12230</v>
      </c>
      <c r="E9176" t="s">
        <v>26867</v>
      </c>
      <c r="F9176" t="s">
        <v>32664</v>
      </c>
      <c r="G9176" t="s">
        <v>32672</v>
      </c>
      <c r="H9176" t="s">
        <v>12635</v>
      </c>
      <c r="I9176" t="s">
        <v>32685</v>
      </c>
      <c r="J9176" t="s">
        <v>38375</v>
      </c>
      <c r="K9176" t="s">
        <v>42283</v>
      </c>
      <c r="M9176" t="s">
        <v>45455</v>
      </c>
      <c r="N9176" t="s">
        <v>46569</v>
      </c>
      <c r="O9176" t="s">
        <v>46570</v>
      </c>
      <c r="P9176">
        <v>0</v>
      </c>
      <c r="Q9176">
        <v>0</v>
      </c>
      <c r="R9176" t="s">
        <v>46577</v>
      </c>
      <c r="S9176" t="s">
        <v>46808</v>
      </c>
      <c r="T9176" t="s">
        <v>48316</v>
      </c>
      <c r="U9176" t="s">
        <v>56219</v>
      </c>
      <c r="W9176" t="s">
        <v>45455</v>
      </c>
      <c r="X9176" t="s">
        <v>46578</v>
      </c>
    </row>
    <row r="9177" spans="1:24">
      <c r="A9177">
        <f>HYPERLINK("https://www.philgeps.gov.ph/GEPSNONPILOT/Tender/SplashBidNoticeAbstractUI.aspx?menuIndex=3&amp;refID=7052887&amp;Result=3","7052887")</f>
        <v>0</v>
      </c>
      <c r="B9177" t="s">
        <v>2636</v>
      </c>
      <c r="C9177" t="s">
        <v>12231</v>
      </c>
      <c r="D9177" t="s">
        <v>18804</v>
      </c>
      <c r="E9177" t="s">
        <v>26868</v>
      </c>
      <c r="F9177" t="s">
        <v>32664</v>
      </c>
      <c r="G9177" t="s">
        <v>32672</v>
      </c>
      <c r="H9177" t="s">
        <v>32683</v>
      </c>
      <c r="I9177" t="s">
        <v>10627</v>
      </c>
      <c r="J9177" t="s">
        <v>38376</v>
      </c>
      <c r="K9177" t="s">
        <v>42305</v>
      </c>
      <c r="M9177" t="s">
        <v>45456</v>
      </c>
      <c r="N9177" t="s">
        <v>46569</v>
      </c>
      <c r="O9177" t="s">
        <v>46570</v>
      </c>
      <c r="P9177">
        <v>0</v>
      </c>
      <c r="Q9177">
        <v>0</v>
      </c>
      <c r="R9177" t="s">
        <v>46577</v>
      </c>
      <c r="S9177" t="s">
        <v>46808</v>
      </c>
      <c r="T9177" t="s">
        <v>48238</v>
      </c>
      <c r="U9177" t="s">
        <v>56220</v>
      </c>
      <c r="W9177" t="s">
        <v>45456</v>
      </c>
      <c r="X9177" t="s">
        <v>46578</v>
      </c>
    </row>
    <row r="9178" spans="1:24">
      <c r="A9178">
        <f>HYPERLINK("https://www.philgeps.gov.ph/GEPSNONPILOT/Tender/SplashBidNoticeAbstractUI.aspx?menuIndex=3&amp;refID=7052884&amp;Result=3","7052884")</f>
        <v>0</v>
      </c>
      <c r="B9178" t="s">
        <v>460</v>
      </c>
      <c r="C9178" t="s">
        <v>12232</v>
      </c>
      <c r="D9178" t="s">
        <v>18806</v>
      </c>
      <c r="E9178" t="s">
        <v>26869</v>
      </c>
      <c r="F9178" t="s">
        <v>32664</v>
      </c>
      <c r="G9178" t="s">
        <v>32672</v>
      </c>
      <c r="H9178" t="s">
        <v>12635</v>
      </c>
      <c r="I9178" t="s">
        <v>8797</v>
      </c>
      <c r="J9178" t="s">
        <v>38377</v>
      </c>
      <c r="K9178" t="s">
        <v>42330</v>
      </c>
      <c r="M9178" t="s">
        <v>43641</v>
      </c>
      <c r="N9178" t="s">
        <v>46569</v>
      </c>
      <c r="O9178" t="s">
        <v>46570</v>
      </c>
      <c r="P9178">
        <v>0</v>
      </c>
      <c r="Q9178">
        <v>3</v>
      </c>
      <c r="R9178" t="s">
        <v>46577</v>
      </c>
      <c r="S9178" t="s">
        <v>46808</v>
      </c>
      <c r="T9178" t="s">
        <v>48244</v>
      </c>
      <c r="U9178" t="s">
        <v>56221</v>
      </c>
      <c r="V9178" t="s">
        <v>61876</v>
      </c>
      <c r="W9178" t="s">
        <v>43641</v>
      </c>
      <c r="X9178" t="s">
        <v>46578</v>
      </c>
    </row>
    <row r="9179" spans="1:24">
      <c r="A9179">
        <f>HYPERLINK("https://www.philgeps.gov.ph/GEPSNONPILOT/Tender/SplashBidNoticeAbstractUI.aspx?menuIndex=3&amp;refID=7052851&amp;Result=3","7052851")</f>
        <v>0</v>
      </c>
      <c r="B9179" t="s">
        <v>194</v>
      </c>
      <c r="C9179" t="s">
        <v>12233</v>
      </c>
      <c r="D9179" t="s">
        <v>18791</v>
      </c>
      <c r="E9179" t="s">
        <v>26870</v>
      </c>
      <c r="F9179" t="s">
        <v>32664</v>
      </c>
      <c r="G9179" t="s">
        <v>32671</v>
      </c>
      <c r="H9179" t="s">
        <v>12635</v>
      </c>
      <c r="I9179" t="s">
        <v>32704</v>
      </c>
      <c r="J9179" t="s">
        <v>38378</v>
      </c>
      <c r="K9179" t="s">
        <v>42284</v>
      </c>
      <c r="M9179" t="s">
        <v>42758</v>
      </c>
      <c r="N9179" t="s">
        <v>46569</v>
      </c>
      <c r="O9179" t="s">
        <v>46570</v>
      </c>
      <c r="P9179">
        <v>0</v>
      </c>
      <c r="Q9179">
        <v>2</v>
      </c>
      <c r="R9179" t="s">
        <v>46577</v>
      </c>
      <c r="S9179" t="s">
        <v>46808</v>
      </c>
      <c r="T9179" t="s">
        <v>48449</v>
      </c>
      <c r="U9179" t="s">
        <v>56222</v>
      </c>
      <c r="W9179" t="s">
        <v>42758</v>
      </c>
      <c r="X9179" t="s">
        <v>46578</v>
      </c>
    </row>
    <row r="9180" spans="1:24">
      <c r="A9180">
        <f>HYPERLINK("https://www.philgeps.gov.ph/GEPSNONPILOT/Tender/SplashBidNoticeAbstractUI.aspx?menuIndex=3&amp;refID=7052860&amp;Result=3","7052860")</f>
        <v>0</v>
      </c>
      <c r="B9180" t="s">
        <v>137</v>
      </c>
      <c r="C9180" t="s">
        <v>12234</v>
      </c>
      <c r="E9180" t="s">
        <v>26871</v>
      </c>
      <c r="F9180" t="s">
        <v>32664</v>
      </c>
      <c r="G9180" t="s">
        <v>32675</v>
      </c>
      <c r="H9180" t="s">
        <v>12635</v>
      </c>
      <c r="I9180" t="s">
        <v>32765</v>
      </c>
      <c r="J9180" t="s">
        <v>38379</v>
      </c>
      <c r="K9180" t="s">
        <v>42289</v>
      </c>
      <c r="M9180" t="s">
        <v>42701</v>
      </c>
      <c r="N9180" t="s">
        <v>46569</v>
      </c>
      <c r="O9180" t="s">
        <v>46570</v>
      </c>
      <c r="P9180">
        <v>0</v>
      </c>
      <c r="Q9180">
        <v>0</v>
      </c>
      <c r="R9180" t="s">
        <v>46577</v>
      </c>
      <c r="S9180" t="s">
        <v>46808</v>
      </c>
      <c r="T9180" t="s">
        <v>48221</v>
      </c>
      <c r="U9180" t="s">
        <v>56223</v>
      </c>
      <c r="W9180" t="s">
        <v>42701</v>
      </c>
      <c r="X9180" t="s">
        <v>46578</v>
      </c>
    </row>
    <row r="9181" spans="1:24">
      <c r="A9181">
        <f>HYPERLINK("https://www.philgeps.gov.ph/GEPSNONPILOT/Tender/SplashBidNoticeAbstractUI.aspx?menuIndex=3&amp;refID=7052931&amp;Result=3","7052931")</f>
        <v>0</v>
      </c>
      <c r="B9181" t="s">
        <v>2202</v>
      </c>
      <c r="C9181" t="s">
        <v>12235</v>
      </c>
      <c r="D9181" t="s">
        <v>18844</v>
      </c>
      <c r="E9181" t="s">
        <v>26872</v>
      </c>
      <c r="F9181" t="s">
        <v>32664</v>
      </c>
      <c r="G9181" t="s">
        <v>32672</v>
      </c>
      <c r="H9181" t="s">
        <v>12635</v>
      </c>
      <c r="I9181" t="s">
        <v>32690</v>
      </c>
      <c r="J9181" t="s">
        <v>38380</v>
      </c>
      <c r="K9181" t="s">
        <v>42303</v>
      </c>
      <c r="M9181" t="s">
        <v>44966</v>
      </c>
      <c r="N9181" t="s">
        <v>46569</v>
      </c>
      <c r="O9181" t="s">
        <v>46570</v>
      </c>
      <c r="P9181">
        <v>0</v>
      </c>
      <c r="Q9181">
        <v>1</v>
      </c>
      <c r="R9181" t="s">
        <v>46577</v>
      </c>
      <c r="S9181" t="s">
        <v>46808</v>
      </c>
      <c r="T9181" t="s">
        <v>48571</v>
      </c>
      <c r="U9181" t="s">
        <v>56224</v>
      </c>
      <c r="V9181" t="s">
        <v>62566</v>
      </c>
      <c r="W9181" t="s">
        <v>44966</v>
      </c>
      <c r="X9181" t="s">
        <v>46578</v>
      </c>
    </row>
    <row r="9182" spans="1:24">
      <c r="A9182">
        <f>HYPERLINK("https://www.philgeps.gov.ph/GEPSNONPILOT/Tender/SplashBidNoticeAbstractUI.aspx?menuIndex=3&amp;refID=7052849&amp;Result=3","7052849")</f>
        <v>0</v>
      </c>
      <c r="B9182" t="s">
        <v>2623</v>
      </c>
      <c r="C9182" t="s">
        <v>12236</v>
      </c>
      <c r="D9182" t="s">
        <v>18856</v>
      </c>
      <c r="E9182" t="s">
        <v>26873</v>
      </c>
      <c r="F9182" t="s">
        <v>32664</v>
      </c>
      <c r="G9182" t="s">
        <v>32671</v>
      </c>
      <c r="H9182" t="s">
        <v>12635</v>
      </c>
      <c r="I9182" t="s">
        <v>8958</v>
      </c>
      <c r="J9182" t="s">
        <v>32898</v>
      </c>
      <c r="K9182" t="s">
        <v>42281</v>
      </c>
      <c r="M9182" t="s">
        <v>45441</v>
      </c>
      <c r="N9182" t="s">
        <v>46569</v>
      </c>
      <c r="O9182" t="s">
        <v>46570</v>
      </c>
      <c r="P9182">
        <v>0</v>
      </c>
      <c r="Q9182">
        <v>2</v>
      </c>
      <c r="R9182" t="s">
        <v>46577</v>
      </c>
      <c r="S9182" t="s">
        <v>46808</v>
      </c>
      <c r="T9182" t="s">
        <v>48285</v>
      </c>
      <c r="U9182" t="s">
        <v>56225</v>
      </c>
      <c r="V9182" t="s">
        <v>62560</v>
      </c>
      <c r="W9182" t="s">
        <v>45441</v>
      </c>
      <c r="X9182" t="s">
        <v>46578</v>
      </c>
    </row>
    <row r="9183" spans="1:24">
      <c r="A9183">
        <f>HYPERLINK("https://www.philgeps.gov.ph/GEPSNONPILOT/Tender/SplashBidNoticeAbstractUI.aspx?menuIndex=3&amp;refID=7052926&amp;Result=3","7052926")</f>
        <v>0</v>
      </c>
      <c r="B9183" t="s">
        <v>413</v>
      </c>
      <c r="C9183" t="s">
        <v>12237</v>
      </c>
      <c r="D9183" t="s">
        <v>18799</v>
      </c>
      <c r="E9183" t="s">
        <v>26874</v>
      </c>
      <c r="F9183" t="s">
        <v>32664</v>
      </c>
      <c r="G9183" t="s">
        <v>32674</v>
      </c>
      <c r="H9183" t="s">
        <v>12635</v>
      </c>
      <c r="I9183" t="s">
        <v>32706</v>
      </c>
      <c r="J9183" t="s">
        <v>32853</v>
      </c>
      <c r="K9183" t="s">
        <v>42334</v>
      </c>
      <c r="M9183" t="s">
        <v>42984</v>
      </c>
      <c r="N9183" t="s">
        <v>46569</v>
      </c>
      <c r="O9183" t="s">
        <v>46570</v>
      </c>
      <c r="P9183">
        <v>0</v>
      </c>
      <c r="Q9183">
        <v>0</v>
      </c>
      <c r="R9183" t="s">
        <v>46577</v>
      </c>
      <c r="S9183" t="s">
        <v>46808</v>
      </c>
      <c r="T9183" t="s">
        <v>48314</v>
      </c>
      <c r="U9183" t="s">
        <v>49686</v>
      </c>
      <c r="W9183" t="s">
        <v>42984</v>
      </c>
      <c r="X9183" t="s">
        <v>46578</v>
      </c>
    </row>
    <row r="9184" spans="1:24">
      <c r="A9184">
        <f>HYPERLINK("https://www.philgeps.gov.ph/GEPSNONPILOT/Tender/SplashBidNoticeAbstractUI.aspx?menuIndex=3&amp;refID=7052841&amp;Result=3","7052841")</f>
        <v>0</v>
      </c>
      <c r="B9184" t="s">
        <v>2637</v>
      </c>
      <c r="C9184" t="s">
        <v>12238</v>
      </c>
      <c r="D9184" t="s">
        <v>18830</v>
      </c>
      <c r="E9184" t="s">
        <v>26875</v>
      </c>
      <c r="F9184" t="s">
        <v>32664</v>
      </c>
      <c r="G9184" t="s">
        <v>32672</v>
      </c>
      <c r="H9184" t="s">
        <v>32683</v>
      </c>
      <c r="I9184" t="s">
        <v>10627</v>
      </c>
      <c r="J9184" t="s">
        <v>34559</v>
      </c>
      <c r="K9184" t="s">
        <v>42311</v>
      </c>
      <c r="M9184" t="s">
        <v>45457</v>
      </c>
      <c r="N9184" t="s">
        <v>46569</v>
      </c>
      <c r="O9184" t="s">
        <v>46570</v>
      </c>
      <c r="P9184">
        <v>0</v>
      </c>
      <c r="Q9184">
        <v>0</v>
      </c>
      <c r="R9184" t="s">
        <v>46577</v>
      </c>
      <c r="S9184" t="s">
        <v>46808</v>
      </c>
      <c r="T9184" t="s">
        <v>48212</v>
      </c>
      <c r="U9184" t="s">
        <v>56226</v>
      </c>
      <c r="W9184" t="s">
        <v>45457</v>
      </c>
      <c r="X9184" t="s">
        <v>46578</v>
      </c>
    </row>
    <row r="9185" spans="1:24">
      <c r="A9185">
        <f>HYPERLINK("https://www.philgeps.gov.ph/GEPSNONPILOT/Tender/SplashBidNoticeAbstractUI.aspx?menuIndex=3&amp;refID=7052918&amp;Result=3","7052918")</f>
        <v>0</v>
      </c>
      <c r="B9185" t="s">
        <v>2638</v>
      </c>
      <c r="C9185" t="s">
        <v>4018</v>
      </c>
      <c r="D9185" t="s">
        <v>18865</v>
      </c>
      <c r="E9185" t="s">
        <v>26876</v>
      </c>
      <c r="F9185" t="s">
        <v>32664</v>
      </c>
      <c r="G9185" t="s">
        <v>32672</v>
      </c>
      <c r="H9185" t="s">
        <v>12635</v>
      </c>
      <c r="I9185" t="s">
        <v>32704</v>
      </c>
      <c r="J9185" t="s">
        <v>38381</v>
      </c>
      <c r="K9185" t="s">
        <v>42283</v>
      </c>
      <c r="M9185" t="s">
        <v>45458</v>
      </c>
      <c r="N9185" t="s">
        <v>46569</v>
      </c>
      <c r="O9185" t="s">
        <v>46570</v>
      </c>
      <c r="P9185">
        <v>0</v>
      </c>
      <c r="Q9185">
        <v>6</v>
      </c>
      <c r="R9185" t="s">
        <v>46577</v>
      </c>
      <c r="S9185" t="s">
        <v>46808</v>
      </c>
      <c r="T9185" t="s">
        <v>48483</v>
      </c>
      <c r="U9185" t="s">
        <v>56227</v>
      </c>
      <c r="W9185" t="s">
        <v>45458</v>
      </c>
      <c r="X9185" t="s">
        <v>46578</v>
      </c>
    </row>
    <row r="9186" spans="1:24">
      <c r="A9186">
        <f>HYPERLINK("https://www.philgeps.gov.ph/GEPSNONPILOT/Tender/SplashBidNoticeAbstractUI.aspx?menuIndex=3&amp;refID=7052915&amp;Result=3","7052915")</f>
        <v>0</v>
      </c>
      <c r="B9186" t="s">
        <v>2639</v>
      </c>
      <c r="C9186" t="s">
        <v>12239</v>
      </c>
      <c r="D9186" t="s">
        <v>18804</v>
      </c>
      <c r="E9186" t="s">
        <v>26868</v>
      </c>
      <c r="F9186" t="s">
        <v>32664</v>
      </c>
      <c r="G9186" t="s">
        <v>32672</v>
      </c>
      <c r="H9186" t="s">
        <v>12635</v>
      </c>
      <c r="I9186" t="s">
        <v>4439</v>
      </c>
      <c r="J9186" t="s">
        <v>38382</v>
      </c>
      <c r="K9186" t="s">
        <v>42281</v>
      </c>
      <c r="M9186" t="s">
        <v>45459</v>
      </c>
      <c r="N9186" t="s">
        <v>46569</v>
      </c>
      <c r="O9186" t="s">
        <v>46570</v>
      </c>
      <c r="P9186">
        <v>0</v>
      </c>
      <c r="Q9186">
        <v>0</v>
      </c>
      <c r="R9186" t="s">
        <v>46577</v>
      </c>
      <c r="S9186" t="s">
        <v>46808</v>
      </c>
      <c r="T9186" t="s">
        <v>48238</v>
      </c>
      <c r="U9186" t="s">
        <v>56228</v>
      </c>
      <c r="W9186" t="s">
        <v>45459</v>
      </c>
      <c r="X9186" t="s">
        <v>46578</v>
      </c>
    </row>
    <row r="9187" spans="1:24">
      <c r="A9187">
        <f>HYPERLINK("https://www.philgeps.gov.ph/GEPSNONPILOT/Tender/SplashBidNoticeAbstractUI.aspx?menuIndex=3&amp;refID=7052920&amp;Result=3","7052920")</f>
        <v>0</v>
      </c>
      <c r="B9187" t="s">
        <v>2637</v>
      </c>
      <c r="C9187" t="s">
        <v>12240</v>
      </c>
      <c r="D9187" t="s">
        <v>18830</v>
      </c>
      <c r="E9187" t="s">
        <v>26877</v>
      </c>
      <c r="F9187" t="s">
        <v>32664</v>
      </c>
      <c r="G9187" t="s">
        <v>32672</v>
      </c>
      <c r="H9187" t="s">
        <v>32683</v>
      </c>
      <c r="I9187" t="s">
        <v>10627</v>
      </c>
      <c r="J9187" t="s">
        <v>38383</v>
      </c>
      <c r="K9187" t="s">
        <v>42311</v>
      </c>
      <c r="M9187" t="s">
        <v>45457</v>
      </c>
      <c r="N9187" t="s">
        <v>46569</v>
      </c>
      <c r="O9187" t="s">
        <v>46570</v>
      </c>
      <c r="P9187">
        <v>0</v>
      </c>
      <c r="Q9187">
        <v>0</v>
      </c>
      <c r="R9187" t="s">
        <v>46577</v>
      </c>
      <c r="S9187" t="s">
        <v>46808</v>
      </c>
      <c r="T9187" t="s">
        <v>48212</v>
      </c>
      <c r="U9187" t="s">
        <v>56229</v>
      </c>
      <c r="W9187" t="s">
        <v>45457</v>
      </c>
      <c r="X9187" t="s">
        <v>46578</v>
      </c>
    </row>
    <row r="9188" spans="1:24">
      <c r="A9188">
        <f>HYPERLINK("https://www.philgeps.gov.ph/GEPSNONPILOT/Tender/SplashBidNoticeAbstractUI.aspx?menuIndex=3&amp;refID=7052905&amp;Result=3","7052905")</f>
        <v>0</v>
      </c>
      <c r="B9188" t="s">
        <v>2640</v>
      </c>
      <c r="C9188" t="s">
        <v>12241</v>
      </c>
      <c r="D9188" t="s">
        <v>18792</v>
      </c>
      <c r="E9188" t="s">
        <v>26878</v>
      </c>
      <c r="F9188" t="s">
        <v>32664</v>
      </c>
      <c r="G9188" t="s">
        <v>32672</v>
      </c>
      <c r="H9188" t="s">
        <v>32683</v>
      </c>
      <c r="I9188" t="s">
        <v>10627</v>
      </c>
      <c r="J9188" t="s">
        <v>38384</v>
      </c>
      <c r="K9188" t="s">
        <v>42308</v>
      </c>
      <c r="M9188" t="s">
        <v>45460</v>
      </c>
      <c r="N9188" t="s">
        <v>46569</v>
      </c>
      <c r="O9188" t="s">
        <v>46570</v>
      </c>
      <c r="P9188">
        <v>0</v>
      </c>
      <c r="Q9188">
        <v>0</v>
      </c>
      <c r="R9188" t="s">
        <v>46577</v>
      </c>
      <c r="S9188" t="s">
        <v>46808</v>
      </c>
      <c r="T9188" t="s">
        <v>48254</v>
      </c>
      <c r="U9188" t="s">
        <v>56230</v>
      </c>
      <c r="V9188" t="s">
        <v>62567</v>
      </c>
      <c r="W9188" t="s">
        <v>45460</v>
      </c>
      <c r="X9188" t="s">
        <v>46578</v>
      </c>
    </row>
    <row r="9189" spans="1:24">
      <c r="A9189">
        <f>HYPERLINK("https://www.philgeps.gov.ph/GEPSNONPILOT/Tender/SplashBidNoticeAbstractUI.aspx?menuIndex=3&amp;refID=7052879&amp;Result=3","7052879")</f>
        <v>0</v>
      </c>
      <c r="B9189" t="s">
        <v>2641</v>
      </c>
      <c r="C9189" t="s">
        <v>12242</v>
      </c>
      <c r="D9189" t="s">
        <v>18786</v>
      </c>
      <c r="E9189" t="s">
        <v>26879</v>
      </c>
      <c r="F9189" t="s">
        <v>32664</v>
      </c>
      <c r="G9189" t="s">
        <v>32672</v>
      </c>
      <c r="H9189" t="s">
        <v>12635</v>
      </c>
      <c r="I9189" t="s">
        <v>10590</v>
      </c>
      <c r="J9189" t="s">
        <v>38385</v>
      </c>
      <c r="K9189" t="s">
        <v>42298</v>
      </c>
      <c r="M9189" t="s">
        <v>45461</v>
      </c>
      <c r="N9189" t="s">
        <v>46569</v>
      </c>
      <c r="O9189" t="s">
        <v>46570</v>
      </c>
      <c r="P9189">
        <v>0</v>
      </c>
      <c r="Q9189">
        <v>0</v>
      </c>
      <c r="R9189" t="s">
        <v>46577</v>
      </c>
      <c r="S9189" t="s">
        <v>46808</v>
      </c>
      <c r="T9189" t="s">
        <v>48220</v>
      </c>
      <c r="U9189" t="s">
        <v>56231</v>
      </c>
      <c r="W9189" t="s">
        <v>45461</v>
      </c>
      <c r="X9189" t="s">
        <v>46578</v>
      </c>
    </row>
    <row r="9190" spans="1:24">
      <c r="A9190">
        <f>HYPERLINK("https://www.philgeps.gov.ph/GEPSNONPILOT/Tender/SplashBidNoticeAbstractUI.aspx?menuIndex=3&amp;refID=7052903&amp;Result=3","7052903")</f>
        <v>0</v>
      </c>
      <c r="B9190" t="s">
        <v>2623</v>
      </c>
      <c r="C9190" t="s">
        <v>12243</v>
      </c>
      <c r="D9190" t="s">
        <v>18856</v>
      </c>
      <c r="E9190" t="s">
        <v>26880</v>
      </c>
      <c r="F9190" t="s">
        <v>32664</v>
      </c>
      <c r="G9190" t="s">
        <v>32671</v>
      </c>
      <c r="H9190" t="s">
        <v>12635</v>
      </c>
      <c r="I9190" t="s">
        <v>4205</v>
      </c>
      <c r="J9190" t="s">
        <v>38386</v>
      </c>
      <c r="K9190" t="s">
        <v>42281</v>
      </c>
      <c r="M9190" t="s">
        <v>45441</v>
      </c>
      <c r="N9190" t="s">
        <v>46569</v>
      </c>
      <c r="O9190" t="s">
        <v>46570</v>
      </c>
      <c r="P9190">
        <v>0</v>
      </c>
      <c r="Q9190">
        <v>1</v>
      </c>
      <c r="R9190" t="s">
        <v>46577</v>
      </c>
      <c r="S9190" t="s">
        <v>46808</v>
      </c>
      <c r="T9190" t="s">
        <v>48285</v>
      </c>
      <c r="U9190" t="s">
        <v>56232</v>
      </c>
      <c r="V9190" t="s">
        <v>62560</v>
      </c>
      <c r="W9190" t="s">
        <v>45441</v>
      </c>
      <c r="X9190" t="s">
        <v>46578</v>
      </c>
    </row>
    <row r="9191" spans="1:24">
      <c r="A9191">
        <f>HYPERLINK("https://www.philgeps.gov.ph/GEPSNONPILOT/Tender/SplashBidNoticeAbstractUI.aspx?menuIndex=3&amp;refID=7052902&amp;Result=3","7052902")</f>
        <v>0</v>
      </c>
      <c r="B9191" t="s">
        <v>2642</v>
      </c>
      <c r="C9191" t="s">
        <v>12244</v>
      </c>
      <c r="D9191" t="s">
        <v>18804</v>
      </c>
      <c r="E9191" t="s">
        <v>26881</v>
      </c>
      <c r="F9191" t="s">
        <v>32664</v>
      </c>
      <c r="G9191" t="s">
        <v>32672</v>
      </c>
      <c r="H9191" t="s">
        <v>12635</v>
      </c>
      <c r="I9191" t="s">
        <v>7324</v>
      </c>
      <c r="J9191" t="s">
        <v>32898</v>
      </c>
      <c r="K9191" t="s">
        <v>42297</v>
      </c>
      <c r="M9191" t="s">
        <v>45462</v>
      </c>
      <c r="N9191" t="s">
        <v>46569</v>
      </c>
      <c r="O9191" t="s">
        <v>46570</v>
      </c>
      <c r="P9191">
        <v>0</v>
      </c>
      <c r="Q9191">
        <v>0</v>
      </c>
      <c r="R9191" t="s">
        <v>46577</v>
      </c>
      <c r="S9191" t="s">
        <v>46808</v>
      </c>
      <c r="T9191" t="s">
        <v>48244</v>
      </c>
      <c r="U9191" t="s">
        <v>56233</v>
      </c>
      <c r="W9191" t="s">
        <v>45462</v>
      </c>
      <c r="X9191" t="s">
        <v>46578</v>
      </c>
    </row>
    <row r="9192" spans="1:24">
      <c r="A9192">
        <f>HYPERLINK("https://www.philgeps.gov.ph/GEPSNONPILOT/Tender/SplashBidNoticeAbstractUI.aspx?menuIndex=3&amp;refID=7052895&amp;Result=3","7052895")</f>
        <v>0</v>
      </c>
      <c r="B9192" t="s">
        <v>208</v>
      </c>
      <c r="C9192" t="s">
        <v>12245</v>
      </c>
      <c r="D9192" t="s">
        <v>18837</v>
      </c>
      <c r="E9192" t="s">
        <v>19928</v>
      </c>
      <c r="F9192" t="s">
        <v>32664</v>
      </c>
      <c r="G9192" t="s">
        <v>32671</v>
      </c>
      <c r="H9192" t="s">
        <v>12635</v>
      </c>
      <c r="I9192" t="s">
        <v>4997</v>
      </c>
      <c r="J9192" t="s">
        <v>36389</v>
      </c>
      <c r="K9192" t="s">
        <v>42284</v>
      </c>
      <c r="M9192" t="s">
        <v>42772</v>
      </c>
      <c r="N9192" t="s">
        <v>46569</v>
      </c>
      <c r="O9192" t="s">
        <v>46570</v>
      </c>
      <c r="P9192">
        <v>0</v>
      </c>
      <c r="Q9192">
        <v>2</v>
      </c>
      <c r="R9192" t="s">
        <v>46577</v>
      </c>
      <c r="S9192" t="s">
        <v>46808</v>
      </c>
      <c r="T9192" t="s">
        <v>48287</v>
      </c>
      <c r="U9192" t="s">
        <v>49152</v>
      </c>
      <c r="W9192" t="s">
        <v>42772</v>
      </c>
      <c r="X9192" t="s">
        <v>46578</v>
      </c>
    </row>
    <row r="9193" spans="1:24">
      <c r="A9193">
        <f>HYPERLINK("https://www.philgeps.gov.ph/GEPSNONPILOT/Tender/SplashBidNoticeAbstractUI.aspx?menuIndex=3&amp;refID=7052889&amp;Result=3","7052889")</f>
        <v>0</v>
      </c>
      <c r="B9193" t="s">
        <v>2643</v>
      </c>
      <c r="C9193" t="s">
        <v>12246</v>
      </c>
      <c r="D9193" t="s">
        <v>18827</v>
      </c>
      <c r="E9193" t="s">
        <v>26882</v>
      </c>
      <c r="F9193" t="s">
        <v>32664</v>
      </c>
      <c r="G9193" t="s">
        <v>32672</v>
      </c>
      <c r="H9193" t="s">
        <v>12635</v>
      </c>
      <c r="I9193" t="s">
        <v>4439</v>
      </c>
      <c r="J9193" t="s">
        <v>38387</v>
      </c>
      <c r="K9193" t="s">
        <v>42295</v>
      </c>
      <c r="M9193" t="s">
        <v>45463</v>
      </c>
      <c r="N9193" t="s">
        <v>46569</v>
      </c>
      <c r="O9193" t="s">
        <v>46570</v>
      </c>
      <c r="P9193">
        <v>0</v>
      </c>
      <c r="Q9193">
        <v>0</v>
      </c>
      <c r="R9193" t="s">
        <v>46577</v>
      </c>
      <c r="S9193" t="s">
        <v>46808</v>
      </c>
      <c r="T9193" t="s">
        <v>48636</v>
      </c>
      <c r="U9193" t="s">
        <v>56234</v>
      </c>
      <c r="W9193" t="s">
        <v>45463</v>
      </c>
      <c r="X9193" t="s">
        <v>46578</v>
      </c>
    </row>
    <row r="9194" spans="1:24">
      <c r="A9194">
        <f>HYPERLINK("https://www.philgeps.gov.ph/GEPSNONPILOT/Tender/SplashBidNoticeAbstractUI.aspx?menuIndex=3&amp;refID=7052919&amp;Result=3","7052919")</f>
        <v>0</v>
      </c>
      <c r="B9194" t="s">
        <v>2068</v>
      </c>
      <c r="C9194" t="s">
        <v>12247</v>
      </c>
      <c r="D9194" t="s">
        <v>18796</v>
      </c>
      <c r="E9194" t="s">
        <v>24960</v>
      </c>
      <c r="F9194" t="s">
        <v>32664</v>
      </c>
      <c r="G9194" t="s">
        <v>32672</v>
      </c>
      <c r="H9194" t="s">
        <v>12635</v>
      </c>
      <c r="I9194" t="s">
        <v>10627</v>
      </c>
      <c r="J9194" t="s">
        <v>38388</v>
      </c>
      <c r="K9194" t="s">
        <v>42289</v>
      </c>
      <c r="M9194" t="s">
        <v>45464</v>
      </c>
      <c r="N9194" t="s">
        <v>46569</v>
      </c>
      <c r="O9194" t="s">
        <v>46570</v>
      </c>
      <c r="P9194">
        <v>0</v>
      </c>
      <c r="Q9194">
        <v>1</v>
      </c>
      <c r="R9194" t="s">
        <v>46577</v>
      </c>
      <c r="S9194" t="s">
        <v>46808</v>
      </c>
      <c r="T9194" t="s">
        <v>48573</v>
      </c>
      <c r="U9194" t="s">
        <v>56235</v>
      </c>
      <c r="W9194" t="s">
        <v>45464</v>
      </c>
      <c r="X9194" t="s">
        <v>46578</v>
      </c>
    </row>
    <row r="9195" spans="1:24">
      <c r="A9195">
        <f>HYPERLINK("https://www.philgeps.gov.ph/GEPSNONPILOT/Tender/SplashBidNoticeAbstractUI.aspx?menuIndex=3&amp;refID=7052906&amp;Result=3","7052906")</f>
        <v>0</v>
      </c>
      <c r="B9195" t="s">
        <v>2484</v>
      </c>
      <c r="C9195" t="s">
        <v>12248</v>
      </c>
      <c r="D9195" t="s">
        <v>18822</v>
      </c>
      <c r="E9195" t="s">
        <v>26883</v>
      </c>
      <c r="F9195" t="s">
        <v>32664</v>
      </c>
      <c r="G9195" t="s">
        <v>32672</v>
      </c>
      <c r="H9195" t="s">
        <v>12635</v>
      </c>
      <c r="I9195" t="s">
        <v>4439</v>
      </c>
      <c r="J9195" t="s">
        <v>33175</v>
      </c>
      <c r="K9195" t="s">
        <v>42297</v>
      </c>
      <c r="M9195" t="s">
        <v>45284</v>
      </c>
      <c r="N9195" t="s">
        <v>46569</v>
      </c>
      <c r="O9195" t="s">
        <v>46570</v>
      </c>
      <c r="P9195">
        <v>0</v>
      </c>
      <c r="Q9195">
        <v>1</v>
      </c>
      <c r="R9195" t="s">
        <v>46577</v>
      </c>
      <c r="S9195" t="s">
        <v>46808</v>
      </c>
      <c r="T9195" t="s">
        <v>48283</v>
      </c>
      <c r="U9195" t="s">
        <v>56210</v>
      </c>
      <c r="W9195" t="s">
        <v>45284</v>
      </c>
      <c r="X9195" t="s">
        <v>46578</v>
      </c>
    </row>
    <row r="9196" spans="1:24">
      <c r="A9196">
        <f>HYPERLINK("https://www.philgeps.gov.ph/GEPSNONPILOT/Tender/SplashBidNoticeAbstractUI.aspx?menuIndex=3&amp;refID=7052988&amp;Result=3","7052988")</f>
        <v>0</v>
      </c>
      <c r="B9196" t="s">
        <v>2644</v>
      </c>
      <c r="C9196" t="s">
        <v>12249</v>
      </c>
      <c r="D9196" t="s">
        <v>18842</v>
      </c>
      <c r="E9196" t="s">
        <v>26884</v>
      </c>
      <c r="F9196" t="s">
        <v>32664</v>
      </c>
      <c r="G9196" t="s">
        <v>32672</v>
      </c>
      <c r="H9196" t="s">
        <v>32683</v>
      </c>
      <c r="I9196" t="s">
        <v>10627</v>
      </c>
      <c r="J9196" t="s">
        <v>33078</v>
      </c>
      <c r="K9196" t="s">
        <v>42281</v>
      </c>
      <c r="M9196" t="s">
        <v>45465</v>
      </c>
      <c r="N9196" t="s">
        <v>46569</v>
      </c>
      <c r="O9196" t="s">
        <v>46570</v>
      </c>
      <c r="P9196">
        <v>0</v>
      </c>
      <c r="Q9196">
        <v>0</v>
      </c>
      <c r="R9196" t="s">
        <v>46577</v>
      </c>
      <c r="S9196" t="s">
        <v>46808</v>
      </c>
      <c r="T9196" t="s">
        <v>48583</v>
      </c>
      <c r="U9196" t="s">
        <v>56236</v>
      </c>
      <c r="W9196" t="s">
        <v>45465</v>
      </c>
      <c r="X9196" t="s">
        <v>46578</v>
      </c>
    </row>
    <row r="9197" spans="1:24">
      <c r="A9197">
        <f>HYPERLINK("https://www.philgeps.gov.ph/GEPSNONPILOT/Tender/SplashBidNoticeAbstractUI.aspx?menuIndex=3&amp;refID=7052936&amp;Result=3","7052936")</f>
        <v>0</v>
      </c>
      <c r="B9197" t="s">
        <v>1274</v>
      </c>
      <c r="C9197" t="s">
        <v>12250</v>
      </c>
      <c r="D9197" t="s">
        <v>18784</v>
      </c>
      <c r="E9197" t="s">
        <v>26885</v>
      </c>
      <c r="F9197" t="s">
        <v>32664</v>
      </c>
      <c r="G9197" t="s">
        <v>32674</v>
      </c>
      <c r="H9197" t="s">
        <v>12635</v>
      </c>
      <c r="I9197" t="s">
        <v>6223</v>
      </c>
      <c r="J9197" t="s">
        <v>33621</v>
      </c>
      <c r="K9197" t="s">
        <v>42284</v>
      </c>
      <c r="M9197" t="s">
        <v>43917</v>
      </c>
      <c r="N9197" t="s">
        <v>46569</v>
      </c>
      <c r="O9197" t="s">
        <v>46570</v>
      </c>
      <c r="P9197">
        <v>0</v>
      </c>
      <c r="Q9197">
        <v>2</v>
      </c>
      <c r="R9197" t="s">
        <v>46577</v>
      </c>
      <c r="S9197" t="s">
        <v>46808</v>
      </c>
      <c r="T9197" t="s">
        <v>48473</v>
      </c>
      <c r="U9197" t="s">
        <v>56237</v>
      </c>
      <c r="V9197" t="s">
        <v>62118</v>
      </c>
      <c r="W9197" t="s">
        <v>43917</v>
      </c>
      <c r="X9197" t="s">
        <v>46578</v>
      </c>
    </row>
    <row r="9198" spans="1:24">
      <c r="A9198">
        <f>HYPERLINK("https://www.philgeps.gov.ph/GEPSNONPILOT/Tender/SplashBidNoticeAbstractUI.aspx?menuIndex=3&amp;refID=7052848&amp;Result=3","7052848")</f>
        <v>0</v>
      </c>
      <c r="B9198" t="s">
        <v>2446</v>
      </c>
      <c r="C9198" t="s">
        <v>12251</v>
      </c>
      <c r="E9198" t="s">
        <v>26886</v>
      </c>
      <c r="F9198" t="s">
        <v>32664</v>
      </c>
      <c r="G9198" t="s">
        <v>32672</v>
      </c>
      <c r="H9198" t="s">
        <v>12635</v>
      </c>
      <c r="I9198" t="s">
        <v>32712</v>
      </c>
      <c r="J9198" t="s">
        <v>33001</v>
      </c>
      <c r="K9198" t="s">
        <v>42283</v>
      </c>
      <c r="M9198" t="s">
        <v>45239</v>
      </c>
      <c r="N9198" t="s">
        <v>46569</v>
      </c>
      <c r="O9198" t="s">
        <v>46570</v>
      </c>
      <c r="Q9198">
        <v>18</v>
      </c>
      <c r="R9198" t="s">
        <v>46577</v>
      </c>
      <c r="S9198" t="s">
        <v>46820</v>
      </c>
      <c r="T9198" t="s">
        <v>48635</v>
      </c>
      <c r="U9198" t="s">
        <v>56238</v>
      </c>
      <c r="V9198" t="s">
        <v>62568</v>
      </c>
      <c r="W9198" t="s">
        <v>45239</v>
      </c>
      <c r="X9198" t="s">
        <v>46578</v>
      </c>
    </row>
    <row r="9199" spans="1:24">
      <c r="A9199">
        <f>HYPERLINK("https://www.philgeps.gov.ph/GEPSNONPILOT/Tender/SplashBidNoticeAbstractUI.aspx?menuIndex=3&amp;refID=7052897&amp;Result=3","7052897")</f>
        <v>0</v>
      </c>
      <c r="B9199" t="s">
        <v>289</v>
      </c>
      <c r="C9199" t="s">
        <v>12252</v>
      </c>
      <c r="D9199" t="s">
        <v>18791</v>
      </c>
      <c r="E9199" t="s">
        <v>26887</v>
      </c>
      <c r="F9199" t="s">
        <v>32664</v>
      </c>
      <c r="G9199" t="s">
        <v>32671</v>
      </c>
      <c r="H9199" t="s">
        <v>12635</v>
      </c>
      <c r="I9199" t="s">
        <v>32755</v>
      </c>
      <c r="J9199" t="s">
        <v>33608</v>
      </c>
      <c r="K9199" t="s">
        <v>42297</v>
      </c>
      <c r="M9199" t="s">
        <v>42856</v>
      </c>
      <c r="N9199" t="s">
        <v>46569</v>
      </c>
      <c r="O9199" t="s">
        <v>46570</v>
      </c>
      <c r="P9199">
        <v>0</v>
      </c>
      <c r="Q9199">
        <v>0</v>
      </c>
      <c r="R9199" t="s">
        <v>46577</v>
      </c>
      <c r="S9199" t="s">
        <v>46808</v>
      </c>
      <c r="T9199" t="s">
        <v>48254</v>
      </c>
      <c r="U9199" t="s">
        <v>56239</v>
      </c>
      <c r="W9199" t="s">
        <v>42856</v>
      </c>
      <c r="X9199" t="s">
        <v>46578</v>
      </c>
    </row>
    <row r="9200" spans="1:24">
      <c r="A9200">
        <f>HYPERLINK("https://www.philgeps.gov.ph/GEPSNONPILOT/Tender/SplashBidNoticeAbstractUI.aspx?menuIndex=3&amp;refID=7052894&amp;Result=3","7052894")</f>
        <v>0</v>
      </c>
      <c r="B9200" t="s">
        <v>555</v>
      </c>
      <c r="C9200" t="s">
        <v>12253</v>
      </c>
      <c r="D9200" t="s">
        <v>18841</v>
      </c>
      <c r="E9200" t="s">
        <v>26888</v>
      </c>
      <c r="F9200" t="s">
        <v>32664</v>
      </c>
      <c r="G9200" t="s">
        <v>32672</v>
      </c>
      <c r="H9200" t="s">
        <v>12635</v>
      </c>
      <c r="I9200" t="s">
        <v>32706</v>
      </c>
      <c r="J9200" t="s">
        <v>38389</v>
      </c>
      <c r="K9200" t="s">
        <v>42289</v>
      </c>
      <c r="M9200" t="s">
        <v>43135</v>
      </c>
      <c r="N9200" t="s">
        <v>46569</v>
      </c>
      <c r="O9200" t="s">
        <v>46570</v>
      </c>
      <c r="P9200">
        <v>0</v>
      </c>
      <c r="Q9200">
        <v>0</v>
      </c>
      <c r="R9200" t="s">
        <v>46577</v>
      </c>
      <c r="S9200" t="s">
        <v>46808</v>
      </c>
      <c r="T9200" t="s">
        <v>48293</v>
      </c>
      <c r="U9200" t="s">
        <v>56240</v>
      </c>
      <c r="W9200" t="s">
        <v>43135</v>
      </c>
      <c r="X9200" t="s">
        <v>46578</v>
      </c>
    </row>
    <row r="9201" spans="1:24">
      <c r="A9201">
        <f>HYPERLINK("https://www.philgeps.gov.ph/GEPSNONPILOT/Tender/SplashBidNoticeAbstractUI.aspx?menuIndex=3&amp;refID=7052979&amp;Result=3","7052979")</f>
        <v>0</v>
      </c>
      <c r="B9201" t="s">
        <v>2623</v>
      </c>
      <c r="C9201" t="s">
        <v>12254</v>
      </c>
      <c r="D9201" t="s">
        <v>18856</v>
      </c>
      <c r="E9201" t="s">
        <v>26889</v>
      </c>
      <c r="F9201" t="s">
        <v>32664</v>
      </c>
      <c r="G9201" t="s">
        <v>32671</v>
      </c>
      <c r="H9201" t="s">
        <v>12635</v>
      </c>
      <c r="I9201" t="s">
        <v>6168</v>
      </c>
      <c r="J9201" t="s">
        <v>38390</v>
      </c>
      <c r="K9201" t="s">
        <v>42281</v>
      </c>
      <c r="M9201" t="s">
        <v>45441</v>
      </c>
      <c r="N9201" t="s">
        <v>46569</v>
      </c>
      <c r="O9201" t="s">
        <v>46570</v>
      </c>
      <c r="P9201">
        <v>0</v>
      </c>
      <c r="Q9201">
        <v>1</v>
      </c>
      <c r="R9201" t="s">
        <v>46577</v>
      </c>
      <c r="S9201" t="s">
        <v>46808</v>
      </c>
      <c r="T9201" t="s">
        <v>48285</v>
      </c>
      <c r="U9201" t="s">
        <v>49404</v>
      </c>
      <c r="V9201" t="s">
        <v>62560</v>
      </c>
      <c r="W9201" t="s">
        <v>45441</v>
      </c>
      <c r="X9201" t="s">
        <v>46578</v>
      </c>
    </row>
    <row r="9202" spans="1:24">
      <c r="A9202">
        <f>HYPERLINK("https://www.philgeps.gov.ph/GEPSNONPILOT/Tender/SplashBidNoticeAbstractUI.aspx?menuIndex=3&amp;refID=7052968&amp;Result=3","7052968")</f>
        <v>0</v>
      </c>
      <c r="B9202" t="s">
        <v>413</v>
      </c>
      <c r="C9202" t="s">
        <v>12255</v>
      </c>
      <c r="D9202" t="s">
        <v>18799</v>
      </c>
      <c r="E9202" t="s">
        <v>26890</v>
      </c>
      <c r="F9202" t="s">
        <v>32664</v>
      </c>
      <c r="G9202" t="s">
        <v>32674</v>
      </c>
      <c r="H9202" t="s">
        <v>12635</v>
      </c>
      <c r="I9202" t="s">
        <v>4205</v>
      </c>
      <c r="J9202" t="s">
        <v>38391</v>
      </c>
      <c r="K9202" t="s">
        <v>42297</v>
      </c>
      <c r="M9202" t="s">
        <v>42984</v>
      </c>
      <c r="N9202" t="s">
        <v>46569</v>
      </c>
      <c r="O9202" t="s">
        <v>46570</v>
      </c>
      <c r="P9202">
        <v>0</v>
      </c>
      <c r="Q9202">
        <v>3</v>
      </c>
      <c r="R9202" t="s">
        <v>46577</v>
      </c>
      <c r="S9202" t="s">
        <v>46808</v>
      </c>
      <c r="T9202" t="s">
        <v>48314</v>
      </c>
      <c r="U9202" t="s">
        <v>49686</v>
      </c>
      <c r="W9202" t="s">
        <v>42984</v>
      </c>
      <c r="X9202" t="s">
        <v>46578</v>
      </c>
    </row>
    <row r="9203" spans="1:24">
      <c r="A9203">
        <f>HYPERLINK("https://www.philgeps.gov.ph/GEPSNONPILOT/Tender/SplashBidNoticeAbstractUI.aspx?menuIndex=3&amp;refID=7052971&amp;Result=3","7052971")</f>
        <v>0</v>
      </c>
      <c r="B9203" t="s">
        <v>2446</v>
      </c>
      <c r="C9203" t="s">
        <v>12256</v>
      </c>
      <c r="D9203" t="s">
        <v>18838</v>
      </c>
      <c r="E9203" t="s">
        <v>26891</v>
      </c>
      <c r="F9203" t="s">
        <v>32664</v>
      </c>
      <c r="G9203" t="s">
        <v>32672</v>
      </c>
      <c r="H9203" t="s">
        <v>12635</v>
      </c>
      <c r="I9203" t="s">
        <v>32712</v>
      </c>
      <c r="J9203" t="s">
        <v>38392</v>
      </c>
      <c r="K9203" t="s">
        <v>42283</v>
      </c>
      <c r="M9203" t="s">
        <v>45239</v>
      </c>
      <c r="N9203" t="s">
        <v>46569</v>
      </c>
      <c r="O9203" t="s">
        <v>46570</v>
      </c>
      <c r="Q9203">
        <v>32</v>
      </c>
      <c r="R9203" t="s">
        <v>46577</v>
      </c>
      <c r="S9203" t="s">
        <v>46821</v>
      </c>
      <c r="T9203" t="s">
        <v>48560</v>
      </c>
      <c r="U9203" t="s">
        <v>56241</v>
      </c>
      <c r="V9203" t="s">
        <v>62569</v>
      </c>
      <c r="W9203" t="s">
        <v>45239</v>
      </c>
      <c r="X9203" t="s">
        <v>46578</v>
      </c>
    </row>
    <row r="9204" spans="1:24">
      <c r="A9204">
        <f>HYPERLINK("https://www.philgeps.gov.ph/GEPSNONPILOT/Tender/SplashBidNoticeAbstractUI.aspx?menuIndex=3&amp;refID=7052982&amp;Result=3","7052982")</f>
        <v>0</v>
      </c>
      <c r="B9204" t="s">
        <v>289</v>
      </c>
      <c r="C9204" t="s">
        <v>12257</v>
      </c>
      <c r="D9204" t="s">
        <v>18791</v>
      </c>
      <c r="E9204" t="s">
        <v>26892</v>
      </c>
      <c r="F9204" t="s">
        <v>32664</v>
      </c>
      <c r="G9204" t="s">
        <v>32671</v>
      </c>
      <c r="H9204" t="s">
        <v>12635</v>
      </c>
      <c r="I9204" t="s">
        <v>32755</v>
      </c>
      <c r="J9204" t="s">
        <v>32984</v>
      </c>
      <c r="K9204" t="s">
        <v>42297</v>
      </c>
      <c r="M9204" t="s">
        <v>42856</v>
      </c>
      <c r="N9204" t="s">
        <v>46569</v>
      </c>
      <c r="O9204" t="s">
        <v>46570</v>
      </c>
      <c r="P9204">
        <v>0</v>
      </c>
      <c r="Q9204">
        <v>0</v>
      </c>
      <c r="R9204" t="s">
        <v>46577</v>
      </c>
      <c r="S9204" t="s">
        <v>46808</v>
      </c>
      <c r="T9204" t="s">
        <v>48450</v>
      </c>
      <c r="U9204" t="s">
        <v>56242</v>
      </c>
      <c r="W9204" t="s">
        <v>42856</v>
      </c>
      <c r="X9204" t="s">
        <v>46578</v>
      </c>
    </row>
    <row r="9205" spans="1:24">
      <c r="A9205">
        <f>HYPERLINK("https://www.philgeps.gov.ph/GEPSNONPILOT/Tender/SplashBidNoticeAbstractUI.aspx?menuIndex=3&amp;refID=7052987&amp;Result=3","7052987")</f>
        <v>0</v>
      </c>
      <c r="B9205" t="s">
        <v>2637</v>
      </c>
      <c r="C9205" t="s">
        <v>12258</v>
      </c>
      <c r="D9205" t="s">
        <v>18830</v>
      </c>
      <c r="E9205" t="s">
        <v>26893</v>
      </c>
      <c r="F9205" t="s">
        <v>32664</v>
      </c>
      <c r="G9205" t="s">
        <v>32672</v>
      </c>
      <c r="H9205" t="s">
        <v>32683</v>
      </c>
      <c r="I9205" t="s">
        <v>10627</v>
      </c>
      <c r="J9205" t="s">
        <v>37840</v>
      </c>
      <c r="K9205" t="s">
        <v>42298</v>
      </c>
      <c r="M9205" t="s">
        <v>45457</v>
      </c>
      <c r="N9205" t="s">
        <v>46569</v>
      </c>
      <c r="O9205" t="s">
        <v>46570</v>
      </c>
      <c r="P9205">
        <v>0</v>
      </c>
      <c r="Q9205">
        <v>0</v>
      </c>
      <c r="R9205" t="s">
        <v>46577</v>
      </c>
      <c r="S9205" t="s">
        <v>46808</v>
      </c>
      <c r="T9205" t="s">
        <v>48212</v>
      </c>
      <c r="U9205" t="s">
        <v>56243</v>
      </c>
      <c r="W9205" t="s">
        <v>45457</v>
      </c>
      <c r="X9205" t="s">
        <v>46578</v>
      </c>
    </row>
    <row r="9206" spans="1:24">
      <c r="A9206">
        <f>HYPERLINK("https://www.philgeps.gov.ph/GEPSNONPILOT/Tender/SplashBidNoticeAbstractUI.aspx?menuIndex=3&amp;refID=7052959&amp;Result=3","7052959")</f>
        <v>0</v>
      </c>
      <c r="B9206" t="s">
        <v>1292</v>
      </c>
      <c r="C9206" t="s">
        <v>12259</v>
      </c>
      <c r="D9206" t="s">
        <v>18807</v>
      </c>
      <c r="E9206" t="s">
        <v>26894</v>
      </c>
      <c r="F9206" t="s">
        <v>32665</v>
      </c>
      <c r="G9206" t="s">
        <v>32671</v>
      </c>
      <c r="H9206" t="s">
        <v>12635</v>
      </c>
      <c r="I9206" t="s">
        <v>32723</v>
      </c>
      <c r="J9206" t="s">
        <v>33021</v>
      </c>
      <c r="K9206" t="s">
        <v>42281</v>
      </c>
      <c r="M9206" t="s">
        <v>43936</v>
      </c>
      <c r="N9206" t="s">
        <v>46569</v>
      </c>
      <c r="O9206" t="s">
        <v>46570</v>
      </c>
      <c r="P9206">
        <v>0</v>
      </c>
      <c r="Q9206">
        <v>1</v>
      </c>
      <c r="R9206" t="s">
        <v>46577</v>
      </c>
      <c r="S9206" t="s">
        <v>46808</v>
      </c>
      <c r="T9206" t="s">
        <v>48282</v>
      </c>
      <c r="U9206" t="s">
        <v>51530</v>
      </c>
      <c r="V9206" t="s">
        <v>61958</v>
      </c>
      <c r="W9206" t="s">
        <v>63509</v>
      </c>
      <c r="X9206" t="s">
        <v>46578</v>
      </c>
    </row>
    <row r="9207" spans="1:24">
      <c r="A9207">
        <f>HYPERLINK("https://www.philgeps.gov.ph/GEPSNONPILOT/Tender/SplashBidNoticeAbstractUI.aspx?menuIndex=3&amp;refID=7052954&amp;Result=3","7052954")</f>
        <v>0</v>
      </c>
      <c r="B9207" t="s">
        <v>2638</v>
      </c>
      <c r="C9207" t="s">
        <v>5047</v>
      </c>
      <c r="D9207" t="s">
        <v>18865</v>
      </c>
      <c r="E9207" t="s">
        <v>26895</v>
      </c>
      <c r="F9207" t="s">
        <v>32664</v>
      </c>
      <c r="G9207" t="s">
        <v>32672</v>
      </c>
      <c r="H9207" t="s">
        <v>12635</v>
      </c>
      <c r="I9207" t="s">
        <v>9486</v>
      </c>
      <c r="J9207" t="s">
        <v>38393</v>
      </c>
      <c r="K9207" t="s">
        <v>42283</v>
      </c>
      <c r="M9207" t="s">
        <v>45458</v>
      </c>
      <c r="N9207" t="s">
        <v>46569</v>
      </c>
      <c r="O9207" t="s">
        <v>46570</v>
      </c>
      <c r="P9207">
        <v>0</v>
      </c>
      <c r="Q9207">
        <v>1</v>
      </c>
      <c r="R9207" t="s">
        <v>46577</v>
      </c>
      <c r="S9207" t="s">
        <v>46808</v>
      </c>
      <c r="T9207" t="s">
        <v>48483</v>
      </c>
      <c r="U9207" t="s">
        <v>56244</v>
      </c>
      <c r="W9207" t="s">
        <v>45458</v>
      </c>
      <c r="X9207" t="s">
        <v>46578</v>
      </c>
    </row>
    <row r="9208" spans="1:24">
      <c r="A9208">
        <f>HYPERLINK("https://www.philgeps.gov.ph/GEPSNONPILOT/Tender/SplashBidNoticeAbstractUI.aspx?menuIndex=3&amp;refID=7052958&amp;Result=3","7052958")</f>
        <v>0</v>
      </c>
      <c r="B9208" t="s">
        <v>797</v>
      </c>
      <c r="C9208" t="s">
        <v>12260</v>
      </c>
      <c r="D9208" t="s">
        <v>18792</v>
      </c>
      <c r="E9208" t="s">
        <v>26896</v>
      </c>
      <c r="F9208" t="s">
        <v>32664</v>
      </c>
      <c r="G9208" t="s">
        <v>32672</v>
      </c>
      <c r="H9208" t="s">
        <v>12635</v>
      </c>
      <c r="I9208" t="s">
        <v>5589</v>
      </c>
      <c r="J9208" t="s">
        <v>38394</v>
      </c>
      <c r="K9208" t="s">
        <v>42281</v>
      </c>
      <c r="M9208" t="s">
        <v>43389</v>
      </c>
      <c r="N9208" t="s">
        <v>46569</v>
      </c>
      <c r="O9208" t="s">
        <v>46570</v>
      </c>
      <c r="P9208">
        <v>0</v>
      </c>
      <c r="Q9208">
        <v>2</v>
      </c>
      <c r="R9208" t="s">
        <v>46577</v>
      </c>
      <c r="S9208" t="s">
        <v>46808</v>
      </c>
      <c r="T9208" t="s">
        <v>48637</v>
      </c>
      <c r="U9208" t="s">
        <v>56245</v>
      </c>
      <c r="V9208" t="s">
        <v>62570</v>
      </c>
      <c r="W9208" t="s">
        <v>43389</v>
      </c>
      <c r="X9208" t="s">
        <v>46578</v>
      </c>
    </row>
    <row r="9209" spans="1:24">
      <c r="A9209">
        <f>HYPERLINK("https://www.philgeps.gov.ph/GEPSNONPILOT/Tender/SplashBidNoticeAbstractUI.aspx?menuIndex=3&amp;refID=7052952&amp;Result=3","7052952")</f>
        <v>0</v>
      </c>
      <c r="B9209" t="s">
        <v>2645</v>
      </c>
      <c r="C9209" t="s">
        <v>12261</v>
      </c>
      <c r="D9209" t="s">
        <v>18856</v>
      </c>
      <c r="E9209" t="s">
        <v>26897</v>
      </c>
      <c r="F9209" t="s">
        <v>32664</v>
      </c>
      <c r="G9209" t="s">
        <v>32675</v>
      </c>
      <c r="H9209" t="s">
        <v>12635</v>
      </c>
      <c r="I9209" t="s">
        <v>4333</v>
      </c>
      <c r="J9209" t="s">
        <v>38395</v>
      </c>
      <c r="K9209" t="s">
        <v>42281</v>
      </c>
      <c r="M9209" t="s">
        <v>45466</v>
      </c>
      <c r="N9209" t="s">
        <v>46569</v>
      </c>
      <c r="O9209" t="s">
        <v>46570</v>
      </c>
      <c r="P9209">
        <v>0</v>
      </c>
      <c r="Q9209">
        <v>4</v>
      </c>
      <c r="R9209" t="s">
        <v>46577</v>
      </c>
      <c r="S9209" t="s">
        <v>46808</v>
      </c>
      <c r="T9209" t="s">
        <v>48256</v>
      </c>
      <c r="U9209" t="s">
        <v>56246</v>
      </c>
      <c r="V9209" t="s">
        <v>62571</v>
      </c>
      <c r="W9209" t="s">
        <v>45466</v>
      </c>
      <c r="X9209" t="s">
        <v>46578</v>
      </c>
    </row>
    <row r="9210" spans="1:24">
      <c r="A9210">
        <f>HYPERLINK("https://www.philgeps.gov.ph/GEPSNONPILOT/Tender/SplashBidNoticeAbstractUI.aspx?menuIndex=3&amp;refID=7052951&amp;Result=3","7052951")</f>
        <v>0</v>
      </c>
      <c r="B9210" t="s">
        <v>289</v>
      </c>
      <c r="C9210" t="s">
        <v>12262</v>
      </c>
      <c r="D9210" t="s">
        <v>18791</v>
      </c>
      <c r="E9210" t="s">
        <v>26898</v>
      </c>
      <c r="F9210" t="s">
        <v>32664</v>
      </c>
      <c r="G9210" t="s">
        <v>32671</v>
      </c>
      <c r="H9210" t="s">
        <v>12635</v>
      </c>
      <c r="I9210" t="s">
        <v>32755</v>
      </c>
      <c r="J9210" t="s">
        <v>38396</v>
      </c>
      <c r="K9210" t="s">
        <v>42297</v>
      </c>
      <c r="M9210" t="s">
        <v>42856</v>
      </c>
      <c r="N9210" t="s">
        <v>46569</v>
      </c>
      <c r="O9210" t="s">
        <v>46570</v>
      </c>
      <c r="P9210">
        <v>0</v>
      </c>
      <c r="Q9210">
        <v>1</v>
      </c>
      <c r="R9210" t="s">
        <v>46577</v>
      </c>
      <c r="S9210" t="s">
        <v>46808</v>
      </c>
      <c r="T9210" t="s">
        <v>48450</v>
      </c>
      <c r="U9210" t="s">
        <v>56247</v>
      </c>
      <c r="W9210" t="s">
        <v>42856</v>
      </c>
      <c r="X9210" t="s">
        <v>46578</v>
      </c>
    </row>
    <row r="9211" spans="1:24">
      <c r="A9211">
        <f>HYPERLINK("https://www.philgeps.gov.ph/GEPSNONPILOT/Tender/SplashBidNoticeAbstractUI.aspx?menuIndex=3&amp;refID=7052972&amp;Result=3","7052972")</f>
        <v>0</v>
      </c>
      <c r="B9211" t="s">
        <v>2646</v>
      </c>
      <c r="C9211" t="s">
        <v>12263</v>
      </c>
      <c r="D9211" t="s">
        <v>18855</v>
      </c>
      <c r="E9211" t="s">
        <v>26899</v>
      </c>
      <c r="F9211" t="s">
        <v>32664</v>
      </c>
      <c r="G9211" t="s">
        <v>32672</v>
      </c>
      <c r="H9211" t="s">
        <v>12635</v>
      </c>
      <c r="I9211" t="s">
        <v>4439</v>
      </c>
      <c r="J9211" t="s">
        <v>38397</v>
      </c>
      <c r="K9211" t="s">
        <v>42281</v>
      </c>
      <c r="M9211" t="s">
        <v>45467</v>
      </c>
      <c r="N9211" t="s">
        <v>46569</v>
      </c>
      <c r="O9211" t="s">
        <v>46570</v>
      </c>
      <c r="P9211">
        <v>0</v>
      </c>
      <c r="Q9211">
        <v>0</v>
      </c>
      <c r="R9211" t="s">
        <v>46577</v>
      </c>
      <c r="S9211" t="s">
        <v>46808</v>
      </c>
      <c r="T9211" t="s">
        <v>48316</v>
      </c>
      <c r="U9211" t="s">
        <v>56248</v>
      </c>
      <c r="W9211" t="s">
        <v>45467</v>
      </c>
      <c r="X9211" t="s">
        <v>46578</v>
      </c>
    </row>
    <row r="9212" spans="1:24">
      <c r="A9212">
        <f>HYPERLINK("https://www.philgeps.gov.ph/GEPSNONPILOT/Tender/SplashBidNoticeAbstractUI.aspx?menuIndex=3&amp;refID=7052962&amp;Result=3","7052962")</f>
        <v>0</v>
      </c>
      <c r="B9212" t="s">
        <v>137</v>
      </c>
      <c r="C9212" t="s">
        <v>12264</v>
      </c>
      <c r="D9212" t="s">
        <v>18797</v>
      </c>
      <c r="E9212" t="s">
        <v>26900</v>
      </c>
      <c r="F9212" t="s">
        <v>32664</v>
      </c>
      <c r="G9212" t="s">
        <v>32671</v>
      </c>
      <c r="H9212" t="s">
        <v>32682</v>
      </c>
      <c r="I9212" t="s">
        <v>32691</v>
      </c>
      <c r="J9212" t="s">
        <v>32917</v>
      </c>
      <c r="K9212" t="s">
        <v>42295</v>
      </c>
      <c r="M9212" t="s">
        <v>42701</v>
      </c>
      <c r="N9212" t="s">
        <v>46569</v>
      </c>
      <c r="O9212" t="s">
        <v>46570</v>
      </c>
      <c r="P9212">
        <v>0</v>
      </c>
      <c r="Q9212">
        <v>0</v>
      </c>
      <c r="R9212" t="s">
        <v>46577</v>
      </c>
      <c r="S9212" t="s">
        <v>46808</v>
      </c>
      <c r="T9212" t="s">
        <v>48221</v>
      </c>
      <c r="U9212" t="s">
        <v>56249</v>
      </c>
      <c r="W9212" t="s">
        <v>42701</v>
      </c>
      <c r="X9212" t="s">
        <v>46578</v>
      </c>
    </row>
    <row r="9213" spans="1:24">
      <c r="A9213">
        <f>HYPERLINK("https://www.philgeps.gov.ph/GEPSNONPILOT/Tender/SplashBidNoticeAbstractUI.aspx?menuIndex=3&amp;refID=7052942&amp;Result=3","7052942")</f>
        <v>0</v>
      </c>
      <c r="B9213" t="s">
        <v>2446</v>
      </c>
      <c r="C9213" t="s">
        <v>12265</v>
      </c>
      <c r="E9213" t="s">
        <v>26901</v>
      </c>
      <c r="F9213" t="s">
        <v>32664</v>
      </c>
      <c r="G9213" t="s">
        <v>32672</v>
      </c>
      <c r="H9213" t="s">
        <v>12635</v>
      </c>
      <c r="I9213" t="s">
        <v>32712</v>
      </c>
      <c r="J9213" t="s">
        <v>38398</v>
      </c>
      <c r="K9213" t="s">
        <v>42283</v>
      </c>
      <c r="M9213" t="s">
        <v>45239</v>
      </c>
      <c r="N9213" t="s">
        <v>46569</v>
      </c>
      <c r="O9213" t="s">
        <v>46570</v>
      </c>
      <c r="Q9213">
        <v>20</v>
      </c>
      <c r="R9213" t="s">
        <v>46577</v>
      </c>
      <c r="S9213" t="s">
        <v>46822</v>
      </c>
      <c r="T9213" t="s">
        <v>48560</v>
      </c>
      <c r="U9213" t="s">
        <v>56250</v>
      </c>
      <c r="V9213" t="s">
        <v>62572</v>
      </c>
      <c r="W9213" t="s">
        <v>45239</v>
      </c>
      <c r="X9213" t="s">
        <v>46578</v>
      </c>
    </row>
    <row r="9214" spans="1:24">
      <c r="A9214">
        <f>HYPERLINK("https://www.philgeps.gov.ph/GEPSNONPILOT/Tender/SplashBidNoticeAbstractUI.aspx?menuIndex=3&amp;refID=7052964&amp;Result=3","7052964")</f>
        <v>0</v>
      </c>
      <c r="B9214" t="s">
        <v>2647</v>
      </c>
      <c r="C9214" t="s">
        <v>12266</v>
      </c>
      <c r="D9214" t="s">
        <v>18806</v>
      </c>
      <c r="E9214" t="s">
        <v>26902</v>
      </c>
      <c r="F9214" t="s">
        <v>32664</v>
      </c>
      <c r="G9214" t="s">
        <v>32677</v>
      </c>
      <c r="H9214" t="s">
        <v>12635</v>
      </c>
      <c r="I9214" t="s">
        <v>4439</v>
      </c>
      <c r="J9214" t="s">
        <v>38399</v>
      </c>
      <c r="K9214" t="s">
        <v>42311</v>
      </c>
      <c r="M9214" t="s">
        <v>45468</v>
      </c>
      <c r="N9214" t="s">
        <v>46569</v>
      </c>
      <c r="O9214" t="s">
        <v>46570</v>
      </c>
      <c r="P9214">
        <v>0</v>
      </c>
      <c r="Q9214">
        <v>3</v>
      </c>
      <c r="R9214" t="s">
        <v>46577</v>
      </c>
      <c r="S9214" t="s">
        <v>46808</v>
      </c>
      <c r="T9214" t="s">
        <v>48219</v>
      </c>
      <c r="U9214" t="s">
        <v>56251</v>
      </c>
      <c r="W9214" t="s">
        <v>45468</v>
      </c>
      <c r="X9214" t="s">
        <v>46578</v>
      </c>
    </row>
    <row r="9215" spans="1:24">
      <c r="A9215">
        <f>HYPERLINK("https://www.philgeps.gov.ph/GEPSNONPILOT/Tender/SplashBidNoticeAbstractUI.aspx?menuIndex=3&amp;refID=7052981&amp;Result=3","7052981")</f>
        <v>0</v>
      </c>
      <c r="B9215" t="s">
        <v>194</v>
      </c>
      <c r="C9215" t="s">
        <v>12267</v>
      </c>
      <c r="D9215" t="s">
        <v>18791</v>
      </c>
      <c r="E9215" t="s">
        <v>26903</v>
      </c>
      <c r="F9215" t="s">
        <v>32664</v>
      </c>
      <c r="G9215" t="s">
        <v>32671</v>
      </c>
      <c r="H9215" t="s">
        <v>12635</v>
      </c>
      <c r="I9215" t="s">
        <v>8797</v>
      </c>
      <c r="J9215" t="s">
        <v>33987</v>
      </c>
      <c r="K9215" t="s">
        <v>42284</v>
      </c>
      <c r="M9215" t="s">
        <v>42758</v>
      </c>
      <c r="N9215" t="s">
        <v>46569</v>
      </c>
      <c r="O9215" t="s">
        <v>46570</v>
      </c>
      <c r="P9215">
        <v>0</v>
      </c>
      <c r="Q9215">
        <v>3</v>
      </c>
      <c r="R9215" t="s">
        <v>46577</v>
      </c>
      <c r="S9215" t="s">
        <v>46808</v>
      </c>
      <c r="T9215" t="s">
        <v>48449</v>
      </c>
      <c r="U9215" t="s">
        <v>56252</v>
      </c>
      <c r="W9215" t="s">
        <v>42758</v>
      </c>
      <c r="X9215" t="s">
        <v>46578</v>
      </c>
    </row>
    <row r="9216" spans="1:24">
      <c r="A9216">
        <f>HYPERLINK("https://www.philgeps.gov.ph/GEPSNONPILOT/Tender/SplashBidNoticeAbstractUI.aspx?menuIndex=3&amp;refID=7053043&amp;Result=3","7053043")</f>
        <v>0</v>
      </c>
      <c r="B9216" t="s">
        <v>909</v>
      </c>
      <c r="C9216" t="s">
        <v>12268</v>
      </c>
      <c r="D9216" t="s">
        <v>18838</v>
      </c>
      <c r="E9216" t="s">
        <v>26904</v>
      </c>
      <c r="F9216" t="s">
        <v>32664</v>
      </c>
      <c r="G9216" t="s">
        <v>32672</v>
      </c>
      <c r="H9216" t="s">
        <v>32683</v>
      </c>
      <c r="I9216" t="s">
        <v>10627</v>
      </c>
      <c r="J9216" t="s">
        <v>38400</v>
      </c>
      <c r="K9216" t="s">
        <v>42311</v>
      </c>
      <c r="M9216" t="s">
        <v>43515</v>
      </c>
      <c r="N9216" t="s">
        <v>46569</v>
      </c>
      <c r="O9216" t="s">
        <v>46570</v>
      </c>
      <c r="P9216">
        <v>0</v>
      </c>
      <c r="Q9216">
        <v>6</v>
      </c>
      <c r="R9216" t="s">
        <v>46577</v>
      </c>
      <c r="S9216" t="s">
        <v>46808</v>
      </c>
      <c r="T9216" t="s">
        <v>48313</v>
      </c>
      <c r="U9216" t="s">
        <v>56253</v>
      </c>
      <c r="V9216" t="s">
        <v>62573</v>
      </c>
      <c r="W9216" t="s">
        <v>43515</v>
      </c>
      <c r="X9216" t="s">
        <v>46578</v>
      </c>
    </row>
    <row r="9217" spans="1:24">
      <c r="A9217">
        <f>HYPERLINK("https://www.philgeps.gov.ph/GEPSNONPILOT/Tender/SplashBidNoticeAbstractUI.aspx?menuIndex=3&amp;refID=7052993&amp;Result=3","7052993")</f>
        <v>0</v>
      </c>
      <c r="B9217" t="s">
        <v>605</v>
      </c>
      <c r="C9217" t="s">
        <v>12269</v>
      </c>
      <c r="D9217" t="s">
        <v>18858</v>
      </c>
      <c r="E9217" t="s">
        <v>26905</v>
      </c>
      <c r="F9217" t="s">
        <v>32664</v>
      </c>
      <c r="G9217" t="s">
        <v>32674</v>
      </c>
      <c r="H9217" t="s">
        <v>12635</v>
      </c>
      <c r="I9217" t="s">
        <v>7324</v>
      </c>
      <c r="J9217" t="s">
        <v>38401</v>
      </c>
      <c r="K9217" t="s">
        <v>42289</v>
      </c>
      <c r="M9217" t="s">
        <v>43185</v>
      </c>
      <c r="N9217" t="s">
        <v>46569</v>
      </c>
      <c r="O9217" t="s">
        <v>46570</v>
      </c>
      <c r="P9217">
        <v>0</v>
      </c>
      <c r="Q9217">
        <v>3</v>
      </c>
      <c r="R9217" t="s">
        <v>46577</v>
      </c>
      <c r="S9217" t="s">
        <v>46808</v>
      </c>
      <c r="T9217" t="s">
        <v>48562</v>
      </c>
      <c r="U9217" t="s">
        <v>56254</v>
      </c>
      <c r="W9217" t="s">
        <v>43185</v>
      </c>
      <c r="X9217" t="s">
        <v>46578</v>
      </c>
    </row>
    <row r="9218" spans="1:24">
      <c r="A9218">
        <f>HYPERLINK("https://www.philgeps.gov.ph/GEPSNONPILOT/Tender/SplashBidNoticeAbstractUI.aspx?menuIndex=3&amp;refID=7053042&amp;Result=3","7053042")</f>
        <v>0</v>
      </c>
      <c r="B9218" t="s">
        <v>1652</v>
      </c>
      <c r="C9218" t="s">
        <v>12270</v>
      </c>
      <c r="E9218" t="s">
        <v>26906</v>
      </c>
      <c r="F9218" t="s">
        <v>32664</v>
      </c>
      <c r="G9218" t="s">
        <v>32671</v>
      </c>
      <c r="H9218" t="s">
        <v>12635</v>
      </c>
      <c r="I9218" t="s">
        <v>6223</v>
      </c>
      <c r="J9218" t="s">
        <v>33175</v>
      </c>
      <c r="K9218" t="s">
        <v>42283</v>
      </c>
      <c r="M9218" t="s">
        <v>45469</v>
      </c>
      <c r="N9218" t="s">
        <v>46569</v>
      </c>
      <c r="O9218" t="s">
        <v>46570</v>
      </c>
      <c r="Q9218">
        <v>0</v>
      </c>
      <c r="R9218" t="s">
        <v>46577</v>
      </c>
      <c r="S9218" t="s">
        <v>46823</v>
      </c>
      <c r="T9218" t="s">
        <v>48287</v>
      </c>
      <c r="U9218" t="s">
        <v>56255</v>
      </c>
      <c r="W9218" t="s">
        <v>45469</v>
      </c>
      <c r="X9218" t="s">
        <v>46578</v>
      </c>
    </row>
    <row r="9219" spans="1:24">
      <c r="A9219">
        <f>HYPERLINK("https://www.philgeps.gov.ph/GEPSNONPILOT/Tender/SplashBidNoticeAbstractUI.aspx?menuIndex=3&amp;refID=7053034&amp;Result=3","7053034")</f>
        <v>0</v>
      </c>
      <c r="B9219" t="s">
        <v>194</v>
      </c>
      <c r="C9219" t="s">
        <v>12271</v>
      </c>
      <c r="D9219" t="s">
        <v>18791</v>
      </c>
      <c r="E9219" t="s">
        <v>26907</v>
      </c>
      <c r="F9219" t="s">
        <v>32664</v>
      </c>
      <c r="G9219" t="s">
        <v>32671</v>
      </c>
      <c r="H9219" t="s">
        <v>12635</v>
      </c>
      <c r="I9219" t="s">
        <v>32701</v>
      </c>
      <c r="J9219" t="s">
        <v>32898</v>
      </c>
      <c r="K9219" t="s">
        <v>42284</v>
      </c>
      <c r="M9219" t="s">
        <v>42758</v>
      </c>
      <c r="N9219" t="s">
        <v>46569</v>
      </c>
      <c r="O9219" t="s">
        <v>46570</v>
      </c>
      <c r="P9219">
        <v>0</v>
      </c>
      <c r="Q9219">
        <v>0</v>
      </c>
      <c r="R9219" t="s">
        <v>46577</v>
      </c>
      <c r="S9219" t="s">
        <v>46808</v>
      </c>
      <c r="T9219" t="s">
        <v>48449</v>
      </c>
      <c r="U9219" t="s">
        <v>56256</v>
      </c>
      <c r="W9219" t="s">
        <v>42758</v>
      </c>
      <c r="X9219" t="s">
        <v>46578</v>
      </c>
    </row>
    <row r="9220" spans="1:24">
      <c r="A9220">
        <f>HYPERLINK("https://www.philgeps.gov.ph/GEPSNONPILOT/Tender/SplashBidNoticeAbstractUI.aspx?menuIndex=3&amp;refID=7053025&amp;Result=3","7053025")</f>
        <v>0</v>
      </c>
      <c r="B9220" t="s">
        <v>160</v>
      </c>
      <c r="C9220" t="s">
        <v>12272</v>
      </c>
      <c r="D9220" t="s">
        <v>18806</v>
      </c>
      <c r="E9220" t="s">
        <v>26908</v>
      </c>
      <c r="F9220" t="s">
        <v>32664</v>
      </c>
      <c r="G9220" t="s">
        <v>32672</v>
      </c>
      <c r="H9220" t="s">
        <v>12635</v>
      </c>
      <c r="I9220" t="s">
        <v>4439</v>
      </c>
      <c r="J9220" t="s">
        <v>38402</v>
      </c>
      <c r="K9220" t="s">
        <v>42281</v>
      </c>
      <c r="M9220" t="s">
        <v>42724</v>
      </c>
      <c r="N9220" t="s">
        <v>46569</v>
      </c>
      <c r="O9220" t="s">
        <v>46570</v>
      </c>
      <c r="P9220">
        <v>0</v>
      </c>
      <c r="Q9220">
        <v>0</v>
      </c>
      <c r="R9220" t="s">
        <v>46577</v>
      </c>
      <c r="S9220" t="s">
        <v>46808</v>
      </c>
      <c r="T9220" t="s">
        <v>48293</v>
      </c>
      <c r="U9220" t="s">
        <v>56257</v>
      </c>
      <c r="W9220" t="s">
        <v>42724</v>
      </c>
      <c r="X9220" t="s">
        <v>46578</v>
      </c>
    </row>
    <row r="9221" spans="1:24">
      <c r="A9221">
        <f>HYPERLINK("https://www.philgeps.gov.ph/GEPSNONPILOT/Tender/SplashBidNoticeAbstractUI.aspx?menuIndex=3&amp;refID=7053020&amp;Result=3","7053020")</f>
        <v>0</v>
      </c>
      <c r="B9221" t="s">
        <v>2484</v>
      </c>
      <c r="C9221" t="s">
        <v>12273</v>
      </c>
      <c r="D9221" t="s">
        <v>18822</v>
      </c>
      <c r="E9221" t="s">
        <v>26909</v>
      </c>
      <c r="F9221" t="s">
        <v>32664</v>
      </c>
      <c r="G9221" t="s">
        <v>32672</v>
      </c>
      <c r="H9221" t="s">
        <v>12635</v>
      </c>
      <c r="I9221" t="s">
        <v>4439</v>
      </c>
      <c r="J9221" t="s">
        <v>33175</v>
      </c>
      <c r="K9221" t="s">
        <v>42297</v>
      </c>
      <c r="M9221" t="s">
        <v>45284</v>
      </c>
      <c r="N9221" t="s">
        <v>46569</v>
      </c>
      <c r="O9221" t="s">
        <v>46570</v>
      </c>
      <c r="P9221">
        <v>0</v>
      </c>
      <c r="Q9221">
        <v>1</v>
      </c>
      <c r="R9221" t="s">
        <v>46577</v>
      </c>
      <c r="S9221" t="s">
        <v>46808</v>
      </c>
      <c r="T9221" t="s">
        <v>48283</v>
      </c>
      <c r="U9221" t="s">
        <v>56210</v>
      </c>
      <c r="W9221" t="s">
        <v>45284</v>
      </c>
      <c r="X9221" t="s">
        <v>46578</v>
      </c>
    </row>
    <row r="9222" spans="1:24">
      <c r="A9222">
        <f>HYPERLINK("https://www.philgeps.gov.ph/GEPSNONPILOT/Tender/SplashBidNoticeAbstractUI.aspx?menuIndex=3&amp;refID=7052967&amp;Result=3","7052967")</f>
        <v>0</v>
      </c>
      <c r="B9222" t="s">
        <v>2648</v>
      </c>
      <c r="C9222" t="s">
        <v>12274</v>
      </c>
      <c r="D9222" t="s">
        <v>18842</v>
      </c>
      <c r="E9222" t="s">
        <v>19985</v>
      </c>
      <c r="F9222" t="s">
        <v>32664</v>
      </c>
      <c r="G9222" t="s">
        <v>32672</v>
      </c>
      <c r="H9222" t="s">
        <v>32683</v>
      </c>
      <c r="I9222" t="s">
        <v>10627</v>
      </c>
      <c r="J9222" t="s">
        <v>38403</v>
      </c>
      <c r="K9222" t="s">
        <v>42303</v>
      </c>
      <c r="M9222" t="s">
        <v>45470</v>
      </c>
      <c r="N9222" t="s">
        <v>46569</v>
      </c>
      <c r="O9222" t="s">
        <v>46570</v>
      </c>
      <c r="P9222">
        <v>0</v>
      </c>
      <c r="Q9222">
        <v>0</v>
      </c>
      <c r="R9222" t="s">
        <v>46577</v>
      </c>
      <c r="S9222" t="s">
        <v>46808</v>
      </c>
      <c r="T9222" t="s">
        <v>48226</v>
      </c>
      <c r="U9222" t="s">
        <v>56258</v>
      </c>
      <c r="W9222" t="s">
        <v>45470</v>
      </c>
      <c r="X9222" t="s">
        <v>46578</v>
      </c>
    </row>
    <row r="9223" spans="1:24">
      <c r="A9223">
        <f>HYPERLINK("https://www.philgeps.gov.ph/GEPSNONPILOT/Tender/SplashBidNoticeAbstractUI.aspx?menuIndex=3&amp;refID=7053018&amp;Result=3","7053018")</f>
        <v>0</v>
      </c>
      <c r="B9223" t="s">
        <v>2036</v>
      </c>
      <c r="C9223" t="s">
        <v>12275</v>
      </c>
      <c r="D9223" t="s">
        <v>18784</v>
      </c>
      <c r="E9223" t="s">
        <v>26910</v>
      </c>
      <c r="F9223" t="s">
        <v>32664</v>
      </c>
      <c r="G9223" t="s">
        <v>32671</v>
      </c>
      <c r="H9223" t="s">
        <v>12635</v>
      </c>
      <c r="I9223" t="s">
        <v>32701</v>
      </c>
      <c r="J9223" t="s">
        <v>38404</v>
      </c>
      <c r="K9223" t="s">
        <v>42281</v>
      </c>
      <c r="M9223" t="s">
        <v>44780</v>
      </c>
      <c r="N9223" t="s">
        <v>46569</v>
      </c>
      <c r="O9223" t="s">
        <v>46570</v>
      </c>
      <c r="P9223">
        <v>0</v>
      </c>
      <c r="Q9223">
        <v>0</v>
      </c>
      <c r="R9223" t="s">
        <v>46577</v>
      </c>
      <c r="S9223" t="s">
        <v>46808</v>
      </c>
      <c r="T9223" t="s">
        <v>48562</v>
      </c>
      <c r="U9223" t="s">
        <v>56259</v>
      </c>
      <c r="W9223" t="s">
        <v>44780</v>
      </c>
      <c r="X9223" t="s">
        <v>46578</v>
      </c>
    </row>
    <row r="9224" spans="1:24">
      <c r="A9224">
        <f>HYPERLINK("https://www.philgeps.gov.ph/GEPSNONPILOT/Tender/SplashBidNoticeAbstractUI.aspx?menuIndex=3&amp;refID=7053035&amp;Result=3","7053035")</f>
        <v>0</v>
      </c>
      <c r="B9224" t="s">
        <v>605</v>
      </c>
      <c r="C9224" t="s">
        <v>12276</v>
      </c>
      <c r="D9224" t="s">
        <v>18858</v>
      </c>
      <c r="E9224" t="s">
        <v>26911</v>
      </c>
      <c r="F9224" t="s">
        <v>32664</v>
      </c>
      <c r="G9224" t="s">
        <v>32671</v>
      </c>
      <c r="H9224" t="s">
        <v>12635</v>
      </c>
      <c r="I9224" t="s">
        <v>32706</v>
      </c>
      <c r="J9224" t="s">
        <v>37305</v>
      </c>
      <c r="K9224" t="s">
        <v>42289</v>
      </c>
      <c r="M9224" t="s">
        <v>43185</v>
      </c>
      <c r="N9224" t="s">
        <v>46569</v>
      </c>
      <c r="O9224" t="s">
        <v>46570</v>
      </c>
      <c r="P9224">
        <v>0</v>
      </c>
      <c r="Q9224">
        <v>0</v>
      </c>
      <c r="R9224" t="s">
        <v>46577</v>
      </c>
      <c r="S9224" t="s">
        <v>46808</v>
      </c>
      <c r="T9224" t="s">
        <v>48562</v>
      </c>
      <c r="U9224" t="s">
        <v>56260</v>
      </c>
      <c r="W9224" t="s">
        <v>43185</v>
      </c>
      <c r="X9224" t="s">
        <v>46578</v>
      </c>
    </row>
    <row r="9225" spans="1:24">
      <c r="A9225">
        <f>HYPERLINK("https://www.philgeps.gov.ph/GEPSNONPILOT/Tender/SplashBidNoticeAbstractUI.aspx?menuIndex=3&amp;refID=7053021&amp;Result=3","7053021")</f>
        <v>0</v>
      </c>
      <c r="B9225" t="s">
        <v>2649</v>
      </c>
      <c r="C9225" t="s">
        <v>12277</v>
      </c>
      <c r="D9225" t="s">
        <v>18860</v>
      </c>
      <c r="E9225" t="s">
        <v>19681</v>
      </c>
      <c r="F9225" t="s">
        <v>32664</v>
      </c>
      <c r="G9225" t="s">
        <v>32672</v>
      </c>
      <c r="H9225" t="s">
        <v>12635</v>
      </c>
      <c r="I9225" t="s">
        <v>4439</v>
      </c>
      <c r="J9225" t="s">
        <v>38405</v>
      </c>
      <c r="K9225" t="s">
        <v>42281</v>
      </c>
      <c r="M9225" t="s">
        <v>45471</v>
      </c>
      <c r="N9225" t="s">
        <v>46569</v>
      </c>
      <c r="O9225" t="s">
        <v>46570</v>
      </c>
      <c r="P9225">
        <v>0</v>
      </c>
      <c r="Q9225">
        <v>0</v>
      </c>
      <c r="R9225" t="s">
        <v>46577</v>
      </c>
      <c r="S9225" t="s">
        <v>46808</v>
      </c>
      <c r="T9225" t="s">
        <v>48287</v>
      </c>
      <c r="U9225" t="s">
        <v>56261</v>
      </c>
      <c r="W9225" t="s">
        <v>45471</v>
      </c>
      <c r="X9225" t="s">
        <v>46578</v>
      </c>
    </row>
    <row r="9226" spans="1:24">
      <c r="A9226">
        <f>HYPERLINK("https://www.philgeps.gov.ph/GEPSNONPILOT/Tender/SplashBidNoticeAbstractUI.aspx?menuIndex=3&amp;refID=7053009&amp;Result=3","7053009")</f>
        <v>0</v>
      </c>
      <c r="B9226" t="s">
        <v>2645</v>
      </c>
      <c r="C9226" t="s">
        <v>12278</v>
      </c>
      <c r="D9226" t="s">
        <v>18856</v>
      </c>
      <c r="E9226" t="s">
        <v>26912</v>
      </c>
      <c r="F9226" t="s">
        <v>32664</v>
      </c>
      <c r="G9226" t="s">
        <v>32675</v>
      </c>
      <c r="H9226" t="s">
        <v>12635</v>
      </c>
      <c r="I9226" t="s">
        <v>6223</v>
      </c>
      <c r="J9226" t="s">
        <v>38406</v>
      </c>
      <c r="K9226" t="s">
        <v>42281</v>
      </c>
      <c r="M9226" t="s">
        <v>45466</v>
      </c>
      <c r="N9226" t="s">
        <v>46569</v>
      </c>
      <c r="O9226" t="s">
        <v>46570</v>
      </c>
      <c r="P9226">
        <v>0</v>
      </c>
      <c r="Q9226">
        <v>3</v>
      </c>
      <c r="R9226" t="s">
        <v>46577</v>
      </c>
      <c r="S9226" t="s">
        <v>46808</v>
      </c>
      <c r="T9226" t="s">
        <v>48256</v>
      </c>
      <c r="U9226" t="s">
        <v>56262</v>
      </c>
      <c r="V9226" t="s">
        <v>62574</v>
      </c>
      <c r="W9226" t="s">
        <v>45466</v>
      </c>
      <c r="X9226" t="s">
        <v>46578</v>
      </c>
    </row>
    <row r="9227" spans="1:24">
      <c r="A9227">
        <f>HYPERLINK("https://www.philgeps.gov.ph/GEPSNONPILOT/Tender/SplashBidNoticeAbstractUI.aspx?menuIndex=3&amp;refID=7052949&amp;Result=3","7052949")</f>
        <v>0</v>
      </c>
      <c r="B9227" t="s">
        <v>2061</v>
      </c>
      <c r="C9227" t="s">
        <v>12279</v>
      </c>
      <c r="D9227" t="s">
        <v>18809</v>
      </c>
      <c r="E9227" t="s">
        <v>26466</v>
      </c>
      <c r="F9227" t="s">
        <v>32664</v>
      </c>
      <c r="G9227" t="s">
        <v>32671</v>
      </c>
      <c r="H9227" t="s">
        <v>12635</v>
      </c>
      <c r="I9227" t="s">
        <v>5589</v>
      </c>
      <c r="J9227" t="s">
        <v>38407</v>
      </c>
      <c r="K9227" t="s">
        <v>42283</v>
      </c>
      <c r="M9227" t="s">
        <v>44810</v>
      </c>
      <c r="N9227" t="s">
        <v>46569</v>
      </c>
      <c r="O9227" t="s">
        <v>46570</v>
      </c>
      <c r="P9227">
        <v>0</v>
      </c>
      <c r="Q9227">
        <v>6</v>
      </c>
      <c r="R9227" t="s">
        <v>46577</v>
      </c>
      <c r="S9227" t="s">
        <v>46808</v>
      </c>
      <c r="T9227" t="s">
        <v>48316</v>
      </c>
      <c r="U9227" t="s">
        <v>56263</v>
      </c>
      <c r="V9227" t="s">
        <v>62575</v>
      </c>
      <c r="W9227" t="s">
        <v>44810</v>
      </c>
      <c r="X9227" t="s">
        <v>46578</v>
      </c>
    </row>
    <row r="9228" spans="1:24">
      <c r="A9228">
        <f>HYPERLINK("https://www.philgeps.gov.ph/GEPSNONPILOT/Tender/SplashBidNoticeAbstractUI.aspx?menuIndex=3&amp;refID=7052955&amp;Result=3","7052955")</f>
        <v>0</v>
      </c>
      <c r="B9228" t="s">
        <v>2633</v>
      </c>
      <c r="C9228" t="s">
        <v>12280</v>
      </c>
      <c r="D9228" t="s">
        <v>18784</v>
      </c>
      <c r="E9228" t="s">
        <v>26913</v>
      </c>
      <c r="F9228" t="s">
        <v>32664</v>
      </c>
      <c r="G9228" t="s">
        <v>32671</v>
      </c>
      <c r="H9228" t="s">
        <v>12635</v>
      </c>
      <c r="I9228" t="s">
        <v>32731</v>
      </c>
      <c r="J9228" t="s">
        <v>34391</v>
      </c>
      <c r="K9228" t="s">
        <v>42284</v>
      </c>
      <c r="M9228" t="s">
        <v>45453</v>
      </c>
      <c r="N9228" t="s">
        <v>46569</v>
      </c>
      <c r="O9228" t="s">
        <v>46570</v>
      </c>
      <c r="P9228">
        <v>0</v>
      </c>
      <c r="Q9228">
        <v>3</v>
      </c>
      <c r="R9228" t="s">
        <v>46577</v>
      </c>
      <c r="S9228" t="s">
        <v>46808</v>
      </c>
      <c r="T9228" t="s">
        <v>48562</v>
      </c>
      <c r="U9228" t="s">
        <v>56264</v>
      </c>
      <c r="W9228" t="s">
        <v>45453</v>
      </c>
      <c r="X9228" t="s">
        <v>46578</v>
      </c>
    </row>
    <row r="9229" spans="1:24">
      <c r="A9229">
        <f>HYPERLINK("https://www.philgeps.gov.ph/GEPSNONPILOT/Tender/SplashBidNoticeAbstractUI.aspx?menuIndex=3&amp;refID=7053014&amp;Result=3","7053014")</f>
        <v>0</v>
      </c>
      <c r="B9229" t="s">
        <v>2623</v>
      </c>
      <c r="C9229" t="s">
        <v>12281</v>
      </c>
      <c r="D9229" t="s">
        <v>18856</v>
      </c>
      <c r="E9229" t="s">
        <v>26914</v>
      </c>
      <c r="F9229" t="s">
        <v>32664</v>
      </c>
      <c r="G9229" t="s">
        <v>32671</v>
      </c>
      <c r="H9229" t="s">
        <v>12635</v>
      </c>
      <c r="I9229" t="s">
        <v>32706</v>
      </c>
      <c r="J9229" t="s">
        <v>33904</v>
      </c>
      <c r="K9229" t="s">
        <v>42281</v>
      </c>
      <c r="M9229" t="s">
        <v>45441</v>
      </c>
      <c r="N9229" t="s">
        <v>46569</v>
      </c>
      <c r="O9229" t="s">
        <v>46570</v>
      </c>
      <c r="P9229">
        <v>0</v>
      </c>
      <c r="Q9229">
        <v>1</v>
      </c>
      <c r="R9229" t="s">
        <v>46577</v>
      </c>
      <c r="S9229" t="s">
        <v>46808</v>
      </c>
      <c r="T9229" t="s">
        <v>48285</v>
      </c>
      <c r="U9229" t="s">
        <v>56265</v>
      </c>
      <c r="V9229" t="s">
        <v>62560</v>
      </c>
      <c r="W9229" t="s">
        <v>45441</v>
      </c>
      <c r="X9229" t="s">
        <v>46578</v>
      </c>
    </row>
    <row r="9230" spans="1:24">
      <c r="A9230">
        <f>HYPERLINK("https://www.philgeps.gov.ph/GEPSNONPILOT/Tender/SplashBidNoticeAbstractUI.aspx?menuIndex=3&amp;refID=7053006&amp;Result=3","7053006")</f>
        <v>0</v>
      </c>
      <c r="B9230" t="s">
        <v>203</v>
      </c>
      <c r="C9230" t="s">
        <v>12282</v>
      </c>
      <c r="D9230" t="s">
        <v>18842</v>
      </c>
      <c r="E9230" t="s">
        <v>19105</v>
      </c>
      <c r="F9230" t="s">
        <v>32664</v>
      </c>
      <c r="G9230" t="s">
        <v>32672</v>
      </c>
      <c r="H9230" t="s">
        <v>12635</v>
      </c>
      <c r="I9230" t="s">
        <v>32696</v>
      </c>
      <c r="J9230" t="s">
        <v>38408</v>
      </c>
      <c r="K9230" t="s">
        <v>42305</v>
      </c>
      <c r="M9230" t="s">
        <v>43962</v>
      </c>
      <c r="N9230" t="s">
        <v>46569</v>
      </c>
      <c r="O9230" t="s">
        <v>46570</v>
      </c>
      <c r="P9230">
        <v>0</v>
      </c>
      <c r="Q9230">
        <v>3</v>
      </c>
      <c r="R9230" t="s">
        <v>46577</v>
      </c>
      <c r="S9230" t="s">
        <v>46808</v>
      </c>
      <c r="T9230" t="s">
        <v>48418</v>
      </c>
      <c r="U9230" t="s">
        <v>56266</v>
      </c>
      <c r="V9230" t="s">
        <v>49355</v>
      </c>
      <c r="W9230" t="s">
        <v>43962</v>
      </c>
      <c r="X9230" t="s">
        <v>46578</v>
      </c>
    </row>
    <row r="9231" spans="1:24">
      <c r="A9231">
        <f>HYPERLINK("https://www.philgeps.gov.ph/GEPSNONPILOT/Tender/SplashBidNoticeAbstractUI.aspx?menuIndex=3&amp;refID=7053033&amp;Result=3","7053033")</f>
        <v>0</v>
      </c>
      <c r="B9231" t="s">
        <v>905</v>
      </c>
      <c r="C9231" t="s">
        <v>12283</v>
      </c>
      <c r="D9231" t="s">
        <v>18785</v>
      </c>
      <c r="E9231" t="s">
        <v>19718</v>
      </c>
      <c r="F9231" t="s">
        <v>32664</v>
      </c>
      <c r="G9231" t="s">
        <v>32672</v>
      </c>
      <c r="H9231" t="s">
        <v>12635</v>
      </c>
      <c r="I9231" t="s">
        <v>14442</v>
      </c>
      <c r="J9231" t="s">
        <v>38409</v>
      </c>
      <c r="K9231" t="s">
        <v>42295</v>
      </c>
      <c r="M9231" t="s">
        <v>43511</v>
      </c>
      <c r="N9231" t="s">
        <v>46569</v>
      </c>
      <c r="O9231" t="s">
        <v>46570</v>
      </c>
      <c r="P9231">
        <v>0</v>
      </c>
      <c r="Q9231">
        <v>3</v>
      </c>
      <c r="R9231" t="s">
        <v>46577</v>
      </c>
      <c r="S9231" t="s">
        <v>46808</v>
      </c>
      <c r="T9231" t="s">
        <v>48219</v>
      </c>
      <c r="U9231" t="s">
        <v>56267</v>
      </c>
      <c r="W9231" t="s">
        <v>43511</v>
      </c>
      <c r="X9231" t="s">
        <v>46578</v>
      </c>
    </row>
    <row r="9232" spans="1:24">
      <c r="A9232">
        <f>HYPERLINK("https://www.philgeps.gov.ph/GEPSNONPILOT/Tender/SplashBidNoticeAbstractUI.aspx?menuIndex=3&amp;refID=7053092&amp;Result=3","7053092")</f>
        <v>0</v>
      </c>
      <c r="B9232" t="s">
        <v>2446</v>
      </c>
      <c r="C9232" t="s">
        <v>12284</v>
      </c>
      <c r="E9232" t="s">
        <v>26915</v>
      </c>
      <c r="F9232" t="s">
        <v>32664</v>
      </c>
      <c r="G9232" t="s">
        <v>32672</v>
      </c>
      <c r="H9232" t="s">
        <v>12635</v>
      </c>
      <c r="I9232" t="s">
        <v>32712</v>
      </c>
      <c r="J9232" t="s">
        <v>32837</v>
      </c>
      <c r="K9232" t="s">
        <v>42283</v>
      </c>
      <c r="M9232" t="s">
        <v>45239</v>
      </c>
      <c r="N9232" t="s">
        <v>46569</v>
      </c>
      <c r="O9232" t="s">
        <v>46570</v>
      </c>
      <c r="Q9232">
        <v>18</v>
      </c>
      <c r="R9232" t="s">
        <v>46577</v>
      </c>
      <c r="S9232" t="s">
        <v>46824</v>
      </c>
      <c r="T9232" t="s">
        <v>48560</v>
      </c>
      <c r="U9232" t="s">
        <v>56268</v>
      </c>
      <c r="V9232" t="s">
        <v>62576</v>
      </c>
      <c r="W9232" t="s">
        <v>45239</v>
      </c>
      <c r="X9232" t="s">
        <v>46578</v>
      </c>
    </row>
    <row r="9233" spans="1:24">
      <c r="A9233">
        <f>HYPERLINK("https://www.philgeps.gov.ph/GEPSNONPILOT/Tender/SplashBidNoticeAbstractUI.aspx?menuIndex=3&amp;refID=7053041&amp;Result=3","7053041")</f>
        <v>0</v>
      </c>
      <c r="B9233" t="s">
        <v>289</v>
      </c>
      <c r="C9233" t="s">
        <v>12285</v>
      </c>
      <c r="D9233" t="s">
        <v>18791</v>
      </c>
      <c r="E9233" t="s">
        <v>26916</v>
      </c>
      <c r="F9233" t="s">
        <v>32664</v>
      </c>
      <c r="G9233" t="s">
        <v>32671</v>
      </c>
      <c r="H9233" t="s">
        <v>12635</v>
      </c>
      <c r="I9233" t="s">
        <v>32738</v>
      </c>
      <c r="J9233" t="s">
        <v>33893</v>
      </c>
      <c r="K9233" t="s">
        <v>42297</v>
      </c>
      <c r="M9233" t="s">
        <v>42856</v>
      </c>
      <c r="N9233" t="s">
        <v>46569</v>
      </c>
      <c r="O9233" t="s">
        <v>46570</v>
      </c>
      <c r="P9233">
        <v>0</v>
      </c>
      <c r="Q9233">
        <v>0</v>
      </c>
      <c r="R9233" t="s">
        <v>46577</v>
      </c>
      <c r="S9233" t="s">
        <v>46808</v>
      </c>
      <c r="T9233" t="s">
        <v>48450</v>
      </c>
      <c r="U9233" t="s">
        <v>56269</v>
      </c>
      <c r="W9233" t="s">
        <v>42856</v>
      </c>
      <c r="X9233" t="s">
        <v>46578</v>
      </c>
    </row>
    <row r="9234" spans="1:24">
      <c r="A9234">
        <f>HYPERLINK("https://www.philgeps.gov.ph/GEPSNONPILOT/Tender/SplashBidNoticeAbstractUI.aspx?menuIndex=3&amp;refID=7053090&amp;Result=3","7053090")</f>
        <v>0</v>
      </c>
      <c r="B9234" t="s">
        <v>2650</v>
      </c>
      <c r="C9234" t="s">
        <v>12286</v>
      </c>
      <c r="D9234" t="s">
        <v>18826</v>
      </c>
      <c r="E9234" t="s">
        <v>18926</v>
      </c>
      <c r="F9234" t="s">
        <v>32664</v>
      </c>
      <c r="G9234" t="s">
        <v>32672</v>
      </c>
      <c r="H9234" t="s">
        <v>32683</v>
      </c>
      <c r="I9234" t="s">
        <v>10627</v>
      </c>
      <c r="J9234" t="s">
        <v>38410</v>
      </c>
      <c r="K9234" t="s">
        <v>42290</v>
      </c>
      <c r="M9234" t="s">
        <v>45472</v>
      </c>
      <c r="N9234" t="s">
        <v>46569</v>
      </c>
      <c r="O9234" t="s">
        <v>46570</v>
      </c>
      <c r="P9234">
        <v>0</v>
      </c>
      <c r="Q9234">
        <v>0</v>
      </c>
      <c r="R9234" t="s">
        <v>46577</v>
      </c>
      <c r="S9234" t="s">
        <v>46808</v>
      </c>
      <c r="T9234" t="s">
        <v>48254</v>
      </c>
      <c r="U9234" t="s">
        <v>56270</v>
      </c>
      <c r="V9234" t="s">
        <v>62577</v>
      </c>
      <c r="W9234" t="s">
        <v>45472</v>
      </c>
      <c r="X9234" t="s">
        <v>46578</v>
      </c>
    </row>
    <row r="9235" spans="1:24">
      <c r="A9235">
        <f>HYPERLINK("https://www.philgeps.gov.ph/GEPSNONPILOT/Tender/SplashBidNoticeAbstractUI.aspx?menuIndex=3&amp;refID=7053099&amp;Result=3","7053099")</f>
        <v>0</v>
      </c>
      <c r="B9235" t="s">
        <v>2484</v>
      </c>
      <c r="C9235" t="s">
        <v>12287</v>
      </c>
      <c r="D9235" t="s">
        <v>18822</v>
      </c>
      <c r="E9235" t="s">
        <v>26917</v>
      </c>
      <c r="F9235" t="s">
        <v>32664</v>
      </c>
      <c r="G9235" t="s">
        <v>32672</v>
      </c>
      <c r="H9235" t="s">
        <v>12635</v>
      </c>
      <c r="I9235" t="s">
        <v>4439</v>
      </c>
      <c r="J9235" t="s">
        <v>33175</v>
      </c>
      <c r="K9235" t="s">
        <v>42297</v>
      </c>
      <c r="M9235" t="s">
        <v>45284</v>
      </c>
      <c r="N9235" t="s">
        <v>46569</v>
      </c>
      <c r="O9235" t="s">
        <v>46570</v>
      </c>
      <c r="P9235">
        <v>0</v>
      </c>
      <c r="Q9235">
        <v>0</v>
      </c>
      <c r="R9235" t="s">
        <v>46577</v>
      </c>
      <c r="S9235" t="s">
        <v>46808</v>
      </c>
      <c r="T9235" t="s">
        <v>48228</v>
      </c>
      <c r="U9235" t="s">
        <v>56210</v>
      </c>
      <c r="W9235" t="s">
        <v>45284</v>
      </c>
      <c r="X9235" t="s">
        <v>46578</v>
      </c>
    </row>
    <row r="9236" spans="1:24">
      <c r="A9236">
        <f>HYPERLINK("https://www.philgeps.gov.ph/GEPSNONPILOT/Tender/SplashBidNoticeAbstractUI.aspx?menuIndex=3&amp;refID=7053089&amp;Result=3","7053089")</f>
        <v>0</v>
      </c>
      <c r="B9236" t="s">
        <v>770</v>
      </c>
      <c r="C9236" t="s">
        <v>12288</v>
      </c>
      <c r="D9236" t="s">
        <v>18802</v>
      </c>
      <c r="E9236" t="s">
        <v>26918</v>
      </c>
      <c r="F9236" t="s">
        <v>32664</v>
      </c>
      <c r="G9236" t="s">
        <v>32674</v>
      </c>
      <c r="H9236" t="s">
        <v>12635</v>
      </c>
      <c r="I9236" t="s">
        <v>8730</v>
      </c>
      <c r="J9236" t="s">
        <v>35587</v>
      </c>
      <c r="K9236" t="s">
        <v>42284</v>
      </c>
      <c r="M9236" t="s">
        <v>43361</v>
      </c>
      <c r="N9236" t="s">
        <v>46569</v>
      </c>
      <c r="O9236" t="s">
        <v>46570</v>
      </c>
      <c r="P9236">
        <v>0</v>
      </c>
      <c r="Q9236">
        <v>2</v>
      </c>
      <c r="R9236" t="s">
        <v>46577</v>
      </c>
      <c r="S9236" t="s">
        <v>46808</v>
      </c>
      <c r="T9236" t="s">
        <v>48287</v>
      </c>
      <c r="U9236" t="s">
        <v>56271</v>
      </c>
      <c r="W9236" t="s">
        <v>43361</v>
      </c>
      <c r="X9236" t="s">
        <v>46578</v>
      </c>
    </row>
    <row r="9237" spans="1:24">
      <c r="A9237">
        <f>HYPERLINK("https://www.philgeps.gov.ph/GEPSNONPILOT/Tender/SplashBidNoticeAbstractUI.aspx?menuIndex=3&amp;refID=7053080&amp;Result=3","7053080")</f>
        <v>0</v>
      </c>
      <c r="B9237" t="s">
        <v>2651</v>
      </c>
      <c r="C9237" t="s">
        <v>12289</v>
      </c>
      <c r="D9237" t="s">
        <v>18797</v>
      </c>
      <c r="E9237" t="s">
        <v>26919</v>
      </c>
      <c r="F9237" t="s">
        <v>32664</v>
      </c>
      <c r="G9237" t="s">
        <v>32674</v>
      </c>
      <c r="H9237" t="s">
        <v>12635</v>
      </c>
      <c r="I9237" t="s">
        <v>8797</v>
      </c>
      <c r="J9237" t="s">
        <v>35963</v>
      </c>
      <c r="K9237" t="s">
        <v>42297</v>
      </c>
      <c r="M9237" t="s">
        <v>45473</v>
      </c>
      <c r="N9237" t="s">
        <v>46569</v>
      </c>
      <c r="O9237" t="s">
        <v>46570</v>
      </c>
      <c r="P9237">
        <v>0</v>
      </c>
      <c r="Q9237">
        <v>3</v>
      </c>
      <c r="R9237" t="s">
        <v>46577</v>
      </c>
      <c r="S9237" t="s">
        <v>46808</v>
      </c>
      <c r="T9237" t="s">
        <v>48562</v>
      </c>
      <c r="U9237" t="s">
        <v>56272</v>
      </c>
      <c r="W9237" t="s">
        <v>45473</v>
      </c>
      <c r="X9237" t="s">
        <v>46578</v>
      </c>
    </row>
    <row r="9238" spans="1:24">
      <c r="A9238">
        <f>HYPERLINK("https://www.philgeps.gov.ph/GEPSNONPILOT/Tender/SplashBidNoticeAbstractUI.aspx?menuIndex=3&amp;refID=7053079&amp;Result=3","7053079")</f>
        <v>0</v>
      </c>
      <c r="B9238" t="s">
        <v>194</v>
      </c>
      <c r="C9238" t="s">
        <v>12290</v>
      </c>
      <c r="D9238" t="s">
        <v>18791</v>
      </c>
      <c r="E9238" t="s">
        <v>26920</v>
      </c>
      <c r="F9238" t="s">
        <v>32664</v>
      </c>
      <c r="G9238" t="s">
        <v>32671</v>
      </c>
      <c r="H9238" t="s">
        <v>12635</v>
      </c>
      <c r="I9238" t="s">
        <v>10590</v>
      </c>
      <c r="J9238" t="s">
        <v>38411</v>
      </c>
      <c r="K9238" t="s">
        <v>42284</v>
      </c>
      <c r="M9238" t="s">
        <v>42758</v>
      </c>
      <c r="N9238" t="s">
        <v>46569</v>
      </c>
      <c r="O9238" t="s">
        <v>46570</v>
      </c>
      <c r="P9238">
        <v>0</v>
      </c>
      <c r="Q9238">
        <v>0</v>
      </c>
      <c r="R9238" t="s">
        <v>46577</v>
      </c>
      <c r="S9238" t="s">
        <v>46808</v>
      </c>
      <c r="T9238" t="s">
        <v>48449</v>
      </c>
      <c r="U9238" t="s">
        <v>56273</v>
      </c>
      <c r="W9238" t="s">
        <v>42758</v>
      </c>
      <c r="X9238" t="s">
        <v>46578</v>
      </c>
    </row>
    <row r="9239" spans="1:24">
      <c r="A9239">
        <f>HYPERLINK("https://www.philgeps.gov.ph/GEPSNONPILOT/Tender/SplashBidNoticeAbstractUI.aspx?menuIndex=3&amp;refID=7053076&amp;Result=3","7053076")</f>
        <v>0</v>
      </c>
      <c r="B9239" t="s">
        <v>2652</v>
      </c>
      <c r="C9239" t="s">
        <v>12291</v>
      </c>
      <c r="D9239" t="s">
        <v>18829</v>
      </c>
      <c r="E9239" t="s">
        <v>26921</v>
      </c>
      <c r="F9239" t="s">
        <v>32664</v>
      </c>
      <c r="G9239" t="s">
        <v>32672</v>
      </c>
      <c r="H9239" t="s">
        <v>12635</v>
      </c>
      <c r="I9239" t="s">
        <v>11464</v>
      </c>
      <c r="J9239" t="s">
        <v>33751</v>
      </c>
      <c r="K9239" t="s">
        <v>42281</v>
      </c>
      <c r="M9239" t="s">
        <v>45474</v>
      </c>
      <c r="N9239" t="s">
        <v>46569</v>
      </c>
      <c r="O9239" t="s">
        <v>46570</v>
      </c>
      <c r="P9239">
        <v>0</v>
      </c>
      <c r="Q9239">
        <v>3</v>
      </c>
      <c r="R9239" t="s">
        <v>46577</v>
      </c>
      <c r="S9239" t="s">
        <v>46808</v>
      </c>
      <c r="T9239" t="s">
        <v>48345</v>
      </c>
      <c r="U9239" t="s">
        <v>56274</v>
      </c>
      <c r="W9239" t="s">
        <v>45474</v>
      </c>
      <c r="X9239" t="s">
        <v>46578</v>
      </c>
    </row>
    <row r="9240" spans="1:24">
      <c r="A9240">
        <f>HYPERLINK("https://www.philgeps.gov.ph/GEPSNONPILOT/Tender/SplashBidNoticeAbstractUI.aspx?menuIndex=3&amp;refID=7053015&amp;Result=3","7053015")</f>
        <v>0</v>
      </c>
      <c r="B9240" t="s">
        <v>605</v>
      </c>
      <c r="C9240" t="s">
        <v>12292</v>
      </c>
      <c r="D9240" t="s">
        <v>18858</v>
      </c>
      <c r="E9240" t="s">
        <v>26922</v>
      </c>
      <c r="F9240" t="s">
        <v>32664</v>
      </c>
      <c r="G9240" t="s">
        <v>32674</v>
      </c>
      <c r="H9240" t="s">
        <v>12635</v>
      </c>
      <c r="I9240" t="s">
        <v>32706</v>
      </c>
      <c r="J9240" t="s">
        <v>38412</v>
      </c>
      <c r="K9240" t="s">
        <v>42289</v>
      </c>
      <c r="M9240" t="s">
        <v>43185</v>
      </c>
      <c r="N9240" t="s">
        <v>46569</v>
      </c>
      <c r="O9240" t="s">
        <v>46570</v>
      </c>
      <c r="P9240">
        <v>0</v>
      </c>
      <c r="Q9240">
        <v>0</v>
      </c>
      <c r="R9240" t="s">
        <v>46577</v>
      </c>
      <c r="S9240" t="s">
        <v>46808</v>
      </c>
      <c r="T9240" t="s">
        <v>48562</v>
      </c>
      <c r="U9240" t="s">
        <v>56275</v>
      </c>
      <c r="W9240" t="s">
        <v>43185</v>
      </c>
      <c r="X9240" t="s">
        <v>46578</v>
      </c>
    </row>
    <row r="9241" spans="1:24">
      <c r="A9241">
        <f>HYPERLINK("https://www.philgeps.gov.ph/GEPSNONPILOT/Tender/SplashBidNoticeAbstractUI.aspx?menuIndex=3&amp;refID=7053073&amp;Result=3","7053073")</f>
        <v>0</v>
      </c>
      <c r="B9241" t="s">
        <v>460</v>
      </c>
      <c r="C9241" t="s">
        <v>12293</v>
      </c>
      <c r="D9241" t="s">
        <v>18806</v>
      </c>
      <c r="E9241" t="s">
        <v>26923</v>
      </c>
      <c r="F9241" t="s">
        <v>32664</v>
      </c>
      <c r="G9241" t="s">
        <v>32672</v>
      </c>
      <c r="H9241" t="s">
        <v>12635</v>
      </c>
      <c r="I9241" t="s">
        <v>9486</v>
      </c>
      <c r="J9241" t="s">
        <v>38413</v>
      </c>
      <c r="K9241" t="s">
        <v>42330</v>
      </c>
      <c r="M9241" t="s">
        <v>43641</v>
      </c>
      <c r="N9241" t="s">
        <v>46569</v>
      </c>
      <c r="O9241" t="s">
        <v>46570</v>
      </c>
      <c r="P9241">
        <v>0</v>
      </c>
      <c r="Q9241">
        <v>1</v>
      </c>
      <c r="R9241" t="s">
        <v>46577</v>
      </c>
      <c r="S9241" t="s">
        <v>46808</v>
      </c>
      <c r="T9241" t="s">
        <v>48244</v>
      </c>
      <c r="U9241" t="s">
        <v>56276</v>
      </c>
      <c r="V9241" t="s">
        <v>61876</v>
      </c>
      <c r="W9241" t="s">
        <v>43641</v>
      </c>
      <c r="X9241" t="s">
        <v>46578</v>
      </c>
    </row>
    <row r="9242" spans="1:24">
      <c r="A9242">
        <f>HYPERLINK("https://www.philgeps.gov.ph/GEPSNONPILOT/Tender/SplashBidNoticeAbstractUI.aspx?menuIndex=3&amp;refID=7053147&amp;Result=3","7053147")</f>
        <v>0</v>
      </c>
      <c r="B9242" t="s">
        <v>2650</v>
      </c>
      <c r="C9242" t="s">
        <v>12294</v>
      </c>
      <c r="E9242" t="s">
        <v>19681</v>
      </c>
      <c r="F9242" t="s">
        <v>32664</v>
      </c>
      <c r="G9242" t="s">
        <v>32672</v>
      </c>
      <c r="H9242" t="s">
        <v>32683</v>
      </c>
      <c r="I9242" t="s">
        <v>10627</v>
      </c>
      <c r="J9242" t="s">
        <v>33021</v>
      </c>
      <c r="K9242" t="s">
        <v>42308</v>
      </c>
      <c r="M9242" t="s">
        <v>45472</v>
      </c>
      <c r="N9242" t="s">
        <v>46569</v>
      </c>
      <c r="O9242" t="s">
        <v>46570</v>
      </c>
      <c r="P9242">
        <v>0</v>
      </c>
      <c r="Q9242">
        <v>0</v>
      </c>
      <c r="R9242" t="s">
        <v>46577</v>
      </c>
      <c r="S9242" t="s">
        <v>46808</v>
      </c>
      <c r="T9242" t="s">
        <v>48254</v>
      </c>
      <c r="U9242" t="s">
        <v>56277</v>
      </c>
      <c r="V9242" t="s">
        <v>62578</v>
      </c>
      <c r="W9242" t="s">
        <v>45472</v>
      </c>
      <c r="X9242" t="s">
        <v>46578</v>
      </c>
    </row>
    <row r="9243" spans="1:24">
      <c r="A9243">
        <f>HYPERLINK("https://www.philgeps.gov.ph/GEPSNONPILOT/Tender/SplashBidNoticeAbstractUI.aspx?menuIndex=3&amp;refID=7053144&amp;Result=3","7053144")</f>
        <v>0</v>
      </c>
      <c r="B9243" t="s">
        <v>2653</v>
      </c>
      <c r="C9243" t="s">
        <v>3872</v>
      </c>
      <c r="D9243" t="s">
        <v>18793</v>
      </c>
      <c r="E9243" t="s">
        <v>26924</v>
      </c>
      <c r="F9243" t="s">
        <v>32664</v>
      </c>
      <c r="G9243" t="s">
        <v>32672</v>
      </c>
      <c r="H9243" t="s">
        <v>32683</v>
      </c>
      <c r="I9243" t="s">
        <v>10627</v>
      </c>
      <c r="J9243" t="s">
        <v>37594</v>
      </c>
      <c r="K9243" t="s">
        <v>42320</v>
      </c>
      <c r="M9243" t="s">
        <v>43637</v>
      </c>
      <c r="N9243" t="s">
        <v>46569</v>
      </c>
      <c r="O9243" t="s">
        <v>46570</v>
      </c>
      <c r="P9243">
        <v>0</v>
      </c>
      <c r="Q9243">
        <v>0</v>
      </c>
      <c r="R9243" t="s">
        <v>46577</v>
      </c>
      <c r="S9243" t="s">
        <v>46808</v>
      </c>
      <c r="T9243" t="s">
        <v>48287</v>
      </c>
      <c r="U9243" t="s">
        <v>56278</v>
      </c>
      <c r="W9243" t="s">
        <v>43637</v>
      </c>
      <c r="X9243" t="s">
        <v>46578</v>
      </c>
    </row>
    <row r="9244" spans="1:24">
      <c r="A9244">
        <f>HYPERLINK("https://www.philgeps.gov.ph/GEPSNONPILOT/Tender/SplashBidNoticeAbstractUI.aspx?menuIndex=3&amp;refID=7053097&amp;Result=3","7053097")</f>
        <v>0</v>
      </c>
      <c r="B9244" t="s">
        <v>102</v>
      </c>
      <c r="C9244" t="s">
        <v>12295</v>
      </c>
      <c r="D9244" t="s">
        <v>18788</v>
      </c>
      <c r="E9244" t="s">
        <v>26925</v>
      </c>
      <c r="F9244" t="s">
        <v>32664</v>
      </c>
      <c r="G9244" t="s">
        <v>32672</v>
      </c>
      <c r="H9244" t="s">
        <v>12635</v>
      </c>
      <c r="I9244" t="s">
        <v>8797</v>
      </c>
      <c r="J9244" t="s">
        <v>38414</v>
      </c>
      <c r="K9244" t="s">
        <v>42289</v>
      </c>
      <c r="M9244" t="s">
        <v>42666</v>
      </c>
      <c r="N9244" t="s">
        <v>46569</v>
      </c>
      <c r="O9244" t="s">
        <v>46570</v>
      </c>
      <c r="P9244">
        <v>0</v>
      </c>
      <c r="Q9244">
        <v>4</v>
      </c>
      <c r="R9244" t="s">
        <v>46577</v>
      </c>
      <c r="S9244" t="s">
        <v>46808</v>
      </c>
      <c r="T9244" t="s">
        <v>48308</v>
      </c>
      <c r="U9244" t="s">
        <v>56279</v>
      </c>
      <c r="V9244" t="s">
        <v>62361</v>
      </c>
      <c r="W9244" t="s">
        <v>42666</v>
      </c>
      <c r="X9244" t="s">
        <v>46578</v>
      </c>
    </row>
    <row r="9245" spans="1:24">
      <c r="A9245">
        <f>HYPERLINK("https://www.philgeps.gov.ph/GEPSNONPILOT/Tender/SplashBidNoticeAbstractUI.aspx?menuIndex=3&amp;refID=7053142&amp;Result=3","7053142")</f>
        <v>0</v>
      </c>
      <c r="B9245" t="s">
        <v>1857</v>
      </c>
      <c r="C9245" t="s">
        <v>12296</v>
      </c>
      <c r="D9245" t="s">
        <v>18851</v>
      </c>
      <c r="E9245" t="s">
        <v>26926</v>
      </c>
      <c r="F9245" t="s">
        <v>32664</v>
      </c>
      <c r="G9245" t="s">
        <v>32671</v>
      </c>
      <c r="H9245" t="s">
        <v>12635</v>
      </c>
      <c r="I9245" t="s">
        <v>6223</v>
      </c>
      <c r="J9245" t="s">
        <v>38415</v>
      </c>
      <c r="K9245" t="s">
        <v>42289</v>
      </c>
      <c r="L9245" t="s">
        <v>1857</v>
      </c>
      <c r="M9245" t="s">
        <v>44568</v>
      </c>
      <c r="N9245" t="s">
        <v>46569</v>
      </c>
      <c r="O9245" t="s">
        <v>46570</v>
      </c>
      <c r="P9245">
        <v>0</v>
      </c>
      <c r="Q9245">
        <v>0</v>
      </c>
      <c r="R9245" t="s">
        <v>46577</v>
      </c>
      <c r="S9245" t="s">
        <v>46808</v>
      </c>
      <c r="T9245" t="s">
        <v>48307</v>
      </c>
      <c r="U9245" t="s">
        <v>56280</v>
      </c>
      <c r="W9245" t="s">
        <v>44568</v>
      </c>
      <c r="X9245" t="s">
        <v>46578</v>
      </c>
    </row>
    <row r="9246" spans="1:24">
      <c r="A9246">
        <f>HYPERLINK("https://www.philgeps.gov.ph/GEPSNONPILOT/Tender/SplashBidNoticeAbstractUI.aspx?menuIndex=3&amp;refID=7053077&amp;Result=3","7053077")</f>
        <v>0</v>
      </c>
      <c r="B9246" t="s">
        <v>2654</v>
      </c>
      <c r="C9246" t="s">
        <v>12297</v>
      </c>
      <c r="D9246" t="s">
        <v>18799</v>
      </c>
      <c r="E9246" t="s">
        <v>26927</v>
      </c>
      <c r="F9246" t="s">
        <v>32664</v>
      </c>
      <c r="G9246" t="s">
        <v>32672</v>
      </c>
      <c r="H9246" t="s">
        <v>32683</v>
      </c>
      <c r="I9246" t="s">
        <v>10627</v>
      </c>
      <c r="J9246" t="s">
        <v>38416</v>
      </c>
      <c r="K9246" t="s">
        <v>42298</v>
      </c>
      <c r="M9246" t="s">
        <v>45475</v>
      </c>
      <c r="N9246" t="s">
        <v>46569</v>
      </c>
      <c r="O9246" t="s">
        <v>46570</v>
      </c>
      <c r="P9246">
        <v>0</v>
      </c>
      <c r="Q9246">
        <v>0</v>
      </c>
      <c r="R9246" t="s">
        <v>46577</v>
      </c>
      <c r="S9246" t="s">
        <v>46808</v>
      </c>
      <c r="T9246" t="s">
        <v>48282</v>
      </c>
      <c r="U9246" t="s">
        <v>56281</v>
      </c>
      <c r="W9246" t="s">
        <v>45475</v>
      </c>
      <c r="X9246" t="s">
        <v>46578</v>
      </c>
    </row>
    <row r="9247" spans="1:24">
      <c r="A9247">
        <f>HYPERLINK("https://www.philgeps.gov.ph/GEPSNONPILOT/Tender/SplashBidNoticeAbstractUI.aspx?menuIndex=3&amp;refID=7053137&amp;Result=3","7053137")</f>
        <v>0</v>
      </c>
      <c r="B9247" t="s">
        <v>2446</v>
      </c>
      <c r="C9247" t="s">
        <v>12298</v>
      </c>
      <c r="E9247" t="s">
        <v>26928</v>
      </c>
      <c r="F9247" t="s">
        <v>32664</v>
      </c>
      <c r="G9247" t="s">
        <v>32672</v>
      </c>
      <c r="H9247" t="s">
        <v>12635</v>
      </c>
      <c r="I9247" t="s">
        <v>32712</v>
      </c>
      <c r="J9247" t="s">
        <v>34487</v>
      </c>
      <c r="K9247" t="s">
        <v>42283</v>
      </c>
      <c r="M9247" t="s">
        <v>45239</v>
      </c>
      <c r="N9247" t="s">
        <v>46569</v>
      </c>
      <c r="O9247" t="s">
        <v>46570</v>
      </c>
      <c r="Q9247">
        <v>9</v>
      </c>
      <c r="R9247" t="s">
        <v>46577</v>
      </c>
      <c r="S9247" t="s">
        <v>46825</v>
      </c>
      <c r="T9247" t="s">
        <v>48560</v>
      </c>
      <c r="U9247" t="s">
        <v>56282</v>
      </c>
      <c r="V9247" t="s">
        <v>62427</v>
      </c>
      <c r="W9247" t="s">
        <v>45239</v>
      </c>
      <c r="X9247" t="s">
        <v>46578</v>
      </c>
    </row>
    <row r="9248" spans="1:24">
      <c r="A9248">
        <f>HYPERLINK("https://www.philgeps.gov.ph/GEPSNONPILOT/Tender/SplashBidNoticeAbstractUI.aspx?menuIndex=3&amp;refID=7053130&amp;Result=3","7053130")</f>
        <v>0</v>
      </c>
      <c r="B9248" t="s">
        <v>2655</v>
      </c>
      <c r="C9248" t="s">
        <v>12299</v>
      </c>
      <c r="D9248" t="s">
        <v>18842</v>
      </c>
      <c r="E9248" t="s">
        <v>21002</v>
      </c>
      <c r="F9248" t="s">
        <v>32664</v>
      </c>
      <c r="G9248" t="s">
        <v>32672</v>
      </c>
      <c r="H9248" t="s">
        <v>12635</v>
      </c>
      <c r="I9248" t="s">
        <v>4439</v>
      </c>
      <c r="J9248" t="s">
        <v>32976</v>
      </c>
      <c r="K9248" t="s">
        <v>42283</v>
      </c>
      <c r="M9248" t="s">
        <v>45476</v>
      </c>
      <c r="N9248" t="s">
        <v>46569</v>
      </c>
      <c r="O9248" t="s">
        <v>46570</v>
      </c>
      <c r="P9248">
        <v>0</v>
      </c>
      <c r="Q9248">
        <v>0</v>
      </c>
      <c r="R9248" t="s">
        <v>46577</v>
      </c>
      <c r="S9248" t="s">
        <v>46808</v>
      </c>
      <c r="T9248" t="s">
        <v>48287</v>
      </c>
      <c r="U9248" t="s">
        <v>56283</v>
      </c>
      <c r="W9248" t="s">
        <v>45476</v>
      </c>
      <c r="X9248" t="s">
        <v>46578</v>
      </c>
    </row>
    <row r="9249" spans="1:24">
      <c r="A9249">
        <f>HYPERLINK("https://www.philgeps.gov.ph/GEPSNONPILOT/Tender/SplashBidNoticeAbstractUI.aspx?menuIndex=3&amp;refID=7053095&amp;Result=3","7053095")</f>
        <v>0</v>
      </c>
      <c r="B9249" t="s">
        <v>2623</v>
      </c>
      <c r="C9249" t="s">
        <v>12300</v>
      </c>
      <c r="D9249" t="s">
        <v>18856</v>
      </c>
      <c r="E9249" t="s">
        <v>26929</v>
      </c>
      <c r="F9249" t="s">
        <v>32664</v>
      </c>
      <c r="G9249" t="s">
        <v>32671</v>
      </c>
      <c r="H9249" t="s">
        <v>12635</v>
      </c>
      <c r="I9249" t="s">
        <v>4205</v>
      </c>
      <c r="J9249" t="s">
        <v>38417</v>
      </c>
      <c r="K9249" t="s">
        <v>42281</v>
      </c>
      <c r="M9249" t="s">
        <v>45441</v>
      </c>
      <c r="N9249" t="s">
        <v>46569</v>
      </c>
      <c r="O9249" t="s">
        <v>46570</v>
      </c>
      <c r="P9249">
        <v>0</v>
      </c>
      <c r="Q9249">
        <v>1</v>
      </c>
      <c r="R9249" t="s">
        <v>46577</v>
      </c>
      <c r="S9249" t="s">
        <v>46808</v>
      </c>
      <c r="T9249" t="s">
        <v>48285</v>
      </c>
      <c r="U9249" t="s">
        <v>56284</v>
      </c>
      <c r="V9249" t="s">
        <v>62560</v>
      </c>
      <c r="W9249" t="s">
        <v>45441</v>
      </c>
      <c r="X9249" t="s">
        <v>46578</v>
      </c>
    </row>
    <row r="9250" spans="1:24">
      <c r="A9250">
        <f>HYPERLINK("https://www.philgeps.gov.ph/GEPSNONPILOT/Tender/SplashBidNoticeAbstractUI.aspx?menuIndex=3&amp;refID=7053146&amp;Result=3","7053146")</f>
        <v>0</v>
      </c>
      <c r="B9250" t="s">
        <v>194</v>
      </c>
      <c r="C9250" t="s">
        <v>12301</v>
      </c>
      <c r="D9250" t="s">
        <v>18791</v>
      </c>
      <c r="E9250" t="s">
        <v>26930</v>
      </c>
      <c r="F9250" t="s">
        <v>32664</v>
      </c>
      <c r="G9250" t="s">
        <v>32671</v>
      </c>
      <c r="H9250" t="s">
        <v>12635</v>
      </c>
      <c r="I9250" t="s">
        <v>7759</v>
      </c>
      <c r="J9250" t="s">
        <v>34364</v>
      </c>
      <c r="K9250" t="s">
        <v>42284</v>
      </c>
      <c r="M9250" t="s">
        <v>42758</v>
      </c>
      <c r="N9250" t="s">
        <v>46569</v>
      </c>
      <c r="O9250" t="s">
        <v>46570</v>
      </c>
      <c r="P9250">
        <v>0</v>
      </c>
      <c r="Q9250">
        <v>0</v>
      </c>
      <c r="R9250" t="s">
        <v>46577</v>
      </c>
      <c r="S9250" t="s">
        <v>46808</v>
      </c>
      <c r="T9250" t="s">
        <v>48449</v>
      </c>
      <c r="U9250" t="s">
        <v>56285</v>
      </c>
      <c r="W9250" t="s">
        <v>42758</v>
      </c>
      <c r="X9250" t="s">
        <v>46578</v>
      </c>
    </row>
    <row r="9251" spans="1:24">
      <c r="A9251">
        <f>HYPERLINK("https://www.philgeps.gov.ph/GEPSNONPILOT/Tender/SplashBidNoticeAbstractUI.aspx?menuIndex=3&amp;refID=7053133&amp;Result=3","7053133")</f>
        <v>0</v>
      </c>
      <c r="B9251" t="s">
        <v>605</v>
      </c>
      <c r="C9251" t="s">
        <v>12302</v>
      </c>
      <c r="D9251" t="s">
        <v>18858</v>
      </c>
      <c r="E9251" t="s">
        <v>26931</v>
      </c>
      <c r="F9251" t="s">
        <v>32664</v>
      </c>
      <c r="G9251" t="s">
        <v>32674</v>
      </c>
      <c r="H9251" t="s">
        <v>12635</v>
      </c>
      <c r="I9251" t="s">
        <v>4333</v>
      </c>
      <c r="J9251" t="s">
        <v>38418</v>
      </c>
      <c r="K9251" t="s">
        <v>42289</v>
      </c>
      <c r="M9251" t="s">
        <v>43185</v>
      </c>
      <c r="N9251" t="s">
        <v>46569</v>
      </c>
      <c r="O9251" t="s">
        <v>46570</v>
      </c>
      <c r="P9251">
        <v>0</v>
      </c>
      <c r="Q9251">
        <v>0</v>
      </c>
      <c r="R9251" t="s">
        <v>46577</v>
      </c>
      <c r="S9251" t="s">
        <v>46808</v>
      </c>
      <c r="T9251" t="s">
        <v>48562</v>
      </c>
      <c r="U9251" t="s">
        <v>56286</v>
      </c>
      <c r="W9251" t="s">
        <v>43185</v>
      </c>
      <c r="X9251" t="s">
        <v>46578</v>
      </c>
    </row>
    <row r="9252" spans="1:24">
      <c r="A9252">
        <f>HYPERLINK("https://www.philgeps.gov.ph/GEPSNONPILOT/Tender/SplashBidNoticeAbstractUI.aspx?menuIndex=3&amp;refID=7053128&amp;Result=3","7053128")</f>
        <v>0</v>
      </c>
      <c r="B9252" t="s">
        <v>2365</v>
      </c>
      <c r="C9252" t="s">
        <v>12303</v>
      </c>
      <c r="E9252" t="s">
        <v>26932</v>
      </c>
      <c r="F9252" t="s">
        <v>32664</v>
      </c>
      <c r="G9252" t="s">
        <v>32672</v>
      </c>
      <c r="H9252" t="s">
        <v>12635</v>
      </c>
      <c r="I9252" t="s">
        <v>4439</v>
      </c>
      <c r="J9252" t="s">
        <v>38419</v>
      </c>
      <c r="K9252" t="s">
        <v>42283</v>
      </c>
      <c r="M9252" t="s">
        <v>45150</v>
      </c>
      <c r="N9252" t="s">
        <v>46569</v>
      </c>
      <c r="O9252" t="s">
        <v>46570</v>
      </c>
      <c r="P9252">
        <v>0</v>
      </c>
      <c r="Q9252">
        <v>3</v>
      </c>
      <c r="R9252" t="s">
        <v>46577</v>
      </c>
      <c r="S9252" t="s">
        <v>46808</v>
      </c>
      <c r="T9252" t="s">
        <v>48307</v>
      </c>
      <c r="U9252" t="s">
        <v>56287</v>
      </c>
      <c r="W9252" t="s">
        <v>45150</v>
      </c>
      <c r="X9252" t="s">
        <v>46578</v>
      </c>
    </row>
    <row r="9253" spans="1:24">
      <c r="A9253">
        <f>HYPERLINK("https://www.philgeps.gov.ph/GEPSNONPILOT/Tender/SplashBidNoticeAbstractUI.aspx?menuIndex=3&amp;refID=7053122&amp;Result=3","7053122")</f>
        <v>0</v>
      </c>
      <c r="B9253" t="s">
        <v>2592</v>
      </c>
      <c r="C9253" t="s">
        <v>12304</v>
      </c>
      <c r="D9253" t="s">
        <v>18806</v>
      </c>
      <c r="E9253" t="s">
        <v>25226</v>
      </c>
      <c r="F9253" t="s">
        <v>32664</v>
      </c>
      <c r="G9253" t="s">
        <v>32674</v>
      </c>
      <c r="H9253" t="s">
        <v>12635</v>
      </c>
      <c r="I9253" t="s">
        <v>8797</v>
      </c>
      <c r="J9253" t="s">
        <v>38420</v>
      </c>
      <c r="K9253" t="s">
        <v>42284</v>
      </c>
      <c r="M9253" t="s">
        <v>45407</v>
      </c>
      <c r="N9253" t="s">
        <v>46569</v>
      </c>
      <c r="O9253" t="s">
        <v>46570</v>
      </c>
      <c r="P9253">
        <v>0</v>
      </c>
      <c r="Q9253">
        <v>0</v>
      </c>
      <c r="R9253" t="s">
        <v>46577</v>
      </c>
      <c r="S9253" t="s">
        <v>46808</v>
      </c>
      <c r="T9253" t="s">
        <v>48249</v>
      </c>
      <c r="U9253" t="s">
        <v>56288</v>
      </c>
      <c r="W9253" t="s">
        <v>45407</v>
      </c>
      <c r="X9253" t="s">
        <v>46578</v>
      </c>
    </row>
    <row r="9254" spans="1:24">
      <c r="A9254">
        <f>HYPERLINK("https://www.philgeps.gov.ph/GEPSNONPILOT/Tender/SplashBidNoticeAbstractUI.aspx?menuIndex=3&amp;refID=7053109&amp;Result=3","7053109")</f>
        <v>0</v>
      </c>
      <c r="B9254" t="s">
        <v>160</v>
      </c>
      <c r="C9254" t="s">
        <v>12305</v>
      </c>
      <c r="D9254" t="s">
        <v>18806</v>
      </c>
      <c r="E9254" t="s">
        <v>26933</v>
      </c>
      <c r="F9254" t="s">
        <v>32664</v>
      </c>
      <c r="G9254" t="s">
        <v>32672</v>
      </c>
      <c r="H9254" t="s">
        <v>12635</v>
      </c>
      <c r="I9254" t="s">
        <v>4439</v>
      </c>
      <c r="J9254" t="s">
        <v>38421</v>
      </c>
      <c r="K9254" t="s">
        <v>42311</v>
      </c>
      <c r="M9254" t="s">
        <v>42724</v>
      </c>
      <c r="N9254" t="s">
        <v>46569</v>
      </c>
      <c r="O9254" t="s">
        <v>46570</v>
      </c>
      <c r="P9254">
        <v>0</v>
      </c>
      <c r="Q9254">
        <v>0</v>
      </c>
      <c r="R9254" t="s">
        <v>46577</v>
      </c>
      <c r="S9254" t="s">
        <v>46808</v>
      </c>
      <c r="T9254" t="s">
        <v>48293</v>
      </c>
      <c r="U9254" t="s">
        <v>56289</v>
      </c>
      <c r="W9254" t="s">
        <v>42724</v>
      </c>
      <c r="X9254" t="s">
        <v>46578</v>
      </c>
    </row>
    <row r="9255" spans="1:24">
      <c r="A9255">
        <f>HYPERLINK("https://www.philgeps.gov.ph/GEPSNONPILOT/Tender/SplashBidNoticeAbstractUI.aspx?menuIndex=3&amp;refID=7053117&amp;Result=3","7053117")</f>
        <v>0</v>
      </c>
      <c r="B9255" t="s">
        <v>2656</v>
      </c>
      <c r="C9255" t="s">
        <v>12306</v>
      </c>
      <c r="D9255" t="s">
        <v>18801</v>
      </c>
      <c r="E9255" t="s">
        <v>22152</v>
      </c>
      <c r="F9255" t="s">
        <v>32664</v>
      </c>
      <c r="G9255" t="s">
        <v>32678</v>
      </c>
      <c r="H9255" t="s">
        <v>32681</v>
      </c>
      <c r="I9255" t="s">
        <v>32681</v>
      </c>
      <c r="J9255" t="s">
        <v>33320</v>
      </c>
      <c r="K9255" t="s">
        <v>42283</v>
      </c>
      <c r="M9255" t="s">
        <v>45477</v>
      </c>
      <c r="N9255" t="s">
        <v>46569</v>
      </c>
      <c r="O9255" t="s">
        <v>46570</v>
      </c>
      <c r="P9255">
        <v>0</v>
      </c>
      <c r="Q9255">
        <v>2</v>
      </c>
      <c r="R9255" t="s">
        <v>46577</v>
      </c>
      <c r="S9255" t="s">
        <v>46808</v>
      </c>
      <c r="T9255" t="s">
        <v>48254</v>
      </c>
      <c r="U9255" t="s">
        <v>56290</v>
      </c>
      <c r="W9255" t="s">
        <v>45477</v>
      </c>
      <c r="X9255" t="s">
        <v>46578</v>
      </c>
    </row>
    <row r="9256" spans="1:24">
      <c r="A9256">
        <f>HYPERLINK("https://www.philgeps.gov.ph/GEPSNONPILOT/Tender/SplashBidNoticeAbstractUI.aspx?menuIndex=3&amp;refID=7053125&amp;Result=3","7053125")</f>
        <v>0</v>
      </c>
      <c r="B9256" t="s">
        <v>2484</v>
      </c>
      <c r="C9256" t="s">
        <v>12307</v>
      </c>
      <c r="D9256" t="s">
        <v>18822</v>
      </c>
      <c r="E9256" t="s">
        <v>26934</v>
      </c>
      <c r="F9256" t="s">
        <v>32664</v>
      </c>
      <c r="G9256" t="s">
        <v>32672</v>
      </c>
      <c r="H9256" t="s">
        <v>12635</v>
      </c>
      <c r="I9256" t="s">
        <v>4439</v>
      </c>
      <c r="J9256" t="s">
        <v>33175</v>
      </c>
      <c r="K9256" t="s">
        <v>42297</v>
      </c>
      <c r="M9256" t="s">
        <v>45284</v>
      </c>
      <c r="N9256" t="s">
        <v>46569</v>
      </c>
      <c r="O9256" t="s">
        <v>46570</v>
      </c>
      <c r="P9256">
        <v>0</v>
      </c>
      <c r="Q9256">
        <v>1</v>
      </c>
      <c r="R9256" t="s">
        <v>46577</v>
      </c>
      <c r="S9256" t="s">
        <v>46808</v>
      </c>
      <c r="T9256" t="s">
        <v>48283</v>
      </c>
      <c r="U9256" t="s">
        <v>56210</v>
      </c>
      <c r="W9256" t="s">
        <v>45284</v>
      </c>
      <c r="X9256" t="s">
        <v>46578</v>
      </c>
    </row>
    <row r="9257" spans="1:24">
      <c r="A9257">
        <f>HYPERLINK("https://www.philgeps.gov.ph/GEPSNONPILOT/Tender/SplashBidNoticeAbstractUI.aspx?menuIndex=3&amp;refID=7053105&amp;Result=3","7053105")</f>
        <v>0</v>
      </c>
      <c r="B9257" t="s">
        <v>194</v>
      </c>
      <c r="C9257" t="s">
        <v>12308</v>
      </c>
      <c r="D9257" t="s">
        <v>18791</v>
      </c>
      <c r="E9257" t="s">
        <v>26935</v>
      </c>
      <c r="F9257" t="s">
        <v>32664</v>
      </c>
      <c r="G9257" t="s">
        <v>32671</v>
      </c>
      <c r="H9257" t="s">
        <v>12635</v>
      </c>
      <c r="I9257" t="s">
        <v>6628</v>
      </c>
      <c r="J9257" t="s">
        <v>32898</v>
      </c>
      <c r="K9257" t="s">
        <v>42284</v>
      </c>
      <c r="M9257" t="s">
        <v>42758</v>
      </c>
      <c r="N9257" t="s">
        <v>46569</v>
      </c>
      <c r="O9257" t="s">
        <v>46570</v>
      </c>
      <c r="P9257">
        <v>0</v>
      </c>
      <c r="Q9257">
        <v>0</v>
      </c>
      <c r="R9257" t="s">
        <v>46577</v>
      </c>
      <c r="S9257" t="s">
        <v>46808</v>
      </c>
      <c r="T9257" t="s">
        <v>48449</v>
      </c>
      <c r="U9257" t="s">
        <v>56291</v>
      </c>
      <c r="W9257" t="s">
        <v>42758</v>
      </c>
      <c r="X9257" t="s">
        <v>46578</v>
      </c>
    </row>
    <row r="9258" spans="1:24">
      <c r="A9258">
        <f>HYPERLINK("https://www.philgeps.gov.ph/GEPSNONPILOT/Tender/SplashBidNoticeAbstractUI.aspx?menuIndex=3&amp;refID=7053119&amp;Result=3","7053119")</f>
        <v>0</v>
      </c>
      <c r="B9258" t="s">
        <v>443</v>
      </c>
      <c r="C9258" t="s">
        <v>12309</v>
      </c>
      <c r="D9258" t="s">
        <v>18856</v>
      </c>
      <c r="E9258" t="s">
        <v>26936</v>
      </c>
      <c r="F9258" t="s">
        <v>32664</v>
      </c>
      <c r="G9258" t="s">
        <v>32674</v>
      </c>
      <c r="H9258" t="s">
        <v>12635</v>
      </c>
      <c r="I9258" t="s">
        <v>10627</v>
      </c>
      <c r="J9258" t="s">
        <v>38422</v>
      </c>
      <c r="K9258" t="s">
        <v>42283</v>
      </c>
      <c r="M9258" t="s">
        <v>43015</v>
      </c>
      <c r="N9258" t="s">
        <v>46569</v>
      </c>
      <c r="O9258" t="s">
        <v>46570</v>
      </c>
      <c r="P9258">
        <v>0</v>
      </c>
      <c r="Q9258">
        <v>0</v>
      </c>
      <c r="R9258" t="s">
        <v>46577</v>
      </c>
      <c r="S9258" t="s">
        <v>46808</v>
      </c>
      <c r="T9258" t="s">
        <v>48473</v>
      </c>
      <c r="U9258" t="s">
        <v>56292</v>
      </c>
      <c r="W9258" t="s">
        <v>43015</v>
      </c>
      <c r="X9258" t="s">
        <v>46578</v>
      </c>
    </row>
    <row r="9259" spans="1:24">
      <c r="A9259">
        <f>HYPERLINK("https://www.philgeps.gov.ph/GEPSNONPILOT/Tender/SplashBidNoticeAbstractUI.aspx?menuIndex=3&amp;refID=7053129&amp;Result=3","7053129")</f>
        <v>0</v>
      </c>
      <c r="B9259" t="s">
        <v>194</v>
      </c>
      <c r="C9259" t="s">
        <v>12310</v>
      </c>
      <c r="D9259" t="s">
        <v>18791</v>
      </c>
      <c r="E9259" t="s">
        <v>26937</v>
      </c>
      <c r="F9259" t="s">
        <v>32664</v>
      </c>
      <c r="G9259" t="s">
        <v>32671</v>
      </c>
      <c r="H9259" t="s">
        <v>12635</v>
      </c>
      <c r="I9259" t="s">
        <v>32718</v>
      </c>
      <c r="J9259" t="s">
        <v>33177</v>
      </c>
      <c r="K9259" t="s">
        <v>42284</v>
      </c>
      <c r="M9259" t="s">
        <v>42758</v>
      </c>
      <c r="N9259" t="s">
        <v>46569</v>
      </c>
      <c r="O9259" t="s">
        <v>46570</v>
      </c>
      <c r="P9259">
        <v>0</v>
      </c>
      <c r="Q9259">
        <v>2</v>
      </c>
      <c r="R9259" t="s">
        <v>46577</v>
      </c>
      <c r="S9259" t="s">
        <v>46808</v>
      </c>
      <c r="T9259" t="s">
        <v>48449</v>
      </c>
      <c r="U9259" t="s">
        <v>56293</v>
      </c>
      <c r="W9259" t="s">
        <v>42758</v>
      </c>
      <c r="X9259" t="s">
        <v>46578</v>
      </c>
    </row>
    <row r="9260" spans="1:24">
      <c r="A9260">
        <f>HYPERLINK("https://www.philgeps.gov.ph/GEPSNONPILOT/Tender/SplashBidNoticeAbstractUI.aspx?menuIndex=3&amp;refID=7053104&amp;Result=3","7053104")</f>
        <v>0</v>
      </c>
      <c r="B9260" t="s">
        <v>2637</v>
      </c>
      <c r="C9260" t="s">
        <v>12311</v>
      </c>
      <c r="D9260" t="s">
        <v>18830</v>
      </c>
      <c r="E9260" t="s">
        <v>26938</v>
      </c>
      <c r="F9260" t="s">
        <v>32664</v>
      </c>
      <c r="G9260" t="s">
        <v>32672</v>
      </c>
      <c r="H9260" t="s">
        <v>32683</v>
      </c>
      <c r="I9260" t="s">
        <v>10627</v>
      </c>
      <c r="J9260" t="s">
        <v>38423</v>
      </c>
      <c r="K9260" t="s">
        <v>42311</v>
      </c>
      <c r="M9260" t="s">
        <v>45457</v>
      </c>
      <c r="N9260" t="s">
        <v>46569</v>
      </c>
      <c r="O9260" t="s">
        <v>46570</v>
      </c>
      <c r="P9260">
        <v>0</v>
      </c>
      <c r="Q9260">
        <v>0</v>
      </c>
      <c r="R9260" t="s">
        <v>46577</v>
      </c>
      <c r="S9260" t="s">
        <v>46808</v>
      </c>
      <c r="T9260" t="s">
        <v>48212</v>
      </c>
      <c r="U9260" t="s">
        <v>56294</v>
      </c>
      <c r="W9260" t="s">
        <v>45457</v>
      </c>
      <c r="X9260" t="s">
        <v>46578</v>
      </c>
    </row>
    <row r="9261" spans="1:24">
      <c r="A9261">
        <f>HYPERLINK("https://www.philgeps.gov.ph/GEPSNONPILOT/Tender/SplashBidNoticeAbstractUI.aspx?menuIndex=3&amp;refID=7053100&amp;Result=3","7053100")</f>
        <v>0</v>
      </c>
      <c r="B9261" t="s">
        <v>909</v>
      </c>
      <c r="C9261" t="s">
        <v>12312</v>
      </c>
      <c r="D9261" t="s">
        <v>18838</v>
      </c>
      <c r="E9261" t="s">
        <v>26939</v>
      </c>
      <c r="F9261" t="s">
        <v>32664</v>
      </c>
      <c r="G9261" t="s">
        <v>32672</v>
      </c>
      <c r="H9261" t="s">
        <v>32683</v>
      </c>
      <c r="I9261" t="s">
        <v>10627</v>
      </c>
      <c r="J9261" t="s">
        <v>38424</v>
      </c>
      <c r="K9261" t="s">
        <v>42305</v>
      </c>
      <c r="M9261" t="s">
        <v>43515</v>
      </c>
      <c r="N9261" t="s">
        <v>46569</v>
      </c>
      <c r="O9261" t="s">
        <v>46570</v>
      </c>
      <c r="P9261">
        <v>0</v>
      </c>
      <c r="Q9261">
        <v>10</v>
      </c>
      <c r="R9261" t="s">
        <v>46577</v>
      </c>
      <c r="S9261" t="s">
        <v>46808</v>
      </c>
      <c r="T9261" t="s">
        <v>48313</v>
      </c>
      <c r="U9261" t="s">
        <v>56295</v>
      </c>
      <c r="V9261" t="s">
        <v>62415</v>
      </c>
      <c r="W9261" t="s">
        <v>43515</v>
      </c>
      <c r="X9261" t="s">
        <v>46578</v>
      </c>
    </row>
    <row r="9262" spans="1:24">
      <c r="A9262">
        <f>HYPERLINK("https://www.philgeps.gov.ph/GEPSNONPILOT/Tender/SplashBidNoticeAbstractUI.aspx?menuIndex=3&amp;refID=7053071&amp;Result=3","7053071")</f>
        <v>0</v>
      </c>
      <c r="B9262" t="s">
        <v>605</v>
      </c>
      <c r="C9262" t="s">
        <v>12313</v>
      </c>
      <c r="D9262" t="s">
        <v>18858</v>
      </c>
      <c r="E9262" t="s">
        <v>26940</v>
      </c>
      <c r="F9262" t="s">
        <v>32664</v>
      </c>
      <c r="G9262" t="s">
        <v>32674</v>
      </c>
      <c r="H9262" t="s">
        <v>12635</v>
      </c>
      <c r="I9262" t="s">
        <v>11464</v>
      </c>
      <c r="J9262" t="s">
        <v>38425</v>
      </c>
      <c r="K9262" t="s">
        <v>42289</v>
      </c>
      <c r="M9262" t="s">
        <v>43185</v>
      </c>
      <c r="N9262" t="s">
        <v>46569</v>
      </c>
      <c r="O9262" t="s">
        <v>46570</v>
      </c>
      <c r="P9262">
        <v>0</v>
      </c>
      <c r="Q9262">
        <v>0</v>
      </c>
      <c r="R9262" t="s">
        <v>46577</v>
      </c>
      <c r="S9262" t="s">
        <v>46808</v>
      </c>
      <c r="T9262" t="s">
        <v>48562</v>
      </c>
      <c r="U9262" t="s">
        <v>56296</v>
      </c>
      <c r="W9262" t="s">
        <v>43185</v>
      </c>
      <c r="X9262" t="s">
        <v>46578</v>
      </c>
    </row>
    <row r="9263" spans="1:24">
      <c r="A9263">
        <f>HYPERLINK("https://www.philgeps.gov.ph/GEPSNONPILOT/Tender/SplashBidNoticeAbstractUI.aspx?menuIndex=3&amp;refID=7053210&amp;Result=3","7053210")</f>
        <v>0</v>
      </c>
      <c r="B9263" t="s">
        <v>2657</v>
      </c>
      <c r="C9263" t="s">
        <v>12314</v>
      </c>
      <c r="D9263" t="s">
        <v>18803</v>
      </c>
      <c r="E9263" t="s">
        <v>26857</v>
      </c>
      <c r="F9263" t="s">
        <v>32667</v>
      </c>
      <c r="G9263" t="s">
        <v>32672</v>
      </c>
      <c r="H9263" t="s">
        <v>12635</v>
      </c>
      <c r="I9263" t="s">
        <v>8730</v>
      </c>
      <c r="J9263" t="s">
        <v>32984</v>
      </c>
      <c r="K9263" t="s">
        <v>42295</v>
      </c>
      <c r="M9263" t="s">
        <v>45478</v>
      </c>
      <c r="N9263" t="s">
        <v>46569</v>
      </c>
      <c r="O9263" t="s">
        <v>46570</v>
      </c>
      <c r="P9263">
        <v>0</v>
      </c>
      <c r="Q9263">
        <v>6</v>
      </c>
      <c r="R9263" t="s">
        <v>46577</v>
      </c>
      <c r="S9263" t="s">
        <v>46808</v>
      </c>
      <c r="T9263" t="s">
        <v>48218</v>
      </c>
      <c r="U9263" t="s">
        <v>56297</v>
      </c>
      <c r="W9263" t="s">
        <v>45478</v>
      </c>
      <c r="X9263" t="s">
        <v>46578</v>
      </c>
    </row>
    <row r="9264" spans="1:24">
      <c r="A9264">
        <f>HYPERLINK("https://www.philgeps.gov.ph/GEPSNONPILOT/Tender/SplashBidNoticeAbstractUI.aspx?menuIndex=3&amp;refID=7053106&amp;Result=3","7053106")</f>
        <v>0</v>
      </c>
      <c r="B9264" t="s">
        <v>1963</v>
      </c>
      <c r="C9264" t="s">
        <v>12315</v>
      </c>
      <c r="D9264" t="s">
        <v>18785</v>
      </c>
      <c r="E9264" t="s">
        <v>26941</v>
      </c>
      <c r="F9264" t="s">
        <v>32664</v>
      </c>
      <c r="G9264" t="s">
        <v>32672</v>
      </c>
      <c r="H9264" t="s">
        <v>12635</v>
      </c>
      <c r="I9264" t="s">
        <v>32700</v>
      </c>
      <c r="J9264" t="s">
        <v>38426</v>
      </c>
      <c r="K9264" t="s">
        <v>42427</v>
      </c>
      <c r="M9264" t="s">
        <v>44695</v>
      </c>
      <c r="N9264" t="s">
        <v>46569</v>
      </c>
      <c r="O9264" t="s">
        <v>46570</v>
      </c>
      <c r="P9264">
        <v>0</v>
      </c>
      <c r="Q9264">
        <v>1</v>
      </c>
      <c r="R9264" t="s">
        <v>46577</v>
      </c>
      <c r="S9264" t="s">
        <v>46808</v>
      </c>
      <c r="T9264" t="s">
        <v>48287</v>
      </c>
      <c r="U9264" t="s">
        <v>53666</v>
      </c>
      <c r="W9264" t="s">
        <v>44695</v>
      </c>
      <c r="X9264" t="s">
        <v>46578</v>
      </c>
    </row>
    <row r="9265" spans="1:24">
      <c r="A9265">
        <f>HYPERLINK("https://www.philgeps.gov.ph/GEPSNONPILOT/Tender/SplashBidNoticeAbstractUI.aspx?menuIndex=3&amp;refID=7053121&amp;Result=3","7053121")</f>
        <v>0</v>
      </c>
      <c r="B9265" t="s">
        <v>2658</v>
      </c>
      <c r="C9265" t="s">
        <v>12316</v>
      </c>
      <c r="D9265" t="s">
        <v>18796</v>
      </c>
      <c r="E9265" t="s">
        <v>26942</v>
      </c>
      <c r="F9265" t="s">
        <v>32664</v>
      </c>
      <c r="G9265" t="s">
        <v>32672</v>
      </c>
      <c r="H9265" t="s">
        <v>32683</v>
      </c>
      <c r="I9265" t="s">
        <v>10627</v>
      </c>
      <c r="J9265" t="s">
        <v>34391</v>
      </c>
      <c r="K9265" t="s">
        <v>42298</v>
      </c>
      <c r="M9265" t="s">
        <v>45479</v>
      </c>
      <c r="N9265" t="s">
        <v>46569</v>
      </c>
      <c r="O9265" t="s">
        <v>46570</v>
      </c>
      <c r="P9265">
        <v>0</v>
      </c>
      <c r="Q9265">
        <v>3</v>
      </c>
      <c r="R9265" t="s">
        <v>46577</v>
      </c>
      <c r="S9265" t="s">
        <v>46808</v>
      </c>
      <c r="T9265" t="s">
        <v>48483</v>
      </c>
      <c r="U9265" t="s">
        <v>56298</v>
      </c>
      <c r="V9265" t="s">
        <v>62579</v>
      </c>
      <c r="W9265" t="s">
        <v>45479</v>
      </c>
      <c r="X9265" t="s">
        <v>46578</v>
      </c>
    </row>
    <row r="9266" spans="1:24">
      <c r="A9266">
        <f>HYPERLINK("https://www.philgeps.gov.ph/GEPSNONPILOT/Tender/SplashBidNoticeAbstractUI.aspx?menuIndex=3&amp;refID=7053203&amp;Result=3","7053203")</f>
        <v>0</v>
      </c>
      <c r="B9266" t="s">
        <v>2659</v>
      </c>
      <c r="C9266" t="s">
        <v>12317</v>
      </c>
      <c r="D9266" t="s">
        <v>18828</v>
      </c>
      <c r="E9266" t="s">
        <v>19193</v>
      </c>
      <c r="F9266" t="s">
        <v>32664</v>
      </c>
      <c r="G9266" t="s">
        <v>32672</v>
      </c>
      <c r="H9266" t="s">
        <v>32683</v>
      </c>
      <c r="I9266" t="s">
        <v>10627</v>
      </c>
      <c r="J9266" t="s">
        <v>38427</v>
      </c>
      <c r="K9266" t="s">
        <v>42290</v>
      </c>
      <c r="M9266" t="s">
        <v>45480</v>
      </c>
      <c r="N9266" t="s">
        <v>46569</v>
      </c>
      <c r="O9266" t="s">
        <v>46570</v>
      </c>
      <c r="P9266">
        <v>0</v>
      </c>
      <c r="Q9266">
        <v>0</v>
      </c>
      <c r="R9266" t="s">
        <v>46577</v>
      </c>
      <c r="S9266" t="s">
        <v>46808</v>
      </c>
      <c r="T9266" t="s">
        <v>48237</v>
      </c>
      <c r="U9266" t="s">
        <v>56299</v>
      </c>
      <c r="W9266" t="s">
        <v>45480</v>
      </c>
      <c r="X9266" t="s">
        <v>46578</v>
      </c>
    </row>
    <row r="9267" spans="1:24">
      <c r="A9267">
        <f>HYPERLINK("https://www.philgeps.gov.ph/GEPSNONPILOT/Tender/SplashBidNoticeAbstractUI.aspx?menuIndex=3&amp;refID=7053202&amp;Result=3","7053202")</f>
        <v>0</v>
      </c>
      <c r="B9267" t="s">
        <v>2446</v>
      </c>
      <c r="C9267" t="s">
        <v>12318</v>
      </c>
      <c r="E9267" t="s">
        <v>26943</v>
      </c>
      <c r="F9267" t="s">
        <v>32664</v>
      </c>
      <c r="G9267" t="s">
        <v>32672</v>
      </c>
      <c r="H9267" t="s">
        <v>12635</v>
      </c>
      <c r="I9267" t="s">
        <v>32712</v>
      </c>
      <c r="J9267" t="s">
        <v>38428</v>
      </c>
      <c r="K9267" t="s">
        <v>42283</v>
      </c>
      <c r="M9267" t="s">
        <v>45239</v>
      </c>
      <c r="N9267" t="s">
        <v>46569</v>
      </c>
      <c r="O9267" t="s">
        <v>46570</v>
      </c>
      <c r="Q9267">
        <v>17</v>
      </c>
      <c r="R9267" t="s">
        <v>46577</v>
      </c>
      <c r="S9267" t="s">
        <v>46826</v>
      </c>
      <c r="T9267" t="s">
        <v>48635</v>
      </c>
      <c r="U9267" t="s">
        <v>56300</v>
      </c>
      <c r="V9267" t="s">
        <v>62580</v>
      </c>
      <c r="W9267" t="s">
        <v>45239</v>
      </c>
      <c r="X9267" t="s">
        <v>46578</v>
      </c>
    </row>
    <row r="9268" spans="1:24">
      <c r="A9268">
        <f>HYPERLINK("https://www.philgeps.gov.ph/GEPSNONPILOT/Tender/SplashBidNoticeAbstractUI.aspx?menuIndex=3&amp;refID=7053199&amp;Result=3","7053199")</f>
        <v>0</v>
      </c>
      <c r="B9268" t="s">
        <v>382</v>
      </c>
      <c r="C9268" t="s">
        <v>12319</v>
      </c>
      <c r="D9268" t="s">
        <v>18852</v>
      </c>
      <c r="E9268" t="s">
        <v>26944</v>
      </c>
      <c r="F9268" t="s">
        <v>32664</v>
      </c>
      <c r="G9268" t="s">
        <v>32672</v>
      </c>
      <c r="H9268" t="s">
        <v>12635</v>
      </c>
      <c r="I9268" t="s">
        <v>32699</v>
      </c>
      <c r="J9268" t="s">
        <v>33724</v>
      </c>
      <c r="K9268" t="s">
        <v>42281</v>
      </c>
      <c r="M9268" t="s">
        <v>42952</v>
      </c>
      <c r="N9268" t="s">
        <v>46569</v>
      </c>
      <c r="O9268" t="s">
        <v>46570</v>
      </c>
      <c r="P9268">
        <v>0</v>
      </c>
      <c r="Q9268">
        <v>1</v>
      </c>
      <c r="R9268" t="s">
        <v>46577</v>
      </c>
      <c r="S9268" t="s">
        <v>46808</v>
      </c>
      <c r="T9268" t="s">
        <v>48283</v>
      </c>
      <c r="U9268" t="s">
        <v>56301</v>
      </c>
      <c r="W9268" t="s">
        <v>42952</v>
      </c>
      <c r="X9268" t="s">
        <v>46578</v>
      </c>
    </row>
    <row r="9269" spans="1:24">
      <c r="A9269">
        <f>HYPERLINK("https://www.philgeps.gov.ph/GEPSNONPILOT/Tender/SplashBidNoticeAbstractUI.aspx?menuIndex=3&amp;refID=7053188&amp;Result=3","7053188")</f>
        <v>0</v>
      </c>
      <c r="B9269" t="s">
        <v>2651</v>
      </c>
      <c r="C9269" t="s">
        <v>12320</v>
      </c>
      <c r="D9269" t="s">
        <v>18797</v>
      </c>
      <c r="E9269" t="s">
        <v>26945</v>
      </c>
      <c r="F9269" t="s">
        <v>32664</v>
      </c>
      <c r="G9269" t="s">
        <v>32674</v>
      </c>
      <c r="H9269" t="s">
        <v>12635</v>
      </c>
      <c r="I9269" t="s">
        <v>8797</v>
      </c>
      <c r="J9269" t="s">
        <v>38429</v>
      </c>
      <c r="K9269" t="s">
        <v>42297</v>
      </c>
      <c r="M9269" t="s">
        <v>45473</v>
      </c>
      <c r="N9269" t="s">
        <v>46569</v>
      </c>
      <c r="O9269" t="s">
        <v>46570</v>
      </c>
      <c r="P9269">
        <v>0</v>
      </c>
      <c r="Q9269">
        <v>1</v>
      </c>
      <c r="R9269" t="s">
        <v>46577</v>
      </c>
      <c r="S9269" t="s">
        <v>46808</v>
      </c>
      <c r="T9269" t="s">
        <v>48562</v>
      </c>
      <c r="U9269" t="s">
        <v>56302</v>
      </c>
      <c r="W9269" t="s">
        <v>45473</v>
      </c>
      <c r="X9269" t="s">
        <v>46578</v>
      </c>
    </row>
    <row r="9270" spans="1:24">
      <c r="A9270">
        <f>HYPERLINK("https://www.philgeps.gov.ph/GEPSNONPILOT/Tender/SplashBidNoticeAbstractUI.aspx?menuIndex=3&amp;refID=7053102&amp;Result=3","7053102")</f>
        <v>0</v>
      </c>
      <c r="B9270" t="s">
        <v>1227</v>
      </c>
      <c r="C9270" t="s">
        <v>12321</v>
      </c>
      <c r="D9270" t="s">
        <v>18784</v>
      </c>
      <c r="E9270" t="s">
        <v>26946</v>
      </c>
      <c r="F9270" t="s">
        <v>32664</v>
      </c>
      <c r="G9270" t="s">
        <v>32675</v>
      </c>
      <c r="H9270" t="s">
        <v>12635</v>
      </c>
      <c r="I9270" t="s">
        <v>6628</v>
      </c>
      <c r="J9270" t="s">
        <v>38430</v>
      </c>
      <c r="K9270" t="s">
        <v>42284</v>
      </c>
      <c r="M9270" t="s">
        <v>45481</v>
      </c>
      <c r="N9270" t="s">
        <v>46569</v>
      </c>
      <c r="O9270" t="s">
        <v>46570</v>
      </c>
      <c r="P9270">
        <v>0</v>
      </c>
      <c r="Q9270">
        <v>2</v>
      </c>
      <c r="R9270" t="s">
        <v>46577</v>
      </c>
      <c r="S9270" t="s">
        <v>46808</v>
      </c>
      <c r="T9270" t="s">
        <v>48578</v>
      </c>
      <c r="U9270" t="s">
        <v>56303</v>
      </c>
      <c r="V9270" t="s">
        <v>62581</v>
      </c>
      <c r="W9270" t="s">
        <v>45481</v>
      </c>
      <c r="X9270" t="s">
        <v>46578</v>
      </c>
    </row>
    <row r="9271" spans="1:24">
      <c r="A9271">
        <f>HYPERLINK("https://www.philgeps.gov.ph/GEPSNONPILOT/Tender/SplashBidNoticeAbstractUI.aspx?menuIndex=3&amp;refID=7053183&amp;Result=3","7053183")</f>
        <v>0</v>
      </c>
      <c r="B9271" t="s">
        <v>2660</v>
      </c>
      <c r="C9271" t="s">
        <v>12322</v>
      </c>
      <c r="D9271" t="s">
        <v>18826</v>
      </c>
      <c r="E9271" t="s">
        <v>21047</v>
      </c>
      <c r="F9271" t="s">
        <v>32664</v>
      </c>
      <c r="G9271" t="s">
        <v>32672</v>
      </c>
      <c r="H9271" t="s">
        <v>32683</v>
      </c>
      <c r="I9271" t="s">
        <v>10627</v>
      </c>
      <c r="J9271" t="s">
        <v>38431</v>
      </c>
      <c r="K9271" t="s">
        <v>42290</v>
      </c>
      <c r="M9271" t="s">
        <v>45482</v>
      </c>
      <c r="N9271" t="s">
        <v>46569</v>
      </c>
      <c r="O9271" t="s">
        <v>46570</v>
      </c>
      <c r="P9271">
        <v>0</v>
      </c>
      <c r="Q9271">
        <v>0</v>
      </c>
      <c r="R9271" t="s">
        <v>46577</v>
      </c>
      <c r="S9271" t="s">
        <v>46808</v>
      </c>
      <c r="T9271" t="s">
        <v>48254</v>
      </c>
      <c r="U9271" t="s">
        <v>56304</v>
      </c>
      <c r="V9271" t="s">
        <v>62577</v>
      </c>
      <c r="W9271" t="s">
        <v>45482</v>
      </c>
      <c r="X9271" t="s">
        <v>46578</v>
      </c>
    </row>
    <row r="9272" spans="1:24">
      <c r="A9272">
        <f>HYPERLINK("https://www.philgeps.gov.ph/GEPSNONPILOT/Tender/SplashBidNoticeAbstractUI.aspx?menuIndex=3&amp;refID=7053182&amp;Result=3","7053182")</f>
        <v>0</v>
      </c>
      <c r="B9272" t="s">
        <v>2637</v>
      </c>
      <c r="C9272" t="s">
        <v>12323</v>
      </c>
      <c r="D9272" t="s">
        <v>18830</v>
      </c>
      <c r="E9272" t="s">
        <v>26947</v>
      </c>
      <c r="F9272" t="s">
        <v>32664</v>
      </c>
      <c r="G9272" t="s">
        <v>32672</v>
      </c>
      <c r="H9272" t="s">
        <v>32683</v>
      </c>
      <c r="I9272" t="s">
        <v>10627</v>
      </c>
      <c r="J9272" t="s">
        <v>32962</v>
      </c>
      <c r="K9272" t="s">
        <v>42298</v>
      </c>
      <c r="M9272" t="s">
        <v>45457</v>
      </c>
      <c r="N9272" t="s">
        <v>46569</v>
      </c>
      <c r="O9272" t="s">
        <v>46570</v>
      </c>
      <c r="P9272">
        <v>0</v>
      </c>
      <c r="Q9272">
        <v>0</v>
      </c>
      <c r="R9272" t="s">
        <v>46577</v>
      </c>
      <c r="S9272" t="s">
        <v>46808</v>
      </c>
      <c r="T9272" t="s">
        <v>48212</v>
      </c>
      <c r="U9272" t="s">
        <v>56305</v>
      </c>
      <c r="W9272" t="s">
        <v>45457</v>
      </c>
      <c r="X9272" t="s">
        <v>46578</v>
      </c>
    </row>
    <row r="9273" spans="1:24">
      <c r="A9273">
        <f>HYPERLINK("https://www.philgeps.gov.ph/GEPSNONPILOT/Tender/SplashBidNoticeAbstractUI.aspx?menuIndex=3&amp;refID=7053176&amp;Result=3","7053176")</f>
        <v>0</v>
      </c>
      <c r="B9273" t="s">
        <v>2661</v>
      </c>
      <c r="C9273" t="s">
        <v>12324</v>
      </c>
      <c r="D9273" t="s">
        <v>18818</v>
      </c>
      <c r="E9273" t="s">
        <v>19202</v>
      </c>
      <c r="F9273" t="s">
        <v>32664</v>
      </c>
      <c r="G9273" t="s">
        <v>32672</v>
      </c>
      <c r="H9273" t="s">
        <v>12635</v>
      </c>
      <c r="I9273" t="s">
        <v>4439</v>
      </c>
      <c r="J9273" t="s">
        <v>38432</v>
      </c>
      <c r="K9273" t="s">
        <v>42289</v>
      </c>
      <c r="M9273" t="s">
        <v>45483</v>
      </c>
      <c r="N9273" t="s">
        <v>46569</v>
      </c>
      <c r="O9273" t="s">
        <v>46570</v>
      </c>
      <c r="P9273">
        <v>0</v>
      </c>
      <c r="Q9273">
        <v>0</v>
      </c>
      <c r="R9273" t="s">
        <v>46577</v>
      </c>
      <c r="S9273" t="s">
        <v>46808</v>
      </c>
      <c r="T9273" t="s">
        <v>48306</v>
      </c>
      <c r="U9273" t="s">
        <v>56306</v>
      </c>
      <c r="W9273" t="s">
        <v>45483</v>
      </c>
      <c r="X9273" t="s">
        <v>46578</v>
      </c>
    </row>
    <row r="9274" spans="1:24">
      <c r="A9274">
        <f>HYPERLINK("https://www.philgeps.gov.ph/GEPSNONPILOT/Tender/SplashBidNoticeAbstractUI.aspx?menuIndex=3&amp;refID=7053205&amp;Result=3","7053205")</f>
        <v>0</v>
      </c>
      <c r="B9274" t="s">
        <v>2592</v>
      </c>
      <c r="C9274" t="s">
        <v>12325</v>
      </c>
      <c r="D9274" t="s">
        <v>18806</v>
      </c>
      <c r="E9274" t="s">
        <v>26948</v>
      </c>
      <c r="F9274" t="s">
        <v>32664</v>
      </c>
      <c r="G9274" t="s">
        <v>32674</v>
      </c>
      <c r="H9274" t="s">
        <v>12635</v>
      </c>
      <c r="I9274" t="s">
        <v>8730</v>
      </c>
      <c r="J9274" t="s">
        <v>33654</v>
      </c>
      <c r="K9274" t="s">
        <v>42284</v>
      </c>
      <c r="M9274" t="s">
        <v>45407</v>
      </c>
      <c r="N9274" t="s">
        <v>46569</v>
      </c>
      <c r="O9274" t="s">
        <v>46570</v>
      </c>
      <c r="P9274">
        <v>0</v>
      </c>
      <c r="Q9274">
        <v>2</v>
      </c>
      <c r="R9274" t="s">
        <v>46577</v>
      </c>
      <c r="S9274" t="s">
        <v>46808</v>
      </c>
      <c r="T9274" t="s">
        <v>48249</v>
      </c>
      <c r="U9274" t="s">
        <v>56307</v>
      </c>
      <c r="W9274" t="s">
        <v>45407</v>
      </c>
      <c r="X9274" t="s">
        <v>46578</v>
      </c>
    </row>
    <row r="9275" spans="1:24">
      <c r="A9275">
        <f>HYPERLINK("https://www.philgeps.gov.ph/GEPSNONPILOT/Tender/SplashBidNoticeAbstractUI.aspx?menuIndex=3&amp;refID=7053186&amp;Result=3","7053186")</f>
        <v>0</v>
      </c>
      <c r="B9275" t="s">
        <v>2299</v>
      </c>
      <c r="C9275" t="s">
        <v>12326</v>
      </c>
      <c r="D9275" t="s">
        <v>18784</v>
      </c>
      <c r="E9275" t="s">
        <v>26949</v>
      </c>
      <c r="F9275" t="s">
        <v>32664</v>
      </c>
      <c r="G9275" t="s">
        <v>32672</v>
      </c>
      <c r="H9275" t="s">
        <v>12635</v>
      </c>
      <c r="I9275" t="s">
        <v>7324</v>
      </c>
      <c r="J9275" t="s">
        <v>34391</v>
      </c>
      <c r="K9275" t="s">
        <v>42309</v>
      </c>
      <c r="M9275" t="s">
        <v>45070</v>
      </c>
      <c r="N9275" t="s">
        <v>46569</v>
      </c>
      <c r="O9275" t="s">
        <v>46570</v>
      </c>
      <c r="P9275">
        <v>0</v>
      </c>
      <c r="Q9275">
        <v>4</v>
      </c>
      <c r="R9275" t="s">
        <v>46577</v>
      </c>
      <c r="S9275" t="s">
        <v>46808</v>
      </c>
      <c r="T9275" t="s">
        <v>48290</v>
      </c>
      <c r="U9275" t="s">
        <v>56308</v>
      </c>
      <c r="W9275" t="s">
        <v>45070</v>
      </c>
      <c r="X9275" t="s">
        <v>46578</v>
      </c>
    </row>
    <row r="9276" spans="1:24">
      <c r="A9276">
        <f>HYPERLINK("https://www.philgeps.gov.ph/GEPSNONPILOT/Tender/SplashBidNoticeAbstractUI.aspx?menuIndex=3&amp;refID=7053175&amp;Result=3","7053175")</f>
        <v>0</v>
      </c>
      <c r="B9276" t="s">
        <v>2623</v>
      </c>
      <c r="C9276" t="s">
        <v>12327</v>
      </c>
      <c r="D9276" t="s">
        <v>18856</v>
      </c>
      <c r="E9276" t="s">
        <v>26950</v>
      </c>
      <c r="F9276" t="s">
        <v>32664</v>
      </c>
      <c r="G9276" t="s">
        <v>32671</v>
      </c>
      <c r="H9276" t="s">
        <v>12635</v>
      </c>
      <c r="I9276" t="s">
        <v>6118</v>
      </c>
      <c r="J9276" t="s">
        <v>38433</v>
      </c>
      <c r="K9276" t="s">
        <v>42281</v>
      </c>
      <c r="M9276" t="s">
        <v>45441</v>
      </c>
      <c r="N9276" t="s">
        <v>46569</v>
      </c>
      <c r="O9276" t="s">
        <v>46570</v>
      </c>
      <c r="P9276">
        <v>0</v>
      </c>
      <c r="Q9276">
        <v>1</v>
      </c>
      <c r="R9276" t="s">
        <v>46577</v>
      </c>
      <c r="S9276" t="s">
        <v>46808</v>
      </c>
      <c r="T9276" t="s">
        <v>48285</v>
      </c>
      <c r="U9276" t="s">
        <v>56309</v>
      </c>
      <c r="V9276" t="s">
        <v>62560</v>
      </c>
      <c r="W9276" t="s">
        <v>45441</v>
      </c>
      <c r="X9276" t="s">
        <v>46578</v>
      </c>
    </row>
    <row r="9277" spans="1:24">
      <c r="A9277">
        <f>HYPERLINK("https://www.philgeps.gov.ph/GEPSNONPILOT/Tender/SplashBidNoticeAbstractUI.aspx?menuIndex=3&amp;refID=7053173&amp;Result=3","7053173")</f>
        <v>0</v>
      </c>
      <c r="B9277" t="s">
        <v>443</v>
      </c>
      <c r="C9277" t="s">
        <v>12328</v>
      </c>
      <c r="D9277" t="s">
        <v>18856</v>
      </c>
      <c r="E9277" t="s">
        <v>26951</v>
      </c>
      <c r="F9277" t="s">
        <v>32664</v>
      </c>
      <c r="G9277" t="s">
        <v>32674</v>
      </c>
      <c r="H9277" t="s">
        <v>12635</v>
      </c>
      <c r="I9277" t="s">
        <v>32707</v>
      </c>
      <c r="J9277" t="s">
        <v>38434</v>
      </c>
      <c r="K9277" t="s">
        <v>42281</v>
      </c>
      <c r="M9277" t="s">
        <v>43015</v>
      </c>
      <c r="N9277" t="s">
        <v>46569</v>
      </c>
      <c r="O9277" t="s">
        <v>46570</v>
      </c>
      <c r="P9277">
        <v>0</v>
      </c>
      <c r="Q9277">
        <v>5</v>
      </c>
      <c r="R9277" t="s">
        <v>46577</v>
      </c>
      <c r="S9277" t="s">
        <v>46808</v>
      </c>
      <c r="T9277" t="s">
        <v>48473</v>
      </c>
      <c r="U9277" t="s">
        <v>56310</v>
      </c>
      <c r="W9277" t="s">
        <v>43015</v>
      </c>
      <c r="X9277" t="s">
        <v>46578</v>
      </c>
    </row>
    <row r="9278" spans="1:24">
      <c r="A9278">
        <f>HYPERLINK("https://www.philgeps.gov.ph/GEPSNONPILOT/Tender/SplashBidNoticeAbstractUI.aspx?menuIndex=3&amp;refID=7053165&amp;Result=3","7053165")</f>
        <v>0</v>
      </c>
      <c r="B9278" t="s">
        <v>2662</v>
      </c>
      <c r="C9278" t="s">
        <v>12329</v>
      </c>
      <c r="D9278" t="s">
        <v>18852</v>
      </c>
      <c r="E9278" t="s">
        <v>26952</v>
      </c>
      <c r="F9278" t="s">
        <v>32664</v>
      </c>
      <c r="G9278" t="s">
        <v>32672</v>
      </c>
      <c r="H9278" t="s">
        <v>12635</v>
      </c>
      <c r="I9278" t="s">
        <v>4439</v>
      </c>
      <c r="J9278" t="s">
        <v>38435</v>
      </c>
      <c r="K9278" t="s">
        <v>42281</v>
      </c>
      <c r="M9278" t="s">
        <v>45484</v>
      </c>
      <c r="N9278" t="s">
        <v>46569</v>
      </c>
      <c r="O9278" t="s">
        <v>46570</v>
      </c>
      <c r="P9278">
        <v>0</v>
      </c>
      <c r="Q9278">
        <v>1</v>
      </c>
      <c r="R9278" t="s">
        <v>46577</v>
      </c>
      <c r="S9278" t="s">
        <v>46808</v>
      </c>
      <c r="T9278" t="s">
        <v>48244</v>
      </c>
      <c r="U9278" t="s">
        <v>56311</v>
      </c>
      <c r="W9278" t="s">
        <v>45484</v>
      </c>
      <c r="X9278" t="s">
        <v>46578</v>
      </c>
    </row>
    <row r="9279" spans="1:24">
      <c r="A9279">
        <f>HYPERLINK("https://www.philgeps.gov.ph/GEPSNONPILOT/Tender/SplashBidNoticeAbstractUI.aspx?menuIndex=3&amp;refID=7053153&amp;Result=3","7053153")</f>
        <v>0</v>
      </c>
      <c r="B9279" t="s">
        <v>1018</v>
      </c>
      <c r="C9279" t="s">
        <v>12330</v>
      </c>
      <c r="D9279" t="s">
        <v>18835</v>
      </c>
      <c r="E9279" t="s">
        <v>26953</v>
      </c>
      <c r="F9279" t="s">
        <v>32664</v>
      </c>
      <c r="G9279" t="s">
        <v>32672</v>
      </c>
      <c r="H9279" t="s">
        <v>12635</v>
      </c>
      <c r="I9279" t="s">
        <v>4439</v>
      </c>
      <c r="J9279" t="s">
        <v>38436</v>
      </c>
      <c r="K9279" t="s">
        <v>42297</v>
      </c>
      <c r="M9279" t="s">
        <v>43630</v>
      </c>
      <c r="N9279" t="s">
        <v>46569</v>
      </c>
      <c r="O9279" t="s">
        <v>46570</v>
      </c>
      <c r="P9279">
        <v>0</v>
      </c>
      <c r="Q9279">
        <v>0</v>
      </c>
      <c r="R9279" t="s">
        <v>46577</v>
      </c>
      <c r="S9279" t="s">
        <v>46808</v>
      </c>
      <c r="T9279" t="s">
        <v>48479</v>
      </c>
      <c r="U9279" t="s">
        <v>56312</v>
      </c>
      <c r="W9279" t="s">
        <v>43630</v>
      </c>
      <c r="X9279" t="s">
        <v>46578</v>
      </c>
    </row>
    <row r="9280" spans="1:24">
      <c r="A9280">
        <f>HYPERLINK("https://www.philgeps.gov.ph/GEPSNONPILOT/Tender/SplashBidNoticeAbstractUI.aspx?menuIndex=3&amp;refID=7053151&amp;Result=3","7053151")</f>
        <v>0</v>
      </c>
      <c r="B9280" t="s">
        <v>1114</v>
      </c>
      <c r="C9280" t="s">
        <v>12331</v>
      </c>
      <c r="D9280" t="s">
        <v>18831</v>
      </c>
      <c r="E9280" t="s">
        <v>26954</v>
      </c>
      <c r="F9280" t="s">
        <v>32664</v>
      </c>
      <c r="G9280" t="s">
        <v>32672</v>
      </c>
      <c r="H9280" t="s">
        <v>12635</v>
      </c>
      <c r="I9280" t="s">
        <v>32798</v>
      </c>
      <c r="J9280" t="s">
        <v>38437</v>
      </c>
      <c r="K9280" t="s">
        <v>42298</v>
      </c>
      <c r="M9280" t="s">
        <v>43742</v>
      </c>
      <c r="N9280" t="s">
        <v>46569</v>
      </c>
      <c r="O9280" t="s">
        <v>46570</v>
      </c>
      <c r="P9280">
        <v>0</v>
      </c>
      <c r="Q9280">
        <v>1</v>
      </c>
      <c r="R9280" t="s">
        <v>46577</v>
      </c>
      <c r="S9280" t="s">
        <v>46808</v>
      </c>
      <c r="T9280" t="s">
        <v>48376</v>
      </c>
      <c r="U9280" t="s">
        <v>56313</v>
      </c>
      <c r="W9280" t="s">
        <v>43742</v>
      </c>
      <c r="X9280" t="s">
        <v>46578</v>
      </c>
    </row>
    <row r="9281" spans="1:24">
      <c r="A9281">
        <f>HYPERLINK("https://www.philgeps.gov.ph/GEPSNONPILOT/Tender/SplashBidNoticeAbstractUI.aspx?menuIndex=3&amp;refID=7053220&amp;Result=3","7053220")</f>
        <v>0</v>
      </c>
      <c r="B9281" t="s">
        <v>2146</v>
      </c>
      <c r="C9281" t="s">
        <v>12332</v>
      </c>
      <c r="D9281" t="s">
        <v>18784</v>
      </c>
      <c r="E9281" t="s">
        <v>26955</v>
      </c>
      <c r="F9281" t="s">
        <v>32664</v>
      </c>
      <c r="G9281" t="s">
        <v>32674</v>
      </c>
      <c r="H9281" t="s">
        <v>12635</v>
      </c>
      <c r="I9281" t="s">
        <v>32689</v>
      </c>
      <c r="J9281" t="s">
        <v>33021</v>
      </c>
      <c r="K9281" t="s">
        <v>42330</v>
      </c>
      <c r="L9281" t="s">
        <v>2146</v>
      </c>
      <c r="M9281" t="s">
        <v>44902</v>
      </c>
      <c r="N9281" t="s">
        <v>46569</v>
      </c>
      <c r="O9281" t="s">
        <v>46570</v>
      </c>
      <c r="P9281">
        <v>0</v>
      </c>
      <c r="Q9281">
        <v>13</v>
      </c>
      <c r="R9281" t="s">
        <v>46577</v>
      </c>
      <c r="S9281" t="s">
        <v>46808</v>
      </c>
      <c r="T9281" t="s">
        <v>48502</v>
      </c>
      <c r="U9281" t="s">
        <v>56314</v>
      </c>
      <c r="W9281" t="s">
        <v>44902</v>
      </c>
      <c r="X9281" t="s">
        <v>46578</v>
      </c>
    </row>
    <row r="9282" spans="1:24">
      <c r="A9282">
        <f>HYPERLINK("https://www.philgeps.gov.ph/GEPSNONPILOT/Tender/SplashBidNoticeAbstractUI.aspx?menuIndex=3&amp;refID=7053204&amp;Result=3","7053204")</f>
        <v>0</v>
      </c>
      <c r="B9282" t="s">
        <v>2662</v>
      </c>
      <c r="C9282" t="s">
        <v>12333</v>
      </c>
      <c r="D9282" t="s">
        <v>18852</v>
      </c>
      <c r="E9282" t="s">
        <v>26956</v>
      </c>
      <c r="F9282" t="s">
        <v>32664</v>
      </c>
      <c r="G9282" t="s">
        <v>32672</v>
      </c>
      <c r="H9282" t="s">
        <v>12635</v>
      </c>
      <c r="I9282" t="s">
        <v>4439</v>
      </c>
      <c r="J9282" t="s">
        <v>38438</v>
      </c>
      <c r="K9282" t="s">
        <v>42281</v>
      </c>
      <c r="M9282" t="s">
        <v>45484</v>
      </c>
      <c r="N9282" t="s">
        <v>46569</v>
      </c>
      <c r="O9282" t="s">
        <v>46570</v>
      </c>
      <c r="P9282">
        <v>0</v>
      </c>
      <c r="Q9282">
        <v>1</v>
      </c>
      <c r="R9282" t="s">
        <v>46577</v>
      </c>
      <c r="S9282" t="s">
        <v>46808</v>
      </c>
      <c r="T9282" t="s">
        <v>48246</v>
      </c>
      <c r="U9282" t="s">
        <v>56315</v>
      </c>
      <c r="W9282" t="s">
        <v>45484</v>
      </c>
      <c r="X9282" t="s">
        <v>46578</v>
      </c>
    </row>
    <row r="9283" spans="1:24">
      <c r="A9283">
        <f>HYPERLINK("https://www.philgeps.gov.ph/GEPSNONPILOT/Tender/SplashBidNoticeAbstractUI.aspx?menuIndex=3&amp;refID=7053171&amp;Result=3","7053171")</f>
        <v>0</v>
      </c>
      <c r="B9283" t="s">
        <v>306</v>
      </c>
      <c r="C9283" t="s">
        <v>12334</v>
      </c>
      <c r="D9283" t="s">
        <v>18829</v>
      </c>
      <c r="E9283" t="s">
        <v>26957</v>
      </c>
      <c r="F9283" t="s">
        <v>32664</v>
      </c>
      <c r="G9283" t="s">
        <v>32678</v>
      </c>
      <c r="H9283" t="s">
        <v>12635</v>
      </c>
      <c r="I9283" t="s">
        <v>8797</v>
      </c>
      <c r="J9283" t="s">
        <v>33015</v>
      </c>
      <c r="K9283" t="s">
        <v>42289</v>
      </c>
      <c r="M9283" t="s">
        <v>42873</v>
      </c>
      <c r="N9283" t="s">
        <v>46569</v>
      </c>
      <c r="O9283" t="s">
        <v>46570</v>
      </c>
      <c r="P9283">
        <v>0</v>
      </c>
      <c r="Q9283">
        <v>0</v>
      </c>
      <c r="R9283" t="s">
        <v>46577</v>
      </c>
      <c r="S9283" t="s">
        <v>46808</v>
      </c>
      <c r="T9283" t="s">
        <v>48450</v>
      </c>
      <c r="U9283" t="s">
        <v>56316</v>
      </c>
      <c r="V9283" t="s">
        <v>62582</v>
      </c>
      <c r="W9283" t="s">
        <v>42873</v>
      </c>
      <c r="X9283" t="s">
        <v>46578</v>
      </c>
    </row>
    <row r="9284" spans="1:24">
      <c r="A9284">
        <f>HYPERLINK("https://www.philgeps.gov.ph/GEPSNONPILOT/Tender/SplashBidNoticeAbstractUI.aspx?menuIndex=3&amp;refID=7053154&amp;Result=3","7053154")</f>
        <v>0</v>
      </c>
      <c r="B9284" t="s">
        <v>2663</v>
      </c>
      <c r="C9284" t="s">
        <v>12335</v>
      </c>
      <c r="D9284" t="s">
        <v>18785</v>
      </c>
      <c r="E9284" t="s">
        <v>26958</v>
      </c>
      <c r="F9284" t="s">
        <v>32664</v>
      </c>
      <c r="G9284" t="s">
        <v>32672</v>
      </c>
      <c r="H9284" t="s">
        <v>32683</v>
      </c>
      <c r="I9284" t="s">
        <v>10627</v>
      </c>
      <c r="J9284" t="s">
        <v>38439</v>
      </c>
      <c r="K9284" t="s">
        <v>42290</v>
      </c>
      <c r="M9284" t="s">
        <v>45485</v>
      </c>
      <c r="N9284" t="s">
        <v>46569</v>
      </c>
      <c r="O9284" t="s">
        <v>46570</v>
      </c>
      <c r="Q9284">
        <v>7</v>
      </c>
      <c r="R9284" t="s">
        <v>46577</v>
      </c>
      <c r="S9284" t="s">
        <v>46827</v>
      </c>
      <c r="T9284" t="s">
        <v>48212</v>
      </c>
      <c r="U9284" t="s">
        <v>56317</v>
      </c>
      <c r="W9284" t="s">
        <v>45485</v>
      </c>
      <c r="X9284" t="s">
        <v>46578</v>
      </c>
    </row>
    <row r="9285" spans="1:24">
      <c r="A9285">
        <f>HYPERLINK("https://www.philgeps.gov.ph/GEPSNONPILOT/Tender/SplashBidNoticeAbstractUI.aspx?menuIndex=3&amp;refID=7053282&amp;Result=3","7053282")</f>
        <v>0</v>
      </c>
      <c r="B9285" t="s">
        <v>2664</v>
      </c>
      <c r="C9285" t="s">
        <v>12336</v>
      </c>
      <c r="D9285" t="s">
        <v>18789</v>
      </c>
      <c r="E9285" t="s">
        <v>22186</v>
      </c>
      <c r="F9285" t="s">
        <v>32664</v>
      </c>
      <c r="G9285" t="s">
        <v>32673</v>
      </c>
      <c r="H9285" t="s">
        <v>12635</v>
      </c>
      <c r="I9285" t="s">
        <v>7324</v>
      </c>
      <c r="J9285" t="s">
        <v>32831</v>
      </c>
      <c r="K9285" t="s">
        <v>42289</v>
      </c>
      <c r="M9285" t="s">
        <v>45486</v>
      </c>
      <c r="N9285" t="s">
        <v>46569</v>
      </c>
      <c r="O9285" t="s">
        <v>46570</v>
      </c>
      <c r="P9285">
        <v>0</v>
      </c>
      <c r="Q9285">
        <v>0</v>
      </c>
      <c r="R9285" t="s">
        <v>46577</v>
      </c>
      <c r="S9285" t="s">
        <v>46808</v>
      </c>
      <c r="T9285" t="s">
        <v>48469</v>
      </c>
      <c r="U9285" t="s">
        <v>56318</v>
      </c>
      <c r="W9285" t="s">
        <v>45486</v>
      </c>
      <c r="X9285" t="s">
        <v>46578</v>
      </c>
    </row>
    <row r="9286" spans="1:24">
      <c r="A9286">
        <f>HYPERLINK("https://www.philgeps.gov.ph/GEPSNONPILOT/Tender/SplashBidNoticeAbstractUI.aspx?menuIndex=3&amp;refID=7053273&amp;Result=3","7053273")</f>
        <v>0</v>
      </c>
      <c r="B9286" t="s">
        <v>1838</v>
      </c>
      <c r="C9286" t="s">
        <v>12337</v>
      </c>
      <c r="D9286" t="s">
        <v>18799</v>
      </c>
      <c r="E9286" t="s">
        <v>26959</v>
      </c>
      <c r="F9286" t="s">
        <v>32664</v>
      </c>
      <c r="G9286" t="s">
        <v>32674</v>
      </c>
      <c r="H9286" t="s">
        <v>12635</v>
      </c>
      <c r="I9286" t="s">
        <v>14442</v>
      </c>
      <c r="J9286" t="s">
        <v>37188</v>
      </c>
      <c r="K9286" t="s">
        <v>42281</v>
      </c>
      <c r="M9286" t="s">
        <v>44546</v>
      </c>
      <c r="N9286" t="s">
        <v>46569</v>
      </c>
      <c r="O9286" t="s">
        <v>46570</v>
      </c>
      <c r="Q9286">
        <v>1</v>
      </c>
      <c r="R9286" t="s">
        <v>46577</v>
      </c>
      <c r="S9286" t="s">
        <v>46828</v>
      </c>
      <c r="T9286" t="s">
        <v>48316</v>
      </c>
      <c r="U9286" t="s">
        <v>49565</v>
      </c>
      <c r="W9286" t="s">
        <v>44546</v>
      </c>
      <c r="X9286" t="s">
        <v>46578</v>
      </c>
    </row>
    <row r="9287" spans="1:24">
      <c r="A9287">
        <f>HYPERLINK("https://www.philgeps.gov.ph/GEPSNONPILOT/Tender/SplashBidNoticeAbstractUI.aspx?menuIndex=3&amp;refID=7053266&amp;Result=3","7053266")</f>
        <v>0</v>
      </c>
      <c r="B9287" t="s">
        <v>443</v>
      </c>
      <c r="C9287" t="s">
        <v>12338</v>
      </c>
      <c r="D9287" t="s">
        <v>18856</v>
      </c>
      <c r="E9287" t="s">
        <v>26960</v>
      </c>
      <c r="F9287" t="s">
        <v>32664</v>
      </c>
      <c r="G9287" t="s">
        <v>32671</v>
      </c>
      <c r="H9287" t="s">
        <v>12635</v>
      </c>
      <c r="I9287" t="s">
        <v>11464</v>
      </c>
      <c r="J9287" t="s">
        <v>32917</v>
      </c>
      <c r="K9287" t="s">
        <v>42289</v>
      </c>
      <c r="M9287" t="s">
        <v>43015</v>
      </c>
      <c r="N9287" t="s">
        <v>46569</v>
      </c>
      <c r="O9287" t="s">
        <v>46570</v>
      </c>
      <c r="P9287">
        <v>0</v>
      </c>
      <c r="Q9287">
        <v>0</v>
      </c>
      <c r="R9287" t="s">
        <v>46577</v>
      </c>
      <c r="S9287" t="s">
        <v>46808</v>
      </c>
      <c r="T9287" t="s">
        <v>48473</v>
      </c>
      <c r="U9287" t="s">
        <v>56319</v>
      </c>
      <c r="W9287" t="s">
        <v>43015</v>
      </c>
      <c r="X9287" t="s">
        <v>46578</v>
      </c>
    </row>
    <row r="9288" spans="1:24">
      <c r="A9288">
        <f>HYPERLINK("https://www.philgeps.gov.ph/GEPSNONPILOT/Tender/SplashBidNoticeAbstractUI.aspx?menuIndex=3&amp;refID=7053272&amp;Result=3","7053272")</f>
        <v>0</v>
      </c>
      <c r="B9288" t="s">
        <v>2446</v>
      </c>
      <c r="C9288" t="s">
        <v>12339</v>
      </c>
      <c r="D9288" t="s">
        <v>18838</v>
      </c>
      <c r="E9288" t="s">
        <v>26961</v>
      </c>
      <c r="F9288" t="s">
        <v>32664</v>
      </c>
      <c r="G9288" t="s">
        <v>32672</v>
      </c>
      <c r="H9288" t="s">
        <v>12635</v>
      </c>
      <c r="I9288" t="s">
        <v>32712</v>
      </c>
      <c r="J9288" t="s">
        <v>38440</v>
      </c>
      <c r="K9288" t="s">
        <v>42283</v>
      </c>
      <c r="M9288" t="s">
        <v>45239</v>
      </c>
      <c r="N9288" t="s">
        <v>46569</v>
      </c>
      <c r="O9288" t="s">
        <v>46570</v>
      </c>
      <c r="Q9288">
        <v>13</v>
      </c>
      <c r="R9288" t="s">
        <v>46577</v>
      </c>
      <c r="S9288" t="s">
        <v>46829</v>
      </c>
      <c r="T9288" t="s">
        <v>48560</v>
      </c>
      <c r="U9288" t="s">
        <v>56320</v>
      </c>
      <c r="V9288" t="s">
        <v>62427</v>
      </c>
      <c r="W9288" t="s">
        <v>45239</v>
      </c>
      <c r="X9288" t="s">
        <v>46578</v>
      </c>
    </row>
    <row r="9289" spans="1:24">
      <c r="A9289">
        <f>HYPERLINK("https://www.philgeps.gov.ph/GEPSNONPILOT/Tender/SplashBidNoticeAbstractUI.aspx?menuIndex=3&amp;refID=7053264&amp;Result=3","7053264")</f>
        <v>0</v>
      </c>
      <c r="B9289" t="s">
        <v>586</v>
      </c>
      <c r="C9289" t="s">
        <v>12340</v>
      </c>
      <c r="D9289" t="s">
        <v>18794</v>
      </c>
      <c r="E9289" t="s">
        <v>26962</v>
      </c>
      <c r="F9289" t="s">
        <v>32664</v>
      </c>
      <c r="G9289" t="s">
        <v>32672</v>
      </c>
      <c r="H9289" t="s">
        <v>12635</v>
      </c>
      <c r="I9289" t="s">
        <v>10361</v>
      </c>
      <c r="J9289" t="s">
        <v>38441</v>
      </c>
      <c r="K9289" t="s">
        <v>42306</v>
      </c>
      <c r="M9289" t="s">
        <v>43166</v>
      </c>
      <c r="N9289" t="s">
        <v>46569</v>
      </c>
      <c r="O9289" t="s">
        <v>46570</v>
      </c>
      <c r="P9289">
        <v>0</v>
      </c>
      <c r="Q9289">
        <v>1</v>
      </c>
      <c r="R9289" t="s">
        <v>46577</v>
      </c>
      <c r="S9289" t="s">
        <v>46808</v>
      </c>
      <c r="T9289" t="s">
        <v>48356</v>
      </c>
      <c r="U9289" t="s">
        <v>56321</v>
      </c>
      <c r="W9289" t="s">
        <v>43166</v>
      </c>
      <c r="X9289" t="s">
        <v>46578</v>
      </c>
    </row>
    <row r="9290" spans="1:24">
      <c r="A9290">
        <f>HYPERLINK("https://www.philgeps.gov.ph/GEPSNONPILOT/Tender/SplashBidNoticeAbstractUI.aspx?menuIndex=3&amp;refID=7053261&amp;Result=3","7053261")</f>
        <v>0</v>
      </c>
      <c r="B9290" t="s">
        <v>2658</v>
      </c>
      <c r="C9290" t="s">
        <v>12341</v>
      </c>
      <c r="D9290" t="s">
        <v>18796</v>
      </c>
      <c r="E9290" t="s">
        <v>24789</v>
      </c>
      <c r="F9290" t="s">
        <v>32664</v>
      </c>
      <c r="G9290" t="s">
        <v>32672</v>
      </c>
      <c r="H9290" t="s">
        <v>32683</v>
      </c>
      <c r="I9290" t="s">
        <v>10627</v>
      </c>
      <c r="J9290" t="s">
        <v>38442</v>
      </c>
      <c r="K9290" t="s">
        <v>42308</v>
      </c>
      <c r="M9290" t="s">
        <v>45479</v>
      </c>
      <c r="N9290" t="s">
        <v>46569</v>
      </c>
      <c r="O9290" t="s">
        <v>46570</v>
      </c>
      <c r="P9290">
        <v>0</v>
      </c>
      <c r="Q9290">
        <v>2</v>
      </c>
      <c r="R9290" t="s">
        <v>46577</v>
      </c>
      <c r="S9290" t="s">
        <v>46808</v>
      </c>
      <c r="T9290" t="s">
        <v>48483</v>
      </c>
      <c r="U9290" t="s">
        <v>56322</v>
      </c>
      <c r="V9290" t="s">
        <v>62579</v>
      </c>
      <c r="W9290" t="s">
        <v>45479</v>
      </c>
      <c r="X9290" t="s">
        <v>46578</v>
      </c>
    </row>
    <row r="9291" spans="1:24">
      <c r="A9291">
        <f>HYPERLINK("https://www.philgeps.gov.ph/GEPSNONPILOT/Tender/SplashBidNoticeAbstractUI.aspx?menuIndex=3&amp;refID=7053254&amp;Result=3","7053254")</f>
        <v>0</v>
      </c>
      <c r="B9291" t="s">
        <v>2665</v>
      </c>
      <c r="C9291" t="s">
        <v>12342</v>
      </c>
      <c r="D9291" t="s">
        <v>18832</v>
      </c>
      <c r="E9291" t="s">
        <v>26963</v>
      </c>
      <c r="F9291" t="s">
        <v>32664</v>
      </c>
      <c r="G9291" t="s">
        <v>32672</v>
      </c>
      <c r="H9291" t="s">
        <v>12635</v>
      </c>
      <c r="I9291" t="s">
        <v>32699</v>
      </c>
      <c r="J9291" t="s">
        <v>38443</v>
      </c>
      <c r="K9291" t="s">
        <v>42281</v>
      </c>
      <c r="M9291" t="s">
        <v>45487</v>
      </c>
      <c r="N9291" t="s">
        <v>46569</v>
      </c>
      <c r="O9291" t="s">
        <v>46570</v>
      </c>
      <c r="P9291">
        <v>0</v>
      </c>
      <c r="Q9291">
        <v>1</v>
      </c>
      <c r="R9291" t="s">
        <v>46577</v>
      </c>
      <c r="S9291" t="s">
        <v>46808</v>
      </c>
      <c r="T9291" t="s">
        <v>48316</v>
      </c>
      <c r="U9291" t="s">
        <v>56323</v>
      </c>
      <c r="W9291" t="s">
        <v>45487</v>
      </c>
      <c r="X9291" t="s">
        <v>46578</v>
      </c>
    </row>
    <row r="9292" spans="1:24">
      <c r="A9292">
        <f>HYPERLINK("https://www.philgeps.gov.ph/GEPSNONPILOT/Tender/SplashBidNoticeAbstractUI.aspx?menuIndex=3&amp;refID=7053250&amp;Result=3","7053250")</f>
        <v>0</v>
      </c>
      <c r="B9292" t="s">
        <v>2499</v>
      </c>
      <c r="C9292" t="s">
        <v>12343</v>
      </c>
      <c r="D9292" t="s">
        <v>18809</v>
      </c>
      <c r="E9292" t="s">
        <v>26964</v>
      </c>
      <c r="F9292" t="s">
        <v>32664</v>
      </c>
      <c r="G9292" t="s">
        <v>32672</v>
      </c>
      <c r="H9292" t="s">
        <v>12635</v>
      </c>
      <c r="I9292" t="s">
        <v>32694</v>
      </c>
      <c r="J9292" t="s">
        <v>32865</v>
      </c>
      <c r="K9292" t="s">
        <v>42281</v>
      </c>
      <c r="M9292" t="s">
        <v>45302</v>
      </c>
      <c r="N9292" t="s">
        <v>46569</v>
      </c>
      <c r="O9292" t="s">
        <v>46570</v>
      </c>
      <c r="P9292">
        <v>0</v>
      </c>
      <c r="Q9292">
        <v>0</v>
      </c>
      <c r="R9292" t="s">
        <v>46577</v>
      </c>
      <c r="S9292" t="s">
        <v>46808</v>
      </c>
      <c r="T9292" t="s">
        <v>48244</v>
      </c>
      <c r="U9292" t="s">
        <v>56324</v>
      </c>
      <c r="W9292" t="s">
        <v>45302</v>
      </c>
      <c r="X9292" t="s">
        <v>46578</v>
      </c>
    </row>
    <row r="9293" spans="1:24">
      <c r="A9293">
        <f>HYPERLINK("https://www.philgeps.gov.ph/GEPSNONPILOT/Tender/SplashBidNoticeAbstractUI.aspx?menuIndex=3&amp;refID=7053248&amp;Result=3","7053248")</f>
        <v>0</v>
      </c>
      <c r="B9293" t="s">
        <v>1838</v>
      </c>
      <c r="C9293" t="s">
        <v>12344</v>
      </c>
      <c r="D9293" t="s">
        <v>18799</v>
      </c>
      <c r="E9293" t="s">
        <v>26965</v>
      </c>
      <c r="F9293" t="s">
        <v>32664</v>
      </c>
      <c r="G9293" t="s">
        <v>32674</v>
      </c>
      <c r="H9293" t="s">
        <v>12635</v>
      </c>
      <c r="I9293" t="s">
        <v>5589</v>
      </c>
      <c r="J9293" t="s">
        <v>32898</v>
      </c>
      <c r="K9293" t="s">
        <v>42283</v>
      </c>
      <c r="M9293" t="s">
        <v>44546</v>
      </c>
      <c r="N9293" t="s">
        <v>46569</v>
      </c>
      <c r="O9293" t="s">
        <v>46570</v>
      </c>
      <c r="Q9293">
        <v>3</v>
      </c>
      <c r="R9293" t="s">
        <v>46577</v>
      </c>
      <c r="S9293" t="s">
        <v>46830</v>
      </c>
      <c r="T9293" t="s">
        <v>48316</v>
      </c>
      <c r="U9293" t="s">
        <v>49565</v>
      </c>
      <c r="W9293" t="s">
        <v>44546</v>
      </c>
      <c r="X9293" t="s">
        <v>46578</v>
      </c>
    </row>
    <row r="9294" spans="1:24">
      <c r="A9294">
        <f>HYPERLINK("https://www.philgeps.gov.ph/GEPSNONPILOT/Tender/SplashBidNoticeAbstractUI.aspx?menuIndex=3&amp;refID=7053082&amp;Result=3","7053082")</f>
        <v>0</v>
      </c>
      <c r="B9294" t="s">
        <v>909</v>
      </c>
      <c r="C9294" t="s">
        <v>12345</v>
      </c>
      <c r="D9294" t="s">
        <v>18838</v>
      </c>
      <c r="E9294" t="s">
        <v>26966</v>
      </c>
      <c r="F9294" t="s">
        <v>32664</v>
      </c>
      <c r="G9294" t="s">
        <v>32672</v>
      </c>
      <c r="H9294" t="s">
        <v>32683</v>
      </c>
      <c r="I9294" t="s">
        <v>10627</v>
      </c>
      <c r="J9294" t="s">
        <v>38444</v>
      </c>
      <c r="K9294" t="s">
        <v>42305</v>
      </c>
      <c r="M9294" t="s">
        <v>43515</v>
      </c>
      <c r="N9294" t="s">
        <v>46569</v>
      </c>
      <c r="O9294" t="s">
        <v>46570</v>
      </c>
      <c r="P9294">
        <v>0</v>
      </c>
      <c r="Q9294">
        <v>10</v>
      </c>
      <c r="R9294" t="s">
        <v>46577</v>
      </c>
      <c r="S9294" t="s">
        <v>46808</v>
      </c>
      <c r="T9294" t="s">
        <v>48313</v>
      </c>
      <c r="U9294" t="s">
        <v>56325</v>
      </c>
      <c r="V9294" t="s">
        <v>62415</v>
      </c>
      <c r="W9294" t="s">
        <v>43515</v>
      </c>
      <c r="X9294" t="s">
        <v>46578</v>
      </c>
    </row>
    <row r="9295" spans="1:24">
      <c r="A9295">
        <f>HYPERLINK("https://www.philgeps.gov.ph/GEPSNONPILOT/Tender/SplashBidNoticeAbstractUI.aspx?menuIndex=3&amp;refID=7053244&amp;Result=3","7053244")</f>
        <v>0</v>
      </c>
      <c r="B9295" t="s">
        <v>160</v>
      </c>
      <c r="C9295" t="s">
        <v>12346</v>
      </c>
      <c r="D9295" t="s">
        <v>18806</v>
      </c>
      <c r="E9295" t="s">
        <v>26967</v>
      </c>
      <c r="F9295" t="s">
        <v>32664</v>
      </c>
      <c r="G9295" t="s">
        <v>32672</v>
      </c>
      <c r="H9295" t="s">
        <v>12635</v>
      </c>
      <c r="I9295" t="s">
        <v>4439</v>
      </c>
      <c r="J9295" t="s">
        <v>38445</v>
      </c>
      <c r="K9295" t="s">
        <v>42298</v>
      </c>
      <c r="M9295" t="s">
        <v>42724</v>
      </c>
      <c r="N9295" t="s">
        <v>46569</v>
      </c>
      <c r="O9295" t="s">
        <v>46570</v>
      </c>
      <c r="P9295">
        <v>0</v>
      </c>
      <c r="Q9295">
        <v>0</v>
      </c>
      <c r="R9295" t="s">
        <v>46577</v>
      </c>
      <c r="S9295" t="s">
        <v>46808</v>
      </c>
      <c r="T9295" t="s">
        <v>48293</v>
      </c>
      <c r="U9295" t="s">
        <v>56326</v>
      </c>
      <c r="W9295" t="s">
        <v>42724</v>
      </c>
      <c r="X9295" t="s">
        <v>46578</v>
      </c>
    </row>
    <row r="9296" spans="1:24">
      <c r="A9296">
        <f>HYPERLINK("https://www.philgeps.gov.ph/GEPSNONPILOT/Tender/SplashBidNoticeAbstractUI.aspx?menuIndex=3&amp;refID=7053348&amp;Result=3","7053348")</f>
        <v>0</v>
      </c>
      <c r="B9296" t="s">
        <v>1244</v>
      </c>
      <c r="C9296" t="s">
        <v>12347</v>
      </c>
      <c r="D9296" t="s">
        <v>18807</v>
      </c>
      <c r="E9296" t="s">
        <v>26968</v>
      </c>
      <c r="F9296" t="s">
        <v>32664</v>
      </c>
      <c r="G9296" t="s">
        <v>32672</v>
      </c>
      <c r="H9296" t="s">
        <v>12635</v>
      </c>
      <c r="I9296" t="s">
        <v>32727</v>
      </c>
      <c r="J9296" t="s">
        <v>33793</v>
      </c>
      <c r="K9296" t="s">
        <v>42284</v>
      </c>
      <c r="M9296" t="s">
        <v>43886</v>
      </c>
      <c r="N9296" t="s">
        <v>46569</v>
      </c>
      <c r="O9296" t="s">
        <v>46570</v>
      </c>
      <c r="P9296">
        <v>0</v>
      </c>
      <c r="Q9296">
        <v>0</v>
      </c>
      <c r="R9296" t="s">
        <v>46577</v>
      </c>
      <c r="S9296" t="s">
        <v>46808</v>
      </c>
      <c r="T9296" t="s">
        <v>48290</v>
      </c>
      <c r="U9296" t="s">
        <v>56327</v>
      </c>
      <c r="W9296" t="s">
        <v>43886</v>
      </c>
      <c r="X9296" t="s">
        <v>46578</v>
      </c>
    </row>
    <row r="9297" spans="1:24">
      <c r="A9297">
        <f>HYPERLINK("https://www.philgeps.gov.ph/GEPSNONPILOT/Tender/SplashBidNoticeAbstractUI.aspx?menuIndex=3&amp;refID=7053013&amp;Result=3","7053013")</f>
        <v>0</v>
      </c>
      <c r="B9297" t="s">
        <v>194</v>
      </c>
      <c r="C9297" t="s">
        <v>12348</v>
      </c>
      <c r="D9297" t="s">
        <v>18791</v>
      </c>
      <c r="E9297" t="s">
        <v>26969</v>
      </c>
      <c r="F9297" t="s">
        <v>32664</v>
      </c>
      <c r="G9297" t="s">
        <v>32671</v>
      </c>
      <c r="H9297" t="s">
        <v>12635</v>
      </c>
      <c r="I9297" t="s">
        <v>10361</v>
      </c>
      <c r="J9297" t="s">
        <v>33391</v>
      </c>
      <c r="K9297" t="s">
        <v>42284</v>
      </c>
      <c r="M9297" t="s">
        <v>42758</v>
      </c>
      <c r="N9297" t="s">
        <v>46569</v>
      </c>
      <c r="O9297" t="s">
        <v>46570</v>
      </c>
      <c r="P9297">
        <v>0</v>
      </c>
      <c r="Q9297">
        <v>2</v>
      </c>
      <c r="R9297" t="s">
        <v>46577</v>
      </c>
      <c r="S9297" t="s">
        <v>46808</v>
      </c>
      <c r="T9297" t="s">
        <v>48449</v>
      </c>
      <c r="U9297" t="s">
        <v>56328</v>
      </c>
      <c r="W9297" t="s">
        <v>42758</v>
      </c>
      <c r="X9297" t="s">
        <v>46578</v>
      </c>
    </row>
    <row r="9298" spans="1:24">
      <c r="A9298">
        <f>HYPERLINK("https://www.philgeps.gov.ph/GEPSNONPILOT/Tender/SplashBidNoticeAbstractUI.aspx?menuIndex=3&amp;refID=7053260&amp;Result=3","7053260")</f>
        <v>0</v>
      </c>
      <c r="B9298" t="s">
        <v>2666</v>
      </c>
      <c r="C9298" t="s">
        <v>12349</v>
      </c>
      <c r="D9298" t="s">
        <v>18806</v>
      </c>
      <c r="E9298" t="s">
        <v>26970</v>
      </c>
      <c r="F9298" t="s">
        <v>32664</v>
      </c>
      <c r="G9298" t="s">
        <v>32674</v>
      </c>
      <c r="H9298" t="s">
        <v>12635</v>
      </c>
      <c r="I9298" t="s">
        <v>4439</v>
      </c>
      <c r="J9298" t="s">
        <v>38446</v>
      </c>
      <c r="K9298" t="s">
        <v>42309</v>
      </c>
      <c r="M9298" t="s">
        <v>45488</v>
      </c>
      <c r="N9298" t="s">
        <v>46569</v>
      </c>
      <c r="O9298" t="s">
        <v>46570</v>
      </c>
      <c r="P9298">
        <v>0</v>
      </c>
      <c r="Q9298">
        <v>0</v>
      </c>
      <c r="R9298" t="s">
        <v>46577</v>
      </c>
      <c r="S9298" t="s">
        <v>46808</v>
      </c>
      <c r="T9298" t="s">
        <v>48473</v>
      </c>
      <c r="U9298" t="s">
        <v>56329</v>
      </c>
      <c r="W9298" t="s">
        <v>45488</v>
      </c>
      <c r="X9298" t="s">
        <v>46578</v>
      </c>
    </row>
    <row r="9299" spans="1:24">
      <c r="A9299">
        <f>HYPERLINK("https://www.philgeps.gov.ph/GEPSNONPILOT/Tender/SplashBidNoticeAbstractUI.aspx?menuIndex=3&amp;refID=7053336&amp;Result=3","7053336")</f>
        <v>0</v>
      </c>
      <c r="B9299" t="s">
        <v>1478</v>
      </c>
      <c r="C9299" t="s">
        <v>12350</v>
      </c>
      <c r="D9299" t="s">
        <v>18853</v>
      </c>
      <c r="E9299" t="s">
        <v>26971</v>
      </c>
      <c r="F9299" t="s">
        <v>32664</v>
      </c>
      <c r="G9299" t="s">
        <v>32672</v>
      </c>
      <c r="H9299" t="s">
        <v>32683</v>
      </c>
      <c r="I9299" t="s">
        <v>10627</v>
      </c>
      <c r="J9299" t="s">
        <v>38447</v>
      </c>
      <c r="K9299" t="s">
        <v>42419</v>
      </c>
      <c r="M9299" t="s">
        <v>44141</v>
      </c>
      <c r="N9299" t="s">
        <v>46569</v>
      </c>
      <c r="O9299" t="s">
        <v>46570</v>
      </c>
      <c r="P9299">
        <v>0</v>
      </c>
      <c r="Q9299">
        <v>0</v>
      </c>
      <c r="R9299" t="s">
        <v>46577</v>
      </c>
      <c r="S9299" t="s">
        <v>46808</v>
      </c>
      <c r="T9299" t="s">
        <v>48285</v>
      </c>
      <c r="U9299" t="s">
        <v>52065</v>
      </c>
      <c r="W9299" t="s">
        <v>44141</v>
      </c>
      <c r="X9299" t="s">
        <v>46578</v>
      </c>
    </row>
    <row r="9300" spans="1:24">
      <c r="A9300">
        <f>HYPERLINK("https://www.philgeps.gov.ph/GEPSNONPILOT/Tender/SplashBidNoticeAbstractUI.aspx?menuIndex=3&amp;refID=7053355&amp;Result=3","7053355")</f>
        <v>0</v>
      </c>
      <c r="B9300" t="s">
        <v>1838</v>
      </c>
      <c r="C9300" t="s">
        <v>12351</v>
      </c>
      <c r="D9300" t="s">
        <v>18799</v>
      </c>
      <c r="E9300" t="s">
        <v>26972</v>
      </c>
      <c r="F9300" t="s">
        <v>32664</v>
      </c>
      <c r="G9300" t="s">
        <v>32674</v>
      </c>
      <c r="H9300" t="s">
        <v>12635</v>
      </c>
      <c r="I9300" t="s">
        <v>8797</v>
      </c>
      <c r="J9300" t="s">
        <v>32898</v>
      </c>
      <c r="K9300" t="s">
        <v>42283</v>
      </c>
      <c r="M9300" t="s">
        <v>44546</v>
      </c>
      <c r="N9300" t="s">
        <v>46569</v>
      </c>
      <c r="O9300" t="s">
        <v>46570</v>
      </c>
      <c r="Q9300">
        <v>4</v>
      </c>
      <c r="R9300" t="s">
        <v>46577</v>
      </c>
      <c r="S9300" t="s">
        <v>46831</v>
      </c>
      <c r="T9300" t="s">
        <v>48316</v>
      </c>
      <c r="U9300" t="s">
        <v>49565</v>
      </c>
      <c r="W9300" t="s">
        <v>44546</v>
      </c>
      <c r="X9300" t="s">
        <v>46578</v>
      </c>
    </row>
    <row r="9301" spans="1:24">
      <c r="A9301">
        <f>HYPERLINK("https://www.philgeps.gov.ph/GEPSNONPILOT/Tender/SplashBidNoticeAbstractUI.aspx?menuIndex=3&amp;refID=7053271&amp;Result=3","7053271")</f>
        <v>0</v>
      </c>
      <c r="B9301" t="s">
        <v>2667</v>
      </c>
      <c r="C9301" t="s">
        <v>12352</v>
      </c>
      <c r="D9301" t="s">
        <v>18800</v>
      </c>
      <c r="E9301" t="s">
        <v>25367</v>
      </c>
      <c r="F9301" t="s">
        <v>32664</v>
      </c>
      <c r="G9301" t="s">
        <v>32672</v>
      </c>
      <c r="H9301" t="s">
        <v>12635</v>
      </c>
      <c r="I9301" t="s">
        <v>14442</v>
      </c>
      <c r="J9301" t="s">
        <v>38448</v>
      </c>
      <c r="K9301" t="s">
        <v>42281</v>
      </c>
      <c r="M9301" t="s">
        <v>45489</v>
      </c>
      <c r="N9301" t="s">
        <v>46569</v>
      </c>
      <c r="O9301" t="s">
        <v>46570</v>
      </c>
      <c r="Q9301">
        <v>4</v>
      </c>
      <c r="R9301" t="s">
        <v>46577</v>
      </c>
      <c r="S9301" t="s">
        <v>46832</v>
      </c>
      <c r="T9301" t="s">
        <v>48254</v>
      </c>
      <c r="U9301" t="s">
        <v>56330</v>
      </c>
      <c r="W9301" t="s">
        <v>45489</v>
      </c>
      <c r="X9301" t="s">
        <v>46578</v>
      </c>
    </row>
    <row r="9302" spans="1:24">
      <c r="A9302">
        <f>HYPERLINK("https://www.philgeps.gov.ph/GEPSNONPILOT/Tender/SplashBidNoticeAbstractUI.aspx?menuIndex=3&amp;refID=7053325&amp;Result=3","7053325")</f>
        <v>0</v>
      </c>
      <c r="B9302" t="s">
        <v>2668</v>
      </c>
      <c r="C9302" t="s">
        <v>12353</v>
      </c>
      <c r="D9302" t="s">
        <v>18821</v>
      </c>
      <c r="E9302" t="s">
        <v>26655</v>
      </c>
      <c r="F9302" t="s">
        <v>32664</v>
      </c>
      <c r="G9302" t="s">
        <v>32672</v>
      </c>
      <c r="H9302" t="s">
        <v>12635</v>
      </c>
      <c r="I9302" t="s">
        <v>4439</v>
      </c>
      <c r="J9302" t="s">
        <v>38449</v>
      </c>
      <c r="K9302" t="s">
        <v>42297</v>
      </c>
      <c r="M9302" t="s">
        <v>45490</v>
      </c>
      <c r="N9302" t="s">
        <v>46569</v>
      </c>
      <c r="O9302" t="s">
        <v>46570</v>
      </c>
      <c r="P9302">
        <v>0</v>
      </c>
      <c r="Q9302">
        <v>0</v>
      </c>
      <c r="R9302" t="s">
        <v>46577</v>
      </c>
      <c r="S9302" t="s">
        <v>46808</v>
      </c>
      <c r="T9302" t="s">
        <v>48254</v>
      </c>
      <c r="U9302" t="s">
        <v>56331</v>
      </c>
      <c r="W9302" t="s">
        <v>45490</v>
      </c>
      <c r="X9302" t="s">
        <v>46578</v>
      </c>
    </row>
    <row r="9303" spans="1:24">
      <c r="A9303">
        <f>HYPERLINK("https://www.philgeps.gov.ph/GEPSNONPILOT/Tender/SplashBidNoticeAbstractUI.aspx?menuIndex=3&amp;refID=7053322&amp;Result=3","7053322")</f>
        <v>0</v>
      </c>
      <c r="B9303" t="s">
        <v>625</v>
      </c>
      <c r="C9303" t="s">
        <v>12354</v>
      </c>
      <c r="D9303" t="s">
        <v>18826</v>
      </c>
      <c r="E9303" t="s">
        <v>26973</v>
      </c>
      <c r="F9303" t="s">
        <v>32664</v>
      </c>
      <c r="G9303" t="s">
        <v>32671</v>
      </c>
      <c r="H9303" t="s">
        <v>12635</v>
      </c>
      <c r="I9303" t="s">
        <v>8797</v>
      </c>
      <c r="J9303" t="s">
        <v>33304</v>
      </c>
      <c r="K9303" t="s">
        <v>42309</v>
      </c>
      <c r="M9303" t="s">
        <v>43205</v>
      </c>
      <c r="N9303" t="s">
        <v>46569</v>
      </c>
      <c r="O9303" t="s">
        <v>46570</v>
      </c>
      <c r="P9303">
        <v>0</v>
      </c>
      <c r="Q9303">
        <v>8</v>
      </c>
      <c r="R9303" t="s">
        <v>46577</v>
      </c>
      <c r="S9303" t="s">
        <v>46808</v>
      </c>
      <c r="T9303" t="s">
        <v>48473</v>
      </c>
      <c r="U9303" t="s">
        <v>56332</v>
      </c>
      <c r="W9303" t="s">
        <v>43205</v>
      </c>
      <c r="X9303" t="s">
        <v>46578</v>
      </c>
    </row>
    <row r="9304" spans="1:24">
      <c r="A9304">
        <f>HYPERLINK("https://www.philgeps.gov.ph/GEPSNONPILOT/Tender/SplashBidNoticeAbstractUI.aspx?menuIndex=3&amp;refID=7053316&amp;Result=3","7053316")</f>
        <v>0</v>
      </c>
      <c r="B9304" t="s">
        <v>1838</v>
      </c>
      <c r="C9304" t="s">
        <v>12355</v>
      </c>
      <c r="D9304" t="s">
        <v>18799</v>
      </c>
      <c r="E9304" t="s">
        <v>26974</v>
      </c>
      <c r="F9304" t="s">
        <v>32664</v>
      </c>
      <c r="G9304" t="s">
        <v>32674</v>
      </c>
      <c r="H9304" t="s">
        <v>12635</v>
      </c>
      <c r="I9304" t="s">
        <v>8797</v>
      </c>
      <c r="J9304" t="s">
        <v>34694</v>
      </c>
      <c r="K9304" t="s">
        <v>42283</v>
      </c>
      <c r="M9304" t="s">
        <v>44546</v>
      </c>
      <c r="N9304" t="s">
        <v>46569</v>
      </c>
      <c r="O9304" t="s">
        <v>46570</v>
      </c>
      <c r="Q9304">
        <v>24</v>
      </c>
      <c r="R9304" t="s">
        <v>46577</v>
      </c>
      <c r="S9304" t="s">
        <v>46831</v>
      </c>
      <c r="T9304" t="s">
        <v>48316</v>
      </c>
      <c r="U9304" t="s">
        <v>49565</v>
      </c>
      <c r="W9304" t="s">
        <v>44546</v>
      </c>
      <c r="X9304" t="s">
        <v>46578</v>
      </c>
    </row>
    <row r="9305" spans="1:24">
      <c r="A9305">
        <f>HYPERLINK("https://www.philgeps.gov.ph/GEPSNONPILOT/Tender/SplashBidNoticeAbstractUI.aspx?menuIndex=3&amp;refID=7053313&amp;Result=3","7053313")</f>
        <v>0</v>
      </c>
      <c r="B9305" t="s">
        <v>2669</v>
      </c>
      <c r="C9305" t="s">
        <v>12356</v>
      </c>
      <c r="D9305" t="s">
        <v>18812</v>
      </c>
      <c r="E9305" t="s">
        <v>18926</v>
      </c>
      <c r="F9305" t="s">
        <v>32664</v>
      </c>
      <c r="G9305" t="s">
        <v>32672</v>
      </c>
      <c r="H9305" t="s">
        <v>12635</v>
      </c>
      <c r="I9305" t="s">
        <v>4439</v>
      </c>
      <c r="J9305" t="s">
        <v>38450</v>
      </c>
      <c r="K9305" t="s">
        <v>42297</v>
      </c>
      <c r="L9305" t="s">
        <v>2669</v>
      </c>
      <c r="M9305" t="s">
        <v>45491</v>
      </c>
      <c r="N9305" t="s">
        <v>46569</v>
      </c>
      <c r="O9305" t="s">
        <v>46570</v>
      </c>
      <c r="P9305">
        <v>0</v>
      </c>
      <c r="Q9305">
        <v>2</v>
      </c>
      <c r="R9305" t="s">
        <v>46577</v>
      </c>
      <c r="S9305" t="s">
        <v>46808</v>
      </c>
      <c r="T9305" t="s">
        <v>48346</v>
      </c>
      <c r="U9305" t="s">
        <v>56333</v>
      </c>
      <c r="V9305" t="s">
        <v>62583</v>
      </c>
      <c r="W9305" t="s">
        <v>45491</v>
      </c>
      <c r="X9305" t="s">
        <v>46578</v>
      </c>
    </row>
    <row r="9306" spans="1:24">
      <c r="A9306">
        <f>HYPERLINK("https://www.philgeps.gov.ph/GEPSNONPILOT/Tender/SplashBidNoticeAbstractUI.aspx?menuIndex=3&amp;refID=7053304&amp;Result=3","7053304")</f>
        <v>0</v>
      </c>
      <c r="B9306" t="s">
        <v>2499</v>
      </c>
      <c r="C9306" t="s">
        <v>12357</v>
      </c>
      <c r="D9306" t="s">
        <v>18809</v>
      </c>
      <c r="E9306" t="s">
        <v>26975</v>
      </c>
      <c r="F9306" t="s">
        <v>32664</v>
      </c>
      <c r="G9306" t="s">
        <v>32672</v>
      </c>
      <c r="H9306" t="s">
        <v>12635</v>
      </c>
      <c r="I9306" t="s">
        <v>32694</v>
      </c>
      <c r="J9306" t="s">
        <v>38451</v>
      </c>
      <c r="K9306" t="s">
        <v>42281</v>
      </c>
      <c r="M9306" t="s">
        <v>45302</v>
      </c>
      <c r="N9306" t="s">
        <v>46569</v>
      </c>
      <c r="O9306" t="s">
        <v>46570</v>
      </c>
      <c r="P9306">
        <v>0</v>
      </c>
      <c r="Q9306">
        <v>0</v>
      </c>
      <c r="R9306" t="s">
        <v>46577</v>
      </c>
      <c r="S9306" t="s">
        <v>46808</v>
      </c>
      <c r="T9306" t="s">
        <v>48244</v>
      </c>
      <c r="U9306" t="s">
        <v>56324</v>
      </c>
      <c r="W9306" t="s">
        <v>45302</v>
      </c>
      <c r="X9306" t="s">
        <v>46578</v>
      </c>
    </row>
    <row r="9307" spans="1:24">
      <c r="A9307">
        <f>HYPERLINK("https://www.philgeps.gov.ph/GEPSNONPILOT/Tender/SplashBidNoticeAbstractUI.aspx?menuIndex=3&amp;refID=7053412&amp;Result=3","7053412")</f>
        <v>0</v>
      </c>
      <c r="B9307" t="s">
        <v>1854</v>
      </c>
      <c r="C9307" t="s">
        <v>12358</v>
      </c>
      <c r="D9307" t="s">
        <v>18816</v>
      </c>
      <c r="E9307" t="s">
        <v>26976</v>
      </c>
      <c r="F9307" t="s">
        <v>32664</v>
      </c>
      <c r="G9307" t="s">
        <v>32672</v>
      </c>
      <c r="H9307" t="s">
        <v>12635</v>
      </c>
      <c r="I9307" t="s">
        <v>8797</v>
      </c>
      <c r="J9307" t="s">
        <v>32859</v>
      </c>
      <c r="K9307" t="s">
        <v>42281</v>
      </c>
      <c r="M9307" t="s">
        <v>44565</v>
      </c>
      <c r="N9307" t="s">
        <v>46569</v>
      </c>
      <c r="O9307" t="s">
        <v>46570</v>
      </c>
      <c r="P9307">
        <v>0</v>
      </c>
      <c r="Q9307">
        <v>1</v>
      </c>
      <c r="R9307" t="s">
        <v>46577</v>
      </c>
      <c r="S9307" t="s">
        <v>46808</v>
      </c>
      <c r="T9307" t="s">
        <v>48380</v>
      </c>
      <c r="U9307" t="s">
        <v>56334</v>
      </c>
      <c r="W9307" t="s">
        <v>44565</v>
      </c>
      <c r="X9307" t="s">
        <v>46578</v>
      </c>
    </row>
    <row r="9308" spans="1:24">
      <c r="A9308">
        <f>HYPERLINK("https://www.philgeps.gov.ph/GEPSNONPILOT/Tender/SplashBidNoticeAbstractUI.aspx?menuIndex=3&amp;refID=7053410&amp;Result=3","7053410")</f>
        <v>0</v>
      </c>
      <c r="B9308" t="s">
        <v>1838</v>
      </c>
      <c r="C9308" t="s">
        <v>12359</v>
      </c>
      <c r="D9308" t="s">
        <v>18799</v>
      </c>
      <c r="E9308" t="s">
        <v>26977</v>
      </c>
      <c r="F9308" t="s">
        <v>32664</v>
      </c>
      <c r="G9308" t="s">
        <v>32674</v>
      </c>
      <c r="H9308" t="s">
        <v>12635</v>
      </c>
      <c r="I9308" t="s">
        <v>32746</v>
      </c>
      <c r="J9308" t="s">
        <v>33644</v>
      </c>
      <c r="K9308" t="s">
        <v>42283</v>
      </c>
      <c r="M9308" t="s">
        <v>44546</v>
      </c>
      <c r="N9308" t="s">
        <v>46569</v>
      </c>
      <c r="O9308" t="s">
        <v>46570</v>
      </c>
      <c r="Q9308">
        <v>4</v>
      </c>
      <c r="R9308" t="s">
        <v>46577</v>
      </c>
      <c r="S9308" t="s">
        <v>46833</v>
      </c>
      <c r="T9308" t="s">
        <v>48316</v>
      </c>
      <c r="U9308" t="s">
        <v>49565</v>
      </c>
      <c r="W9308" t="s">
        <v>44546</v>
      </c>
      <c r="X9308" t="s">
        <v>46578</v>
      </c>
    </row>
    <row r="9309" spans="1:24">
      <c r="A9309">
        <f>HYPERLINK("https://www.philgeps.gov.ph/GEPSNONPILOT/Tender/SplashBidNoticeAbstractUI.aspx?menuIndex=3&amp;refID=7053402&amp;Result=3","7053402")</f>
        <v>0</v>
      </c>
      <c r="B9309" t="s">
        <v>2670</v>
      </c>
      <c r="C9309" t="s">
        <v>12360</v>
      </c>
      <c r="D9309" t="s">
        <v>18826</v>
      </c>
      <c r="E9309" t="s">
        <v>18926</v>
      </c>
      <c r="F9309" t="s">
        <v>32664</v>
      </c>
      <c r="G9309" t="s">
        <v>32672</v>
      </c>
      <c r="H9309" t="s">
        <v>32683</v>
      </c>
      <c r="I9309" t="s">
        <v>10627</v>
      </c>
      <c r="J9309" t="s">
        <v>33461</v>
      </c>
      <c r="K9309" t="s">
        <v>42308</v>
      </c>
      <c r="M9309" t="s">
        <v>45492</v>
      </c>
      <c r="N9309" t="s">
        <v>46569</v>
      </c>
      <c r="O9309" t="s">
        <v>46570</v>
      </c>
      <c r="P9309">
        <v>0</v>
      </c>
      <c r="Q9309">
        <v>0</v>
      </c>
      <c r="R9309" t="s">
        <v>46577</v>
      </c>
      <c r="S9309" t="s">
        <v>46808</v>
      </c>
      <c r="T9309" t="s">
        <v>48254</v>
      </c>
      <c r="U9309" t="s">
        <v>56335</v>
      </c>
      <c r="V9309" t="s">
        <v>62407</v>
      </c>
      <c r="W9309" t="s">
        <v>45492</v>
      </c>
      <c r="X9309" t="s">
        <v>46578</v>
      </c>
    </row>
    <row r="9310" spans="1:24">
      <c r="A9310">
        <f>HYPERLINK("https://www.philgeps.gov.ph/GEPSNONPILOT/Tender/SplashBidNoticeAbstractUI.aspx?menuIndex=3&amp;refID=7053352&amp;Result=3","7053352")</f>
        <v>0</v>
      </c>
      <c r="B9310" t="s">
        <v>129</v>
      </c>
      <c r="C9310" t="s">
        <v>12361</v>
      </c>
      <c r="D9310" t="s">
        <v>18792</v>
      </c>
      <c r="E9310" t="s">
        <v>19159</v>
      </c>
      <c r="F9310" t="s">
        <v>32664</v>
      </c>
      <c r="G9310" t="s">
        <v>32672</v>
      </c>
      <c r="H9310" t="s">
        <v>12635</v>
      </c>
      <c r="I9310" t="s">
        <v>32783</v>
      </c>
      <c r="J9310" t="s">
        <v>33111</v>
      </c>
      <c r="K9310" t="s">
        <v>42281</v>
      </c>
      <c r="M9310" t="s">
        <v>42693</v>
      </c>
      <c r="N9310" t="s">
        <v>46569</v>
      </c>
      <c r="O9310" t="s">
        <v>46570</v>
      </c>
      <c r="P9310">
        <v>0</v>
      </c>
      <c r="Q9310">
        <v>2</v>
      </c>
      <c r="R9310" t="s">
        <v>46577</v>
      </c>
      <c r="S9310" t="s">
        <v>46808</v>
      </c>
      <c r="T9310" t="s">
        <v>48268</v>
      </c>
      <c r="U9310" t="s">
        <v>56336</v>
      </c>
      <c r="W9310" t="s">
        <v>42693</v>
      </c>
      <c r="X9310" t="s">
        <v>46578</v>
      </c>
    </row>
    <row r="9311" spans="1:24">
      <c r="A9311">
        <f>HYPERLINK("https://www.philgeps.gov.ph/GEPSNONPILOT/Tender/SplashBidNoticeAbstractUI.aspx?menuIndex=3&amp;refID=7053389&amp;Result=3","7053389")</f>
        <v>0</v>
      </c>
      <c r="B9311" t="s">
        <v>2671</v>
      </c>
      <c r="C9311" t="s">
        <v>12362</v>
      </c>
      <c r="D9311" t="s">
        <v>18792</v>
      </c>
      <c r="E9311" t="s">
        <v>26978</v>
      </c>
      <c r="F9311" t="s">
        <v>32664</v>
      </c>
      <c r="G9311" t="s">
        <v>32672</v>
      </c>
      <c r="H9311" t="s">
        <v>32683</v>
      </c>
      <c r="I9311" t="s">
        <v>10627</v>
      </c>
      <c r="J9311" t="s">
        <v>33302</v>
      </c>
      <c r="K9311" t="s">
        <v>42298</v>
      </c>
      <c r="M9311" t="s">
        <v>45493</v>
      </c>
      <c r="N9311" t="s">
        <v>46569</v>
      </c>
      <c r="O9311" t="s">
        <v>46570</v>
      </c>
      <c r="P9311">
        <v>0</v>
      </c>
      <c r="Q9311">
        <v>0</v>
      </c>
      <c r="R9311" t="s">
        <v>46577</v>
      </c>
      <c r="S9311" t="s">
        <v>46808</v>
      </c>
      <c r="T9311" t="s">
        <v>48412</v>
      </c>
      <c r="U9311" t="s">
        <v>56337</v>
      </c>
      <c r="W9311" t="s">
        <v>45493</v>
      </c>
      <c r="X9311" t="s">
        <v>46578</v>
      </c>
    </row>
    <row r="9312" spans="1:24">
      <c r="A9312">
        <f>HYPERLINK("https://www.philgeps.gov.ph/GEPSNONPILOT/Tender/SplashBidNoticeAbstractUI.aspx?menuIndex=3&amp;refID=7053337&amp;Result=3","7053337")</f>
        <v>0</v>
      </c>
      <c r="B9312" t="s">
        <v>2672</v>
      </c>
      <c r="C9312" t="s">
        <v>12363</v>
      </c>
      <c r="D9312" t="s">
        <v>18785</v>
      </c>
      <c r="E9312" t="s">
        <v>26979</v>
      </c>
      <c r="F9312" t="s">
        <v>32668</v>
      </c>
      <c r="G9312" t="s">
        <v>32672</v>
      </c>
      <c r="H9312" t="s">
        <v>12635</v>
      </c>
      <c r="I9312" t="s">
        <v>32716</v>
      </c>
      <c r="J9312" t="s">
        <v>38452</v>
      </c>
      <c r="K9312" t="s">
        <v>42306</v>
      </c>
      <c r="M9312" t="s">
        <v>45494</v>
      </c>
      <c r="N9312" t="s">
        <v>46569</v>
      </c>
      <c r="O9312" t="s">
        <v>46570</v>
      </c>
      <c r="P9312">
        <v>0</v>
      </c>
      <c r="Q9312">
        <v>1</v>
      </c>
      <c r="R9312" t="s">
        <v>46577</v>
      </c>
      <c r="S9312" t="s">
        <v>46808</v>
      </c>
      <c r="T9312" t="s">
        <v>48638</v>
      </c>
      <c r="U9312" t="s">
        <v>56338</v>
      </c>
      <c r="W9312" t="s">
        <v>45494</v>
      </c>
      <c r="X9312" t="s">
        <v>46578</v>
      </c>
    </row>
    <row r="9313" spans="1:24">
      <c r="A9313">
        <f>HYPERLINK("https://www.philgeps.gov.ph/GEPSNONPILOT/Tender/SplashBidNoticeAbstractUI.aspx?menuIndex=3&amp;refID=7053384&amp;Result=3","7053384")</f>
        <v>0</v>
      </c>
      <c r="B9313" t="s">
        <v>2662</v>
      </c>
      <c r="C9313" t="s">
        <v>12364</v>
      </c>
      <c r="D9313" t="s">
        <v>18852</v>
      </c>
      <c r="E9313" t="s">
        <v>26980</v>
      </c>
      <c r="F9313" t="s">
        <v>32664</v>
      </c>
      <c r="G9313" t="s">
        <v>32672</v>
      </c>
      <c r="H9313" t="s">
        <v>12635</v>
      </c>
      <c r="I9313" t="s">
        <v>14442</v>
      </c>
      <c r="J9313" t="s">
        <v>38453</v>
      </c>
      <c r="K9313" t="s">
        <v>42281</v>
      </c>
      <c r="M9313" t="s">
        <v>45484</v>
      </c>
      <c r="N9313" t="s">
        <v>46569</v>
      </c>
      <c r="O9313" t="s">
        <v>46570</v>
      </c>
      <c r="P9313">
        <v>0</v>
      </c>
      <c r="Q9313">
        <v>1</v>
      </c>
      <c r="R9313" t="s">
        <v>46577</v>
      </c>
      <c r="S9313" t="s">
        <v>46808</v>
      </c>
      <c r="T9313" t="s">
        <v>48246</v>
      </c>
      <c r="U9313" t="s">
        <v>56339</v>
      </c>
      <c r="W9313" t="s">
        <v>45484</v>
      </c>
      <c r="X9313" t="s">
        <v>46578</v>
      </c>
    </row>
    <row r="9314" spans="1:24">
      <c r="A9314">
        <f>HYPERLINK("https://www.philgeps.gov.ph/GEPSNONPILOT/Tender/SplashBidNoticeAbstractUI.aspx?menuIndex=3&amp;refID=7053378&amp;Result=3","7053378")</f>
        <v>0</v>
      </c>
      <c r="B9314" t="s">
        <v>1478</v>
      </c>
      <c r="C9314" t="s">
        <v>12365</v>
      </c>
      <c r="D9314" t="s">
        <v>18853</v>
      </c>
      <c r="E9314" t="s">
        <v>26981</v>
      </c>
      <c r="F9314" t="s">
        <v>32664</v>
      </c>
      <c r="G9314" t="s">
        <v>32672</v>
      </c>
      <c r="H9314" t="s">
        <v>32683</v>
      </c>
      <c r="I9314" t="s">
        <v>10627</v>
      </c>
      <c r="J9314" t="s">
        <v>38454</v>
      </c>
      <c r="K9314" t="s">
        <v>42343</v>
      </c>
      <c r="M9314" t="s">
        <v>44141</v>
      </c>
      <c r="N9314" t="s">
        <v>46569</v>
      </c>
      <c r="O9314" t="s">
        <v>46570</v>
      </c>
      <c r="P9314">
        <v>0</v>
      </c>
      <c r="Q9314">
        <v>0</v>
      </c>
      <c r="R9314" t="s">
        <v>46577</v>
      </c>
      <c r="S9314" t="s">
        <v>46808</v>
      </c>
      <c r="T9314" t="s">
        <v>48285</v>
      </c>
      <c r="U9314" t="s">
        <v>52065</v>
      </c>
      <c r="W9314" t="s">
        <v>44141</v>
      </c>
      <c r="X9314" t="s">
        <v>46578</v>
      </c>
    </row>
    <row r="9315" spans="1:24">
      <c r="A9315">
        <f>HYPERLINK("https://www.philgeps.gov.ph/GEPSNONPILOT/Tender/SplashBidNoticeAbstractUI.aspx?menuIndex=3&amp;refID=7053376&amp;Result=3","7053376")</f>
        <v>0</v>
      </c>
      <c r="B9315" t="s">
        <v>2666</v>
      </c>
      <c r="C9315" t="s">
        <v>12366</v>
      </c>
      <c r="D9315" t="s">
        <v>18806</v>
      </c>
      <c r="E9315" t="s">
        <v>26982</v>
      </c>
      <c r="F9315" t="s">
        <v>32664</v>
      </c>
      <c r="G9315" t="s">
        <v>32674</v>
      </c>
      <c r="H9315" t="s">
        <v>12635</v>
      </c>
      <c r="I9315" t="s">
        <v>32784</v>
      </c>
      <c r="J9315" t="s">
        <v>33762</v>
      </c>
      <c r="K9315" t="s">
        <v>42309</v>
      </c>
      <c r="M9315" t="s">
        <v>45488</v>
      </c>
      <c r="N9315" t="s">
        <v>46569</v>
      </c>
      <c r="O9315" t="s">
        <v>46570</v>
      </c>
      <c r="P9315">
        <v>0</v>
      </c>
      <c r="Q9315">
        <v>2</v>
      </c>
      <c r="R9315" t="s">
        <v>46577</v>
      </c>
      <c r="S9315" t="s">
        <v>46808</v>
      </c>
      <c r="T9315" t="s">
        <v>48473</v>
      </c>
      <c r="U9315" t="s">
        <v>56340</v>
      </c>
      <c r="W9315" t="s">
        <v>45488</v>
      </c>
      <c r="X9315" t="s">
        <v>46578</v>
      </c>
    </row>
    <row r="9316" spans="1:24">
      <c r="A9316">
        <f>HYPERLINK("https://www.philgeps.gov.ph/GEPSNONPILOT/Tender/SplashBidNoticeAbstractUI.aspx?menuIndex=3&amp;refID=7053373&amp;Result=3","7053373")</f>
        <v>0</v>
      </c>
      <c r="B9316" t="s">
        <v>2673</v>
      </c>
      <c r="C9316" t="s">
        <v>12367</v>
      </c>
      <c r="D9316" t="s">
        <v>18822</v>
      </c>
      <c r="E9316" t="s">
        <v>26983</v>
      </c>
      <c r="F9316" t="s">
        <v>32664</v>
      </c>
      <c r="G9316" t="s">
        <v>32672</v>
      </c>
      <c r="H9316" t="s">
        <v>32682</v>
      </c>
      <c r="I9316" t="s">
        <v>11464</v>
      </c>
      <c r="J9316" t="s">
        <v>32974</v>
      </c>
      <c r="K9316" t="s">
        <v>42284</v>
      </c>
      <c r="M9316" t="s">
        <v>45495</v>
      </c>
      <c r="N9316" t="s">
        <v>46569</v>
      </c>
      <c r="O9316" t="s">
        <v>46570</v>
      </c>
      <c r="P9316">
        <v>0</v>
      </c>
      <c r="Q9316">
        <v>0</v>
      </c>
      <c r="R9316" t="s">
        <v>46577</v>
      </c>
      <c r="S9316" t="s">
        <v>46808</v>
      </c>
      <c r="T9316" t="s">
        <v>48219</v>
      </c>
      <c r="U9316" t="s">
        <v>56341</v>
      </c>
      <c r="W9316" t="s">
        <v>45495</v>
      </c>
      <c r="X9316" t="s">
        <v>46578</v>
      </c>
    </row>
    <row r="9317" spans="1:24">
      <c r="A9317">
        <f>HYPERLINK("https://www.philgeps.gov.ph/GEPSNONPILOT/Tender/SplashBidNoticeAbstractUI.aspx?menuIndex=3&amp;refID=7053407&amp;Result=3","7053407")</f>
        <v>0</v>
      </c>
      <c r="B9317" t="s">
        <v>1478</v>
      </c>
      <c r="C9317" t="s">
        <v>12368</v>
      </c>
      <c r="D9317" t="s">
        <v>18853</v>
      </c>
      <c r="E9317" t="s">
        <v>26984</v>
      </c>
      <c r="F9317" t="s">
        <v>32664</v>
      </c>
      <c r="G9317" t="s">
        <v>32672</v>
      </c>
      <c r="H9317" t="s">
        <v>32683</v>
      </c>
      <c r="I9317" t="s">
        <v>10627</v>
      </c>
      <c r="J9317" t="s">
        <v>38455</v>
      </c>
      <c r="K9317" t="s">
        <v>42303</v>
      </c>
      <c r="M9317" t="s">
        <v>44141</v>
      </c>
      <c r="N9317" t="s">
        <v>46569</v>
      </c>
      <c r="O9317" t="s">
        <v>46570</v>
      </c>
      <c r="P9317">
        <v>0</v>
      </c>
      <c r="Q9317">
        <v>0</v>
      </c>
      <c r="R9317" t="s">
        <v>46577</v>
      </c>
      <c r="S9317" t="s">
        <v>46808</v>
      </c>
      <c r="T9317" t="s">
        <v>48285</v>
      </c>
      <c r="U9317" t="s">
        <v>52065</v>
      </c>
      <c r="W9317" t="s">
        <v>44141</v>
      </c>
      <c r="X9317" t="s">
        <v>46578</v>
      </c>
    </row>
    <row r="9318" spans="1:24">
      <c r="A9318">
        <f>HYPERLINK("https://www.philgeps.gov.ph/GEPSNONPILOT/Tender/SplashBidNoticeAbstractUI.aspx?menuIndex=3&amp;refID=7053369&amp;Result=3","7053369")</f>
        <v>0</v>
      </c>
      <c r="B9318" t="s">
        <v>375</v>
      </c>
      <c r="C9318" t="s">
        <v>12369</v>
      </c>
      <c r="D9318" t="s">
        <v>18799</v>
      </c>
      <c r="E9318" t="s">
        <v>26985</v>
      </c>
      <c r="F9318" t="s">
        <v>32664</v>
      </c>
      <c r="G9318" t="s">
        <v>32672</v>
      </c>
      <c r="H9318" t="s">
        <v>12635</v>
      </c>
      <c r="I9318" t="s">
        <v>32706</v>
      </c>
      <c r="J9318" t="s">
        <v>32898</v>
      </c>
      <c r="K9318" t="s">
        <v>42295</v>
      </c>
      <c r="M9318" t="s">
        <v>45496</v>
      </c>
      <c r="N9318" t="s">
        <v>46569</v>
      </c>
      <c r="O9318" t="s">
        <v>46570</v>
      </c>
      <c r="P9318">
        <v>0</v>
      </c>
      <c r="Q9318">
        <v>0</v>
      </c>
      <c r="R9318" t="s">
        <v>46577</v>
      </c>
      <c r="S9318" t="s">
        <v>46808</v>
      </c>
      <c r="T9318" t="s">
        <v>48381</v>
      </c>
      <c r="U9318" t="s">
        <v>56342</v>
      </c>
      <c r="W9318" t="s">
        <v>45496</v>
      </c>
      <c r="X9318" t="s">
        <v>46578</v>
      </c>
    </row>
    <row r="9319" spans="1:24">
      <c r="A9319">
        <f>HYPERLINK("https://www.philgeps.gov.ph/GEPSNONPILOT/Tender/SplashBidNoticeAbstractUI.aspx?menuIndex=3&amp;refID=7053381&amp;Result=3","7053381")</f>
        <v>0</v>
      </c>
      <c r="B9319" t="s">
        <v>2446</v>
      </c>
      <c r="C9319" t="s">
        <v>12370</v>
      </c>
      <c r="D9319" t="s">
        <v>18838</v>
      </c>
      <c r="E9319" t="s">
        <v>26986</v>
      </c>
      <c r="F9319" t="s">
        <v>32664</v>
      </c>
      <c r="G9319" t="s">
        <v>32672</v>
      </c>
      <c r="H9319" t="s">
        <v>12635</v>
      </c>
      <c r="I9319" t="s">
        <v>32738</v>
      </c>
      <c r="J9319" t="s">
        <v>36320</v>
      </c>
      <c r="K9319" t="s">
        <v>42283</v>
      </c>
      <c r="M9319" t="s">
        <v>45239</v>
      </c>
      <c r="N9319" t="s">
        <v>46569</v>
      </c>
      <c r="O9319" t="s">
        <v>46570</v>
      </c>
      <c r="Q9319">
        <v>13</v>
      </c>
      <c r="R9319" t="s">
        <v>46577</v>
      </c>
      <c r="S9319" t="s">
        <v>46834</v>
      </c>
      <c r="T9319" t="s">
        <v>48637</v>
      </c>
      <c r="U9319" t="s">
        <v>56343</v>
      </c>
      <c r="V9319" t="s">
        <v>62584</v>
      </c>
      <c r="W9319" t="s">
        <v>45239</v>
      </c>
      <c r="X9319" t="s">
        <v>46578</v>
      </c>
    </row>
    <row r="9320" spans="1:24">
      <c r="A9320">
        <f>HYPERLINK("https://www.philgeps.gov.ph/GEPSNONPILOT/Tender/SplashBidNoticeAbstractUI.aspx?menuIndex=3&amp;refID=7053415&amp;Result=3","7053415")</f>
        <v>0</v>
      </c>
      <c r="B9320" t="s">
        <v>947</v>
      </c>
      <c r="C9320" t="s">
        <v>12371</v>
      </c>
      <c r="D9320" t="s">
        <v>18787</v>
      </c>
      <c r="E9320" t="s">
        <v>26987</v>
      </c>
      <c r="F9320" t="s">
        <v>32664</v>
      </c>
      <c r="G9320" t="s">
        <v>32672</v>
      </c>
      <c r="H9320" t="s">
        <v>12635</v>
      </c>
      <c r="I9320" t="s">
        <v>32698</v>
      </c>
      <c r="J9320" t="s">
        <v>38456</v>
      </c>
      <c r="K9320" t="s">
        <v>42305</v>
      </c>
      <c r="M9320" t="s">
        <v>43553</v>
      </c>
      <c r="N9320" t="s">
        <v>46569</v>
      </c>
      <c r="O9320" t="s">
        <v>46570</v>
      </c>
      <c r="Q9320">
        <v>3</v>
      </c>
      <c r="R9320" t="s">
        <v>46577</v>
      </c>
      <c r="S9320" t="s">
        <v>46835</v>
      </c>
      <c r="T9320" t="s">
        <v>48381</v>
      </c>
      <c r="U9320" t="s">
        <v>50650</v>
      </c>
      <c r="W9320" t="s">
        <v>63497</v>
      </c>
      <c r="X9320" t="s">
        <v>46578</v>
      </c>
    </row>
    <row r="9321" spans="1:24">
      <c r="A9321">
        <f>HYPERLINK("https://www.philgeps.gov.ph/GEPSNONPILOT/Tender/SplashBidNoticeAbstractUI.aspx?menuIndex=3&amp;refID=7053467&amp;Result=3","7053467")</f>
        <v>0</v>
      </c>
      <c r="B9321" t="s">
        <v>1838</v>
      </c>
      <c r="C9321" t="s">
        <v>12372</v>
      </c>
      <c r="D9321" t="s">
        <v>18799</v>
      </c>
      <c r="E9321" t="s">
        <v>26988</v>
      </c>
      <c r="F9321" t="s">
        <v>32664</v>
      </c>
      <c r="G9321" t="s">
        <v>32674</v>
      </c>
      <c r="H9321" t="s">
        <v>12635</v>
      </c>
      <c r="I9321" t="s">
        <v>32713</v>
      </c>
      <c r="J9321" t="s">
        <v>32984</v>
      </c>
      <c r="K9321" t="s">
        <v>42281</v>
      </c>
      <c r="M9321" t="s">
        <v>44546</v>
      </c>
      <c r="N9321" t="s">
        <v>46569</v>
      </c>
      <c r="O9321" t="s">
        <v>46570</v>
      </c>
      <c r="Q9321">
        <v>1</v>
      </c>
      <c r="R9321" t="s">
        <v>46577</v>
      </c>
      <c r="S9321" t="s">
        <v>46836</v>
      </c>
      <c r="T9321" t="s">
        <v>48316</v>
      </c>
      <c r="U9321" t="s">
        <v>49565</v>
      </c>
      <c r="W9321" t="s">
        <v>44546</v>
      </c>
      <c r="X9321" t="s">
        <v>46578</v>
      </c>
    </row>
    <row r="9322" spans="1:24">
      <c r="A9322">
        <f>HYPERLINK("https://www.philgeps.gov.ph/GEPSNONPILOT/Tender/SplashBidNoticeAbstractUI.aspx?menuIndex=3&amp;refID=7053409&amp;Result=3","7053409")</f>
        <v>0</v>
      </c>
      <c r="B9322" t="s">
        <v>567</v>
      </c>
      <c r="C9322" t="s">
        <v>12373</v>
      </c>
      <c r="D9322" t="s">
        <v>18784</v>
      </c>
      <c r="E9322" t="s">
        <v>26989</v>
      </c>
      <c r="F9322" t="s">
        <v>32664</v>
      </c>
      <c r="G9322" t="s">
        <v>32674</v>
      </c>
      <c r="H9322" t="s">
        <v>12635</v>
      </c>
      <c r="I9322" t="s">
        <v>4997</v>
      </c>
      <c r="J9322" t="s">
        <v>32859</v>
      </c>
      <c r="K9322" t="s">
        <v>42284</v>
      </c>
      <c r="M9322" t="s">
        <v>43147</v>
      </c>
      <c r="N9322" t="s">
        <v>46569</v>
      </c>
      <c r="O9322" t="s">
        <v>46570</v>
      </c>
      <c r="P9322">
        <v>0</v>
      </c>
      <c r="Q9322">
        <v>26</v>
      </c>
      <c r="R9322" t="s">
        <v>46577</v>
      </c>
      <c r="S9322" t="s">
        <v>46808</v>
      </c>
      <c r="T9322" t="s">
        <v>48473</v>
      </c>
      <c r="U9322" t="s">
        <v>56344</v>
      </c>
      <c r="W9322" t="s">
        <v>43147</v>
      </c>
      <c r="X9322" t="s">
        <v>46578</v>
      </c>
    </row>
    <row r="9323" spans="1:24">
      <c r="A9323">
        <f>HYPERLINK("https://www.philgeps.gov.ph/GEPSNONPILOT/Tender/SplashBidNoticeAbstractUI.aspx?menuIndex=3&amp;refID=7053464&amp;Result=3","7053464")</f>
        <v>0</v>
      </c>
      <c r="B9323" t="s">
        <v>201</v>
      </c>
      <c r="C9323" t="s">
        <v>12374</v>
      </c>
      <c r="D9323" t="s">
        <v>18831</v>
      </c>
      <c r="E9323" t="s">
        <v>26990</v>
      </c>
      <c r="F9323" t="s">
        <v>32664</v>
      </c>
      <c r="G9323" t="s">
        <v>32671</v>
      </c>
      <c r="H9323" t="s">
        <v>12635</v>
      </c>
      <c r="I9323" t="s">
        <v>8797</v>
      </c>
      <c r="J9323" t="s">
        <v>33126</v>
      </c>
      <c r="K9323" t="s">
        <v>42297</v>
      </c>
      <c r="M9323" t="s">
        <v>42765</v>
      </c>
      <c r="N9323" t="s">
        <v>46569</v>
      </c>
      <c r="O9323" t="s">
        <v>46570</v>
      </c>
      <c r="P9323">
        <v>0</v>
      </c>
      <c r="Q9323">
        <v>2</v>
      </c>
      <c r="R9323" t="s">
        <v>46577</v>
      </c>
      <c r="S9323" t="s">
        <v>46808</v>
      </c>
      <c r="T9323" t="s">
        <v>48316</v>
      </c>
      <c r="U9323" t="s">
        <v>56345</v>
      </c>
      <c r="W9323" t="s">
        <v>42765</v>
      </c>
      <c r="X9323" t="s">
        <v>46578</v>
      </c>
    </row>
    <row r="9324" spans="1:24">
      <c r="A9324">
        <f>HYPERLINK("https://www.philgeps.gov.ph/GEPSNONPILOT/Tender/SplashBidNoticeAbstractUI.aspx?menuIndex=3&amp;refID=7053320&amp;Result=3","7053320")</f>
        <v>0</v>
      </c>
      <c r="B9324" t="s">
        <v>160</v>
      </c>
      <c r="C9324" t="s">
        <v>12375</v>
      </c>
      <c r="D9324" t="s">
        <v>18806</v>
      </c>
      <c r="E9324" t="s">
        <v>26991</v>
      </c>
      <c r="F9324" t="s">
        <v>32664</v>
      </c>
      <c r="G9324" t="s">
        <v>32672</v>
      </c>
      <c r="H9324" t="s">
        <v>12635</v>
      </c>
      <c r="I9324" t="s">
        <v>4439</v>
      </c>
      <c r="J9324" t="s">
        <v>38457</v>
      </c>
      <c r="K9324" t="s">
        <v>42281</v>
      </c>
      <c r="M9324" t="s">
        <v>42724</v>
      </c>
      <c r="N9324" t="s">
        <v>46569</v>
      </c>
      <c r="O9324" t="s">
        <v>46570</v>
      </c>
      <c r="P9324">
        <v>0</v>
      </c>
      <c r="Q9324">
        <v>1</v>
      </c>
      <c r="R9324" t="s">
        <v>46577</v>
      </c>
      <c r="S9324" t="s">
        <v>46808</v>
      </c>
      <c r="T9324" t="s">
        <v>48293</v>
      </c>
      <c r="U9324" t="s">
        <v>56346</v>
      </c>
      <c r="W9324" t="s">
        <v>42724</v>
      </c>
      <c r="X9324" t="s">
        <v>46578</v>
      </c>
    </row>
    <row r="9325" spans="1:24">
      <c r="A9325">
        <f>HYPERLINK("https://www.philgeps.gov.ph/GEPSNONPILOT/Tender/SplashBidNoticeAbstractUI.aspx?menuIndex=3&amp;refID=7053453&amp;Result=3","7053453")</f>
        <v>0</v>
      </c>
      <c r="B9325" t="s">
        <v>1108</v>
      </c>
      <c r="C9325" t="s">
        <v>12376</v>
      </c>
      <c r="D9325" t="s">
        <v>18796</v>
      </c>
      <c r="E9325" t="s">
        <v>26992</v>
      </c>
      <c r="F9325" t="s">
        <v>32664</v>
      </c>
      <c r="G9325" t="s">
        <v>32672</v>
      </c>
      <c r="H9325" t="s">
        <v>32683</v>
      </c>
      <c r="I9325" t="s">
        <v>10627</v>
      </c>
      <c r="J9325" t="s">
        <v>34635</v>
      </c>
      <c r="K9325" t="s">
        <v>42487</v>
      </c>
      <c r="M9325" t="s">
        <v>43735</v>
      </c>
      <c r="N9325" t="s">
        <v>46569</v>
      </c>
      <c r="O9325" t="s">
        <v>46570</v>
      </c>
      <c r="P9325">
        <v>0</v>
      </c>
      <c r="Q9325">
        <v>1</v>
      </c>
      <c r="R9325" t="s">
        <v>46577</v>
      </c>
      <c r="S9325" t="s">
        <v>46808</v>
      </c>
      <c r="T9325" t="s">
        <v>48213</v>
      </c>
      <c r="U9325" t="s">
        <v>51113</v>
      </c>
      <c r="V9325" t="s">
        <v>62585</v>
      </c>
      <c r="W9325" t="s">
        <v>43735</v>
      </c>
      <c r="X9325" t="s">
        <v>46578</v>
      </c>
    </row>
    <row r="9326" spans="1:24">
      <c r="A9326">
        <f>HYPERLINK("https://www.philgeps.gov.ph/GEPSNONPILOT/Tender/SplashBidNoticeAbstractUI.aspx?menuIndex=3&amp;refID=7053448&amp;Result=3","7053448")</f>
        <v>0</v>
      </c>
      <c r="B9326" t="s">
        <v>1838</v>
      </c>
      <c r="C9326" t="s">
        <v>12377</v>
      </c>
      <c r="D9326" t="s">
        <v>18799</v>
      </c>
      <c r="E9326" t="s">
        <v>26993</v>
      </c>
      <c r="F9326" t="s">
        <v>32664</v>
      </c>
      <c r="G9326" t="s">
        <v>32674</v>
      </c>
      <c r="H9326" t="s">
        <v>12635</v>
      </c>
      <c r="I9326" t="s">
        <v>32704</v>
      </c>
      <c r="J9326" t="s">
        <v>38458</v>
      </c>
      <c r="K9326" t="s">
        <v>42305</v>
      </c>
      <c r="M9326" t="s">
        <v>44546</v>
      </c>
      <c r="N9326" t="s">
        <v>46569</v>
      </c>
      <c r="O9326" t="s">
        <v>46570</v>
      </c>
      <c r="Q9326">
        <v>9</v>
      </c>
      <c r="R9326" t="s">
        <v>46577</v>
      </c>
      <c r="S9326" t="s">
        <v>46837</v>
      </c>
      <c r="T9326" t="s">
        <v>48316</v>
      </c>
      <c r="U9326" t="s">
        <v>49565</v>
      </c>
      <c r="W9326" t="s">
        <v>44546</v>
      </c>
      <c r="X9326" t="s">
        <v>46578</v>
      </c>
    </row>
    <row r="9327" spans="1:24">
      <c r="A9327">
        <f>HYPERLINK("https://www.philgeps.gov.ph/GEPSNONPILOT/Tender/SplashBidNoticeAbstractUI.aspx?menuIndex=3&amp;refID=7053455&amp;Result=3","7053455")</f>
        <v>0</v>
      </c>
      <c r="B9327" t="s">
        <v>2645</v>
      </c>
      <c r="C9327" t="s">
        <v>12378</v>
      </c>
      <c r="D9327" t="s">
        <v>18856</v>
      </c>
      <c r="E9327" t="s">
        <v>26994</v>
      </c>
      <c r="F9327" t="s">
        <v>32664</v>
      </c>
      <c r="G9327" t="s">
        <v>32675</v>
      </c>
      <c r="H9327" t="s">
        <v>12635</v>
      </c>
      <c r="I9327" t="s">
        <v>8958</v>
      </c>
      <c r="J9327" t="s">
        <v>38459</v>
      </c>
      <c r="K9327" t="s">
        <v>42281</v>
      </c>
      <c r="M9327" t="s">
        <v>45466</v>
      </c>
      <c r="N9327" t="s">
        <v>46569</v>
      </c>
      <c r="O9327" t="s">
        <v>46570</v>
      </c>
      <c r="P9327">
        <v>0</v>
      </c>
      <c r="Q9327">
        <v>3</v>
      </c>
      <c r="R9327" t="s">
        <v>46577</v>
      </c>
      <c r="S9327" t="s">
        <v>46808</v>
      </c>
      <c r="T9327" t="s">
        <v>48256</v>
      </c>
      <c r="U9327" t="s">
        <v>56347</v>
      </c>
      <c r="V9327" t="s">
        <v>62586</v>
      </c>
      <c r="W9327" t="s">
        <v>45466</v>
      </c>
      <c r="X9327" t="s">
        <v>46578</v>
      </c>
    </row>
    <row r="9328" spans="1:24">
      <c r="A9328">
        <f>HYPERLINK("https://www.philgeps.gov.ph/GEPSNONPILOT/Tender/SplashBidNoticeAbstractUI.aspx?menuIndex=3&amp;refID=7053400&amp;Result=3","7053400")</f>
        <v>0</v>
      </c>
      <c r="B9328" t="s">
        <v>2674</v>
      </c>
      <c r="C9328" t="s">
        <v>12379</v>
      </c>
      <c r="D9328" t="s">
        <v>18856</v>
      </c>
      <c r="E9328" t="s">
        <v>26995</v>
      </c>
      <c r="F9328" t="s">
        <v>32664</v>
      </c>
      <c r="G9328" t="s">
        <v>32672</v>
      </c>
      <c r="H9328" t="s">
        <v>12635</v>
      </c>
      <c r="I9328" t="s">
        <v>11464</v>
      </c>
      <c r="J9328" t="s">
        <v>34253</v>
      </c>
      <c r="K9328" t="s">
        <v>42281</v>
      </c>
      <c r="M9328" t="s">
        <v>45497</v>
      </c>
      <c r="N9328" t="s">
        <v>46569</v>
      </c>
      <c r="O9328" t="s">
        <v>46570</v>
      </c>
      <c r="P9328">
        <v>0</v>
      </c>
      <c r="Q9328">
        <v>7</v>
      </c>
      <c r="R9328" t="s">
        <v>46577</v>
      </c>
      <c r="S9328" t="s">
        <v>46808</v>
      </c>
      <c r="T9328" t="s">
        <v>48218</v>
      </c>
      <c r="U9328" t="s">
        <v>56348</v>
      </c>
      <c r="W9328" t="s">
        <v>45497</v>
      </c>
      <c r="X9328" t="s">
        <v>46578</v>
      </c>
    </row>
    <row r="9329" spans="1:24">
      <c r="A9329">
        <f>HYPERLINK("https://www.philgeps.gov.ph/GEPSNONPILOT/Tender/SplashBidNoticeAbstractUI.aspx?menuIndex=3&amp;refID=7053446&amp;Result=3","7053446")</f>
        <v>0</v>
      </c>
      <c r="B9329" t="s">
        <v>2450</v>
      </c>
      <c r="C9329" t="s">
        <v>12380</v>
      </c>
      <c r="D9329" t="s">
        <v>18785</v>
      </c>
      <c r="E9329" t="s">
        <v>19552</v>
      </c>
      <c r="F9329" t="s">
        <v>32664</v>
      </c>
      <c r="G9329" t="s">
        <v>32672</v>
      </c>
      <c r="H9329" t="s">
        <v>12635</v>
      </c>
      <c r="I9329" t="s">
        <v>32716</v>
      </c>
      <c r="J9329" t="s">
        <v>38460</v>
      </c>
      <c r="K9329" t="s">
        <v>42295</v>
      </c>
      <c r="L9329" t="s">
        <v>2450</v>
      </c>
      <c r="M9329" t="s">
        <v>45244</v>
      </c>
      <c r="N9329" t="s">
        <v>46569</v>
      </c>
      <c r="O9329" t="s">
        <v>46570</v>
      </c>
      <c r="P9329">
        <v>0</v>
      </c>
      <c r="Q9329">
        <v>4</v>
      </c>
      <c r="R9329" t="s">
        <v>46577</v>
      </c>
      <c r="S9329" t="s">
        <v>46808</v>
      </c>
      <c r="T9329" t="s">
        <v>48244</v>
      </c>
      <c r="U9329" t="s">
        <v>56349</v>
      </c>
      <c r="W9329" t="s">
        <v>45244</v>
      </c>
      <c r="X9329" t="s">
        <v>46578</v>
      </c>
    </row>
    <row r="9330" spans="1:24">
      <c r="A9330">
        <f>HYPERLINK("https://www.philgeps.gov.ph/GEPSNONPILOT/Tender/SplashBidNoticeAbstractUI.aspx?menuIndex=3&amp;refID=7053436&amp;Result=3","7053436")</f>
        <v>0</v>
      </c>
      <c r="B9330" t="s">
        <v>2675</v>
      </c>
      <c r="C9330" t="s">
        <v>12381</v>
      </c>
      <c r="D9330" t="s">
        <v>18782</v>
      </c>
      <c r="E9330" t="s">
        <v>23230</v>
      </c>
      <c r="F9330" t="s">
        <v>32664</v>
      </c>
      <c r="G9330" t="s">
        <v>32672</v>
      </c>
      <c r="H9330" t="s">
        <v>32682</v>
      </c>
      <c r="I9330" t="s">
        <v>10627</v>
      </c>
      <c r="J9330" t="s">
        <v>32859</v>
      </c>
      <c r="K9330" t="s">
        <v>42355</v>
      </c>
      <c r="M9330" t="s">
        <v>45498</v>
      </c>
      <c r="N9330" t="s">
        <v>46569</v>
      </c>
      <c r="O9330" t="s">
        <v>46570</v>
      </c>
      <c r="P9330">
        <v>0</v>
      </c>
      <c r="Q9330">
        <v>0</v>
      </c>
      <c r="R9330" t="s">
        <v>46577</v>
      </c>
      <c r="S9330" t="s">
        <v>46808</v>
      </c>
      <c r="T9330" t="s">
        <v>48316</v>
      </c>
      <c r="U9330" t="s">
        <v>56350</v>
      </c>
      <c r="W9330" t="s">
        <v>45498</v>
      </c>
      <c r="X9330" t="s">
        <v>46578</v>
      </c>
    </row>
    <row r="9331" spans="1:24">
      <c r="A9331">
        <f>HYPERLINK("https://www.philgeps.gov.ph/GEPSNONPILOT/Tender/SplashBidNoticeAbstractUI.aspx?menuIndex=3&amp;refID=7053441&amp;Result=3","7053441")</f>
        <v>0</v>
      </c>
      <c r="B9331" t="s">
        <v>1478</v>
      </c>
      <c r="C9331" t="s">
        <v>12382</v>
      </c>
      <c r="D9331" t="s">
        <v>18853</v>
      </c>
      <c r="E9331" t="s">
        <v>26996</v>
      </c>
      <c r="F9331" t="s">
        <v>32664</v>
      </c>
      <c r="G9331" t="s">
        <v>32672</v>
      </c>
      <c r="H9331" t="s">
        <v>32683</v>
      </c>
      <c r="I9331" t="s">
        <v>10627</v>
      </c>
      <c r="J9331" t="s">
        <v>38461</v>
      </c>
      <c r="K9331" t="s">
        <v>42297</v>
      </c>
      <c r="M9331" t="s">
        <v>44141</v>
      </c>
      <c r="N9331" t="s">
        <v>46569</v>
      </c>
      <c r="O9331" t="s">
        <v>46570</v>
      </c>
      <c r="P9331">
        <v>0</v>
      </c>
      <c r="Q9331">
        <v>0</v>
      </c>
      <c r="R9331" t="s">
        <v>46577</v>
      </c>
      <c r="S9331" t="s">
        <v>46808</v>
      </c>
      <c r="T9331" t="s">
        <v>48285</v>
      </c>
      <c r="U9331" t="s">
        <v>52065</v>
      </c>
      <c r="W9331" t="s">
        <v>44141</v>
      </c>
      <c r="X9331" t="s">
        <v>46578</v>
      </c>
    </row>
    <row r="9332" spans="1:24">
      <c r="A9332">
        <f>HYPERLINK("https://www.philgeps.gov.ph/GEPSNONPILOT/Tender/SplashBidNoticeAbstractUI.aspx?menuIndex=3&amp;refID=7053430&amp;Result=3","7053430")</f>
        <v>0</v>
      </c>
      <c r="B9332" t="s">
        <v>382</v>
      </c>
      <c r="C9332" t="s">
        <v>12383</v>
      </c>
      <c r="D9332" t="s">
        <v>18852</v>
      </c>
      <c r="E9332" t="s">
        <v>26997</v>
      </c>
      <c r="F9332" t="s">
        <v>32664</v>
      </c>
      <c r="G9332" t="s">
        <v>32672</v>
      </c>
      <c r="H9332" t="s">
        <v>12635</v>
      </c>
      <c r="I9332" t="s">
        <v>32698</v>
      </c>
      <c r="J9332" t="s">
        <v>38462</v>
      </c>
      <c r="K9332" t="s">
        <v>42281</v>
      </c>
      <c r="M9332" t="s">
        <v>42952</v>
      </c>
      <c r="N9332" t="s">
        <v>46569</v>
      </c>
      <c r="O9332" t="s">
        <v>46570</v>
      </c>
      <c r="P9332">
        <v>0</v>
      </c>
      <c r="Q9332">
        <v>1</v>
      </c>
      <c r="R9332" t="s">
        <v>46577</v>
      </c>
      <c r="S9332" t="s">
        <v>46808</v>
      </c>
      <c r="T9332" t="s">
        <v>48283</v>
      </c>
      <c r="U9332" t="s">
        <v>56351</v>
      </c>
      <c r="W9332" t="s">
        <v>42952</v>
      </c>
      <c r="X9332" t="s">
        <v>46578</v>
      </c>
    </row>
    <row r="9333" spans="1:24">
      <c r="A9333">
        <f>HYPERLINK("https://www.philgeps.gov.ph/GEPSNONPILOT/Tender/SplashBidNoticeAbstractUI.aspx?menuIndex=3&amp;refID=7053428&amp;Result=3","7053428")</f>
        <v>0</v>
      </c>
      <c r="B9333" t="s">
        <v>160</v>
      </c>
      <c r="C9333" t="s">
        <v>12384</v>
      </c>
      <c r="D9333" t="s">
        <v>18806</v>
      </c>
      <c r="E9333" t="s">
        <v>26998</v>
      </c>
      <c r="F9333" t="s">
        <v>32664</v>
      </c>
      <c r="G9333" t="s">
        <v>32672</v>
      </c>
      <c r="H9333" t="s">
        <v>12635</v>
      </c>
      <c r="I9333" t="s">
        <v>4439</v>
      </c>
      <c r="J9333" t="s">
        <v>38463</v>
      </c>
      <c r="K9333" t="s">
        <v>42281</v>
      </c>
      <c r="M9333" t="s">
        <v>42724</v>
      </c>
      <c r="N9333" t="s">
        <v>46569</v>
      </c>
      <c r="O9333" t="s">
        <v>46570</v>
      </c>
      <c r="P9333">
        <v>0</v>
      </c>
      <c r="Q9333">
        <v>0</v>
      </c>
      <c r="R9333" t="s">
        <v>46577</v>
      </c>
      <c r="S9333" t="s">
        <v>46808</v>
      </c>
      <c r="T9333" t="s">
        <v>48293</v>
      </c>
      <c r="U9333" t="s">
        <v>56352</v>
      </c>
      <c r="W9333" t="s">
        <v>42724</v>
      </c>
      <c r="X9333" t="s">
        <v>46578</v>
      </c>
    </row>
    <row r="9334" spans="1:24">
      <c r="A9334">
        <f>HYPERLINK("https://www.philgeps.gov.ph/GEPSNONPILOT/Tender/SplashBidNoticeAbstractUI.aspx?menuIndex=3&amp;refID=7053463&amp;Result=3","7053463")</f>
        <v>0</v>
      </c>
      <c r="B9334" t="s">
        <v>1478</v>
      </c>
      <c r="C9334" t="s">
        <v>12385</v>
      </c>
      <c r="D9334" t="s">
        <v>18853</v>
      </c>
      <c r="E9334" t="s">
        <v>26999</v>
      </c>
      <c r="F9334" t="s">
        <v>32664</v>
      </c>
      <c r="G9334" t="s">
        <v>32672</v>
      </c>
      <c r="H9334" t="s">
        <v>32683</v>
      </c>
      <c r="I9334" t="s">
        <v>10627</v>
      </c>
      <c r="J9334" t="s">
        <v>38464</v>
      </c>
      <c r="K9334" t="s">
        <v>42303</v>
      </c>
      <c r="M9334" t="s">
        <v>44141</v>
      </c>
      <c r="N9334" t="s">
        <v>46569</v>
      </c>
      <c r="O9334" t="s">
        <v>46570</v>
      </c>
      <c r="P9334">
        <v>0</v>
      </c>
      <c r="Q9334">
        <v>0</v>
      </c>
      <c r="R9334" t="s">
        <v>46577</v>
      </c>
      <c r="S9334" t="s">
        <v>46808</v>
      </c>
      <c r="T9334" t="s">
        <v>48285</v>
      </c>
      <c r="U9334" t="s">
        <v>52065</v>
      </c>
      <c r="W9334" t="s">
        <v>44141</v>
      </c>
      <c r="X9334" t="s">
        <v>46578</v>
      </c>
    </row>
    <row r="9335" spans="1:24">
      <c r="A9335">
        <f>HYPERLINK("https://www.philgeps.gov.ph/GEPSNONPILOT/Tender/SplashBidNoticeAbstractUI.aspx?menuIndex=3&amp;refID=7053437&amp;Result=3","7053437")</f>
        <v>0</v>
      </c>
      <c r="B9335" t="s">
        <v>1150</v>
      </c>
      <c r="C9335" t="s">
        <v>12386</v>
      </c>
      <c r="D9335" t="s">
        <v>18845</v>
      </c>
      <c r="E9335" t="s">
        <v>27000</v>
      </c>
      <c r="F9335" t="s">
        <v>32664</v>
      </c>
      <c r="G9335" t="s">
        <v>32671</v>
      </c>
      <c r="H9335" t="s">
        <v>12635</v>
      </c>
      <c r="I9335" t="s">
        <v>32721</v>
      </c>
      <c r="J9335" t="s">
        <v>36171</v>
      </c>
      <c r="K9335" t="s">
        <v>42283</v>
      </c>
      <c r="M9335" t="s">
        <v>43781</v>
      </c>
      <c r="N9335" t="s">
        <v>46569</v>
      </c>
      <c r="O9335" t="s">
        <v>46570</v>
      </c>
      <c r="Q9335">
        <v>0</v>
      </c>
      <c r="R9335" t="s">
        <v>46577</v>
      </c>
      <c r="S9335" t="s">
        <v>46838</v>
      </c>
      <c r="T9335" t="s">
        <v>48258</v>
      </c>
      <c r="U9335" t="s">
        <v>56353</v>
      </c>
      <c r="W9335" t="s">
        <v>43781</v>
      </c>
      <c r="X9335" t="s">
        <v>46578</v>
      </c>
    </row>
    <row r="9336" spans="1:24">
      <c r="A9336">
        <f>HYPERLINK("https://www.philgeps.gov.ph/GEPSNONPILOT/Tender/SplashBidNoticeAbstractUI.aspx?menuIndex=3&amp;refID=7053426&amp;Result=3","7053426")</f>
        <v>0</v>
      </c>
      <c r="B9336" t="s">
        <v>2666</v>
      </c>
      <c r="C9336" t="s">
        <v>12387</v>
      </c>
      <c r="D9336" t="s">
        <v>18806</v>
      </c>
      <c r="E9336" t="s">
        <v>27001</v>
      </c>
      <c r="F9336" t="s">
        <v>32664</v>
      </c>
      <c r="G9336" t="s">
        <v>32674</v>
      </c>
      <c r="H9336" t="s">
        <v>12635</v>
      </c>
      <c r="I9336" t="s">
        <v>4439</v>
      </c>
      <c r="J9336" t="s">
        <v>38465</v>
      </c>
      <c r="K9336" t="s">
        <v>42309</v>
      </c>
      <c r="M9336" t="s">
        <v>45488</v>
      </c>
      <c r="N9336" t="s">
        <v>46569</v>
      </c>
      <c r="O9336" t="s">
        <v>46570</v>
      </c>
      <c r="P9336">
        <v>0</v>
      </c>
      <c r="Q9336">
        <v>0</v>
      </c>
      <c r="R9336" t="s">
        <v>46577</v>
      </c>
      <c r="S9336" t="s">
        <v>46808</v>
      </c>
      <c r="T9336" t="s">
        <v>48473</v>
      </c>
      <c r="U9336" t="s">
        <v>56354</v>
      </c>
      <c r="W9336" t="s">
        <v>45488</v>
      </c>
      <c r="X9336" t="s">
        <v>46578</v>
      </c>
    </row>
    <row r="9337" spans="1:24">
      <c r="A9337">
        <f>HYPERLINK("https://www.philgeps.gov.ph/GEPSNONPILOT/Tender/SplashBidNoticeAbstractUI.aspx?menuIndex=3&amp;refID=7053425&amp;Result=3","7053425")</f>
        <v>0</v>
      </c>
      <c r="B9337" t="s">
        <v>2676</v>
      </c>
      <c r="C9337" t="s">
        <v>12388</v>
      </c>
      <c r="D9337" t="s">
        <v>18785</v>
      </c>
      <c r="E9337" t="s">
        <v>27002</v>
      </c>
      <c r="F9337" t="s">
        <v>32664</v>
      </c>
      <c r="G9337" t="s">
        <v>32671</v>
      </c>
      <c r="H9337" t="s">
        <v>12635</v>
      </c>
      <c r="I9337" t="s">
        <v>6223</v>
      </c>
      <c r="J9337" t="s">
        <v>33126</v>
      </c>
      <c r="K9337" t="s">
        <v>42295</v>
      </c>
      <c r="M9337" t="s">
        <v>45499</v>
      </c>
      <c r="N9337" t="s">
        <v>46569</v>
      </c>
      <c r="O9337" t="s">
        <v>46570</v>
      </c>
      <c r="P9337">
        <v>0</v>
      </c>
      <c r="Q9337">
        <v>0</v>
      </c>
      <c r="R9337" t="s">
        <v>46577</v>
      </c>
      <c r="S9337" t="s">
        <v>46808</v>
      </c>
      <c r="T9337" t="s">
        <v>48534</v>
      </c>
      <c r="U9337" t="s">
        <v>56355</v>
      </c>
      <c r="W9337" t="s">
        <v>45499</v>
      </c>
      <c r="X9337" t="s">
        <v>46578</v>
      </c>
    </row>
    <row r="9338" spans="1:24">
      <c r="A9338">
        <f>HYPERLINK("https://www.philgeps.gov.ph/GEPSNONPILOT/Tender/SplashBidNoticeAbstractUI.aspx?menuIndex=3&amp;refID=7053424&amp;Result=3","7053424")</f>
        <v>0</v>
      </c>
      <c r="B9338" t="s">
        <v>2677</v>
      </c>
      <c r="C9338" t="s">
        <v>12389</v>
      </c>
      <c r="D9338" t="s">
        <v>18834</v>
      </c>
      <c r="E9338" t="s">
        <v>27003</v>
      </c>
      <c r="F9338" t="s">
        <v>32664</v>
      </c>
      <c r="G9338" t="s">
        <v>32672</v>
      </c>
      <c r="H9338" t="s">
        <v>32683</v>
      </c>
      <c r="I9338" t="s">
        <v>10627</v>
      </c>
      <c r="J9338" t="s">
        <v>38466</v>
      </c>
      <c r="K9338" t="s">
        <v>42298</v>
      </c>
      <c r="M9338" t="s">
        <v>45500</v>
      </c>
      <c r="N9338" t="s">
        <v>46569</v>
      </c>
      <c r="O9338" t="s">
        <v>46570</v>
      </c>
      <c r="P9338">
        <v>0</v>
      </c>
      <c r="Q9338">
        <v>2</v>
      </c>
      <c r="R9338" t="s">
        <v>46577</v>
      </c>
      <c r="S9338" t="s">
        <v>46808</v>
      </c>
      <c r="T9338" t="s">
        <v>48307</v>
      </c>
      <c r="U9338" t="s">
        <v>56356</v>
      </c>
      <c r="W9338" t="s">
        <v>45500</v>
      </c>
      <c r="X9338" t="s">
        <v>46578</v>
      </c>
    </row>
    <row r="9339" spans="1:24">
      <c r="A9339">
        <f>HYPERLINK("https://www.philgeps.gov.ph/GEPSNONPILOT/Tender/SplashBidNoticeAbstractUI.aspx?menuIndex=3&amp;refID=7053368&amp;Result=3","7053368")</f>
        <v>0</v>
      </c>
      <c r="B9339" t="s">
        <v>2678</v>
      </c>
      <c r="C9339" t="s">
        <v>12390</v>
      </c>
      <c r="D9339" t="s">
        <v>18794</v>
      </c>
      <c r="E9339" t="s">
        <v>27004</v>
      </c>
      <c r="F9339" t="s">
        <v>32664</v>
      </c>
      <c r="G9339" t="s">
        <v>32672</v>
      </c>
      <c r="H9339" t="s">
        <v>12635</v>
      </c>
      <c r="I9339" t="s">
        <v>10627</v>
      </c>
      <c r="J9339" t="s">
        <v>38467</v>
      </c>
      <c r="K9339" t="s">
        <v>42411</v>
      </c>
      <c r="M9339" t="s">
        <v>45501</v>
      </c>
      <c r="N9339" t="s">
        <v>46569</v>
      </c>
      <c r="O9339" t="s">
        <v>46570</v>
      </c>
      <c r="P9339">
        <v>0</v>
      </c>
      <c r="Q9339">
        <v>0</v>
      </c>
      <c r="R9339" t="s">
        <v>46577</v>
      </c>
      <c r="S9339" t="s">
        <v>46808</v>
      </c>
      <c r="T9339" t="s">
        <v>48492</v>
      </c>
      <c r="U9339" t="s">
        <v>56357</v>
      </c>
      <c r="V9339" t="s">
        <v>62587</v>
      </c>
      <c r="W9339" t="s">
        <v>45501</v>
      </c>
      <c r="X9339" t="s">
        <v>46578</v>
      </c>
    </row>
    <row r="9340" spans="1:24">
      <c r="A9340">
        <f>HYPERLINK("https://www.philgeps.gov.ph/GEPSNONPILOT/Tender/SplashBidNoticeAbstractUI.aspx?menuIndex=3&amp;refID=7053367&amp;Result=3","7053367")</f>
        <v>0</v>
      </c>
      <c r="B9340" t="s">
        <v>2679</v>
      </c>
      <c r="C9340" t="s">
        <v>4090</v>
      </c>
      <c r="E9340" t="s">
        <v>27005</v>
      </c>
      <c r="F9340" t="s">
        <v>32664</v>
      </c>
      <c r="G9340" t="s">
        <v>32672</v>
      </c>
      <c r="H9340" t="s">
        <v>32683</v>
      </c>
      <c r="I9340" t="s">
        <v>10627</v>
      </c>
      <c r="J9340" t="s">
        <v>38468</v>
      </c>
      <c r="K9340" t="s">
        <v>42283</v>
      </c>
      <c r="M9340" t="s">
        <v>45502</v>
      </c>
      <c r="N9340" t="s">
        <v>46569</v>
      </c>
      <c r="O9340" t="s">
        <v>46570</v>
      </c>
      <c r="P9340">
        <v>0</v>
      </c>
      <c r="Q9340">
        <v>1</v>
      </c>
      <c r="R9340" t="s">
        <v>46577</v>
      </c>
      <c r="S9340" t="s">
        <v>46808</v>
      </c>
      <c r="T9340" t="s">
        <v>48254</v>
      </c>
      <c r="U9340" t="s">
        <v>49424</v>
      </c>
      <c r="W9340" t="s">
        <v>45502</v>
      </c>
      <c r="X9340" t="s">
        <v>46578</v>
      </c>
    </row>
    <row r="9341" spans="1:24">
      <c r="A9341">
        <f>HYPERLINK("https://www.philgeps.gov.ph/GEPSNONPILOT/Tender/SplashBidNoticeAbstractUI.aspx?menuIndex=3&amp;refID=7053363&amp;Result=3","7053363")</f>
        <v>0</v>
      </c>
      <c r="B9341" t="s">
        <v>2645</v>
      </c>
      <c r="C9341" t="s">
        <v>12391</v>
      </c>
      <c r="D9341" t="s">
        <v>18838</v>
      </c>
      <c r="E9341" t="s">
        <v>27006</v>
      </c>
      <c r="F9341" t="s">
        <v>32664</v>
      </c>
      <c r="G9341" t="s">
        <v>32675</v>
      </c>
      <c r="H9341" t="s">
        <v>12635</v>
      </c>
      <c r="I9341" t="s">
        <v>6223</v>
      </c>
      <c r="J9341" t="s">
        <v>38469</v>
      </c>
      <c r="K9341" t="s">
        <v>42281</v>
      </c>
      <c r="M9341" t="s">
        <v>45466</v>
      </c>
      <c r="N9341" t="s">
        <v>46569</v>
      </c>
      <c r="O9341" t="s">
        <v>46570</v>
      </c>
      <c r="P9341">
        <v>0</v>
      </c>
      <c r="Q9341">
        <v>3</v>
      </c>
      <c r="R9341" t="s">
        <v>46577</v>
      </c>
      <c r="S9341" t="s">
        <v>46808</v>
      </c>
      <c r="T9341" t="s">
        <v>48256</v>
      </c>
      <c r="U9341" t="s">
        <v>56358</v>
      </c>
      <c r="V9341" t="s">
        <v>62588</v>
      </c>
      <c r="W9341" t="s">
        <v>45466</v>
      </c>
      <c r="X9341" t="s">
        <v>46578</v>
      </c>
    </row>
    <row r="9342" spans="1:24">
      <c r="A9342">
        <f>HYPERLINK("https://www.philgeps.gov.ph/GEPSNONPILOT/Tender/SplashBidNoticeAbstractUI.aspx?menuIndex=3&amp;refID=7053537&amp;Result=3","7053537")</f>
        <v>0</v>
      </c>
      <c r="B9342" t="s">
        <v>2634</v>
      </c>
      <c r="C9342" t="s">
        <v>12392</v>
      </c>
      <c r="D9342" t="s">
        <v>18798</v>
      </c>
      <c r="E9342" t="s">
        <v>27007</v>
      </c>
      <c r="F9342" t="s">
        <v>32664</v>
      </c>
      <c r="G9342" t="s">
        <v>32671</v>
      </c>
      <c r="H9342" t="s">
        <v>12635</v>
      </c>
      <c r="I9342" t="s">
        <v>32684</v>
      </c>
      <c r="J9342" t="s">
        <v>38470</v>
      </c>
      <c r="K9342" t="s">
        <v>42303</v>
      </c>
      <c r="M9342" t="s">
        <v>45454</v>
      </c>
      <c r="N9342" t="s">
        <v>46569</v>
      </c>
      <c r="O9342" t="s">
        <v>46570</v>
      </c>
      <c r="P9342">
        <v>0</v>
      </c>
      <c r="Q9342">
        <v>14</v>
      </c>
      <c r="R9342" t="s">
        <v>46577</v>
      </c>
      <c r="S9342" t="s">
        <v>46808</v>
      </c>
      <c r="T9342" t="s">
        <v>48473</v>
      </c>
      <c r="U9342" t="s">
        <v>56216</v>
      </c>
      <c r="V9342" t="s">
        <v>62589</v>
      </c>
      <c r="W9342" t="s">
        <v>45454</v>
      </c>
      <c r="X9342" t="s">
        <v>46578</v>
      </c>
    </row>
    <row r="9343" spans="1:24">
      <c r="A9343">
        <f>HYPERLINK("https://www.philgeps.gov.ph/GEPSNONPILOT/Tender/SplashBidNoticeAbstractUI.aspx?menuIndex=3&amp;refID=7053149&amp;Result=3","7053149")</f>
        <v>0</v>
      </c>
      <c r="B9343" t="s">
        <v>1227</v>
      </c>
      <c r="C9343" t="s">
        <v>12393</v>
      </c>
      <c r="D9343" t="s">
        <v>18784</v>
      </c>
      <c r="E9343" t="s">
        <v>27008</v>
      </c>
      <c r="F9343" t="s">
        <v>32664</v>
      </c>
      <c r="G9343" t="s">
        <v>32675</v>
      </c>
      <c r="H9343" t="s">
        <v>12635</v>
      </c>
      <c r="I9343" t="s">
        <v>6628</v>
      </c>
      <c r="J9343" t="s">
        <v>38471</v>
      </c>
      <c r="K9343" t="s">
        <v>42284</v>
      </c>
      <c r="M9343" t="s">
        <v>45481</v>
      </c>
      <c r="N9343" t="s">
        <v>46569</v>
      </c>
      <c r="O9343" t="s">
        <v>46570</v>
      </c>
      <c r="P9343">
        <v>0</v>
      </c>
      <c r="Q9343">
        <v>15</v>
      </c>
      <c r="R9343" t="s">
        <v>46577</v>
      </c>
      <c r="S9343" t="s">
        <v>46808</v>
      </c>
      <c r="T9343" t="s">
        <v>48578</v>
      </c>
      <c r="U9343" t="s">
        <v>56359</v>
      </c>
      <c r="V9343" t="s">
        <v>62581</v>
      </c>
      <c r="W9343" t="s">
        <v>45481</v>
      </c>
      <c r="X9343" t="s">
        <v>46578</v>
      </c>
    </row>
    <row r="9344" spans="1:24">
      <c r="A9344">
        <f>HYPERLINK("https://www.philgeps.gov.ph/GEPSNONPILOT/Tender/SplashBidNoticeAbstractUI.aspx?menuIndex=3&amp;refID=7053528&amp;Result=3","7053528")</f>
        <v>0</v>
      </c>
      <c r="B9344" t="s">
        <v>2680</v>
      </c>
      <c r="C9344" t="s">
        <v>12394</v>
      </c>
      <c r="D9344" t="s">
        <v>18784</v>
      </c>
      <c r="E9344" t="s">
        <v>27009</v>
      </c>
      <c r="F9344" t="s">
        <v>32664</v>
      </c>
      <c r="G9344" t="s">
        <v>32672</v>
      </c>
      <c r="H9344" t="s">
        <v>12635</v>
      </c>
      <c r="I9344" t="s">
        <v>32687</v>
      </c>
      <c r="J9344" t="s">
        <v>38472</v>
      </c>
      <c r="K9344" t="s">
        <v>42298</v>
      </c>
      <c r="M9344" t="s">
        <v>45503</v>
      </c>
      <c r="N9344" t="s">
        <v>46569</v>
      </c>
      <c r="O9344" t="s">
        <v>46570</v>
      </c>
      <c r="P9344">
        <v>0</v>
      </c>
      <c r="Q9344">
        <v>8</v>
      </c>
      <c r="R9344" t="s">
        <v>46577</v>
      </c>
      <c r="S9344" t="s">
        <v>46808</v>
      </c>
      <c r="T9344" t="s">
        <v>48538</v>
      </c>
      <c r="U9344" t="s">
        <v>56360</v>
      </c>
      <c r="W9344" t="s">
        <v>45503</v>
      </c>
      <c r="X9344" t="s">
        <v>46578</v>
      </c>
    </row>
    <row r="9345" spans="1:24">
      <c r="A9345">
        <f>HYPERLINK("https://www.philgeps.gov.ph/GEPSNONPILOT/Tender/SplashBidNoticeAbstractUI.aspx?menuIndex=3&amp;refID=7053534&amp;Result=3","7053534")</f>
        <v>0</v>
      </c>
      <c r="B9345" t="s">
        <v>2681</v>
      </c>
      <c r="C9345" t="s">
        <v>12395</v>
      </c>
      <c r="D9345" t="s">
        <v>18798</v>
      </c>
      <c r="E9345" t="s">
        <v>27010</v>
      </c>
      <c r="F9345" t="s">
        <v>32664</v>
      </c>
      <c r="G9345" t="s">
        <v>32672</v>
      </c>
      <c r="H9345" t="s">
        <v>12635</v>
      </c>
      <c r="I9345" t="s">
        <v>11464</v>
      </c>
      <c r="J9345" t="s">
        <v>33150</v>
      </c>
      <c r="K9345" t="s">
        <v>42281</v>
      </c>
      <c r="M9345" t="s">
        <v>45504</v>
      </c>
      <c r="N9345" t="s">
        <v>46569</v>
      </c>
      <c r="O9345" t="s">
        <v>46570</v>
      </c>
      <c r="P9345">
        <v>0</v>
      </c>
      <c r="Q9345">
        <v>8</v>
      </c>
      <c r="R9345" t="s">
        <v>46577</v>
      </c>
      <c r="S9345" t="s">
        <v>46808</v>
      </c>
      <c r="T9345" t="s">
        <v>48440</v>
      </c>
      <c r="U9345" t="s">
        <v>56361</v>
      </c>
      <c r="W9345" t="s">
        <v>45504</v>
      </c>
      <c r="X9345" t="s">
        <v>46578</v>
      </c>
    </row>
    <row r="9346" spans="1:24">
      <c r="A9346">
        <f>HYPERLINK("https://www.philgeps.gov.ph/GEPSNONPILOT/Tender/SplashBidNoticeAbstractUI.aspx?menuIndex=3&amp;refID=7053413&amp;Result=3","7053413")</f>
        <v>0</v>
      </c>
      <c r="B9346" t="s">
        <v>1150</v>
      </c>
      <c r="C9346" t="s">
        <v>6396</v>
      </c>
      <c r="D9346" t="s">
        <v>18845</v>
      </c>
      <c r="E9346" t="s">
        <v>27011</v>
      </c>
      <c r="F9346" t="s">
        <v>32664</v>
      </c>
      <c r="G9346" t="s">
        <v>32671</v>
      </c>
      <c r="H9346" t="s">
        <v>12635</v>
      </c>
      <c r="I9346" t="s">
        <v>4439</v>
      </c>
      <c r="J9346" t="s">
        <v>38473</v>
      </c>
      <c r="K9346" t="s">
        <v>42283</v>
      </c>
      <c r="M9346" t="s">
        <v>43781</v>
      </c>
      <c r="N9346" t="s">
        <v>46569</v>
      </c>
      <c r="O9346" t="s">
        <v>46570</v>
      </c>
      <c r="P9346">
        <v>0</v>
      </c>
      <c r="Q9346">
        <v>0</v>
      </c>
      <c r="R9346" t="s">
        <v>46577</v>
      </c>
      <c r="S9346" t="s">
        <v>46808</v>
      </c>
      <c r="T9346" t="s">
        <v>48449</v>
      </c>
      <c r="U9346" t="s">
        <v>56362</v>
      </c>
      <c r="W9346" t="s">
        <v>43781</v>
      </c>
      <c r="X9346" t="s">
        <v>46578</v>
      </c>
    </row>
    <row r="9347" spans="1:24">
      <c r="A9347">
        <f>HYPERLINK("https://www.philgeps.gov.ph/GEPSNONPILOT/Tender/SplashBidNoticeAbstractUI.aspx?menuIndex=3&amp;refID=7053521&amp;Result=3","7053521")</f>
        <v>0</v>
      </c>
      <c r="B9347" t="s">
        <v>2682</v>
      </c>
      <c r="C9347" t="s">
        <v>12396</v>
      </c>
      <c r="D9347" t="s">
        <v>18819</v>
      </c>
      <c r="E9347" t="s">
        <v>27012</v>
      </c>
      <c r="F9347" t="s">
        <v>32664</v>
      </c>
      <c r="G9347" t="s">
        <v>32672</v>
      </c>
      <c r="H9347" t="s">
        <v>12635</v>
      </c>
      <c r="I9347" t="s">
        <v>9946</v>
      </c>
      <c r="J9347" t="s">
        <v>38474</v>
      </c>
      <c r="K9347" t="s">
        <v>42303</v>
      </c>
      <c r="M9347" t="s">
        <v>45505</v>
      </c>
      <c r="N9347" t="s">
        <v>46569</v>
      </c>
      <c r="O9347" t="s">
        <v>46570</v>
      </c>
      <c r="P9347">
        <v>0</v>
      </c>
      <c r="Q9347">
        <v>4</v>
      </c>
      <c r="R9347" t="s">
        <v>46577</v>
      </c>
      <c r="S9347" t="s">
        <v>46808</v>
      </c>
      <c r="T9347" t="s">
        <v>48327</v>
      </c>
      <c r="U9347" t="s">
        <v>56363</v>
      </c>
      <c r="W9347" t="s">
        <v>45505</v>
      </c>
      <c r="X9347" t="s">
        <v>46578</v>
      </c>
    </row>
    <row r="9348" spans="1:24">
      <c r="A9348">
        <f>HYPERLINK("https://www.philgeps.gov.ph/GEPSNONPILOT/Tender/SplashBidNoticeAbstractUI.aspx?menuIndex=3&amp;refID=7053445&amp;Result=3","7053445")</f>
        <v>0</v>
      </c>
      <c r="B9348" t="s">
        <v>1150</v>
      </c>
      <c r="C9348" t="s">
        <v>12397</v>
      </c>
      <c r="D9348" t="s">
        <v>18845</v>
      </c>
      <c r="E9348" t="s">
        <v>27013</v>
      </c>
      <c r="F9348" t="s">
        <v>32664</v>
      </c>
      <c r="G9348" t="s">
        <v>32672</v>
      </c>
      <c r="H9348" t="s">
        <v>32683</v>
      </c>
      <c r="I9348" t="s">
        <v>10627</v>
      </c>
      <c r="J9348" t="s">
        <v>38475</v>
      </c>
      <c r="K9348" t="s">
        <v>42312</v>
      </c>
      <c r="M9348" t="s">
        <v>45506</v>
      </c>
      <c r="N9348" t="s">
        <v>46569</v>
      </c>
      <c r="O9348" t="s">
        <v>46570</v>
      </c>
      <c r="P9348">
        <v>0</v>
      </c>
      <c r="Q9348">
        <v>1</v>
      </c>
      <c r="R9348" t="s">
        <v>46577</v>
      </c>
      <c r="S9348" t="s">
        <v>46808</v>
      </c>
      <c r="T9348" t="s">
        <v>48296</v>
      </c>
      <c r="U9348" t="s">
        <v>56364</v>
      </c>
      <c r="W9348" t="s">
        <v>45506</v>
      </c>
      <c r="X9348" t="s">
        <v>46578</v>
      </c>
    </row>
    <row r="9349" spans="1:24">
      <c r="A9349">
        <f>HYPERLINK("https://www.philgeps.gov.ph/GEPSNONPILOT/Tender/SplashBidNoticeAbstractUI.aspx?menuIndex=3&amp;refID=7053516&amp;Result=3","7053516")</f>
        <v>0</v>
      </c>
      <c r="B9349" t="s">
        <v>2669</v>
      </c>
      <c r="C9349" t="s">
        <v>12398</v>
      </c>
      <c r="D9349" t="s">
        <v>18812</v>
      </c>
      <c r="E9349" t="s">
        <v>21047</v>
      </c>
      <c r="F9349" t="s">
        <v>32664</v>
      </c>
      <c r="G9349" t="s">
        <v>32672</v>
      </c>
      <c r="H9349" t="s">
        <v>12635</v>
      </c>
      <c r="I9349" t="s">
        <v>4439</v>
      </c>
      <c r="J9349" t="s">
        <v>38476</v>
      </c>
      <c r="K9349" t="s">
        <v>42297</v>
      </c>
      <c r="L9349" t="s">
        <v>2669</v>
      </c>
      <c r="M9349" t="s">
        <v>45491</v>
      </c>
      <c r="N9349" t="s">
        <v>46569</v>
      </c>
      <c r="O9349" t="s">
        <v>46570</v>
      </c>
      <c r="P9349">
        <v>0</v>
      </c>
      <c r="Q9349">
        <v>2</v>
      </c>
      <c r="R9349" t="s">
        <v>46577</v>
      </c>
      <c r="S9349" t="s">
        <v>46808</v>
      </c>
      <c r="T9349" t="s">
        <v>48346</v>
      </c>
      <c r="U9349" t="s">
        <v>56365</v>
      </c>
      <c r="V9349" t="s">
        <v>62583</v>
      </c>
      <c r="W9349" t="s">
        <v>45491</v>
      </c>
      <c r="X9349" t="s">
        <v>46578</v>
      </c>
    </row>
    <row r="9350" spans="1:24">
      <c r="A9350">
        <f>HYPERLINK("https://www.philgeps.gov.ph/GEPSNONPILOT/Tender/SplashBidNoticeAbstractUI.aspx?menuIndex=3&amp;refID=7053432&amp;Result=3","7053432")</f>
        <v>0</v>
      </c>
      <c r="B9350" t="s">
        <v>2634</v>
      </c>
      <c r="C9350" t="s">
        <v>12399</v>
      </c>
      <c r="D9350" t="s">
        <v>18798</v>
      </c>
      <c r="E9350" t="s">
        <v>27014</v>
      </c>
      <c r="F9350" t="s">
        <v>32664</v>
      </c>
      <c r="G9350" t="s">
        <v>32671</v>
      </c>
      <c r="H9350" t="s">
        <v>12635</v>
      </c>
      <c r="I9350" t="s">
        <v>10370</v>
      </c>
      <c r="J9350" t="s">
        <v>38477</v>
      </c>
      <c r="K9350" t="s">
        <v>42303</v>
      </c>
      <c r="M9350" t="s">
        <v>45454</v>
      </c>
      <c r="N9350" t="s">
        <v>46569</v>
      </c>
      <c r="O9350" t="s">
        <v>46570</v>
      </c>
      <c r="P9350">
        <v>0</v>
      </c>
      <c r="Q9350">
        <v>5</v>
      </c>
      <c r="R9350" t="s">
        <v>46577</v>
      </c>
      <c r="S9350" t="s">
        <v>46808</v>
      </c>
      <c r="T9350" t="s">
        <v>48473</v>
      </c>
      <c r="U9350" t="s">
        <v>56216</v>
      </c>
      <c r="V9350" t="s">
        <v>62590</v>
      </c>
      <c r="W9350" t="s">
        <v>45454</v>
      </c>
      <c r="X9350" t="s">
        <v>46578</v>
      </c>
    </row>
    <row r="9351" spans="1:24">
      <c r="A9351">
        <f>HYPERLINK("https://www.philgeps.gov.ph/GEPSNONPILOT/Tender/SplashBidNoticeAbstractUI.aspx?menuIndex=3&amp;refID=7053508&amp;Result=3","7053508")</f>
        <v>0</v>
      </c>
      <c r="B9351" t="s">
        <v>2683</v>
      </c>
      <c r="C9351" t="s">
        <v>12400</v>
      </c>
      <c r="D9351" t="s">
        <v>18816</v>
      </c>
      <c r="E9351" t="s">
        <v>27015</v>
      </c>
      <c r="F9351" t="s">
        <v>32664</v>
      </c>
      <c r="G9351" t="s">
        <v>32672</v>
      </c>
      <c r="H9351" t="s">
        <v>12635</v>
      </c>
      <c r="I9351" t="s">
        <v>32711</v>
      </c>
      <c r="J9351" t="s">
        <v>38478</v>
      </c>
      <c r="K9351" t="s">
        <v>42309</v>
      </c>
      <c r="M9351" t="s">
        <v>45507</v>
      </c>
      <c r="N9351" t="s">
        <v>46569</v>
      </c>
      <c r="O9351" t="s">
        <v>46570</v>
      </c>
      <c r="P9351">
        <v>0</v>
      </c>
      <c r="Q9351">
        <v>1</v>
      </c>
      <c r="R9351" t="s">
        <v>46577</v>
      </c>
      <c r="S9351" t="s">
        <v>46808</v>
      </c>
      <c r="T9351" t="s">
        <v>48305</v>
      </c>
      <c r="U9351" t="s">
        <v>56366</v>
      </c>
      <c r="W9351" t="s">
        <v>45507</v>
      </c>
      <c r="X9351" t="s">
        <v>46578</v>
      </c>
    </row>
    <row r="9352" spans="1:24">
      <c r="A9352">
        <f>HYPERLINK("https://www.philgeps.gov.ph/GEPSNONPILOT/Tender/SplashBidNoticeAbstractUI.aspx?menuIndex=3&amp;refID=7053507&amp;Result=3","7053507")</f>
        <v>0</v>
      </c>
      <c r="B9352" t="s">
        <v>2684</v>
      </c>
      <c r="C9352" t="s">
        <v>12401</v>
      </c>
      <c r="D9352" t="s">
        <v>18844</v>
      </c>
      <c r="E9352" t="s">
        <v>27016</v>
      </c>
      <c r="F9352" t="s">
        <v>32664</v>
      </c>
      <c r="G9352" t="s">
        <v>32671</v>
      </c>
      <c r="H9352" t="s">
        <v>12635</v>
      </c>
      <c r="I9352" t="s">
        <v>6628</v>
      </c>
      <c r="J9352" t="s">
        <v>33173</v>
      </c>
      <c r="K9352" t="s">
        <v>42281</v>
      </c>
      <c r="M9352" t="s">
        <v>45508</v>
      </c>
      <c r="N9352" t="s">
        <v>46569</v>
      </c>
      <c r="O9352" t="s">
        <v>46570</v>
      </c>
      <c r="P9352">
        <v>0</v>
      </c>
      <c r="Q9352">
        <v>1</v>
      </c>
      <c r="R9352" t="s">
        <v>46577</v>
      </c>
      <c r="S9352" t="s">
        <v>46808</v>
      </c>
      <c r="T9352" t="s">
        <v>48287</v>
      </c>
      <c r="U9352" t="s">
        <v>52191</v>
      </c>
      <c r="W9352" t="s">
        <v>45508</v>
      </c>
      <c r="X9352" t="s">
        <v>46578</v>
      </c>
    </row>
    <row r="9353" spans="1:24">
      <c r="A9353">
        <f>HYPERLINK("https://www.philgeps.gov.ph/GEPSNONPILOT/Tender/SplashBidNoticeAbstractUI.aspx?menuIndex=3&amp;refID=7053542&amp;Result=3","7053542")</f>
        <v>0</v>
      </c>
      <c r="B9353" t="s">
        <v>1939</v>
      </c>
      <c r="C9353" t="s">
        <v>12402</v>
      </c>
      <c r="D9353" t="s">
        <v>18782</v>
      </c>
      <c r="E9353" t="s">
        <v>27017</v>
      </c>
      <c r="F9353" t="s">
        <v>32664</v>
      </c>
      <c r="G9353" t="s">
        <v>32671</v>
      </c>
      <c r="H9353" t="s">
        <v>12635</v>
      </c>
      <c r="I9353" t="s">
        <v>32685</v>
      </c>
      <c r="J9353" t="s">
        <v>35197</v>
      </c>
      <c r="K9353" t="s">
        <v>42306</v>
      </c>
      <c r="L9353" t="s">
        <v>1939</v>
      </c>
      <c r="M9353" t="s">
        <v>44664</v>
      </c>
      <c r="N9353" t="s">
        <v>46569</v>
      </c>
      <c r="O9353" t="s">
        <v>46570</v>
      </c>
      <c r="P9353">
        <v>0</v>
      </c>
      <c r="Q9353">
        <v>0</v>
      </c>
      <c r="R9353" t="s">
        <v>46577</v>
      </c>
      <c r="S9353" t="s">
        <v>46808</v>
      </c>
      <c r="T9353" t="s">
        <v>48307</v>
      </c>
      <c r="U9353" t="s">
        <v>56367</v>
      </c>
      <c r="W9353" t="s">
        <v>44664</v>
      </c>
      <c r="X9353" t="s">
        <v>46578</v>
      </c>
    </row>
    <row r="9354" spans="1:24">
      <c r="A9354">
        <f>HYPERLINK("https://www.philgeps.gov.ph/GEPSNONPILOT/Tender/SplashBidNoticeAbstractUI.aspx?menuIndex=3&amp;refID=7053592&amp;Result=3","7053592")</f>
        <v>0</v>
      </c>
      <c r="B9354" t="s">
        <v>1863</v>
      </c>
      <c r="C9354" t="s">
        <v>12403</v>
      </c>
      <c r="D9354" t="s">
        <v>18783</v>
      </c>
      <c r="E9354" t="s">
        <v>27018</v>
      </c>
      <c r="F9354" t="s">
        <v>32664</v>
      </c>
      <c r="G9354" t="s">
        <v>32672</v>
      </c>
      <c r="H9354" t="s">
        <v>12635</v>
      </c>
      <c r="I9354" t="s">
        <v>10590</v>
      </c>
      <c r="J9354" t="s">
        <v>38479</v>
      </c>
      <c r="K9354" t="s">
        <v>42378</v>
      </c>
      <c r="M9354" t="s">
        <v>44576</v>
      </c>
      <c r="N9354" t="s">
        <v>46569</v>
      </c>
      <c r="O9354" t="s">
        <v>46570</v>
      </c>
      <c r="P9354">
        <v>0</v>
      </c>
      <c r="Q9354">
        <v>0</v>
      </c>
      <c r="R9354" t="s">
        <v>46577</v>
      </c>
      <c r="S9354" t="s">
        <v>46808</v>
      </c>
      <c r="T9354" t="s">
        <v>48307</v>
      </c>
      <c r="U9354" t="s">
        <v>56368</v>
      </c>
      <c r="V9354" t="s">
        <v>62203</v>
      </c>
      <c r="W9354" t="s">
        <v>44576</v>
      </c>
      <c r="X9354" t="s">
        <v>46578</v>
      </c>
    </row>
    <row r="9355" spans="1:24">
      <c r="A9355">
        <f>HYPERLINK("https://www.philgeps.gov.ph/GEPSNONPILOT/Tender/SplashBidNoticeAbstractUI.aspx?menuIndex=3&amp;refID=7053519&amp;Result=3","7053519")</f>
        <v>0</v>
      </c>
      <c r="B9355" t="s">
        <v>1376</v>
      </c>
      <c r="C9355" t="s">
        <v>12404</v>
      </c>
      <c r="D9355" t="s">
        <v>18841</v>
      </c>
      <c r="E9355" t="s">
        <v>27019</v>
      </c>
      <c r="F9355" t="s">
        <v>32664</v>
      </c>
      <c r="G9355" t="s">
        <v>32672</v>
      </c>
      <c r="H9355" t="s">
        <v>32683</v>
      </c>
      <c r="I9355" t="s">
        <v>10627</v>
      </c>
      <c r="J9355" t="s">
        <v>38480</v>
      </c>
      <c r="K9355" t="s">
        <v>42290</v>
      </c>
      <c r="M9355" t="s">
        <v>44031</v>
      </c>
      <c r="N9355" t="s">
        <v>46569</v>
      </c>
      <c r="O9355" t="s">
        <v>46570</v>
      </c>
      <c r="P9355">
        <v>0</v>
      </c>
      <c r="Q9355">
        <v>0</v>
      </c>
      <c r="R9355" t="s">
        <v>46577</v>
      </c>
      <c r="S9355" t="s">
        <v>46808</v>
      </c>
      <c r="T9355" t="s">
        <v>48405</v>
      </c>
      <c r="U9355" t="s">
        <v>56369</v>
      </c>
      <c r="V9355" t="s">
        <v>61986</v>
      </c>
      <c r="W9355" t="s">
        <v>44031</v>
      </c>
      <c r="X9355" t="s">
        <v>46578</v>
      </c>
    </row>
    <row r="9356" spans="1:24">
      <c r="A9356">
        <f>HYPERLINK("https://www.philgeps.gov.ph/GEPSNONPILOT/Tender/SplashBidNoticeAbstractUI.aspx?menuIndex=3&amp;refID=7053522&amp;Result=3","7053522")</f>
        <v>0</v>
      </c>
      <c r="B9356" t="s">
        <v>1478</v>
      </c>
      <c r="C9356" t="s">
        <v>12405</v>
      </c>
      <c r="D9356" t="s">
        <v>18853</v>
      </c>
      <c r="E9356" t="s">
        <v>27020</v>
      </c>
      <c r="F9356" t="s">
        <v>32664</v>
      </c>
      <c r="G9356" t="s">
        <v>32672</v>
      </c>
      <c r="H9356" t="s">
        <v>32683</v>
      </c>
      <c r="I9356" t="s">
        <v>10627</v>
      </c>
      <c r="J9356" t="s">
        <v>38481</v>
      </c>
      <c r="K9356" t="s">
        <v>42303</v>
      </c>
      <c r="M9356" t="s">
        <v>44141</v>
      </c>
      <c r="N9356" t="s">
        <v>46569</v>
      </c>
      <c r="O9356" t="s">
        <v>46570</v>
      </c>
      <c r="P9356">
        <v>0</v>
      </c>
      <c r="Q9356">
        <v>0</v>
      </c>
      <c r="R9356" t="s">
        <v>46577</v>
      </c>
      <c r="S9356" t="s">
        <v>46808</v>
      </c>
      <c r="T9356" t="s">
        <v>48285</v>
      </c>
      <c r="U9356" t="s">
        <v>52065</v>
      </c>
      <c r="W9356" t="s">
        <v>44141</v>
      </c>
      <c r="X9356" t="s">
        <v>46578</v>
      </c>
    </row>
    <row r="9357" spans="1:24">
      <c r="A9357">
        <f>HYPERLINK("https://www.philgeps.gov.ph/GEPSNONPILOT/Tender/SplashBidNoticeAbstractUI.aspx?menuIndex=3&amp;refID=7053499&amp;Result=3","7053499")</f>
        <v>0</v>
      </c>
      <c r="B9357" t="s">
        <v>1838</v>
      </c>
      <c r="C9357" t="s">
        <v>12406</v>
      </c>
      <c r="D9357" t="s">
        <v>18799</v>
      </c>
      <c r="E9357" t="s">
        <v>27021</v>
      </c>
      <c r="F9357" t="s">
        <v>32664</v>
      </c>
      <c r="G9357" t="s">
        <v>32674</v>
      </c>
      <c r="H9357" t="s">
        <v>12635</v>
      </c>
      <c r="I9357" t="s">
        <v>14442</v>
      </c>
      <c r="J9357" t="s">
        <v>32974</v>
      </c>
      <c r="K9357" t="s">
        <v>42305</v>
      </c>
      <c r="M9357" t="s">
        <v>44546</v>
      </c>
      <c r="N9357" t="s">
        <v>46569</v>
      </c>
      <c r="O9357" t="s">
        <v>46570</v>
      </c>
      <c r="Q9357">
        <v>2</v>
      </c>
      <c r="R9357" t="s">
        <v>46577</v>
      </c>
      <c r="S9357" t="s">
        <v>46717</v>
      </c>
      <c r="T9357" t="s">
        <v>48316</v>
      </c>
      <c r="U9357" t="s">
        <v>49565</v>
      </c>
      <c r="W9357" t="s">
        <v>44546</v>
      </c>
      <c r="X9357" t="s">
        <v>46578</v>
      </c>
    </row>
    <row r="9358" spans="1:24">
      <c r="A9358">
        <f>HYPERLINK("https://www.philgeps.gov.ph/GEPSNONPILOT/Tender/SplashBidNoticeAbstractUI.aspx?menuIndex=3&amp;refID=7053594&amp;Result=3","7053594")</f>
        <v>0</v>
      </c>
      <c r="B9358" t="s">
        <v>2651</v>
      </c>
      <c r="C9358" t="s">
        <v>12407</v>
      </c>
      <c r="D9358" t="s">
        <v>18797</v>
      </c>
      <c r="E9358" t="s">
        <v>27022</v>
      </c>
      <c r="F9358" t="s">
        <v>32664</v>
      </c>
      <c r="G9358" t="s">
        <v>32674</v>
      </c>
      <c r="H9358" t="s">
        <v>12635</v>
      </c>
      <c r="I9358" t="s">
        <v>32708</v>
      </c>
      <c r="J9358" t="s">
        <v>36171</v>
      </c>
      <c r="K9358" t="s">
        <v>42297</v>
      </c>
      <c r="M9358" t="s">
        <v>45473</v>
      </c>
      <c r="N9358" t="s">
        <v>46569</v>
      </c>
      <c r="O9358" t="s">
        <v>46570</v>
      </c>
      <c r="P9358">
        <v>0</v>
      </c>
      <c r="Q9358">
        <v>1</v>
      </c>
      <c r="R9358" t="s">
        <v>46577</v>
      </c>
      <c r="S9358" t="s">
        <v>46808</v>
      </c>
      <c r="T9358" t="s">
        <v>48562</v>
      </c>
      <c r="U9358" t="s">
        <v>56370</v>
      </c>
      <c r="W9358" t="s">
        <v>45473</v>
      </c>
      <c r="X9358" t="s">
        <v>46578</v>
      </c>
    </row>
    <row r="9359" spans="1:24">
      <c r="A9359">
        <f>HYPERLINK("https://www.philgeps.gov.ph/GEPSNONPILOT/Tender/SplashBidNoticeAbstractUI.aspx?menuIndex=3&amp;refID=7053589&amp;Result=3","7053589")</f>
        <v>0</v>
      </c>
      <c r="B9359" t="s">
        <v>529</v>
      </c>
      <c r="C9359" t="s">
        <v>12408</v>
      </c>
      <c r="D9359" t="s">
        <v>18788</v>
      </c>
      <c r="E9359" t="s">
        <v>27023</v>
      </c>
      <c r="F9359" t="s">
        <v>32664</v>
      </c>
      <c r="G9359" t="s">
        <v>32671</v>
      </c>
      <c r="H9359" t="s">
        <v>12635</v>
      </c>
      <c r="I9359" t="s">
        <v>32694</v>
      </c>
      <c r="J9359" t="s">
        <v>37594</v>
      </c>
      <c r="K9359" t="s">
        <v>42283</v>
      </c>
      <c r="M9359" t="s">
        <v>43107</v>
      </c>
      <c r="N9359" t="s">
        <v>46569</v>
      </c>
      <c r="O9359" t="s">
        <v>46570</v>
      </c>
      <c r="P9359">
        <v>0</v>
      </c>
      <c r="Q9359">
        <v>0</v>
      </c>
      <c r="R9359" t="s">
        <v>46577</v>
      </c>
      <c r="S9359" t="s">
        <v>46808</v>
      </c>
      <c r="T9359" t="s">
        <v>48578</v>
      </c>
      <c r="U9359" t="s">
        <v>56371</v>
      </c>
      <c r="V9359" t="s">
        <v>61747</v>
      </c>
      <c r="W9359" t="s">
        <v>43107</v>
      </c>
      <c r="X9359" t="s">
        <v>46578</v>
      </c>
    </row>
    <row r="9360" spans="1:24">
      <c r="A9360">
        <f>HYPERLINK("https://www.philgeps.gov.ph/GEPSNONPILOT/Tender/SplashBidNoticeAbstractUI.aspx?menuIndex=3&amp;refID=7053197&amp;Result=3","7053197")</f>
        <v>0</v>
      </c>
      <c r="B9360" t="s">
        <v>2685</v>
      </c>
      <c r="C9360" t="s">
        <v>12409</v>
      </c>
      <c r="D9360" t="s">
        <v>18831</v>
      </c>
      <c r="E9360" t="s">
        <v>27024</v>
      </c>
      <c r="F9360" t="s">
        <v>32664</v>
      </c>
      <c r="G9360" t="s">
        <v>32672</v>
      </c>
      <c r="H9360" t="s">
        <v>32683</v>
      </c>
      <c r="I9360" t="s">
        <v>10627</v>
      </c>
      <c r="J9360" t="s">
        <v>38482</v>
      </c>
      <c r="K9360" t="s">
        <v>42305</v>
      </c>
      <c r="M9360" t="s">
        <v>45509</v>
      </c>
      <c r="N9360" t="s">
        <v>46569</v>
      </c>
      <c r="O9360" t="s">
        <v>46570</v>
      </c>
      <c r="Q9360">
        <v>3</v>
      </c>
      <c r="R9360" t="s">
        <v>46577</v>
      </c>
      <c r="S9360" t="s">
        <v>46839</v>
      </c>
      <c r="T9360" t="s">
        <v>48313</v>
      </c>
      <c r="U9360" t="s">
        <v>56372</v>
      </c>
      <c r="W9360" t="s">
        <v>45509</v>
      </c>
      <c r="X9360" t="s">
        <v>46578</v>
      </c>
    </row>
    <row r="9361" spans="1:24">
      <c r="A9361">
        <f>HYPERLINK("https://www.philgeps.gov.ph/GEPSNONPILOT/Tender/SplashBidNoticeAbstractUI.aspx?menuIndex=3&amp;refID=7053587&amp;Result=3","7053587")</f>
        <v>0</v>
      </c>
      <c r="B9361" t="s">
        <v>2686</v>
      </c>
      <c r="C9361" t="s">
        <v>12410</v>
      </c>
      <c r="D9361" t="s">
        <v>18838</v>
      </c>
      <c r="E9361" t="s">
        <v>27025</v>
      </c>
      <c r="F9361" t="s">
        <v>32664</v>
      </c>
      <c r="G9361" t="s">
        <v>32672</v>
      </c>
      <c r="H9361" t="s">
        <v>12635</v>
      </c>
      <c r="I9361" t="s">
        <v>4439</v>
      </c>
      <c r="J9361" t="s">
        <v>38483</v>
      </c>
      <c r="K9361" t="s">
        <v>42330</v>
      </c>
      <c r="M9361" t="s">
        <v>45510</v>
      </c>
      <c r="N9361" t="s">
        <v>46569</v>
      </c>
      <c r="O9361" t="s">
        <v>46570</v>
      </c>
      <c r="P9361">
        <v>0</v>
      </c>
      <c r="Q9361">
        <v>1</v>
      </c>
      <c r="R9361" t="s">
        <v>46577</v>
      </c>
      <c r="S9361" t="s">
        <v>46808</v>
      </c>
      <c r="T9361" t="s">
        <v>48254</v>
      </c>
      <c r="U9361" t="s">
        <v>56373</v>
      </c>
      <c r="W9361" t="s">
        <v>45510</v>
      </c>
      <c r="X9361" t="s">
        <v>46578</v>
      </c>
    </row>
    <row r="9362" spans="1:24">
      <c r="A9362">
        <f>HYPERLINK("https://www.philgeps.gov.ph/GEPSNONPILOT/Tender/SplashBidNoticeAbstractUI.aspx?menuIndex=3&amp;refID=7053580&amp;Result=3","7053580")</f>
        <v>0</v>
      </c>
      <c r="B9362" t="s">
        <v>2409</v>
      </c>
      <c r="C9362" t="s">
        <v>12411</v>
      </c>
      <c r="D9362" t="s">
        <v>18786</v>
      </c>
      <c r="E9362" t="s">
        <v>27026</v>
      </c>
      <c r="F9362" t="s">
        <v>32664</v>
      </c>
      <c r="G9362" t="s">
        <v>32672</v>
      </c>
      <c r="H9362" t="s">
        <v>32683</v>
      </c>
      <c r="I9362" t="s">
        <v>10627</v>
      </c>
      <c r="J9362" t="s">
        <v>38484</v>
      </c>
      <c r="K9362" t="s">
        <v>42369</v>
      </c>
      <c r="L9362" t="s">
        <v>2409</v>
      </c>
      <c r="M9362" t="s">
        <v>45362</v>
      </c>
      <c r="N9362" t="s">
        <v>46569</v>
      </c>
      <c r="O9362" t="s">
        <v>46570</v>
      </c>
      <c r="P9362">
        <v>0</v>
      </c>
      <c r="Q9362">
        <v>2</v>
      </c>
      <c r="R9362" t="s">
        <v>46577</v>
      </c>
      <c r="S9362" t="s">
        <v>46808</v>
      </c>
      <c r="T9362" t="s">
        <v>48213</v>
      </c>
      <c r="U9362" t="s">
        <v>56374</v>
      </c>
      <c r="W9362" t="s">
        <v>45362</v>
      </c>
      <c r="X9362" t="s">
        <v>46578</v>
      </c>
    </row>
    <row r="9363" spans="1:24">
      <c r="A9363">
        <f>HYPERLINK("https://www.philgeps.gov.ph/GEPSNONPILOT/Tender/SplashBidNoticeAbstractUI.aspx?menuIndex=3&amp;refID=7053579&amp;Result=3","7053579")</f>
        <v>0</v>
      </c>
      <c r="B9363" t="s">
        <v>1108</v>
      </c>
      <c r="C9363" t="s">
        <v>12412</v>
      </c>
      <c r="D9363" t="s">
        <v>18796</v>
      </c>
      <c r="E9363" t="s">
        <v>27027</v>
      </c>
      <c r="F9363" t="s">
        <v>32664</v>
      </c>
      <c r="G9363" t="s">
        <v>32672</v>
      </c>
      <c r="H9363" t="s">
        <v>32683</v>
      </c>
      <c r="I9363" t="s">
        <v>10627</v>
      </c>
      <c r="J9363" t="s">
        <v>34667</v>
      </c>
      <c r="K9363" t="s">
        <v>42487</v>
      </c>
      <c r="M9363" t="s">
        <v>43735</v>
      </c>
      <c r="N9363" t="s">
        <v>46569</v>
      </c>
      <c r="O9363" t="s">
        <v>46570</v>
      </c>
      <c r="P9363">
        <v>0</v>
      </c>
      <c r="Q9363">
        <v>1</v>
      </c>
      <c r="R9363" t="s">
        <v>46577</v>
      </c>
      <c r="S9363" t="s">
        <v>46808</v>
      </c>
      <c r="T9363" t="s">
        <v>48213</v>
      </c>
      <c r="U9363" t="s">
        <v>51113</v>
      </c>
      <c r="V9363" t="s">
        <v>62591</v>
      </c>
      <c r="W9363" t="s">
        <v>43735</v>
      </c>
      <c r="X9363" t="s">
        <v>46578</v>
      </c>
    </row>
    <row r="9364" spans="1:24">
      <c r="A9364">
        <f>HYPERLINK("https://www.philgeps.gov.ph/GEPSNONPILOT/Tender/SplashBidNoticeAbstractUI.aspx?menuIndex=3&amp;refID=7053578&amp;Result=3","7053578")</f>
        <v>0</v>
      </c>
      <c r="B9364" t="s">
        <v>1478</v>
      </c>
      <c r="C9364" t="s">
        <v>12413</v>
      </c>
      <c r="D9364" t="s">
        <v>18853</v>
      </c>
      <c r="E9364" t="s">
        <v>27028</v>
      </c>
      <c r="F9364" t="s">
        <v>32664</v>
      </c>
      <c r="G9364" t="s">
        <v>32672</v>
      </c>
      <c r="H9364" t="s">
        <v>32683</v>
      </c>
      <c r="I9364" t="s">
        <v>10627</v>
      </c>
      <c r="J9364" t="s">
        <v>38485</v>
      </c>
      <c r="K9364" t="s">
        <v>42335</v>
      </c>
      <c r="M9364" t="s">
        <v>44141</v>
      </c>
      <c r="N9364" t="s">
        <v>46569</v>
      </c>
      <c r="O9364" t="s">
        <v>46570</v>
      </c>
      <c r="P9364">
        <v>0</v>
      </c>
      <c r="Q9364">
        <v>0</v>
      </c>
      <c r="R9364" t="s">
        <v>46577</v>
      </c>
      <c r="S9364" t="s">
        <v>46808</v>
      </c>
      <c r="T9364" t="s">
        <v>48285</v>
      </c>
      <c r="U9364" t="s">
        <v>52065</v>
      </c>
      <c r="W9364" t="s">
        <v>44141</v>
      </c>
      <c r="X9364" t="s">
        <v>46578</v>
      </c>
    </row>
    <row r="9365" spans="1:24">
      <c r="A9365">
        <f>HYPERLINK("https://www.philgeps.gov.ph/GEPSNONPILOT/Tender/SplashBidNoticeAbstractUI.aspx?menuIndex=3&amp;refID=7053577&amp;Result=3","7053577")</f>
        <v>0</v>
      </c>
      <c r="B9365" t="s">
        <v>1452</v>
      </c>
      <c r="C9365" t="s">
        <v>12414</v>
      </c>
      <c r="D9365" t="s">
        <v>18812</v>
      </c>
      <c r="E9365" t="s">
        <v>27029</v>
      </c>
      <c r="F9365" t="s">
        <v>32664</v>
      </c>
      <c r="G9365" t="s">
        <v>32672</v>
      </c>
      <c r="H9365" t="s">
        <v>32683</v>
      </c>
      <c r="I9365" t="s">
        <v>10627</v>
      </c>
      <c r="J9365" t="s">
        <v>32865</v>
      </c>
      <c r="K9365" t="s">
        <v>42413</v>
      </c>
      <c r="M9365" t="s">
        <v>44113</v>
      </c>
      <c r="N9365" t="s">
        <v>46569</v>
      </c>
      <c r="O9365" t="s">
        <v>46570</v>
      </c>
      <c r="Q9365">
        <v>0</v>
      </c>
      <c r="R9365" t="s">
        <v>46577</v>
      </c>
      <c r="S9365" t="s">
        <v>46840</v>
      </c>
      <c r="T9365" t="s">
        <v>48282</v>
      </c>
      <c r="U9365" t="s">
        <v>56375</v>
      </c>
      <c r="W9365" t="s">
        <v>44113</v>
      </c>
      <c r="X9365" t="s">
        <v>46578</v>
      </c>
    </row>
    <row r="9366" spans="1:24">
      <c r="A9366">
        <f>HYPERLINK("https://www.philgeps.gov.ph/GEPSNONPILOT/Tender/SplashBidNoticeAbstractUI.aspx?menuIndex=3&amp;refID=7053568&amp;Result=3","7053568")</f>
        <v>0</v>
      </c>
      <c r="B9366" t="s">
        <v>1485</v>
      </c>
      <c r="C9366" t="s">
        <v>12415</v>
      </c>
      <c r="E9366" t="s">
        <v>27030</v>
      </c>
      <c r="F9366" t="s">
        <v>32664</v>
      </c>
      <c r="G9366" t="s">
        <v>32671</v>
      </c>
      <c r="H9366" t="s">
        <v>12635</v>
      </c>
      <c r="I9366" t="s">
        <v>8797</v>
      </c>
      <c r="J9366" t="s">
        <v>32842</v>
      </c>
      <c r="K9366" t="s">
        <v>42283</v>
      </c>
      <c r="M9366" t="s">
        <v>45511</v>
      </c>
      <c r="N9366" t="s">
        <v>46569</v>
      </c>
      <c r="O9366" t="s">
        <v>46570</v>
      </c>
      <c r="P9366">
        <v>0</v>
      </c>
      <c r="Q9366">
        <v>4</v>
      </c>
      <c r="R9366" t="s">
        <v>46577</v>
      </c>
      <c r="S9366" t="s">
        <v>46808</v>
      </c>
      <c r="T9366" t="s">
        <v>48473</v>
      </c>
      <c r="U9366" t="s">
        <v>56376</v>
      </c>
      <c r="W9366" t="s">
        <v>45511</v>
      </c>
      <c r="X9366" t="s">
        <v>46578</v>
      </c>
    </row>
    <row r="9367" spans="1:24">
      <c r="A9367">
        <f>HYPERLINK("https://www.philgeps.gov.ph/GEPSNONPILOT/Tender/SplashBidNoticeAbstractUI.aspx?menuIndex=3&amp;refID=7053601&amp;Result=3","7053601")</f>
        <v>0</v>
      </c>
      <c r="B9367" t="s">
        <v>2687</v>
      </c>
      <c r="C9367" t="s">
        <v>12416</v>
      </c>
      <c r="D9367" t="s">
        <v>18789</v>
      </c>
      <c r="E9367" t="s">
        <v>27031</v>
      </c>
      <c r="F9367" t="s">
        <v>32664</v>
      </c>
      <c r="G9367" t="s">
        <v>32672</v>
      </c>
      <c r="H9367" t="s">
        <v>12635</v>
      </c>
      <c r="I9367" t="s">
        <v>32701</v>
      </c>
      <c r="J9367" t="s">
        <v>33051</v>
      </c>
      <c r="K9367" t="s">
        <v>42297</v>
      </c>
      <c r="M9367" t="s">
        <v>45512</v>
      </c>
      <c r="N9367" t="s">
        <v>46569</v>
      </c>
      <c r="O9367" t="s">
        <v>46570</v>
      </c>
      <c r="P9367">
        <v>0</v>
      </c>
      <c r="Q9367">
        <v>0</v>
      </c>
      <c r="R9367" t="s">
        <v>46577</v>
      </c>
      <c r="S9367" t="s">
        <v>46808</v>
      </c>
      <c r="T9367" t="s">
        <v>48218</v>
      </c>
      <c r="U9367" t="s">
        <v>56377</v>
      </c>
      <c r="W9367" t="s">
        <v>45512</v>
      </c>
      <c r="X9367" t="s">
        <v>46578</v>
      </c>
    </row>
    <row r="9368" spans="1:24">
      <c r="A9368">
        <f>HYPERLINK("https://www.philgeps.gov.ph/GEPSNONPILOT/Tender/SplashBidNoticeAbstractUI.aspx?menuIndex=3&amp;refID=7053566&amp;Result=3","7053566")</f>
        <v>0</v>
      </c>
      <c r="B9368" t="s">
        <v>160</v>
      </c>
      <c r="C9368" t="s">
        <v>12417</v>
      </c>
      <c r="D9368" t="s">
        <v>18806</v>
      </c>
      <c r="E9368" t="s">
        <v>27032</v>
      </c>
      <c r="F9368" t="s">
        <v>32664</v>
      </c>
      <c r="G9368" t="s">
        <v>32672</v>
      </c>
      <c r="H9368" t="s">
        <v>12635</v>
      </c>
      <c r="I9368" t="s">
        <v>4439</v>
      </c>
      <c r="J9368" t="s">
        <v>38486</v>
      </c>
      <c r="K9368" t="s">
        <v>42281</v>
      </c>
      <c r="M9368" t="s">
        <v>42724</v>
      </c>
      <c r="N9368" t="s">
        <v>46569</v>
      </c>
      <c r="O9368" t="s">
        <v>46570</v>
      </c>
      <c r="P9368">
        <v>0</v>
      </c>
      <c r="Q9368">
        <v>0</v>
      </c>
      <c r="R9368" t="s">
        <v>46577</v>
      </c>
      <c r="S9368" t="s">
        <v>46808</v>
      </c>
      <c r="T9368" t="s">
        <v>48293</v>
      </c>
      <c r="U9368" t="s">
        <v>56378</v>
      </c>
      <c r="W9368" t="s">
        <v>42724</v>
      </c>
      <c r="X9368" t="s">
        <v>46578</v>
      </c>
    </row>
    <row r="9369" spans="1:24">
      <c r="A9369">
        <f>HYPERLINK("https://www.philgeps.gov.ph/GEPSNONPILOT/Tender/SplashBidNoticeAbstractUI.aspx?menuIndex=3&amp;refID=7053561&amp;Result=3","7053561")</f>
        <v>0</v>
      </c>
      <c r="B9369" t="s">
        <v>1150</v>
      </c>
      <c r="C9369" t="s">
        <v>6391</v>
      </c>
      <c r="D9369" t="s">
        <v>18845</v>
      </c>
      <c r="E9369" t="s">
        <v>27033</v>
      </c>
      <c r="F9369" t="s">
        <v>32664</v>
      </c>
      <c r="G9369" t="s">
        <v>32671</v>
      </c>
      <c r="H9369" t="s">
        <v>12635</v>
      </c>
      <c r="I9369" t="s">
        <v>32685</v>
      </c>
      <c r="J9369" t="s">
        <v>33126</v>
      </c>
      <c r="K9369" t="s">
        <v>42283</v>
      </c>
      <c r="M9369" t="s">
        <v>43781</v>
      </c>
      <c r="N9369" t="s">
        <v>46569</v>
      </c>
      <c r="O9369" t="s">
        <v>46570</v>
      </c>
      <c r="P9369">
        <v>0</v>
      </c>
      <c r="Q9369">
        <v>0</v>
      </c>
      <c r="R9369" t="s">
        <v>46577</v>
      </c>
      <c r="S9369" t="s">
        <v>46808</v>
      </c>
      <c r="T9369" t="s">
        <v>48449</v>
      </c>
      <c r="U9369" t="s">
        <v>56379</v>
      </c>
      <c r="W9369" t="s">
        <v>43781</v>
      </c>
      <c r="X9369" t="s">
        <v>46578</v>
      </c>
    </row>
    <row r="9370" spans="1:24">
      <c r="A9370">
        <f>HYPERLINK("https://www.philgeps.gov.ph/GEPSNONPILOT/Tender/SplashBidNoticeAbstractUI.aspx?menuIndex=3&amp;refID=7053557&amp;Result=3","7053557")</f>
        <v>0</v>
      </c>
      <c r="B9370" t="s">
        <v>1478</v>
      </c>
      <c r="C9370" t="s">
        <v>12418</v>
      </c>
      <c r="D9370" t="s">
        <v>18853</v>
      </c>
      <c r="E9370" t="s">
        <v>27034</v>
      </c>
      <c r="F9370" t="s">
        <v>32664</v>
      </c>
      <c r="G9370" t="s">
        <v>32672</v>
      </c>
      <c r="H9370" t="s">
        <v>32683</v>
      </c>
      <c r="I9370" t="s">
        <v>10627</v>
      </c>
      <c r="J9370" t="s">
        <v>38487</v>
      </c>
      <c r="K9370" t="s">
        <v>42281</v>
      </c>
      <c r="M9370" t="s">
        <v>44141</v>
      </c>
      <c r="N9370" t="s">
        <v>46569</v>
      </c>
      <c r="O9370" t="s">
        <v>46570</v>
      </c>
      <c r="P9370">
        <v>0</v>
      </c>
      <c r="Q9370">
        <v>0</v>
      </c>
      <c r="R9370" t="s">
        <v>46577</v>
      </c>
      <c r="S9370" t="s">
        <v>46808</v>
      </c>
      <c r="T9370" t="s">
        <v>48285</v>
      </c>
      <c r="U9370" t="s">
        <v>52065</v>
      </c>
      <c r="W9370" t="s">
        <v>44141</v>
      </c>
      <c r="X9370" t="s">
        <v>46578</v>
      </c>
    </row>
    <row r="9371" spans="1:24">
      <c r="A9371">
        <f>HYPERLINK("https://www.philgeps.gov.ph/GEPSNONPILOT/Tender/SplashBidNoticeAbstractUI.aspx?menuIndex=3&amp;refID=7053553&amp;Result=3","7053553")</f>
        <v>0</v>
      </c>
      <c r="B9371" t="s">
        <v>2645</v>
      </c>
      <c r="C9371" t="s">
        <v>12419</v>
      </c>
      <c r="D9371" t="s">
        <v>18838</v>
      </c>
      <c r="E9371" t="s">
        <v>27035</v>
      </c>
      <c r="F9371" t="s">
        <v>32664</v>
      </c>
      <c r="G9371" t="s">
        <v>32671</v>
      </c>
      <c r="H9371" t="s">
        <v>12635</v>
      </c>
      <c r="I9371" t="s">
        <v>32701</v>
      </c>
      <c r="J9371" t="s">
        <v>38488</v>
      </c>
      <c r="K9371" t="s">
        <v>42281</v>
      </c>
      <c r="M9371" t="s">
        <v>45466</v>
      </c>
      <c r="N9371" t="s">
        <v>46569</v>
      </c>
      <c r="O9371" t="s">
        <v>46570</v>
      </c>
      <c r="P9371">
        <v>0</v>
      </c>
      <c r="Q9371">
        <v>2</v>
      </c>
      <c r="R9371" t="s">
        <v>46577</v>
      </c>
      <c r="S9371" t="s">
        <v>46808</v>
      </c>
      <c r="T9371" t="s">
        <v>48256</v>
      </c>
      <c r="U9371" t="s">
        <v>56380</v>
      </c>
      <c r="V9371" t="s">
        <v>62592</v>
      </c>
      <c r="W9371" t="s">
        <v>45466</v>
      </c>
      <c r="X9371" t="s">
        <v>46578</v>
      </c>
    </row>
    <row r="9372" spans="1:24">
      <c r="A9372">
        <f>HYPERLINK("https://www.philgeps.gov.ph/GEPSNONPILOT/Tender/SplashBidNoticeAbstractUI.aspx?menuIndex=3&amp;refID=7053599&amp;Result=3","7053599")</f>
        <v>0</v>
      </c>
      <c r="B9372" t="s">
        <v>2634</v>
      </c>
      <c r="C9372" t="s">
        <v>12420</v>
      </c>
      <c r="D9372" t="s">
        <v>18798</v>
      </c>
      <c r="E9372" t="s">
        <v>27036</v>
      </c>
      <c r="F9372" t="s">
        <v>32664</v>
      </c>
      <c r="G9372" t="s">
        <v>32671</v>
      </c>
      <c r="H9372" t="s">
        <v>12635</v>
      </c>
      <c r="I9372" t="s">
        <v>5589</v>
      </c>
      <c r="J9372" t="s">
        <v>38489</v>
      </c>
      <c r="K9372" t="s">
        <v>42303</v>
      </c>
      <c r="M9372" t="s">
        <v>45454</v>
      </c>
      <c r="N9372" t="s">
        <v>46569</v>
      </c>
      <c r="O9372" t="s">
        <v>46570</v>
      </c>
      <c r="P9372">
        <v>0</v>
      </c>
      <c r="Q9372">
        <v>8</v>
      </c>
      <c r="R9372" t="s">
        <v>46577</v>
      </c>
      <c r="S9372" t="s">
        <v>46808</v>
      </c>
      <c r="T9372" t="s">
        <v>48473</v>
      </c>
      <c r="U9372" t="s">
        <v>56216</v>
      </c>
      <c r="V9372" t="s">
        <v>62593</v>
      </c>
      <c r="W9372" t="s">
        <v>45454</v>
      </c>
      <c r="X9372" t="s">
        <v>46578</v>
      </c>
    </row>
    <row r="9373" spans="1:24">
      <c r="A9373">
        <f>HYPERLINK("https://www.philgeps.gov.ph/GEPSNONPILOT/Tender/SplashBidNoticeAbstractUI.aspx?menuIndex=3&amp;refID=7053540&amp;Result=3","7053540")</f>
        <v>0</v>
      </c>
      <c r="B9373" t="s">
        <v>2656</v>
      </c>
      <c r="C9373" t="s">
        <v>12421</v>
      </c>
      <c r="D9373" t="s">
        <v>18801</v>
      </c>
      <c r="E9373" t="s">
        <v>21545</v>
      </c>
      <c r="F9373" t="s">
        <v>32664</v>
      </c>
      <c r="G9373" t="s">
        <v>32678</v>
      </c>
      <c r="H9373" t="s">
        <v>32681</v>
      </c>
      <c r="I9373" t="s">
        <v>32681</v>
      </c>
      <c r="J9373" t="s">
        <v>33371</v>
      </c>
      <c r="K9373" t="s">
        <v>42283</v>
      </c>
      <c r="M9373" t="s">
        <v>45477</v>
      </c>
      <c r="N9373" t="s">
        <v>46569</v>
      </c>
      <c r="O9373" t="s">
        <v>46570</v>
      </c>
      <c r="P9373">
        <v>0</v>
      </c>
      <c r="Q9373">
        <v>1</v>
      </c>
      <c r="R9373" t="s">
        <v>46577</v>
      </c>
      <c r="S9373" t="s">
        <v>46808</v>
      </c>
      <c r="T9373" t="s">
        <v>48254</v>
      </c>
      <c r="U9373" t="s">
        <v>56381</v>
      </c>
      <c r="W9373" t="s">
        <v>45477</v>
      </c>
      <c r="X9373" t="s">
        <v>46578</v>
      </c>
    </row>
    <row r="9374" spans="1:24">
      <c r="A9374">
        <f>HYPERLINK("https://www.philgeps.gov.ph/GEPSNONPILOT/Tender/SplashBidNoticeAbstractUI.aspx?menuIndex=3&amp;refID=7053590&amp;Result=3","7053590")</f>
        <v>0</v>
      </c>
      <c r="B9374" t="s">
        <v>1838</v>
      </c>
      <c r="C9374" t="s">
        <v>12422</v>
      </c>
      <c r="D9374" t="s">
        <v>18799</v>
      </c>
      <c r="E9374" t="s">
        <v>27037</v>
      </c>
      <c r="F9374" t="s">
        <v>32664</v>
      </c>
      <c r="G9374" t="s">
        <v>32674</v>
      </c>
      <c r="H9374" t="s">
        <v>12635</v>
      </c>
      <c r="I9374" t="s">
        <v>32717</v>
      </c>
      <c r="J9374" t="s">
        <v>33147</v>
      </c>
      <c r="K9374" t="s">
        <v>42305</v>
      </c>
      <c r="M9374" t="s">
        <v>44546</v>
      </c>
      <c r="N9374" t="s">
        <v>46569</v>
      </c>
      <c r="O9374" t="s">
        <v>46570</v>
      </c>
      <c r="Q9374">
        <v>3</v>
      </c>
      <c r="R9374" t="s">
        <v>46577</v>
      </c>
      <c r="S9374" t="s">
        <v>46841</v>
      </c>
      <c r="T9374" t="s">
        <v>48316</v>
      </c>
      <c r="U9374" t="s">
        <v>49565</v>
      </c>
      <c r="W9374" t="s">
        <v>44546</v>
      </c>
      <c r="X9374" t="s">
        <v>46578</v>
      </c>
    </row>
    <row r="9375" spans="1:24">
      <c r="A9375">
        <f>HYPERLINK("https://www.philgeps.gov.ph/GEPSNONPILOT/Tender/SplashBidNoticeAbstractUI.aspx?menuIndex=3&amp;refID=7053539&amp;Result=3","7053539")</f>
        <v>0</v>
      </c>
      <c r="B9375" t="s">
        <v>1150</v>
      </c>
      <c r="C9375" t="s">
        <v>7706</v>
      </c>
      <c r="D9375" t="s">
        <v>18845</v>
      </c>
      <c r="E9375" t="s">
        <v>27038</v>
      </c>
      <c r="F9375" t="s">
        <v>32664</v>
      </c>
      <c r="G9375" t="s">
        <v>32671</v>
      </c>
      <c r="H9375" t="s">
        <v>12635</v>
      </c>
      <c r="I9375" t="s">
        <v>4997</v>
      </c>
      <c r="J9375" t="s">
        <v>32898</v>
      </c>
      <c r="K9375" t="s">
        <v>42283</v>
      </c>
      <c r="M9375" t="s">
        <v>43781</v>
      </c>
      <c r="N9375" t="s">
        <v>46569</v>
      </c>
      <c r="O9375" t="s">
        <v>46570</v>
      </c>
      <c r="P9375">
        <v>0</v>
      </c>
      <c r="Q9375">
        <v>3</v>
      </c>
      <c r="R9375" t="s">
        <v>46577</v>
      </c>
      <c r="S9375" t="s">
        <v>46808</v>
      </c>
      <c r="T9375" t="s">
        <v>48449</v>
      </c>
      <c r="U9375" t="s">
        <v>56382</v>
      </c>
      <c r="W9375" t="s">
        <v>43781</v>
      </c>
      <c r="X9375" t="s">
        <v>46578</v>
      </c>
    </row>
    <row r="9376" spans="1:24">
      <c r="A9376">
        <f>HYPERLINK("https://www.philgeps.gov.ph/GEPSNONPILOT/Tender/SplashBidNoticeAbstractUI.aspx?menuIndex=3&amp;refID=7053490&amp;Result=3","7053490")</f>
        <v>0</v>
      </c>
      <c r="B9376" t="s">
        <v>1478</v>
      </c>
      <c r="C9376" t="s">
        <v>12423</v>
      </c>
      <c r="D9376" t="s">
        <v>18853</v>
      </c>
      <c r="E9376" t="s">
        <v>27039</v>
      </c>
      <c r="F9376" t="s">
        <v>32664</v>
      </c>
      <c r="G9376" t="s">
        <v>32672</v>
      </c>
      <c r="H9376" t="s">
        <v>32683</v>
      </c>
      <c r="I9376" t="s">
        <v>10627</v>
      </c>
      <c r="J9376" t="s">
        <v>38490</v>
      </c>
      <c r="K9376" t="s">
        <v>42289</v>
      </c>
      <c r="M9376" t="s">
        <v>44141</v>
      </c>
      <c r="N9376" t="s">
        <v>46569</v>
      </c>
      <c r="O9376" t="s">
        <v>46570</v>
      </c>
      <c r="P9376">
        <v>0</v>
      </c>
      <c r="Q9376">
        <v>0</v>
      </c>
      <c r="R9376" t="s">
        <v>46577</v>
      </c>
      <c r="S9376" t="s">
        <v>46808</v>
      </c>
      <c r="T9376" t="s">
        <v>48285</v>
      </c>
      <c r="U9376" t="s">
        <v>52065</v>
      </c>
      <c r="W9376" t="s">
        <v>44141</v>
      </c>
      <c r="X9376" t="s">
        <v>46578</v>
      </c>
    </row>
    <row r="9377" spans="1:24">
      <c r="A9377">
        <f>HYPERLINK("https://www.philgeps.gov.ph/GEPSNONPILOT/Tender/SplashBidNoticeAbstractUI.aspx?menuIndex=3&amp;refID=7053479&amp;Result=3","7053479")</f>
        <v>0</v>
      </c>
      <c r="B9377" t="s">
        <v>2688</v>
      </c>
      <c r="C9377" t="s">
        <v>12424</v>
      </c>
      <c r="E9377" t="s">
        <v>18926</v>
      </c>
      <c r="F9377" t="s">
        <v>32664</v>
      </c>
      <c r="G9377" t="s">
        <v>32672</v>
      </c>
      <c r="H9377" t="s">
        <v>32682</v>
      </c>
      <c r="I9377" t="s">
        <v>32716</v>
      </c>
      <c r="J9377" t="s">
        <v>33051</v>
      </c>
      <c r="K9377" t="s">
        <v>42298</v>
      </c>
      <c r="M9377" t="s">
        <v>45513</v>
      </c>
      <c r="N9377" t="s">
        <v>46569</v>
      </c>
      <c r="O9377" t="s">
        <v>46570</v>
      </c>
      <c r="P9377">
        <v>0</v>
      </c>
      <c r="Q9377">
        <v>1</v>
      </c>
      <c r="R9377" t="s">
        <v>46577</v>
      </c>
      <c r="S9377" t="s">
        <v>46808</v>
      </c>
      <c r="T9377" t="s">
        <v>48316</v>
      </c>
      <c r="U9377" t="s">
        <v>56383</v>
      </c>
      <c r="W9377" t="s">
        <v>45513</v>
      </c>
      <c r="X9377" t="s">
        <v>46578</v>
      </c>
    </row>
    <row r="9378" spans="1:24">
      <c r="A9378">
        <f>HYPERLINK("https://www.philgeps.gov.ph/GEPSNONPILOT/Tender/SplashBidNoticeAbstractUI.aspx?menuIndex=3&amp;refID=7053526&amp;Result=3","7053526")</f>
        <v>0</v>
      </c>
      <c r="B9378" t="s">
        <v>1838</v>
      </c>
      <c r="C9378" t="s">
        <v>12425</v>
      </c>
      <c r="D9378" t="s">
        <v>18799</v>
      </c>
      <c r="E9378" t="s">
        <v>27040</v>
      </c>
      <c r="F9378" t="s">
        <v>32664</v>
      </c>
      <c r="G9378" t="s">
        <v>32674</v>
      </c>
      <c r="H9378" t="s">
        <v>12635</v>
      </c>
      <c r="I9378" t="s">
        <v>32700</v>
      </c>
      <c r="J9378" t="s">
        <v>33571</v>
      </c>
      <c r="K9378" t="s">
        <v>42281</v>
      </c>
      <c r="M9378" t="s">
        <v>44546</v>
      </c>
      <c r="N9378" t="s">
        <v>46569</v>
      </c>
      <c r="O9378" t="s">
        <v>46570</v>
      </c>
      <c r="Q9378">
        <v>1</v>
      </c>
      <c r="R9378" t="s">
        <v>46577</v>
      </c>
      <c r="S9378" t="s">
        <v>46842</v>
      </c>
      <c r="T9378" t="s">
        <v>48316</v>
      </c>
      <c r="U9378" t="s">
        <v>49565</v>
      </c>
      <c r="W9378" t="s">
        <v>44546</v>
      </c>
      <c r="X9378" t="s">
        <v>46578</v>
      </c>
    </row>
    <row r="9379" spans="1:24">
      <c r="A9379">
        <f>HYPERLINK("https://www.philgeps.gov.ph/GEPSNONPILOT/Tender/SplashBidNoticeAbstractUI.aspx?menuIndex=3&amp;refID=7053476&amp;Result=3","7053476")</f>
        <v>0</v>
      </c>
      <c r="B9379" t="s">
        <v>1838</v>
      </c>
      <c r="C9379" t="s">
        <v>12426</v>
      </c>
      <c r="D9379" t="s">
        <v>18799</v>
      </c>
      <c r="E9379" t="s">
        <v>27041</v>
      </c>
      <c r="F9379" t="s">
        <v>32664</v>
      </c>
      <c r="G9379" t="s">
        <v>32674</v>
      </c>
      <c r="H9379" t="s">
        <v>12635</v>
      </c>
      <c r="I9379" t="s">
        <v>32713</v>
      </c>
      <c r="J9379" t="s">
        <v>33461</v>
      </c>
      <c r="K9379" t="s">
        <v>42281</v>
      </c>
      <c r="M9379" t="s">
        <v>44546</v>
      </c>
      <c r="N9379" t="s">
        <v>46569</v>
      </c>
      <c r="O9379" t="s">
        <v>46570</v>
      </c>
      <c r="Q9379">
        <v>1</v>
      </c>
      <c r="R9379" t="s">
        <v>46577</v>
      </c>
      <c r="S9379" t="s">
        <v>46836</v>
      </c>
      <c r="T9379" t="s">
        <v>48316</v>
      </c>
      <c r="U9379" t="s">
        <v>49565</v>
      </c>
      <c r="W9379" t="s">
        <v>44546</v>
      </c>
      <c r="X9379" t="s">
        <v>46578</v>
      </c>
    </row>
    <row r="9380" spans="1:24">
      <c r="A9380">
        <f>HYPERLINK("https://www.philgeps.gov.ph/GEPSNONPILOT/Tender/SplashBidNoticeAbstractUI.aspx?menuIndex=3&amp;refID=7053471&amp;Result=3","7053471")</f>
        <v>0</v>
      </c>
      <c r="B9380" t="s">
        <v>2674</v>
      </c>
      <c r="C9380" t="s">
        <v>12427</v>
      </c>
      <c r="D9380" t="s">
        <v>18856</v>
      </c>
      <c r="E9380" t="s">
        <v>27042</v>
      </c>
      <c r="F9380" t="s">
        <v>32664</v>
      </c>
      <c r="G9380" t="s">
        <v>32672</v>
      </c>
      <c r="H9380" t="s">
        <v>12635</v>
      </c>
      <c r="I9380" t="s">
        <v>11464</v>
      </c>
      <c r="J9380" t="s">
        <v>32837</v>
      </c>
      <c r="K9380" t="s">
        <v>42281</v>
      </c>
      <c r="M9380" t="s">
        <v>45497</v>
      </c>
      <c r="N9380" t="s">
        <v>46569</v>
      </c>
      <c r="O9380" t="s">
        <v>46570</v>
      </c>
      <c r="P9380">
        <v>0</v>
      </c>
      <c r="Q9380">
        <v>5</v>
      </c>
      <c r="R9380" t="s">
        <v>46577</v>
      </c>
      <c r="S9380" t="s">
        <v>46808</v>
      </c>
      <c r="T9380" t="s">
        <v>48218</v>
      </c>
      <c r="U9380" t="s">
        <v>56384</v>
      </c>
      <c r="W9380" t="s">
        <v>45497</v>
      </c>
      <c r="X9380" t="s">
        <v>46578</v>
      </c>
    </row>
    <row r="9381" spans="1:24">
      <c r="A9381">
        <f>HYPERLINK("https://www.philgeps.gov.ph/GEPSNONPILOT/Tender/SplashBidNoticeAbstractUI.aspx?menuIndex=3&amp;refID=7053414&amp;Result=3","7053414")</f>
        <v>0</v>
      </c>
      <c r="B9381" t="s">
        <v>2669</v>
      </c>
      <c r="C9381" t="s">
        <v>12428</v>
      </c>
      <c r="D9381" t="s">
        <v>18812</v>
      </c>
      <c r="E9381" t="s">
        <v>27043</v>
      </c>
      <c r="F9381" t="s">
        <v>32664</v>
      </c>
      <c r="G9381" t="s">
        <v>32672</v>
      </c>
      <c r="H9381" t="s">
        <v>12635</v>
      </c>
      <c r="I9381" t="s">
        <v>4439</v>
      </c>
      <c r="J9381" t="s">
        <v>38491</v>
      </c>
      <c r="K9381" t="s">
        <v>42297</v>
      </c>
      <c r="L9381" t="s">
        <v>2669</v>
      </c>
      <c r="M9381" t="s">
        <v>45491</v>
      </c>
      <c r="N9381" t="s">
        <v>46569</v>
      </c>
      <c r="O9381" t="s">
        <v>46570</v>
      </c>
      <c r="P9381">
        <v>0</v>
      </c>
      <c r="Q9381">
        <v>1</v>
      </c>
      <c r="R9381" t="s">
        <v>46577</v>
      </c>
      <c r="S9381" t="s">
        <v>46808</v>
      </c>
      <c r="T9381" t="s">
        <v>48346</v>
      </c>
      <c r="U9381" t="s">
        <v>56385</v>
      </c>
      <c r="V9381" t="s">
        <v>62594</v>
      </c>
      <c r="W9381" t="s">
        <v>45491</v>
      </c>
      <c r="X9381" t="s">
        <v>46578</v>
      </c>
    </row>
    <row r="9382" spans="1:24">
      <c r="A9382">
        <f>HYPERLINK("https://www.philgeps.gov.ph/GEPSNONPILOT/Tender/SplashBidNoticeAbstractUI.aspx?menuIndex=3&amp;refID=7053468&amp;Result=3","7053468")</f>
        <v>0</v>
      </c>
      <c r="B9382" t="s">
        <v>1150</v>
      </c>
      <c r="C9382" t="s">
        <v>6391</v>
      </c>
      <c r="D9382" t="s">
        <v>18845</v>
      </c>
      <c r="E9382" t="s">
        <v>27044</v>
      </c>
      <c r="F9382" t="s">
        <v>32664</v>
      </c>
      <c r="G9382" t="s">
        <v>32671</v>
      </c>
      <c r="H9382" t="s">
        <v>12635</v>
      </c>
      <c r="I9382" t="s">
        <v>32685</v>
      </c>
      <c r="J9382" t="s">
        <v>38492</v>
      </c>
      <c r="K9382" t="s">
        <v>42283</v>
      </c>
      <c r="M9382" t="s">
        <v>43781</v>
      </c>
      <c r="N9382" t="s">
        <v>46569</v>
      </c>
      <c r="O9382" t="s">
        <v>46570</v>
      </c>
      <c r="P9382">
        <v>0</v>
      </c>
      <c r="Q9382">
        <v>0</v>
      </c>
      <c r="R9382" t="s">
        <v>46577</v>
      </c>
      <c r="S9382" t="s">
        <v>46808</v>
      </c>
      <c r="T9382" t="s">
        <v>48449</v>
      </c>
      <c r="U9382" t="s">
        <v>56386</v>
      </c>
      <c r="W9382" t="s">
        <v>43781</v>
      </c>
      <c r="X9382" t="s">
        <v>46578</v>
      </c>
    </row>
    <row r="9383" spans="1:24">
      <c r="A9383">
        <f>HYPERLINK("https://www.philgeps.gov.ph/GEPSNONPILOT/Tender/SplashBidNoticeAbstractUI.aspx?menuIndex=3&amp;refID=7053362&amp;Result=3","7053362")</f>
        <v>0</v>
      </c>
      <c r="B9383" t="s">
        <v>419</v>
      </c>
      <c r="C9383" t="s">
        <v>12429</v>
      </c>
      <c r="D9383" t="s">
        <v>18784</v>
      </c>
      <c r="E9383" t="s">
        <v>27045</v>
      </c>
      <c r="F9383" t="s">
        <v>32664</v>
      </c>
      <c r="G9383" t="s">
        <v>32674</v>
      </c>
      <c r="H9383" t="s">
        <v>12635</v>
      </c>
      <c r="I9383" t="s">
        <v>32704</v>
      </c>
      <c r="J9383" t="s">
        <v>33987</v>
      </c>
      <c r="K9383" t="s">
        <v>42283</v>
      </c>
      <c r="M9383" t="s">
        <v>42990</v>
      </c>
      <c r="N9383" t="s">
        <v>46569</v>
      </c>
      <c r="O9383" t="s">
        <v>46570</v>
      </c>
      <c r="P9383">
        <v>0</v>
      </c>
      <c r="Q9383">
        <v>8</v>
      </c>
      <c r="R9383" t="s">
        <v>46577</v>
      </c>
      <c r="S9383" t="s">
        <v>46808</v>
      </c>
      <c r="T9383" t="s">
        <v>48578</v>
      </c>
      <c r="U9383" t="s">
        <v>56387</v>
      </c>
      <c r="W9383" t="s">
        <v>42990</v>
      </c>
      <c r="X9383" t="s">
        <v>46578</v>
      </c>
    </row>
    <row r="9384" spans="1:24">
      <c r="A9384">
        <f>HYPERLINK("https://www.philgeps.gov.ph/GEPSNONPILOT/Tender/SplashBidNoticeAbstractUI.aspx?menuIndex=3&amp;refID=7053361&amp;Result=3","7053361")</f>
        <v>0</v>
      </c>
      <c r="B9384" t="s">
        <v>1121</v>
      </c>
      <c r="C9384" t="s">
        <v>12430</v>
      </c>
      <c r="D9384" t="s">
        <v>18827</v>
      </c>
      <c r="E9384" t="s">
        <v>27046</v>
      </c>
      <c r="F9384" t="s">
        <v>32664</v>
      </c>
      <c r="G9384" t="s">
        <v>32672</v>
      </c>
      <c r="H9384" t="s">
        <v>12635</v>
      </c>
      <c r="I9384" t="s">
        <v>9486</v>
      </c>
      <c r="J9384" t="s">
        <v>33345</v>
      </c>
      <c r="K9384" t="s">
        <v>42303</v>
      </c>
      <c r="M9384" t="s">
        <v>43750</v>
      </c>
      <c r="N9384" t="s">
        <v>46569</v>
      </c>
      <c r="O9384" t="s">
        <v>46570</v>
      </c>
      <c r="P9384">
        <v>0</v>
      </c>
      <c r="Q9384">
        <v>5</v>
      </c>
      <c r="R9384" t="s">
        <v>46577</v>
      </c>
      <c r="S9384" t="s">
        <v>46808</v>
      </c>
      <c r="T9384" t="s">
        <v>48487</v>
      </c>
      <c r="U9384" t="s">
        <v>56388</v>
      </c>
      <c r="W9384" t="s">
        <v>43750</v>
      </c>
      <c r="X9384" t="s">
        <v>46578</v>
      </c>
    </row>
    <row r="9385" spans="1:24">
      <c r="A9385">
        <f>HYPERLINK("https://www.philgeps.gov.ph/GEPSNONPILOT/Tender/SplashBidNoticeAbstractUI.aspx?menuIndex=3&amp;refID=7053638&amp;Result=3","7053638")</f>
        <v>0</v>
      </c>
      <c r="B9385" t="s">
        <v>2689</v>
      </c>
      <c r="C9385" t="s">
        <v>12431</v>
      </c>
      <c r="D9385" t="s">
        <v>18805</v>
      </c>
      <c r="E9385" t="s">
        <v>19137</v>
      </c>
      <c r="F9385" t="s">
        <v>32664</v>
      </c>
      <c r="G9385" t="s">
        <v>32672</v>
      </c>
      <c r="H9385" t="s">
        <v>12635</v>
      </c>
      <c r="I9385" t="s">
        <v>4439</v>
      </c>
      <c r="J9385" t="s">
        <v>33621</v>
      </c>
      <c r="K9385" t="s">
        <v>42284</v>
      </c>
      <c r="L9385" t="s">
        <v>2689</v>
      </c>
      <c r="M9385" t="s">
        <v>45514</v>
      </c>
      <c r="N9385" t="s">
        <v>46569</v>
      </c>
      <c r="O9385" t="s">
        <v>46570</v>
      </c>
      <c r="P9385">
        <v>0</v>
      </c>
      <c r="Q9385">
        <v>0</v>
      </c>
      <c r="R9385" t="s">
        <v>46577</v>
      </c>
      <c r="S9385" t="s">
        <v>46808</v>
      </c>
      <c r="T9385" t="s">
        <v>48292</v>
      </c>
      <c r="U9385" t="s">
        <v>56389</v>
      </c>
      <c r="V9385" t="s">
        <v>62595</v>
      </c>
      <c r="W9385" t="s">
        <v>45514</v>
      </c>
      <c r="X9385" t="s">
        <v>46578</v>
      </c>
    </row>
    <row r="9386" spans="1:24">
      <c r="A9386">
        <f>HYPERLINK("https://www.philgeps.gov.ph/GEPSNONPILOT/Tender/SplashBidNoticeAbstractUI.aspx?menuIndex=3&amp;refID=7053492&amp;Result=3","7053492")</f>
        <v>0</v>
      </c>
      <c r="B9386" t="s">
        <v>2645</v>
      </c>
      <c r="C9386" t="s">
        <v>12432</v>
      </c>
      <c r="D9386" t="s">
        <v>18856</v>
      </c>
      <c r="E9386" t="s">
        <v>27047</v>
      </c>
      <c r="F9386" t="s">
        <v>32664</v>
      </c>
      <c r="G9386" t="s">
        <v>32675</v>
      </c>
      <c r="H9386" t="s">
        <v>12635</v>
      </c>
      <c r="I9386" t="s">
        <v>32689</v>
      </c>
      <c r="J9386" t="s">
        <v>33299</v>
      </c>
      <c r="K9386" t="s">
        <v>42281</v>
      </c>
      <c r="M9386" t="s">
        <v>45466</v>
      </c>
      <c r="N9386" t="s">
        <v>46569</v>
      </c>
      <c r="O9386" t="s">
        <v>46570</v>
      </c>
      <c r="P9386">
        <v>0</v>
      </c>
      <c r="Q9386">
        <v>1</v>
      </c>
      <c r="R9386" t="s">
        <v>46577</v>
      </c>
      <c r="S9386" t="s">
        <v>46808</v>
      </c>
      <c r="T9386" t="s">
        <v>48251</v>
      </c>
      <c r="U9386" t="s">
        <v>56390</v>
      </c>
      <c r="V9386" t="s">
        <v>62596</v>
      </c>
      <c r="W9386" t="s">
        <v>45466</v>
      </c>
      <c r="X9386" t="s">
        <v>46578</v>
      </c>
    </row>
    <row r="9387" spans="1:24">
      <c r="A9387">
        <f>HYPERLINK("https://www.philgeps.gov.ph/GEPSNONPILOT/Tender/SplashBidNoticeAbstractUI.aspx?menuIndex=3&amp;refID=7053646&amp;Result=3","7053646")</f>
        <v>0</v>
      </c>
      <c r="B9387" t="s">
        <v>1478</v>
      </c>
      <c r="C9387" t="s">
        <v>12433</v>
      </c>
      <c r="D9387" t="s">
        <v>18853</v>
      </c>
      <c r="E9387" t="s">
        <v>27048</v>
      </c>
      <c r="F9387" t="s">
        <v>32664</v>
      </c>
      <c r="G9387" t="s">
        <v>32672</v>
      </c>
      <c r="H9387" t="s">
        <v>32683</v>
      </c>
      <c r="I9387" t="s">
        <v>10627</v>
      </c>
      <c r="J9387" t="s">
        <v>38493</v>
      </c>
      <c r="K9387" t="s">
        <v>42281</v>
      </c>
      <c r="M9387" t="s">
        <v>44141</v>
      </c>
      <c r="N9387" t="s">
        <v>46569</v>
      </c>
      <c r="O9387" t="s">
        <v>46570</v>
      </c>
      <c r="P9387">
        <v>0</v>
      </c>
      <c r="Q9387">
        <v>0</v>
      </c>
      <c r="R9387" t="s">
        <v>46577</v>
      </c>
      <c r="S9387" t="s">
        <v>46808</v>
      </c>
      <c r="T9387" t="s">
        <v>48285</v>
      </c>
      <c r="U9387" t="s">
        <v>52065</v>
      </c>
      <c r="W9387" t="s">
        <v>44141</v>
      </c>
      <c r="X9387" t="s">
        <v>46578</v>
      </c>
    </row>
    <row r="9388" spans="1:24">
      <c r="A9388">
        <f>HYPERLINK("https://www.philgeps.gov.ph/GEPSNONPILOT/Tender/SplashBidNoticeAbstractUI.aspx?menuIndex=3&amp;refID=7053484&amp;Result=3","7053484")</f>
        <v>0</v>
      </c>
      <c r="B9388" t="s">
        <v>2229</v>
      </c>
      <c r="C9388" t="s">
        <v>12434</v>
      </c>
      <c r="D9388" t="s">
        <v>18791</v>
      </c>
      <c r="E9388" t="s">
        <v>27049</v>
      </c>
      <c r="F9388" t="s">
        <v>32664</v>
      </c>
      <c r="G9388" t="s">
        <v>32672</v>
      </c>
      <c r="H9388" t="s">
        <v>32683</v>
      </c>
      <c r="I9388" t="s">
        <v>10627</v>
      </c>
      <c r="J9388" t="s">
        <v>38494</v>
      </c>
      <c r="K9388" t="s">
        <v>42285</v>
      </c>
      <c r="M9388" t="s">
        <v>44993</v>
      </c>
      <c r="N9388" t="s">
        <v>46569</v>
      </c>
      <c r="O9388" t="s">
        <v>46570</v>
      </c>
      <c r="P9388">
        <v>0</v>
      </c>
      <c r="Q9388">
        <v>1</v>
      </c>
      <c r="R9388" t="s">
        <v>46577</v>
      </c>
      <c r="S9388" t="s">
        <v>46808</v>
      </c>
      <c r="T9388" t="s">
        <v>48302</v>
      </c>
      <c r="U9388" t="s">
        <v>56391</v>
      </c>
      <c r="W9388" t="s">
        <v>44993</v>
      </c>
      <c r="X9388" t="s">
        <v>46578</v>
      </c>
    </row>
    <row r="9389" spans="1:24">
      <c r="A9389">
        <f>HYPERLINK("https://www.philgeps.gov.ph/GEPSNONPILOT/Tender/SplashBidNoticeAbstractUI.aspx?menuIndex=3&amp;refID=7053640&amp;Result=3","7053640")</f>
        <v>0</v>
      </c>
      <c r="B9389" t="s">
        <v>1452</v>
      </c>
      <c r="C9389" t="s">
        <v>12435</v>
      </c>
      <c r="D9389" t="s">
        <v>18812</v>
      </c>
      <c r="E9389" t="s">
        <v>27050</v>
      </c>
      <c r="F9389" t="s">
        <v>32664</v>
      </c>
      <c r="G9389" t="s">
        <v>32672</v>
      </c>
      <c r="H9389" t="s">
        <v>12635</v>
      </c>
      <c r="I9389" t="s">
        <v>9486</v>
      </c>
      <c r="J9389" t="s">
        <v>38495</v>
      </c>
      <c r="K9389" t="s">
        <v>42289</v>
      </c>
      <c r="M9389" t="s">
        <v>44113</v>
      </c>
      <c r="N9389" t="s">
        <v>46569</v>
      </c>
      <c r="O9389" t="s">
        <v>46570</v>
      </c>
      <c r="P9389">
        <v>0</v>
      </c>
      <c r="Q9389">
        <v>0</v>
      </c>
      <c r="R9389" t="s">
        <v>46577</v>
      </c>
      <c r="S9389" t="s">
        <v>46808</v>
      </c>
      <c r="T9389" t="s">
        <v>48230</v>
      </c>
      <c r="U9389" t="s">
        <v>56392</v>
      </c>
      <c r="W9389" t="s">
        <v>44113</v>
      </c>
      <c r="X9389" t="s">
        <v>46578</v>
      </c>
    </row>
    <row r="9390" spans="1:24">
      <c r="A9390">
        <f>HYPERLINK("https://www.philgeps.gov.ph/GEPSNONPILOT/Tender/SplashBidNoticeAbstractUI.aspx?menuIndex=3&amp;refID=7053637&amp;Result=3","7053637")</f>
        <v>0</v>
      </c>
      <c r="B9390" t="s">
        <v>2681</v>
      </c>
      <c r="C9390" t="s">
        <v>12436</v>
      </c>
      <c r="D9390" t="s">
        <v>18798</v>
      </c>
      <c r="E9390" t="s">
        <v>27051</v>
      </c>
      <c r="F9390" t="s">
        <v>32664</v>
      </c>
      <c r="G9390" t="s">
        <v>32672</v>
      </c>
      <c r="H9390" t="s">
        <v>32683</v>
      </c>
      <c r="I9390" t="s">
        <v>10627</v>
      </c>
      <c r="J9390" t="s">
        <v>38496</v>
      </c>
      <c r="K9390" t="s">
        <v>42393</v>
      </c>
      <c r="M9390" t="s">
        <v>45504</v>
      </c>
      <c r="N9390" t="s">
        <v>46569</v>
      </c>
      <c r="O9390" t="s">
        <v>46570</v>
      </c>
      <c r="P9390">
        <v>0</v>
      </c>
      <c r="Q9390">
        <v>0</v>
      </c>
      <c r="R9390" t="s">
        <v>46577</v>
      </c>
      <c r="S9390" t="s">
        <v>46808</v>
      </c>
      <c r="T9390" t="s">
        <v>48440</v>
      </c>
      <c r="U9390" t="s">
        <v>56393</v>
      </c>
      <c r="W9390" t="s">
        <v>45504</v>
      </c>
      <c r="X9390" t="s">
        <v>46578</v>
      </c>
    </row>
    <row r="9391" spans="1:24">
      <c r="A9391">
        <f>HYPERLINK("https://www.philgeps.gov.ph/GEPSNONPILOT/Tender/SplashBidNoticeAbstractUI.aspx?menuIndex=3&amp;refID=7053628&amp;Result=3","7053628")</f>
        <v>0</v>
      </c>
      <c r="B9391" t="s">
        <v>2690</v>
      </c>
      <c r="C9391" t="s">
        <v>12437</v>
      </c>
      <c r="D9391" t="s">
        <v>18787</v>
      </c>
      <c r="E9391" t="s">
        <v>19461</v>
      </c>
      <c r="F9391" t="s">
        <v>32664</v>
      </c>
      <c r="G9391" t="s">
        <v>32672</v>
      </c>
      <c r="H9391" t="s">
        <v>32683</v>
      </c>
      <c r="I9391" t="s">
        <v>32733</v>
      </c>
      <c r="J9391" t="s">
        <v>32898</v>
      </c>
      <c r="K9391" t="s">
        <v>42417</v>
      </c>
      <c r="M9391" t="s">
        <v>45515</v>
      </c>
      <c r="N9391" t="s">
        <v>46569</v>
      </c>
      <c r="O9391" t="s">
        <v>46570</v>
      </c>
      <c r="P9391">
        <v>0</v>
      </c>
      <c r="Q9391">
        <v>0</v>
      </c>
      <c r="R9391" t="s">
        <v>46577</v>
      </c>
      <c r="S9391" t="s">
        <v>46808</v>
      </c>
      <c r="T9391" t="s">
        <v>48388</v>
      </c>
      <c r="U9391" t="s">
        <v>56394</v>
      </c>
      <c r="W9391" t="s">
        <v>45515</v>
      </c>
      <c r="X9391" t="s">
        <v>46578</v>
      </c>
    </row>
    <row r="9392" spans="1:24">
      <c r="A9392">
        <f>HYPERLINK("https://www.philgeps.gov.ph/GEPSNONPILOT/Tender/SplashBidNoticeAbstractUI.aspx?menuIndex=3&amp;refID=7053645&amp;Result=3","7053645")</f>
        <v>0</v>
      </c>
      <c r="B9392" t="s">
        <v>1838</v>
      </c>
      <c r="C9392" t="s">
        <v>12438</v>
      </c>
      <c r="D9392" t="s">
        <v>18799</v>
      </c>
      <c r="E9392" t="s">
        <v>27052</v>
      </c>
      <c r="F9392" t="s">
        <v>32664</v>
      </c>
      <c r="G9392" t="s">
        <v>32674</v>
      </c>
      <c r="H9392" t="s">
        <v>12635</v>
      </c>
      <c r="I9392" t="s">
        <v>14442</v>
      </c>
      <c r="J9392" t="s">
        <v>33410</v>
      </c>
      <c r="K9392" t="s">
        <v>42281</v>
      </c>
      <c r="M9392" t="s">
        <v>44546</v>
      </c>
      <c r="N9392" t="s">
        <v>46569</v>
      </c>
      <c r="O9392" t="s">
        <v>46570</v>
      </c>
      <c r="Q9392">
        <v>4</v>
      </c>
      <c r="R9392" t="s">
        <v>46577</v>
      </c>
      <c r="S9392" t="s">
        <v>46843</v>
      </c>
      <c r="T9392" t="s">
        <v>48316</v>
      </c>
      <c r="U9392" t="s">
        <v>49565</v>
      </c>
      <c r="W9392" t="s">
        <v>44546</v>
      </c>
      <c r="X9392" t="s">
        <v>46578</v>
      </c>
    </row>
    <row r="9393" spans="1:24">
      <c r="A9393">
        <f>HYPERLINK("https://www.philgeps.gov.ph/GEPSNONPILOT/Tender/SplashBidNoticeAbstractUI.aspx?menuIndex=3&amp;refID=7053625&amp;Result=3","7053625")</f>
        <v>0</v>
      </c>
      <c r="B9393" t="s">
        <v>162</v>
      </c>
      <c r="C9393" t="s">
        <v>12439</v>
      </c>
      <c r="D9393" t="s">
        <v>18788</v>
      </c>
      <c r="E9393" t="s">
        <v>27053</v>
      </c>
      <c r="F9393" t="s">
        <v>32664</v>
      </c>
      <c r="G9393" t="s">
        <v>32672</v>
      </c>
      <c r="H9393" t="s">
        <v>32683</v>
      </c>
      <c r="I9393" t="s">
        <v>10627</v>
      </c>
      <c r="J9393" t="s">
        <v>38497</v>
      </c>
      <c r="K9393" t="s">
        <v>42290</v>
      </c>
      <c r="M9393" t="s">
        <v>42726</v>
      </c>
      <c r="N9393" t="s">
        <v>46569</v>
      </c>
      <c r="O9393" t="s">
        <v>46570</v>
      </c>
      <c r="P9393">
        <v>0</v>
      </c>
      <c r="Q9393">
        <v>2</v>
      </c>
      <c r="R9393" t="s">
        <v>46577</v>
      </c>
      <c r="S9393" t="s">
        <v>46808</v>
      </c>
      <c r="T9393" t="s">
        <v>48349</v>
      </c>
      <c r="U9393" t="s">
        <v>56395</v>
      </c>
      <c r="W9393" t="s">
        <v>42726</v>
      </c>
      <c r="X9393" t="s">
        <v>46578</v>
      </c>
    </row>
    <row r="9394" spans="1:24">
      <c r="A9394">
        <f>HYPERLINK("https://www.philgeps.gov.ph/GEPSNONPILOT/Tender/SplashBidNoticeAbstractUI.aspx?menuIndex=3&amp;refID=7053623&amp;Result=3","7053623")</f>
        <v>0</v>
      </c>
      <c r="B9394" t="s">
        <v>145</v>
      </c>
      <c r="C9394" t="s">
        <v>12440</v>
      </c>
      <c r="D9394" t="s">
        <v>18784</v>
      </c>
      <c r="E9394" t="s">
        <v>27054</v>
      </c>
      <c r="F9394" t="s">
        <v>32664</v>
      </c>
      <c r="G9394" t="s">
        <v>32671</v>
      </c>
      <c r="H9394" t="s">
        <v>12635</v>
      </c>
      <c r="I9394" t="s">
        <v>32755</v>
      </c>
      <c r="J9394" t="s">
        <v>33015</v>
      </c>
      <c r="K9394" t="s">
        <v>42283</v>
      </c>
      <c r="M9394" t="s">
        <v>44503</v>
      </c>
      <c r="N9394" t="s">
        <v>46569</v>
      </c>
      <c r="O9394" t="s">
        <v>46570</v>
      </c>
      <c r="P9394">
        <v>0</v>
      </c>
      <c r="Q9394">
        <v>7</v>
      </c>
      <c r="R9394" t="s">
        <v>46577</v>
      </c>
      <c r="S9394" t="s">
        <v>46808</v>
      </c>
      <c r="T9394" t="s">
        <v>48228</v>
      </c>
      <c r="U9394" t="s">
        <v>49062</v>
      </c>
      <c r="V9394" t="s">
        <v>62597</v>
      </c>
      <c r="W9394" t="s">
        <v>44503</v>
      </c>
      <c r="X9394" t="s">
        <v>46578</v>
      </c>
    </row>
    <row r="9395" spans="1:24">
      <c r="A9395">
        <f>HYPERLINK("https://www.philgeps.gov.ph/GEPSNONPILOT/Tender/SplashBidNoticeAbstractUI.aspx?menuIndex=3&amp;refID=7053497&amp;Result=3","7053497")</f>
        <v>0</v>
      </c>
      <c r="B9395" t="s">
        <v>884</v>
      </c>
      <c r="C9395" t="s">
        <v>12441</v>
      </c>
      <c r="D9395" t="s">
        <v>18816</v>
      </c>
      <c r="E9395" t="s">
        <v>27055</v>
      </c>
      <c r="F9395" t="s">
        <v>32664</v>
      </c>
      <c r="G9395" t="s">
        <v>32672</v>
      </c>
      <c r="H9395" t="s">
        <v>12635</v>
      </c>
      <c r="I9395" t="s">
        <v>32699</v>
      </c>
      <c r="J9395" t="s">
        <v>32943</v>
      </c>
      <c r="K9395" t="s">
        <v>42281</v>
      </c>
      <c r="M9395" t="s">
        <v>43485</v>
      </c>
      <c r="N9395" t="s">
        <v>46569</v>
      </c>
      <c r="O9395" t="s">
        <v>46570</v>
      </c>
      <c r="P9395">
        <v>0</v>
      </c>
      <c r="Q9395">
        <v>4</v>
      </c>
      <c r="R9395" t="s">
        <v>46577</v>
      </c>
      <c r="S9395" t="s">
        <v>46808</v>
      </c>
      <c r="T9395" t="s">
        <v>48405</v>
      </c>
      <c r="U9395" t="s">
        <v>56396</v>
      </c>
      <c r="W9395" t="s">
        <v>43485</v>
      </c>
      <c r="X9395" t="s">
        <v>46578</v>
      </c>
    </row>
    <row r="9396" spans="1:24">
      <c r="A9396">
        <f>HYPERLINK("https://www.philgeps.gov.ph/GEPSNONPILOT/Tender/SplashBidNoticeAbstractUI.aspx?menuIndex=3&amp;refID=7053619&amp;Result=3","7053619")</f>
        <v>0</v>
      </c>
      <c r="B9396" t="s">
        <v>1838</v>
      </c>
      <c r="C9396" t="s">
        <v>12442</v>
      </c>
      <c r="D9396" t="s">
        <v>18799</v>
      </c>
      <c r="E9396" t="s">
        <v>27056</v>
      </c>
      <c r="F9396" t="s">
        <v>32664</v>
      </c>
      <c r="G9396" t="s">
        <v>32674</v>
      </c>
      <c r="H9396" t="s">
        <v>12635</v>
      </c>
      <c r="I9396" t="s">
        <v>5589</v>
      </c>
      <c r="J9396" t="s">
        <v>33128</v>
      </c>
      <c r="K9396" t="s">
        <v>42283</v>
      </c>
      <c r="M9396" t="s">
        <v>44546</v>
      </c>
      <c r="N9396" t="s">
        <v>46569</v>
      </c>
      <c r="O9396" t="s">
        <v>46570</v>
      </c>
      <c r="Q9396">
        <v>7</v>
      </c>
      <c r="R9396" t="s">
        <v>46577</v>
      </c>
      <c r="S9396" t="s">
        <v>46844</v>
      </c>
      <c r="T9396" t="s">
        <v>48316</v>
      </c>
      <c r="U9396" t="s">
        <v>49565</v>
      </c>
      <c r="W9396" t="s">
        <v>44546</v>
      </c>
      <c r="X9396" t="s">
        <v>46578</v>
      </c>
    </row>
    <row r="9397" spans="1:24">
      <c r="A9397">
        <f>HYPERLINK("https://www.philgeps.gov.ph/GEPSNONPILOT/Tender/SplashBidNoticeAbstractUI.aspx?menuIndex=3&amp;refID=7053641&amp;Result=3","7053641")</f>
        <v>0</v>
      </c>
      <c r="B9397" t="s">
        <v>2651</v>
      </c>
      <c r="C9397" t="s">
        <v>12443</v>
      </c>
      <c r="D9397" t="s">
        <v>18797</v>
      </c>
      <c r="E9397" t="s">
        <v>27057</v>
      </c>
      <c r="F9397" t="s">
        <v>32664</v>
      </c>
      <c r="G9397" t="s">
        <v>32674</v>
      </c>
      <c r="H9397" t="s">
        <v>12635</v>
      </c>
      <c r="I9397" t="s">
        <v>6628</v>
      </c>
      <c r="J9397" t="s">
        <v>32902</v>
      </c>
      <c r="K9397" t="s">
        <v>42297</v>
      </c>
      <c r="M9397" t="s">
        <v>45473</v>
      </c>
      <c r="N9397" t="s">
        <v>46569</v>
      </c>
      <c r="O9397" t="s">
        <v>46570</v>
      </c>
      <c r="P9397">
        <v>0</v>
      </c>
      <c r="Q9397">
        <v>3</v>
      </c>
      <c r="R9397" t="s">
        <v>46577</v>
      </c>
      <c r="S9397" t="s">
        <v>46808</v>
      </c>
      <c r="T9397" t="s">
        <v>48562</v>
      </c>
      <c r="U9397" t="s">
        <v>56397</v>
      </c>
      <c r="W9397" t="s">
        <v>45473</v>
      </c>
      <c r="X9397" t="s">
        <v>46578</v>
      </c>
    </row>
    <row r="9398" spans="1:24">
      <c r="A9398">
        <f>HYPERLINK("https://www.philgeps.gov.ph/GEPSNONPILOT/Tender/SplashBidNoticeAbstractUI.aspx?menuIndex=3&amp;refID=7053618&amp;Result=3","7053618")</f>
        <v>0</v>
      </c>
      <c r="B9398" t="s">
        <v>1478</v>
      </c>
      <c r="C9398" t="s">
        <v>12444</v>
      </c>
      <c r="D9398" t="s">
        <v>18853</v>
      </c>
      <c r="E9398" t="s">
        <v>27058</v>
      </c>
      <c r="F9398" t="s">
        <v>32664</v>
      </c>
      <c r="G9398" t="s">
        <v>32672</v>
      </c>
      <c r="H9398" t="s">
        <v>32683</v>
      </c>
      <c r="I9398" t="s">
        <v>10627</v>
      </c>
      <c r="J9398" t="s">
        <v>38498</v>
      </c>
      <c r="K9398" t="s">
        <v>42297</v>
      </c>
      <c r="M9398" t="s">
        <v>44141</v>
      </c>
      <c r="N9398" t="s">
        <v>46569</v>
      </c>
      <c r="O9398" t="s">
        <v>46570</v>
      </c>
      <c r="P9398">
        <v>0</v>
      </c>
      <c r="Q9398">
        <v>0</v>
      </c>
      <c r="R9398" t="s">
        <v>46577</v>
      </c>
      <c r="S9398" t="s">
        <v>46808</v>
      </c>
      <c r="T9398" t="s">
        <v>48285</v>
      </c>
      <c r="U9398" t="s">
        <v>52065</v>
      </c>
      <c r="W9398" t="s">
        <v>44141</v>
      </c>
      <c r="X9398" t="s">
        <v>46578</v>
      </c>
    </row>
    <row r="9399" spans="1:24">
      <c r="A9399">
        <f>HYPERLINK("https://www.philgeps.gov.ph/GEPSNONPILOT/Tender/SplashBidNoticeAbstractUI.aspx?menuIndex=3&amp;refID=7053615&amp;Result=3","7053615")</f>
        <v>0</v>
      </c>
      <c r="B9399" t="s">
        <v>2409</v>
      </c>
      <c r="C9399" t="s">
        <v>12445</v>
      </c>
      <c r="D9399" t="s">
        <v>18786</v>
      </c>
      <c r="E9399" t="s">
        <v>27059</v>
      </c>
      <c r="F9399" t="s">
        <v>32664</v>
      </c>
      <c r="G9399" t="s">
        <v>32672</v>
      </c>
      <c r="H9399" t="s">
        <v>32683</v>
      </c>
      <c r="I9399" t="s">
        <v>10627</v>
      </c>
      <c r="J9399" t="s">
        <v>38499</v>
      </c>
      <c r="K9399" t="s">
        <v>42369</v>
      </c>
      <c r="L9399" t="s">
        <v>2409</v>
      </c>
      <c r="M9399" t="s">
        <v>45362</v>
      </c>
      <c r="N9399" t="s">
        <v>46569</v>
      </c>
      <c r="O9399" t="s">
        <v>46570</v>
      </c>
      <c r="P9399">
        <v>0</v>
      </c>
      <c r="Q9399">
        <v>2</v>
      </c>
      <c r="R9399" t="s">
        <v>46577</v>
      </c>
      <c r="S9399" t="s">
        <v>46808</v>
      </c>
      <c r="T9399" t="s">
        <v>48213</v>
      </c>
      <c r="U9399" t="s">
        <v>56398</v>
      </c>
      <c r="W9399" t="s">
        <v>45362</v>
      </c>
      <c r="X9399" t="s">
        <v>46578</v>
      </c>
    </row>
    <row r="9400" spans="1:24">
      <c r="A9400">
        <f>HYPERLINK("https://www.philgeps.gov.ph/GEPSNONPILOT/Tender/SplashBidNoticeAbstractUI.aspx?menuIndex=3&amp;refID=7053633&amp;Result=3","7053633")</f>
        <v>0</v>
      </c>
      <c r="B9400" t="s">
        <v>179</v>
      </c>
      <c r="C9400" t="s">
        <v>12446</v>
      </c>
      <c r="D9400" t="s">
        <v>18830</v>
      </c>
      <c r="E9400" t="s">
        <v>27060</v>
      </c>
      <c r="F9400" t="s">
        <v>32664</v>
      </c>
      <c r="G9400" t="s">
        <v>32671</v>
      </c>
      <c r="H9400" t="s">
        <v>32683</v>
      </c>
      <c r="I9400" t="s">
        <v>10627</v>
      </c>
      <c r="J9400" t="s">
        <v>32962</v>
      </c>
      <c r="K9400" t="s">
        <v>42328</v>
      </c>
      <c r="M9400" t="s">
        <v>45516</v>
      </c>
      <c r="N9400" t="s">
        <v>46569</v>
      </c>
      <c r="O9400" t="s">
        <v>46570</v>
      </c>
      <c r="P9400">
        <v>0</v>
      </c>
      <c r="Q9400">
        <v>0</v>
      </c>
      <c r="R9400" t="s">
        <v>46577</v>
      </c>
      <c r="S9400" t="s">
        <v>46808</v>
      </c>
      <c r="T9400" t="s">
        <v>48573</v>
      </c>
      <c r="U9400" t="s">
        <v>56399</v>
      </c>
      <c r="W9400" t="s">
        <v>45631</v>
      </c>
      <c r="X9400" t="s">
        <v>46578</v>
      </c>
    </row>
    <row r="9401" spans="1:24">
      <c r="A9401">
        <f>HYPERLINK("https://www.philgeps.gov.ph/GEPSNONPILOT/Tender/SplashBidNoticeAbstractUI.aspx?menuIndex=3&amp;refID=7053611&amp;Result=3","7053611")</f>
        <v>0</v>
      </c>
      <c r="B9401" t="s">
        <v>2691</v>
      </c>
      <c r="C9401" t="s">
        <v>12447</v>
      </c>
      <c r="D9401" t="s">
        <v>18804</v>
      </c>
      <c r="E9401" t="s">
        <v>27061</v>
      </c>
      <c r="F9401" t="s">
        <v>32664</v>
      </c>
      <c r="G9401" t="s">
        <v>32672</v>
      </c>
      <c r="H9401" t="s">
        <v>12635</v>
      </c>
      <c r="I9401" t="s">
        <v>6223</v>
      </c>
      <c r="J9401" t="s">
        <v>38500</v>
      </c>
      <c r="K9401" t="s">
        <v>42281</v>
      </c>
      <c r="M9401" t="s">
        <v>45517</v>
      </c>
      <c r="N9401" t="s">
        <v>46569</v>
      </c>
      <c r="O9401" t="s">
        <v>46570</v>
      </c>
      <c r="P9401">
        <v>0</v>
      </c>
      <c r="Q9401">
        <v>0</v>
      </c>
      <c r="R9401" t="s">
        <v>46577</v>
      </c>
      <c r="S9401" t="s">
        <v>46808</v>
      </c>
      <c r="T9401" t="s">
        <v>48469</v>
      </c>
      <c r="U9401" t="s">
        <v>56400</v>
      </c>
      <c r="V9401" t="s">
        <v>62178</v>
      </c>
      <c r="W9401" t="s">
        <v>45517</v>
      </c>
      <c r="X9401" t="s">
        <v>46578</v>
      </c>
    </row>
    <row r="9402" spans="1:24">
      <c r="A9402">
        <f>HYPERLINK("https://www.philgeps.gov.ph/GEPSNONPILOT/Tender/SplashBidNoticeAbstractUI.aspx?menuIndex=3&amp;refID=7053606&amp;Result=3","7053606")</f>
        <v>0</v>
      </c>
      <c r="B9402" t="s">
        <v>1150</v>
      </c>
      <c r="C9402" t="s">
        <v>11432</v>
      </c>
      <c r="D9402" t="s">
        <v>18845</v>
      </c>
      <c r="E9402" t="s">
        <v>27062</v>
      </c>
      <c r="F9402" t="s">
        <v>32664</v>
      </c>
      <c r="G9402" t="s">
        <v>32671</v>
      </c>
      <c r="H9402" t="s">
        <v>12635</v>
      </c>
      <c r="I9402" t="s">
        <v>32708</v>
      </c>
      <c r="J9402" t="s">
        <v>33320</v>
      </c>
      <c r="K9402" t="s">
        <v>42283</v>
      </c>
      <c r="M9402" t="s">
        <v>43781</v>
      </c>
      <c r="N9402" t="s">
        <v>46569</v>
      </c>
      <c r="O9402" t="s">
        <v>46570</v>
      </c>
      <c r="P9402">
        <v>0</v>
      </c>
      <c r="Q9402">
        <v>11</v>
      </c>
      <c r="R9402" t="s">
        <v>46577</v>
      </c>
      <c r="S9402" t="s">
        <v>46808</v>
      </c>
      <c r="T9402" t="s">
        <v>48449</v>
      </c>
      <c r="U9402" t="s">
        <v>56401</v>
      </c>
      <c r="W9402" t="s">
        <v>43781</v>
      </c>
      <c r="X9402" t="s">
        <v>46578</v>
      </c>
    </row>
    <row r="9403" spans="1:24">
      <c r="A9403">
        <f>HYPERLINK("https://www.philgeps.gov.ph/GEPSNONPILOT/Tender/SplashBidNoticeAbstractUI.aspx?menuIndex=3&amp;refID=7053605&amp;Result=3","7053605")</f>
        <v>0</v>
      </c>
      <c r="B9403" t="s">
        <v>2681</v>
      </c>
      <c r="C9403" t="s">
        <v>12448</v>
      </c>
      <c r="D9403" t="s">
        <v>18798</v>
      </c>
      <c r="E9403" t="s">
        <v>27063</v>
      </c>
      <c r="F9403" t="s">
        <v>32664</v>
      </c>
      <c r="G9403" t="s">
        <v>32672</v>
      </c>
      <c r="H9403" t="s">
        <v>32683</v>
      </c>
      <c r="I9403" t="s">
        <v>10627</v>
      </c>
      <c r="J9403" t="s">
        <v>33218</v>
      </c>
      <c r="K9403" t="s">
        <v>42314</v>
      </c>
      <c r="M9403" t="s">
        <v>45504</v>
      </c>
      <c r="N9403" t="s">
        <v>46569</v>
      </c>
      <c r="O9403" t="s">
        <v>46570</v>
      </c>
      <c r="P9403">
        <v>0</v>
      </c>
      <c r="Q9403">
        <v>0</v>
      </c>
      <c r="R9403" t="s">
        <v>46577</v>
      </c>
      <c r="S9403" t="s">
        <v>46808</v>
      </c>
      <c r="T9403" t="s">
        <v>48440</v>
      </c>
      <c r="U9403" t="s">
        <v>56393</v>
      </c>
      <c r="W9403" t="s">
        <v>45504</v>
      </c>
      <c r="X9403" t="s">
        <v>46578</v>
      </c>
    </row>
    <row r="9404" spans="1:24">
      <c r="A9404">
        <f>HYPERLINK("https://www.philgeps.gov.ph/GEPSNONPILOT/Tender/SplashBidNoticeAbstractUI.aspx?menuIndex=3&amp;refID=7053359&amp;Result=3","7053359")</f>
        <v>0</v>
      </c>
      <c r="B9404" t="s">
        <v>443</v>
      </c>
      <c r="C9404" t="s">
        <v>12449</v>
      </c>
      <c r="D9404" t="s">
        <v>18856</v>
      </c>
      <c r="E9404" t="s">
        <v>19795</v>
      </c>
      <c r="F9404" t="s">
        <v>32664</v>
      </c>
      <c r="G9404" t="s">
        <v>32674</v>
      </c>
      <c r="H9404" t="s">
        <v>12635</v>
      </c>
      <c r="I9404" t="s">
        <v>10370</v>
      </c>
      <c r="J9404" t="s">
        <v>38501</v>
      </c>
      <c r="K9404" t="s">
        <v>42321</v>
      </c>
      <c r="M9404" t="s">
        <v>43015</v>
      </c>
      <c r="N9404" t="s">
        <v>46569</v>
      </c>
      <c r="O9404" t="s">
        <v>46570</v>
      </c>
      <c r="P9404">
        <v>0</v>
      </c>
      <c r="Q9404">
        <v>2</v>
      </c>
      <c r="R9404" t="s">
        <v>46577</v>
      </c>
      <c r="S9404" t="s">
        <v>46808</v>
      </c>
      <c r="T9404" t="s">
        <v>48473</v>
      </c>
      <c r="U9404" t="s">
        <v>56402</v>
      </c>
      <c r="W9404" t="s">
        <v>43015</v>
      </c>
      <c r="X9404" t="s">
        <v>46578</v>
      </c>
    </row>
    <row r="9405" spans="1:24">
      <c r="A9405">
        <f>HYPERLINK("https://www.philgeps.gov.ph/GEPSNONPILOT/Tender/SplashBidNoticeAbstractUI.aspx?menuIndex=3&amp;refID=7053608&amp;Result=3","7053608")</f>
        <v>0</v>
      </c>
      <c r="B9405" t="s">
        <v>2692</v>
      </c>
      <c r="C9405" t="s">
        <v>12450</v>
      </c>
      <c r="D9405" t="s">
        <v>18830</v>
      </c>
      <c r="E9405" t="s">
        <v>21565</v>
      </c>
      <c r="F9405" t="s">
        <v>32664</v>
      </c>
      <c r="G9405" t="s">
        <v>32680</v>
      </c>
      <c r="H9405" t="s">
        <v>12635</v>
      </c>
      <c r="I9405" t="s">
        <v>10627</v>
      </c>
      <c r="J9405" t="s">
        <v>32842</v>
      </c>
      <c r="K9405" t="s">
        <v>42281</v>
      </c>
      <c r="M9405" t="s">
        <v>45518</v>
      </c>
      <c r="N9405" t="s">
        <v>46569</v>
      </c>
      <c r="O9405" t="s">
        <v>46570</v>
      </c>
      <c r="Q9405">
        <v>0</v>
      </c>
      <c r="R9405" t="s">
        <v>46577</v>
      </c>
      <c r="S9405" t="s">
        <v>46845</v>
      </c>
      <c r="T9405" t="s">
        <v>48316</v>
      </c>
      <c r="U9405" t="s">
        <v>56403</v>
      </c>
      <c r="W9405" t="s">
        <v>45518</v>
      </c>
      <c r="X9405" t="s">
        <v>46578</v>
      </c>
    </row>
    <row r="9406" spans="1:24">
      <c r="A9406">
        <f>HYPERLINK("https://www.philgeps.gov.ph/GEPSNONPILOT/Tender/SplashBidNoticeAbstractUI.aspx?menuIndex=3&amp;refID=7053356&amp;Result=3","7053356")</f>
        <v>0</v>
      </c>
      <c r="B9406" t="s">
        <v>296</v>
      </c>
      <c r="C9406" t="s">
        <v>12451</v>
      </c>
      <c r="D9406" t="s">
        <v>18818</v>
      </c>
      <c r="E9406" t="s">
        <v>27064</v>
      </c>
      <c r="F9406" t="s">
        <v>32664</v>
      </c>
      <c r="G9406" t="s">
        <v>32671</v>
      </c>
      <c r="H9406" t="s">
        <v>12635</v>
      </c>
      <c r="I9406" t="s">
        <v>6628</v>
      </c>
      <c r="J9406" t="s">
        <v>33051</v>
      </c>
      <c r="K9406" t="s">
        <v>42281</v>
      </c>
      <c r="M9406" t="s">
        <v>42863</v>
      </c>
      <c r="N9406" t="s">
        <v>46569</v>
      </c>
      <c r="O9406" t="s">
        <v>46570</v>
      </c>
      <c r="P9406">
        <v>0</v>
      </c>
      <c r="Q9406">
        <v>5</v>
      </c>
      <c r="R9406" t="s">
        <v>46577</v>
      </c>
      <c r="S9406" t="s">
        <v>46808</v>
      </c>
      <c r="T9406" t="s">
        <v>48502</v>
      </c>
      <c r="U9406" t="s">
        <v>49305</v>
      </c>
      <c r="W9406" t="s">
        <v>42863</v>
      </c>
      <c r="X9406" t="s">
        <v>46578</v>
      </c>
    </row>
    <row r="9407" spans="1:24">
      <c r="A9407">
        <f>HYPERLINK("https://www.philgeps.gov.ph/GEPSNONPILOT/Tender/SplashBidNoticeAbstractUI.aspx?menuIndex=3&amp;refID=7053616&amp;Result=3","7053616")</f>
        <v>0</v>
      </c>
      <c r="B9407" t="s">
        <v>2693</v>
      </c>
      <c r="C9407" t="s">
        <v>12452</v>
      </c>
      <c r="D9407" t="s">
        <v>18810</v>
      </c>
      <c r="E9407" t="s">
        <v>27065</v>
      </c>
      <c r="F9407" t="s">
        <v>32664</v>
      </c>
      <c r="G9407" t="s">
        <v>32671</v>
      </c>
      <c r="H9407" t="s">
        <v>12635</v>
      </c>
      <c r="I9407" t="s">
        <v>6168</v>
      </c>
      <c r="J9407" t="s">
        <v>38502</v>
      </c>
      <c r="K9407" t="s">
        <v>42281</v>
      </c>
      <c r="M9407" t="s">
        <v>45519</v>
      </c>
      <c r="N9407" t="s">
        <v>46569</v>
      </c>
      <c r="O9407" t="s">
        <v>46570</v>
      </c>
      <c r="P9407">
        <v>0</v>
      </c>
      <c r="Q9407">
        <v>2</v>
      </c>
      <c r="R9407" t="s">
        <v>46577</v>
      </c>
      <c r="S9407" t="s">
        <v>46808</v>
      </c>
      <c r="T9407" t="s">
        <v>48217</v>
      </c>
      <c r="U9407" t="s">
        <v>56404</v>
      </c>
      <c r="W9407" t="s">
        <v>45519</v>
      </c>
      <c r="X9407" t="s">
        <v>46578</v>
      </c>
    </row>
    <row r="9408" spans="1:24">
      <c r="A9408">
        <f>HYPERLINK("https://www.philgeps.gov.ph/GEPSNONPILOT/Tender/SplashBidNoticeAbstractUI.aspx?menuIndex=3&amp;refID=7053300&amp;Result=3","7053300")</f>
        <v>0</v>
      </c>
      <c r="B9408" t="s">
        <v>2691</v>
      </c>
      <c r="C9408" t="s">
        <v>12453</v>
      </c>
      <c r="D9408" t="s">
        <v>18804</v>
      </c>
      <c r="E9408" t="s">
        <v>27066</v>
      </c>
      <c r="F9408" t="s">
        <v>32664</v>
      </c>
      <c r="G9408" t="s">
        <v>32672</v>
      </c>
      <c r="H9408" t="s">
        <v>12635</v>
      </c>
      <c r="I9408" t="s">
        <v>32736</v>
      </c>
      <c r="J9408" t="s">
        <v>38503</v>
      </c>
      <c r="K9408" t="s">
        <v>42289</v>
      </c>
      <c r="M9408" t="s">
        <v>45517</v>
      </c>
      <c r="N9408" t="s">
        <v>46569</v>
      </c>
      <c r="O9408" t="s">
        <v>46570</v>
      </c>
      <c r="P9408">
        <v>0</v>
      </c>
      <c r="Q9408">
        <v>1</v>
      </c>
      <c r="R9408" t="s">
        <v>46577</v>
      </c>
      <c r="S9408" t="s">
        <v>46808</v>
      </c>
      <c r="T9408" t="s">
        <v>48469</v>
      </c>
      <c r="U9408" t="s">
        <v>56405</v>
      </c>
      <c r="V9408" t="s">
        <v>62178</v>
      </c>
      <c r="W9408" t="s">
        <v>45517</v>
      </c>
      <c r="X9408" t="s">
        <v>46578</v>
      </c>
    </row>
    <row r="9409" spans="1:24">
      <c r="A9409">
        <f>HYPERLINK("https://www.philgeps.gov.ph/GEPSNONPILOT/Tender/SplashBidNoticeAbstractUI.aspx?menuIndex=3&amp;refID=7053294&amp;Result=3","7053294")</f>
        <v>0</v>
      </c>
      <c r="B9409" t="s">
        <v>1478</v>
      </c>
      <c r="C9409" t="s">
        <v>12454</v>
      </c>
      <c r="D9409" t="s">
        <v>18853</v>
      </c>
      <c r="E9409" t="s">
        <v>27067</v>
      </c>
      <c r="F9409" t="s">
        <v>32664</v>
      </c>
      <c r="G9409" t="s">
        <v>32672</v>
      </c>
      <c r="H9409" t="s">
        <v>32683</v>
      </c>
      <c r="I9409" t="s">
        <v>10627</v>
      </c>
      <c r="J9409" t="s">
        <v>38504</v>
      </c>
      <c r="K9409" t="s">
        <v>42400</v>
      </c>
      <c r="M9409" t="s">
        <v>44141</v>
      </c>
      <c r="N9409" t="s">
        <v>46569</v>
      </c>
      <c r="O9409" t="s">
        <v>46570</v>
      </c>
      <c r="P9409">
        <v>0</v>
      </c>
      <c r="Q9409">
        <v>0</v>
      </c>
      <c r="R9409" t="s">
        <v>46577</v>
      </c>
      <c r="S9409" t="s">
        <v>46808</v>
      </c>
      <c r="T9409" t="s">
        <v>48285</v>
      </c>
      <c r="U9409" t="s">
        <v>52065</v>
      </c>
      <c r="W9409" t="s">
        <v>44141</v>
      </c>
      <c r="X9409" t="s">
        <v>46578</v>
      </c>
    </row>
    <row r="9410" spans="1:24">
      <c r="A9410">
        <f>HYPERLINK("https://www.philgeps.gov.ph/GEPSNONPILOT/Tender/SplashBidNoticeAbstractUI.aspx?menuIndex=3&amp;refID=7053302&amp;Result=3","7053302")</f>
        <v>0</v>
      </c>
      <c r="B9410" t="s">
        <v>2687</v>
      </c>
      <c r="C9410" t="s">
        <v>4590</v>
      </c>
      <c r="D9410" t="s">
        <v>18789</v>
      </c>
      <c r="E9410" t="s">
        <v>27068</v>
      </c>
      <c r="F9410" t="s">
        <v>32664</v>
      </c>
      <c r="G9410" t="s">
        <v>32677</v>
      </c>
      <c r="H9410" t="s">
        <v>12635</v>
      </c>
      <c r="I9410" t="s">
        <v>6168</v>
      </c>
      <c r="J9410" t="s">
        <v>38505</v>
      </c>
      <c r="K9410" t="s">
        <v>42297</v>
      </c>
      <c r="M9410" t="s">
        <v>45512</v>
      </c>
      <c r="N9410" t="s">
        <v>46569</v>
      </c>
      <c r="O9410" t="s">
        <v>46570</v>
      </c>
      <c r="P9410">
        <v>0</v>
      </c>
      <c r="Q9410">
        <v>4</v>
      </c>
      <c r="R9410" t="s">
        <v>46577</v>
      </c>
      <c r="S9410" t="s">
        <v>46808</v>
      </c>
      <c r="T9410" t="s">
        <v>48448</v>
      </c>
      <c r="U9410" t="s">
        <v>56406</v>
      </c>
      <c r="W9410" t="s">
        <v>45512</v>
      </c>
      <c r="X9410" t="s">
        <v>46578</v>
      </c>
    </row>
    <row r="9411" spans="1:24">
      <c r="A9411">
        <f>HYPERLINK("https://www.philgeps.gov.ph/GEPSNONPILOT/Tender/SplashBidNoticeAbstractUI.aspx?menuIndex=3&amp;refID=7053288&amp;Result=3","7053288")</f>
        <v>0</v>
      </c>
      <c r="B9411" t="s">
        <v>2657</v>
      </c>
      <c r="C9411" t="s">
        <v>12455</v>
      </c>
      <c r="D9411" t="s">
        <v>18803</v>
      </c>
      <c r="E9411" t="s">
        <v>27069</v>
      </c>
      <c r="F9411" t="s">
        <v>32667</v>
      </c>
      <c r="G9411" t="s">
        <v>32672</v>
      </c>
      <c r="H9411" t="s">
        <v>12635</v>
      </c>
      <c r="I9411" t="s">
        <v>8730</v>
      </c>
      <c r="J9411" t="s">
        <v>32984</v>
      </c>
      <c r="K9411" t="s">
        <v>42295</v>
      </c>
      <c r="M9411" t="s">
        <v>45478</v>
      </c>
      <c r="N9411" t="s">
        <v>46569</v>
      </c>
      <c r="O9411" t="s">
        <v>46570</v>
      </c>
      <c r="P9411">
        <v>0</v>
      </c>
      <c r="Q9411">
        <v>5</v>
      </c>
      <c r="R9411" t="s">
        <v>46577</v>
      </c>
      <c r="S9411" t="s">
        <v>46808</v>
      </c>
      <c r="T9411" t="s">
        <v>48218</v>
      </c>
      <c r="U9411" t="s">
        <v>56407</v>
      </c>
      <c r="W9411" t="s">
        <v>45478</v>
      </c>
      <c r="X9411" t="s">
        <v>46578</v>
      </c>
    </row>
    <row r="9412" spans="1:24">
      <c r="A9412">
        <f>HYPERLINK("https://www.philgeps.gov.ph/GEPSNONPILOT/Tender/SplashBidNoticeAbstractUI.aspx?menuIndex=3&amp;refID=7053299&amp;Result=3","7053299")</f>
        <v>0</v>
      </c>
      <c r="B9412" t="s">
        <v>382</v>
      </c>
      <c r="C9412" t="s">
        <v>12456</v>
      </c>
      <c r="D9412" t="s">
        <v>18852</v>
      </c>
      <c r="E9412" t="s">
        <v>27070</v>
      </c>
      <c r="F9412" t="s">
        <v>32664</v>
      </c>
      <c r="G9412" t="s">
        <v>32672</v>
      </c>
      <c r="H9412" t="s">
        <v>12635</v>
      </c>
      <c r="I9412" t="s">
        <v>32699</v>
      </c>
      <c r="J9412" t="s">
        <v>38506</v>
      </c>
      <c r="K9412" t="s">
        <v>42281</v>
      </c>
      <c r="M9412" t="s">
        <v>42952</v>
      </c>
      <c r="N9412" t="s">
        <v>46569</v>
      </c>
      <c r="O9412" t="s">
        <v>46570</v>
      </c>
      <c r="P9412">
        <v>0</v>
      </c>
      <c r="Q9412">
        <v>2</v>
      </c>
      <c r="R9412" t="s">
        <v>46577</v>
      </c>
      <c r="S9412" t="s">
        <v>46808</v>
      </c>
      <c r="T9412" t="s">
        <v>48305</v>
      </c>
      <c r="U9412" t="s">
        <v>56408</v>
      </c>
      <c r="W9412" t="s">
        <v>42952</v>
      </c>
      <c r="X9412" t="s">
        <v>46578</v>
      </c>
    </row>
    <row r="9413" spans="1:24">
      <c r="A9413">
        <f>HYPERLINK("https://www.philgeps.gov.ph/GEPSNONPILOT/Tender/SplashBidNoticeAbstractUI.aspx?menuIndex=3&amp;refID=7053286&amp;Result=3","7053286")</f>
        <v>0</v>
      </c>
      <c r="B9413" t="s">
        <v>2694</v>
      </c>
      <c r="C9413" t="s">
        <v>12457</v>
      </c>
      <c r="D9413" t="s">
        <v>18792</v>
      </c>
      <c r="E9413" t="s">
        <v>19010</v>
      </c>
      <c r="F9413" t="s">
        <v>32664</v>
      </c>
      <c r="G9413" t="s">
        <v>32672</v>
      </c>
      <c r="H9413" t="s">
        <v>12635</v>
      </c>
      <c r="I9413" t="s">
        <v>32725</v>
      </c>
      <c r="J9413" t="s">
        <v>36978</v>
      </c>
      <c r="K9413" t="s">
        <v>42289</v>
      </c>
      <c r="M9413" t="s">
        <v>45520</v>
      </c>
      <c r="N9413" t="s">
        <v>46569</v>
      </c>
      <c r="O9413" t="s">
        <v>46570</v>
      </c>
      <c r="P9413">
        <v>0</v>
      </c>
      <c r="Q9413">
        <v>0</v>
      </c>
      <c r="R9413" t="s">
        <v>46577</v>
      </c>
      <c r="S9413" t="s">
        <v>46808</v>
      </c>
      <c r="T9413" t="s">
        <v>48286</v>
      </c>
      <c r="U9413" t="s">
        <v>56409</v>
      </c>
      <c r="V9413" t="s">
        <v>62598</v>
      </c>
      <c r="W9413" t="s">
        <v>45520</v>
      </c>
      <c r="X9413" t="s">
        <v>46578</v>
      </c>
    </row>
    <row r="9414" spans="1:24">
      <c r="A9414">
        <f>HYPERLINK("https://www.philgeps.gov.ph/GEPSNONPILOT/Tender/SplashBidNoticeAbstractUI.aspx?menuIndex=3&amp;refID=7053285&amp;Result=3","7053285")</f>
        <v>0</v>
      </c>
      <c r="B9414" t="s">
        <v>1838</v>
      </c>
      <c r="C9414" t="s">
        <v>12458</v>
      </c>
      <c r="D9414" t="s">
        <v>18799</v>
      </c>
      <c r="E9414" t="s">
        <v>27071</v>
      </c>
      <c r="F9414" t="s">
        <v>32664</v>
      </c>
      <c r="G9414" t="s">
        <v>32674</v>
      </c>
      <c r="H9414" t="s">
        <v>12635</v>
      </c>
      <c r="I9414" t="s">
        <v>7324</v>
      </c>
      <c r="J9414" t="s">
        <v>33069</v>
      </c>
      <c r="K9414" t="s">
        <v>42283</v>
      </c>
      <c r="M9414" t="s">
        <v>44546</v>
      </c>
      <c r="N9414" t="s">
        <v>46569</v>
      </c>
      <c r="O9414" t="s">
        <v>46570</v>
      </c>
      <c r="Q9414">
        <v>3</v>
      </c>
      <c r="R9414" t="s">
        <v>46577</v>
      </c>
      <c r="S9414" t="s">
        <v>46844</v>
      </c>
      <c r="T9414" t="s">
        <v>48316</v>
      </c>
      <c r="U9414" t="s">
        <v>49565</v>
      </c>
      <c r="W9414" t="s">
        <v>44546</v>
      </c>
      <c r="X9414" t="s">
        <v>46578</v>
      </c>
    </row>
    <row r="9415" spans="1:24">
      <c r="A9415">
        <f>HYPERLINK("https://www.philgeps.gov.ph/GEPSNONPILOT/Tender/SplashBidNoticeAbstractUI.aspx?menuIndex=3&amp;refID=7053243&amp;Result=3","7053243")</f>
        <v>0</v>
      </c>
      <c r="B9415" t="s">
        <v>2695</v>
      </c>
      <c r="C9415" t="s">
        <v>12459</v>
      </c>
      <c r="D9415" t="s">
        <v>18818</v>
      </c>
      <c r="E9415" t="s">
        <v>21047</v>
      </c>
      <c r="F9415" t="s">
        <v>32664</v>
      </c>
      <c r="G9415" t="s">
        <v>32672</v>
      </c>
      <c r="H9415" t="s">
        <v>12635</v>
      </c>
      <c r="I9415" t="s">
        <v>4439</v>
      </c>
      <c r="J9415" t="s">
        <v>38507</v>
      </c>
      <c r="K9415" t="s">
        <v>42289</v>
      </c>
      <c r="M9415" t="s">
        <v>45521</v>
      </c>
      <c r="N9415" t="s">
        <v>46569</v>
      </c>
      <c r="O9415" t="s">
        <v>46570</v>
      </c>
      <c r="P9415">
        <v>0</v>
      </c>
      <c r="Q9415">
        <v>0</v>
      </c>
      <c r="R9415" t="s">
        <v>46577</v>
      </c>
      <c r="S9415" t="s">
        <v>46808</v>
      </c>
      <c r="T9415" t="s">
        <v>48245</v>
      </c>
      <c r="U9415" t="s">
        <v>56410</v>
      </c>
      <c r="W9415" t="s">
        <v>45521</v>
      </c>
      <c r="X9415" t="s">
        <v>46578</v>
      </c>
    </row>
    <row r="9416" spans="1:24">
      <c r="A9416">
        <f>HYPERLINK("https://www.philgeps.gov.ph/GEPSNONPILOT/Tender/SplashBidNoticeAbstractUI.aspx?menuIndex=3&amp;refID=7053621&amp;Result=3","7053621")</f>
        <v>0</v>
      </c>
      <c r="B9416" t="s">
        <v>160</v>
      </c>
      <c r="C9416" t="s">
        <v>12460</v>
      </c>
      <c r="D9416" t="s">
        <v>18806</v>
      </c>
      <c r="E9416" t="s">
        <v>27072</v>
      </c>
      <c r="F9416" t="s">
        <v>32664</v>
      </c>
      <c r="G9416" t="s">
        <v>32672</v>
      </c>
      <c r="H9416" t="s">
        <v>12635</v>
      </c>
      <c r="I9416" t="s">
        <v>4439</v>
      </c>
      <c r="J9416" t="s">
        <v>38508</v>
      </c>
      <c r="K9416" t="s">
        <v>42281</v>
      </c>
      <c r="M9416" t="s">
        <v>42724</v>
      </c>
      <c r="N9416" t="s">
        <v>46569</v>
      </c>
      <c r="O9416" t="s">
        <v>46570</v>
      </c>
      <c r="P9416">
        <v>0</v>
      </c>
      <c r="Q9416">
        <v>0</v>
      </c>
      <c r="R9416" t="s">
        <v>46577</v>
      </c>
      <c r="S9416" t="s">
        <v>46808</v>
      </c>
      <c r="T9416" t="s">
        <v>48282</v>
      </c>
      <c r="U9416" t="s">
        <v>56411</v>
      </c>
      <c r="W9416" t="s">
        <v>42724</v>
      </c>
      <c r="X9416" t="s">
        <v>46578</v>
      </c>
    </row>
    <row r="9417" spans="1:24">
      <c r="A9417">
        <f>HYPERLINK("https://www.philgeps.gov.ph/GEPSNONPILOT/Tender/SplashBidNoticeAbstractUI.aspx?menuIndex=3&amp;refID=7053238&amp;Result=3","7053238")</f>
        <v>0</v>
      </c>
      <c r="B9417" t="s">
        <v>1963</v>
      </c>
      <c r="C9417" t="s">
        <v>12461</v>
      </c>
      <c r="D9417" t="s">
        <v>18785</v>
      </c>
      <c r="E9417" t="s">
        <v>27073</v>
      </c>
      <c r="F9417" t="s">
        <v>32664</v>
      </c>
      <c r="G9417" t="s">
        <v>32672</v>
      </c>
      <c r="H9417" t="s">
        <v>12635</v>
      </c>
      <c r="I9417" t="s">
        <v>32700</v>
      </c>
      <c r="J9417" t="s">
        <v>38509</v>
      </c>
      <c r="K9417" t="s">
        <v>42427</v>
      </c>
      <c r="M9417" t="s">
        <v>44695</v>
      </c>
      <c r="N9417" t="s">
        <v>46569</v>
      </c>
      <c r="O9417" t="s">
        <v>46570</v>
      </c>
      <c r="P9417">
        <v>0</v>
      </c>
      <c r="Q9417">
        <v>1</v>
      </c>
      <c r="R9417" t="s">
        <v>46577</v>
      </c>
      <c r="S9417" t="s">
        <v>46808</v>
      </c>
      <c r="T9417" t="s">
        <v>48287</v>
      </c>
      <c r="U9417" t="s">
        <v>53666</v>
      </c>
      <c r="W9417" t="s">
        <v>44695</v>
      </c>
      <c r="X9417" t="s">
        <v>46578</v>
      </c>
    </row>
    <row r="9418" spans="1:24">
      <c r="A9418">
        <f>HYPERLINK("https://www.philgeps.gov.ph/GEPSNONPILOT/Tender/SplashBidNoticeAbstractUI.aspx?menuIndex=3&amp;refID=7053231&amp;Result=3","7053231")</f>
        <v>0</v>
      </c>
      <c r="B9418" t="s">
        <v>2696</v>
      </c>
      <c r="C9418" t="s">
        <v>12462</v>
      </c>
      <c r="D9418" t="s">
        <v>18826</v>
      </c>
      <c r="E9418" t="s">
        <v>19380</v>
      </c>
      <c r="F9418" t="s">
        <v>32664</v>
      </c>
      <c r="G9418" t="s">
        <v>32672</v>
      </c>
      <c r="H9418" t="s">
        <v>12635</v>
      </c>
      <c r="I9418" t="s">
        <v>4439</v>
      </c>
      <c r="J9418" t="s">
        <v>38510</v>
      </c>
      <c r="K9418" t="s">
        <v>42297</v>
      </c>
      <c r="M9418" t="s">
        <v>45522</v>
      </c>
      <c r="N9418" t="s">
        <v>46569</v>
      </c>
      <c r="O9418" t="s">
        <v>46570</v>
      </c>
      <c r="P9418">
        <v>0</v>
      </c>
      <c r="Q9418">
        <v>1</v>
      </c>
      <c r="R9418" t="s">
        <v>46577</v>
      </c>
      <c r="S9418" t="s">
        <v>46808</v>
      </c>
      <c r="T9418" t="s">
        <v>48427</v>
      </c>
      <c r="U9418" t="s">
        <v>56412</v>
      </c>
      <c r="W9418" t="s">
        <v>45522</v>
      </c>
      <c r="X9418" t="s">
        <v>46578</v>
      </c>
    </row>
    <row r="9419" spans="1:24">
      <c r="A9419">
        <f>HYPERLINK("https://www.philgeps.gov.ph/GEPSNONPILOT/Tender/SplashBidNoticeAbstractUI.aspx?menuIndex=3&amp;refID=7053287&amp;Result=3","7053287")</f>
        <v>0</v>
      </c>
      <c r="B9419" t="s">
        <v>2658</v>
      </c>
      <c r="C9419" t="s">
        <v>12463</v>
      </c>
      <c r="D9419" t="s">
        <v>18796</v>
      </c>
      <c r="E9419" t="s">
        <v>20386</v>
      </c>
      <c r="F9419" t="s">
        <v>32664</v>
      </c>
      <c r="G9419" t="s">
        <v>32672</v>
      </c>
      <c r="H9419" t="s">
        <v>32683</v>
      </c>
      <c r="I9419" t="s">
        <v>10627</v>
      </c>
      <c r="J9419" t="s">
        <v>34559</v>
      </c>
      <c r="K9419" t="s">
        <v>42290</v>
      </c>
      <c r="M9419" t="s">
        <v>45479</v>
      </c>
      <c r="N9419" t="s">
        <v>46569</v>
      </c>
      <c r="O9419" t="s">
        <v>46570</v>
      </c>
      <c r="P9419">
        <v>0</v>
      </c>
      <c r="Q9419">
        <v>1</v>
      </c>
      <c r="R9419" t="s">
        <v>46577</v>
      </c>
      <c r="S9419" t="s">
        <v>46808</v>
      </c>
      <c r="T9419" t="s">
        <v>48483</v>
      </c>
      <c r="U9419" t="s">
        <v>56413</v>
      </c>
      <c r="V9419" t="s">
        <v>62579</v>
      </c>
      <c r="W9419" t="s">
        <v>45479</v>
      </c>
      <c r="X9419" t="s">
        <v>46578</v>
      </c>
    </row>
    <row r="9420" spans="1:24">
      <c r="A9420">
        <f>HYPERLINK("https://www.philgeps.gov.ph/GEPSNONPILOT/Tender/SplashBidNoticeAbstractUI.aspx?menuIndex=3&amp;refID=7053292&amp;Result=3","7053292")</f>
        <v>0</v>
      </c>
      <c r="B9420" t="s">
        <v>2623</v>
      </c>
      <c r="C9420" t="s">
        <v>12464</v>
      </c>
      <c r="D9420" t="s">
        <v>18856</v>
      </c>
      <c r="E9420" t="s">
        <v>27074</v>
      </c>
      <c r="F9420" t="s">
        <v>32664</v>
      </c>
      <c r="G9420" t="s">
        <v>32672</v>
      </c>
      <c r="H9420" t="s">
        <v>12635</v>
      </c>
      <c r="I9420" t="s">
        <v>32686</v>
      </c>
      <c r="J9420" t="s">
        <v>38511</v>
      </c>
      <c r="K9420" t="s">
        <v>42305</v>
      </c>
      <c r="M9420" t="s">
        <v>45441</v>
      </c>
      <c r="N9420" t="s">
        <v>46569</v>
      </c>
      <c r="O9420" t="s">
        <v>46570</v>
      </c>
      <c r="P9420">
        <v>0</v>
      </c>
      <c r="Q9420">
        <v>5</v>
      </c>
      <c r="R9420" t="s">
        <v>46577</v>
      </c>
      <c r="S9420" t="s">
        <v>46808</v>
      </c>
      <c r="T9420" t="s">
        <v>48216</v>
      </c>
      <c r="U9420" t="s">
        <v>56414</v>
      </c>
      <c r="V9420" t="s">
        <v>62560</v>
      </c>
      <c r="W9420" t="s">
        <v>45441</v>
      </c>
      <c r="X9420" t="s">
        <v>46578</v>
      </c>
    </row>
    <row r="9421" spans="1:24">
      <c r="A9421">
        <f>HYPERLINK("https://www.philgeps.gov.ph/GEPSNONPILOT/Tender/SplashBidNoticeAbstractUI.aspx?menuIndex=3&amp;refID=7053223&amp;Result=3","7053223")</f>
        <v>0</v>
      </c>
      <c r="B9421" t="s">
        <v>2484</v>
      </c>
      <c r="C9421" t="s">
        <v>12465</v>
      </c>
      <c r="D9421" t="s">
        <v>18822</v>
      </c>
      <c r="E9421" t="s">
        <v>27075</v>
      </c>
      <c r="F9421" t="s">
        <v>32664</v>
      </c>
      <c r="G9421" t="s">
        <v>32672</v>
      </c>
      <c r="H9421" t="s">
        <v>12635</v>
      </c>
      <c r="I9421" t="s">
        <v>4439</v>
      </c>
      <c r="J9421" t="s">
        <v>33175</v>
      </c>
      <c r="K9421" t="s">
        <v>42297</v>
      </c>
      <c r="M9421" t="s">
        <v>45284</v>
      </c>
      <c r="N9421" t="s">
        <v>46569</v>
      </c>
      <c r="O9421" t="s">
        <v>46570</v>
      </c>
      <c r="P9421">
        <v>0</v>
      </c>
      <c r="Q9421">
        <v>1</v>
      </c>
      <c r="R9421" t="s">
        <v>46577</v>
      </c>
      <c r="S9421" t="s">
        <v>46808</v>
      </c>
      <c r="T9421" t="s">
        <v>48283</v>
      </c>
      <c r="U9421" t="s">
        <v>56210</v>
      </c>
      <c r="W9421" t="s">
        <v>45284</v>
      </c>
      <c r="X9421" t="s">
        <v>46578</v>
      </c>
    </row>
    <row r="9422" spans="1:24">
      <c r="A9422">
        <f>HYPERLINK("https://www.philgeps.gov.ph/GEPSNONPILOT/Tender/SplashBidNoticeAbstractUI.aspx?menuIndex=3&amp;refID=7053222&amp;Result=3","7053222")</f>
        <v>0</v>
      </c>
      <c r="B9422" t="s">
        <v>2666</v>
      </c>
      <c r="C9422" t="s">
        <v>12466</v>
      </c>
      <c r="D9422" t="s">
        <v>18806</v>
      </c>
      <c r="E9422" t="s">
        <v>27076</v>
      </c>
      <c r="F9422" t="s">
        <v>32664</v>
      </c>
      <c r="G9422" t="s">
        <v>32674</v>
      </c>
      <c r="H9422" t="s">
        <v>12635</v>
      </c>
      <c r="I9422" t="s">
        <v>32694</v>
      </c>
      <c r="J9422" t="s">
        <v>33337</v>
      </c>
      <c r="K9422" t="s">
        <v>42309</v>
      </c>
      <c r="M9422" t="s">
        <v>45488</v>
      </c>
      <c r="N9422" t="s">
        <v>46569</v>
      </c>
      <c r="O9422" t="s">
        <v>46570</v>
      </c>
      <c r="P9422">
        <v>0</v>
      </c>
      <c r="Q9422">
        <v>0</v>
      </c>
      <c r="R9422" t="s">
        <v>46577</v>
      </c>
      <c r="S9422" t="s">
        <v>46808</v>
      </c>
      <c r="T9422" t="s">
        <v>48473</v>
      </c>
      <c r="U9422" t="s">
        <v>56415</v>
      </c>
      <c r="W9422" t="s">
        <v>45488</v>
      </c>
      <c r="X9422" t="s">
        <v>46578</v>
      </c>
    </row>
    <row r="9423" spans="1:24">
      <c r="A9423">
        <f>HYPERLINK("https://www.philgeps.gov.ph/GEPSNONPILOT/Tender/SplashBidNoticeAbstractUI.aspx?menuIndex=3&amp;refID=7053061&amp;Result=3","7053061")</f>
        <v>0</v>
      </c>
      <c r="B9423" t="s">
        <v>413</v>
      </c>
      <c r="C9423" t="s">
        <v>12467</v>
      </c>
      <c r="D9423" t="s">
        <v>18799</v>
      </c>
      <c r="E9423" t="s">
        <v>27077</v>
      </c>
      <c r="F9423" t="s">
        <v>32664</v>
      </c>
      <c r="G9423" t="s">
        <v>32674</v>
      </c>
      <c r="H9423" t="s">
        <v>12635</v>
      </c>
      <c r="I9423" t="s">
        <v>8730</v>
      </c>
      <c r="J9423" t="s">
        <v>38512</v>
      </c>
      <c r="K9423" t="s">
        <v>42297</v>
      </c>
      <c r="M9423" t="s">
        <v>42984</v>
      </c>
      <c r="N9423" t="s">
        <v>46569</v>
      </c>
      <c r="O9423" t="s">
        <v>46570</v>
      </c>
      <c r="P9423">
        <v>0</v>
      </c>
      <c r="Q9423">
        <v>12</v>
      </c>
      <c r="R9423" t="s">
        <v>46577</v>
      </c>
      <c r="S9423" t="s">
        <v>46808</v>
      </c>
      <c r="T9423" t="s">
        <v>48314</v>
      </c>
      <c r="U9423" t="s">
        <v>49686</v>
      </c>
      <c r="W9423" t="s">
        <v>42984</v>
      </c>
      <c r="X9423" t="s">
        <v>46578</v>
      </c>
    </row>
    <row r="9424" spans="1:24">
      <c r="A9424">
        <f>HYPERLINK("https://www.philgeps.gov.ph/GEPSNONPILOT/Tender/SplashBidNoticeAbstractUI.aspx?menuIndex=3&amp;refID=7053626&amp;Result=3","7053626")</f>
        <v>0</v>
      </c>
      <c r="B9424" t="s">
        <v>2697</v>
      </c>
      <c r="C9424" t="s">
        <v>12468</v>
      </c>
      <c r="D9424" t="s">
        <v>18791</v>
      </c>
      <c r="E9424" t="s">
        <v>27078</v>
      </c>
      <c r="F9424" t="s">
        <v>32664</v>
      </c>
      <c r="G9424" t="s">
        <v>32672</v>
      </c>
      <c r="H9424" t="s">
        <v>12635</v>
      </c>
      <c r="I9424" t="s">
        <v>14442</v>
      </c>
      <c r="J9424" t="s">
        <v>38513</v>
      </c>
      <c r="K9424" t="s">
        <v>42283</v>
      </c>
      <c r="M9424" t="s">
        <v>45523</v>
      </c>
      <c r="N9424" t="s">
        <v>46569</v>
      </c>
      <c r="O9424" t="s">
        <v>46570</v>
      </c>
      <c r="P9424">
        <v>0</v>
      </c>
      <c r="Q9424">
        <v>2</v>
      </c>
      <c r="R9424" t="s">
        <v>46577</v>
      </c>
      <c r="S9424" t="s">
        <v>46808</v>
      </c>
      <c r="T9424" t="s">
        <v>48314</v>
      </c>
      <c r="U9424" t="s">
        <v>56416</v>
      </c>
      <c r="W9424" t="s">
        <v>45523</v>
      </c>
      <c r="X9424" t="s">
        <v>46578</v>
      </c>
    </row>
    <row r="9425" spans="1:24">
      <c r="A9425">
        <f>HYPERLINK("https://www.philgeps.gov.ph/GEPSNONPILOT/Tender/SplashBidNoticeAbstractUI.aspx?menuIndex=3&amp;refID=7053060&amp;Result=3","7053060")</f>
        <v>0</v>
      </c>
      <c r="B9425" t="s">
        <v>2645</v>
      </c>
      <c r="C9425" t="s">
        <v>12469</v>
      </c>
      <c r="D9425" t="s">
        <v>18838</v>
      </c>
      <c r="E9425" t="s">
        <v>27079</v>
      </c>
      <c r="F9425" t="s">
        <v>32664</v>
      </c>
      <c r="G9425" t="s">
        <v>32675</v>
      </c>
      <c r="H9425" t="s">
        <v>12635</v>
      </c>
      <c r="I9425" t="s">
        <v>6223</v>
      </c>
      <c r="J9425" t="s">
        <v>38514</v>
      </c>
      <c r="K9425" t="s">
        <v>42281</v>
      </c>
      <c r="M9425" t="s">
        <v>45466</v>
      </c>
      <c r="N9425" t="s">
        <v>46569</v>
      </c>
      <c r="O9425" t="s">
        <v>46570</v>
      </c>
      <c r="P9425">
        <v>0</v>
      </c>
      <c r="Q9425">
        <v>8</v>
      </c>
      <c r="R9425" t="s">
        <v>46577</v>
      </c>
      <c r="S9425" t="s">
        <v>46808</v>
      </c>
      <c r="T9425" t="s">
        <v>48256</v>
      </c>
      <c r="U9425" t="s">
        <v>56417</v>
      </c>
      <c r="V9425" t="s">
        <v>62599</v>
      </c>
      <c r="W9425" t="s">
        <v>45466</v>
      </c>
      <c r="X9425" t="s">
        <v>46578</v>
      </c>
    </row>
    <row r="9426" spans="1:24">
      <c r="A9426">
        <f>HYPERLINK("https://www.philgeps.gov.ph/GEPSNONPILOT/Tender/SplashBidNoticeAbstractUI.aspx?menuIndex=3&amp;refID=7053067&amp;Result=3","7053067")</f>
        <v>0</v>
      </c>
      <c r="B9426" t="s">
        <v>2698</v>
      </c>
      <c r="C9426" t="s">
        <v>12470</v>
      </c>
      <c r="D9426" t="s">
        <v>18865</v>
      </c>
      <c r="E9426" t="s">
        <v>27080</v>
      </c>
      <c r="F9426" t="s">
        <v>32664</v>
      </c>
      <c r="G9426" t="s">
        <v>32672</v>
      </c>
      <c r="H9426" t="s">
        <v>12635</v>
      </c>
      <c r="I9426" t="s">
        <v>4439</v>
      </c>
      <c r="J9426" t="s">
        <v>38515</v>
      </c>
      <c r="K9426" t="s">
        <v>42289</v>
      </c>
      <c r="M9426" t="s">
        <v>45524</v>
      </c>
      <c r="N9426" t="s">
        <v>46569</v>
      </c>
      <c r="O9426" t="s">
        <v>46570</v>
      </c>
      <c r="P9426">
        <v>0</v>
      </c>
      <c r="Q9426">
        <v>0</v>
      </c>
      <c r="R9426" t="s">
        <v>46577</v>
      </c>
      <c r="S9426" t="s">
        <v>46808</v>
      </c>
      <c r="T9426" t="s">
        <v>48313</v>
      </c>
      <c r="U9426" t="s">
        <v>56418</v>
      </c>
      <c r="W9426" t="s">
        <v>45524</v>
      </c>
      <c r="X9426" t="s">
        <v>46578</v>
      </c>
    </row>
    <row r="9427" spans="1:24">
      <c r="A9427">
        <f>HYPERLINK("https://www.philgeps.gov.ph/GEPSNONPILOT/Tender/SplashBidNoticeAbstractUI.aspx?menuIndex=3&amp;refID=7053053&amp;Result=3","7053053")</f>
        <v>0</v>
      </c>
      <c r="B9427" t="s">
        <v>605</v>
      </c>
      <c r="C9427" t="s">
        <v>12471</v>
      </c>
      <c r="D9427" t="s">
        <v>18858</v>
      </c>
      <c r="E9427" t="s">
        <v>27081</v>
      </c>
      <c r="F9427" t="s">
        <v>32664</v>
      </c>
      <c r="G9427" t="s">
        <v>32674</v>
      </c>
      <c r="H9427" t="s">
        <v>12635</v>
      </c>
      <c r="I9427" t="s">
        <v>4333</v>
      </c>
      <c r="J9427" t="s">
        <v>38516</v>
      </c>
      <c r="K9427" t="s">
        <v>42289</v>
      </c>
      <c r="M9427" t="s">
        <v>43185</v>
      </c>
      <c r="N9427" t="s">
        <v>46569</v>
      </c>
      <c r="O9427" t="s">
        <v>46570</v>
      </c>
      <c r="P9427">
        <v>0</v>
      </c>
      <c r="Q9427">
        <v>0</v>
      </c>
      <c r="R9427" t="s">
        <v>46577</v>
      </c>
      <c r="S9427" t="s">
        <v>46808</v>
      </c>
      <c r="T9427" t="s">
        <v>48562</v>
      </c>
      <c r="U9427" t="s">
        <v>56419</v>
      </c>
      <c r="W9427" t="s">
        <v>43185</v>
      </c>
      <c r="X9427" t="s">
        <v>46578</v>
      </c>
    </row>
    <row r="9428" spans="1:24">
      <c r="A9428">
        <f>HYPERLINK("https://www.philgeps.gov.ph/GEPSNONPILOT/Tender/SplashBidNoticeAbstractUI.aspx?menuIndex=3&amp;refID=7053234&amp;Result=3","7053234")</f>
        <v>0</v>
      </c>
      <c r="B9428" t="s">
        <v>2699</v>
      </c>
      <c r="C9428" t="s">
        <v>12472</v>
      </c>
      <c r="D9428" t="s">
        <v>18798</v>
      </c>
      <c r="E9428" t="s">
        <v>27082</v>
      </c>
      <c r="F9428" t="s">
        <v>32664</v>
      </c>
      <c r="G9428" t="s">
        <v>32672</v>
      </c>
      <c r="H9428" t="s">
        <v>12635</v>
      </c>
      <c r="I9428" t="s">
        <v>10370</v>
      </c>
      <c r="J9428" t="s">
        <v>32830</v>
      </c>
      <c r="K9428" t="s">
        <v>42309</v>
      </c>
      <c r="M9428" t="s">
        <v>45525</v>
      </c>
      <c r="N9428" t="s">
        <v>46569</v>
      </c>
      <c r="O9428" t="s">
        <v>46570</v>
      </c>
      <c r="P9428">
        <v>0</v>
      </c>
      <c r="Q9428">
        <v>3</v>
      </c>
      <c r="R9428" t="s">
        <v>46577</v>
      </c>
      <c r="S9428" t="s">
        <v>46808</v>
      </c>
      <c r="T9428" t="s">
        <v>48254</v>
      </c>
      <c r="U9428" t="s">
        <v>56420</v>
      </c>
      <c r="W9428" t="s">
        <v>45525</v>
      </c>
      <c r="X9428" t="s">
        <v>46578</v>
      </c>
    </row>
    <row r="9429" spans="1:24">
      <c r="A9429">
        <f>HYPERLINK("https://www.philgeps.gov.ph/GEPSNONPILOT/Tender/SplashBidNoticeAbstractUI.aspx?menuIndex=3&amp;refID=7052996&amp;Result=3","7052996")</f>
        <v>0</v>
      </c>
      <c r="B9429" t="s">
        <v>2671</v>
      </c>
      <c r="C9429" t="s">
        <v>12473</v>
      </c>
      <c r="D9429" t="s">
        <v>18792</v>
      </c>
      <c r="E9429" t="s">
        <v>27083</v>
      </c>
      <c r="F9429" t="s">
        <v>32664</v>
      </c>
      <c r="G9429" t="s">
        <v>32672</v>
      </c>
      <c r="H9429" t="s">
        <v>12635</v>
      </c>
      <c r="I9429" t="s">
        <v>32689</v>
      </c>
      <c r="J9429" t="s">
        <v>32859</v>
      </c>
      <c r="K9429" t="s">
        <v>42281</v>
      </c>
      <c r="M9429" t="s">
        <v>45493</v>
      </c>
      <c r="N9429" t="s">
        <v>46569</v>
      </c>
      <c r="O9429" t="s">
        <v>46570</v>
      </c>
      <c r="P9429">
        <v>0</v>
      </c>
      <c r="Q9429">
        <v>2</v>
      </c>
      <c r="R9429" t="s">
        <v>46577</v>
      </c>
      <c r="S9429" t="s">
        <v>46808</v>
      </c>
      <c r="T9429" t="s">
        <v>48412</v>
      </c>
      <c r="U9429" t="s">
        <v>56421</v>
      </c>
      <c r="W9429" t="s">
        <v>45493</v>
      </c>
      <c r="X9429" t="s">
        <v>46578</v>
      </c>
    </row>
    <row r="9430" spans="1:24">
      <c r="A9430">
        <f>HYPERLINK("https://www.philgeps.gov.ph/GEPSNONPILOT/Tender/SplashBidNoticeAbstractUI.aspx?menuIndex=3&amp;refID=7052992&amp;Result=3","7052992")</f>
        <v>0</v>
      </c>
      <c r="B9430" t="s">
        <v>2700</v>
      </c>
      <c r="C9430" t="s">
        <v>12474</v>
      </c>
      <c r="D9430" t="s">
        <v>18785</v>
      </c>
      <c r="E9430" t="s">
        <v>19221</v>
      </c>
      <c r="F9430" t="s">
        <v>32664</v>
      </c>
      <c r="G9430" t="s">
        <v>32674</v>
      </c>
      <c r="H9430" t="s">
        <v>12635</v>
      </c>
      <c r="I9430" t="s">
        <v>4439</v>
      </c>
      <c r="J9430" t="s">
        <v>33309</v>
      </c>
      <c r="K9430" t="s">
        <v>42284</v>
      </c>
      <c r="M9430" t="s">
        <v>45526</v>
      </c>
      <c r="N9430" t="s">
        <v>46569</v>
      </c>
      <c r="O9430" t="s">
        <v>46570</v>
      </c>
      <c r="P9430">
        <v>0</v>
      </c>
      <c r="Q9430">
        <v>0</v>
      </c>
      <c r="R9430" t="s">
        <v>46577</v>
      </c>
      <c r="S9430" t="s">
        <v>46808</v>
      </c>
      <c r="T9430" t="s">
        <v>48449</v>
      </c>
      <c r="U9430" t="s">
        <v>56422</v>
      </c>
      <c r="V9430" t="s">
        <v>62600</v>
      </c>
      <c r="W9430" t="s">
        <v>46557</v>
      </c>
      <c r="X9430" t="s">
        <v>46578</v>
      </c>
    </row>
    <row r="9431" spans="1:24">
      <c r="A9431">
        <f>HYPERLINK("https://www.philgeps.gov.ph/GEPSNONPILOT/Tender/SplashBidNoticeAbstractUI.aspx?menuIndex=3&amp;refID=7053478&amp;Result=3","7053478")</f>
        <v>0</v>
      </c>
      <c r="B9431" t="s">
        <v>1150</v>
      </c>
      <c r="C9431" t="s">
        <v>12475</v>
      </c>
      <c r="D9431" t="s">
        <v>18845</v>
      </c>
      <c r="E9431" t="s">
        <v>27084</v>
      </c>
      <c r="F9431" t="s">
        <v>32664</v>
      </c>
      <c r="G9431" t="s">
        <v>32672</v>
      </c>
      <c r="H9431" t="s">
        <v>32683</v>
      </c>
      <c r="I9431" t="s">
        <v>10627</v>
      </c>
      <c r="J9431" t="s">
        <v>38517</v>
      </c>
      <c r="K9431" t="s">
        <v>42290</v>
      </c>
      <c r="M9431" t="s">
        <v>45506</v>
      </c>
      <c r="N9431" t="s">
        <v>46569</v>
      </c>
      <c r="O9431" t="s">
        <v>46570</v>
      </c>
      <c r="P9431">
        <v>0</v>
      </c>
      <c r="Q9431">
        <v>2</v>
      </c>
      <c r="R9431" t="s">
        <v>46577</v>
      </c>
      <c r="S9431" t="s">
        <v>46808</v>
      </c>
      <c r="T9431" t="s">
        <v>48469</v>
      </c>
      <c r="U9431" t="s">
        <v>56423</v>
      </c>
      <c r="W9431" t="s">
        <v>45506</v>
      </c>
      <c r="X9431" t="s">
        <v>46578</v>
      </c>
    </row>
    <row r="9432" spans="1:24">
      <c r="A9432">
        <f>HYPERLINK("https://www.philgeps.gov.ph/GEPSNONPILOT/Tender/SplashBidNoticeAbstractUI.aspx?menuIndex=3&amp;refID=7053054&amp;Result=3","7053054")</f>
        <v>0</v>
      </c>
      <c r="B9432" t="s">
        <v>194</v>
      </c>
      <c r="C9432" t="s">
        <v>12476</v>
      </c>
      <c r="D9432" t="s">
        <v>18791</v>
      </c>
      <c r="E9432" t="s">
        <v>27085</v>
      </c>
      <c r="F9432" t="s">
        <v>32664</v>
      </c>
      <c r="G9432" t="s">
        <v>32671</v>
      </c>
      <c r="H9432" t="s">
        <v>12635</v>
      </c>
      <c r="I9432" t="s">
        <v>5589</v>
      </c>
      <c r="J9432" t="s">
        <v>32959</v>
      </c>
      <c r="K9432" t="s">
        <v>42284</v>
      </c>
      <c r="M9432" t="s">
        <v>42758</v>
      </c>
      <c r="N9432" t="s">
        <v>46569</v>
      </c>
      <c r="O9432" t="s">
        <v>46570</v>
      </c>
      <c r="P9432">
        <v>0</v>
      </c>
      <c r="Q9432">
        <v>0</v>
      </c>
      <c r="R9432" t="s">
        <v>46577</v>
      </c>
      <c r="S9432" t="s">
        <v>46808</v>
      </c>
      <c r="T9432" t="s">
        <v>48449</v>
      </c>
      <c r="U9432" t="s">
        <v>56424</v>
      </c>
      <c r="W9432" t="s">
        <v>42758</v>
      </c>
      <c r="X9432" t="s">
        <v>46578</v>
      </c>
    </row>
    <row r="9433" spans="1:24">
      <c r="A9433">
        <f>HYPERLINK("https://www.philgeps.gov.ph/GEPSNONPILOT/Tender/SplashBidNoticeAbstractUI.aspx?menuIndex=3&amp;refID=7053001&amp;Result=3","7053001")</f>
        <v>0</v>
      </c>
      <c r="B9433" t="s">
        <v>2446</v>
      </c>
      <c r="C9433" t="s">
        <v>12477</v>
      </c>
      <c r="D9433" t="s">
        <v>18838</v>
      </c>
      <c r="E9433" t="s">
        <v>27086</v>
      </c>
      <c r="F9433" t="s">
        <v>32664</v>
      </c>
      <c r="G9433" t="s">
        <v>32672</v>
      </c>
      <c r="H9433" t="s">
        <v>12635</v>
      </c>
      <c r="I9433" t="s">
        <v>32712</v>
      </c>
      <c r="J9433" t="s">
        <v>38518</v>
      </c>
      <c r="K9433" t="s">
        <v>42283</v>
      </c>
      <c r="M9433" t="s">
        <v>45239</v>
      </c>
      <c r="N9433" t="s">
        <v>46569</v>
      </c>
      <c r="O9433" t="s">
        <v>46570</v>
      </c>
      <c r="Q9433">
        <v>11</v>
      </c>
      <c r="R9433" t="s">
        <v>46577</v>
      </c>
      <c r="S9433" t="s">
        <v>46846</v>
      </c>
      <c r="T9433" t="s">
        <v>48635</v>
      </c>
      <c r="U9433" t="s">
        <v>56425</v>
      </c>
      <c r="V9433" t="s">
        <v>62569</v>
      </c>
      <c r="W9433" t="s">
        <v>45239</v>
      </c>
      <c r="X9433" t="s">
        <v>46578</v>
      </c>
    </row>
    <row r="9434" spans="1:24">
      <c r="A9434">
        <f>HYPERLINK("https://www.philgeps.gov.ph/GEPSNONPILOT/Tender/SplashBidNoticeAbstractUI.aspx?menuIndex=3&amp;refID=7053052&amp;Result=3","7053052")</f>
        <v>0</v>
      </c>
      <c r="B9434" t="s">
        <v>2061</v>
      </c>
      <c r="C9434" t="s">
        <v>12478</v>
      </c>
      <c r="D9434" t="s">
        <v>18809</v>
      </c>
      <c r="E9434" t="s">
        <v>25931</v>
      </c>
      <c r="F9434" t="s">
        <v>32664</v>
      </c>
      <c r="G9434" t="s">
        <v>32671</v>
      </c>
      <c r="H9434" t="s">
        <v>12635</v>
      </c>
      <c r="I9434" t="s">
        <v>32721</v>
      </c>
      <c r="J9434" t="s">
        <v>38519</v>
      </c>
      <c r="K9434" t="s">
        <v>42283</v>
      </c>
      <c r="M9434" t="s">
        <v>44810</v>
      </c>
      <c r="N9434" t="s">
        <v>46569</v>
      </c>
      <c r="O9434" t="s">
        <v>46570</v>
      </c>
      <c r="P9434">
        <v>0</v>
      </c>
      <c r="Q9434">
        <v>1</v>
      </c>
      <c r="R9434" t="s">
        <v>46577</v>
      </c>
      <c r="S9434" t="s">
        <v>46808</v>
      </c>
      <c r="T9434" t="s">
        <v>48316</v>
      </c>
      <c r="U9434" t="s">
        <v>56426</v>
      </c>
      <c r="V9434" t="s">
        <v>62575</v>
      </c>
      <c r="W9434" t="s">
        <v>44810</v>
      </c>
      <c r="X9434" t="s">
        <v>46578</v>
      </c>
    </row>
    <row r="9435" spans="1:24">
      <c r="A9435">
        <f>HYPERLINK("https://www.philgeps.gov.ph/GEPSNONPILOT/Tender/SplashBidNoticeAbstractUI.aspx?menuIndex=3&amp;refID=7053710&amp;Result=3","7053710")</f>
        <v>0</v>
      </c>
      <c r="B9435" t="s">
        <v>1939</v>
      </c>
      <c r="C9435" t="s">
        <v>12479</v>
      </c>
      <c r="D9435" t="s">
        <v>18782</v>
      </c>
      <c r="E9435" t="s">
        <v>27087</v>
      </c>
      <c r="F9435" t="s">
        <v>32664</v>
      </c>
      <c r="G9435" t="s">
        <v>32671</v>
      </c>
      <c r="H9435" t="s">
        <v>32683</v>
      </c>
      <c r="I9435" t="s">
        <v>10627</v>
      </c>
      <c r="J9435" t="s">
        <v>38520</v>
      </c>
      <c r="K9435" t="s">
        <v>42284</v>
      </c>
      <c r="L9435" t="s">
        <v>1939</v>
      </c>
      <c r="M9435" t="s">
        <v>44664</v>
      </c>
      <c r="N9435" t="s">
        <v>46569</v>
      </c>
      <c r="O9435" t="s">
        <v>46570</v>
      </c>
      <c r="P9435">
        <v>0</v>
      </c>
      <c r="Q9435">
        <v>0</v>
      </c>
      <c r="R9435" t="s">
        <v>46577</v>
      </c>
      <c r="S9435" t="s">
        <v>46808</v>
      </c>
      <c r="T9435" t="s">
        <v>48307</v>
      </c>
      <c r="U9435" t="s">
        <v>56427</v>
      </c>
      <c r="W9435" t="s">
        <v>44664</v>
      </c>
      <c r="X9435" t="s">
        <v>46578</v>
      </c>
    </row>
    <row r="9436" spans="1:24">
      <c r="A9436">
        <f>HYPERLINK("https://www.philgeps.gov.ph/GEPSNONPILOT/Tender/SplashBidNoticeAbstractUI.aspx?menuIndex=3&amp;refID=7053708&amp;Result=3","7053708")</f>
        <v>0</v>
      </c>
      <c r="B9436" t="s">
        <v>2689</v>
      </c>
      <c r="C9436" t="s">
        <v>12480</v>
      </c>
      <c r="D9436" t="s">
        <v>18805</v>
      </c>
      <c r="E9436" t="s">
        <v>19815</v>
      </c>
      <c r="F9436" t="s">
        <v>32664</v>
      </c>
      <c r="G9436" t="s">
        <v>32672</v>
      </c>
      <c r="H9436" t="s">
        <v>12635</v>
      </c>
      <c r="I9436" t="s">
        <v>10361</v>
      </c>
      <c r="J9436" t="s">
        <v>34713</v>
      </c>
      <c r="K9436" t="s">
        <v>42284</v>
      </c>
      <c r="L9436" t="s">
        <v>2689</v>
      </c>
      <c r="M9436" t="s">
        <v>45514</v>
      </c>
      <c r="N9436" t="s">
        <v>46569</v>
      </c>
      <c r="O9436" t="s">
        <v>46570</v>
      </c>
      <c r="P9436">
        <v>0</v>
      </c>
      <c r="Q9436">
        <v>0</v>
      </c>
      <c r="R9436" t="s">
        <v>46577</v>
      </c>
      <c r="S9436" t="s">
        <v>46808</v>
      </c>
      <c r="T9436" t="s">
        <v>48292</v>
      </c>
      <c r="U9436" t="s">
        <v>56389</v>
      </c>
      <c r="V9436" t="s">
        <v>62601</v>
      </c>
      <c r="W9436" t="s">
        <v>45514</v>
      </c>
      <c r="X9436" t="s">
        <v>46578</v>
      </c>
    </row>
    <row r="9437" spans="1:24">
      <c r="A9437">
        <f>HYPERLINK("https://www.philgeps.gov.ph/GEPSNONPILOT/Tender/SplashBidNoticeAbstractUI.aspx?menuIndex=3&amp;refID=7053216&amp;Result=3","7053216")</f>
        <v>0</v>
      </c>
      <c r="B9437" t="s">
        <v>2658</v>
      </c>
      <c r="C9437" t="s">
        <v>12341</v>
      </c>
      <c r="D9437" t="s">
        <v>18796</v>
      </c>
      <c r="E9437" t="s">
        <v>25253</v>
      </c>
      <c r="F9437" t="s">
        <v>32664</v>
      </c>
      <c r="G9437" t="s">
        <v>32672</v>
      </c>
      <c r="H9437" t="s">
        <v>32683</v>
      </c>
      <c r="I9437" t="s">
        <v>10627</v>
      </c>
      <c r="J9437" t="s">
        <v>33150</v>
      </c>
      <c r="K9437" t="s">
        <v>42308</v>
      </c>
      <c r="M9437" t="s">
        <v>45479</v>
      </c>
      <c r="N9437" t="s">
        <v>46569</v>
      </c>
      <c r="O9437" t="s">
        <v>46570</v>
      </c>
      <c r="P9437">
        <v>0</v>
      </c>
      <c r="Q9437">
        <v>2</v>
      </c>
      <c r="R9437" t="s">
        <v>46577</v>
      </c>
      <c r="S9437" t="s">
        <v>46808</v>
      </c>
      <c r="T9437" t="s">
        <v>48483</v>
      </c>
      <c r="U9437" t="s">
        <v>56428</v>
      </c>
      <c r="V9437" t="s">
        <v>62602</v>
      </c>
      <c r="W9437" t="s">
        <v>45479</v>
      </c>
      <c r="X9437" t="s">
        <v>46578</v>
      </c>
    </row>
    <row r="9438" spans="1:24">
      <c r="A9438">
        <f>HYPERLINK("https://www.philgeps.gov.ph/GEPSNONPILOT/Tender/SplashBidNoticeAbstractUI.aspx?menuIndex=3&amp;refID=7053697&amp;Result=3","7053697")</f>
        <v>0</v>
      </c>
      <c r="B9438" t="s">
        <v>179</v>
      </c>
      <c r="C9438" t="s">
        <v>12481</v>
      </c>
      <c r="D9438" t="s">
        <v>18830</v>
      </c>
      <c r="E9438" t="s">
        <v>27088</v>
      </c>
      <c r="F9438" t="s">
        <v>32664</v>
      </c>
      <c r="G9438" t="s">
        <v>32671</v>
      </c>
      <c r="H9438" t="s">
        <v>32683</v>
      </c>
      <c r="I9438" t="s">
        <v>10627</v>
      </c>
      <c r="J9438" t="s">
        <v>32865</v>
      </c>
      <c r="K9438" t="s">
        <v>42436</v>
      </c>
      <c r="M9438" t="s">
        <v>45516</v>
      </c>
      <c r="N9438" t="s">
        <v>46569</v>
      </c>
      <c r="O9438" t="s">
        <v>46570</v>
      </c>
      <c r="P9438">
        <v>0</v>
      </c>
      <c r="Q9438">
        <v>0</v>
      </c>
      <c r="R9438" t="s">
        <v>46577</v>
      </c>
      <c r="S9438" t="s">
        <v>46808</v>
      </c>
      <c r="T9438" t="s">
        <v>48573</v>
      </c>
      <c r="U9438" t="s">
        <v>56399</v>
      </c>
      <c r="W9438" t="s">
        <v>45631</v>
      </c>
      <c r="X9438" t="s">
        <v>46578</v>
      </c>
    </row>
    <row r="9439" spans="1:24">
      <c r="A9439">
        <f>HYPERLINK("https://www.philgeps.gov.ph/GEPSNONPILOT/Tender/SplashBidNoticeAbstractUI.aspx?menuIndex=3&amp;refID=7053696&amp;Result=3","7053696")</f>
        <v>0</v>
      </c>
      <c r="B9439" t="s">
        <v>2687</v>
      </c>
      <c r="C9439" t="s">
        <v>4957</v>
      </c>
      <c r="D9439" t="s">
        <v>18789</v>
      </c>
      <c r="E9439" t="s">
        <v>27031</v>
      </c>
      <c r="F9439" t="s">
        <v>32664</v>
      </c>
      <c r="G9439" t="s">
        <v>32672</v>
      </c>
      <c r="H9439" t="s">
        <v>12635</v>
      </c>
      <c r="I9439" t="s">
        <v>32689</v>
      </c>
      <c r="J9439" t="s">
        <v>33267</v>
      </c>
      <c r="K9439" t="s">
        <v>42297</v>
      </c>
      <c r="M9439" t="s">
        <v>45512</v>
      </c>
      <c r="N9439" t="s">
        <v>46569</v>
      </c>
      <c r="O9439" t="s">
        <v>46570</v>
      </c>
      <c r="P9439">
        <v>0</v>
      </c>
      <c r="Q9439">
        <v>3</v>
      </c>
      <c r="R9439" t="s">
        <v>46577</v>
      </c>
      <c r="S9439" t="s">
        <v>46808</v>
      </c>
      <c r="T9439" t="s">
        <v>48218</v>
      </c>
      <c r="U9439" t="s">
        <v>56429</v>
      </c>
      <c r="W9439" t="s">
        <v>45512</v>
      </c>
      <c r="X9439" t="s">
        <v>46578</v>
      </c>
    </row>
    <row r="9440" spans="1:24">
      <c r="A9440">
        <f>HYPERLINK("https://www.philgeps.gov.ph/GEPSNONPILOT/Tender/SplashBidNoticeAbstractUI.aspx?menuIndex=3&amp;refID=7053693&amp;Result=3","7053693")</f>
        <v>0</v>
      </c>
      <c r="B9440" t="s">
        <v>2701</v>
      </c>
      <c r="C9440" t="s">
        <v>12482</v>
      </c>
      <c r="D9440" t="s">
        <v>18788</v>
      </c>
      <c r="E9440" t="s">
        <v>18889</v>
      </c>
      <c r="F9440" t="s">
        <v>32664</v>
      </c>
      <c r="G9440" t="s">
        <v>32672</v>
      </c>
      <c r="H9440" t="s">
        <v>12635</v>
      </c>
      <c r="I9440" t="s">
        <v>4439</v>
      </c>
      <c r="J9440" t="s">
        <v>38521</v>
      </c>
      <c r="K9440" t="s">
        <v>42289</v>
      </c>
      <c r="M9440" t="s">
        <v>45527</v>
      </c>
      <c r="N9440" t="s">
        <v>46569</v>
      </c>
      <c r="O9440" t="s">
        <v>46570</v>
      </c>
      <c r="P9440">
        <v>0</v>
      </c>
      <c r="Q9440">
        <v>0</v>
      </c>
      <c r="R9440" t="s">
        <v>46577</v>
      </c>
      <c r="S9440" t="s">
        <v>46808</v>
      </c>
      <c r="T9440" t="s">
        <v>48453</v>
      </c>
      <c r="U9440" t="s">
        <v>56430</v>
      </c>
      <c r="W9440" t="s">
        <v>45527</v>
      </c>
      <c r="X9440" t="s">
        <v>46578</v>
      </c>
    </row>
    <row r="9441" spans="1:24">
      <c r="A9441">
        <f>HYPERLINK("https://www.philgeps.gov.ph/GEPSNONPILOT/Tender/SplashBidNoticeAbstractUI.aspx?menuIndex=3&amp;refID=7053691&amp;Result=3","7053691")</f>
        <v>0</v>
      </c>
      <c r="B9441" t="s">
        <v>179</v>
      </c>
      <c r="C9441" t="s">
        <v>12483</v>
      </c>
      <c r="D9441" t="s">
        <v>18830</v>
      </c>
      <c r="E9441" t="s">
        <v>27089</v>
      </c>
      <c r="F9441" t="s">
        <v>32664</v>
      </c>
      <c r="G9441" t="s">
        <v>32671</v>
      </c>
      <c r="H9441" t="s">
        <v>32683</v>
      </c>
      <c r="I9441" t="s">
        <v>10627</v>
      </c>
      <c r="J9441" t="s">
        <v>32865</v>
      </c>
      <c r="K9441" t="s">
        <v>42426</v>
      </c>
      <c r="M9441" t="s">
        <v>45516</v>
      </c>
      <c r="N9441" t="s">
        <v>46569</v>
      </c>
      <c r="O9441" t="s">
        <v>46570</v>
      </c>
      <c r="P9441">
        <v>0</v>
      </c>
      <c r="Q9441">
        <v>0</v>
      </c>
      <c r="R9441" t="s">
        <v>46577</v>
      </c>
      <c r="S9441" t="s">
        <v>46808</v>
      </c>
      <c r="T9441" t="s">
        <v>48573</v>
      </c>
      <c r="U9441" t="s">
        <v>56399</v>
      </c>
      <c r="W9441" t="s">
        <v>45631</v>
      </c>
      <c r="X9441" t="s">
        <v>46578</v>
      </c>
    </row>
    <row r="9442" spans="1:24">
      <c r="A9442">
        <f>HYPERLINK("https://www.philgeps.gov.ph/GEPSNONPILOT/Tender/SplashBidNoticeAbstractUI.aspx?menuIndex=3&amp;refID=7053685&amp;Result=3","7053685")</f>
        <v>0</v>
      </c>
      <c r="B9442" t="s">
        <v>160</v>
      </c>
      <c r="C9442" t="s">
        <v>12484</v>
      </c>
      <c r="D9442" t="s">
        <v>18806</v>
      </c>
      <c r="E9442" t="s">
        <v>27090</v>
      </c>
      <c r="F9442" t="s">
        <v>32664</v>
      </c>
      <c r="G9442" t="s">
        <v>32672</v>
      </c>
      <c r="H9442" t="s">
        <v>12635</v>
      </c>
      <c r="I9442" t="s">
        <v>4439</v>
      </c>
      <c r="J9442" t="s">
        <v>38522</v>
      </c>
      <c r="K9442" t="s">
        <v>42281</v>
      </c>
      <c r="M9442" t="s">
        <v>42724</v>
      </c>
      <c r="N9442" t="s">
        <v>46569</v>
      </c>
      <c r="O9442" t="s">
        <v>46570</v>
      </c>
      <c r="P9442">
        <v>0</v>
      </c>
      <c r="Q9442">
        <v>0</v>
      </c>
      <c r="R9442" t="s">
        <v>46577</v>
      </c>
      <c r="S9442" t="s">
        <v>46808</v>
      </c>
      <c r="T9442" t="s">
        <v>48282</v>
      </c>
      <c r="U9442" t="s">
        <v>56431</v>
      </c>
      <c r="W9442" t="s">
        <v>42724</v>
      </c>
      <c r="X9442" t="s">
        <v>46578</v>
      </c>
    </row>
    <row r="9443" spans="1:24">
      <c r="A9443">
        <f>HYPERLINK("https://www.philgeps.gov.ph/GEPSNONPILOT/Tender/SplashBidNoticeAbstractUI.aspx?menuIndex=3&amp;refID=7053684&amp;Result=3","7053684")</f>
        <v>0</v>
      </c>
      <c r="B9443" t="s">
        <v>179</v>
      </c>
      <c r="C9443" t="s">
        <v>12485</v>
      </c>
      <c r="D9443" t="s">
        <v>18830</v>
      </c>
      <c r="E9443" t="s">
        <v>27091</v>
      </c>
      <c r="F9443" t="s">
        <v>32664</v>
      </c>
      <c r="G9443" t="s">
        <v>32671</v>
      </c>
      <c r="H9443" t="s">
        <v>32683</v>
      </c>
      <c r="I9443" t="s">
        <v>10627</v>
      </c>
      <c r="J9443" t="s">
        <v>32962</v>
      </c>
      <c r="K9443" t="s">
        <v>42357</v>
      </c>
      <c r="M9443" t="s">
        <v>45516</v>
      </c>
      <c r="N9443" t="s">
        <v>46569</v>
      </c>
      <c r="O9443" t="s">
        <v>46570</v>
      </c>
      <c r="P9443">
        <v>0</v>
      </c>
      <c r="Q9443">
        <v>0</v>
      </c>
      <c r="R9443" t="s">
        <v>46577</v>
      </c>
      <c r="S9443" t="s">
        <v>46808</v>
      </c>
      <c r="T9443" t="s">
        <v>48573</v>
      </c>
      <c r="U9443" t="s">
        <v>56399</v>
      </c>
      <c r="W9443" t="s">
        <v>45631</v>
      </c>
      <c r="X9443" t="s">
        <v>46578</v>
      </c>
    </row>
    <row r="9444" spans="1:24">
      <c r="A9444">
        <f>HYPERLINK("https://www.philgeps.gov.ph/GEPSNONPILOT/Tender/SplashBidNoticeAbstractUI.aspx?menuIndex=3&amp;refID=7053681&amp;Result=3","7053681")</f>
        <v>0</v>
      </c>
      <c r="B9444" t="s">
        <v>884</v>
      </c>
      <c r="C9444" t="s">
        <v>12486</v>
      </c>
      <c r="D9444" t="s">
        <v>18816</v>
      </c>
      <c r="E9444" t="s">
        <v>27092</v>
      </c>
      <c r="F9444" t="s">
        <v>32664</v>
      </c>
      <c r="G9444" t="s">
        <v>32672</v>
      </c>
      <c r="H9444" t="s">
        <v>32683</v>
      </c>
      <c r="I9444" t="s">
        <v>10627</v>
      </c>
      <c r="J9444" t="s">
        <v>38523</v>
      </c>
      <c r="K9444" t="s">
        <v>42290</v>
      </c>
      <c r="M9444" t="s">
        <v>43485</v>
      </c>
      <c r="N9444" t="s">
        <v>46569</v>
      </c>
      <c r="O9444" t="s">
        <v>46570</v>
      </c>
      <c r="P9444">
        <v>0</v>
      </c>
      <c r="Q9444">
        <v>1</v>
      </c>
      <c r="R9444" t="s">
        <v>46577</v>
      </c>
      <c r="S9444" t="s">
        <v>46808</v>
      </c>
      <c r="T9444" t="s">
        <v>48405</v>
      </c>
      <c r="U9444" t="s">
        <v>56432</v>
      </c>
      <c r="W9444" t="s">
        <v>43485</v>
      </c>
      <c r="X9444" t="s">
        <v>46578</v>
      </c>
    </row>
    <row r="9445" spans="1:24">
      <c r="A9445">
        <f>HYPERLINK("https://www.philgeps.gov.ph/GEPSNONPILOT/Tender/SplashBidNoticeAbstractUI.aspx?menuIndex=3&amp;refID=7053678&amp;Result=3","7053678")</f>
        <v>0</v>
      </c>
      <c r="B9445" t="s">
        <v>162</v>
      </c>
      <c r="C9445" t="s">
        <v>12487</v>
      </c>
      <c r="D9445" t="s">
        <v>18788</v>
      </c>
      <c r="E9445" t="s">
        <v>27093</v>
      </c>
      <c r="F9445" t="s">
        <v>32664</v>
      </c>
      <c r="G9445" t="s">
        <v>32672</v>
      </c>
      <c r="H9445" t="s">
        <v>12635</v>
      </c>
      <c r="I9445" t="s">
        <v>32729</v>
      </c>
      <c r="J9445" t="s">
        <v>33210</v>
      </c>
      <c r="K9445" t="s">
        <v>42289</v>
      </c>
      <c r="M9445" t="s">
        <v>42726</v>
      </c>
      <c r="N9445" t="s">
        <v>46569</v>
      </c>
      <c r="O9445" t="s">
        <v>46570</v>
      </c>
      <c r="P9445">
        <v>0</v>
      </c>
      <c r="Q9445">
        <v>4</v>
      </c>
      <c r="R9445" t="s">
        <v>46577</v>
      </c>
      <c r="S9445" t="s">
        <v>46808</v>
      </c>
      <c r="T9445" t="s">
        <v>48349</v>
      </c>
      <c r="U9445" t="s">
        <v>56433</v>
      </c>
      <c r="W9445" t="s">
        <v>42726</v>
      </c>
      <c r="X9445" t="s">
        <v>46578</v>
      </c>
    </row>
    <row r="9446" spans="1:24">
      <c r="A9446">
        <f>HYPERLINK("https://www.philgeps.gov.ph/GEPSNONPILOT/Tender/SplashBidNoticeAbstractUI.aspx?menuIndex=3&amp;refID=7053675&amp;Result=3","7053675")</f>
        <v>0</v>
      </c>
      <c r="B9446" t="s">
        <v>179</v>
      </c>
      <c r="C9446" t="s">
        <v>12488</v>
      </c>
      <c r="D9446" t="s">
        <v>18830</v>
      </c>
      <c r="E9446" t="s">
        <v>27094</v>
      </c>
      <c r="F9446" t="s">
        <v>32664</v>
      </c>
      <c r="G9446" t="s">
        <v>32671</v>
      </c>
      <c r="H9446" t="s">
        <v>32683</v>
      </c>
      <c r="I9446" t="s">
        <v>10627</v>
      </c>
      <c r="J9446" t="s">
        <v>32865</v>
      </c>
      <c r="K9446" t="s">
        <v>42486</v>
      </c>
      <c r="M9446" t="s">
        <v>45516</v>
      </c>
      <c r="N9446" t="s">
        <v>46569</v>
      </c>
      <c r="O9446" t="s">
        <v>46570</v>
      </c>
      <c r="P9446">
        <v>0</v>
      </c>
      <c r="Q9446">
        <v>0</v>
      </c>
      <c r="R9446" t="s">
        <v>46577</v>
      </c>
      <c r="S9446" t="s">
        <v>46808</v>
      </c>
      <c r="T9446" t="s">
        <v>48573</v>
      </c>
      <c r="U9446" t="s">
        <v>56399</v>
      </c>
      <c r="W9446" t="s">
        <v>45631</v>
      </c>
      <c r="X9446" t="s">
        <v>46578</v>
      </c>
    </row>
    <row r="9447" spans="1:24">
      <c r="A9447">
        <f>HYPERLINK("https://www.philgeps.gov.ph/GEPSNONPILOT/Tender/SplashBidNoticeAbstractUI.aspx?menuIndex=3&amp;refID=7053672&amp;Result=3","7053672")</f>
        <v>0</v>
      </c>
      <c r="B9447" t="s">
        <v>179</v>
      </c>
      <c r="C9447" t="s">
        <v>12489</v>
      </c>
      <c r="D9447" t="s">
        <v>18830</v>
      </c>
      <c r="E9447" t="s">
        <v>27095</v>
      </c>
      <c r="F9447" t="s">
        <v>32664</v>
      </c>
      <c r="G9447" t="s">
        <v>32671</v>
      </c>
      <c r="H9447" t="s">
        <v>32683</v>
      </c>
      <c r="I9447" t="s">
        <v>10627</v>
      </c>
      <c r="J9447" t="s">
        <v>32865</v>
      </c>
      <c r="K9447" t="s">
        <v>42340</v>
      </c>
      <c r="M9447" t="s">
        <v>45516</v>
      </c>
      <c r="N9447" t="s">
        <v>46569</v>
      </c>
      <c r="O9447" t="s">
        <v>46570</v>
      </c>
      <c r="P9447">
        <v>0</v>
      </c>
      <c r="Q9447">
        <v>0</v>
      </c>
      <c r="R9447" t="s">
        <v>46577</v>
      </c>
      <c r="S9447" t="s">
        <v>46808</v>
      </c>
      <c r="T9447" t="s">
        <v>48573</v>
      </c>
      <c r="U9447" t="s">
        <v>56399</v>
      </c>
      <c r="W9447" t="s">
        <v>45631</v>
      </c>
      <c r="X9447" t="s">
        <v>46578</v>
      </c>
    </row>
    <row r="9448" spans="1:24">
      <c r="A9448">
        <f>HYPERLINK("https://www.philgeps.gov.ph/GEPSNONPILOT/Tender/SplashBidNoticeAbstractUI.aspx?menuIndex=3&amp;refID=7053671&amp;Result=3","7053671")</f>
        <v>0</v>
      </c>
      <c r="B9448" t="s">
        <v>1478</v>
      </c>
      <c r="C9448" t="s">
        <v>12490</v>
      </c>
      <c r="D9448" t="s">
        <v>18853</v>
      </c>
      <c r="E9448" t="s">
        <v>27096</v>
      </c>
      <c r="F9448" t="s">
        <v>32664</v>
      </c>
      <c r="G9448" t="s">
        <v>32672</v>
      </c>
      <c r="H9448" t="s">
        <v>32683</v>
      </c>
      <c r="I9448" t="s">
        <v>10627</v>
      </c>
      <c r="J9448" t="s">
        <v>38524</v>
      </c>
      <c r="K9448" t="s">
        <v>42419</v>
      </c>
      <c r="M9448" t="s">
        <v>44141</v>
      </c>
      <c r="N9448" t="s">
        <v>46569</v>
      </c>
      <c r="O9448" t="s">
        <v>46570</v>
      </c>
      <c r="P9448">
        <v>0</v>
      </c>
      <c r="Q9448">
        <v>0</v>
      </c>
      <c r="R9448" t="s">
        <v>46577</v>
      </c>
      <c r="S9448" t="s">
        <v>46808</v>
      </c>
      <c r="T9448" t="s">
        <v>48285</v>
      </c>
      <c r="U9448" t="s">
        <v>52065</v>
      </c>
      <c r="W9448" t="s">
        <v>44141</v>
      </c>
      <c r="X9448" t="s">
        <v>46578</v>
      </c>
    </row>
    <row r="9449" spans="1:24">
      <c r="A9449">
        <f>HYPERLINK("https://www.philgeps.gov.ph/GEPSNONPILOT/Tender/SplashBidNoticeAbstractUI.aspx?menuIndex=3&amp;refID=7053720&amp;Result=3","7053720")</f>
        <v>0</v>
      </c>
      <c r="B9449" t="s">
        <v>2701</v>
      </c>
      <c r="C9449" t="s">
        <v>12491</v>
      </c>
      <c r="D9449" t="s">
        <v>18788</v>
      </c>
      <c r="E9449" t="s">
        <v>19681</v>
      </c>
      <c r="F9449" t="s">
        <v>32664</v>
      </c>
      <c r="G9449" t="s">
        <v>32672</v>
      </c>
      <c r="H9449" t="s">
        <v>12635</v>
      </c>
      <c r="I9449" t="s">
        <v>4439</v>
      </c>
      <c r="J9449" t="s">
        <v>37201</v>
      </c>
      <c r="K9449" t="s">
        <v>42289</v>
      </c>
      <c r="M9449" t="s">
        <v>45527</v>
      </c>
      <c r="N9449" t="s">
        <v>46569</v>
      </c>
      <c r="O9449" t="s">
        <v>46570</v>
      </c>
      <c r="P9449">
        <v>0</v>
      </c>
      <c r="Q9449">
        <v>0</v>
      </c>
      <c r="R9449" t="s">
        <v>46577</v>
      </c>
      <c r="S9449" t="s">
        <v>46808</v>
      </c>
      <c r="T9449" t="s">
        <v>48453</v>
      </c>
      <c r="U9449" t="s">
        <v>56434</v>
      </c>
      <c r="W9449" t="s">
        <v>45527</v>
      </c>
      <c r="X9449" t="s">
        <v>46578</v>
      </c>
    </row>
    <row r="9450" spans="1:24">
      <c r="A9450">
        <f>HYPERLINK("https://www.philgeps.gov.ph/GEPSNONPILOT/Tender/SplashBidNoticeAbstractUI.aspx?menuIndex=3&amp;refID=7053556&amp;Result=3","7053556")</f>
        <v>0</v>
      </c>
      <c r="B9450" t="s">
        <v>2702</v>
      </c>
      <c r="C9450" t="s">
        <v>12492</v>
      </c>
      <c r="D9450" t="s">
        <v>18802</v>
      </c>
      <c r="E9450" t="s">
        <v>25574</v>
      </c>
      <c r="F9450" t="s">
        <v>32664</v>
      </c>
      <c r="G9450" t="s">
        <v>32672</v>
      </c>
      <c r="H9450" t="s">
        <v>32683</v>
      </c>
      <c r="I9450" t="s">
        <v>10627</v>
      </c>
      <c r="J9450" t="s">
        <v>38525</v>
      </c>
      <c r="K9450" t="s">
        <v>42289</v>
      </c>
      <c r="M9450" t="s">
        <v>45528</v>
      </c>
      <c r="N9450" t="s">
        <v>46569</v>
      </c>
      <c r="O9450" t="s">
        <v>46570</v>
      </c>
      <c r="P9450">
        <v>0</v>
      </c>
      <c r="Q9450">
        <v>1</v>
      </c>
      <c r="R9450" t="s">
        <v>46577</v>
      </c>
      <c r="S9450" t="s">
        <v>46808</v>
      </c>
      <c r="T9450" t="s">
        <v>48317</v>
      </c>
      <c r="U9450" t="s">
        <v>56435</v>
      </c>
      <c r="W9450" t="s">
        <v>45528</v>
      </c>
      <c r="X9450" t="s">
        <v>46578</v>
      </c>
    </row>
    <row r="9451" spans="1:24">
      <c r="A9451">
        <f>HYPERLINK("https://www.philgeps.gov.ph/GEPSNONPILOT/Tender/SplashBidNoticeAbstractUI.aspx?menuIndex=3&amp;refID=7053700&amp;Result=3","7053700")</f>
        <v>0</v>
      </c>
      <c r="B9451" t="s">
        <v>1939</v>
      </c>
      <c r="C9451" t="s">
        <v>12493</v>
      </c>
      <c r="D9451" t="s">
        <v>18782</v>
      </c>
      <c r="E9451" t="s">
        <v>27087</v>
      </c>
      <c r="F9451" t="s">
        <v>32664</v>
      </c>
      <c r="G9451" t="s">
        <v>32671</v>
      </c>
      <c r="H9451" t="s">
        <v>32683</v>
      </c>
      <c r="I9451" t="s">
        <v>4439</v>
      </c>
      <c r="J9451" t="s">
        <v>38526</v>
      </c>
      <c r="K9451" t="s">
        <v>42284</v>
      </c>
      <c r="L9451" t="s">
        <v>1939</v>
      </c>
      <c r="M9451" t="s">
        <v>44664</v>
      </c>
      <c r="N9451" t="s">
        <v>46569</v>
      </c>
      <c r="O9451" t="s">
        <v>46570</v>
      </c>
      <c r="P9451">
        <v>0</v>
      </c>
      <c r="Q9451">
        <v>0</v>
      </c>
      <c r="R9451" t="s">
        <v>46577</v>
      </c>
      <c r="S9451" t="s">
        <v>46808</v>
      </c>
      <c r="T9451" t="s">
        <v>48307</v>
      </c>
      <c r="U9451" t="s">
        <v>56436</v>
      </c>
      <c r="W9451" t="s">
        <v>44664</v>
      </c>
      <c r="X9451" t="s">
        <v>46578</v>
      </c>
    </row>
    <row r="9452" spans="1:24">
      <c r="A9452">
        <f>HYPERLINK("https://www.philgeps.gov.ph/GEPSNONPILOT/Tender/SplashBidNoticeAbstractUI.aspx?menuIndex=3&amp;refID=7053756&amp;Result=3","7053756")</f>
        <v>0</v>
      </c>
      <c r="B9452" t="s">
        <v>1397</v>
      </c>
      <c r="C9452" t="s">
        <v>7602</v>
      </c>
      <c r="D9452" t="s">
        <v>18803</v>
      </c>
      <c r="E9452" t="s">
        <v>27097</v>
      </c>
      <c r="F9452" t="s">
        <v>32664</v>
      </c>
      <c r="G9452" t="s">
        <v>32678</v>
      </c>
      <c r="H9452" t="s">
        <v>32681</v>
      </c>
      <c r="I9452" t="s">
        <v>32681</v>
      </c>
      <c r="J9452" t="s">
        <v>35583</v>
      </c>
      <c r="K9452" t="s">
        <v>42377</v>
      </c>
      <c r="M9452" t="s">
        <v>44054</v>
      </c>
      <c r="N9452" t="s">
        <v>46569</v>
      </c>
      <c r="O9452" t="s">
        <v>46570</v>
      </c>
      <c r="P9452">
        <v>0</v>
      </c>
      <c r="Q9452">
        <v>0</v>
      </c>
      <c r="R9452" t="s">
        <v>46577</v>
      </c>
      <c r="S9452" t="s">
        <v>46808</v>
      </c>
      <c r="T9452" t="s">
        <v>48492</v>
      </c>
      <c r="U9452" t="s">
        <v>52268</v>
      </c>
      <c r="W9452" t="s">
        <v>44054</v>
      </c>
      <c r="X9452" t="s">
        <v>46578</v>
      </c>
    </row>
    <row r="9453" spans="1:24">
      <c r="A9453">
        <f>HYPERLINK("https://www.philgeps.gov.ph/GEPSNONPILOT/Tender/SplashBidNoticeAbstractUI.aspx?menuIndex=3&amp;refID=7053753&amp;Result=3","7053753")</f>
        <v>0</v>
      </c>
      <c r="B9453" t="s">
        <v>179</v>
      </c>
      <c r="C9453" t="s">
        <v>12494</v>
      </c>
      <c r="D9453" t="s">
        <v>18830</v>
      </c>
      <c r="E9453" t="s">
        <v>27098</v>
      </c>
      <c r="F9453" t="s">
        <v>32664</v>
      </c>
      <c r="G9453" t="s">
        <v>32671</v>
      </c>
      <c r="H9453" t="s">
        <v>32683</v>
      </c>
      <c r="I9453" t="s">
        <v>10627</v>
      </c>
      <c r="J9453" t="s">
        <v>32962</v>
      </c>
      <c r="K9453" t="s">
        <v>42414</v>
      </c>
      <c r="M9453" t="s">
        <v>45516</v>
      </c>
      <c r="N9453" t="s">
        <v>46569</v>
      </c>
      <c r="O9453" t="s">
        <v>46570</v>
      </c>
      <c r="P9453">
        <v>0</v>
      </c>
      <c r="Q9453">
        <v>0</v>
      </c>
      <c r="R9453" t="s">
        <v>46577</v>
      </c>
      <c r="S9453" t="s">
        <v>46808</v>
      </c>
      <c r="T9453" t="s">
        <v>48573</v>
      </c>
      <c r="U9453" t="s">
        <v>56399</v>
      </c>
      <c r="W9453" t="s">
        <v>45631</v>
      </c>
      <c r="X9453" t="s">
        <v>46578</v>
      </c>
    </row>
    <row r="9454" spans="1:24">
      <c r="A9454">
        <f>HYPERLINK("https://www.philgeps.gov.ph/GEPSNONPILOT/Tender/SplashBidNoticeAbstractUI.aspx?menuIndex=3&amp;refID=7053752&amp;Result=3","7053752")</f>
        <v>0</v>
      </c>
      <c r="B9454" t="s">
        <v>2703</v>
      </c>
      <c r="C9454" t="s">
        <v>6815</v>
      </c>
      <c r="D9454" t="s">
        <v>18838</v>
      </c>
      <c r="E9454" t="s">
        <v>21832</v>
      </c>
      <c r="F9454" t="s">
        <v>32664</v>
      </c>
      <c r="G9454" t="s">
        <v>32672</v>
      </c>
      <c r="H9454" t="s">
        <v>12635</v>
      </c>
      <c r="I9454" t="s">
        <v>4439</v>
      </c>
      <c r="J9454" t="s">
        <v>38527</v>
      </c>
      <c r="K9454" t="s">
        <v>42297</v>
      </c>
      <c r="L9454" t="s">
        <v>2703</v>
      </c>
      <c r="M9454" t="s">
        <v>45529</v>
      </c>
      <c r="N9454" t="s">
        <v>46569</v>
      </c>
      <c r="O9454" t="s">
        <v>46570</v>
      </c>
      <c r="P9454">
        <v>0</v>
      </c>
      <c r="Q9454">
        <v>2</v>
      </c>
      <c r="R9454" t="s">
        <v>46577</v>
      </c>
      <c r="S9454" t="s">
        <v>46808</v>
      </c>
      <c r="T9454" t="s">
        <v>48293</v>
      </c>
      <c r="U9454" t="s">
        <v>56437</v>
      </c>
      <c r="W9454" t="s">
        <v>45529</v>
      </c>
      <c r="X9454" t="s">
        <v>46578</v>
      </c>
    </row>
    <row r="9455" spans="1:24">
      <c r="A9455">
        <f>HYPERLINK("https://www.philgeps.gov.ph/GEPSNONPILOT/Tender/SplashBidNoticeAbstractUI.aspx?menuIndex=3&amp;refID=7053703&amp;Result=3","7053703")</f>
        <v>0</v>
      </c>
      <c r="B9455" t="s">
        <v>179</v>
      </c>
      <c r="C9455" t="s">
        <v>12495</v>
      </c>
      <c r="D9455" t="s">
        <v>18830</v>
      </c>
      <c r="E9455" t="s">
        <v>27099</v>
      </c>
      <c r="F9455" t="s">
        <v>32664</v>
      </c>
      <c r="G9455" t="s">
        <v>32671</v>
      </c>
      <c r="H9455" t="s">
        <v>32683</v>
      </c>
      <c r="I9455" t="s">
        <v>10627</v>
      </c>
      <c r="J9455" t="s">
        <v>32865</v>
      </c>
      <c r="K9455" t="s">
        <v>42488</v>
      </c>
      <c r="M9455" t="s">
        <v>45516</v>
      </c>
      <c r="N9455" t="s">
        <v>46569</v>
      </c>
      <c r="O9455" t="s">
        <v>46570</v>
      </c>
      <c r="P9455">
        <v>0</v>
      </c>
      <c r="Q9455">
        <v>0</v>
      </c>
      <c r="R9455" t="s">
        <v>46577</v>
      </c>
      <c r="S9455" t="s">
        <v>46808</v>
      </c>
      <c r="T9455" t="s">
        <v>48573</v>
      </c>
      <c r="U9455" t="s">
        <v>56399</v>
      </c>
      <c r="W9455" t="s">
        <v>45631</v>
      </c>
      <c r="X9455" t="s">
        <v>46578</v>
      </c>
    </row>
    <row r="9456" spans="1:24">
      <c r="A9456">
        <f>HYPERLINK("https://www.philgeps.gov.ph/GEPSNONPILOT/Tender/SplashBidNoticeAbstractUI.aspx?menuIndex=3&amp;refID=7053748&amp;Result=3","7053748")</f>
        <v>0</v>
      </c>
      <c r="B9456" t="s">
        <v>1397</v>
      </c>
      <c r="C9456" t="s">
        <v>12496</v>
      </c>
      <c r="D9456" t="s">
        <v>18803</v>
      </c>
      <c r="E9456" t="s">
        <v>27100</v>
      </c>
      <c r="F9456" t="s">
        <v>32664</v>
      </c>
      <c r="G9456" t="s">
        <v>32678</v>
      </c>
      <c r="H9456" t="s">
        <v>32681</v>
      </c>
      <c r="I9456" t="s">
        <v>32681</v>
      </c>
      <c r="J9456" t="s">
        <v>38528</v>
      </c>
      <c r="K9456" t="s">
        <v>42377</v>
      </c>
      <c r="M9456" t="s">
        <v>44054</v>
      </c>
      <c r="N9456" t="s">
        <v>46569</v>
      </c>
      <c r="O9456" t="s">
        <v>46570</v>
      </c>
      <c r="P9456">
        <v>0</v>
      </c>
      <c r="Q9456">
        <v>0</v>
      </c>
      <c r="R9456" t="s">
        <v>46577</v>
      </c>
      <c r="S9456" t="s">
        <v>46808</v>
      </c>
      <c r="T9456" t="s">
        <v>48492</v>
      </c>
      <c r="U9456" t="s">
        <v>56438</v>
      </c>
      <c r="W9456" t="s">
        <v>44054</v>
      </c>
      <c r="X9456" t="s">
        <v>46578</v>
      </c>
    </row>
    <row r="9457" spans="1:24">
      <c r="A9457">
        <f>HYPERLINK("https://www.philgeps.gov.ph/GEPSNONPILOT/Tender/SplashBidNoticeAbstractUI.aspx?menuIndex=3&amp;refID=7053688&amp;Result=3","7053688")</f>
        <v>0</v>
      </c>
      <c r="B9457" t="s">
        <v>1863</v>
      </c>
      <c r="C9457" t="s">
        <v>12497</v>
      </c>
      <c r="D9457" t="s">
        <v>18783</v>
      </c>
      <c r="E9457" t="s">
        <v>27101</v>
      </c>
      <c r="F9457" t="s">
        <v>32664</v>
      </c>
      <c r="G9457" t="s">
        <v>32672</v>
      </c>
      <c r="H9457" t="s">
        <v>12635</v>
      </c>
      <c r="I9457" t="s">
        <v>4439</v>
      </c>
      <c r="J9457" t="s">
        <v>38529</v>
      </c>
      <c r="K9457" t="s">
        <v>42378</v>
      </c>
      <c r="M9457" t="s">
        <v>44576</v>
      </c>
      <c r="N9457" t="s">
        <v>46569</v>
      </c>
      <c r="O9457" t="s">
        <v>46570</v>
      </c>
      <c r="P9457">
        <v>0</v>
      </c>
      <c r="Q9457">
        <v>0</v>
      </c>
      <c r="R9457" t="s">
        <v>46577</v>
      </c>
      <c r="S9457" t="s">
        <v>46808</v>
      </c>
      <c r="T9457" t="s">
        <v>48307</v>
      </c>
      <c r="U9457" t="s">
        <v>56439</v>
      </c>
      <c r="V9457" t="s">
        <v>62203</v>
      </c>
      <c r="W9457" t="s">
        <v>44576</v>
      </c>
      <c r="X9457" t="s">
        <v>46578</v>
      </c>
    </row>
    <row r="9458" spans="1:24">
      <c r="A9458">
        <f>HYPERLINK("https://www.philgeps.gov.ph/GEPSNONPILOT/Tender/SplashBidNoticeAbstractUI.aspx?menuIndex=3&amp;refID=7053050&amp;Result=3","7053050")</f>
        <v>0</v>
      </c>
      <c r="B9458" t="s">
        <v>2623</v>
      </c>
      <c r="C9458" t="s">
        <v>12498</v>
      </c>
      <c r="D9458" t="s">
        <v>18856</v>
      </c>
      <c r="E9458" t="s">
        <v>27102</v>
      </c>
      <c r="F9458" t="s">
        <v>32664</v>
      </c>
      <c r="G9458" t="s">
        <v>32671</v>
      </c>
      <c r="H9458" t="s">
        <v>12635</v>
      </c>
      <c r="I9458" t="s">
        <v>6118</v>
      </c>
      <c r="J9458" t="s">
        <v>35503</v>
      </c>
      <c r="K9458" t="s">
        <v>42281</v>
      </c>
      <c r="M9458" t="s">
        <v>45441</v>
      </c>
      <c r="N9458" t="s">
        <v>46569</v>
      </c>
      <c r="O9458" t="s">
        <v>46570</v>
      </c>
      <c r="P9458">
        <v>0</v>
      </c>
      <c r="Q9458">
        <v>1</v>
      </c>
      <c r="R9458" t="s">
        <v>46577</v>
      </c>
      <c r="S9458" t="s">
        <v>46808</v>
      </c>
      <c r="T9458" t="s">
        <v>48285</v>
      </c>
      <c r="U9458" t="s">
        <v>56440</v>
      </c>
      <c r="V9458" t="s">
        <v>62560</v>
      </c>
      <c r="W9458" t="s">
        <v>45441</v>
      </c>
      <c r="X9458" t="s">
        <v>46578</v>
      </c>
    </row>
    <row r="9459" spans="1:24">
      <c r="A9459">
        <f>HYPERLINK("https://www.philgeps.gov.ph/GEPSNONPILOT/Tender/SplashBidNoticeAbstractUI.aspx?menuIndex=3&amp;refID=7053751&amp;Result=3","7053751")</f>
        <v>0</v>
      </c>
      <c r="B9459" t="s">
        <v>2634</v>
      </c>
      <c r="C9459" t="s">
        <v>12499</v>
      </c>
      <c r="D9459" t="s">
        <v>18798</v>
      </c>
      <c r="E9459" t="s">
        <v>27103</v>
      </c>
      <c r="F9459" t="s">
        <v>32664</v>
      </c>
      <c r="G9459" t="s">
        <v>32671</v>
      </c>
      <c r="H9459" t="s">
        <v>32682</v>
      </c>
      <c r="I9459" t="s">
        <v>32752</v>
      </c>
      <c r="J9459" t="s">
        <v>34102</v>
      </c>
      <c r="K9459" t="s">
        <v>42291</v>
      </c>
      <c r="M9459" t="s">
        <v>45454</v>
      </c>
      <c r="N9459" t="s">
        <v>46569</v>
      </c>
      <c r="O9459" t="s">
        <v>46570</v>
      </c>
      <c r="P9459">
        <v>0</v>
      </c>
      <c r="Q9459">
        <v>1</v>
      </c>
      <c r="R9459" t="s">
        <v>46577</v>
      </c>
      <c r="S9459" t="s">
        <v>46808</v>
      </c>
      <c r="T9459" t="s">
        <v>48473</v>
      </c>
      <c r="U9459" t="s">
        <v>56216</v>
      </c>
      <c r="V9459" t="s">
        <v>62603</v>
      </c>
      <c r="W9459" t="s">
        <v>45454</v>
      </c>
      <c r="X9459" t="s">
        <v>46578</v>
      </c>
    </row>
    <row r="9460" spans="1:24">
      <c r="A9460">
        <f>HYPERLINK("https://www.philgeps.gov.ph/GEPSNONPILOT/Tender/SplashBidNoticeAbstractUI.aspx?menuIndex=3&amp;refID=7053741&amp;Result=3","7053741")</f>
        <v>0</v>
      </c>
      <c r="B9460" t="s">
        <v>2704</v>
      </c>
      <c r="C9460" t="s">
        <v>12500</v>
      </c>
      <c r="D9460" t="s">
        <v>18838</v>
      </c>
      <c r="E9460" t="s">
        <v>19246</v>
      </c>
      <c r="F9460" t="s">
        <v>32664</v>
      </c>
      <c r="G9460" t="s">
        <v>32672</v>
      </c>
      <c r="H9460" t="s">
        <v>12635</v>
      </c>
      <c r="I9460" t="s">
        <v>9946</v>
      </c>
      <c r="J9460" t="s">
        <v>33051</v>
      </c>
      <c r="K9460" t="s">
        <v>42297</v>
      </c>
      <c r="M9460" t="s">
        <v>45530</v>
      </c>
      <c r="N9460" t="s">
        <v>46569</v>
      </c>
      <c r="O9460" t="s">
        <v>46570</v>
      </c>
      <c r="P9460">
        <v>0</v>
      </c>
      <c r="Q9460">
        <v>3</v>
      </c>
      <c r="R9460" t="s">
        <v>46577</v>
      </c>
      <c r="S9460" t="s">
        <v>46808</v>
      </c>
      <c r="T9460" t="s">
        <v>48282</v>
      </c>
      <c r="U9460" t="s">
        <v>56441</v>
      </c>
      <c r="W9460" t="s">
        <v>45530</v>
      </c>
      <c r="X9460" t="s">
        <v>46578</v>
      </c>
    </row>
    <row r="9461" spans="1:24">
      <c r="A9461">
        <f>HYPERLINK("https://www.philgeps.gov.ph/GEPSNONPILOT/Tender/SplashBidNoticeAbstractUI.aspx?menuIndex=3&amp;refID=7053747&amp;Result=3","7053747")</f>
        <v>0</v>
      </c>
      <c r="B9461" t="s">
        <v>2705</v>
      </c>
      <c r="C9461" t="s">
        <v>12501</v>
      </c>
      <c r="D9461" t="s">
        <v>18856</v>
      </c>
      <c r="E9461" t="s">
        <v>21726</v>
      </c>
      <c r="F9461" t="s">
        <v>32664</v>
      </c>
      <c r="G9461" t="s">
        <v>32672</v>
      </c>
      <c r="H9461" t="s">
        <v>32683</v>
      </c>
      <c r="I9461" t="s">
        <v>10627</v>
      </c>
      <c r="J9461" t="s">
        <v>33021</v>
      </c>
      <c r="K9461" t="s">
        <v>42305</v>
      </c>
      <c r="M9461" t="s">
        <v>45531</v>
      </c>
      <c r="N9461" t="s">
        <v>46569</v>
      </c>
      <c r="O9461" t="s">
        <v>46570</v>
      </c>
      <c r="P9461">
        <v>0</v>
      </c>
      <c r="Q9461">
        <v>0</v>
      </c>
      <c r="R9461" t="s">
        <v>46577</v>
      </c>
      <c r="S9461" t="s">
        <v>46808</v>
      </c>
      <c r="T9461" t="s">
        <v>48278</v>
      </c>
      <c r="U9461" t="s">
        <v>56442</v>
      </c>
      <c r="V9461" t="s">
        <v>61934</v>
      </c>
      <c r="W9461" t="s">
        <v>45531</v>
      </c>
      <c r="X9461" t="s">
        <v>46578</v>
      </c>
    </row>
    <row r="9462" spans="1:24">
      <c r="A9462">
        <f>HYPERLINK("https://www.philgeps.gov.ph/GEPSNONPILOT/Tender/SplashBidNoticeAbstractUI.aspx?menuIndex=3&amp;refID=7053757&amp;Result=3","7053757")</f>
        <v>0</v>
      </c>
      <c r="B9462" t="s">
        <v>179</v>
      </c>
      <c r="C9462" t="s">
        <v>12502</v>
      </c>
      <c r="D9462" t="s">
        <v>18830</v>
      </c>
      <c r="E9462" t="s">
        <v>27104</v>
      </c>
      <c r="F9462" t="s">
        <v>32664</v>
      </c>
      <c r="G9462" t="s">
        <v>32671</v>
      </c>
      <c r="H9462" t="s">
        <v>32683</v>
      </c>
      <c r="I9462" t="s">
        <v>10627</v>
      </c>
      <c r="J9462" t="s">
        <v>32962</v>
      </c>
      <c r="K9462" t="s">
        <v>42489</v>
      </c>
      <c r="M9462" t="s">
        <v>45516</v>
      </c>
      <c r="N9462" t="s">
        <v>46569</v>
      </c>
      <c r="O9462" t="s">
        <v>46570</v>
      </c>
      <c r="P9462">
        <v>0</v>
      </c>
      <c r="Q9462">
        <v>0</v>
      </c>
      <c r="R9462" t="s">
        <v>46577</v>
      </c>
      <c r="S9462" t="s">
        <v>46808</v>
      </c>
      <c r="T9462" t="s">
        <v>48573</v>
      </c>
      <c r="U9462" t="s">
        <v>56399</v>
      </c>
      <c r="W9462" t="s">
        <v>45631</v>
      </c>
      <c r="X9462" t="s">
        <v>46578</v>
      </c>
    </row>
    <row r="9463" spans="1:24">
      <c r="A9463">
        <f>HYPERLINK("https://www.philgeps.gov.ph/GEPSNONPILOT/Tender/SplashBidNoticeAbstractUI.aspx?menuIndex=3&amp;refID=7053745&amp;Result=3","7053745")</f>
        <v>0</v>
      </c>
      <c r="B9463" t="s">
        <v>1376</v>
      </c>
      <c r="C9463" t="s">
        <v>12503</v>
      </c>
      <c r="D9463" t="s">
        <v>18841</v>
      </c>
      <c r="E9463" t="s">
        <v>27105</v>
      </c>
      <c r="F9463" t="s">
        <v>32664</v>
      </c>
      <c r="G9463" t="s">
        <v>32672</v>
      </c>
      <c r="H9463" t="s">
        <v>32683</v>
      </c>
      <c r="I9463" t="s">
        <v>10627</v>
      </c>
      <c r="J9463" t="s">
        <v>38530</v>
      </c>
      <c r="K9463" t="s">
        <v>42369</v>
      </c>
      <c r="M9463" t="s">
        <v>44031</v>
      </c>
      <c r="N9463" t="s">
        <v>46569</v>
      </c>
      <c r="O9463" t="s">
        <v>46570</v>
      </c>
      <c r="P9463">
        <v>0</v>
      </c>
      <c r="Q9463">
        <v>0</v>
      </c>
      <c r="R9463" t="s">
        <v>46577</v>
      </c>
      <c r="S9463" t="s">
        <v>46808</v>
      </c>
      <c r="T9463" t="s">
        <v>48363</v>
      </c>
      <c r="U9463" t="s">
        <v>56443</v>
      </c>
      <c r="V9463" t="s">
        <v>61986</v>
      </c>
      <c r="W9463" t="s">
        <v>44031</v>
      </c>
      <c r="X9463" t="s">
        <v>46578</v>
      </c>
    </row>
    <row r="9464" spans="1:24">
      <c r="A9464">
        <f>HYPERLINK("https://www.philgeps.gov.ph/GEPSNONPILOT/Tender/SplashBidNoticeAbstractUI.aspx?menuIndex=3&amp;refID=7053743&amp;Result=3","7053743")</f>
        <v>0</v>
      </c>
      <c r="B9464" t="s">
        <v>160</v>
      </c>
      <c r="C9464" t="s">
        <v>12504</v>
      </c>
      <c r="D9464" t="s">
        <v>18806</v>
      </c>
      <c r="E9464" t="s">
        <v>27106</v>
      </c>
      <c r="F9464" t="s">
        <v>32664</v>
      </c>
      <c r="G9464" t="s">
        <v>32672</v>
      </c>
      <c r="H9464" t="s">
        <v>12635</v>
      </c>
      <c r="I9464" t="s">
        <v>4439</v>
      </c>
      <c r="J9464" t="s">
        <v>38531</v>
      </c>
      <c r="K9464" t="s">
        <v>42281</v>
      </c>
      <c r="M9464" t="s">
        <v>42724</v>
      </c>
      <c r="N9464" t="s">
        <v>46569</v>
      </c>
      <c r="O9464" t="s">
        <v>46570</v>
      </c>
      <c r="P9464">
        <v>0</v>
      </c>
      <c r="Q9464">
        <v>0</v>
      </c>
      <c r="R9464" t="s">
        <v>46577</v>
      </c>
      <c r="S9464" t="s">
        <v>46808</v>
      </c>
      <c r="T9464" t="s">
        <v>48282</v>
      </c>
      <c r="U9464" t="s">
        <v>56444</v>
      </c>
      <c r="W9464" t="s">
        <v>42724</v>
      </c>
      <c r="X9464" t="s">
        <v>46578</v>
      </c>
    </row>
    <row r="9465" spans="1:24">
      <c r="A9465">
        <f>HYPERLINK("https://www.philgeps.gov.ph/GEPSNONPILOT/Tender/SplashBidNoticeAbstractUI.aspx?menuIndex=3&amp;refID=7053669&amp;Result=3","7053669")</f>
        <v>0</v>
      </c>
      <c r="B9465" t="s">
        <v>2284</v>
      </c>
      <c r="C9465" t="s">
        <v>12505</v>
      </c>
      <c r="E9465" t="s">
        <v>22598</v>
      </c>
      <c r="F9465" t="s">
        <v>32664</v>
      </c>
      <c r="G9465" t="s">
        <v>32672</v>
      </c>
      <c r="H9465" t="s">
        <v>12635</v>
      </c>
      <c r="I9465" t="s">
        <v>32701</v>
      </c>
      <c r="J9465" t="s">
        <v>38532</v>
      </c>
      <c r="K9465" t="s">
        <v>42283</v>
      </c>
      <c r="M9465" t="s">
        <v>45054</v>
      </c>
      <c r="N9465" t="s">
        <v>46569</v>
      </c>
      <c r="O9465" t="s">
        <v>46570</v>
      </c>
      <c r="P9465">
        <v>0</v>
      </c>
      <c r="Q9465">
        <v>2</v>
      </c>
      <c r="R9465" t="s">
        <v>46577</v>
      </c>
      <c r="S9465" t="s">
        <v>46808</v>
      </c>
      <c r="T9465" t="s">
        <v>48246</v>
      </c>
      <c r="U9465" t="s">
        <v>54909</v>
      </c>
      <c r="W9465" t="s">
        <v>45054</v>
      </c>
      <c r="X9465" t="s">
        <v>46578</v>
      </c>
    </row>
    <row r="9466" spans="1:24">
      <c r="A9466">
        <f>HYPERLINK("https://www.philgeps.gov.ph/GEPSNONPILOT/Tender/SplashBidNoticeAbstractUI.aspx?menuIndex=3&amp;refID=7053721&amp;Result=3","7053721")</f>
        <v>0</v>
      </c>
      <c r="B9466" t="s">
        <v>2427</v>
      </c>
      <c r="C9466" t="s">
        <v>12506</v>
      </c>
      <c r="D9466" t="s">
        <v>18784</v>
      </c>
      <c r="E9466" t="s">
        <v>27107</v>
      </c>
      <c r="F9466" t="s">
        <v>32664</v>
      </c>
      <c r="G9466" t="s">
        <v>32672</v>
      </c>
      <c r="H9466" t="s">
        <v>32682</v>
      </c>
      <c r="I9466" t="s">
        <v>32701</v>
      </c>
      <c r="J9466" t="s">
        <v>38533</v>
      </c>
      <c r="K9466" t="s">
        <v>42469</v>
      </c>
      <c r="M9466" t="s">
        <v>45219</v>
      </c>
      <c r="N9466" t="s">
        <v>46569</v>
      </c>
      <c r="O9466" t="s">
        <v>46570</v>
      </c>
      <c r="P9466">
        <v>0</v>
      </c>
      <c r="Q9466">
        <v>1</v>
      </c>
      <c r="R9466" t="s">
        <v>46577</v>
      </c>
      <c r="S9466" t="s">
        <v>46808</v>
      </c>
      <c r="T9466" t="s">
        <v>48302</v>
      </c>
      <c r="U9466" t="s">
        <v>56445</v>
      </c>
      <c r="W9466" t="s">
        <v>45219</v>
      </c>
      <c r="X9466" t="s">
        <v>46578</v>
      </c>
    </row>
    <row r="9467" spans="1:24">
      <c r="A9467">
        <f>HYPERLINK("https://www.philgeps.gov.ph/GEPSNONPILOT/Tender/SplashBidNoticeAbstractUI.aspx?menuIndex=3&amp;refID=7053717&amp;Result=3","7053717")</f>
        <v>0</v>
      </c>
      <c r="B9467" t="s">
        <v>498</v>
      </c>
      <c r="C9467" t="s">
        <v>12507</v>
      </c>
      <c r="D9467" t="s">
        <v>18802</v>
      </c>
      <c r="E9467" t="s">
        <v>19193</v>
      </c>
      <c r="F9467" t="s">
        <v>32664</v>
      </c>
      <c r="G9467" t="s">
        <v>32672</v>
      </c>
      <c r="H9467" t="s">
        <v>32683</v>
      </c>
      <c r="I9467" t="s">
        <v>10627</v>
      </c>
      <c r="J9467" t="s">
        <v>34732</v>
      </c>
      <c r="K9467" t="s">
        <v>42289</v>
      </c>
      <c r="M9467" t="s">
        <v>43074</v>
      </c>
      <c r="N9467" t="s">
        <v>46569</v>
      </c>
      <c r="O9467" t="s">
        <v>46570</v>
      </c>
      <c r="P9467">
        <v>0</v>
      </c>
      <c r="Q9467">
        <v>0</v>
      </c>
      <c r="R9467" t="s">
        <v>46577</v>
      </c>
      <c r="S9467" t="s">
        <v>46808</v>
      </c>
      <c r="T9467" t="s">
        <v>48317</v>
      </c>
      <c r="U9467" t="s">
        <v>56446</v>
      </c>
      <c r="W9467" t="s">
        <v>43074</v>
      </c>
      <c r="X9467" t="s">
        <v>46578</v>
      </c>
    </row>
    <row r="9468" spans="1:24">
      <c r="A9468">
        <f>HYPERLINK("https://www.philgeps.gov.ph/GEPSNONPILOT/Tender/SplashBidNoticeAbstractUI.aspx?menuIndex=3&amp;refID=7053715&amp;Result=3","7053715")</f>
        <v>0</v>
      </c>
      <c r="B9468" t="s">
        <v>2487</v>
      </c>
      <c r="C9468" t="s">
        <v>12508</v>
      </c>
      <c r="D9468" t="s">
        <v>18792</v>
      </c>
      <c r="E9468" t="s">
        <v>20076</v>
      </c>
      <c r="F9468" t="s">
        <v>32664</v>
      </c>
      <c r="G9468" t="s">
        <v>32672</v>
      </c>
      <c r="H9468" t="s">
        <v>32683</v>
      </c>
      <c r="I9468" t="s">
        <v>10627</v>
      </c>
      <c r="J9468" t="s">
        <v>38534</v>
      </c>
      <c r="K9468" t="s">
        <v>42317</v>
      </c>
      <c r="L9468" t="s">
        <v>2487</v>
      </c>
      <c r="M9468" t="s">
        <v>45287</v>
      </c>
      <c r="N9468" t="s">
        <v>46569</v>
      </c>
      <c r="O9468" t="s">
        <v>46570</v>
      </c>
      <c r="Q9468">
        <v>0</v>
      </c>
      <c r="R9468" t="s">
        <v>46577</v>
      </c>
      <c r="S9468" t="s">
        <v>46847</v>
      </c>
      <c r="T9468" t="s">
        <v>48273</v>
      </c>
      <c r="U9468" t="s">
        <v>56447</v>
      </c>
      <c r="V9468" t="s">
        <v>49832</v>
      </c>
      <c r="W9468" t="s">
        <v>45287</v>
      </c>
      <c r="X9468" t="s">
        <v>46578</v>
      </c>
    </row>
    <row r="9469" spans="1:24">
      <c r="A9469">
        <f>HYPERLINK("https://www.philgeps.gov.ph/GEPSNONPILOT/Tender/SplashBidNoticeAbstractUI.aspx?menuIndex=3&amp;refID=7053660&amp;Result=3","7053660")</f>
        <v>0</v>
      </c>
      <c r="B9469" t="s">
        <v>179</v>
      </c>
      <c r="C9469" t="s">
        <v>12509</v>
      </c>
      <c r="D9469" t="s">
        <v>18830</v>
      </c>
      <c r="E9469" t="s">
        <v>27108</v>
      </c>
      <c r="F9469" t="s">
        <v>32664</v>
      </c>
      <c r="G9469" t="s">
        <v>32671</v>
      </c>
      <c r="H9469" t="s">
        <v>32683</v>
      </c>
      <c r="I9469" t="s">
        <v>10627</v>
      </c>
      <c r="J9469" t="s">
        <v>32865</v>
      </c>
      <c r="K9469" t="s">
        <v>42316</v>
      </c>
      <c r="M9469" t="s">
        <v>45516</v>
      </c>
      <c r="N9469" t="s">
        <v>46569</v>
      </c>
      <c r="O9469" t="s">
        <v>46570</v>
      </c>
      <c r="P9469">
        <v>0</v>
      </c>
      <c r="Q9469">
        <v>0</v>
      </c>
      <c r="R9469" t="s">
        <v>46577</v>
      </c>
      <c r="S9469" t="s">
        <v>46808</v>
      </c>
      <c r="T9469" t="s">
        <v>48573</v>
      </c>
      <c r="U9469" t="s">
        <v>56399</v>
      </c>
      <c r="W9469" t="s">
        <v>45631</v>
      </c>
      <c r="X9469" t="s">
        <v>46578</v>
      </c>
    </row>
    <row r="9470" spans="1:24">
      <c r="A9470">
        <f>HYPERLINK("https://www.philgeps.gov.ph/GEPSNONPILOT/Tender/SplashBidNoticeAbstractUI.aspx?menuIndex=3&amp;refID=7053740&amp;Result=3","7053740")</f>
        <v>0</v>
      </c>
      <c r="B9470" t="s">
        <v>2706</v>
      </c>
      <c r="C9470" t="s">
        <v>12510</v>
      </c>
      <c r="D9470" t="s">
        <v>18781</v>
      </c>
      <c r="E9470" t="s">
        <v>27109</v>
      </c>
      <c r="F9470" t="s">
        <v>32664</v>
      </c>
      <c r="G9470" t="s">
        <v>32672</v>
      </c>
      <c r="H9470" t="s">
        <v>32683</v>
      </c>
      <c r="I9470" t="s">
        <v>10627</v>
      </c>
      <c r="J9470" t="s">
        <v>33127</v>
      </c>
      <c r="K9470" t="s">
        <v>42290</v>
      </c>
      <c r="L9470" t="s">
        <v>2706</v>
      </c>
      <c r="M9470" t="s">
        <v>45532</v>
      </c>
      <c r="N9470" t="s">
        <v>46569</v>
      </c>
      <c r="O9470" t="s">
        <v>46570</v>
      </c>
      <c r="P9470">
        <v>0</v>
      </c>
      <c r="Q9470">
        <v>1</v>
      </c>
      <c r="R9470" t="s">
        <v>46577</v>
      </c>
      <c r="S9470" t="s">
        <v>46808</v>
      </c>
      <c r="T9470" t="s">
        <v>48313</v>
      </c>
      <c r="U9470" t="s">
        <v>56448</v>
      </c>
      <c r="V9470" t="s">
        <v>62604</v>
      </c>
      <c r="W9470" t="s">
        <v>45532</v>
      </c>
      <c r="X9470" t="s">
        <v>46578</v>
      </c>
    </row>
    <row r="9471" spans="1:24">
      <c r="A9471">
        <f>HYPERLINK("https://www.philgeps.gov.ph/GEPSNONPILOT/Tender/SplashBidNoticeAbstractUI.aspx?menuIndex=3&amp;refID=7053794&amp;Result=3","7053794")</f>
        <v>0</v>
      </c>
      <c r="B9471" t="s">
        <v>1487</v>
      </c>
      <c r="C9471" t="s">
        <v>12511</v>
      </c>
      <c r="D9471" t="s">
        <v>18819</v>
      </c>
      <c r="E9471" t="s">
        <v>27110</v>
      </c>
      <c r="F9471" t="s">
        <v>32664</v>
      </c>
      <c r="G9471" t="s">
        <v>32672</v>
      </c>
      <c r="H9471" t="s">
        <v>12635</v>
      </c>
      <c r="I9471" t="s">
        <v>6628</v>
      </c>
      <c r="J9471" t="s">
        <v>38535</v>
      </c>
      <c r="K9471" t="s">
        <v>42298</v>
      </c>
      <c r="M9471" t="s">
        <v>44151</v>
      </c>
      <c r="N9471" t="s">
        <v>46569</v>
      </c>
      <c r="O9471" t="s">
        <v>46570</v>
      </c>
      <c r="P9471">
        <v>0</v>
      </c>
      <c r="Q9471">
        <v>6</v>
      </c>
      <c r="R9471" t="s">
        <v>46577</v>
      </c>
      <c r="S9471" t="s">
        <v>46808</v>
      </c>
      <c r="T9471" t="s">
        <v>48274</v>
      </c>
      <c r="U9471" t="s">
        <v>56449</v>
      </c>
      <c r="W9471" t="s">
        <v>44151</v>
      </c>
      <c r="X9471" t="s">
        <v>46578</v>
      </c>
    </row>
    <row r="9472" spans="1:24">
      <c r="A9472">
        <f>HYPERLINK("https://www.philgeps.gov.ph/GEPSNONPILOT/Tender/SplashBidNoticeAbstractUI.aspx?menuIndex=3&amp;refID=7053730&amp;Result=3","7053730")</f>
        <v>0</v>
      </c>
      <c r="B9472" t="s">
        <v>2689</v>
      </c>
      <c r="C9472" t="s">
        <v>12512</v>
      </c>
      <c r="D9472" t="s">
        <v>18805</v>
      </c>
      <c r="E9472" t="s">
        <v>19231</v>
      </c>
      <c r="F9472" t="s">
        <v>32664</v>
      </c>
      <c r="G9472" t="s">
        <v>32672</v>
      </c>
      <c r="H9472" t="s">
        <v>12635</v>
      </c>
      <c r="I9472" t="s">
        <v>10361</v>
      </c>
      <c r="J9472" t="s">
        <v>34713</v>
      </c>
      <c r="K9472" t="s">
        <v>42284</v>
      </c>
      <c r="L9472" t="s">
        <v>2689</v>
      </c>
      <c r="M9472" t="s">
        <v>45514</v>
      </c>
      <c r="N9472" t="s">
        <v>46569</v>
      </c>
      <c r="O9472" t="s">
        <v>46570</v>
      </c>
      <c r="P9472">
        <v>0</v>
      </c>
      <c r="Q9472">
        <v>0</v>
      </c>
      <c r="R9472" t="s">
        <v>46577</v>
      </c>
      <c r="S9472" t="s">
        <v>46808</v>
      </c>
      <c r="T9472" t="s">
        <v>48328</v>
      </c>
      <c r="U9472" t="s">
        <v>56389</v>
      </c>
      <c r="V9472" t="s">
        <v>62601</v>
      </c>
      <c r="W9472" t="s">
        <v>45514</v>
      </c>
      <c r="X9472" t="s">
        <v>46578</v>
      </c>
    </row>
    <row r="9473" spans="1:24">
      <c r="A9473">
        <f>HYPERLINK("https://www.philgeps.gov.ph/GEPSNONPILOT/Tender/SplashBidNoticeAbstractUI.aspx?menuIndex=3&amp;refID=7053733&amp;Result=3","7053733")</f>
        <v>0</v>
      </c>
      <c r="B9473" t="s">
        <v>672</v>
      </c>
      <c r="C9473" t="s">
        <v>12513</v>
      </c>
      <c r="D9473" t="s">
        <v>18794</v>
      </c>
      <c r="E9473" t="s">
        <v>27111</v>
      </c>
      <c r="F9473" t="s">
        <v>32664</v>
      </c>
      <c r="G9473" t="s">
        <v>32671</v>
      </c>
      <c r="H9473" t="s">
        <v>12635</v>
      </c>
      <c r="I9473" t="s">
        <v>7759</v>
      </c>
      <c r="J9473" t="s">
        <v>38536</v>
      </c>
      <c r="K9473" t="s">
        <v>42303</v>
      </c>
      <c r="M9473" t="s">
        <v>43259</v>
      </c>
      <c r="N9473" t="s">
        <v>46569</v>
      </c>
      <c r="O9473" t="s">
        <v>46570</v>
      </c>
      <c r="P9473">
        <v>0</v>
      </c>
      <c r="Q9473">
        <v>0</v>
      </c>
      <c r="R9473" t="s">
        <v>46577</v>
      </c>
      <c r="S9473" t="s">
        <v>46808</v>
      </c>
      <c r="T9473" t="s">
        <v>48287</v>
      </c>
      <c r="U9473" t="s">
        <v>56450</v>
      </c>
      <c r="W9473" t="s">
        <v>43259</v>
      </c>
      <c r="X9473" t="s">
        <v>46578</v>
      </c>
    </row>
    <row r="9474" spans="1:24">
      <c r="A9474">
        <f>HYPERLINK("https://www.philgeps.gov.ph/GEPSNONPILOT/Tender/SplashBidNoticeAbstractUI.aspx?menuIndex=3&amp;refID=7053797&amp;Result=3","7053797")</f>
        <v>0</v>
      </c>
      <c r="B9474" t="s">
        <v>2689</v>
      </c>
      <c r="C9474" t="s">
        <v>12514</v>
      </c>
      <c r="D9474" t="s">
        <v>18805</v>
      </c>
      <c r="E9474" t="s">
        <v>22709</v>
      </c>
      <c r="F9474" t="s">
        <v>32664</v>
      </c>
      <c r="G9474" t="s">
        <v>32672</v>
      </c>
      <c r="H9474" t="s">
        <v>12635</v>
      </c>
      <c r="I9474" t="s">
        <v>5501</v>
      </c>
      <c r="J9474" t="s">
        <v>33553</v>
      </c>
      <c r="K9474" t="s">
        <v>42284</v>
      </c>
      <c r="L9474" t="s">
        <v>2689</v>
      </c>
      <c r="M9474" t="s">
        <v>45514</v>
      </c>
      <c r="N9474" t="s">
        <v>46569</v>
      </c>
      <c r="O9474" t="s">
        <v>46570</v>
      </c>
      <c r="P9474">
        <v>0</v>
      </c>
      <c r="Q9474">
        <v>1</v>
      </c>
      <c r="R9474" t="s">
        <v>46577</v>
      </c>
      <c r="S9474" t="s">
        <v>46808</v>
      </c>
      <c r="T9474" t="s">
        <v>48328</v>
      </c>
      <c r="U9474" t="s">
        <v>56451</v>
      </c>
      <c r="V9474" t="s">
        <v>62601</v>
      </c>
      <c r="W9474" t="s">
        <v>45514</v>
      </c>
      <c r="X9474" t="s">
        <v>46578</v>
      </c>
    </row>
    <row r="9475" spans="1:24">
      <c r="A9475">
        <f>HYPERLINK("https://www.philgeps.gov.ph/GEPSNONPILOT/Tender/SplashBidNoticeAbstractUI.aspx?menuIndex=3&amp;refID=7053742&amp;Result=3","7053742")</f>
        <v>0</v>
      </c>
      <c r="B9475" t="s">
        <v>2689</v>
      </c>
      <c r="C9475" t="s">
        <v>12515</v>
      </c>
      <c r="D9475" t="s">
        <v>18805</v>
      </c>
      <c r="E9475" t="s">
        <v>20953</v>
      </c>
      <c r="F9475" t="s">
        <v>32664</v>
      </c>
      <c r="G9475" t="s">
        <v>32672</v>
      </c>
      <c r="H9475" t="s">
        <v>12635</v>
      </c>
      <c r="I9475" t="s">
        <v>10361</v>
      </c>
      <c r="J9475" t="s">
        <v>37943</v>
      </c>
      <c r="K9475" t="s">
        <v>42284</v>
      </c>
      <c r="L9475" t="s">
        <v>2689</v>
      </c>
      <c r="M9475" t="s">
        <v>45514</v>
      </c>
      <c r="N9475" t="s">
        <v>46569</v>
      </c>
      <c r="O9475" t="s">
        <v>46570</v>
      </c>
      <c r="P9475">
        <v>0</v>
      </c>
      <c r="Q9475">
        <v>0</v>
      </c>
      <c r="R9475" t="s">
        <v>46577</v>
      </c>
      <c r="S9475" t="s">
        <v>46808</v>
      </c>
      <c r="T9475" t="s">
        <v>48328</v>
      </c>
      <c r="U9475" t="s">
        <v>56451</v>
      </c>
      <c r="V9475" t="s">
        <v>62601</v>
      </c>
      <c r="W9475" t="s">
        <v>45514</v>
      </c>
      <c r="X9475" t="s">
        <v>46578</v>
      </c>
    </row>
    <row r="9476" spans="1:24">
      <c r="A9476">
        <f>HYPERLINK("https://www.philgeps.gov.ph/GEPSNONPILOT/Tender/SplashBidNoticeAbstractUI.aspx?menuIndex=3&amp;refID=7053795&amp;Result=3","7053795")</f>
        <v>0</v>
      </c>
      <c r="B9476" t="s">
        <v>179</v>
      </c>
      <c r="C9476" t="s">
        <v>12516</v>
      </c>
      <c r="D9476" t="s">
        <v>18830</v>
      </c>
      <c r="E9476" t="s">
        <v>27112</v>
      </c>
      <c r="F9476" t="s">
        <v>32664</v>
      </c>
      <c r="G9476" t="s">
        <v>32671</v>
      </c>
      <c r="H9476" t="s">
        <v>32683</v>
      </c>
      <c r="I9476" t="s">
        <v>10627</v>
      </c>
      <c r="J9476" t="s">
        <v>32865</v>
      </c>
      <c r="K9476" t="s">
        <v>42298</v>
      </c>
      <c r="M9476" t="s">
        <v>45516</v>
      </c>
      <c r="N9476" t="s">
        <v>46569</v>
      </c>
      <c r="O9476" t="s">
        <v>46570</v>
      </c>
      <c r="P9476">
        <v>0</v>
      </c>
      <c r="Q9476">
        <v>0</v>
      </c>
      <c r="R9476" t="s">
        <v>46577</v>
      </c>
      <c r="S9476" t="s">
        <v>46808</v>
      </c>
      <c r="T9476" t="s">
        <v>48573</v>
      </c>
      <c r="U9476" t="s">
        <v>56399</v>
      </c>
      <c r="W9476" t="s">
        <v>45631</v>
      </c>
      <c r="X9476" t="s">
        <v>46578</v>
      </c>
    </row>
    <row r="9477" spans="1:24">
      <c r="A9477">
        <f>HYPERLINK("https://www.philgeps.gov.ph/GEPSNONPILOT/Tender/SplashBidNoticeAbstractUI.aspx?menuIndex=3&amp;refID=7053796&amp;Result=3","7053796")</f>
        <v>0</v>
      </c>
      <c r="B9477" t="s">
        <v>179</v>
      </c>
      <c r="C9477" t="s">
        <v>12517</v>
      </c>
      <c r="D9477" t="s">
        <v>18830</v>
      </c>
      <c r="E9477" t="s">
        <v>27113</v>
      </c>
      <c r="F9477" t="s">
        <v>32664</v>
      </c>
      <c r="G9477" t="s">
        <v>32671</v>
      </c>
      <c r="H9477" t="s">
        <v>32683</v>
      </c>
      <c r="I9477" t="s">
        <v>10627</v>
      </c>
      <c r="J9477" t="s">
        <v>32962</v>
      </c>
      <c r="K9477" t="s">
        <v>42414</v>
      </c>
      <c r="M9477" t="s">
        <v>45516</v>
      </c>
      <c r="N9477" t="s">
        <v>46569</v>
      </c>
      <c r="O9477" t="s">
        <v>46570</v>
      </c>
      <c r="P9477">
        <v>0</v>
      </c>
      <c r="Q9477">
        <v>1</v>
      </c>
      <c r="R9477" t="s">
        <v>46577</v>
      </c>
      <c r="S9477" t="s">
        <v>46808</v>
      </c>
      <c r="T9477" t="s">
        <v>48573</v>
      </c>
      <c r="U9477" t="s">
        <v>56399</v>
      </c>
      <c r="W9477" t="s">
        <v>45631</v>
      </c>
      <c r="X9477" t="s">
        <v>46578</v>
      </c>
    </row>
    <row r="9478" spans="1:24">
      <c r="A9478">
        <f>HYPERLINK("https://www.philgeps.gov.ph/GEPSNONPILOT/Tender/SplashBidNoticeAbstractUI.aspx?menuIndex=3&amp;refID=7053782&amp;Result=3","7053782")</f>
        <v>0</v>
      </c>
      <c r="B9478" t="s">
        <v>1108</v>
      </c>
      <c r="C9478" t="s">
        <v>12518</v>
      </c>
      <c r="D9478" t="s">
        <v>18796</v>
      </c>
      <c r="E9478" t="s">
        <v>27114</v>
      </c>
      <c r="F9478" t="s">
        <v>32664</v>
      </c>
      <c r="G9478" t="s">
        <v>32672</v>
      </c>
      <c r="H9478" t="s">
        <v>32683</v>
      </c>
      <c r="I9478" t="s">
        <v>10627</v>
      </c>
      <c r="J9478" t="s">
        <v>33886</v>
      </c>
      <c r="K9478" t="s">
        <v>42490</v>
      </c>
      <c r="M9478" t="s">
        <v>43735</v>
      </c>
      <c r="N9478" t="s">
        <v>46569</v>
      </c>
      <c r="O9478" t="s">
        <v>46570</v>
      </c>
      <c r="P9478">
        <v>0</v>
      </c>
      <c r="Q9478">
        <v>2</v>
      </c>
      <c r="R9478" t="s">
        <v>46577</v>
      </c>
      <c r="S9478" t="s">
        <v>46808</v>
      </c>
      <c r="T9478" t="s">
        <v>48213</v>
      </c>
      <c r="U9478" t="s">
        <v>51113</v>
      </c>
      <c r="V9478" t="s">
        <v>62605</v>
      </c>
      <c r="W9478" t="s">
        <v>43735</v>
      </c>
      <c r="X9478" t="s">
        <v>46578</v>
      </c>
    </row>
    <row r="9479" spans="1:24">
      <c r="A9479">
        <f>HYPERLINK("https://www.philgeps.gov.ph/GEPSNONPILOT/Tender/SplashBidNoticeAbstractUI.aspx?menuIndex=3&amp;refID=7053761&amp;Result=3","7053761")</f>
        <v>0</v>
      </c>
      <c r="B9479" t="s">
        <v>179</v>
      </c>
      <c r="C9479" t="s">
        <v>12519</v>
      </c>
      <c r="D9479" t="s">
        <v>18830</v>
      </c>
      <c r="E9479" t="s">
        <v>27115</v>
      </c>
      <c r="F9479" t="s">
        <v>32664</v>
      </c>
      <c r="G9479" t="s">
        <v>32671</v>
      </c>
      <c r="H9479" t="s">
        <v>32683</v>
      </c>
      <c r="I9479" t="s">
        <v>10627</v>
      </c>
      <c r="J9479" t="s">
        <v>33267</v>
      </c>
      <c r="K9479" t="s">
        <v>42328</v>
      </c>
      <c r="M9479" t="s">
        <v>45516</v>
      </c>
      <c r="N9479" t="s">
        <v>46569</v>
      </c>
      <c r="O9479" t="s">
        <v>46570</v>
      </c>
      <c r="P9479">
        <v>0</v>
      </c>
      <c r="Q9479">
        <v>0</v>
      </c>
      <c r="R9479" t="s">
        <v>46577</v>
      </c>
      <c r="S9479" t="s">
        <v>46808</v>
      </c>
      <c r="T9479" t="s">
        <v>48573</v>
      </c>
      <c r="U9479" t="s">
        <v>56399</v>
      </c>
      <c r="W9479" t="s">
        <v>45631</v>
      </c>
      <c r="X9479" t="s">
        <v>46578</v>
      </c>
    </row>
    <row r="9480" spans="1:24">
      <c r="A9480">
        <f>HYPERLINK("https://www.philgeps.gov.ph/GEPSNONPILOT/Tender/SplashBidNoticeAbstractUI.aspx?menuIndex=3&amp;refID=7053781&amp;Result=3","7053781")</f>
        <v>0</v>
      </c>
      <c r="B9480" t="s">
        <v>2707</v>
      </c>
      <c r="C9480" t="s">
        <v>12520</v>
      </c>
      <c r="D9480" t="s">
        <v>18824</v>
      </c>
      <c r="E9480" t="s">
        <v>19202</v>
      </c>
      <c r="F9480" t="s">
        <v>32664</v>
      </c>
      <c r="G9480" t="s">
        <v>32672</v>
      </c>
      <c r="H9480" t="s">
        <v>12635</v>
      </c>
      <c r="I9480" t="s">
        <v>4439</v>
      </c>
      <c r="J9480" t="s">
        <v>38537</v>
      </c>
      <c r="K9480" t="s">
        <v>42297</v>
      </c>
      <c r="M9480" t="s">
        <v>45533</v>
      </c>
      <c r="N9480" t="s">
        <v>46569</v>
      </c>
      <c r="O9480" t="s">
        <v>46570</v>
      </c>
      <c r="P9480">
        <v>0</v>
      </c>
      <c r="Q9480">
        <v>1</v>
      </c>
      <c r="R9480" t="s">
        <v>46577</v>
      </c>
      <c r="S9480" t="s">
        <v>46808</v>
      </c>
      <c r="T9480" t="s">
        <v>48287</v>
      </c>
      <c r="U9480" t="s">
        <v>56452</v>
      </c>
      <c r="W9480" t="s">
        <v>45533</v>
      </c>
      <c r="X9480" t="s">
        <v>46578</v>
      </c>
    </row>
    <row r="9481" spans="1:24">
      <c r="A9481">
        <f>HYPERLINK("https://www.philgeps.gov.ph/GEPSNONPILOT/Tender/SplashBidNoticeAbstractUI.aspx?menuIndex=3&amp;refID=7053714&amp;Result=3","7053714")</f>
        <v>0</v>
      </c>
      <c r="B9481" t="s">
        <v>2708</v>
      </c>
      <c r="C9481" t="s">
        <v>12521</v>
      </c>
      <c r="D9481" t="s">
        <v>18816</v>
      </c>
      <c r="E9481" t="s">
        <v>27116</v>
      </c>
      <c r="F9481" t="s">
        <v>32664</v>
      </c>
      <c r="G9481" t="s">
        <v>32674</v>
      </c>
      <c r="H9481" t="s">
        <v>12635</v>
      </c>
      <c r="I9481" t="s">
        <v>10370</v>
      </c>
      <c r="J9481" t="s">
        <v>38538</v>
      </c>
      <c r="K9481" t="s">
        <v>42303</v>
      </c>
      <c r="M9481" t="s">
        <v>45534</v>
      </c>
      <c r="N9481" t="s">
        <v>46569</v>
      </c>
      <c r="O9481" t="s">
        <v>46570</v>
      </c>
      <c r="P9481">
        <v>0</v>
      </c>
      <c r="Q9481">
        <v>10</v>
      </c>
      <c r="R9481" t="s">
        <v>46577</v>
      </c>
      <c r="S9481" t="s">
        <v>46808</v>
      </c>
      <c r="T9481" t="s">
        <v>48448</v>
      </c>
      <c r="U9481" t="s">
        <v>56453</v>
      </c>
      <c r="W9481" t="s">
        <v>45534</v>
      </c>
      <c r="X9481" t="s">
        <v>46578</v>
      </c>
    </row>
    <row r="9482" spans="1:24">
      <c r="A9482">
        <f>HYPERLINK("https://www.philgeps.gov.ph/GEPSNONPILOT/Tender/SplashBidNoticeAbstractUI.aspx?menuIndex=3&amp;refID=7053762&amp;Result=3","7053762")</f>
        <v>0</v>
      </c>
      <c r="B9482" t="s">
        <v>2689</v>
      </c>
      <c r="C9482" t="s">
        <v>12522</v>
      </c>
      <c r="D9482" t="s">
        <v>18805</v>
      </c>
      <c r="E9482" t="s">
        <v>19207</v>
      </c>
      <c r="F9482" t="s">
        <v>32664</v>
      </c>
      <c r="G9482" t="s">
        <v>32672</v>
      </c>
      <c r="H9482" t="s">
        <v>12635</v>
      </c>
      <c r="I9482" t="s">
        <v>10370</v>
      </c>
      <c r="J9482" t="s">
        <v>35542</v>
      </c>
      <c r="K9482" t="s">
        <v>42284</v>
      </c>
      <c r="L9482" t="s">
        <v>2689</v>
      </c>
      <c r="M9482" t="s">
        <v>45514</v>
      </c>
      <c r="N9482" t="s">
        <v>46569</v>
      </c>
      <c r="O9482" t="s">
        <v>46570</v>
      </c>
      <c r="P9482">
        <v>0</v>
      </c>
      <c r="Q9482">
        <v>1</v>
      </c>
      <c r="R9482" t="s">
        <v>46577</v>
      </c>
      <c r="S9482" t="s">
        <v>46808</v>
      </c>
      <c r="T9482" t="s">
        <v>48328</v>
      </c>
      <c r="U9482" t="s">
        <v>56451</v>
      </c>
      <c r="V9482" t="s">
        <v>62601</v>
      </c>
      <c r="W9482" t="s">
        <v>45514</v>
      </c>
      <c r="X9482" t="s">
        <v>46578</v>
      </c>
    </row>
    <row r="9483" spans="1:24">
      <c r="A9483">
        <f>HYPERLINK("https://www.philgeps.gov.ph/GEPSNONPILOT/Tender/SplashBidNoticeAbstractUI.aspx?menuIndex=3&amp;refID=7053787&amp;Result=3","7053787")</f>
        <v>0</v>
      </c>
      <c r="B9483" t="s">
        <v>2709</v>
      </c>
      <c r="C9483" t="s">
        <v>12523</v>
      </c>
      <c r="D9483" t="s">
        <v>18792</v>
      </c>
      <c r="E9483" t="s">
        <v>21608</v>
      </c>
      <c r="F9483" t="s">
        <v>32664</v>
      </c>
      <c r="G9483" t="s">
        <v>32672</v>
      </c>
      <c r="H9483" t="s">
        <v>12635</v>
      </c>
      <c r="I9483" t="s">
        <v>6628</v>
      </c>
      <c r="J9483" t="s">
        <v>38539</v>
      </c>
      <c r="K9483" t="s">
        <v>42281</v>
      </c>
      <c r="M9483" t="s">
        <v>45535</v>
      </c>
      <c r="N9483" t="s">
        <v>46569</v>
      </c>
      <c r="O9483" t="s">
        <v>46570</v>
      </c>
      <c r="P9483">
        <v>0</v>
      </c>
      <c r="Q9483">
        <v>4</v>
      </c>
      <c r="R9483" t="s">
        <v>46577</v>
      </c>
      <c r="S9483" t="s">
        <v>46808</v>
      </c>
      <c r="T9483" t="s">
        <v>48307</v>
      </c>
      <c r="U9483" t="s">
        <v>56454</v>
      </c>
      <c r="W9483" t="s">
        <v>45535</v>
      </c>
      <c r="X9483" t="s">
        <v>46578</v>
      </c>
    </row>
    <row r="9484" spans="1:24">
      <c r="A9484">
        <f>HYPERLINK("https://www.philgeps.gov.ph/GEPSNONPILOT/Tender/SplashBidNoticeAbstractUI.aspx?menuIndex=3&amp;refID=7053774&amp;Result=3","7053774")</f>
        <v>0</v>
      </c>
      <c r="B9484" t="s">
        <v>2689</v>
      </c>
      <c r="C9484" t="s">
        <v>12524</v>
      </c>
      <c r="D9484" t="s">
        <v>18805</v>
      </c>
      <c r="E9484" t="s">
        <v>19327</v>
      </c>
      <c r="F9484" t="s">
        <v>32664</v>
      </c>
      <c r="G9484" t="s">
        <v>32672</v>
      </c>
      <c r="H9484" t="s">
        <v>12635</v>
      </c>
      <c r="I9484" t="s">
        <v>32731</v>
      </c>
      <c r="J9484" t="s">
        <v>34585</v>
      </c>
      <c r="K9484" t="s">
        <v>42284</v>
      </c>
      <c r="L9484" t="s">
        <v>2689</v>
      </c>
      <c r="M9484" t="s">
        <v>45514</v>
      </c>
      <c r="N9484" t="s">
        <v>46569</v>
      </c>
      <c r="O9484" t="s">
        <v>46570</v>
      </c>
      <c r="P9484">
        <v>0</v>
      </c>
      <c r="Q9484">
        <v>0</v>
      </c>
      <c r="R9484" t="s">
        <v>46577</v>
      </c>
      <c r="S9484" t="s">
        <v>46808</v>
      </c>
      <c r="T9484" t="s">
        <v>48328</v>
      </c>
      <c r="U9484" t="s">
        <v>56451</v>
      </c>
      <c r="V9484" t="s">
        <v>62601</v>
      </c>
      <c r="W9484" t="s">
        <v>45514</v>
      </c>
      <c r="X9484" t="s">
        <v>46578</v>
      </c>
    </row>
    <row r="9485" spans="1:24">
      <c r="A9485">
        <f>HYPERLINK("https://www.philgeps.gov.ph/GEPSNONPILOT/Tender/SplashBidNoticeAbstractUI.aspx?menuIndex=3&amp;refID=7053773&amp;Result=3","7053773")</f>
        <v>0</v>
      </c>
      <c r="B9485" t="s">
        <v>179</v>
      </c>
      <c r="C9485" t="s">
        <v>12525</v>
      </c>
      <c r="D9485" t="s">
        <v>18830</v>
      </c>
      <c r="E9485" t="s">
        <v>27117</v>
      </c>
      <c r="F9485" t="s">
        <v>32664</v>
      </c>
      <c r="G9485" t="s">
        <v>32671</v>
      </c>
      <c r="H9485" t="s">
        <v>32683</v>
      </c>
      <c r="I9485" t="s">
        <v>10627</v>
      </c>
      <c r="J9485" t="s">
        <v>32859</v>
      </c>
      <c r="K9485" t="s">
        <v>42325</v>
      </c>
      <c r="M9485" t="s">
        <v>45516</v>
      </c>
      <c r="N9485" t="s">
        <v>46569</v>
      </c>
      <c r="O9485" t="s">
        <v>46570</v>
      </c>
      <c r="P9485">
        <v>0</v>
      </c>
      <c r="Q9485">
        <v>1</v>
      </c>
      <c r="R9485" t="s">
        <v>46577</v>
      </c>
      <c r="S9485" t="s">
        <v>46808</v>
      </c>
      <c r="T9485" t="s">
        <v>48573</v>
      </c>
      <c r="U9485" t="s">
        <v>56399</v>
      </c>
      <c r="W9485" t="s">
        <v>45631</v>
      </c>
      <c r="X9485" t="s">
        <v>46578</v>
      </c>
    </row>
    <row r="9486" spans="1:24">
      <c r="A9486">
        <f>HYPERLINK("https://www.philgeps.gov.ph/GEPSNONPILOT/Tender/SplashBidNoticeAbstractUI.aspx?menuIndex=3&amp;refID=7053776&amp;Result=3","7053776")</f>
        <v>0</v>
      </c>
      <c r="B9486" t="s">
        <v>2710</v>
      </c>
      <c r="C9486" t="s">
        <v>12526</v>
      </c>
      <c r="D9486" t="s">
        <v>18836</v>
      </c>
      <c r="E9486" t="s">
        <v>27118</v>
      </c>
      <c r="F9486" t="s">
        <v>32664</v>
      </c>
      <c r="G9486" t="s">
        <v>32671</v>
      </c>
      <c r="H9486" t="s">
        <v>12635</v>
      </c>
      <c r="I9486" t="s">
        <v>6168</v>
      </c>
      <c r="J9486" t="s">
        <v>33095</v>
      </c>
      <c r="K9486" t="s">
        <v>42283</v>
      </c>
      <c r="M9486" t="s">
        <v>45536</v>
      </c>
      <c r="N9486" t="s">
        <v>46569</v>
      </c>
      <c r="O9486" t="s">
        <v>46570</v>
      </c>
      <c r="P9486">
        <v>0</v>
      </c>
      <c r="Q9486">
        <v>1</v>
      </c>
      <c r="R9486" t="s">
        <v>46577</v>
      </c>
      <c r="S9486" t="s">
        <v>46808</v>
      </c>
      <c r="T9486" t="s">
        <v>48492</v>
      </c>
      <c r="U9486" t="s">
        <v>56455</v>
      </c>
      <c r="W9486" t="s">
        <v>45536</v>
      </c>
      <c r="X9486" t="s">
        <v>46578</v>
      </c>
    </row>
    <row r="9487" spans="1:24">
      <c r="A9487">
        <f>HYPERLINK("https://www.philgeps.gov.ph/GEPSNONPILOT/Tender/SplashBidNoticeAbstractUI.aspx?menuIndex=3&amp;refID=7053780&amp;Result=3","7053780")</f>
        <v>0</v>
      </c>
      <c r="B9487" t="s">
        <v>179</v>
      </c>
      <c r="C9487" t="s">
        <v>12527</v>
      </c>
      <c r="D9487" t="s">
        <v>18830</v>
      </c>
      <c r="E9487" t="s">
        <v>27119</v>
      </c>
      <c r="F9487" t="s">
        <v>32664</v>
      </c>
      <c r="G9487" t="s">
        <v>32671</v>
      </c>
      <c r="H9487" t="s">
        <v>32683</v>
      </c>
      <c r="I9487" t="s">
        <v>10627</v>
      </c>
      <c r="J9487" t="s">
        <v>33051</v>
      </c>
      <c r="K9487" t="s">
        <v>42398</v>
      </c>
      <c r="M9487" t="s">
        <v>45516</v>
      </c>
      <c r="N9487" t="s">
        <v>46569</v>
      </c>
      <c r="O9487" t="s">
        <v>46570</v>
      </c>
      <c r="P9487">
        <v>0</v>
      </c>
      <c r="Q9487">
        <v>0</v>
      </c>
      <c r="R9487" t="s">
        <v>46577</v>
      </c>
      <c r="S9487" t="s">
        <v>46808</v>
      </c>
      <c r="T9487" t="s">
        <v>48573</v>
      </c>
      <c r="U9487" t="s">
        <v>56399</v>
      </c>
      <c r="W9487" t="s">
        <v>45631</v>
      </c>
      <c r="X9487" t="s">
        <v>46578</v>
      </c>
    </row>
    <row r="9488" spans="1:24">
      <c r="A9488">
        <f>HYPERLINK("https://www.philgeps.gov.ph/GEPSNONPILOT/Tender/SplashBidNoticeAbstractUI.aspx?menuIndex=3&amp;refID=7053769&amp;Result=3","7053769")</f>
        <v>0</v>
      </c>
      <c r="B9488" t="s">
        <v>179</v>
      </c>
      <c r="C9488" t="s">
        <v>12528</v>
      </c>
      <c r="D9488" t="s">
        <v>18830</v>
      </c>
      <c r="E9488" t="s">
        <v>27120</v>
      </c>
      <c r="F9488" t="s">
        <v>32664</v>
      </c>
      <c r="G9488" t="s">
        <v>32671</v>
      </c>
      <c r="H9488" t="s">
        <v>32683</v>
      </c>
      <c r="I9488" t="s">
        <v>10627</v>
      </c>
      <c r="J9488" t="s">
        <v>33021</v>
      </c>
      <c r="K9488" t="s">
        <v>42383</v>
      </c>
      <c r="M9488" t="s">
        <v>45516</v>
      </c>
      <c r="N9488" t="s">
        <v>46569</v>
      </c>
      <c r="O9488" t="s">
        <v>46570</v>
      </c>
      <c r="P9488">
        <v>0</v>
      </c>
      <c r="Q9488">
        <v>0</v>
      </c>
      <c r="R9488" t="s">
        <v>46577</v>
      </c>
      <c r="S9488" t="s">
        <v>46808</v>
      </c>
      <c r="T9488" t="s">
        <v>48573</v>
      </c>
      <c r="U9488" t="s">
        <v>56399</v>
      </c>
      <c r="W9488" t="s">
        <v>45631</v>
      </c>
      <c r="X9488" t="s">
        <v>46578</v>
      </c>
    </row>
    <row r="9489" spans="1:24">
      <c r="A9489">
        <f>HYPERLINK("https://www.philgeps.gov.ph/GEPSNONPILOT/Tender/SplashBidNoticeAbstractUI.aspx?menuIndex=3&amp;refID=7053832&amp;Result=3","7053832")</f>
        <v>0</v>
      </c>
      <c r="B9489" t="s">
        <v>2689</v>
      </c>
      <c r="C9489" t="s">
        <v>12529</v>
      </c>
      <c r="D9489" t="s">
        <v>18805</v>
      </c>
      <c r="E9489" t="s">
        <v>22210</v>
      </c>
      <c r="F9489" t="s">
        <v>32664</v>
      </c>
      <c r="G9489" t="s">
        <v>32672</v>
      </c>
      <c r="H9489" t="s">
        <v>12635</v>
      </c>
      <c r="I9489" t="s">
        <v>6168</v>
      </c>
      <c r="J9489" t="s">
        <v>33621</v>
      </c>
      <c r="K9489" t="s">
        <v>42284</v>
      </c>
      <c r="L9489" t="s">
        <v>2689</v>
      </c>
      <c r="M9489" t="s">
        <v>45514</v>
      </c>
      <c r="N9489" t="s">
        <v>46569</v>
      </c>
      <c r="O9489" t="s">
        <v>46570</v>
      </c>
      <c r="P9489">
        <v>0</v>
      </c>
      <c r="Q9489">
        <v>0</v>
      </c>
      <c r="R9489" t="s">
        <v>46577</v>
      </c>
      <c r="S9489" t="s">
        <v>46808</v>
      </c>
      <c r="T9489" t="s">
        <v>48328</v>
      </c>
      <c r="U9489" t="s">
        <v>56451</v>
      </c>
      <c r="V9489" t="s">
        <v>62601</v>
      </c>
      <c r="W9489" t="s">
        <v>45514</v>
      </c>
      <c r="X9489" t="s">
        <v>46578</v>
      </c>
    </row>
    <row r="9490" spans="1:24">
      <c r="A9490">
        <f>HYPERLINK("https://www.philgeps.gov.ph/GEPSNONPILOT/Tender/SplashBidNoticeAbstractUI.aspx?menuIndex=3&amp;refID=7053831&amp;Result=3","7053831")</f>
        <v>0</v>
      </c>
      <c r="B9490" t="s">
        <v>1666</v>
      </c>
      <c r="C9490" t="s">
        <v>12530</v>
      </c>
      <c r="D9490" t="s">
        <v>18841</v>
      </c>
      <c r="E9490" t="s">
        <v>27121</v>
      </c>
      <c r="F9490" t="s">
        <v>32664</v>
      </c>
      <c r="G9490" t="s">
        <v>32672</v>
      </c>
      <c r="H9490" t="s">
        <v>32683</v>
      </c>
      <c r="I9490" t="s">
        <v>10627</v>
      </c>
      <c r="J9490" t="s">
        <v>34379</v>
      </c>
      <c r="K9490" t="s">
        <v>42290</v>
      </c>
      <c r="M9490" t="s">
        <v>44352</v>
      </c>
      <c r="N9490" t="s">
        <v>46569</v>
      </c>
      <c r="O9490" t="s">
        <v>46570</v>
      </c>
      <c r="P9490">
        <v>0</v>
      </c>
      <c r="Q9490">
        <v>1</v>
      </c>
      <c r="R9490" t="s">
        <v>46577</v>
      </c>
      <c r="S9490" t="s">
        <v>46808</v>
      </c>
      <c r="T9490" t="s">
        <v>48468</v>
      </c>
      <c r="U9490" t="s">
        <v>56456</v>
      </c>
      <c r="V9490" t="s">
        <v>54604</v>
      </c>
      <c r="W9490" t="s">
        <v>44352</v>
      </c>
      <c r="X9490" t="s">
        <v>46578</v>
      </c>
    </row>
    <row r="9491" spans="1:24">
      <c r="A9491">
        <f>HYPERLINK("https://www.philgeps.gov.ph/GEPSNONPILOT/Tender/SplashBidNoticeAbstractUI.aspx?menuIndex=3&amp;refID=7053792&amp;Result=3","7053792")</f>
        <v>0</v>
      </c>
      <c r="B9491" t="s">
        <v>179</v>
      </c>
      <c r="C9491" t="s">
        <v>12531</v>
      </c>
      <c r="D9491" t="s">
        <v>18830</v>
      </c>
      <c r="E9491" t="s">
        <v>27122</v>
      </c>
      <c r="F9491" t="s">
        <v>32664</v>
      </c>
      <c r="G9491" t="s">
        <v>32671</v>
      </c>
      <c r="H9491" t="s">
        <v>32683</v>
      </c>
      <c r="I9491" t="s">
        <v>10627</v>
      </c>
      <c r="J9491" t="s">
        <v>32865</v>
      </c>
      <c r="K9491" t="s">
        <v>42316</v>
      </c>
      <c r="M9491" t="s">
        <v>45516</v>
      </c>
      <c r="N9491" t="s">
        <v>46569</v>
      </c>
      <c r="O9491" t="s">
        <v>46570</v>
      </c>
      <c r="P9491">
        <v>0</v>
      </c>
      <c r="Q9491">
        <v>2</v>
      </c>
      <c r="R9491" t="s">
        <v>46577</v>
      </c>
      <c r="S9491" t="s">
        <v>46808</v>
      </c>
      <c r="T9491" t="s">
        <v>48573</v>
      </c>
      <c r="U9491" t="s">
        <v>56399</v>
      </c>
      <c r="W9491" t="s">
        <v>45631</v>
      </c>
      <c r="X9491" t="s">
        <v>46578</v>
      </c>
    </row>
    <row r="9492" spans="1:24">
      <c r="A9492">
        <f>HYPERLINK("https://www.philgeps.gov.ph/GEPSNONPILOT/Tender/SplashBidNoticeAbstractUI.aspx?menuIndex=3&amp;refID=7053826&amp;Result=3","7053826")</f>
        <v>0</v>
      </c>
      <c r="B9492" t="s">
        <v>2711</v>
      </c>
      <c r="C9492" t="s">
        <v>12532</v>
      </c>
      <c r="D9492" t="s">
        <v>18781</v>
      </c>
      <c r="E9492" t="s">
        <v>27123</v>
      </c>
      <c r="F9492" t="s">
        <v>32664</v>
      </c>
      <c r="G9492" t="s">
        <v>32672</v>
      </c>
      <c r="H9492" t="s">
        <v>32683</v>
      </c>
      <c r="I9492" t="s">
        <v>10627</v>
      </c>
      <c r="J9492" t="s">
        <v>38540</v>
      </c>
      <c r="K9492" t="s">
        <v>42303</v>
      </c>
      <c r="M9492" t="s">
        <v>45537</v>
      </c>
      <c r="N9492" t="s">
        <v>46569</v>
      </c>
      <c r="O9492" t="s">
        <v>46570</v>
      </c>
      <c r="P9492">
        <v>0</v>
      </c>
      <c r="Q9492">
        <v>0</v>
      </c>
      <c r="R9492" t="s">
        <v>46577</v>
      </c>
      <c r="S9492" t="s">
        <v>46808</v>
      </c>
      <c r="T9492" t="s">
        <v>48290</v>
      </c>
      <c r="U9492" t="s">
        <v>56457</v>
      </c>
      <c r="W9492" t="s">
        <v>45537</v>
      </c>
      <c r="X9492" t="s">
        <v>46578</v>
      </c>
    </row>
    <row r="9493" spans="1:24">
      <c r="A9493">
        <f>HYPERLINK("https://www.philgeps.gov.ph/GEPSNONPILOT/Tender/SplashBidNoticeAbstractUI.aspx?menuIndex=3&amp;refID=7053830&amp;Result=3","7053830")</f>
        <v>0</v>
      </c>
      <c r="B9493" t="s">
        <v>1487</v>
      </c>
      <c r="C9493" t="s">
        <v>12533</v>
      </c>
      <c r="D9493" t="s">
        <v>18819</v>
      </c>
      <c r="E9493" t="s">
        <v>27124</v>
      </c>
      <c r="F9493" t="s">
        <v>32664</v>
      </c>
      <c r="G9493" t="s">
        <v>32672</v>
      </c>
      <c r="H9493" t="s">
        <v>12635</v>
      </c>
      <c r="I9493" t="s">
        <v>32727</v>
      </c>
      <c r="J9493" t="s">
        <v>35852</v>
      </c>
      <c r="K9493" t="s">
        <v>42330</v>
      </c>
      <c r="M9493" t="s">
        <v>44151</v>
      </c>
      <c r="N9493" t="s">
        <v>46569</v>
      </c>
      <c r="O9493" t="s">
        <v>46570</v>
      </c>
      <c r="P9493">
        <v>0</v>
      </c>
      <c r="Q9493">
        <v>6</v>
      </c>
      <c r="R9493" t="s">
        <v>46577</v>
      </c>
      <c r="S9493" t="s">
        <v>46808</v>
      </c>
      <c r="T9493" t="s">
        <v>48274</v>
      </c>
      <c r="U9493" t="s">
        <v>56458</v>
      </c>
      <c r="W9493" t="s">
        <v>44151</v>
      </c>
      <c r="X9493" t="s">
        <v>46578</v>
      </c>
    </row>
    <row r="9494" spans="1:24">
      <c r="A9494">
        <f>HYPERLINK("https://www.philgeps.gov.ph/GEPSNONPILOT/Tender/SplashBidNoticeAbstractUI.aspx?menuIndex=3&amp;refID=7053820&amp;Result=3","7053820")</f>
        <v>0</v>
      </c>
      <c r="B9494" t="s">
        <v>2712</v>
      </c>
      <c r="C9494" t="s">
        <v>12534</v>
      </c>
      <c r="D9494" t="s">
        <v>18800</v>
      </c>
      <c r="E9494" t="s">
        <v>27125</v>
      </c>
      <c r="F9494" t="s">
        <v>32664</v>
      </c>
      <c r="G9494" t="s">
        <v>32677</v>
      </c>
      <c r="H9494" t="s">
        <v>12635</v>
      </c>
      <c r="I9494" t="s">
        <v>4439</v>
      </c>
      <c r="J9494" t="s">
        <v>38541</v>
      </c>
      <c r="K9494" t="s">
        <v>42281</v>
      </c>
      <c r="M9494" t="s">
        <v>45538</v>
      </c>
      <c r="N9494" t="s">
        <v>46569</v>
      </c>
      <c r="O9494" t="s">
        <v>46570</v>
      </c>
      <c r="P9494">
        <v>0</v>
      </c>
      <c r="Q9494">
        <v>0</v>
      </c>
      <c r="R9494" t="s">
        <v>46577</v>
      </c>
      <c r="S9494" t="s">
        <v>46808</v>
      </c>
      <c r="T9494" t="s">
        <v>48287</v>
      </c>
      <c r="U9494" t="s">
        <v>56459</v>
      </c>
      <c r="W9494" t="s">
        <v>45538</v>
      </c>
      <c r="X9494" t="s">
        <v>46578</v>
      </c>
    </row>
    <row r="9495" spans="1:24">
      <c r="A9495">
        <f>HYPERLINK("https://www.philgeps.gov.ph/GEPSNONPILOT/Tender/SplashBidNoticeAbstractUI.aspx?menuIndex=3&amp;refID=7053818&amp;Result=3","7053818")</f>
        <v>0</v>
      </c>
      <c r="B9495" t="s">
        <v>2689</v>
      </c>
      <c r="C9495" t="s">
        <v>12535</v>
      </c>
      <c r="D9495" t="s">
        <v>18805</v>
      </c>
      <c r="E9495" t="s">
        <v>19896</v>
      </c>
      <c r="F9495" t="s">
        <v>32664</v>
      </c>
      <c r="G9495" t="s">
        <v>32672</v>
      </c>
      <c r="H9495" t="s">
        <v>12635</v>
      </c>
      <c r="I9495" t="s">
        <v>9486</v>
      </c>
      <c r="J9495" t="s">
        <v>34207</v>
      </c>
      <c r="K9495" t="s">
        <v>42284</v>
      </c>
      <c r="L9495" t="s">
        <v>2689</v>
      </c>
      <c r="M9495" t="s">
        <v>45514</v>
      </c>
      <c r="N9495" t="s">
        <v>46569</v>
      </c>
      <c r="O9495" t="s">
        <v>46570</v>
      </c>
      <c r="P9495">
        <v>0</v>
      </c>
      <c r="Q9495">
        <v>0</v>
      </c>
      <c r="R9495" t="s">
        <v>46577</v>
      </c>
      <c r="S9495" t="s">
        <v>46808</v>
      </c>
      <c r="T9495" t="s">
        <v>48328</v>
      </c>
      <c r="U9495" t="s">
        <v>56451</v>
      </c>
      <c r="V9495" t="s">
        <v>62601</v>
      </c>
      <c r="W9495" t="s">
        <v>45514</v>
      </c>
      <c r="X9495" t="s">
        <v>46578</v>
      </c>
    </row>
    <row r="9496" spans="1:24">
      <c r="A9496">
        <f>HYPERLINK("https://www.philgeps.gov.ph/GEPSNONPILOT/Tender/SplashBidNoticeAbstractUI.aspx?menuIndex=3&amp;refID=7053777&amp;Result=3","7053777")</f>
        <v>0</v>
      </c>
      <c r="B9496" t="s">
        <v>179</v>
      </c>
      <c r="C9496" t="s">
        <v>12536</v>
      </c>
      <c r="D9496" t="s">
        <v>18830</v>
      </c>
      <c r="E9496" t="s">
        <v>27126</v>
      </c>
      <c r="F9496" t="s">
        <v>32664</v>
      </c>
      <c r="G9496" t="s">
        <v>32671</v>
      </c>
      <c r="H9496" t="s">
        <v>32683</v>
      </c>
      <c r="I9496" t="s">
        <v>10627</v>
      </c>
      <c r="J9496" t="s">
        <v>32962</v>
      </c>
      <c r="K9496" t="s">
        <v>42357</v>
      </c>
      <c r="M9496" t="s">
        <v>45516</v>
      </c>
      <c r="N9496" t="s">
        <v>46569</v>
      </c>
      <c r="O9496" t="s">
        <v>46570</v>
      </c>
      <c r="P9496">
        <v>0</v>
      </c>
      <c r="Q9496">
        <v>1</v>
      </c>
      <c r="R9496" t="s">
        <v>46577</v>
      </c>
      <c r="S9496" t="s">
        <v>46808</v>
      </c>
      <c r="T9496" t="s">
        <v>48573</v>
      </c>
      <c r="U9496" t="s">
        <v>56399</v>
      </c>
      <c r="W9496" t="s">
        <v>45631</v>
      </c>
      <c r="X9496" t="s">
        <v>46578</v>
      </c>
    </row>
    <row r="9497" spans="1:24">
      <c r="A9497">
        <f>HYPERLINK("https://www.philgeps.gov.ph/GEPSNONPILOT/Tender/SplashBidNoticeAbstractUI.aspx?menuIndex=3&amp;refID=7053821&amp;Result=3","7053821")</f>
        <v>0</v>
      </c>
      <c r="B9497" t="s">
        <v>1397</v>
      </c>
      <c r="C9497" t="s">
        <v>7627</v>
      </c>
      <c r="D9497" t="s">
        <v>18803</v>
      </c>
      <c r="E9497" t="s">
        <v>27127</v>
      </c>
      <c r="F9497" t="s">
        <v>32664</v>
      </c>
      <c r="G9497" t="s">
        <v>32678</v>
      </c>
      <c r="H9497" t="s">
        <v>32681</v>
      </c>
      <c r="I9497" t="s">
        <v>32681</v>
      </c>
      <c r="J9497" t="s">
        <v>35600</v>
      </c>
      <c r="K9497" t="s">
        <v>42377</v>
      </c>
      <c r="M9497" t="s">
        <v>44054</v>
      </c>
      <c r="N9497" t="s">
        <v>46569</v>
      </c>
      <c r="O9497" t="s">
        <v>46570</v>
      </c>
      <c r="P9497">
        <v>0</v>
      </c>
      <c r="Q9497">
        <v>0</v>
      </c>
      <c r="R9497" t="s">
        <v>46577</v>
      </c>
      <c r="S9497" t="s">
        <v>46808</v>
      </c>
      <c r="T9497" t="s">
        <v>48492</v>
      </c>
      <c r="U9497" t="s">
        <v>52291</v>
      </c>
      <c r="W9497" t="s">
        <v>44054</v>
      </c>
      <c r="X9497" t="s">
        <v>46578</v>
      </c>
    </row>
    <row r="9498" spans="1:24">
      <c r="A9498">
        <f>HYPERLINK("https://www.philgeps.gov.ph/GEPSNONPILOT/Tender/SplashBidNoticeAbstractUI.aspx?menuIndex=3&amp;refID=7053790&amp;Result=3","7053790")</f>
        <v>0</v>
      </c>
      <c r="B9498" t="s">
        <v>2689</v>
      </c>
      <c r="C9498" t="s">
        <v>12537</v>
      </c>
      <c r="D9498" t="s">
        <v>18805</v>
      </c>
      <c r="E9498" t="s">
        <v>27128</v>
      </c>
      <c r="F9498" t="s">
        <v>32664</v>
      </c>
      <c r="G9498" t="s">
        <v>32672</v>
      </c>
      <c r="H9498" t="s">
        <v>12635</v>
      </c>
      <c r="I9498" t="s">
        <v>5501</v>
      </c>
      <c r="J9498" t="s">
        <v>34339</v>
      </c>
      <c r="K9498" t="s">
        <v>42284</v>
      </c>
      <c r="L9498" t="s">
        <v>2689</v>
      </c>
      <c r="M9498" t="s">
        <v>45514</v>
      </c>
      <c r="N9498" t="s">
        <v>46569</v>
      </c>
      <c r="O9498" t="s">
        <v>46570</v>
      </c>
      <c r="P9498">
        <v>0</v>
      </c>
      <c r="Q9498">
        <v>0</v>
      </c>
      <c r="R9498" t="s">
        <v>46577</v>
      </c>
      <c r="S9498" t="s">
        <v>46808</v>
      </c>
      <c r="T9498" t="s">
        <v>48328</v>
      </c>
      <c r="U9498" t="s">
        <v>56451</v>
      </c>
      <c r="V9498" t="s">
        <v>62601</v>
      </c>
      <c r="W9498" t="s">
        <v>45514</v>
      </c>
      <c r="X9498" t="s">
        <v>46578</v>
      </c>
    </row>
    <row r="9499" spans="1:24">
      <c r="A9499">
        <f>HYPERLINK("https://www.philgeps.gov.ph/GEPSNONPILOT/Tender/SplashBidNoticeAbstractUI.aspx?menuIndex=3&amp;refID=7053814&amp;Result=3","7053814")</f>
        <v>0</v>
      </c>
      <c r="B9499" t="s">
        <v>497</v>
      </c>
      <c r="C9499" t="s">
        <v>12538</v>
      </c>
      <c r="D9499" t="s">
        <v>18791</v>
      </c>
      <c r="E9499" t="s">
        <v>27129</v>
      </c>
      <c r="F9499" t="s">
        <v>32664</v>
      </c>
      <c r="G9499" t="s">
        <v>32672</v>
      </c>
      <c r="H9499" t="s">
        <v>32683</v>
      </c>
      <c r="I9499" t="s">
        <v>10627</v>
      </c>
      <c r="J9499" t="s">
        <v>38542</v>
      </c>
      <c r="K9499" t="s">
        <v>42281</v>
      </c>
      <c r="M9499" t="s">
        <v>43073</v>
      </c>
      <c r="N9499" t="s">
        <v>46569</v>
      </c>
      <c r="O9499" t="s">
        <v>46570</v>
      </c>
      <c r="P9499">
        <v>0</v>
      </c>
      <c r="Q9499">
        <v>0</v>
      </c>
      <c r="R9499" t="s">
        <v>46577</v>
      </c>
      <c r="S9499" t="s">
        <v>46808</v>
      </c>
      <c r="T9499" t="s">
        <v>48226</v>
      </c>
      <c r="U9499" t="s">
        <v>56460</v>
      </c>
      <c r="W9499" t="s">
        <v>43073</v>
      </c>
      <c r="X9499" t="s">
        <v>46578</v>
      </c>
    </row>
    <row r="9500" spans="1:24">
      <c r="A9500">
        <f>HYPERLINK("https://www.philgeps.gov.ph/GEPSNONPILOT/Tender/SplashBidNoticeAbstractUI.aspx?menuIndex=3&amp;refID=7053768&amp;Result=3","7053768")</f>
        <v>0</v>
      </c>
      <c r="B9500" t="s">
        <v>179</v>
      </c>
      <c r="C9500" t="s">
        <v>12539</v>
      </c>
      <c r="D9500" t="s">
        <v>18830</v>
      </c>
      <c r="E9500" t="s">
        <v>27130</v>
      </c>
      <c r="F9500" t="s">
        <v>32664</v>
      </c>
      <c r="G9500" t="s">
        <v>32671</v>
      </c>
      <c r="H9500" t="s">
        <v>32683</v>
      </c>
      <c r="I9500" t="s">
        <v>10627</v>
      </c>
      <c r="J9500" t="s">
        <v>32865</v>
      </c>
      <c r="K9500" t="s">
        <v>42318</v>
      </c>
      <c r="M9500" t="s">
        <v>45516</v>
      </c>
      <c r="N9500" t="s">
        <v>46569</v>
      </c>
      <c r="O9500" t="s">
        <v>46570</v>
      </c>
      <c r="P9500">
        <v>0</v>
      </c>
      <c r="Q9500">
        <v>0</v>
      </c>
      <c r="R9500" t="s">
        <v>46577</v>
      </c>
      <c r="S9500" t="s">
        <v>46808</v>
      </c>
      <c r="T9500" t="s">
        <v>48573</v>
      </c>
      <c r="U9500" t="s">
        <v>56399</v>
      </c>
      <c r="W9500" t="s">
        <v>45631</v>
      </c>
      <c r="X9500" t="s">
        <v>46578</v>
      </c>
    </row>
    <row r="9501" spans="1:24">
      <c r="A9501">
        <f>HYPERLINK("https://www.philgeps.gov.ph/GEPSNONPILOT/Tender/SplashBidNoticeAbstractUI.aspx?menuIndex=3&amp;refID=7053812&amp;Result=3","7053812")</f>
        <v>0</v>
      </c>
      <c r="B9501" t="s">
        <v>1487</v>
      </c>
      <c r="C9501" t="s">
        <v>12540</v>
      </c>
      <c r="D9501" t="s">
        <v>18819</v>
      </c>
      <c r="E9501" t="s">
        <v>27131</v>
      </c>
      <c r="F9501" t="s">
        <v>32664</v>
      </c>
      <c r="G9501" t="s">
        <v>32672</v>
      </c>
      <c r="H9501" t="s">
        <v>12635</v>
      </c>
      <c r="I9501" t="s">
        <v>8730</v>
      </c>
      <c r="J9501" t="s">
        <v>38543</v>
      </c>
      <c r="K9501" t="s">
        <v>42330</v>
      </c>
      <c r="M9501" t="s">
        <v>44151</v>
      </c>
      <c r="N9501" t="s">
        <v>46569</v>
      </c>
      <c r="O9501" t="s">
        <v>46570</v>
      </c>
      <c r="P9501">
        <v>0</v>
      </c>
      <c r="Q9501">
        <v>2</v>
      </c>
      <c r="R9501" t="s">
        <v>46577</v>
      </c>
      <c r="S9501" t="s">
        <v>46808</v>
      </c>
      <c r="T9501" t="s">
        <v>48274</v>
      </c>
      <c r="U9501" t="s">
        <v>56461</v>
      </c>
      <c r="W9501" t="s">
        <v>44151</v>
      </c>
      <c r="X9501" t="s">
        <v>46578</v>
      </c>
    </row>
    <row r="9502" spans="1:24">
      <c r="A9502">
        <f>HYPERLINK("https://www.philgeps.gov.ph/GEPSNONPILOT/Tender/SplashBidNoticeAbstractUI.aspx?menuIndex=3&amp;refID=7053822&amp;Result=3","7053822")</f>
        <v>0</v>
      </c>
      <c r="B9502" t="s">
        <v>2713</v>
      </c>
      <c r="C9502" t="s">
        <v>12541</v>
      </c>
      <c r="D9502" t="s">
        <v>18816</v>
      </c>
      <c r="E9502" t="s">
        <v>27132</v>
      </c>
      <c r="F9502" t="s">
        <v>32664</v>
      </c>
      <c r="G9502" t="s">
        <v>32672</v>
      </c>
      <c r="H9502" t="s">
        <v>32683</v>
      </c>
      <c r="I9502" t="s">
        <v>10627</v>
      </c>
      <c r="J9502" t="s">
        <v>33009</v>
      </c>
      <c r="K9502" t="s">
        <v>42290</v>
      </c>
      <c r="M9502" t="s">
        <v>45539</v>
      </c>
      <c r="N9502" t="s">
        <v>46569</v>
      </c>
      <c r="O9502" t="s">
        <v>46570</v>
      </c>
      <c r="P9502">
        <v>0</v>
      </c>
      <c r="Q9502">
        <v>0</v>
      </c>
      <c r="R9502" t="s">
        <v>46577</v>
      </c>
      <c r="S9502" t="s">
        <v>46808</v>
      </c>
      <c r="T9502" t="s">
        <v>48625</v>
      </c>
      <c r="U9502" t="s">
        <v>56462</v>
      </c>
      <c r="W9502" t="s">
        <v>45539</v>
      </c>
      <c r="X9502" t="s">
        <v>46578</v>
      </c>
    </row>
    <row r="9503" spans="1:24">
      <c r="A9503">
        <f>HYPERLINK("https://www.philgeps.gov.ph/GEPSNONPILOT/Tender/SplashBidNoticeAbstractUI.aspx?menuIndex=3&amp;refID=7053807&amp;Result=3","7053807")</f>
        <v>0</v>
      </c>
      <c r="B9503" t="s">
        <v>1487</v>
      </c>
      <c r="C9503" t="s">
        <v>12542</v>
      </c>
      <c r="D9503" t="s">
        <v>18819</v>
      </c>
      <c r="E9503" t="s">
        <v>27133</v>
      </c>
      <c r="F9503" t="s">
        <v>32664</v>
      </c>
      <c r="G9503" t="s">
        <v>32672</v>
      </c>
      <c r="H9503" t="s">
        <v>12635</v>
      </c>
      <c r="I9503" t="s">
        <v>8730</v>
      </c>
      <c r="J9503" t="s">
        <v>38544</v>
      </c>
      <c r="K9503" t="s">
        <v>42330</v>
      </c>
      <c r="M9503" t="s">
        <v>44151</v>
      </c>
      <c r="N9503" t="s">
        <v>46569</v>
      </c>
      <c r="O9503" t="s">
        <v>46570</v>
      </c>
      <c r="P9503">
        <v>0</v>
      </c>
      <c r="Q9503">
        <v>4</v>
      </c>
      <c r="R9503" t="s">
        <v>46577</v>
      </c>
      <c r="S9503" t="s">
        <v>46808</v>
      </c>
      <c r="T9503" t="s">
        <v>48274</v>
      </c>
      <c r="U9503" t="s">
        <v>56463</v>
      </c>
      <c r="W9503" t="s">
        <v>44151</v>
      </c>
      <c r="X9503" t="s">
        <v>46578</v>
      </c>
    </row>
    <row r="9504" spans="1:24">
      <c r="A9504">
        <f>HYPERLINK("https://www.philgeps.gov.ph/GEPSNONPILOT/Tender/SplashBidNoticeAbstractUI.aspx?menuIndex=3&amp;refID=7053819&amp;Result=3","7053819")</f>
        <v>0</v>
      </c>
      <c r="B9504" t="s">
        <v>160</v>
      </c>
      <c r="C9504" t="s">
        <v>12543</v>
      </c>
      <c r="D9504" t="s">
        <v>18806</v>
      </c>
      <c r="E9504" t="s">
        <v>27134</v>
      </c>
      <c r="F9504" t="s">
        <v>32664</v>
      </c>
      <c r="G9504" t="s">
        <v>32672</v>
      </c>
      <c r="H9504" t="s">
        <v>12635</v>
      </c>
      <c r="I9504" t="s">
        <v>4439</v>
      </c>
      <c r="J9504" t="s">
        <v>38545</v>
      </c>
      <c r="K9504" t="s">
        <v>42281</v>
      </c>
      <c r="M9504" t="s">
        <v>42724</v>
      </c>
      <c r="N9504" t="s">
        <v>46569</v>
      </c>
      <c r="O9504" t="s">
        <v>46570</v>
      </c>
      <c r="P9504">
        <v>0</v>
      </c>
      <c r="Q9504">
        <v>1</v>
      </c>
      <c r="R9504" t="s">
        <v>46577</v>
      </c>
      <c r="S9504" t="s">
        <v>46808</v>
      </c>
      <c r="T9504" t="s">
        <v>48282</v>
      </c>
      <c r="U9504" t="s">
        <v>56464</v>
      </c>
      <c r="W9504" t="s">
        <v>42724</v>
      </c>
      <c r="X9504" t="s">
        <v>46578</v>
      </c>
    </row>
    <row r="9505" spans="1:24">
      <c r="A9505">
        <f>HYPERLINK("https://www.philgeps.gov.ph/GEPSNONPILOT/Tender/SplashBidNoticeAbstractUI.aspx?menuIndex=3&amp;refID=7053806&amp;Result=3","7053806")</f>
        <v>0</v>
      </c>
      <c r="B9505" t="s">
        <v>2713</v>
      </c>
      <c r="C9505" t="s">
        <v>12544</v>
      </c>
      <c r="D9505" t="s">
        <v>18816</v>
      </c>
      <c r="E9505" t="s">
        <v>27135</v>
      </c>
      <c r="F9505" t="s">
        <v>32664</v>
      </c>
      <c r="G9505" t="s">
        <v>32672</v>
      </c>
      <c r="H9505" t="s">
        <v>32683</v>
      </c>
      <c r="I9505" t="s">
        <v>10627</v>
      </c>
      <c r="J9505" t="s">
        <v>32962</v>
      </c>
      <c r="K9505" t="s">
        <v>42298</v>
      </c>
      <c r="M9505" t="s">
        <v>45539</v>
      </c>
      <c r="N9505" t="s">
        <v>46569</v>
      </c>
      <c r="O9505" t="s">
        <v>46570</v>
      </c>
      <c r="P9505">
        <v>0</v>
      </c>
      <c r="Q9505">
        <v>0</v>
      </c>
      <c r="R9505" t="s">
        <v>46577</v>
      </c>
      <c r="S9505" t="s">
        <v>46808</v>
      </c>
      <c r="T9505" t="s">
        <v>48621</v>
      </c>
      <c r="U9505" t="s">
        <v>56465</v>
      </c>
      <c r="W9505" t="s">
        <v>45539</v>
      </c>
      <c r="X9505" t="s">
        <v>46578</v>
      </c>
    </row>
    <row r="9506" spans="1:24">
      <c r="A9506">
        <f>HYPERLINK("https://www.philgeps.gov.ph/GEPSNONPILOT/Tender/SplashBidNoticeAbstractUI.aspx?menuIndex=3&amp;refID=7053881&amp;Result=3","7053881")</f>
        <v>0</v>
      </c>
      <c r="B9506" t="s">
        <v>2645</v>
      </c>
      <c r="C9506" t="s">
        <v>12545</v>
      </c>
      <c r="D9506" t="s">
        <v>18856</v>
      </c>
      <c r="E9506" t="s">
        <v>27136</v>
      </c>
      <c r="F9506" t="s">
        <v>32664</v>
      </c>
      <c r="G9506" t="s">
        <v>32675</v>
      </c>
      <c r="H9506" t="s">
        <v>12635</v>
      </c>
      <c r="I9506" t="s">
        <v>6223</v>
      </c>
      <c r="J9506" t="s">
        <v>33334</v>
      </c>
      <c r="K9506" t="s">
        <v>42281</v>
      </c>
      <c r="M9506" t="s">
        <v>45466</v>
      </c>
      <c r="N9506" t="s">
        <v>46569</v>
      </c>
      <c r="O9506" t="s">
        <v>46570</v>
      </c>
      <c r="P9506">
        <v>0</v>
      </c>
      <c r="Q9506">
        <v>3</v>
      </c>
      <c r="R9506" t="s">
        <v>46577</v>
      </c>
      <c r="S9506" t="s">
        <v>46808</v>
      </c>
      <c r="T9506" t="s">
        <v>48256</v>
      </c>
      <c r="U9506" t="s">
        <v>56466</v>
      </c>
      <c r="V9506" t="s">
        <v>62606</v>
      </c>
      <c r="W9506" t="s">
        <v>45466</v>
      </c>
      <c r="X9506" t="s">
        <v>46578</v>
      </c>
    </row>
    <row r="9507" spans="1:24">
      <c r="A9507">
        <f>HYPERLINK("https://www.philgeps.gov.ph/GEPSNONPILOT/Tender/SplashBidNoticeAbstractUI.aspx?menuIndex=3&amp;refID=7053880&amp;Result=3","7053880")</f>
        <v>0</v>
      </c>
      <c r="B9507" t="s">
        <v>2714</v>
      </c>
      <c r="C9507" t="s">
        <v>12546</v>
      </c>
      <c r="D9507" t="s">
        <v>18804</v>
      </c>
      <c r="E9507" t="s">
        <v>27137</v>
      </c>
      <c r="F9507" t="s">
        <v>32664</v>
      </c>
      <c r="G9507" t="s">
        <v>32676</v>
      </c>
      <c r="H9507" t="s">
        <v>12635</v>
      </c>
      <c r="I9507" t="s">
        <v>4439</v>
      </c>
      <c r="J9507" t="s">
        <v>33831</v>
      </c>
      <c r="K9507" t="s">
        <v>42297</v>
      </c>
      <c r="M9507" t="s">
        <v>45540</v>
      </c>
      <c r="N9507" t="s">
        <v>46569</v>
      </c>
      <c r="O9507" t="s">
        <v>46570</v>
      </c>
      <c r="P9507">
        <v>0</v>
      </c>
      <c r="Q9507">
        <v>0</v>
      </c>
      <c r="R9507" t="s">
        <v>46577</v>
      </c>
      <c r="S9507" t="s">
        <v>46808</v>
      </c>
      <c r="T9507" t="s">
        <v>48290</v>
      </c>
      <c r="U9507" t="s">
        <v>56467</v>
      </c>
      <c r="W9507" t="s">
        <v>45540</v>
      </c>
      <c r="X9507" t="s">
        <v>46578</v>
      </c>
    </row>
    <row r="9508" spans="1:24">
      <c r="A9508">
        <f>HYPERLINK("https://www.philgeps.gov.ph/GEPSNONPILOT/Tender/SplashBidNoticeAbstractUI.aspx?menuIndex=3&amp;refID=7053808&amp;Result=3","7053808")</f>
        <v>0</v>
      </c>
      <c r="B9508" t="s">
        <v>2709</v>
      </c>
      <c r="C9508" t="s">
        <v>12547</v>
      </c>
      <c r="D9508" t="s">
        <v>18792</v>
      </c>
      <c r="E9508" t="s">
        <v>19218</v>
      </c>
      <c r="F9508" t="s">
        <v>32664</v>
      </c>
      <c r="G9508" t="s">
        <v>32671</v>
      </c>
      <c r="H9508" t="s">
        <v>12635</v>
      </c>
      <c r="I9508" t="s">
        <v>6628</v>
      </c>
      <c r="J9508" t="s">
        <v>38546</v>
      </c>
      <c r="K9508" t="s">
        <v>42289</v>
      </c>
      <c r="M9508" t="s">
        <v>45535</v>
      </c>
      <c r="N9508" t="s">
        <v>46569</v>
      </c>
      <c r="O9508" t="s">
        <v>46570</v>
      </c>
      <c r="P9508">
        <v>0</v>
      </c>
      <c r="Q9508">
        <v>1</v>
      </c>
      <c r="R9508" t="s">
        <v>46577</v>
      </c>
      <c r="S9508" t="s">
        <v>46808</v>
      </c>
      <c r="T9508" t="s">
        <v>48307</v>
      </c>
      <c r="U9508" t="s">
        <v>56468</v>
      </c>
      <c r="W9508" t="s">
        <v>45535</v>
      </c>
      <c r="X9508" t="s">
        <v>46578</v>
      </c>
    </row>
    <row r="9509" spans="1:24">
      <c r="A9509">
        <f>HYPERLINK("https://www.philgeps.gov.ph/GEPSNONPILOT/Tender/SplashBidNoticeAbstractUI.aspx?menuIndex=3&amp;refID=7053877&amp;Result=3","7053877")</f>
        <v>0</v>
      </c>
      <c r="B9509" t="s">
        <v>179</v>
      </c>
      <c r="C9509" t="s">
        <v>12548</v>
      </c>
      <c r="D9509" t="s">
        <v>18830</v>
      </c>
      <c r="E9509" t="s">
        <v>27138</v>
      </c>
      <c r="F9509" t="s">
        <v>32664</v>
      </c>
      <c r="G9509" t="s">
        <v>32671</v>
      </c>
      <c r="H9509" t="s">
        <v>32683</v>
      </c>
      <c r="I9509" t="s">
        <v>10627</v>
      </c>
      <c r="J9509" t="s">
        <v>32865</v>
      </c>
      <c r="K9509" t="s">
        <v>42427</v>
      </c>
      <c r="M9509" t="s">
        <v>45516</v>
      </c>
      <c r="N9509" t="s">
        <v>46569</v>
      </c>
      <c r="O9509" t="s">
        <v>46570</v>
      </c>
      <c r="P9509">
        <v>0</v>
      </c>
      <c r="Q9509">
        <v>1</v>
      </c>
      <c r="R9509" t="s">
        <v>46577</v>
      </c>
      <c r="S9509" t="s">
        <v>46808</v>
      </c>
      <c r="T9509" t="s">
        <v>48573</v>
      </c>
      <c r="U9509" t="s">
        <v>56399</v>
      </c>
      <c r="W9509" t="s">
        <v>45631</v>
      </c>
      <c r="X9509" t="s">
        <v>46578</v>
      </c>
    </row>
    <row r="9510" spans="1:24">
      <c r="A9510">
        <f>HYPERLINK("https://www.philgeps.gov.ph/GEPSNONPILOT/Tender/SplashBidNoticeAbstractUI.aspx?menuIndex=3&amp;refID=7053885&amp;Result=3","7053885")</f>
        <v>0</v>
      </c>
      <c r="B9510" t="s">
        <v>2689</v>
      </c>
      <c r="C9510" t="s">
        <v>12549</v>
      </c>
      <c r="D9510" t="s">
        <v>18805</v>
      </c>
      <c r="E9510" t="s">
        <v>27139</v>
      </c>
      <c r="F9510" t="s">
        <v>32664</v>
      </c>
      <c r="G9510" t="s">
        <v>32672</v>
      </c>
      <c r="H9510" t="s">
        <v>12635</v>
      </c>
      <c r="I9510" t="s">
        <v>32692</v>
      </c>
      <c r="J9510" t="s">
        <v>34207</v>
      </c>
      <c r="K9510" t="s">
        <v>42284</v>
      </c>
      <c r="L9510" t="s">
        <v>2689</v>
      </c>
      <c r="M9510" t="s">
        <v>45514</v>
      </c>
      <c r="N9510" t="s">
        <v>46569</v>
      </c>
      <c r="O9510" t="s">
        <v>46570</v>
      </c>
      <c r="P9510">
        <v>0</v>
      </c>
      <c r="Q9510">
        <v>0</v>
      </c>
      <c r="R9510" t="s">
        <v>46577</v>
      </c>
      <c r="S9510" t="s">
        <v>46808</v>
      </c>
      <c r="T9510" t="s">
        <v>48328</v>
      </c>
      <c r="U9510" t="s">
        <v>56451</v>
      </c>
      <c r="V9510" t="s">
        <v>62601</v>
      </c>
      <c r="W9510" t="s">
        <v>45514</v>
      </c>
      <c r="X9510" t="s">
        <v>46578</v>
      </c>
    </row>
    <row r="9511" spans="1:24">
      <c r="A9511">
        <f>HYPERLINK("https://www.philgeps.gov.ph/GEPSNONPILOT/Tender/SplashBidNoticeAbstractUI.aspx?menuIndex=3&amp;refID=7053876&amp;Result=3","7053876")</f>
        <v>0</v>
      </c>
      <c r="B9511" t="s">
        <v>1709</v>
      </c>
      <c r="C9511" t="s">
        <v>12550</v>
      </c>
      <c r="D9511" t="s">
        <v>18834</v>
      </c>
      <c r="E9511" t="s">
        <v>27140</v>
      </c>
      <c r="F9511" t="s">
        <v>32668</v>
      </c>
      <c r="G9511" t="s">
        <v>32671</v>
      </c>
      <c r="H9511" t="s">
        <v>12635</v>
      </c>
      <c r="I9511" t="s">
        <v>7429</v>
      </c>
      <c r="J9511" t="s">
        <v>38547</v>
      </c>
      <c r="K9511" t="s">
        <v>42289</v>
      </c>
      <c r="M9511" t="s">
        <v>44745</v>
      </c>
      <c r="N9511" t="s">
        <v>46569</v>
      </c>
      <c r="O9511" t="s">
        <v>46570</v>
      </c>
      <c r="P9511">
        <v>0</v>
      </c>
      <c r="Q9511">
        <v>9</v>
      </c>
      <c r="R9511" t="s">
        <v>46577</v>
      </c>
      <c r="S9511" t="s">
        <v>46808</v>
      </c>
      <c r="T9511" t="s">
        <v>48254</v>
      </c>
      <c r="U9511" t="s">
        <v>56469</v>
      </c>
      <c r="W9511" t="s">
        <v>44745</v>
      </c>
      <c r="X9511" t="s">
        <v>46578</v>
      </c>
    </row>
    <row r="9512" spans="1:24">
      <c r="A9512">
        <f>HYPERLINK("https://www.philgeps.gov.ph/GEPSNONPILOT/Tender/SplashBidNoticeAbstractUI.aspx?menuIndex=3&amp;refID=7053871&amp;Result=3","7053871")</f>
        <v>0</v>
      </c>
      <c r="B9512" t="s">
        <v>179</v>
      </c>
      <c r="C9512" t="s">
        <v>12551</v>
      </c>
      <c r="D9512" t="s">
        <v>18830</v>
      </c>
      <c r="E9512" t="s">
        <v>27141</v>
      </c>
      <c r="F9512" t="s">
        <v>32664</v>
      </c>
      <c r="G9512" t="s">
        <v>32671</v>
      </c>
      <c r="H9512" t="s">
        <v>32683</v>
      </c>
      <c r="I9512" t="s">
        <v>10627</v>
      </c>
      <c r="J9512" t="s">
        <v>32865</v>
      </c>
      <c r="K9512" t="s">
        <v>42430</v>
      </c>
      <c r="M9512" t="s">
        <v>45516</v>
      </c>
      <c r="N9512" t="s">
        <v>46569</v>
      </c>
      <c r="O9512" t="s">
        <v>46570</v>
      </c>
      <c r="P9512">
        <v>0</v>
      </c>
      <c r="Q9512">
        <v>0</v>
      </c>
      <c r="R9512" t="s">
        <v>46577</v>
      </c>
      <c r="S9512" t="s">
        <v>46808</v>
      </c>
      <c r="T9512" t="s">
        <v>48573</v>
      </c>
      <c r="U9512" t="s">
        <v>56399</v>
      </c>
      <c r="W9512" t="s">
        <v>45631</v>
      </c>
      <c r="X9512" t="s">
        <v>46578</v>
      </c>
    </row>
    <row r="9513" spans="1:24">
      <c r="A9513">
        <f>HYPERLINK("https://www.philgeps.gov.ph/GEPSNONPILOT/Tender/SplashBidNoticeAbstractUI.aspx?menuIndex=3&amp;refID=7053863&amp;Result=3","7053863")</f>
        <v>0</v>
      </c>
      <c r="B9513" t="s">
        <v>2689</v>
      </c>
      <c r="C9513" t="s">
        <v>12552</v>
      </c>
      <c r="D9513" t="s">
        <v>18805</v>
      </c>
      <c r="E9513" t="s">
        <v>19644</v>
      </c>
      <c r="F9513" t="s">
        <v>32664</v>
      </c>
      <c r="G9513" t="s">
        <v>32672</v>
      </c>
      <c r="H9513" t="s">
        <v>12635</v>
      </c>
      <c r="I9513" t="s">
        <v>8849</v>
      </c>
      <c r="J9513" t="s">
        <v>35542</v>
      </c>
      <c r="K9513" t="s">
        <v>42284</v>
      </c>
      <c r="L9513" t="s">
        <v>2689</v>
      </c>
      <c r="M9513" t="s">
        <v>45514</v>
      </c>
      <c r="N9513" t="s">
        <v>46569</v>
      </c>
      <c r="O9513" t="s">
        <v>46570</v>
      </c>
      <c r="P9513">
        <v>0</v>
      </c>
      <c r="Q9513">
        <v>2</v>
      </c>
      <c r="R9513" t="s">
        <v>46577</v>
      </c>
      <c r="S9513" t="s">
        <v>46808</v>
      </c>
      <c r="T9513" t="s">
        <v>48328</v>
      </c>
      <c r="U9513" t="s">
        <v>56451</v>
      </c>
      <c r="V9513" t="s">
        <v>62601</v>
      </c>
      <c r="W9513" t="s">
        <v>45514</v>
      </c>
      <c r="X9513" t="s">
        <v>46578</v>
      </c>
    </row>
    <row r="9514" spans="1:24">
      <c r="A9514">
        <f>HYPERLINK("https://www.philgeps.gov.ph/GEPSNONPILOT/Tender/SplashBidNoticeAbstractUI.aspx?menuIndex=3&amp;refID=7053862&amp;Result=3","7053862")</f>
        <v>0</v>
      </c>
      <c r="B9514" t="s">
        <v>1397</v>
      </c>
      <c r="C9514" t="s">
        <v>7627</v>
      </c>
      <c r="D9514" t="s">
        <v>18803</v>
      </c>
      <c r="E9514" t="s">
        <v>27142</v>
      </c>
      <c r="F9514" t="s">
        <v>32664</v>
      </c>
      <c r="G9514" t="s">
        <v>32678</v>
      </c>
      <c r="H9514" t="s">
        <v>32681</v>
      </c>
      <c r="I9514" t="s">
        <v>32681</v>
      </c>
      <c r="J9514" t="s">
        <v>35600</v>
      </c>
      <c r="K9514" t="s">
        <v>42377</v>
      </c>
      <c r="M9514" t="s">
        <v>44054</v>
      </c>
      <c r="N9514" t="s">
        <v>46569</v>
      </c>
      <c r="O9514" t="s">
        <v>46570</v>
      </c>
      <c r="P9514">
        <v>0</v>
      </c>
      <c r="Q9514">
        <v>0</v>
      </c>
      <c r="R9514" t="s">
        <v>46577</v>
      </c>
      <c r="S9514" t="s">
        <v>46808</v>
      </c>
      <c r="T9514" t="s">
        <v>48492</v>
      </c>
      <c r="U9514" t="s">
        <v>52291</v>
      </c>
      <c r="W9514" t="s">
        <v>44054</v>
      </c>
      <c r="X9514" t="s">
        <v>46578</v>
      </c>
    </row>
    <row r="9515" spans="1:24">
      <c r="A9515">
        <f>HYPERLINK("https://www.philgeps.gov.ph/GEPSNONPILOT/Tender/SplashBidNoticeAbstractUI.aspx?menuIndex=3&amp;refID=7053878&amp;Result=3","7053878")</f>
        <v>0</v>
      </c>
      <c r="B9515" t="s">
        <v>1939</v>
      </c>
      <c r="C9515" t="s">
        <v>12553</v>
      </c>
      <c r="D9515" t="s">
        <v>18782</v>
      </c>
      <c r="E9515" t="s">
        <v>27143</v>
      </c>
      <c r="F9515" t="s">
        <v>32664</v>
      </c>
      <c r="G9515" t="s">
        <v>32671</v>
      </c>
      <c r="H9515" t="s">
        <v>32683</v>
      </c>
      <c r="I9515" t="s">
        <v>10627</v>
      </c>
      <c r="J9515" t="s">
        <v>38548</v>
      </c>
      <c r="K9515" t="s">
        <v>42284</v>
      </c>
      <c r="L9515" t="s">
        <v>1939</v>
      </c>
      <c r="M9515" t="s">
        <v>44664</v>
      </c>
      <c r="N9515" t="s">
        <v>46569</v>
      </c>
      <c r="O9515" t="s">
        <v>46570</v>
      </c>
      <c r="P9515">
        <v>0</v>
      </c>
      <c r="Q9515">
        <v>0</v>
      </c>
      <c r="R9515" t="s">
        <v>46577</v>
      </c>
      <c r="S9515" t="s">
        <v>46808</v>
      </c>
      <c r="T9515" t="s">
        <v>48307</v>
      </c>
      <c r="U9515" t="s">
        <v>56470</v>
      </c>
      <c r="W9515" t="s">
        <v>44664</v>
      </c>
      <c r="X9515" t="s">
        <v>46578</v>
      </c>
    </row>
    <row r="9516" spans="1:24">
      <c r="A9516">
        <f>HYPERLINK("https://www.philgeps.gov.ph/GEPSNONPILOT/Tender/SplashBidNoticeAbstractUI.aspx?menuIndex=3&amp;refID=7053857&amp;Result=3","7053857")</f>
        <v>0</v>
      </c>
      <c r="B9516" t="s">
        <v>1939</v>
      </c>
      <c r="C9516" t="s">
        <v>12554</v>
      </c>
      <c r="D9516" t="s">
        <v>18782</v>
      </c>
      <c r="E9516" t="s">
        <v>27144</v>
      </c>
      <c r="F9516" t="s">
        <v>32664</v>
      </c>
      <c r="G9516" t="s">
        <v>32671</v>
      </c>
      <c r="H9516" t="s">
        <v>32683</v>
      </c>
      <c r="I9516" t="s">
        <v>10627</v>
      </c>
      <c r="J9516" t="s">
        <v>38549</v>
      </c>
      <c r="K9516" t="s">
        <v>42284</v>
      </c>
      <c r="L9516" t="s">
        <v>1939</v>
      </c>
      <c r="M9516" t="s">
        <v>44664</v>
      </c>
      <c r="N9516" t="s">
        <v>46569</v>
      </c>
      <c r="O9516" t="s">
        <v>46570</v>
      </c>
      <c r="P9516">
        <v>0</v>
      </c>
      <c r="Q9516">
        <v>0</v>
      </c>
      <c r="R9516" t="s">
        <v>46577</v>
      </c>
      <c r="S9516" t="s">
        <v>46808</v>
      </c>
      <c r="T9516" t="s">
        <v>48307</v>
      </c>
      <c r="U9516" t="s">
        <v>56471</v>
      </c>
      <c r="W9516" t="s">
        <v>44664</v>
      </c>
      <c r="X9516" t="s">
        <v>46578</v>
      </c>
    </row>
    <row r="9517" spans="1:24">
      <c r="A9517">
        <f>HYPERLINK("https://www.philgeps.gov.ph/GEPSNONPILOT/Tender/SplashBidNoticeAbstractUI.aspx?menuIndex=3&amp;refID=7053815&amp;Result=3","7053815")</f>
        <v>0</v>
      </c>
      <c r="B9517" t="s">
        <v>2645</v>
      </c>
      <c r="C9517" t="s">
        <v>12555</v>
      </c>
      <c r="D9517" t="s">
        <v>18810</v>
      </c>
      <c r="E9517" t="s">
        <v>27145</v>
      </c>
      <c r="F9517" t="s">
        <v>32664</v>
      </c>
      <c r="G9517" t="s">
        <v>32675</v>
      </c>
      <c r="H9517" t="s">
        <v>12635</v>
      </c>
      <c r="I9517" t="s">
        <v>6223</v>
      </c>
      <c r="J9517" t="s">
        <v>38550</v>
      </c>
      <c r="K9517" t="s">
        <v>42281</v>
      </c>
      <c r="M9517" t="s">
        <v>45466</v>
      </c>
      <c r="N9517" t="s">
        <v>46569</v>
      </c>
      <c r="O9517" t="s">
        <v>46570</v>
      </c>
      <c r="P9517">
        <v>0</v>
      </c>
      <c r="Q9517">
        <v>2</v>
      </c>
      <c r="R9517" t="s">
        <v>46577</v>
      </c>
      <c r="S9517" t="s">
        <v>46808</v>
      </c>
      <c r="T9517" t="s">
        <v>48256</v>
      </c>
      <c r="U9517" t="s">
        <v>56472</v>
      </c>
      <c r="V9517" t="s">
        <v>62607</v>
      </c>
      <c r="W9517" t="s">
        <v>45466</v>
      </c>
      <c r="X9517" t="s">
        <v>46578</v>
      </c>
    </row>
    <row r="9518" spans="1:24">
      <c r="A9518">
        <f>HYPERLINK("https://www.philgeps.gov.ph/GEPSNONPILOT/Tender/SplashBidNoticeAbstractUI.aspx?menuIndex=3&amp;refID=7053856&amp;Result=3","7053856")</f>
        <v>0</v>
      </c>
      <c r="B9518" t="s">
        <v>1863</v>
      </c>
      <c r="C9518" t="s">
        <v>5191</v>
      </c>
      <c r="D9518" t="s">
        <v>18783</v>
      </c>
      <c r="E9518" t="s">
        <v>27146</v>
      </c>
      <c r="F9518" t="s">
        <v>32664</v>
      </c>
      <c r="G9518" t="s">
        <v>32672</v>
      </c>
      <c r="H9518" t="s">
        <v>12635</v>
      </c>
      <c r="I9518" t="s">
        <v>6168</v>
      </c>
      <c r="J9518" t="s">
        <v>38551</v>
      </c>
      <c r="K9518" t="s">
        <v>42378</v>
      </c>
      <c r="M9518" t="s">
        <v>44576</v>
      </c>
      <c r="N9518" t="s">
        <v>46569</v>
      </c>
      <c r="O9518" t="s">
        <v>46570</v>
      </c>
      <c r="P9518">
        <v>0</v>
      </c>
      <c r="Q9518">
        <v>2</v>
      </c>
      <c r="R9518" t="s">
        <v>46577</v>
      </c>
      <c r="S9518" t="s">
        <v>46808</v>
      </c>
      <c r="T9518" t="s">
        <v>48307</v>
      </c>
      <c r="U9518" t="s">
        <v>56473</v>
      </c>
      <c r="V9518" t="s">
        <v>62608</v>
      </c>
      <c r="W9518" t="s">
        <v>44576</v>
      </c>
      <c r="X9518" t="s">
        <v>46578</v>
      </c>
    </row>
    <row r="9519" spans="1:24">
      <c r="A9519">
        <f>HYPERLINK("https://www.philgeps.gov.ph/GEPSNONPILOT/Tender/SplashBidNoticeAbstractUI.aspx?menuIndex=3&amp;refID=7053851&amp;Result=3","7053851")</f>
        <v>0</v>
      </c>
      <c r="B9519" t="s">
        <v>2634</v>
      </c>
      <c r="C9519" t="s">
        <v>12556</v>
      </c>
      <c r="D9519" t="s">
        <v>18798</v>
      </c>
      <c r="E9519" t="s">
        <v>27147</v>
      </c>
      <c r="F9519" t="s">
        <v>32664</v>
      </c>
      <c r="G9519" t="s">
        <v>32671</v>
      </c>
      <c r="H9519" t="s">
        <v>32682</v>
      </c>
      <c r="I9519" t="s">
        <v>32717</v>
      </c>
      <c r="J9519" t="s">
        <v>33299</v>
      </c>
      <c r="K9519" t="s">
        <v>42303</v>
      </c>
      <c r="M9519" t="s">
        <v>45454</v>
      </c>
      <c r="N9519" t="s">
        <v>46569</v>
      </c>
      <c r="O9519" t="s">
        <v>46570</v>
      </c>
      <c r="P9519">
        <v>0</v>
      </c>
      <c r="Q9519">
        <v>4</v>
      </c>
      <c r="R9519" t="s">
        <v>46577</v>
      </c>
      <c r="S9519" t="s">
        <v>46808</v>
      </c>
      <c r="T9519" t="s">
        <v>48473</v>
      </c>
      <c r="U9519" t="s">
        <v>56216</v>
      </c>
      <c r="V9519" t="s">
        <v>62609</v>
      </c>
      <c r="W9519" t="s">
        <v>45454</v>
      </c>
      <c r="X9519" t="s">
        <v>46578</v>
      </c>
    </row>
    <row r="9520" spans="1:24">
      <c r="A9520">
        <f>HYPERLINK("https://www.philgeps.gov.ph/GEPSNONPILOT/Tender/SplashBidNoticeAbstractUI.aspx?menuIndex=3&amp;refID=7053843&amp;Result=3","7053843")</f>
        <v>0</v>
      </c>
      <c r="B9520" t="s">
        <v>1666</v>
      </c>
      <c r="C9520" t="s">
        <v>12557</v>
      </c>
      <c r="D9520" t="s">
        <v>18841</v>
      </c>
      <c r="E9520" t="s">
        <v>27148</v>
      </c>
      <c r="F9520" t="s">
        <v>32664</v>
      </c>
      <c r="G9520" t="s">
        <v>32672</v>
      </c>
      <c r="H9520" t="s">
        <v>32683</v>
      </c>
      <c r="I9520" t="s">
        <v>10627</v>
      </c>
      <c r="J9520" t="s">
        <v>35044</v>
      </c>
      <c r="K9520" t="s">
        <v>42301</v>
      </c>
      <c r="M9520" t="s">
        <v>44352</v>
      </c>
      <c r="N9520" t="s">
        <v>46569</v>
      </c>
      <c r="O9520" t="s">
        <v>46570</v>
      </c>
      <c r="P9520">
        <v>0</v>
      </c>
      <c r="Q9520">
        <v>1</v>
      </c>
      <c r="R9520" t="s">
        <v>46577</v>
      </c>
      <c r="S9520" t="s">
        <v>46808</v>
      </c>
      <c r="T9520" t="s">
        <v>48468</v>
      </c>
      <c r="U9520" t="s">
        <v>56474</v>
      </c>
      <c r="W9520" t="s">
        <v>44352</v>
      </c>
      <c r="X9520" t="s">
        <v>46578</v>
      </c>
    </row>
    <row r="9521" spans="1:24">
      <c r="A9521">
        <f>HYPERLINK("https://www.philgeps.gov.ph/GEPSNONPILOT/Tender/SplashBidNoticeAbstractUI.aspx?menuIndex=3&amp;refID=7053842&amp;Result=3","7053842")</f>
        <v>0</v>
      </c>
      <c r="B9521" t="s">
        <v>1487</v>
      </c>
      <c r="C9521" t="s">
        <v>12558</v>
      </c>
      <c r="D9521" t="s">
        <v>18819</v>
      </c>
      <c r="E9521" t="s">
        <v>27149</v>
      </c>
      <c r="F9521" t="s">
        <v>32664</v>
      </c>
      <c r="G9521" t="s">
        <v>32672</v>
      </c>
      <c r="H9521" t="s">
        <v>12635</v>
      </c>
      <c r="I9521" t="s">
        <v>8797</v>
      </c>
      <c r="J9521" t="s">
        <v>38552</v>
      </c>
      <c r="K9521" t="s">
        <v>42284</v>
      </c>
      <c r="M9521" t="s">
        <v>44151</v>
      </c>
      <c r="N9521" t="s">
        <v>46569</v>
      </c>
      <c r="O9521" t="s">
        <v>46570</v>
      </c>
      <c r="P9521">
        <v>0</v>
      </c>
      <c r="Q9521">
        <v>6</v>
      </c>
      <c r="R9521" t="s">
        <v>46577</v>
      </c>
      <c r="S9521" t="s">
        <v>46808</v>
      </c>
      <c r="T9521" t="s">
        <v>48274</v>
      </c>
      <c r="U9521" t="s">
        <v>56475</v>
      </c>
      <c r="W9521" t="s">
        <v>44151</v>
      </c>
      <c r="X9521" t="s">
        <v>46578</v>
      </c>
    </row>
    <row r="9522" spans="1:24">
      <c r="A9522">
        <f>HYPERLINK("https://www.philgeps.gov.ph/GEPSNONPILOT/Tender/SplashBidNoticeAbstractUI.aspx?menuIndex=3&amp;refID=7053841&amp;Result=3","7053841")</f>
        <v>0</v>
      </c>
      <c r="B9522" t="s">
        <v>2715</v>
      </c>
      <c r="C9522" t="s">
        <v>12559</v>
      </c>
      <c r="D9522" t="s">
        <v>18781</v>
      </c>
      <c r="E9522" t="s">
        <v>27150</v>
      </c>
      <c r="F9522" t="s">
        <v>32664</v>
      </c>
      <c r="G9522" t="s">
        <v>32672</v>
      </c>
      <c r="H9522" t="s">
        <v>32683</v>
      </c>
      <c r="I9522" t="s">
        <v>10627</v>
      </c>
      <c r="J9522" t="s">
        <v>38553</v>
      </c>
      <c r="K9522" t="s">
        <v>42290</v>
      </c>
      <c r="M9522" t="s">
        <v>45541</v>
      </c>
      <c r="N9522" t="s">
        <v>46569</v>
      </c>
      <c r="O9522" t="s">
        <v>46570</v>
      </c>
      <c r="P9522">
        <v>0</v>
      </c>
      <c r="Q9522">
        <v>1</v>
      </c>
      <c r="R9522" t="s">
        <v>46577</v>
      </c>
      <c r="S9522" t="s">
        <v>46808</v>
      </c>
      <c r="T9522" t="s">
        <v>48452</v>
      </c>
      <c r="U9522" t="s">
        <v>56476</v>
      </c>
      <c r="W9522" t="s">
        <v>45541</v>
      </c>
      <c r="X9522" t="s">
        <v>46578</v>
      </c>
    </row>
    <row r="9523" spans="1:24">
      <c r="A9523">
        <f>HYPERLINK("https://www.philgeps.gov.ph/GEPSNONPILOT/Tender/SplashBidNoticeAbstractUI.aspx?menuIndex=3&amp;refID=7053888&amp;Result=3","7053888")</f>
        <v>0</v>
      </c>
      <c r="B9523" t="s">
        <v>179</v>
      </c>
      <c r="C9523" t="s">
        <v>12560</v>
      </c>
      <c r="D9523" t="s">
        <v>18830</v>
      </c>
      <c r="E9523" t="s">
        <v>27151</v>
      </c>
      <c r="F9523" t="s">
        <v>32664</v>
      </c>
      <c r="G9523" t="s">
        <v>32671</v>
      </c>
      <c r="H9523" t="s">
        <v>32683</v>
      </c>
      <c r="I9523" t="s">
        <v>10627</v>
      </c>
      <c r="J9523" t="s">
        <v>32865</v>
      </c>
      <c r="K9523" t="s">
        <v>42359</v>
      </c>
      <c r="M9523" t="s">
        <v>45516</v>
      </c>
      <c r="N9523" t="s">
        <v>46569</v>
      </c>
      <c r="O9523" t="s">
        <v>46570</v>
      </c>
      <c r="P9523">
        <v>0</v>
      </c>
      <c r="Q9523">
        <v>0</v>
      </c>
      <c r="R9523" t="s">
        <v>46577</v>
      </c>
      <c r="S9523" t="s">
        <v>46808</v>
      </c>
      <c r="T9523" t="s">
        <v>48573</v>
      </c>
      <c r="U9523" t="s">
        <v>56399</v>
      </c>
      <c r="W9523" t="s">
        <v>45631</v>
      </c>
      <c r="X9523" t="s">
        <v>46578</v>
      </c>
    </row>
    <row r="9524" spans="1:24">
      <c r="A9524">
        <f>HYPERLINK("https://www.philgeps.gov.ph/GEPSNONPILOT/Tender/SplashBidNoticeAbstractUI.aspx?menuIndex=3&amp;refID=7053938&amp;Result=3","7053938")</f>
        <v>0</v>
      </c>
      <c r="B9524" t="s">
        <v>2689</v>
      </c>
      <c r="C9524" t="s">
        <v>12561</v>
      </c>
      <c r="D9524" t="s">
        <v>18805</v>
      </c>
      <c r="E9524" t="s">
        <v>27152</v>
      </c>
      <c r="F9524" t="s">
        <v>32664</v>
      </c>
      <c r="G9524" t="s">
        <v>32672</v>
      </c>
      <c r="H9524" t="s">
        <v>12635</v>
      </c>
      <c r="I9524" t="s">
        <v>5501</v>
      </c>
      <c r="J9524" t="s">
        <v>35629</v>
      </c>
      <c r="K9524" t="s">
        <v>42284</v>
      </c>
      <c r="L9524" t="s">
        <v>2689</v>
      </c>
      <c r="M9524" t="s">
        <v>45514</v>
      </c>
      <c r="N9524" t="s">
        <v>46569</v>
      </c>
      <c r="O9524" t="s">
        <v>46570</v>
      </c>
      <c r="P9524">
        <v>0</v>
      </c>
      <c r="Q9524">
        <v>2</v>
      </c>
      <c r="R9524" t="s">
        <v>46577</v>
      </c>
      <c r="S9524" t="s">
        <v>46808</v>
      </c>
      <c r="T9524" t="s">
        <v>48328</v>
      </c>
      <c r="U9524" t="s">
        <v>56451</v>
      </c>
      <c r="V9524" t="s">
        <v>62601</v>
      </c>
      <c r="W9524" t="s">
        <v>45514</v>
      </c>
      <c r="X9524" t="s">
        <v>46578</v>
      </c>
    </row>
    <row r="9525" spans="1:24">
      <c r="A9525">
        <f>HYPERLINK("https://www.philgeps.gov.ph/GEPSNONPILOT/Tender/SplashBidNoticeAbstractUI.aspx?menuIndex=3&amp;refID=7053936&amp;Result=3","7053936")</f>
        <v>0</v>
      </c>
      <c r="B9525" t="s">
        <v>2716</v>
      </c>
      <c r="C9525" t="s">
        <v>12562</v>
      </c>
      <c r="D9525" t="s">
        <v>18788</v>
      </c>
      <c r="E9525" t="s">
        <v>27153</v>
      </c>
      <c r="F9525" t="s">
        <v>32664</v>
      </c>
      <c r="G9525" t="s">
        <v>32672</v>
      </c>
      <c r="H9525" t="s">
        <v>12635</v>
      </c>
      <c r="I9525" t="s">
        <v>6628</v>
      </c>
      <c r="J9525" t="s">
        <v>36731</v>
      </c>
      <c r="K9525" t="s">
        <v>42283</v>
      </c>
      <c r="M9525" t="s">
        <v>45542</v>
      </c>
      <c r="N9525" t="s">
        <v>46569</v>
      </c>
      <c r="O9525" t="s">
        <v>46570</v>
      </c>
      <c r="P9525">
        <v>0</v>
      </c>
      <c r="Q9525">
        <v>0</v>
      </c>
      <c r="R9525" t="s">
        <v>46577</v>
      </c>
      <c r="S9525" t="s">
        <v>46808</v>
      </c>
      <c r="T9525" t="s">
        <v>48298</v>
      </c>
      <c r="U9525" t="s">
        <v>56477</v>
      </c>
      <c r="V9525" t="s">
        <v>61668</v>
      </c>
      <c r="W9525" t="s">
        <v>45542</v>
      </c>
      <c r="X9525" t="s">
        <v>46578</v>
      </c>
    </row>
    <row r="9526" spans="1:24">
      <c r="A9526">
        <f>HYPERLINK("https://www.philgeps.gov.ph/GEPSNONPILOT/Tender/SplashBidNoticeAbstractUI.aspx?menuIndex=3&amp;refID=7053934&amp;Result=3","7053934")</f>
        <v>0</v>
      </c>
      <c r="B9526" t="s">
        <v>179</v>
      </c>
      <c r="C9526" t="s">
        <v>12563</v>
      </c>
      <c r="E9526" t="s">
        <v>27154</v>
      </c>
      <c r="F9526" t="s">
        <v>32664</v>
      </c>
      <c r="G9526" t="s">
        <v>32671</v>
      </c>
      <c r="H9526" t="s">
        <v>32683</v>
      </c>
      <c r="I9526" t="s">
        <v>10627</v>
      </c>
      <c r="J9526" t="s">
        <v>32962</v>
      </c>
      <c r="K9526" t="s">
        <v>42426</v>
      </c>
      <c r="M9526" t="s">
        <v>45516</v>
      </c>
      <c r="N9526" t="s">
        <v>46569</v>
      </c>
      <c r="O9526" t="s">
        <v>46570</v>
      </c>
      <c r="P9526">
        <v>0</v>
      </c>
      <c r="Q9526">
        <v>0</v>
      </c>
      <c r="R9526" t="s">
        <v>46577</v>
      </c>
      <c r="S9526" t="s">
        <v>46808</v>
      </c>
      <c r="T9526" t="s">
        <v>48573</v>
      </c>
      <c r="U9526" t="s">
        <v>56399</v>
      </c>
      <c r="W9526" t="s">
        <v>45631</v>
      </c>
      <c r="X9526" t="s">
        <v>46578</v>
      </c>
    </row>
    <row r="9527" spans="1:24">
      <c r="A9527">
        <f>HYPERLINK("https://www.philgeps.gov.ph/GEPSNONPILOT/Tender/SplashBidNoticeAbstractUI.aspx?menuIndex=3&amp;refID=7053935&amp;Result=3","7053935")</f>
        <v>0</v>
      </c>
      <c r="B9527" t="s">
        <v>160</v>
      </c>
      <c r="C9527" t="s">
        <v>12564</v>
      </c>
      <c r="D9527" t="s">
        <v>18806</v>
      </c>
      <c r="E9527" t="s">
        <v>27155</v>
      </c>
      <c r="F9527" t="s">
        <v>32664</v>
      </c>
      <c r="G9527" t="s">
        <v>32672</v>
      </c>
      <c r="H9527" t="s">
        <v>12635</v>
      </c>
      <c r="I9527" t="s">
        <v>4439</v>
      </c>
      <c r="J9527" t="s">
        <v>38554</v>
      </c>
      <c r="K9527" t="s">
        <v>42281</v>
      </c>
      <c r="M9527" t="s">
        <v>42724</v>
      </c>
      <c r="N9527" t="s">
        <v>46569</v>
      </c>
      <c r="O9527" t="s">
        <v>46570</v>
      </c>
      <c r="P9527">
        <v>0</v>
      </c>
      <c r="Q9527">
        <v>1</v>
      </c>
      <c r="R9527" t="s">
        <v>46577</v>
      </c>
      <c r="S9527" t="s">
        <v>46808</v>
      </c>
      <c r="T9527" t="s">
        <v>48282</v>
      </c>
      <c r="U9527" t="s">
        <v>56478</v>
      </c>
      <c r="W9527" t="s">
        <v>42724</v>
      </c>
      <c r="X9527" t="s">
        <v>46578</v>
      </c>
    </row>
    <row r="9528" spans="1:24">
      <c r="A9528">
        <f>HYPERLINK("https://www.philgeps.gov.ph/GEPSNONPILOT/Tender/SplashBidNoticeAbstractUI.aspx?menuIndex=3&amp;refID=7053738&amp;Result=3","7053738")</f>
        <v>0</v>
      </c>
      <c r="B9528" t="s">
        <v>1993</v>
      </c>
      <c r="C9528" t="s">
        <v>12565</v>
      </c>
      <c r="D9528" t="s">
        <v>18834</v>
      </c>
      <c r="E9528" t="s">
        <v>27156</v>
      </c>
      <c r="F9528" t="s">
        <v>32664</v>
      </c>
      <c r="G9528" t="s">
        <v>32678</v>
      </c>
      <c r="H9528" t="s">
        <v>32681</v>
      </c>
      <c r="I9528" t="s">
        <v>32785</v>
      </c>
      <c r="J9528" t="s">
        <v>38555</v>
      </c>
      <c r="K9528" t="s">
        <v>42311</v>
      </c>
      <c r="M9528" t="s">
        <v>44728</v>
      </c>
      <c r="N9528" t="s">
        <v>46569</v>
      </c>
      <c r="O9528" t="s">
        <v>46570</v>
      </c>
      <c r="P9528">
        <v>0</v>
      </c>
      <c r="Q9528">
        <v>2</v>
      </c>
      <c r="R9528" t="s">
        <v>46577</v>
      </c>
      <c r="S9528" t="s">
        <v>46808</v>
      </c>
      <c r="T9528" t="s">
        <v>48221</v>
      </c>
      <c r="U9528" t="s">
        <v>56479</v>
      </c>
      <c r="V9528" t="s">
        <v>62610</v>
      </c>
      <c r="W9528" t="s">
        <v>63567</v>
      </c>
      <c r="X9528" t="s">
        <v>46578</v>
      </c>
    </row>
    <row r="9529" spans="1:24">
      <c r="A9529">
        <f>HYPERLINK("https://www.philgeps.gov.ph/GEPSNONPILOT/Tender/SplashBidNoticeAbstractUI.aspx?menuIndex=3&amp;refID=7053928&amp;Result=3","7053928")</f>
        <v>0</v>
      </c>
      <c r="B9529" t="s">
        <v>1376</v>
      </c>
      <c r="C9529" t="s">
        <v>12566</v>
      </c>
      <c r="D9529" t="s">
        <v>18841</v>
      </c>
      <c r="E9529" t="s">
        <v>27157</v>
      </c>
      <c r="F9529" t="s">
        <v>32664</v>
      </c>
      <c r="G9529" t="s">
        <v>32672</v>
      </c>
      <c r="H9529" t="s">
        <v>32683</v>
      </c>
      <c r="I9529" t="s">
        <v>10627</v>
      </c>
      <c r="J9529" t="s">
        <v>38556</v>
      </c>
      <c r="K9529" t="s">
        <v>42369</v>
      </c>
      <c r="M9529" t="s">
        <v>44031</v>
      </c>
      <c r="N9529" t="s">
        <v>46569</v>
      </c>
      <c r="O9529" t="s">
        <v>46570</v>
      </c>
      <c r="P9529">
        <v>0</v>
      </c>
      <c r="Q9529">
        <v>0</v>
      </c>
      <c r="R9529" t="s">
        <v>46577</v>
      </c>
      <c r="S9529" t="s">
        <v>46808</v>
      </c>
      <c r="T9529" t="s">
        <v>48405</v>
      </c>
      <c r="U9529" t="s">
        <v>56369</v>
      </c>
      <c r="V9529" t="s">
        <v>61986</v>
      </c>
      <c r="W9529" t="s">
        <v>44031</v>
      </c>
      <c r="X9529" t="s">
        <v>46578</v>
      </c>
    </row>
    <row r="9530" spans="1:24">
      <c r="A9530">
        <f>HYPERLINK("https://www.philgeps.gov.ph/GEPSNONPILOT/Tender/SplashBidNoticeAbstractUI.aspx?menuIndex=3&amp;refID=7053844&amp;Result=3","7053844")</f>
        <v>0</v>
      </c>
      <c r="B9530" t="s">
        <v>2689</v>
      </c>
      <c r="C9530" t="s">
        <v>12567</v>
      </c>
      <c r="D9530" t="s">
        <v>18805</v>
      </c>
      <c r="E9530" t="s">
        <v>19812</v>
      </c>
      <c r="F9530" t="s">
        <v>32664</v>
      </c>
      <c r="G9530" t="s">
        <v>32672</v>
      </c>
      <c r="H9530" t="s">
        <v>12635</v>
      </c>
      <c r="I9530" t="s">
        <v>32692</v>
      </c>
      <c r="J9530" t="s">
        <v>33215</v>
      </c>
      <c r="K9530" t="s">
        <v>42284</v>
      </c>
      <c r="L9530" t="s">
        <v>2689</v>
      </c>
      <c r="M9530" t="s">
        <v>45514</v>
      </c>
      <c r="N9530" t="s">
        <v>46569</v>
      </c>
      <c r="O9530" t="s">
        <v>46570</v>
      </c>
      <c r="P9530">
        <v>0</v>
      </c>
      <c r="Q9530">
        <v>0</v>
      </c>
      <c r="R9530" t="s">
        <v>46577</v>
      </c>
      <c r="S9530" t="s">
        <v>46808</v>
      </c>
      <c r="T9530" t="s">
        <v>48328</v>
      </c>
      <c r="U9530" t="s">
        <v>56451</v>
      </c>
      <c r="V9530" t="s">
        <v>62611</v>
      </c>
      <c r="W9530" t="s">
        <v>45514</v>
      </c>
      <c r="X9530" t="s">
        <v>46578</v>
      </c>
    </row>
    <row r="9531" spans="1:24">
      <c r="A9531">
        <f>HYPERLINK("https://www.philgeps.gov.ph/GEPSNONPILOT/Tender/SplashBidNoticeAbstractUI.aspx?menuIndex=3&amp;refID=7053924&amp;Result=3","7053924")</f>
        <v>0</v>
      </c>
      <c r="B9531" t="s">
        <v>179</v>
      </c>
      <c r="C9531" t="s">
        <v>12568</v>
      </c>
      <c r="D9531" t="s">
        <v>18830</v>
      </c>
      <c r="E9531" t="s">
        <v>27158</v>
      </c>
      <c r="F9531" t="s">
        <v>32664</v>
      </c>
      <c r="G9531" t="s">
        <v>32671</v>
      </c>
      <c r="H9531" t="s">
        <v>32683</v>
      </c>
      <c r="I9531" t="s">
        <v>10627</v>
      </c>
      <c r="J9531" t="s">
        <v>33345</v>
      </c>
      <c r="K9531" t="s">
        <v>42491</v>
      </c>
      <c r="M9531" t="s">
        <v>45516</v>
      </c>
      <c r="N9531" t="s">
        <v>46569</v>
      </c>
      <c r="O9531" t="s">
        <v>46570</v>
      </c>
      <c r="P9531">
        <v>0</v>
      </c>
      <c r="Q9531">
        <v>0</v>
      </c>
      <c r="R9531" t="s">
        <v>46577</v>
      </c>
      <c r="S9531" t="s">
        <v>46808</v>
      </c>
      <c r="T9531" t="s">
        <v>48573</v>
      </c>
      <c r="U9531" t="s">
        <v>56399</v>
      </c>
      <c r="W9531" t="s">
        <v>45631</v>
      </c>
      <c r="X9531" t="s">
        <v>46578</v>
      </c>
    </row>
    <row r="9532" spans="1:24">
      <c r="A9532">
        <f>HYPERLINK("https://www.philgeps.gov.ph/GEPSNONPILOT/Tender/SplashBidNoticeAbstractUI.aspx?menuIndex=3&amp;refID=7053922&amp;Result=3","7053922")</f>
        <v>0</v>
      </c>
      <c r="B9532" t="s">
        <v>2712</v>
      </c>
      <c r="C9532" t="s">
        <v>12569</v>
      </c>
      <c r="D9532" t="s">
        <v>18800</v>
      </c>
      <c r="E9532" t="s">
        <v>27159</v>
      </c>
      <c r="F9532" t="s">
        <v>32664</v>
      </c>
      <c r="G9532" t="s">
        <v>32677</v>
      </c>
      <c r="H9532" t="s">
        <v>12635</v>
      </c>
      <c r="I9532" t="s">
        <v>4439</v>
      </c>
      <c r="J9532" t="s">
        <v>38557</v>
      </c>
      <c r="K9532" t="s">
        <v>42281</v>
      </c>
      <c r="M9532" t="s">
        <v>45538</v>
      </c>
      <c r="N9532" t="s">
        <v>46569</v>
      </c>
      <c r="O9532" t="s">
        <v>46570</v>
      </c>
      <c r="P9532">
        <v>0</v>
      </c>
      <c r="Q9532">
        <v>1</v>
      </c>
      <c r="R9532" t="s">
        <v>46577</v>
      </c>
      <c r="S9532" t="s">
        <v>46808</v>
      </c>
      <c r="T9532" t="s">
        <v>48287</v>
      </c>
      <c r="U9532" t="s">
        <v>56480</v>
      </c>
      <c r="W9532" t="s">
        <v>45538</v>
      </c>
      <c r="X9532" t="s">
        <v>46578</v>
      </c>
    </row>
    <row r="9533" spans="1:24">
      <c r="A9533">
        <f>HYPERLINK("https://www.philgeps.gov.ph/GEPSNONPILOT/Tender/SplashBidNoticeAbstractUI.aspx?menuIndex=3&amp;refID=7053920&amp;Result=3","7053920")</f>
        <v>0</v>
      </c>
      <c r="B9533" t="s">
        <v>1201</v>
      </c>
      <c r="C9533" t="s">
        <v>12570</v>
      </c>
      <c r="D9533" t="s">
        <v>18855</v>
      </c>
      <c r="E9533" t="s">
        <v>19672</v>
      </c>
      <c r="F9533" t="s">
        <v>32664</v>
      </c>
      <c r="G9533" t="s">
        <v>32672</v>
      </c>
      <c r="H9533" t="s">
        <v>32683</v>
      </c>
      <c r="I9533" t="s">
        <v>10627</v>
      </c>
      <c r="J9533" t="s">
        <v>32865</v>
      </c>
      <c r="K9533" t="s">
        <v>42298</v>
      </c>
      <c r="M9533" t="s">
        <v>43838</v>
      </c>
      <c r="N9533" t="s">
        <v>46569</v>
      </c>
      <c r="O9533" t="s">
        <v>46570</v>
      </c>
      <c r="P9533">
        <v>0</v>
      </c>
      <c r="Q9533">
        <v>0</v>
      </c>
      <c r="R9533" t="s">
        <v>46577</v>
      </c>
      <c r="S9533" t="s">
        <v>46808</v>
      </c>
      <c r="T9533" t="s">
        <v>48314</v>
      </c>
      <c r="U9533" t="s">
        <v>53644</v>
      </c>
      <c r="W9533" t="s">
        <v>43838</v>
      </c>
      <c r="X9533" t="s">
        <v>46578</v>
      </c>
    </row>
    <row r="9534" spans="1:24">
      <c r="A9534">
        <f>HYPERLINK("https://www.philgeps.gov.ph/GEPSNONPILOT/Tender/SplashBidNoticeAbstractUI.aspx?menuIndex=3&amp;refID=7053933&amp;Result=3","7053933")</f>
        <v>0</v>
      </c>
      <c r="B9534" t="s">
        <v>1019</v>
      </c>
      <c r="C9534" t="s">
        <v>12571</v>
      </c>
      <c r="E9534" t="s">
        <v>27160</v>
      </c>
      <c r="F9534" t="s">
        <v>32664</v>
      </c>
      <c r="G9534" t="s">
        <v>32672</v>
      </c>
      <c r="H9534" t="s">
        <v>12635</v>
      </c>
      <c r="I9534" t="s">
        <v>4439</v>
      </c>
      <c r="J9534" t="s">
        <v>38558</v>
      </c>
      <c r="K9534" t="s">
        <v>42283</v>
      </c>
      <c r="M9534" t="s">
        <v>45543</v>
      </c>
      <c r="N9534" t="s">
        <v>46569</v>
      </c>
      <c r="O9534" t="s">
        <v>46570</v>
      </c>
      <c r="P9534">
        <v>0</v>
      </c>
      <c r="Q9534">
        <v>3</v>
      </c>
      <c r="R9534" t="s">
        <v>46577</v>
      </c>
      <c r="S9534" t="s">
        <v>46808</v>
      </c>
      <c r="T9534" t="s">
        <v>48313</v>
      </c>
      <c r="U9534" t="s">
        <v>56481</v>
      </c>
      <c r="W9534" t="s">
        <v>63568</v>
      </c>
      <c r="X9534" t="s">
        <v>46578</v>
      </c>
    </row>
    <row r="9535" spans="1:24">
      <c r="A9535">
        <f>HYPERLINK("https://www.philgeps.gov.ph/GEPSNONPILOT/Tender/SplashBidNoticeAbstractUI.aspx?menuIndex=3&amp;refID=7053910&amp;Result=3","7053910")</f>
        <v>0</v>
      </c>
      <c r="B9535" t="s">
        <v>785</v>
      </c>
      <c r="C9535" t="s">
        <v>12572</v>
      </c>
      <c r="D9535" t="s">
        <v>18794</v>
      </c>
      <c r="E9535" t="s">
        <v>27161</v>
      </c>
      <c r="F9535" t="s">
        <v>32664</v>
      </c>
      <c r="G9535" t="s">
        <v>32672</v>
      </c>
      <c r="H9535" t="s">
        <v>12635</v>
      </c>
      <c r="I9535" t="s">
        <v>14442</v>
      </c>
      <c r="J9535" t="s">
        <v>38559</v>
      </c>
      <c r="K9535" t="s">
        <v>42281</v>
      </c>
      <c r="M9535" t="s">
        <v>43377</v>
      </c>
      <c r="N9535" t="s">
        <v>46569</v>
      </c>
      <c r="O9535" t="s">
        <v>46570</v>
      </c>
      <c r="Q9535">
        <v>11</v>
      </c>
      <c r="R9535" t="s">
        <v>46577</v>
      </c>
      <c r="S9535" t="s">
        <v>46848</v>
      </c>
      <c r="T9535" t="s">
        <v>48384</v>
      </c>
      <c r="U9535" t="s">
        <v>56482</v>
      </c>
      <c r="W9535" t="s">
        <v>43377</v>
      </c>
      <c r="X9535" t="s">
        <v>46578</v>
      </c>
    </row>
    <row r="9536" spans="1:24">
      <c r="A9536">
        <f>HYPERLINK("https://www.philgeps.gov.ph/GEPSNONPILOT/Tender/SplashBidNoticeAbstractUI.aspx?menuIndex=3&amp;refID=7053909&amp;Result=3","7053909")</f>
        <v>0</v>
      </c>
      <c r="B9536" t="s">
        <v>179</v>
      </c>
      <c r="C9536" t="s">
        <v>12573</v>
      </c>
      <c r="D9536" t="s">
        <v>18830</v>
      </c>
      <c r="E9536" t="s">
        <v>27162</v>
      </c>
      <c r="F9536" t="s">
        <v>32664</v>
      </c>
      <c r="G9536" t="s">
        <v>32671</v>
      </c>
      <c r="H9536" t="s">
        <v>32683</v>
      </c>
      <c r="I9536" t="s">
        <v>10627</v>
      </c>
      <c r="J9536" t="s">
        <v>33128</v>
      </c>
      <c r="K9536" t="s">
        <v>42316</v>
      </c>
      <c r="M9536" t="s">
        <v>45516</v>
      </c>
      <c r="N9536" t="s">
        <v>46569</v>
      </c>
      <c r="O9536" t="s">
        <v>46570</v>
      </c>
      <c r="P9536">
        <v>0</v>
      </c>
      <c r="Q9536">
        <v>0</v>
      </c>
      <c r="R9536" t="s">
        <v>46577</v>
      </c>
      <c r="S9536" t="s">
        <v>46808</v>
      </c>
      <c r="T9536" t="s">
        <v>48573</v>
      </c>
      <c r="U9536" t="s">
        <v>56399</v>
      </c>
      <c r="W9536" t="s">
        <v>45631</v>
      </c>
      <c r="X9536" t="s">
        <v>46578</v>
      </c>
    </row>
    <row r="9537" spans="1:24">
      <c r="A9537">
        <f>HYPERLINK("https://www.philgeps.gov.ph/GEPSNONPILOT/Tender/SplashBidNoticeAbstractUI.aspx?menuIndex=3&amp;refID=7053985&amp;Result=3","7053985")</f>
        <v>0</v>
      </c>
      <c r="B9537" t="s">
        <v>1342</v>
      </c>
      <c r="C9537" t="s">
        <v>12574</v>
      </c>
      <c r="D9537" t="s">
        <v>18787</v>
      </c>
      <c r="E9537" t="s">
        <v>27163</v>
      </c>
      <c r="F9537" t="s">
        <v>32664</v>
      </c>
      <c r="G9537" t="s">
        <v>32671</v>
      </c>
      <c r="H9537" t="s">
        <v>12635</v>
      </c>
      <c r="I9537" t="s">
        <v>32694</v>
      </c>
      <c r="J9537" t="s">
        <v>38560</v>
      </c>
      <c r="K9537" t="s">
        <v>42330</v>
      </c>
      <c r="M9537" t="s">
        <v>44796</v>
      </c>
      <c r="N9537" t="s">
        <v>46569</v>
      </c>
      <c r="O9537" t="s">
        <v>46570</v>
      </c>
      <c r="P9537">
        <v>0</v>
      </c>
      <c r="Q9537">
        <v>3</v>
      </c>
      <c r="R9537" t="s">
        <v>46577</v>
      </c>
      <c r="S9537" t="s">
        <v>46808</v>
      </c>
      <c r="T9537" t="s">
        <v>48473</v>
      </c>
      <c r="U9537" t="s">
        <v>53989</v>
      </c>
      <c r="W9537" t="s">
        <v>44796</v>
      </c>
      <c r="X9537" t="s">
        <v>46578</v>
      </c>
    </row>
    <row r="9538" spans="1:24">
      <c r="A9538">
        <f>HYPERLINK("https://www.philgeps.gov.ph/GEPSNONPILOT/Tender/SplashBidNoticeAbstractUI.aspx?menuIndex=3&amp;refID=7053867&amp;Result=3","7053867")</f>
        <v>0</v>
      </c>
      <c r="B9538" t="s">
        <v>419</v>
      </c>
      <c r="C9538" t="s">
        <v>12575</v>
      </c>
      <c r="D9538" t="s">
        <v>18784</v>
      </c>
      <c r="E9538" t="s">
        <v>27164</v>
      </c>
      <c r="F9538" t="s">
        <v>32664</v>
      </c>
      <c r="G9538" t="s">
        <v>32674</v>
      </c>
      <c r="H9538" t="s">
        <v>12635</v>
      </c>
      <c r="I9538" t="s">
        <v>32704</v>
      </c>
      <c r="J9538" t="s">
        <v>36920</v>
      </c>
      <c r="K9538" t="s">
        <v>42283</v>
      </c>
      <c r="M9538" t="s">
        <v>42990</v>
      </c>
      <c r="N9538" t="s">
        <v>46569</v>
      </c>
      <c r="O9538" t="s">
        <v>46570</v>
      </c>
      <c r="P9538">
        <v>0</v>
      </c>
      <c r="Q9538">
        <v>11</v>
      </c>
      <c r="R9538" t="s">
        <v>46577</v>
      </c>
      <c r="S9538" t="s">
        <v>46808</v>
      </c>
      <c r="T9538" t="s">
        <v>48578</v>
      </c>
      <c r="U9538" t="s">
        <v>56483</v>
      </c>
      <c r="W9538" t="s">
        <v>42990</v>
      </c>
      <c r="X9538" t="s">
        <v>46578</v>
      </c>
    </row>
    <row r="9539" spans="1:24">
      <c r="A9539">
        <f>HYPERLINK("https://www.philgeps.gov.ph/GEPSNONPILOT/Tender/SplashBidNoticeAbstractUI.aspx?menuIndex=3&amp;refID=7053978&amp;Result=3","7053978")</f>
        <v>0</v>
      </c>
      <c r="B9539" t="s">
        <v>1863</v>
      </c>
      <c r="C9539" t="s">
        <v>12576</v>
      </c>
      <c r="D9539" t="s">
        <v>18783</v>
      </c>
      <c r="E9539" t="s">
        <v>27018</v>
      </c>
      <c r="F9539" t="s">
        <v>32664</v>
      </c>
      <c r="G9539" t="s">
        <v>32672</v>
      </c>
      <c r="H9539" t="s">
        <v>12635</v>
      </c>
      <c r="I9539" t="s">
        <v>32725</v>
      </c>
      <c r="J9539" t="s">
        <v>33246</v>
      </c>
      <c r="K9539" t="s">
        <v>42378</v>
      </c>
      <c r="M9539" t="s">
        <v>44576</v>
      </c>
      <c r="N9539" t="s">
        <v>46569</v>
      </c>
      <c r="O9539" t="s">
        <v>46570</v>
      </c>
      <c r="P9539">
        <v>0</v>
      </c>
      <c r="Q9539">
        <v>3</v>
      </c>
      <c r="R9539" t="s">
        <v>46577</v>
      </c>
      <c r="S9539" t="s">
        <v>46808</v>
      </c>
      <c r="T9539" t="s">
        <v>48307</v>
      </c>
      <c r="U9539" t="s">
        <v>56484</v>
      </c>
      <c r="V9539" t="s">
        <v>62608</v>
      </c>
      <c r="W9539" t="s">
        <v>44576</v>
      </c>
      <c r="X9539" t="s">
        <v>46578</v>
      </c>
    </row>
    <row r="9540" spans="1:24">
      <c r="A9540">
        <f>HYPERLINK("https://www.philgeps.gov.ph/GEPSNONPILOT/Tender/SplashBidNoticeAbstractUI.aspx?menuIndex=3&amp;refID=7053811&amp;Result=3","7053811")</f>
        <v>0</v>
      </c>
      <c r="B9540" t="s">
        <v>2717</v>
      </c>
      <c r="C9540" t="s">
        <v>12577</v>
      </c>
      <c r="D9540" t="s">
        <v>18823</v>
      </c>
      <c r="E9540" t="s">
        <v>27165</v>
      </c>
      <c r="F9540" t="s">
        <v>32664</v>
      </c>
      <c r="G9540" t="s">
        <v>32672</v>
      </c>
      <c r="H9540" t="s">
        <v>12635</v>
      </c>
      <c r="I9540" t="s">
        <v>32764</v>
      </c>
      <c r="J9540" t="s">
        <v>38561</v>
      </c>
      <c r="K9540" t="s">
        <v>42283</v>
      </c>
      <c r="M9540" t="s">
        <v>45544</v>
      </c>
      <c r="N9540" t="s">
        <v>46569</v>
      </c>
      <c r="O9540" t="s">
        <v>46570</v>
      </c>
      <c r="P9540">
        <v>0</v>
      </c>
      <c r="Q9540">
        <v>10</v>
      </c>
      <c r="R9540" t="s">
        <v>46577</v>
      </c>
      <c r="S9540" t="s">
        <v>46808</v>
      </c>
      <c r="T9540" t="s">
        <v>48580</v>
      </c>
      <c r="U9540" t="s">
        <v>56485</v>
      </c>
      <c r="W9540" t="s">
        <v>45544</v>
      </c>
      <c r="X9540" t="s">
        <v>46578</v>
      </c>
    </row>
    <row r="9541" spans="1:24">
      <c r="A9541">
        <f>HYPERLINK("https://www.philgeps.gov.ph/GEPSNONPILOT/Tender/SplashBidNoticeAbstractUI.aspx?menuIndex=3&amp;refID=7053973&amp;Result=3","7053973")</f>
        <v>0</v>
      </c>
      <c r="B9541" t="s">
        <v>1397</v>
      </c>
      <c r="C9541" t="s">
        <v>7627</v>
      </c>
      <c r="D9541" t="s">
        <v>18803</v>
      </c>
      <c r="E9541" t="s">
        <v>27166</v>
      </c>
      <c r="F9541" t="s">
        <v>32664</v>
      </c>
      <c r="G9541" t="s">
        <v>32678</v>
      </c>
      <c r="H9541" t="s">
        <v>32681</v>
      </c>
      <c r="I9541" t="s">
        <v>32681</v>
      </c>
      <c r="J9541" t="s">
        <v>35600</v>
      </c>
      <c r="K9541" t="s">
        <v>42377</v>
      </c>
      <c r="M9541" t="s">
        <v>44054</v>
      </c>
      <c r="N9541" t="s">
        <v>46569</v>
      </c>
      <c r="O9541" t="s">
        <v>46570</v>
      </c>
      <c r="P9541">
        <v>0</v>
      </c>
      <c r="Q9541">
        <v>0</v>
      </c>
      <c r="R9541" t="s">
        <v>46577</v>
      </c>
      <c r="S9541" t="s">
        <v>46808</v>
      </c>
      <c r="T9541" t="s">
        <v>48492</v>
      </c>
      <c r="U9541" t="s">
        <v>52291</v>
      </c>
      <c r="W9541" t="s">
        <v>44054</v>
      </c>
      <c r="X9541" t="s">
        <v>46578</v>
      </c>
    </row>
    <row r="9542" spans="1:24">
      <c r="A9542">
        <f>HYPERLINK("https://www.philgeps.gov.ph/GEPSNONPILOT/Tender/SplashBidNoticeAbstractUI.aspx?menuIndex=3&amp;refID=7053921&amp;Result=3","7053921")</f>
        <v>0</v>
      </c>
      <c r="B9542" t="s">
        <v>1397</v>
      </c>
      <c r="C9542" t="s">
        <v>7628</v>
      </c>
      <c r="D9542" t="s">
        <v>18803</v>
      </c>
      <c r="E9542" t="s">
        <v>27167</v>
      </c>
      <c r="F9542" t="s">
        <v>32664</v>
      </c>
      <c r="G9542" t="s">
        <v>32678</v>
      </c>
      <c r="H9542" t="s">
        <v>32681</v>
      </c>
      <c r="I9542" t="s">
        <v>32681</v>
      </c>
      <c r="J9542" t="s">
        <v>35601</v>
      </c>
      <c r="K9542" t="s">
        <v>42377</v>
      </c>
      <c r="M9542" t="s">
        <v>44054</v>
      </c>
      <c r="N9542" t="s">
        <v>46569</v>
      </c>
      <c r="O9542" t="s">
        <v>46570</v>
      </c>
      <c r="P9542">
        <v>0</v>
      </c>
      <c r="Q9542">
        <v>0</v>
      </c>
      <c r="R9542" t="s">
        <v>46577</v>
      </c>
      <c r="S9542" t="s">
        <v>46808</v>
      </c>
      <c r="T9542" t="s">
        <v>48492</v>
      </c>
      <c r="U9542" t="s">
        <v>52292</v>
      </c>
      <c r="W9542" t="s">
        <v>44054</v>
      </c>
      <c r="X9542" t="s">
        <v>46578</v>
      </c>
    </row>
    <row r="9543" spans="1:24">
      <c r="A9543">
        <f>HYPERLINK("https://www.philgeps.gov.ph/GEPSNONPILOT/Tender/SplashBidNoticeAbstractUI.aspx?menuIndex=3&amp;refID=7053917&amp;Result=3","7053917")</f>
        <v>0</v>
      </c>
      <c r="B9543" t="s">
        <v>179</v>
      </c>
      <c r="C9543" t="s">
        <v>12578</v>
      </c>
      <c r="D9543" t="s">
        <v>18830</v>
      </c>
      <c r="E9543" t="s">
        <v>27168</v>
      </c>
      <c r="F9543" t="s">
        <v>32664</v>
      </c>
      <c r="G9543" t="s">
        <v>32671</v>
      </c>
      <c r="H9543" t="s">
        <v>32683</v>
      </c>
      <c r="I9543" t="s">
        <v>10627</v>
      </c>
      <c r="J9543" t="s">
        <v>32962</v>
      </c>
      <c r="K9543" t="s">
        <v>42328</v>
      </c>
      <c r="M9543" t="s">
        <v>45516</v>
      </c>
      <c r="N9543" t="s">
        <v>46569</v>
      </c>
      <c r="O9543" t="s">
        <v>46570</v>
      </c>
      <c r="P9543">
        <v>0</v>
      </c>
      <c r="Q9543">
        <v>0</v>
      </c>
      <c r="R9543" t="s">
        <v>46577</v>
      </c>
      <c r="S9543" t="s">
        <v>46808</v>
      </c>
      <c r="T9543" t="s">
        <v>48573</v>
      </c>
      <c r="U9543" t="s">
        <v>56399</v>
      </c>
      <c r="W9543" t="s">
        <v>45631</v>
      </c>
      <c r="X9543" t="s">
        <v>46578</v>
      </c>
    </row>
    <row r="9544" spans="1:24">
      <c r="A9544">
        <f>HYPERLINK("https://www.philgeps.gov.ph/GEPSNONPILOT/Tender/SplashBidNoticeAbstractUI.aspx?menuIndex=3&amp;refID=7053970&amp;Result=3","7053970")</f>
        <v>0</v>
      </c>
      <c r="B9544" t="s">
        <v>2718</v>
      </c>
      <c r="C9544" t="s">
        <v>12579</v>
      </c>
      <c r="D9544" t="s">
        <v>18844</v>
      </c>
      <c r="E9544" t="s">
        <v>27169</v>
      </c>
      <c r="F9544" t="s">
        <v>32664</v>
      </c>
      <c r="G9544" t="s">
        <v>32672</v>
      </c>
      <c r="H9544" t="s">
        <v>12635</v>
      </c>
      <c r="I9544" t="s">
        <v>4439</v>
      </c>
      <c r="J9544" t="s">
        <v>38562</v>
      </c>
      <c r="K9544" t="s">
        <v>42289</v>
      </c>
      <c r="M9544" t="s">
        <v>45545</v>
      </c>
      <c r="N9544" t="s">
        <v>46569</v>
      </c>
      <c r="O9544" t="s">
        <v>46570</v>
      </c>
      <c r="P9544">
        <v>0</v>
      </c>
      <c r="Q9544">
        <v>0</v>
      </c>
      <c r="R9544" t="s">
        <v>46577</v>
      </c>
      <c r="S9544" t="s">
        <v>46808</v>
      </c>
      <c r="T9544" t="s">
        <v>48376</v>
      </c>
      <c r="U9544" t="s">
        <v>56486</v>
      </c>
      <c r="W9544" t="s">
        <v>45545</v>
      </c>
      <c r="X9544" t="s">
        <v>46578</v>
      </c>
    </row>
    <row r="9545" spans="1:24">
      <c r="A9545">
        <f>HYPERLINK("https://www.philgeps.gov.ph/GEPSNONPILOT/Tender/SplashBidNoticeAbstractUI.aspx?menuIndex=3&amp;refID=7053931&amp;Result=3","7053931")</f>
        <v>0</v>
      </c>
      <c r="B9545" t="s">
        <v>1863</v>
      </c>
      <c r="C9545" t="s">
        <v>12497</v>
      </c>
      <c r="D9545" t="s">
        <v>18783</v>
      </c>
      <c r="E9545" t="s">
        <v>27170</v>
      </c>
      <c r="F9545" t="s">
        <v>32664</v>
      </c>
      <c r="G9545" t="s">
        <v>32672</v>
      </c>
      <c r="H9545" t="s">
        <v>12635</v>
      </c>
      <c r="I9545" t="s">
        <v>4439</v>
      </c>
      <c r="J9545" t="s">
        <v>38563</v>
      </c>
      <c r="K9545" t="s">
        <v>42378</v>
      </c>
      <c r="M9545" t="s">
        <v>44576</v>
      </c>
      <c r="N9545" t="s">
        <v>46569</v>
      </c>
      <c r="O9545" t="s">
        <v>46570</v>
      </c>
      <c r="P9545">
        <v>0</v>
      </c>
      <c r="Q9545">
        <v>0</v>
      </c>
      <c r="R9545" t="s">
        <v>46577</v>
      </c>
      <c r="S9545" t="s">
        <v>46808</v>
      </c>
      <c r="T9545" t="s">
        <v>48307</v>
      </c>
      <c r="U9545" t="s">
        <v>56487</v>
      </c>
      <c r="V9545" t="s">
        <v>62608</v>
      </c>
      <c r="W9545" t="s">
        <v>44576</v>
      </c>
      <c r="X9545" t="s">
        <v>46578</v>
      </c>
    </row>
    <row r="9546" spans="1:24">
      <c r="A9546">
        <f>HYPERLINK("https://www.philgeps.gov.ph/GEPSNONPILOT/Tender/SplashBidNoticeAbstractUI.aspx?menuIndex=3&amp;refID=7053809&amp;Result=3","7053809")</f>
        <v>0</v>
      </c>
      <c r="B9546" t="s">
        <v>2719</v>
      </c>
      <c r="C9546" t="s">
        <v>12580</v>
      </c>
      <c r="D9546" t="s">
        <v>18801</v>
      </c>
      <c r="E9546" t="s">
        <v>27171</v>
      </c>
      <c r="F9546" t="s">
        <v>32664</v>
      </c>
      <c r="G9546" t="s">
        <v>32671</v>
      </c>
      <c r="H9546" t="s">
        <v>12635</v>
      </c>
      <c r="I9546" t="s">
        <v>5501</v>
      </c>
      <c r="J9546" t="s">
        <v>38564</v>
      </c>
      <c r="K9546" t="s">
        <v>42378</v>
      </c>
      <c r="M9546" t="s">
        <v>45546</v>
      </c>
      <c r="N9546" t="s">
        <v>46569</v>
      </c>
      <c r="O9546" t="s">
        <v>46570</v>
      </c>
      <c r="P9546">
        <v>0</v>
      </c>
      <c r="Q9546">
        <v>9</v>
      </c>
      <c r="R9546" t="s">
        <v>46577</v>
      </c>
      <c r="S9546" t="s">
        <v>46808</v>
      </c>
      <c r="T9546" t="s">
        <v>48287</v>
      </c>
      <c r="U9546" t="s">
        <v>56488</v>
      </c>
      <c r="W9546" t="s">
        <v>45546</v>
      </c>
      <c r="X9546" t="s">
        <v>46578</v>
      </c>
    </row>
    <row r="9547" spans="1:24">
      <c r="A9547">
        <f>HYPERLINK("https://www.philgeps.gov.ph/GEPSNONPILOT/Tender/SplashBidNoticeAbstractUI.aspx?menuIndex=3&amp;refID=7053965&amp;Result=3","7053965")</f>
        <v>0</v>
      </c>
      <c r="B9547" t="s">
        <v>884</v>
      </c>
      <c r="C9547" t="s">
        <v>12581</v>
      </c>
      <c r="D9547" t="s">
        <v>18816</v>
      </c>
      <c r="E9547" t="s">
        <v>27172</v>
      </c>
      <c r="F9547" t="s">
        <v>32664</v>
      </c>
      <c r="G9547" t="s">
        <v>32672</v>
      </c>
      <c r="H9547" t="s">
        <v>32683</v>
      </c>
      <c r="I9547" t="s">
        <v>10627</v>
      </c>
      <c r="J9547" t="s">
        <v>38565</v>
      </c>
      <c r="K9547" t="s">
        <v>42470</v>
      </c>
      <c r="M9547" t="s">
        <v>43485</v>
      </c>
      <c r="N9547" t="s">
        <v>46569</v>
      </c>
      <c r="O9547" t="s">
        <v>46570</v>
      </c>
      <c r="P9547">
        <v>0</v>
      </c>
      <c r="Q9547">
        <v>0</v>
      </c>
      <c r="R9547" t="s">
        <v>46577</v>
      </c>
      <c r="S9547" t="s">
        <v>46808</v>
      </c>
      <c r="T9547" t="s">
        <v>48405</v>
      </c>
      <c r="U9547" t="s">
        <v>56489</v>
      </c>
      <c r="W9547" t="s">
        <v>43485</v>
      </c>
      <c r="X9547" t="s">
        <v>46578</v>
      </c>
    </row>
    <row r="9548" spans="1:24">
      <c r="A9548">
        <f>HYPERLINK("https://www.philgeps.gov.ph/GEPSNONPILOT/Tender/SplashBidNoticeAbstractUI.aspx?menuIndex=3&amp;refID=7053975&amp;Result=3","7053975")</f>
        <v>0</v>
      </c>
      <c r="B9548" t="s">
        <v>2720</v>
      </c>
      <c r="C9548" t="s">
        <v>12582</v>
      </c>
      <c r="D9548" t="s">
        <v>18785</v>
      </c>
      <c r="E9548" t="s">
        <v>27173</v>
      </c>
      <c r="F9548" t="s">
        <v>32664</v>
      </c>
      <c r="G9548" t="s">
        <v>32672</v>
      </c>
      <c r="H9548" t="s">
        <v>32683</v>
      </c>
      <c r="I9548" t="s">
        <v>10627</v>
      </c>
      <c r="J9548" t="s">
        <v>32962</v>
      </c>
      <c r="K9548" t="s">
        <v>42298</v>
      </c>
      <c r="M9548" t="s">
        <v>45547</v>
      </c>
      <c r="N9548" t="s">
        <v>46569</v>
      </c>
      <c r="O9548" t="s">
        <v>46570</v>
      </c>
      <c r="P9548">
        <v>0</v>
      </c>
      <c r="Q9548">
        <v>2</v>
      </c>
      <c r="R9548" t="s">
        <v>46577</v>
      </c>
      <c r="S9548" t="s">
        <v>46808</v>
      </c>
      <c r="T9548" t="s">
        <v>48313</v>
      </c>
      <c r="U9548" t="s">
        <v>56490</v>
      </c>
      <c r="V9548" t="s">
        <v>62612</v>
      </c>
      <c r="W9548" t="s">
        <v>45547</v>
      </c>
      <c r="X9548" t="s">
        <v>46578</v>
      </c>
    </row>
    <row r="9549" spans="1:24">
      <c r="A9549">
        <f>HYPERLINK("https://www.philgeps.gov.ph/GEPSNONPILOT/Tender/SplashBidNoticeAbstractUI.aspx?menuIndex=3&amp;refID=7053961&amp;Result=3","7053961")</f>
        <v>0</v>
      </c>
      <c r="B9549" t="s">
        <v>135</v>
      </c>
      <c r="C9549" t="s">
        <v>12583</v>
      </c>
      <c r="D9549" t="s">
        <v>18807</v>
      </c>
      <c r="E9549" t="s">
        <v>27174</v>
      </c>
      <c r="F9549" t="s">
        <v>32664</v>
      </c>
      <c r="G9549" t="s">
        <v>32672</v>
      </c>
      <c r="H9549" t="s">
        <v>12635</v>
      </c>
      <c r="I9549" t="s">
        <v>32699</v>
      </c>
      <c r="J9549" t="s">
        <v>33294</v>
      </c>
      <c r="K9549" t="s">
        <v>42281</v>
      </c>
      <c r="M9549" t="s">
        <v>42852</v>
      </c>
      <c r="N9549" t="s">
        <v>46569</v>
      </c>
      <c r="O9549" t="s">
        <v>46570</v>
      </c>
      <c r="P9549">
        <v>0</v>
      </c>
      <c r="Q9549">
        <v>1</v>
      </c>
      <c r="R9549" t="s">
        <v>46577</v>
      </c>
      <c r="S9549" t="s">
        <v>46808</v>
      </c>
      <c r="T9549" t="s">
        <v>48228</v>
      </c>
      <c r="U9549" t="s">
        <v>49052</v>
      </c>
      <c r="V9549" t="s">
        <v>61650</v>
      </c>
      <c r="W9549" t="s">
        <v>42852</v>
      </c>
      <c r="X9549" t="s">
        <v>46578</v>
      </c>
    </row>
    <row r="9550" spans="1:24">
      <c r="A9550">
        <f>HYPERLINK("https://www.philgeps.gov.ph/GEPSNONPILOT/Tender/SplashBidNoticeAbstractUI.aspx?menuIndex=3&amp;refID=7053988&amp;Result=3","7053988")</f>
        <v>0</v>
      </c>
      <c r="B9550" t="s">
        <v>1069</v>
      </c>
      <c r="C9550" t="s">
        <v>10627</v>
      </c>
      <c r="D9550" t="s">
        <v>18825</v>
      </c>
      <c r="E9550" t="s">
        <v>27175</v>
      </c>
      <c r="F9550" t="s">
        <v>32664</v>
      </c>
      <c r="G9550" t="s">
        <v>32672</v>
      </c>
      <c r="H9550" t="s">
        <v>32683</v>
      </c>
      <c r="I9550" t="s">
        <v>10627</v>
      </c>
      <c r="J9550" t="s">
        <v>32865</v>
      </c>
      <c r="K9550" t="s">
        <v>42283</v>
      </c>
      <c r="M9550" t="s">
        <v>43687</v>
      </c>
      <c r="N9550" t="s">
        <v>46569</v>
      </c>
      <c r="O9550" t="s">
        <v>46570</v>
      </c>
      <c r="P9550">
        <v>0</v>
      </c>
      <c r="Q9550">
        <v>0</v>
      </c>
      <c r="R9550" t="s">
        <v>46577</v>
      </c>
      <c r="S9550" t="s">
        <v>46808</v>
      </c>
      <c r="T9550" t="s">
        <v>48316</v>
      </c>
      <c r="U9550" t="s">
        <v>56491</v>
      </c>
      <c r="W9550" t="s">
        <v>43687</v>
      </c>
      <c r="X9550" t="s">
        <v>46578</v>
      </c>
    </row>
    <row r="9551" spans="1:24">
      <c r="A9551">
        <f>HYPERLINK("https://www.philgeps.gov.ph/GEPSNONPILOT/Tender/SplashBidNoticeAbstractUI.aspx?menuIndex=3&amp;refID=7054023&amp;Result=3","7054023")</f>
        <v>0</v>
      </c>
      <c r="B9551" t="s">
        <v>135</v>
      </c>
      <c r="C9551" t="s">
        <v>12584</v>
      </c>
      <c r="D9551" t="s">
        <v>18807</v>
      </c>
      <c r="E9551" t="s">
        <v>27176</v>
      </c>
      <c r="F9551" t="s">
        <v>32664</v>
      </c>
      <c r="G9551" t="s">
        <v>32672</v>
      </c>
      <c r="H9551" t="s">
        <v>12635</v>
      </c>
      <c r="I9551" t="s">
        <v>32685</v>
      </c>
      <c r="J9551" t="s">
        <v>38566</v>
      </c>
      <c r="K9551" t="s">
        <v>42281</v>
      </c>
      <c r="M9551" t="s">
        <v>42852</v>
      </c>
      <c r="N9551" t="s">
        <v>46569</v>
      </c>
      <c r="O9551" t="s">
        <v>46570</v>
      </c>
      <c r="P9551">
        <v>0</v>
      </c>
      <c r="Q9551">
        <v>0</v>
      </c>
      <c r="R9551" t="s">
        <v>46577</v>
      </c>
      <c r="S9551" t="s">
        <v>46808</v>
      </c>
      <c r="T9551" t="s">
        <v>48228</v>
      </c>
      <c r="U9551" t="s">
        <v>49052</v>
      </c>
      <c r="V9551" t="s">
        <v>61650</v>
      </c>
      <c r="W9551" t="s">
        <v>42852</v>
      </c>
      <c r="X9551" t="s">
        <v>46578</v>
      </c>
    </row>
    <row r="9552" spans="1:24">
      <c r="A9552">
        <f>HYPERLINK("https://www.philgeps.gov.ph/GEPSNONPILOT/Tender/SplashBidNoticeAbstractUI.aspx?menuIndex=3&amp;refID=7053980&amp;Result=3","7053980")</f>
        <v>0</v>
      </c>
      <c r="B9552" t="s">
        <v>2689</v>
      </c>
      <c r="C9552" t="s">
        <v>12585</v>
      </c>
      <c r="D9552" t="s">
        <v>18805</v>
      </c>
      <c r="E9552" t="s">
        <v>19453</v>
      </c>
      <c r="F9552" t="s">
        <v>32664</v>
      </c>
      <c r="G9552" t="s">
        <v>32672</v>
      </c>
      <c r="H9552" t="s">
        <v>12635</v>
      </c>
      <c r="I9552" t="s">
        <v>4439</v>
      </c>
      <c r="J9552" t="s">
        <v>38567</v>
      </c>
      <c r="K9552" t="s">
        <v>42284</v>
      </c>
      <c r="L9552" t="s">
        <v>2689</v>
      </c>
      <c r="M9552" t="s">
        <v>45514</v>
      </c>
      <c r="N9552" t="s">
        <v>46569</v>
      </c>
      <c r="O9552" t="s">
        <v>46570</v>
      </c>
      <c r="P9552">
        <v>0</v>
      </c>
      <c r="Q9552">
        <v>0</v>
      </c>
      <c r="R9552" t="s">
        <v>46577</v>
      </c>
      <c r="S9552" t="s">
        <v>46808</v>
      </c>
      <c r="T9552" t="s">
        <v>48328</v>
      </c>
      <c r="U9552" t="s">
        <v>56451</v>
      </c>
      <c r="V9552" t="s">
        <v>62601</v>
      </c>
      <c r="W9552" t="s">
        <v>45514</v>
      </c>
      <c r="X9552" t="s">
        <v>46578</v>
      </c>
    </row>
    <row r="9553" spans="1:24">
      <c r="A9553">
        <f>HYPERLINK("https://www.philgeps.gov.ph/GEPSNONPILOT/Tender/SplashBidNoticeAbstractUI.aspx?menuIndex=3&amp;refID=7054022&amp;Result=3","7054022")</f>
        <v>0</v>
      </c>
      <c r="B9553" t="s">
        <v>1397</v>
      </c>
      <c r="C9553" t="s">
        <v>7627</v>
      </c>
      <c r="D9553" t="s">
        <v>18803</v>
      </c>
      <c r="E9553" t="s">
        <v>19977</v>
      </c>
      <c r="F9553" t="s">
        <v>32664</v>
      </c>
      <c r="G9553" t="s">
        <v>32678</v>
      </c>
      <c r="H9553" t="s">
        <v>32681</v>
      </c>
      <c r="I9553" t="s">
        <v>32681</v>
      </c>
      <c r="J9553" t="s">
        <v>35600</v>
      </c>
      <c r="K9553" t="s">
        <v>42377</v>
      </c>
      <c r="M9553" t="s">
        <v>44054</v>
      </c>
      <c r="N9553" t="s">
        <v>46569</v>
      </c>
      <c r="O9553" t="s">
        <v>46570</v>
      </c>
      <c r="P9553">
        <v>0</v>
      </c>
      <c r="Q9553">
        <v>0</v>
      </c>
      <c r="R9553" t="s">
        <v>46577</v>
      </c>
      <c r="S9553" t="s">
        <v>46808</v>
      </c>
      <c r="T9553" t="s">
        <v>48492</v>
      </c>
      <c r="U9553" t="s">
        <v>52291</v>
      </c>
      <c r="W9553" t="s">
        <v>44054</v>
      </c>
      <c r="X9553" t="s">
        <v>46578</v>
      </c>
    </row>
    <row r="9554" spans="1:24">
      <c r="A9554">
        <f>HYPERLINK("https://www.philgeps.gov.ph/GEPSNONPILOT/Tender/SplashBidNoticeAbstractUI.aspx?menuIndex=3&amp;refID=7053971&amp;Result=3","7053971")</f>
        <v>0</v>
      </c>
      <c r="B9554" t="s">
        <v>1112</v>
      </c>
      <c r="C9554" t="s">
        <v>12586</v>
      </c>
      <c r="D9554" t="s">
        <v>18842</v>
      </c>
      <c r="E9554" t="s">
        <v>27177</v>
      </c>
      <c r="F9554" t="s">
        <v>32664</v>
      </c>
      <c r="G9554" t="s">
        <v>32674</v>
      </c>
      <c r="H9554" t="s">
        <v>12635</v>
      </c>
      <c r="I9554" t="s">
        <v>8797</v>
      </c>
      <c r="J9554" t="s">
        <v>33893</v>
      </c>
      <c r="K9554" t="s">
        <v>42284</v>
      </c>
      <c r="M9554" t="s">
        <v>43739</v>
      </c>
      <c r="N9554" t="s">
        <v>46569</v>
      </c>
      <c r="O9554" t="s">
        <v>46570</v>
      </c>
      <c r="P9554">
        <v>0</v>
      </c>
      <c r="Q9554">
        <v>5</v>
      </c>
      <c r="R9554" t="s">
        <v>46577</v>
      </c>
      <c r="S9554" t="s">
        <v>46808</v>
      </c>
      <c r="T9554" t="s">
        <v>48316</v>
      </c>
      <c r="U9554" t="s">
        <v>56492</v>
      </c>
      <c r="V9554" t="s">
        <v>62613</v>
      </c>
      <c r="W9554" t="s">
        <v>43739</v>
      </c>
      <c r="X9554" t="s">
        <v>46578</v>
      </c>
    </row>
    <row r="9555" spans="1:24">
      <c r="A9555">
        <f>HYPERLINK("https://www.philgeps.gov.ph/GEPSNONPILOT/Tender/SplashBidNoticeAbstractUI.aspx?menuIndex=3&amp;refID=7054011&amp;Result=3","7054011")</f>
        <v>0</v>
      </c>
      <c r="B9555" t="s">
        <v>135</v>
      </c>
      <c r="C9555" t="s">
        <v>12587</v>
      </c>
      <c r="D9555" t="s">
        <v>18807</v>
      </c>
      <c r="E9555" t="s">
        <v>27178</v>
      </c>
      <c r="F9555" t="s">
        <v>32664</v>
      </c>
      <c r="G9555" t="s">
        <v>32672</v>
      </c>
      <c r="H9555" t="s">
        <v>12635</v>
      </c>
      <c r="I9555" t="s">
        <v>4439</v>
      </c>
      <c r="J9555" t="s">
        <v>38568</v>
      </c>
      <c r="K9555" t="s">
        <v>42281</v>
      </c>
      <c r="M9555" t="s">
        <v>42852</v>
      </c>
      <c r="N9555" t="s">
        <v>46569</v>
      </c>
      <c r="O9555" t="s">
        <v>46570</v>
      </c>
      <c r="P9555">
        <v>0</v>
      </c>
      <c r="Q9555">
        <v>0</v>
      </c>
      <c r="R9555" t="s">
        <v>46577</v>
      </c>
      <c r="S9555" t="s">
        <v>46808</v>
      </c>
      <c r="T9555" t="s">
        <v>48228</v>
      </c>
      <c r="U9555" t="s">
        <v>49052</v>
      </c>
      <c r="V9555" t="s">
        <v>61650</v>
      </c>
      <c r="W9555" t="s">
        <v>42852</v>
      </c>
      <c r="X9555" t="s">
        <v>46578</v>
      </c>
    </row>
    <row r="9556" spans="1:24">
      <c r="A9556">
        <f>HYPERLINK("https://www.philgeps.gov.ph/GEPSNONPILOT/Tender/SplashBidNoticeAbstractUI.aspx?menuIndex=3&amp;refID=7054006&amp;Result=3","7054006")</f>
        <v>0</v>
      </c>
      <c r="B9556" t="s">
        <v>2446</v>
      </c>
      <c r="C9556" t="s">
        <v>12588</v>
      </c>
      <c r="E9556" t="s">
        <v>27179</v>
      </c>
      <c r="F9556" t="s">
        <v>32664</v>
      </c>
      <c r="G9556" t="s">
        <v>32672</v>
      </c>
      <c r="H9556" t="s">
        <v>12635</v>
      </c>
      <c r="I9556" t="s">
        <v>32712</v>
      </c>
      <c r="J9556" t="s">
        <v>34518</v>
      </c>
      <c r="K9556" t="s">
        <v>42283</v>
      </c>
      <c r="M9556" t="s">
        <v>45239</v>
      </c>
      <c r="N9556" t="s">
        <v>46569</v>
      </c>
      <c r="O9556" t="s">
        <v>46570</v>
      </c>
      <c r="Q9556">
        <v>20</v>
      </c>
      <c r="R9556" t="s">
        <v>46577</v>
      </c>
      <c r="S9556" t="s">
        <v>46849</v>
      </c>
      <c r="T9556" t="s">
        <v>48560</v>
      </c>
      <c r="U9556" t="s">
        <v>56493</v>
      </c>
      <c r="V9556" t="s">
        <v>62614</v>
      </c>
      <c r="W9556" t="s">
        <v>45239</v>
      </c>
      <c r="X9556" t="s">
        <v>46578</v>
      </c>
    </row>
    <row r="9557" spans="1:24">
      <c r="A9557">
        <f>HYPERLINK("https://www.philgeps.gov.ph/GEPSNONPILOT/Tender/SplashBidNoticeAbstractUI.aspx?menuIndex=3&amp;refID=7053967&amp;Result=3","7053967")</f>
        <v>0</v>
      </c>
      <c r="B9557" t="s">
        <v>1480</v>
      </c>
      <c r="C9557" t="s">
        <v>12589</v>
      </c>
      <c r="D9557" t="s">
        <v>18851</v>
      </c>
      <c r="E9557" t="s">
        <v>27180</v>
      </c>
      <c r="F9557" t="s">
        <v>32664</v>
      </c>
      <c r="G9557" t="s">
        <v>32672</v>
      </c>
      <c r="H9557" t="s">
        <v>32683</v>
      </c>
      <c r="I9557" t="s">
        <v>10627</v>
      </c>
      <c r="J9557" t="s">
        <v>32981</v>
      </c>
      <c r="K9557" t="s">
        <v>42311</v>
      </c>
      <c r="M9557" t="s">
        <v>45548</v>
      </c>
      <c r="N9557" t="s">
        <v>46569</v>
      </c>
      <c r="O9557" t="s">
        <v>46570</v>
      </c>
      <c r="P9557">
        <v>0</v>
      </c>
      <c r="Q9557">
        <v>0</v>
      </c>
      <c r="R9557" t="s">
        <v>46577</v>
      </c>
      <c r="S9557" t="s">
        <v>46808</v>
      </c>
      <c r="T9557" t="s">
        <v>48639</v>
      </c>
      <c r="U9557" t="s">
        <v>56494</v>
      </c>
      <c r="V9557" t="s">
        <v>62615</v>
      </c>
      <c r="W9557" t="s">
        <v>45548</v>
      </c>
      <c r="X9557" t="s">
        <v>46578</v>
      </c>
    </row>
    <row r="9558" spans="1:24">
      <c r="A9558">
        <f>HYPERLINK("https://www.philgeps.gov.ph/GEPSNONPILOT/Tender/SplashBidNoticeAbstractUI.aspx?menuIndex=3&amp;refID=7053981&amp;Result=3","7053981")</f>
        <v>0</v>
      </c>
      <c r="B9558" t="s">
        <v>135</v>
      </c>
      <c r="C9558" t="s">
        <v>12590</v>
      </c>
      <c r="D9558" t="s">
        <v>18807</v>
      </c>
      <c r="E9558" t="s">
        <v>27181</v>
      </c>
      <c r="F9558" t="s">
        <v>32664</v>
      </c>
      <c r="G9558" t="s">
        <v>32672</v>
      </c>
      <c r="H9558" t="s">
        <v>12635</v>
      </c>
      <c r="I9558" t="s">
        <v>32699</v>
      </c>
      <c r="J9558" t="s">
        <v>36389</v>
      </c>
      <c r="K9558" t="s">
        <v>42281</v>
      </c>
      <c r="M9558" t="s">
        <v>42852</v>
      </c>
      <c r="N9558" t="s">
        <v>46569</v>
      </c>
      <c r="O9558" t="s">
        <v>46570</v>
      </c>
      <c r="P9558">
        <v>0</v>
      </c>
      <c r="Q9558">
        <v>1</v>
      </c>
      <c r="R9558" t="s">
        <v>46577</v>
      </c>
      <c r="S9558" t="s">
        <v>46808</v>
      </c>
      <c r="T9558" t="s">
        <v>48228</v>
      </c>
      <c r="U9558" t="s">
        <v>49052</v>
      </c>
      <c r="V9558" t="s">
        <v>61650</v>
      </c>
      <c r="W9558" t="s">
        <v>42852</v>
      </c>
      <c r="X9558" t="s">
        <v>46578</v>
      </c>
    </row>
    <row r="9559" spans="1:24">
      <c r="A9559">
        <f>HYPERLINK("https://www.philgeps.gov.ph/GEPSNONPILOT/Tender/SplashBidNoticeAbstractUI.aspx?menuIndex=3&amp;refID=7054001&amp;Result=3","7054001")</f>
        <v>0</v>
      </c>
      <c r="B9559" t="s">
        <v>83</v>
      </c>
      <c r="C9559" t="s">
        <v>12591</v>
      </c>
      <c r="D9559" t="s">
        <v>18784</v>
      </c>
      <c r="E9559" t="s">
        <v>27182</v>
      </c>
      <c r="F9559" t="s">
        <v>32664</v>
      </c>
      <c r="G9559" t="s">
        <v>32671</v>
      </c>
      <c r="H9559" t="s">
        <v>12635</v>
      </c>
      <c r="I9559" t="s">
        <v>32701</v>
      </c>
      <c r="J9559" t="s">
        <v>38569</v>
      </c>
      <c r="K9559" t="s">
        <v>42283</v>
      </c>
      <c r="M9559" t="s">
        <v>45549</v>
      </c>
      <c r="N9559" t="s">
        <v>46569</v>
      </c>
      <c r="O9559" t="s">
        <v>46570</v>
      </c>
      <c r="P9559">
        <v>0</v>
      </c>
      <c r="Q9559">
        <v>0</v>
      </c>
      <c r="R9559" t="s">
        <v>46577</v>
      </c>
      <c r="S9559" t="s">
        <v>46808</v>
      </c>
      <c r="T9559" t="s">
        <v>48473</v>
      </c>
      <c r="U9559" t="s">
        <v>56495</v>
      </c>
      <c r="W9559" t="s">
        <v>45549</v>
      </c>
      <c r="X9559" t="s">
        <v>46578</v>
      </c>
    </row>
    <row r="9560" spans="1:24">
      <c r="A9560">
        <f>HYPERLINK("https://www.philgeps.gov.ph/GEPSNONPILOT/Tender/SplashBidNoticeAbstractUI.aspx?menuIndex=3&amp;refID=7053998&amp;Result=3","7053998")</f>
        <v>0</v>
      </c>
      <c r="B9560" t="s">
        <v>1376</v>
      </c>
      <c r="C9560" t="s">
        <v>12592</v>
      </c>
      <c r="D9560" t="s">
        <v>18841</v>
      </c>
      <c r="E9560" t="s">
        <v>27183</v>
      </c>
      <c r="F9560" t="s">
        <v>32664</v>
      </c>
      <c r="G9560" t="s">
        <v>32672</v>
      </c>
      <c r="H9560" t="s">
        <v>32683</v>
      </c>
      <c r="I9560" t="s">
        <v>10627</v>
      </c>
      <c r="J9560" t="s">
        <v>38570</v>
      </c>
      <c r="K9560" t="s">
        <v>42369</v>
      </c>
      <c r="M9560" t="s">
        <v>44031</v>
      </c>
      <c r="N9560" t="s">
        <v>46569</v>
      </c>
      <c r="O9560" t="s">
        <v>46570</v>
      </c>
      <c r="P9560">
        <v>0</v>
      </c>
      <c r="Q9560">
        <v>0</v>
      </c>
      <c r="R9560" t="s">
        <v>46577</v>
      </c>
      <c r="S9560" t="s">
        <v>46808</v>
      </c>
      <c r="T9560" t="s">
        <v>48405</v>
      </c>
      <c r="U9560" t="s">
        <v>56369</v>
      </c>
      <c r="V9560" t="s">
        <v>61986</v>
      </c>
      <c r="W9560" t="s">
        <v>44031</v>
      </c>
      <c r="X9560" t="s">
        <v>46578</v>
      </c>
    </row>
    <row r="9561" spans="1:24">
      <c r="A9561">
        <f>HYPERLINK("https://www.philgeps.gov.ph/GEPSNONPILOT/Tender/SplashBidNoticeAbstractUI.aspx?menuIndex=3&amp;refID=7054020&amp;Result=3","7054020")</f>
        <v>0</v>
      </c>
      <c r="B9561" t="s">
        <v>2720</v>
      </c>
      <c r="C9561" t="s">
        <v>12593</v>
      </c>
      <c r="D9561" t="s">
        <v>18785</v>
      </c>
      <c r="E9561" t="s">
        <v>27184</v>
      </c>
      <c r="F9561" t="s">
        <v>32664</v>
      </c>
      <c r="G9561" t="s">
        <v>32672</v>
      </c>
      <c r="H9561" t="s">
        <v>32683</v>
      </c>
      <c r="I9561" t="s">
        <v>10627</v>
      </c>
      <c r="J9561" t="s">
        <v>32962</v>
      </c>
      <c r="K9561" t="s">
        <v>42298</v>
      </c>
      <c r="M9561" t="s">
        <v>45547</v>
      </c>
      <c r="N9561" t="s">
        <v>46569</v>
      </c>
      <c r="O9561" t="s">
        <v>46570</v>
      </c>
      <c r="P9561">
        <v>0</v>
      </c>
      <c r="Q9561">
        <v>1</v>
      </c>
      <c r="R9561" t="s">
        <v>46577</v>
      </c>
      <c r="S9561" t="s">
        <v>46808</v>
      </c>
      <c r="T9561" t="s">
        <v>48363</v>
      </c>
      <c r="U9561" t="s">
        <v>56490</v>
      </c>
      <c r="V9561" t="s">
        <v>62612</v>
      </c>
      <c r="W9561" t="s">
        <v>45547</v>
      </c>
      <c r="X9561" t="s">
        <v>46578</v>
      </c>
    </row>
    <row r="9562" spans="1:24">
      <c r="A9562">
        <f>HYPERLINK("https://www.philgeps.gov.ph/GEPSNONPILOT/Tender/SplashBidNoticeAbstractUI.aspx?menuIndex=3&amp;refID=7053997&amp;Result=3","7053997")</f>
        <v>0</v>
      </c>
      <c r="B9562" t="s">
        <v>785</v>
      </c>
      <c r="C9562" t="s">
        <v>12594</v>
      </c>
      <c r="D9562" t="s">
        <v>18794</v>
      </c>
      <c r="E9562" t="s">
        <v>27185</v>
      </c>
      <c r="F9562" t="s">
        <v>32664</v>
      </c>
      <c r="G9562" t="s">
        <v>32672</v>
      </c>
      <c r="H9562" t="s">
        <v>12635</v>
      </c>
      <c r="I9562" t="s">
        <v>14442</v>
      </c>
      <c r="J9562" t="s">
        <v>38571</v>
      </c>
      <c r="K9562" t="s">
        <v>42281</v>
      </c>
      <c r="M9562" t="s">
        <v>43377</v>
      </c>
      <c r="N9562" t="s">
        <v>46569</v>
      </c>
      <c r="O9562" t="s">
        <v>46570</v>
      </c>
      <c r="Q9562">
        <v>9</v>
      </c>
      <c r="R9562" t="s">
        <v>46577</v>
      </c>
      <c r="S9562" t="s">
        <v>46850</v>
      </c>
      <c r="T9562" t="s">
        <v>48625</v>
      </c>
      <c r="U9562" t="s">
        <v>56496</v>
      </c>
      <c r="W9562" t="s">
        <v>43377</v>
      </c>
      <c r="X9562" t="s">
        <v>46578</v>
      </c>
    </row>
    <row r="9563" spans="1:24">
      <c r="A9563">
        <f>HYPERLINK("https://www.philgeps.gov.ph/GEPSNONPILOT/Tender/SplashBidNoticeAbstractUI.aspx?menuIndex=3&amp;refID=7053995&amp;Result=3","7053995")</f>
        <v>0</v>
      </c>
      <c r="B9563" t="s">
        <v>135</v>
      </c>
      <c r="C9563" t="s">
        <v>12595</v>
      </c>
      <c r="D9563" t="s">
        <v>18807</v>
      </c>
      <c r="E9563" t="s">
        <v>27186</v>
      </c>
      <c r="F9563" t="s">
        <v>32664</v>
      </c>
      <c r="G9563" t="s">
        <v>32672</v>
      </c>
      <c r="H9563" t="s">
        <v>12635</v>
      </c>
      <c r="I9563" t="s">
        <v>4439</v>
      </c>
      <c r="J9563" t="s">
        <v>38572</v>
      </c>
      <c r="K9563" t="s">
        <v>42281</v>
      </c>
      <c r="M9563" t="s">
        <v>42852</v>
      </c>
      <c r="N9563" t="s">
        <v>46569</v>
      </c>
      <c r="O9563" t="s">
        <v>46570</v>
      </c>
      <c r="P9563">
        <v>0</v>
      </c>
      <c r="Q9563">
        <v>0</v>
      </c>
      <c r="R9563" t="s">
        <v>46577</v>
      </c>
      <c r="S9563" t="s">
        <v>46808</v>
      </c>
      <c r="T9563" t="s">
        <v>48228</v>
      </c>
      <c r="U9563" t="s">
        <v>49052</v>
      </c>
      <c r="V9563" t="s">
        <v>61650</v>
      </c>
      <c r="W9563" t="s">
        <v>42852</v>
      </c>
      <c r="X9563" t="s">
        <v>46578</v>
      </c>
    </row>
    <row r="9564" spans="1:24">
      <c r="A9564">
        <f>HYPERLINK("https://www.philgeps.gov.ph/GEPSNONPILOT/Tender/SplashBidNoticeAbstractUI.aspx?menuIndex=3&amp;refID=7053992&amp;Result=3","7053992")</f>
        <v>0</v>
      </c>
      <c r="B9564" t="s">
        <v>556</v>
      </c>
      <c r="C9564" t="s">
        <v>12596</v>
      </c>
      <c r="D9564" t="s">
        <v>18843</v>
      </c>
      <c r="E9564" t="s">
        <v>27187</v>
      </c>
      <c r="F9564" t="s">
        <v>32664</v>
      </c>
      <c r="G9564" t="s">
        <v>32672</v>
      </c>
      <c r="H9564" t="s">
        <v>12635</v>
      </c>
      <c r="I9564" t="s">
        <v>6118</v>
      </c>
      <c r="J9564" t="s">
        <v>38573</v>
      </c>
      <c r="K9564" t="s">
        <v>42284</v>
      </c>
      <c r="M9564" t="s">
        <v>43136</v>
      </c>
      <c r="N9564" t="s">
        <v>46569</v>
      </c>
      <c r="O9564" t="s">
        <v>46570</v>
      </c>
      <c r="P9564">
        <v>0</v>
      </c>
      <c r="Q9564">
        <v>1</v>
      </c>
      <c r="R9564" t="s">
        <v>46577</v>
      </c>
      <c r="S9564" t="s">
        <v>46808</v>
      </c>
      <c r="T9564" t="s">
        <v>48293</v>
      </c>
      <c r="U9564" t="s">
        <v>56497</v>
      </c>
      <c r="V9564" t="s">
        <v>62616</v>
      </c>
      <c r="W9564" t="s">
        <v>43136</v>
      </c>
      <c r="X9564" t="s">
        <v>46578</v>
      </c>
    </row>
    <row r="9565" spans="1:24">
      <c r="A9565">
        <f>HYPERLINK("https://www.philgeps.gov.ph/GEPSNONPILOT/Tender/SplashBidNoticeAbstractUI.aspx?menuIndex=3&amp;refID=7054070&amp;Result=3","7054070")</f>
        <v>0</v>
      </c>
      <c r="B9565" t="s">
        <v>135</v>
      </c>
      <c r="C9565" t="s">
        <v>12597</v>
      </c>
      <c r="D9565" t="s">
        <v>18807</v>
      </c>
      <c r="E9565" t="s">
        <v>27188</v>
      </c>
      <c r="F9565" t="s">
        <v>32664</v>
      </c>
      <c r="G9565" t="s">
        <v>32672</v>
      </c>
      <c r="H9565" t="s">
        <v>12635</v>
      </c>
      <c r="I9565" t="s">
        <v>32685</v>
      </c>
      <c r="J9565" t="s">
        <v>38574</v>
      </c>
      <c r="K9565" t="s">
        <v>42281</v>
      </c>
      <c r="M9565" t="s">
        <v>42852</v>
      </c>
      <c r="N9565" t="s">
        <v>46569</v>
      </c>
      <c r="O9565" t="s">
        <v>46570</v>
      </c>
      <c r="P9565">
        <v>0</v>
      </c>
      <c r="Q9565">
        <v>0</v>
      </c>
      <c r="R9565" t="s">
        <v>46577</v>
      </c>
      <c r="S9565" t="s">
        <v>46808</v>
      </c>
      <c r="T9565" t="s">
        <v>48228</v>
      </c>
      <c r="U9565" t="s">
        <v>49052</v>
      </c>
      <c r="V9565" t="s">
        <v>61650</v>
      </c>
      <c r="W9565" t="s">
        <v>42852</v>
      </c>
      <c r="X9565" t="s">
        <v>46578</v>
      </c>
    </row>
    <row r="9566" spans="1:24">
      <c r="A9566">
        <f>HYPERLINK("https://www.philgeps.gov.ph/GEPSNONPILOT/Tender/SplashBidNoticeAbstractUI.aspx?menuIndex=3&amp;refID=7054073&amp;Result=3","7054073")</f>
        <v>0</v>
      </c>
      <c r="B9566" t="s">
        <v>145</v>
      </c>
      <c r="C9566" t="s">
        <v>12598</v>
      </c>
      <c r="D9566" t="s">
        <v>18784</v>
      </c>
      <c r="E9566" t="s">
        <v>27189</v>
      </c>
      <c r="F9566" t="s">
        <v>32664</v>
      </c>
      <c r="G9566" t="s">
        <v>32671</v>
      </c>
      <c r="H9566" t="s">
        <v>12635</v>
      </c>
      <c r="I9566" t="s">
        <v>32685</v>
      </c>
      <c r="J9566" t="s">
        <v>34390</v>
      </c>
      <c r="K9566" t="s">
        <v>42283</v>
      </c>
      <c r="M9566" t="s">
        <v>44236</v>
      </c>
      <c r="N9566" t="s">
        <v>46569</v>
      </c>
      <c r="O9566" t="s">
        <v>46570</v>
      </c>
      <c r="P9566">
        <v>0</v>
      </c>
      <c r="Q9566">
        <v>7</v>
      </c>
      <c r="R9566" t="s">
        <v>46577</v>
      </c>
      <c r="S9566" t="s">
        <v>46808</v>
      </c>
      <c r="T9566" t="s">
        <v>48578</v>
      </c>
      <c r="U9566" t="s">
        <v>52926</v>
      </c>
      <c r="V9566" t="s">
        <v>62617</v>
      </c>
      <c r="W9566" t="s">
        <v>44236</v>
      </c>
      <c r="X9566" t="s">
        <v>46578</v>
      </c>
    </row>
    <row r="9567" spans="1:24">
      <c r="A9567">
        <f>HYPERLINK("https://www.philgeps.gov.ph/GEPSNONPILOT/Tender/SplashBidNoticeAbstractUI.aspx?menuIndex=3&amp;refID=7053999&amp;Result=3","7053999")</f>
        <v>0</v>
      </c>
      <c r="B9567" t="s">
        <v>1007</v>
      </c>
      <c r="C9567" t="s">
        <v>12599</v>
      </c>
      <c r="D9567" t="s">
        <v>18812</v>
      </c>
      <c r="E9567" t="s">
        <v>27190</v>
      </c>
      <c r="F9567" t="s">
        <v>32664</v>
      </c>
      <c r="G9567" t="s">
        <v>32672</v>
      </c>
      <c r="H9567" t="s">
        <v>12635</v>
      </c>
      <c r="I9567" t="s">
        <v>32699</v>
      </c>
      <c r="J9567" t="s">
        <v>34862</v>
      </c>
      <c r="K9567" t="s">
        <v>42284</v>
      </c>
      <c r="M9567" t="s">
        <v>44391</v>
      </c>
      <c r="N9567" t="s">
        <v>46569</v>
      </c>
      <c r="O9567" t="s">
        <v>46570</v>
      </c>
      <c r="P9567">
        <v>0</v>
      </c>
      <c r="Q9567">
        <v>2</v>
      </c>
      <c r="R9567" t="s">
        <v>46577</v>
      </c>
      <c r="S9567" t="s">
        <v>46808</v>
      </c>
      <c r="T9567" t="s">
        <v>48345</v>
      </c>
      <c r="U9567" t="s">
        <v>56498</v>
      </c>
      <c r="W9567" t="s">
        <v>44391</v>
      </c>
      <c r="X9567" t="s">
        <v>46578</v>
      </c>
    </row>
    <row r="9568" spans="1:24">
      <c r="A9568">
        <f>HYPERLINK("https://www.philgeps.gov.ph/GEPSNONPILOT/Tender/SplashBidNoticeAbstractUI.aspx?menuIndex=3&amp;refID=7054072&amp;Result=3","7054072")</f>
        <v>0</v>
      </c>
      <c r="B9568" t="s">
        <v>1397</v>
      </c>
      <c r="C9568" t="s">
        <v>7628</v>
      </c>
      <c r="D9568" t="s">
        <v>18803</v>
      </c>
      <c r="E9568" t="s">
        <v>27191</v>
      </c>
      <c r="F9568" t="s">
        <v>32664</v>
      </c>
      <c r="G9568" t="s">
        <v>32678</v>
      </c>
      <c r="H9568" t="s">
        <v>32681</v>
      </c>
      <c r="I9568" t="s">
        <v>32681</v>
      </c>
      <c r="J9568" t="s">
        <v>35601</v>
      </c>
      <c r="K9568" t="s">
        <v>42377</v>
      </c>
      <c r="M9568" t="s">
        <v>44054</v>
      </c>
      <c r="N9568" t="s">
        <v>46569</v>
      </c>
      <c r="O9568" t="s">
        <v>46570</v>
      </c>
      <c r="P9568">
        <v>0</v>
      </c>
      <c r="Q9568">
        <v>0</v>
      </c>
      <c r="R9568" t="s">
        <v>46577</v>
      </c>
      <c r="S9568" t="s">
        <v>46808</v>
      </c>
      <c r="T9568" t="s">
        <v>48492</v>
      </c>
      <c r="U9568" t="s">
        <v>52292</v>
      </c>
      <c r="W9568" t="s">
        <v>44054</v>
      </c>
      <c r="X9568" t="s">
        <v>46578</v>
      </c>
    </row>
    <row r="9569" spans="1:24">
      <c r="A9569">
        <f>HYPERLINK("https://www.philgeps.gov.ph/GEPSNONPILOT/Tender/SplashBidNoticeAbstractUI.aspx?menuIndex=3&amp;refID=7054003&amp;Result=3","7054003")</f>
        <v>0</v>
      </c>
      <c r="B9569" t="s">
        <v>2689</v>
      </c>
      <c r="C9569" t="s">
        <v>12600</v>
      </c>
      <c r="D9569" t="s">
        <v>18805</v>
      </c>
      <c r="E9569" t="s">
        <v>27192</v>
      </c>
      <c r="F9569" t="s">
        <v>32664</v>
      </c>
      <c r="G9569" t="s">
        <v>32672</v>
      </c>
      <c r="H9569" t="s">
        <v>12635</v>
      </c>
      <c r="I9569" t="s">
        <v>4439</v>
      </c>
      <c r="J9569" t="s">
        <v>34207</v>
      </c>
      <c r="K9569" t="s">
        <v>42284</v>
      </c>
      <c r="L9569" t="s">
        <v>2689</v>
      </c>
      <c r="M9569" t="s">
        <v>45514</v>
      </c>
      <c r="N9569" t="s">
        <v>46569</v>
      </c>
      <c r="O9569" t="s">
        <v>46570</v>
      </c>
      <c r="P9569">
        <v>0</v>
      </c>
      <c r="Q9569">
        <v>0</v>
      </c>
      <c r="R9569" t="s">
        <v>46577</v>
      </c>
      <c r="S9569" t="s">
        <v>46808</v>
      </c>
      <c r="T9569" t="s">
        <v>48328</v>
      </c>
      <c r="U9569" t="s">
        <v>56451</v>
      </c>
      <c r="V9569" t="s">
        <v>62601</v>
      </c>
      <c r="W9569" t="s">
        <v>45514</v>
      </c>
      <c r="X9569" t="s">
        <v>46578</v>
      </c>
    </row>
    <row r="9570" spans="1:24">
      <c r="A9570">
        <f>HYPERLINK("https://www.philgeps.gov.ph/GEPSNONPILOT/Tender/SplashBidNoticeAbstractUI.aspx?menuIndex=3&amp;refID=7054068&amp;Result=3","7054068")</f>
        <v>0</v>
      </c>
      <c r="B9570" t="s">
        <v>1007</v>
      </c>
      <c r="C9570" t="s">
        <v>12601</v>
      </c>
      <c r="D9570" t="s">
        <v>18812</v>
      </c>
      <c r="E9570" t="s">
        <v>27193</v>
      </c>
      <c r="F9570" t="s">
        <v>32664</v>
      </c>
      <c r="G9570" t="s">
        <v>32672</v>
      </c>
      <c r="H9570" t="s">
        <v>12635</v>
      </c>
      <c r="I9570" t="s">
        <v>32712</v>
      </c>
      <c r="J9570" t="s">
        <v>38575</v>
      </c>
      <c r="K9570" t="s">
        <v>42284</v>
      </c>
      <c r="M9570" t="s">
        <v>44391</v>
      </c>
      <c r="N9570" t="s">
        <v>46569</v>
      </c>
      <c r="O9570" t="s">
        <v>46570</v>
      </c>
      <c r="P9570">
        <v>0</v>
      </c>
      <c r="Q9570">
        <v>11</v>
      </c>
      <c r="R9570" t="s">
        <v>46577</v>
      </c>
      <c r="S9570" t="s">
        <v>46808</v>
      </c>
      <c r="T9570" t="s">
        <v>48345</v>
      </c>
      <c r="U9570" t="s">
        <v>56499</v>
      </c>
      <c r="W9570" t="s">
        <v>44391</v>
      </c>
      <c r="X9570" t="s">
        <v>46578</v>
      </c>
    </row>
    <row r="9571" spans="1:24">
      <c r="A9571">
        <f>HYPERLINK("https://www.philgeps.gov.ph/GEPSNONPILOT/Tender/SplashBidNoticeAbstractUI.aspx?menuIndex=3&amp;refID=7054069&amp;Result=3","7054069")</f>
        <v>0</v>
      </c>
      <c r="B9571" t="s">
        <v>2446</v>
      </c>
      <c r="C9571" t="s">
        <v>12602</v>
      </c>
      <c r="E9571" t="s">
        <v>27194</v>
      </c>
      <c r="F9571" t="s">
        <v>32664</v>
      </c>
      <c r="G9571" t="s">
        <v>32672</v>
      </c>
      <c r="H9571" t="s">
        <v>12635</v>
      </c>
      <c r="I9571" t="s">
        <v>32704</v>
      </c>
      <c r="J9571" t="s">
        <v>33615</v>
      </c>
      <c r="K9571" t="s">
        <v>42283</v>
      </c>
      <c r="M9571" t="s">
        <v>45239</v>
      </c>
      <c r="N9571" t="s">
        <v>46569</v>
      </c>
      <c r="O9571" t="s">
        <v>46570</v>
      </c>
      <c r="Q9571">
        <v>14</v>
      </c>
      <c r="R9571" t="s">
        <v>46577</v>
      </c>
      <c r="S9571" t="s">
        <v>46851</v>
      </c>
      <c r="T9571" t="s">
        <v>48635</v>
      </c>
      <c r="U9571" t="s">
        <v>56500</v>
      </c>
      <c r="V9571" t="s">
        <v>62618</v>
      </c>
      <c r="W9571" t="s">
        <v>45239</v>
      </c>
      <c r="X9571" t="s">
        <v>46578</v>
      </c>
    </row>
    <row r="9572" spans="1:24">
      <c r="A9572">
        <f>HYPERLINK("https://www.philgeps.gov.ph/GEPSNONPILOT/Tender/SplashBidNoticeAbstractUI.aspx?menuIndex=3&amp;refID=7054066&amp;Result=3","7054066")</f>
        <v>0</v>
      </c>
      <c r="B9572" t="s">
        <v>1112</v>
      </c>
      <c r="C9572" t="s">
        <v>12603</v>
      </c>
      <c r="D9572" t="s">
        <v>18842</v>
      </c>
      <c r="E9572" t="s">
        <v>27195</v>
      </c>
      <c r="F9572" t="s">
        <v>32664</v>
      </c>
      <c r="G9572" t="s">
        <v>32674</v>
      </c>
      <c r="H9572" t="s">
        <v>12635</v>
      </c>
      <c r="I9572" t="s">
        <v>8797</v>
      </c>
      <c r="J9572" t="s">
        <v>38576</v>
      </c>
      <c r="K9572" t="s">
        <v>42284</v>
      </c>
      <c r="M9572" t="s">
        <v>43739</v>
      </c>
      <c r="N9572" t="s">
        <v>46569</v>
      </c>
      <c r="O9572" t="s">
        <v>46570</v>
      </c>
      <c r="P9572">
        <v>0</v>
      </c>
      <c r="Q9572">
        <v>8</v>
      </c>
      <c r="R9572" t="s">
        <v>46577</v>
      </c>
      <c r="S9572" t="s">
        <v>46808</v>
      </c>
      <c r="T9572" t="s">
        <v>48316</v>
      </c>
      <c r="U9572" t="s">
        <v>56501</v>
      </c>
      <c r="V9572" t="s">
        <v>62613</v>
      </c>
      <c r="W9572" t="s">
        <v>43739</v>
      </c>
      <c r="X9572" t="s">
        <v>46578</v>
      </c>
    </row>
    <row r="9573" spans="1:24">
      <c r="A9573">
        <f>HYPERLINK("https://www.philgeps.gov.ph/GEPSNONPILOT/Tender/SplashBidNoticeAbstractUI.aspx?menuIndex=3&amp;refID=7054057&amp;Result=3","7054057")</f>
        <v>0</v>
      </c>
      <c r="B9573" t="s">
        <v>1201</v>
      </c>
      <c r="C9573" t="s">
        <v>12604</v>
      </c>
      <c r="D9573" t="s">
        <v>18855</v>
      </c>
      <c r="E9573" t="s">
        <v>22862</v>
      </c>
      <c r="F9573" t="s">
        <v>32664</v>
      </c>
      <c r="G9573" t="s">
        <v>32672</v>
      </c>
      <c r="H9573" t="s">
        <v>32683</v>
      </c>
      <c r="I9573" t="s">
        <v>10627</v>
      </c>
      <c r="J9573" t="s">
        <v>33345</v>
      </c>
      <c r="K9573" t="s">
        <v>42298</v>
      </c>
      <c r="M9573" t="s">
        <v>43838</v>
      </c>
      <c r="N9573" t="s">
        <v>46569</v>
      </c>
      <c r="O9573" t="s">
        <v>46570</v>
      </c>
      <c r="P9573">
        <v>0</v>
      </c>
      <c r="Q9573">
        <v>0</v>
      </c>
      <c r="R9573" t="s">
        <v>46577</v>
      </c>
      <c r="S9573" t="s">
        <v>46808</v>
      </c>
      <c r="T9573" t="s">
        <v>48314</v>
      </c>
      <c r="U9573" t="s">
        <v>53644</v>
      </c>
      <c r="W9573" t="s">
        <v>43838</v>
      </c>
      <c r="X9573" t="s">
        <v>46578</v>
      </c>
    </row>
    <row r="9574" spans="1:24">
      <c r="A9574">
        <f>HYPERLINK("https://www.philgeps.gov.ph/GEPSNONPILOT/Tender/SplashBidNoticeAbstractUI.aspx?menuIndex=3&amp;refID=7054050&amp;Result=3","7054050")</f>
        <v>0</v>
      </c>
      <c r="B9574" t="s">
        <v>2721</v>
      </c>
      <c r="C9574" t="s">
        <v>12605</v>
      </c>
      <c r="D9574" t="s">
        <v>18804</v>
      </c>
      <c r="E9574" t="s">
        <v>19380</v>
      </c>
      <c r="F9574" t="s">
        <v>32664</v>
      </c>
      <c r="G9574" t="s">
        <v>32672</v>
      </c>
      <c r="H9574" t="s">
        <v>32683</v>
      </c>
      <c r="I9574" t="s">
        <v>32716</v>
      </c>
      <c r="J9574" t="s">
        <v>38577</v>
      </c>
      <c r="K9574" t="s">
        <v>42305</v>
      </c>
      <c r="M9574" t="s">
        <v>45550</v>
      </c>
      <c r="N9574" t="s">
        <v>46569</v>
      </c>
      <c r="O9574" t="s">
        <v>46570</v>
      </c>
      <c r="P9574">
        <v>0</v>
      </c>
      <c r="Q9574">
        <v>1</v>
      </c>
      <c r="R9574" t="s">
        <v>46577</v>
      </c>
      <c r="S9574" t="s">
        <v>46808</v>
      </c>
      <c r="T9574" t="s">
        <v>48302</v>
      </c>
      <c r="U9574" t="s">
        <v>56502</v>
      </c>
      <c r="W9574" t="s">
        <v>45550</v>
      </c>
      <c r="X9574" t="s">
        <v>46578</v>
      </c>
    </row>
    <row r="9575" spans="1:24">
      <c r="A9575">
        <f>HYPERLINK("https://www.philgeps.gov.ph/GEPSNONPILOT/Tender/SplashBidNoticeAbstractUI.aspx?menuIndex=3&amp;refID=7054058&amp;Result=3","7054058")</f>
        <v>0</v>
      </c>
      <c r="B9575" t="s">
        <v>135</v>
      </c>
      <c r="C9575" t="s">
        <v>12606</v>
      </c>
      <c r="D9575" t="s">
        <v>18807</v>
      </c>
      <c r="E9575" t="s">
        <v>27196</v>
      </c>
      <c r="F9575" t="s">
        <v>32664</v>
      </c>
      <c r="G9575" t="s">
        <v>32672</v>
      </c>
      <c r="H9575" t="s">
        <v>12635</v>
      </c>
      <c r="I9575" t="s">
        <v>32685</v>
      </c>
      <c r="J9575" t="s">
        <v>38578</v>
      </c>
      <c r="K9575" t="s">
        <v>42281</v>
      </c>
      <c r="M9575" t="s">
        <v>42852</v>
      </c>
      <c r="N9575" t="s">
        <v>46569</v>
      </c>
      <c r="O9575" t="s">
        <v>46570</v>
      </c>
      <c r="P9575">
        <v>0</v>
      </c>
      <c r="Q9575">
        <v>0</v>
      </c>
      <c r="R9575" t="s">
        <v>46577</v>
      </c>
      <c r="S9575" t="s">
        <v>46808</v>
      </c>
      <c r="T9575" t="s">
        <v>48228</v>
      </c>
      <c r="U9575" t="s">
        <v>49052</v>
      </c>
      <c r="V9575" t="s">
        <v>61650</v>
      </c>
      <c r="W9575" t="s">
        <v>42852</v>
      </c>
      <c r="X9575" t="s">
        <v>46578</v>
      </c>
    </row>
    <row r="9576" spans="1:24">
      <c r="A9576">
        <f>HYPERLINK("https://www.philgeps.gov.ph/GEPSNONPILOT/Tender/SplashBidNoticeAbstractUI.aspx?menuIndex=3&amp;refID=7054044&amp;Result=3","7054044")</f>
        <v>0</v>
      </c>
      <c r="B9576" t="s">
        <v>1863</v>
      </c>
      <c r="C9576" t="s">
        <v>12607</v>
      </c>
      <c r="D9576" t="s">
        <v>18783</v>
      </c>
      <c r="E9576" t="s">
        <v>27197</v>
      </c>
      <c r="F9576" t="s">
        <v>32664</v>
      </c>
      <c r="G9576" t="s">
        <v>32672</v>
      </c>
      <c r="H9576" t="s">
        <v>12635</v>
      </c>
      <c r="I9576" t="s">
        <v>32699</v>
      </c>
      <c r="J9576" t="s">
        <v>32865</v>
      </c>
      <c r="K9576" t="s">
        <v>42378</v>
      </c>
      <c r="M9576" t="s">
        <v>44576</v>
      </c>
      <c r="N9576" t="s">
        <v>46569</v>
      </c>
      <c r="O9576" t="s">
        <v>46570</v>
      </c>
      <c r="P9576">
        <v>0</v>
      </c>
      <c r="Q9576">
        <v>0</v>
      </c>
      <c r="R9576" t="s">
        <v>46577</v>
      </c>
      <c r="S9576" t="s">
        <v>46808</v>
      </c>
      <c r="T9576" t="s">
        <v>48307</v>
      </c>
      <c r="U9576" t="s">
        <v>56503</v>
      </c>
      <c r="V9576" t="s">
        <v>62608</v>
      </c>
      <c r="W9576" t="s">
        <v>44576</v>
      </c>
      <c r="X9576" t="s">
        <v>46578</v>
      </c>
    </row>
    <row r="9577" spans="1:24">
      <c r="A9577">
        <f>HYPERLINK("https://www.philgeps.gov.ph/GEPSNONPILOT/Tender/SplashBidNoticeAbstractUI.aspx?menuIndex=3&amp;refID=7054017&amp;Result=3","7054017")</f>
        <v>0</v>
      </c>
      <c r="B9577" t="s">
        <v>1274</v>
      </c>
      <c r="C9577" t="s">
        <v>12608</v>
      </c>
      <c r="D9577" t="s">
        <v>18784</v>
      </c>
      <c r="E9577" t="s">
        <v>27198</v>
      </c>
      <c r="F9577" t="s">
        <v>32664</v>
      </c>
      <c r="G9577" t="s">
        <v>32671</v>
      </c>
      <c r="H9577" t="s">
        <v>12635</v>
      </c>
      <c r="I9577" t="s">
        <v>5589</v>
      </c>
      <c r="J9577" t="s">
        <v>32865</v>
      </c>
      <c r="K9577" t="s">
        <v>42284</v>
      </c>
      <c r="M9577" t="s">
        <v>43917</v>
      </c>
      <c r="N9577" t="s">
        <v>46569</v>
      </c>
      <c r="O9577" t="s">
        <v>46570</v>
      </c>
      <c r="P9577">
        <v>0</v>
      </c>
      <c r="Q9577">
        <v>7</v>
      </c>
      <c r="R9577" t="s">
        <v>46577</v>
      </c>
      <c r="S9577" t="s">
        <v>46808</v>
      </c>
      <c r="T9577" t="s">
        <v>48473</v>
      </c>
      <c r="U9577" t="s">
        <v>56504</v>
      </c>
      <c r="V9577" t="s">
        <v>62118</v>
      </c>
      <c r="W9577" t="s">
        <v>43917</v>
      </c>
      <c r="X9577" t="s">
        <v>46578</v>
      </c>
    </row>
    <row r="9578" spans="1:24">
      <c r="A9578">
        <f>HYPERLINK("https://www.philgeps.gov.ph/GEPSNONPILOT/Tender/SplashBidNoticeAbstractUI.aspx?menuIndex=3&amp;refID=7054056&amp;Result=3","7054056")</f>
        <v>0</v>
      </c>
      <c r="B9578" t="s">
        <v>785</v>
      </c>
      <c r="C9578" t="s">
        <v>12609</v>
      </c>
      <c r="D9578" t="s">
        <v>18794</v>
      </c>
      <c r="E9578" t="s">
        <v>27199</v>
      </c>
      <c r="F9578" t="s">
        <v>32664</v>
      </c>
      <c r="G9578" t="s">
        <v>32672</v>
      </c>
      <c r="H9578" t="s">
        <v>12635</v>
      </c>
      <c r="I9578" t="s">
        <v>14442</v>
      </c>
      <c r="J9578" t="s">
        <v>35541</v>
      </c>
      <c r="K9578" t="s">
        <v>42281</v>
      </c>
      <c r="M9578" t="s">
        <v>43377</v>
      </c>
      <c r="N9578" t="s">
        <v>46569</v>
      </c>
      <c r="O9578" t="s">
        <v>46570</v>
      </c>
      <c r="Q9578">
        <v>7</v>
      </c>
      <c r="R9578" t="s">
        <v>46577</v>
      </c>
      <c r="S9578" t="s">
        <v>46852</v>
      </c>
      <c r="T9578" t="s">
        <v>48346</v>
      </c>
      <c r="U9578" t="s">
        <v>56505</v>
      </c>
      <c r="W9578" t="s">
        <v>43377</v>
      </c>
      <c r="X9578" t="s">
        <v>46578</v>
      </c>
    </row>
    <row r="9579" spans="1:24">
      <c r="A9579">
        <f>HYPERLINK("https://www.philgeps.gov.ph/GEPSNONPILOT/Tender/SplashBidNoticeAbstractUI.aspx?menuIndex=3&amp;refID=7054043&amp;Result=3","7054043")</f>
        <v>0</v>
      </c>
      <c r="B9579" t="s">
        <v>1085</v>
      </c>
      <c r="C9579" t="s">
        <v>12610</v>
      </c>
      <c r="D9579" t="s">
        <v>18851</v>
      </c>
      <c r="E9579" t="s">
        <v>27200</v>
      </c>
      <c r="F9579" t="s">
        <v>32664</v>
      </c>
      <c r="G9579" t="s">
        <v>32672</v>
      </c>
      <c r="H9579" t="s">
        <v>32683</v>
      </c>
      <c r="I9579" t="s">
        <v>10627</v>
      </c>
      <c r="J9579" t="s">
        <v>38579</v>
      </c>
      <c r="K9579" t="s">
        <v>42311</v>
      </c>
      <c r="M9579" t="s">
        <v>43711</v>
      </c>
      <c r="N9579" t="s">
        <v>46569</v>
      </c>
      <c r="O9579" t="s">
        <v>46570</v>
      </c>
      <c r="P9579">
        <v>0</v>
      </c>
      <c r="Q9579">
        <v>0</v>
      </c>
      <c r="R9579" t="s">
        <v>46577</v>
      </c>
      <c r="S9579" t="s">
        <v>46808</v>
      </c>
      <c r="T9579" t="s">
        <v>48349</v>
      </c>
      <c r="U9579" t="s">
        <v>56506</v>
      </c>
      <c r="V9579" t="s">
        <v>62619</v>
      </c>
      <c r="W9579" t="s">
        <v>43711</v>
      </c>
      <c r="X9579" t="s">
        <v>46578</v>
      </c>
    </row>
    <row r="9580" spans="1:24">
      <c r="A9580">
        <f>HYPERLINK("https://www.philgeps.gov.ph/GEPSNONPILOT/Tender/SplashBidNoticeAbstractUI.aspx?menuIndex=3&amp;refID=7054002&amp;Result=3","7054002")</f>
        <v>0</v>
      </c>
      <c r="B9580" t="s">
        <v>1912</v>
      </c>
      <c r="C9580" t="s">
        <v>12611</v>
      </c>
      <c r="D9580" t="s">
        <v>18802</v>
      </c>
      <c r="E9580" t="s">
        <v>27201</v>
      </c>
      <c r="F9580" t="s">
        <v>32664</v>
      </c>
      <c r="G9580" t="s">
        <v>32672</v>
      </c>
      <c r="H9580" t="s">
        <v>12635</v>
      </c>
      <c r="I9580" t="s">
        <v>10374</v>
      </c>
      <c r="J9580" t="s">
        <v>32865</v>
      </c>
      <c r="K9580" t="s">
        <v>42297</v>
      </c>
      <c r="M9580" t="s">
        <v>44633</v>
      </c>
      <c r="N9580" t="s">
        <v>46569</v>
      </c>
      <c r="O9580" t="s">
        <v>46570</v>
      </c>
      <c r="P9580">
        <v>0</v>
      </c>
      <c r="Q9580">
        <v>2</v>
      </c>
      <c r="R9580" t="s">
        <v>46577</v>
      </c>
      <c r="S9580" t="s">
        <v>46808</v>
      </c>
      <c r="T9580" t="s">
        <v>48254</v>
      </c>
      <c r="U9580" t="s">
        <v>56507</v>
      </c>
      <c r="W9580" t="s">
        <v>44633</v>
      </c>
      <c r="X9580" t="s">
        <v>46578</v>
      </c>
    </row>
    <row r="9581" spans="1:24">
      <c r="A9581">
        <f>HYPERLINK("https://www.philgeps.gov.ph/GEPSNONPILOT/Tender/SplashBidNoticeAbstractUI.aspx?menuIndex=3&amp;refID=7054045&amp;Result=3","7054045")</f>
        <v>0</v>
      </c>
      <c r="B9581" t="s">
        <v>310</v>
      </c>
      <c r="C9581" t="s">
        <v>12612</v>
      </c>
      <c r="D9581" t="s">
        <v>18789</v>
      </c>
      <c r="E9581" t="s">
        <v>27202</v>
      </c>
      <c r="F9581" t="s">
        <v>32664</v>
      </c>
      <c r="G9581" t="s">
        <v>32671</v>
      </c>
      <c r="H9581" t="s">
        <v>12635</v>
      </c>
      <c r="I9581" t="s">
        <v>8730</v>
      </c>
      <c r="J9581" t="s">
        <v>32917</v>
      </c>
      <c r="K9581" t="s">
        <v>42289</v>
      </c>
      <c r="M9581" t="s">
        <v>42877</v>
      </c>
      <c r="N9581" t="s">
        <v>46569</v>
      </c>
      <c r="O9581" t="s">
        <v>46570</v>
      </c>
      <c r="P9581">
        <v>0</v>
      </c>
      <c r="Q9581">
        <v>5</v>
      </c>
      <c r="R9581" t="s">
        <v>46577</v>
      </c>
      <c r="S9581" t="s">
        <v>46808</v>
      </c>
      <c r="T9581" t="s">
        <v>48246</v>
      </c>
      <c r="U9581" t="s">
        <v>56508</v>
      </c>
      <c r="V9581" t="s">
        <v>62620</v>
      </c>
      <c r="W9581" t="s">
        <v>42877</v>
      </c>
      <c r="X9581" t="s">
        <v>46578</v>
      </c>
    </row>
    <row r="9582" spans="1:24">
      <c r="A9582">
        <f>HYPERLINK("https://www.philgeps.gov.ph/GEPSNONPILOT/Tender/SplashBidNoticeAbstractUI.aspx?menuIndex=3&amp;refID=7054117&amp;Result=3","7054117")</f>
        <v>0</v>
      </c>
      <c r="B9582" t="s">
        <v>1397</v>
      </c>
      <c r="C9582" t="s">
        <v>12613</v>
      </c>
      <c r="D9582" t="s">
        <v>18803</v>
      </c>
      <c r="E9582" t="s">
        <v>22102</v>
      </c>
      <c r="F9582" t="s">
        <v>32664</v>
      </c>
      <c r="G9582" t="s">
        <v>32678</v>
      </c>
      <c r="H9582" t="s">
        <v>32681</v>
      </c>
      <c r="I9582" t="s">
        <v>32681</v>
      </c>
      <c r="J9582" t="s">
        <v>38580</v>
      </c>
      <c r="K9582" t="s">
        <v>42377</v>
      </c>
      <c r="M9582" t="s">
        <v>44054</v>
      </c>
      <c r="N9582" t="s">
        <v>46569</v>
      </c>
      <c r="O9582" t="s">
        <v>46570</v>
      </c>
      <c r="P9582">
        <v>0</v>
      </c>
      <c r="Q9582">
        <v>0</v>
      </c>
      <c r="R9582" t="s">
        <v>46577</v>
      </c>
      <c r="S9582" t="s">
        <v>46808</v>
      </c>
      <c r="T9582" t="s">
        <v>48492</v>
      </c>
      <c r="U9582" t="s">
        <v>56509</v>
      </c>
      <c r="W9582" t="s">
        <v>44054</v>
      </c>
      <c r="X9582" t="s">
        <v>46578</v>
      </c>
    </row>
    <row r="9583" spans="1:24">
      <c r="A9583">
        <f>HYPERLINK("https://www.philgeps.gov.ph/GEPSNONPILOT/Tender/SplashBidNoticeAbstractUI.aspx?menuIndex=3&amp;refID=7054052&amp;Result=3","7054052")</f>
        <v>0</v>
      </c>
      <c r="B9583" t="s">
        <v>50</v>
      </c>
      <c r="C9583" t="s">
        <v>12614</v>
      </c>
      <c r="D9583" t="s">
        <v>18800</v>
      </c>
      <c r="E9583" t="s">
        <v>27203</v>
      </c>
      <c r="F9583" t="s">
        <v>32664</v>
      </c>
      <c r="G9583" t="s">
        <v>32672</v>
      </c>
      <c r="H9583" t="s">
        <v>32683</v>
      </c>
      <c r="I9583" t="s">
        <v>10627</v>
      </c>
      <c r="J9583" t="s">
        <v>32837</v>
      </c>
      <c r="K9583" t="s">
        <v>42290</v>
      </c>
      <c r="M9583" t="s">
        <v>42612</v>
      </c>
      <c r="N9583" t="s">
        <v>46569</v>
      </c>
      <c r="O9583" t="s">
        <v>46570</v>
      </c>
      <c r="P9583">
        <v>0</v>
      </c>
      <c r="Q9583">
        <v>1</v>
      </c>
      <c r="R9583" t="s">
        <v>46577</v>
      </c>
      <c r="S9583" t="s">
        <v>46808</v>
      </c>
      <c r="T9583" t="s">
        <v>48376</v>
      </c>
      <c r="U9583" t="s">
        <v>56510</v>
      </c>
      <c r="W9583" t="s">
        <v>42612</v>
      </c>
      <c r="X9583" t="s">
        <v>46578</v>
      </c>
    </row>
    <row r="9584" spans="1:24">
      <c r="A9584">
        <f>HYPERLINK("https://www.philgeps.gov.ph/GEPSNONPILOT/Tender/SplashBidNoticeAbstractUI.aspx?menuIndex=3&amp;refID=7054114&amp;Result=3","7054114")</f>
        <v>0</v>
      </c>
      <c r="B9584" t="s">
        <v>135</v>
      </c>
      <c r="C9584" t="s">
        <v>12615</v>
      </c>
      <c r="D9584" t="s">
        <v>18807</v>
      </c>
      <c r="E9584" t="s">
        <v>27204</v>
      </c>
      <c r="F9584" t="s">
        <v>32664</v>
      </c>
      <c r="G9584" t="s">
        <v>32672</v>
      </c>
      <c r="H9584" t="s">
        <v>12635</v>
      </c>
      <c r="I9584" t="s">
        <v>32685</v>
      </c>
      <c r="J9584" t="s">
        <v>38581</v>
      </c>
      <c r="K9584" t="s">
        <v>42281</v>
      </c>
      <c r="M9584" t="s">
        <v>42852</v>
      </c>
      <c r="N9584" t="s">
        <v>46569</v>
      </c>
      <c r="O9584" t="s">
        <v>46570</v>
      </c>
      <c r="P9584">
        <v>0</v>
      </c>
      <c r="Q9584">
        <v>0</v>
      </c>
      <c r="R9584" t="s">
        <v>46577</v>
      </c>
      <c r="S9584" t="s">
        <v>46808</v>
      </c>
      <c r="T9584" t="s">
        <v>48228</v>
      </c>
      <c r="U9584" t="s">
        <v>49052</v>
      </c>
      <c r="V9584" t="s">
        <v>61650</v>
      </c>
      <c r="W9584" t="s">
        <v>42852</v>
      </c>
      <c r="X9584" t="s">
        <v>46578</v>
      </c>
    </row>
    <row r="9585" spans="1:24">
      <c r="A9585">
        <f>HYPERLINK("https://www.philgeps.gov.ph/GEPSNONPILOT/Tender/SplashBidNoticeAbstractUI.aspx?menuIndex=3&amp;refID=7054107&amp;Result=3","7054107")</f>
        <v>0</v>
      </c>
      <c r="B9585" t="s">
        <v>1085</v>
      </c>
      <c r="C9585" t="s">
        <v>12610</v>
      </c>
      <c r="D9585" t="s">
        <v>18851</v>
      </c>
      <c r="E9585" t="s">
        <v>27205</v>
      </c>
      <c r="F9585" t="s">
        <v>32664</v>
      </c>
      <c r="G9585" t="s">
        <v>32672</v>
      </c>
      <c r="H9585" t="s">
        <v>32683</v>
      </c>
      <c r="I9585" t="s">
        <v>10627</v>
      </c>
      <c r="J9585" t="s">
        <v>38582</v>
      </c>
      <c r="K9585" t="s">
        <v>42311</v>
      </c>
      <c r="M9585" t="s">
        <v>43711</v>
      </c>
      <c r="N9585" t="s">
        <v>46569</v>
      </c>
      <c r="O9585" t="s">
        <v>46570</v>
      </c>
      <c r="P9585">
        <v>0</v>
      </c>
      <c r="Q9585">
        <v>0</v>
      </c>
      <c r="R9585" t="s">
        <v>46577</v>
      </c>
      <c r="S9585" t="s">
        <v>46808</v>
      </c>
      <c r="T9585" t="s">
        <v>48349</v>
      </c>
      <c r="U9585" t="s">
        <v>56511</v>
      </c>
      <c r="V9585" t="s">
        <v>62621</v>
      </c>
      <c r="W9585" t="s">
        <v>43711</v>
      </c>
      <c r="X9585" t="s">
        <v>46578</v>
      </c>
    </row>
    <row r="9586" spans="1:24">
      <c r="A9586">
        <f>HYPERLINK("https://www.philgeps.gov.ph/GEPSNONPILOT/Tender/SplashBidNoticeAbstractUI.aspx?menuIndex=3&amp;refID=7054103&amp;Result=3","7054103")</f>
        <v>0</v>
      </c>
      <c r="B9586" t="s">
        <v>472</v>
      </c>
      <c r="C9586" t="s">
        <v>12616</v>
      </c>
      <c r="D9586" t="s">
        <v>18804</v>
      </c>
      <c r="E9586" t="s">
        <v>27206</v>
      </c>
      <c r="F9586" t="s">
        <v>32664</v>
      </c>
      <c r="G9586" t="s">
        <v>32671</v>
      </c>
      <c r="H9586" t="s">
        <v>12635</v>
      </c>
      <c r="I9586" t="s">
        <v>10370</v>
      </c>
      <c r="J9586" t="s">
        <v>38583</v>
      </c>
      <c r="K9586" t="s">
        <v>42303</v>
      </c>
      <c r="M9586" t="s">
        <v>43047</v>
      </c>
      <c r="N9586" t="s">
        <v>46569</v>
      </c>
      <c r="O9586" t="s">
        <v>46570</v>
      </c>
      <c r="P9586">
        <v>0</v>
      </c>
      <c r="Q9586">
        <v>0</v>
      </c>
      <c r="R9586" t="s">
        <v>46577</v>
      </c>
      <c r="S9586" t="s">
        <v>46808</v>
      </c>
      <c r="T9586" t="s">
        <v>48287</v>
      </c>
      <c r="U9586" t="s">
        <v>56512</v>
      </c>
      <c r="V9586" t="s">
        <v>61731</v>
      </c>
      <c r="W9586" t="s">
        <v>43047</v>
      </c>
      <c r="X9586" t="s">
        <v>46578</v>
      </c>
    </row>
    <row r="9587" spans="1:24">
      <c r="A9587">
        <f>HYPERLINK("https://www.philgeps.gov.ph/GEPSNONPILOT/Tender/SplashBidNoticeAbstractUI.aspx?menuIndex=3&amp;refID=7054102&amp;Result=3","7054102")</f>
        <v>0</v>
      </c>
      <c r="B9587" t="s">
        <v>1376</v>
      </c>
      <c r="C9587" t="s">
        <v>12617</v>
      </c>
      <c r="D9587" t="s">
        <v>18841</v>
      </c>
      <c r="E9587" t="s">
        <v>27207</v>
      </c>
      <c r="F9587" t="s">
        <v>32664</v>
      </c>
      <c r="G9587" t="s">
        <v>32672</v>
      </c>
      <c r="H9587" t="s">
        <v>12635</v>
      </c>
      <c r="I9587" t="s">
        <v>4439</v>
      </c>
      <c r="J9587" t="s">
        <v>38584</v>
      </c>
      <c r="K9587" t="s">
        <v>42297</v>
      </c>
      <c r="M9587" t="s">
        <v>44031</v>
      </c>
      <c r="N9587" t="s">
        <v>46569</v>
      </c>
      <c r="O9587" t="s">
        <v>46570</v>
      </c>
      <c r="P9587">
        <v>0</v>
      </c>
      <c r="Q9587">
        <v>0</v>
      </c>
      <c r="R9587" t="s">
        <v>46577</v>
      </c>
      <c r="S9587" t="s">
        <v>46808</v>
      </c>
      <c r="T9587" t="s">
        <v>48405</v>
      </c>
      <c r="U9587" t="s">
        <v>56513</v>
      </c>
      <c r="V9587" t="s">
        <v>62622</v>
      </c>
      <c r="W9587" t="s">
        <v>44031</v>
      </c>
      <c r="X9587" t="s">
        <v>46578</v>
      </c>
    </row>
    <row r="9588" spans="1:24">
      <c r="A9588">
        <f>HYPERLINK("https://www.philgeps.gov.ph/GEPSNONPILOT/Tender/SplashBidNoticeAbstractUI.aspx?menuIndex=3&amp;refID=7054099&amp;Result=3","7054099")</f>
        <v>0</v>
      </c>
      <c r="B9588" t="s">
        <v>468</v>
      </c>
      <c r="C9588" t="s">
        <v>12618</v>
      </c>
      <c r="D9588" t="s">
        <v>18827</v>
      </c>
      <c r="E9588" t="s">
        <v>27208</v>
      </c>
      <c r="F9588" t="s">
        <v>32664</v>
      </c>
      <c r="G9588" t="s">
        <v>32671</v>
      </c>
      <c r="H9588" t="s">
        <v>12635</v>
      </c>
      <c r="I9588" t="s">
        <v>9597</v>
      </c>
      <c r="J9588" t="s">
        <v>34247</v>
      </c>
      <c r="K9588" t="s">
        <v>42289</v>
      </c>
      <c r="M9588" t="s">
        <v>43043</v>
      </c>
      <c r="N9588" t="s">
        <v>46569</v>
      </c>
      <c r="O9588" t="s">
        <v>46570</v>
      </c>
      <c r="P9588">
        <v>0</v>
      </c>
      <c r="Q9588">
        <v>0</v>
      </c>
      <c r="R9588" t="s">
        <v>46577</v>
      </c>
      <c r="S9588" t="s">
        <v>46808</v>
      </c>
      <c r="T9588" t="s">
        <v>48316</v>
      </c>
      <c r="U9588" t="s">
        <v>49617</v>
      </c>
      <c r="V9588" t="s">
        <v>62623</v>
      </c>
      <c r="W9588" t="s">
        <v>43043</v>
      </c>
      <c r="X9588" t="s">
        <v>46578</v>
      </c>
    </row>
    <row r="9589" spans="1:24">
      <c r="A9589">
        <f>HYPERLINK("https://www.philgeps.gov.ph/GEPSNONPILOT/Tender/SplashBidNoticeAbstractUI.aspx?menuIndex=3&amp;refID=7054112&amp;Result=3","7054112")</f>
        <v>0</v>
      </c>
      <c r="B9589" t="s">
        <v>2689</v>
      </c>
      <c r="C9589" t="s">
        <v>12619</v>
      </c>
      <c r="D9589" t="s">
        <v>18805</v>
      </c>
      <c r="E9589" t="s">
        <v>27209</v>
      </c>
      <c r="F9589" t="s">
        <v>32664</v>
      </c>
      <c r="G9589" t="s">
        <v>32672</v>
      </c>
      <c r="H9589" t="s">
        <v>12635</v>
      </c>
      <c r="I9589" t="s">
        <v>4439</v>
      </c>
      <c r="J9589" t="s">
        <v>34207</v>
      </c>
      <c r="K9589" t="s">
        <v>42284</v>
      </c>
      <c r="L9589" t="s">
        <v>2689</v>
      </c>
      <c r="M9589" t="s">
        <v>45514</v>
      </c>
      <c r="N9589" t="s">
        <v>46569</v>
      </c>
      <c r="O9589" t="s">
        <v>46570</v>
      </c>
      <c r="P9589">
        <v>0</v>
      </c>
      <c r="Q9589">
        <v>0</v>
      </c>
      <c r="R9589" t="s">
        <v>46577</v>
      </c>
      <c r="S9589" t="s">
        <v>46808</v>
      </c>
      <c r="T9589" t="s">
        <v>48328</v>
      </c>
      <c r="U9589" t="s">
        <v>56451</v>
      </c>
      <c r="V9589" t="s">
        <v>62601</v>
      </c>
      <c r="W9589" t="s">
        <v>45514</v>
      </c>
      <c r="X9589" t="s">
        <v>46578</v>
      </c>
    </row>
    <row r="9590" spans="1:24">
      <c r="A9590">
        <f>HYPERLINK("https://www.philgeps.gov.ph/GEPSNONPILOT/Tender/SplashBidNoticeAbstractUI.aspx?menuIndex=3&amp;refID=7054097&amp;Result=3","7054097")</f>
        <v>0</v>
      </c>
      <c r="B9590" t="s">
        <v>1219</v>
      </c>
      <c r="C9590" t="s">
        <v>12620</v>
      </c>
      <c r="D9590" t="s">
        <v>18791</v>
      </c>
      <c r="E9590" t="s">
        <v>27210</v>
      </c>
      <c r="F9590" t="s">
        <v>32664</v>
      </c>
      <c r="G9590" t="s">
        <v>32671</v>
      </c>
      <c r="H9590" t="s">
        <v>12635</v>
      </c>
      <c r="I9590" t="s">
        <v>4205</v>
      </c>
      <c r="J9590" t="s">
        <v>38585</v>
      </c>
      <c r="K9590" t="s">
        <v>42281</v>
      </c>
      <c r="M9590" t="s">
        <v>43857</v>
      </c>
      <c r="N9590" t="s">
        <v>46569</v>
      </c>
      <c r="O9590" t="s">
        <v>46570</v>
      </c>
      <c r="P9590">
        <v>0</v>
      </c>
      <c r="Q9590">
        <v>0</v>
      </c>
      <c r="R9590" t="s">
        <v>46577</v>
      </c>
      <c r="S9590" t="s">
        <v>46808</v>
      </c>
      <c r="T9590" t="s">
        <v>48254</v>
      </c>
      <c r="U9590" t="s">
        <v>56514</v>
      </c>
      <c r="W9590" t="s">
        <v>43857</v>
      </c>
      <c r="X9590" t="s">
        <v>46578</v>
      </c>
    </row>
    <row r="9591" spans="1:24">
      <c r="A9591">
        <f>HYPERLINK("https://www.philgeps.gov.ph/GEPSNONPILOT/Tender/SplashBidNoticeAbstractUI.aspx?menuIndex=3&amp;refID=7054092&amp;Result=3","7054092")</f>
        <v>0</v>
      </c>
      <c r="B9591" t="s">
        <v>1112</v>
      </c>
      <c r="C9591" t="s">
        <v>12621</v>
      </c>
      <c r="D9591" t="s">
        <v>18842</v>
      </c>
      <c r="E9591" t="s">
        <v>27211</v>
      </c>
      <c r="F9591" t="s">
        <v>32664</v>
      </c>
      <c r="G9591" t="s">
        <v>32674</v>
      </c>
      <c r="H9591" t="s">
        <v>12635</v>
      </c>
      <c r="I9591" t="s">
        <v>8797</v>
      </c>
      <c r="J9591" t="s">
        <v>33425</v>
      </c>
      <c r="K9591" t="s">
        <v>42284</v>
      </c>
      <c r="M9591" t="s">
        <v>43739</v>
      </c>
      <c r="N9591" t="s">
        <v>46569</v>
      </c>
      <c r="O9591" t="s">
        <v>46570</v>
      </c>
      <c r="P9591">
        <v>0</v>
      </c>
      <c r="Q9591">
        <v>7</v>
      </c>
      <c r="R9591" t="s">
        <v>46577</v>
      </c>
      <c r="S9591" t="s">
        <v>46808</v>
      </c>
      <c r="T9591" t="s">
        <v>48254</v>
      </c>
      <c r="U9591" t="s">
        <v>56515</v>
      </c>
      <c r="V9591" t="s">
        <v>62613</v>
      </c>
      <c r="W9591" t="s">
        <v>43739</v>
      </c>
      <c r="X9591" t="s">
        <v>46578</v>
      </c>
    </row>
    <row r="9592" spans="1:24">
      <c r="A9592">
        <f>HYPERLINK("https://www.philgeps.gov.ph/GEPSNONPILOT/Tender/SplashBidNoticeAbstractUI.aspx?menuIndex=3&amp;refID=7054096&amp;Result=3","7054096")</f>
        <v>0</v>
      </c>
      <c r="B9592" t="s">
        <v>2720</v>
      </c>
      <c r="C9592" t="s">
        <v>12622</v>
      </c>
      <c r="D9592" t="s">
        <v>18785</v>
      </c>
      <c r="E9592" t="s">
        <v>27212</v>
      </c>
      <c r="F9592" t="s">
        <v>32664</v>
      </c>
      <c r="G9592" t="s">
        <v>32672</v>
      </c>
      <c r="H9592" t="s">
        <v>32683</v>
      </c>
      <c r="I9592" t="s">
        <v>10627</v>
      </c>
      <c r="J9592" t="s">
        <v>32930</v>
      </c>
      <c r="K9592" t="s">
        <v>42411</v>
      </c>
      <c r="M9592" t="s">
        <v>45547</v>
      </c>
      <c r="N9592" t="s">
        <v>46569</v>
      </c>
      <c r="O9592" t="s">
        <v>46570</v>
      </c>
      <c r="P9592">
        <v>0</v>
      </c>
      <c r="Q9592">
        <v>2</v>
      </c>
      <c r="R9592" t="s">
        <v>46577</v>
      </c>
      <c r="S9592" t="s">
        <v>46808</v>
      </c>
      <c r="T9592" t="s">
        <v>48313</v>
      </c>
      <c r="U9592" t="s">
        <v>56490</v>
      </c>
      <c r="V9592" t="s">
        <v>62612</v>
      </c>
      <c r="W9592" t="s">
        <v>45547</v>
      </c>
      <c r="X9592" t="s">
        <v>46578</v>
      </c>
    </row>
    <row r="9593" spans="1:24">
      <c r="A9593">
        <f>HYPERLINK("https://www.philgeps.gov.ph/GEPSNONPILOT/Tender/SplashBidNoticeAbstractUI.aspx?menuIndex=3&amp;refID=7054105&amp;Result=3","7054105")</f>
        <v>0</v>
      </c>
      <c r="B9593" t="s">
        <v>2720</v>
      </c>
      <c r="C9593" t="s">
        <v>12623</v>
      </c>
      <c r="D9593" t="s">
        <v>18785</v>
      </c>
      <c r="E9593" t="s">
        <v>27213</v>
      </c>
      <c r="F9593" t="s">
        <v>32664</v>
      </c>
      <c r="G9593" t="s">
        <v>32672</v>
      </c>
      <c r="H9593" t="s">
        <v>32683</v>
      </c>
      <c r="I9593" t="s">
        <v>10627</v>
      </c>
      <c r="J9593" t="s">
        <v>38586</v>
      </c>
      <c r="K9593" t="s">
        <v>42298</v>
      </c>
      <c r="M9593" t="s">
        <v>45547</v>
      </c>
      <c r="N9593" t="s">
        <v>46569</v>
      </c>
      <c r="O9593" t="s">
        <v>46570</v>
      </c>
      <c r="P9593">
        <v>0</v>
      </c>
      <c r="Q9593">
        <v>1</v>
      </c>
      <c r="R9593" t="s">
        <v>46577</v>
      </c>
      <c r="S9593" t="s">
        <v>46808</v>
      </c>
      <c r="T9593" t="s">
        <v>48313</v>
      </c>
      <c r="U9593" t="s">
        <v>56490</v>
      </c>
      <c r="V9593" t="s">
        <v>62612</v>
      </c>
      <c r="W9593" t="s">
        <v>45547</v>
      </c>
      <c r="X9593" t="s">
        <v>46578</v>
      </c>
    </row>
    <row r="9594" spans="1:24">
      <c r="A9594">
        <f>HYPERLINK("https://www.philgeps.gov.ph/GEPSNONPILOT/Tender/SplashBidNoticeAbstractUI.aspx?menuIndex=3&amp;refID=7054101&amp;Result=3","7054101")</f>
        <v>0</v>
      </c>
      <c r="B9594" t="s">
        <v>135</v>
      </c>
      <c r="C9594" t="s">
        <v>12624</v>
      </c>
      <c r="D9594" t="s">
        <v>18807</v>
      </c>
      <c r="E9594" t="s">
        <v>27214</v>
      </c>
      <c r="F9594" t="s">
        <v>32664</v>
      </c>
      <c r="G9594" t="s">
        <v>32672</v>
      </c>
      <c r="H9594" t="s">
        <v>12635</v>
      </c>
      <c r="I9594" t="s">
        <v>32685</v>
      </c>
      <c r="J9594" t="s">
        <v>38587</v>
      </c>
      <c r="K9594" t="s">
        <v>42281</v>
      </c>
      <c r="M9594" t="s">
        <v>42852</v>
      </c>
      <c r="N9594" t="s">
        <v>46569</v>
      </c>
      <c r="O9594" t="s">
        <v>46570</v>
      </c>
      <c r="P9594">
        <v>0</v>
      </c>
      <c r="Q9594">
        <v>0</v>
      </c>
      <c r="R9594" t="s">
        <v>46577</v>
      </c>
      <c r="S9594" t="s">
        <v>46808</v>
      </c>
      <c r="T9594" t="s">
        <v>48228</v>
      </c>
      <c r="U9594" t="s">
        <v>49052</v>
      </c>
      <c r="V9594" t="s">
        <v>61650</v>
      </c>
      <c r="W9594" t="s">
        <v>42852</v>
      </c>
      <c r="X9594" t="s">
        <v>46578</v>
      </c>
    </row>
    <row r="9595" spans="1:24">
      <c r="A9595">
        <f>HYPERLINK("https://www.philgeps.gov.ph/GEPSNONPILOT/Tender/SplashBidNoticeAbstractUI.aspx?menuIndex=3&amp;refID=7054091&amp;Result=3","7054091")</f>
        <v>0</v>
      </c>
      <c r="B9595" t="s">
        <v>135</v>
      </c>
      <c r="C9595" t="s">
        <v>12625</v>
      </c>
      <c r="D9595" t="s">
        <v>18807</v>
      </c>
      <c r="E9595" t="s">
        <v>27215</v>
      </c>
      <c r="F9595" t="s">
        <v>32664</v>
      </c>
      <c r="G9595" t="s">
        <v>32672</v>
      </c>
      <c r="H9595" t="s">
        <v>12635</v>
      </c>
      <c r="I9595" t="s">
        <v>32685</v>
      </c>
      <c r="J9595" t="s">
        <v>38588</v>
      </c>
      <c r="K9595" t="s">
        <v>42281</v>
      </c>
      <c r="M9595" t="s">
        <v>42852</v>
      </c>
      <c r="N9595" t="s">
        <v>46569</v>
      </c>
      <c r="O9595" t="s">
        <v>46570</v>
      </c>
      <c r="P9595">
        <v>0</v>
      </c>
      <c r="Q9595">
        <v>0</v>
      </c>
      <c r="R9595" t="s">
        <v>46577</v>
      </c>
      <c r="S9595" t="s">
        <v>46808</v>
      </c>
      <c r="T9595" t="s">
        <v>48228</v>
      </c>
      <c r="U9595" t="s">
        <v>49052</v>
      </c>
      <c r="V9595" t="s">
        <v>61650</v>
      </c>
      <c r="W9595" t="s">
        <v>42852</v>
      </c>
      <c r="X9595" t="s">
        <v>46578</v>
      </c>
    </row>
    <row r="9596" spans="1:24">
      <c r="A9596">
        <f>HYPERLINK("https://www.philgeps.gov.ph/GEPSNONPILOT/Tender/SplashBidNoticeAbstractUI.aspx?menuIndex=3&amp;refID=7054084&amp;Result=3","7054084")</f>
        <v>0</v>
      </c>
      <c r="B9596" t="s">
        <v>2720</v>
      </c>
      <c r="C9596" t="s">
        <v>12626</v>
      </c>
      <c r="D9596" t="s">
        <v>18785</v>
      </c>
      <c r="E9596" t="s">
        <v>27216</v>
      </c>
      <c r="F9596" t="s">
        <v>32664</v>
      </c>
      <c r="G9596" t="s">
        <v>32672</v>
      </c>
      <c r="H9596" t="s">
        <v>32683</v>
      </c>
      <c r="I9596" t="s">
        <v>10627</v>
      </c>
      <c r="J9596" t="s">
        <v>32943</v>
      </c>
      <c r="K9596" t="s">
        <v>42311</v>
      </c>
      <c r="M9596" t="s">
        <v>45547</v>
      </c>
      <c r="N9596" t="s">
        <v>46569</v>
      </c>
      <c r="O9596" t="s">
        <v>46570</v>
      </c>
      <c r="P9596">
        <v>0</v>
      </c>
      <c r="Q9596">
        <v>2</v>
      </c>
      <c r="R9596" t="s">
        <v>46577</v>
      </c>
      <c r="S9596" t="s">
        <v>46808</v>
      </c>
      <c r="T9596" t="s">
        <v>48313</v>
      </c>
      <c r="U9596" t="s">
        <v>56490</v>
      </c>
      <c r="V9596" t="s">
        <v>62612</v>
      </c>
      <c r="W9596" t="s">
        <v>45547</v>
      </c>
      <c r="X9596" t="s">
        <v>46578</v>
      </c>
    </row>
    <row r="9597" spans="1:24">
      <c r="A9597">
        <f>HYPERLINK("https://www.philgeps.gov.ph/GEPSNONPILOT/Tender/SplashBidNoticeAbstractUI.aspx?menuIndex=3&amp;refID=7054087&amp;Result=3","7054087")</f>
        <v>0</v>
      </c>
      <c r="B9597" t="s">
        <v>2689</v>
      </c>
      <c r="C9597" t="s">
        <v>12627</v>
      </c>
      <c r="D9597" t="s">
        <v>18805</v>
      </c>
      <c r="E9597" t="s">
        <v>27217</v>
      </c>
      <c r="F9597" t="s">
        <v>32664</v>
      </c>
      <c r="G9597" t="s">
        <v>32672</v>
      </c>
      <c r="H9597" t="s">
        <v>12635</v>
      </c>
      <c r="I9597" t="s">
        <v>4439</v>
      </c>
      <c r="J9597" t="s">
        <v>35542</v>
      </c>
      <c r="K9597" t="s">
        <v>42284</v>
      </c>
      <c r="L9597" t="s">
        <v>2689</v>
      </c>
      <c r="M9597" t="s">
        <v>45514</v>
      </c>
      <c r="N9597" t="s">
        <v>46569</v>
      </c>
      <c r="O9597" t="s">
        <v>46570</v>
      </c>
      <c r="P9597">
        <v>0</v>
      </c>
      <c r="Q9597">
        <v>0</v>
      </c>
      <c r="R9597" t="s">
        <v>46577</v>
      </c>
      <c r="S9597" t="s">
        <v>46808</v>
      </c>
      <c r="T9597" t="s">
        <v>48328</v>
      </c>
      <c r="U9597" t="s">
        <v>56451</v>
      </c>
      <c r="V9597" t="s">
        <v>62601</v>
      </c>
      <c r="W9597" t="s">
        <v>45514</v>
      </c>
      <c r="X9597" t="s">
        <v>46578</v>
      </c>
    </row>
    <row r="9598" spans="1:24">
      <c r="A9598">
        <f>HYPERLINK("https://www.philgeps.gov.ph/GEPSNONPILOT/Tender/SplashBidNoticeAbstractUI.aspx?menuIndex=3&amp;refID=7054080&amp;Result=3","7054080")</f>
        <v>0</v>
      </c>
      <c r="B9598" t="s">
        <v>885</v>
      </c>
      <c r="C9598" t="s">
        <v>12628</v>
      </c>
      <c r="D9598" t="s">
        <v>18819</v>
      </c>
      <c r="E9598" t="s">
        <v>27218</v>
      </c>
      <c r="F9598" t="s">
        <v>32664</v>
      </c>
      <c r="G9598" t="s">
        <v>32672</v>
      </c>
      <c r="H9598" t="s">
        <v>12635</v>
      </c>
      <c r="I9598" t="s">
        <v>8797</v>
      </c>
      <c r="J9598" t="s">
        <v>38589</v>
      </c>
      <c r="K9598" t="s">
        <v>42283</v>
      </c>
      <c r="M9598" t="s">
        <v>43486</v>
      </c>
      <c r="N9598" t="s">
        <v>46569</v>
      </c>
      <c r="O9598" t="s">
        <v>46570</v>
      </c>
      <c r="P9598">
        <v>0</v>
      </c>
      <c r="Q9598">
        <v>2</v>
      </c>
      <c r="R9598" t="s">
        <v>46577</v>
      </c>
      <c r="S9598" t="s">
        <v>46808</v>
      </c>
      <c r="T9598" t="s">
        <v>48468</v>
      </c>
      <c r="U9598" t="s">
        <v>56516</v>
      </c>
      <c r="V9598" t="s">
        <v>62624</v>
      </c>
      <c r="W9598" t="s">
        <v>43486</v>
      </c>
      <c r="X9598" t="s">
        <v>46578</v>
      </c>
    </row>
    <row r="9599" spans="1:24">
      <c r="A9599">
        <f>HYPERLINK("https://www.philgeps.gov.ph/GEPSNONPILOT/Tender/SplashBidNoticeAbstractUI.aspx?menuIndex=3&amp;refID=7054079&amp;Result=3","7054079")</f>
        <v>0</v>
      </c>
      <c r="B9599" t="s">
        <v>1251</v>
      </c>
      <c r="C9599" t="s">
        <v>12629</v>
      </c>
      <c r="D9599" t="s">
        <v>18841</v>
      </c>
      <c r="E9599" t="s">
        <v>27219</v>
      </c>
      <c r="F9599" t="s">
        <v>32664</v>
      </c>
      <c r="G9599" t="s">
        <v>32671</v>
      </c>
      <c r="H9599" t="s">
        <v>12635</v>
      </c>
      <c r="I9599" t="s">
        <v>6628</v>
      </c>
      <c r="J9599" t="s">
        <v>38590</v>
      </c>
      <c r="K9599" t="s">
        <v>42289</v>
      </c>
      <c r="M9599" t="s">
        <v>43893</v>
      </c>
      <c r="N9599" t="s">
        <v>46569</v>
      </c>
      <c r="O9599" t="s">
        <v>46570</v>
      </c>
      <c r="P9599">
        <v>0</v>
      </c>
      <c r="Q9599">
        <v>7</v>
      </c>
      <c r="R9599" t="s">
        <v>46577</v>
      </c>
      <c r="S9599" t="s">
        <v>46808</v>
      </c>
      <c r="T9599" t="s">
        <v>48287</v>
      </c>
      <c r="U9599" t="s">
        <v>56517</v>
      </c>
      <c r="W9599" t="s">
        <v>43893</v>
      </c>
      <c r="X9599" t="s">
        <v>46578</v>
      </c>
    </row>
    <row r="9600" spans="1:24">
      <c r="A9600">
        <f>HYPERLINK("https://www.philgeps.gov.ph/GEPSNONPILOT/Tender/SplashBidNoticeAbstractUI.aspx?menuIndex=3&amp;refID=7054037&amp;Result=3","7054037")</f>
        <v>0</v>
      </c>
      <c r="B9600" t="s">
        <v>135</v>
      </c>
      <c r="C9600" t="s">
        <v>12630</v>
      </c>
      <c r="D9600" t="s">
        <v>18807</v>
      </c>
      <c r="E9600" t="s">
        <v>27220</v>
      </c>
      <c r="F9600" t="s">
        <v>32664</v>
      </c>
      <c r="G9600" t="s">
        <v>32672</v>
      </c>
      <c r="H9600" t="s">
        <v>12635</v>
      </c>
      <c r="I9600" t="s">
        <v>32685</v>
      </c>
      <c r="J9600" t="s">
        <v>38591</v>
      </c>
      <c r="K9600" t="s">
        <v>42281</v>
      </c>
      <c r="M9600" t="s">
        <v>42852</v>
      </c>
      <c r="N9600" t="s">
        <v>46569</v>
      </c>
      <c r="O9600" t="s">
        <v>46570</v>
      </c>
      <c r="P9600">
        <v>0</v>
      </c>
      <c r="Q9600">
        <v>0</v>
      </c>
      <c r="R9600" t="s">
        <v>46577</v>
      </c>
      <c r="S9600" t="s">
        <v>46808</v>
      </c>
      <c r="T9600" t="s">
        <v>48228</v>
      </c>
      <c r="U9600" t="s">
        <v>49052</v>
      </c>
      <c r="V9600" t="s">
        <v>61650</v>
      </c>
      <c r="W9600" t="s">
        <v>42852</v>
      </c>
      <c r="X9600" t="s">
        <v>46578</v>
      </c>
    </row>
    <row r="9601" spans="1:24">
      <c r="A9601">
        <f>HYPERLINK("https://www.philgeps.gov.ph/GEPSNONPILOT/Tender/SplashBidNoticeAbstractUI.aspx?menuIndex=3&amp;refID=7054038&amp;Result=3","7054038")</f>
        <v>0</v>
      </c>
      <c r="B9601" t="s">
        <v>2720</v>
      </c>
      <c r="C9601" t="s">
        <v>12631</v>
      </c>
      <c r="D9601" t="s">
        <v>18785</v>
      </c>
      <c r="E9601" t="s">
        <v>27221</v>
      </c>
      <c r="F9601" t="s">
        <v>32664</v>
      </c>
      <c r="G9601" t="s">
        <v>32672</v>
      </c>
      <c r="H9601" t="s">
        <v>32683</v>
      </c>
      <c r="I9601" t="s">
        <v>10627</v>
      </c>
      <c r="J9601" t="s">
        <v>33302</v>
      </c>
      <c r="K9601" t="s">
        <v>42311</v>
      </c>
      <c r="M9601" t="s">
        <v>45547</v>
      </c>
      <c r="N9601" t="s">
        <v>46569</v>
      </c>
      <c r="O9601" t="s">
        <v>46570</v>
      </c>
      <c r="P9601">
        <v>0</v>
      </c>
      <c r="Q9601">
        <v>1</v>
      </c>
      <c r="R9601" t="s">
        <v>46577</v>
      </c>
      <c r="S9601" t="s">
        <v>46808</v>
      </c>
      <c r="T9601" t="s">
        <v>48313</v>
      </c>
      <c r="U9601" t="s">
        <v>56490</v>
      </c>
      <c r="V9601" t="s">
        <v>62612</v>
      </c>
      <c r="W9601" t="s">
        <v>45547</v>
      </c>
      <c r="X9601" t="s">
        <v>46578</v>
      </c>
    </row>
    <row r="9602" spans="1:24">
      <c r="A9602">
        <f>HYPERLINK("https://www.philgeps.gov.ph/GEPSNONPILOT/Tender/SplashBidNoticeAbstractUI.aspx?menuIndex=3&amp;refID=7054033&amp;Result=3","7054033")</f>
        <v>0</v>
      </c>
      <c r="B9602" t="s">
        <v>2722</v>
      </c>
      <c r="C9602" t="s">
        <v>12632</v>
      </c>
      <c r="D9602" t="s">
        <v>18784</v>
      </c>
      <c r="E9602" t="s">
        <v>23255</v>
      </c>
      <c r="F9602" t="s">
        <v>32664</v>
      </c>
      <c r="G9602" t="s">
        <v>32672</v>
      </c>
      <c r="H9602" t="s">
        <v>12635</v>
      </c>
      <c r="I9602" t="s">
        <v>6223</v>
      </c>
      <c r="J9602" t="s">
        <v>33078</v>
      </c>
      <c r="K9602" t="s">
        <v>42309</v>
      </c>
      <c r="M9602" t="s">
        <v>45551</v>
      </c>
      <c r="N9602" t="s">
        <v>46569</v>
      </c>
      <c r="O9602" t="s">
        <v>46570</v>
      </c>
      <c r="P9602">
        <v>0</v>
      </c>
      <c r="Q9602">
        <v>3</v>
      </c>
      <c r="R9602" t="s">
        <v>46577</v>
      </c>
      <c r="S9602" t="s">
        <v>46808</v>
      </c>
      <c r="T9602" t="s">
        <v>48287</v>
      </c>
      <c r="U9602" t="s">
        <v>56518</v>
      </c>
      <c r="W9602" t="s">
        <v>45551</v>
      </c>
      <c r="X9602" t="s">
        <v>46578</v>
      </c>
    </row>
    <row r="9603" spans="1:24">
      <c r="A9603">
        <f>HYPERLINK("https://www.philgeps.gov.ph/GEPSNONPILOT/Tender/SplashBidNoticeAbstractUI.aspx?menuIndex=3&amp;refID=7054077&amp;Result=3","7054077")</f>
        <v>0</v>
      </c>
      <c r="B9603" t="s">
        <v>2723</v>
      </c>
      <c r="C9603" t="s">
        <v>12633</v>
      </c>
      <c r="D9603" t="s">
        <v>18827</v>
      </c>
      <c r="E9603" t="s">
        <v>27222</v>
      </c>
      <c r="F9603" t="s">
        <v>32664</v>
      </c>
      <c r="G9603" t="s">
        <v>32672</v>
      </c>
      <c r="H9603" t="s">
        <v>32683</v>
      </c>
      <c r="I9603" t="s">
        <v>10627</v>
      </c>
      <c r="J9603" t="s">
        <v>38592</v>
      </c>
      <c r="K9603" t="s">
        <v>42284</v>
      </c>
      <c r="M9603" t="s">
        <v>45552</v>
      </c>
      <c r="N9603" t="s">
        <v>46569</v>
      </c>
      <c r="O9603" t="s">
        <v>46570</v>
      </c>
      <c r="P9603">
        <v>0</v>
      </c>
      <c r="Q9603">
        <v>0</v>
      </c>
      <c r="R9603" t="s">
        <v>46577</v>
      </c>
      <c r="S9603" t="s">
        <v>46808</v>
      </c>
      <c r="T9603" t="s">
        <v>48427</v>
      </c>
      <c r="U9603" t="s">
        <v>56519</v>
      </c>
      <c r="W9603" t="s">
        <v>45552</v>
      </c>
      <c r="X9603" t="s">
        <v>46578</v>
      </c>
    </row>
    <row r="9604" spans="1:24">
      <c r="A9604">
        <f>HYPERLINK("https://www.philgeps.gov.ph/GEPSNONPILOT/Tender/SplashBidNoticeAbstractUI.aspx?menuIndex=3&amp;refID=7054012&amp;Result=3","7054012")</f>
        <v>0</v>
      </c>
      <c r="B9604" t="s">
        <v>556</v>
      </c>
      <c r="C9604" t="s">
        <v>12634</v>
      </c>
      <c r="D9604" t="s">
        <v>18843</v>
      </c>
      <c r="E9604" t="s">
        <v>27223</v>
      </c>
      <c r="F9604" t="s">
        <v>32664</v>
      </c>
      <c r="G9604" t="s">
        <v>32672</v>
      </c>
      <c r="H9604" t="s">
        <v>12635</v>
      </c>
      <c r="I9604" t="s">
        <v>6628</v>
      </c>
      <c r="J9604" t="s">
        <v>34466</v>
      </c>
      <c r="K9604" t="s">
        <v>42284</v>
      </c>
      <c r="M9604" t="s">
        <v>43136</v>
      </c>
      <c r="N9604" t="s">
        <v>46569</v>
      </c>
      <c r="O9604" t="s">
        <v>46570</v>
      </c>
      <c r="P9604">
        <v>0</v>
      </c>
      <c r="Q9604">
        <v>2</v>
      </c>
      <c r="R9604" t="s">
        <v>46577</v>
      </c>
      <c r="S9604" t="s">
        <v>46808</v>
      </c>
      <c r="T9604" t="s">
        <v>48293</v>
      </c>
      <c r="U9604" t="s">
        <v>56520</v>
      </c>
      <c r="V9604" t="s">
        <v>62625</v>
      </c>
      <c r="W9604" t="s">
        <v>43136</v>
      </c>
      <c r="X9604" t="s">
        <v>46578</v>
      </c>
    </row>
    <row r="9605" spans="1:24">
      <c r="A9605">
        <f>HYPERLINK("https://www.philgeps.gov.ph/GEPSNONPILOT/Tender/SplashBidNoticeAbstractUI.aspx?menuIndex=3&amp;refID=7053990&amp;Result=3","7053990")</f>
        <v>0</v>
      </c>
      <c r="B9605" t="s">
        <v>2724</v>
      </c>
      <c r="C9605" t="s">
        <v>12635</v>
      </c>
      <c r="D9605" t="s">
        <v>18783</v>
      </c>
      <c r="E9605" t="s">
        <v>18889</v>
      </c>
      <c r="F9605" t="s">
        <v>32664</v>
      </c>
      <c r="G9605" t="s">
        <v>32672</v>
      </c>
      <c r="H9605" t="s">
        <v>12635</v>
      </c>
      <c r="I9605" t="s">
        <v>7759</v>
      </c>
      <c r="J9605" t="s">
        <v>33051</v>
      </c>
      <c r="K9605" t="s">
        <v>42309</v>
      </c>
      <c r="M9605" t="s">
        <v>45553</v>
      </c>
      <c r="N9605" t="s">
        <v>46569</v>
      </c>
      <c r="O9605" t="s">
        <v>46570</v>
      </c>
      <c r="P9605">
        <v>0</v>
      </c>
      <c r="Q9605">
        <v>0</v>
      </c>
      <c r="R9605" t="s">
        <v>46577</v>
      </c>
      <c r="S9605" t="s">
        <v>46808</v>
      </c>
      <c r="T9605" t="s">
        <v>48453</v>
      </c>
      <c r="U9605" t="s">
        <v>56521</v>
      </c>
      <c r="W9605" t="s">
        <v>45553</v>
      </c>
      <c r="X9605" t="s">
        <v>46578</v>
      </c>
    </row>
    <row r="9606" spans="1:24">
      <c r="A9606">
        <f>HYPERLINK("https://www.philgeps.gov.ph/GEPSNONPILOT/Tender/SplashBidNoticeAbstractUI.aspx?menuIndex=3&amp;refID=7053987&amp;Result=3","7053987")</f>
        <v>0</v>
      </c>
      <c r="B9606" t="s">
        <v>1855</v>
      </c>
      <c r="C9606" t="s">
        <v>12636</v>
      </c>
      <c r="D9606" t="s">
        <v>18792</v>
      </c>
      <c r="E9606" t="s">
        <v>20076</v>
      </c>
      <c r="F9606" t="s">
        <v>32664</v>
      </c>
      <c r="G9606" t="s">
        <v>32672</v>
      </c>
      <c r="H9606" t="s">
        <v>32683</v>
      </c>
      <c r="I9606" t="s">
        <v>10627</v>
      </c>
      <c r="J9606" t="s">
        <v>38593</v>
      </c>
      <c r="K9606" t="s">
        <v>42313</v>
      </c>
      <c r="M9606" t="s">
        <v>44566</v>
      </c>
      <c r="N9606" t="s">
        <v>46569</v>
      </c>
      <c r="O9606" t="s">
        <v>46570</v>
      </c>
      <c r="P9606">
        <v>0</v>
      </c>
      <c r="Q9606">
        <v>0</v>
      </c>
      <c r="R9606" t="s">
        <v>46577</v>
      </c>
      <c r="S9606" t="s">
        <v>46808</v>
      </c>
      <c r="T9606" t="s">
        <v>48282</v>
      </c>
      <c r="U9606" t="s">
        <v>56522</v>
      </c>
      <c r="W9606" t="s">
        <v>44566</v>
      </c>
      <c r="X9606" t="s">
        <v>46578</v>
      </c>
    </row>
    <row r="9607" spans="1:24">
      <c r="A9607">
        <f>HYPERLINK("https://www.philgeps.gov.ph/GEPSNONPILOT/Tender/SplashBidNoticeAbstractUI.aspx?menuIndex=3&amp;refID=7054074&amp;Result=3","7054074")</f>
        <v>0</v>
      </c>
      <c r="B9607" t="s">
        <v>1085</v>
      </c>
      <c r="C9607" t="s">
        <v>12610</v>
      </c>
      <c r="D9607" t="s">
        <v>18851</v>
      </c>
      <c r="E9607" t="s">
        <v>27224</v>
      </c>
      <c r="F9607" t="s">
        <v>32664</v>
      </c>
      <c r="G9607" t="s">
        <v>32672</v>
      </c>
      <c r="H9607" t="s">
        <v>32683</v>
      </c>
      <c r="I9607" t="s">
        <v>10627</v>
      </c>
      <c r="J9607" t="s">
        <v>38594</v>
      </c>
      <c r="K9607" t="s">
        <v>42311</v>
      </c>
      <c r="M9607" t="s">
        <v>43711</v>
      </c>
      <c r="N9607" t="s">
        <v>46569</v>
      </c>
      <c r="O9607" t="s">
        <v>46570</v>
      </c>
      <c r="P9607">
        <v>0</v>
      </c>
      <c r="Q9607">
        <v>0</v>
      </c>
      <c r="R9607" t="s">
        <v>46577</v>
      </c>
      <c r="S9607" t="s">
        <v>46808</v>
      </c>
      <c r="T9607" t="s">
        <v>48349</v>
      </c>
      <c r="U9607" t="s">
        <v>56523</v>
      </c>
      <c r="V9607" t="s">
        <v>62626</v>
      </c>
      <c r="W9607" t="s">
        <v>43711</v>
      </c>
      <c r="X9607" t="s">
        <v>46578</v>
      </c>
    </row>
    <row r="9608" spans="1:24">
      <c r="A9608">
        <f>HYPERLINK("https://www.philgeps.gov.ph/GEPSNONPILOT/Tender/SplashBidNoticeAbstractUI.aspx?menuIndex=3&amp;refID=7053969&amp;Result=3","7053969")</f>
        <v>0</v>
      </c>
      <c r="B9608" t="s">
        <v>179</v>
      </c>
      <c r="C9608" t="s">
        <v>12637</v>
      </c>
      <c r="D9608" t="s">
        <v>18830</v>
      </c>
      <c r="E9608" t="s">
        <v>27225</v>
      </c>
      <c r="F9608" t="s">
        <v>32664</v>
      </c>
      <c r="G9608" t="s">
        <v>32671</v>
      </c>
      <c r="H9608" t="s">
        <v>32683</v>
      </c>
      <c r="I9608" t="s">
        <v>10627</v>
      </c>
      <c r="J9608" t="s">
        <v>32962</v>
      </c>
      <c r="K9608" t="s">
        <v>42305</v>
      </c>
      <c r="M9608" t="s">
        <v>45516</v>
      </c>
      <c r="N9608" t="s">
        <v>46569</v>
      </c>
      <c r="O9608" t="s">
        <v>46570</v>
      </c>
      <c r="P9608">
        <v>0</v>
      </c>
      <c r="Q9608">
        <v>1</v>
      </c>
      <c r="R9608" t="s">
        <v>46577</v>
      </c>
      <c r="S9608" t="s">
        <v>46808</v>
      </c>
      <c r="T9608" t="s">
        <v>48573</v>
      </c>
      <c r="U9608" t="s">
        <v>56399</v>
      </c>
      <c r="W9608" t="s">
        <v>45631</v>
      </c>
      <c r="X9608" t="s">
        <v>46578</v>
      </c>
    </row>
    <row r="9609" spans="1:24">
      <c r="A9609">
        <f>HYPERLINK("https://www.philgeps.gov.ph/GEPSNONPILOT/Tender/SplashBidNoticeAbstractUI.aspx?menuIndex=3&amp;refID=7054157&amp;Result=3","7054157")</f>
        <v>0</v>
      </c>
      <c r="B9609" t="s">
        <v>2645</v>
      </c>
      <c r="C9609" t="s">
        <v>12638</v>
      </c>
      <c r="D9609" t="s">
        <v>18856</v>
      </c>
      <c r="E9609" t="s">
        <v>27226</v>
      </c>
      <c r="F9609" t="s">
        <v>32664</v>
      </c>
      <c r="G9609" t="s">
        <v>32675</v>
      </c>
      <c r="H9609" t="s">
        <v>12635</v>
      </c>
      <c r="I9609" t="s">
        <v>6223</v>
      </c>
      <c r="J9609" t="s">
        <v>33147</v>
      </c>
      <c r="K9609" t="s">
        <v>42281</v>
      </c>
      <c r="M9609" t="s">
        <v>45466</v>
      </c>
      <c r="N9609" t="s">
        <v>46569</v>
      </c>
      <c r="O9609" t="s">
        <v>46570</v>
      </c>
      <c r="P9609">
        <v>0</v>
      </c>
      <c r="Q9609">
        <v>3</v>
      </c>
      <c r="R9609" t="s">
        <v>46577</v>
      </c>
      <c r="S9609" t="s">
        <v>46808</v>
      </c>
      <c r="T9609" t="s">
        <v>48256</v>
      </c>
      <c r="U9609" t="s">
        <v>56524</v>
      </c>
      <c r="V9609" t="s">
        <v>62627</v>
      </c>
      <c r="W9609" t="s">
        <v>45466</v>
      </c>
      <c r="X9609" t="s">
        <v>46578</v>
      </c>
    </row>
    <row r="9610" spans="1:24">
      <c r="A9610">
        <f>HYPERLINK("https://www.philgeps.gov.ph/GEPSNONPILOT/Tender/SplashBidNoticeAbstractUI.aspx?menuIndex=3&amp;refID=7054029&amp;Result=3","7054029")</f>
        <v>0</v>
      </c>
      <c r="B9610" t="s">
        <v>135</v>
      </c>
      <c r="C9610" t="s">
        <v>12639</v>
      </c>
      <c r="D9610" t="s">
        <v>18807</v>
      </c>
      <c r="E9610" t="s">
        <v>27227</v>
      </c>
      <c r="F9610" t="s">
        <v>32664</v>
      </c>
      <c r="G9610" t="s">
        <v>32672</v>
      </c>
      <c r="H9610" t="s">
        <v>12635</v>
      </c>
      <c r="I9610" t="s">
        <v>32685</v>
      </c>
      <c r="J9610" t="s">
        <v>38595</v>
      </c>
      <c r="K9610" t="s">
        <v>42281</v>
      </c>
      <c r="M9610" t="s">
        <v>42852</v>
      </c>
      <c r="N9610" t="s">
        <v>46569</v>
      </c>
      <c r="O9610" t="s">
        <v>46570</v>
      </c>
      <c r="P9610">
        <v>0</v>
      </c>
      <c r="Q9610">
        <v>0</v>
      </c>
      <c r="R9610" t="s">
        <v>46577</v>
      </c>
      <c r="S9610" t="s">
        <v>46808</v>
      </c>
      <c r="T9610" t="s">
        <v>48228</v>
      </c>
      <c r="U9610" t="s">
        <v>49052</v>
      </c>
      <c r="V9610" t="s">
        <v>61650</v>
      </c>
      <c r="W9610" t="s">
        <v>42852</v>
      </c>
      <c r="X9610" t="s">
        <v>46578</v>
      </c>
    </row>
    <row r="9611" spans="1:24">
      <c r="A9611">
        <f>HYPERLINK("https://www.philgeps.gov.ph/GEPSNONPILOT/Tender/SplashBidNoticeAbstractUI.aspx?menuIndex=3&amp;refID=7054161&amp;Result=3","7054161")</f>
        <v>0</v>
      </c>
      <c r="B9611" t="s">
        <v>295</v>
      </c>
      <c r="C9611" t="s">
        <v>12640</v>
      </c>
      <c r="D9611" t="s">
        <v>18848</v>
      </c>
      <c r="E9611" t="s">
        <v>27228</v>
      </c>
      <c r="F9611" t="s">
        <v>32664</v>
      </c>
      <c r="G9611" t="s">
        <v>32672</v>
      </c>
      <c r="H9611" t="s">
        <v>12635</v>
      </c>
      <c r="I9611" t="s">
        <v>6168</v>
      </c>
      <c r="J9611" t="s">
        <v>38596</v>
      </c>
      <c r="K9611" t="s">
        <v>42297</v>
      </c>
      <c r="M9611" t="s">
        <v>45554</v>
      </c>
      <c r="N9611" t="s">
        <v>46569</v>
      </c>
      <c r="O9611" t="s">
        <v>46570</v>
      </c>
      <c r="P9611">
        <v>0</v>
      </c>
      <c r="Q9611">
        <v>0</v>
      </c>
      <c r="R9611" t="s">
        <v>46577</v>
      </c>
      <c r="S9611" t="s">
        <v>46808</v>
      </c>
      <c r="T9611" t="s">
        <v>48298</v>
      </c>
      <c r="U9611" t="s">
        <v>56525</v>
      </c>
      <c r="W9611" t="s">
        <v>45554</v>
      </c>
      <c r="X9611" t="s">
        <v>46578</v>
      </c>
    </row>
    <row r="9612" spans="1:24">
      <c r="A9612">
        <f>HYPERLINK("https://www.philgeps.gov.ph/GEPSNONPILOT/Tender/SplashBidNoticeAbstractUI.aspx?menuIndex=3&amp;refID=7054156&amp;Result=3","7054156")</f>
        <v>0</v>
      </c>
      <c r="B9612" t="s">
        <v>1112</v>
      </c>
      <c r="C9612" t="s">
        <v>12641</v>
      </c>
      <c r="D9612" t="s">
        <v>18842</v>
      </c>
      <c r="E9612" t="s">
        <v>27229</v>
      </c>
      <c r="F9612" t="s">
        <v>32664</v>
      </c>
      <c r="G9612" t="s">
        <v>32674</v>
      </c>
      <c r="H9612" t="s">
        <v>12635</v>
      </c>
      <c r="I9612" t="s">
        <v>8797</v>
      </c>
      <c r="J9612" t="s">
        <v>33608</v>
      </c>
      <c r="K9612" t="s">
        <v>42284</v>
      </c>
      <c r="M9612" t="s">
        <v>43739</v>
      </c>
      <c r="N9612" t="s">
        <v>46569</v>
      </c>
      <c r="O9612" t="s">
        <v>46570</v>
      </c>
      <c r="P9612">
        <v>0</v>
      </c>
      <c r="Q9612">
        <v>4</v>
      </c>
      <c r="R9612" t="s">
        <v>46577</v>
      </c>
      <c r="S9612" t="s">
        <v>46808</v>
      </c>
      <c r="T9612" t="s">
        <v>48316</v>
      </c>
      <c r="U9612" t="s">
        <v>56526</v>
      </c>
      <c r="V9612" t="s">
        <v>62613</v>
      </c>
      <c r="W9612" t="s">
        <v>43739</v>
      </c>
      <c r="X9612" t="s">
        <v>46578</v>
      </c>
    </row>
    <row r="9613" spans="1:24">
      <c r="A9613">
        <f>HYPERLINK("https://www.philgeps.gov.ph/GEPSNONPILOT/Tender/SplashBidNoticeAbstractUI.aspx?menuIndex=3&amp;refID=7054158&amp;Result=3","7054158")</f>
        <v>0</v>
      </c>
      <c r="B9613" t="s">
        <v>2725</v>
      </c>
      <c r="C9613" t="s">
        <v>12642</v>
      </c>
      <c r="D9613" t="s">
        <v>18859</v>
      </c>
      <c r="E9613" t="s">
        <v>12642</v>
      </c>
      <c r="F9613" t="s">
        <v>32664</v>
      </c>
      <c r="G9613" t="s">
        <v>32672</v>
      </c>
      <c r="H9613" t="s">
        <v>12635</v>
      </c>
      <c r="I9613" t="s">
        <v>32789</v>
      </c>
      <c r="J9613" t="s">
        <v>38597</v>
      </c>
      <c r="K9613" t="s">
        <v>42281</v>
      </c>
      <c r="M9613" t="s">
        <v>45555</v>
      </c>
      <c r="N9613" t="s">
        <v>46569</v>
      </c>
      <c r="O9613" t="s">
        <v>46570</v>
      </c>
      <c r="P9613">
        <v>0</v>
      </c>
      <c r="Q9613">
        <v>0</v>
      </c>
      <c r="R9613" t="s">
        <v>46577</v>
      </c>
      <c r="S9613" t="s">
        <v>46808</v>
      </c>
      <c r="T9613" t="s">
        <v>48313</v>
      </c>
      <c r="U9613" t="s">
        <v>56527</v>
      </c>
      <c r="W9613" t="s">
        <v>45555</v>
      </c>
      <c r="X9613" t="s">
        <v>46578</v>
      </c>
    </row>
    <row r="9614" spans="1:24">
      <c r="A9614">
        <f>HYPERLINK("https://www.philgeps.gov.ph/GEPSNONPILOT/Tender/SplashBidNoticeAbstractUI.aspx?menuIndex=3&amp;refID=7054153&amp;Result=3","7054153")</f>
        <v>0</v>
      </c>
      <c r="B9614" t="s">
        <v>687</v>
      </c>
      <c r="C9614" t="s">
        <v>12643</v>
      </c>
      <c r="D9614" t="s">
        <v>18805</v>
      </c>
      <c r="E9614" t="s">
        <v>27230</v>
      </c>
      <c r="F9614" t="s">
        <v>32664</v>
      </c>
      <c r="G9614" t="s">
        <v>32672</v>
      </c>
      <c r="H9614" t="s">
        <v>12635</v>
      </c>
      <c r="I9614" t="s">
        <v>4439</v>
      </c>
      <c r="J9614" t="s">
        <v>38598</v>
      </c>
      <c r="K9614" t="s">
        <v>42283</v>
      </c>
      <c r="M9614" t="s">
        <v>43274</v>
      </c>
      <c r="N9614" t="s">
        <v>46569</v>
      </c>
      <c r="O9614" t="s">
        <v>46570</v>
      </c>
      <c r="P9614">
        <v>0</v>
      </c>
      <c r="Q9614">
        <v>0</v>
      </c>
      <c r="R9614" t="s">
        <v>46577</v>
      </c>
      <c r="S9614" t="s">
        <v>46808</v>
      </c>
      <c r="T9614" t="s">
        <v>48640</v>
      </c>
      <c r="U9614" t="s">
        <v>56528</v>
      </c>
      <c r="W9614" t="s">
        <v>43274</v>
      </c>
      <c r="X9614" t="s">
        <v>46578</v>
      </c>
    </row>
    <row r="9615" spans="1:24">
      <c r="A9615">
        <f>HYPERLINK("https://www.philgeps.gov.ph/GEPSNONPILOT/Tender/SplashBidNoticeAbstractUI.aspx?menuIndex=3&amp;refID=7054031&amp;Result=3","7054031")</f>
        <v>0</v>
      </c>
      <c r="B9615" t="s">
        <v>1480</v>
      </c>
      <c r="C9615" t="s">
        <v>12644</v>
      </c>
      <c r="D9615" t="s">
        <v>18851</v>
      </c>
      <c r="E9615" t="s">
        <v>27231</v>
      </c>
      <c r="F9615" t="s">
        <v>32664</v>
      </c>
      <c r="G9615" t="s">
        <v>32672</v>
      </c>
      <c r="H9615" t="s">
        <v>32683</v>
      </c>
      <c r="I9615" t="s">
        <v>10627</v>
      </c>
      <c r="J9615" t="s">
        <v>38599</v>
      </c>
      <c r="K9615" t="s">
        <v>42397</v>
      </c>
      <c r="M9615" t="s">
        <v>45548</v>
      </c>
      <c r="N9615" t="s">
        <v>46569</v>
      </c>
      <c r="O9615" t="s">
        <v>46570</v>
      </c>
      <c r="P9615">
        <v>0</v>
      </c>
      <c r="Q9615">
        <v>0</v>
      </c>
      <c r="R9615" t="s">
        <v>46577</v>
      </c>
      <c r="S9615" t="s">
        <v>46808</v>
      </c>
      <c r="T9615" t="s">
        <v>48639</v>
      </c>
      <c r="U9615" t="s">
        <v>56529</v>
      </c>
      <c r="V9615" t="s">
        <v>62628</v>
      </c>
      <c r="W9615" t="s">
        <v>45548</v>
      </c>
      <c r="X9615" t="s">
        <v>46578</v>
      </c>
    </row>
    <row r="9616" spans="1:24">
      <c r="A9616">
        <f>HYPERLINK("https://www.philgeps.gov.ph/GEPSNONPILOT/Tender/SplashBidNoticeAbstractUI.aspx?menuIndex=3&amp;refID=7054146&amp;Result=3","7054146")</f>
        <v>0</v>
      </c>
      <c r="B9616" t="s">
        <v>1397</v>
      </c>
      <c r="C9616" t="s">
        <v>7683</v>
      </c>
      <c r="D9616" t="s">
        <v>18803</v>
      </c>
      <c r="E9616" t="s">
        <v>27232</v>
      </c>
      <c r="F9616" t="s">
        <v>32664</v>
      </c>
      <c r="G9616" t="s">
        <v>32678</v>
      </c>
      <c r="H9616" t="s">
        <v>32681</v>
      </c>
      <c r="I9616" t="s">
        <v>32681</v>
      </c>
      <c r="J9616" t="s">
        <v>35639</v>
      </c>
      <c r="K9616" t="s">
        <v>42377</v>
      </c>
      <c r="M9616" t="s">
        <v>44054</v>
      </c>
      <c r="N9616" t="s">
        <v>46569</v>
      </c>
      <c r="O9616" t="s">
        <v>46570</v>
      </c>
      <c r="P9616">
        <v>0</v>
      </c>
      <c r="Q9616">
        <v>0</v>
      </c>
      <c r="R9616" t="s">
        <v>46577</v>
      </c>
      <c r="S9616" t="s">
        <v>46808</v>
      </c>
      <c r="T9616" t="s">
        <v>48492</v>
      </c>
      <c r="U9616" t="s">
        <v>52342</v>
      </c>
      <c r="W9616" t="s">
        <v>44054</v>
      </c>
      <c r="X9616" t="s">
        <v>46578</v>
      </c>
    </row>
    <row r="9617" spans="1:24">
      <c r="A9617">
        <f>HYPERLINK("https://www.philgeps.gov.ph/GEPSNONPILOT/Tender/SplashBidNoticeAbstractUI.aspx?menuIndex=3&amp;refID=7054075&amp;Result=3","7054075")</f>
        <v>0</v>
      </c>
      <c r="B9617" t="s">
        <v>2645</v>
      </c>
      <c r="C9617" t="s">
        <v>12645</v>
      </c>
      <c r="D9617" t="s">
        <v>18856</v>
      </c>
      <c r="E9617" t="s">
        <v>27233</v>
      </c>
      <c r="F9617" t="s">
        <v>32664</v>
      </c>
      <c r="G9617" t="s">
        <v>32671</v>
      </c>
      <c r="H9617" t="s">
        <v>12635</v>
      </c>
      <c r="I9617" t="s">
        <v>10370</v>
      </c>
      <c r="J9617" t="s">
        <v>33128</v>
      </c>
      <c r="K9617" t="s">
        <v>42281</v>
      </c>
      <c r="M9617" t="s">
        <v>45466</v>
      </c>
      <c r="N9617" t="s">
        <v>46569</v>
      </c>
      <c r="O9617" t="s">
        <v>46570</v>
      </c>
      <c r="P9617">
        <v>0</v>
      </c>
      <c r="Q9617">
        <v>4</v>
      </c>
      <c r="R9617" t="s">
        <v>46577</v>
      </c>
      <c r="S9617" t="s">
        <v>46808</v>
      </c>
      <c r="T9617" t="s">
        <v>48256</v>
      </c>
      <c r="U9617" t="s">
        <v>56530</v>
      </c>
      <c r="V9617" t="s">
        <v>62629</v>
      </c>
      <c r="W9617" t="s">
        <v>45466</v>
      </c>
      <c r="X9617" t="s">
        <v>46578</v>
      </c>
    </row>
    <row r="9618" spans="1:24">
      <c r="A9618">
        <f>HYPERLINK("https://www.philgeps.gov.ph/GEPSNONPILOT/Tender/SplashBidNoticeAbstractUI.aspx?menuIndex=3&amp;refID=7054141&amp;Result=3","7054141")</f>
        <v>0</v>
      </c>
      <c r="B9618" t="s">
        <v>135</v>
      </c>
      <c r="C9618" t="s">
        <v>12646</v>
      </c>
      <c r="D9618" t="s">
        <v>18807</v>
      </c>
      <c r="E9618" t="s">
        <v>27234</v>
      </c>
      <c r="F9618" t="s">
        <v>32664</v>
      </c>
      <c r="G9618" t="s">
        <v>32672</v>
      </c>
      <c r="H9618" t="s">
        <v>12635</v>
      </c>
      <c r="I9618" t="s">
        <v>4439</v>
      </c>
      <c r="J9618" t="s">
        <v>38600</v>
      </c>
      <c r="K9618" t="s">
        <v>42281</v>
      </c>
      <c r="M9618" t="s">
        <v>42852</v>
      </c>
      <c r="N9618" t="s">
        <v>46569</v>
      </c>
      <c r="O9618" t="s">
        <v>46570</v>
      </c>
      <c r="P9618">
        <v>0</v>
      </c>
      <c r="Q9618">
        <v>0</v>
      </c>
      <c r="R9618" t="s">
        <v>46577</v>
      </c>
      <c r="S9618" t="s">
        <v>46808</v>
      </c>
      <c r="T9618" t="s">
        <v>48216</v>
      </c>
      <c r="U9618" t="s">
        <v>49052</v>
      </c>
      <c r="V9618" t="s">
        <v>61650</v>
      </c>
      <c r="W9618" t="s">
        <v>42852</v>
      </c>
      <c r="X9618" t="s">
        <v>46578</v>
      </c>
    </row>
    <row r="9619" spans="1:24">
      <c r="A9619">
        <f>HYPERLINK("https://www.philgeps.gov.ph/GEPSNONPILOT/Tender/SplashBidNoticeAbstractUI.aspx?menuIndex=3&amp;refID=7054155&amp;Result=3","7054155")</f>
        <v>0</v>
      </c>
      <c r="B9619" t="s">
        <v>1385</v>
      </c>
      <c r="C9619" t="s">
        <v>12647</v>
      </c>
      <c r="D9619" t="s">
        <v>18827</v>
      </c>
      <c r="E9619" t="s">
        <v>27235</v>
      </c>
      <c r="F9619" t="s">
        <v>32664</v>
      </c>
      <c r="G9619" t="s">
        <v>32672</v>
      </c>
      <c r="H9619" t="s">
        <v>32683</v>
      </c>
      <c r="I9619" t="s">
        <v>10627</v>
      </c>
      <c r="J9619" t="s">
        <v>38601</v>
      </c>
      <c r="K9619" t="s">
        <v>42326</v>
      </c>
      <c r="L9619" t="s">
        <v>1385</v>
      </c>
      <c r="M9619" t="s">
        <v>44040</v>
      </c>
      <c r="N9619" t="s">
        <v>46569</v>
      </c>
      <c r="O9619" t="s">
        <v>46570</v>
      </c>
      <c r="P9619">
        <v>0</v>
      </c>
      <c r="Q9619">
        <v>0</v>
      </c>
      <c r="R9619" t="s">
        <v>46577</v>
      </c>
      <c r="S9619" t="s">
        <v>46808</v>
      </c>
      <c r="T9619" t="s">
        <v>48384</v>
      </c>
      <c r="U9619" t="s">
        <v>56531</v>
      </c>
      <c r="W9619" t="s">
        <v>44040</v>
      </c>
      <c r="X9619" t="s">
        <v>46578</v>
      </c>
    </row>
    <row r="9620" spans="1:24">
      <c r="A9620">
        <f>HYPERLINK("https://www.philgeps.gov.ph/GEPSNONPILOT/Tender/SplashBidNoticeAbstractUI.aspx?menuIndex=3&amp;refID=7054229&amp;Result=3","7054229")</f>
        <v>0</v>
      </c>
      <c r="B9620" t="s">
        <v>295</v>
      </c>
      <c r="C9620" t="s">
        <v>12648</v>
      </c>
      <c r="D9620" t="s">
        <v>18848</v>
      </c>
      <c r="E9620" t="s">
        <v>27236</v>
      </c>
      <c r="F9620" t="s">
        <v>32664</v>
      </c>
      <c r="G9620" t="s">
        <v>32672</v>
      </c>
      <c r="H9620" t="s">
        <v>12635</v>
      </c>
      <c r="I9620" t="s">
        <v>6168</v>
      </c>
      <c r="J9620" t="s">
        <v>38602</v>
      </c>
      <c r="K9620" t="s">
        <v>42297</v>
      </c>
      <c r="M9620" t="s">
        <v>45554</v>
      </c>
      <c r="N9620" t="s">
        <v>46569</v>
      </c>
      <c r="O9620" t="s">
        <v>46570</v>
      </c>
      <c r="P9620">
        <v>0</v>
      </c>
      <c r="Q9620">
        <v>0</v>
      </c>
      <c r="R9620" t="s">
        <v>46577</v>
      </c>
      <c r="S9620" t="s">
        <v>46808</v>
      </c>
      <c r="T9620" t="s">
        <v>48298</v>
      </c>
      <c r="U9620" t="s">
        <v>56532</v>
      </c>
      <c r="W9620" t="s">
        <v>45554</v>
      </c>
      <c r="X9620" t="s">
        <v>46578</v>
      </c>
    </row>
    <row r="9621" spans="1:24">
      <c r="A9621">
        <f>HYPERLINK("https://www.philgeps.gov.ph/GEPSNONPILOT/Tender/SplashBidNoticeAbstractUI.aspx?menuIndex=3&amp;refID=7054227&amp;Result=3","7054227")</f>
        <v>0</v>
      </c>
      <c r="B9621" t="s">
        <v>128</v>
      </c>
      <c r="C9621" t="s">
        <v>12649</v>
      </c>
      <c r="D9621" t="s">
        <v>18827</v>
      </c>
      <c r="E9621" t="s">
        <v>27237</v>
      </c>
      <c r="F9621" t="s">
        <v>32664</v>
      </c>
      <c r="G9621" t="s">
        <v>32672</v>
      </c>
      <c r="H9621" t="s">
        <v>32683</v>
      </c>
      <c r="I9621" t="s">
        <v>10627</v>
      </c>
      <c r="J9621" t="s">
        <v>38603</v>
      </c>
      <c r="K9621" t="s">
        <v>42490</v>
      </c>
      <c r="M9621" t="s">
        <v>42692</v>
      </c>
      <c r="N9621" t="s">
        <v>46569</v>
      </c>
      <c r="O9621" t="s">
        <v>46570</v>
      </c>
      <c r="P9621">
        <v>0</v>
      </c>
      <c r="Q9621">
        <v>1</v>
      </c>
      <c r="R9621" t="s">
        <v>46577</v>
      </c>
      <c r="S9621" t="s">
        <v>46808</v>
      </c>
      <c r="T9621" t="s">
        <v>48274</v>
      </c>
      <c r="U9621" t="s">
        <v>56533</v>
      </c>
      <c r="W9621" t="s">
        <v>42692</v>
      </c>
      <c r="X9621" t="s">
        <v>46578</v>
      </c>
    </row>
    <row r="9622" spans="1:24">
      <c r="A9622">
        <f>HYPERLINK("https://www.philgeps.gov.ph/GEPSNONPILOT/Tender/SplashBidNoticeAbstractUI.aspx?menuIndex=3&amp;refID=7054230&amp;Result=3","7054230")</f>
        <v>0</v>
      </c>
      <c r="B9622" t="s">
        <v>1112</v>
      </c>
      <c r="C9622" t="s">
        <v>12650</v>
      </c>
      <c r="D9622" t="s">
        <v>18842</v>
      </c>
      <c r="E9622" t="s">
        <v>27238</v>
      </c>
      <c r="F9622" t="s">
        <v>32664</v>
      </c>
      <c r="G9622" t="s">
        <v>32674</v>
      </c>
      <c r="H9622" t="s">
        <v>12635</v>
      </c>
      <c r="I9622" t="s">
        <v>8797</v>
      </c>
      <c r="J9622" t="s">
        <v>33072</v>
      </c>
      <c r="K9622" t="s">
        <v>42284</v>
      </c>
      <c r="M9622" t="s">
        <v>43739</v>
      </c>
      <c r="N9622" t="s">
        <v>46569</v>
      </c>
      <c r="O9622" t="s">
        <v>46570</v>
      </c>
      <c r="P9622">
        <v>0</v>
      </c>
      <c r="Q9622">
        <v>4</v>
      </c>
      <c r="R9622" t="s">
        <v>46577</v>
      </c>
      <c r="S9622" t="s">
        <v>46808</v>
      </c>
      <c r="T9622" t="s">
        <v>48254</v>
      </c>
      <c r="U9622" t="s">
        <v>56534</v>
      </c>
      <c r="V9622" t="s">
        <v>62613</v>
      </c>
      <c r="W9622" t="s">
        <v>43739</v>
      </c>
      <c r="X9622" t="s">
        <v>46578</v>
      </c>
    </row>
    <row r="9623" spans="1:24">
      <c r="A9623">
        <f>HYPERLINK("https://www.philgeps.gov.ph/GEPSNONPILOT/Tender/SplashBidNoticeAbstractUI.aspx?menuIndex=3&amp;refID=7054143&amp;Result=3","7054143")</f>
        <v>0</v>
      </c>
      <c r="B9623" t="s">
        <v>1085</v>
      </c>
      <c r="C9623" t="s">
        <v>8589</v>
      </c>
      <c r="D9623" t="s">
        <v>18851</v>
      </c>
      <c r="E9623" t="s">
        <v>27239</v>
      </c>
      <c r="F9623" t="s">
        <v>32664</v>
      </c>
      <c r="G9623" t="s">
        <v>32672</v>
      </c>
      <c r="H9623" t="s">
        <v>32683</v>
      </c>
      <c r="I9623" t="s">
        <v>10627</v>
      </c>
      <c r="J9623" t="s">
        <v>38604</v>
      </c>
      <c r="K9623" t="s">
        <v>42311</v>
      </c>
      <c r="M9623" t="s">
        <v>43711</v>
      </c>
      <c r="N9623" t="s">
        <v>46569</v>
      </c>
      <c r="O9623" t="s">
        <v>46570</v>
      </c>
      <c r="P9623">
        <v>0</v>
      </c>
      <c r="Q9623">
        <v>0</v>
      </c>
      <c r="R9623" t="s">
        <v>46577</v>
      </c>
      <c r="S9623" t="s">
        <v>46808</v>
      </c>
      <c r="T9623" t="s">
        <v>48349</v>
      </c>
      <c r="U9623" t="s">
        <v>56535</v>
      </c>
      <c r="V9623" t="s">
        <v>62630</v>
      </c>
      <c r="W9623" t="s">
        <v>43711</v>
      </c>
      <c r="X9623" t="s">
        <v>46578</v>
      </c>
    </row>
    <row r="9624" spans="1:24">
      <c r="A9624">
        <f>HYPERLINK("https://www.philgeps.gov.ph/GEPSNONPILOT/Tender/SplashBidNoticeAbstractUI.aspx?menuIndex=3&amp;refID=7053989&amp;Result=3","7053989")</f>
        <v>0</v>
      </c>
      <c r="B9624" t="s">
        <v>135</v>
      </c>
      <c r="C9624" t="s">
        <v>12651</v>
      </c>
      <c r="D9624" t="s">
        <v>18807</v>
      </c>
      <c r="E9624" t="s">
        <v>27240</v>
      </c>
      <c r="F9624" t="s">
        <v>32664</v>
      </c>
      <c r="G9624" t="s">
        <v>32672</v>
      </c>
      <c r="H9624" t="s">
        <v>12635</v>
      </c>
      <c r="I9624" t="s">
        <v>4333</v>
      </c>
      <c r="J9624" t="s">
        <v>38605</v>
      </c>
      <c r="K9624" t="s">
        <v>42281</v>
      </c>
      <c r="M9624" t="s">
        <v>42852</v>
      </c>
      <c r="N9624" t="s">
        <v>46569</v>
      </c>
      <c r="O9624" t="s">
        <v>46570</v>
      </c>
      <c r="P9624">
        <v>0</v>
      </c>
      <c r="Q9624">
        <v>0</v>
      </c>
      <c r="R9624" t="s">
        <v>46577</v>
      </c>
      <c r="S9624" t="s">
        <v>46808</v>
      </c>
      <c r="T9624" t="s">
        <v>48228</v>
      </c>
      <c r="U9624" t="s">
        <v>49052</v>
      </c>
      <c r="V9624" t="s">
        <v>61650</v>
      </c>
      <c r="W9624" t="s">
        <v>42852</v>
      </c>
      <c r="X9624" t="s">
        <v>46578</v>
      </c>
    </row>
    <row r="9625" spans="1:24">
      <c r="A9625">
        <f>HYPERLINK("https://www.philgeps.gov.ph/GEPSNONPILOT/Tender/SplashBidNoticeAbstractUI.aspx?menuIndex=3&amp;refID=7054218&amp;Result=3","7054218")</f>
        <v>0</v>
      </c>
      <c r="B9625" t="s">
        <v>1963</v>
      </c>
      <c r="C9625" t="s">
        <v>12652</v>
      </c>
      <c r="D9625" t="s">
        <v>18785</v>
      </c>
      <c r="E9625" t="s">
        <v>27241</v>
      </c>
      <c r="F9625" t="s">
        <v>32664</v>
      </c>
      <c r="G9625" t="s">
        <v>32672</v>
      </c>
      <c r="H9625" t="s">
        <v>32681</v>
      </c>
      <c r="I9625" t="s">
        <v>32681</v>
      </c>
      <c r="J9625" t="s">
        <v>32982</v>
      </c>
      <c r="K9625" t="s">
        <v>42311</v>
      </c>
      <c r="M9625" t="s">
        <v>44695</v>
      </c>
      <c r="N9625" t="s">
        <v>46569</v>
      </c>
      <c r="O9625" t="s">
        <v>46570</v>
      </c>
      <c r="P9625">
        <v>0</v>
      </c>
      <c r="Q9625">
        <v>7</v>
      </c>
      <c r="R9625" t="s">
        <v>46577</v>
      </c>
      <c r="S9625" t="s">
        <v>46808</v>
      </c>
      <c r="T9625" t="s">
        <v>48287</v>
      </c>
      <c r="U9625" t="s">
        <v>53666</v>
      </c>
      <c r="W9625" t="s">
        <v>44695</v>
      </c>
      <c r="X9625" t="s">
        <v>46578</v>
      </c>
    </row>
    <row r="9626" spans="1:24">
      <c r="A9626">
        <f>HYPERLINK("https://www.philgeps.gov.ph/GEPSNONPILOT/Tender/SplashBidNoticeAbstractUI.aspx?menuIndex=3&amp;refID=7054208&amp;Result=3","7054208")</f>
        <v>0</v>
      </c>
      <c r="B9626" t="s">
        <v>885</v>
      </c>
      <c r="C9626" t="s">
        <v>12653</v>
      </c>
      <c r="D9626" t="s">
        <v>18819</v>
      </c>
      <c r="E9626" t="s">
        <v>27242</v>
      </c>
      <c r="F9626" t="s">
        <v>32664</v>
      </c>
      <c r="G9626" t="s">
        <v>32677</v>
      </c>
      <c r="H9626" t="s">
        <v>12635</v>
      </c>
      <c r="I9626" t="s">
        <v>9486</v>
      </c>
      <c r="J9626" t="s">
        <v>38606</v>
      </c>
      <c r="K9626" t="s">
        <v>42289</v>
      </c>
      <c r="M9626" t="s">
        <v>43486</v>
      </c>
      <c r="N9626" t="s">
        <v>46569</v>
      </c>
      <c r="O9626" t="s">
        <v>46570</v>
      </c>
      <c r="P9626">
        <v>0</v>
      </c>
      <c r="Q9626">
        <v>9</v>
      </c>
      <c r="R9626" t="s">
        <v>46577</v>
      </c>
      <c r="S9626" t="s">
        <v>46808</v>
      </c>
      <c r="T9626" t="s">
        <v>48287</v>
      </c>
      <c r="U9626" t="s">
        <v>56536</v>
      </c>
      <c r="W9626" t="s">
        <v>43486</v>
      </c>
      <c r="X9626" t="s">
        <v>46578</v>
      </c>
    </row>
    <row r="9627" spans="1:24">
      <c r="A9627">
        <f>HYPERLINK("https://www.philgeps.gov.ph/GEPSNONPILOT/Tender/SplashBidNoticeAbstractUI.aspx?menuIndex=3&amp;refID=7054206&amp;Result=3","7054206")</f>
        <v>0</v>
      </c>
      <c r="B9627" t="s">
        <v>2726</v>
      </c>
      <c r="C9627" t="s">
        <v>12654</v>
      </c>
      <c r="D9627" t="s">
        <v>18794</v>
      </c>
      <c r="E9627" t="s">
        <v>27243</v>
      </c>
      <c r="F9627" t="s">
        <v>32664</v>
      </c>
      <c r="G9627" t="s">
        <v>32671</v>
      </c>
      <c r="H9627" t="s">
        <v>12635</v>
      </c>
      <c r="I9627" t="s">
        <v>6223</v>
      </c>
      <c r="J9627" t="s">
        <v>38607</v>
      </c>
      <c r="K9627" t="s">
        <v>42298</v>
      </c>
      <c r="M9627" t="s">
        <v>45556</v>
      </c>
      <c r="N9627" t="s">
        <v>46569</v>
      </c>
      <c r="O9627" t="s">
        <v>46570</v>
      </c>
      <c r="P9627">
        <v>0</v>
      </c>
      <c r="Q9627">
        <v>0</v>
      </c>
      <c r="R9627" t="s">
        <v>46577</v>
      </c>
      <c r="S9627" t="s">
        <v>46808</v>
      </c>
      <c r="T9627" t="s">
        <v>48448</v>
      </c>
      <c r="U9627" t="s">
        <v>56537</v>
      </c>
      <c r="W9627" t="s">
        <v>45556</v>
      </c>
      <c r="X9627" t="s">
        <v>46578</v>
      </c>
    </row>
    <row r="9628" spans="1:24">
      <c r="A9628">
        <f>HYPERLINK("https://www.philgeps.gov.ph/GEPSNONPILOT/Tender/SplashBidNoticeAbstractUI.aspx?menuIndex=3&amp;refID=7054035&amp;Result=3","7054035")</f>
        <v>0</v>
      </c>
      <c r="B9628" t="s">
        <v>1007</v>
      </c>
      <c r="C9628" t="s">
        <v>12655</v>
      </c>
      <c r="D9628" t="s">
        <v>18812</v>
      </c>
      <c r="E9628" t="s">
        <v>27244</v>
      </c>
      <c r="F9628" t="s">
        <v>32664</v>
      </c>
      <c r="G9628" t="s">
        <v>32672</v>
      </c>
      <c r="H9628" t="s">
        <v>12635</v>
      </c>
      <c r="I9628" t="s">
        <v>32699</v>
      </c>
      <c r="J9628" t="s">
        <v>38608</v>
      </c>
      <c r="K9628" t="s">
        <v>42284</v>
      </c>
      <c r="M9628" t="s">
        <v>44391</v>
      </c>
      <c r="N9628" t="s">
        <v>46569</v>
      </c>
      <c r="O9628" t="s">
        <v>46570</v>
      </c>
      <c r="P9628">
        <v>0</v>
      </c>
      <c r="Q9628">
        <v>2</v>
      </c>
      <c r="R9628" t="s">
        <v>46577</v>
      </c>
      <c r="S9628" t="s">
        <v>46808</v>
      </c>
      <c r="T9628" t="s">
        <v>48218</v>
      </c>
      <c r="U9628" t="s">
        <v>56538</v>
      </c>
      <c r="W9628" t="s">
        <v>44391</v>
      </c>
      <c r="X9628" t="s">
        <v>46578</v>
      </c>
    </row>
    <row r="9629" spans="1:24">
      <c r="A9629">
        <f>HYPERLINK("https://www.philgeps.gov.ph/GEPSNONPILOT/Tender/SplashBidNoticeAbstractUI.aspx?menuIndex=3&amp;refID=7054147&amp;Result=3","7054147")</f>
        <v>0</v>
      </c>
      <c r="B9629" t="s">
        <v>2512</v>
      </c>
      <c r="C9629" t="s">
        <v>12656</v>
      </c>
      <c r="D9629" t="s">
        <v>18805</v>
      </c>
      <c r="E9629" t="s">
        <v>21047</v>
      </c>
      <c r="F9629" t="s">
        <v>32664</v>
      </c>
      <c r="G9629" t="s">
        <v>32672</v>
      </c>
      <c r="H9629" t="s">
        <v>12635</v>
      </c>
      <c r="I9629" t="s">
        <v>14442</v>
      </c>
      <c r="J9629" t="s">
        <v>34488</v>
      </c>
      <c r="K9629" t="s">
        <v>42297</v>
      </c>
      <c r="M9629" t="s">
        <v>45317</v>
      </c>
      <c r="N9629" t="s">
        <v>46569</v>
      </c>
      <c r="O9629" t="s">
        <v>46570</v>
      </c>
      <c r="P9629">
        <v>0</v>
      </c>
      <c r="Q9629">
        <v>0</v>
      </c>
      <c r="R9629" t="s">
        <v>46577</v>
      </c>
      <c r="S9629" t="s">
        <v>46808</v>
      </c>
      <c r="T9629" t="s">
        <v>48376</v>
      </c>
      <c r="U9629" t="s">
        <v>56539</v>
      </c>
      <c r="W9629" t="s">
        <v>45317</v>
      </c>
      <c r="X9629" t="s">
        <v>46578</v>
      </c>
    </row>
    <row r="9630" spans="1:24">
      <c r="A9630">
        <f>HYPERLINK("https://www.philgeps.gov.ph/GEPSNONPILOT/Tender/SplashBidNoticeAbstractUI.aspx?menuIndex=3&amp;refID=7054235&amp;Result=3","7054235")</f>
        <v>0</v>
      </c>
      <c r="B9630" t="s">
        <v>687</v>
      </c>
      <c r="C9630" t="s">
        <v>12657</v>
      </c>
      <c r="D9630" t="s">
        <v>18805</v>
      </c>
      <c r="E9630" t="s">
        <v>27245</v>
      </c>
      <c r="F9630" t="s">
        <v>32664</v>
      </c>
      <c r="G9630" t="s">
        <v>32672</v>
      </c>
      <c r="H9630" t="s">
        <v>12635</v>
      </c>
      <c r="I9630" t="s">
        <v>32699</v>
      </c>
      <c r="J9630" t="s">
        <v>38609</v>
      </c>
      <c r="K9630" t="s">
        <v>42283</v>
      </c>
      <c r="M9630" t="s">
        <v>43274</v>
      </c>
      <c r="N9630" t="s">
        <v>46569</v>
      </c>
      <c r="O9630" t="s">
        <v>46570</v>
      </c>
      <c r="P9630">
        <v>0</v>
      </c>
      <c r="Q9630">
        <v>0</v>
      </c>
      <c r="R9630" t="s">
        <v>46577</v>
      </c>
      <c r="S9630" t="s">
        <v>46808</v>
      </c>
      <c r="T9630" t="s">
        <v>48640</v>
      </c>
      <c r="U9630" t="s">
        <v>56540</v>
      </c>
      <c r="W9630" t="s">
        <v>43274</v>
      </c>
      <c r="X9630" t="s">
        <v>46578</v>
      </c>
    </row>
    <row r="9631" spans="1:24">
      <c r="A9631">
        <f>HYPERLINK("https://www.philgeps.gov.ph/GEPSNONPILOT/Tender/SplashBidNoticeAbstractUI.aspx?menuIndex=3&amp;refID=7054178&amp;Result=3","7054178")</f>
        <v>0</v>
      </c>
      <c r="B9631" t="s">
        <v>1085</v>
      </c>
      <c r="C9631" t="s">
        <v>12658</v>
      </c>
      <c r="D9631" t="s">
        <v>18851</v>
      </c>
      <c r="E9631" t="s">
        <v>27246</v>
      </c>
      <c r="F9631" t="s">
        <v>32664</v>
      </c>
      <c r="G9631" t="s">
        <v>32672</v>
      </c>
      <c r="H9631" t="s">
        <v>32683</v>
      </c>
      <c r="I9631" t="s">
        <v>10627</v>
      </c>
      <c r="J9631" t="s">
        <v>38610</v>
      </c>
      <c r="K9631" t="s">
        <v>42290</v>
      </c>
      <c r="M9631" t="s">
        <v>43711</v>
      </c>
      <c r="N9631" t="s">
        <v>46569</v>
      </c>
      <c r="O9631" t="s">
        <v>46570</v>
      </c>
      <c r="P9631">
        <v>0</v>
      </c>
      <c r="Q9631">
        <v>0</v>
      </c>
      <c r="R9631" t="s">
        <v>46577</v>
      </c>
      <c r="S9631" t="s">
        <v>46808</v>
      </c>
      <c r="T9631" t="s">
        <v>48349</v>
      </c>
      <c r="U9631" t="s">
        <v>56541</v>
      </c>
      <c r="V9631" t="s">
        <v>62631</v>
      </c>
      <c r="W9631" t="s">
        <v>43711</v>
      </c>
      <c r="X9631" t="s">
        <v>46578</v>
      </c>
    </row>
    <row r="9632" spans="1:24">
      <c r="A9632">
        <f>HYPERLINK("https://www.philgeps.gov.ph/GEPSNONPILOT/Tender/SplashBidNoticeAbstractUI.aspx?menuIndex=3&amp;refID=7054290&amp;Result=3","7054290")</f>
        <v>0</v>
      </c>
      <c r="B9632" t="s">
        <v>2727</v>
      </c>
      <c r="C9632" t="s">
        <v>12659</v>
      </c>
      <c r="D9632" t="s">
        <v>18815</v>
      </c>
      <c r="E9632" t="s">
        <v>27247</v>
      </c>
      <c r="F9632" t="s">
        <v>32664</v>
      </c>
      <c r="G9632" t="s">
        <v>32672</v>
      </c>
      <c r="H9632" t="s">
        <v>12635</v>
      </c>
      <c r="I9632" t="s">
        <v>8730</v>
      </c>
      <c r="J9632" t="s">
        <v>38611</v>
      </c>
      <c r="K9632" t="s">
        <v>42303</v>
      </c>
      <c r="M9632" t="s">
        <v>45557</v>
      </c>
      <c r="N9632" t="s">
        <v>46569</v>
      </c>
      <c r="O9632" t="s">
        <v>46570</v>
      </c>
      <c r="P9632">
        <v>0</v>
      </c>
      <c r="Q9632">
        <v>1</v>
      </c>
      <c r="R9632" t="s">
        <v>46577</v>
      </c>
      <c r="S9632" t="s">
        <v>46808</v>
      </c>
      <c r="T9632" t="s">
        <v>48313</v>
      </c>
      <c r="U9632" t="s">
        <v>56542</v>
      </c>
      <c r="W9632" t="s">
        <v>45557</v>
      </c>
      <c r="X9632" t="s">
        <v>46578</v>
      </c>
    </row>
    <row r="9633" spans="1:24">
      <c r="A9633">
        <f>HYPERLINK("https://www.philgeps.gov.ph/GEPSNONPILOT/Tender/SplashBidNoticeAbstractUI.aspx?menuIndex=3&amp;refID=7054199&amp;Result=3","7054199")</f>
        <v>0</v>
      </c>
      <c r="B9633" t="s">
        <v>199</v>
      </c>
      <c r="C9633" t="s">
        <v>12660</v>
      </c>
      <c r="D9633" t="s">
        <v>18789</v>
      </c>
      <c r="E9633" t="s">
        <v>27248</v>
      </c>
      <c r="F9633" t="s">
        <v>32664</v>
      </c>
      <c r="G9633" t="s">
        <v>32672</v>
      </c>
      <c r="H9633" t="s">
        <v>32683</v>
      </c>
      <c r="I9633" t="s">
        <v>32684</v>
      </c>
      <c r="J9633" t="s">
        <v>32981</v>
      </c>
      <c r="K9633" t="s">
        <v>42298</v>
      </c>
      <c r="M9633" t="s">
        <v>45558</v>
      </c>
      <c r="N9633" t="s">
        <v>46569</v>
      </c>
      <c r="O9633" t="s">
        <v>46570</v>
      </c>
      <c r="P9633">
        <v>0</v>
      </c>
      <c r="Q9633">
        <v>11</v>
      </c>
      <c r="R9633" t="s">
        <v>46577</v>
      </c>
      <c r="S9633" t="s">
        <v>46808</v>
      </c>
      <c r="T9633" t="s">
        <v>48580</v>
      </c>
      <c r="U9633" t="s">
        <v>56543</v>
      </c>
      <c r="V9633" t="s">
        <v>62632</v>
      </c>
      <c r="W9633" t="s">
        <v>45558</v>
      </c>
      <c r="X9633" t="s">
        <v>46578</v>
      </c>
    </row>
    <row r="9634" spans="1:24">
      <c r="A9634">
        <f>HYPERLINK("https://www.philgeps.gov.ph/GEPSNONPILOT/Tender/SplashBidNoticeAbstractUI.aspx?menuIndex=3&amp;refID=7054283&amp;Result=3","7054283")</f>
        <v>0</v>
      </c>
      <c r="B9634" t="s">
        <v>1946</v>
      </c>
      <c r="C9634" t="s">
        <v>12661</v>
      </c>
      <c r="D9634" t="s">
        <v>18843</v>
      </c>
      <c r="E9634" t="s">
        <v>27249</v>
      </c>
      <c r="F9634" t="s">
        <v>32664</v>
      </c>
      <c r="G9634" t="s">
        <v>32672</v>
      </c>
      <c r="H9634" t="s">
        <v>32683</v>
      </c>
      <c r="I9634" t="s">
        <v>10627</v>
      </c>
      <c r="J9634" t="s">
        <v>33657</v>
      </c>
      <c r="K9634" t="s">
        <v>42331</v>
      </c>
      <c r="M9634" t="s">
        <v>44673</v>
      </c>
      <c r="N9634" t="s">
        <v>46569</v>
      </c>
      <c r="O9634" t="s">
        <v>46570</v>
      </c>
      <c r="P9634">
        <v>0</v>
      </c>
      <c r="Q9634">
        <v>0</v>
      </c>
      <c r="R9634" t="s">
        <v>46577</v>
      </c>
      <c r="S9634" t="s">
        <v>46808</v>
      </c>
      <c r="T9634" t="s">
        <v>48219</v>
      </c>
      <c r="U9634" t="s">
        <v>56544</v>
      </c>
      <c r="W9634" t="s">
        <v>44673</v>
      </c>
      <c r="X9634" t="s">
        <v>46578</v>
      </c>
    </row>
    <row r="9635" spans="1:24">
      <c r="A9635">
        <f>HYPERLINK("https://www.philgeps.gov.ph/GEPSNONPILOT/Tender/SplashBidNoticeAbstractUI.aspx?menuIndex=3&amp;refID=7054287&amp;Result=3","7054287")</f>
        <v>0</v>
      </c>
      <c r="B9635" t="s">
        <v>1385</v>
      </c>
      <c r="C9635" t="s">
        <v>12662</v>
      </c>
      <c r="D9635" t="s">
        <v>18827</v>
      </c>
      <c r="E9635" t="s">
        <v>27250</v>
      </c>
      <c r="F9635" t="s">
        <v>32664</v>
      </c>
      <c r="G9635" t="s">
        <v>32672</v>
      </c>
      <c r="H9635" t="s">
        <v>32683</v>
      </c>
      <c r="I9635" t="s">
        <v>10627</v>
      </c>
      <c r="J9635" t="s">
        <v>38601</v>
      </c>
      <c r="K9635" t="s">
        <v>42326</v>
      </c>
      <c r="L9635" t="s">
        <v>1385</v>
      </c>
      <c r="M9635" t="s">
        <v>44040</v>
      </c>
      <c r="N9635" t="s">
        <v>46569</v>
      </c>
      <c r="O9635" t="s">
        <v>46570</v>
      </c>
      <c r="P9635">
        <v>0</v>
      </c>
      <c r="Q9635">
        <v>0</v>
      </c>
      <c r="R9635" t="s">
        <v>46577</v>
      </c>
      <c r="S9635" t="s">
        <v>46808</v>
      </c>
      <c r="T9635" t="s">
        <v>48384</v>
      </c>
      <c r="U9635" t="s">
        <v>56531</v>
      </c>
      <c r="W9635" t="s">
        <v>44040</v>
      </c>
      <c r="X9635" t="s">
        <v>46578</v>
      </c>
    </row>
    <row r="9636" spans="1:24">
      <c r="A9636">
        <f>HYPERLINK("https://www.philgeps.gov.ph/GEPSNONPILOT/Tender/SplashBidNoticeAbstractUI.aspx?menuIndex=3&amp;refID=7054280&amp;Result=3","7054280")</f>
        <v>0</v>
      </c>
      <c r="B9636" t="s">
        <v>1939</v>
      </c>
      <c r="C9636" t="s">
        <v>12663</v>
      </c>
      <c r="D9636" t="s">
        <v>18782</v>
      </c>
      <c r="E9636" t="s">
        <v>27251</v>
      </c>
      <c r="F9636" t="s">
        <v>32664</v>
      </c>
      <c r="G9636" t="s">
        <v>32672</v>
      </c>
      <c r="H9636" t="s">
        <v>32683</v>
      </c>
      <c r="I9636" t="s">
        <v>10627</v>
      </c>
      <c r="J9636" t="s">
        <v>38612</v>
      </c>
      <c r="K9636" t="s">
        <v>42298</v>
      </c>
      <c r="L9636" t="s">
        <v>1939</v>
      </c>
      <c r="M9636" t="s">
        <v>44664</v>
      </c>
      <c r="N9636" t="s">
        <v>46569</v>
      </c>
      <c r="O9636" t="s">
        <v>46570</v>
      </c>
      <c r="P9636">
        <v>0</v>
      </c>
      <c r="Q9636">
        <v>0</v>
      </c>
      <c r="R9636" t="s">
        <v>46577</v>
      </c>
      <c r="S9636" t="s">
        <v>46808</v>
      </c>
      <c r="T9636" t="s">
        <v>48453</v>
      </c>
      <c r="U9636" t="s">
        <v>56545</v>
      </c>
      <c r="W9636" t="s">
        <v>44664</v>
      </c>
      <c r="X9636" t="s">
        <v>46578</v>
      </c>
    </row>
    <row r="9637" spans="1:24">
      <c r="A9637">
        <f>HYPERLINK("https://www.philgeps.gov.ph/GEPSNONPILOT/Tender/SplashBidNoticeAbstractUI.aspx?menuIndex=3&amp;refID=7054277&amp;Result=3","7054277")</f>
        <v>0</v>
      </c>
      <c r="B9637" t="s">
        <v>1085</v>
      </c>
      <c r="C9637" t="s">
        <v>12664</v>
      </c>
      <c r="D9637" t="s">
        <v>18851</v>
      </c>
      <c r="E9637" t="s">
        <v>27252</v>
      </c>
      <c r="F9637" t="s">
        <v>32664</v>
      </c>
      <c r="G9637" t="s">
        <v>32672</v>
      </c>
      <c r="H9637" t="s">
        <v>32683</v>
      </c>
      <c r="I9637" t="s">
        <v>10627</v>
      </c>
      <c r="J9637" t="s">
        <v>38613</v>
      </c>
      <c r="K9637" t="s">
        <v>42311</v>
      </c>
      <c r="M9637" t="s">
        <v>43711</v>
      </c>
      <c r="N9637" t="s">
        <v>46569</v>
      </c>
      <c r="O9637" t="s">
        <v>46570</v>
      </c>
      <c r="P9637">
        <v>0</v>
      </c>
      <c r="Q9637">
        <v>0</v>
      </c>
      <c r="R9637" t="s">
        <v>46577</v>
      </c>
      <c r="S9637" t="s">
        <v>46808</v>
      </c>
      <c r="T9637" t="s">
        <v>48349</v>
      </c>
      <c r="U9637" t="s">
        <v>56546</v>
      </c>
      <c r="V9637" t="s">
        <v>62633</v>
      </c>
      <c r="W9637" t="s">
        <v>43711</v>
      </c>
      <c r="X9637" t="s">
        <v>46578</v>
      </c>
    </row>
    <row r="9638" spans="1:24">
      <c r="A9638">
        <f>HYPERLINK("https://www.philgeps.gov.ph/GEPSNONPILOT/Tender/SplashBidNoticeAbstractUI.aspx?menuIndex=3&amp;refID=7054268&amp;Result=3","7054268")</f>
        <v>0</v>
      </c>
      <c r="B9638" t="s">
        <v>2189</v>
      </c>
      <c r="C9638" t="s">
        <v>12665</v>
      </c>
      <c r="D9638" t="s">
        <v>18843</v>
      </c>
      <c r="E9638" t="s">
        <v>27253</v>
      </c>
      <c r="F9638" t="s">
        <v>32664</v>
      </c>
      <c r="G9638" t="s">
        <v>32672</v>
      </c>
      <c r="H9638" t="s">
        <v>12635</v>
      </c>
      <c r="I9638" t="s">
        <v>4439</v>
      </c>
      <c r="J9638" t="s">
        <v>32830</v>
      </c>
      <c r="K9638" t="s">
        <v>42284</v>
      </c>
      <c r="M9638" t="s">
        <v>44951</v>
      </c>
      <c r="N9638" t="s">
        <v>46569</v>
      </c>
      <c r="O9638" t="s">
        <v>46570</v>
      </c>
      <c r="P9638">
        <v>0</v>
      </c>
      <c r="Q9638">
        <v>0</v>
      </c>
      <c r="R9638" t="s">
        <v>46577</v>
      </c>
      <c r="S9638" t="s">
        <v>46808</v>
      </c>
      <c r="T9638" t="s">
        <v>48376</v>
      </c>
      <c r="U9638" t="s">
        <v>56547</v>
      </c>
      <c r="W9638" t="s">
        <v>44951</v>
      </c>
      <c r="X9638" t="s">
        <v>46578</v>
      </c>
    </row>
    <row r="9639" spans="1:24">
      <c r="A9639">
        <f>HYPERLINK("https://www.philgeps.gov.ph/GEPSNONPILOT/Tender/SplashBidNoticeAbstractUI.aspx?menuIndex=3&amp;refID=7054209&amp;Result=3","7054209")</f>
        <v>0</v>
      </c>
      <c r="B9639" t="s">
        <v>472</v>
      </c>
      <c r="C9639" t="s">
        <v>12666</v>
      </c>
      <c r="D9639" t="s">
        <v>18804</v>
      </c>
      <c r="E9639" t="s">
        <v>27254</v>
      </c>
      <c r="F9639" t="s">
        <v>32664</v>
      </c>
      <c r="G9639" t="s">
        <v>32671</v>
      </c>
      <c r="H9639" t="s">
        <v>12635</v>
      </c>
      <c r="I9639" t="s">
        <v>4439</v>
      </c>
      <c r="J9639" t="s">
        <v>38614</v>
      </c>
      <c r="K9639" t="s">
        <v>42303</v>
      </c>
      <c r="M9639" t="s">
        <v>43047</v>
      </c>
      <c r="N9639" t="s">
        <v>46569</v>
      </c>
      <c r="O9639" t="s">
        <v>46570</v>
      </c>
      <c r="P9639">
        <v>0</v>
      </c>
      <c r="Q9639">
        <v>1</v>
      </c>
      <c r="R9639" t="s">
        <v>46577</v>
      </c>
      <c r="S9639" t="s">
        <v>46808</v>
      </c>
      <c r="T9639" t="s">
        <v>48287</v>
      </c>
      <c r="U9639" t="s">
        <v>49185</v>
      </c>
      <c r="V9639" t="s">
        <v>61731</v>
      </c>
      <c r="W9639" t="s">
        <v>43047</v>
      </c>
      <c r="X9639" t="s">
        <v>46578</v>
      </c>
    </row>
    <row r="9640" spans="1:24">
      <c r="A9640">
        <f>HYPERLINK("https://www.philgeps.gov.ph/GEPSNONPILOT/Tender/SplashBidNoticeAbstractUI.aspx?menuIndex=3&amp;refID=7054286&amp;Result=3","7054286")</f>
        <v>0</v>
      </c>
      <c r="B9640" t="s">
        <v>2484</v>
      </c>
      <c r="C9640" t="s">
        <v>12667</v>
      </c>
      <c r="D9640" t="s">
        <v>18822</v>
      </c>
      <c r="E9640" t="s">
        <v>27255</v>
      </c>
      <c r="F9640" t="s">
        <v>32664</v>
      </c>
      <c r="G9640" t="s">
        <v>32672</v>
      </c>
      <c r="H9640" t="s">
        <v>12635</v>
      </c>
      <c r="I9640" t="s">
        <v>4997</v>
      </c>
      <c r="J9640" t="s">
        <v>38615</v>
      </c>
      <c r="K9640" t="s">
        <v>42297</v>
      </c>
      <c r="M9640" t="s">
        <v>45284</v>
      </c>
      <c r="N9640" t="s">
        <v>46569</v>
      </c>
      <c r="O9640" t="s">
        <v>46570</v>
      </c>
      <c r="P9640">
        <v>0</v>
      </c>
      <c r="Q9640">
        <v>1</v>
      </c>
      <c r="R9640" t="s">
        <v>46577</v>
      </c>
      <c r="S9640" t="s">
        <v>46808</v>
      </c>
      <c r="T9640" t="s">
        <v>48283</v>
      </c>
      <c r="U9640" t="s">
        <v>56548</v>
      </c>
      <c r="W9640" t="s">
        <v>45284</v>
      </c>
      <c r="X9640" t="s">
        <v>46578</v>
      </c>
    </row>
    <row r="9641" spans="1:24">
      <c r="A9641">
        <f>HYPERLINK("https://www.philgeps.gov.ph/GEPSNONPILOT/Tender/SplashBidNoticeAbstractUI.aspx?menuIndex=3&amp;refID=7054258&amp;Result=3","7054258")</f>
        <v>0</v>
      </c>
      <c r="B9641" t="s">
        <v>472</v>
      </c>
      <c r="C9641" t="s">
        <v>12668</v>
      </c>
      <c r="D9641" t="s">
        <v>18804</v>
      </c>
      <c r="E9641" t="s">
        <v>27256</v>
      </c>
      <c r="F9641" t="s">
        <v>32664</v>
      </c>
      <c r="G9641" t="s">
        <v>32671</v>
      </c>
      <c r="H9641" t="s">
        <v>12635</v>
      </c>
      <c r="I9641" t="s">
        <v>4439</v>
      </c>
      <c r="J9641" t="s">
        <v>35754</v>
      </c>
      <c r="K9641" t="s">
        <v>42303</v>
      </c>
      <c r="M9641" t="s">
        <v>43047</v>
      </c>
      <c r="N9641" t="s">
        <v>46569</v>
      </c>
      <c r="O9641" t="s">
        <v>46570</v>
      </c>
      <c r="P9641">
        <v>0</v>
      </c>
      <c r="Q9641">
        <v>0</v>
      </c>
      <c r="R9641" t="s">
        <v>46577</v>
      </c>
      <c r="S9641" t="s">
        <v>46808</v>
      </c>
      <c r="T9641" t="s">
        <v>48287</v>
      </c>
      <c r="U9641" t="s">
        <v>56549</v>
      </c>
      <c r="V9641" t="s">
        <v>61731</v>
      </c>
      <c r="W9641" t="s">
        <v>43047</v>
      </c>
      <c r="X9641" t="s">
        <v>46578</v>
      </c>
    </row>
    <row r="9642" spans="1:24">
      <c r="A9642">
        <f>HYPERLINK("https://www.philgeps.gov.ph/GEPSNONPILOT/Tender/SplashBidNoticeAbstractUI.aspx?menuIndex=3&amp;refID=7054276&amp;Result=3","7054276")</f>
        <v>0</v>
      </c>
      <c r="B9642" t="s">
        <v>295</v>
      </c>
      <c r="C9642" t="s">
        <v>12669</v>
      </c>
      <c r="D9642" t="s">
        <v>18848</v>
      </c>
      <c r="E9642" t="s">
        <v>27257</v>
      </c>
      <c r="F9642" t="s">
        <v>32664</v>
      </c>
      <c r="G9642" t="s">
        <v>32672</v>
      </c>
      <c r="H9642" t="s">
        <v>12635</v>
      </c>
      <c r="I9642" t="s">
        <v>6168</v>
      </c>
      <c r="J9642" t="s">
        <v>38616</v>
      </c>
      <c r="K9642" t="s">
        <v>42297</v>
      </c>
      <c r="M9642" t="s">
        <v>45554</v>
      </c>
      <c r="N9642" t="s">
        <v>46569</v>
      </c>
      <c r="O9642" t="s">
        <v>46570</v>
      </c>
      <c r="P9642">
        <v>0</v>
      </c>
      <c r="Q9642">
        <v>0</v>
      </c>
      <c r="R9642" t="s">
        <v>46577</v>
      </c>
      <c r="S9642" t="s">
        <v>46808</v>
      </c>
      <c r="T9642" t="s">
        <v>48298</v>
      </c>
      <c r="U9642" t="s">
        <v>56550</v>
      </c>
      <c r="W9642" t="s">
        <v>45554</v>
      </c>
      <c r="X9642" t="s">
        <v>46578</v>
      </c>
    </row>
    <row r="9643" spans="1:24">
      <c r="A9643">
        <f>HYPERLINK("https://www.philgeps.gov.ph/GEPSNONPILOT/Tender/SplashBidNoticeAbstractUI.aspx?menuIndex=3&amp;refID=7054252&amp;Result=3","7054252")</f>
        <v>0</v>
      </c>
      <c r="B9643" t="s">
        <v>295</v>
      </c>
      <c r="C9643" t="s">
        <v>12670</v>
      </c>
      <c r="D9643" t="s">
        <v>18848</v>
      </c>
      <c r="E9643" t="s">
        <v>27258</v>
      </c>
      <c r="F9643" t="s">
        <v>32664</v>
      </c>
      <c r="G9643" t="s">
        <v>32672</v>
      </c>
      <c r="H9643" t="s">
        <v>12635</v>
      </c>
      <c r="I9643" t="s">
        <v>6168</v>
      </c>
      <c r="J9643" t="s">
        <v>38617</v>
      </c>
      <c r="K9643" t="s">
        <v>42297</v>
      </c>
      <c r="M9643" t="s">
        <v>45554</v>
      </c>
      <c r="N9643" t="s">
        <v>46569</v>
      </c>
      <c r="O9643" t="s">
        <v>46570</v>
      </c>
      <c r="P9643">
        <v>0</v>
      </c>
      <c r="Q9643">
        <v>0</v>
      </c>
      <c r="R9643" t="s">
        <v>46577</v>
      </c>
      <c r="S9643" t="s">
        <v>46808</v>
      </c>
      <c r="T9643" t="s">
        <v>48298</v>
      </c>
      <c r="U9643" t="s">
        <v>56551</v>
      </c>
      <c r="W9643" t="s">
        <v>45554</v>
      </c>
      <c r="X9643" t="s">
        <v>46578</v>
      </c>
    </row>
    <row r="9644" spans="1:24">
      <c r="A9644">
        <f>HYPERLINK("https://www.philgeps.gov.ph/GEPSNONPILOT/Tender/SplashBidNoticeAbstractUI.aspx?menuIndex=3&amp;refID=7054327&amp;Result=3","7054327")</f>
        <v>0</v>
      </c>
      <c r="B9644" t="s">
        <v>387</v>
      </c>
      <c r="C9644" t="s">
        <v>12671</v>
      </c>
      <c r="D9644" t="s">
        <v>18798</v>
      </c>
      <c r="E9644" t="s">
        <v>27259</v>
      </c>
      <c r="F9644" t="s">
        <v>32664</v>
      </c>
      <c r="G9644" t="s">
        <v>32671</v>
      </c>
      <c r="H9644" t="s">
        <v>12635</v>
      </c>
      <c r="I9644" t="s">
        <v>32708</v>
      </c>
      <c r="J9644" t="s">
        <v>38618</v>
      </c>
      <c r="K9644" t="s">
        <v>42283</v>
      </c>
      <c r="M9644" t="s">
        <v>45559</v>
      </c>
      <c r="N9644" t="s">
        <v>46569</v>
      </c>
      <c r="O9644" t="s">
        <v>46570</v>
      </c>
      <c r="P9644">
        <v>0</v>
      </c>
      <c r="Q9644">
        <v>4</v>
      </c>
      <c r="R9644" t="s">
        <v>46577</v>
      </c>
      <c r="S9644" t="s">
        <v>46808</v>
      </c>
      <c r="T9644" t="s">
        <v>48473</v>
      </c>
      <c r="U9644" t="s">
        <v>56552</v>
      </c>
      <c r="V9644" t="s">
        <v>61712</v>
      </c>
      <c r="W9644" t="s">
        <v>45559</v>
      </c>
      <c r="X9644" t="s">
        <v>46578</v>
      </c>
    </row>
    <row r="9645" spans="1:24">
      <c r="A9645">
        <f>HYPERLINK("https://www.philgeps.gov.ph/GEPSNONPILOT/Tender/SplashBidNoticeAbstractUI.aspx?menuIndex=3&amp;refID=7054148&amp;Result=3","7054148")</f>
        <v>0</v>
      </c>
      <c r="B9645" t="s">
        <v>472</v>
      </c>
      <c r="C9645" t="s">
        <v>12672</v>
      </c>
      <c r="D9645" t="s">
        <v>18804</v>
      </c>
      <c r="E9645" t="s">
        <v>27260</v>
      </c>
      <c r="F9645" t="s">
        <v>32664</v>
      </c>
      <c r="G9645" t="s">
        <v>32671</v>
      </c>
      <c r="H9645" t="s">
        <v>12635</v>
      </c>
      <c r="I9645" t="s">
        <v>6168</v>
      </c>
      <c r="J9645" t="s">
        <v>38619</v>
      </c>
      <c r="K9645" t="s">
        <v>42303</v>
      </c>
      <c r="M9645" t="s">
        <v>43047</v>
      </c>
      <c r="N9645" t="s">
        <v>46569</v>
      </c>
      <c r="O9645" t="s">
        <v>46570</v>
      </c>
      <c r="P9645">
        <v>0</v>
      </c>
      <c r="Q9645">
        <v>3</v>
      </c>
      <c r="R9645" t="s">
        <v>46577</v>
      </c>
      <c r="S9645" t="s">
        <v>46808</v>
      </c>
      <c r="T9645" t="s">
        <v>48287</v>
      </c>
      <c r="U9645" t="s">
        <v>56553</v>
      </c>
      <c r="V9645" t="s">
        <v>61731</v>
      </c>
      <c r="W9645" t="s">
        <v>43047</v>
      </c>
      <c r="X9645" t="s">
        <v>46578</v>
      </c>
    </row>
    <row r="9646" spans="1:24">
      <c r="A9646">
        <f>HYPERLINK("https://www.philgeps.gov.ph/GEPSNONPILOT/Tender/SplashBidNoticeAbstractUI.aspx?menuIndex=3&amp;refID=7054340&amp;Result=3","7054340")</f>
        <v>0</v>
      </c>
      <c r="B9646" t="s">
        <v>1173</v>
      </c>
      <c r="C9646" t="s">
        <v>12673</v>
      </c>
      <c r="E9646" t="s">
        <v>27261</v>
      </c>
      <c r="F9646" t="s">
        <v>32664</v>
      </c>
      <c r="G9646" t="s">
        <v>32671</v>
      </c>
      <c r="H9646" t="s">
        <v>12635</v>
      </c>
      <c r="I9646" t="s">
        <v>6168</v>
      </c>
      <c r="J9646" t="s">
        <v>38620</v>
      </c>
      <c r="K9646" t="s">
        <v>42283</v>
      </c>
      <c r="M9646" t="s">
        <v>43807</v>
      </c>
      <c r="N9646" t="s">
        <v>46569</v>
      </c>
      <c r="O9646" t="s">
        <v>46570</v>
      </c>
      <c r="P9646">
        <v>0</v>
      </c>
      <c r="Q9646">
        <v>0</v>
      </c>
      <c r="R9646" t="s">
        <v>46577</v>
      </c>
      <c r="S9646" t="s">
        <v>46808</v>
      </c>
      <c r="T9646" t="s">
        <v>48473</v>
      </c>
      <c r="U9646" t="s">
        <v>49518</v>
      </c>
      <c r="W9646" t="s">
        <v>43807</v>
      </c>
      <c r="X9646" t="s">
        <v>46578</v>
      </c>
    </row>
    <row r="9647" spans="1:24">
      <c r="A9647">
        <f>HYPERLINK("https://www.philgeps.gov.ph/GEPSNONPILOT/Tender/SplashBidNoticeAbstractUI.aspx?menuIndex=3&amp;refID=7054338&amp;Result=3","7054338")</f>
        <v>0</v>
      </c>
      <c r="B9647" t="s">
        <v>2726</v>
      </c>
      <c r="C9647" t="s">
        <v>12674</v>
      </c>
      <c r="D9647" t="s">
        <v>18794</v>
      </c>
      <c r="E9647" t="s">
        <v>27262</v>
      </c>
      <c r="F9647" t="s">
        <v>32664</v>
      </c>
      <c r="G9647" t="s">
        <v>32671</v>
      </c>
      <c r="H9647" t="s">
        <v>12635</v>
      </c>
      <c r="I9647" t="s">
        <v>6223</v>
      </c>
      <c r="J9647" t="s">
        <v>38621</v>
      </c>
      <c r="K9647" t="s">
        <v>42281</v>
      </c>
      <c r="M9647" t="s">
        <v>45556</v>
      </c>
      <c r="N9647" t="s">
        <v>46569</v>
      </c>
      <c r="O9647" t="s">
        <v>46570</v>
      </c>
      <c r="P9647">
        <v>0</v>
      </c>
      <c r="Q9647">
        <v>0</v>
      </c>
      <c r="R9647" t="s">
        <v>46577</v>
      </c>
      <c r="S9647" t="s">
        <v>46808</v>
      </c>
      <c r="T9647" t="s">
        <v>48448</v>
      </c>
      <c r="U9647" t="s">
        <v>56554</v>
      </c>
      <c r="W9647" t="s">
        <v>45556</v>
      </c>
      <c r="X9647" t="s">
        <v>46578</v>
      </c>
    </row>
    <row r="9648" spans="1:24">
      <c r="A9648">
        <f>HYPERLINK("https://www.philgeps.gov.ph/GEPSNONPILOT/Tender/SplashBidNoticeAbstractUI.aspx?menuIndex=3&amp;refID=7054289&amp;Result=3","7054289")</f>
        <v>0</v>
      </c>
      <c r="B9648" t="s">
        <v>495</v>
      </c>
      <c r="C9648" t="s">
        <v>12675</v>
      </c>
      <c r="D9648" t="s">
        <v>18791</v>
      </c>
      <c r="E9648" t="s">
        <v>27263</v>
      </c>
      <c r="F9648" t="s">
        <v>32664</v>
      </c>
      <c r="G9648" t="s">
        <v>32672</v>
      </c>
      <c r="H9648" t="s">
        <v>32683</v>
      </c>
      <c r="I9648" t="s">
        <v>10627</v>
      </c>
      <c r="J9648" t="s">
        <v>38622</v>
      </c>
      <c r="K9648" t="s">
        <v>42326</v>
      </c>
      <c r="M9648" t="s">
        <v>43071</v>
      </c>
      <c r="N9648" t="s">
        <v>46569</v>
      </c>
      <c r="O9648" t="s">
        <v>46570</v>
      </c>
      <c r="P9648">
        <v>0</v>
      </c>
      <c r="Q9648">
        <v>3</v>
      </c>
      <c r="R9648" t="s">
        <v>46577</v>
      </c>
      <c r="S9648" t="s">
        <v>46808</v>
      </c>
      <c r="T9648" t="s">
        <v>48469</v>
      </c>
      <c r="U9648" t="s">
        <v>51708</v>
      </c>
      <c r="W9648" t="s">
        <v>43071</v>
      </c>
      <c r="X9648" t="s">
        <v>46578</v>
      </c>
    </row>
    <row r="9649" spans="1:24">
      <c r="A9649">
        <f>HYPERLINK("https://www.philgeps.gov.ph/GEPSNONPILOT/Tender/SplashBidNoticeAbstractUI.aspx?menuIndex=3&amp;refID=7054261&amp;Result=3","7054261")</f>
        <v>0</v>
      </c>
      <c r="B9649" t="s">
        <v>1898</v>
      </c>
      <c r="C9649" t="s">
        <v>12676</v>
      </c>
      <c r="D9649" t="s">
        <v>18827</v>
      </c>
      <c r="E9649" t="s">
        <v>27264</v>
      </c>
      <c r="F9649" t="s">
        <v>32664</v>
      </c>
      <c r="G9649" t="s">
        <v>32672</v>
      </c>
      <c r="H9649" t="s">
        <v>12635</v>
      </c>
      <c r="I9649" t="s">
        <v>8730</v>
      </c>
      <c r="J9649" t="s">
        <v>33008</v>
      </c>
      <c r="K9649" t="s">
        <v>42281</v>
      </c>
      <c r="M9649" t="s">
        <v>44618</v>
      </c>
      <c r="N9649" t="s">
        <v>46569</v>
      </c>
      <c r="O9649" t="s">
        <v>46570</v>
      </c>
      <c r="Q9649">
        <v>1</v>
      </c>
      <c r="R9649" t="s">
        <v>46577</v>
      </c>
      <c r="S9649" t="s">
        <v>46853</v>
      </c>
      <c r="T9649" t="s">
        <v>48376</v>
      </c>
      <c r="U9649" t="s">
        <v>56555</v>
      </c>
      <c r="V9649" t="s">
        <v>62634</v>
      </c>
      <c r="W9649" t="s">
        <v>44618</v>
      </c>
      <c r="X9649" t="s">
        <v>46578</v>
      </c>
    </row>
    <row r="9650" spans="1:24">
      <c r="A9650">
        <f>HYPERLINK("https://www.philgeps.gov.ph/GEPSNONPILOT/Tender/SplashBidNoticeAbstractUI.aspx?menuIndex=3&amp;refID=7054256&amp;Result=3","7054256")</f>
        <v>0</v>
      </c>
      <c r="B9650" t="s">
        <v>1939</v>
      </c>
      <c r="C9650" t="s">
        <v>12677</v>
      </c>
      <c r="D9650" t="s">
        <v>18782</v>
      </c>
      <c r="E9650" t="s">
        <v>27265</v>
      </c>
      <c r="F9650" t="s">
        <v>32664</v>
      </c>
      <c r="G9650" t="s">
        <v>32672</v>
      </c>
      <c r="H9650" t="s">
        <v>32683</v>
      </c>
      <c r="I9650" t="s">
        <v>4439</v>
      </c>
      <c r="J9650" t="s">
        <v>38623</v>
      </c>
      <c r="K9650" t="s">
        <v>42298</v>
      </c>
      <c r="L9650" t="s">
        <v>1939</v>
      </c>
      <c r="M9650" t="s">
        <v>44664</v>
      </c>
      <c r="N9650" t="s">
        <v>46569</v>
      </c>
      <c r="O9650" t="s">
        <v>46570</v>
      </c>
      <c r="P9650">
        <v>0</v>
      </c>
      <c r="Q9650">
        <v>1</v>
      </c>
      <c r="R9650" t="s">
        <v>46577</v>
      </c>
      <c r="S9650" t="s">
        <v>46808</v>
      </c>
      <c r="T9650" t="s">
        <v>48453</v>
      </c>
      <c r="U9650" t="s">
        <v>56556</v>
      </c>
      <c r="W9650" t="s">
        <v>44664</v>
      </c>
      <c r="X9650" t="s">
        <v>46578</v>
      </c>
    </row>
    <row r="9651" spans="1:24">
      <c r="A9651">
        <f>HYPERLINK("https://www.philgeps.gov.ph/GEPSNONPILOT/Tender/SplashBidNoticeAbstractUI.aspx?menuIndex=3&amp;refID=7054336&amp;Result=3","7054336")</f>
        <v>0</v>
      </c>
      <c r="B9651" t="s">
        <v>2606</v>
      </c>
      <c r="C9651" t="s">
        <v>12678</v>
      </c>
      <c r="D9651" t="s">
        <v>18844</v>
      </c>
      <c r="E9651" t="s">
        <v>27266</v>
      </c>
      <c r="F9651" t="s">
        <v>32664</v>
      </c>
      <c r="G9651" t="s">
        <v>32672</v>
      </c>
      <c r="H9651" t="s">
        <v>32683</v>
      </c>
      <c r="I9651" t="s">
        <v>10627</v>
      </c>
      <c r="J9651" t="s">
        <v>38624</v>
      </c>
      <c r="K9651" t="s">
        <v>42423</v>
      </c>
      <c r="M9651" t="s">
        <v>45423</v>
      </c>
      <c r="N9651" t="s">
        <v>46569</v>
      </c>
      <c r="O9651" t="s">
        <v>46570</v>
      </c>
      <c r="P9651">
        <v>0</v>
      </c>
      <c r="Q9651">
        <v>0</v>
      </c>
      <c r="R9651" t="s">
        <v>46577</v>
      </c>
      <c r="S9651" t="s">
        <v>46808</v>
      </c>
      <c r="T9651" t="s">
        <v>48287</v>
      </c>
      <c r="U9651" t="s">
        <v>56557</v>
      </c>
      <c r="W9651" t="s">
        <v>45423</v>
      </c>
      <c r="X9651" t="s">
        <v>46578</v>
      </c>
    </row>
    <row r="9652" spans="1:24">
      <c r="A9652">
        <f>HYPERLINK("https://www.philgeps.gov.ph/GEPSNONPILOT/Tender/SplashBidNoticeAbstractUI.aspx?menuIndex=3&amp;refID=7054335&amp;Result=3","7054335")</f>
        <v>0</v>
      </c>
      <c r="B9652" t="s">
        <v>2728</v>
      </c>
      <c r="C9652" t="s">
        <v>12679</v>
      </c>
      <c r="D9652" t="s">
        <v>18813</v>
      </c>
      <c r="E9652" t="s">
        <v>27267</v>
      </c>
      <c r="F9652" t="s">
        <v>32664</v>
      </c>
      <c r="G9652" t="s">
        <v>32672</v>
      </c>
      <c r="H9652" t="s">
        <v>12635</v>
      </c>
      <c r="I9652" t="s">
        <v>4439</v>
      </c>
      <c r="J9652" t="s">
        <v>38625</v>
      </c>
      <c r="K9652" t="s">
        <v>42297</v>
      </c>
      <c r="M9652" t="s">
        <v>45560</v>
      </c>
      <c r="N9652" t="s">
        <v>46569</v>
      </c>
      <c r="O9652" t="s">
        <v>46570</v>
      </c>
      <c r="P9652">
        <v>0</v>
      </c>
      <c r="Q9652">
        <v>2</v>
      </c>
      <c r="R9652" t="s">
        <v>46577</v>
      </c>
      <c r="S9652" t="s">
        <v>46808</v>
      </c>
      <c r="T9652" t="s">
        <v>48213</v>
      </c>
      <c r="U9652" t="s">
        <v>56558</v>
      </c>
      <c r="W9652" t="s">
        <v>45560</v>
      </c>
      <c r="X9652" t="s">
        <v>46578</v>
      </c>
    </row>
    <row r="9653" spans="1:24">
      <c r="A9653">
        <f>HYPERLINK("https://www.philgeps.gov.ph/GEPSNONPILOT/Tender/SplashBidNoticeAbstractUI.aspx?menuIndex=3&amp;refID=7054319&amp;Result=3","7054319")</f>
        <v>0</v>
      </c>
      <c r="B9653" t="s">
        <v>2729</v>
      </c>
      <c r="C9653" t="s">
        <v>12680</v>
      </c>
      <c r="D9653" t="s">
        <v>18805</v>
      </c>
      <c r="E9653" t="s">
        <v>27268</v>
      </c>
      <c r="F9653" t="s">
        <v>32664</v>
      </c>
      <c r="G9653" t="s">
        <v>32672</v>
      </c>
      <c r="H9653" t="s">
        <v>32682</v>
      </c>
      <c r="I9653" t="s">
        <v>6118</v>
      </c>
      <c r="J9653" t="s">
        <v>38626</v>
      </c>
      <c r="K9653" t="s">
        <v>42471</v>
      </c>
      <c r="M9653" t="s">
        <v>45561</v>
      </c>
      <c r="N9653" t="s">
        <v>46569</v>
      </c>
      <c r="O9653" t="s">
        <v>46570</v>
      </c>
      <c r="Q9653">
        <v>0</v>
      </c>
      <c r="R9653" t="s">
        <v>46577</v>
      </c>
      <c r="S9653" t="s">
        <v>46854</v>
      </c>
      <c r="T9653" t="s">
        <v>48580</v>
      </c>
      <c r="U9653" t="s">
        <v>56559</v>
      </c>
      <c r="W9653" t="s">
        <v>45561</v>
      </c>
      <c r="X9653" t="s">
        <v>46578</v>
      </c>
    </row>
    <row r="9654" spans="1:24">
      <c r="A9654">
        <f>HYPERLINK("https://www.philgeps.gov.ph/GEPSNONPILOT/Tender/SplashBidNoticeAbstractUI.aspx?menuIndex=3&amp;refID=7054316&amp;Result=3","7054316")</f>
        <v>0</v>
      </c>
      <c r="B9654" t="s">
        <v>2730</v>
      </c>
      <c r="C9654" t="s">
        <v>12681</v>
      </c>
      <c r="D9654" t="s">
        <v>18827</v>
      </c>
      <c r="E9654" t="s">
        <v>19552</v>
      </c>
      <c r="F9654" t="s">
        <v>32664</v>
      </c>
      <c r="G9654" t="s">
        <v>32672</v>
      </c>
      <c r="H9654" t="s">
        <v>12635</v>
      </c>
      <c r="I9654" t="s">
        <v>11464</v>
      </c>
      <c r="J9654" t="s">
        <v>32859</v>
      </c>
      <c r="K9654" t="s">
        <v>42284</v>
      </c>
      <c r="M9654" t="s">
        <v>45562</v>
      </c>
      <c r="N9654" t="s">
        <v>46569</v>
      </c>
      <c r="O9654" t="s">
        <v>46570</v>
      </c>
      <c r="P9654">
        <v>0</v>
      </c>
      <c r="Q9654">
        <v>1</v>
      </c>
      <c r="R9654" t="s">
        <v>46577</v>
      </c>
      <c r="S9654" t="s">
        <v>46808</v>
      </c>
      <c r="T9654" t="s">
        <v>48427</v>
      </c>
      <c r="U9654" t="s">
        <v>56560</v>
      </c>
      <c r="W9654" t="s">
        <v>45562</v>
      </c>
      <c r="X9654" t="s">
        <v>46578</v>
      </c>
    </row>
    <row r="9655" spans="1:24">
      <c r="A9655">
        <f>HYPERLINK("https://www.philgeps.gov.ph/GEPSNONPILOT/Tender/SplashBidNoticeAbstractUI.aspx?menuIndex=3&amp;refID=7054311&amp;Result=3","7054311")</f>
        <v>0</v>
      </c>
      <c r="B9655" t="s">
        <v>472</v>
      </c>
      <c r="C9655" t="s">
        <v>12682</v>
      </c>
      <c r="D9655" t="s">
        <v>18804</v>
      </c>
      <c r="E9655" t="s">
        <v>27269</v>
      </c>
      <c r="F9655" t="s">
        <v>32664</v>
      </c>
      <c r="G9655" t="s">
        <v>32671</v>
      </c>
      <c r="H9655" t="s">
        <v>12635</v>
      </c>
      <c r="I9655" t="s">
        <v>4439</v>
      </c>
      <c r="J9655" t="s">
        <v>38627</v>
      </c>
      <c r="K9655" t="s">
        <v>42303</v>
      </c>
      <c r="M9655" t="s">
        <v>43047</v>
      </c>
      <c r="N9655" t="s">
        <v>46569</v>
      </c>
      <c r="O9655" t="s">
        <v>46570</v>
      </c>
      <c r="P9655">
        <v>0</v>
      </c>
      <c r="Q9655">
        <v>0</v>
      </c>
      <c r="R9655" t="s">
        <v>46577</v>
      </c>
      <c r="S9655" t="s">
        <v>46808</v>
      </c>
      <c r="T9655" t="s">
        <v>48287</v>
      </c>
      <c r="U9655" t="s">
        <v>56561</v>
      </c>
      <c r="V9655" t="s">
        <v>61731</v>
      </c>
      <c r="W9655" t="s">
        <v>43047</v>
      </c>
      <c r="X9655" t="s">
        <v>46578</v>
      </c>
    </row>
    <row r="9656" spans="1:24">
      <c r="A9656">
        <f>HYPERLINK("https://www.philgeps.gov.ph/GEPSNONPILOT/Tender/SplashBidNoticeAbstractUI.aspx?menuIndex=3&amp;refID=7054310&amp;Result=3","7054310")</f>
        <v>0</v>
      </c>
      <c r="B9656" t="s">
        <v>2726</v>
      </c>
      <c r="C9656" t="s">
        <v>12683</v>
      </c>
      <c r="D9656" t="s">
        <v>18794</v>
      </c>
      <c r="E9656" t="s">
        <v>27270</v>
      </c>
      <c r="F9656" t="s">
        <v>32664</v>
      </c>
      <c r="G9656" t="s">
        <v>32671</v>
      </c>
      <c r="H9656" t="s">
        <v>12635</v>
      </c>
      <c r="I9656" t="s">
        <v>8958</v>
      </c>
      <c r="J9656" t="s">
        <v>33069</v>
      </c>
      <c r="K9656" t="s">
        <v>42281</v>
      </c>
      <c r="M9656" t="s">
        <v>45556</v>
      </c>
      <c r="N9656" t="s">
        <v>46569</v>
      </c>
      <c r="O9656" t="s">
        <v>46570</v>
      </c>
      <c r="P9656">
        <v>0</v>
      </c>
      <c r="Q9656">
        <v>3</v>
      </c>
      <c r="R9656" t="s">
        <v>46577</v>
      </c>
      <c r="S9656" t="s">
        <v>46808</v>
      </c>
      <c r="T9656" t="s">
        <v>48448</v>
      </c>
      <c r="U9656" t="s">
        <v>56562</v>
      </c>
      <c r="W9656" t="s">
        <v>45556</v>
      </c>
      <c r="X9656" t="s">
        <v>46578</v>
      </c>
    </row>
    <row r="9657" spans="1:24">
      <c r="A9657">
        <f>HYPERLINK("https://www.philgeps.gov.ph/GEPSNONPILOT/Tender/SplashBidNoticeAbstractUI.aspx?menuIndex=3&amp;refID=7054317&amp;Result=3","7054317")</f>
        <v>0</v>
      </c>
      <c r="B9657" t="s">
        <v>1085</v>
      </c>
      <c r="C9657" t="s">
        <v>12684</v>
      </c>
      <c r="D9657" t="s">
        <v>18851</v>
      </c>
      <c r="E9657" t="s">
        <v>27271</v>
      </c>
      <c r="F9657" t="s">
        <v>32664</v>
      </c>
      <c r="G9657" t="s">
        <v>32672</v>
      </c>
      <c r="H9657" t="s">
        <v>32683</v>
      </c>
      <c r="I9657" t="s">
        <v>10627</v>
      </c>
      <c r="J9657" t="s">
        <v>38628</v>
      </c>
      <c r="K9657" t="s">
        <v>42290</v>
      </c>
      <c r="M9657" t="s">
        <v>43711</v>
      </c>
      <c r="N9657" t="s">
        <v>46569</v>
      </c>
      <c r="O9657" t="s">
        <v>46570</v>
      </c>
      <c r="P9657">
        <v>0</v>
      </c>
      <c r="Q9657">
        <v>0</v>
      </c>
      <c r="R9657" t="s">
        <v>46577</v>
      </c>
      <c r="S9657" t="s">
        <v>46808</v>
      </c>
      <c r="T9657" t="s">
        <v>48349</v>
      </c>
      <c r="U9657" t="s">
        <v>56563</v>
      </c>
      <c r="V9657" t="s">
        <v>62635</v>
      </c>
      <c r="W9657" t="s">
        <v>43711</v>
      </c>
      <c r="X9657" t="s">
        <v>46578</v>
      </c>
    </row>
    <row r="9658" spans="1:24">
      <c r="A9658">
        <f>HYPERLINK("https://www.philgeps.gov.ph/GEPSNONPILOT/Tender/SplashBidNoticeAbstractUI.aspx?menuIndex=3&amp;refID=7054313&amp;Result=3","7054313")</f>
        <v>0</v>
      </c>
      <c r="B9658" t="s">
        <v>295</v>
      </c>
      <c r="C9658" t="s">
        <v>12685</v>
      </c>
      <c r="D9658" t="s">
        <v>18848</v>
      </c>
      <c r="E9658" t="s">
        <v>27272</v>
      </c>
      <c r="F9658" t="s">
        <v>32664</v>
      </c>
      <c r="G9658" t="s">
        <v>32672</v>
      </c>
      <c r="H9658" t="s">
        <v>12635</v>
      </c>
      <c r="I9658" t="s">
        <v>6168</v>
      </c>
      <c r="J9658" t="s">
        <v>38629</v>
      </c>
      <c r="K9658" t="s">
        <v>42297</v>
      </c>
      <c r="M9658" t="s">
        <v>45554</v>
      </c>
      <c r="N9658" t="s">
        <v>46569</v>
      </c>
      <c r="O9658" t="s">
        <v>46570</v>
      </c>
      <c r="P9658">
        <v>0</v>
      </c>
      <c r="Q9658">
        <v>0</v>
      </c>
      <c r="R9658" t="s">
        <v>46577</v>
      </c>
      <c r="S9658" t="s">
        <v>46808</v>
      </c>
      <c r="T9658" t="s">
        <v>48298</v>
      </c>
      <c r="U9658" t="s">
        <v>56564</v>
      </c>
      <c r="W9658" t="s">
        <v>45554</v>
      </c>
      <c r="X9658" t="s">
        <v>46578</v>
      </c>
    </row>
    <row r="9659" spans="1:24">
      <c r="A9659">
        <f>HYPERLINK("https://www.philgeps.gov.ph/GEPSNONPILOT/Tender/SplashBidNoticeAbstractUI.aspx?menuIndex=3&amp;refID=7054326&amp;Result=3","7054326")</f>
        <v>0</v>
      </c>
      <c r="B9659" t="s">
        <v>790</v>
      </c>
      <c r="C9659" t="s">
        <v>12686</v>
      </c>
      <c r="D9659" t="s">
        <v>18809</v>
      </c>
      <c r="E9659" t="s">
        <v>25358</v>
      </c>
      <c r="F9659" t="s">
        <v>32664</v>
      </c>
      <c r="G9659" t="s">
        <v>32672</v>
      </c>
      <c r="H9659" t="s">
        <v>12635</v>
      </c>
      <c r="I9659" t="s">
        <v>32751</v>
      </c>
      <c r="J9659" t="s">
        <v>38630</v>
      </c>
      <c r="K9659" t="s">
        <v>42289</v>
      </c>
      <c r="M9659" t="s">
        <v>43382</v>
      </c>
      <c r="N9659" t="s">
        <v>46569</v>
      </c>
      <c r="O9659" t="s">
        <v>46570</v>
      </c>
      <c r="P9659">
        <v>0</v>
      </c>
      <c r="Q9659">
        <v>0</v>
      </c>
      <c r="R9659" t="s">
        <v>46577</v>
      </c>
      <c r="S9659" t="s">
        <v>46808</v>
      </c>
      <c r="T9659" t="s">
        <v>48293</v>
      </c>
      <c r="U9659" t="s">
        <v>56565</v>
      </c>
      <c r="W9659" t="s">
        <v>43382</v>
      </c>
      <c r="X9659" t="s">
        <v>46578</v>
      </c>
    </row>
    <row r="9660" spans="1:24">
      <c r="A9660">
        <f>HYPERLINK("https://www.philgeps.gov.ph/GEPSNONPILOT/Tender/SplashBidNoticeAbstractUI.aspx?menuIndex=3&amp;refID=7054330&amp;Result=3","7054330")</f>
        <v>0</v>
      </c>
      <c r="B9660" t="s">
        <v>1939</v>
      </c>
      <c r="C9660" t="s">
        <v>12687</v>
      </c>
      <c r="D9660" t="s">
        <v>18782</v>
      </c>
      <c r="E9660" t="s">
        <v>27273</v>
      </c>
      <c r="F9660" t="s">
        <v>32664</v>
      </c>
      <c r="G9660" t="s">
        <v>32672</v>
      </c>
      <c r="H9660" t="s">
        <v>32683</v>
      </c>
      <c r="I9660" t="s">
        <v>4439</v>
      </c>
      <c r="J9660" t="s">
        <v>32981</v>
      </c>
      <c r="K9660" t="s">
        <v>42311</v>
      </c>
      <c r="L9660" t="s">
        <v>1939</v>
      </c>
      <c r="M9660" t="s">
        <v>44664</v>
      </c>
      <c r="N9660" t="s">
        <v>46569</v>
      </c>
      <c r="O9660" t="s">
        <v>46570</v>
      </c>
      <c r="P9660">
        <v>0</v>
      </c>
      <c r="Q9660">
        <v>0</v>
      </c>
      <c r="R9660" t="s">
        <v>46577</v>
      </c>
      <c r="S9660" t="s">
        <v>46808</v>
      </c>
      <c r="T9660" t="s">
        <v>48453</v>
      </c>
      <c r="U9660" t="s">
        <v>56566</v>
      </c>
      <c r="W9660" t="s">
        <v>44664</v>
      </c>
      <c r="X9660" t="s">
        <v>46578</v>
      </c>
    </row>
    <row r="9661" spans="1:24">
      <c r="A9661">
        <f>HYPERLINK("https://www.philgeps.gov.ph/GEPSNONPILOT/Tender/SplashBidNoticeAbstractUI.aspx?menuIndex=3&amp;refID=7054307&amp;Result=3","7054307")</f>
        <v>0</v>
      </c>
      <c r="B9661" t="s">
        <v>1173</v>
      </c>
      <c r="C9661" t="s">
        <v>6974</v>
      </c>
      <c r="E9661" t="s">
        <v>27274</v>
      </c>
      <c r="F9661" t="s">
        <v>32668</v>
      </c>
      <c r="G9661" t="s">
        <v>32671</v>
      </c>
      <c r="H9661" t="s">
        <v>12635</v>
      </c>
      <c r="I9661" t="s">
        <v>6168</v>
      </c>
      <c r="J9661" t="s">
        <v>34776</v>
      </c>
      <c r="K9661" t="s">
        <v>42283</v>
      </c>
      <c r="M9661" t="s">
        <v>43807</v>
      </c>
      <c r="N9661" t="s">
        <v>46569</v>
      </c>
      <c r="O9661" t="s">
        <v>46570</v>
      </c>
      <c r="P9661">
        <v>0</v>
      </c>
      <c r="Q9661">
        <v>27</v>
      </c>
      <c r="R9661" t="s">
        <v>46577</v>
      </c>
      <c r="S9661" t="s">
        <v>46808</v>
      </c>
      <c r="T9661" t="s">
        <v>48316</v>
      </c>
      <c r="U9661" t="s">
        <v>49518</v>
      </c>
      <c r="W9661" t="s">
        <v>43807</v>
      </c>
      <c r="X9661" t="s">
        <v>46578</v>
      </c>
    </row>
    <row r="9662" spans="1:24">
      <c r="A9662">
        <f>HYPERLINK("https://www.philgeps.gov.ph/GEPSNONPILOT/Tender/SplashBidNoticeAbstractUI.aspx?menuIndex=3&amp;refID=7054390&amp;Result=3","7054390")</f>
        <v>0</v>
      </c>
      <c r="B9662" t="s">
        <v>2512</v>
      </c>
      <c r="C9662" t="s">
        <v>12688</v>
      </c>
      <c r="D9662" t="s">
        <v>18805</v>
      </c>
      <c r="E9662" t="s">
        <v>19202</v>
      </c>
      <c r="F9662" t="s">
        <v>32664</v>
      </c>
      <c r="G9662" t="s">
        <v>32672</v>
      </c>
      <c r="H9662" t="s">
        <v>12635</v>
      </c>
      <c r="I9662" t="s">
        <v>32689</v>
      </c>
      <c r="J9662" t="s">
        <v>35114</v>
      </c>
      <c r="K9662" t="s">
        <v>42297</v>
      </c>
      <c r="M9662" t="s">
        <v>45317</v>
      </c>
      <c r="N9662" t="s">
        <v>46569</v>
      </c>
      <c r="O9662" t="s">
        <v>46570</v>
      </c>
      <c r="P9662">
        <v>0</v>
      </c>
      <c r="Q9662">
        <v>0</v>
      </c>
      <c r="R9662" t="s">
        <v>46577</v>
      </c>
      <c r="S9662" t="s">
        <v>46808</v>
      </c>
      <c r="T9662" t="s">
        <v>48493</v>
      </c>
      <c r="U9662" t="s">
        <v>56567</v>
      </c>
      <c r="W9662" t="s">
        <v>45317</v>
      </c>
      <c r="X9662" t="s">
        <v>46578</v>
      </c>
    </row>
    <row r="9663" spans="1:24">
      <c r="A9663">
        <f>HYPERLINK("https://www.philgeps.gov.ph/GEPSNONPILOT/Tender/SplashBidNoticeAbstractUI.aspx?menuIndex=3&amp;refID=7054388&amp;Result=3","7054388")</f>
        <v>0</v>
      </c>
      <c r="B9663" t="s">
        <v>2728</v>
      </c>
      <c r="C9663" t="s">
        <v>12689</v>
      </c>
      <c r="D9663" t="s">
        <v>18813</v>
      </c>
      <c r="E9663" t="s">
        <v>27275</v>
      </c>
      <c r="F9663" t="s">
        <v>32664</v>
      </c>
      <c r="G9663" t="s">
        <v>32672</v>
      </c>
      <c r="H9663" t="s">
        <v>12635</v>
      </c>
      <c r="I9663" t="s">
        <v>4439</v>
      </c>
      <c r="J9663" t="s">
        <v>38631</v>
      </c>
      <c r="K9663" t="s">
        <v>42297</v>
      </c>
      <c r="M9663" t="s">
        <v>45560</v>
      </c>
      <c r="N9663" t="s">
        <v>46569</v>
      </c>
      <c r="O9663" t="s">
        <v>46570</v>
      </c>
      <c r="P9663">
        <v>0</v>
      </c>
      <c r="Q9663">
        <v>2</v>
      </c>
      <c r="R9663" t="s">
        <v>46577</v>
      </c>
      <c r="S9663" t="s">
        <v>46808</v>
      </c>
      <c r="T9663" t="s">
        <v>48213</v>
      </c>
      <c r="U9663" t="s">
        <v>56568</v>
      </c>
      <c r="W9663" t="s">
        <v>45560</v>
      </c>
      <c r="X9663" t="s">
        <v>46578</v>
      </c>
    </row>
    <row r="9664" spans="1:24">
      <c r="A9664">
        <f>HYPERLINK("https://www.philgeps.gov.ph/GEPSNONPILOT/Tender/SplashBidNoticeAbstractUI.aspx?menuIndex=3&amp;refID=7054384&amp;Result=3","7054384")</f>
        <v>0</v>
      </c>
      <c r="B9664" t="s">
        <v>174</v>
      </c>
      <c r="C9664" t="s">
        <v>12690</v>
      </c>
      <c r="D9664" t="s">
        <v>18831</v>
      </c>
      <c r="E9664" t="s">
        <v>20540</v>
      </c>
      <c r="F9664" t="s">
        <v>32664</v>
      </c>
      <c r="G9664" t="s">
        <v>32672</v>
      </c>
      <c r="H9664" t="s">
        <v>32683</v>
      </c>
      <c r="I9664" t="s">
        <v>32733</v>
      </c>
      <c r="J9664" t="s">
        <v>32962</v>
      </c>
      <c r="K9664" t="s">
        <v>42281</v>
      </c>
      <c r="M9664" t="s">
        <v>42738</v>
      </c>
      <c r="N9664" t="s">
        <v>46569</v>
      </c>
      <c r="O9664" t="s">
        <v>46570</v>
      </c>
      <c r="P9664">
        <v>0</v>
      </c>
      <c r="Q9664">
        <v>2</v>
      </c>
      <c r="R9664" t="s">
        <v>46577</v>
      </c>
      <c r="S9664" t="s">
        <v>46808</v>
      </c>
      <c r="T9664" t="s">
        <v>48376</v>
      </c>
      <c r="U9664" t="s">
        <v>56569</v>
      </c>
      <c r="W9664" t="s">
        <v>42738</v>
      </c>
      <c r="X9664" t="s">
        <v>46578</v>
      </c>
    </row>
    <row r="9665" spans="1:24">
      <c r="A9665">
        <f>HYPERLINK("https://www.philgeps.gov.ph/GEPSNONPILOT/Tender/SplashBidNoticeAbstractUI.aspx?menuIndex=3&amp;refID=7054324&amp;Result=3","7054324")</f>
        <v>0</v>
      </c>
      <c r="B9665" t="s">
        <v>1952</v>
      </c>
      <c r="C9665" t="s">
        <v>12691</v>
      </c>
      <c r="E9665" t="s">
        <v>27276</v>
      </c>
      <c r="F9665" t="s">
        <v>32664</v>
      </c>
      <c r="G9665" t="s">
        <v>32672</v>
      </c>
      <c r="H9665" t="s">
        <v>12635</v>
      </c>
      <c r="I9665" t="s">
        <v>32690</v>
      </c>
      <c r="J9665" t="s">
        <v>32853</v>
      </c>
      <c r="K9665" t="s">
        <v>42283</v>
      </c>
      <c r="M9665" t="s">
        <v>44680</v>
      </c>
      <c r="N9665" t="s">
        <v>46569</v>
      </c>
      <c r="O9665" t="s">
        <v>46570</v>
      </c>
      <c r="P9665">
        <v>0</v>
      </c>
      <c r="Q9665">
        <v>3</v>
      </c>
      <c r="R9665" t="s">
        <v>46577</v>
      </c>
      <c r="S9665" t="s">
        <v>46808</v>
      </c>
      <c r="T9665" t="s">
        <v>48271</v>
      </c>
      <c r="U9665" t="s">
        <v>56570</v>
      </c>
      <c r="W9665" t="s">
        <v>44680</v>
      </c>
      <c r="X9665" t="s">
        <v>46578</v>
      </c>
    </row>
    <row r="9666" spans="1:24">
      <c r="A9666">
        <f>HYPERLINK("https://www.philgeps.gov.ph/GEPSNONPILOT/Tender/SplashBidNoticeAbstractUI.aspx?menuIndex=3&amp;refID=7054385&amp;Result=3","7054385")</f>
        <v>0</v>
      </c>
      <c r="B9666" t="s">
        <v>2606</v>
      </c>
      <c r="C9666" t="s">
        <v>12692</v>
      </c>
      <c r="D9666" t="s">
        <v>18844</v>
      </c>
      <c r="E9666" t="s">
        <v>22109</v>
      </c>
      <c r="F9666" t="s">
        <v>32664</v>
      </c>
      <c r="G9666" t="s">
        <v>32672</v>
      </c>
      <c r="H9666" t="s">
        <v>12635</v>
      </c>
      <c r="I9666" t="s">
        <v>4439</v>
      </c>
      <c r="J9666" t="s">
        <v>38632</v>
      </c>
      <c r="K9666" t="s">
        <v>42289</v>
      </c>
      <c r="M9666" t="s">
        <v>45423</v>
      </c>
      <c r="N9666" t="s">
        <v>46569</v>
      </c>
      <c r="O9666" t="s">
        <v>46570</v>
      </c>
      <c r="P9666">
        <v>0</v>
      </c>
      <c r="Q9666">
        <v>2</v>
      </c>
      <c r="R9666" t="s">
        <v>46577</v>
      </c>
      <c r="S9666" t="s">
        <v>46808</v>
      </c>
      <c r="T9666" t="s">
        <v>48287</v>
      </c>
      <c r="U9666" t="s">
        <v>56571</v>
      </c>
      <c r="W9666" t="s">
        <v>45423</v>
      </c>
      <c r="X9666" t="s">
        <v>46578</v>
      </c>
    </row>
    <row r="9667" spans="1:24">
      <c r="A9667">
        <f>HYPERLINK("https://www.philgeps.gov.ph/GEPSNONPILOT/Tender/SplashBidNoticeAbstractUI.aspx?menuIndex=3&amp;refID=7054372&amp;Result=3","7054372")</f>
        <v>0</v>
      </c>
      <c r="B9667" t="s">
        <v>2730</v>
      </c>
      <c r="C9667" t="s">
        <v>12693</v>
      </c>
      <c r="D9667" t="s">
        <v>18827</v>
      </c>
      <c r="E9667" t="s">
        <v>19552</v>
      </c>
      <c r="F9667" t="s">
        <v>32664</v>
      </c>
      <c r="G9667" t="s">
        <v>32672</v>
      </c>
      <c r="H9667" t="s">
        <v>32683</v>
      </c>
      <c r="I9667" t="s">
        <v>4439</v>
      </c>
      <c r="J9667" t="s">
        <v>33089</v>
      </c>
      <c r="K9667" t="s">
        <v>42289</v>
      </c>
      <c r="M9667" t="s">
        <v>45562</v>
      </c>
      <c r="N9667" t="s">
        <v>46569</v>
      </c>
      <c r="O9667" t="s">
        <v>46570</v>
      </c>
      <c r="P9667">
        <v>0</v>
      </c>
      <c r="Q9667">
        <v>1</v>
      </c>
      <c r="R9667" t="s">
        <v>46577</v>
      </c>
      <c r="S9667" t="s">
        <v>46808</v>
      </c>
      <c r="T9667" t="s">
        <v>48427</v>
      </c>
      <c r="U9667" t="s">
        <v>56572</v>
      </c>
      <c r="W9667" t="s">
        <v>45562</v>
      </c>
      <c r="X9667" t="s">
        <v>46578</v>
      </c>
    </row>
    <row r="9668" spans="1:24">
      <c r="A9668">
        <f>HYPERLINK("https://www.philgeps.gov.ph/GEPSNONPILOT/Tender/SplashBidNoticeAbstractUI.aspx?menuIndex=3&amp;refID=7054370&amp;Result=3","7054370")</f>
        <v>0</v>
      </c>
      <c r="B9668" t="s">
        <v>2726</v>
      </c>
      <c r="C9668" t="s">
        <v>12694</v>
      </c>
      <c r="D9668" t="s">
        <v>18794</v>
      </c>
      <c r="E9668" t="s">
        <v>27277</v>
      </c>
      <c r="F9668" t="s">
        <v>32664</v>
      </c>
      <c r="G9668" t="s">
        <v>32671</v>
      </c>
      <c r="H9668" t="s">
        <v>12635</v>
      </c>
      <c r="I9668" t="s">
        <v>10361</v>
      </c>
      <c r="J9668" t="s">
        <v>33077</v>
      </c>
      <c r="K9668" t="s">
        <v>42281</v>
      </c>
      <c r="M9668" t="s">
        <v>45556</v>
      </c>
      <c r="N9668" t="s">
        <v>46569</v>
      </c>
      <c r="O9668" t="s">
        <v>46570</v>
      </c>
      <c r="P9668">
        <v>0</v>
      </c>
      <c r="Q9668">
        <v>0</v>
      </c>
      <c r="R9668" t="s">
        <v>46577</v>
      </c>
      <c r="S9668" t="s">
        <v>46808</v>
      </c>
      <c r="T9668" t="s">
        <v>48448</v>
      </c>
      <c r="U9668" t="s">
        <v>56573</v>
      </c>
      <c r="W9668" t="s">
        <v>45556</v>
      </c>
      <c r="X9668" t="s">
        <v>46578</v>
      </c>
    </row>
    <row r="9669" spans="1:24">
      <c r="A9669">
        <f>HYPERLINK("https://www.philgeps.gov.ph/GEPSNONPILOT/Tender/SplashBidNoticeAbstractUI.aspx?menuIndex=3&amp;refID=7054394&amp;Result=3","7054394")</f>
        <v>0</v>
      </c>
      <c r="B9669" t="s">
        <v>2731</v>
      </c>
      <c r="C9669" t="s">
        <v>12091</v>
      </c>
      <c r="D9669" t="s">
        <v>18810</v>
      </c>
      <c r="E9669" t="s">
        <v>27278</v>
      </c>
      <c r="F9669" t="s">
        <v>32664</v>
      </c>
      <c r="G9669" t="s">
        <v>32672</v>
      </c>
      <c r="H9669" t="s">
        <v>32683</v>
      </c>
      <c r="I9669" t="s">
        <v>10627</v>
      </c>
      <c r="J9669" t="s">
        <v>38633</v>
      </c>
      <c r="K9669" t="s">
        <v>42283</v>
      </c>
      <c r="M9669" t="s">
        <v>45563</v>
      </c>
      <c r="N9669" t="s">
        <v>46569</v>
      </c>
      <c r="O9669" t="s">
        <v>46570</v>
      </c>
      <c r="P9669">
        <v>0</v>
      </c>
      <c r="Q9669">
        <v>0</v>
      </c>
      <c r="R9669" t="s">
        <v>46577</v>
      </c>
      <c r="S9669" t="s">
        <v>46808</v>
      </c>
      <c r="T9669" t="s">
        <v>48427</v>
      </c>
      <c r="U9669" t="s">
        <v>56574</v>
      </c>
      <c r="V9669" t="s">
        <v>62636</v>
      </c>
      <c r="W9669" t="s">
        <v>45563</v>
      </c>
      <c r="X9669" t="s">
        <v>46578</v>
      </c>
    </row>
    <row r="9670" spans="1:24">
      <c r="A9670">
        <f>HYPERLINK("https://www.philgeps.gov.ph/GEPSNONPILOT/Tender/SplashBidNoticeAbstractUI.aspx?menuIndex=3&amp;refID=7054374&amp;Result=3","7054374")</f>
        <v>0</v>
      </c>
      <c r="B9670" t="s">
        <v>1397</v>
      </c>
      <c r="C9670" t="s">
        <v>7602</v>
      </c>
      <c r="D9670" t="s">
        <v>18803</v>
      </c>
      <c r="E9670" t="s">
        <v>21046</v>
      </c>
      <c r="F9670" t="s">
        <v>32664</v>
      </c>
      <c r="G9670" t="s">
        <v>32678</v>
      </c>
      <c r="H9670" t="s">
        <v>32681</v>
      </c>
      <c r="I9670" t="s">
        <v>32681</v>
      </c>
      <c r="J9670" t="s">
        <v>35583</v>
      </c>
      <c r="K9670" t="s">
        <v>42377</v>
      </c>
      <c r="M9670" t="s">
        <v>44054</v>
      </c>
      <c r="N9670" t="s">
        <v>46569</v>
      </c>
      <c r="O9670" t="s">
        <v>46570</v>
      </c>
      <c r="P9670">
        <v>0</v>
      </c>
      <c r="Q9670">
        <v>0</v>
      </c>
      <c r="R9670" t="s">
        <v>46577</v>
      </c>
      <c r="S9670" t="s">
        <v>46808</v>
      </c>
      <c r="T9670" t="s">
        <v>48492</v>
      </c>
      <c r="U9670" t="s">
        <v>52268</v>
      </c>
      <c r="W9670" t="s">
        <v>44054</v>
      </c>
      <c r="X9670" t="s">
        <v>46578</v>
      </c>
    </row>
    <row r="9671" spans="1:24">
      <c r="A9671">
        <f>HYPERLINK("https://www.philgeps.gov.ph/GEPSNONPILOT/Tender/SplashBidNoticeAbstractUI.aspx?menuIndex=3&amp;refID=7054368&amp;Result=3","7054368")</f>
        <v>0</v>
      </c>
      <c r="B9671" t="s">
        <v>794</v>
      </c>
      <c r="C9671" t="s">
        <v>12695</v>
      </c>
      <c r="D9671" t="s">
        <v>18806</v>
      </c>
      <c r="E9671" t="s">
        <v>27279</v>
      </c>
      <c r="F9671" t="s">
        <v>32664</v>
      </c>
      <c r="G9671" t="s">
        <v>32672</v>
      </c>
      <c r="H9671" t="s">
        <v>12635</v>
      </c>
      <c r="I9671" t="s">
        <v>32685</v>
      </c>
      <c r="J9671" t="s">
        <v>38634</v>
      </c>
      <c r="K9671" t="s">
        <v>42281</v>
      </c>
      <c r="M9671" t="s">
        <v>45564</v>
      </c>
      <c r="N9671" t="s">
        <v>46569</v>
      </c>
      <c r="O9671" t="s">
        <v>46570</v>
      </c>
      <c r="P9671">
        <v>0</v>
      </c>
      <c r="Q9671">
        <v>0</v>
      </c>
      <c r="R9671" t="s">
        <v>46577</v>
      </c>
      <c r="S9671" t="s">
        <v>46808</v>
      </c>
      <c r="T9671" t="s">
        <v>48346</v>
      </c>
      <c r="U9671" t="s">
        <v>56575</v>
      </c>
      <c r="W9671" t="s">
        <v>45564</v>
      </c>
      <c r="X9671" t="s">
        <v>46578</v>
      </c>
    </row>
    <row r="9672" spans="1:24">
      <c r="A9672">
        <f>HYPERLINK("https://www.philgeps.gov.ph/GEPSNONPILOT/Tender/SplashBidNoticeAbstractUI.aspx?menuIndex=3&amp;refID=7054306&amp;Result=3","7054306")</f>
        <v>0</v>
      </c>
      <c r="B9672" t="s">
        <v>939</v>
      </c>
      <c r="C9672" t="s">
        <v>12696</v>
      </c>
      <c r="D9672" t="s">
        <v>18787</v>
      </c>
      <c r="E9672" t="s">
        <v>27280</v>
      </c>
      <c r="F9672" t="s">
        <v>32664</v>
      </c>
      <c r="G9672" t="s">
        <v>32672</v>
      </c>
      <c r="H9672" t="s">
        <v>32683</v>
      </c>
      <c r="I9672" t="s">
        <v>10627</v>
      </c>
      <c r="J9672" t="s">
        <v>38635</v>
      </c>
      <c r="K9672" t="s">
        <v>42289</v>
      </c>
      <c r="M9672" t="s">
        <v>43545</v>
      </c>
      <c r="N9672" t="s">
        <v>46569</v>
      </c>
      <c r="O9672" t="s">
        <v>46570</v>
      </c>
      <c r="P9672">
        <v>0</v>
      </c>
      <c r="Q9672">
        <v>0</v>
      </c>
      <c r="R9672" t="s">
        <v>46577</v>
      </c>
      <c r="S9672" t="s">
        <v>46808</v>
      </c>
      <c r="T9672" t="s">
        <v>48427</v>
      </c>
      <c r="U9672" t="s">
        <v>56576</v>
      </c>
      <c r="W9672" t="s">
        <v>43545</v>
      </c>
      <c r="X9672" t="s">
        <v>46578</v>
      </c>
    </row>
    <row r="9673" spans="1:24">
      <c r="A9673">
        <f>HYPERLINK("https://www.philgeps.gov.ph/GEPSNONPILOT/Tender/SplashBidNoticeAbstractUI.aspx?menuIndex=3&amp;refID=7054363&amp;Result=3","7054363")</f>
        <v>0</v>
      </c>
      <c r="B9673" t="s">
        <v>295</v>
      </c>
      <c r="C9673" t="s">
        <v>12697</v>
      </c>
      <c r="D9673" t="s">
        <v>18848</v>
      </c>
      <c r="E9673" t="s">
        <v>27281</v>
      </c>
      <c r="F9673" t="s">
        <v>32664</v>
      </c>
      <c r="G9673" t="s">
        <v>32672</v>
      </c>
      <c r="H9673" t="s">
        <v>12635</v>
      </c>
      <c r="I9673" t="s">
        <v>6168</v>
      </c>
      <c r="J9673" t="s">
        <v>38636</v>
      </c>
      <c r="K9673" t="s">
        <v>42297</v>
      </c>
      <c r="M9673" t="s">
        <v>45554</v>
      </c>
      <c r="N9673" t="s">
        <v>46569</v>
      </c>
      <c r="O9673" t="s">
        <v>46570</v>
      </c>
      <c r="P9673">
        <v>0</v>
      </c>
      <c r="Q9673">
        <v>0</v>
      </c>
      <c r="R9673" t="s">
        <v>46577</v>
      </c>
      <c r="S9673" t="s">
        <v>46808</v>
      </c>
      <c r="T9673" t="s">
        <v>48298</v>
      </c>
      <c r="U9673" t="s">
        <v>56577</v>
      </c>
      <c r="W9673" t="s">
        <v>45554</v>
      </c>
      <c r="X9673" t="s">
        <v>46578</v>
      </c>
    </row>
    <row r="9674" spans="1:24">
      <c r="A9674">
        <f>HYPERLINK("https://www.philgeps.gov.ph/GEPSNONPILOT/Tender/SplashBidNoticeAbstractUI.aspx?menuIndex=3&amp;refID=7054358&amp;Result=3","7054358")</f>
        <v>0</v>
      </c>
      <c r="B9674" t="s">
        <v>1397</v>
      </c>
      <c r="C9674" t="s">
        <v>7628</v>
      </c>
      <c r="D9674" t="s">
        <v>18803</v>
      </c>
      <c r="E9674" t="s">
        <v>21021</v>
      </c>
      <c r="F9674" t="s">
        <v>32664</v>
      </c>
      <c r="G9674" t="s">
        <v>32678</v>
      </c>
      <c r="H9674" t="s">
        <v>32681</v>
      </c>
      <c r="I9674" t="s">
        <v>32681</v>
      </c>
      <c r="J9674" t="s">
        <v>35601</v>
      </c>
      <c r="K9674" t="s">
        <v>42377</v>
      </c>
      <c r="M9674" t="s">
        <v>44054</v>
      </c>
      <c r="N9674" t="s">
        <v>46569</v>
      </c>
      <c r="O9674" t="s">
        <v>46570</v>
      </c>
      <c r="P9674">
        <v>0</v>
      </c>
      <c r="Q9674">
        <v>0</v>
      </c>
      <c r="R9674" t="s">
        <v>46577</v>
      </c>
      <c r="S9674" t="s">
        <v>46808</v>
      </c>
      <c r="T9674" t="s">
        <v>48492</v>
      </c>
      <c r="U9674" t="s">
        <v>52292</v>
      </c>
      <c r="W9674" t="s">
        <v>44054</v>
      </c>
      <c r="X9674" t="s">
        <v>46578</v>
      </c>
    </row>
    <row r="9675" spans="1:24">
      <c r="A9675">
        <f>HYPERLINK("https://www.philgeps.gov.ph/GEPSNONPILOT/Tender/SplashBidNoticeAbstractUI.aspx?menuIndex=3&amp;refID=7054200&amp;Result=3","7054200")</f>
        <v>0</v>
      </c>
      <c r="B9675" t="s">
        <v>537</v>
      </c>
      <c r="C9675" t="s">
        <v>12698</v>
      </c>
      <c r="D9675" t="s">
        <v>18791</v>
      </c>
      <c r="E9675" t="s">
        <v>27282</v>
      </c>
      <c r="F9675" t="s">
        <v>32664</v>
      </c>
      <c r="G9675" t="s">
        <v>32671</v>
      </c>
      <c r="H9675" t="s">
        <v>12635</v>
      </c>
      <c r="I9675" t="s">
        <v>32701</v>
      </c>
      <c r="J9675" t="s">
        <v>32853</v>
      </c>
      <c r="K9675" t="s">
        <v>42309</v>
      </c>
      <c r="M9675" t="s">
        <v>43115</v>
      </c>
      <c r="N9675" t="s">
        <v>46569</v>
      </c>
      <c r="O9675" t="s">
        <v>46570</v>
      </c>
      <c r="P9675">
        <v>0</v>
      </c>
      <c r="Q9675">
        <v>0</v>
      </c>
      <c r="R9675" t="s">
        <v>46577</v>
      </c>
      <c r="S9675" t="s">
        <v>46808</v>
      </c>
      <c r="T9675" t="s">
        <v>48473</v>
      </c>
      <c r="U9675" t="s">
        <v>56578</v>
      </c>
      <c r="W9675" t="s">
        <v>43115</v>
      </c>
      <c r="X9675" t="s">
        <v>46578</v>
      </c>
    </row>
    <row r="9676" spans="1:24">
      <c r="A9676">
        <f>HYPERLINK("https://www.philgeps.gov.ph/GEPSNONPILOT/Tender/SplashBidNoticeAbstractUI.aspx?menuIndex=3&amp;refID=7054356&amp;Result=3","7054356")</f>
        <v>0</v>
      </c>
      <c r="B9676" t="s">
        <v>2732</v>
      </c>
      <c r="C9676" t="s">
        <v>12699</v>
      </c>
      <c r="D9676" t="s">
        <v>18819</v>
      </c>
      <c r="E9676" t="s">
        <v>19380</v>
      </c>
      <c r="F9676" t="s">
        <v>32665</v>
      </c>
      <c r="G9676" t="s">
        <v>32674</v>
      </c>
      <c r="H9676" t="s">
        <v>12635</v>
      </c>
      <c r="I9676" t="s">
        <v>14442</v>
      </c>
      <c r="J9676" t="s">
        <v>33267</v>
      </c>
      <c r="K9676" t="s">
        <v>42289</v>
      </c>
      <c r="M9676" t="s">
        <v>45565</v>
      </c>
      <c r="N9676" t="s">
        <v>46569</v>
      </c>
      <c r="O9676" t="s">
        <v>46570</v>
      </c>
      <c r="P9676">
        <v>0</v>
      </c>
      <c r="Q9676">
        <v>13</v>
      </c>
      <c r="R9676" t="s">
        <v>46577</v>
      </c>
      <c r="S9676" t="s">
        <v>46808</v>
      </c>
      <c r="T9676" t="s">
        <v>48448</v>
      </c>
      <c r="U9676" t="s">
        <v>56579</v>
      </c>
      <c r="W9676" t="s">
        <v>45565</v>
      </c>
      <c r="X9676" t="s">
        <v>46578</v>
      </c>
    </row>
    <row r="9677" spans="1:24">
      <c r="A9677">
        <f>HYPERLINK("https://www.philgeps.gov.ph/GEPSNONPILOT/Tender/SplashBidNoticeAbstractUI.aspx?menuIndex=3&amp;refID=7054350&amp;Result=3","7054350")</f>
        <v>0</v>
      </c>
      <c r="B9677" t="s">
        <v>2733</v>
      </c>
      <c r="C9677" t="s">
        <v>12700</v>
      </c>
      <c r="D9677" t="s">
        <v>18798</v>
      </c>
      <c r="E9677" t="s">
        <v>27283</v>
      </c>
      <c r="F9677" t="s">
        <v>32664</v>
      </c>
      <c r="G9677" t="s">
        <v>32672</v>
      </c>
      <c r="H9677" t="s">
        <v>32682</v>
      </c>
      <c r="I9677" t="s">
        <v>32695</v>
      </c>
      <c r="J9677" t="s">
        <v>32898</v>
      </c>
      <c r="K9677" t="s">
        <v>42284</v>
      </c>
      <c r="M9677" t="s">
        <v>45566</v>
      </c>
      <c r="N9677" t="s">
        <v>46569</v>
      </c>
      <c r="O9677" t="s">
        <v>46570</v>
      </c>
      <c r="P9677">
        <v>0</v>
      </c>
      <c r="Q9677">
        <v>2</v>
      </c>
      <c r="R9677" t="s">
        <v>46577</v>
      </c>
      <c r="S9677" t="s">
        <v>46808</v>
      </c>
      <c r="T9677" t="s">
        <v>48290</v>
      </c>
      <c r="U9677" t="s">
        <v>56580</v>
      </c>
      <c r="W9677" t="s">
        <v>45566</v>
      </c>
      <c r="X9677" t="s">
        <v>46578</v>
      </c>
    </row>
    <row r="9678" spans="1:24">
      <c r="A9678">
        <f>HYPERLINK("https://www.philgeps.gov.ph/GEPSNONPILOT/Tender/SplashBidNoticeAbstractUI.aspx?menuIndex=3&amp;refID=7054442&amp;Result=3","7054442")</f>
        <v>0</v>
      </c>
      <c r="B9678" t="s">
        <v>295</v>
      </c>
      <c r="C9678" t="s">
        <v>12701</v>
      </c>
      <c r="D9678" t="s">
        <v>18848</v>
      </c>
      <c r="E9678" t="s">
        <v>27284</v>
      </c>
      <c r="F9678" t="s">
        <v>32664</v>
      </c>
      <c r="G9678" t="s">
        <v>32672</v>
      </c>
      <c r="H9678" t="s">
        <v>12635</v>
      </c>
      <c r="I9678" t="s">
        <v>6168</v>
      </c>
      <c r="J9678" t="s">
        <v>38637</v>
      </c>
      <c r="K9678" t="s">
        <v>42297</v>
      </c>
      <c r="M9678" t="s">
        <v>45554</v>
      </c>
      <c r="N9678" t="s">
        <v>46569</v>
      </c>
      <c r="O9678" t="s">
        <v>46570</v>
      </c>
      <c r="P9678">
        <v>0</v>
      </c>
      <c r="Q9678">
        <v>0</v>
      </c>
      <c r="R9678" t="s">
        <v>46577</v>
      </c>
      <c r="S9678" t="s">
        <v>46808</v>
      </c>
      <c r="T9678" t="s">
        <v>48298</v>
      </c>
      <c r="U9678" t="s">
        <v>56581</v>
      </c>
      <c r="W9678" t="s">
        <v>45554</v>
      </c>
      <c r="X9678" t="s">
        <v>46578</v>
      </c>
    </row>
    <row r="9679" spans="1:24">
      <c r="A9679">
        <f>HYPERLINK("https://www.philgeps.gov.ph/GEPSNONPILOT/Tender/SplashBidNoticeAbstractUI.aspx?menuIndex=3&amp;refID=7054222&amp;Result=3","7054222")</f>
        <v>0</v>
      </c>
      <c r="B9679" t="s">
        <v>2726</v>
      </c>
      <c r="C9679" t="s">
        <v>12702</v>
      </c>
      <c r="D9679" t="s">
        <v>18794</v>
      </c>
      <c r="E9679" t="s">
        <v>27285</v>
      </c>
      <c r="F9679" t="s">
        <v>32664</v>
      </c>
      <c r="G9679" t="s">
        <v>32671</v>
      </c>
      <c r="H9679" t="s">
        <v>12635</v>
      </c>
      <c r="I9679" t="s">
        <v>10361</v>
      </c>
      <c r="J9679" t="s">
        <v>34374</v>
      </c>
      <c r="K9679" t="s">
        <v>42281</v>
      </c>
      <c r="M9679" t="s">
        <v>45556</v>
      </c>
      <c r="N9679" t="s">
        <v>46569</v>
      </c>
      <c r="O9679" t="s">
        <v>46570</v>
      </c>
      <c r="P9679">
        <v>0</v>
      </c>
      <c r="Q9679">
        <v>0</v>
      </c>
      <c r="R9679" t="s">
        <v>46577</v>
      </c>
      <c r="S9679" t="s">
        <v>46808</v>
      </c>
      <c r="T9679" t="s">
        <v>48448</v>
      </c>
      <c r="U9679" t="s">
        <v>56582</v>
      </c>
      <c r="W9679" t="s">
        <v>45556</v>
      </c>
      <c r="X9679" t="s">
        <v>46578</v>
      </c>
    </row>
    <row r="9680" spans="1:24">
      <c r="A9680">
        <f>HYPERLINK("https://www.philgeps.gov.ph/GEPSNONPILOT/Tender/SplashBidNoticeAbstractUI.aspx?menuIndex=3&amp;refID=7054367&amp;Result=3","7054367")</f>
        <v>0</v>
      </c>
      <c r="B9680" t="s">
        <v>1863</v>
      </c>
      <c r="C9680" t="s">
        <v>8952</v>
      </c>
      <c r="D9680" t="s">
        <v>18783</v>
      </c>
      <c r="E9680" t="s">
        <v>27286</v>
      </c>
      <c r="F9680" t="s">
        <v>32664</v>
      </c>
      <c r="G9680" t="s">
        <v>32672</v>
      </c>
      <c r="H9680" t="s">
        <v>12635</v>
      </c>
      <c r="I9680" t="s">
        <v>6628</v>
      </c>
      <c r="J9680" t="s">
        <v>38638</v>
      </c>
      <c r="K9680" t="s">
        <v>42378</v>
      </c>
      <c r="M9680" t="s">
        <v>44576</v>
      </c>
      <c r="N9680" t="s">
        <v>46569</v>
      </c>
      <c r="O9680" t="s">
        <v>46570</v>
      </c>
      <c r="P9680">
        <v>0</v>
      </c>
      <c r="Q9680">
        <v>2</v>
      </c>
      <c r="R9680" t="s">
        <v>46577</v>
      </c>
      <c r="S9680" t="s">
        <v>46808</v>
      </c>
      <c r="T9680" t="s">
        <v>48307</v>
      </c>
      <c r="U9680" t="s">
        <v>56583</v>
      </c>
      <c r="V9680" t="s">
        <v>62203</v>
      </c>
      <c r="W9680" t="s">
        <v>44576</v>
      </c>
      <c r="X9680" t="s">
        <v>46578</v>
      </c>
    </row>
    <row r="9681" spans="1:24">
      <c r="A9681">
        <f>HYPERLINK("https://www.philgeps.gov.ph/GEPSNONPILOT/Tender/SplashBidNoticeAbstractUI.aspx?menuIndex=3&amp;refID=7054351&amp;Result=3","7054351")</f>
        <v>0</v>
      </c>
      <c r="B9681" t="s">
        <v>2726</v>
      </c>
      <c r="C9681" t="s">
        <v>12702</v>
      </c>
      <c r="D9681" t="s">
        <v>18794</v>
      </c>
      <c r="E9681" t="s">
        <v>27287</v>
      </c>
      <c r="F9681" t="s">
        <v>32664</v>
      </c>
      <c r="G9681" t="s">
        <v>32671</v>
      </c>
      <c r="H9681" t="s">
        <v>12635</v>
      </c>
      <c r="I9681" t="s">
        <v>10361</v>
      </c>
      <c r="J9681" t="s">
        <v>34374</v>
      </c>
      <c r="K9681" t="s">
        <v>42281</v>
      </c>
      <c r="M9681" t="s">
        <v>45556</v>
      </c>
      <c r="N9681" t="s">
        <v>46569</v>
      </c>
      <c r="O9681" t="s">
        <v>46570</v>
      </c>
      <c r="P9681">
        <v>0</v>
      </c>
      <c r="Q9681">
        <v>0</v>
      </c>
      <c r="R9681" t="s">
        <v>46577</v>
      </c>
      <c r="S9681" t="s">
        <v>46808</v>
      </c>
      <c r="T9681" t="s">
        <v>48448</v>
      </c>
      <c r="U9681" t="s">
        <v>56582</v>
      </c>
      <c r="W9681" t="s">
        <v>45556</v>
      </c>
      <c r="X9681" t="s">
        <v>46578</v>
      </c>
    </row>
    <row r="9682" spans="1:24">
      <c r="A9682">
        <f>HYPERLINK("https://www.philgeps.gov.ph/GEPSNONPILOT/Tender/SplashBidNoticeAbstractUI.aspx?menuIndex=3&amp;refID=7054434&amp;Result=3","7054434")</f>
        <v>0</v>
      </c>
      <c r="B9682" t="s">
        <v>2469</v>
      </c>
      <c r="C9682" t="s">
        <v>12703</v>
      </c>
      <c r="D9682" t="s">
        <v>18801</v>
      </c>
      <c r="E9682" t="s">
        <v>27288</v>
      </c>
      <c r="F9682" t="s">
        <v>32664</v>
      </c>
      <c r="G9682" t="s">
        <v>32672</v>
      </c>
      <c r="H9682" t="s">
        <v>12635</v>
      </c>
      <c r="I9682" t="s">
        <v>32701</v>
      </c>
      <c r="J9682" t="s">
        <v>33261</v>
      </c>
      <c r="K9682" t="s">
        <v>42281</v>
      </c>
      <c r="M9682" t="s">
        <v>45267</v>
      </c>
      <c r="N9682" t="s">
        <v>46569</v>
      </c>
      <c r="O9682" t="s">
        <v>46570</v>
      </c>
      <c r="P9682">
        <v>0</v>
      </c>
      <c r="Q9682">
        <v>6</v>
      </c>
      <c r="R9682" t="s">
        <v>46577</v>
      </c>
      <c r="S9682" t="s">
        <v>46808</v>
      </c>
      <c r="T9682" t="s">
        <v>48273</v>
      </c>
      <c r="U9682" t="s">
        <v>55574</v>
      </c>
      <c r="V9682" t="s">
        <v>62260</v>
      </c>
      <c r="W9682" t="s">
        <v>63561</v>
      </c>
      <c r="X9682" t="s">
        <v>46578</v>
      </c>
    </row>
    <row r="9683" spans="1:24">
      <c r="A9683">
        <f>HYPERLINK("https://www.philgeps.gov.ph/GEPSNONPILOT/Tender/SplashBidNoticeAbstractUI.aspx?menuIndex=3&amp;refID=7054371&amp;Result=3","7054371")</f>
        <v>0</v>
      </c>
      <c r="B9683" t="s">
        <v>472</v>
      </c>
      <c r="C9683" t="s">
        <v>12704</v>
      </c>
      <c r="D9683" t="s">
        <v>18804</v>
      </c>
      <c r="E9683" t="s">
        <v>27289</v>
      </c>
      <c r="F9683" t="s">
        <v>32664</v>
      </c>
      <c r="G9683" t="s">
        <v>32671</v>
      </c>
      <c r="H9683" t="s">
        <v>12635</v>
      </c>
      <c r="I9683" t="s">
        <v>8730</v>
      </c>
      <c r="J9683" t="s">
        <v>38639</v>
      </c>
      <c r="K9683" t="s">
        <v>42303</v>
      </c>
      <c r="M9683" t="s">
        <v>43047</v>
      </c>
      <c r="N9683" t="s">
        <v>46569</v>
      </c>
      <c r="O9683" t="s">
        <v>46570</v>
      </c>
      <c r="P9683">
        <v>0</v>
      </c>
      <c r="Q9683">
        <v>1</v>
      </c>
      <c r="R9683" t="s">
        <v>46577</v>
      </c>
      <c r="S9683" t="s">
        <v>46808</v>
      </c>
      <c r="T9683" t="s">
        <v>48287</v>
      </c>
      <c r="U9683" t="s">
        <v>56584</v>
      </c>
      <c r="V9683" t="s">
        <v>61731</v>
      </c>
      <c r="W9683" t="s">
        <v>43047</v>
      </c>
      <c r="X9683" t="s">
        <v>46578</v>
      </c>
    </row>
    <row r="9684" spans="1:24">
      <c r="A9684">
        <f>HYPERLINK("https://www.philgeps.gov.ph/GEPSNONPILOT/Tender/SplashBidNoticeAbstractUI.aspx?menuIndex=3&amp;refID=7054435&amp;Result=3","7054435")</f>
        <v>0</v>
      </c>
      <c r="B9684" t="s">
        <v>310</v>
      </c>
      <c r="C9684" t="s">
        <v>12705</v>
      </c>
      <c r="D9684" t="s">
        <v>18789</v>
      </c>
      <c r="E9684" t="s">
        <v>27290</v>
      </c>
      <c r="F9684" t="s">
        <v>32664</v>
      </c>
      <c r="G9684" t="s">
        <v>32671</v>
      </c>
      <c r="H9684" t="s">
        <v>12635</v>
      </c>
      <c r="I9684" t="s">
        <v>8797</v>
      </c>
      <c r="J9684" t="s">
        <v>35513</v>
      </c>
      <c r="K9684" t="s">
        <v>42289</v>
      </c>
      <c r="M9684" t="s">
        <v>42877</v>
      </c>
      <c r="N9684" t="s">
        <v>46569</v>
      </c>
      <c r="O9684" t="s">
        <v>46570</v>
      </c>
      <c r="P9684">
        <v>0</v>
      </c>
      <c r="Q9684">
        <v>8</v>
      </c>
      <c r="R9684" t="s">
        <v>46577</v>
      </c>
      <c r="S9684" t="s">
        <v>46808</v>
      </c>
      <c r="T9684" t="s">
        <v>48246</v>
      </c>
      <c r="U9684" t="s">
        <v>56585</v>
      </c>
      <c r="V9684" t="s">
        <v>62637</v>
      </c>
      <c r="W9684" t="s">
        <v>42877</v>
      </c>
      <c r="X9684" t="s">
        <v>46578</v>
      </c>
    </row>
    <row r="9685" spans="1:24">
      <c r="A9685">
        <f>HYPERLINK("https://www.philgeps.gov.ph/GEPSNONPILOT/Tender/SplashBidNoticeAbstractUI.aspx?menuIndex=3&amp;refID=7054427&amp;Result=3","7054427")</f>
        <v>0</v>
      </c>
      <c r="B9685" t="s">
        <v>146</v>
      </c>
      <c r="C9685" t="s">
        <v>12706</v>
      </c>
      <c r="D9685" t="s">
        <v>18826</v>
      </c>
      <c r="E9685" t="s">
        <v>27291</v>
      </c>
      <c r="F9685" t="s">
        <v>32664</v>
      </c>
      <c r="G9685" t="s">
        <v>32672</v>
      </c>
      <c r="H9685" t="s">
        <v>12635</v>
      </c>
      <c r="I9685" t="s">
        <v>32696</v>
      </c>
      <c r="J9685" t="s">
        <v>38640</v>
      </c>
      <c r="K9685" t="s">
        <v>42298</v>
      </c>
      <c r="M9685" t="s">
        <v>45567</v>
      </c>
      <c r="N9685" t="s">
        <v>46569</v>
      </c>
      <c r="O9685" t="s">
        <v>46570</v>
      </c>
      <c r="P9685">
        <v>0</v>
      </c>
      <c r="Q9685">
        <v>4</v>
      </c>
      <c r="R9685" t="s">
        <v>46577</v>
      </c>
      <c r="S9685" t="s">
        <v>46808</v>
      </c>
      <c r="T9685" t="s">
        <v>48385</v>
      </c>
      <c r="U9685" t="s">
        <v>56586</v>
      </c>
      <c r="W9685" t="s">
        <v>45567</v>
      </c>
      <c r="X9685" t="s">
        <v>46578</v>
      </c>
    </row>
    <row r="9686" spans="1:24">
      <c r="A9686">
        <f>HYPERLINK("https://www.philgeps.gov.ph/GEPSNONPILOT/Tender/SplashBidNoticeAbstractUI.aspx?menuIndex=3&amp;refID=7054438&amp;Result=3","7054438")</f>
        <v>0</v>
      </c>
      <c r="B9686" t="s">
        <v>472</v>
      </c>
      <c r="C9686" t="s">
        <v>12707</v>
      </c>
      <c r="D9686" t="s">
        <v>18804</v>
      </c>
      <c r="E9686" t="s">
        <v>27292</v>
      </c>
      <c r="F9686" t="s">
        <v>32664</v>
      </c>
      <c r="G9686" t="s">
        <v>32671</v>
      </c>
      <c r="H9686" t="s">
        <v>12635</v>
      </c>
      <c r="I9686" t="s">
        <v>4439</v>
      </c>
      <c r="J9686" t="s">
        <v>38641</v>
      </c>
      <c r="K9686" t="s">
        <v>42303</v>
      </c>
      <c r="M9686" t="s">
        <v>43047</v>
      </c>
      <c r="N9686" t="s">
        <v>46569</v>
      </c>
      <c r="O9686" t="s">
        <v>46570</v>
      </c>
      <c r="P9686">
        <v>0</v>
      </c>
      <c r="Q9686">
        <v>0</v>
      </c>
      <c r="R9686" t="s">
        <v>46577</v>
      </c>
      <c r="S9686" t="s">
        <v>46808</v>
      </c>
      <c r="T9686" t="s">
        <v>48287</v>
      </c>
      <c r="U9686" t="s">
        <v>49185</v>
      </c>
      <c r="V9686" t="s">
        <v>61731</v>
      </c>
      <c r="W9686" t="s">
        <v>43047</v>
      </c>
      <c r="X9686" t="s">
        <v>46578</v>
      </c>
    </row>
    <row r="9687" spans="1:24">
      <c r="A9687">
        <f>HYPERLINK("https://www.philgeps.gov.ph/GEPSNONPILOT/Tender/SplashBidNoticeAbstractUI.aspx?menuIndex=3&amp;refID=7054419&amp;Result=3","7054419")</f>
        <v>0</v>
      </c>
      <c r="B9687" t="s">
        <v>2734</v>
      </c>
      <c r="C9687" t="s">
        <v>12708</v>
      </c>
      <c r="D9687" t="s">
        <v>18802</v>
      </c>
      <c r="E9687" t="s">
        <v>20638</v>
      </c>
      <c r="F9687" t="s">
        <v>32664</v>
      </c>
      <c r="G9687" t="s">
        <v>32672</v>
      </c>
      <c r="H9687" t="s">
        <v>32683</v>
      </c>
      <c r="I9687" t="s">
        <v>10627</v>
      </c>
      <c r="J9687" t="s">
        <v>38642</v>
      </c>
      <c r="K9687" t="s">
        <v>42355</v>
      </c>
      <c r="M9687" t="s">
        <v>45568</v>
      </c>
      <c r="N9687" t="s">
        <v>46569</v>
      </c>
      <c r="O9687" t="s">
        <v>46570</v>
      </c>
      <c r="P9687">
        <v>0</v>
      </c>
      <c r="Q9687">
        <v>1</v>
      </c>
      <c r="R9687" t="s">
        <v>46577</v>
      </c>
      <c r="S9687" t="s">
        <v>46808</v>
      </c>
      <c r="T9687" t="s">
        <v>48219</v>
      </c>
      <c r="U9687" t="s">
        <v>56587</v>
      </c>
      <c r="W9687" t="s">
        <v>45568</v>
      </c>
      <c r="X9687" t="s">
        <v>46578</v>
      </c>
    </row>
    <row r="9688" spans="1:24">
      <c r="A9688">
        <f>HYPERLINK("https://www.philgeps.gov.ph/GEPSNONPILOT/Tender/SplashBidNoticeAbstractUI.aspx?menuIndex=3&amp;refID=7054416&amp;Result=3","7054416")</f>
        <v>0</v>
      </c>
      <c r="B9688" t="s">
        <v>1397</v>
      </c>
      <c r="C9688" t="s">
        <v>7602</v>
      </c>
      <c r="D9688" t="s">
        <v>18803</v>
      </c>
      <c r="E9688" t="s">
        <v>21054</v>
      </c>
      <c r="F9688" t="s">
        <v>32664</v>
      </c>
      <c r="G9688" t="s">
        <v>32678</v>
      </c>
      <c r="H9688" t="s">
        <v>32681</v>
      </c>
      <c r="I9688" t="s">
        <v>32681</v>
      </c>
      <c r="J9688" t="s">
        <v>35583</v>
      </c>
      <c r="K9688" t="s">
        <v>42377</v>
      </c>
      <c r="M9688" t="s">
        <v>44054</v>
      </c>
      <c r="N9688" t="s">
        <v>46569</v>
      </c>
      <c r="O9688" t="s">
        <v>46570</v>
      </c>
      <c r="P9688">
        <v>0</v>
      </c>
      <c r="Q9688">
        <v>0</v>
      </c>
      <c r="R9688" t="s">
        <v>46577</v>
      </c>
      <c r="S9688" t="s">
        <v>46808</v>
      </c>
      <c r="T9688" t="s">
        <v>48492</v>
      </c>
      <c r="U9688" t="s">
        <v>52268</v>
      </c>
      <c r="W9688" t="s">
        <v>44054</v>
      </c>
      <c r="X9688" t="s">
        <v>46578</v>
      </c>
    </row>
    <row r="9689" spans="1:24">
      <c r="A9689">
        <f>HYPERLINK("https://www.philgeps.gov.ph/GEPSNONPILOT/Tender/SplashBidNoticeAbstractUI.aspx?menuIndex=3&amp;refID=7054436&amp;Result=3","7054436")</f>
        <v>0</v>
      </c>
      <c r="B9689" t="s">
        <v>1385</v>
      </c>
      <c r="C9689" t="s">
        <v>12709</v>
      </c>
      <c r="D9689" t="s">
        <v>18827</v>
      </c>
      <c r="E9689" t="s">
        <v>27293</v>
      </c>
      <c r="F9689" t="s">
        <v>32664</v>
      </c>
      <c r="G9689" t="s">
        <v>32672</v>
      </c>
      <c r="H9689" t="s">
        <v>32683</v>
      </c>
      <c r="I9689" t="s">
        <v>10627</v>
      </c>
      <c r="J9689" t="s">
        <v>38601</v>
      </c>
      <c r="K9689" t="s">
        <v>42326</v>
      </c>
      <c r="L9689" t="s">
        <v>1385</v>
      </c>
      <c r="M9689" t="s">
        <v>44040</v>
      </c>
      <c r="N9689" t="s">
        <v>46569</v>
      </c>
      <c r="O9689" t="s">
        <v>46570</v>
      </c>
      <c r="P9689">
        <v>0</v>
      </c>
      <c r="Q9689">
        <v>0</v>
      </c>
      <c r="R9689" t="s">
        <v>46577</v>
      </c>
      <c r="S9689" t="s">
        <v>46808</v>
      </c>
      <c r="T9689" t="s">
        <v>48384</v>
      </c>
      <c r="U9689" t="s">
        <v>56531</v>
      </c>
      <c r="W9689" t="s">
        <v>44040</v>
      </c>
      <c r="X9689" t="s">
        <v>46578</v>
      </c>
    </row>
    <row r="9690" spans="1:24">
      <c r="A9690">
        <f>HYPERLINK("https://www.philgeps.gov.ph/GEPSNONPILOT/Tender/SplashBidNoticeAbstractUI.aspx?menuIndex=3&amp;refID=7054414&amp;Result=3","7054414")</f>
        <v>0</v>
      </c>
      <c r="B9690" t="s">
        <v>1946</v>
      </c>
      <c r="C9690" t="s">
        <v>12710</v>
      </c>
      <c r="D9690" t="s">
        <v>18843</v>
      </c>
      <c r="E9690" t="s">
        <v>27294</v>
      </c>
      <c r="F9690" t="s">
        <v>32664</v>
      </c>
      <c r="G9690" t="s">
        <v>32672</v>
      </c>
      <c r="H9690" t="s">
        <v>32683</v>
      </c>
      <c r="I9690" t="s">
        <v>10627</v>
      </c>
      <c r="J9690" t="s">
        <v>33128</v>
      </c>
      <c r="K9690" t="s">
        <v>42492</v>
      </c>
      <c r="M9690" t="s">
        <v>44673</v>
      </c>
      <c r="N9690" t="s">
        <v>46569</v>
      </c>
      <c r="O9690" t="s">
        <v>46570</v>
      </c>
      <c r="P9690">
        <v>0</v>
      </c>
      <c r="Q9690">
        <v>0</v>
      </c>
      <c r="R9690" t="s">
        <v>46577</v>
      </c>
      <c r="S9690" t="s">
        <v>46808</v>
      </c>
      <c r="T9690" t="s">
        <v>48219</v>
      </c>
      <c r="U9690" t="s">
        <v>56588</v>
      </c>
      <c r="W9690" t="s">
        <v>44673</v>
      </c>
      <c r="X9690" t="s">
        <v>46578</v>
      </c>
    </row>
    <row r="9691" spans="1:24">
      <c r="A9691">
        <f>HYPERLINK("https://www.philgeps.gov.ph/GEPSNONPILOT/Tender/SplashBidNoticeAbstractUI.aspx?menuIndex=3&amp;refID=7054421&amp;Result=3","7054421")</f>
        <v>0</v>
      </c>
      <c r="B9691" t="s">
        <v>1939</v>
      </c>
      <c r="C9691" t="s">
        <v>12711</v>
      </c>
      <c r="D9691" t="s">
        <v>18782</v>
      </c>
      <c r="E9691" t="s">
        <v>27295</v>
      </c>
      <c r="F9691" t="s">
        <v>32664</v>
      </c>
      <c r="G9691" t="s">
        <v>32672</v>
      </c>
      <c r="H9691" t="s">
        <v>32683</v>
      </c>
      <c r="I9691" t="s">
        <v>10627</v>
      </c>
      <c r="J9691" t="s">
        <v>33261</v>
      </c>
      <c r="K9691" t="s">
        <v>42311</v>
      </c>
      <c r="L9691" t="s">
        <v>1939</v>
      </c>
      <c r="M9691" t="s">
        <v>44664</v>
      </c>
      <c r="N9691" t="s">
        <v>46569</v>
      </c>
      <c r="O9691" t="s">
        <v>46570</v>
      </c>
      <c r="P9691">
        <v>0</v>
      </c>
      <c r="Q9691">
        <v>1</v>
      </c>
      <c r="R9691" t="s">
        <v>46577</v>
      </c>
      <c r="S9691" t="s">
        <v>46808</v>
      </c>
      <c r="T9691" t="s">
        <v>48453</v>
      </c>
      <c r="U9691" t="s">
        <v>56589</v>
      </c>
      <c r="W9691" t="s">
        <v>44664</v>
      </c>
      <c r="X9691" t="s">
        <v>46578</v>
      </c>
    </row>
    <row r="9692" spans="1:24">
      <c r="A9692">
        <f>HYPERLINK("https://www.philgeps.gov.ph/GEPSNONPILOT/Tender/SplashBidNoticeAbstractUI.aspx?menuIndex=3&amp;refID=7054413&amp;Result=3","7054413")</f>
        <v>0</v>
      </c>
      <c r="B9692" t="s">
        <v>2726</v>
      </c>
      <c r="C9692" t="s">
        <v>12712</v>
      </c>
      <c r="D9692" t="s">
        <v>18794</v>
      </c>
      <c r="E9692" t="s">
        <v>27296</v>
      </c>
      <c r="F9692" t="s">
        <v>32664</v>
      </c>
      <c r="G9692" t="s">
        <v>32671</v>
      </c>
      <c r="H9692" t="s">
        <v>12635</v>
      </c>
      <c r="I9692" t="s">
        <v>32685</v>
      </c>
      <c r="J9692" t="s">
        <v>38643</v>
      </c>
      <c r="K9692" t="s">
        <v>42281</v>
      </c>
      <c r="M9692" t="s">
        <v>45556</v>
      </c>
      <c r="N9692" t="s">
        <v>46569</v>
      </c>
      <c r="O9692" t="s">
        <v>46570</v>
      </c>
      <c r="P9692">
        <v>0</v>
      </c>
      <c r="Q9692">
        <v>0</v>
      </c>
      <c r="R9692" t="s">
        <v>46577</v>
      </c>
      <c r="S9692" t="s">
        <v>46808</v>
      </c>
      <c r="T9692" t="s">
        <v>48448</v>
      </c>
      <c r="U9692" t="s">
        <v>56590</v>
      </c>
      <c r="W9692" t="s">
        <v>45556</v>
      </c>
      <c r="X9692" t="s">
        <v>46578</v>
      </c>
    </row>
    <row r="9693" spans="1:24">
      <c r="A9693">
        <f>HYPERLINK("https://www.philgeps.gov.ph/GEPSNONPILOT/Tender/SplashBidNoticeAbstractUI.aspx?menuIndex=3&amp;refID=7054432&amp;Result=3","7054432")</f>
        <v>0</v>
      </c>
      <c r="B9693" t="s">
        <v>1397</v>
      </c>
      <c r="C9693" t="s">
        <v>7628</v>
      </c>
      <c r="D9693" t="s">
        <v>18803</v>
      </c>
      <c r="E9693" t="s">
        <v>21070</v>
      </c>
      <c r="F9693" t="s">
        <v>32664</v>
      </c>
      <c r="G9693" t="s">
        <v>32678</v>
      </c>
      <c r="H9693" t="s">
        <v>32681</v>
      </c>
      <c r="I9693" t="s">
        <v>32681</v>
      </c>
      <c r="J9693" t="s">
        <v>35601</v>
      </c>
      <c r="K9693" t="s">
        <v>42377</v>
      </c>
      <c r="M9693" t="s">
        <v>44054</v>
      </c>
      <c r="N9693" t="s">
        <v>46569</v>
      </c>
      <c r="O9693" t="s">
        <v>46570</v>
      </c>
      <c r="P9693">
        <v>0</v>
      </c>
      <c r="Q9693">
        <v>0</v>
      </c>
      <c r="R9693" t="s">
        <v>46577</v>
      </c>
      <c r="S9693" t="s">
        <v>46808</v>
      </c>
      <c r="T9693" t="s">
        <v>48492</v>
      </c>
      <c r="U9693" t="s">
        <v>52292</v>
      </c>
      <c r="W9693" t="s">
        <v>44054</v>
      </c>
      <c r="X9693" t="s">
        <v>46578</v>
      </c>
    </row>
    <row r="9694" spans="1:24">
      <c r="A9694">
        <f>HYPERLINK("https://www.philgeps.gov.ph/GEPSNONPILOT/Tender/SplashBidNoticeAbstractUI.aspx?menuIndex=3&amp;refID=7054408&amp;Result=3","7054408")</f>
        <v>0</v>
      </c>
      <c r="B9694" t="s">
        <v>2729</v>
      </c>
      <c r="C9694" t="s">
        <v>12713</v>
      </c>
      <c r="D9694" t="s">
        <v>18805</v>
      </c>
      <c r="E9694" t="s">
        <v>27297</v>
      </c>
      <c r="F9694" t="s">
        <v>32664</v>
      </c>
      <c r="G9694" t="s">
        <v>32672</v>
      </c>
      <c r="H9694" t="s">
        <v>32682</v>
      </c>
      <c r="I9694" t="s">
        <v>6118</v>
      </c>
      <c r="J9694" t="s">
        <v>38644</v>
      </c>
      <c r="K9694" t="s">
        <v>42351</v>
      </c>
      <c r="M9694" t="s">
        <v>45561</v>
      </c>
      <c r="N9694" t="s">
        <v>46569</v>
      </c>
      <c r="O9694" t="s">
        <v>46570</v>
      </c>
      <c r="P9694">
        <v>0</v>
      </c>
      <c r="Q9694">
        <v>0</v>
      </c>
      <c r="R9694" t="s">
        <v>46577</v>
      </c>
      <c r="S9694" t="s">
        <v>46808</v>
      </c>
      <c r="T9694" t="s">
        <v>48478</v>
      </c>
      <c r="U9694" t="s">
        <v>56591</v>
      </c>
      <c r="W9694" t="s">
        <v>45561</v>
      </c>
      <c r="X9694" t="s">
        <v>46578</v>
      </c>
    </row>
    <row r="9695" spans="1:24">
      <c r="A9695">
        <f>HYPERLINK("https://www.philgeps.gov.ph/GEPSNONPILOT/Tender/SplashBidNoticeAbstractUI.aspx?menuIndex=3&amp;refID=7054404&amp;Result=3","7054404")</f>
        <v>0</v>
      </c>
      <c r="B9695" t="s">
        <v>2645</v>
      </c>
      <c r="C9695" t="s">
        <v>12714</v>
      </c>
      <c r="D9695" t="s">
        <v>18810</v>
      </c>
      <c r="E9695" t="s">
        <v>27298</v>
      </c>
      <c r="F9695" t="s">
        <v>32664</v>
      </c>
      <c r="G9695" t="s">
        <v>32675</v>
      </c>
      <c r="H9695" t="s">
        <v>12635</v>
      </c>
      <c r="I9695" t="s">
        <v>6223</v>
      </c>
      <c r="J9695" t="s">
        <v>38645</v>
      </c>
      <c r="K9695" t="s">
        <v>42281</v>
      </c>
      <c r="M9695" t="s">
        <v>45466</v>
      </c>
      <c r="N9695" t="s">
        <v>46569</v>
      </c>
      <c r="O9695" t="s">
        <v>46570</v>
      </c>
      <c r="P9695">
        <v>0</v>
      </c>
      <c r="Q9695">
        <v>7</v>
      </c>
      <c r="R9695" t="s">
        <v>46577</v>
      </c>
      <c r="S9695" t="s">
        <v>46808</v>
      </c>
      <c r="T9695" t="s">
        <v>48256</v>
      </c>
      <c r="U9695" t="s">
        <v>56592</v>
      </c>
      <c r="V9695" t="s">
        <v>62638</v>
      </c>
      <c r="W9695" t="s">
        <v>45466</v>
      </c>
      <c r="X9695" t="s">
        <v>46578</v>
      </c>
    </row>
    <row r="9696" spans="1:24">
      <c r="A9696">
        <f>HYPERLINK("https://www.philgeps.gov.ph/GEPSNONPILOT/Tender/SplashBidNoticeAbstractUI.aspx?menuIndex=3&amp;refID=7054417&amp;Result=3","7054417")</f>
        <v>0</v>
      </c>
      <c r="B9696" t="s">
        <v>528</v>
      </c>
      <c r="C9696" t="s">
        <v>12715</v>
      </c>
      <c r="D9696" t="s">
        <v>18823</v>
      </c>
      <c r="E9696" t="s">
        <v>27299</v>
      </c>
      <c r="F9696" t="s">
        <v>32664</v>
      </c>
      <c r="G9696" t="s">
        <v>32671</v>
      </c>
      <c r="H9696" t="s">
        <v>12635</v>
      </c>
      <c r="I9696" t="s">
        <v>32763</v>
      </c>
      <c r="J9696" t="s">
        <v>32846</v>
      </c>
      <c r="K9696" t="s">
        <v>42295</v>
      </c>
      <c r="M9696" t="s">
        <v>43106</v>
      </c>
      <c r="N9696" t="s">
        <v>46569</v>
      </c>
      <c r="O9696" t="s">
        <v>46570</v>
      </c>
      <c r="P9696">
        <v>0</v>
      </c>
      <c r="Q9696">
        <v>6</v>
      </c>
      <c r="R9696" t="s">
        <v>46577</v>
      </c>
      <c r="S9696" t="s">
        <v>46808</v>
      </c>
      <c r="T9696" t="s">
        <v>48420</v>
      </c>
      <c r="U9696" t="s">
        <v>49722</v>
      </c>
      <c r="W9696" t="s">
        <v>43106</v>
      </c>
      <c r="X9696" t="s">
        <v>46578</v>
      </c>
    </row>
    <row r="9697" spans="1:24">
      <c r="A9697">
        <f>HYPERLINK("https://www.philgeps.gov.ph/GEPSNONPILOT/Tender/SplashBidNoticeAbstractUI.aspx?menuIndex=3&amp;refID=7054477&amp;Result=3","7054477")</f>
        <v>0</v>
      </c>
      <c r="B9697" t="s">
        <v>271</v>
      </c>
      <c r="C9697" t="s">
        <v>12716</v>
      </c>
      <c r="D9697" t="s">
        <v>18830</v>
      </c>
      <c r="E9697" t="s">
        <v>27300</v>
      </c>
      <c r="F9697" t="s">
        <v>32664</v>
      </c>
      <c r="G9697" t="s">
        <v>32671</v>
      </c>
      <c r="H9697" t="s">
        <v>12635</v>
      </c>
      <c r="I9697" t="s">
        <v>32684</v>
      </c>
      <c r="J9697" t="s">
        <v>32898</v>
      </c>
      <c r="K9697" t="s">
        <v>42298</v>
      </c>
      <c r="M9697" t="s">
        <v>42836</v>
      </c>
      <c r="N9697" t="s">
        <v>46569</v>
      </c>
      <c r="O9697" t="s">
        <v>46570</v>
      </c>
      <c r="P9697">
        <v>0</v>
      </c>
      <c r="Q9697">
        <v>7</v>
      </c>
      <c r="R9697" t="s">
        <v>46577</v>
      </c>
      <c r="S9697" t="s">
        <v>46808</v>
      </c>
      <c r="T9697" t="s">
        <v>48254</v>
      </c>
      <c r="U9697" t="s">
        <v>56593</v>
      </c>
      <c r="W9697" t="s">
        <v>42836</v>
      </c>
      <c r="X9697" t="s">
        <v>46578</v>
      </c>
    </row>
    <row r="9698" spans="1:24">
      <c r="A9698">
        <f>HYPERLINK("https://www.philgeps.gov.ph/GEPSNONPILOT/Tender/SplashBidNoticeAbstractUI.aspx?menuIndex=3&amp;refID=7054348&amp;Result=3","7054348")</f>
        <v>0</v>
      </c>
      <c r="B9698" t="s">
        <v>1953</v>
      </c>
      <c r="C9698" t="s">
        <v>12717</v>
      </c>
      <c r="D9698" t="s">
        <v>18782</v>
      </c>
      <c r="E9698" t="s">
        <v>27301</v>
      </c>
      <c r="F9698" t="s">
        <v>32664</v>
      </c>
      <c r="G9698" t="s">
        <v>32674</v>
      </c>
      <c r="H9698" t="s">
        <v>12635</v>
      </c>
      <c r="I9698" t="s">
        <v>4439</v>
      </c>
      <c r="J9698" t="s">
        <v>38646</v>
      </c>
      <c r="K9698" t="s">
        <v>42330</v>
      </c>
      <c r="M9698" t="s">
        <v>44681</v>
      </c>
      <c r="N9698" t="s">
        <v>46569</v>
      </c>
      <c r="O9698" t="s">
        <v>46570</v>
      </c>
      <c r="P9698">
        <v>0</v>
      </c>
      <c r="Q9698">
        <v>0</v>
      </c>
      <c r="R9698" t="s">
        <v>46577</v>
      </c>
      <c r="S9698" t="s">
        <v>46808</v>
      </c>
      <c r="T9698" t="s">
        <v>48287</v>
      </c>
      <c r="U9698" t="s">
        <v>56594</v>
      </c>
      <c r="W9698" t="s">
        <v>44681</v>
      </c>
      <c r="X9698" t="s">
        <v>46578</v>
      </c>
    </row>
    <row r="9699" spans="1:24">
      <c r="A9699">
        <f>HYPERLINK("https://www.philgeps.gov.ph/GEPSNONPILOT/Tender/SplashBidNoticeAbstractUI.aspx?menuIndex=3&amp;refID=7054415&amp;Result=3","7054415")</f>
        <v>0</v>
      </c>
      <c r="B9699" t="s">
        <v>789</v>
      </c>
      <c r="C9699" t="s">
        <v>5262</v>
      </c>
      <c r="D9699" t="s">
        <v>18805</v>
      </c>
      <c r="E9699" t="s">
        <v>20534</v>
      </c>
      <c r="F9699" t="s">
        <v>32664</v>
      </c>
      <c r="G9699" t="s">
        <v>32672</v>
      </c>
      <c r="H9699" t="s">
        <v>12635</v>
      </c>
      <c r="I9699" t="s">
        <v>32696</v>
      </c>
      <c r="J9699" t="s">
        <v>34115</v>
      </c>
      <c r="K9699" t="s">
        <v>42298</v>
      </c>
      <c r="M9699" t="s">
        <v>43381</v>
      </c>
      <c r="N9699" t="s">
        <v>46569</v>
      </c>
      <c r="O9699" t="s">
        <v>46570</v>
      </c>
      <c r="P9699">
        <v>0</v>
      </c>
      <c r="Q9699">
        <v>0</v>
      </c>
      <c r="R9699" t="s">
        <v>46577</v>
      </c>
      <c r="S9699" t="s">
        <v>46808</v>
      </c>
      <c r="T9699" t="s">
        <v>48264</v>
      </c>
      <c r="U9699" t="s">
        <v>50284</v>
      </c>
      <c r="V9699" t="s">
        <v>61811</v>
      </c>
      <c r="W9699" t="s">
        <v>43381</v>
      </c>
      <c r="X9699" t="s">
        <v>46578</v>
      </c>
    </row>
    <row r="9700" spans="1:24">
      <c r="A9700">
        <f>HYPERLINK("https://www.philgeps.gov.ph/GEPSNONPILOT/Tender/SplashBidNoticeAbstractUI.aspx?menuIndex=3&amp;refID=7054496&amp;Result=3","7054496")</f>
        <v>0</v>
      </c>
      <c r="B9700" t="s">
        <v>1939</v>
      </c>
      <c r="C9700" t="s">
        <v>12718</v>
      </c>
      <c r="D9700" t="s">
        <v>18782</v>
      </c>
      <c r="E9700" t="s">
        <v>27302</v>
      </c>
      <c r="F9700" t="s">
        <v>32664</v>
      </c>
      <c r="G9700" t="s">
        <v>32672</v>
      </c>
      <c r="H9700" t="s">
        <v>32683</v>
      </c>
      <c r="I9700" t="s">
        <v>10627</v>
      </c>
      <c r="J9700" t="s">
        <v>32962</v>
      </c>
      <c r="K9700" t="s">
        <v>42298</v>
      </c>
      <c r="L9700" t="s">
        <v>1939</v>
      </c>
      <c r="M9700" t="s">
        <v>44664</v>
      </c>
      <c r="N9700" t="s">
        <v>46569</v>
      </c>
      <c r="O9700" t="s">
        <v>46570</v>
      </c>
      <c r="P9700">
        <v>0</v>
      </c>
      <c r="Q9700">
        <v>2</v>
      </c>
      <c r="R9700" t="s">
        <v>46577</v>
      </c>
      <c r="S9700" t="s">
        <v>46808</v>
      </c>
      <c r="T9700" t="s">
        <v>48453</v>
      </c>
      <c r="U9700" t="s">
        <v>56595</v>
      </c>
      <c r="W9700" t="s">
        <v>44664</v>
      </c>
      <c r="X9700" t="s">
        <v>46578</v>
      </c>
    </row>
    <row r="9701" spans="1:24">
      <c r="A9701">
        <f>HYPERLINK("https://www.philgeps.gov.ph/GEPSNONPILOT/Tender/SplashBidNoticeAbstractUI.aspx?menuIndex=3&amp;refID=7054483&amp;Result=3","7054483")</f>
        <v>0</v>
      </c>
      <c r="B9701" t="s">
        <v>146</v>
      </c>
      <c r="C9701" t="s">
        <v>12719</v>
      </c>
      <c r="D9701" t="s">
        <v>18826</v>
      </c>
      <c r="E9701" t="s">
        <v>27303</v>
      </c>
      <c r="F9701" t="s">
        <v>32664</v>
      </c>
      <c r="G9701" t="s">
        <v>32672</v>
      </c>
      <c r="H9701" t="s">
        <v>12635</v>
      </c>
      <c r="I9701" t="s">
        <v>32699</v>
      </c>
      <c r="J9701" t="s">
        <v>38647</v>
      </c>
      <c r="K9701" t="s">
        <v>42298</v>
      </c>
      <c r="M9701" t="s">
        <v>45567</v>
      </c>
      <c r="N9701" t="s">
        <v>46569</v>
      </c>
      <c r="O9701" t="s">
        <v>46570</v>
      </c>
      <c r="P9701">
        <v>0</v>
      </c>
      <c r="Q9701">
        <v>0</v>
      </c>
      <c r="R9701" t="s">
        <v>46577</v>
      </c>
      <c r="S9701" t="s">
        <v>46808</v>
      </c>
      <c r="T9701" t="s">
        <v>48385</v>
      </c>
      <c r="U9701" t="s">
        <v>56596</v>
      </c>
      <c r="W9701" t="s">
        <v>45567</v>
      </c>
      <c r="X9701" t="s">
        <v>46578</v>
      </c>
    </row>
    <row r="9702" spans="1:24">
      <c r="A9702">
        <f>HYPERLINK("https://www.philgeps.gov.ph/GEPSNONPILOT/Tender/SplashBidNoticeAbstractUI.aspx?menuIndex=3&amp;refID=7054475&amp;Result=3","7054475")</f>
        <v>0</v>
      </c>
      <c r="B9702" t="s">
        <v>2726</v>
      </c>
      <c r="C9702" t="s">
        <v>12720</v>
      </c>
      <c r="D9702" t="s">
        <v>18794</v>
      </c>
      <c r="E9702" t="s">
        <v>27304</v>
      </c>
      <c r="F9702" t="s">
        <v>32664</v>
      </c>
      <c r="G9702" t="s">
        <v>32671</v>
      </c>
      <c r="H9702" t="s">
        <v>12635</v>
      </c>
      <c r="I9702" t="s">
        <v>32704</v>
      </c>
      <c r="J9702" t="s">
        <v>38648</v>
      </c>
      <c r="K9702" t="s">
        <v>42281</v>
      </c>
      <c r="M9702" t="s">
        <v>45556</v>
      </c>
      <c r="N9702" t="s">
        <v>46569</v>
      </c>
      <c r="O9702" t="s">
        <v>46570</v>
      </c>
      <c r="P9702">
        <v>0</v>
      </c>
      <c r="Q9702">
        <v>3</v>
      </c>
      <c r="R9702" t="s">
        <v>46577</v>
      </c>
      <c r="S9702" t="s">
        <v>46808</v>
      </c>
      <c r="T9702" t="s">
        <v>48448</v>
      </c>
      <c r="U9702" t="s">
        <v>56597</v>
      </c>
      <c r="W9702" t="s">
        <v>45556</v>
      </c>
      <c r="X9702" t="s">
        <v>46578</v>
      </c>
    </row>
    <row r="9703" spans="1:24">
      <c r="A9703">
        <f>HYPERLINK("https://www.philgeps.gov.ph/GEPSNONPILOT/Tender/SplashBidNoticeAbstractUI.aspx?menuIndex=3&amp;refID=7054492&amp;Result=3","7054492")</f>
        <v>0</v>
      </c>
      <c r="B9703" t="s">
        <v>2691</v>
      </c>
      <c r="C9703" t="s">
        <v>12721</v>
      </c>
      <c r="D9703" t="s">
        <v>18804</v>
      </c>
      <c r="E9703" t="s">
        <v>27305</v>
      </c>
      <c r="F9703" t="s">
        <v>32664</v>
      </c>
      <c r="G9703" t="s">
        <v>32672</v>
      </c>
      <c r="H9703" t="s">
        <v>32683</v>
      </c>
      <c r="I9703" t="s">
        <v>10627</v>
      </c>
      <c r="J9703" t="s">
        <v>38649</v>
      </c>
      <c r="K9703" t="s">
        <v>42308</v>
      </c>
      <c r="M9703" t="s">
        <v>45517</v>
      </c>
      <c r="N9703" t="s">
        <v>46569</v>
      </c>
      <c r="O9703" t="s">
        <v>46570</v>
      </c>
      <c r="P9703">
        <v>0</v>
      </c>
      <c r="Q9703">
        <v>1</v>
      </c>
      <c r="R9703" t="s">
        <v>46577</v>
      </c>
      <c r="S9703" t="s">
        <v>46808</v>
      </c>
      <c r="T9703" t="s">
        <v>48469</v>
      </c>
      <c r="U9703" t="s">
        <v>56598</v>
      </c>
      <c r="V9703" t="s">
        <v>62178</v>
      </c>
      <c r="W9703" t="s">
        <v>45517</v>
      </c>
      <c r="X9703" t="s">
        <v>46578</v>
      </c>
    </row>
    <row r="9704" spans="1:24">
      <c r="A9704">
        <f>HYPERLINK("https://www.philgeps.gov.ph/GEPSNONPILOT/Tender/SplashBidNoticeAbstractUI.aspx?menuIndex=3&amp;refID=7054423&amp;Result=3","7054423")</f>
        <v>0</v>
      </c>
      <c r="B9704" t="s">
        <v>1226</v>
      </c>
      <c r="C9704" t="s">
        <v>12722</v>
      </c>
      <c r="D9704" t="s">
        <v>18826</v>
      </c>
      <c r="E9704" t="s">
        <v>20432</v>
      </c>
      <c r="F9704" t="s">
        <v>32664</v>
      </c>
      <c r="G9704" t="s">
        <v>32672</v>
      </c>
      <c r="H9704" t="s">
        <v>32683</v>
      </c>
      <c r="I9704" t="s">
        <v>10627</v>
      </c>
      <c r="J9704" t="s">
        <v>32962</v>
      </c>
      <c r="K9704" t="s">
        <v>42290</v>
      </c>
      <c r="M9704" t="s">
        <v>43865</v>
      </c>
      <c r="N9704" t="s">
        <v>46569</v>
      </c>
      <c r="O9704" t="s">
        <v>46570</v>
      </c>
      <c r="P9704">
        <v>0</v>
      </c>
      <c r="Q9704">
        <v>25</v>
      </c>
      <c r="R9704" t="s">
        <v>46577</v>
      </c>
      <c r="S9704" t="s">
        <v>46808</v>
      </c>
      <c r="T9704" t="s">
        <v>48313</v>
      </c>
      <c r="U9704" t="s">
        <v>56599</v>
      </c>
      <c r="W9704" t="s">
        <v>43865</v>
      </c>
      <c r="X9704" t="s">
        <v>46578</v>
      </c>
    </row>
    <row r="9705" spans="1:24">
      <c r="A9705">
        <f>HYPERLINK("https://www.philgeps.gov.ph/GEPSNONPILOT/Tender/SplashBidNoticeAbstractUI.aspx?menuIndex=3&amp;refID=7054473&amp;Result=3","7054473")</f>
        <v>0</v>
      </c>
      <c r="B9705" t="s">
        <v>295</v>
      </c>
      <c r="C9705" t="s">
        <v>12723</v>
      </c>
      <c r="D9705" t="s">
        <v>18848</v>
      </c>
      <c r="E9705" t="s">
        <v>27306</v>
      </c>
      <c r="F9705" t="s">
        <v>32664</v>
      </c>
      <c r="G9705" t="s">
        <v>32672</v>
      </c>
      <c r="H9705" t="s">
        <v>12635</v>
      </c>
      <c r="I9705" t="s">
        <v>6168</v>
      </c>
      <c r="J9705" t="s">
        <v>38650</v>
      </c>
      <c r="K9705" t="s">
        <v>42297</v>
      </c>
      <c r="M9705" t="s">
        <v>45554</v>
      </c>
      <c r="N9705" t="s">
        <v>46569</v>
      </c>
      <c r="O9705" t="s">
        <v>46570</v>
      </c>
      <c r="P9705">
        <v>0</v>
      </c>
      <c r="Q9705">
        <v>0</v>
      </c>
      <c r="R9705" t="s">
        <v>46577</v>
      </c>
      <c r="S9705" t="s">
        <v>46808</v>
      </c>
      <c r="T9705" t="s">
        <v>48298</v>
      </c>
      <c r="U9705" t="s">
        <v>56600</v>
      </c>
      <c r="W9705" t="s">
        <v>45554</v>
      </c>
      <c r="X9705" t="s">
        <v>46578</v>
      </c>
    </row>
    <row r="9706" spans="1:24">
      <c r="A9706">
        <f>HYPERLINK("https://www.philgeps.gov.ph/GEPSNONPILOT/Tender/SplashBidNoticeAbstractUI.aspx?menuIndex=3&amp;refID=7054472&amp;Result=3","7054472")</f>
        <v>0</v>
      </c>
      <c r="B9706" t="s">
        <v>2645</v>
      </c>
      <c r="C9706" t="s">
        <v>12724</v>
      </c>
      <c r="D9706" t="s">
        <v>18810</v>
      </c>
      <c r="E9706" t="s">
        <v>27307</v>
      </c>
      <c r="F9706" t="s">
        <v>32664</v>
      </c>
      <c r="G9706" t="s">
        <v>32675</v>
      </c>
      <c r="H9706" t="s">
        <v>12635</v>
      </c>
      <c r="I9706" t="s">
        <v>4333</v>
      </c>
      <c r="J9706" t="s">
        <v>33218</v>
      </c>
      <c r="K9706" t="s">
        <v>42281</v>
      </c>
      <c r="M9706" t="s">
        <v>45466</v>
      </c>
      <c r="N9706" t="s">
        <v>46569</v>
      </c>
      <c r="O9706" t="s">
        <v>46570</v>
      </c>
      <c r="P9706">
        <v>0</v>
      </c>
      <c r="Q9706">
        <v>5</v>
      </c>
      <c r="R9706" t="s">
        <v>46577</v>
      </c>
      <c r="S9706" t="s">
        <v>46808</v>
      </c>
      <c r="T9706" t="s">
        <v>48256</v>
      </c>
      <c r="U9706" t="s">
        <v>56601</v>
      </c>
      <c r="V9706" t="s">
        <v>62639</v>
      </c>
      <c r="W9706" t="s">
        <v>45466</v>
      </c>
      <c r="X9706" t="s">
        <v>46578</v>
      </c>
    </row>
    <row r="9707" spans="1:24">
      <c r="A9707">
        <f>HYPERLINK("https://www.philgeps.gov.ph/GEPSNONPILOT/Tender/SplashBidNoticeAbstractUI.aspx?menuIndex=3&amp;refID=7054465&amp;Result=3","7054465")</f>
        <v>0</v>
      </c>
      <c r="B9707" t="s">
        <v>2735</v>
      </c>
      <c r="C9707" t="s">
        <v>12725</v>
      </c>
      <c r="D9707" t="s">
        <v>18806</v>
      </c>
      <c r="E9707" t="s">
        <v>22803</v>
      </c>
      <c r="F9707" t="s">
        <v>32664</v>
      </c>
      <c r="G9707" t="s">
        <v>32672</v>
      </c>
      <c r="H9707" t="s">
        <v>12635</v>
      </c>
      <c r="I9707" t="s">
        <v>6168</v>
      </c>
      <c r="J9707" t="s">
        <v>38651</v>
      </c>
      <c r="K9707" t="s">
        <v>42281</v>
      </c>
      <c r="M9707" t="s">
        <v>45569</v>
      </c>
      <c r="N9707" t="s">
        <v>46569</v>
      </c>
      <c r="O9707" t="s">
        <v>46570</v>
      </c>
      <c r="P9707">
        <v>0</v>
      </c>
      <c r="Q9707">
        <v>2</v>
      </c>
      <c r="R9707" t="s">
        <v>46577</v>
      </c>
      <c r="S9707" t="s">
        <v>46808</v>
      </c>
      <c r="T9707" t="s">
        <v>48395</v>
      </c>
      <c r="U9707" t="s">
        <v>56602</v>
      </c>
      <c r="W9707" t="s">
        <v>45569</v>
      </c>
      <c r="X9707" t="s">
        <v>46578</v>
      </c>
    </row>
    <row r="9708" spans="1:24">
      <c r="A9708">
        <f>HYPERLINK("https://www.philgeps.gov.ph/GEPSNONPILOT/Tender/SplashBidNoticeAbstractUI.aspx?menuIndex=3&amp;refID=7054379&amp;Result=3","7054379")</f>
        <v>0</v>
      </c>
      <c r="B9708" t="s">
        <v>720</v>
      </c>
      <c r="C9708" t="s">
        <v>12726</v>
      </c>
      <c r="D9708" t="s">
        <v>18784</v>
      </c>
      <c r="E9708" t="s">
        <v>27308</v>
      </c>
      <c r="F9708" t="s">
        <v>32664</v>
      </c>
      <c r="G9708" t="s">
        <v>32671</v>
      </c>
      <c r="H9708" t="s">
        <v>12635</v>
      </c>
      <c r="I9708" t="s">
        <v>10627</v>
      </c>
      <c r="J9708" t="s">
        <v>34041</v>
      </c>
      <c r="K9708" t="s">
        <v>42284</v>
      </c>
      <c r="M9708" t="s">
        <v>43307</v>
      </c>
      <c r="N9708" t="s">
        <v>46569</v>
      </c>
      <c r="O9708" t="s">
        <v>46570</v>
      </c>
      <c r="P9708">
        <v>0</v>
      </c>
      <c r="Q9708">
        <v>7</v>
      </c>
      <c r="R9708" t="s">
        <v>46577</v>
      </c>
      <c r="S9708" t="s">
        <v>46808</v>
      </c>
      <c r="T9708" t="s">
        <v>48473</v>
      </c>
      <c r="U9708" t="s">
        <v>50132</v>
      </c>
      <c r="W9708" t="s">
        <v>43307</v>
      </c>
      <c r="X9708" t="s">
        <v>46578</v>
      </c>
    </row>
    <row r="9709" spans="1:24">
      <c r="A9709">
        <f>HYPERLINK("https://www.philgeps.gov.ph/GEPSNONPILOT/Tender/SplashBidNoticeAbstractUI.aspx?menuIndex=3&amp;refID=7054488&amp;Result=3","7054488")</f>
        <v>0</v>
      </c>
      <c r="B9709" t="s">
        <v>2731</v>
      </c>
      <c r="C9709" t="s">
        <v>12727</v>
      </c>
      <c r="D9709" t="s">
        <v>18810</v>
      </c>
      <c r="E9709" t="s">
        <v>25542</v>
      </c>
      <c r="F9709" t="s">
        <v>32664</v>
      </c>
      <c r="G9709" t="s">
        <v>32672</v>
      </c>
      <c r="H9709" t="s">
        <v>12635</v>
      </c>
      <c r="I9709" t="s">
        <v>11464</v>
      </c>
      <c r="J9709" t="s">
        <v>33345</v>
      </c>
      <c r="K9709" t="s">
        <v>42283</v>
      </c>
      <c r="M9709" t="s">
        <v>45563</v>
      </c>
      <c r="N9709" t="s">
        <v>46569</v>
      </c>
      <c r="O9709" t="s">
        <v>46570</v>
      </c>
      <c r="P9709">
        <v>0</v>
      </c>
      <c r="Q9709">
        <v>0</v>
      </c>
      <c r="R9709" t="s">
        <v>46577</v>
      </c>
      <c r="S9709" t="s">
        <v>46808</v>
      </c>
      <c r="T9709" t="s">
        <v>48573</v>
      </c>
      <c r="U9709" t="s">
        <v>56603</v>
      </c>
      <c r="V9709" t="s">
        <v>62636</v>
      </c>
      <c r="W9709" t="s">
        <v>45563</v>
      </c>
      <c r="X9709" t="s">
        <v>46578</v>
      </c>
    </row>
    <row r="9710" spans="1:24">
      <c r="A9710">
        <f>HYPERLINK("https://www.philgeps.gov.ph/GEPSNONPILOT/Tender/SplashBidNoticeAbstractUI.aspx?menuIndex=3&amp;refID=7054456&amp;Result=3","7054456")</f>
        <v>0</v>
      </c>
      <c r="B9710" t="s">
        <v>2691</v>
      </c>
      <c r="C9710" t="s">
        <v>12728</v>
      </c>
      <c r="D9710" t="s">
        <v>18804</v>
      </c>
      <c r="E9710" t="s">
        <v>27309</v>
      </c>
      <c r="F9710" t="s">
        <v>32664</v>
      </c>
      <c r="G9710" t="s">
        <v>32672</v>
      </c>
      <c r="H9710" t="s">
        <v>32683</v>
      </c>
      <c r="I9710" t="s">
        <v>10627</v>
      </c>
      <c r="J9710" t="s">
        <v>32943</v>
      </c>
      <c r="K9710" t="s">
        <v>42290</v>
      </c>
      <c r="M9710" t="s">
        <v>45517</v>
      </c>
      <c r="N9710" t="s">
        <v>46569</v>
      </c>
      <c r="O9710" t="s">
        <v>46570</v>
      </c>
      <c r="P9710">
        <v>0</v>
      </c>
      <c r="Q9710">
        <v>1</v>
      </c>
      <c r="R9710" t="s">
        <v>46577</v>
      </c>
      <c r="S9710" t="s">
        <v>46808</v>
      </c>
      <c r="T9710" t="s">
        <v>48469</v>
      </c>
      <c r="U9710" t="s">
        <v>56604</v>
      </c>
      <c r="V9710" t="s">
        <v>62178</v>
      </c>
      <c r="W9710" t="s">
        <v>45517</v>
      </c>
      <c r="X9710" t="s">
        <v>46578</v>
      </c>
    </row>
    <row r="9711" spans="1:24">
      <c r="A9711">
        <f>HYPERLINK("https://www.philgeps.gov.ph/GEPSNONPILOT/Tender/SplashBidNoticeAbstractUI.aspx?menuIndex=3&amp;refID=7054455&amp;Result=3","7054455")</f>
        <v>0</v>
      </c>
      <c r="B9711" t="s">
        <v>1876</v>
      </c>
      <c r="C9711" t="s">
        <v>12729</v>
      </c>
      <c r="D9711" t="s">
        <v>18799</v>
      </c>
      <c r="E9711" t="s">
        <v>27310</v>
      </c>
      <c r="F9711" t="s">
        <v>32665</v>
      </c>
      <c r="G9711" t="s">
        <v>32671</v>
      </c>
      <c r="H9711" t="s">
        <v>12635</v>
      </c>
      <c r="I9711" t="s">
        <v>6168</v>
      </c>
      <c r="J9711" t="s">
        <v>38652</v>
      </c>
      <c r="K9711" t="s">
        <v>42283</v>
      </c>
      <c r="M9711" t="s">
        <v>44594</v>
      </c>
      <c r="N9711" t="s">
        <v>46569</v>
      </c>
      <c r="O9711" t="s">
        <v>46570</v>
      </c>
      <c r="P9711">
        <v>0</v>
      </c>
      <c r="Q9711">
        <v>3</v>
      </c>
      <c r="R9711" t="s">
        <v>46577</v>
      </c>
      <c r="S9711" t="s">
        <v>46808</v>
      </c>
      <c r="T9711" t="s">
        <v>48254</v>
      </c>
      <c r="U9711" t="s">
        <v>56605</v>
      </c>
      <c r="W9711" t="s">
        <v>44594</v>
      </c>
      <c r="X9711" t="s">
        <v>46578</v>
      </c>
    </row>
    <row r="9712" spans="1:24">
      <c r="A9712">
        <f>HYPERLINK("https://www.philgeps.gov.ph/GEPSNONPILOT/Tender/SplashBidNoticeAbstractUI.aspx?menuIndex=3&amp;refID=7054466&amp;Result=3","7054466")</f>
        <v>0</v>
      </c>
      <c r="B9712" t="s">
        <v>1939</v>
      </c>
      <c r="C9712" t="s">
        <v>12730</v>
      </c>
      <c r="D9712" t="s">
        <v>18782</v>
      </c>
      <c r="E9712" t="s">
        <v>27311</v>
      </c>
      <c r="F9712" t="s">
        <v>32664</v>
      </c>
      <c r="G9712" t="s">
        <v>32672</v>
      </c>
      <c r="H9712" t="s">
        <v>32683</v>
      </c>
      <c r="I9712" t="s">
        <v>10627</v>
      </c>
      <c r="J9712" t="s">
        <v>33051</v>
      </c>
      <c r="K9712" t="s">
        <v>42281</v>
      </c>
      <c r="L9712" t="s">
        <v>1939</v>
      </c>
      <c r="M9712" t="s">
        <v>44664</v>
      </c>
      <c r="N9712" t="s">
        <v>46569</v>
      </c>
      <c r="O9712" t="s">
        <v>46570</v>
      </c>
      <c r="P9712">
        <v>0</v>
      </c>
      <c r="Q9712">
        <v>1</v>
      </c>
      <c r="R9712" t="s">
        <v>46577</v>
      </c>
      <c r="S9712" t="s">
        <v>46808</v>
      </c>
      <c r="T9712" t="s">
        <v>48453</v>
      </c>
      <c r="U9712" t="s">
        <v>56606</v>
      </c>
      <c r="W9712" t="s">
        <v>44664</v>
      </c>
      <c r="X9712" t="s">
        <v>46578</v>
      </c>
    </row>
    <row r="9713" spans="1:24">
      <c r="A9713">
        <f>HYPERLINK("https://www.philgeps.gov.ph/GEPSNONPILOT/Tender/SplashBidNoticeAbstractUI.aspx?menuIndex=3&amp;refID=7054452&amp;Result=3","7054452")</f>
        <v>0</v>
      </c>
      <c r="B9713" t="s">
        <v>2736</v>
      </c>
      <c r="C9713" t="s">
        <v>12731</v>
      </c>
      <c r="D9713" t="s">
        <v>18807</v>
      </c>
      <c r="E9713" t="s">
        <v>19771</v>
      </c>
      <c r="F9713" t="s">
        <v>32664</v>
      </c>
      <c r="G9713" t="s">
        <v>32672</v>
      </c>
      <c r="H9713" t="s">
        <v>12635</v>
      </c>
      <c r="I9713" t="s">
        <v>32738</v>
      </c>
      <c r="J9713" t="s">
        <v>38653</v>
      </c>
      <c r="K9713" t="s">
        <v>42298</v>
      </c>
      <c r="M9713" t="s">
        <v>45570</v>
      </c>
      <c r="N9713" t="s">
        <v>46569</v>
      </c>
      <c r="O9713" t="s">
        <v>46570</v>
      </c>
      <c r="P9713">
        <v>0</v>
      </c>
      <c r="Q9713">
        <v>2</v>
      </c>
      <c r="R9713" t="s">
        <v>46577</v>
      </c>
      <c r="S9713" t="s">
        <v>46808</v>
      </c>
      <c r="T9713" t="s">
        <v>48468</v>
      </c>
      <c r="U9713" t="s">
        <v>56607</v>
      </c>
      <c r="V9713" t="s">
        <v>62640</v>
      </c>
      <c r="W9713" t="s">
        <v>45570</v>
      </c>
      <c r="X9713" t="s">
        <v>46578</v>
      </c>
    </row>
    <row r="9714" spans="1:24">
      <c r="A9714">
        <f>HYPERLINK("https://www.philgeps.gov.ph/GEPSNONPILOT/Tender/SplashBidNoticeAbstractUI.aspx?menuIndex=3&amp;refID=7054461&amp;Result=3","7054461")</f>
        <v>0</v>
      </c>
      <c r="B9714" t="s">
        <v>160</v>
      </c>
      <c r="C9714" t="s">
        <v>12732</v>
      </c>
      <c r="D9714" t="s">
        <v>18806</v>
      </c>
      <c r="E9714" t="s">
        <v>27312</v>
      </c>
      <c r="F9714" t="s">
        <v>32664</v>
      </c>
      <c r="G9714" t="s">
        <v>32672</v>
      </c>
      <c r="H9714" t="s">
        <v>12635</v>
      </c>
      <c r="I9714" t="s">
        <v>4439</v>
      </c>
      <c r="J9714" t="s">
        <v>38654</v>
      </c>
      <c r="K9714" t="s">
        <v>42281</v>
      </c>
      <c r="M9714" t="s">
        <v>42724</v>
      </c>
      <c r="N9714" t="s">
        <v>46569</v>
      </c>
      <c r="O9714" t="s">
        <v>46570</v>
      </c>
      <c r="P9714">
        <v>0</v>
      </c>
      <c r="Q9714">
        <v>0</v>
      </c>
      <c r="R9714" t="s">
        <v>46577</v>
      </c>
      <c r="S9714" t="s">
        <v>46808</v>
      </c>
      <c r="T9714" t="s">
        <v>48282</v>
      </c>
      <c r="U9714" t="s">
        <v>56608</v>
      </c>
      <c r="W9714" t="s">
        <v>42724</v>
      </c>
      <c r="X9714" t="s">
        <v>46578</v>
      </c>
    </row>
    <row r="9715" spans="1:24">
      <c r="A9715">
        <f>HYPERLINK("https://www.philgeps.gov.ph/GEPSNONPILOT/Tender/SplashBidNoticeAbstractUI.aspx?menuIndex=3&amp;refID=7054454&amp;Result=3","7054454")</f>
        <v>0</v>
      </c>
      <c r="B9715" t="s">
        <v>2718</v>
      </c>
      <c r="C9715" t="s">
        <v>12733</v>
      </c>
      <c r="D9715" t="s">
        <v>18844</v>
      </c>
      <c r="E9715" t="s">
        <v>27313</v>
      </c>
      <c r="F9715" t="s">
        <v>32664</v>
      </c>
      <c r="G9715" t="s">
        <v>32672</v>
      </c>
      <c r="H9715" t="s">
        <v>12635</v>
      </c>
      <c r="I9715" t="s">
        <v>10627</v>
      </c>
      <c r="J9715" t="s">
        <v>38655</v>
      </c>
      <c r="K9715" t="s">
        <v>42289</v>
      </c>
      <c r="M9715" t="s">
        <v>45545</v>
      </c>
      <c r="N9715" t="s">
        <v>46569</v>
      </c>
      <c r="O9715" t="s">
        <v>46570</v>
      </c>
      <c r="P9715">
        <v>0</v>
      </c>
      <c r="Q9715">
        <v>1</v>
      </c>
      <c r="R9715" t="s">
        <v>46577</v>
      </c>
      <c r="S9715" t="s">
        <v>46808</v>
      </c>
      <c r="T9715" t="s">
        <v>48376</v>
      </c>
      <c r="U9715" t="s">
        <v>56609</v>
      </c>
      <c r="W9715" t="s">
        <v>45545</v>
      </c>
      <c r="X9715" t="s">
        <v>46578</v>
      </c>
    </row>
    <row r="9716" spans="1:24">
      <c r="A9716">
        <f>HYPERLINK("https://www.philgeps.gov.ph/GEPSNONPILOT/Tender/SplashBidNoticeAbstractUI.aspx?menuIndex=3&amp;refID=7054446&amp;Result=3","7054446")</f>
        <v>0</v>
      </c>
      <c r="B9716" t="s">
        <v>2737</v>
      </c>
      <c r="C9716" t="s">
        <v>12734</v>
      </c>
      <c r="D9716" t="s">
        <v>18792</v>
      </c>
      <c r="E9716" t="s">
        <v>27314</v>
      </c>
      <c r="F9716" t="s">
        <v>32666</v>
      </c>
      <c r="G9716" t="s">
        <v>32674</v>
      </c>
      <c r="H9716" t="s">
        <v>12635</v>
      </c>
      <c r="I9716" t="s">
        <v>32764</v>
      </c>
      <c r="J9716" t="s">
        <v>32859</v>
      </c>
      <c r="K9716" t="s">
        <v>42283</v>
      </c>
      <c r="M9716" t="s">
        <v>45571</v>
      </c>
      <c r="N9716" t="s">
        <v>46569</v>
      </c>
      <c r="O9716" t="s">
        <v>46570</v>
      </c>
      <c r="P9716">
        <v>0</v>
      </c>
      <c r="Q9716">
        <v>5</v>
      </c>
      <c r="R9716" t="s">
        <v>46577</v>
      </c>
      <c r="S9716" t="s">
        <v>46808</v>
      </c>
      <c r="T9716" t="s">
        <v>48256</v>
      </c>
      <c r="U9716" t="s">
        <v>56610</v>
      </c>
      <c r="W9716" t="s">
        <v>45571</v>
      </c>
      <c r="X9716" t="s">
        <v>46578</v>
      </c>
    </row>
    <row r="9717" spans="1:24">
      <c r="A9717">
        <f>HYPERLINK("https://www.philgeps.gov.ph/GEPSNONPILOT/Tender/SplashBidNoticeAbstractUI.aspx?menuIndex=3&amp;refID=7054397&amp;Result=3","7054397")</f>
        <v>0</v>
      </c>
      <c r="B9717" t="s">
        <v>1397</v>
      </c>
      <c r="C9717" t="s">
        <v>7628</v>
      </c>
      <c r="D9717" t="s">
        <v>18803</v>
      </c>
      <c r="E9717" t="s">
        <v>21085</v>
      </c>
      <c r="F9717" t="s">
        <v>32664</v>
      </c>
      <c r="G9717" t="s">
        <v>32678</v>
      </c>
      <c r="H9717" t="s">
        <v>32681</v>
      </c>
      <c r="I9717" t="s">
        <v>32681</v>
      </c>
      <c r="J9717" t="s">
        <v>35601</v>
      </c>
      <c r="K9717" t="s">
        <v>42377</v>
      </c>
      <c r="M9717" t="s">
        <v>44054</v>
      </c>
      <c r="N9717" t="s">
        <v>46569</v>
      </c>
      <c r="O9717" t="s">
        <v>46570</v>
      </c>
      <c r="P9717">
        <v>0</v>
      </c>
      <c r="Q9717">
        <v>0</v>
      </c>
      <c r="R9717" t="s">
        <v>46577</v>
      </c>
      <c r="S9717" t="s">
        <v>46808</v>
      </c>
      <c r="T9717" t="s">
        <v>48492</v>
      </c>
      <c r="U9717" t="s">
        <v>52292</v>
      </c>
      <c r="W9717" t="s">
        <v>44054</v>
      </c>
      <c r="X9717" t="s">
        <v>46578</v>
      </c>
    </row>
    <row r="9718" spans="1:24">
      <c r="A9718">
        <f>HYPERLINK("https://www.philgeps.gov.ph/GEPSNONPILOT/Tender/SplashBidNoticeAbstractUI.aspx?menuIndex=3&amp;refID=7054395&amp;Result=3","7054395")</f>
        <v>0</v>
      </c>
      <c r="B9718" t="s">
        <v>2730</v>
      </c>
      <c r="C9718" t="s">
        <v>12735</v>
      </c>
      <c r="D9718" t="s">
        <v>18827</v>
      </c>
      <c r="E9718" t="s">
        <v>19552</v>
      </c>
      <c r="F9718" t="s">
        <v>32664</v>
      </c>
      <c r="G9718" t="s">
        <v>32672</v>
      </c>
      <c r="H9718" t="s">
        <v>32683</v>
      </c>
      <c r="I9718" t="s">
        <v>4439</v>
      </c>
      <c r="J9718" t="s">
        <v>32984</v>
      </c>
      <c r="K9718" t="s">
        <v>42289</v>
      </c>
      <c r="M9718" t="s">
        <v>45562</v>
      </c>
      <c r="N9718" t="s">
        <v>46569</v>
      </c>
      <c r="O9718" t="s">
        <v>46570</v>
      </c>
      <c r="P9718">
        <v>0</v>
      </c>
      <c r="Q9718">
        <v>1</v>
      </c>
      <c r="R9718" t="s">
        <v>46577</v>
      </c>
      <c r="S9718" t="s">
        <v>46808</v>
      </c>
      <c r="T9718" t="s">
        <v>48427</v>
      </c>
      <c r="U9718" t="s">
        <v>56611</v>
      </c>
      <c r="W9718" t="s">
        <v>45562</v>
      </c>
      <c r="X9718" t="s">
        <v>46578</v>
      </c>
    </row>
    <row r="9719" spans="1:24">
      <c r="A9719">
        <f>HYPERLINK("https://www.philgeps.gov.ph/GEPSNONPILOT/Tender/SplashBidNoticeAbstractUI.aspx?menuIndex=3&amp;refID=7054445&amp;Result=3","7054445")</f>
        <v>0</v>
      </c>
      <c r="B9719" t="s">
        <v>544</v>
      </c>
      <c r="C9719" t="s">
        <v>12736</v>
      </c>
      <c r="D9719" t="s">
        <v>18827</v>
      </c>
      <c r="E9719" t="s">
        <v>27315</v>
      </c>
      <c r="F9719" t="s">
        <v>32664</v>
      </c>
      <c r="G9719" t="s">
        <v>32671</v>
      </c>
      <c r="H9719" t="s">
        <v>12635</v>
      </c>
      <c r="I9719" t="s">
        <v>6628</v>
      </c>
      <c r="J9719" t="s">
        <v>34326</v>
      </c>
      <c r="K9719" t="s">
        <v>42281</v>
      </c>
      <c r="M9719" t="s">
        <v>43123</v>
      </c>
      <c r="N9719" t="s">
        <v>46569</v>
      </c>
      <c r="O9719" t="s">
        <v>46570</v>
      </c>
      <c r="P9719">
        <v>0</v>
      </c>
      <c r="Q9719">
        <v>8</v>
      </c>
      <c r="R9719" t="s">
        <v>46577</v>
      </c>
      <c r="S9719" t="s">
        <v>46808</v>
      </c>
      <c r="T9719" t="s">
        <v>48287</v>
      </c>
      <c r="U9719" t="s">
        <v>56612</v>
      </c>
      <c r="W9719" t="s">
        <v>43123</v>
      </c>
      <c r="X9719" t="s">
        <v>46578</v>
      </c>
    </row>
    <row r="9720" spans="1:24">
      <c r="A9720">
        <f>HYPERLINK("https://www.philgeps.gov.ph/GEPSNONPILOT/Tender/SplashBidNoticeAbstractUI.aspx?menuIndex=3&amp;refID=7054347&amp;Result=3","7054347")</f>
        <v>0</v>
      </c>
      <c r="B9720" t="s">
        <v>1385</v>
      </c>
      <c r="C9720" t="s">
        <v>12737</v>
      </c>
      <c r="D9720" t="s">
        <v>18827</v>
      </c>
      <c r="E9720" t="s">
        <v>27316</v>
      </c>
      <c r="F9720" t="s">
        <v>32664</v>
      </c>
      <c r="G9720" t="s">
        <v>32672</v>
      </c>
      <c r="H9720" t="s">
        <v>32683</v>
      </c>
      <c r="I9720" t="s">
        <v>10627</v>
      </c>
      <c r="J9720" t="s">
        <v>38601</v>
      </c>
      <c r="K9720" t="s">
        <v>42326</v>
      </c>
      <c r="L9720" t="s">
        <v>1385</v>
      </c>
      <c r="M9720" t="s">
        <v>44040</v>
      </c>
      <c r="N9720" t="s">
        <v>46569</v>
      </c>
      <c r="O9720" t="s">
        <v>46570</v>
      </c>
      <c r="P9720">
        <v>0</v>
      </c>
      <c r="Q9720">
        <v>0</v>
      </c>
      <c r="R9720" t="s">
        <v>46577</v>
      </c>
      <c r="S9720" t="s">
        <v>46808</v>
      </c>
      <c r="T9720" t="s">
        <v>48384</v>
      </c>
      <c r="U9720" t="s">
        <v>56531</v>
      </c>
      <c r="W9720" t="s">
        <v>44040</v>
      </c>
      <c r="X9720" t="s">
        <v>46578</v>
      </c>
    </row>
    <row r="9721" spans="1:24">
      <c r="A9721">
        <f>HYPERLINK("https://www.philgeps.gov.ph/GEPSNONPILOT/Tender/SplashBidNoticeAbstractUI.aspx?menuIndex=3&amp;refID=7054343&amp;Result=3","7054343")</f>
        <v>0</v>
      </c>
      <c r="B9721" t="s">
        <v>495</v>
      </c>
      <c r="C9721" t="s">
        <v>12738</v>
      </c>
      <c r="D9721" t="s">
        <v>18791</v>
      </c>
      <c r="E9721" t="s">
        <v>27317</v>
      </c>
      <c r="F9721" t="s">
        <v>32664</v>
      </c>
      <c r="G9721" t="s">
        <v>32672</v>
      </c>
      <c r="H9721" t="s">
        <v>32683</v>
      </c>
      <c r="I9721" t="s">
        <v>10627</v>
      </c>
      <c r="J9721" t="s">
        <v>38656</v>
      </c>
      <c r="K9721" t="s">
        <v>42327</v>
      </c>
      <c r="M9721" t="s">
        <v>43071</v>
      </c>
      <c r="N9721" t="s">
        <v>46569</v>
      </c>
      <c r="O9721" t="s">
        <v>46570</v>
      </c>
      <c r="P9721">
        <v>0</v>
      </c>
      <c r="Q9721">
        <v>3</v>
      </c>
      <c r="R9721" t="s">
        <v>46577</v>
      </c>
      <c r="S9721" t="s">
        <v>46808</v>
      </c>
      <c r="T9721" t="s">
        <v>48469</v>
      </c>
      <c r="U9721" t="s">
        <v>51708</v>
      </c>
      <c r="W9721" t="s">
        <v>43071</v>
      </c>
      <c r="X9721" t="s">
        <v>46578</v>
      </c>
    </row>
    <row r="9722" spans="1:24">
      <c r="A9722">
        <f>HYPERLINK("https://www.philgeps.gov.ph/GEPSNONPILOT/Tender/SplashBidNoticeAbstractUI.aspx?menuIndex=3&amp;refID=7054398&amp;Result=3","7054398")</f>
        <v>0</v>
      </c>
      <c r="B9722" t="s">
        <v>295</v>
      </c>
      <c r="C9722" t="s">
        <v>12739</v>
      </c>
      <c r="D9722" t="s">
        <v>18848</v>
      </c>
      <c r="E9722" t="s">
        <v>27318</v>
      </c>
      <c r="F9722" t="s">
        <v>32664</v>
      </c>
      <c r="G9722" t="s">
        <v>32672</v>
      </c>
      <c r="H9722" t="s">
        <v>12635</v>
      </c>
      <c r="I9722" t="s">
        <v>6168</v>
      </c>
      <c r="J9722" t="s">
        <v>38657</v>
      </c>
      <c r="K9722" t="s">
        <v>42297</v>
      </c>
      <c r="M9722" t="s">
        <v>45554</v>
      </c>
      <c r="N9722" t="s">
        <v>46569</v>
      </c>
      <c r="O9722" t="s">
        <v>46570</v>
      </c>
      <c r="P9722">
        <v>0</v>
      </c>
      <c r="Q9722">
        <v>0</v>
      </c>
      <c r="R9722" t="s">
        <v>46577</v>
      </c>
      <c r="S9722" t="s">
        <v>46808</v>
      </c>
      <c r="T9722" t="s">
        <v>48298</v>
      </c>
      <c r="U9722" t="s">
        <v>56613</v>
      </c>
      <c r="W9722" t="s">
        <v>45554</v>
      </c>
      <c r="X9722" t="s">
        <v>46578</v>
      </c>
    </row>
    <row r="9723" spans="1:24">
      <c r="A9723">
        <f>HYPERLINK("https://www.philgeps.gov.ph/GEPSNONPILOT/Tender/SplashBidNoticeAbstractUI.aspx?menuIndex=3&amp;refID=7054295&amp;Result=3","7054295")</f>
        <v>0</v>
      </c>
      <c r="B9723" t="s">
        <v>789</v>
      </c>
      <c r="C9723" t="s">
        <v>12740</v>
      </c>
      <c r="D9723" t="s">
        <v>18805</v>
      </c>
      <c r="E9723" t="s">
        <v>27319</v>
      </c>
      <c r="F9723" t="s">
        <v>32664</v>
      </c>
      <c r="G9723" t="s">
        <v>32672</v>
      </c>
      <c r="H9723" t="s">
        <v>12635</v>
      </c>
      <c r="I9723" t="s">
        <v>14442</v>
      </c>
      <c r="J9723" t="s">
        <v>38658</v>
      </c>
      <c r="K9723" t="s">
        <v>42298</v>
      </c>
      <c r="M9723" t="s">
        <v>43381</v>
      </c>
      <c r="N9723" t="s">
        <v>46569</v>
      </c>
      <c r="O9723" t="s">
        <v>46570</v>
      </c>
      <c r="P9723">
        <v>0</v>
      </c>
      <c r="Q9723">
        <v>0</v>
      </c>
      <c r="R9723" t="s">
        <v>46577</v>
      </c>
      <c r="S9723" t="s">
        <v>46808</v>
      </c>
      <c r="T9723" t="s">
        <v>48264</v>
      </c>
      <c r="U9723" t="s">
        <v>56614</v>
      </c>
      <c r="V9723" t="s">
        <v>61811</v>
      </c>
      <c r="W9723" t="s">
        <v>43381</v>
      </c>
      <c r="X9723" t="s">
        <v>46578</v>
      </c>
    </row>
    <row r="9724" spans="1:24">
      <c r="A9724">
        <f>HYPERLINK("https://www.philgeps.gov.ph/GEPSNONPILOT/Tender/SplashBidNoticeAbstractUI.aspx?menuIndex=3&amp;refID=7054305&amp;Result=3","7054305")</f>
        <v>0</v>
      </c>
      <c r="B9724" t="s">
        <v>2738</v>
      </c>
      <c r="C9724" t="s">
        <v>12741</v>
      </c>
      <c r="D9724" t="s">
        <v>18843</v>
      </c>
      <c r="E9724" t="s">
        <v>27320</v>
      </c>
      <c r="F9724" t="s">
        <v>32664</v>
      </c>
      <c r="G9724" t="s">
        <v>32672</v>
      </c>
      <c r="H9724" t="s">
        <v>12635</v>
      </c>
      <c r="I9724" t="s">
        <v>14442</v>
      </c>
      <c r="J9724" t="s">
        <v>38659</v>
      </c>
      <c r="K9724" t="s">
        <v>42283</v>
      </c>
      <c r="M9724" t="s">
        <v>45572</v>
      </c>
      <c r="N9724" t="s">
        <v>46569</v>
      </c>
      <c r="O9724" t="s">
        <v>46570</v>
      </c>
      <c r="P9724">
        <v>0</v>
      </c>
      <c r="Q9724">
        <v>9</v>
      </c>
      <c r="R9724" t="s">
        <v>46577</v>
      </c>
      <c r="S9724" t="s">
        <v>46808</v>
      </c>
      <c r="T9724" t="s">
        <v>48641</v>
      </c>
      <c r="U9724" t="s">
        <v>56615</v>
      </c>
      <c r="W9724" t="s">
        <v>45572</v>
      </c>
      <c r="X9724" t="s">
        <v>46578</v>
      </c>
    </row>
    <row r="9725" spans="1:24">
      <c r="A9725">
        <f>HYPERLINK("https://www.philgeps.gov.ph/GEPSNONPILOT/Tender/SplashBidNoticeAbstractUI.aspx?menuIndex=3&amp;refID=7054470&amp;Result=3","7054470")</f>
        <v>0</v>
      </c>
      <c r="B9725" t="s">
        <v>2739</v>
      </c>
      <c r="C9725" t="s">
        <v>12742</v>
      </c>
      <c r="E9725" t="s">
        <v>27321</v>
      </c>
      <c r="F9725" t="s">
        <v>32664</v>
      </c>
      <c r="G9725" t="s">
        <v>32671</v>
      </c>
      <c r="H9725" t="s">
        <v>12635</v>
      </c>
      <c r="I9725" t="s">
        <v>32752</v>
      </c>
      <c r="J9725" t="s">
        <v>38660</v>
      </c>
      <c r="K9725" t="s">
        <v>42283</v>
      </c>
      <c r="M9725" t="s">
        <v>45573</v>
      </c>
      <c r="N9725" t="s">
        <v>46569</v>
      </c>
      <c r="O9725" t="s">
        <v>46570</v>
      </c>
      <c r="P9725">
        <v>0</v>
      </c>
      <c r="Q9725">
        <v>0</v>
      </c>
      <c r="R9725" t="s">
        <v>46577</v>
      </c>
      <c r="S9725" t="s">
        <v>46808</v>
      </c>
      <c r="T9725" t="s">
        <v>48642</v>
      </c>
      <c r="U9725" t="s">
        <v>56616</v>
      </c>
      <c r="V9725" t="s">
        <v>62641</v>
      </c>
      <c r="W9725" t="s">
        <v>45573</v>
      </c>
      <c r="X9725" t="s">
        <v>46578</v>
      </c>
    </row>
    <row r="9726" spans="1:24">
      <c r="A9726">
        <f>HYPERLINK("https://www.philgeps.gov.ph/GEPSNONPILOT/Tender/SplashBidNoticeAbstractUI.aspx?menuIndex=3&amp;refID=7054294&amp;Result=3","7054294")</f>
        <v>0</v>
      </c>
      <c r="B9726" t="s">
        <v>387</v>
      </c>
      <c r="C9726" t="s">
        <v>12743</v>
      </c>
      <c r="D9726" t="s">
        <v>18798</v>
      </c>
      <c r="E9726" t="s">
        <v>27322</v>
      </c>
      <c r="F9726" t="s">
        <v>32664</v>
      </c>
      <c r="G9726" t="s">
        <v>32671</v>
      </c>
      <c r="H9726" t="s">
        <v>12635</v>
      </c>
      <c r="I9726" t="s">
        <v>8797</v>
      </c>
      <c r="J9726" t="s">
        <v>38661</v>
      </c>
      <c r="K9726" t="s">
        <v>42283</v>
      </c>
      <c r="M9726" t="s">
        <v>45559</v>
      </c>
      <c r="N9726" t="s">
        <v>46569</v>
      </c>
      <c r="O9726" t="s">
        <v>46570</v>
      </c>
      <c r="P9726">
        <v>0</v>
      </c>
      <c r="Q9726">
        <v>1</v>
      </c>
      <c r="R9726" t="s">
        <v>46577</v>
      </c>
      <c r="S9726" t="s">
        <v>46808</v>
      </c>
      <c r="T9726" t="s">
        <v>48473</v>
      </c>
      <c r="U9726" t="s">
        <v>56617</v>
      </c>
      <c r="V9726" t="s">
        <v>61712</v>
      </c>
      <c r="W9726" t="s">
        <v>45559</v>
      </c>
      <c r="X9726" t="s">
        <v>46578</v>
      </c>
    </row>
    <row r="9727" spans="1:24">
      <c r="A9727">
        <f>HYPERLINK("https://www.philgeps.gov.ph/GEPSNONPILOT/Tender/SplashBidNoticeAbstractUI.aspx?menuIndex=3&amp;refID=7054243&amp;Result=3","7054243")</f>
        <v>0</v>
      </c>
      <c r="B9727" t="s">
        <v>495</v>
      </c>
      <c r="C9727" t="s">
        <v>12744</v>
      </c>
      <c r="D9727" t="s">
        <v>18791</v>
      </c>
      <c r="E9727" t="s">
        <v>27323</v>
      </c>
      <c r="F9727" t="s">
        <v>32664</v>
      </c>
      <c r="G9727" t="s">
        <v>32672</v>
      </c>
      <c r="H9727" t="s">
        <v>32683</v>
      </c>
      <c r="I9727" t="s">
        <v>10627</v>
      </c>
      <c r="J9727" t="s">
        <v>38662</v>
      </c>
      <c r="K9727" t="s">
        <v>42342</v>
      </c>
      <c r="M9727" t="s">
        <v>43071</v>
      </c>
      <c r="N9727" t="s">
        <v>46569</v>
      </c>
      <c r="O9727" t="s">
        <v>46570</v>
      </c>
      <c r="P9727">
        <v>0</v>
      </c>
      <c r="Q9727">
        <v>4</v>
      </c>
      <c r="R9727" t="s">
        <v>46577</v>
      </c>
      <c r="S9727" t="s">
        <v>46808</v>
      </c>
      <c r="T9727" t="s">
        <v>48469</v>
      </c>
      <c r="U9727" t="s">
        <v>51708</v>
      </c>
      <c r="W9727" t="s">
        <v>43071</v>
      </c>
      <c r="X9727" t="s">
        <v>46578</v>
      </c>
    </row>
    <row r="9728" spans="1:24">
      <c r="A9728">
        <f>HYPERLINK("https://www.philgeps.gov.ph/GEPSNONPILOT/Tender/SplashBidNoticeAbstractUI.aspx?menuIndex=3&amp;refID=7054293&amp;Result=3","7054293")</f>
        <v>0</v>
      </c>
      <c r="B9728" t="s">
        <v>2726</v>
      </c>
      <c r="C9728" t="s">
        <v>12745</v>
      </c>
      <c r="D9728" t="s">
        <v>18794</v>
      </c>
      <c r="E9728" t="s">
        <v>27324</v>
      </c>
      <c r="F9728" t="s">
        <v>32664</v>
      </c>
      <c r="G9728" t="s">
        <v>32671</v>
      </c>
      <c r="H9728" t="s">
        <v>12635</v>
      </c>
      <c r="I9728" t="s">
        <v>4333</v>
      </c>
      <c r="J9728" t="s">
        <v>32842</v>
      </c>
      <c r="K9728" t="s">
        <v>42281</v>
      </c>
      <c r="M9728" t="s">
        <v>45556</v>
      </c>
      <c r="N9728" t="s">
        <v>46569</v>
      </c>
      <c r="O9728" t="s">
        <v>46570</v>
      </c>
      <c r="P9728">
        <v>0</v>
      </c>
      <c r="Q9728">
        <v>1</v>
      </c>
      <c r="R9728" t="s">
        <v>46577</v>
      </c>
      <c r="S9728" t="s">
        <v>46808</v>
      </c>
      <c r="T9728" t="s">
        <v>48448</v>
      </c>
      <c r="U9728" t="s">
        <v>56618</v>
      </c>
      <c r="W9728" t="s">
        <v>45556</v>
      </c>
      <c r="X9728" t="s">
        <v>46578</v>
      </c>
    </row>
    <row r="9729" spans="1:24">
      <c r="A9729">
        <f>HYPERLINK("https://www.philgeps.gov.ph/GEPSNONPILOT/Tender/SplashBidNoticeAbstractUI.aspx?menuIndex=3&amp;refID=7054251&amp;Result=3","7054251")</f>
        <v>0</v>
      </c>
      <c r="B9729" t="s">
        <v>2457</v>
      </c>
      <c r="C9729" t="s">
        <v>12746</v>
      </c>
      <c r="D9729" t="s">
        <v>18801</v>
      </c>
      <c r="E9729" t="s">
        <v>22416</v>
      </c>
      <c r="F9729" t="s">
        <v>32664</v>
      </c>
      <c r="G9729" t="s">
        <v>32672</v>
      </c>
      <c r="H9729" t="s">
        <v>12635</v>
      </c>
      <c r="I9729" t="s">
        <v>32721</v>
      </c>
      <c r="J9729" t="s">
        <v>32930</v>
      </c>
      <c r="K9729" t="s">
        <v>42298</v>
      </c>
      <c r="M9729" t="s">
        <v>45253</v>
      </c>
      <c r="N9729" t="s">
        <v>46569</v>
      </c>
      <c r="O9729" t="s">
        <v>46570</v>
      </c>
      <c r="P9729">
        <v>0</v>
      </c>
      <c r="Q9729">
        <v>3</v>
      </c>
      <c r="R9729" t="s">
        <v>46577</v>
      </c>
      <c r="S9729" t="s">
        <v>46808</v>
      </c>
      <c r="T9729" t="s">
        <v>48256</v>
      </c>
      <c r="U9729" t="s">
        <v>56619</v>
      </c>
      <c r="W9729" t="s">
        <v>45253</v>
      </c>
      <c r="X9729" t="s">
        <v>46578</v>
      </c>
    </row>
    <row r="9730" spans="1:24">
      <c r="A9730">
        <f>HYPERLINK("https://www.philgeps.gov.ph/GEPSNONPILOT/Tender/SplashBidNoticeAbstractUI.aspx?menuIndex=3&amp;refID=7054196&amp;Result=3","7054196")</f>
        <v>0</v>
      </c>
      <c r="B9730" t="s">
        <v>2740</v>
      </c>
      <c r="C9730" t="s">
        <v>12747</v>
      </c>
      <c r="D9730" t="s">
        <v>18816</v>
      </c>
      <c r="E9730" t="s">
        <v>20098</v>
      </c>
      <c r="F9730" t="s">
        <v>32664</v>
      </c>
      <c r="G9730" t="s">
        <v>32672</v>
      </c>
      <c r="H9730" t="s">
        <v>12635</v>
      </c>
      <c r="I9730" t="s">
        <v>4439</v>
      </c>
      <c r="J9730" t="s">
        <v>38663</v>
      </c>
      <c r="K9730" t="s">
        <v>42303</v>
      </c>
      <c r="M9730" t="s">
        <v>45574</v>
      </c>
      <c r="N9730" t="s">
        <v>46569</v>
      </c>
      <c r="O9730" t="s">
        <v>46570</v>
      </c>
      <c r="P9730">
        <v>0</v>
      </c>
      <c r="Q9730">
        <v>0</v>
      </c>
      <c r="R9730" t="s">
        <v>46577</v>
      </c>
      <c r="S9730" t="s">
        <v>46808</v>
      </c>
      <c r="T9730" t="s">
        <v>48215</v>
      </c>
      <c r="U9730" t="s">
        <v>56620</v>
      </c>
      <c r="W9730" t="s">
        <v>45574</v>
      </c>
      <c r="X9730" t="s">
        <v>46578</v>
      </c>
    </row>
    <row r="9731" spans="1:24">
      <c r="A9731">
        <f>HYPERLINK("https://www.philgeps.gov.ph/GEPSNONPILOT/Tender/SplashBidNoticeAbstractUI.aspx?menuIndex=3&amp;refID=7054249&amp;Result=3","7054249")</f>
        <v>0</v>
      </c>
      <c r="B9731" t="s">
        <v>2645</v>
      </c>
      <c r="C9731" t="s">
        <v>12391</v>
      </c>
      <c r="D9731" t="s">
        <v>18838</v>
      </c>
      <c r="E9731" t="s">
        <v>27325</v>
      </c>
      <c r="F9731" t="s">
        <v>32664</v>
      </c>
      <c r="G9731" t="s">
        <v>32675</v>
      </c>
      <c r="H9731" t="s">
        <v>12635</v>
      </c>
      <c r="I9731" t="s">
        <v>6223</v>
      </c>
      <c r="J9731" t="s">
        <v>38664</v>
      </c>
      <c r="K9731" t="s">
        <v>42281</v>
      </c>
      <c r="M9731" t="s">
        <v>45466</v>
      </c>
      <c r="N9731" t="s">
        <v>46569</v>
      </c>
      <c r="O9731" t="s">
        <v>46570</v>
      </c>
      <c r="P9731">
        <v>0</v>
      </c>
      <c r="Q9731">
        <v>3</v>
      </c>
      <c r="R9731" t="s">
        <v>46577</v>
      </c>
      <c r="S9731" t="s">
        <v>46808</v>
      </c>
      <c r="T9731" t="s">
        <v>48256</v>
      </c>
      <c r="U9731" t="s">
        <v>56621</v>
      </c>
      <c r="V9731" t="s">
        <v>62642</v>
      </c>
      <c r="W9731" t="s">
        <v>45466</v>
      </c>
      <c r="X9731" t="s">
        <v>46578</v>
      </c>
    </row>
    <row r="9732" spans="1:24">
      <c r="A9732">
        <f>HYPERLINK("https://www.philgeps.gov.ph/GEPSNONPILOT/Tender/SplashBidNoticeAbstractUI.aspx?menuIndex=3&amp;refID=7054195&amp;Result=3","7054195")</f>
        <v>0</v>
      </c>
      <c r="B9732" t="s">
        <v>2726</v>
      </c>
      <c r="C9732" t="s">
        <v>12748</v>
      </c>
      <c r="D9732" t="s">
        <v>18794</v>
      </c>
      <c r="E9732" t="s">
        <v>27326</v>
      </c>
      <c r="F9732" t="s">
        <v>32664</v>
      </c>
      <c r="G9732" t="s">
        <v>32671</v>
      </c>
      <c r="H9732" t="s">
        <v>12635</v>
      </c>
      <c r="I9732" t="s">
        <v>32698</v>
      </c>
      <c r="J9732" t="s">
        <v>33950</v>
      </c>
      <c r="K9732" t="s">
        <v>42281</v>
      </c>
      <c r="M9732" t="s">
        <v>45556</v>
      </c>
      <c r="N9732" t="s">
        <v>46569</v>
      </c>
      <c r="O9732" t="s">
        <v>46570</v>
      </c>
      <c r="P9732">
        <v>0</v>
      </c>
      <c r="Q9732">
        <v>0</v>
      </c>
      <c r="R9732" t="s">
        <v>46577</v>
      </c>
      <c r="S9732" t="s">
        <v>46808</v>
      </c>
      <c r="T9732" t="s">
        <v>48448</v>
      </c>
      <c r="U9732" t="s">
        <v>56622</v>
      </c>
      <c r="W9732" t="s">
        <v>45556</v>
      </c>
      <c r="X9732" t="s">
        <v>46578</v>
      </c>
    </row>
    <row r="9733" spans="1:24">
      <c r="A9733">
        <f>HYPERLINK("https://www.philgeps.gov.ph/GEPSNONPILOT/Tender/SplashBidNoticeAbstractUI.aspx?menuIndex=3&amp;refID=7054194&amp;Result=3","7054194")</f>
        <v>0</v>
      </c>
      <c r="B9733" t="s">
        <v>379</v>
      </c>
      <c r="C9733" t="s">
        <v>12749</v>
      </c>
      <c r="D9733" t="s">
        <v>18837</v>
      </c>
      <c r="E9733" t="s">
        <v>27327</v>
      </c>
      <c r="F9733" t="s">
        <v>32664</v>
      </c>
      <c r="G9733" t="s">
        <v>32672</v>
      </c>
      <c r="H9733" t="s">
        <v>32683</v>
      </c>
      <c r="I9733" t="s">
        <v>10627</v>
      </c>
      <c r="J9733" t="s">
        <v>38665</v>
      </c>
      <c r="K9733" t="s">
        <v>42290</v>
      </c>
      <c r="M9733" t="s">
        <v>42949</v>
      </c>
      <c r="N9733" t="s">
        <v>46569</v>
      </c>
      <c r="O9733" t="s">
        <v>46570</v>
      </c>
      <c r="P9733">
        <v>0</v>
      </c>
      <c r="Q9733">
        <v>1</v>
      </c>
      <c r="R9733" t="s">
        <v>46577</v>
      </c>
      <c r="S9733" t="s">
        <v>46808</v>
      </c>
      <c r="T9733" t="s">
        <v>48424</v>
      </c>
      <c r="U9733" t="s">
        <v>56623</v>
      </c>
      <c r="W9733" t="s">
        <v>42949</v>
      </c>
      <c r="X9733" t="s">
        <v>46578</v>
      </c>
    </row>
    <row r="9734" spans="1:24">
      <c r="A9734">
        <f>HYPERLINK("https://www.philgeps.gov.ph/GEPSNONPILOT/Tender/SplashBidNoticeAbstractUI.aspx?menuIndex=3&amp;refID=7054237&amp;Result=3","7054237")</f>
        <v>0</v>
      </c>
      <c r="B9734" t="s">
        <v>45</v>
      </c>
      <c r="C9734" t="s">
        <v>12750</v>
      </c>
      <c r="D9734" t="s">
        <v>18789</v>
      </c>
      <c r="E9734" t="s">
        <v>27328</v>
      </c>
      <c r="F9734" t="s">
        <v>32664</v>
      </c>
      <c r="G9734" t="s">
        <v>32672</v>
      </c>
      <c r="H9734" t="s">
        <v>12635</v>
      </c>
      <c r="I9734" t="s">
        <v>4439</v>
      </c>
      <c r="J9734" t="s">
        <v>38666</v>
      </c>
      <c r="K9734" t="s">
        <v>42289</v>
      </c>
      <c r="M9734" t="s">
        <v>42607</v>
      </c>
      <c r="N9734" t="s">
        <v>46569</v>
      </c>
      <c r="O9734" t="s">
        <v>46570</v>
      </c>
      <c r="P9734">
        <v>0</v>
      </c>
      <c r="Q9734">
        <v>2</v>
      </c>
      <c r="R9734" t="s">
        <v>46577</v>
      </c>
      <c r="S9734" t="s">
        <v>46808</v>
      </c>
      <c r="T9734" t="s">
        <v>48467</v>
      </c>
      <c r="U9734" t="s">
        <v>56624</v>
      </c>
      <c r="W9734" t="s">
        <v>42607</v>
      </c>
      <c r="X9734" t="s">
        <v>46578</v>
      </c>
    </row>
    <row r="9735" spans="1:24">
      <c r="A9735">
        <f>HYPERLINK("https://www.philgeps.gov.ph/GEPSNONPILOT/Tender/SplashBidNoticeAbstractUI.aspx?menuIndex=3&amp;refID=7054188&amp;Result=3","7054188")</f>
        <v>0</v>
      </c>
      <c r="B9735" t="s">
        <v>1112</v>
      </c>
      <c r="C9735" t="s">
        <v>12751</v>
      </c>
      <c r="D9735" t="s">
        <v>18842</v>
      </c>
      <c r="E9735" t="s">
        <v>27329</v>
      </c>
      <c r="F9735" t="s">
        <v>32664</v>
      </c>
      <c r="G9735" t="s">
        <v>32674</v>
      </c>
      <c r="H9735" t="s">
        <v>12635</v>
      </c>
      <c r="I9735" t="s">
        <v>32708</v>
      </c>
      <c r="J9735" t="s">
        <v>32898</v>
      </c>
      <c r="K9735" t="s">
        <v>42284</v>
      </c>
      <c r="M9735" t="s">
        <v>43739</v>
      </c>
      <c r="N9735" t="s">
        <v>46569</v>
      </c>
      <c r="O9735" t="s">
        <v>46570</v>
      </c>
      <c r="P9735">
        <v>0</v>
      </c>
      <c r="Q9735">
        <v>10</v>
      </c>
      <c r="R9735" t="s">
        <v>46577</v>
      </c>
      <c r="S9735" t="s">
        <v>46808</v>
      </c>
      <c r="T9735" t="s">
        <v>48643</v>
      </c>
      <c r="U9735" t="s">
        <v>56625</v>
      </c>
      <c r="V9735" t="s">
        <v>62613</v>
      </c>
      <c r="W9735" t="s">
        <v>43739</v>
      </c>
      <c r="X9735" t="s">
        <v>46578</v>
      </c>
    </row>
    <row r="9736" spans="1:24">
      <c r="A9736">
        <f>HYPERLINK("https://www.philgeps.gov.ph/GEPSNONPILOT/Tender/SplashBidNoticeAbstractUI.aspx?menuIndex=3&amp;refID=7054467&amp;Result=3","7054467")</f>
        <v>0</v>
      </c>
      <c r="B9736" t="s">
        <v>2741</v>
      </c>
      <c r="C9736" t="s">
        <v>12752</v>
      </c>
      <c r="D9736" t="s">
        <v>18799</v>
      </c>
      <c r="E9736" t="s">
        <v>20999</v>
      </c>
      <c r="F9736" t="s">
        <v>32664</v>
      </c>
      <c r="G9736" t="s">
        <v>32674</v>
      </c>
      <c r="H9736" t="s">
        <v>12635</v>
      </c>
      <c r="I9736" t="s">
        <v>6168</v>
      </c>
      <c r="J9736" t="s">
        <v>38667</v>
      </c>
      <c r="K9736" t="s">
        <v>42309</v>
      </c>
      <c r="M9736" t="s">
        <v>45575</v>
      </c>
      <c r="N9736" t="s">
        <v>46569</v>
      </c>
      <c r="O9736" t="s">
        <v>46570</v>
      </c>
      <c r="P9736">
        <v>0</v>
      </c>
      <c r="Q9736">
        <v>1</v>
      </c>
      <c r="R9736" t="s">
        <v>46577</v>
      </c>
      <c r="S9736" t="s">
        <v>46808</v>
      </c>
      <c r="T9736" t="s">
        <v>48427</v>
      </c>
      <c r="U9736" t="s">
        <v>54369</v>
      </c>
      <c r="W9736" t="s">
        <v>45575</v>
      </c>
      <c r="X9736" t="s">
        <v>46578</v>
      </c>
    </row>
    <row r="9737" spans="1:24">
      <c r="A9737">
        <f>HYPERLINK("https://www.philgeps.gov.ph/GEPSNONPILOT/Tender/SplashBidNoticeAbstractUI.aspx?menuIndex=3&amp;refID=7054181&amp;Result=3","7054181")</f>
        <v>0</v>
      </c>
      <c r="B9737" t="s">
        <v>1467</v>
      </c>
      <c r="C9737" t="s">
        <v>12753</v>
      </c>
      <c r="D9737" t="s">
        <v>18809</v>
      </c>
      <c r="E9737" t="s">
        <v>27330</v>
      </c>
      <c r="F9737" t="s">
        <v>32664</v>
      </c>
      <c r="G9737" t="s">
        <v>32671</v>
      </c>
      <c r="H9737" t="s">
        <v>12635</v>
      </c>
      <c r="I9737" t="s">
        <v>32701</v>
      </c>
      <c r="J9737" t="s">
        <v>38648</v>
      </c>
      <c r="K9737" t="s">
        <v>42347</v>
      </c>
      <c r="M9737" t="s">
        <v>44129</v>
      </c>
      <c r="N9737" t="s">
        <v>46569</v>
      </c>
      <c r="O9737" t="s">
        <v>46570</v>
      </c>
      <c r="P9737">
        <v>0</v>
      </c>
      <c r="Q9737">
        <v>0</v>
      </c>
      <c r="R9737" t="s">
        <v>46577</v>
      </c>
      <c r="S9737" t="s">
        <v>46808</v>
      </c>
      <c r="T9737" t="s">
        <v>48376</v>
      </c>
      <c r="U9737" t="s">
        <v>56626</v>
      </c>
      <c r="W9737" t="s">
        <v>44129</v>
      </c>
      <c r="X9737" t="s">
        <v>46578</v>
      </c>
    </row>
    <row r="9738" spans="1:24">
      <c r="A9738">
        <f>HYPERLINK("https://www.philgeps.gov.ph/GEPSNONPILOT/Tender/SplashBidNoticeAbstractUI.aspx?menuIndex=3&amp;refID=7054176&amp;Result=3","7054176")</f>
        <v>0</v>
      </c>
      <c r="B9738" t="s">
        <v>1115</v>
      </c>
      <c r="C9738" t="s">
        <v>12754</v>
      </c>
      <c r="E9738" t="s">
        <v>27331</v>
      </c>
      <c r="F9738" t="s">
        <v>32664</v>
      </c>
      <c r="G9738" t="s">
        <v>32671</v>
      </c>
      <c r="H9738" t="s">
        <v>12635</v>
      </c>
      <c r="I9738" t="s">
        <v>4439</v>
      </c>
      <c r="J9738" t="s">
        <v>38668</v>
      </c>
      <c r="K9738" t="s">
        <v>42283</v>
      </c>
      <c r="M9738" t="s">
        <v>44252</v>
      </c>
      <c r="N9738" t="s">
        <v>46569</v>
      </c>
      <c r="O9738" t="s">
        <v>46570</v>
      </c>
      <c r="P9738">
        <v>0</v>
      </c>
      <c r="Q9738">
        <v>1</v>
      </c>
      <c r="R9738" t="s">
        <v>46577</v>
      </c>
      <c r="S9738" t="s">
        <v>46808</v>
      </c>
      <c r="T9738" t="s">
        <v>48290</v>
      </c>
      <c r="U9738" t="s">
        <v>52416</v>
      </c>
      <c r="W9738" t="s">
        <v>44252</v>
      </c>
      <c r="X9738" t="s">
        <v>46578</v>
      </c>
    </row>
    <row r="9739" spans="1:24">
      <c r="A9739">
        <f>HYPERLINK("https://www.philgeps.gov.ph/GEPSNONPILOT/Tender/SplashBidNoticeAbstractUI.aspx?menuIndex=3&amp;refID=7054172&amp;Result=3","7054172")</f>
        <v>0</v>
      </c>
      <c r="B9739" t="s">
        <v>1298</v>
      </c>
      <c r="C9739" t="s">
        <v>12755</v>
      </c>
      <c r="D9739" t="s">
        <v>18848</v>
      </c>
      <c r="E9739" t="s">
        <v>27332</v>
      </c>
      <c r="F9739" t="s">
        <v>32664</v>
      </c>
      <c r="G9739" t="s">
        <v>32672</v>
      </c>
      <c r="H9739" t="s">
        <v>32681</v>
      </c>
      <c r="I9739" t="s">
        <v>32686</v>
      </c>
      <c r="J9739" t="s">
        <v>38669</v>
      </c>
      <c r="K9739" t="s">
        <v>42297</v>
      </c>
      <c r="M9739" t="s">
        <v>43942</v>
      </c>
      <c r="N9739" t="s">
        <v>46569</v>
      </c>
      <c r="O9739" t="s">
        <v>46570</v>
      </c>
      <c r="P9739">
        <v>0</v>
      </c>
      <c r="Q9739">
        <v>2</v>
      </c>
      <c r="R9739" t="s">
        <v>46577</v>
      </c>
      <c r="S9739" t="s">
        <v>46808</v>
      </c>
      <c r="T9739" t="s">
        <v>48254</v>
      </c>
      <c r="U9739" t="s">
        <v>56627</v>
      </c>
      <c r="V9739" t="s">
        <v>62643</v>
      </c>
      <c r="W9739" t="s">
        <v>43942</v>
      </c>
      <c r="X9739" t="s">
        <v>46578</v>
      </c>
    </row>
    <row r="9740" spans="1:24">
      <c r="A9740">
        <f>HYPERLINK("https://www.philgeps.gov.ph/GEPSNONPILOT/Tender/SplashBidNoticeAbstractUI.aspx?menuIndex=3&amp;refID=7054129&amp;Result=3","7054129")</f>
        <v>0</v>
      </c>
      <c r="B9740" t="s">
        <v>2446</v>
      </c>
      <c r="C9740" t="s">
        <v>12756</v>
      </c>
      <c r="E9740" t="s">
        <v>27333</v>
      </c>
      <c r="F9740" t="s">
        <v>32664</v>
      </c>
      <c r="G9740" t="s">
        <v>32672</v>
      </c>
      <c r="H9740" t="s">
        <v>12635</v>
      </c>
      <c r="I9740" t="s">
        <v>32704</v>
      </c>
      <c r="J9740" t="s">
        <v>38670</v>
      </c>
      <c r="K9740" t="s">
        <v>42283</v>
      </c>
      <c r="M9740" t="s">
        <v>45239</v>
      </c>
      <c r="N9740" t="s">
        <v>46569</v>
      </c>
      <c r="O9740" t="s">
        <v>46570</v>
      </c>
      <c r="Q9740">
        <v>19</v>
      </c>
      <c r="R9740" t="s">
        <v>46577</v>
      </c>
      <c r="S9740" t="s">
        <v>46855</v>
      </c>
      <c r="T9740" t="s">
        <v>48635</v>
      </c>
      <c r="U9740" t="s">
        <v>56628</v>
      </c>
      <c r="V9740" t="s">
        <v>62614</v>
      </c>
      <c r="W9740" t="s">
        <v>45239</v>
      </c>
      <c r="X9740" t="s">
        <v>46578</v>
      </c>
    </row>
    <row r="9741" spans="1:24">
      <c r="A9741">
        <f>HYPERLINK("https://www.philgeps.gov.ph/GEPSNONPILOT/Tender/SplashBidNoticeAbstractUI.aspx?menuIndex=3&amp;refID=7054495&amp;Result=3","7054495")</f>
        <v>0</v>
      </c>
      <c r="B9741" t="s">
        <v>472</v>
      </c>
      <c r="C9741" t="s">
        <v>12757</v>
      </c>
      <c r="D9741" t="s">
        <v>18804</v>
      </c>
      <c r="E9741" t="s">
        <v>27334</v>
      </c>
      <c r="F9741" t="s">
        <v>32664</v>
      </c>
      <c r="G9741" t="s">
        <v>32671</v>
      </c>
      <c r="H9741" t="s">
        <v>12635</v>
      </c>
      <c r="I9741" t="s">
        <v>4439</v>
      </c>
      <c r="J9741" t="s">
        <v>33117</v>
      </c>
      <c r="K9741" t="s">
        <v>42303</v>
      </c>
      <c r="M9741" t="s">
        <v>43047</v>
      </c>
      <c r="N9741" t="s">
        <v>46569</v>
      </c>
      <c r="O9741" t="s">
        <v>46570</v>
      </c>
      <c r="P9741">
        <v>0</v>
      </c>
      <c r="Q9741">
        <v>0</v>
      </c>
      <c r="R9741" t="s">
        <v>46577</v>
      </c>
      <c r="S9741" t="s">
        <v>46808</v>
      </c>
      <c r="T9741" t="s">
        <v>48287</v>
      </c>
      <c r="U9741" t="s">
        <v>56629</v>
      </c>
      <c r="V9741" t="s">
        <v>61731</v>
      </c>
      <c r="W9741" t="s">
        <v>43047</v>
      </c>
      <c r="X9741" t="s">
        <v>46578</v>
      </c>
    </row>
    <row r="9742" spans="1:24">
      <c r="A9742">
        <f>HYPERLINK("https://www.philgeps.gov.ph/GEPSNONPILOT/Tender/SplashBidNoticeAbstractUI.aspx?menuIndex=3&amp;refID=7054192&amp;Result=3","7054192")</f>
        <v>0</v>
      </c>
      <c r="B9742" t="s">
        <v>295</v>
      </c>
      <c r="C9742" t="s">
        <v>12758</v>
      </c>
      <c r="D9742" t="s">
        <v>18848</v>
      </c>
      <c r="E9742" t="s">
        <v>27335</v>
      </c>
      <c r="F9742" t="s">
        <v>32664</v>
      </c>
      <c r="G9742" t="s">
        <v>32672</v>
      </c>
      <c r="H9742" t="s">
        <v>12635</v>
      </c>
      <c r="I9742" t="s">
        <v>6168</v>
      </c>
      <c r="J9742" t="s">
        <v>38671</v>
      </c>
      <c r="K9742" t="s">
        <v>42297</v>
      </c>
      <c r="M9742" t="s">
        <v>45554</v>
      </c>
      <c r="N9742" t="s">
        <v>46569</v>
      </c>
      <c r="O9742" t="s">
        <v>46570</v>
      </c>
      <c r="P9742">
        <v>0</v>
      </c>
      <c r="Q9742">
        <v>0</v>
      </c>
      <c r="R9742" t="s">
        <v>46577</v>
      </c>
      <c r="S9742" t="s">
        <v>46808</v>
      </c>
      <c r="T9742" t="s">
        <v>48298</v>
      </c>
      <c r="U9742" t="s">
        <v>56630</v>
      </c>
      <c r="W9742" t="s">
        <v>45554</v>
      </c>
      <c r="X9742" t="s">
        <v>46578</v>
      </c>
    </row>
    <row r="9743" spans="1:24">
      <c r="A9743">
        <f>HYPERLINK("https://www.philgeps.gov.ph/GEPSNONPILOT/Tender/SplashBidNoticeAbstractUI.aspx?menuIndex=3&amp;refID=7054191&amp;Result=3","7054191")</f>
        <v>0</v>
      </c>
      <c r="B9743" t="s">
        <v>1786</v>
      </c>
      <c r="C9743" t="s">
        <v>12759</v>
      </c>
      <c r="D9743" t="s">
        <v>18814</v>
      </c>
      <c r="E9743" t="s">
        <v>27336</v>
      </c>
      <c r="F9743" t="s">
        <v>32665</v>
      </c>
      <c r="G9743" t="s">
        <v>32672</v>
      </c>
      <c r="H9743" t="s">
        <v>12635</v>
      </c>
      <c r="I9743" t="s">
        <v>32704</v>
      </c>
      <c r="J9743" t="s">
        <v>38672</v>
      </c>
      <c r="K9743" t="s">
        <v>42311</v>
      </c>
      <c r="M9743" t="s">
        <v>44488</v>
      </c>
      <c r="N9743" t="s">
        <v>46569</v>
      </c>
      <c r="O9743" t="s">
        <v>46570</v>
      </c>
      <c r="P9743">
        <v>0</v>
      </c>
      <c r="Q9743">
        <v>9</v>
      </c>
      <c r="R9743" t="s">
        <v>46577</v>
      </c>
      <c r="S9743" t="s">
        <v>46808</v>
      </c>
      <c r="T9743" t="s">
        <v>48470</v>
      </c>
      <c r="U9743" t="s">
        <v>56631</v>
      </c>
      <c r="W9743" t="s">
        <v>44488</v>
      </c>
      <c r="X9743" t="s">
        <v>46578</v>
      </c>
    </row>
    <row r="9744" spans="1:24">
      <c r="A9744">
        <f>HYPERLINK("https://www.philgeps.gov.ph/GEPSNONPILOT/Tender/SplashBidNoticeAbstractUI.aspx?menuIndex=3&amp;refID=7054134&amp;Result=3","7054134")</f>
        <v>0</v>
      </c>
      <c r="B9744" t="s">
        <v>135</v>
      </c>
      <c r="C9744" t="s">
        <v>12760</v>
      </c>
      <c r="D9744" t="s">
        <v>18807</v>
      </c>
      <c r="E9744" t="s">
        <v>27337</v>
      </c>
      <c r="F9744" t="s">
        <v>32664</v>
      </c>
      <c r="G9744" t="s">
        <v>32672</v>
      </c>
      <c r="H9744" t="s">
        <v>12635</v>
      </c>
      <c r="I9744" t="s">
        <v>32685</v>
      </c>
      <c r="J9744" t="s">
        <v>38673</v>
      </c>
      <c r="K9744" t="s">
        <v>42281</v>
      </c>
      <c r="M9744" t="s">
        <v>42852</v>
      </c>
      <c r="N9744" t="s">
        <v>46569</v>
      </c>
      <c r="O9744" t="s">
        <v>46570</v>
      </c>
      <c r="P9744">
        <v>0</v>
      </c>
      <c r="Q9744">
        <v>0</v>
      </c>
      <c r="R9744" t="s">
        <v>46577</v>
      </c>
      <c r="S9744" t="s">
        <v>46808</v>
      </c>
      <c r="T9744" t="s">
        <v>48228</v>
      </c>
      <c r="U9744" t="s">
        <v>49052</v>
      </c>
      <c r="V9744" t="s">
        <v>61650</v>
      </c>
      <c r="W9744" t="s">
        <v>42852</v>
      </c>
      <c r="X9744" t="s">
        <v>46578</v>
      </c>
    </row>
    <row r="9745" spans="1:24">
      <c r="A9745">
        <f>HYPERLINK("https://www.philgeps.gov.ph/GEPSNONPILOT/Tender/SplashBidNoticeAbstractUI.aspx?menuIndex=3&amp;refID=7054236&amp;Result=3","7054236")</f>
        <v>0</v>
      </c>
      <c r="B9745" t="s">
        <v>1085</v>
      </c>
      <c r="C9745" t="s">
        <v>12664</v>
      </c>
      <c r="D9745" t="s">
        <v>18851</v>
      </c>
      <c r="E9745" t="s">
        <v>27338</v>
      </c>
      <c r="F9745" t="s">
        <v>32664</v>
      </c>
      <c r="G9745" t="s">
        <v>32672</v>
      </c>
      <c r="H9745" t="s">
        <v>32683</v>
      </c>
      <c r="I9745" t="s">
        <v>10627</v>
      </c>
      <c r="J9745" t="s">
        <v>38674</v>
      </c>
      <c r="K9745" t="s">
        <v>42290</v>
      </c>
      <c r="M9745" t="s">
        <v>43711</v>
      </c>
      <c r="N9745" t="s">
        <v>46569</v>
      </c>
      <c r="O9745" t="s">
        <v>46570</v>
      </c>
      <c r="P9745">
        <v>0</v>
      </c>
      <c r="Q9745">
        <v>0</v>
      </c>
      <c r="R9745" t="s">
        <v>46577</v>
      </c>
      <c r="S9745" t="s">
        <v>46808</v>
      </c>
      <c r="T9745" t="s">
        <v>48349</v>
      </c>
      <c r="U9745" t="s">
        <v>56632</v>
      </c>
      <c r="V9745" t="s">
        <v>62644</v>
      </c>
      <c r="W9745" t="s">
        <v>43711</v>
      </c>
      <c r="X9745" t="s">
        <v>46578</v>
      </c>
    </row>
    <row r="9746" spans="1:24">
      <c r="A9746">
        <f>HYPERLINK("https://www.philgeps.gov.ph/GEPSNONPILOT/Tender/SplashBidNoticeAbstractUI.aspx?menuIndex=3&amp;refID=7054234&amp;Result=3","7054234")</f>
        <v>0</v>
      </c>
      <c r="B9746" t="s">
        <v>1219</v>
      </c>
      <c r="C9746" t="s">
        <v>12761</v>
      </c>
      <c r="D9746" t="s">
        <v>18791</v>
      </c>
      <c r="E9746" t="s">
        <v>27339</v>
      </c>
      <c r="F9746" t="s">
        <v>32664</v>
      </c>
      <c r="G9746" t="s">
        <v>32671</v>
      </c>
      <c r="H9746" t="s">
        <v>12635</v>
      </c>
      <c r="I9746" t="s">
        <v>6168</v>
      </c>
      <c r="J9746" t="s">
        <v>38675</v>
      </c>
      <c r="K9746" t="s">
        <v>42305</v>
      </c>
      <c r="M9746" t="s">
        <v>43857</v>
      </c>
      <c r="N9746" t="s">
        <v>46569</v>
      </c>
      <c r="O9746" t="s">
        <v>46570</v>
      </c>
      <c r="P9746">
        <v>0</v>
      </c>
      <c r="Q9746">
        <v>0</v>
      </c>
      <c r="R9746" t="s">
        <v>46577</v>
      </c>
      <c r="S9746" t="s">
        <v>46808</v>
      </c>
      <c r="T9746" t="s">
        <v>48254</v>
      </c>
      <c r="U9746" t="s">
        <v>56514</v>
      </c>
      <c r="W9746" t="s">
        <v>43857</v>
      </c>
      <c r="X9746" t="s">
        <v>46578</v>
      </c>
    </row>
    <row r="9747" spans="1:24">
      <c r="A9747">
        <f>HYPERLINK("https://www.philgeps.gov.ph/GEPSNONPILOT/Tender/SplashBidNoticeAbstractUI.aspx?menuIndex=3&amp;refID=7054541&amp;Result=3","7054541")</f>
        <v>0</v>
      </c>
      <c r="B9747" t="s">
        <v>789</v>
      </c>
      <c r="C9747" t="s">
        <v>12762</v>
      </c>
      <c r="D9747" t="s">
        <v>18805</v>
      </c>
      <c r="E9747" t="s">
        <v>27340</v>
      </c>
      <c r="F9747" t="s">
        <v>32664</v>
      </c>
      <c r="G9747" t="s">
        <v>32672</v>
      </c>
      <c r="H9747" t="s">
        <v>32683</v>
      </c>
      <c r="I9747" t="s">
        <v>10627</v>
      </c>
      <c r="J9747" t="s">
        <v>33261</v>
      </c>
      <c r="K9747" t="s">
        <v>42397</v>
      </c>
      <c r="M9747" t="s">
        <v>43381</v>
      </c>
      <c r="N9747" t="s">
        <v>46569</v>
      </c>
      <c r="O9747" t="s">
        <v>46570</v>
      </c>
      <c r="P9747">
        <v>0</v>
      </c>
      <c r="Q9747">
        <v>2</v>
      </c>
      <c r="R9747" t="s">
        <v>46577</v>
      </c>
      <c r="S9747" t="s">
        <v>46808</v>
      </c>
      <c r="T9747" t="s">
        <v>48264</v>
      </c>
      <c r="U9747" t="s">
        <v>56633</v>
      </c>
      <c r="V9747" t="s">
        <v>61811</v>
      </c>
      <c r="W9747" t="s">
        <v>43381</v>
      </c>
      <c r="X9747" t="s">
        <v>46578</v>
      </c>
    </row>
    <row r="9748" spans="1:24">
      <c r="A9748">
        <f>HYPERLINK("https://www.philgeps.gov.ph/GEPSNONPILOT/Tender/SplashBidNoticeAbstractUI.aspx?menuIndex=3&amp;refID=7054536&amp;Result=3","7054536")</f>
        <v>0</v>
      </c>
      <c r="B9748" t="s">
        <v>568</v>
      </c>
      <c r="C9748" t="s">
        <v>12763</v>
      </c>
      <c r="D9748" t="s">
        <v>18822</v>
      </c>
      <c r="E9748" t="s">
        <v>27341</v>
      </c>
      <c r="F9748" t="s">
        <v>32664</v>
      </c>
      <c r="G9748" t="s">
        <v>32672</v>
      </c>
      <c r="H9748" t="s">
        <v>32681</v>
      </c>
      <c r="I9748" t="s">
        <v>32785</v>
      </c>
      <c r="J9748" t="s">
        <v>33657</v>
      </c>
      <c r="K9748" t="s">
        <v>42283</v>
      </c>
      <c r="M9748" t="s">
        <v>43148</v>
      </c>
      <c r="N9748" t="s">
        <v>46569</v>
      </c>
      <c r="O9748" t="s">
        <v>46570</v>
      </c>
      <c r="P9748">
        <v>0</v>
      </c>
      <c r="Q9748">
        <v>2</v>
      </c>
      <c r="R9748" t="s">
        <v>46577</v>
      </c>
      <c r="S9748" t="s">
        <v>46808</v>
      </c>
      <c r="T9748" t="s">
        <v>48308</v>
      </c>
      <c r="U9748" t="s">
        <v>56634</v>
      </c>
      <c r="V9748" t="s">
        <v>61761</v>
      </c>
      <c r="W9748" t="s">
        <v>63484</v>
      </c>
      <c r="X9748" t="s">
        <v>46578</v>
      </c>
    </row>
    <row r="9749" spans="1:24">
      <c r="A9749">
        <f>HYPERLINK("https://www.philgeps.gov.ph/GEPSNONPILOT/Tender/SplashBidNoticeAbstractUI.aspx?menuIndex=3&amp;refID=7054534&amp;Result=3","7054534")</f>
        <v>0</v>
      </c>
      <c r="B9749" t="s">
        <v>2737</v>
      </c>
      <c r="C9749" t="s">
        <v>12764</v>
      </c>
      <c r="D9749" t="s">
        <v>18792</v>
      </c>
      <c r="E9749" t="s">
        <v>27342</v>
      </c>
      <c r="F9749" t="s">
        <v>32666</v>
      </c>
      <c r="G9749" t="s">
        <v>32674</v>
      </c>
      <c r="H9749" t="s">
        <v>12635</v>
      </c>
      <c r="I9749" t="s">
        <v>32764</v>
      </c>
      <c r="J9749" t="s">
        <v>33724</v>
      </c>
      <c r="K9749" t="s">
        <v>42283</v>
      </c>
      <c r="M9749" t="s">
        <v>45571</v>
      </c>
      <c r="N9749" t="s">
        <v>46569</v>
      </c>
      <c r="O9749" t="s">
        <v>46570</v>
      </c>
      <c r="P9749">
        <v>0</v>
      </c>
      <c r="Q9749">
        <v>5</v>
      </c>
      <c r="R9749" t="s">
        <v>46577</v>
      </c>
      <c r="S9749" t="s">
        <v>46808</v>
      </c>
      <c r="T9749" t="s">
        <v>48256</v>
      </c>
      <c r="U9749" t="s">
        <v>56635</v>
      </c>
      <c r="W9749" t="s">
        <v>45571</v>
      </c>
      <c r="X9749" t="s">
        <v>46578</v>
      </c>
    </row>
    <row r="9750" spans="1:24">
      <c r="A9750">
        <f>HYPERLINK("https://www.philgeps.gov.ph/GEPSNONPILOT/Tender/SplashBidNoticeAbstractUI.aspx?menuIndex=3&amp;refID=7054547&amp;Result=3","7054547")</f>
        <v>0</v>
      </c>
      <c r="B9750" t="s">
        <v>295</v>
      </c>
      <c r="C9750" t="s">
        <v>12765</v>
      </c>
      <c r="D9750" t="s">
        <v>18848</v>
      </c>
      <c r="E9750" t="s">
        <v>27343</v>
      </c>
      <c r="F9750" t="s">
        <v>32664</v>
      </c>
      <c r="G9750" t="s">
        <v>32672</v>
      </c>
      <c r="H9750" t="s">
        <v>12635</v>
      </c>
      <c r="I9750" t="s">
        <v>6168</v>
      </c>
      <c r="J9750" t="s">
        <v>38676</v>
      </c>
      <c r="K9750" t="s">
        <v>42297</v>
      </c>
      <c r="M9750" t="s">
        <v>45554</v>
      </c>
      <c r="N9750" t="s">
        <v>46569</v>
      </c>
      <c r="O9750" t="s">
        <v>46570</v>
      </c>
      <c r="P9750">
        <v>0</v>
      </c>
      <c r="Q9750">
        <v>0</v>
      </c>
      <c r="R9750" t="s">
        <v>46577</v>
      </c>
      <c r="S9750" t="s">
        <v>46808</v>
      </c>
      <c r="T9750" t="s">
        <v>48298</v>
      </c>
      <c r="U9750" t="s">
        <v>56636</v>
      </c>
      <c r="W9750" t="s">
        <v>45554</v>
      </c>
      <c r="X9750" t="s">
        <v>46578</v>
      </c>
    </row>
    <row r="9751" spans="1:24">
      <c r="A9751">
        <f>HYPERLINK("https://www.philgeps.gov.ph/GEPSNONPILOT/Tender/SplashBidNoticeAbstractUI.aspx?menuIndex=3&amp;refID=7054128&amp;Result=3","7054128")</f>
        <v>0</v>
      </c>
      <c r="B9751" t="s">
        <v>295</v>
      </c>
      <c r="C9751" t="s">
        <v>12766</v>
      </c>
      <c r="D9751" t="s">
        <v>18848</v>
      </c>
      <c r="E9751" t="s">
        <v>27344</v>
      </c>
      <c r="F9751" t="s">
        <v>32664</v>
      </c>
      <c r="G9751" t="s">
        <v>32672</v>
      </c>
      <c r="H9751" t="s">
        <v>12635</v>
      </c>
      <c r="I9751" t="s">
        <v>6168</v>
      </c>
      <c r="J9751" t="s">
        <v>38677</v>
      </c>
      <c r="K9751" t="s">
        <v>42297</v>
      </c>
      <c r="M9751" t="s">
        <v>45554</v>
      </c>
      <c r="N9751" t="s">
        <v>46569</v>
      </c>
      <c r="O9751" t="s">
        <v>46570</v>
      </c>
      <c r="P9751">
        <v>0</v>
      </c>
      <c r="Q9751">
        <v>0</v>
      </c>
      <c r="R9751" t="s">
        <v>46577</v>
      </c>
      <c r="S9751" t="s">
        <v>46808</v>
      </c>
      <c r="T9751" t="s">
        <v>48298</v>
      </c>
      <c r="U9751" t="s">
        <v>56637</v>
      </c>
      <c r="W9751" t="s">
        <v>45554</v>
      </c>
      <c r="X9751" t="s">
        <v>46578</v>
      </c>
    </row>
    <row r="9752" spans="1:24">
      <c r="A9752">
        <f>HYPERLINK("https://www.philgeps.gov.ph/GEPSNONPILOT/Tender/SplashBidNoticeAbstractUI.aspx?menuIndex=3&amp;refID=7054533&amp;Result=3","7054533")</f>
        <v>0</v>
      </c>
      <c r="B9752" t="s">
        <v>2726</v>
      </c>
      <c r="C9752" t="s">
        <v>12767</v>
      </c>
      <c r="D9752" t="s">
        <v>18794</v>
      </c>
      <c r="E9752" t="s">
        <v>27345</v>
      </c>
      <c r="F9752" t="s">
        <v>32664</v>
      </c>
      <c r="G9752" t="s">
        <v>32671</v>
      </c>
      <c r="H9752" t="s">
        <v>12635</v>
      </c>
      <c r="I9752" t="s">
        <v>32699</v>
      </c>
      <c r="J9752" t="s">
        <v>38678</v>
      </c>
      <c r="K9752" t="s">
        <v>42281</v>
      </c>
      <c r="M9752" t="s">
        <v>45556</v>
      </c>
      <c r="N9752" t="s">
        <v>46569</v>
      </c>
      <c r="O9752" t="s">
        <v>46570</v>
      </c>
      <c r="P9752">
        <v>0</v>
      </c>
      <c r="Q9752">
        <v>0</v>
      </c>
      <c r="R9752" t="s">
        <v>46577</v>
      </c>
      <c r="S9752" t="s">
        <v>46808</v>
      </c>
      <c r="T9752" t="s">
        <v>48448</v>
      </c>
      <c r="U9752" t="s">
        <v>56638</v>
      </c>
      <c r="W9752" t="s">
        <v>45556</v>
      </c>
      <c r="X9752" t="s">
        <v>46578</v>
      </c>
    </row>
    <row r="9753" spans="1:24">
      <c r="A9753">
        <f>HYPERLINK("https://www.philgeps.gov.ph/GEPSNONPILOT/Tender/SplashBidNoticeAbstractUI.aspx?menuIndex=3&amp;refID=7054527&amp;Result=3","7054527")</f>
        <v>0</v>
      </c>
      <c r="B9753" t="s">
        <v>2645</v>
      </c>
      <c r="C9753" t="s">
        <v>12768</v>
      </c>
      <c r="D9753" t="s">
        <v>18810</v>
      </c>
      <c r="E9753" t="s">
        <v>27346</v>
      </c>
      <c r="F9753" t="s">
        <v>32664</v>
      </c>
      <c r="G9753" t="s">
        <v>32675</v>
      </c>
      <c r="H9753" t="s">
        <v>12635</v>
      </c>
      <c r="I9753" t="s">
        <v>32738</v>
      </c>
      <c r="J9753" t="s">
        <v>33051</v>
      </c>
      <c r="K9753" t="s">
        <v>42305</v>
      </c>
      <c r="M9753" t="s">
        <v>45466</v>
      </c>
      <c r="N9753" t="s">
        <v>46569</v>
      </c>
      <c r="O9753" t="s">
        <v>46570</v>
      </c>
      <c r="P9753">
        <v>0</v>
      </c>
      <c r="Q9753">
        <v>4</v>
      </c>
      <c r="R9753" t="s">
        <v>46577</v>
      </c>
      <c r="S9753" t="s">
        <v>46808</v>
      </c>
      <c r="T9753" t="s">
        <v>48256</v>
      </c>
      <c r="U9753" t="s">
        <v>56639</v>
      </c>
      <c r="V9753" t="s">
        <v>62645</v>
      </c>
      <c r="W9753" t="s">
        <v>45466</v>
      </c>
      <c r="X9753" t="s">
        <v>46578</v>
      </c>
    </row>
    <row r="9754" spans="1:24">
      <c r="A9754">
        <f>HYPERLINK("https://www.philgeps.gov.ph/GEPSNONPILOT/Tender/SplashBidNoticeAbstractUI.aspx?menuIndex=3&amp;refID=7054525&amp;Result=3","7054525")</f>
        <v>0</v>
      </c>
      <c r="B9754" t="s">
        <v>309</v>
      </c>
      <c r="C9754" t="s">
        <v>12769</v>
      </c>
      <c r="D9754" t="s">
        <v>18848</v>
      </c>
      <c r="E9754" t="s">
        <v>27347</v>
      </c>
      <c r="F9754" t="s">
        <v>32664</v>
      </c>
      <c r="G9754" t="s">
        <v>32672</v>
      </c>
      <c r="H9754" t="s">
        <v>12635</v>
      </c>
      <c r="I9754" t="s">
        <v>9486</v>
      </c>
      <c r="J9754" t="s">
        <v>33128</v>
      </c>
      <c r="K9754" t="s">
        <v>42289</v>
      </c>
      <c r="M9754" t="s">
        <v>42876</v>
      </c>
      <c r="N9754" t="s">
        <v>46569</v>
      </c>
      <c r="O9754" t="s">
        <v>46570</v>
      </c>
      <c r="P9754">
        <v>0</v>
      </c>
      <c r="Q9754">
        <v>1</v>
      </c>
      <c r="R9754" t="s">
        <v>46577</v>
      </c>
      <c r="S9754" t="s">
        <v>46808</v>
      </c>
      <c r="T9754" t="s">
        <v>48307</v>
      </c>
      <c r="U9754" t="s">
        <v>56640</v>
      </c>
      <c r="V9754" t="s">
        <v>61694</v>
      </c>
      <c r="W9754" t="s">
        <v>42876</v>
      </c>
      <c r="X9754" t="s">
        <v>46578</v>
      </c>
    </row>
    <row r="9755" spans="1:24">
      <c r="A9755">
        <f>HYPERLINK("https://www.philgeps.gov.ph/GEPSNONPILOT/Tender/SplashBidNoticeAbstractUI.aspx?menuIndex=3&amp;refID=7054539&amp;Result=3","7054539")</f>
        <v>0</v>
      </c>
      <c r="B9755" t="s">
        <v>309</v>
      </c>
      <c r="C9755" t="s">
        <v>12770</v>
      </c>
      <c r="D9755" t="s">
        <v>18848</v>
      </c>
      <c r="E9755" t="s">
        <v>22336</v>
      </c>
      <c r="F9755" t="s">
        <v>32664</v>
      </c>
      <c r="G9755" t="s">
        <v>32672</v>
      </c>
      <c r="H9755" t="s">
        <v>12635</v>
      </c>
      <c r="I9755" t="s">
        <v>6628</v>
      </c>
      <c r="J9755" t="s">
        <v>32842</v>
      </c>
      <c r="K9755" t="s">
        <v>42289</v>
      </c>
      <c r="M9755" t="s">
        <v>42876</v>
      </c>
      <c r="N9755" t="s">
        <v>46569</v>
      </c>
      <c r="O9755" t="s">
        <v>46570</v>
      </c>
      <c r="P9755">
        <v>0</v>
      </c>
      <c r="Q9755">
        <v>4</v>
      </c>
      <c r="R9755" t="s">
        <v>46577</v>
      </c>
      <c r="S9755" t="s">
        <v>46808</v>
      </c>
      <c r="T9755" t="s">
        <v>48307</v>
      </c>
      <c r="U9755" t="s">
        <v>56641</v>
      </c>
      <c r="V9755" t="s">
        <v>61694</v>
      </c>
      <c r="W9755" t="s">
        <v>42876</v>
      </c>
      <c r="X9755" t="s">
        <v>46578</v>
      </c>
    </row>
    <row r="9756" spans="1:24">
      <c r="A9756">
        <f>HYPERLINK("https://www.philgeps.gov.ph/GEPSNONPILOT/Tender/SplashBidNoticeAbstractUI.aspx?menuIndex=3&amp;refID=7054524&amp;Result=3","7054524")</f>
        <v>0</v>
      </c>
      <c r="B9756" t="s">
        <v>2742</v>
      </c>
      <c r="C9756" t="s">
        <v>12771</v>
      </c>
      <c r="D9756" t="s">
        <v>18838</v>
      </c>
      <c r="E9756" t="s">
        <v>19044</v>
      </c>
      <c r="F9756" t="s">
        <v>32664</v>
      </c>
      <c r="G9756" t="s">
        <v>32672</v>
      </c>
      <c r="H9756" t="s">
        <v>12635</v>
      </c>
      <c r="I9756" t="s">
        <v>4439</v>
      </c>
      <c r="J9756" t="s">
        <v>38679</v>
      </c>
      <c r="K9756" t="s">
        <v>42289</v>
      </c>
      <c r="M9756" t="s">
        <v>45576</v>
      </c>
      <c r="N9756" t="s">
        <v>46569</v>
      </c>
      <c r="O9756" t="s">
        <v>46570</v>
      </c>
      <c r="P9756">
        <v>0</v>
      </c>
      <c r="Q9756">
        <v>2</v>
      </c>
      <c r="R9756" t="s">
        <v>46577</v>
      </c>
      <c r="S9756" t="s">
        <v>46808</v>
      </c>
      <c r="T9756" t="s">
        <v>48248</v>
      </c>
      <c r="U9756" t="s">
        <v>56642</v>
      </c>
      <c r="W9756" t="s">
        <v>45576</v>
      </c>
      <c r="X9756" t="s">
        <v>46578</v>
      </c>
    </row>
    <row r="9757" spans="1:24">
      <c r="A9757">
        <f>HYPERLINK("https://www.philgeps.gov.ph/GEPSNONPILOT/Tender/SplashBidNoticeAbstractUI.aspx?menuIndex=3&amp;refID=7054520&amp;Result=3","7054520")</f>
        <v>0</v>
      </c>
      <c r="B9757" t="s">
        <v>2743</v>
      </c>
      <c r="C9757" t="s">
        <v>12772</v>
      </c>
      <c r="D9757" t="s">
        <v>18852</v>
      </c>
      <c r="E9757" t="s">
        <v>26578</v>
      </c>
      <c r="F9757" t="s">
        <v>32664</v>
      </c>
      <c r="G9757" t="s">
        <v>32672</v>
      </c>
      <c r="H9757" t="s">
        <v>12635</v>
      </c>
      <c r="I9757" t="s">
        <v>11464</v>
      </c>
      <c r="J9757" t="s">
        <v>38680</v>
      </c>
      <c r="K9757" t="s">
        <v>42284</v>
      </c>
      <c r="M9757" t="s">
        <v>45577</v>
      </c>
      <c r="N9757" t="s">
        <v>46569</v>
      </c>
      <c r="O9757" t="s">
        <v>46570</v>
      </c>
      <c r="P9757">
        <v>0</v>
      </c>
      <c r="Q9757">
        <v>1</v>
      </c>
      <c r="R9757" t="s">
        <v>46577</v>
      </c>
      <c r="S9757" t="s">
        <v>46808</v>
      </c>
      <c r="T9757" t="s">
        <v>48360</v>
      </c>
      <c r="U9757" t="s">
        <v>56643</v>
      </c>
      <c r="V9757" t="s">
        <v>62646</v>
      </c>
      <c r="W9757" t="s">
        <v>45577</v>
      </c>
      <c r="X9757" t="s">
        <v>46578</v>
      </c>
    </row>
    <row r="9758" spans="1:24">
      <c r="A9758">
        <f>HYPERLINK("https://www.philgeps.gov.ph/GEPSNONPILOT/Tender/SplashBidNoticeAbstractUI.aspx?menuIndex=3&amp;refID=7054506&amp;Result=3","7054506")</f>
        <v>0</v>
      </c>
      <c r="B9758" t="s">
        <v>295</v>
      </c>
      <c r="C9758" t="s">
        <v>12773</v>
      </c>
      <c r="D9758" t="s">
        <v>18848</v>
      </c>
      <c r="E9758" t="s">
        <v>27348</v>
      </c>
      <c r="F9758" t="s">
        <v>32664</v>
      </c>
      <c r="G9758" t="s">
        <v>32672</v>
      </c>
      <c r="H9758" t="s">
        <v>12635</v>
      </c>
      <c r="I9758" t="s">
        <v>4205</v>
      </c>
      <c r="J9758" t="s">
        <v>38681</v>
      </c>
      <c r="K9758" t="s">
        <v>42297</v>
      </c>
      <c r="M9758" t="s">
        <v>45554</v>
      </c>
      <c r="N9758" t="s">
        <v>46569</v>
      </c>
      <c r="O9758" t="s">
        <v>46570</v>
      </c>
      <c r="P9758">
        <v>0</v>
      </c>
      <c r="Q9758">
        <v>0</v>
      </c>
      <c r="R9758" t="s">
        <v>46577</v>
      </c>
      <c r="S9758" t="s">
        <v>46808</v>
      </c>
      <c r="T9758" t="s">
        <v>48298</v>
      </c>
      <c r="U9758" t="s">
        <v>56644</v>
      </c>
      <c r="W9758" t="s">
        <v>45554</v>
      </c>
      <c r="X9758" t="s">
        <v>46578</v>
      </c>
    </row>
    <row r="9759" spans="1:24">
      <c r="A9759">
        <f>HYPERLINK("https://www.philgeps.gov.ph/GEPSNONPILOT/Tender/SplashBidNoticeAbstractUI.aspx?menuIndex=3&amp;refID=7054503&amp;Result=3","7054503")</f>
        <v>0</v>
      </c>
      <c r="B9759" t="s">
        <v>2512</v>
      </c>
      <c r="C9759" t="s">
        <v>12774</v>
      </c>
      <c r="D9759" t="s">
        <v>18805</v>
      </c>
      <c r="E9759" t="s">
        <v>20330</v>
      </c>
      <c r="F9759" t="s">
        <v>32664</v>
      </c>
      <c r="G9759" t="s">
        <v>32672</v>
      </c>
      <c r="H9759" t="s">
        <v>12635</v>
      </c>
      <c r="I9759" t="s">
        <v>4439</v>
      </c>
      <c r="J9759" t="s">
        <v>33520</v>
      </c>
      <c r="K9759" t="s">
        <v>42297</v>
      </c>
      <c r="M9759" t="s">
        <v>45317</v>
      </c>
      <c r="N9759" t="s">
        <v>46569</v>
      </c>
      <c r="O9759" t="s">
        <v>46570</v>
      </c>
      <c r="P9759">
        <v>0</v>
      </c>
      <c r="Q9759">
        <v>0</v>
      </c>
      <c r="R9759" t="s">
        <v>46577</v>
      </c>
      <c r="S9759" t="s">
        <v>46808</v>
      </c>
      <c r="T9759" t="s">
        <v>48376</v>
      </c>
      <c r="U9759" t="s">
        <v>56645</v>
      </c>
      <c r="W9759" t="s">
        <v>45317</v>
      </c>
      <c r="X9759" t="s">
        <v>46578</v>
      </c>
    </row>
    <row r="9760" spans="1:24">
      <c r="A9760">
        <f>HYPERLINK("https://www.philgeps.gov.ph/GEPSNONPILOT/Tender/SplashBidNoticeAbstractUI.aspx?menuIndex=3&amp;refID=7054526&amp;Result=3","7054526")</f>
        <v>0</v>
      </c>
      <c r="B9760" t="s">
        <v>812</v>
      </c>
      <c r="C9760" t="s">
        <v>12775</v>
      </c>
      <c r="D9760" t="s">
        <v>18782</v>
      </c>
      <c r="E9760" t="s">
        <v>27349</v>
      </c>
      <c r="F9760" t="s">
        <v>32664</v>
      </c>
      <c r="G9760" t="s">
        <v>32672</v>
      </c>
      <c r="H9760" t="s">
        <v>12635</v>
      </c>
      <c r="I9760" t="s">
        <v>4439</v>
      </c>
      <c r="J9760" t="s">
        <v>38682</v>
      </c>
      <c r="K9760" t="s">
        <v>42281</v>
      </c>
      <c r="M9760" t="s">
        <v>43406</v>
      </c>
      <c r="N9760" t="s">
        <v>46569</v>
      </c>
      <c r="O9760" t="s">
        <v>46570</v>
      </c>
      <c r="P9760">
        <v>0</v>
      </c>
      <c r="Q9760">
        <v>0</v>
      </c>
      <c r="R9760" t="s">
        <v>46577</v>
      </c>
      <c r="S9760" t="s">
        <v>46808</v>
      </c>
      <c r="T9760" t="s">
        <v>48642</v>
      </c>
      <c r="U9760" t="s">
        <v>56646</v>
      </c>
      <c r="W9760" t="s">
        <v>43406</v>
      </c>
      <c r="X9760" t="s">
        <v>46578</v>
      </c>
    </row>
    <row r="9761" spans="1:24">
      <c r="A9761">
        <f>HYPERLINK("https://www.philgeps.gov.ph/GEPSNONPILOT/Tender/SplashBidNoticeAbstractUI.aspx?menuIndex=3&amp;refID=7054501&amp;Result=3","7054501")</f>
        <v>0</v>
      </c>
      <c r="B9761" t="s">
        <v>309</v>
      </c>
      <c r="C9761" t="s">
        <v>5492</v>
      </c>
      <c r="D9761" t="s">
        <v>18848</v>
      </c>
      <c r="E9761" t="s">
        <v>27350</v>
      </c>
      <c r="F9761" t="s">
        <v>32664</v>
      </c>
      <c r="G9761" t="s">
        <v>32672</v>
      </c>
      <c r="H9761" t="s">
        <v>12635</v>
      </c>
      <c r="I9761" t="s">
        <v>8797</v>
      </c>
      <c r="J9761" t="s">
        <v>38683</v>
      </c>
      <c r="K9761" t="s">
        <v>42289</v>
      </c>
      <c r="M9761" t="s">
        <v>42876</v>
      </c>
      <c r="N9761" t="s">
        <v>46569</v>
      </c>
      <c r="O9761" t="s">
        <v>46570</v>
      </c>
      <c r="P9761">
        <v>0</v>
      </c>
      <c r="Q9761">
        <v>1</v>
      </c>
      <c r="R9761" t="s">
        <v>46577</v>
      </c>
      <c r="S9761" t="s">
        <v>46808</v>
      </c>
      <c r="T9761" t="s">
        <v>48307</v>
      </c>
      <c r="U9761" t="s">
        <v>56640</v>
      </c>
      <c r="V9761" t="s">
        <v>61694</v>
      </c>
      <c r="W9761" t="s">
        <v>42876</v>
      </c>
      <c r="X9761" t="s">
        <v>46578</v>
      </c>
    </row>
    <row r="9762" spans="1:24">
      <c r="A9762">
        <f>HYPERLINK("https://www.philgeps.gov.ph/GEPSNONPILOT/Tender/SplashBidNoticeAbstractUI.aspx?menuIndex=3&amp;refID=7054498&amp;Result=3","7054498")</f>
        <v>0</v>
      </c>
      <c r="B9762" t="s">
        <v>2744</v>
      </c>
      <c r="C9762" t="s">
        <v>12776</v>
      </c>
      <c r="D9762" t="s">
        <v>18845</v>
      </c>
      <c r="E9762" t="s">
        <v>27351</v>
      </c>
      <c r="F9762" t="s">
        <v>32664</v>
      </c>
      <c r="G9762" t="s">
        <v>32672</v>
      </c>
      <c r="H9762" t="s">
        <v>32683</v>
      </c>
      <c r="I9762" t="s">
        <v>6553</v>
      </c>
      <c r="J9762" t="s">
        <v>38684</v>
      </c>
      <c r="K9762" t="s">
        <v>42493</v>
      </c>
      <c r="M9762" t="s">
        <v>45578</v>
      </c>
      <c r="N9762" t="s">
        <v>46569</v>
      </c>
      <c r="O9762" t="s">
        <v>46570</v>
      </c>
      <c r="P9762">
        <v>0</v>
      </c>
      <c r="Q9762">
        <v>0</v>
      </c>
      <c r="R9762" t="s">
        <v>46577</v>
      </c>
      <c r="S9762" t="s">
        <v>46808</v>
      </c>
      <c r="T9762" t="s">
        <v>48255</v>
      </c>
      <c r="U9762" t="s">
        <v>56647</v>
      </c>
      <c r="V9762" t="s">
        <v>62647</v>
      </c>
      <c r="W9762" t="s">
        <v>45578</v>
      </c>
      <c r="X9762" t="s">
        <v>46578</v>
      </c>
    </row>
    <row r="9763" spans="1:24">
      <c r="A9763">
        <f>HYPERLINK("https://www.philgeps.gov.ph/GEPSNONPILOT/Tender/SplashBidNoticeAbstractUI.aspx?menuIndex=3&amp;refID=7054125&amp;Result=3","7054125")</f>
        <v>0</v>
      </c>
      <c r="B9763" t="s">
        <v>135</v>
      </c>
      <c r="C9763" t="s">
        <v>12777</v>
      </c>
      <c r="D9763" t="s">
        <v>18807</v>
      </c>
      <c r="E9763" t="s">
        <v>27352</v>
      </c>
      <c r="F9763" t="s">
        <v>32664</v>
      </c>
      <c r="G9763" t="s">
        <v>32672</v>
      </c>
      <c r="H9763" t="s">
        <v>12635</v>
      </c>
      <c r="I9763" t="s">
        <v>32685</v>
      </c>
      <c r="J9763" t="s">
        <v>38685</v>
      </c>
      <c r="K9763" t="s">
        <v>42281</v>
      </c>
      <c r="M9763" t="s">
        <v>42852</v>
      </c>
      <c r="N9763" t="s">
        <v>46569</v>
      </c>
      <c r="O9763" t="s">
        <v>46570</v>
      </c>
      <c r="P9763">
        <v>0</v>
      </c>
      <c r="Q9763">
        <v>0</v>
      </c>
      <c r="R9763" t="s">
        <v>46577</v>
      </c>
      <c r="S9763" t="s">
        <v>46808</v>
      </c>
      <c r="T9763" t="s">
        <v>48228</v>
      </c>
      <c r="U9763" t="s">
        <v>49052</v>
      </c>
      <c r="V9763" t="s">
        <v>61650</v>
      </c>
      <c r="W9763" t="s">
        <v>42852</v>
      </c>
      <c r="X9763" t="s">
        <v>46578</v>
      </c>
    </row>
    <row r="9764" spans="1:24">
      <c r="A9764">
        <f>HYPERLINK("https://www.philgeps.gov.ph/GEPSNONPILOT/Tender/SplashBidNoticeAbstractUI.aspx?menuIndex=3&amp;refID=7054535&amp;Result=3","7054535")</f>
        <v>0</v>
      </c>
      <c r="B9764" t="s">
        <v>1939</v>
      </c>
      <c r="C9764" t="s">
        <v>12778</v>
      </c>
      <c r="D9764" t="s">
        <v>18782</v>
      </c>
      <c r="E9764" t="s">
        <v>27353</v>
      </c>
      <c r="F9764" t="s">
        <v>32664</v>
      </c>
      <c r="G9764" t="s">
        <v>32672</v>
      </c>
      <c r="H9764" t="s">
        <v>32683</v>
      </c>
      <c r="I9764" t="s">
        <v>10627</v>
      </c>
      <c r="J9764" t="s">
        <v>32943</v>
      </c>
      <c r="K9764" t="s">
        <v>42311</v>
      </c>
      <c r="L9764" t="s">
        <v>1939</v>
      </c>
      <c r="M9764" t="s">
        <v>44664</v>
      </c>
      <c r="N9764" t="s">
        <v>46569</v>
      </c>
      <c r="O9764" t="s">
        <v>46570</v>
      </c>
      <c r="P9764">
        <v>0</v>
      </c>
      <c r="Q9764">
        <v>2</v>
      </c>
      <c r="R9764" t="s">
        <v>46577</v>
      </c>
      <c r="S9764" t="s">
        <v>46808</v>
      </c>
      <c r="T9764" t="s">
        <v>48453</v>
      </c>
      <c r="U9764" t="s">
        <v>56648</v>
      </c>
      <c r="W9764" t="s">
        <v>44664</v>
      </c>
      <c r="X9764" t="s">
        <v>46578</v>
      </c>
    </row>
    <row r="9765" spans="1:24">
      <c r="A9765">
        <f>HYPERLINK("https://www.philgeps.gov.ph/GEPSNONPILOT/Tender/SplashBidNoticeAbstractUI.aspx?menuIndex=3&amp;refID=7054123&amp;Result=3","7054123")</f>
        <v>0</v>
      </c>
      <c r="B9765" t="s">
        <v>1201</v>
      </c>
      <c r="C9765" t="s">
        <v>12779</v>
      </c>
      <c r="D9765" t="s">
        <v>18855</v>
      </c>
      <c r="E9765" t="s">
        <v>25047</v>
      </c>
      <c r="F9765" t="s">
        <v>32664</v>
      </c>
      <c r="G9765" t="s">
        <v>32672</v>
      </c>
      <c r="H9765" t="s">
        <v>32683</v>
      </c>
      <c r="I9765" t="s">
        <v>10627</v>
      </c>
      <c r="J9765" t="s">
        <v>32865</v>
      </c>
      <c r="K9765" t="s">
        <v>42298</v>
      </c>
      <c r="M9765" t="s">
        <v>43838</v>
      </c>
      <c r="N9765" t="s">
        <v>46569</v>
      </c>
      <c r="O9765" t="s">
        <v>46570</v>
      </c>
      <c r="P9765">
        <v>0</v>
      </c>
      <c r="Q9765">
        <v>0</v>
      </c>
      <c r="R9765" t="s">
        <v>46577</v>
      </c>
      <c r="S9765" t="s">
        <v>46808</v>
      </c>
      <c r="T9765" t="s">
        <v>48314</v>
      </c>
      <c r="U9765" t="s">
        <v>56649</v>
      </c>
      <c r="W9765" t="s">
        <v>43838</v>
      </c>
      <c r="X9765" t="s">
        <v>46578</v>
      </c>
    </row>
    <row r="9766" spans="1:24">
      <c r="A9766">
        <f>HYPERLINK("https://www.philgeps.gov.ph/GEPSNONPILOT/Tender/SplashBidNoticeAbstractUI.aspx?menuIndex=3&amp;refID=7054122&amp;Result=3","7054122")</f>
        <v>0</v>
      </c>
      <c r="B9766" t="s">
        <v>785</v>
      </c>
      <c r="C9766" t="s">
        <v>12780</v>
      </c>
      <c r="D9766" t="s">
        <v>18794</v>
      </c>
      <c r="E9766" t="s">
        <v>27354</v>
      </c>
      <c r="F9766" t="s">
        <v>32664</v>
      </c>
      <c r="G9766" t="s">
        <v>32672</v>
      </c>
      <c r="H9766" t="s">
        <v>12635</v>
      </c>
      <c r="I9766" t="s">
        <v>32754</v>
      </c>
      <c r="J9766" t="s">
        <v>33218</v>
      </c>
      <c r="K9766" t="s">
        <v>42281</v>
      </c>
      <c r="M9766" t="s">
        <v>43377</v>
      </c>
      <c r="N9766" t="s">
        <v>46569</v>
      </c>
      <c r="O9766" t="s">
        <v>46570</v>
      </c>
      <c r="Q9766">
        <v>8</v>
      </c>
      <c r="R9766" t="s">
        <v>46577</v>
      </c>
      <c r="S9766" t="s">
        <v>46856</v>
      </c>
      <c r="T9766" t="s">
        <v>48644</v>
      </c>
      <c r="U9766" t="s">
        <v>56650</v>
      </c>
      <c r="W9766" t="s">
        <v>43377</v>
      </c>
      <c r="X9766" t="s">
        <v>46578</v>
      </c>
    </row>
    <row r="9767" spans="1:24">
      <c r="A9767">
        <f>HYPERLINK("https://www.philgeps.gov.ph/GEPSNONPILOT/Tender/SplashBidNoticeAbstractUI.aspx?menuIndex=3&amp;refID=7054119&amp;Result=3","7054119")</f>
        <v>0</v>
      </c>
      <c r="B9767" t="s">
        <v>1150</v>
      </c>
      <c r="C9767" t="s">
        <v>5443</v>
      </c>
      <c r="D9767" t="s">
        <v>18845</v>
      </c>
      <c r="E9767" t="s">
        <v>27355</v>
      </c>
      <c r="F9767" t="s">
        <v>32664</v>
      </c>
      <c r="G9767" t="s">
        <v>32671</v>
      </c>
      <c r="H9767" t="s">
        <v>12635</v>
      </c>
      <c r="I9767" t="s">
        <v>8797</v>
      </c>
      <c r="J9767" t="s">
        <v>34807</v>
      </c>
      <c r="K9767" t="s">
        <v>42283</v>
      </c>
      <c r="M9767" t="s">
        <v>43781</v>
      </c>
      <c r="N9767" t="s">
        <v>46569</v>
      </c>
      <c r="O9767" t="s">
        <v>46570</v>
      </c>
      <c r="P9767">
        <v>0</v>
      </c>
      <c r="Q9767">
        <v>3</v>
      </c>
      <c r="R9767" t="s">
        <v>46577</v>
      </c>
      <c r="S9767" t="s">
        <v>46808</v>
      </c>
      <c r="T9767" t="s">
        <v>48449</v>
      </c>
      <c r="U9767" t="s">
        <v>53562</v>
      </c>
      <c r="W9767" t="s">
        <v>43781</v>
      </c>
      <c r="X9767" t="s">
        <v>46578</v>
      </c>
    </row>
    <row r="9768" spans="1:24">
      <c r="A9768">
        <f>HYPERLINK("https://www.philgeps.gov.ph/GEPSNONPILOT/Tender/SplashBidNoticeAbstractUI.aspx?menuIndex=3&amp;refID=7054118&amp;Result=3","7054118")</f>
        <v>0</v>
      </c>
      <c r="B9768" t="s">
        <v>2645</v>
      </c>
      <c r="C9768" t="s">
        <v>12781</v>
      </c>
      <c r="D9768" t="s">
        <v>18838</v>
      </c>
      <c r="E9768" t="s">
        <v>27356</v>
      </c>
      <c r="F9768" t="s">
        <v>32664</v>
      </c>
      <c r="G9768" t="s">
        <v>32671</v>
      </c>
      <c r="H9768" t="s">
        <v>12635</v>
      </c>
      <c r="I9768" t="s">
        <v>32701</v>
      </c>
      <c r="J9768" t="s">
        <v>33299</v>
      </c>
      <c r="K9768" t="s">
        <v>42281</v>
      </c>
      <c r="M9768" t="s">
        <v>45466</v>
      </c>
      <c r="N9768" t="s">
        <v>46569</v>
      </c>
      <c r="O9768" t="s">
        <v>46570</v>
      </c>
      <c r="P9768">
        <v>0</v>
      </c>
      <c r="Q9768">
        <v>1</v>
      </c>
      <c r="R9768" t="s">
        <v>46577</v>
      </c>
      <c r="S9768" t="s">
        <v>46808</v>
      </c>
      <c r="T9768" t="s">
        <v>48256</v>
      </c>
      <c r="U9768" t="s">
        <v>56651</v>
      </c>
      <c r="V9768" t="s">
        <v>62648</v>
      </c>
      <c r="W9768" t="s">
        <v>45466</v>
      </c>
      <c r="X9768" t="s">
        <v>46578</v>
      </c>
    </row>
    <row r="9769" spans="1:24">
      <c r="A9769">
        <f>HYPERLINK("https://www.philgeps.gov.ph/GEPSNONPILOT/Tender/SplashBidNoticeAbstractUI.aspx?menuIndex=3&amp;refID=7053986&amp;Result=3","7053986")</f>
        <v>0</v>
      </c>
      <c r="B9769" t="s">
        <v>1939</v>
      </c>
      <c r="C9769" t="s">
        <v>12782</v>
      </c>
      <c r="D9769" t="s">
        <v>18782</v>
      </c>
      <c r="E9769" t="s">
        <v>27357</v>
      </c>
      <c r="F9769" t="s">
        <v>32664</v>
      </c>
      <c r="G9769" t="s">
        <v>32671</v>
      </c>
      <c r="H9769" t="s">
        <v>32683</v>
      </c>
      <c r="I9769" t="s">
        <v>10627</v>
      </c>
      <c r="J9769" t="s">
        <v>38686</v>
      </c>
      <c r="K9769" t="s">
        <v>42284</v>
      </c>
      <c r="L9769" t="s">
        <v>1939</v>
      </c>
      <c r="M9769" t="s">
        <v>44664</v>
      </c>
      <c r="N9769" t="s">
        <v>46569</v>
      </c>
      <c r="O9769" t="s">
        <v>46570</v>
      </c>
      <c r="P9769">
        <v>0</v>
      </c>
      <c r="Q9769">
        <v>0</v>
      </c>
      <c r="R9769" t="s">
        <v>46577</v>
      </c>
      <c r="S9769" t="s">
        <v>46808</v>
      </c>
      <c r="T9769" t="s">
        <v>48307</v>
      </c>
      <c r="U9769" t="s">
        <v>56652</v>
      </c>
      <c r="W9769" t="s">
        <v>44664</v>
      </c>
      <c r="X9769" t="s">
        <v>46578</v>
      </c>
    </row>
    <row r="9770" spans="1:24">
      <c r="A9770">
        <f>HYPERLINK("https://www.philgeps.gov.ph/GEPSNONPILOT/Tender/SplashBidNoticeAbstractUI.aspx?menuIndex=3&amp;refID=7053957&amp;Result=3","7053957")</f>
        <v>0</v>
      </c>
      <c r="B9770" t="s">
        <v>179</v>
      </c>
      <c r="C9770" t="s">
        <v>12783</v>
      </c>
      <c r="D9770" t="s">
        <v>18830</v>
      </c>
      <c r="E9770" t="s">
        <v>27358</v>
      </c>
      <c r="F9770" t="s">
        <v>32664</v>
      </c>
      <c r="G9770" t="s">
        <v>32671</v>
      </c>
      <c r="H9770" t="s">
        <v>32683</v>
      </c>
      <c r="I9770" t="s">
        <v>10627</v>
      </c>
      <c r="J9770" t="s">
        <v>32865</v>
      </c>
      <c r="K9770" t="s">
        <v>42414</v>
      </c>
      <c r="M9770" t="s">
        <v>45516</v>
      </c>
      <c r="N9770" t="s">
        <v>46569</v>
      </c>
      <c r="O9770" t="s">
        <v>46570</v>
      </c>
      <c r="P9770">
        <v>0</v>
      </c>
      <c r="Q9770">
        <v>0</v>
      </c>
      <c r="R9770" t="s">
        <v>46577</v>
      </c>
      <c r="S9770" t="s">
        <v>46808</v>
      </c>
      <c r="T9770" t="s">
        <v>48573</v>
      </c>
      <c r="U9770" t="s">
        <v>56399</v>
      </c>
      <c r="W9770" t="s">
        <v>45631</v>
      </c>
      <c r="X9770" t="s">
        <v>46578</v>
      </c>
    </row>
    <row r="9771" spans="1:24">
      <c r="A9771">
        <f>HYPERLINK("https://www.philgeps.gov.ph/GEPSNONPILOT/Tender/SplashBidNoticeAbstractUI.aspx?menuIndex=3&amp;refID=7054505&amp;Result=3","7054505")</f>
        <v>0</v>
      </c>
      <c r="B9771" t="s">
        <v>1563</v>
      </c>
      <c r="C9771" t="s">
        <v>12784</v>
      </c>
      <c r="D9771" t="s">
        <v>18822</v>
      </c>
      <c r="E9771" t="s">
        <v>27359</v>
      </c>
      <c r="F9771" t="s">
        <v>32664</v>
      </c>
      <c r="G9771" t="s">
        <v>32674</v>
      </c>
      <c r="H9771" t="s">
        <v>12635</v>
      </c>
      <c r="I9771" t="s">
        <v>32692</v>
      </c>
      <c r="J9771" t="s">
        <v>38687</v>
      </c>
      <c r="K9771" t="s">
        <v>42297</v>
      </c>
      <c r="M9771" t="s">
        <v>44235</v>
      </c>
      <c r="N9771" t="s">
        <v>46569</v>
      </c>
      <c r="O9771" t="s">
        <v>46570</v>
      </c>
      <c r="P9771">
        <v>0</v>
      </c>
      <c r="Q9771">
        <v>4</v>
      </c>
      <c r="R9771" t="s">
        <v>46577</v>
      </c>
      <c r="S9771" t="s">
        <v>46808</v>
      </c>
      <c r="T9771" t="s">
        <v>48578</v>
      </c>
      <c r="U9771" t="s">
        <v>56653</v>
      </c>
      <c r="W9771" t="s">
        <v>44235</v>
      </c>
      <c r="X9771" t="s">
        <v>46578</v>
      </c>
    </row>
    <row r="9772" spans="1:24">
      <c r="A9772">
        <f>HYPERLINK("https://www.philgeps.gov.ph/GEPSNONPILOT/Tender/SplashBidNoticeAbstractUI.aspx?menuIndex=3&amp;refID=7054517&amp;Result=3","7054517")</f>
        <v>0</v>
      </c>
      <c r="B9772" t="s">
        <v>2745</v>
      </c>
      <c r="C9772" t="s">
        <v>12785</v>
      </c>
      <c r="D9772" t="s">
        <v>18781</v>
      </c>
      <c r="E9772" t="s">
        <v>27360</v>
      </c>
      <c r="F9772" t="s">
        <v>32664</v>
      </c>
      <c r="G9772" t="s">
        <v>32675</v>
      </c>
      <c r="H9772" t="s">
        <v>12635</v>
      </c>
      <c r="I9772" t="s">
        <v>14442</v>
      </c>
      <c r="J9772" t="s">
        <v>32859</v>
      </c>
      <c r="K9772" t="s">
        <v>42284</v>
      </c>
      <c r="M9772" t="s">
        <v>45579</v>
      </c>
      <c r="N9772" t="s">
        <v>46569</v>
      </c>
      <c r="O9772" t="s">
        <v>46570</v>
      </c>
      <c r="P9772">
        <v>0</v>
      </c>
      <c r="Q9772">
        <v>10</v>
      </c>
      <c r="R9772" t="s">
        <v>46577</v>
      </c>
      <c r="S9772" t="s">
        <v>46808</v>
      </c>
      <c r="T9772" t="s">
        <v>48354</v>
      </c>
      <c r="U9772" t="s">
        <v>56654</v>
      </c>
      <c r="W9772" t="s">
        <v>45579</v>
      </c>
      <c r="X9772" t="s">
        <v>46578</v>
      </c>
    </row>
    <row r="9773" spans="1:24">
      <c r="A9773">
        <f>HYPERLINK("https://www.philgeps.gov.ph/GEPSNONPILOT/Tender/SplashBidNoticeAbstractUI.aspx?menuIndex=3&amp;refID=7053956&amp;Result=3","7053956")</f>
        <v>0</v>
      </c>
      <c r="B9773" t="s">
        <v>1201</v>
      </c>
      <c r="C9773" t="s">
        <v>12786</v>
      </c>
      <c r="D9773" t="s">
        <v>18855</v>
      </c>
      <c r="E9773" t="s">
        <v>19314</v>
      </c>
      <c r="F9773" t="s">
        <v>32664</v>
      </c>
      <c r="G9773" t="s">
        <v>32672</v>
      </c>
      <c r="H9773" t="s">
        <v>12635</v>
      </c>
      <c r="I9773" t="s">
        <v>32699</v>
      </c>
      <c r="J9773" t="s">
        <v>38688</v>
      </c>
      <c r="K9773" t="s">
        <v>42281</v>
      </c>
      <c r="M9773" t="s">
        <v>43838</v>
      </c>
      <c r="N9773" t="s">
        <v>46569</v>
      </c>
      <c r="O9773" t="s">
        <v>46570</v>
      </c>
      <c r="P9773">
        <v>0</v>
      </c>
      <c r="Q9773">
        <v>1</v>
      </c>
      <c r="R9773" t="s">
        <v>46577</v>
      </c>
      <c r="S9773" t="s">
        <v>46808</v>
      </c>
      <c r="T9773" t="s">
        <v>48314</v>
      </c>
      <c r="U9773" t="s">
        <v>53644</v>
      </c>
      <c r="W9773" t="s">
        <v>43838</v>
      </c>
      <c r="X9773" t="s">
        <v>46578</v>
      </c>
    </row>
    <row r="9774" spans="1:24">
      <c r="A9774">
        <f>HYPERLINK("https://www.philgeps.gov.ph/GEPSNONPILOT/Tender/SplashBidNoticeAbstractUI.aspx?menuIndex=3&amp;refID=7053955&amp;Result=3","7053955")</f>
        <v>0</v>
      </c>
      <c r="B9774" t="s">
        <v>2689</v>
      </c>
      <c r="C9774" t="s">
        <v>12787</v>
      </c>
      <c r="D9774" t="s">
        <v>18805</v>
      </c>
      <c r="E9774" t="s">
        <v>24723</v>
      </c>
      <c r="F9774" t="s">
        <v>32664</v>
      </c>
      <c r="G9774" t="s">
        <v>32672</v>
      </c>
      <c r="H9774" t="s">
        <v>12635</v>
      </c>
      <c r="I9774" t="s">
        <v>4333</v>
      </c>
      <c r="J9774" t="s">
        <v>33114</v>
      </c>
      <c r="K9774" t="s">
        <v>42284</v>
      </c>
      <c r="L9774" t="s">
        <v>2689</v>
      </c>
      <c r="M9774" t="s">
        <v>45514</v>
      </c>
      <c r="N9774" t="s">
        <v>46569</v>
      </c>
      <c r="O9774" t="s">
        <v>46570</v>
      </c>
      <c r="P9774">
        <v>0</v>
      </c>
      <c r="Q9774">
        <v>0</v>
      </c>
      <c r="R9774" t="s">
        <v>46577</v>
      </c>
      <c r="S9774" t="s">
        <v>46808</v>
      </c>
      <c r="T9774" t="s">
        <v>48328</v>
      </c>
      <c r="U9774" t="s">
        <v>56451</v>
      </c>
      <c r="V9774" t="s">
        <v>62601</v>
      </c>
      <c r="W9774" t="s">
        <v>45514</v>
      </c>
      <c r="X9774" t="s">
        <v>46578</v>
      </c>
    </row>
    <row r="9775" spans="1:24">
      <c r="A9775">
        <f>HYPERLINK("https://www.philgeps.gov.ph/GEPSNONPILOT/Tender/SplashBidNoticeAbstractUI.aspx?menuIndex=3&amp;refID=7053944&amp;Result=3","7053944")</f>
        <v>0</v>
      </c>
      <c r="B9775" t="s">
        <v>179</v>
      </c>
      <c r="C9775" t="s">
        <v>12788</v>
      </c>
      <c r="D9775" t="s">
        <v>18830</v>
      </c>
      <c r="E9775" t="s">
        <v>27361</v>
      </c>
      <c r="F9775" t="s">
        <v>32664</v>
      </c>
      <c r="G9775" t="s">
        <v>32671</v>
      </c>
      <c r="H9775" t="s">
        <v>32683</v>
      </c>
      <c r="I9775" t="s">
        <v>10627</v>
      </c>
      <c r="J9775" t="s">
        <v>33345</v>
      </c>
      <c r="K9775" t="s">
        <v>42488</v>
      </c>
      <c r="M9775" t="s">
        <v>45516</v>
      </c>
      <c r="N9775" t="s">
        <v>46569</v>
      </c>
      <c r="O9775" t="s">
        <v>46570</v>
      </c>
      <c r="P9775">
        <v>0</v>
      </c>
      <c r="Q9775">
        <v>0</v>
      </c>
      <c r="R9775" t="s">
        <v>46577</v>
      </c>
      <c r="S9775" t="s">
        <v>46808</v>
      </c>
      <c r="T9775" t="s">
        <v>48573</v>
      </c>
      <c r="U9775" t="s">
        <v>56399</v>
      </c>
      <c r="W9775" t="s">
        <v>45631</v>
      </c>
      <c r="X9775" t="s">
        <v>46578</v>
      </c>
    </row>
    <row r="9776" spans="1:24">
      <c r="A9776">
        <f>HYPERLINK("https://www.philgeps.gov.ph/GEPSNONPILOT/Tender/SplashBidNoticeAbstractUI.aspx?menuIndex=3&amp;refID=7054537&amp;Result=3","7054537")</f>
        <v>0</v>
      </c>
      <c r="B9776" t="s">
        <v>1397</v>
      </c>
      <c r="C9776" t="s">
        <v>7683</v>
      </c>
      <c r="D9776" t="s">
        <v>18803</v>
      </c>
      <c r="E9776" t="s">
        <v>24625</v>
      </c>
      <c r="F9776" t="s">
        <v>32664</v>
      </c>
      <c r="G9776" t="s">
        <v>32678</v>
      </c>
      <c r="H9776" t="s">
        <v>32681</v>
      </c>
      <c r="I9776" t="s">
        <v>32681</v>
      </c>
      <c r="J9776" t="s">
        <v>35639</v>
      </c>
      <c r="K9776" t="s">
        <v>42377</v>
      </c>
      <c r="M9776" t="s">
        <v>44054</v>
      </c>
      <c r="N9776" t="s">
        <v>46569</v>
      </c>
      <c r="O9776" t="s">
        <v>46570</v>
      </c>
      <c r="P9776">
        <v>0</v>
      </c>
      <c r="Q9776">
        <v>0</v>
      </c>
      <c r="R9776" t="s">
        <v>46577</v>
      </c>
      <c r="S9776" t="s">
        <v>46808</v>
      </c>
      <c r="T9776" t="s">
        <v>48254</v>
      </c>
      <c r="U9776" t="s">
        <v>52342</v>
      </c>
      <c r="W9776" t="s">
        <v>44054</v>
      </c>
      <c r="X9776" t="s">
        <v>46578</v>
      </c>
    </row>
    <row r="9777" spans="1:24">
      <c r="A9777">
        <f>HYPERLINK("https://www.philgeps.gov.ph/GEPSNONPILOT/Tender/SplashBidNoticeAbstractUI.aspx?menuIndex=3&amp;refID=7053899&amp;Result=3","7053899")</f>
        <v>0</v>
      </c>
      <c r="B9777" t="s">
        <v>179</v>
      </c>
      <c r="C9777" t="s">
        <v>12789</v>
      </c>
      <c r="D9777" t="s">
        <v>18830</v>
      </c>
      <c r="E9777" t="s">
        <v>27362</v>
      </c>
      <c r="F9777" t="s">
        <v>32664</v>
      </c>
      <c r="G9777" t="s">
        <v>32671</v>
      </c>
      <c r="H9777" t="s">
        <v>32683</v>
      </c>
      <c r="I9777" t="s">
        <v>10627</v>
      </c>
      <c r="J9777" t="s">
        <v>32865</v>
      </c>
      <c r="K9777" t="s">
        <v>42340</v>
      </c>
      <c r="M9777" t="s">
        <v>45516</v>
      </c>
      <c r="N9777" t="s">
        <v>46569</v>
      </c>
      <c r="O9777" t="s">
        <v>46570</v>
      </c>
      <c r="P9777">
        <v>0</v>
      </c>
      <c r="Q9777">
        <v>0</v>
      </c>
      <c r="R9777" t="s">
        <v>46577</v>
      </c>
      <c r="S9777" t="s">
        <v>46808</v>
      </c>
      <c r="T9777" t="s">
        <v>48573</v>
      </c>
      <c r="U9777" t="s">
        <v>56399</v>
      </c>
      <c r="W9777" t="s">
        <v>45631</v>
      </c>
      <c r="X9777" t="s">
        <v>46578</v>
      </c>
    </row>
    <row r="9778" spans="1:24">
      <c r="A9778">
        <f>HYPERLINK("https://www.philgeps.gov.ph/GEPSNONPILOT/Tender/SplashBidNoticeAbstractUI.aspx?menuIndex=3&amp;refID=7053950&amp;Result=3","7053950")</f>
        <v>0</v>
      </c>
      <c r="B9778" t="s">
        <v>135</v>
      </c>
      <c r="C9778" t="s">
        <v>12790</v>
      </c>
      <c r="D9778" t="s">
        <v>18807</v>
      </c>
      <c r="E9778" t="s">
        <v>27363</v>
      </c>
      <c r="F9778" t="s">
        <v>32664</v>
      </c>
      <c r="G9778" t="s">
        <v>32672</v>
      </c>
      <c r="H9778" t="s">
        <v>12635</v>
      </c>
      <c r="I9778" t="s">
        <v>32699</v>
      </c>
      <c r="J9778" t="s">
        <v>38689</v>
      </c>
      <c r="K9778" t="s">
        <v>42281</v>
      </c>
      <c r="M9778" t="s">
        <v>42852</v>
      </c>
      <c r="N9778" t="s">
        <v>46569</v>
      </c>
      <c r="O9778" t="s">
        <v>46570</v>
      </c>
      <c r="P9778">
        <v>0</v>
      </c>
      <c r="Q9778">
        <v>1</v>
      </c>
      <c r="R9778" t="s">
        <v>46577</v>
      </c>
      <c r="S9778" t="s">
        <v>46808</v>
      </c>
      <c r="T9778" t="s">
        <v>48228</v>
      </c>
      <c r="U9778" t="s">
        <v>49052</v>
      </c>
      <c r="V9778" t="s">
        <v>61650</v>
      </c>
      <c r="W9778" t="s">
        <v>42852</v>
      </c>
      <c r="X9778" t="s">
        <v>46578</v>
      </c>
    </row>
    <row r="9779" spans="1:24">
      <c r="A9779">
        <f>HYPERLINK("https://www.philgeps.gov.ph/GEPSNONPILOT/Tender/SplashBidNoticeAbstractUI.aspx?menuIndex=3&amp;refID=7053951&amp;Result=3","7053951")</f>
        <v>0</v>
      </c>
      <c r="B9779" t="s">
        <v>179</v>
      </c>
      <c r="C9779" t="s">
        <v>12791</v>
      </c>
      <c r="D9779" t="s">
        <v>18830</v>
      </c>
      <c r="E9779" t="s">
        <v>27364</v>
      </c>
      <c r="F9779" t="s">
        <v>32664</v>
      </c>
      <c r="G9779" t="s">
        <v>32671</v>
      </c>
      <c r="H9779" t="s">
        <v>32683</v>
      </c>
      <c r="I9779" t="s">
        <v>10627</v>
      </c>
      <c r="J9779" t="s">
        <v>32962</v>
      </c>
      <c r="K9779" t="s">
        <v>42298</v>
      </c>
      <c r="M9779" t="s">
        <v>45516</v>
      </c>
      <c r="N9779" t="s">
        <v>46569</v>
      </c>
      <c r="O9779" t="s">
        <v>46570</v>
      </c>
      <c r="P9779">
        <v>0</v>
      </c>
      <c r="Q9779">
        <v>0</v>
      </c>
      <c r="R9779" t="s">
        <v>46577</v>
      </c>
      <c r="S9779" t="s">
        <v>46808</v>
      </c>
      <c r="T9779" t="s">
        <v>48573</v>
      </c>
      <c r="U9779" t="s">
        <v>56399</v>
      </c>
      <c r="W9779" t="s">
        <v>45631</v>
      </c>
      <c r="X9779" t="s">
        <v>46578</v>
      </c>
    </row>
    <row r="9780" spans="1:24">
      <c r="A9780">
        <f>HYPERLINK("https://www.philgeps.gov.ph/GEPSNONPILOT/Tender/SplashBidNoticeAbstractUI.aspx?menuIndex=3&amp;refID=7053892&amp;Result=3","7053892")</f>
        <v>0</v>
      </c>
      <c r="B9780" t="s">
        <v>179</v>
      </c>
      <c r="C9780" t="s">
        <v>12792</v>
      </c>
      <c r="D9780" t="s">
        <v>18830</v>
      </c>
      <c r="E9780" t="s">
        <v>27365</v>
      </c>
      <c r="F9780" t="s">
        <v>32664</v>
      </c>
      <c r="G9780" t="s">
        <v>32671</v>
      </c>
      <c r="H9780" t="s">
        <v>32683</v>
      </c>
      <c r="I9780" t="s">
        <v>10627</v>
      </c>
      <c r="J9780" t="s">
        <v>32865</v>
      </c>
      <c r="K9780" t="s">
        <v>42281</v>
      </c>
      <c r="M9780" t="s">
        <v>45516</v>
      </c>
      <c r="N9780" t="s">
        <v>46569</v>
      </c>
      <c r="O9780" t="s">
        <v>46570</v>
      </c>
      <c r="P9780">
        <v>0</v>
      </c>
      <c r="Q9780">
        <v>0</v>
      </c>
      <c r="R9780" t="s">
        <v>46577</v>
      </c>
      <c r="S9780" t="s">
        <v>46808</v>
      </c>
      <c r="T9780" t="s">
        <v>48573</v>
      </c>
      <c r="U9780" t="s">
        <v>56399</v>
      </c>
      <c r="W9780" t="s">
        <v>45631</v>
      </c>
      <c r="X9780" t="s">
        <v>46578</v>
      </c>
    </row>
    <row r="9781" spans="1:24">
      <c r="A9781">
        <f>HYPERLINK("https://www.philgeps.gov.ph/GEPSNONPILOT/Tender/SplashBidNoticeAbstractUI.aspx?menuIndex=3&amp;refID=7053943&amp;Result=3","7053943")</f>
        <v>0</v>
      </c>
      <c r="B9781" t="s">
        <v>1342</v>
      </c>
      <c r="C9781" t="s">
        <v>12793</v>
      </c>
      <c r="D9781" t="s">
        <v>18787</v>
      </c>
      <c r="E9781" t="s">
        <v>27366</v>
      </c>
      <c r="F9781" t="s">
        <v>32664</v>
      </c>
      <c r="G9781" t="s">
        <v>32671</v>
      </c>
      <c r="H9781" t="s">
        <v>12635</v>
      </c>
      <c r="I9781" t="s">
        <v>6628</v>
      </c>
      <c r="J9781" t="s">
        <v>38690</v>
      </c>
      <c r="K9781" t="s">
        <v>42281</v>
      </c>
      <c r="M9781" t="s">
        <v>44796</v>
      </c>
      <c r="N9781" t="s">
        <v>46569</v>
      </c>
      <c r="O9781" t="s">
        <v>46570</v>
      </c>
      <c r="P9781">
        <v>0</v>
      </c>
      <c r="Q9781">
        <v>9</v>
      </c>
      <c r="R9781" t="s">
        <v>46577</v>
      </c>
      <c r="S9781" t="s">
        <v>46808</v>
      </c>
      <c r="T9781" t="s">
        <v>48473</v>
      </c>
      <c r="U9781" t="s">
        <v>53989</v>
      </c>
      <c r="W9781" t="s">
        <v>44796</v>
      </c>
      <c r="X9781" t="s">
        <v>46578</v>
      </c>
    </row>
    <row r="9782" spans="1:24">
      <c r="A9782">
        <f>HYPERLINK("https://www.philgeps.gov.ph/GEPSNONPILOT/Tender/SplashBidNoticeAbstractUI.aspx?menuIndex=3&amp;refID=7054604&amp;Result=3","7054604")</f>
        <v>0</v>
      </c>
      <c r="B9782" t="s">
        <v>295</v>
      </c>
      <c r="C9782" t="s">
        <v>12794</v>
      </c>
      <c r="D9782" t="s">
        <v>18848</v>
      </c>
      <c r="E9782" t="s">
        <v>27367</v>
      </c>
      <c r="F9782" t="s">
        <v>32664</v>
      </c>
      <c r="G9782" t="s">
        <v>32672</v>
      </c>
      <c r="H9782" t="s">
        <v>12635</v>
      </c>
      <c r="I9782" t="s">
        <v>6628</v>
      </c>
      <c r="J9782" t="s">
        <v>33069</v>
      </c>
      <c r="K9782" t="s">
        <v>42297</v>
      </c>
      <c r="M9782" t="s">
        <v>45554</v>
      </c>
      <c r="N9782" t="s">
        <v>46569</v>
      </c>
      <c r="O9782" t="s">
        <v>46570</v>
      </c>
      <c r="P9782">
        <v>0</v>
      </c>
      <c r="Q9782">
        <v>0</v>
      </c>
      <c r="R9782" t="s">
        <v>46577</v>
      </c>
      <c r="S9782" t="s">
        <v>46808</v>
      </c>
      <c r="T9782" t="s">
        <v>48298</v>
      </c>
      <c r="U9782" t="s">
        <v>56655</v>
      </c>
      <c r="W9782" t="s">
        <v>45554</v>
      </c>
      <c r="X9782" t="s">
        <v>46578</v>
      </c>
    </row>
    <row r="9783" spans="1:24">
      <c r="A9783">
        <f>HYPERLINK("https://www.philgeps.gov.ph/GEPSNONPILOT/Tender/SplashBidNoticeAbstractUI.aspx?menuIndex=3&amp;refID=7053939&amp;Result=3","7053939")</f>
        <v>0</v>
      </c>
      <c r="B9783" t="s">
        <v>340</v>
      </c>
      <c r="C9783" t="s">
        <v>12795</v>
      </c>
      <c r="D9783" t="s">
        <v>18826</v>
      </c>
      <c r="E9783" t="s">
        <v>27368</v>
      </c>
      <c r="F9783" t="s">
        <v>32664</v>
      </c>
      <c r="G9783" t="s">
        <v>32672</v>
      </c>
      <c r="H9783" t="s">
        <v>12635</v>
      </c>
      <c r="I9783" t="s">
        <v>32706</v>
      </c>
      <c r="J9783" t="s">
        <v>38691</v>
      </c>
      <c r="K9783" t="s">
        <v>42297</v>
      </c>
      <c r="M9783" t="s">
        <v>42908</v>
      </c>
      <c r="N9783" t="s">
        <v>46569</v>
      </c>
      <c r="O9783" t="s">
        <v>46570</v>
      </c>
      <c r="P9783">
        <v>0</v>
      </c>
      <c r="Q9783">
        <v>0</v>
      </c>
      <c r="R9783" t="s">
        <v>46577</v>
      </c>
      <c r="S9783" t="s">
        <v>46808</v>
      </c>
      <c r="T9783" t="s">
        <v>48590</v>
      </c>
      <c r="U9783" t="s">
        <v>56656</v>
      </c>
      <c r="W9783" t="s">
        <v>42908</v>
      </c>
      <c r="X9783" t="s">
        <v>46578</v>
      </c>
    </row>
    <row r="9784" spans="1:24">
      <c r="A9784">
        <f>HYPERLINK("https://www.philgeps.gov.ph/GEPSNONPILOT/Tender/SplashBidNoticeAbstractUI.aspx?menuIndex=3&amp;refID=7054512&amp;Result=3","7054512")</f>
        <v>0</v>
      </c>
      <c r="B9784" t="s">
        <v>2746</v>
      </c>
      <c r="C9784" t="s">
        <v>12796</v>
      </c>
      <c r="D9784" t="s">
        <v>18784</v>
      </c>
      <c r="E9784" t="s">
        <v>19928</v>
      </c>
      <c r="F9784" t="s">
        <v>32664</v>
      </c>
      <c r="G9784" t="s">
        <v>32671</v>
      </c>
      <c r="H9784" t="s">
        <v>12635</v>
      </c>
      <c r="I9784" t="s">
        <v>32684</v>
      </c>
      <c r="J9784" t="s">
        <v>38692</v>
      </c>
      <c r="K9784" t="s">
        <v>42281</v>
      </c>
      <c r="M9784" t="s">
        <v>45580</v>
      </c>
      <c r="N9784" t="s">
        <v>46569</v>
      </c>
      <c r="O9784" t="s">
        <v>46570</v>
      </c>
      <c r="P9784">
        <v>0</v>
      </c>
      <c r="Q9784">
        <v>17</v>
      </c>
      <c r="R9784" t="s">
        <v>46577</v>
      </c>
      <c r="S9784" t="s">
        <v>46808</v>
      </c>
      <c r="T9784" t="s">
        <v>48307</v>
      </c>
      <c r="U9784" t="s">
        <v>56657</v>
      </c>
      <c r="V9784" t="s">
        <v>62649</v>
      </c>
      <c r="W9784" t="s">
        <v>45580</v>
      </c>
      <c r="X9784" t="s">
        <v>46578</v>
      </c>
    </row>
    <row r="9785" spans="1:24">
      <c r="A9785">
        <f>HYPERLINK("https://www.philgeps.gov.ph/GEPSNONPILOT/Tender/SplashBidNoticeAbstractUI.aspx?menuIndex=3&amp;refID=7054594&amp;Result=3","7054594")</f>
        <v>0</v>
      </c>
      <c r="B9785" t="s">
        <v>312</v>
      </c>
      <c r="C9785" t="s">
        <v>12797</v>
      </c>
      <c r="D9785" t="s">
        <v>18805</v>
      </c>
      <c r="E9785" t="s">
        <v>27369</v>
      </c>
      <c r="F9785" t="s">
        <v>32664</v>
      </c>
      <c r="G9785" t="s">
        <v>32671</v>
      </c>
      <c r="H9785" t="s">
        <v>12635</v>
      </c>
      <c r="I9785" t="s">
        <v>9486</v>
      </c>
      <c r="J9785" t="s">
        <v>38693</v>
      </c>
      <c r="K9785" t="s">
        <v>42283</v>
      </c>
      <c r="M9785" t="s">
        <v>42879</v>
      </c>
      <c r="N9785" t="s">
        <v>46569</v>
      </c>
      <c r="O9785" t="s">
        <v>46570</v>
      </c>
      <c r="P9785">
        <v>0</v>
      </c>
      <c r="Q9785">
        <v>1</v>
      </c>
      <c r="R9785" t="s">
        <v>46577</v>
      </c>
      <c r="S9785" t="s">
        <v>46808</v>
      </c>
      <c r="T9785" t="s">
        <v>48449</v>
      </c>
      <c r="U9785" t="s">
        <v>49353</v>
      </c>
      <c r="W9785" t="s">
        <v>42879</v>
      </c>
      <c r="X9785" t="s">
        <v>46578</v>
      </c>
    </row>
    <row r="9786" spans="1:24">
      <c r="A9786">
        <f>HYPERLINK("https://www.philgeps.gov.ph/GEPSNONPILOT/Tender/SplashBidNoticeAbstractUI.aspx?menuIndex=3&amp;refID=7054593&amp;Result=3","7054593")</f>
        <v>0</v>
      </c>
      <c r="B9786" t="s">
        <v>2729</v>
      </c>
      <c r="C9786" t="s">
        <v>12798</v>
      </c>
      <c r="D9786" t="s">
        <v>18805</v>
      </c>
      <c r="E9786" t="s">
        <v>27370</v>
      </c>
      <c r="F9786" t="s">
        <v>32664</v>
      </c>
      <c r="G9786" t="s">
        <v>32671</v>
      </c>
      <c r="H9786" t="s">
        <v>32682</v>
      </c>
      <c r="I9786" t="s">
        <v>6553</v>
      </c>
      <c r="J9786" t="s">
        <v>38694</v>
      </c>
      <c r="K9786" t="s">
        <v>42281</v>
      </c>
      <c r="M9786" t="s">
        <v>45561</v>
      </c>
      <c r="N9786" t="s">
        <v>46569</v>
      </c>
      <c r="O9786" t="s">
        <v>46570</v>
      </c>
      <c r="P9786">
        <v>0</v>
      </c>
      <c r="Q9786">
        <v>1</v>
      </c>
      <c r="R9786" t="s">
        <v>46577</v>
      </c>
      <c r="S9786" t="s">
        <v>46808</v>
      </c>
      <c r="T9786" t="s">
        <v>48293</v>
      </c>
      <c r="U9786" t="s">
        <v>56658</v>
      </c>
      <c r="W9786" t="s">
        <v>45561</v>
      </c>
      <c r="X9786" t="s">
        <v>46578</v>
      </c>
    </row>
    <row r="9787" spans="1:24">
      <c r="A9787">
        <f>HYPERLINK("https://www.philgeps.gov.ph/GEPSNONPILOT/Tender/SplashBidNoticeAbstractUI.aspx?menuIndex=3&amp;refID=7053901&amp;Result=3","7053901")</f>
        <v>0</v>
      </c>
      <c r="B9787" t="s">
        <v>1112</v>
      </c>
      <c r="C9787" t="s">
        <v>12799</v>
      </c>
      <c r="D9787" t="s">
        <v>18842</v>
      </c>
      <c r="E9787" t="s">
        <v>27371</v>
      </c>
      <c r="F9787" t="s">
        <v>32664</v>
      </c>
      <c r="G9787" t="s">
        <v>32671</v>
      </c>
      <c r="H9787" t="s">
        <v>12635</v>
      </c>
      <c r="I9787" t="s">
        <v>8797</v>
      </c>
      <c r="J9787" t="s">
        <v>38695</v>
      </c>
      <c r="K9787" t="s">
        <v>42284</v>
      </c>
      <c r="M9787" t="s">
        <v>43739</v>
      </c>
      <c r="N9787" t="s">
        <v>46569</v>
      </c>
      <c r="O9787" t="s">
        <v>46570</v>
      </c>
      <c r="P9787">
        <v>0</v>
      </c>
      <c r="Q9787">
        <v>3</v>
      </c>
      <c r="R9787" t="s">
        <v>46577</v>
      </c>
      <c r="S9787" t="s">
        <v>46808</v>
      </c>
      <c r="T9787" t="s">
        <v>48316</v>
      </c>
      <c r="U9787" t="s">
        <v>56659</v>
      </c>
      <c r="V9787" t="s">
        <v>62613</v>
      </c>
      <c r="W9787" t="s">
        <v>43739</v>
      </c>
      <c r="X9787" t="s">
        <v>46578</v>
      </c>
    </row>
    <row r="9788" spans="1:24">
      <c r="A9788">
        <f>HYPERLINK("https://www.philgeps.gov.ph/GEPSNONPILOT/Tender/SplashBidNoticeAbstractUI.aspx?menuIndex=3&amp;refID=7054588&amp;Result=3","7054588")</f>
        <v>0</v>
      </c>
      <c r="B9788" t="s">
        <v>295</v>
      </c>
      <c r="C9788" t="s">
        <v>12800</v>
      </c>
      <c r="D9788" t="s">
        <v>18848</v>
      </c>
      <c r="E9788" t="s">
        <v>27372</v>
      </c>
      <c r="F9788" t="s">
        <v>32664</v>
      </c>
      <c r="G9788" t="s">
        <v>32672</v>
      </c>
      <c r="H9788" t="s">
        <v>12635</v>
      </c>
      <c r="I9788" t="s">
        <v>6168</v>
      </c>
      <c r="J9788" t="s">
        <v>38696</v>
      </c>
      <c r="K9788" t="s">
        <v>42297</v>
      </c>
      <c r="M9788" t="s">
        <v>45554</v>
      </c>
      <c r="N9788" t="s">
        <v>46569</v>
      </c>
      <c r="O9788" t="s">
        <v>46570</v>
      </c>
      <c r="P9788">
        <v>0</v>
      </c>
      <c r="Q9788">
        <v>0</v>
      </c>
      <c r="R9788" t="s">
        <v>46577</v>
      </c>
      <c r="S9788" t="s">
        <v>46808</v>
      </c>
      <c r="T9788" t="s">
        <v>48298</v>
      </c>
      <c r="U9788" t="s">
        <v>56660</v>
      </c>
      <c r="W9788" t="s">
        <v>45554</v>
      </c>
      <c r="X9788" t="s">
        <v>46578</v>
      </c>
    </row>
    <row r="9789" spans="1:24">
      <c r="A9789">
        <f>HYPERLINK("https://www.philgeps.gov.ph/GEPSNONPILOT/Tender/SplashBidNoticeAbstractUI.aspx?menuIndex=3&amp;refID=7054578&amp;Result=3","7054578")</f>
        <v>0</v>
      </c>
      <c r="B9789" t="s">
        <v>2726</v>
      </c>
      <c r="C9789" t="s">
        <v>12801</v>
      </c>
      <c r="D9789" t="s">
        <v>18794</v>
      </c>
      <c r="E9789" t="s">
        <v>27373</v>
      </c>
      <c r="F9789" t="s">
        <v>32664</v>
      </c>
      <c r="G9789" t="s">
        <v>32671</v>
      </c>
      <c r="H9789" t="s">
        <v>12635</v>
      </c>
      <c r="I9789" t="s">
        <v>32736</v>
      </c>
      <c r="J9789" t="s">
        <v>33078</v>
      </c>
      <c r="K9789" t="s">
        <v>42281</v>
      </c>
      <c r="M9789" t="s">
        <v>45556</v>
      </c>
      <c r="N9789" t="s">
        <v>46569</v>
      </c>
      <c r="O9789" t="s">
        <v>46570</v>
      </c>
      <c r="P9789">
        <v>0</v>
      </c>
      <c r="Q9789">
        <v>0</v>
      </c>
      <c r="R9789" t="s">
        <v>46577</v>
      </c>
      <c r="S9789" t="s">
        <v>46808</v>
      </c>
      <c r="T9789" t="s">
        <v>48448</v>
      </c>
      <c r="U9789" t="s">
        <v>56661</v>
      </c>
      <c r="W9789" t="s">
        <v>45556</v>
      </c>
      <c r="X9789" t="s">
        <v>46578</v>
      </c>
    </row>
    <row r="9790" spans="1:24">
      <c r="A9790">
        <f>HYPERLINK("https://www.philgeps.gov.ph/GEPSNONPILOT/Tender/SplashBidNoticeAbstractUI.aspx?menuIndex=3&amp;refID=7054609&amp;Result=3","7054609")</f>
        <v>0</v>
      </c>
      <c r="B9790" t="s">
        <v>2737</v>
      </c>
      <c r="C9790" t="s">
        <v>12802</v>
      </c>
      <c r="D9790" t="s">
        <v>18792</v>
      </c>
      <c r="E9790" t="s">
        <v>27374</v>
      </c>
      <c r="F9790" t="s">
        <v>32666</v>
      </c>
      <c r="G9790" t="s">
        <v>32674</v>
      </c>
      <c r="H9790" t="s">
        <v>12635</v>
      </c>
      <c r="I9790" t="s">
        <v>32764</v>
      </c>
      <c r="J9790" t="s">
        <v>34543</v>
      </c>
      <c r="K9790" t="s">
        <v>42283</v>
      </c>
      <c r="M9790" t="s">
        <v>45571</v>
      </c>
      <c r="N9790" t="s">
        <v>46569</v>
      </c>
      <c r="O9790" t="s">
        <v>46570</v>
      </c>
      <c r="P9790">
        <v>0</v>
      </c>
      <c r="Q9790">
        <v>3</v>
      </c>
      <c r="R9790" t="s">
        <v>46577</v>
      </c>
      <c r="S9790" t="s">
        <v>46808</v>
      </c>
      <c r="T9790" t="s">
        <v>48256</v>
      </c>
      <c r="U9790" t="s">
        <v>56662</v>
      </c>
      <c r="W9790" t="s">
        <v>45571</v>
      </c>
      <c r="X9790" t="s">
        <v>46578</v>
      </c>
    </row>
    <row r="9791" spans="1:24">
      <c r="A9791">
        <f>HYPERLINK("https://www.philgeps.gov.ph/GEPSNONPILOT/Tender/SplashBidNoticeAbstractUI.aspx?menuIndex=3&amp;refID=7054601&amp;Result=3","7054601")</f>
        <v>0</v>
      </c>
      <c r="B9791" t="s">
        <v>2747</v>
      </c>
      <c r="C9791" t="s">
        <v>12803</v>
      </c>
      <c r="D9791" t="s">
        <v>18862</v>
      </c>
      <c r="E9791" t="s">
        <v>27375</v>
      </c>
      <c r="F9791" t="s">
        <v>32664</v>
      </c>
      <c r="G9791" t="s">
        <v>32674</v>
      </c>
      <c r="H9791" t="s">
        <v>12635</v>
      </c>
      <c r="I9791" t="s">
        <v>14442</v>
      </c>
      <c r="J9791" t="s">
        <v>35572</v>
      </c>
      <c r="K9791" t="s">
        <v>42289</v>
      </c>
      <c r="M9791" t="s">
        <v>45581</v>
      </c>
      <c r="N9791" t="s">
        <v>46569</v>
      </c>
      <c r="O9791" t="s">
        <v>46570</v>
      </c>
      <c r="P9791">
        <v>0</v>
      </c>
      <c r="Q9791">
        <v>7</v>
      </c>
      <c r="R9791" t="s">
        <v>46577</v>
      </c>
      <c r="S9791" t="s">
        <v>46808</v>
      </c>
      <c r="T9791" t="s">
        <v>48254</v>
      </c>
      <c r="U9791" t="s">
        <v>56663</v>
      </c>
      <c r="V9791" t="s">
        <v>62650</v>
      </c>
      <c r="W9791" t="s">
        <v>45581</v>
      </c>
      <c r="X9791" t="s">
        <v>46578</v>
      </c>
    </row>
    <row r="9792" spans="1:24">
      <c r="A9792">
        <f>HYPERLINK("https://www.philgeps.gov.ph/GEPSNONPILOT/Tender/SplashBidNoticeAbstractUI.aspx?menuIndex=3&amp;refID=7054576&amp;Result=3","7054576")</f>
        <v>0</v>
      </c>
      <c r="B9792" t="s">
        <v>472</v>
      </c>
      <c r="C9792" t="s">
        <v>12804</v>
      </c>
      <c r="D9792" t="s">
        <v>18804</v>
      </c>
      <c r="E9792" t="s">
        <v>27376</v>
      </c>
      <c r="F9792" t="s">
        <v>32664</v>
      </c>
      <c r="G9792" t="s">
        <v>32671</v>
      </c>
      <c r="H9792" t="s">
        <v>12635</v>
      </c>
      <c r="I9792" t="s">
        <v>4439</v>
      </c>
      <c r="J9792" t="s">
        <v>38697</v>
      </c>
      <c r="K9792" t="s">
        <v>42303</v>
      </c>
      <c r="M9792" t="s">
        <v>43047</v>
      </c>
      <c r="N9792" t="s">
        <v>46569</v>
      </c>
      <c r="O9792" t="s">
        <v>46570</v>
      </c>
      <c r="P9792">
        <v>0</v>
      </c>
      <c r="Q9792">
        <v>0</v>
      </c>
      <c r="R9792" t="s">
        <v>46577</v>
      </c>
      <c r="S9792" t="s">
        <v>46808</v>
      </c>
      <c r="T9792" t="s">
        <v>48287</v>
      </c>
      <c r="U9792" t="s">
        <v>49185</v>
      </c>
      <c r="V9792" t="s">
        <v>61731</v>
      </c>
      <c r="W9792" t="s">
        <v>43047</v>
      </c>
      <c r="X9792" t="s">
        <v>46578</v>
      </c>
    </row>
    <row r="9793" spans="1:24">
      <c r="A9793">
        <f>HYPERLINK("https://www.philgeps.gov.ph/GEPSNONPILOT/Tender/SplashBidNoticeAbstractUI.aspx?menuIndex=3&amp;refID=7054569&amp;Result=3","7054569")</f>
        <v>0</v>
      </c>
      <c r="B9793" t="s">
        <v>2512</v>
      </c>
      <c r="C9793" t="s">
        <v>12805</v>
      </c>
      <c r="D9793" t="s">
        <v>18805</v>
      </c>
      <c r="E9793" t="s">
        <v>20142</v>
      </c>
      <c r="F9793" t="s">
        <v>32664</v>
      </c>
      <c r="G9793" t="s">
        <v>32672</v>
      </c>
      <c r="H9793" t="s">
        <v>12635</v>
      </c>
      <c r="I9793" t="s">
        <v>32694</v>
      </c>
      <c r="J9793" t="s">
        <v>38698</v>
      </c>
      <c r="K9793" t="s">
        <v>42297</v>
      </c>
      <c r="M9793" t="s">
        <v>45317</v>
      </c>
      <c r="N9793" t="s">
        <v>46569</v>
      </c>
      <c r="O9793" t="s">
        <v>46570</v>
      </c>
      <c r="P9793">
        <v>0</v>
      </c>
      <c r="Q9793">
        <v>0</v>
      </c>
      <c r="R9793" t="s">
        <v>46577</v>
      </c>
      <c r="S9793" t="s">
        <v>46808</v>
      </c>
      <c r="T9793" t="s">
        <v>48376</v>
      </c>
      <c r="U9793" t="s">
        <v>56664</v>
      </c>
      <c r="W9793" t="s">
        <v>45317</v>
      </c>
      <c r="X9793" t="s">
        <v>46578</v>
      </c>
    </row>
    <row r="9794" spans="1:24">
      <c r="A9794">
        <f>HYPERLINK("https://www.philgeps.gov.ph/GEPSNONPILOT/Tender/SplashBidNoticeAbstractUI.aspx?menuIndex=3&amp;refID=7054567&amp;Result=3","7054567")</f>
        <v>0</v>
      </c>
      <c r="B9794" t="s">
        <v>295</v>
      </c>
      <c r="C9794" t="s">
        <v>12806</v>
      </c>
      <c r="D9794" t="s">
        <v>18848</v>
      </c>
      <c r="E9794" t="s">
        <v>27377</v>
      </c>
      <c r="F9794" t="s">
        <v>32664</v>
      </c>
      <c r="G9794" t="s">
        <v>32672</v>
      </c>
      <c r="H9794" t="s">
        <v>12635</v>
      </c>
      <c r="I9794" t="s">
        <v>4205</v>
      </c>
      <c r="J9794" t="s">
        <v>38699</v>
      </c>
      <c r="K9794" t="s">
        <v>42297</v>
      </c>
      <c r="M9794" t="s">
        <v>45554</v>
      </c>
      <c r="N9794" t="s">
        <v>46569</v>
      </c>
      <c r="O9794" t="s">
        <v>46570</v>
      </c>
      <c r="P9794">
        <v>0</v>
      </c>
      <c r="Q9794">
        <v>0</v>
      </c>
      <c r="R9794" t="s">
        <v>46577</v>
      </c>
      <c r="S9794" t="s">
        <v>46808</v>
      </c>
      <c r="T9794" t="s">
        <v>48298</v>
      </c>
      <c r="U9794" t="s">
        <v>56665</v>
      </c>
      <c r="W9794" t="s">
        <v>45554</v>
      </c>
      <c r="X9794" t="s">
        <v>46578</v>
      </c>
    </row>
    <row r="9795" spans="1:24">
      <c r="A9795">
        <f>HYPERLINK("https://www.philgeps.gov.ph/GEPSNONPILOT/Tender/SplashBidNoticeAbstractUI.aspx?menuIndex=3&amp;refID=7054584&amp;Result=3","7054584")</f>
        <v>0</v>
      </c>
      <c r="B9795" t="s">
        <v>2111</v>
      </c>
      <c r="C9795" t="s">
        <v>9819</v>
      </c>
      <c r="D9795" t="s">
        <v>18805</v>
      </c>
      <c r="E9795" t="s">
        <v>19010</v>
      </c>
      <c r="F9795" t="s">
        <v>32664</v>
      </c>
      <c r="G9795" t="s">
        <v>32672</v>
      </c>
      <c r="H9795" t="s">
        <v>12635</v>
      </c>
      <c r="I9795" t="s">
        <v>4439</v>
      </c>
      <c r="J9795" t="s">
        <v>38700</v>
      </c>
      <c r="K9795" t="s">
        <v>42281</v>
      </c>
      <c r="M9795" t="s">
        <v>44866</v>
      </c>
      <c r="N9795" t="s">
        <v>46569</v>
      </c>
      <c r="O9795" t="s">
        <v>46570</v>
      </c>
      <c r="P9795">
        <v>0</v>
      </c>
      <c r="Q9795">
        <v>0</v>
      </c>
      <c r="R9795" t="s">
        <v>46577</v>
      </c>
      <c r="S9795" t="s">
        <v>46808</v>
      </c>
      <c r="T9795" t="s">
        <v>48287</v>
      </c>
      <c r="U9795" t="s">
        <v>54260</v>
      </c>
      <c r="W9795" t="s">
        <v>44866</v>
      </c>
      <c r="X9795" t="s">
        <v>46578</v>
      </c>
    </row>
    <row r="9796" spans="1:24">
      <c r="A9796">
        <f>HYPERLINK("https://www.philgeps.gov.ph/GEPSNONPILOT/Tender/SplashBidNoticeAbstractUI.aspx?menuIndex=3&amp;refID=7054564&amp;Result=3","7054564")</f>
        <v>0</v>
      </c>
      <c r="B9796" t="s">
        <v>2748</v>
      </c>
      <c r="C9796" t="s">
        <v>12807</v>
      </c>
      <c r="D9796" t="s">
        <v>18797</v>
      </c>
      <c r="E9796" t="s">
        <v>19380</v>
      </c>
      <c r="F9796" t="s">
        <v>32664</v>
      </c>
      <c r="G9796" t="s">
        <v>32672</v>
      </c>
      <c r="H9796" t="s">
        <v>12635</v>
      </c>
      <c r="I9796" t="s">
        <v>4439</v>
      </c>
      <c r="J9796" t="s">
        <v>38701</v>
      </c>
      <c r="K9796" t="s">
        <v>42290</v>
      </c>
      <c r="M9796" t="s">
        <v>45582</v>
      </c>
      <c r="N9796" t="s">
        <v>46569</v>
      </c>
      <c r="O9796" t="s">
        <v>46570</v>
      </c>
      <c r="P9796">
        <v>0</v>
      </c>
      <c r="Q9796">
        <v>0</v>
      </c>
      <c r="R9796" t="s">
        <v>46577</v>
      </c>
      <c r="S9796" t="s">
        <v>46808</v>
      </c>
      <c r="T9796" t="s">
        <v>48221</v>
      </c>
      <c r="U9796" t="s">
        <v>56666</v>
      </c>
      <c r="V9796" t="s">
        <v>62651</v>
      </c>
      <c r="W9796" t="s">
        <v>45582</v>
      </c>
      <c r="X9796" t="s">
        <v>46578</v>
      </c>
    </row>
    <row r="9797" spans="1:24">
      <c r="A9797">
        <f>HYPERLINK("https://www.philgeps.gov.ph/GEPSNONPILOT/Tender/SplashBidNoticeAbstractUI.aspx?menuIndex=3&amp;refID=7054558&amp;Result=3","7054558")</f>
        <v>0</v>
      </c>
      <c r="B9797" t="s">
        <v>2737</v>
      </c>
      <c r="C9797" t="s">
        <v>12808</v>
      </c>
      <c r="D9797" t="s">
        <v>18792</v>
      </c>
      <c r="E9797" t="s">
        <v>27378</v>
      </c>
      <c r="F9797" t="s">
        <v>32666</v>
      </c>
      <c r="G9797" t="s">
        <v>32674</v>
      </c>
      <c r="H9797" t="s">
        <v>12635</v>
      </c>
      <c r="I9797" t="s">
        <v>32764</v>
      </c>
      <c r="J9797" t="s">
        <v>32859</v>
      </c>
      <c r="K9797" t="s">
        <v>42283</v>
      </c>
      <c r="M9797" t="s">
        <v>45571</v>
      </c>
      <c r="N9797" t="s">
        <v>46569</v>
      </c>
      <c r="O9797" t="s">
        <v>46570</v>
      </c>
      <c r="P9797">
        <v>0</v>
      </c>
      <c r="Q9797">
        <v>6</v>
      </c>
      <c r="R9797" t="s">
        <v>46577</v>
      </c>
      <c r="S9797" t="s">
        <v>46808</v>
      </c>
      <c r="T9797" t="s">
        <v>48256</v>
      </c>
      <c r="U9797" t="s">
        <v>56667</v>
      </c>
      <c r="W9797" t="s">
        <v>45571</v>
      </c>
      <c r="X9797" t="s">
        <v>46578</v>
      </c>
    </row>
    <row r="9798" spans="1:24">
      <c r="A9798">
        <f>HYPERLINK("https://www.philgeps.gov.ph/GEPSNONPILOT/Tender/SplashBidNoticeAbstractUI.aspx?menuIndex=3&amp;refID=7054582&amp;Result=3","7054582")</f>
        <v>0</v>
      </c>
      <c r="B9798" t="s">
        <v>468</v>
      </c>
      <c r="C9798" t="s">
        <v>12809</v>
      </c>
      <c r="D9798" t="s">
        <v>18827</v>
      </c>
      <c r="E9798" t="s">
        <v>27379</v>
      </c>
      <c r="F9798" t="s">
        <v>32664</v>
      </c>
      <c r="G9798" t="s">
        <v>32671</v>
      </c>
      <c r="H9798" t="s">
        <v>12635</v>
      </c>
      <c r="I9798" t="s">
        <v>32725</v>
      </c>
      <c r="J9798" t="s">
        <v>33294</v>
      </c>
      <c r="K9798" t="s">
        <v>42289</v>
      </c>
      <c r="M9798" t="s">
        <v>43043</v>
      </c>
      <c r="N9798" t="s">
        <v>46569</v>
      </c>
      <c r="O9798" t="s">
        <v>46570</v>
      </c>
      <c r="P9798">
        <v>0</v>
      </c>
      <c r="Q9798">
        <v>1</v>
      </c>
      <c r="R9798" t="s">
        <v>46577</v>
      </c>
      <c r="S9798" t="s">
        <v>46808</v>
      </c>
      <c r="T9798" t="s">
        <v>48316</v>
      </c>
      <c r="U9798" t="s">
        <v>49617</v>
      </c>
      <c r="V9798" t="s">
        <v>62652</v>
      </c>
      <c r="W9798" t="s">
        <v>43043</v>
      </c>
      <c r="X9798" t="s">
        <v>46578</v>
      </c>
    </row>
    <row r="9799" spans="1:24">
      <c r="A9799">
        <f>HYPERLINK("https://www.philgeps.gov.ph/GEPSNONPILOT/Tender/SplashBidNoticeAbstractUI.aspx?menuIndex=3&amp;refID=7054651&amp;Result=3","7054651")</f>
        <v>0</v>
      </c>
      <c r="B9799" t="s">
        <v>2749</v>
      </c>
      <c r="C9799" t="s">
        <v>12810</v>
      </c>
      <c r="D9799" t="s">
        <v>18806</v>
      </c>
      <c r="E9799" t="s">
        <v>19380</v>
      </c>
      <c r="F9799" t="s">
        <v>32664</v>
      </c>
      <c r="G9799" t="s">
        <v>32672</v>
      </c>
      <c r="H9799" t="s">
        <v>32683</v>
      </c>
      <c r="I9799" t="s">
        <v>10627</v>
      </c>
      <c r="J9799" t="s">
        <v>32974</v>
      </c>
      <c r="K9799" t="s">
        <v>42298</v>
      </c>
      <c r="M9799" t="s">
        <v>45583</v>
      </c>
      <c r="N9799" t="s">
        <v>46569</v>
      </c>
      <c r="O9799" t="s">
        <v>46570</v>
      </c>
      <c r="P9799">
        <v>0</v>
      </c>
      <c r="Q9799">
        <v>0</v>
      </c>
      <c r="R9799" t="s">
        <v>46577</v>
      </c>
      <c r="S9799" t="s">
        <v>46808</v>
      </c>
      <c r="T9799" t="s">
        <v>48290</v>
      </c>
      <c r="U9799" t="s">
        <v>56668</v>
      </c>
      <c r="W9799" t="s">
        <v>45583</v>
      </c>
      <c r="X9799" t="s">
        <v>46578</v>
      </c>
    </row>
    <row r="9800" spans="1:24">
      <c r="A9800">
        <f>HYPERLINK("https://www.philgeps.gov.ph/GEPSNONPILOT/Tender/SplashBidNoticeAbstractUI.aspx?menuIndex=3&amp;refID=7054650&amp;Result=3","7054650")</f>
        <v>0</v>
      </c>
      <c r="B9800" t="s">
        <v>2750</v>
      </c>
      <c r="C9800" t="s">
        <v>12811</v>
      </c>
      <c r="D9800" t="s">
        <v>18820</v>
      </c>
      <c r="E9800" t="s">
        <v>27380</v>
      </c>
      <c r="F9800" t="s">
        <v>32664</v>
      </c>
      <c r="G9800" t="s">
        <v>32674</v>
      </c>
      <c r="H9800" t="s">
        <v>12635</v>
      </c>
      <c r="I9800" t="s">
        <v>6168</v>
      </c>
      <c r="J9800" t="s">
        <v>34895</v>
      </c>
      <c r="K9800" t="s">
        <v>42284</v>
      </c>
      <c r="M9800" t="s">
        <v>45584</v>
      </c>
      <c r="N9800" t="s">
        <v>46569</v>
      </c>
      <c r="O9800" t="s">
        <v>46570</v>
      </c>
      <c r="P9800">
        <v>0</v>
      </c>
      <c r="Q9800">
        <v>1</v>
      </c>
      <c r="R9800" t="s">
        <v>46577</v>
      </c>
      <c r="S9800" t="s">
        <v>46808</v>
      </c>
      <c r="T9800" t="s">
        <v>48254</v>
      </c>
      <c r="U9800" t="s">
        <v>56669</v>
      </c>
      <c r="V9800" t="s">
        <v>62653</v>
      </c>
      <c r="W9800" t="s">
        <v>45584</v>
      </c>
      <c r="X9800" t="s">
        <v>46578</v>
      </c>
    </row>
    <row r="9801" spans="1:24">
      <c r="A9801">
        <f>HYPERLINK("https://www.philgeps.gov.ph/GEPSNONPILOT/Tender/SplashBidNoticeAbstractUI.aspx?menuIndex=3&amp;refID=7054649&amp;Result=3","7054649")</f>
        <v>0</v>
      </c>
      <c r="B9801" t="s">
        <v>295</v>
      </c>
      <c r="C9801" t="s">
        <v>12812</v>
      </c>
      <c r="D9801" t="s">
        <v>18848</v>
      </c>
      <c r="E9801" t="s">
        <v>27381</v>
      </c>
      <c r="F9801" t="s">
        <v>32664</v>
      </c>
      <c r="G9801" t="s">
        <v>32672</v>
      </c>
      <c r="H9801" t="s">
        <v>12635</v>
      </c>
      <c r="I9801" t="s">
        <v>4205</v>
      </c>
      <c r="J9801" t="s">
        <v>38702</v>
      </c>
      <c r="K9801" t="s">
        <v>42297</v>
      </c>
      <c r="M9801" t="s">
        <v>45554</v>
      </c>
      <c r="N9801" t="s">
        <v>46569</v>
      </c>
      <c r="O9801" t="s">
        <v>46570</v>
      </c>
      <c r="P9801">
        <v>0</v>
      </c>
      <c r="Q9801">
        <v>0</v>
      </c>
      <c r="R9801" t="s">
        <v>46577</v>
      </c>
      <c r="S9801" t="s">
        <v>46808</v>
      </c>
      <c r="T9801" t="s">
        <v>48298</v>
      </c>
      <c r="U9801" t="s">
        <v>56670</v>
      </c>
      <c r="W9801" t="s">
        <v>45554</v>
      </c>
      <c r="X9801" t="s">
        <v>46578</v>
      </c>
    </row>
    <row r="9802" spans="1:24">
      <c r="A9802">
        <f>HYPERLINK("https://www.philgeps.gov.ph/GEPSNONPILOT/Tender/SplashBidNoticeAbstractUI.aspx?menuIndex=3&amp;refID=7054573&amp;Result=3","7054573")</f>
        <v>0</v>
      </c>
      <c r="B9802" t="s">
        <v>160</v>
      </c>
      <c r="C9802" t="s">
        <v>12813</v>
      </c>
      <c r="D9802" t="s">
        <v>18806</v>
      </c>
      <c r="E9802" t="s">
        <v>27382</v>
      </c>
      <c r="F9802" t="s">
        <v>32664</v>
      </c>
      <c r="G9802" t="s">
        <v>32672</v>
      </c>
      <c r="H9802" t="s">
        <v>12635</v>
      </c>
      <c r="I9802" t="s">
        <v>4439</v>
      </c>
      <c r="J9802" t="s">
        <v>38703</v>
      </c>
      <c r="K9802" t="s">
        <v>42281</v>
      </c>
      <c r="M9802" t="s">
        <v>42724</v>
      </c>
      <c r="N9802" t="s">
        <v>46569</v>
      </c>
      <c r="O9802" t="s">
        <v>46570</v>
      </c>
      <c r="P9802">
        <v>0</v>
      </c>
      <c r="Q9802">
        <v>1</v>
      </c>
      <c r="R9802" t="s">
        <v>46577</v>
      </c>
      <c r="S9802" t="s">
        <v>46808</v>
      </c>
      <c r="T9802" t="s">
        <v>48282</v>
      </c>
      <c r="U9802" t="s">
        <v>56671</v>
      </c>
      <c r="W9802" t="s">
        <v>42724</v>
      </c>
      <c r="X9802" t="s">
        <v>46578</v>
      </c>
    </row>
    <row r="9803" spans="1:24">
      <c r="A9803">
        <f>HYPERLINK("https://www.philgeps.gov.ph/GEPSNONPILOT/Tender/SplashBidNoticeAbstractUI.aspx?menuIndex=3&amp;refID=7054618&amp;Result=3","7054618")</f>
        <v>0</v>
      </c>
      <c r="B9803" t="s">
        <v>1609</v>
      </c>
      <c r="C9803" t="s">
        <v>12814</v>
      </c>
      <c r="D9803" t="s">
        <v>18782</v>
      </c>
      <c r="E9803" t="s">
        <v>27383</v>
      </c>
      <c r="F9803" t="s">
        <v>32664</v>
      </c>
      <c r="G9803" t="s">
        <v>32671</v>
      </c>
      <c r="H9803" t="s">
        <v>12635</v>
      </c>
      <c r="I9803" t="s">
        <v>32695</v>
      </c>
      <c r="J9803" t="s">
        <v>33310</v>
      </c>
      <c r="K9803" t="s">
        <v>42281</v>
      </c>
      <c r="M9803" t="s">
        <v>44288</v>
      </c>
      <c r="N9803" t="s">
        <v>46569</v>
      </c>
      <c r="O9803" t="s">
        <v>46570</v>
      </c>
      <c r="P9803">
        <v>0</v>
      </c>
      <c r="Q9803">
        <v>0</v>
      </c>
      <c r="R9803" t="s">
        <v>46577</v>
      </c>
      <c r="S9803" t="s">
        <v>46808</v>
      </c>
      <c r="T9803" t="s">
        <v>48287</v>
      </c>
      <c r="U9803" t="s">
        <v>56672</v>
      </c>
      <c r="V9803" t="s">
        <v>62553</v>
      </c>
      <c r="W9803" t="s">
        <v>44288</v>
      </c>
      <c r="X9803" t="s">
        <v>46578</v>
      </c>
    </row>
    <row r="9804" spans="1:24">
      <c r="A9804">
        <f>HYPERLINK("https://www.philgeps.gov.ph/GEPSNONPILOT/Tender/SplashBidNoticeAbstractUI.aspx?menuIndex=3&amp;refID=7054646&amp;Result=3","7054646")</f>
        <v>0</v>
      </c>
      <c r="B9804" t="s">
        <v>472</v>
      </c>
      <c r="C9804" t="s">
        <v>12815</v>
      </c>
      <c r="D9804" t="s">
        <v>18804</v>
      </c>
      <c r="E9804" t="s">
        <v>27384</v>
      </c>
      <c r="F9804" t="s">
        <v>32664</v>
      </c>
      <c r="G9804" t="s">
        <v>32671</v>
      </c>
      <c r="H9804" t="s">
        <v>12635</v>
      </c>
      <c r="I9804" t="s">
        <v>8730</v>
      </c>
      <c r="J9804" t="s">
        <v>36102</v>
      </c>
      <c r="K9804" t="s">
        <v>42303</v>
      </c>
      <c r="M9804" t="s">
        <v>43047</v>
      </c>
      <c r="N9804" t="s">
        <v>46569</v>
      </c>
      <c r="O9804" t="s">
        <v>46570</v>
      </c>
      <c r="P9804">
        <v>0</v>
      </c>
      <c r="Q9804">
        <v>4</v>
      </c>
      <c r="R9804" t="s">
        <v>46577</v>
      </c>
      <c r="S9804" t="s">
        <v>46808</v>
      </c>
      <c r="T9804" t="s">
        <v>48287</v>
      </c>
      <c r="U9804" t="s">
        <v>56673</v>
      </c>
      <c r="V9804" t="s">
        <v>61731</v>
      </c>
      <c r="W9804" t="s">
        <v>43047</v>
      </c>
      <c r="X9804" t="s">
        <v>46578</v>
      </c>
    </row>
    <row r="9805" spans="1:24">
      <c r="A9805">
        <f>HYPERLINK("https://www.philgeps.gov.ph/GEPSNONPILOT/Tender/SplashBidNoticeAbstractUI.aspx?menuIndex=3&amp;refID=7054644&amp;Result=3","7054644")</f>
        <v>0</v>
      </c>
      <c r="B9805" t="s">
        <v>2751</v>
      </c>
      <c r="C9805" t="s">
        <v>12816</v>
      </c>
      <c r="D9805" t="s">
        <v>18810</v>
      </c>
      <c r="E9805" t="s">
        <v>27385</v>
      </c>
      <c r="F9805" t="s">
        <v>32664</v>
      </c>
      <c r="G9805" t="s">
        <v>32672</v>
      </c>
      <c r="H9805" t="s">
        <v>12635</v>
      </c>
      <c r="I9805" t="s">
        <v>32716</v>
      </c>
      <c r="J9805" t="s">
        <v>32859</v>
      </c>
      <c r="K9805" t="s">
        <v>42283</v>
      </c>
      <c r="M9805" t="s">
        <v>45585</v>
      </c>
      <c r="N9805" t="s">
        <v>46569</v>
      </c>
      <c r="O9805" t="s">
        <v>46570</v>
      </c>
      <c r="P9805">
        <v>0</v>
      </c>
      <c r="Q9805">
        <v>1</v>
      </c>
      <c r="R9805" t="s">
        <v>46577</v>
      </c>
      <c r="S9805" t="s">
        <v>46808</v>
      </c>
      <c r="T9805" t="s">
        <v>48290</v>
      </c>
      <c r="U9805" t="s">
        <v>56674</v>
      </c>
      <c r="W9805" t="s">
        <v>45585</v>
      </c>
      <c r="X9805" t="s">
        <v>46578</v>
      </c>
    </row>
    <row r="9806" spans="1:24">
      <c r="A9806">
        <f>HYPERLINK("https://www.philgeps.gov.ph/GEPSNONPILOT/Tender/SplashBidNoticeAbstractUI.aspx?menuIndex=3&amp;refID=7054638&amp;Result=3","7054638")</f>
        <v>0</v>
      </c>
      <c r="B9806" t="s">
        <v>2036</v>
      </c>
      <c r="C9806" t="s">
        <v>12817</v>
      </c>
      <c r="D9806" t="s">
        <v>18784</v>
      </c>
      <c r="E9806" t="s">
        <v>27386</v>
      </c>
      <c r="F9806" t="s">
        <v>32664</v>
      </c>
      <c r="G9806" t="s">
        <v>32671</v>
      </c>
      <c r="H9806" t="s">
        <v>12635</v>
      </c>
      <c r="I9806" t="s">
        <v>32704</v>
      </c>
      <c r="J9806" t="s">
        <v>38704</v>
      </c>
      <c r="K9806" t="s">
        <v>42298</v>
      </c>
      <c r="M9806" t="s">
        <v>44780</v>
      </c>
      <c r="N9806" t="s">
        <v>46569</v>
      </c>
      <c r="O9806" t="s">
        <v>46570</v>
      </c>
      <c r="P9806">
        <v>0</v>
      </c>
      <c r="Q9806">
        <v>6</v>
      </c>
      <c r="R9806" t="s">
        <v>46577</v>
      </c>
      <c r="S9806" t="s">
        <v>46808</v>
      </c>
      <c r="T9806" t="s">
        <v>48562</v>
      </c>
      <c r="U9806" t="s">
        <v>56675</v>
      </c>
      <c r="W9806" t="s">
        <v>44780</v>
      </c>
      <c r="X9806" t="s">
        <v>46578</v>
      </c>
    </row>
    <row r="9807" spans="1:24">
      <c r="A9807">
        <f>HYPERLINK("https://www.philgeps.gov.ph/GEPSNONPILOT/Tender/SplashBidNoticeAbstractUI.aspx?menuIndex=3&amp;refID=7054637&amp;Result=3","7054637")</f>
        <v>0</v>
      </c>
      <c r="B9807" t="s">
        <v>2206</v>
      </c>
      <c r="C9807" t="s">
        <v>12818</v>
      </c>
      <c r="D9807" t="s">
        <v>18845</v>
      </c>
      <c r="E9807" t="s">
        <v>27387</v>
      </c>
      <c r="F9807" t="s">
        <v>32664</v>
      </c>
      <c r="G9807" t="s">
        <v>32672</v>
      </c>
      <c r="H9807" t="s">
        <v>32682</v>
      </c>
      <c r="I9807" t="s">
        <v>4439</v>
      </c>
      <c r="J9807" t="s">
        <v>38705</v>
      </c>
      <c r="K9807" t="s">
        <v>42281</v>
      </c>
      <c r="M9807" t="s">
        <v>44970</v>
      </c>
      <c r="N9807" t="s">
        <v>46569</v>
      </c>
      <c r="O9807" t="s">
        <v>46570</v>
      </c>
      <c r="P9807">
        <v>0</v>
      </c>
      <c r="Q9807">
        <v>0</v>
      </c>
      <c r="R9807" t="s">
        <v>46577</v>
      </c>
      <c r="S9807" t="s">
        <v>46808</v>
      </c>
      <c r="T9807" t="s">
        <v>48225</v>
      </c>
      <c r="U9807" t="s">
        <v>56676</v>
      </c>
      <c r="W9807" t="s">
        <v>44970</v>
      </c>
      <c r="X9807" t="s">
        <v>46578</v>
      </c>
    </row>
    <row r="9808" spans="1:24">
      <c r="A9808">
        <f>HYPERLINK("https://www.philgeps.gov.ph/GEPSNONPILOT/Tender/SplashBidNoticeAbstractUI.aspx?menuIndex=3&amp;refID=7054633&amp;Result=3","7054633")</f>
        <v>0</v>
      </c>
      <c r="B9808" t="s">
        <v>1349</v>
      </c>
      <c r="C9808" t="s">
        <v>12819</v>
      </c>
      <c r="D9808" t="s">
        <v>18790</v>
      </c>
      <c r="E9808" t="s">
        <v>27388</v>
      </c>
      <c r="F9808" t="s">
        <v>32664</v>
      </c>
      <c r="G9808" t="s">
        <v>32672</v>
      </c>
      <c r="H9808" t="s">
        <v>12635</v>
      </c>
      <c r="I9808" t="s">
        <v>4333</v>
      </c>
      <c r="J9808" t="s">
        <v>38706</v>
      </c>
      <c r="K9808" t="s">
        <v>42289</v>
      </c>
      <c r="M9808" t="s">
        <v>44001</v>
      </c>
      <c r="N9808" t="s">
        <v>46569</v>
      </c>
      <c r="O9808" t="s">
        <v>46570</v>
      </c>
      <c r="P9808">
        <v>0</v>
      </c>
      <c r="Q9808">
        <v>1</v>
      </c>
      <c r="R9808" t="s">
        <v>46577</v>
      </c>
      <c r="S9808" t="s">
        <v>46808</v>
      </c>
      <c r="T9808" t="s">
        <v>48287</v>
      </c>
      <c r="U9808" t="s">
        <v>56677</v>
      </c>
      <c r="V9808" t="s">
        <v>62654</v>
      </c>
      <c r="W9808" t="s">
        <v>44001</v>
      </c>
      <c r="X9808" t="s">
        <v>46578</v>
      </c>
    </row>
    <row r="9809" spans="1:24">
      <c r="A9809">
        <f>HYPERLINK("https://www.philgeps.gov.ph/GEPSNONPILOT/Tender/SplashBidNoticeAbstractUI.aspx?menuIndex=3&amp;refID=7054572&amp;Result=3","7054572")</f>
        <v>0</v>
      </c>
      <c r="B9809" t="s">
        <v>1397</v>
      </c>
      <c r="C9809" t="s">
        <v>7683</v>
      </c>
      <c r="D9809" t="s">
        <v>18803</v>
      </c>
      <c r="E9809" t="s">
        <v>27389</v>
      </c>
      <c r="F9809" t="s">
        <v>32664</v>
      </c>
      <c r="G9809" t="s">
        <v>32678</v>
      </c>
      <c r="H9809" t="s">
        <v>32681</v>
      </c>
      <c r="I9809" t="s">
        <v>32681</v>
      </c>
      <c r="J9809" t="s">
        <v>35639</v>
      </c>
      <c r="K9809" t="s">
        <v>42377</v>
      </c>
      <c r="M9809" t="s">
        <v>44054</v>
      </c>
      <c r="N9809" t="s">
        <v>46569</v>
      </c>
      <c r="O9809" t="s">
        <v>46570</v>
      </c>
      <c r="P9809">
        <v>0</v>
      </c>
      <c r="Q9809">
        <v>0</v>
      </c>
      <c r="R9809" t="s">
        <v>46577</v>
      </c>
      <c r="S9809" t="s">
        <v>46808</v>
      </c>
      <c r="T9809" t="s">
        <v>48492</v>
      </c>
      <c r="U9809" t="s">
        <v>52342</v>
      </c>
      <c r="W9809" t="s">
        <v>44054</v>
      </c>
      <c r="X9809" t="s">
        <v>46578</v>
      </c>
    </row>
    <row r="9810" spans="1:24">
      <c r="A9810">
        <f>HYPERLINK("https://www.philgeps.gov.ph/GEPSNONPILOT/Tender/SplashBidNoticeAbstractUI.aspx?menuIndex=3&amp;refID=7054703&amp;Result=3","7054703")</f>
        <v>0</v>
      </c>
      <c r="B9810" t="s">
        <v>2752</v>
      </c>
      <c r="C9810" t="s">
        <v>12820</v>
      </c>
      <c r="D9810" t="s">
        <v>18786</v>
      </c>
      <c r="E9810" t="s">
        <v>27390</v>
      </c>
      <c r="F9810" t="s">
        <v>32664</v>
      </c>
      <c r="G9810" t="s">
        <v>32672</v>
      </c>
      <c r="H9810" t="s">
        <v>32683</v>
      </c>
      <c r="I9810" t="s">
        <v>10627</v>
      </c>
      <c r="J9810" t="s">
        <v>33615</v>
      </c>
      <c r="K9810" t="s">
        <v>42281</v>
      </c>
      <c r="M9810" t="s">
        <v>45586</v>
      </c>
      <c r="N9810" t="s">
        <v>46569</v>
      </c>
      <c r="O9810" t="s">
        <v>46570</v>
      </c>
      <c r="P9810">
        <v>0</v>
      </c>
      <c r="Q9810">
        <v>0</v>
      </c>
      <c r="R9810" t="s">
        <v>46577</v>
      </c>
      <c r="S9810" t="s">
        <v>46808</v>
      </c>
      <c r="T9810" t="s">
        <v>48389</v>
      </c>
      <c r="U9810" t="s">
        <v>56678</v>
      </c>
      <c r="W9810" t="s">
        <v>45586</v>
      </c>
      <c r="X9810" t="s">
        <v>46578</v>
      </c>
    </row>
    <row r="9811" spans="1:24">
      <c r="A9811">
        <f>HYPERLINK("https://www.philgeps.gov.ph/GEPSNONPILOT/Tender/SplashBidNoticeAbstractUI.aspx?menuIndex=3&amp;refID=7054641&amp;Result=3","7054641")</f>
        <v>0</v>
      </c>
      <c r="B9811" t="s">
        <v>295</v>
      </c>
      <c r="C9811" t="s">
        <v>12821</v>
      </c>
      <c r="D9811" t="s">
        <v>18848</v>
      </c>
      <c r="E9811" t="s">
        <v>27391</v>
      </c>
      <c r="F9811" t="s">
        <v>32664</v>
      </c>
      <c r="G9811" t="s">
        <v>32672</v>
      </c>
      <c r="H9811" t="s">
        <v>12635</v>
      </c>
      <c r="I9811" t="s">
        <v>6628</v>
      </c>
      <c r="J9811" t="s">
        <v>38707</v>
      </c>
      <c r="K9811" t="s">
        <v>42297</v>
      </c>
      <c r="M9811" t="s">
        <v>45554</v>
      </c>
      <c r="N9811" t="s">
        <v>46569</v>
      </c>
      <c r="O9811" t="s">
        <v>46570</v>
      </c>
      <c r="P9811">
        <v>0</v>
      </c>
      <c r="Q9811">
        <v>0</v>
      </c>
      <c r="R9811" t="s">
        <v>46577</v>
      </c>
      <c r="S9811" t="s">
        <v>46808</v>
      </c>
      <c r="T9811" t="s">
        <v>48298</v>
      </c>
      <c r="U9811" t="s">
        <v>56679</v>
      </c>
      <c r="W9811" t="s">
        <v>45554</v>
      </c>
      <c r="X9811" t="s">
        <v>46578</v>
      </c>
    </row>
    <row r="9812" spans="1:24">
      <c r="A9812">
        <f>HYPERLINK("https://www.philgeps.gov.ph/GEPSNONPILOT/Tender/SplashBidNoticeAbstractUI.aspx?menuIndex=3&amp;refID=7054696&amp;Result=3","7054696")</f>
        <v>0</v>
      </c>
      <c r="B9812" t="s">
        <v>2753</v>
      </c>
      <c r="C9812" t="s">
        <v>12822</v>
      </c>
      <c r="D9812" t="s">
        <v>18817</v>
      </c>
      <c r="E9812" t="s">
        <v>27392</v>
      </c>
      <c r="F9812" t="s">
        <v>32664</v>
      </c>
      <c r="G9812" t="s">
        <v>32672</v>
      </c>
      <c r="H9812" t="s">
        <v>32683</v>
      </c>
      <c r="I9812" t="s">
        <v>10627</v>
      </c>
      <c r="J9812" t="s">
        <v>32962</v>
      </c>
      <c r="K9812" t="s">
        <v>42310</v>
      </c>
      <c r="M9812" t="s">
        <v>45587</v>
      </c>
      <c r="N9812" t="s">
        <v>46569</v>
      </c>
      <c r="O9812" t="s">
        <v>46570</v>
      </c>
      <c r="P9812">
        <v>0</v>
      </c>
      <c r="Q9812">
        <v>0</v>
      </c>
      <c r="R9812" t="s">
        <v>46577</v>
      </c>
      <c r="S9812" t="s">
        <v>46808</v>
      </c>
      <c r="T9812" t="s">
        <v>48254</v>
      </c>
      <c r="U9812" t="s">
        <v>56680</v>
      </c>
      <c r="W9812" t="s">
        <v>45587</v>
      </c>
      <c r="X9812" t="s">
        <v>46578</v>
      </c>
    </row>
    <row r="9813" spans="1:24">
      <c r="A9813">
        <f>HYPERLINK("https://www.philgeps.gov.ph/GEPSNONPILOT/Tender/SplashBidNoticeAbstractUI.aspx?menuIndex=3&amp;refID=7054692&amp;Result=3","7054692")</f>
        <v>0</v>
      </c>
      <c r="B9813" t="s">
        <v>925</v>
      </c>
      <c r="C9813" t="s">
        <v>12823</v>
      </c>
      <c r="D9813" t="s">
        <v>18836</v>
      </c>
      <c r="E9813" t="s">
        <v>27393</v>
      </c>
      <c r="F9813" t="s">
        <v>32667</v>
      </c>
      <c r="G9813" t="s">
        <v>32674</v>
      </c>
      <c r="H9813" t="s">
        <v>32683</v>
      </c>
      <c r="I9813" t="s">
        <v>10627</v>
      </c>
      <c r="J9813" t="s">
        <v>38708</v>
      </c>
      <c r="K9813" t="s">
        <v>42494</v>
      </c>
      <c r="M9813" t="s">
        <v>43531</v>
      </c>
      <c r="N9813" t="s">
        <v>46569</v>
      </c>
      <c r="O9813" t="s">
        <v>46570</v>
      </c>
      <c r="P9813">
        <v>0</v>
      </c>
      <c r="Q9813">
        <v>6</v>
      </c>
      <c r="R9813" t="s">
        <v>46577</v>
      </c>
      <c r="S9813" t="s">
        <v>46808</v>
      </c>
      <c r="T9813" t="s">
        <v>48287</v>
      </c>
      <c r="U9813" t="s">
        <v>56681</v>
      </c>
      <c r="W9813" t="s">
        <v>43531</v>
      </c>
      <c r="X9813" t="s">
        <v>46578</v>
      </c>
    </row>
    <row r="9814" spans="1:24">
      <c r="A9814">
        <f>HYPERLINK("https://www.philgeps.gov.ph/GEPSNONPILOT/Tender/SplashBidNoticeAbstractUI.aspx?menuIndex=3&amp;refID=7054698&amp;Result=3","7054698")</f>
        <v>0</v>
      </c>
      <c r="B9814" t="s">
        <v>2754</v>
      </c>
      <c r="C9814" t="s">
        <v>12824</v>
      </c>
      <c r="D9814" t="s">
        <v>18813</v>
      </c>
      <c r="E9814" t="s">
        <v>27394</v>
      </c>
      <c r="F9814" t="s">
        <v>32664</v>
      </c>
      <c r="G9814" t="s">
        <v>32671</v>
      </c>
      <c r="H9814" t="s">
        <v>12635</v>
      </c>
      <c r="I9814" t="s">
        <v>6553</v>
      </c>
      <c r="J9814" t="s">
        <v>38709</v>
      </c>
      <c r="K9814" t="s">
        <v>42311</v>
      </c>
      <c r="M9814" t="s">
        <v>45588</v>
      </c>
      <c r="N9814" t="s">
        <v>46569</v>
      </c>
      <c r="O9814" t="s">
        <v>46570</v>
      </c>
      <c r="P9814">
        <v>0</v>
      </c>
      <c r="Q9814">
        <v>1</v>
      </c>
      <c r="R9814" t="s">
        <v>46577</v>
      </c>
      <c r="S9814" t="s">
        <v>46808</v>
      </c>
      <c r="T9814" t="s">
        <v>48376</v>
      </c>
      <c r="U9814" t="s">
        <v>56682</v>
      </c>
      <c r="V9814" t="s">
        <v>62655</v>
      </c>
      <c r="W9814" t="s">
        <v>45588</v>
      </c>
      <c r="X9814" t="s">
        <v>46578</v>
      </c>
    </row>
    <row r="9815" spans="1:24">
      <c r="A9815">
        <f>HYPERLINK("https://www.philgeps.gov.ph/GEPSNONPILOT/Tender/SplashBidNoticeAbstractUI.aspx?menuIndex=3&amp;refID=7054662&amp;Result=3","7054662")</f>
        <v>0</v>
      </c>
      <c r="B9815" t="s">
        <v>1876</v>
      </c>
      <c r="C9815" t="s">
        <v>12825</v>
      </c>
      <c r="D9815" t="s">
        <v>18799</v>
      </c>
      <c r="E9815" t="s">
        <v>27395</v>
      </c>
      <c r="F9815" t="s">
        <v>32665</v>
      </c>
      <c r="G9815" t="s">
        <v>32671</v>
      </c>
      <c r="H9815" t="s">
        <v>12635</v>
      </c>
      <c r="I9815" t="s">
        <v>4997</v>
      </c>
      <c r="J9815" t="s">
        <v>32984</v>
      </c>
      <c r="K9815" t="s">
        <v>42283</v>
      </c>
      <c r="M9815" t="s">
        <v>44594</v>
      </c>
      <c r="N9815" t="s">
        <v>46569</v>
      </c>
      <c r="O9815" t="s">
        <v>46570</v>
      </c>
      <c r="P9815">
        <v>0</v>
      </c>
      <c r="Q9815">
        <v>4</v>
      </c>
      <c r="R9815" t="s">
        <v>46577</v>
      </c>
      <c r="S9815" t="s">
        <v>46808</v>
      </c>
      <c r="T9815" t="s">
        <v>48254</v>
      </c>
      <c r="U9815" t="s">
        <v>56683</v>
      </c>
      <c r="W9815" t="s">
        <v>44594</v>
      </c>
      <c r="X9815" t="s">
        <v>46578</v>
      </c>
    </row>
    <row r="9816" spans="1:24">
      <c r="A9816">
        <f>HYPERLINK("https://www.philgeps.gov.ph/GEPSNONPILOT/Tender/SplashBidNoticeAbstractUI.aspx?menuIndex=3&amp;refID=7054689&amp;Result=3","7054689")</f>
        <v>0</v>
      </c>
      <c r="B9816" t="s">
        <v>2512</v>
      </c>
      <c r="C9816" t="s">
        <v>12826</v>
      </c>
      <c r="D9816" t="s">
        <v>18805</v>
      </c>
      <c r="E9816" t="s">
        <v>20991</v>
      </c>
      <c r="F9816" t="s">
        <v>32664</v>
      </c>
      <c r="G9816" t="s">
        <v>32672</v>
      </c>
      <c r="H9816" t="s">
        <v>12635</v>
      </c>
      <c r="I9816" t="s">
        <v>32701</v>
      </c>
      <c r="J9816" t="s">
        <v>33793</v>
      </c>
      <c r="K9816" t="s">
        <v>42297</v>
      </c>
      <c r="M9816" t="s">
        <v>45317</v>
      </c>
      <c r="N9816" t="s">
        <v>46569</v>
      </c>
      <c r="O9816" t="s">
        <v>46570</v>
      </c>
      <c r="P9816">
        <v>0</v>
      </c>
      <c r="Q9816">
        <v>0</v>
      </c>
      <c r="R9816" t="s">
        <v>46577</v>
      </c>
      <c r="S9816" t="s">
        <v>46808</v>
      </c>
      <c r="T9816" t="s">
        <v>48376</v>
      </c>
      <c r="U9816" t="s">
        <v>56684</v>
      </c>
      <c r="W9816" t="s">
        <v>45317</v>
      </c>
      <c r="X9816" t="s">
        <v>46578</v>
      </c>
    </row>
    <row r="9817" spans="1:24">
      <c r="A9817">
        <f>HYPERLINK("https://www.philgeps.gov.ph/GEPSNONPILOT/Tender/SplashBidNoticeAbstractUI.aspx?menuIndex=3&amp;refID=7054653&amp;Result=3","7054653")</f>
        <v>0</v>
      </c>
      <c r="B9817" t="s">
        <v>2726</v>
      </c>
      <c r="C9817" t="s">
        <v>12827</v>
      </c>
      <c r="D9817" t="s">
        <v>18794</v>
      </c>
      <c r="E9817" t="s">
        <v>27396</v>
      </c>
      <c r="F9817" t="s">
        <v>32664</v>
      </c>
      <c r="G9817" t="s">
        <v>32671</v>
      </c>
      <c r="H9817" t="s">
        <v>12635</v>
      </c>
      <c r="I9817" t="s">
        <v>32704</v>
      </c>
      <c r="J9817" t="s">
        <v>38710</v>
      </c>
      <c r="K9817" t="s">
        <v>42281</v>
      </c>
      <c r="M9817" t="s">
        <v>45556</v>
      </c>
      <c r="N9817" t="s">
        <v>46569</v>
      </c>
      <c r="O9817" t="s">
        <v>46570</v>
      </c>
      <c r="P9817">
        <v>0</v>
      </c>
      <c r="Q9817">
        <v>4</v>
      </c>
      <c r="R9817" t="s">
        <v>46577</v>
      </c>
      <c r="S9817" t="s">
        <v>46808</v>
      </c>
      <c r="T9817" t="s">
        <v>48448</v>
      </c>
      <c r="U9817" t="s">
        <v>56685</v>
      </c>
      <c r="W9817" t="s">
        <v>45556</v>
      </c>
      <c r="X9817" t="s">
        <v>46578</v>
      </c>
    </row>
    <row r="9818" spans="1:24">
      <c r="A9818">
        <f>HYPERLINK("https://www.philgeps.gov.ph/GEPSNONPILOT/Tender/SplashBidNoticeAbstractUI.aspx?menuIndex=3&amp;refID=7054686&amp;Result=3","7054686")</f>
        <v>0</v>
      </c>
      <c r="B9818" t="s">
        <v>295</v>
      </c>
      <c r="C9818" t="s">
        <v>12828</v>
      </c>
      <c r="D9818" t="s">
        <v>18848</v>
      </c>
      <c r="E9818" t="s">
        <v>27397</v>
      </c>
      <c r="F9818" t="s">
        <v>32664</v>
      </c>
      <c r="G9818" t="s">
        <v>32672</v>
      </c>
      <c r="H9818" t="s">
        <v>12635</v>
      </c>
      <c r="I9818" t="s">
        <v>6628</v>
      </c>
      <c r="J9818" t="s">
        <v>34207</v>
      </c>
      <c r="K9818" t="s">
        <v>42297</v>
      </c>
      <c r="M9818" t="s">
        <v>45554</v>
      </c>
      <c r="N9818" t="s">
        <v>46569</v>
      </c>
      <c r="O9818" t="s">
        <v>46570</v>
      </c>
      <c r="P9818">
        <v>0</v>
      </c>
      <c r="Q9818">
        <v>0</v>
      </c>
      <c r="R9818" t="s">
        <v>46577</v>
      </c>
      <c r="S9818" t="s">
        <v>46808</v>
      </c>
      <c r="T9818" t="s">
        <v>48298</v>
      </c>
      <c r="U9818" t="s">
        <v>56686</v>
      </c>
      <c r="W9818" t="s">
        <v>45554</v>
      </c>
      <c r="X9818" t="s">
        <v>46578</v>
      </c>
    </row>
    <row r="9819" spans="1:24">
      <c r="A9819">
        <f>HYPERLINK("https://www.philgeps.gov.ph/GEPSNONPILOT/Tender/SplashBidNoticeAbstractUI.aspx?menuIndex=3&amp;refID=7054676&amp;Result=3","7054676")</f>
        <v>0</v>
      </c>
      <c r="B9819" t="s">
        <v>1563</v>
      </c>
      <c r="C9819" t="s">
        <v>12829</v>
      </c>
      <c r="D9819" t="s">
        <v>18822</v>
      </c>
      <c r="E9819" t="s">
        <v>10370</v>
      </c>
      <c r="F9819" t="s">
        <v>32664</v>
      </c>
      <c r="G9819" t="s">
        <v>32674</v>
      </c>
      <c r="H9819" t="s">
        <v>12635</v>
      </c>
      <c r="I9819" t="s">
        <v>10370</v>
      </c>
      <c r="J9819" t="s">
        <v>33128</v>
      </c>
      <c r="K9819" t="s">
        <v>42297</v>
      </c>
      <c r="M9819" t="s">
        <v>44235</v>
      </c>
      <c r="N9819" t="s">
        <v>46569</v>
      </c>
      <c r="O9819" t="s">
        <v>46570</v>
      </c>
      <c r="P9819">
        <v>0</v>
      </c>
      <c r="Q9819">
        <v>3</v>
      </c>
      <c r="R9819" t="s">
        <v>46577</v>
      </c>
      <c r="S9819" t="s">
        <v>46808</v>
      </c>
      <c r="T9819" t="s">
        <v>48578</v>
      </c>
      <c r="U9819" t="s">
        <v>56687</v>
      </c>
      <c r="W9819" t="s">
        <v>44235</v>
      </c>
      <c r="X9819" t="s">
        <v>46578</v>
      </c>
    </row>
    <row r="9820" spans="1:24">
      <c r="A9820">
        <f>HYPERLINK("https://www.philgeps.gov.ph/GEPSNONPILOT/Tender/SplashBidNoticeAbstractUI.aspx?menuIndex=3&amp;refID=7054674&amp;Result=3","7054674")</f>
        <v>0</v>
      </c>
      <c r="B9820" t="s">
        <v>146</v>
      </c>
      <c r="C9820" t="s">
        <v>12830</v>
      </c>
      <c r="D9820" t="s">
        <v>18826</v>
      </c>
      <c r="E9820" t="s">
        <v>27398</v>
      </c>
      <c r="F9820" t="s">
        <v>32664</v>
      </c>
      <c r="G9820" t="s">
        <v>32671</v>
      </c>
      <c r="H9820" t="s">
        <v>12635</v>
      </c>
      <c r="I9820" t="s">
        <v>32699</v>
      </c>
      <c r="J9820" t="s">
        <v>34391</v>
      </c>
      <c r="K9820" t="s">
        <v>42281</v>
      </c>
      <c r="M9820" t="s">
        <v>45567</v>
      </c>
      <c r="N9820" t="s">
        <v>46569</v>
      </c>
      <c r="O9820" t="s">
        <v>46570</v>
      </c>
      <c r="P9820">
        <v>0</v>
      </c>
      <c r="Q9820">
        <v>3</v>
      </c>
      <c r="R9820" t="s">
        <v>46577</v>
      </c>
      <c r="S9820" t="s">
        <v>46808</v>
      </c>
      <c r="T9820" t="s">
        <v>48244</v>
      </c>
      <c r="U9820" t="s">
        <v>56688</v>
      </c>
      <c r="W9820" t="s">
        <v>45567</v>
      </c>
      <c r="X9820" t="s">
        <v>46578</v>
      </c>
    </row>
    <row r="9821" spans="1:24">
      <c r="A9821">
        <f>HYPERLINK("https://www.philgeps.gov.ph/GEPSNONPILOT/Tender/SplashBidNoticeAbstractUI.aspx?menuIndex=3&amp;refID=7054701&amp;Result=3","7054701")</f>
        <v>0</v>
      </c>
      <c r="B9821" t="s">
        <v>2755</v>
      </c>
      <c r="C9821" t="s">
        <v>11505</v>
      </c>
      <c r="D9821" t="s">
        <v>18837</v>
      </c>
      <c r="E9821" t="s">
        <v>26234</v>
      </c>
      <c r="F9821" t="s">
        <v>32664</v>
      </c>
      <c r="G9821" t="s">
        <v>32672</v>
      </c>
      <c r="H9821" t="s">
        <v>12635</v>
      </c>
      <c r="I9821" t="s">
        <v>4439</v>
      </c>
      <c r="J9821" t="s">
        <v>38711</v>
      </c>
      <c r="K9821" t="s">
        <v>42297</v>
      </c>
      <c r="M9821" t="s">
        <v>45589</v>
      </c>
      <c r="N9821" t="s">
        <v>46569</v>
      </c>
      <c r="O9821" t="s">
        <v>46570</v>
      </c>
      <c r="P9821">
        <v>0</v>
      </c>
      <c r="Q9821">
        <v>1</v>
      </c>
      <c r="R9821" t="s">
        <v>46577</v>
      </c>
      <c r="S9821" t="s">
        <v>46808</v>
      </c>
      <c r="T9821" t="s">
        <v>48290</v>
      </c>
      <c r="U9821" t="s">
        <v>56689</v>
      </c>
      <c r="W9821" t="s">
        <v>45589</v>
      </c>
      <c r="X9821" t="s">
        <v>46578</v>
      </c>
    </row>
    <row r="9822" spans="1:24">
      <c r="A9822">
        <f>HYPERLINK("https://www.philgeps.gov.ph/GEPSNONPILOT/Tender/SplashBidNoticeAbstractUI.aspx?menuIndex=3&amp;refID=7054690&amp;Result=3","7054690")</f>
        <v>0</v>
      </c>
      <c r="B9822" t="s">
        <v>2022</v>
      </c>
      <c r="C9822" t="s">
        <v>12831</v>
      </c>
      <c r="D9822" t="s">
        <v>18806</v>
      </c>
      <c r="E9822" t="s">
        <v>27399</v>
      </c>
      <c r="F9822" t="s">
        <v>32664</v>
      </c>
      <c r="G9822" t="s">
        <v>32671</v>
      </c>
      <c r="H9822" t="s">
        <v>12635</v>
      </c>
      <c r="I9822" t="s">
        <v>8730</v>
      </c>
      <c r="J9822" t="s">
        <v>38712</v>
      </c>
      <c r="K9822" t="s">
        <v>42289</v>
      </c>
      <c r="M9822" t="s">
        <v>45590</v>
      </c>
      <c r="N9822" t="s">
        <v>46569</v>
      </c>
      <c r="O9822" t="s">
        <v>46570</v>
      </c>
      <c r="P9822">
        <v>0</v>
      </c>
      <c r="Q9822">
        <v>3</v>
      </c>
      <c r="R9822" t="s">
        <v>46577</v>
      </c>
      <c r="S9822" t="s">
        <v>46808</v>
      </c>
      <c r="T9822" t="s">
        <v>48492</v>
      </c>
      <c r="U9822" t="s">
        <v>56690</v>
      </c>
      <c r="W9822" t="s">
        <v>45590</v>
      </c>
      <c r="X9822" t="s">
        <v>46578</v>
      </c>
    </row>
    <row r="9823" spans="1:24">
      <c r="A9823">
        <f>HYPERLINK("https://www.philgeps.gov.ph/GEPSNONPILOT/Tender/SplashBidNoticeAbstractUI.aspx?menuIndex=3&amp;refID=7054748&amp;Result=3","7054748")</f>
        <v>0</v>
      </c>
      <c r="B9823" t="s">
        <v>2756</v>
      </c>
      <c r="C9823" t="s">
        <v>12832</v>
      </c>
      <c r="D9823" t="s">
        <v>18830</v>
      </c>
      <c r="E9823" t="s">
        <v>27400</v>
      </c>
      <c r="F9823" t="s">
        <v>32664</v>
      </c>
      <c r="G9823" t="s">
        <v>32672</v>
      </c>
      <c r="H9823" t="s">
        <v>32683</v>
      </c>
      <c r="I9823" t="s">
        <v>10627</v>
      </c>
      <c r="J9823" t="s">
        <v>32943</v>
      </c>
      <c r="K9823" t="s">
        <v>42283</v>
      </c>
      <c r="M9823" t="s">
        <v>45591</v>
      </c>
      <c r="N9823" t="s">
        <v>46569</v>
      </c>
      <c r="O9823" t="s">
        <v>46570</v>
      </c>
      <c r="P9823">
        <v>0</v>
      </c>
      <c r="Q9823">
        <v>0</v>
      </c>
      <c r="R9823" t="s">
        <v>46577</v>
      </c>
      <c r="S9823" t="s">
        <v>46808</v>
      </c>
      <c r="T9823" t="s">
        <v>48632</v>
      </c>
      <c r="U9823" t="s">
        <v>56691</v>
      </c>
      <c r="V9823" t="s">
        <v>62656</v>
      </c>
      <c r="W9823" t="s">
        <v>63569</v>
      </c>
      <c r="X9823" t="s">
        <v>46578</v>
      </c>
    </row>
    <row r="9824" spans="1:24">
      <c r="A9824">
        <f>HYPERLINK("https://www.philgeps.gov.ph/GEPSNONPILOT/Tender/SplashBidNoticeAbstractUI.aspx?menuIndex=3&amp;refID=7053898&amp;Result=3","7053898")</f>
        <v>0</v>
      </c>
      <c r="B9824" t="s">
        <v>1863</v>
      </c>
      <c r="C9824" t="s">
        <v>12833</v>
      </c>
      <c r="D9824" t="s">
        <v>18783</v>
      </c>
      <c r="E9824" t="s">
        <v>27401</v>
      </c>
      <c r="F9824" t="s">
        <v>32664</v>
      </c>
      <c r="G9824" t="s">
        <v>32672</v>
      </c>
      <c r="H9824" t="s">
        <v>12635</v>
      </c>
      <c r="I9824" t="s">
        <v>5589</v>
      </c>
      <c r="J9824" t="s">
        <v>38713</v>
      </c>
      <c r="K9824" t="s">
        <v>42378</v>
      </c>
      <c r="M9824" t="s">
        <v>44576</v>
      </c>
      <c r="N9824" t="s">
        <v>46569</v>
      </c>
      <c r="O9824" t="s">
        <v>46570</v>
      </c>
      <c r="P9824">
        <v>0</v>
      </c>
      <c r="Q9824">
        <v>1</v>
      </c>
      <c r="R9824" t="s">
        <v>46577</v>
      </c>
      <c r="S9824" t="s">
        <v>46808</v>
      </c>
      <c r="T9824" t="s">
        <v>48307</v>
      </c>
      <c r="U9824" t="s">
        <v>56692</v>
      </c>
      <c r="V9824" t="s">
        <v>62608</v>
      </c>
      <c r="W9824" t="s">
        <v>44576</v>
      </c>
      <c r="X9824" t="s">
        <v>46578</v>
      </c>
    </row>
    <row r="9825" spans="1:24">
      <c r="A9825">
        <f>HYPERLINK("https://www.philgeps.gov.ph/GEPSNONPILOT/Tender/SplashBidNoticeAbstractUI.aspx?menuIndex=3&amp;refID=7054747&amp;Result=3","7054747")</f>
        <v>0</v>
      </c>
      <c r="B9825" t="s">
        <v>1876</v>
      </c>
      <c r="C9825" t="s">
        <v>12834</v>
      </c>
      <c r="D9825" t="s">
        <v>18799</v>
      </c>
      <c r="E9825" t="s">
        <v>27402</v>
      </c>
      <c r="F9825" t="s">
        <v>32665</v>
      </c>
      <c r="G9825" t="s">
        <v>32671</v>
      </c>
      <c r="H9825" t="s">
        <v>12635</v>
      </c>
      <c r="I9825" t="s">
        <v>10370</v>
      </c>
      <c r="J9825" t="s">
        <v>33015</v>
      </c>
      <c r="K9825" t="s">
        <v>42283</v>
      </c>
      <c r="M9825" t="s">
        <v>44594</v>
      </c>
      <c r="N9825" t="s">
        <v>46569</v>
      </c>
      <c r="O9825" t="s">
        <v>46570</v>
      </c>
      <c r="P9825">
        <v>0</v>
      </c>
      <c r="Q9825">
        <v>0</v>
      </c>
      <c r="R9825" t="s">
        <v>46577</v>
      </c>
      <c r="S9825" t="s">
        <v>46808</v>
      </c>
      <c r="T9825" t="s">
        <v>48254</v>
      </c>
      <c r="U9825" t="s">
        <v>56693</v>
      </c>
      <c r="W9825" t="s">
        <v>44594</v>
      </c>
      <c r="X9825" t="s">
        <v>46578</v>
      </c>
    </row>
    <row r="9826" spans="1:24">
      <c r="A9826">
        <f>HYPERLINK("https://www.philgeps.gov.ph/GEPSNONPILOT/Tender/SplashBidNoticeAbstractUI.aspx?menuIndex=3&amp;refID=7054739&amp;Result=3","7054739")</f>
        <v>0</v>
      </c>
      <c r="B9826" t="s">
        <v>2691</v>
      </c>
      <c r="C9826" t="s">
        <v>12835</v>
      </c>
      <c r="D9826" t="s">
        <v>18804</v>
      </c>
      <c r="E9826" t="s">
        <v>27403</v>
      </c>
      <c r="F9826" t="s">
        <v>32664</v>
      </c>
      <c r="G9826" t="s">
        <v>32672</v>
      </c>
      <c r="H9826" t="s">
        <v>32683</v>
      </c>
      <c r="I9826" t="s">
        <v>10627</v>
      </c>
      <c r="J9826" t="s">
        <v>33150</v>
      </c>
      <c r="K9826" t="s">
        <v>42298</v>
      </c>
      <c r="M9826" t="s">
        <v>45517</v>
      </c>
      <c r="N9826" t="s">
        <v>46569</v>
      </c>
      <c r="O9826" t="s">
        <v>46570</v>
      </c>
      <c r="P9826">
        <v>0</v>
      </c>
      <c r="Q9826">
        <v>1</v>
      </c>
      <c r="R9826" t="s">
        <v>46577</v>
      </c>
      <c r="S9826" t="s">
        <v>46808</v>
      </c>
      <c r="T9826" t="s">
        <v>48469</v>
      </c>
      <c r="U9826" t="s">
        <v>56694</v>
      </c>
      <c r="V9826" t="s">
        <v>62178</v>
      </c>
      <c r="W9826" t="s">
        <v>45517</v>
      </c>
      <c r="X9826" t="s">
        <v>46578</v>
      </c>
    </row>
    <row r="9827" spans="1:24">
      <c r="A9827">
        <f>HYPERLINK("https://www.philgeps.gov.ph/GEPSNONPILOT/Tender/SplashBidNoticeAbstractUI.aspx?menuIndex=3&amp;refID=7054675&amp;Result=3","7054675")</f>
        <v>0</v>
      </c>
      <c r="B9827" t="s">
        <v>2749</v>
      </c>
      <c r="C9827" t="s">
        <v>7955</v>
      </c>
      <c r="D9827" t="s">
        <v>18806</v>
      </c>
      <c r="E9827" t="s">
        <v>19010</v>
      </c>
      <c r="F9827" t="s">
        <v>32664</v>
      </c>
      <c r="G9827" t="s">
        <v>32672</v>
      </c>
      <c r="H9827" t="s">
        <v>32683</v>
      </c>
      <c r="I9827" t="s">
        <v>10627</v>
      </c>
      <c r="J9827" t="s">
        <v>38714</v>
      </c>
      <c r="K9827" t="s">
        <v>42298</v>
      </c>
      <c r="M9827" t="s">
        <v>45583</v>
      </c>
      <c r="N9827" t="s">
        <v>46569</v>
      </c>
      <c r="O9827" t="s">
        <v>46570</v>
      </c>
      <c r="P9827">
        <v>0</v>
      </c>
      <c r="Q9827">
        <v>0</v>
      </c>
      <c r="R9827" t="s">
        <v>46577</v>
      </c>
      <c r="S9827" t="s">
        <v>46808</v>
      </c>
      <c r="T9827" t="s">
        <v>48420</v>
      </c>
      <c r="U9827" t="s">
        <v>56695</v>
      </c>
      <c r="W9827" t="s">
        <v>45583</v>
      </c>
      <c r="X9827" t="s">
        <v>46578</v>
      </c>
    </row>
    <row r="9828" spans="1:24">
      <c r="A9828">
        <f>HYPERLINK("https://www.philgeps.gov.ph/GEPSNONPILOT/Tender/SplashBidNoticeAbstractUI.aspx?menuIndex=3&amp;refID=7054732&amp;Result=3","7054732")</f>
        <v>0</v>
      </c>
      <c r="B9828" t="s">
        <v>2687</v>
      </c>
      <c r="C9828" t="s">
        <v>12836</v>
      </c>
      <c r="D9828" t="s">
        <v>18789</v>
      </c>
      <c r="E9828" t="s">
        <v>27031</v>
      </c>
      <c r="F9828" t="s">
        <v>32664</v>
      </c>
      <c r="G9828" t="s">
        <v>32672</v>
      </c>
      <c r="H9828" t="s">
        <v>12635</v>
      </c>
      <c r="I9828" t="s">
        <v>32721</v>
      </c>
      <c r="J9828" t="s">
        <v>38715</v>
      </c>
      <c r="K9828" t="s">
        <v>42297</v>
      </c>
      <c r="M9828" t="s">
        <v>45512</v>
      </c>
      <c r="N9828" t="s">
        <v>46569</v>
      </c>
      <c r="O9828" t="s">
        <v>46570</v>
      </c>
      <c r="P9828">
        <v>0</v>
      </c>
      <c r="Q9828">
        <v>0</v>
      </c>
      <c r="R9828" t="s">
        <v>46577</v>
      </c>
      <c r="S9828" t="s">
        <v>46808</v>
      </c>
      <c r="T9828" t="s">
        <v>48580</v>
      </c>
      <c r="U9828" t="s">
        <v>56696</v>
      </c>
      <c r="W9828" t="s">
        <v>45512</v>
      </c>
      <c r="X9828" t="s">
        <v>46578</v>
      </c>
    </row>
    <row r="9829" spans="1:24">
      <c r="A9829">
        <f>HYPERLINK("https://www.philgeps.gov.ph/GEPSNONPILOT/Tender/SplashBidNoticeAbstractUI.aspx?menuIndex=3&amp;refID=7054724&amp;Result=3","7054724")</f>
        <v>0</v>
      </c>
      <c r="B9829" t="s">
        <v>2726</v>
      </c>
      <c r="C9829" t="s">
        <v>12837</v>
      </c>
      <c r="D9829" t="s">
        <v>18794</v>
      </c>
      <c r="E9829" t="s">
        <v>27404</v>
      </c>
      <c r="F9829" t="s">
        <v>32664</v>
      </c>
      <c r="G9829" t="s">
        <v>32671</v>
      </c>
      <c r="H9829" t="s">
        <v>12635</v>
      </c>
      <c r="I9829" t="s">
        <v>8958</v>
      </c>
      <c r="J9829" t="s">
        <v>33752</v>
      </c>
      <c r="K9829" t="s">
        <v>42281</v>
      </c>
      <c r="M9829" t="s">
        <v>45556</v>
      </c>
      <c r="N9829" t="s">
        <v>46569</v>
      </c>
      <c r="O9829" t="s">
        <v>46570</v>
      </c>
      <c r="P9829">
        <v>0</v>
      </c>
      <c r="Q9829">
        <v>2</v>
      </c>
      <c r="R9829" t="s">
        <v>46577</v>
      </c>
      <c r="S9829" t="s">
        <v>46808</v>
      </c>
      <c r="T9829" t="s">
        <v>48448</v>
      </c>
      <c r="U9829" t="s">
        <v>56697</v>
      </c>
      <c r="W9829" t="s">
        <v>45556</v>
      </c>
      <c r="X9829" t="s">
        <v>46578</v>
      </c>
    </row>
    <row r="9830" spans="1:24">
      <c r="A9830">
        <f>HYPERLINK("https://www.philgeps.gov.ph/GEPSNONPILOT/Tender/SplashBidNoticeAbstractUI.aspx?menuIndex=3&amp;refID=7053894&amp;Result=3","7053894")</f>
        <v>0</v>
      </c>
      <c r="B9830" t="s">
        <v>1666</v>
      </c>
      <c r="C9830" t="s">
        <v>12838</v>
      </c>
      <c r="D9830" t="s">
        <v>18841</v>
      </c>
      <c r="E9830" t="s">
        <v>27405</v>
      </c>
      <c r="F9830" t="s">
        <v>32664</v>
      </c>
      <c r="G9830" t="s">
        <v>32672</v>
      </c>
      <c r="H9830" t="s">
        <v>32683</v>
      </c>
      <c r="I9830" t="s">
        <v>10627</v>
      </c>
      <c r="J9830" t="s">
        <v>38716</v>
      </c>
      <c r="K9830" t="s">
        <v>42301</v>
      </c>
      <c r="M9830" t="s">
        <v>44352</v>
      </c>
      <c r="N9830" t="s">
        <v>46569</v>
      </c>
      <c r="O9830" t="s">
        <v>46570</v>
      </c>
      <c r="P9830">
        <v>0</v>
      </c>
      <c r="Q9830">
        <v>0</v>
      </c>
      <c r="R9830" t="s">
        <v>46577</v>
      </c>
      <c r="S9830" t="s">
        <v>46808</v>
      </c>
      <c r="T9830" t="s">
        <v>48468</v>
      </c>
      <c r="U9830" t="s">
        <v>56698</v>
      </c>
      <c r="V9830" t="s">
        <v>54604</v>
      </c>
      <c r="W9830" t="s">
        <v>44352</v>
      </c>
      <c r="X9830" t="s">
        <v>46578</v>
      </c>
    </row>
    <row r="9831" spans="1:24">
      <c r="A9831">
        <f>HYPERLINK("https://www.philgeps.gov.ph/GEPSNONPILOT/Tender/SplashBidNoticeAbstractUI.aspx?menuIndex=3&amp;refID=7054723&amp;Result=3","7054723")</f>
        <v>0</v>
      </c>
      <c r="B9831" t="s">
        <v>269</v>
      </c>
      <c r="C9831" t="s">
        <v>12839</v>
      </c>
      <c r="D9831" t="s">
        <v>18831</v>
      </c>
      <c r="E9831" t="s">
        <v>27406</v>
      </c>
      <c r="F9831" t="s">
        <v>32664</v>
      </c>
      <c r="G9831" t="s">
        <v>32672</v>
      </c>
      <c r="H9831" t="s">
        <v>32683</v>
      </c>
      <c r="I9831" t="s">
        <v>10627</v>
      </c>
      <c r="J9831" t="s">
        <v>32898</v>
      </c>
      <c r="K9831" t="s">
        <v>42321</v>
      </c>
      <c r="M9831" t="s">
        <v>42834</v>
      </c>
      <c r="N9831" t="s">
        <v>46569</v>
      </c>
      <c r="O9831" t="s">
        <v>46570</v>
      </c>
      <c r="P9831">
        <v>0</v>
      </c>
      <c r="Q9831">
        <v>0</v>
      </c>
      <c r="R9831" t="s">
        <v>46577</v>
      </c>
      <c r="S9831" t="s">
        <v>46808</v>
      </c>
      <c r="T9831" t="s">
        <v>48283</v>
      </c>
      <c r="U9831" t="s">
        <v>56699</v>
      </c>
      <c r="W9831" t="s">
        <v>42834</v>
      </c>
      <c r="X9831" t="s">
        <v>46578</v>
      </c>
    </row>
    <row r="9832" spans="1:24">
      <c r="A9832">
        <f>HYPERLINK("https://www.philgeps.gov.ph/GEPSNONPILOT/Tender/SplashBidNoticeAbstractUI.aspx?menuIndex=3&amp;refID=7054722&amp;Result=3","7054722")</f>
        <v>0</v>
      </c>
      <c r="B9832" t="s">
        <v>2757</v>
      </c>
      <c r="C9832" t="s">
        <v>12840</v>
      </c>
      <c r="D9832" t="s">
        <v>18805</v>
      </c>
      <c r="E9832" t="s">
        <v>27407</v>
      </c>
      <c r="F9832" t="s">
        <v>32664</v>
      </c>
      <c r="G9832" t="s">
        <v>32674</v>
      </c>
      <c r="H9832" t="s">
        <v>12635</v>
      </c>
      <c r="I9832" t="s">
        <v>14442</v>
      </c>
      <c r="J9832" t="s">
        <v>33688</v>
      </c>
      <c r="K9832" t="s">
        <v>42281</v>
      </c>
      <c r="M9832" t="s">
        <v>45592</v>
      </c>
      <c r="N9832" t="s">
        <v>46569</v>
      </c>
      <c r="O9832" t="s">
        <v>46570</v>
      </c>
      <c r="P9832">
        <v>0</v>
      </c>
      <c r="Q9832">
        <v>7</v>
      </c>
      <c r="R9832" t="s">
        <v>46577</v>
      </c>
      <c r="S9832" t="s">
        <v>46808</v>
      </c>
      <c r="T9832" t="s">
        <v>48316</v>
      </c>
      <c r="U9832" t="s">
        <v>56700</v>
      </c>
      <c r="W9832" t="s">
        <v>45592</v>
      </c>
      <c r="X9832" t="s">
        <v>46578</v>
      </c>
    </row>
    <row r="9833" spans="1:24">
      <c r="A9833">
        <f>HYPERLINK("https://www.philgeps.gov.ph/GEPSNONPILOT/Tender/SplashBidNoticeAbstractUI.aspx?menuIndex=3&amp;refID=7054720&amp;Result=3","7054720")</f>
        <v>0</v>
      </c>
      <c r="B9833" t="s">
        <v>1876</v>
      </c>
      <c r="C9833" t="s">
        <v>12841</v>
      </c>
      <c r="D9833" t="s">
        <v>18799</v>
      </c>
      <c r="E9833" t="s">
        <v>19418</v>
      </c>
      <c r="F9833" t="s">
        <v>32665</v>
      </c>
      <c r="G9833" t="s">
        <v>32671</v>
      </c>
      <c r="H9833" t="s">
        <v>12635</v>
      </c>
      <c r="I9833" t="s">
        <v>13883</v>
      </c>
      <c r="J9833" t="s">
        <v>32902</v>
      </c>
      <c r="K9833" t="s">
        <v>42283</v>
      </c>
      <c r="M9833" t="s">
        <v>44594</v>
      </c>
      <c r="N9833" t="s">
        <v>46569</v>
      </c>
      <c r="O9833" t="s">
        <v>46570</v>
      </c>
      <c r="P9833">
        <v>0</v>
      </c>
      <c r="Q9833">
        <v>5</v>
      </c>
      <c r="R9833" t="s">
        <v>46577</v>
      </c>
      <c r="S9833" t="s">
        <v>46808</v>
      </c>
      <c r="T9833" t="s">
        <v>48254</v>
      </c>
      <c r="U9833" t="s">
        <v>56701</v>
      </c>
      <c r="W9833" t="s">
        <v>44594</v>
      </c>
      <c r="X9833" t="s">
        <v>46578</v>
      </c>
    </row>
    <row r="9834" spans="1:24">
      <c r="A9834">
        <f>HYPERLINK("https://www.philgeps.gov.ph/GEPSNONPILOT/Tender/SplashBidNoticeAbstractUI.aspx?menuIndex=3&amp;refID=7054719&amp;Result=3","7054719")</f>
        <v>0</v>
      </c>
      <c r="B9834" t="s">
        <v>2758</v>
      </c>
      <c r="C9834" t="s">
        <v>12842</v>
      </c>
      <c r="D9834" t="s">
        <v>18847</v>
      </c>
      <c r="E9834" t="s">
        <v>27408</v>
      </c>
      <c r="F9834" t="s">
        <v>32664</v>
      </c>
      <c r="G9834" t="s">
        <v>32672</v>
      </c>
      <c r="H9834" t="s">
        <v>32683</v>
      </c>
      <c r="I9834" t="s">
        <v>10627</v>
      </c>
      <c r="J9834" t="s">
        <v>38717</v>
      </c>
      <c r="K9834" t="s">
        <v>42298</v>
      </c>
      <c r="M9834" t="s">
        <v>45593</v>
      </c>
      <c r="N9834" t="s">
        <v>46569</v>
      </c>
      <c r="O9834" t="s">
        <v>46570</v>
      </c>
      <c r="P9834">
        <v>0</v>
      </c>
      <c r="Q9834">
        <v>1</v>
      </c>
      <c r="R9834" t="s">
        <v>46577</v>
      </c>
      <c r="S9834" t="s">
        <v>46808</v>
      </c>
      <c r="T9834" t="s">
        <v>48287</v>
      </c>
      <c r="U9834" t="s">
        <v>56702</v>
      </c>
      <c r="V9834" t="s">
        <v>62657</v>
      </c>
      <c r="W9834" t="s">
        <v>45593</v>
      </c>
      <c r="X9834" t="s">
        <v>46578</v>
      </c>
    </row>
    <row r="9835" spans="1:24">
      <c r="A9835">
        <f>HYPERLINK("https://www.philgeps.gov.ph/GEPSNONPILOT/Tender/SplashBidNoticeAbstractUI.aspx?menuIndex=3&amp;refID=7054726&amp;Result=3","7054726")</f>
        <v>0</v>
      </c>
      <c r="B9835" t="s">
        <v>2750</v>
      </c>
      <c r="C9835" t="s">
        <v>12811</v>
      </c>
      <c r="D9835" t="s">
        <v>18820</v>
      </c>
      <c r="E9835" t="s">
        <v>27409</v>
      </c>
      <c r="F9835" t="s">
        <v>32664</v>
      </c>
      <c r="G9835" t="s">
        <v>32674</v>
      </c>
      <c r="H9835" t="s">
        <v>12635</v>
      </c>
      <c r="I9835" t="s">
        <v>6168</v>
      </c>
      <c r="J9835" t="s">
        <v>34207</v>
      </c>
      <c r="K9835" t="s">
        <v>42284</v>
      </c>
      <c r="M9835" t="s">
        <v>45584</v>
      </c>
      <c r="N9835" t="s">
        <v>46569</v>
      </c>
      <c r="O9835" t="s">
        <v>46570</v>
      </c>
      <c r="P9835">
        <v>0</v>
      </c>
      <c r="Q9835">
        <v>1</v>
      </c>
      <c r="R9835" t="s">
        <v>46577</v>
      </c>
      <c r="S9835" t="s">
        <v>46808</v>
      </c>
      <c r="T9835" t="s">
        <v>48254</v>
      </c>
      <c r="U9835" t="s">
        <v>56669</v>
      </c>
      <c r="V9835" t="s">
        <v>62653</v>
      </c>
      <c r="W9835" t="s">
        <v>45584</v>
      </c>
      <c r="X9835" t="s">
        <v>46578</v>
      </c>
    </row>
    <row r="9836" spans="1:24">
      <c r="A9836">
        <f>HYPERLINK("https://www.philgeps.gov.ph/GEPSNONPILOT/Tender/SplashBidNoticeAbstractUI.aspx?menuIndex=3&amp;refID=7054716&amp;Result=3","7054716")</f>
        <v>0</v>
      </c>
      <c r="B9836" t="s">
        <v>459</v>
      </c>
      <c r="C9836" t="s">
        <v>12843</v>
      </c>
      <c r="D9836" t="s">
        <v>18857</v>
      </c>
      <c r="E9836" t="s">
        <v>27410</v>
      </c>
      <c r="F9836" t="s">
        <v>32664</v>
      </c>
      <c r="G9836" t="s">
        <v>32677</v>
      </c>
      <c r="H9836" t="s">
        <v>12635</v>
      </c>
      <c r="I9836" t="s">
        <v>4439</v>
      </c>
      <c r="J9836" t="s">
        <v>38718</v>
      </c>
      <c r="K9836" t="s">
        <v>42289</v>
      </c>
      <c r="M9836" t="s">
        <v>43032</v>
      </c>
      <c r="N9836" t="s">
        <v>46569</v>
      </c>
      <c r="O9836" t="s">
        <v>46570</v>
      </c>
      <c r="P9836">
        <v>0</v>
      </c>
      <c r="Q9836">
        <v>1</v>
      </c>
      <c r="R9836" t="s">
        <v>46577</v>
      </c>
      <c r="S9836" t="s">
        <v>46808</v>
      </c>
      <c r="T9836" t="s">
        <v>48228</v>
      </c>
      <c r="U9836" t="s">
        <v>56703</v>
      </c>
      <c r="W9836" t="s">
        <v>43032</v>
      </c>
      <c r="X9836" t="s">
        <v>46578</v>
      </c>
    </row>
    <row r="9837" spans="1:24">
      <c r="A9837">
        <f>HYPERLINK("https://www.philgeps.gov.ph/GEPSNONPILOT/Tender/SplashBidNoticeAbstractUI.aspx?menuIndex=3&amp;refID=7054120&amp;Result=3","7054120")</f>
        <v>0</v>
      </c>
      <c r="B9837" t="s">
        <v>1863</v>
      </c>
      <c r="C9837" t="s">
        <v>12388</v>
      </c>
      <c r="D9837" t="s">
        <v>18783</v>
      </c>
      <c r="E9837" t="s">
        <v>27411</v>
      </c>
      <c r="F9837" t="s">
        <v>32664</v>
      </c>
      <c r="G9837" t="s">
        <v>32672</v>
      </c>
      <c r="H9837" t="s">
        <v>12635</v>
      </c>
      <c r="I9837" t="s">
        <v>6223</v>
      </c>
      <c r="J9837" t="s">
        <v>34509</v>
      </c>
      <c r="K9837" t="s">
        <v>42378</v>
      </c>
      <c r="M9837" t="s">
        <v>44576</v>
      </c>
      <c r="N9837" t="s">
        <v>46569</v>
      </c>
      <c r="O9837" t="s">
        <v>46570</v>
      </c>
      <c r="P9837">
        <v>0</v>
      </c>
      <c r="Q9837">
        <v>0</v>
      </c>
      <c r="R9837" t="s">
        <v>46577</v>
      </c>
      <c r="S9837" t="s">
        <v>46808</v>
      </c>
      <c r="T9837" t="s">
        <v>48307</v>
      </c>
      <c r="U9837" t="s">
        <v>56704</v>
      </c>
      <c r="V9837" t="s">
        <v>62608</v>
      </c>
      <c r="W9837" t="s">
        <v>44576</v>
      </c>
      <c r="X9837" t="s">
        <v>46578</v>
      </c>
    </row>
    <row r="9838" spans="1:24">
      <c r="A9838">
        <f>HYPERLINK("https://www.philgeps.gov.ph/GEPSNONPILOT/Tender/SplashBidNoticeAbstractUI.aspx?menuIndex=3&amp;refID=7054715&amp;Result=3","7054715")</f>
        <v>0</v>
      </c>
      <c r="B9838" t="s">
        <v>475</v>
      </c>
      <c r="C9838" t="s">
        <v>12844</v>
      </c>
      <c r="D9838" t="s">
        <v>18796</v>
      </c>
      <c r="E9838" t="s">
        <v>27412</v>
      </c>
      <c r="F9838" t="s">
        <v>32664</v>
      </c>
      <c r="G9838" t="s">
        <v>32671</v>
      </c>
      <c r="H9838" t="s">
        <v>12635</v>
      </c>
      <c r="I9838" t="s">
        <v>32706</v>
      </c>
      <c r="J9838" t="s">
        <v>38719</v>
      </c>
      <c r="K9838" t="s">
        <v>42283</v>
      </c>
      <c r="M9838" t="s">
        <v>43050</v>
      </c>
      <c r="N9838" t="s">
        <v>46569</v>
      </c>
      <c r="O9838" t="s">
        <v>46570</v>
      </c>
      <c r="P9838">
        <v>0</v>
      </c>
      <c r="Q9838">
        <v>0</v>
      </c>
      <c r="R9838" t="s">
        <v>46577</v>
      </c>
      <c r="S9838" t="s">
        <v>46808</v>
      </c>
      <c r="T9838" t="s">
        <v>48640</v>
      </c>
      <c r="U9838" t="s">
        <v>56705</v>
      </c>
      <c r="W9838" t="s">
        <v>43050</v>
      </c>
      <c r="X9838" t="s">
        <v>46578</v>
      </c>
    </row>
    <row r="9839" spans="1:24">
      <c r="A9839">
        <f>HYPERLINK("https://www.philgeps.gov.ph/GEPSNONPILOT/Tender/SplashBidNoticeAbstractUI.aspx?menuIndex=3&amp;refID=7054740&amp;Result=3","7054740")</f>
        <v>0</v>
      </c>
      <c r="B9839" t="s">
        <v>2726</v>
      </c>
      <c r="C9839" t="s">
        <v>12845</v>
      </c>
      <c r="D9839" t="s">
        <v>18794</v>
      </c>
      <c r="E9839" t="s">
        <v>27413</v>
      </c>
      <c r="F9839" t="s">
        <v>32664</v>
      </c>
      <c r="G9839" t="s">
        <v>32671</v>
      </c>
      <c r="H9839" t="s">
        <v>12635</v>
      </c>
      <c r="I9839" t="s">
        <v>32711</v>
      </c>
      <c r="J9839" t="s">
        <v>36518</v>
      </c>
      <c r="K9839" t="s">
        <v>42281</v>
      </c>
      <c r="M9839" t="s">
        <v>45556</v>
      </c>
      <c r="N9839" t="s">
        <v>46569</v>
      </c>
      <c r="O9839" t="s">
        <v>46570</v>
      </c>
      <c r="P9839">
        <v>0</v>
      </c>
      <c r="Q9839">
        <v>0</v>
      </c>
      <c r="R9839" t="s">
        <v>46577</v>
      </c>
      <c r="S9839" t="s">
        <v>46808</v>
      </c>
      <c r="T9839" t="s">
        <v>48448</v>
      </c>
      <c r="U9839" t="s">
        <v>56706</v>
      </c>
      <c r="W9839" t="s">
        <v>45556</v>
      </c>
      <c r="X9839" t="s">
        <v>46578</v>
      </c>
    </row>
    <row r="9840" spans="1:24">
      <c r="A9840">
        <f>HYPERLINK("https://www.philgeps.gov.ph/GEPSNONPILOT/Tender/SplashBidNoticeAbstractUI.aspx?menuIndex=3&amp;refID=7054707&amp;Result=3","7054707")</f>
        <v>0</v>
      </c>
      <c r="B9840" t="s">
        <v>472</v>
      </c>
      <c r="C9840" t="s">
        <v>12846</v>
      </c>
      <c r="D9840" t="s">
        <v>18804</v>
      </c>
      <c r="E9840" t="s">
        <v>27414</v>
      </c>
      <c r="F9840" t="s">
        <v>32664</v>
      </c>
      <c r="G9840" t="s">
        <v>32671</v>
      </c>
      <c r="H9840" t="s">
        <v>12635</v>
      </c>
      <c r="I9840" t="s">
        <v>4439</v>
      </c>
      <c r="J9840" t="s">
        <v>38007</v>
      </c>
      <c r="K9840" t="s">
        <v>42303</v>
      </c>
      <c r="M9840" t="s">
        <v>43047</v>
      </c>
      <c r="N9840" t="s">
        <v>46569</v>
      </c>
      <c r="O9840" t="s">
        <v>46570</v>
      </c>
      <c r="P9840">
        <v>0</v>
      </c>
      <c r="Q9840">
        <v>0</v>
      </c>
      <c r="R9840" t="s">
        <v>46577</v>
      </c>
      <c r="S9840" t="s">
        <v>46808</v>
      </c>
      <c r="T9840" t="s">
        <v>48287</v>
      </c>
      <c r="U9840" t="s">
        <v>56707</v>
      </c>
      <c r="V9840" t="s">
        <v>61731</v>
      </c>
      <c r="W9840" t="s">
        <v>43047</v>
      </c>
      <c r="X9840" t="s">
        <v>46578</v>
      </c>
    </row>
    <row r="9841" spans="1:24">
      <c r="A9841">
        <f>HYPERLINK("https://www.philgeps.gov.ph/GEPSNONPILOT/Tender/SplashBidNoticeAbstractUI.aspx?menuIndex=3&amp;refID=7054706&amp;Result=3","7054706")</f>
        <v>0</v>
      </c>
      <c r="B9841" t="s">
        <v>2726</v>
      </c>
      <c r="C9841" t="s">
        <v>12847</v>
      </c>
      <c r="D9841" t="s">
        <v>18794</v>
      </c>
      <c r="E9841" t="s">
        <v>27415</v>
      </c>
      <c r="F9841" t="s">
        <v>32664</v>
      </c>
      <c r="G9841" t="s">
        <v>32671</v>
      </c>
      <c r="H9841" t="s">
        <v>12635</v>
      </c>
      <c r="I9841" t="s">
        <v>32704</v>
      </c>
      <c r="J9841" t="s">
        <v>38720</v>
      </c>
      <c r="K9841" t="s">
        <v>42281</v>
      </c>
      <c r="M9841" t="s">
        <v>45556</v>
      </c>
      <c r="N9841" t="s">
        <v>46569</v>
      </c>
      <c r="O9841" t="s">
        <v>46570</v>
      </c>
      <c r="P9841">
        <v>0</v>
      </c>
      <c r="Q9841">
        <v>3</v>
      </c>
      <c r="R9841" t="s">
        <v>46577</v>
      </c>
      <c r="S9841" t="s">
        <v>46808</v>
      </c>
      <c r="T9841" t="s">
        <v>48448</v>
      </c>
      <c r="U9841" t="s">
        <v>56708</v>
      </c>
      <c r="W9841" t="s">
        <v>45556</v>
      </c>
      <c r="X9841" t="s">
        <v>46578</v>
      </c>
    </row>
    <row r="9842" spans="1:24">
      <c r="A9842">
        <f>HYPERLINK("https://www.philgeps.gov.ph/GEPSNONPILOT/Tender/SplashBidNoticeAbstractUI.aspx?menuIndex=3&amp;refID=7054737&amp;Result=3","7054737")</f>
        <v>0</v>
      </c>
      <c r="B9842" t="s">
        <v>458</v>
      </c>
      <c r="C9842" t="s">
        <v>12848</v>
      </c>
      <c r="D9842" t="s">
        <v>18833</v>
      </c>
      <c r="E9842" t="s">
        <v>27416</v>
      </c>
      <c r="F9842" t="s">
        <v>32664</v>
      </c>
      <c r="G9842" t="s">
        <v>32672</v>
      </c>
      <c r="H9842" t="s">
        <v>12635</v>
      </c>
      <c r="I9842" t="s">
        <v>32686</v>
      </c>
      <c r="J9842" t="s">
        <v>38721</v>
      </c>
      <c r="K9842" t="s">
        <v>42289</v>
      </c>
      <c r="M9842" t="s">
        <v>43031</v>
      </c>
      <c r="N9842" t="s">
        <v>46569</v>
      </c>
      <c r="O9842" t="s">
        <v>46570</v>
      </c>
      <c r="P9842">
        <v>0</v>
      </c>
      <c r="Q9842">
        <v>2</v>
      </c>
      <c r="R9842" t="s">
        <v>46577</v>
      </c>
      <c r="S9842" t="s">
        <v>46808</v>
      </c>
      <c r="T9842" t="s">
        <v>48394</v>
      </c>
      <c r="U9842" t="s">
        <v>55696</v>
      </c>
      <c r="W9842" t="s">
        <v>43031</v>
      </c>
      <c r="X9842" t="s">
        <v>46578</v>
      </c>
    </row>
    <row r="9843" spans="1:24">
      <c r="A9843">
        <f>HYPERLINK("https://www.philgeps.gov.ph/GEPSNONPILOT/Tender/SplashBidNoticeAbstractUI.aspx?menuIndex=3&amp;refID=7054705&amp;Result=3","7054705")</f>
        <v>0</v>
      </c>
      <c r="B9843" t="s">
        <v>216</v>
      </c>
      <c r="C9843" t="s">
        <v>12849</v>
      </c>
      <c r="D9843" t="s">
        <v>18797</v>
      </c>
      <c r="E9843" t="s">
        <v>27417</v>
      </c>
      <c r="F9843" t="s">
        <v>32664</v>
      </c>
      <c r="G9843" t="s">
        <v>32672</v>
      </c>
      <c r="H9843" t="s">
        <v>32683</v>
      </c>
      <c r="I9843" t="s">
        <v>10627</v>
      </c>
      <c r="J9843" t="s">
        <v>38722</v>
      </c>
      <c r="K9843" t="s">
        <v>42284</v>
      </c>
      <c r="M9843" t="s">
        <v>42780</v>
      </c>
      <c r="N9843" t="s">
        <v>46569</v>
      </c>
      <c r="O9843" t="s">
        <v>46570</v>
      </c>
      <c r="P9843">
        <v>0</v>
      </c>
      <c r="Q9843">
        <v>0</v>
      </c>
      <c r="R9843" t="s">
        <v>46577</v>
      </c>
      <c r="S9843" t="s">
        <v>46808</v>
      </c>
      <c r="T9843" t="s">
        <v>48287</v>
      </c>
      <c r="U9843" t="s">
        <v>56709</v>
      </c>
      <c r="V9843" t="s">
        <v>62658</v>
      </c>
      <c r="W9843" t="s">
        <v>42780</v>
      </c>
      <c r="X9843" t="s">
        <v>46578</v>
      </c>
    </row>
    <row r="9844" spans="1:24">
      <c r="A9844">
        <f>HYPERLINK("https://www.philgeps.gov.ph/GEPSNONPILOT/Tender/SplashBidNoticeAbstractUI.aspx?menuIndex=3&amp;refID=7054718&amp;Result=3","7054718")</f>
        <v>0</v>
      </c>
      <c r="B9844" t="s">
        <v>1838</v>
      </c>
      <c r="C9844" t="s">
        <v>12850</v>
      </c>
      <c r="D9844" t="s">
        <v>18799</v>
      </c>
      <c r="E9844" t="s">
        <v>27418</v>
      </c>
      <c r="F9844" t="s">
        <v>32664</v>
      </c>
      <c r="G9844" t="s">
        <v>32674</v>
      </c>
      <c r="H9844" t="s">
        <v>12635</v>
      </c>
      <c r="I9844" t="s">
        <v>7324</v>
      </c>
      <c r="J9844" t="s">
        <v>32898</v>
      </c>
      <c r="K9844" t="s">
        <v>42281</v>
      </c>
      <c r="M9844" t="s">
        <v>44546</v>
      </c>
      <c r="N9844" t="s">
        <v>46569</v>
      </c>
      <c r="O9844" t="s">
        <v>46570</v>
      </c>
      <c r="Q9844">
        <v>1</v>
      </c>
      <c r="R9844" t="s">
        <v>46577</v>
      </c>
      <c r="S9844" t="s">
        <v>46857</v>
      </c>
      <c r="T9844" t="s">
        <v>48473</v>
      </c>
      <c r="U9844" t="s">
        <v>49565</v>
      </c>
      <c r="W9844" t="s">
        <v>44546</v>
      </c>
      <c r="X9844" t="s">
        <v>46578</v>
      </c>
    </row>
    <row r="9845" spans="1:24">
      <c r="A9845">
        <f>HYPERLINK("https://www.philgeps.gov.ph/GEPSNONPILOT/Tender/SplashBidNoticeAbstractUI.aspx?menuIndex=3&amp;refID=7054668&amp;Result=3","7054668")</f>
        <v>0</v>
      </c>
      <c r="B9845" t="s">
        <v>295</v>
      </c>
      <c r="C9845" t="s">
        <v>12851</v>
      </c>
      <c r="D9845" t="s">
        <v>18848</v>
      </c>
      <c r="E9845" t="s">
        <v>27419</v>
      </c>
      <c r="F9845" t="s">
        <v>32664</v>
      </c>
      <c r="G9845" t="s">
        <v>32672</v>
      </c>
      <c r="H9845" t="s">
        <v>12635</v>
      </c>
      <c r="I9845" t="s">
        <v>6628</v>
      </c>
      <c r="J9845" t="s">
        <v>33175</v>
      </c>
      <c r="K9845" t="s">
        <v>42297</v>
      </c>
      <c r="M9845" t="s">
        <v>45554</v>
      </c>
      <c r="N9845" t="s">
        <v>46569</v>
      </c>
      <c r="O9845" t="s">
        <v>46570</v>
      </c>
      <c r="P9845">
        <v>0</v>
      </c>
      <c r="Q9845">
        <v>0</v>
      </c>
      <c r="R9845" t="s">
        <v>46577</v>
      </c>
      <c r="S9845" t="s">
        <v>46808</v>
      </c>
      <c r="T9845" t="s">
        <v>48298</v>
      </c>
      <c r="U9845" t="s">
        <v>56710</v>
      </c>
      <c r="W9845" t="s">
        <v>45554</v>
      </c>
      <c r="X9845" t="s">
        <v>46578</v>
      </c>
    </row>
    <row r="9846" spans="1:24">
      <c r="A9846">
        <f>HYPERLINK("https://www.philgeps.gov.ph/GEPSNONPILOT/Tender/SplashBidNoticeAbstractUI.aspx?menuIndex=3&amp;refID=7054717&amp;Result=3","7054717")</f>
        <v>0</v>
      </c>
      <c r="B9846" t="s">
        <v>2726</v>
      </c>
      <c r="C9846" t="s">
        <v>12852</v>
      </c>
      <c r="D9846" t="s">
        <v>18794</v>
      </c>
      <c r="E9846" t="s">
        <v>27420</v>
      </c>
      <c r="F9846" t="s">
        <v>32664</v>
      </c>
      <c r="G9846" t="s">
        <v>32671</v>
      </c>
      <c r="H9846" t="s">
        <v>12635</v>
      </c>
      <c r="I9846" t="s">
        <v>32704</v>
      </c>
      <c r="J9846" t="s">
        <v>33136</v>
      </c>
      <c r="K9846" t="s">
        <v>42281</v>
      </c>
      <c r="M9846" t="s">
        <v>45556</v>
      </c>
      <c r="N9846" t="s">
        <v>46569</v>
      </c>
      <c r="O9846" t="s">
        <v>46570</v>
      </c>
      <c r="P9846">
        <v>0</v>
      </c>
      <c r="Q9846">
        <v>5</v>
      </c>
      <c r="R9846" t="s">
        <v>46577</v>
      </c>
      <c r="S9846" t="s">
        <v>46808</v>
      </c>
      <c r="T9846" t="s">
        <v>48448</v>
      </c>
      <c r="U9846" t="s">
        <v>56711</v>
      </c>
      <c r="W9846" t="s">
        <v>45556</v>
      </c>
      <c r="X9846" t="s">
        <v>46578</v>
      </c>
    </row>
    <row r="9847" spans="1:24">
      <c r="A9847">
        <f>HYPERLINK("https://www.philgeps.gov.ph/GEPSNONPILOT/Tender/SplashBidNoticeAbstractUI.aspx?menuIndex=3&amp;refID=7054663&amp;Result=3","7054663")</f>
        <v>0</v>
      </c>
      <c r="B9847" t="s">
        <v>1305</v>
      </c>
      <c r="C9847" t="s">
        <v>12853</v>
      </c>
      <c r="D9847" t="s">
        <v>18822</v>
      </c>
      <c r="E9847" t="s">
        <v>27421</v>
      </c>
      <c r="F9847" t="s">
        <v>32664</v>
      </c>
      <c r="G9847" t="s">
        <v>32671</v>
      </c>
      <c r="H9847" t="s">
        <v>12635</v>
      </c>
      <c r="I9847" t="s">
        <v>32754</v>
      </c>
      <c r="J9847" t="s">
        <v>32917</v>
      </c>
      <c r="K9847" t="s">
        <v>42295</v>
      </c>
      <c r="M9847" t="s">
        <v>45594</v>
      </c>
      <c r="N9847" t="s">
        <v>46569</v>
      </c>
      <c r="O9847" t="s">
        <v>46570</v>
      </c>
      <c r="P9847">
        <v>0</v>
      </c>
      <c r="Q9847">
        <v>3</v>
      </c>
      <c r="R9847" t="s">
        <v>46577</v>
      </c>
      <c r="S9847" t="s">
        <v>46808</v>
      </c>
      <c r="T9847" t="s">
        <v>48502</v>
      </c>
      <c r="U9847" t="s">
        <v>56712</v>
      </c>
      <c r="W9847" t="s">
        <v>45594</v>
      </c>
      <c r="X9847" t="s">
        <v>46578</v>
      </c>
    </row>
    <row r="9848" spans="1:24">
      <c r="A9848">
        <f>HYPERLINK("https://www.philgeps.gov.ph/GEPSNONPILOT/Tender/SplashBidNoticeAbstractUI.aspx?menuIndex=3&amp;refID=7054671&amp;Result=3","7054671")</f>
        <v>0</v>
      </c>
      <c r="B9848" t="s">
        <v>269</v>
      </c>
      <c r="C9848" t="s">
        <v>12854</v>
      </c>
      <c r="D9848" t="s">
        <v>18831</v>
      </c>
      <c r="E9848" t="s">
        <v>27422</v>
      </c>
      <c r="F9848" t="s">
        <v>32664</v>
      </c>
      <c r="G9848" t="s">
        <v>32672</v>
      </c>
      <c r="H9848" t="s">
        <v>32683</v>
      </c>
      <c r="I9848" t="s">
        <v>10627</v>
      </c>
      <c r="J9848" t="s">
        <v>32859</v>
      </c>
      <c r="K9848" t="s">
        <v>42321</v>
      </c>
      <c r="M9848" t="s">
        <v>42834</v>
      </c>
      <c r="N9848" t="s">
        <v>46569</v>
      </c>
      <c r="O9848" t="s">
        <v>46570</v>
      </c>
      <c r="P9848">
        <v>0</v>
      </c>
      <c r="Q9848">
        <v>0</v>
      </c>
      <c r="R9848" t="s">
        <v>46577</v>
      </c>
      <c r="S9848" t="s">
        <v>46808</v>
      </c>
      <c r="T9848" t="s">
        <v>48305</v>
      </c>
      <c r="U9848" t="s">
        <v>56713</v>
      </c>
      <c r="W9848" t="s">
        <v>42834</v>
      </c>
      <c r="X9848" t="s">
        <v>46578</v>
      </c>
    </row>
    <row r="9849" spans="1:24">
      <c r="A9849">
        <f>HYPERLINK("https://www.philgeps.gov.ph/GEPSNONPILOT/Tender/SplashBidNoticeAbstractUI.aspx?menuIndex=3&amp;refID=7054632&amp;Result=3","7054632")</f>
        <v>0</v>
      </c>
      <c r="B9849" t="s">
        <v>1876</v>
      </c>
      <c r="C9849" t="s">
        <v>12855</v>
      </c>
      <c r="D9849" t="s">
        <v>18799</v>
      </c>
      <c r="E9849" t="s">
        <v>27423</v>
      </c>
      <c r="F9849" t="s">
        <v>32665</v>
      </c>
      <c r="G9849" t="s">
        <v>32671</v>
      </c>
      <c r="H9849" t="s">
        <v>12635</v>
      </c>
      <c r="I9849" t="s">
        <v>10370</v>
      </c>
      <c r="J9849" t="s">
        <v>38723</v>
      </c>
      <c r="K9849" t="s">
        <v>42283</v>
      </c>
      <c r="M9849" t="s">
        <v>44594</v>
      </c>
      <c r="N9849" t="s">
        <v>46569</v>
      </c>
      <c r="O9849" t="s">
        <v>46570</v>
      </c>
      <c r="P9849">
        <v>0</v>
      </c>
      <c r="Q9849">
        <v>2</v>
      </c>
      <c r="R9849" t="s">
        <v>46577</v>
      </c>
      <c r="S9849" t="s">
        <v>46808</v>
      </c>
      <c r="T9849" t="s">
        <v>48254</v>
      </c>
      <c r="U9849" t="s">
        <v>56714</v>
      </c>
      <c r="W9849" t="s">
        <v>44594</v>
      </c>
      <c r="X9849" t="s">
        <v>46578</v>
      </c>
    </row>
    <row r="9850" spans="1:24">
      <c r="A9850">
        <f>HYPERLINK("https://www.philgeps.gov.ph/GEPSNONPILOT/Tender/SplashBidNoticeAbstractUI.aspx?menuIndex=3&amp;refID=7054665&amp;Result=3","7054665")</f>
        <v>0</v>
      </c>
      <c r="B9850" t="s">
        <v>2467</v>
      </c>
      <c r="C9850" t="s">
        <v>12856</v>
      </c>
      <c r="D9850" t="s">
        <v>18807</v>
      </c>
      <c r="E9850" t="s">
        <v>27424</v>
      </c>
      <c r="F9850" t="s">
        <v>32664</v>
      </c>
      <c r="G9850" t="s">
        <v>32672</v>
      </c>
      <c r="H9850" t="s">
        <v>12635</v>
      </c>
      <c r="I9850" t="s">
        <v>32690</v>
      </c>
      <c r="J9850" t="s">
        <v>33191</v>
      </c>
      <c r="K9850" t="s">
        <v>42281</v>
      </c>
      <c r="L9850" t="s">
        <v>2467</v>
      </c>
      <c r="M9850" t="s">
        <v>45264</v>
      </c>
      <c r="N9850" t="s">
        <v>46569</v>
      </c>
      <c r="O9850" t="s">
        <v>46570</v>
      </c>
      <c r="P9850">
        <v>0</v>
      </c>
      <c r="Q9850">
        <v>0</v>
      </c>
      <c r="R9850" t="s">
        <v>46577</v>
      </c>
      <c r="S9850" t="s">
        <v>46808</v>
      </c>
      <c r="T9850" t="s">
        <v>48228</v>
      </c>
      <c r="U9850" t="s">
        <v>56715</v>
      </c>
      <c r="V9850" t="s">
        <v>62659</v>
      </c>
      <c r="W9850" t="s">
        <v>45264</v>
      </c>
      <c r="X9850" t="s">
        <v>46578</v>
      </c>
    </row>
    <row r="9851" spans="1:24">
      <c r="A9851">
        <f>HYPERLINK("https://www.philgeps.gov.ph/GEPSNONPILOT/Tender/SplashBidNoticeAbstractUI.aspx?menuIndex=3&amp;refID=7054660&amp;Result=3","7054660")</f>
        <v>0</v>
      </c>
      <c r="B9851" t="s">
        <v>36</v>
      </c>
      <c r="C9851" t="s">
        <v>12857</v>
      </c>
      <c r="D9851" t="s">
        <v>18792</v>
      </c>
      <c r="E9851" t="s">
        <v>27425</v>
      </c>
      <c r="F9851" t="s">
        <v>32664</v>
      </c>
      <c r="G9851" t="s">
        <v>32671</v>
      </c>
      <c r="H9851" t="s">
        <v>12635</v>
      </c>
      <c r="I9851" t="s">
        <v>32689</v>
      </c>
      <c r="J9851" t="s">
        <v>38724</v>
      </c>
      <c r="K9851" t="s">
        <v>42281</v>
      </c>
      <c r="M9851" t="s">
        <v>42598</v>
      </c>
      <c r="N9851" t="s">
        <v>46569</v>
      </c>
      <c r="O9851" t="s">
        <v>46570</v>
      </c>
      <c r="P9851">
        <v>0</v>
      </c>
      <c r="Q9851">
        <v>1</v>
      </c>
      <c r="R9851" t="s">
        <v>46577</v>
      </c>
      <c r="S9851" t="s">
        <v>46808</v>
      </c>
      <c r="T9851" t="s">
        <v>48316</v>
      </c>
      <c r="U9851" t="s">
        <v>56716</v>
      </c>
      <c r="V9851" t="s">
        <v>61610</v>
      </c>
      <c r="W9851" t="s">
        <v>42598</v>
      </c>
      <c r="X9851" t="s">
        <v>46578</v>
      </c>
    </row>
    <row r="9852" spans="1:24">
      <c r="A9852">
        <f>HYPERLINK("https://www.philgeps.gov.ph/GEPSNONPILOT/Tender/SplashBidNoticeAbstractUI.aspx?menuIndex=3&amp;refID=7054630&amp;Result=3","7054630")</f>
        <v>0</v>
      </c>
      <c r="B9852" t="s">
        <v>2759</v>
      </c>
      <c r="C9852" t="s">
        <v>12858</v>
      </c>
      <c r="D9852" t="s">
        <v>18826</v>
      </c>
      <c r="E9852" t="s">
        <v>27426</v>
      </c>
      <c r="F9852" t="s">
        <v>32664</v>
      </c>
      <c r="G9852" t="s">
        <v>32672</v>
      </c>
      <c r="H9852" t="s">
        <v>12635</v>
      </c>
      <c r="I9852" t="s">
        <v>4439</v>
      </c>
      <c r="J9852" t="s">
        <v>38725</v>
      </c>
      <c r="K9852" t="s">
        <v>42284</v>
      </c>
      <c r="M9852" t="s">
        <v>45595</v>
      </c>
      <c r="N9852" t="s">
        <v>46569</v>
      </c>
      <c r="O9852" t="s">
        <v>46570</v>
      </c>
      <c r="P9852">
        <v>0</v>
      </c>
      <c r="Q9852">
        <v>2</v>
      </c>
      <c r="R9852" t="s">
        <v>46577</v>
      </c>
      <c r="S9852" t="s">
        <v>46808</v>
      </c>
      <c r="T9852" t="s">
        <v>48305</v>
      </c>
      <c r="U9852" t="s">
        <v>56717</v>
      </c>
      <c r="V9852" t="s">
        <v>62660</v>
      </c>
      <c r="W9852" t="s">
        <v>45595</v>
      </c>
      <c r="X9852" t="s">
        <v>46578</v>
      </c>
    </row>
    <row r="9853" spans="1:24">
      <c r="A9853">
        <f>HYPERLINK("https://www.philgeps.gov.ph/GEPSNONPILOT/Tender/SplashBidNoticeAbstractUI.aspx?menuIndex=3&amp;refID=7054624&amp;Result=3","7054624")</f>
        <v>0</v>
      </c>
      <c r="B9853" t="s">
        <v>295</v>
      </c>
      <c r="C9853" t="s">
        <v>12859</v>
      </c>
      <c r="D9853" t="s">
        <v>18848</v>
      </c>
      <c r="E9853" t="s">
        <v>27427</v>
      </c>
      <c r="F9853" t="s">
        <v>32664</v>
      </c>
      <c r="G9853" t="s">
        <v>32672</v>
      </c>
      <c r="H9853" t="s">
        <v>12635</v>
      </c>
      <c r="I9853" t="s">
        <v>6628</v>
      </c>
      <c r="J9853" t="s">
        <v>33831</v>
      </c>
      <c r="K9853" t="s">
        <v>42297</v>
      </c>
      <c r="M9853" t="s">
        <v>45554</v>
      </c>
      <c r="N9853" t="s">
        <v>46569</v>
      </c>
      <c r="O9853" t="s">
        <v>46570</v>
      </c>
      <c r="P9853">
        <v>0</v>
      </c>
      <c r="Q9853">
        <v>0</v>
      </c>
      <c r="R9853" t="s">
        <v>46577</v>
      </c>
      <c r="S9853" t="s">
        <v>46808</v>
      </c>
      <c r="T9853" t="s">
        <v>48298</v>
      </c>
      <c r="U9853" t="s">
        <v>56718</v>
      </c>
      <c r="W9853" t="s">
        <v>45554</v>
      </c>
      <c r="X9853" t="s">
        <v>46578</v>
      </c>
    </row>
    <row r="9854" spans="1:24">
      <c r="A9854">
        <f>HYPERLINK("https://www.philgeps.gov.ph/GEPSNONPILOT/Tender/SplashBidNoticeAbstractUI.aspx?menuIndex=3&amp;refID=7054623&amp;Result=3","7054623")</f>
        <v>0</v>
      </c>
      <c r="B9854" t="s">
        <v>2760</v>
      </c>
      <c r="C9854" t="s">
        <v>12860</v>
      </c>
      <c r="D9854" t="s">
        <v>18799</v>
      </c>
      <c r="E9854" t="s">
        <v>12860</v>
      </c>
      <c r="F9854" t="s">
        <v>32664</v>
      </c>
      <c r="G9854" t="s">
        <v>32671</v>
      </c>
      <c r="H9854" t="s">
        <v>12635</v>
      </c>
      <c r="I9854" t="s">
        <v>32692</v>
      </c>
      <c r="J9854" t="s">
        <v>38726</v>
      </c>
      <c r="K9854" t="s">
        <v>42309</v>
      </c>
      <c r="M9854" t="s">
        <v>45596</v>
      </c>
      <c r="N9854" t="s">
        <v>46569</v>
      </c>
      <c r="O9854" t="s">
        <v>46570</v>
      </c>
      <c r="P9854">
        <v>0</v>
      </c>
      <c r="Q9854">
        <v>0</v>
      </c>
      <c r="R9854" t="s">
        <v>46577</v>
      </c>
      <c r="S9854" t="s">
        <v>46808</v>
      </c>
      <c r="T9854" t="s">
        <v>48254</v>
      </c>
      <c r="U9854" t="s">
        <v>56719</v>
      </c>
      <c r="W9854" t="s">
        <v>45596</v>
      </c>
      <c r="X9854" t="s">
        <v>46578</v>
      </c>
    </row>
    <row r="9855" spans="1:24">
      <c r="A9855">
        <f>HYPERLINK("https://www.philgeps.gov.ph/GEPSNONPILOT/Tender/SplashBidNoticeAbstractUI.aspx?menuIndex=3&amp;refID=7054615&amp;Result=3","7054615")</f>
        <v>0</v>
      </c>
      <c r="B9855" t="s">
        <v>1397</v>
      </c>
      <c r="C9855" t="s">
        <v>7627</v>
      </c>
      <c r="D9855" t="s">
        <v>18803</v>
      </c>
      <c r="E9855" t="s">
        <v>27428</v>
      </c>
      <c r="F9855" t="s">
        <v>32664</v>
      </c>
      <c r="G9855" t="s">
        <v>32678</v>
      </c>
      <c r="H9855" t="s">
        <v>32681</v>
      </c>
      <c r="I9855" t="s">
        <v>32681</v>
      </c>
      <c r="J9855" t="s">
        <v>35600</v>
      </c>
      <c r="K9855" t="s">
        <v>42377</v>
      </c>
      <c r="M9855" t="s">
        <v>44054</v>
      </c>
      <c r="N9855" t="s">
        <v>46569</v>
      </c>
      <c r="O9855" t="s">
        <v>46570</v>
      </c>
      <c r="P9855">
        <v>0</v>
      </c>
      <c r="Q9855">
        <v>0</v>
      </c>
      <c r="R9855" t="s">
        <v>46577</v>
      </c>
      <c r="S9855" t="s">
        <v>46808</v>
      </c>
      <c r="T9855" t="s">
        <v>48492</v>
      </c>
      <c r="U9855" t="s">
        <v>52291</v>
      </c>
      <c r="W9855" t="s">
        <v>44054</v>
      </c>
      <c r="X9855" t="s">
        <v>46578</v>
      </c>
    </row>
    <row r="9856" spans="1:24">
      <c r="A9856">
        <f>HYPERLINK("https://www.philgeps.gov.ph/GEPSNONPILOT/Tender/SplashBidNoticeAbstractUI.aspx?menuIndex=3&amp;refID=7054613&amp;Result=3","7054613")</f>
        <v>0</v>
      </c>
      <c r="B9856" t="s">
        <v>1939</v>
      </c>
      <c r="C9856" t="s">
        <v>12861</v>
      </c>
      <c r="D9856" t="s">
        <v>18782</v>
      </c>
      <c r="E9856" t="s">
        <v>27429</v>
      </c>
      <c r="F9856" t="s">
        <v>32664</v>
      </c>
      <c r="G9856" t="s">
        <v>32672</v>
      </c>
      <c r="H9856" t="s">
        <v>32683</v>
      </c>
      <c r="I9856" t="s">
        <v>10627</v>
      </c>
      <c r="J9856" t="s">
        <v>32943</v>
      </c>
      <c r="K9856" t="s">
        <v>42298</v>
      </c>
      <c r="L9856" t="s">
        <v>1939</v>
      </c>
      <c r="M9856" t="s">
        <v>44664</v>
      </c>
      <c r="N9856" t="s">
        <v>46569</v>
      </c>
      <c r="O9856" t="s">
        <v>46570</v>
      </c>
      <c r="P9856">
        <v>0</v>
      </c>
      <c r="Q9856">
        <v>2</v>
      </c>
      <c r="R9856" t="s">
        <v>46577</v>
      </c>
      <c r="S9856" t="s">
        <v>46808</v>
      </c>
      <c r="T9856" t="s">
        <v>48453</v>
      </c>
      <c r="U9856" t="s">
        <v>56720</v>
      </c>
      <c r="W9856" t="s">
        <v>44664</v>
      </c>
      <c r="X9856" t="s">
        <v>46578</v>
      </c>
    </row>
    <row r="9857" spans="1:24">
      <c r="A9857">
        <f>HYPERLINK("https://www.philgeps.gov.ph/GEPSNONPILOT/Tender/SplashBidNoticeAbstractUI.aspx?menuIndex=3&amp;refID=7054631&amp;Result=3","7054631")</f>
        <v>0</v>
      </c>
      <c r="B9857" t="s">
        <v>2691</v>
      </c>
      <c r="C9857" t="s">
        <v>12862</v>
      </c>
      <c r="D9857" t="s">
        <v>18804</v>
      </c>
      <c r="E9857" t="s">
        <v>27430</v>
      </c>
      <c r="F9857" t="s">
        <v>32664</v>
      </c>
      <c r="G9857" t="s">
        <v>32672</v>
      </c>
      <c r="H9857" t="s">
        <v>12635</v>
      </c>
      <c r="I9857" t="s">
        <v>8797</v>
      </c>
      <c r="J9857" t="s">
        <v>38727</v>
      </c>
      <c r="K9857" t="s">
        <v>42281</v>
      </c>
      <c r="M9857" t="s">
        <v>45517</v>
      </c>
      <c r="N9857" t="s">
        <v>46569</v>
      </c>
      <c r="O9857" t="s">
        <v>46570</v>
      </c>
      <c r="P9857">
        <v>0</v>
      </c>
      <c r="Q9857">
        <v>3</v>
      </c>
      <c r="R9857" t="s">
        <v>46577</v>
      </c>
      <c r="S9857" t="s">
        <v>46808</v>
      </c>
      <c r="T9857" t="s">
        <v>48469</v>
      </c>
      <c r="U9857" t="s">
        <v>56721</v>
      </c>
      <c r="V9857" t="s">
        <v>62178</v>
      </c>
      <c r="W9857" t="s">
        <v>45517</v>
      </c>
      <c r="X9857" t="s">
        <v>46578</v>
      </c>
    </row>
    <row r="9858" spans="1:24">
      <c r="A9858">
        <f>HYPERLINK("https://www.philgeps.gov.ph/GEPSNONPILOT/Tender/SplashBidNoticeAbstractUI.aspx?menuIndex=3&amp;refID=7054626&amp;Result=3","7054626")</f>
        <v>0</v>
      </c>
      <c r="B9858" t="s">
        <v>2761</v>
      </c>
      <c r="C9858" t="s">
        <v>12863</v>
      </c>
      <c r="D9858" t="s">
        <v>18799</v>
      </c>
      <c r="E9858" t="s">
        <v>27431</v>
      </c>
      <c r="F9858" t="s">
        <v>32664</v>
      </c>
      <c r="G9858" t="s">
        <v>32674</v>
      </c>
      <c r="H9858" t="s">
        <v>12635</v>
      </c>
      <c r="I9858" t="s">
        <v>6168</v>
      </c>
      <c r="J9858" t="s">
        <v>38728</v>
      </c>
      <c r="K9858" t="s">
        <v>42297</v>
      </c>
      <c r="M9858" t="s">
        <v>45597</v>
      </c>
      <c r="N9858" t="s">
        <v>46569</v>
      </c>
      <c r="O9858" t="s">
        <v>46570</v>
      </c>
      <c r="P9858">
        <v>0</v>
      </c>
      <c r="Q9858">
        <v>0</v>
      </c>
      <c r="R9858" t="s">
        <v>46577</v>
      </c>
      <c r="S9858" t="s">
        <v>46808</v>
      </c>
      <c r="T9858" t="s">
        <v>48219</v>
      </c>
      <c r="U9858" t="s">
        <v>56722</v>
      </c>
      <c r="W9858" t="s">
        <v>45597</v>
      </c>
      <c r="X9858" t="s">
        <v>46578</v>
      </c>
    </row>
    <row r="9859" spans="1:24">
      <c r="A9859">
        <f>HYPERLINK("https://www.philgeps.gov.ph/GEPSNONPILOT/Tender/SplashBidNoticeAbstractUI.aspx?menuIndex=3&amp;refID=7054557&amp;Result=3","7054557")</f>
        <v>0</v>
      </c>
      <c r="B9859" t="s">
        <v>2726</v>
      </c>
      <c r="C9859" t="s">
        <v>12864</v>
      </c>
      <c r="D9859" t="s">
        <v>18794</v>
      </c>
      <c r="E9859" t="s">
        <v>27432</v>
      </c>
      <c r="F9859" t="s">
        <v>32664</v>
      </c>
      <c r="G9859" t="s">
        <v>32671</v>
      </c>
      <c r="H9859" t="s">
        <v>12635</v>
      </c>
      <c r="I9859" t="s">
        <v>10361</v>
      </c>
      <c r="J9859" t="s">
        <v>33391</v>
      </c>
      <c r="K9859" t="s">
        <v>42281</v>
      </c>
      <c r="M9859" t="s">
        <v>45556</v>
      </c>
      <c r="N9859" t="s">
        <v>46569</v>
      </c>
      <c r="O9859" t="s">
        <v>46570</v>
      </c>
      <c r="P9859">
        <v>0</v>
      </c>
      <c r="Q9859">
        <v>0</v>
      </c>
      <c r="R9859" t="s">
        <v>46577</v>
      </c>
      <c r="S9859" t="s">
        <v>46808</v>
      </c>
      <c r="T9859" t="s">
        <v>48448</v>
      </c>
      <c r="U9859" t="s">
        <v>56723</v>
      </c>
      <c r="W9859" t="s">
        <v>45556</v>
      </c>
      <c r="X9859" t="s">
        <v>46578</v>
      </c>
    </row>
    <row r="9860" spans="1:24">
      <c r="A9860">
        <f>HYPERLINK("https://www.philgeps.gov.ph/GEPSNONPILOT/Tender/SplashBidNoticeAbstractUI.aspx?menuIndex=3&amp;refID=7054751&amp;Result=3","7054751")</f>
        <v>0</v>
      </c>
      <c r="B9860" t="s">
        <v>295</v>
      </c>
      <c r="C9860" t="s">
        <v>12865</v>
      </c>
      <c r="D9860" t="s">
        <v>18848</v>
      </c>
      <c r="E9860" t="s">
        <v>27433</v>
      </c>
      <c r="F9860" t="s">
        <v>32664</v>
      </c>
      <c r="G9860" t="s">
        <v>32672</v>
      </c>
      <c r="H9860" t="s">
        <v>12635</v>
      </c>
      <c r="I9860" t="s">
        <v>6628</v>
      </c>
      <c r="J9860" t="s">
        <v>33621</v>
      </c>
      <c r="K9860" t="s">
        <v>42297</v>
      </c>
      <c r="M9860" t="s">
        <v>45554</v>
      </c>
      <c r="N9860" t="s">
        <v>46569</v>
      </c>
      <c r="O9860" t="s">
        <v>46570</v>
      </c>
      <c r="P9860">
        <v>0</v>
      </c>
      <c r="Q9860">
        <v>0</v>
      </c>
      <c r="R9860" t="s">
        <v>46577</v>
      </c>
      <c r="S9860" t="s">
        <v>46808</v>
      </c>
      <c r="T9860" t="s">
        <v>48298</v>
      </c>
      <c r="U9860" t="s">
        <v>56724</v>
      </c>
      <c r="W9860" t="s">
        <v>45554</v>
      </c>
      <c r="X9860" t="s">
        <v>46578</v>
      </c>
    </row>
    <row r="9861" spans="1:24">
      <c r="A9861">
        <f>HYPERLINK("https://www.philgeps.gov.ph/GEPSNONPILOT/Tender/SplashBidNoticeAbstractUI.aspx?menuIndex=3&amp;refID=7054800&amp;Result=3","7054800")</f>
        <v>0</v>
      </c>
      <c r="B9861" t="s">
        <v>2762</v>
      </c>
      <c r="C9861" t="s">
        <v>12866</v>
      </c>
      <c r="D9861" t="s">
        <v>18810</v>
      </c>
      <c r="E9861" t="s">
        <v>27434</v>
      </c>
      <c r="F9861" t="s">
        <v>32664</v>
      </c>
      <c r="G9861" t="s">
        <v>32673</v>
      </c>
      <c r="H9861" t="s">
        <v>32683</v>
      </c>
      <c r="I9861" t="s">
        <v>10627</v>
      </c>
      <c r="J9861" t="s">
        <v>38729</v>
      </c>
      <c r="K9861" t="s">
        <v>42311</v>
      </c>
      <c r="M9861" t="s">
        <v>45598</v>
      </c>
      <c r="N9861" t="s">
        <v>46569</v>
      </c>
      <c r="O9861" t="s">
        <v>46570</v>
      </c>
      <c r="Q9861">
        <v>0</v>
      </c>
      <c r="R9861" t="s">
        <v>46577</v>
      </c>
      <c r="S9861" t="s">
        <v>46858</v>
      </c>
      <c r="T9861" t="s">
        <v>48213</v>
      </c>
      <c r="U9861" t="s">
        <v>56725</v>
      </c>
      <c r="W9861" t="s">
        <v>45598</v>
      </c>
      <c r="X9861" t="s">
        <v>46578</v>
      </c>
    </row>
    <row r="9862" spans="1:24">
      <c r="A9862">
        <f>HYPERLINK("https://www.philgeps.gov.ph/GEPSNONPILOT/Tender/SplashBidNoticeAbstractUI.aspx?menuIndex=3&amp;refID=7054658&amp;Result=3","7054658")</f>
        <v>0</v>
      </c>
      <c r="B9862" t="s">
        <v>295</v>
      </c>
      <c r="C9862" t="s">
        <v>12867</v>
      </c>
      <c r="D9862" t="s">
        <v>18848</v>
      </c>
      <c r="E9862" t="s">
        <v>27435</v>
      </c>
      <c r="F9862" t="s">
        <v>32664</v>
      </c>
      <c r="G9862" t="s">
        <v>32672</v>
      </c>
      <c r="H9862" t="s">
        <v>12635</v>
      </c>
      <c r="I9862" t="s">
        <v>6628</v>
      </c>
      <c r="J9862" t="s">
        <v>33621</v>
      </c>
      <c r="K9862" t="s">
        <v>42297</v>
      </c>
      <c r="M9862" t="s">
        <v>45554</v>
      </c>
      <c r="N9862" t="s">
        <v>46569</v>
      </c>
      <c r="O9862" t="s">
        <v>46570</v>
      </c>
      <c r="P9862">
        <v>0</v>
      </c>
      <c r="Q9862">
        <v>0</v>
      </c>
      <c r="R9862" t="s">
        <v>46577</v>
      </c>
      <c r="S9862" t="s">
        <v>46808</v>
      </c>
      <c r="T9862" t="s">
        <v>48298</v>
      </c>
      <c r="U9862" t="s">
        <v>56726</v>
      </c>
      <c r="W9862" t="s">
        <v>45554</v>
      </c>
      <c r="X9862" t="s">
        <v>46578</v>
      </c>
    </row>
    <row r="9863" spans="1:24">
      <c r="A9863">
        <f>HYPERLINK("https://www.philgeps.gov.ph/GEPSNONPILOT/Tender/SplashBidNoticeAbstractUI.aspx?menuIndex=3&amp;refID=7054791&amp;Result=3","7054791")</f>
        <v>0</v>
      </c>
      <c r="B9863" t="s">
        <v>36</v>
      </c>
      <c r="C9863" t="s">
        <v>12868</v>
      </c>
      <c r="D9863" t="s">
        <v>18792</v>
      </c>
      <c r="E9863" t="s">
        <v>27436</v>
      </c>
      <c r="F9863" t="s">
        <v>32664</v>
      </c>
      <c r="G9863" t="s">
        <v>32671</v>
      </c>
      <c r="H9863" t="s">
        <v>12635</v>
      </c>
      <c r="I9863" t="s">
        <v>32684</v>
      </c>
      <c r="J9863" t="s">
        <v>38730</v>
      </c>
      <c r="K9863" t="s">
        <v>42281</v>
      </c>
      <c r="M9863" t="s">
        <v>42598</v>
      </c>
      <c r="N9863" t="s">
        <v>46569</v>
      </c>
      <c r="O9863" t="s">
        <v>46570</v>
      </c>
      <c r="P9863">
        <v>0</v>
      </c>
      <c r="Q9863">
        <v>3</v>
      </c>
      <c r="R9863" t="s">
        <v>46577</v>
      </c>
      <c r="S9863" t="s">
        <v>46808</v>
      </c>
      <c r="T9863" t="s">
        <v>48316</v>
      </c>
      <c r="U9863" t="s">
        <v>56727</v>
      </c>
      <c r="V9863" t="s">
        <v>61610</v>
      </c>
      <c r="W9863" t="s">
        <v>42598</v>
      </c>
      <c r="X9863" t="s">
        <v>46578</v>
      </c>
    </row>
    <row r="9864" spans="1:24">
      <c r="A9864">
        <f>HYPERLINK("https://www.philgeps.gov.ph/GEPSNONPILOT/Tender/SplashBidNoticeAbstractUI.aspx?menuIndex=3&amp;refID=7054614&amp;Result=3","7054614")</f>
        <v>0</v>
      </c>
      <c r="B9864" t="s">
        <v>146</v>
      </c>
      <c r="C9864" t="s">
        <v>12869</v>
      </c>
      <c r="D9864" t="s">
        <v>18826</v>
      </c>
      <c r="E9864" t="s">
        <v>27437</v>
      </c>
      <c r="F9864" t="s">
        <v>32664</v>
      </c>
      <c r="G9864" t="s">
        <v>32671</v>
      </c>
      <c r="H9864" t="s">
        <v>12635</v>
      </c>
      <c r="I9864" t="s">
        <v>8730</v>
      </c>
      <c r="J9864" t="s">
        <v>38731</v>
      </c>
      <c r="K9864" t="s">
        <v>42281</v>
      </c>
      <c r="M9864" t="s">
        <v>45567</v>
      </c>
      <c r="N9864" t="s">
        <v>46569</v>
      </c>
      <c r="O9864" t="s">
        <v>46570</v>
      </c>
      <c r="P9864">
        <v>0</v>
      </c>
      <c r="Q9864">
        <v>8</v>
      </c>
      <c r="R9864" t="s">
        <v>46577</v>
      </c>
      <c r="S9864" t="s">
        <v>46808</v>
      </c>
      <c r="T9864" t="s">
        <v>48244</v>
      </c>
      <c r="U9864" t="s">
        <v>56728</v>
      </c>
      <c r="W9864" t="s">
        <v>45567</v>
      </c>
      <c r="X9864" t="s">
        <v>46578</v>
      </c>
    </row>
    <row r="9865" spans="1:24">
      <c r="A9865">
        <f>HYPERLINK("https://www.philgeps.gov.ph/GEPSNONPILOT/Tender/SplashBidNoticeAbstractUI.aspx?menuIndex=3&amp;refID=7054659&amp;Result=3","7054659")</f>
        <v>0</v>
      </c>
      <c r="B9865" t="s">
        <v>1939</v>
      </c>
      <c r="C9865" t="s">
        <v>12870</v>
      </c>
      <c r="D9865" t="s">
        <v>18782</v>
      </c>
      <c r="E9865" t="s">
        <v>27438</v>
      </c>
      <c r="F9865" t="s">
        <v>32664</v>
      </c>
      <c r="G9865" t="s">
        <v>32672</v>
      </c>
      <c r="H9865" t="s">
        <v>12635</v>
      </c>
      <c r="I9865" t="s">
        <v>4439</v>
      </c>
      <c r="J9865" t="s">
        <v>34519</v>
      </c>
      <c r="K9865" t="s">
        <v>42298</v>
      </c>
      <c r="L9865" t="s">
        <v>1939</v>
      </c>
      <c r="M9865" t="s">
        <v>44664</v>
      </c>
      <c r="N9865" t="s">
        <v>46569</v>
      </c>
      <c r="O9865" t="s">
        <v>46570</v>
      </c>
      <c r="P9865">
        <v>0</v>
      </c>
      <c r="Q9865">
        <v>0</v>
      </c>
      <c r="R9865" t="s">
        <v>46577</v>
      </c>
      <c r="S9865" t="s">
        <v>46808</v>
      </c>
      <c r="T9865" t="s">
        <v>48453</v>
      </c>
      <c r="U9865" t="s">
        <v>56729</v>
      </c>
      <c r="W9865" t="s">
        <v>44664</v>
      </c>
      <c r="X9865" t="s">
        <v>46578</v>
      </c>
    </row>
    <row r="9866" spans="1:24">
      <c r="A9866">
        <f>HYPERLINK("https://www.philgeps.gov.ph/GEPSNONPILOT/Tender/SplashBidNoticeAbstractUI.aspx?menuIndex=3&amp;refID=7054799&amp;Result=3","7054799")</f>
        <v>0</v>
      </c>
      <c r="B9866" t="s">
        <v>2750</v>
      </c>
      <c r="C9866" t="s">
        <v>9129</v>
      </c>
      <c r="D9866" t="s">
        <v>18820</v>
      </c>
      <c r="E9866" t="s">
        <v>27439</v>
      </c>
      <c r="F9866" t="s">
        <v>32664</v>
      </c>
      <c r="G9866" t="s">
        <v>32674</v>
      </c>
      <c r="H9866" t="s">
        <v>12635</v>
      </c>
      <c r="I9866" t="s">
        <v>4439</v>
      </c>
      <c r="J9866" t="s">
        <v>34025</v>
      </c>
      <c r="K9866" t="s">
        <v>42284</v>
      </c>
      <c r="M9866" t="s">
        <v>45584</v>
      </c>
      <c r="N9866" t="s">
        <v>46569</v>
      </c>
      <c r="O9866" t="s">
        <v>46570</v>
      </c>
      <c r="P9866">
        <v>0</v>
      </c>
      <c r="Q9866">
        <v>0</v>
      </c>
      <c r="R9866" t="s">
        <v>46577</v>
      </c>
      <c r="S9866" t="s">
        <v>46808</v>
      </c>
      <c r="T9866" t="s">
        <v>48254</v>
      </c>
      <c r="U9866" t="s">
        <v>56669</v>
      </c>
      <c r="V9866" t="s">
        <v>62653</v>
      </c>
      <c r="W9866" t="s">
        <v>45584</v>
      </c>
      <c r="X9866" t="s">
        <v>46578</v>
      </c>
    </row>
    <row r="9867" spans="1:24">
      <c r="A9867">
        <f>HYPERLINK("https://www.philgeps.gov.ph/GEPSNONPILOT/Tender/SplashBidNoticeAbstractUI.aspx?menuIndex=3&amp;refID=7054555&amp;Result=3","7054555")</f>
        <v>0</v>
      </c>
      <c r="B9867" t="s">
        <v>2469</v>
      </c>
      <c r="C9867" t="s">
        <v>12871</v>
      </c>
      <c r="D9867" t="s">
        <v>18801</v>
      </c>
      <c r="E9867" t="s">
        <v>27440</v>
      </c>
      <c r="F9867" t="s">
        <v>32664</v>
      </c>
      <c r="G9867" t="s">
        <v>32672</v>
      </c>
      <c r="H9867" t="s">
        <v>12635</v>
      </c>
      <c r="I9867" t="s">
        <v>6223</v>
      </c>
      <c r="J9867" t="s">
        <v>38732</v>
      </c>
      <c r="K9867" t="s">
        <v>42281</v>
      </c>
      <c r="M9867" t="s">
        <v>45599</v>
      </c>
      <c r="N9867" t="s">
        <v>46569</v>
      </c>
      <c r="O9867" t="s">
        <v>46570</v>
      </c>
      <c r="P9867">
        <v>0</v>
      </c>
      <c r="Q9867">
        <v>9</v>
      </c>
      <c r="R9867" t="s">
        <v>46577</v>
      </c>
      <c r="S9867" t="s">
        <v>46808</v>
      </c>
      <c r="T9867" t="s">
        <v>48273</v>
      </c>
      <c r="U9867" t="s">
        <v>55574</v>
      </c>
      <c r="V9867" t="s">
        <v>62260</v>
      </c>
      <c r="W9867" t="s">
        <v>63561</v>
      </c>
      <c r="X9867" t="s">
        <v>46578</v>
      </c>
    </row>
    <row r="9868" spans="1:24">
      <c r="A9868">
        <f>HYPERLINK("https://www.philgeps.gov.ph/GEPSNONPILOT/Tender/SplashBidNoticeAbstractUI.aspx?menuIndex=3&amp;refID=7054780&amp;Result=3","7054780")</f>
        <v>0</v>
      </c>
      <c r="B9868" t="s">
        <v>472</v>
      </c>
      <c r="C9868" t="s">
        <v>12872</v>
      </c>
      <c r="D9868" t="s">
        <v>18804</v>
      </c>
      <c r="E9868" t="s">
        <v>27441</v>
      </c>
      <c r="F9868" t="s">
        <v>32664</v>
      </c>
      <c r="G9868" t="s">
        <v>32671</v>
      </c>
      <c r="H9868" t="s">
        <v>12635</v>
      </c>
      <c r="I9868" t="s">
        <v>4439</v>
      </c>
      <c r="J9868" t="s">
        <v>32898</v>
      </c>
      <c r="K9868" t="s">
        <v>42303</v>
      </c>
      <c r="M9868" t="s">
        <v>43047</v>
      </c>
      <c r="N9868" t="s">
        <v>46569</v>
      </c>
      <c r="O9868" t="s">
        <v>46570</v>
      </c>
      <c r="P9868">
        <v>0</v>
      </c>
      <c r="Q9868">
        <v>0</v>
      </c>
      <c r="R9868" t="s">
        <v>46577</v>
      </c>
      <c r="S9868" t="s">
        <v>46808</v>
      </c>
      <c r="T9868" t="s">
        <v>48287</v>
      </c>
      <c r="U9868" t="s">
        <v>56730</v>
      </c>
      <c r="V9868" t="s">
        <v>61731</v>
      </c>
      <c r="W9868" t="s">
        <v>43047</v>
      </c>
      <c r="X9868" t="s">
        <v>46578</v>
      </c>
    </row>
    <row r="9869" spans="1:24">
      <c r="A9869">
        <f>HYPERLINK("https://www.philgeps.gov.ph/GEPSNONPILOT/Tender/SplashBidNoticeAbstractUI.aspx?menuIndex=3&amp;refID=7054783&amp;Result=3","7054783")</f>
        <v>0</v>
      </c>
      <c r="B9869" t="s">
        <v>2339</v>
      </c>
      <c r="C9869" t="s">
        <v>12873</v>
      </c>
      <c r="E9869" t="s">
        <v>27442</v>
      </c>
      <c r="F9869" t="s">
        <v>32664</v>
      </c>
      <c r="G9869" t="s">
        <v>32672</v>
      </c>
      <c r="H9869" t="s">
        <v>12635</v>
      </c>
      <c r="I9869" t="s">
        <v>32730</v>
      </c>
      <c r="J9869" t="s">
        <v>34543</v>
      </c>
      <c r="K9869" t="s">
        <v>42283</v>
      </c>
      <c r="M9869" t="s">
        <v>45119</v>
      </c>
      <c r="N9869" t="s">
        <v>46569</v>
      </c>
      <c r="O9869" t="s">
        <v>46570</v>
      </c>
      <c r="P9869">
        <v>0</v>
      </c>
      <c r="Q9869">
        <v>5</v>
      </c>
      <c r="R9869" t="s">
        <v>46577</v>
      </c>
      <c r="S9869" t="s">
        <v>46808</v>
      </c>
      <c r="T9869" t="s">
        <v>48248</v>
      </c>
      <c r="U9869" t="s">
        <v>56731</v>
      </c>
      <c r="V9869" t="s">
        <v>62661</v>
      </c>
      <c r="W9869" t="s">
        <v>45119</v>
      </c>
      <c r="X9869" t="s">
        <v>46578</v>
      </c>
    </row>
    <row r="9870" spans="1:24">
      <c r="A9870">
        <f>HYPERLINK("https://www.philgeps.gov.ph/GEPSNONPILOT/Tender/SplashBidNoticeAbstractUI.aspx?menuIndex=3&amp;refID=7054768&amp;Result=3","7054768")</f>
        <v>0</v>
      </c>
      <c r="B9870" t="s">
        <v>160</v>
      </c>
      <c r="C9870" t="s">
        <v>12874</v>
      </c>
      <c r="D9870" t="s">
        <v>18806</v>
      </c>
      <c r="E9870" t="s">
        <v>27443</v>
      </c>
      <c r="F9870" t="s">
        <v>32664</v>
      </c>
      <c r="G9870" t="s">
        <v>32672</v>
      </c>
      <c r="H9870" t="s">
        <v>12635</v>
      </c>
      <c r="I9870" t="s">
        <v>4439</v>
      </c>
      <c r="J9870" t="s">
        <v>38733</v>
      </c>
      <c r="K9870" t="s">
        <v>42281</v>
      </c>
      <c r="M9870" t="s">
        <v>42724</v>
      </c>
      <c r="N9870" t="s">
        <v>46569</v>
      </c>
      <c r="O9870" t="s">
        <v>46570</v>
      </c>
      <c r="P9870">
        <v>0</v>
      </c>
      <c r="Q9870">
        <v>0</v>
      </c>
      <c r="R9870" t="s">
        <v>46577</v>
      </c>
      <c r="S9870" t="s">
        <v>46808</v>
      </c>
      <c r="T9870" t="s">
        <v>48645</v>
      </c>
      <c r="U9870" t="s">
        <v>56671</v>
      </c>
      <c r="W9870" t="s">
        <v>42724</v>
      </c>
      <c r="X9870" t="s">
        <v>46578</v>
      </c>
    </row>
    <row r="9871" spans="1:24">
      <c r="A9871">
        <f>HYPERLINK("https://www.philgeps.gov.ph/GEPSNONPILOT/Tender/SplashBidNoticeAbstractUI.aspx?menuIndex=3&amp;refID=7054712&amp;Result=3","7054712")</f>
        <v>0</v>
      </c>
      <c r="B9871" t="s">
        <v>2763</v>
      </c>
      <c r="C9871" t="s">
        <v>12875</v>
      </c>
      <c r="D9871" t="s">
        <v>18782</v>
      </c>
      <c r="E9871" t="s">
        <v>27444</v>
      </c>
      <c r="F9871" t="s">
        <v>32664</v>
      </c>
      <c r="G9871" t="s">
        <v>32674</v>
      </c>
      <c r="H9871" t="s">
        <v>12635</v>
      </c>
      <c r="I9871" t="s">
        <v>32694</v>
      </c>
      <c r="J9871" t="s">
        <v>38734</v>
      </c>
      <c r="K9871" t="s">
        <v>42303</v>
      </c>
      <c r="M9871" t="s">
        <v>45600</v>
      </c>
      <c r="N9871" t="s">
        <v>46569</v>
      </c>
      <c r="O9871" t="s">
        <v>46570</v>
      </c>
      <c r="P9871">
        <v>0</v>
      </c>
      <c r="Q9871">
        <v>1</v>
      </c>
      <c r="R9871" t="s">
        <v>46577</v>
      </c>
      <c r="S9871" t="s">
        <v>46808</v>
      </c>
      <c r="T9871" t="s">
        <v>48316</v>
      </c>
      <c r="U9871" t="s">
        <v>56732</v>
      </c>
      <c r="V9871" t="s">
        <v>62662</v>
      </c>
      <c r="W9871" t="s">
        <v>45600</v>
      </c>
      <c r="X9871" t="s">
        <v>46578</v>
      </c>
    </row>
    <row r="9872" spans="1:24">
      <c r="A9872">
        <f>HYPERLINK("https://www.philgeps.gov.ph/GEPSNONPILOT/Tender/SplashBidNoticeAbstractUI.aspx?menuIndex=3&amp;refID=7054784&amp;Result=3","7054784")</f>
        <v>0</v>
      </c>
      <c r="B9872" t="s">
        <v>1876</v>
      </c>
      <c r="C9872" t="s">
        <v>12876</v>
      </c>
      <c r="D9872" t="s">
        <v>18799</v>
      </c>
      <c r="E9872" t="s">
        <v>27445</v>
      </c>
      <c r="F9872" t="s">
        <v>32665</v>
      </c>
      <c r="G9872" t="s">
        <v>32671</v>
      </c>
      <c r="H9872" t="s">
        <v>12635</v>
      </c>
      <c r="I9872" t="s">
        <v>10370</v>
      </c>
      <c r="J9872" t="s">
        <v>34216</v>
      </c>
      <c r="K9872" t="s">
        <v>42283</v>
      </c>
      <c r="M9872" t="s">
        <v>44594</v>
      </c>
      <c r="N9872" t="s">
        <v>46569</v>
      </c>
      <c r="O9872" t="s">
        <v>46570</v>
      </c>
      <c r="P9872">
        <v>0</v>
      </c>
      <c r="Q9872">
        <v>2</v>
      </c>
      <c r="R9872" t="s">
        <v>46577</v>
      </c>
      <c r="S9872" t="s">
        <v>46808</v>
      </c>
      <c r="T9872" t="s">
        <v>48254</v>
      </c>
      <c r="U9872" t="s">
        <v>56733</v>
      </c>
      <c r="W9872" t="s">
        <v>44594</v>
      </c>
      <c r="X9872" t="s">
        <v>46578</v>
      </c>
    </row>
    <row r="9873" spans="1:24">
      <c r="A9873">
        <f>HYPERLINK("https://www.philgeps.gov.ph/GEPSNONPILOT/Tender/SplashBidNoticeAbstractUI.aspx?menuIndex=3&amp;refID=7054844&amp;Result=3","7054844")</f>
        <v>0</v>
      </c>
      <c r="B9873" t="s">
        <v>1563</v>
      </c>
      <c r="C9873" t="s">
        <v>7712</v>
      </c>
      <c r="D9873" t="s">
        <v>18822</v>
      </c>
      <c r="E9873" t="s">
        <v>10370</v>
      </c>
      <c r="F9873" t="s">
        <v>32664</v>
      </c>
      <c r="G9873" t="s">
        <v>32674</v>
      </c>
      <c r="H9873" t="s">
        <v>12635</v>
      </c>
      <c r="I9873" t="s">
        <v>10370</v>
      </c>
      <c r="J9873" t="s">
        <v>38735</v>
      </c>
      <c r="K9873" t="s">
        <v>42297</v>
      </c>
      <c r="M9873" t="s">
        <v>44235</v>
      </c>
      <c r="N9873" t="s">
        <v>46569</v>
      </c>
      <c r="O9873" t="s">
        <v>46570</v>
      </c>
      <c r="P9873">
        <v>0</v>
      </c>
      <c r="Q9873">
        <v>2</v>
      </c>
      <c r="R9873" t="s">
        <v>46577</v>
      </c>
      <c r="S9873" t="s">
        <v>46808</v>
      </c>
      <c r="T9873" t="s">
        <v>48578</v>
      </c>
      <c r="U9873" t="s">
        <v>52373</v>
      </c>
      <c r="W9873" t="s">
        <v>44235</v>
      </c>
      <c r="X9873" t="s">
        <v>46578</v>
      </c>
    </row>
    <row r="9874" spans="1:24">
      <c r="A9874">
        <f>HYPERLINK("https://www.philgeps.gov.ph/GEPSNONPILOT/Tender/SplashBidNoticeAbstractUI.aspx?menuIndex=3&amp;refID=7054785&amp;Result=3","7054785")</f>
        <v>0</v>
      </c>
      <c r="B9874" t="s">
        <v>295</v>
      </c>
      <c r="C9874" t="s">
        <v>12877</v>
      </c>
      <c r="D9874" t="s">
        <v>18848</v>
      </c>
      <c r="E9874" t="s">
        <v>27446</v>
      </c>
      <c r="F9874" t="s">
        <v>32664</v>
      </c>
      <c r="G9874" t="s">
        <v>32672</v>
      </c>
      <c r="H9874" t="s">
        <v>12635</v>
      </c>
      <c r="I9874" t="s">
        <v>6168</v>
      </c>
      <c r="J9874" t="s">
        <v>33621</v>
      </c>
      <c r="K9874" t="s">
        <v>42297</v>
      </c>
      <c r="M9874" t="s">
        <v>45554</v>
      </c>
      <c r="N9874" t="s">
        <v>46569</v>
      </c>
      <c r="O9874" t="s">
        <v>46570</v>
      </c>
      <c r="P9874">
        <v>0</v>
      </c>
      <c r="Q9874">
        <v>0</v>
      </c>
      <c r="R9874" t="s">
        <v>46577</v>
      </c>
      <c r="S9874" t="s">
        <v>46808</v>
      </c>
      <c r="T9874" t="s">
        <v>48298</v>
      </c>
      <c r="U9874" t="s">
        <v>56734</v>
      </c>
      <c r="W9874" t="s">
        <v>45554</v>
      </c>
      <c r="X9874" t="s">
        <v>46578</v>
      </c>
    </row>
    <row r="9875" spans="1:24">
      <c r="A9875">
        <f>HYPERLINK("https://www.philgeps.gov.ph/GEPSNONPILOT/Tender/SplashBidNoticeAbstractUI.aspx?menuIndex=3&amp;refID=7054765&amp;Result=3","7054765")</f>
        <v>0</v>
      </c>
      <c r="B9875" t="s">
        <v>49</v>
      </c>
      <c r="C9875" t="s">
        <v>12878</v>
      </c>
      <c r="D9875" t="s">
        <v>18799</v>
      </c>
      <c r="E9875" t="s">
        <v>27447</v>
      </c>
      <c r="F9875" t="s">
        <v>32664</v>
      </c>
      <c r="G9875" t="s">
        <v>32671</v>
      </c>
      <c r="H9875" t="s">
        <v>12635</v>
      </c>
      <c r="I9875" t="s">
        <v>4439</v>
      </c>
      <c r="J9875" t="s">
        <v>38736</v>
      </c>
      <c r="K9875" t="s">
        <v>42283</v>
      </c>
      <c r="M9875" t="s">
        <v>43367</v>
      </c>
      <c r="N9875" t="s">
        <v>46569</v>
      </c>
      <c r="O9875" t="s">
        <v>46570</v>
      </c>
      <c r="P9875">
        <v>0</v>
      </c>
      <c r="Q9875">
        <v>0</v>
      </c>
      <c r="R9875" t="s">
        <v>46577</v>
      </c>
      <c r="S9875" t="s">
        <v>46808</v>
      </c>
      <c r="T9875" t="s">
        <v>48258</v>
      </c>
      <c r="U9875" t="s">
        <v>56735</v>
      </c>
      <c r="W9875" t="s">
        <v>43367</v>
      </c>
      <c r="X9875" t="s">
        <v>46578</v>
      </c>
    </row>
    <row r="9876" spans="1:24">
      <c r="A9876">
        <f>HYPERLINK("https://www.philgeps.gov.ph/GEPSNONPILOT/Tender/SplashBidNoticeAbstractUI.aspx?menuIndex=3&amp;refID=7054813&amp;Result=3","7054813")</f>
        <v>0</v>
      </c>
      <c r="B9876" t="s">
        <v>295</v>
      </c>
      <c r="C9876" t="s">
        <v>12879</v>
      </c>
      <c r="D9876" t="s">
        <v>18848</v>
      </c>
      <c r="E9876" t="s">
        <v>27448</v>
      </c>
      <c r="F9876" t="s">
        <v>32664</v>
      </c>
      <c r="G9876" t="s">
        <v>32672</v>
      </c>
      <c r="H9876" t="s">
        <v>12635</v>
      </c>
      <c r="I9876" t="s">
        <v>6628</v>
      </c>
      <c r="J9876" t="s">
        <v>33831</v>
      </c>
      <c r="K9876" t="s">
        <v>42297</v>
      </c>
      <c r="M9876" t="s">
        <v>45554</v>
      </c>
      <c r="N9876" t="s">
        <v>46569</v>
      </c>
      <c r="O9876" t="s">
        <v>46570</v>
      </c>
      <c r="P9876">
        <v>0</v>
      </c>
      <c r="Q9876">
        <v>0</v>
      </c>
      <c r="R9876" t="s">
        <v>46577</v>
      </c>
      <c r="S9876" t="s">
        <v>46808</v>
      </c>
      <c r="T9876" t="s">
        <v>48221</v>
      </c>
      <c r="U9876" t="s">
        <v>56736</v>
      </c>
      <c r="W9876" t="s">
        <v>45554</v>
      </c>
      <c r="X9876" t="s">
        <v>46578</v>
      </c>
    </row>
    <row r="9877" spans="1:24">
      <c r="A9877">
        <f>HYPERLINK("https://www.philgeps.gov.ph/GEPSNONPILOT/Tender/SplashBidNoticeAbstractUI.aspx?menuIndex=3&amp;refID=7054848&amp;Result=3","7054848")</f>
        <v>0</v>
      </c>
      <c r="B9877" t="s">
        <v>690</v>
      </c>
      <c r="C9877" t="s">
        <v>12880</v>
      </c>
      <c r="D9877" t="s">
        <v>18781</v>
      </c>
      <c r="E9877" t="s">
        <v>27449</v>
      </c>
      <c r="F9877" t="s">
        <v>32664</v>
      </c>
      <c r="G9877" t="s">
        <v>32672</v>
      </c>
      <c r="H9877" t="s">
        <v>32683</v>
      </c>
      <c r="I9877" t="s">
        <v>10627</v>
      </c>
      <c r="J9877" t="s">
        <v>34075</v>
      </c>
      <c r="K9877" t="s">
        <v>42313</v>
      </c>
      <c r="L9877" t="s">
        <v>690</v>
      </c>
      <c r="M9877" t="s">
        <v>45601</v>
      </c>
      <c r="N9877" t="s">
        <v>46569</v>
      </c>
      <c r="O9877" t="s">
        <v>46570</v>
      </c>
      <c r="P9877">
        <v>0</v>
      </c>
      <c r="Q9877">
        <v>2</v>
      </c>
      <c r="R9877" t="s">
        <v>46577</v>
      </c>
      <c r="S9877" t="s">
        <v>46808</v>
      </c>
      <c r="T9877" t="s">
        <v>48345</v>
      </c>
      <c r="U9877" t="s">
        <v>56737</v>
      </c>
      <c r="W9877" t="s">
        <v>45601</v>
      </c>
      <c r="X9877" t="s">
        <v>46578</v>
      </c>
    </row>
    <row r="9878" spans="1:24">
      <c r="A9878">
        <f>HYPERLINK("https://www.philgeps.gov.ph/GEPSNONPILOT/Tender/SplashBidNoticeAbstractUI.aspx?menuIndex=3&amp;refID=7054842&amp;Result=3","7054842")</f>
        <v>0</v>
      </c>
      <c r="B9878" t="s">
        <v>49</v>
      </c>
      <c r="C9878" t="s">
        <v>12881</v>
      </c>
      <c r="D9878" t="s">
        <v>18799</v>
      </c>
      <c r="E9878" t="s">
        <v>27450</v>
      </c>
      <c r="F9878" t="s">
        <v>32664</v>
      </c>
      <c r="G9878" t="s">
        <v>32671</v>
      </c>
      <c r="H9878" t="s">
        <v>12635</v>
      </c>
      <c r="I9878" t="s">
        <v>6168</v>
      </c>
      <c r="J9878" t="s">
        <v>32976</v>
      </c>
      <c r="K9878" t="s">
        <v>42283</v>
      </c>
      <c r="M9878" t="s">
        <v>43367</v>
      </c>
      <c r="N9878" t="s">
        <v>46569</v>
      </c>
      <c r="O9878" t="s">
        <v>46570</v>
      </c>
      <c r="P9878">
        <v>0</v>
      </c>
      <c r="Q9878">
        <v>2</v>
      </c>
      <c r="R9878" t="s">
        <v>46577</v>
      </c>
      <c r="S9878" t="s">
        <v>46808</v>
      </c>
      <c r="T9878" t="s">
        <v>48258</v>
      </c>
      <c r="U9878" t="s">
        <v>56738</v>
      </c>
      <c r="W9878" t="s">
        <v>43367</v>
      </c>
      <c r="X9878" t="s">
        <v>46578</v>
      </c>
    </row>
    <row r="9879" spans="1:24">
      <c r="A9879">
        <f>HYPERLINK("https://www.philgeps.gov.ph/GEPSNONPILOT/Tender/SplashBidNoticeAbstractUI.aspx?menuIndex=3&amp;refID=7054841&amp;Result=3","7054841")</f>
        <v>0</v>
      </c>
      <c r="B9879" t="s">
        <v>2726</v>
      </c>
      <c r="C9879" t="s">
        <v>12882</v>
      </c>
      <c r="D9879" t="s">
        <v>18794</v>
      </c>
      <c r="E9879" t="s">
        <v>27451</v>
      </c>
      <c r="F9879" t="s">
        <v>32664</v>
      </c>
      <c r="G9879" t="s">
        <v>32671</v>
      </c>
      <c r="H9879" t="s">
        <v>12635</v>
      </c>
      <c r="I9879" t="s">
        <v>10361</v>
      </c>
      <c r="J9879" t="s">
        <v>33898</v>
      </c>
      <c r="K9879" t="s">
        <v>42281</v>
      </c>
      <c r="M9879" t="s">
        <v>45556</v>
      </c>
      <c r="N9879" t="s">
        <v>46569</v>
      </c>
      <c r="O9879" t="s">
        <v>46570</v>
      </c>
      <c r="P9879">
        <v>0</v>
      </c>
      <c r="Q9879">
        <v>0</v>
      </c>
      <c r="R9879" t="s">
        <v>46577</v>
      </c>
      <c r="S9879" t="s">
        <v>46808</v>
      </c>
      <c r="T9879" t="s">
        <v>48448</v>
      </c>
      <c r="U9879" t="s">
        <v>56739</v>
      </c>
      <c r="W9879" t="s">
        <v>45556</v>
      </c>
      <c r="X9879" t="s">
        <v>46578</v>
      </c>
    </row>
    <row r="9880" spans="1:24">
      <c r="A9880">
        <f>HYPERLINK("https://www.philgeps.gov.ph/GEPSNONPILOT/Tender/SplashBidNoticeAbstractUI.aspx?menuIndex=3&amp;refID=7054839&amp;Result=3","7054839")</f>
        <v>0</v>
      </c>
      <c r="B9880" t="s">
        <v>690</v>
      </c>
      <c r="C9880" t="s">
        <v>12883</v>
      </c>
      <c r="D9880" t="s">
        <v>18781</v>
      </c>
      <c r="E9880" t="s">
        <v>27452</v>
      </c>
      <c r="F9880" t="s">
        <v>32664</v>
      </c>
      <c r="G9880" t="s">
        <v>32672</v>
      </c>
      <c r="H9880" t="s">
        <v>32683</v>
      </c>
      <c r="I9880" t="s">
        <v>10627</v>
      </c>
      <c r="J9880" t="s">
        <v>38737</v>
      </c>
      <c r="K9880" t="s">
        <v>42495</v>
      </c>
      <c r="L9880" t="s">
        <v>690</v>
      </c>
      <c r="M9880" t="s">
        <v>45601</v>
      </c>
      <c r="N9880" t="s">
        <v>46569</v>
      </c>
      <c r="O9880" t="s">
        <v>46570</v>
      </c>
      <c r="P9880">
        <v>0</v>
      </c>
      <c r="Q9880">
        <v>3</v>
      </c>
      <c r="R9880" t="s">
        <v>46577</v>
      </c>
      <c r="S9880" t="s">
        <v>46808</v>
      </c>
      <c r="T9880" t="s">
        <v>48345</v>
      </c>
      <c r="U9880" t="s">
        <v>56737</v>
      </c>
      <c r="W9880" t="s">
        <v>45601</v>
      </c>
      <c r="X9880" t="s">
        <v>46578</v>
      </c>
    </row>
    <row r="9881" spans="1:24">
      <c r="A9881">
        <f>HYPERLINK("https://www.philgeps.gov.ph/GEPSNONPILOT/Tender/SplashBidNoticeAbstractUI.aspx?menuIndex=3&amp;refID=7054837&amp;Result=3","7054837")</f>
        <v>0</v>
      </c>
      <c r="B9881" t="s">
        <v>2764</v>
      </c>
      <c r="C9881" t="s">
        <v>12884</v>
      </c>
      <c r="D9881" t="s">
        <v>18831</v>
      </c>
      <c r="E9881" t="s">
        <v>27453</v>
      </c>
      <c r="F9881" t="s">
        <v>32665</v>
      </c>
      <c r="G9881" t="s">
        <v>32674</v>
      </c>
      <c r="H9881" t="s">
        <v>12635</v>
      </c>
      <c r="I9881" t="s">
        <v>10590</v>
      </c>
      <c r="J9881" t="s">
        <v>33128</v>
      </c>
      <c r="K9881" t="s">
        <v>42281</v>
      </c>
      <c r="M9881" t="s">
        <v>45602</v>
      </c>
      <c r="N9881" t="s">
        <v>46569</v>
      </c>
      <c r="O9881" t="s">
        <v>46570</v>
      </c>
      <c r="P9881">
        <v>0</v>
      </c>
      <c r="Q9881">
        <v>0</v>
      </c>
      <c r="R9881" t="s">
        <v>46577</v>
      </c>
      <c r="S9881" t="s">
        <v>46808</v>
      </c>
      <c r="T9881" t="s">
        <v>48473</v>
      </c>
      <c r="U9881" t="s">
        <v>56740</v>
      </c>
      <c r="W9881" t="s">
        <v>45602</v>
      </c>
      <c r="X9881" t="s">
        <v>46578</v>
      </c>
    </row>
    <row r="9882" spans="1:24">
      <c r="A9882">
        <f>HYPERLINK("https://www.philgeps.gov.ph/GEPSNONPILOT/Tender/SplashBidNoticeAbstractUI.aspx?menuIndex=3&amp;refID=7054834&amp;Result=3","7054834")</f>
        <v>0</v>
      </c>
      <c r="B9882" t="s">
        <v>2564</v>
      </c>
      <c r="C9882" t="s">
        <v>12885</v>
      </c>
      <c r="D9882" t="s">
        <v>18820</v>
      </c>
      <c r="E9882" t="s">
        <v>27454</v>
      </c>
      <c r="F9882" t="s">
        <v>32664</v>
      </c>
      <c r="G9882" t="s">
        <v>32672</v>
      </c>
      <c r="H9882" t="s">
        <v>12635</v>
      </c>
      <c r="I9882" t="s">
        <v>32686</v>
      </c>
      <c r="J9882" t="s">
        <v>38738</v>
      </c>
      <c r="K9882" t="s">
        <v>42281</v>
      </c>
      <c r="M9882" t="s">
        <v>45375</v>
      </c>
      <c r="N9882" t="s">
        <v>46569</v>
      </c>
      <c r="O9882" t="s">
        <v>46570</v>
      </c>
      <c r="P9882">
        <v>0</v>
      </c>
      <c r="Q9882">
        <v>2</v>
      </c>
      <c r="R9882" t="s">
        <v>46577</v>
      </c>
      <c r="S9882" t="s">
        <v>46808</v>
      </c>
      <c r="T9882" t="s">
        <v>48571</v>
      </c>
      <c r="U9882" t="s">
        <v>56741</v>
      </c>
      <c r="W9882" t="s">
        <v>45375</v>
      </c>
      <c r="X9882" t="s">
        <v>46578</v>
      </c>
    </row>
    <row r="9883" spans="1:24">
      <c r="A9883">
        <f>HYPERLINK("https://www.philgeps.gov.ph/GEPSNONPILOT/Tender/SplashBidNoticeAbstractUI.aspx?menuIndex=3&amp;refID=7054830&amp;Result=3","7054830")</f>
        <v>0</v>
      </c>
      <c r="B9883" t="s">
        <v>269</v>
      </c>
      <c r="C9883" t="s">
        <v>12886</v>
      </c>
      <c r="D9883" t="s">
        <v>18831</v>
      </c>
      <c r="E9883" t="s">
        <v>27455</v>
      </c>
      <c r="F9883" t="s">
        <v>32664</v>
      </c>
      <c r="G9883" t="s">
        <v>32672</v>
      </c>
      <c r="H9883" t="s">
        <v>32683</v>
      </c>
      <c r="I9883" t="s">
        <v>10627</v>
      </c>
      <c r="J9883" t="s">
        <v>32898</v>
      </c>
      <c r="K9883" t="s">
        <v>42321</v>
      </c>
      <c r="M9883" t="s">
        <v>42834</v>
      </c>
      <c r="N9883" t="s">
        <v>46569</v>
      </c>
      <c r="O9883" t="s">
        <v>46570</v>
      </c>
      <c r="P9883">
        <v>0</v>
      </c>
      <c r="Q9883">
        <v>0</v>
      </c>
      <c r="R9883" t="s">
        <v>46577</v>
      </c>
      <c r="S9883" t="s">
        <v>46808</v>
      </c>
      <c r="T9883" t="s">
        <v>48283</v>
      </c>
      <c r="U9883" t="s">
        <v>56699</v>
      </c>
      <c r="W9883" t="s">
        <v>42834</v>
      </c>
      <c r="X9883" t="s">
        <v>46578</v>
      </c>
    </row>
    <row r="9884" spans="1:24">
      <c r="A9884">
        <f>HYPERLINK("https://www.philgeps.gov.ph/GEPSNONPILOT/Tender/SplashBidNoticeAbstractUI.aspx?menuIndex=3&amp;refID=7054787&amp;Result=3","7054787")</f>
        <v>0</v>
      </c>
      <c r="B9884" t="s">
        <v>269</v>
      </c>
      <c r="C9884" t="s">
        <v>12887</v>
      </c>
      <c r="D9884" t="s">
        <v>18831</v>
      </c>
      <c r="E9884" t="s">
        <v>27456</v>
      </c>
      <c r="F9884" t="s">
        <v>32664</v>
      </c>
      <c r="G9884" t="s">
        <v>32672</v>
      </c>
      <c r="H9884" t="s">
        <v>32683</v>
      </c>
      <c r="I9884" t="s">
        <v>10627</v>
      </c>
      <c r="J9884" t="s">
        <v>32898</v>
      </c>
      <c r="K9884" t="s">
        <v>42321</v>
      </c>
      <c r="M9884" t="s">
        <v>42834</v>
      </c>
      <c r="N9884" t="s">
        <v>46569</v>
      </c>
      <c r="O9884" t="s">
        <v>46570</v>
      </c>
      <c r="P9884">
        <v>0</v>
      </c>
      <c r="Q9884">
        <v>0</v>
      </c>
      <c r="R9884" t="s">
        <v>46577</v>
      </c>
      <c r="S9884" t="s">
        <v>46808</v>
      </c>
      <c r="T9884" t="s">
        <v>48283</v>
      </c>
      <c r="U9884" t="s">
        <v>56699</v>
      </c>
      <c r="W9884" t="s">
        <v>42834</v>
      </c>
      <c r="X9884" t="s">
        <v>46578</v>
      </c>
    </row>
    <row r="9885" spans="1:24">
      <c r="A9885">
        <f>HYPERLINK("https://www.philgeps.gov.ph/GEPSNONPILOT/Tender/SplashBidNoticeAbstractUI.aspx?menuIndex=3&amp;refID=7054832&amp;Result=3","7054832")</f>
        <v>0</v>
      </c>
      <c r="B9885" t="s">
        <v>2765</v>
      </c>
      <c r="C9885" t="s">
        <v>12888</v>
      </c>
      <c r="D9885" t="s">
        <v>18804</v>
      </c>
      <c r="E9885" t="s">
        <v>27457</v>
      </c>
      <c r="F9885" t="s">
        <v>32664</v>
      </c>
      <c r="G9885" t="s">
        <v>32671</v>
      </c>
      <c r="H9885" t="s">
        <v>12635</v>
      </c>
      <c r="I9885" t="s">
        <v>32685</v>
      </c>
      <c r="J9885" t="s">
        <v>33813</v>
      </c>
      <c r="K9885" t="s">
        <v>42309</v>
      </c>
      <c r="M9885" t="s">
        <v>45603</v>
      </c>
      <c r="N9885" t="s">
        <v>46569</v>
      </c>
      <c r="O9885" t="s">
        <v>46570</v>
      </c>
      <c r="P9885">
        <v>0</v>
      </c>
      <c r="Q9885">
        <v>2</v>
      </c>
      <c r="R9885" t="s">
        <v>46577</v>
      </c>
      <c r="S9885" t="s">
        <v>46808</v>
      </c>
      <c r="T9885" t="s">
        <v>48376</v>
      </c>
      <c r="U9885" t="s">
        <v>56742</v>
      </c>
      <c r="W9885" t="s">
        <v>45603</v>
      </c>
      <c r="X9885" t="s">
        <v>46578</v>
      </c>
    </row>
    <row r="9886" spans="1:24">
      <c r="A9886">
        <f>HYPERLINK("https://www.philgeps.gov.ph/GEPSNONPILOT/Tender/SplashBidNoticeAbstractUI.aspx?menuIndex=3&amp;refID=7054794&amp;Result=3","7054794")</f>
        <v>0</v>
      </c>
      <c r="B9886" t="s">
        <v>1310</v>
      </c>
      <c r="C9886" t="s">
        <v>12889</v>
      </c>
      <c r="D9886" t="s">
        <v>18790</v>
      </c>
      <c r="E9886" t="s">
        <v>27458</v>
      </c>
      <c r="F9886" t="s">
        <v>32664</v>
      </c>
      <c r="G9886" t="s">
        <v>32672</v>
      </c>
      <c r="H9886" t="s">
        <v>12635</v>
      </c>
      <c r="I9886" t="s">
        <v>6168</v>
      </c>
      <c r="J9886" t="s">
        <v>38739</v>
      </c>
      <c r="K9886" t="s">
        <v>42283</v>
      </c>
      <c r="M9886" t="s">
        <v>43956</v>
      </c>
      <c r="N9886" t="s">
        <v>46569</v>
      </c>
      <c r="O9886" t="s">
        <v>46570</v>
      </c>
      <c r="P9886">
        <v>0</v>
      </c>
      <c r="Q9886">
        <v>0</v>
      </c>
      <c r="R9886" t="s">
        <v>46577</v>
      </c>
      <c r="S9886" t="s">
        <v>46808</v>
      </c>
      <c r="T9886" t="s">
        <v>48293</v>
      </c>
      <c r="U9886" t="s">
        <v>51578</v>
      </c>
      <c r="W9886" t="s">
        <v>43956</v>
      </c>
      <c r="X9886" t="s">
        <v>46578</v>
      </c>
    </row>
    <row r="9887" spans="1:24">
      <c r="A9887">
        <f>HYPERLINK("https://www.philgeps.gov.ph/GEPSNONPILOT/Tender/SplashBidNoticeAbstractUI.aspx?menuIndex=3&amp;refID=7054820&amp;Result=3","7054820")</f>
        <v>0</v>
      </c>
      <c r="B9887" t="s">
        <v>2766</v>
      </c>
      <c r="C9887" t="s">
        <v>12890</v>
      </c>
      <c r="D9887" t="s">
        <v>18812</v>
      </c>
      <c r="E9887" t="s">
        <v>27459</v>
      </c>
      <c r="F9887" t="s">
        <v>32664</v>
      </c>
      <c r="G9887" t="s">
        <v>32674</v>
      </c>
      <c r="H9887" t="s">
        <v>12635</v>
      </c>
      <c r="I9887" t="s">
        <v>7324</v>
      </c>
      <c r="J9887" t="s">
        <v>34747</v>
      </c>
      <c r="K9887" t="s">
        <v>42284</v>
      </c>
      <c r="M9887" t="s">
        <v>45604</v>
      </c>
      <c r="N9887" t="s">
        <v>46569</v>
      </c>
      <c r="O9887" t="s">
        <v>46570</v>
      </c>
      <c r="P9887">
        <v>0</v>
      </c>
      <c r="Q9887">
        <v>2</v>
      </c>
      <c r="R9887" t="s">
        <v>46577</v>
      </c>
      <c r="S9887" t="s">
        <v>46808</v>
      </c>
      <c r="T9887" t="s">
        <v>48449</v>
      </c>
      <c r="U9887" t="s">
        <v>56743</v>
      </c>
      <c r="W9887" t="s">
        <v>45604</v>
      </c>
      <c r="X9887" t="s">
        <v>46578</v>
      </c>
    </row>
    <row r="9888" spans="1:24">
      <c r="A9888">
        <f>HYPERLINK("https://www.philgeps.gov.ph/GEPSNONPILOT/Tender/SplashBidNoticeAbstractUI.aspx?menuIndex=3&amp;refID=7054677&amp;Result=3","7054677")</f>
        <v>0</v>
      </c>
      <c r="B9888" t="s">
        <v>1876</v>
      </c>
      <c r="C9888" t="s">
        <v>12891</v>
      </c>
      <c r="D9888" t="s">
        <v>18799</v>
      </c>
      <c r="E9888" t="s">
        <v>27460</v>
      </c>
      <c r="F9888" t="s">
        <v>32665</v>
      </c>
      <c r="G9888" t="s">
        <v>32671</v>
      </c>
      <c r="H9888" t="s">
        <v>12635</v>
      </c>
      <c r="I9888" t="s">
        <v>10370</v>
      </c>
      <c r="J9888" t="s">
        <v>33957</v>
      </c>
      <c r="K9888" t="s">
        <v>42283</v>
      </c>
      <c r="M9888" t="s">
        <v>44594</v>
      </c>
      <c r="N9888" t="s">
        <v>46569</v>
      </c>
      <c r="O9888" t="s">
        <v>46570</v>
      </c>
      <c r="P9888">
        <v>0</v>
      </c>
      <c r="Q9888">
        <v>1</v>
      </c>
      <c r="R9888" t="s">
        <v>46577</v>
      </c>
      <c r="S9888" t="s">
        <v>46808</v>
      </c>
      <c r="T9888" t="s">
        <v>48254</v>
      </c>
      <c r="U9888" t="s">
        <v>56744</v>
      </c>
      <c r="W9888" t="s">
        <v>44594</v>
      </c>
      <c r="X9888" t="s">
        <v>46578</v>
      </c>
    </row>
    <row r="9889" spans="1:24">
      <c r="A9889">
        <f>HYPERLINK("https://www.philgeps.gov.ph/GEPSNONPILOT/Tender/SplashBidNoticeAbstractUI.aspx?menuIndex=3&amp;refID=7054811&amp;Result=3","7054811")</f>
        <v>0</v>
      </c>
      <c r="B9889" t="s">
        <v>1876</v>
      </c>
      <c r="C9889" t="s">
        <v>12892</v>
      </c>
      <c r="D9889" t="s">
        <v>18799</v>
      </c>
      <c r="E9889" t="s">
        <v>27461</v>
      </c>
      <c r="F9889" t="s">
        <v>32665</v>
      </c>
      <c r="G9889" t="s">
        <v>32671</v>
      </c>
      <c r="H9889" t="s">
        <v>12635</v>
      </c>
      <c r="I9889" t="s">
        <v>5589</v>
      </c>
      <c r="J9889" t="s">
        <v>33349</v>
      </c>
      <c r="K9889" t="s">
        <v>42283</v>
      </c>
      <c r="M9889" t="s">
        <v>44594</v>
      </c>
      <c r="N9889" t="s">
        <v>46569</v>
      </c>
      <c r="O9889" t="s">
        <v>46570</v>
      </c>
      <c r="P9889">
        <v>0</v>
      </c>
      <c r="Q9889">
        <v>4</v>
      </c>
      <c r="R9889" t="s">
        <v>46577</v>
      </c>
      <c r="S9889" t="s">
        <v>46808</v>
      </c>
      <c r="T9889" t="s">
        <v>48254</v>
      </c>
      <c r="U9889" t="s">
        <v>56745</v>
      </c>
      <c r="W9889" t="s">
        <v>44594</v>
      </c>
      <c r="X9889" t="s">
        <v>46578</v>
      </c>
    </row>
    <row r="9890" spans="1:24">
      <c r="A9890">
        <f>HYPERLINK("https://www.philgeps.gov.ph/GEPSNONPILOT/Tender/SplashBidNoticeAbstractUI.aspx?menuIndex=3&amp;refID=7054773&amp;Result=3","7054773")</f>
        <v>0</v>
      </c>
      <c r="B9890" t="s">
        <v>2767</v>
      </c>
      <c r="C9890" t="s">
        <v>12893</v>
      </c>
      <c r="D9890" t="s">
        <v>18828</v>
      </c>
      <c r="E9890" t="s">
        <v>27462</v>
      </c>
      <c r="F9890" t="s">
        <v>32664</v>
      </c>
      <c r="G9890" t="s">
        <v>32672</v>
      </c>
      <c r="H9890" t="s">
        <v>12635</v>
      </c>
      <c r="I9890" t="s">
        <v>11464</v>
      </c>
      <c r="J9890" t="s">
        <v>33273</v>
      </c>
      <c r="K9890" t="s">
        <v>42283</v>
      </c>
      <c r="M9890" t="s">
        <v>45605</v>
      </c>
      <c r="N9890" t="s">
        <v>46569</v>
      </c>
      <c r="O9890" t="s">
        <v>46570</v>
      </c>
      <c r="P9890">
        <v>0</v>
      </c>
      <c r="Q9890">
        <v>2</v>
      </c>
      <c r="R9890" t="s">
        <v>46577</v>
      </c>
      <c r="S9890" t="s">
        <v>46808</v>
      </c>
      <c r="T9890" t="s">
        <v>48384</v>
      </c>
      <c r="U9890" t="s">
        <v>56746</v>
      </c>
      <c r="W9890" t="s">
        <v>45605</v>
      </c>
      <c r="X9890" t="s">
        <v>46578</v>
      </c>
    </row>
    <row r="9891" spans="1:24">
      <c r="A9891">
        <f>HYPERLINK("https://www.philgeps.gov.ph/GEPSNONPILOT/Tender/SplashBidNoticeAbstractUI.aspx?menuIndex=3&amp;refID=7054807&amp;Result=3","7054807")</f>
        <v>0</v>
      </c>
      <c r="B9891" t="s">
        <v>2606</v>
      </c>
      <c r="C9891" t="s">
        <v>12894</v>
      </c>
      <c r="D9891" t="s">
        <v>18844</v>
      </c>
      <c r="E9891" t="s">
        <v>27463</v>
      </c>
      <c r="F9891" t="s">
        <v>32664</v>
      </c>
      <c r="G9891" t="s">
        <v>32677</v>
      </c>
      <c r="H9891" t="s">
        <v>32683</v>
      </c>
      <c r="I9891" t="s">
        <v>10627</v>
      </c>
      <c r="J9891" t="s">
        <v>38740</v>
      </c>
      <c r="K9891" t="s">
        <v>42314</v>
      </c>
      <c r="M9891" t="s">
        <v>45423</v>
      </c>
      <c r="N9891" t="s">
        <v>46569</v>
      </c>
      <c r="O9891" t="s">
        <v>46570</v>
      </c>
      <c r="P9891">
        <v>0</v>
      </c>
      <c r="Q9891">
        <v>0</v>
      </c>
      <c r="R9891" t="s">
        <v>46577</v>
      </c>
      <c r="S9891" t="s">
        <v>46808</v>
      </c>
      <c r="T9891" t="s">
        <v>48287</v>
      </c>
      <c r="U9891" t="s">
        <v>56747</v>
      </c>
      <c r="W9891" t="s">
        <v>45423</v>
      </c>
      <c r="X9891" t="s">
        <v>46578</v>
      </c>
    </row>
    <row r="9892" spans="1:24">
      <c r="A9892">
        <f>HYPERLINK("https://www.philgeps.gov.ph/GEPSNONPILOT/Tender/SplashBidNoticeAbstractUI.aspx?menuIndex=3&amp;refID=7054828&amp;Result=3","7054828")</f>
        <v>0</v>
      </c>
      <c r="B9892" t="s">
        <v>690</v>
      </c>
      <c r="C9892" t="s">
        <v>12895</v>
      </c>
      <c r="D9892" t="s">
        <v>18781</v>
      </c>
      <c r="E9892" t="s">
        <v>27464</v>
      </c>
      <c r="F9892" t="s">
        <v>32664</v>
      </c>
      <c r="G9892" t="s">
        <v>32672</v>
      </c>
      <c r="H9892" t="s">
        <v>32683</v>
      </c>
      <c r="I9892" t="s">
        <v>10627</v>
      </c>
      <c r="J9892" t="s">
        <v>33946</v>
      </c>
      <c r="K9892" t="s">
        <v>42308</v>
      </c>
      <c r="L9892" t="s">
        <v>690</v>
      </c>
      <c r="M9892" t="s">
        <v>45601</v>
      </c>
      <c r="N9892" t="s">
        <v>46569</v>
      </c>
      <c r="O9892" t="s">
        <v>46570</v>
      </c>
      <c r="P9892">
        <v>0</v>
      </c>
      <c r="Q9892">
        <v>2</v>
      </c>
      <c r="R9892" t="s">
        <v>46577</v>
      </c>
      <c r="S9892" t="s">
        <v>46808</v>
      </c>
      <c r="T9892" t="s">
        <v>48345</v>
      </c>
      <c r="U9892" t="s">
        <v>56737</v>
      </c>
      <c r="W9892" t="s">
        <v>45601</v>
      </c>
      <c r="X9892" t="s">
        <v>46578</v>
      </c>
    </row>
    <row r="9893" spans="1:24">
      <c r="A9893">
        <f>HYPERLINK("https://www.philgeps.gov.ph/GEPSNONPILOT/Tender/SplashBidNoticeAbstractUI.aspx?menuIndex=3&amp;refID=7054825&amp;Result=3","7054825")</f>
        <v>0</v>
      </c>
      <c r="B9893" t="s">
        <v>49</v>
      </c>
      <c r="C9893" t="s">
        <v>12896</v>
      </c>
      <c r="D9893" t="s">
        <v>18799</v>
      </c>
      <c r="E9893" t="s">
        <v>27465</v>
      </c>
      <c r="F9893" t="s">
        <v>32664</v>
      </c>
      <c r="G9893" t="s">
        <v>32671</v>
      </c>
      <c r="H9893" t="s">
        <v>12635</v>
      </c>
      <c r="I9893" t="s">
        <v>8797</v>
      </c>
      <c r="J9893" t="s">
        <v>38741</v>
      </c>
      <c r="K9893" t="s">
        <v>42283</v>
      </c>
      <c r="M9893" t="s">
        <v>43367</v>
      </c>
      <c r="N9893" t="s">
        <v>46569</v>
      </c>
      <c r="O9893" t="s">
        <v>46570</v>
      </c>
      <c r="P9893">
        <v>0</v>
      </c>
      <c r="Q9893">
        <v>3</v>
      </c>
      <c r="R9893" t="s">
        <v>46577</v>
      </c>
      <c r="S9893" t="s">
        <v>46808</v>
      </c>
      <c r="T9893" t="s">
        <v>48258</v>
      </c>
      <c r="U9893" t="s">
        <v>56748</v>
      </c>
      <c r="W9893" t="s">
        <v>43367</v>
      </c>
      <c r="X9893" t="s">
        <v>46578</v>
      </c>
    </row>
    <row r="9894" spans="1:24">
      <c r="A9894">
        <f>HYPERLINK("https://www.philgeps.gov.ph/GEPSNONPILOT/Tender/SplashBidNoticeAbstractUI.aspx?menuIndex=3&amp;refID=7054804&amp;Result=3","7054804")</f>
        <v>0</v>
      </c>
      <c r="B9894" t="s">
        <v>690</v>
      </c>
      <c r="C9894" t="s">
        <v>12897</v>
      </c>
      <c r="D9894" t="s">
        <v>18781</v>
      </c>
      <c r="E9894" t="s">
        <v>27466</v>
      </c>
      <c r="F9894" t="s">
        <v>32664</v>
      </c>
      <c r="G9894" t="s">
        <v>32672</v>
      </c>
      <c r="H9894" t="s">
        <v>32683</v>
      </c>
      <c r="I9894" t="s">
        <v>10627</v>
      </c>
      <c r="J9894" t="s">
        <v>38742</v>
      </c>
      <c r="K9894" t="s">
        <v>42301</v>
      </c>
      <c r="L9894" t="s">
        <v>690</v>
      </c>
      <c r="M9894" t="s">
        <v>45601</v>
      </c>
      <c r="N9894" t="s">
        <v>46569</v>
      </c>
      <c r="O9894" t="s">
        <v>46570</v>
      </c>
      <c r="P9894">
        <v>0</v>
      </c>
      <c r="Q9894">
        <v>5</v>
      </c>
      <c r="R9894" t="s">
        <v>46577</v>
      </c>
      <c r="S9894" t="s">
        <v>46808</v>
      </c>
      <c r="T9894" t="s">
        <v>48345</v>
      </c>
      <c r="U9894" t="s">
        <v>56737</v>
      </c>
      <c r="W9894" t="s">
        <v>45601</v>
      </c>
      <c r="X9894" t="s">
        <v>46578</v>
      </c>
    </row>
    <row r="9895" spans="1:24">
      <c r="A9895">
        <f>HYPERLINK("https://www.philgeps.gov.ph/GEPSNONPILOT/Tender/SplashBidNoticeAbstractUI.aspx?menuIndex=3&amp;refID=7054764&amp;Result=3","7054764")</f>
        <v>0</v>
      </c>
      <c r="B9895" t="s">
        <v>2339</v>
      </c>
      <c r="C9895" t="s">
        <v>12898</v>
      </c>
      <c r="E9895" t="s">
        <v>27467</v>
      </c>
      <c r="F9895" t="s">
        <v>32664</v>
      </c>
      <c r="G9895" t="s">
        <v>32672</v>
      </c>
      <c r="H9895" t="s">
        <v>12635</v>
      </c>
      <c r="I9895" t="s">
        <v>32745</v>
      </c>
      <c r="J9895" t="s">
        <v>38743</v>
      </c>
      <c r="K9895" t="s">
        <v>42283</v>
      </c>
      <c r="M9895" t="s">
        <v>45119</v>
      </c>
      <c r="N9895" t="s">
        <v>46569</v>
      </c>
      <c r="O9895" t="s">
        <v>46570</v>
      </c>
      <c r="P9895">
        <v>0</v>
      </c>
      <c r="Q9895">
        <v>4</v>
      </c>
      <c r="R9895" t="s">
        <v>46577</v>
      </c>
      <c r="S9895" t="s">
        <v>46808</v>
      </c>
      <c r="T9895" t="s">
        <v>48248</v>
      </c>
      <c r="U9895" t="s">
        <v>56749</v>
      </c>
      <c r="V9895" t="s">
        <v>62663</v>
      </c>
      <c r="W9895" t="s">
        <v>45119</v>
      </c>
      <c r="X9895" t="s">
        <v>46578</v>
      </c>
    </row>
    <row r="9896" spans="1:24">
      <c r="A9896">
        <f>HYPERLINK("https://www.philgeps.gov.ph/GEPSNONPILOT/Tender/SplashBidNoticeAbstractUI.aspx?menuIndex=3&amp;refID=7054763&amp;Result=3","7054763")</f>
        <v>0</v>
      </c>
      <c r="B9896" t="s">
        <v>2768</v>
      </c>
      <c r="C9896" t="s">
        <v>12899</v>
      </c>
      <c r="D9896" t="s">
        <v>18826</v>
      </c>
      <c r="E9896" t="s">
        <v>27468</v>
      </c>
      <c r="F9896" t="s">
        <v>32664</v>
      </c>
      <c r="G9896" t="s">
        <v>32672</v>
      </c>
      <c r="H9896" t="s">
        <v>32683</v>
      </c>
      <c r="I9896" t="s">
        <v>32733</v>
      </c>
      <c r="J9896" t="s">
        <v>32943</v>
      </c>
      <c r="K9896" t="s">
        <v>42308</v>
      </c>
      <c r="M9896" t="s">
        <v>45606</v>
      </c>
      <c r="N9896" t="s">
        <v>46569</v>
      </c>
      <c r="O9896" t="s">
        <v>46570</v>
      </c>
      <c r="P9896">
        <v>0</v>
      </c>
      <c r="Q9896">
        <v>2</v>
      </c>
      <c r="R9896" t="s">
        <v>46577</v>
      </c>
      <c r="S9896" t="s">
        <v>46808</v>
      </c>
      <c r="T9896" t="s">
        <v>48381</v>
      </c>
      <c r="U9896" t="s">
        <v>56750</v>
      </c>
      <c r="V9896" t="s">
        <v>62664</v>
      </c>
      <c r="W9896" t="s">
        <v>45606</v>
      </c>
      <c r="X9896" t="s">
        <v>46578</v>
      </c>
    </row>
    <row r="9897" spans="1:24">
      <c r="A9897">
        <f>HYPERLINK("https://www.philgeps.gov.ph/GEPSNONPILOT/Tender/SplashBidNoticeAbstractUI.aspx?menuIndex=3&amp;refID=7054760&amp;Result=3","7054760")</f>
        <v>0</v>
      </c>
      <c r="B9897" t="s">
        <v>1946</v>
      </c>
      <c r="C9897" t="s">
        <v>12900</v>
      </c>
      <c r="D9897" t="s">
        <v>18843</v>
      </c>
      <c r="E9897" t="s">
        <v>27469</v>
      </c>
      <c r="F9897" t="s">
        <v>32664</v>
      </c>
      <c r="G9897" t="s">
        <v>32672</v>
      </c>
      <c r="H9897" t="s">
        <v>32683</v>
      </c>
      <c r="I9897" t="s">
        <v>10627</v>
      </c>
      <c r="J9897" t="s">
        <v>32943</v>
      </c>
      <c r="K9897" t="s">
        <v>42298</v>
      </c>
      <c r="M9897" t="s">
        <v>44673</v>
      </c>
      <c r="N9897" t="s">
        <v>46569</v>
      </c>
      <c r="O9897" t="s">
        <v>46570</v>
      </c>
      <c r="P9897">
        <v>0</v>
      </c>
      <c r="Q9897">
        <v>0</v>
      </c>
      <c r="R9897" t="s">
        <v>46577</v>
      </c>
      <c r="S9897" t="s">
        <v>46808</v>
      </c>
      <c r="T9897" t="s">
        <v>48305</v>
      </c>
      <c r="U9897" t="s">
        <v>56751</v>
      </c>
      <c r="W9897" t="s">
        <v>44673</v>
      </c>
      <c r="X9897" t="s">
        <v>46578</v>
      </c>
    </row>
    <row r="9898" spans="1:24">
      <c r="A9898">
        <f>HYPERLINK("https://www.philgeps.gov.ph/GEPSNONPILOT/Tender/SplashBidNoticeAbstractUI.aspx?menuIndex=3&amp;refID=7054815&amp;Result=3","7054815")</f>
        <v>0</v>
      </c>
      <c r="B9898" t="s">
        <v>690</v>
      </c>
      <c r="C9898" t="s">
        <v>12901</v>
      </c>
      <c r="D9898" t="s">
        <v>18781</v>
      </c>
      <c r="E9898" t="s">
        <v>27470</v>
      </c>
      <c r="F9898" t="s">
        <v>32664</v>
      </c>
      <c r="G9898" t="s">
        <v>32672</v>
      </c>
      <c r="H9898" t="s">
        <v>32683</v>
      </c>
      <c r="I9898" t="s">
        <v>10627</v>
      </c>
      <c r="J9898" t="s">
        <v>37781</v>
      </c>
      <c r="K9898" t="s">
        <v>42301</v>
      </c>
      <c r="L9898" t="s">
        <v>690</v>
      </c>
      <c r="M9898" t="s">
        <v>45601</v>
      </c>
      <c r="N9898" t="s">
        <v>46569</v>
      </c>
      <c r="O9898" t="s">
        <v>46570</v>
      </c>
      <c r="P9898">
        <v>0</v>
      </c>
      <c r="Q9898">
        <v>3</v>
      </c>
      <c r="R9898" t="s">
        <v>46577</v>
      </c>
      <c r="S9898" t="s">
        <v>46808</v>
      </c>
      <c r="T9898" t="s">
        <v>48345</v>
      </c>
      <c r="U9898" t="s">
        <v>56737</v>
      </c>
      <c r="W9898" t="s">
        <v>45601</v>
      </c>
      <c r="X9898" t="s">
        <v>46578</v>
      </c>
    </row>
    <row r="9899" spans="1:24">
      <c r="A9899">
        <f>HYPERLINK("https://www.philgeps.gov.ph/GEPSNONPILOT/Tender/SplashBidNoticeAbstractUI.aspx?menuIndex=3&amp;refID=7054884&amp;Result=3","7054884")</f>
        <v>0</v>
      </c>
      <c r="B9899" t="s">
        <v>1908</v>
      </c>
      <c r="C9899" t="s">
        <v>12902</v>
      </c>
      <c r="D9899" t="s">
        <v>18784</v>
      </c>
      <c r="E9899" t="s">
        <v>20042</v>
      </c>
      <c r="F9899" t="s">
        <v>32664</v>
      </c>
      <c r="G9899" t="s">
        <v>32671</v>
      </c>
      <c r="H9899" t="s">
        <v>32682</v>
      </c>
      <c r="I9899" t="s">
        <v>32701</v>
      </c>
      <c r="J9899" t="s">
        <v>33008</v>
      </c>
      <c r="K9899" t="s">
        <v>42281</v>
      </c>
      <c r="M9899" t="s">
        <v>44629</v>
      </c>
      <c r="N9899" t="s">
        <v>46569</v>
      </c>
      <c r="O9899" t="s">
        <v>46570</v>
      </c>
      <c r="P9899">
        <v>0</v>
      </c>
      <c r="Q9899">
        <v>3</v>
      </c>
      <c r="R9899" t="s">
        <v>46577</v>
      </c>
      <c r="S9899" t="s">
        <v>46808</v>
      </c>
      <c r="T9899" t="s">
        <v>48562</v>
      </c>
      <c r="U9899" t="s">
        <v>56752</v>
      </c>
      <c r="W9899" t="s">
        <v>44629</v>
      </c>
      <c r="X9899" t="s">
        <v>46578</v>
      </c>
    </row>
    <row r="9900" spans="1:24">
      <c r="A9900">
        <f>HYPERLINK("https://www.philgeps.gov.ph/GEPSNONPILOT/Tender/SplashBidNoticeAbstractUI.aspx?menuIndex=3&amp;refID=7054878&amp;Result=3","7054878")</f>
        <v>0</v>
      </c>
      <c r="B9900" t="s">
        <v>2769</v>
      </c>
      <c r="C9900" t="s">
        <v>12903</v>
      </c>
      <c r="D9900" t="s">
        <v>18831</v>
      </c>
      <c r="E9900" t="s">
        <v>23119</v>
      </c>
      <c r="F9900" t="s">
        <v>32665</v>
      </c>
      <c r="G9900" t="s">
        <v>32672</v>
      </c>
      <c r="H9900" t="s">
        <v>12635</v>
      </c>
      <c r="I9900" t="s">
        <v>6223</v>
      </c>
      <c r="J9900" t="s">
        <v>38744</v>
      </c>
      <c r="K9900" t="s">
        <v>42283</v>
      </c>
      <c r="M9900" t="s">
        <v>45607</v>
      </c>
      <c r="N9900" t="s">
        <v>46569</v>
      </c>
      <c r="O9900" t="s">
        <v>46570</v>
      </c>
      <c r="P9900">
        <v>0</v>
      </c>
      <c r="Q9900">
        <v>0</v>
      </c>
      <c r="R9900" t="s">
        <v>46577</v>
      </c>
      <c r="S9900" t="s">
        <v>46808</v>
      </c>
      <c r="T9900" t="s">
        <v>48363</v>
      </c>
      <c r="U9900" t="s">
        <v>56753</v>
      </c>
      <c r="W9900" t="s">
        <v>45607</v>
      </c>
      <c r="X9900" t="s">
        <v>46578</v>
      </c>
    </row>
    <row r="9901" spans="1:24">
      <c r="A9901">
        <f>HYPERLINK("https://www.philgeps.gov.ph/GEPSNONPILOT/Tender/SplashBidNoticeAbstractUI.aspx?menuIndex=3&amp;refID=7054874&amp;Result=3","7054874")</f>
        <v>0</v>
      </c>
      <c r="B9901" t="s">
        <v>2726</v>
      </c>
      <c r="C9901" t="s">
        <v>12904</v>
      </c>
      <c r="D9901" t="s">
        <v>18794</v>
      </c>
      <c r="E9901" t="s">
        <v>27471</v>
      </c>
      <c r="F9901" t="s">
        <v>32664</v>
      </c>
      <c r="G9901" t="s">
        <v>32671</v>
      </c>
      <c r="H9901" t="s">
        <v>12635</v>
      </c>
      <c r="I9901" t="s">
        <v>8958</v>
      </c>
      <c r="J9901" t="s">
        <v>38745</v>
      </c>
      <c r="K9901" t="s">
        <v>42305</v>
      </c>
      <c r="M9901" t="s">
        <v>45556</v>
      </c>
      <c r="N9901" t="s">
        <v>46569</v>
      </c>
      <c r="O9901" t="s">
        <v>46570</v>
      </c>
      <c r="P9901">
        <v>0</v>
      </c>
      <c r="Q9901">
        <v>3</v>
      </c>
      <c r="R9901" t="s">
        <v>46577</v>
      </c>
      <c r="S9901" t="s">
        <v>46808</v>
      </c>
      <c r="T9901" t="s">
        <v>48448</v>
      </c>
      <c r="U9901" t="s">
        <v>56754</v>
      </c>
      <c r="W9901" t="s">
        <v>45556</v>
      </c>
      <c r="X9901" t="s">
        <v>46578</v>
      </c>
    </row>
    <row r="9902" spans="1:24">
      <c r="A9902">
        <f>HYPERLINK("https://www.philgeps.gov.ph/GEPSNONPILOT/Tender/SplashBidNoticeAbstractUI.aspx?menuIndex=3&amp;refID=7054875&amp;Result=3","7054875")</f>
        <v>0</v>
      </c>
      <c r="B9902" t="s">
        <v>2746</v>
      </c>
      <c r="C9902" t="s">
        <v>12905</v>
      </c>
      <c r="D9902" t="s">
        <v>18784</v>
      </c>
      <c r="E9902" t="s">
        <v>20822</v>
      </c>
      <c r="F9902" t="s">
        <v>32664</v>
      </c>
      <c r="G9902" t="s">
        <v>32671</v>
      </c>
      <c r="H9902" t="s">
        <v>12635</v>
      </c>
      <c r="I9902" t="s">
        <v>8797</v>
      </c>
      <c r="J9902" t="s">
        <v>38746</v>
      </c>
      <c r="K9902" t="s">
        <v>42305</v>
      </c>
      <c r="M9902" t="s">
        <v>45580</v>
      </c>
      <c r="N9902" t="s">
        <v>46569</v>
      </c>
      <c r="O9902" t="s">
        <v>46570</v>
      </c>
      <c r="P9902">
        <v>0</v>
      </c>
      <c r="Q9902">
        <v>4</v>
      </c>
      <c r="R9902" t="s">
        <v>46577</v>
      </c>
      <c r="S9902" t="s">
        <v>46808</v>
      </c>
      <c r="T9902" t="s">
        <v>48307</v>
      </c>
      <c r="U9902" t="s">
        <v>56657</v>
      </c>
      <c r="V9902" t="s">
        <v>62649</v>
      </c>
      <c r="W9902" t="s">
        <v>45580</v>
      </c>
      <c r="X9902" t="s">
        <v>46578</v>
      </c>
    </row>
    <row r="9903" spans="1:24">
      <c r="A9903">
        <f>HYPERLINK("https://www.philgeps.gov.ph/GEPSNONPILOT/Tender/SplashBidNoticeAbstractUI.aspx?menuIndex=3&amp;refID=7054821&amp;Result=3","7054821")</f>
        <v>0</v>
      </c>
      <c r="B9903" t="s">
        <v>2770</v>
      </c>
      <c r="C9903" t="s">
        <v>12906</v>
      </c>
      <c r="D9903" t="s">
        <v>18801</v>
      </c>
      <c r="E9903" t="s">
        <v>22083</v>
      </c>
      <c r="F9903" t="s">
        <v>32664</v>
      </c>
      <c r="G9903" t="s">
        <v>32674</v>
      </c>
      <c r="H9903" t="s">
        <v>12635</v>
      </c>
      <c r="I9903" t="s">
        <v>13883</v>
      </c>
      <c r="J9903" t="s">
        <v>38747</v>
      </c>
      <c r="K9903" t="s">
        <v>42295</v>
      </c>
      <c r="M9903" t="s">
        <v>45608</v>
      </c>
      <c r="N9903" t="s">
        <v>46569</v>
      </c>
      <c r="O9903" t="s">
        <v>46570</v>
      </c>
      <c r="P9903">
        <v>0</v>
      </c>
      <c r="Q9903">
        <v>7</v>
      </c>
      <c r="R9903" t="s">
        <v>46577</v>
      </c>
      <c r="S9903" t="s">
        <v>46808</v>
      </c>
      <c r="T9903" t="s">
        <v>48388</v>
      </c>
      <c r="U9903" t="s">
        <v>56755</v>
      </c>
      <c r="W9903" t="s">
        <v>45608</v>
      </c>
      <c r="X9903" t="s">
        <v>46578</v>
      </c>
    </row>
    <row r="9904" spans="1:24">
      <c r="A9904">
        <f>HYPERLINK("https://www.philgeps.gov.ph/GEPSNONPILOT/Tender/SplashBidNoticeAbstractUI.aspx?menuIndex=3&amp;refID=7054877&amp;Result=3","7054877")</f>
        <v>0</v>
      </c>
      <c r="B9904" t="s">
        <v>690</v>
      </c>
      <c r="C9904" t="s">
        <v>12907</v>
      </c>
      <c r="D9904" t="s">
        <v>18781</v>
      </c>
      <c r="E9904" t="s">
        <v>27472</v>
      </c>
      <c r="F9904" t="s">
        <v>32664</v>
      </c>
      <c r="G9904" t="s">
        <v>32672</v>
      </c>
      <c r="H9904" t="s">
        <v>32683</v>
      </c>
      <c r="I9904" t="s">
        <v>10627</v>
      </c>
      <c r="J9904" t="s">
        <v>34131</v>
      </c>
      <c r="K9904" t="s">
        <v>42340</v>
      </c>
      <c r="L9904" t="s">
        <v>690</v>
      </c>
      <c r="M9904" t="s">
        <v>45601</v>
      </c>
      <c r="N9904" t="s">
        <v>46569</v>
      </c>
      <c r="O9904" t="s">
        <v>46570</v>
      </c>
      <c r="P9904">
        <v>0</v>
      </c>
      <c r="Q9904">
        <v>1</v>
      </c>
      <c r="R9904" t="s">
        <v>46577</v>
      </c>
      <c r="S9904" t="s">
        <v>46808</v>
      </c>
      <c r="T9904" t="s">
        <v>48345</v>
      </c>
      <c r="U9904" t="s">
        <v>56737</v>
      </c>
      <c r="W9904" t="s">
        <v>45601</v>
      </c>
      <c r="X9904" t="s">
        <v>46578</v>
      </c>
    </row>
    <row r="9905" spans="1:24">
      <c r="A9905">
        <f>HYPERLINK("https://www.philgeps.gov.ph/GEPSNONPILOT/Tender/SplashBidNoticeAbstractUI.aspx?menuIndex=3&amp;refID=7054871&amp;Result=3","7054871")</f>
        <v>0</v>
      </c>
      <c r="B9905" t="s">
        <v>1713</v>
      </c>
      <c r="C9905" t="s">
        <v>12908</v>
      </c>
      <c r="D9905" t="s">
        <v>18799</v>
      </c>
      <c r="E9905" t="s">
        <v>27473</v>
      </c>
      <c r="F9905" t="s">
        <v>32664</v>
      </c>
      <c r="G9905" t="s">
        <v>32672</v>
      </c>
      <c r="H9905" t="s">
        <v>12635</v>
      </c>
      <c r="I9905" t="s">
        <v>10361</v>
      </c>
      <c r="J9905" t="s">
        <v>33696</v>
      </c>
      <c r="K9905" t="s">
        <v>42284</v>
      </c>
      <c r="M9905" t="s">
        <v>44408</v>
      </c>
      <c r="N9905" t="s">
        <v>46569</v>
      </c>
      <c r="O9905" t="s">
        <v>46570</v>
      </c>
      <c r="P9905">
        <v>0</v>
      </c>
      <c r="Q9905">
        <v>0</v>
      </c>
      <c r="R9905" t="s">
        <v>46577</v>
      </c>
      <c r="S9905" t="s">
        <v>46808</v>
      </c>
      <c r="T9905" t="s">
        <v>48287</v>
      </c>
      <c r="U9905" t="s">
        <v>56756</v>
      </c>
      <c r="W9905" t="s">
        <v>63529</v>
      </c>
      <c r="X9905" t="s">
        <v>46578</v>
      </c>
    </row>
    <row r="9906" spans="1:24">
      <c r="A9906">
        <f>HYPERLINK("https://www.philgeps.gov.ph/GEPSNONPILOT/Tender/SplashBidNoticeAbstractUI.aspx?menuIndex=3&amp;refID=7054866&amp;Result=3","7054866")</f>
        <v>0</v>
      </c>
      <c r="B9906" t="s">
        <v>690</v>
      </c>
      <c r="C9906" t="s">
        <v>12909</v>
      </c>
      <c r="D9906" t="s">
        <v>18781</v>
      </c>
      <c r="E9906" t="s">
        <v>27474</v>
      </c>
      <c r="F9906" t="s">
        <v>32664</v>
      </c>
      <c r="G9906" t="s">
        <v>32672</v>
      </c>
      <c r="H9906" t="s">
        <v>32683</v>
      </c>
      <c r="I9906" t="s">
        <v>10627</v>
      </c>
      <c r="J9906" t="s">
        <v>34131</v>
      </c>
      <c r="K9906" t="s">
        <v>42311</v>
      </c>
      <c r="L9906" t="s">
        <v>690</v>
      </c>
      <c r="M9906" t="s">
        <v>45601</v>
      </c>
      <c r="N9906" t="s">
        <v>46569</v>
      </c>
      <c r="O9906" t="s">
        <v>46570</v>
      </c>
      <c r="P9906">
        <v>0</v>
      </c>
      <c r="Q9906">
        <v>1</v>
      </c>
      <c r="R9906" t="s">
        <v>46577</v>
      </c>
      <c r="S9906" t="s">
        <v>46808</v>
      </c>
      <c r="T9906" t="s">
        <v>48345</v>
      </c>
      <c r="U9906" t="s">
        <v>56737</v>
      </c>
      <c r="W9906" t="s">
        <v>45601</v>
      </c>
      <c r="X9906" t="s">
        <v>46578</v>
      </c>
    </row>
    <row r="9907" spans="1:24">
      <c r="A9907">
        <f>HYPERLINK("https://www.philgeps.gov.ph/GEPSNONPILOT/Tender/SplashBidNoticeAbstractUI.aspx?menuIndex=3&amp;refID=7054806&amp;Result=3","7054806")</f>
        <v>0</v>
      </c>
      <c r="B9907" t="s">
        <v>2738</v>
      </c>
      <c r="C9907" t="s">
        <v>12910</v>
      </c>
      <c r="D9907" t="s">
        <v>18843</v>
      </c>
      <c r="E9907" t="s">
        <v>27475</v>
      </c>
      <c r="F9907" t="s">
        <v>32664</v>
      </c>
      <c r="G9907" t="s">
        <v>32674</v>
      </c>
      <c r="H9907" t="s">
        <v>32683</v>
      </c>
      <c r="I9907" t="s">
        <v>32723</v>
      </c>
      <c r="J9907" t="s">
        <v>38748</v>
      </c>
      <c r="K9907" t="s">
        <v>42283</v>
      </c>
      <c r="M9907" t="s">
        <v>45572</v>
      </c>
      <c r="N9907" t="s">
        <v>46569</v>
      </c>
      <c r="O9907" t="s">
        <v>46570</v>
      </c>
      <c r="P9907">
        <v>0</v>
      </c>
      <c r="Q9907">
        <v>0</v>
      </c>
      <c r="R9907" t="s">
        <v>46577</v>
      </c>
      <c r="S9907" t="s">
        <v>46808</v>
      </c>
      <c r="T9907" t="s">
        <v>48646</v>
      </c>
      <c r="U9907" t="s">
        <v>56757</v>
      </c>
      <c r="W9907" t="s">
        <v>45572</v>
      </c>
      <c r="X9907" t="s">
        <v>46578</v>
      </c>
    </row>
    <row r="9908" spans="1:24">
      <c r="A9908">
        <f>HYPERLINK("https://www.philgeps.gov.ph/GEPSNONPILOT/Tender/SplashBidNoticeAbstractUI.aspx?menuIndex=3&amp;refID=7054864&amp;Result=3","7054864")</f>
        <v>0</v>
      </c>
      <c r="B9908" t="s">
        <v>1375</v>
      </c>
      <c r="C9908" t="s">
        <v>12911</v>
      </c>
      <c r="D9908" t="s">
        <v>18791</v>
      </c>
      <c r="E9908" t="s">
        <v>22803</v>
      </c>
      <c r="F9908" t="s">
        <v>32664</v>
      </c>
      <c r="G9908" t="s">
        <v>32674</v>
      </c>
      <c r="H9908" t="s">
        <v>12635</v>
      </c>
      <c r="I9908" t="s">
        <v>14442</v>
      </c>
      <c r="J9908" t="s">
        <v>38749</v>
      </c>
      <c r="K9908" t="s">
        <v>42297</v>
      </c>
      <c r="M9908" t="s">
        <v>44030</v>
      </c>
      <c r="N9908" t="s">
        <v>46569</v>
      </c>
      <c r="O9908" t="s">
        <v>46570</v>
      </c>
      <c r="P9908">
        <v>0</v>
      </c>
      <c r="Q9908">
        <v>2</v>
      </c>
      <c r="R9908" t="s">
        <v>46577</v>
      </c>
      <c r="S9908" t="s">
        <v>46808</v>
      </c>
      <c r="T9908" t="s">
        <v>48256</v>
      </c>
      <c r="U9908" t="s">
        <v>56758</v>
      </c>
      <c r="W9908" t="s">
        <v>44030</v>
      </c>
      <c r="X9908" t="s">
        <v>46578</v>
      </c>
    </row>
    <row r="9909" spans="1:24">
      <c r="A9909">
        <f>HYPERLINK("https://www.philgeps.gov.ph/GEPSNONPILOT/Tender/SplashBidNoticeAbstractUI.aspx?menuIndex=3&amp;refID=7054823&amp;Result=3","7054823")</f>
        <v>0</v>
      </c>
      <c r="B9909" t="s">
        <v>1046</v>
      </c>
      <c r="C9909" t="s">
        <v>12912</v>
      </c>
      <c r="D9909" t="s">
        <v>18815</v>
      </c>
      <c r="E9909" t="s">
        <v>27476</v>
      </c>
      <c r="F9909" t="s">
        <v>32664</v>
      </c>
      <c r="G9909" t="s">
        <v>32672</v>
      </c>
      <c r="H9909" t="s">
        <v>12635</v>
      </c>
      <c r="I9909" t="s">
        <v>32685</v>
      </c>
      <c r="J9909" t="s">
        <v>38750</v>
      </c>
      <c r="K9909" t="s">
        <v>42298</v>
      </c>
      <c r="M9909" t="s">
        <v>43661</v>
      </c>
      <c r="N9909" t="s">
        <v>46569</v>
      </c>
      <c r="O9909" t="s">
        <v>46570</v>
      </c>
      <c r="P9909">
        <v>0</v>
      </c>
      <c r="Q9909">
        <v>0</v>
      </c>
      <c r="R9909" t="s">
        <v>46577</v>
      </c>
      <c r="S9909" t="s">
        <v>46808</v>
      </c>
      <c r="T9909" t="s">
        <v>48313</v>
      </c>
      <c r="U9909" t="s">
        <v>56759</v>
      </c>
      <c r="V9909" t="s">
        <v>62430</v>
      </c>
      <c r="W9909" t="s">
        <v>43661</v>
      </c>
      <c r="X9909" t="s">
        <v>46578</v>
      </c>
    </row>
    <row r="9910" spans="1:24">
      <c r="A9910">
        <f>HYPERLINK("https://www.philgeps.gov.ph/GEPSNONPILOT/Tender/SplashBidNoticeAbstractUI.aspx?menuIndex=3&amp;refID=7054868&amp;Result=3","7054868")</f>
        <v>0</v>
      </c>
      <c r="B9910" t="s">
        <v>2606</v>
      </c>
      <c r="C9910" t="s">
        <v>12913</v>
      </c>
      <c r="D9910" t="s">
        <v>18844</v>
      </c>
      <c r="E9910" t="s">
        <v>27477</v>
      </c>
      <c r="F9910" t="s">
        <v>32664</v>
      </c>
      <c r="G9910" t="s">
        <v>32677</v>
      </c>
      <c r="H9910" t="s">
        <v>32683</v>
      </c>
      <c r="I9910" t="s">
        <v>10627</v>
      </c>
      <c r="J9910" t="s">
        <v>38751</v>
      </c>
      <c r="K9910" t="s">
        <v>42314</v>
      </c>
      <c r="M9910" t="s">
        <v>45423</v>
      </c>
      <c r="N9910" t="s">
        <v>46569</v>
      </c>
      <c r="O9910" t="s">
        <v>46570</v>
      </c>
      <c r="P9910">
        <v>0</v>
      </c>
      <c r="Q9910">
        <v>0</v>
      </c>
      <c r="R9910" t="s">
        <v>46577</v>
      </c>
      <c r="S9910" t="s">
        <v>46808</v>
      </c>
      <c r="T9910" t="s">
        <v>48287</v>
      </c>
      <c r="U9910" t="s">
        <v>56760</v>
      </c>
      <c r="W9910" t="s">
        <v>45423</v>
      </c>
      <c r="X9910" t="s">
        <v>46578</v>
      </c>
    </row>
    <row r="9911" spans="1:24">
      <c r="A9911">
        <f>HYPERLINK("https://www.philgeps.gov.ph/GEPSNONPILOT/Tender/SplashBidNoticeAbstractUI.aspx?menuIndex=3&amp;refID=7054887&amp;Result=3","7054887")</f>
        <v>0</v>
      </c>
      <c r="B9911" t="s">
        <v>690</v>
      </c>
      <c r="C9911" t="s">
        <v>12914</v>
      </c>
      <c r="D9911" t="s">
        <v>18781</v>
      </c>
      <c r="E9911" t="s">
        <v>27478</v>
      </c>
      <c r="F9911" t="s">
        <v>32664</v>
      </c>
      <c r="G9911" t="s">
        <v>32672</v>
      </c>
      <c r="H9911" t="s">
        <v>32683</v>
      </c>
      <c r="I9911" t="s">
        <v>10627</v>
      </c>
      <c r="J9911" t="s">
        <v>37270</v>
      </c>
      <c r="K9911" t="s">
        <v>42311</v>
      </c>
      <c r="L9911" t="s">
        <v>690</v>
      </c>
      <c r="M9911" t="s">
        <v>45601</v>
      </c>
      <c r="N9911" t="s">
        <v>46569</v>
      </c>
      <c r="O9911" t="s">
        <v>46570</v>
      </c>
      <c r="P9911">
        <v>0</v>
      </c>
      <c r="Q9911">
        <v>1</v>
      </c>
      <c r="R9911" t="s">
        <v>46577</v>
      </c>
      <c r="S9911" t="s">
        <v>46808</v>
      </c>
      <c r="T9911" t="s">
        <v>48345</v>
      </c>
      <c r="U9911" t="s">
        <v>56737</v>
      </c>
      <c r="W9911" t="s">
        <v>45601</v>
      </c>
      <c r="X9911" t="s">
        <v>46578</v>
      </c>
    </row>
    <row r="9912" spans="1:24">
      <c r="A9912">
        <f>HYPERLINK("https://www.philgeps.gov.ph/GEPSNONPILOT/Tender/SplashBidNoticeAbstractUI.aspx?menuIndex=3&amp;refID=7054865&amp;Result=3","7054865")</f>
        <v>0</v>
      </c>
      <c r="B9912" t="s">
        <v>2564</v>
      </c>
      <c r="C9912" t="s">
        <v>12915</v>
      </c>
      <c r="D9912" t="s">
        <v>18820</v>
      </c>
      <c r="E9912" t="s">
        <v>27479</v>
      </c>
      <c r="F9912" t="s">
        <v>32664</v>
      </c>
      <c r="G9912" t="s">
        <v>32672</v>
      </c>
      <c r="H9912" t="s">
        <v>12635</v>
      </c>
      <c r="I9912" t="s">
        <v>6223</v>
      </c>
      <c r="J9912" t="s">
        <v>38752</v>
      </c>
      <c r="K9912" t="s">
        <v>42281</v>
      </c>
      <c r="M9912" t="s">
        <v>45375</v>
      </c>
      <c r="N9912" t="s">
        <v>46569</v>
      </c>
      <c r="O9912" t="s">
        <v>46570</v>
      </c>
      <c r="P9912">
        <v>0</v>
      </c>
      <c r="Q9912">
        <v>0</v>
      </c>
      <c r="R9912" t="s">
        <v>46577</v>
      </c>
      <c r="S9912" t="s">
        <v>46808</v>
      </c>
      <c r="T9912" t="s">
        <v>48571</v>
      </c>
      <c r="U9912" t="s">
        <v>56761</v>
      </c>
      <c r="W9912" t="s">
        <v>45375</v>
      </c>
      <c r="X9912" t="s">
        <v>46578</v>
      </c>
    </row>
    <row r="9913" spans="1:24">
      <c r="A9913">
        <f>HYPERLINK("https://www.philgeps.gov.ph/GEPSNONPILOT/Tender/SplashBidNoticeAbstractUI.aspx?menuIndex=3&amp;refID=7054855&amp;Result=3","7054855")</f>
        <v>0</v>
      </c>
      <c r="B9913" t="s">
        <v>1027</v>
      </c>
      <c r="C9913" t="s">
        <v>12916</v>
      </c>
      <c r="D9913" t="s">
        <v>18790</v>
      </c>
      <c r="E9913" t="s">
        <v>21202</v>
      </c>
      <c r="F9913" t="s">
        <v>32664</v>
      </c>
      <c r="G9913" t="s">
        <v>32671</v>
      </c>
      <c r="H9913" t="s">
        <v>12635</v>
      </c>
      <c r="I9913" t="s">
        <v>32687</v>
      </c>
      <c r="J9913" t="s">
        <v>38753</v>
      </c>
      <c r="K9913" t="s">
        <v>42283</v>
      </c>
      <c r="M9913" t="s">
        <v>43639</v>
      </c>
      <c r="N9913" t="s">
        <v>46569</v>
      </c>
      <c r="O9913" t="s">
        <v>46570</v>
      </c>
      <c r="P9913">
        <v>0</v>
      </c>
      <c r="Q9913">
        <v>0</v>
      </c>
      <c r="R9913" t="s">
        <v>46577</v>
      </c>
      <c r="S9913" t="s">
        <v>46808</v>
      </c>
      <c r="T9913" t="s">
        <v>48532</v>
      </c>
      <c r="U9913" t="s">
        <v>56762</v>
      </c>
      <c r="W9913" t="s">
        <v>43639</v>
      </c>
      <c r="X9913" t="s">
        <v>46578</v>
      </c>
    </row>
    <row r="9914" spans="1:24">
      <c r="A9914">
        <f>HYPERLINK("https://www.philgeps.gov.ph/GEPSNONPILOT/Tender/SplashBidNoticeAbstractUI.aspx?menuIndex=3&amp;refID=7054932&amp;Result=3","7054932")</f>
        <v>0</v>
      </c>
      <c r="B9914" t="s">
        <v>2737</v>
      </c>
      <c r="C9914" t="s">
        <v>12917</v>
      </c>
      <c r="D9914" t="s">
        <v>18792</v>
      </c>
      <c r="E9914" t="s">
        <v>27480</v>
      </c>
      <c r="F9914" t="s">
        <v>32666</v>
      </c>
      <c r="G9914" t="s">
        <v>32674</v>
      </c>
      <c r="H9914" t="s">
        <v>12635</v>
      </c>
      <c r="I9914" t="s">
        <v>32697</v>
      </c>
      <c r="J9914" t="s">
        <v>34812</v>
      </c>
      <c r="K9914" t="s">
        <v>42283</v>
      </c>
      <c r="M9914" t="s">
        <v>45571</v>
      </c>
      <c r="N9914" t="s">
        <v>46569</v>
      </c>
      <c r="O9914" t="s">
        <v>46570</v>
      </c>
      <c r="P9914">
        <v>0</v>
      </c>
      <c r="Q9914">
        <v>0</v>
      </c>
      <c r="R9914" t="s">
        <v>46577</v>
      </c>
      <c r="S9914" t="s">
        <v>46808</v>
      </c>
      <c r="T9914" t="s">
        <v>48256</v>
      </c>
      <c r="U9914" t="s">
        <v>56763</v>
      </c>
      <c r="W9914" t="s">
        <v>45571</v>
      </c>
      <c r="X9914" t="s">
        <v>46578</v>
      </c>
    </row>
    <row r="9915" spans="1:24">
      <c r="A9915">
        <f>HYPERLINK("https://www.philgeps.gov.ph/GEPSNONPILOT/Tender/SplashBidNoticeAbstractUI.aspx?menuIndex=3&amp;refID=7054873&amp;Result=3","7054873")</f>
        <v>0</v>
      </c>
      <c r="B9915" t="s">
        <v>2298</v>
      </c>
      <c r="C9915" t="s">
        <v>12918</v>
      </c>
      <c r="D9915" t="s">
        <v>18784</v>
      </c>
      <c r="E9915" t="s">
        <v>27481</v>
      </c>
      <c r="F9915" t="s">
        <v>32664</v>
      </c>
      <c r="G9915" t="s">
        <v>32672</v>
      </c>
      <c r="H9915" t="s">
        <v>32682</v>
      </c>
      <c r="I9915" t="s">
        <v>8730</v>
      </c>
      <c r="J9915" t="s">
        <v>38754</v>
      </c>
      <c r="K9915" t="s">
        <v>42298</v>
      </c>
      <c r="M9915" t="s">
        <v>45069</v>
      </c>
      <c r="N9915" t="s">
        <v>46569</v>
      </c>
      <c r="O9915" t="s">
        <v>46570</v>
      </c>
      <c r="P9915">
        <v>0</v>
      </c>
      <c r="Q9915">
        <v>5</v>
      </c>
      <c r="R9915" t="s">
        <v>46577</v>
      </c>
      <c r="S9915" t="s">
        <v>46808</v>
      </c>
      <c r="T9915" t="s">
        <v>48305</v>
      </c>
      <c r="U9915" t="s">
        <v>56764</v>
      </c>
      <c r="W9915" t="s">
        <v>45069</v>
      </c>
      <c r="X9915" t="s">
        <v>46578</v>
      </c>
    </row>
    <row r="9916" spans="1:24">
      <c r="A9916">
        <f>HYPERLINK("https://www.philgeps.gov.ph/GEPSNONPILOT/Tender/SplashBidNoticeAbstractUI.aspx?menuIndex=3&amp;refID=7054919&amp;Result=3","7054919")</f>
        <v>0</v>
      </c>
      <c r="B9916" t="s">
        <v>160</v>
      </c>
      <c r="C9916" t="s">
        <v>12919</v>
      </c>
      <c r="D9916" t="s">
        <v>18806</v>
      </c>
      <c r="E9916" t="s">
        <v>27482</v>
      </c>
      <c r="F9916" t="s">
        <v>32664</v>
      </c>
      <c r="G9916" t="s">
        <v>32672</v>
      </c>
      <c r="H9916" t="s">
        <v>12635</v>
      </c>
      <c r="I9916" t="s">
        <v>4439</v>
      </c>
      <c r="J9916" t="s">
        <v>38755</v>
      </c>
      <c r="K9916" t="s">
        <v>42281</v>
      </c>
      <c r="M9916" t="s">
        <v>42724</v>
      </c>
      <c r="N9916" t="s">
        <v>46569</v>
      </c>
      <c r="O9916" t="s">
        <v>46570</v>
      </c>
      <c r="P9916">
        <v>0</v>
      </c>
      <c r="Q9916">
        <v>1</v>
      </c>
      <c r="R9916" t="s">
        <v>46577</v>
      </c>
      <c r="S9916" t="s">
        <v>46808</v>
      </c>
      <c r="T9916" t="s">
        <v>48282</v>
      </c>
      <c r="U9916" t="s">
        <v>56765</v>
      </c>
      <c r="W9916" t="s">
        <v>42724</v>
      </c>
      <c r="X9916" t="s">
        <v>46578</v>
      </c>
    </row>
    <row r="9917" spans="1:24">
      <c r="A9917">
        <f>HYPERLINK("https://www.philgeps.gov.ph/GEPSNONPILOT/Tender/SplashBidNoticeAbstractUI.aspx?menuIndex=3&amp;refID=7054860&amp;Result=3","7054860")</f>
        <v>0</v>
      </c>
      <c r="B9917" t="s">
        <v>269</v>
      </c>
      <c r="C9917" t="s">
        <v>12920</v>
      </c>
      <c r="D9917" t="s">
        <v>18831</v>
      </c>
      <c r="E9917" t="s">
        <v>27483</v>
      </c>
      <c r="F9917" t="s">
        <v>32664</v>
      </c>
      <c r="G9917" t="s">
        <v>32672</v>
      </c>
      <c r="H9917" t="s">
        <v>32683</v>
      </c>
      <c r="I9917" t="s">
        <v>10627</v>
      </c>
      <c r="J9917" t="s">
        <v>32898</v>
      </c>
      <c r="K9917" t="s">
        <v>42321</v>
      </c>
      <c r="M9917" t="s">
        <v>42834</v>
      </c>
      <c r="N9917" t="s">
        <v>46569</v>
      </c>
      <c r="O9917" t="s">
        <v>46570</v>
      </c>
      <c r="P9917">
        <v>0</v>
      </c>
      <c r="Q9917">
        <v>0</v>
      </c>
      <c r="R9917" t="s">
        <v>46577</v>
      </c>
      <c r="S9917" t="s">
        <v>46808</v>
      </c>
      <c r="T9917" t="s">
        <v>48283</v>
      </c>
      <c r="U9917" t="s">
        <v>56766</v>
      </c>
      <c r="W9917" t="s">
        <v>42834</v>
      </c>
      <c r="X9917" t="s">
        <v>46578</v>
      </c>
    </row>
    <row r="9918" spans="1:24">
      <c r="A9918">
        <f>HYPERLINK("https://www.philgeps.gov.ph/GEPSNONPILOT/Tender/SplashBidNoticeAbstractUI.aspx?menuIndex=3&amp;refID=7054917&amp;Result=3","7054917")</f>
        <v>0</v>
      </c>
      <c r="B9918" t="s">
        <v>401</v>
      </c>
      <c r="C9918" t="s">
        <v>12921</v>
      </c>
      <c r="E9918" t="s">
        <v>27484</v>
      </c>
      <c r="F9918" t="s">
        <v>32664</v>
      </c>
      <c r="G9918" t="s">
        <v>32672</v>
      </c>
      <c r="H9918" t="s">
        <v>32681</v>
      </c>
      <c r="I9918" t="s">
        <v>32681</v>
      </c>
      <c r="J9918" t="s">
        <v>38756</v>
      </c>
      <c r="K9918" t="s">
        <v>42296</v>
      </c>
      <c r="M9918" t="s">
        <v>42971</v>
      </c>
      <c r="N9918" t="s">
        <v>46569</v>
      </c>
      <c r="O9918" t="s">
        <v>46570</v>
      </c>
      <c r="P9918">
        <v>0</v>
      </c>
      <c r="Q9918">
        <v>4</v>
      </c>
      <c r="R9918" t="s">
        <v>46577</v>
      </c>
      <c r="S9918" t="s">
        <v>46808</v>
      </c>
      <c r="T9918" t="s">
        <v>48287</v>
      </c>
      <c r="U9918" t="s">
        <v>56767</v>
      </c>
      <c r="W9918" t="s">
        <v>42971</v>
      </c>
      <c r="X9918" t="s">
        <v>46578</v>
      </c>
    </row>
    <row r="9919" spans="1:24">
      <c r="A9919">
        <f>HYPERLINK("https://www.philgeps.gov.ph/GEPSNONPILOT/Tender/SplashBidNoticeAbstractUI.aspx?menuIndex=3&amp;refID=7054928&amp;Result=3","7054928")</f>
        <v>0</v>
      </c>
      <c r="B9919" t="s">
        <v>2719</v>
      </c>
      <c r="C9919" t="s">
        <v>12922</v>
      </c>
      <c r="D9919" t="s">
        <v>18801</v>
      </c>
      <c r="E9919" t="s">
        <v>27485</v>
      </c>
      <c r="F9919" t="s">
        <v>32664</v>
      </c>
      <c r="G9919" t="s">
        <v>32671</v>
      </c>
      <c r="H9919" t="s">
        <v>12635</v>
      </c>
      <c r="I9919" t="s">
        <v>8797</v>
      </c>
      <c r="J9919" t="s">
        <v>38757</v>
      </c>
      <c r="K9919" t="s">
        <v>42378</v>
      </c>
      <c r="M9919" t="s">
        <v>45546</v>
      </c>
      <c r="N9919" t="s">
        <v>46569</v>
      </c>
      <c r="O9919" t="s">
        <v>46570</v>
      </c>
      <c r="P9919">
        <v>0</v>
      </c>
      <c r="Q9919">
        <v>9</v>
      </c>
      <c r="R9919" t="s">
        <v>46577</v>
      </c>
      <c r="S9919" t="s">
        <v>46808</v>
      </c>
      <c r="T9919" t="s">
        <v>48287</v>
      </c>
      <c r="U9919" t="s">
        <v>56768</v>
      </c>
      <c r="W9919" t="s">
        <v>45546</v>
      </c>
      <c r="X9919" t="s">
        <v>46578</v>
      </c>
    </row>
    <row r="9920" spans="1:24">
      <c r="A9920">
        <f>HYPERLINK("https://www.philgeps.gov.ph/GEPSNONPILOT/Tender/SplashBidNoticeAbstractUI.aspx?menuIndex=3&amp;refID=7054858&amp;Result=3","7054858")</f>
        <v>0</v>
      </c>
      <c r="B9920" t="s">
        <v>2645</v>
      </c>
      <c r="C9920" t="s">
        <v>12923</v>
      </c>
      <c r="D9920" t="s">
        <v>18810</v>
      </c>
      <c r="E9920" t="s">
        <v>27486</v>
      </c>
      <c r="F9920" t="s">
        <v>32664</v>
      </c>
      <c r="G9920" t="s">
        <v>32675</v>
      </c>
      <c r="H9920" t="s">
        <v>12635</v>
      </c>
      <c r="I9920" t="s">
        <v>6223</v>
      </c>
      <c r="J9920" t="s">
        <v>38758</v>
      </c>
      <c r="K9920" t="s">
        <v>42281</v>
      </c>
      <c r="M9920" t="s">
        <v>45466</v>
      </c>
      <c r="N9920" t="s">
        <v>46569</v>
      </c>
      <c r="O9920" t="s">
        <v>46570</v>
      </c>
      <c r="P9920">
        <v>0</v>
      </c>
      <c r="Q9920">
        <v>6</v>
      </c>
      <c r="R9920" t="s">
        <v>46577</v>
      </c>
      <c r="S9920" t="s">
        <v>46808</v>
      </c>
      <c r="T9920" t="s">
        <v>48256</v>
      </c>
      <c r="U9920" t="s">
        <v>56769</v>
      </c>
      <c r="V9920" t="s">
        <v>62665</v>
      </c>
      <c r="W9920" t="s">
        <v>45466</v>
      </c>
      <c r="X9920" t="s">
        <v>46578</v>
      </c>
    </row>
    <row r="9921" spans="1:24">
      <c r="A9921">
        <f>HYPERLINK("https://www.philgeps.gov.ph/GEPSNONPILOT/Tender/SplashBidNoticeAbstractUI.aspx?menuIndex=3&amp;refID=7054914&amp;Result=3","7054914")</f>
        <v>0</v>
      </c>
      <c r="B9921" t="s">
        <v>269</v>
      </c>
      <c r="C9921" t="s">
        <v>12924</v>
      </c>
      <c r="D9921" t="s">
        <v>18831</v>
      </c>
      <c r="E9921" t="s">
        <v>27487</v>
      </c>
      <c r="F9921" t="s">
        <v>32664</v>
      </c>
      <c r="G9921" t="s">
        <v>32672</v>
      </c>
      <c r="H9921" t="s">
        <v>32683</v>
      </c>
      <c r="I9921" t="s">
        <v>10627</v>
      </c>
      <c r="J9921" t="s">
        <v>32898</v>
      </c>
      <c r="K9921" t="s">
        <v>42321</v>
      </c>
      <c r="M9921" t="s">
        <v>42834</v>
      </c>
      <c r="N9921" t="s">
        <v>46569</v>
      </c>
      <c r="O9921" t="s">
        <v>46570</v>
      </c>
      <c r="P9921">
        <v>0</v>
      </c>
      <c r="Q9921">
        <v>0</v>
      </c>
      <c r="R9921" t="s">
        <v>46577</v>
      </c>
      <c r="S9921" t="s">
        <v>46808</v>
      </c>
      <c r="T9921" t="s">
        <v>48283</v>
      </c>
      <c r="U9921" t="s">
        <v>56766</v>
      </c>
      <c r="W9921" t="s">
        <v>42834</v>
      </c>
      <c r="X9921" t="s">
        <v>46578</v>
      </c>
    </row>
    <row r="9922" spans="1:24">
      <c r="A9922">
        <f>HYPERLINK("https://www.philgeps.gov.ph/GEPSNONPILOT/Tender/SplashBidNoticeAbstractUI.aspx?menuIndex=3&amp;refID=7054911&amp;Result=3","7054911")</f>
        <v>0</v>
      </c>
      <c r="B9922" t="s">
        <v>1530</v>
      </c>
      <c r="C9922" t="s">
        <v>12925</v>
      </c>
      <c r="D9922" t="s">
        <v>18827</v>
      </c>
      <c r="E9922" t="s">
        <v>27488</v>
      </c>
      <c r="F9922" t="s">
        <v>32664</v>
      </c>
      <c r="G9922" t="s">
        <v>32672</v>
      </c>
      <c r="H9922" t="s">
        <v>32683</v>
      </c>
      <c r="I9922" t="s">
        <v>10627</v>
      </c>
      <c r="J9922" t="s">
        <v>38759</v>
      </c>
      <c r="K9922" t="s">
        <v>42496</v>
      </c>
      <c r="M9922" t="s">
        <v>44197</v>
      </c>
      <c r="N9922" t="s">
        <v>46569</v>
      </c>
      <c r="O9922" t="s">
        <v>46570</v>
      </c>
      <c r="P9922">
        <v>0</v>
      </c>
      <c r="Q9922">
        <v>5</v>
      </c>
      <c r="R9922" t="s">
        <v>46577</v>
      </c>
      <c r="S9922" t="s">
        <v>46808</v>
      </c>
      <c r="T9922" t="s">
        <v>48213</v>
      </c>
      <c r="U9922" t="s">
        <v>56770</v>
      </c>
      <c r="V9922" t="s">
        <v>62666</v>
      </c>
      <c r="W9922" t="s">
        <v>44197</v>
      </c>
      <c r="X9922" t="s">
        <v>46578</v>
      </c>
    </row>
    <row r="9923" spans="1:24">
      <c r="A9923">
        <f>HYPERLINK("https://www.philgeps.gov.ph/GEPSNONPILOT/Tender/SplashBidNoticeAbstractUI.aspx?menuIndex=3&amp;refID=7054910&amp;Result=3","7054910")</f>
        <v>0</v>
      </c>
      <c r="B9923" t="s">
        <v>1939</v>
      </c>
      <c r="C9923" t="s">
        <v>12926</v>
      </c>
      <c r="D9923" t="s">
        <v>18782</v>
      </c>
      <c r="E9923" t="s">
        <v>27489</v>
      </c>
      <c r="F9923" t="s">
        <v>32664</v>
      </c>
      <c r="G9923" t="s">
        <v>32672</v>
      </c>
      <c r="H9923" t="s">
        <v>12635</v>
      </c>
      <c r="I9923" t="s">
        <v>8797</v>
      </c>
      <c r="J9923" t="s">
        <v>33128</v>
      </c>
      <c r="K9923" t="s">
        <v>42281</v>
      </c>
      <c r="L9923" t="s">
        <v>1939</v>
      </c>
      <c r="M9923" t="s">
        <v>44664</v>
      </c>
      <c r="N9923" t="s">
        <v>46569</v>
      </c>
      <c r="O9923" t="s">
        <v>46570</v>
      </c>
      <c r="P9923">
        <v>0</v>
      </c>
      <c r="Q9923">
        <v>2</v>
      </c>
      <c r="R9923" t="s">
        <v>46577</v>
      </c>
      <c r="S9923" t="s">
        <v>46808</v>
      </c>
      <c r="T9923" t="s">
        <v>48363</v>
      </c>
      <c r="U9923" t="s">
        <v>56771</v>
      </c>
      <c r="W9923" t="s">
        <v>44664</v>
      </c>
      <c r="X9923" t="s">
        <v>46578</v>
      </c>
    </row>
    <row r="9924" spans="1:24">
      <c r="A9924">
        <f>HYPERLINK("https://www.philgeps.gov.ph/GEPSNONPILOT/Tender/SplashBidNoticeAbstractUI.aspx?menuIndex=3&amp;refID=7054908&amp;Result=3","7054908")</f>
        <v>0</v>
      </c>
      <c r="B9924" t="s">
        <v>2564</v>
      </c>
      <c r="C9924" t="s">
        <v>12927</v>
      </c>
      <c r="D9924" t="s">
        <v>18820</v>
      </c>
      <c r="E9924" t="s">
        <v>27490</v>
      </c>
      <c r="F9924" t="s">
        <v>32664</v>
      </c>
      <c r="G9924" t="s">
        <v>32672</v>
      </c>
      <c r="H9924" t="s">
        <v>12635</v>
      </c>
      <c r="I9924" t="s">
        <v>9486</v>
      </c>
      <c r="J9924" t="s">
        <v>38760</v>
      </c>
      <c r="K9924" t="s">
        <v>42281</v>
      </c>
      <c r="M9924" t="s">
        <v>45375</v>
      </c>
      <c r="N9924" t="s">
        <v>46569</v>
      </c>
      <c r="O9924" t="s">
        <v>46570</v>
      </c>
      <c r="P9924">
        <v>0</v>
      </c>
      <c r="Q9924">
        <v>0</v>
      </c>
      <c r="R9924" t="s">
        <v>46577</v>
      </c>
      <c r="S9924" t="s">
        <v>46808</v>
      </c>
      <c r="T9924" t="s">
        <v>48571</v>
      </c>
      <c r="U9924" t="s">
        <v>56772</v>
      </c>
      <c r="W9924" t="s">
        <v>45375</v>
      </c>
      <c r="X9924" t="s">
        <v>46578</v>
      </c>
    </row>
    <row r="9925" spans="1:24">
      <c r="A9925">
        <f>HYPERLINK("https://www.philgeps.gov.ph/GEPSNONPILOT/Tender/SplashBidNoticeAbstractUI.aspx?menuIndex=3&amp;refID=7054925&amp;Result=3","7054925")</f>
        <v>0</v>
      </c>
      <c r="B9925" t="s">
        <v>2469</v>
      </c>
      <c r="C9925" t="s">
        <v>12928</v>
      </c>
      <c r="D9925" t="s">
        <v>18801</v>
      </c>
      <c r="E9925" t="s">
        <v>27491</v>
      </c>
      <c r="F9925" t="s">
        <v>32664</v>
      </c>
      <c r="G9925" t="s">
        <v>32672</v>
      </c>
      <c r="H9925" t="s">
        <v>12635</v>
      </c>
      <c r="I9925" t="s">
        <v>32719</v>
      </c>
      <c r="J9925" t="s">
        <v>33751</v>
      </c>
      <c r="K9925" t="s">
        <v>42281</v>
      </c>
      <c r="M9925" t="s">
        <v>45599</v>
      </c>
      <c r="N9925" t="s">
        <v>46569</v>
      </c>
      <c r="O9925" t="s">
        <v>46570</v>
      </c>
      <c r="P9925">
        <v>0</v>
      </c>
      <c r="Q9925">
        <v>10</v>
      </c>
      <c r="R9925" t="s">
        <v>46577</v>
      </c>
      <c r="S9925" t="s">
        <v>46808</v>
      </c>
      <c r="T9925" t="s">
        <v>48273</v>
      </c>
      <c r="U9925" t="s">
        <v>55574</v>
      </c>
      <c r="V9925" t="s">
        <v>62260</v>
      </c>
      <c r="W9925" t="s">
        <v>63561</v>
      </c>
      <c r="X9925" t="s">
        <v>46578</v>
      </c>
    </row>
    <row r="9926" spans="1:24">
      <c r="A9926">
        <f>HYPERLINK("https://www.philgeps.gov.ph/GEPSNONPILOT/Tender/SplashBidNoticeAbstractUI.aspx?menuIndex=3&amp;refID=7054930&amp;Result=3","7054930")</f>
        <v>0</v>
      </c>
      <c r="B9926" t="s">
        <v>2746</v>
      </c>
      <c r="C9926" t="s">
        <v>12929</v>
      </c>
      <c r="D9926" t="s">
        <v>18784</v>
      </c>
      <c r="E9926" t="s">
        <v>21424</v>
      </c>
      <c r="F9926" t="s">
        <v>32664</v>
      </c>
      <c r="G9926" t="s">
        <v>32671</v>
      </c>
      <c r="H9926" t="s">
        <v>12635</v>
      </c>
      <c r="I9926" t="s">
        <v>32704</v>
      </c>
      <c r="J9926" t="s">
        <v>38761</v>
      </c>
      <c r="K9926" t="s">
        <v>42281</v>
      </c>
      <c r="M9926" t="s">
        <v>45580</v>
      </c>
      <c r="N9926" t="s">
        <v>46569</v>
      </c>
      <c r="O9926" t="s">
        <v>46570</v>
      </c>
      <c r="P9926">
        <v>0</v>
      </c>
      <c r="Q9926">
        <v>6</v>
      </c>
      <c r="R9926" t="s">
        <v>46577</v>
      </c>
      <c r="S9926" t="s">
        <v>46808</v>
      </c>
      <c r="T9926" t="s">
        <v>48307</v>
      </c>
      <c r="U9926" t="s">
        <v>56657</v>
      </c>
      <c r="V9926" t="s">
        <v>62649</v>
      </c>
      <c r="W9926" t="s">
        <v>45580</v>
      </c>
      <c r="X9926" t="s">
        <v>46578</v>
      </c>
    </row>
    <row r="9927" spans="1:24">
      <c r="A9927">
        <f>HYPERLINK("https://www.philgeps.gov.ph/GEPSNONPILOT/Tender/SplashBidNoticeAbstractUI.aspx?menuIndex=3&amp;refID=7054997&amp;Result=3","7054997")</f>
        <v>0</v>
      </c>
      <c r="B9927" t="s">
        <v>2764</v>
      </c>
      <c r="C9927" t="s">
        <v>7473</v>
      </c>
      <c r="D9927" t="s">
        <v>18831</v>
      </c>
      <c r="E9927" t="s">
        <v>27492</v>
      </c>
      <c r="F9927" t="s">
        <v>32665</v>
      </c>
      <c r="G9927" t="s">
        <v>32674</v>
      </c>
      <c r="H9927" t="s">
        <v>12635</v>
      </c>
      <c r="I9927" t="s">
        <v>6168</v>
      </c>
      <c r="J9927" t="s">
        <v>38762</v>
      </c>
      <c r="K9927" t="s">
        <v>42297</v>
      </c>
      <c r="M9927" t="s">
        <v>45602</v>
      </c>
      <c r="N9927" t="s">
        <v>46569</v>
      </c>
      <c r="O9927" t="s">
        <v>46570</v>
      </c>
      <c r="P9927">
        <v>0</v>
      </c>
      <c r="Q9927">
        <v>6</v>
      </c>
      <c r="R9927" t="s">
        <v>46577</v>
      </c>
      <c r="S9927" t="s">
        <v>46808</v>
      </c>
      <c r="T9927" t="s">
        <v>48473</v>
      </c>
      <c r="U9927" t="s">
        <v>56773</v>
      </c>
      <c r="V9927" t="s">
        <v>62667</v>
      </c>
      <c r="W9927" t="s">
        <v>45602</v>
      </c>
      <c r="X9927" t="s">
        <v>46578</v>
      </c>
    </row>
    <row r="9928" spans="1:24">
      <c r="A9928">
        <f>HYPERLINK("https://www.philgeps.gov.ph/GEPSNONPILOT/Tender/SplashBidNoticeAbstractUI.aspx?menuIndex=3&amp;refID=7054913&amp;Result=3","7054913")</f>
        <v>0</v>
      </c>
      <c r="B9928" t="s">
        <v>2753</v>
      </c>
      <c r="C9928" t="s">
        <v>12930</v>
      </c>
      <c r="D9928" t="s">
        <v>18817</v>
      </c>
      <c r="E9928" t="s">
        <v>27493</v>
      </c>
      <c r="F9928" t="s">
        <v>32664</v>
      </c>
      <c r="G9928" t="s">
        <v>32672</v>
      </c>
      <c r="H9928" t="s">
        <v>32683</v>
      </c>
      <c r="I9928" t="s">
        <v>10627</v>
      </c>
      <c r="J9928" t="s">
        <v>32865</v>
      </c>
      <c r="K9928" t="s">
        <v>42290</v>
      </c>
      <c r="M9928" t="s">
        <v>45587</v>
      </c>
      <c r="N9928" t="s">
        <v>46569</v>
      </c>
      <c r="O9928" t="s">
        <v>46570</v>
      </c>
      <c r="P9928">
        <v>0</v>
      </c>
      <c r="Q9928">
        <v>0</v>
      </c>
      <c r="R9928" t="s">
        <v>46577</v>
      </c>
      <c r="S9928" t="s">
        <v>46808</v>
      </c>
      <c r="T9928" t="s">
        <v>48287</v>
      </c>
      <c r="U9928" t="s">
        <v>56774</v>
      </c>
      <c r="W9928" t="s">
        <v>45587</v>
      </c>
      <c r="X9928" t="s">
        <v>46578</v>
      </c>
    </row>
    <row r="9929" spans="1:24">
      <c r="A9929">
        <f>HYPERLINK("https://www.philgeps.gov.ph/GEPSNONPILOT/Tender/SplashBidNoticeAbstractUI.aspx?menuIndex=3&amp;refID=7054990&amp;Result=3","7054990")</f>
        <v>0</v>
      </c>
      <c r="B9929" t="s">
        <v>2771</v>
      </c>
      <c r="C9929" t="s">
        <v>12931</v>
      </c>
      <c r="D9929" t="s">
        <v>18795</v>
      </c>
      <c r="E9929" t="s">
        <v>27494</v>
      </c>
      <c r="F9929" t="s">
        <v>32664</v>
      </c>
      <c r="G9929" t="s">
        <v>32672</v>
      </c>
      <c r="H9929" t="s">
        <v>32683</v>
      </c>
      <c r="I9929" t="s">
        <v>10627</v>
      </c>
      <c r="J9929" t="s">
        <v>38763</v>
      </c>
      <c r="K9929" t="s">
        <v>42308</v>
      </c>
      <c r="M9929" t="s">
        <v>45609</v>
      </c>
      <c r="N9929" t="s">
        <v>46569</v>
      </c>
      <c r="O9929" t="s">
        <v>46570</v>
      </c>
      <c r="P9929">
        <v>0</v>
      </c>
      <c r="Q9929">
        <v>2</v>
      </c>
      <c r="R9929" t="s">
        <v>46577</v>
      </c>
      <c r="S9929" t="s">
        <v>46808</v>
      </c>
      <c r="T9929" t="s">
        <v>48647</v>
      </c>
      <c r="U9929" t="s">
        <v>56775</v>
      </c>
      <c r="W9929" t="s">
        <v>45609</v>
      </c>
      <c r="X9929" t="s">
        <v>46578</v>
      </c>
    </row>
    <row r="9930" spans="1:24">
      <c r="A9930">
        <f>HYPERLINK("https://www.philgeps.gov.ph/GEPSNONPILOT/Tender/SplashBidNoticeAbstractUI.aspx?menuIndex=3&amp;refID=7055002&amp;Result=3","7055002")</f>
        <v>0</v>
      </c>
      <c r="B9930" t="s">
        <v>2746</v>
      </c>
      <c r="C9930" t="s">
        <v>12932</v>
      </c>
      <c r="D9930" t="s">
        <v>18784</v>
      </c>
      <c r="E9930" t="s">
        <v>19183</v>
      </c>
      <c r="F9930" t="s">
        <v>32664</v>
      </c>
      <c r="G9930" t="s">
        <v>32675</v>
      </c>
      <c r="H9930" t="s">
        <v>12635</v>
      </c>
      <c r="I9930" t="s">
        <v>8730</v>
      </c>
      <c r="J9930" t="s">
        <v>38764</v>
      </c>
      <c r="K9930" t="s">
        <v>42281</v>
      </c>
      <c r="M9930" t="s">
        <v>45580</v>
      </c>
      <c r="N9930" t="s">
        <v>46569</v>
      </c>
      <c r="O9930" t="s">
        <v>46570</v>
      </c>
      <c r="P9930">
        <v>0</v>
      </c>
      <c r="Q9930">
        <v>7</v>
      </c>
      <c r="R9930" t="s">
        <v>46577</v>
      </c>
      <c r="S9930" t="s">
        <v>46808</v>
      </c>
      <c r="T9930" t="s">
        <v>48307</v>
      </c>
      <c r="U9930" t="s">
        <v>56776</v>
      </c>
      <c r="V9930" t="s">
        <v>62649</v>
      </c>
      <c r="W9930" t="s">
        <v>45580</v>
      </c>
      <c r="X9930" t="s">
        <v>46578</v>
      </c>
    </row>
    <row r="9931" spans="1:24">
      <c r="A9931">
        <f>HYPERLINK("https://www.philgeps.gov.ph/GEPSNONPILOT/Tender/SplashBidNoticeAbstractUI.aspx?menuIndex=3&amp;refID=7054950&amp;Result=3","7054950")</f>
        <v>0</v>
      </c>
      <c r="B9931" t="s">
        <v>2746</v>
      </c>
      <c r="C9931" t="s">
        <v>5825</v>
      </c>
      <c r="D9931" t="s">
        <v>18784</v>
      </c>
      <c r="E9931" t="s">
        <v>21565</v>
      </c>
      <c r="F9931" t="s">
        <v>32664</v>
      </c>
      <c r="G9931" t="s">
        <v>32671</v>
      </c>
      <c r="H9931" t="s">
        <v>12635</v>
      </c>
      <c r="I9931" t="s">
        <v>8730</v>
      </c>
      <c r="J9931" t="s">
        <v>33349</v>
      </c>
      <c r="K9931" t="s">
        <v>42281</v>
      </c>
      <c r="M9931" t="s">
        <v>45580</v>
      </c>
      <c r="N9931" t="s">
        <v>46569</v>
      </c>
      <c r="O9931" t="s">
        <v>46570</v>
      </c>
      <c r="P9931">
        <v>0</v>
      </c>
      <c r="Q9931">
        <v>11</v>
      </c>
      <c r="R9931" t="s">
        <v>46577</v>
      </c>
      <c r="S9931" t="s">
        <v>46808</v>
      </c>
      <c r="T9931" t="s">
        <v>48307</v>
      </c>
      <c r="U9931" t="s">
        <v>56657</v>
      </c>
      <c r="V9931" t="s">
        <v>62649</v>
      </c>
      <c r="W9931" t="s">
        <v>45580</v>
      </c>
      <c r="X9931" t="s">
        <v>46578</v>
      </c>
    </row>
    <row r="9932" spans="1:24">
      <c r="A9932">
        <f>HYPERLINK("https://www.philgeps.gov.ph/GEPSNONPILOT/Tender/SplashBidNoticeAbstractUI.aspx?menuIndex=3&amp;refID=7054989&amp;Result=3","7054989")</f>
        <v>0</v>
      </c>
      <c r="B9932" t="s">
        <v>570</v>
      </c>
      <c r="C9932" t="s">
        <v>12933</v>
      </c>
      <c r="E9932" t="s">
        <v>27495</v>
      </c>
      <c r="F9932" t="s">
        <v>32664</v>
      </c>
      <c r="G9932" t="s">
        <v>32672</v>
      </c>
      <c r="H9932" t="s">
        <v>12635</v>
      </c>
      <c r="I9932" t="s">
        <v>10627</v>
      </c>
      <c r="J9932" t="s">
        <v>38765</v>
      </c>
      <c r="K9932" t="s">
        <v>42283</v>
      </c>
      <c r="M9932" t="s">
        <v>43150</v>
      </c>
      <c r="N9932" t="s">
        <v>46569</v>
      </c>
      <c r="O9932" t="s">
        <v>46570</v>
      </c>
      <c r="P9932">
        <v>0</v>
      </c>
      <c r="Q9932">
        <v>0</v>
      </c>
      <c r="R9932" t="s">
        <v>46577</v>
      </c>
      <c r="S9932" t="s">
        <v>46808</v>
      </c>
      <c r="T9932" t="s">
        <v>48580</v>
      </c>
      <c r="U9932" t="s">
        <v>56777</v>
      </c>
      <c r="W9932" t="s">
        <v>43150</v>
      </c>
      <c r="X9932" t="s">
        <v>46578</v>
      </c>
    </row>
    <row r="9933" spans="1:24">
      <c r="A9933">
        <f>HYPERLINK("https://www.philgeps.gov.ph/GEPSNONPILOT/Tender/SplashBidNoticeAbstractUI.aspx?menuIndex=3&amp;refID=7054979&amp;Result=3","7054979")</f>
        <v>0</v>
      </c>
      <c r="B9933" t="s">
        <v>468</v>
      </c>
      <c r="C9933" t="s">
        <v>12934</v>
      </c>
      <c r="D9933" t="s">
        <v>18827</v>
      </c>
      <c r="E9933" t="s">
        <v>27496</v>
      </c>
      <c r="F9933" t="s">
        <v>32664</v>
      </c>
      <c r="G9933" t="s">
        <v>32671</v>
      </c>
      <c r="H9933" t="s">
        <v>12635</v>
      </c>
      <c r="I9933" t="s">
        <v>13883</v>
      </c>
      <c r="J9933" t="s">
        <v>32902</v>
      </c>
      <c r="K9933" t="s">
        <v>42289</v>
      </c>
      <c r="M9933" t="s">
        <v>43043</v>
      </c>
      <c r="N9933" t="s">
        <v>46569</v>
      </c>
      <c r="O9933" t="s">
        <v>46570</v>
      </c>
      <c r="P9933">
        <v>0</v>
      </c>
      <c r="Q9933">
        <v>4</v>
      </c>
      <c r="R9933" t="s">
        <v>46577</v>
      </c>
      <c r="S9933" t="s">
        <v>46808</v>
      </c>
      <c r="T9933" t="s">
        <v>48316</v>
      </c>
      <c r="U9933" t="s">
        <v>49617</v>
      </c>
      <c r="V9933" t="s">
        <v>62652</v>
      </c>
      <c r="W9933" t="s">
        <v>43043</v>
      </c>
      <c r="X9933" t="s">
        <v>46578</v>
      </c>
    </row>
    <row r="9934" spans="1:24">
      <c r="A9934">
        <f>HYPERLINK("https://www.philgeps.gov.ph/GEPSNONPILOT/Tender/SplashBidNoticeAbstractUI.aspx?menuIndex=3&amp;refID=7054909&amp;Result=3","7054909")</f>
        <v>0</v>
      </c>
      <c r="B9934" t="s">
        <v>2765</v>
      </c>
      <c r="C9934" t="s">
        <v>12935</v>
      </c>
      <c r="D9934" t="s">
        <v>18804</v>
      </c>
      <c r="E9934" t="s">
        <v>27497</v>
      </c>
      <c r="F9934" t="s">
        <v>32664</v>
      </c>
      <c r="G9934" t="s">
        <v>32671</v>
      </c>
      <c r="H9934" t="s">
        <v>12635</v>
      </c>
      <c r="I9934" t="s">
        <v>32703</v>
      </c>
      <c r="J9934" t="s">
        <v>38766</v>
      </c>
      <c r="K9934" t="s">
        <v>42309</v>
      </c>
      <c r="M9934" t="s">
        <v>45603</v>
      </c>
      <c r="N9934" t="s">
        <v>46569</v>
      </c>
      <c r="O9934" t="s">
        <v>46570</v>
      </c>
      <c r="P9934">
        <v>0</v>
      </c>
      <c r="Q9934">
        <v>3</v>
      </c>
      <c r="R9934" t="s">
        <v>46577</v>
      </c>
      <c r="S9934" t="s">
        <v>46808</v>
      </c>
      <c r="T9934" t="s">
        <v>48376</v>
      </c>
      <c r="U9934" t="s">
        <v>56778</v>
      </c>
      <c r="W9934" t="s">
        <v>45603</v>
      </c>
      <c r="X9934" t="s">
        <v>46578</v>
      </c>
    </row>
    <row r="9935" spans="1:24">
      <c r="A9935">
        <f>HYPERLINK("https://www.philgeps.gov.ph/GEPSNONPILOT/Tender/SplashBidNoticeAbstractUI.aspx?menuIndex=3&amp;refID=7054870&amp;Result=3","7054870")</f>
        <v>0</v>
      </c>
      <c r="B9935" t="s">
        <v>1939</v>
      </c>
      <c r="C9935" t="s">
        <v>12936</v>
      </c>
      <c r="D9935" t="s">
        <v>18782</v>
      </c>
      <c r="E9935" t="s">
        <v>27498</v>
      </c>
      <c r="F9935" t="s">
        <v>32664</v>
      </c>
      <c r="G9935" t="s">
        <v>32672</v>
      </c>
      <c r="H9935" t="s">
        <v>12635</v>
      </c>
      <c r="I9935" t="s">
        <v>32689</v>
      </c>
      <c r="J9935" t="s">
        <v>33023</v>
      </c>
      <c r="K9935" t="s">
        <v>42281</v>
      </c>
      <c r="L9935" t="s">
        <v>1939</v>
      </c>
      <c r="M9935" t="s">
        <v>44664</v>
      </c>
      <c r="N9935" t="s">
        <v>46569</v>
      </c>
      <c r="O9935" t="s">
        <v>46570</v>
      </c>
      <c r="P9935">
        <v>0</v>
      </c>
      <c r="Q9935">
        <v>0</v>
      </c>
      <c r="R9935" t="s">
        <v>46577</v>
      </c>
      <c r="S9935" t="s">
        <v>46808</v>
      </c>
      <c r="T9935" t="s">
        <v>48648</v>
      </c>
      <c r="U9935" t="s">
        <v>56779</v>
      </c>
      <c r="W9935" t="s">
        <v>44664</v>
      </c>
      <c r="X9935" t="s">
        <v>46578</v>
      </c>
    </row>
    <row r="9936" spans="1:24">
      <c r="A9936">
        <f>HYPERLINK("https://www.philgeps.gov.ph/GEPSNONPILOT/Tender/SplashBidNoticeAbstractUI.aspx?menuIndex=3&amp;refID=7054975&amp;Result=3","7054975")</f>
        <v>0</v>
      </c>
      <c r="B9936" t="s">
        <v>2746</v>
      </c>
      <c r="C9936" t="s">
        <v>12937</v>
      </c>
      <c r="D9936" t="s">
        <v>18784</v>
      </c>
      <c r="E9936" t="s">
        <v>19193</v>
      </c>
      <c r="F9936" t="s">
        <v>32664</v>
      </c>
      <c r="G9936" t="s">
        <v>32675</v>
      </c>
      <c r="H9936" t="s">
        <v>12635</v>
      </c>
      <c r="I9936" t="s">
        <v>32719</v>
      </c>
      <c r="J9936" t="s">
        <v>33320</v>
      </c>
      <c r="K9936" t="s">
        <v>42281</v>
      </c>
      <c r="M9936" t="s">
        <v>45580</v>
      </c>
      <c r="N9936" t="s">
        <v>46569</v>
      </c>
      <c r="O9936" t="s">
        <v>46570</v>
      </c>
      <c r="P9936">
        <v>0</v>
      </c>
      <c r="Q9936">
        <v>13</v>
      </c>
      <c r="R9936" t="s">
        <v>46577</v>
      </c>
      <c r="S9936" t="s">
        <v>46808</v>
      </c>
      <c r="T9936" t="s">
        <v>48307</v>
      </c>
      <c r="U9936" t="s">
        <v>56776</v>
      </c>
      <c r="V9936" t="s">
        <v>62649</v>
      </c>
      <c r="W9936" t="s">
        <v>45580</v>
      </c>
      <c r="X9936" t="s">
        <v>46578</v>
      </c>
    </row>
    <row r="9937" spans="1:24">
      <c r="A9937">
        <f>HYPERLINK("https://www.philgeps.gov.ph/GEPSNONPILOT/Tender/SplashBidNoticeAbstractUI.aspx?menuIndex=3&amp;refID=7054973&amp;Result=3","7054973")</f>
        <v>0</v>
      </c>
      <c r="B9937" t="s">
        <v>2469</v>
      </c>
      <c r="C9937" t="s">
        <v>12938</v>
      </c>
      <c r="D9937" t="s">
        <v>18801</v>
      </c>
      <c r="E9937" t="s">
        <v>27499</v>
      </c>
      <c r="F9937" t="s">
        <v>32664</v>
      </c>
      <c r="G9937" t="s">
        <v>32672</v>
      </c>
      <c r="H9937" t="s">
        <v>32683</v>
      </c>
      <c r="I9937" t="s">
        <v>10627</v>
      </c>
      <c r="J9937" t="s">
        <v>34148</v>
      </c>
      <c r="K9937" t="s">
        <v>42311</v>
      </c>
      <c r="M9937" t="s">
        <v>45270</v>
      </c>
      <c r="N9937" t="s">
        <v>46569</v>
      </c>
      <c r="O9937" t="s">
        <v>46570</v>
      </c>
      <c r="P9937">
        <v>0</v>
      </c>
      <c r="Q9937">
        <v>10</v>
      </c>
      <c r="R9937" t="s">
        <v>46577</v>
      </c>
      <c r="S9937" t="s">
        <v>46808</v>
      </c>
      <c r="T9937" t="s">
        <v>48273</v>
      </c>
      <c r="U9937" t="s">
        <v>55574</v>
      </c>
      <c r="V9937" t="s">
        <v>62260</v>
      </c>
      <c r="W9937" t="s">
        <v>63561</v>
      </c>
      <c r="X9937" t="s">
        <v>46578</v>
      </c>
    </row>
    <row r="9938" spans="1:24">
      <c r="A9938">
        <f>HYPERLINK("https://www.philgeps.gov.ph/GEPSNONPILOT/Tender/SplashBidNoticeAbstractUI.aspx?menuIndex=3&amp;refID=7054986&amp;Result=3","7054986")</f>
        <v>0</v>
      </c>
      <c r="B9938" t="s">
        <v>2772</v>
      </c>
      <c r="C9938" t="s">
        <v>12939</v>
      </c>
      <c r="D9938" t="s">
        <v>18804</v>
      </c>
      <c r="E9938" t="s">
        <v>27500</v>
      </c>
      <c r="F9938" t="s">
        <v>32664</v>
      </c>
      <c r="G9938" t="s">
        <v>32672</v>
      </c>
      <c r="H9938" t="s">
        <v>32683</v>
      </c>
      <c r="I9938" t="s">
        <v>10627</v>
      </c>
      <c r="J9938" t="s">
        <v>38767</v>
      </c>
      <c r="K9938" t="s">
        <v>42298</v>
      </c>
      <c r="M9938" t="s">
        <v>45610</v>
      </c>
      <c r="N9938" t="s">
        <v>46569</v>
      </c>
      <c r="O9938" t="s">
        <v>46570</v>
      </c>
      <c r="P9938">
        <v>0</v>
      </c>
      <c r="Q9938">
        <v>0</v>
      </c>
      <c r="R9938" t="s">
        <v>46577</v>
      </c>
      <c r="S9938" t="s">
        <v>46808</v>
      </c>
      <c r="T9938" t="s">
        <v>48453</v>
      </c>
      <c r="U9938" t="s">
        <v>56780</v>
      </c>
      <c r="W9938" t="s">
        <v>45610</v>
      </c>
      <c r="X9938" t="s">
        <v>46578</v>
      </c>
    </row>
    <row r="9939" spans="1:24">
      <c r="A9939">
        <f>HYPERLINK("https://www.philgeps.gov.ph/GEPSNONPILOT/Tender/SplashBidNoticeAbstractUI.aspx?menuIndex=3&amp;refID=7054964&amp;Result=3","7054964")</f>
        <v>0</v>
      </c>
      <c r="B9939" t="s">
        <v>800</v>
      </c>
      <c r="C9939" t="s">
        <v>12940</v>
      </c>
      <c r="D9939" t="s">
        <v>18827</v>
      </c>
      <c r="E9939" t="s">
        <v>20564</v>
      </c>
      <c r="F9939" t="s">
        <v>32664</v>
      </c>
      <c r="G9939" t="s">
        <v>32671</v>
      </c>
      <c r="H9939" t="s">
        <v>12635</v>
      </c>
      <c r="I9939" t="s">
        <v>4333</v>
      </c>
      <c r="J9939" t="s">
        <v>38768</v>
      </c>
      <c r="K9939" t="s">
        <v>42284</v>
      </c>
      <c r="M9939" t="s">
        <v>43392</v>
      </c>
      <c r="N9939" t="s">
        <v>46569</v>
      </c>
      <c r="O9939" t="s">
        <v>46570</v>
      </c>
      <c r="P9939">
        <v>0</v>
      </c>
      <c r="Q9939">
        <v>1</v>
      </c>
      <c r="R9939" t="s">
        <v>46577</v>
      </c>
      <c r="S9939" t="s">
        <v>46808</v>
      </c>
      <c r="T9939" t="s">
        <v>48473</v>
      </c>
      <c r="U9939" t="s">
        <v>56781</v>
      </c>
      <c r="W9939" t="s">
        <v>43392</v>
      </c>
      <c r="X9939" t="s">
        <v>46578</v>
      </c>
    </row>
    <row r="9940" spans="1:24">
      <c r="A9940">
        <f>HYPERLINK("https://www.philgeps.gov.ph/GEPSNONPILOT/Tender/SplashBidNoticeAbstractUI.aspx?menuIndex=3&amp;refID=7054963&amp;Result=3","7054963")</f>
        <v>0</v>
      </c>
      <c r="B9940" t="s">
        <v>1876</v>
      </c>
      <c r="C9940" t="s">
        <v>12941</v>
      </c>
      <c r="D9940" t="s">
        <v>18799</v>
      </c>
      <c r="E9940" t="s">
        <v>27501</v>
      </c>
      <c r="F9940" t="s">
        <v>32665</v>
      </c>
      <c r="G9940" t="s">
        <v>32671</v>
      </c>
      <c r="H9940" t="s">
        <v>12635</v>
      </c>
      <c r="I9940" t="s">
        <v>11464</v>
      </c>
      <c r="J9940" t="s">
        <v>33118</v>
      </c>
      <c r="K9940" t="s">
        <v>42283</v>
      </c>
      <c r="M9940" t="s">
        <v>44594</v>
      </c>
      <c r="N9940" t="s">
        <v>46569</v>
      </c>
      <c r="O9940" t="s">
        <v>46570</v>
      </c>
      <c r="P9940">
        <v>0</v>
      </c>
      <c r="Q9940">
        <v>1</v>
      </c>
      <c r="R9940" t="s">
        <v>46577</v>
      </c>
      <c r="S9940" t="s">
        <v>46808</v>
      </c>
      <c r="T9940" t="s">
        <v>48254</v>
      </c>
      <c r="U9940" t="s">
        <v>56782</v>
      </c>
      <c r="W9940" t="s">
        <v>44594</v>
      </c>
      <c r="X9940" t="s">
        <v>46578</v>
      </c>
    </row>
    <row r="9941" spans="1:24">
      <c r="A9941">
        <f>HYPERLINK("https://www.philgeps.gov.ph/GEPSNONPILOT/Tender/SplashBidNoticeAbstractUI.aspx?menuIndex=3&amp;refID=7054960&amp;Result=3","7054960")</f>
        <v>0</v>
      </c>
      <c r="B9941" t="s">
        <v>2564</v>
      </c>
      <c r="C9941" t="s">
        <v>12942</v>
      </c>
      <c r="D9941" t="s">
        <v>18820</v>
      </c>
      <c r="E9941" t="s">
        <v>27502</v>
      </c>
      <c r="F9941" t="s">
        <v>32664</v>
      </c>
      <c r="G9941" t="s">
        <v>32672</v>
      </c>
      <c r="H9941" t="s">
        <v>12635</v>
      </c>
      <c r="I9941" t="s">
        <v>8797</v>
      </c>
      <c r="J9941" t="s">
        <v>38769</v>
      </c>
      <c r="K9941" t="s">
        <v>42281</v>
      </c>
      <c r="M9941" t="s">
        <v>45375</v>
      </c>
      <c r="N9941" t="s">
        <v>46569</v>
      </c>
      <c r="O9941" t="s">
        <v>46570</v>
      </c>
      <c r="P9941">
        <v>0</v>
      </c>
      <c r="Q9941">
        <v>1</v>
      </c>
      <c r="R9941" t="s">
        <v>46577</v>
      </c>
      <c r="S9941" t="s">
        <v>46808</v>
      </c>
      <c r="T9941" t="s">
        <v>48571</v>
      </c>
      <c r="U9941" t="s">
        <v>56783</v>
      </c>
      <c r="W9941" t="s">
        <v>45375</v>
      </c>
      <c r="X9941" t="s">
        <v>46578</v>
      </c>
    </row>
    <row r="9942" spans="1:24">
      <c r="A9942">
        <f>HYPERLINK("https://www.philgeps.gov.ph/GEPSNONPILOT/Tender/SplashBidNoticeAbstractUI.aspx?menuIndex=3&amp;refID=7054977&amp;Result=3","7054977")</f>
        <v>0</v>
      </c>
      <c r="B9942" t="s">
        <v>1530</v>
      </c>
      <c r="C9942" t="s">
        <v>12943</v>
      </c>
      <c r="D9942" t="s">
        <v>18827</v>
      </c>
      <c r="E9942" t="s">
        <v>27503</v>
      </c>
      <c r="F9942" t="s">
        <v>32664</v>
      </c>
      <c r="G9942" t="s">
        <v>32672</v>
      </c>
      <c r="H9942" t="s">
        <v>32683</v>
      </c>
      <c r="I9942" t="s">
        <v>10627</v>
      </c>
      <c r="J9942" t="s">
        <v>38770</v>
      </c>
      <c r="K9942" t="s">
        <v>42497</v>
      </c>
      <c r="M9942" t="s">
        <v>44197</v>
      </c>
      <c r="N9942" t="s">
        <v>46569</v>
      </c>
      <c r="O9942" t="s">
        <v>46570</v>
      </c>
      <c r="P9942">
        <v>0</v>
      </c>
      <c r="Q9942">
        <v>6</v>
      </c>
      <c r="R9942" t="s">
        <v>46577</v>
      </c>
      <c r="S9942" t="s">
        <v>46808</v>
      </c>
      <c r="T9942" t="s">
        <v>48213</v>
      </c>
      <c r="U9942" t="s">
        <v>56784</v>
      </c>
      <c r="V9942" t="s">
        <v>62668</v>
      </c>
      <c r="W9942" t="s">
        <v>44197</v>
      </c>
      <c r="X9942" t="s">
        <v>46578</v>
      </c>
    </row>
    <row r="9943" spans="1:24">
      <c r="A9943">
        <f>HYPERLINK("https://www.philgeps.gov.ph/GEPSNONPILOT/Tender/SplashBidNoticeAbstractUI.aspx?menuIndex=3&amp;refID=7054984&amp;Result=3","7054984")</f>
        <v>0</v>
      </c>
      <c r="B9943" t="s">
        <v>1939</v>
      </c>
      <c r="C9943" t="s">
        <v>12944</v>
      </c>
      <c r="D9943" t="s">
        <v>18782</v>
      </c>
      <c r="E9943" t="s">
        <v>27504</v>
      </c>
      <c r="F9943" t="s">
        <v>32664</v>
      </c>
      <c r="G9943" t="s">
        <v>32671</v>
      </c>
      <c r="H9943" t="s">
        <v>12635</v>
      </c>
      <c r="I9943" t="s">
        <v>14442</v>
      </c>
      <c r="J9943" t="s">
        <v>38771</v>
      </c>
      <c r="K9943" t="s">
        <v>42284</v>
      </c>
      <c r="L9943" t="s">
        <v>1939</v>
      </c>
      <c r="M9943" t="s">
        <v>44664</v>
      </c>
      <c r="N9943" t="s">
        <v>46569</v>
      </c>
      <c r="O9943" t="s">
        <v>46570</v>
      </c>
      <c r="P9943">
        <v>0</v>
      </c>
      <c r="Q9943">
        <v>0</v>
      </c>
      <c r="R9943" t="s">
        <v>46577</v>
      </c>
      <c r="S9943" t="s">
        <v>46808</v>
      </c>
      <c r="T9943" t="s">
        <v>48378</v>
      </c>
      <c r="U9943" t="s">
        <v>56785</v>
      </c>
      <c r="W9943" t="s">
        <v>44664</v>
      </c>
      <c r="X9943" t="s">
        <v>46578</v>
      </c>
    </row>
    <row r="9944" spans="1:24">
      <c r="A9944">
        <f>HYPERLINK("https://www.philgeps.gov.ph/GEPSNONPILOT/Tender/SplashBidNoticeAbstractUI.aspx?menuIndex=3&amp;refID=7055057&amp;Result=3","7055057")</f>
        <v>0</v>
      </c>
      <c r="B9944" t="s">
        <v>2498</v>
      </c>
      <c r="C9944" t="s">
        <v>12945</v>
      </c>
      <c r="D9944" t="s">
        <v>18806</v>
      </c>
      <c r="E9944" t="s">
        <v>27505</v>
      </c>
      <c r="F9944" t="s">
        <v>32664</v>
      </c>
      <c r="G9944" t="s">
        <v>32672</v>
      </c>
      <c r="H9944" t="s">
        <v>12635</v>
      </c>
      <c r="I9944" t="s">
        <v>6628</v>
      </c>
      <c r="J9944" t="s">
        <v>36408</v>
      </c>
      <c r="K9944" t="s">
        <v>42283</v>
      </c>
      <c r="M9944" t="s">
        <v>45301</v>
      </c>
      <c r="N9944" t="s">
        <v>46569</v>
      </c>
      <c r="O9944" t="s">
        <v>46570</v>
      </c>
      <c r="P9944">
        <v>0</v>
      </c>
      <c r="Q9944">
        <v>3</v>
      </c>
      <c r="R9944" t="s">
        <v>46577</v>
      </c>
      <c r="S9944" t="s">
        <v>46808</v>
      </c>
      <c r="T9944" t="s">
        <v>48213</v>
      </c>
      <c r="U9944" t="s">
        <v>56786</v>
      </c>
      <c r="V9944" t="s">
        <v>62480</v>
      </c>
      <c r="W9944" t="s">
        <v>45301</v>
      </c>
      <c r="X9944" t="s">
        <v>46578</v>
      </c>
    </row>
    <row r="9945" spans="1:24">
      <c r="A9945">
        <f>HYPERLINK("https://www.philgeps.gov.ph/GEPSNONPILOT/Tender/SplashBidNoticeAbstractUI.aspx?menuIndex=3&amp;refID=7054981&amp;Result=3","7054981")</f>
        <v>0</v>
      </c>
      <c r="B9945" t="s">
        <v>734</v>
      </c>
      <c r="C9945" t="s">
        <v>12946</v>
      </c>
      <c r="D9945" t="s">
        <v>18797</v>
      </c>
      <c r="E9945" t="s">
        <v>21319</v>
      </c>
      <c r="F9945" t="s">
        <v>32664</v>
      </c>
      <c r="G9945" t="s">
        <v>32672</v>
      </c>
      <c r="H9945" t="s">
        <v>12635</v>
      </c>
      <c r="I9945" t="s">
        <v>4439</v>
      </c>
      <c r="J9945" t="s">
        <v>38772</v>
      </c>
      <c r="K9945" t="s">
        <v>42281</v>
      </c>
      <c r="M9945" t="s">
        <v>43323</v>
      </c>
      <c r="N9945" t="s">
        <v>46569</v>
      </c>
      <c r="O9945" t="s">
        <v>46570</v>
      </c>
      <c r="P9945">
        <v>0</v>
      </c>
      <c r="Q9945">
        <v>1</v>
      </c>
      <c r="R9945" t="s">
        <v>46577</v>
      </c>
      <c r="S9945" t="s">
        <v>46808</v>
      </c>
      <c r="T9945" t="s">
        <v>48307</v>
      </c>
      <c r="U9945" t="s">
        <v>56787</v>
      </c>
      <c r="W9945" t="s">
        <v>43323</v>
      </c>
      <c r="X9945" t="s">
        <v>46578</v>
      </c>
    </row>
    <row r="9946" spans="1:24">
      <c r="A9946">
        <f>HYPERLINK("https://www.philgeps.gov.ph/GEPSNONPILOT/Tender/SplashBidNoticeAbstractUI.aspx?menuIndex=3&amp;refID=7055056&amp;Result=3","7055056")</f>
        <v>0</v>
      </c>
      <c r="B9946" t="s">
        <v>2085</v>
      </c>
      <c r="C9946" t="s">
        <v>12947</v>
      </c>
      <c r="D9946" t="s">
        <v>18794</v>
      </c>
      <c r="E9946" t="s">
        <v>27506</v>
      </c>
      <c r="F9946" t="s">
        <v>32664</v>
      </c>
      <c r="G9946" t="s">
        <v>32671</v>
      </c>
      <c r="H9946" t="s">
        <v>12635</v>
      </c>
      <c r="I9946" t="s">
        <v>32760</v>
      </c>
      <c r="J9946" t="s">
        <v>38773</v>
      </c>
      <c r="K9946" t="s">
        <v>42283</v>
      </c>
      <c r="M9946" t="s">
        <v>44839</v>
      </c>
      <c r="N9946" t="s">
        <v>46569</v>
      </c>
      <c r="O9946" t="s">
        <v>46570</v>
      </c>
      <c r="P9946">
        <v>0</v>
      </c>
      <c r="Q9946">
        <v>0</v>
      </c>
      <c r="R9946" t="s">
        <v>46577</v>
      </c>
      <c r="S9946" t="s">
        <v>46808</v>
      </c>
      <c r="T9946" t="s">
        <v>48287</v>
      </c>
      <c r="U9946" t="s">
        <v>56788</v>
      </c>
      <c r="W9946" t="s">
        <v>44839</v>
      </c>
      <c r="X9946" t="s">
        <v>46578</v>
      </c>
    </row>
    <row r="9947" spans="1:24">
      <c r="A9947">
        <f>HYPERLINK("https://www.philgeps.gov.ph/GEPSNONPILOT/Tender/SplashBidNoticeAbstractUI.aspx?menuIndex=3&amp;refID=7054958&amp;Result=3","7054958")</f>
        <v>0</v>
      </c>
      <c r="B9947" t="s">
        <v>652</v>
      </c>
      <c r="C9947" t="s">
        <v>12948</v>
      </c>
      <c r="D9947" t="s">
        <v>18786</v>
      </c>
      <c r="E9947" t="s">
        <v>27507</v>
      </c>
      <c r="F9947" t="s">
        <v>32664</v>
      </c>
      <c r="G9947" t="s">
        <v>32671</v>
      </c>
      <c r="H9947" t="s">
        <v>12635</v>
      </c>
      <c r="I9947" t="s">
        <v>32706</v>
      </c>
      <c r="J9947" t="s">
        <v>32984</v>
      </c>
      <c r="K9947" t="s">
        <v>42442</v>
      </c>
      <c r="M9947" t="s">
        <v>43238</v>
      </c>
      <c r="N9947" t="s">
        <v>46569</v>
      </c>
      <c r="O9947" t="s">
        <v>46570</v>
      </c>
      <c r="P9947">
        <v>0</v>
      </c>
      <c r="Q9947">
        <v>0</v>
      </c>
      <c r="R9947" t="s">
        <v>46577</v>
      </c>
      <c r="S9947" t="s">
        <v>46808</v>
      </c>
      <c r="T9947" t="s">
        <v>48307</v>
      </c>
      <c r="U9947" t="s">
        <v>50011</v>
      </c>
      <c r="W9947" t="s">
        <v>43238</v>
      </c>
      <c r="X9947" t="s">
        <v>46578</v>
      </c>
    </row>
    <row r="9948" spans="1:24">
      <c r="A9948">
        <f>HYPERLINK("https://www.philgeps.gov.ph/GEPSNONPILOT/Tender/SplashBidNoticeAbstractUI.aspx?menuIndex=3&amp;refID=7055049&amp;Result=3","7055049")</f>
        <v>0</v>
      </c>
      <c r="B9948" t="s">
        <v>1939</v>
      </c>
      <c r="C9948" t="s">
        <v>12949</v>
      </c>
      <c r="D9948" t="s">
        <v>18782</v>
      </c>
      <c r="E9948" t="s">
        <v>27508</v>
      </c>
      <c r="F9948" t="s">
        <v>32664</v>
      </c>
      <c r="G9948" t="s">
        <v>32672</v>
      </c>
      <c r="H9948" t="s">
        <v>12635</v>
      </c>
      <c r="I9948" t="s">
        <v>32712</v>
      </c>
      <c r="J9948" t="s">
        <v>32853</v>
      </c>
      <c r="K9948" t="s">
        <v>42281</v>
      </c>
      <c r="L9948" t="s">
        <v>1939</v>
      </c>
      <c r="M9948" t="s">
        <v>44664</v>
      </c>
      <c r="N9948" t="s">
        <v>46569</v>
      </c>
      <c r="O9948" t="s">
        <v>46570</v>
      </c>
      <c r="P9948">
        <v>0</v>
      </c>
      <c r="Q9948">
        <v>5</v>
      </c>
      <c r="R9948" t="s">
        <v>46577</v>
      </c>
      <c r="S9948" t="s">
        <v>46808</v>
      </c>
      <c r="T9948" t="s">
        <v>48453</v>
      </c>
      <c r="U9948" t="s">
        <v>56789</v>
      </c>
      <c r="W9948" t="s">
        <v>44664</v>
      </c>
      <c r="X9948" t="s">
        <v>46578</v>
      </c>
    </row>
    <row r="9949" spans="1:24">
      <c r="A9949">
        <f>HYPERLINK("https://www.philgeps.gov.ph/GEPSNONPILOT/Tender/SplashBidNoticeAbstractUI.aspx?menuIndex=3&amp;refID=7055055&amp;Result=3","7055055")</f>
        <v>0</v>
      </c>
      <c r="B9949" t="s">
        <v>418</v>
      </c>
      <c r="C9949" t="s">
        <v>12950</v>
      </c>
      <c r="D9949" t="s">
        <v>18784</v>
      </c>
      <c r="E9949" t="s">
        <v>27509</v>
      </c>
      <c r="F9949" t="s">
        <v>32664</v>
      </c>
      <c r="G9949" t="s">
        <v>32672</v>
      </c>
      <c r="H9949" t="s">
        <v>12635</v>
      </c>
      <c r="I9949" t="s">
        <v>6168</v>
      </c>
      <c r="J9949" t="s">
        <v>37157</v>
      </c>
      <c r="K9949" t="s">
        <v>42289</v>
      </c>
      <c r="M9949" t="s">
        <v>42989</v>
      </c>
      <c r="N9949" t="s">
        <v>46569</v>
      </c>
      <c r="O9949" t="s">
        <v>46570</v>
      </c>
      <c r="P9949">
        <v>0</v>
      </c>
      <c r="Q9949">
        <v>2</v>
      </c>
      <c r="R9949" t="s">
        <v>46577</v>
      </c>
      <c r="S9949" t="s">
        <v>46808</v>
      </c>
      <c r="T9949" t="s">
        <v>48307</v>
      </c>
      <c r="U9949" t="s">
        <v>49404</v>
      </c>
      <c r="W9949" t="s">
        <v>42989</v>
      </c>
      <c r="X9949" t="s">
        <v>46578</v>
      </c>
    </row>
    <row r="9950" spans="1:24">
      <c r="A9950">
        <f>HYPERLINK("https://www.philgeps.gov.ph/GEPSNONPILOT/Tender/SplashBidNoticeAbstractUI.aspx?menuIndex=3&amp;refID=7055036&amp;Result=3","7055036")</f>
        <v>0</v>
      </c>
      <c r="B9950" t="s">
        <v>2772</v>
      </c>
      <c r="C9950" t="s">
        <v>12951</v>
      </c>
      <c r="D9950" t="s">
        <v>18804</v>
      </c>
      <c r="E9950" t="s">
        <v>27510</v>
      </c>
      <c r="F9950" t="s">
        <v>32664</v>
      </c>
      <c r="G9950" t="s">
        <v>32672</v>
      </c>
      <c r="H9950" t="s">
        <v>32683</v>
      </c>
      <c r="I9950" t="s">
        <v>10627</v>
      </c>
      <c r="J9950" t="s">
        <v>38774</v>
      </c>
      <c r="K9950" t="s">
        <v>42388</v>
      </c>
      <c r="M9950" t="s">
        <v>45610</v>
      </c>
      <c r="N9950" t="s">
        <v>46569</v>
      </c>
      <c r="O9950" t="s">
        <v>46570</v>
      </c>
      <c r="P9950">
        <v>0</v>
      </c>
      <c r="Q9950">
        <v>1</v>
      </c>
      <c r="R9950" t="s">
        <v>46577</v>
      </c>
      <c r="S9950" t="s">
        <v>46808</v>
      </c>
      <c r="T9950" t="s">
        <v>48313</v>
      </c>
      <c r="U9950" t="s">
        <v>56790</v>
      </c>
      <c r="W9950" t="s">
        <v>45610</v>
      </c>
      <c r="X9950" t="s">
        <v>46578</v>
      </c>
    </row>
    <row r="9951" spans="1:24">
      <c r="A9951">
        <f>HYPERLINK("https://www.philgeps.gov.ph/GEPSNONPILOT/Tender/SplashBidNoticeAbstractUI.aspx?menuIndex=3&amp;refID=7055044&amp;Result=3","7055044")</f>
        <v>0</v>
      </c>
      <c r="B9951" t="s">
        <v>2298</v>
      </c>
      <c r="C9951" t="s">
        <v>12952</v>
      </c>
      <c r="D9951" t="s">
        <v>18784</v>
      </c>
      <c r="E9951" t="s">
        <v>27511</v>
      </c>
      <c r="F9951" t="s">
        <v>32664</v>
      </c>
      <c r="G9951" t="s">
        <v>32672</v>
      </c>
      <c r="H9951" t="s">
        <v>32682</v>
      </c>
      <c r="I9951" t="s">
        <v>4205</v>
      </c>
      <c r="J9951" t="s">
        <v>38775</v>
      </c>
      <c r="K9951" t="s">
        <v>42298</v>
      </c>
      <c r="M9951" t="s">
        <v>45069</v>
      </c>
      <c r="N9951" t="s">
        <v>46569</v>
      </c>
      <c r="O9951" t="s">
        <v>46570</v>
      </c>
      <c r="P9951">
        <v>0</v>
      </c>
      <c r="Q9951">
        <v>6</v>
      </c>
      <c r="R9951" t="s">
        <v>46577</v>
      </c>
      <c r="S9951" t="s">
        <v>46808</v>
      </c>
      <c r="T9951" t="s">
        <v>48305</v>
      </c>
      <c r="U9951" t="s">
        <v>56791</v>
      </c>
      <c r="W9951" t="s">
        <v>45069</v>
      </c>
      <c r="X9951" t="s">
        <v>46578</v>
      </c>
    </row>
    <row r="9952" spans="1:24">
      <c r="A9952">
        <f>HYPERLINK("https://www.philgeps.gov.ph/GEPSNONPILOT/Tender/SplashBidNoticeAbstractUI.aspx?menuIndex=3&amp;refID=7055025&amp;Result=3","7055025")</f>
        <v>0</v>
      </c>
      <c r="B9952" t="s">
        <v>1876</v>
      </c>
      <c r="C9952" t="s">
        <v>12953</v>
      </c>
      <c r="D9952" t="s">
        <v>18799</v>
      </c>
      <c r="E9952" t="s">
        <v>27512</v>
      </c>
      <c r="F9952" t="s">
        <v>32665</v>
      </c>
      <c r="G9952" t="s">
        <v>32671</v>
      </c>
      <c r="H9952" t="s">
        <v>12635</v>
      </c>
      <c r="I9952" t="s">
        <v>5589</v>
      </c>
      <c r="J9952" t="s">
        <v>38103</v>
      </c>
      <c r="K9952" t="s">
        <v>42283</v>
      </c>
      <c r="M9952" t="s">
        <v>44594</v>
      </c>
      <c r="N9952" t="s">
        <v>46569</v>
      </c>
      <c r="O9952" t="s">
        <v>46570</v>
      </c>
      <c r="P9952">
        <v>0</v>
      </c>
      <c r="Q9952">
        <v>3</v>
      </c>
      <c r="R9952" t="s">
        <v>46577</v>
      </c>
      <c r="S9952" t="s">
        <v>46808</v>
      </c>
      <c r="T9952" t="s">
        <v>48254</v>
      </c>
      <c r="U9952" t="s">
        <v>56792</v>
      </c>
      <c r="W9952" t="s">
        <v>44594</v>
      </c>
      <c r="X9952" t="s">
        <v>46578</v>
      </c>
    </row>
    <row r="9953" spans="1:24">
      <c r="A9953">
        <f>HYPERLINK("https://www.philgeps.gov.ph/GEPSNONPILOT/Tender/SplashBidNoticeAbstractUI.aspx?menuIndex=3&amp;refID=7054983&amp;Result=3","7054983")</f>
        <v>0</v>
      </c>
      <c r="B9953" t="s">
        <v>1892</v>
      </c>
      <c r="C9953" t="s">
        <v>12954</v>
      </c>
      <c r="D9953" t="s">
        <v>18788</v>
      </c>
      <c r="E9953" t="s">
        <v>27513</v>
      </c>
      <c r="F9953" t="s">
        <v>32665</v>
      </c>
      <c r="G9953" t="s">
        <v>32672</v>
      </c>
      <c r="H9953" t="s">
        <v>32682</v>
      </c>
      <c r="I9953" t="s">
        <v>9946</v>
      </c>
      <c r="J9953" t="s">
        <v>36193</v>
      </c>
      <c r="K9953" t="s">
        <v>42401</v>
      </c>
      <c r="M9953" t="s">
        <v>44611</v>
      </c>
      <c r="N9953" t="s">
        <v>46569</v>
      </c>
      <c r="O9953" t="s">
        <v>46570</v>
      </c>
      <c r="P9953">
        <v>0</v>
      </c>
      <c r="Q9953">
        <v>1</v>
      </c>
      <c r="R9953" t="s">
        <v>46577</v>
      </c>
      <c r="S9953" t="s">
        <v>46808</v>
      </c>
      <c r="T9953" t="s">
        <v>48327</v>
      </c>
      <c r="U9953" t="s">
        <v>56793</v>
      </c>
      <c r="V9953" t="s">
        <v>62669</v>
      </c>
      <c r="W9953" t="s">
        <v>44611</v>
      </c>
      <c r="X9953" t="s">
        <v>46578</v>
      </c>
    </row>
    <row r="9954" spans="1:24">
      <c r="A9954">
        <f>HYPERLINK("https://www.philgeps.gov.ph/GEPSNONPILOT/Tender/SplashBidNoticeAbstractUI.aspx?menuIndex=3&amp;refID=7055019&amp;Result=3","7055019")</f>
        <v>0</v>
      </c>
      <c r="B9954" t="s">
        <v>101</v>
      </c>
      <c r="C9954" t="s">
        <v>12955</v>
      </c>
      <c r="D9954" t="s">
        <v>18784</v>
      </c>
      <c r="E9954" t="s">
        <v>27514</v>
      </c>
      <c r="F9954" t="s">
        <v>32664</v>
      </c>
      <c r="G9954" t="s">
        <v>32671</v>
      </c>
      <c r="H9954" t="s">
        <v>12635</v>
      </c>
      <c r="I9954" t="s">
        <v>32705</v>
      </c>
      <c r="J9954" t="s">
        <v>32898</v>
      </c>
      <c r="K9954" t="s">
        <v>42289</v>
      </c>
      <c r="M9954" t="s">
        <v>45611</v>
      </c>
      <c r="N9954" t="s">
        <v>46569</v>
      </c>
      <c r="O9954" t="s">
        <v>46570</v>
      </c>
      <c r="P9954">
        <v>0</v>
      </c>
      <c r="Q9954">
        <v>2</v>
      </c>
      <c r="R9954" t="s">
        <v>46577</v>
      </c>
      <c r="S9954" t="s">
        <v>46808</v>
      </c>
      <c r="T9954" t="s">
        <v>48449</v>
      </c>
      <c r="U9954" t="s">
        <v>56794</v>
      </c>
      <c r="V9954" t="s">
        <v>62670</v>
      </c>
      <c r="W9954" t="s">
        <v>45611</v>
      </c>
      <c r="X9954" t="s">
        <v>46578</v>
      </c>
    </row>
    <row r="9955" spans="1:24">
      <c r="A9955">
        <f>HYPERLINK("https://www.philgeps.gov.ph/GEPSNONPILOT/Tender/SplashBidNoticeAbstractUI.aspx?menuIndex=3&amp;refID=7055039&amp;Result=3","7055039")</f>
        <v>0</v>
      </c>
      <c r="B9955" t="s">
        <v>1530</v>
      </c>
      <c r="C9955" t="s">
        <v>12956</v>
      </c>
      <c r="D9955" t="s">
        <v>18827</v>
      </c>
      <c r="E9955" t="s">
        <v>27515</v>
      </c>
      <c r="F9955" t="s">
        <v>32664</v>
      </c>
      <c r="G9955" t="s">
        <v>32672</v>
      </c>
      <c r="H9955" t="s">
        <v>32683</v>
      </c>
      <c r="I9955" t="s">
        <v>10627</v>
      </c>
      <c r="J9955" t="s">
        <v>35562</v>
      </c>
      <c r="K9955" t="s">
        <v>42287</v>
      </c>
      <c r="M9955" t="s">
        <v>44197</v>
      </c>
      <c r="N9955" t="s">
        <v>46569</v>
      </c>
      <c r="O9955" t="s">
        <v>46570</v>
      </c>
      <c r="P9955">
        <v>0</v>
      </c>
      <c r="Q9955">
        <v>4</v>
      </c>
      <c r="R9955" t="s">
        <v>46577</v>
      </c>
      <c r="S9955" t="s">
        <v>46808</v>
      </c>
      <c r="T9955" t="s">
        <v>48213</v>
      </c>
      <c r="U9955" t="s">
        <v>56795</v>
      </c>
      <c r="V9955" t="s">
        <v>62671</v>
      </c>
      <c r="W9955" t="s">
        <v>44197</v>
      </c>
      <c r="X9955" t="s">
        <v>46578</v>
      </c>
    </row>
    <row r="9956" spans="1:24">
      <c r="A9956">
        <f>HYPERLINK("https://www.philgeps.gov.ph/GEPSNONPILOT/Tender/SplashBidNoticeAbstractUI.aspx?menuIndex=3&amp;refID=7055017&amp;Result=3","7055017")</f>
        <v>0</v>
      </c>
      <c r="B9956" t="s">
        <v>2737</v>
      </c>
      <c r="C9956" t="s">
        <v>12957</v>
      </c>
      <c r="D9956" t="s">
        <v>18792</v>
      </c>
      <c r="E9956" t="s">
        <v>27516</v>
      </c>
      <c r="F9956" t="s">
        <v>32666</v>
      </c>
      <c r="G9956" t="s">
        <v>32674</v>
      </c>
      <c r="H9956" t="s">
        <v>12635</v>
      </c>
      <c r="I9956" t="s">
        <v>32684</v>
      </c>
      <c r="J9956" t="s">
        <v>33177</v>
      </c>
      <c r="K9956" t="s">
        <v>42283</v>
      </c>
      <c r="M9956" t="s">
        <v>45571</v>
      </c>
      <c r="N9956" t="s">
        <v>46569</v>
      </c>
      <c r="O9956" t="s">
        <v>46570</v>
      </c>
      <c r="P9956">
        <v>0</v>
      </c>
      <c r="Q9956">
        <v>2</v>
      </c>
      <c r="R9956" t="s">
        <v>46577</v>
      </c>
      <c r="S9956" t="s">
        <v>46808</v>
      </c>
      <c r="T9956" t="s">
        <v>48256</v>
      </c>
      <c r="U9956" t="s">
        <v>56796</v>
      </c>
      <c r="W9956" t="s">
        <v>45571</v>
      </c>
      <c r="X9956" t="s">
        <v>46578</v>
      </c>
    </row>
    <row r="9957" spans="1:24">
      <c r="A9957">
        <f>HYPERLINK("https://www.philgeps.gov.ph/GEPSNONPILOT/Tender/SplashBidNoticeAbstractUI.aspx?menuIndex=3&amp;refID=7055014&amp;Result=3","7055014")</f>
        <v>0</v>
      </c>
      <c r="B9957" t="s">
        <v>2753</v>
      </c>
      <c r="C9957" t="s">
        <v>12930</v>
      </c>
      <c r="D9957" t="s">
        <v>18817</v>
      </c>
      <c r="E9957" t="s">
        <v>27517</v>
      </c>
      <c r="F9957" t="s">
        <v>32664</v>
      </c>
      <c r="G9957" t="s">
        <v>32672</v>
      </c>
      <c r="H9957" t="s">
        <v>32683</v>
      </c>
      <c r="I9957" t="s">
        <v>10627</v>
      </c>
      <c r="J9957" t="s">
        <v>32865</v>
      </c>
      <c r="K9957" t="s">
        <v>42290</v>
      </c>
      <c r="M9957" t="s">
        <v>45587</v>
      </c>
      <c r="N9957" t="s">
        <v>46569</v>
      </c>
      <c r="O9957" t="s">
        <v>46570</v>
      </c>
      <c r="P9957">
        <v>0</v>
      </c>
      <c r="Q9957">
        <v>0</v>
      </c>
      <c r="R9957" t="s">
        <v>46577</v>
      </c>
      <c r="S9957" t="s">
        <v>46808</v>
      </c>
      <c r="T9957" t="s">
        <v>48287</v>
      </c>
      <c r="U9957" t="s">
        <v>56797</v>
      </c>
      <c r="W9957" t="s">
        <v>45587</v>
      </c>
      <c r="X9957" t="s">
        <v>46578</v>
      </c>
    </row>
    <row r="9958" spans="1:24">
      <c r="A9958">
        <f>HYPERLINK("https://www.philgeps.gov.ph/GEPSNONPILOT/Tender/SplashBidNoticeAbstractUI.aspx?menuIndex=3&amp;refID=7055008&amp;Result=3","7055008")</f>
        <v>0</v>
      </c>
      <c r="B9958" t="s">
        <v>664</v>
      </c>
      <c r="C9958" t="s">
        <v>12958</v>
      </c>
      <c r="D9958" t="s">
        <v>18842</v>
      </c>
      <c r="E9958" t="s">
        <v>23267</v>
      </c>
      <c r="F9958" t="s">
        <v>32664</v>
      </c>
      <c r="G9958" t="s">
        <v>32672</v>
      </c>
      <c r="H9958" t="s">
        <v>12635</v>
      </c>
      <c r="I9958" t="s">
        <v>8730</v>
      </c>
      <c r="J9958" t="s">
        <v>38776</v>
      </c>
      <c r="K9958" t="s">
        <v>42289</v>
      </c>
      <c r="M9958" t="s">
        <v>43251</v>
      </c>
      <c r="N9958" t="s">
        <v>46569</v>
      </c>
      <c r="O9958" t="s">
        <v>46570</v>
      </c>
      <c r="P9958">
        <v>0</v>
      </c>
      <c r="Q9958">
        <v>6</v>
      </c>
      <c r="R9958" t="s">
        <v>46577</v>
      </c>
      <c r="S9958" t="s">
        <v>46808</v>
      </c>
      <c r="T9958" t="s">
        <v>48349</v>
      </c>
      <c r="U9958" t="s">
        <v>56798</v>
      </c>
      <c r="W9958" t="s">
        <v>43251</v>
      </c>
      <c r="X9958" t="s">
        <v>46578</v>
      </c>
    </row>
    <row r="9959" spans="1:24">
      <c r="A9959">
        <f>HYPERLINK("https://www.philgeps.gov.ph/GEPSNONPILOT/Tender/SplashBidNoticeAbstractUI.aspx?menuIndex=3&amp;refID=7055021&amp;Result=3","7055021")</f>
        <v>0</v>
      </c>
      <c r="B9959" t="s">
        <v>2469</v>
      </c>
      <c r="C9959" t="s">
        <v>12959</v>
      </c>
      <c r="D9959" t="s">
        <v>18801</v>
      </c>
      <c r="E9959" t="s">
        <v>27518</v>
      </c>
      <c r="F9959" t="s">
        <v>32664</v>
      </c>
      <c r="G9959" t="s">
        <v>32672</v>
      </c>
      <c r="H9959" t="s">
        <v>12635</v>
      </c>
      <c r="I9959" t="s">
        <v>32701</v>
      </c>
      <c r="J9959" t="s">
        <v>32982</v>
      </c>
      <c r="K9959" t="s">
        <v>42281</v>
      </c>
      <c r="M9959" t="s">
        <v>45270</v>
      </c>
      <c r="N9959" t="s">
        <v>46569</v>
      </c>
      <c r="O9959" t="s">
        <v>46570</v>
      </c>
      <c r="P9959">
        <v>0</v>
      </c>
      <c r="Q9959">
        <v>0</v>
      </c>
      <c r="R9959" t="s">
        <v>46577</v>
      </c>
      <c r="S9959" t="s">
        <v>46808</v>
      </c>
      <c r="T9959" t="s">
        <v>48273</v>
      </c>
      <c r="U9959" t="s">
        <v>55574</v>
      </c>
      <c r="V9959" t="s">
        <v>62260</v>
      </c>
      <c r="W9959" t="s">
        <v>63562</v>
      </c>
      <c r="X9959" t="s">
        <v>46578</v>
      </c>
    </row>
    <row r="9960" spans="1:24">
      <c r="A9960">
        <f>HYPERLINK("https://www.philgeps.gov.ph/GEPSNONPILOT/Tender/SplashBidNoticeAbstractUI.aspx?menuIndex=3&amp;refID=7055005&amp;Result=3","7055005")</f>
        <v>0</v>
      </c>
      <c r="B9960" t="s">
        <v>1530</v>
      </c>
      <c r="C9960" t="s">
        <v>12960</v>
      </c>
      <c r="D9960" t="s">
        <v>18827</v>
      </c>
      <c r="E9960" t="s">
        <v>27519</v>
      </c>
      <c r="F9960" t="s">
        <v>32664</v>
      </c>
      <c r="G9960" t="s">
        <v>32672</v>
      </c>
      <c r="H9960" t="s">
        <v>32683</v>
      </c>
      <c r="I9960" t="s">
        <v>10627</v>
      </c>
      <c r="J9960" t="s">
        <v>38770</v>
      </c>
      <c r="K9960" t="s">
        <v>42497</v>
      </c>
      <c r="M9960" t="s">
        <v>44197</v>
      </c>
      <c r="N9960" t="s">
        <v>46569</v>
      </c>
      <c r="O9960" t="s">
        <v>46570</v>
      </c>
      <c r="P9960">
        <v>0</v>
      </c>
      <c r="Q9960">
        <v>2</v>
      </c>
      <c r="R9960" t="s">
        <v>46577</v>
      </c>
      <c r="S9960" t="s">
        <v>46808</v>
      </c>
      <c r="T9960" t="s">
        <v>48213</v>
      </c>
      <c r="U9960" t="s">
        <v>56799</v>
      </c>
      <c r="V9960" t="s">
        <v>62672</v>
      </c>
      <c r="W9960" t="s">
        <v>44197</v>
      </c>
      <c r="X9960" t="s">
        <v>46578</v>
      </c>
    </row>
    <row r="9961" spans="1:24">
      <c r="A9961">
        <f>HYPERLINK("https://www.philgeps.gov.ph/GEPSNONPILOT/Tender/SplashBidNoticeAbstractUI.aspx?menuIndex=3&amp;refID=7055024&amp;Result=3","7055024")</f>
        <v>0</v>
      </c>
      <c r="B9961" t="s">
        <v>1436</v>
      </c>
      <c r="C9961" t="s">
        <v>12961</v>
      </c>
      <c r="D9961" t="s">
        <v>18810</v>
      </c>
      <c r="E9961" t="s">
        <v>27520</v>
      </c>
      <c r="F9961" t="s">
        <v>32664</v>
      </c>
      <c r="G9961" t="s">
        <v>32671</v>
      </c>
      <c r="H9961" t="s">
        <v>32682</v>
      </c>
      <c r="I9961" t="s">
        <v>9946</v>
      </c>
      <c r="J9961" t="s">
        <v>33995</v>
      </c>
      <c r="K9961" t="s">
        <v>42334</v>
      </c>
      <c r="M9961" t="s">
        <v>45612</v>
      </c>
      <c r="N9961" t="s">
        <v>46569</v>
      </c>
      <c r="O9961" t="s">
        <v>46570</v>
      </c>
      <c r="P9961">
        <v>0</v>
      </c>
      <c r="Q9961">
        <v>0</v>
      </c>
      <c r="R9961" t="s">
        <v>46577</v>
      </c>
      <c r="S9961" t="s">
        <v>46808</v>
      </c>
      <c r="T9961" t="s">
        <v>48307</v>
      </c>
      <c r="U9961" t="s">
        <v>56800</v>
      </c>
      <c r="W9961" t="s">
        <v>45612</v>
      </c>
      <c r="X9961" t="s">
        <v>46578</v>
      </c>
    </row>
    <row r="9962" spans="1:24">
      <c r="A9962">
        <f>HYPERLINK("https://www.philgeps.gov.ph/GEPSNONPILOT/Tender/SplashBidNoticeAbstractUI.aspx?menuIndex=3&amp;refID=7055004&amp;Result=3","7055004")</f>
        <v>0</v>
      </c>
      <c r="B9962" t="s">
        <v>2754</v>
      </c>
      <c r="C9962" t="s">
        <v>12962</v>
      </c>
      <c r="D9962" t="s">
        <v>18806</v>
      </c>
      <c r="E9962" t="s">
        <v>27521</v>
      </c>
      <c r="F9962" t="s">
        <v>32664</v>
      </c>
      <c r="G9962" t="s">
        <v>32671</v>
      </c>
      <c r="H9962" t="s">
        <v>12635</v>
      </c>
      <c r="I9962" t="s">
        <v>6553</v>
      </c>
      <c r="J9962" t="s">
        <v>38777</v>
      </c>
      <c r="K9962" t="s">
        <v>42311</v>
      </c>
      <c r="M9962" t="s">
        <v>45588</v>
      </c>
      <c r="N9962" t="s">
        <v>46569</v>
      </c>
      <c r="O9962" t="s">
        <v>46570</v>
      </c>
      <c r="P9962">
        <v>0</v>
      </c>
      <c r="Q9962">
        <v>0</v>
      </c>
      <c r="R9962" t="s">
        <v>46577</v>
      </c>
      <c r="S9962" t="s">
        <v>46808</v>
      </c>
      <c r="T9962" t="s">
        <v>48376</v>
      </c>
      <c r="U9962" t="s">
        <v>55207</v>
      </c>
      <c r="V9962" t="s">
        <v>62655</v>
      </c>
      <c r="W9962" t="s">
        <v>45588</v>
      </c>
      <c r="X9962" t="s">
        <v>46578</v>
      </c>
    </row>
    <row r="9963" spans="1:24">
      <c r="A9963">
        <f>HYPERLINK("https://www.philgeps.gov.ph/GEPSNONPILOT/Tender/SplashBidNoticeAbstractUI.aspx?menuIndex=3&amp;refID=7054916&amp;Result=3","7054916")</f>
        <v>0</v>
      </c>
      <c r="B9963" t="s">
        <v>925</v>
      </c>
      <c r="C9963" t="s">
        <v>12963</v>
      </c>
      <c r="D9963" t="s">
        <v>18836</v>
      </c>
      <c r="E9963" t="s">
        <v>27522</v>
      </c>
      <c r="F9963" t="s">
        <v>32664</v>
      </c>
      <c r="G9963" t="s">
        <v>32672</v>
      </c>
      <c r="H9963" t="s">
        <v>12635</v>
      </c>
      <c r="I9963" t="s">
        <v>32712</v>
      </c>
      <c r="J9963" t="s">
        <v>34862</v>
      </c>
      <c r="K9963" t="s">
        <v>42305</v>
      </c>
      <c r="M9963" t="s">
        <v>43531</v>
      </c>
      <c r="N9963" t="s">
        <v>46569</v>
      </c>
      <c r="O9963" t="s">
        <v>46570</v>
      </c>
      <c r="P9963">
        <v>0</v>
      </c>
      <c r="Q9963">
        <v>9</v>
      </c>
      <c r="R9963" t="s">
        <v>46577</v>
      </c>
      <c r="S9963" t="s">
        <v>46808</v>
      </c>
      <c r="T9963" t="s">
        <v>48256</v>
      </c>
      <c r="U9963" t="s">
        <v>56801</v>
      </c>
      <c r="W9963" t="s">
        <v>43531</v>
      </c>
      <c r="X9963" t="s">
        <v>46578</v>
      </c>
    </row>
    <row r="9964" spans="1:24">
      <c r="A9964">
        <f>HYPERLINK("https://www.philgeps.gov.ph/GEPSNONPILOT/Tender/SplashBidNoticeAbstractUI.aspx?menuIndex=3&amp;refID=7055009&amp;Result=3","7055009")</f>
        <v>0</v>
      </c>
      <c r="B9964" t="s">
        <v>1939</v>
      </c>
      <c r="C9964" t="s">
        <v>12964</v>
      </c>
      <c r="D9964" t="s">
        <v>18782</v>
      </c>
      <c r="E9964" t="s">
        <v>27523</v>
      </c>
      <c r="F9964" t="s">
        <v>32664</v>
      </c>
      <c r="G9964" t="s">
        <v>32672</v>
      </c>
      <c r="H9964" t="s">
        <v>12635</v>
      </c>
      <c r="I9964" t="s">
        <v>8797</v>
      </c>
      <c r="J9964" t="s">
        <v>33128</v>
      </c>
      <c r="K9964" t="s">
        <v>42281</v>
      </c>
      <c r="L9964" t="s">
        <v>1939</v>
      </c>
      <c r="M9964" t="s">
        <v>44664</v>
      </c>
      <c r="N9964" t="s">
        <v>46569</v>
      </c>
      <c r="O9964" t="s">
        <v>46570</v>
      </c>
      <c r="P9964">
        <v>0</v>
      </c>
      <c r="Q9964">
        <v>7</v>
      </c>
      <c r="R9964" t="s">
        <v>46577</v>
      </c>
      <c r="S9964" t="s">
        <v>46808</v>
      </c>
      <c r="T9964" t="s">
        <v>48453</v>
      </c>
      <c r="U9964" t="s">
        <v>56802</v>
      </c>
      <c r="W9964" t="s">
        <v>44664</v>
      </c>
      <c r="X9964" t="s">
        <v>46578</v>
      </c>
    </row>
    <row r="9965" spans="1:24">
      <c r="A9965">
        <f>HYPERLINK("https://www.philgeps.gov.ph/GEPSNONPILOT/Tender/SplashBidNoticeAbstractUI.aspx?menuIndex=3&amp;refID=7055103&amp;Result=3","7055103")</f>
        <v>0</v>
      </c>
      <c r="B9965" t="s">
        <v>900</v>
      </c>
      <c r="C9965" t="s">
        <v>12965</v>
      </c>
      <c r="E9965" t="s">
        <v>27524</v>
      </c>
      <c r="F9965" t="s">
        <v>32664</v>
      </c>
      <c r="G9965" t="s">
        <v>32672</v>
      </c>
      <c r="H9965" t="s">
        <v>32683</v>
      </c>
      <c r="I9965" t="s">
        <v>10627</v>
      </c>
      <c r="J9965" t="s">
        <v>38778</v>
      </c>
      <c r="K9965" t="s">
        <v>42283</v>
      </c>
      <c r="M9965" t="s">
        <v>43504</v>
      </c>
      <c r="N9965" t="s">
        <v>46569</v>
      </c>
      <c r="O9965" t="s">
        <v>46570</v>
      </c>
      <c r="Q9965">
        <v>3</v>
      </c>
      <c r="R9965" t="s">
        <v>46577</v>
      </c>
      <c r="S9965" t="s">
        <v>46859</v>
      </c>
      <c r="T9965" t="s">
        <v>48453</v>
      </c>
      <c r="U9965" t="s">
        <v>56803</v>
      </c>
      <c r="W9965" t="s">
        <v>43504</v>
      </c>
      <c r="X9965" t="s">
        <v>46578</v>
      </c>
    </row>
    <row r="9966" spans="1:24">
      <c r="A9966">
        <f>HYPERLINK("https://www.philgeps.gov.ph/GEPSNONPILOT/Tender/SplashBidNoticeAbstractUI.aspx?menuIndex=3&amp;refID=7055100&amp;Result=3","7055100")</f>
        <v>0</v>
      </c>
      <c r="B9966" t="s">
        <v>2773</v>
      </c>
      <c r="C9966" t="s">
        <v>12966</v>
      </c>
      <c r="D9966" t="s">
        <v>18814</v>
      </c>
      <c r="E9966" t="s">
        <v>27525</v>
      </c>
      <c r="F9966" t="s">
        <v>32664</v>
      </c>
      <c r="G9966" t="s">
        <v>32672</v>
      </c>
      <c r="H9966" t="s">
        <v>32683</v>
      </c>
      <c r="I9966" t="s">
        <v>10627</v>
      </c>
      <c r="J9966" t="s">
        <v>38779</v>
      </c>
      <c r="K9966" t="s">
        <v>42290</v>
      </c>
      <c r="M9966" t="s">
        <v>45613</v>
      </c>
      <c r="N9966" t="s">
        <v>46569</v>
      </c>
      <c r="O9966" t="s">
        <v>46570</v>
      </c>
      <c r="P9966">
        <v>0</v>
      </c>
      <c r="Q9966">
        <v>25</v>
      </c>
      <c r="R9966" t="s">
        <v>46577</v>
      </c>
      <c r="S9966" t="s">
        <v>46808</v>
      </c>
      <c r="T9966" t="s">
        <v>48213</v>
      </c>
      <c r="U9966" t="s">
        <v>56804</v>
      </c>
      <c r="V9966" t="s">
        <v>62673</v>
      </c>
      <c r="W9966" t="s">
        <v>45613</v>
      </c>
      <c r="X9966" t="s">
        <v>46578</v>
      </c>
    </row>
    <row r="9967" spans="1:24">
      <c r="A9967">
        <f>HYPERLINK("https://www.philgeps.gov.ph/GEPSNONPILOT/Tender/SplashBidNoticeAbstractUI.aspx?menuIndex=3&amp;refID=7055096&amp;Result=3","7055096")</f>
        <v>0</v>
      </c>
      <c r="B9967" t="s">
        <v>2753</v>
      </c>
      <c r="C9967" t="s">
        <v>12967</v>
      </c>
      <c r="E9967" t="s">
        <v>27526</v>
      </c>
      <c r="F9967" t="s">
        <v>32664</v>
      </c>
      <c r="G9967" t="s">
        <v>32672</v>
      </c>
      <c r="H9967" t="s">
        <v>32683</v>
      </c>
      <c r="I9967" t="s">
        <v>10627</v>
      </c>
      <c r="J9967" t="s">
        <v>32865</v>
      </c>
      <c r="K9967" t="s">
        <v>42311</v>
      </c>
      <c r="M9967" t="s">
        <v>45587</v>
      </c>
      <c r="N9967" t="s">
        <v>46569</v>
      </c>
      <c r="O9967" t="s">
        <v>46570</v>
      </c>
      <c r="P9967">
        <v>0</v>
      </c>
      <c r="Q9967">
        <v>0</v>
      </c>
      <c r="R9967" t="s">
        <v>46577</v>
      </c>
      <c r="S9967" t="s">
        <v>46808</v>
      </c>
      <c r="T9967" t="s">
        <v>48254</v>
      </c>
      <c r="U9967" t="s">
        <v>56805</v>
      </c>
      <c r="W9967" t="s">
        <v>45587</v>
      </c>
      <c r="X9967" t="s">
        <v>46578</v>
      </c>
    </row>
    <row r="9968" spans="1:24">
      <c r="A9968">
        <f>HYPERLINK("https://www.philgeps.gov.ph/GEPSNONPILOT/Tender/SplashBidNoticeAbstractUI.aspx?menuIndex=3&amp;refID=7055094&amp;Result=3","7055094")</f>
        <v>0</v>
      </c>
      <c r="B9968" t="s">
        <v>2085</v>
      </c>
      <c r="C9968" t="s">
        <v>12968</v>
      </c>
      <c r="D9968" t="s">
        <v>18794</v>
      </c>
      <c r="E9968" t="s">
        <v>27527</v>
      </c>
      <c r="F9968" t="s">
        <v>32664</v>
      </c>
      <c r="G9968" t="s">
        <v>32671</v>
      </c>
      <c r="H9968" t="s">
        <v>12635</v>
      </c>
      <c r="I9968" t="s">
        <v>32760</v>
      </c>
      <c r="J9968" t="s">
        <v>38773</v>
      </c>
      <c r="K9968" t="s">
        <v>42283</v>
      </c>
      <c r="M9968" t="s">
        <v>44839</v>
      </c>
      <c r="N9968" t="s">
        <v>46569</v>
      </c>
      <c r="O9968" t="s">
        <v>46570</v>
      </c>
      <c r="P9968">
        <v>0</v>
      </c>
      <c r="Q9968">
        <v>0</v>
      </c>
      <c r="R9968" t="s">
        <v>46577</v>
      </c>
      <c r="S9968" t="s">
        <v>46808</v>
      </c>
      <c r="T9968" t="s">
        <v>48287</v>
      </c>
      <c r="U9968" t="s">
        <v>56806</v>
      </c>
      <c r="W9968" t="s">
        <v>44839</v>
      </c>
      <c r="X9968" t="s">
        <v>46578</v>
      </c>
    </row>
    <row r="9969" spans="1:24">
      <c r="A9969">
        <f>HYPERLINK("https://www.philgeps.gov.ph/GEPSNONPILOT/Tender/SplashBidNoticeAbstractUI.aspx?menuIndex=3&amp;refID=7055091&amp;Result=3","7055091")</f>
        <v>0</v>
      </c>
      <c r="B9969" t="s">
        <v>1150</v>
      </c>
      <c r="C9969" t="s">
        <v>7075</v>
      </c>
      <c r="D9969" t="s">
        <v>18845</v>
      </c>
      <c r="E9969" t="s">
        <v>27528</v>
      </c>
      <c r="F9969" t="s">
        <v>32664</v>
      </c>
      <c r="G9969" t="s">
        <v>32671</v>
      </c>
      <c r="H9969" t="s">
        <v>12635</v>
      </c>
      <c r="I9969" t="s">
        <v>32685</v>
      </c>
      <c r="J9969" t="s">
        <v>38780</v>
      </c>
      <c r="K9969" t="s">
        <v>42283</v>
      </c>
      <c r="M9969" t="s">
        <v>43781</v>
      </c>
      <c r="N9969" t="s">
        <v>46569</v>
      </c>
      <c r="O9969" t="s">
        <v>46570</v>
      </c>
      <c r="P9969">
        <v>0</v>
      </c>
      <c r="Q9969">
        <v>0</v>
      </c>
      <c r="R9969" t="s">
        <v>46577</v>
      </c>
      <c r="S9969" t="s">
        <v>46808</v>
      </c>
      <c r="T9969" t="s">
        <v>48449</v>
      </c>
      <c r="U9969" t="s">
        <v>56807</v>
      </c>
      <c r="W9969" t="s">
        <v>43781</v>
      </c>
      <c r="X9969" t="s">
        <v>46578</v>
      </c>
    </row>
    <row r="9970" spans="1:24">
      <c r="A9970">
        <f>HYPERLINK("https://www.philgeps.gov.ph/GEPSNONPILOT/Tender/SplashBidNoticeAbstractUI.aspx?menuIndex=3&amp;refID=7055083&amp;Result=3","7055083")</f>
        <v>0</v>
      </c>
      <c r="B9970" t="s">
        <v>2263</v>
      </c>
      <c r="C9970" t="s">
        <v>10457</v>
      </c>
      <c r="D9970" t="s">
        <v>18827</v>
      </c>
      <c r="E9970" t="s">
        <v>27529</v>
      </c>
      <c r="F9970" t="s">
        <v>32664</v>
      </c>
      <c r="G9970" t="s">
        <v>32671</v>
      </c>
      <c r="H9970" t="s">
        <v>12635</v>
      </c>
      <c r="I9970" t="s">
        <v>9486</v>
      </c>
      <c r="J9970" t="s">
        <v>33337</v>
      </c>
      <c r="K9970" t="s">
        <v>42306</v>
      </c>
      <c r="M9970" t="s">
        <v>45029</v>
      </c>
      <c r="N9970" t="s">
        <v>46569</v>
      </c>
      <c r="O9970" t="s">
        <v>46570</v>
      </c>
      <c r="P9970">
        <v>0</v>
      </c>
      <c r="Q9970">
        <v>0</v>
      </c>
      <c r="R9970" t="s">
        <v>46577</v>
      </c>
      <c r="S9970" t="s">
        <v>46808</v>
      </c>
      <c r="T9970" t="s">
        <v>48290</v>
      </c>
      <c r="U9970" t="s">
        <v>54818</v>
      </c>
      <c r="W9970" t="s">
        <v>45029</v>
      </c>
      <c r="X9970" t="s">
        <v>46578</v>
      </c>
    </row>
    <row r="9971" spans="1:24">
      <c r="A9971">
        <f>HYPERLINK("https://www.philgeps.gov.ph/GEPSNONPILOT/Tender/SplashBidNoticeAbstractUI.aspx?menuIndex=3&amp;refID=7055080&amp;Result=3","7055080")</f>
        <v>0</v>
      </c>
      <c r="B9971" t="s">
        <v>138</v>
      </c>
      <c r="C9971" t="s">
        <v>12969</v>
      </c>
      <c r="D9971" t="s">
        <v>18792</v>
      </c>
      <c r="E9971" t="s">
        <v>19259</v>
      </c>
      <c r="F9971" t="s">
        <v>32664</v>
      </c>
      <c r="G9971" t="s">
        <v>32672</v>
      </c>
      <c r="H9971" t="s">
        <v>12635</v>
      </c>
      <c r="I9971" t="s">
        <v>32712</v>
      </c>
      <c r="J9971" t="s">
        <v>38781</v>
      </c>
      <c r="K9971" t="s">
        <v>42298</v>
      </c>
      <c r="M9971" t="s">
        <v>42702</v>
      </c>
      <c r="N9971" t="s">
        <v>46569</v>
      </c>
      <c r="O9971" t="s">
        <v>46570</v>
      </c>
      <c r="P9971">
        <v>0</v>
      </c>
      <c r="Q9971">
        <v>23</v>
      </c>
      <c r="R9971" t="s">
        <v>46577</v>
      </c>
      <c r="S9971" t="s">
        <v>46808</v>
      </c>
      <c r="T9971" t="s">
        <v>48216</v>
      </c>
      <c r="U9971" t="s">
        <v>56808</v>
      </c>
      <c r="W9971" t="s">
        <v>42702</v>
      </c>
      <c r="X9971" t="s">
        <v>46578</v>
      </c>
    </row>
    <row r="9972" spans="1:24">
      <c r="A9972">
        <f>HYPERLINK("https://www.philgeps.gov.ph/GEPSNONPILOT/Tender/SplashBidNoticeAbstractUI.aspx?menuIndex=3&amp;refID=7055089&amp;Result=3","7055089")</f>
        <v>0</v>
      </c>
      <c r="B9972" t="s">
        <v>2774</v>
      </c>
      <c r="C9972" t="s">
        <v>12970</v>
      </c>
      <c r="D9972" t="s">
        <v>18827</v>
      </c>
      <c r="E9972" t="s">
        <v>27530</v>
      </c>
      <c r="F9972" t="s">
        <v>32664</v>
      </c>
      <c r="G9972" t="s">
        <v>32671</v>
      </c>
      <c r="H9972" t="s">
        <v>32683</v>
      </c>
      <c r="I9972" t="s">
        <v>10627</v>
      </c>
      <c r="J9972" t="s">
        <v>38782</v>
      </c>
      <c r="K9972" t="s">
        <v>42330</v>
      </c>
      <c r="M9972" t="s">
        <v>45614</v>
      </c>
      <c r="N9972" t="s">
        <v>46569</v>
      </c>
      <c r="O9972" t="s">
        <v>46570</v>
      </c>
      <c r="P9972">
        <v>0</v>
      </c>
      <c r="Q9972">
        <v>0</v>
      </c>
      <c r="R9972" t="s">
        <v>46577</v>
      </c>
      <c r="S9972" t="s">
        <v>46808</v>
      </c>
      <c r="T9972" t="s">
        <v>48473</v>
      </c>
      <c r="U9972" t="s">
        <v>56809</v>
      </c>
      <c r="W9972" t="s">
        <v>45614</v>
      </c>
      <c r="X9972" t="s">
        <v>46578</v>
      </c>
    </row>
    <row r="9973" spans="1:24">
      <c r="A9973">
        <f>HYPERLINK("https://www.philgeps.gov.ph/GEPSNONPILOT/Tender/SplashBidNoticeAbstractUI.aspx?menuIndex=3&amp;refID=7055079&amp;Result=3","7055079")</f>
        <v>0</v>
      </c>
      <c r="B9973" t="s">
        <v>418</v>
      </c>
      <c r="C9973" t="s">
        <v>12971</v>
      </c>
      <c r="D9973" t="s">
        <v>18784</v>
      </c>
      <c r="E9973" t="s">
        <v>27531</v>
      </c>
      <c r="F9973" t="s">
        <v>32664</v>
      </c>
      <c r="G9973" t="s">
        <v>32672</v>
      </c>
      <c r="H9973" t="s">
        <v>12635</v>
      </c>
      <c r="I9973" t="s">
        <v>6628</v>
      </c>
      <c r="J9973" t="s">
        <v>38783</v>
      </c>
      <c r="K9973" t="s">
        <v>42289</v>
      </c>
      <c r="M9973" t="s">
        <v>42989</v>
      </c>
      <c r="N9973" t="s">
        <v>46569</v>
      </c>
      <c r="O9973" t="s">
        <v>46570</v>
      </c>
      <c r="P9973">
        <v>0</v>
      </c>
      <c r="Q9973">
        <v>2</v>
      </c>
      <c r="R9973" t="s">
        <v>46577</v>
      </c>
      <c r="S9973" t="s">
        <v>46808</v>
      </c>
      <c r="T9973" t="s">
        <v>48307</v>
      </c>
      <c r="U9973" t="s">
        <v>56810</v>
      </c>
      <c r="W9973" t="s">
        <v>42989</v>
      </c>
      <c r="X9973" t="s">
        <v>46578</v>
      </c>
    </row>
    <row r="9974" spans="1:24">
      <c r="A9974">
        <f>HYPERLINK("https://www.philgeps.gov.ph/GEPSNONPILOT/Tender/SplashBidNoticeAbstractUI.aspx?menuIndex=3&amp;refID=7055087&amp;Result=3","7055087")</f>
        <v>0</v>
      </c>
      <c r="B9974" t="s">
        <v>1946</v>
      </c>
      <c r="C9974" t="s">
        <v>12972</v>
      </c>
      <c r="D9974" t="s">
        <v>18843</v>
      </c>
      <c r="E9974" t="s">
        <v>27532</v>
      </c>
      <c r="F9974" t="s">
        <v>32664</v>
      </c>
      <c r="G9974" t="s">
        <v>32672</v>
      </c>
      <c r="H9974" t="s">
        <v>32683</v>
      </c>
      <c r="I9974" t="s">
        <v>10627</v>
      </c>
      <c r="J9974" t="s">
        <v>38784</v>
      </c>
      <c r="K9974" t="s">
        <v>42331</v>
      </c>
      <c r="M9974" t="s">
        <v>44673</v>
      </c>
      <c r="N9974" t="s">
        <v>46569</v>
      </c>
      <c r="O9974" t="s">
        <v>46570</v>
      </c>
      <c r="P9974">
        <v>0</v>
      </c>
      <c r="Q9974">
        <v>0</v>
      </c>
      <c r="R9974" t="s">
        <v>46577</v>
      </c>
      <c r="S9974" t="s">
        <v>46808</v>
      </c>
      <c r="T9974" t="s">
        <v>48305</v>
      </c>
      <c r="U9974" t="s">
        <v>56811</v>
      </c>
      <c r="W9974" t="s">
        <v>44673</v>
      </c>
      <c r="X9974" t="s">
        <v>46578</v>
      </c>
    </row>
    <row r="9975" spans="1:24">
      <c r="A9975">
        <f>HYPERLINK("https://www.philgeps.gov.ph/GEPSNONPILOT/Tender/SplashBidNoticeAbstractUI.aspx?menuIndex=3&amp;refID=7055074&amp;Result=3","7055074")</f>
        <v>0</v>
      </c>
      <c r="B9975" t="s">
        <v>2105</v>
      </c>
      <c r="C9975" t="s">
        <v>9486</v>
      </c>
      <c r="D9975" t="s">
        <v>18857</v>
      </c>
      <c r="E9975" t="s">
        <v>27533</v>
      </c>
      <c r="F9975" t="s">
        <v>32664</v>
      </c>
      <c r="G9975" t="s">
        <v>32672</v>
      </c>
      <c r="H9975" t="s">
        <v>12635</v>
      </c>
      <c r="I9975" t="s">
        <v>9486</v>
      </c>
      <c r="J9975" t="s">
        <v>38469</v>
      </c>
      <c r="K9975" t="s">
        <v>42289</v>
      </c>
      <c r="M9975" t="s">
        <v>44860</v>
      </c>
      <c r="N9975" t="s">
        <v>46569</v>
      </c>
      <c r="O9975" t="s">
        <v>46570</v>
      </c>
      <c r="P9975">
        <v>0</v>
      </c>
      <c r="Q9975">
        <v>3</v>
      </c>
      <c r="R9975" t="s">
        <v>46577</v>
      </c>
      <c r="S9975" t="s">
        <v>46808</v>
      </c>
      <c r="T9975" t="s">
        <v>48307</v>
      </c>
      <c r="U9975" t="s">
        <v>56812</v>
      </c>
      <c r="W9975" t="s">
        <v>44860</v>
      </c>
      <c r="X9975" t="s">
        <v>46578</v>
      </c>
    </row>
    <row r="9976" spans="1:24">
      <c r="A9976">
        <f>HYPERLINK("https://www.philgeps.gov.ph/GEPSNONPILOT/Tender/SplashBidNoticeAbstractUI.aspx?menuIndex=3&amp;refID=7055034&amp;Result=3","7055034")</f>
        <v>0</v>
      </c>
      <c r="B9976" t="s">
        <v>1150</v>
      </c>
      <c r="C9976" t="s">
        <v>7075</v>
      </c>
      <c r="D9976" t="s">
        <v>18845</v>
      </c>
      <c r="E9976" t="s">
        <v>27534</v>
      </c>
      <c r="F9976" t="s">
        <v>32664</v>
      </c>
      <c r="G9976" t="s">
        <v>32671</v>
      </c>
      <c r="H9976" t="s">
        <v>12635</v>
      </c>
      <c r="I9976" t="s">
        <v>32685</v>
      </c>
      <c r="J9976" t="s">
        <v>33466</v>
      </c>
      <c r="K9976" t="s">
        <v>42283</v>
      </c>
      <c r="M9976" t="s">
        <v>43781</v>
      </c>
      <c r="N9976" t="s">
        <v>46569</v>
      </c>
      <c r="O9976" t="s">
        <v>46570</v>
      </c>
      <c r="P9976">
        <v>0</v>
      </c>
      <c r="Q9976">
        <v>0</v>
      </c>
      <c r="R9976" t="s">
        <v>46577</v>
      </c>
      <c r="S9976" t="s">
        <v>46808</v>
      </c>
      <c r="T9976" t="s">
        <v>48449</v>
      </c>
      <c r="U9976" t="s">
        <v>56813</v>
      </c>
      <c r="W9976" t="s">
        <v>43781</v>
      </c>
      <c r="X9976" t="s">
        <v>46578</v>
      </c>
    </row>
    <row r="9977" spans="1:24">
      <c r="A9977">
        <f>HYPERLINK("https://www.philgeps.gov.ph/GEPSNONPILOT/Tender/SplashBidNoticeAbstractUI.aspx?menuIndex=3&amp;refID=7055150&amp;Result=3","7055150")</f>
        <v>0</v>
      </c>
      <c r="B9977" t="s">
        <v>418</v>
      </c>
      <c r="C9977" t="s">
        <v>12973</v>
      </c>
      <c r="D9977" t="s">
        <v>18784</v>
      </c>
      <c r="E9977" t="s">
        <v>27535</v>
      </c>
      <c r="F9977" t="s">
        <v>32664</v>
      </c>
      <c r="G9977" t="s">
        <v>32672</v>
      </c>
      <c r="H9977" t="s">
        <v>12635</v>
      </c>
      <c r="I9977" t="s">
        <v>6223</v>
      </c>
      <c r="J9977" t="s">
        <v>38785</v>
      </c>
      <c r="K9977" t="s">
        <v>42289</v>
      </c>
      <c r="M9977" t="s">
        <v>42989</v>
      </c>
      <c r="N9977" t="s">
        <v>46569</v>
      </c>
      <c r="O9977" t="s">
        <v>46570</v>
      </c>
      <c r="P9977">
        <v>0</v>
      </c>
      <c r="Q9977">
        <v>1</v>
      </c>
      <c r="R9977" t="s">
        <v>46577</v>
      </c>
      <c r="S9977" t="s">
        <v>46808</v>
      </c>
      <c r="T9977" t="s">
        <v>48307</v>
      </c>
      <c r="U9977" t="s">
        <v>49872</v>
      </c>
      <c r="W9977" t="s">
        <v>42989</v>
      </c>
      <c r="X9977" t="s">
        <v>46578</v>
      </c>
    </row>
    <row r="9978" spans="1:24">
      <c r="A9978">
        <f>HYPERLINK("https://www.philgeps.gov.ph/GEPSNONPILOT/Tender/SplashBidNoticeAbstractUI.aspx?menuIndex=3&amp;refID=7055149&amp;Result=3","7055149")</f>
        <v>0</v>
      </c>
      <c r="B9978" t="s">
        <v>2775</v>
      </c>
      <c r="C9978" t="s">
        <v>12974</v>
      </c>
      <c r="D9978" t="s">
        <v>18850</v>
      </c>
      <c r="E9978" t="s">
        <v>27536</v>
      </c>
      <c r="F9978" t="s">
        <v>32665</v>
      </c>
      <c r="G9978" t="s">
        <v>32672</v>
      </c>
      <c r="H9978" t="s">
        <v>12635</v>
      </c>
      <c r="I9978" t="s">
        <v>4439</v>
      </c>
      <c r="J9978" t="s">
        <v>38786</v>
      </c>
      <c r="K9978" t="s">
        <v>42298</v>
      </c>
      <c r="M9978" t="s">
        <v>45615</v>
      </c>
      <c r="N9978" t="s">
        <v>46569</v>
      </c>
      <c r="O9978" t="s">
        <v>46570</v>
      </c>
      <c r="P9978">
        <v>0</v>
      </c>
      <c r="Q9978">
        <v>0</v>
      </c>
      <c r="R9978" t="s">
        <v>46577</v>
      </c>
      <c r="S9978" t="s">
        <v>46808</v>
      </c>
      <c r="T9978" t="s">
        <v>48248</v>
      </c>
      <c r="U9978" t="s">
        <v>56814</v>
      </c>
      <c r="W9978" t="s">
        <v>45615</v>
      </c>
      <c r="X9978" t="s">
        <v>46578</v>
      </c>
    </row>
    <row r="9979" spans="1:24">
      <c r="A9979">
        <f>HYPERLINK("https://www.philgeps.gov.ph/GEPSNONPILOT/Tender/SplashBidNoticeAbstractUI.aspx?menuIndex=3&amp;refID=7055075&amp;Result=3","7055075")</f>
        <v>0</v>
      </c>
      <c r="B9979" t="s">
        <v>884</v>
      </c>
      <c r="C9979" t="s">
        <v>12975</v>
      </c>
      <c r="D9979" t="s">
        <v>18816</v>
      </c>
      <c r="E9979" t="s">
        <v>27537</v>
      </c>
      <c r="F9979" t="s">
        <v>32664</v>
      </c>
      <c r="G9979" t="s">
        <v>32672</v>
      </c>
      <c r="H9979" t="s">
        <v>12635</v>
      </c>
      <c r="I9979" t="s">
        <v>4439</v>
      </c>
      <c r="J9979" t="s">
        <v>38787</v>
      </c>
      <c r="K9979" t="s">
        <v>42289</v>
      </c>
      <c r="M9979" t="s">
        <v>43485</v>
      </c>
      <c r="N9979" t="s">
        <v>46569</v>
      </c>
      <c r="O9979" t="s">
        <v>46570</v>
      </c>
      <c r="P9979">
        <v>0</v>
      </c>
      <c r="Q9979">
        <v>1</v>
      </c>
      <c r="R9979" t="s">
        <v>46577</v>
      </c>
      <c r="S9979" t="s">
        <v>46808</v>
      </c>
      <c r="T9979" t="s">
        <v>48405</v>
      </c>
      <c r="U9979" t="s">
        <v>56815</v>
      </c>
      <c r="W9979" t="s">
        <v>43485</v>
      </c>
      <c r="X9979" t="s">
        <v>46578</v>
      </c>
    </row>
    <row r="9980" spans="1:24">
      <c r="A9980">
        <f>HYPERLINK("https://www.philgeps.gov.ph/GEPSNONPILOT/Tender/SplashBidNoticeAbstractUI.aspx?menuIndex=3&amp;refID=7055143&amp;Result=3","7055143")</f>
        <v>0</v>
      </c>
      <c r="B9980" t="s">
        <v>757</v>
      </c>
      <c r="C9980" t="s">
        <v>12976</v>
      </c>
      <c r="D9980" t="s">
        <v>18817</v>
      </c>
      <c r="E9980" t="s">
        <v>27538</v>
      </c>
      <c r="F9980" t="s">
        <v>32664</v>
      </c>
      <c r="G9980" t="s">
        <v>32672</v>
      </c>
      <c r="H9980" t="s">
        <v>12635</v>
      </c>
      <c r="I9980" t="s">
        <v>8730</v>
      </c>
      <c r="J9980" t="s">
        <v>38788</v>
      </c>
      <c r="K9980" t="s">
        <v>42281</v>
      </c>
      <c r="M9980" t="s">
        <v>43347</v>
      </c>
      <c r="N9980" t="s">
        <v>46569</v>
      </c>
      <c r="O9980" t="s">
        <v>46570</v>
      </c>
      <c r="P9980">
        <v>0</v>
      </c>
      <c r="Q9980">
        <v>2</v>
      </c>
      <c r="R9980" t="s">
        <v>46577</v>
      </c>
      <c r="S9980" t="s">
        <v>46808</v>
      </c>
      <c r="T9980" t="s">
        <v>48244</v>
      </c>
      <c r="U9980" t="s">
        <v>56816</v>
      </c>
      <c r="W9980" t="s">
        <v>43347</v>
      </c>
      <c r="X9980" t="s">
        <v>46578</v>
      </c>
    </row>
    <row r="9981" spans="1:24">
      <c r="A9981">
        <f>HYPERLINK("https://www.philgeps.gov.ph/GEPSNONPILOT/Tender/SplashBidNoticeAbstractUI.aspx?menuIndex=3&amp;refID=7055092&amp;Result=3","7055092")</f>
        <v>0</v>
      </c>
      <c r="B9981" t="s">
        <v>2773</v>
      </c>
      <c r="C9981" t="s">
        <v>12977</v>
      </c>
      <c r="D9981" t="s">
        <v>18814</v>
      </c>
      <c r="E9981" t="s">
        <v>27539</v>
      </c>
      <c r="F9981" t="s">
        <v>32664</v>
      </c>
      <c r="G9981" t="s">
        <v>32672</v>
      </c>
      <c r="H9981" t="s">
        <v>32683</v>
      </c>
      <c r="I9981" t="s">
        <v>10627</v>
      </c>
      <c r="J9981" t="s">
        <v>38789</v>
      </c>
      <c r="K9981" t="s">
        <v>42290</v>
      </c>
      <c r="M9981" t="s">
        <v>45613</v>
      </c>
      <c r="N9981" t="s">
        <v>46569</v>
      </c>
      <c r="O9981" t="s">
        <v>46570</v>
      </c>
      <c r="P9981">
        <v>0</v>
      </c>
      <c r="Q9981">
        <v>26</v>
      </c>
      <c r="R9981" t="s">
        <v>46577</v>
      </c>
      <c r="S9981" t="s">
        <v>46808</v>
      </c>
      <c r="T9981" t="s">
        <v>48213</v>
      </c>
      <c r="U9981" t="s">
        <v>56817</v>
      </c>
      <c r="V9981" t="s">
        <v>62673</v>
      </c>
      <c r="W9981" t="s">
        <v>45613</v>
      </c>
      <c r="X9981" t="s">
        <v>46578</v>
      </c>
    </row>
    <row r="9982" spans="1:24">
      <c r="A9982">
        <f>HYPERLINK("https://www.philgeps.gov.ph/GEPSNONPILOT/Tender/SplashBidNoticeAbstractUI.aspx?menuIndex=3&amp;refID=7055147&amp;Result=3","7055147")</f>
        <v>0</v>
      </c>
      <c r="B9982" t="s">
        <v>2726</v>
      </c>
      <c r="C9982" t="s">
        <v>12978</v>
      </c>
      <c r="D9982" t="s">
        <v>18794</v>
      </c>
      <c r="E9982" t="s">
        <v>27540</v>
      </c>
      <c r="F9982" t="s">
        <v>32664</v>
      </c>
      <c r="G9982" t="s">
        <v>32671</v>
      </c>
      <c r="H9982" t="s">
        <v>12635</v>
      </c>
      <c r="I9982" t="s">
        <v>32711</v>
      </c>
      <c r="J9982" t="s">
        <v>35261</v>
      </c>
      <c r="K9982" t="s">
        <v>42281</v>
      </c>
      <c r="M9982" t="s">
        <v>45556</v>
      </c>
      <c r="N9982" t="s">
        <v>46569</v>
      </c>
      <c r="O9982" t="s">
        <v>46570</v>
      </c>
      <c r="P9982">
        <v>0</v>
      </c>
      <c r="Q9982">
        <v>0</v>
      </c>
      <c r="R9982" t="s">
        <v>46577</v>
      </c>
      <c r="S9982" t="s">
        <v>46808</v>
      </c>
      <c r="T9982" t="s">
        <v>48448</v>
      </c>
      <c r="U9982" t="s">
        <v>56818</v>
      </c>
      <c r="W9982" t="s">
        <v>45556</v>
      </c>
      <c r="X9982" t="s">
        <v>46578</v>
      </c>
    </row>
    <row r="9983" spans="1:24">
      <c r="A9983">
        <f>HYPERLINK("https://www.philgeps.gov.ph/GEPSNONPILOT/Tender/SplashBidNoticeAbstractUI.aspx?menuIndex=3&amp;refID=7055142&amp;Result=3","7055142")</f>
        <v>0</v>
      </c>
      <c r="B9983" t="s">
        <v>2737</v>
      </c>
      <c r="C9983" t="s">
        <v>12979</v>
      </c>
      <c r="D9983" t="s">
        <v>18792</v>
      </c>
      <c r="E9983" t="s">
        <v>27541</v>
      </c>
      <c r="F9983" t="s">
        <v>32666</v>
      </c>
      <c r="G9983" t="s">
        <v>32674</v>
      </c>
      <c r="H9983" t="s">
        <v>12635</v>
      </c>
      <c r="I9983" t="s">
        <v>32697</v>
      </c>
      <c r="J9983" t="s">
        <v>34041</v>
      </c>
      <c r="K9983" t="s">
        <v>42283</v>
      </c>
      <c r="M9983" t="s">
        <v>45571</v>
      </c>
      <c r="N9983" t="s">
        <v>46569</v>
      </c>
      <c r="O9983" t="s">
        <v>46570</v>
      </c>
      <c r="P9983">
        <v>0</v>
      </c>
      <c r="Q9983">
        <v>0</v>
      </c>
      <c r="R9983" t="s">
        <v>46577</v>
      </c>
      <c r="S9983" t="s">
        <v>46808</v>
      </c>
      <c r="T9983" t="s">
        <v>48256</v>
      </c>
      <c r="U9983" t="s">
        <v>56819</v>
      </c>
      <c r="W9983" t="s">
        <v>45571</v>
      </c>
      <c r="X9983" t="s">
        <v>46578</v>
      </c>
    </row>
    <row r="9984" spans="1:24">
      <c r="A9984">
        <f>HYPERLINK("https://www.philgeps.gov.ph/GEPSNONPILOT/Tender/SplashBidNoticeAbstractUI.aspx?menuIndex=3&amp;refID=7055141&amp;Result=3","7055141")</f>
        <v>0</v>
      </c>
      <c r="B9984" t="s">
        <v>2263</v>
      </c>
      <c r="C9984" t="s">
        <v>12980</v>
      </c>
      <c r="D9984" t="s">
        <v>18827</v>
      </c>
      <c r="E9984" t="s">
        <v>27542</v>
      </c>
      <c r="F9984" t="s">
        <v>32664</v>
      </c>
      <c r="G9984" t="s">
        <v>32671</v>
      </c>
      <c r="H9984" t="s">
        <v>12635</v>
      </c>
      <c r="I9984" t="s">
        <v>9486</v>
      </c>
      <c r="J9984" t="s">
        <v>33338</v>
      </c>
      <c r="K9984" t="s">
        <v>42306</v>
      </c>
      <c r="M9984" t="s">
        <v>45029</v>
      </c>
      <c r="N9984" t="s">
        <v>46569</v>
      </c>
      <c r="O9984" t="s">
        <v>46570</v>
      </c>
      <c r="P9984">
        <v>0</v>
      </c>
      <c r="Q9984">
        <v>0</v>
      </c>
      <c r="R9984" t="s">
        <v>46577</v>
      </c>
      <c r="S9984" t="s">
        <v>46808</v>
      </c>
      <c r="T9984" t="s">
        <v>48290</v>
      </c>
      <c r="U9984" t="s">
        <v>56820</v>
      </c>
      <c r="W9984" t="s">
        <v>45029</v>
      </c>
      <c r="X9984" t="s">
        <v>46578</v>
      </c>
    </row>
    <row r="9985" spans="1:24">
      <c r="A9985">
        <f>HYPERLINK("https://www.philgeps.gov.ph/GEPSNONPILOT/Tender/SplashBidNoticeAbstractUI.aspx?menuIndex=3&amp;refID=7055140&amp;Result=3","7055140")</f>
        <v>0</v>
      </c>
      <c r="B9985" t="s">
        <v>925</v>
      </c>
      <c r="C9985" t="s">
        <v>12981</v>
      </c>
      <c r="D9985" t="s">
        <v>18836</v>
      </c>
      <c r="E9985" t="s">
        <v>27543</v>
      </c>
      <c r="F9985" t="s">
        <v>32664</v>
      </c>
      <c r="G9985" t="s">
        <v>32672</v>
      </c>
      <c r="H9985" t="s">
        <v>32683</v>
      </c>
      <c r="I9985" t="s">
        <v>10627</v>
      </c>
      <c r="J9985" t="s">
        <v>33761</v>
      </c>
      <c r="K9985" t="s">
        <v>42290</v>
      </c>
      <c r="M9985" t="s">
        <v>43531</v>
      </c>
      <c r="N9985" t="s">
        <v>46569</v>
      </c>
      <c r="O9985" t="s">
        <v>46570</v>
      </c>
      <c r="P9985">
        <v>0</v>
      </c>
      <c r="Q9985">
        <v>2</v>
      </c>
      <c r="R9985" t="s">
        <v>46577</v>
      </c>
      <c r="S9985" t="s">
        <v>46808</v>
      </c>
      <c r="T9985" t="s">
        <v>48256</v>
      </c>
      <c r="U9985" t="s">
        <v>56821</v>
      </c>
      <c r="W9985" t="s">
        <v>43531</v>
      </c>
      <c r="X9985" t="s">
        <v>46578</v>
      </c>
    </row>
    <row r="9986" spans="1:24">
      <c r="A9986">
        <f>HYPERLINK("https://www.philgeps.gov.ph/GEPSNONPILOT/Tender/SplashBidNoticeAbstractUI.aspx?menuIndex=3&amp;refID=7055136&amp;Result=3","7055136")</f>
        <v>0</v>
      </c>
      <c r="B9986" t="s">
        <v>418</v>
      </c>
      <c r="C9986" t="s">
        <v>12982</v>
      </c>
      <c r="D9986" t="s">
        <v>18784</v>
      </c>
      <c r="E9986" t="s">
        <v>27544</v>
      </c>
      <c r="F9986" t="s">
        <v>32664</v>
      </c>
      <c r="G9986" t="s">
        <v>32672</v>
      </c>
      <c r="H9986" t="s">
        <v>12635</v>
      </c>
      <c r="I9986" t="s">
        <v>6168</v>
      </c>
      <c r="J9986" t="s">
        <v>38790</v>
      </c>
      <c r="K9986" t="s">
        <v>42289</v>
      </c>
      <c r="M9986" t="s">
        <v>42989</v>
      </c>
      <c r="N9986" t="s">
        <v>46569</v>
      </c>
      <c r="O9986" t="s">
        <v>46570</v>
      </c>
      <c r="P9986">
        <v>0</v>
      </c>
      <c r="Q9986">
        <v>1</v>
      </c>
      <c r="R9986" t="s">
        <v>46577</v>
      </c>
      <c r="S9986" t="s">
        <v>46808</v>
      </c>
      <c r="T9986" t="s">
        <v>48307</v>
      </c>
      <c r="U9986" t="s">
        <v>49404</v>
      </c>
      <c r="W9986" t="s">
        <v>42989</v>
      </c>
      <c r="X9986" t="s">
        <v>46578</v>
      </c>
    </row>
    <row r="9987" spans="1:24">
      <c r="A9987">
        <f>HYPERLINK("https://www.philgeps.gov.ph/GEPSNONPILOT/Tender/SplashBidNoticeAbstractUI.aspx?menuIndex=3&amp;refID=7055131&amp;Result=3","7055131")</f>
        <v>0</v>
      </c>
      <c r="B9987" t="s">
        <v>2773</v>
      </c>
      <c r="C9987" t="s">
        <v>12983</v>
      </c>
      <c r="D9987" t="s">
        <v>18814</v>
      </c>
      <c r="E9987" t="s">
        <v>27545</v>
      </c>
      <c r="F9987" t="s">
        <v>32664</v>
      </c>
      <c r="G9987" t="s">
        <v>32672</v>
      </c>
      <c r="H9987" t="s">
        <v>32683</v>
      </c>
      <c r="I9987" t="s">
        <v>10627</v>
      </c>
      <c r="J9987" t="s">
        <v>38791</v>
      </c>
      <c r="K9987" t="s">
        <v>42290</v>
      </c>
      <c r="M9987" t="s">
        <v>45613</v>
      </c>
      <c r="N9987" t="s">
        <v>46569</v>
      </c>
      <c r="O9987" t="s">
        <v>46570</v>
      </c>
      <c r="P9987">
        <v>0</v>
      </c>
      <c r="Q9987">
        <v>25</v>
      </c>
      <c r="R9987" t="s">
        <v>46577</v>
      </c>
      <c r="S9987" t="s">
        <v>46808</v>
      </c>
      <c r="T9987" t="s">
        <v>48213</v>
      </c>
      <c r="U9987" t="s">
        <v>56822</v>
      </c>
      <c r="V9987" t="s">
        <v>62673</v>
      </c>
      <c r="W9987" t="s">
        <v>45613</v>
      </c>
      <c r="X9987" t="s">
        <v>46578</v>
      </c>
    </row>
    <row r="9988" spans="1:24">
      <c r="A9988">
        <f>HYPERLINK("https://www.philgeps.gov.ph/GEPSNONPILOT/Tender/SplashBidNoticeAbstractUI.aspx?menuIndex=3&amp;refID=7055126&amp;Result=3","7055126")</f>
        <v>0</v>
      </c>
      <c r="B9988" t="s">
        <v>1150</v>
      </c>
      <c r="C9988" t="s">
        <v>7075</v>
      </c>
      <c r="D9988" t="s">
        <v>18845</v>
      </c>
      <c r="E9988" t="s">
        <v>27546</v>
      </c>
      <c r="F9988" t="s">
        <v>32664</v>
      </c>
      <c r="G9988" t="s">
        <v>32671</v>
      </c>
      <c r="H9988" t="s">
        <v>12635</v>
      </c>
      <c r="I9988" t="s">
        <v>32685</v>
      </c>
      <c r="J9988" t="s">
        <v>32931</v>
      </c>
      <c r="K9988" t="s">
        <v>42283</v>
      </c>
      <c r="M9988" t="s">
        <v>43781</v>
      </c>
      <c r="N9988" t="s">
        <v>46569</v>
      </c>
      <c r="O9988" t="s">
        <v>46570</v>
      </c>
      <c r="P9988">
        <v>0</v>
      </c>
      <c r="Q9988">
        <v>0</v>
      </c>
      <c r="R9988" t="s">
        <v>46577</v>
      </c>
      <c r="S9988" t="s">
        <v>46808</v>
      </c>
      <c r="T9988" t="s">
        <v>48449</v>
      </c>
      <c r="U9988" t="s">
        <v>56823</v>
      </c>
      <c r="W9988" t="s">
        <v>43781</v>
      </c>
      <c r="X9988" t="s">
        <v>46578</v>
      </c>
    </row>
    <row r="9989" spans="1:24">
      <c r="A9989">
        <f>HYPERLINK("https://www.philgeps.gov.ph/GEPSNONPILOT/Tender/SplashBidNoticeAbstractUI.aspx?menuIndex=3&amp;refID=7055157&amp;Result=3","7055157")</f>
        <v>0</v>
      </c>
      <c r="B9989" t="s">
        <v>2776</v>
      </c>
      <c r="C9989" t="s">
        <v>12984</v>
      </c>
      <c r="D9989" t="s">
        <v>18842</v>
      </c>
      <c r="E9989" t="s">
        <v>27547</v>
      </c>
      <c r="F9989" t="s">
        <v>32664</v>
      </c>
      <c r="G9989" t="s">
        <v>32672</v>
      </c>
      <c r="H9989" t="s">
        <v>12635</v>
      </c>
      <c r="I9989" t="s">
        <v>4439</v>
      </c>
      <c r="J9989" t="s">
        <v>38792</v>
      </c>
      <c r="K9989" t="s">
        <v>42281</v>
      </c>
      <c r="M9989" t="s">
        <v>45616</v>
      </c>
      <c r="N9989" t="s">
        <v>46569</v>
      </c>
      <c r="O9989" t="s">
        <v>46570</v>
      </c>
      <c r="P9989">
        <v>0</v>
      </c>
      <c r="Q9989">
        <v>0</v>
      </c>
      <c r="R9989" t="s">
        <v>46577</v>
      </c>
      <c r="S9989" t="s">
        <v>46808</v>
      </c>
      <c r="T9989" t="s">
        <v>48213</v>
      </c>
      <c r="U9989" t="s">
        <v>56824</v>
      </c>
      <c r="W9989" t="s">
        <v>63570</v>
      </c>
      <c r="X9989" t="s">
        <v>46578</v>
      </c>
    </row>
    <row r="9990" spans="1:24">
      <c r="A9990">
        <f>HYPERLINK("https://www.philgeps.gov.ph/GEPSNONPILOT/Tender/SplashBidNoticeAbstractUI.aspx?menuIndex=3&amp;refID=7055148&amp;Result=3","7055148")</f>
        <v>0</v>
      </c>
      <c r="B9990" t="s">
        <v>2105</v>
      </c>
      <c r="C9990" t="s">
        <v>5823</v>
      </c>
      <c r="D9990" t="s">
        <v>18857</v>
      </c>
      <c r="E9990" t="s">
        <v>27548</v>
      </c>
      <c r="F9990" t="s">
        <v>32664</v>
      </c>
      <c r="G9990" t="s">
        <v>32672</v>
      </c>
      <c r="H9990" t="s">
        <v>32683</v>
      </c>
      <c r="I9990" t="s">
        <v>10627</v>
      </c>
      <c r="J9990" t="s">
        <v>38793</v>
      </c>
      <c r="K9990" t="s">
        <v>42313</v>
      </c>
      <c r="M9990" t="s">
        <v>44860</v>
      </c>
      <c r="N9990" t="s">
        <v>46569</v>
      </c>
      <c r="O9990" t="s">
        <v>46570</v>
      </c>
      <c r="P9990">
        <v>0</v>
      </c>
      <c r="Q9990">
        <v>0</v>
      </c>
      <c r="R9990" t="s">
        <v>46577</v>
      </c>
      <c r="S9990" t="s">
        <v>46808</v>
      </c>
      <c r="T9990" t="s">
        <v>48262</v>
      </c>
      <c r="U9990" t="s">
        <v>56825</v>
      </c>
      <c r="W9990" t="s">
        <v>44860</v>
      </c>
      <c r="X9990" t="s">
        <v>46578</v>
      </c>
    </row>
    <row r="9991" spans="1:24">
      <c r="A9991">
        <f>HYPERLINK("https://www.philgeps.gov.ph/GEPSNONPILOT/Tender/SplashBidNoticeAbstractUI.aspx?menuIndex=3&amp;refID=7055139&amp;Result=3","7055139")</f>
        <v>0</v>
      </c>
      <c r="B9991" t="s">
        <v>2777</v>
      </c>
      <c r="C9991" t="s">
        <v>12985</v>
      </c>
      <c r="E9991" t="s">
        <v>27549</v>
      </c>
      <c r="F9991" t="s">
        <v>32664</v>
      </c>
      <c r="G9991" t="s">
        <v>32672</v>
      </c>
      <c r="H9991" t="s">
        <v>32682</v>
      </c>
      <c r="I9991" t="s">
        <v>32716</v>
      </c>
      <c r="J9991" t="s">
        <v>33051</v>
      </c>
      <c r="K9991" t="s">
        <v>42281</v>
      </c>
      <c r="M9991" t="s">
        <v>45617</v>
      </c>
      <c r="N9991" t="s">
        <v>46569</v>
      </c>
      <c r="O9991" t="s">
        <v>46570</v>
      </c>
      <c r="P9991">
        <v>0</v>
      </c>
      <c r="Q9991">
        <v>1</v>
      </c>
      <c r="R9991" t="s">
        <v>46577</v>
      </c>
      <c r="S9991" t="s">
        <v>46808</v>
      </c>
      <c r="T9991" t="s">
        <v>48254</v>
      </c>
      <c r="U9991" t="s">
        <v>56826</v>
      </c>
      <c r="V9991" t="s">
        <v>62076</v>
      </c>
      <c r="W9991" t="s">
        <v>45617</v>
      </c>
      <c r="X9991" t="s">
        <v>46578</v>
      </c>
    </row>
    <row r="9992" spans="1:24">
      <c r="A9992">
        <f>HYPERLINK("https://www.philgeps.gov.ph/GEPSNONPILOT/Tender/SplashBidNoticeAbstractUI.aspx?menuIndex=3&amp;refID=7055187&amp;Result=3","7055187")</f>
        <v>0</v>
      </c>
      <c r="B9992" t="s">
        <v>2141</v>
      </c>
      <c r="C9992" t="s">
        <v>12986</v>
      </c>
      <c r="D9992" t="s">
        <v>18781</v>
      </c>
      <c r="E9992" t="s">
        <v>27550</v>
      </c>
      <c r="F9992" t="s">
        <v>32664</v>
      </c>
      <c r="G9992" t="s">
        <v>32671</v>
      </c>
      <c r="H9992" t="s">
        <v>32683</v>
      </c>
      <c r="I9992" t="s">
        <v>10627</v>
      </c>
      <c r="J9992" t="s">
        <v>38794</v>
      </c>
      <c r="K9992" t="s">
        <v>42281</v>
      </c>
      <c r="M9992" t="s">
        <v>44896</v>
      </c>
      <c r="N9992" t="s">
        <v>46569</v>
      </c>
      <c r="O9992" t="s">
        <v>46570</v>
      </c>
      <c r="P9992">
        <v>0</v>
      </c>
      <c r="Q9992">
        <v>1</v>
      </c>
      <c r="R9992" t="s">
        <v>46577</v>
      </c>
      <c r="S9992" t="s">
        <v>46808</v>
      </c>
      <c r="T9992" t="s">
        <v>48473</v>
      </c>
      <c r="U9992" t="s">
        <v>56827</v>
      </c>
      <c r="W9992" t="s">
        <v>44896</v>
      </c>
      <c r="X9992" t="s">
        <v>46578</v>
      </c>
    </row>
    <row r="9993" spans="1:24">
      <c r="A9993">
        <f>HYPERLINK("https://www.philgeps.gov.ph/GEPSNONPILOT/Tender/SplashBidNoticeAbstractUI.aspx?menuIndex=3&amp;refID=7055145&amp;Result=3","7055145")</f>
        <v>0</v>
      </c>
      <c r="B9993" t="s">
        <v>2778</v>
      </c>
      <c r="C9993" t="s">
        <v>12987</v>
      </c>
      <c r="D9993" t="s">
        <v>18837</v>
      </c>
      <c r="E9993" t="s">
        <v>27551</v>
      </c>
      <c r="F9993" t="s">
        <v>32664</v>
      </c>
      <c r="G9993" t="s">
        <v>32672</v>
      </c>
      <c r="H9993" t="s">
        <v>12635</v>
      </c>
      <c r="I9993" t="s">
        <v>32706</v>
      </c>
      <c r="J9993" t="s">
        <v>38795</v>
      </c>
      <c r="K9993" t="s">
        <v>42289</v>
      </c>
      <c r="L9993" t="s">
        <v>2778</v>
      </c>
      <c r="M9993" t="s">
        <v>45618</v>
      </c>
      <c r="N9993" t="s">
        <v>46569</v>
      </c>
      <c r="O9993" t="s">
        <v>46570</v>
      </c>
      <c r="P9993">
        <v>0</v>
      </c>
      <c r="Q9993">
        <v>1</v>
      </c>
      <c r="R9993" t="s">
        <v>46577</v>
      </c>
      <c r="S9993" t="s">
        <v>46808</v>
      </c>
      <c r="T9993" t="s">
        <v>48479</v>
      </c>
      <c r="U9993" t="s">
        <v>56828</v>
      </c>
      <c r="W9993" t="s">
        <v>45618</v>
      </c>
      <c r="X9993" t="s">
        <v>46578</v>
      </c>
    </row>
    <row r="9994" spans="1:24">
      <c r="A9994">
        <f>HYPERLINK("https://www.philgeps.gov.ph/GEPSNONPILOT/Tender/SplashBidNoticeAbstractUI.aspx?menuIndex=3&amp;refID=7055125&amp;Result=3","7055125")</f>
        <v>0</v>
      </c>
      <c r="B9994" t="s">
        <v>2737</v>
      </c>
      <c r="C9994" t="s">
        <v>12988</v>
      </c>
      <c r="D9994" t="s">
        <v>18792</v>
      </c>
      <c r="E9994" t="s">
        <v>27552</v>
      </c>
      <c r="F9994" t="s">
        <v>32666</v>
      </c>
      <c r="G9994" t="s">
        <v>32674</v>
      </c>
      <c r="H9994" t="s">
        <v>12635</v>
      </c>
      <c r="I9994" t="s">
        <v>32764</v>
      </c>
      <c r="J9994" t="s">
        <v>33566</v>
      </c>
      <c r="K9994" t="s">
        <v>42283</v>
      </c>
      <c r="M9994" t="s">
        <v>45571</v>
      </c>
      <c r="N9994" t="s">
        <v>46569</v>
      </c>
      <c r="O9994" t="s">
        <v>46570</v>
      </c>
      <c r="P9994">
        <v>0</v>
      </c>
      <c r="Q9994">
        <v>4</v>
      </c>
      <c r="R9994" t="s">
        <v>46577</v>
      </c>
      <c r="S9994" t="s">
        <v>46808</v>
      </c>
      <c r="T9994" t="s">
        <v>48256</v>
      </c>
      <c r="U9994" t="s">
        <v>56829</v>
      </c>
      <c r="W9994" t="s">
        <v>45571</v>
      </c>
      <c r="X9994" t="s">
        <v>46578</v>
      </c>
    </row>
    <row r="9995" spans="1:24">
      <c r="A9995">
        <f>HYPERLINK("https://www.philgeps.gov.ph/GEPSNONPILOT/Tender/SplashBidNoticeAbstractUI.aspx?menuIndex=3&amp;refID=7055182&amp;Result=3","7055182")</f>
        <v>0</v>
      </c>
      <c r="B9995" t="s">
        <v>674</v>
      </c>
      <c r="C9995" t="s">
        <v>12989</v>
      </c>
      <c r="D9995" t="s">
        <v>18821</v>
      </c>
      <c r="E9995" t="s">
        <v>27553</v>
      </c>
      <c r="F9995" t="s">
        <v>32664</v>
      </c>
      <c r="G9995" t="s">
        <v>32674</v>
      </c>
      <c r="H9995" t="s">
        <v>12635</v>
      </c>
      <c r="I9995" t="s">
        <v>6553</v>
      </c>
      <c r="J9995" t="s">
        <v>38796</v>
      </c>
      <c r="K9995" t="s">
        <v>42281</v>
      </c>
      <c r="M9995" t="s">
        <v>45619</v>
      </c>
      <c r="N9995" t="s">
        <v>46569</v>
      </c>
      <c r="O9995" t="s">
        <v>46570</v>
      </c>
      <c r="P9995">
        <v>0</v>
      </c>
      <c r="Q9995">
        <v>1</v>
      </c>
      <c r="R9995" t="s">
        <v>46577</v>
      </c>
      <c r="S9995" t="s">
        <v>46808</v>
      </c>
      <c r="T9995" t="s">
        <v>48287</v>
      </c>
      <c r="U9995" t="s">
        <v>56830</v>
      </c>
      <c r="W9995" t="s">
        <v>45619</v>
      </c>
      <c r="X9995" t="s">
        <v>46578</v>
      </c>
    </row>
    <row r="9996" spans="1:24">
      <c r="A9996">
        <f>HYPERLINK("https://www.philgeps.gov.ph/GEPSNONPILOT/Tender/SplashBidNoticeAbstractUI.aspx?menuIndex=3&amp;refID=7055180&amp;Result=3","7055180")</f>
        <v>0</v>
      </c>
      <c r="B9996" t="s">
        <v>1988</v>
      </c>
      <c r="C9996" t="s">
        <v>12990</v>
      </c>
      <c r="D9996" t="s">
        <v>18830</v>
      </c>
      <c r="E9996" t="s">
        <v>27554</v>
      </c>
      <c r="F9996" t="s">
        <v>32664</v>
      </c>
      <c r="G9996" t="s">
        <v>32671</v>
      </c>
      <c r="H9996" t="s">
        <v>12635</v>
      </c>
      <c r="I9996" t="s">
        <v>32691</v>
      </c>
      <c r="J9996" t="s">
        <v>38797</v>
      </c>
      <c r="K9996" t="s">
        <v>42339</v>
      </c>
      <c r="M9996" t="s">
        <v>45620</v>
      </c>
      <c r="N9996" t="s">
        <v>46569</v>
      </c>
      <c r="O9996" t="s">
        <v>46570</v>
      </c>
      <c r="P9996">
        <v>0</v>
      </c>
      <c r="Q9996">
        <v>3</v>
      </c>
      <c r="R9996" t="s">
        <v>46577</v>
      </c>
      <c r="S9996" t="s">
        <v>46808</v>
      </c>
      <c r="T9996" t="s">
        <v>48316</v>
      </c>
      <c r="U9996" t="s">
        <v>56831</v>
      </c>
      <c r="W9996" t="s">
        <v>45620</v>
      </c>
      <c r="X9996" t="s">
        <v>46578</v>
      </c>
    </row>
    <row r="9997" spans="1:24">
      <c r="A9997">
        <f>HYPERLINK("https://www.philgeps.gov.ph/GEPSNONPILOT/Tender/SplashBidNoticeAbstractUI.aspx?menuIndex=3&amp;refID=7055178&amp;Result=3","7055178")</f>
        <v>0</v>
      </c>
      <c r="B9997" t="s">
        <v>418</v>
      </c>
      <c r="C9997" t="s">
        <v>12991</v>
      </c>
      <c r="D9997" t="s">
        <v>18784</v>
      </c>
      <c r="E9997" t="s">
        <v>27555</v>
      </c>
      <c r="F9997" t="s">
        <v>32664</v>
      </c>
      <c r="G9997" t="s">
        <v>32672</v>
      </c>
      <c r="H9997" t="s">
        <v>12635</v>
      </c>
      <c r="I9997" t="s">
        <v>6168</v>
      </c>
      <c r="J9997" t="s">
        <v>32974</v>
      </c>
      <c r="K9997" t="s">
        <v>42289</v>
      </c>
      <c r="M9997" t="s">
        <v>42989</v>
      </c>
      <c r="N9997" t="s">
        <v>46569</v>
      </c>
      <c r="O9997" t="s">
        <v>46570</v>
      </c>
      <c r="P9997">
        <v>0</v>
      </c>
      <c r="Q9997">
        <v>2</v>
      </c>
      <c r="R9997" t="s">
        <v>46577</v>
      </c>
      <c r="S9997" t="s">
        <v>46808</v>
      </c>
      <c r="T9997" t="s">
        <v>48307</v>
      </c>
      <c r="U9997" t="s">
        <v>49404</v>
      </c>
      <c r="W9997" t="s">
        <v>42989</v>
      </c>
      <c r="X9997" t="s">
        <v>46578</v>
      </c>
    </row>
    <row r="9998" spans="1:24">
      <c r="A9998">
        <f>HYPERLINK("https://www.philgeps.gov.ph/GEPSNONPILOT/Tender/SplashBidNoticeAbstractUI.aspx?menuIndex=3&amp;refID=7055061&amp;Result=3","7055061")</f>
        <v>0</v>
      </c>
      <c r="B9998" t="s">
        <v>2073</v>
      </c>
      <c r="C9998" t="s">
        <v>12992</v>
      </c>
      <c r="D9998" t="s">
        <v>18782</v>
      </c>
      <c r="E9998" t="s">
        <v>27556</v>
      </c>
      <c r="F9998" t="s">
        <v>32664</v>
      </c>
      <c r="G9998" t="s">
        <v>32672</v>
      </c>
      <c r="H9998" t="s">
        <v>32683</v>
      </c>
      <c r="I9998" t="s">
        <v>10627</v>
      </c>
      <c r="J9998" t="s">
        <v>32837</v>
      </c>
      <c r="K9998" t="s">
        <v>42308</v>
      </c>
      <c r="M9998" t="s">
        <v>44825</v>
      </c>
      <c r="N9998" t="s">
        <v>46569</v>
      </c>
      <c r="O9998" t="s">
        <v>46570</v>
      </c>
      <c r="P9998">
        <v>0</v>
      </c>
      <c r="Q9998">
        <v>2</v>
      </c>
      <c r="R9998" t="s">
        <v>46577</v>
      </c>
      <c r="S9998" t="s">
        <v>46808</v>
      </c>
      <c r="T9998" t="s">
        <v>48649</v>
      </c>
      <c r="U9998" t="s">
        <v>56832</v>
      </c>
      <c r="W9998" t="s">
        <v>44825</v>
      </c>
      <c r="X9998" t="s">
        <v>46578</v>
      </c>
    </row>
    <row r="9999" spans="1:24">
      <c r="A9999">
        <f>HYPERLINK("https://www.philgeps.gov.ph/GEPSNONPILOT/Tender/SplashBidNoticeAbstractUI.aspx?menuIndex=3&amp;refID=7055177&amp;Result=3","7055177")</f>
        <v>0</v>
      </c>
      <c r="B9999" t="s">
        <v>179</v>
      </c>
      <c r="C9999" t="s">
        <v>12993</v>
      </c>
      <c r="D9999" t="s">
        <v>18830</v>
      </c>
      <c r="E9999" t="s">
        <v>27557</v>
      </c>
      <c r="F9999" t="s">
        <v>32664</v>
      </c>
      <c r="G9999" t="s">
        <v>32671</v>
      </c>
      <c r="H9999" t="s">
        <v>32683</v>
      </c>
      <c r="I9999" t="s">
        <v>10627</v>
      </c>
      <c r="J9999" t="s">
        <v>32962</v>
      </c>
      <c r="K9999" t="s">
        <v>42328</v>
      </c>
      <c r="M9999" t="s">
        <v>45516</v>
      </c>
      <c r="N9999" t="s">
        <v>46569</v>
      </c>
      <c r="O9999" t="s">
        <v>46570</v>
      </c>
      <c r="P9999">
        <v>0</v>
      </c>
      <c r="Q9999">
        <v>0</v>
      </c>
      <c r="R9999" t="s">
        <v>46577</v>
      </c>
      <c r="S9999" t="s">
        <v>46808</v>
      </c>
      <c r="T9999" t="s">
        <v>48573</v>
      </c>
      <c r="U9999" t="s">
        <v>56399</v>
      </c>
      <c r="W9999" t="s">
        <v>45631</v>
      </c>
      <c r="X9999" t="s">
        <v>46578</v>
      </c>
    </row>
    <row r="10000" spans="1:24">
      <c r="A10000">
        <f>HYPERLINK("https://www.philgeps.gov.ph/GEPSNONPILOT/Tender/SplashBidNoticeAbstractUI.aspx?menuIndex=3&amp;refID=7055171&amp;Result=3","7055171")</f>
        <v>0</v>
      </c>
      <c r="B10000" t="s">
        <v>674</v>
      </c>
      <c r="C10000" t="s">
        <v>12994</v>
      </c>
      <c r="D10000" t="s">
        <v>18821</v>
      </c>
      <c r="E10000" t="s">
        <v>27558</v>
      </c>
      <c r="F10000" t="s">
        <v>32664</v>
      </c>
      <c r="G10000" t="s">
        <v>32674</v>
      </c>
      <c r="H10000" t="s">
        <v>12635</v>
      </c>
      <c r="I10000" t="s">
        <v>6553</v>
      </c>
      <c r="J10000" t="s">
        <v>38798</v>
      </c>
      <c r="K10000" t="s">
        <v>42281</v>
      </c>
      <c r="M10000" t="s">
        <v>45619</v>
      </c>
      <c r="N10000" t="s">
        <v>46569</v>
      </c>
      <c r="O10000" t="s">
        <v>46570</v>
      </c>
      <c r="P10000">
        <v>0</v>
      </c>
      <c r="Q10000">
        <v>1</v>
      </c>
      <c r="R10000" t="s">
        <v>46577</v>
      </c>
      <c r="S10000" t="s">
        <v>46808</v>
      </c>
      <c r="T10000" t="s">
        <v>48287</v>
      </c>
      <c r="U10000" t="s">
        <v>56830</v>
      </c>
      <c r="W10000" t="s">
        <v>45619</v>
      </c>
      <c r="X10000" t="s">
        <v>46578</v>
      </c>
    </row>
    <row r="10001" spans="1:24">
      <c r="A10001">
        <f>HYPERLINK("https://www.philgeps.gov.ph/GEPSNONPILOT/Tender/SplashBidNoticeAbstractUI.aspx?menuIndex=3&amp;refID=7055168&amp;Result=3","7055168")</f>
        <v>0</v>
      </c>
      <c r="B10001" t="s">
        <v>418</v>
      </c>
      <c r="C10001" t="s">
        <v>12995</v>
      </c>
      <c r="D10001" t="s">
        <v>18784</v>
      </c>
      <c r="E10001" t="s">
        <v>27559</v>
      </c>
      <c r="F10001" t="s">
        <v>32664</v>
      </c>
      <c r="G10001" t="s">
        <v>32672</v>
      </c>
      <c r="H10001" t="s">
        <v>12635</v>
      </c>
      <c r="I10001" t="s">
        <v>6223</v>
      </c>
      <c r="J10001" t="s">
        <v>34346</v>
      </c>
      <c r="K10001" t="s">
        <v>42289</v>
      </c>
      <c r="M10001" t="s">
        <v>42989</v>
      </c>
      <c r="N10001" t="s">
        <v>46569</v>
      </c>
      <c r="O10001" t="s">
        <v>46570</v>
      </c>
      <c r="P10001">
        <v>0</v>
      </c>
      <c r="Q10001">
        <v>2</v>
      </c>
      <c r="R10001" t="s">
        <v>46577</v>
      </c>
      <c r="S10001" t="s">
        <v>46808</v>
      </c>
      <c r="T10001" t="s">
        <v>48307</v>
      </c>
      <c r="U10001" t="s">
        <v>49872</v>
      </c>
      <c r="W10001" t="s">
        <v>42989</v>
      </c>
      <c r="X10001" t="s">
        <v>46578</v>
      </c>
    </row>
    <row r="10002" spans="1:24">
      <c r="A10002">
        <f>HYPERLINK("https://www.philgeps.gov.ph/GEPSNONPILOT/Tender/SplashBidNoticeAbstractUI.aspx?menuIndex=3&amp;refID=7055167&amp;Result=3","7055167")</f>
        <v>0</v>
      </c>
      <c r="B10002" t="s">
        <v>179</v>
      </c>
      <c r="C10002" t="s">
        <v>12996</v>
      </c>
      <c r="D10002" t="s">
        <v>18830</v>
      </c>
      <c r="E10002" t="s">
        <v>27560</v>
      </c>
      <c r="F10002" t="s">
        <v>32664</v>
      </c>
      <c r="G10002" t="s">
        <v>32671</v>
      </c>
      <c r="H10002" t="s">
        <v>32683</v>
      </c>
      <c r="I10002" t="s">
        <v>10627</v>
      </c>
      <c r="J10002" t="s">
        <v>32962</v>
      </c>
      <c r="K10002" t="s">
        <v>42359</v>
      </c>
      <c r="M10002" t="s">
        <v>45516</v>
      </c>
      <c r="N10002" t="s">
        <v>46569</v>
      </c>
      <c r="O10002" t="s">
        <v>46570</v>
      </c>
      <c r="P10002">
        <v>0</v>
      </c>
      <c r="Q10002">
        <v>0</v>
      </c>
      <c r="R10002" t="s">
        <v>46577</v>
      </c>
      <c r="S10002" t="s">
        <v>46808</v>
      </c>
      <c r="T10002" t="s">
        <v>48573</v>
      </c>
      <c r="U10002" t="s">
        <v>56399</v>
      </c>
      <c r="W10002" t="s">
        <v>45631</v>
      </c>
      <c r="X10002" t="s">
        <v>46578</v>
      </c>
    </row>
    <row r="10003" spans="1:24">
      <c r="A10003">
        <f>HYPERLINK("https://www.philgeps.gov.ph/GEPSNONPILOT/Tender/SplashBidNoticeAbstractUI.aspx?menuIndex=3&amp;refID=7055166&amp;Result=3","7055166")</f>
        <v>0</v>
      </c>
      <c r="B10003" t="s">
        <v>1055</v>
      </c>
      <c r="C10003" t="s">
        <v>12997</v>
      </c>
      <c r="D10003" t="s">
        <v>18784</v>
      </c>
      <c r="E10003" t="s">
        <v>27561</v>
      </c>
      <c r="F10003" t="s">
        <v>32664</v>
      </c>
      <c r="G10003" t="s">
        <v>32671</v>
      </c>
      <c r="H10003" t="s">
        <v>12635</v>
      </c>
      <c r="I10003" t="s">
        <v>32704</v>
      </c>
      <c r="J10003" t="s">
        <v>38799</v>
      </c>
      <c r="K10003" t="s">
        <v>42281</v>
      </c>
      <c r="M10003" t="s">
        <v>43673</v>
      </c>
      <c r="N10003" t="s">
        <v>46569</v>
      </c>
      <c r="O10003" t="s">
        <v>46570</v>
      </c>
      <c r="P10003">
        <v>0</v>
      </c>
      <c r="Q10003">
        <v>11</v>
      </c>
      <c r="R10003" t="s">
        <v>46577</v>
      </c>
      <c r="S10003" t="s">
        <v>46808</v>
      </c>
      <c r="T10003" t="s">
        <v>48316</v>
      </c>
      <c r="U10003" t="s">
        <v>56833</v>
      </c>
      <c r="W10003" t="s">
        <v>43673</v>
      </c>
      <c r="X10003" t="s">
        <v>46578</v>
      </c>
    </row>
    <row r="10004" spans="1:24">
      <c r="A10004">
        <f>HYPERLINK("https://www.philgeps.gov.ph/GEPSNONPILOT/Tender/SplashBidNoticeAbstractUI.aspx?menuIndex=3&amp;refID=7055165&amp;Result=3","7055165")</f>
        <v>0</v>
      </c>
      <c r="B10004" t="s">
        <v>900</v>
      </c>
      <c r="C10004" t="s">
        <v>12998</v>
      </c>
      <c r="E10004" t="s">
        <v>27562</v>
      </c>
      <c r="F10004" t="s">
        <v>32664</v>
      </c>
      <c r="G10004" t="s">
        <v>32672</v>
      </c>
      <c r="H10004" t="s">
        <v>32683</v>
      </c>
      <c r="I10004" t="s">
        <v>10627</v>
      </c>
      <c r="J10004" t="s">
        <v>38800</v>
      </c>
      <c r="K10004" t="s">
        <v>42283</v>
      </c>
      <c r="M10004" t="s">
        <v>43504</v>
      </c>
      <c r="N10004" t="s">
        <v>46569</v>
      </c>
      <c r="O10004" t="s">
        <v>46570</v>
      </c>
      <c r="Q10004">
        <v>1</v>
      </c>
      <c r="R10004" t="s">
        <v>46577</v>
      </c>
      <c r="S10004" t="s">
        <v>46699</v>
      </c>
      <c r="T10004" t="s">
        <v>48313</v>
      </c>
      <c r="U10004" t="s">
        <v>56834</v>
      </c>
      <c r="W10004" t="s">
        <v>43504</v>
      </c>
      <c r="X10004" t="s">
        <v>46578</v>
      </c>
    </row>
    <row r="10005" spans="1:24">
      <c r="A10005">
        <f>HYPERLINK("https://www.philgeps.gov.ph/GEPSNONPILOT/Tender/SplashBidNoticeAbstractUI.aspx?menuIndex=3&amp;refID=7055159&amp;Result=3","7055159")</f>
        <v>0</v>
      </c>
      <c r="B10005" t="s">
        <v>418</v>
      </c>
      <c r="C10005" t="s">
        <v>12999</v>
      </c>
      <c r="D10005" t="s">
        <v>18784</v>
      </c>
      <c r="E10005" t="s">
        <v>27563</v>
      </c>
      <c r="F10005" t="s">
        <v>32664</v>
      </c>
      <c r="G10005" t="s">
        <v>32672</v>
      </c>
      <c r="H10005" t="s">
        <v>12635</v>
      </c>
      <c r="I10005" t="s">
        <v>6168</v>
      </c>
      <c r="J10005" t="s">
        <v>33782</v>
      </c>
      <c r="K10005" t="s">
        <v>42289</v>
      </c>
      <c r="M10005" t="s">
        <v>42989</v>
      </c>
      <c r="N10005" t="s">
        <v>46569</v>
      </c>
      <c r="O10005" t="s">
        <v>46570</v>
      </c>
      <c r="P10005">
        <v>0</v>
      </c>
      <c r="Q10005">
        <v>1</v>
      </c>
      <c r="R10005" t="s">
        <v>46577</v>
      </c>
      <c r="S10005" t="s">
        <v>46808</v>
      </c>
      <c r="T10005" t="s">
        <v>48307</v>
      </c>
      <c r="U10005" t="s">
        <v>49404</v>
      </c>
      <c r="W10005" t="s">
        <v>42989</v>
      </c>
      <c r="X10005" t="s">
        <v>46578</v>
      </c>
    </row>
    <row r="10006" spans="1:24">
      <c r="A10006">
        <f>HYPERLINK("https://www.philgeps.gov.ph/GEPSNONPILOT/Tender/SplashBidNoticeAbstractUI.aspx?menuIndex=3&amp;refID=7055156&amp;Result=3","7055156")</f>
        <v>0</v>
      </c>
      <c r="B10006" t="s">
        <v>1563</v>
      </c>
      <c r="C10006" t="s">
        <v>13000</v>
      </c>
      <c r="D10006" t="s">
        <v>18822</v>
      </c>
      <c r="E10006" t="s">
        <v>27564</v>
      </c>
      <c r="F10006" t="s">
        <v>32668</v>
      </c>
      <c r="G10006" t="s">
        <v>32674</v>
      </c>
      <c r="H10006" t="s">
        <v>12635</v>
      </c>
      <c r="I10006" t="s">
        <v>32692</v>
      </c>
      <c r="J10006" t="s">
        <v>38801</v>
      </c>
      <c r="K10006" t="s">
        <v>42297</v>
      </c>
      <c r="M10006" t="s">
        <v>44235</v>
      </c>
      <c r="N10006" t="s">
        <v>46569</v>
      </c>
      <c r="O10006" t="s">
        <v>46570</v>
      </c>
      <c r="P10006">
        <v>0</v>
      </c>
      <c r="Q10006">
        <v>2</v>
      </c>
      <c r="R10006" t="s">
        <v>46577</v>
      </c>
      <c r="S10006" t="s">
        <v>46808</v>
      </c>
      <c r="T10006" t="s">
        <v>48578</v>
      </c>
      <c r="U10006" t="s">
        <v>56835</v>
      </c>
      <c r="W10006" t="s">
        <v>44235</v>
      </c>
      <c r="X10006" t="s">
        <v>46578</v>
      </c>
    </row>
    <row r="10007" spans="1:24">
      <c r="A10007">
        <f>HYPERLINK("https://www.philgeps.gov.ph/GEPSNONPILOT/Tender/SplashBidNoticeAbstractUI.aspx?menuIndex=3&amp;refID=7055153&amp;Result=3","7055153")</f>
        <v>0</v>
      </c>
      <c r="B10007" t="s">
        <v>674</v>
      </c>
      <c r="C10007" t="s">
        <v>13001</v>
      </c>
      <c r="D10007" t="s">
        <v>18821</v>
      </c>
      <c r="E10007" t="s">
        <v>27565</v>
      </c>
      <c r="F10007" t="s">
        <v>32664</v>
      </c>
      <c r="G10007" t="s">
        <v>32674</v>
      </c>
      <c r="H10007" t="s">
        <v>12635</v>
      </c>
      <c r="I10007" t="s">
        <v>32685</v>
      </c>
      <c r="J10007" t="s">
        <v>38802</v>
      </c>
      <c r="K10007" t="s">
        <v>42281</v>
      </c>
      <c r="M10007" t="s">
        <v>45619</v>
      </c>
      <c r="N10007" t="s">
        <v>46569</v>
      </c>
      <c r="O10007" t="s">
        <v>46570</v>
      </c>
      <c r="P10007">
        <v>0</v>
      </c>
      <c r="Q10007">
        <v>0</v>
      </c>
      <c r="R10007" t="s">
        <v>46577</v>
      </c>
      <c r="S10007" t="s">
        <v>46808</v>
      </c>
      <c r="T10007" t="s">
        <v>48287</v>
      </c>
      <c r="U10007" t="s">
        <v>56830</v>
      </c>
      <c r="W10007" t="s">
        <v>45619</v>
      </c>
      <c r="X10007" t="s">
        <v>46578</v>
      </c>
    </row>
    <row r="10008" spans="1:24">
      <c r="A10008">
        <f>HYPERLINK("https://www.philgeps.gov.ph/GEPSNONPILOT/Tender/SplashBidNoticeAbstractUI.aspx?menuIndex=3&amp;refID=7055170&amp;Result=3","7055170")</f>
        <v>0</v>
      </c>
      <c r="B10008" t="s">
        <v>2773</v>
      </c>
      <c r="C10008" t="s">
        <v>13002</v>
      </c>
      <c r="D10008" t="s">
        <v>18814</v>
      </c>
      <c r="E10008" t="s">
        <v>27566</v>
      </c>
      <c r="F10008" t="s">
        <v>32664</v>
      </c>
      <c r="G10008" t="s">
        <v>32672</v>
      </c>
      <c r="H10008" t="s">
        <v>32683</v>
      </c>
      <c r="I10008" t="s">
        <v>10627</v>
      </c>
      <c r="J10008" t="s">
        <v>38803</v>
      </c>
      <c r="K10008" t="s">
        <v>42308</v>
      </c>
      <c r="M10008" t="s">
        <v>45613</v>
      </c>
      <c r="N10008" t="s">
        <v>46569</v>
      </c>
      <c r="O10008" t="s">
        <v>46570</v>
      </c>
      <c r="P10008">
        <v>0</v>
      </c>
      <c r="Q10008">
        <v>25</v>
      </c>
      <c r="R10008" t="s">
        <v>46577</v>
      </c>
      <c r="S10008" t="s">
        <v>46808</v>
      </c>
      <c r="T10008" t="s">
        <v>48213</v>
      </c>
      <c r="U10008" t="s">
        <v>56836</v>
      </c>
      <c r="V10008" t="s">
        <v>62673</v>
      </c>
      <c r="W10008" t="s">
        <v>45613</v>
      </c>
      <c r="X10008" t="s">
        <v>46578</v>
      </c>
    </row>
    <row r="10009" spans="1:24">
      <c r="A10009">
        <f>HYPERLINK("https://www.philgeps.gov.ph/GEPSNONPILOT/Tender/SplashBidNoticeAbstractUI.aspx?menuIndex=3&amp;refID=7055199&amp;Result=3","7055199")</f>
        <v>0</v>
      </c>
      <c r="B10009" t="s">
        <v>418</v>
      </c>
      <c r="C10009" t="s">
        <v>13003</v>
      </c>
      <c r="D10009" t="s">
        <v>18784</v>
      </c>
      <c r="E10009" t="s">
        <v>27567</v>
      </c>
      <c r="F10009" t="s">
        <v>32664</v>
      </c>
      <c r="G10009" t="s">
        <v>32672</v>
      </c>
      <c r="H10009" t="s">
        <v>12635</v>
      </c>
      <c r="I10009" t="s">
        <v>32708</v>
      </c>
      <c r="J10009" t="s">
        <v>38804</v>
      </c>
      <c r="K10009" t="s">
        <v>42289</v>
      </c>
      <c r="M10009" t="s">
        <v>42989</v>
      </c>
      <c r="N10009" t="s">
        <v>46569</v>
      </c>
      <c r="O10009" t="s">
        <v>46570</v>
      </c>
      <c r="P10009">
        <v>0</v>
      </c>
      <c r="Q10009">
        <v>4</v>
      </c>
      <c r="R10009" t="s">
        <v>46577</v>
      </c>
      <c r="S10009" t="s">
        <v>46808</v>
      </c>
      <c r="T10009" t="s">
        <v>48307</v>
      </c>
      <c r="U10009" t="s">
        <v>56837</v>
      </c>
      <c r="W10009" t="s">
        <v>42989</v>
      </c>
      <c r="X10009" t="s">
        <v>46578</v>
      </c>
    </row>
    <row r="10010" spans="1:24">
      <c r="A10010">
        <f>HYPERLINK("https://www.philgeps.gov.ph/GEPSNONPILOT/Tender/SplashBidNoticeAbstractUI.aspx?menuIndex=3&amp;refID=7055183&amp;Result=3","7055183")</f>
        <v>0</v>
      </c>
      <c r="B10010" t="s">
        <v>2779</v>
      </c>
      <c r="C10010" t="s">
        <v>13004</v>
      </c>
      <c r="D10010" t="s">
        <v>18831</v>
      </c>
      <c r="E10010" t="s">
        <v>27568</v>
      </c>
      <c r="F10010" t="s">
        <v>32664</v>
      </c>
      <c r="G10010" t="s">
        <v>32672</v>
      </c>
      <c r="H10010" t="s">
        <v>32683</v>
      </c>
      <c r="I10010" t="s">
        <v>10627</v>
      </c>
      <c r="J10010" t="s">
        <v>38805</v>
      </c>
      <c r="K10010" t="s">
        <v>42311</v>
      </c>
      <c r="M10010" t="s">
        <v>45621</v>
      </c>
      <c r="N10010" t="s">
        <v>46569</v>
      </c>
      <c r="O10010" t="s">
        <v>46570</v>
      </c>
      <c r="P10010">
        <v>0</v>
      </c>
      <c r="Q10010">
        <v>1</v>
      </c>
      <c r="R10010" t="s">
        <v>46577</v>
      </c>
      <c r="S10010" t="s">
        <v>46808</v>
      </c>
      <c r="T10010" t="s">
        <v>48650</v>
      </c>
      <c r="U10010" t="s">
        <v>56838</v>
      </c>
      <c r="V10010" t="s">
        <v>62674</v>
      </c>
      <c r="W10010" t="s">
        <v>45621</v>
      </c>
      <c r="X10010" t="s">
        <v>46578</v>
      </c>
    </row>
    <row r="10011" spans="1:24">
      <c r="A10011">
        <f>HYPERLINK("https://www.philgeps.gov.ph/GEPSNONPILOT/Tender/SplashBidNoticeAbstractUI.aspx?menuIndex=3&amp;refID=7055225&amp;Result=3","7055225")</f>
        <v>0</v>
      </c>
      <c r="B10011" t="s">
        <v>418</v>
      </c>
      <c r="C10011" t="s">
        <v>13005</v>
      </c>
      <c r="D10011" t="s">
        <v>18784</v>
      </c>
      <c r="E10011" t="s">
        <v>27569</v>
      </c>
      <c r="F10011" t="s">
        <v>32664</v>
      </c>
      <c r="G10011" t="s">
        <v>32672</v>
      </c>
      <c r="H10011" t="s">
        <v>12635</v>
      </c>
      <c r="I10011" t="s">
        <v>6223</v>
      </c>
      <c r="J10011" t="s">
        <v>33320</v>
      </c>
      <c r="K10011" t="s">
        <v>42289</v>
      </c>
      <c r="M10011" t="s">
        <v>42989</v>
      </c>
      <c r="N10011" t="s">
        <v>46569</v>
      </c>
      <c r="O10011" t="s">
        <v>46570</v>
      </c>
      <c r="P10011">
        <v>0</v>
      </c>
      <c r="Q10011">
        <v>0</v>
      </c>
      <c r="R10011" t="s">
        <v>46577</v>
      </c>
      <c r="S10011" t="s">
        <v>46808</v>
      </c>
      <c r="T10011" t="s">
        <v>48307</v>
      </c>
      <c r="U10011" t="s">
        <v>49872</v>
      </c>
      <c r="W10011" t="s">
        <v>42989</v>
      </c>
      <c r="X10011" t="s">
        <v>46578</v>
      </c>
    </row>
    <row r="10012" spans="1:24">
      <c r="A10012">
        <f>HYPERLINK("https://www.philgeps.gov.ph/GEPSNONPILOT/Tender/SplashBidNoticeAbstractUI.aspx?menuIndex=3&amp;refID=7055224&amp;Result=3","7055224")</f>
        <v>0</v>
      </c>
      <c r="B10012" t="s">
        <v>2780</v>
      </c>
      <c r="C10012" t="s">
        <v>13006</v>
      </c>
      <c r="D10012" t="s">
        <v>18804</v>
      </c>
      <c r="E10012" t="s">
        <v>27570</v>
      </c>
      <c r="F10012" t="s">
        <v>32664</v>
      </c>
      <c r="G10012" t="s">
        <v>32672</v>
      </c>
      <c r="H10012" t="s">
        <v>12635</v>
      </c>
      <c r="I10012" t="s">
        <v>4439</v>
      </c>
      <c r="J10012" t="s">
        <v>38806</v>
      </c>
      <c r="K10012" t="s">
        <v>42289</v>
      </c>
      <c r="M10012" t="s">
        <v>45622</v>
      </c>
      <c r="N10012" t="s">
        <v>46569</v>
      </c>
      <c r="O10012" t="s">
        <v>46570</v>
      </c>
      <c r="P10012">
        <v>0</v>
      </c>
      <c r="Q10012">
        <v>0</v>
      </c>
      <c r="R10012" t="s">
        <v>46577</v>
      </c>
      <c r="S10012" t="s">
        <v>46808</v>
      </c>
      <c r="T10012" t="s">
        <v>48376</v>
      </c>
      <c r="U10012" t="s">
        <v>56839</v>
      </c>
      <c r="W10012" t="s">
        <v>45622</v>
      </c>
      <c r="X10012" t="s">
        <v>46578</v>
      </c>
    </row>
    <row r="10013" spans="1:24">
      <c r="A10013">
        <f>HYPERLINK("https://www.philgeps.gov.ph/GEPSNONPILOT/Tender/SplashBidNoticeAbstractUI.aspx?menuIndex=3&amp;refID=7055220&amp;Result=3","7055220")</f>
        <v>0</v>
      </c>
      <c r="B10013" t="s">
        <v>418</v>
      </c>
      <c r="C10013" t="s">
        <v>13007</v>
      </c>
      <c r="D10013" t="s">
        <v>18784</v>
      </c>
      <c r="E10013" t="s">
        <v>27571</v>
      </c>
      <c r="F10013" t="s">
        <v>32664</v>
      </c>
      <c r="G10013" t="s">
        <v>32672</v>
      </c>
      <c r="H10013" t="s">
        <v>12635</v>
      </c>
      <c r="I10013" t="s">
        <v>6168</v>
      </c>
      <c r="J10013" t="s">
        <v>33345</v>
      </c>
      <c r="K10013" t="s">
        <v>42289</v>
      </c>
      <c r="M10013" t="s">
        <v>42989</v>
      </c>
      <c r="N10013" t="s">
        <v>46569</v>
      </c>
      <c r="O10013" t="s">
        <v>46570</v>
      </c>
      <c r="P10013">
        <v>0</v>
      </c>
      <c r="Q10013">
        <v>1</v>
      </c>
      <c r="R10013" t="s">
        <v>46577</v>
      </c>
      <c r="S10013" t="s">
        <v>46808</v>
      </c>
      <c r="T10013" t="s">
        <v>48307</v>
      </c>
      <c r="U10013" t="s">
        <v>49404</v>
      </c>
      <c r="W10013" t="s">
        <v>42989</v>
      </c>
      <c r="X10013" t="s">
        <v>46578</v>
      </c>
    </row>
    <row r="10014" spans="1:24">
      <c r="A10014">
        <f>HYPERLINK("https://www.philgeps.gov.ph/GEPSNONPILOT/Tender/SplashBidNoticeAbstractUI.aspx?menuIndex=3&amp;refID=7055152&amp;Result=3","7055152")</f>
        <v>0</v>
      </c>
      <c r="B10014" t="s">
        <v>2781</v>
      </c>
      <c r="C10014" t="s">
        <v>13008</v>
      </c>
      <c r="D10014" t="s">
        <v>18806</v>
      </c>
      <c r="E10014" t="s">
        <v>27572</v>
      </c>
      <c r="F10014" t="s">
        <v>32664</v>
      </c>
      <c r="G10014" t="s">
        <v>32672</v>
      </c>
      <c r="H10014" t="s">
        <v>32683</v>
      </c>
      <c r="I10014" t="s">
        <v>10627</v>
      </c>
      <c r="J10014" t="s">
        <v>33167</v>
      </c>
      <c r="K10014" t="s">
        <v>42344</v>
      </c>
      <c r="M10014" t="s">
        <v>45623</v>
      </c>
      <c r="N10014" t="s">
        <v>46569</v>
      </c>
      <c r="O10014" t="s">
        <v>46570</v>
      </c>
      <c r="P10014">
        <v>0</v>
      </c>
      <c r="Q10014">
        <v>0</v>
      </c>
      <c r="R10014" t="s">
        <v>46577</v>
      </c>
      <c r="S10014" t="s">
        <v>46808</v>
      </c>
      <c r="T10014" t="s">
        <v>48287</v>
      </c>
      <c r="U10014" t="s">
        <v>56840</v>
      </c>
      <c r="W10014" t="s">
        <v>45623</v>
      </c>
      <c r="X10014" t="s">
        <v>46578</v>
      </c>
    </row>
    <row r="10015" spans="1:24">
      <c r="A10015">
        <f>HYPERLINK("https://www.philgeps.gov.ph/GEPSNONPILOT/Tender/SplashBidNoticeAbstractUI.aspx?menuIndex=3&amp;refID=7055219&amp;Result=3","7055219")</f>
        <v>0</v>
      </c>
      <c r="B10015" t="s">
        <v>2782</v>
      </c>
      <c r="C10015" t="s">
        <v>13009</v>
      </c>
      <c r="E10015" t="s">
        <v>27573</v>
      </c>
      <c r="F10015" t="s">
        <v>32664</v>
      </c>
      <c r="G10015" t="s">
        <v>32672</v>
      </c>
      <c r="H10015" t="s">
        <v>12635</v>
      </c>
      <c r="I10015" t="s">
        <v>4439</v>
      </c>
      <c r="J10015" t="s">
        <v>38807</v>
      </c>
      <c r="K10015" t="s">
        <v>42283</v>
      </c>
      <c r="M10015" t="s">
        <v>45624</v>
      </c>
      <c r="N10015" t="s">
        <v>46569</v>
      </c>
      <c r="O10015" t="s">
        <v>46570</v>
      </c>
      <c r="P10015">
        <v>0</v>
      </c>
      <c r="Q10015">
        <v>0</v>
      </c>
      <c r="R10015" t="s">
        <v>46577</v>
      </c>
      <c r="S10015" t="s">
        <v>46808</v>
      </c>
      <c r="T10015" t="s">
        <v>48453</v>
      </c>
      <c r="U10015" t="s">
        <v>56841</v>
      </c>
      <c r="W10015" t="s">
        <v>45624</v>
      </c>
      <c r="X10015" t="s">
        <v>46578</v>
      </c>
    </row>
    <row r="10016" spans="1:24">
      <c r="A10016">
        <f>HYPERLINK("https://www.philgeps.gov.ph/GEPSNONPILOT/Tender/SplashBidNoticeAbstractUI.aspx?menuIndex=3&amp;refID=7055185&amp;Result=3","7055185")</f>
        <v>0</v>
      </c>
      <c r="B10016" t="s">
        <v>2773</v>
      </c>
      <c r="C10016" t="s">
        <v>13010</v>
      </c>
      <c r="D10016" t="s">
        <v>18814</v>
      </c>
      <c r="E10016" t="s">
        <v>27574</v>
      </c>
      <c r="F10016" t="s">
        <v>32664</v>
      </c>
      <c r="G10016" t="s">
        <v>32672</v>
      </c>
      <c r="H10016" t="s">
        <v>32683</v>
      </c>
      <c r="I10016" t="s">
        <v>10627</v>
      </c>
      <c r="J10016" t="s">
        <v>38808</v>
      </c>
      <c r="K10016" t="s">
        <v>42308</v>
      </c>
      <c r="M10016" t="s">
        <v>45613</v>
      </c>
      <c r="N10016" t="s">
        <v>46569</v>
      </c>
      <c r="O10016" t="s">
        <v>46570</v>
      </c>
      <c r="P10016">
        <v>0</v>
      </c>
      <c r="Q10016">
        <v>27</v>
      </c>
      <c r="R10016" t="s">
        <v>46577</v>
      </c>
      <c r="S10016" t="s">
        <v>46808</v>
      </c>
      <c r="T10016" t="s">
        <v>48213</v>
      </c>
      <c r="U10016" t="s">
        <v>56842</v>
      </c>
      <c r="V10016" t="s">
        <v>62673</v>
      </c>
      <c r="W10016" t="s">
        <v>45613</v>
      </c>
      <c r="X10016" t="s">
        <v>46578</v>
      </c>
    </row>
    <row r="10017" spans="1:24">
      <c r="A10017">
        <f>HYPERLINK("https://www.philgeps.gov.ph/GEPSNONPILOT/Tender/SplashBidNoticeAbstractUI.aspx?menuIndex=3&amp;refID=7055218&amp;Result=3","7055218")</f>
        <v>0</v>
      </c>
      <c r="B10017" t="s">
        <v>2779</v>
      </c>
      <c r="C10017" t="s">
        <v>13011</v>
      </c>
      <c r="D10017" t="s">
        <v>18831</v>
      </c>
      <c r="E10017" t="s">
        <v>21684</v>
      </c>
      <c r="F10017" t="s">
        <v>32664</v>
      </c>
      <c r="G10017" t="s">
        <v>32672</v>
      </c>
      <c r="H10017" t="s">
        <v>32683</v>
      </c>
      <c r="I10017" t="s">
        <v>10627</v>
      </c>
      <c r="J10017" t="s">
        <v>38809</v>
      </c>
      <c r="K10017" t="s">
        <v>42305</v>
      </c>
      <c r="M10017" t="s">
        <v>45621</v>
      </c>
      <c r="N10017" t="s">
        <v>46569</v>
      </c>
      <c r="O10017" t="s">
        <v>46570</v>
      </c>
      <c r="P10017">
        <v>0</v>
      </c>
      <c r="Q10017">
        <v>0</v>
      </c>
      <c r="R10017" t="s">
        <v>46577</v>
      </c>
      <c r="S10017" t="s">
        <v>46808</v>
      </c>
      <c r="T10017" t="s">
        <v>48650</v>
      </c>
      <c r="U10017" t="s">
        <v>56843</v>
      </c>
      <c r="V10017" t="s">
        <v>62674</v>
      </c>
      <c r="W10017" t="s">
        <v>45621</v>
      </c>
      <c r="X10017" t="s">
        <v>46578</v>
      </c>
    </row>
    <row r="10018" spans="1:24">
      <c r="A10018">
        <f>HYPERLINK("https://www.philgeps.gov.ph/GEPSNONPILOT/Tender/SplashBidNoticeAbstractUI.aspx?menuIndex=3&amp;refID=7055215&amp;Result=3","7055215")</f>
        <v>0</v>
      </c>
      <c r="B10018" t="s">
        <v>418</v>
      </c>
      <c r="C10018" t="s">
        <v>13012</v>
      </c>
      <c r="D10018" t="s">
        <v>18784</v>
      </c>
      <c r="E10018" t="s">
        <v>27575</v>
      </c>
      <c r="F10018" t="s">
        <v>32664</v>
      </c>
      <c r="G10018" t="s">
        <v>32672</v>
      </c>
      <c r="H10018" t="s">
        <v>12635</v>
      </c>
      <c r="I10018" t="s">
        <v>6118</v>
      </c>
      <c r="J10018" t="s">
        <v>38810</v>
      </c>
      <c r="K10018" t="s">
        <v>42289</v>
      </c>
      <c r="M10018" t="s">
        <v>42989</v>
      </c>
      <c r="N10018" t="s">
        <v>46569</v>
      </c>
      <c r="O10018" t="s">
        <v>46570</v>
      </c>
      <c r="P10018">
        <v>0</v>
      </c>
      <c r="Q10018">
        <v>0</v>
      </c>
      <c r="R10018" t="s">
        <v>46577</v>
      </c>
      <c r="S10018" t="s">
        <v>46808</v>
      </c>
      <c r="T10018" t="s">
        <v>48307</v>
      </c>
      <c r="U10018" t="s">
        <v>49634</v>
      </c>
      <c r="W10018" t="s">
        <v>42989</v>
      </c>
      <c r="X10018" t="s">
        <v>46578</v>
      </c>
    </row>
    <row r="10019" spans="1:24">
      <c r="A10019">
        <f>HYPERLINK("https://www.philgeps.gov.ph/GEPSNONPILOT/Tender/SplashBidNoticeAbstractUI.aspx?menuIndex=3&amp;refID=7055162&amp;Result=3","7055162")</f>
        <v>0</v>
      </c>
      <c r="B10019" t="s">
        <v>674</v>
      </c>
      <c r="C10019" t="s">
        <v>13013</v>
      </c>
      <c r="D10019" t="s">
        <v>18821</v>
      </c>
      <c r="E10019" t="s">
        <v>27576</v>
      </c>
      <c r="F10019" t="s">
        <v>32664</v>
      </c>
      <c r="G10019" t="s">
        <v>32674</v>
      </c>
      <c r="H10019" t="s">
        <v>12635</v>
      </c>
      <c r="I10019" t="s">
        <v>6628</v>
      </c>
      <c r="J10019" t="s">
        <v>38811</v>
      </c>
      <c r="K10019" t="s">
        <v>42281</v>
      </c>
      <c r="M10019" t="s">
        <v>45619</v>
      </c>
      <c r="N10019" t="s">
        <v>46569</v>
      </c>
      <c r="O10019" t="s">
        <v>46570</v>
      </c>
      <c r="P10019">
        <v>0</v>
      </c>
      <c r="Q10019">
        <v>0</v>
      </c>
      <c r="R10019" t="s">
        <v>46577</v>
      </c>
      <c r="S10019" t="s">
        <v>46808</v>
      </c>
      <c r="T10019" t="s">
        <v>48287</v>
      </c>
      <c r="U10019" t="s">
        <v>56844</v>
      </c>
      <c r="W10019" t="s">
        <v>45619</v>
      </c>
      <c r="X10019" t="s">
        <v>46578</v>
      </c>
    </row>
    <row r="10020" spans="1:24">
      <c r="A10020">
        <f>HYPERLINK("https://www.philgeps.gov.ph/GEPSNONPILOT/Tender/SplashBidNoticeAbstractUI.aspx?menuIndex=3&amp;refID=7055212&amp;Result=3","7055212")</f>
        <v>0</v>
      </c>
      <c r="B10020" t="s">
        <v>2783</v>
      </c>
      <c r="C10020" t="s">
        <v>13014</v>
      </c>
      <c r="E10020" t="s">
        <v>27577</v>
      </c>
      <c r="F10020" t="s">
        <v>32664</v>
      </c>
      <c r="G10020" t="s">
        <v>32674</v>
      </c>
      <c r="H10020" t="s">
        <v>12635</v>
      </c>
      <c r="I10020" t="s">
        <v>6628</v>
      </c>
      <c r="J10020" t="s">
        <v>38812</v>
      </c>
      <c r="K10020" t="s">
        <v>42283</v>
      </c>
      <c r="M10020" t="s">
        <v>45625</v>
      </c>
      <c r="N10020" t="s">
        <v>46569</v>
      </c>
      <c r="O10020" t="s">
        <v>46570</v>
      </c>
      <c r="P10020">
        <v>0</v>
      </c>
      <c r="Q10020">
        <v>1</v>
      </c>
      <c r="R10020" t="s">
        <v>46577</v>
      </c>
      <c r="S10020" t="s">
        <v>46808</v>
      </c>
      <c r="T10020" t="s">
        <v>48492</v>
      </c>
      <c r="U10020" t="s">
        <v>56845</v>
      </c>
      <c r="W10020" t="s">
        <v>45625</v>
      </c>
      <c r="X10020" t="s">
        <v>46578</v>
      </c>
    </row>
    <row r="10021" spans="1:24">
      <c r="A10021">
        <f>HYPERLINK("https://www.philgeps.gov.ph/GEPSNONPILOT/Tender/SplashBidNoticeAbstractUI.aspx?menuIndex=3&amp;refID=7055209&amp;Result=3","7055209")</f>
        <v>0</v>
      </c>
      <c r="B10021" t="s">
        <v>418</v>
      </c>
      <c r="C10021" t="s">
        <v>13015</v>
      </c>
      <c r="D10021" t="s">
        <v>18784</v>
      </c>
      <c r="E10021" t="s">
        <v>27578</v>
      </c>
      <c r="F10021" t="s">
        <v>32664</v>
      </c>
      <c r="G10021" t="s">
        <v>32672</v>
      </c>
      <c r="H10021" t="s">
        <v>12635</v>
      </c>
      <c r="I10021" t="s">
        <v>6118</v>
      </c>
      <c r="J10021" t="s">
        <v>38813</v>
      </c>
      <c r="K10021" t="s">
        <v>42289</v>
      </c>
      <c r="M10021" t="s">
        <v>42989</v>
      </c>
      <c r="N10021" t="s">
        <v>46569</v>
      </c>
      <c r="O10021" t="s">
        <v>46570</v>
      </c>
      <c r="P10021">
        <v>0</v>
      </c>
      <c r="Q10021">
        <v>0</v>
      </c>
      <c r="R10021" t="s">
        <v>46577</v>
      </c>
      <c r="S10021" t="s">
        <v>46808</v>
      </c>
      <c r="T10021" t="s">
        <v>48307</v>
      </c>
      <c r="U10021" t="s">
        <v>49634</v>
      </c>
      <c r="W10021" t="s">
        <v>42989</v>
      </c>
      <c r="X10021" t="s">
        <v>46578</v>
      </c>
    </row>
    <row r="10022" spans="1:24">
      <c r="A10022">
        <f>HYPERLINK("https://www.philgeps.gov.ph/GEPSNONPILOT/Tender/SplashBidNoticeAbstractUI.aspx?menuIndex=3&amp;refID=7055216&amp;Result=3","7055216")</f>
        <v>0</v>
      </c>
      <c r="B10022" t="s">
        <v>2784</v>
      </c>
      <c r="C10022" t="s">
        <v>11024</v>
      </c>
      <c r="D10022" t="s">
        <v>18784</v>
      </c>
      <c r="E10022" t="s">
        <v>25824</v>
      </c>
      <c r="F10022" t="s">
        <v>32664</v>
      </c>
      <c r="G10022" t="s">
        <v>32672</v>
      </c>
      <c r="H10022" t="s">
        <v>12635</v>
      </c>
      <c r="I10022" t="s">
        <v>32700</v>
      </c>
      <c r="J10022" t="s">
        <v>33021</v>
      </c>
      <c r="K10022" t="s">
        <v>42284</v>
      </c>
      <c r="M10022" t="s">
        <v>45626</v>
      </c>
      <c r="N10022" t="s">
        <v>46569</v>
      </c>
      <c r="O10022" t="s">
        <v>46570</v>
      </c>
      <c r="P10022">
        <v>0</v>
      </c>
      <c r="Q10022">
        <v>2</v>
      </c>
      <c r="R10022" t="s">
        <v>46577</v>
      </c>
      <c r="S10022" t="s">
        <v>46808</v>
      </c>
      <c r="T10022" t="s">
        <v>48427</v>
      </c>
      <c r="U10022" t="s">
        <v>50159</v>
      </c>
      <c r="W10022" t="s">
        <v>45626</v>
      </c>
      <c r="X10022" t="s">
        <v>46578</v>
      </c>
    </row>
    <row r="10023" spans="1:24">
      <c r="A10023">
        <f>HYPERLINK("https://www.philgeps.gov.ph/GEPSNONPILOT/Tender/SplashBidNoticeAbstractUI.aspx?menuIndex=3&amp;refID=7055205&amp;Result=3","7055205")</f>
        <v>0</v>
      </c>
      <c r="B10023" t="s">
        <v>2784</v>
      </c>
      <c r="C10023" t="s">
        <v>5041</v>
      </c>
      <c r="D10023" t="s">
        <v>18784</v>
      </c>
      <c r="E10023" t="s">
        <v>25828</v>
      </c>
      <c r="F10023" t="s">
        <v>32664</v>
      </c>
      <c r="G10023" t="s">
        <v>32672</v>
      </c>
      <c r="H10023" t="s">
        <v>12635</v>
      </c>
      <c r="I10023" t="s">
        <v>8730</v>
      </c>
      <c r="J10023" t="s">
        <v>33128</v>
      </c>
      <c r="K10023" t="s">
        <v>42284</v>
      </c>
      <c r="M10023" t="s">
        <v>45626</v>
      </c>
      <c r="N10023" t="s">
        <v>46569</v>
      </c>
      <c r="O10023" t="s">
        <v>46570</v>
      </c>
      <c r="P10023">
        <v>0</v>
      </c>
      <c r="Q10023">
        <v>4</v>
      </c>
      <c r="R10023" t="s">
        <v>46577</v>
      </c>
      <c r="S10023" t="s">
        <v>46808</v>
      </c>
      <c r="T10023" t="s">
        <v>48427</v>
      </c>
      <c r="U10023" t="s">
        <v>56846</v>
      </c>
      <c r="W10023" t="s">
        <v>45626</v>
      </c>
      <c r="X10023" t="s">
        <v>46578</v>
      </c>
    </row>
    <row r="10024" spans="1:24">
      <c r="A10024">
        <f>HYPERLINK("https://www.philgeps.gov.ph/GEPSNONPILOT/Tender/SplashBidNoticeAbstractUI.aspx?menuIndex=3&amp;refID=7055204&amp;Result=3","7055204")</f>
        <v>0</v>
      </c>
      <c r="B10024" t="s">
        <v>2775</v>
      </c>
      <c r="C10024" t="s">
        <v>13016</v>
      </c>
      <c r="D10024" t="s">
        <v>18850</v>
      </c>
      <c r="E10024" t="s">
        <v>27579</v>
      </c>
      <c r="F10024" t="s">
        <v>32665</v>
      </c>
      <c r="G10024" t="s">
        <v>32672</v>
      </c>
      <c r="H10024" t="s">
        <v>12635</v>
      </c>
      <c r="I10024" t="s">
        <v>6628</v>
      </c>
      <c r="J10024" t="s">
        <v>38814</v>
      </c>
      <c r="K10024" t="s">
        <v>42298</v>
      </c>
      <c r="M10024" t="s">
        <v>45615</v>
      </c>
      <c r="N10024" t="s">
        <v>46569</v>
      </c>
      <c r="O10024" t="s">
        <v>46570</v>
      </c>
      <c r="P10024">
        <v>0</v>
      </c>
      <c r="Q10024">
        <v>0</v>
      </c>
      <c r="R10024" t="s">
        <v>46577</v>
      </c>
      <c r="S10024" t="s">
        <v>46808</v>
      </c>
      <c r="T10024" t="s">
        <v>48248</v>
      </c>
      <c r="U10024" t="s">
        <v>56847</v>
      </c>
      <c r="W10024" t="s">
        <v>45615</v>
      </c>
      <c r="X10024" t="s">
        <v>46578</v>
      </c>
    </row>
    <row r="10025" spans="1:24">
      <c r="A10025">
        <f>HYPERLINK("https://www.philgeps.gov.ph/GEPSNONPILOT/Tender/SplashBidNoticeAbstractUI.aspx?menuIndex=3&amp;refID=7055099&amp;Result=3","7055099")</f>
        <v>0</v>
      </c>
      <c r="B10025" t="s">
        <v>2774</v>
      </c>
      <c r="C10025" t="s">
        <v>13017</v>
      </c>
      <c r="D10025" t="s">
        <v>18827</v>
      </c>
      <c r="E10025" t="s">
        <v>27580</v>
      </c>
      <c r="F10025" t="s">
        <v>32664</v>
      </c>
      <c r="G10025" t="s">
        <v>32671</v>
      </c>
      <c r="H10025" t="s">
        <v>32683</v>
      </c>
      <c r="I10025" t="s">
        <v>10627</v>
      </c>
      <c r="J10025" t="s">
        <v>38815</v>
      </c>
      <c r="K10025" t="s">
        <v>42284</v>
      </c>
      <c r="M10025" t="s">
        <v>45614</v>
      </c>
      <c r="N10025" t="s">
        <v>46569</v>
      </c>
      <c r="O10025" t="s">
        <v>46570</v>
      </c>
      <c r="P10025">
        <v>0</v>
      </c>
      <c r="Q10025">
        <v>0</v>
      </c>
      <c r="R10025" t="s">
        <v>46577</v>
      </c>
      <c r="S10025" t="s">
        <v>46808</v>
      </c>
      <c r="T10025" t="s">
        <v>48473</v>
      </c>
      <c r="U10025" t="s">
        <v>56848</v>
      </c>
      <c r="W10025" t="s">
        <v>45614</v>
      </c>
      <c r="X10025" t="s">
        <v>46578</v>
      </c>
    </row>
    <row r="10026" spans="1:24">
      <c r="A10026">
        <f>HYPERLINK("https://www.philgeps.gov.ph/GEPSNONPILOT/Tender/SplashBidNoticeAbstractUI.aspx?menuIndex=3&amp;refID=7055200&amp;Result=3","7055200")</f>
        <v>0</v>
      </c>
      <c r="B10026" t="s">
        <v>652</v>
      </c>
      <c r="C10026" t="s">
        <v>13018</v>
      </c>
      <c r="D10026" t="s">
        <v>18786</v>
      </c>
      <c r="E10026" t="s">
        <v>27581</v>
      </c>
      <c r="F10026" t="s">
        <v>32664</v>
      </c>
      <c r="G10026" t="s">
        <v>32671</v>
      </c>
      <c r="H10026" t="s">
        <v>12635</v>
      </c>
      <c r="I10026" t="s">
        <v>8730</v>
      </c>
      <c r="J10026" t="s">
        <v>38816</v>
      </c>
      <c r="K10026" t="s">
        <v>42309</v>
      </c>
      <c r="M10026" t="s">
        <v>43238</v>
      </c>
      <c r="N10026" t="s">
        <v>46569</v>
      </c>
      <c r="O10026" t="s">
        <v>46570</v>
      </c>
      <c r="P10026">
        <v>0</v>
      </c>
      <c r="Q10026">
        <v>1</v>
      </c>
      <c r="R10026" t="s">
        <v>46577</v>
      </c>
      <c r="S10026" t="s">
        <v>46808</v>
      </c>
      <c r="T10026" t="s">
        <v>48307</v>
      </c>
      <c r="U10026" t="s">
        <v>50011</v>
      </c>
      <c r="W10026" t="s">
        <v>43238</v>
      </c>
      <c r="X10026" t="s">
        <v>46578</v>
      </c>
    </row>
    <row r="10027" spans="1:24">
      <c r="A10027">
        <f>HYPERLINK("https://www.philgeps.gov.ph/GEPSNONPILOT/Tender/SplashBidNoticeAbstractUI.aspx?menuIndex=3&amp;refID=7055198&amp;Result=3","7055198")</f>
        <v>0</v>
      </c>
      <c r="B10027" t="s">
        <v>900</v>
      </c>
      <c r="C10027" t="s">
        <v>13019</v>
      </c>
      <c r="E10027" t="s">
        <v>27582</v>
      </c>
      <c r="F10027" t="s">
        <v>32664</v>
      </c>
      <c r="G10027" t="s">
        <v>32672</v>
      </c>
      <c r="H10027" t="s">
        <v>32683</v>
      </c>
      <c r="I10027" t="s">
        <v>10627</v>
      </c>
      <c r="J10027" t="s">
        <v>38817</v>
      </c>
      <c r="K10027" t="s">
        <v>42283</v>
      </c>
      <c r="M10027" t="s">
        <v>43504</v>
      </c>
      <c r="N10027" t="s">
        <v>46569</v>
      </c>
      <c r="O10027" t="s">
        <v>46570</v>
      </c>
      <c r="Q10027">
        <v>2</v>
      </c>
      <c r="R10027" t="s">
        <v>46577</v>
      </c>
      <c r="S10027" t="s">
        <v>46860</v>
      </c>
      <c r="T10027" t="s">
        <v>48631</v>
      </c>
      <c r="U10027" t="s">
        <v>56849</v>
      </c>
      <c r="W10027" t="s">
        <v>43504</v>
      </c>
      <c r="X10027" t="s">
        <v>46578</v>
      </c>
    </row>
    <row r="10028" spans="1:24">
      <c r="A10028">
        <f>HYPERLINK("https://www.philgeps.gov.ph/GEPSNONPILOT/Tender/SplashBidNoticeAbstractUI.aspx?menuIndex=3&amp;refID=7055214&amp;Result=3","7055214")</f>
        <v>0</v>
      </c>
      <c r="B10028" t="s">
        <v>900</v>
      </c>
      <c r="C10028" t="s">
        <v>13020</v>
      </c>
      <c r="E10028" t="s">
        <v>27583</v>
      </c>
      <c r="F10028" t="s">
        <v>32664</v>
      </c>
      <c r="G10028" t="s">
        <v>32672</v>
      </c>
      <c r="H10028" t="s">
        <v>32683</v>
      </c>
      <c r="I10028" t="s">
        <v>10627</v>
      </c>
      <c r="J10028" t="s">
        <v>38818</v>
      </c>
      <c r="K10028" t="s">
        <v>42283</v>
      </c>
      <c r="M10028" t="s">
        <v>43504</v>
      </c>
      <c r="N10028" t="s">
        <v>46569</v>
      </c>
      <c r="O10028" t="s">
        <v>46570</v>
      </c>
      <c r="Q10028">
        <v>2</v>
      </c>
      <c r="R10028" t="s">
        <v>46577</v>
      </c>
      <c r="S10028" t="s">
        <v>46861</v>
      </c>
      <c r="T10028" t="s">
        <v>48469</v>
      </c>
      <c r="U10028" t="s">
        <v>56850</v>
      </c>
      <c r="W10028" t="s">
        <v>43504</v>
      </c>
      <c r="X10028" t="s">
        <v>46578</v>
      </c>
    </row>
    <row r="10029" spans="1:24">
      <c r="A10029">
        <f>HYPERLINK("https://www.philgeps.gov.ph/GEPSNONPILOT/Tender/SplashBidNoticeAbstractUI.aspx?menuIndex=3&amp;refID=7055203&amp;Result=3","7055203")</f>
        <v>0</v>
      </c>
      <c r="B10029" t="s">
        <v>2128</v>
      </c>
      <c r="C10029" t="s">
        <v>13021</v>
      </c>
      <c r="D10029" t="s">
        <v>18799</v>
      </c>
      <c r="E10029" t="s">
        <v>27584</v>
      </c>
      <c r="F10029" t="s">
        <v>32664</v>
      </c>
      <c r="G10029" t="s">
        <v>32671</v>
      </c>
      <c r="H10029" t="s">
        <v>12635</v>
      </c>
      <c r="I10029" t="s">
        <v>32685</v>
      </c>
      <c r="J10029" t="s">
        <v>38819</v>
      </c>
      <c r="K10029" t="s">
        <v>42284</v>
      </c>
      <c r="M10029" t="s">
        <v>44883</v>
      </c>
      <c r="N10029" t="s">
        <v>46569</v>
      </c>
      <c r="O10029" t="s">
        <v>46570</v>
      </c>
      <c r="P10029">
        <v>0</v>
      </c>
      <c r="Q10029">
        <v>0</v>
      </c>
      <c r="R10029" t="s">
        <v>46577</v>
      </c>
      <c r="S10029" t="s">
        <v>46808</v>
      </c>
      <c r="T10029" t="s">
        <v>48562</v>
      </c>
      <c r="U10029" t="s">
        <v>54320</v>
      </c>
      <c r="W10029" t="s">
        <v>44883</v>
      </c>
      <c r="X10029" t="s">
        <v>46578</v>
      </c>
    </row>
    <row r="10030" spans="1:24">
      <c r="A10030">
        <f>HYPERLINK("https://www.philgeps.gov.ph/GEPSNONPILOT/Tender/SplashBidNoticeAbstractUI.aspx?menuIndex=3&amp;refID=7055038&amp;Result=3","7055038")</f>
        <v>0</v>
      </c>
      <c r="B10030" t="s">
        <v>2774</v>
      </c>
      <c r="C10030" t="s">
        <v>13022</v>
      </c>
      <c r="D10030" t="s">
        <v>18827</v>
      </c>
      <c r="E10030" t="s">
        <v>27585</v>
      </c>
      <c r="F10030" t="s">
        <v>32664</v>
      </c>
      <c r="G10030" t="s">
        <v>32671</v>
      </c>
      <c r="H10030" t="s">
        <v>12635</v>
      </c>
      <c r="I10030" t="s">
        <v>4439</v>
      </c>
      <c r="J10030" t="s">
        <v>38820</v>
      </c>
      <c r="K10030" t="s">
        <v>42284</v>
      </c>
      <c r="M10030" t="s">
        <v>45614</v>
      </c>
      <c r="N10030" t="s">
        <v>46569</v>
      </c>
      <c r="O10030" t="s">
        <v>46570</v>
      </c>
      <c r="P10030">
        <v>0</v>
      </c>
      <c r="Q10030">
        <v>0</v>
      </c>
      <c r="R10030" t="s">
        <v>46577</v>
      </c>
      <c r="S10030" t="s">
        <v>46808</v>
      </c>
      <c r="T10030" t="s">
        <v>48473</v>
      </c>
      <c r="U10030" t="s">
        <v>56851</v>
      </c>
      <c r="W10030" t="s">
        <v>45614</v>
      </c>
      <c r="X10030" t="s">
        <v>46578</v>
      </c>
    </row>
    <row r="10031" spans="1:24">
      <c r="A10031">
        <f>HYPERLINK("https://www.philgeps.gov.ph/GEPSNONPILOT/Tender/SplashBidNoticeAbstractUI.aspx?menuIndex=3&amp;refID=7055151&amp;Result=3","7055151")</f>
        <v>0</v>
      </c>
      <c r="B10031" t="s">
        <v>2773</v>
      </c>
      <c r="C10031" t="s">
        <v>13023</v>
      </c>
      <c r="D10031" t="s">
        <v>18814</v>
      </c>
      <c r="E10031" t="s">
        <v>27586</v>
      </c>
      <c r="F10031" t="s">
        <v>32664</v>
      </c>
      <c r="G10031" t="s">
        <v>32672</v>
      </c>
      <c r="H10031" t="s">
        <v>32683</v>
      </c>
      <c r="I10031" t="s">
        <v>10627</v>
      </c>
      <c r="J10031" t="s">
        <v>38821</v>
      </c>
      <c r="K10031" t="s">
        <v>42290</v>
      </c>
      <c r="M10031" t="s">
        <v>45613</v>
      </c>
      <c r="N10031" t="s">
        <v>46569</v>
      </c>
      <c r="O10031" t="s">
        <v>46570</v>
      </c>
      <c r="P10031">
        <v>0</v>
      </c>
      <c r="Q10031">
        <v>25</v>
      </c>
      <c r="R10031" t="s">
        <v>46577</v>
      </c>
      <c r="S10031" t="s">
        <v>46808</v>
      </c>
      <c r="T10031" t="s">
        <v>48213</v>
      </c>
      <c r="U10031" t="s">
        <v>56852</v>
      </c>
      <c r="V10031" t="s">
        <v>62673</v>
      </c>
      <c r="W10031" t="s">
        <v>45613</v>
      </c>
      <c r="X10031" t="s">
        <v>46578</v>
      </c>
    </row>
    <row r="10032" spans="1:24">
      <c r="A10032">
        <f>HYPERLINK("https://www.philgeps.gov.ph/GEPSNONPILOT/Tender/SplashBidNoticeAbstractUI.aspx?menuIndex=3&amp;refID=7055123&amp;Result=3","7055123")</f>
        <v>0</v>
      </c>
      <c r="B10032" t="s">
        <v>418</v>
      </c>
      <c r="C10032" t="s">
        <v>13024</v>
      </c>
      <c r="D10032" t="s">
        <v>18784</v>
      </c>
      <c r="E10032" t="s">
        <v>27587</v>
      </c>
      <c r="F10032" t="s">
        <v>32664</v>
      </c>
      <c r="G10032" t="s">
        <v>32672</v>
      </c>
      <c r="H10032" t="s">
        <v>12635</v>
      </c>
      <c r="I10032" t="s">
        <v>6223</v>
      </c>
      <c r="J10032" t="s">
        <v>38822</v>
      </c>
      <c r="K10032" t="s">
        <v>42289</v>
      </c>
      <c r="M10032" t="s">
        <v>42989</v>
      </c>
      <c r="N10032" t="s">
        <v>46569</v>
      </c>
      <c r="O10032" t="s">
        <v>46570</v>
      </c>
      <c r="P10032">
        <v>0</v>
      </c>
      <c r="Q10032">
        <v>0</v>
      </c>
      <c r="R10032" t="s">
        <v>46577</v>
      </c>
      <c r="S10032" t="s">
        <v>46808</v>
      </c>
      <c r="T10032" t="s">
        <v>48307</v>
      </c>
      <c r="U10032" t="s">
        <v>49872</v>
      </c>
      <c r="W10032" t="s">
        <v>42989</v>
      </c>
      <c r="X10032" t="s">
        <v>46578</v>
      </c>
    </row>
    <row r="10033" spans="1:24">
      <c r="A10033">
        <f>HYPERLINK("https://www.philgeps.gov.ph/GEPSNONPILOT/Tender/SplashBidNoticeAbstractUI.aspx?menuIndex=3&amp;refID=7055119&amp;Result=3","7055119")</f>
        <v>0</v>
      </c>
      <c r="B10033" t="s">
        <v>2785</v>
      </c>
      <c r="C10033" t="s">
        <v>13025</v>
      </c>
      <c r="D10033" t="s">
        <v>18806</v>
      </c>
      <c r="E10033" t="s">
        <v>27588</v>
      </c>
      <c r="F10033" t="s">
        <v>32664</v>
      </c>
      <c r="G10033" t="s">
        <v>32672</v>
      </c>
      <c r="H10033" t="s">
        <v>12635</v>
      </c>
      <c r="I10033" t="s">
        <v>32685</v>
      </c>
      <c r="J10033" t="s">
        <v>38823</v>
      </c>
      <c r="K10033" t="s">
        <v>42289</v>
      </c>
      <c r="M10033" t="s">
        <v>45627</v>
      </c>
      <c r="N10033" t="s">
        <v>46569</v>
      </c>
      <c r="O10033" t="s">
        <v>46570</v>
      </c>
      <c r="P10033">
        <v>0</v>
      </c>
      <c r="Q10033">
        <v>1</v>
      </c>
      <c r="R10033" t="s">
        <v>46577</v>
      </c>
      <c r="S10033" t="s">
        <v>46808</v>
      </c>
      <c r="T10033" t="s">
        <v>48212</v>
      </c>
      <c r="U10033" t="s">
        <v>56853</v>
      </c>
      <c r="V10033" t="s">
        <v>62675</v>
      </c>
      <c r="W10033" t="s">
        <v>45627</v>
      </c>
      <c r="X10033" t="s">
        <v>46578</v>
      </c>
    </row>
    <row r="10034" spans="1:24">
      <c r="A10034">
        <f>HYPERLINK("https://www.philgeps.gov.ph/GEPSNONPILOT/Tender/SplashBidNoticeAbstractUI.aspx?menuIndex=3&amp;refID=7055108&amp;Result=3","7055108")</f>
        <v>0</v>
      </c>
      <c r="B10034" t="s">
        <v>418</v>
      </c>
      <c r="C10034" t="s">
        <v>13026</v>
      </c>
      <c r="D10034" t="s">
        <v>18784</v>
      </c>
      <c r="E10034" t="s">
        <v>27589</v>
      </c>
      <c r="F10034" t="s">
        <v>32664</v>
      </c>
      <c r="G10034" t="s">
        <v>32672</v>
      </c>
      <c r="H10034" t="s">
        <v>12635</v>
      </c>
      <c r="I10034" t="s">
        <v>6168</v>
      </c>
      <c r="J10034" t="s">
        <v>38824</v>
      </c>
      <c r="K10034" t="s">
        <v>42289</v>
      </c>
      <c r="M10034" t="s">
        <v>42989</v>
      </c>
      <c r="N10034" t="s">
        <v>46569</v>
      </c>
      <c r="O10034" t="s">
        <v>46570</v>
      </c>
      <c r="P10034">
        <v>0</v>
      </c>
      <c r="Q10034">
        <v>2</v>
      </c>
      <c r="R10034" t="s">
        <v>46577</v>
      </c>
      <c r="S10034" t="s">
        <v>46808</v>
      </c>
      <c r="T10034" t="s">
        <v>48307</v>
      </c>
      <c r="U10034" t="s">
        <v>49404</v>
      </c>
      <c r="W10034" t="s">
        <v>42989</v>
      </c>
      <c r="X10034" t="s">
        <v>46578</v>
      </c>
    </row>
    <row r="10035" spans="1:24">
      <c r="A10035">
        <f>HYPERLINK("https://www.philgeps.gov.ph/GEPSNONPILOT/Tender/SplashBidNoticeAbstractUI.aspx?menuIndex=3&amp;refID=7055191&amp;Result=3","7055191")</f>
        <v>0</v>
      </c>
      <c r="B10035" t="s">
        <v>179</v>
      </c>
      <c r="C10035" t="s">
        <v>13027</v>
      </c>
      <c r="D10035" t="s">
        <v>18830</v>
      </c>
      <c r="E10035" t="s">
        <v>27590</v>
      </c>
      <c r="F10035" t="s">
        <v>32664</v>
      </c>
      <c r="G10035" t="s">
        <v>32671</v>
      </c>
      <c r="H10035" t="s">
        <v>32683</v>
      </c>
      <c r="I10035" t="s">
        <v>10627</v>
      </c>
      <c r="J10035" t="s">
        <v>32865</v>
      </c>
      <c r="K10035" t="s">
        <v>42336</v>
      </c>
      <c r="M10035" t="s">
        <v>45516</v>
      </c>
      <c r="N10035" t="s">
        <v>46569</v>
      </c>
      <c r="O10035" t="s">
        <v>46570</v>
      </c>
      <c r="P10035">
        <v>0</v>
      </c>
      <c r="Q10035">
        <v>0</v>
      </c>
      <c r="R10035" t="s">
        <v>46577</v>
      </c>
      <c r="S10035" t="s">
        <v>46808</v>
      </c>
      <c r="T10035" t="s">
        <v>48573</v>
      </c>
      <c r="U10035" t="s">
        <v>56399</v>
      </c>
      <c r="W10035" t="s">
        <v>45631</v>
      </c>
      <c r="X10035" t="s">
        <v>46578</v>
      </c>
    </row>
    <row r="10036" spans="1:24">
      <c r="A10036">
        <f>HYPERLINK("https://www.philgeps.gov.ph/GEPSNONPILOT/Tender/SplashBidNoticeAbstractUI.aspx?menuIndex=3&amp;refID=7055189&amp;Result=3","7055189")</f>
        <v>0</v>
      </c>
      <c r="B10036" t="s">
        <v>418</v>
      </c>
      <c r="C10036" t="s">
        <v>13028</v>
      </c>
      <c r="D10036" t="s">
        <v>18784</v>
      </c>
      <c r="E10036" t="s">
        <v>27591</v>
      </c>
      <c r="F10036" t="s">
        <v>32664</v>
      </c>
      <c r="G10036" t="s">
        <v>32672</v>
      </c>
      <c r="H10036" t="s">
        <v>12635</v>
      </c>
      <c r="I10036" t="s">
        <v>6223</v>
      </c>
      <c r="J10036" t="s">
        <v>38825</v>
      </c>
      <c r="K10036" t="s">
        <v>42289</v>
      </c>
      <c r="M10036" t="s">
        <v>42989</v>
      </c>
      <c r="N10036" t="s">
        <v>46569</v>
      </c>
      <c r="O10036" t="s">
        <v>46570</v>
      </c>
      <c r="P10036">
        <v>0</v>
      </c>
      <c r="Q10036">
        <v>0</v>
      </c>
      <c r="R10036" t="s">
        <v>46577</v>
      </c>
      <c r="S10036" t="s">
        <v>46808</v>
      </c>
      <c r="T10036" t="s">
        <v>48307</v>
      </c>
      <c r="U10036" t="s">
        <v>49872</v>
      </c>
      <c r="W10036" t="s">
        <v>42989</v>
      </c>
      <c r="X10036" t="s">
        <v>46578</v>
      </c>
    </row>
    <row r="10037" spans="1:24">
      <c r="A10037">
        <f>HYPERLINK("https://www.philgeps.gov.ph/GEPSNONPILOT/Tender/SplashBidNoticeAbstractUI.aspx?menuIndex=3&amp;refID=7055072&amp;Result=3","7055072")</f>
        <v>0</v>
      </c>
      <c r="B10037" t="s">
        <v>1112</v>
      </c>
      <c r="C10037" t="s">
        <v>13029</v>
      </c>
      <c r="D10037" t="s">
        <v>18842</v>
      </c>
      <c r="E10037" t="s">
        <v>27592</v>
      </c>
      <c r="F10037" t="s">
        <v>32664</v>
      </c>
      <c r="G10037" t="s">
        <v>32672</v>
      </c>
      <c r="H10037" t="s">
        <v>12635</v>
      </c>
      <c r="I10037" t="s">
        <v>32708</v>
      </c>
      <c r="J10037" t="s">
        <v>34481</v>
      </c>
      <c r="K10037" t="s">
        <v>42283</v>
      </c>
      <c r="M10037" t="s">
        <v>43739</v>
      </c>
      <c r="N10037" t="s">
        <v>46569</v>
      </c>
      <c r="O10037" t="s">
        <v>46570</v>
      </c>
      <c r="P10037">
        <v>0</v>
      </c>
      <c r="Q10037">
        <v>7</v>
      </c>
      <c r="R10037" t="s">
        <v>46577</v>
      </c>
      <c r="S10037" t="s">
        <v>46808</v>
      </c>
      <c r="T10037" t="s">
        <v>48394</v>
      </c>
      <c r="U10037" t="s">
        <v>56854</v>
      </c>
      <c r="W10037" t="s">
        <v>43739</v>
      </c>
      <c r="X10037" t="s">
        <v>46578</v>
      </c>
    </row>
    <row r="10038" spans="1:24">
      <c r="A10038">
        <f>HYPERLINK("https://www.philgeps.gov.ph/GEPSNONPILOT/Tender/SplashBidNoticeAbstractUI.aspx?menuIndex=3&amp;refID=7055066&amp;Result=3","7055066")</f>
        <v>0</v>
      </c>
      <c r="B10038" t="s">
        <v>1383</v>
      </c>
      <c r="C10038" t="s">
        <v>13030</v>
      </c>
      <c r="D10038" t="s">
        <v>18837</v>
      </c>
      <c r="E10038" t="s">
        <v>27593</v>
      </c>
      <c r="F10038" t="s">
        <v>32664</v>
      </c>
      <c r="G10038" t="s">
        <v>32672</v>
      </c>
      <c r="H10038" t="s">
        <v>12635</v>
      </c>
      <c r="I10038" t="s">
        <v>8730</v>
      </c>
      <c r="J10038" t="s">
        <v>38826</v>
      </c>
      <c r="K10038" t="s">
        <v>42281</v>
      </c>
      <c r="M10038" t="s">
        <v>44038</v>
      </c>
      <c r="N10038" t="s">
        <v>46569</v>
      </c>
      <c r="O10038" t="s">
        <v>46570</v>
      </c>
      <c r="P10038">
        <v>0</v>
      </c>
      <c r="Q10038">
        <v>6</v>
      </c>
      <c r="R10038" t="s">
        <v>46577</v>
      </c>
      <c r="S10038" t="s">
        <v>46808</v>
      </c>
      <c r="T10038" t="s">
        <v>48405</v>
      </c>
      <c r="U10038" t="s">
        <v>56855</v>
      </c>
      <c r="V10038" t="s">
        <v>62676</v>
      </c>
      <c r="W10038" t="s">
        <v>44038</v>
      </c>
      <c r="X10038" t="s">
        <v>46578</v>
      </c>
    </row>
    <row r="10039" spans="1:24">
      <c r="A10039">
        <f>HYPERLINK("https://www.philgeps.gov.ph/GEPSNONPILOT/Tender/SplashBidNoticeAbstractUI.aspx?menuIndex=3&amp;refID=7055122&amp;Result=3","7055122")</f>
        <v>0</v>
      </c>
      <c r="B10039" t="s">
        <v>2773</v>
      </c>
      <c r="C10039" t="s">
        <v>13031</v>
      </c>
      <c r="D10039" t="s">
        <v>18814</v>
      </c>
      <c r="E10039" t="s">
        <v>27594</v>
      </c>
      <c r="F10039" t="s">
        <v>32664</v>
      </c>
      <c r="G10039" t="s">
        <v>32672</v>
      </c>
      <c r="H10039" t="s">
        <v>32683</v>
      </c>
      <c r="I10039" t="s">
        <v>10627</v>
      </c>
      <c r="J10039" t="s">
        <v>38827</v>
      </c>
      <c r="K10039" t="s">
        <v>42290</v>
      </c>
      <c r="M10039" t="s">
        <v>45613</v>
      </c>
      <c r="N10039" t="s">
        <v>46569</v>
      </c>
      <c r="O10039" t="s">
        <v>46570</v>
      </c>
      <c r="P10039">
        <v>0</v>
      </c>
      <c r="Q10039">
        <v>25</v>
      </c>
      <c r="R10039" t="s">
        <v>46577</v>
      </c>
      <c r="S10039" t="s">
        <v>46808</v>
      </c>
      <c r="T10039" t="s">
        <v>48213</v>
      </c>
      <c r="U10039" t="s">
        <v>56856</v>
      </c>
      <c r="V10039" t="s">
        <v>62673</v>
      </c>
      <c r="W10039" t="s">
        <v>45613</v>
      </c>
      <c r="X10039" t="s">
        <v>46578</v>
      </c>
    </row>
    <row r="10040" spans="1:24">
      <c r="A10040">
        <f>HYPERLINK("https://www.philgeps.gov.ph/GEPSNONPILOT/Tender/SplashBidNoticeAbstractUI.aspx?menuIndex=3&amp;refID=7055068&amp;Result=3","7055068")</f>
        <v>0</v>
      </c>
      <c r="B10040" t="s">
        <v>1018</v>
      </c>
      <c r="C10040" t="s">
        <v>13032</v>
      </c>
      <c r="D10040" t="s">
        <v>18835</v>
      </c>
      <c r="E10040" t="s">
        <v>27595</v>
      </c>
      <c r="F10040" t="s">
        <v>32664</v>
      </c>
      <c r="G10040" t="s">
        <v>32672</v>
      </c>
      <c r="H10040" t="s">
        <v>12635</v>
      </c>
      <c r="I10040" t="s">
        <v>6118</v>
      </c>
      <c r="J10040" t="s">
        <v>33121</v>
      </c>
      <c r="K10040" t="s">
        <v>42297</v>
      </c>
      <c r="M10040" t="s">
        <v>43630</v>
      </c>
      <c r="N10040" t="s">
        <v>46569</v>
      </c>
      <c r="O10040" t="s">
        <v>46570</v>
      </c>
      <c r="P10040">
        <v>0</v>
      </c>
      <c r="Q10040">
        <v>0</v>
      </c>
      <c r="R10040" t="s">
        <v>46577</v>
      </c>
      <c r="S10040" t="s">
        <v>46808</v>
      </c>
      <c r="T10040" t="s">
        <v>48376</v>
      </c>
      <c r="U10040" t="s">
        <v>56857</v>
      </c>
      <c r="W10040" t="s">
        <v>43630</v>
      </c>
      <c r="X10040" t="s">
        <v>46578</v>
      </c>
    </row>
    <row r="10041" spans="1:24">
      <c r="A10041">
        <f>HYPERLINK("https://www.philgeps.gov.ph/GEPSNONPILOT/Tender/SplashBidNoticeAbstractUI.aspx?menuIndex=3&amp;refID=7055107&amp;Result=3","7055107")</f>
        <v>0</v>
      </c>
      <c r="B10041" t="s">
        <v>2263</v>
      </c>
      <c r="C10041" t="s">
        <v>13033</v>
      </c>
      <c r="D10041" t="s">
        <v>18827</v>
      </c>
      <c r="E10041" t="s">
        <v>27596</v>
      </c>
      <c r="F10041" t="s">
        <v>32664</v>
      </c>
      <c r="G10041" t="s">
        <v>32671</v>
      </c>
      <c r="H10041" t="s">
        <v>12635</v>
      </c>
      <c r="I10041" t="s">
        <v>6223</v>
      </c>
      <c r="J10041" t="s">
        <v>38828</v>
      </c>
      <c r="K10041" t="s">
        <v>42295</v>
      </c>
      <c r="M10041" t="s">
        <v>45029</v>
      </c>
      <c r="N10041" t="s">
        <v>46569</v>
      </c>
      <c r="O10041" t="s">
        <v>46570</v>
      </c>
      <c r="P10041">
        <v>0</v>
      </c>
      <c r="Q10041">
        <v>0</v>
      </c>
      <c r="R10041" t="s">
        <v>46577</v>
      </c>
      <c r="S10041" t="s">
        <v>46808</v>
      </c>
      <c r="T10041" t="s">
        <v>48290</v>
      </c>
      <c r="U10041" t="s">
        <v>56858</v>
      </c>
      <c r="W10041" t="s">
        <v>45029</v>
      </c>
      <c r="X10041" t="s">
        <v>46578</v>
      </c>
    </row>
    <row r="10042" spans="1:24">
      <c r="A10042">
        <f>HYPERLINK("https://www.philgeps.gov.ph/GEPSNONPILOT/Tender/SplashBidNoticeAbstractUI.aspx?menuIndex=3&amp;refID=7055062&amp;Result=3","7055062")</f>
        <v>0</v>
      </c>
      <c r="B10042" t="s">
        <v>1563</v>
      </c>
      <c r="C10042" t="s">
        <v>13034</v>
      </c>
      <c r="D10042" t="s">
        <v>18822</v>
      </c>
      <c r="E10042" t="s">
        <v>27564</v>
      </c>
      <c r="F10042" t="s">
        <v>32664</v>
      </c>
      <c r="G10042" t="s">
        <v>32674</v>
      </c>
      <c r="H10042" t="s">
        <v>12635</v>
      </c>
      <c r="I10042" t="s">
        <v>32692</v>
      </c>
      <c r="J10042" t="s">
        <v>38829</v>
      </c>
      <c r="K10042" t="s">
        <v>42297</v>
      </c>
      <c r="M10042" t="s">
        <v>44235</v>
      </c>
      <c r="N10042" t="s">
        <v>46569</v>
      </c>
      <c r="O10042" t="s">
        <v>46570</v>
      </c>
      <c r="P10042">
        <v>0</v>
      </c>
      <c r="Q10042">
        <v>3</v>
      </c>
      <c r="R10042" t="s">
        <v>46577</v>
      </c>
      <c r="S10042" t="s">
        <v>46808</v>
      </c>
      <c r="T10042" t="s">
        <v>48578</v>
      </c>
      <c r="U10042" t="s">
        <v>56859</v>
      </c>
      <c r="W10042" t="s">
        <v>44235</v>
      </c>
      <c r="X10042" t="s">
        <v>46578</v>
      </c>
    </row>
    <row r="10043" spans="1:24">
      <c r="A10043">
        <f>HYPERLINK("https://www.philgeps.gov.ph/GEPSNONPILOT/Tender/SplashBidNoticeAbstractUI.aspx?menuIndex=3&amp;refID=7055114&amp;Result=3","7055114")</f>
        <v>0</v>
      </c>
      <c r="B10043" t="s">
        <v>2105</v>
      </c>
      <c r="C10043" t="s">
        <v>13035</v>
      </c>
      <c r="D10043" t="s">
        <v>18857</v>
      </c>
      <c r="E10043" t="s">
        <v>27597</v>
      </c>
      <c r="F10043" t="s">
        <v>32664</v>
      </c>
      <c r="G10043" t="s">
        <v>32672</v>
      </c>
      <c r="H10043" t="s">
        <v>32683</v>
      </c>
      <c r="I10043" t="s">
        <v>10627</v>
      </c>
      <c r="J10043" t="s">
        <v>38830</v>
      </c>
      <c r="K10043" t="s">
        <v>42498</v>
      </c>
      <c r="M10043" t="s">
        <v>44860</v>
      </c>
      <c r="N10043" t="s">
        <v>46569</v>
      </c>
      <c r="O10043" t="s">
        <v>46570</v>
      </c>
      <c r="P10043">
        <v>0</v>
      </c>
      <c r="Q10043">
        <v>0</v>
      </c>
      <c r="R10043" t="s">
        <v>46577</v>
      </c>
      <c r="S10043" t="s">
        <v>46808</v>
      </c>
      <c r="T10043" t="s">
        <v>48262</v>
      </c>
      <c r="U10043" t="s">
        <v>56860</v>
      </c>
      <c r="W10043" t="s">
        <v>44860</v>
      </c>
      <c r="X10043" t="s">
        <v>46578</v>
      </c>
    </row>
    <row r="10044" spans="1:24">
      <c r="A10044">
        <f>HYPERLINK("https://www.philgeps.gov.ph/GEPSNONPILOT/Tender/SplashBidNoticeAbstractUI.aspx?menuIndex=3&amp;refID=7054941&amp;Result=3","7054941")</f>
        <v>0</v>
      </c>
      <c r="B10044" t="s">
        <v>2786</v>
      </c>
      <c r="C10044" t="s">
        <v>13036</v>
      </c>
      <c r="D10044" t="s">
        <v>18823</v>
      </c>
      <c r="E10044" t="s">
        <v>21047</v>
      </c>
      <c r="F10044" t="s">
        <v>32665</v>
      </c>
      <c r="G10044" t="s">
        <v>32674</v>
      </c>
      <c r="H10044" t="s">
        <v>12635</v>
      </c>
      <c r="I10044" t="s">
        <v>6223</v>
      </c>
      <c r="J10044" t="s">
        <v>38831</v>
      </c>
      <c r="K10044" t="s">
        <v>42289</v>
      </c>
      <c r="M10044" t="s">
        <v>45628</v>
      </c>
      <c r="N10044" t="s">
        <v>46569</v>
      </c>
      <c r="O10044" t="s">
        <v>46570</v>
      </c>
      <c r="P10044">
        <v>0</v>
      </c>
      <c r="Q10044">
        <v>2</v>
      </c>
      <c r="R10044" t="s">
        <v>46577</v>
      </c>
      <c r="S10044" t="s">
        <v>46808</v>
      </c>
      <c r="T10044" t="s">
        <v>48427</v>
      </c>
      <c r="U10044" t="s">
        <v>56861</v>
      </c>
      <c r="W10044" t="s">
        <v>45628</v>
      </c>
      <c r="X10044" t="s">
        <v>46578</v>
      </c>
    </row>
    <row r="10045" spans="1:24">
      <c r="A10045">
        <f>HYPERLINK("https://www.philgeps.gov.ph/GEPSNONPILOT/Tender/SplashBidNoticeAbstractUI.aspx?menuIndex=3&amp;refID=7055221&amp;Result=3","7055221")</f>
        <v>0</v>
      </c>
      <c r="B10045" t="s">
        <v>2787</v>
      </c>
      <c r="C10045" t="s">
        <v>13037</v>
      </c>
      <c r="E10045" t="s">
        <v>27598</v>
      </c>
      <c r="F10045" t="s">
        <v>32664</v>
      </c>
      <c r="G10045" t="s">
        <v>32672</v>
      </c>
      <c r="H10045" t="s">
        <v>12635</v>
      </c>
      <c r="I10045" t="s">
        <v>11464</v>
      </c>
      <c r="J10045" t="s">
        <v>33302</v>
      </c>
      <c r="K10045" t="s">
        <v>42281</v>
      </c>
      <c r="M10045" t="s">
        <v>45629</v>
      </c>
      <c r="N10045" t="s">
        <v>46569</v>
      </c>
      <c r="O10045" t="s">
        <v>46570</v>
      </c>
      <c r="P10045">
        <v>0</v>
      </c>
      <c r="Q10045">
        <v>3</v>
      </c>
      <c r="R10045" t="s">
        <v>46577</v>
      </c>
      <c r="S10045" t="s">
        <v>46808</v>
      </c>
      <c r="T10045" t="s">
        <v>48245</v>
      </c>
      <c r="U10045" t="s">
        <v>56862</v>
      </c>
      <c r="W10045" t="s">
        <v>45629</v>
      </c>
      <c r="X10045" t="s">
        <v>46578</v>
      </c>
    </row>
    <row r="10046" spans="1:24">
      <c r="A10046">
        <f>HYPERLINK("https://www.philgeps.gov.ph/GEPSNONPILOT/Tender/SplashBidNoticeAbstractUI.aspx?menuIndex=3&amp;refID=7054937&amp;Result=3","7054937")</f>
        <v>0</v>
      </c>
      <c r="B10046" t="s">
        <v>253</v>
      </c>
      <c r="C10046" t="s">
        <v>13038</v>
      </c>
      <c r="D10046" t="s">
        <v>18790</v>
      </c>
      <c r="E10046" t="s">
        <v>27599</v>
      </c>
      <c r="F10046" t="s">
        <v>32664</v>
      </c>
      <c r="G10046" t="s">
        <v>32672</v>
      </c>
      <c r="H10046" t="s">
        <v>12635</v>
      </c>
      <c r="I10046" t="s">
        <v>32718</v>
      </c>
      <c r="J10046" t="s">
        <v>38649</v>
      </c>
      <c r="K10046" t="s">
        <v>42283</v>
      </c>
      <c r="M10046" t="s">
        <v>42851</v>
      </c>
      <c r="N10046" t="s">
        <v>46569</v>
      </c>
      <c r="O10046" t="s">
        <v>46570</v>
      </c>
      <c r="P10046">
        <v>0</v>
      </c>
      <c r="Q10046">
        <v>0</v>
      </c>
      <c r="R10046" t="s">
        <v>46577</v>
      </c>
      <c r="S10046" t="s">
        <v>46808</v>
      </c>
      <c r="T10046" t="s">
        <v>48283</v>
      </c>
      <c r="U10046" t="s">
        <v>56863</v>
      </c>
      <c r="W10046" t="s">
        <v>42851</v>
      </c>
      <c r="X10046" t="s">
        <v>46578</v>
      </c>
    </row>
    <row r="10047" spans="1:24">
      <c r="A10047">
        <f>HYPERLINK("https://www.philgeps.gov.ph/GEPSNONPILOT/Tender/SplashBidNoticeAbstractUI.aspx?menuIndex=3&amp;refID=7054893&amp;Result=3","7054893")</f>
        <v>0</v>
      </c>
      <c r="B10047" t="s">
        <v>2469</v>
      </c>
      <c r="C10047" t="s">
        <v>13039</v>
      </c>
      <c r="D10047" t="s">
        <v>18801</v>
      </c>
      <c r="E10047" t="s">
        <v>27600</v>
      </c>
      <c r="F10047" t="s">
        <v>32664</v>
      </c>
      <c r="G10047" t="s">
        <v>32672</v>
      </c>
      <c r="H10047" t="s">
        <v>32683</v>
      </c>
      <c r="I10047" t="s">
        <v>10627</v>
      </c>
      <c r="J10047" t="s">
        <v>32981</v>
      </c>
      <c r="K10047" t="s">
        <v>42311</v>
      </c>
      <c r="M10047" t="s">
        <v>45270</v>
      </c>
      <c r="N10047" t="s">
        <v>46569</v>
      </c>
      <c r="O10047" t="s">
        <v>46570</v>
      </c>
      <c r="P10047">
        <v>0</v>
      </c>
      <c r="Q10047">
        <v>10</v>
      </c>
      <c r="R10047" t="s">
        <v>46577</v>
      </c>
      <c r="S10047" t="s">
        <v>46808</v>
      </c>
      <c r="T10047" t="s">
        <v>48273</v>
      </c>
      <c r="U10047" t="s">
        <v>55574</v>
      </c>
      <c r="V10047" t="s">
        <v>62260</v>
      </c>
      <c r="W10047" t="s">
        <v>63562</v>
      </c>
      <c r="X10047" t="s">
        <v>46578</v>
      </c>
    </row>
    <row r="10048" spans="1:24">
      <c r="A10048">
        <f>HYPERLINK("https://www.philgeps.gov.ph/GEPSNONPILOT/Tender/SplashBidNoticeAbstractUI.aspx?menuIndex=3&amp;refID=7054902&amp;Result=3","7054902")</f>
        <v>0</v>
      </c>
      <c r="B10048" t="s">
        <v>2746</v>
      </c>
      <c r="C10048" t="s">
        <v>13040</v>
      </c>
      <c r="D10048" t="s">
        <v>18784</v>
      </c>
      <c r="E10048" t="s">
        <v>19708</v>
      </c>
      <c r="F10048" t="s">
        <v>32664</v>
      </c>
      <c r="G10048" t="s">
        <v>32671</v>
      </c>
      <c r="H10048" t="s">
        <v>12635</v>
      </c>
      <c r="I10048" t="s">
        <v>32704</v>
      </c>
      <c r="J10048" t="s">
        <v>38832</v>
      </c>
      <c r="K10048" t="s">
        <v>42305</v>
      </c>
      <c r="M10048" t="s">
        <v>45580</v>
      </c>
      <c r="N10048" t="s">
        <v>46569</v>
      </c>
      <c r="O10048" t="s">
        <v>46570</v>
      </c>
      <c r="P10048">
        <v>0</v>
      </c>
      <c r="Q10048">
        <v>9</v>
      </c>
      <c r="R10048" t="s">
        <v>46577</v>
      </c>
      <c r="S10048" t="s">
        <v>46808</v>
      </c>
      <c r="T10048" t="s">
        <v>48307</v>
      </c>
      <c r="U10048" t="s">
        <v>56657</v>
      </c>
      <c r="V10048" t="s">
        <v>62649</v>
      </c>
      <c r="W10048" t="s">
        <v>45580</v>
      </c>
      <c r="X10048" t="s">
        <v>46578</v>
      </c>
    </row>
    <row r="10049" spans="1:24">
      <c r="A10049">
        <f>HYPERLINK("https://www.philgeps.gov.ph/GEPSNONPILOT/Tender/SplashBidNoticeAbstractUI.aspx?menuIndex=3&amp;refID=7054892&amp;Result=3","7054892")</f>
        <v>0</v>
      </c>
      <c r="B10049" t="s">
        <v>401</v>
      </c>
      <c r="C10049" t="s">
        <v>13041</v>
      </c>
      <c r="E10049" t="s">
        <v>27601</v>
      </c>
      <c r="F10049" t="s">
        <v>32664</v>
      </c>
      <c r="G10049" t="s">
        <v>32672</v>
      </c>
      <c r="H10049" t="s">
        <v>32681</v>
      </c>
      <c r="I10049" t="s">
        <v>32681</v>
      </c>
      <c r="J10049" t="s">
        <v>38833</v>
      </c>
      <c r="K10049" t="s">
        <v>42369</v>
      </c>
      <c r="M10049" t="s">
        <v>42971</v>
      </c>
      <c r="N10049" t="s">
        <v>46569</v>
      </c>
      <c r="O10049" t="s">
        <v>46570</v>
      </c>
      <c r="P10049">
        <v>0</v>
      </c>
      <c r="Q10049">
        <v>4</v>
      </c>
      <c r="R10049" t="s">
        <v>46577</v>
      </c>
      <c r="S10049" t="s">
        <v>46808</v>
      </c>
      <c r="T10049" t="s">
        <v>48287</v>
      </c>
      <c r="U10049" t="s">
        <v>56864</v>
      </c>
      <c r="W10049" t="s">
        <v>42971</v>
      </c>
      <c r="X10049" t="s">
        <v>46578</v>
      </c>
    </row>
    <row r="10050" spans="1:24">
      <c r="A10050">
        <f>HYPERLINK("https://www.philgeps.gov.ph/GEPSNONPILOT/Tender/SplashBidNoticeAbstractUI.aspx?menuIndex=3&amp;refID=7054888&amp;Result=3","7054888")</f>
        <v>0</v>
      </c>
      <c r="B10050" t="s">
        <v>2788</v>
      </c>
      <c r="C10050" t="s">
        <v>13042</v>
      </c>
      <c r="D10050" t="s">
        <v>18794</v>
      </c>
      <c r="E10050" t="s">
        <v>21652</v>
      </c>
      <c r="F10050" t="s">
        <v>32664</v>
      </c>
      <c r="G10050" t="s">
        <v>32672</v>
      </c>
      <c r="H10050" t="s">
        <v>12635</v>
      </c>
      <c r="I10050" t="s">
        <v>32783</v>
      </c>
      <c r="J10050" t="s">
        <v>38834</v>
      </c>
      <c r="K10050" t="s">
        <v>42298</v>
      </c>
      <c r="M10050" t="s">
        <v>45630</v>
      </c>
      <c r="N10050" t="s">
        <v>46569</v>
      </c>
      <c r="O10050" t="s">
        <v>46570</v>
      </c>
      <c r="P10050">
        <v>0</v>
      </c>
      <c r="Q10050">
        <v>7</v>
      </c>
      <c r="R10050" t="s">
        <v>46577</v>
      </c>
      <c r="S10050" t="s">
        <v>46808</v>
      </c>
      <c r="T10050" t="s">
        <v>48261</v>
      </c>
      <c r="U10050" t="s">
        <v>56865</v>
      </c>
      <c r="V10050" t="s">
        <v>62677</v>
      </c>
      <c r="W10050" t="s">
        <v>45630</v>
      </c>
      <c r="X10050" t="s">
        <v>46578</v>
      </c>
    </row>
    <row r="10051" spans="1:24">
      <c r="A10051">
        <f>HYPERLINK("https://www.philgeps.gov.ph/GEPSNONPILOT/Tender/SplashBidNoticeAbstractUI.aspx?menuIndex=3&amp;refID=7054956&amp;Result=3","7054956")</f>
        <v>0</v>
      </c>
      <c r="B10051" t="s">
        <v>1563</v>
      </c>
      <c r="C10051" t="s">
        <v>13034</v>
      </c>
      <c r="D10051" t="s">
        <v>18822</v>
      </c>
      <c r="E10051" t="s">
        <v>27564</v>
      </c>
      <c r="F10051" t="s">
        <v>32664</v>
      </c>
      <c r="G10051" t="s">
        <v>32674</v>
      </c>
      <c r="H10051" t="s">
        <v>12635</v>
      </c>
      <c r="I10051" t="s">
        <v>32692</v>
      </c>
      <c r="J10051" t="s">
        <v>33096</v>
      </c>
      <c r="K10051" t="s">
        <v>42297</v>
      </c>
      <c r="M10051" t="s">
        <v>44235</v>
      </c>
      <c r="N10051" t="s">
        <v>46569</v>
      </c>
      <c r="O10051" t="s">
        <v>46570</v>
      </c>
      <c r="P10051">
        <v>0</v>
      </c>
      <c r="Q10051">
        <v>1</v>
      </c>
      <c r="R10051" t="s">
        <v>46577</v>
      </c>
      <c r="S10051" t="s">
        <v>46808</v>
      </c>
      <c r="T10051" t="s">
        <v>48578</v>
      </c>
      <c r="U10051" t="s">
        <v>56859</v>
      </c>
      <c r="W10051" t="s">
        <v>44235</v>
      </c>
      <c r="X10051" t="s">
        <v>46578</v>
      </c>
    </row>
    <row r="10052" spans="1:24">
      <c r="A10052">
        <f>HYPERLINK("https://www.philgeps.gov.ph/GEPSNONPILOT/Tender/SplashBidNoticeAbstractUI.aspx?menuIndex=3&amp;refID=7055232&amp;Result=3","7055232")</f>
        <v>0</v>
      </c>
      <c r="B10052" t="s">
        <v>418</v>
      </c>
      <c r="C10052" t="s">
        <v>13043</v>
      </c>
      <c r="D10052" t="s">
        <v>18784</v>
      </c>
      <c r="E10052" t="s">
        <v>27602</v>
      </c>
      <c r="F10052" t="s">
        <v>32664</v>
      </c>
      <c r="G10052" t="s">
        <v>32672</v>
      </c>
      <c r="H10052" t="s">
        <v>12635</v>
      </c>
      <c r="I10052" t="s">
        <v>6223</v>
      </c>
      <c r="J10052" t="s">
        <v>38835</v>
      </c>
      <c r="K10052" t="s">
        <v>42289</v>
      </c>
      <c r="M10052" t="s">
        <v>42989</v>
      </c>
      <c r="N10052" t="s">
        <v>46569</v>
      </c>
      <c r="O10052" t="s">
        <v>46570</v>
      </c>
      <c r="P10052">
        <v>0</v>
      </c>
      <c r="Q10052">
        <v>0</v>
      </c>
      <c r="R10052" t="s">
        <v>46577</v>
      </c>
      <c r="S10052" t="s">
        <v>46808</v>
      </c>
      <c r="T10052" t="s">
        <v>48307</v>
      </c>
      <c r="U10052" t="s">
        <v>49872</v>
      </c>
      <c r="W10052" t="s">
        <v>42989</v>
      </c>
      <c r="X10052" t="s">
        <v>46578</v>
      </c>
    </row>
    <row r="10053" spans="1:24">
      <c r="A10053">
        <f>HYPERLINK("https://www.philgeps.gov.ph/GEPSNONPILOT/Tender/SplashBidNoticeAbstractUI.aspx?menuIndex=3&amp;refID=7055210&amp;Result=3","7055210")</f>
        <v>0</v>
      </c>
      <c r="B10053" t="s">
        <v>2778</v>
      </c>
      <c r="C10053" t="s">
        <v>13044</v>
      </c>
      <c r="D10053" t="s">
        <v>18837</v>
      </c>
      <c r="E10053" t="s">
        <v>27603</v>
      </c>
      <c r="F10053" t="s">
        <v>32664</v>
      </c>
      <c r="G10053" t="s">
        <v>32672</v>
      </c>
      <c r="H10053" t="s">
        <v>12635</v>
      </c>
      <c r="I10053" t="s">
        <v>4439</v>
      </c>
      <c r="J10053" t="s">
        <v>38836</v>
      </c>
      <c r="K10053" t="s">
        <v>42289</v>
      </c>
      <c r="L10053" t="s">
        <v>2778</v>
      </c>
      <c r="M10053" t="s">
        <v>45618</v>
      </c>
      <c r="N10053" t="s">
        <v>46569</v>
      </c>
      <c r="O10053" t="s">
        <v>46570</v>
      </c>
      <c r="P10053">
        <v>0</v>
      </c>
      <c r="Q10053">
        <v>0</v>
      </c>
      <c r="R10053" t="s">
        <v>46577</v>
      </c>
      <c r="S10053" t="s">
        <v>46808</v>
      </c>
      <c r="T10053" t="s">
        <v>48479</v>
      </c>
      <c r="U10053" t="s">
        <v>56866</v>
      </c>
      <c r="W10053" t="s">
        <v>45618</v>
      </c>
      <c r="X10053" t="s">
        <v>46578</v>
      </c>
    </row>
    <row r="10054" spans="1:24">
      <c r="A10054">
        <f>HYPERLINK("https://www.philgeps.gov.ph/GEPSNONPILOT/Tender/SplashBidNoticeAbstractUI.aspx?menuIndex=3&amp;refID=7054897&amp;Result=3","7054897")</f>
        <v>0</v>
      </c>
      <c r="B10054" t="s">
        <v>2512</v>
      </c>
      <c r="C10054" t="s">
        <v>13045</v>
      </c>
      <c r="D10054" t="s">
        <v>18805</v>
      </c>
      <c r="E10054" t="s">
        <v>19247</v>
      </c>
      <c r="F10054" t="s">
        <v>32664</v>
      </c>
      <c r="G10054" t="s">
        <v>32672</v>
      </c>
      <c r="H10054" t="s">
        <v>12635</v>
      </c>
      <c r="I10054" t="s">
        <v>32694</v>
      </c>
      <c r="J10054" t="s">
        <v>38837</v>
      </c>
      <c r="K10054" t="s">
        <v>42297</v>
      </c>
      <c r="M10054" t="s">
        <v>45317</v>
      </c>
      <c r="N10054" t="s">
        <v>46569</v>
      </c>
      <c r="O10054" t="s">
        <v>46570</v>
      </c>
      <c r="P10054">
        <v>0</v>
      </c>
      <c r="Q10054">
        <v>0</v>
      </c>
      <c r="R10054" t="s">
        <v>46577</v>
      </c>
      <c r="S10054" t="s">
        <v>46808</v>
      </c>
      <c r="T10054" t="s">
        <v>48376</v>
      </c>
      <c r="U10054" t="s">
        <v>56867</v>
      </c>
      <c r="W10054" t="s">
        <v>45317</v>
      </c>
      <c r="X10054" t="s">
        <v>46578</v>
      </c>
    </row>
    <row r="10055" spans="1:24">
      <c r="A10055">
        <f>HYPERLINK("https://www.philgeps.gov.ph/GEPSNONPILOT/Tender/SplashBidNoticeAbstractUI.aspx?menuIndex=3&amp;refID=7055267&amp;Result=3","7055267")</f>
        <v>0</v>
      </c>
      <c r="B10055" t="s">
        <v>179</v>
      </c>
      <c r="C10055" t="s">
        <v>13046</v>
      </c>
      <c r="D10055" t="s">
        <v>18830</v>
      </c>
      <c r="E10055" t="s">
        <v>27604</v>
      </c>
      <c r="F10055" t="s">
        <v>32664</v>
      </c>
      <c r="G10055" t="s">
        <v>32671</v>
      </c>
      <c r="H10055" t="s">
        <v>32683</v>
      </c>
      <c r="I10055" t="s">
        <v>10627</v>
      </c>
      <c r="J10055" t="s">
        <v>32962</v>
      </c>
      <c r="K10055" t="s">
        <v>42426</v>
      </c>
      <c r="M10055" t="s">
        <v>45631</v>
      </c>
      <c r="N10055" t="s">
        <v>46569</v>
      </c>
      <c r="O10055" t="s">
        <v>46570</v>
      </c>
      <c r="P10055">
        <v>0</v>
      </c>
      <c r="Q10055">
        <v>1</v>
      </c>
      <c r="R10055" t="s">
        <v>46577</v>
      </c>
      <c r="S10055" t="s">
        <v>46808</v>
      </c>
      <c r="T10055" t="s">
        <v>48573</v>
      </c>
      <c r="U10055" t="s">
        <v>56399</v>
      </c>
      <c r="W10055" t="s">
        <v>45631</v>
      </c>
      <c r="X10055" t="s">
        <v>46578</v>
      </c>
    </row>
    <row r="10056" spans="1:24">
      <c r="A10056">
        <f>HYPERLINK("https://www.philgeps.gov.ph/GEPSNONPILOT/Tender/SplashBidNoticeAbstractUI.aspx?menuIndex=3&amp;refID=7055266&amp;Result=3","7055266")</f>
        <v>0</v>
      </c>
      <c r="B10056" t="s">
        <v>2723</v>
      </c>
      <c r="C10056" t="s">
        <v>13047</v>
      </c>
      <c r="D10056" t="s">
        <v>18827</v>
      </c>
      <c r="E10056" t="s">
        <v>27605</v>
      </c>
      <c r="F10056" t="s">
        <v>32664</v>
      </c>
      <c r="G10056" t="s">
        <v>32672</v>
      </c>
      <c r="H10056" t="s">
        <v>32683</v>
      </c>
      <c r="I10056" t="s">
        <v>10627</v>
      </c>
      <c r="J10056" t="s">
        <v>38838</v>
      </c>
      <c r="K10056" t="s">
        <v>42284</v>
      </c>
      <c r="M10056" t="s">
        <v>45552</v>
      </c>
      <c r="N10056" t="s">
        <v>46569</v>
      </c>
      <c r="O10056" t="s">
        <v>46570</v>
      </c>
      <c r="P10056">
        <v>0</v>
      </c>
      <c r="Q10056">
        <v>0</v>
      </c>
      <c r="R10056" t="s">
        <v>46577</v>
      </c>
      <c r="S10056" t="s">
        <v>46808</v>
      </c>
      <c r="T10056" t="s">
        <v>48427</v>
      </c>
      <c r="U10056" t="s">
        <v>56868</v>
      </c>
      <c r="W10056" t="s">
        <v>45552</v>
      </c>
      <c r="X10056" t="s">
        <v>46578</v>
      </c>
    </row>
    <row r="10057" spans="1:24">
      <c r="A10057">
        <f>HYPERLINK("https://www.philgeps.gov.ph/GEPSNONPILOT/Tender/SplashBidNoticeAbstractUI.aspx?menuIndex=3&amp;refID=7054890&amp;Result=3","7054890")</f>
        <v>0</v>
      </c>
      <c r="B10057" t="s">
        <v>537</v>
      </c>
      <c r="C10057" t="s">
        <v>13048</v>
      </c>
      <c r="D10057" t="s">
        <v>18791</v>
      </c>
      <c r="E10057" t="s">
        <v>27606</v>
      </c>
      <c r="F10057" t="s">
        <v>32664</v>
      </c>
      <c r="G10057" t="s">
        <v>32671</v>
      </c>
      <c r="H10057" t="s">
        <v>12635</v>
      </c>
      <c r="I10057" t="s">
        <v>32701</v>
      </c>
      <c r="J10057" t="s">
        <v>33387</v>
      </c>
      <c r="K10057" t="s">
        <v>42309</v>
      </c>
      <c r="M10057" t="s">
        <v>43115</v>
      </c>
      <c r="N10057" t="s">
        <v>46569</v>
      </c>
      <c r="O10057" t="s">
        <v>46570</v>
      </c>
      <c r="P10057">
        <v>0</v>
      </c>
      <c r="Q10057">
        <v>0</v>
      </c>
      <c r="R10057" t="s">
        <v>46577</v>
      </c>
      <c r="S10057" t="s">
        <v>46808</v>
      </c>
      <c r="T10057" t="s">
        <v>48473</v>
      </c>
      <c r="U10057" t="s">
        <v>56869</v>
      </c>
      <c r="W10057" t="s">
        <v>43115</v>
      </c>
      <c r="X10057" t="s">
        <v>46578</v>
      </c>
    </row>
    <row r="10058" spans="1:24">
      <c r="A10058">
        <f>HYPERLINK("https://www.philgeps.gov.ph/GEPSNONPILOT/Tender/SplashBidNoticeAbstractUI.aspx?menuIndex=3&amp;refID=7055265&amp;Result=3","7055265")</f>
        <v>0</v>
      </c>
      <c r="B10058" t="s">
        <v>418</v>
      </c>
      <c r="C10058" t="s">
        <v>13049</v>
      </c>
      <c r="D10058" t="s">
        <v>18784</v>
      </c>
      <c r="E10058" t="s">
        <v>27607</v>
      </c>
      <c r="F10058" t="s">
        <v>32664</v>
      </c>
      <c r="G10058" t="s">
        <v>32672</v>
      </c>
      <c r="H10058" t="s">
        <v>12635</v>
      </c>
      <c r="I10058" t="s">
        <v>6168</v>
      </c>
      <c r="J10058" t="s">
        <v>38839</v>
      </c>
      <c r="K10058" t="s">
        <v>42289</v>
      </c>
      <c r="M10058" t="s">
        <v>43105</v>
      </c>
      <c r="N10058" t="s">
        <v>46569</v>
      </c>
      <c r="O10058" t="s">
        <v>46570</v>
      </c>
      <c r="P10058">
        <v>0</v>
      </c>
      <c r="Q10058">
        <v>1</v>
      </c>
      <c r="R10058" t="s">
        <v>46577</v>
      </c>
      <c r="S10058" t="s">
        <v>46808</v>
      </c>
      <c r="T10058" t="s">
        <v>48307</v>
      </c>
      <c r="U10058" t="s">
        <v>49404</v>
      </c>
      <c r="W10058" t="s">
        <v>43105</v>
      </c>
      <c r="X10058" t="s">
        <v>46578</v>
      </c>
    </row>
    <row r="10059" spans="1:24">
      <c r="A10059">
        <f>HYPERLINK("https://www.philgeps.gov.ph/GEPSNONPILOT/Tender/SplashBidNoticeAbstractUI.aspx?menuIndex=3&amp;refID=7055262&amp;Result=3","7055262")</f>
        <v>0</v>
      </c>
      <c r="B10059" t="s">
        <v>1946</v>
      </c>
      <c r="C10059" t="s">
        <v>13050</v>
      </c>
      <c r="D10059" t="s">
        <v>18843</v>
      </c>
      <c r="E10059" t="s">
        <v>27608</v>
      </c>
      <c r="F10059" t="s">
        <v>32664</v>
      </c>
      <c r="G10059" t="s">
        <v>32672</v>
      </c>
      <c r="H10059" t="s">
        <v>32683</v>
      </c>
      <c r="I10059" t="s">
        <v>10627</v>
      </c>
      <c r="J10059" t="s">
        <v>38840</v>
      </c>
      <c r="K10059" t="s">
        <v>42317</v>
      </c>
      <c r="M10059" t="s">
        <v>44673</v>
      </c>
      <c r="N10059" t="s">
        <v>46569</v>
      </c>
      <c r="O10059" t="s">
        <v>46570</v>
      </c>
      <c r="P10059">
        <v>0</v>
      </c>
      <c r="Q10059">
        <v>0</v>
      </c>
      <c r="R10059" t="s">
        <v>46577</v>
      </c>
      <c r="S10059" t="s">
        <v>46808</v>
      </c>
      <c r="T10059" t="s">
        <v>48305</v>
      </c>
      <c r="U10059" t="s">
        <v>56870</v>
      </c>
      <c r="W10059" t="s">
        <v>44673</v>
      </c>
      <c r="X10059" t="s">
        <v>46578</v>
      </c>
    </row>
    <row r="10060" spans="1:24">
      <c r="A10060">
        <f>HYPERLINK("https://www.philgeps.gov.ph/GEPSNONPILOT/Tender/SplashBidNoticeAbstractUI.aspx?menuIndex=3&amp;refID=7055065&amp;Result=3","7055065")</f>
        <v>0</v>
      </c>
      <c r="B10060" t="s">
        <v>2754</v>
      </c>
      <c r="C10060" t="s">
        <v>13051</v>
      </c>
      <c r="D10060" t="s">
        <v>18806</v>
      </c>
      <c r="E10060" t="s">
        <v>27609</v>
      </c>
      <c r="F10060" t="s">
        <v>32664</v>
      </c>
      <c r="G10060" t="s">
        <v>32671</v>
      </c>
      <c r="H10060" t="s">
        <v>12635</v>
      </c>
      <c r="I10060" t="s">
        <v>6553</v>
      </c>
      <c r="J10060" t="s">
        <v>38841</v>
      </c>
      <c r="K10060" t="s">
        <v>42311</v>
      </c>
      <c r="M10060" t="s">
        <v>45588</v>
      </c>
      <c r="N10060" t="s">
        <v>46569</v>
      </c>
      <c r="O10060" t="s">
        <v>46570</v>
      </c>
      <c r="P10060">
        <v>0</v>
      </c>
      <c r="Q10060">
        <v>1</v>
      </c>
      <c r="R10060" t="s">
        <v>46577</v>
      </c>
      <c r="S10060" t="s">
        <v>46808</v>
      </c>
      <c r="T10060" t="s">
        <v>48376</v>
      </c>
      <c r="U10060" t="s">
        <v>56871</v>
      </c>
      <c r="V10060" t="s">
        <v>62655</v>
      </c>
      <c r="W10060" t="s">
        <v>45588</v>
      </c>
      <c r="X10060" t="s">
        <v>46578</v>
      </c>
    </row>
    <row r="10061" spans="1:24">
      <c r="A10061">
        <f>HYPERLINK("https://www.philgeps.gov.ph/GEPSNONPILOT/Tender/SplashBidNoticeAbstractUI.aspx?menuIndex=3&amp;refID=7055256&amp;Result=3","7055256")</f>
        <v>0</v>
      </c>
      <c r="B10061" t="s">
        <v>2523</v>
      </c>
      <c r="C10061" t="s">
        <v>13052</v>
      </c>
      <c r="D10061" t="s">
        <v>18789</v>
      </c>
      <c r="E10061" t="s">
        <v>27610</v>
      </c>
      <c r="F10061" t="s">
        <v>32664</v>
      </c>
      <c r="G10061" t="s">
        <v>32672</v>
      </c>
      <c r="H10061" t="s">
        <v>32683</v>
      </c>
      <c r="I10061" t="s">
        <v>10627</v>
      </c>
      <c r="J10061" t="s">
        <v>38842</v>
      </c>
      <c r="K10061" t="s">
        <v>42313</v>
      </c>
      <c r="M10061" t="s">
        <v>45632</v>
      </c>
      <c r="N10061" t="s">
        <v>46569</v>
      </c>
      <c r="O10061" t="s">
        <v>46570</v>
      </c>
      <c r="P10061">
        <v>0</v>
      </c>
      <c r="Q10061">
        <v>0</v>
      </c>
      <c r="R10061" t="s">
        <v>46577</v>
      </c>
      <c r="S10061" t="s">
        <v>46808</v>
      </c>
      <c r="T10061" t="s">
        <v>48330</v>
      </c>
      <c r="U10061" t="s">
        <v>56872</v>
      </c>
      <c r="W10061" t="s">
        <v>45632</v>
      </c>
      <c r="X10061" t="s">
        <v>46578</v>
      </c>
    </row>
    <row r="10062" spans="1:24">
      <c r="A10062">
        <f>HYPERLINK("https://www.philgeps.gov.ph/GEPSNONPILOT/Tender/SplashBidNoticeAbstractUI.aspx?menuIndex=3&amp;refID=7054854&amp;Result=3","7054854")</f>
        <v>0</v>
      </c>
      <c r="B10062" t="s">
        <v>2789</v>
      </c>
      <c r="C10062" t="s">
        <v>6815</v>
      </c>
      <c r="E10062" t="s">
        <v>27611</v>
      </c>
      <c r="F10062" t="s">
        <v>32664</v>
      </c>
      <c r="G10062" t="s">
        <v>32672</v>
      </c>
      <c r="H10062" t="s">
        <v>32683</v>
      </c>
      <c r="I10062" t="s">
        <v>10627</v>
      </c>
      <c r="J10062" t="s">
        <v>32859</v>
      </c>
      <c r="K10062" t="s">
        <v>42283</v>
      </c>
      <c r="M10062" t="s">
        <v>45633</v>
      </c>
      <c r="N10062" t="s">
        <v>46569</v>
      </c>
      <c r="O10062" t="s">
        <v>46570</v>
      </c>
      <c r="P10062">
        <v>0</v>
      </c>
      <c r="Q10062">
        <v>0</v>
      </c>
      <c r="R10062" t="s">
        <v>46577</v>
      </c>
      <c r="S10062" t="s">
        <v>46808</v>
      </c>
      <c r="T10062" t="s">
        <v>48254</v>
      </c>
      <c r="U10062" t="s">
        <v>56873</v>
      </c>
      <c r="W10062" t="s">
        <v>45633</v>
      </c>
      <c r="X10062" t="s">
        <v>46578</v>
      </c>
    </row>
    <row r="10063" spans="1:24">
      <c r="A10063">
        <f>HYPERLINK("https://www.philgeps.gov.ph/GEPSNONPILOT/Tender/SplashBidNoticeAbstractUI.aspx?menuIndex=3&amp;refID=7055254&amp;Result=3","7055254")</f>
        <v>0</v>
      </c>
      <c r="B10063" t="s">
        <v>1620</v>
      </c>
      <c r="C10063" t="s">
        <v>13053</v>
      </c>
      <c r="D10063" t="s">
        <v>18784</v>
      </c>
      <c r="E10063" t="s">
        <v>27612</v>
      </c>
      <c r="F10063" t="s">
        <v>32664</v>
      </c>
      <c r="G10063" t="s">
        <v>32671</v>
      </c>
      <c r="H10063" t="s">
        <v>12635</v>
      </c>
      <c r="I10063" t="s">
        <v>4439</v>
      </c>
      <c r="J10063" t="s">
        <v>32865</v>
      </c>
      <c r="K10063" t="s">
        <v>42298</v>
      </c>
      <c r="M10063" t="s">
        <v>44300</v>
      </c>
      <c r="N10063" t="s">
        <v>46569</v>
      </c>
      <c r="O10063" t="s">
        <v>46570</v>
      </c>
      <c r="P10063">
        <v>0</v>
      </c>
      <c r="Q10063">
        <v>0</v>
      </c>
      <c r="R10063" t="s">
        <v>46577</v>
      </c>
      <c r="S10063" t="s">
        <v>46808</v>
      </c>
      <c r="T10063" t="s">
        <v>48287</v>
      </c>
      <c r="U10063" t="s">
        <v>56874</v>
      </c>
      <c r="W10063" t="s">
        <v>44300</v>
      </c>
      <c r="X10063" t="s">
        <v>46578</v>
      </c>
    </row>
    <row r="10064" spans="1:24">
      <c r="A10064">
        <f>HYPERLINK("https://www.philgeps.gov.ph/GEPSNONPILOT/Tender/SplashBidNoticeAbstractUI.aspx?menuIndex=3&amp;refID=7055246&amp;Result=3","7055246")</f>
        <v>0</v>
      </c>
      <c r="B10064" t="s">
        <v>1615</v>
      </c>
      <c r="C10064" t="s">
        <v>13054</v>
      </c>
      <c r="D10064" t="s">
        <v>18842</v>
      </c>
      <c r="E10064" t="s">
        <v>27336</v>
      </c>
      <c r="F10064" t="s">
        <v>32664</v>
      </c>
      <c r="G10064" t="s">
        <v>32672</v>
      </c>
      <c r="H10064" t="s">
        <v>32683</v>
      </c>
      <c r="I10064" t="s">
        <v>10627</v>
      </c>
      <c r="J10064" t="s">
        <v>32943</v>
      </c>
      <c r="K10064" t="s">
        <v>42290</v>
      </c>
      <c r="M10064" t="s">
        <v>44295</v>
      </c>
      <c r="N10064" t="s">
        <v>46569</v>
      </c>
      <c r="O10064" t="s">
        <v>46570</v>
      </c>
      <c r="P10064">
        <v>0</v>
      </c>
      <c r="Q10064">
        <v>0</v>
      </c>
      <c r="R10064" t="s">
        <v>46577</v>
      </c>
      <c r="S10064" t="s">
        <v>46808</v>
      </c>
      <c r="T10064" t="s">
        <v>48316</v>
      </c>
      <c r="U10064" t="s">
        <v>56875</v>
      </c>
      <c r="W10064" t="s">
        <v>44295</v>
      </c>
      <c r="X10064" t="s">
        <v>46578</v>
      </c>
    </row>
    <row r="10065" spans="1:24">
      <c r="A10065">
        <f>HYPERLINK("https://www.philgeps.gov.ph/GEPSNONPILOT/Tender/SplashBidNoticeAbstractUI.aspx?menuIndex=3&amp;refID=7055245&amp;Result=3","7055245")</f>
        <v>0</v>
      </c>
      <c r="B10065" t="s">
        <v>475</v>
      </c>
      <c r="C10065" t="s">
        <v>13055</v>
      </c>
      <c r="D10065" t="s">
        <v>18796</v>
      </c>
      <c r="E10065" t="s">
        <v>27613</v>
      </c>
      <c r="F10065" t="s">
        <v>32664</v>
      </c>
      <c r="G10065" t="s">
        <v>32671</v>
      </c>
      <c r="H10065" t="s">
        <v>12635</v>
      </c>
      <c r="I10065" t="s">
        <v>14442</v>
      </c>
      <c r="J10065" t="s">
        <v>37317</v>
      </c>
      <c r="K10065" t="s">
        <v>42281</v>
      </c>
      <c r="M10065" t="s">
        <v>43050</v>
      </c>
      <c r="N10065" t="s">
        <v>46569</v>
      </c>
      <c r="O10065" t="s">
        <v>46570</v>
      </c>
      <c r="P10065">
        <v>0</v>
      </c>
      <c r="Q10065">
        <v>5</v>
      </c>
      <c r="R10065" t="s">
        <v>46577</v>
      </c>
      <c r="S10065" t="s">
        <v>46808</v>
      </c>
      <c r="T10065" t="s">
        <v>48343</v>
      </c>
      <c r="U10065" t="s">
        <v>56876</v>
      </c>
      <c r="W10065" t="s">
        <v>43050</v>
      </c>
      <c r="X10065" t="s">
        <v>46578</v>
      </c>
    </row>
    <row r="10066" spans="1:24">
      <c r="A10066">
        <f>HYPERLINK("https://www.philgeps.gov.ph/GEPSNONPILOT/Tender/SplashBidNoticeAbstractUI.aspx?menuIndex=3&amp;refID=7054898&amp;Result=3","7054898")</f>
        <v>0</v>
      </c>
      <c r="B10066" t="s">
        <v>690</v>
      </c>
      <c r="C10066" t="s">
        <v>13056</v>
      </c>
      <c r="D10066" t="s">
        <v>18781</v>
      </c>
      <c r="E10066" t="s">
        <v>27614</v>
      </c>
      <c r="F10066" t="s">
        <v>32664</v>
      </c>
      <c r="G10066" t="s">
        <v>32672</v>
      </c>
      <c r="H10066" t="s">
        <v>32683</v>
      </c>
      <c r="I10066" t="s">
        <v>10627</v>
      </c>
      <c r="J10066" t="s">
        <v>34147</v>
      </c>
      <c r="K10066" t="s">
        <v>42499</v>
      </c>
      <c r="L10066" t="s">
        <v>690</v>
      </c>
      <c r="M10066" t="s">
        <v>45601</v>
      </c>
      <c r="N10066" t="s">
        <v>46569</v>
      </c>
      <c r="O10066" t="s">
        <v>46570</v>
      </c>
      <c r="Q10066">
        <v>1</v>
      </c>
      <c r="R10066" t="s">
        <v>46577</v>
      </c>
      <c r="S10066" t="s">
        <v>46862</v>
      </c>
      <c r="T10066" t="s">
        <v>48345</v>
      </c>
      <c r="U10066" t="s">
        <v>56737</v>
      </c>
      <c r="W10066" t="s">
        <v>45601</v>
      </c>
      <c r="X10066" t="s">
        <v>46578</v>
      </c>
    </row>
    <row r="10067" spans="1:24">
      <c r="A10067">
        <f>HYPERLINK("https://www.philgeps.gov.ph/GEPSNONPILOT/Tender/SplashBidNoticeAbstractUI.aspx?menuIndex=3&amp;refID=7055244&amp;Result=3","7055244")</f>
        <v>0</v>
      </c>
      <c r="B10067" t="s">
        <v>1620</v>
      </c>
      <c r="C10067" t="s">
        <v>13057</v>
      </c>
      <c r="D10067" t="s">
        <v>18784</v>
      </c>
      <c r="E10067" t="s">
        <v>27615</v>
      </c>
      <c r="F10067" t="s">
        <v>32664</v>
      </c>
      <c r="G10067" t="s">
        <v>32671</v>
      </c>
      <c r="H10067" t="s">
        <v>12635</v>
      </c>
      <c r="I10067" t="s">
        <v>4439</v>
      </c>
      <c r="J10067" t="s">
        <v>37617</v>
      </c>
      <c r="K10067" t="s">
        <v>42298</v>
      </c>
      <c r="M10067" t="s">
        <v>44300</v>
      </c>
      <c r="N10067" t="s">
        <v>46569</v>
      </c>
      <c r="O10067" t="s">
        <v>46570</v>
      </c>
      <c r="P10067">
        <v>0</v>
      </c>
      <c r="Q10067">
        <v>0</v>
      </c>
      <c r="R10067" t="s">
        <v>46577</v>
      </c>
      <c r="S10067" t="s">
        <v>46808</v>
      </c>
      <c r="T10067" t="s">
        <v>48287</v>
      </c>
      <c r="U10067" t="s">
        <v>56874</v>
      </c>
      <c r="W10067" t="s">
        <v>44300</v>
      </c>
      <c r="X10067" t="s">
        <v>46578</v>
      </c>
    </row>
    <row r="10068" spans="1:24">
      <c r="A10068">
        <f>HYPERLINK("https://www.philgeps.gov.ph/GEPSNONPILOT/Tender/SplashBidNoticeAbstractUI.aspx?menuIndex=3&amp;refID=7055249&amp;Result=3","7055249")</f>
        <v>0</v>
      </c>
      <c r="B10068" t="s">
        <v>418</v>
      </c>
      <c r="C10068" t="s">
        <v>13058</v>
      </c>
      <c r="D10068" t="s">
        <v>18784</v>
      </c>
      <c r="E10068" t="s">
        <v>27616</v>
      </c>
      <c r="F10068" t="s">
        <v>32664</v>
      </c>
      <c r="G10068" t="s">
        <v>32672</v>
      </c>
      <c r="H10068" t="s">
        <v>12635</v>
      </c>
      <c r="I10068" t="s">
        <v>6223</v>
      </c>
      <c r="J10068" t="s">
        <v>33811</v>
      </c>
      <c r="K10068" t="s">
        <v>42289</v>
      </c>
      <c r="M10068" t="s">
        <v>43105</v>
      </c>
      <c r="N10068" t="s">
        <v>46569</v>
      </c>
      <c r="O10068" t="s">
        <v>46570</v>
      </c>
      <c r="P10068">
        <v>0</v>
      </c>
      <c r="Q10068">
        <v>1</v>
      </c>
      <c r="R10068" t="s">
        <v>46577</v>
      </c>
      <c r="S10068" t="s">
        <v>46808</v>
      </c>
      <c r="T10068" t="s">
        <v>48307</v>
      </c>
      <c r="U10068" t="s">
        <v>49872</v>
      </c>
      <c r="W10068" t="s">
        <v>43105</v>
      </c>
      <c r="X10068" t="s">
        <v>46578</v>
      </c>
    </row>
    <row r="10069" spans="1:24">
      <c r="A10069">
        <f>HYPERLINK("https://www.philgeps.gov.ph/GEPSNONPILOT/Tender/SplashBidNoticeAbstractUI.aspx?menuIndex=3&amp;refID=7055240&amp;Result=3","7055240")</f>
        <v>0</v>
      </c>
      <c r="B10069" t="s">
        <v>418</v>
      </c>
      <c r="C10069" t="s">
        <v>13059</v>
      </c>
      <c r="D10069" t="s">
        <v>18784</v>
      </c>
      <c r="E10069" t="s">
        <v>27617</v>
      </c>
      <c r="F10069" t="s">
        <v>32664</v>
      </c>
      <c r="G10069" t="s">
        <v>32672</v>
      </c>
      <c r="H10069" t="s">
        <v>12635</v>
      </c>
      <c r="I10069" t="s">
        <v>6168</v>
      </c>
      <c r="J10069" t="s">
        <v>33711</v>
      </c>
      <c r="K10069" t="s">
        <v>42289</v>
      </c>
      <c r="M10069" t="s">
        <v>42989</v>
      </c>
      <c r="N10069" t="s">
        <v>46569</v>
      </c>
      <c r="O10069" t="s">
        <v>46570</v>
      </c>
      <c r="P10069">
        <v>0</v>
      </c>
      <c r="Q10069">
        <v>1</v>
      </c>
      <c r="R10069" t="s">
        <v>46577</v>
      </c>
      <c r="S10069" t="s">
        <v>46808</v>
      </c>
      <c r="T10069" t="s">
        <v>48307</v>
      </c>
      <c r="U10069" t="s">
        <v>49404</v>
      </c>
      <c r="W10069" t="s">
        <v>42989</v>
      </c>
      <c r="X10069" t="s">
        <v>46578</v>
      </c>
    </row>
    <row r="10070" spans="1:24">
      <c r="A10070">
        <f>HYPERLINK("https://www.philgeps.gov.ph/GEPSNONPILOT/Tender/SplashBidNoticeAbstractUI.aspx?menuIndex=3&amp;refID=7055239&amp;Result=3","7055239")</f>
        <v>0</v>
      </c>
      <c r="B10070" t="s">
        <v>146</v>
      </c>
      <c r="C10070" t="s">
        <v>13060</v>
      </c>
      <c r="E10070" t="s">
        <v>27618</v>
      </c>
      <c r="F10070" t="s">
        <v>32664</v>
      </c>
      <c r="G10070" t="s">
        <v>32672</v>
      </c>
      <c r="H10070" t="s">
        <v>12635</v>
      </c>
      <c r="I10070" t="s">
        <v>6628</v>
      </c>
      <c r="J10070" t="s">
        <v>38237</v>
      </c>
      <c r="K10070" t="s">
        <v>42281</v>
      </c>
      <c r="M10070" t="s">
        <v>45292</v>
      </c>
      <c r="N10070" t="s">
        <v>46569</v>
      </c>
      <c r="O10070" t="s">
        <v>46570</v>
      </c>
      <c r="P10070">
        <v>0</v>
      </c>
      <c r="Q10070">
        <v>9</v>
      </c>
      <c r="R10070" t="s">
        <v>46577</v>
      </c>
      <c r="S10070" t="s">
        <v>46808</v>
      </c>
      <c r="T10070" t="s">
        <v>48302</v>
      </c>
      <c r="U10070" t="s">
        <v>56877</v>
      </c>
      <c r="W10070" t="s">
        <v>45292</v>
      </c>
      <c r="X10070" t="s">
        <v>46578</v>
      </c>
    </row>
    <row r="10071" spans="1:24">
      <c r="A10071">
        <f>HYPERLINK("https://www.philgeps.gov.ph/GEPSNONPILOT/Tender/SplashBidNoticeAbstractUI.aspx?menuIndex=3&amp;refID=7055236&amp;Result=3","7055236")</f>
        <v>0</v>
      </c>
      <c r="B10071" t="s">
        <v>418</v>
      </c>
      <c r="C10071" t="s">
        <v>13061</v>
      </c>
      <c r="D10071" t="s">
        <v>18784</v>
      </c>
      <c r="E10071" t="s">
        <v>27619</v>
      </c>
      <c r="F10071" t="s">
        <v>32664</v>
      </c>
      <c r="G10071" t="s">
        <v>32672</v>
      </c>
      <c r="H10071" t="s">
        <v>12635</v>
      </c>
      <c r="I10071" t="s">
        <v>6223</v>
      </c>
      <c r="J10071" t="s">
        <v>33128</v>
      </c>
      <c r="K10071" t="s">
        <v>42289</v>
      </c>
      <c r="M10071" t="s">
        <v>42989</v>
      </c>
      <c r="N10071" t="s">
        <v>46569</v>
      </c>
      <c r="O10071" t="s">
        <v>46570</v>
      </c>
      <c r="P10071">
        <v>0</v>
      </c>
      <c r="Q10071">
        <v>0</v>
      </c>
      <c r="R10071" t="s">
        <v>46577</v>
      </c>
      <c r="S10071" t="s">
        <v>46808</v>
      </c>
      <c r="T10071" t="s">
        <v>48307</v>
      </c>
      <c r="U10071" t="s">
        <v>49872</v>
      </c>
      <c r="W10071" t="s">
        <v>42989</v>
      </c>
      <c r="X10071" t="s">
        <v>46578</v>
      </c>
    </row>
    <row r="10072" spans="1:24">
      <c r="A10072">
        <f>HYPERLINK("https://www.philgeps.gov.ph/GEPSNONPILOT/Tender/SplashBidNoticeAbstractUI.aspx?menuIndex=3&amp;refID=7055259&amp;Result=3","7055259")</f>
        <v>0</v>
      </c>
      <c r="B10072" t="s">
        <v>418</v>
      </c>
      <c r="C10072" t="s">
        <v>13062</v>
      </c>
      <c r="D10072" t="s">
        <v>18784</v>
      </c>
      <c r="E10072" t="s">
        <v>27620</v>
      </c>
      <c r="F10072" t="s">
        <v>32664</v>
      </c>
      <c r="G10072" t="s">
        <v>32672</v>
      </c>
      <c r="H10072" t="s">
        <v>12635</v>
      </c>
      <c r="I10072" t="s">
        <v>6118</v>
      </c>
      <c r="J10072" t="s">
        <v>38843</v>
      </c>
      <c r="K10072" t="s">
        <v>42289</v>
      </c>
      <c r="M10072" t="s">
        <v>43105</v>
      </c>
      <c r="N10072" t="s">
        <v>46569</v>
      </c>
      <c r="O10072" t="s">
        <v>46570</v>
      </c>
      <c r="P10072">
        <v>0</v>
      </c>
      <c r="Q10072">
        <v>0</v>
      </c>
      <c r="R10072" t="s">
        <v>46577</v>
      </c>
      <c r="S10072" t="s">
        <v>46808</v>
      </c>
      <c r="T10072" t="s">
        <v>48307</v>
      </c>
      <c r="U10072" t="s">
        <v>49634</v>
      </c>
      <c r="W10072" t="s">
        <v>43105</v>
      </c>
      <c r="X10072" t="s">
        <v>46578</v>
      </c>
    </row>
    <row r="10073" spans="1:24">
      <c r="A10073">
        <f>HYPERLINK("https://www.philgeps.gov.ph/GEPSNONPILOT/Tender/SplashBidNoticeAbstractUI.aspx?menuIndex=3&amp;refID=7055229&amp;Result=3","7055229")</f>
        <v>0</v>
      </c>
      <c r="B10073" t="s">
        <v>2779</v>
      </c>
      <c r="C10073" t="s">
        <v>13063</v>
      </c>
      <c r="D10073" t="s">
        <v>18831</v>
      </c>
      <c r="E10073" t="s">
        <v>21745</v>
      </c>
      <c r="F10073" t="s">
        <v>32664</v>
      </c>
      <c r="G10073" t="s">
        <v>32671</v>
      </c>
      <c r="H10073" t="s">
        <v>32683</v>
      </c>
      <c r="I10073" t="s">
        <v>10627</v>
      </c>
      <c r="J10073" t="s">
        <v>38844</v>
      </c>
      <c r="K10073" t="s">
        <v>42281</v>
      </c>
      <c r="M10073" t="s">
        <v>45621</v>
      </c>
      <c r="N10073" t="s">
        <v>46569</v>
      </c>
      <c r="O10073" t="s">
        <v>46570</v>
      </c>
      <c r="P10073">
        <v>0</v>
      </c>
      <c r="Q10073">
        <v>0</v>
      </c>
      <c r="R10073" t="s">
        <v>46577</v>
      </c>
      <c r="S10073" t="s">
        <v>46808</v>
      </c>
      <c r="T10073" t="s">
        <v>48650</v>
      </c>
      <c r="U10073" t="s">
        <v>56878</v>
      </c>
      <c r="V10073" t="s">
        <v>62674</v>
      </c>
      <c r="W10073" t="s">
        <v>45621</v>
      </c>
      <c r="X10073" t="s">
        <v>46578</v>
      </c>
    </row>
    <row r="10074" spans="1:24">
      <c r="A10074">
        <f>HYPERLINK("https://www.philgeps.gov.ph/GEPSNONPILOT/Tender/SplashBidNoticeAbstractUI.aspx?menuIndex=3&amp;refID=7054853&amp;Result=3","7054853")</f>
        <v>0</v>
      </c>
      <c r="B10074" t="s">
        <v>690</v>
      </c>
      <c r="C10074" t="s">
        <v>13064</v>
      </c>
      <c r="D10074" t="s">
        <v>18781</v>
      </c>
      <c r="E10074" t="s">
        <v>27621</v>
      </c>
      <c r="F10074" t="s">
        <v>32664</v>
      </c>
      <c r="G10074" t="s">
        <v>32672</v>
      </c>
      <c r="H10074" t="s">
        <v>32683</v>
      </c>
      <c r="I10074" t="s">
        <v>10627</v>
      </c>
      <c r="J10074" t="s">
        <v>34075</v>
      </c>
      <c r="K10074" t="s">
        <v>42290</v>
      </c>
      <c r="L10074" t="s">
        <v>690</v>
      </c>
      <c r="M10074" t="s">
        <v>45601</v>
      </c>
      <c r="N10074" t="s">
        <v>46569</v>
      </c>
      <c r="O10074" t="s">
        <v>46570</v>
      </c>
      <c r="P10074">
        <v>0</v>
      </c>
      <c r="Q10074">
        <v>2</v>
      </c>
      <c r="R10074" t="s">
        <v>46577</v>
      </c>
      <c r="S10074" t="s">
        <v>46808</v>
      </c>
      <c r="T10074" t="s">
        <v>48345</v>
      </c>
      <c r="U10074" t="s">
        <v>56737</v>
      </c>
      <c r="W10074" t="s">
        <v>45601</v>
      </c>
      <c r="X10074" t="s">
        <v>46578</v>
      </c>
    </row>
    <row r="10075" spans="1:24">
      <c r="A10075">
        <f>HYPERLINK("https://www.philgeps.gov.ph/GEPSNONPILOT/Tender/SplashBidNoticeAbstractUI.aspx?menuIndex=3&amp;refID=7054851&amp;Result=3","7054851")</f>
        <v>0</v>
      </c>
      <c r="B10075" t="s">
        <v>2114</v>
      </c>
      <c r="C10075" t="s">
        <v>13065</v>
      </c>
      <c r="D10075" t="s">
        <v>18857</v>
      </c>
      <c r="E10075" t="s">
        <v>27622</v>
      </c>
      <c r="F10075" t="s">
        <v>32664</v>
      </c>
      <c r="G10075" t="s">
        <v>32672</v>
      </c>
      <c r="H10075" t="s">
        <v>12635</v>
      </c>
      <c r="I10075" t="s">
        <v>11464</v>
      </c>
      <c r="J10075" t="s">
        <v>38845</v>
      </c>
      <c r="K10075" t="s">
        <v>42298</v>
      </c>
      <c r="L10075" t="s">
        <v>2114</v>
      </c>
      <c r="M10075" t="s">
        <v>44869</v>
      </c>
      <c r="N10075" t="s">
        <v>46569</v>
      </c>
      <c r="O10075" t="s">
        <v>46570</v>
      </c>
      <c r="P10075">
        <v>0</v>
      </c>
      <c r="Q10075">
        <v>7</v>
      </c>
      <c r="R10075" t="s">
        <v>46577</v>
      </c>
      <c r="S10075" t="s">
        <v>46808</v>
      </c>
      <c r="T10075" t="s">
        <v>48263</v>
      </c>
      <c r="U10075" t="s">
        <v>56879</v>
      </c>
      <c r="W10075" t="s">
        <v>44869</v>
      </c>
      <c r="X10075" t="s">
        <v>46578</v>
      </c>
    </row>
    <row r="10076" spans="1:24">
      <c r="A10076">
        <f>HYPERLINK("https://www.philgeps.gov.ph/GEPSNONPILOT/Tender/SplashBidNoticeAbstractUI.aspx?menuIndex=3&amp;refID=7055235&amp;Result=3","7055235")</f>
        <v>0</v>
      </c>
      <c r="B10076" t="s">
        <v>1876</v>
      </c>
      <c r="C10076" t="s">
        <v>13066</v>
      </c>
      <c r="D10076" t="s">
        <v>18799</v>
      </c>
      <c r="E10076" t="s">
        <v>27623</v>
      </c>
      <c r="F10076" t="s">
        <v>32665</v>
      </c>
      <c r="G10076" t="s">
        <v>32671</v>
      </c>
      <c r="H10076" t="s">
        <v>12635</v>
      </c>
      <c r="I10076" t="s">
        <v>6168</v>
      </c>
      <c r="J10076" t="s">
        <v>38846</v>
      </c>
      <c r="K10076" t="s">
        <v>42283</v>
      </c>
      <c r="M10076" t="s">
        <v>44594</v>
      </c>
      <c r="N10076" t="s">
        <v>46569</v>
      </c>
      <c r="O10076" t="s">
        <v>46570</v>
      </c>
      <c r="P10076">
        <v>0</v>
      </c>
      <c r="Q10076">
        <v>2</v>
      </c>
      <c r="R10076" t="s">
        <v>46577</v>
      </c>
      <c r="S10076" t="s">
        <v>46808</v>
      </c>
      <c r="T10076" t="s">
        <v>48254</v>
      </c>
      <c r="U10076" t="s">
        <v>56880</v>
      </c>
      <c r="W10076" t="s">
        <v>44594</v>
      </c>
      <c r="X10076" t="s">
        <v>46578</v>
      </c>
    </row>
    <row r="10077" spans="1:24">
      <c r="A10077">
        <f>HYPERLINK("https://www.philgeps.gov.ph/GEPSNONPILOT/Tender/SplashBidNoticeAbstractUI.aspx?menuIndex=3&amp;refID=7055233&amp;Result=3","7055233")</f>
        <v>0</v>
      </c>
      <c r="B10077" t="s">
        <v>2778</v>
      </c>
      <c r="C10077" t="s">
        <v>13067</v>
      </c>
      <c r="D10077" t="s">
        <v>18837</v>
      </c>
      <c r="E10077" t="s">
        <v>27603</v>
      </c>
      <c r="F10077" t="s">
        <v>32664</v>
      </c>
      <c r="G10077" t="s">
        <v>32672</v>
      </c>
      <c r="H10077" t="s">
        <v>12635</v>
      </c>
      <c r="I10077" t="s">
        <v>6168</v>
      </c>
      <c r="J10077" t="s">
        <v>38847</v>
      </c>
      <c r="K10077" t="s">
        <v>42289</v>
      </c>
      <c r="L10077" t="s">
        <v>2778</v>
      </c>
      <c r="M10077" t="s">
        <v>45618</v>
      </c>
      <c r="N10077" t="s">
        <v>46569</v>
      </c>
      <c r="O10077" t="s">
        <v>46570</v>
      </c>
      <c r="P10077">
        <v>0</v>
      </c>
      <c r="Q10077">
        <v>3</v>
      </c>
      <c r="R10077" t="s">
        <v>46577</v>
      </c>
      <c r="S10077" t="s">
        <v>46808</v>
      </c>
      <c r="T10077" t="s">
        <v>48479</v>
      </c>
      <c r="U10077" t="s">
        <v>56881</v>
      </c>
      <c r="W10077" t="s">
        <v>45618</v>
      </c>
      <c r="X10077" t="s">
        <v>46578</v>
      </c>
    </row>
    <row r="10078" spans="1:24">
      <c r="A10078">
        <f>HYPERLINK("https://www.philgeps.gov.ph/GEPSNONPILOT/Tender/SplashBidNoticeAbstractUI.aspx?menuIndex=3&amp;refID=7054753&amp;Result=3","7054753")</f>
        <v>0</v>
      </c>
      <c r="B10078" t="s">
        <v>1449</v>
      </c>
      <c r="C10078" t="s">
        <v>13068</v>
      </c>
      <c r="D10078" t="s">
        <v>18801</v>
      </c>
      <c r="E10078" t="s">
        <v>27624</v>
      </c>
      <c r="F10078" t="s">
        <v>32664</v>
      </c>
      <c r="G10078" t="s">
        <v>32671</v>
      </c>
      <c r="H10078" t="s">
        <v>12635</v>
      </c>
      <c r="I10078" t="s">
        <v>32745</v>
      </c>
      <c r="J10078" t="s">
        <v>38848</v>
      </c>
      <c r="K10078" t="s">
        <v>42281</v>
      </c>
      <c r="M10078" t="s">
        <v>44110</v>
      </c>
      <c r="N10078" t="s">
        <v>46569</v>
      </c>
      <c r="O10078" t="s">
        <v>46570</v>
      </c>
      <c r="P10078">
        <v>0</v>
      </c>
      <c r="Q10078">
        <v>1</v>
      </c>
      <c r="R10078" t="s">
        <v>46577</v>
      </c>
      <c r="S10078" t="s">
        <v>46808</v>
      </c>
      <c r="T10078" t="s">
        <v>48307</v>
      </c>
      <c r="U10078" t="s">
        <v>56882</v>
      </c>
      <c r="W10078" t="s">
        <v>44110</v>
      </c>
      <c r="X10078" t="s">
        <v>46578</v>
      </c>
    </row>
    <row r="10079" spans="1:24">
      <c r="A10079">
        <f>HYPERLINK("https://www.philgeps.gov.ph/GEPSNONPILOT/Tender/SplashBidNoticeAbstractUI.aspx?menuIndex=3&amp;refID=7055228&amp;Result=3","7055228")</f>
        <v>0</v>
      </c>
      <c r="B10079" t="s">
        <v>418</v>
      </c>
      <c r="C10079" t="s">
        <v>13069</v>
      </c>
      <c r="D10079" t="s">
        <v>18784</v>
      </c>
      <c r="E10079" t="s">
        <v>27625</v>
      </c>
      <c r="F10079" t="s">
        <v>32664</v>
      </c>
      <c r="G10079" t="s">
        <v>32672</v>
      </c>
      <c r="H10079" t="s">
        <v>12635</v>
      </c>
      <c r="I10079" t="s">
        <v>6168</v>
      </c>
      <c r="J10079" t="s">
        <v>38849</v>
      </c>
      <c r="K10079" t="s">
        <v>42289</v>
      </c>
      <c r="M10079" t="s">
        <v>42989</v>
      </c>
      <c r="N10079" t="s">
        <v>46569</v>
      </c>
      <c r="O10079" t="s">
        <v>46570</v>
      </c>
      <c r="P10079">
        <v>0</v>
      </c>
      <c r="Q10079">
        <v>1</v>
      </c>
      <c r="R10079" t="s">
        <v>46577</v>
      </c>
      <c r="S10079" t="s">
        <v>46808</v>
      </c>
      <c r="T10079" t="s">
        <v>48307</v>
      </c>
      <c r="U10079" t="s">
        <v>49404</v>
      </c>
      <c r="W10079" t="s">
        <v>42989</v>
      </c>
      <c r="X10079" t="s">
        <v>46578</v>
      </c>
    </row>
    <row r="10080" spans="1:24">
      <c r="A10080">
        <f>HYPERLINK("https://www.philgeps.gov.ph/GEPSNONPILOT/Tender/SplashBidNoticeAbstractUI.aspx?menuIndex=3&amp;refID=7054849&amp;Result=3","7054849")</f>
        <v>0</v>
      </c>
      <c r="B10080" t="s">
        <v>401</v>
      </c>
      <c r="C10080" t="s">
        <v>13070</v>
      </c>
      <c r="E10080" t="s">
        <v>27626</v>
      </c>
      <c r="F10080" t="s">
        <v>32664</v>
      </c>
      <c r="G10080" t="s">
        <v>32672</v>
      </c>
      <c r="H10080" t="s">
        <v>32681</v>
      </c>
      <c r="I10080" t="s">
        <v>32681</v>
      </c>
      <c r="J10080" t="s">
        <v>38850</v>
      </c>
      <c r="K10080" t="s">
        <v>42311</v>
      </c>
      <c r="M10080" t="s">
        <v>42971</v>
      </c>
      <c r="N10080" t="s">
        <v>46569</v>
      </c>
      <c r="O10080" t="s">
        <v>46570</v>
      </c>
      <c r="P10080">
        <v>0</v>
      </c>
      <c r="Q10080">
        <v>4</v>
      </c>
      <c r="R10080" t="s">
        <v>46577</v>
      </c>
      <c r="S10080" t="s">
        <v>46808</v>
      </c>
      <c r="T10080" t="s">
        <v>48287</v>
      </c>
      <c r="U10080" t="s">
        <v>56883</v>
      </c>
      <c r="W10080" t="s">
        <v>42971</v>
      </c>
      <c r="X10080" t="s">
        <v>46578</v>
      </c>
    </row>
    <row r="10081" spans="1:24">
      <c r="A10081">
        <f>HYPERLINK("https://www.philgeps.gov.ph/GEPSNONPILOT/Tender/SplashBidNoticeAbstractUI.aspx?menuIndex=3&amp;refID=7055252&amp;Result=3","7055252")</f>
        <v>0</v>
      </c>
      <c r="B10081" t="s">
        <v>2773</v>
      </c>
      <c r="C10081" t="s">
        <v>13071</v>
      </c>
      <c r="D10081" t="s">
        <v>18814</v>
      </c>
      <c r="E10081" t="s">
        <v>27627</v>
      </c>
      <c r="F10081" t="s">
        <v>32664</v>
      </c>
      <c r="G10081" t="s">
        <v>32672</v>
      </c>
      <c r="H10081" t="s">
        <v>32683</v>
      </c>
      <c r="I10081" t="s">
        <v>10627</v>
      </c>
      <c r="J10081" t="s">
        <v>38851</v>
      </c>
      <c r="K10081" t="s">
        <v>42361</v>
      </c>
      <c r="M10081" t="s">
        <v>45613</v>
      </c>
      <c r="N10081" t="s">
        <v>46569</v>
      </c>
      <c r="O10081" t="s">
        <v>46570</v>
      </c>
      <c r="P10081">
        <v>0</v>
      </c>
      <c r="Q10081">
        <v>20</v>
      </c>
      <c r="R10081" t="s">
        <v>46577</v>
      </c>
      <c r="S10081" t="s">
        <v>46808</v>
      </c>
      <c r="T10081" t="s">
        <v>48213</v>
      </c>
      <c r="U10081" t="s">
        <v>56884</v>
      </c>
      <c r="V10081" t="s">
        <v>62673</v>
      </c>
      <c r="W10081" t="s">
        <v>45613</v>
      </c>
      <c r="X10081" t="s">
        <v>46578</v>
      </c>
    </row>
    <row r="10082" spans="1:24">
      <c r="A10082">
        <f>HYPERLINK("https://www.philgeps.gov.ph/GEPSNONPILOT/Tender/SplashBidNoticeAbstractUI.aspx?menuIndex=3&amp;refID=7054755&amp;Result=3","7054755")</f>
        <v>0</v>
      </c>
      <c r="B10082" t="s">
        <v>2726</v>
      </c>
      <c r="C10082" t="s">
        <v>13072</v>
      </c>
      <c r="D10082" t="s">
        <v>18794</v>
      </c>
      <c r="E10082" t="s">
        <v>27628</v>
      </c>
      <c r="F10082" t="s">
        <v>32664</v>
      </c>
      <c r="G10082" t="s">
        <v>32671</v>
      </c>
      <c r="H10082" t="s">
        <v>12635</v>
      </c>
      <c r="I10082" t="s">
        <v>32706</v>
      </c>
      <c r="J10082" t="s">
        <v>36646</v>
      </c>
      <c r="K10082" t="s">
        <v>42281</v>
      </c>
      <c r="M10082" t="s">
        <v>45556</v>
      </c>
      <c r="N10082" t="s">
        <v>46569</v>
      </c>
      <c r="O10082" t="s">
        <v>46570</v>
      </c>
      <c r="P10082">
        <v>0</v>
      </c>
      <c r="Q10082">
        <v>0</v>
      </c>
      <c r="R10082" t="s">
        <v>46577</v>
      </c>
      <c r="S10082" t="s">
        <v>46808</v>
      </c>
      <c r="T10082" t="s">
        <v>48448</v>
      </c>
      <c r="U10082" t="s">
        <v>56885</v>
      </c>
      <c r="W10082" t="s">
        <v>45556</v>
      </c>
      <c r="X10082" t="s">
        <v>46578</v>
      </c>
    </row>
    <row r="10083" spans="1:24">
      <c r="A10083">
        <f>HYPERLINK("https://www.philgeps.gov.ph/GEPSNONPILOT/Tender/SplashBidNoticeAbstractUI.aspx?menuIndex=3&amp;refID=7055295&amp;Result=3","7055295")</f>
        <v>0</v>
      </c>
      <c r="B10083" t="s">
        <v>1605</v>
      </c>
      <c r="C10083" t="s">
        <v>13073</v>
      </c>
      <c r="D10083" t="s">
        <v>18818</v>
      </c>
      <c r="E10083" t="s">
        <v>27629</v>
      </c>
      <c r="F10083" t="s">
        <v>32664</v>
      </c>
      <c r="G10083" t="s">
        <v>32672</v>
      </c>
      <c r="H10083" t="s">
        <v>32683</v>
      </c>
      <c r="I10083" t="s">
        <v>10627</v>
      </c>
      <c r="J10083" t="s">
        <v>33508</v>
      </c>
      <c r="K10083" t="s">
        <v>42312</v>
      </c>
      <c r="M10083" t="s">
        <v>44284</v>
      </c>
      <c r="N10083" t="s">
        <v>46569</v>
      </c>
      <c r="O10083" t="s">
        <v>46570</v>
      </c>
      <c r="P10083">
        <v>0</v>
      </c>
      <c r="Q10083">
        <v>0</v>
      </c>
      <c r="R10083" t="s">
        <v>46577</v>
      </c>
      <c r="S10083" t="s">
        <v>46808</v>
      </c>
      <c r="T10083" t="s">
        <v>48571</v>
      </c>
      <c r="U10083" t="s">
        <v>56886</v>
      </c>
      <c r="V10083" t="s">
        <v>62678</v>
      </c>
      <c r="W10083" t="s">
        <v>44284</v>
      </c>
      <c r="X10083" t="s">
        <v>46578</v>
      </c>
    </row>
    <row r="10084" spans="1:24">
      <c r="A10084">
        <f>HYPERLINK("https://www.philgeps.gov.ph/GEPSNONPILOT/Tender/SplashBidNoticeAbstractUI.aspx?menuIndex=3&amp;refID=7055294&amp;Result=3","7055294")</f>
        <v>0</v>
      </c>
      <c r="B10084" t="s">
        <v>1876</v>
      </c>
      <c r="C10084" t="s">
        <v>13074</v>
      </c>
      <c r="D10084" t="s">
        <v>18799</v>
      </c>
      <c r="E10084" t="s">
        <v>27630</v>
      </c>
      <c r="F10084" t="s">
        <v>32665</v>
      </c>
      <c r="G10084" t="s">
        <v>32671</v>
      </c>
      <c r="H10084" t="s">
        <v>12635</v>
      </c>
      <c r="I10084" t="s">
        <v>10370</v>
      </c>
      <c r="J10084" t="s">
        <v>34466</v>
      </c>
      <c r="K10084" t="s">
        <v>42283</v>
      </c>
      <c r="M10084" t="s">
        <v>44594</v>
      </c>
      <c r="N10084" t="s">
        <v>46569</v>
      </c>
      <c r="O10084" t="s">
        <v>46570</v>
      </c>
      <c r="P10084">
        <v>0</v>
      </c>
      <c r="Q10084">
        <v>2</v>
      </c>
      <c r="R10084" t="s">
        <v>46577</v>
      </c>
      <c r="S10084" t="s">
        <v>46808</v>
      </c>
      <c r="T10084" t="s">
        <v>48254</v>
      </c>
      <c r="U10084" t="s">
        <v>56887</v>
      </c>
      <c r="W10084" t="s">
        <v>44594</v>
      </c>
      <c r="X10084" t="s">
        <v>46578</v>
      </c>
    </row>
    <row r="10085" spans="1:24">
      <c r="A10085">
        <f>HYPERLINK("https://www.philgeps.gov.ph/GEPSNONPILOT/Tender/SplashBidNoticeAbstractUI.aspx?menuIndex=3&amp;refID=7054754&amp;Result=3","7054754")</f>
        <v>0</v>
      </c>
      <c r="B10085" t="s">
        <v>1349</v>
      </c>
      <c r="C10085" t="s">
        <v>13075</v>
      </c>
      <c r="D10085" t="s">
        <v>18790</v>
      </c>
      <c r="E10085" t="s">
        <v>25232</v>
      </c>
      <c r="F10085" t="s">
        <v>32664</v>
      </c>
      <c r="G10085" t="s">
        <v>32672</v>
      </c>
      <c r="H10085" t="s">
        <v>12635</v>
      </c>
      <c r="I10085" t="s">
        <v>4439</v>
      </c>
      <c r="J10085" t="s">
        <v>38852</v>
      </c>
      <c r="K10085" t="s">
        <v>42289</v>
      </c>
      <c r="M10085" t="s">
        <v>44001</v>
      </c>
      <c r="N10085" t="s">
        <v>46569</v>
      </c>
      <c r="O10085" t="s">
        <v>46570</v>
      </c>
      <c r="P10085">
        <v>0</v>
      </c>
      <c r="Q10085">
        <v>0</v>
      </c>
      <c r="R10085" t="s">
        <v>46577</v>
      </c>
      <c r="S10085" t="s">
        <v>46808</v>
      </c>
      <c r="T10085" t="s">
        <v>48376</v>
      </c>
      <c r="U10085" t="s">
        <v>56677</v>
      </c>
      <c r="W10085" t="s">
        <v>44001</v>
      </c>
      <c r="X10085" t="s">
        <v>46578</v>
      </c>
    </row>
    <row r="10086" spans="1:24">
      <c r="A10086">
        <f>HYPERLINK("https://www.philgeps.gov.ph/GEPSNONPILOT/Tender/SplashBidNoticeAbstractUI.aspx?menuIndex=3&amp;refID=7055292&amp;Result=3","7055292")</f>
        <v>0</v>
      </c>
      <c r="B10086" t="s">
        <v>2523</v>
      </c>
      <c r="C10086" t="s">
        <v>13076</v>
      </c>
      <c r="D10086" t="s">
        <v>18789</v>
      </c>
      <c r="E10086" t="s">
        <v>27631</v>
      </c>
      <c r="F10086" t="s">
        <v>32664</v>
      </c>
      <c r="G10086" t="s">
        <v>32672</v>
      </c>
      <c r="H10086" t="s">
        <v>32683</v>
      </c>
      <c r="I10086" t="s">
        <v>10627</v>
      </c>
      <c r="J10086" t="s">
        <v>38853</v>
      </c>
      <c r="K10086" t="s">
        <v>42311</v>
      </c>
      <c r="M10086" t="s">
        <v>45632</v>
      </c>
      <c r="N10086" t="s">
        <v>46569</v>
      </c>
      <c r="O10086" t="s">
        <v>46570</v>
      </c>
      <c r="P10086">
        <v>0</v>
      </c>
      <c r="Q10086">
        <v>0</v>
      </c>
      <c r="R10086" t="s">
        <v>46577</v>
      </c>
      <c r="S10086" t="s">
        <v>46808</v>
      </c>
      <c r="T10086" t="s">
        <v>48362</v>
      </c>
      <c r="U10086" t="s">
        <v>56872</v>
      </c>
      <c r="W10086" t="s">
        <v>45632</v>
      </c>
      <c r="X10086" t="s">
        <v>46578</v>
      </c>
    </row>
    <row r="10087" spans="1:24">
      <c r="A10087">
        <f>HYPERLINK("https://www.philgeps.gov.ph/GEPSNONPILOT/Tender/SplashBidNoticeAbstractUI.aspx?menuIndex=3&amp;refID=7055291&amp;Result=3","7055291")</f>
        <v>0</v>
      </c>
      <c r="B10087" t="s">
        <v>418</v>
      </c>
      <c r="C10087" t="s">
        <v>13077</v>
      </c>
      <c r="D10087" t="s">
        <v>18784</v>
      </c>
      <c r="E10087" t="s">
        <v>27632</v>
      </c>
      <c r="F10087" t="s">
        <v>32664</v>
      </c>
      <c r="G10087" t="s">
        <v>32672</v>
      </c>
      <c r="H10087" t="s">
        <v>12635</v>
      </c>
      <c r="I10087" t="s">
        <v>6223</v>
      </c>
      <c r="J10087" t="s">
        <v>33021</v>
      </c>
      <c r="K10087" t="s">
        <v>42289</v>
      </c>
      <c r="M10087" t="s">
        <v>43105</v>
      </c>
      <c r="N10087" t="s">
        <v>46569</v>
      </c>
      <c r="O10087" t="s">
        <v>46570</v>
      </c>
      <c r="P10087">
        <v>0</v>
      </c>
      <c r="Q10087">
        <v>1</v>
      </c>
      <c r="R10087" t="s">
        <v>46577</v>
      </c>
      <c r="S10087" t="s">
        <v>46808</v>
      </c>
      <c r="T10087" t="s">
        <v>48307</v>
      </c>
      <c r="U10087" t="s">
        <v>49872</v>
      </c>
      <c r="W10087" t="s">
        <v>43105</v>
      </c>
      <c r="X10087" t="s">
        <v>46578</v>
      </c>
    </row>
    <row r="10088" spans="1:24">
      <c r="A10088">
        <f>HYPERLINK("https://www.philgeps.gov.ph/GEPSNONPILOT/Tender/SplashBidNoticeAbstractUI.aspx?menuIndex=3&amp;refID=7055300&amp;Result=3","7055300")</f>
        <v>0</v>
      </c>
      <c r="B10088" t="s">
        <v>1605</v>
      </c>
      <c r="C10088" t="s">
        <v>13078</v>
      </c>
      <c r="D10088" t="s">
        <v>18818</v>
      </c>
      <c r="E10088" t="s">
        <v>27633</v>
      </c>
      <c r="F10088" t="s">
        <v>32664</v>
      </c>
      <c r="G10088" t="s">
        <v>32672</v>
      </c>
      <c r="H10088" t="s">
        <v>32683</v>
      </c>
      <c r="I10088" t="s">
        <v>10627</v>
      </c>
      <c r="J10088" t="s">
        <v>33508</v>
      </c>
      <c r="K10088" t="s">
        <v>42312</v>
      </c>
      <c r="M10088" t="s">
        <v>44284</v>
      </c>
      <c r="N10088" t="s">
        <v>46569</v>
      </c>
      <c r="O10088" t="s">
        <v>46570</v>
      </c>
      <c r="P10088">
        <v>0</v>
      </c>
      <c r="Q10088">
        <v>0</v>
      </c>
      <c r="R10088" t="s">
        <v>46577</v>
      </c>
      <c r="S10088" t="s">
        <v>46808</v>
      </c>
      <c r="T10088" t="s">
        <v>48571</v>
      </c>
      <c r="U10088" t="s">
        <v>56886</v>
      </c>
      <c r="V10088" t="s">
        <v>62679</v>
      </c>
      <c r="W10088" t="s">
        <v>44284</v>
      </c>
      <c r="X10088" t="s">
        <v>46578</v>
      </c>
    </row>
    <row r="10089" spans="1:24">
      <c r="A10089">
        <f>HYPERLINK("https://www.philgeps.gov.ph/GEPSNONPILOT/Tender/SplashBidNoticeAbstractUI.aspx?menuIndex=3&amp;refID=7055283&amp;Result=3","7055283")</f>
        <v>0</v>
      </c>
      <c r="B10089" t="s">
        <v>1620</v>
      </c>
      <c r="C10089" t="s">
        <v>13079</v>
      </c>
      <c r="D10089" t="s">
        <v>18784</v>
      </c>
      <c r="E10089" t="s">
        <v>27634</v>
      </c>
      <c r="F10089" t="s">
        <v>32664</v>
      </c>
      <c r="G10089" t="s">
        <v>32671</v>
      </c>
      <c r="H10089" t="s">
        <v>12635</v>
      </c>
      <c r="I10089" t="s">
        <v>6223</v>
      </c>
      <c r="J10089" t="s">
        <v>38854</v>
      </c>
      <c r="K10089" t="s">
        <v>42281</v>
      </c>
      <c r="M10089" t="s">
        <v>44300</v>
      </c>
      <c r="N10089" t="s">
        <v>46569</v>
      </c>
      <c r="O10089" t="s">
        <v>46570</v>
      </c>
      <c r="P10089">
        <v>0</v>
      </c>
      <c r="Q10089">
        <v>1</v>
      </c>
      <c r="R10089" t="s">
        <v>46577</v>
      </c>
      <c r="S10089" t="s">
        <v>46808</v>
      </c>
      <c r="T10089" t="s">
        <v>48287</v>
      </c>
      <c r="U10089" t="s">
        <v>56874</v>
      </c>
      <c r="W10089" t="s">
        <v>44300</v>
      </c>
      <c r="X10089" t="s">
        <v>46578</v>
      </c>
    </row>
    <row r="10090" spans="1:24">
      <c r="A10090">
        <f>HYPERLINK("https://www.philgeps.gov.ph/GEPSNONPILOT/Tender/SplashBidNoticeAbstractUI.aspx?menuIndex=3&amp;refID=7055280&amp;Result=3","7055280")</f>
        <v>0</v>
      </c>
      <c r="B10090" t="s">
        <v>2762</v>
      </c>
      <c r="C10090" t="s">
        <v>13080</v>
      </c>
      <c r="D10090" t="s">
        <v>18810</v>
      </c>
      <c r="E10090" t="s">
        <v>27635</v>
      </c>
      <c r="F10090" t="s">
        <v>32664</v>
      </c>
      <c r="G10090" t="s">
        <v>32673</v>
      </c>
      <c r="H10090" t="s">
        <v>32683</v>
      </c>
      <c r="I10090" t="s">
        <v>10627</v>
      </c>
      <c r="J10090" t="s">
        <v>38855</v>
      </c>
      <c r="K10090" t="s">
        <v>42298</v>
      </c>
      <c r="M10090" t="s">
        <v>45598</v>
      </c>
      <c r="N10090" t="s">
        <v>46569</v>
      </c>
      <c r="O10090" t="s">
        <v>46570</v>
      </c>
      <c r="Q10090">
        <v>0</v>
      </c>
      <c r="R10090" t="s">
        <v>46577</v>
      </c>
      <c r="S10090" t="s">
        <v>46863</v>
      </c>
      <c r="T10090" t="s">
        <v>48213</v>
      </c>
      <c r="U10090" t="s">
        <v>56888</v>
      </c>
      <c r="W10090" t="s">
        <v>45598</v>
      </c>
      <c r="X10090" t="s">
        <v>46578</v>
      </c>
    </row>
    <row r="10091" spans="1:24">
      <c r="A10091">
        <f>HYPERLINK("https://www.philgeps.gov.ph/GEPSNONPILOT/Tender/SplashBidNoticeAbstractUI.aspx?menuIndex=3&amp;refID=7055296&amp;Result=3","7055296")</f>
        <v>0</v>
      </c>
      <c r="B10091" t="s">
        <v>418</v>
      </c>
      <c r="C10091" t="s">
        <v>13081</v>
      </c>
      <c r="D10091" t="s">
        <v>18784</v>
      </c>
      <c r="E10091" t="s">
        <v>27636</v>
      </c>
      <c r="F10091" t="s">
        <v>32664</v>
      </c>
      <c r="G10091" t="s">
        <v>32672</v>
      </c>
      <c r="H10091" t="s">
        <v>12635</v>
      </c>
      <c r="I10091" t="s">
        <v>6118</v>
      </c>
      <c r="J10091" t="s">
        <v>33267</v>
      </c>
      <c r="K10091" t="s">
        <v>42289</v>
      </c>
      <c r="M10091" t="s">
        <v>43105</v>
      </c>
      <c r="N10091" t="s">
        <v>46569</v>
      </c>
      <c r="O10091" t="s">
        <v>46570</v>
      </c>
      <c r="P10091">
        <v>0</v>
      </c>
      <c r="Q10091">
        <v>0</v>
      </c>
      <c r="R10091" t="s">
        <v>46577</v>
      </c>
      <c r="S10091" t="s">
        <v>46808</v>
      </c>
      <c r="T10091" t="s">
        <v>48307</v>
      </c>
      <c r="U10091" t="s">
        <v>49634</v>
      </c>
      <c r="W10091" t="s">
        <v>43105</v>
      </c>
      <c r="X10091" t="s">
        <v>46578</v>
      </c>
    </row>
    <row r="10092" spans="1:24">
      <c r="A10092">
        <f>HYPERLINK("https://www.philgeps.gov.ph/GEPSNONPILOT/Tender/SplashBidNoticeAbstractUI.aspx?menuIndex=3&amp;refID=7055279&amp;Result=3","7055279")</f>
        <v>0</v>
      </c>
      <c r="B10092" t="s">
        <v>1605</v>
      </c>
      <c r="C10092" t="s">
        <v>13082</v>
      </c>
      <c r="D10092" t="s">
        <v>18818</v>
      </c>
      <c r="E10092" t="s">
        <v>27637</v>
      </c>
      <c r="F10092" t="s">
        <v>32664</v>
      </c>
      <c r="G10092" t="s">
        <v>32672</v>
      </c>
      <c r="H10092" t="s">
        <v>32683</v>
      </c>
      <c r="I10092" t="s">
        <v>10627</v>
      </c>
      <c r="J10092" t="s">
        <v>33508</v>
      </c>
      <c r="K10092" t="s">
        <v>42312</v>
      </c>
      <c r="M10092" t="s">
        <v>44284</v>
      </c>
      <c r="N10092" t="s">
        <v>46569</v>
      </c>
      <c r="O10092" t="s">
        <v>46570</v>
      </c>
      <c r="P10092">
        <v>0</v>
      </c>
      <c r="Q10092">
        <v>1</v>
      </c>
      <c r="R10092" t="s">
        <v>46577</v>
      </c>
      <c r="S10092" t="s">
        <v>46808</v>
      </c>
      <c r="T10092" t="s">
        <v>48571</v>
      </c>
      <c r="U10092" t="s">
        <v>56886</v>
      </c>
      <c r="V10092" t="s">
        <v>62680</v>
      </c>
      <c r="W10092" t="s">
        <v>44284</v>
      </c>
      <c r="X10092" t="s">
        <v>46578</v>
      </c>
    </row>
    <row r="10093" spans="1:24">
      <c r="A10093">
        <f>HYPERLINK("https://www.philgeps.gov.ph/GEPSNONPILOT/Tender/SplashBidNoticeAbstractUI.aspx?menuIndex=3&amp;refID=7055288&amp;Result=3","7055288")</f>
        <v>0</v>
      </c>
      <c r="B10093" t="s">
        <v>2790</v>
      </c>
      <c r="C10093" t="s">
        <v>13083</v>
      </c>
      <c r="D10093" t="s">
        <v>18799</v>
      </c>
      <c r="E10093" t="s">
        <v>19380</v>
      </c>
      <c r="F10093" t="s">
        <v>32664</v>
      </c>
      <c r="G10093" t="s">
        <v>32672</v>
      </c>
      <c r="H10093" t="s">
        <v>12635</v>
      </c>
      <c r="I10093" t="s">
        <v>32706</v>
      </c>
      <c r="J10093" t="s">
        <v>37331</v>
      </c>
      <c r="K10093" t="s">
        <v>42306</v>
      </c>
      <c r="M10093" t="s">
        <v>45634</v>
      </c>
      <c r="N10093" t="s">
        <v>46569</v>
      </c>
      <c r="O10093" t="s">
        <v>46570</v>
      </c>
      <c r="P10093">
        <v>0</v>
      </c>
      <c r="Q10093">
        <v>0</v>
      </c>
      <c r="R10093" t="s">
        <v>46577</v>
      </c>
      <c r="S10093" t="s">
        <v>46808</v>
      </c>
      <c r="T10093" t="s">
        <v>48321</v>
      </c>
      <c r="U10093" t="s">
        <v>56889</v>
      </c>
      <c r="W10093" t="s">
        <v>45634</v>
      </c>
      <c r="X10093" t="s">
        <v>46578</v>
      </c>
    </row>
    <row r="10094" spans="1:24">
      <c r="A10094">
        <f>HYPERLINK("https://www.philgeps.gov.ph/GEPSNONPILOT/Tender/SplashBidNoticeAbstractUI.aspx?menuIndex=3&amp;refID=7055278&amp;Result=3","7055278")</f>
        <v>0</v>
      </c>
      <c r="B10094" t="s">
        <v>418</v>
      </c>
      <c r="C10094" t="s">
        <v>13084</v>
      </c>
      <c r="D10094" t="s">
        <v>18784</v>
      </c>
      <c r="E10094" t="s">
        <v>27638</v>
      </c>
      <c r="F10094" t="s">
        <v>32664</v>
      </c>
      <c r="G10094" t="s">
        <v>32672</v>
      </c>
      <c r="H10094" t="s">
        <v>12635</v>
      </c>
      <c r="I10094" t="s">
        <v>6168</v>
      </c>
      <c r="J10094" t="s">
        <v>33657</v>
      </c>
      <c r="K10094" t="s">
        <v>42289</v>
      </c>
      <c r="M10094" t="s">
        <v>43105</v>
      </c>
      <c r="N10094" t="s">
        <v>46569</v>
      </c>
      <c r="O10094" t="s">
        <v>46570</v>
      </c>
      <c r="P10094">
        <v>0</v>
      </c>
      <c r="Q10094">
        <v>2</v>
      </c>
      <c r="R10094" t="s">
        <v>46577</v>
      </c>
      <c r="S10094" t="s">
        <v>46808</v>
      </c>
      <c r="T10094" t="s">
        <v>48307</v>
      </c>
      <c r="U10094" t="s">
        <v>49404</v>
      </c>
      <c r="W10094" t="s">
        <v>43105</v>
      </c>
      <c r="X10094" t="s">
        <v>46578</v>
      </c>
    </row>
    <row r="10095" spans="1:24">
      <c r="A10095">
        <f>HYPERLINK("https://www.philgeps.gov.ph/GEPSNONPILOT/Tender/SplashBidNoticeAbstractUI.aspx?menuIndex=3&amp;refID=7055290&amp;Result=3","7055290")</f>
        <v>0</v>
      </c>
      <c r="B10095" t="s">
        <v>1615</v>
      </c>
      <c r="C10095" t="s">
        <v>13085</v>
      </c>
      <c r="D10095" t="s">
        <v>18842</v>
      </c>
      <c r="E10095" t="s">
        <v>27639</v>
      </c>
      <c r="F10095" t="s">
        <v>32664</v>
      </c>
      <c r="G10095" t="s">
        <v>32672</v>
      </c>
      <c r="H10095" t="s">
        <v>32683</v>
      </c>
      <c r="I10095" t="s">
        <v>10627</v>
      </c>
      <c r="J10095" t="s">
        <v>32943</v>
      </c>
      <c r="K10095" t="s">
        <v>42290</v>
      </c>
      <c r="M10095" t="s">
        <v>44295</v>
      </c>
      <c r="N10095" t="s">
        <v>46569</v>
      </c>
      <c r="O10095" t="s">
        <v>46570</v>
      </c>
      <c r="P10095">
        <v>0</v>
      </c>
      <c r="Q10095">
        <v>0</v>
      </c>
      <c r="R10095" t="s">
        <v>46577</v>
      </c>
      <c r="S10095" t="s">
        <v>46808</v>
      </c>
      <c r="T10095" t="s">
        <v>48316</v>
      </c>
      <c r="U10095" t="s">
        <v>56875</v>
      </c>
      <c r="W10095" t="s">
        <v>44295</v>
      </c>
      <c r="X10095" t="s">
        <v>46578</v>
      </c>
    </row>
    <row r="10096" spans="1:24">
      <c r="A10096">
        <f>HYPERLINK("https://www.philgeps.gov.ph/GEPSNONPILOT/Tender/SplashBidNoticeAbstractUI.aspx?menuIndex=3&amp;refID=7055271&amp;Result=3","7055271")</f>
        <v>0</v>
      </c>
      <c r="B10096" t="s">
        <v>1615</v>
      </c>
      <c r="C10096" t="s">
        <v>13086</v>
      </c>
      <c r="D10096" t="s">
        <v>18842</v>
      </c>
      <c r="E10096" t="s">
        <v>27640</v>
      </c>
      <c r="F10096" t="s">
        <v>32664</v>
      </c>
      <c r="G10096" t="s">
        <v>32672</v>
      </c>
      <c r="H10096" t="s">
        <v>32683</v>
      </c>
      <c r="I10096" t="s">
        <v>10627</v>
      </c>
      <c r="J10096" t="s">
        <v>32943</v>
      </c>
      <c r="K10096" t="s">
        <v>42290</v>
      </c>
      <c r="M10096" t="s">
        <v>44295</v>
      </c>
      <c r="N10096" t="s">
        <v>46569</v>
      </c>
      <c r="O10096" t="s">
        <v>46570</v>
      </c>
      <c r="P10096">
        <v>0</v>
      </c>
      <c r="Q10096">
        <v>0</v>
      </c>
      <c r="R10096" t="s">
        <v>46577</v>
      </c>
      <c r="S10096" t="s">
        <v>46808</v>
      </c>
      <c r="T10096" t="s">
        <v>48316</v>
      </c>
      <c r="U10096" t="s">
        <v>56875</v>
      </c>
      <c r="W10096" t="s">
        <v>44295</v>
      </c>
      <c r="X10096" t="s">
        <v>46578</v>
      </c>
    </row>
    <row r="10097" spans="1:24">
      <c r="A10097">
        <f>HYPERLINK("https://www.philgeps.gov.ph/GEPSNONPILOT/Tender/SplashBidNoticeAbstractUI.aspx?menuIndex=3&amp;refID=7055268&amp;Result=3","7055268")</f>
        <v>0</v>
      </c>
      <c r="B10097" t="s">
        <v>1876</v>
      </c>
      <c r="C10097" t="s">
        <v>12729</v>
      </c>
      <c r="D10097" t="s">
        <v>18799</v>
      </c>
      <c r="E10097" t="s">
        <v>27641</v>
      </c>
      <c r="F10097" t="s">
        <v>32665</v>
      </c>
      <c r="G10097" t="s">
        <v>32671</v>
      </c>
      <c r="H10097" t="s">
        <v>12635</v>
      </c>
      <c r="I10097" t="s">
        <v>6168</v>
      </c>
      <c r="J10097" t="s">
        <v>38856</v>
      </c>
      <c r="K10097" t="s">
        <v>42283</v>
      </c>
      <c r="M10097" t="s">
        <v>44594</v>
      </c>
      <c r="N10097" t="s">
        <v>46569</v>
      </c>
      <c r="O10097" t="s">
        <v>46570</v>
      </c>
      <c r="P10097">
        <v>0</v>
      </c>
      <c r="Q10097">
        <v>4</v>
      </c>
      <c r="R10097" t="s">
        <v>46577</v>
      </c>
      <c r="S10097" t="s">
        <v>46808</v>
      </c>
      <c r="T10097" t="s">
        <v>48254</v>
      </c>
      <c r="U10097" t="s">
        <v>56890</v>
      </c>
      <c r="W10097" t="s">
        <v>44594</v>
      </c>
      <c r="X10097" t="s">
        <v>46578</v>
      </c>
    </row>
    <row r="10098" spans="1:24">
      <c r="A10098">
        <f>HYPERLINK("https://www.philgeps.gov.ph/GEPSNONPILOT/Tender/SplashBidNoticeAbstractUI.aspx?menuIndex=3&amp;refID=7055276&amp;Result=3","7055276")</f>
        <v>0</v>
      </c>
      <c r="B10098" t="s">
        <v>1620</v>
      </c>
      <c r="C10098" t="s">
        <v>13087</v>
      </c>
      <c r="D10098" t="s">
        <v>18784</v>
      </c>
      <c r="E10098" t="s">
        <v>27642</v>
      </c>
      <c r="F10098" t="s">
        <v>32664</v>
      </c>
      <c r="G10098" t="s">
        <v>32671</v>
      </c>
      <c r="H10098" t="s">
        <v>12635</v>
      </c>
      <c r="I10098" t="s">
        <v>32685</v>
      </c>
      <c r="J10098" t="s">
        <v>38857</v>
      </c>
      <c r="K10098" t="s">
        <v>42298</v>
      </c>
      <c r="M10098" t="s">
        <v>44300</v>
      </c>
      <c r="N10098" t="s">
        <v>46569</v>
      </c>
      <c r="O10098" t="s">
        <v>46570</v>
      </c>
      <c r="P10098">
        <v>0</v>
      </c>
      <c r="Q10098">
        <v>2</v>
      </c>
      <c r="R10098" t="s">
        <v>46577</v>
      </c>
      <c r="S10098" t="s">
        <v>46808</v>
      </c>
      <c r="T10098" t="s">
        <v>48287</v>
      </c>
      <c r="U10098" t="s">
        <v>56874</v>
      </c>
      <c r="W10098" t="s">
        <v>44300</v>
      </c>
      <c r="X10098" t="s">
        <v>46578</v>
      </c>
    </row>
    <row r="10099" spans="1:24">
      <c r="A10099">
        <f>HYPERLINK("https://www.philgeps.gov.ph/GEPSNONPILOT/Tender/SplashBidNoticeAbstractUI.aspx?menuIndex=3&amp;refID=7054750&amp;Result=3","7054750")</f>
        <v>0</v>
      </c>
      <c r="B10099" t="s">
        <v>690</v>
      </c>
      <c r="C10099" t="s">
        <v>13088</v>
      </c>
      <c r="D10099" t="s">
        <v>18781</v>
      </c>
      <c r="E10099" t="s">
        <v>27643</v>
      </c>
      <c r="F10099" t="s">
        <v>32664</v>
      </c>
      <c r="G10099" t="s">
        <v>32672</v>
      </c>
      <c r="H10099" t="s">
        <v>32683</v>
      </c>
      <c r="I10099" t="s">
        <v>10627</v>
      </c>
      <c r="J10099" t="s">
        <v>38737</v>
      </c>
      <c r="K10099" t="s">
        <v>42285</v>
      </c>
      <c r="L10099" t="s">
        <v>690</v>
      </c>
      <c r="M10099" t="s">
        <v>45601</v>
      </c>
      <c r="N10099" t="s">
        <v>46569</v>
      </c>
      <c r="O10099" t="s">
        <v>46570</v>
      </c>
      <c r="P10099">
        <v>0</v>
      </c>
      <c r="Q10099">
        <v>2</v>
      </c>
      <c r="R10099" t="s">
        <v>46577</v>
      </c>
      <c r="S10099" t="s">
        <v>46808</v>
      </c>
      <c r="T10099" t="s">
        <v>48345</v>
      </c>
      <c r="U10099" t="s">
        <v>56737</v>
      </c>
      <c r="W10099" t="s">
        <v>45601</v>
      </c>
      <c r="X10099" t="s">
        <v>46578</v>
      </c>
    </row>
    <row r="10100" spans="1:24">
      <c r="A10100">
        <f>HYPERLINK("https://www.philgeps.gov.ph/GEPSNONPILOT/Tender/SplashBidNoticeAbstractUI.aspx?menuIndex=3&amp;refID=7055277&amp;Result=3","7055277")</f>
        <v>0</v>
      </c>
      <c r="B10100" t="s">
        <v>2780</v>
      </c>
      <c r="C10100" t="s">
        <v>13089</v>
      </c>
      <c r="D10100" t="s">
        <v>18804</v>
      </c>
      <c r="E10100" t="s">
        <v>27644</v>
      </c>
      <c r="F10100" t="s">
        <v>32664</v>
      </c>
      <c r="G10100" t="s">
        <v>32672</v>
      </c>
      <c r="H10100" t="s">
        <v>12635</v>
      </c>
      <c r="I10100" t="s">
        <v>4439</v>
      </c>
      <c r="J10100" t="s">
        <v>38858</v>
      </c>
      <c r="K10100" t="s">
        <v>42289</v>
      </c>
      <c r="M10100" t="s">
        <v>45622</v>
      </c>
      <c r="N10100" t="s">
        <v>46569</v>
      </c>
      <c r="O10100" t="s">
        <v>46570</v>
      </c>
      <c r="P10100">
        <v>0</v>
      </c>
      <c r="Q10100">
        <v>0</v>
      </c>
      <c r="R10100" t="s">
        <v>46577</v>
      </c>
      <c r="S10100" t="s">
        <v>46808</v>
      </c>
      <c r="T10100" t="s">
        <v>48376</v>
      </c>
      <c r="U10100" t="s">
        <v>56891</v>
      </c>
      <c r="W10100" t="s">
        <v>45622</v>
      </c>
      <c r="X10100" t="s">
        <v>46578</v>
      </c>
    </row>
    <row r="10101" spans="1:24">
      <c r="A10101">
        <f>HYPERLINK("https://www.philgeps.gov.ph/GEPSNONPILOT/Tender/SplashBidNoticeAbstractUI.aspx?menuIndex=3&amp;refID=7054551&amp;Result=3","7054551")</f>
        <v>0</v>
      </c>
      <c r="B10101" t="s">
        <v>146</v>
      </c>
      <c r="C10101" t="s">
        <v>13090</v>
      </c>
      <c r="D10101" t="s">
        <v>18826</v>
      </c>
      <c r="E10101" t="s">
        <v>27645</v>
      </c>
      <c r="F10101" t="s">
        <v>32664</v>
      </c>
      <c r="G10101" t="s">
        <v>32671</v>
      </c>
      <c r="H10101" t="s">
        <v>12635</v>
      </c>
      <c r="I10101" t="s">
        <v>8730</v>
      </c>
      <c r="J10101" t="s">
        <v>38859</v>
      </c>
      <c r="K10101" t="s">
        <v>42281</v>
      </c>
      <c r="M10101" t="s">
        <v>45567</v>
      </c>
      <c r="N10101" t="s">
        <v>46569</v>
      </c>
      <c r="O10101" t="s">
        <v>46570</v>
      </c>
      <c r="P10101">
        <v>0</v>
      </c>
      <c r="Q10101">
        <v>4</v>
      </c>
      <c r="R10101" t="s">
        <v>46577</v>
      </c>
      <c r="S10101" t="s">
        <v>46808</v>
      </c>
      <c r="T10101" t="s">
        <v>48244</v>
      </c>
      <c r="U10101" t="s">
        <v>56892</v>
      </c>
      <c r="W10101" t="s">
        <v>45567</v>
      </c>
      <c r="X10101" t="s">
        <v>46578</v>
      </c>
    </row>
    <row r="10102" spans="1:24">
      <c r="A10102">
        <f>HYPERLINK("https://www.philgeps.gov.ph/GEPSNONPILOT/Tender/SplashBidNoticeAbstractUI.aspx?menuIndex=3&amp;refID=7053840&amp;Result=3","7053840")</f>
        <v>0</v>
      </c>
      <c r="B10102" t="s">
        <v>2713</v>
      </c>
      <c r="C10102" t="s">
        <v>13091</v>
      </c>
      <c r="D10102" t="s">
        <v>18816</v>
      </c>
      <c r="E10102" t="s">
        <v>27646</v>
      </c>
      <c r="F10102" t="s">
        <v>32664</v>
      </c>
      <c r="G10102" t="s">
        <v>32672</v>
      </c>
      <c r="H10102" t="s">
        <v>32683</v>
      </c>
      <c r="I10102" t="s">
        <v>10627</v>
      </c>
      <c r="J10102" t="s">
        <v>32859</v>
      </c>
      <c r="K10102" t="s">
        <v>42281</v>
      </c>
      <c r="M10102" t="s">
        <v>45539</v>
      </c>
      <c r="N10102" t="s">
        <v>46569</v>
      </c>
      <c r="O10102" t="s">
        <v>46570</v>
      </c>
      <c r="P10102">
        <v>0</v>
      </c>
      <c r="Q10102">
        <v>2</v>
      </c>
      <c r="R10102" t="s">
        <v>46577</v>
      </c>
      <c r="S10102" t="s">
        <v>46808</v>
      </c>
      <c r="T10102" t="s">
        <v>48651</v>
      </c>
      <c r="U10102" t="s">
        <v>56893</v>
      </c>
      <c r="W10102" t="s">
        <v>45539</v>
      </c>
      <c r="X10102" t="s">
        <v>46578</v>
      </c>
    </row>
    <row r="10103" spans="1:24">
      <c r="A10103">
        <f>HYPERLINK("https://www.philgeps.gov.ph/GEPSNONPILOT/Tender/SplashBidNoticeAbstractUI.aspx?menuIndex=3&amp;refID=7053836&amp;Result=3","7053836")</f>
        <v>0</v>
      </c>
      <c r="B10103" t="s">
        <v>2645</v>
      </c>
      <c r="C10103" t="s">
        <v>13092</v>
      </c>
      <c r="D10103" t="s">
        <v>18856</v>
      </c>
      <c r="E10103" t="s">
        <v>27647</v>
      </c>
      <c r="F10103" t="s">
        <v>32664</v>
      </c>
      <c r="G10103" t="s">
        <v>32675</v>
      </c>
      <c r="H10103" t="s">
        <v>12635</v>
      </c>
      <c r="I10103" t="s">
        <v>6223</v>
      </c>
      <c r="J10103" t="s">
        <v>33128</v>
      </c>
      <c r="K10103" t="s">
        <v>42281</v>
      </c>
      <c r="M10103" t="s">
        <v>45466</v>
      </c>
      <c r="N10103" t="s">
        <v>46569</v>
      </c>
      <c r="O10103" t="s">
        <v>46570</v>
      </c>
      <c r="P10103">
        <v>0</v>
      </c>
      <c r="Q10103">
        <v>3</v>
      </c>
      <c r="R10103" t="s">
        <v>46577</v>
      </c>
      <c r="S10103" t="s">
        <v>46808</v>
      </c>
      <c r="T10103" t="s">
        <v>48256</v>
      </c>
      <c r="U10103" t="s">
        <v>56894</v>
      </c>
      <c r="V10103" t="s">
        <v>62681</v>
      </c>
      <c r="W10103" t="s">
        <v>45466</v>
      </c>
      <c r="X10103" t="s">
        <v>46578</v>
      </c>
    </row>
    <row r="10104" spans="1:24">
      <c r="A10104">
        <f>HYPERLINK("https://www.philgeps.gov.ph/GEPSNONPILOT/Tender/SplashBidNoticeAbstractUI.aspx?menuIndex=3&amp;refID=7055269&amp;Result=3","7055269")</f>
        <v>0</v>
      </c>
      <c r="B10104" t="s">
        <v>1620</v>
      </c>
      <c r="C10104" t="s">
        <v>13093</v>
      </c>
      <c r="D10104" t="s">
        <v>18784</v>
      </c>
      <c r="E10104" t="s">
        <v>27648</v>
      </c>
      <c r="F10104" t="s">
        <v>32664</v>
      </c>
      <c r="G10104" t="s">
        <v>32671</v>
      </c>
      <c r="H10104" t="s">
        <v>12635</v>
      </c>
      <c r="I10104" t="s">
        <v>4439</v>
      </c>
      <c r="J10104" t="s">
        <v>38860</v>
      </c>
      <c r="K10104" t="s">
        <v>42298</v>
      </c>
      <c r="M10104" t="s">
        <v>44300</v>
      </c>
      <c r="N10104" t="s">
        <v>46569</v>
      </c>
      <c r="O10104" t="s">
        <v>46570</v>
      </c>
      <c r="P10104">
        <v>0</v>
      </c>
      <c r="Q10104">
        <v>1</v>
      </c>
      <c r="R10104" t="s">
        <v>46577</v>
      </c>
      <c r="S10104" t="s">
        <v>46808</v>
      </c>
      <c r="T10104" t="s">
        <v>48287</v>
      </c>
      <c r="U10104" t="s">
        <v>56874</v>
      </c>
      <c r="W10104" t="s">
        <v>44300</v>
      </c>
      <c r="X10104" t="s">
        <v>46578</v>
      </c>
    </row>
    <row r="10105" spans="1:24">
      <c r="A10105">
        <f>HYPERLINK("https://www.philgeps.gov.ph/GEPSNONPILOT/Tender/SplashBidNoticeAbstractUI.aspx?menuIndex=3&amp;refID=7054552&amp;Result=3","7054552")</f>
        <v>0</v>
      </c>
      <c r="B10105" t="s">
        <v>1946</v>
      </c>
      <c r="C10105" t="s">
        <v>13094</v>
      </c>
      <c r="D10105" t="s">
        <v>18843</v>
      </c>
      <c r="E10105" t="s">
        <v>27649</v>
      </c>
      <c r="F10105" t="s">
        <v>32664</v>
      </c>
      <c r="G10105" t="s">
        <v>32672</v>
      </c>
      <c r="H10105" t="s">
        <v>32683</v>
      </c>
      <c r="I10105" t="s">
        <v>10627</v>
      </c>
      <c r="J10105" t="s">
        <v>38861</v>
      </c>
      <c r="K10105" t="s">
        <v>42432</v>
      </c>
      <c r="M10105" t="s">
        <v>44673</v>
      </c>
      <c r="N10105" t="s">
        <v>46569</v>
      </c>
      <c r="O10105" t="s">
        <v>46570</v>
      </c>
      <c r="P10105">
        <v>0</v>
      </c>
      <c r="Q10105">
        <v>0</v>
      </c>
      <c r="R10105" t="s">
        <v>46577</v>
      </c>
      <c r="S10105" t="s">
        <v>46808</v>
      </c>
      <c r="T10105" t="s">
        <v>48219</v>
      </c>
      <c r="U10105" t="s">
        <v>56895</v>
      </c>
      <c r="W10105" t="s">
        <v>44673</v>
      </c>
      <c r="X10105" t="s">
        <v>46578</v>
      </c>
    </row>
    <row r="10106" spans="1:24">
      <c r="A10106">
        <f>HYPERLINK("https://www.philgeps.gov.ph/GEPSNONPILOT/Tender/SplashBidNoticeAbstractUI.aspx?menuIndex=3&amp;refID=7055270&amp;Result=3","7055270")</f>
        <v>0</v>
      </c>
      <c r="B10106" t="s">
        <v>418</v>
      </c>
      <c r="C10106" t="s">
        <v>13095</v>
      </c>
      <c r="D10106" t="s">
        <v>18784</v>
      </c>
      <c r="E10106" t="s">
        <v>27650</v>
      </c>
      <c r="F10106" t="s">
        <v>32664</v>
      </c>
      <c r="G10106" t="s">
        <v>32672</v>
      </c>
      <c r="H10106" t="s">
        <v>12635</v>
      </c>
      <c r="I10106" t="s">
        <v>6223</v>
      </c>
      <c r="J10106" t="s">
        <v>38862</v>
      </c>
      <c r="K10106" t="s">
        <v>42289</v>
      </c>
      <c r="M10106" t="s">
        <v>43105</v>
      </c>
      <c r="N10106" t="s">
        <v>46569</v>
      </c>
      <c r="O10106" t="s">
        <v>46570</v>
      </c>
      <c r="P10106">
        <v>0</v>
      </c>
      <c r="Q10106">
        <v>1</v>
      </c>
      <c r="R10106" t="s">
        <v>46577</v>
      </c>
      <c r="S10106" t="s">
        <v>46808</v>
      </c>
      <c r="T10106" t="s">
        <v>48307</v>
      </c>
      <c r="U10106" t="s">
        <v>49872</v>
      </c>
      <c r="W10106" t="s">
        <v>43105</v>
      </c>
      <c r="X10106" t="s">
        <v>46578</v>
      </c>
    </row>
    <row r="10107" spans="1:24">
      <c r="A10107">
        <f>HYPERLINK("https://www.philgeps.gov.ph/GEPSNONPILOT/Tender/SplashBidNoticeAbstractUI.aspx?menuIndex=3&amp;refID=7055287&amp;Result=3","7055287")</f>
        <v>0</v>
      </c>
      <c r="B10107" t="s">
        <v>418</v>
      </c>
      <c r="C10107" t="s">
        <v>13096</v>
      </c>
      <c r="D10107" t="s">
        <v>18784</v>
      </c>
      <c r="E10107" t="s">
        <v>27651</v>
      </c>
      <c r="F10107" t="s">
        <v>32664</v>
      </c>
      <c r="G10107" t="s">
        <v>32672</v>
      </c>
      <c r="H10107" t="s">
        <v>12635</v>
      </c>
      <c r="I10107" t="s">
        <v>6118</v>
      </c>
      <c r="J10107" t="s">
        <v>33657</v>
      </c>
      <c r="K10107" t="s">
        <v>42289</v>
      </c>
      <c r="M10107" t="s">
        <v>43105</v>
      </c>
      <c r="N10107" t="s">
        <v>46569</v>
      </c>
      <c r="O10107" t="s">
        <v>46570</v>
      </c>
      <c r="P10107">
        <v>0</v>
      </c>
      <c r="Q10107">
        <v>0</v>
      </c>
      <c r="R10107" t="s">
        <v>46577</v>
      </c>
      <c r="S10107" t="s">
        <v>46808</v>
      </c>
      <c r="T10107" t="s">
        <v>48307</v>
      </c>
      <c r="U10107" t="s">
        <v>49634</v>
      </c>
      <c r="W10107" t="s">
        <v>43105</v>
      </c>
      <c r="X10107" t="s">
        <v>46578</v>
      </c>
    </row>
    <row r="10108" spans="1:24">
      <c r="A10108">
        <f>HYPERLINK("https://www.philgeps.gov.ph/GEPSNONPILOT/Tender/SplashBidNoticeAbstractUI.aspx?menuIndex=3&amp;refID=7055330&amp;Result=3","7055330")</f>
        <v>0</v>
      </c>
      <c r="B10108" t="s">
        <v>2791</v>
      </c>
      <c r="C10108" t="s">
        <v>13097</v>
      </c>
      <c r="D10108" t="s">
        <v>18792</v>
      </c>
      <c r="E10108" t="s">
        <v>26658</v>
      </c>
      <c r="F10108" t="s">
        <v>32664</v>
      </c>
      <c r="G10108" t="s">
        <v>32672</v>
      </c>
      <c r="H10108" t="s">
        <v>32683</v>
      </c>
      <c r="I10108" t="s">
        <v>10627</v>
      </c>
      <c r="J10108" t="s">
        <v>33128</v>
      </c>
      <c r="K10108" t="s">
        <v>42289</v>
      </c>
      <c r="M10108" t="s">
        <v>45635</v>
      </c>
      <c r="N10108" t="s">
        <v>46569</v>
      </c>
      <c r="O10108" t="s">
        <v>46570</v>
      </c>
      <c r="P10108">
        <v>0</v>
      </c>
      <c r="Q10108">
        <v>0</v>
      </c>
      <c r="R10108" t="s">
        <v>46577</v>
      </c>
      <c r="S10108" t="s">
        <v>46808</v>
      </c>
      <c r="T10108" t="s">
        <v>48221</v>
      </c>
      <c r="U10108" t="s">
        <v>56896</v>
      </c>
      <c r="W10108" t="s">
        <v>45635</v>
      </c>
      <c r="X10108" t="s">
        <v>46578</v>
      </c>
    </row>
    <row r="10109" spans="1:24">
      <c r="A10109">
        <f>HYPERLINK("https://www.philgeps.gov.ph/GEPSNONPILOT/Tender/SplashBidNoticeAbstractUI.aspx?menuIndex=3&amp;refID=7055282&amp;Result=3","7055282")</f>
        <v>0</v>
      </c>
      <c r="B10109" t="s">
        <v>2792</v>
      </c>
      <c r="C10109" t="s">
        <v>13098</v>
      </c>
      <c r="E10109" t="s">
        <v>27652</v>
      </c>
      <c r="F10109" t="s">
        <v>32664</v>
      </c>
      <c r="G10109" t="s">
        <v>32672</v>
      </c>
      <c r="H10109" t="s">
        <v>32683</v>
      </c>
      <c r="I10109" t="s">
        <v>10627</v>
      </c>
      <c r="J10109" t="s">
        <v>32865</v>
      </c>
      <c r="K10109" t="s">
        <v>42305</v>
      </c>
      <c r="L10109" t="s">
        <v>2792</v>
      </c>
      <c r="N10109" t="s">
        <v>46569</v>
      </c>
      <c r="O10109" t="s">
        <v>46570</v>
      </c>
      <c r="P10109">
        <v>0</v>
      </c>
      <c r="Q10109">
        <v>1</v>
      </c>
      <c r="R10109" t="s">
        <v>46577</v>
      </c>
      <c r="S10109" t="s">
        <v>46808</v>
      </c>
      <c r="T10109" t="s">
        <v>48376</v>
      </c>
      <c r="U10109" t="s">
        <v>56897</v>
      </c>
      <c r="V10109" t="s">
        <v>62682</v>
      </c>
      <c r="W10109" t="s">
        <v>63571</v>
      </c>
      <c r="X10109" t="s">
        <v>46578</v>
      </c>
    </row>
    <row r="10110" spans="1:24">
      <c r="A10110">
        <f>HYPERLINK("https://www.philgeps.gov.ph/GEPSNONPILOT/Tender/SplashBidNoticeAbstractUI.aspx?menuIndex=3&amp;refID=7055326&amp;Result=3","7055326")</f>
        <v>0</v>
      </c>
      <c r="B10110" t="s">
        <v>2523</v>
      </c>
      <c r="C10110" t="s">
        <v>13099</v>
      </c>
      <c r="D10110" t="s">
        <v>18789</v>
      </c>
      <c r="E10110" t="s">
        <v>27653</v>
      </c>
      <c r="F10110" t="s">
        <v>32664</v>
      </c>
      <c r="G10110" t="s">
        <v>32672</v>
      </c>
      <c r="H10110" t="s">
        <v>32683</v>
      </c>
      <c r="I10110" t="s">
        <v>10627</v>
      </c>
      <c r="J10110" t="s">
        <v>38863</v>
      </c>
      <c r="K10110" t="s">
        <v>42296</v>
      </c>
      <c r="M10110" t="s">
        <v>45632</v>
      </c>
      <c r="N10110" t="s">
        <v>46569</v>
      </c>
      <c r="O10110" t="s">
        <v>46570</v>
      </c>
      <c r="P10110">
        <v>0</v>
      </c>
      <c r="Q10110">
        <v>0</v>
      </c>
      <c r="R10110" t="s">
        <v>46577</v>
      </c>
      <c r="S10110" t="s">
        <v>46808</v>
      </c>
      <c r="T10110" t="s">
        <v>48330</v>
      </c>
      <c r="U10110" t="s">
        <v>56872</v>
      </c>
      <c r="W10110" t="s">
        <v>45632</v>
      </c>
      <c r="X10110" t="s">
        <v>46578</v>
      </c>
    </row>
    <row r="10111" spans="1:24">
      <c r="A10111">
        <f>HYPERLINK("https://www.philgeps.gov.ph/GEPSNONPILOT/Tender/SplashBidNoticeAbstractUI.aspx?menuIndex=3&amp;refID=7055335&amp;Result=3","7055335")</f>
        <v>0</v>
      </c>
      <c r="B10111" t="s">
        <v>2791</v>
      </c>
      <c r="C10111" t="s">
        <v>13100</v>
      </c>
      <c r="D10111" t="s">
        <v>18792</v>
      </c>
      <c r="E10111" t="s">
        <v>27654</v>
      </c>
      <c r="F10111" t="s">
        <v>32664</v>
      </c>
      <c r="G10111" t="s">
        <v>32672</v>
      </c>
      <c r="H10111" t="s">
        <v>32683</v>
      </c>
      <c r="I10111" t="s">
        <v>10627</v>
      </c>
      <c r="J10111" t="s">
        <v>33128</v>
      </c>
      <c r="K10111" t="s">
        <v>42289</v>
      </c>
      <c r="M10111" t="s">
        <v>45635</v>
      </c>
      <c r="N10111" t="s">
        <v>46569</v>
      </c>
      <c r="O10111" t="s">
        <v>46570</v>
      </c>
      <c r="P10111">
        <v>0</v>
      </c>
      <c r="Q10111">
        <v>0</v>
      </c>
      <c r="R10111" t="s">
        <v>46577</v>
      </c>
      <c r="S10111" t="s">
        <v>46808</v>
      </c>
      <c r="T10111" t="s">
        <v>48221</v>
      </c>
      <c r="U10111" t="s">
        <v>56898</v>
      </c>
      <c r="W10111" t="s">
        <v>45635</v>
      </c>
      <c r="X10111" t="s">
        <v>46578</v>
      </c>
    </row>
    <row r="10112" spans="1:24">
      <c r="A10112">
        <f>HYPERLINK("https://www.philgeps.gov.ph/GEPSNONPILOT/Tender/SplashBidNoticeAbstractUI.aspx?menuIndex=3&amp;refID=7055324&amp;Result=3","7055324")</f>
        <v>0</v>
      </c>
      <c r="B10112" t="s">
        <v>958</v>
      </c>
      <c r="C10112" t="s">
        <v>13101</v>
      </c>
      <c r="D10112" t="s">
        <v>18783</v>
      </c>
      <c r="E10112" t="s">
        <v>27655</v>
      </c>
      <c r="F10112" t="s">
        <v>32664</v>
      </c>
      <c r="G10112" t="s">
        <v>32671</v>
      </c>
      <c r="H10112" t="s">
        <v>32682</v>
      </c>
      <c r="I10112" t="s">
        <v>10361</v>
      </c>
      <c r="J10112" t="s">
        <v>33069</v>
      </c>
      <c r="K10112" t="s">
        <v>42306</v>
      </c>
      <c r="M10112" t="s">
        <v>43565</v>
      </c>
      <c r="N10112" t="s">
        <v>46569</v>
      </c>
      <c r="O10112" t="s">
        <v>46570</v>
      </c>
      <c r="P10112">
        <v>0</v>
      </c>
      <c r="Q10112">
        <v>0</v>
      </c>
      <c r="R10112" t="s">
        <v>46577</v>
      </c>
      <c r="S10112" t="s">
        <v>46808</v>
      </c>
      <c r="T10112" t="s">
        <v>48473</v>
      </c>
      <c r="U10112" t="s">
        <v>50675</v>
      </c>
      <c r="V10112" t="s">
        <v>61861</v>
      </c>
      <c r="W10112" t="s">
        <v>43565</v>
      </c>
      <c r="X10112" t="s">
        <v>46578</v>
      </c>
    </row>
    <row r="10113" spans="1:24">
      <c r="A10113">
        <f>HYPERLINK("https://www.philgeps.gov.ph/GEPSNONPILOT/Tender/SplashBidNoticeAbstractUI.aspx?menuIndex=3&amp;refID=7055332&amp;Result=3","7055332")</f>
        <v>0</v>
      </c>
      <c r="B10113" t="s">
        <v>2787</v>
      </c>
      <c r="C10113" t="s">
        <v>13102</v>
      </c>
      <c r="E10113" t="s">
        <v>27656</v>
      </c>
      <c r="F10113" t="s">
        <v>32664</v>
      </c>
      <c r="G10113" t="s">
        <v>32672</v>
      </c>
      <c r="H10113" t="s">
        <v>12635</v>
      </c>
      <c r="I10113" t="s">
        <v>8730</v>
      </c>
      <c r="J10113" t="s">
        <v>33069</v>
      </c>
      <c r="K10113" t="s">
        <v>42281</v>
      </c>
      <c r="M10113" t="s">
        <v>45629</v>
      </c>
      <c r="N10113" t="s">
        <v>46569</v>
      </c>
      <c r="O10113" t="s">
        <v>46570</v>
      </c>
      <c r="P10113">
        <v>0</v>
      </c>
      <c r="Q10113">
        <v>5</v>
      </c>
      <c r="R10113" t="s">
        <v>46577</v>
      </c>
      <c r="S10113" t="s">
        <v>46808</v>
      </c>
      <c r="T10113" t="s">
        <v>48245</v>
      </c>
      <c r="U10113" t="s">
        <v>56899</v>
      </c>
      <c r="W10113" t="s">
        <v>45629</v>
      </c>
      <c r="X10113" t="s">
        <v>46578</v>
      </c>
    </row>
    <row r="10114" spans="1:24">
      <c r="A10114">
        <f>HYPERLINK("https://www.philgeps.gov.ph/GEPSNONPILOT/Tender/SplashBidNoticeAbstractUI.aspx?menuIndex=3&amp;refID=7055322&amp;Result=3","7055322")</f>
        <v>0</v>
      </c>
      <c r="B10114" t="s">
        <v>1946</v>
      </c>
      <c r="C10114" t="s">
        <v>13103</v>
      </c>
      <c r="D10114" t="s">
        <v>18843</v>
      </c>
      <c r="E10114" t="s">
        <v>27657</v>
      </c>
      <c r="F10114" t="s">
        <v>32664</v>
      </c>
      <c r="G10114" t="s">
        <v>32672</v>
      </c>
      <c r="H10114" t="s">
        <v>32683</v>
      </c>
      <c r="I10114" t="s">
        <v>10627</v>
      </c>
      <c r="J10114" t="s">
        <v>38864</v>
      </c>
      <c r="K10114" t="s">
        <v>42484</v>
      </c>
      <c r="M10114" t="s">
        <v>44673</v>
      </c>
      <c r="N10114" t="s">
        <v>46569</v>
      </c>
      <c r="O10114" t="s">
        <v>46570</v>
      </c>
      <c r="P10114">
        <v>0</v>
      </c>
      <c r="Q10114">
        <v>0</v>
      </c>
      <c r="R10114" t="s">
        <v>46577</v>
      </c>
      <c r="S10114" t="s">
        <v>46808</v>
      </c>
      <c r="T10114" t="s">
        <v>48305</v>
      </c>
      <c r="U10114" t="s">
        <v>56900</v>
      </c>
      <c r="W10114" t="s">
        <v>44673</v>
      </c>
      <c r="X10114" t="s">
        <v>46578</v>
      </c>
    </row>
    <row r="10115" spans="1:24">
      <c r="A10115">
        <f>HYPERLINK("https://www.philgeps.gov.ph/GEPSNONPILOT/Tender/SplashBidNoticeAbstractUI.aspx?menuIndex=3&amp;refID=7055304&amp;Result=3","7055304")</f>
        <v>0</v>
      </c>
      <c r="B10115" t="s">
        <v>418</v>
      </c>
      <c r="C10115" t="s">
        <v>13104</v>
      </c>
      <c r="D10115" t="s">
        <v>18784</v>
      </c>
      <c r="E10115" t="s">
        <v>27658</v>
      </c>
      <c r="F10115" t="s">
        <v>32664</v>
      </c>
      <c r="G10115" t="s">
        <v>32672</v>
      </c>
      <c r="H10115" t="s">
        <v>12635</v>
      </c>
      <c r="I10115" t="s">
        <v>32708</v>
      </c>
      <c r="J10115" t="s">
        <v>38865</v>
      </c>
      <c r="K10115" t="s">
        <v>42289</v>
      </c>
      <c r="M10115" t="s">
        <v>43105</v>
      </c>
      <c r="N10115" t="s">
        <v>46569</v>
      </c>
      <c r="O10115" t="s">
        <v>46570</v>
      </c>
      <c r="P10115">
        <v>0</v>
      </c>
      <c r="Q10115">
        <v>4</v>
      </c>
      <c r="R10115" t="s">
        <v>46577</v>
      </c>
      <c r="S10115" t="s">
        <v>46808</v>
      </c>
      <c r="T10115" t="s">
        <v>48307</v>
      </c>
      <c r="U10115" t="s">
        <v>56837</v>
      </c>
      <c r="W10115" t="s">
        <v>43105</v>
      </c>
      <c r="X10115" t="s">
        <v>46578</v>
      </c>
    </row>
    <row r="10116" spans="1:24">
      <c r="A10116">
        <f>HYPERLINK("https://www.philgeps.gov.ph/GEPSNONPILOT/Tender/SplashBidNoticeAbstractUI.aspx?menuIndex=3&amp;refID=7055319&amp;Result=3","7055319")</f>
        <v>0</v>
      </c>
      <c r="B10116" t="s">
        <v>2787</v>
      </c>
      <c r="C10116" t="s">
        <v>13105</v>
      </c>
      <c r="E10116" t="s">
        <v>27659</v>
      </c>
      <c r="F10116" t="s">
        <v>32664</v>
      </c>
      <c r="G10116" t="s">
        <v>32672</v>
      </c>
      <c r="H10116" t="s">
        <v>12635</v>
      </c>
      <c r="I10116" t="s">
        <v>11464</v>
      </c>
      <c r="J10116" t="s">
        <v>32898</v>
      </c>
      <c r="K10116" t="s">
        <v>42281</v>
      </c>
      <c r="M10116" t="s">
        <v>45629</v>
      </c>
      <c r="N10116" t="s">
        <v>46569</v>
      </c>
      <c r="O10116" t="s">
        <v>46570</v>
      </c>
      <c r="P10116">
        <v>0</v>
      </c>
      <c r="Q10116">
        <v>0</v>
      </c>
      <c r="R10116" t="s">
        <v>46577</v>
      </c>
      <c r="S10116" t="s">
        <v>46808</v>
      </c>
      <c r="T10116" t="s">
        <v>48500</v>
      </c>
      <c r="U10116" t="s">
        <v>56901</v>
      </c>
      <c r="W10116" t="s">
        <v>45629</v>
      </c>
      <c r="X10116" t="s">
        <v>46578</v>
      </c>
    </row>
    <row r="10117" spans="1:24">
      <c r="A10117">
        <f>HYPERLINK("https://www.philgeps.gov.ph/GEPSNONPILOT/Tender/SplashBidNoticeAbstractUI.aspx?menuIndex=3&amp;refID=7055328&amp;Result=3","7055328")</f>
        <v>0</v>
      </c>
      <c r="B10117" t="s">
        <v>203</v>
      </c>
      <c r="C10117" t="s">
        <v>13106</v>
      </c>
      <c r="D10117" t="s">
        <v>18844</v>
      </c>
      <c r="E10117" t="s">
        <v>27660</v>
      </c>
      <c r="F10117" t="s">
        <v>32664</v>
      </c>
      <c r="G10117" t="s">
        <v>32671</v>
      </c>
      <c r="H10117" t="s">
        <v>12635</v>
      </c>
      <c r="I10117" t="s">
        <v>32699</v>
      </c>
      <c r="J10117" t="s">
        <v>34826</v>
      </c>
      <c r="K10117" t="s">
        <v>42281</v>
      </c>
      <c r="M10117" t="s">
        <v>45636</v>
      </c>
      <c r="N10117" t="s">
        <v>46569</v>
      </c>
      <c r="O10117" t="s">
        <v>46570</v>
      </c>
      <c r="P10117">
        <v>0</v>
      </c>
      <c r="Q10117">
        <v>0</v>
      </c>
      <c r="R10117" t="s">
        <v>46577</v>
      </c>
      <c r="S10117" t="s">
        <v>46808</v>
      </c>
      <c r="T10117" t="s">
        <v>48254</v>
      </c>
      <c r="U10117" t="s">
        <v>56902</v>
      </c>
      <c r="W10117" t="s">
        <v>45636</v>
      </c>
      <c r="X10117" t="s">
        <v>46578</v>
      </c>
    </row>
    <row r="10118" spans="1:24">
      <c r="A10118">
        <f>HYPERLINK("https://www.philgeps.gov.ph/GEPSNONPILOT/Tender/SplashBidNoticeAbstractUI.aspx?menuIndex=3&amp;refID=7055312&amp;Result=3","7055312")</f>
        <v>0</v>
      </c>
      <c r="B10118" t="s">
        <v>2793</v>
      </c>
      <c r="C10118" t="s">
        <v>13107</v>
      </c>
      <c r="D10118" t="s">
        <v>18831</v>
      </c>
      <c r="E10118" t="s">
        <v>27661</v>
      </c>
      <c r="F10118" t="s">
        <v>32664</v>
      </c>
      <c r="G10118" t="s">
        <v>32671</v>
      </c>
      <c r="H10118" t="s">
        <v>32682</v>
      </c>
      <c r="I10118" t="s">
        <v>10627</v>
      </c>
      <c r="J10118" t="s">
        <v>33043</v>
      </c>
      <c r="K10118" t="s">
        <v>42298</v>
      </c>
      <c r="M10118" t="s">
        <v>45637</v>
      </c>
      <c r="N10118" t="s">
        <v>46569</v>
      </c>
      <c r="O10118" t="s">
        <v>46570</v>
      </c>
      <c r="P10118">
        <v>0</v>
      </c>
      <c r="Q10118">
        <v>1</v>
      </c>
      <c r="R10118" t="s">
        <v>46577</v>
      </c>
      <c r="S10118" t="s">
        <v>46808</v>
      </c>
      <c r="T10118" t="s">
        <v>48283</v>
      </c>
      <c r="U10118" t="s">
        <v>56903</v>
      </c>
      <c r="W10118" t="s">
        <v>45637</v>
      </c>
      <c r="X10118" t="s">
        <v>46578</v>
      </c>
    </row>
    <row r="10119" spans="1:24">
      <c r="A10119">
        <f>HYPERLINK("https://www.philgeps.gov.ph/GEPSNONPILOT/Tender/SplashBidNoticeAbstractUI.aspx?menuIndex=3&amp;refID=7055379&amp;Result=3","7055379")</f>
        <v>0</v>
      </c>
      <c r="B10119" t="s">
        <v>2754</v>
      </c>
      <c r="C10119" t="s">
        <v>13108</v>
      </c>
      <c r="D10119" t="s">
        <v>18806</v>
      </c>
      <c r="E10119" t="s">
        <v>27662</v>
      </c>
      <c r="F10119" t="s">
        <v>32664</v>
      </c>
      <c r="G10119" t="s">
        <v>32672</v>
      </c>
      <c r="H10119" t="s">
        <v>32681</v>
      </c>
      <c r="I10119" t="s">
        <v>32785</v>
      </c>
      <c r="J10119" t="s">
        <v>32853</v>
      </c>
      <c r="K10119" t="s">
        <v>42281</v>
      </c>
      <c r="M10119" t="s">
        <v>45588</v>
      </c>
      <c r="N10119" t="s">
        <v>46569</v>
      </c>
      <c r="O10119" t="s">
        <v>46570</v>
      </c>
      <c r="P10119">
        <v>0</v>
      </c>
      <c r="Q10119">
        <v>3</v>
      </c>
      <c r="R10119" t="s">
        <v>46577</v>
      </c>
      <c r="S10119" t="s">
        <v>46808</v>
      </c>
      <c r="T10119" t="s">
        <v>48287</v>
      </c>
      <c r="U10119" t="s">
        <v>56904</v>
      </c>
      <c r="V10119" t="s">
        <v>62655</v>
      </c>
      <c r="W10119" t="s">
        <v>45588</v>
      </c>
      <c r="X10119" t="s">
        <v>46578</v>
      </c>
    </row>
    <row r="10120" spans="1:24">
      <c r="A10120">
        <f>HYPERLINK("https://www.philgeps.gov.ph/GEPSNONPILOT/Tender/SplashBidNoticeAbstractUI.aspx?menuIndex=3&amp;refID=7055063&amp;Result=3","7055063")</f>
        <v>0</v>
      </c>
      <c r="B10120" t="s">
        <v>418</v>
      </c>
      <c r="C10120" t="s">
        <v>13109</v>
      </c>
      <c r="D10120" t="s">
        <v>18784</v>
      </c>
      <c r="E10120" t="s">
        <v>27663</v>
      </c>
      <c r="F10120" t="s">
        <v>32664</v>
      </c>
      <c r="G10120" t="s">
        <v>32672</v>
      </c>
      <c r="H10120" t="s">
        <v>12635</v>
      </c>
      <c r="I10120" t="s">
        <v>6223</v>
      </c>
      <c r="J10120" t="s">
        <v>33375</v>
      </c>
      <c r="K10120" t="s">
        <v>42289</v>
      </c>
      <c r="M10120" t="s">
        <v>42989</v>
      </c>
      <c r="N10120" t="s">
        <v>46569</v>
      </c>
      <c r="O10120" t="s">
        <v>46570</v>
      </c>
      <c r="P10120">
        <v>0</v>
      </c>
      <c r="Q10120">
        <v>1</v>
      </c>
      <c r="R10120" t="s">
        <v>46577</v>
      </c>
      <c r="S10120" t="s">
        <v>46808</v>
      </c>
      <c r="T10120" t="s">
        <v>48307</v>
      </c>
      <c r="U10120" t="s">
        <v>49872</v>
      </c>
      <c r="W10120" t="s">
        <v>42989</v>
      </c>
      <c r="X10120" t="s">
        <v>46578</v>
      </c>
    </row>
    <row r="10121" spans="1:24">
      <c r="A10121">
        <f>HYPERLINK("https://www.philgeps.gov.ph/GEPSNONPILOT/Tender/SplashBidNoticeAbstractUI.aspx?menuIndex=3&amp;refID=7055373&amp;Result=3","7055373")</f>
        <v>0</v>
      </c>
      <c r="B10121" t="s">
        <v>2794</v>
      </c>
      <c r="C10121" t="s">
        <v>13110</v>
      </c>
      <c r="D10121" t="s">
        <v>18797</v>
      </c>
      <c r="E10121" t="s">
        <v>27664</v>
      </c>
      <c r="F10121" t="s">
        <v>32664</v>
      </c>
      <c r="G10121" t="s">
        <v>32672</v>
      </c>
      <c r="H10121" t="s">
        <v>32683</v>
      </c>
      <c r="I10121" t="s">
        <v>10627</v>
      </c>
      <c r="J10121" t="s">
        <v>33001</v>
      </c>
      <c r="K10121" t="s">
        <v>42308</v>
      </c>
      <c r="M10121" t="s">
        <v>45638</v>
      </c>
      <c r="N10121" t="s">
        <v>46569</v>
      </c>
      <c r="O10121" t="s">
        <v>46570</v>
      </c>
      <c r="P10121">
        <v>0</v>
      </c>
      <c r="Q10121">
        <v>52</v>
      </c>
      <c r="R10121" t="s">
        <v>46577</v>
      </c>
      <c r="S10121" t="s">
        <v>46808</v>
      </c>
      <c r="T10121" t="s">
        <v>48468</v>
      </c>
      <c r="U10121" t="s">
        <v>56905</v>
      </c>
      <c r="V10121" t="s">
        <v>62683</v>
      </c>
      <c r="W10121" t="s">
        <v>63572</v>
      </c>
      <c r="X10121" t="s">
        <v>46578</v>
      </c>
    </row>
    <row r="10122" spans="1:24">
      <c r="A10122">
        <f>HYPERLINK("https://www.philgeps.gov.ph/GEPSNONPILOT/Tender/SplashBidNoticeAbstractUI.aspx?menuIndex=3&amp;refID=7055366&amp;Result=3","7055366")</f>
        <v>0</v>
      </c>
      <c r="B10122" t="s">
        <v>2794</v>
      </c>
      <c r="C10122" t="s">
        <v>13111</v>
      </c>
      <c r="D10122" t="s">
        <v>18797</v>
      </c>
      <c r="E10122" t="s">
        <v>27665</v>
      </c>
      <c r="F10122" t="s">
        <v>32664</v>
      </c>
      <c r="G10122" t="s">
        <v>32672</v>
      </c>
      <c r="H10122" t="s">
        <v>32683</v>
      </c>
      <c r="I10122" t="s">
        <v>10627</v>
      </c>
      <c r="J10122" t="s">
        <v>35216</v>
      </c>
      <c r="K10122" t="s">
        <v>42397</v>
      </c>
      <c r="M10122" t="s">
        <v>45638</v>
      </c>
      <c r="N10122" t="s">
        <v>46569</v>
      </c>
      <c r="O10122" t="s">
        <v>46570</v>
      </c>
      <c r="P10122">
        <v>0</v>
      </c>
      <c r="Q10122">
        <v>52</v>
      </c>
      <c r="R10122" t="s">
        <v>46577</v>
      </c>
      <c r="S10122" t="s">
        <v>46808</v>
      </c>
      <c r="T10122" t="s">
        <v>48468</v>
      </c>
      <c r="U10122" t="s">
        <v>56905</v>
      </c>
      <c r="V10122" t="s">
        <v>62684</v>
      </c>
      <c r="W10122" t="s">
        <v>63572</v>
      </c>
      <c r="X10122" t="s">
        <v>46578</v>
      </c>
    </row>
    <row r="10123" spans="1:24">
      <c r="A10123">
        <f>HYPERLINK("https://www.philgeps.gov.ph/GEPSNONPILOT/Tender/SplashBidNoticeAbstractUI.aspx?menuIndex=3&amp;refID=7055316&amp;Result=3","7055316")</f>
        <v>0</v>
      </c>
      <c r="B10123" t="s">
        <v>203</v>
      </c>
      <c r="C10123" t="s">
        <v>13112</v>
      </c>
      <c r="D10123" t="s">
        <v>18844</v>
      </c>
      <c r="E10123" t="s">
        <v>27666</v>
      </c>
      <c r="F10123" t="s">
        <v>32664</v>
      </c>
      <c r="G10123" t="s">
        <v>32671</v>
      </c>
      <c r="H10123" t="s">
        <v>32683</v>
      </c>
      <c r="I10123" t="s">
        <v>10627</v>
      </c>
      <c r="J10123" t="s">
        <v>38866</v>
      </c>
      <c r="K10123" t="s">
        <v>42281</v>
      </c>
      <c r="M10123" t="s">
        <v>45636</v>
      </c>
      <c r="N10123" t="s">
        <v>46569</v>
      </c>
      <c r="O10123" t="s">
        <v>46570</v>
      </c>
      <c r="P10123">
        <v>0</v>
      </c>
      <c r="Q10123">
        <v>3</v>
      </c>
      <c r="R10123" t="s">
        <v>46577</v>
      </c>
      <c r="S10123" t="s">
        <v>46808</v>
      </c>
      <c r="T10123" t="s">
        <v>48254</v>
      </c>
      <c r="U10123" t="s">
        <v>56906</v>
      </c>
      <c r="W10123" t="s">
        <v>45636</v>
      </c>
      <c r="X10123" t="s">
        <v>46578</v>
      </c>
    </row>
    <row r="10124" spans="1:24">
      <c r="A10124">
        <f>HYPERLINK("https://www.philgeps.gov.ph/GEPSNONPILOT/Tender/SplashBidNoticeAbstractUI.aspx?menuIndex=3&amp;refID=7055365&amp;Result=3","7055365")</f>
        <v>0</v>
      </c>
      <c r="B10124" t="s">
        <v>2795</v>
      </c>
      <c r="C10124" t="s">
        <v>13113</v>
      </c>
      <c r="D10124" t="s">
        <v>18784</v>
      </c>
      <c r="E10124" t="s">
        <v>27667</v>
      </c>
      <c r="F10124" t="s">
        <v>32665</v>
      </c>
      <c r="G10124" t="s">
        <v>32672</v>
      </c>
      <c r="H10124" t="s">
        <v>32681</v>
      </c>
      <c r="I10124" t="s">
        <v>10627</v>
      </c>
      <c r="J10124" t="s">
        <v>38867</v>
      </c>
      <c r="K10124" t="s">
        <v>42281</v>
      </c>
      <c r="M10124" t="s">
        <v>45639</v>
      </c>
      <c r="N10124" t="s">
        <v>46569</v>
      </c>
      <c r="O10124" t="s">
        <v>46570</v>
      </c>
      <c r="P10124">
        <v>0</v>
      </c>
      <c r="Q10124">
        <v>0</v>
      </c>
      <c r="R10124" t="s">
        <v>46577</v>
      </c>
      <c r="S10124" t="s">
        <v>46808</v>
      </c>
      <c r="T10124" t="s">
        <v>48375</v>
      </c>
      <c r="U10124" t="s">
        <v>56907</v>
      </c>
      <c r="V10124" t="s">
        <v>61924</v>
      </c>
      <c r="W10124" t="s">
        <v>45639</v>
      </c>
      <c r="X10124" t="s">
        <v>46578</v>
      </c>
    </row>
    <row r="10125" spans="1:24">
      <c r="A10125">
        <f>HYPERLINK("https://www.philgeps.gov.ph/GEPSNONPILOT/Tender/SplashBidNoticeAbstractUI.aspx?menuIndex=3&amp;refID=7053839&amp;Result=3","7053839")</f>
        <v>0</v>
      </c>
      <c r="B10125" t="s">
        <v>2499</v>
      </c>
      <c r="C10125" t="s">
        <v>13114</v>
      </c>
      <c r="D10125" t="s">
        <v>18809</v>
      </c>
      <c r="E10125" t="s">
        <v>26288</v>
      </c>
      <c r="F10125" t="s">
        <v>32664</v>
      </c>
      <c r="G10125" t="s">
        <v>32672</v>
      </c>
      <c r="H10125" t="s">
        <v>12635</v>
      </c>
      <c r="I10125" t="s">
        <v>32694</v>
      </c>
      <c r="J10125" t="s">
        <v>38868</v>
      </c>
      <c r="K10125" t="s">
        <v>42281</v>
      </c>
      <c r="M10125" t="s">
        <v>45302</v>
      </c>
      <c r="N10125" t="s">
        <v>46569</v>
      </c>
      <c r="O10125" t="s">
        <v>46570</v>
      </c>
      <c r="P10125">
        <v>0</v>
      </c>
      <c r="Q10125">
        <v>0</v>
      </c>
      <c r="R10125" t="s">
        <v>46577</v>
      </c>
      <c r="S10125" t="s">
        <v>46808</v>
      </c>
      <c r="T10125" t="s">
        <v>48244</v>
      </c>
      <c r="U10125" t="s">
        <v>55702</v>
      </c>
      <c r="W10125" t="s">
        <v>45302</v>
      </c>
      <c r="X10125" t="s">
        <v>46578</v>
      </c>
    </row>
    <row r="10126" spans="1:24">
      <c r="A10126">
        <f>HYPERLINK("https://www.philgeps.gov.ph/GEPSNONPILOT/Tender/SplashBidNoticeAbstractUI.aspx?menuIndex=3&amp;refID=7055363&amp;Result=3","7055363")</f>
        <v>0</v>
      </c>
      <c r="B10126" t="s">
        <v>1946</v>
      </c>
      <c r="C10126" t="s">
        <v>13115</v>
      </c>
      <c r="D10126" t="s">
        <v>18843</v>
      </c>
      <c r="E10126" t="s">
        <v>27668</v>
      </c>
      <c r="F10126" t="s">
        <v>32664</v>
      </c>
      <c r="G10126" t="s">
        <v>32672</v>
      </c>
      <c r="H10126" t="s">
        <v>32683</v>
      </c>
      <c r="I10126" t="s">
        <v>10627</v>
      </c>
      <c r="J10126" t="s">
        <v>33397</v>
      </c>
      <c r="K10126" t="s">
        <v>42340</v>
      </c>
      <c r="M10126" t="s">
        <v>44673</v>
      </c>
      <c r="N10126" t="s">
        <v>46569</v>
      </c>
      <c r="O10126" t="s">
        <v>46570</v>
      </c>
      <c r="P10126">
        <v>0</v>
      </c>
      <c r="Q10126">
        <v>0</v>
      </c>
      <c r="R10126" t="s">
        <v>46577</v>
      </c>
      <c r="S10126" t="s">
        <v>46808</v>
      </c>
      <c r="T10126" t="s">
        <v>48305</v>
      </c>
      <c r="U10126" t="s">
        <v>56908</v>
      </c>
      <c r="W10126" t="s">
        <v>44673</v>
      </c>
      <c r="X10126" t="s">
        <v>46578</v>
      </c>
    </row>
    <row r="10127" spans="1:24">
      <c r="A10127">
        <f>HYPERLINK("https://www.philgeps.gov.ph/GEPSNONPILOT/Tender/SplashBidNoticeAbstractUI.aspx?menuIndex=3&amp;refID=7055359&amp;Result=3","7055359")</f>
        <v>0</v>
      </c>
      <c r="B10127" t="s">
        <v>2754</v>
      </c>
      <c r="C10127" t="s">
        <v>13116</v>
      </c>
      <c r="D10127" t="s">
        <v>18796</v>
      </c>
      <c r="E10127" t="s">
        <v>27669</v>
      </c>
      <c r="F10127" t="s">
        <v>32664</v>
      </c>
      <c r="G10127" t="s">
        <v>32671</v>
      </c>
      <c r="H10127" t="s">
        <v>12635</v>
      </c>
      <c r="I10127" t="s">
        <v>10627</v>
      </c>
      <c r="J10127" t="s">
        <v>32929</v>
      </c>
      <c r="K10127" t="s">
        <v>42290</v>
      </c>
      <c r="M10127" t="s">
        <v>45588</v>
      </c>
      <c r="N10127" t="s">
        <v>46569</v>
      </c>
      <c r="O10127" t="s">
        <v>46570</v>
      </c>
      <c r="P10127">
        <v>0</v>
      </c>
      <c r="Q10127">
        <v>1</v>
      </c>
      <c r="R10127" t="s">
        <v>46577</v>
      </c>
      <c r="S10127" t="s">
        <v>46808</v>
      </c>
      <c r="T10127" t="s">
        <v>48376</v>
      </c>
      <c r="U10127" t="s">
        <v>56871</v>
      </c>
      <c r="V10127" t="s">
        <v>62655</v>
      </c>
      <c r="W10127" t="s">
        <v>45588</v>
      </c>
      <c r="X10127" t="s">
        <v>46578</v>
      </c>
    </row>
    <row r="10128" spans="1:24">
      <c r="A10128">
        <f>HYPERLINK("https://www.philgeps.gov.ph/GEPSNONPILOT/Tender/SplashBidNoticeAbstractUI.aspx?menuIndex=3&amp;refID=7055320&amp;Result=3","7055320")</f>
        <v>0</v>
      </c>
      <c r="B10128" t="s">
        <v>2791</v>
      </c>
      <c r="C10128" t="s">
        <v>13117</v>
      </c>
      <c r="D10128" t="s">
        <v>18792</v>
      </c>
      <c r="E10128" t="s">
        <v>27670</v>
      </c>
      <c r="F10128" t="s">
        <v>32664</v>
      </c>
      <c r="G10128" t="s">
        <v>32672</v>
      </c>
      <c r="H10128" t="s">
        <v>32683</v>
      </c>
      <c r="I10128" t="s">
        <v>10627</v>
      </c>
      <c r="J10128" t="s">
        <v>33128</v>
      </c>
      <c r="K10128" t="s">
        <v>42289</v>
      </c>
      <c r="M10128" t="s">
        <v>45635</v>
      </c>
      <c r="N10128" t="s">
        <v>46569</v>
      </c>
      <c r="O10128" t="s">
        <v>46570</v>
      </c>
      <c r="P10128">
        <v>0</v>
      </c>
      <c r="Q10128">
        <v>0</v>
      </c>
      <c r="R10128" t="s">
        <v>46577</v>
      </c>
      <c r="S10128" t="s">
        <v>46808</v>
      </c>
      <c r="T10128" t="s">
        <v>48221</v>
      </c>
      <c r="U10128" t="s">
        <v>56909</v>
      </c>
      <c r="W10128" t="s">
        <v>45635</v>
      </c>
      <c r="X10128" t="s">
        <v>46578</v>
      </c>
    </row>
    <row r="10129" spans="1:24">
      <c r="A10129">
        <f>HYPERLINK("https://www.philgeps.gov.ph/GEPSNONPILOT/Tender/SplashBidNoticeAbstractUI.aspx?menuIndex=3&amp;refID=7055371&amp;Result=3","7055371")</f>
        <v>0</v>
      </c>
      <c r="B10129" t="s">
        <v>2754</v>
      </c>
      <c r="C10129" t="s">
        <v>13118</v>
      </c>
      <c r="D10129" t="s">
        <v>18824</v>
      </c>
      <c r="E10129" t="s">
        <v>27671</v>
      </c>
      <c r="F10129" t="s">
        <v>32664</v>
      </c>
      <c r="G10129" t="s">
        <v>32671</v>
      </c>
      <c r="H10129" t="s">
        <v>12635</v>
      </c>
      <c r="I10129" t="s">
        <v>6553</v>
      </c>
      <c r="J10129" t="s">
        <v>38869</v>
      </c>
      <c r="K10129" t="s">
        <v>42311</v>
      </c>
      <c r="M10129" t="s">
        <v>45588</v>
      </c>
      <c r="N10129" t="s">
        <v>46569</v>
      </c>
      <c r="O10129" t="s">
        <v>46570</v>
      </c>
      <c r="P10129">
        <v>0</v>
      </c>
      <c r="Q10129">
        <v>1</v>
      </c>
      <c r="R10129" t="s">
        <v>46577</v>
      </c>
      <c r="S10129" t="s">
        <v>46808</v>
      </c>
      <c r="T10129" t="s">
        <v>48376</v>
      </c>
      <c r="U10129" t="s">
        <v>55207</v>
      </c>
      <c r="V10129" t="s">
        <v>62655</v>
      </c>
      <c r="W10129" t="s">
        <v>45588</v>
      </c>
      <c r="X10129" t="s">
        <v>46578</v>
      </c>
    </row>
    <row r="10130" spans="1:24">
      <c r="A10130">
        <f>HYPERLINK("https://www.philgeps.gov.ph/GEPSNONPILOT/Tender/SplashBidNoticeAbstractUI.aspx?menuIndex=3&amp;refID=7055358&amp;Result=3","7055358")</f>
        <v>0</v>
      </c>
      <c r="B10130" t="s">
        <v>2795</v>
      </c>
      <c r="C10130" t="s">
        <v>13119</v>
      </c>
      <c r="D10130" t="s">
        <v>18784</v>
      </c>
      <c r="E10130" t="s">
        <v>27672</v>
      </c>
      <c r="F10130" t="s">
        <v>32665</v>
      </c>
      <c r="G10130" t="s">
        <v>32672</v>
      </c>
      <c r="H10130" t="s">
        <v>32683</v>
      </c>
      <c r="I10130" t="s">
        <v>10627</v>
      </c>
      <c r="J10130" t="s">
        <v>38870</v>
      </c>
      <c r="K10130" t="s">
        <v>42281</v>
      </c>
      <c r="M10130" t="s">
        <v>45639</v>
      </c>
      <c r="N10130" t="s">
        <v>46569</v>
      </c>
      <c r="O10130" t="s">
        <v>46570</v>
      </c>
      <c r="P10130">
        <v>0</v>
      </c>
      <c r="Q10130">
        <v>0</v>
      </c>
      <c r="R10130" t="s">
        <v>46577</v>
      </c>
      <c r="S10130" t="s">
        <v>46808</v>
      </c>
      <c r="T10130" t="s">
        <v>48375</v>
      </c>
      <c r="U10130" t="s">
        <v>56907</v>
      </c>
      <c r="V10130" t="s">
        <v>61924</v>
      </c>
      <c r="W10130" t="s">
        <v>45639</v>
      </c>
      <c r="X10130" t="s">
        <v>46578</v>
      </c>
    </row>
    <row r="10131" spans="1:24">
      <c r="A10131">
        <f>HYPERLINK("https://www.philgeps.gov.ph/GEPSNONPILOT/Tender/SplashBidNoticeAbstractUI.aspx?menuIndex=3&amp;refID=7055353&amp;Result=3","7055353")</f>
        <v>0</v>
      </c>
      <c r="B10131" t="s">
        <v>2754</v>
      </c>
      <c r="C10131" t="s">
        <v>13120</v>
      </c>
      <c r="D10131" t="s">
        <v>18806</v>
      </c>
      <c r="E10131" t="s">
        <v>27673</v>
      </c>
      <c r="F10131" t="s">
        <v>32664</v>
      </c>
      <c r="G10131" t="s">
        <v>32671</v>
      </c>
      <c r="H10131" t="s">
        <v>12635</v>
      </c>
      <c r="I10131" t="s">
        <v>6553</v>
      </c>
      <c r="J10131" t="s">
        <v>38871</v>
      </c>
      <c r="K10131" t="s">
        <v>42311</v>
      </c>
      <c r="M10131" t="s">
        <v>45588</v>
      </c>
      <c r="N10131" t="s">
        <v>46569</v>
      </c>
      <c r="O10131" t="s">
        <v>46570</v>
      </c>
      <c r="P10131">
        <v>0</v>
      </c>
      <c r="Q10131">
        <v>2</v>
      </c>
      <c r="R10131" t="s">
        <v>46577</v>
      </c>
      <c r="S10131" t="s">
        <v>46808</v>
      </c>
      <c r="T10131" t="s">
        <v>48376</v>
      </c>
      <c r="U10131" t="s">
        <v>55207</v>
      </c>
      <c r="V10131" t="s">
        <v>62655</v>
      </c>
      <c r="W10131" t="s">
        <v>45588</v>
      </c>
      <c r="X10131" t="s">
        <v>46578</v>
      </c>
    </row>
    <row r="10132" spans="1:24">
      <c r="A10132">
        <f>HYPERLINK("https://www.philgeps.gov.ph/GEPSNONPILOT/Tender/SplashBidNoticeAbstractUI.aspx?menuIndex=3&amp;refID=7055352&amp;Result=3","7055352")</f>
        <v>0</v>
      </c>
      <c r="B10132" t="s">
        <v>2791</v>
      </c>
      <c r="C10132" t="s">
        <v>13121</v>
      </c>
      <c r="D10132" t="s">
        <v>18792</v>
      </c>
      <c r="E10132" t="s">
        <v>27674</v>
      </c>
      <c r="F10132" t="s">
        <v>32664</v>
      </c>
      <c r="G10132" t="s">
        <v>32672</v>
      </c>
      <c r="H10132" t="s">
        <v>32683</v>
      </c>
      <c r="I10132" t="s">
        <v>10627</v>
      </c>
      <c r="J10132" t="s">
        <v>33128</v>
      </c>
      <c r="K10132" t="s">
        <v>42289</v>
      </c>
      <c r="M10132" t="s">
        <v>45635</v>
      </c>
      <c r="N10132" t="s">
        <v>46569</v>
      </c>
      <c r="O10132" t="s">
        <v>46570</v>
      </c>
      <c r="P10132">
        <v>0</v>
      </c>
      <c r="Q10132">
        <v>0</v>
      </c>
      <c r="R10132" t="s">
        <v>46577</v>
      </c>
      <c r="S10132" t="s">
        <v>46808</v>
      </c>
      <c r="T10132" t="s">
        <v>48221</v>
      </c>
      <c r="U10132" t="s">
        <v>56910</v>
      </c>
      <c r="W10132" t="s">
        <v>45635</v>
      </c>
      <c r="X10132" t="s">
        <v>46578</v>
      </c>
    </row>
    <row r="10133" spans="1:24">
      <c r="A10133">
        <f>HYPERLINK("https://www.philgeps.gov.ph/GEPSNONPILOT/Tender/SplashBidNoticeAbstractUI.aspx?menuIndex=3&amp;refID=7055351&amp;Result=3","7055351")</f>
        <v>0</v>
      </c>
      <c r="B10133" t="s">
        <v>2796</v>
      </c>
      <c r="C10133" t="s">
        <v>13122</v>
      </c>
      <c r="D10133" t="s">
        <v>18826</v>
      </c>
      <c r="E10133" t="s">
        <v>27675</v>
      </c>
      <c r="F10133" t="s">
        <v>32664</v>
      </c>
      <c r="G10133" t="s">
        <v>32672</v>
      </c>
      <c r="H10133" t="s">
        <v>32683</v>
      </c>
      <c r="I10133" t="s">
        <v>10627</v>
      </c>
      <c r="J10133" t="s">
        <v>38872</v>
      </c>
      <c r="K10133" t="s">
        <v>42284</v>
      </c>
      <c r="M10133" t="s">
        <v>45640</v>
      </c>
      <c r="N10133" t="s">
        <v>46569</v>
      </c>
      <c r="O10133" t="s">
        <v>46570</v>
      </c>
      <c r="P10133">
        <v>0</v>
      </c>
      <c r="Q10133">
        <v>0</v>
      </c>
      <c r="R10133" t="s">
        <v>46577</v>
      </c>
      <c r="S10133" t="s">
        <v>46808</v>
      </c>
      <c r="T10133" t="s">
        <v>48316</v>
      </c>
      <c r="U10133" t="s">
        <v>56911</v>
      </c>
      <c r="V10133" t="s">
        <v>62685</v>
      </c>
      <c r="W10133" t="s">
        <v>45640</v>
      </c>
      <c r="X10133" t="s">
        <v>46578</v>
      </c>
    </row>
    <row r="10134" spans="1:24">
      <c r="A10134">
        <f>HYPERLINK("https://www.philgeps.gov.ph/GEPSNONPILOT/Tender/SplashBidNoticeAbstractUI.aspx?menuIndex=3&amp;refID=7055360&amp;Result=3","7055360")</f>
        <v>0</v>
      </c>
      <c r="B10134" t="s">
        <v>2796</v>
      </c>
      <c r="C10134" t="s">
        <v>13123</v>
      </c>
      <c r="D10134" t="s">
        <v>18826</v>
      </c>
      <c r="E10134" t="s">
        <v>27676</v>
      </c>
      <c r="F10134" t="s">
        <v>32664</v>
      </c>
      <c r="G10134" t="s">
        <v>32672</v>
      </c>
      <c r="H10134" t="s">
        <v>32683</v>
      </c>
      <c r="I10134" t="s">
        <v>10627</v>
      </c>
      <c r="J10134" t="s">
        <v>38873</v>
      </c>
      <c r="K10134" t="s">
        <v>42284</v>
      </c>
      <c r="M10134" t="s">
        <v>45640</v>
      </c>
      <c r="N10134" t="s">
        <v>46569</v>
      </c>
      <c r="O10134" t="s">
        <v>46570</v>
      </c>
      <c r="P10134">
        <v>0</v>
      </c>
      <c r="Q10134">
        <v>0</v>
      </c>
      <c r="R10134" t="s">
        <v>46577</v>
      </c>
      <c r="S10134" t="s">
        <v>46808</v>
      </c>
      <c r="T10134" t="s">
        <v>48316</v>
      </c>
      <c r="U10134" t="s">
        <v>56911</v>
      </c>
      <c r="V10134" t="s">
        <v>62685</v>
      </c>
      <c r="W10134" t="s">
        <v>45640</v>
      </c>
      <c r="X10134" t="s">
        <v>46578</v>
      </c>
    </row>
    <row r="10135" spans="1:24">
      <c r="A10135">
        <f>HYPERLINK("https://www.philgeps.gov.ph/GEPSNONPILOT/Tender/SplashBidNoticeAbstractUI.aspx?menuIndex=3&amp;refID=7055343&amp;Result=3","7055343")</f>
        <v>0</v>
      </c>
      <c r="B10135" t="s">
        <v>1946</v>
      </c>
      <c r="C10135" t="s">
        <v>13124</v>
      </c>
      <c r="D10135" t="s">
        <v>18843</v>
      </c>
      <c r="E10135" t="s">
        <v>27677</v>
      </c>
      <c r="F10135" t="s">
        <v>32664</v>
      </c>
      <c r="G10135" t="s">
        <v>32672</v>
      </c>
      <c r="H10135" t="s">
        <v>32683</v>
      </c>
      <c r="I10135" t="s">
        <v>10627</v>
      </c>
      <c r="J10135" t="s">
        <v>38874</v>
      </c>
      <c r="K10135" t="s">
        <v>42449</v>
      </c>
      <c r="M10135" t="s">
        <v>44673</v>
      </c>
      <c r="N10135" t="s">
        <v>46569</v>
      </c>
      <c r="O10135" t="s">
        <v>46570</v>
      </c>
      <c r="P10135">
        <v>0</v>
      </c>
      <c r="Q10135">
        <v>0</v>
      </c>
      <c r="R10135" t="s">
        <v>46577</v>
      </c>
      <c r="S10135" t="s">
        <v>46808</v>
      </c>
      <c r="T10135" t="s">
        <v>48305</v>
      </c>
      <c r="U10135" t="s">
        <v>56912</v>
      </c>
      <c r="W10135" t="s">
        <v>44673</v>
      </c>
      <c r="X10135" t="s">
        <v>46578</v>
      </c>
    </row>
    <row r="10136" spans="1:24">
      <c r="A10136">
        <f>HYPERLINK("https://www.philgeps.gov.ph/GEPSNONPILOT/Tender/SplashBidNoticeAbstractUI.aspx?menuIndex=3&amp;refID=7055313&amp;Result=3","7055313")</f>
        <v>0</v>
      </c>
      <c r="B10136" t="s">
        <v>2104</v>
      </c>
      <c r="C10136" t="s">
        <v>13125</v>
      </c>
      <c r="D10136" t="s">
        <v>18787</v>
      </c>
      <c r="E10136" t="s">
        <v>27678</v>
      </c>
      <c r="F10136" t="s">
        <v>32664</v>
      </c>
      <c r="G10136" t="s">
        <v>32672</v>
      </c>
      <c r="H10136" t="s">
        <v>12635</v>
      </c>
      <c r="I10136" t="s">
        <v>4333</v>
      </c>
      <c r="J10136" t="s">
        <v>33147</v>
      </c>
      <c r="K10136" t="s">
        <v>42309</v>
      </c>
      <c r="M10136" t="s">
        <v>44859</v>
      </c>
      <c r="N10136" t="s">
        <v>46569</v>
      </c>
      <c r="O10136" t="s">
        <v>46570</v>
      </c>
      <c r="P10136">
        <v>0</v>
      </c>
      <c r="Q10136">
        <v>0</v>
      </c>
      <c r="R10136" t="s">
        <v>46577</v>
      </c>
      <c r="S10136" t="s">
        <v>46808</v>
      </c>
      <c r="T10136" t="s">
        <v>48596</v>
      </c>
      <c r="U10136" t="s">
        <v>56913</v>
      </c>
      <c r="W10136" t="s">
        <v>44859</v>
      </c>
      <c r="X10136" t="s">
        <v>46578</v>
      </c>
    </row>
    <row r="10137" spans="1:24">
      <c r="A10137">
        <f>HYPERLINK("https://www.philgeps.gov.ph/GEPSNONPILOT/Tender/SplashBidNoticeAbstractUI.aspx?menuIndex=3&amp;refID=7055341&amp;Result=3","7055341")</f>
        <v>0</v>
      </c>
      <c r="B10137" t="s">
        <v>175</v>
      </c>
      <c r="C10137" t="s">
        <v>13126</v>
      </c>
      <c r="D10137" t="s">
        <v>18798</v>
      </c>
      <c r="E10137" t="s">
        <v>19419</v>
      </c>
      <c r="F10137" t="s">
        <v>32664</v>
      </c>
      <c r="G10137" t="s">
        <v>32672</v>
      </c>
      <c r="H10137" t="s">
        <v>12635</v>
      </c>
      <c r="I10137" t="s">
        <v>6223</v>
      </c>
      <c r="J10137" t="s">
        <v>38875</v>
      </c>
      <c r="K10137" t="s">
        <v>42281</v>
      </c>
      <c r="M10137" t="s">
        <v>45422</v>
      </c>
      <c r="N10137" t="s">
        <v>46569</v>
      </c>
      <c r="O10137" t="s">
        <v>46570</v>
      </c>
      <c r="P10137">
        <v>0</v>
      </c>
      <c r="Q10137">
        <v>5</v>
      </c>
      <c r="R10137" t="s">
        <v>46577</v>
      </c>
      <c r="S10137" t="s">
        <v>46808</v>
      </c>
      <c r="T10137" t="s">
        <v>48652</v>
      </c>
      <c r="U10137" t="s">
        <v>56914</v>
      </c>
      <c r="W10137" t="s">
        <v>45422</v>
      </c>
      <c r="X10137" t="s">
        <v>46578</v>
      </c>
    </row>
    <row r="10138" spans="1:24">
      <c r="A10138">
        <f>HYPERLINK("https://www.philgeps.gov.ph/GEPSNONPILOT/Tender/SplashBidNoticeAbstractUI.aspx?menuIndex=3&amp;refID=7055452&amp;Result=3","7055452")</f>
        <v>0</v>
      </c>
      <c r="B10138" t="s">
        <v>2797</v>
      </c>
      <c r="C10138" t="s">
        <v>13127</v>
      </c>
      <c r="D10138" t="s">
        <v>18799</v>
      </c>
      <c r="E10138" t="s">
        <v>27679</v>
      </c>
      <c r="F10138" t="s">
        <v>32665</v>
      </c>
      <c r="G10138" t="s">
        <v>32671</v>
      </c>
      <c r="H10138" t="s">
        <v>12635</v>
      </c>
      <c r="I10138" t="s">
        <v>32716</v>
      </c>
      <c r="J10138" t="s">
        <v>38876</v>
      </c>
      <c r="K10138" t="s">
        <v>42283</v>
      </c>
      <c r="M10138" t="s">
        <v>45641</v>
      </c>
      <c r="N10138" t="s">
        <v>46569</v>
      </c>
      <c r="O10138" t="s">
        <v>46570</v>
      </c>
      <c r="P10138">
        <v>0</v>
      </c>
      <c r="Q10138">
        <v>3</v>
      </c>
      <c r="R10138" t="s">
        <v>46577</v>
      </c>
      <c r="S10138" t="s">
        <v>46808</v>
      </c>
      <c r="T10138" t="s">
        <v>48492</v>
      </c>
      <c r="U10138" t="s">
        <v>56915</v>
      </c>
      <c r="W10138" t="s">
        <v>45641</v>
      </c>
      <c r="X10138" t="s">
        <v>46578</v>
      </c>
    </row>
    <row r="10139" spans="1:24">
      <c r="A10139">
        <f>HYPERLINK("https://www.philgeps.gov.ph/GEPSNONPILOT/Tender/SplashBidNoticeAbstractUI.aspx?menuIndex=3&amp;refID=7055445&amp;Result=3","7055445")</f>
        <v>0</v>
      </c>
      <c r="B10139" t="s">
        <v>2797</v>
      </c>
      <c r="C10139" t="s">
        <v>13128</v>
      </c>
      <c r="D10139" t="s">
        <v>18799</v>
      </c>
      <c r="E10139" t="s">
        <v>27680</v>
      </c>
      <c r="F10139" t="s">
        <v>32665</v>
      </c>
      <c r="G10139" t="s">
        <v>32671</v>
      </c>
      <c r="H10139" t="s">
        <v>12635</v>
      </c>
      <c r="I10139" t="s">
        <v>32716</v>
      </c>
      <c r="J10139" t="s">
        <v>38793</v>
      </c>
      <c r="K10139" t="s">
        <v>42283</v>
      </c>
      <c r="M10139" t="s">
        <v>45641</v>
      </c>
      <c r="N10139" t="s">
        <v>46569</v>
      </c>
      <c r="O10139" t="s">
        <v>46570</v>
      </c>
      <c r="P10139">
        <v>0</v>
      </c>
      <c r="Q10139">
        <v>4</v>
      </c>
      <c r="R10139" t="s">
        <v>46577</v>
      </c>
      <c r="S10139" t="s">
        <v>46808</v>
      </c>
      <c r="T10139" t="s">
        <v>48492</v>
      </c>
      <c r="U10139" t="s">
        <v>56916</v>
      </c>
      <c r="W10139" t="s">
        <v>45641</v>
      </c>
      <c r="X10139" t="s">
        <v>46578</v>
      </c>
    </row>
    <row r="10140" spans="1:24">
      <c r="A10140">
        <f>HYPERLINK("https://www.philgeps.gov.ph/GEPSNONPILOT/Tender/SplashBidNoticeAbstractUI.aspx?menuIndex=3&amp;refID=7055442&amp;Result=3","7055442")</f>
        <v>0</v>
      </c>
      <c r="B10140" t="s">
        <v>2798</v>
      </c>
      <c r="C10140" t="s">
        <v>13129</v>
      </c>
      <c r="D10140" t="s">
        <v>18849</v>
      </c>
      <c r="E10140" t="s">
        <v>20330</v>
      </c>
      <c r="F10140" t="s">
        <v>32664</v>
      </c>
      <c r="G10140" t="s">
        <v>32672</v>
      </c>
      <c r="H10140" t="s">
        <v>12635</v>
      </c>
      <c r="I10140" t="s">
        <v>32708</v>
      </c>
      <c r="J10140" t="s">
        <v>38877</v>
      </c>
      <c r="K10140" t="s">
        <v>42298</v>
      </c>
      <c r="M10140" t="s">
        <v>45642</v>
      </c>
      <c r="N10140" t="s">
        <v>46569</v>
      </c>
      <c r="O10140" t="s">
        <v>46570</v>
      </c>
      <c r="P10140">
        <v>0</v>
      </c>
      <c r="Q10140">
        <v>50</v>
      </c>
      <c r="R10140" t="s">
        <v>46577</v>
      </c>
      <c r="S10140" t="s">
        <v>46808</v>
      </c>
      <c r="T10140" t="s">
        <v>48213</v>
      </c>
      <c r="U10140" t="s">
        <v>56917</v>
      </c>
      <c r="W10140" t="s">
        <v>45642</v>
      </c>
      <c r="X10140" t="s">
        <v>46578</v>
      </c>
    </row>
    <row r="10141" spans="1:24">
      <c r="A10141">
        <f>HYPERLINK("https://www.philgeps.gov.ph/GEPSNONPILOT/Tender/SplashBidNoticeAbstractUI.aspx?menuIndex=3&amp;refID=7055357&amp;Result=3","7055357")</f>
        <v>0</v>
      </c>
      <c r="B10141" t="s">
        <v>2799</v>
      </c>
      <c r="C10141" t="s">
        <v>13130</v>
      </c>
      <c r="D10141" t="s">
        <v>18784</v>
      </c>
      <c r="E10141" t="s">
        <v>27681</v>
      </c>
      <c r="F10141" t="s">
        <v>32664</v>
      </c>
      <c r="G10141" t="s">
        <v>32672</v>
      </c>
      <c r="H10141" t="s">
        <v>12635</v>
      </c>
      <c r="I10141" t="s">
        <v>6223</v>
      </c>
      <c r="J10141" t="s">
        <v>38878</v>
      </c>
      <c r="K10141" t="s">
        <v>42309</v>
      </c>
      <c r="M10141" t="s">
        <v>45643</v>
      </c>
      <c r="N10141" t="s">
        <v>46569</v>
      </c>
      <c r="O10141" t="s">
        <v>46570</v>
      </c>
      <c r="P10141">
        <v>0</v>
      </c>
      <c r="Q10141">
        <v>0</v>
      </c>
      <c r="R10141" t="s">
        <v>46577</v>
      </c>
      <c r="S10141" t="s">
        <v>46808</v>
      </c>
      <c r="T10141" t="s">
        <v>48287</v>
      </c>
      <c r="U10141" t="s">
        <v>56918</v>
      </c>
      <c r="W10141" t="s">
        <v>45643</v>
      </c>
      <c r="X10141" t="s">
        <v>46578</v>
      </c>
    </row>
    <row r="10142" spans="1:24">
      <c r="A10142">
        <f>HYPERLINK("https://www.philgeps.gov.ph/GEPSNONPILOT/Tender/SplashBidNoticeAbstractUI.aspx?menuIndex=3&amp;refID=7055446&amp;Result=3","7055446")</f>
        <v>0</v>
      </c>
      <c r="B10142" t="s">
        <v>2800</v>
      </c>
      <c r="C10142" t="s">
        <v>13131</v>
      </c>
      <c r="D10142" t="s">
        <v>18818</v>
      </c>
      <c r="E10142" t="s">
        <v>27682</v>
      </c>
      <c r="F10142" t="s">
        <v>32664</v>
      </c>
      <c r="G10142" t="s">
        <v>32672</v>
      </c>
      <c r="H10142" t="s">
        <v>32683</v>
      </c>
      <c r="I10142" t="s">
        <v>10627</v>
      </c>
      <c r="J10142" t="s">
        <v>33150</v>
      </c>
      <c r="K10142" t="s">
        <v>42283</v>
      </c>
      <c r="M10142" t="s">
        <v>45644</v>
      </c>
      <c r="N10142" t="s">
        <v>46569</v>
      </c>
      <c r="O10142" t="s">
        <v>46570</v>
      </c>
      <c r="P10142">
        <v>0</v>
      </c>
      <c r="Q10142">
        <v>0</v>
      </c>
      <c r="R10142" t="s">
        <v>46577</v>
      </c>
      <c r="S10142" t="s">
        <v>46808</v>
      </c>
      <c r="T10142" t="s">
        <v>48580</v>
      </c>
      <c r="U10142" t="s">
        <v>56919</v>
      </c>
      <c r="W10142" t="s">
        <v>45644</v>
      </c>
      <c r="X10142" t="s">
        <v>46578</v>
      </c>
    </row>
    <row r="10143" spans="1:24">
      <c r="A10143">
        <f>HYPERLINK("https://www.philgeps.gov.ph/GEPSNONPILOT/Tender/SplashBidNoticeAbstractUI.aspx?menuIndex=3&amp;refID=7055347&amp;Result=3","7055347")</f>
        <v>0</v>
      </c>
      <c r="B10143" t="s">
        <v>2791</v>
      </c>
      <c r="C10143" t="s">
        <v>13132</v>
      </c>
      <c r="D10143" t="s">
        <v>18792</v>
      </c>
      <c r="E10143" t="s">
        <v>27683</v>
      </c>
      <c r="F10143" t="s">
        <v>32664</v>
      </c>
      <c r="G10143" t="s">
        <v>32672</v>
      </c>
      <c r="H10143" t="s">
        <v>32683</v>
      </c>
      <c r="I10143" t="s">
        <v>10627</v>
      </c>
      <c r="J10143" t="s">
        <v>33128</v>
      </c>
      <c r="K10143" t="s">
        <v>42289</v>
      </c>
      <c r="M10143" t="s">
        <v>45635</v>
      </c>
      <c r="N10143" t="s">
        <v>46569</v>
      </c>
      <c r="O10143" t="s">
        <v>46570</v>
      </c>
      <c r="P10143">
        <v>0</v>
      </c>
      <c r="Q10143">
        <v>0</v>
      </c>
      <c r="R10143" t="s">
        <v>46577</v>
      </c>
      <c r="S10143" t="s">
        <v>46808</v>
      </c>
      <c r="T10143" t="s">
        <v>48221</v>
      </c>
      <c r="U10143" t="s">
        <v>56920</v>
      </c>
      <c r="W10143" t="s">
        <v>45635</v>
      </c>
      <c r="X10143" t="s">
        <v>46578</v>
      </c>
    </row>
    <row r="10144" spans="1:24">
      <c r="A10144">
        <f>HYPERLINK("https://www.philgeps.gov.ph/GEPSNONPILOT/Tender/SplashBidNoticeAbstractUI.aspx?menuIndex=3&amp;refID=7055421&amp;Result=3","7055421")</f>
        <v>0</v>
      </c>
      <c r="B10144" t="s">
        <v>2801</v>
      </c>
      <c r="C10144" t="s">
        <v>13133</v>
      </c>
      <c r="D10144" t="s">
        <v>18828</v>
      </c>
      <c r="E10144" t="s">
        <v>27684</v>
      </c>
      <c r="F10144" t="s">
        <v>32664</v>
      </c>
      <c r="G10144" t="s">
        <v>32672</v>
      </c>
      <c r="H10144" t="s">
        <v>32683</v>
      </c>
      <c r="I10144" t="s">
        <v>10627</v>
      </c>
      <c r="J10144" t="s">
        <v>38879</v>
      </c>
      <c r="K10144" t="s">
        <v>42314</v>
      </c>
      <c r="M10144" t="s">
        <v>45645</v>
      </c>
      <c r="N10144" t="s">
        <v>46569</v>
      </c>
      <c r="O10144" t="s">
        <v>46570</v>
      </c>
      <c r="P10144">
        <v>0</v>
      </c>
      <c r="Q10144">
        <v>0</v>
      </c>
      <c r="R10144" t="s">
        <v>46577</v>
      </c>
      <c r="S10144" t="s">
        <v>46808</v>
      </c>
      <c r="T10144" t="s">
        <v>48287</v>
      </c>
      <c r="U10144" t="s">
        <v>56921</v>
      </c>
      <c r="V10144" t="s">
        <v>62686</v>
      </c>
      <c r="W10144" t="s">
        <v>45645</v>
      </c>
      <c r="X10144" t="s">
        <v>46578</v>
      </c>
    </row>
    <row r="10145" spans="1:24">
      <c r="A10145">
        <f>HYPERLINK("https://www.philgeps.gov.ph/GEPSNONPILOT/Tender/SplashBidNoticeAbstractUI.aspx?menuIndex=3&amp;refID=7055323&amp;Result=3","7055323")</f>
        <v>0</v>
      </c>
      <c r="B10145" t="s">
        <v>2791</v>
      </c>
      <c r="C10145" t="s">
        <v>13134</v>
      </c>
      <c r="D10145" t="s">
        <v>18792</v>
      </c>
      <c r="E10145" t="s">
        <v>27685</v>
      </c>
      <c r="F10145" t="s">
        <v>32664</v>
      </c>
      <c r="G10145" t="s">
        <v>32672</v>
      </c>
      <c r="H10145" t="s">
        <v>32683</v>
      </c>
      <c r="I10145" t="s">
        <v>10627</v>
      </c>
      <c r="J10145" t="s">
        <v>33128</v>
      </c>
      <c r="K10145" t="s">
        <v>42289</v>
      </c>
      <c r="M10145" t="s">
        <v>45635</v>
      </c>
      <c r="N10145" t="s">
        <v>46569</v>
      </c>
      <c r="O10145" t="s">
        <v>46570</v>
      </c>
      <c r="P10145">
        <v>0</v>
      </c>
      <c r="Q10145">
        <v>0</v>
      </c>
      <c r="R10145" t="s">
        <v>46577</v>
      </c>
      <c r="S10145" t="s">
        <v>46808</v>
      </c>
      <c r="T10145" t="s">
        <v>48221</v>
      </c>
      <c r="U10145" t="s">
        <v>56922</v>
      </c>
      <c r="W10145" t="s">
        <v>45635</v>
      </c>
      <c r="X10145" t="s">
        <v>46578</v>
      </c>
    </row>
    <row r="10146" spans="1:24">
      <c r="A10146">
        <f>HYPERLINK("https://www.philgeps.gov.ph/GEPSNONPILOT/Tender/SplashBidNoticeAbstractUI.aspx?menuIndex=3&amp;refID=7055417&amp;Result=3","7055417")</f>
        <v>0</v>
      </c>
      <c r="B10146" t="s">
        <v>2754</v>
      </c>
      <c r="C10146" t="s">
        <v>13135</v>
      </c>
      <c r="D10146" t="s">
        <v>18796</v>
      </c>
      <c r="E10146" t="s">
        <v>27686</v>
      </c>
      <c r="F10146" t="s">
        <v>32664</v>
      </c>
      <c r="G10146" t="s">
        <v>32671</v>
      </c>
      <c r="H10146" t="s">
        <v>32682</v>
      </c>
      <c r="I10146" t="s">
        <v>6553</v>
      </c>
      <c r="J10146" t="s">
        <v>32974</v>
      </c>
      <c r="K10146" t="s">
        <v>42290</v>
      </c>
      <c r="M10146" t="s">
        <v>45588</v>
      </c>
      <c r="N10146" t="s">
        <v>46569</v>
      </c>
      <c r="O10146" t="s">
        <v>46570</v>
      </c>
      <c r="P10146">
        <v>0</v>
      </c>
      <c r="Q10146">
        <v>1</v>
      </c>
      <c r="R10146" t="s">
        <v>46577</v>
      </c>
      <c r="S10146" t="s">
        <v>46808</v>
      </c>
      <c r="T10146" t="s">
        <v>48376</v>
      </c>
      <c r="U10146" t="s">
        <v>55207</v>
      </c>
      <c r="V10146" t="s">
        <v>62655</v>
      </c>
      <c r="W10146" t="s">
        <v>45588</v>
      </c>
      <c r="X10146" t="s">
        <v>46578</v>
      </c>
    </row>
    <row r="10147" spans="1:24">
      <c r="A10147">
        <f>HYPERLINK("https://www.philgeps.gov.ph/GEPSNONPILOT/Tender/SplashBidNoticeAbstractUI.aspx?menuIndex=3&amp;refID=7055433&amp;Result=3","7055433")</f>
        <v>0</v>
      </c>
      <c r="B10147" t="s">
        <v>1118</v>
      </c>
      <c r="C10147" t="s">
        <v>13136</v>
      </c>
      <c r="D10147" t="s">
        <v>18827</v>
      </c>
      <c r="E10147" t="s">
        <v>27687</v>
      </c>
      <c r="F10147" t="s">
        <v>32664</v>
      </c>
      <c r="G10147" t="s">
        <v>32671</v>
      </c>
      <c r="H10147" t="s">
        <v>12635</v>
      </c>
      <c r="I10147" t="s">
        <v>4439</v>
      </c>
      <c r="J10147" t="s">
        <v>32898</v>
      </c>
      <c r="K10147" t="s">
        <v>42283</v>
      </c>
      <c r="M10147" t="s">
        <v>43746</v>
      </c>
      <c r="N10147" t="s">
        <v>46569</v>
      </c>
      <c r="O10147" t="s">
        <v>46570</v>
      </c>
      <c r="P10147">
        <v>0</v>
      </c>
      <c r="Q10147">
        <v>0</v>
      </c>
      <c r="R10147" t="s">
        <v>46577</v>
      </c>
      <c r="S10147" t="s">
        <v>46808</v>
      </c>
      <c r="T10147" t="s">
        <v>48254</v>
      </c>
      <c r="U10147" t="s">
        <v>56923</v>
      </c>
      <c r="W10147" t="s">
        <v>43746</v>
      </c>
      <c r="X10147" t="s">
        <v>46578</v>
      </c>
    </row>
    <row r="10148" spans="1:24">
      <c r="A10148">
        <f>HYPERLINK("https://www.philgeps.gov.ph/GEPSNONPILOT/Tender/SplashBidNoticeAbstractUI.aspx?menuIndex=3&amp;refID=7055402&amp;Result=3","7055402")</f>
        <v>0</v>
      </c>
      <c r="B10148" t="s">
        <v>2052</v>
      </c>
      <c r="C10148" t="s">
        <v>13137</v>
      </c>
      <c r="D10148" t="s">
        <v>18782</v>
      </c>
      <c r="E10148" t="s">
        <v>21037</v>
      </c>
      <c r="F10148" t="s">
        <v>32664</v>
      </c>
      <c r="G10148" t="s">
        <v>32672</v>
      </c>
      <c r="H10148" t="s">
        <v>32683</v>
      </c>
      <c r="I10148" t="s">
        <v>4439</v>
      </c>
      <c r="J10148" t="s">
        <v>37305</v>
      </c>
      <c r="K10148" t="s">
        <v>42281</v>
      </c>
      <c r="M10148" t="s">
        <v>44802</v>
      </c>
      <c r="N10148" t="s">
        <v>46569</v>
      </c>
      <c r="O10148" t="s">
        <v>46570</v>
      </c>
      <c r="P10148">
        <v>0</v>
      </c>
      <c r="Q10148">
        <v>0</v>
      </c>
      <c r="R10148" t="s">
        <v>46577</v>
      </c>
      <c r="S10148" t="s">
        <v>46808</v>
      </c>
      <c r="T10148" t="s">
        <v>48634</v>
      </c>
      <c r="U10148" t="s">
        <v>56924</v>
      </c>
      <c r="W10148" t="s">
        <v>44802</v>
      </c>
      <c r="X10148" t="s">
        <v>46578</v>
      </c>
    </row>
    <row r="10149" spans="1:24">
      <c r="A10149">
        <f>HYPERLINK("https://www.philgeps.gov.ph/GEPSNONPILOT/Tender/SplashBidNoticeAbstractUI.aspx?menuIndex=3&amp;refID=7055420&amp;Result=3","7055420")</f>
        <v>0</v>
      </c>
      <c r="B10149" t="s">
        <v>1599</v>
      </c>
      <c r="C10149" t="s">
        <v>13138</v>
      </c>
      <c r="D10149" t="s">
        <v>18842</v>
      </c>
      <c r="E10149" t="s">
        <v>27688</v>
      </c>
      <c r="F10149" t="s">
        <v>32664</v>
      </c>
      <c r="G10149" t="s">
        <v>32672</v>
      </c>
      <c r="H10149" t="s">
        <v>32683</v>
      </c>
      <c r="I10149" t="s">
        <v>10627</v>
      </c>
      <c r="J10149" t="s">
        <v>38880</v>
      </c>
      <c r="K10149" t="s">
        <v>42298</v>
      </c>
      <c r="M10149" t="s">
        <v>44276</v>
      </c>
      <c r="N10149" t="s">
        <v>46569</v>
      </c>
      <c r="O10149" t="s">
        <v>46570</v>
      </c>
      <c r="P10149">
        <v>0</v>
      </c>
      <c r="Q10149">
        <v>0</v>
      </c>
      <c r="R10149" t="s">
        <v>46577</v>
      </c>
      <c r="S10149" t="s">
        <v>46808</v>
      </c>
      <c r="T10149" t="s">
        <v>48254</v>
      </c>
      <c r="U10149" t="s">
        <v>56925</v>
      </c>
      <c r="W10149" t="s">
        <v>44276</v>
      </c>
      <c r="X10149" t="s">
        <v>46578</v>
      </c>
    </row>
    <row r="10150" spans="1:24">
      <c r="A10150">
        <f>HYPERLINK("https://www.philgeps.gov.ph/GEPSNONPILOT/Tender/SplashBidNoticeAbstractUI.aspx?menuIndex=3&amp;refID=7055399&amp;Result=3","7055399")</f>
        <v>0</v>
      </c>
      <c r="B10150" t="s">
        <v>2802</v>
      </c>
      <c r="C10150" t="s">
        <v>11972</v>
      </c>
      <c r="D10150" t="s">
        <v>18854</v>
      </c>
      <c r="E10150" t="s">
        <v>24903</v>
      </c>
      <c r="F10150" t="s">
        <v>32664</v>
      </c>
      <c r="G10150" t="s">
        <v>32672</v>
      </c>
      <c r="H10150" t="s">
        <v>12635</v>
      </c>
      <c r="I10150" t="s">
        <v>9597</v>
      </c>
      <c r="J10150" t="s">
        <v>38881</v>
      </c>
      <c r="K10150" t="s">
        <v>42289</v>
      </c>
      <c r="M10150" t="s">
        <v>45646</v>
      </c>
      <c r="N10150" t="s">
        <v>46569</v>
      </c>
      <c r="O10150" t="s">
        <v>46570</v>
      </c>
      <c r="P10150">
        <v>0</v>
      </c>
      <c r="Q10150">
        <v>1</v>
      </c>
      <c r="R10150" t="s">
        <v>46577</v>
      </c>
      <c r="S10150" t="s">
        <v>46808</v>
      </c>
      <c r="T10150" t="s">
        <v>48254</v>
      </c>
      <c r="U10150" t="s">
        <v>56926</v>
      </c>
      <c r="W10150" t="s">
        <v>45646</v>
      </c>
      <c r="X10150" t="s">
        <v>46578</v>
      </c>
    </row>
    <row r="10151" spans="1:24">
      <c r="A10151">
        <f>HYPERLINK("https://www.philgeps.gov.ph/GEPSNONPILOT/Tender/SplashBidNoticeAbstractUI.aspx?menuIndex=3&amp;refID=7055414&amp;Result=3","7055414")</f>
        <v>0</v>
      </c>
      <c r="B10151" t="s">
        <v>2752</v>
      </c>
      <c r="C10151" t="s">
        <v>13139</v>
      </c>
      <c r="D10151" t="s">
        <v>18786</v>
      </c>
      <c r="E10151" t="s">
        <v>19105</v>
      </c>
      <c r="F10151" t="s">
        <v>32664</v>
      </c>
      <c r="G10151" t="s">
        <v>32672</v>
      </c>
      <c r="H10151" t="s">
        <v>32683</v>
      </c>
      <c r="I10151" t="s">
        <v>10627</v>
      </c>
      <c r="J10151" t="s">
        <v>33273</v>
      </c>
      <c r="K10151" t="s">
        <v>42305</v>
      </c>
      <c r="M10151" t="s">
        <v>45586</v>
      </c>
      <c r="N10151" t="s">
        <v>46569</v>
      </c>
      <c r="O10151" t="s">
        <v>46570</v>
      </c>
      <c r="P10151">
        <v>0</v>
      </c>
      <c r="Q10151">
        <v>0</v>
      </c>
      <c r="R10151" t="s">
        <v>46577</v>
      </c>
      <c r="S10151" t="s">
        <v>46808</v>
      </c>
      <c r="T10151" t="s">
        <v>48381</v>
      </c>
      <c r="U10151" t="s">
        <v>56927</v>
      </c>
      <c r="W10151" t="s">
        <v>45586</v>
      </c>
      <c r="X10151" t="s">
        <v>46578</v>
      </c>
    </row>
    <row r="10152" spans="1:24">
      <c r="A10152">
        <f>HYPERLINK("https://www.philgeps.gov.ph/GEPSNONPILOT/Tender/SplashBidNoticeAbstractUI.aspx?menuIndex=3&amp;refID=7055395&amp;Result=3","7055395")</f>
        <v>0</v>
      </c>
      <c r="B10152" t="s">
        <v>2801</v>
      </c>
      <c r="C10152" t="s">
        <v>13140</v>
      </c>
      <c r="D10152" t="s">
        <v>18828</v>
      </c>
      <c r="E10152" t="s">
        <v>27689</v>
      </c>
      <c r="F10152" t="s">
        <v>32664</v>
      </c>
      <c r="G10152" t="s">
        <v>32672</v>
      </c>
      <c r="H10152" t="s">
        <v>12635</v>
      </c>
      <c r="I10152" t="s">
        <v>11464</v>
      </c>
      <c r="J10152" t="s">
        <v>38882</v>
      </c>
      <c r="K10152" t="s">
        <v>42325</v>
      </c>
      <c r="M10152" t="s">
        <v>45645</v>
      </c>
      <c r="N10152" t="s">
        <v>46569</v>
      </c>
      <c r="O10152" t="s">
        <v>46570</v>
      </c>
      <c r="P10152">
        <v>0</v>
      </c>
      <c r="Q10152">
        <v>2</v>
      </c>
      <c r="R10152" t="s">
        <v>46577</v>
      </c>
      <c r="S10152" t="s">
        <v>46808</v>
      </c>
      <c r="T10152" t="s">
        <v>48287</v>
      </c>
      <c r="U10152" t="s">
        <v>56928</v>
      </c>
      <c r="V10152" t="s">
        <v>62687</v>
      </c>
      <c r="W10152" t="s">
        <v>45645</v>
      </c>
      <c r="X10152" t="s">
        <v>46578</v>
      </c>
    </row>
    <row r="10153" spans="1:24">
      <c r="A10153">
        <f>HYPERLINK("https://www.philgeps.gov.ph/GEPSNONPILOT/Tender/SplashBidNoticeAbstractUI.aspx?menuIndex=3&amp;refID=7055424&amp;Result=3","7055424")</f>
        <v>0</v>
      </c>
      <c r="B10153" t="s">
        <v>2073</v>
      </c>
      <c r="C10153" t="s">
        <v>13141</v>
      </c>
      <c r="D10153" t="s">
        <v>18782</v>
      </c>
      <c r="E10153" t="s">
        <v>27690</v>
      </c>
      <c r="F10153" t="s">
        <v>32664</v>
      </c>
      <c r="G10153" t="s">
        <v>32672</v>
      </c>
      <c r="H10153" t="s">
        <v>12635</v>
      </c>
      <c r="I10153" t="s">
        <v>32694</v>
      </c>
      <c r="J10153" t="s">
        <v>38883</v>
      </c>
      <c r="K10153" t="s">
        <v>42289</v>
      </c>
      <c r="M10153" t="s">
        <v>44825</v>
      </c>
      <c r="N10153" t="s">
        <v>46569</v>
      </c>
      <c r="O10153" t="s">
        <v>46570</v>
      </c>
      <c r="P10153">
        <v>0</v>
      </c>
      <c r="Q10153">
        <v>2</v>
      </c>
      <c r="R10153" t="s">
        <v>46577</v>
      </c>
      <c r="S10153" t="s">
        <v>46808</v>
      </c>
      <c r="T10153" t="s">
        <v>48649</v>
      </c>
      <c r="U10153" t="s">
        <v>56929</v>
      </c>
      <c r="V10153" t="s">
        <v>62688</v>
      </c>
      <c r="W10153" t="s">
        <v>44825</v>
      </c>
      <c r="X10153" t="s">
        <v>46578</v>
      </c>
    </row>
    <row r="10154" spans="1:24">
      <c r="A10154">
        <f>HYPERLINK("https://www.philgeps.gov.ph/GEPSNONPILOT/Tender/SplashBidNoticeAbstractUI.aspx?menuIndex=3&amp;refID=7055389&amp;Result=3","7055389")</f>
        <v>0</v>
      </c>
      <c r="B10154" t="s">
        <v>814</v>
      </c>
      <c r="C10154" t="s">
        <v>13142</v>
      </c>
      <c r="D10154" t="s">
        <v>18784</v>
      </c>
      <c r="E10154" t="s">
        <v>27691</v>
      </c>
      <c r="F10154" t="s">
        <v>32664</v>
      </c>
      <c r="G10154" t="s">
        <v>32671</v>
      </c>
      <c r="H10154" t="s">
        <v>12635</v>
      </c>
      <c r="I10154" t="s">
        <v>5589</v>
      </c>
      <c r="J10154" t="s">
        <v>33128</v>
      </c>
      <c r="K10154" t="s">
        <v>42291</v>
      </c>
      <c r="M10154" t="s">
        <v>43408</v>
      </c>
      <c r="N10154" t="s">
        <v>46569</v>
      </c>
      <c r="O10154" t="s">
        <v>46570</v>
      </c>
      <c r="P10154">
        <v>0</v>
      </c>
      <c r="Q10154">
        <v>10</v>
      </c>
      <c r="R10154" t="s">
        <v>46577</v>
      </c>
      <c r="S10154" t="s">
        <v>46808</v>
      </c>
      <c r="T10154" t="s">
        <v>48307</v>
      </c>
      <c r="U10154" t="s">
        <v>56930</v>
      </c>
      <c r="W10154" t="s">
        <v>43408</v>
      </c>
      <c r="X10154" t="s">
        <v>46578</v>
      </c>
    </row>
    <row r="10155" spans="1:24">
      <c r="A10155">
        <f>HYPERLINK("https://www.philgeps.gov.ph/GEPSNONPILOT/Tender/SplashBidNoticeAbstractUI.aspx?menuIndex=3&amp;refID=7055386&amp;Result=3","7055386")</f>
        <v>0</v>
      </c>
      <c r="B10155" t="s">
        <v>2803</v>
      </c>
      <c r="C10155" t="s">
        <v>13143</v>
      </c>
      <c r="D10155" t="s">
        <v>18804</v>
      </c>
      <c r="E10155" t="s">
        <v>27692</v>
      </c>
      <c r="F10155" t="s">
        <v>32664</v>
      </c>
      <c r="G10155" t="s">
        <v>32672</v>
      </c>
      <c r="H10155" t="s">
        <v>12635</v>
      </c>
      <c r="I10155" t="s">
        <v>14442</v>
      </c>
      <c r="J10155" t="s">
        <v>38884</v>
      </c>
      <c r="K10155" t="s">
        <v>42290</v>
      </c>
      <c r="M10155" t="s">
        <v>45647</v>
      </c>
      <c r="N10155" t="s">
        <v>46569</v>
      </c>
      <c r="O10155" t="s">
        <v>46570</v>
      </c>
      <c r="P10155">
        <v>0</v>
      </c>
      <c r="Q10155">
        <v>0</v>
      </c>
      <c r="R10155" t="s">
        <v>46577</v>
      </c>
      <c r="S10155" t="s">
        <v>46808</v>
      </c>
      <c r="T10155" t="s">
        <v>48287</v>
      </c>
      <c r="U10155" t="s">
        <v>56931</v>
      </c>
      <c r="W10155" t="s">
        <v>45647</v>
      </c>
      <c r="X10155" t="s">
        <v>46578</v>
      </c>
    </row>
    <row r="10156" spans="1:24">
      <c r="A10156">
        <f>HYPERLINK("https://www.philgeps.gov.ph/GEPSNONPILOT/Tender/SplashBidNoticeAbstractUI.aspx?menuIndex=3&amp;refID=7055382&amp;Result=3","7055382")</f>
        <v>0</v>
      </c>
      <c r="B10156" t="s">
        <v>2804</v>
      </c>
      <c r="C10156" t="s">
        <v>13144</v>
      </c>
      <c r="D10156" t="s">
        <v>18783</v>
      </c>
      <c r="E10156" t="s">
        <v>27693</v>
      </c>
      <c r="F10156" t="s">
        <v>32664</v>
      </c>
      <c r="G10156" t="s">
        <v>32672</v>
      </c>
      <c r="H10156" t="s">
        <v>12635</v>
      </c>
      <c r="I10156" t="s">
        <v>32708</v>
      </c>
      <c r="J10156" t="s">
        <v>38885</v>
      </c>
      <c r="K10156" t="s">
        <v>42311</v>
      </c>
      <c r="M10156" t="s">
        <v>45648</v>
      </c>
      <c r="N10156" t="s">
        <v>46569</v>
      </c>
      <c r="O10156" t="s">
        <v>46570</v>
      </c>
      <c r="P10156">
        <v>0</v>
      </c>
      <c r="Q10156">
        <v>40</v>
      </c>
      <c r="R10156" t="s">
        <v>46577</v>
      </c>
      <c r="S10156" t="s">
        <v>46808</v>
      </c>
      <c r="T10156" t="s">
        <v>48308</v>
      </c>
      <c r="U10156" t="s">
        <v>56932</v>
      </c>
      <c r="V10156" t="s">
        <v>62689</v>
      </c>
      <c r="W10156" t="s">
        <v>45648</v>
      </c>
      <c r="X10156" t="s">
        <v>46578</v>
      </c>
    </row>
    <row r="10157" spans="1:24">
      <c r="A10157">
        <f>HYPERLINK("https://www.philgeps.gov.ph/GEPSNONPILOT/Tender/SplashBidNoticeAbstractUI.aspx?menuIndex=3&amp;refID=7055339&amp;Result=3","7055339")</f>
        <v>0</v>
      </c>
      <c r="B10157" t="s">
        <v>2791</v>
      </c>
      <c r="C10157" t="s">
        <v>13145</v>
      </c>
      <c r="D10157" t="s">
        <v>18792</v>
      </c>
      <c r="E10157" t="s">
        <v>27694</v>
      </c>
      <c r="F10157" t="s">
        <v>32664</v>
      </c>
      <c r="G10157" t="s">
        <v>32672</v>
      </c>
      <c r="H10157" t="s">
        <v>32683</v>
      </c>
      <c r="I10157" t="s">
        <v>10627</v>
      </c>
      <c r="J10157" t="s">
        <v>33128</v>
      </c>
      <c r="K10157" t="s">
        <v>42289</v>
      </c>
      <c r="M10157" t="s">
        <v>45635</v>
      </c>
      <c r="N10157" t="s">
        <v>46569</v>
      </c>
      <c r="O10157" t="s">
        <v>46570</v>
      </c>
      <c r="P10157">
        <v>0</v>
      </c>
      <c r="Q10157">
        <v>0</v>
      </c>
      <c r="R10157" t="s">
        <v>46577</v>
      </c>
      <c r="S10157" t="s">
        <v>46808</v>
      </c>
      <c r="T10157" t="s">
        <v>48221</v>
      </c>
      <c r="U10157" t="s">
        <v>56933</v>
      </c>
      <c r="W10157" t="s">
        <v>45635</v>
      </c>
      <c r="X10157" t="s">
        <v>46578</v>
      </c>
    </row>
    <row r="10158" spans="1:24">
      <c r="A10158">
        <f>HYPERLINK("https://www.philgeps.gov.ph/GEPSNONPILOT/Tender/SplashBidNoticeAbstractUI.aspx?menuIndex=3&amp;refID=7055412&amp;Result=3","7055412")</f>
        <v>0</v>
      </c>
      <c r="B10158" t="s">
        <v>2801</v>
      </c>
      <c r="C10158" t="s">
        <v>13146</v>
      </c>
      <c r="D10158" t="s">
        <v>18828</v>
      </c>
      <c r="E10158" t="s">
        <v>27695</v>
      </c>
      <c r="F10158" t="s">
        <v>32664</v>
      </c>
      <c r="G10158" t="s">
        <v>32672</v>
      </c>
      <c r="H10158" t="s">
        <v>32683</v>
      </c>
      <c r="I10158" t="s">
        <v>10627</v>
      </c>
      <c r="J10158" t="s">
        <v>38886</v>
      </c>
      <c r="K10158" t="s">
        <v>42500</v>
      </c>
      <c r="M10158" t="s">
        <v>45645</v>
      </c>
      <c r="N10158" t="s">
        <v>46569</v>
      </c>
      <c r="O10158" t="s">
        <v>46570</v>
      </c>
      <c r="P10158">
        <v>0</v>
      </c>
      <c r="Q10158">
        <v>0</v>
      </c>
      <c r="R10158" t="s">
        <v>46577</v>
      </c>
      <c r="S10158" t="s">
        <v>46808</v>
      </c>
      <c r="T10158" t="s">
        <v>48287</v>
      </c>
      <c r="U10158" t="s">
        <v>56934</v>
      </c>
      <c r="V10158" t="s">
        <v>62690</v>
      </c>
      <c r="W10158" t="s">
        <v>45645</v>
      </c>
      <c r="X10158" t="s">
        <v>46578</v>
      </c>
    </row>
    <row r="10159" spans="1:24">
      <c r="A10159">
        <f>HYPERLINK("https://www.philgeps.gov.ph/GEPSNONPILOT/Tender/SplashBidNoticeAbstractUI.aspx?menuIndex=3&amp;refID=7055494&amp;Result=3","7055494")</f>
        <v>0</v>
      </c>
      <c r="B10159" t="s">
        <v>1629</v>
      </c>
      <c r="C10159" t="s">
        <v>13147</v>
      </c>
      <c r="D10159" t="s">
        <v>18786</v>
      </c>
      <c r="E10159" t="s">
        <v>27696</v>
      </c>
      <c r="F10159" t="s">
        <v>32664</v>
      </c>
      <c r="G10159" t="s">
        <v>32671</v>
      </c>
      <c r="H10159" t="s">
        <v>12635</v>
      </c>
      <c r="I10159" t="s">
        <v>32706</v>
      </c>
      <c r="J10159" t="s">
        <v>38887</v>
      </c>
      <c r="K10159" t="s">
        <v>42311</v>
      </c>
      <c r="M10159" t="s">
        <v>44311</v>
      </c>
      <c r="N10159" t="s">
        <v>46569</v>
      </c>
      <c r="O10159" t="s">
        <v>46570</v>
      </c>
      <c r="P10159">
        <v>0</v>
      </c>
      <c r="Q10159">
        <v>0</v>
      </c>
      <c r="R10159" t="s">
        <v>46577</v>
      </c>
      <c r="S10159" t="s">
        <v>46808</v>
      </c>
      <c r="T10159" t="s">
        <v>48590</v>
      </c>
      <c r="U10159" t="s">
        <v>56935</v>
      </c>
      <c r="W10159" t="s">
        <v>44311</v>
      </c>
      <c r="X10159" t="s">
        <v>46578</v>
      </c>
    </row>
    <row r="10160" spans="1:24">
      <c r="A10160">
        <f>HYPERLINK("https://www.philgeps.gov.ph/GEPSNONPILOT/Tender/SplashBidNoticeAbstractUI.aspx?menuIndex=3&amp;refID=7055392&amp;Result=3","7055392")</f>
        <v>0</v>
      </c>
      <c r="B10160" t="s">
        <v>2073</v>
      </c>
      <c r="C10160" t="s">
        <v>13148</v>
      </c>
      <c r="D10160" t="s">
        <v>18782</v>
      </c>
      <c r="E10160" t="s">
        <v>27697</v>
      </c>
      <c r="F10160" t="s">
        <v>32664</v>
      </c>
      <c r="G10160" t="s">
        <v>32672</v>
      </c>
      <c r="H10160" t="s">
        <v>32683</v>
      </c>
      <c r="I10160" t="s">
        <v>10627</v>
      </c>
      <c r="J10160" t="s">
        <v>32962</v>
      </c>
      <c r="K10160" t="s">
        <v>42311</v>
      </c>
      <c r="M10160" t="s">
        <v>44825</v>
      </c>
      <c r="N10160" t="s">
        <v>46569</v>
      </c>
      <c r="O10160" t="s">
        <v>46570</v>
      </c>
      <c r="P10160">
        <v>0</v>
      </c>
      <c r="Q10160">
        <v>2</v>
      </c>
      <c r="R10160" t="s">
        <v>46577</v>
      </c>
      <c r="S10160" t="s">
        <v>46808</v>
      </c>
      <c r="T10160" t="s">
        <v>48649</v>
      </c>
      <c r="U10160" t="s">
        <v>56832</v>
      </c>
      <c r="W10160" t="s">
        <v>44825</v>
      </c>
      <c r="X10160" t="s">
        <v>46578</v>
      </c>
    </row>
    <row r="10161" spans="1:24">
      <c r="A10161">
        <f>HYPERLINK("https://www.philgeps.gov.ph/GEPSNONPILOT/Tender/SplashBidNoticeAbstractUI.aspx?menuIndex=3&amp;refID=7055380&amp;Result=3","7055380")</f>
        <v>0</v>
      </c>
      <c r="B10161" t="s">
        <v>2794</v>
      </c>
      <c r="C10161" t="s">
        <v>13149</v>
      </c>
      <c r="D10161" t="s">
        <v>18797</v>
      </c>
      <c r="E10161" t="s">
        <v>27698</v>
      </c>
      <c r="F10161" t="s">
        <v>32664</v>
      </c>
      <c r="G10161" t="s">
        <v>32672</v>
      </c>
      <c r="H10161" t="s">
        <v>32683</v>
      </c>
      <c r="I10161" t="s">
        <v>10627</v>
      </c>
      <c r="J10161" t="s">
        <v>32998</v>
      </c>
      <c r="K10161" t="s">
        <v>42308</v>
      </c>
      <c r="M10161" t="s">
        <v>45638</v>
      </c>
      <c r="N10161" t="s">
        <v>46569</v>
      </c>
      <c r="O10161" t="s">
        <v>46570</v>
      </c>
      <c r="P10161">
        <v>0</v>
      </c>
      <c r="Q10161">
        <v>51</v>
      </c>
      <c r="R10161" t="s">
        <v>46577</v>
      </c>
      <c r="S10161" t="s">
        <v>46808</v>
      </c>
      <c r="T10161" t="s">
        <v>48468</v>
      </c>
      <c r="U10161" t="s">
        <v>56905</v>
      </c>
      <c r="V10161" t="s">
        <v>62691</v>
      </c>
      <c r="W10161" t="s">
        <v>63572</v>
      </c>
      <c r="X10161" t="s">
        <v>46578</v>
      </c>
    </row>
    <row r="10162" spans="1:24">
      <c r="A10162">
        <f>HYPERLINK("https://www.philgeps.gov.ph/GEPSNONPILOT/Tender/SplashBidNoticeAbstractUI.aspx?menuIndex=3&amp;refID=7055459&amp;Result=3","7055459")</f>
        <v>0</v>
      </c>
      <c r="B10162" t="s">
        <v>2805</v>
      </c>
      <c r="C10162" t="s">
        <v>13150</v>
      </c>
      <c r="E10162" t="s">
        <v>20150</v>
      </c>
      <c r="F10162" t="s">
        <v>32664</v>
      </c>
      <c r="G10162" t="s">
        <v>32672</v>
      </c>
      <c r="H10162" t="s">
        <v>12635</v>
      </c>
      <c r="I10162" t="s">
        <v>7759</v>
      </c>
      <c r="J10162" t="s">
        <v>32859</v>
      </c>
      <c r="K10162" t="s">
        <v>42283</v>
      </c>
      <c r="M10162" t="s">
        <v>45649</v>
      </c>
      <c r="N10162" t="s">
        <v>46569</v>
      </c>
      <c r="O10162" t="s">
        <v>46570</v>
      </c>
      <c r="P10162">
        <v>0</v>
      </c>
      <c r="Q10162">
        <v>1</v>
      </c>
      <c r="R10162" t="s">
        <v>46577</v>
      </c>
      <c r="S10162" t="s">
        <v>46808</v>
      </c>
      <c r="T10162" t="s">
        <v>48290</v>
      </c>
      <c r="U10162" t="s">
        <v>56936</v>
      </c>
      <c r="W10162" t="s">
        <v>45649</v>
      </c>
      <c r="X10162" t="s">
        <v>46578</v>
      </c>
    </row>
    <row r="10163" spans="1:24">
      <c r="A10163">
        <f>HYPERLINK("https://www.philgeps.gov.ph/GEPSNONPILOT/Tender/SplashBidNoticeAbstractUI.aspx?menuIndex=3&amp;refID=7055489&amp;Result=3","7055489")</f>
        <v>0</v>
      </c>
      <c r="B10163" t="s">
        <v>2806</v>
      </c>
      <c r="C10163" t="s">
        <v>13151</v>
      </c>
      <c r="D10163" t="s">
        <v>18784</v>
      </c>
      <c r="E10163" t="s">
        <v>27699</v>
      </c>
      <c r="F10163" t="s">
        <v>32664</v>
      </c>
      <c r="G10163" t="s">
        <v>32672</v>
      </c>
      <c r="H10163" t="s">
        <v>12635</v>
      </c>
      <c r="I10163" t="s">
        <v>5589</v>
      </c>
      <c r="J10163" t="s">
        <v>33761</v>
      </c>
      <c r="K10163" t="s">
        <v>42305</v>
      </c>
      <c r="M10163" t="s">
        <v>45650</v>
      </c>
      <c r="N10163" t="s">
        <v>46569</v>
      </c>
      <c r="O10163" t="s">
        <v>46570</v>
      </c>
      <c r="P10163">
        <v>0</v>
      </c>
      <c r="Q10163">
        <v>21</v>
      </c>
      <c r="R10163" t="s">
        <v>46577</v>
      </c>
      <c r="S10163" t="s">
        <v>46808</v>
      </c>
      <c r="T10163" t="s">
        <v>48302</v>
      </c>
      <c r="U10163" t="s">
        <v>56937</v>
      </c>
      <c r="W10163" t="s">
        <v>45650</v>
      </c>
      <c r="X10163" t="s">
        <v>46578</v>
      </c>
    </row>
    <row r="10164" spans="1:24">
      <c r="A10164">
        <f>HYPERLINK("https://www.philgeps.gov.ph/GEPSNONPILOT/Tender/SplashBidNoticeAbstractUI.aspx?menuIndex=3&amp;refID=7055404&amp;Result=3","7055404")</f>
        <v>0</v>
      </c>
      <c r="B10164" t="s">
        <v>1599</v>
      </c>
      <c r="C10164" t="s">
        <v>13152</v>
      </c>
      <c r="D10164" t="s">
        <v>18842</v>
      </c>
      <c r="E10164" t="s">
        <v>27700</v>
      </c>
      <c r="F10164" t="s">
        <v>32664</v>
      </c>
      <c r="G10164" t="s">
        <v>32672</v>
      </c>
      <c r="H10164" t="s">
        <v>32683</v>
      </c>
      <c r="I10164" t="s">
        <v>10627</v>
      </c>
      <c r="J10164" t="s">
        <v>38888</v>
      </c>
      <c r="K10164" t="s">
        <v>42298</v>
      </c>
      <c r="M10164" t="s">
        <v>44276</v>
      </c>
      <c r="N10164" t="s">
        <v>46569</v>
      </c>
      <c r="O10164" t="s">
        <v>46570</v>
      </c>
      <c r="P10164">
        <v>0</v>
      </c>
      <c r="Q10164">
        <v>0</v>
      </c>
      <c r="R10164" t="s">
        <v>46577</v>
      </c>
      <c r="S10164" t="s">
        <v>46808</v>
      </c>
      <c r="T10164" t="s">
        <v>48254</v>
      </c>
      <c r="U10164" t="s">
        <v>56938</v>
      </c>
      <c r="W10164" t="s">
        <v>44276</v>
      </c>
      <c r="X10164" t="s">
        <v>46578</v>
      </c>
    </row>
    <row r="10165" spans="1:24">
      <c r="A10165">
        <f>HYPERLINK("https://www.philgeps.gov.ph/GEPSNONPILOT/Tender/SplashBidNoticeAbstractUI.aspx?menuIndex=3&amp;refID=7055483&amp;Result=3","7055483")</f>
        <v>0</v>
      </c>
      <c r="B10165" t="s">
        <v>2807</v>
      </c>
      <c r="C10165" t="s">
        <v>13153</v>
      </c>
      <c r="D10165" t="s">
        <v>18802</v>
      </c>
      <c r="E10165" t="s">
        <v>27701</v>
      </c>
      <c r="F10165" t="s">
        <v>32664</v>
      </c>
      <c r="G10165" t="s">
        <v>32672</v>
      </c>
      <c r="H10165" t="s">
        <v>32683</v>
      </c>
      <c r="I10165" t="s">
        <v>10627</v>
      </c>
      <c r="J10165" t="s">
        <v>38889</v>
      </c>
      <c r="K10165" t="s">
        <v>42290</v>
      </c>
      <c r="M10165" t="s">
        <v>45651</v>
      </c>
      <c r="N10165" t="s">
        <v>46569</v>
      </c>
      <c r="O10165" t="s">
        <v>46570</v>
      </c>
      <c r="P10165">
        <v>0</v>
      </c>
      <c r="Q10165">
        <v>1</v>
      </c>
      <c r="R10165" t="s">
        <v>46577</v>
      </c>
      <c r="S10165" t="s">
        <v>46808</v>
      </c>
      <c r="T10165" t="s">
        <v>48328</v>
      </c>
      <c r="U10165" t="s">
        <v>56939</v>
      </c>
      <c r="W10165" t="s">
        <v>45651</v>
      </c>
      <c r="X10165" t="s">
        <v>46578</v>
      </c>
    </row>
    <row r="10166" spans="1:24">
      <c r="A10166">
        <f>HYPERLINK("https://www.philgeps.gov.ph/GEPSNONPILOT/Tender/SplashBidNoticeAbstractUI.aspx?menuIndex=3&amp;refID=7055487&amp;Result=3","7055487")</f>
        <v>0</v>
      </c>
      <c r="B10166" t="s">
        <v>2807</v>
      </c>
      <c r="C10166" t="s">
        <v>13154</v>
      </c>
      <c r="D10166" t="s">
        <v>18802</v>
      </c>
      <c r="E10166" t="s">
        <v>27702</v>
      </c>
      <c r="F10166" t="s">
        <v>32664</v>
      </c>
      <c r="G10166" t="s">
        <v>32672</v>
      </c>
      <c r="H10166" t="s">
        <v>32683</v>
      </c>
      <c r="I10166" t="s">
        <v>10627</v>
      </c>
      <c r="J10166" t="s">
        <v>33361</v>
      </c>
      <c r="K10166" t="s">
        <v>42305</v>
      </c>
      <c r="M10166" t="s">
        <v>45651</v>
      </c>
      <c r="N10166" t="s">
        <v>46569</v>
      </c>
      <c r="O10166" t="s">
        <v>46570</v>
      </c>
      <c r="P10166">
        <v>0</v>
      </c>
      <c r="Q10166">
        <v>0</v>
      </c>
      <c r="R10166" t="s">
        <v>46577</v>
      </c>
      <c r="S10166" t="s">
        <v>46808</v>
      </c>
      <c r="T10166" t="s">
        <v>48328</v>
      </c>
      <c r="U10166" t="s">
        <v>56940</v>
      </c>
      <c r="W10166" t="s">
        <v>45651</v>
      </c>
      <c r="X10166" t="s">
        <v>46578</v>
      </c>
    </row>
    <row r="10167" spans="1:24">
      <c r="A10167">
        <f>HYPERLINK("https://www.philgeps.gov.ph/GEPSNONPILOT/Tender/SplashBidNoticeAbstractUI.aspx?menuIndex=3&amp;refID=7055482&amp;Result=3","7055482")</f>
        <v>0</v>
      </c>
      <c r="B10167" t="s">
        <v>2567</v>
      </c>
      <c r="C10167" t="s">
        <v>13155</v>
      </c>
      <c r="D10167" t="s">
        <v>18784</v>
      </c>
      <c r="E10167" t="s">
        <v>27703</v>
      </c>
      <c r="F10167" t="s">
        <v>32664</v>
      </c>
      <c r="G10167" t="s">
        <v>32672</v>
      </c>
      <c r="H10167" t="s">
        <v>32683</v>
      </c>
      <c r="I10167" t="s">
        <v>10627</v>
      </c>
      <c r="J10167" t="s">
        <v>38890</v>
      </c>
      <c r="K10167" t="s">
        <v>42311</v>
      </c>
      <c r="M10167" t="s">
        <v>45378</v>
      </c>
      <c r="N10167" t="s">
        <v>46569</v>
      </c>
      <c r="O10167" t="s">
        <v>46570</v>
      </c>
      <c r="Q10167">
        <v>9</v>
      </c>
      <c r="R10167" t="s">
        <v>46577</v>
      </c>
      <c r="S10167" t="s">
        <v>46864</v>
      </c>
      <c r="T10167" t="s">
        <v>48313</v>
      </c>
      <c r="U10167" t="s">
        <v>55954</v>
      </c>
      <c r="W10167" t="s">
        <v>45378</v>
      </c>
      <c r="X10167" t="s">
        <v>46578</v>
      </c>
    </row>
    <row r="10168" spans="1:24">
      <c r="A10168">
        <f>HYPERLINK("https://www.philgeps.gov.ph/GEPSNONPILOT/Tender/SplashBidNoticeAbstractUI.aspx?menuIndex=3&amp;refID=7055480&amp;Result=3","7055480")</f>
        <v>0</v>
      </c>
      <c r="B10168" t="s">
        <v>2808</v>
      </c>
      <c r="C10168" t="s">
        <v>13156</v>
      </c>
      <c r="D10168" t="s">
        <v>18788</v>
      </c>
      <c r="E10168" t="s">
        <v>19146</v>
      </c>
      <c r="F10168" t="s">
        <v>32664</v>
      </c>
      <c r="G10168" t="s">
        <v>32672</v>
      </c>
      <c r="H10168" t="s">
        <v>12635</v>
      </c>
      <c r="I10168" t="s">
        <v>4439</v>
      </c>
      <c r="J10168" t="s">
        <v>38891</v>
      </c>
      <c r="K10168" t="s">
        <v>42297</v>
      </c>
      <c r="M10168" t="s">
        <v>45652</v>
      </c>
      <c r="N10168" t="s">
        <v>46569</v>
      </c>
      <c r="O10168" t="s">
        <v>46570</v>
      </c>
      <c r="P10168">
        <v>0</v>
      </c>
      <c r="Q10168">
        <v>0</v>
      </c>
      <c r="R10168" t="s">
        <v>46577</v>
      </c>
      <c r="S10168" t="s">
        <v>46808</v>
      </c>
      <c r="T10168" t="s">
        <v>48246</v>
      </c>
      <c r="U10168" t="s">
        <v>56941</v>
      </c>
      <c r="W10168" t="s">
        <v>45652</v>
      </c>
      <c r="X10168" t="s">
        <v>46578</v>
      </c>
    </row>
    <row r="10169" spans="1:24">
      <c r="A10169">
        <f>HYPERLINK("https://www.philgeps.gov.ph/GEPSNONPILOT/Tender/SplashBidNoticeAbstractUI.aspx?menuIndex=3&amp;refID=7055477&amp;Result=3","7055477")</f>
        <v>0</v>
      </c>
      <c r="B10169" t="s">
        <v>2797</v>
      </c>
      <c r="C10169" t="s">
        <v>13157</v>
      </c>
      <c r="D10169" t="s">
        <v>18799</v>
      </c>
      <c r="E10169" t="s">
        <v>27704</v>
      </c>
      <c r="F10169" t="s">
        <v>32665</v>
      </c>
      <c r="G10169" t="s">
        <v>32671</v>
      </c>
      <c r="H10169" t="s">
        <v>12635</v>
      </c>
      <c r="I10169" t="s">
        <v>6168</v>
      </c>
      <c r="J10169" t="s">
        <v>38892</v>
      </c>
      <c r="K10169" t="s">
        <v>42283</v>
      </c>
      <c r="M10169" t="s">
        <v>45641</v>
      </c>
      <c r="N10169" t="s">
        <v>46569</v>
      </c>
      <c r="O10169" t="s">
        <v>46570</v>
      </c>
      <c r="P10169">
        <v>0</v>
      </c>
      <c r="Q10169">
        <v>2</v>
      </c>
      <c r="R10169" t="s">
        <v>46577</v>
      </c>
      <c r="S10169" t="s">
        <v>46808</v>
      </c>
      <c r="T10169" t="s">
        <v>48492</v>
      </c>
      <c r="U10169" t="s">
        <v>56942</v>
      </c>
      <c r="W10169" t="s">
        <v>45641</v>
      </c>
      <c r="X10169" t="s">
        <v>46578</v>
      </c>
    </row>
    <row r="10170" spans="1:24">
      <c r="A10170">
        <f>HYPERLINK("https://www.philgeps.gov.ph/GEPSNONPILOT/Tender/SplashBidNoticeAbstractUI.aspx?menuIndex=3&amp;refID=7055476&amp;Result=3","7055476")</f>
        <v>0</v>
      </c>
      <c r="B10170" t="s">
        <v>2800</v>
      </c>
      <c r="C10170" t="s">
        <v>13158</v>
      </c>
      <c r="D10170" t="s">
        <v>18818</v>
      </c>
      <c r="E10170" t="s">
        <v>27705</v>
      </c>
      <c r="F10170" t="s">
        <v>32664</v>
      </c>
      <c r="G10170" t="s">
        <v>32672</v>
      </c>
      <c r="H10170" t="s">
        <v>12635</v>
      </c>
      <c r="I10170" t="s">
        <v>6118</v>
      </c>
      <c r="J10170" t="s">
        <v>38893</v>
      </c>
      <c r="K10170" t="s">
        <v>42283</v>
      </c>
      <c r="M10170" t="s">
        <v>45644</v>
      </c>
      <c r="N10170" t="s">
        <v>46569</v>
      </c>
      <c r="O10170" t="s">
        <v>46570</v>
      </c>
      <c r="P10170">
        <v>0</v>
      </c>
      <c r="Q10170">
        <v>3</v>
      </c>
      <c r="R10170" t="s">
        <v>46577</v>
      </c>
      <c r="S10170" t="s">
        <v>46808</v>
      </c>
      <c r="T10170" t="s">
        <v>48580</v>
      </c>
      <c r="U10170" t="s">
        <v>56943</v>
      </c>
      <c r="W10170" t="s">
        <v>45644</v>
      </c>
      <c r="X10170" t="s">
        <v>46578</v>
      </c>
    </row>
    <row r="10171" spans="1:24">
      <c r="A10171">
        <f>HYPERLINK("https://www.philgeps.gov.ph/GEPSNONPILOT/Tender/SplashBidNoticeAbstractUI.aspx?menuIndex=3&amp;refID=7055361&amp;Result=3","7055361")</f>
        <v>0</v>
      </c>
      <c r="B10171" t="s">
        <v>2795</v>
      </c>
      <c r="C10171" t="s">
        <v>13159</v>
      </c>
      <c r="D10171" t="s">
        <v>18784</v>
      </c>
      <c r="E10171" t="s">
        <v>27706</v>
      </c>
      <c r="F10171" t="s">
        <v>32665</v>
      </c>
      <c r="G10171" t="s">
        <v>32672</v>
      </c>
      <c r="H10171" t="s">
        <v>32681</v>
      </c>
      <c r="I10171" t="s">
        <v>10627</v>
      </c>
      <c r="J10171" t="s">
        <v>38894</v>
      </c>
      <c r="K10171" t="s">
        <v>42281</v>
      </c>
      <c r="M10171" t="s">
        <v>45639</v>
      </c>
      <c r="N10171" t="s">
        <v>46569</v>
      </c>
      <c r="O10171" t="s">
        <v>46570</v>
      </c>
      <c r="P10171">
        <v>0</v>
      </c>
      <c r="Q10171">
        <v>0</v>
      </c>
      <c r="R10171" t="s">
        <v>46577</v>
      </c>
      <c r="S10171" t="s">
        <v>46808</v>
      </c>
      <c r="T10171" t="s">
        <v>48375</v>
      </c>
      <c r="U10171" t="s">
        <v>56907</v>
      </c>
      <c r="V10171" t="s">
        <v>61924</v>
      </c>
      <c r="W10171" t="s">
        <v>45639</v>
      </c>
      <c r="X10171" t="s">
        <v>46578</v>
      </c>
    </row>
    <row r="10172" spans="1:24">
      <c r="A10172">
        <f>HYPERLINK("https://www.philgeps.gov.ph/GEPSNONPILOT/Tender/SplashBidNoticeAbstractUI.aspx?menuIndex=3&amp;refID=7055466&amp;Result=3","7055466")</f>
        <v>0</v>
      </c>
      <c r="B10172" t="s">
        <v>2797</v>
      </c>
      <c r="C10172" t="s">
        <v>13160</v>
      </c>
      <c r="D10172" t="s">
        <v>18799</v>
      </c>
      <c r="E10172" t="s">
        <v>27707</v>
      </c>
      <c r="F10172" t="s">
        <v>32665</v>
      </c>
      <c r="G10172" t="s">
        <v>32671</v>
      </c>
      <c r="H10172" t="s">
        <v>12635</v>
      </c>
      <c r="I10172" t="s">
        <v>10370</v>
      </c>
      <c r="J10172" t="s">
        <v>38895</v>
      </c>
      <c r="K10172" t="s">
        <v>42283</v>
      </c>
      <c r="M10172" t="s">
        <v>45641</v>
      </c>
      <c r="N10172" t="s">
        <v>46569</v>
      </c>
      <c r="O10172" t="s">
        <v>46570</v>
      </c>
      <c r="P10172">
        <v>0</v>
      </c>
      <c r="Q10172">
        <v>5</v>
      </c>
      <c r="R10172" t="s">
        <v>46577</v>
      </c>
      <c r="S10172" t="s">
        <v>46808</v>
      </c>
      <c r="T10172" t="s">
        <v>48492</v>
      </c>
      <c r="U10172" t="s">
        <v>56944</v>
      </c>
      <c r="W10172" t="s">
        <v>45641</v>
      </c>
      <c r="X10172" t="s">
        <v>46578</v>
      </c>
    </row>
    <row r="10173" spans="1:24">
      <c r="A10173">
        <f>HYPERLINK("https://www.philgeps.gov.ph/GEPSNONPILOT/Tender/SplashBidNoticeAbstractUI.aspx?menuIndex=3&amp;refID=7055485&amp;Result=3","7055485")</f>
        <v>0</v>
      </c>
      <c r="B10173" t="s">
        <v>2567</v>
      </c>
      <c r="C10173" t="s">
        <v>13161</v>
      </c>
      <c r="D10173" t="s">
        <v>18784</v>
      </c>
      <c r="E10173" t="s">
        <v>27708</v>
      </c>
      <c r="F10173" t="s">
        <v>32664</v>
      </c>
      <c r="G10173" t="s">
        <v>32672</v>
      </c>
      <c r="H10173" t="s">
        <v>32683</v>
      </c>
      <c r="I10173" t="s">
        <v>10627</v>
      </c>
      <c r="J10173" t="s">
        <v>38896</v>
      </c>
      <c r="K10173" t="s">
        <v>42397</v>
      </c>
      <c r="M10173" t="s">
        <v>45378</v>
      </c>
      <c r="N10173" t="s">
        <v>46569</v>
      </c>
      <c r="O10173" t="s">
        <v>46570</v>
      </c>
      <c r="Q10173">
        <v>16</v>
      </c>
      <c r="R10173" t="s">
        <v>46577</v>
      </c>
      <c r="S10173" t="s">
        <v>46865</v>
      </c>
      <c r="T10173" t="s">
        <v>48313</v>
      </c>
      <c r="U10173" t="s">
        <v>55954</v>
      </c>
      <c r="W10173" t="s">
        <v>45378</v>
      </c>
      <c r="X10173" t="s">
        <v>46578</v>
      </c>
    </row>
    <row r="10174" spans="1:24">
      <c r="A10174">
        <f>HYPERLINK("https://www.philgeps.gov.ph/GEPSNONPILOT/Tender/SplashBidNoticeAbstractUI.aspx?menuIndex=3&amp;refID=7055463&amp;Result=3","7055463")</f>
        <v>0</v>
      </c>
      <c r="B10174" t="s">
        <v>629</v>
      </c>
      <c r="C10174" t="s">
        <v>13162</v>
      </c>
      <c r="D10174" t="s">
        <v>18782</v>
      </c>
      <c r="E10174" t="s">
        <v>27709</v>
      </c>
      <c r="F10174" t="s">
        <v>32664</v>
      </c>
      <c r="G10174" t="s">
        <v>32674</v>
      </c>
      <c r="H10174" t="s">
        <v>12635</v>
      </c>
      <c r="I10174" t="s">
        <v>10370</v>
      </c>
      <c r="J10174" t="s">
        <v>38897</v>
      </c>
      <c r="K10174" t="s">
        <v>42283</v>
      </c>
      <c r="M10174" t="s">
        <v>43211</v>
      </c>
      <c r="N10174" t="s">
        <v>46569</v>
      </c>
      <c r="O10174" t="s">
        <v>46570</v>
      </c>
      <c r="P10174">
        <v>0</v>
      </c>
      <c r="Q10174">
        <v>4</v>
      </c>
      <c r="R10174" t="s">
        <v>46577</v>
      </c>
      <c r="S10174" t="s">
        <v>46808</v>
      </c>
      <c r="T10174" t="s">
        <v>48449</v>
      </c>
      <c r="U10174" t="s">
        <v>56945</v>
      </c>
      <c r="W10174" t="s">
        <v>43211</v>
      </c>
      <c r="X10174" t="s">
        <v>46578</v>
      </c>
    </row>
    <row r="10175" spans="1:24">
      <c r="A10175">
        <f>HYPERLINK("https://www.philgeps.gov.ph/GEPSNONPILOT/Tender/SplashBidNoticeAbstractUI.aspx?menuIndex=3&amp;refID=7055503&amp;Result=3","7055503")</f>
        <v>0</v>
      </c>
      <c r="B10175" t="s">
        <v>2809</v>
      </c>
      <c r="C10175" t="s">
        <v>13163</v>
      </c>
      <c r="D10175" t="s">
        <v>18784</v>
      </c>
      <c r="E10175" t="s">
        <v>23255</v>
      </c>
      <c r="F10175" t="s">
        <v>32664</v>
      </c>
      <c r="G10175" t="s">
        <v>32672</v>
      </c>
      <c r="H10175" t="s">
        <v>12635</v>
      </c>
      <c r="I10175" t="s">
        <v>6223</v>
      </c>
      <c r="J10175" t="s">
        <v>38898</v>
      </c>
      <c r="K10175" t="s">
        <v>42309</v>
      </c>
      <c r="M10175" t="s">
        <v>45653</v>
      </c>
      <c r="N10175" t="s">
        <v>46569</v>
      </c>
      <c r="O10175" t="s">
        <v>46570</v>
      </c>
      <c r="P10175">
        <v>0</v>
      </c>
      <c r="Q10175">
        <v>3</v>
      </c>
      <c r="R10175" t="s">
        <v>46577</v>
      </c>
      <c r="S10175" t="s">
        <v>46808</v>
      </c>
      <c r="T10175" t="s">
        <v>48307</v>
      </c>
      <c r="U10175" t="s">
        <v>56946</v>
      </c>
      <c r="W10175" t="s">
        <v>45653</v>
      </c>
      <c r="X10175" t="s">
        <v>46578</v>
      </c>
    </row>
    <row r="10176" spans="1:24">
      <c r="A10176">
        <f>HYPERLINK("https://www.philgeps.gov.ph/GEPSNONPILOT/Tender/SplashBidNoticeAbstractUI.aspx?menuIndex=3&amp;refID=7055471&amp;Result=3","7055471")</f>
        <v>0</v>
      </c>
      <c r="B10176" t="s">
        <v>2810</v>
      </c>
      <c r="C10176" t="s">
        <v>13164</v>
      </c>
      <c r="D10176" t="s">
        <v>18784</v>
      </c>
      <c r="E10176" t="s">
        <v>23255</v>
      </c>
      <c r="F10176" t="s">
        <v>32664</v>
      </c>
      <c r="G10176" t="s">
        <v>32672</v>
      </c>
      <c r="H10176" t="s">
        <v>12635</v>
      </c>
      <c r="I10176" t="s">
        <v>6223</v>
      </c>
      <c r="J10176" t="s">
        <v>38899</v>
      </c>
      <c r="K10176" t="s">
        <v>42309</v>
      </c>
      <c r="M10176" t="s">
        <v>45654</v>
      </c>
      <c r="N10176" t="s">
        <v>46569</v>
      </c>
      <c r="O10176" t="s">
        <v>46570</v>
      </c>
      <c r="P10176">
        <v>0</v>
      </c>
      <c r="Q10176">
        <v>4</v>
      </c>
      <c r="R10176" t="s">
        <v>46577</v>
      </c>
      <c r="S10176" t="s">
        <v>46808</v>
      </c>
      <c r="T10176" t="s">
        <v>48502</v>
      </c>
      <c r="U10176" t="s">
        <v>56947</v>
      </c>
      <c r="W10176" t="s">
        <v>45654</v>
      </c>
      <c r="X10176" t="s">
        <v>46578</v>
      </c>
    </row>
    <row r="10177" spans="1:24">
      <c r="A10177">
        <f>HYPERLINK("https://www.philgeps.gov.ph/GEPSNONPILOT/Tender/SplashBidNoticeAbstractUI.aspx?menuIndex=3&amp;refID=7055539&amp;Result=3","7055539")</f>
        <v>0</v>
      </c>
      <c r="B10177" t="s">
        <v>2811</v>
      </c>
      <c r="C10177" t="s">
        <v>13165</v>
      </c>
      <c r="D10177" t="s">
        <v>18784</v>
      </c>
      <c r="E10177" t="s">
        <v>23255</v>
      </c>
      <c r="F10177" t="s">
        <v>32664</v>
      </c>
      <c r="G10177" t="s">
        <v>32672</v>
      </c>
      <c r="H10177" t="s">
        <v>12635</v>
      </c>
      <c r="I10177" t="s">
        <v>6223</v>
      </c>
      <c r="J10177" t="s">
        <v>38900</v>
      </c>
      <c r="K10177" t="s">
        <v>42309</v>
      </c>
      <c r="M10177" t="s">
        <v>45655</v>
      </c>
      <c r="N10177" t="s">
        <v>46569</v>
      </c>
      <c r="O10177" t="s">
        <v>46570</v>
      </c>
      <c r="P10177">
        <v>0</v>
      </c>
      <c r="Q10177">
        <v>5</v>
      </c>
      <c r="R10177" t="s">
        <v>46577</v>
      </c>
      <c r="S10177" t="s">
        <v>46808</v>
      </c>
      <c r="T10177" t="s">
        <v>48287</v>
      </c>
      <c r="U10177" t="s">
        <v>56948</v>
      </c>
      <c r="W10177" t="s">
        <v>45655</v>
      </c>
      <c r="X10177" t="s">
        <v>46578</v>
      </c>
    </row>
    <row r="10178" spans="1:24">
      <c r="A10178">
        <f>HYPERLINK("https://www.philgeps.gov.ph/GEPSNONPILOT/Tender/SplashBidNoticeAbstractUI.aspx?menuIndex=3&amp;refID=7055531&amp;Result=3","7055531")</f>
        <v>0</v>
      </c>
      <c r="B10178" t="s">
        <v>2812</v>
      </c>
      <c r="C10178" t="s">
        <v>13166</v>
      </c>
      <c r="D10178" t="s">
        <v>18782</v>
      </c>
      <c r="E10178" t="s">
        <v>25795</v>
      </c>
      <c r="F10178" t="s">
        <v>32664</v>
      </c>
      <c r="G10178" t="s">
        <v>32672</v>
      </c>
      <c r="H10178" t="s">
        <v>12635</v>
      </c>
      <c r="I10178" t="s">
        <v>4439</v>
      </c>
      <c r="J10178" t="s">
        <v>38901</v>
      </c>
      <c r="K10178" t="s">
        <v>42284</v>
      </c>
      <c r="M10178" t="s">
        <v>45656</v>
      </c>
      <c r="N10178" t="s">
        <v>46569</v>
      </c>
      <c r="O10178" t="s">
        <v>46570</v>
      </c>
      <c r="P10178">
        <v>0</v>
      </c>
      <c r="Q10178">
        <v>1</v>
      </c>
      <c r="R10178" t="s">
        <v>46577</v>
      </c>
      <c r="S10178" t="s">
        <v>46808</v>
      </c>
      <c r="T10178" t="s">
        <v>48258</v>
      </c>
      <c r="U10178" t="s">
        <v>56949</v>
      </c>
      <c r="W10178" t="s">
        <v>45656</v>
      </c>
      <c r="X10178" t="s">
        <v>46578</v>
      </c>
    </row>
    <row r="10179" spans="1:24">
      <c r="A10179">
        <f>HYPERLINK("https://www.philgeps.gov.ph/GEPSNONPILOT/Tender/SplashBidNoticeAbstractUI.aspx?menuIndex=3&amp;refID=7055524&amp;Result=3","7055524")</f>
        <v>0</v>
      </c>
      <c r="B10179" t="s">
        <v>2567</v>
      </c>
      <c r="C10179" t="s">
        <v>13167</v>
      </c>
      <c r="D10179" t="s">
        <v>18784</v>
      </c>
      <c r="E10179" t="s">
        <v>20771</v>
      </c>
      <c r="F10179" t="s">
        <v>32664</v>
      </c>
      <c r="G10179" t="s">
        <v>32672</v>
      </c>
      <c r="H10179" t="s">
        <v>32683</v>
      </c>
      <c r="I10179" t="s">
        <v>32681</v>
      </c>
      <c r="J10179" t="s">
        <v>38902</v>
      </c>
      <c r="K10179" t="s">
        <v>42301</v>
      </c>
      <c r="M10179" t="s">
        <v>45378</v>
      </c>
      <c r="N10179" t="s">
        <v>46569</v>
      </c>
      <c r="O10179" t="s">
        <v>46570</v>
      </c>
      <c r="Q10179">
        <v>14</v>
      </c>
      <c r="R10179" t="s">
        <v>46577</v>
      </c>
      <c r="S10179" t="s">
        <v>46866</v>
      </c>
      <c r="T10179" t="s">
        <v>48313</v>
      </c>
      <c r="U10179" t="s">
        <v>55954</v>
      </c>
      <c r="W10179" t="s">
        <v>45378</v>
      </c>
      <c r="X10179" t="s">
        <v>46578</v>
      </c>
    </row>
    <row r="10180" spans="1:24">
      <c r="A10180">
        <f>HYPERLINK("https://www.philgeps.gov.ph/GEPSNONPILOT/Tender/SplashBidNoticeAbstractUI.aspx?menuIndex=3&amp;refID=7055473&amp;Result=3","7055473")</f>
        <v>0</v>
      </c>
      <c r="B10180" t="s">
        <v>2807</v>
      </c>
      <c r="C10180" t="s">
        <v>13168</v>
      </c>
      <c r="D10180" t="s">
        <v>18802</v>
      </c>
      <c r="E10180" t="s">
        <v>27710</v>
      </c>
      <c r="F10180" t="s">
        <v>32664</v>
      </c>
      <c r="G10180" t="s">
        <v>32672</v>
      </c>
      <c r="H10180" t="s">
        <v>12635</v>
      </c>
      <c r="I10180" t="s">
        <v>32711</v>
      </c>
      <c r="J10180" t="s">
        <v>38903</v>
      </c>
      <c r="K10180" t="s">
        <v>42297</v>
      </c>
      <c r="M10180" t="s">
        <v>45651</v>
      </c>
      <c r="N10180" t="s">
        <v>46569</v>
      </c>
      <c r="O10180" t="s">
        <v>46570</v>
      </c>
      <c r="P10180">
        <v>0</v>
      </c>
      <c r="Q10180">
        <v>3</v>
      </c>
      <c r="R10180" t="s">
        <v>46577</v>
      </c>
      <c r="S10180" t="s">
        <v>46808</v>
      </c>
      <c r="T10180" t="s">
        <v>48328</v>
      </c>
      <c r="U10180" t="s">
        <v>56950</v>
      </c>
      <c r="W10180" t="s">
        <v>45651</v>
      </c>
      <c r="X10180" t="s">
        <v>46578</v>
      </c>
    </row>
    <row r="10181" spans="1:24">
      <c r="A10181">
        <f>HYPERLINK("https://www.philgeps.gov.ph/GEPSNONPILOT/Tender/SplashBidNoticeAbstractUI.aspx?menuIndex=3&amp;refID=7055522&amp;Result=3","7055522")</f>
        <v>0</v>
      </c>
      <c r="B10181" t="s">
        <v>2652</v>
      </c>
      <c r="C10181" t="s">
        <v>13169</v>
      </c>
      <c r="D10181" t="s">
        <v>18829</v>
      </c>
      <c r="E10181" t="s">
        <v>27711</v>
      </c>
      <c r="F10181" t="s">
        <v>32664</v>
      </c>
      <c r="G10181" t="s">
        <v>32672</v>
      </c>
      <c r="H10181" t="s">
        <v>32683</v>
      </c>
      <c r="I10181" t="s">
        <v>32733</v>
      </c>
      <c r="J10181" t="s">
        <v>32859</v>
      </c>
      <c r="K10181" t="s">
        <v>42305</v>
      </c>
      <c r="M10181" t="s">
        <v>45474</v>
      </c>
      <c r="N10181" t="s">
        <v>46569</v>
      </c>
      <c r="O10181" t="s">
        <v>46570</v>
      </c>
      <c r="P10181">
        <v>0</v>
      </c>
      <c r="Q10181">
        <v>5</v>
      </c>
      <c r="R10181" t="s">
        <v>46577</v>
      </c>
      <c r="S10181" t="s">
        <v>46808</v>
      </c>
      <c r="T10181" t="s">
        <v>48345</v>
      </c>
      <c r="U10181" t="s">
        <v>56951</v>
      </c>
      <c r="W10181" t="s">
        <v>45474</v>
      </c>
      <c r="X10181" t="s">
        <v>46578</v>
      </c>
    </row>
    <row r="10182" spans="1:24">
      <c r="A10182">
        <f>HYPERLINK("https://www.philgeps.gov.ph/GEPSNONPILOT/Tender/SplashBidNoticeAbstractUI.aspx?menuIndex=3&amp;refID=7055519&amp;Result=3","7055519")</f>
        <v>0</v>
      </c>
      <c r="B10182" t="s">
        <v>2786</v>
      </c>
      <c r="C10182" t="s">
        <v>13170</v>
      </c>
      <c r="D10182" t="s">
        <v>18823</v>
      </c>
      <c r="E10182" t="s">
        <v>19202</v>
      </c>
      <c r="F10182" t="s">
        <v>32665</v>
      </c>
      <c r="G10182" t="s">
        <v>32674</v>
      </c>
      <c r="H10182" t="s">
        <v>12635</v>
      </c>
      <c r="I10182" t="s">
        <v>6223</v>
      </c>
      <c r="J10182" t="s">
        <v>32976</v>
      </c>
      <c r="K10182" t="s">
        <v>42289</v>
      </c>
      <c r="M10182" t="s">
        <v>45628</v>
      </c>
      <c r="N10182" t="s">
        <v>46569</v>
      </c>
      <c r="O10182" t="s">
        <v>46570</v>
      </c>
      <c r="P10182">
        <v>0</v>
      </c>
      <c r="Q10182">
        <v>2</v>
      </c>
      <c r="R10182" t="s">
        <v>46577</v>
      </c>
      <c r="S10182" t="s">
        <v>46808</v>
      </c>
      <c r="T10182" t="s">
        <v>48254</v>
      </c>
      <c r="U10182" t="s">
        <v>56952</v>
      </c>
      <c r="W10182" t="s">
        <v>45628</v>
      </c>
      <c r="X10182" t="s">
        <v>46578</v>
      </c>
    </row>
    <row r="10183" spans="1:24">
      <c r="A10183">
        <f>HYPERLINK("https://www.philgeps.gov.ph/GEPSNONPILOT/Tender/SplashBidNoticeAbstractUI.aspx?menuIndex=3&amp;refID=7055518&amp;Result=3","7055518")</f>
        <v>0</v>
      </c>
      <c r="B10183" t="s">
        <v>2797</v>
      </c>
      <c r="C10183" t="s">
        <v>5814</v>
      </c>
      <c r="D10183" t="s">
        <v>18799</v>
      </c>
      <c r="E10183" t="s">
        <v>27712</v>
      </c>
      <c r="F10183" t="s">
        <v>32665</v>
      </c>
      <c r="G10183" t="s">
        <v>32671</v>
      </c>
      <c r="H10183" t="s">
        <v>12635</v>
      </c>
      <c r="I10183" t="s">
        <v>32770</v>
      </c>
      <c r="J10183" t="s">
        <v>38904</v>
      </c>
      <c r="K10183" t="s">
        <v>42283</v>
      </c>
      <c r="M10183" t="s">
        <v>45641</v>
      </c>
      <c r="N10183" t="s">
        <v>46569</v>
      </c>
      <c r="O10183" t="s">
        <v>46570</v>
      </c>
      <c r="P10183">
        <v>0</v>
      </c>
      <c r="Q10183">
        <v>1</v>
      </c>
      <c r="R10183" t="s">
        <v>46577</v>
      </c>
      <c r="S10183" t="s">
        <v>46808</v>
      </c>
      <c r="T10183" t="s">
        <v>48492</v>
      </c>
      <c r="U10183" t="s">
        <v>56953</v>
      </c>
      <c r="W10183" t="s">
        <v>45641</v>
      </c>
      <c r="X10183" t="s">
        <v>46578</v>
      </c>
    </row>
    <row r="10184" spans="1:24">
      <c r="A10184">
        <f>HYPERLINK("https://www.philgeps.gov.ph/GEPSNONPILOT/Tender/SplashBidNoticeAbstractUI.aspx?menuIndex=3&amp;refID=7055530&amp;Result=3","7055530")</f>
        <v>0</v>
      </c>
      <c r="B10184" t="s">
        <v>2567</v>
      </c>
      <c r="C10184" t="s">
        <v>13171</v>
      </c>
      <c r="D10184" t="s">
        <v>18784</v>
      </c>
      <c r="E10184" t="s">
        <v>27713</v>
      </c>
      <c r="F10184" t="s">
        <v>32664</v>
      </c>
      <c r="G10184" t="s">
        <v>32672</v>
      </c>
      <c r="H10184" t="s">
        <v>32683</v>
      </c>
      <c r="I10184" t="s">
        <v>10627</v>
      </c>
      <c r="J10184" t="s">
        <v>38905</v>
      </c>
      <c r="K10184" t="s">
        <v>42301</v>
      </c>
      <c r="M10184" t="s">
        <v>45378</v>
      </c>
      <c r="N10184" t="s">
        <v>46569</v>
      </c>
      <c r="O10184" t="s">
        <v>46570</v>
      </c>
      <c r="Q10184">
        <v>14</v>
      </c>
      <c r="R10184" t="s">
        <v>46577</v>
      </c>
      <c r="S10184" t="s">
        <v>46867</v>
      </c>
      <c r="T10184" t="s">
        <v>48313</v>
      </c>
      <c r="U10184" t="s">
        <v>55954</v>
      </c>
      <c r="W10184" t="s">
        <v>45378</v>
      </c>
      <c r="X10184" t="s">
        <v>46578</v>
      </c>
    </row>
    <row r="10185" spans="1:24">
      <c r="A10185">
        <f>HYPERLINK("https://www.philgeps.gov.ph/GEPSNONPILOT/Tender/SplashBidNoticeAbstractUI.aspx?menuIndex=3&amp;refID=7055515&amp;Result=3","7055515")</f>
        <v>0</v>
      </c>
      <c r="B10185" t="s">
        <v>891</v>
      </c>
      <c r="C10185" t="s">
        <v>13172</v>
      </c>
      <c r="D10185" t="s">
        <v>18830</v>
      </c>
      <c r="E10185" t="s">
        <v>27714</v>
      </c>
      <c r="F10185" t="s">
        <v>32664</v>
      </c>
      <c r="G10185" t="s">
        <v>32672</v>
      </c>
      <c r="H10185" t="s">
        <v>12635</v>
      </c>
      <c r="I10185" t="s">
        <v>32685</v>
      </c>
      <c r="J10185" t="s">
        <v>38906</v>
      </c>
      <c r="K10185" t="s">
        <v>42325</v>
      </c>
      <c r="M10185" t="s">
        <v>43494</v>
      </c>
      <c r="N10185" t="s">
        <v>46569</v>
      </c>
      <c r="O10185" t="s">
        <v>46570</v>
      </c>
      <c r="P10185">
        <v>0</v>
      </c>
      <c r="Q10185">
        <v>5</v>
      </c>
      <c r="R10185" t="s">
        <v>46577</v>
      </c>
      <c r="S10185" t="s">
        <v>46808</v>
      </c>
      <c r="T10185" t="s">
        <v>48284</v>
      </c>
      <c r="U10185" t="s">
        <v>56954</v>
      </c>
      <c r="W10185" t="s">
        <v>43494</v>
      </c>
      <c r="X10185" t="s">
        <v>46578</v>
      </c>
    </row>
    <row r="10186" spans="1:24">
      <c r="A10186">
        <f>HYPERLINK("https://www.philgeps.gov.ph/GEPSNONPILOT/Tender/SplashBidNoticeAbstractUI.aspx?menuIndex=3&amp;refID=7055362&amp;Result=3","7055362")</f>
        <v>0</v>
      </c>
      <c r="B10186" t="s">
        <v>146</v>
      </c>
      <c r="C10186" t="s">
        <v>13173</v>
      </c>
      <c r="E10186" t="s">
        <v>27715</v>
      </c>
      <c r="F10186" t="s">
        <v>32664</v>
      </c>
      <c r="G10186" t="s">
        <v>32672</v>
      </c>
      <c r="H10186" t="s">
        <v>12635</v>
      </c>
      <c r="I10186" t="s">
        <v>32698</v>
      </c>
      <c r="J10186" t="s">
        <v>38907</v>
      </c>
      <c r="K10186" t="s">
        <v>42281</v>
      </c>
      <c r="M10186" t="s">
        <v>45292</v>
      </c>
      <c r="N10186" t="s">
        <v>46569</v>
      </c>
      <c r="O10186" t="s">
        <v>46570</v>
      </c>
      <c r="Q10186">
        <v>1</v>
      </c>
      <c r="R10186" t="s">
        <v>46577</v>
      </c>
      <c r="S10186" t="s">
        <v>46868</v>
      </c>
      <c r="T10186" t="s">
        <v>48302</v>
      </c>
      <c r="U10186" t="s">
        <v>56955</v>
      </c>
      <c r="W10186" t="s">
        <v>45292</v>
      </c>
      <c r="X10186" t="s">
        <v>46578</v>
      </c>
    </row>
    <row r="10187" spans="1:24">
      <c r="A10187">
        <f>HYPERLINK("https://www.philgeps.gov.ph/GEPSNONPILOT/Tender/SplashBidNoticeAbstractUI.aspx?menuIndex=3&amp;refID=7055513&amp;Result=3","7055513")</f>
        <v>0</v>
      </c>
      <c r="B10187" t="s">
        <v>2652</v>
      </c>
      <c r="C10187" t="s">
        <v>13169</v>
      </c>
      <c r="D10187" t="s">
        <v>18829</v>
      </c>
      <c r="E10187" t="s">
        <v>27716</v>
      </c>
      <c r="F10187" t="s">
        <v>32664</v>
      </c>
      <c r="G10187" t="s">
        <v>32672</v>
      </c>
      <c r="H10187" t="s">
        <v>32683</v>
      </c>
      <c r="I10187" t="s">
        <v>32733</v>
      </c>
      <c r="J10187" t="s">
        <v>32943</v>
      </c>
      <c r="K10187" t="s">
        <v>42308</v>
      </c>
      <c r="M10187" t="s">
        <v>45474</v>
      </c>
      <c r="N10187" t="s">
        <v>46569</v>
      </c>
      <c r="O10187" t="s">
        <v>46570</v>
      </c>
      <c r="P10187">
        <v>0</v>
      </c>
      <c r="Q10187">
        <v>7</v>
      </c>
      <c r="R10187" t="s">
        <v>46577</v>
      </c>
      <c r="S10187" t="s">
        <v>46808</v>
      </c>
      <c r="T10187" t="s">
        <v>48345</v>
      </c>
      <c r="U10187" t="s">
        <v>56956</v>
      </c>
      <c r="W10187" t="s">
        <v>45474</v>
      </c>
      <c r="X10187" t="s">
        <v>46578</v>
      </c>
    </row>
    <row r="10188" spans="1:24">
      <c r="A10188">
        <f>HYPERLINK("https://www.philgeps.gov.ph/GEPSNONPILOT/Tender/SplashBidNoticeAbstractUI.aspx?menuIndex=3&amp;refID=7055510&amp;Result=3","7055510")</f>
        <v>0</v>
      </c>
      <c r="B10188" t="s">
        <v>2813</v>
      </c>
      <c r="C10188" t="s">
        <v>13174</v>
      </c>
      <c r="E10188" t="s">
        <v>27717</v>
      </c>
      <c r="F10188" t="s">
        <v>32665</v>
      </c>
      <c r="G10188" t="s">
        <v>32678</v>
      </c>
      <c r="H10188" t="s">
        <v>32681</v>
      </c>
      <c r="I10188" t="s">
        <v>32681</v>
      </c>
      <c r="J10188" t="s">
        <v>38708</v>
      </c>
      <c r="K10188" t="s">
        <v>42501</v>
      </c>
      <c r="M10188" t="s">
        <v>45657</v>
      </c>
      <c r="N10188" t="s">
        <v>46569</v>
      </c>
      <c r="O10188" t="s">
        <v>46570</v>
      </c>
      <c r="P10188">
        <v>0</v>
      </c>
      <c r="Q10188">
        <v>4</v>
      </c>
      <c r="R10188" t="s">
        <v>46577</v>
      </c>
      <c r="S10188" t="s">
        <v>46808</v>
      </c>
      <c r="T10188" t="s">
        <v>48653</v>
      </c>
      <c r="U10188" t="s">
        <v>56957</v>
      </c>
      <c r="V10188" t="s">
        <v>62692</v>
      </c>
      <c r="W10188" t="s">
        <v>45657</v>
      </c>
      <c r="X10188" t="s">
        <v>46578</v>
      </c>
    </row>
    <row r="10189" spans="1:24">
      <c r="A10189">
        <f>HYPERLINK("https://www.philgeps.gov.ph/GEPSNONPILOT/Tender/SplashBidNoticeAbstractUI.aspx?menuIndex=3&amp;refID=7055521&amp;Result=3","7055521")</f>
        <v>0</v>
      </c>
      <c r="B10189" t="s">
        <v>2814</v>
      </c>
      <c r="C10189" t="s">
        <v>13175</v>
      </c>
      <c r="D10189" t="s">
        <v>18814</v>
      </c>
      <c r="E10189" t="s">
        <v>22102</v>
      </c>
      <c r="F10189" t="s">
        <v>32665</v>
      </c>
      <c r="G10189" t="s">
        <v>32675</v>
      </c>
      <c r="H10189" t="s">
        <v>12635</v>
      </c>
      <c r="I10189" t="s">
        <v>32690</v>
      </c>
      <c r="J10189" t="s">
        <v>38908</v>
      </c>
      <c r="K10189" t="s">
        <v>42306</v>
      </c>
      <c r="L10189" t="s">
        <v>2814</v>
      </c>
      <c r="M10189" t="s">
        <v>45658</v>
      </c>
      <c r="N10189" t="s">
        <v>46569</v>
      </c>
      <c r="O10189" t="s">
        <v>46570</v>
      </c>
      <c r="P10189">
        <v>0</v>
      </c>
      <c r="Q10189">
        <v>0</v>
      </c>
      <c r="R10189" t="s">
        <v>46577</v>
      </c>
      <c r="S10189" t="s">
        <v>46808</v>
      </c>
      <c r="T10189" t="s">
        <v>48219</v>
      </c>
      <c r="U10189" t="s">
        <v>56958</v>
      </c>
      <c r="W10189" t="s">
        <v>45658</v>
      </c>
      <c r="X10189" t="s">
        <v>46578</v>
      </c>
    </row>
    <row r="10190" spans="1:24">
      <c r="A10190">
        <f>HYPERLINK("https://www.philgeps.gov.ph/GEPSNONPILOT/Tender/SplashBidNoticeAbstractUI.aspx?menuIndex=3&amp;refID=7055509&amp;Result=3","7055509")</f>
        <v>0</v>
      </c>
      <c r="B10190" t="s">
        <v>2652</v>
      </c>
      <c r="C10190" t="s">
        <v>13169</v>
      </c>
      <c r="D10190" t="s">
        <v>18829</v>
      </c>
      <c r="E10190" t="s">
        <v>27718</v>
      </c>
      <c r="F10190" t="s">
        <v>32664</v>
      </c>
      <c r="G10190" t="s">
        <v>32672</v>
      </c>
      <c r="H10190" t="s">
        <v>32683</v>
      </c>
      <c r="I10190" t="s">
        <v>32733</v>
      </c>
      <c r="J10190" t="s">
        <v>33150</v>
      </c>
      <c r="K10190" t="s">
        <v>42308</v>
      </c>
      <c r="M10190" t="s">
        <v>45474</v>
      </c>
      <c r="N10190" t="s">
        <v>46569</v>
      </c>
      <c r="O10190" t="s">
        <v>46570</v>
      </c>
      <c r="P10190">
        <v>0</v>
      </c>
      <c r="Q10190">
        <v>7</v>
      </c>
      <c r="R10190" t="s">
        <v>46577</v>
      </c>
      <c r="S10190" t="s">
        <v>46808</v>
      </c>
      <c r="T10190" t="s">
        <v>48345</v>
      </c>
      <c r="U10190" t="s">
        <v>56959</v>
      </c>
      <c r="W10190" t="s">
        <v>45474</v>
      </c>
      <c r="X10190" t="s">
        <v>46578</v>
      </c>
    </row>
    <row r="10191" spans="1:24">
      <c r="A10191">
        <f>HYPERLINK("https://www.philgeps.gov.ph/GEPSNONPILOT/Tender/SplashBidNoticeAbstractUI.aspx?menuIndex=3&amp;refID=7055502&amp;Result=3","7055502")</f>
        <v>0</v>
      </c>
      <c r="B10191" t="s">
        <v>2567</v>
      </c>
      <c r="C10191" t="s">
        <v>13176</v>
      </c>
      <c r="D10191" t="s">
        <v>18784</v>
      </c>
      <c r="E10191" t="s">
        <v>27719</v>
      </c>
      <c r="F10191" t="s">
        <v>32664</v>
      </c>
      <c r="G10191" t="s">
        <v>32672</v>
      </c>
      <c r="H10191" t="s">
        <v>32683</v>
      </c>
      <c r="I10191" t="s">
        <v>10627</v>
      </c>
      <c r="J10191" t="s">
        <v>38909</v>
      </c>
      <c r="K10191" t="s">
        <v>42327</v>
      </c>
      <c r="M10191" t="s">
        <v>45378</v>
      </c>
      <c r="N10191" t="s">
        <v>46569</v>
      </c>
      <c r="O10191" t="s">
        <v>46570</v>
      </c>
      <c r="Q10191">
        <v>18</v>
      </c>
      <c r="R10191" t="s">
        <v>46577</v>
      </c>
      <c r="S10191" t="s">
        <v>46869</v>
      </c>
      <c r="T10191" t="s">
        <v>48313</v>
      </c>
      <c r="U10191" t="s">
        <v>55954</v>
      </c>
      <c r="W10191" t="s">
        <v>45378</v>
      </c>
      <c r="X10191" t="s">
        <v>46578</v>
      </c>
    </row>
    <row r="10192" spans="1:24">
      <c r="A10192">
        <f>HYPERLINK("https://www.philgeps.gov.ph/GEPSNONPILOT/Tender/SplashBidNoticeAbstractUI.aspx?menuIndex=3&amp;refID=7055508&amp;Result=3","7055508")</f>
        <v>0</v>
      </c>
      <c r="B10192" t="s">
        <v>2567</v>
      </c>
      <c r="C10192" t="s">
        <v>13177</v>
      </c>
      <c r="D10192" t="s">
        <v>18784</v>
      </c>
      <c r="E10192" t="s">
        <v>27720</v>
      </c>
      <c r="F10192" t="s">
        <v>32664</v>
      </c>
      <c r="G10192" t="s">
        <v>32672</v>
      </c>
      <c r="H10192" t="s">
        <v>32683</v>
      </c>
      <c r="I10192" t="s">
        <v>10627</v>
      </c>
      <c r="J10192" t="s">
        <v>38910</v>
      </c>
      <c r="K10192" t="s">
        <v>42397</v>
      </c>
      <c r="M10192" t="s">
        <v>45378</v>
      </c>
      <c r="N10192" t="s">
        <v>46569</v>
      </c>
      <c r="O10192" t="s">
        <v>46570</v>
      </c>
      <c r="Q10192">
        <v>15</v>
      </c>
      <c r="R10192" t="s">
        <v>46577</v>
      </c>
      <c r="S10192" t="s">
        <v>46870</v>
      </c>
      <c r="T10192" t="s">
        <v>48313</v>
      </c>
      <c r="U10192" t="s">
        <v>55954</v>
      </c>
      <c r="W10192" t="s">
        <v>45378</v>
      </c>
      <c r="X10192" t="s">
        <v>46578</v>
      </c>
    </row>
    <row r="10193" spans="1:24">
      <c r="A10193">
        <f>HYPERLINK("https://www.philgeps.gov.ph/GEPSNONPILOT/Tender/SplashBidNoticeAbstractUI.aspx?menuIndex=3&amp;refID=7055479&amp;Result=3","7055479")</f>
        <v>0</v>
      </c>
      <c r="B10193" t="s">
        <v>2800</v>
      </c>
      <c r="C10193" t="s">
        <v>13178</v>
      </c>
      <c r="D10193" t="s">
        <v>18818</v>
      </c>
      <c r="E10193" t="s">
        <v>27721</v>
      </c>
      <c r="F10193" t="s">
        <v>32664</v>
      </c>
      <c r="G10193" t="s">
        <v>32672</v>
      </c>
      <c r="H10193" t="s">
        <v>12635</v>
      </c>
      <c r="I10193" t="s">
        <v>6118</v>
      </c>
      <c r="J10193" t="s">
        <v>38893</v>
      </c>
      <c r="K10193" t="s">
        <v>42283</v>
      </c>
      <c r="M10193" t="s">
        <v>45644</v>
      </c>
      <c r="N10193" t="s">
        <v>46569</v>
      </c>
      <c r="O10193" t="s">
        <v>46570</v>
      </c>
      <c r="P10193">
        <v>0</v>
      </c>
      <c r="Q10193">
        <v>0</v>
      </c>
      <c r="R10193" t="s">
        <v>46577</v>
      </c>
      <c r="S10193" t="s">
        <v>46808</v>
      </c>
      <c r="T10193" t="s">
        <v>48580</v>
      </c>
      <c r="U10193" t="s">
        <v>56960</v>
      </c>
      <c r="W10193" t="s">
        <v>45644</v>
      </c>
      <c r="X10193" t="s">
        <v>46578</v>
      </c>
    </row>
    <row r="10194" spans="1:24">
      <c r="A10194">
        <f>HYPERLINK("https://www.philgeps.gov.ph/GEPSNONPILOT/Tender/SplashBidNoticeAbstractUI.aspx?menuIndex=3&amp;refID=7055506&amp;Result=3","7055506")</f>
        <v>0</v>
      </c>
      <c r="B10194" t="s">
        <v>2265</v>
      </c>
      <c r="C10194" t="s">
        <v>13179</v>
      </c>
      <c r="D10194" t="s">
        <v>18799</v>
      </c>
      <c r="E10194" t="s">
        <v>19615</v>
      </c>
      <c r="F10194" t="s">
        <v>32664</v>
      </c>
      <c r="G10194" t="s">
        <v>32674</v>
      </c>
      <c r="H10194" t="s">
        <v>12635</v>
      </c>
      <c r="I10194" t="s">
        <v>6168</v>
      </c>
      <c r="J10194" t="s">
        <v>38911</v>
      </c>
      <c r="K10194" t="s">
        <v>42297</v>
      </c>
      <c r="M10194" t="s">
        <v>45031</v>
      </c>
      <c r="N10194" t="s">
        <v>46569</v>
      </c>
      <c r="O10194" t="s">
        <v>46570</v>
      </c>
      <c r="P10194">
        <v>0</v>
      </c>
      <c r="Q10194">
        <v>2</v>
      </c>
      <c r="R10194" t="s">
        <v>46577</v>
      </c>
      <c r="S10194" t="s">
        <v>46808</v>
      </c>
      <c r="T10194" t="s">
        <v>48254</v>
      </c>
      <c r="U10194" t="s">
        <v>49565</v>
      </c>
      <c r="W10194" t="s">
        <v>45031</v>
      </c>
      <c r="X10194" t="s">
        <v>46578</v>
      </c>
    </row>
    <row r="10195" spans="1:24">
      <c r="A10195">
        <f>HYPERLINK("https://www.philgeps.gov.ph/GEPSNONPILOT/Tender/SplashBidNoticeAbstractUI.aspx?menuIndex=3&amp;refID=7055496&amp;Result=3","7055496")</f>
        <v>0</v>
      </c>
      <c r="B10195" t="s">
        <v>2652</v>
      </c>
      <c r="C10195" t="s">
        <v>13169</v>
      </c>
      <c r="D10195" t="s">
        <v>18829</v>
      </c>
      <c r="E10195" t="s">
        <v>27722</v>
      </c>
      <c r="F10195" t="s">
        <v>32664</v>
      </c>
      <c r="G10195" t="s">
        <v>32672</v>
      </c>
      <c r="H10195" t="s">
        <v>32683</v>
      </c>
      <c r="I10195" t="s">
        <v>32733</v>
      </c>
      <c r="J10195" t="s">
        <v>32962</v>
      </c>
      <c r="K10195" t="s">
        <v>42311</v>
      </c>
      <c r="M10195" t="s">
        <v>45474</v>
      </c>
      <c r="N10195" t="s">
        <v>46569</v>
      </c>
      <c r="O10195" t="s">
        <v>46570</v>
      </c>
      <c r="P10195">
        <v>0</v>
      </c>
      <c r="Q10195">
        <v>6</v>
      </c>
      <c r="R10195" t="s">
        <v>46577</v>
      </c>
      <c r="S10195" t="s">
        <v>46808</v>
      </c>
      <c r="T10195" t="s">
        <v>48345</v>
      </c>
      <c r="U10195" t="s">
        <v>56961</v>
      </c>
      <c r="W10195" t="s">
        <v>45474</v>
      </c>
      <c r="X10195" t="s">
        <v>46578</v>
      </c>
    </row>
    <row r="10196" spans="1:24">
      <c r="A10196">
        <f>HYPERLINK("https://www.philgeps.gov.ph/GEPSNONPILOT/Tender/SplashBidNoticeAbstractUI.aspx?menuIndex=3&amp;refID=7055517&amp;Result=3","7055517")</f>
        <v>0</v>
      </c>
      <c r="B10196" t="s">
        <v>2567</v>
      </c>
      <c r="C10196" t="s">
        <v>13180</v>
      </c>
      <c r="D10196" t="s">
        <v>18784</v>
      </c>
      <c r="E10196" t="s">
        <v>27723</v>
      </c>
      <c r="F10196" t="s">
        <v>32664</v>
      </c>
      <c r="G10196" t="s">
        <v>32672</v>
      </c>
      <c r="H10196" t="s">
        <v>32683</v>
      </c>
      <c r="I10196" t="s">
        <v>10627</v>
      </c>
      <c r="J10196" t="s">
        <v>38912</v>
      </c>
      <c r="K10196" t="s">
        <v>42285</v>
      </c>
      <c r="M10196" t="s">
        <v>45378</v>
      </c>
      <c r="N10196" t="s">
        <v>46569</v>
      </c>
      <c r="O10196" t="s">
        <v>46570</v>
      </c>
      <c r="Q10196">
        <v>14</v>
      </c>
      <c r="R10196" t="s">
        <v>46577</v>
      </c>
      <c r="S10196" t="s">
        <v>46871</v>
      </c>
      <c r="T10196" t="s">
        <v>48313</v>
      </c>
      <c r="U10196" t="s">
        <v>55954</v>
      </c>
      <c r="W10196" t="s">
        <v>45378</v>
      </c>
      <c r="X10196" t="s">
        <v>46578</v>
      </c>
    </row>
    <row r="10197" spans="1:24">
      <c r="A10197">
        <f>HYPERLINK("https://www.philgeps.gov.ph/GEPSNONPILOT/Tender/SplashBidNoticeAbstractUI.aspx?menuIndex=3&amp;refID=7055457&amp;Result=3","7055457")</f>
        <v>0</v>
      </c>
      <c r="B10197" t="s">
        <v>629</v>
      </c>
      <c r="C10197" t="s">
        <v>13181</v>
      </c>
      <c r="D10197" t="s">
        <v>18782</v>
      </c>
      <c r="E10197" t="s">
        <v>27724</v>
      </c>
      <c r="F10197" t="s">
        <v>32664</v>
      </c>
      <c r="G10197" t="s">
        <v>32674</v>
      </c>
      <c r="H10197" t="s">
        <v>12635</v>
      </c>
      <c r="I10197" t="s">
        <v>10370</v>
      </c>
      <c r="J10197" t="s">
        <v>38913</v>
      </c>
      <c r="K10197" t="s">
        <v>42283</v>
      </c>
      <c r="M10197" t="s">
        <v>43211</v>
      </c>
      <c r="N10197" t="s">
        <v>46569</v>
      </c>
      <c r="O10197" t="s">
        <v>46570</v>
      </c>
      <c r="P10197">
        <v>0</v>
      </c>
      <c r="Q10197">
        <v>5</v>
      </c>
      <c r="R10197" t="s">
        <v>46577</v>
      </c>
      <c r="S10197" t="s">
        <v>46808</v>
      </c>
      <c r="T10197" t="s">
        <v>48449</v>
      </c>
      <c r="U10197" t="s">
        <v>56962</v>
      </c>
      <c r="W10197" t="s">
        <v>43211</v>
      </c>
      <c r="X10197" t="s">
        <v>46578</v>
      </c>
    </row>
    <row r="10198" spans="1:24">
      <c r="A10198">
        <f>HYPERLINK("https://www.philgeps.gov.ph/GEPSNONPILOT/Tender/SplashBidNoticeAbstractUI.aspx?menuIndex=3&amp;refID=7055453&amp;Result=3","7055453")</f>
        <v>0</v>
      </c>
      <c r="B10198" t="s">
        <v>2800</v>
      </c>
      <c r="C10198" t="s">
        <v>13182</v>
      </c>
      <c r="D10198" t="s">
        <v>18818</v>
      </c>
      <c r="E10198" t="s">
        <v>27725</v>
      </c>
      <c r="F10198" t="s">
        <v>32664</v>
      </c>
      <c r="G10198" t="s">
        <v>32672</v>
      </c>
      <c r="H10198" t="s">
        <v>12635</v>
      </c>
      <c r="I10198" t="s">
        <v>32685</v>
      </c>
      <c r="J10198" t="s">
        <v>38914</v>
      </c>
      <c r="K10198" t="s">
        <v>42283</v>
      </c>
      <c r="M10198" t="s">
        <v>45644</v>
      </c>
      <c r="N10198" t="s">
        <v>46569</v>
      </c>
      <c r="O10198" t="s">
        <v>46570</v>
      </c>
      <c r="P10198">
        <v>0</v>
      </c>
      <c r="Q10198">
        <v>1</v>
      </c>
      <c r="R10198" t="s">
        <v>46577</v>
      </c>
      <c r="S10198" t="s">
        <v>46808</v>
      </c>
      <c r="T10198" t="s">
        <v>48580</v>
      </c>
      <c r="U10198" t="s">
        <v>56963</v>
      </c>
      <c r="W10198" t="s">
        <v>45644</v>
      </c>
      <c r="X10198" t="s">
        <v>46578</v>
      </c>
    </row>
    <row r="10199" spans="1:24">
      <c r="A10199">
        <f>HYPERLINK("https://www.philgeps.gov.ph/GEPSNONPILOT/Tender/SplashBidNoticeAbstractUI.aspx?menuIndex=3&amp;refID=7055338&amp;Result=3","7055338")</f>
        <v>0</v>
      </c>
      <c r="B10199" t="s">
        <v>1738</v>
      </c>
      <c r="C10199" t="s">
        <v>13183</v>
      </c>
      <c r="D10199" t="s">
        <v>18785</v>
      </c>
      <c r="E10199" t="s">
        <v>27726</v>
      </c>
      <c r="F10199" t="s">
        <v>32664</v>
      </c>
      <c r="G10199" t="s">
        <v>32674</v>
      </c>
      <c r="H10199" t="s">
        <v>12635</v>
      </c>
      <c r="I10199" t="s">
        <v>6628</v>
      </c>
      <c r="J10199" t="s">
        <v>38915</v>
      </c>
      <c r="K10199" t="s">
        <v>42281</v>
      </c>
      <c r="L10199" t="s">
        <v>1738</v>
      </c>
      <c r="M10199" t="s">
        <v>44437</v>
      </c>
      <c r="N10199" t="s">
        <v>46569</v>
      </c>
      <c r="O10199" t="s">
        <v>46570</v>
      </c>
      <c r="P10199">
        <v>0</v>
      </c>
      <c r="Q10199">
        <v>6</v>
      </c>
      <c r="R10199" t="s">
        <v>46577</v>
      </c>
      <c r="S10199" t="s">
        <v>46808</v>
      </c>
      <c r="T10199" t="s">
        <v>48316</v>
      </c>
      <c r="U10199" t="s">
        <v>56964</v>
      </c>
      <c r="W10199" t="s">
        <v>44437</v>
      </c>
      <c r="X10199" t="s">
        <v>46578</v>
      </c>
    </row>
    <row r="10200" spans="1:24">
      <c r="A10200">
        <f>HYPERLINK("https://www.philgeps.gov.ph/GEPSNONPILOT/Tender/SplashBidNoticeAbstractUI.aspx?menuIndex=3&amp;refID=7055574&amp;Result=3","7055574")</f>
        <v>0</v>
      </c>
      <c r="B10200" t="s">
        <v>2193</v>
      </c>
      <c r="C10200" t="s">
        <v>13184</v>
      </c>
      <c r="D10200" t="s">
        <v>18782</v>
      </c>
      <c r="E10200" t="s">
        <v>27727</v>
      </c>
      <c r="F10200" t="s">
        <v>32664</v>
      </c>
      <c r="G10200" t="s">
        <v>32672</v>
      </c>
      <c r="H10200" t="s">
        <v>32683</v>
      </c>
      <c r="I10200" t="s">
        <v>10627</v>
      </c>
      <c r="J10200" t="s">
        <v>32853</v>
      </c>
      <c r="K10200" t="s">
        <v>42284</v>
      </c>
      <c r="M10200" t="s">
        <v>44955</v>
      </c>
      <c r="N10200" t="s">
        <v>46569</v>
      </c>
      <c r="O10200" t="s">
        <v>46570</v>
      </c>
      <c r="P10200">
        <v>0</v>
      </c>
      <c r="Q10200">
        <v>0</v>
      </c>
      <c r="R10200" t="s">
        <v>46577</v>
      </c>
      <c r="S10200" t="s">
        <v>46808</v>
      </c>
      <c r="T10200" t="s">
        <v>48287</v>
      </c>
      <c r="U10200" t="s">
        <v>56965</v>
      </c>
      <c r="W10200" t="s">
        <v>44955</v>
      </c>
      <c r="X10200" t="s">
        <v>46578</v>
      </c>
    </row>
    <row r="10201" spans="1:24">
      <c r="A10201">
        <f>HYPERLINK("https://www.philgeps.gov.ph/GEPSNONPILOT/Tender/SplashBidNoticeAbstractUI.aspx?menuIndex=3&amp;refID=7055490&amp;Result=3","7055490")</f>
        <v>0</v>
      </c>
      <c r="B10201" t="s">
        <v>2815</v>
      </c>
      <c r="C10201" t="s">
        <v>13185</v>
      </c>
      <c r="D10201" t="s">
        <v>18781</v>
      </c>
      <c r="E10201" t="s">
        <v>18926</v>
      </c>
      <c r="F10201" t="s">
        <v>32664</v>
      </c>
      <c r="G10201" t="s">
        <v>32672</v>
      </c>
      <c r="H10201" t="s">
        <v>12635</v>
      </c>
      <c r="I10201" t="s">
        <v>7429</v>
      </c>
      <c r="J10201" t="s">
        <v>32976</v>
      </c>
      <c r="K10201" t="s">
        <v>42283</v>
      </c>
      <c r="M10201" t="s">
        <v>45659</v>
      </c>
      <c r="N10201" t="s">
        <v>46569</v>
      </c>
      <c r="O10201" t="s">
        <v>46570</v>
      </c>
      <c r="P10201">
        <v>0</v>
      </c>
      <c r="Q10201">
        <v>1</v>
      </c>
      <c r="R10201" t="s">
        <v>46577</v>
      </c>
      <c r="S10201" t="s">
        <v>46808</v>
      </c>
      <c r="T10201" t="s">
        <v>48287</v>
      </c>
      <c r="U10201" t="s">
        <v>56966</v>
      </c>
      <c r="W10201" t="s">
        <v>45659</v>
      </c>
      <c r="X10201" t="s">
        <v>46578</v>
      </c>
    </row>
    <row r="10202" spans="1:24">
      <c r="A10202">
        <f>HYPERLINK("https://www.philgeps.gov.ph/GEPSNONPILOT/Tender/SplashBidNoticeAbstractUI.aspx?menuIndex=3&amp;refID=7055571&amp;Result=3","7055571")</f>
        <v>0</v>
      </c>
      <c r="B10202" t="s">
        <v>2193</v>
      </c>
      <c r="C10202" t="s">
        <v>13186</v>
      </c>
      <c r="D10202" t="s">
        <v>18782</v>
      </c>
      <c r="E10202" t="s">
        <v>27728</v>
      </c>
      <c r="F10202" t="s">
        <v>32664</v>
      </c>
      <c r="G10202" t="s">
        <v>32672</v>
      </c>
      <c r="H10202" t="s">
        <v>32683</v>
      </c>
      <c r="I10202" t="s">
        <v>10627</v>
      </c>
      <c r="J10202" t="s">
        <v>32853</v>
      </c>
      <c r="K10202" t="s">
        <v>42355</v>
      </c>
      <c r="M10202" t="s">
        <v>44955</v>
      </c>
      <c r="N10202" t="s">
        <v>46569</v>
      </c>
      <c r="O10202" t="s">
        <v>46570</v>
      </c>
      <c r="P10202">
        <v>0</v>
      </c>
      <c r="Q10202">
        <v>0</v>
      </c>
      <c r="R10202" t="s">
        <v>46577</v>
      </c>
      <c r="S10202" t="s">
        <v>46808</v>
      </c>
      <c r="T10202" t="s">
        <v>48287</v>
      </c>
      <c r="U10202" t="s">
        <v>56967</v>
      </c>
      <c r="W10202" t="s">
        <v>44955</v>
      </c>
      <c r="X10202" t="s">
        <v>46578</v>
      </c>
    </row>
    <row r="10203" spans="1:24">
      <c r="A10203">
        <f>HYPERLINK("https://www.philgeps.gov.ph/GEPSNONPILOT/Tender/SplashBidNoticeAbstractUI.aspx?menuIndex=3&amp;refID=7055580&amp;Result=3","7055580")</f>
        <v>0</v>
      </c>
      <c r="B10203" t="s">
        <v>2816</v>
      </c>
      <c r="C10203" t="s">
        <v>13187</v>
      </c>
      <c r="D10203" t="s">
        <v>18802</v>
      </c>
      <c r="E10203" t="s">
        <v>27729</v>
      </c>
      <c r="F10203" t="s">
        <v>32664</v>
      </c>
      <c r="G10203" t="s">
        <v>32672</v>
      </c>
      <c r="H10203" t="s">
        <v>12635</v>
      </c>
      <c r="I10203" t="s">
        <v>32700</v>
      </c>
      <c r="J10203" t="s">
        <v>32865</v>
      </c>
      <c r="K10203" t="s">
        <v>42289</v>
      </c>
      <c r="M10203" t="s">
        <v>45660</v>
      </c>
      <c r="N10203" t="s">
        <v>46569</v>
      </c>
      <c r="O10203" t="s">
        <v>46570</v>
      </c>
      <c r="P10203">
        <v>0</v>
      </c>
      <c r="Q10203">
        <v>3</v>
      </c>
      <c r="R10203" t="s">
        <v>46577</v>
      </c>
      <c r="S10203" t="s">
        <v>46808</v>
      </c>
      <c r="T10203" t="s">
        <v>48244</v>
      </c>
      <c r="U10203" t="s">
        <v>56968</v>
      </c>
      <c r="V10203" t="s">
        <v>62693</v>
      </c>
      <c r="W10203" t="s">
        <v>45660</v>
      </c>
      <c r="X10203" t="s">
        <v>46578</v>
      </c>
    </row>
    <row r="10204" spans="1:24">
      <c r="A10204">
        <f>HYPERLINK("https://www.philgeps.gov.ph/GEPSNONPILOT/Tender/SplashBidNoticeAbstractUI.aspx?menuIndex=3&amp;refID=7055311&amp;Result=3","7055311")</f>
        <v>0</v>
      </c>
      <c r="B10204" t="s">
        <v>2523</v>
      </c>
      <c r="C10204" t="s">
        <v>13188</v>
      </c>
      <c r="D10204" t="s">
        <v>18789</v>
      </c>
      <c r="E10204" t="s">
        <v>27730</v>
      </c>
      <c r="F10204" t="s">
        <v>32664</v>
      </c>
      <c r="G10204" t="s">
        <v>32672</v>
      </c>
      <c r="H10204" t="s">
        <v>32683</v>
      </c>
      <c r="I10204" t="s">
        <v>10627</v>
      </c>
      <c r="J10204" t="s">
        <v>38853</v>
      </c>
      <c r="K10204" t="s">
        <v>42311</v>
      </c>
      <c r="M10204" t="s">
        <v>45632</v>
      </c>
      <c r="N10204" t="s">
        <v>46569</v>
      </c>
      <c r="O10204" t="s">
        <v>46570</v>
      </c>
      <c r="P10204">
        <v>0</v>
      </c>
      <c r="Q10204">
        <v>0</v>
      </c>
      <c r="R10204" t="s">
        <v>46577</v>
      </c>
      <c r="S10204" t="s">
        <v>46808</v>
      </c>
      <c r="T10204" t="s">
        <v>48362</v>
      </c>
      <c r="U10204" t="s">
        <v>56872</v>
      </c>
      <c r="W10204" t="s">
        <v>45632</v>
      </c>
      <c r="X10204" t="s">
        <v>46578</v>
      </c>
    </row>
    <row r="10205" spans="1:24">
      <c r="A10205">
        <f>HYPERLINK("https://www.philgeps.gov.ph/GEPSNONPILOT/Tender/SplashBidNoticeAbstractUI.aspx?menuIndex=3&amp;refID=7055307&amp;Result=3","7055307")</f>
        <v>0</v>
      </c>
      <c r="B10205" t="s">
        <v>1946</v>
      </c>
      <c r="C10205" t="s">
        <v>13189</v>
      </c>
      <c r="D10205" t="s">
        <v>18843</v>
      </c>
      <c r="E10205" t="s">
        <v>27731</v>
      </c>
      <c r="F10205" t="s">
        <v>32664</v>
      </c>
      <c r="G10205" t="s">
        <v>32672</v>
      </c>
      <c r="H10205" t="s">
        <v>32683</v>
      </c>
      <c r="I10205" t="s">
        <v>10627</v>
      </c>
      <c r="J10205" t="s">
        <v>38864</v>
      </c>
      <c r="K10205" t="s">
        <v>42484</v>
      </c>
      <c r="M10205" t="s">
        <v>44673</v>
      </c>
      <c r="N10205" t="s">
        <v>46569</v>
      </c>
      <c r="O10205" t="s">
        <v>46570</v>
      </c>
      <c r="P10205">
        <v>0</v>
      </c>
      <c r="Q10205">
        <v>0</v>
      </c>
      <c r="R10205" t="s">
        <v>46577</v>
      </c>
      <c r="S10205" t="s">
        <v>46808</v>
      </c>
      <c r="T10205" t="s">
        <v>48305</v>
      </c>
      <c r="U10205" t="s">
        <v>56900</v>
      </c>
      <c r="W10205" t="s">
        <v>44673</v>
      </c>
      <c r="X10205" t="s">
        <v>46578</v>
      </c>
    </row>
    <row r="10206" spans="1:24">
      <c r="A10206">
        <f>HYPERLINK("https://www.philgeps.gov.ph/GEPSNONPILOT/Tender/SplashBidNoticeAbstractUI.aspx?menuIndex=3&amp;refID=7055504&amp;Result=3","7055504")</f>
        <v>0</v>
      </c>
      <c r="B10206" t="s">
        <v>2652</v>
      </c>
      <c r="C10206" t="s">
        <v>13169</v>
      </c>
      <c r="D10206" t="s">
        <v>18829</v>
      </c>
      <c r="E10206" t="s">
        <v>27732</v>
      </c>
      <c r="F10206" t="s">
        <v>32664</v>
      </c>
      <c r="G10206" t="s">
        <v>32672</v>
      </c>
      <c r="H10206" t="s">
        <v>32683</v>
      </c>
      <c r="I10206" t="s">
        <v>32733</v>
      </c>
      <c r="J10206" t="s">
        <v>32943</v>
      </c>
      <c r="K10206" t="s">
        <v>42290</v>
      </c>
      <c r="M10206" t="s">
        <v>45474</v>
      </c>
      <c r="N10206" t="s">
        <v>46569</v>
      </c>
      <c r="O10206" t="s">
        <v>46570</v>
      </c>
      <c r="P10206">
        <v>0</v>
      </c>
      <c r="Q10206">
        <v>7</v>
      </c>
      <c r="R10206" t="s">
        <v>46577</v>
      </c>
      <c r="S10206" t="s">
        <v>46808</v>
      </c>
      <c r="T10206" t="s">
        <v>48345</v>
      </c>
      <c r="U10206" t="s">
        <v>56969</v>
      </c>
      <c r="W10206" t="s">
        <v>45474</v>
      </c>
      <c r="X10206" t="s">
        <v>46578</v>
      </c>
    </row>
    <row r="10207" spans="1:24">
      <c r="A10207">
        <f>HYPERLINK("https://www.philgeps.gov.ph/GEPSNONPILOT/Tender/SplashBidNoticeAbstractUI.aspx?menuIndex=3&amp;refID=7055575&amp;Result=3","7055575")</f>
        <v>0</v>
      </c>
      <c r="B10207" t="s">
        <v>2816</v>
      </c>
      <c r="C10207" t="s">
        <v>13190</v>
      </c>
      <c r="D10207" t="s">
        <v>18802</v>
      </c>
      <c r="E10207" t="s">
        <v>27733</v>
      </c>
      <c r="F10207" t="s">
        <v>32664</v>
      </c>
      <c r="G10207" t="s">
        <v>32672</v>
      </c>
      <c r="H10207" t="s">
        <v>12635</v>
      </c>
      <c r="I10207" t="s">
        <v>32688</v>
      </c>
      <c r="J10207" t="s">
        <v>38916</v>
      </c>
      <c r="K10207" t="s">
        <v>42289</v>
      </c>
      <c r="M10207" t="s">
        <v>45660</v>
      </c>
      <c r="N10207" t="s">
        <v>46569</v>
      </c>
      <c r="O10207" t="s">
        <v>46570</v>
      </c>
      <c r="P10207">
        <v>0</v>
      </c>
      <c r="Q10207">
        <v>7</v>
      </c>
      <c r="R10207" t="s">
        <v>46577</v>
      </c>
      <c r="S10207" t="s">
        <v>46808</v>
      </c>
      <c r="T10207" t="s">
        <v>48228</v>
      </c>
      <c r="U10207" t="s">
        <v>56970</v>
      </c>
      <c r="V10207" t="s">
        <v>62694</v>
      </c>
      <c r="W10207" t="s">
        <v>45660</v>
      </c>
      <c r="X10207" t="s">
        <v>46578</v>
      </c>
    </row>
    <row r="10208" spans="1:24">
      <c r="A10208">
        <f>HYPERLINK("https://www.philgeps.gov.ph/GEPSNONPILOT/Tender/SplashBidNoticeAbstractUI.aspx?menuIndex=3&amp;refID=7055570&amp;Result=3","7055570")</f>
        <v>0</v>
      </c>
      <c r="B10208" t="s">
        <v>2756</v>
      </c>
      <c r="C10208" t="s">
        <v>13191</v>
      </c>
      <c r="D10208" t="s">
        <v>18830</v>
      </c>
      <c r="E10208" t="s">
        <v>27734</v>
      </c>
      <c r="F10208" t="s">
        <v>32664</v>
      </c>
      <c r="G10208" t="s">
        <v>32672</v>
      </c>
      <c r="H10208" t="s">
        <v>32683</v>
      </c>
      <c r="I10208" t="s">
        <v>10627</v>
      </c>
      <c r="J10208" t="s">
        <v>32962</v>
      </c>
      <c r="K10208" t="s">
        <v>42283</v>
      </c>
      <c r="M10208" t="s">
        <v>45591</v>
      </c>
      <c r="N10208" t="s">
        <v>46569</v>
      </c>
      <c r="O10208" t="s">
        <v>46570</v>
      </c>
      <c r="P10208">
        <v>0</v>
      </c>
      <c r="Q10208">
        <v>0</v>
      </c>
      <c r="R10208" t="s">
        <v>46577</v>
      </c>
      <c r="S10208" t="s">
        <v>46808</v>
      </c>
      <c r="T10208" t="s">
        <v>48632</v>
      </c>
      <c r="U10208" t="s">
        <v>56971</v>
      </c>
      <c r="V10208" t="s">
        <v>62656</v>
      </c>
      <c r="W10208" t="s">
        <v>63569</v>
      </c>
      <c r="X10208" t="s">
        <v>46578</v>
      </c>
    </row>
    <row r="10209" spans="1:24">
      <c r="A10209">
        <f>HYPERLINK("https://www.philgeps.gov.ph/GEPSNONPILOT/Tender/SplashBidNoticeAbstractUI.aspx?menuIndex=3&amp;refID=7055458&amp;Result=3","7055458")</f>
        <v>0</v>
      </c>
      <c r="B10209" t="s">
        <v>922</v>
      </c>
      <c r="C10209" t="s">
        <v>13192</v>
      </c>
      <c r="D10209" t="s">
        <v>18788</v>
      </c>
      <c r="E10209" t="s">
        <v>27735</v>
      </c>
      <c r="F10209" t="s">
        <v>32664</v>
      </c>
      <c r="G10209" t="s">
        <v>32672</v>
      </c>
      <c r="H10209" t="s">
        <v>12635</v>
      </c>
      <c r="I10209" t="s">
        <v>4439</v>
      </c>
      <c r="J10209" t="s">
        <v>38917</v>
      </c>
      <c r="K10209" t="s">
        <v>42297</v>
      </c>
      <c r="M10209" t="s">
        <v>43528</v>
      </c>
      <c r="N10209" t="s">
        <v>46569</v>
      </c>
      <c r="O10209" t="s">
        <v>46570</v>
      </c>
      <c r="P10209">
        <v>0</v>
      </c>
      <c r="Q10209">
        <v>1</v>
      </c>
      <c r="R10209" t="s">
        <v>46577</v>
      </c>
      <c r="S10209" t="s">
        <v>46808</v>
      </c>
      <c r="T10209" t="s">
        <v>48244</v>
      </c>
      <c r="U10209" t="s">
        <v>56972</v>
      </c>
      <c r="W10209" t="s">
        <v>43528</v>
      </c>
      <c r="X10209" t="s">
        <v>46578</v>
      </c>
    </row>
    <row r="10210" spans="1:24">
      <c r="A10210">
        <f>HYPERLINK("https://www.philgeps.gov.ph/GEPSNONPILOT/Tender/SplashBidNoticeAbstractUI.aspx?menuIndex=3&amp;refID=7055569&amp;Result=3","7055569")</f>
        <v>0</v>
      </c>
      <c r="B10210" t="s">
        <v>2816</v>
      </c>
      <c r="C10210" t="s">
        <v>13193</v>
      </c>
      <c r="D10210" t="s">
        <v>18802</v>
      </c>
      <c r="E10210" t="s">
        <v>27736</v>
      </c>
      <c r="F10210" t="s">
        <v>32664</v>
      </c>
      <c r="G10210" t="s">
        <v>32672</v>
      </c>
      <c r="H10210" t="s">
        <v>12635</v>
      </c>
      <c r="I10210" t="s">
        <v>11464</v>
      </c>
      <c r="J10210" t="s">
        <v>38918</v>
      </c>
      <c r="K10210" t="s">
        <v>42289</v>
      </c>
      <c r="M10210" t="s">
        <v>45660</v>
      </c>
      <c r="N10210" t="s">
        <v>46569</v>
      </c>
      <c r="O10210" t="s">
        <v>46570</v>
      </c>
      <c r="P10210">
        <v>0</v>
      </c>
      <c r="Q10210">
        <v>4</v>
      </c>
      <c r="R10210" t="s">
        <v>46577</v>
      </c>
      <c r="S10210" t="s">
        <v>46808</v>
      </c>
      <c r="T10210" t="s">
        <v>48228</v>
      </c>
      <c r="U10210" t="s">
        <v>56973</v>
      </c>
      <c r="V10210" t="s">
        <v>62695</v>
      </c>
      <c r="W10210" t="s">
        <v>45660</v>
      </c>
      <c r="X10210" t="s">
        <v>46578</v>
      </c>
    </row>
    <row r="10211" spans="1:24">
      <c r="A10211">
        <f>HYPERLINK("https://www.philgeps.gov.ph/GEPSNONPILOT/Tender/SplashBidNoticeAbstractUI.aspx?menuIndex=3&amp;refID=7055493&amp;Result=3","7055493")</f>
        <v>0</v>
      </c>
      <c r="B10211" t="s">
        <v>2807</v>
      </c>
      <c r="C10211" t="s">
        <v>13194</v>
      </c>
      <c r="D10211" t="s">
        <v>18802</v>
      </c>
      <c r="E10211" t="s">
        <v>27737</v>
      </c>
      <c r="F10211" t="s">
        <v>32664</v>
      </c>
      <c r="G10211" t="s">
        <v>32672</v>
      </c>
      <c r="H10211" t="s">
        <v>32683</v>
      </c>
      <c r="I10211" t="s">
        <v>10627</v>
      </c>
      <c r="J10211" t="s">
        <v>32865</v>
      </c>
      <c r="K10211" t="s">
        <v>42321</v>
      </c>
      <c r="M10211" t="s">
        <v>45651</v>
      </c>
      <c r="N10211" t="s">
        <v>46569</v>
      </c>
      <c r="O10211" t="s">
        <v>46570</v>
      </c>
      <c r="P10211">
        <v>0</v>
      </c>
      <c r="Q10211">
        <v>0</v>
      </c>
      <c r="R10211" t="s">
        <v>46577</v>
      </c>
      <c r="S10211" t="s">
        <v>46808</v>
      </c>
      <c r="T10211" t="s">
        <v>48328</v>
      </c>
      <c r="U10211" t="s">
        <v>56974</v>
      </c>
      <c r="W10211" t="s">
        <v>45651</v>
      </c>
      <c r="X10211" t="s">
        <v>46578</v>
      </c>
    </row>
    <row r="10212" spans="1:24">
      <c r="A10212">
        <f>HYPERLINK("https://www.philgeps.gov.ph/GEPSNONPILOT/Tender/SplashBidNoticeAbstractUI.aspx?menuIndex=3&amp;refID=7055565&amp;Result=3","7055565")</f>
        <v>0</v>
      </c>
      <c r="B10212" t="s">
        <v>1094</v>
      </c>
      <c r="C10212" t="s">
        <v>13195</v>
      </c>
      <c r="D10212" t="s">
        <v>18822</v>
      </c>
      <c r="E10212" t="s">
        <v>27738</v>
      </c>
      <c r="F10212" t="s">
        <v>32664</v>
      </c>
      <c r="G10212" t="s">
        <v>32672</v>
      </c>
      <c r="H10212" t="s">
        <v>32683</v>
      </c>
      <c r="I10212" t="s">
        <v>10627</v>
      </c>
      <c r="J10212" t="s">
        <v>32974</v>
      </c>
      <c r="K10212" t="s">
        <v>42311</v>
      </c>
      <c r="M10212" t="s">
        <v>43722</v>
      </c>
      <c r="N10212" t="s">
        <v>46569</v>
      </c>
      <c r="O10212" t="s">
        <v>46570</v>
      </c>
      <c r="P10212">
        <v>0</v>
      </c>
      <c r="Q10212">
        <v>0</v>
      </c>
      <c r="R10212" t="s">
        <v>46577</v>
      </c>
      <c r="S10212" t="s">
        <v>46808</v>
      </c>
      <c r="T10212" t="s">
        <v>48316</v>
      </c>
      <c r="U10212" t="s">
        <v>56975</v>
      </c>
      <c r="W10212" t="s">
        <v>43722</v>
      </c>
      <c r="X10212" t="s">
        <v>46578</v>
      </c>
    </row>
    <row r="10213" spans="1:24">
      <c r="A10213">
        <f>HYPERLINK("https://www.philgeps.gov.ph/GEPSNONPILOT/Tender/SplashBidNoticeAbstractUI.aspx?menuIndex=3&amp;refID=7055579&amp;Result=3","7055579")</f>
        <v>0</v>
      </c>
      <c r="B10213" t="s">
        <v>1083</v>
      </c>
      <c r="C10213" t="s">
        <v>13196</v>
      </c>
      <c r="D10213" t="s">
        <v>18784</v>
      </c>
      <c r="E10213" t="s">
        <v>27739</v>
      </c>
      <c r="F10213" t="s">
        <v>32664</v>
      </c>
      <c r="G10213" t="s">
        <v>32672</v>
      </c>
      <c r="H10213" t="s">
        <v>32683</v>
      </c>
      <c r="I10213" t="s">
        <v>10627</v>
      </c>
      <c r="J10213" t="s">
        <v>38919</v>
      </c>
      <c r="K10213" t="s">
        <v>42311</v>
      </c>
      <c r="M10213" t="s">
        <v>43707</v>
      </c>
      <c r="N10213" t="s">
        <v>46569</v>
      </c>
      <c r="O10213" t="s">
        <v>46570</v>
      </c>
      <c r="P10213">
        <v>0</v>
      </c>
      <c r="Q10213">
        <v>14</v>
      </c>
      <c r="R10213" t="s">
        <v>46577</v>
      </c>
      <c r="S10213" t="s">
        <v>46808</v>
      </c>
      <c r="T10213" t="s">
        <v>48394</v>
      </c>
      <c r="U10213" t="s">
        <v>56976</v>
      </c>
      <c r="W10213" t="s">
        <v>43707</v>
      </c>
      <c r="X10213" t="s">
        <v>46578</v>
      </c>
    </row>
    <row r="10214" spans="1:24">
      <c r="A10214">
        <f>HYPERLINK("https://www.philgeps.gov.ph/GEPSNONPILOT/Tender/SplashBidNoticeAbstractUI.aspx?menuIndex=3&amp;refID=7055577&amp;Result=3","7055577")</f>
        <v>0</v>
      </c>
      <c r="B10214" t="s">
        <v>2756</v>
      </c>
      <c r="C10214" t="s">
        <v>13197</v>
      </c>
      <c r="D10214" t="s">
        <v>18830</v>
      </c>
      <c r="E10214" t="s">
        <v>27740</v>
      </c>
      <c r="F10214" t="s">
        <v>32664</v>
      </c>
      <c r="G10214" t="s">
        <v>32672</v>
      </c>
      <c r="H10214" t="s">
        <v>32683</v>
      </c>
      <c r="I10214" t="s">
        <v>10627</v>
      </c>
      <c r="J10214" t="s">
        <v>32962</v>
      </c>
      <c r="K10214" t="s">
        <v>42283</v>
      </c>
      <c r="M10214" t="s">
        <v>45591</v>
      </c>
      <c r="N10214" t="s">
        <v>46569</v>
      </c>
      <c r="O10214" t="s">
        <v>46570</v>
      </c>
      <c r="P10214">
        <v>0</v>
      </c>
      <c r="Q10214">
        <v>0</v>
      </c>
      <c r="R10214" t="s">
        <v>46577</v>
      </c>
      <c r="S10214" t="s">
        <v>46808</v>
      </c>
      <c r="T10214" t="s">
        <v>48632</v>
      </c>
      <c r="U10214" t="s">
        <v>56977</v>
      </c>
      <c r="V10214" t="s">
        <v>62656</v>
      </c>
      <c r="W10214" t="s">
        <v>63569</v>
      </c>
      <c r="X10214" t="s">
        <v>46578</v>
      </c>
    </row>
    <row r="10215" spans="1:24">
      <c r="A10215">
        <f>HYPERLINK("https://www.philgeps.gov.ph/GEPSNONPILOT/Tender/SplashBidNoticeAbstractUI.aspx?menuIndex=3&amp;refID=7055563&amp;Result=3","7055563")</f>
        <v>0</v>
      </c>
      <c r="B10215" t="s">
        <v>2816</v>
      </c>
      <c r="C10215" t="s">
        <v>13198</v>
      </c>
      <c r="D10215" t="s">
        <v>18802</v>
      </c>
      <c r="E10215" t="s">
        <v>27741</v>
      </c>
      <c r="F10215" t="s">
        <v>32664</v>
      </c>
      <c r="G10215" t="s">
        <v>32672</v>
      </c>
      <c r="H10215" t="s">
        <v>12635</v>
      </c>
      <c r="I10215" t="s">
        <v>11464</v>
      </c>
      <c r="J10215" t="s">
        <v>38920</v>
      </c>
      <c r="K10215" t="s">
        <v>42289</v>
      </c>
      <c r="M10215" t="s">
        <v>45660</v>
      </c>
      <c r="N10215" t="s">
        <v>46569</v>
      </c>
      <c r="O10215" t="s">
        <v>46570</v>
      </c>
      <c r="P10215">
        <v>0</v>
      </c>
      <c r="Q10215">
        <v>6</v>
      </c>
      <c r="R10215" t="s">
        <v>46577</v>
      </c>
      <c r="S10215" t="s">
        <v>46808</v>
      </c>
      <c r="T10215" t="s">
        <v>48228</v>
      </c>
      <c r="U10215" t="s">
        <v>56978</v>
      </c>
      <c r="V10215" t="s">
        <v>62696</v>
      </c>
      <c r="W10215" t="s">
        <v>45660</v>
      </c>
      <c r="X10215" t="s">
        <v>46578</v>
      </c>
    </row>
    <row r="10216" spans="1:24">
      <c r="A10216">
        <f>HYPERLINK("https://www.philgeps.gov.ph/GEPSNONPILOT/Tender/SplashBidNoticeAbstractUI.aspx?menuIndex=3&amp;refID=7055612&amp;Result=3","7055612")</f>
        <v>0</v>
      </c>
      <c r="B10216" t="s">
        <v>2817</v>
      </c>
      <c r="C10216" t="s">
        <v>8845</v>
      </c>
      <c r="D10216" t="s">
        <v>18784</v>
      </c>
      <c r="E10216" t="s">
        <v>27742</v>
      </c>
      <c r="F10216" t="s">
        <v>32664</v>
      </c>
      <c r="G10216" t="s">
        <v>32672</v>
      </c>
      <c r="H10216" t="s">
        <v>12635</v>
      </c>
      <c r="I10216" t="s">
        <v>6223</v>
      </c>
      <c r="J10216" t="s">
        <v>33632</v>
      </c>
      <c r="K10216" t="s">
        <v>42284</v>
      </c>
      <c r="M10216" t="s">
        <v>45661</v>
      </c>
      <c r="N10216" t="s">
        <v>46569</v>
      </c>
      <c r="O10216" t="s">
        <v>46570</v>
      </c>
      <c r="P10216">
        <v>0</v>
      </c>
      <c r="Q10216">
        <v>2</v>
      </c>
      <c r="R10216" t="s">
        <v>46577</v>
      </c>
      <c r="S10216" t="s">
        <v>46808</v>
      </c>
      <c r="T10216" t="s">
        <v>48307</v>
      </c>
      <c r="U10216" t="s">
        <v>56979</v>
      </c>
      <c r="W10216" t="s">
        <v>45661</v>
      </c>
      <c r="X10216" t="s">
        <v>46578</v>
      </c>
    </row>
    <row r="10217" spans="1:24">
      <c r="A10217">
        <f>HYPERLINK("https://www.philgeps.gov.ph/GEPSNONPILOT/Tender/SplashBidNoticeAbstractUI.aspx?menuIndex=3&amp;refID=7055610&amp;Result=3","7055610")</f>
        <v>0</v>
      </c>
      <c r="B10217" t="s">
        <v>2567</v>
      </c>
      <c r="C10217" t="s">
        <v>13199</v>
      </c>
      <c r="D10217" t="s">
        <v>18784</v>
      </c>
      <c r="E10217" t="s">
        <v>27743</v>
      </c>
      <c r="F10217" t="s">
        <v>32664</v>
      </c>
      <c r="G10217" t="s">
        <v>32671</v>
      </c>
      <c r="H10217" t="s">
        <v>32681</v>
      </c>
      <c r="I10217" t="s">
        <v>32681</v>
      </c>
      <c r="J10217" t="s">
        <v>38921</v>
      </c>
      <c r="K10217" t="s">
        <v>42281</v>
      </c>
      <c r="M10217" t="s">
        <v>45378</v>
      </c>
      <c r="N10217" t="s">
        <v>46569</v>
      </c>
      <c r="O10217" t="s">
        <v>46570</v>
      </c>
      <c r="P10217">
        <v>0</v>
      </c>
      <c r="Q10217">
        <v>2</v>
      </c>
      <c r="R10217" t="s">
        <v>46577</v>
      </c>
      <c r="S10217" t="s">
        <v>46808</v>
      </c>
      <c r="T10217" t="s">
        <v>48287</v>
      </c>
      <c r="U10217" t="s">
        <v>56980</v>
      </c>
      <c r="W10217" t="s">
        <v>45378</v>
      </c>
      <c r="X10217" t="s">
        <v>46578</v>
      </c>
    </row>
    <row r="10218" spans="1:24">
      <c r="A10218">
        <f>HYPERLINK("https://www.philgeps.gov.ph/GEPSNONPILOT/Tender/SplashBidNoticeAbstractUI.aspx?menuIndex=3&amp;refID=7055607&amp;Result=3","7055607")</f>
        <v>0</v>
      </c>
      <c r="B10218" t="s">
        <v>1094</v>
      </c>
      <c r="C10218" t="s">
        <v>13200</v>
      </c>
      <c r="D10218" t="s">
        <v>18822</v>
      </c>
      <c r="E10218" t="s">
        <v>27744</v>
      </c>
      <c r="F10218" t="s">
        <v>32664</v>
      </c>
      <c r="G10218" t="s">
        <v>32672</v>
      </c>
      <c r="H10218" t="s">
        <v>32683</v>
      </c>
      <c r="I10218" t="s">
        <v>10627</v>
      </c>
      <c r="J10218" t="s">
        <v>32859</v>
      </c>
      <c r="K10218" t="s">
        <v>42298</v>
      </c>
      <c r="M10218" t="s">
        <v>43722</v>
      </c>
      <c r="N10218" t="s">
        <v>46569</v>
      </c>
      <c r="O10218" t="s">
        <v>46570</v>
      </c>
      <c r="P10218">
        <v>0</v>
      </c>
      <c r="Q10218">
        <v>0</v>
      </c>
      <c r="R10218" t="s">
        <v>46577</v>
      </c>
      <c r="S10218" t="s">
        <v>46808</v>
      </c>
      <c r="T10218" t="s">
        <v>48316</v>
      </c>
      <c r="U10218" t="s">
        <v>56981</v>
      </c>
      <c r="W10218" t="s">
        <v>43722</v>
      </c>
      <c r="X10218" t="s">
        <v>46578</v>
      </c>
    </row>
    <row r="10219" spans="1:24">
      <c r="A10219">
        <f>HYPERLINK("https://www.philgeps.gov.ph/GEPSNONPILOT/Tender/SplashBidNoticeAbstractUI.aspx?menuIndex=3&amp;refID=7055605&amp;Result=3","7055605")</f>
        <v>0</v>
      </c>
      <c r="B10219" t="s">
        <v>2283</v>
      </c>
      <c r="C10219" t="s">
        <v>13201</v>
      </c>
      <c r="D10219" t="s">
        <v>18784</v>
      </c>
      <c r="E10219" t="s">
        <v>27745</v>
      </c>
      <c r="F10219" t="s">
        <v>32664</v>
      </c>
      <c r="G10219" t="s">
        <v>32672</v>
      </c>
      <c r="H10219" t="s">
        <v>12635</v>
      </c>
      <c r="I10219" t="s">
        <v>6223</v>
      </c>
      <c r="J10219" t="s">
        <v>33051</v>
      </c>
      <c r="K10219" t="s">
        <v>42281</v>
      </c>
      <c r="M10219" t="s">
        <v>45053</v>
      </c>
      <c r="N10219" t="s">
        <v>46569</v>
      </c>
      <c r="O10219" t="s">
        <v>46570</v>
      </c>
      <c r="P10219">
        <v>0</v>
      </c>
      <c r="Q10219">
        <v>1</v>
      </c>
      <c r="R10219" t="s">
        <v>46577</v>
      </c>
      <c r="S10219" t="s">
        <v>46808</v>
      </c>
      <c r="T10219" t="s">
        <v>48307</v>
      </c>
      <c r="U10219" t="s">
        <v>56982</v>
      </c>
      <c r="W10219" t="s">
        <v>45053</v>
      </c>
      <c r="X10219" t="s">
        <v>46578</v>
      </c>
    </row>
    <row r="10220" spans="1:24">
      <c r="A10220">
        <f>HYPERLINK("https://www.philgeps.gov.ph/GEPSNONPILOT/Tender/SplashBidNoticeAbstractUI.aspx?menuIndex=3&amp;refID=7055604&amp;Result=3","7055604")</f>
        <v>0</v>
      </c>
      <c r="B10220" t="s">
        <v>2752</v>
      </c>
      <c r="C10220" t="s">
        <v>13202</v>
      </c>
      <c r="D10220" t="s">
        <v>18786</v>
      </c>
      <c r="E10220" t="s">
        <v>19629</v>
      </c>
      <c r="F10220" t="s">
        <v>32664</v>
      </c>
      <c r="G10220" t="s">
        <v>32672</v>
      </c>
      <c r="H10220" t="s">
        <v>32683</v>
      </c>
      <c r="I10220" t="s">
        <v>10627</v>
      </c>
      <c r="J10220" t="s">
        <v>32962</v>
      </c>
      <c r="K10220" t="s">
        <v>42281</v>
      </c>
      <c r="M10220" t="s">
        <v>45586</v>
      </c>
      <c r="N10220" t="s">
        <v>46569</v>
      </c>
      <c r="O10220" t="s">
        <v>46570</v>
      </c>
      <c r="P10220">
        <v>0</v>
      </c>
      <c r="Q10220">
        <v>0</v>
      </c>
      <c r="R10220" t="s">
        <v>46577</v>
      </c>
      <c r="S10220" t="s">
        <v>46808</v>
      </c>
      <c r="T10220" t="s">
        <v>48381</v>
      </c>
      <c r="U10220" t="s">
        <v>56983</v>
      </c>
      <c r="W10220" t="s">
        <v>45586</v>
      </c>
      <c r="X10220" t="s">
        <v>46578</v>
      </c>
    </row>
    <row r="10221" spans="1:24">
      <c r="A10221">
        <f>HYPERLINK("https://www.philgeps.gov.ph/GEPSNONPILOT/Tender/SplashBidNoticeAbstractUI.aspx?menuIndex=3&amp;refID=7055602&amp;Result=3","7055602")</f>
        <v>0</v>
      </c>
      <c r="B10221" t="s">
        <v>2818</v>
      </c>
      <c r="C10221" t="s">
        <v>8845</v>
      </c>
      <c r="D10221" t="s">
        <v>18784</v>
      </c>
      <c r="E10221" t="s">
        <v>27746</v>
      </c>
      <c r="F10221" t="s">
        <v>32664</v>
      </c>
      <c r="G10221" t="s">
        <v>32672</v>
      </c>
      <c r="H10221" t="s">
        <v>12635</v>
      </c>
      <c r="I10221" t="s">
        <v>6223</v>
      </c>
      <c r="J10221" t="s">
        <v>33051</v>
      </c>
      <c r="K10221" t="s">
        <v>42284</v>
      </c>
      <c r="M10221" t="s">
        <v>45662</v>
      </c>
      <c r="N10221" t="s">
        <v>46569</v>
      </c>
      <c r="O10221" t="s">
        <v>46570</v>
      </c>
      <c r="P10221">
        <v>0</v>
      </c>
      <c r="Q10221">
        <v>1</v>
      </c>
      <c r="R10221" t="s">
        <v>46577</v>
      </c>
      <c r="S10221" t="s">
        <v>46808</v>
      </c>
      <c r="T10221" t="s">
        <v>48427</v>
      </c>
      <c r="U10221" t="s">
        <v>56984</v>
      </c>
      <c r="W10221" t="s">
        <v>45662</v>
      </c>
      <c r="X10221" t="s">
        <v>46578</v>
      </c>
    </row>
    <row r="10222" spans="1:24">
      <c r="A10222">
        <f>HYPERLINK("https://www.philgeps.gov.ph/GEPSNONPILOT/Tender/SplashBidNoticeAbstractUI.aspx?menuIndex=3&amp;refID=7055578&amp;Result=3","7055578")</f>
        <v>0</v>
      </c>
      <c r="B10222" t="s">
        <v>63</v>
      </c>
      <c r="C10222" t="s">
        <v>13203</v>
      </c>
      <c r="D10222" t="s">
        <v>18811</v>
      </c>
      <c r="E10222" t="s">
        <v>27747</v>
      </c>
      <c r="F10222" t="s">
        <v>32664</v>
      </c>
      <c r="G10222" t="s">
        <v>32672</v>
      </c>
      <c r="H10222" t="s">
        <v>32683</v>
      </c>
      <c r="I10222" t="s">
        <v>10627</v>
      </c>
      <c r="J10222" t="s">
        <v>38922</v>
      </c>
      <c r="K10222" t="s">
        <v>42502</v>
      </c>
      <c r="M10222" t="s">
        <v>42626</v>
      </c>
      <c r="N10222" t="s">
        <v>46569</v>
      </c>
      <c r="O10222" t="s">
        <v>46570</v>
      </c>
      <c r="P10222">
        <v>0</v>
      </c>
      <c r="Q10222">
        <v>7</v>
      </c>
      <c r="R10222" t="s">
        <v>46577</v>
      </c>
      <c r="S10222" t="s">
        <v>46808</v>
      </c>
      <c r="T10222" t="s">
        <v>48394</v>
      </c>
      <c r="U10222" t="s">
        <v>56985</v>
      </c>
      <c r="W10222" t="s">
        <v>42626</v>
      </c>
      <c r="X10222" t="s">
        <v>46578</v>
      </c>
    </row>
    <row r="10223" spans="1:24">
      <c r="A10223">
        <f>HYPERLINK("https://www.philgeps.gov.ph/GEPSNONPILOT/Tender/SplashBidNoticeAbstractUI.aspx?menuIndex=3&amp;refID=7055601&amp;Result=3","7055601")</f>
        <v>0</v>
      </c>
      <c r="B10223" t="s">
        <v>2567</v>
      </c>
      <c r="C10223" t="s">
        <v>13204</v>
      </c>
      <c r="D10223" t="s">
        <v>18784</v>
      </c>
      <c r="E10223" t="s">
        <v>27748</v>
      </c>
      <c r="F10223" t="s">
        <v>32664</v>
      </c>
      <c r="G10223" t="s">
        <v>32671</v>
      </c>
      <c r="H10223" t="s">
        <v>32681</v>
      </c>
      <c r="I10223" t="s">
        <v>32681</v>
      </c>
      <c r="J10223" t="s">
        <v>38923</v>
      </c>
      <c r="K10223" t="s">
        <v>42281</v>
      </c>
      <c r="M10223" t="s">
        <v>45378</v>
      </c>
      <c r="N10223" t="s">
        <v>46569</v>
      </c>
      <c r="O10223" t="s">
        <v>46570</v>
      </c>
      <c r="P10223">
        <v>0</v>
      </c>
      <c r="Q10223">
        <v>2</v>
      </c>
      <c r="R10223" t="s">
        <v>46577</v>
      </c>
      <c r="S10223" t="s">
        <v>46808</v>
      </c>
      <c r="T10223" t="s">
        <v>48287</v>
      </c>
      <c r="U10223" t="s">
        <v>56980</v>
      </c>
      <c r="W10223" t="s">
        <v>45378</v>
      </c>
      <c r="X10223" t="s">
        <v>46578</v>
      </c>
    </row>
    <row r="10224" spans="1:24">
      <c r="A10224">
        <f>HYPERLINK("https://www.philgeps.gov.ph/GEPSNONPILOT/Tender/SplashBidNoticeAbstractUI.aspx?menuIndex=3&amp;refID=7055598&amp;Result=3","7055598")</f>
        <v>0</v>
      </c>
      <c r="B10224" t="s">
        <v>2567</v>
      </c>
      <c r="C10224" t="s">
        <v>13205</v>
      </c>
      <c r="D10224" t="s">
        <v>18873</v>
      </c>
      <c r="E10224" t="s">
        <v>27749</v>
      </c>
      <c r="F10224" t="s">
        <v>32664</v>
      </c>
      <c r="G10224" t="s">
        <v>32671</v>
      </c>
      <c r="H10224" t="s">
        <v>32681</v>
      </c>
      <c r="I10224" t="s">
        <v>32681</v>
      </c>
      <c r="J10224" t="s">
        <v>38924</v>
      </c>
      <c r="K10224" t="s">
        <v>42281</v>
      </c>
      <c r="M10224" t="s">
        <v>45378</v>
      </c>
      <c r="N10224" t="s">
        <v>46569</v>
      </c>
      <c r="O10224" t="s">
        <v>46570</v>
      </c>
      <c r="P10224">
        <v>0</v>
      </c>
      <c r="Q10224">
        <v>2</v>
      </c>
      <c r="R10224" t="s">
        <v>46577</v>
      </c>
      <c r="S10224" t="s">
        <v>46808</v>
      </c>
      <c r="T10224" t="s">
        <v>48287</v>
      </c>
      <c r="U10224" t="s">
        <v>56980</v>
      </c>
      <c r="W10224" t="s">
        <v>45378</v>
      </c>
      <c r="X10224" t="s">
        <v>46578</v>
      </c>
    </row>
    <row r="10225" spans="1:24">
      <c r="A10225">
        <f>HYPERLINK("https://www.philgeps.gov.ph/GEPSNONPILOT/Tender/SplashBidNoticeAbstractUI.aspx?menuIndex=3&amp;refID=7055597&amp;Result=3","7055597")</f>
        <v>0</v>
      </c>
      <c r="B10225" t="s">
        <v>2819</v>
      </c>
      <c r="C10225" t="s">
        <v>13206</v>
      </c>
      <c r="D10225" t="s">
        <v>18784</v>
      </c>
      <c r="E10225" t="s">
        <v>27750</v>
      </c>
      <c r="F10225" t="s">
        <v>32664</v>
      </c>
      <c r="G10225" t="s">
        <v>32671</v>
      </c>
      <c r="H10225" t="s">
        <v>12635</v>
      </c>
      <c r="I10225" t="s">
        <v>9946</v>
      </c>
      <c r="J10225" t="s">
        <v>33196</v>
      </c>
      <c r="K10225" t="s">
        <v>42334</v>
      </c>
      <c r="M10225" t="s">
        <v>45663</v>
      </c>
      <c r="N10225" t="s">
        <v>46569</v>
      </c>
      <c r="O10225" t="s">
        <v>46570</v>
      </c>
      <c r="P10225">
        <v>0</v>
      </c>
      <c r="Q10225">
        <v>2</v>
      </c>
      <c r="R10225" t="s">
        <v>46577</v>
      </c>
      <c r="S10225" t="s">
        <v>46808</v>
      </c>
      <c r="T10225" t="s">
        <v>48254</v>
      </c>
      <c r="U10225" t="s">
        <v>56986</v>
      </c>
      <c r="W10225" t="s">
        <v>45663</v>
      </c>
      <c r="X10225" t="s">
        <v>46578</v>
      </c>
    </row>
    <row r="10226" spans="1:24">
      <c r="A10226">
        <f>HYPERLINK("https://www.philgeps.gov.ph/GEPSNONPILOT/Tender/SplashBidNoticeAbstractUI.aspx?menuIndex=3&amp;refID=7055566&amp;Result=3","7055566")</f>
        <v>0</v>
      </c>
      <c r="B10226" t="s">
        <v>952</v>
      </c>
      <c r="C10226" t="s">
        <v>13207</v>
      </c>
      <c r="D10226" t="s">
        <v>18786</v>
      </c>
      <c r="E10226" t="s">
        <v>27751</v>
      </c>
      <c r="F10226" t="s">
        <v>32664</v>
      </c>
      <c r="G10226" t="s">
        <v>32677</v>
      </c>
      <c r="H10226" t="s">
        <v>12635</v>
      </c>
      <c r="I10226" t="s">
        <v>32736</v>
      </c>
      <c r="J10226" t="s">
        <v>33218</v>
      </c>
      <c r="K10226" t="s">
        <v>42281</v>
      </c>
      <c r="M10226" t="s">
        <v>43558</v>
      </c>
      <c r="N10226" t="s">
        <v>46569</v>
      </c>
      <c r="O10226" t="s">
        <v>46570</v>
      </c>
      <c r="P10226">
        <v>0</v>
      </c>
      <c r="Q10226">
        <v>1</v>
      </c>
      <c r="R10226" t="s">
        <v>46577</v>
      </c>
      <c r="S10226" t="s">
        <v>46808</v>
      </c>
      <c r="T10226" t="s">
        <v>48221</v>
      </c>
      <c r="U10226" t="s">
        <v>56987</v>
      </c>
      <c r="V10226" t="s">
        <v>62697</v>
      </c>
      <c r="W10226" t="s">
        <v>43558</v>
      </c>
      <c r="X10226" t="s">
        <v>46578</v>
      </c>
    </row>
    <row r="10227" spans="1:24">
      <c r="A10227">
        <f>HYPERLINK("https://www.philgeps.gov.ph/GEPSNONPILOT/Tender/SplashBidNoticeAbstractUI.aspx?menuIndex=3&amp;refID=7055596&amp;Result=3","7055596")</f>
        <v>0</v>
      </c>
      <c r="B10227" t="s">
        <v>2283</v>
      </c>
      <c r="C10227" t="s">
        <v>13208</v>
      </c>
      <c r="D10227" t="s">
        <v>18784</v>
      </c>
      <c r="E10227" t="s">
        <v>27752</v>
      </c>
      <c r="F10227" t="s">
        <v>32664</v>
      </c>
      <c r="G10227" t="s">
        <v>32672</v>
      </c>
      <c r="H10227" t="s">
        <v>12635</v>
      </c>
      <c r="I10227" t="s">
        <v>6223</v>
      </c>
      <c r="J10227" t="s">
        <v>32898</v>
      </c>
      <c r="K10227" t="s">
        <v>42281</v>
      </c>
      <c r="M10227" t="s">
        <v>45053</v>
      </c>
      <c r="N10227" t="s">
        <v>46569</v>
      </c>
      <c r="O10227" t="s">
        <v>46570</v>
      </c>
      <c r="P10227">
        <v>0</v>
      </c>
      <c r="Q10227">
        <v>2</v>
      </c>
      <c r="R10227" t="s">
        <v>46577</v>
      </c>
      <c r="S10227" t="s">
        <v>46808</v>
      </c>
      <c r="T10227" t="s">
        <v>48307</v>
      </c>
      <c r="U10227" t="s">
        <v>56988</v>
      </c>
      <c r="W10227" t="s">
        <v>45053</v>
      </c>
      <c r="X10227" t="s">
        <v>46578</v>
      </c>
    </row>
    <row r="10228" spans="1:24">
      <c r="A10228">
        <f>HYPERLINK("https://www.philgeps.gov.ph/GEPSNONPILOT/Tender/SplashBidNoticeAbstractUI.aspx?menuIndex=3&amp;refID=7055594&amp;Result=3","7055594")</f>
        <v>0</v>
      </c>
      <c r="B10228" t="s">
        <v>2756</v>
      </c>
      <c r="C10228" t="s">
        <v>13209</v>
      </c>
      <c r="D10228" t="s">
        <v>18830</v>
      </c>
      <c r="E10228" t="s">
        <v>27753</v>
      </c>
      <c r="F10228" t="s">
        <v>32664</v>
      </c>
      <c r="G10228" t="s">
        <v>32672</v>
      </c>
      <c r="H10228" t="s">
        <v>32683</v>
      </c>
      <c r="I10228" t="s">
        <v>10627</v>
      </c>
      <c r="J10228" t="s">
        <v>32837</v>
      </c>
      <c r="K10228" t="s">
        <v>42283</v>
      </c>
      <c r="M10228" t="s">
        <v>45591</v>
      </c>
      <c r="N10228" t="s">
        <v>46569</v>
      </c>
      <c r="O10228" t="s">
        <v>46570</v>
      </c>
      <c r="P10228">
        <v>0</v>
      </c>
      <c r="Q10228">
        <v>0</v>
      </c>
      <c r="R10228" t="s">
        <v>46577</v>
      </c>
      <c r="S10228" t="s">
        <v>46808</v>
      </c>
      <c r="T10228" t="s">
        <v>48632</v>
      </c>
      <c r="U10228" t="s">
        <v>56989</v>
      </c>
      <c r="V10228" t="s">
        <v>62656</v>
      </c>
      <c r="W10228" t="s">
        <v>63569</v>
      </c>
      <c r="X10228" t="s">
        <v>46578</v>
      </c>
    </row>
    <row r="10229" spans="1:24">
      <c r="A10229">
        <f>HYPERLINK("https://www.philgeps.gov.ph/GEPSNONPILOT/Tender/SplashBidNoticeAbstractUI.aspx?menuIndex=3&amp;refID=7055593&amp;Result=3","7055593")</f>
        <v>0</v>
      </c>
      <c r="B10229" t="s">
        <v>2283</v>
      </c>
      <c r="C10229" t="s">
        <v>13210</v>
      </c>
      <c r="D10229" t="s">
        <v>18784</v>
      </c>
      <c r="E10229" t="s">
        <v>27754</v>
      </c>
      <c r="F10229" t="s">
        <v>32664</v>
      </c>
      <c r="G10229" t="s">
        <v>32672</v>
      </c>
      <c r="H10229" t="s">
        <v>12635</v>
      </c>
      <c r="I10229" t="s">
        <v>6223</v>
      </c>
      <c r="J10229" t="s">
        <v>35096</v>
      </c>
      <c r="K10229" t="s">
        <v>42281</v>
      </c>
      <c r="M10229" t="s">
        <v>45053</v>
      </c>
      <c r="N10229" t="s">
        <v>46569</v>
      </c>
      <c r="O10229" t="s">
        <v>46570</v>
      </c>
      <c r="P10229">
        <v>0</v>
      </c>
      <c r="Q10229">
        <v>2</v>
      </c>
      <c r="R10229" t="s">
        <v>46577</v>
      </c>
      <c r="S10229" t="s">
        <v>46808</v>
      </c>
      <c r="T10229" t="s">
        <v>48307</v>
      </c>
      <c r="U10229" t="s">
        <v>56990</v>
      </c>
      <c r="W10229" t="s">
        <v>45053</v>
      </c>
      <c r="X10229" t="s">
        <v>46578</v>
      </c>
    </row>
    <row r="10230" spans="1:24">
      <c r="A10230">
        <f>HYPERLINK("https://www.philgeps.gov.ph/GEPSNONPILOT/Tender/SplashBidNoticeAbstractUI.aspx?menuIndex=3&amp;refID=7055592&amp;Result=3","7055592")</f>
        <v>0</v>
      </c>
      <c r="B10230" t="s">
        <v>2567</v>
      </c>
      <c r="C10230" t="s">
        <v>13211</v>
      </c>
      <c r="D10230" t="s">
        <v>18784</v>
      </c>
      <c r="E10230" t="s">
        <v>27755</v>
      </c>
      <c r="F10230" t="s">
        <v>32664</v>
      </c>
      <c r="G10230" t="s">
        <v>32671</v>
      </c>
      <c r="H10230" t="s">
        <v>32681</v>
      </c>
      <c r="I10230" t="s">
        <v>32681</v>
      </c>
      <c r="J10230" t="s">
        <v>38925</v>
      </c>
      <c r="K10230" t="s">
        <v>42281</v>
      </c>
      <c r="M10230" t="s">
        <v>45378</v>
      </c>
      <c r="N10230" t="s">
        <v>46569</v>
      </c>
      <c r="O10230" t="s">
        <v>46570</v>
      </c>
      <c r="P10230">
        <v>0</v>
      </c>
      <c r="Q10230">
        <v>2</v>
      </c>
      <c r="R10230" t="s">
        <v>46577</v>
      </c>
      <c r="S10230" t="s">
        <v>46808</v>
      </c>
      <c r="T10230" t="s">
        <v>48287</v>
      </c>
      <c r="U10230" t="s">
        <v>56980</v>
      </c>
      <c r="W10230" t="s">
        <v>45378</v>
      </c>
      <c r="X10230" t="s">
        <v>46578</v>
      </c>
    </row>
    <row r="10231" spans="1:24">
      <c r="A10231">
        <f>HYPERLINK("https://www.philgeps.gov.ph/GEPSNONPILOT/Tender/SplashBidNoticeAbstractUI.aspx?menuIndex=3&amp;refID=7055590&amp;Result=3","7055590")</f>
        <v>0</v>
      </c>
      <c r="B10231" t="s">
        <v>2283</v>
      </c>
      <c r="C10231" t="s">
        <v>13212</v>
      </c>
      <c r="D10231" t="s">
        <v>18784</v>
      </c>
      <c r="E10231" t="s">
        <v>27756</v>
      </c>
      <c r="F10231" t="s">
        <v>32664</v>
      </c>
      <c r="G10231" t="s">
        <v>32672</v>
      </c>
      <c r="H10231" t="s">
        <v>12635</v>
      </c>
      <c r="I10231" t="s">
        <v>6223</v>
      </c>
      <c r="J10231" t="s">
        <v>32865</v>
      </c>
      <c r="K10231" t="s">
        <v>42281</v>
      </c>
      <c r="M10231" t="s">
        <v>45053</v>
      </c>
      <c r="N10231" t="s">
        <v>46569</v>
      </c>
      <c r="O10231" t="s">
        <v>46570</v>
      </c>
      <c r="P10231">
        <v>0</v>
      </c>
      <c r="Q10231">
        <v>1</v>
      </c>
      <c r="R10231" t="s">
        <v>46577</v>
      </c>
      <c r="S10231" t="s">
        <v>46808</v>
      </c>
      <c r="T10231" t="s">
        <v>48307</v>
      </c>
      <c r="U10231" t="s">
        <v>56991</v>
      </c>
      <c r="W10231" t="s">
        <v>45053</v>
      </c>
      <c r="X10231" t="s">
        <v>46578</v>
      </c>
    </row>
    <row r="10232" spans="1:24">
      <c r="A10232">
        <f>HYPERLINK("https://www.philgeps.gov.ph/GEPSNONPILOT/Tender/SplashBidNoticeAbstractUI.aspx?menuIndex=3&amp;refID=7055587&amp;Result=3","7055587")</f>
        <v>0</v>
      </c>
      <c r="B10232" t="s">
        <v>2752</v>
      </c>
      <c r="C10232" t="s">
        <v>13213</v>
      </c>
      <c r="D10232" t="s">
        <v>18786</v>
      </c>
      <c r="E10232" t="s">
        <v>19612</v>
      </c>
      <c r="F10232" t="s">
        <v>32664</v>
      </c>
      <c r="G10232" t="s">
        <v>32672</v>
      </c>
      <c r="H10232" t="s">
        <v>32683</v>
      </c>
      <c r="I10232" t="s">
        <v>10627</v>
      </c>
      <c r="J10232" t="s">
        <v>34587</v>
      </c>
      <c r="K10232" t="s">
        <v>42281</v>
      </c>
      <c r="M10232" t="s">
        <v>45586</v>
      </c>
      <c r="N10232" t="s">
        <v>46569</v>
      </c>
      <c r="O10232" t="s">
        <v>46570</v>
      </c>
      <c r="P10232">
        <v>0</v>
      </c>
      <c r="Q10232">
        <v>0</v>
      </c>
      <c r="R10232" t="s">
        <v>46577</v>
      </c>
      <c r="S10232" t="s">
        <v>46808</v>
      </c>
      <c r="T10232" t="s">
        <v>48381</v>
      </c>
      <c r="U10232" t="s">
        <v>56992</v>
      </c>
      <c r="W10232" t="s">
        <v>45586</v>
      </c>
      <c r="X10232" t="s">
        <v>46578</v>
      </c>
    </row>
    <row r="10233" spans="1:24">
      <c r="A10233">
        <f>HYPERLINK("https://www.philgeps.gov.ph/GEPSNONPILOT/Tender/SplashBidNoticeAbstractUI.aspx?menuIndex=3&amp;refID=7055562&amp;Result=3","7055562")</f>
        <v>0</v>
      </c>
      <c r="B10233" t="s">
        <v>952</v>
      </c>
      <c r="C10233" t="s">
        <v>13214</v>
      </c>
      <c r="D10233" t="s">
        <v>18786</v>
      </c>
      <c r="E10233" t="s">
        <v>27757</v>
      </c>
      <c r="F10233" t="s">
        <v>32664</v>
      </c>
      <c r="G10233" t="s">
        <v>32677</v>
      </c>
      <c r="H10233" t="s">
        <v>12635</v>
      </c>
      <c r="I10233" t="s">
        <v>11464</v>
      </c>
      <c r="J10233" t="s">
        <v>34986</v>
      </c>
      <c r="K10233" t="s">
        <v>42281</v>
      </c>
      <c r="M10233" t="s">
        <v>43558</v>
      </c>
      <c r="N10233" t="s">
        <v>46569</v>
      </c>
      <c r="O10233" t="s">
        <v>46570</v>
      </c>
      <c r="P10233">
        <v>0</v>
      </c>
      <c r="Q10233">
        <v>4</v>
      </c>
      <c r="R10233" t="s">
        <v>46577</v>
      </c>
      <c r="S10233" t="s">
        <v>46808</v>
      </c>
      <c r="T10233" t="s">
        <v>48221</v>
      </c>
      <c r="U10233" t="s">
        <v>56993</v>
      </c>
      <c r="V10233" t="s">
        <v>62698</v>
      </c>
      <c r="W10233" t="s">
        <v>43558</v>
      </c>
      <c r="X10233" t="s">
        <v>46578</v>
      </c>
    </row>
    <row r="10234" spans="1:24">
      <c r="A10234">
        <f>HYPERLINK("https://www.philgeps.gov.ph/GEPSNONPILOT/Tender/SplashBidNoticeAbstractUI.aspx?menuIndex=3&amp;refID=7055603&amp;Result=3","7055603")</f>
        <v>0</v>
      </c>
      <c r="B10234" t="s">
        <v>2283</v>
      </c>
      <c r="C10234" t="s">
        <v>13215</v>
      </c>
      <c r="D10234" t="s">
        <v>18784</v>
      </c>
      <c r="E10234" t="s">
        <v>27758</v>
      </c>
      <c r="F10234" t="s">
        <v>32664</v>
      </c>
      <c r="G10234" t="s">
        <v>32672</v>
      </c>
      <c r="H10234" t="s">
        <v>12635</v>
      </c>
      <c r="I10234" t="s">
        <v>6223</v>
      </c>
      <c r="J10234" t="s">
        <v>33051</v>
      </c>
      <c r="K10234" t="s">
        <v>42281</v>
      </c>
      <c r="M10234" t="s">
        <v>45053</v>
      </c>
      <c r="N10234" t="s">
        <v>46569</v>
      </c>
      <c r="O10234" t="s">
        <v>46570</v>
      </c>
      <c r="P10234">
        <v>0</v>
      </c>
      <c r="Q10234">
        <v>1</v>
      </c>
      <c r="R10234" t="s">
        <v>46577</v>
      </c>
      <c r="S10234" t="s">
        <v>46808</v>
      </c>
      <c r="T10234" t="s">
        <v>48307</v>
      </c>
      <c r="U10234" t="s">
        <v>56994</v>
      </c>
      <c r="W10234" t="s">
        <v>45053</v>
      </c>
      <c r="X10234" t="s">
        <v>46578</v>
      </c>
    </row>
    <row r="10235" spans="1:24">
      <c r="A10235">
        <f>HYPERLINK("https://www.philgeps.gov.ph/GEPSNONPILOT/Tender/SplashBidNoticeAbstractUI.aspx?menuIndex=3&amp;refID=7055560&amp;Result=3","7055560")</f>
        <v>0</v>
      </c>
      <c r="B10235" t="s">
        <v>2756</v>
      </c>
      <c r="C10235" t="s">
        <v>13216</v>
      </c>
      <c r="D10235" t="s">
        <v>18830</v>
      </c>
      <c r="E10235" t="s">
        <v>27759</v>
      </c>
      <c r="F10235" t="s">
        <v>32664</v>
      </c>
      <c r="G10235" t="s">
        <v>32672</v>
      </c>
      <c r="H10235" t="s">
        <v>32683</v>
      </c>
      <c r="I10235" t="s">
        <v>10627</v>
      </c>
      <c r="J10235" t="s">
        <v>32943</v>
      </c>
      <c r="K10235" t="s">
        <v>42283</v>
      </c>
      <c r="M10235" t="s">
        <v>45591</v>
      </c>
      <c r="N10235" t="s">
        <v>46569</v>
      </c>
      <c r="O10235" t="s">
        <v>46570</v>
      </c>
      <c r="P10235">
        <v>0</v>
      </c>
      <c r="Q10235">
        <v>0</v>
      </c>
      <c r="R10235" t="s">
        <v>46577</v>
      </c>
      <c r="S10235" t="s">
        <v>46808</v>
      </c>
      <c r="T10235" t="s">
        <v>48632</v>
      </c>
      <c r="U10235" t="s">
        <v>56995</v>
      </c>
      <c r="V10235" t="s">
        <v>62656</v>
      </c>
      <c r="W10235" t="s">
        <v>63569</v>
      </c>
      <c r="X10235" t="s">
        <v>46578</v>
      </c>
    </row>
    <row r="10236" spans="1:24">
      <c r="A10236">
        <f>HYPERLINK("https://www.philgeps.gov.ph/GEPSNONPILOT/Tender/SplashBidNoticeAbstractUI.aspx?menuIndex=3&amp;refID=7055589&amp;Result=3","7055589")</f>
        <v>0</v>
      </c>
      <c r="B10236" t="s">
        <v>2567</v>
      </c>
      <c r="C10236" t="s">
        <v>13217</v>
      </c>
      <c r="D10236" t="s">
        <v>18784</v>
      </c>
      <c r="E10236" t="s">
        <v>27760</v>
      </c>
      <c r="F10236" t="s">
        <v>32664</v>
      </c>
      <c r="G10236" t="s">
        <v>32671</v>
      </c>
      <c r="H10236" t="s">
        <v>32681</v>
      </c>
      <c r="I10236" t="s">
        <v>32681</v>
      </c>
      <c r="J10236" t="s">
        <v>38926</v>
      </c>
      <c r="K10236" t="s">
        <v>42281</v>
      </c>
      <c r="M10236" t="s">
        <v>45378</v>
      </c>
      <c r="N10236" t="s">
        <v>46569</v>
      </c>
      <c r="O10236" t="s">
        <v>46570</v>
      </c>
      <c r="P10236">
        <v>0</v>
      </c>
      <c r="Q10236">
        <v>2</v>
      </c>
      <c r="R10236" t="s">
        <v>46577</v>
      </c>
      <c r="S10236" t="s">
        <v>46808</v>
      </c>
      <c r="T10236" t="s">
        <v>48287</v>
      </c>
      <c r="U10236" t="s">
        <v>56980</v>
      </c>
      <c r="W10236" t="s">
        <v>45378</v>
      </c>
      <c r="X10236" t="s">
        <v>46578</v>
      </c>
    </row>
    <row r="10237" spans="1:24">
      <c r="A10237">
        <f>HYPERLINK("https://www.philgeps.gov.ph/GEPSNONPILOT/Tender/SplashBidNoticeAbstractUI.aspx?menuIndex=3&amp;refID=7055495&amp;Result=3","7055495")</f>
        <v>0</v>
      </c>
      <c r="B10237" t="s">
        <v>2567</v>
      </c>
      <c r="C10237" t="s">
        <v>13218</v>
      </c>
      <c r="D10237" t="s">
        <v>18784</v>
      </c>
      <c r="E10237" t="s">
        <v>27761</v>
      </c>
      <c r="F10237" t="s">
        <v>32664</v>
      </c>
      <c r="G10237" t="s">
        <v>32672</v>
      </c>
      <c r="H10237" t="s">
        <v>32683</v>
      </c>
      <c r="I10237" t="s">
        <v>10627</v>
      </c>
      <c r="J10237" t="s">
        <v>38927</v>
      </c>
      <c r="K10237" t="s">
        <v>42285</v>
      </c>
      <c r="M10237" t="s">
        <v>45378</v>
      </c>
      <c r="N10237" t="s">
        <v>46569</v>
      </c>
      <c r="O10237" t="s">
        <v>46570</v>
      </c>
      <c r="Q10237">
        <v>15</v>
      </c>
      <c r="R10237" t="s">
        <v>46577</v>
      </c>
      <c r="S10237" t="s">
        <v>46872</v>
      </c>
      <c r="T10237" t="s">
        <v>48313</v>
      </c>
      <c r="U10237" t="s">
        <v>55954</v>
      </c>
      <c r="W10237" t="s">
        <v>45378</v>
      </c>
      <c r="X10237" t="s">
        <v>46578</v>
      </c>
    </row>
    <row r="10238" spans="1:24">
      <c r="A10238">
        <f>HYPERLINK("https://www.philgeps.gov.ph/GEPSNONPILOT/Tender/SplashBidNoticeAbstractUI.aspx?menuIndex=3&amp;refID=7055584&amp;Result=3","7055584")</f>
        <v>0</v>
      </c>
      <c r="B10238" t="s">
        <v>1028</v>
      </c>
      <c r="C10238" t="s">
        <v>13219</v>
      </c>
      <c r="D10238" t="s">
        <v>18805</v>
      </c>
      <c r="E10238" t="s">
        <v>27762</v>
      </c>
      <c r="F10238" t="s">
        <v>32664</v>
      </c>
      <c r="G10238" t="s">
        <v>32677</v>
      </c>
      <c r="H10238" t="s">
        <v>32683</v>
      </c>
      <c r="I10238" t="s">
        <v>10627</v>
      </c>
      <c r="J10238" t="s">
        <v>38928</v>
      </c>
      <c r="K10238" t="s">
        <v>42435</v>
      </c>
      <c r="M10238" t="s">
        <v>43640</v>
      </c>
      <c r="N10238" t="s">
        <v>46569</v>
      </c>
      <c r="O10238" t="s">
        <v>46570</v>
      </c>
      <c r="P10238">
        <v>0</v>
      </c>
      <c r="Q10238">
        <v>3</v>
      </c>
      <c r="R10238" t="s">
        <v>46577</v>
      </c>
      <c r="S10238" t="s">
        <v>46808</v>
      </c>
      <c r="T10238" t="s">
        <v>48349</v>
      </c>
      <c r="U10238" t="s">
        <v>56996</v>
      </c>
      <c r="W10238" t="s">
        <v>63539</v>
      </c>
      <c r="X10238" t="s">
        <v>46578</v>
      </c>
    </row>
    <row r="10239" spans="1:24">
      <c r="A10239">
        <f>HYPERLINK("https://www.philgeps.gov.ph/GEPSNONPILOT/Tender/SplashBidNoticeAbstractUI.aspx?menuIndex=3&amp;refID=7055547&amp;Result=3","7055547")</f>
        <v>0</v>
      </c>
      <c r="B10239" t="s">
        <v>2797</v>
      </c>
      <c r="C10239" t="s">
        <v>13220</v>
      </c>
      <c r="D10239" t="s">
        <v>18799</v>
      </c>
      <c r="E10239" t="s">
        <v>27763</v>
      </c>
      <c r="F10239" t="s">
        <v>32665</v>
      </c>
      <c r="G10239" t="s">
        <v>32671</v>
      </c>
      <c r="H10239" t="s">
        <v>12635</v>
      </c>
      <c r="I10239" t="s">
        <v>32717</v>
      </c>
      <c r="J10239" t="s">
        <v>34156</v>
      </c>
      <c r="K10239" t="s">
        <v>42283</v>
      </c>
      <c r="M10239" t="s">
        <v>45641</v>
      </c>
      <c r="N10239" t="s">
        <v>46569</v>
      </c>
      <c r="O10239" t="s">
        <v>46570</v>
      </c>
      <c r="P10239">
        <v>0</v>
      </c>
      <c r="Q10239">
        <v>0</v>
      </c>
      <c r="R10239" t="s">
        <v>46577</v>
      </c>
      <c r="S10239" t="s">
        <v>46808</v>
      </c>
      <c r="T10239" t="s">
        <v>48492</v>
      </c>
      <c r="U10239" t="s">
        <v>56997</v>
      </c>
      <c r="W10239" t="s">
        <v>45641</v>
      </c>
      <c r="X10239" t="s">
        <v>46578</v>
      </c>
    </row>
    <row r="10240" spans="1:24">
      <c r="A10240">
        <f>HYPERLINK("https://www.philgeps.gov.ph/GEPSNONPILOT/Tender/SplashBidNoticeAbstractUI.aspx?menuIndex=3&amp;refID=7055306&amp;Result=3","7055306")</f>
        <v>0</v>
      </c>
      <c r="B10240" t="s">
        <v>1615</v>
      </c>
      <c r="C10240" t="s">
        <v>13221</v>
      </c>
      <c r="D10240" t="s">
        <v>18842</v>
      </c>
      <c r="E10240" t="s">
        <v>27764</v>
      </c>
      <c r="F10240" t="s">
        <v>32664</v>
      </c>
      <c r="G10240" t="s">
        <v>32672</v>
      </c>
      <c r="H10240" t="s">
        <v>32683</v>
      </c>
      <c r="I10240" t="s">
        <v>10627</v>
      </c>
      <c r="J10240" t="s">
        <v>32943</v>
      </c>
      <c r="K10240" t="s">
        <v>42290</v>
      </c>
      <c r="M10240" t="s">
        <v>44295</v>
      </c>
      <c r="N10240" t="s">
        <v>46569</v>
      </c>
      <c r="O10240" t="s">
        <v>46570</v>
      </c>
      <c r="P10240">
        <v>0</v>
      </c>
      <c r="Q10240">
        <v>0</v>
      </c>
      <c r="R10240" t="s">
        <v>46577</v>
      </c>
      <c r="S10240" t="s">
        <v>46808</v>
      </c>
      <c r="T10240" t="s">
        <v>48316</v>
      </c>
      <c r="U10240" t="s">
        <v>56875</v>
      </c>
      <c r="W10240" t="s">
        <v>44295</v>
      </c>
      <c r="X10240" t="s">
        <v>46578</v>
      </c>
    </row>
    <row r="10241" spans="1:24">
      <c r="A10241">
        <f>HYPERLINK("https://www.philgeps.gov.ph/GEPSNONPILOT/Tender/SplashBidNoticeAbstractUI.aspx?menuIndex=3&amp;refID=7055554&amp;Result=3","7055554")</f>
        <v>0</v>
      </c>
      <c r="B10241" t="s">
        <v>2559</v>
      </c>
      <c r="C10241" t="s">
        <v>13222</v>
      </c>
      <c r="D10241" t="s">
        <v>18859</v>
      </c>
      <c r="E10241" t="s">
        <v>27765</v>
      </c>
      <c r="F10241" t="s">
        <v>32664</v>
      </c>
      <c r="G10241" t="s">
        <v>32672</v>
      </c>
      <c r="H10241" t="s">
        <v>12635</v>
      </c>
      <c r="I10241" t="s">
        <v>13883</v>
      </c>
      <c r="J10241" t="s">
        <v>33396</v>
      </c>
      <c r="K10241" t="s">
        <v>42281</v>
      </c>
      <c r="M10241" t="s">
        <v>45370</v>
      </c>
      <c r="N10241" t="s">
        <v>46569</v>
      </c>
      <c r="O10241" t="s">
        <v>46570</v>
      </c>
      <c r="P10241">
        <v>0</v>
      </c>
      <c r="Q10241">
        <v>3</v>
      </c>
      <c r="R10241" t="s">
        <v>46577</v>
      </c>
      <c r="S10241" t="s">
        <v>46808</v>
      </c>
      <c r="T10241" t="s">
        <v>48502</v>
      </c>
      <c r="U10241" t="s">
        <v>56998</v>
      </c>
      <c r="V10241" t="s">
        <v>62699</v>
      </c>
      <c r="W10241" t="s">
        <v>45370</v>
      </c>
      <c r="X10241" t="s">
        <v>46578</v>
      </c>
    </row>
    <row r="10242" spans="1:24">
      <c r="A10242">
        <f>HYPERLINK("https://www.philgeps.gov.ph/GEPSNONPILOT/Tender/SplashBidNoticeAbstractUI.aspx?menuIndex=3&amp;refID=7055544&amp;Result=3","7055544")</f>
        <v>0</v>
      </c>
      <c r="B10242" t="s">
        <v>2820</v>
      </c>
      <c r="C10242" t="s">
        <v>13223</v>
      </c>
      <c r="D10242" t="s">
        <v>18826</v>
      </c>
      <c r="E10242" t="s">
        <v>19681</v>
      </c>
      <c r="F10242" t="s">
        <v>32664</v>
      </c>
      <c r="G10242" t="s">
        <v>32672</v>
      </c>
      <c r="H10242" t="s">
        <v>32683</v>
      </c>
      <c r="I10242" t="s">
        <v>10627</v>
      </c>
      <c r="J10242" t="s">
        <v>33051</v>
      </c>
      <c r="K10242" t="s">
        <v>42298</v>
      </c>
      <c r="M10242" t="s">
        <v>45664</v>
      </c>
      <c r="N10242" t="s">
        <v>46569</v>
      </c>
      <c r="O10242" t="s">
        <v>46570</v>
      </c>
      <c r="P10242">
        <v>0</v>
      </c>
      <c r="Q10242">
        <v>1</v>
      </c>
      <c r="R10242" t="s">
        <v>46577</v>
      </c>
      <c r="S10242" t="s">
        <v>46808</v>
      </c>
      <c r="T10242" t="s">
        <v>48375</v>
      </c>
      <c r="U10242" t="s">
        <v>56999</v>
      </c>
      <c r="W10242" t="s">
        <v>45664</v>
      </c>
      <c r="X10242" t="s">
        <v>46578</v>
      </c>
    </row>
    <row r="10243" spans="1:24">
      <c r="A10243">
        <f>HYPERLINK("https://www.philgeps.gov.ph/GEPSNONPILOT/Tender/SplashBidNoticeAbstractUI.aspx?menuIndex=3&amp;refID=7055301&amp;Result=3","7055301")</f>
        <v>0</v>
      </c>
      <c r="B10243" t="s">
        <v>418</v>
      </c>
      <c r="C10243" t="s">
        <v>13224</v>
      </c>
      <c r="D10243" t="s">
        <v>18784</v>
      </c>
      <c r="E10243" t="s">
        <v>27766</v>
      </c>
      <c r="F10243" t="s">
        <v>32664</v>
      </c>
      <c r="G10243" t="s">
        <v>32672</v>
      </c>
      <c r="H10243" t="s">
        <v>12635</v>
      </c>
      <c r="I10243" t="s">
        <v>32708</v>
      </c>
      <c r="J10243" t="s">
        <v>32898</v>
      </c>
      <c r="K10243" t="s">
        <v>42289</v>
      </c>
      <c r="M10243" t="s">
        <v>43105</v>
      </c>
      <c r="N10243" t="s">
        <v>46569</v>
      </c>
      <c r="O10243" t="s">
        <v>46570</v>
      </c>
      <c r="P10243">
        <v>0</v>
      </c>
      <c r="Q10243">
        <v>4</v>
      </c>
      <c r="R10243" t="s">
        <v>46577</v>
      </c>
      <c r="S10243" t="s">
        <v>46808</v>
      </c>
      <c r="T10243" t="s">
        <v>48307</v>
      </c>
      <c r="U10243" t="s">
        <v>56837</v>
      </c>
      <c r="W10243" t="s">
        <v>43105</v>
      </c>
      <c r="X10243" t="s">
        <v>46578</v>
      </c>
    </row>
    <row r="10244" spans="1:24">
      <c r="A10244">
        <f>HYPERLINK("https://www.philgeps.gov.ph/GEPSNONPILOT/Tender/SplashBidNoticeAbstractUI.aspx?menuIndex=3&amp;refID=7055568&amp;Result=3","7055568")</f>
        <v>0</v>
      </c>
      <c r="B10244" t="s">
        <v>2821</v>
      </c>
      <c r="C10244" t="s">
        <v>13225</v>
      </c>
      <c r="D10244" t="s">
        <v>18783</v>
      </c>
      <c r="E10244" t="s">
        <v>19193</v>
      </c>
      <c r="F10244" t="s">
        <v>32664</v>
      </c>
      <c r="G10244" t="s">
        <v>32672</v>
      </c>
      <c r="H10244" t="s">
        <v>12635</v>
      </c>
      <c r="I10244" t="s">
        <v>4439</v>
      </c>
      <c r="J10244" t="s">
        <v>32898</v>
      </c>
      <c r="K10244" t="s">
        <v>42281</v>
      </c>
      <c r="M10244" t="s">
        <v>45665</v>
      </c>
      <c r="N10244" t="s">
        <v>46569</v>
      </c>
      <c r="O10244" t="s">
        <v>46570</v>
      </c>
      <c r="P10244">
        <v>0</v>
      </c>
      <c r="Q10244">
        <v>0</v>
      </c>
      <c r="R10244" t="s">
        <v>46577</v>
      </c>
      <c r="S10244" t="s">
        <v>46808</v>
      </c>
      <c r="T10244" t="s">
        <v>48420</v>
      </c>
      <c r="U10244" t="s">
        <v>57000</v>
      </c>
      <c r="W10244" t="s">
        <v>45665</v>
      </c>
      <c r="X10244" t="s">
        <v>46578</v>
      </c>
    </row>
    <row r="10245" spans="1:24">
      <c r="A10245">
        <f>HYPERLINK("https://www.philgeps.gov.ph/GEPSNONPILOT/Tender/SplashBidNoticeAbstractUI.aspx?menuIndex=3&amp;refID=7055549&amp;Result=3","7055549")</f>
        <v>0</v>
      </c>
      <c r="B10245" t="s">
        <v>952</v>
      </c>
      <c r="C10245" t="s">
        <v>13226</v>
      </c>
      <c r="D10245" t="s">
        <v>18786</v>
      </c>
      <c r="E10245" t="s">
        <v>27767</v>
      </c>
      <c r="F10245" t="s">
        <v>32664</v>
      </c>
      <c r="G10245" t="s">
        <v>32677</v>
      </c>
      <c r="H10245" t="s">
        <v>12635</v>
      </c>
      <c r="I10245" t="s">
        <v>32684</v>
      </c>
      <c r="J10245" t="s">
        <v>38929</v>
      </c>
      <c r="K10245" t="s">
        <v>42281</v>
      </c>
      <c r="M10245" t="s">
        <v>43558</v>
      </c>
      <c r="N10245" t="s">
        <v>46569</v>
      </c>
      <c r="O10245" t="s">
        <v>46570</v>
      </c>
      <c r="P10245">
        <v>0</v>
      </c>
      <c r="Q10245">
        <v>5</v>
      </c>
      <c r="R10245" t="s">
        <v>46577</v>
      </c>
      <c r="S10245" t="s">
        <v>46808</v>
      </c>
      <c r="T10245" t="s">
        <v>48221</v>
      </c>
      <c r="U10245" t="s">
        <v>57001</v>
      </c>
      <c r="V10245" t="s">
        <v>62700</v>
      </c>
      <c r="W10245" t="s">
        <v>43558</v>
      </c>
      <c r="X10245" t="s">
        <v>46578</v>
      </c>
    </row>
    <row r="10246" spans="1:24">
      <c r="A10246">
        <f>HYPERLINK("https://www.philgeps.gov.ph/GEPSNONPILOT/Tender/SplashBidNoticeAbstractUI.aspx?menuIndex=3&amp;refID=7053800&amp;Result=3","7053800")</f>
        <v>0</v>
      </c>
      <c r="B10246" t="s">
        <v>2651</v>
      </c>
      <c r="C10246" t="s">
        <v>13227</v>
      </c>
      <c r="D10246" t="s">
        <v>18797</v>
      </c>
      <c r="E10246" t="s">
        <v>27768</v>
      </c>
      <c r="F10246" t="s">
        <v>32664</v>
      </c>
      <c r="G10246" t="s">
        <v>32671</v>
      </c>
      <c r="H10246" t="s">
        <v>32683</v>
      </c>
      <c r="I10246" t="s">
        <v>6553</v>
      </c>
      <c r="J10246" t="s">
        <v>38930</v>
      </c>
      <c r="K10246" t="s">
        <v>42281</v>
      </c>
      <c r="M10246" t="s">
        <v>45473</v>
      </c>
      <c r="N10246" t="s">
        <v>46569</v>
      </c>
      <c r="O10246" t="s">
        <v>46570</v>
      </c>
      <c r="P10246">
        <v>0</v>
      </c>
      <c r="Q10246">
        <v>2</v>
      </c>
      <c r="R10246" t="s">
        <v>46577</v>
      </c>
      <c r="S10246" t="s">
        <v>46808</v>
      </c>
      <c r="T10246" t="s">
        <v>48562</v>
      </c>
      <c r="U10246" t="s">
        <v>57002</v>
      </c>
      <c r="W10246" t="s">
        <v>45473</v>
      </c>
      <c r="X10246" t="s">
        <v>46578</v>
      </c>
    </row>
    <row r="10247" spans="1:24">
      <c r="A10247">
        <f>HYPERLINK("https://www.philgeps.gov.ph/GEPSNONPILOT/Tender/SplashBidNoticeAbstractUI.aspx?menuIndex=3&amp;refID=7055303&amp;Result=3","7055303")</f>
        <v>0</v>
      </c>
      <c r="B10247" t="s">
        <v>146</v>
      </c>
      <c r="C10247" t="s">
        <v>13228</v>
      </c>
      <c r="E10247" t="s">
        <v>27769</v>
      </c>
      <c r="F10247" t="s">
        <v>32664</v>
      </c>
      <c r="G10247" t="s">
        <v>32672</v>
      </c>
      <c r="H10247" t="s">
        <v>12635</v>
      </c>
      <c r="I10247" t="s">
        <v>32698</v>
      </c>
      <c r="J10247" t="s">
        <v>38907</v>
      </c>
      <c r="K10247" t="s">
        <v>42281</v>
      </c>
      <c r="M10247" t="s">
        <v>45292</v>
      </c>
      <c r="N10247" t="s">
        <v>46569</v>
      </c>
      <c r="O10247" t="s">
        <v>46570</v>
      </c>
      <c r="Q10247">
        <v>1</v>
      </c>
      <c r="R10247" t="s">
        <v>46577</v>
      </c>
      <c r="S10247" t="s">
        <v>46873</v>
      </c>
      <c r="T10247" t="s">
        <v>48302</v>
      </c>
      <c r="U10247" t="s">
        <v>57003</v>
      </c>
      <c r="W10247" t="s">
        <v>45292</v>
      </c>
      <c r="X10247" t="s">
        <v>46578</v>
      </c>
    </row>
    <row r="10248" spans="1:24">
      <c r="A10248">
        <f>HYPERLINK("https://www.philgeps.gov.ph/GEPSNONPILOT/Tender/SplashBidNoticeAbstractUI.aspx?menuIndex=3&amp;refID=7055305&amp;Result=3","7055305")</f>
        <v>0</v>
      </c>
      <c r="B10248" t="s">
        <v>203</v>
      </c>
      <c r="C10248" t="s">
        <v>13229</v>
      </c>
      <c r="D10248" t="s">
        <v>18844</v>
      </c>
      <c r="E10248" t="s">
        <v>13229</v>
      </c>
      <c r="F10248" t="s">
        <v>32664</v>
      </c>
      <c r="G10248" t="s">
        <v>32671</v>
      </c>
      <c r="H10248" t="s">
        <v>12635</v>
      </c>
      <c r="I10248" t="s">
        <v>32699</v>
      </c>
      <c r="J10248" t="s">
        <v>33147</v>
      </c>
      <c r="K10248" t="s">
        <v>42281</v>
      </c>
      <c r="M10248" t="s">
        <v>45636</v>
      </c>
      <c r="N10248" t="s">
        <v>46569</v>
      </c>
      <c r="O10248" t="s">
        <v>46570</v>
      </c>
      <c r="P10248">
        <v>0</v>
      </c>
      <c r="Q10248">
        <v>2</v>
      </c>
      <c r="R10248" t="s">
        <v>46577</v>
      </c>
      <c r="S10248" t="s">
        <v>46808</v>
      </c>
      <c r="T10248" t="s">
        <v>48254</v>
      </c>
      <c r="U10248" t="s">
        <v>57004</v>
      </c>
      <c r="W10248" t="s">
        <v>45636</v>
      </c>
      <c r="X10248" t="s">
        <v>46578</v>
      </c>
    </row>
    <row r="10249" spans="1:24">
      <c r="A10249">
        <f>HYPERLINK("https://www.philgeps.gov.ph/GEPSNONPILOT/Tender/SplashBidNoticeAbstractUI.aspx?menuIndex=3&amp;refID=7055553&amp;Result=3","7055553")</f>
        <v>0</v>
      </c>
      <c r="B10249" t="s">
        <v>2797</v>
      </c>
      <c r="C10249" t="s">
        <v>13230</v>
      </c>
      <c r="D10249" t="s">
        <v>18799</v>
      </c>
      <c r="E10249" t="s">
        <v>27770</v>
      </c>
      <c r="F10249" t="s">
        <v>32665</v>
      </c>
      <c r="G10249" t="s">
        <v>32671</v>
      </c>
      <c r="H10249" t="s">
        <v>12635</v>
      </c>
      <c r="I10249" t="s">
        <v>32717</v>
      </c>
      <c r="J10249" t="s">
        <v>38931</v>
      </c>
      <c r="K10249" t="s">
        <v>42283</v>
      </c>
      <c r="M10249" t="s">
        <v>45641</v>
      </c>
      <c r="N10249" t="s">
        <v>46569</v>
      </c>
      <c r="O10249" t="s">
        <v>46570</v>
      </c>
      <c r="P10249">
        <v>0</v>
      </c>
      <c r="Q10249">
        <v>2</v>
      </c>
      <c r="R10249" t="s">
        <v>46577</v>
      </c>
      <c r="S10249" t="s">
        <v>46808</v>
      </c>
      <c r="T10249" t="s">
        <v>48492</v>
      </c>
      <c r="U10249" t="s">
        <v>57005</v>
      </c>
      <c r="W10249" t="s">
        <v>45641</v>
      </c>
      <c r="X10249" t="s">
        <v>46578</v>
      </c>
    </row>
    <row r="10250" spans="1:24">
      <c r="A10250">
        <f>HYPERLINK("https://www.philgeps.gov.ph/GEPSNONPILOT/Tender/SplashBidNoticeAbstractUI.aspx?menuIndex=3&amp;refID=7053804&amp;Result=3","7053804")</f>
        <v>0</v>
      </c>
      <c r="B10250" t="s">
        <v>2822</v>
      </c>
      <c r="C10250" t="s">
        <v>13231</v>
      </c>
      <c r="D10250" t="s">
        <v>18806</v>
      </c>
      <c r="E10250" t="s">
        <v>25232</v>
      </c>
      <c r="F10250" t="s">
        <v>32664</v>
      </c>
      <c r="G10250" t="s">
        <v>32672</v>
      </c>
      <c r="H10250" t="s">
        <v>12635</v>
      </c>
      <c r="I10250" t="s">
        <v>32716</v>
      </c>
      <c r="J10250" t="s">
        <v>38932</v>
      </c>
      <c r="K10250" t="s">
        <v>42281</v>
      </c>
      <c r="M10250" t="s">
        <v>45666</v>
      </c>
      <c r="N10250" t="s">
        <v>46569</v>
      </c>
      <c r="O10250" t="s">
        <v>46570</v>
      </c>
      <c r="P10250">
        <v>0</v>
      </c>
      <c r="Q10250">
        <v>0</v>
      </c>
      <c r="R10250" t="s">
        <v>46577</v>
      </c>
      <c r="S10250" t="s">
        <v>46808</v>
      </c>
      <c r="T10250" t="s">
        <v>48287</v>
      </c>
      <c r="U10250" t="s">
        <v>57006</v>
      </c>
      <c r="W10250" t="s">
        <v>45666</v>
      </c>
      <c r="X10250" t="s">
        <v>46578</v>
      </c>
    </row>
    <row r="10251" spans="1:24">
      <c r="A10251">
        <f>HYPERLINK("https://www.philgeps.gov.ph/GEPSNONPILOT/Tender/SplashBidNoticeAbstractUI.aspx?menuIndex=3&amp;refID=6947353&amp;Result=3","6947353")</f>
        <v>0</v>
      </c>
      <c r="B10251" t="s">
        <v>2534</v>
      </c>
      <c r="C10251" t="s">
        <v>13232</v>
      </c>
      <c r="D10251" t="s">
        <v>18783</v>
      </c>
      <c r="E10251" t="s">
        <v>27771</v>
      </c>
      <c r="F10251" t="s">
        <v>32664</v>
      </c>
      <c r="G10251" t="s">
        <v>32672</v>
      </c>
      <c r="H10251" t="s">
        <v>32683</v>
      </c>
      <c r="I10251" t="s">
        <v>10627</v>
      </c>
      <c r="J10251" t="s">
        <v>38933</v>
      </c>
      <c r="K10251" t="s">
        <v>42298</v>
      </c>
      <c r="M10251" t="s">
        <v>45342</v>
      </c>
      <c r="N10251" t="s">
        <v>46569</v>
      </c>
      <c r="O10251" t="s">
        <v>46570</v>
      </c>
      <c r="P10251">
        <v>0</v>
      </c>
      <c r="Q10251">
        <v>0</v>
      </c>
      <c r="R10251" t="s">
        <v>46578</v>
      </c>
      <c r="S10251" t="s">
        <v>46874</v>
      </c>
      <c r="T10251" t="s">
        <v>48467</v>
      </c>
      <c r="U10251" t="s">
        <v>57007</v>
      </c>
      <c r="W10251" t="s">
        <v>45342</v>
      </c>
      <c r="X10251" t="s">
        <v>46686</v>
      </c>
    </row>
    <row r="10252" spans="1:24">
      <c r="A10252">
        <f>HYPERLINK("https://www.philgeps.gov.ph/GEPSNONPILOT/Tender/SplashBidNoticeAbstractUI.aspx?menuIndex=3&amp;refID=4527524&amp;Result=3","4527524")</f>
        <v>0</v>
      </c>
      <c r="B10252" t="s">
        <v>2823</v>
      </c>
      <c r="C10252" t="s">
        <v>13233</v>
      </c>
      <c r="D10252" t="s">
        <v>18781</v>
      </c>
      <c r="E10252" t="s">
        <v>27772</v>
      </c>
      <c r="F10252" t="s">
        <v>32665</v>
      </c>
      <c r="G10252" t="s">
        <v>32674</v>
      </c>
      <c r="H10252" t="s">
        <v>12635</v>
      </c>
      <c r="I10252" t="s">
        <v>8797</v>
      </c>
      <c r="J10252" t="s">
        <v>32898</v>
      </c>
      <c r="K10252" t="s">
        <v>42503</v>
      </c>
      <c r="M10252" t="s">
        <v>45667</v>
      </c>
      <c r="N10252" t="s">
        <v>46569</v>
      </c>
      <c r="O10252" t="s">
        <v>46570</v>
      </c>
      <c r="P10252">
        <v>0</v>
      </c>
      <c r="Q10252">
        <v>4</v>
      </c>
      <c r="R10252" t="s">
        <v>46578</v>
      </c>
      <c r="S10252" t="s">
        <v>46874</v>
      </c>
      <c r="T10252" t="s">
        <v>48448</v>
      </c>
      <c r="U10252" t="s">
        <v>57008</v>
      </c>
      <c r="W10252" t="s">
        <v>45667</v>
      </c>
      <c r="X10252" t="s">
        <v>63613</v>
      </c>
    </row>
    <row r="10253" spans="1:24">
      <c r="A10253">
        <f>HYPERLINK("https://www.philgeps.gov.ph/GEPSNONPILOT/Tender/SplashBidNoticeAbstractUI.aspx?menuIndex=3&amp;refID=7055633&amp;Result=3","7055633")</f>
        <v>0</v>
      </c>
      <c r="B10253" t="s">
        <v>2752</v>
      </c>
      <c r="C10253" t="s">
        <v>13234</v>
      </c>
      <c r="D10253" t="s">
        <v>18786</v>
      </c>
      <c r="E10253" t="s">
        <v>27773</v>
      </c>
      <c r="F10253" t="s">
        <v>32664</v>
      </c>
      <c r="G10253" t="s">
        <v>32672</v>
      </c>
      <c r="H10253" t="s">
        <v>32683</v>
      </c>
      <c r="I10253" t="s">
        <v>10627</v>
      </c>
      <c r="J10253" t="s">
        <v>32859</v>
      </c>
      <c r="K10253" t="s">
        <v>42289</v>
      </c>
      <c r="M10253" t="s">
        <v>45586</v>
      </c>
      <c r="N10253" t="s">
        <v>46569</v>
      </c>
      <c r="O10253" t="s">
        <v>46570</v>
      </c>
      <c r="P10253">
        <v>0</v>
      </c>
      <c r="Q10253">
        <v>0</v>
      </c>
      <c r="R10253" t="s">
        <v>46577</v>
      </c>
      <c r="S10253" t="s">
        <v>46808</v>
      </c>
      <c r="T10253" t="s">
        <v>48381</v>
      </c>
      <c r="U10253" t="s">
        <v>57009</v>
      </c>
      <c r="W10253" t="s">
        <v>45586</v>
      </c>
      <c r="X10253" t="s">
        <v>46578</v>
      </c>
    </row>
    <row r="10254" spans="1:24">
      <c r="A10254">
        <f>HYPERLINK("https://www.philgeps.gov.ph/GEPSNONPILOT/Tender/SplashBidNoticeAbstractUI.aspx?menuIndex=3&amp;refID=7055637&amp;Result=3","7055637")</f>
        <v>0</v>
      </c>
      <c r="B10254" t="s">
        <v>121</v>
      </c>
      <c r="C10254" t="s">
        <v>13235</v>
      </c>
      <c r="D10254" t="s">
        <v>18828</v>
      </c>
      <c r="E10254" t="s">
        <v>27774</v>
      </c>
      <c r="F10254" t="s">
        <v>32664</v>
      </c>
      <c r="G10254" t="s">
        <v>32672</v>
      </c>
      <c r="H10254" t="s">
        <v>32683</v>
      </c>
      <c r="I10254" t="s">
        <v>10627</v>
      </c>
      <c r="J10254" t="s">
        <v>33150</v>
      </c>
      <c r="K10254" t="s">
        <v>42504</v>
      </c>
      <c r="M10254" t="s">
        <v>42685</v>
      </c>
      <c r="N10254" t="s">
        <v>46569</v>
      </c>
      <c r="O10254" t="s">
        <v>46570</v>
      </c>
      <c r="P10254">
        <v>0</v>
      </c>
      <c r="Q10254">
        <v>4</v>
      </c>
      <c r="R10254" t="s">
        <v>46577</v>
      </c>
      <c r="S10254" t="s">
        <v>46808</v>
      </c>
      <c r="T10254" t="s">
        <v>48277</v>
      </c>
      <c r="U10254" t="s">
        <v>57010</v>
      </c>
      <c r="W10254" t="s">
        <v>42685</v>
      </c>
      <c r="X10254" t="s">
        <v>46578</v>
      </c>
    </row>
    <row r="10255" spans="1:24">
      <c r="A10255">
        <f>HYPERLINK("https://www.philgeps.gov.ph/GEPSNONPILOT/Tender/SplashBidNoticeAbstractUI.aspx?menuIndex=3&amp;refID=7055632&amp;Result=3","7055632")</f>
        <v>0</v>
      </c>
      <c r="B10255" t="s">
        <v>121</v>
      </c>
      <c r="C10255" t="s">
        <v>13236</v>
      </c>
      <c r="D10255" t="s">
        <v>18828</v>
      </c>
      <c r="E10255" t="s">
        <v>27775</v>
      </c>
      <c r="F10255" t="s">
        <v>32664</v>
      </c>
      <c r="G10255" t="s">
        <v>32672</v>
      </c>
      <c r="H10255" t="s">
        <v>12635</v>
      </c>
      <c r="I10255" t="s">
        <v>8730</v>
      </c>
      <c r="J10255" t="s">
        <v>38934</v>
      </c>
      <c r="K10255" t="s">
        <v>42291</v>
      </c>
      <c r="M10255" t="s">
        <v>42685</v>
      </c>
      <c r="N10255" t="s">
        <v>46569</v>
      </c>
      <c r="O10255" t="s">
        <v>46570</v>
      </c>
      <c r="P10255">
        <v>0</v>
      </c>
      <c r="Q10255">
        <v>2</v>
      </c>
      <c r="R10255" t="s">
        <v>46577</v>
      </c>
      <c r="S10255" t="s">
        <v>46808</v>
      </c>
      <c r="T10255" t="s">
        <v>48277</v>
      </c>
      <c r="U10255" t="s">
        <v>57011</v>
      </c>
      <c r="W10255" t="s">
        <v>42685</v>
      </c>
      <c r="X10255" t="s">
        <v>46578</v>
      </c>
    </row>
    <row r="10256" spans="1:24">
      <c r="A10256">
        <f>HYPERLINK("https://www.philgeps.gov.ph/GEPSNONPILOT/Tender/SplashBidNoticeAbstractUI.aspx?menuIndex=3&amp;refID=7055631&amp;Result=3","7055631")</f>
        <v>0</v>
      </c>
      <c r="B10256" t="s">
        <v>2567</v>
      </c>
      <c r="C10256" t="s">
        <v>13237</v>
      </c>
      <c r="D10256" t="s">
        <v>18784</v>
      </c>
      <c r="E10256" t="s">
        <v>27776</v>
      </c>
      <c r="F10256" t="s">
        <v>32664</v>
      </c>
      <c r="G10256" t="s">
        <v>32671</v>
      </c>
      <c r="H10256" t="s">
        <v>32681</v>
      </c>
      <c r="I10256" t="s">
        <v>32681</v>
      </c>
      <c r="J10256" t="s">
        <v>38935</v>
      </c>
      <c r="K10256" t="s">
        <v>42281</v>
      </c>
      <c r="M10256" t="s">
        <v>45378</v>
      </c>
      <c r="N10256" t="s">
        <v>46569</v>
      </c>
      <c r="O10256" t="s">
        <v>46570</v>
      </c>
      <c r="P10256">
        <v>0</v>
      </c>
      <c r="Q10256">
        <v>2</v>
      </c>
      <c r="R10256" t="s">
        <v>46577</v>
      </c>
      <c r="S10256" t="s">
        <v>46808</v>
      </c>
      <c r="T10256" t="s">
        <v>48287</v>
      </c>
      <c r="U10256" t="s">
        <v>56980</v>
      </c>
      <c r="W10256" t="s">
        <v>45378</v>
      </c>
      <c r="X10256" t="s">
        <v>46578</v>
      </c>
    </row>
    <row r="10257" spans="1:24">
      <c r="A10257">
        <f>HYPERLINK("https://www.philgeps.gov.ph/GEPSNONPILOT/Tender/SplashBidNoticeAbstractUI.aspx?menuIndex=3&amp;refID=7055628&amp;Result=3","7055628")</f>
        <v>0</v>
      </c>
      <c r="B10257" t="s">
        <v>2283</v>
      </c>
      <c r="C10257" t="s">
        <v>13238</v>
      </c>
      <c r="D10257" t="s">
        <v>18784</v>
      </c>
      <c r="E10257" t="s">
        <v>27777</v>
      </c>
      <c r="F10257" t="s">
        <v>32664</v>
      </c>
      <c r="G10257" t="s">
        <v>32672</v>
      </c>
      <c r="H10257" t="s">
        <v>12635</v>
      </c>
      <c r="I10257" t="s">
        <v>6223</v>
      </c>
      <c r="J10257" t="s">
        <v>38936</v>
      </c>
      <c r="K10257" t="s">
        <v>42298</v>
      </c>
      <c r="M10257" t="s">
        <v>45053</v>
      </c>
      <c r="N10257" t="s">
        <v>46569</v>
      </c>
      <c r="O10257" t="s">
        <v>46570</v>
      </c>
      <c r="P10257">
        <v>0</v>
      </c>
      <c r="Q10257">
        <v>2</v>
      </c>
      <c r="R10257" t="s">
        <v>46577</v>
      </c>
      <c r="S10257" t="s">
        <v>46808</v>
      </c>
      <c r="T10257" t="s">
        <v>48228</v>
      </c>
      <c r="U10257" t="s">
        <v>57012</v>
      </c>
      <c r="W10257" t="s">
        <v>45053</v>
      </c>
      <c r="X10257" t="s">
        <v>46578</v>
      </c>
    </row>
    <row r="10258" spans="1:24">
      <c r="A10258">
        <f>HYPERLINK("https://www.philgeps.gov.ph/GEPSNONPILOT/Tender/SplashBidNoticeAbstractUI.aspx?menuIndex=3&amp;refID=7055600&amp;Result=3","7055600")</f>
        <v>0</v>
      </c>
      <c r="B10258" t="s">
        <v>2283</v>
      </c>
      <c r="C10258" t="s">
        <v>13239</v>
      </c>
      <c r="D10258" t="s">
        <v>18784</v>
      </c>
      <c r="E10258" t="s">
        <v>27778</v>
      </c>
      <c r="F10258" t="s">
        <v>32664</v>
      </c>
      <c r="G10258" t="s">
        <v>32672</v>
      </c>
      <c r="H10258" t="s">
        <v>12635</v>
      </c>
      <c r="I10258" t="s">
        <v>6223</v>
      </c>
      <c r="J10258" t="s">
        <v>33128</v>
      </c>
      <c r="K10258" t="s">
        <v>42281</v>
      </c>
      <c r="M10258" t="s">
        <v>45053</v>
      </c>
      <c r="N10258" t="s">
        <v>46569</v>
      </c>
      <c r="O10258" t="s">
        <v>46570</v>
      </c>
      <c r="P10258">
        <v>0</v>
      </c>
      <c r="Q10258">
        <v>1</v>
      </c>
      <c r="R10258" t="s">
        <v>46577</v>
      </c>
      <c r="S10258" t="s">
        <v>46808</v>
      </c>
      <c r="T10258" t="s">
        <v>48307</v>
      </c>
      <c r="U10258" t="s">
        <v>57013</v>
      </c>
      <c r="W10258" t="s">
        <v>45053</v>
      </c>
      <c r="X10258" t="s">
        <v>46578</v>
      </c>
    </row>
    <row r="10259" spans="1:24">
      <c r="A10259">
        <f>HYPERLINK("https://www.philgeps.gov.ph/GEPSNONPILOT/Tender/SplashBidNoticeAbstractUI.aspx?menuIndex=3&amp;refID=7055627&amp;Result=3","7055627")</f>
        <v>0</v>
      </c>
      <c r="B10259" t="s">
        <v>2752</v>
      </c>
      <c r="C10259" t="s">
        <v>13240</v>
      </c>
      <c r="D10259" t="s">
        <v>18786</v>
      </c>
      <c r="E10259" t="s">
        <v>20676</v>
      </c>
      <c r="F10259" t="s">
        <v>32664</v>
      </c>
      <c r="G10259" t="s">
        <v>32672</v>
      </c>
      <c r="H10259" t="s">
        <v>32683</v>
      </c>
      <c r="I10259" t="s">
        <v>10627</v>
      </c>
      <c r="J10259" t="s">
        <v>38207</v>
      </c>
      <c r="K10259" t="s">
        <v>42298</v>
      </c>
      <c r="M10259" t="s">
        <v>45586</v>
      </c>
      <c r="N10259" t="s">
        <v>46569</v>
      </c>
      <c r="O10259" t="s">
        <v>46570</v>
      </c>
      <c r="P10259">
        <v>0</v>
      </c>
      <c r="Q10259">
        <v>0</v>
      </c>
      <c r="R10259" t="s">
        <v>46577</v>
      </c>
      <c r="S10259" t="s">
        <v>46808</v>
      </c>
      <c r="T10259" t="s">
        <v>48381</v>
      </c>
      <c r="U10259" t="s">
        <v>57014</v>
      </c>
      <c r="W10259" t="s">
        <v>45586</v>
      </c>
      <c r="X10259" t="s">
        <v>46578</v>
      </c>
    </row>
    <row r="10260" spans="1:24">
      <c r="A10260">
        <f>HYPERLINK("https://www.philgeps.gov.ph/GEPSNONPILOT/Tender/SplashBidNoticeAbstractUI.aspx?menuIndex=3&amp;refID=7055626&amp;Result=3","7055626")</f>
        <v>0</v>
      </c>
      <c r="B10260" t="s">
        <v>2567</v>
      </c>
      <c r="C10260" t="s">
        <v>13241</v>
      </c>
      <c r="D10260" t="s">
        <v>18784</v>
      </c>
      <c r="E10260" t="s">
        <v>27779</v>
      </c>
      <c r="F10260" t="s">
        <v>32664</v>
      </c>
      <c r="G10260" t="s">
        <v>32671</v>
      </c>
      <c r="H10260" t="s">
        <v>32681</v>
      </c>
      <c r="I10260" t="s">
        <v>32681</v>
      </c>
      <c r="J10260" t="s">
        <v>38935</v>
      </c>
      <c r="K10260" t="s">
        <v>42281</v>
      </c>
      <c r="M10260" t="s">
        <v>45378</v>
      </c>
      <c r="N10260" t="s">
        <v>46569</v>
      </c>
      <c r="O10260" t="s">
        <v>46570</v>
      </c>
      <c r="P10260">
        <v>0</v>
      </c>
      <c r="Q10260">
        <v>2</v>
      </c>
      <c r="R10260" t="s">
        <v>46577</v>
      </c>
      <c r="S10260" t="s">
        <v>46808</v>
      </c>
      <c r="T10260" t="s">
        <v>48287</v>
      </c>
      <c r="U10260" t="s">
        <v>56980</v>
      </c>
      <c r="W10260" t="s">
        <v>45378</v>
      </c>
      <c r="X10260" t="s">
        <v>46578</v>
      </c>
    </row>
    <row r="10261" spans="1:24">
      <c r="A10261">
        <f>HYPERLINK("https://www.philgeps.gov.ph/GEPSNONPILOT/Tender/SplashBidNoticeAbstractUI.aspx?menuIndex=3&amp;refID=7055622&amp;Result=3","7055622")</f>
        <v>0</v>
      </c>
      <c r="B10261" t="s">
        <v>2567</v>
      </c>
      <c r="C10261" t="s">
        <v>13242</v>
      </c>
      <c r="D10261" t="s">
        <v>18784</v>
      </c>
      <c r="E10261" t="s">
        <v>27780</v>
      </c>
      <c r="F10261" t="s">
        <v>32664</v>
      </c>
      <c r="G10261" t="s">
        <v>32671</v>
      </c>
      <c r="H10261" t="s">
        <v>32681</v>
      </c>
      <c r="I10261" t="s">
        <v>32681</v>
      </c>
      <c r="J10261" t="s">
        <v>38923</v>
      </c>
      <c r="K10261" t="s">
        <v>42281</v>
      </c>
      <c r="M10261" t="s">
        <v>45378</v>
      </c>
      <c r="N10261" t="s">
        <v>46569</v>
      </c>
      <c r="O10261" t="s">
        <v>46570</v>
      </c>
      <c r="P10261">
        <v>0</v>
      </c>
      <c r="Q10261">
        <v>2</v>
      </c>
      <c r="R10261" t="s">
        <v>46577</v>
      </c>
      <c r="S10261" t="s">
        <v>46808</v>
      </c>
      <c r="T10261" t="s">
        <v>48287</v>
      </c>
      <c r="U10261" t="s">
        <v>56980</v>
      </c>
      <c r="W10261" t="s">
        <v>45378</v>
      </c>
      <c r="X10261" t="s">
        <v>46578</v>
      </c>
    </row>
    <row r="10262" spans="1:24">
      <c r="A10262">
        <f>HYPERLINK("https://www.philgeps.gov.ph/GEPSNONPILOT/Tender/SplashBidNoticeAbstractUI.aspx?menuIndex=3&amp;refID=7055621&amp;Result=3","7055621")</f>
        <v>0</v>
      </c>
      <c r="B10262" t="s">
        <v>2283</v>
      </c>
      <c r="C10262" t="s">
        <v>13243</v>
      </c>
      <c r="D10262" t="s">
        <v>18784</v>
      </c>
      <c r="E10262" t="s">
        <v>27781</v>
      </c>
      <c r="F10262" t="s">
        <v>32664</v>
      </c>
      <c r="G10262" t="s">
        <v>32672</v>
      </c>
      <c r="H10262" t="s">
        <v>12635</v>
      </c>
      <c r="I10262" t="s">
        <v>6223</v>
      </c>
      <c r="J10262" t="s">
        <v>33309</v>
      </c>
      <c r="K10262" t="s">
        <v>42281</v>
      </c>
      <c r="M10262" t="s">
        <v>45053</v>
      </c>
      <c r="N10262" t="s">
        <v>46569</v>
      </c>
      <c r="O10262" t="s">
        <v>46570</v>
      </c>
      <c r="P10262">
        <v>0</v>
      </c>
      <c r="Q10262">
        <v>1</v>
      </c>
      <c r="R10262" t="s">
        <v>46577</v>
      </c>
      <c r="S10262" t="s">
        <v>46808</v>
      </c>
      <c r="T10262" t="s">
        <v>48307</v>
      </c>
      <c r="U10262" t="s">
        <v>57015</v>
      </c>
      <c r="W10262" t="s">
        <v>45053</v>
      </c>
      <c r="X10262" t="s">
        <v>46578</v>
      </c>
    </row>
    <row r="10263" spans="1:24">
      <c r="A10263">
        <f>HYPERLINK("https://www.philgeps.gov.ph/GEPSNONPILOT/Tender/SplashBidNoticeAbstractUI.aspx?menuIndex=3&amp;refID=7055583&amp;Result=3","7055583")</f>
        <v>0</v>
      </c>
      <c r="B10263" t="s">
        <v>2756</v>
      </c>
      <c r="C10263" t="s">
        <v>13244</v>
      </c>
      <c r="D10263" t="s">
        <v>18830</v>
      </c>
      <c r="E10263" t="s">
        <v>27782</v>
      </c>
      <c r="F10263" t="s">
        <v>32664</v>
      </c>
      <c r="G10263" t="s">
        <v>32672</v>
      </c>
      <c r="H10263" t="s">
        <v>32683</v>
      </c>
      <c r="I10263" t="s">
        <v>10627</v>
      </c>
      <c r="J10263" t="s">
        <v>34518</v>
      </c>
      <c r="K10263" t="s">
        <v>42283</v>
      </c>
      <c r="M10263" t="s">
        <v>45591</v>
      </c>
      <c r="N10263" t="s">
        <v>46569</v>
      </c>
      <c r="O10263" t="s">
        <v>46570</v>
      </c>
      <c r="P10263">
        <v>0</v>
      </c>
      <c r="Q10263">
        <v>0</v>
      </c>
      <c r="R10263" t="s">
        <v>46577</v>
      </c>
      <c r="S10263" t="s">
        <v>46808</v>
      </c>
      <c r="T10263" t="s">
        <v>48632</v>
      </c>
      <c r="U10263" t="s">
        <v>57016</v>
      </c>
      <c r="V10263" t="s">
        <v>62656</v>
      </c>
      <c r="W10263" t="s">
        <v>63569</v>
      </c>
      <c r="X10263" t="s">
        <v>46578</v>
      </c>
    </row>
    <row r="10264" spans="1:24">
      <c r="A10264">
        <f>HYPERLINK("https://www.philgeps.gov.ph/GEPSNONPILOT/Tender/SplashBidNoticeAbstractUI.aspx?menuIndex=3&amp;refID=7055620&amp;Result=3","7055620")</f>
        <v>0</v>
      </c>
      <c r="B10264" t="s">
        <v>2567</v>
      </c>
      <c r="C10264" t="s">
        <v>13245</v>
      </c>
      <c r="D10264" t="s">
        <v>18784</v>
      </c>
      <c r="E10264" t="s">
        <v>27783</v>
      </c>
      <c r="F10264" t="s">
        <v>32664</v>
      </c>
      <c r="G10264" t="s">
        <v>32671</v>
      </c>
      <c r="H10264" t="s">
        <v>32681</v>
      </c>
      <c r="I10264" t="s">
        <v>32681</v>
      </c>
      <c r="J10264" t="s">
        <v>38925</v>
      </c>
      <c r="K10264" t="s">
        <v>42281</v>
      </c>
      <c r="M10264" t="s">
        <v>45378</v>
      </c>
      <c r="N10264" t="s">
        <v>46569</v>
      </c>
      <c r="O10264" t="s">
        <v>46570</v>
      </c>
      <c r="P10264">
        <v>0</v>
      </c>
      <c r="Q10264">
        <v>2</v>
      </c>
      <c r="R10264" t="s">
        <v>46577</v>
      </c>
      <c r="S10264" t="s">
        <v>46808</v>
      </c>
      <c r="T10264" t="s">
        <v>48287</v>
      </c>
      <c r="U10264" t="s">
        <v>56980</v>
      </c>
      <c r="W10264" t="s">
        <v>45378</v>
      </c>
      <c r="X10264" t="s">
        <v>46578</v>
      </c>
    </row>
    <row r="10265" spans="1:24">
      <c r="A10265">
        <f>HYPERLINK("https://www.philgeps.gov.ph/GEPSNONPILOT/Tender/SplashBidNoticeAbstractUI.aspx?menuIndex=3&amp;refID=7055616&amp;Result=3","7055616")</f>
        <v>0</v>
      </c>
      <c r="B10265" t="s">
        <v>2283</v>
      </c>
      <c r="C10265" t="s">
        <v>13246</v>
      </c>
      <c r="D10265" t="s">
        <v>18784</v>
      </c>
      <c r="E10265" t="s">
        <v>27784</v>
      </c>
      <c r="F10265" t="s">
        <v>32664</v>
      </c>
      <c r="G10265" t="s">
        <v>32672</v>
      </c>
      <c r="H10265" t="s">
        <v>12635</v>
      </c>
      <c r="I10265" t="s">
        <v>6223</v>
      </c>
      <c r="J10265" t="s">
        <v>37068</v>
      </c>
      <c r="K10265" t="s">
        <v>42281</v>
      </c>
      <c r="M10265" t="s">
        <v>45053</v>
      </c>
      <c r="N10265" t="s">
        <v>46569</v>
      </c>
      <c r="O10265" t="s">
        <v>46570</v>
      </c>
      <c r="P10265">
        <v>0</v>
      </c>
      <c r="Q10265">
        <v>1</v>
      </c>
      <c r="R10265" t="s">
        <v>46577</v>
      </c>
      <c r="S10265" t="s">
        <v>46808</v>
      </c>
      <c r="T10265" t="s">
        <v>48307</v>
      </c>
      <c r="U10265" t="s">
        <v>57017</v>
      </c>
      <c r="W10265" t="s">
        <v>45053</v>
      </c>
      <c r="X10265" t="s">
        <v>46578</v>
      </c>
    </row>
    <row r="10266" spans="1:24">
      <c r="A10266">
        <f>HYPERLINK("https://www.philgeps.gov.ph/GEPSNONPILOT/Tender/SplashBidNoticeAbstractUI.aspx?menuIndex=3&amp;refID=7055615&amp;Result=3","7055615")</f>
        <v>0</v>
      </c>
      <c r="B10266" t="s">
        <v>2567</v>
      </c>
      <c r="C10266" t="s">
        <v>13247</v>
      </c>
      <c r="D10266" t="s">
        <v>18784</v>
      </c>
      <c r="E10266" t="s">
        <v>27785</v>
      </c>
      <c r="F10266" t="s">
        <v>32664</v>
      </c>
      <c r="G10266" t="s">
        <v>32671</v>
      </c>
      <c r="H10266" t="s">
        <v>32681</v>
      </c>
      <c r="I10266" t="s">
        <v>32681</v>
      </c>
      <c r="J10266" t="s">
        <v>38923</v>
      </c>
      <c r="K10266" t="s">
        <v>42281</v>
      </c>
      <c r="M10266" t="s">
        <v>45378</v>
      </c>
      <c r="N10266" t="s">
        <v>46569</v>
      </c>
      <c r="O10266" t="s">
        <v>46570</v>
      </c>
      <c r="P10266">
        <v>0</v>
      </c>
      <c r="Q10266">
        <v>2</v>
      </c>
      <c r="R10266" t="s">
        <v>46577</v>
      </c>
      <c r="S10266" t="s">
        <v>46808</v>
      </c>
      <c r="T10266" t="s">
        <v>48287</v>
      </c>
      <c r="U10266" t="s">
        <v>56980</v>
      </c>
      <c r="W10266" t="s">
        <v>45378</v>
      </c>
      <c r="X10266" t="s">
        <v>46578</v>
      </c>
    </row>
    <row r="10267" spans="1:24">
      <c r="A10267">
        <f>HYPERLINK("https://www.philgeps.gov.ph/GEPSNONPILOT/Tender/SplashBidNoticeAbstractUI.aspx?menuIndex=3&amp;refID=7055629&amp;Result=3","7055629")</f>
        <v>0</v>
      </c>
      <c r="B10267" t="s">
        <v>2567</v>
      </c>
      <c r="C10267" t="s">
        <v>13248</v>
      </c>
      <c r="D10267" t="s">
        <v>18784</v>
      </c>
      <c r="E10267" t="s">
        <v>27786</v>
      </c>
      <c r="F10267" t="s">
        <v>32664</v>
      </c>
      <c r="G10267" t="s">
        <v>32671</v>
      </c>
      <c r="H10267" t="s">
        <v>32681</v>
      </c>
      <c r="I10267" t="s">
        <v>32681</v>
      </c>
      <c r="J10267" t="s">
        <v>38935</v>
      </c>
      <c r="K10267" t="s">
        <v>42281</v>
      </c>
      <c r="M10267" t="s">
        <v>45378</v>
      </c>
      <c r="N10267" t="s">
        <v>46569</v>
      </c>
      <c r="O10267" t="s">
        <v>46570</v>
      </c>
      <c r="P10267">
        <v>0</v>
      </c>
      <c r="Q10267">
        <v>2</v>
      </c>
      <c r="R10267" t="s">
        <v>46577</v>
      </c>
      <c r="S10267" t="s">
        <v>46808</v>
      </c>
      <c r="T10267" t="s">
        <v>48287</v>
      </c>
      <c r="U10267" t="s">
        <v>56980</v>
      </c>
      <c r="W10267" t="s">
        <v>45378</v>
      </c>
      <c r="X10267" t="s">
        <v>46578</v>
      </c>
    </row>
    <row r="10268" spans="1:24">
      <c r="A10268">
        <f>HYPERLINK("https://www.philgeps.gov.ph/GEPSNONPILOT/Tender/SplashBidNoticeAbstractUI.aspx?menuIndex=3&amp;refID=7053763&amp;Result=3","7053763")</f>
        <v>0</v>
      </c>
      <c r="B10268" t="s">
        <v>1397</v>
      </c>
      <c r="C10268" t="s">
        <v>7627</v>
      </c>
      <c r="D10268" t="s">
        <v>18803</v>
      </c>
      <c r="E10268" t="s">
        <v>20311</v>
      </c>
      <c r="F10268" t="s">
        <v>32664</v>
      </c>
      <c r="G10268" t="s">
        <v>32678</v>
      </c>
      <c r="H10268" t="s">
        <v>32681</v>
      </c>
      <c r="I10268" t="s">
        <v>32681</v>
      </c>
      <c r="J10268" t="s">
        <v>35600</v>
      </c>
      <c r="K10268" t="s">
        <v>42377</v>
      </c>
      <c r="M10268" t="s">
        <v>44054</v>
      </c>
      <c r="N10268" t="s">
        <v>46569</v>
      </c>
      <c r="O10268" t="s">
        <v>46570</v>
      </c>
      <c r="P10268">
        <v>0</v>
      </c>
      <c r="Q10268">
        <v>0</v>
      </c>
      <c r="R10268" t="s">
        <v>46577</v>
      </c>
      <c r="S10268" t="s">
        <v>46808</v>
      </c>
      <c r="T10268" t="s">
        <v>48492</v>
      </c>
      <c r="U10268" t="s">
        <v>52291</v>
      </c>
      <c r="W10268" t="s">
        <v>44054</v>
      </c>
      <c r="X10268" t="s">
        <v>46578</v>
      </c>
    </row>
    <row r="10269" spans="1:24">
      <c r="A10269">
        <f>HYPERLINK("https://www.philgeps.gov.ph/GEPSNONPILOT/Tender/SplashBidNoticeAbstractUI.aspx?menuIndex=3&amp;refID=6971553&amp;Result=3","6971553")</f>
        <v>0</v>
      </c>
      <c r="B10269" t="s">
        <v>460</v>
      </c>
      <c r="C10269" t="s">
        <v>13249</v>
      </c>
      <c r="D10269" t="s">
        <v>18806</v>
      </c>
      <c r="E10269" t="s">
        <v>27787</v>
      </c>
      <c r="F10269" t="s">
        <v>32664</v>
      </c>
      <c r="G10269" t="s">
        <v>32672</v>
      </c>
      <c r="H10269" t="s">
        <v>12635</v>
      </c>
      <c r="I10269" t="s">
        <v>10361</v>
      </c>
      <c r="J10269" t="s">
        <v>33147</v>
      </c>
      <c r="K10269" t="s">
        <v>42284</v>
      </c>
      <c r="M10269" t="s">
        <v>44571</v>
      </c>
      <c r="N10269" t="s">
        <v>46569</v>
      </c>
      <c r="O10269" t="s">
        <v>46570</v>
      </c>
      <c r="Q10269">
        <v>1</v>
      </c>
      <c r="R10269" t="s">
        <v>46578</v>
      </c>
      <c r="S10269" t="s">
        <v>46875</v>
      </c>
      <c r="T10269" t="s">
        <v>48307</v>
      </c>
      <c r="U10269" t="s">
        <v>57018</v>
      </c>
      <c r="W10269" t="s">
        <v>44571</v>
      </c>
      <c r="X10269" t="s">
        <v>46621</v>
      </c>
    </row>
    <row r="10270" spans="1:24">
      <c r="A10270">
        <f>HYPERLINK("https://www.philgeps.gov.ph/GEPSNONPILOT/Tender/SplashBidNoticeAbstractUI.aspx?menuIndex=3&amp;refID=7053759&amp;Result=3","7053759")</f>
        <v>0</v>
      </c>
      <c r="B10270" t="s">
        <v>1993</v>
      </c>
      <c r="C10270" t="s">
        <v>13250</v>
      </c>
      <c r="D10270" t="s">
        <v>18834</v>
      </c>
      <c r="E10270" t="s">
        <v>27788</v>
      </c>
      <c r="F10270" t="s">
        <v>32664</v>
      </c>
      <c r="G10270" t="s">
        <v>32678</v>
      </c>
      <c r="H10270" t="s">
        <v>32681</v>
      </c>
      <c r="I10270" t="s">
        <v>32748</v>
      </c>
      <c r="J10270" t="s">
        <v>38937</v>
      </c>
      <c r="K10270" t="s">
        <v>42369</v>
      </c>
      <c r="M10270" t="s">
        <v>44728</v>
      </c>
      <c r="N10270" t="s">
        <v>46569</v>
      </c>
      <c r="O10270" t="s">
        <v>46570</v>
      </c>
      <c r="P10270">
        <v>0</v>
      </c>
      <c r="Q10270">
        <v>2</v>
      </c>
      <c r="R10270" t="s">
        <v>46577</v>
      </c>
      <c r="S10270" t="s">
        <v>46808</v>
      </c>
      <c r="T10270" t="s">
        <v>48221</v>
      </c>
      <c r="U10270" t="s">
        <v>57019</v>
      </c>
      <c r="V10270" t="s">
        <v>62701</v>
      </c>
      <c r="W10270" t="s">
        <v>63567</v>
      </c>
      <c r="X10270" t="s">
        <v>46578</v>
      </c>
    </row>
    <row r="10271" spans="1:24">
      <c r="A10271">
        <f>HYPERLINK("https://www.philgeps.gov.ph/GEPSNONPILOT/Tender/SplashBidNoticeAbstractUI.aspx?menuIndex=3&amp;refID=7055617&amp;Result=3","7055617")</f>
        <v>0</v>
      </c>
      <c r="B10271" t="s">
        <v>2752</v>
      </c>
      <c r="C10271" t="s">
        <v>13251</v>
      </c>
      <c r="D10271" t="s">
        <v>18786</v>
      </c>
      <c r="E10271" t="s">
        <v>19641</v>
      </c>
      <c r="F10271" t="s">
        <v>32664</v>
      </c>
      <c r="G10271" t="s">
        <v>32672</v>
      </c>
      <c r="H10271" t="s">
        <v>32683</v>
      </c>
      <c r="I10271" t="s">
        <v>10627</v>
      </c>
      <c r="J10271" t="s">
        <v>36462</v>
      </c>
      <c r="K10271" t="s">
        <v>42290</v>
      </c>
      <c r="M10271" t="s">
        <v>45586</v>
      </c>
      <c r="N10271" t="s">
        <v>46569</v>
      </c>
      <c r="O10271" t="s">
        <v>46570</v>
      </c>
      <c r="P10271">
        <v>0</v>
      </c>
      <c r="Q10271">
        <v>0</v>
      </c>
      <c r="R10271" t="s">
        <v>46577</v>
      </c>
      <c r="S10271" t="s">
        <v>46808</v>
      </c>
      <c r="T10271" t="s">
        <v>48381</v>
      </c>
      <c r="U10271" t="s">
        <v>57020</v>
      </c>
      <c r="W10271" t="s">
        <v>45586</v>
      </c>
      <c r="X10271" t="s">
        <v>46578</v>
      </c>
    </row>
    <row r="10272" spans="1:24">
      <c r="A10272">
        <f>HYPERLINK("https://www.philgeps.gov.ph/GEPSNONPILOT/Tender/SplashBidNoticeAbstractUI.aspx?menuIndex=3&amp;refID=7053649&amp;Result=3","7053649")</f>
        <v>0</v>
      </c>
      <c r="B10272" t="s">
        <v>2687</v>
      </c>
      <c r="C10272" t="s">
        <v>13252</v>
      </c>
      <c r="D10272" t="s">
        <v>18789</v>
      </c>
      <c r="E10272" t="s">
        <v>27031</v>
      </c>
      <c r="F10272" t="s">
        <v>32664</v>
      </c>
      <c r="G10272" t="s">
        <v>32672</v>
      </c>
      <c r="H10272" t="s">
        <v>12635</v>
      </c>
      <c r="I10272" t="s">
        <v>32701</v>
      </c>
      <c r="J10272" t="s">
        <v>38938</v>
      </c>
      <c r="K10272" t="s">
        <v>42297</v>
      </c>
      <c r="M10272" t="s">
        <v>45512</v>
      </c>
      <c r="N10272" t="s">
        <v>46569</v>
      </c>
      <c r="O10272" t="s">
        <v>46570</v>
      </c>
      <c r="P10272">
        <v>0</v>
      </c>
      <c r="Q10272">
        <v>0</v>
      </c>
      <c r="R10272" t="s">
        <v>46577</v>
      </c>
      <c r="S10272" t="s">
        <v>46808</v>
      </c>
      <c r="T10272" t="s">
        <v>48580</v>
      </c>
      <c r="U10272" t="s">
        <v>57021</v>
      </c>
      <c r="W10272" t="s">
        <v>45512</v>
      </c>
      <c r="X10272" t="s">
        <v>46578</v>
      </c>
    </row>
    <row r="10273" spans="1:24">
      <c r="A10273">
        <f>HYPERLINK("https://www.philgeps.gov.ph/GEPSNONPILOT/Tender/SplashBidNoticeAbstractUI.aspx?menuIndex=3&amp;refID=7055614&amp;Result=3","7055614")</f>
        <v>0</v>
      </c>
      <c r="B10273" t="s">
        <v>2283</v>
      </c>
      <c r="C10273" t="s">
        <v>13253</v>
      </c>
      <c r="D10273" t="s">
        <v>18784</v>
      </c>
      <c r="E10273" t="s">
        <v>27789</v>
      </c>
      <c r="F10273" t="s">
        <v>32664</v>
      </c>
      <c r="G10273" t="s">
        <v>32672</v>
      </c>
      <c r="H10273" t="s">
        <v>12635</v>
      </c>
      <c r="I10273" t="s">
        <v>6223</v>
      </c>
      <c r="J10273" t="s">
        <v>33147</v>
      </c>
      <c r="K10273" t="s">
        <v>42281</v>
      </c>
      <c r="M10273" t="s">
        <v>45053</v>
      </c>
      <c r="N10273" t="s">
        <v>46569</v>
      </c>
      <c r="O10273" t="s">
        <v>46570</v>
      </c>
      <c r="P10273">
        <v>0</v>
      </c>
      <c r="Q10273">
        <v>3</v>
      </c>
      <c r="R10273" t="s">
        <v>46577</v>
      </c>
      <c r="S10273" t="s">
        <v>46808</v>
      </c>
      <c r="T10273" t="s">
        <v>48307</v>
      </c>
      <c r="U10273" t="s">
        <v>57022</v>
      </c>
      <c r="W10273" t="s">
        <v>45053</v>
      </c>
      <c r="X10273" t="s">
        <v>46578</v>
      </c>
    </row>
    <row r="10274" spans="1:24">
      <c r="A10274">
        <f>HYPERLINK("https://www.philgeps.gov.ph/GEPSNONPILOT/Tender/SplashBidNoticeAbstractUI.aspx?menuIndex=3&amp;refID=7052892&amp;Result=3","7052892")</f>
        <v>0</v>
      </c>
      <c r="B10274" t="s">
        <v>2626</v>
      </c>
      <c r="C10274" t="s">
        <v>13254</v>
      </c>
      <c r="D10274" t="s">
        <v>18830</v>
      </c>
      <c r="E10274" t="s">
        <v>27790</v>
      </c>
      <c r="F10274" t="s">
        <v>32664</v>
      </c>
      <c r="G10274" t="s">
        <v>32672</v>
      </c>
      <c r="H10274" t="s">
        <v>12635</v>
      </c>
      <c r="I10274" t="s">
        <v>13883</v>
      </c>
      <c r="J10274" t="s">
        <v>38939</v>
      </c>
      <c r="K10274" t="s">
        <v>42297</v>
      </c>
      <c r="M10274" t="s">
        <v>45445</v>
      </c>
      <c r="N10274" t="s">
        <v>46569</v>
      </c>
      <c r="O10274" t="s">
        <v>46570</v>
      </c>
      <c r="Q10274">
        <v>11</v>
      </c>
      <c r="R10274" t="s">
        <v>46577</v>
      </c>
      <c r="S10274" t="s">
        <v>46876</v>
      </c>
      <c r="T10274" t="s">
        <v>48321</v>
      </c>
      <c r="U10274" t="s">
        <v>57023</v>
      </c>
      <c r="W10274" t="s">
        <v>45445</v>
      </c>
      <c r="X10274" t="s">
        <v>46578</v>
      </c>
    </row>
    <row r="10275" spans="1:24">
      <c r="A10275">
        <f>HYPERLINK("https://www.philgeps.gov.ph/GEPSNONPILOT/Tender/SplashBidNoticeAbstractUI.aspx?menuIndex=3&amp;refID=6968515&amp;Result=3","6968515")</f>
        <v>0</v>
      </c>
      <c r="B10275" t="s">
        <v>460</v>
      </c>
      <c r="C10275" t="s">
        <v>13255</v>
      </c>
      <c r="D10275" t="s">
        <v>18806</v>
      </c>
      <c r="E10275" t="s">
        <v>27791</v>
      </c>
      <c r="F10275" t="s">
        <v>32664</v>
      </c>
      <c r="G10275" t="s">
        <v>32672</v>
      </c>
      <c r="H10275" t="s">
        <v>12635</v>
      </c>
      <c r="I10275" t="s">
        <v>10361</v>
      </c>
      <c r="J10275" t="s">
        <v>33147</v>
      </c>
      <c r="K10275" t="s">
        <v>42284</v>
      </c>
      <c r="M10275" t="s">
        <v>44571</v>
      </c>
      <c r="N10275" t="s">
        <v>46569</v>
      </c>
      <c r="O10275" t="s">
        <v>46570</v>
      </c>
      <c r="Q10275">
        <v>1</v>
      </c>
      <c r="R10275" t="s">
        <v>46578</v>
      </c>
      <c r="S10275" t="s">
        <v>46877</v>
      </c>
      <c r="T10275" t="s">
        <v>48307</v>
      </c>
      <c r="U10275" t="s">
        <v>57024</v>
      </c>
      <c r="W10275" t="s">
        <v>44571</v>
      </c>
      <c r="X10275" t="s">
        <v>63614</v>
      </c>
    </row>
    <row r="10276" spans="1:24">
      <c r="A10276">
        <f>HYPERLINK("https://www.philgeps.gov.ph/GEPSNONPILOT/Tender/SplashBidNoticeAbstractUI.aspx?menuIndex=3&amp;refID=7052890&amp;Result=3","7052890")</f>
        <v>0</v>
      </c>
      <c r="B10276" t="s">
        <v>2484</v>
      </c>
      <c r="C10276" t="s">
        <v>13256</v>
      </c>
      <c r="D10276" t="s">
        <v>18822</v>
      </c>
      <c r="E10276" t="s">
        <v>27792</v>
      </c>
      <c r="F10276" t="s">
        <v>32664</v>
      </c>
      <c r="G10276" t="s">
        <v>32672</v>
      </c>
      <c r="H10276" t="s">
        <v>12635</v>
      </c>
      <c r="I10276" t="s">
        <v>4439</v>
      </c>
      <c r="J10276" t="s">
        <v>33175</v>
      </c>
      <c r="K10276" t="s">
        <v>42297</v>
      </c>
      <c r="M10276" t="s">
        <v>45284</v>
      </c>
      <c r="N10276" t="s">
        <v>46569</v>
      </c>
      <c r="O10276" t="s">
        <v>46570</v>
      </c>
      <c r="P10276">
        <v>0</v>
      </c>
      <c r="Q10276">
        <v>1</v>
      </c>
      <c r="R10276" t="s">
        <v>46577</v>
      </c>
      <c r="S10276" t="s">
        <v>46808</v>
      </c>
      <c r="T10276" t="s">
        <v>48283</v>
      </c>
      <c r="U10276" t="s">
        <v>56210</v>
      </c>
      <c r="W10276" t="s">
        <v>45284</v>
      </c>
      <c r="X10276" t="s">
        <v>46578</v>
      </c>
    </row>
    <row r="10277" spans="1:24">
      <c r="A10277">
        <f>HYPERLINK("https://www.philgeps.gov.ph/GEPSNONPILOT/Tender/SplashBidNoticeAbstractUI.aspx?menuIndex=3&amp;refID=7053650&amp;Result=3","7053650")</f>
        <v>0</v>
      </c>
      <c r="B10277" t="s">
        <v>179</v>
      </c>
      <c r="C10277" t="s">
        <v>13257</v>
      </c>
      <c r="D10277" t="s">
        <v>18830</v>
      </c>
      <c r="E10277" t="s">
        <v>27793</v>
      </c>
      <c r="F10277" t="s">
        <v>32664</v>
      </c>
      <c r="G10277" t="s">
        <v>32671</v>
      </c>
      <c r="H10277" t="s">
        <v>32683</v>
      </c>
      <c r="I10277" t="s">
        <v>10627</v>
      </c>
      <c r="J10277" t="s">
        <v>32962</v>
      </c>
      <c r="K10277" t="s">
        <v>42489</v>
      </c>
      <c r="M10277" t="s">
        <v>45516</v>
      </c>
      <c r="N10277" t="s">
        <v>46569</v>
      </c>
      <c r="O10277" t="s">
        <v>46570</v>
      </c>
      <c r="P10277">
        <v>0</v>
      </c>
      <c r="Q10277">
        <v>0</v>
      </c>
      <c r="R10277" t="s">
        <v>46577</v>
      </c>
      <c r="S10277" t="s">
        <v>46808</v>
      </c>
      <c r="T10277" t="s">
        <v>48573</v>
      </c>
      <c r="U10277" t="s">
        <v>56399</v>
      </c>
      <c r="W10277" t="s">
        <v>45631</v>
      </c>
      <c r="X10277" t="s">
        <v>46578</v>
      </c>
    </row>
    <row r="10278" spans="1:24">
      <c r="A10278">
        <f>HYPERLINK("https://www.philgeps.gov.ph/GEPSNONPILOT/Tender/SplashBidNoticeAbstractUI.aspx?menuIndex=3&amp;refID=7052989&amp;Result=3","7052989")</f>
        <v>0</v>
      </c>
      <c r="B10278" t="s">
        <v>2824</v>
      </c>
      <c r="C10278" t="s">
        <v>13258</v>
      </c>
      <c r="D10278" t="s">
        <v>18843</v>
      </c>
      <c r="E10278" t="s">
        <v>27794</v>
      </c>
      <c r="F10278" t="s">
        <v>32664</v>
      </c>
      <c r="G10278" t="s">
        <v>32672</v>
      </c>
      <c r="H10278" t="s">
        <v>12635</v>
      </c>
      <c r="I10278" t="s">
        <v>10590</v>
      </c>
      <c r="J10278" t="s">
        <v>33304</v>
      </c>
      <c r="K10278" t="s">
        <v>42303</v>
      </c>
      <c r="M10278" t="s">
        <v>45668</v>
      </c>
      <c r="N10278" t="s">
        <v>46569</v>
      </c>
      <c r="O10278" t="s">
        <v>46570</v>
      </c>
      <c r="P10278">
        <v>0</v>
      </c>
      <c r="Q10278">
        <v>0</v>
      </c>
      <c r="R10278" t="s">
        <v>46577</v>
      </c>
      <c r="S10278" t="s">
        <v>46808</v>
      </c>
      <c r="T10278" t="s">
        <v>48287</v>
      </c>
      <c r="U10278" t="s">
        <v>57025</v>
      </c>
      <c r="W10278" t="s">
        <v>45668</v>
      </c>
      <c r="X10278" t="s">
        <v>46578</v>
      </c>
    </row>
    <row r="10279" spans="1:24">
      <c r="A10279">
        <f>HYPERLINK("https://www.philgeps.gov.ph/GEPSNONPILOT/Tender/SplashBidNoticeAbstractUI.aspx?menuIndex=3&amp;refID=7040200&amp;Result=3","7040200")</f>
        <v>0</v>
      </c>
      <c r="B10279" t="s">
        <v>1944</v>
      </c>
      <c r="C10279" t="s">
        <v>13259</v>
      </c>
      <c r="D10279" t="s">
        <v>18806</v>
      </c>
      <c r="E10279" t="s">
        <v>25382</v>
      </c>
      <c r="F10279" t="s">
        <v>32664</v>
      </c>
      <c r="G10279" t="s">
        <v>32672</v>
      </c>
      <c r="H10279" t="s">
        <v>12635</v>
      </c>
      <c r="I10279" t="s">
        <v>8797</v>
      </c>
      <c r="J10279" t="s">
        <v>38940</v>
      </c>
      <c r="K10279" t="s">
        <v>42297</v>
      </c>
      <c r="M10279" t="s">
        <v>44669</v>
      </c>
      <c r="N10279" t="s">
        <v>46569</v>
      </c>
      <c r="O10279" t="s">
        <v>46570</v>
      </c>
      <c r="P10279">
        <v>0</v>
      </c>
      <c r="Q10279">
        <v>5</v>
      </c>
      <c r="R10279" t="s">
        <v>46578</v>
      </c>
      <c r="S10279" t="s">
        <v>46874</v>
      </c>
      <c r="T10279" t="s">
        <v>48212</v>
      </c>
      <c r="U10279" t="s">
        <v>57026</v>
      </c>
      <c r="V10279" t="s">
        <v>62702</v>
      </c>
      <c r="W10279" t="s">
        <v>44669</v>
      </c>
      <c r="X10279" t="s">
        <v>46586</v>
      </c>
    </row>
    <row r="10280" spans="1:24">
      <c r="A10280">
        <f>HYPERLINK("https://www.philgeps.gov.ph/GEPSNONPILOT/Tender/SplashBidNoticeAbstractUI.aspx?menuIndex=3&amp;refID=6977275&amp;Result=3","6977275")</f>
        <v>0</v>
      </c>
      <c r="B10280" t="s">
        <v>460</v>
      </c>
      <c r="C10280" t="s">
        <v>13260</v>
      </c>
      <c r="D10280" t="s">
        <v>18806</v>
      </c>
      <c r="E10280" t="s">
        <v>27795</v>
      </c>
      <c r="F10280" t="s">
        <v>32664</v>
      </c>
      <c r="G10280" t="s">
        <v>32672</v>
      </c>
      <c r="H10280" t="s">
        <v>12635</v>
      </c>
      <c r="I10280" t="s">
        <v>10361</v>
      </c>
      <c r="J10280" t="s">
        <v>33147</v>
      </c>
      <c r="K10280" t="s">
        <v>42284</v>
      </c>
      <c r="M10280" t="s">
        <v>44571</v>
      </c>
      <c r="N10280" t="s">
        <v>46569</v>
      </c>
      <c r="O10280" t="s">
        <v>46570</v>
      </c>
      <c r="Q10280">
        <v>0</v>
      </c>
      <c r="R10280" t="s">
        <v>46578</v>
      </c>
      <c r="S10280" t="s">
        <v>46829</v>
      </c>
      <c r="T10280" t="s">
        <v>48307</v>
      </c>
      <c r="U10280" t="s">
        <v>57027</v>
      </c>
      <c r="W10280" t="s">
        <v>44571</v>
      </c>
      <c r="X10280" t="s">
        <v>46624</v>
      </c>
    </row>
    <row r="10281" spans="1:24">
      <c r="A10281">
        <f>HYPERLINK("https://www.philgeps.gov.ph/GEPSNONPILOT/Tender/SplashBidNoticeAbstractUI.aspx?menuIndex=3&amp;refID=7039583&amp;Result=3","7039583")</f>
        <v>0</v>
      </c>
      <c r="B10281" t="s">
        <v>53</v>
      </c>
      <c r="C10281" t="s">
        <v>13261</v>
      </c>
      <c r="E10281" t="s">
        <v>27796</v>
      </c>
      <c r="F10281" t="s">
        <v>32664</v>
      </c>
      <c r="G10281" t="s">
        <v>32671</v>
      </c>
      <c r="H10281" t="s">
        <v>12635</v>
      </c>
      <c r="I10281" t="s">
        <v>8730</v>
      </c>
      <c r="J10281" t="s">
        <v>33688</v>
      </c>
      <c r="K10281" t="s">
        <v>42284</v>
      </c>
      <c r="M10281" t="s">
        <v>44390</v>
      </c>
      <c r="N10281" t="s">
        <v>46569</v>
      </c>
      <c r="O10281" t="s">
        <v>46570</v>
      </c>
      <c r="P10281">
        <v>0</v>
      </c>
      <c r="Q10281">
        <v>4</v>
      </c>
      <c r="R10281" t="s">
        <v>46578</v>
      </c>
      <c r="S10281" t="s">
        <v>46874</v>
      </c>
      <c r="T10281" t="s">
        <v>48448</v>
      </c>
      <c r="U10281" t="s">
        <v>52826</v>
      </c>
      <c r="W10281" t="s">
        <v>44390</v>
      </c>
      <c r="X10281" t="s">
        <v>46586</v>
      </c>
    </row>
    <row r="10282" spans="1:24">
      <c r="A10282">
        <f>HYPERLINK("https://www.philgeps.gov.ph/GEPSNONPILOT/Tender/SplashBidNoticeAbstractUI.aspx?menuIndex=3&amp;refID=7039560&amp;Result=3","7039560")</f>
        <v>0</v>
      </c>
      <c r="B10282" t="s">
        <v>53</v>
      </c>
      <c r="C10282" t="s">
        <v>13262</v>
      </c>
      <c r="E10282" t="s">
        <v>27797</v>
      </c>
      <c r="F10282" t="s">
        <v>32664</v>
      </c>
      <c r="G10282" t="s">
        <v>32671</v>
      </c>
      <c r="H10282" t="s">
        <v>12635</v>
      </c>
      <c r="I10282" t="s">
        <v>8797</v>
      </c>
      <c r="J10282" t="s">
        <v>33628</v>
      </c>
      <c r="K10282" t="s">
        <v>42284</v>
      </c>
      <c r="M10282" t="s">
        <v>44390</v>
      </c>
      <c r="N10282" t="s">
        <v>46569</v>
      </c>
      <c r="O10282" t="s">
        <v>46570</v>
      </c>
      <c r="P10282">
        <v>0</v>
      </c>
      <c r="Q10282">
        <v>6</v>
      </c>
      <c r="R10282" t="s">
        <v>46578</v>
      </c>
      <c r="S10282" t="s">
        <v>46874</v>
      </c>
      <c r="T10282" t="s">
        <v>48448</v>
      </c>
      <c r="U10282" t="s">
        <v>52826</v>
      </c>
      <c r="W10282" t="s">
        <v>44390</v>
      </c>
      <c r="X10282" t="s">
        <v>46586</v>
      </c>
    </row>
    <row r="10283" spans="1:24">
      <c r="A10283">
        <f>HYPERLINK("https://www.philgeps.gov.ph/GEPSNONPILOT/Tender/SplashBidNoticeAbstractUI.aspx?menuIndex=3&amp;refID=7052937&amp;Result=3","7052937")</f>
        <v>0</v>
      </c>
      <c r="B10283" t="s">
        <v>2825</v>
      </c>
      <c r="C10283" t="s">
        <v>13263</v>
      </c>
      <c r="D10283" t="s">
        <v>18790</v>
      </c>
      <c r="E10283" t="s">
        <v>27798</v>
      </c>
      <c r="F10283" t="s">
        <v>32665</v>
      </c>
      <c r="G10283" t="s">
        <v>32672</v>
      </c>
      <c r="H10283" t="s">
        <v>32682</v>
      </c>
      <c r="I10283" t="s">
        <v>9946</v>
      </c>
      <c r="J10283" t="s">
        <v>38941</v>
      </c>
      <c r="K10283" t="s">
        <v>42505</v>
      </c>
      <c r="M10283" t="s">
        <v>45669</v>
      </c>
      <c r="N10283" t="s">
        <v>46569</v>
      </c>
      <c r="O10283" t="s">
        <v>46570</v>
      </c>
      <c r="P10283">
        <v>0</v>
      </c>
      <c r="Q10283">
        <v>0</v>
      </c>
      <c r="R10283" t="s">
        <v>46577</v>
      </c>
      <c r="S10283" t="s">
        <v>46808</v>
      </c>
      <c r="T10283" t="s">
        <v>48248</v>
      </c>
      <c r="U10283" t="s">
        <v>57028</v>
      </c>
      <c r="W10283" t="s">
        <v>45669</v>
      </c>
      <c r="X10283" t="s">
        <v>46578</v>
      </c>
    </row>
    <row r="10284" spans="1:24">
      <c r="A10284">
        <f>HYPERLINK("https://www.philgeps.gov.ph/GEPSNONPILOT/Tender/SplashBidNoticeAbstractUI.aspx?menuIndex=3&amp;refID=7039503&amp;Result=3","7039503")</f>
        <v>0</v>
      </c>
      <c r="B10284" t="s">
        <v>53</v>
      </c>
      <c r="C10284" t="s">
        <v>13264</v>
      </c>
      <c r="E10284" t="s">
        <v>27799</v>
      </c>
      <c r="F10284" t="s">
        <v>32664</v>
      </c>
      <c r="G10284" t="s">
        <v>32671</v>
      </c>
      <c r="H10284" t="s">
        <v>12635</v>
      </c>
      <c r="I10284" t="s">
        <v>6628</v>
      </c>
      <c r="J10284" t="s">
        <v>32865</v>
      </c>
      <c r="K10284" t="s">
        <v>42303</v>
      </c>
      <c r="M10284" t="s">
        <v>44390</v>
      </c>
      <c r="N10284" t="s">
        <v>46569</v>
      </c>
      <c r="O10284" t="s">
        <v>46570</v>
      </c>
      <c r="P10284">
        <v>0</v>
      </c>
      <c r="Q10284">
        <v>3</v>
      </c>
      <c r="R10284" t="s">
        <v>46578</v>
      </c>
      <c r="S10284" t="s">
        <v>46874</v>
      </c>
      <c r="T10284" t="s">
        <v>48448</v>
      </c>
      <c r="U10284" t="s">
        <v>52826</v>
      </c>
      <c r="W10284" t="s">
        <v>44390</v>
      </c>
      <c r="X10284" t="s">
        <v>46586</v>
      </c>
    </row>
    <row r="10285" spans="1:24">
      <c r="A10285">
        <f>HYPERLINK("https://www.philgeps.gov.ph/GEPSNONPILOT/Tender/SplashBidNoticeAbstractUI.aspx?menuIndex=3&amp;refID=7036744&amp;Result=3","7036744")</f>
        <v>0</v>
      </c>
      <c r="B10285" t="s">
        <v>2274</v>
      </c>
      <c r="C10285" t="s">
        <v>13265</v>
      </c>
      <c r="D10285" t="s">
        <v>18817</v>
      </c>
      <c r="E10285" t="s">
        <v>27800</v>
      </c>
      <c r="F10285" t="s">
        <v>32664</v>
      </c>
      <c r="G10285" t="s">
        <v>32672</v>
      </c>
      <c r="H10285" t="s">
        <v>12635</v>
      </c>
      <c r="I10285" t="s">
        <v>11464</v>
      </c>
      <c r="J10285" t="s">
        <v>34518</v>
      </c>
      <c r="K10285" t="s">
        <v>42289</v>
      </c>
      <c r="M10285" t="s">
        <v>45041</v>
      </c>
      <c r="N10285" t="s">
        <v>46569</v>
      </c>
      <c r="O10285" t="s">
        <v>46570</v>
      </c>
      <c r="P10285">
        <v>0</v>
      </c>
      <c r="Q10285">
        <v>7</v>
      </c>
      <c r="R10285" t="s">
        <v>46578</v>
      </c>
      <c r="S10285" t="s">
        <v>46874</v>
      </c>
      <c r="T10285" t="s">
        <v>48313</v>
      </c>
      <c r="U10285" t="s">
        <v>57029</v>
      </c>
      <c r="W10285" t="s">
        <v>45041</v>
      </c>
      <c r="X10285" t="s">
        <v>46587</v>
      </c>
    </row>
    <row r="10286" spans="1:24">
      <c r="A10286">
        <f>HYPERLINK("https://www.philgeps.gov.ph/GEPSNONPILOT/Tender/SplashBidNoticeAbstractUI.aspx?menuIndex=3&amp;refID=7040243&amp;Result=3","7040243")</f>
        <v>0</v>
      </c>
      <c r="B10286" t="s">
        <v>1944</v>
      </c>
      <c r="C10286" t="s">
        <v>13266</v>
      </c>
      <c r="D10286" t="s">
        <v>18806</v>
      </c>
      <c r="E10286" t="s">
        <v>27801</v>
      </c>
      <c r="F10286" t="s">
        <v>32664</v>
      </c>
      <c r="G10286" t="s">
        <v>32672</v>
      </c>
      <c r="H10286" t="s">
        <v>12635</v>
      </c>
      <c r="I10286" t="s">
        <v>6168</v>
      </c>
      <c r="J10286" t="s">
        <v>38942</v>
      </c>
      <c r="K10286" t="s">
        <v>42297</v>
      </c>
      <c r="M10286" t="s">
        <v>44669</v>
      </c>
      <c r="N10286" t="s">
        <v>46569</v>
      </c>
      <c r="O10286" t="s">
        <v>46570</v>
      </c>
      <c r="P10286">
        <v>0</v>
      </c>
      <c r="Q10286">
        <v>1</v>
      </c>
      <c r="R10286" t="s">
        <v>46578</v>
      </c>
      <c r="S10286" t="s">
        <v>46874</v>
      </c>
      <c r="T10286" t="s">
        <v>48212</v>
      </c>
      <c r="U10286" t="s">
        <v>57030</v>
      </c>
      <c r="V10286" t="s">
        <v>62703</v>
      </c>
      <c r="W10286" t="s">
        <v>44669</v>
      </c>
      <c r="X10286" t="s">
        <v>46586</v>
      </c>
    </row>
    <row r="10287" spans="1:24">
      <c r="A10287">
        <f>HYPERLINK("https://www.philgeps.gov.ph/GEPSNONPILOT/Tender/SplashBidNoticeAbstractUI.aspx?menuIndex=3&amp;refID=7035589&amp;Result=3","7035589")</f>
        <v>0</v>
      </c>
      <c r="B10287" t="s">
        <v>1145</v>
      </c>
      <c r="C10287" t="s">
        <v>13267</v>
      </c>
      <c r="D10287" t="s">
        <v>18820</v>
      </c>
      <c r="E10287" t="s">
        <v>23159</v>
      </c>
      <c r="F10287" t="s">
        <v>32664</v>
      </c>
      <c r="G10287" t="s">
        <v>32674</v>
      </c>
      <c r="H10287" t="s">
        <v>12635</v>
      </c>
      <c r="I10287" t="s">
        <v>6168</v>
      </c>
      <c r="J10287" t="s">
        <v>33831</v>
      </c>
      <c r="K10287" t="s">
        <v>42284</v>
      </c>
      <c r="M10287" t="s">
        <v>43776</v>
      </c>
      <c r="N10287" t="s">
        <v>46569</v>
      </c>
      <c r="O10287" t="s">
        <v>46570</v>
      </c>
      <c r="P10287">
        <v>0</v>
      </c>
      <c r="Q10287">
        <v>1</v>
      </c>
      <c r="R10287" t="s">
        <v>46578</v>
      </c>
      <c r="S10287" t="s">
        <v>46874</v>
      </c>
      <c r="T10287" t="s">
        <v>48376</v>
      </c>
      <c r="U10287" t="s">
        <v>57031</v>
      </c>
      <c r="W10287" t="s">
        <v>43776</v>
      </c>
      <c r="X10287" t="s">
        <v>46587</v>
      </c>
    </row>
    <row r="10288" spans="1:24">
      <c r="A10288">
        <f>HYPERLINK("https://www.philgeps.gov.ph/GEPSNONPILOT/Tender/SplashBidNoticeAbstractUI.aspx?menuIndex=3&amp;refID=7041095&amp;Result=3","7041095")</f>
        <v>0</v>
      </c>
      <c r="B10288" t="s">
        <v>2826</v>
      </c>
      <c r="C10288" t="s">
        <v>13268</v>
      </c>
      <c r="D10288" t="s">
        <v>18807</v>
      </c>
      <c r="E10288" t="s">
        <v>27802</v>
      </c>
      <c r="F10288" t="s">
        <v>32664</v>
      </c>
      <c r="G10288" t="s">
        <v>32672</v>
      </c>
      <c r="H10288" t="s">
        <v>12635</v>
      </c>
      <c r="I10288" t="s">
        <v>10627</v>
      </c>
      <c r="J10288" t="s">
        <v>38943</v>
      </c>
      <c r="K10288" t="s">
        <v>42281</v>
      </c>
      <c r="M10288" t="s">
        <v>45670</v>
      </c>
      <c r="N10288" t="s">
        <v>46569</v>
      </c>
      <c r="O10288" t="s">
        <v>46570</v>
      </c>
      <c r="P10288">
        <v>0</v>
      </c>
      <c r="Q10288">
        <v>0</v>
      </c>
      <c r="R10288" t="s">
        <v>46578</v>
      </c>
      <c r="S10288" t="s">
        <v>46874</v>
      </c>
      <c r="T10288" t="s">
        <v>48212</v>
      </c>
      <c r="U10288" t="s">
        <v>57032</v>
      </c>
      <c r="V10288" t="s">
        <v>62704</v>
      </c>
      <c r="W10288" t="s">
        <v>45670</v>
      </c>
      <c r="X10288" t="s">
        <v>46585</v>
      </c>
    </row>
    <row r="10289" spans="1:24">
      <c r="A10289">
        <f>HYPERLINK("https://www.philgeps.gov.ph/GEPSNONPILOT/Tender/SplashBidNoticeAbstractUI.aspx?menuIndex=3&amp;refID=7039531&amp;Result=3","7039531")</f>
        <v>0</v>
      </c>
      <c r="B10289" t="s">
        <v>53</v>
      </c>
      <c r="C10289" t="s">
        <v>13269</v>
      </c>
      <c r="E10289" t="s">
        <v>27803</v>
      </c>
      <c r="F10289" t="s">
        <v>32664</v>
      </c>
      <c r="G10289" t="s">
        <v>32671</v>
      </c>
      <c r="H10289" t="s">
        <v>12635</v>
      </c>
      <c r="I10289" t="s">
        <v>10590</v>
      </c>
      <c r="J10289" t="s">
        <v>38944</v>
      </c>
      <c r="K10289" t="s">
        <v>42303</v>
      </c>
      <c r="M10289" t="s">
        <v>44390</v>
      </c>
      <c r="N10289" t="s">
        <v>46569</v>
      </c>
      <c r="O10289" t="s">
        <v>46570</v>
      </c>
      <c r="P10289">
        <v>0</v>
      </c>
      <c r="Q10289">
        <v>1</v>
      </c>
      <c r="R10289" t="s">
        <v>46578</v>
      </c>
      <c r="S10289" t="s">
        <v>46874</v>
      </c>
      <c r="T10289" t="s">
        <v>48448</v>
      </c>
      <c r="U10289" t="s">
        <v>52826</v>
      </c>
      <c r="W10289" t="s">
        <v>44390</v>
      </c>
      <c r="X10289" t="s">
        <v>46586</v>
      </c>
    </row>
    <row r="10290" spans="1:24">
      <c r="A10290">
        <f>HYPERLINK("https://www.philgeps.gov.ph/GEPSNONPILOT/Tender/SplashBidNoticeAbstractUI.aspx?menuIndex=3&amp;refID=7040868&amp;Result=3","7040868")</f>
        <v>0</v>
      </c>
      <c r="B10290" t="s">
        <v>387</v>
      </c>
      <c r="C10290" t="s">
        <v>13270</v>
      </c>
      <c r="D10290" t="s">
        <v>18798</v>
      </c>
      <c r="E10290" t="s">
        <v>27804</v>
      </c>
      <c r="F10290" t="s">
        <v>32664</v>
      </c>
      <c r="G10290" t="s">
        <v>32672</v>
      </c>
      <c r="H10290" t="s">
        <v>12635</v>
      </c>
      <c r="I10290" t="s">
        <v>8797</v>
      </c>
      <c r="J10290" t="s">
        <v>33001</v>
      </c>
      <c r="K10290" t="s">
        <v>42283</v>
      </c>
      <c r="M10290" t="s">
        <v>45671</v>
      </c>
      <c r="N10290" t="s">
        <v>46569</v>
      </c>
      <c r="O10290" t="s">
        <v>46570</v>
      </c>
      <c r="P10290">
        <v>0</v>
      </c>
      <c r="Q10290">
        <v>2</v>
      </c>
      <c r="R10290" t="s">
        <v>46578</v>
      </c>
      <c r="S10290" t="s">
        <v>46874</v>
      </c>
      <c r="T10290" t="s">
        <v>48452</v>
      </c>
      <c r="U10290" t="s">
        <v>57033</v>
      </c>
      <c r="V10290" t="s">
        <v>62705</v>
      </c>
      <c r="W10290" t="s">
        <v>45671</v>
      </c>
      <c r="X10290" t="s">
        <v>46586</v>
      </c>
    </row>
    <row r="10291" spans="1:24">
      <c r="A10291">
        <f>HYPERLINK("https://www.philgeps.gov.ph/GEPSNONPILOT/Tender/SplashBidNoticeAbstractUI.aspx?menuIndex=3&amp;refID=7023461&amp;Result=3","7023461")</f>
        <v>0</v>
      </c>
      <c r="B10291" t="s">
        <v>916</v>
      </c>
      <c r="C10291" t="s">
        <v>13271</v>
      </c>
      <c r="D10291" t="s">
        <v>18804</v>
      </c>
      <c r="E10291" t="s">
        <v>27805</v>
      </c>
      <c r="F10291" t="s">
        <v>32664</v>
      </c>
      <c r="G10291" t="s">
        <v>32671</v>
      </c>
      <c r="H10291" t="s">
        <v>12635</v>
      </c>
      <c r="I10291" t="s">
        <v>32716</v>
      </c>
      <c r="J10291" t="s">
        <v>38945</v>
      </c>
      <c r="K10291" t="s">
        <v>42306</v>
      </c>
      <c r="M10291" t="s">
        <v>43522</v>
      </c>
      <c r="N10291" t="s">
        <v>46569</v>
      </c>
      <c r="O10291" t="s">
        <v>46570</v>
      </c>
      <c r="P10291">
        <v>0</v>
      </c>
      <c r="Q10291">
        <v>0</v>
      </c>
      <c r="R10291" t="s">
        <v>46578</v>
      </c>
      <c r="S10291" t="s">
        <v>46874</v>
      </c>
      <c r="T10291" t="s">
        <v>48448</v>
      </c>
      <c r="U10291" t="s">
        <v>57034</v>
      </c>
      <c r="W10291" t="s">
        <v>43522</v>
      </c>
      <c r="X10291" t="s">
        <v>46594</v>
      </c>
    </row>
    <row r="10292" spans="1:24">
      <c r="A10292">
        <f>HYPERLINK("https://www.philgeps.gov.ph/GEPSNONPILOT/Tender/SplashBidNoticeAbstractUI.aspx?menuIndex=3&amp;refID=7039453&amp;Result=3","7039453")</f>
        <v>0</v>
      </c>
      <c r="B10292" t="s">
        <v>53</v>
      </c>
      <c r="C10292" t="s">
        <v>13272</v>
      </c>
      <c r="E10292" t="s">
        <v>27806</v>
      </c>
      <c r="F10292" t="s">
        <v>32664</v>
      </c>
      <c r="G10292" t="s">
        <v>32671</v>
      </c>
      <c r="H10292" t="s">
        <v>12635</v>
      </c>
      <c r="I10292" t="s">
        <v>6168</v>
      </c>
      <c r="J10292" t="s">
        <v>34370</v>
      </c>
      <c r="K10292" t="s">
        <v>42303</v>
      </c>
      <c r="M10292" t="s">
        <v>44390</v>
      </c>
      <c r="N10292" t="s">
        <v>46569</v>
      </c>
      <c r="O10292" t="s">
        <v>46570</v>
      </c>
      <c r="P10292">
        <v>0</v>
      </c>
      <c r="Q10292">
        <v>3</v>
      </c>
      <c r="R10292" t="s">
        <v>46578</v>
      </c>
      <c r="S10292" t="s">
        <v>46874</v>
      </c>
      <c r="T10292" t="s">
        <v>48448</v>
      </c>
      <c r="U10292" t="s">
        <v>52826</v>
      </c>
      <c r="W10292" t="s">
        <v>44390</v>
      </c>
      <c r="X10292" t="s">
        <v>46586</v>
      </c>
    </row>
    <row r="10293" spans="1:24">
      <c r="A10293">
        <f>HYPERLINK("https://www.philgeps.gov.ph/GEPSNONPILOT/Tender/SplashBidNoticeAbstractUI.aspx?menuIndex=3&amp;refID=7040852&amp;Result=3","7040852")</f>
        <v>0</v>
      </c>
      <c r="B10293" t="s">
        <v>387</v>
      </c>
      <c r="C10293" t="s">
        <v>13273</v>
      </c>
      <c r="D10293" t="s">
        <v>18798</v>
      </c>
      <c r="E10293" t="s">
        <v>27807</v>
      </c>
      <c r="F10293" t="s">
        <v>32664</v>
      </c>
      <c r="G10293" t="s">
        <v>32672</v>
      </c>
      <c r="H10293" t="s">
        <v>12635</v>
      </c>
      <c r="I10293" t="s">
        <v>32702</v>
      </c>
      <c r="J10293" t="s">
        <v>38946</v>
      </c>
      <c r="K10293" t="s">
        <v>42283</v>
      </c>
      <c r="M10293" t="s">
        <v>45671</v>
      </c>
      <c r="N10293" t="s">
        <v>46569</v>
      </c>
      <c r="O10293" t="s">
        <v>46570</v>
      </c>
      <c r="P10293">
        <v>0</v>
      </c>
      <c r="Q10293">
        <v>4</v>
      </c>
      <c r="R10293" t="s">
        <v>46578</v>
      </c>
      <c r="S10293" t="s">
        <v>46874</v>
      </c>
      <c r="T10293" t="s">
        <v>48452</v>
      </c>
      <c r="U10293" t="s">
        <v>57035</v>
      </c>
      <c r="V10293" t="s">
        <v>62705</v>
      </c>
      <c r="W10293" t="s">
        <v>45671</v>
      </c>
      <c r="X10293" t="s">
        <v>46586</v>
      </c>
    </row>
    <row r="10294" spans="1:24">
      <c r="A10294">
        <f>HYPERLINK("https://www.philgeps.gov.ph/GEPSNONPILOT/Tender/SplashBidNoticeAbstractUI.aspx?menuIndex=3&amp;refID=7055618&amp;Result=3","7055618")</f>
        <v>0</v>
      </c>
      <c r="B10294" t="s">
        <v>2283</v>
      </c>
      <c r="C10294" t="s">
        <v>13274</v>
      </c>
      <c r="D10294" t="s">
        <v>18784</v>
      </c>
      <c r="E10294" t="s">
        <v>27808</v>
      </c>
      <c r="F10294" t="s">
        <v>32664</v>
      </c>
      <c r="G10294" t="s">
        <v>32672</v>
      </c>
      <c r="H10294" t="s">
        <v>12635</v>
      </c>
      <c r="I10294" t="s">
        <v>6223</v>
      </c>
      <c r="J10294" t="s">
        <v>33128</v>
      </c>
      <c r="K10294" t="s">
        <v>42281</v>
      </c>
      <c r="M10294" t="s">
        <v>45053</v>
      </c>
      <c r="N10294" t="s">
        <v>46569</v>
      </c>
      <c r="O10294" t="s">
        <v>46570</v>
      </c>
      <c r="P10294">
        <v>0</v>
      </c>
      <c r="Q10294">
        <v>2</v>
      </c>
      <c r="R10294" t="s">
        <v>46577</v>
      </c>
      <c r="S10294" t="s">
        <v>46808</v>
      </c>
      <c r="T10294" t="s">
        <v>48307</v>
      </c>
      <c r="U10294" t="s">
        <v>57036</v>
      </c>
      <c r="W10294" t="s">
        <v>45053</v>
      </c>
      <c r="X10294" t="s">
        <v>46578</v>
      </c>
    </row>
    <row r="10295" spans="1:24">
      <c r="A10295">
        <f>HYPERLINK("https://www.philgeps.gov.ph/GEPSNONPILOT/Tender/SplashBidNoticeAbstractUI.aspx?menuIndex=3&amp;refID=7035477&amp;Result=3","7035477")</f>
        <v>0</v>
      </c>
      <c r="B10295" t="s">
        <v>2827</v>
      </c>
      <c r="C10295" t="s">
        <v>13275</v>
      </c>
      <c r="D10295" t="s">
        <v>18794</v>
      </c>
      <c r="E10295" t="s">
        <v>27809</v>
      </c>
      <c r="F10295" t="s">
        <v>32664</v>
      </c>
      <c r="G10295" t="s">
        <v>32672</v>
      </c>
      <c r="H10295" t="s">
        <v>32683</v>
      </c>
      <c r="I10295" t="s">
        <v>10627</v>
      </c>
      <c r="J10295" t="s">
        <v>38494</v>
      </c>
      <c r="K10295" t="s">
        <v>42308</v>
      </c>
      <c r="M10295" t="s">
        <v>45672</v>
      </c>
      <c r="N10295" t="s">
        <v>46569</v>
      </c>
      <c r="O10295" t="s">
        <v>46570</v>
      </c>
      <c r="P10295">
        <v>0</v>
      </c>
      <c r="Q10295">
        <v>3</v>
      </c>
      <c r="R10295" t="s">
        <v>46578</v>
      </c>
      <c r="S10295" t="s">
        <v>46874</v>
      </c>
      <c r="T10295" t="s">
        <v>48338</v>
      </c>
      <c r="U10295" t="s">
        <v>57037</v>
      </c>
      <c r="V10295" t="s">
        <v>62706</v>
      </c>
      <c r="W10295" t="s">
        <v>45672</v>
      </c>
      <c r="X10295" t="s">
        <v>46587</v>
      </c>
    </row>
    <row r="10296" spans="1:24">
      <c r="A10296">
        <f>HYPERLINK("https://www.philgeps.gov.ph/GEPSNONPILOT/Tender/SplashBidNoticeAbstractUI.aspx?menuIndex=3&amp;refID=7026766&amp;Result=3","7026766")</f>
        <v>0</v>
      </c>
      <c r="B10296" t="s">
        <v>452</v>
      </c>
      <c r="C10296" t="s">
        <v>13276</v>
      </c>
      <c r="D10296" t="s">
        <v>18852</v>
      </c>
      <c r="E10296" t="s">
        <v>27810</v>
      </c>
      <c r="F10296" t="s">
        <v>32664</v>
      </c>
      <c r="G10296" t="s">
        <v>32672</v>
      </c>
      <c r="H10296" t="s">
        <v>32683</v>
      </c>
      <c r="I10296" t="s">
        <v>32720</v>
      </c>
      <c r="J10296" t="s">
        <v>38947</v>
      </c>
      <c r="K10296" t="s">
        <v>42389</v>
      </c>
      <c r="M10296" t="s">
        <v>43025</v>
      </c>
      <c r="N10296" t="s">
        <v>46569</v>
      </c>
      <c r="O10296" t="s">
        <v>46570</v>
      </c>
      <c r="P10296">
        <v>0</v>
      </c>
      <c r="Q10296">
        <v>0</v>
      </c>
      <c r="R10296" t="s">
        <v>46578</v>
      </c>
      <c r="S10296" t="s">
        <v>46874</v>
      </c>
      <c r="T10296" t="s">
        <v>48308</v>
      </c>
      <c r="U10296" t="s">
        <v>57038</v>
      </c>
      <c r="W10296" t="s">
        <v>43025</v>
      </c>
      <c r="X10296" t="s">
        <v>46593</v>
      </c>
    </row>
    <row r="10297" spans="1:24">
      <c r="A10297">
        <f>HYPERLINK("https://www.philgeps.gov.ph/GEPSNONPILOT/Tender/SplashBidNoticeAbstractUI.aspx?menuIndex=3&amp;refID=7035498&amp;Result=3","7035498")</f>
        <v>0</v>
      </c>
      <c r="B10297" t="s">
        <v>2827</v>
      </c>
      <c r="C10297" t="s">
        <v>13277</v>
      </c>
      <c r="D10297" t="s">
        <v>18794</v>
      </c>
      <c r="E10297" t="s">
        <v>27811</v>
      </c>
      <c r="F10297" t="s">
        <v>32664</v>
      </c>
      <c r="G10297" t="s">
        <v>32672</v>
      </c>
      <c r="H10297" t="s">
        <v>32683</v>
      </c>
      <c r="I10297" t="s">
        <v>10627</v>
      </c>
      <c r="J10297" t="s">
        <v>38494</v>
      </c>
      <c r="K10297" t="s">
        <v>42308</v>
      </c>
      <c r="M10297" t="s">
        <v>45672</v>
      </c>
      <c r="N10297" t="s">
        <v>46569</v>
      </c>
      <c r="O10297" t="s">
        <v>46570</v>
      </c>
      <c r="P10297">
        <v>0</v>
      </c>
      <c r="Q10297">
        <v>3</v>
      </c>
      <c r="R10297" t="s">
        <v>46578</v>
      </c>
      <c r="S10297" t="s">
        <v>46874</v>
      </c>
      <c r="T10297" t="s">
        <v>48338</v>
      </c>
      <c r="U10297" t="s">
        <v>57039</v>
      </c>
      <c r="V10297" t="s">
        <v>62706</v>
      </c>
      <c r="W10297" t="s">
        <v>45672</v>
      </c>
      <c r="X10297" t="s">
        <v>46587</v>
      </c>
    </row>
    <row r="10298" spans="1:24">
      <c r="A10298">
        <f>HYPERLINK("https://www.philgeps.gov.ph/GEPSNONPILOT/Tender/SplashBidNoticeAbstractUI.aspx?menuIndex=3&amp;refID=7035323&amp;Result=3","7035323")</f>
        <v>0</v>
      </c>
      <c r="B10298" t="s">
        <v>2827</v>
      </c>
      <c r="C10298" t="s">
        <v>13278</v>
      </c>
      <c r="D10298" t="s">
        <v>18794</v>
      </c>
      <c r="E10298" t="s">
        <v>27812</v>
      </c>
      <c r="F10298" t="s">
        <v>32664</v>
      </c>
      <c r="G10298" t="s">
        <v>32672</v>
      </c>
      <c r="H10298" t="s">
        <v>32683</v>
      </c>
      <c r="I10298" t="s">
        <v>10627</v>
      </c>
      <c r="J10298" t="s">
        <v>38494</v>
      </c>
      <c r="K10298" t="s">
        <v>42308</v>
      </c>
      <c r="M10298" t="s">
        <v>45672</v>
      </c>
      <c r="N10298" t="s">
        <v>46569</v>
      </c>
      <c r="O10298" t="s">
        <v>46570</v>
      </c>
      <c r="P10298">
        <v>0</v>
      </c>
      <c r="Q10298">
        <v>2</v>
      </c>
      <c r="R10298" t="s">
        <v>46578</v>
      </c>
      <c r="S10298" t="s">
        <v>46874</v>
      </c>
      <c r="T10298" t="s">
        <v>48338</v>
      </c>
      <c r="U10298" t="s">
        <v>57040</v>
      </c>
      <c r="V10298" t="s">
        <v>62706</v>
      </c>
      <c r="W10298" t="s">
        <v>45672</v>
      </c>
      <c r="X10298" t="s">
        <v>46587</v>
      </c>
    </row>
    <row r="10299" spans="1:24">
      <c r="A10299">
        <f>HYPERLINK("https://www.philgeps.gov.ph/GEPSNONPILOT/Tender/SplashBidNoticeAbstractUI.aspx?menuIndex=3&amp;refID=7053799&amp;Result=3","7053799")</f>
        <v>0</v>
      </c>
      <c r="B10299" t="s">
        <v>179</v>
      </c>
      <c r="C10299" t="s">
        <v>13279</v>
      </c>
      <c r="D10299" t="s">
        <v>18830</v>
      </c>
      <c r="E10299" t="s">
        <v>27813</v>
      </c>
      <c r="F10299" t="s">
        <v>32664</v>
      </c>
      <c r="G10299" t="s">
        <v>32671</v>
      </c>
      <c r="H10299" t="s">
        <v>32683</v>
      </c>
      <c r="I10299" t="s">
        <v>10627</v>
      </c>
      <c r="J10299" t="s">
        <v>32865</v>
      </c>
      <c r="K10299" t="s">
        <v>42428</v>
      </c>
      <c r="M10299" t="s">
        <v>45516</v>
      </c>
      <c r="N10299" t="s">
        <v>46569</v>
      </c>
      <c r="O10299" t="s">
        <v>46570</v>
      </c>
      <c r="P10299">
        <v>0</v>
      </c>
      <c r="Q10299">
        <v>0</v>
      </c>
      <c r="R10299" t="s">
        <v>46577</v>
      </c>
      <c r="S10299" t="s">
        <v>46808</v>
      </c>
      <c r="T10299" t="s">
        <v>48573</v>
      </c>
      <c r="U10299" t="s">
        <v>56399</v>
      </c>
      <c r="W10299" t="s">
        <v>45631</v>
      </c>
      <c r="X10299" t="s">
        <v>46578</v>
      </c>
    </row>
    <row r="10300" spans="1:24">
      <c r="A10300">
        <f>HYPERLINK("https://www.philgeps.gov.ph/GEPSNONPILOT/Tender/SplashBidNoticeAbstractUI.aspx?menuIndex=3&amp;refID=7040878&amp;Result=3","7040878")</f>
        <v>0</v>
      </c>
      <c r="B10300" t="s">
        <v>387</v>
      </c>
      <c r="C10300" t="s">
        <v>13280</v>
      </c>
      <c r="D10300" t="s">
        <v>18798</v>
      </c>
      <c r="E10300" t="s">
        <v>27814</v>
      </c>
      <c r="F10300" t="s">
        <v>32664</v>
      </c>
      <c r="G10300" t="s">
        <v>32672</v>
      </c>
      <c r="H10300" t="s">
        <v>12635</v>
      </c>
      <c r="I10300" t="s">
        <v>8797</v>
      </c>
      <c r="J10300" t="s">
        <v>32981</v>
      </c>
      <c r="K10300" t="s">
        <v>42283</v>
      </c>
      <c r="M10300" t="s">
        <v>45671</v>
      </c>
      <c r="N10300" t="s">
        <v>46569</v>
      </c>
      <c r="O10300" t="s">
        <v>46570</v>
      </c>
      <c r="P10300">
        <v>0</v>
      </c>
      <c r="Q10300">
        <v>1</v>
      </c>
      <c r="R10300" t="s">
        <v>46578</v>
      </c>
      <c r="S10300" t="s">
        <v>46874</v>
      </c>
      <c r="T10300" t="s">
        <v>48452</v>
      </c>
      <c r="U10300" t="s">
        <v>57041</v>
      </c>
      <c r="V10300" t="s">
        <v>62705</v>
      </c>
      <c r="W10300" t="s">
        <v>45671</v>
      </c>
      <c r="X10300" t="s">
        <v>46586</v>
      </c>
    </row>
    <row r="10301" spans="1:24">
      <c r="A10301">
        <f>HYPERLINK("https://www.philgeps.gov.ph/GEPSNONPILOT/Tender/SplashBidNoticeAbstractUI.aspx?menuIndex=3&amp;refID=7045759&amp;Result=3","7045759")</f>
        <v>0</v>
      </c>
      <c r="B10301" t="s">
        <v>605</v>
      </c>
      <c r="C10301" t="s">
        <v>13281</v>
      </c>
      <c r="D10301" t="s">
        <v>18858</v>
      </c>
      <c r="E10301" t="s">
        <v>27815</v>
      </c>
      <c r="F10301" t="s">
        <v>32664</v>
      </c>
      <c r="G10301" t="s">
        <v>32672</v>
      </c>
      <c r="H10301" t="s">
        <v>32683</v>
      </c>
      <c r="I10301" t="s">
        <v>10627</v>
      </c>
      <c r="J10301" t="s">
        <v>32943</v>
      </c>
      <c r="K10301" t="s">
        <v>42298</v>
      </c>
      <c r="M10301" t="s">
        <v>43185</v>
      </c>
      <c r="N10301" t="s">
        <v>46569</v>
      </c>
      <c r="O10301" t="s">
        <v>46570</v>
      </c>
      <c r="P10301">
        <v>0</v>
      </c>
      <c r="Q10301">
        <v>1</v>
      </c>
      <c r="R10301" t="s">
        <v>46578</v>
      </c>
      <c r="S10301" t="s">
        <v>46874</v>
      </c>
      <c r="T10301" t="s">
        <v>48274</v>
      </c>
      <c r="U10301" t="s">
        <v>57042</v>
      </c>
      <c r="W10301" t="s">
        <v>43185</v>
      </c>
      <c r="X10301" t="s">
        <v>46581</v>
      </c>
    </row>
    <row r="10302" spans="1:24">
      <c r="A10302">
        <f>HYPERLINK("https://www.philgeps.gov.ph/GEPSNONPILOT/Tender/SplashBidNoticeAbstractUI.aspx?menuIndex=3&amp;refID=7041304&amp;Result=3","7041304")</f>
        <v>0</v>
      </c>
      <c r="B10302" t="s">
        <v>1944</v>
      </c>
      <c r="C10302" t="s">
        <v>13282</v>
      </c>
      <c r="D10302" t="s">
        <v>18806</v>
      </c>
      <c r="E10302" t="s">
        <v>27816</v>
      </c>
      <c r="F10302" t="s">
        <v>32664</v>
      </c>
      <c r="G10302" t="s">
        <v>32672</v>
      </c>
      <c r="H10302" t="s">
        <v>12635</v>
      </c>
      <c r="I10302" t="s">
        <v>6168</v>
      </c>
      <c r="J10302" t="s">
        <v>38948</v>
      </c>
      <c r="K10302" t="s">
        <v>42297</v>
      </c>
      <c r="M10302" t="s">
        <v>44669</v>
      </c>
      <c r="N10302" t="s">
        <v>46569</v>
      </c>
      <c r="O10302" t="s">
        <v>46570</v>
      </c>
      <c r="P10302">
        <v>0</v>
      </c>
      <c r="Q10302">
        <v>0</v>
      </c>
      <c r="R10302" t="s">
        <v>46578</v>
      </c>
      <c r="S10302" t="s">
        <v>46874</v>
      </c>
      <c r="T10302" t="s">
        <v>48212</v>
      </c>
      <c r="U10302" t="s">
        <v>57030</v>
      </c>
      <c r="V10302" t="s">
        <v>62707</v>
      </c>
      <c r="W10302" t="s">
        <v>44669</v>
      </c>
      <c r="X10302" t="s">
        <v>46585</v>
      </c>
    </row>
    <row r="10303" spans="1:24">
      <c r="A10303">
        <f>HYPERLINK("https://www.philgeps.gov.ph/GEPSNONPILOT/Tender/SplashBidNoticeAbstractUI.aspx?menuIndex=3&amp;refID=7045707&amp;Result=3","7045707")</f>
        <v>0</v>
      </c>
      <c r="B10303" t="s">
        <v>2828</v>
      </c>
      <c r="C10303" t="s">
        <v>13283</v>
      </c>
      <c r="D10303" t="s">
        <v>18824</v>
      </c>
      <c r="E10303" t="s">
        <v>27817</v>
      </c>
      <c r="F10303" t="s">
        <v>32664</v>
      </c>
      <c r="G10303" t="s">
        <v>32672</v>
      </c>
      <c r="H10303" t="s">
        <v>32683</v>
      </c>
      <c r="I10303" t="s">
        <v>10627</v>
      </c>
      <c r="J10303" t="s">
        <v>38949</v>
      </c>
      <c r="K10303" t="s">
        <v>42323</v>
      </c>
      <c r="M10303" t="s">
        <v>45673</v>
      </c>
      <c r="N10303" t="s">
        <v>46569</v>
      </c>
      <c r="O10303" t="s">
        <v>46570</v>
      </c>
      <c r="P10303">
        <v>0</v>
      </c>
      <c r="Q10303">
        <v>4</v>
      </c>
      <c r="R10303" t="s">
        <v>46578</v>
      </c>
      <c r="S10303" t="s">
        <v>46874</v>
      </c>
      <c r="T10303" t="s">
        <v>48453</v>
      </c>
      <c r="U10303" t="s">
        <v>57043</v>
      </c>
      <c r="V10303" t="s">
        <v>49832</v>
      </c>
      <c r="W10303" t="s">
        <v>45673</v>
      </c>
      <c r="X10303" t="s">
        <v>46581</v>
      </c>
    </row>
    <row r="10304" spans="1:24">
      <c r="A10304">
        <f>HYPERLINK("https://www.philgeps.gov.ph/GEPSNONPILOT/Tender/SplashBidNoticeAbstractUI.aspx?menuIndex=3&amp;refID=7045638&amp;Result=3","7045638")</f>
        <v>0</v>
      </c>
      <c r="B10304" t="s">
        <v>2828</v>
      </c>
      <c r="C10304" t="s">
        <v>13284</v>
      </c>
      <c r="D10304" t="s">
        <v>18824</v>
      </c>
      <c r="E10304" t="s">
        <v>27818</v>
      </c>
      <c r="F10304" t="s">
        <v>32664</v>
      </c>
      <c r="G10304" t="s">
        <v>32672</v>
      </c>
      <c r="H10304" t="s">
        <v>32683</v>
      </c>
      <c r="I10304" t="s">
        <v>10627</v>
      </c>
      <c r="J10304" t="s">
        <v>38950</v>
      </c>
      <c r="K10304" t="s">
        <v>42312</v>
      </c>
      <c r="M10304" t="s">
        <v>45673</v>
      </c>
      <c r="N10304" t="s">
        <v>46569</v>
      </c>
      <c r="O10304" t="s">
        <v>46570</v>
      </c>
      <c r="P10304">
        <v>0</v>
      </c>
      <c r="Q10304">
        <v>5</v>
      </c>
      <c r="R10304" t="s">
        <v>46578</v>
      </c>
      <c r="S10304" t="s">
        <v>46874</v>
      </c>
      <c r="T10304" t="s">
        <v>48453</v>
      </c>
      <c r="U10304" t="s">
        <v>57044</v>
      </c>
      <c r="V10304" t="s">
        <v>56481</v>
      </c>
      <c r="W10304" t="s">
        <v>45673</v>
      </c>
      <c r="X10304" t="s">
        <v>46581</v>
      </c>
    </row>
    <row r="10305" spans="1:24">
      <c r="A10305">
        <f>HYPERLINK("https://www.philgeps.gov.ph/GEPSNONPILOT/Tender/SplashBidNoticeAbstractUI.aspx?menuIndex=3&amp;refID=7044873&amp;Result=3","7044873")</f>
        <v>0</v>
      </c>
      <c r="B10305" t="s">
        <v>2829</v>
      </c>
      <c r="C10305" t="s">
        <v>13285</v>
      </c>
      <c r="D10305" t="s">
        <v>18792</v>
      </c>
      <c r="E10305" t="s">
        <v>27819</v>
      </c>
      <c r="F10305" t="s">
        <v>32664</v>
      </c>
      <c r="G10305" t="s">
        <v>32671</v>
      </c>
      <c r="H10305" t="s">
        <v>12635</v>
      </c>
      <c r="I10305" t="s">
        <v>32706</v>
      </c>
      <c r="J10305" t="s">
        <v>34076</v>
      </c>
      <c r="K10305" t="s">
        <v>42283</v>
      </c>
      <c r="M10305" t="s">
        <v>45674</v>
      </c>
      <c r="N10305" t="s">
        <v>46569</v>
      </c>
      <c r="O10305" t="s">
        <v>46570</v>
      </c>
      <c r="P10305">
        <v>0</v>
      </c>
      <c r="Q10305">
        <v>0</v>
      </c>
      <c r="R10305" t="s">
        <v>46578</v>
      </c>
      <c r="S10305" t="s">
        <v>46874</v>
      </c>
      <c r="T10305" t="s">
        <v>48228</v>
      </c>
      <c r="U10305" t="s">
        <v>57045</v>
      </c>
      <c r="W10305" t="s">
        <v>45674</v>
      </c>
      <c r="X10305" t="s">
        <v>46581</v>
      </c>
    </row>
    <row r="10306" spans="1:24">
      <c r="A10306">
        <f>HYPERLINK("https://www.philgeps.gov.ph/GEPSNONPILOT/Tender/SplashBidNoticeAbstractUI.aspx?menuIndex=3&amp;refID=7044841&amp;Result=3","7044841")</f>
        <v>0</v>
      </c>
      <c r="B10306" t="s">
        <v>2830</v>
      </c>
      <c r="C10306" t="s">
        <v>13286</v>
      </c>
      <c r="D10306" t="s">
        <v>18785</v>
      </c>
      <c r="E10306" t="s">
        <v>27820</v>
      </c>
      <c r="F10306" t="s">
        <v>32664</v>
      </c>
      <c r="G10306" t="s">
        <v>32672</v>
      </c>
      <c r="H10306" t="s">
        <v>32683</v>
      </c>
      <c r="I10306" t="s">
        <v>10627</v>
      </c>
      <c r="J10306" t="s">
        <v>32837</v>
      </c>
      <c r="K10306" t="s">
        <v>42312</v>
      </c>
      <c r="M10306" t="s">
        <v>45675</v>
      </c>
      <c r="N10306" t="s">
        <v>46569</v>
      </c>
      <c r="O10306" t="s">
        <v>46570</v>
      </c>
      <c r="P10306">
        <v>0</v>
      </c>
      <c r="Q10306">
        <v>5</v>
      </c>
      <c r="R10306" t="s">
        <v>46578</v>
      </c>
      <c r="S10306" t="s">
        <v>46874</v>
      </c>
      <c r="T10306" t="s">
        <v>48316</v>
      </c>
      <c r="U10306" t="s">
        <v>57046</v>
      </c>
      <c r="V10306" t="s">
        <v>62708</v>
      </c>
      <c r="W10306" t="s">
        <v>45675</v>
      </c>
      <c r="X10306" t="s">
        <v>46581</v>
      </c>
    </row>
    <row r="10307" spans="1:24">
      <c r="A10307">
        <f>HYPERLINK("https://www.philgeps.gov.ph/GEPSNONPILOT/Tender/SplashBidNoticeAbstractUI.aspx?menuIndex=3&amp;refID=7044813&amp;Result=3","7044813")</f>
        <v>0</v>
      </c>
      <c r="B10307" t="s">
        <v>2829</v>
      </c>
      <c r="C10307" t="s">
        <v>13287</v>
      </c>
      <c r="D10307" t="s">
        <v>18792</v>
      </c>
      <c r="E10307" t="s">
        <v>27821</v>
      </c>
      <c r="F10307" t="s">
        <v>32664</v>
      </c>
      <c r="G10307" t="s">
        <v>32671</v>
      </c>
      <c r="H10307" t="s">
        <v>12635</v>
      </c>
      <c r="I10307" t="s">
        <v>32706</v>
      </c>
      <c r="J10307" t="s">
        <v>38951</v>
      </c>
      <c r="K10307" t="s">
        <v>42283</v>
      </c>
      <c r="M10307" t="s">
        <v>45674</v>
      </c>
      <c r="N10307" t="s">
        <v>46569</v>
      </c>
      <c r="O10307" t="s">
        <v>46570</v>
      </c>
      <c r="P10307">
        <v>0</v>
      </c>
      <c r="Q10307">
        <v>0</v>
      </c>
      <c r="R10307" t="s">
        <v>46578</v>
      </c>
      <c r="S10307" t="s">
        <v>46874</v>
      </c>
      <c r="T10307" t="s">
        <v>48228</v>
      </c>
      <c r="U10307" t="s">
        <v>57045</v>
      </c>
      <c r="W10307" t="s">
        <v>45674</v>
      </c>
      <c r="X10307" t="s">
        <v>46581</v>
      </c>
    </row>
    <row r="10308" spans="1:24">
      <c r="A10308">
        <f>HYPERLINK("https://www.philgeps.gov.ph/GEPSNONPILOT/Tender/SplashBidNoticeAbstractUI.aspx?menuIndex=3&amp;refID=7044597&amp;Result=3","7044597")</f>
        <v>0</v>
      </c>
      <c r="B10308" t="s">
        <v>2317</v>
      </c>
      <c r="C10308" t="s">
        <v>13288</v>
      </c>
      <c r="D10308" t="s">
        <v>18842</v>
      </c>
      <c r="E10308" t="s">
        <v>19597</v>
      </c>
      <c r="F10308" t="s">
        <v>32664</v>
      </c>
      <c r="G10308" t="s">
        <v>32672</v>
      </c>
      <c r="H10308" t="s">
        <v>32683</v>
      </c>
      <c r="I10308" t="s">
        <v>10627</v>
      </c>
      <c r="J10308" t="s">
        <v>38952</v>
      </c>
      <c r="K10308" t="s">
        <v>42290</v>
      </c>
      <c r="M10308" t="s">
        <v>45091</v>
      </c>
      <c r="N10308" t="s">
        <v>46569</v>
      </c>
      <c r="O10308" t="s">
        <v>46570</v>
      </c>
      <c r="P10308">
        <v>0</v>
      </c>
      <c r="Q10308">
        <v>0</v>
      </c>
      <c r="R10308" t="s">
        <v>46578</v>
      </c>
      <c r="S10308" t="s">
        <v>46874</v>
      </c>
      <c r="T10308" t="s">
        <v>48478</v>
      </c>
      <c r="U10308" t="s">
        <v>57047</v>
      </c>
      <c r="W10308" t="s">
        <v>45091</v>
      </c>
      <c r="X10308" t="s">
        <v>46581</v>
      </c>
    </row>
    <row r="10309" spans="1:24">
      <c r="A10309">
        <f>HYPERLINK("https://www.philgeps.gov.ph/GEPSNONPILOT/Tender/SplashBidNoticeAbstractUI.aspx?menuIndex=3&amp;refID=7045729&amp;Result=3","7045729")</f>
        <v>0</v>
      </c>
      <c r="B10309" t="s">
        <v>605</v>
      </c>
      <c r="C10309" t="s">
        <v>13289</v>
      </c>
      <c r="D10309" t="s">
        <v>18858</v>
      </c>
      <c r="E10309" t="s">
        <v>27822</v>
      </c>
      <c r="F10309" t="s">
        <v>32664</v>
      </c>
      <c r="G10309" t="s">
        <v>32672</v>
      </c>
      <c r="H10309" t="s">
        <v>12635</v>
      </c>
      <c r="I10309" t="s">
        <v>11464</v>
      </c>
      <c r="J10309" t="s">
        <v>38953</v>
      </c>
      <c r="K10309" t="s">
        <v>42281</v>
      </c>
      <c r="M10309" t="s">
        <v>43185</v>
      </c>
      <c r="N10309" t="s">
        <v>46569</v>
      </c>
      <c r="O10309" t="s">
        <v>46570</v>
      </c>
      <c r="P10309">
        <v>0</v>
      </c>
      <c r="Q10309">
        <v>3</v>
      </c>
      <c r="R10309" t="s">
        <v>46578</v>
      </c>
      <c r="S10309" t="s">
        <v>46874</v>
      </c>
      <c r="T10309" t="s">
        <v>48274</v>
      </c>
      <c r="U10309" t="s">
        <v>57048</v>
      </c>
      <c r="W10309" t="s">
        <v>43185</v>
      </c>
      <c r="X10309" t="s">
        <v>46581</v>
      </c>
    </row>
    <row r="10310" spans="1:24">
      <c r="A10310">
        <f>HYPERLINK("https://www.philgeps.gov.ph/GEPSNONPILOT/Tender/SplashBidNoticeAbstractUI.aspx?menuIndex=3&amp;refID=7045696&amp;Result=3","7045696")</f>
        <v>0</v>
      </c>
      <c r="B10310" t="s">
        <v>605</v>
      </c>
      <c r="C10310" t="s">
        <v>13290</v>
      </c>
      <c r="D10310" t="s">
        <v>18858</v>
      </c>
      <c r="E10310" t="s">
        <v>27823</v>
      </c>
      <c r="F10310" t="s">
        <v>32664</v>
      </c>
      <c r="G10310" t="s">
        <v>32672</v>
      </c>
      <c r="H10310" t="s">
        <v>12635</v>
      </c>
      <c r="I10310" t="s">
        <v>4333</v>
      </c>
      <c r="J10310" t="s">
        <v>38954</v>
      </c>
      <c r="K10310" t="s">
        <v>42321</v>
      </c>
      <c r="M10310" t="s">
        <v>43185</v>
      </c>
      <c r="N10310" t="s">
        <v>46569</v>
      </c>
      <c r="O10310" t="s">
        <v>46570</v>
      </c>
      <c r="P10310">
        <v>0</v>
      </c>
      <c r="Q10310">
        <v>2</v>
      </c>
      <c r="R10310" t="s">
        <v>46578</v>
      </c>
      <c r="S10310" t="s">
        <v>46874</v>
      </c>
      <c r="T10310" t="s">
        <v>48274</v>
      </c>
      <c r="U10310" t="s">
        <v>57049</v>
      </c>
      <c r="W10310" t="s">
        <v>43185</v>
      </c>
      <c r="X10310" t="s">
        <v>46581</v>
      </c>
    </row>
    <row r="10311" spans="1:24">
      <c r="A10311">
        <f>HYPERLINK("https://www.philgeps.gov.ph/GEPSNONPILOT/Tender/SplashBidNoticeAbstractUI.aspx?menuIndex=3&amp;refID=7045766&amp;Result=3","7045766")</f>
        <v>0</v>
      </c>
      <c r="B10311" t="s">
        <v>2831</v>
      </c>
      <c r="C10311" t="s">
        <v>13291</v>
      </c>
      <c r="D10311" t="s">
        <v>18810</v>
      </c>
      <c r="E10311" t="s">
        <v>27824</v>
      </c>
      <c r="F10311" t="s">
        <v>32664</v>
      </c>
      <c r="G10311" t="s">
        <v>32672</v>
      </c>
      <c r="H10311" t="s">
        <v>12635</v>
      </c>
      <c r="I10311" t="s">
        <v>32716</v>
      </c>
      <c r="J10311" t="s">
        <v>38955</v>
      </c>
      <c r="K10311" t="s">
        <v>42281</v>
      </c>
      <c r="M10311" t="s">
        <v>45676</v>
      </c>
      <c r="N10311" t="s">
        <v>46569</v>
      </c>
      <c r="O10311" t="s">
        <v>46570</v>
      </c>
      <c r="P10311">
        <v>0</v>
      </c>
      <c r="Q10311">
        <v>0</v>
      </c>
      <c r="R10311" t="s">
        <v>46578</v>
      </c>
      <c r="S10311" t="s">
        <v>46874</v>
      </c>
      <c r="T10311" t="s">
        <v>48473</v>
      </c>
      <c r="U10311" t="s">
        <v>57050</v>
      </c>
      <c r="W10311" t="s">
        <v>45676</v>
      </c>
      <c r="X10311" t="s">
        <v>46581</v>
      </c>
    </row>
    <row r="10312" spans="1:24">
      <c r="A10312">
        <f>HYPERLINK("https://www.philgeps.gov.ph/GEPSNONPILOT/Tender/SplashBidNoticeAbstractUI.aspx?menuIndex=3&amp;refID=7040272&amp;Result=3","7040272")</f>
        <v>0</v>
      </c>
      <c r="B10312" t="s">
        <v>1944</v>
      </c>
      <c r="C10312" t="s">
        <v>13292</v>
      </c>
      <c r="D10312" t="s">
        <v>18806</v>
      </c>
      <c r="E10312" t="s">
        <v>27825</v>
      </c>
      <c r="F10312" t="s">
        <v>32664</v>
      </c>
      <c r="G10312" t="s">
        <v>32672</v>
      </c>
      <c r="H10312" t="s">
        <v>12635</v>
      </c>
      <c r="I10312" t="s">
        <v>6168</v>
      </c>
      <c r="J10312" t="s">
        <v>38956</v>
      </c>
      <c r="K10312" t="s">
        <v>42297</v>
      </c>
      <c r="M10312" t="s">
        <v>44669</v>
      </c>
      <c r="N10312" t="s">
        <v>46569</v>
      </c>
      <c r="O10312" t="s">
        <v>46570</v>
      </c>
      <c r="P10312">
        <v>0</v>
      </c>
      <c r="Q10312">
        <v>1</v>
      </c>
      <c r="R10312" t="s">
        <v>46578</v>
      </c>
      <c r="S10312" t="s">
        <v>46874</v>
      </c>
      <c r="T10312" t="s">
        <v>48212</v>
      </c>
      <c r="U10312" t="s">
        <v>57030</v>
      </c>
      <c r="V10312" t="s">
        <v>62709</v>
      </c>
      <c r="W10312" t="s">
        <v>44669</v>
      </c>
      <c r="X10312" t="s">
        <v>46586</v>
      </c>
    </row>
    <row r="10313" spans="1:24">
      <c r="A10313">
        <f>HYPERLINK("https://www.philgeps.gov.ph/GEPSNONPILOT/Tender/SplashBidNoticeAbstractUI.aspx?menuIndex=3&amp;refID=7042365&amp;Result=3","7042365")</f>
        <v>0</v>
      </c>
      <c r="B10313" t="s">
        <v>2832</v>
      </c>
      <c r="C10313" t="s">
        <v>13293</v>
      </c>
      <c r="D10313" t="s">
        <v>18781</v>
      </c>
      <c r="E10313" t="s">
        <v>18889</v>
      </c>
      <c r="F10313" t="s">
        <v>32664</v>
      </c>
      <c r="G10313" t="s">
        <v>32672</v>
      </c>
      <c r="H10313" t="s">
        <v>32682</v>
      </c>
      <c r="I10313" t="s">
        <v>9597</v>
      </c>
      <c r="J10313" t="s">
        <v>33051</v>
      </c>
      <c r="K10313" t="s">
        <v>42330</v>
      </c>
      <c r="M10313" t="s">
        <v>45677</v>
      </c>
      <c r="N10313" t="s">
        <v>46569</v>
      </c>
      <c r="O10313" t="s">
        <v>46570</v>
      </c>
      <c r="P10313">
        <v>0</v>
      </c>
      <c r="Q10313">
        <v>2</v>
      </c>
      <c r="R10313" t="s">
        <v>46578</v>
      </c>
      <c r="S10313" t="s">
        <v>46874</v>
      </c>
      <c r="T10313" t="s">
        <v>48492</v>
      </c>
      <c r="U10313" t="s">
        <v>57051</v>
      </c>
      <c r="W10313" t="s">
        <v>45677</v>
      </c>
      <c r="X10313" t="s">
        <v>46585</v>
      </c>
    </row>
    <row r="10314" spans="1:24">
      <c r="A10314">
        <f>HYPERLINK("https://www.philgeps.gov.ph/GEPSNONPILOT/Tender/SplashBidNoticeAbstractUI.aspx?menuIndex=3&amp;refID=7044116&amp;Result=3","7044116")</f>
        <v>0</v>
      </c>
      <c r="B10314" t="s">
        <v>2833</v>
      </c>
      <c r="C10314" t="s">
        <v>13294</v>
      </c>
      <c r="D10314" t="s">
        <v>18812</v>
      </c>
      <c r="E10314" t="s">
        <v>27826</v>
      </c>
      <c r="F10314" t="s">
        <v>32664</v>
      </c>
      <c r="G10314" t="s">
        <v>32672</v>
      </c>
      <c r="H10314" t="s">
        <v>12635</v>
      </c>
      <c r="I10314" t="s">
        <v>4439</v>
      </c>
      <c r="J10314" t="s">
        <v>38957</v>
      </c>
      <c r="K10314" t="s">
        <v>42330</v>
      </c>
      <c r="M10314" t="s">
        <v>45678</v>
      </c>
      <c r="N10314" t="s">
        <v>46569</v>
      </c>
      <c r="O10314" t="s">
        <v>46570</v>
      </c>
      <c r="P10314">
        <v>0</v>
      </c>
      <c r="Q10314">
        <v>1</v>
      </c>
      <c r="R10314" t="s">
        <v>46578</v>
      </c>
      <c r="S10314" t="s">
        <v>46874</v>
      </c>
      <c r="T10314" t="s">
        <v>48308</v>
      </c>
      <c r="U10314" t="s">
        <v>57052</v>
      </c>
      <c r="W10314" t="s">
        <v>45678</v>
      </c>
      <c r="X10314" t="s">
        <v>46582</v>
      </c>
    </row>
    <row r="10315" spans="1:24">
      <c r="A10315">
        <f>HYPERLINK("https://www.philgeps.gov.ph/GEPSNONPILOT/Tender/SplashBidNoticeAbstractUI.aspx?menuIndex=3&amp;refID=7042580&amp;Result=3","7042580")</f>
        <v>0</v>
      </c>
      <c r="B10315" t="s">
        <v>2739</v>
      </c>
      <c r="C10315" t="s">
        <v>13295</v>
      </c>
      <c r="E10315" t="s">
        <v>27827</v>
      </c>
      <c r="F10315" t="s">
        <v>32664</v>
      </c>
      <c r="G10315" t="s">
        <v>32672</v>
      </c>
      <c r="H10315" t="s">
        <v>12635</v>
      </c>
      <c r="I10315" t="s">
        <v>5589</v>
      </c>
      <c r="J10315" t="s">
        <v>38958</v>
      </c>
      <c r="K10315" t="s">
        <v>42283</v>
      </c>
      <c r="M10315" t="s">
        <v>45573</v>
      </c>
      <c r="N10315" t="s">
        <v>46569</v>
      </c>
      <c r="O10315" t="s">
        <v>46570</v>
      </c>
      <c r="P10315">
        <v>0</v>
      </c>
      <c r="Q10315">
        <v>5</v>
      </c>
      <c r="R10315" t="s">
        <v>46578</v>
      </c>
      <c r="S10315" t="s">
        <v>46874</v>
      </c>
      <c r="T10315" t="s">
        <v>48654</v>
      </c>
      <c r="U10315" t="s">
        <v>57053</v>
      </c>
      <c r="V10315" t="s">
        <v>62710</v>
      </c>
      <c r="W10315" t="s">
        <v>63573</v>
      </c>
      <c r="X10315" t="s">
        <v>46585</v>
      </c>
    </row>
    <row r="10316" spans="1:24">
      <c r="A10316">
        <f>HYPERLINK("https://www.philgeps.gov.ph/GEPSNONPILOT/Tender/SplashBidNoticeAbstractUI.aspx?menuIndex=3&amp;refID=7041455&amp;Result=3","7041455")</f>
        <v>0</v>
      </c>
      <c r="B10316" t="s">
        <v>1944</v>
      </c>
      <c r="C10316" t="s">
        <v>13296</v>
      </c>
      <c r="D10316" t="s">
        <v>18806</v>
      </c>
      <c r="E10316" t="s">
        <v>27828</v>
      </c>
      <c r="F10316" t="s">
        <v>32664</v>
      </c>
      <c r="G10316" t="s">
        <v>32672</v>
      </c>
      <c r="H10316" t="s">
        <v>12635</v>
      </c>
      <c r="I10316" t="s">
        <v>32711</v>
      </c>
      <c r="J10316" t="s">
        <v>32842</v>
      </c>
      <c r="K10316" t="s">
        <v>42297</v>
      </c>
      <c r="M10316" t="s">
        <v>44669</v>
      </c>
      <c r="N10316" t="s">
        <v>46569</v>
      </c>
      <c r="O10316" t="s">
        <v>46570</v>
      </c>
      <c r="P10316">
        <v>0</v>
      </c>
      <c r="Q10316">
        <v>1</v>
      </c>
      <c r="R10316" t="s">
        <v>46578</v>
      </c>
      <c r="S10316" t="s">
        <v>46874</v>
      </c>
      <c r="T10316" t="s">
        <v>48212</v>
      </c>
      <c r="U10316" t="s">
        <v>57054</v>
      </c>
      <c r="V10316" t="s">
        <v>62711</v>
      </c>
      <c r="W10316" t="s">
        <v>44669</v>
      </c>
      <c r="X10316" t="s">
        <v>46585</v>
      </c>
    </row>
    <row r="10317" spans="1:24">
      <c r="A10317">
        <f>HYPERLINK("https://www.philgeps.gov.ph/GEPSNONPILOT/Tender/SplashBidNoticeAbstractUI.aspx?menuIndex=3&amp;refID=7045799&amp;Result=3","7045799")</f>
        <v>0</v>
      </c>
      <c r="B10317" t="s">
        <v>605</v>
      </c>
      <c r="C10317" t="s">
        <v>13297</v>
      </c>
      <c r="D10317" t="s">
        <v>18858</v>
      </c>
      <c r="E10317" t="s">
        <v>27829</v>
      </c>
      <c r="F10317" t="s">
        <v>32664</v>
      </c>
      <c r="G10317" t="s">
        <v>32672</v>
      </c>
      <c r="H10317" t="s">
        <v>32683</v>
      </c>
      <c r="I10317" t="s">
        <v>10627</v>
      </c>
      <c r="J10317" t="s">
        <v>32962</v>
      </c>
      <c r="K10317" t="s">
        <v>42298</v>
      </c>
      <c r="M10317" t="s">
        <v>43185</v>
      </c>
      <c r="N10317" t="s">
        <v>46569</v>
      </c>
      <c r="O10317" t="s">
        <v>46570</v>
      </c>
      <c r="P10317">
        <v>0</v>
      </c>
      <c r="Q10317">
        <v>0</v>
      </c>
      <c r="R10317" t="s">
        <v>46578</v>
      </c>
      <c r="S10317" t="s">
        <v>46874</v>
      </c>
      <c r="T10317" t="s">
        <v>48274</v>
      </c>
      <c r="U10317" t="s">
        <v>57055</v>
      </c>
      <c r="W10317" t="s">
        <v>43185</v>
      </c>
      <c r="X10317" t="s">
        <v>46581</v>
      </c>
    </row>
    <row r="10318" spans="1:24">
      <c r="A10318">
        <f>HYPERLINK("https://www.philgeps.gov.ph/GEPSNONPILOT/Tender/SplashBidNoticeAbstractUI.aspx?menuIndex=3&amp;refID=7046108&amp;Result=3","7046108")</f>
        <v>0</v>
      </c>
      <c r="B10318" t="s">
        <v>2828</v>
      </c>
      <c r="C10318" t="s">
        <v>13298</v>
      </c>
      <c r="D10318" t="s">
        <v>18824</v>
      </c>
      <c r="E10318" t="s">
        <v>27830</v>
      </c>
      <c r="F10318" t="s">
        <v>32664</v>
      </c>
      <c r="G10318" t="s">
        <v>32672</v>
      </c>
      <c r="H10318" t="s">
        <v>32683</v>
      </c>
      <c r="I10318" t="s">
        <v>10627</v>
      </c>
      <c r="J10318" t="s">
        <v>38959</v>
      </c>
      <c r="K10318" t="s">
        <v>42290</v>
      </c>
      <c r="M10318" t="s">
        <v>45673</v>
      </c>
      <c r="N10318" t="s">
        <v>46569</v>
      </c>
      <c r="O10318" t="s">
        <v>46570</v>
      </c>
      <c r="P10318">
        <v>0</v>
      </c>
      <c r="Q10318">
        <v>5</v>
      </c>
      <c r="R10318" t="s">
        <v>46578</v>
      </c>
      <c r="S10318" t="s">
        <v>46874</v>
      </c>
      <c r="T10318" t="s">
        <v>48453</v>
      </c>
      <c r="U10318" t="s">
        <v>57056</v>
      </c>
      <c r="V10318" t="s">
        <v>49832</v>
      </c>
      <c r="W10318" t="s">
        <v>45673</v>
      </c>
      <c r="X10318" t="s">
        <v>46581</v>
      </c>
    </row>
    <row r="10319" spans="1:24">
      <c r="A10319">
        <f>HYPERLINK("https://www.philgeps.gov.ph/GEPSNONPILOT/Tender/SplashBidNoticeAbstractUI.aspx?menuIndex=3&amp;refID=7041482&amp;Result=3","7041482")</f>
        <v>0</v>
      </c>
      <c r="B10319" t="s">
        <v>1944</v>
      </c>
      <c r="C10319" t="s">
        <v>13299</v>
      </c>
      <c r="D10319" t="s">
        <v>18806</v>
      </c>
      <c r="E10319" t="s">
        <v>27831</v>
      </c>
      <c r="F10319" t="s">
        <v>32664</v>
      </c>
      <c r="G10319" t="s">
        <v>32672</v>
      </c>
      <c r="H10319" t="s">
        <v>12635</v>
      </c>
      <c r="I10319" t="s">
        <v>32724</v>
      </c>
      <c r="J10319" t="s">
        <v>33175</v>
      </c>
      <c r="K10319" t="s">
        <v>42289</v>
      </c>
      <c r="M10319" t="s">
        <v>44669</v>
      </c>
      <c r="N10319" t="s">
        <v>46569</v>
      </c>
      <c r="O10319" t="s">
        <v>46570</v>
      </c>
      <c r="P10319">
        <v>0</v>
      </c>
      <c r="Q10319">
        <v>0</v>
      </c>
      <c r="R10319" t="s">
        <v>46578</v>
      </c>
      <c r="S10319" t="s">
        <v>46874</v>
      </c>
      <c r="T10319" t="s">
        <v>48212</v>
      </c>
      <c r="U10319" t="s">
        <v>57057</v>
      </c>
      <c r="V10319" t="s">
        <v>62712</v>
      </c>
      <c r="W10319" t="s">
        <v>44669</v>
      </c>
      <c r="X10319" t="s">
        <v>46585</v>
      </c>
    </row>
    <row r="10320" spans="1:24">
      <c r="A10320">
        <f>HYPERLINK("https://www.philgeps.gov.ph/GEPSNONPILOT/Tender/SplashBidNoticeAbstractUI.aspx?menuIndex=3&amp;refID=7041363&amp;Result=3","7041363")</f>
        <v>0</v>
      </c>
      <c r="B10320" t="s">
        <v>1944</v>
      </c>
      <c r="C10320" t="s">
        <v>7017</v>
      </c>
      <c r="D10320" t="s">
        <v>18806</v>
      </c>
      <c r="E10320" t="s">
        <v>27832</v>
      </c>
      <c r="F10320" t="s">
        <v>32664</v>
      </c>
      <c r="G10320" t="s">
        <v>32672</v>
      </c>
      <c r="H10320" t="s">
        <v>12635</v>
      </c>
      <c r="I10320" t="s">
        <v>6168</v>
      </c>
      <c r="J10320" t="s">
        <v>38960</v>
      </c>
      <c r="K10320" t="s">
        <v>42297</v>
      </c>
      <c r="M10320" t="s">
        <v>44669</v>
      </c>
      <c r="N10320" t="s">
        <v>46569</v>
      </c>
      <c r="O10320" t="s">
        <v>46570</v>
      </c>
      <c r="P10320">
        <v>0</v>
      </c>
      <c r="Q10320">
        <v>0</v>
      </c>
      <c r="R10320" t="s">
        <v>46578</v>
      </c>
      <c r="S10320" t="s">
        <v>46874</v>
      </c>
      <c r="T10320" t="s">
        <v>48212</v>
      </c>
      <c r="U10320" t="s">
        <v>57030</v>
      </c>
      <c r="V10320" t="s">
        <v>62713</v>
      </c>
      <c r="W10320" t="s">
        <v>44669</v>
      </c>
      <c r="X10320" t="s">
        <v>46585</v>
      </c>
    </row>
    <row r="10321" spans="1:24">
      <c r="A10321">
        <f>HYPERLINK("https://www.philgeps.gov.ph/GEPSNONPILOT/Tender/SplashBidNoticeAbstractUI.aspx?menuIndex=3&amp;refID=7046043&amp;Result=3","7046043")</f>
        <v>0</v>
      </c>
      <c r="B10321" t="s">
        <v>2828</v>
      </c>
      <c r="C10321" t="s">
        <v>13300</v>
      </c>
      <c r="D10321" t="s">
        <v>18824</v>
      </c>
      <c r="E10321" t="s">
        <v>27833</v>
      </c>
      <c r="F10321" t="s">
        <v>32664</v>
      </c>
      <c r="G10321" t="s">
        <v>32672</v>
      </c>
      <c r="H10321" t="s">
        <v>32683</v>
      </c>
      <c r="I10321" t="s">
        <v>10627</v>
      </c>
      <c r="J10321" t="s">
        <v>38961</v>
      </c>
      <c r="K10321" t="s">
        <v>42312</v>
      </c>
      <c r="M10321" t="s">
        <v>45673</v>
      </c>
      <c r="N10321" t="s">
        <v>46569</v>
      </c>
      <c r="O10321" t="s">
        <v>46570</v>
      </c>
      <c r="P10321">
        <v>0</v>
      </c>
      <c r="Q10321">
        <v>4</v>
      </c>
      <c r="R10321" t="s">
        <v>46578</v>
      </c>
      <c r="S10321" t="s">
        <v>46874</v>
      </c>
      <c r="T10321" t="s">
        <v>48453</v>
      </c>
      <c r="U10321" t="s">
        <v>57058</v>
      </c>
      <c r="V10321" t="s">
        <v>49832</v>
      </c>
      <c r="W10321" t="s">
        <v>45673</v>
      </c>
      <c r="X10321" t="s">
        <v>46581</v>
      </c>
    </row>
    <row r="10322" spans="1:24">
      <c r="A10322">
        <f>HYPERLINK("https://www.philgeps.gov.ph/GEPSNONPILOT/Tender/SplashBidNoticeAbstractUI.aspx?menuIndex=3&amp;refID=7042522&amp;Result=3","7042522")</f>
        <v>0</v>
      </c>
      <c r="B10322" t="s">
        <v>2739</v>
      </c>
      <c r="C10322" t="s">
        <v>13301</v>
      </c>
      <c r="E10322" t="s">
        <v>27834</v>
      </c>
      <c r="F10322" t="s">
        <v>32664</v>
      </c>
      <c r="G10322" t="s">
        <v>32672</v>
      </c>
      <c r="H10322" t="s">
        <v>12635</v>
      </c>
      <c r="I10322" t="s">
        <v>5589</v>
      </c>
      <c r="J10322" t="s">
        <v>38962</v>
      </c>
      <c r="K10322" t="s">
        <v>42283</v>
      </c>
      <c r="M10322" t="s">
        <v>45573</v>
      </c>
      <c r="N10322" t="s">
        <v>46569</v>
      </c>
      <c r="O10322" t="s">
        <v>46570</v>
      </c>
      <c r="P10322">
        <v>0</v>
      </c>
      <c r="Q10322">
        <v>12</v>
      </c>
      <c r="R10322" t="s">
        <v>46578</v>
      </c>
      <c r="S10322" t="s">
        <v>46874</v>
      </c>
      <c r="T10322" t="s">
        <v>48654</v>
      </c>
      <c r="U10322" t="s">
        <v>57059</v>
      </c>
      <c r="V10322" t="s">
        <v>62714</v>
      </c>
      <c r="W10322" t="s">
        <v>63573</v>
      </c>
      <c r="X10322" t="s">
        <v>46585</v>
      </c>
    </row>
    <row r="10323" spans="1:24">
      <c r="A10323">
        <f>HYPERLINK("https://www.philgeps.gov.ph/GEPSNONPILOT/Tender/SplashBidNoticeAbstractUI.aspx?menuIndex=3&amp;refID=7046021&amp;Result=3","7046021")</f>
        <v>0</v>
      </c>
      <c r="B10323" t="s">
        <v>2828</v>
      </c>
      <c r="C10323" t="s">
        <v>13302</v>
      </c>
      <c r="D10323" t="s">
        <v>18824</v>
      </c>
      <c r="E10323" t="s">
        <v>27835</v>
      </c>
      <c r="F10323" t="s">
        <v>32664</v>
      </c>
      <c r="G10323" t="s">
        <v>32672</v>
      </c>
      <c r="H10323" t="s">
        <v>32683</v>
      </c>
      <c r="I10323" t="s">
        <v>10627</v>
      </c>
      <c r="J10323" t="s">
        <v>38963</v>
      </c>
      <c r="K10323" t="s">
        <v>42290</v>
      </c>
      <c r="M10323" t="s">
        <v>45673</v>
      </c>
      <c r="N10323" t="s">
        <v>46569</v>
      </c>
      <c r="O10323" t="s">
        <v>46570</v>
      </c>
      <c r="P10323">
        <v>0</v>
      </c>
      <c r="Q10323">
        <v>4</v>
      </c>
      <c r="R10323" t="s">
        <v>46578</v>
      </c>
      <c r="S10323" t="s">
        <v>46874</v>
      </c>
      <c r="T10323" t="s">
        <v>48453</v>
      </c>
      <c r="U10323" t="s">
        <v>57060</v>
      </c>
      <c r="V10323" t="s">
        <v>62715</v>
      </c>
      <c r="W10323" t="s">
        <v>45673</v>
      </c>
      <c r="X10323" t="s">
        <v>46581</v>
      </c>
    </row>
    <row r="10324" spans="1:24">
      <c r="A10324">
        <f>HYPERLINK("https://www.philgeps.gov.ph/GEPSNONPILOT/Tender/SplashBidNoticeAbstractUI.aspx?menuIndex=3&amp;refID=7047361&amp;Result=3","7047361")</f>
        <v>0</v>
      </c>
      <c r="B10324" t="s">
        <v>95</v>
      </c>
      <c r="C10324" t="s">
        <v>13303</v>
      </c>
      <c r="D10324" t="s">
        <v>18807</v>
      </c>
      <c r="E10324" t="s">
        <v>27836</v>
      </c>
      <c r="F10324" t="s">
        <v>32664</v>
      </c>
      <c r="G10324" t="s">
        <v>32672</v>
      </c>
      <c r="H10324" t="s">
        <v>12635</v>
      </c>
      <c r="I10324" t="s">
        <v>14442</v>
      </c>
      <c r="J10324" t="s">
        <v>33095</v>
      </c>
      <c r="K10324" t="s">
        <v>42281</v>
      </c>
      <c r="M10324" t="s">
        <v>42658</v>
      </c>
      <c r="N10324" t="s">
        <v>46569</v>
      </c>
      <c r="O10324" t="s">
        <v>46570</v>
      </c>
      <c r="P10324">
        <v>0</v>
      </c>
      <c r="Q10324">
        <v>0</v>
      </c>
      <c r="R10324" t="s">
        <v>46578</v>
      </c>
      <c r="S10324" t="s">
        <v>46874</v>
      </c>
      <c r="T10324" t="s">
        <v>48448</v>
      </c>
      <c r="U10324" t="s">
        <v>57061</v>
      </c>
      <c r="W10324" t="s">
        <v>42658</v>
      </c>
      <c r="X10324" t="s">
        <v>46580</v>
      </c>
    </row>
    <row r="10325" spans="1:24">
      <c r="A10325">
        <f>HYPERLINK("https://www.philgeps.gov.ph/GEPSNONPILOT/Tender/SplashBidNoticeAbstractUI.aspx?menuIndex=3&amp;refID=7041267&amp;Result=3","7041267")</f>
        <v>0</v>
      </c>
      <c r="B10325" t="s">
        <v>2834</v>
      </c>
      <c r="C10325" t="s">
        <v>13304</v>
      </c>
      <c r="D10325" t="s">
        <v>18839</v>
      </c>
      <c r="E10325" t="s">
        <v>27837</v>
      </c>
      <c r="F10325" t="s">
        <v>32664</v>
      </c>
      <c r="G10325" t="s">
        <v>32675</v>
      </c>
      <c r="H10325" t="s">
        <v>12635</v>
      </c>
      <c r="I10325" t="s">
        <v>32716</v>
      </c>
      <c r="J10325" t="s">
        <v>38964</v>
      </c>
      <c r="K10325" t="s">
        <v>42289</v>
      </c>
      <c r="M10325" t="s">
        <v>45679</v>
      </c>
      <c r="N10325" t="s">
        <v>46569</v>
      </c>
      <c r="O10325" t="s">
        <v>46570</v>
      </c>
      <c r="P10325">
        <v>0</v>
      </c>
      <c r="Q10325">
        <v>4</v>
      </c>
      <c r="R10325" t="s">
        <v>46578</v>
      </c>
      <c r="S10325" t="s">
        <v>46874</v>
      </c>
      <c r="T10325" t="s">
        <v>48316</v>
      </c>
      <c r="U10325" t="s">
        <v>57062</v>
      </c>
      <c r="W10325" t="s">
        <v>45679</v>
      </c>
      <c r="X10325" t="s">
        <v>46585</v>
      </c>
    </row>
    <row r="10326" spans="1:24">
      <c r="A10326">
        <f>HYPERLINK("https://www.philgeps.gov.ph/GEPSNONPILOT/Tender/SplashBidNoticeAbstractUI.aspx?menuIndex=3&amp;refID=7044670&amp;Result=3","7044670")</f>
        <v>0</v>
      </c>
      <c r="B10326" t="s">
        <v>2829</v>
      </c>
      <c r="C10326" t="s">
        <v>13305</v>
      </c>
      <c r="D10326" t="s">
        <v>18792</v>
      </c>
      <c r="E10326" t="s">
        <v>27838</v>
      </c>
      <c r="F10326" t="s">
        <v>32664</v>
      </c>
      <c r="G10326" t="s">
        <v>32671</v>
      </c>
      <c r="H10326" t="s">
        <v>12635</v>
      </c>
      <c r="I10326" t="s">
        <v>32706</v>
      </c>
      <c r="J10326" t="s">
        <v>34507</v>
      </c>
      <c r="K10326" t="s">
        <v>42283</v>
      </c>
      <c r="M10326" t="s">
        <v>45674</v>
      </c>
      <c r="N10326" t="s">
        <v>46569</v>
      </c>
      <c r="O10326" t="s">
        <v>46570</v>
      </c>
      <c r="P10326">
        <v>0</v>
      </c>
      <c r="Q10326">
        <v>0</v>
      </c>
      <c r="R10326" t="s">
        <v>46578</v>
      </c>
      <c r="S10326" t="s">
        <v>46874</v>
      </c>
      <c r="T10326" t="s">
        <v>48228</v>
      </c>
      <c r="U10326" t="s">
        <v>57045</v>
      </c>
      <c r="W10326" t="s">
        <v>45674</v>
      </c>
      <c r="X10326" t="s">
        <v>46581</v>
      </c>
    </row>
    <row r="10327" spans="1:24">
      <c r="A10327">
        <f>HYPERLINK("https://www.philgeps.gov.ph/GEPSNONPILOT/Tender/SplashBidNoticeAbstractUI.aspx?menuIndex=3&amp;refID=7047327&amp;Result=3","7047327")</f>
        <v>0</v>
      </c>
      <c r="B10327" t="s">
        <v>95</v>
      </c>
      <c r="C10327" t="s">
        <v>13306</v>
      </c>
      <c r="D10327" t="s">
        <v>18807</v>
      </c>
      <c r="E10327" t="s">
        <v>27839</v>
      </c>
      <c r="F10327" t="s">
        <v>32664</v>
      </c>
      <c r="G10327" t="s">
        <v>32672</v>
      </c>
      <c r="H10327" t="s">
        <v>12635</v>
      </c>
      <c r="I10327" t="s">
        <v>32685</v>
      </c>
      <c r="J10327" t="s">
        <v>38965</v>
      </c>
      <c r="K10327" t="s">
        <v>42281</v>
      </c>
      <c r="M10327" t="s">
        <v>42658</v>
      </c>
      <c r="N10327" t="s">
        <v>46569</v>
      </c>
      <c r="O10327" t="s">
        <v>46570</v>
      </c>
      <c r="P10327">
        <v>0</v>
      </c>
      <c r="Q10327">
        <v>0</v>
      </c>
      <c r="R10327" t="s">
        <v>46578</v>
      </c>
      <c r="S10327" t="s">
        <v>46874</v>
      </c>
      <c r="T10327" t="s">
        <v>48448</v>
      </c>
      <c r="U10327" t="s">
        <v>57063</v>
      </c>
      <c r="W10327" t="s">
        <v>42658</v>
      </c>
      <c r="X10327" t="s">
        <v>46580</v>
      </c>
    </row>
    <row r="10328" spans="1:24">
      <c r="A10328">
        <f>HYPERLINK("https://www.philgeps.gov.ph/GEPSNONPILOT/Tender/SplashBidNoticeAbstractUI.aspx?menuIndex=3&amp;refID=7046067&amp;Result=3","7046067")</f>
        <v>0</v>
      </c>
      <c r="B10328" t="s">
        <v>2828</v>
      </c>
      <c r="C10328" t="s">
        <v>13307</v>
      </c>
      <c r="D10328" t="s">
        <v>18824</v>
      </c>
      <c r="E10328" t="s">
        <v>27840</v>
      </c>
      <c r="F10328" t="s">
        <v>32664</v>
      </c>
      <c r="G10328" t="s">
        <v>32672</v>
      </c>
      <c r="H10328" t="s">
        <v>32683</v>
      </c>
      <c r="I10328" t="s">
        <v>10627</v>
      </c>
      <c r="J10328" t="s">
        <v>38966</v>
      </c>
      <c r="K10328" t="s">
        <v>42312</v>
      </c>
      <c r="M10328" t="s">
        <v>45673</v>
      </c>
      <c r="N10328" t="s">
        <v>46569</v>
      </c>
      <c r="O10328" t="s">
        <v>46570</v>
      </c>
      <c r="P10328">
        <v>0</v>
      </c>
      <c r="Q10328">
        <v>4</v>
      </c>
      <c r="R10328" t="s">
        <v>46578</v>
      </c>
      <c r="S10328" t="s">
        <v>46874</v>
      </c>
      <c r="T10328" t="s">
        <v>48453</v>
      </c>
      <c r="U10328" t="s">
        <v>57064</v>
      </c>
      <c r="V10328" t="s">
        <v>49832</v>
      </c>
      <c r="W10328" t="s">
        <v>45673</v>
      </c>
      <c r="X10328" t="s">
        <v>46581</v>
      </c>
    </row>
    <row r="10329" spans="1:24">
      <c r="A10329">
        <f>HYPERLINK("https://www.philgeps.gov.ph/GEPSNONPILOT/Tender/SplashBidNoticeAbstractUI.aspx?menuIndex=3&amp;refID=7046950&amp;Result=3","7046950")</f>
        <v>0</v>
      </c>
      <c r="B10329" t="s">
        <v>1049</v>
      </c>
      <c r="C10329" t="s">
        <v>13308</v>
      </c>
      <c r="D10329" t="s">
        <v>18792</v>
      </c>
      <c r="E10329" t="s">
        <v>27841</v>
      </c>
      <c r="F10329" t="s">
        <v>32664</v>
      </c>
      <c r="G10329" t="s">
        <v>32672</v>
      </c>
      <c r="H10329" t="s">
        <v>12635</v>
      </c>
      <c r="I10329" t="s">
        <v>32696</v>
      </c>
      <c r="J10329" t="s">
        <v>38967</v>
      </c>
      <c r="K10329" t="s">
        <v>42311</v>
      </c>
      <c r="M10329" t="s">
        <v>45266</v>
      </c>
      <c r="N10329" t="s">
        <v>46569</v>
      </c>
      <c r="O10329" t="s">
        <v>46570</v>
      </c>
      <c r="P10329">
        <v>0</v>
      </c>
      <c r="Q10329">
        <v>2</v>
      </c>
      <c r="R10329" t="s">
        <v>46578</v>
      </c>
      <c r="S10329" t="s">
        <v>46874</v>
      </c>
      <c r="T10329" t="s">
        <v>48313</v>
      </c>
      <c r="U10329" t="s">
        <v>57065</v>
      </c>
      <c r="W10329" t="s">
        <v>63574</v>
      </c>
      <c r="X10329" t="s">
        <v>46581</v>
      </c>
    </row>
    <row r="10330" spans="1:24">
      <c r="A10330">
        <f>HYPERLINK("https://www.philgeps.gov.ph/GEPSNONPILOT/Tender/SplashBidNoticeAbstractUI.aspx?menuIndex=3&amp;refID=7047242&amp;Result=3","7047242")</f>
        <v>0</v>
      </c>
      <c r="B10330" t="s">
        <v>1049</v>
      </c>
      <c r="C10330" t="s">
        <v>13309</v>
      </c>
      <c r="D10330" t="s">
        <v>18792</v>
      </c>
      <c r="E10330" t="s">
        <v>27842</v>
      </c>
      <c r="F10330" t="s">
        <v>32664</v>
      </c>
      <c r="G10330" t="s">
        <v>32672</v>
      </c>
      <c r="H10330" t="s">
        <v>12635</v>
      </c>
      <c r="I10330" t="s">
        <v>32696</v>
      </c>
      <c r="J10330" t="s">
        <v>38968</v>
      </c>
      <c r="K10330" t="s">
        <v>42312</v>
      </c>
      <c r="M10330" t="s">
        <v>45266</v>
      </c>
      <c r="N10330" t="s">
        <v>46569</v>
      </c>
      <c r="O10330" t="s">
        <v>46570</v>
      </c>
      <c r="P10330">
        <v>0</v>
      </c>
      <c r="Q10330">
        <v>2</v>
      </c>
      <c r="R10330" t="s">
        <v>46578</v>
      </c>
      <c r="S10330" t="s">
        <v>46874</v>
      </c>
      <c r="T10330" t="s">
        <v>48313</v>
      </c>
      <c r="U10330" t="s">
        <v>57066</v>
      </c>
      <c r="W10330" t="s">
        <v>63574</v>
      </c>
      <c r="X10330" t="s">
        <v>46580</v>
      </c>
    </row>
    <row r="10331" spans="1:24">
      <c r="A10331">
        <f>HYPERLINK("https://www.philgeps.gov.ph/GEPSNONPILOT/Tender/SplashBidNoticeAbstractUI.aspx?menuIndex=3&amp;refID=7046429&amp;Result=3","7046429")</f>
        <v>0</v>
      </c>
      <c r="B10331" t="s">
        <v>1608</v>
      </c>
      <c r="C10331" t="s">
        <v>13310</v>
      </c>
      <c r="D10331" t="s">
        <v>18804</v>
      </c>
      <c r="E10331" t="s">
        <v>27843</v>
      </c>
      <c r="F10331" t="s">
        <v>32664</v>
      </c>
      <c r="G10331" t="s">
        <v>32672</v>
      </c>
      <c r="H10331" t="s">
        <v>32683</v>
      </c>
      <c r="I10331" t="s">
        <v>4439</v>
      </c>
      <c r="J10331" t="s">
        <v>34022</v>
      </c>
      <c r="K10331" t="s">
        <v>42506</v>
      </c>
      <c r="M10331" t="s">
        <v>44287</v>
      </c>
      <c r="N10331" t="s">
        <v>46569</v>
      </c>
      <c r="O10331" t="s">
        <v>46570</v>
      </c>
      <c r="P10331">
        <v>0</v>
      </c>
      <c r="Q10331">
        <v>4</v>
      </c>
      <c r="R10331" t="s">
        <v>46578</v>
      </c>
      <c r="S10331" t="s">
        <v>46874</v>
      </c>
      <c r="T10331" t="s">
        <v>48389</v>
      </c>
      <c r="U10331" t="s">
        <v>57067</v>
      </c>
      <c r="V10331" t="s">
        <v>62716</v>
      </c>
      <c r="W10331" t="s">
        <v>44287</v>
      </c>
      <c r="X10331" t="s">
        <v>46581</v>
      </c>
    </row>
    <row r="10332" spans="1:24">
      <c r="A10332">
        <f>HYPERLINK("https://www.philgeps.gov.ph/GEPSNONPILOT/Tender/SplashBidNoticeAbstractUI.aspx?menuIndex=3&amp;refID=7046078&amp;Result=3","7046078")</f>
        <v>0</v>
      </c>
      <c r="B10332" t="s">
        <v>2828</v>
      </c>
      <c r="C10332" t="s">
        <v>13311</v>
      </c>
      <c r="D10332" t="s">
        <v>18824</v>
      </c>
      <c r="E10332" t="s">
        <v>27844</v>
      </c>
      <c r="F10332" t="s">
        <v>32664</v>
      </c>
      <c r="G10332" t="s">
        <v>32672</v>
      </c>
      <c r="H10332" t="s">
        <v>32683</v>
      </c>
      <c r="I10332" t="s">
        <v>10627</v>
      </c>
      <c r="J10332" t="s">
        <v>38969</v>
      </c>
      <c r="K10332" t="s">
        <v>42312</v>
      </c>
      <c r="M10332" t="s">
        <v>45673</v>
      </c>
      <c r="N10332" t="s">
        <v>46569</v>
      </c>
      <c r="O10332" t="s">
        <v>46570</v>
      </c>
      <c r="P10332">
        <v>0</v>
      </c>
      <c r="Q10332">
        <v>3</v>
      </c>
      <c r="R10332" t="s">
        <v>46578</v>
      </c>
      <c r="S10332" t="s">
        <v>46874</v>
      </c>
      <c r="T10332" t="s">
        <v>48453</v>
      </c>
      <c r="U10332" t="s">
        <v>57068</v>
      </c>
      <c r="V10332" t="s">
        <v>49832</v>
      </c>
      <c r="W10332" t="s">
        <v>45673</v>
      </c>
      <c r="X10332" t="s">
        <v>46581</v>
      </c>
    </row>
    <row r="10333" spans="1:24">
      <c r="A10333">
        <f>HYPERLINK("https://www.philgeps.gov.ph/GEPSNONPILOT/Tender/SplashBidNoticeAbstractUI.aspx?menuIndex=3&amp;refID=7045996&amp;Result=3","7045996")</f>
        <v>0</v>
      </c>
      <c r="B10333" t="s">
        <v>2828</v>
      </c>
      <c r="C10333" t="s">
        <v>13312</v>
      </c>
      <c r="D10333" t="s">
        <v>18824</v>
      </c>
      <c r="E10333" t="s">
        <v>27845</v>
      </c>
      <c r="F10333" t="s">
        <v>32664</v>
      </c>
      <c r="G10333" t="s">
        <v>32672</v>
      </c>
      <c r="H10333" t="s">
        <v>32683</v>
      </c>
      <c r="I10333" t="s">
        <v>10627</v>
      </c>
      <c r="J10333" t="s">
        <v>38970</v>
      </c>
      <c r="K10333" t="s">
        <v>42312</v>
      </c>
      <c r="M10333" t="s">
        <v>45673</v>
      </c>
      <c r="N10333" t="s">
        <v>46569</v>
      </c>
      <c r="O10333" t="s">
        <v>46570</v>
      </c>
      <c r="P10333">
        <v>0</v>
      </c>
      <c r="Q10333">
        <v>4</v>
      </c>
      <c r="R10333" t="s">
        <v>46578</v>
      </c>
      <c r="S10333" t="s">
        <v>46874</v>
      </c>
      <c r="T10333" t="s">
        <v>48453</v>
      </c>
      <c r="U10333" t="s">
        <v>57069</v>
      </c>
      <c r="V10333" t="s">
        <v>49832</v>
      </c>
      <c r="W10333" t="s">
        <v>45673</v>
      </c>
      <c r="X10333" t="s">
        <v>46581</v>
      </c>
    </row>
    <row r="10334" spans="1:24">
      <c r="A10334">
        <f>HYPERLINK("https://www.philgeps.gov.ph/GEPSNONPILOT/Tender/SplashBidNoticeAbstractUI.aspx?menuIndex=3&amp;refID=7045900&amp;Result=3","7045900")</f>
        <v>0</v>
      </c>
      <c r="B10334" t="s">
        <v>2739</v>
      </c>
      <c r="C10334" t="s">
        <v>13313</v>
      </c>
      <c r="E10334" t="s">
        <v>27846</v>
      </c>
      <c r="F10334" t="s">
        <v>32664</v>
      </c>
      <c r="G10334" t="s">
        <v>32672</v>
      </c>
      <c r="H10334" t="s">
        <v>12635</v>
      </c>
      <c r="I10334" t="s">
        <v>5589</v>
      </c>
      <c r="J10334" t="s">
        <v>32982</v>
      </c>
      <c r="K10334" t="s">
        <v>42283</v>
      </c>
      <c r="M10334" t="s">
        <v>45573</v>
      </c>
      <c r="N10334" t="s">
        <v>46569</v>
      </c>
      <c r="O10334" t="s">
        <v>46570</v>
      </c>
      <c r="P10334">
        <v>0</v>
      </c>
      <c r="Q10334">
        <v>14</v>
      </c>
      <c r="R10334" t="s">
        <v>46578</v>
      </c>
      <c r="S10334" t="s">
        <v>46874</v>
      </c>
      <c r="T10334" t="s">
        <v>48328</v>
      </c>
      <c r="U10334" t="s">
        <v>57070</v>
      </c>
      <c r="V10334" t="s">
        <v>62717</v>
      </c>
      <c r="W10334" t="s">
        <v>45573</v>
      </c>
      <c r="X10334" t="s">
        <v>46581</v>
      </c>
    </row>
    <row r="10335" spans="1:24">
      <c r="A10335">
        <f>HYPERLINK("https://www.philgeps.gov.ph/GEPSNONPILOT/Tender/SplashBidNoticeAbstractUI.aspx?menuIndex=3&amp;refID=7045843&amp;Result=3","7045843")</f>
        <v>0</v>
      </c>
      <c r="B10335" t="s">
        <v>2739</v>
      </c>
      <c r="C10335" t="s">
        <v>13314</v>
      </c>
      <c r="E10335" t="s">
        <v>27847</v>
      </c>
      <c r="F10335" t="s">
        <v>32664</v>
      </c>
      <c r="G10335" t="s">
        <v>32672</v>
      </c>
      <c r="H10335" t="s">
        <v>12635</v>
      </c>
      <c r="I10335" t="s">
        <v>32687</v>
      </c>
      <c r="J10335" t="s">
        <v>38971</v>
      </c>
      <c r="K10335" t="s">
        <v>42283</v>
      </c>
      <c r="M10335" t="s">
        <v>45573</v>
      </c>
      <c r="N10335" t="s">
        <v>46569</v>
      </c>
      <c r="O10335" t="s">
        <v>46570</v>
      </c>
      <c r="P10335">
        <v>0</v>
      </c>
      <c r="Q10335">
        <v>3</v>
      </c>
      <c r="R10335" t="s">
        <v>46578</v>
      </c>
      <c r="S10335" t="s">
        <v>46874</v>
      </c>
      <c r="T10335" t="s">
        <v>48654</v>
      </c>
      <c r="U10335" t="s">
        <v>57071</v>
      </c>
      <c r="V10335" t="s">
        <v>62718</v>
      </c>
      <c r="W10335" t="s">
        <v>45573</v>
      </c>
      <c r="X10335" t="s">
        <v>46581</v>
      </c>
    </row>
    <row r="10336" spans="1:24">
      <c r="A10336">
        <f>HYPERLINK("https://www.philgeps.gov.ph/GEPSNONPILOT/Tender/SplashBidNoticeAbstractUI.aspx?menuIndex=3&amp;refID=7047238&amp;Result=3","7047238")</f>
        <v>0</v>
      </c>
      <c r="B10336" t="s">
        <v>2835</v>
      </c>
      <c r="C10336" t="s">
        <v>13315</v>
      </c>
      <c r="D10336" t="s">
        <v>18853</v>
      </c>
      <c r="E10336" t="s">
        <v>27848</v>
      </c>
      <c r="F10336" t="s">
        <v>32664</v>
      </c>
      <c r="G10336" t="s">
        <v>32672</v>
      </c>
      <c r="H10336" t="s">
        <v>32683</v>
      </c>
      <c r="I10336" t="s">
        <v>10627</v>
      </c>
      <c r="J10336" t="s">
        <v>33051</v>
      </c>
      <c r="K10336" t="s">
        <v>42293</v>
      </c>
      <c r="M10336" t="s">
        <v>45680</v>
      </c>
      <c r="N10336" t="s">
        <v>46569</v>
      </c>
      <c r="O10336" t="s">
        <v>46570</v>
      </c>
      <c r="P10336">
        <v>0</v>
      </c>
      <c r="Q10336">
        <v>0</v>
      </c>
      <c r="R10336" t="s">
        <v>46578</v>
      </c>
      <c r="S10336" t="s">
        <v>46874</v>
      </c>
      <c r="T10336" t="s">
        <v>48449</v>
      </c>
      <c r="U10336" t="s">
        <v>57072</v>
      </c>
      <c r="W10336" t="s">
        <v>45680</v>
      </c>
      <c r="X10336" t="s">
        <v>46580</v>
      </c>
    </row>
    <row r="10337" spans="1:24">
      <c r="A10337">
        <f>HYPERLINK("https://www.philgeps.gov.ph/GEPSNONPILOT/Tender/SplashBidNoticeAbstractUI.aspx?menuIndex=3&amp;refID=7047561&amp;Result=3","7047561")</f>
        <v>0</v>
      </c>
      <c r="B10337" t="s">
        <v>76</v>
      </c>
      <c r="C10337" t="s">
        <v>13316</v>
      </c>
      <c r="D10337" t="s">
        <v>18781</v>
      </c>
      <c r="E10337" t="s">
        <v>27849</v>
      </c>
      <c r="F10337" t="s">
        <v>32664</v>
      </c>
      <c r="G10337" t="s">
        <v>32672</v>
      </c>
      <c r="H10337" t="s">
        <v>32683</v>
      </c>
      <c r="I10337" t="s">
        <v>10627</v>
      </c>
      <c r="J10337" t="s">
        <v>38972</v>
      </c>
      <c r="K10337" t="s">
        <v>42298</v>
      </c>
      <c r="M10337" t="s">
        <v>42639</v>
      </c>
      <c r="N10337" t="s">
        <v>46569</v>
      </c>
      <c r="O10337" t="s">
        <v>46570</v>
      </c>
      <c r="P10337">
        <v>0</v>
      </c>
      <c r="Q10337">
        <v>0</v>
      </c>
      <c r="R10337" t="s">
        <v>46578</v>
      </c>
      <c r="S10337" t="s">
        <v>46874</v>
      </c>
      <c r="T10337" t="s">
        <v>48469</v>
      </c>
      <c r="U10337" t="s">
        <v>57073</v>
      </c>
      <c r="W10337" t="s">
        <v>42639</v>
      </c>
      <c r="X10337" t="s">
        <v>46580</v>
      </c>
    </row>
    <row r="10338" spans="1:24">
      <c r="A10338">
        <f>HYPERLINK("https://www.philgeps.gov.ph/GEPSNONPILOT/Tender/SplashBidNoticeAbstractUI.aspx?menuIndex=3&amp;refID=7046735&amp;Result=3","7046735")</f>
        <v>0</v>
      </c>
      <c r="B10338" t="s">
        <v>387</v>
      </c>
      <c r="C10338" t="s">
        <v>13317</v>
      </c>
      <c r="D10338" t="s">
        <v>18798</v>
      </c>
      <c r="E10338" t="s">
        <v>27850</v>
      </c>
      <c r="F10338" t="s">
        <v>32664</v>
      </c>
      <c r="G10338" t="s">
        <v>32672</v>
      </c>
      <c r="H10338" t="s">
        <v>12635</v>
      </c>
      <c r="I10338" t="s">
        <v>11464</v>
      </c>
      <c r="J10338" t="s">
        <v>34806</v>
      </c>
      <c r="K10338" t="s">
        <v>42283</v>
      </c>
      <c r="M10338" t="s">
        <v>45671</v>
      </c>
      <c r="N10338" t="s">
        <v>46569</v>
      </c>
      <c r="O10338" t="s">
        <v>46570</v>
      </c>
      <c r="P10338">
        <v>0</v>
      </c>
      <c r="Q10338">
        <v>6</v>
      </c>
      <c r="R10338" t="s">
        <v>46578</v>
      </c>
      <c r="S10338" t="s">
        <v>46874</v>
      </c>
      <c r="T10338" t="s">
        <v>48452</v>
      </c>
      <c r="U10338" t="s">
        <v>57074</v>
      </c>
      <c r="V10338" t="s">
        <v>62705</v>
      </c>
      <c r="W10338" t="s">
        <v>45671</v>
      </c>
      <c r="X10338" t="s">
        <v>46581</v>
      </c>
    </row>
    <row r="10339" spans="1:24">
      <c r="A10339">
        <f>HYPERLINK("https://www.philgeps.gov.ph/GEPSNONPILOT/Tender/SplashBidNoticeAbstractUI.aspx?menuIndex=3&amp;refID=7047488&amp;Result=3","7047488")</f>
        <v>0</v>
      </c>
      <c r="B10339" t="s">
        <v>76</v>
      </c>
      <c r="C10339" t="s">
        <v>13318</v>
      </c>
      <c r="D10339" t="s">
        <v>18781</v>
      </c>
      <c r="E10339" t="s">
        <v>27851</v>
      </c>
      <c r="F10339" t="s">
        <v>32664</v>
      </c>
      <c r="G10339" t="s">
        <v>32672</v>
      </c>
      <c r="H10339" t="s">
        <v>12635</v>
      </c>
      <c r="I10339" t="s">
        <v>32727</v>
      </c>
      <c r="J10339" t="s">
        <v>38973</v>
      </c>
      <c r="K10339" t="s">
        <v>42298</v>
      </c>
      <c r="M10339" t="s">
        <v>42639</v>
      </c>
      <c r="N10339" t="s">
        <v>46569</v>
      </c>
      <c r="O10339" t="s">
        <v>46570</v>
      </c>
      <c r="P10339">
        <v>0</v>
      </c>
      <c r="Q10339">
        <v>2</v>
      </c>
      <c r="R10339" t="s">
        <v>46578</v>
      </c>
      <c r="S10339" t="s">
        <v>46874</v>
      </c>
      <c r="T10339" t="s">
        <v>48469</v>
      </c>
      <c r="U10339" t="s">
        <v>57075</v>
      </c>
      <c r="W10339" t="s">
        <v>42639</v>
      </c>
      <c r="X10339" t="s">
        <v>46580</v>
      </c>
    </row>
    <row r="10340" spans="1:24">
      <c r="A10340">
        <f>HYPERLINK("https://www.philgeps.gov.ph/GEPSNONPILOT/Tender/SplashBidNoticeAbstractUI.aspx?menuIndex=3&amp;refID=7048573&amp;Result=3","7048573")</f>
        <v>0</v>
      </c>
      <c r="B10340" t="s">
        <v>95</v>
      </c>
      <c r="C10340" t="s">
        <v>13319</v>
      </c>
      <c r="D10340" t="s">
        <v>18807</v>
      </c>
      <c r="E10340" t="s">
        <v>27852</v>
      </c>
      <c r="F10340" t="s">
        <v>32664</v>
      </c>
      <c r="G10340" t="s">
        <v>32672</v>
      </c>
      <c r="H10340" t="s">
        <v>12635</v>
      </c>
      <c r="I10340" t="s">
        <v>11464</v>
      </c>
      <c r="J10340" t="s">
        <v>32974</v>
      </c>
      <c r="K10340" t="s">
        <v>42281</v>
      </c>
      <c r="M10340" t="s">
        <v>42658</v>
      </c>
      <c r="N10340" t="s">
        <v>46569</v>
      </c>
      <c r="O10340" t="s">
        <v>46570</v>
      </c>
      <c r="P10340">
        <v>0</v>
      </c>
      <c r="Q10340">
        <v>0</v>
      </c>
      <c r="R10340" t="s">
        <v>46578</v>
      </c>
      <c r="S10340" t="s">
        <v>46874</v>
      </c>
      <c r="T10340" t="s">
        <v>48448</v>
      </c>
      <c r="U10340" t="s">
        <v>57076</v>
      </c>
      <c r="W10340" t="s">
        <v>42658</v>
      </c>
      <c r="X10340" t="s">
        <v>46580</v>
      </c>
    </row>
    <row r="10341" spans="1:24">
      <c r="A10341">
        <f>HYPERLINK("https://www.philgeps.gov.ph/GEPSNONPILOT/Tender/SplashBidNoticeAbstractUI.aspx?menuIndex=3&amp;refID=7048316&amp;Result=3","7048316")</f>
        <v>0</v>
      </c>
      <c r="B10341" t="s">
        <v>951</v>
      </c>
      <c r="C10341" t="s">
        <v>13320</v>
      </c>
      <c r="D10341" t="s">
        <v>18787</v>
      </c>
      <c r="E10341" t="s">
        <v>27853</v>
      </c>
      <c r="F10341" t="s">
        <v>32664</v>
      </c>
      <c r="G10341" t="s">
        <v>32672</v>
      </c>
      <c r="H10341" t="s">
        <v>12635</v>
      </c>
      <c r="I10341" t="s">
        <v>32704</v>
      </c>
      <c r="J10341" t="s">
        <v>38974</v>
      </c>
      <c r="K10341" t="s">
        <v>42283</v>
      </c>
      <c r="M10341" t="s">
        <v>44587</v>
      </c>
      <c r="N10341" t="s">
        <v>46569</v>
      </c>
      <c r="O10341" t="s">
        <v>46570</v>
      </c>
      <c r="P10341">
        <v>0</v>
      </c>
      <c r="Q10341">
        <v>32</v>
      </c>
      <c r="R10341" t="s">
        <v>46578</v>
      </c>
      <c r="S10341" t="s">
        <v>46874</v>
      </c>
      <c r="T10341" t="s">
        <v>48216</v>
      </c>
      <c r="U10341" t="s">
        <v>57077</v>
      </c>
      <c r="W10341" t="s">
        <v>44587</v>
      </c>
      <c r="X10341" t="s">
        <v>46580</v>
      </c>
    </row>
    <row r="10342" spans="1:24">
      <c r="A10342">
        <f>HYPERLINK("https://www.philgeps.gov.ph/GEPSNONPILOT/Tender/SplashBidNoticeAbstractUI.aspx?menuIndex=3&amp;refID=7047298&amp;Result=3","7047298")</f>
        <v>0</v>
      </c>
      <c r="B10342" t="s">
        <v>95</v>
      </c>
      <c r="C10342" t="s">
        <v>13321</v>
      </c>
      <c r="D10342" t="s">
        <v>18807</v>
      </c>
      <c r="E10342" t="s">
        <v>27854</v>
      </c>
      <c r="F10342" t="s">
        <v>32664</v>
      </c>
      <c r="G10342" t="s">
        <v>32672</v>
      </c>
      <c r="H10342" t="s">
        <v>12635</v>
      </c>
      <c r="I10342" t="s">
        <v>4439</v>
      </c>
      <c r="J10342" t="s">
        <v>38975</v>
      </c>
      <c r="K10342" t="s">
        <v>42281</v>
      </c>
      <c r="M10342" t="s">
        <v>42658</v>
      </c>
      <c r="N10342" t="s">
        <v>46569</v>
      </c>
      <c r="O10342" t="s">
        <v>46570</v>
      </c>
      <c r="P10342">
        <v>0</v>
      </c>
      <c r="Q10342">
        <v>0</v>
      </c>
      <c r="R10342" t="s">
        <v>46578</v>
      </c>
      <c r="S10342" t="s">
        <v>46874</v>
      </c>
      <c r="T10342" t="s">
        <v>48448</v>
      </c>
      <c r="U10342" t="s">
        <v>57078</v>
      </c>
      <c r="W10342" t="s">
        <v>42658</v>
      </c>
      <c r="X10342" t="s">
        <v>46580</v>
      </c>
    </row>
    <row r="10343" spans="1:24">
      <c r="A10343">
        <f>HYPERLINK("https://www.philgeps.gov.ph/GEPSNONPILOT/Tender/SplashBidNoticeAbstractUI.aspx?menuIndex=3&amp;refID=7048244&amp;Result=3","7048244")</f>
        <v>0</v>
      </c>
      <c r="B10343" t="s">
        <v>2836</v>
      </c>
      <c r="C10343" t="s">
        <v>13322</v>
      </c>
      <c r="D10343" t="s">
        <v>18802</v>
      </c>
      <c r="E10343" t="s">
        <v>27855</v>
      </c>
      <c r="F10343" t="s">
        <v>32664</v>
      </c>
      <c r="G10343" t="s">
        <v>32672</v>
      </c>
      <c r="H10343" t="s">
        <v>32683</v>
      </c>
      <c r="I10343" t="s">
        <v>10627</v>
      </c>
      <c r="J10343" t="s">
        <v>38976</v>
      </c>
      <c r="K10343" t="s">
        <v>42290</v>
      </c>
      <c r="M10343" t="s">
        <v>45681</v>
      </c>
      <c r="N10343" t="s">
        <v>46569</v>
      </c>
      <c r="O10343" t="s">
        <v>46570</v>
      </c>
      <c r="P10343">
        <v>0</v>
      </c>
      <c r="Q10343">
        <v>0</v>
      </c>
      <c r="R10343" t="s">
        <v>46578</v>
      </c>
      <c r="S10343" t="s">
        <v>46874</v>
      </c>
      <c r="T10343" t="s">
        <v>48501</v>
      </c>
      <c r="U10343" t="s">
        <v>57079</v>
      </c>
      <c r="V10343" t="s">
        <v>62719</v>
      </c>
      <c r="W10343" t="s">
        <v>45681</v>
      </c>
      <c r="X10343" t="s">
        <v>46580</v>
      </c>
    </row>
    <row r="10344" spans="1:24">
      <c r="A10344">
        <f>HYPERLINK("https://www.philgeps.gov.ph/GEPSNONPILOT/Tender/SplashBidNoticeAbstractUI.aspx?menuIndex=3&amp;refID=7045834&amp;Result=3","7045834")</f>
        <v>0</v>
      </c>
      <c r="B10344" t="s">
        <v>605</v>
      </c>
      <c r="C10344" t="s">
        <v>13323</v>
      </c>
      <c r="D10344" t="s">
        <v>18858</v>
      </c>
      <c r="E10344" t="s">
        <v>27856</v>
      </c>
      <c r="F10344" t="s">
        <v>32664</v>
      </c>
      <c r="G10344" t="s">
        <v>32672</v>
      </c>
      <c r="H10344" t="s">
        <v>12635</v>
      </c>
      <c r="I10344" t="s">
        <v>4439</v>
      </c>
      <c r="J10344" t="s">
        <v>38977</v>
      </c>
      <c r="K10344" t="s">
        <v>42303</v>
      </c>
      <c r="M10344" t="s">
        <v>43185</v>
      </c>
      <c r="N10344" t="s">
        <v>46569</v>
      </c>
      <c r="O10344" t="s">
        <v>46570</v>
      </c>
      <c r="P10344">
        <v>0</v>
      </c>
      <c r="Q10344">
        <v>1</v>
      </c>
      <c r="R10344" t="s">
        <v>46578</v>
      </c>
      <c r="S10344" t="s">
        <v>46874</v>
      </c>
      <c r="T10344" t="s">
        <v>48282</v>
      </c>
      <c r="U10344" t="s">
        <v>57080</v>
      </c>
      <c r="W10344" t="s">
        <v>43185</v>
      </c>
      <c r="X10344" t="s">
        <v>46581</v>
      </c>
    </row>
    <row r="10345" spans="1:24">
      <c r="A10345">
        <f>HYPERLINK("https://www.philgeps.gov.ph/GEPSNONPILOT/Tender/SplashBidNoticeAbstractUI.aspx?menuIndex=3&amp;refID=7048228&amp;Result=3","7048228")</f>
        <v>0</v>
      </c>
      <c r="B10345" t="s">
        <v>2837</v>
      </c>
      <c r="C10345" t="s">
        <v>13324</v>
      </c>
      <c r="D10345" t="s">
        <v>18824</v>
      </c>
      <c r="E10345" t="s">
        <v>27857</v>
      </c>
      <c r="F10345" t="s">
        <v>32664</v>
      </c>
      <c r="G10345" t="s">
        <v>32672</v>
      </c>
      <c r="H10345" t="s">
        <v>12635</v>
      </c>
      <c r="I10345" t="s">
        <v>4439</v>
      </c>
      <c r="J10345" t="s">
        <v>38978</v>
      </c>
      <c r="K10345" t="s">
        <v>42289</v>
      </c>
      <c r="M10345" t="s">
        <v>45682</v>
      </c>
      <c r="N10345" t="s">
        <v>46569</v>
      </c>
      <c r="O10345" t="s">
        <v>46570</v>
      </c>
      <c r="P10345">
        <v>0</v>
      </c>
      <c r="Q10345">
        <v>1</v>
      </c>
      <c r="R10345" t="s">
        <v>46578</v>
      </c>
      <c r="S10345" t="s">
        <v>46874</v>
      </c>
      <c r="T10345" t="s">
        <v>48376</v>
      </c>
      <c r="U10345" t="s">
        <v>57081</v>
      </c>
      <c r="V10345" t="s">
        <v>62720</v>
      </c>
      <c r="W10345" t="s">
        <v>45682</v>
      </c>
      <c r="X10345" t="s">
        <v>46580</v>
      </c>
    </row>
    <row r="10346" spans="1:24">
      <c r="A10346">
        <f>HYPERLINK("https://www.philgeps.gov.ph/GEPSNONPILOT/Tender/SplashBidNoticeAbstractUI.aspx?menuIndex=3&amp;refID=7048149&amp;Result=3","7048149")</f>
        <v>0</v>
      </c>
      <c r="B10346" t="s">
        <v>2837</v>
      </c>
      <c r="C10346" t="s">
        <v>13325</v>
      </c>
      <c r="D10346" t="s">
        <v>18860</v>
      </c>
      <c r="E10346" t="s">
        <v>27858</v>
      </c>
      <c r="F10346" t="s">
        <v>32664</v>
      </c>
      <c r="G10346" t="s">
        <v>32672</v>
      </c>
      <c r="H10346" t="s">
        <v>12635</v>
      </c>
      <c r="I10346" t="s">
        <v>4439</v>
      </c>
      <c r="J10346" t="s">
        <v>38979</v>
      </c>
      <c r="K10346" t="s">
        <v>42289</v>
      </c>
      <c r="M10346" t="s">
        <v>45682</v>
      </c>
      <c r="N10346" t="s">
        <v>46569</v>
      </c>
      <c r="O10346" t="s">
        <v>46570</v>
      </c>
      <c r="P10346">
        <v>0</v>
      </c>
      <c r="Q10346">
        <v>1</v>
      </c>
      <c r="R10346" t="s">
        <v>46578</v>
      </c>
      <c r="S10346" t="s">
        <v>46874</v>
      </c>
      <c r="T10346" t="s">
        <v>48290</v>
      </c>
      <c r="U10346" t="s">
        <v>57082</v>
      </c>
      <c r="V10346" t="s">
        <v>62721</v>
      </c>
      <c r="W10346" t="s">
        <v>45682</v>
      </c>
      <c r="X10346" t="s">
        <v>46580</v>
      </c>
    </row>
    <row r="10347" spans="1:24">
      <c r="A10347">
        <f>HYPERLINK("https://www.philgeps.gov.ph/GEPSNONPILOT/Tender/SplashBidNoticeAbstractUI.aspx?menuIndex=3&amp;refID=7048061&amp;Result=3","7048061")</f>
        <v>0</v>
      </c>
      <c r="B10347" t="s">
        <v>95</v>
      </c>
      <c r="C10347" t="s">
        <v>13326</v>
      </c>
      <c r="D10347" t="s">
        <v>18807</v>
      </c>
      <c r="E10347" t="s">
        <v>27859</v>
      </c>
      <c r="F10347" t="s">
        <v>32664</v>
      </c>
      <c r="G10347" t="s">
        <v>32672</v>
      </c>
      <c r="H10347" t="s">
        <v>12635</v>
      </c>
      <c r="I10347" t="s">
        <v>32727</v>
      </c>
      <c r="J10347" t="s">
        <v>38980</v>
      </c>
      <c r="K10347" t="s">
        <v>42281</v>
      </c>
      <c r="M10347" t="s">
        <v>42658</v>
      </c>
      <c r="N10347" t="s">
        <v>46569</v>
      </c>
      <c r="O10347" t="s">
        <v>46570</v>
      </c>
      <c r="P10347">
        <v>0</v>
      </c>
      <c r="Q10347">
        <v>1</v>
      </c>
      <c r="R10347" t="s">
        <v>46578</v>
      </c>
      <c r="S10347" t="s">
        <v>46874</v>
      </c>
      <c r="T10347" t="s">
        <v>48467</v>
      </c>
      <c r="U10347" t="s">
        <v>57083</v>
      </c>
      <c r="W10347" t="s">
        <v>42658</v>
      </c>
      <c r="X10347" t="s">
        <v>46580</v>
      </c>
    </row>
    <row r="10348" spans="1:24">
      <c r="A10348">
        <f>HYPERLINK("https://www.philgeps.gov.ph/GEPSNONPILOT/Tender/SplashBidNoticeAbstractUI.aspx?menuIndex=3&amp;refID=7048485&amp;Result=3","7048485")</f>
        <v>0</v>
      </c>
      <c r="B10348" t="s">
        <v>1244</v>
      </c>
      <c r="C10348" t="s">
        <v>13327</v>
      </c>
      <c r="D10348" t="s">
        <v>18807</v>
      </c>
      <c r="E10348" t="s">
        <v>27860</v>
      </c>
      <c r="F10348" t="s">
        <v>32664</v>
      </c>
      <c r="G10348" t="s">
        <v>32672</v>
      </c>
      <c r="H10348" t="s">
        <v>12635</v>
      </c>
      <c r="I10348" t="s">
        <v>32776</v>
      </c>
      <c r="J10348" t="s">
        <v>32859</v>
      </c>
      <c r="K10348" t="s">
        <v>42284</v>
      </c>
      <c r="M10348" t="s">
        <v>43886</v>
      </c>
      <c r="N10348" t="s">
        <v>46569</v>
      </c>
      <c r="O10348" t="s">
        <v>46570</v>
      </c>
      <c r="P10348">
        <v>0</v>
      </c>
      <c r="Q10348">
        <v>1</v>
      </c>
      <c r="R10348" t="s">
        <v>46578</v>
      </c>
      <c r="S10348" t="s">
        <v>46874</v>
      </c>
      <c r="T10348" t="s">
        <v>48449</v>
      </c>
      <c r="U10348" t="s">
        <v>57084</v>
      </c>
      <c r="W10348" t="s">
        <v>43886</v>
      </c>
      <c r="X10348" t="s">
        <v>46580</v>
      </c>
    </row>
    <row r="10349" spans="1:24">
      <c r="A10349">
        <f>HYPERLINK("https://www.philgeps.gov.ph/GEPSNONPILOT/Tender/SplashBidNoticeAbstractUI.aspx?menuIndex=3&amp;refID=7048403&amp;Result=3","7048403")</f>
        <v>0</v>
      </c>
      <c r="B10349" t="s">
        <v>163</v>
      </c>
      <c r="C10349" t="s">
        <v>13328</v>
      </c>
      <c r="D10349" t="s">
        <v>18799</v>
      </c>
      <c r="E10349" t="s">
        <v>27861</v>
      </c>
      <c r="F10349" t="s">
        <v>32664</v>
      </c>
      <c r="G10349" t="s">
        <v>32671</v>
      </c>
      <c r="H10349" t="s">
        <v>12635</v>
      </c>
      <c r="I10349" t="s">
        <v>5589</v>
      </c>
      <c r="J10349" t="s">
        <v>38793</v>
      </c>
      <c r="K10349" t="s">
        <v>42281</v>
      </c>
      <c r="M10349" t="s">
        <v>45400</v>
      </c>
      <c r="N10349" t="s">
        <v>46569</v>
      </c>
      <c r="O10349" t="s">
        <v>46570</v>
      </c>
      <c r="P10349">
        <v>0</v>
      </c>
      <c r="Q10349">
        <v>6</v>
      </c>
      <c r="R10349" t="s">
        <v>46578</v>
      </c>
      <c r="S10349" t="s">
        <v>46874</v>
      </c>
      <c r="T10349" t="s">
        <v>48316</v>
      </c>
      <c r="U10349" t="s">
        <v>57085</v>
      </c>
      <c r="W10349" t="s">
        <v>45400</v>
      </c>
      <c r="X10349" t="s">
        <v>46580</v>
      </c>
    </row>
    <row r="10350" spans="1:24">
      <c r="A10350">
        <f>HYPERLINK("https://www.philgeps.gov.ph/GEPSNONPILOT/Tender/SplashBidNoticeAbstractUI.aspx?menuIndex=3&amp;refID=7048206&amp;Result=3","7048206")</f>
        <v>0</v>
      </c>
      <c r="B10350" t="s">
        <v>63</v>
      </c>
      <c r="C10350" t="s">
        <v>13329</v>
      </c>
      <c r="D10350" t="s">
        <v>18811</v>
      </c>
      <c r="E10350" t="s">
        <v>27862</v>
      </c>
      <c r="F10350" t="s">
        <v>32664</v>
      </c>
      <c r="G10350" t="s">
        <v>32671</v>
      </c>
      <c r="H10350" t="s">
        <v>32683</v>
      </c>
      <c r="I10350" t="s">
        <v>10627</v>
      </c>
      <c r="J10350" t="s">
        <v>38981</v>
      </c>
      <c r="K10350" t="s">
        <v>42305</v>
      </c>
      <c r="M10350" t="s">
        <v>42626</v>
      </c>
      <c r="N10350" t="s">
        <v>46569</v>
      </c>
      <c r="O10350" t="s">
        <v>46570</v>
      </c>
      <c r="P10350">
        <v>0</v>
      </c>
      <c r="Q10350">
        <v>0</v>
      </c>
      <c r="R10350" t="s">
        <v>46578</v>
      </c>
      <c r="S10350" t="s">
        <v>46874</v>
      </c>
      <c r="T10350" t="s">
        <v>48254</v>
      </c>
      <c r="U10350" t="s">
        <v>57086</v>
      </c>
      <c r="W10350" t="s">
        <v>63464</v>
      </c>
      <c r="X10350" t="s">
        <v>46580</v>
      </c>
    </row>
    <row r="10351" spans="1:24">
      <c r="A10351">
        <f>HYPERLINK("https://www.philgeps.gov.ph/GEPSNONPILOT/Tender/SplashBidNoticeAbstractUI.aspx?menuIndex=3&amp;refID=7047811&amp;Result=3","7047811")</f>
        <v>0</v>
      </c>
      <c r="B10351" t="s">
        <v>63</v>
      </c>
      <c r="C10351" t="s">
        <v>13330</v>
      </c>
      <c r="D10351" t="s">
        <v>18811</v>
      </c>
      <c r="E10351" t="s">
        <v>27863</v>
      </c>
      <c r="F10351" t="s">
        <v>32664</v>
      </c>
      <c r="G10351" t="s">
        <v>32671</v>
      </c>
      <c r="H10351" t="s">
        <v>32683</v>
      </c>
      <c r="I10351" t="s">
        <v>10627</v>
      </c>
      <c r="J10351" t="s">
        <v>38982</v>
      </c>
      <c r="K10351" t="s">
        <v>42305</v>
      </c>
      <c r="M10351" t="s">
        <v>42626</v>
      </c>
      <c r="N10351" t="s">
        <v>46569</v>
      </c>
      <c r="O10351" t="s">
        <v>46570</v>
      </c>
      <c r="P10351">
        <v>0</v>
      </c>
      <c r="Q10351">
        <v>0</v>
      </c>
      <c r="R10351" t="s">
        <v>46578</v>
      </c>
      <c r="S10351" t="s">
        <v>46874</v>
      </c>
      <c r="T10351" t="s">
        <v>48655</v>
      </c>
      <c r="U10351" t="s">
        <v>57087</v>
      </c>
      <c r="W10351" t="s">
        <v>63464</v>
      </c>
      <c r="X10351" t="s">
        <v>46580</v>
      </c>
    </row>
    <row r="10352" spans="1:24">
      <c r="A10352">
        <f>HYPERLINK("https://www.philgeps.gov.ph/GEPSNONPILOT/Tender/SplashBidNoticeAbstractUI.aspx?menuIndex=3&amp;refID=7049477&amp;Result=3","7049477")</f>
        <v>0</v>
      </c>
      <c r="B10352" t="s">
        <v>460</v>
      </c>
      <c r="C10352" t="s">
        <v>13331</v>
      </c>
      <c r="D10352" t="s">
        <v>18806</v>
      </c>
      <c r="E10352" t="s">
        <v>27864</v>
      </c>
      <c r="F10352" t="s">
        <v>32664</v>
      </c>
      <c r="G10352" t="s">
        <v>32672</v>
      </c>
      <c r="H10352" t="s">
        <v>32683</v>
      </c>
      <c r="I10352" t="s">
        <v>10627</v>
      </c>
      <c r="J10352" t="s">
        <v>38983</v>
      </c>
      <c r="K10352" t="s">
        <v>42308</v>
      </c>
      <c r="M10352" t="s">
        <v>45683</v>
      </c>
      <c r="N10352" t="s">
        <v>46569</v>
      </c>
      <c r="O10352" t="s">
        <v>46570</v>
      </c>
      <c r="P10352">
        <v>0</v>
      </c>
      <c r="Q10352">
        <v>1</v>
      </c>
      <c r="R10352" t="s">
        <v>46578</v>
      </c>
      <c r="S10352" t="s">
        <v>46874</v>
      </c>
      <c r="T10352" t="s">
        <v>48384</v>
      </c>
      <c r="U10352" t="s">
        <v>57088</v>
      </c>
      <c r="V10352" t="s">
        <v>61668</v>
      </c>
      <c r="W10352" t="s">
        <v>45683</v>
      </c>
      <c r="X10352" t="s">
        <v>46580</v>
      </c>
    </row>
    <row r="10353" spans="1:24">
      <c r="A10353">
        <f>HYPERLINK("https://www.philgeps.gov.ph/GEPSNONPILOT/Tender/SplashBidNoticeAbstractUI.aspx?menuIndex=3&amp;refID=7048037&amp;Result=3","7048037")</f>
        <v>0</v>
      </c>
      <c r="B10353" t="s">
        <v>95</v>
      </c>
      <c r="C10353" t="s">
        <v>13332</v>
      </c>
      <c r="D10353" t="s">
        <v>18807</v>
      </c>
      <c r="E10353" t="s">
        <v>27865</v>
      </c>
      <c r="F10353" t="s">
        <v>32664</v>
      </c>
      <c r="G10353" t="s">
        <v>32672</v>
      </c>
      <c r="H10353" t="s">
        <v>12635</v>
      </c>
      <c r="I10353" t="s">
        <v>8958</v>
      </c>
      <c r="J10353" t="s">
        <v>32851</v>
      </c>
      <c r="K10353" t="s">
        <v>42281</v>
      </c>
      <c r="M10353" t="s">
        <v>42658</v>
      </c>
      <c r="N10353" t="s">
        <v>46569</v>
      </c>
      <c r="O10353" t="s">
        <v>46570</v>
      </c>
      <c r="P10353">
        <v>0</v>
      </c>
      <c r="Q10353">
        <v>1</v>
      </c>
      <c r="R10353" t="s">
        <v>46578</v>
      </c>
      <c r="S10353" t="s">
        <v>46874</v>
      </c>
      <c r="T10353" t="s">
        <v>48448</v>
      </c>
      <c r="U10353" t="s">
        <v>57089</v>
      </c>
      <c r="W10353" t="s">
        <v>42658</v>
      </c>
      <c r="X10353" t="s">
        <v>46580</v>
      </c>
    </row>
    <row r="10354" spans="1:24">
      <c r="A10354">
        <f>HYPERLINK("https://www.philgeps.gov.ph/GEPSNONPILOT/Tender/SplashBidNoticeAbstractUI.aspx?menuIndex=3&amp;refID=7048013&amp;Result=3","7048013")</f>
        <v>0</v>
      </c>
      <c r="B10354" t="s">
        <v>95</v>
      </c>
      <c r="C10354" t="s">
        <v>13333</v>
      </c>
      <c r="D10354" t="s">
        <v>18807</v>
      </c>
      <c r="E10354" t="s">
        <v>27866</v>
      </c>
      <c r="F10354" t="s">
        <v>32664</v>
      </c>
      <c r="G10354" t="s">
        <v>32672</v>
      </c>
      <c r="H10354" t="s">
        <v>12635</v>
      </c>
      <c r="I10354" t="s">
        <v>8730</v>
      </c>
      <c r="J10354" t="s">
        <v>33007</v>
      </c>
      <c r="K10354" t="s">
        <v>42281</v>
      </c>
      <c r="M10354" t="s">
        <v>42658</v>
      </c>
      <c r="N10354" t="s">
        <v>46569</v>
      </c>
      <c r="O10354" t="s">
        <v>46570</v>
      </c>
      <c r="P10354">
        <v>0</v>
      </c>
      <c r="Q10354">
        <v>0</v>
      </c>
      <c r="R10354" t="s">
        <v>46578</v>
      </c>
      <c r="S10354" t="s">
        <v>46874</v>
      </c>
      <c r="T10354" t="s">
        <v>48448</v>
      </c>
      <c r="U10354" t="s">
        <v>57090</v>
      </c>
      <c r="W10354" t="s">
        <v>42658</v>
      </c>
      <c r="X10354" t="s">
        <v>46580</v>
      </c>
    </row>
    <row r="10355" spans="1:24">
      <c r="A10355">
        <f>HYPERLINK("https://www.philgeps.gov.ph/GEPSNONPILOT/Tender/SplashBidNoticeAbstractUI.aspx?menuIndex=3&amp;refID=7047635&amp;Result=3","7047635")</f>
        <v>0</v>
      </c>
      <c r="B10355" t="s">
        <v>76</v>
      </c>
      <c r="C10355" t="s">
        <v>13334</v>
      </c>
      <c r="D10355" t="s">
        <v>18781</v>
      </c>
      <c r="E10355" t="s">
        <v>27867</v>
      </c>
      <c r="F10355" t="s">
        <v>32664</v>
      </c>
      <c r="G10355" t="s">
        <v>32672</v>
      </c>
      <c r="H10355" t="s">
        <v>32683</v>
      </c>
      <c r="I10355" t="s">
        <v>10627</v>
      </c>
      <c r="J10355" t="s">
        <v>38984</v>
      </c>
      <c r="K10355" t="s">
        <v>42298</v>
      </c>
      <c r="M10355" t="s">
        <v>42639</v>
      </c>
      <c r="N10355" t="s">
        <v>46569</v>
      </c>
      <c r="O10355" t="s">
        <v>46570</v>
      </c>
      <c r="P10355">
        <v>0</v>
      </c>
      <c r="Q10355">
        <v>0</v>
      </c>
      <c r="R10355" t="s">
        <v>46578</v>
      </c>
      <c r="S10355" t="s">
        <v>46874</v>
      </c>
      <c r="T10355" t="s">
        <v>48469</v>
      </c>
      <c r="U10355" t="s">
        <v>57091</v>
      </c>
      <c r="W10355" t="s">
        <v>42639</v>
      </c>
      <c r="X10355" t="s">
        <v>46580</v>
      </c>
    </row>
    <row r="10356" spans="1:24">
      <c r="A10356">
        <f>HYPERLINK("https://www.philgeps.gov.ph/GEPSNONPILOT/Tender/SplashBidNoticeAbstractUI.aspx?menuIndex=3&amp;refID=7049413&amp;Result=3","7049413")</f>
        <v>0</v>
      </c>
      <c r="B10356" t="s">
        <v>2663</v>
      </c>
      <c r="C10356" t="s">
        <v>13335</v>
      </c>
      <c r="D10356" t="s">
        <v>18785</v>
      </c>
      <c r="E10356" t="s">
        <v>27868</v>
      </c>
      <c r="F10356" t="s">
        <v>32664</v>
      </c>
      <c r="G10356" t="s">
        <v>32672</v>
      </c>
      <c r="H10356" t="s">
        <v>32683</v>
      </c>
      <c r="I10356" t="s">
        <v>10627</v>
      </c>
      <c r="J10356" t="s">
        <v>38985</v>
      </c>
      <c r="K10356" t="s">
        <v>42327</v>
      </c>
      <c r="M10356" t="s">
        <v>45485</v>
      </c>
      <c r="N10356" t="s">
        <v>46569</v>
      </c>
      <c r="O10356" t="s">
        <v>46570</v>
      </c>
      <c r="Q10356">
        <v>14</v>
      </c>
      <c r="R10356" t="s">
        <v>46578</v>
      </c>
      <c r="S10356" t="s">
        <v>46878</v>
      </c>
      <c r="T10356" t="s">
        <v>48212</v>
      </c>
      <c r="U10356" t="s">
        <v>56317</v>
      </c>
      <c r="W10356" t="s">
        <v>45485</v>
      </c>
      <c r="X10356" t="s">
        <v>46580</v>
      </c>
    </row>
    <row r="10357" spans="1:24">
      <c r="A10357">
        <f>HYPERLINK("https://www.philgeps.gov.ph/GEPSNONPILOT/Tender/SplashBidNoticeAbstractUI.aspx?menuIndex=3&amp;refID=7049449&amp;Result=3","7049449")</f>
        <v>0</v>
      </c>
      <c r="B10357" t="s">
        <v>460</v>
      </c>
      <c r="C10357" t="s">
        <v>13336</v>
      </c>
      <c r="D10357" t="s">
        <v>18806</v>
      </c>
      <c r="E10357" t="s">
        <v>27869</v>
      </c>
      <c r="F10357" t="s">
        <v>32664</v>
      </c>
      <c r="G10357" t="s">
        <v>32672</v>
      </c>
      <c r="H10357" t="s">
        <v>32683</v>
      </c>
      <c r="I10357" t="s">
        <v>10627</v>
      </c>
      <c r="J10357" t="s">
        <v>32837</v>
      </c>
      <c r="K10357" t="s">
        <v>42298</v>
      </c>
      <c r="M10357" t="s">
        <v>45683</v>
      </c>
      <c r="N10357" t="s">
        <v>46569</v>
      </c>
      <c r="O10357" t="s">
        <v>46570</v>
      </c>
      <c r="P10357">
        <v>0</v>
      </c>
      <c r="Q10357">
        <v>0</v>
      </c>
      <c r="R10357" t="s">
        <v>46578</v>
      </c>
      <c r="S10357" t="s">
        <v>46874</v>
      </c>
      <c r="T10357" t="s">
        <v>48384</v>
      </c>
      <c r="U10357" t="s">
        <v>57088</v>
      </c>
      <c r="V10357" t="s">
        <v>61668</v>
      </c>
      <c r="W10357" t="s">
        <v>45683</v>
      </c>
      <c r="X10357" t="s">
        <v>46580</v>
      </c>
    </row>
    <row r="10358" spans="1:24">
      <c r="A10358">
        <f>HYPERLINK("https://www.philgeps.gov.ph/GEPSNONPILOT/Tender/SplashBidNoticeAbstractUI.aspx?menuIndex=3&amp;refID=7046087&amp;Result=3","7046087")</f>
        <v>0</v>
      </c>
      <c r="B10358" t="s">
        <v>2828</v>
      </c>
      <c r="C10358" t="s">
        <v>13337</v>
      </c>
      <c r="D10358" t="s">
        <v>18824</v>
      </c>
      <c r="E10358" t="s">
        <v>27870</v>
      </c>
      <c r="F10358" t="s">
        <v>32664</v>
      </c>
      <c r="G10358" t="s">
        <v>32672</v>
      </c>
      <c r="H10358" t="s">
        <v>32683</v>
      </c>
      <c r="I10358" t="s">
        <v>10627</v>
      </c>
      <c r="J10358" t="s">
        <v>38986</v>
      </c>
      <c r="K10358" t="s">
        <v>42311</v>
      </c>
      <c r="M10358" t="s">
        <v>45673</v>
      </c>
      <c r="N10358" t="s">
        <v>46569</v>
      </c>
      <c r="O10358" t="s">
        <v>46570</v>
      </c>
      <c r="P10358">
        <v>0</v>
      </c>
      <c r="Q10358">
        <v>4</v>
      </c>
      <c r="R10358" t="s">
        <v>46578</v>
      </c>
      <c r="S10358" t="s">
        <v>46874</v>
      </c>
      <c r="T10358" t="s">
        <v>48453</v>
      </c>
      <c r="U10358" t="s">
        <v>57092</v>
      </c>
      <c r="V10358" t="s">
        <v>49832</v>
      </c>
      <c r="W10358" t="s">
        <v>45673</v>
      </c>
      <c r="X10358" t="s">
        <v>46581</v>
      </c>
    </row>
    <row r="10359" spans="1:24">
      <c r="A10359">
        <f>HYPERLINK("https://www.philgeps.gov.ph/GEPSNONPILOT/Tender/SplashBidNoticeAbstractUI.aspx?menuIndex=3&amp;refID=7049465&amp;Result=3","7049465")</f>
        <v>0</v>
      </c>
      <c r="B10359" t="s">
        <v>460</v>
      </c>
      <c r="C10359" t="s">
        <v>13338</v>
      </c>
      <c r="D10359" t="s">
        <v>18806</v>
      </c>
      <c r="E10359" t="s">
        <v>27871</v>
      </c>
      <c r="F10359" t="s">
        <v>32664</v>
      </c>
      <c r="G10359" t="s">
        <v>32672</v>
      </c>
      <c r="H10359" t="s">
        <v>32683</v>
      </c>
      <c r="I10359" t="s">
        <v>10627</v>
      </c>
      <c r="J10359" t="s">
        <v>38987</v>
      </c>
      <c r="K10359" t="s">
        <v>42313</v>
      </c>
      <c r="M10359" t="s">
        <v>45683</v>
      </c>
      <c r="N10359" t="s">
        <v>46569</v>
      </c>
      <c r="O10359" t="s">
        <v>46570</v>
      </c>
      <c r="P10359">
        <v>0</v>
      </c>
      <c r="Q10359">
        <v>0</v>
      </c>
      <c r="R10359" t="s">
        <v>46578</v>
      </c>
      <c r="S10359" t="s">
        <v>46874</v>
      </c>
      <c r="T10359" t="s">
        <v>48307</v>
      </c>
      <c r="U10359" t="s">
        <v>57088</v>
      </c>
      <c r="V10359" t="s">
        <v>61668</v>
      </c>
      <c r="W10359" t="s">
        <v>45683</v>
      </c>
      <c r="X10359" t="s">
        <v>46580</v>
      </c>
    </row>
    <row r="10360" spans="1:24">
      <c r="A10360">
        <f>HYPERLINK("https://www.philgeps.gov.ph/GEPSNONPILOT/Tender/SplashBidNoticeAbstractUI.aspx?menuIndex=3&amp;refID=7049363&amp;Result=3","7049363")</f>
        <v>0</v>
      </c>
      <c r="B10360" t="s">
        <v>2663</v>
      </c>
      <c r="C10360" t="s">
        <v>13339</v>
      </c>
      <c r="D10360" t="s">
        <v>18785</v>
      </c>
      <c r="E10360" t="s">
        <v>27872</v>
      </c>
      <c r="F10360" t="s">
        <v>32664</v>
      </c>
      <c r="G10360" t="s">
        <v>32672</v>
      </c>
      <c r="H10360" t="s">
        <v>32683</v>
      </c>
      <c r="I10360" t="s">
        <v>10627</v>
      </c>
      <c r="J10360" t="s">
        <v>38988</v>
      </c>
      <c r="K10360" t="s">
        <v>42301</v>
      </c>
      <c r="M10360" t="s">
        <v>45485</v>
      </c>
      <c r="N10360" t="s">
        <v>46569</v>
      </c>
      <c r="O10360" t="s">
        <v>46570</v>
      </c>
      <c r="Q10360">
        <v>5</v>
      </c>
      <c r="R10360" t="s">
        <v>46578</v>
      </c>
      <c r="S10360" t="s">
        <v>46879</v>
      </c>
      <c r="T10360" t="s">
        <v>48212</v>
      </c>
      <c r="U10360" t="s">
        <v>56317</v>
      </c>
      <c r="W10360" t="s">
        <v>45485</v>
      </c>
      <c r="X10360" t="s">
        <v>46580</v>
      </c>
    </row>
    <row r="10361" spans="1:24">
      <c r="A10361">
        <f>HYPERLINK("https://www.philgeps.gov.ph/GEPSNONPILOT/Tender/SplashBidNoticeAbstractUI.aspx?menuIndex=3&amp;refID=7049386&amp;Result=3","7049386")</f>
        <v>0</v>
      </c>
      <c r="B10361" t="s">
        <v>1922</v>
      </c>
      <c r="C10361" t="s">
        <v>13340</v>
      </c>
      <c r="D10361" t="s">
        <v>18827</v>
      </c>
      <c r="E10361" t="s">
        <v>27873</v>
      </c>
      <c r="F10361" t="s">
        <v>32664</v>
      </c>
      <c r="G10361" t="s">
        <v>32672</v>
      </c>
      <c r="H10361" t="s">
        <v>32683</v>
      </c>
      <c r="I10361" t="s">
        <v>10627</v>
      </c>
      <c r="J10361" t="s">
        <v>34379</v>
      </c>
      <c r="K10361" t="s">
        <v>42290</v>
      </c>
      <c r="M10361" t="s">
        <v>44782</v>
      </c>
      <c r="N10361" t="s">
        <v>46569</v>
      </c>
      <c r="O10361" t="s">
        <v>46570</v>
      </c>
      <c r="P10361">
        <v>0</v>
      </c>
      <c r="Q10361">
        <v>1</v>
      </c>
      <c r="R10361" t="s">
        <v>46578</v>
      </c>
      <c r="S10361" t="s">
        <v>46874</v>
      </c>
      <c r="T10361" t="s">
        <v>48487</v>
      </c>
      <c r="U10361" t="s">
        <v>57093</v>
      </c>
      <c r="W10361" t="s">
        <v>44782</v>
      </c>
      <c r="X10361" t="s">
        <v>46580</v>
      </c>
    </row>
    <row r="10362" spans="1:24">
      <c r="A10362">
        <f>HYPERLINK("https://www.philgeps.gov.ph/GEPSNONPILOT/Tender/SplashBidNoticeAbstractUI.aspx?menuIndex=3&amp;refID=7049306&amp;Result=3","7049306")</f>
        <v>0</v>
      </c>
      <c r="B10362" t="s">
        <v>170</v>
      </c>
      <c r="C10362" t="s">
        <v>13341</v>
      </c>
      <c r="D10362" t="s">
        <v>18812</v>
      </c>
      <c r="E10362" t="s">
        <v>27874</v>
      </c>
      <c r="F10362" t="s">
        <v>32664</v>
      </c>
      <c r="G10362" t="s">
        <v>32671</v>
      </c>
      <c r="H10362" t="s">
        <v>32683</v>
      </c>
      <c r="I10362" t="s">
        <v>10627</v>
      </c>
      <c r="J10362" t="s">
        <v>32974</v>
      </c>
      <c r="K10362" t="s">
        <v>42488</v>
      </c>
      <c r="M10362" t="s">
        <v>42734</v>
      </c>
      <c r="N10362" t="s">
        <v>46569</v>
      </c>
      <c r="O10362" t="s">
        <v>46570</v>
      </c>
      <c r="P10362">
        <v>0</v>
      </c>
      <c r="Q10362">
        <v>1</v>
      </c>
      <c r="R10362" t="s">
        <v>46578</v>
      </c>
      <c r="S10362" t="s">
        <v>46874</v>
      </c>
      <c r="T10362" t="s">
        <v>48473</v>
      </c>
      <c r="U10362" t="s">
        <v>57094</v>
      </c>
      <c r="W10362" t="s">
        <v>42734</v>
      </c>
      <c r="X10362" t="s">
        <v>46580</v>
      </c>
    </row>
    <row r="10363" spans="1:24">
      <c r="A10363">
        <f>HYPERLINK("https://www.philgeps.gov.ph/GEPSNONPILOT/Tender/SplashBidNoticeAbstractUI.aspx?menuIndex=3&amp;refID=7049432&amp;Result=3","7049432")</f>
        <v>0</v>
      </c>
      <c r="B10363" t="s">
        <v>460</v>
      </c>
      <c r="C10363" t="s">
        <v>13342</v>
      </c>
      <c r="D10363" t="s">
        <v>18806</v>
      </c>
      <c r="E10363" t="s">
        <v>27875</v>
      </c>
      <c r="F10363" t="s">
        <v>32664</v>
      </c>
      <c r="G10363" t="s">
        <v>32672</v>
      </c>
      <c r="H10363" t="s">
        <v>32683</v>
      </c>
      <c r="I10363" t="s">
        <v>10627</v>
      </c>
      <c r="J10363" t="s">
        <v>38989</v>
      </c>
      <c r="K10363" t="s">
        <v>42285</v>
      </c>
      <c r="M10363" t="s">
        <v>45683</v>
      </c>
      <c r="N10363" t="s">
        <v>46569</v>
      </c>
      <c r="O10363" t="s">
        <v>46570</v>
      </c>
      <c r="P10363">
        <v>0</v>
      </c>
      <c r="Q10363">
        <v>1</v>
      </c>
      <c r="R10363" t="s">
        <v>46578</v>
      </c>
      <c r="S10363" t="s">
        <v>46874</v>
      </c>
      <c r="T10363" t="s">
        <v>48384</v>
      </c>
      <c r="U10363" t="s">
        <v>57088</v>
      </c>
      <c r="V10363" t="s">
        <v>61668</v>
      </c>
      <c r="W10363" t="s">
        <v>45683</v>
      </c>
      <c r="X10363" t="s">
        <v>46580</v>
      </c>
    </row>
    <row r="10364" spans="1:24">
      <c r="A10364">
        <f>HYPERLINK("https://www.philgeps.gov.ph/GEPSNONPILOT/Tender/SplashBidNoticeAbstractUI.aspx?menuIndex=3&amp;refID=7049907&amp;Result=3","7049907")</f>
        <v>0</v>
      </c>
      <c r="B10364" t="s">
        <v>417</v>
      </c>
      <c r="C10364" t="s">
        <v>13343</v>
      </c>
      <c r="D10364" t="s">
        <v>18789</v>
      </c>
      <c r="E10364" t="s">
        <v>25492</v>
      </c>
      <c r="F10364" t="s">
        <v>32664</v>
      </c>
      <c r="G10364" t="s">
        <v>32672</v>
      </c>
      <c r="H10364" t="s">
        <v>32683</v>
      </c>
      <c r="I10364" t="s">
        <v>4439</v>
      </c>
      <c r="J10364" t="s">
        <v>34293</v>
      </c>
      <c r="K10364" t="s">
        <v>42285</v>
      </c>
      <c r="M10364" t="s">
        <v>42988</v>
      </c>
      <c r="N10364" t="s">
        <v>46569</v>
      </c>
      <c r="O10364" t="s">
        <v>46570</v>
      </c>
      <c r="Q10364">
        <v>1</v>
      </c>
      <c r="R10364" t="s">
        <v>46578</v>
      </c>
      <c r="S10364" t="s">
        <v>46734</v>
      </c>
      <c r="T10364" t="s">
        <v>48389</v>
      </c>
      <c r="U10364" t="s">
        <v>57095</v>
      </c>
      <c r="W10364" t="s">
        <v>42988</v>
      </c>
      <c r="X10364" t="s">
        <v>46579</v>
      </c>
    </row>
    <row r="10365" spans="1:24">
      <c r="A10365">
        <f>HYPERLINK("https://www.philgeps.gov.ph/GEPSNONPILOT/Tender/SplashBidNoticeAbstractUI.aspx?menuIndex=3&amp;refID=7049428&amp;Result=3","7049428")</f>
        <v>0</v>
      </c>
      <c r="B10365" t="s">
        <v>2663</v>
      </c>
      <c r="C10365" t="s">
        <v>13344</v>
      </c>
      <c r="D10365" t="s">
        <v>18785</v>
      </c>
      <c r="E10365" t="s">
        <v>27876</v>
      </c>
      <c r="F10365" t="s">
        <v>32664</v>
      </c>
      <c r="G10365" t="s">
        <v>32672</v>
      </c>
      <c r="H10365" t="s">
        <v>32683</v>
      </c>
      <c r="I10365" t="s">
        <v>10627</v>
      </c>
      <c r="J10365" t="s">
        <v>38990</v>
      </c>
      <c r="K10365" t="s">
        <v>42327</v>
      </c>
      <c r="M10365" t="s">
        <v>45485</v>
      </c>
      <c r="N10365" t="s">
        <v>46569</v>
      </c>
      <c r="O10365" t="s">
        <v>46570</v>
      </c>
      <c r="Q10365">
        <v>14</v>
      </c>
      <c r="R10365" t="s">
        <v>46578</v>
      </c>
      <c r="S10365" t="s">
        <v>46880</v>
      </c>
      <c r="T10365" t="s">
        <v>48212</v>
      </c>
      <c r="U10365" t="s">
        <v>56317</v>
      </c>
      <c r="W10365" t="s">
        <v>45485</v>
      </c>
      <c r="X10365" t="s">
        <v>46580</v>
      </c>
    </row>
    <row r="10366" spans="1:24">
      <c r="A10366">
        <f>HYPERLINK("https://www.philgeps.gov.ph/GEPSNONPILOT/Tender/SplashBidNoticeAbstractUI.aspx?menuIndex=3&amp;refID=7049395&amp;Result=3","7049395")</f>
        <v>0</v>
      </c>
      <c r="B10366" t="s">
        <v>2663</v>
      </c>
      <c r="C10366" t="s">
        <v>13345</v>
      </c>
      <c r="D10366" t="s">
        <v>18785</v>
      </c>
      <c r="E10366" t="s">
        <v>27877</v>
      </c>
      <c r="F10366" t="s">
        <v>32664</v>
      </c>
      <c r="G10366" t="s">
        <v>32672</v>
      </c>
      <c r="H10366" t="s">
        <v>32683</v>
      </c>
      <c r="I10366" t="s">
        <v>10627</v>
      </c>
      <c r="J10366" t="s">
        <v>38991</v>
      </c>
      <c r="K10366" t="s">
        <v>42301</v>
      </c>
      <c r="M10366" t="s">
        <v>45485</v>
      </c>
      <c r="N10366" t="s">
        <v>46569</v>
      </c>
      <c r="O10366" t="s">
        <v>46570</v>
      </c>
      <c r="Q10366">
        <v>5</v>
      </c>
      <c r="R10366" t="s">
        <v>46578</v>
      </c>
      <c r="S10366" t="s">
        <v>46881</v>
      </c>
      <c r="T10366" t="s">
        <v>48212</v>
      </c>
      <c r="U10366" t="s">
        <v>56317</v>
      </c>
      <c r="W10366" t="s">
        <v>45485</v>
      </c>
      <c r="X10366" t="s">
        <v>46580</v>
      </c>
    </row>
    <row r="10367" spans="1:24">
      <c r="A10367">
        <f>HYPERLINK("https://www.philgeps.gov.ph/GEPSNONPILOT/Tender/SplashBidNoticeAbstractUI.aspx?menuIndex=3&amp;refID=7049228&amp;Result=3","7049228")</f>
        <v>0</v>
      </c>
      <c r="B10367" t="s">
        <v>2838</v>
      </c>
      <c r="C10367" t="s">
        <v>13346</v>
      </c>
      <c r="D10367" t="s">
        <v>18816</v>
      </c>
      <c r="E10367" t="s">
        <v>27878</v>
      </c>
      <c r="F10367" t="s">
        <v>32664</v>
      </c>
      <c r="G10367" t="s">
        <v>32672</v>
      </c>
      <c r="H10367" t="s">
        <v>32683</v>
      </c>
      <c r="I10367" t="s">
        <v>10627</v>
      </c>
      <c r="J10367" t="s">
        <v>32962</v>
      </c>
      <c r="K10367" t="s">
        <v>42305</v>
      </c>
      <c r="M10367" t="s">
        <v>45684</v>
      </c>
      <c r="N10367" t="s">
        <v>46569</v>
      </c>
      <c r="O10367" t="s">
        <v>46570</v>
      </c>
      <c r="P10367">
        <v>0</v>
      </c>
      <c r="Q10367">
        <v>0</v>
      </c>
      <c r="R10367" t="s">
        <v>46578</v>
      </c>
      <c r="S10367" t="s">
        <v>46874</v>
      </c>
      <c r="T10367" t="s">
        <v>48656</v>
      </c>
      <c r="U10367" t="s">
        <v>57096</v>
      </c>
      <c r="V10367" t="s">
        <v>62722</v>
      </c>
      <c r="W10367" t="s">
        <v>45684</v>
      </c>
      <c r="X10367" t="s">
        <v>46580</v>
      </c>
    </row>
    <row r="10368" spans="1:24">
      <c r="A10368">
        <f>HYPERLINK("https://www.philgeps.gov.ph/GEPSNONPILOT/Tender/SplashBidNoticeAbstractUI.aspx?menuIndex=3&amp;refID=7049439&amp;Result=3","7049439")</f>
        <v>0</v>
      </c>
      <c r="B10368" t="s">
        <v>2663</v>
      </c>
      <c r="C10368" t="s">
        <v>13347</v>
      </c>
      <c r="D10368" t="s">
        <v>18785</v>
      </c>
      <c r="E10368" t="s">
        <v>27879</v>
      </c>
      <c r="F10368" t="s">
        <v>32664</v>
      </c>
      <c r="G10368" t="s">
        <v>32672</v>
      </c>
      <c r="H10368" t="s">
        <v>32683</v>
      </c>
      <c r="I10368" t="s">
        <v>10627</v>
      </c>
      <c r="J10368" t="s">
        <v>38992</v>
      </c>
      <c r="K10368" t="s">
        <v>42450</v>
      </c>
      <c r="M10368" t="s">
        <v>45485</v>
      </c>
      <c r="N10368" t="s">
        <v>46569</v>
      </c>
      <c r="O10368" t="s">
        <v>46570</v>
      </c>
      <c r="Q10368">
        <v>7</v>
      </c>
      <c r="R10368" t="s">
        <v>46578</v>
      </c>
      <c r="S10368" t="s">
        <v>46882</v>
      </c>
      <c r="T10368" t="s">
        <v>48212</v>
      </c>
      <c r="U10368" t="s">
        <v>56317</v>
      </c>
      <c r="W10368" t="s">
        <v>45485</v>
      </c>
      <c r="X10368" t="s">
        <v>46580</v>
      </c>
    </row>
    <row r="10369" spans="1:24">
      <c r="A10369">
        <f>HYPERLINK("https://www.philgeps.gov.ph/GEPSNONPILOT/Tender/SplashBidNoticeAbstractUI.aspx?menuIndex=3&amp;refID=7049879&amp;Result=3","7049879")</f>
        <v>0</v>
      </c>
      <c r="B10369" t="s">
        <v>2839</v>
      </c>
      <c r="C10369" t="s">
        <v>13348</v>
      </c>
      <c r="D10369" t="s">
        <v>18808</v>
      </c>
      <c r="E10369" t="s">
        <v>27880</v>
      </c>
      <c r="F10369" t="s">
        <v>32664</v>
      </c>
      <c r="G10369" t="s">
        <v>32672</v>
      </c>
      <c r="H10369" t="s">
        <v>12635</v>
      </c>
      <c r="I10369" t="s">
        <v>4439</v>
      </c>
      <c r="J10369" t="s">
        <v>33126</v>
      </c>
      <c r="K10369" t="s">
        <v>42289</v>
      </c>
      <c r="M10369" t="s">
        <v>45685</v>
      </c>
      <c r="N10369" t="s">
        <v>46569</v>
      </c>
      <c r="O10369" t="s">
        <v>46570</v>
      </c>
      <c r="P10369">
        <v>0</v>
      </c>
      <c r="Q10369">
        <v>0</v>
      </c>
      <c r="R10369" t="s">
        <v>46578</v>
      </c>
      <c r="S10369" t="s">
        <v>46874</v>
      </c>
      <c r="T10369" t="s">
        <v>48394</v>
      </c>
      <c r="U10369" t="s">
        <v>57097</v>
      </c>
      <c r="W10369" t="s">
        <v>45685</v>
      </c>
      <c r="X10369" t="s">
        <v>46579</v>
      </c>
    </row>
    <row r="10370" spans="1:24">
      <c r="A10370">
        <f>HYPERLINK("https://www.philgeps.gov.ph/GEPSNONPILOT/Tender/SplashBidNoticeAbstractUI.aspx?menuIndex=3&amp;refID=7049874&amp;Result=3","7049874")</f>
        <v>0</v>
      </c>
      <c r="B10370" t="s">
        <v>296</v>
      </c>
      <c r="C10370" t="s">
        <v>13349</v>
      </c>
      <c r="D10370" t="s">
        <v>18858</v>
      </c>
      <c r="E10370" t="s">
        <v>27881</v>
      </c>
      <c r="F10370" t="s">
        <v>32664</v>
      </c>
      <c r="G10370" t="s">
        <v>32671</v>
      </c>
      <c r="H10370" t="s">
        <v>12635</v>
      </c>
      <c r="I10370" t="s">
        <v>6628</v>
      </c>
      <c r="J10370" t="s">
        <v>32976</v>
      </c>
      <c r="K10370" t="s">
        <v>42281</v>
      </c>
      <c r="M10370" t="s">
        <v>42863</v>
      </c>
      <c r="N10370" t="s">
        <v>46569</v>
      </c>
      <c r="O10370" t="s">
        <v>46570</v>
      </c>
      <c r="P10370">
        <v>0</v>
      </c>
      <c r="Q10370">
        <v>5</v>
      </c>
      <c r="R10370" t="s">
        <v>46578</v>
      </c>
      <c r="S10370" t="s">
        <v>46874</v>
      </c>
      <c r="T10370" t="s">
        <v>48502</v>
      </c>
      <c r="U10370" t="s">
        <v>54911</v>
      </c>
      <c r="W10370" t="s">
        <v>42863</v>
      </c>
      <c r="X10370" t="s">
        <v>46579</v>
      </c>
    </row>
    <row r="10371" spans="1:24">
      <c r="A10371">
        <f>HYPERLINK("https://www.philgeps.gov.ph/GEPSNONPILOT/Tender/SplashBidNoticeAbstractUI.aspx?menuIndex=3&amp;refID=7049873&amp;Result=3","7049873")</f>
        <v>0</v>
      </c>
      <c r="B10371" t="s">
        <v>994</v>
      </c>
      <c r="C10371" t="s">
        <v>13350</v>
      </c>
      <c r="D10371" t="s">
        <v>18804</v>
      </c>
      <c r="E10371" t="s">
        <v>27882</v>
      </c>
      <c r="F10371" t="s">
        <v>32664</v>
      </c>
      <c r="G10371" t="s">
        <v>32672</v>
      </c>
      <c r="H10371" t="s">
        <v>32683</v>
      </c>
      <c r="I10371" t="s">
        <v>10627</v>
      </c>
      <c r="J10371" t="s">
        <v>32974</v>
      </c>
      <c r="K10371" t="s">
        <v>42321</v>
      </c>
      <c r="M10371" t="s">
        <v>43606</v>
      </c>
      <c r="N10371" t="s">
        <v>46569</v>
      </c>
      <c r="O10371" t="s">
        <v>46570</v>
      </c>
      <c r="P10371">
        <v>0</v>
      </c>
      <c r="Q10371">
        <v>0</v>
      </c>
      <c r="R10371" t="s">
        <v>46578</v>
      </c>
      <c r="S10371" t="s">
        <v>46874</v>
      </c>
      <c r="T10371" t="s">
        <v>48449</v>
      </c>
      <c r="U10371" t="s">
        <v>57098</v>
      </c>
      <c r="W10371" t="s">
        <v>43606</v>
      </c>
      <c r="X10371" t="s">
        <v>46579</v>
      </c>
    </row>
    <row r="10372" spans="1:24">
      <c r="A10372">
        <f>HYPERLINK("https://www.philgeps.gov.ph/GEPSNONPILOT/Tender/SplashBidNoticeAbstractUI.aspx?menuIndex=3&amp;refID=7049857&amp;Result=3","7049857")</f>
        <v>0</v>
      </c>
      <c r="B10372" t="s">
        <v>149</v>
      </c>
      <c r="C10372" t="s">
        <v>3840</v>
      </c>
      <c r="D10372" t="s">
        <v>18832</v>
      </c>
      <c r="E10372" t="s">
        <v>27883</v>
      </c>
      <c r="F10372" t="s">
        <v>32665</v>
      </c>
      <c r="G10372" t="s">
        <v>32672</v>
      </c>
      <c r="H10372" t="s">
        <v>12635</v>
      </c>
      <c r="I10372" t="s">
        <v>4439</v>
      </c>
      <c r="J10372" t="s">
        <v>33088</v>
      </c>
      <c r="K10372" t="s">
        <v>42284</v>
      </c>
      <c r="L10372" t="s">
        <v>149</v>
      </c>
      <c r="M10372" t="s">
        <v>42713</v>
      </c>
      <c r="N10372" t="s">
        <v>46569</v>
      </c>
      <c r="O10372" t="s">
        <v>46570</v>
      </c>
      <c r="P10372">
        <v>0</v>
      </c>
      <c r="Q10372">
        <v>0</v>
      </c>
      <c r="R10372" t="s">
        <v>46578</v>
      </c>
      <c r="S10372" t="s">
        <v>46874</v>
      </c>
      <c r="T10372" t="s">
        <v>48237</v>
      </c>
      <c r="U10372" t="s">
        <v>57099</v>
      </c>
      <c r="W10372" t="s">
        <v>42713</v>
      </c>
      <c r="X10372" t="s">
        <v>46579</v>
      </c>
    </row>
    <row r="10373" spans="1:24">
      <c r="A10373">
        <f>HYPERLINK("https://www.philgeps.gov.ph/GEPSNONPILOT/Tender/SplashBidNoticeAbstractUI.aspx?menuIndex=3&amp;refID=7049845&amp;Result=3","7049845")</f>
        <v>0</v>
      </c>
      <c r="B10373" t="s">
        <v>1067</v>
      </c>
      <c r="C10373" t="s">
        <v>13351</v>
      </c>
      <c r="D10373" t="s">
        <v>18832</v>
      </c>
      <c r="E10373" t="s">
        <v>27884</v>
      </c>
      <c r="F10373" t="s">
        <v>32664</v>
      </c>
      <c r="G10373" t="s">
        <v>32672</v>
      </c>
      <c r="H10373" t="s">
        <v>12635</v>
      </c>
      <c r="I10373" t="s">
        <v>6628</v>
      </c>
      <c r="J10373" t="s">
        <v>33452</v>
      </c>
      <c r="K10373" t="s">
        <v>42289</v>
      </c>
      <c r="M10373" t="s">
        <v>43685</v>
      </c>
      <c r="N10373" t="s">
        <v>46569</v>
      </c>
      <c r="O10373" t="s">
        <v>46570</v>
      </c>
      <c r="P10373">
        <v>0</v>
      </c>
      <c r="Q10373">
        <v>2</v>
      </c>
      <c r="R10373" t="s">
        <v>46578</v>
      </c>
      <c r="S10373" t="s">
        <v>46874</v>
      </c>
      <c r="T10373" t="s">
        <v>48657</v>
      </c>
      <c r="U10373" t="s">
        <v>57100</v>
      </c>
      <c r="W10373" t="s">
        <v>43685</v>
      </c>
      <c r="X10373" t="s">
        <v>46579</v>
      </c>
    </row>
    <row r="10374" spans="1:24">
      <c r="A10374">
        <f>HYPERLINK("https://www.philgeps.gov.ph/GEPSNONPILOT/Tender/SplashBidNoticeAbstractUI.aspx?menuIndex=3&amp;refID=7049843&amp;Result=3","7049843")</f>
        <v>0</v>
      </c>
      <c r="B10374" t="s">
        <v>1067</v>
      </c>
      <c r="C10374" t="s">
        <v>13352</v>
      </c>
      <c r="D10374" t="s">
        <v>18832</v>
      </c>
      <c r="E10374" t="s">
        <v>27885</v>
      </c>
      <c r="F10374" t="s">
        <v>32664</v>
      </c>
      <c r="G10374" t="s">
        <v>32672</v>
      </c>
      <c r="H10374" t="s">
        <v>12635</v>
      </c>
      <c r="I10374" t="s">
        <v>6168</v>
      </c>
      <c r="J10374" t="s">
        <v>38993</v>
      </c>
      <c r="K10374" t="s">
        <v>42289</v>
      </c>
      <c r="M10374" t="s">
        <v>43685</v>
      </c>
      <c r="N10374" t="s">
        <v>46569</v>
      </c>
      <c r="O10374" t="s">
        <v>46570</v>
      </c>
      <c r="P10374">
        <v>0</v>
      </c>
      <c r="Q10374">
        <v>4</v>
      </c>
      <c r="R10374" t="s">
        <v>46578</v>
      </c>
      <c r="S10374" t="s">
        <v>46874</v>
      </c>
      <c r="T10374" t="s">
        <v>48212</v>
      </c>
      <c r="U10374" t="s">
        <v>57101</v>
      </c>
      <c r="W10374" t="s">
        <v>43685</v>
      </c>
      <c r="X10374" t="s">
        <v>46579</v>
      </c>
    </row>
    <row r="10375" spans="1:24">
      <c r="A10375">
        <f>HYPERLINK("https://www.philgeps.gov.ph/GEPSNONPILOT/Tender/SplashBidNoticeAbstractUI.aspx?menuIndex=3&amp;refID=7049878&amp;Result=3","7049878")</f>
        <v>0</v>
      </c>
      <c r="B10375" t="s">
        <v>1523</v>
      </c>
      <c r="C10375" t="s">
        <v>13353</v>
      </c>
      <c r="D10375" t="s">
        <v>18788</v>
      </c>
      <c r="E10375" t="s">
        <v>27886</v>
      </c>
      <c r="F10375" t="s">
        <v>32664</v>
      </c>
      <c r="G10375" t="s">
        <v>32671</v>
      </c>
      <c r="H10375" t="s">
        <v>12635</v>
      </c>
      <c r="I10375" t="s">
        <v>6628</v>
      </c>
      <c r="J10375" t="s">
        <v>38994</v>
      </c>
      <c r="K10375" t="s">
        <v>42281</v>
      </c>
      <c r="M10375" t="s">
        <v>45686</v>
      </c>
      <c r="N10375" t="s">
        <v>46569</v>
      </c>
      <c r="O10375" t="s">
        <v>46570</v>
      </c>
      <c r="P10375">
        <v>0</v>
      </c>
      <c r="Q10375">
        <v>1</v>
      </c>
      <c r="R10375" t="s">
        <v>46578</v>
      </c>
      <c r="S10375" t="s">
        <v>46874</v>
      </c>
      <c r="T10375" t="s">
        <v>48449</v>
      </c>
      <c r="U10375" t="s">
        <v>57102</v>
      </c>
      <c r="W10375" t="s">
        <v>45686</v>
      </c>
      <c r="X10375" t="s">
        <v>46579</v>
      </c>
    </row>
    <row r="10376" spans="1:24">
      <c r="A10376">
        <f>HYPERLINK("https://www.philgeps.gov.ph/GEPSNONPILOT/Tender/SplashBidNoticeAbstractUI.aspx?menuIndex=3&amp;refID=7049864&amp;Result=3","7049864")</f>
        <v>0</v>
      </c>
      <c r="B10376" t="s">
        <v>101</v>
      </c>
      <c r="C10376" t="s">
        <v>13354</v>
      </c>
      <c r="D10376" t="s">
        <v>18784</v>
      </c>
      <c r="E10376" t="s">
        <v>27887</v>
      </c>
      <c r="F10376" t="s">
        <v>32664</v>
      </c>
      <c r="G10376" t="s">
        <v>32678</v>
      </c>
      <c r="H10376" t="s">
        <v>12635</v>
      </c>
      <c r="I10376" t="s">
        <v>32701</v>
      </c>
      <c r="J10376" t="s">
        <v>33302</v>
      </c>
      <c r="K10376" t="s">
        <v>42291</v>
      </c>
      <c r="M10376" t="s">
        <v>45687</v>
      </c>
      <c r="N10376" t="s">
        <v>46569</v>
      </c>
      <c r="O10376" t="s">
        <v>46570</v>
      </c>
      <c r="Q10376">
        <v>9</v>
      </c>
      <c r="R10376" t="s">
        <v>46578</v>
      </c>
      <c r="S10376" t="s">
        <v>46883</v>
      </c>
      <c r="T10376" t="s">
        <v>48222</v>
      </c>
      <c r="U10376" t="s">
        <v>57103</v>
      </c>
      <c r="W10376" t="s">
        <v>45687</v>
      </c>
      <c r="X10376" t="s">
        <v>46579</v>
      </c>
    </row>
    <row r="10377" spans="1:24">
      <c r="A10377">
        <f>HYPERLINK("https://www.philgeps.gov.ph/GEPSNONPILOT/Tender/SplashBidNoticeAbstractUI.aspx?menuIndex=3&amp;refID=7049901&amp;Result=3","7049901")</f>
        <v>0</v>
      </c>
      <c r="B10377" t="s">
        <v>2839</v>
      </c>
      <c r="C10377" t="s">
        <v>13355</v>
      </c>
      <c r="D10377" t="s">
        <v>18808</v>
      </c>
      <c r="E10377" t="s">
        <v>27888</v>
      </c>
      <c r="F10377" t="s">
        <v>32664</v>
      </c>
      <c r="G10377" t="s">
        <v>32672</v>
      </c>
      <c r="H10377" t="s">
        <v>12635</v>
      </c>
      <c r="I10377" t="s">
        <v>32706</v>
      </c>
      <c r="J10377" t="s">
        <v>32853</v>
      </c>
      <c r="K10377" t="s">
        <v>42289</v>
      </c>
      <c r="M10377" t="s">
        <v>45685</v>
      </c>
      <c r="N10377" t="s">
        <v>46569</v>
      </c>
      <c r="O10377" t="s">
        <v>46570</v>
      </c>
      <c r="P10377">
        <v>0</v>
      </c>
      <c r="Q10377">
        <v>0</v>
      </c>
      <c r="R10377" t="s">
        <v>46578</v>
      </c>
      <c r="S10377" t="s">
        <v>46874</v>
      </c>
      <c r="T10377" t="s">
        <v>48394</v>
      </c>
      <c r="U10377" t="s">
        <v>57104</v>
      </c>
      <c r="W10377" t="s">
        <v>45685</v>
      </c>
      <c r="X10377" t="s">
        <v>46579</v>
      </c>
    </row>
    <row r="10378" spans="1:24">
      <c r="A10378">
        <f>HYPERLINK("https://www.philgeps.gov.ph/GEPSNONPILOT/Tender/SplashBidNoticeAbstractUI.aspx?menuIndex=3&amp;refID=7049611&amp;Result=3","7049611")</f>
        <v>0</v>
      </c>
      <c r="B10378" t="s">
        <v>2840</v>
      </c>
      <c r="C10378" t="s">
        <v>13356</v>
      </c>
      <c r="D10378" t="s">
        <v>18784</v>
      </c>
      <c r="E10378" t="s">
        <v>27278</v>
      </c>
      <c r="F10378" t="s">
        <v>32664</v>
      </c>
      <c r="G10378" t="s">
        <v>32673</v>
      </c>
      <c r="H10378" t="s">
        <v>12635</v>
      </c>
      <c r="I10378" t="s">
        <v>5589</v>
      </c>
      <c r="J10378" t="s">
        <v>38995</v>
      </c>
      <c r="K10378" t="s">
        <v>42305</v>
      </c>
      <c r="M10378" t="s">
        <v>45688</v>
      </c>
      <c r="N10378" t="s">
        <v>46569</v>
      </c>
      <c r="O10378" t="s">
        <v>46570</v>
      </c>
      <c r="P10378">
        <v>0</v>
      </c>
      <c r="Q10378">
        <v>24</v>
      </c>
      <c r="R10378" t="s">
        <v>46578</v>
      </c>
      <c r="S10378" t="s">
        <v>46874</v>
      </c>
      <c r="T10378" t="s">
        <v>48467</v>
      </c>
      <c r="U10378" t="s">
        <v>57105</v>
      </c>
      <c r="V10378" t="s">
        <v>62723</v>
      </c>
      <c r="W10378" t="s">
        <v>45688</v>
      </c>
      <c r="X10378" t="s">
        <v>46580</v>
      </c>
    </row>
    <row r="10379" spans="1:24">
      <c r="A10379">
        <f>HYPERLINK("https://www.philgeps.gov.ph/GEPSNONPILOT/Tender/SplashBidNoticeAbstractUI.aspx?menuIndex=3&amp;refID=7049561&amp;Result=3","7049561")</f>
        <v>0</v>
      </c>
      <c r="B10379" t="s">
        <v>452</v>
      </c>
      <c r="C10379" t="s">
        <v>13357</v>
      </c>
      <c r="D10379" t="s">
        <v>18852</v>
      </c>
      <c r="E10379" t="s">
        <v>27889</v>
      </c>
      <c r="F10379" t="s">
        <v>32664</v>
      </c>
      <c r="G10379" t="s">
        <v>32672</v>
      </c>
      <c r="H10379" t="s">
        <v>32681</v>
      </c>
      <c r="I10379" t="s">
        <v>32773</v>
      </c>
      <c r="J10379" t="s">
        <v>35216</v>
      </c>
      <c r="K10379" t="s">
        <v>42340</v>
      </c>
      <c r="M10379" t="s">
        <v>43025</v>
      </c>
      <c r="N10379" t="s">
        <v>46569</v>
      </c>
      <c r="O10379" t="s">
        <v>46570</v>
      </c>
      <c r="Q10379">
        <v>11</v>
      </c>
      <c r="R10379" t="s">
        <v>46578</v>
      </c>
      <c r="S10379" t="s">
        <v>46884</v>
      </c>
      <c r="T10379" t="s">
        <v>48308</v>
      </c>
      <c r="U10379" t="s">
        <v>57106</v>
      </c>
      <c r="W10379" t="s">
        <v>43025</v>
      </c>
      <c r="X10379" t="s">
        <v>46580</v>
      </c>
    </row>
    <row r="10380" spans="1:24">
      <c r="A10380">
        <f>HYPERLINK("https://www.philgeps.gov.ph/GEPSNONPILOT/Tender/SplashBidNoticeAbstractUI.aspx?menuIndex=3&amp;refID=7046300&amp;Result=3","7046300")</f>
        <v>0</v>
      </c>
      <c r="B10380" t="s">
        <v>1049</v>
      </c>
      <c r="C10380" t="s">
        <v>13358</v>
      </c>
      <c r="D10380" t="s">
        <v>18790</v>
      </c>
      <c r="E10380" t="s">
        <v>27890</v>
      </c>
      <c r="F10380" t="s">
        <v>32664</v>
      </c>
      <c r="G10380" t="s">
        <v>32672</v>
      </c>
      <c r="H10380" t="s">
        <v>32683</v>
      </c>
      <c r="I10380" t="s">
        <v>10627</v>
      </c>
      <c r="J10380" t="s">
        <v>38996</v>
      </c>
      <c r="K10380" t="s">
        <v>42308</v>
      </c>
      <c r="M10380" t="s">
        <v>45266</v>
      </c>
      <c r="N10380" t="s">
        <v>46569</v>
      </c>
      <c r="O10380" t="s">
        <v>46570</v>
      </c>
      <c r="P10380">
        <v>0</v>
      </c>
      <c r="Q10380">
        <v>1</v>
      </c>
      <c r="R10380" t="s">
        <v>46578</v>
      </c>
      <c r="S10380" t="s">
        <v>46874</v>
      </c>
      <c r="T10380" t="s">
        <v>48313</v>
      </c>
      <c r="U10380" t="s">
        <v>57107</v>
      </c>
      <c r="W10380" t="s">
        <v>63574</v>
      </c>
      <c r="X10380" t="s">
        <v>46581</v>
      </c>
    </row>
    <row r="10381" spans="1:24">
      <c r="A10381">
        <f>HYPERLINK("https://www.philgeps.gov.ph/GEPSNONPILOT/Tender/SplashBidNoticeAbstractUI.aspx?menuIndex=3&amp;refID=7049835&amp;Result=3","7049835")</f>
        <v>0</v>
      </c>
      <c r="B10381" t="s">
        <v>2841</v>
      </c>
      <c r="C10381" t="s">
        <v>13359</v>
      </c>
      <c r="D10381" t="s">
        <v>18859</v>
      </c>
      <c r="E10381" t="s">
        <v>27891</v>
      </c>
      <c r="F10381" t="s">
        <v>32664</v>
      </c>
      <c r="G10381" t="s">
        <v>32672</v>
      </c>
      <c r="H10381" t="s">
        <v>12635</v>
      </c>
      <c r="I10381" t="s">
        <v>32734</v>
      </c>
      <c r="J10381" t="s">
        <v>33761</v>
      </c>
      <c r="K10381" t="s">
        <v>42290</v>
      </c>
      <c r="M10381" t="s">
        <v>45689</v>
      </c>
      <c r="N10381" t="s">
        <v>46569</v>
      </c>
      <c r="O10381" t="s">
        <v>46570</v>
      </c>
      <c r="P10381">
        <v>0</v>
      </c>
      <c r="Q10381">
        <v>5</v>
      </c>
      <c r="R10381" t="s">
        <v>46578</v>
      </c>
      <c r="S10381" t="s">
        <v>46874</v>
      </c>
      <c r="T10381" t="s">
        <v>48313</v>
      </c>
      <c r="U10381" t="s">
        <v>57108</v>
      </c>
      <c r="V10381" t="s">
        <v>62724</v>
      </c>
      <c r="W10381" t="s">
        <v>45689</v>
      </c>
      <c r="X10381" t="s">
        <v>46580</v>
      </c>
    </row>
    <row r="10382" spans="1:24">
      <c r="A10382">
        <f>HYPERLINK("https://www.philgeps.gov.ph/GEPSNONPILOT/Tender/SplashBidNoticeAbstractUI.aspx?menuIndex=3&amp;refID=7049774&amp;Result=3","7049774")</f>
        <v>0</v>
      </c>
      <c r="B10382" t="s">
        <v>2842</v>
      </c>
      <c r="C10382" t="s">
        <v>6132</v>
      </c>
      <c r="D10382" t="s">
        <v>18789</v>
      </c>
      <c r="E10382" t="s">
        <v>27892</v>
      </c>
      <c r="F10382" t="s">
        <v>32665</v>
      </c>
      <c r="G10382" t="s">
        <v>32675</v>
      </c>
      <c r="H10382" t="s">
        <v>12635</v>
      </c>
      <c r="I10382" t="s">
        <v>6223</v>
      </c>
      <c r="J10382" t="s">
        <v>38997</v>
      </c>
      <c r="K10382" t="s">
        <v>42295</v>
      </c>
      <c r="M10382" t="s">
        <v>45690</v>
      </c>
      <c r="N10382" t="s">
        <v>46569</v>
      </c>
      <c r="O10382" t="s">
        <v>46570</v>
      </c>
      <c r="P10382">
        <v>0</v>
      </c>
      <c r="Q10382">
        <v>0</v>
      </c>
      <c r="R10382" t="s">
        <v>46578</v>
      </c>
      <c r="S10382" t="s">
        <v>46874</v>
      </c>
      <c r="T10382" t="s">
        <v>48427</v>
      </c>
      <c r="U10382" t="s">
        <v>57109</v>
      </c>
      <c r="W10382" t="s">
        <v>45690</v>
      </c>
      <c r="X10382" t="s">
        <v>46580</v>
      </c>
    </row>
    <row r="10383" spans="1:24">
      <c r="A10383">
        <f>HYPERLINK("https://www.philgeps.gov.ph/GEPSNONPILOT/Tender/SplashBidNoticeAbstractUI.aspx?menuIndex=3&amp;refID=7049510&amp;Result=3","7049510")</f>
        <v>0</v>
      </c>
      <c r="B10383" t="s">
        <v>225</v>
      </c>
      <c r="C10383" t="s">
        <v>13360</v>
      </c>
      <c r="D10383" t="s">
        <v>18784</v>
      </c>
      <c r="E10383" t="s">
        <v>27893</v>
      </c>
      <c r="F10383" t="s">
        <v>32664</v>
      </c>
      <c r="G10383" t="s">
        <v>32672</v>
      </c>
      <c r="H10383" t="s">
        <v>12635</v>
      </c>
      <c r="I10383" t="s">
        <v>4439</v>
      </c>
      <c r="J10383" t="s">
        <v>38998</v>
      </c>
      <c r="K10383" t="s">
        <v>42281</v>
      </c>
      <c r="M10383" t="s">
        <v>42789</v>
      </c>
      <c r="N10383" t="s">
        <v>46569</v>
      </c>
      <c r="O10383" t="s">
        <v>46570</v>
      </c>
      <c r="P10383">
        <v>0</v>
      </c>
      <c r="Q10383">
        <v>3</v>
      </c>
      <c r="R10383" t="s">
        <v>46578</v>
      </c>
      <c r="S10383" t="s">
        <v>46874</v>
      </c>
      <c r="T10383" t="s">
        <v>48212</v>
      </c>
      <c r="U10383" t="s">
        <v>57110</v>
      </c>
      <c r="W10383" t="s">
        <v>42789</v>
      </c>
      <c r="X10383" t="s">
        <v>46580</v>
      </c>
    </row>
    <row r="10384" spans="1:24">
      <c r="A10384">
        <f>HYPERLINK("https://www.philgeps.gov.ph/GEPSNONPILOT/Tender/SplashBidNoticeAbstractUI.aspx?menuIndex=3&amp;refID=7049490&amp;Result=3","7049490")</f>
        <v>0</v>
      </c>
      <c r="B10384" t="s">
        <v>460</v>
      </c>
      <c r="C10384" t="s">
        <v>13361</v>
      </c>
      <c r="D10384" t="s">
        <v>18806</v>
      </c>
      <c r="E10384" t="s">
        <v>27894</v>
      </c>
      <c r="F10384" t="s">
        <v>32664</v>
      </c>
      <c r="G10384" t="s">
        <v>32672</v>
      </c>
      <c r="H10384" t="s">
        <v>32683</v>
      </c>
      <c r="I10384" t="s">
        <v>10627</v>
      </c>
      <c r="J10384" t="s">
        <v>34862</v>
      </c>
      <c r="K10384" t="s">
        <v>42305</v>
      </c>
      <c r="M10384" t="s">
        <v>45683</v>
      </c>
      <c r="N10384" t="s">
        <v>46569</v>
      </c>
      <c r="O10384" t="s">
        <v>46570</v>
      </c>
      <c r="P10384">
        <v>0</v>
      </c>
      <c r="Q10384">
        <v>0</v>
      </c>
      <c r="R10384" t="s">
        <v>46578</v>
      </c>
      <c r="S10384" t="s">
        <v>46874</v>
      </c>
      <c r="T10384" t="s">
        <v>48384</v>
      </c>
      <c r="U10384" t="s">
        <v>57088</v>
      </c>
      <c r="V10384" t="s">
        <v>61668</v>
      </c>
      <c r="W10384" t="s">
        <v>45683</v>
      </c>
      <c r="X10384" t="s">
        <v>46580</v>
      </c>
    </row>
    <row r="10385" spans="1:24">
      <c r="A10385">
        <f>HYPERLINK("https://www.philgeps.gov.ph/GEPSNONPILOT/Tender/SplashBidNoticeAbstractUI.aspx?menuIndex=3&amp;refID=7049093&amp;Result=3","7049093")</f>
        <v>0</v>
      </c>
      <c r="B10385" t="s">
        <v>2838</v>
      </c>
      <c r="C10385" t="s">
        <v>13362</v>
      </c>
      <c r="D10385" t="s">
        <v>18816</v>
      </c>
      <c r="E10385" t="s">
        <v>27895</v>
      </c>
      <c r="F10385" t="s">
        <v>32664</v>
      </c>
      <c r="G10385" t="s">
        <v>32672</v>
      </c>
      <c r="H10385" t="s">
        <v>32683</v>
      </c>
      <c r="I10385" t="s">
        <v>10627</v>
      </c>
      <c r="J10385" t="s">
        <v>32837</v>
      </c>
      <c r="K10385" t="s">
        <v>42305</v>
      </c>
      <c r="M10385" t="s">
        <v>45684</v>
      </c>
      <c r="N10385" t="s">
        <v>46569</v>
      </c>
      <c r="O10385" t="s">
        <v>46570</v>
      </c>
      <c r="P10385">
        <v>0</v>
      </c>
      <c r="Q10385">
        <v>0</v>
      </c>
      <c r="R10385" t="s">
        <v>46578</v>
      </c>
      <c r="S10385" t="s">
        <v>46874</v>
      </c>
      <c r="T10385" t="s">
        <v>48657</v>
      </c>
      <c r="U10385" t="s">
        <v>57096</v>
      </c>
      <c r="V10385" t="s">
        <v>62725</v>
      </c>
      <c r="W10385" t="s">
        <v>45684</v>
      </c>
      <c r="X10385" t="s">
        <v>46580</v>
      </c>
    </row>
    <row r="10386" spans="1:24">
      <c r="A10386">
        <f>HYPERLINK("https://www.philgeps.gov.ph/GEPSNONPILOT/Tender/SplashBidNoticeAbstractUI.aspx?menuIndex=3&amp;refID=7048923&amp;Result=3","7048923")</f>
        <v>0</v>
      </c>
      <c r="B10386" t="s">
        <v>2843</v>
      </c>
      <c r="C10386" t="s">
        <v>6788</v>
      </c>
      <c r="D10386" t="s">
        <v>18784</v>
      </c>
      <c r="E10386" t="s">
        <v>27896</v>
      </c>
      <c r="F10386" t="s">
        <v>32665</v>
      </c>
      <c r="G10386" t="s">
        <v>32672</v>
      </c>
      <c r="H10386" t="s">
        <v>12635</v>
      </c>
      <c r="I10386" t="s">
        <v>6223</v>
      </c>
      <c r="J10386" t="s">
        <v>38999</v>
      </c>
      <c r="K10386" t="s">
        <v>42284</v>
      </c>
      <c r="M10386" t="s">
        <v>45691</v>
      </c>
      <c r="N10386" t="s">
        <v>46569</v>
      </c>
      <c r="O10386" t="s">
        <v>46570</v>
      </c>
      <c r="P10386">
        <v>0</v>
      </c>
      <c r="Q10386">
        <v>0</v>
      </c>
      <c r="R10386" t="s">
        <v>46578</v>
      </c>
      <c r="S10386" t="s">
        <v>46874</v>
      </c>
      <c r="T10386" t="s">
        <v>48481</v>
      </c>
      <c r="U10386" t="s">
        <v>57111</v>
      </c>
      <c r="V10386" t="s">
        <v>62726</v>
      </c>
      <c r="W10386" t="s">
        <v>45691</v>
      </c>
      <c r="X10386" t="s">
        <v>46580</v>
      </c>
    </row>
    <row r="10387" spans="1:24">
      <c r="A10387">
        <f>HYPERLINK("https://www.philgeps.gov.ph/GEPSNONPILOT/Tender/SplashBidNoticeAbstractUI.aspx?menuIndex=3&amp;refID=7049180&amp;Result=3","7049180")</f>
        <v>0</v>
      </c>
      <c r="B10387" t="s">
        <v>684</v>
      </c>
      <c r="C10387" t="s">
        <v>13363</v>
      </c>
      <c r="E10387" t="s">
        <v>25089</v>
      </c>
      <c r="F10387" t="s">
        <v>32664</v>
      </c>
      <c r="G10387" t="s">
        <v>32672</v>
      </c>
      <c r="H10387" t="s">
        <v>12635</v>
      </c>
      <c r="I10387" t="s">
        <v>32707</v>
      </c>
      <c r="J10387" t="s">
        <v>32865</v>
      </c>
      <c r="K10387" t="s">
        <v>42283</v>
      </c>
      <c r="M10387" t="s">
        <v>45394</v>
      </c>
      <c r="N10387" t="s">
        <v>46569</v>
      </c>
      <c r="O10387" t="s">
        <v>46570</v>
      </c>
      <c r="P10387">
        <v>0</v>
      </c>
      <c r="Q10387">
        <v>2</v>
      </c>
      <c r="R10387" t="s">
        <v>46578</v>
      </c>
      <c r="S10387" t="s">
        <v>46874</v>
      </c>
      <c r="T10387" t="s">
        <v>48238</v>
      </c>
      <c r="U10387" t="s">
        <v>57112</v>
      </c>
      <c r="W10387" t="s">
        <v>45394</v>
      </c>
      <c r="X10387" t="s">
        <v>46580</v>
      </c>
    </row>
    <row r="10388" spans="1:24">
      <c r="A10388">
        <f>HYPERLINK("https://www.philgeps.gov.ph/GEPSNONPILOT/Tender/SplashBidNoticeAbstractUI.aspx?menuIndex=3&amp;refID=7049504&amp;Result=3","7049504")</f>
        <v>0</v>
      </c>
      <c r="B10388" t="s">
        <v>2238</v>
      </c>
      <c r="C10388" t="s">
        <v>13364</v>
      </c>
      <c r="D10388" t="s">
        <v>18828</v>
      </c>
      <c r="E10388" t="s">
        <v>27897</v>
      </c>
      <c r="F10388" t="s">
        <v>32664</v>
      </c>
      <c r="G10388" t="s">
        <v>32672</v>
      </c>
      <c r="H10388" t="s">
        <v>12635</v>
      </c>
      <c r="I10388" t="s">
        <v>4205</v>
      </c>
      <c r="J10388" t="s">
        <v>33078</v>
      </c>
      <c r="K10388" t="s">
        <v>42284</v>
      </c>
      <c r="M10388" t="s">
        <v>45002</v>
      </c>
      <c r="N10388" t="s">
        <v>46569</v>
      </c>
      <c r="O10388" t="s">
        <v>46570</v>
      </c>
      <c r="P10388">
        <v>0</v>
      </c>
      <c r="Q10388">
        <v>0</v>
      </c>
      <c r="R10388" t="s">
        <v>46578</v>
      </c>
      <c r="S10388" t="s">
        <v>46874</v>
      </c>
      <c r="T10388" t="s">
        <v>48402</v>
      </c>
      <c r="U10388" t="s">
        <v>57113</v>
      </c>
      <c r="V10388" t="s">
        <v>62727</v>
      </c>
      <c r="W10388" t="s">
        <v>45002</v>
      </c>
      <c r="X10388" t="s">
        <v>46580</v>
      </c>
    </row>
    <row r="10389" spans="1:24">
      <c r="A10389">
        <f>HYPERLINK("https://www.philgeps.gov.ph/GEPSNONPILOT/Tender/SplashBidNoticeAbstractUI.aspx?menuIndex=3&amp;refID=7049903&amp;Result=3","7049903")</f>
        <v>0</v>
      </c>
      <c r="B10389" t="s">
        <v>1314</v>
      </c>
      <c r="C10389" t="s">
        <v>13365</v>
      </c>
      <c r="D10389" t="s">
        <v>18799</v>
      </c>
      <c r="E10389" t="s">
        <v>27898</v>
      </c>
      <c r="F10389" t="s">
        <v>32664</v>
      </c>
      <c r="G10389" t="s">
        <v>32672</v>
      </c>
      <c r="H10389" t="s">
        <v>32682</v>
      </c>
      <c r="I10389" t="s">
        <v>32740</v>
      </c>
      <c r="J10389" t="s">
        <v>39000</v>
      </c>
      <c r="K10389" t="s">
        <v>42362</v>
      </c>
      <c r="M10389" t="s">
        <v>43963</v>
      </c>
      <c r="N10389" t="s">
        <v>46569</v>
      </c>
      <c r="O10389" t="s">
        <v>46570</v>
      </c>
      <c r="P10389">
        <v>0</v>
      </c>
      <c r="Q10389">
        <v>1</v>
      </c>
      <c r="R10389" t="s">
        <v>46578</v>
      </c>
      <c r="S10389" t="s">
        <v>46874</v>
      </c>
      <c r="T10389" t="s">
        <v>48453</v>
      </c>
      <c r="U10389" t="s">
        <v>51587</v>
      </c>
      <c r="V10389" t="s">
        <v>62728</v>
      </c>
      <c r="W10389" t="s">
        <v>43963</v>
      </c>
      <c r="X10389" t="s">
        <v>46579</v>
      </c>
    </row>
    <row r="10390" spans="1:24">
      <c r="A10390">
        <f>HYPERLINK("https://www.philgeps.gov.ph/GEPSNONPILOT/Tender/SplashBidNoticeAbstractUI.aspx?menuIndex=3&amp;refID=7048686&amp;Result=3","7048686")</f>
        <v>0</v>
      </c>
      <c r="B10390" t="s">
        <v>163</v>
      </c>
      <c r="C10390" t="s">
        <v>13366</v>
      </c>
      <c r="D10390" t="s">
        <v>18848</v>
      </c>
      <c r="E10390" t="s">
        <v>27899</v>
      </c>
      <c r="F10390" t="s">
        <v>32664</v>
      </c>
      <c r="G10390" t="s">
        <v>32671</v>
      </c>
      <c r="H10390" t="s">
        <v>12635</v>
      </c>
      <c r="I10390" t="s">
        <v>4997</v>
      </c>
      <c r="J10390" t="s">
        <v>32961</v>
      </c>
      <c r="K10390" t="s">
        <v>42281</v>
      </c>
      <c r="M10390" t="s">
        <v>45400</v>
      </c>
      <c r="N10390" t="s">
        <v>46569</v>
      </c>
      <c r="O10390" t="s">
        <v>46570</v>
      </c>
      <c r="P10390">
        <v>0</v>
      </c>
      <c r="Q10390">
        <v>3</v>
      </c>
      <c r="R10390" t="s">
        <v>46578</v>
      </c>
      <c r="S10390" t="s">
        <v>46874</v>
      </c>
      <c r="T10390" t="s">
        <v>48316</v>
      </c>
      <c r="U10390" t="s">
        <v>57114</v>
      </c>
      <c r="W10390" t="s">
        <v>45400</v>
      </c>
      <c r="X10390" t="s">
        <v>46580</v>
      </c>
    </row>
    <row r="10391" spans="1:24">
      <c r="A10391">
        <f>HYPERLINK("https://www.philgeps.gov.ph/GEPSNONPILOT/Tender/SplashBidNoticeAbstractUI.aspx?menuIndex=3&amp;refID=7048594&amp;Result=3","7048594")</f>
        <v>0</v>
      </c>
      <c r="B10391" t="s">
        <v>2838</v>
      </c>
      <c r="C10391" t="s">
        <v>13367</v>
      </c>
      <c r="D10391" t="s">
        <v>18816</v>
      </c>
      <c r="E10391" t="s">
        <v>27900</v>
      </c>
      <c r="F10391" t="s">
        <v>32664</v>
      </c>
      <c r="G10391" t="s">
        <v>32672</v>
      </c>
      <c r="H10391" t="s">
        <v>32683</v>
      </c>
      <c r="I10391" t="s">
        <v>10627</v>
      </c>
      <c r="J10391" t="s">
        <v>32962</v>
      </c>
      <c r="K10391" t="s">
        <v>42305</v>
      </c>
      <c r="M10391" t="s">
        <v>45684</v>
      </c>
      <c r="N10391" t="s">
        <v>46569</v>
      </c>
      <c r="O10391" t="s">
        <v>46570</v>
      </c>
      <c r="P10391">
        <v>0</v>
      </c>
      <c r="Q10391">
        <v>0</v>
      </c>
      <c r="R10391" t="s">
        <v>46578</v>
      </c>
      <c r="S10391" t="s">
        <v>46874</v>
      </c>
      <c r="T10391" t="s">
        <v>48212</v>
      </c>
      <c r="U10391" t="s">
        <v>57115</v>
      </c>
      <c r="V10391" t="s">
        <v>62729</v>
      </c>
      <c r="W10391" t="s">
        <v>45684</v>
      </c>
      <c r="X10391" t="s">
        <v>46580</v>
      </c>
    </row>
    <row r="10392" spans="1:24">
      <c r="A10392">
        <f>HYPERLINK("https://www.philgeps.gov.ph/GEPSNONPILOT/Tender/SplashBidNoticeAbstractUI.aspx?menuIndex=3&amp;refID=7047698&amp;Result=3","7047698")</f>
        <v>0</v>
      </c>
      <c r="B10392" t="s">
        <v>2844</v>
      </c>
      <c r="C10392" t="s">
        <v>13368</v>
      </c>
      <c r="D10392" t="s">
        <v>18800</v>
      </c>
      <c r="E10392" t="s">
        <v>27901</v>
      </c>
      <c r="F10392" t="s">
        <v>32664</v>
      </c>
      <c r="G10392" t="s">
        <v>32672</v>
      </c>
      <c r="H10392" t="s">
        <v>32683</v>
      </c>
      <c r="I10392" t="s">
        <v>10627</v>
      </c>
      <c r="J10392" t="s">
        <v>39001</v>
      </c>
      <c r="K10392" t="s">
        <v>42311</v>
      </c>
      <c r="M10392" t="s">
        <v>45692</v>
      </c>
      <c r="N10392" t="s">
        <v>46569</v>
      </c>
      <c r="O10392" t="s">
        <v>46570</v>
      </c>
      <c r="P10392">
        <v>0</v>
      </c>
      <c r="Q10392">
        <v>0</v>
      </c>
      <c r="R10392" t="s">
        <v>46578</v>
      </c>
      <c r="S10392" t="s">
        <v>46874</v>
      </c>
      <c r="T10392" t="s">
        <v>48657</v>
      </c>
      <c r="U10392" t="s">
        <v>57116</v>
      </c>
      <c r="V10392" t="s">
        <v>62730</v>
      </c>
      <c r="W10392" t="s">
        <v>45692</v>
      </c>
      <c r="X10392" t="s">
        <v>46580</v>
      </c>
    </row>
    <row r="10393" spans="1:24">
      <c r="A10393">
        <f>HYPERLINK("https://www.philgeps.gov.ph/GEPSNONPILOT/Tender/SplashBidNoticeAbstractUI.aspx?menuIndex=3&amp;refID=7048888&amp;Result=3","7048888")</f>
        <v>0</v>
      </c>
      <c r="B10393" t="s">
        <v>2845</v>
      </c>
      <c r="C10393" t="s">
        <v>13369</v>
      </c>
      <c r="D10393" t="s">
        <v>18837</v>
      </c>
      <c r="E10393" t="s">
        <v>27902</v>
      </c>
      <c r="F10393" t="s">
        <v>32664</v>
      </c>
      <c r="G10393" t="s">
        <v>32672</v>
      </c>
      <c r="H10393" t="s">
        <v>32682</v>
      </c>
      <c r="I10393" t="s">
        <v>9946</v>
      </c>
      <c r="J10393" t="s">
        <v>39002</v>
      </c>
      <c r="K10393" t="s">
        <v>42351</v>
      </c>
      <c r="M10393" t="s">
        <v>45693</v>
      </c>
      <c r="N10393" t="s">
        <v>46569</v>
      </c>
      <c r="O10393" t="s">
        <v>46570</v>
      </c>
      <c r="P10393">
        <v>0</v>
      </c>
      <c r="Q10393">
        <v>2</v>
      </c>
      <c r="R10393" t="s">
        <v>46578</v>
      </c>
      <c r="S10393" t="s">
        <v>46874</v>
      </c>
      <c r="T10393" t="s">
        <v>48658</v>
      </c>
      <c r="U10393" t="s">
        <v>57117</v>
      </c>
      <c r="W10393" t="s">
        <v>45693</v>
      </c>
      <c r="X10393" t="s">
        <v>46580</v>
      </c>
    </row>
    <row r="10394" spans="1:24">
      <c r="A10394">
        <f>HYPERLINK("https://www.philgeps.gov.ph/GEPSNONPILOT/Tender/SplashBidNoticeAbstractUI.aspx?menuIndex=3&amp;refID=7049992&amp;Result=3","7049992")</f>
        <v>0</v>
      </c>
      <c r="B10394" t="s">
        <v>804</v>
      </c>
      <c r="C10394" t="s">
        <v>13370</v>
      </c>
      <c r="D10394" t="s">
        <v>18790</v>
      </c>
      <c r="E10394" t="s">
        <v>27903</v>
      </c>
      <c r="F10394" t="s">
        <v>32664</v>
      </c>
      <c r="G10394" t="s">
        <v>32672</v>
      </c>
      <c r="H10394" t="s">
        <v>32683</v>
      </c>
      <c r="I10394" t="s">
        <v>10627</v>
      </c>
      <c r="J10394" t="s">
        <v>39003</v>
      </c>
      <c r="K10394" t="s">
        <v>42311</v>
      </c>
      <c r="M10394" t="s">
        <v>43396</v>
      </c>
      <c r="N10394" t="s">
        <v>46569</v>
      </c>
      <c r="O10394" t="s">
        <v>46570</v>
      </c>
      <c r="P10394">
        <v>0</v>
      </c>
      <c r="Q10394">
        <v>0</v>
      </c>
      <c r="R10394" t="s">
        <v>46578</v>
      </c>
      <c r="S10394" t="s">
        <v>46874</v>
      </c>
      <c r="T10394" t="s">
        <v>48580</v>
      </c>
      <c r="U10394" t="s">
        <v>57118</v>
      </c>
      <c r="W10394" t="s">
        <v>43396</v>
      </c>
      <c r="X10394" t="s">
        <v>46579</v>
      </c>
    </row>
    <row r="10395" spans="1:24">
      <c r="A10395">
        <f>HYPERLINK("https://www.philgeps.gov.ph/GEPSNONPILOT/Tender/SplashBidNoticeAbstractUI.aspx?menuIndex=3&amp;refID=7048860&amp;Result=3","7048860")</f>
        <v>0</v>
      </c>
      <c r="B10395" t="s">
        <v>2838</v>
      </c>
      <c r="C10395" t="s">
        <v>13371</v>
      </c>
      <c r="D10395" t="s">
        <v>18816</v>
      </c>
      <c r="E10395" t="s">
        <v>27904</v>
      </c>
      <c r="F10395" t="s">
        <v>32664</v>
      </c>
      <c r="G10395" t="s">
        <v>32672</v>
      </c>
      <c r="H10395" t="s">
        <v>32683</v>
      </c>
      <c r="I10395" t="s">
        <v>10627</v>
      </c>
      <c r="J10395" t="s">
        <v>33021</v>
      </c>
      <c r="K10395" t="s">
        <v>42305</v>
      </c>
      <c r="M10395" t="s">
        <v>45684</v>
      </c>
      <c r="N10395" t="s">
        <v>46569</v>
      </c>
      <c r="O10395" t="s">
        <v>46570</v>
      </c>
      <c r="P10395">
        <v>0</v>
      </c>
      <c r="Q10395">
        <v>0</v>
      </c>
      <c r="R10395" t="s">
        <v>46578</v>
      </c>
      <c r="S10395" t="s">
        <v>46874</v>
      </c>
      <c r="T10395" t="s">
        <v>48238</v>
      </c>
      <c r="U10395" t="s">
        <v>57115</v>
      </c>
      <c r="V10395" t="s">
        <v>62731</v>
      </c>
      <c r="W10395" t="s">
        <v>45684</v>
      </c>
      <c r="X10395" t="s">
        <v>46580</v>
      </c>
    </row>
    <row r="10396" spans="1:24">
      <c r="A10396">
        <f>HYPERLINK("https://www.philgeps.gov.ph/GEPSNONPILOT/Tender/SplashBidNoticeAbstractUI.aspx?menuIndex=3&amp;refID=7049985&amp;Result=3","7049985")</f>
        <v>0</v>
      </c>
      <c r="B10396" t="s">
        <v>2846</v>
      </c>
      <c r="C10396" t="s">
        <v>13372</v>
      </c>
      <c r="D10396" t="s">
        <v>18808</v>
      </c>
      <c r="E10396" t="s">
        <v>19146</v>
      </c>
      <c r="F10396" t="s">
        <v>32664</v>
      </c>
      <c r="G10396" t="s">
        <v>32674</v>
      </c>
      <c r="H10396" t="s">
        <v>12635</v>
      </c>
      <c r="I10396" t="s">
        <v>32692</v>
      </c>
      <c r="J10396" t="s">
        <v>39004</v>
      </c>
      <c r="K10396" t="s">
        <v>42355</v>
      </c>
      <c r="M10396" t="s">
        <v>45694</v>
      </c>
      <c r="N10396" t="s">
        <v>46569</v>
      </c>
      <c r="O10396" t="s">
        <v>46570</v>
      </c>
      <c r="P10396">
        <v>0</v>
      </c>
      <c r="Q10396">
        <v>2</v>
      </c>
      <c r="R10396" t="s">
        <v>46578</v>
      </c>
      <c r="S10396" t="s">
        <v>46874</v>
      </c>
      <c r="T10396" t="s">
        <v>48427</v>
      </c>
      <c r="U10396" t="s">
        <v>57119</v>
      </c>
      <c r="W10396" t="s">
        <v>45694</v>
      </c>
      <c r="X10396" t="s">
        <v>46579</v>
      </c>
    </row>
    <row r="10397" spans="1:24">
      <c r="A10397">
        <f>HYPERLINK("https://www.philgeps.gov.ph/GEPSNONPILOT/Tender/SplashBidNoticeAbstractUI.aspx?menuIndex=3&amp;refID=7049168&amp;Result=3","7049168")</f>
        <v>0</v>
      </c>
      <c r="B10397" t="s">
        <v>1244</v>
      </c>
      <c r="C10397" t="s">
        <v>13373</v>
      </c>
      <c r="D10397" t="s">
        <v>18807</v>
      </c>
      <c r="E10397" t="s">
        <v>27905</v>
      </c>
      <c r="F10397" t="s">
        <v>32664</v>
      </c>
      <c r="G10397" t="s">
        <v>32672</v>
      </c>
      <c r="H10397" t="s">
        <v>12635</v>
      </c>
      <c r="I10397" t="s">
        <v>32721</v>
      </c>
      <c r="J10397" t="s">
        <v>39005</v>
      </c>
      <c r="K10397" t="s">
        <v>42284</v>
      </c>
      <c r="M10397" t="s">
        <v>43886</v>
      </c>
      <c r="N10397" t="s">
        <v>46569</v>
      </c>
      <c r="O10397" t="s">
        <v>46570</v>
      </c>
      <c r="P10397">
        <v>0</v>
      </c>
      <c r="Q10397">
        <v>0</v>
      </c>
      <c r="R10397" t="s">
        <v>46578</v>
      </c>
      <c r="S10397" t="s">
        <v>46874</v>
      </c>
      <c r="T10397" t="s">
        <v>48449</v>
      </c>
      <c r="U10397" t="s">
        <v>57120</v>
      </c>
      <c r="W10397" t="s">
        <v>43886</v>
      </c>
      <c r="X10397" t="s">
        <v>46580</v>
      </c>
    </row>
    <row r="10398" spans="1:24">
      <c r="A10398">
        <f>HYPERLINK("https://www.philgeps.gov.ph/GEPSNONPILOT/Tender/SplashBidNoticeAbstractUI.aspx?menuIndex=3&amp;refID=7049984&amp;Result=3","7049984")</f>
        <v>0</v>
      </c>
      <c r="B10398" t="s">
        <v>1314</v>
      </c>
      <c r="C10398" t="s">
        <v>13374</v>
      </c>
      <c r="D10398" t="s">
        <v>18784</v>
      </c>
      <c r="E10398" t="s">
        <v>27906</v>
      </c>
      <c r="F10398" t="s">
        <v>32664</v>
      </c>
      <c r="G10398" t="s">
        <v>32672</v>
      </c>
      <c r="H10398" t="s">
        <v>32682</v>
      </c>
      <c r="I10398" t="s">
        <v>32775</v>
      </c>
      <c r="J10398" t="s">
        <v>39006</v>
      </c>
      <c r="K10398" t="s">
        <v>42305</v>
      </c>
      <c r="M10398" t="s">
        <v>43963</v>
      </c>
      <c r="N10398" t="s">
        <v>46569</v>
      </c>
      <c r="O10398" t="s">
        <v>46570</v>
      </c>
      <c r="P10398">
        <v>0</v>
      </c>
      <c r="Q10398">
        <v>4</v>
      </c>
      <c r="R10398" t="s">
        <v>46578</v>
      </c>
      <c r="S10398" t="s">
        <v>46874</v>
      </c>
      <c r="T10398" t="s">
        <v>48453</v>
      </c>
      <c r="U10398" t="s">
        <v>51587</v>
      </c>
      <c r="V10398" t="s">
        <v>62728</v>
      </c>
      <c r="W10398" t="s">
        <v>43963</v>
      </c>
      <c r="X10398" t="s">
        <v>46579</v>
      </c>
    </row>
    <row r="10399" spans="1:24">
      <c r="A10399">
        <f>HYPERLINK("https://www.philgeps.gov.ph/GEPSNONPILOT/Tender/SplashBidNoticeAbstractUI.aspx?menuIndex=3&amp;refID=7049982&amp;Result=3","7049982")</f>
        <v>0</v>
      </c>
      <c r="B10399" t="s">
        <v>2847</v>
      </c>
      <c r="C10399" t="s">
        <v>13375</v>
      </c>
      <c r="D10399" t="s">
        <v>18852</v>
      </c>
      <c r="E10399" t="s">
        <v>27907</v>
      </c>
      <c r="F10399" t="s">
        <v>32664</v>
      </c>
      <c r="G10399" t="s">
        <v>32672</v>
      </c>
      <c r="H10399" t="s">
        <v>12635</v>
      </c>
      <c r="I10399" t="s">
        <v>10627</v>
      </c>
      <c r="J10399" t="s">
        <v>39007</v>
      </c>
      <c r="K10399" t="s">
        <v>42289</v>
      </c>
      <c r="M10399" t="s">
        <v>45695</v>
      </c>
      <c r="N10399" t="s">
        <v>46569</v>
      </c>
      <c r="O10399" t="s">
        <v>46570</v>
      </c>
      <c r="Q10399">
        <v>0</v>
      </c>
      <c r="R10399" t="s">
        <v>46578</v>
      </c>
      <c r="S10399" t="s">
        <v>46885</v>
      </c>
      <c r="T10399" t="s">
        <v>48313</v>
      </c>
      <c r="U10399" t="s">
        <v>57121</v>
      </c>
      <c r="W10399" t="s">
        <v>45695</v>
      </c>
      <c r="X10399" t="s">
        <v>46579</v>
      </c>
    </row>
    <row r="10400" spans="1:24">
      <c r="A10400">
        <f>HYPERLINK("https://www.philgeps.gov.ph/GEPSNONPILOT/Tender/SplashBidNoticeAbstractUI.aspx?menuIndex=3&amp;refID=7049970&amp;Result=3","7049970")</f>
        <v>0</v>
      </c>
      <c r="B10400" t="s">
        <v>2848</v>
      </c>
      <c r="C10400" t="s">
        <v>13376</v>
      </c>
      <c r="D10400" t="s">
        <v>18807</v>
      </c>
      <c r="E10400" t="s">
        <v>19178</v>
      </c>
      <c r="F10400" t="s">
        <v>32665</v>
      </c>
      <c r="G10400" t="s">
        <v>32672</v>
      </c>
      <c r="H10400" t="s">
        <v>32683</v>
      </c>
      <c r="I10400" t="s">
        <v>6628</v>
      </c>
      <c r="J10400" t="s">
        <v>39008</v>
      </c>
      <c r="K10400" t="s">
        <v>42281</v>
      </c>
      <c r="M10400" t="s">
        <v>45696</v>
      </c>
      <c r="N10400" t="s">
        <v>46569</v>
      </c>
      <c r="O10400" t="s">
        <v>46570</v>
      </c>
      <c r="P10400">
        <v>0</v>
      </c>
      <c r="Q10400">
        <v>3</v>
      </c>
      <c r="R10400" t="s">
        <v>46578</v>
      </c>
      <c r="S10400" t="s">
        <v>46874</v>
      </c>
      <c r="T10400" t="s">
        <v>48245</v>
      </c>
      <c r="U10400" t="s">
        <v>57122</v>
      </c>
      <c r="W10400" t="s">
        <v>45696</v>
      </c>
      <c r="X10400" t="s">
        <v>46579</v>
      </c>
    </row>
    <row r="10401" spans="1:24">
      <c r="A10401">
        <f>HYPERLINK("https://www.philgeps.gov.ph/GEPSNONPILOT/Tender/SplashBidNoticeAbstractUI.aspx?menuIndex=3&amp;refID=7049962&amp;Result=3","7049962")</f>
        <v>0</v>
      </c>
      <c r="B10401" t="s">
        <v>1049</v>
      </c>
      <c r="C10401" t="s">
        <v>13377</v>
      </c>
      <c r="E10401" t="s">
        <v>27908</v>
      </c>
      <c r="F10401" t="s">
        <v>32664</v>
      </c>
      <c r="G10401" t="s">
        <v>32671</v>
      </c>
      <c r="H10401" t="s">
        <v>12635</v>
      </c>
      <c r="I10401" t="s">
        <v>6223</v>
      </c>
      <c r="J10401" t="s">
        <v>39009</v>
      </c>
      <c r="K10401" t="s">
        <v>42281</v>
      </c>
      <c r="M10401" t="s">
        <v>45266</v>
      </c>
      <c r="N10401" t="s">
        <v>46569</v>
      </c>
      <c r="O10401" t="s">
        <v>46570</v>
      </c>
      <c r="P10401">
        <v>0</v>
      </c>
      <c r="Q10401">
        <v>0</v>
      </c>
      <c r="R10401" t="s">
        <v>46578</v>
      </c>
      <c r="S10401" t="s">
        <v>46874</v>
      </c>
      <c r="T10401" t="s">
        <v>48427</v>
      </c>
      <c r="U10401" t="s">
        <v>57123</v>
      </c>
      <c r="W10401" t="s">
        <v>63560</v>
      </c>
      <c r="X10401" t="s">
        <v>46579</v>
      </c>
    </row>
    <row r="10402" spans="1:24">
      <c r="A10402">
        <f>HYPERLINK("https://www.philgeps.gov.ph/GEPSNONPILOT/Tender/SplashBidNoticeAbstractUI.aspx?menuIndex=3&amp;refID=7049946&amp;Result=3","7049946")</f>
        <v>0</v>
      </c>
      <c r="B10402" t="s">
        <v>2847</v>
      </c>
      <c r="C10402" t="s">
        <v>13378</v>
      </c>
      <c r="D10402" t="s">
        <v>18852</v>
      </c>
      <c r="E10402" t="s">
        <v>27909</v>
      </c>
      <c r="F10402" t="s">
        <v>32664</v>
      </c>
      <c r="G10402" t="s">
        <v>32672</v>
      </c>
      <c r="H10402" t="s">
        <v>32683</v>
      </c>
      <c r="I10402" t="s">
        <v>10627</v>
      </c>
      <c r="J10402" t="s">
        <v>39010</v>
      </c>
      <c r="K10402" t="s">
        <v>42507</v>
      </c>
      <c r="M10402" t="s">
        <v>45695</v>
      </c>
      <c r="N10402" t="s">
        <v>46569</v>
      </c>
      <c r="O10402" t="s">
        <v>46570</v>
      </c>
      <c r="Q10402">
        <v>0</v>
      </c>
      <c r="R10402" t="s">
        <v>46578</v>
      </c>
      <c r="S10402" t="s">
        <v>46886</v>
      </c>
      <c r="T10402" t="s">
        <v>48313</v>
      </c>
      <c r="U10402" t="s">
        <v>57124</v>
      </c>
      <c r="W10402" t="s">
        <v>45695</v>
      </c>
      <c r="X10402" t="s">
        <v>46579</v>
      </c>
    </row>
    <row r="10403" spans="1:24">
      <c r="A10403">
        <f>HYPERLINK("https://www.philgeps.gov.ph/GEPSNONPILOT/Tender/SplashBidNoticeAbstractUI.aspx?menuIndex=3&amp;refID=7049558&amp;Result=3","7049558")</f>
        <v>0</v>
      </c>
      <c r="B10403" t="s">
        <v>1314</v>
      </c>
      <c r="C10403" t="s">
        <v>13379</v>
      </c>
      <c r="D10403" t="s">
        <v>18784</v>
      </c>
      <c r="E10403" t="s">
        <v>27910</v>
      </c>
      <c r="F10403" t="s">
        <v>32664</v>
      </c>
      <c r="G10403" t="s">
        <v>32672</v>
      </c>
      <c r="H10403" t="s">
        <v>32682</v>
      </c>
      <c r="I10403" t="s">
        <v>32775</v>
      </c>
      <c r="J10403" t="s">
        <v>39011</v>
      </c>
      <c r="K10403" t="s">
        <v>42311</v>
      </c>
      <c r="M10403" t="s">
        <v>43963</v>
      </c>
      <c r="N10403" t="s">
        <v>46569</v>
      </c>
      <c r="O10403" t="s">
        <v>46570</v>
      </c>
      <c r="P10403">
        <v>0</v>
      </c>
      <c r="Q10403">
        <v>13</v>
      </c>
      <c r="R10403" t="s">
        <v>46578</v>
      </c>
      <c r="S10403" t="s">
        <v>46874</v>
      </c>
      <c r="T10403" t="s">
        <v>48453</v>
      </c>
      <c r="U10403" t="s">
        <v>51587</v>
      </c>
      <c r="V10403" t="s">
        <v>62156</v>
      </c>
      <c r="W10403" t="s">
        <v>43963</v>
      </c>
      <c r="X10403" t="s">
        <v>46580</v>
      </c>
    </row>
    <row r="10404" spans="1:24">
      <c r="A10404">
        <f>HYPERLINK("https://www.philgeps.gov.ph/GEPSNONPILOT/Tender/SplashBidNoticeAbstractUI.aspx?menuIndex=3&amp;refID=7049943&amp;Result=3","7049943")</f>
        <v>0</v>
      </c>
      <c r="B10404" t="s">
        <v>1718</v>
      </c>
      <c r="C10404" t="s">
        <v>13380</v>
      </c>
      <c r="D10404" t="s">
        <v>18783</v>
      </c>
      <c r="E10404" t="s">
        <v>27911</v>
      </c>
      <c r="F10404" t="s">
        <v>32664</v>
      </c>
      <c r="G10404" t="s">
        <v>32671</v>
      </c>
      <c r="H10404" t="s">
        <v>12635</v>
      </c>
      <c r="I10404" t="s">
        <v>4439</v>
      </c>
      <c r="J10404" t="s">
        <v>33173</v>
      </c>
      <c r="K10404" t="s">
        <v>42297</v>
      </c>
      <c r="M10404" t="s">
        <v>44415</v>
      </c>
      <c r="N10404" t="s">
        <v>46569</v>
      </c>
      <c r="O10404" t="s">
        <v>46570</v>
      </c>
      <c r="P10404">
        <v>0</v>
      </c>
      <c r="Q10404">
        <v>0</v>
      </c>
      <c r="R10404" t="s">
        <v>46578</v>
      </c>
      <c r="S10404" t="s">
        <v>46874</v>
      </c>
      <c r="T10404" t="s">
        <v>48448</v>
      </c>
      <c r="U10404" t="s">
        <v>54286</v>
      </c>
      <c r="W10404" t="s">
        <v>44415</v>
      </c>
      <c r="X10404" t="s">
        <v>46579</v>
      </c>
    </row>
    <row r="10405" spans="1:24">
      <c r="A10405">
        <f>HYPERLINK("https://www.philgeps.gov.ph/GEPSNONPILOT/Tender/SplashBidNoticeAbstractUI.aspx?menuIndex=3&amp;refID=7049936&amp;Result=3","7049936")</f>
        <v>0</v>
      </c>
      <c r="B10405" t="s">
        <v>2849</v>
      </c>
      <c r="C10405" t="s">
        <v>13381</v>
      </c>
      <c r="D10405" t="s">
        <v>18807</v>
      </c>
      <c r="E10405" t="s">
        <v>19688</v>
      </c>
      <c r="F10405" t="s">
        <v>32664</v>
      </c>
      <c r="G10405" t="s">
        <v>32672</v>
      </c>
      <c r="H10405" t="s">
        <v>32683</v>
      </c>
      <c r="I10405" t="s">
        <v>10627</v>
      </c>
      <c r="J10405" t="s">
        <v>34148</v>
      </c>
      <c r="K10405" t="s">
        <v>42290</v>
      </c>
      <c r="M10405" t="s">
        <v>45697</v>
      </c>
      <c r="N10405" t="s">
        <v>46569</v>
      </c>
      <c r="O10405" t="s">
        <v>46570</v>
      </c>
      <c r="P10405">
        <v>0</v>
      </c>
      <c r="Q10405">
        <v>2</v>
      </c>
      <c r="R10405" t="s">
        <v>46578</v>
      </c>
      <c r="S10405" t="s">
        <v>46874</v>
      </c>
      <c r="T10405" t="s">
        <v>48468</v>
      </c>
      <c r="U10405" t="s">
        <v>57125</v>
      </c>
      <c r="V10405" t="s">
        <v>62732</v>
      </c>
      <c r="W10405" t="s">
        <v>45697</v>
      </c>
      <c r="X10405" t="s">
        <v>46579</v>
      </c>
    </row>
    <row r="10406" spans="1:24">
      <c r="A10406">
        <f>HYPERLINK("https://www.philgeps.gov.ph/GEPSNONPILOT/Tender/SplashBidNoticeAbstractUI.aspx?menuIndex=3&amp;refID=7049960&amp;Result=3","7049960")</f>
        <v>0</v>
      </c>
      <c r="B10406" t="s">
        <v>2849</v>
      </c>
      <c r="C10406" t="s">
        <v>13382</v>
      </c>
      <c r="D10406" t="s">
        <v>18807</v>
      </c>
      <c r="E10406" t="s">
        <v>19701</v>
      </c>
      <c r="F10406" t="s">
        <v>32664</v>
      </c>
      <c r="G10406" t="s">
        <v>32672</v>
      </c>
      <c r="H10406" t="s">
        <v>32683</v>
      </c>
      <c r="I10406" t="s">
        <v>10627</v>
      </c>
      <c r="J10406" t="s">
        <v>39012</v>
      </c>
      <c r="K10406" t="s">
        <v>42290</v>
      </c>
      <c r="M10406" t="s">
        <v>45697</v>
      </c>
      <c r="N10406" t="s">
        <v>46569</v>
      </c>
      <c r="O10406" t="s">
        <v>46570</v>
      </c>
      <c r="P10406">
        <v>0</v>
      </c>
      <c r="Q10406">
        <v>1</v>
      </c>
      <c r="R10406" t="s">
        <v>46578</v>
      </c>
      <c r="S10406" t="s">
        <v>46874</v>
      </c>
      <c r="T10406" t="s">
        <v>48468</v>
      </c>
      <c r="U10406" t="s">
        <v>57126</v>
      </c>
      <c r="V10406" t="s">
        <v>62733</v>
      </c>
      <c r="W10406" t="s">
        <v>45697</v>
      </c>
      <c r="X10406" t="s">
        <v>46579</v>
      </c>
    </row>
    <row r="10407" spans="1:24">
      <c r="A10407">
        <f>HYPERLINK("https://www.philgeps.gov.ph/GEPSNONPILOT/Tender/SplashBidNoticeAbstractUI.aspx?menuIndex=3&amp;refID=7049924&amp;Result=3","7049924")</f>
        <v>0</v>
      </c>
      <c r="B10407" t="s">
        <v>2847</v>
      </c>
      <c r="C10407" t="s">
        <v>13383</v>
      </c>
      <c r="D10407" t="s">
        <v>18852</v>
      </c>
      <c r="E10407" t="s">
        <v>27912</v>
      </c>
      <c r="F10407" t="s">
        <v>32664</v>
      </c>
      <c r="G10407" t="s">
        <v>32672</v>
      </c>
      <c r="H10407" t="s">
        <v>32683</v>
      </c>
      <c r="I10407" t="s">
        <v>10627</v>
      </c>
      <c r="J10407" t="s">
        <v>39013</v>
      </c>
      <c r="K10407" t="s">
        <v>42422</v>
      </c>
      <c r="M10407" t="s">
        <v>45695</v>
      </c>
      <c r="N10407" t="s">
        <v>46569</v>
      </c>
      <c r="O10407" t="s">
        <v>46570</v>
      </c>
      <c r="Q10407">
        <v>0</v>
      </c>
      <c r="R10407" t="s">
        <v>46578</v>
      </c>
      <c r="S10407" t="s">
        <v>46887</v>
      </c>
      <c r="T10407" t="s">
        <v>48313</v>
      </c>
      <c r="U10407" t="s">
        <v>57127</v>
      </c>
      <c r="W10407" t="s">
        <v>45695</v>
      </c>
      <c r="X10407" t="s">
        <v>46579</v>
      </c>
    </row>
    <row r="10408" spans="1:24">
      <c r="A10408">
        <f>HYPERLINK("https://www.philgeps.gov.ph/GEPSNONPILOT/Tender/SplashBidNoticeAbstractUI.aspx?menuIndex=3&amp;refID=7049921&amp;Result=3","7049921")</f>
        <v>0</v>
      </c>
      <c r="B10408" t="s">
        <v>2850</v>
      </c>
      <c r="C10408" t="s">
        <v>13384</v>
      </c>
      <c r="E10408" t="s">
        <v>27913</v>
      </c>
      <c r="F10408" t="s">
        <v>32664</v>
      </c>
      <c r="G10408" t="s">
        <v>32672</v>
      </c>
      <c r="H10408" t="s">
        <v>12635</v>
      </c>
      <c r="I10408" t="s">
        <v>6223</v>
      </c>
      <c r="J10408" t="s">
        <v>33015</v>
      </c>
      <c r="K10408" t="s">
        <v>42283</v>
      </c>
      <c r="M10408" t="s">
        <v>45698</v>
      </c>
      <c r="N10408" t="s">
        <v>46569</v>
      </c>
      <c r="O10408" t="s">
        <v>46570</v>
      </c>
      <c r="P10408">
        <v>0</v>
      </c>
      <c r="Q10408">
        <v>1</v>
      </c>
      <c r="R10408" t="s">
        <v>46578</v>
      </c>
      <c r="S10408" t="s">
        <v>46874</v>
      </c>
      <c r="T10408" t="s">
        <v>48448</v>
      </c>
      <c r="U10408" t="s">
        <v>57128</v>
      </c>
      <c r="W10408" t="s">
        <v>45698</v>
      </c>
      <c r="X10408" t="s">
        <v>46579</v>
      </c>
    </row>
    <row r="10409" spans="1:24">
      <c r="A10409">
        <f>HYPERLINK("https://www.philgeps.gov.ph/GEPSNONPILOT/Tender/SplashBidNoticeAbstractUI.aspx?menuIndex=3&amp;refID=7049923&amp;Result=3","7049923")</f>
        <v>0</v>
      </c>
      <c r="B10409" t="s">
        <v>133</v>
      </c>
      <c r="C10409" t="s">
        <v>13385</v>
      </c>
      <c r="D10409" t="s">
        <v>18832</v>
      </c>
      <c r="E10409" t="s">
        <v>27914</v>
      </c>
      <c r="F10409" t="s">
        <v>32664</v>
      </c>
      <c r="G10409" t="s">
        <v>32672</v>
      </c>
      <c r="H10409" t="s">
        <v>12635</v>
      </c>
      <c r="I10409" t="s">
        <v>32685</v>
      </c>
      <c r="J10409" t="s">
        <v>39014</v>
      </c>
      <c r="K10409" t="s">
        <v>42298</v>
      </c>
      <c r="M10409" t="s">
        <v>42697</v>
      </c>
      <c r="N10409" t="s">
        <v>46569</v>
      </c>
      <c r="O10409" t="s">
        <v>46570</v>
      </c>
      <c r="P10409">
        <v>0</v>
      </c>
      <c r="Q10409">
        <v>4</v>
      </c>
      <c r="R10409" t="s">
        <v>46578</v>
      </c>
      <c r="S10409" t="s">
        <v>46874</v>
      </c>
      <c r="T10409" t="s">
        <v>48349</v>
      </c>
      <c r="U10409" t="s">
        <v>57129</v>
      </c>
      <c r="W10409" t="s">
        <v>42697</v>
      </c>
      <c r="X10409" t="s">
        <v>46579</v>
      </c>
    </row>
    <row r="10410" spans="1:24">
      <c r="A10410">
        <f>HYPERLINK("https://www.philgeps.gov.ph/GEPSNONPILOT/Tender/SplashBidNoticeAbstractUI.aspx?menuIndex=3&amp;refID=7049922&amp;Result=3","7049922")</f>
        <v>0</v>
      </c>
      <c r="B10410" t="s">
        <v>2851</v>
      </c>
      <c r="C10410" t="s">
        <v>13386</v>
      </c>
      <c r="D10410" t="s">
        <v>18842</v>
      </c>
      <c r="E10410" t="s">
        <v>19815</v>
      </c>
      <c r="F10410" t="s">
        <v>32664</v>
      </c>
      <c r="G10410" t="s">
        <v>32672</v>
      </c>
      <c r="H10410" t="s">
        <v>32683</v>
      </c>
      <c r="I10410" t="s">
        <v>10627</v>
      </c>
      <c r="J10410" t="s">
        <v>39015</v>
      </c>
      <c r="K10410" t="s">
        <v>42305</v>
      </c>
      <c r="M10410" t="s">
        <v>45699</v>
      </c>
      <c r="N10410" t="s">
        <v>46569</v>
      </c>
      <c r="O10410" t="s">
        <v>46570</v>
      </c>
      <c r="P10410">
        <v>0</v>
      </c>
      <c r="Q10410">
        <v>0</v>
      </c>
      <c r="R10410" t="s">
        <v>46578</v>
      </c>
      <c r="S10410" t="s">
        <v>46874</v>
      </c>
      <c r="T10410" t="s">
        <v>48228</v>
      </c>
      <c r="U10410" t="s">
        <v>57130</v>
      </c>
      <c r="W10410" t="s">
        <v>45699</v>
      </c>
      <c r="X10410" t="s">
        <v>46579</v>
      </c>
    </row>
    <row r="10411" spans="1:24">
      <c r="A10411">
        <f>HYPERLINK("https://www.philgeps.gov.ph/GEPSNONPILOT/Tender/SplashBidNoticeAbstractUI.aspx?menuIndex=3&amp;refID=7049988&amp;Result=3","7049988")</f>
        <v>0</v>
      </c>
      <c r="B10411" t="s">
        <v>1298</v>
      </c>
      <c r="C10411" t="s">
        <v>13387</v>
      </c>
      <c r="D10411" t="s">
        <v>18848</v>
      </c>
      <c r="E10411" t="s">
        <v>27915</v>
      </c>
      <c r="F10411" t="s">
        <v>32664</v>
      </c>
      <c r="G10411" t="s">
        <v>32672</v>
      </c>
      <c r="H10411" t="s">
        <v>12635</v>
      </c>
      <c r="I10411" t="s">
        <v>4439</v>
      </c>
      <c r="J10411" t="s">
        <v>39016</v>
      </c>
      <c r="K10411" t="s">
        <v>42297</v>
      </c>
      <c r="M10411" t="s">
        <v>43942</v>
      </c>
      <c r="N10411" t="s">
        <v>46569</v>
      </c>
      <c r="O10411" t="s">
        <v>46570</v>
      </c>
      <c r="P10411">
        <v>0</v>
      </c>
      <c r="Q10411">
        <v>1</v>
      </c>
      <c r="R10411" t="s">
        <v>46578</v>
      </c>
      <c r="S10411" t="s">
        <v>46874</v>
      </c>
      <c r="T10411" t="s">
        <v>48287</v>
      </c>
      <c r="U10411" t="s">
        <v>57131</v>
      </c>
      <c r="V10411" t="s">
        <v>62643</v>
      </c>
      <c r="W10411" t="s">
        <v>43942</v>
      </c>
      <c r="X10411" t="s">
        <v>46579</v>
      </c>
    </row>
    <row r="10412" spans="1:24">
      <c r="A10412">
        <f>HYPERLINK("https://www.philgeps.gov.ph/GEPSNONPILOT/Tender/SplashBidNoticeAbstractUI.aspx?menuIndex=3&amp;refID=7049908&amp;Result=3","7049908")</f>
        <v>0</v>
      </c>
      <c r="B10412" t="s">
        <v>1781</v>
      </c>
      <c r="C10412" t="s">
        <v>13388</v>
      </c>
      <c r="D10412" t="s">
        <v>18807</v>
      </c>
      <c r="E10412" t="s">
        <v>27916</v>
      </c>
      <c r="F10412" t="s">
        <v>32664</v>
      </c>
      <c r="G10412" t="s">
        <v>32672</v>
      </c>
      <c r="H10412" t="s">
        <v>32682</v>
      </c>
      <c r="I10412" t="s">
        <v>32699</v>
      </c>
      <c r="J10412" t="s">
        <v>33371</v>
      </c>
      <c r="K10412" t="s">
        <v>42281</v>
      </c>
      <c r="M10412" t="s">
        <v>44483</v>
      </c>
      <c r="N10412" t="s">
        <v>46569</v>
      </c>
      <c r="O10412" t="s">
        <v>46570</v>
      </c>
      <c r="P10412">
        <v>0</v>
      </c>
      <c r="Q10412">
        <v>1</v>
      </c>
      <c r="R10412" t="s">
        <v>46578</v>
      </c>
      <c r="S10412" t="s">
        <v>46874</v>
      </c>
      <c r="T10412" t="s">
        <v>48316</v>
      </c>
      <c r="U10412" t="s">
        <v>57132</v>
      </c>
      <c r="V10412" t="s">
        <v>62734</v>
      </c>
      <c r="W10412" t="s">
        <v>44483</v>
      </c>
      <c r="X10412" t="s">
        <v>46579</v>
      </c>
    </row>
    <row r="10413" spans="1:24">
      <c r="A10413">
        <f>HYPERLINK("https://www.philgeps.gov.ph/GEPSNONPILOT/Tender/SplashBidNoticeAbstractUI.aspx?menuIndex=3&amp;refID=7049966&amp;Result=3","7049966")</f>
        <v>0</v>
      </c>
      <c r="B10413" t="s">
        <v>2847</v>
      </c>
      <c r="C10413" t="s">
        <v>13389</v>
      </c>
      <c r="D10413" t="s">
        <v>18852</v>
      </c>
      <c r="E10413" t="s">
        <v>27917</v>
      </c>
      <c r="F10413" t="s">
        <v>32664</v>
      </c>
      <c r="G10413" t="s">
        <v>32672</v>
      </c>
      <c r="H10413" t="s">
        <v>32683</v>
      </c>
      <c r="I10413" t="s">
        <v>10627</v>
      </c>
      <c r="J10413" t="s">
        <v>39017</v>
      </c>
      <c r="K10413" t="s">
        <v>42301</v>
      </c>
      <c r="M10413" t="s">
        <v>45695</v>
      </c>
      <c r="N10413" t="s">
        <v>46569</v>
      </c>
      <c r="O10413" t="s">
        <v>46570</v>
      </c>
      <c r="Q10413">
        <v>0</v>
      </c>
      <c r="R10413" t="s">
        <v>46578</v>
      </c>
      <c r="S10413" t="s">
        <v>46888</v>
      </c>
      <c r="T10413" t="s">
        <v>48313</v>
      </c>
      <c r="U10413" t="s">
        <v>57133</v>
      </c>
      <c r="W10413" t="s">
        <v>45695</v>
      </c>
      <c r="X10413" t="s">
        <v>46579</v>
      </c>
    </row>
    <row r="10414" spans="1:24">
      <c r="A10414">
        <f>HYPERLINK("https://www.philgeps.gov.ph/GEPSNONPILOT/Tender/SplashBidNoticeAbstractUI.aspx?menuIndex=3&amp;refID=7049882&amp;Result=3","7049882")</f>
        <v>0</v>
      </c>
      <c r="B10414" t="s">
        <v>1314</v>
      </c>
      <c r="C10414" t="s">
        <v>13390</v>
      </c>
      <c r="D10414" t="s">
        <v>18836</v>
      </c>
      <c r="E10414" t="s">
        <v>27918</v>
      </c>
      <c r="F10414" t="s">
        <v>32664</v>
      </c>
      <c r="G10414" t="s">
        <v>32672</v>
      </c>
      <c r="H10414" t="s">
        <v>32682</v>
      </c>
      <c r="I10414" t="s">
        <v>32775</v>
      </c>
      <c r="J10414" t="s">
        <v>39018</v>
      </c>
      <c r="K10414" t="s">
        <v>42281</v>
      </c>
      <c r="M10414" t="s">
        <v>43963</v>
      </c>
      <c r="N10414" t="s">
        <v>46569</v>
      </c>
      <c r="O10414" t="s">
        <v>46570</v>
      </c>
      <c r="P10414">
        <v>0</v>
      </c>
      <c r="Q10414">
        <v>7</v>
      </c>
      <c r="R10414" t="s">
        <v>46578</v>
      </c>
      <c r="S10414" t="s">
        <v>46874</v>
      </c>
      <c r="T10414" t="s">
        <v>48453</v>
      </c>
      <c r="U10414" t="s">
        <v>51587</v>
      </c>
      <c r="V10414" t="s">
        <v>62728</v>
      </c>
      <c r="W10414" t="s">
        <v>43963</v>
      </c>
      <c r="X10414" t="s">
        <v>46579</v>
      </c>
    </row>
    <row r="10415" spans="1:24">
      <c r="A10415">
        <f>HYPERLINK("https://www.philgeps.gov.ph/GEPSNONPILOT/Tender/SplashBidNoticeAbstractUI.aspx?menuIndex=3&amp;refID=7047379&amp;Result=3","7047379")</f>
        <v>0</v>
      </c>
      <c r="B10415" t="s">
        <v>95</v>
      </c>
      <c r="C10415" t="s">
        <v>13391</v>
      </c>
      <c r="D10415" t="s">
        <v>18807</v>
      </c>
      <c r="E10415" t="s">
        <v>27919</v>
      </c>
      <c r="F10415" t="s">
        <v>32664</v>
      </c>
      <c r="G10415" t="s">
        <v>32672</v>
      </c>
      <c r="H10415" t="s">
        <v>12635</v>
      </c>
      <c r="I10415" t="s">
        <v>4333</v>
      </c>
      <c r="J10415" t="s">
        <v>37032</v>
      </c>
      <c r="K10415" t="s">
        <v>42281</v>
      </c>
      <c r="M10415" t="s">
        <v>42658</v>
      </c>
      <c r="N10415" t="s">
        <v>46569</v>
      </c>
      <c r="O10415" t="s">
        <v>46570</v>
      </c>
      <c r="P10415">
        <v>0</v>
      </c>
      <c r="Q10415">
        <v>2</v>
      </c>
      <c r="R10415" t="s">
        <v>46578</v>
      </c>
      <c r="S10415" t="s">
        <v>46874</v>
      </c>
      <c r="T10415" t="s">
        <v>48448</v>
      </c>
      <c r="U10415" t="s">
        <v>57134</v>
      </c>
      <c r="W10415" t="s">
        <v>42658</v>
      </c>
      <c r="X10415" t="s">
        <v>46580</v>
      </c>
    </row>
    <row r="10416" spans="1:24">
      <c r="A10416">
        <f>HYPERLINK("https://www.philgeps.gov.ph/GEPSNONPILOT/Tender/SplashBidNoticeAbstractUI.aspx?menuIndex=3&amp;refID=7050013&amp;Result=3","7050013")</f>
        <v>0</v>
      </c>
      <c r="B10416" t="s">
        <v>175</v>
      </c>
      <c r="C10416" t="s">
        <v>13392</v>
      </c>
      <c r="D10416" t="s">
        <v>18819</v>
      </c>
      <c r="E10416" t="s">
        <v>27920</v>
      </c>
      <c r="F10416" t="s">
        <v>32664</v>
      </c>
      <c r="G10416" t="s">
        <v>32671</v>
      </c>
      <c r="H10416" t="s">
        <v>12635</v>
      </c>
      <c r="I10416" t="s">
        <v>4439</v>
      </c>
      <c r="J10416" t="s">
        <v>39019</v>
      </c>
      <c r="K10416" t="s">
        <v>42284</v>
      </c>
      <c r="M10416" t="s">
        <v>44173</v>
      </c>
      <c r="N10416" t="s">
        <v>46569</v>
      </c>
      <c r="O10416" t="s">
        <v>46570</v>
      </c>
      <c r="P10416">
        <v>0</v>
      </c>
      <c r="Q10416">
        <v>2</v>
      </c>
      <c r="R10416" t="s">
        <v>46578</v>
      </c>
      <c r="S10416" t="s">
        <v>46874</v>
      </c>
      <c r="T10416" t="s">
        <v>48290</v>
      </c>
      <c r="U10416" t="s">
        <v>57135</v>
      </c>
      <c r="V10416" t="s">
        <v>61661</v>
      </c>
      <c r="W10416" t="s">
        <v>44173</v>
      </c>
      <c r="X10416" t="s">
        <v>46579</v>
      </c>
    </row>
    <row r="10417" spans="1:24">
      <c r="A10417">
        <f>HYPERLINK("https://www.philgeps.gov.ph/GEPSNONPILOT/Tender/SplashBidNoticeAbstractUI.aspx?menuIndex=3&amp;refID=7050006&amp;Result=3","7050006")</f>
        <v>0</v>
      </c>
      <c r="B10417" t="s">
        <v>68</v>
      </c>
      <c r="C10417" t="s">
        <v>13393</v>
      </c>
      <c r="D10417" t="s">
        <v>18815</v>
      </c>
      <c r="E10417" t="s">
        <v>19000</v>
      </c>
      <c r="F10417" t="s">
        <v>32664</v>
      </c>
      <c r="G10417" t="s">
        <v>32672</v>
      </c>
      <c r="H10417" t="s">
        <v>12635</v>
      </c>
      <c r="I10417" t="s">
        <v>11464</v>
      </c>
      <c r="J10417" t="s">
        <v>39020</v>
      </c>
      <c r="K10417" t="s">
        <v>42283</v>
      </c>
      <c r="M10417" t="s">
        <v>42631</v>
      </c>
      <c r="N10417" t="s">
        <v>46569</v>
      </c>
      <c r="O10417" t="s">
        <v>46570</v>
      </c>
      <c r="P10417">
        <v>0</v>
      </c>
      <c r="Q10417">
        <v>4</v>
      </c>
      <c r="R10417" t="s">
        <v>46578</v>
      </c>
      <c r="S10417" t="s">
        <v>46874</v>
      </c>
      <c r="T10417" t="s">
        <v>48212</v>
      </c>
      <c r="U10417" t="s">
        <v>57136</v>
      </c>
      <c r="V10417" t="s">
        <v>62735</v>
      </c>
      <c r="W10417" t="s">
        <v>42631</v>
      </c>
      <c r="X10417" t="s">
        <v>46579</v>
      </c>
    </row>
    <row r="10418" spans="1:24">
      <c r="A10418">
        <f>HYPERLINK("https://www.philgeps.gov.ph/GEPSNONPILOT/Tender/SplashBidNoticeAbstractUI.aspx?menuIndex=3&amp;refID=7049917&amp;Result=3","7049917")</f>
        <v>0</v>
      </c>
      <c r="B10418" t="s">
        <v>1314</v>
      </c>
      <c r="C10418" t="s">
        <v>13394</v>
      </c>
      <c r="D10418" t="s">
        <v>18831</v>
      </c>
      <c r="E10418" t="s">
        <v>27921</v>
      </c>
      <c r="F10418" t="s">
        <v>32664</v>
      </c>
      <c r="G10418" t="s">
        <v>32672</v>
      </c>
      <c r="H10418" t="s">
        <v>32682</v>
      </c>
      <c r="I10418" t="s">
        <v>4205</v>
      </c>
      <c r="J10418" t="s">
        <v>32837</v>
      </c>
      <c r="K10418" t="s">
        <v>42448</v>
      </c>
      <c r="M10418" t="s">
        <v>43963</v>
      </c>
      <c r="N10418" t="s">
        <v>46569</v>
      </c>
      <c r="O10418" t="s">
        <v>46570</v>
      </c>
      <c r="P10418">
        <v>0</v>
      </c>
      <c r="Q10418">
        <v>0</v>
      </c>
      <c r="R10418" t="s">
        <v>46578</v>
      </c>
      <c r="S10418" t="s">
        <v>46874</v>
      </c>
      <c r="T10418" t="s">
        <v>48453</v>
      </c>
      <c r="U10418" t="s">
        <v>51587</v>
      </c>
      <c r="V10418" t="s">
        <v>62728</v>
      </c>
      <c r="W10418" t="s">
        <v>43963</v>
      </c>
      <c r="X10418" t="s">
        <v>46579</v>
      </c>
    </row>
    <row r="10419" spans="1:24">
      <c r="A10419">
        <f>HYPERLINK("https://www.philgeps.gov.ph/GEPSNONPILOT/Tender/SplashBidNoticeAbstractUI.aspx?menuIndex=3&amp;refID=7047704&amp;Result=3","7047704")</f>
        <v>0</v>
      </c>
      <c r="B10419" t="s">
        <v>76</v>
      </c>
      <c r="C10419" t="s">
        <v>13395</v>
      </c>
      <c r="D10419" t="s">
        <v>18781</v>
      </c>
      <c r="E10419" t="s">
        <v>27922</v>
      </c>
      <c r="F10419" t="s">
        <v>32664</v>
      </c>
      <c r="G10419" t="s">
        <v>32672</v>
      </c>
      <c r="H10419" t="s">
        <v>32683</v>
      </c>
      <c r="I10419" t="s">
        <v>10627</v>
      </c>
      <c r="J10419" t="s">
        <v>39021</v>
      </c>
      <c r="K10419" t="s">
        <v>42298</v>
      </c>
      <c r="M10419" t="s">
        <v>42639</v>
      </c>
      <c r="N10419" t="s">
        <v>46569</v>
      </c>
      <c r="O10419" t="s">
        <v>46570</v>
      </c>
      <c r="P10419">
        <v>0</v>
      </c>
      <c r="Q10419">
        <v>0</v>
      </c>
      <c r="R10419" t="s">
        <v>46578</v>
      </c>
      <c r="S10419" t="s">
        <v>46874</v>
      </c>
      <c r="T10419" t="s">
        <v>48469</v>
      </c>
      <c r="U10419" t="s">
        <v>57137</v>
      </c>
      <c r="W10419" t="s">
        <v>42639</v>
      </c>
      <c r="X10419" t="s">
        <v>46580</v>
      </c>
    </row>
    <row r="10420" spans="1:24">
      <c r="A10420">
        <f>HYPERLINK("https://www.philgeps.gov.ph/GEPSNONPILOT/Tender/SplashBidNoticeAbstractUI.aspx?menuIndex=3&amp;refID=7050086&amp;Result=3","7050086")</f>
        <v>0</v>
      </c>
      <c r="B10420" t="s">
        <v>2446</v>
      </c>
      <c r="C10420" t="s">
        <v>13396</v>
      </c>
      <c r="D10420" t="s">
        <v>18838</v>
      </c>
      <c r="E10420" t="s">
        <v>27923</v>
      </c>
      <c r="F10420" t="s">
        <v>32664</v>
      </c>
      <c r="G10420" t="s">
        <v>32672</v>
      </c>
      <c r="H10420" t="s">
        <v>12635</v>
      </c>
      <c r="I10420" t="s">
        <v>10370</v>
      </c>
      <c r="J10420" t="s">
        <v>39022</v>
      </c>
      <c r="K10420" t="s">
        <v>42283</v>
      </c>
      <c r="M10420" t="s">
        <v>45239</v>
      </c>
      <c r="N10420" t="s">
        <v>46569</v>
      </c>
      <c r="O10420" t="s">
        <v>46570</v>
      </c>
      <c r="Q10420">
        <v>9</v>
      </c>
      <c r="R10420" t="s">
        <v>46578</v>
      </c>
      <c r="S10420" t="s">
        <v>46877</v>
      </c>
      <c r="T10420" t="s">
        <v>48637</v>
      </c>
      <c r="U10420" t="s">
        <v>57138</v>
      </c>
      <c r="V10420" t="s">
        <v>62572</v>
      </c>
      <c r="W10420" t="s">
        <v>45239</v>
      </c>
      <c r="X10420" t="s">
        <v>46579</v>
      </c>
    </row>
    <row r="10421" spans="1:24">
      <c r="A10421">
        <f>HYPERLINK("https://www.philgeps.gov.ph/GEPSNONPILOT/Tender/SplashBidNoticeAbstractUI.aspx?menuIndex=3&amp;refID=7050107&amp;Result=3","7050107")</f>
        <v>0</v>
      </c>
      <c r="B10421" t="s">
        <v>2852</v>
      </c>
      <c r="C10421" t="s">
        <v>13397</v>
      </c>
      <c r="D10421" t="s">
        <v>18794</v>
      </c>
      <c r="E10421" t="s">
        <v>27924</v>
      </c>
      <c r="F10421" t="s">
        <v>32664</v>
      </c>
      <c r="G10421" t="s">
        <v>32672</v>
      </c>
      <c r="H10421" t="s">
        <v>32683</v>
      </c>
      <c r="I10421" t="s">
        <v>10627</v>
      </c>
      <c r="J10421" t="s">
        <v>39023</v>
      </c>
      <c r="K10421" t="s">
        <v>42326</v>
      </c>
      <c r="M10421" t="s">
        <v>45700</v>
      </c>
      <c r="N10421" t="s">
        <v>46569</v>
      </c>
      <c r="O10421" t="s">
        <v>46570</v>
      </c>
      <c r="P10421">
        <v>0</v>
      </c>
      <c r="Q10421">
        <v>0</v>
      </c>
      <c r="R10421" t="s">
        <v>46578</v>
      </c>
      <c r="S10421" t="s">
        <v>46874</v>
      </c>
      <c r="T10421" t="s">
        <v>48418</v>
      </c>
      <c r="U10421" t="s">
        <v>57139</v>
      </c>
      <c r="W10421" t="s">
        <v>45700</v>
      </c>
      <c r="X10421" t="s">
        <v>46579</v>
      </c>
    </row>
    <row r="10422" spans="1:24">
      <c r="A10422">
        <f>HYPERLINK("https://www.philgeps.gov.ph/GEPSNONPILOT/Tender/SplashBidNoticeAbstractUI.aspx?menuIndex=3&amp;refID=7050093&amp;Result=3","7050093")</f>
        <v>0</v>
      </c>
      <c r="B10422" t="s">
        <v>1204</v>
      </c>
      <c r="C10422" t="s">
        <v>13398</v>
      </c>
      <c r="D10422" t="s">
        <v>18809</v>
      </c>
      <c r="E10422" t="s">
        <v>27925</v>
      </c>
      <c r="F10422" t="s">
        <v>32664</v>
      </c>
      <c r="G10422" t="s">
        <v>32672</v>
      </c>
      <c r="H10422" t="s">
        <v>12635</v>
      </c>
      <c r="I10422" t="s">
        <v>32708</v>
      </c>
      <c r="J10422" t="s">
        <v>34148</v>
      </c>
      <c r="K10422" t="s">
        <v>42283</v>
      </c>
      <c r="M10422" t="s">
        <v>43841</v>
      </c>
      <c r="N10422" t="s">
        <v>46569</v>
      </c>
      <c r="O10422" t="s">
        <v>46570</v>
      </c>
      <c r="Q10422">
        <v>39</v>
      </c>
      <c r="R10422" t="s">
        <v>46578</v>
      </c>
      <c r="S10422" t="s">
        <v>46889</v>
      </c>
      <c r="T10422" t="s">
        <v>48303</v>
      </c>
      <c r="U10422" t="s">
        <v>52936</v>
      </c>
      <c r="W10422" t="s">
        <v>43841</v>
      </c>
      <c r="X10422" t="s">
        <v>46579</v>
      </c>
    </row>
    <row r="10423" spans="1:24">
      <c r="A10423">
        <f>HYPERLINK("https://www.philgeps.gov.ph/GEPSNONPILOT/Tender/SplashBidNoticeAbstractUI.aspx?menuIndex=3&amp;refID=7050110&amp;Result=3","7050110")</f>
        <v>0</v>
      </c>
      <c r="B10423" t="s">
        <v>2446</v>
      </c>
      <c r="C10423" t="s">
        <v>13399</v>
      </c>
      <c r="D10423" t="s">
        <v>18838</v>
      </c>
      <c r="E10423" t="s">
        <v>27926</v>
      </c>
      <c r="F10423" t="s">
        <v>32664</v>
      </c>
      <c r="G10423" t="s">
        <v>32672</v>
      </c>
      <c r="H10423" t="s">
        <v>12635</v>
      </c>
      <c r="I10423" t="s">
        <v>32704</v>
      </c>
      <c r="J10423" t="s">
        <v>32962</v>
      </c>
      <c r="K10423" t="s">
        <v>42283</v>
      </c>
      <c r="M10423" t="s">
        <v>45239</v>
      </c>
      <c r="N10423" t="s">
        <v>46569</v>
      </c>
      <c r="O10423" t="s">
        <v>46570</v>
      </c>
      <c r="Q10423">
        <v>9</v>
      </c>
      <c r="R10423" t="s">
        <v>46578</v>
      </c>
      <c r="S10423" t="s">
        <v>46890</v>
      </c>
      <c r="T10423" t="s">
        <v>48659</v>
      </c>
      <c r="U10423" t="s">
        <v>57140</v>
      </c>
      <c r="V10423" t="s">
        <v>62443</v>
      </c>
      <c r="W10423" t="s">
        <v>45239</v>
      </c>
      <c r="X10423" t="s">
        <v>46579</v>
      </c>
    </row>
    <row r="10424" spans="1:24">
      <c r="A10424">
        <f>HYPERLINK("https://www.philgeps.gov.ph/GEPSNONPILOT/Tender/SplashBidNoticeAbstractUI.aspx?menuIndex=3&amp;refID=7050007&amp;Result=3","7050007")</f>
        <v>0</v>
      </c>
      <c r="B10424" t="s">
        <v>2853</v>
      </c>
      <c r="C10424" t="s">
        <v>13400</v>
      </c>
      <c r="E10424" t="s">
        <v>21510</v>
      </c>
      <c r="F10424" t="s">
        <v>32664</v>
      </c>
      <c r="G10424" t="s">
        <v>32671</v>
      </c>
      <c r="H10424" t="s">
        <v>12635</v>
      </c>
      <c r="I10424" t="s">
        <v>32706</v>
      </c>
      <c r="J10424" t="s">
        <v>32898</v>
      </c>
      <c r="K10424" t="s">
        <v>42284</v>
      </c>
      <c r="M10424" t="s">
        <v>45701</v>
      </c>
      <c r="N10424" t="s">
        <v>46569</v>
      </c>
      <c r="O10424" t="s">
        <v>46570</v>
      </c>
      <c r="P10424">
        <v>0</v>
      </c>
      <c r="Q10424">
        <v>0</v>
      </c>
      <c r="R10424" t="s">
        <v>46578</v>
      </c>
      <c r="S10424" t="s">
        <v>46874</v>
      </c>
      <c r="T10424" t="s">
        <v>48287</v>
      </c>
      <c r="U10424" t="s">
        <v>51035</v>
      </c>
      <c r="W10424" t="s">
        <v>45701</v>
      </c>
      <c r="X10424" t="s">
        <v>46579</v>
      </c>
    </row>
    <row r="10425" spans="1:24">
      <c r="A10425">
        <f>HYPERLINK("https://www.philgeps.gov.ph/GEPSNONPILOT/Tender/SplashBidNoticeAbstractUI.aspx?menuIndex=3&amp;refID=7050069&amp;Result=3","7050069")</f>
        <v>0</v>
      </c>
      <c r="B10425" t="s">
        <v>2854</v>
      </c>
      <c r="C10425" t="s">
        <v>13401</v>
      </c>
      <c r="D10425" t="s">
        <v>18784</v>
      </c>
      <c r="E10425" t="s">
        <v>27927</v>
      </c>
      <c r="F10425" t="s">
        <v>32664</v>
      </c>
      <c r="G10425" t="s">
        <v>32672</v>
      </c>
      <c r="H10425" t="s">
        <v>12635</v>
      </c>
      <c r="I10425" t="s">
        <v>6223</v>
      </c>
      <c r="J10425" t="s">
        <v>32898</v>
      </c>
      <c r="K10425" t="s">
        <v>42284</v>
      </c>
      <c r="M10425" t="s">
        <v>45702</v>
      </c>
      <c r="N10425" t="s">
        <v>46569</v>
      </c>
      <c r="O10425" t="s">
        <v>46570</v>
      </c>
      <c r="P10425">
        <v>0</v>
      </c>
      <c r="Q10425">
        <v>2</v>
      </c>
      <c r="R10425" t="s">
        <v>46578</v>
      </c>
      <c r="S10425" t="s">
        <v>46874</v>
      </c>
      <c r="T10425" t="s">
        <v>48290</v>
      </c>
      <c r="U10425" t="s">
        <v>57141</v>
      </c>
      <c r="W10425" t="s">
        <v>45702</v>
      </c>
      <c r="X10425" t="s">
        <v>46579</v>
      </c>
    </row>
    <row r="10426" spans="1:24">
      <c r="A10426">
        <f>HYPERLINK("https://www.philgeps.gov.ph/GEPSNONPILOT/Tender/SplashBidNoticeAbstractUI.aspx?menuIndex=3&amp;refID=7050067&amp;Result=3","7050067")</f>
        <v>0</v>
      </c>
      <c r="B10426" t="s">
        <v>2855</v>
      </c>
      <c r="C10426" t="s">
        <v>13402</v>
      </c>
      <c r="D10426" t="s">
        <v>18791</v>
      </c>
      <c r="E10426" t="s">
        <v>27928</v>
      </c>
      <c r="F10426" t="s">
        <v>32664</v>
      </c>
      <c r="G10426" t="s">
        <v>32672</v>
      </c>
      <c r="H10426" t="s">
        <v>32683</v>
      </c>
      <c r="I10426" t="s">
        <v>4439</v>
      </c>
      <c r="J10426" t="s">
        <v>39024</v>
      </c>
      <c r="K10426" t="s">
        <v>42281</v>
      </c>
      <c r="M10426" t="s">
        <v>45703</v>
      </c>
      <c r="N10426" t="s">
        <v>46569</v>
      </c>
      <c r="O10426" t="s">
        <v>46570</v>
      </c>
      <c r="P10426">
        <v>0</v>
      </c>
      <c r="Q10426">
        <v>0</v>
      </c>
      <c r="R10426" t="s">
        <v>46578</v>
      </c>
      <c r="S10426" t="s">
        <v>46874</v>
      </c>
      <c r="T10426" t="s">
        <v>48278</v>
      </c>
      <c r="U10426" t="s">
        <v>57142</v>
      </c>
      <c r="W10426" t="s">
        <v>45703</v>
      </c>
      <c r="X10426" t="s">
        <v>46579</v>
      </c>
    </row>
    <row r="10427" spans="1:24">
      <c r="A10427">
        <f>HYPERLINK("https://www.philgeps.gov.ph/GEPSNONPILOT/Tender/SplashBidNoticeAbstractUI.aspx?menuIndex=3&amp;refID=7047677&amp;Result=3","7047677")</f>
        <v>0</v>
      </c>
      <c r="B10427" t="s">
        <v>57</v>
      </c>
      <c r="C10427" t="s">
        <v>13403</v>
      </c>
      <c r="D10427" t="s">
        <v>18806</v>
      </c>
      <c r="E10427" t="s">
        <v>27929</v>
      </c>
      <c r="F10427" t="s">
        <v>32664</v>
      </c>
      <c r="G10427" t="s">
        <v>32672</v>
      </c>
      <c r="H10427" t="s">
        <v>12635</v>
      </c>
      <c r="I10427" t="s">
        <v>11464</v>
      </c>
      <c r="J10427" t="s">
        <v>37027</v>
      </c>
      <c r="K10427" t="s">
        <v>42281</v>
      </c>
      <c r="M10427" t="s">
        <v>42619</v>
      </c>
      <c r="N10427" t="s">
        <v>46569</v>
      </c>
      <c r="O10427" t="s">
        <v>46570</v>
      </c>
      <c r="P10427">
        <v>0</v>
      </c>
      <c r="Q10427">
        <v>5</v>
      </c>
      <c r="R10427" t="s">
        <v>46578</v>
      </c>
      <c r="S10427" t="s">
        <v>46874</v>
      </c>
      <c r="T10427" t="s">
        <v>48394</v>
      </c>
      <c r="U10427" t="s">
        <v>57143</v>
      </c>
      <c r="W10427" t="s">
        <v>42619</v>
      </c>
      <c r="X10427" t="s">
        <v>46580</v>
      </c>
    </row>
    <row r="10428" spans="1:24">
      <c r="A10428">
        <f>HYPERLINK("https://www.philgeps.gov.ph/GEPSNONPILOT/Tender/SplashBidNoticeAbstractUI.aspx?menuIndex=3&amp;refID=7050059&amp;Result=3","7050059")</f>
        <v>0</v>
      </c>
      <c r="B10428" t="s">
        <v>2856</v>
      </c>
      <c r="C10428" t="s">
        <v>13404</v>
      </c>
      <c r="D10428" t="s">
        <v>18838</v>
      </c>
      <c r="E10428" t="s">
        <v>19380</v>
      </c>
      <c r="F10428" t="s">
        <v>32664</v>
      </c>
      <c r="G10428" t="s">
        <v>32672</v>
      </c>
      <c r="H10428" t="s">
        <v>12635</v>
      </c>
      <c r="I10428" t="s">
        <v>4439</v>
      </c>
      <c r="J10428" t="s">
        <v>39025</v>
      </c>
      <c r="K10428" t="s">
        <v>42297</v>
      </c>
      <c r="M10428" t="s">
        <v>45704</v>
      </c>
      <c r="N10428" t="s">
        <v>46569</v>
      </c>
      <c r="O10428" t="s">
        <v>46570</v>
      </c>
      <c r="P10428">
        <v>0</v>
      </c>
      <c r="Q10428">
        <v>1</v>
      </c>
      <c r="R10428" t="s">
        <v>46578</v>
      </c>
      <c r="S10428" t="s">
        <v>46874</v>
      </c>
      <c r="T10428" t="s">
        <v>48290</v>
      </c>
      <c r="U10428" t="s">
        <v>57144</v>
      </c>
      <c r="W10428" t="s">
        <v>45704</v>
      </c>
      <c r="X10428" t="s">
        <v>46579</v>
      </c>
    </row>
    <row r="10429" spans="1:24">
      <c r="A10429">
        <f>HYPERLINK("https://www.philgeps.gov.ph/GEPSNONPILOT/Tender/SplashBidNoticeAbstractUI.aspx?menuIndex=3&amp;refID=7050101&amp;Result=3","7050101")</f>
        <v>0</v>
      </c>
      <c r="B10429" t="s">
        <v>2441</v>
      </c>
      <c r="C10429" t="s">
        <v>13405</v>
      </c>
      <c r="D10429" t="s">
        <v>18810</v>
      </c>
      <c r="E10429" t="s">
        <v>27930</v>
      </c>
      <c r="F10429" t="s">
        <v>32664</v>
      </c>
      <c r="G10429" t="s">
        <v>32672</v>
      </c>
      <c r="H10429" t="s">
        <v>32683</v>
      </c>
      <c r="I10429" t="s">
        <v>10627</v>
      </c>
      <c r="J10429" t="s">
        <v>39026</v>
      </c>
      <c r="K10429" t="s">
        <v>42298</v>
      </c>
      <c r="M10429" t="s">
        <v>45234</v>
      </c>
      <c r="N10429" t="s">
        <v>46569</v>
      </c>
      <c r="O10429" t="s">
        <v>46570</v>
      </c>
      <c r="P10429">
        <v>0</v>
      </c>
      <c r="Q10429">
        <v>0</v>
      </c>
      <c r="R10429" t="s">
        <v>46578</v>
      </c>
      <c r="S10429" t="s">
        <v>46874</v>
      </c>
      <c r="T10429" t="s">
        <v>48213</v>
      </c>
      <c r="U10429" t="s">
        <v>57145</v>
      </c>
      <c r="W10429" t="s">
        <v>45234</v>
      </c>
      <c r="X10429" t="s">
        <v>46579</v>
      </c>
    </row>
    <row r="10430" spans="1:24">
      <c r="A10430">
        <f>HYPERLINK("https://www.philgeps.gov.ph/GEPSNONPILOT/Tender/SplashBidNoticeAbstractUI.aspx?menuIndex=3&amp;refID=7050125&amp;Result=3","7050125")</f>
        <v>0</v>
      </c>
      <c r="B10430" t="s">
        <v>2850</v>
      </c>
      <c r="C10430" t="s">
        <v>13406</v>
      </c>
      <c r="E10430" t="s">
        <v>27931</v>
      </c>
      <c r="F10430" t="s">
        <v>32664</v>
      </c>
      <c r="G10430" t="s">
        <v>32672</v>
      </c>
      <c r="H10430" t="s">
        <v>12635</v>
      </c>
      <c r="I10430" t="s">
        <v>6223</v>
      </c>
      <c r="J10430" t="s">
        <v>33015</v>
      </c>
      <c r="K10430" t="s">
        <v>42283</v>
      </c>
      <c r="M10430" t="s">
        <v>45698</v>
      </c>
      <c r="N10430" t="s">
        <v>46569</v>
      </c>
      <c r="O10430" t="s">
        <v>46570</v>
      </c>
      <c r="P10430">
        <v>0</v>
      </c>
      <c r="Q10430">
        <v>0</v>
      </c>
      <c r="R10430" t="s">
        <v>46578</v>
      </c>
      <c r="S10430" t="s">
        <v>46874</v>
      </c>
      <c r="T10430" t="s">
        <v>48448</v>
      </c>
      <c r="U10430" t="s">
        <v>57146</v>
      </c>
      <c r="W10430" t="s">
        <v>45698</v>
      </c>
      <c r="X10430" t="s">
        <v>46579</v>
      </c>
    </row>
    <row r="10431" spans="1:24">
      <c r="A10431">
        <f>HYPERLINK("https://www.philgeps.gov.ph/GEPSNONPILOT/Tender/SplashBidNoticeAbstractUI.aspx?menuIndex=3&amp;refID=7050080&amp;Result=3","7050080")</f>
        <v>0</v>
      </c>
      <c r="B10431" t="s">
        <v>2441</v>
      </c>
      <c r="C10431" t="s">
        <v>13407</v>
      </c>
      <c r="D10431" t="s">
        <v>18810</v>
      </c>
      <c r="E10431" t="s">
        <v>27932</v>
      </c>
      <c r="F10431" t="s">
        <v>32664</v>
      </c>
      <c r="G10431" t="s">
        <v>32672</v>
      </c>
      <c r="H10431" t="s">
        <v>32683</v>
      </c>
      <c r="I10431" t="s">
        <v>10627</v>
      </c>
      <c r="J10431" t="s">
        <v>39027</v>
      </c>
      <c r="K10431" t="s">
        <v>42311</v>
      </c>
      <c r="M10431" t="s">
        <v>45234</v>
      </c>
      <c r="N10431" t="s">
        <v>46569</v>
      </c>
      <c r="O10431" t="s">
        <v>46570</v>
      </c>
      <c r="P10431">
        <v>0</v>
      </c>
      <c r="Q10431">
        <v>0</v>
      </c>
      <c r="R10431" t="s">
        <v>46578</v>
      </c>
      <c r="S10431" t="s">
        <v>46874</v>
      </c>
      <c r="T10431" t="s">
        <v>48213</v>
      </c>
      <c r="U10431" t="s">
        <v>57145</v>
      </c>
      <c r="W10431" t="s">
        <v>45234</v>
      </c>
      <c r="X10431" t="s">
        <v>46579</v>
      </c>
    </row>
    <row r="10432" spans="1:24">
      <c r="A10432">
        <f>HYPERLINK("https://www.philgeps.gov.ph/GEPSNONPILOT/Tender/SplashBidNoticeAbstractUI.aspx?menuIndex=3&amp;refID=7050180&amp;Result=3","7050180")</f>
        <v>0</v>
      </c>
      <c r="B10432" t="s">
        <v>68</v>
      </c>
      <c r="C10432" t="s">
        <v>13408</v>
      </c>
      <c r="D10432" t="s">
        <v>18815</v>
      </c>
      <c r="E10432" t="s">
        <v>19000</v>
      </c>
      <c r="F10432" t="s">
        <v>32664</v>
      </c>
      <c r="G10432" t="s">
        <v>32672</v>
      </c>
      <c r="H10432" t="s">
        <v>12635</v>
      </c>
      <c r="I10432" t="s">
        <v>11464</v>
      </c>
      <c r="J10432" t="s">
        <v>39020</v>
      </c>
      <c r="K10432" t="s">
        <v>42283</v>
      </c>
      <c r="M10432" t="s">
        <v>42631</v>
      </c>
      <c r="N10432" t="s">
        <v>46569</v>
      </c>
      <c r="O10432" t="s">
        <v>46570</v>
      </c>
      <c r="P10432">
        <v>0</v>
      </c>
      <c r="Q10432">
        <v>3</v>
      </c>
      <c r="R10432" t="s">
        <v>46578</v>
      </c>
      <c r="S10432" t="s">
        <v>46874</v>
      </c>
      <c r="T10432" t="s">
        <v>48212</v>
      </c>
      <c r="U10432" t="s">
        <v>57136</v>
      </c>
      <c r="V10432" t="s">
        <v>62735</v>
      </c>
      <c r="W10432" t="s">
        <v>42631</v>
      </c>
      <c r="X10432" t="s">
        <v>46579</v>
      </c>
    </row>
    <row r="10433" spans="1:24">
      <c r="A10433">
        <f>HYPERLINK("https://www.philgeps.gov.ph/GEPSNONPILOT/Tender/SplashBidNoticeAbstractUI.aspx?menuIndex=3&amp;refID=7050199&amp;Result=3","7050199")</f>
        <v>0</v>
      </c>
      <c r="B10433" t="s">
        <v>2834</v>
      </c>
      <c r="C10433" t="s">
        <v>13409</v>
      </c>
      <c r="D10433" t="s">
        <v>18839</v>
      </c>
      <c r="E10433" t="s">
        <v>27933</v>
      </c>
      <c r="F10433" t="s">
        <v>32664</v>
      </c>
      <c r="G10433" t="s">
        <v>32671</v>
      </c>
      <c r="H10433" t="s">
        <v>12635</v>
      </c>
      <c r="I10433" t="s">
        <v>6168</v>
      </c>
      <c r="J10433" t="s">
        <v>39028</v>
      </c>
      <c r="K10433" t="s">
        <v>42281</v>
      </c>
      <c r="M10433" t="s">
        <v>45679</v>
      </c>
      <c r="N10433" t="s">
        <v>46569</v>
      </c>
      <c r="O10433" t="s">
        <v>46570</v>
      </c>
      <c r="P10433">
        <v>0</v>
      </c>
      <c r="Q10433">
        <v>2</v>
      </c>
      <c r="R10433" t="s">
        <v>46578</v>
      </c>
      <c r="S10433" t="s">
        <v>46874</v>
      </c>
      <c r="T10433" t="s">
        <v>48316</v>
      </c>
      <c r="U10433" t="s">
        <v>57147</v>
      </c>
      <c r="W10433" t="s">
        <v>45679</v>
      </c>
      <c r="X10433" t="s">
        <v>46579</v>
      </c>
    </row>
    <row r="10434" spans="1:24">
      <c r="A10434">
        <f>HYPERLINK("https://www.philgeps.gov.ph/GEPSNONPILOT/Tender/SplashBidNoticeAbstractUI.aspx?menuIndex=3&amp;refID=7050198&amp;Result=3","7050198")</f>
        <v>0</v>
      </c>
      <c r="B10434" t="s">
        <v>1385</v>
      </c>
      <c r="C10434" t="s">
        <v>13410</v>
      </c>
      <c r="D10434" t="s">
        <v>18827</v>
      </c>
      <c r="E10434" t="s">
        <v>27934</v>
      </c>
      <c r="F10434" t="s">
        <v>32664</v>
      </c>
      <c r="G10434" t="s">
        <v>32671</v>
      </c>
      <c r="H10434" t="s">
        <v>12635</v>
      </c>
      <c r="I10434" t="s">
        <v>4439</v>
      </c>
      <c r="J10434" t="s">
        <v>39029</v>
      </c>
      <c r="K10434" t="s">
        <v>42284</v>
      </c>
      <c r="L10434" t="s">
        <v>1385</v>
      </c>
      <c r="M10434" t="s">
        <v>44040</v>
      </c>
      <c r="N10434" t="s">
        <v>46569</v>
      </c>
      <c r="O10434" t="s">
        <v>46570</v>
      </c>
      <c r="P10434">
        <v>0</v>
      </c>
      <c r="Q10434">
        <v>0</v>
      </c>
      <c r="R10434" t="s">
        <v>46578</v>
      </c>
      <c r="S10434" t="s">
        <v>46874</v>
      </c>
      <c r="T10434" t="s">
        <v>48244</v>
      </c>
      <c r="U10434" t="s">
        <v>57148</v>
      </c>
      <c r="W10434" t="s">
        <v>44040</v>
      </c>
      <c r="X10434" t="s">
        <v>46579</v>
      </c>
    </row>
    <row r="10435" spans="1:24">
      <c r="A10435">
        <f>HYPERLINK("https://www.philgeps.gov.ph/GEPSNONPILOT/Tender/SplashBidNoticeAbstractUI.aspx?menuIndex=3&amp;refID=7050068&amp;Result=3","7050068")</f>
        <v>0</v>
      </c>
      <c r="B10435" t="s">
        <v>133</v>
      </c>
      <c r="C10435" t="s">
        <v>13411</v>
      </c>
      <c r="D10435" t="s">
        <v>18832</v>
      </c>
      <c r="E10435" t="s">
        <v>27935</v>
      </c>
      <c r="F10435" t="s">
        <v>32664</v>
      </c>
      <c r="G10435" t="s">
        <v>32672</v>
      </c>
      <c r="H10435" t="s">
        <v>12635</v>
      </c>
      <c r="I10435" t="s">
        <v>11464</v>
      </c>
      <c r="J10435" t="s">
        <v>33142</v>
      </c>
      <c r="K10435" t="s">
        <v>42311</v>
      </c>
      <c r="M10435" t="s">
        <v>42697</v>
      </c>
      <c r="N10435" t="s">
        <v>46569</v>
      </c>
      <c r="O10435" t="s">
        <v>46570</v>
      </c>
      <c r="P10435">
        <v>0</v>
      </c>
      <c r="Q10435">
        <v>8</v>
      </c>
      <c r="R10435" t="s">
        <v>46578</v>
      </c>
      <c r="S10435" t="s">
        <v>46874</v>
      </c>
      <c r="T10435" t="s">
        <v>48349</v>
      </c>
      <c r="U10435" t="s">
        <v>57149</v>
      </c>
      <c r="W10435" t="s">
        <v>42697</v>
      </c>
      <c r="X10435" t="s">
        <v>46579</v>
      </c>
    </row>
    <row r="10436" spans="1:24">
      <c r="A10436">
        <f>HYPERLINK("https://www.philgeps.gov.ph/GEPSNONPILOT/Tender/SplashBidNoticeAbstractUI.aspx?menuIndex=3&amp;refID=7050164&amp;Result=3","7050164")</f>
        <v>0</v>
      </c>
      <c r="B10436" t="s">
        <v>133</v>
      </c>
      <c r="C10436" t="s">
        <v>13412</v>
      </c>
      <c r="D10436" t="s">
        <v>18832</v>
      </c>
      <c r="E10436" t="s">
        <v>27936</v>
      </c>
      <c r="F10436" t="s">
        <v>32664</v>
      </c>
      <c r="G10436" t="s">
        <v>32672</v>
      </c>
      <c r="H10436" t="s">
        <v>12635</v>
      </c>
      <c r="I10436" t="s">
        <v>8797</v>
      </c>
      <c r="J10436" t="s">
        <v>39030</v>
      </c>
      <c r="K10436" t="s">
        <v>42305</v>
      </c>
      <c r="M10436" t="s">
        <v>42697</v>
      </c>
      <c r="N10436" t="s">
        <v>46569</v>
      </c>
      <c r="O10436" t="s">
        <v>46570</v>
      </c>
      <c r="P10436">
        <v>0</v>
      </c>
      <c r="Q10436">
        <v>1</v>
      </c>
      <c r="R10436" t="s">
        <v>46578</v>
      </c>
      <c r="S10436" t="s">
        <v>46874</v>
      </c>
      <c r="T10436" t="s">
        <v>48349</v>
      </c>
      <c r="U10436" t="s">
        <v>57150</v>
      </c>
      <c r="W10436" t="s">
        <v>42697</v>
      </c>
      <c r="X10436" t="s">
        <v>46579</v>
      </c>
    </row>
    <row r="10437" spans="1:24">
      <c r="A10437">
        <f>HYPERLINK("https://www.philgeps.gov.ph/GEPSNONPILOT/Tender/SplashBidNoticeAbstractUI.aspx?menuIndex=3&amp;refID=7050172&amp;Result=3","7050172")</f>
        <v>0</v>
      </c>
      <c r="B10437" t="s">
        <v>1385</v>
      </c>
      <c r="C10437" t="s">
        <v>13413</v>
      </c>
      <c r="D10437" t="s">
        <v>18827</v>
      </c>
      <c r="E10437" t="s">
        <v>27937</v>
      </c>
      <c r="F10437" t="s">
        <v>32664</v>
      </c>
      <c r="G10437" t="s">
        <v>32671</v>
      </c>
      <c r="H10437" t="s">
        <v>12635</v>
      </c>
      <c r="I10437" t="s">
        <v>4439</v>
      </c>
      <c r="J10437" t="s">
        <v>39031</v>
      </c>
      <c r="K10437" t="s">
        <v>42284</v>
      </c>
      <c r="L10437" t="s">
        <v>1385</v>
      </c>
      <c r="M10437" t="s">
        <v>44040</v>
      </c>
      <c r="N10437" t="s">
        <v>46569</v>
      </c>
      <c r="O10437" t="s">
        <v>46570</v>
      </c>
      <c r="P10437">
        <v>0</v>
      </c>
      <c r="Q10437">
        <v>2</v>
      </c>
      <c r="R10437" t="s">
        <v>46578</v>
      </c>
      <c r="S10437" t="s">
        <v>46874</v>
      </c>
      <c r="T10437" t="s">
        <v>48244</v>
      </c>
      <c r="U10437" t="s">
        <v>57148</v>
      </c>
      <c r="W10437" t="s">
        <v>44040</v>
      </c>
      <c r="X10437" t="s">
        <v>46579</v>
      </c>
    </row>
    <row r="10438" spans="1:24">
      <c r="A10438">
        <f>HYPERLINK("https://www.philgeps.gov.ph/GEPSNONPILOT/Tender/SplashBidNoticeAbstractUI.aspx?menuIndex=3&amp;refID=7050165&amp;Result=3","7050165")</f>
        <v>0</v>
      </c>
      <c r="B10438" t="s">
        <v>2857</v>
      </c>
      <c r="C10438" t="s">
        <v>13414</v>
      </c>
      <c r="D10438" t="s">
        <v>18799</v>
      </c>
      <c r="E10438" t="s">
        <v>27938</v>
      </c>
      <c r="F10438" t="s">
        <v>32664</v>
      </c>
      <c r="G10438" t="s">
        <v>32672</v>
      </c>
      <c r="H10438" t="s">
        <v>12635</v>
      </c>
      <c r="I10438" t="s">
        <v>11464</v>
      </c>
      <c r="J10438" t="s">
        <v>33632</v>
      </c>
      <c r="K10438" t="s">
        <v>42281</v>
      </c>
      <c r="M10438" t="s">
        <v>45705</v>
      </c>
      <c r="N10438" t="s">
        <v>46569</v>
      </c>
      <c r="O10438" t="s">
        <v>46570</v>
      </c>
      <c r="P10438">
        <v>0</v>
      </c>
      <c r="Q10438">
        <v>2</v>
      </c>
      <c r="R10438" t="s">
        <v>46578</v>
      </c>
      <c r="S10438" t="s">
        <v>46874</v>
      </c>
      <c r="T10438" t="s">
        <v>48328</v>
      </c>
      <c r="U10438" t="s">
        <v>57151</v>
      </c>
      <c r="W10438" t="s">
        <v>45705</v>
      </c>
      <c r="X10438" t="s">
        <v>46579</v>
      </c>
    </row>
    <row r="10439" spans="1:24">
      <c r="A10439">
        <f>HYPERLINK("https://www.philgeps.gov.ph/GEPSNONPILOT/Tender/SplashBidNoticeAbstractUI.aspx?menuIndex=3&amp;refID=7050060&amp;Result=3","7050060")</f>
        <v>0</v>
      </c>
      <c r="B10439" t="s">
        <v>218</v>
      </c>
      <c r="C10439" t="s">
        <v>13415</v>
      </c>
      <c r="D10439" t="s">
        <v>18792</v>
      </c>
      <c r="E10439" t="s">
        <v>21598</v>
      </c>
      <c r="F10439" t="s">
        <v>32664</v>
      </c>
      <c r="G10439" t="s">
        <v>32672</v>
      </c>
      <c r="H10439" t="s">
        <v>12635</v>
      </c>
      <c r="I10439" t="s">
        <v>32729</v>
      </c>
      <c r="J10439" t="s">
        <v>39032</v>
      </c>
      <c r="K10439" t="s">
        <v>42298</v>
      </c>
      <c r="M10439" t="s">
        <v>42782</v>
      </c>
      <c r="N10439" t="s">
        <v>46569</v>
      </c>
      <c r="O10439" t="s">
        <v>46570</v>
      </c>
      <c r="P10439">
        <v>0</v>
      </c>
      <c r="Q10439">
        <v>4</v>
      </c>
      <c r="R10439" t="s">
        <v>46578</v>
      </c>
      <c r="S10439" t="s">
        <v>46874</v>
      </c>
      <c r="T10439" t="s">
        <v>48580</v>
      </c>
      <c r="U10439" t="s">
        <v>57152</v>
      </c>
      <c r="W10439" t="s">
        <v>42782</v>
      </c>
      <c r="X10439" t="s">
        <v>46579</v>
      </c>
    </row>
    <row r="10440" spans="1:24">
      <c r="A10440">
        <f>HYPERLINK("https://www.philgeps.gov.ph/GEPSNONPILOT/Tender/SplashBidNoticeAbstractUI.aspx?menuIndex=3&amp;refID=7050155&amp;Result=3","7050155")</f>
        <v>0</v>
      </c>
      <c r="B10440" t="s">
        <v>2103</v>
      </c>
      <c r="C10440" t="s">
        <v>13416</v>
      </c>
      <c r="D10440" t="s">
        <v>18826</v>
      </c>
      <c r="E10440" t="s">
        <v>27939</v>
      </c>
      <c r="F10440" t="s">
        <v>32665</v>
      </c>
      <c r="G10440" t="s">
        <v>32671</v>
      </c>
      <c r="H10440" t="s">
        <v>12635</v>
      </c>
      <c r="I10440" t="s">
        <v>32729</v>
      </c>
      <c r="J10440" t="s">
        <v>39033</v>
      </c>
      <c r="K10440" t="s">
        <v>42289</v>
      </c>
      <c r="M10440" t="s">
        <v>44858</v>
      </c>
      <c r="N10440" t="s">
        <v>46569</v>
      </c>
      <c r="O10440" t="s">
        <v>46570</v>
      </c>
      <c r="P10440">
        <v>0</v>
      </c>
      <c r="Q10440">
        <v>10</v>
      </c>
      <c r="R10440" t="s">
        <v>46578</v>
      </c>
      <c r="S10440" t="s">
        <v>46874</v>
      </c>
      <c r="T10440" t="s">
        <v>48316</v>
      </c>
      <c r="U10440" t="s">
        <v>57153</v>
      </c>
      <c r="W10440" t="s">
        <v>44858</v>
      </c>
      <c r="X10440" t="s">
        <v>46579</v>
      </c>
    </row>
    <row r="10441" spans="1:24">
      <c r="A10441">
        <f>HYPERLINK("https://www.philgeps.gov.ph/GEPSNONPILOT/Tender/SplashBidNoticeAbstractUI.aspx?menuIndex=3&amp;refID=7049909&amp;Result=3","7049909")</f>
        <v>0</v>
      </c>
      <c r="B10441" t="s">
        <v>2858</v>
      </c>
      <c r="C10441" t="s">
        <v>13417</v>
      </c>
      <c r="D10441" t="s">
        <v>18812</v>
      </c>
      <c r="E10441" t="s">
        <v>24408</v>
      </c>
      <c r="F10441" t="s">
        <v>32664</v>
      </c>
      <c r="G10441" t="s">
        <v>32672</v>
      </c>
      <c r="H10441" t="s">
        <v>12635</v>
      </c>
      <c r="I10441" t="s">
        <v>4439</v>
      </c>
      <c r="J10441" t="s">
        <v>39034</v>
      </c>
      <c r="K10441" t="s">
        <v>42309</v>
      </c>
      <c r="M10441" t="s">
        <v>45706</v>
      </c>
      <c r="N10441" t="s">
        <v>46569</v>
      </c>
      <c r="O10441" t="s">
        <v>46570</v>
      </c>
      <c r="P10441">
        <v>0</v>
      </c>
      <c r="Q10441">
        <v>0</v>
      </c>
      <c r="R10441" t="s">
        <v>46578</v>
      </c>
      <c r="S10441" t="s">
        <v>46874</v>
      </c>
      <c r="T10441" t="s">
        <v>48225</v>
      </c>
      <c r="U10441" t="s">
        <v>57154</v>
      </c>
      <c r="W10441" t="s">
        <v>45706</v>
      </c>
      <c r="X10441" t="s">
        <v>46579</v>
      </c>
    </row>
    <row r="10442" spans="1:24">
      <c r="A10442">
        <f>HYPERLINK("https://www.philgeps.gov.ph/GEPSNONPILOT/Tender/SplashBidNoticeAbstractUI.aspx?menuIndex=3&amp;refID=7050147&amp;Result=3","7050147")</f>
        <v>0</v>
      </c>
      <c r="B10442" t="s">
        <v>253</v>
      </c>
      <c r="C10442" t="s">
        <v>13418</v>
      </c>
      <c r="D10442" t="s">
        <v>18790</v>
      </c>
      <c r="E10442" t="s">
        <v>27940</v>
      </c>
      <c r="F10442" t="s">
        <v>32664</v>
      </c>
      <c r="G10442" t="s">
        <v>32672</v>
      </c>
      <c r="H10442" t="s">
        <v>32683</v>
      </c>
      <c r="I10442" t="s">
        <v>10627</v>
      </c>
      <c r="J10442" t="s">
        <v>37769</v>
      </c>
      <c r="K10442" t="s">
        <v>42283</v>
      </c>
      <c r="M10442" t="s">
        <v>42851</v>
      </c>
      <c r="N10442" t="s">
        <v>46569</v>
      </c>
      <c r="O10442" t="s">
        <v>46570</v>
      </c>
      <c r="P10442">
        <v>0</v>
      </c>
      <c r="Q10442">
        <v>0</v>
      </c>
      <c r="R10442" t="s">
        <v>46578</v>
      </c>
      <c r="S10442" t="s">
        <v>46874</v>
      </c>
      <c r="T10442" t="s">
        <v>48212</v>
      </c>
      <c r="U10442" t="s">
        <v>57155</v>
      </c>
      <c r="W10442" t="s">
        <v>42851</v>
      </c>
      <c r="X10442" t="s">
        <v>46579</v>
      </c>
    </row>
    <row r="10443" spans="1:24">
      <c r="A10443">
        <f>HYPERLINK("https://www.philgeps.gov.ph/GEPSNONPILOT/Tender/SplashBidNoticeAbstractUI.aspx?menuIndex=3&amp;refID=7050144&amp;Result=3","7050144")</f>
        <v>0</v>
      </c>
      <c r="B10443" t="s">
        <v>2859</v>
      </c>
      <c r="C10443" t="s">
        <v>13419</v>
      </c>
      <c r="D10443" t="s">
        <v>18826</v>
      </c>
      <c r="E10443" t="s">
        <v>27941</v>
      </c>
      <c r="F10443" t="s">
        <v>32664</v>
      </c>
      <c r="G10443" t="s">
        <v>32672</v>
      </c>
      <c r="H10443" t="s">
        <v>12635</v>
      </c>
      <c r="I10443" t="s">
        <v>10627</v>
      </c>
      <c r="J10443" t="s">
        <v>39035</v>
      </c>
      <c r="K10443" t="s">
        <v>42285</v>
      </c>
      <c r="M10443" t="s">
        <v>45707</v>
      </c>
      <c r="N10443" t="s">
        <v>46569</v>
      </c>
      <c r="O10443" t="s">
        <v>46570</v>
      </c>
      <c r="P10443">
        <v>0</v>
      </c>
      <c r="Q10443">
        <v>34</v>
      </c>
      <c r="R10443" t="s">
        <v>46578</v>
      </c>
      <c r="S10443" t="s">
        <v>46874</v>
      </c>
      <c r="T10443" t="s">
        <v>48236</v>
      </c>
      <c r="U10443" t="s">
        <v>57156</v>
      </c>
      <c r="W10443" t="s">
        <v>45707</v>
      </c>
      <c r="X10443" t="s">
        <v>46579</v>
      </c>
    </row>
    <row r="10444" spans="1:24">
      <c r="A10444">
        <f>HYPERLINK("https://www.philgeps.gov.ph/GEPSNONPILOT/Tender/SplashBidNoticeAbstractUI.aspx?menuIndex=3&amp;refID=7050139&amp;Result=3","7050139")</f>
        <v>0</v>
      </c>
      <c r="B10444" t="s">
        <v>2852</v>
      </c>
      <c r="C10444" t="s">
        <v>13420</v>
      </c>
      <c r="D10444" t="s">
        <v>18794</v>
      </c>
      <c r="E10444" t="s">
        <v>27942</v>
      </c>
      <c r="F10444" t="s">
        <v>32664</v>
      </c>
      <c r="G10444" t="s">
        <v>32672</v>
      </c>
      <c r="H10444" t="s">
        <v>32683</v>
      </c>
      <c r="I10444" t="s">
        <v>10627</v>
      </c>
      <c r="J10444" t="s">
        <v>39036</v>
      </c>
      <c r="K10444" t="s">
        <v>42296</v>
      </c>
      <c r="M10444" t="s">
        <v>45700</v>
      </c>
      <c r="N10444" t="s">
        <v>46569</v>
      </c>
      <c r="O10444" t="s">
        <v>46570</v>
      </c>
      <c r="P10444">
        <v>0</v>
      </c>
      <c r="Q10444">
        <v>2</v>
      </c>
      <c r="R10444" t="s">
        <v>46578</v>
      </c>
      <c r="S10444" t="s">
        <v>46874</v>
      </c>
      <c r="T10444" t="s">
        <v>48418</v>
      </c>
      <c r="U10444" t="s">
        <v>57157</v>
      </c>
      <c r="W10444" t="s">
        <v>45700</v>
      </c>
      <c r="X10444" t="s">
        <v>46579</v>
      </c>
    </row>
    <row r="10445" spans="1:24">
      <c r="A10445">
        <f>HYPERLINK("https://www.philgeps.gov.ph/GEPSNONPILOT/Tender/SplashBidNoticeAbstractUI.aspx?menuIndex=3&amp;refID=7050159&amp;Result=3","7050159")</f>
        <v>0</v>
      </c>
      <c r="B10445" t="s">
        <v>253</v>
      </c>
      <c r="C10445" t="s">
        <v>13421</v>
      </c>
      <c r="D10445" t="s">
        <v>18790</v>
      </c>
      <c r="E10445" t="s">
        <v>27943</v>
      </c>
      <c r="F10445" t="s">
        <v>32664</v>
      </c>
      <c r="G10445" t="s">
        <v>32672</v>
      </c>
      <c r="H10445" t="s">
        <v>12635</v>
      </c>
      <c r="I10445" t="s">
        <v>4439</v>
      </c>
      <c r="J10445" t="s">
        <v>39037</v>
      </c>
      <c r="K10445" t="s">
        <v>42283</v>
      </c>
      <c r="M10445" t="s">
        <v>42851</v>
      </c>
      <c r="N10445" t="s">
        <v>46569</v>
      </c>
      <c r="O10445" t="s">
        <v>46570</v>
      </c>
      <c r="P10445">
        <v>0</v>
      </c>
      <c r="Q10445">
        <v>1</v>
      </c>
      <c r="R10445" t="s">
        <v>46578</v>
      </c>
      <c r="S10445" t="s">
        <v>46874</v>
      </c>
      <c r="T10445" t="s">
        <v>48212</v>
      </c>
      <c r="U10445" t="s">
        <v>57158</v>
      </c>
      <c r="W10445" t="s">
        <v>42851</v>
      </c>
      <c r="X10445" t="s">
        <v>46579</v>
      </c>
    </row>
    <row r="10446" spans="1:24">
      <c r="A10446">
        <f>HYPERLINK("https://www.philgeps.gov.ph/GEPSNONPILOT/Tender/SplashBidNoticeAbstractUI.aspx?menuIndex=3&amp;refID=7049916&amp;Result=3","7049916")</f>
        <v>0</v>
      </c>
      <c r="B10446" t="s">
        <v>299</v>
      </c>
      <c r="C10446" t="s">
        <v>4108</v>
      </c>
      <c r="E10446" t="s">
        <v>27152</v>
      </c>
      <c r="F10446" t="s">
        <v>32665</v>
      </c>
      <c r="G10446" t="s">
        <v>32674</v>
      </c>
      <c r="H10446" t="s">
        <v>12635</v>
      </c>
      <c r="I10446" t="s">
        <v>6628</v>
      </c>
      <c r="J10446" t="s">
        <v>33840</v>
      </c>
      <c r="K10446" t="s">
        <v>42283</v>
      </c>
      <c r="M10446" t="s">
        <v>42866</v>
      </c>
      <c r="N10446" t="s">
        <v>46569</v>
      </c>
      <c r="O10446" t="s">
        <v>46570</v>
      </c>
      <c r="P10446">
        <v>0</v>
      </c>
      <c r="Q10446">
        <v>3</v>
      </c>
      <c r="R10446" t="s">
        <v>46578</v>
      </c>
      <c r="S10446" t="s">
        <v>46874</v>
      </c>
      <c r="T10446" t="s">
        <v>48449</v>
      </c>
      <c r="U10446" t="s">
        <v>57159</v>
      </c>
      <c r="W10446" t="s">
        <v>42866</v>
      </c>
      <c r="X10446" t="s">
        <v>46579</v>
      </c>
    </row>
    <row r="10447" spans="1:24">
      <c r="A10447">
        <f>HYPERLINK("https://www.philgeps.gov.ph/GEPSNONPILOT/Tender/SplashBidNoticeAbstractUI.aspx?menuIndex=3&amp;refID=7050179&amp;Result=3","7050179")</f>
        <v>0</v>
      </c>
      <c r="B10447" t="s">
        <v>1204</v>
      </c>
      <c r="C10447" t="s">
        <v>13422</v>
      </c>
      <c r="E10447" t="s">
        <v>27944</v>
      </c>
      <c r="F10447" t="s">
        <v>32664</v>
      </c>
      <c r="G10447" t="s">
        <v>32672</v>
      </c>
      <c r="H10447" t="s">
        <v>12635</v>
      </c>
      <c r="I10447" t="s">
        <v>32708</v>
      </c>
      <c r="J10447" t="s">
        <v>33969</v>
      </c>
      <c r="K10447" t="s">
        <v>42283</v>
      </c>
      <c r="M10447" t="s">
        <v>43841</v>
      </c>
      <c r="N10447" t="s">
        <v>46569</v>
      </c>
      <c r="O10447" t="s">
        <v>46570</v>
      </c>
      <c r="Q10447">
        <v>34</v>
      </c>
      <c r="R10447" t="s">
        <v>46578</v>
      </c>
      <c r="S10447" t="s">
        <v>46891</v>
      </c>
      <c r="T10447" t="s">
        <v>48303</v>
      </c>
      <c r="U10447" t="s">
        <v>52936</v>
      </c>
      <c r="W10447" t="s">
        <v>43841</v>
      </c>
      <c r="X10447" t="s">
        <v>46579</v>
      </c>
    </row>
    <row r="10448" spans="1:24">
      <c r="A10448">
        <f>HYPERLINK("https://www.philgeps.gov.ph/GEPSNONPILOT/Tender/SplashBidNoticeAbstractUI.aspx?menuIndex=3&amp;refID=7050295&amp;Result=3","7050295")</f>
        <v>0</v>
      </c>
      <c r="B10448" t="s">
        <v>243</v>
      </c>
      <c r="C10448" t="s">
        <v>13423</v>
      </c>
      <c r="D10448" t="s">
        <v>18841</v>
      </c>
      <c r="E10448" t="s">
        <v>27945</v>
      </c>
      <c r="F10448" t="s">
        <v>32664</v>
      </c>
      <c r="G10448" t="s">
        <v>32672</v>
      </c>
      <c r="H10448" t="s">
        <v>32683</v>
      </c>
      <c r="I10448" t="s">
        <v>10627</v>
      </c>
      <c r="J10448" t="s">
        <v>39038</v>
      </c>
      <c r="K10448" t="s">
        <v>42290</v>
      </c>
      <c r="L10448" t="s">
        <v>243</v>
      </c>
      <c r="M10448" t="s">
        <v>42808</v>
      </c>
      <c r="N10448" t="s">
        <v>46569</v>
      </c>
      <c r="O10448" t="s">
        <v>46570</v>
      </c>
      <c r="P10448">
        <v>0</v>
      </c>
      <c r="Q10448">
        <v>0</v>
      </c>
      <c r="R10448" t="s">
        <v>46578</v>
      </c>
      <c r="S10448" t="s">
        <v>46874</v>
      </c>
      <c r="T10448" t="s">
        <v>48452</v>
      </c>
      <c r="U10448" t="s">
        <v>57160</v>
      </c>
      <c r="V10448" t="s">
        <v>61763</v>
      </c>
      <c r="W10448" t="s">
        <v>42808</v>
      </c>
      <c r="X10448" t="s">
        <v>46579</v>
      </c>
    </row>
    <row r="10449" spans="1:24">
      <c r="A10449">
        <f>HYPERLINK("https://www.philgeps.gov.ph/GEPSNONPILOT/Tender/SplashBidNoticeAbstractUI.aspx?menuIndex=3&amp;refID=7050291&amp;Result=3","7050291")</f>
        <v>0</v>
      </c>
      <c r="B10449" t="s">
        <v>2860</v>
      </c>
      <c r="C10449" t="s">
        <v>13424</v>
      </c>
      <c r="D10449" t="s">
        <v>18809</v>
      </c>
      <c r="E10449" t="s">
        <v>19146</v>
      </c>
      <c r="F10449" t="s">
        <v>32664</v>
      </c>
      <c r="G10449" t="s">
        <v>32672</v>
      </c>
      <c r="H10449" t="s">
        <v>12635</v>
      </c>
      <c r="I10449" t="s">
        <v>11464</v>
      </c>
      <c r="J10449" t="s">
        <v>33724</v>
      </c>
      <c r="K10449" t="s">
        <v>42298</v>
      </c>
      <c r="M10449" t="s">
        <v>45708</v>
      </c>
      <c r="N10449" t="s">
        <v>46569</v>
      </c>
      <c r="O10449" t="s">
        <v>46570</v>
      </c>
      <c r="P10449">
        <v>0</v>
      </c>
      <c r="Q10449">
        <v>0</v>
      </c>
      <c r="R10449" t="s">
        <v>46578</v>
      </c>
      <c r="S10449" t="s">
        <v>46874</v>
      </c>
      <c r="T10449" t="s">
        <v>48219</v>
      </c>
      <c r="U10449" t="s">
        <v>57161</v>
      </c>
      <c r="W10449" t="s">
        <v>45708</v>
      </c>
      <c r="X10449" t="s">
        <v>46579</v>
      </c>
    </row>
    <row r="10450" spans="1:24">
      <c r="A10450">
        <f>HYPERLINK("https://www.philgeps.gov.ph/GEPSNONPILOT/Tender/SplashBidNoticeAbstractUI.aspx?menuIndex=3&amp;refID=7050151&amp;Result=3","7050151")</f>
        <v>0</v>
      </c>
      <c r="B10450" t="s">
        <v>1385</v>
      </c>
      <c r="C10450" t="s">
        <v>13425</v>
      </c>
      <c r="D10450" t="s">
        <v>18827</v>
      </c>
      <c r="E10450" t="s">
        <v>27946</v>
      </c>
      <c r="F10450" t="s">
        <v>32664</v>
      </c>
      <c r="G10450" t="s">
        <v>32671</v>
      </c>
      <c r="H10450" t="s">
        <v>12635</v>
      </c>
      <c r="I10450" t="s">
        <v>4439</v>
      </c>
      <c r="J10450" t="s">
        <v>39039</v>
      </c>
      <c r="K10450" t="s">
        <v>42284</v>
      </c>
      <c r="L10450" t="s">
        <v>1385</v>
      </c>
      <c r="M10450" t="s">
        <v>44040</v>
      </c>
      <c r="N10450" t="s">
        <v>46569</v>
      </c>
      <c r="O10450" t="s">
        <v>46570</v>
      </c>
      <c r="P10450">
        <v>0</v>
      </c>
      <c r="Q10450">
        <v>0</v>
      </c>
      <c r="R10450" t="s">
        <v>46578</v>
      </c>
      <c r="S10450" t="s">
        <v>46874</v>
      </c>
      <c r="T10450" t="s">
        <v>48244</v>
      </c>
      <c r="U10450" t="s">
        <v>57148</v>
      </c>
      <c r="W10450" t="s">
        <v>44040</v>
      </c>
      <c r="X10450" t="s">
        <v>46579</v>
      </c>
    </row>
    <row r="10451" spans="1:24">
      <c r="A10451">
        <f>HYPERLINK("https://www.philgeps.gov.ph/GEPSNONPILOT/Tender/SplashBidNoticeAbstractUI.aspx?menuIndex=3&amp;refID=7050138&amp;Result=3","7050138")</f>
        <v>0</v>
      </c>
      <c r="B10451" t="s">
        <v>253</v>
      </c>
      <c r="C10451" t="s">
        <v>13426</v>
      </c>
      <c r="D10451" t="s">
        <v>18790</v>
      </c>
      <c r="E10451" t="s">
        <v>27947</v>
      </c>
      <c r="F10451" t="s">
        <v>32664</v>
      </c>
      <c r="G10451" t="s">
        <v>32672</v>
      </c>
      <c r="H10451" t="s">
        <v>32683</v>
      </c>
      <c r="I10451" t="s">
        <v>10627</v>
      </c>
      <c r="J10451" t="s">
        <v>39040</v>
      </c>
      <c r="K10451" t="s">
        <v>42283</v>
      </c>
      <c r="M10451" t="s">
        <v>42851</v>
      </c>
      <c r="N10451" t="s">
        <v>46569</v>
      </c>
      <c r="O10451" t="s">
        <v>46570</v>
      </c>
      <c r="P10451">
        <v>0</v>
      </c>
      <c r="Q10451">
        <v>0</v>
      </c>
      <c r="R10451" t="s">
        <v>46578</v>
      </c>
      <c r="S10451" t="s">
        <v>46874</v>
      </c>
      <c r="T10451" t="s">
        <v>48212</v>
      </c>
      <c r="U10451" t="s">
        <v>57162</v>
      </c>
      <c r="W10451" t="s">
        <v>42851</v>
      </c>
      <c r="X10451" t="s">
        <v>46579</v>
      </c>
    </row>
    <row r="10452" spans="1:24">
      <c r="A10452">
        <f>HYPERLINK("https://www.philgeps.gov.ph/GEPSNONPILOT/Tender/SplashBidNoticeAbstractUI.aspx?menuIndex=3&amp;refID=7050275&amp;Result=3","7050275")</f>
        <v>0</v>
      </c>
      <c r="B10452" t="s">
        <v>579</v>
      </c>
      <c r="C10452" t="s">
        <v>13427</v>
      </c>
      <c r="E10452" t="s">
        <v>23387</v>
      </c>
      <c r="F10452" t="s">
        <v>32664</v>
      </c>
      <c r="G10452" t="s">
        <v>32672</v>
      </c>
      <c r="H10452" t="s">
        <v>12635</v>
      </c>
      <c r="I10452" t="s">
        <v>32685</v>
      </c>
      <c r="J10452" t="s">
        <v>33657</v>
      </c>
      <c r="K10452" t="s">
        <v>42283</v>
      </c>
      <c r="M10452" t="s">
        <v>43159</v>
      </c>
      <c r="N10452" t="s">
        <v>46569</v>
      </c>
      <c r="O10452" t="s">
        <v>46570</v>
      </c>
      <c r="P10452">
        <v>0</v>
      </c>
      <c r="Q10452">
        <v>0</v>
      </c>
      <c r="R10452" t="s">
        <v>46578</v>
      </c>
      <c r="S10452" t="s">
        <v>46874</v>
      </c>
      <c r="T10452" t="s">
        <v>48660</v>
      </c>
      <c r="U10452" t="s">
        <v>57163</v>
      </c>
      <c r="W10452" t="s">
        <v>43159</v>
      </c>
      <c r="X10452" t="s">
        <v>46579</v>
      </c>
    </row>
    <row r="10453" spans="1:24">
      <c r="A10453">
        <f>HYPERLINK("https://www.philgeps.gov.ph/GEPSNONPILOT/Tender/SplashBidNoticeAbstractUI.aspx?menuIndex=3&amp;refID=7050271&amp;Result=3","7050271")</f>
        <v>0</v>
      </c>
      <c r="B10453" t="s">
        <v>2622</v>
      </c>
      <c r="C10453" t="s">
        <v>13428</v>
      </c>
      <c r="D10453" t="s">
        <v>18789</v>
      </c>
      <c r="E10453" t="s">
        <v>27948</v>
      </c>
      <c r="F10453" t="s">
        <v>32664</v>
      </c>
      <c r="G10453" t="s">
        <v>32671</v>
      </c>
      <c r="H10453" t="s">
        <v>12635</v>
      </c>
      <c r="I10453" t="s">
        <v>6553</v>
      </c>
      <c r="J10453" t="s">
        <v>33128</v>
      </c>
      <c r="K10453" t="s">
        <v>42281</v>
      </c>
      <c r="M10453" t="s">
        <v>45440</v>
      </c>
      <c r="N10453" t="s">
        <v>46569</v>
      </c>
      <c r="O10453" t="s">
        <v>46570</v>
      </c>
      <c r="P10453">
        <v>0</v>
      </c>
      <c r="Q10453">
        <v>1</v>
      </c>
      <c r="R10453" t="s">
        <v>46578</v>
      </c>
      <c r="S10453" t="s">
        <v>46874</v>
      </c>
      <c r="T10453" t="s">
        <v>48449</v>
      </c>
      <c r="U10453" t="s">
        <v>57164</v>
      </c>
      <c r="V10453" t="s">
        <v>62559</v>
      </c>
      <c r="W10453" t="s">
        <v>45440</v>
      </c>
      <c r="X10453" t="s">
        <v>46579</v>
      </c>
    </row>
    <row r="10454" spans="1:24">
      <c r="A10454">
        <f>HYPERLINK("https://www.philgeps.gov.ph/GEPSNONPILOT/Tender/SplashBidNoticeAbstractUI.aspx?menuIndex=3&amp;refID=7047663&amp;Result=3","7047663")</f>
        <v>0</v>
      </c>
      <c r="B10454" t="s">
        <v>133</v>
      </c>
      <c r="C10454" t="s">
        <v>13429</v>
      </c>
      <c r="D10454" t="s">
        <v>18832</v>
      </c>
      <c r="E10454" t="s">
        <v>27949</v>
      </c>
      <c r="F10454" t="s">
        <v>32664</v>
      </c>
      <c r="G10454" t="s">
        <v>32672</v>
      </c>
      <c r="H10454" t="s">
        <v>12635</v>
      </c>
      <c r="I10454" t="s">
        <v>32702</v>
      </c>
      <c r="J10454" t="s">
        <v>39041</v>
      </c>
      <c r="K10454" t="s">
        <v>42298</v>
      </c>
      <c r="M10454" t="s">
        <v>42697</v>
      </c>
      <c r="N10454" t="s">
        <v>46569</v>
      </c>
      <c r="O10454" t="s">
        <v>46570</v>
      </c>
      <c r="P10454">
        <v>0</v>
      </c>
      <c r="Q10454">
        <v>4</v>
      </c>
      <c r="R10454" t="s">
        <v>46578</v>
      </c>
      <c r="S10454" t="s">
        <v>46874</v>
      </c>
      <c r="T10454" t="s">
        <v>48293</v>
      </c>
      <c r="U10454" t="s">
        <v>57165</v>
      </c>
      <c r="W10454" t="s">
        <v>42697</v>
      </c>
      <c r="X10454" t="s">
        <v>46580</v>
      </c>
    </row>
    <row r="10455" spans="1:24">
      <c r="A10455">
        <f>HYPERLINK("https://www.philgeps.gov.ph/GEPSNONPILOT/Tender/SplashBidNoticeAbstractUI.aspx?menuIndex=3&amp;refID=7050269&amp;Result=3","7050269")</f>
        <v>0</v>
      </c>
      <c r="B10455" t="s">
        <v>135</v>
      </c>
      <c r="C10455" t="s">
        <v>13430</v>
      </c>
      <c r="D10455" t="s">
        <v>18807</v>
      </c>
      <c r="E10455" t="s">
        <v>27950</v>
      </c>
      <c r="F10455" t="s">
        <v>32664</v>
      </c>
      <c r="G10455" t="s">
        <v>32672</v>
      </c>
      <c r="H10455" t="s">
        <v>12635</v>
      </c>
      <c r="I10455" t="s">
        <v>4439</v>
      </c>
      <c r="J10455" t="s">
        <v>39042</v>
      </c>
      <c r="K10455" t="s">
        <v>42281</v>
      </c>
      <c r="M10455" t="s">
        <v>42852</v>
      </c>
      <c r="N10455" t="s">
        <v>46569</v>
      </c>
      <c r="O10455" t="s">
        <v>46570</v>
      </c>
      <c r="P10455">
        <v>0</v>
      </c>
      <c r="Q10455">
        <v>1</v>
      </c>
      <c r="R10455" t="s">
        <v>46578</v>
      </c>
      <c r="S10455" t="s">
        <v>46874</v>
      </c>
      <c r="T10455" t="s">
        <v>48394</v>
      </c>
      <c r="U10455" t="s">
        <v>49052</v>
      </c>
      <c r="V10455" t="s">
        <v>61650</v>
      </c>
      <c r="W10455" t="s">
        <v>42852</v>
      </c>
      <c r="X10455" t="s">
        <v>46579</v>
      </c>
    </row>
    <row r="10456" spans="1:24">
      <c r="A10456">
        <f>HYPERLINK("https://www.philgeps.gov.ph/GEPSNONPILOT/Tender/SplashBidNoticeAbstractUI.aspx?menuIndex=3&amp;refID=7050257&amp;Result=3","7050257")</f>
        <v>0</v>
      </c>
      <c r="B10456" t="s">
        <v>2861</v>
      </c>
      <c r="C10456" t="s">
        <v>10728</v>
      </c>
      <c r="D10456" t="s">
        <v>18821</v>
      </c>
      <c r="E10456" t="s">
        <v>27951</v>
      </c>
      <c r="F10456" t="s">
        <v>32664</v>
      </c>
      <c r="G10456" t="s">
        <v>32672</v>
      </c>
      <c r="H10456" t="s">
        <v>32683</v>
      </c>
      <c r="I10456" t="s">
        <v>4439</v>
      </c>
      <c r="J10456" t="s">
        <v>39043</v>
      </c>
      <c r="K10456" t="s">
        <v>42281</v>
      </c>
      <c r="M10456" t="s">
        <v>45709</v>
      </c>
      <c r="N10456" t="s">
        <v>46569</v>
      </c>
      <c r="O10456" t="s">
        <v>46570</v>
      </c>
      <c r="P10456">
        <v>0</v>
      </c>
      <c r="Q10456">
        <v>0</v>
      </c>
      <c r="R10456" t="s">
        <v>46578</v>
      </c>
      <c r="S10456" t="s">
        <v>46874</v>
      </c>
      <c r="T10456" t="s">
        <v>48290</v>
      </c>
      <c r="U10456" t="s">
        <v>57166</v>
      </c>
      <c r="W10456" t="s">
        <v>45709</v>
      </c>
      <c r="X10456" t="s">
        <v>46579</v>
      </c>
    </row>
    <row r="10457" spans="1:24">
      <c r="A10457">
        <f>HYPERLINK("https://www.philgeps.gov.ph/GEPSNONPILOT/Tender/SplashBidNoticeAbstractUI.aspx?menuIndex=3&amp;refID=7050293&amp;Result=3","7050293")</f>
        <v>0</v>
      </c>
      <c r="B10457" t="s">
        <v>2862</v>
      </c>
      <c r="C10457" t="s">
        <v>13431</v>
      </c>
      <c r="D10457" t="s">
        <v>18785</v>
      </c>
      <c r="E10457" t="s">
        <v>19380</v>
      </c>
      <c r="F10457" t="s">
        <v>32664</v>
      </c>
      <c r="G10457" t="s">
        <v>32672</v>
      </c>
      <c r="H10457" t="s">
        <v>12635</v>
      </c>
      <c r="I10457" t="s">
        <v>9597</v>
      </c>
      <c r="J10457" t="s">
        <v>33657</v>
      </c>
      <c r="K10457" t="s">
        <v>42295</v>
      </c>
      <c r="M10457" t="s">
        <v>45710</v>
      </c>
      <c r="N10457" t="s">
        <v>46569</v>
      </c>
      <c r="O10457" t="s">
        <v>46570</v>
      </c>
      <c r="P10457">
        <v>0</v>
      </c>
      <c r="Q10457">
        <v>2</v>
      </c>
      <c r="R10457" t="s">
        <v>46578</v>
      </c>
      <c r="S10457" t="s">
        <v>46874</v>
      </c>
      <c r="T10457" t="s">
        <v>48254</v>
      </c>
      <c r="U10457" t="s">
        <v>57167</v>
      </c>
      <c r="W10457" t="s">
        <v>45710</v>
      </c>
      <c r="X10457" t="s">
        <v>46579</v>
      </c>
    </row>
    <row r="10458" spans="1:24">
      <c r="A10458">
        <f>HYPERLINK("https://www.philgeps.gov.ph/GEPSNONPILOT/Tender/SplashBidNoticeAbstractUI.aspx?menuIndex=3&amp;refID=7050286&amp;Result=3","7050286")</f>
        <v>0</v>
      </c>
      <c r="B10458" t="s">
        <v>2863</v>
      </c>
      <c r="C10458" t="s">
        <v>13432</v>
      </c>
      <c r="D10458" t="s">
        <v>18807</v>
      </c>
      <c r="E10458" t="s">
        <v>27952</v>
      </c>
      <c r="F10458" t="s">
        <v>32664</v>
      </c>
      <c r="G10458" t="s">
        <v>32672</v>
      </c>
      <c r="H10458" t="s">
        <v>12635</v>
      </c>
      <c r="I10458" t="s">
        <v>11464</v>
      </c>
      <c r="J10458" t="s">
        <v>32830</v>
      </c>
      <c r="K10458" t="s">
        <v>42297</v>
      </c>
      <c r="M10458" t="s">
        <v>45711</v>
      </c>
      <c r="N10458" t="s">
        <v>46569</v>
      </c>
      <c r="O10458" t="s">
        <v>46570</v>
      </c>
      <c r="P10458">
        <v>0</v>
      </c>
      <c r="Q10458">
        <v>1</v>
      </c>
      <c r="R10458" t="s">
        <v>46578</v>
      </c>
      <c r="S10458" t="s">
        <v>46874</v>
      </c>
      <c r="T10458" t="s">
        <v>48453</v>
      </c>
      <c r="U10458" t="s">
        <v>57168</v>
      </c>
      <c r="W10458" t="s">
        <v>45711</v>
      </c>
      <c r="X10458" t="s">
        <v>46579</v>
      </c>
    </row>
    <row r="10459" spans="1:24">
      <c r="A10459">
        <f>HYPERLINK("https://www.philgeps.gov.ph/GEPSNONPILOT/Tender/SplashBidNoticeAbstractUI.aspx?menuIndex=3&amp;refID=7050259&amp;Result=3","7050259")</f>
        <v>0</v>
      </c>
      <c r="B10459" t="s">
        <v>2864</v>
      </c>
      <c r="C10459" t="s">
        <v>13433</v>
      </c>
      <c r="D10459" t="s">
        <v>18831</v>
      </c>
      <c r="E10459" t="s">
        <v>27953</v>
      </c>
      <c r="F10459" t="s">
        <v>32664</v>
      </c>
      <c r="G10459" t="s">
        <v>32672</v>
      </c>
      <c r="H10459" t="s">
        <v>32681</v>
      </c>
      <c r="I10459" t="s">
        <v>32681</v>
      </c>
      <c r="J10459" t="s">
        <v>39044</v>
      </c>
      <c r="K10459" t="s">
        <v>42285</v>
      </c>
      <c r="M10459" t="s">
        <v>45712</v>
      </c>
      <c r="N10459" t="s">
        <v>46569</v>
      </c>
      <c r="O10459" t="s">
        <v>46570</v>
      </c>
      <c r="P10459">
        <v>0</v>
      </c>
      <c r="Q10459">
        <v>0</v>
      </c>
      <c r="R10459" t="s">
        <v>46578</v>
      </c>
      <c r="S10459" t="s">
        <v>46874</v>
      </c>
      <c r="T10459" t="s">
        <v>48448</v>
      </c>
      <c r="U10459" t="s">
        <v>57169</v>
      </c>
      <c r="W10459" t="s">
        <v>45712</v>
      </c>
      <c r="X10459" t="s">
        <v>46579</v>
      </c>
    </row>
    <row r="10460" spans="1:24">
      <c r="A10460">
        <f>HYPERLINK("https://www.philgeps.gov.ph/GEPSNONPILOT/Tender/SplashBidNoticeAbstractUI.aspx?menuIndex=3&amp;refID=7050255&amp;Result=3","7050255")</f>
        <v>0</v>
      </c>
      <c r="B10460" t="s">
        <v>2028</v>
      </c>
      <c r="C10460" t="s">
        <v>13434</v>
      </c>
      <c r="D10460" t="s">
        <v>18807</v>
      </c>
      <c r="E10460" t="s">
        <v>27954</v>
      </c>
      <c r="F10460" t="s">
        <v>32664</v>
      </c>
      <c r="G10460" t="s">
        <v>32672</v>
      </c>
      <c r="H10460" t="s">
        <v>12635</v>
      </c>
      <c r="I10460" t="s">
        <v>11464</v>
      </c>
      <c r="J10460" t="s">
        <v>39045</v>
      </c>
      <c r="K10460" t="s">
        <v>42281</v>
      </c>
      <c r="M10460" t="s">
        <v>44770</v>
      </c>
      <c r="N10460" t="s">
        <v>46569</v>
      </c>
      <c r="O10460" t="s">
        <v>46570</v>
      </c>
      <c r="P10460">
        <v>0</v>
      </c>
      <c r="Q10460">
        <v>4</v>
      </c>
      <c r="R10460" t="s">
        <v>46578</v>
      </c>
      <c r="S10460" t="s">
        <v>46874</v>
      </c>
      <c r="T10460" t="s">
        <v>48313</v>
      </c>
      <c r="U10460" t="s">
        <v>57170</v>
      </c>
      <c r="W10460" t="s">
        <v>44770</v>
      </c>
      <c r="X10460" t="s">
        <v>46579</v>
      </c>
    </row>
    <row r="10461" spans="1:24">
      <c r="A10461">
        <f>HYPERLINK("https://www.philgeps.gov.ph/GEPSNONPILOT/Tender/SplashBidNoticeAbstractUI.aspx?menuIndex=3&amp;refID=7050278&amp;Result=3","7050278")</f>
        <v>0</v>
      </c>
      <c r="B10461" t="s">
        <v>135</v>
      </c>
      <c r="C10461" t="s">
        <v>13435</v>
      </c>
      <c r="D10461" t="s">
        <v>18807</v>
      </c>
      <c r="E10461" t="s">
        <v>27955</v>
      </c>
      <c r="F10461" t="s">
        <v>32664</v>
      </c>
      <c r="G10461" t="s">
        <v>32672</v>
      </c>
      <c r="H10461" t="s">
        <v>12635</v>
      </c>
      <c r="I10461" t="s">
        <v>32736</v>
      </c>
      <c r="J10461" t="s">
        <v>33001</v>
      </c>
      <c r="K10461" t="s">
        <v>42281</v>
      </c>
      <c r="M10461" t="s">
        <v>42852</v>
      </c>
      <c r="N10461" t="s">
        <v>46569</v>
      </c>
      <c r="O10461" t="s">
        <v>46570</v>
      </c>
      <c r="P10461">
        <v>0</v>
      </c>
      <c r="Q10461">
        <v>3</v>
      </c>
      <c r="R10461" t="s">
        <v>46578</v>
      </c>
      <c r="S10461" t="s">
        <v>46874</v>
      </c>
      <c r="T10461" t="s">
        <v>48394</v>
      </c>
      <c r="U10461" t="s">
        <v>49052</v>
      </c>
      <c r="V10461" t="s">
        <v>61650</v>
      </c>
      <c r="W10461" t="s">
        <v>42852</v>
      </c>
      <c r="X10461" t="s">
        <v>46579</v>
      </c>
    </row>
    <row r="10462" spans="1:24">
      <c r="A10462">
        <f>HYPERLINK("https://www.philgeps.gov.ph/GEPSNONPILOT/Tender/SplashBidNoticeAbstractUI.aspx?menuIndex=3&amp;refID=7050235&amp;Result=3","7050235")</f>
        <v>0</v>
      </c>
      <c r="B10462" t="s">
        <v>1385</v>
      </c>
      <c r="C10462" t="s">
        <v>13436</v>
      </c>
      <c r="D10462" t="s">
        <v>18827</v>
      </c>
      <c r="E10462" t="s">
        <v>27956</v>
      </c>
      <c r="F10462" t="s">
        <v>32664</v>
      </c>
      <c r="G10462" t="s">
        <v>32671</v>
      </c>
      <c r="H10462" t="s">
        <v>12635</v>
      </c>
      <c r="I10462" t="s">
        <v>4439</v>
      </c>
      <c r="J10462" t="s">
        <v>39046</v>
      </c>
      <c r="K10462" t="s">
        <v>42297</v>
      </c>
      <c r="L10462" t="s">
        <v>1385</v>
      </c>
      <c r="M10462" t="s">
        <v>44040</v>
      </c>
      <c r="N10462" t="s">
        <v>46569</v>
      </c>
      <c r="O10462" t="s">
        <v>46570</v>
      </c>
      <c r="P10462">
        <v>0</v>
      </c>
      <c r="Q10462">
        <v>2</v>
      </c>
      <c r="R10462" t="s">
        <v>46578</v>
      </c>
      <c r="S10462" t="s">
        <v>46874</v>
      </c>
      <c r="T10462" t="s">
        <v>48244</v>
      </c>
      <c r="U10462" t="s">
        <v>57148</v>
      </c>
      <c r="W10462" t="s">
        <v>44040</v>
      </c>
      <c r="X10462" t="s">
        <v>46579</v>
      </c>
    </row>
    <row r="10463" spans="1:24">
      <c r="A10463">
        <f>HYPERLINK("https://www.philgeps.gov.ph/GEPSNONPILOT/Tender/SplashBidNoticeAbstractUI.aspx?menuIndex=3&amp;refID=7050230&amp;Result=3","7050230")</f>
        <v>0</v>
      </c>
      <c r="B10463" t="s">
        <v>1385</v>
      </c>
      <c r="C10463" t="s">
        <v>13437</v>
      </c>
      <c r="D10463" t="s">
        <v>18827</v>
      </c>
      <c r="E10463" t="s">
        <v>27957</v>
      </c>
      <c r="F10463" t="s">
        <v>32664</v>
      </c>
      <c r="G10463" t="s">
        <v>32671</v>
      </c>
      <c r="H10463" t="s">
        <v>12635</v>
      </c>
      <c r="I10463" t="s">
        <v>4439</v>
      </c>
      <c r="J10463" t="s">
        <v>39047</v>
      </c>
      <c r="K10463" t="s">
        <v>42284</v>
      </c>
      <c r="L10463" t="s">
        <v>1385</v>
      </c>
      <c r="M10463" t="s">
        <v>44040</v>
      </c>
      <c r="N10463" t="s">
        <v>46569</v>
      </c>
      <c r="O10463" t="s">
        <v>46570</v>
      </c>
      <c r="P10463">
        <v>0</v>
      </c>
      <c r="Q10463">
        <v>1</v>
      </c>
      <c r="R10463" t="s">
        <v>46578</v>
      </c>
      <c r="S10463" t="s">
        <v>46874</v>
      </c>
      <c r="T10463" t="s">
        <v>48244</v>
      </c>
      <c r="U10463" t="s">
        <v>57148</v>
      </c>
      <c r="W10463" t="s">
        <v>44040</v>
      </c>
      <c r="X10463" t="s">
        <v>46579</v>
      </c>
    </row>
    <row r="10464" spans="1:24">
      <c r="A10464">
        <f>HYPERLINK("https://www.philgeps.gov.ph/GEPSNONPILOT/Tender/SplashBidNoticeAbstractUI.aspx?menuIndex=3&amp;refID=7050220&amp;Result=3","7050220")</f>
        <v>0</v>
      </c>
      <c r="B10464" t="s">
        <v>2302</v>
      </c>
      <c r="C10464" t="s">
        <v>13438</v>
      </c>
      <c r="D10464" t="s">
        <v>18801</v>
      </c>
      <c r="E10464" t="s">
        <v>24448</v>
      </c>
      <c r="F10464" t="s">
        <v>32664</v>
      </c>
      <c r="G10464" t="s">
        <v>32674</v>
      </c>
      <c r="H10464" t="s">
        <v>32683</v>
      </c>
      <c r="I10464" t="s">
        <v>10627</v>
      </c>
      <c r="J10464" t="s">
        <v>39048</v>
      </c>
      <c r="K10464" t="s">
        <v>42284</v>
      </c>
      <c r="M10464" t="s">
        <v>45074</v>
      </c>
      <c r="N10464" t="s">
        <v>46569</v>
      </c>
      <c r="O10464" t="s">
        <v>46570</v>
      </c>
      <c r="P10464">
        <v>0</v>
      </c>
      <c r="Q10464">
        <v>0</v>
      </c>
      <c r="R10464" t="s">
        <v>46578</v>
      </c>
      <c r="S10464" t="s">
        <v>46874</v>
      </c>
      <c r="T10464" t="s">
        <v>48376</v>
      </c>
      <c r="U10464" t="s">
        <v>57171</v>
      </c>
      <c r="W10464" t="s">
        <v>45074</v>
      </c>
      <c r="X10464" t="s">
        <v>46579</v>
      </c>
    </row>
    <row r="10465" spans="1:24">
      <c r="A10465">
        <f>HYPERLINK("https://www.philgeps.gov.ph/GEPSNONPILOT/Tender/SplashBidNoticeAbstractUI.aspx?menuIndex=3&amp;refID=7050238&amp;Result=3","7050238")</f>
        <v>0</v>
      </c>
      <c r="B10465" t="s">
        <v>2302</v>
      </c>
      <c r="C10465" t="s">
        <v>13439</v>
      </c>
      <c r="D10465" t="s">
        <v>18801</v>
      </c>
      <c r="E10465" t="s">
        <v>21612</v>
      </c>
      <c r="F10465" t="s">
        <v>32664</v>
      </c>
      <c r="G10465" t="s">
        <v>32674</v>
      </c>
      <c r="H10465" t="s">
        <v>32683</v>
      </c>
      <c r="I10465" t="s">
        <v>10627</v>
      </c>
      <c r="J10465" t="s">
        <v>39048</v>
      </c>
      <c r="K10465" t="s">
        <v>42284</v>
      </c>
      <c r="M10465" t="s">
        <v>45074</v>
      </c>
      <c r="N10465" t="s">
        <v>46569</v>
      </c>
      <c r="O10465" t="s">
        <v>46570</v>
      </c>
      <c r="P10465">
        <v>0</v>
      </c>
      <c r="Q10465">
        <v>0</v>
      </c>
      <c r="R10465" t="s">
        <v>46578</v>
      </c>
      <c r="S10465" t="s">
        <v>46874</v>
      </c>
      <c r="T10465" t="s">
        <v>48376</v>
      </c>
      <c r="U10465" t="s">
        <v>57172</v>
      </c>
      <c r="W10465" t="s">
        <v>45074</v>
      </c>
      <c r="X10465" t="s">
        <v>46579</v>
      </c>
    </row>
    <row r="10466" spans="1:24">
      <c r="A10466">
        <f>HYPERLINK("https://www.philgeps.gov.ph/GEPSNONPILOT/Tender/SplashBidNoticeAbstractUI.aspx?menuIndex=3&amp;refID=7050127&amp;Result=3","7050127")</f>
        <v>0</v>
      </c>
      <c r="B10466" t="s">
        <v>1204</v>
      </c>
      <c r="C10466" t="s">
        <v>13440</v>
      </c>
      <c r="E10466" t="s">
        <v>27958</v>
      </c>
      <c r="F10466" t="s">
        <v>32664</v>
      </c>
      <c r="G10466" t="s">
        <v>32672</v>
      </c>
      <c r="H10466" t="s">
        <v>12635</v>
      </c>
      <c r="I10466" t="s">
        <v>32708</v>
      </c>
      <c r="J10466" t="s">
        <v>35119</v>
      </c>
      <c r="K10466" t="s">
        <v>42283</v>
      </c>
      <c r="M10466" t="s">
        <v>43841</v>
      </c>
      <c r="N10466" t="s">
        <v>46569</v>
      </c>
      <c r="O10466" t="s">
        <v>46570</v>
      </c>
      <c r="Q10466">
        <v>42</v>
      </c>
      <c r="R10466" t="s">
        <v>46578</v>
      </c>
      <c r="S10466" t="s">
        <v>46892</v>
      </c>
      <c r="T10466" t="s">
        <v>48303</v>
      </c>
      <c r="U10466" t="s">
        <v>52936</v>
      </c>
      <c r="W10466" t="s">
        <v>43841</v>
      </c>
      <c r="X10466" t="s">
        <v>46579</v>
      </c>
    </row>
    <row r="10467" spans="1:24">
      <c r="A10467">
        <f>HYPERLINK("https://www.philgeps.gov.ph/GEPSNONPILOT/Tender/SplashBidNoticeAbstractUI.aspx?menuIndex=3&amp;refID=7050229&amp;Result=3","7050229")</f>
        <v>0</v>
      </c>
      <c r="B10467" t="s">
        <v>2446</v>
      </c>
      <c r="C10467" t="s">
        <v>13441</v>
      </c>
      <c r="D10467" t="s">
        <v>18838</v>
      </c>
      <c r="E10467" t="s">
        <v>27959</v>
      </c>
      <c r="F10467" t="s">
        <v>32664</v>
      </c>
      <c r="G10467" t="s">
        <v>32672</v>
      </c>
      <c r="H10467" t="s">
        <v>12635</v>
      </c>
      <c r="I10467" t="s">
        <v>6223</v>
      </c>
      <c r="J10467" t="s">
        <v>39049</v>
      </c>
      <c r="K10467" t="s">
        <v>42283</v>
      </c>
      <c r="M10467" t="s">
        <v>45239</v>
      </c>
      <c r="N10467" t="s">
        <v>46569</v>
      </c>
      <c r="O10467" t="s">
        <v>46570</v>
      </c>
      <c r="Q10467">
        <v>10</v>
      </c>
      <c r="R10467" t="s">
        <v>46578</v>
      </c>
      <c r="S10467" t="s">
        <v>46893</v>
      </c>
      <c r="T10467" t="s">
        <v>48637</v>
      </c>
      <c r="U10467" t="s">
        <v>57173</v>
      </c>
      <c r="V10467" t="s">
        <v>62736</v>
      </c>
      <c r="W10467" t="s">
        <v>45239</v>
      </c>
      <c r="X10467" t="s">
        <v>46579</v>
      </c>
    </row>
    <row r="10468" spans="1:24">
      <c r="A10468">
        <f>HYPERLINK("https://www.philgeps.gov.ph/GEPSNONPILOT/Tender/SplashBidNoticeAbstractUI.aspx?menuIndex=3&amp;refID=7050117&amp;Result=3","7050117")</f>
        <v>0</v>
      </c>
      <c r="B10468" t="s">
        <v>2865</v>
      </c>
      <c r="C10468" t="s">
        <v>13442</v>
      </c>
      <c r="D10468" t="s">
        <v>18821</v>
      </c>
      <c r="E10468" t="s">
        <v>27960</v>
      </c>
      <c r="F10468" t="s">
        <v>32664</v>
      </c>
      <c r="G10468" t="s">
        <v>32672</v>
      </c>
      <c r="H10468" t="s">
        <v>32683</v>
      </c>
      <c r="I10468" t="s">
        <v>10627</v>
      </c>
      <c r="J10468" t="s">
        <v>39050</v>
      </c>
      <c r="K10468" t="s">
        <v>42508</v>
      </c>
      <c r="M10468" t="s">
        <v>45713</v>
      </c>
      <c r="N10468" t="s">
        <v>46569</v>
      </c>
      <c r="O10468" t="s">
        <v>46570</v>
      </c>
      <c r="P10468">
        <v>0</v>
      </c>
      <c r="Q10468">
        <v>4</v>
      </c>
      <c r="R10468" t="s">
        <v>46578</v>
      </c>
      <c r="S10468" t="s">
        <v>46874</v>
      </c>
      <c r="T10468" t="s">
        <v>48248</v>
      </c>
      <c r="U10468" t="s">
        <v>57174</v>
      </c>
      <c r="V10468" t="s">
        <v>62737</v>
      </c>
      <c r="W10468" t="s">
        <v>45713</v>
      </c>
      <c r="X10468" t="s">
        <v>46579</v>
      </c>
    </row>
    <row r="10469" spans="1:24">
      <c r="A10469">
        <f>HYPERLINK("https://www.philgeps.gov.ph/GEPSNONPILOT/Tender/SplashBidNoticeAbstractUI.aspx?menuIndex=3&amp;refID=7050204&amp;Result=3","7050204")</f>
        <v>0</v>
      </c>
      <c r="B10469" t="s">
        <v>1204</v>
      </c>
      <c r="C10469" t="s">
        <v>13443</v>
      </c>
      <c r="E10469" t="s">
        <v>27961</v>
      </c>
      <c r="F10469" t="s">
        <v>32664</v>
      </c>
      <c r="G10469" t="s">
        <v>32672</v>
      </c>
      <c r="H10469" t="s">
        <v>12635</v>
      </c>
      <c r="I10469" t="s">
        <v>32708</v>
      </c>
      <c r="J10469" t="s">
        <v>33150</v>
      </c>
      <c r="K10469" t="s">
        <v>42283</v>
      </c>
      <c r="M10469" t="s">
        <v>43841</v>
      </c>
      <c r="N10469" t="s">
        <v>46569</v>
      </c>
      <c r="O10469" t="s">
        <v>46570</v>
      </c>
      <c r="Q10469">
        <v>30</v>
      </c>
      <c r="R10469" t="s">
        <v>46578</v>
      </c>
      <c r="S10469" t="s">
        <v>46894</v>
      </c>
      <c r="T10469" t="s">
        <v>48303</v>
      </c>
      <c r="U10469" t="s">
        <v>52936</v>
      </c>
      <c r="W10469" t="s">
        <v>43841</v>
      </c>
      <c r="X10469" t="s">
        <v>46579</v>
      </c>
    </row>
    <row r="10470" spans="1:24">
      <c r="A10470">
        <f>HYPERLINK("https://www.philgeps.gov.ph/GEPSNONPILOT/Tender/SplashBidNoticeAbstractUI.aspx?menuIndex=3&amp;refID=7050049&amp;Result=3","7050049")</f>
        <v>0</v>
      </c>
      <c r="B10470" t="s">
        <v>2854</v>
      </c>
      <c r="C10470" t="s">
        <v>13444</v>
      </c>
      <c r="D10470" t="s">
        <v>18784</v>
      </c>
      <c r="E10470" t="s">
        <v>27962</v>
      </c>
      <c r="F10470" t="s">
        <v>32664</v>
      </c>
      <c r="G10470" t="s">
        <v>32672</v>
      </c>
      <c r="H10470" t="s">
        <v>12635</v>
      </c>
      <c r="I10470" t="s">
        <v>6223</v>
      </c>
      <c r="J10470" t="s">
        <v>32853</v>
      </c>
      <c r="K10470" t="s">
        <v>42284</v>
      </c>
      <c r="M10470" t="s">
        <v>45702</v>
      </c>
      <c r="N10470" t="s">
        <v>46569</v>
      </c>
      <c r="O10470" t="s">
        <v>46570</v>
      </c>
      <c r="P10470">
        <v>0</v>
      </c>
      <c r="Q10470">
        <v>0</v>
      </c>
      <c r="R10470" t="s">
        <v>46578</v>
      </c>
      <c r="S10470" t="s">
        <v>46874</v>
      </c>
      <c r="T10470" t="s">
        <v>48290</v>
      </c>
      <c r="U10470" t="s">
        <v>57175</v>
      </c>
      <c r="W10470" t="s">
        <v>45702</v>
      </c>
      <c r="X10470" t="s">
        <v>46579</v>
      </c>
    </row>
    <row r="10471" spans="1:24">
      <c r="A10471">
        <f>HYPERLINK("https://www.philgeps.gov.ph/GEPSNONPILOT/Tender/SplashBidNoticeAbstractUI.aspx?menuIndex=3&amp;refID=7050232&amp;Result=3","7050232")</f>
        <v>0</v>
      </c>
      <c r="B10471" t="s">
        <v>1467</v>
      </c>
      <c r="C10471" t="s">
        <v>13445</v>
      </c>
      <c r="D10471" t="s">
        <v>18809</v>
      </c>
      <c r="E10471" t="s">
        <v>27963</v>
      </c>
      <c r="F10471" t="s">
        <v>32664</v>
      </c>
      <c r="G10471" t="s">
        <v>32672</v>
      </c>
      <c r="H10471" t="s">
        <v>32683</v>
      </c>
      <c r="I10471" t="s">
        <v>10627</v>
      </c>
      <c r="J10471" t="s">
        <v>39051</v>
      </c>
      <c r="K10471" t="s">
        <v>42368</v>
      </c>
      <c r="M10471" t="s">
        <v>45714</v>
      </c>
      <c r="N10471" t="s">
        <v>46569</v>
      </c>
      <c r="O10471" t="s">
        <v>46570</v>
      </c>
      <c r="P10471">
        <v>0</v>
      </c>
      <c r="Q10471">
        <v>4</v>
      </c>
      <c r="R10471" t="s">
        <v>46578</v>
      </c>
      <c r="S10471" t="s">
        <v>46874</v>
      </c>
      <c r="T10471" t="s">
        <v>48216</v>
      </c>
      <c r="U10471" t="s">
        <v>57176</v>
      </c>
      <c r="W10471" t="s">
        <v>45714</v>
      </c>
      <c r="X10471" t="s">
        <v>46579</v>
      </c>
    </row>
    <row r="10472" spans="1:24">
      <c r="A10472">
        <f>HYPERLINK("https://www.philgeps.gov.ph/GEPSNONPILOT/Tender/SplashBidNoticeAbstractUI.aspx?menuIndex=3&amp;refID=7050041&amp;Result=3","7050041")</f>
        <v>0</v>
      </c>
      <c r="B10472" t="s">
        <v>2446</v>
      </c>
      <c r="C10472" t="s">
        <v>13446</v>
      </c>
      <c r="D10472" t="s">
        <v>18838</v>
      </c>
      <c r="E10472" t="s">
        <v>27964</v>
      </c>
      <c r="F10472" t="s">
        <v>32664</v>
      </c>
      <c r="G10472" t="s">
        <v>32672</v>
      </c>
      <c r="H10472" t="s">
        <v>12635</v>
      </c>
      <c r="I10472" t="s">
        <v>32704</v>
      </c>
      <c r="J10472" t="s">
        <v>39052</v>
      </c>
      <c r="K10472" t="s">
        <v>42283</v>
      </c>
      <c r="M10472" t="s">
        <v>45239</v>
      </c>
      <c r="N10472" t="s">
        <v>46569</v>
      </c>
      <c r="O10472" t="s">
        <v>46570</v>
      </c>
      <c r="Q10472">
        <v>11</v>
      </c>
      <c r="R10472" t="s">
        <v>46578</v>
      </c>
      <c r="S10472" t="s">
        <v>46895</v>
      </c>
      <c r="T10472" t="s">
        <v>48659</v>
      </c>
      <c r="U10472" t="s">
        <v>57177</v>
      </c>
      <c r="V10472" t="s">
        <v>62738</v>
      </c>
      <c r="W10472" t="s">
        <v>45239</v>
      </c>
      <c r="X10472" t="s">
        <v>46579</v>
      </c>
    </row>
    <row r="10473" spans="1:24">
      <c r="A10473">
        <f>HYPERLINK("https://www.philgeps.gov.ph/GEPSNONPILOT/Tender/SplashBidNoticeAbstractUI.aspx?menuIndex=3&amp;refID=7050039&amp;Result=3","7050039")</f>
        <v>0</v>
      </c>
      <c r="B10473" t="s">
        <v>804</v>
      </c>
      <c r="C10473" t="s">
        <v>13447</v>
      </c>
      <c r="D10473" t="s">
        <v>18790</v>
      </c>
      <c r="E10473" t="s">
        <v>27965</v>
      </c>
      <c r="F10473" t="s">
        <v>32664</v>
      </c>
      <c r="G10473" t="s">
        <v>32672</v>
      </c>
      <c r="H10473" t="s">
        <v>32683</v>
      </c>
      <c r="I10473" t="s">
        <v>10627</v>
      </c>
      <c r="J10473" t="s">
        <v>39053</v>
      </c>
      <c r="K10473" t="s">
        <v>42312</v>
      </c>
      <c r="M10473" t="s">
        <v>43396</v>
      </c>
      <c r="N10473" t="s">
        <v>46569</v>
      </c>
      <c r="O10473" t="s">
        <v>46570</v>
      </c>
      <c r="P10473">
        <v>0</v>
      </c>
      <c r="Q10473">
        <v>0</v>
      </c>
      <c r="R10473" t="s">
        <v>46578</v>
      </c>
      <c r="S10473" t="s">
        <v>46874</v>
      </c>
      <c r="T10473" t="s">
        <v>48580</v>
      </c>
      <c r="U10473" t="s">
        <v>57178</v>
      </c>
      <c r="W10473" t="s">
        <v>43396</v>
      </c>
      <c r="X10473" t="s">
        <v>46579</v>
      </c>
    </row>
    <row r="10474" spans="1:24">
      <c r="A10474">
        <f>HYPERLINK("https://www.philgeps.gov.ph/GEPSNONPILOT/Tender/SplashBidNoticeAbstractUI.aspx?menuIndex=3&amp;refID=7050035&amp;Result=3","7050035")</f>
        <v>0</v>
      </c>
      <c r="B10474" t="s">
        <v>1781</v>
      </c>
      <c r="C10474" t="s">
        <v>13448</v>
      </c>
      <c r="D10474" t="s">
        <v>18807</v>
      </c>
      <c r="E10474" t="s">
        <v>27966</v>
      </c>
      <c r="F10474" t="s">
        <v>32664</v>
      </c>
      <c r="G10474" t="s">
        <v>32672</v>
      </c>
      <c r="H10474" t="s">
        <v>12635</v>
      </c>
      <c r="I10474" t="s">
        <v>32699</v>
      </c>
      <c r="J10474" t="s">
        <v>32898</v>
      </c>
      <c r="K10474" t="s">
        <v>42281</v>
      </c>
      <c r="M10474" t="s">
        <v>44483</v>
      </c>
      <c r="N10474" t="s">
        <v>46569</v>
      </c>
      <c r="O10474" t="s">
        <v>46570</v>
      </c>
      <c r="P10474">
        <v>0</v>
      </c>
      <c r="Q10474">
        <v>1</v>
      </c>
      <c r="R10474" t="s">
        <v>46578</v>
      </c>
      <c r="S10474" t="s">
        <v>46874</v>
      </c>
      <c r="T10474" t="s">
        <v>48316</v>
      </c>
      <c r="U10474" t="s">
        <v>57179</v>
      </c>
      <c r="V10474" t="s">
        <v>62739</v>
      </c>
      <c r="W10474" t="s">
        <v>44483</v>
      </c>
      <c r="X10474" t="s">
        <v>46579</v>
      </c>
    </row>
    <row r="10475" spans="1:24">
      <c r="A10475">
        <f>HYPERLINK("https://www.philgeps.gov.ph/GEPSNONPILOT/Tender/SplashBidNoticeAbstractUI.aspx?menuIndex=3&amp;refID=7050017&amp;Result=3","7050017")</f>
        <v>0</v>
      </c>
      <c r="B10475" t="s">
        <v>1211</v>
      </c>
      <c r="C10475" t="s">
        <v>13449</v>
      </c>
      <c r="D10475" t="s">
        <v>18784</v>
      </c>
      <c r="E10475" t="s">
        <v>27967</v>
      </c>
      <c r="F10475" t="s">
        <v>32664</v>
      </c>
      <c r="G10475" t="s">
        <v>32672</v>
      </c>
      <c r="H10475" t="s">
        <v>12635</v>
      </c>
      <c r="I10475" t="s">
        <v>11464</v>
      </c>
      <c r="J10475" t="s">
        <v>34087</v>
      </c>
      <c r="K10475" t="s">
        <v>42281</v>
      </c>
      <c r="M10475" t="s">
        <v>43849</v>
      </c>
      <c r="N10475" t="s">
        <v>46569</v>
      </c>
      <c r="O10475" t="s">
        <v>46570</v>
      </c>
      <c r="P10475">
        <v>0</v>
      </c>
      <c r="Q10475">
        <v>9</v>
      </c>
      <c r="R10475" t="s">
        <v>46578</v>
      </c>
      <c r="S10475" t="s">
        <v>46874</v>
      </c>
      <c r="T10475" t="s">
        <v>48468</v>
      </c>
      <c r="U10475" t="s">
        <v>57180</v>
      </c>
      <c r="W10475" t="s">
        <v>43849</v>
      </c>
      <c r="X10475" t="s">
        <v>46579</v>
      </c>
    </row>
    <row r="10476" spans="1:24">
      <c r="A10476">
        <f>HYPERLINK("https://www.philgeps.gov.ph/GEPSNONPILOT/Tender/SplashBidNoticeAbstractUI.aspx?menuIndex=3&amp;refID=7050398&amp;Result=3","7050398")</f>
        <v>0</v>
      </c>
      <c r="B10476" t="s">
        <v>2866</v>
      </c>
      <c r="C10476" t="s">
        <v>13450</v>
      </c>
      <c r="D10476" t="s">
        <v>18788</v>
      </c>
      <c r="E10476" t="s">
        <v>21037</v>
      </c>
      <c r="F10476" t="s">
        <v>32664</v>
      </c>
      <c r="G10476" t="s">
        <v>32672</v>
      </c>
      <c r="H10476" t="s">
        <v>12635</v>
      </c>
      <c r="I10476" t="s">
        <v>4439</v>
      </c>
      <c r="J10476" t="s">
        <v>39054</v>
      </c>
      <c r="K10476" t="s">
        <v>42281</v>
      </c>
      <c r="M10476" t="s">
        <v>45715</v>
      </c>
      <c r="N10476" t="s">
        <v>46569</v>
      </c>
      <c r="O10476" t="s">
        <v>46570</v>
      </c>
      <c r="P10476">
        <v>0</v>
      </c>
      <c r="Q10476">
        <v>1</v>
      </c>
      <c r="R10476" t="s">
        <v>46578</v>
      </c>
      <c r="S10476" t="s">
        <v>46874</v>
      </c>
      <c r="T10476" t="s">
        <v>48273</v>
      </c>
      <c r="U10476" t="s">
        <v>57181</v>
      </c>
      <c r="W10476" t="s">
        <v>45715</v>
      </c>
      <c r="X10476" t="s">
        <v>46579</v>
      </c>
    </row>
    <row r="10477" spans="1:24">
      <c r="A10477">
        <f>HYPERLINK("https://www.philgeps.gov.ph/GEPSNONPILOT/Tender/SplashBidNoticeAbstractUI.aspx?menuIndex=3&amp;refID=7050442&amp;Result=3","7050442")</f>
        <v>0</v>
      </c>
      <c r="B10477" t="s">
        <v>1902</v>
      </c>
      <c r="C10477" t="s">
        <v>13451</v>
      </c>
      <c r="D10477" t="s">
        <v>18838</v>
      </c>
      <c r="E10477" t="s">
        <v>27968</v>
      </c>
      <c r="F10477" t="s">
        <v>32664</v>
      </c>
      <c r="G10477" t="s">
        <v>32672</v>
      </c>
      <c r="H10477" t="s">
        <v>32683</v>
      </c>
      <c r="I10477" t="s">
        <v>10627</v>
      </c>
      <c r="J10477" t="s">
        <v>39055</v>
      </c>
      <c r="K10477" t="s">
        <v>42283</v>
      </c>
      <c r="M10477" t="s">
        <v>44623</v>
      </c>
      <c r="N10477" t="s">
        <v>46569</v>
      </c>
      <c r="O10477" t="s">
        <v>46570</v>
      </c>
      <c r="P10477">
        <v>0</v>
      </c>
      <c r="Q10477">
        <v>53</v>
      </c>
      <c r="R10477" t="s">
        <v>46578</v>
      </c>
      <c r="S10477" t="s">
        <v>46874</v>
      </c>
      <c r="T10477" t="s">
        <v>48453</v>
      </c>
      <c r="U10477" t="s">
        <v>57182</v>
      </c>
      <c r="W10477" t="s">
        <v>44623</v>
      </c>
      <c r="X10477" t="s">
        <v>46579</v>
      </c>
    </row>
    <row r="10478" spans="1:24">
      <c r="A10478">
        <f>HYPERLINK("https://www.philgeps.gov.ph/GEPSNONPILOT/Tender/SplashBidNoticeAbstractUI.aspx?menuIndex=3&amp;refID=7050120&amp;Result=3","7050120")</f>
        <v>0</v>
      </c>
      <c r="B10478" t="s">
        <v>2441</v>
      </c>
      <c r="C10478" t="s">
        <v>13452</v>
      </c>
      <c r="D10478" t="s">
        <v>18810</v>
      </c>
      <c r="E10478" t="s">
        <v>27969</v>
      </c>
      <c r="F10478" t="s">
        <v>32664</v>
      </c>
      <c r="G10478" t="s">
        <v>32672</v>
      </c>
      <c r="H10478" t="s">
        <v>32683</v>
      </c>
      <c r="I10478" t="s">
        <v>10627</v>
      </c>
      <c r="J10478" t="s">
        <v>39056</v>
      </c>
      <c r="K10478" t="s">
        <v>42298</v>
      </c>
      <c r="M10478" t="s">
        <v>45234</v>
      </c>
      <c r="N10478" t="s">
        <v>46569</v>
      </c>
      <c r="O10478" t="s">
        <v>46570</v>
      </c>
      <c r="P10478">
        <v>0</v>
      </c>
      <c r="Q10478">
        <v>0</v>
      </c>
      <c r="R10478" t="s">
        <v>46578</v>
      </c>
      <c r="S10478" t="s">
        <v>46874</v>
      </c>
      <c r="T10478" t="s">
        <v>48213</v>
      </c>
      <c r="U10478" t="s">
        <v>57145</v>
      </c>
      <c r="W10478" t="s">
        <v>45234</v>
      </c>
      <c r="X10478" t="s">
        <v>46579</v>
      </c>
    </row>
    <row r="10479" spans="1:24">
      <c r="A10479">
        <f>HYPERLINK("https://www.philgeps.gov.ph/GEPSNONPILOT/Tender/SplashBidNoticeAbstractUI.aspx?menuIndex=3&amp;refID=7050427&amp;Result=3","7050427")</f>
        <v>0</v>
      </c>
      <c r="B10479" t="s">
        <v>2867</v>
      </c>
      <c r="C10479" t="s">
        <v>13453</v>
      </c>
      <c r="D10479" t="s">
        <v>18831</v>
      </c>
      <c r="E10479" t="s">
        <v>27970</v>
      </c>
      <c r="F10479" t="s">
        <v>32664</v>
      </c>
      <c r="G10479" t="s">
        <v>32672</v>
      </c>
      <c r="H10479" t="s">
        <v>12635</v>
      </c>
      <c r="I10479" t="s">
        <v>4439</v>
      </c>
      <c r="J10479" t="s">
        <v>39057</v>
      </c>
      <c r="K10479" t="s">
        <v>42281</v>
      </c>
      <c r="M10479" t="s">
        <v>45716</v>
      </c>
      <c r="N10479" t="s">
        <v>46569</v>
      </c>
      <c r="O10479" t="s">
        <v>46570</v>
      </c>
      <c r="P10479">
        <v>0</v>
      </c>
      <c r="Q10479">
        <v>2</v>
      </c>
      <c r="R10479" t="s">
        <v>46578</v>
      </c>
      <c r="S10479" t="s">
        <v>46874</v>
      </c>
      <c r="T10479" t="s">
        <v>48302</v>
      </c>
      <c r="U10479" t="s">
        <v>57183</v>
      </c>
      <c r="W10479" t="s">
        <v>45716</v>
      </c>
      <c r="X10479" t="s">
        <v>46579</v>
      </c>
    </row>
    <row r="10480" spans="1:24">
      <c r="A10480">
        <f>HYPERLINK("https://www.philgeps.gov.ph/GEPSNONPILOT/Tender/SplashBidNoticeAbstractUI.aspx?menuIndex=3&amp;refID=7050262&amp;Result=3","7050262")</f>
        <v>0</v>
      </c>
      <c r="B10480" t="s">
        <v>2446</v>
      </c>
      <c r="C10480" t="s">
        <v>13454</v>
      </c>
      <c r="D10480" t="s">
        <v>18838</v>
      </c>
      <c r="E10480" t="s">
        <v>27971</v>
      </c>
      <c r="F10480" t="s">
        <v>32664</v>
      </c>
      <c r="G10480" t="s">
        <v>32672</v>
      </c>
      <c r="H10480" t="s">
        <v>12635</v>
      </c>
      <c r="I10480" t="s">
        <v>32704</v>
      </c>
      <c r="J10480" t="s">
        <v>39058</v>
      </c>
      <c r="K10480" t="s">
        <v>42283</v>
      </c>
      <c r="M10480" t="s">
        <v>45239</v>
      </c>
      <c r="N10480" t="s">
        <v>46569</v>
      </c>
      <c r="O10480" t="s">
        <v>46570</v>
      </c>
      <c r="Q10480">
        <v>18</v>
      </c>
      <c r="R10480" t="s">
        <v>46578</v>
      </c>
      <c r="S10480" t="s">
        <v>46896</v>
      </c>
      <c r="T10480" t="s">
        <v>48659</v>
      </c>
      <c r="U10480" t="s">
        <v>57184</v>
      </c>
      <c r="V10480" t="s">
        <v>62740</v>
      </c>
      <c r="W10480" t="s">
        <v>45239</v>
      </c>
      <c r="X10480" t="s">
        <v>46579</v>
      </c>
    </row>
    <row r="10481" spans="1:24">
      <c r="A10481">
        <f>HYPERLINK("https://www.philgeps.gov.ph/GEPSNONPILOT/Tender/SplashBidNoticeAbstractUI.aspx?menuIndex=3&amp;refID=7050418&amp;Result=3","7050418")</f>
        <v>0</v>
      </c>
      <c r="B10481" t="s">
        <v>2868</v>
      </c>
      <c r="C10481" t="s">
        <v>13455</v>
      </c>
      <c r="D10481" t="s">
        <v>18802</v>
      </c>
      <c r="E10481" t="s">
        <v>19708</v>
      </c>
      <c r="F10481" t="s">
        <v>32664</v>
      </c>
      <c r="G10481" t="s">
        <v>32672</v>
      </c>
      <c r="H10481" t="s">
        <v>12635</v>
      </c>
      <c r="I10481" t="s">
        <v>6168</v>
      </c>
      <c r="J10481" t="s">
        <v>39059</v>
      </c>
      <c r="K10481" t="s">
        <v>42284</v>
      </c>
      <c r="M10481" t="s">
        <v>45717</v>
      </c>
      <c r="N10481" t="s">
        <v>46569</v>
      </c>
      <c r="O10481" t="s">
        <v>46570</v>
      </c>
      <c r="P10481">
        <v>0</v>
      </c>
      <c r="Q10481">
        <v>2</v>
      </c>
      <c r="R10481" t="s">
        <v>46578</v>
      </c>
      <c r="S10481" t="s">
        <v>46874</v>
      </c>
      <c r="T10481" t="s">
        <v>48313</v>
      </c>
      <c r="U10481" t="s">
        <v>57185</v>
      </c>
      <c r="W10481" t="s">
        <v>45717</v>
      </c>
      <c r="X10481" t="s">
        <v>46579</v>
      </c>
    </row>
    <row r="10482" spans="1:24">
      <c r="A10482">
        <f>HYPERLINK("https://www.philgeps.gov.ph/GEPSNONPILOT/Tender/SplashBidNoticeAbstractUI.aspx?menuIndex=3&amp;refID=7050134&amp;Result=3","7050134")</f>
        <v>0</v>
      </c>
      <c r="B10482" t="s">
        <v>1298</v>
      </c>
      <c r="C10482" t="s">
        <v>13387</v>
      </c>
      <c r="D10482" t="s">
        <v>18848</v>
      </c>
      <c r="E10482" t="s">
        <v>27972</v>
      </c>
      <c r="F10482" t="s">
        <v>32664</v>
      </c>
      <c r="G10482" t="s">
        <v>32672</v>
      </c>
      <c r="H10482" t="s">
        <v>12635</v>
      </c>
      <c r="I10482" t="s">
        <v>10627</v>
      </c>
      <c r="J10482" t="s">
        <v>39060</v>
      </c>
      <c r="K10482" t="s">
        <v>42297</v>
      </c>
      <c r="M10482" t="s">
        <v>43942</v>
      </c>
      <c r="N10482" t="s">
        <v>46569</v>
      </c>
      <c r="O10482" t="s">
        <v>46570</v>
      </c>
      <c r="P10482">
        <v>0</v>
      </c>
      <c r="Q10482">
        <v>0</v>
      </c>
      <c r="R10482" t="s">
        <v>46578</v>
      </c>
      <c r="S10482" t="s">
        <v>46874</v>
      </c>
      <c r="T10482" t="s">
        <v>48287</v>
      </c>
      <c r="U10482" t="s">
        <v>57186</v>
      </c>
      <c r="V10482" t="s">
        <v>62643</v>
      </c>
      <c r="W10482" t="s">
        <v>43942</v>
      </c>
      <c r="X10482" t="s">
        <v>46579</v>
      </c>
    </row>
    <row r="10483" spans="1:24">
      <c r="A10483">
        <f>HYPERLINK("https://www.philgeps.gov.ph/GEPSNONPILOT/Tender/SplashBidNoticeAbstractUI.aspx?menuIndex=3&amp;refID=7050402&amp;Result=3","7050402")</f>
        <v>0</v>
      </c>
      <c r="B10483" t="s">
        <v>175</v>
      </c>
      <c r="C10483" t="s">
        <v>13456</v>
      </c>
      <c r="D10483" t="s">
        <v>18827</v>
      </c>
      <c r="E10483" t="s">
        <v>27973</v>
      </c>
      <c r="F10483" t="s">
        <v>32664</v>
      </c>
      <c r="G10483" t="s">
        <v>32671</v>
      </c>
      <c r="H10483" t="s">
        <v>12635</v>
      </c>
      <c r="I10483" t="s">
        <v>7709</v>
      </c>
      <c r="J10483" t="s">
        <v>39061</v>
      </c>
      <c r="K10483" t="s">
        <v>42284</v>
      </c>
      <c r="M10483" t="s">
        <v>44173</v>
      </c>
      <c r="N10483" t="s">
        <v>46569</v>
      </c>
      <c r="O10483" t="s">
        <v>46570</v>
      </c>
      <c r="P10483">
        <v>0</v>
      </c>
      <c r="Q10483">
        <v>0</v>
      </c>
      <c r="R10483" t="s">
        <v>46578</v>
      </c>
      <c r="S10483" t="s">
        <v>46874</v>
      </c>
      <c r="T10483" t="s">
        <v>48449</v>
      </c>
      <c r="U10483" t="s">
        <v>57187</v>
      </c>
      <c r="V10483" t="s">
        <v>61661</v>
      </c>
      <c r="W10483" t="s">
        <v>44173</v>
      </c>
      <c r="X10483" t="s">
        <v>46579</v>
      </c>
    </row>
    <row r="10484" spans="1:24">
      <c r="A10484">
        <f>HYPERLINK("https://www.philgeps.gov.ph/GEPSNONPILOT/Tender/SplashBidNoticeAbstractUI.aspx?menuIndex=3&amp;refID=7050428&amp;Result=3","7050428")</f>
        <v>0</v>
      </c>
      <c r="B10484" t="s">
        <v>2869</v>
      </c>
      <c r="C10484" t="s">
        <v>13457</v>
      </c>
      <c r="D10484" t="s">
        <v>18810</v>
      </c>
      <c r="E10484" t="s">
        <v>27974</v>
      </c>
      <c r="F10484" t="s">
        <v>32664</v>
      </c>
      <c r="G10484" t="s">
        <v>32672</v>
      </c>
      <c r="H10484" t="s">
        <v>32683</v>
      </c>
      <c r="I10484" t="s">
        <v>10627</v>
      </c>
      <c r="J10484" t="s">
        <v>39062</v>
      </c>
      <c r="K10484" t="s">
        <v>42283</v>
      </c>
      <c r="M10484" t="s">
        <v>45718</v>
      </c>
      <c r="N10484" t="s">
        <v>46569</v>
      </c>
      <c r="O10484" t="s">
        <v>46570</v>
      </c>
      <c r="P10484">
        <v>0</v>
      </c>
      <c r="Q10484">
        <v>0</v>
      </c>
      <c r="R10484" t="s">
        <v>46578</v>
      </c>
      <c r="S10484" t="s">
        <v>46874</v>
      </c>
      <c r="T10484" t="s">
        <v>48394</v>
      </c>
      <c r="U10484" t="s">
        <v>57188</v>
      </c>
      <c r="W10484" t="s">
        <v>45718</v>
      </c>
      <c r="X10484" t="s">
        <v>46579</v>
      </c>
    </row>
    <row r="10485" spans="1:24">
      <c r="A10485">
        <f>HYPERLINK("https://www.philgeps.gov.ph/GEPSNONPILOT/Tender/SplashBidNoticeAbstractUI.aspx?menuIndex=3&amp;refID=7050390&amp;Result=3","7050390")</f>
        <v>0</v>
      </c>
      <c r="B10485" t="s">
        <v>133</v>
      </c>
      <c r="C10485" t="s">
        <v>13458</v>
      </c>
      <c r="D10485" t="s">
        <v>18832</v>
      </c>
      <c r="E10485" t="s">
        <v>27975</v>
      </c>
      <c r="F10485" t="s">
        <v>32664</v>
      </c>
      <c r="G10485" t="s">
        <v>32672</v>
      </c>
      <c r="H10485" t="s">
        <v>32683</v>
      </c>
      <c r="I10485" t="s">
        <v>10627</v>
      </c>
      <c r="J10485" t="s">
        <v>39063</v>
      </c>
      <c r="K10485" t="s">
        <v>42298</v>
      </c>
      <c r="M10485" t="s">
        <v>42697</v>
      </c>
      <c r="N10485" t="s">
        <v>46569</v>
      </c>
      <c r="O10485" t="s">
        <v>46570</v>
      </c>
      <c r="P10485">
        <v>0</v>
      </c>
      <c r="Q10485">
        <v>0</v>
      </c>
      <c r="R10485" t="s">
        <v>46578</v>
      </c>
      <c r="S10485" t="s">
        <v>46874</v>
      </c>
      <c r="T10485" t="s">
        <v>48349</v>
      </c>
      <c r="U10485" t="s">
        <v>57189</v>
      </c>
      <c r="W10485" t="s">
        <v>42697</v>
      </c>
      <c r="X10485" t="s">
        <v>46579</v>
      </c>
    </row>
    <row r="10486" spans="1:24">
      <c r="A10486">
        <f>HYPERLINK("https://www.philgeps.gov.ph/GEPSNONPILOT/Tender/SplashBidNoticeAbstractUI.aspx?menuIndex=3&amp;refID=7050380&amp;Result=3","7050380")</f>
        <v>0</v>
      </c>
      <c r="B10486" t="s">
        <v>2863</v>
      </c>
      <c r="C10486" t="s">
        <v>13459</v>
      </c>
      <c r="D10486" t="s">
        <v>18807</v>
      </c>
      <c r="E10486" t="s">
        <v>27976</v>
      </c>
      <c r="F10486" t="s">
        <v>32664</v>
      </c>
      <c r="G10486" t="s">
        <v>32672</v>
      </c>
      <c r="H10486" t="s">
        <v>12635</v>
      </c>
      <c r="I10486" t="s">
        <v>4439</v>
      </c>
      <c r="J10486" t="s">
        <v>33755</v>
      </c>
      <c r="K10486" t="s">
        <v>42297</v>
      </c>
      <c r="M10486" t="s">
        <v>45711</v>
      </c>
      <c r="N10486" t="s">
        <v>46569</v>
      </c>
      <c r="O10486" t="s">
        <v>46570</v>
      </c>
      <c r="P10486">
        <v>0</v>
      </c>
      <c r="Q10486">
        <v>1</v>
      </c>
      <c r="R10486" t="s">
        <v>46578</v>
      </c>
      <c r="S10486" t="s">
        <v>46874</v>
      </c>
      <c r="T10486" t="s">
        <v>48453</v>
      </c>
      <c r="U10486" t="s">
        <v>57190</v>
      </c>
      <c r="W10486" t="s">
        <v>45711</v>
      </c>
      <c r="X10486" t="s">
        <v>46579</v>
      </c>
    </row>
    <row r="10487" spans="1:24">
      <c r="A10487">
        <f>HYPERLINK("https://www.philgeps.gov.ph/GEPSNONPILOT/Tender/SplashBidNoticeAbstractUI.aspx?menuIndex=3&amp;refID=7050366&amp;Result=3","7050366")</f>
        <v>0</v>
      </c>
      <c r="B10487" t="s">
        <v>2870</v>
      </c>
      <c r="C10487" t="s">
        <v>13460</v>
      </c>
      <c r="D10487" t="s">
        <v>18784</v>
      </c>
      <c r="E10487" t="s">
        <v>27977</v>
      </c>
      <c r="F10487" t="s">
        <v>32664</v>
      </c>
      <c r="G10487" t="s">
        <v>32671</v>
      </c>
      <c r="H10487" t="s">
        <v>12635</v>
      </c>
      <c r="I10487" t="s">
        <v>32747</v>
      </c>
      <c r="J10487" t="s">
        <v>33309</v>
      </c>
      <c r="K10487" t="s">
        <v>42330</v>
      </c>
      <c r="M10487" t="s">
        <v>45719</v>
      </c>
      <c r="N10487" t="s">
        <v>46569</v>
      </c>
      <c r="O10487" t="s">
        <v>46570</v>
      </c>
      <c r="P10487">
        <v>0</v>
      </c>
      <c r="Q10487">
        <v>1</v>
      </c>
      <c r="R10487" t="s">
        <v>46578</v>
      </c>
      <c r="S10487" t="s">
        <v>46874</v>
      </c>
      <c r="T10487" t="s">
        <v>48562</v>
      </c>
      <c r="U10487" t="s">
        <v>57191</v>
      </c>
      <c r="W10487" t="s">
        <v>46411</v>
      </c>
      <c r="X10487" t="s">
        <v>46579</v>
      </c>
    </row>
    <row r="10488" spans="1:24">
      <c r="A10488">
        <f>HYPERLINK("https://www.philgeps.gov.ph/GEPSNONPILOT/Tender/SplashBidNoticeAbstractUI.aspx?menuIndex=3&amp;refID=7050121&amp;Result=3","7050121")</f>
        <v>0</v>
      </c>
      <c r="B10488" t="s">
        <v>653</v>
      </c>
      <c r="C10488" t="s">
        <v>13461</v>
      </c>
      <c r="D10488" t="s">
        <v>18840</v>
      </c>
      <c r="E10488" t="s">
        <v>27978</v>
      </c>
      <c r="F10488" t="s">
        <v>32664</v>
      </c>
      <c r="G10488" t="s">
        <v>32672</v>
      </c>
      <c r="H10488" t="s">
        <v>12635</v>
      </c>
      <c r="I10488" t="s">
        <v>9486</v>
      </c>
      <c r="J10488" t="s">
        <v>39064</v>
      </c>
      <c r="K10488" t="s">
        <v>42289</v>
      </c>
      <c r="M10488" t="s">
        <v>43239</v>
      </c>
      <c r="N10488" t="s">
        <v>46569</v>
      </c>
      <c r="O10488" t="s">
        <v>46570</v>
      </c>
      <c r="P10488">
        <v>0</v>
      </c>
      <c r="Q10488">
        <v>4</v>
      </c>
      <c r="R10488" t="s">
        <v>46578</v>
      </c>
      <c r="S10488" t="s">
        <v>46874</v>
      </c>
      <c r="T10488" t="s">
        <v>48349</v>
      </c>
      <c r="U10488" t="s">
        <v>57192</v>
      </c>
      <c r="W10488" t="s">
        <v>43239</v>
      </c>
      <c r="X10488" t="s">
        <v>46579</v>
      </c>
    </row>
    <row r="10489" spans="1:24">
      <c r="A10489">
        <f>HYPERLINK("https://www.philgeps.gov.ph/GEPSNONPILOT/Tender/SplashBidNoticeAbstractUI.aspx?menuIndex=3&amp;refID=7050343&amp;Result=3","7050343")</f>
        <v>0</v>
      </c>
      <c r="B10489" t="s">
        <v>175</v>
      </c>
      <c r="C10489" t="s">
        <v>13462</v>
      </c>
      <c r="D10489" t="s">
        <v>18797</v>
      </c>
      <c r="E10489" t="s">
        <v>27979</v>
      </c>
      <c r="F10489" t="s">
        <v>32664</v>
      </c>
      <c r="G10489" t="s">
        <v>32671</v>
      </c>
      <c r="H10489" t="s">
        <v>12635</v>
      </c>
      <c r="I10489" t="s">
        <v>8730</v>
      </c>
      <c r="J10489" t="s">
        <v>39065</v>
      </c>
      <c r="K10489" t="s">
        <v>42284</v>
      </c>
      <c r="M10489" t="s">
        <v>44173</v>
      </c>
      <c r="N10489" t="s">
        <v>46569</v>
      </c>
      <c r="O10489" t="s">
        <v>46570</v>
      </c>
      <c r="P10489">
        <v>0</v>
      </c>
      <c r="Q10489">
        <v>5</v>
      </c>
      <c r="R10489" t="s">
        <v>46578</v>
      </c>
      <c r="S10489" t="s">
        <v>46874</v>
      </c>
      <c r="T10489" t="s">
        <v>48449</v>
      </c>
      <c r="U10489" t="s">
        <v>57193</v>
      </c>
      <c r="V10489" t="s">
        <v>61661</v>
      </c>
      <c r="W10489" t="s">
        <v>44173</v>
      </c>
      <c r="X10489" t="s">
        <v>46579</v>
      </c>
    </row>
    <row r="10490" spans="1:24">
      <c r="A10490">
        <f>HYPERLINK("https://www.philgeps.gov.ph/GEPSNONPILOT/Tender/SplashBidNoticeAbstractUI.aspx?menuIndex=3&amp;refID=7050339&amp;Result=3","7050339")</f>
        <v>0</v>
      </c>
      <c r="B10490" t="s">
        <v>2346</v>
      </c>
      <c r="C10490" t="s">
        <v>13463</v>
      </c>
      <c r="D10490" t="s">
        <v>18846</v>
      </c>
      <c r="E10490" t="s">
        <v>27980</v>
      </c>
      <c r="F10490" t="s">
        <v>32664</v>
      </c>
      <c r="G10490" t="s">
        <v>32672</v>
      </c>
      <c r="H10490" t="s">
        <v>32683</v>
      </c>
      <c r="I10490" t="s">
        <v>10627</v>
      </c>
      <c r="J10490" t="s">
        <v>32981</v>
      </c>
      <c r="K10490" t="s">
        <v>42290</v>
      </c>
      <c r="M10490" t="s">
        <v>45128</v>
      </c>
      <c r="N10490" t="s">
        <v>46569</v>
      </c>
      <c r="O10490" t="s">
        <v>46570</v>
      </c>
      <c r="P10490">
        <v>0</v>
      </c>
      <c r="Q10490">
        <v>1</v>
      </c>
      <c r="R10490" t="s">
        <v>46578</v>
      </c>
      <c r="S10490" t="s">
        <v>46874</v>
      </c>
      <c r="T10490" t="s">
        <v>48389</v>
      </c>
      <c r="U10490" t="s">
        <v>57194</v>
      </c>
      <c r="W10490" t="s">
        <v>45128</v>
      </c>
      <c r="X10490" t="s">
        <v>46579</v>
      </c>
    </row>
    <row r="10491" spans="1:24">
      <c r="A10491">
        <f>HYPERLINK("https://www.philgeps.gov.ph/GEPSNONPILOT/Tender/SplashBidNoticeAbstractUI.aspx?menuIndex=3&amp;refID=7050558&amp;Result=3","7050558")</f>
        <v>0</v>
      </c>
      <c r="B10491" t="s">
        <v>2866</v>
      </c>
      <c r="C10491" t="s">
        <v>13464</v>
      </c>
      <c r="D10491" t="s">
        <v>18788</v>
      </c>
      <c r="E10491" t="s">
        <v>21068</v>
      </c>
      <c r="F10491" t="s">
        <v>32664</v>
      </c>
      <c r="G10491" t="s">
        <v>32672</v>
      </c>
      <c r="H10491" t="s">
        <v>12635</v>
      </c>
      <c r="I10491" t="s">
        <v>10590</v>
      </c>
      <c r="J10491" t="s">
        <v>39066</v>
      </c>
      <c r="K10491" t="s">
        <v>42289</v>
      </c>
      <c r="M10491" t="s">
        <v>45715</v>
      </c>
      <c r="N10491" t="s">
        <v>46569</v>
      </c>
      <c r="O10491" t="s">
        <v>46570</v>
      </c>
      <c r="P10491">
        <v>0</v>
      </c>
      <c r="Q10491">
        <v>1</v>
      </c>
      <c r="R10491" t="s">
        <v>46578</v>
      </c>
      <c r="S10491" t="s">
        <v>46874</v>
      </c>
      <c r="T10491" t="s">
        <v>48273</v>
      </c>
      <c r="U10491" t="s">
        <v>57195</v>
      </c>
      <c r="W10491" t="s">
        <v>45715</v>
      </c>
      <c r="X10491" t="s">
        <v>46579</v>
      </c>
    </row>
    <row r="10492" spans="1:24">
      <c r="A10492">
        <f>HYPERLINK("https://www.philgeps.gov.ph/GEPSNONPILOT/Tender/SplashBidNoticeAbstractUI.aspx?menuIndex=3&amp;refID=7050555&amp;Result=3","7050555")</f>
        <v>0</v>
      </c>
      <c r="B10492" t="s">
        <v>2446</v>
      </c>
      <c r="C10492" t="s">
        <v>13465</v>
      </c>
      <c r="D10492" t="s">
        <v>18838</v>
      </c>
      <c r="E10492" t="s">
        <v>27981</v>
      </c>
      <c r="F10492" t="s">
        <v>32664</v>
      </c>
      <c r="G10492" t="s">
        <v>32672</v>
      </c>
      <c r="H10492" t="s">
        <v>12635</v>
      </c>
      <c r="I10492" t="s">
        <v>5501</v>
      </c>
      <c r="J10492" t="s">
        <v>32859</v>
      </c>
      <c r="K10492" t="s">
        <v>42283</v>
      </c>
      <c r="M10492" t="s">
        <v>45239</v>
      </c>
      <c r="N10492" t="s">
        <v>46569</v>
      </c>
      <c r="O10492" t="s">
        <v>46570</v>
      </c>
      <c r="Q10492">
        <v>8</v>
      </c>
      <c r="R10492" t="s">
        <v>46578</v>
      </c>
      <c r="S10492" t="s">
        <v>46897</v>
      </c>
      <c r="T10492" t="s">
        <v>48637</v>
      </c>
      <c r="U10492" t="s">
        <v>57196</v>
      </c>
      <c r="V10492" t="s">
        <v>62741</v>
      </c>
      <c r="W10492" t="s">
        <v>45239</v>
      </c>
      <c r="X10492" t="s">
        <v>46579</v>
      </c>
    </row>
    <row r="10493" spans="1:24">
      <c r="A10493">
        <f>HYPERLINK("https://www.philgeps.gov.ph/GEPSNONPILOT/Tender/SplashBidNoticeAbstractUI.aspx?menuIndex=3&amp;refID=7050468&amp;Result=3","7050468")</f>
        <v>0</v>
      </c>
      <c r="B10493" t="s">
        <v>988</v>
      </c>
      <c r="C10493" t="s">
        <v>13466</v>
      </c>
      <c r="E10493" t="s">
        <v>27982</v>
      </c>
      <c r="F10493" t="s">
        <v>32664</v>
      </c>
      <c r="G10493" t="s">
        <v>32671</v>
      </c>
      <c r="H10493" t="s">
        <v>12635</v>
      </c>
      <c r="I10493" t="s">
        <v>5501</v>
      </c>
      <c r="J10493" t="s">
        <v>33015</v>
      </c>
      <c r="K10493" t="s">
        <v>42283</v>
      </c>
      <c r="M10493" t="s">
        <v>44301</v>
      </c>
      <c r="N10493" t="s">
        <v>46569</v>
      </c>
      <c r="O10493" t="s">
        <v>46570</v>
      </c>
      <c r="P10493">
        <v>0</v>
      </c>
      <c r="Q10493">
        <v>9</v>
      </c>
      <c r="R10493" t="s">
        <v>46578</v>
      </c>
      <c r="S10493" t="s">
        <v>46874</v>
      </c>
      <c r="T10493" t="s">
        <v>48287</v>
      </c>
      <c r="U10493" t="s">
        <v>57197</v>
      </c>
      <c r="W10493" t="s">
        <v>44301</v>
      </c>
      <c r="X10493" t="s">
        <v>46579</v>
      </c>
    </row>
    <row r="10494" spans="1:24">
      <c r="A10494">
        <f>HYPERLINK("https://www.philgeps.gov.ph/GEPSNONPILOT/Tender/SplashBidNoticeAbstractUI.aspx?menuIndex=3&amp;refID=7050536&amp;Result=3","7050536")</f>
        <v>0</v>
      </c>
      <c r="B10494" t="s">
        <v>2871</v>
      </c>
      <c r="C10494" t="s">
        <v>13467</v>
      </c>
      <c r="D10494" t="s">
        <v>18821</v>
      </c>
      <c r="E10494" t="s">
        <v>27983</v>
      </c>
      <c r="F10494" t="s">
        <v>32664</v>
      </c>
      <c r="G10494" t="s">
        <v>32672</v>
      </c>
      <c r="H10494" t="s">
        <v>12635</v>
      </c>
      <c r="I10494" t="s">
        <v>4439</v>
      </c>
      <c r="J10494" t="s">
        <v>39067</v>
      </c>
      <c r="K10494" t="s">
        <v>42330</v>
      </c>
      <c r="M10494" t="s">
        <v>45720</v>
      </c>
      <c r="N10494" t="s">
        <v>46569</v>
      </c>
      <c r="O10494" t="s">
        <v>46570</v>
      </c>
      <c r="P10494">
        <v>0</v>
      </c>
      <c r="Q10494">
        <v>0</v>
      </c>
      <c r="R10494" t="s">
        <v>46578</v>
      </c>
      <c r="S10494" t="s">
        <v>46874</v>
      </c>
      <c r="T10494" t="s">
        <v>48481</v>
      </c>
      <c r="U10494" t="s">
        <v>57198</v>
      </c>
      <c r="W10494" t="s">
        <v>45720</v>
      </c>
      <c r="X10494" t="s">
        <v>46579</v>
      </c>
    </row>
    <row r="10495" spans="1:24">
      <c r="A10495">
        <f>HYPERLINK("https://www.philgeps.gov.ph/GEPSNONPILOT/Tender/SplashBidNoticeAbstractUI.aspx?menuIndex=3&amp;refID=7050552&amp;Result=3","7050552")</f>
        <v>0</v>
      </c>
      <c r="B10495" t="s">
        <v>187</v>
      </c>
      <c r="C10495" t="s">
        <v>13468</v>
      </c>
      <c r="D10495" t="s">
        <v>18840</v>
      </c>
      <c r="E10495" t="s">
        <v>27984</v>
      </c>
      <c r="F10495" t="s">
        <v>32664</v>
      </c>
      <c r="G10495" t="s">
        <v>32672</v>
      </c>
      <c r="H10495" t="s">
        <v>32683</v>
      </c>
      <c r="I10495" t="s">
        <v>10627</v>
      </c>
      <c r="J10495" t="s">
        <v>39068</v>
      </c>
      <c r="K10495" t="s">
        <v>42308</v>
      </c>
      <c r="M10495" t="s">
        <v>42751</v>
      </c>
      <c r="N10495" t="s">
        <v>46569</v>
      </c>
      <c r="O10495" t="s">
        <v>46570</v>
      </c>
      <c r="P10495">
        <v>0</v>
      </c>
      <c r="Q10495">
        <v>0</v>
      </c>
      <c r="R10495" t="s">
        <v>46578</v>
      </c>
      <c r="S10495" t="s">
        <v>46874</v>
      </c>
      <c r="T10495" t="s">
        <v>48284</v>
      </c>
      <c r="U10495" t="s">
        <v>57199</v>
      </c>
      <c r="W10495" t="s">
        <v>42751</v>
      </c>
      <c r="X10495" t="s">
        <v>46579</v>
      </c>
    </row>
    <row r="10496" spans="1:24">
      <c r="A10496">
        <f>HYPERLINK("https://www.philgeps.gov.ph/GEPSNONPILOT/Tender/SplashBidNoticeAbstractUI.aspx?menuIndex=3&amp;refID=7050550&amp;Result=3","7050550")</f>
        <v>0</v>
      </c>
      <c r="B10496" t="s">
        <v>1834</v>
      </c>
      <c r="C10496" t="s">
        <v>13469</v>
      </c>
      <c r="D10496" t="s">
        <v>18784</v>
      </c>
      <c r="E10496" t="s">
        <v>27985</v>
      </c>
      <c r="F10496" t="s">
        <v>32665</v>
      </c>
      <c r="G10496" t="s">
        <v>32671</v>
      </c>
      <c r="H10496" t="s">
        <v>12635</v>
      </c>
      <c r="I10496" t="s">
        <v>10627</v>
      </c>
      <c r="J10496" t="s">
        <v>39069</v>
      </c>
      <c r="K10496" t="s">
        <v>42303</v>
      </c>
      <c r="M10496" t="s">
        <v>44541</v>
      </c>
      <c r="N10496" t="s">
        <v>46569</v>
      </c>
      <c r="O10496" t="s">
        <v>46570</v>
      </c>
      <c r="P10496">
        <v>0</v>
      </c>
      <c r="Q10496">
        <v>1</v>
      </c>
      <c r="R10496" t="s">
        <v>46578</v>
      </c>
      <c r="S10496" t="s">
        <v>46874</v>
      </c>
      <c r="T10496" t="s">
        <v>48502</v>
      </c>
      <c r="U10496" t="s">
        <v>57200</v>
      </c>
      <c r="W10496" t="s">
        <v>44541</v>
      </c>
      <c r="X10496" t="s">
        <v>46579</v>
      </c>
    </row>
    <row r="10497" spans="1:24">
      <c r="A10497">
        <f>HYPERLINK("https://www.philgeps.gov.ph/GEPSNONPILOT/Tender/SplashBidNoticeAbstractUI.aspx?menuIndex=3&amp;refID=7050030&amp;Result=3","7050030")</f>
        <v>0</v>
      </c>
      <c r="B10497" t="s">
        <v>1211</v>
      </c>
      <c r="C10497" t="s">
        <v>13470</v>
      </c>
      <c r="D10497" t="s">
        <v>18784</v>
      </c>
      <c r="E10497" t="s">
        <v>27986</v>
      </c>
      <c r="F10497" t="s">
        <v>32664</v>
      </c>
      <c r="G10497" t="s">
        <v>32672</v>
      </c>
      <c r="H10497" t="s">
        <v>12635</v>
      </c>
      <c r="I10497" t="s">
        <v>11464</v>
      </c>
      <c r="J10497" t="s">
        <v>39070</v>
      </c>
      <c r="K10497" t="s">
        <v>42281</v>
      </c>
      <c r="M10497" t="s">
        <v>43849</v>
      </c>
      <c r="N10497" t="s">
        <v>46569</v>
      </c>
      <c r="O10497" t="s">
        <v>46570</v>
      </c>
      <c r="P10497">
        <v>0</v>
      </c>
      <c r="Q10497">
        <v>12</v>
      </c>
      <c r="R10497" t="s">
        <v>46578</v>
      </c>
      <c r="S10497" t="s">
        <v>46874</v>
      </c>
      <c r="T10497" t="s">
        <v>48468</v>
      </c>
      <c r="U10497" t="s">
        <v>57201</v>
      </c>
      <c r="W10497" t="s">
        <v>43849</v>
      </c>
      <c r="X10497" t="s">
        <v>46579</v>
      </c>
    </row>
    <row r="10498" spans="1:24">
      <c r="A10498">
        <f>HYPERLINK("https://www.philgeps.gov.ph/GEPSNONPILOT/Tender/SplashBidNoticeAbstractUI.aspx?menuIndex=3&amp;refID=7050529&amp;Result=3","7050529")</f>
        <v>0</v>
      </c>
      <c r="B10498" t="s">
        <v>187</v>
      </c>
      <c r="C10498" t="s">
        <v>13471</v>
      </c>
      <c r="D10498" t="s">
        <v>18840</v>
      </c>
      <c r="E10498" t="s">
        <v>27987</v>
      </c>
      <c r="F10498" t="s">
        <v>32664</v>
      </c>
      <c r="G10498" t="s">
        <v>32672</v>
      </c>
      <c r="H10498" t="s">
        <v>32683</v>
      </c>
      <c r="I10498" t="s">
        <v>10627</v>
      </c>
      <c r="J10498" t="s">
        <v>39071</v>
      </c>
      <c r="K10498" t="s">
        <v>42290</v>
      </c>
      <c r="M10498" t="s">
        <v>42751</v>
      </c>
      <c r="N10498" t="s">
        <v>46569</v>
      </c>
      <c r="O10498" t="s">
        <v>46570</v>
      </c>
      <c r="P10498">
        <v>0</v>
      </c>
      <c r="Q10498">
        <v>0</v>
      </c>
      <c r="R10498" t="s">
        <v>46578</v>
      </c>
      <c r="S10498" t="s">
        <v>46874</v>
      </c>
      <c r="T10498" t="s">
        <v>48284</v>
      </c>
      <c r="U10498" t="s">
        <v>57202</v>
      </c>
      <c r="W10498" t="s">
        <v>42751</v>
      </c>
      <c r="X10498" t="s">
        <v>46579</v>
      </c>
    </row>
    <row r="10499" spans="1:24">
      <c r="A10499">
        <f>HYPERLINK("https://www.philgeps.gov.ph/GEPSNONPILOT/Tender/SplashBidNoticeAbstractUI.aspx?menuIndex=3&amp;refID=7050528&amp;Result=3","7050528")</f>
        <v>0</v>
      </c>
      <c r="B10499" t="s">
        <v>2522</v>
      </c>
      <c r="C10499" t="s">
        <v>13472</v>
      </c>
      <c r="D10499" t="s">
        <v>18846</v>
      </c>
      <c r="E10499" t="s">
        <v>25049</v>
      </c>
      <c r="F10499" t="s">
        <v>32664</v>
      </c>
      <c r="G10499" t="s">
        <v>32672</v>
      </c>
      <c r="H10499" t="s">
        <v>12635</v>
      </c>
      <c r="I10499" t="s">
        <v>4439</v>
      </c>
      <c r="J10499" t="s">
        <v>39072</v>
      </c>
      <c r="K10499" t="s">
        <v>42330</v>
      </c>
      <c r="M10499" t="s">
        <v>45329</v>
      </c>
      <c r="N10499" t="s">
        <v>46569</v>
      </c>
      <c r="O10499" t="s">
        <v>46570</v>
      </c>
      <c r="P10499">
        <v>0</v>
      </c>
      <c r="Q10499">
        <v>0</v>
      </c>
      <c r="R10499" t="s">
        <v>46578</v>
      </c>
      <c r="S10499" t="s">
        <v>46874</v>
      </c>
      <c r="T10499" t="s">
        <v>48282</v>
      </c>
      <c r="U10499" t="s">
        <v>57203</v>
      </c>
      <c r="W10499" t="s">
        <v>45329</v>
      </c>
      <c r="X10499" t="s">
        <v>46579</v>
      </c>
    </row>
    <row r="10500" spans="1:24">
      <c r="A10500">
        <f>HYPERLINK("https://www.philgeps.gov.ph/GEPSNONPILOT/Tender/SplashBidNoticeAbstractUI.aspx?menuIndex=3&amp;refID=7050525&amp;Result=3","7050525")</f>
        <v>0</v>
      </c>
      <c r="B10500" t="s">
        <v>409</v>
      </c>
      <c r="C10500" t="s">
        <v>13473</v>
      </c>
      <c r="D10500" t="s">
        <v>18784</v>
      </c>
      <c r="E10500" t="s">
        <v>27988</v>
      </c>
      <c r="F10500" t="s">
        <v>32664</v>
      </c>
      <c r="G10500" t="s">
        <v>32671</v>
      </c>
      <c r="H10500" t="s">
        <v>12635</v>
      </c>
      <c r="I10500" t="s">
        <v>32694</v>
      </c>
      <c r="J10500" t="s">
        <v>39073</v>
      </c>
      <c r="K10500" t="s">
        <v>42281</v>
      </c>
      <c r="M10500" t="s">
        <v>42980</v>
      </c>
      <c r="N10500" t="s">
        <v>46569</v>
      </c>
      <c r="O10500" t="s">
        <v>46570</v>
      </c>
      <c r="P10500">
        <v>0</v>
      </c>
      <c r="Q10500">
        <v>10</v>
      </c>
      <c r="R10500" t="s">
        <v>46578</v>
      </c>
      <c r="S10500" t="s">
        <v>46874</v>
      </c>
      <c r="T10500" t="s">
        <v>48473</v>
      </c>
      <c r="U10500" t="s">
        <v>57204</v>
      </c>
      <c r="W10500" t="s">
        <v>42980</v>
      </c>
      <c r="X10500" t="s">
        <v>46579</v>
      </c>
    </row>
    <row r="10501" spans="1:24">
      <c r="A10501">
        <f>HYPERLINK("https://www.philgeps.gov.ph/GEPSNONPILOT/Tender/SplashBidNoticeAbstractUI.aspx?menuIndex=3&amp;refID=7050511&amp;Result=3","7050511")</f>
        <v>0</v>
      </c>
      <c r="B10501" t="s">
        <v>187</v>
      </c>
      <c r="C10501" t="s">
        <v>13474</v>
      </c>
      <c r="D10501" t="s">
        <v>18840</v>
      </c>
      <c r="E10501" t="s">
        <v>27989</v>
      </c>
      <c r="F10501" t="s">
        <v>32664</v>
      </c>
      <c r="G10501" t="s">
        <v>32672</v>
      </c>
      <c r="H10501" t="s">
        <v>32683</v>
      </c>
      <c r="I10501" t="s">
        <v>10627</v>
      </c>
      <c r="J10501" t="s">
        <v>39074</v>
      </c>
      <c r="K10501" t="s">
        <v>42290</v>
      </c>
      <c r="M10501" t="s">
        <v>42751</v>
      </c>
      <c r="N10501" t="s">
        <v>46569</v>
      </c>
      <c r="O10501" t="s">
        <v>46570</v>
      </c>
      <c r="P10501">
        <v>0</v>
      </c>
      <c r="Q10501">
        <v>0</v>
      </c>
      <c r="R10501" t="s">
        <v>46578</v>
      </c>
      <c r="S10501" t="s">
        <v>46874</v>
      </c>
      <c r="T10501" t="s">
        <v>48284</v>
      </c>
      <c r="U10501" t="s">
        <v>57205</v>
      </c>
      <c r="W10501" t="s">
        <v>42751</v>
      </c>
      <c r="X10501" t="s">
        <v>46579</v>
      </c>
    </row>
    <row r="10502" spans="1:24">
      <c r="A10502">
        <f>HYPERLINK("https://www.philgeps.gov.ph/GEPSNONPILOT/Tender/SplashBidNoticeAbstractUI.aspx?menuIndex=3&amp;refID=7050502&amp;Result=3","7050502")</f>
        <v>0</v>
      </c>
      <c r="B10502" t="s">
        <v>2872</v>
      </c>
      <c r="C10502" t="s">
        <v>13475</v>
      </c>
      <c r="D10502" t="s">
        <v>18809</v>
      </c>
      <c r="E10502" t="s">
        <v>27990</v>
      </c>
      <c r="F10502" t="s">
        <v>32664</v>
      </c>
      <c r="G10502" t="s">
        <v>32672</v>
      </c>
      <c r="H10502" t="s">
        <v>12635</v>
      </c>
      <c r="I10502" t="s">
        <v>4439</v>
      </c>
      <c r="J10502" t="s">
        <v>39075</v>
      </c>
      <c r="K10502" t="s">
        <v>42289</v>
      </c>
      <c r="M10502" t="s">
        <v>45721</v>
      </c>
      <c r="N10502" t="s">
        <v>46569</v>
      </c>
      <c r="O10502" t="s">
        <v>46570</v>
      </c>
      <c r="P10502">
        <v>0</v>
      </c>
      <c r="Q10502">
        <v>0</v>
      </c>
      <c r="R10502" t="s">
        <v>46578</v>
      </c>
      <c r="S10502" t="s">
        <v>46874</v>
      </c>
      <c r="T10502" t="s">
        <v>48313</v>
      </c>
      <c r="U10502" t="s">
        <v>57206</v>
      </c>
      <c r="W10502" t="s">
        <v>45721</v>
      </c>
      <c r="X10502" t="s">
        <v>46579</v>
      </c>
    </row>
    <row r="10503" spans="1:24">
      <c r="A10503">
        <f>HYPERLINK("https://www.philgeps.gov.ph/GEPSNONPILOT/Tender/SplashBidNoticeAbstractUI.aspx?menuIndex=3&amp;refID=7050567&amp;Result=3","7050567")</f>
        <v>0</v>
      </c>
      <c r="B10503" t="s">
        <v>1357</v>
      </c>
      <c r="C10503" t="s">
        <v>13476</v>
      </c>
      <c r="D10503" t="s">
        <v>18831</v>
      </c>
      <c r="E10503" t="s">
        <v>27991</v>
      </c>
      <c r="F10503" t="s">
        <v>32664</v>
      </c>
      <c r="G10503" t="s">
        <v>32672</v>
      </c>
      <c r="H10503" t="s">
        <v>12635</v>
      </c>
      <c r="I10503" t="s">
        <v>4439</v>
      </c>
      <c r="J10503" t="s">
        <v>39076</v>
      </c>
      <c r="K10503" t="s">
        <v>42281</v>
      </c>
      <c r="M10503" t="s">
        <v>44011</v>
      </c>
      <c r="N10503" t="s">
        <v>46569</v>
      </c>
      <c r="O10503" t="s">
        <v>46570</v>
      </c>
      <c r="P10503">
        <v>0</v>
      </c>
      <c r="Q10503">
        <v>2</v>
      </c>
      <c r="R10503" t="s">
        <v>46578</v>
      </c>
      <c r="S10503" t="s">
        <v>46874</v>
      </c>
      <c r="T10503" t="s">
        <v>48427</v>
      </c>
      <c r="U10503" t="s">
        <v>57207</v>
      </c>
      <c r="V10503" t="s">
        <v>62742</v>
      </c>
      <c r="W10503" t="s">
        <v>44011</v>
      </c>
      <c r="X10503" t="s">
        <v>46579</v>
      </c>
    </row>
    <row r="10504" spans="1:24">
      <c r="A10504">
        <f>HYPERLINK("https://www.philgeps.gov.ph/GEPSNONPILOT/Tender/SplashBidNoticeAbstractUI.aspx?menuIndex=3&amp;refID=7050535&amp;Result=3","7050535")</f>
        <v>0</v>
      </c>
      <c r="B10504" t="s">
        <v>2866</v>
      </c>
      <c r="C10504" t="s">
        <v>13477</v>
      </c>
      <c r="D10504" t="s">
        <v>18788</v>
      </c>
      <c r="E10504" t="s">
        <v>23021</v>
      </c>
      <c r="F10504" t="s">
        <v>32664</v>
      </c>
      <c r="G10504" t="s">
        <v>32672</v>
      </c>
      <c r="H10504" t="s">
        <v>12635</v>
      </c>
      <c r="I10504" t="s">
        <v>4439</v>
      </c>
      <c r="J10504" t="s">
        <v>39077</v>
      </c>
      <c r="K10504" t="s">
        <v>42281</v>
      </c>
      <c r="M10504" t="s">
        <v>45715</v>
      </c>
      <c r="N10504" t="s">
        <v>46569</v>
      </c>
      <c r="O10504" t="s">
        <v>46570</v>
      </c>
      <c r="P10504">
        <v>0</v>
      </c>
      <c r="Q10504">
        <v>1</v>
      </c>
      <c r="R10504" t="s">
        <v>46578</v>
      </c>
      <c r="S10504" t="s">
        <v>46874</v>
      </c>
      <c r="T10504" t="s">
        <v>48273</v>
      </c>
      <c r="U10504" t="s">
        <v>57208</v>
      </c>
      <c r="W10504" t="s">
        <v>45715</v>
      </c>
      <c r="X10504" t="s">
        <v>46579</v>
      </c>
    </row>
    <row r="10505" spans="1:24">
      <c r="A10505">
        <f>HYPERLINK("https://www.philgeps.gov.ph/GEPSNONPILOT/Tender/SplashBidNoticeAbstractUI.aspx?menuIndex=3&amp;refID=7050663&amp;Result=3","7050663")</f>
        <v>0</v>
      </c>
      <c r="B10505" t="s">
        <v>2632</v>
      </c>
      <c r="C10505" t="s">
        <v>13478</v>
      </c>
      <c r="D10505" t="s">
        <v>18817</v>
      </c>
      <c r="E10505" t="s">
        <v>19716</v>
      </c>
      <c r="F10505" t="s">
        <v>32664</v>
      </c>
      <c r="G10505" t="s">
        <v>32672</v>
      </c>
      <c r="H10505" t="s">
        <v>32683</v>
      </c>
      <c r="I10505" t="s">
        <v>10627</v>
      </c>
      <c r="J10505" t="s">
        <v>32865</v>
      </c>
      <c r="K10505" t="s">
        <v>42298</v>
      </c>
      <c r="M10505" t="s">
        <v>45452</v>
      </c>
      <c r="N10505" t="s">
        <v>46569</v>
      </c>
      <c r="O10505" t="s">
        <v>46570</v>
      </c>
      <c r="P10505">
        <v>0</v>
      </c>
      <c r="Q10505">
        <v>0</v>
      </c>
      <c r="R10505" t="s">
        <v>46578</v>
      </c>
      <c r="S10505" t="s">
        <v>46874</v>
      </c>
      <c r="T10505" t="s">
        <v>48473</v>
      </c>
      <c r="U10505" t="s">
        <v>57209</v>
      </c>
      <c r="W10505" t="s">
        <v>45452</v>
      </c>
      <c r="X10505" t="s">
        <v>46579</v>
      </c>
    </row>
    <row r="10506" spans="1:24">
      <c r="A10506">
        <f>HYPERLINK("https://www.philgeps.gov.ph/GEPSNONPILOT/Tender/SplashBidNoticeAbstractUI.aspx?menuIndex=3&amp;refID=7050513&amp;Result=3","7050513")</f>
        <v>0</v>
      </c>
      <c r="B10506" t="s">
        <v>2729</v>
      </c>
      <c r="C10506" t="s">
        <v>13479</v>
      </c>
      <c r="D10506" t="s">
        <v>18805</v>
      </c>
      <c r="E10506" t="s">
        <v>27992</v>
      </c>
      <c r="F10506" t="s">
        <v>32664</v>
      </c>
      <c r="G10506" t="s">
        <v>32671</v>
      </c>
      <c r="H10506" t="s">
        <v>32682</v>
      </c>
      <c r="I10506" t="s">
        <v>4333</v>
      </c>
      <c r="J10506" t="s">
        <v>34851</v>
      </c>
      <c r="K10506" t="s">
        <v>42281</v>
      </c>
      <c r="M10506" t="s">
        <v>45561</v>
      </c>
      <c r="N10506" t="s">
        <v>46569</v>
      </c>
      <c r="O10506" t="s">
        <v>46570</v>
      </c>
      <c r="P10506">
        <v>0</v>
      </c>
      <c r="Q10506">
        <v>6</v>
      </c>
      <c r="R10506" t="s">
        <v>46578</v>
      </c>
      <c r="S10506" t="s">
        <v>46874</v>
      </c>
      <c r="T10506" t="s">
        <v>48448</v>
      </c>
      <c r="U10506" t="s">
        <v>57210</v>
      </c>
      <c r="W10506" t="s">
        <v>45561</v>
      </c>
      <c r="X10506" t="s">
        <v>46579</v>
      </c>
    </row>
    <row r="10507" spans="1:24">
      <c r="A10507">
        <f>HYPERLINK("https://www.philgeps.gov.ph/GEPSNONPILOT/Tender/SplashBidNoticeAbstractUI.aspx?menuIndex=3&amp;refID=7050653&amp;Result=3","7050653")</f>
        <v>0</v>
      </c>
      <c r="B10507" t="s">
        <v>2317</v>
      </c>
      <c r="C10507" t="s">
        <v>13480</v>
      </c>
      <c r="D10507" t="s">
        <v>18842</v>
      </c>
      <c r="E10507" t="s">
        <v>20732</v>
      </c>
      <c r="F10507" t="s">
        <v>32664</v>
      </c>
      <c r="G10507" t="s">
        <v>32672</v>
      </c>
      <c r="H10507" t="s">
        <v>12635</v>
      </c>
      <c r="I10507" t="s">
        <v>4439</v>
      </c>
      <c r="J10507" t="s">
        <v>39078</v>
      </c>
      <c r="K10507" t="s">
        <v>42305</v>
      </c>
      <c r="M10507" t="s">
        <v>45091</v>
      </c>
      <c r="N10507" t="s">
        <v>46569</v>
      </c>
      <c r="O10507" t="s">
        <v>46570</v>
      </c>
      <c r="P10507">
        <v>0</v>
      </c>
      <c r="Q10507">
        <v>2</v>
      </c>
      <c r="R10507" t="s">
        <v>46578</v>
      </c>
      <c r="S10507" t="s">
        <v>46874</v>
      </c>
      <c r="T10507" t="s">
        <v>48502</v>
      </c>
      <c r="U10507" t="s">
        <v>57211</v>
      </c>
      <c r="W10507" t="s">
        <v>45091</v>
      </c>
      <c r="X10507" t="s">
        <v>46579</v>
      </c>
    </row>
    <row r="10508" spans="1:24">
      <c r="A10508">
        <f>HYPERLINK("https://www.philgeps.gov.ph/GEPSNONPILOT/Tender/SplashBidNoticeAbstractUI.aspx?menuIndex=3&amp;refID=7050652&amp;Result=3","7050652")</f>
        <v>0</v>
      </c>
      <c r="B10508" t="s">
        <v>2873</v>
      </c>
      <c r="C10508" t="s">
        <v>7606</v>
      </c>
      <c r="E10508" t="s">
        <v>18926</v>
      </c>
      <c r="F10508" t="s">
        <v>32664</v>
      </c>
      <c r="G10508" t="s">
        <v>32672</v>
      </c>
      <c r="H10508" t="s">
        <v>32683</v>
      </c>
      <c r="I10508" t="s">
        <v>10627</v>
      </c>
      <c r="J10508" t="s">
        <v>32865</v>
      </c>
      <c r="K10508" t="s">
        <v>42283</v>
      </c>
      <c r="M10508" t="s">
        <v>45722</v>
      </c>
      <c r="N10508" t="s">
        <v>46569</v>
      </c>
      <c r="O10508" t="s">
        <v>46570</v>
      </c>
      <c r="P10508">
        <v>0</v>
      </c>
      <c r="Q10508">
        <v>1</v>
      </c>
      <c r="R10508" t="s">
        <v>46578</v>
      </c>
      <c r="S10508" t="s">
        <v>46874</v>
      </c>
      <c r="T10508" t="s">
        <v>48230</v>
      </c>
      <c r="U10508" t="s">
        <v>57212</v>
      </c>
      <c r="W10508" t="s">
        <v>63575</v>
      </c>
      <c r="X10508" t="s">
        <v>46579</v>
      </c>
    </row>
    <row r="10509" spans="1:24">
      <c r="A10509">
        <f>HYPERLINK("https://www.philgeps.gov.ph/GEPSNONPILOT/Tender/SplashBidNoticeAbstractUI.aspx?menuIndex=3&amp;refID=7050644&amp;Result=3","7050644")</f>
        <v>0</v>
      </c>
      <c r="B10509" t="s">
        <v>2874</v>
      </c>
      <c r="C10509" t="s">
        <v>13481</v>
      </c>
      <c r="D10509" t="s">
        <v>18785</v>
      </c>
      <c r="E10509" t="s">
        <v>27993</v>
      </c>
      <c r="F10509" t="s">
        <v>32664</v>
      </c>
      <c r="G10509" t="s">
        <v>32672</v>
      </c>
      <c r="H10509" t="s">
        <v>32683</v>
      </c>
      <c r="I10509" t="s">
        <v>10627</v>
      </c>
      <c r="J10509" t="s">
        <v>39079</v>
      </c>
      <c r="K10509" t="s">
        <v>42311</v>
      </c>
      <c r="M10509" t="s">
        <v>45723</v>
      </c>
      <c r="N10509" t="s">
        <v>46569</v>
      </c>
      <c r="O10509" t="s">
        <v>46570</v>
      </c>
      <c r="P10509">
        <v>0</v>
      </c>
      <c r="Q10509">
        <v>2</v>
      </c>
      <c r="R10509" t="s">
        <v>46578</v>
      </c>
      <c r="S10509" t="s">
        <v>46874</v>
      </c>
      <c r="T10509" t="s">
        <v>48448</v>
      </c>
      <c r="U10509" t="s">
        <v>57213</v>
      </c>
      <c r="V10509" t="s">
        <v>62743</v>
      </c>
      <c r="W10509" t="s">
        <v>45723</v>
      </c>
      <c r="X10509" t="s">
        <v>46579</v>
      </c>
    </row>
    <row r="10510" spans="1:24">
      <c r="A10510">
        <f>HYPERLINK("https://www.philgeps.gov.ph/GEPSNONPILOT/Tender/SplashBidNoticeAbstractUI.aspx?menuIndex=3&amp;refID=7050661&amp;Result=3","7050661")</f>
        <v>0</v>
      </c>
      <c r="B10510" t="s">
        <v>2875</v>
      </c>
      <c r="C10510" t="s">
        <v>13482</v>
      </c>
      <c r="D10510" t="s">
        <v>18799</v>
      </c>
      <c r="E10510" t="s">
        <v>27994</v>
      </c>
      <c r="F10510" t="s">
        <v>32664</v>
      </c>
      <c r="G10510" t="s">
        <v>32672</v>
      </c>
      <c r="H10510" t="s">
        <v>12635</v>
      </c>
      <c r="I10510" t="s">
        <v>32717</v>
      </c>
      <c r="J10510" t="s">
        <v>39080</v>
      </c>
      <c r="K10510" t="s">
        <v>42283</v>
      </c>
      <c r="M10510" t="s">
        <v>45724</v>
      </c>
      <c r="N10510" t="s">
        <v>46569</v>
      </c>
      <c r="O10510" t="s">
        <v>46570</v>
      </c>
      <c r="P10510">
        <v>0</v>
      </c>
      <c r="Q10510">
        <v>2</v>
      </c>
      <c r="R10510" t="s">
        <v>46578</v>
      </c>
      <c r="S10510" t="s">
        <v>46874</v>
      </c>
      <c r="T10510" t="s">
        <v>48349</v>
      </c>
      <c r="U10510" t="s">
        <v>57214</v>
      </c>
      <c r="W10510" t="s">
        <v>45724</v>
      </c>
      <c r="X10510" t="s">
        <v>46579</v>
      </c>
    </row>
    <row r="10511" spans="1:24">
      <c r="A10511">
        <f>HYPERLINK("https://www.philgeps.gov.ph/GEPSNONPILOT/Tender/SplashBidNoticeAbstractUI.aspx?menuIndex=3&amp;refID=7050643&amp;Result=3","7050643")</f>
        <v>0</v>
      </c>
      <c r="B10511" t="s">
        <v>2876</v>
      </c>
      <c r="C10511" t="s">
        <v>13483</v>
      </c>
      <c r="E10511" t="s">
        <v>27995</v>
      </c>
      <c r="F10511" t="s">
        <v>32664</v>
      </c>
      <c r="G10511" t="s">
        <v>32672</v>
      </c>
      <c r="H10511" t="s">
        <v>32683</v>
      </c>
      <c r="I10511" t="s">
        <v>10627</v>
      </c>
      <c r="J10511" t="s">
        <v>33167</v>
      </c>
      <c r="K10511" t="s">
        <v>42298</v>
      </c>
      <c r="M10511" t="s">
        <v>45725</v>
      </c>
      <c r="N10511" t="s">
        <v>46569</v>
      </c>
      <c r="O10511" t="s">
        <v>46570</v>
      </c>
      <c r="P10511">
        <v>0</v>
      </c>
      <c r="Q10511">
        <v>2</v>
      </c>
      <c r="R10511" t="s">
        <v>46578</v>
      </c>
      <c r="S10511" t="s">
        <v>46874</v>
      </c>
      <c r="T10511" t="s">
        <v>48221</v>
      </c>
      <c r="U10511" t="s">
        <v>57215</v>
      </c>
      <c r="W10511" t="s">
        <v>45725</v>
      </c>
      <c r="X10511" t="s">
        <v>46579</v>
      </c>
    </row>
    <row r="10512" spans="1:24">
      <c r="A10512">
        <f>HYPERLINK("https://www.philgeps.gov.ph/GEPSNONPILOT/Tender/SplashBidNoticeAbstractUI.aspx?menuIndex=3&amp;refID=7050532&amp;Result=3","7050532")</f>
        <v>0</v>
      </c>
      <c r="B10512" t="s">
        <v>2877</v>
      </c>
      <c r="C10512" t="s">
        <v>13484</v>
      </c>
      <c r="D10512" t="s">
        <v>18824</v>
      </c>
      <c r="E10512" t="s">
        <v>27996</v>
      </c>
      <c r="F10512" t="s">
        <v>32664</v>
      </c>
      <c r="G10512" t="s">
        <v>32672</v>
      </c>
      <c r="H10512" t="s">
        <v>12635</v>
      </c>
      <c r="I10512" t="s">
        <v>32706</v>
      </c>
      <c r="J10512" t="s">
        <v>39081</v>
      </c>
      <c r="K10512" t="s">
        <v>42311</v>
      </c>
      <c r="M10512" t="s">
        <v>45726</v>
      </c>
      <c r="N10512" t="s">
        <v>46569</v>
      </c>
      <c r="O10512" t="s">
        <v>46570</v>
      </c>
      <c r="P10512">
        <v>0</v>
      </c>
      <c r="Q10512">
        <v>2</v>
      </c>
      <c r="R10512" t="s">
        <v>46578</v>
      </c>
      <c r="S10512" t="s">
        <v>46874</v>
      </c>
      <c r="T10512" t="s">
        <v>48533</v>
      </c>
      <c r="U10512" t="s">
        <v>57216</v>
      </c>
      <c r="W10512" t="s">
        <v>45726</v>
      </c>
      <c r="X10512" t="s">
        <v>46579</v>
      </c>
    </row>
    <row r="10513" spans="1:24">
      <c r="A10513">
        <f>HYPERLINK("https://www.philgeps.gov.ph/GEPSNONPILOT/Tender/SplashBidNoticeAbstractUI.aspx?menuIndex=3&amp;refID=7050628&amp;Result=3","7050628")</f>
        <v>0</v>
      </c>
      <c r="B10513" t="s">
        <v>2559</v>
      </c>
      <c r="C10513" t="s">
        <v>13485</v>
      </c>
      <c r="D10513" t="s">
        <v>18859</v>
      </c>
      <c r="E10513" t="s">
        <v>27997</v>
      </c>
      <c r="F10513" t="s">
        <v>32664</v>
      </c>
      <c r="G10513" t="s">
        <v>32672</v>
      </c>
      <c r="H10513" t="s">
        <v>32683</v>
      </c>
      <c r="I10513" t="s">
        <v>10627</v>
      </c>
      <c r="J10513" t="s">
        <v>33051</v>
      </c>
      <c r="K10513" t="s">
        <v>42303</v>
      </c>
      <c r="M10513" t="s">
        <v>45370</v>
      </c>
      <c r="N10513" t="s">
        <v>46569</v>
      </c>
      <c r="O10513" t="s">
        <v>46570</v>
      </c>
      <c r="P10513">
        <v>0</v>
      </c>
      <c r="Q10513">
        <v>0</v>
      </c>
      <c r="R10513" t="s">
        <v>46578</v>
      </c>
      <c r="S10513" t="s">
        <v>46874</v>
      </c>
      <c r="T10513" t="s">
        <v>48307</v>
      </c>
      <c r="U10513" t="s">
        <v>57217</v>
      </c>
      <c r="V10513" t="s">
        <v>62744</v>
      </c>
      <c r="W10513" t="s">
        <v>45370</v>
      </c>
      <c r="X10513" t="s">
        <v>46579</v>
      </c>
    </row>
    <row r="10514" spans="1:24">
      <c r="A10514">
        <f>HYPERLINK("https://www.philgeps.gov.ph/GEPSNONPILOT/Tender/SplashBidNoticeAbstractUI.aspx?menuIndex=3&amp;refID=7050627&amp;Result=3","7050627")</f>
        <v>0</v>
      </c>
      <c r="B10514" t="s">
        <v>2877</v>
      </c>
      <c r="C10514" t="s">
        <v>13486</v>
      </c>
      <c r="D10514" t="s">
        <v>18824</v>
      </c>
      <c r="E10514" t="s">
        <v>27998</v>
      </c>
      <c r="F10514" t="s">
        <v>32664</v>
      </c>
      <c r="G10514" t="s">
        <v>32672</v>
      </c>
      <c r="H10514" t="s">
        <v>12635</v>
      </c>
      <c r="I10514" t="s">
        <v>6223</v>
      </c>
      <c r="J10514" t="s">
        <v>39082</v>
      </c>
      <c r="K10514" t="s">
        <v>42298</v>
      </c>
      <c r="M10514" t="s">
        <v>45726</v>
      </c>
      <c r="N10514" t="s">
        <v>46569</v>
      </c>
      <c r="O10514" t="s">
        <v>46570</v>
      </c>
      <c r="P10514">
        <v>0</v>
      </c>
      <c r="Q10514">
        <v>0</v>
      </c>
      <c r="R10514" t="s">
        <v>46578</v>
      </c>
      <c r="S10514" t="s">
        <v>46874</v>
      </c>
      <c r="T10514" t="s">
        <v>48308</v>
      </c>
      <c r="U10514" t="s">
        <v>57218</v>
      </c>
      <c r="W10514" t="s">
        <v>45726</v>
      </c>
      <c r="X10514" t="s">
        <v>46579</v>
      </c>
    </row>
    <row r="10515" spans="1:24">
      <c r="A10515">
        <f>HYPERLINK("https://www.philgeps.gov.ph/GEPSNONPILOT/Tender/SplashBidNoticeAbstractUI.aspx?menuIndex=3&amp;refID=7050621&amp;Result=3","7050621")</f>
        <v>0</v>
      </c>
      <c r="B10515" t="s">
        <v>243</v>
      </c>
      <c r="C10515" t="s">
        <v>13487</v>
      </c>
      <c r="D10515" t="s">
        <v>18841</v>
      </c>
      <c r="E10515" t="s">
        <v>27999</v>
      </c>
      <c r="F10515" t="s">
        <v>32664</v>
      </c>
      <c r="G10515" t="s">
        <v>32672</v>
      </c>
      <c r="H10515" t="s">
        <v>32683</v>
      </c>
      <c r="I10515" t="s">
        <v>10627</v>
      </c>
      <c r="J10515" t="s">
        <v>39083</v>
      </c>
      <c r="K10515" t="s">
        <v>42369</v>
      </c>
      <c r="L10515" t="s">
        <v>243</v>
      </c>
      <c r="M10515" t="s">
        <v>42808</v>
      </c>
      <c r="N10515" t="s">
        <v>46569</v>
      </c>
      <c r="O10515" t="s">
        <v>46570</v>
      </c>
      <c r="P10515">
        <v>0</v>
      </c>
      <c r="Q10515">
        <v>0</v>
      </c>
      <c r="R10515" t="s">
        <v>46578</v>
      </c>
      <c r="S10515" t="s">
        <v>46874</v>
      </c>
      <c r="T10515" t="s">
        <v>48452</v>
      </c>
      <c r="U10515" t="s">
        <v>57219</v>
      </c>
      <c r="V10515" t="s">
        <v>61763</v>
      </c>
      <c r="W10515" t="s">
        <v>42808</v>
      </c>
      <c r="X10515" t="s">
        <v>46579</v>
      </c>
    </row>
    <row r="10516" spans="1:24">
      <c r="A10516">
        <f>HYPERLINK("https://www.philgeps.gov.ph/GEPSNONPILOT/Tender/SplashBidNoticeAbstractUI.aspx?menuIndex=3&amp;refID=7050660&amp;Result=3","7050660")</f>
        <v>0</v>
      </c>
      <c r="B10516" t="s">
        <v>601</v>
      </c>
      <c r="C10516" t="s">
        <v>13488</v>
      </c>
      <c r="D10516" t="s">
        <v>18848</v>
      </c>
      <c r="E10516" t="s">
        <v>28000</v>
      </c>
      <c r="F10516" t="s">
        <v>32664</v>
      </c>
      <c r="G10516" t="s">
        <v>32671</v>
      </c>
      <c r="H10516" t="s">
        <v>12635</v>
      </c>
      <c r="I10516" t="s">
        <v>5589</v>
      </c>
      <c r="J10516" t="s">
        <v>33126</v>
      </c>
      <c r="K10516" t="s">
        <v>42283</v>
      </c>
      <c r="M10516" t="s">
        <v>43181</v>
      </c>
      <c r="N10516" t="s">
        <v>46569</v>
      </c>
      <c r="O10516" t="s">
        <v>46570</v>
      </c>
      <c r="P10516">
        <v>0</v>
      </c>
      <c r="Q10516">
        <v>0</v>
      </c>
      <c r="R10516" t="s">
        <v>46578</v>
      </c>
      <c r="S10516" t="s">
        <v>46874</v>
      </c>
      <c r="T10516" t="s">
        <v>48287</v>
      </c>
      <c r="U10516" t="s">
        <v>57220</v>
      </c>
      <c r="W10516" t="s">
        <v>43181</v>
      </c>
      <c r="X10516" t="s">
        <v>46579</v>
      </c>
    </row>
    <row r="10517" spans="1:24">
      <c r="A10517">
        <f>HYPERLINK("https://www.philgeps.gov.ph/GEPSNONPILOT/Tender/SplashBidNoticeAbstractUI.aspx?menuIndex=3&amp;refID=7050207&amp;Result=3","7050207")</f>
        <v>0</v>
      </c>
      <c r="B10517" t="s">
        <v>1385</v>
      </c>
      <c r="C10517" t="s">
        <v>13489</v>
      </c>
      <c r="D10517" t="s">
        <v>18827</v>
      </c>
      <c r="E10517" t="s">
        <v>28001</v>
      </c>
      <c r="F10517" t="s">
        <v>32664</v>
      </c>
      <c r="G10517" t="s">
        <v>32671</v>
      </c>
      <c r="H10517" t="s">
        <v>12635</v>
      </c>
      <c r="I10517" t="s">
        <v>4439</v>
      </c>
      <c r="J10517" t="s">
        <v>39084</v>
      </c>
      <c r="K10517" t="s">
        <v>42284</v>
      </c>
      <c r="L10517" t="s">
        <v>1385</v>
      </c>
      <c r="M10517" t="s">
        <v>44040</v>
      </c>
      <c r="N10517" t="s">
        <v>46569</v>
      </c>
      <c r="O10517" t="s">
        <v>46570</v>
      </c>
      <c r="P10517">
        <v>0</v>
      </c>
      <c r="Q10517">
        <v>0</v>
      </c>
      <c r="R10517" t="s">
        <v>46578</v>
      </c>
      <c r="S10517" t="s">
        <v>46874</v>
      </c>
      <c r="T10517" t="s">
        <v>48244</v>
      </c>
      <c r="U10517" t="s">
        <v>57148</v>
      </c>
      <c r="W10517" t="s">
        <v>44040</v>
      </c>
      <c r="X10517" t="s">
        <v>46579</v>
      </c>
    </row>
    <row r="10518" spans="1:24">
      <c r="A10518">
        <f>HYPERLINK("https://www.philgeps.gov.ph/GEPSNONPILOT/Tender/SplashBidNoticeAbstractUI.aspx?menuIndex=3&amp;refID=7050634&amp;Result=3","7050634")</f>
        <v>0</v>
      </c>
      <c r="B10518" t="s">
        <v>2875</v>
      </c>
      <c r="C10518" t="s">
        <v>13490</v>
      </c>
      <c r="D10518" t="s">
        <v>18799</v>
      </c>
      <c r="E10518" t="s">
        <v>28002</v>
      </c>
      <c r="F10518" t="s">
        <v>32664</v>
      </c>
      <c r="G10518" t="s">
        <v>32672</v>
      </c>
      <c r="H10518" t="s">
        <v>12635</v>
      </c>
      <c r="I10518" t="s">
        <v>14442</v>
      </c>
      <c r="J10518" t="s">
        <v>39085</v>
      </c>
      <c r="K10518" t="s">
        <v>42283</v>
      </c>
      <c r="M10518" t="s">
        <v>45724</v>
      </c>
      <c r="N10518" t="s">
        <v>46569</v>
      </c>
      <c r="O10518" t="s">
        <v>46570</v>
      </c>
      <c r="P10518">
        <v>0</v>
      </c>
      <c r="Q10518">
        <v>4</v>
      </c>
      <c r="R10518" t="s">
        <v>46578</v>
      </c>
      <c r="S10518" t="s">
        <v>46874</v>
      </c>
      <c r="T10518" t="s">
        <v>48349</v>
      </c>
      <c r="U10518" t="s">
        <v>57221</v>
      </c>
      <c r="W10518" t="s">
        <v>45724</v>
      </c>
      <c r="X10518" t="s">
        <v>46579</v>
      </c>
    </row>
    <row r="10519" spans="1:24">
      <c r="A10519">
        <f>HYPERLINK("https://www.philgeps.gov.ph/GEPSNONPILOT/Tender/SplashBidNoticeAbstractUI.aspx?menuIndex=3&amp;refID=7050678&amp;Result=3","7050678")</f>
        <v>0</v>
      </c>
      <c r="B10519" t="s">
        <v>1781</v>
      </c>
      <c r="C10519" t="s">
        <v>13491</v>
      </c>
      <c r="D10519" t="s">
        <v>18807</v>
      </c>
      <c r="E10519" t="s">
        <v>28003</v>
      </c>
      <c r="F10519" t="s">
        <v>32664</v>
      </c>
      <c r="G10519" t="s">
        <v>32672</v>
      </c>
      <c r="H10519" t="s">
        <v>12635</v>
      </c>
      <c r="I10519" t="s">
        <v>32711</v>
      </c>
      <c r="J10519" t="s">
        <v>32898</v>
      </c>
      <c r="K10519" t="s">
        <v>42281</v>
      </c>
      <c r="M10519" t="s">
        <v>44483</v>
      </c>
      <c r="N10519" t="s">
        <v>46569</v>
      </c>
      <c r="O10519" t="s">
        <v>46570</v>
      </c>
      <c r="P10519">
        <v>0</v>
      </c>
      <c r="Q10519">
        <v>0</v>
      </c>
      <c r="R10519" t="s">
        <v>46578</v>
      </c>
      <c r="S10519" t="s">
        <v>46874</v>
      </c>
      <c r="T10519" t="s">
        <v>48316</v>
      </c>
      <c r="U10519" t="s">
        <v>57222</v>
      </c>
      <c r="V10519" t="s">
        <v>62745</v>
      </c>
      <c r="W10519" t="s">
        <v>44483</v>
      </c>
      <c r="X10519" t="s">
        <v>46579</v>
      </c>
    </row>
    <row r="10520" spans="1:24">
      <c r="A10520">
        <f>HYPERLINK("https://www.philgeps.gov.ph/GEPSNONPILOT/Tender/SplashBidNoticeAbstractUI.aspx?menuIndex=3&amp;refID=7050718&amp;Result=3","7050718")</f>
        <v>0</v>
      </c>
      <c r="B10520" t="s">
        <v>2189</v>
      </c>
      <c r="C10520" t="s">
        <v>13492</v>
      </c>
      <c r="D10520" t="s">
        <v>18843</v>
      </c>
      <c r="E10520" t="s">
        <v>28004</v>
      </c>
      <c r="F10520" t="s">
        <v>32664</v>
      </c>
      <c r="G10520" t="s">
        <v>32674</v>
      </c>
      <c r="H10520" t="s">
        <v>32682</v>
      </c>
      <c r="I10520" t="s">
        <v>32745</v>
      </c>
      <c r="J10520" t="s">
        <v>36545</v>
      </c>
      <c r="K10520" t="s">
        <v>42284</v>
      </c>
      <c r="M10520" t="s">
        <v>44951</v>
      </c>
      <c r="N10520" t="s">
        <v>46569</v>
      </c>
      <c r="O10520" t="s">
        <v>46570</v>
      </c>
      <c r="P10520">
        <v>0</v>
      </c>
      <c r="Q10520">
        <v>0</v>
      </c>
      <c r="R10520" t="s">
        <v>46578</v>
      </c>
      <c r="S10520" t="s">
        <v>46874</v>
      </c>
      <c r="T10520" t="s">
        <v>48448</v>
      </c>
      <c r="U10520" t="s">
        <v>57223</v>
      </c>
      <c r="W10520" t="s">
        <v>44951</v>
      </c>
      <c r="X10520" t="s">
        <v>46579</v>
      </c>
    </row>
    <row r="10521" spans="1:24">
      <c r="A10521">
        <f>HYPERLINK("https://www.philgeps.gov.ph/GEPSNONPILOT/Tender/SplashBidNoticeAbstractUI.aspx?menuIndex=3&amp;refID=7050715&amp;Result=3","7050715")</f>
        <v>0</v>
      </c>
      <c r="B10521" t="s">
        <v>2013</v>
      </c>
      <c r="C10521" t="s">
        <v>13493</v>
      </c>
      <c r="D10521" t="s">
        <v>18822</v>
      </c>
      <c r="E10521" t="s">
        <v>25662</v>
      </c>
      <c r="F10521" t="s">
        <v>32664</v>
      </c>
      <c r="G10521" t="s">
        <v>32672</v>
      </c>
      <c r="H10521" t="s">
        <v>12635</v>
      </c>
      <c r="I10521" t="s">
        <v>4439</v>
      </c>
      <c r="J10521" t="s">
        <v>39086</v>
      </c>
      <c r="K10521" t="s">
        <v>42297</v>
      </c>
      <c r="M10521" t="s">
        <v>44753</v>
      </c>
      <c r="N10521" t="s">
        <v>46569</v>
      </c>
      <c r="O10521" t="s">
        <v>46570</v>
      </c>
      <c r="P10521">
        <v>0</v>
      </c>
      <c r="Q10521">
        <v>2</v>
      </c>
      <c r="R10521" t="s">
        <v>46578</v>
      </c>
      <c r="S10521" t="s">
        <v>46874</v>
      </c>
      <c r="T10521" t="s">
        <v>48251</v>
      </c>
      <c r="U10521" t="s">
        <v>57224</v>
      </c>
      <c r="W10521" t="s">
        <v>44753</v>
      </c>
      <c r="X10521" t="s">
        <v>46579</v>
      </c>
    </row>
    <row r="10522" spans="1:24">
      <c r="A10522">
        <f>HYPERLINK("https://www.philgeps.gov.ph/GEPSNONPILOT/Tender/SplashBidNoticeAbstractUI.aspx?menuIndex=3&amp;refID=7050722&amp;Result=3","7050722")</f>
        <v>0</v>
      </c>
      <c r="B10522" t="s">
        <v>2874</v>
      </c>
      <c r="C10522" t="s">
        <v>13494</v>
      </c>
      <c r="D10522" t="s">
        <v>18785</v>
      </c>
      <c r="E10522" t="s">
        <v>28005</v>
      </c>
      <c r="F10522" t="s">
        <v>32664</v>
      </c>
      <c r="G10522" t="s">
        <v>32672</v>
      </c>
      <c r="H10522" t="s">
        <v>32683</v>
      </c>
      <c r="I10522" t="s">
        <v>10627</v>
      </c>
      <c r="J10522" t="s">
        <v>39087</v>
      </c>
      <c r="K10522" t="s">
        <v>42298</v>
      </c>
      <c r="M10522" t="s">
        <v>45723</v>
      </c>
      <c r="N10522" t="s">
        <v>46569</v>
      </c>
      <c r="O10522" t="s">
        <v>46570</v>
      </c>
      <c r="P10522">
        <v>0</v>
      </c>
      <c r="Q10522">
        <v>2</v>
      </c>
      <c r="R10522" t="s">
        <v>46578</v>
      </c>
      <c r="S10522" t="s">
        <v>46874</v>
      </c>
      <c r="T10522" t="s">
        <v>48448</v>
      </c>
      <c r="U10522" t="s">
        <v>57225</v>
      </c>
      <c r="V10522" t="s">
        <v>62743</v>
      </c>
      <c r="W10522" t="s">
        <v>45723</v>
      </c>
      <c r="X10522" t="s">
        <v>46579</v>
      </c>
    </row>
    <row r="10523" spans="1:24">
      <c r="A10523">
        <f>HYPERLINK("https://www.philgeps.gov.ph/GEPSNONPILOT/Tender/SplashBidNoticeAbstractUI.aspx?menuIndex=3&amp;refID=7050714&amp;Result=3","7050714")</f>
        <v>0</v>
      </c>
      <c r="B10523" t="s">
        <v>2878</v>
      </c>
      <c r="C10523" t="s">
        <v>12283</v>
      </c>
      <c r="D10523" t="s">
        <v>18785</v>
      </c>
      <c r="E10523" t="s">
        <v>19718</v>
      </c>
      <c r="F10523" t="s">
        <v>32664</v>
      </c>
      <c r="G10523" t="s">
        <v>32672</v>
      </c>
      <c r="H10523" t="s">
        <v>12635</v>
      </c>
      <c r="I10523" t="s">
        <v>14442</v>
      </c>
      <c r="J10523" t="s">
        <v>39088</v>
      </c>
      <c r="K10523" t="s">
        <v>42295</v>
      </c>
      <c r="M10523" t="s">
        <v>45727</v>
      </c>
      <c r="N10523" t="s">
        <v>46569</v>
      </c>
      <c r="O10523" t="s">
        <v>46570</v>
      </c>
      <c r="P10523">
        <v>0</v>
      </c>
      <c r="Q10523">
        <v>2</v>
      </c>
      <c r="R10523" t="s">
        <v>46578</v>
      </c>
      <c r="S10523" t="s">
        <v>46874</v>
      </c>
      <c r="T10523" t="s">
        <v>48254</v>
      </c>
      <c r="U10523" t="s">
        <v>56267</v>
      </c>
      <c r="W10523" t="s">
        <v>45727</v>
      </c>
      <c r="X10523" t="s">
        <v>46579</v>
      </c>
    </row>
    <row r="10524" spans="1:24">
      <c r="A10524">
        <f>HYPERLINK("https://www.philgeps.gov.ph/GEPSNONPILOT/Tender/SplashBidNoticeAbstractUI.aspx?menuIndex=3&amp;refID=7050712&amp;Result=3","7050712")</f>
        <v>0</v>
      </c>
      <c r="B10524" t="s">
        <v>441</v>
      </c>
      <c r="C10524" t="s">
        <v>13495</v>
      </c>
      <c r="D10524" t="s">
        <v>18805</v>
      </c>
      <c r="E10524" t="s">
        <v>28006</v>
      </c>
      <c r="F10524" t="s">
        <v>32664</v>
      </c>
      <c r="G10524" t="s">
        <v>32672</v>
      </c>
      <c r="H10524" t="s">
        <v>32683</v>
      </c>
      <c r="I10524" t="s">
        <v>10627</v>
      </c>
      <c r="J10524" t="s">
        <v>39089</v>
      </c>
      <c r="K10524" t="s">
        <v>42298</v>
      </c>
      <c r="M10524" t="s">
        <v>43013</v>
      </c>
      <c r="N10524" t="s">
        <v>46569</v>
      </c>
      <c r="O10524" t="s">
        <v>46570</v>
      </c>
      <c r="P10524">
        <v>0</v>
      </c>
      <c r="Q10524">
        <v>0</v>
      </c>
      <c r="R10524" t="s">
        <v>46578</v>
      </c>
      <c r="S10524" t="s">
        <v>46874</v>
      </c>
      <c r="T10524" t="s">
        <v>48216</v>
      </c>
      <c r="U10524" t="s">
        <v>57226</v>
      </c>
      <c r="W10524" t="s">
        <v>44010</v>
      </c>
      <c r="X10524" t="s">
        <v>46579</v>
      </c>
    </row>
    <row r="10525" spans="1:24">
      <c r="A10525">
        <f>HYPERLINK("https://www.philgeps.gov.ph/GEPSNONPILOT/Tender/SplashBidNoticeAbstractUI.aspx?menuIndex=3&amp;refID=7050721&amp;Result=3","7050721")</f>
        <v>0</v>
      </c>
      <c r="B10525" t="s">
        <v>2879</v>
      </c>
      <c r="C10525" t="s">
        <v>13496</v>
      </c>
      <c r="D10525" t="s">
        <v>18853</v>
      </c>
      <c r="E10525" t="s">
        <v>28007</v>
      </c>
      <c r="F10525" t="s">
        <v>32664</v>
      </c>
      <c r="G10525" t="s">
        <v>32672</v>
      </c>
      <c r="H10525" t="s">
        <v>12635</v>
      </c>
      <c r="I10525" t="s">
        <v>6223</v>
      </c>
      <c r="J10525" t="s">
        <v>33566</v>
      </c>
      <c r="K10525" t="s">
        <v>42281</v>
      </c>
      <c r="M10525" t="s">
        <v>45728</v>
      </c>
      <c r="N10525" t="s">
        <v>46569</v>
      </c>
      <c r="O10525" t="s">
        <v>46570</v>
      </c>
      <c r="P10525">
        <v>0</v>
      </c>
      <c r="Q10525">
        <v>0</v>
      </c>
      <c r="R10525" t="s">
        <v>46578</v>
      </c>
      <c r="S10525" t="s">
        <v>46874</v>
      </c>
      <c r="T10525" t="s">
        <v>48453</v>
      </c>
      <c r="U10525" t="s">
        <v>57227</v>
      </c>
      <c r="V10525" t="s">
        <v>62746</v>
      </c>
      <c r="W10525" t="s">
        <v>45728</v>
      </c>
      <c r="X10525" t="s">
        <v>46579</v>
      </c>
    </row>
    <row r="10526" spans="1:24">
      <c r="A10526">
        <f>HYPERLINK("https://www.philgeps.gov.ph/GEPSNONPILOT/Tender/SplashBidNoticeAbstractUI.aspx?menuIndex=3&amp;refID=7050707&amp;Result=3","7050707")</f>
        <v>0</v>
      </c>
      <c r="B10526" t="s">
        <v>2880</v>
      </c>
      <c r="C10526" t="s">
        <v>13497</v>
      </c>
      <c r="D10526" t="s">
        <v>18785</v>
      </c>
      <c r="E10526" t="s">
        <v>19718</v>
      </c>
      <c r="F10526" t="s">
        <v>32664</v>
      </c>
      <c r="G10526" t="s">
        <v>32672</v>
      </c>
      <c r="H10526" t="s">
        <v>12635</v>
      </c>
      <c r="I10526" t="s">
        <v>14442</v>
      </c>
      <c r="J10526" t="s">
        <v>39090</v>
      </c>
      <c r="K10526" t="s">
        <v>42295</v>
      </c>
      <c r="M10526" t="s">
        <v>45729</v>
      </c>
      <c r="N10526" t="s">
        <v>46569</v>
      </c>
      <c r="O10526" t="s">
        <v>46570</v>
      </c>
      <c r="P10526">
        <v>0</v>
      </c>
      <c r="Q10526">
        <v>4</v>
      </c>
      <c r="R10526" t="s">
        <v>46578</v>
      </c>
      <c r="S10526" t="s">
        <v>46874</v>
      </c>
      <c r="T10526" t="s">
        <v>48254</v>
      </c>
      <c r="U10526" t="s">
        <v>57228</v>
      </c>
      <c r="W10526" t="s">
        <v>45729</v>
      </c>
      <c r="X10526" t="s">
        <v>46579</v>
      </c>
    </row>
    <row r="10527" spans="1:24">
      <c r="A10527">
        <f>HYPERLINK("https://www.philgeps.gov.ph/GEPSNONPILOT/Tender/SplashBidNoticeAbstractUI.aspx?menuIndex=3&amp;refID=7050704&amp;Result=3","7050704")</f>
        <v>0</v>
      </c>
      <c r="B10527" t="s">
        <v>2881</v>
      </c>
      <c r="C10527" t="s">
        <v>13498</v>
      </c>
      <c r="D10527" t="s">
        <v>18820</v>
      </c>
      <c r="E10527" t="s">
        <v>28008</v>
      </c>
      <c r="F10527" t="s">
        <v>32664</v>
      </c>
      <c r="G10527" t="s">
        <v>32672</v>
      </c>
      <c r="H10527" t="s">
        <v>12635</v>
      </c>
      <c r="I10527" t="s">
        <v>11464</v>
      </c>
      <c r="J10527" t="s">
        <v>36084</v>
      </c>
      <c r="K10527" t="s">
        <v>42281</v>
      </c>
      <c r="M10527" t="s">
        <v>45730</v>
      </c>
      <c r="N10527" t="s">
        <v>46569</v>
      </c>
      <c r="O10527" t="s">
        <v>46570</v>
      </c>
      <c r="P10527">
        <v>0</v>
      </c>
      <c r="Q10527">
        <v>2</v>
      </c>
      <c r="R10527" t="s">
        <v>46578</v>
      </c>
      <c r="S10527" t="s">
        <v>46874</v>
      </c>
      <c r="T10527" t="s">
        <v>48661</v>
      </c>
      <c r="U10527" t="s">
        <v>57229</v>
      </c>
      <c r="V10527" t="s">
        <v>62747</v>
      </c>
      <c r="W10527" t="s">
        <v>45730</v>
      </c>
      <c r="X10527" t="s">
        <v>46579</v>
      </c>
    </row>
    <row r="10528" spans="1:24">
      <c r="A10528">
        <f>HYPERLINK("https://www.philgeps.gov.ph/GEPSNONPILOT/Tender/SplashBidNoticeAbstractUI.aspx?menuIndex=3&amp;refID=7050716&amp;Result=3","7050716")</f>
        <v>0</v>
      </c>
      <c r="B10528" t="s">
        <v>1467</v>
      </c>
      <c r="C10528" t="s">
        <v>13499</v>
      </c>
      <c r="D10528" t="s">
        <v>18809</v>
      </c>
      <c r="E10528" t="s">
        <v>28009</v>
      </c>
      <c r="F10528" t="s">
        <v>32664</v>
      </c>
      <c r="G10528" t="s">
        <v>32671</v>
      </c>
      <c r="H10528" t="s">
        <v>12635</v>
      </c>
      <c r="I10528" t="s">
        <v>10590</v>
      </c>
      <c r="J10528" t="s">
        <v>39091</v>
      </c>
      <c r="K10528" t="s">
        <v>42289</v>
      </c>
      <c r="M10528" t="s">
        <v>44129</v>
      </c>
      <c r="N10528" t="s">
        <v>46569</v>
      </c>
      <c r="O10528" t="s">
        <v>46570</v>
      </c>
      <c r="P10528">
        <v>0</v>
      </c>
      <c r="Q10528">
        <v>1</v>
      </c>
      <c r="R10528" t="s">
        <v>46578</v>
      </c>
      <c r="S10528" t="s">
        <v>46874</v>
      </c>
      <c r="T10528" t="s">
        <v>48448</v>
      </c>
      <c r="U10528" t="s">
        <v>57230</v>
      </c>
      <c r="W10528" t="s">
        <v>44129</v>
      </c>
      <c r="X10528" t="s">
        <v>46579</v>
      </c>
    </row>
    <row r="10529" spans="1:24">
      <c r="A10529">
        <f>HYPERLINK("https://www.philgeps.gov.ph/GEPSNONPILOT/Tender/SplashBidNoticeAbstractUI.aspx?menuIndex=3&amp;refID=7050693&amp;Result=3","7050693")</f>
        <v>0</v>
      </c>
      <c r="B10529" t="s">
        <v>2879</v>
      </c>
      <c r="C10529" t="s">
        <v>13500</v>
      </c>
      <c r="D10529" t="s">
        <v>18853</v>
      </c>
      <c r="E10529" t="s">
        <v>28010</v>
      </c>
      <c r="F10529" t="s">
        <v>32664</v>
      </c>
      <c r="G10529" t="s">
        <v>32672</v>
      </c>
      <c r="H10529" t="s">
        <v>12635</v>
      </c>
      <c r="I10529" t="s">
        <v>11464</v>
      </c>
      <c r="J10529" t="s">
        <v>35589</v>
      </c>
      <c r="K10529" t="s">
        <v>42281</v>
      </c>
      <c r="M10529" t="s">
        <v>45728</v>
      </c>
      <c r="N10529" t="s">
        <v>46569</v>
      </c>
      <c r="O10529" t="s">
        <v>46570</v>
      </c>
      <c r="P10529">
        <v>0</v>
      </c>
      <c r="Q10529">
        <v>6</v>
      </c>
      <c r="R10529" t="s">
        <v>46578</v>
      </c>
      <c r="S10529" t="s">
        <v>46874</v>
      </c>
      <c r="T10529" t="s">
        <v>48453</v>
      </c>
      <c r="U10529" t="s">
        <v>57227</v>
      </c>
      <c r="V10529" t="s">
        <v>62748</v>
      </c>
      <c r="W10529" t="s">
        <v>45728</v>
      </c>
      <c r="X10529" t="s">
        <v>46579</v>
      </c>
    </row>
    <row r="10530" spans="1:24">
      <c r="A10530">
        <f>HYPERLINK("https://www.philgeps.gov.ph/GEPSNONPILOT/Tender/SplashBidNoticeAbstractUI.aspx?menuIndex=3&amp;refID=7050403&amp;Result=3","7050403")</f>
        <v>0</v>
      </c>
      <c r="B10530" t="s">
        <v>2882</v>
      </c>
      <c r="C10530" t="s">
        <v>13501</v>
      </c>
      <c r="D10530" t="s">
        <v>18826</v>
      </c>
      <c r="E10530" t="s">
        <v>28011</v>
      </c>
      <c r="F10530" t="s">
        <v>32664</v>
      </c>
      <c r="G10530" t="s">
        <v>32672</v>
      </c>
      <c r="H10530" t="s">
        <v>32683</v>
      </c>
      <c r="I10530" t="s">
        <v>10627</v>
      </c>
      <c r="J10530" t="s">
        <v>33345</v>
      </c>
      <c r="K10530" t="s">
        <v>42305</v>
      </c>
      <c r="L10530" t="s">
        <v>2882</v>
      </c>
      <c r="M10530" t="s">
        <v>45731</v>
      </c>
      <c r="N10530" t="s">
        <v>46569</v>
      </c>
      <c r="O10530" t="s">
        <v>46570</v>
      </c>
      <c r="P10530">
        <v>0</v>
      </c>
      <c r="Q10530">
        <v>48</v>
      </c>
      <c r="R10530" t="s">
        <v>46578</v>
      </c>
      <c r="S10530" t="s">
        <v>46874</v>
      </c>
      <c r="T10530" t="s">
        <v>48449</v>
      </c>
      <c r="U10530" t="s">
        <v>57231</v>
      </c>
      <c r="W10530" t="s">
        <v>45731</v>
      </c>
      <c r="X10530" t="s">
        <v>46579</v>
      </c>
    </row>
    <row r="10531" spans="1:24">
      <c r="A10531">
        <f>HYPERLINK("https://www.philgeps.gov.ph/GEPSNONPILOT/Tender/SplashBidNoticeAbstractUI.aspx?menuIndex=3&amp;refID=7050788&amp;Result=3","7050788")</f>
        <v>0</v>
      </c>
      <c r="B10531" t="s">
        <v>243</v>
      </c>
      <c r="C10531" t="s">
        <v>13502</v>
      </c>
      <c r="D10531" t="s">
        <v>18841</v>
      </c>
      <c r="E10531" t="s">
        <v>28012</v>
      </c>
      <c r="F10531" t="s">
        <v>32664</v>
      </c>
      <c r="G10531" t="s">
        <v>32672</v>
      </c>
      <c r="H10531" t="s">
        <v>32683</v>
      </c>
      <c r="I10531" t="s">
        <v>10627</v>
      </c>
      <c r="J10531" t="s">
        <v>39092</v>
      </c>
      <c r="K10531" t="s">
        <v>42290</v>
      </c>
      <c r="L10531" t="s">
        <v>243</v>
      </c>
      <c r="M10531" t="s">
        <v>42808</v>
      </c>
      <c r="N10531" t="s">
        <v>46569</v>
      </c>
      <c r="O10531" t="s">
        <v>46570</v>
      </c>
      <c r="P10531">
        <v>0</v>
      </c>
      <c r="Q10531">
        <v>0</v>
      </c>
      <c r="R10531" t="s">
        <v>46578</v>
      </c>
      <c r="S10531" t="s">
        <v>46874</v>
      </c>
      <c r="T10531" t="s">
        <v>48452</v>
      </c>
      <c r="U10531" t="s">
        <v>57232</v>
      </c>
      <c r="V10531" t="s">
        <v>61763</v>
      </c>
      <c r="W10531" t="s">
        <v>42808</v>
      </c>
      <c r="X10531" t="s">
        <v>46579</v>
      </c>
    </row>
    <row r="10532" spans="1:24">
      <c r="A10532">
        <f>HYPERLINK("https://www.philgeps.gov.ph/GEPSNONPILOT/Tender/SplashBidNoticeAbstractUI.aspx?menuIndex=3&amp;refID=7050787&amp;Result=3","7050787")</f>
        <v>0</v>
      </c>
      <c r="B10532" t="s">
        <v>2883</v>
      </c>
      <c r="C10532" t="s">
        <v>13503</v>
      </c>
      <c r="D10532" t="s">
        <v>18856</v>
      </c>
      <c r="E10532" t="s">
        <v>21726</v>
      </c>
      <c r="F10532" t="s">
        <v>32664</v>
      </c>
      <c r="G10532" t="s">
        <v>32672</v>
      </c>
      <c r="H10532" t="s">
        <v>12635</v>
      </c>
      <c r="I10532" t="s">
        <v>11464</v>
      </c>
      <c r="J10532" t="s">
        <v>33128</v>
      </c>
      <c r="K10532" t="s">
        <v>42281</v>
      </c>
      <c r="M10532" t="s">
        <v>45732</v>
      </c>
      <c r="N10532" t="s">
        <v>46569</v>
      </c>
      <c r="O10532" t="s">
        <v>46570</v>
      </c>
      <c r="P10532">
        <v>0</v>
      </c>
      <c r="Q10532">
        <v>0</v>
      </c>
      <c r="R10532" t="s">
        <v>46578</v>
      </c>
      <c r="S10532" t="s">
        <v>46874</v>
      </c>
      <c r="T10532" t="s">
        <v>48278</v>
      </c>
      <c r="U10532" t="s">
        <v>57233</v>
      </c>
      <c r="V10532" t="s">
        <v>61934</v>
      </c>
      <c r="W10532" t="s">
        <v>45732</v>
      </c>
      <c r="X10532" t="s">
        <v>46579</v>
      </c>
    </row>
    <row r="10533" spans="1:24">
      <c r="A10533">
        <f>HYPERLINK("https://www.philgeps.gov.ph/GEPSNONPILOT/Tender/SplashBidNoticeAbstractUI.aspx?menuIndex=3&amp;refID=7050702&amp;Result=3","7050702")</f>
        <v>0</v>
      </c>
      <c r="B10533" t="s">
        <v>2189</v>
      </c>
      <c r="C10533" t="s">
        <v>13492</v>
      </c>
      <c r="D10533" t="s">
        <v>18843</v>
      </c>
      <c r="E10533" t="s">
        <v>28013</v>
      </c>
      <c r="F10533" t="s">
        <v>32664</v>
      </c>
      <c r="G10533" t="s">
        <v>32674</v>
      </c>
      <c r="H10533" t="s">
        <v>32682</v>
      </c>
      <c r="I10533" t="s">
        <v>32745</v>
      </c>
      <c r="J10533" t="s">
        <v>34268</v>
      </c>
      <c r="K10533" t="s">
        <v>42284</v>
      </c>
      <c r="M10533" t="s">
        <v>44951</v>
      </c>
      <c r="N10533" t="s">
        <v>46569</v>
      </c>
      <c r="O10533" t="s">
        <v>46570</v>
      </c>
      <c r="P10533">
        <v>0</v>
      </c>
      <c r="Q10533">
        <v>0</v>
      </c>
      <c r="R10533" t="s">
        <v>46578</v>
      </c>
      <c r="S10533" t="s">
        <v>46874</v>
      </c>
      <c r="T10533" t="s">
        <v>48448</v>
      </c>
      <c r="U10533" t="s">
        <v>57223</v>
      </c>
      <c r="W10533" t="s">
        <v>44951</v>
      </c>
      <c r="X10533" t="s">
        <v>46579</v>
      </c>
    </row>
    <row r="10534" spans="1:24">
      <c r="A10534">
        <f>HYPERLINK("https://www.philgeps.gov.ph/GEPSNONPILOT/Tender/SplashBidNoticeAbstractUI.aspx?menuIndex=3&amp;refID=7050691&amp;Result=3","7050691")</f>
        <v>0</v>
      </c>
      <c r="B10534" t="s">
        <v>2874</v>
      </c>
      <c r="C10534" t="s">
        <v>13504</v>
      </c>
      <c r="D10534" t="s">
        <v>18785</v>
      </c>
      <c r="E10534" t="s">
        <v>28014</v>
      </c>
      <c r="F10534" t="s">
        <v>32664</v>
      </c>
      <c r="G10534" t="s">
        <v>32672</v>
      </c>
      <c r="H10534" t="s">
        <v>32683</v>
      </c>
      <c r="I10534" t="s">
        <v>10627</v>
      </c>
      <c r="J10534" t="s">
        <v>39093</v>
      </c>
      <c r="K10534" t="s">
        <v>42281</v>
      </c>
      <c r="M10534" t="s">
        <v>45723</v>
      </c>
      <c r="N10534" t="s">
        <v>46569</v>
      </c>
      <c r="O10534" t="s">
        <v>46570</v>
      </c>
      <c r="P10534">
        <v>0</v>
      </c>
      <c r="Q10534">
        <v>2</v>
      </c>
      <c r="R10534" t="s">
        <v>46578</v>
      </c>
      <c r="S10534" t="s">
        <v>46874</v>
      </c>
      <c r="T10534" t="s">
        <v>48448</v>
      </c>
      <c r="U10534" t="s">
        <v>57234</v>
      </c>
      <c r="V10534" t="s">
        <v>62743</v>
      </c>
      <c r="W10534" t="s">
        <v>45723</v>
      </c>
      <c r="X10534" t="s">
        <v>46579</v>
      </c>
    </row>
    <row r="10535" spans="1:24">
      <c r="A10535">
        <f>HYPERLINK("https://www.philgeps.gov.ph/GEPSNONPILOT/Tender/SplashBidNoticeAbstractUI.aspx?menuIndex=3&amp;refID=7050784&amp;Result=3","7050784")</f>
        <v>0</v>
      </c>
      <c r="B10535" t="s">
        <v>988</v>
      </c>
      <c r="C10535" t="s">
        <v>13505</v>
      </c>
      <c r="D10535" t="s">
        <v>18784</v>
      </c>
      <c r="E10535" t="s">
        <v>28015</v>
      </c>
      <c r="F10535" t="s">
        <v>32664</v>
      </c>
      <c r="G10535" t="s">
        <v>32671</v>
      </c>
      <c r="H10535" t="s">
        <v>12635</v>
      </c>
      <c r="I10535" t="s">
        <v>32699</v>
      </c>
      <c r="J10535" t="s">
        <v>32853</v>
      </c>
      <c r="K10535" t="s">
        <v>42289</v>
      </c>
      <c r="M10535" t="s">
        <v>44301</v>
      </c>
      <c r="N10535" t="s">
        <v>46569</v>
      </c>
      <c r="O10535" t="s">
        <v>46570</v>
      </c>
      <c r="P10535">
        <v>0</v>
      </c>
      <c r="Q10535">
        <v>6</v>
      </c>
      <c r="R10535" t="s">
        <v>46578</v>
      </c>
      <c r="S10535" t="s">
        <v>46874</v>
      </c>
      <c r="T10535" t="s">
        <v>48287</v>
      </c>
      <c r="U10535" t="s">
        <v>57235</v>
      </c>
      <c r="W10535" t="s">
        <v>44301</v>
      </c>
      <c r="X10535" t="s">
        <v>46579</v>
      </c>
    </row>
    <row r="10536" spans="1:24">
      <c r="A10536">
        <f>HYPERLINK("https://www.philgeps.gov.ph/GEPSNONPILOT/Tender/SplashBidNoticeAbstractUI.aspx?menuIndex=3&amp;refID=7050618&amp;Result=3","7050618")</f>
        <v>0</v>
      </c>
      <c r="B10536" t="s">
        <v>2884</v>
      </c>
      <c r="C10536" t="s">
        <v>13506</v>
      </c>
      <c r="D10536" t="s">
        <v>18841</v>
      </c>
      <c r="E10536" t="s">
        <v>28016</v>
      </c>
      <c r="F10536" t="s">
        <v>32664</v>
      </c>
      <c r="G10536" t="s">
        <v>32672</v>
      </c>
      <c r="H10536" t="s">
        <v>12635</v>
      </c>
      <c r="I10536" t="s">
        <v>5589</v>
      </c>
      <c r="J10536" t="s">
        <v>33755</v>
      </c>
      <c r="K10536" t="s">
        <v>42283</v>
      </c>
      <c r="M10536" t="s">
        <v>45733</v>
      </c>
      <c r="N10536" t="s">
        <v>46569</v>
      </c>
      <c r="O10536" t="s">
        <v>46570</v>
      </c>
      <c r="P10536">
        <v>0</v>
      </c>
      <c r="Q10536">
        <v>2</v>
      </c>
      <c r="R10536" t="s">
        <v>46578</v>
      </c>
      <c r="S10536" t="s">
        <v>46874</v>
      </c>
      <c r="T10536" t="s">
        <v>48221</v>
      </c>
      <c r="U10536" t="s">
        <v>57236</v>
      </c>
      <c r="W10536" t="s">
        <v>63576</v>
      </c>
      <c r="X10536" t="s">
        <v>46579</v>
      </c>
    </row>
    <row r="10537" spans="1:24">
      <c r="A10537">
        <f>HYPERLINK("https://www.philgeps.gov.ph/GEPSNONPILOT/Tender/SplashBidNoticeAbstractUI.aspx?menuIndex=3&amp;refID=7050755&amp;Result=3","7050755")</f>
        <v>0</v>
      </c>
      <c r="B10537" t="s">
        <v>2875</v>
      </c>
      <c r="C10537" t="s">
        <v>13507</v>
      </c>
      <c r="D10537" t="s">
        <v>18799</v>
      </c>
      <c r="E10537" t="s">
        <v>28017</v>
      </c>
      <c r="F10537" t="s">
        <v>32664</v>
      </c>
      <c r="G10537" t="s">
        <v>32672</v>
      </c>
      <c r="H10537" t="s">
        <v>12635</v>
      </c>
      <c r="I10537" t="s">
        <v>32736</v>
      </c>
      <c r="J10537" t="s">
        <v>33051</v>
      </c>
      <c r="K10537" t="s">
        <v>42283</v>
      </c>
      <c r="M10537" t="s">
        <v>45724</v>
      </c>
      <c r="N10537" t="s">
        <v>46569</v>
      </c>
      <c r="O10537" t="s">
        <v>46570</v>
      </c>
      <c r="P10537">
        <v>0</v>
      </c>
      <c r="Q10537">
        <v>0</v>
      </c>
      <c r="R10537" t="s">
        <v>46578</v>
      </c>
      <c r="S10537" t="s">
        <v>46874</v>
      </c>
      <c r="T10537" t="s">
        <v>48349</v>
      </c>
      <c r="U10537" t="s">
        <v>57237</v>
      </c>
      <c r="W10537" t="s">
        <v>45724</v>
      </c>
      <c r="X10537" t="s">
        <v>46579</v>
      </c>
    </row>
    <row r="10538" spans="1:24">
      <c r="A10538">
        <f>HYPERLINK("https://www.philgeps.gov.ph/GEPSNONPILOT/Tender/SplashBidNoticeAbstractUI.aspx?menuIndex=3&amp;refID=7050752&amp;Result=3","7050752")</f>
        <v>0</v>
      </c>
      <c r="B10538" t="s">
        <v>2884</v>
      </c>
      <c r="C10538" t="s">
        <v>13508</v>
      </c>
      <c r="D10538" t="s">
        <v>18841</v>
      </c>
      <c r="E10538" t="s">
        <v>28018</v>
      </c>
      <c r="F10538" t="s">
        <v>32664</v>
      </c>
      <c r="G10538" t="s">
        <v>32674</v>
      </c>
      <c r="H10538" t="s">
        <v>12635</v>
      </c>
      <c r="I10538" t="s">
        <v>32706</v>
      </c>
      <c r="J10538" t="s">
        <v>33128</v>
      </c>
      <c r="K10538" t="s">
        <v>42283</v>
      </c>
      <c r="M10538" t="s">
        <v>45733</v>
      </c>
      <c r="N10538" t="s">
        <v>46569</v>
      </c>
      <c r="O10538" t="s">
        <v>46570</v>
      </c>
      <c r="P10538">
        <v>0</v>
      </c>
      <c r="Q10538">
        <v>0</v>
      </c>
      <c r="R10538" t="s">
        <v>46578</v>
      </c>
      <c r="S10538" t="s">
        <v>46874</v>
      </c>
      <c r="T10538" t="s">
        <v>48287</v>
      </c>
      <c r="U10538" t="s">
        <v>57238</v>
      </c>
      <c r="W10538" t="s">
        <v>63576</v>
      </c>
      <c r="X10538" t="s">
        <v>46579</v>
      </c>
    </row>
    <row r="10539" spans="1:24">
      <c r="A10539">
        <f>HYPERLINK("https://www.philgeps.gov.ph/GEPSNONPILOT/Tender/SplashBidNoticeAbstractUI.aspx?menuIndex=3&amp;refID=7050746&amp;Result=3","7050746")</f>
        <v>0</v>
      </c>
      <c r="B10539" t="s">
        <v>2884</v>
      </c>
      <c r="C10539" t="s">
        <v>13508</v>
      </c>
      <c r="D10539" t="s">
        <v>18841</v>
      </c>
      <c r="E10539" t="s">
        <v>28019</v>
      </c>
      <c r="F10539" t="s">
        <v>32664</v>
      </c>
      <c r="G10539" t="s">
        <v>32674</v>
      </c>
      <c r="H10539" t="s">
        <v>12635</v>
      </c>
      <c r="I10539" t="s">
        <v>32706</v>
      </c>
      <c r="J10539" t="s">
        <v>33128</v>
      </c>
      <c r="K10539" t="s">
        <v>42283</v>
      </c>
      <c r="M10539" t="s">
        <v>45733</v>
      </c>
      <c r="N10539" t="s">
        <v>46569</v>
      </c>
      <c r="O10539" t="s">
        <v>46570</v>
      </c>
      <c r="P10539">
        <v>0</v>
      </c>
      <c r="Q10539">
        <v>0</v>
      </c>
      <c r="R10539" t="s">
        <v>46578</v>
      </c>
      <c r="S10539" t="s">
        <v>46874</v>
      </c>
      <c r="T10539" t="s">
        <v>48287</v>
      </c>
      <c r="U10539" t="s">
        <v>57238</v>
      </c>
      <c r="W10539" t="s">
        <v>63576</v>
      </c>
      <c r="X10539" t="s">
        <v>46579</v>
      </c>
    </row>
    <row r="10540" spans="1:24">
      <c r="A10540">
        <f>HYPERLINK("https://www.philgeps.gov.ph/GEPSNONPILOT/Tender/SplashBidNoticeAbstractUI.aspx?menuIndex=3&amp;refID=7050743&amp;Result=3","7050743")</f>
        <v>0</v>
      </c>
      <c r="B10540" t="s">
        <v>2879</v>
      </c>
      <c r="C10540" t="s">
        <v>13509</v>
      </c>
      <c r="D10540" t="s">
        <v>18853</v>
      </c>
      <c r="E10540" t="s">
        <v>28020</v>
      </c>
      <c r="F10540" t="s">
        <v>32664</v>
      </c>
      <c r="G10540" t="s">
        <v>32672</v>
      </c>
      <c r="H10540" t="s">
        <v>12635</v>
      </c>
      <c r="I10540" t="s">
        <v>5589</v>
      </c>
      <c r="J10540" t="s">
        <v>39094</v>
      </c>
      <c r="K10540" t="s">
        <v>42281</v>
      </c>
      <c r="M10540" t="s">
        <v>45728</v>
      </c>
      <c r="N10540" t="s">
        <v>46569</v>
      </c>
      <c r="O10540" t="s">
        <v>46570</v>
      </c>
      <c r="P10540">
        <v>0</v>
      </c>
      <c r="Q10540">
        <v>7</v>
      </c>
      <c r="R10540" t="s">
        <v>46578</v>
      </c>
      <c r="S10540" t="s">
        <v>46874</v>
      </c>
      <c r="T10540" t="s">
        <v>48453</v>
      </c>
      <c r="U10540" t="s">
        <v>57239</v>
      </c>
      <c r="W10540" t="s">
        <v>45728</v>
      </c>
      <c r="X10540" t="s">
        <v>46579</v>
      </c>
    </row>
    <row r="10541" spans="1:24">
      <c r="A10541">
        <f>HYPERLINK("https://www.philgeps.gov.ph/GEPSNONPILOT/Tender/SplashBidNoticeAbstractUI.aspx?menuIndex=3&amp;refID=7050742&amp;Result=3","7050742")</f>
        <v>0</v>
      </c>
      <c r="B10541" t="s">
        <v>754</v>
      </c>
      <c r="C10541" t="s">
        <v>13510</v>
      </c>
      <c r="D10541" t="s">
        <v>18798</v>
      </c>
      <c r="E10541" t="s">
        <v>19338</v>
      </c>
      <c r="F10541" t="s">
        <v>32664</v>
      </c>
      <c r="G10541" t="s">
        <v>32671</v>
      </c>
      <c r="H10541" t="s">
        <v>12635</v>
      </c>
      <c r="I10541" t="s">
        <v>32708</v>
      </c>
      <c r="J10541" t="s">
        <v>39095</v>
      </c>
      <c r="K10541" t="s">
        <v>42284</v>
      </c>
      <c r="M10541" t="s">
        <v>43660</v>
      </c>
      <c r="N10541" t="s">
        <v>46569</v>
      </c>
      <c r="O10541" t="s">
        <v>46570</v>
      </c>
      <c r="Q10541">
        <v>1</v>
      </c>
      <c r="R10541" t="s">
        <v>46578</v>
      </c>
      <c r="S10541" t="s">
        <v>46898</v>
      </c>
      <c r="T10541" t="s">
        <v>48449</v>
      </c>
      <c r="U10541" t="s">
        <v>57240</v>
      </c>
      <c r="V10541" t="s">
        <v>62749</v>
      </c>
      <c r="W10541" t="s">
        <v>43660</v>
      </c>
      <c r="X10541" t="s">
        <v>46579</v>
      </c>
    </row>
    <row r="10542" spans="1:24">
      <c r="A10542">
        <f>HYPERLINK("https://www.philgeps.gov.ph/GEPSNONPILOT/Tender/SplashBidNoticeAbstractUI.aspx?menuIndex=3&amp;refID=7050696&amp;Result=3","7050696")</f>
        <v>0</v>
      </c>
      <c r="B10542" t="s">
        <v>802</v>
      </c>
      <c r="C10542" t="s">
        <v>13511</v>
      </c>
      <c r="D10542" t="s">
        <v>18798</v>
      </c>
      <c r="E10542" t="s">
        <v>28021</v>
      </c>
      <c r="F10542" t="s">
        <v>32664</v>
      </c>
      <c r="G10542" t="s">
        <v>32672</v>
      </c>
      <c r="H10542" t="s">
        <v>12635</v>
      </c>
      <c r="I10542" t="s">
        <v>6223</v>
      </c>
      <c r="J10542" t="s">
        <v>34529</v>
      </c>
      <c r="K10542" t="s">
        <v>42297</v>
      </c>
      <c r="M10542" t="s">
        <v>43394</v>
      </c>
      <c r="N10542" t="s">
        <v>46569</v>
      </c>
      <c r="O10542" t="s">
        <v>46570</v>
      </c>
      <c r="P10542">
        <v>0</v>
      </c>
      <c r="Q10542">
        <v>2</v>
      </c>
      <c r="R10542" t="s">
        <v>46578</v>
      </c>
      <c r="S10542" t="s">
        <v>46874</v>
      </c>
      <c r="T10542" t="s">
        <v>48418</v>
      </c>
      <c r="U10542" t="s">
        <v>57241</v>
      </c>
      <c r="W10542" t="s">
        <v>43394</v>
      </c>
      <c r="X10542" t="s">
        <v>46579</v>
      </c>
    </row>
    <row r="10543" spans="1:24">
      <c r="A10543">
        <f>HYPERLINK("https://www.philgeps.gov.ph/GEPSNONPILOT/Tender/SplashBidNoticeAbstractUI.aspx?menuIndex=3&amp;refID=7050768&amp;Result=3","7050768")</f>
        <v>0</v>
      </c>
      <c r="B10543" t="s">
        <v>2885</v>
      </c>
      <c r="C10543" t="s">
        <v>13512</v>
      </c>
      <c r="D10543" t="s">
        <v>18798</v>
      </c>
      <c r="E10543" t="s">
        <v>25402</v>
      </c>
      <c r="F10543" t="s">
        <v>32664</v>
      </c>
      <c r="G10543" t="s">
        <v>32675</v>
      </c>
      <c r="H10543" t="s">
        <v>12635</v>
      </c>
      <c r="I10543" t="s">
        <v>32715</v>
      </c>
      <c r="J10543" t="s">
        <v>33361</v>
      </c>
      <c r="K10543" t="s">
        <v>42297</v>
      </c>
      <c r="M10543" t="s">
        <v>45734</v>
      </c>
      <c r="N10543" t="s">
        <v>46569</v>
      </c>
      <c r="O10543" t="s">
        <v>46570</v>
      </c>
      <c r="P10543">
        <v>0</v>
      </c>
      <c r="Q10543">
        <v>1</v>
      </c>
      <c r="R10543" t="s">
        <v>46578</v>
      </c>
      <c r="S10543" t="s">
        <v>46874</v>
      </c>
      <c r="T10543" t="s">
        <v>48473</v>
      </c>
      <c r="U10543" t="s">
        <v>57242</v>
      </c>
      <c r="W10543" t="s">
        <v>45734</v>
      </c>
      <c r="X10543" t="s">
        <v>46579</v>
      </c>
    </row>
    <row r="10544" spans="1:24">
      <c r="A10544">
        <f>HYPERLINK("https://www.philgeps.gov.ph/GEPSNONPILOT/Tender/SplashBidNoticeAbstractUI.aspx?menuIndex=3&amp;refID=7050737&amp;Result=3","7050737")</f>
        <v>0</v>
      </c>
      <c r="B10544" t="s">
        <v>2878</v>
      </c>
      <c r="C10544" t="s">
        <v>13513</v>
      </c>
      <c r="D10544" t="s">
        <v>18785</v>
      </c>
      <c r="E10544" t="s">
        <v>19718</v>
      </c>
      <c r="F10544" t="s">
        <v>32664</v>
      </c>
      <c r="G10544" t="s">
        <v>32672</v>
      </c>
      <c r="H10544" t="s">
        <v>12635</v>
      </c>
      <c r="I10544" t="s">
        <v>4333</v>
      </c>
      <c r="J10544" t="s">
        <v>33578</v>
      </c>
      <c r="K10544" t="s">
        <v>42295</v>
      </c>
      <c r="M10544" t="s">
        <v>45727</v>
      </c>
      <c r="N10544" t="s">
        <v>46569</v>
      </c>
      <c r="O10544" t="s">
        <v>46570</v>
      </c>
      <c r="P10544">
        <v>0</v>
      </c>
      <c r="Q10544">
        <v>1</v>
      </c>
      <c r="R10544" t="s">
        <v>46578</v>
      </c>
      <c r="S10544" t="s">
        <v>46874</v>
      </c>
      <c r="T10544" t="s">
        <v>48254</v>
      </c>
      <c r="U10544" t="s">
        <v>57243</v>
      </c>
      <c r="W10544" t="s">
        <v>45727</v>
      </c>
      <c r="X10544" t="s">
        <v>46579</v>
      </c>
    </row>
    <row r="10545" spans="1:24">
      <c r="A10545">
        <f>HYPERLINK("https://www.philgeps.gov.ph/GEPSNONPILOT/Tender/SplashBidNoticeAbstractUI.aspx?menuIndex=3&amp;refID=7050497&amp;Result=3","7050497")</f>
        <v>0</v>
      </c>
      <c r="B10545" t="s">
        <v>2866</v>
      </c>
      <c r="C10545" t="s">
        <v>13514</v>
      </c>
      <c r="D10545" t="s">
        <v>18788</v>
      </c>
      <c r="E10545" t="s">
        <v>21048</v>
      </c>
      <c r="F10545" t="s">
        <v>32664</v>
      </c>
      <c r="G10545" t="s">
        <v>32672</v>
      </c>
      <c r="H10545" t="s">
        <v>12635</v>
      </c>
      <c r="I10545" t="s">
        <v>4439</v>
      </c>
      <c r="J10545" t="s">
        <v>39096</v>
      </c>
      <c r="K10545" t="s">
        <v>42281</v>
      </c>
      <c r="M10545" t="s">
        <v>45715</v>
      </c>
      <c r="N10545" t="s">
        <v>46569</v>
      </c>
      <c r="O10545" t="s">
        <v>46570</v>
      </c>
      <c r="P10545">
        <v>0</v>
      </c>
      <c r="Q10545">
        <v>2</v>
      </c>
      <c r="R10545" t="s">
        <v>46578</v>
      </c>
      <c r="S10545" t="s">
        <v>46874</v>
      </c>
      <c r="T10545" t="s">
        <v>48273</v>
      </c>
      <c r="U10545" t="s">
        <v>57244</v>
      </c>
      <c r="W10545" t="s">
        <v>45715</v>
      </c>
      <c r="X10545" t="s">
        <v>46579</v>
      </c>
    </row>
    <row r="10546" spans="1:24">
      <c r="A10546">
        <f>HYPERLINK("https://www.philgeps.gov.ph/GEPSNONPILOT/Tender/SplashBidNoticeAbstractUI.aspx?menuIndex=3&amp;refID=7050729&amp;Result=3","7050729")</f>
        <v>0</v>
      </c>
      <c r="B10546" t="s">
        <v>1286</v>
      </c>
      <c r="C10546" t="s">
        <v>13515</v>
      </c>
      <c r="D10546" t="s">
        <v>18784</v>
      </c>
      <c r="E10546" t="s">
        <v>28022</v>
      </c>
      <c r="F10546" t="s">
        <v>32664</v>
      </c>
      <c r="G10546" t="s">
        <v>32671</v>
      </c>
      <c r="H10546" t="s">
        <v>12635</v>
      </c>
      <c r="I10546" t="s">
        <v>5501</v>
      </c>
      <c r="J10546" t="s">
        <v>39097</v>
      </c>
      <c r="K10546" t="s">
        <v>42378</v>
      </c>
      <c r="M10546" t="s">
        <v>43929</v>
      </c>
      <c r="N10546" t="s">
        <v>46569</v>
      </c>
      <c r="O10546" t="s">
        <v>46570</v>
      </c>
      <c r="P10546">
        <v>0</v>
      </c>
      <c r="Q10546">
        <v>16</v>
      </c>
      <c r="R10546" t="s">
        <v>46578</v>
      </c>
      <c r="S10546" t="s">
        <v>46874</v>
      </c>
      <c r="T10546" t="s">
        <v>48376</v>
      </c>
      <c r="U10546" t="s">
        <v>57245</v>
      </c>
      <c r="W10546" t="s">
        <v>43929</v>
      </c>
      <c r="X10546" t="s">
        <v>46579</v>
      </c>
    </row>
    <row r="10547" spans="1:24">
      <c r="A10547">
        <f>HYPERLINK("https://www.philgeps.gov.ph/GEPSNONPILOT/Tender/SplashBidNoticeAbstractUI.aspx?menuIndex=3&amp;refID=7050728&amp;Result=3","7050728")</f>
        <v>0</v>
      </c>
      <c r="B10547" t="s">
        <v>2884</v>
      </c>
      <c r="C10547" t="s">
        <v>13516</v>
      </c>
      <c r="D10547" t="s">
        <v>18841</v>
      </c>
      <c r="E10547" t="s">
        <v>28023</v>
      </c>
      <c r="F10547" t="s">
        <v>32664</v>
      </c>
      <c r="G10547" t="s">
        <v>32672</v>
      </c>
      <c r="H10547" t="s">
        <v>32683</v>
      </c>
      <c r="I10547" t="s">
        <v>10627</v>
      </c>
      <c r="J10547" t="s">
        <v>32943</v>
      </c>
      <c r="K10547" t="s">
        <v>42311</v>
      </c>
      <c r="M10547" t="s">
        <v>45733</v>
      </c>
      <c r="N10547" t="s">
        <v>46569</v>
      </c>
      <c r="O10547" t="s">
        <v>46570</v>
      </c>
      <c r="P10547">
        <v>0</v>
      </c>
      <c r="Q10547">
        <v>0</v>
      </c>
      <c r="R10547" t="s">
        <v>46578</v>
      </c>
      <c r="S10547" t="s">
        <v>46874</v>
      </c>
      <c r="T10547" t="s">
        <v>48308</v>
      </c>
      <c r="U10547" t="s">
        <v>57246</v>
      </c>
      <c r="W10547" t="s">
        <v>63576</v>
      </c>
      <c r="X10547" t="s">
        <v>46579</v>
      </c>
    </row>
    <row r="10548" spans="1:24">
      <c r="A10548">
        <f>HYPERLINK("https://www.philgeps.gov.ph/GEPSNONPILOT/Tender/SplashBidNoticeAbstractUI.aspx?menuIndex=3&amp;refID=7050745&amp;Result=3","7050745")</f>
        <v>0</v>
      </c>
      <c r="B10548" t="s">
        <v>2446</v>
      </c>
      <c r="C10548" t="s">
        <v>13517</v>
      </c>
      <c r="D10548" t="s">
        <v>18838</v>
      </c>
      <c r="E10548" t="s">
        <v>28024</v>
      </c>
      <c r="F10548" t="s">
        <v>32664</v>
      </c>
      <c r="G10548" t="s">
        <v>32672</v>
      </c>
      <c r="H10548" t="s">
        <v>12635</v>
      </c>
      <c r="I10548" t="s">
        <v>32738</v>
      </c>
      <c r="J10548" t="s">
        <v>33345</v>
      </c>
      <c r="K10548" t="s">
        <v>42283</v>
      </c>
      <c r="M10548" t="s">
        <v>45239</v>
      </c>
      <c r="N10548" t="s">
        <v>46569</v>
      </c>
      <c r="O10548" t="s">
        <v>46570</v>
      </c>
      <c r="Q10548">
        <v>3</v>
      </c>
      <c r="R10548" t="s">
        <v>46578</v>
      </c>
      <c r="S10548" t="s">
        <v>46899</v>
      </c>
      <c r="T10548" t="s">
        <v>48637</v>
      </c>
      <c r="U10548" t="s">
        <v>57247</v>
      </c>
      <c r="V10548" t="s">
        <v>62750</v>
      </c>
      <c r="W10548" t="s">
        <v>45239</v>
      </c>
      <c r="X10548" t="s">
        <v>46579</v>
      </c>
    </row>
    <row r="10549" spans="1:24">
      <c r="A10549">
        <f>HYPERLINK("https://www.philgeps.gov.ph/GEPSNONPILOT/Tender/SplashBidNoticeAbstractUI.aspx?menuIndex=3&amp;refID=7050794&amp;Result=3","7050794")</f>
        <v>0</v>
      </c>
      <c r="B10549" t="s">
        <v>2346</v>
      </c>
      <c r="C10549" t="s">
        <v>13518</v>
      </c>
      <c r="D10549" t="s">
        <v>18846</v>
      </c>
      <c r="E10549" t="s">
        <v>28025</v>
      </c>
      <c r="F10549" t="s">
        <v>32664</v>
      </c>
      <c r="G10549" t="s">
        <v>32672</v>
      </c>
      <c r="H10549" t="s">
        <v>12635</v>
      </c>
      <c r="I10549" t="s">
        <v>11464</v>
      </c>
      <c r="J10549" t="s">
        <v>33320</v>
      </c>
      <c r="K10549" t="s">
        <v>42298</v>
      </c>
      <c r="M10549" t="s">
        <v>45128</v>
      </c>
      <c r="N10549" t="s">
        <v>46569</v>
      </c>
      <c r="O10549" t="s">
        <v>46570</v>
      </c>
      <c r="P10549">
        <v>0</v>
      </c>
      <c r="Q10549">
        <v>0</v>
      </c>
      <c r="R10549" t="s">
        <v>46578</v>
      </c>
      <c r="S10549" t="s">
        <v>46874</v>
      </c>
      <c r="T10549" t="s">
        <v>48381</v>
      </c>
      <c r="U10549" t="s">
        <v>57248</v>
      </c>
      <c r="W10549" t="s">
        <v>45128</v>
      </c>
      <c r="X10549" t="s">
        <v>46579</v>
      </c>
    </row>
    <row r="10550" spans="1:24">
      <c r="A10550">
        <f>HYPERLINK("https://www.philgeps.gov.ph/GEPSNONPILOT/Tender/SplashBidNoticeAbstractUI.aspx?menuIndex=3&amp;refID=7050865&amp;Result=3","7050865")</f>
        <v>0</v>
      </c>
      <c r="B10550" t="s">
        <v>2886</v>
      </c>
      <c r="C10550" t="s">
        <v>13519</v>
      </c>
      <c r="D10550" t="s">
        <v>18784</v>
      </c>
      <c r="E10550" t="s">
        <v>28026</v>
      </c>
      <c r="F10550" t="s">
        <v>32664</v>
      </c>
      <c r="G10550" t="s">
        <v>32672</v>
      </c>
      <c r="H10550" t="s">
        <v>32683</v>
      </c>
      <c r="I10550" t="s">
        <v>10627</v>
      </c>
      <c r="J10550" t="s">
        <v>39098</v>
      </c>
      <c r="K10550" t="s">
        <v>42283</v>
      </c>
      <c r="M10550" t="s">
        <v>45735</v>
      </c>
      <c r="N10550" t="s">
        <v>46569</v>
      </c>
      <c r="O10550" t="s">
        <v>46570</v>
      </c>
      <c r="P10550">
        <v>0</v>
      </c>
      <c r="Q10550">
        <v>3</v>
      </c>
      <c r="R10550" t="s">
        <v>46578</v>
      </c>
      <c r="S10550" t="s">
        <v>46874</v>
      </c>
      <c r="T10550" t="s">
        <v>48424</v>
      </c>
      <c r="U10550" t="s">
        <v>57249</v>
      </c>
      <c r="W10550" t="s">
        <v>45735</v>
      </c>
      <c r="X10550" t="s">
        <v>46579</v>
      </c>
    </row>
    <row r="10551" spans="1:24">
      <c r="A10551">
        <f>HYPERLINK("https://www.philgeps.gov.ph/GEPSNONPILOT/Tender/SplashBidNoticeAbstractUI.aspx?menuIndex=3&amp;refID=7050741&amp;Result=3","7050741")</f>
        <v>0</v>
      </c>
      <c r="B10551" t="s">
        <v>209</v>
      </c>
      <c r="C10551" t="s">
        <v>13520</v>
      </c>
      <c r="D10551" t="s">
        <v>18789</v>
      </c>
      <c r="E10551" t="s">
        <v>28027</v>
      </c>
      <c r="F10551" t="s">
        <v>32664</v>
      </c>
      <c r="G10551" t="s">
        <v>32671</v>
      </c>
      <c r="H10551" t="s">
        <v>32683</v>
      </c>
      <c r="I10551" t="s">
        <v>4439</v>
      </c>
      <c r="J10551" t="s">
        <v>33387</v>
      </c>
      <c r="K10551" t="s">
        <v>42330</v>
      </c>
      <c r="M10551" t="s">
        <v>42773</v>
      </c>
      <c r="N10551" t="s">
        <v>46569</v>
      </c>
      <c r="O10551" t="s">
        <v>46570</v>
      </c>
      <c r="Q10551">
        <v>1</v>
      </c>
      <c r="R10551" t="s">
        <v>46578</v>
      </c>
      <c r="S10551" t="s">
        <v>46900</v>
      </c>
      <c r="T10551" t="s">
        <v>48448</v>
      </c>
      <c r="U10551" t="s">
        <v>57250</v>
      </c>
      <c r="W10551" t="s">
        <v>42773</v>
      </c>
      <c r="X10551" t="s">
        <v>46579</v>
      </c>
    </row>
    <row r="10552" spans="1:24">
      <c r="A10552">
        <f>HYPERLINK("https://www.philgeps.gov.ph/GEPSNONPILOT/Tender/SplashBidNoticeAbstractUI.aspx?menuIndex=3&amp;refID=7050738&amp;Result=3","7050738")</f>
        <v>0</v>
      </c>
      <c r="B10552" t="s">
        <v>441</v>
      </c>
      <c r="C10552" t="s">
        <v>13521</v>
      </c>
      <c r="D10552" t="s">
        <v>18805</v>
      </c>
      <c r="E10552" t="s">
        <v>28028</v>
      </c>
      <c r="F10552" t="s">
        <v>32664</v>
      </c>
      <c r="G10552" t="s">
        <v>32672</v>
      </c>
      <c r="H10552" t="s">
        <v>32683</v>
      </c>
      <c r="I10552" t="s">
        <v>10627</v>
      </c>
      <c r="J10552" t="s">
        <v>34148</v>
      </c>
      <c r="K10552" t="s">
        <v>42450</v>
      </c>
      <c r="M10552" t="s">
        <v>43013</v>
      </c>
      <c r="N10552" t="s">
        <v>46569</v>
      </c>
      <c r="O10552" t="s">
        <v>46570</v>
      </c>
      <c r="P10552">
        <v>0</v>
      </c>
      <c r="Q10552">
        <v>2</v>
      </c>
      <c r="R10552" t="s">
        <v>46578</v>
      </c>
      <c r="S10552" t="s">
        <v>46874</v>
      </c>
      <c r="T10552" t="s">
        <v>48295</v>
      </c>
      <c r="U10552" t="s">
        <v>57251</v>
      </c>
      <c r="W10552" t="s">
        <v>44010</v>
      </c>
      <c r="X10552" t="s">
        <v>46579</v>
      </c>
    </row>
    <row r="10553" spans="1:24">
      <c r="A10553">
        <f>HYPERLINK("https://www.philgeps.gov.ph/GEPSNONPILOT/Tender/SplashBidNoticeAbstractUI.aspx?menuIndex=3&amp;refID=7050855&amp;Result=3","7050855")</f>
        <v>0</v>
      </c>
      <c r="B10553" t="s">
        <v>2886</v>
      </c>
      <c r="C10553" t="s">
        <v>13522</v>
      </c>
      <c r="D10553" t="s">
        <v>18784</v>
      </c>
      <c r="E10553" t="s">
        <v>28029</v>
      </c>
      <c r="F10553" t="s">
        <v>32664</v>
      </c>
      <c r="G10553" t="s">
        <v>32672</v>
      </c>
      <c r="H10553" t="s">
        <v>32683</v>
      </c>
      <c r="I10553" t="s">
        <v>10627</v>
      </c>
      <c r="J10553" t="s">
        <v>39099</v>
      </c>
      <c r="K10553" t="s">
        <v>42283</v>
      </c>
      <c r="M10553" t="s">
        <v>45735</v>
      </c>
      <c r="N10553" t="s">
        <v>46569</v>
      </c>
      <c r="O10553" t="s">
        <v>46570</v>
      </c>
      <c r="P10553">
        <v>0</v>
      </c>
      <c r="Q10553">
        <v>2</v>
      </c>
      <c r="R10553" t="s">
        <v>46578</v>
      </c>
      <c r="S10553" t="s">
        <v>46874</v>
      </c>
      <c r="T10553" t="s">
        <v>48424</v>
      </c>
      <c r="U10553" t="s">
        <v>57252</v>
      </c>
      <c r="W10553" t="s">
        <v>45735</v>
      </c>
      <c r="X10553" t="s">
        <v>46579</v>
      </c>
    </row>
    <row r="10554" spans="1:24">
      <c r="A10554">
        <f>HYPERLINK("https://www.philgeps.gov.ph/GEPSNONPILOT/Tender/SplashBidNoticeAbstractUI.aspx?menuIndex=3&amp;refID=7050856&amp;Result=3","7050856")</f>
        <v>0</v>
      </c>
      <c r="B10554" t="s">
        <v>847</v>
      </c>
      <c r="C10554" t="s">
        <v>13523</v>
      </c>
      <c r="D10554" t="s">
        <v>18863</v>
      </c>
      <c r="E10554" t="s">
        <v>28030</v>
      </c>
      <c r="F10554" t="s">
        <v>32664</v>
      </c>
      <c r="G10554" t="s">
        <v>32677</v>
      </c>
      <c r="H10554" t="s">
        <v>12635</v>
      </c>
      <c r="I10554" t="s">
        <v>10627</v>
      </c>
      <c r="J10554" t="s">
        <v>39100</v>
      </c>
      <c r="K10554" t="s">
        <v>42298</v>
      </c>
      <c r="M10554" t="s">
        <v>43443</v>
      </c>
      <c r="N10554" t="s">
        <v>46569</v>
      </c>
      <c r="O10554" t="s">
        <v>46570</v>
      </c>
      <c r="P10554">
        <v>0</v>
      </c>
      <c r="Q10554">
        <v>1</v>
      </c>
      <c r="R10554" t="s">
        <v>46578</v>
      </c>
      <c r="S10554" t="s">
        <v>46874</v>
      </c>
      <c r="T10554" t="s">
        <v>48598</v>
      </c>
      <c r="U10554" t="s">
        <v>57253</v>
      </c>
      <c r="V10554" t="s">
        <v>62751</v>
      </c>
      <c r="W10554" t="s">
        <v>43443</v>
      </c>
      <c r="X10554" t="s">
        <v>46579</v>
      </c>
    </row>
    <row r="10555" spans="1:24">
      <c r="A10555">
        <f>HYPERLINK("https://www.philgeps.gov.ph/GEPSNONPILOT/Tender/SplashBidNoticeAbstractUI.aspx?menuIndex=3&amp;refID=7050767&amp;Result=3","7050767")</f>
        <v>0</v>
      </c>
      <c r="B10555" t="s">
        <v>2879</v>
      </c>
      <c r="C10555" t="s">
        <v>13524</v>
      </c>
      <c r="D10555" t="s">
        <v>18853</v>
      </c>
      <c r="E10555" t="s">
        <v>28031</v>
      </c>
      <c r="F10555" t="s">
        <v>32664</v>
      </c>
      <c r="G10555" t="s">
        <v>32672</v>
      </c>
      <c r="H10555" t="s">
        <v>12635</v>
      </c>
      <c r="I10555" t="s">
        <v>4997</v>
      </c>
      <c r="J10555" t="s">
        <v>33640</v>
      </c>
      <c r="K10555" t="s">
        <v>42281</v>
      </c>
      <c r="M10555" t="s">
        <v>45728</v>
      </c>
      <c r="N10555" t="s">
        <v>46569</v>
      </c>
      <c r="O10555" t="s">
        <v>46570</v>
      </c>
      <c r="P10555">
        <v>0</v>
      </c>
      <c r="Q10555">
        <v>2</v>
      </c>
      <c r="R10555" t="s">
        <v>46578</v>
      </c>
      <c r="S10555" t="s">
        <v>46874</v>
      </c>
      <c r="T10555" t="s">
        <v>48453</v>
      </c>
      <c r="U10555" t="s">
        <v>57254</v>
      </c>
      <c r="W10555" t="s">
        <v>45728</v>
      </c>
      <c r="X10555" t="s">
        <v>46579</v>
      </c>
    </row>
    <row r="10556" spans="1:24">
      <c r="A10556">
        <f>HYPERLINK("https://www.philgeps.gov.ph/GEPSNONPILOT/Tender/SplashBidNoticeAbstractUI.aspx?menuIndex=3&amp;refID=7050838&amp;Result=3","7050838")</f>
        <v>0</v>
      </c>
      <c r="B10556" t="s">
        <v>2887</v>
      </c>
      <c r="C10556" t="s">
        <v>13525</v>
      </c>
      <c r="D10556" t="s">
        <v>18807</v>
      </c>
      <c r="E10556" t="s">
        <v>28032</v>
      </c>
      <c r="F10556" t="s">
        <v>32664</v>
      </c>
      <c r="G10556" t="s">
        <v>32671</v>
      </c>
      <c r="H10556" t="s">
        <v>12635</v>
      </c>
      <c r="I10556" t="s">
        <v>11464</v>
      </c>
      <c r="J10556" t="s">
        <v>34156</v>
      </c>
      <c r="K10556" t="s">
        <v>42281</v>
      </c>
      <c r="M10556" t="s">
        <v>45736</v>
      </c>
      <c r="N10556" t="s">
        <v>46569</v>
      </c>
      <c r="O10556" t="s">
        <v>46570</v>
      </c>
      <c r="P10556">
        <v>0</v>
      </c>
      <c r="Q10556">
        <v>0</v>
      </c>
      <c r="R10556" t="s">
        <v>46578</v>
      </c>
      <c r="S10556" t="s">
        <v>46874</v>
      </c>
      <c r="T10556" t="s">
        <v>48307</v>
      </c>
      <c r="U10556" t="s">
        <v>57255</v>
      </c>
      <c r="W10556" t="s">
        <v>45736</v>
      </c>
      <c r="X10556" t="s">
        <v>46579</v>
      </c>
    </row>
    <row r="10557" spans="1:24">
      <c r="A10557">
        <f>HYPERLINK("https://www.philgeps.gov.ph/GEPSNONPILOT/Tender/SplashBidNoticeAbstractUI.aspx?menuIndex=3&amp;refID=7050727&amp;Result=3","7050727")</f>
        <v>0</v>
      </c>
      <c r="B10557" t="s">
        <v>784</v>
      </c>
      <c r="C10557" t="s">
        <v>13526</v>
      </c>
      <c r="D10557" t="s">
        <v>18785</v>
      </c>
      <c r="E10557" t="s">
        <v>28033</v>
      </c>
      <c r="F10557" t="s">
        <v>32664</v>
      </c>
      <c r="G10557" t="s">
        <v>32672</v>
      </c>
      <c r="H10557" t="s">
        <v>12635</v>
      </c>
      <c r="I10557" t="s">
        <v>32712</v>
      </c>
      <c r="J10557" t="s">
        <v>32837</v>
      </c>
      <c r="K10557" t="s">
        <v>42297</v>
      </c>
      <c r="M10557" t="s">
        <v>43376</v>
      </c>
      <c r="N10557" t="s">
        <v>46569</v>
      </c>
      <c r="O10557" t="s">
        <v>46570</v>
      </c>
      <c r="P10557">
        <v>0</v>
      </c>
      <c r="Q10557">
        <v>19</v>
      </c>
      <c r="R10557" t="s">
        <v>46578</v>
      </c>
      <c r="S10557" t="s">
        <v>46874</v>
      </c>
      <c r="T10557" t="s">
        <v>48313</v>
      </c>
      <c r="U10557" t="s">
        <v>57256</v>
      </c>
      <c r="W10557" t="s">
        <v>63528</v>
      </c>
      <c r="X10557" t="s">
        <v>46579</v>
      </c>
    </row>
    <row r="10558" spans="1:24">
      <c r="A10558">
        <f>HYPERLINK("https://www.philgeps.gov.ph/GEPSNONPILOT/Tender/SplashBidNoticeAbstractUI.aspx?menuIndex=3&amp;refID=7050834&amp;Result=3","7050834")</f>
        <v>0</v>
      </c>
      <c r="B10558" t="s">
        <v>2888</v>
      </c>
      <c r="C10558" t="s">
        <v>13527</v>
      </c>
      <c r="D10558" t="s">
        <v>18782</v>
      </c>
      <c r="E10558" t="s">
        <v>28034</v>
      </c>
      <c r="F10558" t="s">
        <v>32664</v>
      </c>
      <c r="G10558" t="s">
        <v>32671</v>
      </c>
      <c r="H10558" t="s">
        <v>12635</v>
      </c>
      <c r="I10558" t="s">
        <v>32684</v>
      </c>
      <c r="J10558" t="s">
        <v>32984</v>
      </c>
      <c r="K10558" t="s">
        <v>42284</v>
      </c>
      <c r="M10558" t="s">
        <v>45737</v>
      </c>
      <c r="N10558" t="s">
        <v>46569</v>
      </c>
      <c r="O10558" t="s">
        <v>46570</v>
      </c>
      <c r="P10558">
        <v>0</v>
      </c>
      <c r="Q10558">
        <v>1</v>
      </c>
      <c r="R10558" t="s">
        <v>46578</v>
      </c>
      <c r="S10558" t="s">
        <v>46874</v>
      </c>
      <c r="T10558" t="s">
        <v>48532</v>
      </c>
      <c r="U10558" t="s">
        <v>57257</v>
      </c>
      <c r="W10558" t="s">
        <v>45737</v>
      </c>
      <c r="X10558" t="s">
        <v>46579</v>
      </c>
    </row>
    <row r="10559" spans="1:24">
      <c r="A10559">
        <f>HYPERLINK("https://www.philgeps.gov.ph/GEPSNONPILOT/Tender/SplashBidNoticeAbstractUI.aspx?menuIndex=3&amp;refID=7050828&amp;Result=3","7050828")</f>
        <v>0</v>
      </c>
      <c r="B10559" t="s">
        <v>2559</v>
      </c>
      <c r="C10559" t="s">
        <v>13528</v>
      </c>
      <c r="D10559" t="s">
        <v>18859</v>
      </c>
      <c r="E10559" t="s">
        <v>28035</v>
      </c>
      <c r="F10559" t="s">
        <v>32664</v>
      </c>
      <c r="G10559" t="s">
        <v>32672</v>
      </c>
      <c r="H10559" t="s">
        <v>12635</v>
      </c>
      <c r="I10559" t="s">
        <v>6628</v>
      </c>
      <c r="J10559" t="s">
        <v>33461</v>
      </c>
      <c r="K10559" t="s">
        <v>42303</v>
      </c>
      <c r="M10559" t="s">
        <v>45370</v>
      </c>
      <c r="N10559" t="s">
        <v>46569</v>
      </c>
      <c r="O10559" t="s">
        <v>46570</v>
      </c>
      <c r="P10559">
        <v>0</v>
      </c>
      <c r="Q10559">
        <v>0</v>
      </c>
      <c r="R10559" t="s">
        <v>46578</v>
      </c>
      <c r="S10559" t="s">
        <v>46874</v>
      </c>
      <c r="T10559" t="s">
        <v>48427</v>
      </c>
      <c r="U10559" t="s">
        <v>57258</v>
      </c>
      <c r="V10559" t="s">
        <v>62752</v>
      </c>
      <c r="W10559" t="s">
        <v>45370</v>
      </c>
      <c r="X10559" t="s">
        <v>46579</v>
      </c>
    </row>
    <row r="10560" spans="1:24">
      <c r="A10560">
        <f>HYPERLINK("https://www.philgeps.gov.ph/GEPSNONPILOT/Tender/SplashBidNoticeAbstractUI.aspx?menuIndex=3&amp;refID=7050431&amp;Result=3","7050431")</f>
        <v>0</v>
      </c>
      <c r="B10560" t="s">
        <v>2889</v>
      </c>
      <c r="C10560" t="s">
        <v>13529</v>
      </c>
      <c r="D10560" t="s">
        <v>18842</v>
      </c>
      <c r="E10560" t="s">
        <v>13529</v>
      </c>
      <c r="F10560" t="s">
        <v>32664</v>
      </c>
      <c r="G10560" t="s">
        <v>32672</v>
      </c>
      <c r="H10560" t="s">
        <v>12635</v>
      </c>
      <c r="I10560" t="s">
        <v>9486</v>
      </c>
      <c r="J10560" t="s">
        <v>34210</v>
      </c>
      <c r="K10560" t="s">
        <v>42283</v>
      </c>
      <c r="M10560" t="s">
        <v>45738</v>
      </c>
      <c r="N10560" t="s">
        <v>46569</v>
      </c>
      <c r="O10560" t="s">
        <v>46570</v>
      </c>
      <c r="P10560">
        <v>0</v>
      </c>
      <c r="Q10560">
        <v>6</v>
      </c>
      <c r="R10560" t="s">
        <v>46578</v>
      </c>
      <c r="S10560" t="s">
        <v>46874</v>
      </c>
      <c r="T10560" t="s">
        <v>48453</v>
      </c>
      <c r="U10560" t="s">
        <v>57259</v>
      </c>
      <c r="V10560" t="s">
        <v>62753</v>
      </c>
      <c r="W10560" t="s">
        <v>45738</v>
      </c>
      <c r="X10560" t="s">
        <v>46579</v>
      </c>
    </row>
    <row r="10561" spans="1:24">
      <c r="A10561">
        <f>HYPERLINK("https://www.philgeps.gov.ph/GEPSNONPILOT/Tender/SplashBidNoticeAbstractUI.aspx?menuIndex=3&amp;refID=7050823&amp;Result=3","7050823")</f>
        <v>0</v>
      </c>
      <c r="B10561" t="s">
        <v>1467</v>
      </c>
      <c r="C10561" t="s">
        <v>13530</v>
      </c>
      <c r="D10561" t="s">
        <v>18809</v>
      </c>
      <c r="E10561" t="s">
        <v>28036</v>
      </c>
      <c r="F10561" t="s">
        <v>32664</v>
      </c>
      <c r="G10561" t="s">
        <v>32671</v>
      </c>
      <c r="H10561" t="s">
        <v>12635</v>
      </c>
      <c r="I10561" t="s">
        <v>8797</v>
      </c>
      <c r="J10561" t="s">
        <v>39101</v>
      </c>
      <c r="K10561" t="s">
        <v>42404</v>
      </c>
      <c r="M10561" t="s">
        <v>44129</v>
      </c>
      <c r="N10561" t="s">
        <v>46569</v>
      </c>
      <c r="O10561" t="s">
        <v>46570</v>
      </c>
      <c r="Q10561">
        <v>2</v>
      </c>
      <c r="R10561" t="s">
        <v>46578</v>
      </c>
      <c r="S10561" t="s">
        <v>46901</v>
      </c>
      <c r="T10561" t="s">
        <v>48448</v>
      </c>
      <c r="U10561" t="s">
        <v>57260</v>
      </c>
      <c r="W10561" t="s">
        <v>44129</v>
      </c>
      <c r="X10561" t="s">
        <v>46579</v>
      </c>
    </row>
    <row r="10562" spans="1:24">
      <c r="A10562">
        <f>HYPERLINK("https://www.philgeps.gov.ph/GEPSNONPILOT/Tender/SplashBidNoticeAbstractUI.aspx?menuIndex=3&amp;refID=7050860&amp;Result=3","7050860")</f>
        <v>0</v>
      </c>
      <c r="B10562" t="s">
        <v>2890</v>
      </c>
      <c r="C10562" t="s">
        <v>13531</v>
      </c>
      <c r="D10562" t="s">
        <v>18797</v>
      </c>
      <c r="E10562" t="s">
        <v>21047</v>
      </c>
      <c r="F10562" t="s">
        <v>32664</v>
      </c>
      <c r="G10562" t="s">
        <v>32672</v>
      </c>
      <c r="H10562" t="s">
        <v>32683</v>
      </c>
      <c r="I10562" t="s">
        <v>4439</v>
      </c>
      <c r="J10562" t="s">
        <v>39102</v>
      </c>
      <c r="K10562" t="s">
        <v>42289</v>
      </c>
      <c r="M10562" t="s">
        <v>45739</v>
      </c>
      <c r="N10562" t="s">
        <v>46569</v>
      </c>
      <c r="O10562" t="s">
        <v>46570</v>
      </c>
      <c r="P10562">
        <v>0</v>
      </c>
      <c r="Q10562">
        <v>1</v>
      </c>
      <c r="R10562" t="s">
        <v>46578</v>
      </c>
      <c r="S10562" t="s">
        <v>46874</v>
      </c>
      <c r="T10562" t="s">
        <v>48293</v>
      </c>
      <c r="U10562" t="s">
        <v>57261</v>
      </c>
      <c r="W10562" t="s">
        <v>45739</v>
      </c>
      <c r="X10562" t="s">
        <v>46579</v>
      </c>
    </row>
    <row r="10563" spans="1:24">
      <c r="A10563">
        <f>HYPERLINK("https://www.philgeps.gov.ph/GEPSNONPILOT/Tender/SplashBidNoticeAbstractUI.aspx?menuIndex=3&amp;refID=7050734&amp;Result=3","7050734")</f>
        <v>0</v>
      </c>
      <c r="B10563" t="s">
        <v>2879</v>
      </c>
      <c r="C10563" t="s">
        <v>13532</v>
      </c>
      <c r="D10563" t="s">
        <v>18853</v>
      </c>
      <c r="E10563" t="s">
        <v>28037</v>
      </c>
      <c r="F10563" t="s">
        <v>32664</v>
      </c>
      <c r="G10563" t="s">
        <v>32672</v>
      </c>
      <c r="H10563" t="s">
        <v>12635</v>
      </c>
      <c r="I10563" t="s">
        <v>6223</v>
      </c>
      <c r="J10563" t="s">
        <v>35588</v>
      </c>
      <c r="K10563" t="s">
        <v>42281</v>
      </c>
      <c r="M10563" t="s">
        <v>45728</v>
      </c>
      <c r="N10563" t="s">
        <v>46569</v>
      </c>
      <c r="O10563" t="s">
        <v>46570</v>
      </c>
      <c r="P10563">
        <v>0</v>
      </c>
      <c r="Q10563">
        <v>4</v>
      </c>
      <c r="R10563" t="s">
        <v>46578</v>
      </c>
      <c r="S10563" t="s">
        <v>46874</v>
      </c>
      <c r="T10563" t="s">
        <v>48453</v>
      </c>
      <c r="U10563" t="s">
        <v>57262</v>
      </c>
      <c r="W10563" t="s">
        <v>45728</v>
      </c>
      <c r="X10563" t="s">
        <v>46579</v>
      </c>
    </row>
    <row r="10564" spans="1:24">
      <c r="A10564">
        <f>HYPERLINK("https://www.philgeps.gov.ph/GEPSNONPILOT/Tender/SplashBidNoticeAbstractUI.aspx?menuIndex=3&amp;refID=7050820&amp;Result=3","7050820")</f>
        <v>0</v>
      </c>
      <c r="B10564" t="s">
        <v>2891</v>
      </c>
      <c r="C10564" t="s">
        <v>13533</v>
      </c>
      <c r="D10564" t="s">
        <v>18835</v>
      </c>
      <c r="E10564" t="s">
        <v>21732</v>
      </c>
      <c r="F10564" t="s">
        <v>32664</v>
      </c>
      <c r="G10564" t="s">
        <v>32672</v>
      </c>
      <c r="H10564" t="s">
        <v>12635</v>
      </c>
      <c r="I10564" t="s">
        <v>6168</v>
      </c>
      <c r="J10564" t="s">
        <v>39103</v>
      </c>
      <c r="K10564" t="s">
        <v>42289</v>
      </c>
      <c r="M10564" t="s">
        <v>45740</v>
      </c>
      <c r="N10564" t="s">
        <v>46569</v>
      </c>
      <c r="O10564" t="s">
        <v>46570</v>
      </c>
      <c r="P10564">
        <v>0</v>
      </c>
      <c r="Q10564">
        <v>2</v>
      </c>
      <c r="R10564" t="s">
        <v>46578</v>
      </c>
      <c r="S10564" t="s">
        <v>46874</v>
      </c>
      <c r="T10564" t="s">
        <v>48287</v>
      </c>
      <c r="U10564" t="s">
        <v>57263</v>
      </c>
      <c r="W10564" t="s">
        <v>45740</v>
      </c>
      <c r="X10564" t="s">
        <v>46579</v>
      </c>
    </row>
    <row r="10565" spans="1:24">
      <c r="A10565">
        <f>HYPERLINK("https://www.philgeps.gov.ph/GEPSNONPILOT/Tender/SplashBidNoticeAbstractUI.aspx?menuIndex=3&amp;refID=7050931&amp;Result=3","7050931")</f>
        <v>0</v>
      </c>
      <c r="B10565" t="s">
        <v>171</v>
      </c>
      <c r="C10565" t="s">
        <v>13534</v>
      </c>
      <c r="D10565" t="s">
        <v>18784</v>
      </c>
      <c r="E10565" t="s">
        <v>28038</v>
      </c>
      <c r="F10565" t="s">
        <v>32664</v>
      </c>
      <c r="G10565" t="s">
        <v>32671</v>
      </c>
      <c r="H10565" t="s">
        <v>12635</v>
      </c>
      <c r="I10565" t="s">
        <v>7429</v>
      </c>
      <c r="J10565" t="s">
        <v>39104</v>
      </c>
      <c r="K10565" t="s">
        <v>42284</v>
      </c>
      <c r="M10565" t="s">
        <v>42735</v>
      </c>
      <c r="N10565" t="s">
        <v>46569</v>
      </c>
      <c r="O10565" t="s">
        <v>46570</v>
      </c>
      <c r="P10565">
        <v>0</v>
      </c>
      <c r="Q10565">
        <v>7</v>
      </c>
      <c r="R10565" t="s">
        <v>46578</v>
      </c>
      <c r="S10565" t="s">
        <v>46874</v>
      </c>
      <c r="T10565" t="s">
        <v>48448</v>
      </c>
      <c r="U10565" t="s">
        <v>57264</v>
      </c>
      <c r="V10565" t="s">
        <v>62754</v>
      </c>
      <c r="W10565" t="s">
        <v>42735</v>
      </c>
      <c r="X10565" t="s">
        <v>46579</v>
      </c>
    </row>
    <row r="10566" spans="1:24">
      <c r="A10566">
        <f>HYPERLINK("https://www.philgeps.gov.ph/GEPSNONPILOT/Tender/SplashBidNoticeAbstractUI.aspx?menuIndex=3&amp;refID=7050852&amp;Result=3","7050852")</f>
        <v>0</v>
      </c>
      <c r="B10566" t="s">
        <v>83</v>
      </c>
      <c r="C10566" t="s">
        <v>13535</v>
      </c>
      <c r="D10566" t="s">
        <v>18784</v>
      </c>
      <c r="E10566" t="s">
        <v>28039</v>
      </c>
      <c r="F10566" t="s">
        <v>32664</v>
      </c>
      <c r="G10566" t="s">
        <v>32671</v>
      </c>
      <c r="H10566" t="s">
        <v>12635</v>
      </c>
      <c r="I10566" t="s">
        <v>6223</v>
      </c>
      <c r="J10566" t="s">
        <v>33128</v>
      </c>
      <c r="K10566" t="s">
        <v>42283</v>
      </c>
      <c r="M10566" t="s">
        <v>45741</v>
      </c>
      <c r="N10566" t="s">
        <v>46569</v>
      </c>
      <c r="O10566" t="s">
        <v>46570</v>
      </c>
      <c r="P10566">
        <v>0</v>
      </c>
      <c r="Q10566">
        <v>0</v>
      </c>
      <c r="R10566" t="s">
        <v>46578</v>
      </c>
      <c r="S10566" t="s">
        <v>46874</v>
      </c>
      <c r="T10566" t="s">
        <v>48578</v>
      </c>
      <c r="U10566" t="s">
        <v>57265</v>
      </c>
      <c r="W10566" t="s">
        <v>45741</v>
      </c>
      <c r="X10566" t="s">
        <v>46579</v>
      </c>
    </row>
    <row r="10567" spans="1:24">
      <c r="A10567">
        <f>HYPERLINK("https://www.philgeps.gov.ph/GEPSNONPILOT/Tender/SplashBidNoticeAbstractUI.aspx?menuIndex=3&amp;refID=7050837&amp;Result=3","7050837")</f>
        <v>0</v>
      </c>
      <c r="B10567" t="s">
        <v>2888</v>
      </c>
      <c r="C10567" t="s">
        <v>5475</v>
      </c>
      <c r="D10567" t="s">
        <v>18782</v>
      </c>
      <c r="E10567" t="s">
        <v>28040</v>
      </c>
      <c r="F10567" t="s">
        <v>32664</v>
      </c>
      <c r="G10567" t="s">
        <v>32671</v>
      </c>
      <c r="H10567" t="s">
        <v>12635</v>
      </c>
      <c r="I10567" t="s">
        <v>5589</v>
      </c>
      <c r="J10567" t="s">
        <v>35587</v>
      </c>
      <c r="K10567" t="s">
        <v>42284</v>
      </c>
      <c r="M10567" t="s">
        <v>45737</v>
      </c>
      <c r="N10567" t="s">
        <v>46569</v>
      </c>
      <c r="O10567" t="s">
        <v>46570</v>
      </c>
      <c r="P10567">
        <v>0</v>
      </c>
      <c r="Q10567">
        <v>0</v>
      </c>
      <c r="R10567" t="s">
        <v>46578</v>
      </c>
      <c r="S10567" t="s">
        <v>46874</v>
      </c>
      <c r="T10567" t="s">
        <v>48532</v>
      </c>
      <c r="U10567" t="s">
        <v>57266</v>
      </c>
      <c r="W10567" t="s">
        <v>45737</v>
      </c>
      <c r="X10567" t="s">
        <v>46579</v>
      </c>
    </row>
    <row r="10568" spans="1:24">
      <c r="A10568">
        <f>HYPERLINK("https://www.philgeps.gov.ph/GEPSNONPILOT/Tender/SplashBidNoticeAbstractUI.aspx?menuIndex=3&amp;refID=7050914&amp;Result=3","7050914")</f>
        <v>0</v>
      </c>
      <c r="B10568" t="s">
        <v>83</v>
      </c>
      <c r="C10568" t="s">
        <v>13536</v>
      </c>
      <c r="D10568" t="s">
        <v>18784</v>
      </c>
      <c r="E10568" t="s">
        <v>28041</v>
      </c>
      <c r="F10568" t="s">
        <v>32664</v>
      </c>
      <c r="G10568" t="s">
        <v>32671</v>
      </c>
      <c r="H10568" t="s">
        <v>12635</v>
      </c>
      <c r="I10568" t="s">
        <v>6223</v>
      </c>
      <c r="J10568" t="s">
        <v>39105</v>
      </c>
      <c r="K10568" t="s">
        <v>42283</v>
      </c>
      <c r="M10568" t="s">
        <v>45741</v>
      </c>
      <c r="N10568" t="s">
        <v>46569</v>
      </c>
      <c r="O10568" t="s">
        <v>46570</v>
      </c>
      <c r="P10568">
        <v>0</v>
      </c>
      <c r="Q10568">
        <v>0</v>
      </c>
      <c r="R10568" t="s">
        <v>46578</v>
      </c>
      <c r="S10568" t="s">
        <v>46874</v>
      </c>
      <c r="T10568" t="s">
        <v>48578</v>
      </c>
      <c r="U10568" t="s">
        <v>57267</v>
      </c>
      <c r="W10568" t="s">
        <v>45741</v>
      </c>
      <c r="X10568" t="s">
        <v>46579</v>
      </c>
    </row>
    <row r="10569" spans="1:24">
      <c r="A10569">
        <f>HYPERLINK("https://www.philgeps.gov.ph/GEPSNONPILOT/Tender/SplashBidNoticeAbstractUI.aspx?menuIndex=3&amp;refID=7050826&amp;Result=3","7050826")</f>
        <v>0</v>
      </c>
      <c r="B10569" t="s">
        <v>1656</v>
      </c>
      <c r="C10569" t="s">
        <v>13537</v>
      </c>
      <c r="D10569" t="s">
        <v>18805</v>
      </c>
      <c r="E10569" t="s">
        <v>20076</v>
      </c>
      <c r="F10569" t="s">
        <v>32664</v>
      </c>
      <c r="G10569" t="s">
        <v>32671</v>
      </c>
      <c r="H10569" t="s">
        <v>12635</v>
      </c>
      <c r="I10569" t="s">
        <v>4439</v>
      </c>
      <c r="J10569" t="s">
        <v>33175</v>
      </c>
      <c r="K10569" t="s">
        <v>42306</v>
      </c>
      <c r="M10569" t="s">
        <v>44341</v>
      </c>
      <c r="N10569" t="s">
        <v>46569</v>
      </c>
      <c r="O10569" t="s">
        <v>46570</v>
      </c>
      <c r="P10569">
        <v>0</v>
      </c>
      <c r="Q10569">
        <v>0</v>
      </c>
      <c r="R10569" t="s">
        <v>46578</v>
      </c>
      <c r="S10569" t="s">
        <v>46874</v>
      </c>
      <c r="T10569" t="s">
        <v>48215</v>
      </c>
      <c r="U10569" t="s">
        <v>57268</v>
      </c>
      <c r="W10569" t="s">
        <v>44341</v>
      </c>
      <c r="X10569" t="s">
        <v>46579</v>
      </c>
    </row>
    <row r="10570" spans="1:24">
      <c r="A10570">
        <f>HYPERLINK("https://www.philgeps.gov.ph/GEPSNONPILOT/Tender/SplashBidNoticeAbstractUI.aspx?menuIndex=3&amp;refID=7050854&amp;Result=3","7050854")</f>
        <v>0</v>
      </c>
      <c r="B10570" t="s">
        <v>2835</v>
      </c>
      <c r="C10570" t="s">
        <v>13538</v>
      </c>
      <c r="D10570" t="s">
        <v>18853</v>
      </c>
      <c r="E10570" t="s">
        <v>28042</v>
      </c>
      <c r="F10570" t="s">
        <v>32664</v>
      </c>
      <c r="G10570" t="s">
        <v>32672</v>
      </c>
      <c r="H10570" t="s">
        <v>32683</v>
      </c>
      <c r="I10570" t="s">
        <v>10627</v>
      </c>
      <c r="J10570" t="s">
        <v>32898</v>
      </c>
      <c r="K10570" t="s">
        <v>42297</v>
      </c>
      <c r="M10570" t="s">
        <v>45680</v>
      </c>
      <c r="N10570" t="s">
        <v>46569</v>
      </c>
      <c r="O10570" t="s">
        <v>46570</v>
      </c>
      <c r="P10570">
        <v>0</v>
      </c>
      <c r="Q10570">
        <v>0</v>
      </c>
      <c r="R10570" t="s">
        <v>46578</v>
      </c>
      <c r="S10570" t="s">
        <v>46874</v>
      </c>
      <c r="T10570" t="s">
        <v>48449</v>
      </c>
      <c r="U10570" t="s">
        <v>57269</v>
      </c>
      <c r="W10570" t="s">
        <v>45680</v>
      </c>
      <c r="X10570" t="s">
        <v>46579</v>
      </c>
    </row>
    <row r="10571" spans="1:24">
      <c r="A10571">
        <f>HYPERLINK("https://www.philgeps.gov.ph/GEPSNONPILOT/Tender/SplashBidNoticeAbstractUI.aspx?menuIndex=3&amp;refID=7050907&amp;Result=3","7050907")</f>
        <v>0</v>
      </c>
      <c r="B10571" t="s">
        <v>2866</v>
      </c>
      <c r="C10571" t="s">
        <v>13539</v>
      </c>
      <c r="D10571" t="s">
        <v>18788</v>
      </c>
      <c r="E10571" t="s">
        <v>24020</v>
      </c>
      <c r="F10571" t="s">
        <v>32664</v>
      </c>
      <c r="G10571" t="s">
        <v>32672</v>
      </c>
      <c r="H10571" t="s">
        <v>12635</v>
      </c>
      <c r="I10571" t="s">
        <v>9486</v>
      </c>
      <c r="J10571" t="s">
        <v>39106</v>
      </c>
      <c r="K10571" t="s">
        <v>42289</v>
      </c>
      <c r="M10571" t="s">
        <v>45715</v>
      </c>
      <c r="N10571" t="s">
        <v>46569</v>
      </c>
      <c r="O10571" t="s">
        <v>46570</v>
      </c>
      <c r="P10571">
        <v>0</v>
      </c>
      <c r="Q10571">
        <v>8</v>
      </c>
      <c r="R10571" t="s">
        <v>46578</v>
      </c>
      <c r="S10571" t="s">
        <v>46874</v>
      </c>
      <c r="T10571" t="s">
        <v>48273</v>
      </c>
      <c r="U10571" t="s">
        <v>57270</v>
      </c>
      <c r="W10571" t="s">
        <v>45715</v>
      </c>
      <c r="X10571" t="s">
        <v>46579</v>
      </c>
    </row>
    <row r="10572" spans="1:24">
      <c r="A10572">
        <f>HYPERLINK("https://www.philgeps.gov.ph/GEPSNONPILOT/Tender/SplashBidNoticeAbstractUI.aspx?menuIndex=3&amp;refID=7050924&amp;Result=3","7050924")</f>
        <v>0</v>
      </c>
      <c r="B10572" t="s">
        <v>2852</v>
      </c>
      <c r="C10572" t="s">
        <v>13540</v>
      </c>
      <c r="D10572" t="s">
        <v>18794</v>
      </c>
      <c r="E10572" t="s">
        <v>28043</v>
      </c>
      <c r="F10572" t="s">
        <v>32664</v>
      </c>
      <c r="G10572" t="s">
        <v>32672</v>
      </c>
      <c r="H10572" t="s">
        <v>32683</v>
      </c>
      <c r="I10572" t="s">
        <v>10627</v>
      </c>
      <c r="J10572" t="s">
        <v>39107</v>
      </c>
      <c r="K10572" t="s">
        <v>42296</v>
      </c>
      <c r="M10572" t="s">
        <v>45700</v>
      </c>
      <c r="N10572" t="s">
        <v>46569</v>
      </c>
      <c r="O10572" t="s">
        <v>46570</v>
      </c>
      <c r="P10572">
        <v>0</v>
      </c>
      <c r="Q10572">
        <v>2</v>
      </c>
      <c r="R10572" t="s">
        <v>46578</v>
      </c>
      <c r="S10572" t="s">
        <v>46874</v>
      </c>
      <c r="T10572" t="s">
        <v>48418</v>
      </c>
      <c r="U10572" t="s">
        <v>57271</v>
      </c>
      <c r="W10572" t="s">
        <v>45700</v>
      </c>
      <c r="X10572" t="s">
        <v>46579</v>
      </c>
    </row>
    <row r="10573" spans="1:24">
      <c r="A10573">
        <f>HYPERLINK("https://www.philgeps.gov.ph/GEPSNONPILOT/Tender/SplashBidNoticeAbstractUI.aspx?menuIndex=3&amp;refID=7050904&amp;Result=3","7050904")</f>
        <v>0</v>
      </c>
      <c r="B10573" t="s">
        <v>2852</v>
      </c>
      <c r="C10573" t="s">
        <v>13541</v>
      </c>
      <c r="D10573" t="s">
        <v>18794</v>
      </c>
      <c r="E10573" t="s">
        <v>28044</v>
      </c>
      <c r="F10573" t="s">
        <v>32664</v>
      </c>
      <c r="G10573" t="s">
        <v>32672</v>
      </c>
      <c r="H10573" t="s">
        <v>32683</v>
      </c>
      <c r="I10573" t="s">
        <v>10627</v>
      </c>
      <c r="J10573" t="s">
        <v>39108</v>
      </c>
      <c r="K10573" t="s">
        <v>42369</v>
      </c>
      <c r="M10573" t="s">
        <v>45700</v>
      </c>
      <c r="N10573" t="s">
        <v>46569</v>
      </c>
      <c r="O10573" t="s">
        <v>46570</v>
      </c>
      <c r="P10573">
        <v>0</v>
      </c>
      <c r="Q10573">
        <v>1</v>
      </c>
      <c r="R10573" t="s">
        <v>46578</v>
      </c>
      <c r="S10573" t="s">
        <v>46874</v>
      </c>
      <c r="T10573" t="s">
        <v>48418</v>
      </c>
      <c r="U10573" t="s">
        <v>57272</v>
      </c>
      <c r="W10573" t="s">
        <v>45700</v>
      </c>
      <c r="X10573" t="s">
        <v>46579</v>
      </c>
    </row>
    <row r="10574" spans="1:24">
      <c r="A10574">
        <f>HYPERLINK("https://www.philgeps.gov.ph/GEPSNONPILOT/Tender/SplashBidNoticeAbstractUI.aspx?menuIndex=3&amp;refID=7050908&amp;Result=3","7050908")</f>
        <v>0</v>
      </c>
      <c r="B10574" t="s">
        <v>1371</v>
      </c>
      <c r="C10574" t="s">
        <v>13542</v>
      </c>
      <c r="D10574" t="s">
        <v>18796</v>
      </c>
      <c r="E10574" t="s">
        <v>28045</v>
      </c>
      <c r="F10574" t="s">
        <v>32664</v>
      </c>
      <c r="G10574" t="s">
        <v>32672</v>
      </c>
      <c r="H10574" t="s">
        <v>12635</v>
      </c>
      <c r="I10574" t="s">
        <v>8797</v>
      </c>
      <c r="J10574" t="s">
        <v>39109</v>
      </c>
      <c r="K10574" t="s">
        <v>42281</v>
      </c>
      <c r="M10574" t="s">
        <v>44026</v>
      </c>
      <c r="N10574" t="s">
        <v>46569</v>
      </c>
      <c r="O10574" t="s">
        <v>46570</v>
      </c>
      <c r="P10574">
        <v>0</v>
      </c>
      <c r="Q10574">
        <v>2</v>
      </c>
      <c r="R10574" t="s">
        <v>46578</v>
      </c>
      <c r="S10574" t="s">
        <v>46874</v>
      </c>
      <c r="T10574" t="s">
        <v>48287</v>
      </c>
      <c r="U10574" t="s">
        <v>57273</v>
      </c>
      <c r="W10574" t="s">
        <v>44026</v>
      </c>
      <c r="X10574" t="s">
        <v>46579</v>
      </c>
    </row>
    <row r="10575" spans="1:24">
      <c r="A10575">
        <f>HYPERLINK("https://www.philgeps.gov.ph/GEPSNONPILOT/Tender/SplashBidNoticeAbstractUI.aspx?menuIndex=3&amp;refID=7050910&amp;Result=3","7050910")</f>
        <v>0</v>
      </c>
      <c r="B10575" t="s">
        <v>2834</v>
      </c>
      <c r="C10575" t="s">
        <v>13543</v>
      </c>
      <c r="D10575" t="s">
        <v>18839</v>
      </c>
      <c r="E10575" t="s">
        <v>28046</v>
      </c>
      <c r="F10575" t="s">
        <v>32664</v>
      </c>
      <c r="G10575" t="s">
        <v>32671</v>
      </c>
      <c r="H10575" t="s">
        <v>12635</v>
      </c>
      <c r="I10575" t="s">
        <v>32725</v>
      </c>
      <c r="J10575" t="s">
        <v>39110</v>
      </c>
      <c r="K10575" t="s">
        <v>42289</v>
      </c>
      <c r="M10575" t="s">
        <v>45679</v>
      </c>
      <c r="N10575" t="s">
        <v>46569</v>
      </c>
      <c r="O10575" t="s">
        <v>46570</v>
      </c>
      <c r="P10575">
        <v>0</v>
      </c>
      <c r="Q10575">
        <v>10</v>
      </c>
      <c r="R10575" t="s">
        <v>46578</v>
      </c>
      <c r="S10575" t="s">
        <v>46874</v>
      </c>
      <c r="T10575" t="s">
        <v>48316</v>
      </c>
      <c r="U10575" t="s">
        <v>57274</v>
      </c>
      <c r="W10575" t="s">
        <v>45679</v>
      </c>
      <c r="X10575" t="s">
        <v>46579</v>
      </c>
    </row>
    <row r="10576" spans="1:24">
      <c r="A10576">
        <f>HYPERLINK("https://www.philgeps.gov.ph/GEPSNONPILOT/Tender/SplashBidNoticeAbstractUI.aspx?menuIndex=3&amp;refID=7050892&amp;Result=3","7050892")</f>
        <v>0</v>
      </c>
      <c r="B10576" t="s">
        <v>2892</v>
      </c>
      <c r="C10576" t="s">
        <v>13544</v>
      </c>
      <c r="D10576" t="s">
        <v>18782</v>
      </c>
      <c r="E10576" t="s">
        <v>28047</v>
      </c>
      <c r="F10576" t="s">
        <v>32664</v>
      </c>
      <c r="G10576" t="s">
        <v>32671</v>
      </c>
      <c r="H10576" t="s">
        <v>12635</v>
      </c>
      <c r="I10576" t="s">
        <v>32730</v>
      </c>
      <c r="J10576" t="s">
        <v>32859</v>
      </c>
      <c r="K10576" t="s">
        <v>42284</v>
      </c>
      <c r="M10576" t="s">
        <v>45742</v>
      </c>
      <c r="N10576" t="s">
        <v>46569</v>
      </c>
      <c r="O10576" t="s">
        <v>46570</v>
      </c>
      <c r="P10576">
        <v>0</v>
      </c>
      <c r="Q10576">
        <v>6</v>
      </c>
      <c r="R10576" t="s">
        <v>46578</v>
      </c>
      <c r="S10576" t="s">
        <v>46874</v>
      </c>
      <c r="T10576" t="s">
        <v>48221</v>
      </c>
      <c r="U10576" t="s">
        <v>57275</v>
      </c>
      <c r="V10576" t="s">
        <v>62755</v>
      </c>
      <c r="W10576" t="s">
        <v>45742</v>
      </c>
      <c r="X10576" t="s">
        <v>46579</v>
      </c>
    </row>
    <row r="10577" spans="1:24">
      <c r="A10577">
        <f>HYPERLINK("https://www.philgeps.gov.ph/GEPSNONPILOT/Tender/SplashBidNoticeAbstractUI.aspx?menuIndex=3&amp;refID=7050925&amp;Result=3","7050925")</f>
        <v>0</v>
      </c>
      <c r="B10577" t="s">
        <v>2893</v>
      </c>
      <c r="C10577" t="s">
        <v>8589</v>
      </c>
      <c r="D10577" t="s">
        <v>18842</v>
      </c>
      <c r="E10577" t="s">
        <v>28048</v>
      </c>
      <c r="F10577" t="s">
        <v>32664</v>
      </c>
      <c r="G10577" t="s">
        <v>32672</v>
      </c>
      <c r="H10577" t="s">
        <v>32683</v>
      </c>
      <c r="I10577" t="s">
        <v>10627</v>
      </c>
      <c r="J10577" t="s">
        <v>34041</v>
      </c>
      <c r="K10577" t="s">
        <v>42298</v>
      </c>
      <c r="M10577" t="s">
        <v>45743</v>
      </c>
      <c r="N10577" t="s">
        <v>46569</v>
      </c>
      <c r="O10577" t="s">
        <v>46570</v>
      </c>
      <c r="P10577">
        <v>0</v>
      </c>
      <c r="Q10577">
        <v>0</v>
      </c>
      <c r="R10577" t="s">
        <v>46578</v>
      </c>
      <c r="S10577" t="s">
        <v>46874</v>
      </c>
      <c r="T10577" t="s">
        <v>48244</v>
      </c>
      <c r="U10577" t="s">
        <v>57276</v>
      </c>
      <c r="V10577" t="s">
        <v>62756</v>
      </c>
      <c r="W10577" t="s">
        <v>45743</v>
      </c>
      <c r="X10577" t="s">
        <v>46579</v>
      </c>
    </row>
    <row r="10578" spans="1:24">
      <c r="A10578">
        <f>HYPERLINK("https://www.philgeps.gov.ph/GEPSNONPILOT/Tender/SplashBidNoticeAbstractUI.aspx?menuIndex=3&amp;refID=7050905&amp;Result=3","7050905")</f>
        <v>0</v>
      </c>
      <c r="B10578" t="s">
        <v>2886</v>
      </c>
      <c r="C10578" t="s">
        <v>13545</v>
      </c>
      <c r="D10578" t="s">
        <v>18784</v>
      </c>
      <c r="E10578" t="s">
        <v>28049</v>
      </c>
      <c r="F10578" t="s">
        <v>32664</v>
      </c>
      <c r="G10578" t="s">
        <v>32672</v>
      </c>
      <c r="H10578" t="s">
        <v>32682</v>
      </c>
      <c r="I10578" t="s">
        <v>32701</v>
      </c>
      <c r="J10578" t="s">
        <v>32837</v>
      </c>
      <c r="K10578" t="s">
        <v>42291</v>
      </c>
      <c r="M10578" t="s">
        <v>45735</v>
      </c>
      <c r="N10578" t="s">
        <v>46569</v>
      </c>
      <c r="O10578" t="s">
        <v>46570</v>
      </c>
      <c r="P10578">
        <v>0</v>
      </c>
      <c r="Q10578">
        <v>7</v>
      </c>
      <c r="R10578" t="s">
        <v>46578</v>
      </c>
      <c r="S10578" t="s">
        <v>46874</v>
      </c>
      <c r="T10578" t="s">
        <v>48424</v>
      </c>
      <c r="U10578" t="s">
        <v>57277</v>
      </c>
      <c r="W10578" t="s">
        <v>45735</v>
      </c>
      <c r="X10578" t="s">
        <v>46579</v>
      </c>
    </row>
    <row r="10579" spans="1:24">
      <c r="A10579">
        <f>HYPERLINK("https://www.philgeps.gov.ph/GEPSNONPILOT/Tender/SplashBidNoticeAbstractUI.aspx?menuIndex=3&amp;refID=7050927&amp;Result=3","7050927")</f>
        <v>0</v>
      </c>
      <c r="B10579" t="s">
        <v>2894</v>
      </c>
      <c r="C10579" t="s">
        <v>13546</v>
      </c>
      <c r="E10579" t="s">
        <v>28050</v>
      </c>
      <c r="F10579" t="s">
        <v>32664</v>
      </c>
      <c r="G10579" t="s">
        <v>32672</v>
      </c>
      <c r="H10579" t="s">
        <v>12635</v>
      </c>
      <c r="I10579" t="s">
        <v>4205</v>
      </c>
      <c r="J10579" t="s">
        <v>33051</v>
      </c>
      <c r="K10579" t="s">
        <v>42309</v>
      </c>
      <c r="M10579" t="s">
        <v>45744</v>
      </c>
      <c r="N10579" t="s">
        <v>46569</v>
      </c>
      <c r="O10579" t="s">
        <v>46570</v>
      </c>
      <c r="P10579">
        <v>0</v>
      </c>
      <c r="Q10579">
        <v>5</v>
      </c>
      <c r="R10579" t="s">
        <v>46578</v>
      </c>
      <c r="S10579" t="s">
        <v>46874</v>
      </c>
      <c r="T10579" t="s">
        <v>48448</v>
      </c>
      <c r="U10579" t="s">
        <v>57278</v>
      </c>
      <c r="W10579" t="s">
        <v>45744</v>
      </c>
      <c r="X10579" t="s">
        <v>46579</v>
      </c>
    </row>
    <row r="10580" spans="1:24">
      <c r="A10580">
        <f>HYPERLINK("https://www.philgeps.gov.ph/GEPSNONPILOT/Tender/SplashBidNoticeAbstractUI.aspx?menuIndex=3&amp;refID=7050870&amp;Result=3","7050870")</f>
        <v>0</v>
      </c>
      <c r="B10580" t="s">
        <v>847</v>
      </c>
      <c r="C10580" t="s">
        <v>13547</v>
      </c>
      <c r="D10580" t="s">
        <v>18811</v>
      </c>
      <c r="E10580" t="s">
        <v>28051</v>
      </c>
      <c r="F10580" t="s">
        <v>32664</v>
      </c>
      <c r="G10580" t="s">
        <v>32677</v>
      </c>
      <c r="H10580" t="s">
        <v>12635</v>
      </c>
      <c r="I10580" t="s">
        <v>10627</v>
      </c>
      <c r="J10580" t="s">
        <v>33210</v>
      </c>
      <c r="K10580" t="s">
        <v>42298</v>
      </c>
      <c r="M10580" t="s">
        <v>43443</v>
      </c>
      <c r="N10580" t="s">
        <v>46569</v>
      </c>
      <c r="O10580" t="s">
        <v>46570</v>
      </c>
      <c r="P10580">
        <v>0</v>
      </c>
      <c r="Q10580">
        <v>1</v>
      </c>
      <c r="R10580" t="s">
        <v>46578</v>
      </c>
      <c r="S10580" t="s">
        <v>46874</v>
      </c>
      <c r="T10580" t="s">
        <v>48598</v>
      </c>
      <c r="U10580" t="s">
        <v>50059</v>
      </c>
      <c r="V10580" t="s">
        <v>62757</v>
      </c>
      <c r="W10580" t="s">
        <v>43443</v>
      </c>
      <c r="X10580" t="s">
        <v>46579</v>
      </c>
    </row>
    <row r="10581" spans="1:24">
      <c r="A10581">
        <f>HYPERLINK("https://www.philgeps.gov.ph/GEPSNONPILOT/Tender/SplashBidNoticeAbstractUI.aspx?menuIndex=3&amp;refID=7050894&amp;Result=3","7050894")</f>
        <v>0</v>
      </c>
      <c r="B10581" t="s">
        <v>1656</v>
      </c>
      <c r="C10581" t="s">
        <v>13548</v>
      </c>
      <c r="D10581" t="s">
        <v>18805</v>
      </c>
      <c r="E10581" t="s">
        <v>21027</v>
      </c>
      <c r="F10581" t="s">
        <v>32664</v>
      </c>
      <c r="G10581" t="s">
        <v>32671</v>
      </c>
      <c r="H10581" t="s">
        <v>12635</v>
      </c>
      <c r="I10581" t="s">
        <v>4439</v>
      </c>
      <c r="J10581" t="s">
        <v>33215</v>
      </c>
      <c r="K10581" t="s">
        <v>42306</v>
      </c>
      <c r="M10581" t="s">
        <v>44341</v>
      </c>
      <c r="N10581" t="s">
        <v>46569</v>
      </c>
      <c r="O10581" t="s">
        <v>46570</v>
      </c>
      <c r="P10581">
        <v>0</v>
      </c>
      <c r="Q10581">
        <v>0</v>
      </c>
      <c r="R10581" t="s">
        <v>46578</v>
      </c>
      <c r="S10581" t="s">
        <v>46874</v>
      </c>
      <c r="T10581" t="s">
        <v>48215</v>
      </c>
      <c r="U10581" t="s">
        <v>57279</v>
      </c>
      <c r="W10581" t="s">
        <v>44341</v>
      </c>
      <c r="X10581" t="s">
        <v>46579</v>
      </c>
    </row>
    <row r="10582" spans="1:24">
      <c r="A10582">
        <f>HYPERLINK("https://www.philgeps.gov.ph/GEPSNONPILOT/Tender/SplashBidNoticeAbstractUI.aspx?menuIndex=3&amp;refID=7050884&amp;Result=3","7050884")</f>
        <v>0</v>
      </c>
      <c r="B10582" t="s">
        <v>2886</v>
      </c>
      <c r="C10582" t="s">
        <v>13549</v>
      </c>
      <c r="D10582" t="s">
        <v>18784</v>
      </c>
      <c r="E10582" t="s">
        <v>28052</v>
      </c>
      <c r="F10582" t="s">
        <v>32664</v>
      </c>
      <c r="G10582" t="s">
        <v>32672</v>
      </c>
      <c r="H10582" t="s">
        <v>12635</v>
      </c>
      <c r="I10582" t="s">
        <v>9486</v>
      </c>
      <c r="J10582" t="s">
        <v>39111</v>
      </c>
      <c r="K10582" t="s">
        <v>42283</v>
      </c>
      <c r="M10582" t="s">
        <v>45735</v>
      </c>
      <c r="N10582" t="s">
        <v>46569</v>
      </c>
      <c r="O10582" t="s">
        <v>46570</v>
      </c>
      <c r="P10582">
        <v>0</v>
      </c>
      <c r="Q10582">
        <v>8</v>
      </c>
      <c r="R10582" t="s">
        <v>46578</v>
      </c>
      <c r="S10582" t="s">
        <v>46874</v>
      </c>
      <c r="T10582" t="s">
        <v>48424</v>
      </c>
      <c r="U10582" t="s">
        <v>57280</v>
      </c>
      <c r="W10582" t="s">
        <v>45735</v>
      </c>
      <c r="X10582" t="s">
        <v>46579</v>
      </c>
    </row>
    <row r="10583" spans="1:24">
      <c r="A10583">
        <f>HYPERLINK("https://www.philgeps.gov.ph/GEPSNONPILOT/Tender/SplashBidNoticeAbstractUI.aspx?menuIndex=3&amp;refID=7050866&amp;Result=3","7050866")</f>
        <v>0</v>
      </c>
      <c r="B10583" t="s">
        <v>1467</v>
      </c>
      <c r="C10583" t="s">
        <v>13550</v>
      </c>
      <c r="D10583" t="s">
        <v>18809</v>
      </c>
      <c r="E10583" t="s">
        <v>28053</v>
      </c>
      <c r="F10583" t="s">
        <v>32664</v>
      </c>
      <c r="G10583" t="s">
        <v>32671</v>
      </c>
      <c r="H10583" t="s">
        <v>12635</v>
      </c>
      <c r="I10583" t="s">
        <v>10590</v>
      </c>
      <c r="J10583" t="s">
        <v>39112</v>
      </c>
      <c r="K10583" t="s">
        <v>42289</v>
      </c>
      <c r="M10583" t="s">
        <v>44129</v>
      </c>
      <c r="N10583" t="s">
        <v>46569</v>
      </c>
      <c r="O10583" t="s">
        <v>46570</v>
      </c>
      <c r="P10583">
        <v>0</v>
      </c>
      <c r="Q10583">
        <v>0</v>
      </c>
      <c r="R10583" t="s">
        <v>46578</v>
      </c>
      <c r="S10583" t="s">
        <v>46874</v>
      </c>
      <c r="T10583" t="s">
        <v>48448</v>
      </c>
      <c r="U10583" t="s">
        <v>57281</v>
      </c>
      <c r="W10583" t="s">
        <v>44129</v>
      </c>
      <c r="X10583" t="s">
        <v>46579</v>
      </c>
    </row>
    <row r="10584" spans="1:24">
      <c r="A10584">
        <f>HYPERLINK("https://www.philgeps.gov.ph/GEPSNONPILOT/Tender/SplashBidNoticeAbstractUI.aspx?menuIndex=3&amp;refID=7050902&amp;Result=3","7050902")</f>
        <v>0</v>
      </c>
      <c r="B10584" t="s">
        <v>2757</v>
      </c>
      <c r="C10584" t="s">
        <v>13551</v>
      </c>
      <c r="D10584" t="s">
        <v>18805</v>
      </c>
      <c r="E10584" t="s">
        <v>28054</v>
      </c>
      <c r="F10584" t="s">
        <v>32664</v>
      </c>
      <c r="G10584" t="s">
        <v>32674</v>
      </c>
      <c r="H10584" t="s">
        <v>12635</v>
      </c>
      <c r="I10584" t="s">
        <v>4439</v>
      </c>
      <c r="J10584" t="s">
        <v>33096</v>
      </c>
      <c r="K10584" t="s">
        <v>42289</v>
      </c>
      <c r="M10584" t="s">
        <v>45592</v>
      </c>
      <c r="N10584" t="s">
        <v>46569</v>
      </c>
      <c r="O10584" t="s">
        <v>46570</v>
      </c>
      <c r="P10584">
        <v>0</v>
      </c>
      <c r="Q10584">
        <v>3</v>
      </c>
      <c r="R10584" t="s">
        <v>46578</v>
      </c>
      <c r="S10584" t="s">
        <v>46874</v>
      </c>
      <c r="T10584" t="s">
        <v>48473</v>
      </c>
      <c r="U10584" t="s">
        <v>57282</v>
      </c>
      <c r="W10584" t="s">
        <v>45592</v>
      </c>
      <c r="X10584" t="s">
        <v>46579</v>
      </c>
    </row>
    <row r="10585" spans="1:24">
      <c r="A10585">
        <f>HYPERLINK("https://www.philgeps.gov.ph/GEPSNONPILOT/Tender/SplashBidNoticeAbstractUI.aspx?menuIndex=3&amp;refID=7050810&amp;Result=3","7050810")</f>
        <v>0</v>
      </c>
      <c r="B10585" t="s">
        <v>2145</v>
      </c>
      <c r="C10585" t="s">
        <v>13552</v>
      </c>
      <c r="D10585" t="s">
        <v>18847</v>
      </c>
      <c r="E10585" t="s">
        <v>28055</v>
      </c>
      <c r="F10585" t="s">
        <v>32664</v>
      </c>
      <c r="G10585" t="s">
        <v>32673</v>
      </c>
      <c r="H10585" t="s">
        <v>32683</v>
      </c>
      <c r="I10585" t="s">
        <v>10627</v>
      </c>
      <c r="J10585" t="s">
        <v>39113</v>
      </c>
      <c r="K10585" t="s">
        <v>42509</v>
      </c>
      <c r="M10585" t="s">
        <v>45745</v>
      </c>
      <c r="N10585" t="s">
        <v>46569</v>
      </c>
      <c r="O10585" t="s">
        <v>46570</v>
      </c>
      <c r="P10585">
        <v>0</v>
      </c>
      <c r="Q10585">
        <v>0</v>
      </c>
      <c r="R10585" t="s">
        <v>46578</v>
      </c>
      <c r="S10585" t="s">
        <v>46874</v>
      </c>
      <c r="T10585" t="s">
        <v>48213</v>
      </c>
      <c r="U10585" t="s">
        <v>57283</v>
      </c>
      <c r="V10585" t="s">
        <v>62758</v>
      </c>
      <c r="W10585" t="s">
        <v>63577</v>
      </c>
      <c r="X10585" t="s">
        <v>46579</v>
      </c>
    </row>
    <row r="10586" spans="1:24">
      <c r="A10586">
        <f>HYPERLINK("https://www.philgeps.gov.ph/GEPSNONPILOT/Tender/SplashBidNoticeAbstractUI.aspx?menuIndex=3&amp;refID=7050807&amp;Result=3","7050807")</f>
        <v>0</v>
      </c>
      <c r="B10586" t="s">
        <v>988</v>
      </c>
      <c r="C10586" t="s">
        <v>13553</v>
      </c>
      <c r="D10586" t="s">
        <v>18784</v>
      </c>
      <c r="E10586" t="s">
        <v>28056</v>
      </c>
      <c r="F10586" t="s">
        <v>32664</v>
      </c>
      <c r="G10586" t="s">
        <v>32671</v>
      </c>
      <c r="H10586" t="s">
        <v>12635</v>
      </c>
      <c r="I10586" t="s">
        <v>6168</v>
      </c>
      <c r="J10586" t="s">
        <v>32984</v>
      </c>
      <c r="K10586" t="s">
        <v>42281</v>
      </c>
      <c r="M10586" t="s">
        <v>44301</v>
      </c>
      <c r="N10586" t="s">
        <v>46569</v>
      </c>
      <c r="O10586" t="s">
        <v>46570</v>
      </c>
      <c r="P10586">
        <v>0</v>
      </c>
      <c r="Q10586">
        <v>3</v>
      </c>
      <c r="R10586" t="s">
        <v>46578</v>
      </c>
      <c r="S10586" t="s">
        <v>46874</v>
      </c>
      <c r="T10586" t="s">
        <v>48287</v>
      </c>
      <c r="U10586" t="s">
        <v>57284</v>
      </c>
      <c r="W10586" t="s">
        <v>44301</v>
      </c>
      <c r="X10586" t="s">
        <v>46579</v>
      </c>
    </row>
    <row r="10587" spans="1:24">
      <c r="A10587">
        <f>HYPERLINK("https://www.philgeps.gov.ph/GEPSNONPILOT/Tender/SplashBidNoticeAbstractUI.aspx?menuIndex=3&amp;refID=7050801&amp;Result=3","7050801")</f>
        <v>0</v>
      </c>
      <c r="B10587" t="s">
        <v>2895</v>
      </c>
      <c r="C10587" t="s">
        <v>13554</v>
      </c>
      <c r="E10587" t="s">
        <v>21047</v>
      </c>
      <c r="F10587" t="s">
        <v>32664</v>
      </c>
      <c r="G10587" t="s">
        <v>32672</v>
      </c>
      <c r="H10587" t="s">
        <v>32683</v>
      </c>
      <c r="I10587" t="s">
        <v>10627</v>
      </c>
      <c r="J10587" t="s">
        <v>33007</v>
      </c>
      <c r="K10587" t="s">
        <v>42283</v>
      </c>
      <c r="M10587" t="s">
        <v>45746</v>
      </c>
      <c r="N10587" t="s">
        <v>46569</v>
      </c>
      <c r="O10587" t="s">
        <v>46570</v>
      </c>
      <c r="P10587">
        <v>0</v>
      </c>
      <c r="Q10587">
        <v>0</v>
      </c>
      <c r="R10587" t="s">
        <v>46578</v>
      </c>
      <c r="S10587" t="s">
        <v>46874</v>
      </c>
      <c r="T10587" t="s">
        <v>48230</v>
      </c>
      <c r="U10587" t="s">
        <v>57285</v>
      </c>
      <c r="W10587" t="s">
        <v>45746</v>
      </c>
      <c r="X10587" t="s">
        <v>46579</v>
      </c>
    </row>
    <row r="10588" spans="1:24">
      <c r="A10588">
        <f>HYPERLINK("https://www.philgeps.gov.ph/GEPSNONPILOT/Tender/SplashBidNoticeAbstractUI.aspx?menuIndex=3&amp;refID=7050725&amp;Result=3","7050725")</f>
        <v>0</v>
      </c>
      <c r="B10588" t="s">
        <v>2885</v>
      </c>
      <c r="C10588" t="s">
        <v>13555</v>
      </c>
      <c r="D10588" t="s">
        <v>18798</v>
      </c>
      <c r="E10588" t="s">
        <v>28057</v>
      </c>
      <c r="F10588" t="s">
        <v>32664</v>
      </c>
      <c r="G10588" t="s">
        <v>32675</v>
      </c>
      <c r="H10588" t="s">
        <v>12635</v>
      </c>
      <c r="I10588" t="s">
        <v>32684</v>
      </c>
      <c r="J10588" t="s">
        <v>33657</v>
      </c>
      <c r="K10588" t="s">
        <v>42297</v>
      </c>
      <c r="M10588" t="s">
        <v>45734</v>
      </c>
      <c r="N10588" t="s">
        <v>46569</v>
      </c>
      <c r="O10588" t="s">
        <v>46570</v>
      </c>
      <c r="P10588">
        <v>0</v>
      </c>
      <c r="Q10588">
        <v>3</v>
      </c>
      <c r="R10588" t="s">
        <v>46578</v>
      </c>
      <c r="S10588" t="s">
        <v>46874</v>
      </c>
      <c r="T10588" t="s">
        <v>48473</v>
      </c>
      <c r="U10588" t="s">
        <v>57286</v>
      </c>
      <c r="W10588" t="s">
        <v>45734</v>
      </c>
      <c r="X10588" t="s">
        <v>46579</v>
      </c>
    </row>
    <row r="10589" spans="1:24">
      <c r="A10589">
        <f>HYPERLINK("https://www.philgeps.gov.ph/GEPSNONPILOT/Tender/SplashBidNoticeAbstractUI.aspx?menuIndex=3&amp;refID=7050878&amp;Result=3","7050878")</f>
        <v>0</v>
      </c>
      <c r="B10589" t="s">
        <v>2866</v>
      </c>
      <c r="C10589" t="s">
        <v>13556</v>
      </c>
      <c r="D10589" t="s">
        <v>18788</v>
      </c>
      <c r="E10589" t="s">
        <v>23865</v>
      </c>
      <c r="F10589" t="s">
        <v>32664</v>
      </c>
      <c r="G10589" t="s">
        <v>32672</v>
      </c>
      <c r="H10589" t="s">
        <v>12635</v>
      </c>
      <c r="I10589" t="s">
        <v>7324</v>
      </c>
      <c r="J10589" t="s">
        <v>39114</v>
      </c>
      <c r="K10589" t="s">
        <v>42289</v>
      </c>
      <c r="M10589" t="s">
        <v>45715</v>
      </c>
      <c r="N10589" t="s">
        <v>46569</v>
      </c>
      <c r="O10589" t="s">
        <v>46570</v>
      </c>
      <c r="P10589">
        <v>0</v>
      </c>
      <c r="Q10589">
        <v>3</v>
      </c>
      <c r="R10589" t="s">
        <v>46578</v>
      </c>
      <c r="S10589" t="s">
        <v>46874</v>
      </c>
      <c r="T10589" t="s">
        <v>48273</v>
      </c>
      <c r="U10589" t="s">
        <v>57287</v>
      </c>
      <c r="W10589" t="s">
        <v>45715</v>
      </c>
      <c r="X10589" t="s">
        <v>46579</v>
      </c>
    </row>
    <row r="10590" spans="1:24">
      <c r="A10590">
        <f>HYPERLINK("https://www.philgeps.gov.ph/GEPSNONPILOT/Tender/SplashBidNoticeAbstractUI.aspx?menuIndex=3&amp;refID=7050942&amp;Result=3","7050942")</f>
        <v>0</v>
      </c>
      <c r="B10590" t="s">
        <v>194</v>
      </c>
      <c r="C10590" t="s">
        <v>13557</v>
      </c>
      <c r="E10590" t="s">
        <v>28058</v>
      </c>
      <c r="F10590" t="s">
        <v>32664</v>
      </c>
      <c r="G10590" t="s">
        <v>32672</v>
      </c>
      <c r="H10590" t="s">
        <v>12635</v>
      </c>
      <c r="I10590" t="s">
        <v>32688</v>
      </c>
      <c r="J10590" t="s">
        <v>39115</v>
      </c>
      <c r="K10590" t="s">
        <v>42281</v>
      </c>
      <c r="M10590" t="s">
        <v>43016</v>
      </c>
      <c r="N10590" t="s">
        <v>46569</v>
      </c>
      <c r="O10590" t="s">
        <v>46570</v>
      </c>
      <c r="P10590">
        <v>0</v>
      </c>
      <c r="Q10590">
        <v>3</v>
      </c>
      <c r="R10590" t="s">
        <v>46578</v>
      </c>
      <c r="S10590" t="s">
        <v>46874</v>
      </c>
      <c r="T10590" t="s">
        <v>48418</v>
      </c>
      <c r="U10590" t="s">
        <v>49564</v>
      </c>
      <c r="W10590" t="s">
        <v>43016</v>
      </c>
      <c r="X10590" t="s">
        <v>46579</v>
      </c>
    </row>
    <row r="10591" spans="1:24">
      <c r="A10591">
        <f>HYPERLINK("https://www.philgeps.gov.ph/GEPSNONPILOT/Tender/SplashBidNoticeAbstractUI.aspx?menuIndex=3&amp;refID=7051010&amp;Result=3","7051010")</f>
        <v>0</v>
      </c>
      <c r="B10591" t="s">
        <v>2896</v>
      </c>
      <c r="C10591" t="s">
        <v>13558</v>
      </c>
      <c r="D10591" t="s">
        <v>18788</v>
      </c>
      <c r="E10591" t="s">
        <v>19950</v>
      </c>
      <c r="F10591" t="s">
        <v>32664</v>
      </c>
      <c r="G10591" t="s">
        <v>32672</v>
      </c>
      <c r="H10591" t="s">
        <v>12635</v>
      </c>
      <c r="I10591" t="s">
        <v>11464</v>
      </c>
      <c r="J10591" t="s">
        <v>33461</v>
      </c>
      <c r="K10591" t="s">
        <v>42289</v>
      </c>
      <c r="M10591" t="s">
        <v>45747</v>
      </c>
      <c r="N10591" t="s">
        <v>46569</v>
      </c>
      <c r="O10591" t="s">
        <v>46570</v>
      </c>
      <c r="P10591">
        <v>0</v>
      </c>
      <c r="Q10591">
        <v>0</v>
      </c>
      <c r="R10591" t="s">
        <v>46578</v>
      </c>
      <c r="S10591" t="s">
        <v>46874</v>
      </c>
      <c r="T10591" t="s">
        <v>48662</v>
      </c>
      <c r="U10591" t="s">
        <v>57288</v>
      </c>
      <c r="W10591" t="s">
        <v>45747</v>
      </c>
      <c r="X10591" t="s">
        <v>46579</v>
      </c>
    </row>
    <row r="10592" spans="1:24">
      <c r="A10592">
        <f>HYPERLINK("https://www.philgeps.gov.ph/GEPSNONPILOT/Tender/SplashBidNoticeAbstractUI.aspx?menuIndex=3&amp;refID=7050805&amp;Result=3","7050805")</f>
        <v>0</v>
      </c>
      <c r="B10592" t="s">
        <v>2897</v>
      </c>
      <c r="C10592" t="s">
        <v>13559</v>
      </c>
      <c r="D10592" t="s">
        <v>18784</v>
      </c>
      <c r="E10592" t="s">
        <v>28059</v>
      </c>
      <c r="F10592" t="s">
        <v>32664</v>
      </c>
      <c r="G10592" t="s">
        <v>32671</v>
      </c>
      <c r="H10592" t="s">
        <v>12635</v>
      </c>
      <c r="I10592" t="s">
        <v>32708</v>
      </c>
      <c r="J10592" t="s">
        <v>33069</v>
      </c>
      <c r="K10592" t="s">
        <v>42281</v>
      </c>
      <c r="M10592" t="s">
        <v>45748</v>
      </c>
      <c r="N10592" t="s">
        <v>46569</v>
      </c>
      <c r="O10592" t="s">
        <v>46570</v>
      </c>
      <c r="P10592">
        <v>0</v>
      </c>
      <c r="Q10592">
        <v>13</v>
      </c>
      <c r="R10592" t="s">
        <v>46578</v>
      </c>
      <c r="S10592" t="s">
        <v>46874</v>
      </c>
      <c r="T10592" t="s">
        <v>48449</v>
      </c>
      <c r="U10592" t="s">
        <v>57289</v>
      </c>
      <c r="W10592" t="s">
        <v>45748</v>
      </c>
      <c r="X10592" t="s">
        <v>46579</v>
      </c>
    </row>
    <row r="10593" spans="1:24">
      <c r="A10593">
        <f>HYPERLINK("https://www.philgeps.gov.ph/GEPSNONPILOT/Tender/SplashBidNoticeAbstractUI.aspx?menuIndex=3&amp;refID=7050996&amp;Result=3","7050996")</f>
        <v>0</v>
      </c>
      <c r="B10593" t="s">
        <v>759</v>
      </c>
      <c r="C10593" t="s">
        <v>13560</v>
      </c>
      <c r="E10593" t="s">
        <v>18926</v>
      </c>
      <c r="F10593" t="s">
        <v>32664</v>
      </c>
      <c r="G10593" t="s">
        <v>32672</v>
      </c>
      <c r="H10593" t="s">
        <v>12635</v>
      </c>
      <c r="I10593" t="s">
        <v>14442</v>
      </c>
      <c r="J10593" t="s">
        <v>34846</v>
      </c>
      <c r="K10593" t="s">
        <v>42283</v>
      </c>
      <c r="M10593" t="s">
        <v>43350</v>
      </c>
      <c r="N10593" t="s">
        <v>46569</v>
      </c>
      <c r="O10593" t="s">
        <v>46570</v>
      </c>
      <c r="P10593">
        <v>0</v>
      </c>
      <c r="Q10593">
        <v>3</v>
      </c>
      <c r="R10593" t="s">
        <v>46578</v>
      </c>
      <c r="S10593" t="s">
        <v>46874</v>
      </c>
      <c r="T10593" t="s">
        <v>48663</v>
      </c>
      <c r="U10593" t="s">
        <v>57290</v>
      </c>
      <c r="W10593" t="s">
        <v>43350</v>
      </c>
      <c r="X10593" t="s">
        <v>46579</v>
      </c>
    </row>
    <row r="10594" spans="1:24">
      <c r="A10594">
        <f>HYPERLINK("https://www.philgeps.gov.ph/GEPSNONPILOT/Tender/SplashBidNoticeAbstractUI.aspx?menuIndex=3&amp;refID=7050994&amp;Result=3","7050994")</f>
        <v>0</v>
      </c>
      <c r="B10594" t="s">
        <v>2898</v>
      </c>
      <c r="C10594" t="s">
        <v>13561</v>
      </c>
      <c r="D10594" t="s">
        <v>18805</v>
      </c>
      <c r="E10594" t="s">
        <v>28060</v>
      </c>
      <c r="F10594" t="s">
        <v>32664</v>
      </c>
      <c r="G10594" t="s">
        <v>32672</v>
      </c>
      <c r="H10594" t="s">
        <v>12635</v>
      </c>
      <c r="I10594" t="s">
        <v>4439</v>
      </c>
      <c r="J10594" t="s">
        <v>39116</v>
      </c>
      <c r="K10594" t="s">
        <v>42283</v>
      </c>
      <c r="M10594" t="s">
        <v>45749</v>
      </c>
      <c r="N10594" t="s">
        <v>46569</v>
      </c>
      <c r="O10594" t="s">
        <v>46570</v>
      </c>
      <c r="P10594">
        <v>0</v>
      </c>
      <c r="Q10594">
        <v>0</v>
      </c>
      <c r="R10594" t="s">
        <v>46578</v>
      </c>
      <c r="S10594" t="s">
        <v>46874</v>
      </c>
      <c r="T10594" t="s">
        <v>48448</v>
      </c>
      <c r="U10594" t="s">
        <v>57291</v>
      </c>
      <c r="W10594" t="s">
        <v>45749</v>
      </c>
      <c r="X10594" t="s">
        <v>46579</v>
      </c>
    </row>
    <row r="10595" spans="1:24">
      <c r="A10595">
        <f>HYPERLINK("https://www.philgeps.gov.ph/GEPSNONPILOT/Tender/SplashBidNoticeAbstractUI.aspx?menuIndex=3&amp;refID=7051006&amp;Result=3","7051006")</f>
        <v>0</v>
      </c>
      <c r="B10595" t="s">
        <v>2886</v>
      </c>
      <c r="C10595" t="s">
        <v>13562</v>
      </c>
      <c r="D10595" t="s">
        <v>18784</v>
      </c>
      <c r="E10595" t="s">
        <v>28061</v>
      </c>
      <c r="F10595" t="s">
        <v>32664</v>
      </c>
      <c r="G10595" t="s">
        <v>32672</v>
      </c>
      <c r="H10595" t="s">
        <v>12635</v>
      </c>
      <c r="I10595" t="s">
        <v>8797</v>
      </c>
      <c r="J10595" t="s">
        <v>39117</v>
      </c>
      <c r="K10595" t="s">
        <v>42283</v>
      </c>
      <c r="M10595" t="s">
        <v>45735</v>
      </c>
      <c r="N10595" t="s">
        <v>46569</v>
      </c>
      <c r="O10595" t="s">
        <v>46570</v>
      </c>
      <c r="P10595">
        <v>0</v>
      </c>
      <c r="Q10595">
        <v>29</v>
      </c>
      <c r="R10595" t="s">
        <v>46578</v>
      </c>
      <c r="S10595" t="s">
        <v>46874</v>
      </c>
      <c r="T10595" t="s">
        <v>48424</v>
      </c>
      <c r="U10595" t="s">
        <v>57292</v>
      </c>
      <c r="W10595" t="s">
        <v>45735</v>
      </c>
      <c r="X10595" t="s">
        <v>46579</v>
      </c>
    </row>
    <row r="10596" spans="1:24">
      <c r="A10596">
        <f>HYPERLINK("https://www.philgeps.gov.ph/GEPSNONPILOT/Tender/SplashBidNoticeAbstractUI.aspx?menuIndex=3&amp;refID=7050809&amp;Result=3","7050809")</f>
        <v>0</v>
      </c>
      <c r="B10596" t="s">
        <v>1467</v>
      </c>
      <c r="C10596" t="s">
        <v>13563</v>
      </c>
      <c r="D10596" t="s">
        <v>18809</v>
      </c>
      <c r="E10596" t="s">
        <v>28062</v>
      </c>
      <c r="F10596" t="s">
        <v>32664</v>
      </c>
      <c r="G10596" t="s">
        <v>32671</v>
      </c>
      <c r="H10596" t="s">
        <v>12635</v>
      </c>
      <c r="I10596" t="s">
        <v>7429</v>
      </c>
      <c r="J10596" t="s">
        <v>32984</v>
      </c>
      <c r="K10596" t="s">
        <v>42289</v>
      </c>
      <c r="M10596" t="s">
        <v>44129</v>
      </c>
      <c r="N10596" t="s">
        <v>46569</v>
      </c>
      <c r="O10596" t="s">
        <v>46570</v>
      </c>
      <c r="P10596">
        <v>0</v>
      </c>
      <c r="Q10596">
        <v>1</v>
      </c>
      <c r="R10596" t="s">
        <v>46578</v>
      </c>
      <c r="S10596" t="s">
        <v>46874</v>
      </c>
      <c r="T10596" t="s">
        <v>48448</v>
      </c>
      <c r="U10596" t="s">
        <v>57293</v>
      </c>
      <c r="W10596" t="s">
        <v>44129</v>
      </c>
      <c r="X10596" t="s">
        <v>46579</v>
      </c>
    </row>
    <row r="10597" spans="1:24">
      <c r="A10597">
        <f>HYPERLINK("https://www.philgeps.gov.ph/GEPSNONPILOT/Tender/SplashBidNoticeAbstractUI.aspx?menuIndex=3&amp;refID=7050980&amp;Result=3","7050980")</f>
        <v>0</v>
      </c>
      <c r="B10597" t="s">
        <v>329</v>
      </c>
      <c r="C10597" t="s">
        <v>13564</v>
      </c>
      <c r="D10597" t="s">
        <v>18806</v>
      </c>
      <c r="E10597" t="s">
        <v>28063</v>
      </c>
      <c r="F10597" t="s">
        <v>32664</v>
      </c>
      <c r="G10597" t="s">
        <v>32672</v>
      </c>
      <c r="H10597" t="s">
        <v>12635</v>
      </c>
      <c r="I10597" t="s">
        <v>4333</v>
      </c>
      <c r="J10597" t="s">
        <v>32853</v>
      </c>
      <c r="K10597" t="s">
        <v>42297</v>
      </c>
      <c r="M10597" t="s">
        <v>42897</v>
      </c>
      <c r="N10597" t="s">
        <v>46569</v>
      </c>
      <c r="O10597" t="s">
        <v>46570</v>
      </c>
      <c r="P10597">
        <v>0</v>
      </c>
      <c r="Q10597">
        <v>0</v>
      </c>
      <c r="R10597" t="s">
        <v>46578</v>
      </c>
      <c r="S10597" t="s">
        <v>46874</v>
      </c>
      <c r="T10597" t="s">
        <v>48334</v>
      </c>
      <c r="U10597" t="s">
        <v>57294</v>
      </c>
      <c r="W10597" t="s">
        <v>42897</v>
      </c>
      <c r="X10597" t="s">
        <v>46579</v>
      </c>
    </row>
    <row r="10598" spans="1:24">
      <c r="A10598">
        <f>HYPERLINK("https://www.philgeps.gov.ph/GEPSNONPILOT/Tender/SplashBidNoticeAbstractUI.aspx?menuIndex=3&amp;refID=7050975&amp;Result=3","7050975")</f>
        <v>0</v>
      </c>
      <c r="B10598" t="s">
        <v>2892</v>
      </c>
      <c r="C10598" t="s">
        <v>13565</v>
      </c>
      <c r="D10598" t="s">
        <v>18782</v>
      </c>
      <c r="E10598" t="s">
        <v>28064</v>
      </c>
      <c r="F10598" t="s">
        <v>32664</v>
      </c>
      <c r="G10598" t="s">
        <v>32671</v>
      </c>
      <c r="H10598" t="s">
        <v>12635</v>
      </c>
      <c r="I10598" t="s">
        <v>32730</v>
      </c>
      <c r="J10598" t="s">
        <v>32865</v>
      </c>
      <c r="K10598" t="s">
        <v>42284</v>
      </c>
      <c r="M10598" t="s">
        <v>45742</v>
      </c>
      <c r="N10598" t="s">
        <v>46569</v>
      </c>
      <c r="O10598" t="s">
        <v>46570</v>
      </c>
      <c r="P10598">
        <v>0</v>
      </c>
      <c r="Q10598">
        <v>1</v>
      </c>
      <c r="R10598" t="s">
        <v>46578</v>
      </c>
      <c r="S10598" t="s">
        <v>46874</v>
      </c>
      <c r="T10598" t="s">
        <v>48221</v>
      </c>
      <c r="U10598" t="s">
        <v>57295</v>
      </c>
      <c r="V10598" t="s">
        <v>62759</v>
      </c>
      <c r="W10598" t="s">
        <v>45742</v>
      </c>
      <c r="X10598" t="s">
        <v>46579</v>
      </c>
    </row>
    <row r="10599" spans="1:24">
      <c r="A10599">
        <f>HYPERLINK("https://www.philgeps.gov.ph/GEPSNONPILOT/Tender/SplashBidNoticeAbstractUI.aspx?menuIndex=3&amp;refID=7050993&amp;Result=3","7050993")</f>
        <v>0</v>
      </c>
      <c r="B10599" t="s">
        <v>726</v>
      </c>
      <c r="C10599" t="s">
        <v>13566</v>
      </c>
      <c r="D10599" t="s">
        <v>18784</v>
      </c>
      <c r="E10599" t="s">
        <v>28065</v>
      </c>
      <c r="F10599" t="s">
        <v>32664</v>
      </c>
      <c r="G10599" t="s">
        <v>32672</v>
      </c>
      <c r="H10599" t="s">
        <v>12635</v>
      </c>
      <c r="I10599" t="s">
        <v>6223</v>
      </c>
      <c r="J10599" t="s">
        <v>33126</v>
      </c>
      <c r="K10599" t="s">
        <v>42284</v>
      </c>
      <c r="M10599" t="s">
        <v>43314</v>
      </c>
      <c r="N10599" t="s">
        <v>46569</v>
      </c>
      <c r="O10599" t="s">
        <v>46570</v>
      </c>
      <c r="P10599">
        <v>0</v>
      </c>
      <c r="Q10599">
        <v>1</v>
      </c>
      <c r="R10599" t="s">
        <v>46578</v>
      </c>
      <c r="S10599" t="s">
        <v>46874</v>
      </c>
      <c r="T10599" t="s">
        <v>48599</v>
      </c>
      <c r="U10599" t="s">
        <v>50145</v>
      </c>
      <c r="W10599" t="s">
        <v>43314</v>
      </c>
      <c r="X10599" t="s">
        <v>46579</v>
      </c>
    </row>
    <row r="10600" spans="1:24">
      <c r="A10600">
        <f>HYPERLINK("https://www.philgeps.gov.ph/GEPSNONPILOT/Tender/SplashBidNoticeAbstractUI.aspx?menuIndex=3&amp;refID=7050869&amp;Result=3","7050869")</f>
        <v>0</v>
      </c>
      <c r="B10600" t="s">
        <v>2899</v>
      </c>
      <c r="C10600" t="s">
        <v>13567</v>
      </c>
      <c r="D10600" t="s">
        <v>18831</v>
      </c>
      <c r="E10600" t="s">
        <v>28066</v>
      </c>
      <c r="F10600" t="s">
        <v>32664</v>
      </c>
      <c r="G10600" t="s">
        <v>32672</v>
      </c>
      <c r="H10600" t="s">
        <v>12635</v>
      </c>
      <c r="I10600" t="s">
        <v>7429</v>
      </c>
      <c r="J10600" t="s">
        <v>39118</v>
      </c>
      <c r="K10600" t="s">
        <v>42283</v>
      </c>
      <c r="M10600" t="s">
        <v>45750</v>
      </c>
      <c r="N10600" t="s">
        <v>46569</v>
      </c>
      <c r="O10600" t="s">
        <v>46570</v>
      </c>
      <c r="P10600">
        <v>0</v>
      </c>
      <c r="Q10600">
        <v>1</v>
      </c>
      <c r="R10600" t="s">
        <v>46578</v>
      </c>
      <c r="S10600" t="s">
        <v>46874</v>
      </c>
      <c r="T10600" t="s">
        <v>48282</v>
      </c>
      <c r="U10600" t="s">
        <v>57296</v>
      </c>
      <c r="W10600" t="s">
        <v>45750</v>
      </c>
      <c r="X10600" t="s">
        <v>46579</v>
      </c>
    </row>
    <row r="10601" spans="1:24">
      <c r="A10601">
        <f>HYPERLINK("https://www.philgeps.gov.ph/GEPSNONPILOT/Tender/SplashBidNoticeAbstractUI.aspx?menuIndex=3&amp;refID=7050969&amp;Result=3","7050969")</f>
        <v>0</v>
      </c>
      <c r="B10601" t="s">
        <v>726</v>
      </c>
      <c r="C10601" t="s">
        <v>13568</v>
      </c>
      <c r="D10601" t="s">
        <v>18784</v>
      </c>
      <c r="E10601" t="s">
        <v>28067</v>
      </c>
      <c r="F10601" t="s">
        <v>32664</v>
      </c>
      <c r="G10601" t="s">
        <v>32672</v>
      </c>
      <c r="H10601" t="s">
        <v>12635</v>
      </c>
      <c r="I10601" t="s">
        <v>6118</v>
      </c>
      <c r="J10601" t="s">
        <v>33893</v>
      </c>
      <c r="K10601" t="s">
        <v>42284</v>
      </c>
      <c r="M10601" t="s">
        <v>43314</v>
      </c>
      <c r="N10601" t="s">
        <v>46569</v>
      </c>
      <c r="O10601" t="s">
        <v>46570</v>
      </c>
      <c r="P10601">
        <v>0</v>
      </c>
      <c r="Q10601">
        <v>0</v>
      </c>
      <c r="R10601" t="s">
        <v>46578</v>
      </c>
      <c r="S10601" t="s">
        <v>46874</v>
      </c>
      <c r="T10601" t="s">
        <v>48448</v>
      </c>
      <c r="U10601" t="s">
        <v>50145</v>
      </c>
      <c r="W10601" t="s">
        <v>43314</v>
      </c>
      <c r="X10601" t="s">
        <v>46579</v>
      </c>
    </row>
    <row r="10602" spans="1:24">
      <c r="A10602">
        <f>HYPERLINK("https://www.philgeps.gov.ph/GEPSNONPILOT/Tender/SplashBidNoticeAbstractUI.aspx?menuIndex=3&amp;refID=7050818&amp;Result=3","7050818")</f>
        <v>0</v>
      </c>
      <c r="B10602" t="s">
        <v>1467</v>
      </c>
      <c r="C10602" t="s">
        <v>13569</v>
      </c>
      <c r="D10602" t="s">
        <v>18809</v>
      </c>
      <c r="E10602" t="s">
        <v>28068</v>
      </c>
      <c r="F10602" t="s">
        <v>32664</v>
      </c>
      <c r="G10602" t="s">
        <v>32671</v>
      </c>
      <c r="H10602" t="s">
        <v>12635</v>
      </c>
      <c r="I10602" t="s">
        <v>32788</v>
      </c>
      <c r="J10602" t="s">
        <v>33078</v>
      </c>
      <c r="K10602" t="s">
        <v>42289</v>
      </c>
      <c r="M10602" t="s">
        <v>44129</v>
      </c>
      <c r="N10602" t="s">
        <v>46569</v>
      </c>
      <c r="O10602" t="s">
        <v>46570</v>
      </c>
      <c r="P10602">
        <v>0</v>
      </c>
      <c r="Q10602">
        <v>2</v>
      </c>
      <c r="R10602" t="s">
        <v>46578</v>
      </c>
      <c r="S10602" t="s">
        <v>46874</v>
      </c>
      <c r="T10602" t="s">
        <v>48448</v>
      </c>
      <c r="U10602" t="s">
        <v>57297</v>
      </c>
      <c r="W10602" t="s">
        <v>44129</v>
      </c>
      <c r="X10602" t="s">
        <v>46579</v>
      </c>
    </row>
    <row r="10603" spans="1:24">
      <c r="A10603">
        <f>HYPERLINK("https://www.philgeps.gov.ph/GEPSNONPILOT/Tender/SplashBidNoticeAbstractUI.aspx?menuIndex=3&amp;refID=7051100&amp;Result=3","7051100")</f>
        <v>0</v>
      </c>
      <c r="B10603" t="s">
        <v>759</v>
      </c>
      <c r="C10603" t="s">
        <v>13570</v>
      </c>
      <c r="E10603" t="s">
        <v>21047</v>
      </c>
      <c r="F10603" t="s">
        <v>32664</v>
      </c>
      <c r="G10603" t="s">
        <v>32672</v>
      </c>
      <c r="H10603" t="s">
        <v>12635</v>
      </c>
      <c r="I10603" t="s">
        <v>32694</v>
      </c>
      <c r="J10603" t="s">
        <v>39119</v>
      </c>
      <c r="K10603" t="s">
        <v>42283</v>
      </c>
      <c r="M10603" t="s">
        <v>43350</v>
      </c>
      <c r="N10603" t="s">
        <v>46569</v>
      </c>
      <c r="O10603" t="s">
        <v>46570</v>
      </c>
      <c r="P10603">
        <v>0</v>
      </c>
      <c r="Q10603">
        <v>0</v>
      </c>
      <c r="R10603" t="s">
        <v>46578</v>
      </c>
      <c r="S10603" t="s">
        <v>46874</v>
      </c>
      <c r="T10603" t="s">
        <v>48663</v>
      </c>
      <c r="U10603" t="s">
        <v>57298</v>
      </c>
      <c r="W10603" t="s">
        <v>43350</v>
      </c>
      <c r="X10603" t="s">
        <v>46579</v>
      </c>
    </row>
    <row r="10604" spans="1:24">
      <c r="A10604">
        <f>HYPERLINK("https://www.philgeps.gov.ph/GEPSNONPILOT/Tender/SplashBidNoticeAbstractUI.aspx?menuIndex=3&amp;refID=7050972&amp;Result=3","7050972")</f>
        <v>0</v>
      </c>
      <c r="B10604" t="s">
        <v>2446</v>
      </c>
      <c r="C10604" t="s">
        <v>13571</v>
      </c>
      <c r="D10604" t="s">
        <v>18838</v>
      </c>
      <c r="E10604" t="s">
        <v>28069</v>
      </c>
      <c r="F10604" t="s">
        <v>32664</v>
      </c>
      <c r="G10604" t="s">
        <v>32672</v>
      </c>
      <c r="H10604" t="s">
        <v>12635</v>
      </c>
      <c r="I10604" t="s">
        <v>9486</v>
      </c>
      <c r="J10604" t="s">
        <v>39120</v>
      </c>
      <c r="K10604" t="s">
        <v>42283</v>
      </c>
      <c r="M10604" t="s">
        <v>45239</v>
      </c>
      <c r="N10604" t="s">
        <v>46569</v>
      </c>
      <c r="O10604" t="s">
        <v>46570</v>
      </c>
      <c r="Q10604">
        <v>13</v>
      </c>
      <c r="R10604" t="s">
        <v>46578</v>
      </c>
      <c r="S10604" t="s">
        <v>46902</v>
      </c>
      <c r="T10604" t="s">
        <v>48659</v>
      </c>
      <c r="U10604" t="s">
        <v>57299</v>
      </c>
      <c r="V10604" t="s">
        <v>62760</v>
      </c>
      <c r="W10604" t="s">
        <v>45239</v>
      </c>
      <c r="X10604" t="s">
        <v>46579</v>
      </c>
    </row>
    <row r="10605" spans="1:24">
      <c r="A10605">
        <f>HYPERLINK("https://www.philgeps.gov.ph/GEPSNONPILOT/Tender/SplashBidNoticeAbstractUI.aspx?menuIndex=3&amp;refID=7050882&amp;Result=3","7050882")</f>
        <v>0</v>
      </c>
      <c r="B10605" t="s">
        <v>203</v>
      </c>
      <c r="C10605" t="s">
        <v>13572</v>
      </c>
      <c r="D10605" t="s">
        <v>18816</v>
      </c>
      <c r="E10605" t="s">
        <v>28070</v>
      </c>
      <c r="F10605" t="s">
        <v>32664</v>
      </c>
      <c r="G10605" t="s">
        <v>32671</v>
      </c>
      <c r="H10605" t="s">
        <v>12635</v>
      </c>
      <c r="I10605" t="s">
        <v>32736</v>
      </c>
      <c r="J10605" t="s">
        <v>33738</v>
      </c>
      <c r="K10605" t="s">
        <v>42289</v>
      </c>
      <c r="M10605" t="s">
        <v>43709</v>
      </c>
      <c r="N10605" t="s">
        <v>46569</v>
      </c>
      <c r="O10605" t="s">
        <v>46570</v>
      </c>
      <c r="P10605">
        <v>0</v>
      </c>
      <c r="Q10605">
        <v>2</v>
      </c>
      <c r="R10605" t="s">
        <v>46578</v>
      </c>
      <c r="S10605" t="s">
        <v>46874</v>
      </c>
      <c r="T10605" t="s">
        <v>48532</v>
      </c>
      <c r="U10605" t="s">
        <v>57300</v>
      </c>
      <c r="W10605" t="s">
        <v>43709</v>
      </c>
      <c r="X10605" t="s">
        <v>46579</v>
      </c>
    </row>
    <row r="10606" spans="1:24">
      <c r="A10606">
        <f>HYPERLINK("https://www.philgeps.gov.ph/GEPSNONPILOT/Tender/SplashBidNoticeAbstractUI.aspx?menuIndex=3&amp;refID=7050901&amp;Result=3","7050901")</f>
        <v>0</v>
      </c>
      <c r="B10606" t="s">
        <v>2900</v>
      </c>
      <c r="C10606" t="s">
        <v>13573</v>
      </c>
      <c r="D10606" t="s">
        <v>18831</v>
      </c>
      <c r="E10606" t="s">
        <v>13573</v>
      </c>
      <c r="F10606" t="s">
        <v>32664</v>
      </c>
      <c r="G10606" t="s">
        <v>32671</v>
      </c>
      <c r="H10606" t="s">
        <v>12635</v>
      </c>
      <c r="I10606" t="s">
        <v>32694</v>
      </c>
      <c r="J10606" t="s">
        <v>39121</v>
      </c>
      <c r="K10606" t="s">
        <v>42316</v>
      </c>
      <c r="M10606" t="s">
        <v>45751</v>
      </c>
      <c r="N10606" t="s">
        <v>46569</v>
      </c>
      <c r="O10606" t="s">
        <v>46570</v>
      </c>
      <c r="P10606">
        <v>0</v>
      </c>
      <c r="Q10606">
        <v>2</v>
      </c>
      <c r="R10606" t="s">
        <v>46578</v>
      </c>
      <c r="S10606" t="s">
        <v>46874</v>
      </c>
      <c r="T10606" t="s">
        <v>48410</v>
      </c>
      <c r="U10606" t="s">
        <v>57301</v>
      </c>
      <c r="W10606" t="s">
        <v>45751</v>
      </c>
      <c r="X10606" t="s">
        <v>46579</v>
      </c>
    </row>
    <row r="10607" spans="1:24">
      <c r="A10607">
        <f>HYPERLINK("https://www.philgeps.gov.ph/GEPSNONPILOT/Tender/SplashBidNoticeAbstractUI.aspx?menuIndex=3&amp;refID=7050959&amp;Result=3","7050959")</f>
        <v>0</v>
      </c>
      <c r="B10607" t="s">
        <v>2852</v>
      </c>
      <c r="C10607" t="s">
        <v>13574</v>
      </c>
      <c r="D10607" t="s">
        <v>18794</v>
      </c>
      <c r="E10607" t="s">
        <v>28071</v>
      </c>
      <c r="F10607" t="s">
        <v>32664</v>
      </c>
      <c r="G10607" t="s">
        <v>32672</v>
      </c>
      <c r="H10607" t="s">
        <v>32683</v>
      </c>
      <c r="I10607" t="s">
        <v>10627</v>
      </c>
      <c r="J10607" t="s">
        <v>39107</v>
      </c>
      <c r="K10607" t="s">
        <v>42296</v>
      </c>
      <c r="M10607" t="s">
        <v>45700</v>
      </c>
      <c r="N10607" t="s">
        <v>46569</v>
      </c>
      <c r="O10607" t="s">
        <v>46570</v>
      </c>
      <c r="P10607">
        <v>0</v>
      </c>
      <c r="Q10607">
        <v>1</v>
      </c>
      <c r="R10607" t="s">
        <v>46578</v>
      </c>
      <c r="S10607" t="s">
        <v>46874</v>
      </c>
      <c r="T10607" t="s">
        <v>48418</v>
      </c>
      <c r="U10607" t="s">
        <v>57302</v>
      </c>
      <c r="W10607" t="s">
        <v>45700</v>
      </c>
      <c r="X10607" t="s">
        <v>46579</v>
      </c>
    </row>
    <row r="10608" spans="1:24">
      <c r="A10608">
        <f>HYPERLINK("https://www.philgeps.gov.ph/GEPSNONPILOT/Tender/SplashBidNoticeAbstractUI.aspx?menuIndex=3&amp;refID=7051084&amp;Result=3","7051084")</f>
        <v>0</v>
      </c>
      <c r="B10608" t="s">
        <v>2898</v>
      </c>
      <c r="C10608" t="s">
        <v>13575</v>
      </c>
      <c r="D10608" t="s">
        <v>18805</v>
      </c>
      <c r="E10608" t="s">
        <v>28072</v>
      </c>
      <c r="F10608" t="s">
        <v>32664</v>
      </c>
      <c r="G10608" t="s">
        <v>32672</v>
      </c>
      <c r="H10608" t="s">
        <v>12635</v>
      </c>
      <c r="I10608" t="s">
        <v>32689</v>
      </c>
      <c r="J10608" t="s">
        <v>33069</v>
      </c>
      <c r="K10608" t="s">
        <v>42283</v>
      </c>
      <c r="M10608" t="s">
        <v>45749</v>
      </c>
      <c r="N10608" t="s">
        <v>46569</v>
      </c>
      <c r="O10608" t="s">
        <v>46570</v>
      </c>
      <c r="P10608">
        <v>0</v>
      </c>
      <c r="Q10608">
        <v>0</v>
      </c>
      <c r="R10608" t="s">
        <v>46578</v>
      </c>
      <c r="S10608" t="s">
        <v>46874</v>
      </c>
      <c r="T10608" t="s">
        <v>48448</v>
      </c>
      <c r="U10608" t="s">
        <v>57291</v>
      </c>
      <c r="W10608" t="s">
        <v>45749</v>
      </c>
      <c r="X10608" t="s">
        <v>46579</v>
      </c>
    </row>
    <row r="10609" spans="1:24">
      <c r="A10609">
        <f>HYPERLINK("https://www.philgeps.gov.ph/GEPSNONPILOT/Tender/SplashBidNoticeAbstractUI.aspx?menuIndex=3&amp;refID=7051094&amp;Result=3","7051094")</f>
        <v>0</v>
      </c>
      <c r="B10609" t="s">
        <v>1282</v>
      </c>
      <c r="C10609" t="s">
        <v>13576</v>
      </c>
      <c r="D10609" t="s">
        <v>18823</v>
      </c>
      <c r="E10609" t="s">
        <v>28073</v>
      </c>
      <c r="F10609" t="s">
        <v>32664</v>
      </c>
      <c r="G10609" t="s">
        <v>32672</v>
      </c>
      <c r="H10609" t="s">
        <v>12635</v>
      </c>
      <c r="I10609" t="s">
        <v>11464</v>
      </c>
      <c r="J10609" t="s">
        <v>39122</v>
      </c>
      <c r="K10609" t="s">
        <v>42283</v>
      </c>
      <c r="M10609" t="s">
        <v>43925</v>
      </c>
      <c r="N10609" t="s">
        <v>46569</v>
      </c>
      <c r="O10609" t="s">
        <v>46570</v>
      </c>
      <c r="P10609">
        <v>0</v>
      </c>
      <c r="Q10609">
        <v>2</v>
      </c>
      <c r="R10609" t="s">
        <v>46578</v>
      </c>
      <c r="S10609" t="s">
        <v>46874</v>
      </c>
      <c r="T10609" t="s">
        <v>48212</v>
      </c>
      <c r="U10609" t="s">
        <v>57303</v>
      </c>
      <c r="W10609" t="s">
        <v>63508</v>
      </c>
      <c r="X10609" t="s">
        <v>46579</v>
      </c>
    </row>
    <row r="10610" spans="1:24">
      <c r="A10610">
        <f>HYPERLINK("https://www.philgeps.gov.ph/GEPSNONPILOT/Tender/SplashBidNoticeAbstractUI.aspx?menuIndex=3&amp;refID=7051079&amp;Result=3","7051079")</f>
        <v>0</v>
      </c>
      <c r="B10610" t="s">
        <v>1574</v>
      </c>
      <c r="C10610" t="s">
        <v>13577</v>
      </c>
      <c r="D10610" t="s">
        <v>18830</v>
      </c>
      <c r="E10610" t="s">
        <v>28074</v>
      </c>
      <c r="F10610" t="s">
        <v>32664</v>
      </c>
      <c r="G10610" t="s">
        <v>32671</v>
      </c>
      <c r="H10610" t="s">
        <v>12635</v>
      </c>
      <c r="I10610" t="s">
        <v>32685</v>
      </c>
      <c r="J10610" t="s">
        <v>32984</v>
      </c>
      <c r="K10610" t="s">
        <v>42309</v>
      </c>
      <c r="M10610" t="s">
        <v>44249</v>
      </c>
      <c r="N10610" t="s">
        <v>46569</v>
      </c>
      <c r="O10610" t="s">
        <v>46570</v>
      </c>
      <c r="P10610">
        <v>0</v>
      </c>
      <c r="Q10610">
        <v>1</v>
      </c>
      <c r="R10610" t="s">
        <v>46578</v>
      </c>
      <c r="S10610" t="s">
        <v>46874</v>
      </c>
      <c r="T10610" t="s">
        <v>48254</v>
      </c>
      <c r="U10610" t="s">
        <v>57304</v>
      </c>
      <c r="W10610" t="s">
        <v>44249</v>
      </c>
      <c r="X10610" t="s">
        <v>46579</v>
      </c>
    </row>
    <row r="10611" spans="1:24">
      <c r="A10611">
        <f>HYPERLINK("https://www.philgeps.gov.ph/GEPSNONPILOT/Tender/SplashBidNoticeAbstractUI.aspx?menuIndex=3&amp;refID=7051070&amp;Result=3","7051070")</f>
        <v>0</v>
      </c>
      <c r="B10611" t="s">
        <v>2901</v>
      </c>
      <c r="C10611" t="s">
        <v>9810</v>
      </c>
      <c r="D10611" t="s">
        <v>18806</v>
      </c>
      <c r="E10611" t="s">
        <v>28075</v>
      </c>
      <c r="F10611" t="s">
        <v>32664</v>
      </c>
      <c r="G10611" t="s">
        <v>32672</v>
      </c>
      <c r="H10611" t="s">
        <v>12635</v>
      </c>
      <c r="I10611" t="s">
        <v>4333</v>
      </c>
      <c r="J10611" t="s">
        <v>32898</v>
      </c>
      <c r="K10611" t="s">
        <v>42281</v>
      </c>
      <c r="M10611" t="s">
        <v>45752</v>
      </c>
      <c r="N10611" t="s">
        <v>46569</v>
      </c>
      <c r="O10611" t="s">
        <v>46570</v>
      </c>
      <c r="P10611">
        <v>0</v>
      </c>
      <c r="Q10611">
        <v>2</v>
      </c>
      <c r="R10611" t="s">
        <v>46578</v>
      </c>
      <c r="S10611" t="s">
        <v>46874</v>
      </c>
      <c r="T10611" t="s">
        <v>48287</v>
      </c>
      <c r="U10611" t="s">
        <v>57305</v>
      </c>
      <c r="V10611" t="s">
        <v>62761</v>
      </c>
      <c r="W10611" t="s">
        <v>45752</v>
      </c>
      <c r="X10611" t="s">
        <v>46579</v>
      </c>
    </row>
    <row r="10612" spans="1:24">
      <c r="A10612">
        <f>HYPERLINK("https://www.philgeps.gov.ph/GEPSNONPILOT/Tender/SplashBidNoticeAbstractUI.aspx?menuIndex=3&amp;refID=7051088&amp;Result=3","7051088")</f>
        <v>0</v>
      </c>
      <c r="B10612" t="s">
        <v>794</v>
      </c>
      <c r="C10612" t="s">
        <v>13578</v>
      </c>
      <c r="D10612" t="s">
        <v>18806</v>
      </c>
      <c r="E10612" t="s">
        <v>28076</v>
      </c>
      <c r="F10612" t="s">
        <v>32664</v>
      </c>
      <c r="G10612" t="s">
        <v>32672</v>
      </c>
      <c r="H10612" t="s">
        <v>12635</v>
      </c>
      <c r="I10612" t="s">
        <v>32685</v>
      </c>
      <c r="J10612" t="s">
        <v>39123</v>
      </c>
      <c r="K10612" t="s">
        <v>42289</v>
      </c>
      <c r="M10612" t="s">
        <v>45564</v>
      </c>
      <c r="N10612" t="s">
        <v>46569</v>
      </c>
      <c r="O10612" t="s">
        <v>46570</v>
      </c>
      <c r="P10612">
        <v>0</v>
      </c>
      <c r="Q10612">
        <v>0</v>
      </c>
      <c r="R10612" t="s">
        <v>46578</v>
      </c>
      <c r="S10612" t="s">
        <v>46874</v>
      </c>
      <c r="T10612" t="s">
        <v>48449</v>
      </c>
      <c r="U10612" t="s">
        <v>57306</v>
      </c>
      <c r="W10612" t="s">
        <v>45564</v>
      </c>
      <c r="X10612" t="s">
        <v>46579</v>
      </c>
    </row>
    <row r="10613" spans="1:24">
      <c r="A10613">
        <f>HYPERLINK("https://www.philgeps.gov.ph/GEPSNONPILOT/Tender/SplashBidNoticeAbstractUI.aspx?menuIndex=3&amp;refID=7051059&amp;Result=3","7051059")</f>
        <v>0</v>
      </c>
      <c r="B10613" t="s">
        <v>2902</v>
      </c>
      <c r="C10613" t="s">
        <v>13579</v>
      </c>
      <c r="D10613" t="s">
        <v>18807</v>
      </c>
      <c r="E10613" t="s">
        <v>28077</v>
      </c>
      <c r="F10613" t="s">
        <v>32664</v>
      </c>
      <c r="G10613" t="s">
        <v>32672</v>
      </c>
      <c r="H10613" t="s">
        <v>12635</v>
      </c>
      <c r="I10613" t="s">
        <v>4439</v>
      </c>
      <c r="J10613" t="s">
        <v>39124</v>
      </c>
      <c r="K10613" t="s">
        <v>42284</v>
      </c>
      <c r="L10613" t="s">
        <v>2902</v>
      </c>
      <c r="M10613" t="s">
        <v>45753</v>
      </c>
      <c r="N10613" t="s">
        <v>46569</v>
      </c>
      <c r="O10613" t="s">
        <v>46570</v>
      </c>
      <c r="P10613">
        <v>0</v>
      </c>
      <c r="Q10613">
        <v>1</v>
      </c>
      <c r="R10613" t="s">
        <v>46578</v>
      </c>
      <c r="S10613" t="s">
        <v>46874</v>
      </c>
      <c r="T10613" t="s">
        <v>48664</v>
      </c>
      <c r="U10613" t="s">
        <v>57307</v>
      </c>
      <c r="W10613" t="s">
        <v>45753</v>
      </c>
      <c r="X10613" t="s">
        <v>46579</v>
      </c>
    </row>
    <row r="10614" spans="1:24">
      <c r="A10614">
        <f>HYPERLINK("https://www.philgeps.gov.ph/GEPSNONPILOT/Tender/SplashBidNoticeAbstractUI.aspx?menuIndex=3&amp;refID=7051080&amp;Result=3","7051080")</f>
        <v>0</v>
      </c>
      <c r="B10614" t="s">
        <v>1524</v>
      </c>
      <c r="C10614" t="s">
        <v>13580</v>
      </c>
      <c r="D10614" t="s">
        <v>18804</v>
      </c>
      <c r="E10614" t="s">
        <v>28078</v>
      </c>
      <c r="F10614" t="s">
        <v>32664</v>
      </c>
      <c r="G10614" t="s">
        <v>32672</v>
      </c>
      <c r="H10614" t="s">
        <v>12635</v>
      </c>
      <c r="I10614" t="s">
        <v>7709</v>
      </c>
      <c r="J10614" t="s">
        <v>39125</v>
      </c>
      <c r="K10614" t="s">
        <v>42281</v>
      </c>
      <c r="M10614" t="s">
        <v>44191</v>
      </c>
      <c r="N10614" t="s">
        <v>46569</v>
      </c>
      <c r="O10614" t="s">
        <v>46570</v>
      </c>
      <c r="P10614">
        <v>0</v>
      </c>
      <c r="Q10614">
        <v>0</v>
      </c>
      <c r="R10614" t="s">
        <v>46578</v>
      </c>
      <c r="S10614" t="s">
        <v>46874</v>
      </c>
      <c r="T10614" t="s">
        <v>48665</v>
      </c>
      <c r="U10614" t="s">
        <v>52220</v>
      </c>
      <c r="V10614" t="s">
        <v>62052</v>
      </c>
      <c r="W10614" t="s">
        <v>44191</v>
      </c>
      <c r="X10614" t="s">
        <v>46579</v>
      </c>
    </row>
    <row r="10615" spans="1:24">
      <c r="A10615">
        <f>HYPERLINK("https://www.philgeps.gov.ph/GEPSNONPILOT/Tender/SplashBidNoticeAbstractUI.aspx?menuIndex=3&amp;refID=7050970&amp;Result=3","7050970")</f>
        <v>0</v>
      </c>
      <c r="B10615" t="s">
        <v>2886</v>
      </c>
      <c r="C10615" t="s">
        <v>13581</v>
      </c>
      <c r="D10615" t="s">
        <v>18784</v>
      </c>
      <c r="E10615" t="s">
        <v>28079</v>
      </c>
      <c r="F10615" t="s">
        <v>32664</v>
      </c>
      <c r="G10615" t="s">
        <v>32672</v>
      </c>
      <c r="H10615" t="s">
        <v>12635</v>
      </c>
      <c r="I10615" t="s">
        <v>9486</v>
      </c>
      <c r="J10615" t="s">
        <v>39126</v>
      </c>
      <c r="K10615" t="s">
        <v>42283</v>
      </c>
      <c r="M10615" t="s">
        <v>45735</v>
      </c>
      <c r="N10615" t="s">
        <v>46569</v>
      </c>
      <c r="O10615" t="s">
        <v>46570</v>
      </c>
      <c r="P10615">
        <v>0</v>
      </c>
      <c r="Q10615">
        <v>3</v>
      </c>
      <c r="R10615" t="s">
        <v>46578</v>
      </c>
      <c r="S10615" t="s">
        <v>46874</v>
      </c>
      <c r="T10615" t="s">
        <v>48424</v>
      </c>
      <c r="U10615" t="s">
        <v>57308</v>
      </c>
      <c r="W10615" t="s">
        <v>45735</v>
      </c>
      <c r="X10615" t="s">
        <v>46579</v>
      </c>
    </row>
    <row r="10616" spans="1:24">
      <c r="A10616">
        <f>HYPERLINK("https://www.philgeps.gov.ph/GEPSNONPILOT/Tender/SplashBidNoticeAbstractUI.aspx?menuIndex=3&amp;refID=7051090&amp;Result=3","7051090")</f>
        <v>0</v>
      </c>
      <c r="B10616" t="s">
        <v>2901</v>
      </c>
      <c r="C10616" t="s">
        <v>13582</v>
      </c>
      <c r="D10616" t="s">
        <v>18806</v>
      </c>
      <c r="E10616" t="s">
        <v>28080</v>
      </c>
      <c r="F10616" t="s">
        <v>32664</v>
      </c>
      <c r="G10616" t="s">
        <v>32672</v>
      </c>
      <c r="H10616" t="s">
        <v>12635</v>
      </c>
      <c r="I10616" t="s">
        <v>9486</v>
      </c>
      <c r="J10616" t="s">
        <v>32898</v>
      </c>
      <c r="K10616" t="s">
        <v>42281</v>
      </c>
      <c r="M10616" t="s">
        <v>45752</v>
      </c>
      <c r="N10616" t="s">
        <v>46569</v>
      </c>
      <c r="O10616" t="s">
        <v>46570</v>
      </c>
      <c r="P10616">
        <v>0</v>
      </c>
      <c r="Q10616">
        <v>1</v>
      </c>
      <c r="R10616" t="s">
        <v>46578</v>
      </c>
      <c r="S10616" t="s">
        <v>46874</v>
      </c>
      <c r="T10616" t="s">
        <v>48502</v>
      </c>
      <c r="U10616" t="s">
        <v>57309</v>
      </c>
      <c r="V10616" t="s">
        <v>62761</v>
      </c>
      <c r="W10616" t="s">
        <v>45752</v>
      </c>
      <c r="X10616" t="s">
        <v>46579</v>
      </c>
    </row>
    <row r="10617" spans="1:24">
      <c r="A10617">
        <f>HYPERLINK("https://www.philgeps.gov.ph/GEPSNONPILOT/Tender/SplashBidNoticeAbstractUI.aspx?menuIndex=3&amp;refID=7051032&amp;Result=3","7051032")</f>
        <v>0</v>
      </c>
      <c r="B10617" t="s">
        <v>759</v>
      </c>
      <c r="C10617" t="s">
        <v>13583</v>
      </c>
      <c r="E10617" t="s">
        <v>19681</v>
      </c>
      <c r="F10617" t="s">
        <v>32664</v>
      </c>
      <c r="G10617" t="s">
        <v>32672</v>
      </c>
      <c r="H10617" t="s">
        <v>12635</v>
      </c>
      <c r="I10617" t="s">
        <v>9486</v>
      </c>
      <c r="J10617" t="s">
        <v>39127</v>
      </c>
      <c r="K10617" t="s">
        <v>42283</v>
      </c>
      <c r="M10617" t="s">
        <v>43350</v>
      </c>
      <c r="N10617" t="s">
        <v>46569</v>
      </c>
      <c r="O10617" t="s">
        <v>46570</v>
      </c>
      <c r="P10617">
        <v>0</v>
      </c>
      <c r="Q10617">
        <v>0</v>
      </c>
      <c r="R10617" t="s">
        <v>46578</v>
      </c>
      <c r="S10617" t="s">
        <v>46874</v>
      </c>
      <c r="T10617" t="s">
        <v>48663</v>
      </c>
      <c r="U10617" t="s">
        <v>57310</v>
      </c>
      <c r="W10617" t="s">
        <v>43350</v>
      </c>
      <c r="X10617" t="s">
        <v>46579</v>
      </c>
    </row>
    <row r="10618" spans="1:24">
      <c r="A10618">
        <f>HYPERLINK("https://www.philgeps.gov.ph/GEPSNONPILOT/Tender/SplashBidNoticeAbstractUI.aspx?menuIndex=3&amp;refID=7051031&amp;Result=3","7051031")</f>
        <v>0</v>
      </c>
      <c r="B10618" t="s">
        <v>794</v>
      </c>
      <c r="C10618" t="s">
        <v>13584</v>
      </c>
      <c r="D10618" t="s">
        <v>18806</v>
      </c>
      <c r="E10618" t="s">
        <v>28081</v>
      </c>
      <c r="F10618" t="s">
        <v>32664</v>
      </c>
      <c r="G10618" t="s">
        <v>32672</v>
      </c>
      <c r="H10618" t="s">
        <v>12635</v>
      </c>
      <c r="I10618" t="s">
        <v>8730</v>
      </c>
      <c r="J10618" t="s">
        <v>39128</v>
      </c>
      <c r="K10618" t="s">
        <v>42297</v>
      </c>
      <c r="M10618" t="s">
        <v>45564</v>
      </c>
      <c r="N10618" t="s">
        <v>46569</v>
      </c>
      <c r="O10618" t="s">
        <v>46570</v>
      </c>
      <c r="P10618">
        <v>0</v>
      </c>
      <c r="Q10618">
        <v>0</v>
      </c>
      <c r="R10618" t="s">
        <v>46578</v>
      </c>
      <c r="S10618" t="s">
        <v>46874</v>
      </c>
      <c r="T10618" t="s">
        <v>48449</v>
      </c>
      <c r="U10618" t="s">
        <v>57311</v>
      </c>
      <c r="W10618" t="s">
        <v>45564</v>
      </c>
      <c r="X10618" t="s">
        <v>46579</v>
      </c>
    </row>
    <row r="10619" spans="1:24">
      <c r="A10619">
        <f>HYPERLINK("https://www.philgeps.gov.ph/GEPSNONPILOT/Tender/SplashBidNoticeAbstractUI.aspx?menuIndex=3&amp;refID=7051025&amp;Result=3","7051025")</f>
        <v>0</v>
      </c>
      <c r="B10619" t="s">
        <v>2903</v>
      </c>
      <c r="C10619" t="s">
        <v>13585</v>
      </c>
      <c r="D10619" t="s">
        <v>18814</v>
      </c>
      <c r="E10619" t="s">
        <v>28082</v>
      </c>
      <c r="F10619" t="s">
        <v>32664</v>
      </c>
      <c r="G10619" t="s">
        <v>32672</v>
      </c>
      <c r="H10619" t="s">
        <v>32683</v>
      </c>
      <c r="I10619" t="s">
        <v>10627</v>
      </c>
      <c r="J10619" t="s">
        <v>35589</v>
      </c>
      <c r="K10619" t="s">
        <v>42369</v>
      </c>
      <c r="M10619" t="s">
        <v>45754</v>
      </c>
      <c r="N10619" t="s">
        <v>46569</v>
      </c>
      <c r="O10619" t="s">
        <v>46570</v>
      </c>
      <c r="P10619">
        <v>0</v>
      </c>
      <c r="Q10619">
        <v>0</v>
      </c>
      <c r="R10619" t="s">
        <v>46578</v>
      </c>
      <c r="S10619" t="s">
        <v>46874</v>
      </c>
      <c r="T10619" t="s">
        <v>48473</v>
      </c>
      <c r="U10619" t="s">
        <v>57312</v>
      </c>
      <c r="W10619" t="s">
        <v>45754</v>
      </c>
      <c r="X10619" t="s">
        <v>46579</v>
      </c>
    </row>
    <row r="10620" spans="1:24">
      <c r="A10620">
        <f>HYPERLINK("https://www.philgeps.gov.ph/GEPSNONPILOT/Tender/SplashBidNoticeAbstractUI.aspx?menuIndex=3&amp;refID=7051020&amp;Result=3","7051020")</f>
        <v>0</v>
      </c>
      <c r="B10620" t="s">
        <v>872</v>
      </c>
      <c r="C10620" t="s">
        <v>13586</v>
      </c>
      <c r="D10620" t="s">
        <v>18848</v>
      </c>
      <c r="E10620" t="s">
        <v>28083</v>
      </c>
      <c r="F10620" t="s">
        <v>32664</v>
      </c>
      <c r="G10620" t="s">
        <v>32672</v>
      </c>
      <c r="H10620" t="s">
        <v>12635</v>
      </c>
      <c r="I10620" t="s">
        <v>4439</v>
      </c>
      <c r="J10620" t="s">
        <v>32959</v>
      </c>
      <c r="K10620" t="s">
        <v>42283</v>
      </c>
      <c r="M10620" t="s">
        <v>43472</v>
      </c>
      <c r="N10620" t="s">
        <v>46569</v>
      </c>
      <c r="O10620" t="s">
        <v>46570</v>
      </c>
      <c r="P10620">
        <v>0</v>
      </c>
      <c r="Q10620">
        <v>1</v>
      </c>
      <c r="R10620" t="s">
        <v>46578</v>
      </c>
      <c r="S10620" t="s">
        <v>46874</v>
      </c>
      <c r="T10620" t="s">
        <v>48283</v>
      </c>
      <c r="U10620" t="s">
        <v>57313</v>
      </c>
      <c r="W10620" t="s">
        <v>43472</v>
      </c>
      <c r="X10620" t="s">
        <v>46579</v>
      </c>
    </row>
    <row r="10621" spans="1:24">
      <c r="A10621">
        <f>HYPERLINK("https://www.philgeps.gov.ph/GEPSNONPILOT/Tender/SplashBidNoticeAbstractUI.aspx?menuIndex=3&amp;refID=7051019&amp;Result=3","7051019")</f>
        <v>0</v>
      </c>
      <c r="B10621" t="s">
        <v>2446</v>
      </c>
      <c r="C10621" t="s">
        <v>13587</v>
      </c>
      <c r="D10621" t="s">
        <v>18838</v>
      </c>
      <c r="E10621" t="s">
        <v>28084</v>
      </c>
      <c r="F10621" t="s">
        <v>32664</v>
      </c>
      <c r="G10621" t="s">
        <v>32672</v>
      </c>
      <c r="H10621" t="s">
        <v>12635</v>
      </c>
      <c r="I10621" t="s">
        <v>32708</v>
      </c>
      <c r="J10621" t="s">
        <v>39129</v>
      </c>
      <c r="K10621" t="s">
        <v>42283</v>
      </c>
      <c r="M10621" t="s">
        <v>45239</v>
      </c>
      <c r="N10621" t="s">
        <v>46569</v>
      </c>
      <c r="O10621" t="s">
        <v>46570</v>
      </c>
      <c r="Q10621">
        <v>10</v>
      </c>
      <c r="R10621" t="s">
        <v>46578</v>
      </c>
      <c r="S10621" t="s">
        <v>46903</v>
      </c>
      <c r="T10621" t="s">
        <v>48659</v>
      </c>
      <c r="U10621" t="s">
        <v>57314</v>
      </c>
      <c r="V10621" t="s">
        <v>62762</v>
      </c>
      <c r="W10621" t="s">
        <v>45239</v>
      </c>
      <c r="X10621" t="s">
        <v>46579</v>
      </c>
    </row>
    <row r="10622" spans="1:24">
      <c r="A10622">
        <f>HYPERLINK("https://www.philgeps.gov.ph/GEPSNONPILOT/Tender/SplashBidNoticeAbstractUI.aspx?menuIndex=3&amp;refID=7051016&amp;Result=3","7051016")</f>
        <v>0</v>
      </c>
      <c r="B10622" t="s">
        <v>2877</v>
      </c>
      <c r="C10622" t="s">
        <v>13588</v>
      </c>
      <c r="D10622" t="s">
        <v>18824</v>
      </c>
      <c r="E10622" t="s">
        <v>28085</v>
      </c>
      <c r="F10622" t="s">
        <v>32664</v>
      </c>
      <c r="G10622" t="s">
        <v>32672</v>
      </c>
      <c r="H10622" t="s">
        <v>32682</v>
      </c>
      <c r="I10622" t="s">
        <v>5589</v>
      </c>
      <c r="J10622" t="s">
        <v>32943</v>
      </c>
      <c r="K10622" t="s">
        <v>42298</v>
      </c>
      <c r="M10622" t="s">
        <v>45726</v>
      </c>
      <c r="N10622" t="s">
        <v>46569</v>
      </c>
      <c r="O10622" t="s">
        <v>46570</v>
      </c>
      <c r="P10622">
        <v>0</v>
      </c>
      <c r="Q10622">
        <v>8</v>
      </c>
      <c r="R10622" t="s">
        <v>46578</v>
      </c>
      <c r="S10622" t="s">
        <v>46874</v>
      </c>
      <c r="T10622" t="s">
        <v>48483</v>
      </c>
      <c r="U10622" t="s">
        <v>57315</v>
      </c>
      <c r="W10622" t="s">
        <v>45726</v>
      </c>
      <c r="X10622" t="s">
        <v>46579</v>
      </c>
    </row>
    <row r="10623" spans="1:24">
      <c r="A10623">
        <f>HYPERLINK("https://www.philgeps.gov.ph/GEPSNONPILOT/Tender/SplashBidNoticeAbstractUI.aspx?menuIndex=3&amp;refID=7050955&amp;Result=3","7050955")</f>
        <v>0</v>
      </c>
      <c r="B10623" t="s">
        <v>2904</v>
      </c>
      <c r="C10623" t="s">
        <v>13589</v>
      </c>
      <c r="D10623" t="s">
        <v>18821</v>
      </c>
      <c r="E10623" t="s">
        <v>28086</v>
      </c>
      <c r="F10623" t="s">
        <v>32664</v>
      </c>
      <c r="G10623" t="s">
        <v>32672</v>
      </c>
      <c r="H10623" t="s">
        <v>12635</v>
      </c>
      <c r="I10623" t="s">
        <v>32706</v>
      </c>
      <c r="J10623" t="s">
        <v>39130</v>
      </c>
      <c r="K10623" t="s">
        <v>42289</v>
      </c>
      <c r="M10623" t="s">
        <v>45755</v>
      </c>
      <c r="N10623" t="s">
        <v>46569</v>
      </c>
      <c r="O10623" t="s">
        <v>46570</v>
      </c>
      <c r="P10623">
        <v>0</v>
      </c>
      <c r="Q10623">
        <v>1</v>
      </c>
      <c r="R10623" t="s">
        <v>46578</v>
      </c>
      <c r="S10623" t="s">
        <v>46874</v>
      </c>
      <c r="T10623" t="s">
        <v>48666</v>
      </c>
      <c r="U10623" t="s">
        <v>57316</v>
      </c>
      <c r="W10623" t="s">
        <v>45755</v>
      </c>
      <c r="X10623" t="s">
        <v>46579</v>
      </c>
    </row>
    <row r="10624" spans="1:24">
      <c r="A10624">
        <f>HYPERLINK("https://www.philgeps.gov.ph/GEPSNONPILOT/Tender/SplashBidNoticeAbstractUI.aspx?menuIndex=3&amp;refID=7051048&amp;Result=3","7051048")</f>
        <v>0</v>
      </c>
      <c r="B10624" t="s">
        <v>726</v>
      </c>
      <c r="C10624" t="s">
        <v>13590</v>
      </c>
      <c r="D10624" t="s">
        <v>18784</v>
      </c>
      <c r="E10624" t="s">
        <v>28087</v>
      </c>
      <c r="F10624" t="s">
        <v>32664</v>
      </c>
      <c r="G10624" t="s">
        <v>32672</v>
      </c>
      <c r="H10624" t="s">
        <v>12635</v>
      </c>
      <c r="I10624" t="s">
        <v>8797</v>
      </c>
      <c r="J10624" t="s">
        <v>39131</v>
      </c>
      <c r="K10624" t="s">
        <v>42284</v>
      </c>
      <c r="M10624" t="s">
        <v>43314</v>
      </c>
      <c r="N10624" t="s">
        <v>46569</v>
      </c>
      <c r="O10624" t="s">
        <v>46570</v>
      </c>
      <c r="P10624">
        <v>0</v>
      </c>
      <c r="Q10624">
        <v>3</v>
      </c>
      <c r="R10624" t="s">
        <v>46578</v>
      </c>
      <c r="S10624" t="s">
        <v>46874</v>
      </c>
      <c r="T10624" t="s">
        <v>48578</v>
      </c>
      <c r="U10624" t="s">
        <v>50145</v>
      </c>
      <c r="W10624" t="s">
        <v>43314</v>
      </c>
      <c r="X10624" t="s">
        <v>46579</v>
      </c>
    </row>
    <row r="10625" spans="1:24">
      <c r="A10625">
        <f>HYPERLINK("https://www.philgeps.gov.ph/GEPSNONPILOT/Tender/SplashBidNoticeAbstractUI.aspx?menuIndex=3&amp;refID=7051009&amp;Result=3","7051009")</f>
        <v>0</v>
      </c>
      <c r="B10625" t="s">
        <v>773</v>
      </c>
      <c r="C10625" t="s">
        <v>13591</v>
      </c>
      <c r="D10625" t="s">
        <v>18821</v>
      </c>
      <c r="E10625" t="s">
        <v>28088</v>
      </c>
      <c r="F10625" t="s">
        <v>32664</v>
      </c>
      <c r="G10625" t="s">
        <v>32672</v>
      </c>
      <c r="H10625" t="s">
        <v>32683</v>
      </c>
      <c r="I10625" t="s">
        <v>10627</v>
      </c>
      <c r="J10625" t="s">
        <v>32898</v>
      </c>
      <c r="K10625" t="s">
        <v>42284</v>
      </c>
      <c r="M10625" t="s">
        <v>43364</v>
      </c>
      <c r="N10625" t="s">
        <v>46569</v>
      </c>
      <c r="O10625" t="s">
        <v>46570</v>
      </c>
      <c r="P10625">
        <v>0</v>
      </c>
      <c r="Q10625">
        <v>0</v>
      </c>
      <c r="R10625" t="s">
        <v>46578</v>
      </c>
      <c r="S10625" t="s">
        <v>46874</v>
      </c>
      <c r="T10625" t="s">
        <v>48314</v>
      </c>
      <c r="U10625" t="s">
        <v>57317</v>
      </c>
      <c r="W10625" t="s">
        <v>43364</v>
      </c>
      <c r="X10625" t="s">
        <v>46579</v>
      </c>
    </row>
    <row r="10626" spans="1:24">
      <c r="A10626">
        <f>HYPERLINK("https://www.philgeps.gov.ph/GEPSNONPILOT/Tender/SplashBidNoticeAbstractUI.aspx?menuIndex=3&amp;refID=7051011&amp;Result=3","7051011")</f>
        <v>0</v>
      </c>
      <c r="B10626" t="s">
        <v>726</v>
      </c>
      <c r="C10626" t="s">
        <v>13592</v>
      </c>
      <c r="D10626" t="s">
        <v>18784</v>
      </c>
      <c r="E10626" t="s">
        <v>28089</v>
      </c>
      <c r="F10626" t="s">
        <v>32664</v>
      </c>
      <c r="G10626" t="s">
        <v>32672</v>
      </c>
      <c r="H10626" t="s">
        <v>12635</v>
      </c>
      <c r="I10626" t="s">
        <v>6223</v>
      </c>
      <c r="J10626" t="s">
        <v>33612</v>
      </c>
      <c r="K10626" t="s">
        <v>42284</v>
      </c>
      <c r="M10626" t="s">
        <v>43314</v>
      </c>
      <c r="N10626" t="s">
        <v>46569</v>
      </c>
      <c r="O10626" t="s">
        <v>46570</v>
      </c>
      <c r="P10626">
        <v>0</v>
      </c>
      <c r="Q10626">
        <v>1</v>
      </c>
      <c r="R10626" t="s">
        <v>46578</v>
      </c>
      <c r="S10626" t="s">
        <v>46874</v>
      </c>
      <c r="T10626" t="s">
        <v>48562</v>
      </c>
      <c r="U10626" t="s">
        <v>50145</v>
      </c>
      <c r="W10626" t="s">
        <v>43314</v>
      </c>
      <c r="X10626" t="s">
        <v>46579</v>
      </c>
    </row>
    <row r="10627" spans="1:24">
      <c r="A10627">
        <f>HYPERLINK("https://www.philgeps.gov.ph/GEPSNONPILOT/Tender/SplashBidNoticeAbstractUI.aspx?menuIndex=3&amp;refID=7051030&amp;Result=3","7051030")</f>
        <v>0</v>
      </c>
      <c r="B10627" t="s">
        <v>726</v>
      </c>
      <c r="C10627" t="s">
        <v>13593</v>
      </c>
      <c r="D10627" t="s">
        <v>18784</v>
      </c>
      <c r="E10627" t="s">
        <v>28090</v>
      </c>
      <c r="F10627" t="s">
        <v>32664</v>
      </c>
      <c r="G10627" t="s">
        <v>32672</v>
      </c>
      <c r="H10627" t="s">
        <v>12635</v>
      </c>
      <c r="I10627" t="s">
        <v>6223</v>
      </c>
      <c r="J10627" t="s">
        <v>39132</v>
      </c>
      <c r="K10627" t="s">
        <v>42284</v>
      </c>
      <c r="M10627" t="s">
        <v>43314</v>
      </c>
      <c r="N10627" t="s">
        <v>46569</v>
      </c>
      <c r="O10627" t="s">
        <v>46570</v>
      </c>
      <c r="P10627">
        <v>0</v>
      </c>
      <c r="Q10627">
        <v>3</v>
      </c>
      <c r="R10627" t="s">
        <v>46578</v>
      </c>
      <c r="S10627" t="s">
        <v>46874</v>
      </c>
      <c r="T10627" t="s">
        <v>48667</v>
      </c>
      <c r="U10627" t="s">
        <v>50145</v>
      </c>
      <c r="W10627" t="s">
        <v>43314</v>
      </c>
      <c r="X10627" t="s">
        <v>46579</v>
      </c>
    </row>
    <row r="10628" spans="1:24">
      <c r="A10628">
        <f>HYPERLINK("https://www.philgeps.gov.ph/GEPSNONPILOT/Tender/SplashBidNoticeAbstractUI.aspx?menuIndex=3&amp;refID=7050950&amp;Result=3","7050950")</f>
        <v>0</v>
      </c>
      <c r="B10628" t="s">
        <v>1828</v>
      </c>
      <c r="C10628" t="s">
        <v>13594</v>
      </c>
      <c r="D10628" t="s">
        <v>18791</v>
      </c>
      <c r="E10628" t="s">
        <v>28091</v>
      </c>
      <c r="F10628" t="s">
        <v>32664</v>
      </c>
      <c r="G10628" t="s">
        <v>32671</v>
      </c>
      <c r="H10628" t="s">
        <v>12635</v>
      </c>
      <c r="I10628" t="s">
        <v>32684</v>
      </c>
      <c r="J10628" t="s">
        <v>39133</v>
      </c>
      <c r="K10628" t="s">
        <v>42284</v>
      </c>
      <c r="M10628" t="s">
        <v>44535</v>
      </c>
      <c r="N10628" t="s">
        <v>46569</v>
      </c>
      <c r="O10628" t="s">
        <v>46570</v>
      </c>
      <c r="P10628">
        <v>0</v>
      </c>
      <c r="Q10628">
        <v>4</v>
      </c>
      <c r="R10628" t="s">
        <v>46578</v>
      </c>
      <c r="S10628" t="s">
        <v>46874</v>
      </c>
      <c r="T10628" t="s">
        <v>48473</v>
      </c>
      <c r="U10628" t="s">
        <v>57318</v>
      </c>
      <c r="W10628" t="s">
        <v>44535</v>
      </c>
      <c r="X10628" t="s">
        <v>46579</v>
      </c>
    </row>
    <row r="10629" spans="1:24">
      <c r="A10629">
        <f>HYPERLINK("https://www.philgeps.gov.ph/GEPSNONPILOT/Tender/SplashBidNoticeAbstractUI.aspx?menuIndex=3&amp;refID=7051040&amp;Result=3","7051040")</f>
        <v>0</v>
      </c>
      <c r="B10629" t="s">
        <v>2898</v>
      </c>
      <c r="C10629" t="s">
        <v>13595</v>
      </c>
      <c r="D10629" t="s">
        <v>18805</v>
      </c>
      <c r="E10629" t="s">
        <v>28092</v>
      </c>
      <c r="F10629" t="s">
        <v>32664</v>
      </c>
      <c r="G10629" t="s">
        <v>32672</v>
      </c>
      <c r="H10629" t="s">
        <v>12635</v>
      </c>
      <c r="I10629" t="s">
        <v>32754</v>
      </c>
      <c r="J10629" t="s">
        <v>32842</v>
      </c>
      <c r="K10629" t="s">
        <v>42283</v>
      </c>
      <c r="M10629" t="s">
        <v>45749</v>
      </c>
      <c r="N10629" t="s">
        <v>46569</v>
      </c>
      <c r="O10629" t="s">
        <v>46570</v>
      </c>
      <c r="P10629">
        <v>0</v>
      </c>
      <c r="Q10629">
        <v>0</v>
      </c>
      <c r="R10629" t="s">
        <v>46578</v>
      </c>
      <c r="S10629" t="s">
        <v>46874</v>
      </c>
      <c r="T10629" t="s">
        <v>48448</v>
      </c>
      <c r="U10629" t="s">
        <v>57291</v>
      </c>
      <c r="W10629" t="s">
        <v>45749</v>
      </c>
      <c r="X10629" t="s">
        <v>46579</v>
      </c>
    </row>
    <row r="10630" spans="1:24">
      <c r="A10630">
        <f>HYPERLINK("https://www.philgeps.gov.ph/GEPSNONPILOT/Tender/SplashBidNoticeAbstractUI.aspx?menuIndex=3&amp;refID=7050951&amp;Result=3","7050951")</f>
        <v>0</v>
      </c>
      <c r="B10630" t="s">
        <v>2905</v>
      </c>
      <c r="C10630" t="s">
        <v>13596</v>
      </c>
      <c r="D10630" t="s">
        <v>18846</v>
      </c>
      <c r="E10630" t="s">
        <v>18889</v>
      </c>
      <c r="F10630" t="s">
        <v>32664</v>
      </c>
      <c r="G10630" t="s">
        <v>32672</v>
      </c>
      <c r="H10630" t="s">
        <v>12635</v>
      </c>
      <c r="I10630" t="s">
        <v>4439</v>
      </c>
      <c r="J10630" t="s">
        <v>32898</v>
      </c>
      <c r="K10630" t="s">
        <v>42281</v>
      </c>
      <c r="M10630" t="s">
        <v>45756</v>
      </c>
      <c r="N10630" t="s">
        <v>46569</v>
      </c>
      <c r="O10630" t="s">
        <v>46570</v>
      </c>
      <c r="P10630">
        <v>0</v>
      </c>
      <c r="Q10630">
        <v>0</v>
      </c>
      <c r="R10630" t="s">
        <v>46578</v>
      </c>
      <c r="S10630" t="s">
        <v>46874</v>
      </c>
      <c r="T10630" t="s">
        <v>48448</v>
      </c>
      <c r="U10630" t="s">
        <v>57319</v>
      </c>
      <c r="W10630" t="s">
        <v>45756</v>
      </c>
      <c r="X10630" t="s">
        <v>46579</v>
      </c>
    </row>
    <row r="10631" spans="1:24">
      <c r="A10631">
        <f>HYPERLINK("https://www.philgeps.gov.ph/GEPSNONPILOT/Tender/SplashBidNoticeAbstractUI.aspx?menuIndex=3&amp;refID=7050723&amp;Result=3","7050723")</f>
        <v>0</v>
      </c>
      <c r="B10631" t="s">
        <v>2906</v>
      </c>
      <c r="C10631" t="s">
        <v>13597</v>
      </c>
      <c r="D10631" t="s">
        <v>18785</v>
      </c>
      <c r="E10631" t="s">
        <v>19718</v>
      </c>
      <c r="F10631" t="s">
        <v>32664</v>
      </c>
      <c r="G10631" t="s">
        <v>32672</v>
      </c>
      <c r="H10631" t="s">
        <v>12635</v>
      </c>
      <c r="I10631" t="s">
        <v>32716</v>
      </c>
      <c r="J10631" t="s">
        <v>39134</v>
      </c>
      <c r="K10631" t="s">
        <v>42295</v>
      </c>
      <c r="M10631" t="s">
        <v>45757</v>
      </c>
      <c r="N10631" t="s">
        <v>46569</v>
      </c>
      <c r="O10631" t="s">
        <v>46570</v>
      </c>
      <c r="P10631">
        <v>0</v>
      </c>
      <c r="Q10631">
        <v>2</v>
      </c>
      <c r="R10631" t="s">
        <v>46578</v>
      </c>
      <c r="S10631" t="s">
        <v>46874</v>
      </c>
      <c r="T10631" t="s">
        <v>48254</v>
      </c>
      <c r="U10631" t="s">
        <v>57320</v>
      </c>
      <c r="W10631" t="s">
        <v>45757</v>
      </c>
      <c r="X10631" t="s">
        <v>46579</v>
      </c>
    </row>
    <row r="10632" spans="1:24">
      <c r="A10632">
        <f>HYPERLINK("https://www.philgeps.gov.ph/GEPSNONPILOT/Tender/SplashBidNoticeAbstractUI.aspx?menuIndex=3&amp;refID=7050952&amp;Result=3","7050952")</f>
        <v>0</v>
      </c>
      <c r="B10632" t="s">
        <v>2907</v>
      </c>
      <c r="C10632" t="s">
        <v>13598</v>
      </c>
      <c r="D10632" t="s">
        <v>18816</v>
      </c>
      <c r="E10632" t="s">
        <v>20957</v>
      </c>
      <c r="F10632" t="s">
        <v>32664</v>
      </c>
      <c r="G10632" t="s">
        <v>32677</v>
      </c>
      <c r="H10632" t="s">
        <v>12635</v>
      </c>
      <c r="I10632" t="s">
        <v>4439</v>
      </c>
      <c r="J10632" t="s">
        <v>32943</v>
      </c>
      <c r="K10632" t="s">
        <v>42281</v>
      </c>
      <c r="M10632" t="s">
        <v>45758</v>
      </c>
      <c r="N10632" t="s">
        <v>46569</v>
      </c>
      <c r="O10632" t="s">
        <v>46570</v>
      </c>
      <c r="P10632">
        <v>0</v>
      </c>
      <c r="Q10632">
        <v>0</v>
      </c>
      <c r="R10632" t="s">
        <v>46578</v>
      </c>
      <c r="S10632" t="s">
        <v>46874</v>
      </c>
      <c r="T10632" t="s">
        <v>48473</v>
      </c>
      <c r="U10632" t="s">
        <v>57321</v>
      </c>
      <c r="W10632" t="s">
        <v>45758</v>
      </c>
      <c r="X10632" t="s">
        <v>46579</v>
      </c>
    </row>
    <row r="10633" spans="1:24">
      <c r="A10633">
        <f>HYPERLINK("https://www.philgeps.gov.ph/GEPSNONPILOT/Tender/SplashBidNoticeAbstractUI.aspx?menuIndex=3&amp;refID=7050936&amp;Result=3","7050936")</f>
        <v>0</v>
      </c>
      <c r="B10633" t="s">
        <v>2904</v>
      </c>
      <c r="C10633" t="s">
        <v>13599</v>
      </c>
      <c r="D10633" t="s">
        <v>18821</v>
      </c>
      <c r="E10633" t="s">
        <v>28093</v>
      </c>
      <c r="F10633" t="s">
        <v>32664</v>
      </c>
      <c r="G10633" t="s">
        <v>32672</v>
      </c>
      <c r="H10633" t="s">
        <v>12635</v>
      </c>
      <c r="I10633" t="s">
        <v>4439</v>
      </c>
      <c r="J10633" t="s">
        <v>39135</v>
      </c>
      <c r="K10633" t="s">
        <v>42281</v>
      </c>
      <c r="M10633" t="s">
        <v>45755</v>
      </c>
      <c r="N10633" t="s">
        <v>46569</v>
      </c>
      <c r="O10633" t="s">
        <v>46570</v>
      </c>
      <c r="P10633">
        <v>0</v>
      </c>
      <c r="Q10633">
        <v>0</v>
      </c>
      <c r="R10633" t="s">
        <v>46578</v>
      </c>
      <c r="S10633" t="s">
        <v>46874</v>
      </c>
      <c r="T10633" t="s">
        <v>48212</v>
      </c>
      <c r="U10633" t="s">
        <v>57316</v>
      </c>
      <c r="W10633" t="s">
        <v>45755</v>
      </c>
      <c r="X10633" t="s">
        <v>46579</v>
      </c>
    </row>
    <row r="10634" spans="1:24">
      <c r="A10634">
        <f>HYPERLINK("https://www.philgeps.gov.ph/GEPSNONPILOT/Tender/SplashBidNoticeAbstractUI.aspx?menuIndex=3&amp;refID=7050682&amp;Result=3","7050682")</f>
        <v>0</v>
      </c>
      <c r="B10634" t="s">
        <v>2875</v>
      </c>
      <c r="C10634" t="s">
        <v>13600</v>
      </c>
      <c r="D10634" t="s">
        <v>18799</v>
      </c>
      <c r="E10634" t="s">
        <v>28094</v>
      </c>
      <c r="F10634" t="s">
        <v>32664</v>
      </c>
      <c r="G10634" t="s">
        <v>32672</v>
      </c>
      <c r="H10634" t="s">
        <v>12635</v>
      </c>
      <c r="I10634" t="s">
        <v>4439</v>
      </c>
      <c r="J10634" t="s">
        <v>39136</v>
      </c>
      <c r="K10634" t="s">
        <v>42283</v>
      </c>
      <c r="M10634" t="s">
        <v>45724</v>
      </c>
      <c r="N10634" t="s">
        <v>46569</v>
      </c>
      <c r="O10634" t="s">
        <v>46570</v>
      </c>
      <c r="P10634">
        <v>0</v>
      </c>
      <c r="Q10634">
        <v>0</v>
      </c>
      <c r="R10634" t="s">
        <v>46578</v>
      </c>
      <c r="S10634" t="s">
        <v>46874</v>
      </c>
      <c r="T10634" t="s">
        <v>48349</v>
      </c>
      <c r="U10634" t="s">
        <v>57322</v>
      </c>
      <c r="W10634" t="s">
        <v>45724</v>
      </c>
      <c r="X10634" t="s">
        <v>46579</v>
      </c>
    </row>
    <row r="10635" spans="1:24">
      <c r="A10635">
        <f>HYPERLINK("https://www.philgeps.gov.ph/GEPSNONPILOT/Tender/SplashBidNoticeAbstractUI.aspx?menuIndex=3&amp;refID=7050683&amp;Result=3","7050683")</f>
        <v>0</v>
      </c>
      <c r="B10635" t="s">
        <v>2189</v>
      </c>
      <c r="C10635" t="s">
        <v>13492</v>
      </c>
      <c r="D10635" t="s">
        <v>18843</v>
      </c>
      <c r="E10635" t="s">
        <v>28095</v>
      </c>
      <c r="F10635" t="s">
        <v>32664</v>
      </c>
      <c r="G10635" t="s">
        <v>32674</v>
      </c>
      <c r="H10635" t="s">
        <v>32682</v>
      </c>
      <c r="I10635" t="s">
        <v>32745</v>
      </c>
      <c r="J10635" t="s">
        <v>35060</v>
      </c>
      <c r="K10635" t="s">
        <v>42284</v>
      </c>
      <c r="M10635" t="s">
        <v>44951</v>
      </c>
      <c r="N10635" t="s">
        <v>46569</v>
      </c>
      <c r="O10635" t="s">
        <v>46570</v>
      </c>
      <c r="P10635">
        <v>0</v>
      </c>
      <c r="Q10635">
        <v>0</v>
      </c>
      <c r="R10635" t="s">
        <v>46578</v>
      </c>
      <c r="S10635" t="s">
        <v>46874</v>
      </c>
      <c r="T10635" t="s">
        <v>48448</v>
      </c>
      <c r="U10635" t="s">
        <v>57323</v>
      </c>
      <c r="W10635" t="s">
        <v>44951</v>
      </c>
      <c r="X10635" t="s">
        <v>46579</v>
      </c>
    </row>
    <row r="10636" spans="1:24">
      <c r="A10636">
        <f>HYPERLINK("https://www.philgeps.gov.ph/GEPSNONPILOT/Tender/SplashBidNoticeAbstractUI.aspx?menuIndex=3&amp;refID=7050670&amp;Result=3","7050670")</f>
        <v>0</v>
      </c>
      <c r="B10636" t="s">
        <v>2727</v>
      </c>
      <c r="C10636" t="s">
        <v>13601</v>
      </c>
      <c r="D10636" t="s">
        <v>18815</v>
      </c>
      <c r="E10636" t="s">
        <v>28096</v>
      </c>
      <c r="F10636" t="s">
        <v>32664</v>
      </c>
      <c r="G10636" t="s">
        <v>32672</v>
      </c>
      <c r="H10636" t="s">
        <v>12635</v>
      </c>
      <c r="I10636" t="s">
        <v>11464</v>
      </c>
      <c r="J10636" t="s">
        <v>33751</v>
      </c>
      <c r="K10636" t="s">
        <v>42303</v>
      </c>
      <c r="M10636" t="s">
        <v>45557</v>
      </c>
      <c r="N10636" t="s">
        <v>46569</v>
      </c>
      <c r="O10636" t="s">
        <v>46570</v>
      </c>
      <c r="P10636">
        <v>0</v>
      </c>
      <c r="Q10636">
        <v>2</v>
      </c>
      <c r="R10636" t="s">
        <v>46578</v>
      </c>
      <c r="S10636" t="s">
        <v>46874</v>
      </c>
      <c r="T10636" t="s">
        <v>48313</v>
      </c>
      <c r="U10636" t="s">
        <v>57324</v>
      </c>
      <c r="W10636" t="s">
        <v>45557</v>
      </c>
      <c r="X10636" t="s">
        <v>46579</v>
      </c>
    </row>
    <row r="10637" spans="1:24">
      <c r="A10637">
        <f>HYPERLINK("https://www.philgeps.gov.ph/GEPSNONPILOT/Tender/SplashBidNoticeAbstractUI.aspx?menuIndex=3&amp;refID=7050947&amp;Result=3","7050947")</f>
        <v>0</v>
      </c>
      <c r="B10637" t="s">
        <v>2898</v>
      </c>
      <c r="C10637" t="s">
        <v>13602</v>
      </c>
      <c r="D10637" t="s">
        <v>18805</v>
      </c>
      <c r="E10637" t="s">
        <v>28097</v>
      </c>
      <c r="F10637" t="s">
        <v>32664</v>
      </c>
      <c r="G10637" t="s">
        <v>32672</v>
      </c>
      <c r="H10637" t="s">
        <v>12635</v>
      </c>
      <c r="I10637" t="s">
        <v>4439</v>
      </c>
      <c r="J10637" t="s">
        <v>33790</v>
      </c>
      <c r="K10637" t="s">
        <v>42283</v>
      </c>
      <c r="M10637" t="s">
        <v>45749</v>
      </c>
      <c r="N10637" t="s">
        <v>46569</v>
      </c>
      <c r="O10637" t="s">
        <v>46570</v>
      </c>
      <c r="P10637">
        <v>0</v>
      </c>
      <c r="Q10637">
        <v>0</v>
      </c>
      <c r="R10637" t="s">
        <v>46578</v>
      </c>
      <c r="S10637" t="s">
        <v>46874</v>
      </c>
      <c r="T10637" t="s">
        <v>48448</v>
      </c>
      <c r="U10637" t="s">
        <v>57325</v>
      </c>
      <c r="W10637" t="s">
        <v>45749</v>
      </c>
      <c r="X10637" t="s">
        <v>46579</v>
      </c>
    </row>
    <row r="10638" spans="1:24">
      <c r="A10638">
        <f>HYPERLINK("https://www.philgeps.gov.ph/GEPSNONPILOT/Tender/SplashBidNoticeAbstractUI.aspx?menuIndex=3&amp;refID=7051078&amp;Result=3","7051078")</f>
        <v>0</v>
      </c>
      <c r="B10638" t="s">
        <v>2838</v>
      </c>
      <c r="C10638" t="s">
        <v>13603</v>
      </c>
      <c r="D10638" t="s">
        <v>18816</v>
      </c>
      <c r="E10638" t="s">
        <v>28098</v>
      </c>
      <c r="F10638" t="s">
        <v>32664</v>
      </c>
      <c r="G10638" t="s">
        <v>32672</v>
      </c>
      <c r="H10638" t="s">
        <v>32683</v>
      </c>
      <c r="I10638" t="s">
        <v>10627</v>
      </c>
      <c r="J10638" t="s">
        <v>39137</v>
      </c>
      <c r="K10638" t="s">
        <v>42298</v>
      </c>
      <c r="M10638" t="s">
        <v>45684</v>
      </c>
      <c r="N10638" t="s">
        <v>46569</v>
      </c>
      <c r="O10638" t="s">
        <v>46570</v>
      </c>
      <c r="P10638">
        <v>0</v>
      </c>
      <c r="Q10638">
        <v>0</v>
      </c>
      <c r="R10638" t="s">
        <v>46578</v>
      </c>
      <c r="S10638" t="s">
        <v>46874</v>
      </c>
      <c r="T10638" t="s">
        <v>48452</v>
      </c>
      <c r="U10638" t="s">
        <v>57115</v>
      </c>
      <c r="V10638" t="s">
        <v>62763</v>
      </c>
      <c r="W10638" t="s">
        <v>45684</v>
      </c>
      <c r="X10638" t="s">
        <v>46579</v>
      </c>
    </row>
    <row r="10639" spans="1:24">
      <c r="A10639">
        <f>HYPERLINK("https://www.philgeps.gov.ph/GEPSNONPILOT/Tender/SplashBidNoticeAbstractUI.aspx?menuIndex=3&amp;refID=7050680&amp;Result=3","7050680")</f>
        <v>0</v>
      </c>
      <c r="B10639" t="s">
        <v>2908</v>
      </c>
      <c r="C10639" t="s">
        <v>13604</v>
      </c>
      <c r="D10639" t="s">
        <v>18842</v>
      </c>
      <c r="E10639" t="s">
        <v>28099</v>
      </c>
      <c r="F10639" t="s">
        <v>32664</v>
      </c>
      <c r="G10639" t="s">
        <v>32672</v>
      </c>
      <c r="H10639" t="s">
        <v>32683</v>
      </c>
      <c r="I10639" t="s">
        <v>10627</v>
      </c>
      <c r="J10639" t="s">
        <v>39138</v>
      </c>
      <c r="K10639" t="s">
        <v>42290</v>
      </c>
      <c r="M10639" t="s">
        <v>45759</v>
      </c>
      <c r="N10639" t="s">
        <v>46569</v>
      </c>
      <c r="O10639" t="s">
        <v>46570</v>
      </c>
      <c r="P10639">
        <v>0</v>
      </c>
      <c r="Q10639">
        <v>0</v>
      </c>
      <c r="R10639" t="s">
        <v>46578</v>
      </c>
      <c r="S10639" t="s">
        <v>46874</v>
      </c>
      <c r="T10639" t="s">
        <v>48394</v>
      </c>
      <c r="U10639" t="s">
        <v>57326</v>
      </c>
      <c r="W10639" t="s">
        <v>45759</v>
      </c>
      <c r="X10639" t="s">
        <v>46579</v>
      </c>
    </row>
    <row r="10640" spans="1:24">
      <c r="A10640">
        <f>HYPERLINK("https://www.philgeps.gov.ph/GEPSNONPILOT/Tender/SplashBidNoticeAbstractUI.aspx?menuIndex=3&amp;refID=7050939&amp;Result=3","7050939")</f>
        <v>0</v>
      </c>
      <c r="B10640" t="s">
        <v>1997</v>
      </c>
      <c r="C10640" t="s">
        <v>13605</v>
      </c>
      <c r="E10640" t="s">
        <v>27974</v>
      </c>
      <c r="F10640" t="s">
        <v>32664</v>
      </c>
      <c r="G10640" t="s">
        <v>32672</v>
      </c>
      <c r="H10640" t="s">
        <v>32683</v>
      </c>
      <c r="I10640" t="s">
        <v>10627</v>
      </c>
      <c r="J10640" t="s">
        <v>33578</v>
      </c>
      <c r="K10640" t="s">
        <v>42283</v>
      </c>
      <c r="M10640" t="s">
        <v>44734</v>
      </c>
      <c r="N10640" t="s">
        <v>46569</v>
      </c>
      <c r="O10640" t="s">
        <v>46570</v>
      </c>
      <c r="P10640">
        <v>0</v>
      </c>
      <c r="Q10640">
        <v>0</v>
      </c>
      <c r="R10640" t="s">
        <v>46578</v>
      </c>
      <c r="S10640" t="s">
        <v>46874</v>
      </c>
      <c r="T10640" t="s">
        <v>48213</v>
      </c>
      <c r="U10640" t="s">
        <v>57327</v>
      </c>
      <c r="W10640" t="s">
        <v>44734</v>
      </c>
      <c r="X10640" t="s">
        <v>46579</v>
      </c>
    </row>
    <row r="10641" spans="1:24">
      <c r="A10641">
        <f>HYPERLINK("https://www.philgeps.gov.ph/GEPSNONPILOT/Tender/SplashBidNoticeAbstractUI.aspx?menuIndex=3&amp;refID=7050592&amp;Result=3","7050592")</f>
        <v>0</v>
      </c>
      <c r="B10641" t="s">
        <v>1357</v>
      </c>
      <c r="C10641" t="s">
        <v>13606</v>
      </c>
      <c r="D10641" t="s">
        <v>18831</v>
      </c>
      <c r="E10641" t="s">
        <v>27991</v>
      </c>
      <c r="F10641" t="s">
        <v>32664</v>
      </c>
      <c r="G10641" t="s">
        <v>32672</v>
      </c>
      <c r="H10641" t="s">
        <v>12635</v>
      </c>
      <c r="I10641" t="s">
        <v>4439</v>
      </c>
      <c r="J10641" t="s">
        <v>39139</v>
      </c>
      <c r="K10641" t="s">
        <v>42281</v>
      </c>
      <c r="M10641" t="s">
        <v>44011</v>
      </c>
      <c r="N10641" t="s">
        <v>46569</v>
      </c>
      <c r="O10641" t="s">
        <v>46570</v>
      </c>
      <c r="P10641">
        <v>0</v>
      </c>
      <c r="Q10641">
        <v>1</v>
      </c>
      <c r="R10641" t="s">
        <v>46578</v>
      </c>
      <c r="S10641" t="s">
        <v>46874</v>
      </c>
      <c r="T10641" t="s">
        <v>48427</v>
      </c>
      <c r="U10641" t="s">
        <v>57207</v>
      </c>
      <c r="V10641" t="s">
        <v>62742</v>
      </c>
      <c r="W10641" t="s">
        <v>44011</v>
      </c>
      <c r="X10641" t="s">
        <v>46579</v>
      </c>
    </row>
    <row r="10642" spans="1:24">
      <c r="A10642">
        <f>HYPERLINK("https://www.philgeps.gov.ph/GEPSNONPILOT/Tender/SplashBidNoticeAbstractUI.aspx?menuIndex=3&amp;refID=7050575&amp;Result=3","7050575")</f>
        <v>0</v>
      </c>
      <c r="B10642" t="s">
        <v>1292</v>
      </c>
      <c r="C10642" t="s">
        <v>13607</v>
      </c>
      <c r="D10642" t="s">
        <v>18807</v>
      </c>
      <c r="E10642" t="s">
        <v>28100</v>
      </c>
      <c r="F10642" t="s">
        <v>32665</v>
      </c>
      <c r="G10642" t="s">
        <v>32671</v>
      </c>
      <c r="H10642" t="s">
        <v>12635</v>
      </c>
      <c r="I10642" t="s">
        <v>14442</v>
      </c>
      <c r="J10642" t="s">
        <v>39140</v>
      </c>
      <c r="K10642" t="s">
        <v>42281</v>
      </c>
      <c r="M10642" t="s">
        <v>43936</v>
      </c>
      <c r="N10642" t="s">
        <v>46569</v>
      </c>
      <c r="O10642" t="s">
        <v>46570</v>
      </c>
      <c r="P10642">
        <v>0</v>
      </c>
      <c r="Q10642">
        <v>10</v>
      </c>
      <c r="R10642" t="s">
        <v>46578</v>
      </c>
      <c r="S10642" t="s">
        <v>46874</v>
      </c>
      <c r="T10642" t="s">
        <v>48282</v>
      </c>
      <c r="U10642" t="s">
        <v>51530</v>
      </c>
      <c r="V10642" t="s">
        <v>61958</v>
      </c>
      <c r="W10642" t="s">
        <v>63509</v>
      </c>
      <c r="X10642" t="s">
        <v>46579</v>
      </c>
    </row>
    <row r="10643" spans="1:24">
      <c r="A10643">
        <f>HYPERLINK("https://www.philgeps.gov.ph/GEPSNONPILOT/Tender/SplashBidNoticeAbstractUI.aspx?menuIndex=3&amp;refID=7050685&amp;Result=3","7050685")</f>
        <v>0</v>
      </c>
      <c r="B10643" t="s">
        <v>1467</v>
      </c>
      <c r="C10643" t="s">
        <v>13608</v>
      </c>
      <c r="D10643" t="s">
        <v>18809</v>
      </c>
      <c r="E10643" t="s">
        <v>28101</v>
      </c>
      <c r="F10643" t="s">
        <v>32664</v>
      </c>
      <c r="G10643" t="s">
        <v>32671</v>
      </c>
      <c r="H10643" t="s">
        <v>12635</v>
      </c>
      <c r="I10643" t="s">
        <v>8797</v>
      </c>
      <c r="J10643" t="s">
        <v>39141</v>
      </c>
      <c r="K10643" t="s">
        <v>42289</v>
      </c>
      <c r="M10643" t="s">
        <v>44129</v>
      </c>
      <c r="N10643" t="s">
        <v>46569</v>
      </c>
      <c r="O10643" t="s">
        <v>46570</v>
      </c>
      <c r="P10643">
        <v>0</v>
      </c>
      <c r="Q10643">
        <v>9</v>
      </c>
      <c r="R10643" t="s">
        <v>46578</v>
      </c>
      <c r="S10643" t="s">
        <v>46874</v>
      </c>
      <c r="T10643" t="s">
        <v>48448</v>
      </c>
      <c r="U10643" t="s">
        <v>57328</v>
      </c>
      <c r="W10643" t="s">
        <v>44129</v>
      </c>
      <c r="X10643" t="s">
        <v>46579</v>
      </c>
    </row>
    <row r="10644" spans="1:24">
      <c r="A10644">
        <f>HYPERLINK("https://www.philgeps.gov.ph/GEPSNONPILOT/Tender/SplashBidNoticeAbstractUI.aspx?menuIndex=3&amp;refID=7050613&amp;Result=3","7050613")</f>
        <v>0</v>
      </c>
      <c r="B10644" t="s">
        <v>2866</v>
      </c>
      <c r="C10644" t="s">
        <v>13609</v>
      </c>
      <c r="D10644" t="s">
        <v>18788</v>
      </c>
      <c r="E10644" t="s">
        <v>23883</v>
      </c>
      <c r="F10644" t="s">
        <v>32664</v>
      </c>
      <c r="G10644" t="s">
        <v>32672</v>
      </c>
      <c r="H10644" t="s">
        <v>12635</v>
      </c>
      <c r="I10644" t="s">
        <v>4439</v>
      </c>
      <c r="J10644" t="s">
        <v>39142</v>
      </c>
      <c r="K10644" t="s">
        <v>42281</v>
      </c>
      <c r="M10644" t="s">
        <v>45715</v>
      </c>
      <c r="N10644" t="s">
        <v>46569</v>
      </c>
      <c r="O10644" t="s">
        <v>46570</v>
      </c>
      <c r="P10644">
        <v>0</v>
      </c>
      <c r="Q10644">
        <v>1</v>
      </c>
      <c r="R10644" t="s">
        <v>46578</v>
      </c>
      <c r="S10644" t="s">
        <v>46874</v>
      </c>
      <c r="T10644" t="s">
        <v>48273</v>
      </c>
      <c r="U10644" t="s">
        <v>57329</v>
      </c>
      <c r="W10644" t="s">
        <v>45715</v>
      </c>
      <c r="X10644" t="s">
        <v>46579</v>
      </c>
    </row>
    <row r="10645" spans="1:24">
      <c r="A10645">
        <f>HYPERLINK("https://www.philgeps.gov.ph/GEPSNONPILOT/Tender/SplashBidNoticeAbstractUI.aspx?menuIndex=3&amp;refID=7050493&amp;Result=3","7050493")</f>
        <v>0</v>
      </c>
      <c r="B10645" t="s">
        <v>2909</v>
      </c>
      <c r="C10645" t="s">
        <v>13610</v>
      </c>
      <c r="E10645" t="s">
        <v>28102</v>
      </c>
      <c r="F10645" t="s">
        <v>32664</v>
      </c>
      <c r="G10645" t="s">
        <v>32671</v>
      </c>
      <c r="H10645" t="s">
        <v>32683</v>
      </c>
      <c r="I10645" t="s">
        <v>10627</v>
      </c>
      <c r="J10645" t="s">
        <v>39143</v>
      </c>
      <c r="K10645" t="s">
        <v>42298</v>
      </c>
      <c r="M10645" t="s">
        <v>45760</v>
      </c>
      <c r="N10645" t="s">
        <v>46569</v>
      </c>
      <c r="O10645" t="s">
        <v>46570</v>
      </c>
      <c r="P10645">
        <v>0</v>
      </c>
      <c r="Q10645">
        <v>1</v>
      </c>
      <c r="R10645" t="s">
        <v>46578</v>
      </c>
      <c r="S10645" t="s">
        <v>46874</v>
      </c>
      <c r="T10645" t="s">
        <v>48473</v>
      </c>
      <c r="U10645" t="s">
        <v>57330</v>
      </c>
      <c r="W10645" t="s">
        <v>63578</v>
      </c>
      <c r="X10645" t="s">
        <v>46579</v>
      </c>
    </row>
    <row r="10646" spans="1:24">
      <c r="A10646">
        <f>HYPERLINK("https://www.philgeps.gov.ph/GEPSNONPILOT/Tender/SplashBidNoticeAbstractUI.aspx?menuIndex=3&amp;refID=7050606&amp;Result=3","7050606")</f>
        <v>0</v>
      </c>
      <c r="B10646" t="s">
        <v>2910</v>
      </c>
      <c r="C10646" t="s">
        <v>13611</v>
      </c>
      <c r="D10646" t="s">
        <v>18842</v>
      </c>
      <c r="E10646" t="s">
        <v>19451</v>
      </c>
      <c r="F10646" t="s">
        <v>32664</v>
      </c>
      <c r="G10646" t="s">
        <v>32672</v>
      </c>
      <c r="H10646" t="s">
        <v>32683</v>
      </c>
      <c r="I10646" t="s">
        <v>10627</v>
      </c>
      <c r="J10646" t="s">
        <v>39144</v>
      </c>
      <c r="K10646" t="s">
        <v>42290</v>
      </c>
      <c r="M10646" t="s">
        <v>45761</v>
      </c>
      <c r="N10646" t="s">
        <v>46569</v>
      </c>
      <c r="O10646" t="s">
        <v>46570</v>
      </c>
      <c r="P10646">
        <v>0</v>
      </c>
      <c r="Q10646">
        <v>0</v>
      </c>
      <c r="R10646" t="s">
        <v>46578</v>
      </c>
      <c r="S10646" t="s">
        <v>46874</v>
      </c>
      <c r="T10646" t="s">
        <v>48394</v>
      </c>
      <c r="U10646" t="s">
        <v>57331</v>
      </c>
      <c r="W10646" t="s">
        <v>45761</v>
      </c>
      <c r="X10646" t="s">
        <v>46579</v>
      </c>
    </row>
    <row r="10647" spans="1:24">
      <c r="A10647">
        <f>HYPERLINK("https://www.philgeps.gov.ph/GEPSNONPILOT/Tender/SplashBidNoticeAbstractUI.aspx?menuIndex=3&amp;refID=7050482&amp;Result=3","7050482")</f>
        <v>0</v>
      </c>
      <c r="B10647" t="s">
        <v>2446</v>
      </c>
      <c r="C10647" t="s">
        <v>13612</v>
      </c>
      <c r="D10647" t="s">
        <v>18838</v>
      </c>
      <c r="E10647" t="s">
        <v>28103</v>
      </c>
      <c r="F10647" t="s">
        <v>32664</v>
      </c>
      <c r="G10647" t="s">
        <v>32672</v>
      </c>
      <c r="H10647" t="s">
        <v>12635</v>
      </c>
      <c r="I10647" t="s">
        <v>6118</v>
      </c>
      <c r="J10647" t="s">
        <v>32962</v>
      </c>
      <c r="K10647" t="s">
        <v>42283</v>
      </c>
      <c r="M10647" t="s">
        <v>45239</v>
      </c>
      <c r="N10647" t="s">
        <v>46569</v>
      </c>
      <c r="O10647" t="s">
        <v>46570</v>
      </c>
      <c r="Q10647">
        <v>3</v>
      </c>
      <c r="R10647" t="s">
        <v>46578</v>
      </c>
      <c r="S10647" t="s">
        <v>46904</v>
      </c>
      <c r="T10647" t="s">
        <v>48637</v>
      </c>
      <c r="U10647" t="s">
        <v>57332</v>
      </c>
      <c r="V10647" t="s">
        <v>62764</v>
      </c>
      <c r="W10647" t="s">
        <v>45239</v>
      </c>
      <c r="X10647" t="s">
        <v>46579</v>
      </c>
    </row>
    <row r="10648" spans="1:24">
      <c r="A10648">
        <f>HYPERLINK("https://www.philgeps.gov.ph/GEPSNONPILOT/Tender/SplashBidNoticeAbstractUI.aspx?menuIndex=3&amp;refID=7050470&amp;Result=3","7050470")</f>
        <v>0</v>
      </c>
      <c r="B10648" t="s">
        <v>2868</v>
      </c>
      <c r="C10648" t="s">
        <v>13613</v>
      </c>
      <c r="E10648" t="s">
        <v>19183</v>
      </c>
      <c r="F10648" t="s">
        <v>32664</v>
      </c>
      <c r="G10648" t="s">
        <v>32672</v>
      </c>
      <c r="H10648" t="s">
        <v>12635</v>
      </c>
      <c r="I10648" t="s">
        <v>6628</v>
      </c>
      <c r="J10648" t="s">
        <v>37594</v>
      </c>
      <c r="K10648" t="s">
        <v>42284</v>
      </c>
      <c r="M10648" t="s">
        <v>45717</v>
      </c>
      <c r="N10648" t="s">
        <v>46569</v>
      </c>
      <c r="O10648" t="s">
        <v>46570</v>
      </c>
      <c r="P10648">
        <v>0</v>
      </c>
      <c r="Q10648">
        <v>1</v>
      </c>
      <c r="R10648" t="s">
        <v>46578</v>
      </c>
      <c r="S10648" t="s">
        <v>46874</v>
      </c>
      <c r="T10648" t="s">
        <v>48313</v>
      </c>
      <c r="U10648" t="s">
        <v>57333</v>
      </c>
      <c r="W10648" t="s">
        <v>45717</v>
      </c>
      <c r="X10648" t="s">
        <v>46579</v>
      </c>
    </row>
    <row r="10649" spans="1:24">
      <c r="A10649">
        <f>HYPERLINK("https://www.philgeps.gov.ph/GEPSNONPILOT/Tender/SplashBidNoticeAbstractUI.aspx?menuIndex=3&amp;refID=7050583&amp;Result=3","7050583")</f>
        <v>0</v>
      </c>
      <c r="B10649" t="s">
        <v>2834</v>
      </c>
      <c r="C10649" t="s">
        <v>13614</v>
      </c>
      <c r="D10649" t="s">
        <v>18839</v>
      </c>
      <c r="E10649" t="s">
        <v>28104</v>
      </c>
      <c r="F10649" t="s">
        <v>32664</v>
      </c>
      <c r="G10649" t="s">
        <v>32671</v>
      </c>
      <c r="H10649" t="s">
        <v>12635</v>
      </c>
      <c r="I10649" t="s">
        <v>4439</v>
      </c>
      <c r="J10649" t="s">
        <v>39145</v>
      </c>
      <c r="K10649" t="s">
        <v>42281</v>
      </c>
      <c r="M10649" t="s">
        <v>45679</v>
      </c>
      <c r="N10649" t="s">
        <v>46569</v>
      </c>
      <c r="O10649" t="s">
        <v>46570</v>
      </c>
      <c r="P10649">
        <v>0</v>
      </c>
      <c r="Q10649">
        <v>0</v>
      </c>
      <c r="R10649" t="s">
        <v>46578</v>
      </c>
      <c r="S10649" t="s">
        <v>46874</v>
      </c>
      <c r="T10649" t="s">
        <v>48316</v>
      </c>
      <c r="U10649" t="s">
        <v>57334</v>
      </c>
      <c r="W10649" t="s">
        <v>45679</v>
      </c>
      <c r="X10649" t="s">
        <v>46579</v>
      </c>
    </row>
    <row r="10650" spans="1:24">
      <c r="A10650">
        <f>HYPERLINK("https://www.philgeps.gov.ph/GEPSNONPILOT/Tender/SplashBidNoticeAbstractUI.aspx?menuIndex=3&amp;refID=7050324&amp;Result=3","7050324")</f>
        <v>0</v>
      </c>
      <c r="B10650" t="s">
        <v>2911</v>
      </c>
      <c r="C10650" t="s">
        <v>13615</v>
      </c>
      <c r="D10650" t="s">
        <v>18821</v>
      </c>
      <c r="E10650" t="s">
        <v>28105</v>
      </c>
      <c r="F10650" t="s">
        <v>32664</v>
      </c>
      <c r="G10650" t="s">
        <v>32672</v>
      </c>
      <c r="H10650" t="s">
        <v>12635</v>
      </c>
      <c r="I10650" t="s">
        <v>32706</v>
      </c>
      <c r="J10650" t="s">
        <v>39146</v>
      </c>
      <c r="K10650" t="s">
        <v>42281</v>
      </c>
      <c r="M10650" t="s">
        <v>45762</v>
      </c>
      <c r="N10650" t="s">
        <v>46569</v>
      </c>
      <c r="O10650" t="s">
        <v>46570</v>
      </c>
      <c r="P10650">
        <v>0</v>
      </c>
      <c r="Q10650">
        <v>1</v>
      </c>
      <c r="R10650" t="s">
        <v>46578</v>
      </c>
      <c r="S10650" t="s">
        <v>46874</v>
      </c>
      <c r="T10650" t="s">
        <v>48287</v>
      </c>
      <c r="U10650" t="s">
        <v>57335</v>
      </c>
      <c r="V10650" t="s">
        <v>62765</v>
      </c>
      <c r="W10650" t="s">
        <v>45762</v>
      </c>
      <c r="X10650" t="s">
        <v>46579</v>
      </c>
    </row>
    <row r="10651" spans="1:24">
      <c r="A10651">
        <f>HYPERLINK("https://www.philgeps.gov.ph/GEPSNONPILOT/Tender/SplashBidNoticeAbstractUI.aspx?menuIndex=3&amp;refID=7050569&amp;Result=3","7050569")</f>
        <v>0</v>
      </c>
      <c r="B10651" t="s">
        <v>802</v>
      </c>
      <c r="C10651" t="s">
        <v>13616</v>
      </c>
      <c r="D10651" t="s">
        <v>18798</v>
      </c>
      <c r="E10651" t="s">
        <v>28106</v>
      </c>
      <c r="F10651" t="s">
        <v>32664</v>
      </c>
      <c r="G10651" t="s">
        <v>32672</v>
      </c>
      <c r="H10651" t="s">
        <v>12635</v>
      </c>
      <c r="I10651" t="s">
        <v>6223</v>
      </c>
      <c r="J10651" t="s">
        <v>33302</v>
      </c>
      <c r="K10651" t="s">
        <v>42297</v>
      </c>
      <c r="M10651" t="s">
        <v>43394</v>
      </c>
      <c r="N10651" t="s">
        <v>46569</v>
      </c>
      <c r="O10651" t="s">
        <v>46570</v>
      </c>
      <c r="P10651">
        <v>0</v>
      </c>
      <c r="Q10651">
        <v>1</v>
      </c>
      <c r="R10651" t="s">
        <v>46578</v>
      </c>
      <c r="S10651" t="s">
        <v>46874</v>
      </c>
      <c r="T10651" t="s">
        <v>48418</v>
      </c>
      <c r="U10651" t="s">
        <v>57336</v>
      </c>
      <c r="W10651" t="s">
        <v>43394</v>
      </c>
      <c r="X10651" t="s">
        <v>46579</v>
      </c>
    </row>
    <row r="10652" spans="1:24">
      <c r="A10652">
        <f>HYPERLINK("https://www.philgeps.gov.ph/GEPSNONPILOT/Tender/SplashBidNoticeAbstractUI.aspx?menuIndex=3&amp;refID=7050562&amp;Result=3","7050562")</f>
        <v>0</v>
      </c>
      <c r="B10652" t="s">
        <v>2874</v>
      </c>
      <c r="C10652" t="s">
        <v>13617</v>
      </c>
      <c r="D10652" t="s">
        <v>18785</v>
      </c>
      <c r="E10652" t="s">
        <v>28107</v>
      </c>
      <c r="F10652" t="s">
        <v>32664</v>
      </c>
      <c r="G10652" t="s">
        <v>32672</v>
      </c>
      <c r="H10652" t="s">
        <v>32683</v>
      </c>
      <c r="I10652" t="s">
        <v>10627</v>
      </c>
      <c r="J10652" t="s">
        <v>39147</v>
      </c>
      <c r="K10652" t="s">
        <v>42298</v>
      </c>
      <c r="M10652" t="s">
        <v>45723</v>
      </c>
      <c r="N10652" t="s">
        <v>46569</v>
      </c>
      <c r="O10652" t="s">
        <v>46570</v>
      </c>
      <c r="P10652">
        <v>0</v>
      </c>
      <c r="Q10652">
        <v>2</v>
      </c>
      <c r="R10652" t="s">
        <v>46578</v>
      </c>
      <c r="S10652" t="s">
        <v>46874</v>
      </c>
      <c r="T10652" t="s">
        <v>48448</v>
      </c>
      <c r="U10652" t="s">
        <v>57337</v>
      </c>
      <c r="V10652" t="s">
        <v>62743</v>
      </c>
      <c r="W10652" t="s">
        <v>45723</v>
      </c>
      <c r="X10652" t="s">
        <v>46579</v>
      </c>
    </row>
    <row r="10653" spans="1:24">
      <c r="A10653">
        <f>HYPERLINK("https://www.philgeps.gov.ph/GEPSNONPILOT/Tender/SplashBidNoticeAbstractUI.aspx?menuIndex=3&amp;refID=7050304&amp;Result=3","7050304")</f>
        <v>0</v>
      </c>
      <c r="B10653" t="s">
        <v>2861</v>
      </c>
      <c r="C10653" t="s">
        <v>13618</v>
      </c>
      <c r="D10653" t="s">
        <v>18821</v>
      </c>
      <c r="E10653" t="s">
        <v>27951</v>
      </c>
      <c r="F10653" t="s">
        <v>32664</v>
      </c>
      <c r="G10653" t="s">
        <v>32671</v>
      </c>
      <c r="H10653" t="s">
        <v>32683</v>
      </c>
      <c r="I10653" t="s">
        <v>4439</v>
      </c>
      <c r="J10653" t="s">
        <v>39148</v>
      </c>
      <c r="K10653" t="s">
        <v>42281</v>
      </c>
      <c r="M10653" t="s">
        <v>45709</v>
      </c>
      <c r="N10653" t="s">
        <v>46569</v>
      </c>
      <c r="O10653" t="s">
        <v>46570</v>
      </c>
      <c r="P10653">
        <v>0</v>
      </c>
      <c r="Q10653">
        <v>0</v>
      </c>
      <c r="R10653" t="s">
        <v>46578</v>
      </c>
      <c r="S10653" t="s">
        <v>46874</v>
      </c>
      <c r="T10653" t="s">
        <v>48254</v>
      </c>
      <c r="U10653" t="s">
        <v>57166</v>
      </c>
      <c r="W10653" t="s">
        <v>45709</v>
      </c>
      <c r="X10653" t="s">
        <v>46579</v>
      </c>
    </row>
    <row r="10654" spans="1:24">
      <c r="A10654">
        <f>HYPERLINK("https://www.philgeps.gov.ph/GEPSNONPILOT/Tender/SplashBidNoticeAbstractUI.aspx?menuIndex=3&amp;refID=7050673&amp;Result=3","7050673")</f>
        <v>0</v>
      </c>
      <c r="B10654" t="s">
        <v>2879</v>
      </c>
      <c r="C10654" t="s">
        <v>13619</v>
      </c>
      <c r="D10654" t="s">
        <v>18853</v>
      </c>
      <c r="E10654" t="s">
        <v>28108</v>
      </c>
      <c r="F10654" t="s">
        <v>32664</v>
      </c>
      <c r="G10654" t="s">
        <v>32672</v>
      </c>
      <c r="H10654" t="s">
        <v>12635</v>
      </c>
      <c r="I10654" t="s">
        <v>9486</v>
      </c>
      <c r="J10654" t="s">
        <v>39149</v>
      </c>
      <c r="K10654" t="s">
        <v>42281</v>
      </c>
      <c r="M10654" t="s">
        <v>45728</v>
      </c>
      <c r="N10654" t="s">
        <v>46569</v>
      </c>
      <c r="O10654" t="s">
        <v>46570</v>
      </c>
      <c r="P10654">
        <v>0</v>
      </c>
      <c r="Q10654">
        <v>2</v>
      </c>
      <c r="R10654" t="s">
        <v>46578</v>
      </c>
      <c r="S10654" t="s">
        <v>46874</v>
      </c>
      <c r="T10654" t="s">
        <v>48453</v>
      </c>
      <c r="U10654" t="s">
        <v>57227</v>
      </c>
      <c r="V10654" t="s">
        <v>62748</v>
      </c>
      <c r="W10654" t="s">
        <v>45728</v>
      </c>
      <c r="X10654" t="s">
        <v>46579</v>
      </c>
    </row>
    <row r="10655" spans="1:24">
      <c r="A10655">
        <f>HYPERLINK("https://www.philgeps.gov.ph/GEPSNONPILOT/Tender/SplashBidNoticeAbstractUI.aspx?menuIndex=3&amp;refID=7050300&amp;Result=3","7050300")</f>
        <v>0</v>
      </c>
      <c r="B10655" t="s">
        <v>1385</v>
      </c>
      <c r="C10655" t="s">
        <v>13620</v>
      </c>
      <c r="D10655" t="s">
        <v>18827</v>
      </c>
      <c r="E10655" t="s">
        <v>28109</v>
      </c>
      <c r="F10655" t="s">
        <v>32664</v>
      </c>
      <c r="G10655" t="s">
        <v>32671</v>
      </c>
      <c r="H10655" t="s">
        <v>12635</v>
      </c>
      <c r="I10655" t="s">
        <v>4439</v>
      </c>
      <c r="J10655" t="s">
        <v>39150</v>
      </c>
      <c r="K10655" t="s">
        <v>42281</v>
      </c>
      <c r="L10655" t="s">
        <v>1385</v>
      </c>
      <c r="M10655" t="s">
        <v>44040</v>
      </c>
      <c r="N10655" t="s">
        <v>46569</v>
      </c>
      <c r="O10655" t="s">
        <v>46570</v>
      </c>
      <c r="P10655">
        <v>0</v>
      </c>
      <c r="Q10655">
        <v>0</v>
      </c>
      <c r="R10655" t="s">
        <v>46578</v>
      </c>
      <c r="S10655" t="s">
        <v>46874</v>
      </c>
      <c r="T10655" t="s">
        <v>48244</v>
      </c>
      <c r="U10655" t="s">
        <v>57148</v>
      </c>
      <c r="W10655" t="s">
        <v>44040</v>
      </c>
      <c r="X10655" t="s">
        <v>46579</v>
      </c>
    </row>
    <row r="10656" spans="1:24">
      <c r="A10656">
        <f>HYPERLINK("https://www.philgeps.gov.ph/GEPSNONPILOT/Tender/SplashBidNoticeAbstractUI.aspx?menuIndex=3&amp;refID=7050303&amp;Result=3","7050303")</f>
        <v>0</v>
      </c>
      <c r="B10656" t="s">
        <v>133</v>
      </c>
      <c r="C10656" t="s">
        <v>13621</v>
      </c>
      <c r="D10656" t="s">
        <v>18832</v>
      </c>
      <c r="E10656" t="s">
        <v>28110</v>
      </c>
      <c r="F10656" t="s">
        <v>32664</v>
      </c>
      <c r="G10656" t="s">
        <v>32672</v>
      </c>
      <c r="H10656" t="s">
        <v>32683</v>
      </c>
      <c r="I10656" t="s">
        <v>10627</v>
      </c>
      <c r="J10656" t="s">
        <v>39151</v>
      </c>
      <c r="K10656" t="s">
        <v>42311</v>
      </c>
      <c r="M10656" t="s">
        <v>42697</v>
      </c>
      <c r="N10656" t="s">
        <v>46569</v>
      </c>
      <c r="O10656" t="s">
        <v>46570</v>
      </c>
      <c r="P10656">
        <v>0</v>
      </c>
      <c r="Q10656">
        <v>1</v>
      </c>
      <c r="R10656" t="s">
        <v>46578</v>
      </c>
      <c r="S10656" t="s">
        <v>46874</v>
      </c>
      <c r="T10656" t="s">
        <v>48349</v>
      </c>
      <c r="U10656" t="s">
        <v>57338</v>
      </c>
      <c r="W10656" t="s">
        <v>42697</v>
      </c>
      <c r="X10656" t="s">
        <v>46579</v>
      </c>
    </row>
    <row r="10657" spans="1:24">
      <c r="A10657">
        <f>HYPERLINK("https://www.philgeps.gov.ph/GEPSNONPILOT/Tender/SplashBidNoticeAbstractUI.aspx?menuIndex=3&amp;refID=7050298&amp;Result=3","7050298")</f>
        <v>0</v>
      </c>
      <c r="B10657" t="s">
        <v>2446</v>
      </c>
      <c r="C10657" t="s">
        <v>13622</v>
      </c>
      <c r="D10657" t="s">
        <v>18838</v>
      </c>
      <c r="E10657" t="s">
        <v>28111</v>
      </c>
      <c r="F10657" t="s">
        <v>32664</v>
      </c>
      <c r="G10657" t="s">
        <v>32672</v>
      </c>
      <c r="H10657" t="s">
        <v>12635</v>
      </c>
      <c r="I10657" t="s">
        <v>32704</v>
      </c>
      <c r="J10657" t="s">
        <v>39152</v>
      </c>
      <c r="K10657" t="s">
        <v>42283</v>
      </c>
      <c r="M10657" t="s">
        <v>45239</v>
      </c>
      <c r="N10657" t="s">
        <v>46569</v>
      </c>
      <c r="O10657" t="s">
        <v>46570</v>
      </c>
      <c r="Q10657">
        <v>12</v>
      </c>
      <c r="R10657" t="s">
        <v>46578</v>
      </c>
      <c r="S10657" t="s">
        <v>46905</v>
      </c>
      <c r="T10657" t="s">
        <v>48659</v>
      </c>
      <c r="U10657" t="s">
        <v>57339</v>
      </c>
      <c r="V10657" t="s">
        <v>62766</v>
      </c>
      <c r="W10657" t="s">
        <v>45239</v>
      </c>
      <c r="X10657" t="s">
        <v>46579</v>
      </c>
    </row>
    <row r="10658" spans="1:24">
      <c r="A10658">
        <f>HYPERLINK("https://www.philgeps.gov.ph/GEPSNONPILOT/Tender/SplashBidNoticeAbstractUI.aspx?menuIndex=3&amp;refID=7050452&amp;Result=3","7050452")</f>
        <v>0</v>
      </c>
      <c r="B10658" t="s">
        <v>2889</v>
      </c>
      <c r="C10658" t="s">
        <v>13623</v>
      </c>
      <c r="D10658" t="s">
        <v>18842</v>
      </c>
      <c r="E10658" t="s">
        <v>28112</v>
      </c>
      <c r="F10658" t="s">
        <v>32664</v>
      </c>
      <c r="G10658" t="s">
        <v>32672</v>
      </c>
      <c r="H10658" t="s">
        <v>12635</v>
      </c>
      <c r="I10658" t="s">
        <v>8797</v>
      </c>
      <c r="J10658" t="s">
        <v>39153</v>
      </c>
      <c r="K10658" t="s">
        <v>42283</v>
      </c>
      <c r="M10658" t="s">
        <v>45738</v>
      </c>
      <c r="N10658" t="s">
        <v>46569</v>
      </c>
      <c r="O10658" t="s">
        <v>46570</v>
      </c>
      <c r="P10658">
        <v>0</v>
      </c>
      <c r="Q10658">
        <v>5</v>
      </c>
      <c r="R10658" t="s">
        <v>46578</v>
      </c>
      <c r="S10658" t="s">
        <v>46874</v>
      </c>
      <c r="T10658" t="s">
        <v>48453</v>
      </c>
      <c r="U10658" t="s">
        <v>57259</v>
      </c>
      <c r="V10658" t="s">
        <v>62753</v>
      </c>
      <c r="W10658" t="s">
        <v>45738</v>
      </c>
      <c r="X10658" t="s">
        <v>46579</v>
      </c>
    </row>
    <row r="10659" spans="1:24">
      <c r="A10659">
        <f>HYPERLINK("https://www.philgeps.gov.ph/GEPSNONPILOT/Tender/SplashBidNoticeAbstractUI.aspx?menuIndex=3&amp;refID=7050473&amp;Result=3","7050473")</f>
        <v>0</v>
      </c>
      <c r="B10659" t="s">
        <v>2912</v>
      </c>
      <c r="C10659" t="s">
        <v>13624</v>
      </c>
      <c r="D10659" t="s">
        <v>18784</v>
      </c>
      <c r="E10659" t="s">
        <v>19581</v>
      </c>
      <c r="F10659" t="s">
        <v>32664</v>
      </c>
      <c r="G10659" t="s">
        <v>32671</v>
      </c>
      <c r="H10659" t="s">
        <v>12635</v>
      </c>
      <c r="I10659" t="s">
        <v>32695</v>
      </c>
      <c r="J10659" t="s">
        <v>33069</v>
      </c>
      <c r="K10659" t="s">
        <v>42284</v>
      </c>
      <c r="M10659" t="s">
        <v>45763</v>
      </c>
      <c r="N10659" t="s">
        <v>46569</v>
      </c>
      <c r="O10659" t="s">
        <v>46570</v>
      </c>
      <c r="Q10659">
        <v>0</v>
      </c>
      <c r="R10659" t="s">
        <v>46578</v>
      </c>
      <c r="S10659" t="s">
        <v>46788</v>
      </c>
      <c r="T10659" t="s">
        <v>48420</v>
      </c>
      <c r="U10659" t="s">
        <v>57340</v>
      </c>
      <c r="W10659" t="s">
        <v>45763</v>
      </c>
      <c r="X10659" t="s">
        <v>46579</v>
      </c>
    </row>
    <row r="10660" spans="1:24">
      <c r="A10660">
        <f>HYPERLINK("https://www.philgeps.gov.ph/GEPSNONPILOT/Tender/SplashBidNoticeAbstractUI.aspx?menuIndex=3&amp;refID=7050322&amp;Result=3","7050322")</f>
        <v>0</v>
      </c>
      <c r="B10660" t="s">
        <v>135</v>
      </c>
      <c r="C10660" t="s">
        <v>13625</v>
      </c>
      <c r="D10660" t="s">
        <v>18807</v>
      </c>
      <c r="E10660" t="s">
        <v>28113</v>
      </c>
      <c r="F10660" t="s">
        <v>32664</v>
      </c>
      <c r="G10660" t="s">
        <v>32672</v>
      </c>
      <c r="H10660" t="s">
        <v>12635</v>
      </c>
      <c r="I10660" t="s">
        <v>4439</v>
      </c>
      <c r="J10660" t="s">
        <v>39154</v>
      </c>
      <c r="K10660" t="s">
        <v>42281</v>
      </c>
      <c r="M10660" t="s">
        <v>42852</v>
      </c>
      <c r="N10660" t="s">
        <v>46569</v>
      </c>
      <c r="O10660" t="s">
        <v>46570</v>
      </c>
      <c r="P10660">
        <v>0</v>
      </c>
      <c r="Q10660">
        <v>0</v>
      </c>
      <c r="R10660" t="s">
        <v>46578</v>
      </c>
      <c r="S10660" t="s">
        <v>46874</v>
      </c>
      <c r="T10660" t="s">
        <v>48394</v>
      </c>
      <c r="U10660" t="s">
        <v>49052</v>
      </c>
      <c r="V10660" t="s">
        <v>61650</v>
      </c>
      <c r="W10660" t="s">
        <v>42852</v>
      </c>
      <c r="X10660" t="s">
        <v>46579</v>
      </c>
    </row>
    <row r="10661" spans="1:24">
      <c r="A10661">
        <f>HYPERLINK("https://www.philgeps.gov.ph/GEPSNONPILOT/Tender/SplashBidNoticeAbstractUI.aspx?menuIndex=3&amp;refID=7050318&amp;Result=3","7050318")</f>
        <v>0</v>
      </c>
      <c r="B10661" t="s">
        <v>1385</v>
      </c>
      <c r="C10661" t="s">
        <v>13626</v>
      </c>
      <c r="D10661" t="s">
        <v>18827</v>
      </c>
      <c r="E10661" t="s">
        <v>28114</v>
      </c>
      <c r="F10661" t="s">
        <v>32664</v>
      </c>
      <c r="G10661" t="s">
        <v>32671</v>
      </c>
      <c r="H10661" t="s">
        <v>12635</v>
      </c>
      <c r="I10661" t="s">
        <v>4439</v>
      </c>
      <c r="J10661" t="s">
        <v>39155</v>
      </c>
      <c r="K10661" t="s">
        <v>42281</v>
      </c>
      <c r="L10661" t="s">
        <v>1385</v>
      </c>
      <c r="M10661" t="s">
        <v>44040</v>
      </c>
      <c r="N10661" t="s">
        <v>46569</v>
      </c>
      <c r="O10661" t="s">
        <v>46570</v>
      </c>
      <c r="P10661">
        <v>0</v>
      </c>
      <c r="Q10661">
        <v>0</v>
      </c>
      <c r="R10661" t="s">
        <v>46578</v>
      </c>
      <c r="S10661" t="s">
        <v>46874</v>
      </c>
      <c r="T10661" t="s">
        <v>48244</v>
      </c>
      <c r="U10661" t="s">
        <v>57148</v>
      </c>
      <c r="W10661" t="s">
        <v>44040</v>
      </c>
      <c r="X10661" t="s">
        <v>46579</v>
      </c>
    </row>
    <row r="10662" spans="1:24">
      <c r="A10662">
        <f>HYPERLINK("https://www.philgeps.gov.ph/GEPSNONPILOT/Tender/SplashBidNoticeAbstractUI.aspx?menuIndex=3&amp;refID=7051104&amp;Result=3","7051104")</f>
        <v>0</v>
      </c>
      <c r="B10662" t="s">
        <v>576</v>
      </c>
      <c r="C10662" t="s">
        <v>13627</v>
      </c>
      <c r="D10662" t="s">
        <v>18804</v>
      </c>
      <c r="E10662" t="s">
        <v>28115</v>
      </c>
      <c r="F10662" t="s">
        <v>32664</v>
      </c>
      <c r="G10662" t="s">
        <v>32672</v>
      </c>
      <c r="H10662" t="s">
        <v>12635</v>
      </c>
      <c r="I10662" t="s">
        <v>11464</v>
      </c>
      <c r="J10662" t="s">
        <v>35589</v>
      </c>
      <c r="K10662" t="s">
        <v>42298</v>
      </c>
      <c r="M10662" t="s">
        <v>43156</v>
      </c>
      <c r="N10662" t="s">
        <v>46569</v>
      </c>
      <c r="O10662" t="s">
        <v>46570</v>
      </c>
      <c r="P10662">
        <v>0</v>
      </c>
      <c r="Q10662">
        <v>2</v>
      </c>
      <c r="R10662" t="s">
        <v>46578</v>
      </c>
      <c r="S10662" t="s">
        <v>46874</v>
      </c>
      <c r="T10662" t="s">
        <v>48468</v>
      </c>
      <c r="U10662" t="s">
        <v>57341</v>
      </c>
      <c r="W10662" t="s">
        <v>43156</v>
      </c>
      <c r="X10662" t="s">
        <v>46579</v>
      </c>
    </row>
    <row r="10663" spans="1:24">
      <c r="A10663">
        <f>HYPERLINK("https://www.philgeps.gov.ph/GEPSNONPILOT/Tender/SplashBidNoticeAbstractUI.aspx?menuIndex=3&amp;refID=7051154&amp;Result=3","7051154")</f>
        <v>0</v>
      </c>
      <c r="B10663" t="s">
        <v>759</v>
      </c>
      <c r="C10663" t="s">
        <v>13628</v>
      </c>
      <c r="E10663" t="s">
        <v>20330</v>
      </c>
      <c r="F10663" t="s">
        <v>32664</v>
      </c>
      <c r="G10663" t="s">
        <v>32672</v>
      </c>
      <c r="H10663" t="s">
        <v>12635</v>
      </c>
      <c r="I10663" t="s">
        <v>6168</v>
      </c>
      <c r="J10663" t="s">
        <v>39156</v>
      </c>
      <c r="K10663" t="s">
        <v>42283</v>
      </c>
      <c r="M10663" t="s">
        <v>43350</v>
      </c>
      <c r="N10663" t="s">
        <v>46569</v>
      </c>
      <c r="O10663" t="s">
        <v>46570</v>
      </c>
      <c r="P10663">
        <v>0</v>
      </c>
      <c r="Q10663">
        <v>1</v>
      </c>
      <c r="R10663" t="s">
        <v>46578</v>
      </c>
      <c r="S10663" t="s">
        <v>46874</v>
      </c>
      <c r="T10663" t="s">
        <v>48663</v>
      </c>
      <c r="U10663" t="s">
        <v>57342</v>
      </c>
      <c r="W10663" t="s">
        <v>43350</v>
      </c>
      <c r="X10663" t="s">
        <v>46579</v>
      </c>
    </row>
    <row r="10664" spans="1:24">
      <c r="A10664">
        <f>HYPERLINK("https://www.philgeps.gov.ph/GEPSNONPILOT/Tender/SplashBidNoticeAbstractUI.aspx?menuIndex=3&amp;refID=7051105&amp;Result=3","7051105")</f>
        <v>0</v>
      </c>
      <c r="B10664" t="s">
        <v>2907</v>
      </c>
      <c r="C10664" t="s">
        <v>13629</v>
      </c>
      <c r="D10664" t="s">
        <v>18816</v>
      </c>
      <c r="E10664" t="s">
        <v>19581</v>
      </c>
      <c r="F10664" t="s">
        <v>32664</v>
      </c>
      <c r="G10664" t="s">
        <v>32672</v>
      </c>
      <c r="H10664" t="s">
        <v>32683</v>
      </c>
      <c r="I10664" t="s">
        <v>10627</v>
      </c>
      <c r="J10664" t="s">
        <v>32930</v>
      </c>
      <c r="K10664" t="s">
        <v>42290</v>
      </c>
      <c r="M10664" t="s">
        <v>45758</v>
      </c>
      <c r="N10664" t="s">
        <v>46569</v>
      </c>
      <c r="O10664" t="s">
        <v>46570</v>
      </c>
      <c r="P10664">
        <v>0</v>
      </c>
      <c r="Q10664">
        <v>0</v>
      </c>
      <c r="R10664" t="s">
        <v>46578</v>
      </c>
      <c r="S10664" t="s">
        <v>46874</v>
      </c>
      <c r="T10664" t="s">
        <v>48212</v>
      </c>
      <c r="U10664" t="s">
        <v>57343</v>
      </c>
      <c r="W10664" t="s">
        <v>45758</v>
      </c>
      <c r="X10664" t="s">
        <v>46579</v>
      </c>
    </row>
    <row r="10665" spans="1:24">
      <c r="A10665">
        <f>HYPERLINK("https://www.philgeps.gov.ph/GEPSNONPILOT/Tender/SplashBidNoticeAbstractUI.aspx?menuIndex=3&amp;refID=7051170&amp;Result=3","7051170")</f>
        <v>0</v>
      </c>
      <c r="B10665" t="s">
        <v>212</v>
      </c>
      <c r="C10665" t="s">
        <v>13630</v>
      </c>
      <c r="D10665" t="s">
        <v>18844</v>
      </c>
      <c r="E10665" t="s">
        <v>28116</v>
      </c>
      <c r="F10665" t="s">
        <v>32664</v>
      </c>
      <c r="G10665" t="s">
        <v>32672</v>
      </c>
      <c r="H10665" t="s">
        <v>32683</v>
      </c>
      <c r="I10665" t="s">
        <v>10627</v>
      </c>
      <c r="J10665" t="s">
        <v>39157</v>
      </c>
      <c r="K10665" t="s">
        <v>42510</v>
      </c>
      <c r="M10665" t="s">
        <v>45764</v>
      </c>
      <c r="N10665" t="s">
        <v>46569</v>
      </c>
      <c r="O10665" t="s">
        <v>46570</v>
      </c>
      <c r="P10665">
        <v>0</v>
      </c>
      <c r="Q10665">
        <v>0</v>
      </c>
      <c r="R10665" t="s">
        <v>46578</v>
      </c>
      <c r="S10665" t="s">
        <v>46874</v>
      </c>
      <c r="T10665" t="s">
        <v>48467</v>
      </c>
      <c r="U10665" t="s">
        <v>57344</v>
      </c>
      <c r="V10665" t="s">
        <v>62767</v>
      </c>
      <c r="W10665" t="s">
        <v>45764</v>
      </c>
      <c r="X10665" t="s">
        <v>46579</v>
      </c>
    </row>
    <row r="10666" spans="1:24">
      <c r="A10666">
        <f>HYPERLINK("https://www.philgeps.gov.ph/GEPSNONPILOT/Tender/SplashBidNoticeAbstractUI.aspx?menuIndex=3&amp;refID=7051148&amp;Result=3","7051148")</f>
        <v>0</v>
      </c>
      <c r="B10666" t="s">
        <v>2913</v>
      </c>
      <c r="C10666" t="s">
        <v>13631</v>
      </c>
      <c r="D10666" t="s">
        <v>18847</v>
      </c>
      <c r="E10666" t="s">
        <v>28117</v>
      </c>
      <c r="F10666" t="s">
        <v>32664</v>
      </c>
      <c r="G10666" t="s">
        <v>32677</v>
      </c>
      <c r="H10666" t="s">
        <v>12635</v>
      </c>
      <c r="I10666" t="s">
        <v>32685</v>
      </c>
      <c r="J10666" t="s">
        <v>39158</v>
      </c>
      <c r="K10666" t="s">
        <v>42297</v>
      </c>
      <c r="M10666" t="s">
        <v>45765</v>
      </c>
      <c r="N10666" t="s">
        <v>46569</v>
      </c>
      <c r="O10666" t="s">
        <v>46570</v>
      </c>
      <c r="P10666">
        <v>0</v>
      </c>
      <c r="Q10666">
        <v>2</v>
      </c>
      <c r="R10666" t="s">
        <v>46578</v>
      </c>
      <c r="S10666" t="s">
        <v>46874</v>
      </c>
      <c r="T10666" t="s">
        <v>48598</v>
      </c>
      <c r="U10666" t="s">
        <v>57345</v>
      </c>
      <c r="W10666" t="s">
        <v>45765</v>
      </c>
      <c r="X10666" t="s">
        <v>46579</v>
      </c>
    </row>
    <row r="10667" spans="1:24">
      <c r="A10667">
        <f>HYPERLINK("https://www.philgeps.gov.ph/GEPSNONPILOT/Tender/SplashBidNoticeAbstractUI.aspx?menuIndex=3&amp;refID=7051138&amp;Result=3","7051138")</f>
        <v>0</v>
      </c>
      <c r="B10667" t="s">
        <v>1221</v>
      </c>
      <c r="C10667" t="s">
        <v>13632</v>
      </c>
      <c r="D10667" t="s">
        <v>18782</v>
      </c>
      <c r="E10667" t="s">
        <v>28118</v>
      </c>
      <c r="F10667" t="s">
        <v>32664</v>
      </c>
      <c r="G10667" t="s">
        <v>32672</v>
      </c>
      <c r="H10667" t="s">
        <v>12635</v>
      </c>
      <c r="I10667" t="s">
        <v>11464</v>
      </c>
      <c r="J10667" t="s">
        <v>33261</v>
      </c>
      <c r="K10667" t="s">
        <v>42311</v>
      </c>
      <c r="M10667" t="s">
        <v>43859</v>
      </c>
      <c r="N10667" t="s">
        <v>46569</v>
      </c>
      <c r="O10667" t="s">
        <v>46570</v>
      </c>
      <c r="P10667">
        <v>0</v>
      </c>
      <c r="Q10667">
        <v>3</v>
      </c>
      <c r="R10667" t="s">
        <v>46578</v>
      </c>
      <c r="S10667" t="s">
        <v>46874</v>
      </c>
      <c r="T10667" t="s">
        <v>48313</v>
      </c>
      <c r="U10667" t="s">
        <v>57346</v>
      </c>
      <c r="V10667" t="s">
        <v>62768</v>
      </c>
      <c r="W10667" t="s">
        <v>43859</v>
      </c>
      <c r="X10667" t="s">
        <v>46579</v>
      </c>
    </row>
    <row r="10668" spans="1:24">
      <c r="A10668">
        <f>HYPERLINK("https://www.philgeps.gov.ph/GEPSNONPILOT/Tender/SplashBidNoticeAbstractUI.aspx?menuIndex=3&amp;refID=7051131&amp;Result=3","7051131")</f>
        <v>0</v>
      </c>
      <c r="B10668" t="s">
        <v>2913</v>
      </c>
      <c r="C10668" t="s">
        <v>13633</v>
      </c>
      <c r="D10668" t="s">
        <v>18847</v>
      </c>
      <c r="E10668" t="s">
        <v>28119</v>
      </c>
      <c r="F10668" t="s">
        <v>32664</v>
      </c>
      <c r="G10668" t="s">
        <v>32677</v>
      </c>
      <c r="H10668" t="s">
        <v>12635</v>
      </c>
      <c r="I10668" t="s">
        <v>6168</v>
      </c>
      <c r="J10668" t="s">
        <v>39159</v>
      </c>
      <c r="K10668" t="s">
        <v>42297</v>
      </c>
      <c r="M10668" t="s">
        <v>45765</v>
      </c>
      <c r="N10668" t="s">
        <v>46569</v>
      </c>
      <c r="O10668" t="s">
        <v>46570</v>
      </c>
      <c r="P10668">
        <v>0</v>
      </c>
      <c r="Q10668">
        <v>1</v>
      </c>
      <c r="R10668" t="s">
        <v>46578</v>
      </c>
      <c r="S10668" t="s">
        <v>46874</v>
      </c>
      <c r="T10668" t="s">
        <v>48598</v>
      </c>
      <c r="U10668" t="s">
        <v>57347</v>
      </c>
      <c r="W10668" t="s">
        <v>45765</v>
      </c>
      <c r="X10668" t="s">
        <v>46579</v>
      </c>
    </row>
    <row r="10669" spans="1:24">
      <c r="A10669">
        <f>HYPERLINK("https://www.philgeps.gov.ph/GEPSNONPILOT/Tender/SplashBidNoticeAbstractUI.aspx?menuIndex=3&amp;refID=7051149&amp;Result=3","7051149")</f>
        <v>0</v>
      </c>
      <c r="B10669" t="s">
        <v>586</v>
      </c>
      <c r="C10669" t="s">
        <v>13634</v>
      </c>
      <c r="D10669" t="s">
        <v>18794</v>
      </c>
      <c r="E10669" t="s">
        <v>28120</v>
      </c>
      <c r="F10669" t="s">
        <v>32664</v>
      </c>
      <c r="G10669" t="s">
        <v>32672</v>
      </c>
      <c r="H10669" t="s">
        <v>12635</v>
      </c>
      <c r="I10669" t="s">
        <v>6223</v>
      </c>
      <c r="J10669" t="s">
        <v>39160</v>
      </c>
      <c r="K10669" t="s">
        <v>42281</v>
      </c>
      <c r="M10669" t="s">
        <v>43166</v>
      </c>
      <c r="N10669" t="s">
        <v>46569</v>
      </c>
      <c r="O10669" t="s">
        <v>46570</v>
      </c>
      <c r="P10669">
        <v>0</v>
      </c>
      <c r="Q10669">
        <v>1</v>
      </c>
      <c r="R10669" t="s">
        <v>46578</v>
      </c>
      <c r="S10669" t="s">
        <v>46874</v>
      </c>
      <c r="T10669" t="s">
        <v>48356</v>
      </c>
      <c r="U10669" t="s">
        <v>57348</v>
      </c>
      <c r="W10669" t="s">
        <v>43166</v>
      </c>
      <c r="X10669" t="s">
        <v>46579</v>
      </c>
    </row>
    <row r="10670" spans="1:24">
      <c r="A10670">
        <f>HYPERLINK("https://www.philgeps.gov.ph/GEPSNONPILOT/Tender/SplashBidNoticeAbstractUI.aspx?menuIndex=3&amp;refID=7051110&amp;Result=3","7051110")</f>
        <v>0</v>
      </c>
      <c r="B10670" t="s">
        <v>2914</v>
      </c>
      <c r="C10670" t="s">
        <v>13635</v>
      </c>
      <c r="D10670" t="s">
        <v>18826</v>
      </c>
      <c r="E10670" t="s">
        <v>28121</v>
      </c>
      <c r="F10670" t="s">
        <v>32664</v>
      </c>
      <c r="G10670" t="s">
        <v>32672</v>
      </c>
      <c r="H10670" t="s">
        <v>12635</v>
      </c>
      <c r="I10670" t="s">
        <v>32706</v>
      </c>
      <c r="J10670" t="s">
        <v>33466</v>
      </c>
      <c r="K10670" t="s">
        <v>42289</v>
      </c>
      <c r="M10670" t="s">
        <v>45766</v>
      </c>
      <c r="N10670" t="s">
        <v>46569</v>
      </c>
      <c r="O10670" t="s">
        <v>46570</v>
      </c>
      <c r="P10670">
        <v>0</v>
      </c>
      <c r="Q10670">
        <v>0</v>
      </c>
      <c r="R10670" t="s">
        <v>46578</v>
      </c>
      <c r="S10670" t="s">
        <v>46874</v>
      </c>
      <c r="T10670" t="s">
        <v>48244</v>
      </c>
      <c r="U10670" t="s">
        <v>57349</v>
      </c>
      <c r="W10670" t="s">
        <v>45766</v>
      </c>
      <c r="X10670" t="s">
        <v>46579</v>
      </c>
    </row>
    <row r="10671" spans="1:24">
      <c r="A10671">
        <f>HYPERLINK("https://www.philgeps.gov.ph/GEPSNONPILOT/Tender/SplashBidNoticeAbstractUI.aspx?menuIndex=3&amp;refID=7051201&amp;Result=3","7051201")</f>
        <v>0</v>
      </c>
      <c r="B10671" t="s">
        <v>2534</v>
      </c>
      <c r="C10671" t="s">
        <v>13636</v>
      </c>
      <c r="D10671" t="s">
        <v>18783</v>
      </c>
      <c r="E10671" t="s">
        <v>28122</v>
      </c>
      <c r="F10671" t="s">
        <v>32664</v>
      </c>
      <c r="G10671" t="s">
        <v>32672</v>
      </c>
      <c r="H10671" t="s">
        <v>12635</v>
      </c>
      <c r="I10671" t="s">
        <v>32708</v>
      </c>
      <c r="J10671" t="s">
        <v>33051</v>
      </c>
      <c r="K10671" t="s">
        <v>42289</v>
      </c>
      <c r="M10671" t="s">
        <v>45342</v>
      </c>
      <c r="N10671" t="s">
        <v>46569</v>
      </c>
      <c r="O10671" t="s">
        <v>46570</v>
      </c>
      <c r="P10671">
        <v>0</v>
      </c>
      <c r="Q10671">
        <v>3</v>
      </c>
      <c r="R10671" t="s">
        <v>46578</v>
      </c>
      <c r="S10671" t="s">
        <v>46874</v>
      </c>
      <c r="T10671" t="s">
        <v>48467</v>
      </c>
      <c r="U10671" t="s">
        <v>57350</v>
      </c>
      <c r="W10671" t="s">
        <v>45342</v>
      </c>
      <c r="X10671" t="s">
        <v>46579</v>
      </c>
    </row>
    <row r="10672" spans="1:24">
      <c r="A10672">
        <f>HYPERLINK("https://www.philgeps.gov.ph/GEPSNONPILOT/Tender/SplashBidNoticeAbstractUI.aspx?menuIndex=3&amp;refID=7051191&amp;Result=3","7051191")</f>
        <v>0</v>
      </c>
      <c r="B10672" t="s">
        <v>773</v>
      </c>
      <c r="C10672" t="s">
        <v>13637</v>
      </c>
      <c r="D10672" t="s">
        <v>18821</v>
      </c>
      <c r="E10672" t="s">
        <v>28088</v>
      </c>
      <c r="F10672" t="s">
        <v>32664</v>
      </c>
      <c r="G10672" t="s">
        <v>32671</v>
      </c>
      <c r="H10672" t="s">
        <v>12635</v>
      </c>
      <c r="I10672" t="s">
        <v>8958</v>
      </c>
      <c r="J10672" t="s">
        <v>33338</v>
      </c>
      <c r="K10672" t="s">
        <v>42284</v>
      </c>
      <c r="M10672" t="s">
        <v>43364</v>
      </c>
      <c r="N10672" t="s">
        <v>46569</v>
      </c>
      <c r="O10672" t="s">
        <v>46570</v>
      </c>
      <c r="P10672">
        <v>0</v>
      </c>
      <c r="Q10672">
        <v>1</v>
      </c>
      <c r="R10672" t="s">
        <v>46578</v>
      </c>
      <c r="S10672" t="s">
        <v>46874</v>
      </c>
      <c r="T10672" t="s">
        <v>48314</v>
      </c>
      <c r="U10672" t="s">
        <v>57317</v>
      </c>
      <c r="W10672" t="s">
        <v>43364</v>
      </c>
      <c r="X10672" t="s">
        <v>46579</v>
      </c>
    </row>
    <row r="10673" spans="1:24">
      <c r="A10673">
        <f>HYPERLINK("https://www.philgeps.gov.ph/GEPSNONPILOT/Tender/SplashBidNoticeAbstractUI.aspx?menuIndex=3&amp;refID=7051125&amp;Result=3","7051125")</f>
        <v>0</v>
      </c>
      <c r="B10673" t="s">
        <v>773</v>
      </c>
      <c r="C10673" t="s">
        <v>13638</v>
      </c>
      <c r="D10673" t="s">
        <v>18821</v>
      </c>
      <c r="E10673" t="s">
        <v>28088</v>
      </c>
      <c r="F10673" t="s">
        <v>32664</v>
      </c>
      <c r="G10673" t="s">
        <v>32671</v>
      </c>
      <c r="H10673" t="s">
        <v>12635</v>
      </c>
      <c r="I10673" t="s">
        <v>6628</v>
      </c>
      <c r="J10673" t="s">
        <v>39161</v>
      </c>
      <c r="K10673" t="s">
        <v>42284</v>
      </c>
      <c r="M10673" t="s">
        <v>43364</v>
      </c>
      <c r="N10673" t="s">
        <v>46569</v>
      </c>
      <c r="O10673" t="s">
        <v>46570</v>
      </c>
      <c r="P10673">
        <v>0</v>
      </c>
      <c r="Q10673">
        <v>0</v>
      </c>
      <c r="R10673" t="s">
        <v>46578</v>
      </c>
      <c r="S10673" t="s">
        <v>46874</v>
      </c>
      <c r="T10673" t="s">
        <v>48314</v>
      </c>
      <c r="U10673" t="s">
        <v>57317</v>
      </c>
      <c r="W10673" t="s">
        <v>43364</v>
      </c>
      <c r="X10673" t="s">
        <v>46579</v>
      </c>
    </row>
    <row r="10674" spans="1:24">
      <c r="A10674">
        <f>HYPERLINK("https://www.philgeps.gov.ph/GEPSNONPILOT/Tender/SplashBidNoticeAbstractUI.aspx?menuIndex=3&amp;refID=7051129&amp;Result=3","7051129")</f>
        <v>0</v>
      </c>
      <c r="B10674" t="s">
        <v>1282</v>
      </c>
      <c r="C10674" t="s">
        <v>13639</v>
      </c>
      <c r="D10674" t="s">
        <v>18823</v>
      </c>
      <c r="E10674" t="s">
        <v>28123</v>
      </c>
      <c r="F10674" t="s">
        <v>32664</v>
      </c>
      <c r="G10674" t="s">
        <v>32672</v>
      </c>
      <c r="H10674" t="s">
        <v>12635</v>
      </c>
      <c r="I10674" t="s">
        <v>11464</v>
      </c>
      <c r="J10674" t="s">
        <v>34559</v>
      </c>
      <c r="K10674" t="s">
        <v>42283</v>
      </c>
      <c r="M10674" t="s">
        <v>43925</v>
      </c>
      <c r="N10674" t="s">
        <v>46569</v>
      </c>
      <c r="O10674" t="s">
        <v>46570</v>
      </c>
      <c r="P10674">
        <v>0</v>
      </c>
      <c r="Q10674">
        <v>2</v>
      </c>
      <c r="R10674" t="s">
        <v>46578</v>
      </c>
      <c r="S10674" t="s">
        <v>46874</v>
      </c>
      <c r="T10674" t="s">
        <v>48212</v>
      </c>
      <c r="U10674" t="s">
        <v>57351</v>
      </c>
      <c r="W10674" t="s">
        <v>63508</v>
      </c>
      <c r="X10674" t="s">
        <v>46579</v>
      </c>
    </row>
    <row r="10675" spans="1:24">
      <c r="A10675">
        <f>HYPERLINK("https://www.philgeps.gov.ph/GEPSNONPILOT/Tender/SplashBidNoticeAbstractUI.aspx?menuIndex=3&amp;refID=7051114&amp;Result=3","7051114")</f>
        <v>0</v>
      </c>
      <c r="B10675" t="s">
        <v>2915</v>
      </c>
      <c r="C10675" t="s">
        <v>13640</v>
      </c>
      <c r="D10675" t="s">
        <v>18790</v>
      </c>
      <c r="E10675" t="s">
        <v>28124</v>
      </c>
      <c r="F10675" t="s">
        <v>32664</v>
      </c>
      <c r="G10675" t="s">
        <v>32674</v>
      </c>
      <c r="H10675" t="s">
        <v>12635</v>
      </c>
      <c r="I10675" t="s">
        <v>32706</v>
      </c>
      <c r="J10675" t="s">
        <v>32974</v>
      </c>
      <c r="K10675" t="s">
        <v>42284</v>
      </c>
      <c r="M10675" t="s">
        <v>45767</v>
      </c>
      <c r="N10675" t="s">
        <v>46569</v>
      </c>
      <c r="O10675" t="s">
        <v>46570</v>
      </c>
      <c r="P10675">
        <v>0</v>
      </c>
      <c r="Q10675">
        <v>0</v>
      </c>
      <c r="R10675" t="s">
        <v>46578</v>
      </c>
      <c r="S10675" t="s">
        <v>46874</v>
      </c>
      <c r="T10675" t="s">
        <v>48473</v>
      </c>
      <c r="U10675" t="s">
        <v>57352</v>
      </c>
      <c r="W10675" t="s">
        <v>45767</v>
      </c>
      <c r="X10675" t="s">
        <v>46579</v>
      </c>
    </row>
    <row r="10676" spans="1:24">
      <c r="A10676">
        <f>HYPERLINK("https://www.philgeps.gov.ph/GEPSNONPILOT/Tender/SplashBidNoticeAbstractUI.aspx?menuIndex=3&amp;refID=7051176&amp;Result=3","7051176")</f>
        <v>0</v>
      </c>
      <c r="B10676" t="s">
        <v>2916</v>
      </c>
      <c r="C10676" t="s">
        <v>13641</v>
      </c>
      <c r="D10676" t="s">
        <v>18845</v>
      </c>
      <c r="E10676" t="s">
        <v>28125</v>
      </c>
      <c r="F10676" t="s">
        <v>32664</v>
      </c>
      <c r="G10676" t="s">
        <v>32672</v>
      </c>
      <c r="H10676" t="s">
        <v>32683</v>
      </c>
      <c r="I10676" t="s">
        <v>10627</v>
      </c>
      <c r="J10676" t="s">
        <v>33051</v>
      </c>
      <c r="K10676" t="s">
        <v>42281</v>
      </c>
      <c r="M10676" t="s">
        <v>45768</v>
      </c>
      <c r="N10676" t="s">
        <v>46569</v>
      </c>
      <c r="O10676" t="s">
        <v>46570</v>
      </c>
      <c r="P10676">
        <v>0</v>
      </c>
      <c r="Q10676">
        <v>0</v>
      </c>
      <c r="R10676" t="s">
        <v>46578</v>
      </c>
      <c r="S10676" t="s">
        <v>46874</v>
      </c>
      <c r="T10676" t="s">
        <v>48381</v>
      </c>
      <c r="U10676" t="s">
        <v>57353</v>
      </c>
      <c r="W10676" t="s">
        <v>45768</v>
      </c>
      <c r="X10676" t="s">
        <v>46579</v>
      </c>
    </row>
    <row r="10677" spans="1:24">
      <c r="A10677">
        <f>HYPERLINK("https://www.philgeps.gov.ph/GEPSNONPILOT/Tender/SplashBidNoticeAbstractUI.aspx?menuIndex=3&amp;refID=7051112&amp;Result=3","7051112")</f>
        <v>0</v>
      </c>
      <c r="B10677" t="s">
        <v>375</v>
      </c>
      <c r="C10677" t="s">
        <v>4270</v>
      </c>
      <c r="D10677" t="s">
        <v>18799</v>
      </c>
      <c r="E10677" t="s">
        <v>28126</v>
      </c>
      <c r="F10677" t="s">
        <v>32664</v>
      </c>
      <c r="G10677" t="s">
        <v>32672</v>
      </c>
      <c r="H10677" t="s">
        <v>12635</v>
      </c>
      <c r="I10677" t="s">
        <v>32706</v>
      </c>
      <c r="J10677" t="s">
        <v>32974</v>
      </c>
      <c r="K10677" t="s">
        <v>42295</v>
      </c>
      <c r="M10677" t="s">
        <v>45769</v>
      </c>
      <c r="N10677" t="s">
        <v>46569</v>
      </c>
      <c r="O10677" t="s">
        <v>46570</v>
      </c>
      <c r="P10677">
        <v>0</v>
      </c>
      <c r="Q10677">
        <v>0</v>
      </c>
      <c r="R10677" t="s">
        <v>46578</v>
      </c>
      <c r="S10677" t="s">
        <v>46874</v>
      </c>
      <c r="T10677" t="s">
        <v>48467</v>
      </c>
      <c r="U10677" t="s">
        <v>57354</v>
      </c>
      <c r="W10677" t="s">
        <v>45769</v>
      </c>
      <c r="X10677" t="s">
        <v>46579</v>
      </c>
    </row>
    <row r="10678" spans="1:24">
      <c r="A10678">
        <f>HYPERLINK("https://www.philgeps.gov.ph/GEPSNONPILOT/Tender/SplashBidNoticeAbstractUI.aspx?menuIndex=3&amp;refID=7051101&amp;Result=3","7051101")</f>
        <v>0</v>
      </c>
      <c r="B10678" t="s">
        <v>1656</v>
      </c>
      <c r="C10678" t="s">
        <v>13642</v>
      </c>
      <c r="D10678" t="s">
        <v>18805</v>
      </c>
      <c r="E10678" t="s">
        <v>22416</v>
      </c>
      <c r="F10678" t="s">
        <v>32664</v>
      </c>
      <c r="G10678" t="s">
        <v>32671</v>
      </c>
      <c r="H10678" t="s">
        <v>12635</v>
      </c>
      <c r="I10678" t="s">
        <v>32770</v>
      </c>
      <c r="J10678" t="s">
        <v>33520</v>
      </c>
      <c r="K10678" t="s">
        <v>42283</v>
      </c>
      <c r="M10678" t="s">
        <v>44341</v>
      </c>
      <c r="N10678" t="s">
        <v>46569</v>
      </c>
      <c r="O10678" t="s">
        <v>46570</v>
      </c>
      <c r="P10678">
        <v>0</v>
      </c>
      <c r="Q10678">
        <v>0</v>
      </c>
      <c r="R10678" t="s">
        <v>46578</v>
      </c>
      <c r="S10678" t="s">
        <v>46874</v>
      </c>
      <c r="T10678" t="s">
        <v>48215</v>
      </c>
      <c r="U10678" t="s">
        <v>57355</v>
      </c>
      <c r="W10678" t="s">
        <v>44341</v>
      </c>
      <c r="X10678" t="s">
        <v>46579</v>
      </c>
    </row>
    <row r="10679" spans="1:24">
      <c r="A10679">
        <f>HYPERLINK("https://www.philgeps.gov.ph/GEPSNONPILOT/Tender/SplashBidNoticeAbstractUI.aspx?menuIndex=3&amp;refID=7051127&amp;Result=3","7051127")</f>
        <v>0</v>
      </c>
      <c r="B10679" t="s">
        <v>759</v>
      </c>
      <c r="C10679" t="s">
        <v>13643</v>
      </c>
      <c r="E10679" t="s">
        <v>19202</v>
      </c>
      <c r="F10679" t="s">
        <v>32664</v>
      </c>
      <c r="G10679" t="s">
        <v>32672</v>
      </c>
      <c r="H10679" t="s">
        <v>12635</v>
      </c>
      <c r="I10679" t="s">
        <v>32694</v>
      </c>
      <c r="J10679" t="s">
        <v>39162</v>
      </c>
      <c r="K10679" t="s">
        <v>42283</v>
      </c>
      <c r="M10679" t="s">
        <v>43350</v>
      </c>
      <c r="N10679" t="s">
        <v>46569</v>
      </c>
      <c r="O10679" t="s">
        <v>46570</v>
      </c>
      <c r="P10679">
        <v>0</v>
      </c>
      <c r="Q10679">
        <v>1</v>
      </c>
      <c r="R10679" t="s">
        <v>46578</v>
      </c>
      <c r="S10679" t="s">
        <v>46874</v>
      </c>
      <c r="T10679" t="s">
        <v>48663</v>
      </c>
      <c r="U10679" t="s">
        <v>57356</v>
      </c>
      <c r="W10679" t="s">
        <v>43350</v>
      </c>
      <c r="X10679" t="s">
        <v>46579</v>
      </c>
    </row>
    <row r="10680" spans="1:24">
      <c r="A10680">
        <f>HYPERLINK("https://www.philgeps.gov.ph/GEPSNONPILOT/Tender/SplashBidNoticeAbstractUI.aspx?menuIndex=3&amp;refID=7051260&amp;Result=3","7051260")</f>
        <v>0</v>
      </c>
      <c r="B10680" t="s">
        <v>306</v>
      </c>
      <c r="C10680" t="s">
        <v>13644</v>
      </c>
      <c r="D10680" t="s">
        <v>18829</v>
      </c>
      <c r="E10680" t="s">
        <v>28127</v>
      </c>
      <c r="F10680" t="s">
        <v>32664</v>
      </c>
      <c r="G10680" t="s">
        <v>32678</v>
      </c>
      <c r="H10680" t="s">
        <v>12635</v>
      </c>
      <c r="I10680" t="s">
        <v>6118</v>
      </c>
      <c r="J10680" t="s">
        <v>33931</v>
      </c>
      <c r="K10680" t="s">
        <v>42283</v>
      </c>
      <c r="M10680" t="s">
        <v>42873</v>
      </c>
      <c r="N10680" t="s">
        <v>46569</v>
      </c>
      <c r="O10680" t="s">
        <v>46570</v>
      </c>
      <c r="P10680">
        <v>0</v>
      </c>
      <c r="Q10680">
        <v>0</v>
      </c>
      <c r="R10680" t="s">
        <v>46578</v>
      </c>
      <c r="S10680" t="s">
        <v>46874</v>
      </c>
      <c r="T10680" t="s">
        <v>48578</v>
      </c>
      <c r="U10680" t="s">
        <v>57357</v>
      </c>
      <c r="V10680" t="s">
        <v>62582</v>
      </c>
      <c r="W10680" t="s">
        <v>42873</v>
      </c>
      <c r="X10680" t="s">
        <v>46579</v>
      </c>
    </row>
    <row r="10681" spans="1:24">
      <c r="A10681">
        <f>HYPERLINK("https://www.philgeps.gov.ph/GEPSNONPILOT/Tender/SplashBidNoticeAbstractUI.aspx?menuIndex=3&amp;refID=7051259&amp;Result=3","7051259")</f>
        <v>0</v>
      </c>
      <c r="B10681" t="s">
        <v>2885</v>
      </c>
      <c r="C10681" t="s">
        <v>13645</v>
      </c>
      <c r="D10681" t="s">
        <v>18798</v>
      </c>
      <c r="E10681" t="s">
        <v>28128</v>
      </c>
      <c r="F10681" t="s">
        <v>32664</v>
      </c>
      <c r="G10681" t="s">
        <v>32671</v>
      </c>
      <c r="H10681" t="s">
        <v>32683</v>
      </c>
      <c r="I10681" t="s">
        <v>10627</v>
      </c>
      <c r="J10681" t="s">
        <v>32859</v>
      </c>
      <c r="K10681" t="s">
        <v>42297</v>
      </c>
      <c r="M10681" t="s">
        <v>45734</v>
      </c>
      <c r="N10681" t="s">
        <v>46569</v>
      </c>
      <c r="O10681" t="s">
        <v>46570</v>
      </c>
      <c r="P10681">
        <v>0</v>
      </c>
      <c r="Q10681">
        <v>1</v>
      </c>
      <c r="R10681" t="s">
        <v>46578</v>
      </c>
      <c r="S10681" t="s">
        <v>46874</v>
      </c>
      <c r="T10681" t="s">
        <v>48473</v>
      </c>
      <c r="U10681" t="s">
        <v>57358</v>
      </c>
      <c r="W10681" t="s">
        <v>45734</v>
      </c>
      <c r="X10681" t="s">
        <v>46579</v>
      </c>
    </row>
    <row r="10682" spans="1:24">
      <c r="A10682">
        <f>HYPERLINK("https://www.philgeps.gov.ph/GEPSNONPILOT/Tender/SplashBidNoticeAbstractUI.aspx?menuIndex=3&amp;refID=7051254&amp;Result=3","7051254")</f>
        <v>0</v>
      </c>
      <c r="B10682" t="s">
        <v>2917</v>
      </c>
      <c r="C10682" t="s">
        <v>13646</v>
      </c>
      <c r="D10682" t="s">
        <v>18781</v>
      </c>
      <c r="E10682" t="s">
        <v>28129</v>
      </c>
      <c r="F10682" t="s">
        <v>32664</v>
      </c>
      <c r="G10682" t="s">
        <v>32672</v>
      </c>
      <c r="H10682" t="s">
        <v>32682</v>
      </c>
      <c r="I10682" t="s">
        <v>9597</v>
      </c>
      <c r="J10682" t="s">
        <v>33021</v>
      </c>
      <c r="K10682" t="s">
        <v>42289</v>
      </c>
      <c r="M10682" t="s">
        <v>45770</v>
      </c>
      <c r="N10682" t="s">
        <v>46569</v>
      </c>
      <c r="O10682" t="s">
        <v>46570</v>
      </c>
      <c r="P10682">
        <v>0</v>
      </c>
      <c r="Q10682">
        <v>1</v>
      </c>
      <c r="R10682" t="s">
        <v>46578</v>
      </c>
      <c r="S10682" t="s">
        <v>46874</v>
      </c>
      <c r="T10682" t="s">
        <v>48276</v>
      </c>
      <c r="U10682" t="s">
        <v>57359</v>
      </c>
      <c r="W10682" t="s">
        <v>45770</v>
      </c>
      <c r="X10682" t="s">
        <v>46579</v>
      </c>
    </row>
    <row r="10683" spans="1:24">
      <c r="A10683">
        <f>HYPERLINK("https://www.philgeps.gov.ph/GEPSNONPILOT/Tender/SplashBidNoticeAbstractUI.aspx?menuIndex=3&amp;refID=7051213&amp;Result=3","7051213")</f>
        <v>0</v>
      </c>
      <c r="B10683" t="s">
        <v>576</v>
      </c>
      <c r="C10683" t="s">
        <v>13647</v>
      </c>
      <c r="D10683" t="s">
        <v>18804</v>
      </c>
      <c r="E10683" t="s">
        <v>28130</v>
      </c>
      <c r="F10683" t="s">
        <v>32664</v>
      </c>
      <c r="G10683" t="s">
        <v>32672</v>
      </c>
      <c r="H10683" t="s">
        <v>12635</v>
      </c>
      <c r="I10683" t="s">
        <v>4439</v>
      </c>
      <c r="J10683" t="s">
        <v>33267</v>
      </c>
      <c r="K10683" t="s">
        <v>42303</v>
      </c>
      <c r="M10683" t="s">
        <v>43156</v>
      </c>
      <c r="N10683" t="s">
        <v>46569</v>
      </c>
      <c r="O10683" t="s">
        <v>46570</v>
      </c>
      <c r="P10683">
        <v>0</v>
      </c>
      <c r="Q10683">
        <v>1</v>
      </c>
      <c r="R10683" t="s">
        <v>46578</v>
      </c>
      <c r="S10683" t="s">
        <v>46874</v>
      </c>
      <c r="T10683" t="s">
        <v>48468</v>
      </c>
      <c r="U10683" t="s">
        <v>57360</v>
      </c>
      <c r="W10683" t="s">
        <v>43156</v>
      </c>
      <c r="X10683" t="s">
        <v>46579</v>
      </c>
    </row>
    <row r="10684" spans="1:24">
      <c r="A10684">
        <f>HYPERLINK("https://www.philgeps.gov.ph/GEPSNONPILOT/Tender/SplashBidNoticeAbstractUI.aspx?menuIndex=3&amp;refID=7051244&amp;Result=3","7051244")</f>
        <v>0</v>
      </c>
      <c r="B10684" t="s">
        <v>1281</v>
      </c>
      <c r="C10684" t="s">
        <v>13648</v>
      </c>
      <c r="D10684" t="s">
        <v>18837</v>
      </c>
      <c r="E10684" t="s">
        <v>28131</v>
      </c>
      <c r="F10684" t="s">
        <v>32664</v>
      </c>
      <c r="G10684" t="s">
        <v>32672</v>
      </c>
      <c r="H10684" t="s">
        <v>32683</v>
      </c>
      <c r="I10684" t="s">
        <v>10627</v>
      </c>
      <c r="J10684" t="s">
        <v>39163</v>
      </c>
      <c r="K10684" t="s">
        <v>42314</v>
      </c>
      <c r="M10684" t="s">
        <v>43924</v>
      </c>
      <c r="N10684" t="s">
        <v>46569</v>
      </c>
      <c r="O10684" t="s">
        <v>46570</v>
      </c>
      <c r="P10684">
        <v>0</v>
      </c>
      <c r="Q10684">
        <v>1</v>
      </c>
      <c r="R10684" t="s">
        <v>46578</v>
      </c>
      <c r="S10684" t="s">
        <v>46874</v>
      </c>
      <c r="T10684" t="s">
        <v>48212</v>
      </c>
      <c r="U10684" t="s">
        <v>57361</v>
      </c>
      <c r="V10684" t="s">
        <v>62769</v>
      </c>
      <c r="W10684" t="s">
        <v>43924</v>
      </c>
      <c r="X10684" t="s">
        <v>46579</v>
      </c>
    </row>
    <row r="10685" spans="1:24">
      <c r="A10685">
        <f>HYPERLINK("https://www.philgeps.gov.ph/GEPSNONPILOT/Tender/SplashBidNoticeAbstractUI.aspx?menuIndex=3&amp;refID=7051243&amp;Result=3","7051243")</f>
        <v>0</v>
      </c>
      <c r="B10685" t="s">
        <v>82</v>
      </c>
      <c r="C10685" t="s">
        <v>13649</v>
      </c>
      <c r="D10685" t="s">
        <v>18804</v>
      </c>
      <c r="E10685" t="s">
        <v>28132</v>
      </c>
      <c r="F10685" t="s">
        <v>32664</v>
      </c>
      <c r="G10685" t="s">
        <v>32672</v>
      </c>
      <c r="H10685" t="s">
        <v>12635</v>
      </c>
      <c r="I10685" t="s">
        <v>8849</v>
      </c>
      <c r="J10685" t="s">
        <v>33304</v>
      </c>
      <c r="K10685" t="s">
        <v>42289</v>
      </c>
      <c r="M10685" t="s">
        <v>42645</v>
      </c>
      <c r="N10685" t="s">
        <v>46569</v>
      </c>
      <c r="O10685" t="s">
        <v>46570</v>
      </c>
      <c r="P10685">
        <v>0</v>
      </c>
      <c r="Q10685">
        <v>2</v>
      </c>
      <c r="R10685" t="s">
        <v>46578</v>
      </c>
      <c r="S10685" t="s">
        <v>46874</v>
      </c>
      <c r="T10685" t="s">
        <v>48648</v>
      </c>
      <c r="U10685" t="s">
        <v>57362</v>
      </c>
      <c r="W10685" t="s">
        <v>42645</v>
      </c>
      <c r="X10685" t="s">
        <v>46579</v>
      </c>
    </row>
    <row r="10686" spans="1:24">
      <c r="A10686">
        <f>HYPERLINK("https://www.philgeps.gov.ph/GEPSNONPILOT/Tender/SplashBidNoticeAbstractUI.aspx?menuIndex=3&amp;refID=7051247&amp;Result=3","7051247")</f>
        <v>0</v>
      </c>
      <c r="B10686" t="s">
        <v>2838</v>
      </c>
      <c r="C10686" t="s">
        <v>13650</v>
      </c>
      <c r="D10686" t="s">
        <v>18816</v>
      </c>
      <c r="E10686" t="s">
        <v>28133</v>
      </c>
      <c r="F10686" t="s">
        <v>32664</v>
      </c>
      <c r="G10686" t="s">
        <v>32672</v>
      </c>
      <c r="H10686" t="s">
        <v>32683</v>
      </c>
      <c r="I10686" t="s">
        <v>10627</v>
      </c>
      <c r="J10686" t="s">
        <v>32943</v>
      </c>
      <c r="K10686" t="s">
        <v>42298</v>
      </c>
      <c r="M10686" t="s">
        <v>45684</v>
      </c>
      <c r="N10686" t="s">
        <v>46569</v>
      </c>
      <c r="O10686" t="s">
        <v>46570</v>
      </c>
      <c r="P10686">
        <v>0</v>
      </c>
      <c r="Q10686">
        <v>0</v>
      </c>
      <c r="R10686" t="s">
        <v>46578</v>
      </c>
      <c r="S10686" t="s">
        <v>46874</v>
      </c>
      <c r="T10686" t="s">
        <v>48467</v>
      </c>
      <c r="U10686" t="s">
        <v>57115</v>
      </c>
      <c r="V10686" t="s">
        <v>62770</v>
      </c>
      <c r="W10686" t="s">
        <v>45684</v>
      </c>
      <c r="X10686" t="s">
        <v>46579</v>
      </c>
    </row>
    <row r="10687" spans="1:24">
      <c r="A10687">
        <f>HYPERLINK("https://www.philgeps.gov.ph/GEPSNONPILOT/Tender/SplashBidNoticeAbstractUI.aspx?menuIndex=3&amp;refID=7051237&amp;Result=3","7051237")</f>
        <v>0</v>
      </c>
      <c r="B10687" t="s">
        <v>2918</v>
      </c>
      <c r="C10687" t="s">
        <v>13651</v>
      </c>
      <c r="D10687" t="s">
        <v>18781</v>
      </c>
      <c r="E10687" t="s">
        <v>18926</v>
      </c>
      <c r="F10687" t="s">
        <v>32664</v>
      </c>
      <c r="G10687" t="s">
        <v>32672</v>
      </c>
      <c r="H10687" t="s">
        <v>32683</v>
      </c>
      <c r="I10687" t="s">
        <v>10627</v>
      </c>
      <c r="J10687" t="s">
        <v>34776</v>
      </c>
      <c r="K10687" t="s">
        <v>42289</v>
      </c>
      <c r="M10687" t="s">
        <v>45771</v>
      </c>
      <c r="N10687" t="s">
        <v>46569</v>
      </c>
      <c r="O10687" t="s">
        <v>46570</v>
      </c>
      <c r="P10687">
        <v>0</v>
      </c>
      <c r="Q10687">
        <v>0</v>
      </c>
      <c r="R10687" t="s">
        <v>46578</v>
      </c>
      <c r="S10687" t="s">
        <v>46874</v>
      </c>
      <c r="T10687" t="s">
        <v>48290</v>
      </c>
      <c r="U10687" t="s">
        <v>57363</v>
      </c>
      <c r="W10687" t="s">
        <v>45771</v>
      </c>
      <c r="X10687" t="s">
        <v>46579</v>
      </c>
    </row>
    <row r="10688" spans="1:24">
      <c r="A10688">
        <f>HYPERLINK("https://www.philgeps.gov.ph/GEPSNONPILOT/Tender/SplashBidNoticeAbstractUI.aspx?menuIndex=3&amp;refID=7051246&amp;Result=3","7051246")</f>
        <v>0</v>
      </c>
      <c r="B10688" t="s">
        <v>2919</v>
      </c>
      <c r="C10688" t="s">
        <v>13652</v>
      </c>
      <c r="D10688" t="s">
        <v>18786</v>
      </c>
      <c r="E10688" t="s">
        <v>13652</v>
      </c>
      <c r="F10688" t="s">
        <v>32664</v>
      </c>
      <c r="G10688" t="s">
        <v>32671</v>
      </c>
      <c r="H10688" t="s">
        <v>12635</v>
      </c>
      <c r="I10688" t="s">
        <v>8730</v>
      </c>
      <c r="J10688" t="s">
        <v>39164</v>
      </c>
      <c r="K10688" t="s">
        <v>42284</v>
      </c>
      <c r="M10688" t="s">
        <v>45772</v>
      </c>
      <c r="N10688" t="s">
        <v>46569</v>
      </c>
      <c r="O10688" t="s">
        <v>46570</v>
      </c>
      <c r="P10688">
        <v>0</v>
      </c>
      <c r="Q10688">
        <v>0</v>
      </c>
      <c r="R10688" t="s">
        <v>46578</v>
      </c>
      <c r="S10688" t="s">
        <v>46874</v>
      </c>
      <c r="T10688" t="s">
        <v>48254</v>
      </c>
      <c r="U10688" t="s">
        <v>57364</v>
      </c>
      <c r="W10688" t="s">
        <v>45772</v>
      </c>
      <c r="X10688" t="s">
        <v>46579</v>
      </c>
    </row>
    <row r="10689" spans="1:24">
      <c r="A10689">
        <f>HYPERLINK("https://www.philgeps.gov.ph/GEPSNONPILOT/Tender/SplashBidNoticeAbstractUI.aspx?menuIndex=3&amp;refID=7051272&amp;Result=3","7051272")</f>
        <v>0</v>
      </c>
      <c r="B10689" t="s">
        <v>2920</v>
      </c>
      <c r="C10689" t="s">
        <v>13653</v>
      </c>
      <c r="E10689" t="s">
        <v>28134</v>
      </c>
      <c r="F10689" t="s">
        <v>32664</v>
      </c>
      <c r="G10689" t="s">
        <v>32672</v>
      </c>
      <c r="H10689" t="s">
        <v>12635</v>
      </c>
      <c r="I10689" t="s">
        <v>32799</v>
      </c>
      <c r="J10689" t="s">
        <v>39165</v>
      </c>
      <c r="K10689" t="s">
        <v>42285</v>
      </c>
      <c r="M10689" t="s">
        <v>45773</v>
      </c>
      <c r="N10689" t="s">
        <v>46569</v>
      </c>
      <c r="O10689" t="s">
        <v>46570</v>
      </c>
      <c r="Q10689">
        <v>5</v>
      </c>
      <c r="R10689" t="s">
        <v>46578</v>
      </c>
      <c r="S10689" t="s">
        <v>46906</v>
      </c>
      <c r="T10689" t="s">
        <v>48483</v>
      </c>
      <c r="U10689" t="s">
        <v>57365</v>
      </c>
      <c r="W10689" t="s">
        <v>45773</v>
      </c>
      <c r="X10689" t="s">
        <v>46579</v>
      </c>
    </row>
    <row r="10690" spans="1:24">
      <c r="A10690">
        <f>HYPERLINK("https://www.philgeps.gov.ph/GEPSNONPILOT/Tender/SplashBidNoticeAbstractUI.aspx?menuIndex=3&amp;refID=7051269&amp;Result=3","7051269")</f>
        <v>0</v>
      </c>
      <c r="B10690" t="s">
        <v>556</v>
      </c>
      <c r="C10690" t="s">
        <v>13654</v>
      </c>
      <c r="D10690" t="s">
        <v>18843</v>
      </c>
      <c r="E10690" t="s">
        <v>28135</v>
      </c>
      <c r="F10690" t="s">
        <v>32664</v>
      </c>
      <c r="G10690" t="s">
        <v>32672</v>
      </c>
      <c r="H10690" t="s">
        <v>12635</v>
      </c>
      <c r="I10690" t="s">
        <v>8797</v>
      </c>
      <c r="J10690" t="s">
        <v>39166</v>
      </c>
      <c r="K10690" t="s">
        <v>42284</v>
      </c>
      <c r="M10690" t="s">
        <v>43136</v>
      </c>
      <c r="N10690" t="s">
        <v>46569</v>
      </c>
      <c r="O10690" t="s">
        <v>46570</v>
      </c>
      <c r="P10690">
        <v>0</v>
      </c>
      <c r="Q10690">
        <v>1</v>
      </c>
      <c r="R10690" t="s">
        <v>46578</v>
      </c>
      <c r="S10690" t="s">
        <v>46874</v>
      </c>
      <c r="T10690" t="s">
        <v>48293</v>
      </c>
      <c r="U10690" t="s">
        <v>57366</v>
      </c>
      <c r="V10690" t="s">
        <v>62771</v>
      </c>
      <c r="W10690" t="s">
        <v>43136</v>
      </c>
      <c r="X10690" t="s">
        <v>46579</v>
      </c>
    </row>
    <row r="10691" spans="1:24">
      <c r="A10691">
        <f>HYPERLINK("https://www.philgeps.gov.ph/GEPSNONPILOT/Tender/SplashBidNoticeAbstractUI.aspx?menuIndex=3&amp;refID=7051234&amp;Result=3","7051234")</f>
        <v>0</v>
      </c>
      <c r="B10691" t="s">
        <v>2921</v>
      </c>
      <c r="C10691" t="s">
        <v>13655</v>
      </c>
      <c r="D10691" t="s">
        <v>18841</v>
      </c>
      <c r="E10691" t="s">
        <v>28136</v>
      </c>
      <c r="F10691" t="s">
        <v>32665</v>
      </c>
      <c r="G10691" t="s">
        <v>32671</v>
      </c>
      <c r="H10691" t="s">
        <v>12635</v>
      </c>
      <c r="I10691" t="s">
        <v>14442</v>
      </c>
      <c r="J10691" t="s">
        <v>33688</v>
      </c>
      <c r="K10691" t="s">
        <v>42289</v>
      </c>
      <c r="M10691" t="s">
        <v>45774</v>
      </c>
      <c r="N10691" t="s">
        <v>46569</v>
      </c>
      <c r="O10691" t="s">
        <v>46570</v>
      </c>
      <c r="P10691">
        <v>0</v>
      </c>
      <c r="Q10691">
        <v>12</v>
      </c>
      <c r="R10691" t="s">
        <v>46578</v>
      </c>
      <c r="S10691" t="s">
        <v>46874</v>
      </c>
      <c r="T10691" t="s">
        <v>48448</v>
      </c>
      <c r="U10691" t="s">
        <v>57367</v>
      </c>
      <c r="W10691" t="s">
        <v>45774</v>
      </c>
      <c r="X10691" t="s">
        <v>46579</v>
      </c>
    </row>
    <row r="10692" spans="1:24">
      <c r="A10692">
        <f>HYPERLINK("https://www.philgeps.gov.ph/GEPSNONPILOT/Tender/SplashBidNoticeAbstractUI.aspx?menuIndex=3&amp;refID=7051264&amp;Result=3","7051264")</f>
        <v>0</v>
      </c>
      <c r="B10692" t="s">
        <v>477</v>
      </c>
      <c r="C10692" t="s">
        <v>13656</v>
      </c>
      <c r="D10692" t="s">
        <v>18784</v>
      </c>
      <c r="E10692" t="s">
        <v>28137</v>
      </c>
      <c r="F10692" t="s">
        <v>32664</v>
      </c>
      <c r="G10692" t="s">
        <v>32672</v>
      </c>
      <c r="H10692" t="s">
        <v>12635</v>
      </c>
      <c r="I10692" t="s">
        <v>4439</v>
      </c>
      <c r="J10692" t="s">
        <v>33128</v>
      </c>
      <c r="K10692" t="s">
        <v>42309</v>
      </c>
      <c r="M10692" t="s">
        <v>43052</v>
      </c>
      <c r="N10692" t="s">
        <v>46569</v>
      </c>
      <c r="O10692" t="s">
        <v>46570</v>
      </c>
      <c r="P10692">
        <v>0</v>
      </c>
      <c r="Q10692">
        <v>1</v>
      </c>
      <c r="R10692" t="s">
        <v>46578</v>
      </c>
      <c r="S10692" t="s">
        <v>46874</v>
      </c>
      <c r="T10692" t="s">
        <v>48448</v>
      </c>
      <c r="U10692" t="s">
        <v>49627</v>
      </c>
      <c r="W10692" t="s">
        <v>43052</v>
      </c>
      <c r="X10692" t="s">
        <v>46579</v>
      </c>
    </row>
    <row r="10693" spans="1:24">
      <c r="A10693">
        <f>HYPERLINK("https://www.philgeps.gov.ph/GEPSNONPILOT/Tender/SplashBidNoticeAbstractUI.aspx?menuIndex=3&amp;refID=7051228&amp;Result=3","7051228")</f>
        <v>0</v>
      </c>
      <c r="B10693" t="s">
        <v>1201</v>
      </c>
      <c r="C10693" t="s">
        <v>13657</v>
      </c>
      <c r="D10693" t="s">
        <v>18855</v>
      </c>
      <c r="E10693" t="s">
        <v>24366</v>
      </c>
      <c r="F10693" t="s">
        <v>32664</v>
      </c>
      <c r="G10693" t="s">
        <v>32672</v>
      </c>
      <c r="H10693" t="s">
        <v>12635</v>
      </c>
      <c r="I10693" t="s">
        <v>11464</v>
      </c>
      <c r="J10693" t="s">
        <v>34559</v>
      </c>
      <c r="K10693" t="s">
        <v>42281</v>
      </c>
      <c r="M10693" t="s">
        <v>43838</v>
      </c>
      <c r="N10693" t="s">
        <v>46569</v>
      </c>
      <c r="O10693" t="s">
        <v>46570</v>
      </c>
      <c r="P10693">
        <v>0</v>
      </c>
      <c r="Q10693">
        <v>4</v>
      </c>
      <c r="R10693" t="s">
        <v>46578</v>
      </c>
      <c r="S10693" t="s">
        <v>46874</v>
      </c>
      <c r="T10693" t="s">
        <v>48483</v>
      </c>
      <c r="U10693" t="s">
        <v>53644</v>
      </c>
      <c r="W10693" t="s">
        <v>43838</v>
      </c>
      <c r="X10693" t="s">
        <v>46579</v>
      </c>
    </row>
    <row r="10694" spans="1:24">
      <c r="A10694">
        <f>HYPERLINK("https://www.philgeps.gov.ph/GEPSNONPILOT/Tender/SplashBidNoticeAbstractUI.aspx?menuIndex=3&amp;refID=7051218&amp;Result=3","7051218")</f>
        <v>0</v>
      </c>
      <c r="B10694" t="s">
        <v>2922</v>
      </c>
      <c r="C10694" t="s">
        <v>13658</v>
      </c>
      <c r="D10694" t="s">
        <v>18831</v>
      </c>
      <c r="E10694" t="s">
        <v>28138</v>
      </c>
      <c r="F10694" t="s">
        <v>32664</v>
      </c>
      <c r="G10694" t="s">
        <v>32672</v>
      </c>
      <c r="H10694" t="s">
        <v>32683</v>
      </c>
      <c r="I10694" t="s">
        <v>10627</v>
      </c>
      <c r="J10694" t="s">
        <v>39167</v>
      </c>
      <c r="K10694" t="s">
        <v>42397</v>
      </c>
      <c r="L10694" t="s">
        <v>2922</v>
      </c>
      <c r="M10694" t="s">
        <v>45775</v>
      </c>
      <c r="N10694" t="s">
        <v>46569</v>
      </c>
      <c r="O10694" t="s">
        <v>46570</v>
      </c>
      <c r="P10694">
        <v>0</v>
      </c>
      <c r="Q10694">
        <v>0</v>
      </c>
      <c r="R10694" t="s">
        <v>46578</v>
      </c>
      <c r="S10694" t="s">
        <v>46874</v>
      </c>
      <c r="T10694" t="s">
        <v>48212</v>
      </c>
      <c r="U10694" t="s">
        <v>57368</v>
      </c>
      <c r="W10694" t="s">
        <v>45775</v>
      </c>
      <c r="X10694" t="s">
        <v>46579</v>
      </c>
    </row>
    <row r="10695" spans="1:24">
      <c r="A10695">
        <f>HYPERLINK("https://www.philgeps.gov.ph/GEPSNONPILOT/Tender/SplashBidNoticeAbstractUI.aspx?menuIndex=3&amp;refID=7051156&amp;Result=3","7051156")</f>
        <v>0</v>
      </c>
      <c r="B10695" t="s">
        <v>2917</v>
      </c>
      <c r="C10695" t="s">
        <v>13659</v>
      </c>
      <c r="D10695" t="s">
        <v>18781</v>
      </c>
      <c r="E10695" t="s">
        <v>28139</v>
      </c>
      <c r="F10695" t="s">
        <v>32664</v>
      </c>
      <c r="G10695" t="s">
        <v>32672</v>
      </c>
      <c r="H10695" t="s">
        <v>12635</v>
      </c>
      <c r="I10695" t="s">
        <v>6628</v>
      </c>
      <c r="J10695" t="s">
        <v>33267</v>
      </c>
      <c r="K10695" t="s">
        <v>42289</v>
      </c>
      <c r="M10695" t="s">
        <v>45770</v>
      </c>
      <c r="N10695" t="s">
        <v>46569</v>
      </c>
      <c r="O10695" t="s">
        <v>46570</v>
      </c>
      <c r="P10695">
        <v>0</v>
      </c>
      <c r="Q10695">
        <v>3</v>
      </c>
      <c r="R10695" t="s">
        <v>46578</v>
      </c>
      <c r="S10695" t="s">
        <v>46874</v>
      </c>
      <c r="T10695" t="s">
        <v>48276</v>
      </c>
      <c r="U10695" t="s">
        <v>57369</v>
      </c>
      <c r="W10695" t="s">
        <v>45770</v>
      </c>
      <c r="X10695" t="s">
        <v>46579</v>
      </c>
    </row>
    <row r="10696" spans="1:24">
      <c r="A10696">
        <f>HYPERLINK("https://www.philgeps.gov.ph/GEPSNONPILOT/Tender/SplashBidNoticeAbstractUI.aspx?menuIndex=3&amp;refID=7051220&amp;Result=3","7051220")</f>
        <v>0</v>
      </c>
      <c r="B10696" t="s">
        <v>2898</v>
      </c>
      <c r="C10696" t="s">
        <v>13660</v>
      </c>
      <c r="D10696" t="s">
        <v>18805</v>
      </c>
      <c r="E10696" t="s">
        <v>28140</v>
      </c>
      <c r="F10696" t="s">
        <v>32664</v>
      </c>
      <c r="G10696" t="s">
        <v>32672</v>
      </c>
      <c r="H10696" t="s">
        <v>12635</v>
      </c>
      <c r="I10696" t="s">
        <v>32740</v>
      </c>
      <c r="J10696" t="s">
        <v>33119</v>
      </c>
      <c r="K10696" t="s">
        <v>42283</v>
      </c>
      <c r="M10696" t="s">
        <v>45749</v>
      </c>
      <c r="N10696" t="s">
        <v>46569</v>
      </c>
      <c r="O10696" t="s">
        <v>46570</v>
      </c>
      <c r="P10696">
        <v>0</v>
      </c>
      <c r="Q10696">
        <v>0</v>
      </c>
      <c r="R10696" t="s">
        <v>46578</v>
      </c>
      <c r="S10696" t="s">
        <v>46874</v>
      </c>
      <c r="T10696" t="s">
        <v>48668</v>
      </c>
      <c r="U10696" t="s">
        <v>57370</v>
      </c>
      <c r="W10696" t="s">
        <v>45749</v>
      </c>
      <c r="X10696" t="s">
        <v>46579</v>
      </c>
    </row>
    <row r="10697" spans="1:24">
      <c r="A10697">
        <f>HYPERLINK("https://www.philgeps.gov.ph/GEPSNONPILOT/Tender/SplashBidNoticeAbstractUI.aspx?menuIndex=3&amp;refID=7051222&amp;Result=3","7051222")</f>
        <v>0</v>
      </c>
      <c r="B10697" t="s">
        <v>212</v>
      </c>
      <c r="C10697" t="s">
        <v>13661</v>
      </c>
      <c r="D10697" t="s">
        <v>18844</v>
      </c>
      <c r="E10697" t="s">
        <v>28141</v>
      </c>
      <c r="F10697" t="s">
        <v>32664</v>
      </c>
      <c r="G10697" t="s">
        <v>32672</v>
      </c>
      <c r="H10697" t="s">
        <v>32683</v>
      </c>
      <c r="I10697" t="s">
        <v>10627</v>
      </c>
      <c r="J10697" t="s">
        <v>39168</v>
      </c>
      <c r="K10697" t="s">
        <v>42385</v>
      </c>
      <c r="M10697" t="s">
        <v>45764</v>
      </c>
      <c r="N10697" t="s">
        <v>46569</v>
      </c>
      <c r="O10697" t="s">
        <v>46570</v>
      </c>
      <c r="P10697">
        <v>0</v>
      </c>
      <c r="Q10697">
        <v>0</v>
      </c>
      <c r="R10697" t="s">
        <v>46578</v>
      </c>
      <c r="S10697" t="s">
        <v>46874</v>
      </c>
      <c r="T10697" t="s">
        <v>48467</v>
      </c>
      <c r="U10697" t="s">
        <v>57371</v>
      </c>
      <c r="V10697" t="s">
        <v>62767</v>
      </c>
      <c r="W10697" t="s">
        <v>45764</v>
      </c>
      <c r="X10697" t="s">
        <v>46579</v>
      </c>
    </row>
    <row r="10698" spans="1:24">
      <c r="A10698">
        <f>HYPERLINK("https://www.philgeps.gov.ph/GEPSNONPILOT/Tender/SplashBidNoticeAbstractUI.aspx?menuIndex=3&amp;refID=7051285&amp;Result=3","7051285")</f>
        <v>0</v>
      </c>
      <c r="B10698" t="s">
        <v>2923</v>
      </c>
      <c r="C10698" t="s">
        <v>13662</v>
      </c>
      <c r="D10698" t="s">
        <v>18842</v>
      </c>
      <c r="E10698" t="s">
        <v>28142</v>
      </c>
      <c r="F10698" t="s">
        <v>32664</v>
      </c>
      <c r="G10698" t="s">
        <v>32672</v>
      </c>
      <c r="H10698" t="s">
        <v>32683</v>
      </c>
      <c r="I10698" t="s">
        <v>10627</v>
      </c>
      <c r="J10698" t="s">
        <v>39169</v>
      </c>
      <c r="K10698" t="s">
        <v>42305</v>
      </c>
      <c r="M10698" t="s">
        <v>45776</v>
      </c>
      <c r="N10698" t="s">
        <v>46569</v>
      </c>
      <c r="O10698" t="s">
        <v>46570</v>
      </c>
      <c r="P10698">
        <v>0</v>
      </c>
      <c r="Q10698">
        <v>1</v>
      </c>
      <c r="R10698" t="s">
        <v>46578</v>
      </c>
      <c r="S10698" t="s">
        <v>46874</v>
      </c>
      <c r="T10698" t="s">
        <v>48389</v>
      </c>
      <c r="U10698" t="s">
        <v>57372</v>
      </c>
      <c r="V10698" t="s">
        <v>62772</v>
      </c>
      <c r="W10698" t="s">
        <v>45776</v>
      </c>
      <c r="X10698" t="s">
        <v>46579</v>
      </c>
    </row>
    <row r="10699" spans="1:24">
      <c r="A10699">
        <f>HYPERLINK("https://www.philgeps.gov.ph/GEPSNONPILOT/Tender/SplashBidNoticeAbstractUI.aspx?menuIndex=3&amp;refID=7051321&amp;Result=3","7051321")</f>
        <v>0</v>
      </c>
      <c r="B10699" t="s">
        <v>1798</v>
      </c>
      <c r="C10699" t="s">
        <v>13663</v>
      </c>
      <c r="D10699" t="s">
        <v>18858</v>
      </c>
      <c r="E10699" t="s">
        <v>28143</v>
      </c>
      <c r="F10699" t="s">
        <v>32664</v>
      </c>
      <c r="G10699" t="s">
        <v>32672</v>
      </c>
      <c r="H10699" t="s">
        <v>32683</v>
      </c>
      <c r="I10699" t="s">
        <v>10627</v>
      </c>
      <c r="J10699" t="s">
        <v>32981</v>
      </c>
      <c r="K10699" t="s">
        <v>42311</v>
      </c>
      <c r="M10699" t="s">
        <v>44501</v>
      </c>
      <c r="N10699" t="s">
        <v>46569</v>
      </c>
      <c r="O10699" t="s">
        <v>46570</v>
      </c>
      <c r="P10699">
        <v>0</v>
      </c>
      <c r="Q10699">
        <v>0</v>
      </c>
      <c r="R10699" t="s">
        <v>46578</v>
      </c>
      <c r="S10699" t="s">
        <v>46874</v>
      </c>
      <c r="T10699" t="s">
        <v>48213</v>
      </c>
      <c r="U10699" t="s">
        <v>53140</v>
      </c>
      <c r="W10699" t="s">
        <v>44501</v>
      </c>
      <c r="X10699" t="s">
        <v>46579</v>
      </c>
    </row>
    <row r="10700" spans="1:24">
      <c r="A10700">
        <f>HYPERLINK("https://www.philgeps.gov.ph/GEPSNONPILOT/Tender/SplashBidNoticeAbstractUI.aspx?menuIndex=3&amp;refID=7051319&amp;Result=3","7051319")</f>
        <v>0</v>
      </c>
      <c r="B10700" t="s">
        <v>1478</v>
      </c>
      <c r="C10700" t="s">
        <v>13664</v>
      </c>
      <c r="D10700" t="s">
        <v>18853</v>
      </c>
      <c r="E10700" t="s">
        <v>28144</v>
      </c>
      <c r="F10700" t="s">
        <v>32664</v>
      </c>
      <c r="G10700" t="s">
        <v>32672</v>
      </c>
      <c r="H10700" t="s">
        <v>32683</v>
      </c>
      <c r="I10700" t="s">
        <v>10627</v>
      </c>
      <c r="J10700" t="s">
        <v>39170</v>
      </c>
      <c r="K10700" t="s">
        <v>42400</v>
      </c>
      <c r="M10700" t="s">
        <v>44141</v>
      </c>
      <c r="N10700" t="s">
        <v>46569</v>
      </c>
      <c r="O10700" t="s">
        <v>46570</v>
      </c>
      <c r="P10700">
        <v>0</v>
      </c>
      <c r="Q10700">
        <v>0</v>
      </c>
      <c r="R10700" t="s">
        <v>46578</v>
      </c>
      <c r="S10700" t="s">
        <v>46874</v>
      </c>
      <c r="T10700" t="s">
        <v>48285</v>
      </c>
      <c r="U10700" t="s">
        <v>52065</v>
      </c>
      <c r="W10700" t="s">
        <v>44141</v>
      </c>
      <c r="X10700" t="s">
        <v>46579</v>
      </c>
    </row>
    <row r="10701" spans="1:24">
      <c r="A10701">
        <f>HYPERLINK("https://www.philgeps.gov.ph/GEPSNONPILOT/Tender/SplashBidNoticeAbstractUI.aspx?menuIndex=3&amp;refID=7051215&amp;Result=3","7051215")</f>
        <v>0</v>
      </c>
      <c r="B10701" t="s">
        <v>2924</v>
      </c>
      <c r="C10701" t="s">
        <v>13665</v>
      </c>
      <c r="D10701" t="s">
        <v>18842</v>
      </c>
      <c r="E10701" t="s">
        <v>28145</v>
      </c>
      <c r="F10701" t="s">
        <v>32664</v>
      </c>
      <c r="G10701" t="s">
        <v>32672</v>
      </c>
      <c r="H10701" t="s">
        <v>12635</v>
      </c>
      <c r="I10701" t="s">
        <v>11464</v>
      </c>
      <c r="J10701" t="s">
        <v>39171</v>
      </c>
      <c r="K10701" t="s">
        <v>42281</v>
      </c>
      <c r="M10701" t="s">
        <v>45777</v>
      </c>
      <c r="N10701" t="s">
        <v>46569</v>
      </c>
      <c r="O10701" t="s">
        <v>46570</v>
      </c>
      <c r="P10701">
        <v>0</v>
      </c>
      <c r="Q10701">
        <v>3</v>
      </c>
      <c r="R10701" t="s">
        <v>46578</v>
      </c>
      <c r="S10701" t="s">
        <v>46874</v>
      </c>
      <c r="T10701" t="s">
        <v>48346</v>
      </c>
      <c r="U10701" t="s">
        <v>57373</v>
      </c>
      <c r="W10701" t="s">
        <v>45777</v>
      </c>
      <c r="X10701" t="s">
        <v>46579</v>
      </c>
    </row>
    <row r="10702" spans="1:24">
      <c r="A10702">
        <f>HYPERLINK("https://www.philgeps.gov.ph/GEPSNONPILOT/Tender/SplashBidNoticeAbstractUI.aspx?menuIndex=3&amp;refID=7051315&amp;Result=3","7051315")</f>
        <v>0</v>
      </c>
      <c r="B10702" t="s">
        <v>2285</v>
      </c>
      <c r="C10702" t="s">
        <v>13666</v>
      </c>
      <c r="D10702" t="s">
        <v>18784</v>
      </c>
      <c r="E10702" t="s">
        <v>28146</v>
      </c>
      <c r="F10702" t="s">
        <v>32664</v>
      </c>
      <c r="G10702" t="s">
        <v>32672</v>
      </c>
      <c r="H10702" t="s">
        <v>12635</v>
      </c>
      <c r="I10702" t="s">
        <v>9597</v>
      </c>
      <c r="J10702" t="s">
        <v>36102</v>
      </c>
      <c r="K10702" t="s">
        <v>42309</v>
      </c>
      <c r="M10702" t="s">
        <v>45055</v>
      </c>
      <c r="N10702" t="s">
        <v>46569</v>
      </c>
      <c r="O10702" t="s">
        <v>46570</v>
      </c>
      <c r="P10702">
        <v>0</v>
      </c>
      <c r="Q10702">
        <v>5</v>
      </c>
      <c r="R10702" t="s">
        <v>46578</v>
      </c>
      <c r="S10702" t="s">
        <v>46874</v>
      </c>
      <c r="T10702" t="s">
        <v>48448</v>
      </c>
      <c r="U10702" t="s">
        <v>49627</v>
      </c>
      <c r="W10702" t="s">
        <v>45055</v>
      </c>
      <c r="X10702" t="s">
        <v>46579</v>
      </c>
    </row>
    <row r="10703" spans="1:24">
      <c r="A10703">
        <f>HYPERLINK("https://www.philgeps.gov.ph/GEPSNONPILOT/Tender/SplashBidNoticeAbstractUI.aspx?menuIndex=3&amp;refID=7051270&amp;Result=3","7051270")</f>
        <v>0</v>
      </c>
      <c r="B10703" t="s">
        <v>212</v>
      </c>
      <c r="C10703" t="s">
        <v>13667</v>
      </c>
      <c r="D10703" t="s">
        <v>18844</v>
      </c>
      <c r="E10703" t="s">
        <v>28147</v>
      </c>
      <c r="F10703" t="s">
        <v>32664</v>
      </c>
      <c r="G10703" t="s">
        <v>32672</v>
      </c>
      <c r="H10703" t="s">
        <v>32683</v>
      </c>
      <c r="I10703" t="s">
        <v>10627</v>
      </c>
      <c r="J10703" t="s">
        <v>39172</v>
      </c>
      <c r="K10703" t="s">
        <v>42381</v>
      </c>
      <c r="M10703" t="s">
        <v>45764</v>
      </c>
      <c r="N10703" t="s">
        <v>46569</v>
      </c>
      <c r="O10703" t="s">
        <v>46570</v>
      </c>
      <c r="P10703">
        <v>0</v>
      </c>
      <c r="Q10703">
        <v>0</v>
      </c>
      <c r="R10703" t="s">
        <v>46578</v>
      </c>
      <c r="S10703" t="s">
        <v>46874</v>
      </c>
      <c r="T10703" t="s">
        <v>48467</v>
      </c>
      <c r="U10703" t="s">
        <v>57374</v>
      </c>
      <c r="V10703" t="s">
        <v>62773</v>
      </c>
      <c r="W10703" t="s">
        <v>45764</v>
      </c>
      <c r="X10703" t="s">
        <v>46579</v>
      </c>
    </row>
    <row r="10704" spans="1:24">
      <c r="A10704">
        <f>HYPERLINK("https://www.philgeps.gov.ph/GEPSNONPILOT/Tender/SplashBidNoticeAbstractUI.aspx?menuIndex=3&amp;refID=7051274&amp;Result=3","7051274")</f>
        <v>0</v>
      </c>
      <c r="B10704" t="s">
        <v>1478</v>
      </c>
      <c r="C10704" t="s">
        <v>13668</v>
      </c>
      <c r="D10704" t="s">
        <v>18853</v>
      </c>
      <c r="E10704" t="s">
        <v>28148</v>
      </c>
      <c r="F10704" t="s">
        <v>32664</v>
      </c>
      <c r="G10704" t="s">
        <v>32672</v>
      </c>
      <c r="H10704" t="s">
        <v>32683</v>
      </c>
      <c r="I10704" t="s">
        <v>10627</v>
      </c>
      <c r="J10704" t="s">
        <v>39173</v>
      </c>
      <c r="K10704" t="s">
        <v>42420</v>
      </c>
      <c r="M10704" t="s">
        <v>44141</v>
      </c>
      <c r="N10704" t="s">
        <v>46569</v>
      </c>
      <c r="O10704" t="s">
        <v>46570</v>
      </c>
      <c r="P10704">
        <v>0</v>
      </c>
      <c r="Q10704">
        <v>0</v>
      </c>
      <c r="R10704" t="s">
        <v>46578</v>
      </c>
      <c r="S10704" t="s">
        <v>46874</v>
      </c>
      <c r="T10704" t="s">
        <v>48285</v>
      </c>
      <c r="U10704" t="s">
        <v>52065</v>
      </c>
      <c r="W10704" t="s">
        <v>44141</v>
      </c>
      <c r="X10704" t="s">
        <v>46579</v>
      </c>
    </row>
    <row r="10705" spans="1:24">
      <c r="A10705">
        <f>HYPERLINK("https://www.philgeps.gov.ph/GEPSNONPILOT/Tender/SplashBidNoticeAbstractUI.aspx?menuIndex=3&amp;refID=7051313&amp;Result=3","7051313")</f>
        <v>0</v>
      </c>
      <c r="B10705" t="s">
        <v>794</v>
      </c>
      <c r="C10705" t="s">
        <v>13669</v>
      </c>
      <c r="D10705" t="s">
        <v>18806</v>
      </c>
      <c r="E10705" t="s">
        <v>28149</v>
      </c>
      <c r="F10705" t="s">
        <v>32664</v>
      </c>
      <c r="G10705" t="s">
        <v>32672</v>
      </c>
      <c r="H10705" t="s">
        <v>12635</v>
      </c>
      <c r="I10705" t="s">
        <v>32699</v>
      </c>
      <c r="J10705" t="s">
        <v>39174</v>
      </c>
      <c r="K10705" t="s">
        <v>42297</v>
      </c>
      <c r="M10705" t="s">
        <v>45564</v>
      </c>
      <c r="N10705" t="s">
        <v>46569</v>
      </c>
      <c r="O10705" t="s">
        <v>46570</v>
      </c>
      <c r="P10705">
        <v>0</v>
      </c>
      <c r="Q10705">
        <v>3</v>
      </c>
      <c r="R10705" t="s">
        <v>46578</v>
      </c>
      <c r="S10705" t="s">
        <v>46874</v>
      </c>
      <c r="T10705" t="s">
        <v>48449</v>
      </c>
      <c r="U10705" t="s">
        <v>57375</v>
      </c>
      <c r="W10705" t="s">
        <v>45564</v>
      </c>
      <c r="X10705" t="s">
        <v>46579</v>
      </c>
    </row>
    <row r="10706" spans="1:24">
      <c r="A10706">
        <f>HYPERLINK("https://www.philgeps.gov.ph/GEPSNONPILOT/Tender/SplashBidNoticeAbstractUI.aspx?menuIndex=3&amp;refID=7051320&amp;Result=3","7051320")</f>
        <v>0</v>
      </c>
      <c r="B10706" t="s">
        <v>2925</v>
      </c>
      <c r="C10706" t="s">
        <v>13670</v>
      </c>
      <c r="D10706" t="s">
        <v>18781</v>
      </c>
      <c r="E10706" t="s">
        <v>18926</v>
      </c>
      <c r="F10706" t="s">
        <v>32664</v>
      </c>
      <c r="G10706" t="s">
        <v>32672</v>
      </c>
      <c r="H10706" t="s">
        <v>32683</v>
      </c>
      <c r="I10706" t="s">
        <v>10627</v>
      </c>
      <c r="J10706" t="s">
        <v>39175</v>
      </c>
      <c r="K10706" t="s">
        <v>42325</v>
      </c>
      <c r="M10706" t="s">
        <v>45778</v>
      </c>
      <c r="N10706" t="s">
        <v>46569</v>
      </c>
      <c r="O10706" t="s">
        <v>46570</v>
      </c>
      <c r="P10706">
        <v>0</v>
      </c>
      <c r="Q10706">
        <v>0</v>
      </c>
      <c r="R10706" t="s">
        <v>46578</v>
      </c>
      <c r="S10706" t="s">
        <v>46874</v>
      </c>
      <c r="T10706" t="s">
        <v>48290</v>
      </c>
      <c r="U10706" t="s">
        <v>57376</v>
      </c>
      <c r="W10706" t="s">
        <v>45778</v>
      </c>
      <c r="X10706" t="s">
        <v>46579</v>
      </c>
    </row>
    <row r="10707" spans="1:24">
      <c r="A10707">
        <f>HYPERLINK("https://www.philgeps.gov.ph/GEPSNONPILOT/Tender/SplashBidNoticeAbstractUI.aspx?menuIndex=3&amp;refID=7051180&amp;Result=3","7051180")</f>
        <v>0</v>
      </c>
      <c r="B10707" t="s">
        <v>1281</v>
      </c>
      <c r="C10707" t="s">
        <v>13671</v>
      </c>
      <c r="D10707" t="s">
        <v>18837</v>
      </c>
      <c r="E10707" t="s">
        <v>28150</v>
      </c>
      <c r="F10707" t="s">
        <v>32664</v>
      </c>
      <c r="G10707" t="s">
        <v>32672</v>
      </c>
      <c r="H10707" t="s">
        <v>32683</v>
      </c>
      <c r="I10707" t="s">
        <v>10627</v>
      </c>
      <c r="J10707" t="s">
        <v>39176</v>
      </c>
      <c r="K10707" t="s">
        <v>42314</v>
      </c>
      <c r="M10707" t="s">
        <v>43924</v>
      </c>
      <c r="N10707" t="s">
        <v>46569</v>
      </c>
      <c r="O10707" t="s">
        <v>46570</v>
      </c>
      <c r="P10707">
        <v>0</v>
      </c>
      <c r="Q10707">
        <v>2</v>
      </c>
      <c r="R10707" t="s">
        <v>46578</v>
      </c>
      <c r="S10707" t="s">
        <v>46874</v>
      </c>
      <c r="T10707" t="s">
        <v>48212</v>
      </c>
      <c r="U10707" t="s">
        <v>57377</v>
      </c>
      <c r="V10707" t="s">
        <v>62769</v>
      </c>
      <c r="W10707" t="s">
        <v>43924</v>
      </c>
      <c r="X10707" t="s">
        <v>46579</v>
      </c>
    </row>
    <row r="10708" spans="1:24">
      <c r="A10708">
        <f>HYPERLINK("https://www.philgeps.gov.ph/GEPSNONPILOT/Tender/SplashBidNoticeAbstractUI.aspx?menuIndex=3&amp;refID=7051329&amp;Result=3","7051329")</f>
        <v>0</v>
      </c>
      <c r="B10708" t="s">
        <v>306</v>
      </c>
      <c r="C10708" t="s">
        <v>13672</v>
      </c>
      <c r="D10708" t="s">
        <v>18829</v>
      </c>
      <c r="E10708" t="s">
        <v>28151</v>
      </c>
      <c r="F10708" t="s">
        <v>32664</v>
      </c>
      <c r="G10708" t="s">
        <v>32678</v>
      </c>
      <c r="H10708" t="s">
        <v>12635</v>
      </c>
      <c r="I10708" t="s">
        <v>32747</v>
      </c>
      <c r="J10708" t="s">
        <v>32984</v>
      </c>
      <c r="K10708" t="s">
        <v>42283</v>
      </c>
      <c r="M10708" t="s">
        <v>42873</v>
      </c>
      <c r="N10708" t="s">
        <v>46569</v>
      </c>
      <c r="O10708" t="s">
        <v>46570</v>
      </c>
      <c r="P10708">
        <v>0</v>
      </c>
      <c r="Q10708">
        <v>2</v>
      </c>
      <c r="R10708" t="s">
        <v>46578</v>
      </c>
      <c r="S10708" t="s">
        <v>46874</v>
      </c>
      <c r="T10708" t="s">
        <v>48578</v>
      </c>
      <c r="U10708" t="s">
        <v>57378</v>
      </c>
      <c r="V10708" t="s">
        <v>62582</v>
      </c>
      <c r="W10708" t="s">
        <v>42873</v>
      </c>
      <c r="X10708" t="s">
        <v>46579</v>
      </c>
    </row>
    <row r="10709" spans="1:24">
      <c r="A10709">
        <f>HYPERLINK("https://www.philgeps.gov.ph/GEPSNONPILOT/Tender/SplashBidNoticeAbstractUI.aspx?menuIndex=3&amp;refID=7051327&amp;Result=3","7051327")</f>
        <v>0</v>
      </c>
      <c r="B10709" t="s">
        <v>212</v>
      </c>
      <c r="C10709" t="s">
        <v>13673</v>
      </c>
      <c r="D10709" t="s">
        <v>18844</v>
      </c>
      <c r="E10709" t="s">
        <v>28152</v>
      </c>
      <c r="F10709" t="s">
        <v>32664</v>
      </c>
      <c r="G10709" t="s">
        <v>32672</v>
      </c>
      <c r="H10709" t="s">
        <v>32683</v>
      </c>
      <c r="I10709" t="s">
        <v>10627</v>
      </c>
      <c r="J10709" t="s">
        <v>39177</v>
      </c>
      <c r="K10709" t="s">
        <v>42423</v>
      </c>
      <c r="M10709" t="s">
        <v>45764</v>
      </c>
      <c r="N10709" t="s">
        <v>46569</v>
      </c>
      <c r="O10709" t="s">
        <v>46570</v>
      </c>
      <c r="P10709">
        <v>0</v>
      </c>
      <c r="Q10709">
        <v>0</v>
      </c>
      <c r="R10709" t="s">
        <v>46578</v>
      </c>
      <c r="S10709" t="s">
        <v>46874</v>
      </c>
      <c r="T10709" t="s">
        <v>48467</v>
      </c>
      <c r="U10709" t="s">
        <v>57379</v>
      </c>
      <c r="V10709" t="s">
        <v>62774</v>
      </c>
      <c r="W10709" t="s">
        <v>45764</v>
      </c>
      <c r="X10709" t="s">
        <v>46579</v>
      </c>
    </row>
    <row r="10710" spans="1:24">
      <c r="A10710">
        <f>HYPERLINK("https://www.philgeps.gov.ph/GEPSNONPILOT/Tender/SplashBidNoticeAbstractUI.aspx?menuIndex=3&amp;refID=7051323&amp;Result=3","7051323")</f>
        <v>0</v>
      </c>
      <c r="B10710" t="s">
        <v>2923</v>
      </c>
      <c r="C10710" t="s">
        <v>13674</v>
      </c>
      <c r="D10710" t="s">
        <v>18842</v>
      </c>
      <c r="E10710" t="s">
        <v>28153</v>
      </c>
      <c r="F10710" t="s">
        <v>32664</v>
      </c>
      <c r="G10710" t="s">
        <v>32672</v>
      </c>
      <c r="H10710" t="s">
        <v>32683</v>
      </c>
      <c r="I10710" t="s">
        <v>10627</v>
      </c>
      <c r="J10710" t="s">
        <v>32943</v>
      </c>
      <c r="K10710" t="s">
        <v>42311</v>
      </c>
      <c r="M10710" t="s">
        <v>45776</v>
      </c>
      <c r="N10710" t="s">
        <v>46569</v>
      </c>
      <c r="O10710" t="s">
        <v>46570</v>
      </c>
      <c r="P10710">
        <v>0</v>
      </c>
      <c r="Q10710">
        <v>0</v>
      </c>
      <c r="R10710" t="s">
        <v>46578</v>
      </c>
      <c r="S10710" t="s">
        <v>46874</v>
      </c>
      <c r="T10710" t="s">
        <v>48212</v>
      </c>
      <c r="U10710" t="s">
        <v>53143</v>
      </c>
      <c r="V10710" t="s">
        <v>62775</v>
      </c>
      <c r="W10710" t="s">
        <v>45776</v>
      </c>
      <c r="X10710" t="s">
        <v>46579</v>
      </c>
    </row>
    <row r="10711" spans="1:24">
      <c r="A10711">
        <f>HYPERLINK("https://www.philgeps.gov.ph/GEPSNONPILOT/Tender/SplashBidNoticeAbstractUI.aspx?menuIndex=3&amp;refID=7051304&amp;Result=3","7051304")</f>
        <v>0</v>
      </c>
      <c r="B10711" t="s">
        <v>1281</v>
      </c>
      <c r="C10711" t="s">
        <v>13675</v>
      </c>
      <c r="D10711" t="s">
        <v>18837</v>
      </c>
      <c r="E10711" t="s">
        <v>28154</v>
      </c>
      <c r="F10711" t="s">
        <v>32664</v>
      </c>
      <c r="G10711" t="s">
        <v>32672</v>
      </c>
      <c r="H10711" t="s">
        <v>32683</v>
      </c>
      <c r="I10711" t="s">
        <v>10627</v>
      </c>
      <c r="J10711" t="s">
        <v>39178</v>
      </c>
      <c r="K10711" t="s">
        <v>42482</v>
      </c>
      <c r="M10711" t="s">
        <v>43924</v>
      </c>
      <c r="N10711" t="s">
        <v>46569</v>
      </c>
      <c r="O10711" t="s">
        <v>46570</v>
      </c>
      <c r="P10711">
        <v>0</v>
      </c>
      <c r="Q10711">
        <v>1</v>
      </c>
      <c r="R10711" t="s">
        <v>46578</v>
      </c>
      <c r="S10711" t="s">
        <v>46874</v>
      </c>
      <c r="T10711" t="s">
        <v>48212</v>
      </c>
      <c r="U10711" t="s">
        <v>57380</v>
      </c>
      <c r="V10711" t="s">
        <v>62769</v>
      </c>
      <c r="W10711" t="s">
        <v>43924</v>
      </c>
      <c r="X10711" t="s">
        <v>46579</v>
      </c>
    </row>
    <row r="10712" spans="1:24">
      <c r="A10712">
        <f>HYPERLINK("https://www.philgeps.gov.ph/GEPSNONPILOT/Tender/SplashBidNoticeAbstractUI.aspx?menuIndex=3&amp;refID=7051308&amp;Result=3","7051308")</f>
        <v>0</v>
      </c>
      <c r="B10712" t="s">
        <v>556</v>
      </c>
      <c r="C10712" t="s">
        <v>13676</v>
      </c>
      <c r="D10712" t="s">
        <v>18843</v>
      </c>
      <c r="E10712" t="s">
        <v>28155</v>
      </c>
      <c r="F10712" t="s">
        <v>32664</v>
      </c>
      <c r="G10712" t="s">
        <v>32672</v>
      </c>
      <c r="H10712" t="s">
        <v>12635</v>
      </c>
      <c r="I10712" t="s">
        <v>32694</v>
      </c>
      <c r="J10712" t="s">
        <v>39179</v>
      </c>
      <c r="K10712" t="s">
        <v>42284</v>
      </c>
      <c r="M10712" t="s">
        <v>43136</v>
      </c>
      <c r="N10712" t="s">
        <v>46569</v>
      </c>
      <c r="O10712" t="s">
        <v>46570</v>
      </c>
      <c r="P10712">
        <v>0</v>
      </c>
      <c r="Q10712">
        <v>0</v>
      </c>
      <c r="R10712" t="s">
        <v>46578</v>
      </c>
      <c r="S10712" t="s">
        <v>46874</v>
      </c>
      <c r="T10712" t="s">
        <v>48293</v>
      </c>
      <c r="U10712" t="s">
        <v>57381</v>
      </c>
      <c r="V10712" t="s">
        <v>62776</v>
      </c>
      <c r="W10712" t="s">
        <v>43136</v>
      </c>
      <c r="X10712" t="s">
        <v>46579</v>
      </c>
    </row>
    <row r="10713" spans="1:24">
      <c r="A10713">
        <f>HYPERLINK("https://www.philgeps.gov.ph/GEPSNONPILOT/Tender/SplashBidNoticeAbstractUI.aspx?menuIndex=3&amp;refID=7051312&amp;Result=3","7051312")</f>
        <v>0</v>
      </c>
      <c r="B10713" t="s">
        <v>2926</v>
      </c>
      <c r="C10713" t="s">
        <v>13677</v>
      </c>
      <c r="D10713" t="s">
        <v>18802</v>
      </c>
      <c r="E10713" t="s">
        <v>28156</v>
      </c>
      <c r="F10713" t="s">
        <v>32664</v>
      </c>
      <c r="G10713" t="s">
        <v>32672</v>
      </c>
      <c r="H10713" t="s">
        <v>12635</v>
      </c>
      <c r="I10713" t="s">
        <v>4439</v>
      </c>
      <c r="J10713" t="s">
        <v>39180</v>
      </c>
      <c r="K10713" t="s">
        <v>42283</v>
      </c>
      <c r="M10713" t="s">
        <v>45779</v>
      </c>
      <c r="N10713" t="s">
        <v>46569</v>
      </c>
      <c r="O10713" t="s">
        <v>46570</v>
      </c>
      <c r="P10713">
        <v>0</v>
      </c>
      <c r="Q10713">
        <v>0</v>
      </c>
      <c r="R10713" t="s">
        <v>46578</v>
      </c>
      <c r="S10713" t="s">
        <v>46874</v>
      </c>
      <c r="T10713" t="s">
        <v>48363</v>
      </c>
      <c r="U10713" t="s">
        <v>57382</v>
      </c>
      <c r="V10713" t="s">
        <v>62777</v>
      </c>
      <c r="W10713" t="s">
        <v>45779</v>
      </c>
      <c r="X10713" t="s">
        <v>46579</v>
      </c>
    </row>
    <row r="10714" spans="1:24">
      <c r="A10714">
        <f>HYPERLINK("https://www.philgeps.gov.ph/GEPSNONPILOT/Tender/SplashBidNoticeAbstractUI.aspx?menuIndex=3&amp;refID=7051295&amp;Result=3","7051295")</f>
        <v>0</v>
      </c>
      <c r="B10714" t="s">
        <v>556</v>
      </c>
      <c r="C10714" t="s">
        <v>13678</v>
      </c>
      <c r="D10714" t="s">
        <v>18843</v>
      </c>
      <c r="E10714" t="s">
        <v>28157</v>
      </c>
      <c r="F10714" t="s">
        <v>32664</v>
      </c>
      <c r="G10714" t="s">
        <v>32672</v>
      </c>
      <c r="H10714" t="s">
        <v>12635</v>
      </c>
      <c r="I10714" t="s">
        <v>8797</v>
      </c>
      <c r="J10714" t="s">
        <v>39181</v>
      </c>
      <c r="K10714" t="s">
        <v>42284</v>
      </c>
      <c r="M10714" t="s">
        <v>43136</v>
      </c>
      <c r="N10714" t="s">
        <v>46569</v>
      </c>
      <c r="O10714" t="s">
        <v>46570</v>
      </c>
      <c r="P10714">
        <v>0</v>
      </c>
      <c r="Q10714">
        <v>1</v>
      </c>
      <c r="R10714" t="s">
        <v>46578</v>
      </c>
      <c r="S10714" t="s">
        <v>46874</v>
      </c>
      <c r="T10714" t="s">
        <v>48293</v>
      </c>
      <c r="U10714" t="s">
        <v>57383</v>
      </c>
      <c r="V10714" t="s">
        <v>62778</v>
      </c>
      <c r="W10714" t="s">
        <v>43136</v>
      </c>
      <c r="X10714" t="s">
        <v>46579</v>
      </c>
    </row>
    <row r="10715" spans="1:24">
      <c r="A10715">
        <f>HYPERLINK("https://www.philgeps.gov.ph/GEPSNONPILOT/Tender/SplashBidNoticeAbstractUI.aspx?menuIndex=3&amp;refID=7051292&amp;Result=3","7051292")</f>
        <v>0</v>
      </c>
      <c r="B10715" t="s">
        <v>1937</v>
      </c>
      <c r="C10715" t="s">
        <v>13679</v>
      </c>
      <c r="D10715" t="s">
        <v>18782</v>
      </c>
      <c r="E10715" t="s">
        <v>28158</v>
      </c>
      <c r="F10715" t="s">
        <v>32664</v>
      </c>
      <c r="G10715" t="s">
        <v>32672</v>
      </c>
      <c r="H10715" t="s">
        <v>12635</v>
      </c>
      <c r="I10715" t="s">
        <v>8958</v>
      </c>
      <c r="J10715" t="s">
        <v>39182</v>
      </c>
      <c r="K10715" t="s">
        <v>42281</v>
      </c>
      <c r="M10715" t="s">
        <v>45780</v>
      </c>
      <c r="N10715" t="s">
        <v>46569</v>
      </c>
      <c r="O10715" t="s">
        <v>46570</v>
      </c>
      <c r="P10715">
        <v>0</v>
      </c>
      <c r="Q10715">
        <v>5</v>
      </c>
      <c r="R10715" t="s">
        <v>46578</v>
      </c>
      <c r="S10715" t="s">
        <v>46874</v>
      </c>
      <c r="T10715" t="s">
        <v>48221</v>
      </c>
      <c r="U10715" t="s">
        <v>57384</v>
      </c>
      <c r="W10715" t="s">
        <v>45780</v>
      </c>
      <c r="X10715" t="s">
        <v>46579</v>
      </c>
    </row>
    <row r="10716" spans="1:24">
      <c r="A10716">
        <f>HYPERLINK("https://www.philgeps.gov.ph/GEPSNONPILOT/Tender/SplashBidNoticeAbstractUI.aspx?menuIndex=3&amp;refID=7051346&amp;Result=3","7051346")</f>
        <v>0</v>
      </c>
      <c r="B10716" t="s">
        <v>1281</v>
      </c>
      <c r="C10716" t="s">
        <v>13680</v>
      </c>
      <c r="D10716" t="s">
        <v>18837</v>
      </c>
      <c r="E10716" t="s">
        <v>28159</v>
      </c>
      <c r="F10716" t="s">
        <v>32664</v>
      </c>
      <c r="G10716" t="s">
        <v>32672</v>
      </c>
      <c r="H10716" t="s">
        <v>32683</v>
      </c>
      <c r="I10716" t="s">
        <v>10627</v>
      </c>
      <c r="J10716" t="s">
        <v>39183</v>
      </c>
      <c r="K10716" t="s">
        <v>42369</v>
      </c>
      <c r="M10716" t="s">
        <v>43924</v>
      </c>
      <c r="N10716" t="s">
        <v>46569</v>
      </c>
      <c r="O10716" t="s">
        <v>46570</v>
      </c>
      <c r="Q10716">
        <v>1</v>
      </c>
      <c r="R10716" t="s">
        <v>46578</v>
      </c>
      <c r="S10716" t="s">
        <v>46907</v>
      </c>
      <c r="T10716" t="s">
        <v>48212</v>
      </c>
      <c r="U10716" t="s">
        <v>57385</v>
      </c>
      <c r="V10716" t="s">
        <v>62769</v>
      </c>
      <c r="W10716" t="s">
        <v>43924</v>
      </c>
      <c r="X10716" t="s">
        <v>46579</v>
      </c>
    </row>
    <row r="10717" spans="1:24">
      <c r="A10717">
        <f>HYPERLINK("https://www.philgeps.gov.ph/GEPSNONPILOT/Tender/SplashBidNoticeAbstractUI.aspx?menuIndex=3&amp;refID=7051324&amp;Result=3","7051324")</f>
        <v>0</v>
      </c>
      <c r="B10717" t="s">
        <v>576</v>
      </c>
      <c r="C10717" t="s">
        <v>13681</v>
      </c>
      <c r="D10717" t="s">
        <v>18804</v>
      </c>
      <c r="E10717" t="s">
        <v>28160</v>
      </c>
      <c r="F10717" t="s">
        <v>32664</v>
      </c>
      <c r="G10717" t="s">
        <v>32672</v>
      </c>
      <c r="H10717" t="s">
        <v>12635</v>
      </c>
      <c r="I10717" t="s">
        <v>6223</v>
      </c>
      <c r="J10717" t="s">
        <v>39184</v>
      </c>
      <c r="K10717" t="s">
        <v>42297</v>
      </c>
      <c r="M10717" t="s">
        <v>43156</v>
      </c>
      <c r="N10717" t="s">
        <v>46569</v>
      </c>
      <c r="O10717" t="s">
        <v>46570</v>
      </c>
      <c r="P10717">
        <v>0</v>
      </c>
      <c r="Q10717">
        <v>0</v>
      </c>
      <c r="R10717" t="s">
        <v>46578</v>
      </c>
      <c r="S10717" t="s">
        <v>46874</v>
      </c>
      <c r="T10717" t="s">
        <v>48468</v>
      </c>
      <c r="U10717" t="s">
        <v>57386</v>
      </c>
      <c r="W10717" t="s">
        <v>43156</v>
      </c>
      <c r="X10717" t="s">
        <v>46579</v>
      </c>
    </row>
    <row r="10718" spans="1:24">
      <c r="A10718">
        <f>HYPERLINK("https://www.philgeps.gov.ph/GEPSNONPILOT/Tender/SplashBidNoticeAbstractUI.aspx?menuIndex=3&amp;refID=7051407&amp;Result=3","7051407")</f>
        <v>0</v>
      </c>
      <c r="B10718" t="s">
        <v>329</v>
      </c>
      <c r="C10718" t="s">
        <v>13682</v>
      </c>
      <c r="D10718" t="s">
        <v>18806</v>
      </c>
      <c r="E10718" t="s">
        <v>28161</v>
      </c>
      <c r="F10718" t="s">
        <v>32664</v>
      </c>
      <c r="G10718" t="s">
        <v>32672</v>
      </c>
      <c r="H10718" t="s">
        <v>12635</v>
      </c>
      <c r="I10718" t="s">
        <v>4333</v>
      </c>
      <c r="J10718" t="s">
        <v>37521</v>
      </c>
      <c r="K10718" t="s">
        <v>42297</v>
      </c>
      <c r="M10718" t="s">
        <v>42897</v>
      </c>
      <c r="N10718" t="s">
        <v>46569</v>
      </c>
      <c r="O10718" t="s">
        <v>46570</v>
      </c>
      <c r="P10718">
        <v>0</v>
      </c>
      <c r="Q10718">
        <v>3</v>
      </c>
      <c r="R10718" t="s">
        <v>46578</v>
      </c>
      <c r="S10718" t="s">
        <v>46874</v>
      </c>
      <c r="T10718" t="s">
        <v>48334</v>
      </c>
      <c r="U10718" t="s">
        <v>57294</v>
      </c>
      <c r="W10718" t="s">
        <v>42897</v>
      </c>
      <c r="X10718" t="s">
        <v>46579</v>
      </c>
    </row>
    <row r="10719" spans="1:24">
      <c r="A10719">
        <f>HYPERLINK("https://www.philgeps.gov.ph/GEPSNONPILOT/Tender/SplashBidNoticeAbstractUI.aspx?menuIndex=3&amp;refID=7051318&amp;Result=3","7051318")</f>
        <v>0</v>
      </c>
      <c r="B10719" t="s">
        <v>100</v>
      </c>
      <c r="C10719" t="s">
        <v>13683</v>
      </c>
      <c r="E10719" t="s">
        <v>28162</v>
      </c>
      <c r="F10719" t="s">
        <v>32664</v>
      </c>
      <c r="G10719" t="s">
        <v>32672</v>
      </c>
      <c r="H10719" t="s">
        <v>12635</v>
      </c>
      <c r="I10719" t="s">
        <v>5589</v>
      </c>
      <c r="J10719" t="s">
        <v>39185</v>
      </c>
      <c r="K10719" t="s">
        <v>42305</v>
      </c>
      <c r="M10719" t="s">
        <v>42663</v>
      </c>
      <c r="N10719" t="s">
        <v>46569</v>
      </c>
      <c r="O10719" t="s">
        <v>46570</v>
      </c>
      <c r="P10719">
        <v>0</v>
      </c>
      <c r="Q10719">
        <v>28</v>
      </c>
      <c r="R10719" t="s">
        <v>46578</v>
      </c>
      <c r="S10719" t="s">
        <v>46874</v>
      </c>
      <c r="T10719" t="s">
        <v>48394</v>
      </c>
      <c r="U10719" t="s">
        <v>57387</v>
      </c>
      <c r="W10719" t="s">
        <v>42663</v>
      </c>
      <c r="X10719" t="s">
        <v>46579</v>
      </c>
    </row>
    <row r="10720" spans="1:24">
      <c r="A10720">
        <f>HYPERLINK("https://www.philgeps.gov.ph/GEPSNONPILOT/Tender/SplashBidNoticeAbstractUI.aspx?menuIndex=3&amp;refID=7051296&amp;Result=3","7051296")</f>
        <v>0</v>
      </c>
      <c r="B10720" t="s">
        <v>2534</v>
      </c>
      <c r="C10720" t="s">
        <v>5801</v>
      </c>
      <c r="D10720" t="s">
        <v>18783</v>
      </c>
      <c r="E10720" t="s">
        <v>28163</v>
      </c>
      <c r="F10720" t="s">
        <v>32664</v>
      </c>
      <c r="G10720" t="s">
        <v>32672</v>
      </c>
      <c r="H10720" t="s">
        <v>12635</v>
      </c>
      <c r="I10720" t="s">
        <v>8797</v>
      </c>
      <c r="J10720" t="s">
        <v>39186</v>
      </c>
      <c r="K10720" t="s">
        <v>42289</v>
      </c>
      <c r="M10720" t="s">
        <v>45342</v>
      </c>
      <c r="N10720" t="s">
        <v>46569</v>
      </c>
      <c r="O10720" t="s">
        <v>46570</v>
      </c>
      <c r="P10720">
        <v>0</v>
      </c>
      <c r="Q10720">
        <v>1</v>
      </c>
      <c r="R10720" t="s">
        <v>46578</v>
      </c>
      <c r="S10720" t="s">
        <v>46874</v>
      </c>
      <c r="T10720" t="s">
        <v>48467</v>
      </c>
      <c r="U10720" t="s">
        <v>57388</v>
      </c>
      <c r="W10720" t="s">
        <v>45342</v>
      </c>
      <c r="X10720" t="s">
        <v>46579</v>
      </c>
    </row>
    <row r="10721" spans="1:24">
      <c r="A10721">
        <f>HYPERLINK("https://www.philgeps.gov.ph/GEPSNONPILOT/Tender/SplashBidNoticeAbstractUI.aspx?menuIndex=3&amp;refID=7051284&amp;Result=3","7051284")</f>
        <v>0</v>
      </c>
      <c r="B10721" t="s">
        <v>2927</v>
      </c>
      <c r="C10721" t="s">
        <v>13684</v>
      </c>
      <c r="D10721" t="s">
        <v>18826</v>
      </c>
      <c r="E10721" t="s">
        <v>28164</v>
      </c>
      <c r="F10721" t="s">
        <v>32664</v>
      </c>
      <c r="G10721" t="s">
        <v>32671</v>
      </c>
      <c r="H10721" t="s">
        <v>12635</v>
      </c>
      <c r="I10721" t="s">
        <v>6223</v>
      </c>
      <c r="J10721" t="s">
        <v>39187</v>
      </c>
      <c r="K10721" t="s">
        <v>42298</v>
      </c>
      <c r="M10721" t="s">
        <v>45781</v>
      </c>
      <c r="N10721" t="s">
        <v>46569</v>
      </c>
      <c r="O10721" t="s">
        <v>46570</v>
      </c>
      <c r="P10721">
        <v>0</v>
      </c>
      <c r="Q10721">
        <v>0</v>
      </c>
      <c r="R10721" t="s">
        <v>46578</v>
      </c>
      <c r="S10721" t="s">
        <v>46874</v>
      </c>
      <c r="T10721" t="s">
        <v>48562</v>
      </c>
      <c r="U10721" t="s">
        <v>57389</v>
      </c>
      <c r="V10721" t="s">
        <v>62779</v>
      </c>
      <c r="W10721" t="s">
        <v>45781</v>
      </c>
      <c r="X10721" t="s">
        <v>46579</v>
      </c>
    </row>
    <row r="10722" spans="1:24">
      <c r="A10722">
        <f>HYPERLINK("https://www.philgeps.gov.ph/GEPSNONPILOT/Tender/SplashBidNoticeAbstractUI.aspx?menuIndex=3&amp;refID=7051330&amp;Result=3","7051330")</f>
        <v>0</v>
      </c>
      <c r="B10722" t="s">
        <v>556</v>
      </c>
      <c r="C10722" t="s">
        <v>13685</v>
      </c>
      <c r="D10722" t="s">
        <v>18843</v>
      </c>
      <c r="E10722" t="s">
        <v>28165</v>
      </c>
      <c r="F10722" t="s">
        <v>32664</v>
      </c>
      <c r="G10722" t="s">
        <v>32672</v>
      </c>
      <c r="H10722" t="s">
        <v>12635</v>
      </c>
      <c r="I10722" t="s">
        <v>32759</v>
      </c>
      <c r="J10722" t="s">
        <v>33051</v>
      </c>
      <c r="K10722" t="s">
        <v>42284</v>
      </c>
      <c r="M10722" t="s">
        <v>43136</v>
      </c>
      <c r="N10722" t="s">
        <v>46569</v>
      </c>
      <c r="O10722" t="s">
        <v>46570</v>
      </c>
      <c r="P10722">
        <v>0</v>
      </c>
      <c r="Q10722">
        <v>2</v>
      </c>
      <c r="R10722" t="s">
        <v>46578</v>
      </c>
      <c r="S10722" t="s">
        <v>46874</v>
      </c>
      <c r="T10722" t="s">
        <v>48293</v>
      </c>
      <c r="U10722" t="s">
        <v>57390</v>
      </c>
      <c r="V10722" t="s">
        <v>62780</v>
      </c>
      <c r="W10722" t="s">
        <v>43136</v>
      </c>
      <c r="X10722" t="s">
        <v>46579</v>
      </c>
    </row>
    <row r="10723" spans="1:24">
      <c r="A10723">
        <f>HYPERLINK("https://www.philgeps.gov.ph/GEPSNONPILOT/Tender/SplashBidNoticeAbstractUI.aspx?menuIndex=3&amp;refID=7051402&amp;Result=3","7051402")</f>
        <v>0</v>
      </c>
      <c r="B10723" t="s">
        <v>2534</v>
      </c>
      <c r="C10723" t="s">
        <v>13686</v>
      </c>
      <c r="D10723" t="s">
        <v>18783</v>
      </c>
      <c r="E10723" t="s">
        <v>28166</v>
      </c>
      <c r="F10723" t="s">
        <v>32664</v>
      </c>
      <c r="G10723" t="s">
        <v>32672</v>
      </c>
      <c r="H10723" t="s">
        <v>12635</v>
      </c>
      <c r="I10723" t="s">
        <v>4997</v>
      </c>
      <c r="J10723" t="s">
        <v>32898</v>
      </c>
      <c r="K10723" t="s">
        <v>42289</v>
      </c>
      <c r="M10723" t="s">
        <v>45342</v>
      </c>
      <c r="N10723" t="s">
        <v>46569</v>
      </c>
      <c r="O10723" t="s">
        <v>46570</v>
      </c>
      <c r="P10723">
        <v>0</v>
      </c>
      <c r="Q10723">
        <v>1</v>
      </c>
      <c r="R10723" t="s">
        <v>46578</v>
      </c>
      <c r="S10723" t="s">
        <v>46874</v>
      </c>
      <c r="T10723" t="s">
        <v>48467</v>
      </c>
      <c r="U10723" t="s">
        <v>57391</v>
      </c>
      <c r="W10723" t="s">
        <v>45342</v>
      </c>
      <c r="X10723" t="s">
        <v>46579</v>
      </c>
    </row>
    <row r="10724" spans="1:24">
      <c r="A10724">
        <f>HYPERLINK("https://www.philgeps.gov.ph/GEPSNONPILOT/Tender/SplashBidNoticeAbstractUI.aspx?menuIndex=3&amp;refID=7051385&amp;Result=3","7051385")</f>
        <v>0</v>
      </c>
      <c r="B10724" t="s">
        <v>1281</v>
      </c>
      <c r="C10724" t="s">
        <v>13687</v>
      </c>
      <c r="D10724" t="s">
        <v>18837</v>
      </c>
      <c r="E10724" t="s">
        <v>28167</v>
      </c>
      <c r="F10724" t="s">
        <v>32664</v>
      </c>
      <c r="G10724" t="s">
        <v>32672</v>
      </c>
      <c r="H10724" t="s">
        <v>32683</v>
      </c>
      <c r="I10724" t="s">
        <v>10627</v>
      </c>
      <c r="J10724" t="s">
        <v>39188</v>
      </c>
      <c r="K10724" t="s">
        <v>42281</v>
      </c>
      <c r="M10724" t="s">
        <v>43924</v>
      </c>
      <c r="N10724" t="s">
        <v>46569</v>
      </c>
      <c r="O10724" t="s">
        <v>46570</v>
      </c>
      <c r="P10724">
        <v>0</v>
      </c>
      <c r="Q10724">
        <v>1</v>
      </c>
      <c r="R10724" t="s">
        <v>46578</v>
      </c>
      <c r="S10724" t="s">
        <v>46874</v>
      </c>
      <c r="T10724" t="s">
        <v>48212</v>
      </c>
      <c r="U10724" t="s">
        <v>57392</v>
      </c>
      <c r="V10724" t="s">
        <v>62769</v>
      </c>
      <c r="W10724" t="s">
        <v>43924</v>
      </c>
      <c r="X10724" t="s">
        <v>46579</v>
      </c>
    </row>
    <row r="10725" spans="1:24">
      <c r="A10725">
        <f>HYPERLINK("https://www.philgeps.gov.ph/GEPSNONPILOT/Tender/SplashBidNoticeAbstractUI.aspx?menuIndex=3&amp;refID=7051381&amp;Result=3","7051381")</f>
        <v>0</v>
      </c>
      <c r="B10725" t="s">
        <v>212</v>
      </c>
      <c r="C10725" t="s">
        <v>13688</v>
      </c>
      <c r="D10725" t="s">
        <v>18844</v>
      </c>
      <c r="E10725" t="s">
        <v>28168</v>
      </c>
      <c r="F10725" t="s">
        <v>32664</v>
      </c>
      <c r="G10725" t="s">
        <v>32672</v>
      </c>
      <c r="H10725" t="s">
        <v>32683</v>
      </c>
      <c r="I10725" t="s">
        <v>10627</v>
      </c>
      <c r="J10725" t="s">
        <v>39189</v>
      </c>
      <c r="K10725" t="s">
        <v>42427</v>
      </c>
      <c r="M10725" t="s">
        <v>45764</v>
      </c>
      <c r="N10725" t="s">
        <v>46569</v>
      </c>
      <c r="O10725" t="s">
        <v>46570</v>
      </c>
      <c r="P10725">
        <v>0</v>
      </c>
      <c r="Q10725">
        <v>0</v>
      </c>
      <c r="R10725" t="s">
        <v>46578</v>
      </c>
      <c r="S10725" t="s">
        <v>46874</v>
      </c>
      <c r="T10725" t="s">
        <v>48467</v>
      </c>
      <c r="U10725" t="s">
        <v>57393</v>
      </c>
      <c r="V10725" t="s">
        <v>62781</v>
      </c>
      <c r="W10725" t="s">
        <v>45764</v>
      </c>
      <c r="X10725" t="s">
        <v>46579</v>
      </c>
    </row>
    <row r="10726" spans="1:24">
      <c r="A10726">
        <f>HYPERLINK("https://www.philgeps.gov.ph/GEPSNONPILOT/Tender/SplashBidNoticeAbstractUI.aspx?menuIndex=3&amp;refID=7051379&amp;Result=3","7051379")</f>
        <v>0</v>
      </c>
      <c r="B10726" t="s">
        <v>2928</v>
      </c>
      <c r="C10726" t="s">
        <v>13689</v>
      </c>
      <c r="D10726" t="s">
        <v>18831</v>
      </c>
      <c r="E10726" t="s">
        <v>19830</v>
      </c>
      <c r="F10726" t="s">
        <v>32665</v>
      </c>
      <c r="G10726" t="s">
        <v>32672</v>
      </c>
      <c r="H10726" t="s">
        <v>12635</v>
      </c>
      <c r="I10726" t="s">
        <v>32716</v>
      </c>
      <c r="J10726" t="s">
        <v>32898</v>
      </c>
      <c r="K10726" t="s">
        <v>42330</v>
      </c>
      <c r="L10726" t="s">
        <v>2928</v>
      </c>
      <c r="M10726" t="s">
        <v>45782</v>
      </c>
      <c r="N10726" t="s">
        <v>46569</v>
      </c>
      <c r="O10726" t="s">
        <v>46570</v>
      </c>
      <c r="P10726">
        <v>0</v>
      </c>
      <c r="Q10726">
        <v>0</v>
      </c>
      <c r="R10726" t="s">
        <v>46578</v>
      </c>
      <c r="S10726" t="s">
        <v>46874</v>
      </c>
      <c r="T10726" t="s">
        <v>48237</v>
      </c>
      <c r="U10726" t="s">
        <v>57394</v>
      </c>
      <c r="W10726" t="s">
        <v>45782</v>
      </c>
      <c r="X10726" t="s">
        <v>46579</v>
      </c>
    </row>
    <row r="10727" spans="1:24">
      <c r="A10727">
        <f>HYPERLINK("https://www.philgeps.gov.ph/GEPSNONPILOT/Tender/SplashBidNoticeAbstractUI.aspx?menuIndex=3&amp;refID=7051405&amp;Result=3","7051405")</f>
        <v>0</v>
      </c>
      <c r="B10727" t="s">
        <v>2929</v>
      </c>
      <c r="C10727" t="s">
        <v>13690</v>
      </c>
      <c r="D10727" t="s">
        <v>18813</v>
      </c>
      <c r="E10727" t="s">
        <v>28169</v>
      </c>
      <c r="F10727" t="s">
        <v>32664</v>
      </c>
      <c r="G10727" t="s">
        <v>32672</v>
      </c>
      <c r="H10727" t="s">
        <v>32683</v>
      </c>
      <c r="I10727" t="s">
        <v>10627</v>
      </c>
      <c r="J10727" t="s">
        <v>32837</v>
      </c>
      <c r="K10727" t="s">
        <v>42317</v>
      </c>
      <c r="M10727" t="s">
        <v>45783</v>
      </c>
      <c r="N10727" t="s">
        <v>46569</v>
      </c>
      <c r="O10727" t="s">
        <v>46570</v>
      </c>
      <c r="P10727">
        <v>0</v>
      </c>
      <c r="Q10727">
        <v>2</v>
      </c>
      <c r="R10727" t="s">
        <v>46578</v>
      </c>
      <c r="S10727" t="s">
        <v>46874</v>
      </c>
      <c r="T10727" t="s">
        <v>48238</v>
      </c>
      <c r="U10727" t="s">
        <v>57395</v>
      </c>
      <c r="W10727" t="s">
        <v>45783</v>
      </c>
      <c r="X10727" t="s">
        <v>46579</v>
      </c>
    </row>
    <row r="10728" spans="1:24">
      <c r="A10728">
        <f>HYPERLINK("https://www.philgeps.gov.ph/GEPSNONPILOT/Tender/SplashBidNoticeAbstractUI.aspx?menuIndex=3&amp;refID=7051408&amp;Result=3","7051408")</f>
        <v>0</v>
      </c>
      <c r="B10728" t="s">
        <v>794</v>
      </c>
      <c r="C10728" t="s">
        <v>13691</v>
      </c>
      <c r="D10728" t="s">
        <v>18806</v>
      </c>
      <c r="E10728" t="s">
        <v>28170</v>
      </c>
      <c r="F10728" t="s">
        <v>32664</v>
      </c>
      <c r="G10728" t="s">
        <v>32672</v>
      </c>
      <c r="H10728" t="s">
        <v>12635</v>
      </c>
      <c r="I10728" t="s">
        <v>5589</v>
      </c>
      <c r="J10728" t="s">
        <v>33128</v>
      </c>
      <c r="K10728" t="s">
        <v>42289</v>
      </c>
      <c r="M10728" t="s">
        <v>45564</v>
      </c>
      <c r="N10728" t="s">
        <v>46569</v>
      </c>
      <c r="O10728" t="s">
        <v>46570</v>
      </c>
      <c r="P10728">
        <v>0</v>
      </c>
      <c r="Q10728">
        <v>2</v>
      </c>
      <c r="R10728" t="s">
        <v>46578</v>
      </c>
      <c r="S10728" t="s">
        <v>46874</v>
      </c>
      <c r="T10728" t="s">
        <v>48449</v>
      </c>
      <c r="U10728" t="s">
        <v>57396</v>
      </c>
      <c r="W10728" t="s">
        <v>45564</v>
      </c>
      <c r="X10728" t="s">
        <v>46579</v>
      </c>
    </row>
    <row r="10729" spans="1:24">
      <c r="A10729">
        <f>HYPERLINK("https://www.philgeps.gov.ph/GEPSNONPILOT/Tender/SplashBidNoticeAbstractUI.aspx?menuIndex=3&amp;refID=7051424&amp;Result=3","7051424")</f>
        <v>0</v>
      </c>
      <c r="B10729" t="s">
        <v>687</v>
      </c>
      <c r="C10729" t="s">
        <v>13692</v>
      </c>
      <c r="D10729" t="s">
        <v>18805</v>
      </c>
      <c r="E10729" t="s">
        <v>28171</v>
      </c>
      <c r="F10729" t="s">
        <v>32664</v>
      </c>
      <c r="G10729" t="s">
        <v>32672</v>
      </c>
      <c r="H10729" t="s">
        <v>12635</v>
      </c>
      <c r="I10729" t="s">
        <v>4439</v>
      </c>
      <c r="J10729" t="s">
        <v>39190</v>
      </c>
      <c r="K10729" t="s">
        <v>42283</v>
      </c>
      <c r="M10729" t="s">
        <v>43274</v>
      </c>
      <c r="N10729" t="s">
        <v>46569</v>
      </c>
      <c r="O10729" t="s">
        <v>46570</v>
      </c>
      <c r="P10729">
        <v>0</v>
      </c>
      <c r="Q10729">
        <v>0</v>
      </c>
      <c r="R10729" t="s">
        <v>46578</v>
      </c>
      <c r="S10729" t="s">
        <v>46874</v>
      </c>
      <c r="T10729" t="s">
        <v>48640</v>
      </c>
      <c r="U10729" t="s">
        <v>57397</v>
      </c>
      <c r="W10729" t="s">
        <v>43274</v>
      </c>
      <c r="X10729" t="s">
        <v>46579</v>
      </c>
    </row>
    <row r="10730" spans="1:24">
      <c r="A10730">
        <f>HYPERLINK("https://www.philgeps.gov.ph/GEPSNONPILOT/Tender/SplashBidNoticeAbstractUI.aspx?menuIndex=3&amp;refID=7051364&amp;Result=3","7051364")</f>
        <v>0</v>
      </c>
      <c r="B10730" t="s">
        <v>687</v>
      </c>
      <c r="C10730" t="s">
        <v>13693</v>
      </c>
      <c r="D10730" t="s">
        <v>18805</v>
      </c>
      <c r="E10730" t="s">
        <v>28172</v>
      </c>
      <c r="F10730" t="s">
        <v>32664</v>
      </c>
      <c r="G10730" t="s">
        <v>32672</v>
      </c>
      <c r="H10730" t="s">
        <v>12635</v>
      </c>
      <c r="I10730" t="s">
        <v>4439</v>
      </c>
      <c r="J10730" t="s">
        <v>39191</v>
      </c>
      <c r="K10730" t="s">
        <v>42283</v>
      </c>
      <c r="M10730" t="s">
        <v>43274</v>
      </c>
      <c r="N10730" t="s">
        <v>46569</v>
      </c>
      <c r="O10730" t="s">
        <v>46570</v>
      </c>
      <c r="P10730">
        <v>0</v>
      </c>
      <c r="Q10730">
        <v>0</v>
      </c>
      <c r="R10730" t="s">
        <v>46578</v>
      </c>
      <c r="S10730" t="s">
        <v>46874</v>
      </c>
      <c r="T10730" t="s">
        <v>48640</v>
      </c>
      <c r="U10730" t="s">
        <v>57398</v>
      </c>
      <c r="W10730" t="s">
        <v>43274</v>
      </c>
      <c r="X10730" t="s">
        <v>46579</v>
      </c>
    </row>
    <row r="10731" spans="1:24">
      <c r="A10731">
        <f>HYPERLINK("https://www.philgeps.gov.ph/GEPSNONPILOT/Tender/SplashBidNoticeAbstractUI.aspx?menuIndex=3&amp;refID=7051417&amp;Result=3","7051417")</f>
        <v>0</v>
      </c>
      <c r="B10731" t="s">
        <v>2844</v>
      </c>
      <c r="C10731" t="s">
        <v>7444</v>
      </c>
      <c r="D10731" t="s">
        <v>18800</v>
      </c>
      <c r="E10731" t="s">
        <v>12635</v>
      </c>
      <c r="F10731" t="s">
        <v>32664</v>
      </c>
      <c r="G10731" t="s">
        <v>32672</v>
      </c>
      <c r="H10731" t="s">
        <v>12635</v>
      </c>
      <c r="I10731" t="s">
        <v>32704</v>
      </c>
      <c r="J10731" t="s">
        <v>39192</v>
      </c>
      <c r="K10731" t="s">
        <v>42281</v>
      </c>
      <c r="M10731" t="s">
        <v>45692</v>
      </c>
      <c r="N10731" t="s">
        <v>46569</v>
      </c>
      <c r="O10731" t="s">
        <v>46570</v>
      </c>
      <c r="P10731">
        <v>0</v>
      </c>
      <c r="Q10731">
        <v>3</v>
      </c>
      <c r="R10731" t="s">
        <v>46578</v>
      </c>
      <c r="S10731" t="s">
        <v>46874</v>
      </c>
      <c r="T10731" t="s">
        <v>48212</v>
      </c>
      <c r="U10731" t="s">
        <v>57399</v>
      </c>
      <c r="V10731" t="s">
        <v>62782</v>
      </c>
      <c r="W10731" t="s">
        <v>45692</v>
      </c>
      <c r="X10731" t="s">
        <v>46579</v>
      </c>
    </row>
    <row r="10732" spans="1:24">
      <c r="A10732">
        <f>HYPERLINK("https://www.philgeps.gov.ph/GEPSNONPILOT/Tender/SplashBidNoticeAbstractUI.aspx?menuIndex=3&amp;refID=7051387&amp;Result=3","7051387")</f>
        <v>0</v>
      </c>
      <c r="B10732" t="s">
        <v>726</v>
      </c>
      <c r="C10732" t="s">
        <v>13694</v>
      </c>
      <c r="D10732" t="s">
        <v>18784</v>
      </c>
      <c r="E10732" t="s">
        <v>28173</v>
      </c>
      <c r="F10732" t="s">
        <v>32664</v>
      </c>
      <c r="G10732" t="s">
        <v>32672</v>
      </c>
      <c r="H10732" t="s">
        <v>12635</v>
      </c>
      <c r="I10732" t="s">
        <v>6223</v>
      </c>
      <c r="J10732" t="s">
        <v>32902</v>
      </c>
      <c r="K10732" t="s">
        <v>42284</v>
      </c>
      <c r="M10732" t="s">
        <v>43314</v>
      </c>
      <c r="N10732" t="s">
        <v>46569</v>
      </c>
      <c r="O10732" t="s">
        <v>46570</v>
      </c>
      <c r="P10732">
        <v>0</v>
      </c>
      <c r="Q10732">
        <v>0</v>
      </c>
      <c r="R10732" t="s">
        <v>46578</v>
      </c>
      <c r="S10732" t="s">
        <v>46874</v>
      </c>
      <c r="T10732" t="s">
        <v>48551</v>
      </c>
      <c r="U10732" t="s">
        <v>50145</v>
      </c>
      <c r="W10732" t="s">
        <v>43314</v>
      </c>
      <c r="X10732" t="s">
        <v>46579</v>
      </c>
    </row>
    <row r="10733" spans="1:24">
      <c r="A10733">
        <f>HYPERLINK("https://www.philgeps.gov.ph/GEPSNONPILOT/Tender/SplashBidNoticeAbstractUI.aspx?menuIndex=3&amp;refID=7051360&amp;Result=3","7051360")</f>
        <v>0</v>
      </c>
      <c r="B10733" t="s">
        <v>2913</v>
      </c>
      <c r="C10733" t="s">
        <v>13695</v>
      </c>
      <c r="D10733" t="s">
        <v>18847</v>
      </c>
      <c r="E10733" t="s">
        <v>28174</v>
      </c>
      <c r="F10733" t="s">
        <v>32664</v>
      </c>
      <c r="G10733" t="s">
        <v>32672</v>
      </c>
      <c r="H10733" t="s">
        <v>12635</v>
      </c>
      <c r="I10733" t="s">
        <v>5589</v>
      </c>
      <c r="J10733" t="s">
        <v>33081</v>
      </c>
      <c r="K10733" t="s">
        <v>42297</v>
      </c>
      <c r="M10733" t="s">
        <v>45765</v>
      </c>
      <c r="N10733" t="s">
        <v>46569</v>
      </c>
      <c r="O10733" t="s">
        <v>46570</v>
      </c>
      <c r="P10733">
        <v>0</v>
      </c>
      <c r="Q10733">
        <v>0</v>
      </c>
      <c r="R10733" t="s">
        <v>46578</v>
      </c>
      <c r="S10733" t="s">
        <v>46874</v>
      </c>
      <c r="T10733" t="s">
        <v>48598</v>
      </c>
      <c r="U10733" t="s">
        <v>57400</v>
      </c>
      <c r="W10733" t="s">
        <v>45765</v>
      </c>
      <c r="X10733" t="s">
        <v>46579</v>
      </c>
    </row>
    <row r="10734" spans="1:24">
      <c r="A10734">
        <f>HYPERLINK("https://www.philgeps.gov.ph/GEPSNONPILOT/Tender/SplashBidNoticeAbstractUI.aspx?menuIndex=3&amp;refID=7051354&amp;Result=3","7051354")</f>
        <v>0</v>
      </c>
      <c r="B10734" t="s">
        <v>2534</v>
      </c>
      <c r="C10734" t="s">
        <v>13696</v>
      </c>
      <c r="D10734" t="s">
        <v>18783</v>
      </c>
      <c r="E10734" t="s">
        <v>28175</v>
      </c>
      <c r="F10734" t="s">
        <v>32664</v>
      </c>
      <c r="G10734" t="s">
        <v>32672</v>
      </c>
      <c r="H10734" t="s">
        <v>12635</v>
      </c>
      <c r="I10734" t="s">
        <v>8797</v>
      </c>
      <c r="J10734" t="s">
        <v>32853</v>
      </c>
      <c r="K10734" t="s">
        <v>42289</v>
      </c>
      <c r="M10734" t="s">
        <v>45342</v>
      </c>
      <c r="N10734" t="s">
        <v>46569</v>
      </c>
      <c r="O10734" t="s">
        <v>46570</v>
      </c>
      <c r="P10734">
        <v>0</v>
      </c>
      <c r="Q10734">
        <v>1</v>
      </c>
      <c r="R10734" t="s">
        <v>46578</v>
      </c>
      <c r="S10734" t="s">
        <v>46874</v>
      </c>
      <c r="T10734" t="s">
        <v>48467</v>
      </c>
      <c r="U10734" t="s">
        <v>57401</v>
      </c>
      <c r="W10734" t="s">
        <v>45342</v>
      </c>
      <c r="X10734" t="s">
        <v>46579</v>
      </c>
    </row>
    <row r="10735" spans="1:24">
      <c r="A10735">
        <f>HYPERLINK("https://www.philgeps.gov.ph/GEPSNONPILOT/Tender/SplashBidNoticeAbstractUI.aspx?menuIndex=3&amp;refID=7051349&amp;Result=3","7051349")</f>
        <v>0</v>
      </c>
      <c r="B10735" t="s">
        <v>531</v>
      </c>
      <c r="C10735" t="s">
        <v>13697</v>
      </c>
      <c r="D10735" t="s">
        <v>18793</v>
      </c>
      <c r="E10735" t="s">
        <v>19502</v>
      </c>
      <c r="F10735" t="s">
        <v>32664</v>
      </c>
      <c r="G10735" t="s">
        <v>32672</v>
      </c>
      <c r="H10735" t="s">
        <v>32683</v>
      </c>
      <c r="I10735" t="s">
        <v>10627</v>
      </c>
      <c r="J10735" t="s">
        <v>33008</v>
      </c>
      <c r="K10735" t="s">
        <v>42311</v>
      </c>
      <c r="M10735" t="s">
        <v>43109</v>
      </c>
      <c r="N10735" t="s">
        <v>46569</v>
      </c>
      <c r="O10735" t="s">
        <v>46570</v>
      </c>
      <c r="P10735">
        <v>0</v>
      </c>
      <c r="Q10735">
        <v>1</v>
      </c>
      <c r="R10735" t="s">
        <v>46578</v>
      </c>
      <c r="S10735" t="s">
        <v>46874</v>
      </c>
      <c r="T10735" t="s">
        <v>48467</v>
      </c>
      <c r="U10735" t="s">
        <v>57402</v>
      </c>
      <c r="W10735" t="s">
        <v>43109</v>
      </c>
      <c r="X10735" t="s">
        <v>46579</v>
      </c>
    </row>
    <row r="10736" spans="1:24">
      <c r="A10736">
        <f>HYPERLINK("https://www.philgeps.gov.ph/GEPSNONPILOT/Tender/SplashBidNoticeAbstractUI.aspx?menuIndex=3&amp;refID=7051447&amp;Result=3","7051447")</f>
        <v>0</v>
      </c>
      <c r="B10736" t="s">
        <v>2930</v>
      </c>
      <c r="C10736" t="s">
        <v>13698</v>
      </c>
      <c r="D10736" t="s">
        <v>18863</v>
      </c>
      <c r="E10736" t="s">
        <v>28176</v>
      </c>
      <c r="F10736" t="s">
        <v>32664</v>
      </c>
      <c r="G10736" t="s">
        <v>32671</v>
      </c>
      <c r="H10736" t="s">
        <v>12635</v>
      </c>
      <c r="I10736" t="s">
        <v>4333</v>
      </c>
      <c r="J10736" t="s">
        <v>39193</v>
      </c>
      <c r="K10736" t="s">
        <v>42330</v>
      </c>
      <c r="M10736" t="s">
        <v>45784</v>
      </c>
      <c r="N10736" t="s">
        <v>46569</v>
      </c>
      <c r="O10736" t="s">
        <v>46570</v>
      </c>
      <c r="P10736">
        <v>0</v>
      </c>
      <c r="Q10736">
        <v>1</v>
      </c>
      <c r="R10736" t="s">
        <v>46578</v>
      </c>
      <c r="S10736" t="s">
        <v>46874</v>
      </c>
      <c r="T10736" t="s">
        <v>48448</v>
      </c>
      <c r="U10736" t="s">
        <v>57403</v>
      </c>
      <c r="W10736" t="s">
        <v>45784</v>
      </c>
      <c r="X10736" t="s">
        <v>46579</v>
      </c>
    </row>
    <row r="10737" spans="1:24">
      <c r="A10737">
        <f>HYPERLINK("https://www.philgeps.gov.ph/GEPSNONPILOT/Tender/SplashBidNoticeAbstractUI.aspx?menuIndex=3&amp;refID=7051438&amp;Result=3","7051438")</f>
        <v>0</v>
      </c>
      <c r="B10737" t="s">
        <v>1281</v>
      </c>
      <c r="C10737" t="s">
        <v>13699</v>
      </c>
      <c r="D10737" t="s">
        <v>18837</v>
      </c>
      <c r="E10737" t="s">
        <v>22309</v>
      </c>
      <c r="F10737" t="s">
        <v>32664</v>
      </c>
      <c r="G10737" t="s">
        <v>32672</v>
      </c>
      <c r="H10737" t="s">
        <v>32683</v>
      </c>
      <c r="I10737" t="s">
        <v>10627</v>
      </c>
      <c r="J10737" t="s">
        <v>39194</v>
      </c>
      <c r="K10737" t="s">
        <v>42419</v>
      </c>
      <c r="M10737" t="s">
        <v>43924</v>
      </c>
      <c r="N10737" t="s">
        <v>46569</v>
      </c>
      <c r="O10737" t="s">
        <v>46570</v>
      </c>
      <c r="P10737">
        <v>0</v>
      </c>
      <c r="Q10737">
        <v>1</v>
      </c>
      <c r="R10737" t="s">
        <v>46578</v>
      </c>
      <c r="S10737" t="s">
        <v>46874</v>
      </c>
      <c r="T10737" t="s">
        <v>48212</v>
      </c>
      <c r="U10737" t="s">
        <v>57404</v>
      </c>
      <c r="V10737" t="s">
        <v>62769</v>
      </c>
      <c r="W10737" t="s">
        <v>43924</v>
      </c>
      <c r="X10737" t="s">
        <v>46579</v>
      </c>
    </row>
    <row r="10738" spans="1:24">
      <c r="A10738">
        <f>HYPERLINK("https://www.philgeps.gov.ph/GEPSNONPILOT/Tender/SplashBidNoticeAbstractUI.aspx?menuIndex=3&amp;refID=7051436&amp;Result=3","7051436")</f>
        <v>0</v>
      </c>
      <c r="B10738" t="s">
        <v>586</v>
      </c>
      <c r="C10738" t="s">
        <v>13700</v>
      </c>
      <c r="D10738" t="s">
        <v>18794</v>
      </c>
      <c r="E10738" t="s">
        <v>13700</v>
      </c>
      <c r="F10738" t="s">
        <v>32664</v>
      </c>
      <c r="G10738" t="s">
        <v>32672</v>
      </c>
      <c r="H10738" t="s">
        <v>12635</v>
      </c>
      <c r="I10738" t="s">
        <v>4333</v>
      </c>
      <c r="J10738" t="s">
        <v>39195</v>
      </c>
      <c r="K10738" t="s">
        <v>42281</v>
      </c>
      <c r="M10738" t="s">
        <v>43166</v>
      </c>
      <c r="N10738" t="s">
        <v>46569</v>
      </c>
      <c r="O10738" t="s">
        <v>46570</v>
      </c>
      <c r="P10738">
        <v>0</v>
      </c>
      <c r="Q10738">
        <v>0</v>
      </c>
      <c r="R10738" t="s">
        <v>46578</v>
      </c>
      <c r="S10738" t="s">
        <v>46874</v>
      </c>
      <c r="T10738" t="s">
        <v>48356</v>
      </c>
      <c r="U10738" t="s">
        <v>57405</v>
      </c>
      <c r="W10738" t="s">
        <v>43166</v>
      </c>
      <c r="X10738" t="s">
        <v>46579</v>
      </c>
    </row>
    <row r="10739" spans="1:24">
      <c r="A10739">
        <f>HYPERLINK("https://www.philgeps.gov.ph/GEPSNONPILOT/Tender/SplashBidNoticeAbstractUI.aspx?menuIndex=3&amp;refID=7051431&amp;Result=3","7051431")</f>
        <v>0</v>
      </c>
      <c r="B10739" t="s">
        <v>2838</v>
      </c>
      <c r="C10739" t="s">
        <v>13701</v>
      </c>
      <c r="D10739" t="s">
        <v>18816</v>
      </c>
      <c r="E10739" t="s">
        <v>28177</v>
      </c>
      <c r="F10739" t="s">
        <v>32664</v>
      </c>
      <c r="G10739" t="s">
        <v>32672</v>
      </c>
      <c r="H10739" t="s">
        <v>32683</v>
      </c>
      <c r="I10739" t="s">
        <v>10627</v>
      </c>
      <c r="J10739" t="s">
        <v>33751</v>
      </c>
      <c r="K10739" t="s">
        <v>42290</v>
      </c>
      <c r="M10739" t="s">
        <v>45684</v>
      </c>
      <c r="N10739" t="s">
        <v>46569</v>
      </c>
      <c r="O10739" t="s">
        <v>46570</v>
      </c>
      <c r="P10739">
        <v>0</v>
      </c>
      <c r="Q10739">
        <v>0</v>
      </c>
      <c r="R10739" t="s">
        <v>46578</v>
      </c>
      <c r="S10739" t="s">
        <v>46874</v>
      </c>
      <c r="T10739" t="s">
        <v>48669</v>
      </c>
      <c r="U10739" t="s">
        <v>57406</v>
      </c>
      <c r="V10739" t="s">
        <v>62783</v>
      </c>
      <c r="W10739" t="s">
        <v>45684</v>
      </c>
      <c r="X10739" t="s">
        <v>46579</v>
      </c>
    </row>
    <row r="10740" spans="1:24">
      <c r="A10740">
        <f>HYPERLINK("https://www.philgeps.gov.ph/GEPSNONPILOT/Tender/SplashBidNoticeAbstractUI.aspx?menuIndex=3&amp;refID=7051507&amp;Result=3","7051507")</f>
        <v>0</v>
      </c>
      <c r="B10740" t="s">
        <v>531</v>
      </c>
      <c r="C10740" t="s">
        <v>13702</v>
      </c>
      <c r="D10740" t="s">
        <v>18793</v>
      </c>
      <c r="E10740" t="s">
        <v>28178</v>
      </c>
      <c r="F10740" t="s">
        <v>32664</v>
      </c>
      <c r="G10740" t="s">
        <v>32672</v>
      </c>
      <c r="H10740" t="s">
        <v>32683</v>
      </c>
      <c r="I10740" t="s">
        <v>10627</v>
      </c>
      <c r="J10740" t="s">
        <v>33167</v>
      </c>
      <c r="K10740" t="s">
        <v>42316</v>
      </c>
      <c r="M10740" t="s">
        <v>43109</v>
      </c>
      <c r="N10740" t="s">
        <v>46569</v>
      </c>
      <c r="O10740" t="s">
        <v>46570</v>
      </c>
      <c r="P10740">
        <v>0</v>
      </c>
      <c r="Q10740">
        <v>1</v>
      </c>
      <c r="R10740" t="s">
        <v>46578</v>
      </c>
      <c r="S10740" t="s">
        <v>46874</v>
      </c>
      <c r="T10740" t="s">
        <v>48630</v>
      </c>
      <c r="U10740" t="s">
        <v>57407</v>
      </c>
      <c r="W10740" t="s">
        <v>43109</v>
      </c>
      <c r="X10740" t="s">
        <v>46579</v>
      </c>
    </row>
    <row r="10741" spans="1:24">
      <c r="A10741">
        <f>HYPERLINK("https://www.philgeps.gov.ph/GEPSNONPILOT/Tender/SplashBidNoticeAbstractUI.aspx?menuIndex=3&amp;refID=7051351&amp;Result=3","7051351")</f>
        <v>0</v>
      </c>
      <c r="B10741" t="s">
        <v>794</v>
      </c>
      <c r="C10741" t="s">
        <v>13703</v>
      </c>
      <c r="D10741" t="s">
        <v>18806</v>
      </c>
      <c r="E10741" t="s">
        <v>28179</v>
      </c>
      <c r="F10741" t="s">
        <v>32664</v>
      </c>
      <c r="G10741" t="s">
        <v>32672</v>
      </c>
      <c r="H10741" t="s">
        <v>12635</v>
      </c>
      <c r="I10741" t="s">
        <v>32685</v>
      </c>
      <c r="J10741" t="s">
        <v>32974</v>
      </c>
      <c r="K10741" t="s">
        <v>42289</v>
      </c>
      <c r="M10741" t="s">
        <v>45564</v>
      </c>
      <c r="N10741" t="s">
        <v>46569</v>
      </c>
      <c r="O10741" t="s">
        <v>46570</v>
      </c>
      <c r="P10741">
        <v>0</v>
      </c>
      <c r="Q10741">
        <v>1</v>
      </c>
      <c r="R10741" t="s">
        <v>46578</v>
      </c>
      <c r="S10741" t="s">
        <v>46874</v>
      </c>
      <c r="T10741" t="s">
        <v>48449</v>
      </c>
      <c r="U10741" t="s">
        <v>57408</v>
      </c>
      <c r="W10741" t="s">
        <v>45564</v>
      </c>
      <c r="X10741" t="s">
        <v>46579</v>
      </c>
    </row>
    <row r="10742" spans="1:24">
      <c r="A10742">
        <f>HYPERLINK("https://www.philgeps.gov.ph/GEPSNONPILOT/Tender/SplashBidNoticeAbstractUI.aspx?menuIndex=3&amp;refID=7051500&amp;Result=3","7051500")</f>
        <v>0</v>
      </c>
      <c r="B10742" t="s">
        <v>773</v>
      </c>
      <c r="C10742" t="s">
        <v>13704</v>
      </c>
      <c r="D10742" t="s">
        <v>18821</v>
      </c>
      <c r="E10742" t="s">
        <v>28088</v>
      </c>
      <c r="F10742" t="s">
        <v>32664</v>
      </c>
      <c r="G10742" t="s">
        <v>32671</v>
      </c>
      <c r="H10742" t="s">
        <v>12635</v>
      </c>
      <c r="I10742" t="s">
        <v>6628</v>
      </c>
      <c r="J10742" t="s">
        <v>33931</v>
      </c>
      <c r="K10742" t="s">
        <v>42284</v>
      </c>
      <c r="M10742" t="s">
        <v>43364</v>
      </c>
      <c r="N10742" t="s">
        <v>46569</v>
      </c>
      <c r="O10742" t="s">
        <v>46570</v>
      </c>
      <c r="P10742">
        <v>0</v>
      </c>
      <c r="Q10742">
        <v>1</v>
      </c>
      <c r="R10742" t="s">
        <v>46578</v>
      </c>
      <c r="S10742" t="s">
        <v>46874</v>
      </c>
      <c r="T10742" t="s">
        <v>48314</v>
      </c>
      <c r="U10742" t="s">
        <v>57317</v>
      </c>
      <c r="W10742" t="s">
        <v>43364</v>
      </c>
      <c r="X10742" t="s">
        <v>46579</v>
      </c>
    </row>
    <row r="10743" spans="1:24">
      <c r="A10743">
        <f>HYPERLINK("https://www.philgeps.gov.ph/GEPSNONPILOT/Tender/SplashBidNoticeAbstractUI.aspx?menuIndex=3&amp;refID=7051223&amp;Result=3","7051223")</f>
        <v>0</v>
      </c>
      <c r="B10743" t="s">
        <v>794</v>
      </c>
      <c r="C10743" t="s">
        <v>13705</v>
      </c>
      <c r="D10743" t="s">
        <v>18806</v>
      </c>
      <c r="E10743" t="s">
        <v>28180</v>
      </c>
      <c r="F10743" t="s">
        <v>32664</v>
      </c>
      <c r="G10743" t="s">
        <v>32672</v>
      </c>
      <c r="H10743" t="s">
        <v>12635</v>
      </c>
      <c r="I10743" t="s">
        <v>8730</v>
      </c>
      <c r="J10743" t="s">
        <v>39196</v>
      </c>
      <c r="K10743" t="s">
        <v>42297</v>
      </c>
      <c r="M10743" t="s">
        <v>45564</v>
      </c>
      <c r="N10743" t="s">
        <v>46569</v>
      </c>
      <c r="O10743" t="s">
        <v>46570</v>
      </c>
      <c r="P10743">
        <v>0</v>
      </c>
      <c r="Q10743">
        <v>0</v>
      </c>
      <c r="R10743" t="s">
        <v>46578</v>
      </c>
      <c r="S10743" t="s">
        <v>46874</v>
      </c>
      <c r="T10743" t="s">
        <v>48449</v>
      </c>
      <c r="U10743" t="s">
        <v>57409</v>
      </c>
      <c r="W10743" t="s">
        <v>45564</v>
      </c>
      <c r="X10743" t="s">
        <v>46579</v>
      </c>
    </row>
    <row r="10744" spans="1:24">
      <c r="A10744">
        <f>HYPERLINK("https://www.philgeps.gov.ph/GEPSNONPILOT/Tender/SplashBidNoticeAbstractUI.aspx?menuIndex=3&amp;refID=7051499&amp;Result=3","7051499")</f>
        <v>0</v>
      </c>
      <c r="B10744" t="s">
        <v>2931</v>
      </c>
      <c r="C10744" t="s">
        <v>13706</v>
      </c>
      <c r="D10744" t="s">
        <v>18786</v>
      </c>
      <c r="E10744" t="s">
        <v>28181</v>
      </c>
      <c r="F10744" t="s">
        <v>32664</v>
      </c>
      <c r="G10744" t="s">
        <v>32671</v>
      </c>
      <c r="H10744" t="s">
        <v>32682</v>
      </c>
      <c r="I10744" t="s">
        <v>4205</v>
      </c>
      <c r="J10744" t="s">
        <v>35450</v>
      </c>
      <c r="K10744" t="s">
        <v>42284</v>
      </c>
      <c r="M10744" t="s">
        <v>45785</v>
      </c>
      <c r="N10744" t="s">
        <v>46569</v>
      </c>
      <c r="O10744" t="s">
        <v>46570</v>
      </c>
      <c r="P10744">
        <v>0</v>
      </c>
      <c r="Q10744">
        <v>2</v>
      </c>
      <c r="R10744" t="s">
        <v>46578</v>
      </c>
      <c r="S10744" t="s">
        <v>46874</v>
      </c>
      <c r="T10744" t="s">
        <v>48473</v>
      </c>
      <c r="U10744" t="s">
        <v>53590</v>
      </c>
      <c r="W10744" t="s">
        <v>45785</v>
      </c>
      <c r="X10744" t="s">
        <v>46579</v>
      </c>
    </row>
    <row r="10745" spans="1:24">
      <c r="A10745">
        <f>HYPERLINK("https://www.philgeps.gov.ph/GEPSNONPILOT/Tender/SplashBidNoticeAbstractUI.aspx?menuIndex=3&amp;refID=7051490&amp;Result=3","7051490")</f>
        <v>0</v>
      </c>
      <c r="B10745" t="s">
        <v>586</v>
      </c>
      <c r="C10745" t="s">
        <v>13707</v>
      </c>
      <c r="D10745" t="s">
        <v>18794</v>
      </c>
      <c r="E10745" t="s">
        <v>13707</v>
      </c>
      <c r="F10745" t="s">
        <v>32664</v>
      </c>
      <c r="G10745" t="s">
        <v>32672</v>
      </c>
      <c r="H10745" t="s">
        <v>12635</v>
      </c>
      <c r="I10745" t="s">
        <v>32696</v>
      </c>
      <c r="J10745" t="s">
        <v>39197</v>
      </c>
      <c r="K10745" t="s">
        <v>42281</v>
      </c>
      <c r="M10745" t="s">
        <v>43166</v>
      </c>
      <c r="N10745" t="s">
        <v>46569</v>
      </c>
      <c r="O10745" t="s">
        <v>46570</v>
      </c>
      <c r="P10745">
        <v>0</v>
      </c>
      <c r="Q10745">
        <v>0</v>
      </c>
      <c r="R10745" t="s">
        <v>46578</v>
      </c>
      <c r="S10745" t="s">
        <v>46874</v>
      </c>
      <c r="T10745" t="s">
        <v>48356</v>
      </c>
      <c r="U10745" t="s">
        <v>57410</v>
      </c>
      <c r="W10745" t="s">
        <v>43166</v>
      </c>
      <c r="X10745" t="s">
        <v>46579</v>
      </c>
    </row>
    <row r="10746" spans="1:24">
      <c r="A10746">
        <f>HYPERLINK("https://www.philgeps.gov.ph/GEPSNONPILOT/Tender/SplashBidNoticeAbstractUI.aspx?menuIndex=3&amp;refID=7051501&amp;Result=3","7051501")</f>
        <v>0</v>
      </c>
      <c r="B10746" t="s">
        <v>212</v>
      </c>
      <c r="C10746" t="s">
        <v>13708</v>
      </c>
      <c r="E10746" t="s">
        <v>28182</v>
      </c>
      <c r="F10746" t="s">
        <v>32664</v>
      </c>
      <c r="G10746" t="s">
        <v>32672</v>
      </c>
      <c r="H10746" t="s">
        <v>32683</v>
      </c>
      <c r="I10746" t="s">
        <v>10627</v>
      </c>
      <c r="J10746" t="s">
        <v>39198</v>
      </c>
      <c r="K10746" t="s">
        <v>42423</v>
      </c>
      <c r="M10746" t="s">
        <v>45764</v>
      </c>
      <c r="N10746" t="s">
        <v>46569</v>
      </c>
      <c r="O10746" t="s">
        <v>46570</v>
      </c>
      <c r="P10746">
        <v>0</v>
      </c>
      <c r="Q10746">
        <v>0</v>
      </c>
      <c r="R10746" t="s">
        <v>46578</v>
      </c>
      <c r="S10746" t="s">
        <v>46874</v>
      </c>
      <c r="T10746" t="s">
        <v>48467</v>
      </c>
      <c r="U10746" t="s">
        <v>57411</v>
      </c>
      <c r="V10746" t="s">
        <v>62784</v>
      </c>
      <c r="W10746" t="s">
        <v>45764</v>
      </c>
      <c r="X10746" t="s">
        <v>46579</v>
      </c>
    </row>
    <row r="10747" spans="1:24">
      <c r="A10747">
        <f>HYPERLINK("https://www.philgeps.gov.ph/GEPSNONPILOT/Tender/SplashBidNoticeAbstractUI.aspx?menuIndex=3&amp;refID=7051486&amp;Result=3","7051486")</f>
        <v>0</v>
      </c>
      <c r="B10747" t="s">
        <v>842</v>
      </c>
      <c r="C10747" t="s">
        <v>13709</v>
      </c>
      <c r="D10747" t="s">
        <v>18830</v>
      </c>
      <c r="E10747" t="s">
        <v>28183</v>
      </c>
      <c r="F10747" t="s">
        <v>32664</v>
      </c>
      <c r="G10747" t="s">
        <v>32672</v>
      </c>
      <c r="H10747" t="s">
        <v>32683</v>
      </c>
      <c r="I10747" t="s">
        <v>10627</v>
      </c>
      <c r="J10747" t="s">
        <v>33150</v>
      </c>
      <c r="K10747" t="s">
        <v>42327</v>
      </c>
      <c r="M10747" t="s">
        <v>43437</v>
      </c>
      <c r="N10747" t="s">
        <v>46569</v>
      </c>
      <c r="O10747" t="s">
        <v>46570</v>
      </c>
      <c r="P10747">
        <v>0</v>
      </c>
      <c r="Q10747">
        <v>5</v>
      </c>
      <c r="R10747" t="s">
        <v>46578</v>
      </c>
      <c r="S10747" t="s">
        <v>46874</v>
      </c>
      <c r="T10747" t="s">
        <v>48248</v>
      </c>
      <c r="U10747" t="s">
        <v>57412</v>
      </c>
      <c r="W10747" t="s">
        <v>43437</v>
      </c>
      <c r="X10747" t="s">
        <v>46579</v>
      </c>
    </row>
    <row r="10748" spans="1:24">
      <c r="A10748">
        <f>HYPERLINK("https://www.philgeps.gov.ph/GEPSNONPILOT/Tender/SplashBidNoticeAbstractUI.aspx?menuIndex=3&amp;refID=7051508&amp;Result=3","7051508")</f>
        <v>0</v>
      </c>
      <c r="B10748" t="s">
        <v>2534</v>
      </c>
      <c r="C10748" t="s">
        <v>13710</v>
      </c>
      <c r="D10748" t="s">
        <v>18783</v>
      </c>
      <c r="E10748" t="s">
        <v>28184</v>
      </c>
      <c r="F10748" t="s">
        <v>32664</v>
      </c>
      <c r="G10748" t="s">
        <v>32672</v>
      </c>
      <c r="H10748" t="s">
        <v>12635</v>
      </c>
      <c r="I10748" t="s">
        <v>32690</v>
      </c>
      <c r="J10748" t="s">
        <v>39199</v>
      </c>
      <c r="K10748" t="s">
        <v>42289</v>
      </c>
      <c r="M10748" t="s">
        <v>45342</v>
      </c>
      <c r="N10748" t="s">
        <v>46569</v>
      </c>
      <c r="O10748" t="s">
        <v>46570</v>
      </c>
      <c r="P10748">
        <v>0</v>
      </c>
      <c r="Q10748">
        <v>5</v>
      </c>
      <c r="R10748" t="s">
        <v>46578</v>
      </c>
      <c r="S10748" t="s">
        <v>46874</v>
      </c>
      <c r="T10748" t="s">
        <v>48467</v>
      </c>
      <c r="U10748" t="s">
        <v>57413</v>
      </c>
      <c r="W10748" t="s">
        <v>45342</v>
      </c>
      <c r="X10748" t="s">
        <v>46579</v>
      </c>
    </row>
    <row r="10749" spans="1:24">
      <c r="A10749">
        <f>HYPERLINK("https://www.philgeps.gov.ph/GEPSNONPILOT/Tender/SplashBidNoticeAbstractUI.aspx?menuIndex=3&amp;refID=7051419&amp;Result=3","7051419")</f>
        <v>0</v>
      </c>
      <c r="B10749" t="s">
        <v>586</v>
      </c>
      <c r="C10749" t="s">
        <v>13711</v>
      </c>
      <c r="D10749" t="s">
        <v>18794</v>
      </c>
      <c r="E10749" t="s">
        <v>13711</v>
      </c>
      <c r="F10749" t="s">
        <v>32664</v>
      </c>
      <c r="G10749" t="s">
        <v>32672</v>
      </c>
      <c r="H10749" t="s">
        <v>12635</v>
      </c>
      <c r="I10749" t="s">
        <v>32706</v>
      </c>
      <c r="J10749" t="s">
        <v>39200</v>
      </c>
      <c r="K10749" t="s">
        <v>42283</v>
      </c>
      <c r="M10749" t="s">
        <v>43166</v>
      </c>
      <c r="N10749" t="s">
        <v>46569</v>
      </c>
      <c r="O10749" t="s">
        <v>46570</v>
      </c>
      <c r="P10749">
        <v>0</v>
      </c>
      <c r="Q10749">
        <v>0</v>
      </c>
      <c r="R10749" t="s">
        <v>46578</v>
      </c>
      <c r="S10749" t="s">
        <v>46874</v>
      </c>
      <c r="T10749" t="s">
        <v>48356</v>
      </c>
      <c r="U10749" t="s">
        <v>57414</v>
      </c>
      <c r="W10749" t="s">
        <v>43166</v>
      </c>
      <c r="X10749" t="s">
        <v>46579</v>
      </c>
    </row>
    <row r="10750" spans="1:24">
      <c r="A10750">
        <f>HYPERLINK("https://www.philgeps.gov.ph/GEPSNONPILOT/Tender/SplashBidNoticeAbstractUI.aspx?menuIndex=3&amp;refID=7051476&amp;Result=3","7051476")</f>
        <v>0</v>
      </c>
      <c r="B10750" t="s">
        <v>586</v>
      </c>
      <c r="C10750" t="s">
        <v>13712</v>
      </c>
      <c r="D10750" t="s">
        <v>18794</v>
      </c>
      <c r="E10750" t="s">
        <v>13712</v>
      </c>
      <c r="F10750" t="s">
        <v>32664</v>
      </c>
      <c r="G10750" t="s">
        <v>32672</v>
      </c>
      <c r="H10750" t="s">
        <v>12635</v>
      </c>
      <c r="I10750" t="s">
        <v>32690</v>
      </c>
      <c r="J10750" t="s">
        <v>39201</v>
      </c>
      <c r="K10750" t="s">
        <v>42281</v>
      </c>
      <c r="M10750" t="s">
        <v>43166</v>
      </c>
      <c r="N10750" t="s">
        <v>46569</v>
      </c>
      <c r="O10750" t="s">
        <v>46570</v>
      </c>
      <c r="P10750">
        <v>0</v>
      </c>
      <c r="Q10750">
        <v>0</v>
      </c>
      <c r="R10750" t="s">
        <v>46578</v>
      </c>
      <c r="S10750" t="s">
        <v>46874</v>
      </c>
      <c r="T10750" t="s">
        <v>48356</v>
      </c>
      <c r="U10750" t="s">
        <v>57415</v>
      </c>
      <c r="W10750" t="s">
        <v>43166</v>
      </c>
      <c r="X10750" t="s">
        <v>46579</v>
      </c>
    </row>
    <row r="10751" spans="1:24">
      <c r="A10751">
        <f>HYPERLINK("https://www.philgeps.gov.ph/GEPSNONPILOT/Tender/SplashBidNoticeAbstractUI.aspx?menuIndex=3&amp;refID=7051465&amp;Result=3","7051465")</f>
        <v>0</v>
      </c>
      <c r="B10751" t="s">
        <v>138</v>
      </c>
      <c r="C10751" t="s">
        <v>13713</v>
      </c>
      <c r="D10751" t="s">
        <v>18792</v>
      </c>
      <c r="E10751" t="s">
        <v>19246</v>
      </c>
      <c r="F10751" t="s">
        <v>32664</v>
      </c>
      <c r="G10751" t="s">
        <v>32672</v>
      </c>
      <c r="H10751" t="s">
        <v>12635</v>
      </c>
      <c r="I10751" t="s">
        <v>32712</v>
      </c>
      <c r="J10751" t="s">
        <v>39202</v>
      </c>
      <c r="K10751" t="s">
        <v>42298</v>
      </c>
      <c r="M10751" t="s">
        <v>42702</v>
      </c>
      <c r="N10751" t="s">
        <v>46569</v>
      </c>
      <c r="O10751" t="s">
        <v>46570</v>
      </c>
      <c r="P10751">
        <v>0</v>
      </c>
      <c r="Q10751">
        <v>22</v>
      </c>
      <c r="R10751" t="s">
        <v>46578</v>
      </c>
      <c r="S10751" t="s">
        <v>46874</v>
      </c>
      <c r="T10751" t="s">
        <v>48665</v>
      </c>
      <c r="U10751" t="s">
        <v>57416</v>
      </c>
      <c r="W10751" t="s">
        <v>42702</v>
      </c>
      <c r="X10751" t="s">
        <v>46579</v>
      </c>
    </row>
    <row r="10752" spans="1:24">
      <c r="A10752">
        <f>HYPERLINK("https://www.philgeps.gov.ph/GEPSNONPILOT/Tender/SplashBidNoticeAbstractUI.aspx?menuIndex=3&amp;refID=7051575&amp;Result=3","7051575")</f>
        <v>0</v>
      </c>
      <c r="B10752" t="s">
        <v>2932</v>
      </c>
      <c r="C10752" t="s">
        <v>13714</v>
      </c>
      <c r="D10752" t="s">
        <v>18799</v>
      </c>
      <c r="E10752" t="s">
        <v>28185</v>
      </c>
      <c r="F10752" t="s">
        <v>32664</v>
      </c>
      <c r="G10752" t="s">
        <v>32672</v>
      </c>
      <c r="H10752" t="s">
        <v>32683</v>
      </c>
      <c r="I10752" t="s">
        <v>10627</v>
      </c>
      <c r="J10752" t="s">
        <v>35044</v>
      </c>
      <c r="K10752" t="s">
        <v>42283</v>
      </c>
      <c r="L10752" t="s">
        <v>2932</v>
      </c>
      <c r="M10752" t="s">
        <v>45786</v>
      </c>
      <c r="N10752" t="s">
        <v>46569</v>
      </c>
      <c r="O10752" t="s">
        <v>46570</v>
      </c>
      <c r="P10752">
        <v>0</v>
      </c>
      <c r="Q10752">
        <v>1</v>
      </c>
      <c r="R10752" t="s">
        <v>46578</v>
      </c>
      <c r="S10752" t="s">
        <v>46874</v>
      </c>
      <c r="T10752" t="s">
        <v>48213</v>
      </c>
      <c r="U10752" t="s">
        <v>57417</v>
      </c>
      <c r="V10752" t="s">
        <v>62785</v>
      </c>
      <c r="W10752" t="s">
        <v>45786</v>
      </c>
      <c r="X10752" t="s">
        <v>46579</v>
      </c>
    </row>
    <row r="10753" spans="1:24">
      <c r="A10753">
        <f>HYPERLINK("https://www.philgeps.gov.ph/GEPSNONPILOT/Tender/SplashBidNoticeAbstractUI.aspx?menuIndex=3&amp;refID=7051467&amp;Result=3","7051467")</f>
        <v>0</v>
      </c>
      <c r="B10753" t="s">
        <v>329</v>
      </c>
      <c r="C10753" t="s">
        <v>13715</v>
      </c>
      <c r="D10753" t="s">
        <v>18806</v>
      </c>
      <c r="E10753" t="s">
        <v>28186</v>
      </c>
      <c r="F10753" t="s">
        <v>32664</v>
      </c>
      <c r="G10753" t="s">
        <v>32672</v>
      </c>
      <c r="H10753" t="s">
        <v>12635</v>
      </c>
      <c r="I10753" t="s">
        <v>4997</v>
      </c>
      <c r="J10753" t="s">
        <v>32859</v>
      </c>
      <c r="K10753" t="s">
        <v>42297</v>
      </c>
      <c r="M10753" t="s">
        <v>42897</v>
      </c>
      <c r="N10753" t="s">
        <v>46569</v>
      </c>
      <c r="O10753" t="s">
        <v>46570</v>
      </c>
      <c r="P10753">
        <v>0</v>
      </c>
      <c r="Q10753">
        <v>1</v>
      </c>
      <c r="R10753" t="s">
        <v>46578</v>
      </c>
      <c r="S10753" t="s">
        <v>46874</v>
      </c>
      <c r="T10753" t="s">
        <v>48334</v>
      </c>
      <c r="U10753" t="s">
        <v>57418</v>
      </c>
      <c r="W10753" t="s">
        <v>42897</v>
      </c>
      <c r="X10753" t="s">
        <v>46579</v>
      </c>
    </row>
    <row r="10754" spans="1:24">
      <c r="A10754">
        <f>HYPERLINK("https://www.philgeps.gov.ph/GEPSNONPILOT/Tender/SplashBidNoticeAbstractUI.aspx?menuIndex=3&amp;refID=7051303&amp;Result=3","7051303")</f>
        <v>0</v>
      </c>
      <c r="B10754" t="s">
        <v>2933</v>
      </c>
      <c r="C10754" t="s">
        <v>13716</v>
      </c>
      <c r="D10754" t="s">
        <v>18784</v>
      </c>
      <c r="E10754" t="s">
        <v>28187</v>
      </c>
      <c r="F10754" t="s">
        <v>32664</v>
      </c>
      <c r="G10754" t="s">
        <v>32674</v>
      </c>
      <c r="H10754" t="s">
        <v>12635</v>
      </c>
      <c r="I10754" t="s">
        <v>6628</v>
      </c>
      <c r="J10754" t="s">
        <v>33905</v>
      </c>
      <c r="K10754" t="s">
        <v>42297</v>
      </c>
      <c r="M10754" t="s">
        <v>45787</v>
      </c>
      <c r="N10754" t="s">
        <v>46569</v>
      </c>
      <c r="O10754" t="s">
        <v>46570</v>
      </c>
      <c r="P10754">
        <v>0</v>
      </c>
      <c r="Q10754">
        <v>18</v>
      </c>
      <c r="R10754" t="s">
        <v>46578</v>
      </c>
      <c r="S10754" t="s">
        <v>46874</v>
      </c>
      <c r="T10754" t="s">
        <v>48290</v>
      </c>
      <c r="U10754" t="s">
        <v>57419</v>
      </c>
      <c r="W10754" t="s">
        <v>45787</v>
      </c>
      <c r="X10754" t="s">
        <v>46579</v>
      </c>
    </row>
    <row r="10755" spans="1:24">
      <c r="A10755">
        <f>HYPERLINK("https://www.philgeps.gov.ph/GEPSNONPILOT/Tender/SplashBidNoticeAbstractUI.aspx?menuIndex=3&amp;refID=7051592&amp;Result=3","7051592")</f>
        <v>0</v>
      </c>
      <c r="B10755" t="s">
        <v>1167</v>
      </c>
      <c r="C10755" t="s">
        <v>13717</v>
      </c>
      <c r="D10755" t="s">
        <v>18865</v>
      </c>
      <c r="E10755" t="s">
        <v>28188</v>
      </c>
      <c r="F10755" t="s">
        <v>32664</v>
      </c>
      <c r="G10755" t="s">
        <v>32674</v>
      </c>
      <c r="H10755" t="s">
        <v>12635</v>
      </c>
      <c r="I10755" t="s">
        <v>32717</v>
      </c>
      <c r="J10755" t="s">
        <v>39203</v>
      </c>
      <c r="K10755" t="s">
        <v>42303</v>
      </c>
      <c r="M10755" t="s">
        <v>43800</v>
      </c>
      <c r="N10755" t="s">
        <v>46569</v>
      </c>
      <c r="O10755" t="s">
        <v>46570</v>
      </c>
      <c r="P10755">
        <v>0</v>
      </c>
      <c r="Q10755">
        <v>0</v>
      </c>
      <c r="R10755" t="s">
        <v>46578</v>
      </c>
      <c r="S10755" t="s">
        <v>46874</v>
      </c>
      <c r="T10755" t="s">
        <v>48211</v>
      </c>
      <c r="U10755" t="s">
        <v>57420</v>
      </c>
      <c r="W10755" t="s">
        <v>43800</v>
      </c>
      <c r="X10755" t="s">
        <v>46579</v>
      </c>
    </row>
    <row r="10756" spans="1:24">
      <c r="A10756">
        <f>HYPERLINK("https://www.philgeps.gov.ph/GEPSNONPILOT/Tender/SplashBidNoticeAbstractUI.aspx?menuIndex=3&amp;refID=7051578&amp;Result=3","7051578")</f>
        <v>0</v>
      </c>
      <c r="B10756" t="s">
        <v>531</v>
      </c>
      <c r="C10756" t="s">
        <v>13718</v>
      </c>
      <c r="D10756" t="s">
        <v>18793</v>
      </c>
      <c r="E10756" t="s">
        <v>28189</v>
      </c>
      <c r="F10756" t="s">
        <v>32664</v>
      </c>
      <c r="G10756" t="s">
        <v>32672</v>
      </c>
      <c r="H10756" t="s">
        <v>32683</v>
      </c>
      <c r="I10756" t="s">
        <v>10627</v>
      </c>
      <c r="J10756" t="s">
        <v>33304</v>
      </c>
      <c r="K10756" t="s">
        <v>42303</v>
      </c>
      <c r="M10756" t="s">
        <v>43109</v>
      </c>
      <c r="N10756" t="s">
        <v>46569</v>
      </c>
      <c r="O10756" t="s">
        <v>46570</v>
      </c>
      <c r="P10756">
        <v>0</v>
      </c>
      <c r="Q10756">
        <v>1</v>
      </c>
      <c r="R10756" t="s">
        <v>46578</v>
      </c>
      <c r="S10756" t="s">
        <v>46874</v>
      </c>
      <c r="T10756" t="s">
        <v>48622</v>
      </c>
      <c r="U10756" t="s">
        <v>57421</v>
      </c>
      <c r="W10756" t="s">
        <v>43109</v>
      </c>
      <c r="X10756" t="s">
        <v>46579</v>
      </c>
    </row>
    <row r="10757" spans="1:24">
      <c r="A10757">
        <f>HYPERLINK("https://www.philgeps.gov.ph/GEPSNONPILOT/Tender/SplashBidNoticeAbstractUI.aspx?menuIndex=3&amp;refID=7051588&amp;Result=3","7051588")</f>
        <v>0</v>
      </c>
      <c r="B10757" t="s">
        <v>2934</v>
      </c>
      <c r="C10757" t="s">
        <v>4204</v>
      </c>
      <c r="D10757" t="s">
        <v>18802</v>
      </c>
      <c r="E10757" t="s">
        <v>25283</v>
      </c>
      <c r="F10757" t="s">
        <v>32664</v>
      </c>
      <c r="G10757" t="s">
        <v>32672</v>
      </c>
      <c r="H10757" t="s">
        <v>32683</v>
      </c>
      <c r="I10757" t="s">
        <v>10627</v>
      </c>
      <c r="J10757" t="s">
        <v>33159</v>
      </c>
      <c r="K10757" t="s">
        <v>42339</v>
      </c>
      <c r="M10757" t="s">
        <v>45788</v>
      </c>
      <c r="N10757" t="s">
        <v>46569</v>
      </c>
      <c r="O10757" t="s">
        <v>46570</v>
      </c>
      <c r="P10757">
        <v>0</v>
      </c>
      <c r="Q10757">
        <v>0</v>
      </c>
      <c r="R10757" t="s">
        <v>46578</v>
      </c>
      <c r="S10757" t="s">
        <v>46874</v>
      </c>
      <c r="T10757" t="s">
        <v>48219</v>
      </c>
      <c r="U10757" t="s">
        <v>57422</v>
      </c>
      <c r="W10757" t="s">
        <v>45788</v>
      </c>
      <c r="X10757" t="s">
        <v>46579</v>
      </c>
    </row>
    <row r="10758" spans="1:24">
      <c r="A10758">
        <f>HYPERLINK("https://www.philgeps.gov.ph/GEPSNONPILOT/Tender/SplashBidNoticeAbstractUI.aspx?menuIndex=3&amp;refID=7051574&amp;Result=3","7051574")</f>
        <v>0</v>
      </c>
      <c r="B10758" t="s">
        <v>183</v>
      </c>
      <c r="C10758" t="s">
        <v>13719</v>
      </c>
      <c r="D10758" t="s">
        <v>18806</v>
      </c>
      <c r="E10758" t="s">
        <v>28190</v>
      </c>
      <c r="F10758" t="s">
        <v>32664</v>
      </c>
      <c r="G10758" t="s">
        <v>32672</v>
      </c>
      <c r="H10758" t="s">
        <v>12635</v>
      </c>
      <c r="I10758" t="s">
        <v>7759</v>
      </c>
      <c r="J10758" t="s">
        <v>39204</v>
      </c>
      <c r="K10758" t="s">
        <v>42281</v>
      </c>
      <c r="M10758" t="s">
        <v>42747</v>
      </c>
      <c r="N10758" t="s">
        <v>46569</v>
      </c>
      <c r="O10758" t="s">
        <v>46570</v>
      </c>
      <c r="P10758">
        <v>0</v>
      </c>
      <c r="Q10758">
        <v>3</v>
      </c>
      <c r="R10758" t="s">
        <v>46578</v>
      </c>
      <c r="S10758" t="s">
        <v>46874</v>
      </c>
      <c r="T10758" t="s">
        <v>48351</v>
      </c>
      <c r="U10758" t="s">
        <v>57423</v>
      </c>
      <c r="W10758" t="s">
        <v>42747</v>
      </c>
      <c r="X10758" t="s">
        <v>46579</v>
      </c>
    </row>
    <row r="10759" spans="1:24">
      <c r="A10759">
        <f>HYPERLINK("https://www.philgeps.gov.ph/GEPSNONPILOT/Tender/SplashBidNoticeAbstractUI.aspx?menuIndex=3&amp;refID=7051573&amp;Result=3","7051573")</f>
        <v>0</v>
      </c>
      <c r="B10759" t="s">
        <v>199</v>
      </c>
      <c r="C10759" t="s">
        <v>13720</v>
      </c>
      <c r="D10759" t="s">
        <v>18789</v>
      </c>
      <c r="E10759" t="s">
        <v>28191</v>
      </c>
      <c r="F10759" t="s">
        <v>32664</v>
      </c>
      <c r="G10759" t="s">
        <v>32672</v>
      </c>
      <c r="H10759" t="s">
        <v>12635</v>
      </c>
      <c r="I10759" t="s">
        <v>32716</v>
      </c>
      <c r="J10759" t="s">
        <v>39205</v>
      </c>
      <c r="K10759" t="s">
        <v>42305</v>
      </c>
      <c r="M10759" t="s">
        <v>45558</v>
      </c>
      <c r="N10759" t="s">
        <v>46569</v>
      </c>
      <c r="O10759" t="s">
        <v>46570</v>
      </c>
      <c r="P10759">
        <v>0</v>
      </c>
      <c r="Q10759">
        <v>5</v>
      </c>
      <c r="R10759" t="s">
        <v>46578</v>
      </c>
      <c r="S10759" t="s">
        <v>46874</v>
      </c>
      <c r="T10759" t="s">
        <v>48468</v>
      </c>
      <c r="U10759" t="s">
        <v>57424</v>
      </c>
      <c r="V10759" t="s">
        <v>62632</v>
      </c>
      <c r="W10759" t="s">
        <v>45558</v>
      </c>
      <c r="X10759" t="s">
        <v>46579</v>
      </c>
    </row>
    <row r="10760" spans="1:24">
      <c r="A10760">
        <f>HYPERLINK("https://www.philgeps.gov.ph/GEPSNONPILOT/Tender/SplashBidNoticeAbstractUI.aspx?menuIndex=3&amp;refID=7051562&amp;Result=3","7051562")</f>
        <v>0</v>
      </c>
      <c r="B10760" t="s">
        <v>2935</v>
      </c>
      <c r="C10760" t="s">
        <v>13721</v>
      </c>
      <c r="D10760" t="s">
        <v>18806</v>
      </c>
      <c r="E10760" t="s">
        <v>19632</v>
      </c>
      <c r="F10760" t="s">
        <v>32664</v>
      </c>
      <c r="G10760" t="s">
        <v>32672</v>
      </c>
      <c r="H10760" t="s">
        <v>32683</v>
      </c>
      <c r="I10760" t="s">
        <v>10627</v>
      </c>
      <c r="J10760" t="s">
        <v>39206</v>
      </c>
      <c r="K10760" t="s">
        <v>42305</v>
      </c>
      <c r="M10760" t="s">
        <v>45789</v>
      </c>
      <c r="N10760" t="s">
        <v>46569</v>
      </c>
      <c r="O10760" t="s">
        <v>46570</v>
      </c>
      <c r="P10760">
        <v>0</v>
      </c>
      <c r="Q10760">
        <v>0</v>
      </c>
      <c r="R10760" t="s">
        <v>46578</v>
      </c>
      <c r="S10760" t="s">
        <v>46874</v>
      </c>
      <c r="T10760" t="s">
        <v>48424</v>
      </c>
      <c r="U10760" t="s">
        <v>57425</v>
      </c>
      <c r="W10760" t="s">
        <v>45789</v>
      </c>
      <c r="X10760" t="s">
        <v>46579</v>
      </c>
    </row>
    <row r="10761" spans="1:24">
      <c r="A10761">
        <f>HYPERLINK("https://www.philgeps.gov.ph/GEPSNONPILOT/Tender/SplashBidNoticeAbstractUI.aspx?menuIndex=3&amp;refID=7051553&amp;Result=3","7051553")</f>
        <v>0</v>
      </c>
      <c r="B10761" t="s">
        <v>168</v>
      </c>
      <c r="C10761" t="s">
        <v>13722</v>
      </c>
      <c r="D10761" t="s">
        <v>18790</v>
      </c>
      <c r="E10761" t="s">
        <v>28192</v>
      </c>
      <c r="F10761" t="s">
        <v>32664</v>
      </c>
      <c r="G10761" t="s">
        <v>32672</v>
      </c>
      <c r="H10761" t="s">
        <v>12635</v>
      </c>
      <c r="I10761" t="s">
        <v>4439</v>
      </c>
      <c r="J10761" t="s">
        <v>39207</v>
      </c>
      <c r="K10761" t="s">
        <v>42284</v>
      </c>
      <c r="M10761" t="s">
        <v>42732</v>
      </c>
      <c r="N10761" t="s">
        <v>46569</v>
      </c>
      <c r="O10761" t="s">
        <v>46570</v>
      </c>
      <c r="P10761">
        <v>0</v>
      </c>
      <c r="Q10761">
        <v>0</v>
      </c>
      <c r="R10761" t="s">
        <v>46578</v>
      </c>
      <c r="S10761" t="s">
        <v>46874</v>
      </c>
      <c r="T10761" t="s">
        <v>48452</v>
      </c>
      <c r="U10761" t="s">
        <v>57426</v>
      </c>
      <c r="W10761" t="s">
        <v>42732</v>
      </c>
      <c r="X10761" t="s">
        <v>46579</v>
      </c>
    </row>
    <row r="10762" spans="1:24">
      <c r="A10762">
        <f>HYPERLINK("https://www.philgeps.gov.ph/GEPSNONPILOT/Tender/SplashBidNoticeAbstractUI.aspx?menuIndex=3&amp;refID=7051552&amp;Result=3","7051552")</f>
        <v>0</v>
      </c>
      <c r="B10762" t="s">
        <v>2932</v>
      </c>
      <c r="C10762" t="s">
        <v>13723</v>
      </c>
      <c r="D10762" t="s">
        <v>18799</v>
      </c>
      <c r="E10762" t="s">
        <v>28193</v>
      </c>
      <c r="F10762" t="s">
        <v>32664</v>
      </c>
      <c r="G10762" t="s">
        <v>32672</v>
      </c>
      <c r="H10762" t="s">
        <v>32683</v>
      </c>
      <c r="I10762" t="s">
        <v>10627</v>
      </c>
      <c r="J10762" t="s">
        <v>39017</v>
      </c>
      <c r="K10762" t="s">
        <v>42283</v>
      </c>
      <c r="L10762" t="s">
        <v>2932</v>
      </c>
      <c r="M10762" t="s">
        <v>45786</v>
      </c>
      <c r="N10762" t="s">
        <v>46569</v>
      </c>
      <c r="O10762" t="s">
        <v>46570</v>
      </c>
      <c r="P10762">
        <v>0</v>
      </c>
      <c r="Q10762">
        <v>1</v>
      </c>
      <c r="R10762" t="s">
        <v>46578</v>
      </c>
      <c r="S10762" t="s">
        <v>46874</v>
      </c>
      <c r="T10762" t="s">
        <v>48213</v>
      </c>
      <c r="U10762" t="s">
        <v>57417</v>
      </c>
      <c r="V10762" t="s">
        <v>62785</v>
      </c>
      <c r="W10762" t="s">
        <v>45786</v>
      </c>
      <c r="X10762" t="s">
        <v>46579</v>
      </c>
    </row>
    <row r="10763" spans="1:24">
      <c r="A10763">
        <f>HYPERLINK("https://www.philgeps.gov.ph/GEPSNONPILOT/Tender/SplashBidNoticeAbstractUI.aspx?menuIndex=3&amp;refID=7051550&amp;Result=3","7051550")</f>
        <v>0</v>
      </c>
      <c r="B10763" t="s">
        <v>2936</v>
      </c>
      <c r="C10763" t="s">
        <v>13724</v>
      </c>
      <c r="D10763" t="s">
        <v>18804</v>
      </c>
      <c r="E10763" t="s">
        <v>19380</v>
      </c>
      <c r="F10763" t="s">
        <v>32664</v>
      </c>
      <c r="G10763" t="s">
        <v>32672</v>
      </c>
      <c r="H10763" t="s">
        <v>32683</v>
      </c>
      <c r="I10763" t="s">
        <v>10627</v>
      </c>
      <c r="J10763" t="s">
        <v>39208</v>
      </c>
      <c r="K10763" t="s">
        <v>42283</v>
      </c>
      <c r="M10763" t="s">
        <v>45790</v>
      </c>
      <c r="N10763" t="s">
        <v>46569</v>
      </c>
      <c r="O10763" t="s">
        <v>46570</v>
      </c>
      <c r="P10763">
        <v>0</v>
      </c>
      <c r="Q10763">
        <v>4</v>
      </c>
      <c r="R10763" t="s">
        <v>46578</v>
      </c>
      <c r="S10763" t="s">
        <v>46874</v>
      </c>
      <c r="T10763" t="s">
        <v>48468</v>
      </c>
      <c r="U10763" t="s">
        <v>57427</v>
      </c>
      <c r="W10763" t="s">
        <v>45790</v>
      </c>
      <c r="X10763" t="s">
        <v>46579</v>
      </c>
    </row>
    <row r="10764" spans="1:24">
      <c r="A10764">
        <f>HYPERLINK("https://www.philgeps.gov.ph/GEPSNONPILOT/Tender/SplashBidNoticeAbstractUI.aspx?menuIndex=3&amp;refID=7051676&amp;Result=3","7051676")</f>
        <v>0</v>
      </c>
      <c r="B10764" t="s">
        <v>2687</v>
      </c>
      <c r="C10764" t="s">
        <v>13725</v>
      </c>
      <c r="D10764" t="s">
        <v>18789</v>
      </c>
      <c r="E10764" t="s">
        <v>28194</v>
      </c>
      <c r="F10764" t="s">
        <v>32664</v>
      </c>
      <c r="G10764" t="s">
        <v>32671</v>
      </c>
      <c r="H10764" t="s">
        <v>12635</v>
      </c>
      <c r="I10764" t="s">
        <v>32685</v>
      </c>
      <c r="J10764" t="s">
        <v>39209</v>
      </c>
      <c r="K10764" t="s">
        <v>42297</v>
      </c>
      <c r="M10764" t="s">
        <v>45512</v>
      </c>
      <c r="N10764" t="s">
        <v>46569</v>
      </c>
      <c r="O10764" t="s">
        <v>46570</v>
      </c>
      <c r="P10764">
        <v>0</v>
      </c>
      <c r="Q10764">
        <v>1</v>
      </c>
      <c r="R10764" t="s">
        <v>46578</v>
      </c>
      <c r="S10764" t="s">
        <v>46874</v>
      </c>
      <c r="T10764" t="s">
        <v>48448</v>
      </c>
      <c r="U10764" t="s">
        <v>57428</v>
      </c>
      <c r="W10764" t="s">
        <v>45512</v>
      </c>
      <c r="X10764" t="s">
        <v>46579</v>
      </c>
    </row>
    <row r="10765" spans="1:24">
      <c r="A10765">
        <f>HYPERLINK("https://www.philgeps.gov.ph/GEPSNONPILOT/Tender/SplashBidNoticeAbstractUI.aspx?menuIndex=3&amp;refID=7051497&amp;Result=3","7051497")</f>
        <v>0</v>
      </c>
      <c r="B10765" t="s">
        <v>2937</v>
      </c>
      <c r="C10765" t="s">
        <v>13726</v>
      </c>
      <c r="D10765" t="s">
        <v>18781</v>
      </c>
      <c r="E10765" t="s">
        <v>28195</v>
      </c>
      <c r="F10765" t="s">
        <v>32664</v>
      </c>
      <c r="G10765" t="s">
        <v>32672</v>
      </c>
      <c r="H10765" t="s">
        <v>32683</v>
      </c>
      <c r="I10765" t="s">
        <v>32716</v>
      </c>
      <c r="J10765" t="s">
        <v>39210</v>
      </c>
      <c r="K10765" t="s">
        <v>42298</v>
      </c>
      <c r="M10765" t="s">
        <v>45791</v>
      </c>
      <c r="N10765" t="s">
        <v>46569</v>
      </c>
      <c r="O10765" t="s">
        <v>46570</v>
      </c>
      <c r="P10765">
        <v>0</v>
      </c>
      <c r="Q10765">
        <v>0</v>
      </c>
      <c r="R10765" t="s">
        <v>46578</v>
      </c>
      <c r="S10765" t="s">
        <v>46874</v>
      </c>
      <c r="T10765" t="s">
        <v>48630</v>
      </c>
      <c r="U10765" t="s">
        <v>57429</v>
      </c>
      <c r="W10765" t="s">
        <v>45791</v>
      </c>
      <c r="X10765" t="s">
        <v>46579</v>
      </c>
    </row>
    <row r="10766" spans="1:24">
      <c r="A10766">
        <f>HYPERLINK("https://www.philgeps.gov.ph/GEPSNONPILOT/Tender/SplashBidNoticeAbstractUI.aspx?menuIndex=3&amp;refID=7051461&amp;Result=3","7051461")</f>
        <v>0</v>
      </c>
      <c r="B10766" t="s">
        <v>2534</v>
      </c>
      <c r="C10766" t="s">
        <v>13727</v>
      </c>
      <c r="D10766" t="s">
        <v>18783</v>
      </c>
      <c r="E10766" t="s">
        <v>28196</v>
      </c>
      <c r="F10766" t="s">
        <v>32664</v>
      </c>
      <c r="G10766" t="s">
        <v>32672</v>
      </c>
      <c r="H10766" t="s">
        <v>12635</v>
      </c>
      <c r="I10766" t="s">
        <v>32690</v>
      </c>
      <c r="J10766" t="s">
        <v>35513</v>
      </c>
      <c r="K10766" t="s">
        <v>42289</v>
      </c>
      <c r="M10766" t="s">
        <v>45342</v>
      </c>
      <c r="N10766" t="s">
        <v>46569</v>
      </c>
      <c r="O10766" t="s">
        <v>46570</v>
      </c>
      <c r="P10766">
        <v>0</v>
      </c>
      <c r="Q10766">
        <v>4</v>
      </c>
      <c r="R10766" t="s">
        <v>46578</v>
      </c>
      <c r="S10766" t="s">
        <v>46874</v>
      </c>
      <c r="T10766" t="s">
        <v>48467</v>
      </c>
      <c r="U10766" t="s">
        <v>57430</v>
      </c>
      <c r="W10766" t="s">
        <v>45342</v>
      </c>
      <c r="X10766" t="s">
        <v>46579</v>
      </c>
    </row>
    <row r="10767" spans="1:24">
      <c r="A10767">
        <f>HYPERLINK("https://www.philgeps.gov.ph/GEPSNONPILOT/Tender/SplashBidNoticeAbstractUI.aspx?menuIndex=3&amp;refID=7051661&amp;Result=3","7051661")</f>
        <v>0</v>
      </c>
      <c r="B10767" t="s">
        <v>2938</v>
      </c>
      <c r="C10767" t="s">
        <v>13728</v>
      </c>
      <c r="D10767" t="s">
        <v>18807</v>
      </c>
      <c r="E10767" t="s">
        <v>28197</v>
      </c>
      <c r="F10767" t="s">
        <v>32664</v>
      </c>
      <c r="G10767" t="s">
        <v>32675</v>
      </c>
      <c r="H10767" t="s">
        <v>12635</v>
      </c>
      <c r="I10767" t="s">
        <v>14442</v>
      </c>
      <c r="J10767" t="s">
        <v>33218</v>
      </c>
      <c r="K10767" t="s">
        <v>42281</v>
      </c>
      <c r="M10767" t="s">
        <v>45792</v>
      </c>
      <c r="N10767" t="s">
        <v>46569</v>
      </c>
      <c r="O10767" t="s">
        <v>46570</v>
      </c>
      <c r="P10767">
        <v>0</v>
      </c>
      <c r="Q10767">
        <v>7</v>
      </c>
      <c r="R10767" t="s">
        <v>46578</v>
      </c>
      <c r="S10767" t="s">
        <v>46874</v>
      </c>
      <c r="T10767" t="s">
        <v>48562</v>
      </c>
      <c r="U10767" t="s">
        <v>57431</v>
      </c>
      <c r="V10767" t="s">
        <v>61916</v>
      </c>
      <c r="W10767" t="s">
        <v>45792</v>
      </c>
      <c r="X10767" t="s">
        <v>46579</v>
      </c>
    </row>
    <row r="10768" spans="1:24">
      <c r="A10768">
        <f>HYPERLINK("https://www.philgeps.gov.ph/GEPSNONPILOT/Tender/SplashBidNoticeAbstractUI.aspx?menuIndex=3&amp;refID=7051362&amp;Result=3","7051362")</f>
        <v>0</v>
      </c>
      <c r="B10768" t="s">
        <v>1478</v>
      </c>
      <c r="C10768" t="s">
        <v>13729</v>
      </c>
      <c r="D10768" t="s">
        <v>18853</v>
      </c>
      <c r="E10768" t="s">
        <v>28198</v>
      </c>
      <c r="F10768" t="s">
        <v>32664</v>
      </c>
      <c r="G10768" t="s">
        <v>32672</v>
      </c>
      <c r="H10768" t="s">
        <v>32683</v>
      </c>
      <c r="I10768" t="s">
        <v>10627</v>
      </c>
      <c r="J10768" t="s">
        <v>39211</v>
      </c>
      <c r="K10768" t="s">
        <v>42296</v>
      </c>
      <c r="M10768" t="s">
        <v>44141</v>
      </c>
      <c r="N10768" t="s">
        <v>46569</v>
      </c>
      <c r="O10768" t="s">
        <v>46570</v>
      </c>
      <c r="P10768">
        <v>0</v>
      </c>
      <c r="Q10768">
        <v>0</v>
      </c>
      <c r="R10768" t="s">
        <v>46578</v>
      </c>
      <c r="S10768" t="s">
        <v>46874</v>
      </c>
      <c r="T10768" t="s">
        <v>48270</v>
      </c>
      <c r="U10768" t="s">
        <v>52065</v>
      </c>
      <c r="W10768" t="s">
        <v>44141</v>
      </c>
      <c r="X10768" t="s">
        <v>46579</v>
      </c>
    </row>
    <row r="10769" spans="1:24">
      <c r="A10769">
        <f>HYPERLINK("https://www.philgeps.gov.ph/GEPSNONPILOT/Tender/SplashBidNoticeAbstractUI.aspx?menuIndex=3&amp;refID=7051655&amp;Result=3","7051655")</f>
        <v>0</v>
      </c>
      <c r="B10769" t="s">
        <v>1943</v>
      </c>
      <c r="C10769" t="s">
        <v>13730</v>
      </c>
      <c r="D10769" t="s">
        <v>18842</v>
      </c>
      <c r="E10769" t="s">
        <v>28199</v>
      </c>
      <c r="F10769" t="s">
        <v>32664</v>
      </c>
      <c r="G10769" t="s">
        <v>32672</v>
      </c>
      <c r="H10769" t="s">
        <v>32683</v>
      </c>
      <c r="I10769" t="s">
        <v>10627</v>
      </c>
      <c r="J10769" t="s">
        <v>39212</v>
      </c>
      <c r="K10769" t="s">
        <v>42305</v>
      </c>
      <c r="M10769" t="s">
        <v>44668</v>
      </c>
      <c r="N10769" t="s">
        <v>46569</v>
      </c>
      <c r="O10769" t="s">
        <v>46570</v>
      </c>
      <c r="P10769">
        <v>0</v>
      </c>
      <c r="Q10769">
        <v>0</v>
      </c>
      <c r="R10769" t="s">
        <v>46578</v>
      </c>
      <c r="S10769" t="s">
        <v>46874</v>
      </c>
      <c r="T10769" t="s">
        <v>48225</v>
      </c>
      <c r="U10769" t="s">
        <v>57432</v>
      </c>
      <c r="W10769" t="s">
        <v>44668</v>
      </c>
      <c r="X10769" t="s">
        <v>46579</v>
      </c>
    </row>
    <row r="10770" spans="1:24">
      <c r="A10770">
        <f>HYPERLINK("https://www.philgeps.gov.ph/GEPSNONPILOT/Tender/SplashBidNoticeAbstractUI.aspx?menuIndex=3&amp;refID=7051672&amp;Result=3","7051672")</f>
        <v>0</v>
      </c>
      <c r="B10770" t="s">
        <v>2932</v>
      </c>
      <c r="C10770" t="s">
        <v>13731</v>
      </c>
      <c r="D10770" t="s">
        <v>18799</v>
      </c>
      <c r="E10770" t="s">
        <v>28200</v>
      </c>
      <c r="F10770" t="s">
        <v>32664</v>
      </c>
      <c r="G10770" t="s">
        <v>32672</v>
      </c>
      <c r="H10770" t="s">
        <v>32683</v>
      </c>
      <c r="I10770" t="s">
        <v>10627</v>
      </c>
      <c r="J10770" t="s">
        <v>39213</v>
      </c>
      <c r="K10770" t="s">
        <v>42283</v>
      </c>
      <c r="L10770" t="s">
        <v>2932</v>
      </c>
      <c r="M10770" t="s">
        <v>45786</v>
      </c>
      <c r="N10770" t="s">
        <v>46569</v>
      </c>
      <c r="O10770" t="s">
        <v>46570</v>
      </c>
      <c r="P10770">
        <v>0</v>
      </c>
      <c r="Q10770">
        <v>2</v>
      </c>
      <c r="R10770" t="s">
        <v>46578</v>
      </c>
      <c r="S10770" t="s">
        <v>46874</v>
      </c>
      <c r="T10770" t="s">
        <v>48213</v>
      </c>
      <c r="U10770" t="s">
        <v>57417</v>
      </c>
      <c r="V10770" t="s">
        <v>62785</v>
      </c>
      <c r="W10770" t="s">
        <v>45786</v>
      </c>
      <c r="X10770" t="s">
        <v>46579</v>
      </c>
    </row>
    <row r="10771" spans="1:24">
      <c r="A10771">
        <f>HYPERLINK("https://www.philgeps.gov.ph/GEPSNONPILOT/Tender/SplashBidNoticeAbstractUI.aspx?menuIndex=3&amp;refID=7051651&amp;Result=3","7051651")</f>
        <v>0</v>
      </c>
      <c r="B10771" t="s">
        <v>678</v>
      </c>
      <c r="C10771" t="s">
        <v>13732</v>
      </c>
      <c r="E10771" t="s">
        <v>28201</v>
      </c>
      <c r="F10771" t="s">
        <v>32664</v>
      </c>
      <c r="G10771" t="s">
        <v>32672</v>
      </c>
      <c r="H10771" t="s">
        <v>12635</v>
      </c>
      <c r="I10771" t="s">
        <v>32699</v>
      </c>
      <c r="J10771" t="s">
        <v>39214</v>
      </c>
      <c r="K10771" t="s">
        <v>42283</v>
      </c>
      <c r="M10771" t="s">
        <v>43265</v>
      </c>
      <c r="N10771" t="s">
        <v>46569</v>
      </c>
      <c r="O10771" t="s">
        <v>46570</v>
      </c>
      <c r="P10771">
        <v>0</v>
      </c>
      <c r="Q10771">
        <v>3</v>
      </c>
      <c r="R10771" t="s">
        <v>46578</v>
      </c>
      <c r="S10771" t="s">
        <v>46874</v>
      </c>
      <c r="T10771" t="s">
        <v>48274</v>
      </c>
      <c r="U10771" t="s">
        <v>57433</v>
      </c>
      <c r="W10771" t="s">
        <v>43265</v>
      </c>
      <c r="X10771" t="s">
        <v>46579</v>
      </c>
    </row>
    <row r="10772" spans="1:24">
      <c r="A10772">
        <f>HYPERLINK("https://www.philgeps.gov.ph/GEPSNONPILOT/Tender/SplashBidNoticeAbstractUI.aspx?menuIndex=3&amp;refID=7051583&amp;Result=3","7051583")</f>
        <v>0</v>
      </c>
      <c r="B10772" t="s">
        <v>2939</v>
      </c>
      <c r="C10772" t="s">
        <v>12849</v>
      </c>
      <c r="D10772" t="s">
        <v>18797</v>
      </c>
      <c r="E10772" t="s">
        <v>28202</v>
      </c>
      <c r="F10772" t="s">
        <v>32665</v>
      </c>
      <c r="G10772" t="s">
        <v>32672</v>
      </c>
      <c r="H10772" t="s">
        <v>32683</v>
      </c>
      <c r="I10772" t="s">
        <v>4439</v>
      </c>
      <c r="J10772" t="s">
        <v>39215</v>
      </c>
      <c r="K10772" t="s">
        <v>42289</v>
      </c>
      <c r="M10772" t="s">
        <v>45793</v>
      </c>
      <c r="N10772" t="s">
        <v>46569</v>
      </c>
      <c r="O10772" t="s">
        <v>46570</v>
      </c>
      <c r="P10772">
        <v>0</v>
      </c>
      <c r="Q10772">
        <v>0</v>
      </c>
      <c r="R10772" t="s">
        <v>46578</v>
      </c>
      <c r="S10772" t="s">
        <v>46874</v>
      </c>
      <c r="T10772" t="s">
        <v>48237</v>
      </c>
      <c r="U10772" t="s">
        <v>57434</v>
      </c>
      <c r="W10772" t="s">
        <v>45793</v>
      </c>
      <c r="X10772" t="s">
        <v>46579</v>
      </c>
    </row>
    <row r="10773" spans="1:24">
      <c r="A10773">
        <f>HYPERLINK("https://www.philgeps.gov.ph/GEPSNONPILOT/Tender/SplashBidNoticeAbstractUI.aspx?menuIndex=3&amp;refID=7051645&amp;Result=3","7051645")</f>
        <v>0</v>
      </c>
      <c r="B10773" t="s">
        <v>773</v>
      </c>
      <c r="C10773" t="s">
        <v>13733</v>
      </c>
      <c r="D10773" t="s">
        <v>18821</v>
      </c>
      <c r="E10773" t="s">
        <v>28088</v>
      </c>
      <c r="F10773" t="s">
        <v>32664</v>
      </c>
      <c r="G10773" t="s">
        <v>32671</v>
      </c>
      <c r="H10773" t="s">
        <v>12635</v>
      </c>
      <c r="I10773" t="s">
        <v>8958</v>
      </c>
      <c r="J10773" t="s">
        <v>35587</v>
      </c>
      <c r="K10773" t="s">
        <v>42284</v>
      </c>
      <c r="M10773" t="s">
        <v>43364</v>
      </c>
      <c r="N10773" t="s">
        <v>46569</v>
      </c>
      <c r="O10773" t="s">
        <v>46570</v>
      </c>
      <c r="P10773">
        <v>0</v>
      </c>
      <c r="Q10773">
        <v>1</v>
      </c>
      <c r="R10773" t="s">
        <v>46578</v>
      </c>
      <c r="S10773" t="s">
        <v>46874</v>
      </c>
      <c r="T10773" t="s">
        <v>48670</v>
      </c>
      <c r="U10773" t="s">
        <v>57317</v>
      </c>
      <c r="W10773" t="s">
        <v>43364</v>
      </c>
      <c r="X10773" t="s">
        <v>46579</v>
      </c>
    </row>
    <row r="10774" spans="1:24">
      <c r="A10774">
        <f>HYPERLINK("https://www.philgeps.gov.ph/GEPSNONPILOT/Tender/SplashBidNoticeAbstractUI.aspx?menuIndex=3&amp;refID=7051642&amp;Result=3","7051642")</f>
        <v>0</v>
      </c>
      <c r="B10774" t="s">
        <v>2932</v>
      </c>
      <c r="C10774" t="s">
        <v>13734</v>
      </c>
      <c r="D10774" t="s">
        <v>18799</v>
      </c>
      <c r="E10774" t="s">
        <v>28203</v>
      </c>
      <c r="F10774" t="s">
        <v>32664</v>
      </c>
      <c r="G10774" t="s">
        <v>32672</v>
      </c>
      <c r="H10774" t="s">
        <v>32683</v>
      </c>
      <c r="I10774" t="s">
        <v>10627</v>
      </c>
      <c r="J10774" t="s">
        <v>34033</v>
      </c>
      <c r="K10774" t="s">
        <v>42283</v>
      </c>
      <c r="L10774" t="s">
        <v>2932</v>
      </c>
      <c r="M10774" t="s">
        <v>45786</v>
      </c>
      <c r="N10774" t="s">
        <v>46569</v>
      </c>
      <c r="O10774" t="s">
        <v>46570</v>
      </c>
      <c r="P10774">
        <v>0</v>
      </c>
      <c r="Q10774">
        <v>1</v>
      </c>
      <c r="R10774" t="s">
        <v>46578</v>
      </c>
      <c r="S10774" t="s">
        <v>46874</v>
      </c>
      <c r="T10774" t="s">
        <v>48213</v>
      </c>
      <c r="U10774" t="s">
        <v>57417</v>
      </c>
      <c r="V10774" t="s">
        <v>62785</v>
      </c>
      <c r="W10774" t="s">
        <v>45786</v>
      </c>
      <c r="X10774" t="s">
        <v>46579</v>
      </c>
    </row>
    <row r="10775" spans="1:24">
      <c r="A10775">
        <f>HYPERLINK("https://www.philgeps.gov.ph/GEPSNONPILOT/Tender/SplashBidNoticeAbstractUI.aspx?menuIndex=3&amp;refID=7051637&amp;Result=3","7051637")</f>
        <v>0</v>
      </c>
      <c r="B10775" t="s">
        <v>2469</v>
      </c>
      <c r="C10775" t="s">
        <v>13735</v>
      </c>
      <c r="D10775" t="s">
        <v>18801</v>
      </c>
      <c r="E10775" t="s">
        <v>28204</v>
      </c>
      <c r="F10775" t="s">
        <v>32664</v>
      </c>
      <c r="G10775" t="s">
        <v>32672</v>
      </c>
      <c r="H10775" t="s">
        <v>32683</v>
      </c>
      <c r="I10775" t="s">
        <v>10627</v>
      </c>
      <c r="J10775" t="s">
        <v>33858</v>
      </c>
      <c r="K10775" t="s">
        <v>42290</v>
      </c>
      <c r="M10775" t="s">
        <v>45267</v>
      </c>
      <c r="N10775" t="s">
        <v>46569</v>
      </c>
      <c r="O10775" t="s">
        <v>46570</v>
      </c>
      <c r="P10775">
        <v>0</v>
      </c>
      <c r="Q10775">
        <v>12</v>
      </c>
      <c r="R10775" t="s">
        <v>46578</v>
      </c>
      <c r="S10775" t="s">
        <v>46874</v>
      </c>
      <c r="T10775" t="s">
        <v>48381</v>
      </c>
      <c r="U10775" t="s">
        <v>55574</v>
      </c>
      <c r="V10775" t="s">
        <v>62260</v>
      </c>
      <c r="W10775" t="s">
        <v>63561</v>
      </c>
      <c r="X10775" t="s">
        <v>46579</v>
      </c>
    </row>
    <row r="10776" spans="1:24">
      <c r="A10776">
        <f>HYPERLINK("https://www.philgeps.gov.ph/GEPSNONPILOT/Tender/SplashBidNoticeAbstractUI.aspx?menuIndex=3&amp;refID=7051368&amp;Result=3","7051368")</f>
        <v>0</v>
      </c>
      <c r="B10776" t="s">
        <v>556</v>
      </c>
      <c r="C10776" t="s">
        <v>13736</v>
      </c>
      <c r="D10776" t="s">
        <v>18843</v>
      </c>
      <c r="E10776" t="s">
        <v>28205</v>
      </c>
      <c r="F10776" t="s">
        <v>32664</v>
      </c>
      <c r="G10776" t="s">
        <v>32672</v>
      </c>
      <c r="H10776" t="s">
        <v>12635</v>
      </c>
      <c r="I10776" t="s">
        <v>32694</v>
      </c>
      <c r="J10776" t="s">
        <v>39216</v>
      </c>
      <c r="K10776" t="s">
        <v>42284</v>
      </c>
      <c r="M10776" t="s">
        <v>43136</v>
      </c>
      <c r="N10776" t="s">
        <v>46569</v>
      </c>
      <c r="O10776" t="s">
        <v>46570</v>
      </c>
      <c r="P10776">
        <v>0</v>
      </c>
      <c r="Q10776">
        <v>0</v>
      </c>
      <c r="R10776" t="s">
        <v>46578</v>
      </c>
      <c r="S10776" t="s">
        <v>46874</v>
      </c>
      <c r="T10776" t="s">
        <v>48293</v>
      </c>
      <c r="U10776" t="s">
        <v>57435</v>
      </c>
      <c r="V10776" t="s">
        <v>62786</v>
      </c>
      <c r="W10776" t="s">
        <v>43136</v>
      </c>
      <c r="X10776" t="s">
        <v>46579</v>
      </c>
    </row>
    <row r="10777" spans="1:24">
      <c r="A10777">
        <f>HYPERLINK("https://www.philgeps.gov.ph/GEPSNONPILOT/Tender/SplashBidNoticeAbstractUI.aspx?menuIndex=3&amp;refID=7051635&amp;Result=3","7051635")</f>
        <v>0</v>
      </c>
      <c r="B10777" t="s">
        <v>363</v>
      </c>
      <c r="C10777" t="s">
        <v>13737</v>
      </c>
      <c r="D10777" t="s">
        <v>18792</v>
      </c>
      <c r="E10777" t="s">
        <v>28206</v>
      </c>
      <c r="F10777" t="s">
        <v>32664</v>
      </c>
      <c r="G10777" t="s">
        <v>32671</v>
      </c>
      <c r="H10777" t="s">
        <v>12635</v>
      </c>
      <c r="I10777" t="s">
        <v>32696</v>
      </c>
      <c r="J10777" t="s">
        <v>39217</v>
      </c>
      <c r="K10777" t="s">
        <v>42306</v>
      </c>
      <c r="M10777" t="s">
        <v>42932</v>
      </c>
      <c r="N10777" t="s">
        <v>46569</v>
      </c>
      <c r="O10777" t="s">
        <v>46570</v>
      </c>
      <c r="Q10777">
        <v>0</v>
      </c>
      <c r="R10777" t="s">
        <v>46578</v>
      </c>
      <c r="S10777" t="s">
        <v>46908</v>
      </c>
      <c r="T10777" t="s">
        <v>48256</v>
      </c>
      <c r="U10777" t="s">
        <v>57436</v>
      </c>
      <c r="W10777" t="s">
        <v>42932</v>
      </c>
      <c r="X10777" t="s">
        <v>46579</v>
      </c>
    </row>
    <row r="10778" spans="1:24">
      <c r="A10778">
        <f>HYPERLINK("https://www.philgeps.gov.ph/GEPSNONPILOT/Tender/SplashBidNoticeAbstractUI.aspx?menuIndex=3&amp;refID=7051657&amp;Result=3","7051657")</f>
        <v>0</v>
      </c>
      <c r="B10778" t="s">
        <v>576</v>
      </c>
      <c r="C10778" t="s">
        <v>13738</v>
      </c>
      <c r="D10778" t="s">
        <v>18804</v>
      </c>
      <c r="E10778" t="s">
        <v>28207</v>
      </c>
      <c r="F10778" t="s">
        <v>32664</v>
      </c>
      <c r="G10778" t="s">
        <v>32672</v>
      </c>
      <c r="H10778" t="s">
        <v>12635</v>
      </c>
      <c r="I10778" t="s">
        <v>32706</v>
      </c>
      <c r="J10778" t="s">
        <v>39218</v>
      </c>
      <c r="K10778" t="s">
        <v>42305</v>
      </c>
      <c r="M10778" t="s">
        <v>43156</v>
      </c>
      <c r="N10778" t="s">
        <v>46569</v>
      </c>
      <c r="O10778" t="s">
        <v>46570</v>
      </c>
      <c r="P10778">
        <v>0</v>
      </c>
      <c r="Q10778">
        <v>1</v>
      </c>
      <c r="R10778" t="s">
        <v>46578</v>
      </c>
      <c r="S10778" t="s">
        <v>46874</v>
      </c>
      <c r="T10778" t="s">
        <v>48468</v>
      </c>
      <c r="U10778" t="s">
        <v>57437</v>
      </c>
      <c r="W10778" t="s">
        <v>43156</v>
      </c>
      <c r="X10778" t="s">
        <v>46579</v>
      </c>
    </row>
    <row r="10779" spans="1:24">
      <c r="A10779">
        <f>HYPERLINK("https://www.philgeps.gov.ph/GEPSNONPILOT/Tender/SplashBidNoticeAbstractUI.aspx?menuIndex=3&amp;refID=7051732&amp;Result=3","7051732")</f>
        <v>0</v>
      </c>
      <c r="B10779" t="s">
        <v>1828</v>
      </c>
      <c r="C10779" t="s">
        <v>13739</v>
      </c>
      <c r="D10779" t="s">
        <v>18791</v>
      </c>
      <c r="E10779" t="s">
        <v>28208</v>
      </c>
      <c r="F10779" t="s">
        <v>32664</v>
      </c>
      <c r="G10779" t="s">
        <v>32672</v>
      </c>
      <c r="H10779" t="s">
        <v>32683</v>
      </c>
      <c r="I10779" t="s">
        <v>10627</v>
      </c>
      <c r="J10779" t="s">
        <v>33969</v>
      </c>
      <c r="K10779" t="s">
        <v>42380</v>
      </c>
      <c r="M10779" t="s">
        <v>44535</v>
      </c>
      <c r="N10779" t="s">
        <v>46569</v>
      </c>
      <c r="O10779" t="s">
        <v>46570</v>
      </c>
      <c r="P10779">
        <v>0</v>
      </c>
      <c r="Q10779">
        <v>4</v>
      </c>
      <c r="R10779" t="s">
        <v>46578</v>
      </c>
      <c r="S10779" t="s">
        <v>46874</v>
      </c>
      <c r="T10779" t="s">
        <v>48346</v>
      </c>
      <c r="U10779" t="s">
        <v>57438</v>
      </c>
      <c r="W10779" t="s">
        <v>44535</v>
      </c>
      <c r="X10779" t="s">
        <v>46579</v>
      </c>
    </row>
    <row r="10780" spans="1:24">
      <c r="A10780">
        <f>HYPERLINK("https://www.philgeps.gov.ph/GEPSNONPILOT/Tender/SplashBidNoticeAbstractUI.aspx?menuIndex=3&amp;refID=7051668&amp;Result=3","7051668")</f>
        <v>0</v>
      </c>
      <c r="B10780" t="s">
        <v>199</v>
      </c>
      <c r="C10780" t="s">
        <v>13740</v>
      </c>
      <c r="D10780" t="s">
        <v>18789</v>
      </c>
      <c r="E10780" t="s">
        <v>28209</v>
      </c>
      <c r="F10780" t="s">
        <v>32664</v>
      </c>
      <c r="G10780" t="s">
        <v>32672</v>
      </c>
      <c r="H10780" t="s">
        <v>12635</v>
      </c>
      <c r="I10780" t="s">
        <v>8797</v>
      </c>
      <c r="J10780" t="s">
        <v>33858</v>
      </c>
      <c r="K10780" t="s">
        <v>42311</v>
      </c>
      <c r="M10780" t="s">
        <v>45558</v>
      </c>
      <c r="N10780" t="s">
        <v>46569</v>
      </c>
      <c r="O10780" t="s">
        <v>46570</v>
      </c>
      <c r="P10780">
        <v>0</v>
      </c>
      <c r="Q10780">
        <v>10</v>
      </c>
      <c r="R10780" t="s">
        <v>46578</v>
      </c>
      <c r="S10780" t="s">
        <v>46874</v>
      </c>
      <c r="T10780" t="s">
        <v>48468</v>
      </c>
      <c r="U10780" t="s">
        <v>57439</v>
      </c>
      <c r="V10780" t="s">
        <v>62632</v>
      </c>
      <c r="W10780" t="s">
        <v>45558</v>
      </c>
      <c r="X10780" t="s">
        <v>46579</v>
      </c>
    </row>
    <row r="10781" spans="1:24">
      <c r="A10781">
        <f>HYPERLINK("https://www.philgeps.gov.ph/GEPSNONPILOT/Tender/SplashBidNoticeAbstractUI.aspx?menuIndex=3&amp;refID=7051723&amp;Result=3","7051723")</f>
        <v>0</v>
      </c>
      <c r="B10781" t="s">
        <v>2932</v>
      </c>
      <c r="C10781" t="s">
        <v>13741</v>
      </c>
      <c r="D10781" t="s">
        <v>18799</v>
      </c>
      <c r="E10781" t="s">
        <v>28210</v>
      </c>
      <c r="F10781" t="s">
        <v>32664</v>
      </c>
      <c r="G10781" t="s">
        <v>32672</v>
      </c>
      <c r="H10781" t="s">
        <v>32683</v>
      </c>
      <c r="I10781" t="s">
        <v>10627</v>
      </c>
      <c r="J10781" t="s">
        <v>39017</v>
      </c>
      <c r="K10781" t="s">
        <v>42283</v>
      </c>
      <c r="L10781" t="s">
        <v>2932</v>
      </c>
      <c r="M10781" t="s">
        <v>45786</v>
      </c>
      <c r="N10781" t="s">
        <v>46569</v>
      </c>
      <c r="O10781" t="s">
        <v>46570</v>
      </c>
      <c r="P10781">
        <v>0</v>
      </c>
      <c r="Q10781">
        <v>2</v>
      </c>
      <c r="R10781" t="s">
        <v>46578</v>
      </c>
      <c r="S10781" t="s">
        <v>46874</v>
      </c>
      <c r="T10781" t="s">
        <v>48213</v>
      </c>
      <c r="U10781" t="s">
        <v>57417</v>
      </c>
      <c r="V10781" t="s">
        <v>62785</v>
      </c>
      <c r="W10781" t="s">
        <v>45786</v>
      </c>
      <c r="X10781" t="s">
        <v>46579</v>
      </c>
    </row>
    <row r="10782" spans="1:24">
      <c r="A10782">
        <f>HYPERLINK("https://www.philgeps.gov.ph/GEPSNONPILOT/Tender/SplashBidNoticeAbstractUI.aspx?menuIndex=3&amp;refID=7051569&amp;Result=3","7051569")</f>
        <v>0</v>
      </c>
      <c r="B10782" t="s">
        <v>269</v>
      </c>
      <c r="C10782" t="s">
        <v>13742</v>
      </c>
      <c r="D10782" t="s">
        <v>18831</v>
      </c>
      <c r="E10782" t="s">
        <v>28211</v>
      </c>
      <c r="F10782" t="s">
        <v>32664</v>
      </c>
      <c r="G10782" t="s">
        <v>32672</v>
      </c>
      <c r="H10782" t="s">
        <v>12635</v>
      </c>
      <c r="I10782" t="s">
        <v>4439</v>
      </c>
      <c r="J10782" t="s">
        <v>39219</v>
      </c>
      <c r="K10782" t="s">
        <v>42289</v>
      </c>
      <c r="M10782" t="s">
        <v>42834</v>
      </c>
      <c r="N10782" t="s">
        <v>46569</v>
      </c>
      <c r="O10782" t="s">
        <v>46570</v>
      </c>
      <c r="P10782">
        <v>0</v>
      </c>
      <c r="Q10782">
        <v>0</v>
      </c>
      <c r="R10782" t="s">
        <v>46578</v>
      </c>
      <c r="S10782" t="s">
        <v>46874</v>
      </c>
      <c r="T10782" t="s">
        <v>48283</v>
      </c>
      <c r="U10782" t="s">
        <v>57440</v>
      </c>
      <c r="W10782" t="s">
        <v>42834</v>
      </c>
      <c r="X10782" t="s">
        <v>46579</v>
      </c>
    </row>
    <row r="10783" spans="1:24">
      <c r="A10783">
        <f>HYPERLINK("https://www.philgeps.gov.ph/GEPSNONPILOT/Tender/SplashBidNoticeAbstractUI.aspx?menuIndex=3&amp;refID=7051715&amp;Result=3","7051715")</f>
        <v>0</v>
      </c>
      <c r="B10783" t="s">
        <v>1524</v>
      </c>
      <c r="C10783" t="s">
        <v>4928</v>
      </c>
      <c r="D10783" t="s">
        <v>18804</v>
      </c>
      <c r="E10783" t="s">
        <v>28212</v>
      </c>
      <c r="F10783" t="s">
        <v>32664</v>
      </c>
      <c r="G10783" t="s">
        <v>32672</v>
      </c>
      <c r="H10783" t="s">
        <v>12635</v>
      </c>
      <c r="I10783" t="s">
        <v>6628</v>
      </c>
      <c r="J10783" t="s">
        <v>39220</v>
      </c>
      <c r="K10783" t="s">
        <v>42298</v>
      </c>
      <c r="M10783" t="s">
        <v>44191</v>
      </c>
      <c r="N10783" t="s">
        <v>46569</v>
      </c>
      <c r="O10783" t="s">
        <v>46570</v>
      </c>
      <c r="P10783">
        <v>0</v>
      </c>
      <c r="Q10783">
        <v>12</v>
      </c>
      <c r="R10783" t="s">
        <v>46578</v>
      </c>
      <c r="S10783" t="s">
        <v>46874</v>
      </c>
      <c r="T10783" t="s">
        <v>48671</v>
      </c>
      <c r="U10783" t="s">
        <v>52220</v>
      </c>
      <c r="V10783" t="s">
        <v>62052</v>
      </c>
      <c r="W10783" t="s">
        <v>44191</v>
      </c>
      <c r="X10783" t="s">
        <v>46579</v>
      </c>
    </row>
    <row r="10784" spans="1:24">
      <c r="A10784">
        <f>HYPERLINK("https://www.philgeps.gov.ph/GEPSNONPILOT/Tender/SplashBidNoticeAbstractUI.aspx?menuIndex=3&amp;refID=7051667&amp;Result=3","7051667")</f>
        <v>0</v>
      </c>
      <c r="B10784" t="s">
        <v>358</v>
      </c>
      <c r="C10784" t="s">
        <v>13743</v>
      </c>
      <c r="D10784" t="s">
        <v>18824</v>
      </c>
      <c r="E10784" t="s">
        <v>19928</v>
      </c>
      <c r="F10784" t="s">
        <v>32664</v>
      </c>
      <c r="G10784" t="s">
        <v>32672</v>
      </c>
      <c r="H10784" t="s">
        <v>12635</v>
      </c>
      <c r="I10784" t="s">
        <v>32684</v>
      </c>
      <c r="J10784" t="s">
        <v>32830</v>
      </c>
      <c r="K10784" t="s">
        <v>42284</v>
      </c>
      <c r="M10784" t="s">
        <v>42927</v>
      </c>
      <c r="N10784" t="s">
        <v>46569</v>
      </c>
      <c r="O10784" t="s">
        <v>46570</v>
      </c>
      <c r="P10784">
        <v>0</v>
      </c>
      <c r="Q10784">
        <v>3</v>
      </c>
      <c r="R10784" t="s">
        <v>46578</v>
      </c>
      <c r="S10784" t="s">
        <v>46874</v>
      </c>
      <c r="T10784" t="s">
        <v>48467</v>
      </c>
      <c r="U10784" t="s">
        <v>57441</v>
      </c>
      <c r="W10784" t="s">
        <v>42927</v>
      </c>
      <c r="X10784" t="s">
        <v>46579</v>
      </c>
    </row>
    <row r="10785" spans="1:24">
      <c r="A10785">
        <f>HYPERLINK("https://www.philgeps.gov.ph/GEPSNONPILOT/Tender/SplashBidNoticeAbstractUI.aspx?menuIndex=3&amp;refID=7051734&amp;Result=3","7051734")</f>
        <v>0</v>
      </c>
      <c r="B10785" t="s">
        <v>199</v>
      </c>
      <c r="C10785" t="s">
        <v>13744</v>
      </c>
      <c r="D10785" t="s">
        <v>18789</v>
      </c>
      <c r="E10785" t="s">
        <v>28213</v>
      </c>
      <c r="F10785" t="s">
        <v>32664</v>
      </c>
      <c r="G10785" t="s">
        <v>32672</v>
      </c>
      <c r="H10785" t="s">
        <v>12635</v>
      </c>
      <c r="I10785" t="s">
        <v>6628</v>
      </c>
      <c r="J10785" t="s">
        <v>33743</v>
      </c>
      <c r="K10785" t="s">
        <v>42281</v>
      </c>
      <c r="M10785" t="s">
        <v>45558</v>
      </c>
      <c r="N10785" t="s">
        <v>46569</v>
      </c>
      <c r="O10785" t="s">
        <v>46570</v>
      </c>
      <c r="P10785">
        <v>0</v>
      </c>
      <c r="Q10785">
        <v>5</v>
      </c>
      <c r="R10785" t="s">
        <v>46578</v>
      </c>
      <c r="S10785" t="s">
        <v>46874</v>
      </c>
      <c r="T10785" t="s">
        <v>48468</v>
      </c>
      <c r="U10785" t="s">
        <v>57442</v>
      </c>
      <c r="V10785" t="s">
        <v>62632</v>
      </c>
      <c r="W10785" t="s">
        <v>45558</v>
      </c>
      <c r="X10785" t="s">
        <v>46579</v>
      </c>
    </row>
    <row r="10786" spans="1:24">
      <c r="A10786">
        <f>HYPERLINK("https://www.philgeps.gov.ph/GEPSNONPILOT/Tender/SplashBidNoticeAbstractUI.aspx?menuIndex=3&amp;refID=7051729&amp;Result=3","7051729")</f>
        <v>0</v>
      </c>
      <c r="B10786" t="s">
        <v>2469</v>
      </c>
      <c r="C10786" t="s">
        <v>13745</v>
      </c>
      <c r="D10786" t="s">
        <v>18801</v>
      </c>
      <c r="E10786" t="s">
        <v>28214</v>
      </c>
      <c r="F10786" t="s">
        <v>32664</v>
      </c>
      <c r="G10786" t="s">
        <v>32672</v>
      </c>
      <c r="H10786" t="s">
        <v>32683</v>
      </c>
      <c r="I10786" t="s">
        <v>10627</v>
      </c>
      <c r="J10786" t="s">
        <v>32930</v>
      </c>
      <c r="K10786" t="s">
        <v>42298</v>
      </c>
      <c r="M10786" t="s">
        <v>45267</v>
      </c>
      <c r="N10786" t="s">
        <v>46569</v>
      </c>
      <c r="O10786" t="s">
        <v>46570</v>
      </c>
      <c r="P10786">
        <v>0</v>
      </c>
      <c r="Q10786">
        <v>12</v>
      </c>
      <c r="R10786" t="s">
        <v>46578</v>
      </c>
      <c r="S10786" t="s">
        <v>46874</v>
      </c>
      <c r="T10786" t="s">
        <v>48381</v>
      </c>
      <c r="U10786" t="s">
        <v>55574</v>
      </c>
      <c r="V10786" t="s">
        <v>62260</v>
      </c>
      <c r="W10786" t="s">
        <v>63561</v>
      </c>
      <c r="X10786" t="s">
        <v>46579</v>
      </c>
    </row>
    <row r="10787" spans="1:24">
      <c r="A10787">
        <f>HYPERLINK("https://www.philgeps.gov.ph/GEPSNONPILOT/Tender/SplashBidNoticeAbstractUI.aspx?menuIndex=3&amp;refID=7051700&amp;Result=3","7051700")</f>
        <v>0</v>
      </c>
      <c r="B10787" t="s">
        <v>2940</v>
      </c>
      <c r="C10787" t="s">
        <v>13746</v>
      </c>
      <c r="D10787" t="s">
        <v>18833</v>
      </c>
      <c r="E10787" t="s">
        <v>28215</v>
      </c>
      <c r="F10787" t="s">
        <v>32664</v>
      </c>
      <c r="G10787" t="s">
        <v>32671</v>
      </c>
      <c r="H10787" t="s">
        <v>12635</v>
      </c>
      <c r="I10787" t="s">
        <v>4439</v>
      </c>
      <c r="J10787" t="s">
        <v>39221</v>
      </c>
      <c r="K10787" t="s">
        <v>42281</v>
      </c>
      <c r="M10787" t="s">
        <v>45794</v>
      </c>
      <c r="N10787" t="s">
        <v>46569</v>
      </c>
      <c r="O10787" t="s">
        <v>46570</v>
      </c>
      <c r="P10787">
        <v>0</v>
      </c>
      <c r="Q10787">
        <v>0</v>
      </c>
      <c r="R10787" t="s">
        <v>46578</v>
      </c>
      <c r="S10787" t="s">
        <v>46874</v>
      </c>
      <c r="T10787" t="s">
        <v>48307</v>
      </c>
      <c r="U10787" t="s">
        <v>57443</v>
      </c>
      <c r="W10787" t="s">
        <v>45794</v>
      </c>
      <c r="X10787" t="s">
        <v>46579</v>
      </c>
    </row>
    <row r="10788" spans="1:24">
      <c r="A10788">
        <f>HYPERLINK("https://www.philgeps.gov.ph/GEPSNONPILOT/Tender/SplashBidNoticeAbstractUI.aspx?menuIndex=3&amp;refID=7051728&amp;Result=3","7051728")</f>
        <v>0</v>
      </c>
      <c r="B10788" t="s">
        <v>2941</v>
      </c>
      <c r="C10788" t="s">
        <v>13747</v>
      </c>
      <c r="D10788" t="s">
        <v>18831</v>
      </c>
      <c r="E10788" t="s">
        <v>28216</v>
      </c>
      <c r="F10788" t="s">
        <v>32664</v>
      </c>
      <c r="G10788" t="s">
        <v>32672</v>
      </c>
      <c r="H10788" t="s">
        <v>12635</v>
      </c>
      <c r="I10788" t="s">
        <v>4439</v>
      </c>
      <c r="J10788" t="s">
        <v>39222</v>
      </c>
      <c r="K10788" t="s">
        <v>42289</v>
      </c>
      <c r="M10788" t="s">
        <v>45795</v>
      </c>
      <c r="N10788" t="s">
        <v>46569</v>
      </c>
      <c r="O10788" t="s">
        <v>46570</v>
      </c>
      <c r="P10788">
        <v>0</v>
      </c>
      <c r="Q10788">
        <v>2</v>
      </c>
      <c r="R10788" t="s">
        <v>46578</v>
      </c>
      <c r="S10788" t="s">
        <v>46874</v>
      </c>
      <c r="T10788" t="s">
        <v>48448</v>
      </c>
      <c r="U10788" t="s">
        <v>57444</v>
      </c>
      <c r="W10788" t="s">
        <v>45795</v>
      </c>
      <c r="X10788" t="s">
        <v>46579</v>
      </c>
    </row>
    <row r="10789" spans="1:24">
      <c r="A10789">
        <f>HYPERLINK("https://www.philgeps.gov.ph/GEPSNONPILOT/Tender/SplashBidNoticeAbstractUI.aspx?menuIndex=3&amp;refID=7051693&amp;Result=3","7051693")</f>
        <v>0</v>
      </c>
      <c r="B10789" t="s">
        <v>1298</v>
      </c>
      <c r="C10789" t="s">
        <v>13748</v>
      </c>
      <c r="D10789" t="s">
        <v>18848</v>
      </c>
      <c r="E10789" t="s">
        <v>28217</v>
      </c>
      <c r="F10789" t="s">
        <v>32664</v>
      </c>
      <c r="G10789" t="s">
        <v>32672</v>
      </c>
      <c r="H10789" t="s">
        <v>12635</v>
      </c>
      <c r="I10789" t="s">
        <v>6553</v>
      </c>
      <c r="J10789" t="s">
        <v>33128</v>
      </c>
      <c r="K10789" t="s">
        <v>42297</v>
      </c>
      <c r="M10789" t="s">
        <v>43942</v>
      </c>
      <c r="N10789" t="s">
        <v>46569</v>
      </c>
      <c r="O10789" t="s">
        <v>46570</v>
      </c>
      <c r="P10789">
        <v>0</v>
      </c>
      <c r="Q10789">
        <v>1</v>
      </c>
      <c r="R10789" t="s">
        <v>46578</v>
      </c>
      <c r="S10789" t="s">
        <v>46874</v>
      </c>
      <c r="T10789" t="s">
        <v>48287</v>
      </c>
      <c r="U10789" t="s">
        <v>57445</v>
      </c>
      <c r="V10789" t="s">
        <v>62643</v>
      </c>
      <c r="W10789" t="s">
        <v>43942</v>
      </c>
      <c r="X10789" t="s">
        <v>46579</v>
      </c>
    </row>
    <row r="10790" spans="1:24">
      <c r="A10790">
        <f>HYPERLINK("https://www.philgeps.gov.ph/GEPSNONPILOT/Tender/SplashBidNoticeAbstractUI.aspx?menuIndex=3&amp;refID=7051691&amp;Result=3","7051691")</f>
        <v>0</v>
      </c>
      <c r="B10790" t="s">
        <v>2932</v>
      </c>
      <c r="C10790" t="s">
        <v>13749</v>
      </c>
      <c r="D10790" t="s">
        <v>18799</v>
      </c>
      <c r="E10790" t="s">
        <v>28218</v>
      </c>
      <c r="F10790" t="s">
        <v>32664</v>
      </c>
      <c r="G10790" t="s">
        <v>32672</v>
      </c>
      <c r="H10790" t="s">
        <v>32683</v>
      </c>
      <c r="I10790" t="s">
        <v>10627</v>
      </c>
      <c r="J10790" t="s">
        <v>39017</v>
      </c>
      <c r="K10790" t="s">
        <v>42283</v>
      </c>
      <c r="L10790" t="s">
        <v>2932</v>
      </c>
      <c r="M10790" t="s">
        <v>45786</v>
      </c>
      <c r="N10790" t="s">
        <v>46569</v>
      </c>
      <c r="O10790" t="s">
        <v>46570</v>
      </c>
      <c r="P10790">
        <v>0</v>
      </c>
      <c r="Q10790">
        <v>1</v>
      </c>
      <c r="R10790" t="s">
        <v>46578</v>
      </c>
      <c r="S10790" t="s">
        <v>46874</v>
      </c>
      <c r="T10790" t="s">
        <v>48213</v>
      </c>
      <c r="U10790" t="s">
        <v>57417</v>
      </c>
      <c r="V10790" t="s">
        <v>62785</v>
      </c>
      <c r="W10790" t="s">
        <v>45786</v>
      </c>
      <c r="X10790" t="s">
        <v>46579</v>
      </c>
    </row>
    <row r="10791" spans="1:24">
      <c r="A10791">
        <f>HYPERLINK("https://www.philgeps.gov.ph/GEPSNONPILOT/Tender/SplashBidNoticeAbstractUI.aspx?menuIndex=3&amp;refID=7051710&amp;Result=3","7051710")</f>
        <v>0</v>
      </c>
      <c r="B10791" t="s">
        <v>2687</v>
      </c>
      <c r="C10791" t="s">
        <v>13725</v>
      </c>
      <c r="D10791" t="s">
        <v>18789</v>
      </c>
      <c r="E10791" t="s">
        <v>28219</v>
      </c>
      <c r="F10791" t="s">
        <v>32664</v>
      </c>
      <c r="G10791" t="s">
        <v>32677</v>
      </c>
      <c r="H10791" t="s">
        <v>12635</v>
      </c>
      <c r="I10791" t="s">
        <v>32685</v>
      </c>
      <c r="J10791" t="s">
        <v>39223</v>
      </c>
      <c r="K10791" t="s">
        <v>42297</v>
      </c>
      <c r="M10791" t="s">
        <v>45512</v>
      </c>
      <c r="N10791" t="s">
        <v>46569</v>
      </c>
      <c r="O10791" t="s">
        <v>46570</v>
      </c>
      <c r="P10791">
        <v>0</v>
      </c>
      <c r="Q10791">
        <v>1</v>
      </c>
      <c r="R10791" t="s">
        <v>46578</v>
      </c>
      <c r="S10791" t="s">
        <v>46874</v>
      </c>
      <c r="T10791" t="s">
        <v>48449</v>
      </c>
      <c r="U10791" t="s">
        <v>57446</v>
      </c>
      <c r="W10791" t="s">
        <v>45512</v>
      </c>
      <c r="X10791" t="s">
        <v>46579</v>
      </c>
    </row>
    <row r="10792" spans="1:24">
      <c r="A10792">
        <f>HYPERLINK("https://www.philgeps.gov.ph/GEPSNONPILOT/Tender/SplashBidNoticeAbstractUI.aspx?menuIndex=3&amp;refID=7051784&amp;Result=3","7051784")</f>
        <v>0</v>
      </c>
      <c r="B10792" t="s">
        <v>433</v>
      </c>
      <c r="C10792" t="s">
        <v>13750</v>
      </c>
      <c r="D10792" t="s">
        <v>18831</v>
      </c>
      <c r="E10792" t="s">
        <v>19955</v>
      </c>
      <c r="F10792" t="s">
        <v>32664</v>
      </c>
      <c r="G10792" t="s">
        <v>32672</v>
      </c>
      <c r="H10792" t="s">
        <v>12635</v>
      </c>
      <c r="I10792" t="s">
        <v>11464</v>
      </c>
      <c r="J10792" t="s">
        <v>32982</v>
      </c>
      <c r="K10792" t="s">
        <v>42289</v>
      </c>
      <c r="M10792" t="s">
        <v>43005</v>
      </c>
      <c r="N10792" t="s">
        <v>46569</v>
      </c>
      <c r="O10792" t="s">
        <v>46570</v>
      </c>
      <c r="P10792">
        <v>0</v>
      </c>
      <c r="Q10792">
        <v>1</v>
      </c>
      <c r="R10792" t="s">
        <v>46578</v>
      </c>
      <c r="S10792" t="s">
        <v>46874</v>
      </c>
      <c r="T10792" t="s">
        <v>48468</v>
      </c>
      <c r="U10792" t="s">
        <v>57447</v>
      </c>
      <c r="W10792" t="s">
        <v>43005</v>
      </c>
      <c r="X10792" t="s">
        <v>46579</v>
      </c>
    </row>
    <row r="10793" spans="1:24">
      <c r="A10793">
        <f>HYPERLINK("https://www.philgeps.gov.ph/GEPSNONPILOT/Tender/SplashBidNoticeAbstractUI.aspx?menuIndex=3&amp;refID=7051788&amp;Result=3","7051788")</f>
        <v>0</v>
      </c>
      <c r="B10793" t="s">
        <v>2892</v>
      </c>
      <c r="C10793" t="s">
        <v>13751</v>
      </c>
      <c r="D10793" t="s">
        <v>18782</v>
      </c>
      <c r="E10793" t="s">
        <v>28220</v>
      </c>
      <c r="F10793" t="s">
        <v>32664</v>
      </c>
      <c r="G10793" t="s">
        <v>32671</v>
      </c>
      <c r="H10793" t="s">
        <v>12635</v>
      </c>
      <c r="I10793" t="s">
        <v>32704</v>
      </c>
      <c r="J10793" t="s">
        <v>32865</v>
      </c>
      <c r="K10793" t="s">
        <v>42289</v>
      </c>
      <c r="M10793" t="s">
        <v>45742</v>
      </c>
      <c r="N10793" t="s">
        <v>46569</v>
      </c>
      <c r="O10793" t="s">
        <v>46570</v>
      </c>
      <c r="Q10793">
        <v>28</v>
      </c>
      <c r="R10793" t="s">
        <v>46578</v>
      </c>
      <c r="S10793" t="s">
        <v>46909</v>
      </c>
      <c r="T10793" t="s">
        <v>48221</v>
      </c>
      <c r="U10793" t="s">
        <v>57448</v>
      </c>
      <c r="V10793" t="s">
        <v>62787</v>
      </c>
      <c r="W10793" t="s">
        <v>45742</v>
      </c>
      <c r="X10793" t="s">
        <v>46579</v>
      </c>
    </row>
    <row r="10794" spans="1:24">
      <c r="A10794">
        <f>HYPERLINK("https://www.philgeps.gov.ph/GEPSNONPILOT/Tender/SplashBidNoticeAbstractUI.aspx?menuIndex=3&amp;refID=7051695&amp;Result=3","7051695")</f>
        <v>0</v>
      </c>
      <c r="B10794" t="s">
        <v>168</v>
      </c>
      <c r="C10794" t="s">
        <v>13752</v>
      </c>
      <c r="D10794" t="s">
        <v>18790</v>
      </c>
      <c r="E10794" t="s">
        <v>28221</v>
      </c>
      <c r="F10794" t="s">
        <v>32664</v>
      </c>
      <c r="G10794" t="s">
        <v>32672</v>
      </c>
      <c r="H10794" t="s">
        <v>12635</v>
      </c>
      <c r="I10794" t="s">
        <v>4439</v>
      </c>
      <c r="J10794" t="s">
        <v>39224</v>
      </c>
      <c r="K10794" t="s">
        <v>42284</v>
      </c>
      <c r="M10794" t="s">
        <v>42732</v>
      </c>
      <c r="N10794" t="s">
        <v>46569</v>
      </c>
      <c r="O10794" t="s">
        <v>46570</v>
      </c>
      <c r="P10794">
        <v>0</v>
      </c>
      <c r="Q10794">
        <v>0</v>
      </c>
      <c r="R10794" t="s">
        <v>46578</v>
      </c>
      <c r="S10794" t="s">
        <v>46874</v>
      </c>
      <c r="T10794" t="s">
        <v>48452</v>
      </c>
      <c r="U10794" t="s">
        <v>57449</v>
      </c>
      <c r="W10794" t="s">
        <v>42732</v>
      </c>
      <c r="X10794" t="s">
        <v>46579</v>
      </c>
    </row>
    <row r="10795" spans="1:24">
      <c r="A10795">
        <f>HYPERLINK("https://www.philgeps.gov.ph/GEPSNONPILOT/Tender/SplashBidNoticeAbstractUI.aspx?menuIndex=3&amp;refID=7051782&amp;Result=3","7051782")</f>
        <v>0</v>
      </c>
      <c r="B10795" t="s">
        <v>2942</v>
      </c>
      <c r="C10795" t="s">
        <v>13753</v>
      </c>
      <c r="D10795" t="s">
        <v>18842</v>
      </c>
      <c r="E10795" t="s">
        <v>19137</v>
      </c>
      <c r="F10795" t="s">
        <v>32664</v>
      </c>
      <c r="G10795" t="s">
        <v>32677</v>
      </c>
      <c r="H10795" t="s">
        <v>12635</v>
      </c>
      <c r="I10795" t="s">
        <v>4439</v>
      </c>
      <c r="J10795" t="s">
        <v>39225</v>
      </c>
      <c r="K10795" t="s">
        <v>42281</v>
      </c>
      <c r="M10795" t="s">
        <v>45796</v>
      </c>
      <c r="N10795" t="s">
        <v>46569</v>
      </c>
      <c r="O10795" t="s">
        <v>46570</v>
      </c>
      <c r="P10795">
        <v>0</v>
      </c>
      <c r="Q10795">
        <v>0</v>
      </c>
      <c r="R10795" t="s">
        <v>46578</v>
      </c>
      <c r="S10795" t="s">
        <v>46874</v>
      </c>
      <c r="T10795" t="s">
        <v>48228</v>
      </c>
      <c r="U10795" t="s">
        <v>57450</v>
      </c>
      <c r="W10795" t="s">
        <v>45796</v>
      </c>
      <c r="X10795" t="s">
        <v>46579</v>
      </c>
    </row>
    <row r="10796" spans="1:24">
      <c r="A10796">
        <f>HYPERLINK("https://www.philgeps.gov.ph/GEPSNONPILOT/Tender/SplashBidNoticeAbstractUI.aspx?menuIndex=3&amp;refID=7051692&amp;Result=3","7051692")</f>
        <v>0</v>
      </c>
      <c r="B10796" t="s">
        <v>2943</v>
      </c>
      <c r="C10796" t="s">
        <v>13754</v>
      </c>
      <c r="D10796" t="s">
        <v>18806</v>
      </c>
      <c r="E10796" t="s">
        <v>28222</v>
      </c>
      <c r="F10796" t="s">
        <v>32664</v>
      </c>
      <c r="G10796" t="s">
        <v>32672</v>
      </c>
      <c r="H10796" t="s">
        <v>32683</v>
      </c>
      <c r="I10796" t="s">
        <v>10627</v>
      </c>
      <c r="J10796" t="s">
        <v>32943</v>
      </c>
      <c r="K10796" t="s">
        <v>42283</v>
      </c>
      <c r="M10796" t="s">
        <v>45797</v>
      </c>
      <c r="N10796" t="s">
        <v>46569</v>
      </c>
      <c r="O10796" t="s">
        <v>46570</v>
      </c>
      <c r="P10796">
        <v>0</v>
      </c>
      <c r="Q10796">
        <v>0</v>
      </c>
      <c r="R10796" t="s">
        <v>46578</v>
      </c>
      <c r="S10796" t="s">
        <v>46874</v>
      </c>
      <c r="T10796" t="s">
        <v>48313</v>
      </c>
      <c r="U10796" t="s">
        <v>57451</v>
      </c>
      <c r="W10796" t="s">
        <v>45797</v>
      </c>
      <c r="X10796" t="s">
        <v>46579</v>
      </c>
    </row>
    <row r="10797" spans="1:24">
      <c r="A10797">
        <f>HYPERLINK("https://www.philgeps.gov.ph/GEPSNONPILOT/Tender/SplashBidNoticeAbstractUI.aspx?menuIndex=3&amp;refID=7051775&amp;Result=3","7051775")</f>
        <v>0</v>
      </c>
      <c r="B10797" t="s">
        <v>678</v>
      </c>
      <c r="C10797" t="s">
        <v>13755</v>
      </c>
      <c r="E10797" t="s">
        <v>28223</v>
      </c>
      <c r="F10797" t="s">
        <v>32664</v>
      </c>
      <c r="G10797" t="s">
        <v>32672</v>
      </c>
      <c r="H10797" t="s">
        <v>12635</v>
      </c>
      <c r="I10797" t="s">
        <v>32698</v>
      </c>
      <c r="J10797" t="s">
        <v>39226</v>
      </c>
      <c r="K10797" t="s">
        <v>42283</v>
      </c>
      <c r="M10797" t="s">
        <v>43265</v>
      </c>
      <c r="N10797" t="s">
        <v>46569</v>
      </c>
      <c r="O10797" t="s">
        <v>46570</v>
      </c>
      <c r="P10797">
        <v>0</v>
      </c>
      <c r="Q10797">
        <v>2</v>
      </c>
      <c r="R10797" t="s">
        <v>46578</v>
      </c>
      <c r="S10797" t="s">
        <v>46874</v>
      </c>
      <c r="T10797" t="s">
        <v>48274</v>
      </c>
      <c r="U10797" t="s">
        <v>57433</v>
      </c>
      <c r="W10797" t="s">
        <v>43265</v>
      </c>
      <c r="X10797" t="s">
        <v>46579</v>
      </c>
    </row>
    <row r="10798" spans="1:24">
      <c r="A10798">
        <f>HYPERLINK("https://www.philgeps.gov.ph/GEPSNONPILOT/Tender/SplashBidNoticeAbstractUI.aspx?menuIndex=3&amp;refID=7051783&amp;Result=3","7051783")</f>
        <v>0</v>
      </c>
      <c r="B10798" t="s">
        <v>1828</v>
      </c>
      <c r="C10798" t="s">
        <v>13756</v>
      </c>
      <c r="D10798" t="s">
        <v>18791</v>
      </c>
      <c r="E10798" t="s">
        <v>28224</v>
      </c>
      <c r="F10798" t="s">
        <v>32664</v>
      </c>
      <c r="G10798" t="s">
        <v>32672</v>
      </c>
      <c r="H10798" t="s">
        <v>32683</v>
      </c>
      <c r="I10798" t="s">
        <v>10627</v>
      </c>
      <c r="J10798" t="s">
        <v>39227</v>
      </c>
      <c r="K10798" t="s">
        <v>42290</v>
      </c>
      <c r="M10798" t="s">
        <v>44535</v>
      </c>
      <c r="N10798" t="s">
        <v>46569</v>
      </c>
      <c r="O10798" t="s">
        <v>46570</v>
      </c>
      <c r="P10798">
        <v>0</v>
      </c>
      <c r="Q10798">
        <v>3</v>
      </c>
      <c r="R10798" t="s">
        <v>46578</v>
      </c>
      <c r="S10798" t="s">
        <v>46874</v>
      </c>
      <c r="T10798" t="s">
        <v>48346</v>
      </c>
      <c r="U10798" t="s">
        <v>57452</v>
      </c>
      <c r="W10798" t="s">
        <v>44535</v>
      </c>
      <c r="X10798" t="s">
        <v>46579</v>
      </c>
    </row>
    <row r="10799" spans="1:24">
      <c r="A10799">
        <f>HYPERLINK("https://www.philgeps.gov.ph/GEPSNONPILOT/Tender/SplashBidNoticeAbstractUI.aspx?menuIndex=3&amp;refID=7051786&amp;Result=3","7051786")</f>
        <v>0</v>
      </c>
      <c r="B10799" t="s">
        <v>2187</v>
      </c>
      <c r="C10799" t="s">
        <v>13757</v>
      </c>
      <c r="D10799" t="s">
        <v>18823</v>
      </c>
      <c r="E10799" t="s">
        <v>20818</v>
      </c>
      <c r="F10799" t="s">
        <v>32664</v>
      </c>
      <c r="G10799" t="s">
        <v>32672</v>
      </c>
      <c r="H10799" t="s">
        <v>32683</v>
      </c>
      <c r="I10799" t="s">
        <v>10627</v>
      </c>
      <c r="J10799" t="s">
        <v>34131</v>
      </c>
      <c r="K10799" t="s">
        <v>42308</v>
      </c>
      <c r="M10799" t="s">
        <v>44948</v>
      </c>
      <c r="N10799" t="s">
        <v>46569</v>
      </c>
      <c r="O10799" t="s">
        <v>46570</v>
      </c>
      <c r="P10799">
        <v>0</v>
      </c>
      <c r="Q10799">
        <v>5</v>
      </c>
      <c r="R10799" t="s">
        <v>46578</v>
      </c>
      <c r="S10799" t="s">
        <v>46874</v>
      </c>
      <c r="T10799" t="s">
        <v>48468</v>
      </c>
      <c r="U10799" t="s">
        <v>57453</v>
      </c>
      <c r="V10799" t="s">
        <v>62788</v>
      </c>
      <c r="W10799" t="s">
        <v>44948</v>
      </c>
      <c r="X10799" t="s">
        <v>46579</v>
      </c>
    </row>
    <row r="10800" spans="1:24">
      <c r="A10800">
        <f>HYPERLINK("https://www.philgeps.gov.ph/GEPSNONPILOT/Tender/SplashBidNoticeAbstractUI.aspx?menuIndex=3&amp;refID=7051767&amp;Result=3","7051767")</f>
        <v>0</v>
      </c>
      <c r="B10800" t="s">
        <v>2944</v>
      </c>
      <c r="C10800" t="s">
        <v>13758</v>
      </c>
      <c r="D10800" t="s">
        <v>18797</v>
      </c>
      <c r="E10800" t="s">
        <v>28225</v>
      </c>
      <c r="F10800" t="s">
        <v>32664</v>
      </c>
      <c r="G10800" t="s">
        <v>32672</v>
      </c>
      <c r="H10800" t="s">
        <v>12635</v>
      </c>
      <c r="I10800" t="s">
        <v>4439</v>
      </c>
      <c r="J10800" t="s">
        <v>39228</v>
      </c>
      <c r="K10800" t="s">
        <v>42284</v>
      </c>
      <c r="M10800" t="s">
        <v>45798</v>
      </c>
      <c r="N10800" t="s">
        <v>46569</v>
      </c>
      <c r="O10800" t="s">
        <v>46570</v>
      </c>
      <c r="P10800">
        <v>0</v>
      </c>
      <c r="Q10800">
        <v>2</v>
      </c>
      <c r="R10800" t="s">
        <v>46578</v>
      </c>
      <c r="S10800" t="s">
        <v>46874</v>
      </c>
      <c r="T10800" t="s">
        <v>48230</v>
      </c>
      <c r="U10800" t="s">
        <v>57454</v>
      </c>
      <c r="W10800" t="s">
        <v>45798</v>
      </c>
      <c r="X10800" t="s">
        <v>46579</v>
      </c>
    </row>
    <row r="10801" spans="1:24">
      <c r="A10801">
        <f>HYPERLINK("https://www.philgeps.gov.ph/GEPSNONPILOT/Tender/SplashBidNoticeAbstractUI.aspx?menuIndex=3&amp;refID=7051766&amp;Result=3","7051766")</f>
        <v>0</v>
      </c>
      <c r="B10801" t="s">
        <v>1243</v>
      </c>
      <c r="C10801" t="s">
        <v>13759</v>
      </c>
      <c r="D10801" t="s">
        <v>18785</v>
      </c>
      <c r="E10801" t="s">
        <v>28226</v>
      </c>
      <c r="F10801" t="s">
        <v>32664</v>
      </c>
      <c r="G10801" t="s">
        <v>32671</v>
      </c>
      <c r="H10801" t="s">
        <v>12635</v>
      </c>
      <c r="I10801" t="s">
        <v>8797</v>
      </c>
      <c r="J10801" t="s">
        <v>39229</v>
      </c>
      <c r="K10801" t="s">
        <v>42284</v>
      </c>
      <c r="M10801" t="s">
        <v>43903</v>
      </c>
      <c r="N10801" t="s">
        <v>46569</v>
      </c>
      <c r="O10801" t="s">
        <v>46570</v>
      </c>
      <c r="P10801">
        <v>0</v>
      </c>
      <c r="Q10801">
        <v>9</v>
      </c>
      <c r="R10801" t="s">
        <v>46578</v>
      </c>
      <c r="S10801" t="s">
        <v>46874</v>
      </c>
      <c r="T10801" t="s">
        <v>48254</v>
      </c>
      <c r="U10801" t="s">
        <v>57455</v>
      </c>
      <c r="W10801" t="s">
        <v>63507</v>
      </c>
      <c r="X10801" t="s">
        <v>46579</v>
      </c>
    </row>
    <row r="10802" spans="1:24">
      <c r="A10802">
        <f>HYPERLINK("https://www.philgeps.gov.ph/GEPSNONPILOT/Tender/SplashBidNoticeAbstractUI.aspx?menuIndex=3&amp;refID=7051841&amp;Result=3","7051841")</f>
        <v>0</v>
      </c>
      <c r="B10802" t="s">
        <v>2945</v>
      </c>
      <c r="C10802" t="s">
        <v>13760</v>
      </c>
      <c r="E10802" t="s">
        <v>28227</v>
      </c>
      <c r="F10802" t="s">
        <v>32664</v>
      </c>
      <c r="G10802" t="s">
        <v>32672</v>
      </c>
      <c r="H10802" t="s">
        <v>12635</v>
      </c>
      <c r="I10802" t="s">
        <v>32701</v>
      </c>
      <c r="J10802" t="s">
        <v>39230</v>
      </c>
      <c r="K10802" t="s">
        <v>42283</v>
      </c>
      <c r="M10802" t="s">
        <v>45799</v>
      </c>
      <c r="N10802" t="s">
        <v>46569</v>
      </c>
      <c r="O10802" t="s">
        <v>46570</v>
      </c>
      <c r="P10802">
        <v>0</v>
      </c>
      <c r="Q10802">
        <v>1</v>
      </c>
      <c r="R10802" t="s">
        <v>46578</v>
      </c>
      <c r="S10802" t="s">
        <v>46874</v>
      </c>
      <c r="T10802" t="s">
        <v>48220</v>
      </c>
      <c r="U10802" t="s">
        <v>57456</v>
      </c>
      <c r="V10802" t="s">
        <v>62789</v>
      </c>
      <c r="W10802" t="s">
        <v>45799</v>
      </c>
      <c r="X10802" t="s">
        <v>46579</v>
      </c>
    </row>
    <row r="10803" spans="1:24">
      <c r="A10803">
        <f>HYPERLINK("https://www.philgeps.gov.ph/GEPSNONPILOT/Tender/SplashBidNoticeAbstractUI.aspx?menuIndex=3&amp;refID=7051730&amp;Result=3","7051730")</f>
        <v>0</v>
      </c>
      <c r="B10803" t="s">
        <v>433</v>
      </c>
      <c r="C10803" t="s">
        <v>13761</v>
      </c>
      <c r="D10803" t="s">
        <v>18831</v>
      </c>
      <c r="E10803" t="s">
        <v>19955</v>
      </c>
      <c r="F10803" t="s">
        <v>32664</v>
      </c>
      <c r="G10803" t="s">
        <v>32672</v>
      </c>
      <c r="H10803" t="s">
        <v>12635</v>
      </c>
      <c r="I10803" t="s">
        <v>6168</v>
      </c>
      <c r="J10803" t="s">
        <v>39231</v>
      </c>
      <c r="K10803" t="s">
        <v>42289</v>
      </c>
      <c r="M10803" t="s">
        <v>43005</v>
      </c>
      <c r="N10803" t="s">
        <v>46569</v>
      </c>
      <c r="O10803" t="s">
        <v>46570</v>
      </c>
      <c r="P10803">
        <v>0</v>
      </c>
      <c r="Q10803">
        <v>3</v>
      </c>
      <c r="R10803" t="s">
        <v>46578</v>
      </c>
      <c r="S10803" t="s">
        <v>46874</v>
      </c>
      <c r="T10803" t="s">
        <v>48282</v>
      </c>
      <c r="U10803" t="s">
        <v>57457</v>
      </c>
      <c r="W10803" t="s">
        <v>43005</v>
      </c>
      <c r="X10803" t="s">
        <v>46579</v>
      </c>
    </row>
    <row r="10804" spans="1:24">
      <c r="A10804">
        <f>HYPERLINK("https://www.philgeps.gov.ph/GEPSNONPILOT/Tender/SplashBidNoticeAbstractUI.aspx?menuIndex=3&amp;refID=7051703&amp;Result=3","7051703")</f>
        <v>0</v>
      </c>
      <c r="B10804" t="s">
        <v>2946</v>
      </c>
      <c r="C10804" t="s">
        <v>13762</v>
      </c>
      <c r="D10804" t="s">
        <v>18786</v>
      </c>
      <c r="E10804" t="s">
        <v>19677</v>
      </c>
      <c r="F10804" t="s">
        <v>32664</v>
      </c>
      <c r="G10804" t="s">
        <v>32672</v>
      </c>
      <c r="H10804" t="s">
        <v>32683</v>
      </c>
      <c r="I10804" t="s">
        <v>10627</v>
      </c>
      <c r="J10804" t="s">
        <v>32943</v>
      </c>
      <c r="K10804" t="s">
        <v>42490</v>
      </c>
      <c r="M10804" t="s">
        <v>45800</v>
      </c>
      <c r="N10804" t="s">
        <v>46569</v>
      </c>
      <c r="O10804" t="s">
        <v>46570</v>
      </c>
      <c r="P10804">
        <v>0</v>
      </c>
      <c r="Q10804">
        <v>0</v>
      </c>
      <c r="R10804" t="s">
        <v>46578</v>
      </c>
      <c r="S10804" t="s">
        <v>46874</v>
      </c>
      <c r="T10804" t="s">
        <v>48571</v>
      </c>
      <c r="U10804" t="s">
        <v>57458</v>
      </c>
      <c r="W10804" t="s">
        <v>45800</v>
      </c>
      <c r="X10804" t="s">
        <v>46579</v>
      </c>
    </row>
    <row r="10805" spans="1:24">
      <c r="A10805">
        <f>HYPERLINK("https://www.philgeps.gov.ph/GEPSNONPILOT/Tender/SplashBidNoticeAbstractUI.aspx?menuIndex=3&amp;refID=7051840&amp;Result=3","7051840")</f>
        <v>0</v>
      </c>
      <c r="B10805" t="s">
        <v>2947</v>
      </c>
      <c r="C10805" t="s">
        <v>13763</v>
      </c>
      <c r="D10805" t="s">
        <v>18784</v>
      </c>
      <c r="E10805" t="s">
        <v>28228</v>
      </c>
      <c r="F10805" t="s">
        <v>32664</v>
      </c>
      <c r="G10805" t="s">
        <v>32672</v>
      </c>
      <c r="H10805" t="s">
        <v>12635</v>
      </c>
      <c r="I10805" t="s">
        <v>32757</v>
      </c>
      <c r="J10805" t="s">
        <v>32837</v>
      </c>
      <c r="K10805" t="s">
        <v>42283</v>
      </c>
      <c r="M10805" t="s">
        <v>45801</v>
      </c>
      <c r="N10805" t="s">
        <v>46569</v>
      </c>
      <c r="O10805" t="s">
        <v>46570</v>
      </c>
      <c r="P10805">
        <v>0</v>
      </c>
      <c r="Q10805">
        <v>2</v>
      </c>
      <c r="R10805" t="s">
        <v>46578</v>
      </c>
      <c r="S10805" t="s">
        <v>46874</v>
      </c>
      <c r="T10805" t="s">
        <v>48213</v>
      </c>
      <c r="U10805" t="s">
        <v>57459</v>
      </c>
      <c r="V10805" t="s">
        <v>62790</v>
      </c>
      <c r="W10805" t="s">
        <v>45801</v>
      </c>
      <c r="X10805" t="s">
        <v>46579</v>
      </c>
    </row>
    <row r="10806" spans="1:24">
      <c r="A10806">
        <f>HYPERLINK("https://www.philgeps.gov.ph/GEPSNONPILOT/Tender/SplashBidNoticeAbstractUI.aspx?menuIndex=3&amp;refID=7051826&amp;Result=3","7051826")</f>
        <v>0</v>
      </c>
      <c r="B10806" t="s">
        <v>2948</v>
      </c>
      <c r="C10806" t="s">
        <v>13764</v>
      </c>
      <c r="D10806" t="s">
        <v>18786</v>
      </c>
      <c r="E10806" t="s">
        <v>28229</v>
      </c>
      <c r="F10806" t="s">
        <v>32664</v>
      </c>
      <c r="G10806" t="s">
        <v>32671</v>
      </c>
      <c r="H10806" t="s">
        <v>32683</v>
      </c>
      <c r="I10806" t="s">
        <v>10627</v>
      </c>
      <c r="J10806" t="s">
        <v>39232</v>
      </c>
      <c r="K10806" t="s">
        <v>42298</v>
      </c>
      <c r="M10806" t="s">
        <v>45802</v>
      </c>
      <c r="N10806" t="s">
        <v>46569</v>
      </c>
      <c r="O10806" t="s">
        <v>46570</v>
      </c>
      <c r="P10806">
        <v>0</v>
      </c>
      <c r="Q10806">
        <v>0</v>
      </c>
      <c r="R10806" t="s">
        <v>46578</v>
      </c>
      <c r="S10806" t="s">
        <v>46874</v>
      </c>
      <c r="T10806" t="s">
        <v>48221</v>
      </c>
      <c r="U10806" t="s">
        <v>57460</v>
      </c>
      <c r="W10806" t="s">
        <v>45802</v>
      </c>
      <c r="X10806" t="s">
        <v>46579</v>
      </c>
    </row>
    <row r="10807" spans="1:24">
      <c r="A10807">
        <f>HYPERLINK("https://www.philgeps.gov.ph/GEPSNONPILOT/Tender/SplashBidNoticeAbstractUI.aspx?menuIndex=3&amp;refID=7051774&amp;Result=3","7051774")</f>
        <v>0</v>
      </c>
      <c r="B10807" t="s">
        <v>586</v>
      </c>
      <c r="C10807" t="s">
        <v>13765</v>
      </c>
      <c r="D10807" t="s">
        <v>18794</v>
      </c>
      <c r="E10807" t="s">
        <v>13765</v>
      </c>
      <c r="F10807" t="s">
        <v>32664</v>
      </c>
      <c r="G10807" t="s">
        <v>32672</v>
      </c>
      <c r="H10807" t="s">
        <v>12635</v>
      </c>
      <c r="I10807" t="s">
        <v>5589</v>
      </c>
      <c r="J10807" t="s">
        <v>39233</v>
      </c>
      <c r="K10807" t="s">
        <v>42281</v>
      </c>
      <c r="M10807" t="s">
        <v>43166</v>
      </c>
      <c r="N10807" t="s">
        <v>46569</v>
      </c>
      <c r="O10807" t="s">
        <v>46570</v>
      </c>
      <c r="P10807">
        <v>0</v>
      </c>
      <c r="Q10807">
        <v>1</v>
      </c>
      <c r="R10807" t="s">
        <v>46578</v>
      </c>
      <c r="S10807" t="s">
        <v>46874</v>
      </c>
      <c r="T10807" t="s">
        <v>48356</v>
      </c>
      <c r="U10807" t="s">
        <v>57461</v>
      </c>
      <c r="W10807" t="s">
        <v>43166</v>
      </c>
      <c r="X10807" t="s">
        <v>46579</v>
      </c>
    </row>
    <row r="10808" spans="1:24">
      <c r="A10808">
        <f>HYPERLINK("https://www.philgeps.gov.ph/GEPSNONPILOT/Tender/SplashBidNoticeAbstractUI.aspx?menuIndex=3&amp;refID=7051772&amp;Result=3","7051772")</f>
        <v>0</v>
      </c>
      <c r="B10808" t="s">
        <v>2687</v>
      </c>
      <c r="C10808" t="s">
        <v>13766</v>
      </c>
      <c r="D10808" t="s">
        <v>18789</v>
      </c>
      <c r="E10808" t="s">
        <v>28230</v>
      </c>
      <c r="F10808" t="s">
        <v>32664</v>
      </c>
      <c r="G10808" t="s">
        <v>32677</v>
      </c>
      <c r="H10808" t="s">
        <v>32683</v>
      </c>
      <c r="I10808" t="s">
        <v>10627</v>
      </c>
      <c r="J10808" t="s">
        <v>39234</v>
      </c>
      <c r="K10808" t="s">
        <v>42297</v>
      </c>
      <c r="M10808" t="s">
        <v>45512</v>
      </c>
      <c r="N10808" t="s">
        <v>46569</v>
      </c>
      <c r="O10808" t="s">
        <v>46570</v>
      </c>
      <c r="P10808">
        <v>0</v>
      </c>
      <c r="Q10808">
        <v>0</v>
      </c>
      <c r="R10808" t="s">
        <v>46578</v>
      </c>
      <c r="S10808" t="s">
        <v>46874</v>
      </c>
      <c r="T10808" t="s">
        <v>48448</v>
      </c>
      <c r="U10808" t="s">
        <v>57462</v>
      </c>
      <c r="W10808" t="s">
        <v>45512</v>
      </c>
      <c r="X10808" t="s">
        <v>46579</v>
      </c>
    </row>
    <row r="10809" spans="1:24">
      <c r="A10809">
        <f>HYPERLINK("https://www.philgeps.gov.ph/GEPSNONPILOT/Tender/SplashBidNoticeAbstractUI.aspx?menuIndex=3&amp;refID=7051819&amp;Result=3","7051819")</f>
        <v>0</v>
      </c>
      <c r="B10809" t="s">
        <v>2936</v>
      </c>
      <c r="C10809" t="s">
        <v>13767</v>
      </c>
      <c r="D10809" t="s">
        <v>18804</v>
      </c>
      <c r="E10809" t="s">
        <v>19010</v>
      </c>
      <c r="F10809" t="s">
        <v>32664</v>
      </c>
      <c r="G10809" t="s">
        <v>32672</v>
      </c>
      <c r="H10809" t="s">
        <v>32683</v>
      </c>
      <c r="I10809" t="s">
        <v>10627</v>
      </c>
      <c r="J10809" t="s">
        <v>39235</v>
      </c>
      <c r="K10809" t="s">
        <v>42283</v>
      </c>
      <c r="M10809" t="s">
        <v>45790</v>
      </c>
      <c r="N10809" t="s">
        <v>46569</v>
      </c>
      <c r="O10809" t="s">
        <v>46570</v>
      </c>
      <c r="P10809">
        <v>0</v>
      </c>
      <c r="Q10809">
        <v>2</v>
      </c>
      <c r="R10809" t="s">
        <v>46578</v>
      </c>
      <c r="S10809" t="s">
        <v>46874</v>
      </c>
      <c r="T10809" t="s">
        <v>48468</v>
      </c>
      <c r="U10809" t="s">
        <v>57463</v>
      </c>
      <c r="W10809" t="s">
        <v>45790</v>
      </c>
      <c r="X10809" t="s">
        <v>46579</v>
      </c>
    </row>
    <row r="10810" spans="1:24">
      <c r="A10810">
        <f>HYPERLINK("https://www.philgeps.gov.ph/GEPSNONPILOT/Tender/SplashBidNoticeAbstractUI.aspx?menuIndex=3&amp;refID=7051831&amp;Result=3","7051831")</f>
        <v>0</v>
      </c>
      <c r="B10810" t="s">
        <v>2357</v>
      </c>
      <c r="C10810" t="s">
        <v>13768</v>
      </c>
      <c r="D10810" t="s">
        <v>18783</v>
      </c>
      <c r="E10810" t="s">
        <v>28231</v>
      </c>
      <c r="F10810" t="s">
        <v>32664</v>
      </c>
      <c r="G10810" t="s">
        <v>32672</v>
      </c>
      <c r="H10810" t="s">
        <v>12635</v>
      </c>
      <c r="I10810" t="s">
        <v>6168</v>
      </c>
      <c r="J10810" t="s">
        <v>39236</v>
      </c>
      <c r="K10810" t="s">
        <v>42289</v>
      </c>
      <c r="M10810" t="s">
        <v>45141</v>
      </c>
      <c r="N10810" t="s">
        <v>46569</v>
      </c>
      <c r="O10810" t="s">
        <v>46570</v>
      </c>
      <c r="P10810">
        <v>0</v>
      </c>
      <c r="Q10810">
        <v>1</v>
      </c>
      <c r="R10810" t="s">
        <v>46578</v>
      </c>
      <c r="S10810" t="s">
        <v>46874</v>
      </c>
      <c r="T10810" t="s">
        <v>48287</v>
      </c>
      <c r="U10810" t="s">
        <v>57464</v>
      </c>
      <c r="W10810" t="s">
        <v>45141</v>
      </c>
      <c r="X10810" t="s">
        <v>46579</v>
      </c>
    </row>
    <row r="10811" spans="1:24">
      <c r="A10811">
        <f>HYPERLINK("https://www.philgeps.gov.ph/GEPSNONPILOT/Tender/SplashBidNoticeAbstractUI.aspx?menuIndex=3&amp;refID=7051823&amp;Result=3","7051823")</f>
        <v>0</v>
      </c>
      <c r="B10811" t="s">
        <v>2949</v>
      </c>
      <c r="C10811" t="s">
        <v>13769</v>
      </c>
      <c r="D10811" t="s">
        <v>18793</v>
      </c>
      <c r="E10811" t="s">
        <v>19987</v>
      </c>
      <c r="F10811" t="s">
        <v>32664</v>
      </c>
      <c r="G10811" t="s">
        <v>32672</v>
      </c>
      <c r="H10811" t="s">
        <v>12635</v>
      </c>
      <c r="I10811" t="s">
        <v>5589</v>
      </c>
      <c r="J10811" t="s">
        <v>33586</v>
      </c>
      <c r="K10811" t="s">
        <v>42281</v>
      </c>
      <c r="M10811" t="s">
        <v>45803</v>
      </c>
      <c r="N10811" t="s">
        <v>46569</v>
      </c>
      <c r="O10811" t="s">
        <v>46570</v>
      </c>
      <c r="P10811">
        <v>0</v>
      </c>
      <c r="Q10811">
        <v>10</v>
      </c>
      <c r="R10811" t="s">
        <v>46578</v>
      </c>
      <c r="S10811" t="s">
        <v>46874</v>
      </c>
      <c r="T10811" t="s">
        <v>48672</v>
      </c>
      <c r="U10811" t="s">
        <v>57465</v>
      </c>
      <c r="W10811" t="s">
        <v>45803</v>
      </c>
      <c r="X10811" t="s">
        <v>46579</v>
      </c>
    </row>
    <row r="10812" spans="1:24">
      <c r="A10812">
        <f>HYPERLINK("https://www.philgeps.gov.ph/GEPSNONPILOT/Tender/SplashBidNoticeAbstractUI.aspx?menuIndex=3&amp;refID=7051777&amp;Result=3","7051777")</f>
        <v>0</v>
      </c>
      <c r="B10812" t="s">
        <v>2950</v>
      </c>
      <c r="C10812" t="s">
        <v>13770</v>
      </c>
      <c r="D10812" t="s">
        <v>18854</v>
      </c>
      <c r="E10812" t="s">
        <v>27951</v>
      </c>
      <c r="F10812" t="s">
        <v>32664</v>
      </c>
      <c r="G10812" t="s">
        <v>32672</v>
      </c>
      <c r="H10812" t="s">
        <v>32683</v>
      </c>
      <c r="I10812" t="s">
        <v>10627</v>
      </c>
      <c r="J10812" t="s">
        <v>33652</v>
      </c>
      <c r="K10812" t="s">
        <v>42281</v>
      </c>
      <c r="M10812" t="s">
        <v>45804</v>
      </c>
      <c r="N10812" t="s">
        <v>46569</v>
      </c>
      <c r="O10812" t="s">
        <v>46570</v>
      </c>
      <c r="P10812">
        <v>0</v>
      </c>
      <c r="Q10812">
        <v>0</v>
      </c>
      <c r="R10812" t="s">
        <v>46578</v>
      </c>
      <c r="S10812" t="s">
        <v>46874</v>
      </c>
      <c r="T10812" t="s">
        <v>48304</v>
      </c>
      <c r="U10812" t="s">
        <v>57466</v>
      </c>
      <c r="W10812" t="s">
        <v>45804</v>
      </c>
      <c r="X10812" t="s">
        <v>46579</v>
      </c>
    </row>
    <row r="10813" spans="1:24">
      <c r="A10813">
        <f>HYPERLINK("https://www.philgeps.gov.ph/GEPSNONPILOT/Tender/SplashBidNoticeAbstractUI.aspx?menuIndex=3&amp;refID=7051638&amp;Result=3","7051638")</f>
        <v>0</v>
      </c>
      <c r="B10813" t="s">
        <v>358</v>
      </c>
      <c r="C10813" t="s">
        <v>13771</v>
      </c>
      <c r="D10813" t="s">
        <v>18824</v>
      </c>
      <c r="E10813" t="s">
        <v>19193</v>
      </c>
      <c r="F10813" t="s">
        <v>32664</v>
      </c>
      <c r="G10813" t="s">
        <v>32672</v>
      </c>
      <c r="H10813" t="s">
        <v>12635</v>
      </c>
      <c r="I10813" t="s">
        <v>4439</v>
      </c>
      <c r="J10813" t="s">
        <v>39237</v>
      </c>
      <c r="K10813" t="s">
        <v>42289</v>
      </c>
      <c r="M10813" t="s">
        <v>42927</v>
      </c>
      <c r="N10813" t="s">
        <v>46569</v>
      </c>
      <c r="O10813" t="s">
        <v>46570</v>
      </c>
      <c r="P10813">
        <v>0</v>
      </c>
      <c r="Q10813">
        <v>1</v>
      </c>
      <c r="R10813" t="s">
        <v>46578</v>
      </c>
      <c r="S10813" t="s">
        <v>46874</v>
      </c>
      <c r="T10813" t="s">
        <v>48467</v>
      </c>
      <c r="U10813" t="s">
        <v>57467</v>
      </c>
      <c r="W10813" t="s">
        <v>42927</v>
      </c>
      <c r="X10813" t="s">
        <v>46579</v>
      </c>
    </row>
    <row r="10814" spans="1:24">
      <c r="A10814">
        <f>HYPERLINK("https://www.philgeps.gov.ph/GEPSNONPILOT/Tender/SplashBidNoticeAbstractUI.aspx?menuIndex=3&amp;refID=7051816&amp;Result=3","7051816")</f>
        <v>0</v>
      </c>
      <c r="B10814" t="s">
        <v>2932</v>
      </c>
      <c r="C10814" t="s">
        <v>13772</v>
      </c>
      <c r="D10814" t="s">
        <v>18799</v>
      </c>
      <c r="E10814" t="s">
        <v>28232</v>
      </c>
      <c r="F10814" t="s">
        <v>32664</v>
      </c>
      <c r="G10814" t="s">
        <v>32672</v>
      </c>
      <c r="H10814" t="s">
        <v>32683</v>
      </c>
      <c r="I10814" t="s">
        <v>10627</v>
      </c>
      <c r="J10814" t="s">
        <v>32962</v>
      </c>
      <c r="K10814" t="s">
        <v>42283</v>
      </c>
      <c r="L10814" t="s">
        <v>2932</v>
      </c>
      <c r="M10814" t="s">
        <v>45786</v>
      </c>
      <c r="N10814" t="s">
        <v>46569</v>
      </c>
      <c r="O10814" t="s">
        <v>46570</v>
      </c>
      <c r="P10814">
        <v>0</v>
      </c>
      <c r="Q10814">
        <v>0</v>
      </c>
      <c r="R10814" t="s">
        <v>46578</v>
      </c>
      <c r="S10814" t="s">
        <v>46874</v>
      </c>
      <c r="T10814" t="s">
        <v>48213</v>
      </c>
      <c r="U10814" t="s">
        <v>57417</v>
      </c>
      <c r="V10814" t="s">
        <v>62785</v>
      </c>
      <c r="W10814" t="s">
        <v>45786</v>
      </c>
      <c r="X10814" t="s">
        <v>46579</v>
      </c>
    </row>
    <row r="10815" spans="1:24">
      <c r="A10815">
        <f>HYPERLINK("https://www.philgeps.gov.ph/GEPSNONPILOT/Tender/SplashBidNoticeAbstractUI.aspx?menuIndex=3&amp;refID=7051821&amp;Result=3","7051821")</f>
        <v>0</v>
      </c>
      <c r="B10815" t="s">
        <v>2951</v>
      </c>
      <c r="C10815" t="s">
        <v>13773</v>
      </c>
      <c r="D10815" t="s">
        <v>18789</v>
      </c>
      <c r="E10815" t="s">
        <v>28233</v>
      </c>
      <c r="F10815" t="s">
        <v>32664</v>
      </c>
      <c r="G10815" t="s">
        <v>32672</v>
      </c>
      <c r="H10815" t="s">
        <v>32683</v>
      </c>
      <c r="I10815" t="s">
        <v>10627</v>
      </c>
      <c r="J10815" t="s">
        <v>39238</v>
      </c>
      <c r="K10815" t="s">
        <v>42298</v>
      </c>
      <c r="M10815" t="s">
        <v>45805</v>
      </c>
      <c r="N10815" t="s">
        <v>46569</v>
      </c>
      <c r="O10815" t="s">
        <v>46570</v>
      </c>
      <c r="P10815">
        <v>0</v>
      </c>
      <c r="Q10815">
        <v>0</v>
      </c>
      <c r="R10815" t="s">
        <v>46578</v>
      </c>
      <c r="S10815" t="s">
        <v>46874</v>
      </c>
      <c r="T10815" t="s">
        <v>48213</v>
      </c>
      <c r="U10815" t="s">
        <v>57468</v>
      </c>
      <c r="W10815" t="s">
        <v>45805</v>
      </c>
      <c r="X10815" t="s">
        <v>46579</v>
      </c>
    </row>
    <row r="10816" spans="1:24">
      <c r="A10816">
        <f>HYPERLINK("https://www.philgeps.gov.ph/GEPSNONPILOT/Tender/SplashBidNoticeAbstractUI.aspx?menuIndex=3&amp;refID=7051801&amp;Result=3","7051801")</f>
        <v>0</v>
      </c>
      <c r="B10816" t="s">
        <v>2176</v>
      </c>
      <c r="C10816" t="s">
        <v>13774</v>
      </c>
      <c r="D10816" t="s">
        <v>18806</v>
      </c>
      <c r="E10816" t="s">
        <v>28234</v>
      </c>
      <c r="F10816" t="s">
        <v>32664</v>
      </c>
      <c r="G10816" t="s">
        <v>32671</v>
      </c>
      <c r="H10816" t="s">
        <v>32682</v>
      </c>
      <c r="I10816" t="s">
        <v>10590</v>
      </c>
      <c r="J10816" t="s">
        <v>39239</v>
      </c>
      <c r="K10816" t="s">
        <v>42281</v>
      </c>
      <c r="M10816" t="s">
        <v>44936</v>
      </c>
      <c r="N10816" t="s">
        <v>46569</v>
      </c>
      <c r="O10816" t="s">
        <v>46570</v>
      </c>
      <c r="P10816">
        <v>0</v>
      </c>
      <c r="Q10816">
        <v>0</v>
      </c>
      <c r="R10816" t="s">
        <v>46578</v>
      </c>
      <c r="S10816" t="s">
        <v>46874</v>
      </c>
      <c r="T10816" t="s">
        <v>48307</v>
      </c>
      <c r="U10816" t="s">
        <v>57469</v>
      </c>
      <c r="W10816" t="s">
        <v>44936</v>
      </c>
      <c r="X10816" t="s">
        <v>46579</v>
      </c>
    </row>
    <row r="10817" spans="1:24">
      <c r="A10817">
        <f>HYPERLINK("https://www.philgeps.gov.ph/GEPSNONPILOT/Tender/SplashBidNoticeAbstractUI.aspx?menuIndex=3&amp;refID=7051824&amp;Result=3","7051824")</f>
        <v>0</v>
      </c>
      <c r="B10817" t="s">
        <v>1828</v>
      </c>
      <c r="C10817" t="s">
        <v>13775</v>
      </c>
      <c r="D10817" t="s">
        <v>18791</v>
      </c>
      <c r="E10817" t="s">
        <v>28235</v>
      </c>
      <c r="F10817" t="s">
        <v>32664</v>
      </c>
      <c r="G10817" t="s">
        <v>32672</v>
      </c>
      <c r="H10817" t="s">
        <v>32683</v>
      </c>
      <c r="I10817" t="s">
        <v>10627</v>
      </c>
      <c r="J10817" t="s">
        <v>32837</v>
      </c>
      <c r="K10817" t="s">
        <v>42311</v>
      </c>
      <c r="M10817" t="s">
        <v>44535</v>
      </c>
      <c r="N10817" t="s">
        <v>46569</v>
      </c>
      <c r="O10817" t="s">
        <v>46570</v>
      </c>
      <c r="P10817">
        <v>0</v>
      </c>
      <c r="Q10817">
        <v>2</v>
      </c>
      <c r="R10817" t="s">
        <v>46578</v>
      </c>
      <c r="S10817" t="s">
        <v>46874</v>
      </c>
      <c r="T10817" t="s">
        <v>48346</v>
      </c>
      <c r="U10817" t="s">
        <v>57452</v>
      </c>
      <c r="W10817" t="s">
        <v>44535</v>
      </c>
      <c r="X10817" t="s">
        <v>46579</v>
      </c>
    </row>
    <row r="10818" spans="1:24">
      <c r="A10818">
        <f>HYPERLINK("https://www.philgeps.gov.ph/GEPSNONPILOT/Tender/SplashBidNoticeAbstractUI.aspx?menuIndex=3&amp;refID=7051818&amp;Result=3","7051818")</f>
        <v>0</v>
      </c>
      <c r="B10818" t="s">
        <v>1530</v>
      </c>
      <c r="C10818" t="s">
        <v>13776</v>
      </c>
      <c r="D10818" t="s">
        <v>18827</v>
      </c>
      <c r="E10818" t="s">
        <v>13776</v>
      </c>
      <c r="F10818" t="s">
        <v>32664</v>
      </c>
      <c r="G10818" t="s">
        <v>32671</v>
      </c>
      <c r="H10818" t="s">
        <v>12635</v>
      </c>
      <c r="I10818" t="s">
        <v>32706</v>
      </c>
      <c r="J10818" t="s">
        <v>39240</v>
      </c>
      <c r="K10818" t="s">
        <v>42297</v>
      </c>
      <c r="M10818" t="s">
        <v>44197</v>
      </c>
      <c r="N10818" t="s">
        <v>46569</v>
      </c>
      <c r="O10818" t="s">
        <v>46570</v>
      </c>
      <c r="P10818">
        <v>0</v>
      </c>
      <c r="Q10818">
        <v>0</v>
      </c>
      <c r="R10818" t="s">
        <v>46578</v>
      </c>
      <c r="S10818" t="s">
        <v>46874</v>
      </c>
      <c r="T10818" t="s">
        <v>48213</v>
      </c>
      <c r="U10818" t="s">
        <v>57470</v>
      </c>
      <c r="W10818" t="s">
        <v>44197</v>
      </c>
      <c r="X10818" t="s">
        <v>46579</v>
      </c>
    </row>
    <row r="10819" spans="1:24">
      <c r="A10819">
        <f>HYPERLINK("https://www.philgeps.gov.ph/GEPSNONPILOT/Tender/SplashBidNoticeAbstractUI.aspx?menuIndex=3&amp;refID=7051800&amp;Result=3","7051800")</f>
        <v>0</v>
      </c>
      <c r="B10819" t="s">
        <v>199</v>
      </c>
      <c r="C10819" t="s">
        <v>13777</v>
      </c>
      <c r="D10819" t="s">
        <v>18789</v>
      </c>
      <c r="E10819" t="s">
        <v>28236</v>
      </c>
      <c r="F10819" t="s">
        <v>32664</v>
      </c>
      <c r="G10819" t="s">
        <v>32672</v>
      </c>
      <c r="H10819" t="s">
        <v>12635</v>
      </c>
      <c r="I10819" t="s">
        <v>8730</v>
      </c>
      <c r="J10819" t="s">
        <v>39241</v>
      </c>
      <c r="K10819" t="s">
        <v>42281</v>
      </c>
      <c r="M10819" t="s">
        <v>45558</v>
      </c>
      <c r="N10819" t="s">
        <v>46569</v>
      </c>
      <c r="O10819" t="s">
        <v>46570</v>
      </c>
      <c r="P10819">
        <v>0</v>
      </c>
      <c r="Q10819">
        <v>6</v>
      </c>
      <c r="R10819" t="s">
        <v>46578</v>
      </c>
      <c r="S10819" t="s">
        <v>46874</v>
      </c>
      <c r="T10819" t="s">
        <v>48468</v>
      </c>
      <c r="U10819" t="s">
        <v>57471</v>
      </c>
      <c r="V10819" t="s">
        <v>62632</v>
      </c>
      <c r="W10819" t="s">
        <v>45558</v>
      </c>
      <c r="X10819" t="s">
        <v>46579</v>
      </c>
    </row>
    <row r="10820" spans="1:24">
      <c r="A10820">
        <f>HYPERLINK("https://www.philgeps.gov.ph/GEPSNONPILOT/Tender/SplashBidNoticeAbstractUI.aspx?menuIndex=3&amp;refID=7051817&amp;Result=3","7051817")</f>
        <v>0</v>
      </c>
      <c r="B10820" t="s">
        <v>740</v>
      </c>
      <c r="C10820" t="s">
        <v>13778</v>
      </c>
      <c r="D10820" t="s">
        <v>18804</v>
      </c>
      <c r="E10820" t="s">
        <v>28237</v>
      </c>
      <c r="F10820" t="s">
        <v>32664</v>
      </c>
      <c r="G10820" t="s">
        <v>32672</v>
      </c>
      <c r="H10820" t="s">
        <v>12635</v>
      </c>
      <c r="I10820" t="s">
        <v>9486</v>
      </c>
      <c r="J10820" t="s">
        <v>39242</v>
      </c>
      <c r="K10820" t="s">
        <v>42281</v>
      </c>
      <c r="M10820" t="s">
        <v>43330</v>
      </c>
      <c r="N10820" t="s">
        <v>46569</v>
      </c>
      <c r="O10820" t="s">
        <v>46570</v>
      </c>
      <c r="P10820">
        <v>0</v>
      </c>
      <c r="Q10820">
        <v>3</v>
      </c>
      <c r="R10820" t="s">
        <v>46578</v>
      </c>
      <c r="S10820" t="s">
        <v>46874</v>
      </c>
      <c r="T10820" t="s">
        <v>48313</v>
      </c>
      <c r="U10820" t="s">
        <v>57472</v>
      </c>
      <c r="W10820" t="s">
        <v>43330</v>
      </c>
      <c r="X10820" t="s">
        <v>46579</v>
      </c>
    </row>
    <row r="10821" spans="1:24">
      <c r="A10821">
        <f>HYPERLINK("https://www.philgeps.gov.ph/GEPSNONPILOT/Tender/SplashBidNoticeAbstractUI.aspx?menuIndex=3&amp;refID=7051796&amp;Result=3","7051796")</f>
        <v>0</v>
      </c>
      <c r="B10821" t="s">
        <v>1243</v>
      </c>
      <c r="C10821" t="s">
        <v>13779</v>
      </c>
      <c r="D10821" t="s">
        <v>18785</v>
      </c>
      <c r="E10821" t="s">
        <v>28238</v>
      </c>
      <c r="F10821" t="s">
        <v>32664</v>
      </c>
      <c r="G10821" t="s">
        <v>32671</v>
      </c>
      <c r="H10821" t="s">
        <v>12635</v>
      </c>
      <c r="I10821" t="s">
        <v>8797</v>
      </c>
      <c r="J10821" t="s">
        <v>39243</v>
      </c>
      <c r="K10821" t="s">
        <v>42284</v>
      </c>
      <c r="M10821" t="s">
        <v>43903</v>
      </c>
      <c r="N10821" t="s">
        <v>46569</v>
      </c>
      <c r="O10821" t="s">
        <v>46570</v>
      </c>
      <c r="P10821">
        <v>0</v>
      </c>
      <c r="Q10821">
        <v>5</v>
      </c>
      <c r="R10821" t="s">
        <v>46578</v>
      </c>
      <c r="S10821" t="s">
        <v>46874</v>
      </c>
      <c r="T10821" t="s">
        <v>48254</v>
      </c>
      <c r="U10821" t="s">
        <v>57473</v>
      </c>
      <c r="W10821" t="s">
        <v>63507</v>
      </c>
      <c r="X10821" t="s">
        <v>46579</v>
      </c>
    </row>
    <row r="10822" spans="1:24">
      <c r="A10822">
        <f>HYPERLINK("https://www.philgeps.gov.ph/GEPSNONPILOT/Tender/SplashBidNoticeAbstractUI.aspx?menuIndex=3&amp;refID=7051790&amp;Result=3","7051790")</f>
        <v>0</v>
      </c>
      <c r="B10822" t="s">
        <v>168</v>
      </c>
      <c r="C10822" t="s">
        <v>13780</v>
      </c>
      <c r="D10822" t="s">
        <v>18790</v>
      </c>
      <c r="E10822" t="s">
        <v>28239</v>
      </c>
      <c r="F10822" t="s">
        <v>32664</v>
      </c>
      <c r="G10822" t="s">
        <v>32672</v>
      </c>
      <c r="H10822" t="s">
        <v>12635</v>
      </c>
      <c r="I10822" t="s">
        <v>11464</v>
      </c>
      <c r="J10822" t="s">
        <v>33021</v>
      </c>
      <c r="K10822" t="s">
        <v>42284</v>
      </c>
      <c r="M10822" t="s">
        <v>42732</v>
      </c>
      <c r="N10822" t="s">
        <v>46569</v>
      </c>
      <c r="O10822" t="s">
        <v>46570</v>
      </c>
      <c r="P10822">
        <v>0</v>
      </c>
      <c r="Q10822">
        <v>0</v>
      </c>
      <c r="R10822" t="s">
        <v>46578</v>
      </c>
      <c r="S10822" t="s">
        <v>46874</v>
      </c>
      <c r="T10822" t="s">
        <v>48507</v>
      </c>
      <c r="U10822" t="s">
        <v>57474</v>
      </c>
      <c r="W10822" t="s">
        <v>42732</v>
      </c>
      <c r="X10822" t="s">
        <v>46579</v>
      </c>
    </row>
    <row r="10823" spans="1:24">
      <c r="A10823">
        <f>HYPERLINK("https://www.philgeps.gov.ph/GEPSNONPILOT/Tender/SplashBidNoticeAbstractUI.aspx?menuIndex=3&amp;refID=7051789&amp;Result=3","7051789")</f>
        <v>0</v>
      </c>
      <c r="B10823" t="s">
        <v>576</v>
      </c>
      <c r="C10823" t="s">
        <v>13781</v>
      </c>
      <c r="D10823" t="s">
        <v>18804</v>
      </c>
      <c r="E10823" t="s">
        <v>28240</v>
      </c>
      <c r="F10823" t="s">
        <v>32664</v>
      </c>
      <c r="G10823" t="s">
        <v>32672</v>
      </c>
      <c r="H10823" t="s">
        <v>12635</v>
      </c>
      <c r="I10823" t="s">
        <v>32706</v>
      </c>
      <c r="J10823" t="s">
        <v>32859</v>
      </c>
      <c r="K10823" t="s">
        <v>42303</v>
      </c>
      <c r="M10823" t="s">
        <v>43156</v>
      </c>
      <c r="N10823" t="s">
        <v>46569</v>
      </c>
      <c r="O10823" t="s">
        <v>46570</v>
      </c>
      <c r="P10823">
        <v>0</v>
      </c>
      <c r="Q10823">
        <v>0</v>
      </c>
      <c r="R10823" t="s">
        <v>46578</v>
      </c>
      <c r="S10823" t="s">
        <v>46874</v>
      </c>
      <c r="T10823" t="s">
        <v>48468</v>
      </c>
      <c r="U10823" t="s">
        <v>57475</v>
      </c>
      <c r="W10823" t="s">
        <v>43156</v>
      </c>
      <c r="X10823" t="s">
        <v>46579</v>
      </c>
    </row>
    <row r="10824" spans="1:24">
      <c r="A10824">
        <f>HYPERLINK("https://www.philgeps.gov.ph/GEPSNONPILOT/Tender/SplashBidNoticeAbstractUI.aspx?menuIndex=3&amp;refID=7051761&amp;Result=3","7051761")</f>
        <v>0</v>
      </c>
      <c r="B10824" t="s">
        <v>2932</v>
      </c>
      <c r="C10824" t="s">
        <v>13782</v>
      </c>
      <c r="D10824" t="s">
        <v>18799</v>
      </c>
      <c r="E10824" t="s">
        <v>28241</v>
      </c>
      <c r="F10824" t="s">
        <v>32664</v>
      </c>
      <c r="G10824" t="s">
        <v>32672</v>
      </c>
      <c r="H10824" t="s">
        <v>32683</v>
      </c>
      <c r="I10824" t="s">
        <v>10627</v>
      </c>
      <c r="J10824" t="s">
        <v>32837</v>
      </c>
      <c r="K10824" t="s">
        <v>42283</v>
      </c>
      <c r="L10824" t="s">
        <v>2932</v>
      </c>
      <c r="M10824" t="s">
        <v>45786</v>
      </c>
      <c r="N10824" t="s">
        <v>46569</v>
      </c>
      <c r="O10824" t="s">
        <v>46570</v>
      </c>
      <c r="P10824">
        <v>0</v>
      </c>
      <c r="Q10824">
        <v>0</v>
      </c>
      <c r="R10824" t="s">
        <v>46578</v>
      </c>
      <c r="S10824" t="s">
        <v>46874</v>
      </c>
      <c r="T10824" t="s">
        <v>48213</v>
      </c>
      <c r="U10824" t="s">
        <v>57417</v>
      </c>
      <c r="V10824" t="s">
        <v>62785</v>
      </c>
      <c r="W10824" t="s">
        <v>45786</v>
      </c>
      <c r="X10824" t="s">
        <v>46579</v>
      </c>
    </row>
    <row r="10825" spans="1:24">
      <c r="A10825">
        <f>HYPERLINK("https://www.philgeps.gov.ph/GEPSNONPILOT/Tender/SplashBidNoticeAbstractUI.aspx?menuIndex=3&amp;refID=7051809&amp;Result=3","7051809")</f>
        <v>0</v>
      </c>
      <c r="B10825" t="s">
        <v>2946</v>
      </c>
      <c r="C10825" t="s">
        <v>13783</v>
      </c>
      <c r="D10825" t="s">
        <v>18786</v>
      </c>
      <c r="E10825" t="s">
        <v>19955</v>
      </c>
      <c r="F10825" t="s">
        <v>32664</v>
      </c>
      <c r="G10825" t="s">
        <v>32672</v>
      </c>
      <c r="H10825" t="s">
        <v>32683</v>
      </c>
      <c r="I10825" t="s">
        <v>10627</v>
      </c>
      <c r="J10825" t="s">
        <v>35518</v>
      </c>
      <c r="K10825" t="s">
        <v>42305</v>
      </c>
      <c r="M10825" t="s">
        <v>45800</v>
      </c>
      <c r="N10825" t="s">
        <v>46569</v>
      </c>
      <c r="O10825" t="s">
        <v>46570</v>
      </c>
      <c r="P10825">
        <v>0</v>
      </c>
      <c r="Q10825">
        <v>0</v>
      </c>
      <c r="R10825" t="s">
        <v>46578</v>
      </c>
      <c r="S10825" t="s">
        <v>46874</v>
      </c>
      <c r="T10825" t="s">
        <v>48571</v>
      </c>
      <c r="U10825" t="s">
        <v>57476</v>
      </c>
      <c r="W10825" t="s">
        <v>45800</v>
      </c>
      <c r="X10825" t="s">
        <v>46579</v>
      </c>
    </row>
    <row r="10826" spans="1:24">
      <c r="A10826">
        <f>HYPERLINK("https://www.philgeps.gov.ph/GEPSNONPILOT/Tender/SplashBidNoticeAbstractUI.aspx?menuIndex=3&amp;refID=7051760&amp;Result=3","7051760")</f>
        <v>0</v>
      </c>
      <c r="B10826" t="s">
        <v>1943</v>
      </c>
      <c r="C10826" t="s">
        <v>13784</v>
      </c>
      <c r="D10826" t="s">
        <v>18842</v>
      </c>
      <c r="E10826" t="s">
        <v>20546</v>
      </c>
      <c r="F10826" t="s">
        <v>32664</v>
      </c>
      <c r="G10826" t="s">
        <v>32672</v>
      </c>
      <c r="H10826" t="s">
        <v>32683</v>
      </c>
      <c r="I10826" t="s">
        <v>10627</v>
      </c>
      <c r="J10826" t="s">
        <v>39244</v>
      </c>
      <c r="K10826" t="s">
        <v>42305</v>
      </c>
      <c r="M10826" t="s">
        <v>44668</v>
      </c>
      <c r="N10826" t="s">
        <v>46569</v>
      </c>
      <c r="O10826" t="s">
        <v>46570</v>
      </c>
      <c r="P10826">
        <v>0</v>
      </c>
      <c r="Q10826">
        <v>0</v>
      </c>
      <c r="R10826" t="s">
        <v>46578</v>
      </c>
      <c r="S10826" t="s">
        <v>46874</v>
      </c>
      <c r="T10826" t="s">
        <v>48225</v>
      </c>
      <c r="U10826" t="s">
        <v>57477</v>
      </c>
      <c r="W10826" t="s">
        <v>44668</v>
      </c>
      <c r="X10826" t="s">
        <v>46579</v>
      </c>
    </row>
    <row r="10827" spans="1:24">
      <c r="A10827">
        <f>HYPERLINK("https://www.philgeps.gov.ph/GEPSNONPILOT/Tender/SplashBidNoticeAbstractUI.aspx?menuIndex=3&amp;refID=7051752&amp;Result=3","7051752")</f>
        <v>0</v>
      </c>
      <c r="B10827" t="s">
        <v>82</v>
      </c>
      <c r="C10827" t="s">
        <v>13785</v>
      </c>
      <c r="D10827" t="s">
        <v>18804</v>
      </c>
      <c r="E10827" t="s">
        <v>28242</v>
      </c>
      <c r="F10827" t="s">
        <v>32664</v>
      </c>
      <c r="G10827" t="s">
        <v>32672</v>
      </c>
      <c r="H10827" t="s">
        <v>12635</v>
      </c>
      <c r="I10827" t="s">
        <v>6628</v>
      </c>
      <c r="J10827" t="s">
        <v>35170</v>
      </c>
      <c r="K10827" t="s">
        <v>42289</v>
      </c>
      <c r="M10827" t="s">
        <v>42645</v>
      </c>
      <c r="N10827" t="s">
        <v>46569</v>
      </c>
      <c r="O10827" t="s">
        <v>46570</v>
      </c>
      <c r="P10827">
        <v>0</v>
      </c>
      <c r="Q10827">
        <v>3</v>
      </c>
      <c r="R10827" t="s">
        <v>46578</v>
      </c>
      <c r="S10827" t="s">
        <v>46874</v>
      </c>
      <c r="T10827" t="s">
        <v>48363</v>
      </c>
      <c r="U10827" t="s">
        <v>48918</v>
      </c>
      <c r="W10827" t="s">
        <v>42645</v>
      </c>
      <c r="X10827" t="s">
        <v>46579</v>
      </c>
    </row>
    <row r="10828" spans="1:24">
      <c r="A10828">
        <f>HYPERLINK("https://www.philgeps.gov.ph/GEPSNONPILOT/Tender/SplashBidNoticeAbstractUI.aspx?menuIndex=3&amp;refID=7051802&amp;Result=3","7051802")</f>
        <v>0</v>
      </c>
      <c r="B10828" t="s">
        <v>2952</v>
      </c>
      <c r="C10828" t="s">
        <v>13786</v>
      </c>
      <c r="D10828" t="s">
        <v>18831</v>
      </c>
      <c r="E10828" t="s">
        <v>28243</v>
      </c>
      <c r="F10828" t="s">
        <v>32664</v>
      </c>
      <c r="G10828" t="s">
        <v>32672</v>
      </c>
      <c r="H10828" t="s">
        <v>32683</v>
      </c>
      <c r="I10828" t="s">
        <v>10627</v>
      </c>
      <c r="J10828" t="s">
        <v>32859</v>
      </c>
      <c r="K10828" t="s">
        <v>42289</v>
      </c>
      <c r="M10828" t="s">
        <v>45806</v>
      </c>
      <c r="N10828" t="s">
        <v>46569</v>
      </c>
      <c r="O10828" t="s">
        <v>46570</v>
      </c>
      <c r="P10828">
        <v>0</v>
      </c>
      <c r="Q10828">
        <v>1</v>
      </c>
      <c r="R10828" t="s">
        <v>46578</v>
      </c>
      <c r="S10828" t="s">
        <v>46874</v>
      </c>
      <c r="T10828" t="s">
        <v>48468</v>
      </c>
      <c r="U10828" t="s">
        <v>57478</v>
      </c>
      <c r="W10828" t="s">
        <v>45806</v>
      </c>
      <c r="X10828" t="s">
        <v>46579</v>
      </c>
    </row>
    <row r="10829" spans="1:24">
      <c r="A10829">
        <f>HYPERLINK("https://www.philgeps.gov.ph/GEPSNONPILOT/Tender/SplashBidNoticeAbstractUI.aspx?menuIndex=3&amp;refID=7051738&amp;Result=3","7051738")</f>
        <v>0</v>
      </c>
      <c r="B10829" t="s">
        <v>1167</v>
      </c>
      <c r="C10829" t="s">
        <v>13787</v>
      </c>
      <c r="D10829" t="s">
        <v>18865</v>
      </c>
      <c r="E10829" t="s">
        <v>28244</v>
      </c>
      <c r="F10829" t="s">
        <v>32664</v>
      </c>
      <c r="G10829" t="s">
        <v>32674</v>
      </c>
      <c r="H10829" t="s">
        <v>12635</v>
      </c>
      <c r="I10829" t="s">
        <v>4439</v>
      </c>
      <c r="J10829" t="s">
        <v>39245</v>
      </c>
      <c r="K10829" t="s">
        <v>42303</v>
      </c>
      <c r="M10829" t="s">
        <v>43800</v>
      </c>
      <c r="N10829" t="s">
        <v>46569</v>
      </c>
      <c r="O10829" t="s">
        <v>46570</v>
      </c>
      <c r="P10829">
        <v>0</v>
      </c>
      <c r="Q10829">
        <v>0</v>
      </c>
      <c r="R10829" t="s">
        <v>46578</v>
      </c>
      <c r="S10829" t="s">
        <v>46874</v>
      </c>
      <c r="T10829" t="s">
        <v>48211</v>
      </c>
      <c r="U10829" t="s">
        <v>57479</v>
      </c>
      <c r="W10829" t="s">
        <v>43800</v>
      </c>
      <c r="X10829" t="s">
        <v>46579</v>
      </c>
    </row>
    <row r="10830" spans="1:24">
      <c r="A10830">
        <f>HYPERLINK("https://www.philgeps.gov.ph/GEPSNONPILOT/Tender/SplashBidNoticeAbstractUI.aspx?menuIndex=3&amp;refID=7051797&amp;Result=3","7051797")</f>
        <v>0</v>
      </c>
      <c r="B10830" t="s">
        <v>2469</v>
      </c>
      <c r="C10830" t="s">
        <v>13788</v>
      </c>
      <c r="D10830" t="s">
        <v>18801</v>
      </c>
      <c r="E10830" t="s">
        <v>28245</v>
      </c>
      <c r="F10830" t="s">
        <v>32664</v>
      </c>
      <c r="G10830" t="s">
        <v>32672</v>
      </c>
      <c r="H10830" t="s">
        <v>32683</v>
      </c>
      <c r="I10830" t="s">
        <v>10627</v>
      </c>
      <c r="J10830" t="s">
        <v>32981</v>
      </c>
      <c r="K10830" t="s">
        <v>42296</v>
      </c>
      <c r="M10830" t="s">
        <v>45599</v>
      </c>
      <c r="N10830" t="s">
        <v>46569</v>
      </c>
      <c r="O10830" t="s">
        <v>46570</v>
      </c>
      <c r="P10830">
        <v>0</v>
      </c>
      <c r="Q10830">
        <v>12</v>
      </c>
      <c r="R10830" t="s">
        <v>46578</v>
      </c>
      <c r="S10830" t="s">
        <v>46874</v>
      </c>
      <c r="T10830" t="s">
        <v>48381</v>
      </c>
      <c r="U10830" t="s">
        <v>55574</v>
      </c>
      <c r="V10830" t="s">
        <v>62260</v>
      </c>
      <c r="W10830" t="s">
        <v>63561</v>
      </c>
      <c r="X10830" t="s">
        <v>46579</v>
      </c>
    </row>
    <row r="10831" spans="1:24">
      <c r="A10831">
        <f>HYPERLINK("https://www.philgeps.gov.ph/GEPSNONPILOT/Tender/SplashBidNoticeAbstractUI.aspx?menuIndex=3&amp;refID=7051688&amp;Result=3","7051688")</f>
        <v>0</v>
      </c>
      <c r="B10831" t="s">
        <v>1381</v>
      </c>
      <c r="C10831" t="s">
        <v>13789</v>
      </c>
      <c r="D10831" t="s">
        <v>18804</v>
      </c>
      <c r="E10831" t="s">
        <v>28246</v>
      </c>
      <c r="F10831" t="s">
        <v>32664</v>
      </c>
      <c r="G10831" t="s">
        <v>32677</v>
      </c>
      <c r="H10831" t="s">
        <v>12635</v>
      </c>
      <c r="I10831" t="s">
        <v>32704</v>
      </c>
      <c r="J10831" t="s">
        <v>39246</v>
      </c>
      <c r="K10831" t="s">
        <v>42298</v>
      </c>
      <c r="M10831" t="s">
        <v>44036</v>
      </c>
      <c r="N10831" t="s">
        <v>46569</v>
      </c>
      <c r="O10831" t="s">
        <v>46570</v>
      </c>
      <c r="P10831">
        <v>0</v>
      </c>
      <c r="Q10831">
        <v>19</v>
      </c>
      <c r="R10831" t="s">
        <v>46578</v>
      </c>
      <c r="S10831" t="s">
        <v>46874</v>
      </c>
      <c r="T10831" t="s">
        <v>48334</v>
      </c>
      <c r="U10831" t="s">
        <v>57480</v>
      </c>
      <c r="W10831" t="s">
        <v>44036</v>
      </c>
      <c r="X10831" t="s">
        <v>46579</v>
      </c>
    </row>
    <row r="10832" spans="1:24">
      <c r="A10832">
        <f>HYPERLINK("https://www.philgeps.gov.ph/GEPSNONPILOT/Tender/SplashBidNoticeAbstractUI.aspx?menuIndex=3&amp;refID=7051685&amp;Result=3","7051685")</f>
        <v>0</v>
      </c>
      <c r="B10832" t="s">
        <v>2953</v>
      </c>
      <c r="C10832" t="s">
        <v>13790</v>
      </c>
      <c r="D10832" t="s">
        <v>18831</v>
      </c>
      <c r="E10832" t="s">
        <v>28247</v>
      </c>
      <c r="F10832" t="s">
        <v>32664</v>
      </c>
      <c r="G10832" t="s">
        <v>32672</v>
      </c>
      <c r="H10832" t="s">
        <v>12635</v>
      </c>
      <c r="I10832" t="s">
        <v>32741</v>
      </c>
      <c r="J10832" t="s">
        <v>32943</v>
      </c>
      <c r="K10832" t="s">
        <v>42311</v>
      </c>
      <c r="M10832" t="s">
        <v>45807</v>
      </c>
      <c r="N10832" t="s">
        <v>46569</v>
      </c>
      <c r="O10832" t="s">
        <v>46570</v>
      </c>
      <c r="P10832">
        <v>0</v>
      </c>
      <c r="Q10832">
        <v>7</v>
      </c>
      <c r="R10832" t="s">
        <v>46578</v>
      </c>
      <c r="S10832" t="s">
        <v>46874</v>
      </c>
      <c r="T10832" t="s">
        <v>48213</v>
      </c>
      <c r="U10832" t="s">
        <v>57481</v>
      </c>
      <c r="W10832" t="s">
        <v>45807</v>
      </c>
      <c r="X10832" t="s">
        <v>46579</v>
      </c>
    </row>
    <row r="10833" spans="1:24">
      <c r="A10833">
        <f>HYPERLINK("https://www.philgeps.gov.ph/GEPSNONPILOT/Tender/SplashBidNoticeAbstractUI.aspx?menuIndex=3&amp;refID=7051794&amp;Result=3","7051794")</f>
        <v>0</v>
      </c>
      <c r="B10833" t="s">
        <v>2932</v>
      </c>
      <c r="C10833" t="s">
        <v>13791</v>
      </c>
      <c r="D10833" t="s">
        <v>18799</v>
      </c>
      <c r="E10833" t="s">
        <v>28248</v>
      </c>
      <c r="F10833" t="s">
        <v>32664</v>
      </c>
      <c r="G10833" t="s">
        <v>32672</v>
      </c>
      <c r="H10833" t="s">
        <v>32683</v>
      </c>
      <c r="I10833" t="s">
        <v>10627</v>
      </c>
      <c r="J10833" t="s">
        <v>32837</v>
      </c>
      <c r="K10833" t="s">
        <v>42283</v>
      </c>
      <c r="L10833" t="s">
        <v>2932</v>
      </c>
      <c r="M10833" t="s">
        <v>45786</v>
      </c>
      <c r="N10833" t="s">
        <v>46569</v>
      </c>
      <c r="O10833" t="s">
        <v>46570</v>
      </c>
      <c r="P10833">
        <v>0</v>
      </c>
      <c r="Q10833">
        <v>0</v>
      </c>
      <c r="R10833" t="s">
        <v>46578</v>
      </c>
      <c r="S10833" t="s">
        <v>46874</v>
      </c>
      <c r="T10833" t="s">
        <v>48213</v>
      </c>
      <c r="U10833" t="s">
        <v>57417</v>
      </c>
      <c r="V10833" t="s">
        <v>62785</v>
      </c>
      <c r="W10833" t="s">
        <v>45786</v>
      </c>
      <c r="X10833" t="s">
        <v>46579</v>
      </c>
    </row>
    <row r="10834" spans="1:24">
      <c r="A10834">
        <f>HYPERLINK("https://www.philgeps.gov.ph/GEPSNONPILOT/Tender/SplashBidNoticeAbstractUI.aspx?menuIndex=3&amp;refID=7051684&amp;Result=3","7051684")</f>
        <v>0</v>
      </c>
      <c r="B10834" t="s">
        <v>1167</v>
      </c>
      <c r="C10834" t="s">
        <v>13792</v>
      </c>
      <c r="D10834" t="s">
        <v>18865</v>
      </c>
      <c r="E10834" t="s">
        <v>28249</v>
      </c>
      <c r="F10834" t="s">
        <v>32664</v>
      </c>
      <c r="G10834" t="s">
        <v>32674</v>
      </c>
      <c r="H10834" t="s">
        <v>12635</v>
      </c>
      <c r="I10834" t="s">
        <v>32706</v>
      </c>
      <c r="J10834" t="s">
        <v>39247</v>
      </c>
      <c r="K10834" t="s">
        <v>42281</v>
      </c>
      <c r="M10834" t="s">
        <v>43800</v>
      </c>
      <c r="N10834" t="s">
        <v>46569</v>
      </c>
      <c r="O10834" t="s">
        <v>46570</v>
      </c>
      <c r="P10834">
        <v>0</v>
      </c>
      <c r="Q10834">
        <v>0</v>
      </c>
      <c r="R10834" t="s">
        <v>46578</v>
      </c>
      <c r="S10834" t="s">
        <v>46874</v>
      </c>
      <c r="T10834" t="s">
        <v>48211</v>
      </c>
      <c r="U10834" t="s">
        <v>57482</v>
      </c>
      <c r="W10834" t="s">
        <v>43800</v>
      </c>
      <c r="X10834" t="s">
        <v>46579</v>
      </c>
    </row>
    <row r="10835" spans="1:24">
      <c r="A10835">
        <f>HYPERLINK("https://www.philgeps.gov.ph/GEPSNONPILOT/Tender/SplashBidNoticeAbstractUI.aspx?menuIndex=3&amp;refID=7051682&amp;Result=3","7051682")</f>
        <v>0</v>
      </c>
      <c r="B10835" t="s">
        <v>1049</v>
      </c>
      <c r="C10835" t="s">
        <v>13793</v>
      </c>
      <c r="E10835" t="s">
        <v>28250</v>
      </c>
      <c r="F10835" t="s">
        <v>32664</v>
      </c>
      <c r="G10835" t="s">
        <v>32671</v>
      </c>
      <c r="H10835" t="s">
        <v>12635</v>
      </c>
      <c r="I10835" t="s">
        <v>6628</v>
      </c>
      <c r="J10835" t="s">
        <v>33069</v>
      </c>
      <c r="K10835" t="s">
        <v>42281</v>
      </c>
      <c r="M10835" t="s">
        <v>45266</v>
      </c>
      <c r="N10835" t="s">
        <v>46569</v>
      </c>
      <c r="O10835" t="s">
        <v>46570</v>
      </c>
      <c r="P10835">
        <v>0</v>
      </c>
      <c r="Q10835">
        <v>1</v>
      </c>
      <c r="R10835" t="s">
        <v>46578</v>
      </c>
      <c r="S10835" t="s">
        <v>46874</v>
      </c>
      <c r="T10835" t="s">
        <v>48427</v>
      </c>
      <c r="U10835" t="s">
        <v>57483</v>
      </c>
      <c r="W10835" t="s">
        <v>63560</v>
      </c>
      <c r="X10835" t="s">
        <v>46579</v>
      </c>
    </row>
    <row r="10836" spans="1:24">
      <c r="A10836">
        <f>HYPERLINK("https://www.philgeps.gov.ph/GEPSNONPILOT/Tender/SplashBidNoticeAbstractUI.aspx?menuIndex=3&amp;refID=7051757&amp;Result=3","7051757")</f>
        <v>0</v>
      </c>
      <c r="B10836" t="s">
        <v>295</v>
      </c>
      <c r="C10836" t="s">
        <v>13794</v>
      </c>
      <c r="D10836" t="s">
        <v>18848</v>
      </c>
      <c r="E10836" t="s">
        <v>28251</v>
      </c>
      <c r="F10836" t="s">
        <v>32664</v>
      </c>
      <c r="G10836" t="s">
        <v>32672</v>
      </c>
      <c r="H10836" t="s">
        <v>12635</v>
      </c>
      <c r="I10836" t="s">
        <v>32740</v>
      </c>
      <c r="J10836" t="s">
        <v>39248</v>
      </c>
      <c r="K10836" t="s">
        <v>42297</v>
      </c>
      <c r="M10836" t="s">
        <v>42862</v>
      </c>
      <c r="N10836" t="s">
        <v>46569</v>
      </c>
      <c r="O10836" t="s">
        <v>46570</v>
      </c>
      <c r="P10836">
        <v>0</v>
      </c>
      <c r="Q10836">
        <v>0</v>
      </c>
      <c r="R10836" t="s">
        <v>46578</v>
      </c>
      <c r="S10836" t="s">
        <v>46874</v>
      </c>
      <c r="T10836" t="s">
        <v>48298</v>
      </c>
      <c r="U10836" t="s">
        <v>57484</v>
      </c>
      <c r="W10836" t="s">
        <v>42862</v>
      </c>
      <c r="X10836" t="s">
        <v>46579</v>
      </c>
    </row>
    <row r="10837" spans="1:24">
      <c r="A10837">
        <f>HYPERLINK("https://www.philgeps.gov.ph/GEPSNONPILOT/Tender/SplashBidNoticeAbstractUI.aspx?menuIndex=3&amp;refID=7051677&amp;Result=3","7051677")</f>
        <v>0</v>
      </c>
      <c r="B10837" t="s">
        <v>1828</v>
      </c>
      <c r="C10837" t="s">
        <v>13795</v>
      </c>
      <c r="D10837" t="s">
        <v>18791</v>
      </c>
      <c r="E10837" t="s">
        <v>28252</v>
      </c>
      <c r="F10837" t="s">
        <v>32664</v>
      </c>
      <c r="G10837" t="s">
        <v>32672</v>
      </c>
      <c r="H10837" t="s">
        <v>32683</v>
      </c>
      <c r="I10837" t="s">
        <v>10627</v>
      </c>
      <c r="J10837" t="s">
        <v>32943</v>
      </c>
      <c r="K10837" t="s">
        <v>42308</v>
      </c>
      <c r="M10837" t="s">
        <v>44535</v>
      </c>
      <c r="N10837" t="s">
        <v>46569</v>
      </c>
      <c r="O10837" t="s">
        <v>46570</v>
      </c>
      <c r="P10837">
        <v>0</v>
      </c>
      <c r="Q10837">
        <v>2</v>
      </c>
      <c r="R10837" t="s">
        <v>46578</v>
      </c>
      <c r="S10837" t="s">
        <v>46874</v>
      </c>
      <c r="T10837" t="s">
        <v>48346</v>
      </c>
      <c r="U10837" t="s">
        <v>57438</v>
      </c>
      <c r="W10837" t="s">
        <v>44535</v>
      </c>
      <c r="X10837" t="s">
        <v>46579</v>
      </c>
    </row>
    <row r="10838" spans="1:24">
      <c r="A10838">
        <f>HYPERLINK("https://www.philgeps.gov.ph/GEPSNONPILOT/Tender/SplashBidNoticeAbstractUI.aspx?menuIndex=3&amp;refID=7051739&amp;Result=3","7051739")</f>
        <v>0</v>
      </c>
      <c r="B10838" t="s">
        <v>2943</v>
      </c>
      <c r="C10838" t="s">
        <v>13796</v>
      </c>
      <c r="D10838" t="s">
        <v>18806</v>
      </c>
      <c r="E10838" t="s">
        <v>28253</v>
      </c>
      <c r="F10838" t="s">
        <v>32664</v>
      </c>
      <c r="G10838" t="s">
        <v>32672</v>
      </c>
      <c r="H10838" t="s">
        <v>12635</v>
      </c>
      <c r="I10838" t="s">
        <v>4439</v>
      </c>
      <c r="J10838" t="s">
        <v>39249</v>
      </c>
      <c r="K10838" t="s">
        <v>42283</v>
      </c>
      <c r="M10838" t="s">
        <v>45797</v>
      </c>
      <c r="N10838" t="s">
        <v>46569</v>
      </c>
      <c r="O10838" t="s">
        <v>46570</v>
      </c>
      <c r="P10838">
        <v>0</v>
      </c>
      <c r="Q10838">
        <v>0</v>
      </c>
      <c r="R10838" t="s">
        <v>46578</v>
      </c>
      <c r="S10838" t="s">
        <v>46874</v>
      </c>
      <c r="T10838" t="s">
        <v>48287</v>
      </c>
      <c r="U10838" t="s">
        <v>57485</v>
      </c>
      <c r="W10838" t="s">
        <v>45797</v>
      </c>
      <c r="X10838" t="s">
        <v>46579</v>
      </c>
    </row>
    <row r="10839" spans="1:24">
      <c r="A10839">
        <f>HYPERLINK("https://www.philgeps.gov.ph/GEPSNONPILOT/Tender/SplashBidNoticeAbstractUI.aspx?menuIndex=3&amp;refID=7051918&amp;Result=3","7051918")</f>
        <v>0</v>
      </c>
      <c r="B10839" t="s">
        <v>1943</v>
      </c>
      <c r="C10839" t="s">
        <v>13797</v>
      </c>
      <c r="D10839" t="s">
        <v>18842</v>
      </c>
      <c r="E10839" t="s">
        <v>28254</v>
      </c>
      <c r="F10839" t="s">
        <v>32664</v>
      </c>
      <c r="G10839" t="s">
        <v>32672</v>
      </c>
      <c r="H10839" t="s">
        <v>32683</v>
      </c>
      <c r="I10839" t="s">
        <v>10627</v>
      </c>
      <c r="J10839" t="s">
        <v>39250</v>
      </c>
      <c r="K10839" t="s">
        <v>42305</v>
      </c>
      <c r="M10839" t="s">
        <v>44668</v>
      </c>
      <c r="N10839" t="s">
        <v>46569</v>
      </c>
      <c r="O10839" t="s">
        <v>46570</v>
      </c>
      <c r="P10839">
        <v>0</v>
      </c>
      <c r="Q10839">
        <v>0</v>
      </c>
      <c r="R10839" t="s">
        <v>46578</v>
      </c>
      <c r="S10839" t="s">
        <v>46874</v>
      </c>
      <c r="T10839" t="s">
        <v>48225</v>
      </c>
      <c r="U10839" t="s">
        <v>57486</v>
      </c>
      <c r="W10839" t="s">
        <v>44668</v>
      </c>
      <c r="X10839" t="s">
        <v>46579</v>
      </c>
    </row>
    <row r="10840" spans="1:24">
      <c r="A10840">
        <f>HYPERLINK("https://www.philgeps.gov.ph/GEPSNONPILOT/Tender/SplashBidNoticeAbstractUI.aspx?menuIndex=3&amp;refID=7051844&amp;Result=3","7051844")</f>
        <v>0</v>
      </c>
      <c r="B10840" t="s">
        <v>1530</v>
      </c>
      <c r="C10840" t="s">
        <v>13798</v>
      </c>
      <c r="D10840" t="s">
        <v>18827</v>
      </c>
      <c r="E10840" t="s">
        <v>13798</v>
      </c>
      <c r="F10840" t="s">
        <v>32664</v>
      </c>
      <c r="G10840" t="s">
        <v>32671</v>
      </c>
      <c r="H10840" t="s">
        <v>12635</v>
      </c>
      <c r="I10840" t="s">
        <v>32706</v>
      </c>
      <c r="J10840" t="s">
        <v>39251</v>
      </c>
      <c r="K10840" t="s">
        <v>42297</v>
      </c>
      <c r="M10840" t="s">
        <v>44197</v>
      </c>
      <c r="N10840" t="s">
        <v>46569</v>
      </c>
      <c r="O10840" t="s">
        <v>46570</v>
      </c>
      <c r="P10840">
        <v>0</v>
      </c>
      <c r="Q10840">
        <v>0</v>
      </c>
      <c r="R10840" t="s">
        <v>46578</v>
      </c>
      <c r="S10840" t="s">
        <v>46874</v>
      </c>
      <c r="T10840" t="s">
        <v>48213</v>
      </c>
      <c r="U10840" t="s">
        <v>57470</v>
      </c>
      <c r="W10840" t="s">
        <v>44197</v>
      </c>
      <c r="X10840" t="s">
        <v>46579</v>
      </c>
    </row>
    <row r="10841" spans="1:24">
      <c r="A10841">
        <f>HYPERLINK("https://www.philgeps.gov.ph/GEPSNONPILOT/Tender/SplashBidNoticeAbstractUI.aspx?menuIndex=3&amp;refID=7051921&amp;Result=3","7051921")</f>
        <v>0</v>
      </c>
      <c r="B10841" t="s">
        <v>1049</v>
      </c>
      <c r="C10841" t="s">
        <v>13799</v>
      </c>
      <c r="E10841" t="s">
        <v>28255</v>
      </c>
      <c r="F10841" t="s">
        <v>32664</v>
      </c>
      <c r="G10841" t="s">
        <v>32671</v>
      </c>
      <c r="H10841" t="s">
        <v>12635</v>
      </c>
      <c r="I10841" t="s">
        <v>32699</v>
      </c>
      <c r="J10841" t="s">
        <v>32984</v>
      </c>
      <c r="K10841" t="s">
        <v>42281</v>
      </c>
      <c r="M10841" t="s">
        <v>45266</v>
      </c>
      <c r="N10841" t="s">
        <v>46569</v>
      </c>
      <c r="O10841" t="s">
        <v>46570</v>
      </c>
      <c r="P10841">
        <v>0</v>
      </c>
      <c r="Q10841">
        <v>1</v>
      </c>
      <c r="R10841" t="s">
        <v>46578</v>
      </c>
      <c r="S10841" t="s">
        <v>46874</v>
      </c>
      <c r="T10841" t="s">
        <v>48427</v>
      </c>
      <c r="U10841" t="s">
        <v>57487</v>
      </c>
      <c r="W10841" t="s">
        <v>63560</v>
      </c>
      <c r="X10841" t="s">
        <v>46579</v>
      </c>
    </row>
    <row r="10842" spans="1:24">
      <c r="A10842">
        <f>HYPERLINK("https://www.philgeps.gov.ph/GEPSNONPILOT/Tender/SplashBidNoticeAbstractUI.aspx?menuIndex=3&amp;refID=7051908&amp;Result=3","7051908")</f>
        <v>0</v>
      </c>
      <c r="B10842" t="s">
        <v>426</v>
      </c>
      <c r="C10842" t="s">
        <v>13800</v>
      </c>
      <c r="D10842" t="s">
        <v>18841</v>
      </c>
      <c r="E10842" t="s">
        <v>28256</v>
      </c>
      <c r="F10842" t="s">
        <v>32664</v>
      </c>
      <c r="G10842" t="s">
        <v>32671</v>
      </c>
      <c r="H10842" t="s">
        <v>12635</v>
      </c>
      <c r="I10842" t="s">
        <v>8730</v>
      </c>
      <c r="J10842" t="s">
        <v>39252</v>
      </c>
      <c r="K10842" t="s">
        <v>42289</v>
      </c>
      <c r="M10842" t="s">
        <v>42997</v>
      </c>
      <c r="N10842" t="s">
        <v>46569</v>
      </c>
      <c r="O10842" t="s">
        <v>46570</v>
      </c>
      <c r="P10842">
        <v>0</v>
      </c>
      <c r="Q10842">
        <v>0</v>
      </c>
      <c r="R10842" t="s">
        <v>46578</v>
      </c>
      <c r="S10842" t="s">
        <v>46874</v>
      </c>
      <c r="T10842" t="s">
        <v>48448</v>
      </c>
      <c r="U10842" t="s">
        <v>57488</v>
      </c>
      <c r="W10842" t="s">
        <v>42997</v>
      </c>
      <c r="X10842" t="s">
        <v>46579</v>
      </c>
    </row>
    <row r="10843" spans="1:24">
      <c r="A10843">
        <f>HYPERLINK("https://www.philgeps.gov.ph/GEPSNONPILOT/Tender/SplashBidNoticeAbstractUI.aspx?menuIndex=3&amp;refID=7051740&amp;Result=3","7051740")</f>
        <v>0</v>
      </c>
      <c r="B10843" t="s">
        <v>2954</v>
      </c>
      <c r="C10843" t="s">
        <v>13801</v>
      </c>
      <c r="D10843" t="s">
        <v>18797</v>
      </c>
      <c r="E10843" t="s">
        <v>28257</v>
      </c>
      <c r="F10843" t="s">
        <v>32665</v>
      </c>
      <c r="G10843" t="s">
        <v>32672</v>
      </c>
      <c r="H10843" t="s">
        <v>32683</v>
      </c>
      <c r="I10843" t="s">
        <v>4439</v>
      </c>
      <c r="J10843" t="s">
        <v>32974</v>
      </c>
      <c r="K10843" t="s">
        <v>42314</v>
      </c>
      <c r="M10843" t="s">
        <v>45808</v>
      </c>
      <c r="N10843" t="s">
        <v>46569</v>
      </c>
      <c r="O10843" t="s">
        <v>46570</v>
      </c>
      <c r="P10843">
        <v>0</v>
      </c>
      <c r="Q10843">
        <v>4</v>
      </c>
      <c r="R10843" t="s">
        <v>46578</v>
      </c>
      <c r="S10843" t="s">
        <v>46874</v>
      </c>
      <c r="T10843" t="s">
        <v>48468</v>
      </c>
      <c r="U10843" t="s">
        <v>57489</v>
      </c>
      <c r="W10843" t="s">
        <v>45808</v>
      </c>
      <c r="X10843" t="s">
        <v>46579</v>
      </c>
    </row>
    <row r="10844" spans="1:24">
      <c r="A10844">
        <f>HYPERLINK("https://www.philgeps.gov.ph/GEPSNONPILOT/Tender/SplashBidNoticeAbstractUI.aspx?menuIndex=3&amp;refID=7051683&amp;Result=3","7051683")</f>
        <v>0</v>
      </c>
      <c r="B10844" t="s">
        <v>2955</v>
      </c>
      <c r="C10844" t="s">
        <v>13802</v>
      </c>
      <c r="D10844" t="s">
        <v>18865</v>
      </c>
      <c r="E10844" t="s">
        <v>28258</v>
      </c>
      <c r="F10844" t="s">
        <v>32664</v>
      </c>
      <c r="G10844" t="s">
        <v>32672</v>
      </c>
      <c r="H10844" t="s">
        <v>32683</v>
      </c>
      <c r="I10844" t="s">
        <v>10627</v>
      </c>
      <c r="J10844" t="s">
        <v>39253</v>
      </c>
      <c r="K10844" t="s">
        <v>42290</v>
      </c>
      <c r="M10844" t="s">
        <v>45809</v>
      </c>
      <c r="N10844" t="s">
        <v>46569</v>
      </c>
      <c r="O10844" t="s">
        <v>46570</v>
      </c>
      <c r="P10844">
        <v>0</v>
      </c>
      <c r="Q10844">
        <v>0</v>
      </c>
      <c r="R10844" t="s">
        <v>46578</v>
      </c>
      <c r="S10844" t="s">
        <v>46874</v>
      </c>
      <c r="T10844" t="s">
        <v>48238</v>
      </c>
      <c r="U10844" t="s">
        <v>57490</v>
      </c>
      <c r="W10844" t="s">
        <v>45809</v>
      </c>
      <c r="X10844" t="s">
        <v>46579</v>
      </c>
    </row>
    <row r="10845" spans="1:24">
      <c r="A10845">
        <f>HYPERLINK("https://www.philgeps.gov.ph/GEPSNONPILOT/Tender/SplashBidNoticeAbstractUI.aspx?menuIndex=3&amp;refID=7051893&amp;Result=3","7051893")</f>
        <v>0</v>
      </c>
      <c r="B10845" t="s">
        <v>2956</v>
      </c>
      <c r="C10845" t="s">
        <v>13803</v>
      </c>
      <c r="D10845" t="s">
        <v>18804</v>
      </c>
      <c r="E10845" t="s">
        <v>28259</v>
      </c>
      <c r="F10845" t="s">
        <v>32664</v>
      </c>
      <c r="G10845" t="s">
        <v>32672</v>
      </c>
      <c r="H10845" t="s">
        <v>12635</v>
      </c>
      <c r="I10845" t="s">
        <v>6628</v>
      </c>
      <c r="J10845" t="s">
        <v>33461</v>
      </c>
      <c r="K10845" t="s">
        <v>42289</v>
      </c>
      <c r="M10845" t="s">
        <v>45810</v>
      </c>
      <c r="N10845" t="s">
        <v>46569</v>
      </c>
      <c r="O10845" t="s">
        <v>46570</v>
      </c>
      <c r="P10845">
        <v>0</v>
      </c>
      <c r="Q10845">
        <v>5</v>
      </c>
      <c r="R10845" t="s">
        <v>46578</v>
      </c>
      <c r="S10845" t="s">
        <v>46874</v>
      </c>
      <c r="T10845" t="s">
        <v>48405</v>
      </c>
      <c r="U10845" t="s">
        <v>57491</v>
      </c>
      <c r="W10845" t="s">
        <v>45810</v>
      </c>
      <c r="X10845" t="s">
        <v>46579</v>
      </c>
    </row>
    <row r="10846" spans="1:24">
      <c r="A10846">
        <f>HYPERLINK("https://www.philgeps.gov.ph/GEPSNONPILOT/Tender/SplashBidNoticeAbstractUI.aspx?menuIndex=3&amp;refID=7051888&amp;Result=3","7051888")</f>
        <v>0</v>
      </c>
      <c r="B10846" t="s">
        <v>2936</v>
      </c>
      <c r="C10846" t="s">
        <v>13804</v>
      </c>
      <c r="D10846" t="s">
        <v>18804</v>
      </c>
      <c r="E10846" t="s">
        <v>19673</v>
      </c>
      <c r="F10846" t="s">
        <v>32664</v>
      </c>
      <c r="G10846" t="s">
        <v>32672</v>
      </c>
      <c r="H10846" t="s">
        <v>12635</v>
      </c>
      <c r="I10846" t="s">
        <v>4439</v>
      </c>
      <c r="J10846" t="s">
        <v>39254</v>
      </c>
      <c r="K10846" t="s">
        <v>42283</v>
      </c>
      <c r="M10846" t="s">
        <v>45790</v>
      </c>
      <c r="N10846" t="s">
        <v>46569</v>
      </c>
      <c r="O10846" t="s">
        <v>46570</v>
      </c>
      <c r="P10846">
        <v>0</v>
      </c>
      <c r="Q10846">
        <v>1</v>
      </c>
      <c r="R10846" t="s">
        <v>46578</v>
      </c>
      <c r="S10846" t="s">
        <v>46874</v>
      </c>
      <c r="T10846" t="s">
        <v>48468</v>
      </c>
      <c r="U10846" t="s">
        <v>57492</v>
      </c>
      <c r="W10846" t="s">
        <v>45790</v>
      </c>
      <c r="X10846" t="s">
        <v>46579</v>
      </c>
    </row>
    <row r="10847" spans="1:24">
      <c r="A10847">
        <f>HYPERLINK("https://www.philgeps.gov.ph/GEPSNONPILOT/Tender/SplashBidNoticeAbstractUI.aspx?menuIndex=3&amp;refID=7051884&amp;Result=3","7051884")</f>
        <v>0</v>
      </c>
      <c r="B10847" t="s">
        <v>162</v>
      </c>
      <c r="C10847" t="s">
        <v>13805</v>
      </c>
      <c r="D10847" t="s">
        <v>18788</v>
      </c>
      <c r="E10847" t="s">
        <v>28260</v>
      </c>
      <c r="F10847" t="s">
        <v>32664</v>
      </c>
      <c r="G10847" t="s">
        <v>32672</v>
      </c>
      <c r="H10847" t="s">
        <v>12635</v>
      </c>
      <c r="I10847" t="s">
        <v>11464</v>
      </c>
      <c r="J10847" t="s">
        <v>34148</v>
      </c>
      <c r="K10847" t="s">
        <v>42281</v>
      </c>
      <c r="M10847" t="s">
        <v>42726</v>
      </c>
      <c r="N10847" t="s">
        <v>46569</v>
      </c>
      <c r="O10847" t="s">
        <v>46570</v>
      </c>
      <c r="P10847">
        <v>0</v>
      </c>
      <c r="Q10847">
        <v>4</v>
      </c>
      <c r="R10847" t="s">
        <v>46578</v>
      </c>
      <c r="S10847" t="s">
        <v>46874</v>
      </c>
      <c r="T10847" t="s">
        <v>48349</v>
      </c>
      <c r="U10847" t="s">
        <v>57493</v>
      </c>
      <c r="W10847" t="s">
        <v>42726</v>
      </c>
      <c r="X10847" t="s">
        <v>46579</v>
      </c>
    </row>
    <row r="10848" spans="1:24">
      <c r="A10848">
        <f>HYPERLINK("https://www.philgeps.gov.ph/GEPSNONPILOT/Tender/SplashBidNoticeAbstractUI.aspx?menuIndex=3&amp;refID=7051749&amp;Result=3","7051749")</f>
        <v>0</v>
      </c>
      <c r="B10848" t="s">
        <v>2946</v>
      </c>
      <c r="C10848" t="s">
        <v>13806</v>
      </c>
      <c r="D10848" t="s">
        <v>18786</v>
      </c>
      <c r="E10848" t="s">
        <v>19761</v>
      </c>
      <c r="F10848" t="s">
        <v>32664</v>
      </c>
      <c r="G10848" t="s">
        <v>32672</v>
      </c>
      <c r="H10848" t="s">
        <v>32683</v>
      </c>
      <c r="I10848" t="s">
        <v>10627</v>
      </c>
      <c r="J10848" t="s">
        <v>39255</v>
      </c>
      <c r="K10848" t="s">
        <v>42337</v>
      </c>
      <c r="M10848" t="s">
        <v>45800</v>
      </c>
      <c r="N10848" t="s">
        <v>46569</v>
      </c>
      <c r="O10848" t="s">
        <v>46570</v>
      </c>
      <c r="P10848">
        <v>0</v>
      </c>
      <c r="Q10848">
        <v>0</v>
      </c>
      <c r="R10848" t="s">
        <v>46578</v>
      </c>
      <c r="S10848" t="s">
        <v>46874</v>
      </c>
      <c r="T10848" t="s">
        <v>48571</v>
      </c>
      <c r="U10848" t="s">
        <v>57494</v>
      </c>
      <c r="W10848" t="s">
        <v>45800</v>
      </c>
      <c r="X10848" t="s">
        <v>46579</v>
      </c>
    </row>
    <row r="10849" spans="1:24">
      <c r="A10849">
        <f>HYPERLINK("https://www.philgeps.gov.ph/GEPSNONPILOT/Tender/SplashBidNoticeAbstractUI.aspx?menuIndex=3&amp;refID=7051907&amp;Result=3","7051907")</f>
        <v>0</v>
      </c>
      <c r="B10849" t="s">
        <v>2926</v>
      </c>
      <c r="C10849" t="s">
        <v>13807</v>
      </c>
      <c r="D10849" t="s">
        <v>18802</v>
      </c>
      <c r="E10849" t="s">
        <v>28261</v>
      </c>
      <c r="F10849" t="s">
        <v>32664</v>
      </c>
      <c r="G10849" t="s">
        <v>32672</v>
      </c>
      <c r="H10849" t="s">
        <v>32683</v>
      </c>
      <c r="I10849" t="s">
        <v>10627</v>
      </c>
      <c r="J10849" t="s">
        <v>39256</v>
      </c>
      <c r="K10849" t="s">
        <v>42285</v>
      </c>
      <c r="M10849" t="s">
        <v>45779</v>
      </c>
      <c r="N10849" t="s">
        <v>46569</v>
      </c>
      <c r="O10849" t="s">
        <v>46570</v>
      </c>
      <c r="P10849">
        <v>0</v>
      </c>
      <c r="Q10849">
        <v>0</v>
      </c>
      <c r="R10849" t="s">
        <v>46578</v>
      </c>
      <c r="S10849" t="s">
        <v>46874</v>
      </c>
      <c r="T10849" t="s">
        <v>48363</v>
      </c>
      <c r="U10849" t="s">
        <v>57495</v>
      </c>
      <c r="V10849" t="s">
        <v>62791</v>
      </c>
      <c r="W10849" t="s">
        <v>45779</v>
      </c>
      <c r="X10849" t="s">
        <v>46579</v>
      </c>
    </row>
    <row r="10850" spans="1:24">
      <c r="A10850">
        <f>HYPERLINK("https://www.philgeps.gov.ph/GEPSNONPILOT/Tender/SplashBidNoticeAbstractUI.aspx?menuIndex=3&amp;refID=7051896&amp;Result=3","7051896")</f>
        <v>0</v>
      </c>
      <c r="B10850" t="s">
        <v>2946</v>
      </c>
      <c r="C10850" t="s">
        <v>13808</v>
      </c>
      <c r="D10850" t="s">
        <v>18786</v>
      </c>
      <c r="E10850" t="s">
        <v>20732</v>
      </c>
      <c r="F10850" t="s">
        <v>32664</v>
      </c>
      <c r="G10850" t="s">
        <v>32672</v>
      </c>
      <c r="H10850" t="s">
        <v>32683</v>
      </c>
      <c r="I10850" t="s">
        <v>10627</v>
      </c>
      <c r="J10850" t="s">
        <v>39257</v>
      </c>
      <c r="K10850" t="s">
        <v>42362</v>
      </c>
      <c r="M10850" t="s">
        <v>45800</v>
      </c>
      <c r="N10850" t="s">
        <v>46569</v>
      </c>
      <c r="O10850" t="s">
        <v>46570</v>
      </c>
      <c r="P10850">
        <v>0</v>
      </c>
      <c r="Q10850">
        <v>0</v>
      </c>
      <c r="R10850" t="s">
        <v>46578</v>
      </c>
      <c r="S10850" t="s">
        <v>46874</v>
      </c>
      <c r="T10850" t="s">
        <v>48571</v>
      </c>
      <c r="U10850" t="s">
        <v>57496</v>
      </c>
      <c r="W10850" t="s">
        <v>45800</v>
      </c>
      <c r="X10850" t="s">
        <v>46579</v>
      </c>
    </row>
    <row r="10851" spans="1:24">
      <c r="A10851">
        <f>HYPERLINK("https://www.philgeps.gov.ph/GEPSNONPILOT/Tender/SplashBidNoticeAbstractUI.aspx?menuIndex=3&amp;refID=7051924&amp;Result=3","7051924")</f>
        <v>0</v>
      </c>
      <c r="B10851" t="s">
        <v>2469</v>
      </c>
      <c r="C10851" t="s">
        <v>13809</v>
      </c>
      <c r="D10851" t="s">
        <v>18801</v>
      </c>
      <c r="E10851" t="s">
        <v>28262</v>
      </c>
      <c r="F10851" t="s">
        <v>32664</v>
      </c>
      <c r="G10851" t="s">
        <v>32672</v>
      </c>
      <c r="H10851" t="s">
        <v>32683</v>
      </c>
      <c r="I10851" t="s">
        <v>10627</v>
      </c>
      <c r="J10851" t="s">
        <v>32962</v>
      </c>
      <c r="K10851" t="s">
        <v>42281</v>
      </c>
      <c r="M10851" t="s">
        <v>45267</v>
      </c>
      <c r="N10851" t="s">
        <v>46569</v>
      </c>
      <c r="O10851" t="s">
        <v>46570</v>
      </c>
      <c r="P10851">
        <v>0</v>
      </c>
      <c r="Q10851">
        <v>10</v>
      </c>
      <c r="R10851" t="s">
        <v>46578</v>
      </c>
      <c r="S10851" t="s">
        <v>46874</v>
      </c>
      <c r="T10851" t="s">
        <v>48449</v>
      </c>
      <c r="U10851" t="s">
        <v>55574</v>
      </c>
      <c r="V10851" t="s">
        <v>62260</v>
      </c>
      <c r="W10851" t="s">
        <v>63562</v>
      </c>
      <c r="X10851" t="s">
        <v>46579</v>
      </c>
    </row>
    <row r="10852" spans="1:24">
      <c r="A10852">
        <f>HYPERLINK("https://www.philgeps.gov.ph/GEPSNONPILOT/Tender/SplashBidNoticeAbstractUI.aspx?menuIndex=3&amp;refID=7051982&amp;Result=3","7051982")</f>
        <v>0</v>
      </c>
      <c r="B10852" t="s">
        <v>2957</v>
      </c>
      <c r="C10852" t="s">
        <v>13810</v>
      </c>
      <c r="D10852" t="s">
        <v>18801</v>
      </c>
      <c r="E10852" t="s">
        <v>13810</v>
      </c>
      <c r="F10852" t="s">
        <v>32664</v>
      </c>
      <c r="G10852" t="s">
        <v>32672</v>
      </c>
      <c r="H10852" t="s">
        <v>32683</v>
      </c>
      <c r="I10852" t="s">
        <v>10627</v>
      </c>
      <c r="J10852" t="s">
        <v>32981</v>
      </c>
      <c r="K10852" t="s">
        <v>42281</v>
      </c>
      <c r="M10852" t="s">
        <v>45811</v>
      </c>
      <c r="N10852" t="s">
        <v>46569</v>
      </c>
      <c r="O10852" t="s">
        <v>46570</v>
      </c>
      <c r="P10852">
        <v>0</v>
      </c>
      <c r="Q10852">
        <v>0</v>
      </c>
      <c r="R10852" t="s">
        <v>46578</v>
      </c>
      <c r="S10852" t="s">
        <v>46874</v>
      </c>
      <c r="T10852" t="s">
        <v>48420</v>
      </c>
      <c r="U10852" t="s">
        <v>57497</v>
      </c>
      <c r="V10852" t="s">
        <v>62792</v>
      </c>
      <c r="W10852" t="s">
        <v>45811</v>
      </c>
      <c r="X10852" t="s">
        <v>46579</v>
      </c>
    </row>
    <row r="10853" spans="1:24">
      <c r="A10853">
        <f>HYPERLINK("https://www.philgeps.gov.ph/GEPSNONPILOT/Tender/SplashBidNoticeAbstractUI.aspx?menuIndex=3&amp;refID=7051886&amp;Result=3","7051886")</f>
        <v>0</v>
      </c>
      <c r="B10853" t="s">
        <v>678</v>
      </c>
      <c r="C10853" t="s">
        <v>13811</v>
      </c>
      <c r="E10853" t="s">
        <v>28263</v>
      </c>
      <c r="F10853" t="s">
        <v>32664</v>
      </c>
      <c r="G10853" t="s">
        <v>32672</v>
      </c>
      <c r="H10853" t="s">
        <v>12635</v>
      </c>
      <c r="I10853" t="s">
        <v>32696</v>
      </c>
      <c r="J10853" t="s">
        <v>39258</v>
      </c>
      <c r="K10853" t="s">
        <v>42283</v>
      </c>
      <c r="M10853" t="s">
        <v>43265</v>
      </c>
      <c r="N10853" t="s">
        <v>46569</v>
      </c>
      <c r="O10853" t="s">
        <v>46570</v>
      </c>
      <c r="P10853">
        <v>0</v>
      </c>
      <c r="Q10853">
        <v>1</v>
      </c>
      <c r="R10853" t="s">
        <v>46578</v>
      </c>
      <c r="S10853" t="s">
        <v>46874</v>
      </c>
      <c r="T10853" t="s">
        <v>48274</v>
      </c>
      <c r="U10853" t="s">
        <v>57433</v>
      </c>
      <c r="W10853" t="s">
        <v>43265</v>
      </c>
      <c r="X10853" t="s">
        <v>46579</v>
      </c>
    </row>
    <row r="10854" spans="1:24">
      <c r="A10854">
        <f>HYPERLINK("https://www.philgeps.gov.ph/GEPSNONPILOT/Tender/SplashBidNoticeAbstractUI.aspx?menuIndex=3&amp;refID=7051981&amp;Result=3","7051981")</f>
        <v>0</v>
      </c>
      <c r="B10854" t="s">
        <v>2357</v>
      </c>
      <c r="C10854" t="s">
        <v>13812</v>
      </c>
      <c r="D10854" t="s">
        <v>18783</v>
      </c>
      <c r="E10854" t="s">
        <v>20699</v>
      </c>
      <c r="F10854" t="s">
        <v>32664</v>
      </c>
      <c r="G10854" t="s">
        <v>32672</v>
      </c>
      <c r="H10854" t="s">
        <v>12635</v>
      </c>
      <c r="I10854" t="s">
        <v>6168</v>
      </c>
      <c r="J10854" t="s">
        <v>39259</v>
      </c>
      <c r="K10854" t="s">
        <v>42289</v>
      </c>
      <c r="M10854" t="s">
        <v>45141</v>
      </c>
      <c r="N10854" t="s">
        <v>46569</v>
      </c>
      <c r="O10854" t="s">
        <v>46570</v>
      </c>
      <c r="P10854">
        <v>0</v>
      </c>
      <c r="Q10854">
        <v>3</v>
      </c>
      <c r="R10854" t="s">
        <v>46578</v>
      </c>
      <c r="S10854" t="s">
        <v>46874</v>
      </c>
      <c r="T10854" t="s">
        <v>48590</v>
      </c>
      <c r="U10854" t="s">
        <v>57498</v>
      </c>
      <c r="W10854" t="s">
        <v>45141</v>
      </c>
      <c r="X10854" t="s">
        <v>46579</v>
      </c>
    </row>
    <row r="10855" spans="1:24">
      <c r="A10855">
        <f>HYPERLINK("https://www.philgeps.gov.ph/GEPSNONPILOT/Tender/SplashBidNoticeAbstractUI.aspx?menuIndex=3&amp;refID=7051980&amp;Result=3","7051980")</f>
        <v>0</v>
      </c>
      <c r="B10855" t="s">
        <v>2107</v>
      </c>
      <c r="C10855" t="s">
        <v>13813</v>
      </c>
      <c r="D10855" t="s">
        <v>18783</v>
      </c>
      <c r="E10855" t="s">
        <v>22638</v>
      </c>
      <c r="F10855" t="s">
        <v>32664</v>
      </c>
      <c r="G10855" t="s">
        <v>32672</v>
      </c>
      <c r="H10855" t="s">
        <v>12635</v>
      </c>
      <c r="I10855" t="s">
        <v>4333</v>
      </c>
      <c r="J10855" t="s">
        <v>39260</v>
      </c>
      <c r="K10855" t="s">
        <v>42303</v>
      </c>
      <c r="M10855" t="s">
        <v>44862</v>
      </c>
      <c r="N10855" t="s">
        <v>46569</v>
      </c>
      <c r="O10855" t="s">
        <v>46570</v>
      </c>
      <c r="P10855">
        <v>0</v>
      </c>
      <c r="Q10855">
        <v>1</v>
      </c>
      <c r="R10855" t="s">
        <v>46578</v>
      </c>
      <c r="S10855" t="s">
        <v>46874</v>
      </c>
      <c r="T10855" t="s">
        <v>48374</v>
      </c>
      <c r="U10855" t="s">
        <v>57499</v>
      </c>
      <c r="V10855" t="s">
        <v>62793</v>
      </c>
      <c r="W10855" t="s">
        <v>44862</v>
      </c>
      <c r="X10855" t="s">
        <v>46579</v>
      </c>
    </row>
    <row r="10856" spans="1:24">
      <c r="A10856">
        <f>HYPERLINK("https://www.philgeps.gov.ph/GEPSNONPILOT/Tender/SplashBidNoticeAbstractUI.aspx?menuIndex=3&amp;refID=7051926&amp;Result=3","7051926")</f>
        <v>0</v>
      </c>
      <c r="B10856" t="s">
        <v>82</v>
      </c>
      <c r="C10856" t="s">
        <v>13814</v>
      </c>
      <c r="D10856" t="s">
        <v>18804</v>
      </c>
      <c r="E10856" t="s">
        <v>28264</v>
      </c>
      <c r="F10856" t="s">
        <v>32664</v>
      </c>
      <c r="G10856" t="s">
        <v>32672</v>
      </c>
      <c r="H10856" t="s">
        <v>12635</v>
      </c>
      <c r="I10856" t="s">
        <v>10370</v>
      </c>
      <c r="J10856" t="s">
        <v>35843</v>
      </c>
      <c r="K10856" t="s">
        <v>42289</v>
      </c>
      <c r="M10856" t="s">
        <v>42645</v>
      </c>
      <c r="N10856" t="s">
        <v>46569</v>
      </c>
      <c r="O10856" t="s">
        <v>46570</v>
      </c>
      <c r="P10856">
        <v>0</v>
      </c>
      <c r="Q10856">
        <v>4</v>
      </c>
      <c r="R10856" t="s">
        <v>46578</v>
      </c>
      <c r="S10856" t="s">
        <v>46874</v>
      </c>
      <c r="T10856" t="s">
        <v>48648</v>
      </c>
      <c r="U10856" t="s">
        <v>48918</v>
      </c>
      <c r="W10856" t="s">
        <v>42645</v>
      </c>
      <c r="X10856" t="s">
        <v>46579</v>
      </c>
    </row>
    <row r="10857" spans="1:24">
      <c r="A10857">
        <f>HYPERLINK("https://www.philgeps.gov.ph/GEPSNONPILOT/Tender/SplashBidNoticeAbstractUI.aspx?menuIndex=3&amp;refID=7051971&amp;Result=3","7051971")</f>
        <v>0</v>
      </c>
      <c r="B10857" t="s">
        <v>1943</v>
      </c>
      <c r="C10857" t="s">
        <v>13815</v>
      </c>
      <c r="D10857" t="s">
        <v>18842</v>
      </c>
      <c r="E10857" t="s">
        <v>28265</v>
      </c>
      <c r="F10857" t="s">
        <v>32664</v>
      </c>
      <c r="G10857" t="s">
        <v>32672</v>
      </c>
      <c r="H10857" t="s">
        <v>32683</v>
      </c>
      <c r="I10857" t="s">
        <v>10627</v>
      </c>
      <c r="J10857" t="s">
        <v>39261</v>
      </c>
      <c r="K10857" t="s">
        <v>42305</v>
      </c>
      <c r="M10857" t="s">
        <v>44668</v>
      </c>
      <c r="N10857" t="s">
        <v>46569</v>
      </c>
      <c r="O10857" t="s">
        <v>46570</v>
      </c>
      <c r="P10857">
        <v>0</v>
      </c>
      <c r="Q10857">
        <v>0</v>
      </c>
      <c r="R10857" t="s">
        <v>46578</v>
      </c>
      <c r="S10857" t="s">
        <v>46874</v>
      </c>
      <c r="T10857" t="s">
        <v>48225</v>
      </c>
      <c r="U10857" t="s">
        <v>57500</v>
      </c>
      <c r="W10857" t="s">
        <v>44668</v>
      </c>
      <c r="X10857" t="s">
        <v>46579</v>
      </c>
    </row>
    <row r="10858" spans="1:24">
      <c r="A10858">
        <f>HYPERLINK("https://www.philgeps.gov.ph/GEPSNONPILOT/Tender/SplashBidNoticeAbstractUI.aspx?menuIndex=3&amp;refID=7051974&amp;Result=3","7051974")</f>
        <v>0</v>
      </c>
      <c r="B10858" t="s">
        <v>678</v>
      </c>
      <c r="C10858" t="s">
        <v>13816</v>
      </c>
      <c r="E10858" t="s">
        <v>28266</v>
      </c>
      <c r="F10858" t="s">
        <v>32664</v>
      </c>
      <c r="G10858" t="s">
        <v>32672</v>
      </c>
      <c r="H10858" t="s">
        <v>12635</v>
      </c>
      <c r="I10858" t="s">
        <v>6223</v>
      </c>
      <c r="J10858" t="s">
        <v>36084</v>
      </c>
      <c r="K10858" t="s">
        <v>42283</v>
      </c>
      <c r="M10858" t="s">
        <v>43265</v>
      </c>
      <c r="N10858" t="s">
        <v>46569</v>
      </c>
      <c r="O10858" t="s">
        <v>46570</v>
      </c>
      <c r="P10858">
        <v>0</v>
      </c>
      <c r="Q10858">
        <v>2</v>
      </c>
      <c r="R10858" t="s">
        <v>46578</v>
      </c>
      <c r="S10858" t="s">
        <v>46874</v>
      </c>
      <c r="T10858" t="s">
        <v>48274</v>
      </c>
      <c r="U10858" t="s">
        <v>57433</v>
      </c>
      <c r="W10858" t="s">
        <v>43265</v>
      </c>
      <c r="X10858" t="s">
        <v>46579</v>
      </c>
    </row>
    <row r="10859" spans="1:24">
      <c r="A10859">
        <f>HYPERLINK("https://www.philgeps.gov.ph/GEPSNONPILOT/Tender/SplashBidNoticeAbstractUI.aspx?menuIndex=3&amp;refID=7051753&amp;Result=3","7051753")</f>
        <v>0</v>
      </c>
      <c r="B10859" t="s">
        <v>2357</v>
      </c>
      <c r="C10859" t="s">
        <v>13817</v>
      </c>
      <c r="D10859" t="s">
        <v>18783</v>
      </c>
      <c r="E10859" t="s">
        <v>28267</v>
      </c>
      <c r="F10859" t="s">
        <v>32664</v>
      </c>
      <c r="G10859" t="s">
        <v>32672</v>
      </c>
      <c r="H10859" t="s">
        <v>12635</v>
      </c>
      <c r="I10859" t="s">
        <v>8958</v>
      </c>
      <c r="J10859" t="s">
        <v>33021</v>
      </c>
      <c r="K10859" t="s">
        <v>42289</v>
      </c>
      <c r="M10859" t="s">
        <v>45141</v>
      </c>
      <c r="N10859" t="s">
        <v>46569</v>
      </c>
      <c r="O10859" t="s">
        <v>46570</v>
      </c>
      <c r="P10859">
        <v>0</v>
      </c>
      <c r="Q10859">
        <v>6</v>
      </c>
      <c r="R10859" t="s">
        <v>46578</v>
      </c>
      <c r="S10859" t="s">
        <v>46874</v>
      </c>
      <c r="T10859" t="s">
        <v>48307</v>
      </c>
      <c r="U10859" t="s">
        <v>57501</v>
      </c>
      <c r="W10859" t="s">
        <v>45141</v>
      </c>
      <c r="X10859" t="s">
        <v>46579</v>
      </c>
    </row>
    <row r="10860" spans="1:24">
      <c r="A10860">
        <f>HYPERLINK("https://www.philgeps.gov.ph/GEPSNONPILOT/Tender/SplashBidNoticeAbstractUI.aspx?menuIndex=3&amp;refID=7051963&amp;Result=3","7051963")</f>
        <v>0</v>
      </c>
      <c r="B10860" t="s">
        <v>2958</v>
      </c>
      <c r="C10860" t="s">
        <v>13818</v>
      </c>
      <c r="D10860" t="s">
        <v>18792</v>
      </c>
      <c r="E10860" t="s">
        <v>19247</v>
      </c>
      <c r="F10860" t="s">
        <v>32664</v>
      </c>
      <c r="G10860" t="s">
        <v>32672</v>
      </c>
      <c r="H10860" t="s">
        <v>32683</v>
      </c>
      <c r="I10860" t="s">
        <v>10627</v>
      </c>
      <c r="J10860" t="s">
        <v>39262</v>
      </c>
      <c r="K10860" t="s">
        <v>42290</v>
      </c>
      <c r="M10860" t="s">
        <v>45812</v>
      </c>
      <c r="N10860" t="s">
        <v>46569</v>
      </c>
      <c r="O10860" t="s">
        <v>46570</v>
      </c>
      <c r="P10860">
        <v>0</v>
      </c>
      <c r="Q10860">
        <v>1</v>
      </c>
      <c r="R10860" t="s">
        <v>46578</v>
      </c>
      <c r="S10860" t="s">
        <v>46874</v>
      </c>
      <c r="T10860" t="s">
        <v>48452</v>
      </c>
      <c r="U10860" t="s">
        <v>57502</v>
      </c>
      <c r="W10860" t="s">
        <v>45812</v>
      </c>
      <c r="X10860" t="s">
        <v>46579</v>
      </c>
    </row>
    <row r="10861" spans="1:24">
      <c r="A10861">
        <f>HYPERLINK("https://www.philgeps.gov.ph/GEPSNONPILOT/Tender/SplashBidNoticeAbstractUI.aspx?menuIndex=3&amp;refID=7051942&amp;Result=3","7051942")</f>
        <v>0</v>
      </c>
      <c r="B10861" t="s">
        <v>2936</v>
      </c>
      <c r="C10861" t="s">
        <v>13819</v>
      </c>
      <c r="D10861" t="s">
        <v>18804</v>
      </c>
      <c r="E10861" t="s">
        <v>20248</v>
      </c>
      <c r="F10861" t="s">
        <v>32664</v>
      </c>
      <c r="G10861" t="s">
        <v>32672</v>
      </c>
      <c r="H10861" t="s">
        <v>12635</v>
      </c>
      <c r="I10861" t="s">
        <v>11464</v>
      </c>
      <c r="J10861" t="s">
        <v>32981</v>
      </c>
      <c r="K10861" t="s">
        <v>42283</v>
      </c>
      <c r="M10861" t="s">
        <v>45790</v>
      </c>
      <c r="N10861" t="s">
        <v>46569</v>
      </c>
      <c r="O10861" t="s">
        <v>46570</v>
      </c>
      <c r="P10861">
        <v>0</v>
      </c>
      <c r="Q10861">
        <v>4</v>
      </c>
      <c r="R10861" t="s">
        <v>46578</v>
      </c>
      <c r="S10861" t="s">
        <v>46874</v>
      </c>
      <c r="T10861" t="s">
        <v>48468</v>
      </c>
      <c r="U10861" t="s">
        <v>57503</v>
      </c>
      <c r="W10861" t="s">
        <v>45790</v>
      </c>
      <c r="X10861" t="s">
        <v>46579</v>
      </c>
    </row>
    <row r="10862" spans="1:24">
      <c r="A10862">
        <f>HYPERLINK("https://www.philgeps.gov.ph/GEPSNONPILOT/Tender/SplashBidNoticeAbstractUI.aspx?menuIndex=3&amp;refID=7051979&amp;Result=3","7051979")</f>
        <v>0</v>
      </c>
      <c r="B10862" t="s">
        <v>2959</v>
      </c>
      <c r="C10862" t="s">
        <v>13820</v>
      </c>
      <c r="D10862" t="s">
        <v>18842</v>
      </c>
      <c r="E10862" t="s">
        <v>19451</v>
      </c>
      <c r="F10862" t="s">
        <v>32664</v>
      </c>
      <c r="G10862" t="s">
        <v>32672</v>
      </c>
      <c r="H10862" t="s">
        <v>32683</v>
      </c>
      <c r="I10862" t="s">
        <v>32716</v>
      </c>
      <c r="J10862" t="s">
        <v>39263</v>
      </c>
      <c r="K10862" t="s">
        <v>42311</v>
      </c>
      <c r="M10862" t="s">
        <v>45813</v>
      </c>
      <c r="N10862" t="s">
        <v>46569</v>
      </c>
      <c r="O10862" t="s">
        <v>46570</v>
      </c>
      <c r="P10862">
        <v>0</v>
      </c>
      <c r="Q10862">
        <v>1</v>
      </c>
      <c r="R10862" t="s">
        <v>46578</v>
      </c>
      <c r="S10862" t="s">
        <v>46874</v>
      </c>
      <c r="T10862" t="s">
        <v>48394</v>
      </c>
      <c r="U10862" t="s">
        <v>57504</v>
      </c>
      <c r="W10862" t="s">
        <v>45813</v>
      </c>
      <c r="X10862" t="s">
        <v>46579</v>
      </c>
    </row>
    <row r="10863" spans="1:24">
      <c r="A10863">
        <f>HYPERLINK("https://www.philgeps.gov.ph/GEPSNONPILOT/Tender/SplashBidNoticeAbstractUI.aspx?menuIndex=3&amp;refID=7051976&amp;Result=3","7051976")</f>
        <v>0</v>
      </c>
      <c r="B10863" t="s">
        <v>2960</v>
      </c>
      <c r="C10863" t="s">
        <v>13821</v>
      </c>
      <c r="D10863" t="s">
        <v>18804</v>
      </c>
      <c r="E10863" t="s">
        <v>20239</v>
      </c>
      <c r="F10863" t="s">
        <v>32664</v>
      </c>
      <c r="G10863" t="s">
        <v>32672</v>
      </c>
      <c r="H10863" t="s">
        <v>12635</v>
      </c>
      <c r="I10863" t="s">
        <v>11464</v>
      </c>
      <c r="J10863" t="s">
        <v>38882</v>
      </c>
      <c r="K10863" t="s">
        <v>42298</v>
      </c>
      <c r="M10863" t="s">
        <v>45814</v>
      </c>
      <c r="N10863" t="s">
        <v>46569</v>
      </c>
      <c r="O10863" t="s">
        <v>46570</v>
      </c>
      <c r="P10863">
        <v>0</v>
      </c>
      <c r="Q10863">
        <v>4</v>
      </c>
      <c r="R10863" t="s">
        <v>46578</v>
      </c>
      <c r="S10863" t="s">
        <v>46874</v>
      </c>
      <c r="T10863" t="s">
        <v>48313</v>
      </c>
      <c r="U10863" t="s">
        <v>57505</v>
      </c>
      <c r="V10863" t="s">
        <v>62794</v>
      </c>
      <c r="W10863" t="s">
        <v>45814</v>
      </c>
      <c r="X10863" t="s">
        <v>46579</v>
      </c>
    </row>
    <row r="10864" spans="1:24">
      <c r="A10864">
        <f>HYPERLINK("https://www.philgeps.gov.ph/GEPSNONPILOT/Tender/SplashBidNoticeAbstractUI.aspx?menuIndex=3&amp;refID=7051632&amp;Result=3","7051632")</f>
        <v>0</v>
      </c>
      <c r="B10864" t="s">
        <v>199</v>
      </c>
      <c r="C10864" t="s">
        <v>13822</v>
      </c>
      <c r="D10864" t="s">
        <v>18789</v>
      </c>
      <c r="E10864" t="s">
        <v>28268</v>
      </c>
      <c r="F10864" t="s">
        <v>32664</v>
      </c>
      <c r="G10864" t="s">
        <v>32672</v>
      </c>
      <c r="H10864" t="s">
        <v>12635</v>
      </c>
      <c r="I10864" t="s">
        <v>32716</v>
      </c>
      <c r="J10864" t="s">
        <v>39264</v>
      </c>
      <c r="K10864" t="s">
        <v>42281</v>
      </c>
      <c r="M10864" t="s">
        <v>45558</v>
      </c>
      <c r="N10864" t="s">
        <v>46569</v>
      </c>
      <c r="O10864" t="s">
        <v>46570</v>
      </c>
      <c r="P10864">
        <v>0</v>
      </c>
      <c r="Q10864">
        <v>9</v>
      </c>
      <c r="R10864" t="s">
        <v>46578</v>
      </c>
      <c r="S10864" t="s">
        <v>46874</v>
      </c>
      <c r="T10864" t="s">
        <v>48468</v>
      </c>
      <c r="U10864" t="s">
        <v>57506</v>
      </c>
      <c r="V10864" t="s">
        <v>62632</v>
      </c>
      <c r="W10864" t="s">
        <v>45558</v>
      </c>
      <c r="X10864" t="s">
        <v>46579</v>
      </c>
    </row>
    <row r="10865" spans="1:24">
      <c r="A10865">
        <f>HYPERLINK("https://www.philgeps.gov.ph/GEPSNONPILOT/Tender/SplashBidNoticeAbstractUI.aspx?menuIndex=3&amp;refID=7052043&amp;Result=3","7052043")</f>
        <v>0</v>
      </c>
      <c r="B10865" t="s">
        <v>2961</v>
      </c>
      <c r="C10865" t="s">
        <v>13823</v>
      </c>
      <c r="D10865" t="s">
        <v>18802</v>
      </c>
      <c r="E10865" t="s">
        <v>28269</v>
      </c>
      <c r="F10865" t="s">
        <v>32664</v>
      </c>
      <c r="G10865" t="s">
        <v>32671</v>
      </c>
      <c r="H10865" t="s">
        <v>12635</v>
      </c>
      <c r="I10865" t="s">
        <v>6118</v>
      </c>
      <c r="J10865" t="s">
        <v>39265</v>
      </c>
      <c r="K10865" t="s">
        <v>42332</v>
      </c>
      <c r="M10865" t="s">
        <v>45815</v>
      </c>
      <c r="N10865" t="s">
        <v>46569</v>
      </c>
      <c r="O10865" t="s">
        <v>46570</v>
      </c>
      <c r="P10865">
        <v>0</v>
      </c>
      <c r="Q10865">
        <v>1</v>
      </c>
      <c r="R10865" t="s">
        <v>46578</v>
      </c>
      <c r="S10865" t="s">
        <v>46874</v>
      </c>
      <c r="T10865" t="s">
        <v>48448</v>
      </c>
      <c r="U10865" t="s">
        <v>57507</v>
      </c>
      <c r="W10865" t="s">
        <v>45815</v>
      </c>
      <c r="X10865" t="s">
        <v>46579</v>
      </c>
    </row>
    <row r="10866" spans="1:24">
      <c r="A10866">
        <f>HYPERLINK("https://www.philgeps.gov.ph/GEPSNONPILOT/Tender/SplashBidNoticeAbstractUI.aspx?menuIndex=3&amp;refID=7052031&amp;Result=3","7052031")</f>
        <v>0</v>
      </c>
      <c r="B10866" t="s">
        <v>1282</v>
      </c>
      <c r="C10866" t="s">
        <v>13824</v>
      </c>
      <c r="D10866" t="s">
        <v>18823</v>
      </c>
      <c r="E10866" t="s">
        <v>28270</v>
      </c>
      <c r="F10866" t="s">
        <v>32664</v>
      </c>
      <c r="G10866" t="s">
        <v>32672</v>
      </c>
      <c r="H10866" t="s">
        <v>12635</v>
      </c>
      <c r="I10866" t="s">
        <v>32730</v>
      </c>
      <c r="J10866" t="s">
        <v>39266</v>
      </c>
      <c r="K10866" t="s">
        <v>42283</v>
      </c>
      <c r="M10866" t="s">
        <v>43925</v>
      </c>
      <c r="N10866" t="s">
        <v>46569</v>
      </c>
      <c r="O10866" t="s">
        <v>46570</v>
      </c>
      <c r="P10866">
        <v>0</v>
      </c>
      <c r="Q10866">
        <v>3</v>
      </c>
      <c r="R10866" t="s">
        <v>46578</v>
      </c>
      <c r="S10866" t="s">
        <v>46874</v>
      </c>
      <c r="T10866" t="s">
        <v>48212</v>
      </c>
      <c r="U10866" t="s">
        <v>57508</v>
      </c>
      <c r="W10866" t="s">
        <v>63508</v>
      </c>
      <c r="X10866" t="s">
        <v>46579</v>
      </c>
    </row>
    <row r="10867" spans="1:24">
      <c r="A10867">
        <f>HYPERLINK("https://www.philgeps.gov.ph/GEPSNONPILOT/Tender/SplashBidNoticeAbstractUI.aspx?menuIndex=3&amp;refID=7051946&amp;Result=3","7051946")</f>
        <v>0</v>
      </c>
      <c r="B10867" t="s">
        <v>2946</v>
      </c>
      <c r="C10867" t="s">
        <v>13825</v>
      </c>
      <c r="D10867" t="s">
        <v>18786</v>
      </c>
      <c r="E10867" t="s">
        <v>19699</v>
      </c>
      <c r="F10867" t="s">
        <v>32664</v>
      </c>
      <c r="G10867" t="s">
        <v>32672</v>
      </c>
      <c r="H10867" t="s">
        <v>32683</v>
      </c>
      <c r="I10867" t="s">
        <v>10627</v>
      </c>
      <c r="J10867" t="s">
        <v>39267</v>
      </c>
      <c r="K10867" t="s">
        <v>42511</v>
      </c>
      <c r="M10867" t="s">
        <v>45800</v>
      </c>
      <c r="N10867" t="s">
        <v>46569</v>
      </c>
      <c r="O10867" t="s">
        <v>46570</v>
      </c>
      <c r="P10867">
        <v>0</v>
      </c>
      <c r="Q10867">
        <v>0</v>
      </c>
      <c r="R10867" t="s">
        <v>46578</v>
      </c>
      <c r="S10867" t="s">
        <v>46874</v>
      </c>
      <c r="T10867" t="s">
        <v>48571</v>
      </c>
      <c r="U10867" t="s">
        <v>57496</v>
      </c>
      <c r="W10867" t="s">
        <v>45800</v>
      </c>
      <c r="X10867" t="s">
        <v>46579</v>
      </c>
    </row>
    <row r="10868" spans="1:24">
      <c r="A10868">
        <f>HYPERLINK("https://www.philgeps.gov.ph/GEPSNONPILOT/Tender/SplashBidNoticeAbstractUI.aspx?menuIndex=3&amp;refID=7052029&amp;Result=3","7052029")</f>
        <v>0</v>
      </c>
      <c r="B10868" t="s">
        <v>1049</v>
      </c>
      <c r="C10868" t="s">
        <v>13826</v>
      </c>
      <c r="E10868" t="s">
        <v>28271</v>
      </c>
      <c r="F10868" t="s">
        <v>32664</v>
      </c>
      <c r="G10868" t="s">
        <v>32671</v>
      </c>
      <c r="H10868" t="s">
        <v>12635</v>
      </c>
      <c r="I10868" t="s">
        <v>7709</v>
      </c>
      <c r="J10868" t="s">
        <v>39268</v>
      </c>
      <c r="K10868" t="s">
        <v>42281</v>
      </c>
      <c r="M10868" t="s">
        <v>45266</v>
      </c>
      <c r="N10868" t="s">
        <v>46569</v>
      </c>
      <c r="O10868" t="s">
        <v>46570</v>
      </c>
      <c r="P10868">
        <v>0</v>
      </c>
      <c r="Q10868">
        <v>0</v>
      </c>
      <c r="R10868" t="s">
        <v>46578</v>
      </c>
      <c r="S10868" t="s">
        <v>46874</v>
      </c>
      <c r="T10868" t="s">
        <v>48427</v>
      </c>
      <c r="U10868" t="s">
        <v>57509</v>
      </c>
      <c r="W10868" t="s">
        <v>63560</v>
      </c>
      <c r="X10868" t="s">
        <v>46579</v>
      </c>
    </row>
    <row r="10869" spans="1:24">
      <c r="A10869">
        <f>HYPERLINK("https://www.philgeps.gov.ph/GEPSNONPILOT/Tender/SplashBidNoticeAbstractUI.aspx?menuIndex=3&amp;refID=7052041&amp;Result=3","7052041")</f>
        <v>0</v>
      </c>
      <c r="B10869" t="s">
        <v>2469</v>
      </c>
      <c r="C10869" t="s">
        <v>13827</v>
      </c>
      <c r="D10869" t="s">
        <v>18801</v>
      </c>
      <c r="E10869" t="s">
        <v>28272</v>
      </c>
      <c r="F10869" t="s">
        <v>32664</v>
      </c>
      <c r="G10869" t="s">
        <v>32672</v>
      </c>
      <c r="H10869" t="s">
        <v>32683</v>
      </c>
      <c r="I10869" t="s">
        <v>10627</v>
      </c>
      <c r="J10869" t="s">
        <v>32943</v>
      </c>
      <c r="K10869" t="s">
        <v>42310</v>
      </c>
      <c r="M10869" t="s">
        <v>45290</v>
      </c>
      <c r="N10869" t="s">
        <v>46569</v>
      </c>
      <c r="O10869" t="s">
        <v>46570</v>
      </c>
      <c r="P10869">
        <v>0</v>
      </c>
      <c r="Q10869">
        <v>12</v>
      </c>
      <c r="R10869" t="s">
        <v>46578</v>
      </c>
      <c r="S10869" t="s">
        <v>46874</v>
      </c>
      <c r="T10869" t="s">
        <v>48381</v>
      </c>
      <c r="U10869" t="s">
        <v>55574</v>
      </c>
      <c r="V10869" t="s">
        <v>62260</v>
      </c>
      <c r="W10869" t="s">
        <v>63562</v>
      </c>
      <c r="X10869" t="s">
        <v>46579</v>
      </c>
    </row>
    <row r="10870" spans="1:24">
      <c r="A10870">
        <f>HYPERLINK("https://www.philgeps.gov.ph/GEPSNONPILOT/Tender/SplashBidNoticeAbstractUI.aspx?menuIndex=3&amp;refID=7052028&amp;Result=3","7052028")</f>
        <v>0</v>
      </c>
      <c r="B10870" t="s">
        <v>586</v>
      </c>
      <c r="C10870" t="s">
        <v>13828</v>
      </c>
      <c r="D10870" t="s">
        <v>18794</v>
      </c>
      <c r="E10870" t="s">
        <v>13828</v>
      </c>
      <c r="F10870" t="s">
        <v>32664</v>
      </c>
      <c r="G10870" t="s">
        <v>32672</v>
      </c>
      <c r="H10870" t="s">
        <v>12635</v>
      </c>
      <c r="I10870" t="s">
        <v>6118</v>
      </c>
      <c r="J10870" t="s">
        <v>39269</v>
      </c>
      <c r="K10870" t="s">
        <v>42283</v>
      </c>
      <c r="M10870" t="s">
        <v>43166</v>
      </c>
      <c r="N10870" t="s">
        <v>46569</v>
      </c>
      <c r="O10870" t="s">
        <v>46570</v>
      </c>
      <c r="P10870">
        <v>0</v>
      </c>
      <c r="Q10870">
        <v>0</v>
      </c>
      <c r="R10870" t="s">
        <v>46578</v>
      </c>
      <c r="S10870" t="s">
        <v>46874</v>
      </c>
      <c r="T10870" t="s">
        <v>48356</v>
      </c>
      <c r="U10870" t="s">
        <v>57510</v>
      </c>
      <c r="W10870" t="s">
        <v>43166</v>
      </c>
      <c r="X10870" t="s">
        <v>46579</v>
      </c>
    </row>
    <row r="10871" spans="1:24">
      <c r="A10871">
        <f>HYPERLINK("https://www.philgeps.gov.ph/GEPSNONPILOT/Tender/SplashBidNoticeAbstractUI.aspx?menuIndex=3&amp;refID=7052026&amp;Result=3","7052026")</f>
        <v>0</v>
      </c>
      <c r="B10871" t="s">
        <v>2962</v>
      </c>
      <c r="C10871" t="s">
        <v>13829</v>
      </c>
      <c r="D10871" t="s">
        <v>18843</v>
      </c>
      <c r="E10871" t="s">
        <v>28273</v>
      </c>
      <c r="F10871" t="s">
        <v>32664</v>
      </c>
      <c r="G10871" t="s">
        <v>32671</v>
      </c>
      <c r="H10871" t="s">
        <v>12635</v>
      </c>
      <c r="I10871" t="s">
        <v>4439</v>
      </c>
      <c r="J10871" t="s">
        <v>39270</v>
      </c>
      <c r="K10871" t="s">
        <v>42297</v>
      </c>
      <c r="M10871" t="s">
        <v>45816</v>
      </c>
      <c r="N10871" t="s">
        <v>46569</v>
      </c>
      <c r="O10871" t="s">
        <v>46570</v>
      </c>
      <c r="P10871">
        <v>0</v>
      </c>
      <c r="Q10871">
        <v>0</v>
      </c>
      <c r="R10871" t="s">
        <v>46578</v>
      </c>
      <c r="S10871" t="s">
        <v>46874</v>
      </c>
      <c r="T10871" t="s">
        <v>48221</v>
      </c>
      <c r="U10871" t="s">
        <v>57511</v>
      </c>
      <c r="W10871" t="s">
        <v>45816</v>
      </c>
      <c r="X10871" t="s">
        <v>46579</v>
      </c>
    </row>
    <row r="10872" spans="1:24">
      <c r="A10872">
        <f>HYPERLINK("https://www.philgeps.gov.ph/GEPSNONPILOT/Tender/SplashBidNoticeAbstractUI.aspx?menuIndex=3&amp;refID=7052020&amp;Result=3","7052020")</f>
        <v>0</v>
      </c>
      <c r="B10872" t="s">
        <v>991</v>
      </c>
      <c r="C10872" t="s">
        <v>13830</v>
      </c>
      <c r="D10872" t="s">
        <v>18812</v>
      </c>
      <c r="E10872" t="s">
        <v>28274</v>
      </c>
      <c r="F10872" t="s">
        <v>32664</v>
      </c>
      <c r="G10872" t="s">
        <v>32672</v>
      </c>
      <c r="H10872" t="s">
        <v>12635</v>
      </c>
      <c r="I10872" t="s">
        <v>32708</v>
      </c>
      <c r="J10872" t="s">
        <v>32962</v>
      </c>
      <c r="K10872" t="s">
        <v>42298</v>
      </c>
      <c r="M10872" t="s">
        <v>43602</v>
      </c>
      <c r="N10872" t="s">
        <v>46569</v>
      </c>
      <c r="O10872" t="s">
        <v>46570</v>
      </c>
      <c r="P10872">
        <v>0</v>
      </c>
      <c r="Q10872">
        <v>14</v>
      </c>
      <c r="R10872" t="s">
        <v>46578</v>
      </c>
      <c r="S10872" t="s">
        <v>46874</v>
      </c>
      <c r="T10872" t="s">
        <v>48469</v>
      </c>
      <c r="U10872" t="s">
        <v>57512</v>
      </c>
      <c r="W10872" t="s">
        <v>43602</v>
      </c>
      <c r="X10872" t="s">
        <v>46579</v>
      </c>
    </row>
    <row r="10873" spans="1:24">
      <c r="A10873">
        <f>HYPERLINK("https://www.philgeps.gov.ph/GEPSNONPILOT/Tender/SplashBidNoticeAbstractUI.aspx?menuIndex=3&amp;refID=7052018&amp;Result=3","7052018")</f>
        <v>0</v>
      </c>
      <c r="B10873" t="s">
        <v>740</v>
      </c>
      <c r="C10873" t="s">
        <v>13831</v>
      </c>
      <c r="D10873" t="s">
        <v>18804</v>
      </c>
      <c r="E10873" t="s">
        <v>28275</v>
      </c>
      <c r="F10873" t="s">
        <v>32664</v>
      </c>
      <c r="G10873" t="s">
        <v>32672</v>
      </c>
      <c r="H10873" t="s">
        <v>12635</v>
      </c>
      <c r="I10873" t="s">
        <v>8797</v>
      </c>
      <c r="J10873" t="s">
        <v>39271</v>
      </c>
      <c r="K10873" t="s">
        <v>42303</v>
      </c>
      <c r="M10873" t="s">
        <v>43330</v>
      </c>
      <c r="N10873" t="s">
        <v>46569</v>
      </c>
      <c r="O10873" t="s">
        <v>46570</v>
      </c>
      <c r="P10873">
        <v>0</v>
      </c>
      <c r="Q10873">
        <v>4</v>
      </c>
      <c r="R10873" t="s">
        <v>46578</v>
      </c>
      <c r="S10873" t="s">
        <v>46874</v>
      </c>
      <c r="T10873" t="s">
        <v>48313</v>
      </c>
      <c r="U10873" t="s">
        <v>57513</v>
      </c>
      <c r="W10873" t="s">
        <v>43330</v>
      </c>
      <c r="X10873" t="s">
        <v>46579</v>
      </c>
    </row>
    <row r="10874" spans="1:24">
      <c r="A10874">
        <f>HYPERLINK("https://www.philgeps.gov.ph/GEPSNONPILOT/Tender/SplashBidNoticeAbstractUI.aspx?menuIndex=3&amp;refID=7051887&amp;Result=3","7051887")</f>
        <v>0</v>
      </c>
      <c r="B10874" t="s">
        <v>2132</v>
      </c>
      <c r="C10874" t="s">
        <v>13832</v>
      </c>
      <c r="D10874" t="s">
        <v>18831</v>
      </c>
      <c r="E10874" t="s">
        <v>28276</v>
      </c>
      <c r="F10874" t="s">
        <v>32664</v>
      </c>
      <c r="G10874" t="s">
        <v>32672</v>
      </c>
      <c r="H10874" t="s">
        <v>12635</v>
      </c>
      <c r="I10874" t="s">
        <v>32736</v>
      </c>
      <c r="J10874" t="s">
        <v>36239</v>
      </c>
      <c r="K10874" t="s">
        <v>42281</v>
      </c>
      <c r="M10874" t="s">
        <v>44887</v>
      </c>
      <c r="N10874" t="s">
        <v>46569</v>
      </c>
      <c r="O10874" t="s">
        <v>46570</v>
      </c>
      <c r="P10874">
        <v>0</v>
      </c>
      <c r="Q10874">
        <v>0</v>
      </c>
      <c r="R10874" t="s">
        <v>46578</v>
      </c>
      <c r="S10874" t="s">
        <v>46874</v>
      </c>
      <c r="T10874" t="s">
        <v>48467</v>
      </c>
      <c r="U10874" t="s">
        <v>57514</v>
      </c>
      <c r="W10874" t="s">
        <v>44887</v>
      </c>
      <c r="X10874" t="s">
        <v>46579</v>
      </c>
    </row>
    <row r="10875" spans="1:24">
      <c r="A10875">
        <f>HYPERLINK("https://www.philgeps.gov.ph/GEPSNONPILOT/Tender/SplashBidNoticeAbstractUI.aspx?menuIndex=3&amp;refID=7051955&amp;Result=3","7051955")</f>
        <v>0</v>
      </c>
      <c r="B10875" t="s">
        <v>965</v>
      </c>
      <c r="C10875" t="s">
        <v>13833</v>
      </c>
      <c r="D10875" t="s">
        <v>18823</v>
      </c>
      <c r="E10875" t="s">
        <v>22276</v>
      </c>
      <c r="F10875" t="s">
        <v>32664</v>
      </c>
      <c r="G10875" t="s">
        <v>32672</v>
      </c>
      <c r="H10875" t="s">
        <v>12635</v>
      </c>
      <c r="I10875" t="s">
        <v>4439</v>
      </c>
      <c r="J10875" t="s">
        <v>39272</v>
      </c>
      <c r="K10875" t="s">
        <v>42284</v>
      </c>
      <c r="M10875" t="s">
        <v>43573</v>
      </c>
      <c r="N10875" t="s">
        <v>46569</v>
      </c>
      <c r="O10875" t="s">
        <v>46570</v>
      </c>
      <c r="P10875">
        <v>0</v>
      </c>
      <c r="Q10875">
        <v>3</v>
      </c>
      <c r="R10875" t="s">
        <v>46578</v>
      </c>
      <c r="S10875" t="s">
        <v>46874</v>
      </c>
      <c r="T10875" t="s">
        <v>48534</v>
      </c>
      <c r="U10875" t="s">
        <v>57515</v>
      </c>
      <c r="W10875" t="s">
        <v>43573</v>
      </c>
      <c r="X10875" t="s">
        <v>46579</v>
      </c>
    </row>
    <row r="10876" spans="1:24">
      <c r="A10876">
        <f>HYPERLINK("https://www.philgeps.gov.ph/GEPSNONPILOT/Tender/SplashBidNoticeAbstractUI.aspx?menuIndex=3&amp;refID=7052042&amp;Result=3","7052042")</f>
        <v>0</v>
      </c>
      <c r="B10876" t="s">
        <v>640</v>
      </c>
      <c r="C10876" t="s">
        <v>13834</v>
      </c>
      <c r="D10876" t="s">
        <v>18785</v>
      </c>
      <c r="E10876" t="s">
        <v>28277</v>
      </c>
      <c r="F10876" t="s">
        <v>32664</v>
      </c>
      <c r="G10876" t="s">
        <v>32671</v>
      </c>
      <c r="H10876" t="s">
        <v>12635</v>
      </c>
      <c r="I10876" t="s">
        <v>6553</v>
      </c>
      <c r="J10876" t="s">
        <v>33410</v>
      </c>
      <c r="K10876" t="s">
        <v>42283</v>
      </c>
      <c r="M10876" t="s">
        <v>43223</v>
      </c>
      <c r="N10876" t="s">
        <v>46569</v>
      </c>
      <c r="O10876" t="s">
        <v>46570</v>
      </c>
      <c r="P10876">
        <v>0</v>
      </c>
      <c r="Q10876">
        <v>5</v>
      </c>
      <c r="R10876" t="s">
        <v>46578</v>
      </c>
      <c r="S10876" t="s">
        <v>46874</v>
      </c>
      <c r="T10876" t="s">
        <v>48562</v>
      </c>
      <c r="U10876" t="s">
        <v>49985</v>
      </c>
      <c r="W10876" t="s">
        <v>43223</v>
      </c>
      <c r="X10876" t="s">
        <v>46579</v>
      </c>
    </row>
    <row r="10877" spans="1:24">
      <c r="A10877">
        <f>HYPERLINK("https://www.philgeps.gov.ph/GEPSNONPILOT/Tender/SplashBidNoticeAbstractUI.aspx?menuIndex=3&amp;refID=7052017&amp;Result=3","7052017")</f>
        <v>0</v>
      </c>
      <c r="B10877" t="s">
        <v>731</v>
      </c>
      <c r="C10877" t="s">
        <v>13835</v>
      </c>
      <c r="D10877" t="s">
        <v>18851</v>
      </c>
      <c r="E10877" t="s">
        <v>27568</v>
      </c>
      <c r="F10877" t="s">
        <v>32664</v>
      </c>
      <c r="G10877" t="s">
        <v>32672</v>
      </c>
      <c r="H10877" t="s">
        <v>32683</v>
      </c>
      <c r="I10877" t="s">
        <v>10627</v>
      </c>
      <c r="J10877" t="s">
        <v>34041</v>
      </c>
      <c r="K10877" t="s">
        <v>42298</v>
      </c>
      <c r="M10877" t="s">
        <v>43320</v>
      </c>
      <c r="N10877" t="s">
        <v>46569</v>
      </c>
      <c r="O10877" t="s">
        <v>46570</v>
      </c>
      <c r="P10877">
        <v>0</v>
      </c>
      <c r="Q10877">
        <v>0</v>
      </c>
      <c r="R10877" t="s">
        <v>46578</v>
      </c>
      <c r="S10877" t="s">
        <v>46874</v>
      </c>
      <c r="T10877" t="s">
        <v>48557</v>
      </c>
      <c r="U10877" t="s">
        <v>57516</v>
      </c>
      <c r="W10877" t="s">
        <v>43320</v>
      </c>
      <c r="X10877" t="s">
        <v>46579</v>
      </c>
    </row>
    <row r="10878" spans="1:24">
      <c r="A10878">
        <f>HYPERLINK("https://www.philgeps.gov.ph/GEPSNONPILOT/Tender/SplashBidNoticeAbstractUI.aspx?menuIndex=3&amp;refID=7052120&amp;Result=3","7052120")</f>
        <v>0</v>
      </c>
      <c r="B10878" t="s">
        <v>146</v>
      </c>
      <c r="C10878" t="s">
        <v>13836</v>
      </c>
      <c r="D10878" t="s">
        <v>18826</v>
      </c>
      <c r="E10878" t="s">
        <v>28278</v>
      </c>
      <c r="F10878" t="s">
        <v>32664</v>
      </c>
      <c r="G10878" t="s">
        <v>32672</v>
      </c>
      <c r="H10878" t="s">
        <v>12635</v>
      </c>
      <c r="I10878" t="s">
        <v>32711</v>
      </c>
      <c r="J10878" t="s">
        <v>34862</v>
      </c>
      <c r="K10878" t="s">
        <v>42305</v>
      </c>
      <c r="M10878" t="s">
        <v>42710</v>
      </c>
      <c r="N10878" t="s">
        <v>46569</v>
      </c>
      <c r="O10878" t="s">
        <v>46570</v>
      </c>
      <c r="P10878">
        <v>0</v>
      </c>
      <c r="Q10878">
        <v>1</v>
      </c>
      <c r="R10878" t="s">
        <v>46578</v>
      </c>
      <c r="S10878" t="s">
        <v>46874</v>
      </c>
      <c r="T10878" t="s">
        <v>48453</v>
      </c>
      <c r="U10878" t="s">
        <v>57517</v>
      </c>
      <c r="W10878" t="s">
        <v>42710</v>
      </c>
      <c r="X10878" t="s">
        <v>46579</v>
      </c>
    </row>
    <row r="10879" spans="1:24">
      <c r="A10879">
        <f>HYPERLINK("https://www.philgeps.gov.ph/GEPSNONPILOT/Tender/SplashBidNoticeAbstractUI.aspx?menuIndex=3&amp;refID=7052112&amp;Result=3","7052112")</f>
        <v>0</v>
      </c>
      <c r="B10879" t="s">
        <v>849</v>
      </c>
      <c r="C10879" t="s">
        <v>13837</v>
      </c>
      <c r="D10879" t="s">
        <v>18836</v>
      </c>
      <c r="E10879" t="s">
        <v>28279</v>
      </c>
      <c r="F10879" t="s">
        <v>32664</v>
      </c>
      <c r="G10879" t="s">
        <v>32672</v>
      </c>
      <c r="H10879" t="s">
        <v>12635</v>
      </c>
      <c r="I10879" t="s">
        <v>6168</v>
      </c>
      <c r="J10879" t="s">
        <v>39273</v>
      </c>
      <c r="K10879" t="s">
        <v>42281</v>
      </c>
      <c r="M10879" t="s">
        <v>43445</v>
      </c>
      <c r="N10879" t="s">
        <v>46569</v>
      </c>
      <c r="O10879" t="s">
        <v>46570</v>
      </c>
      <c r="P10879">
        <v>0</v>
      </c>
      <c r="Q10879">
        <v>2</v>
      </c>
      <c r="R10879" t="s">
        <v>46578</v>
      </c>
      <c r="S10879" t="s">
        <v>46874</v>
      </c>
      <c r="T10879" t="s">
        <v>48402</v>
      </c>
      <c r="U10879" t="s">
        <v>57518</v>
      </c>
      <c r="V10879" t="s">
        <v>62795</v>
      </c>
      <c r="W10879" t="s">
        <v>63491</v>
      </c>
      <c r="X10879" t="s">
        <v>46579</v>
      </c>
    </row>
    <row r="10880" spans="1:24">
      <c r="A10880">
        <f>HYPERLINK("https://www.philgeps.gov.ph/GEPSNONPILOT/Tender/SplashBidNoticeAbstractUI.aspx?menuIndex=3&amp;refID=7052123&amp;Result=3","7052123")</f>
        <v>0</v>
      </c>
      <c r="B10880" t="s">
        <v>1943</v>
      </c>
      <c r="C10880" t="s">
        <v>13838</v>
      </c>
      <c r="D10880" t="s">
        <v>18842</v>
      </c>
      <c r="E10880" t="s">
        <v>28280</v>
      </c>
      <c r="F10880" t="s">
        <v>32664</v>
      </c>
      <c r="G10880" t="s">
        <v>32672</v>
      </c>
      <c r="H10880" t="s">
        <v>32683</v>
      </c>
      <c r="I10880" t="s">
        <v>10627</v>
      </c>
      <c r="J10880" t="s">
        <v>39274</v>
      </c>
      <c r="K10880" t="s">
        <v>42281</v>
      </c>
      <c r="M10880" t="s">
        <v>44668</v>
      </c>
      <c r="N10880" t="s">
        <v>46569</v>
      </c>
      <c r="O10880" t="s">
        <v>46570</v>
      </c>
      <c r="P10880">
        <v>0</v>
      </c>
      <c r="Q10880">
        <v>0</v>
      </c>
      <c r="R10880" t="s">
        <v>46578</v>
      </c>
      <c r="S10880" t="s">
        <v>46874</v>
      </c>
      <c r="T10880" t="s">
        <v>48225</v>
      </c>
      <c r="U10880" t="s">
        <v>57519</v>
      </c>
      <c r="W10880" t="s">
        <v>44668</v>
      </c>
      <c r="X10880" t="s">
        <v>46579</v>
      </c>
    </row>
    <row r="10881" spans="1:24">
      <c r="A10881">
        <f>HYPERLINK("https://www.philgeps.gov.ph/GEPSNONPILOT/Tender/SplashBidNoticeAbstractUI.aspx?menuIndex=3&amp;refID=7052130&amp;Result=3","7052130")</f>
        <v>0</v>
      </c>
      <c r="B10881" t="s">
        <v>2963</v>
      </c>
      <c r="C10881" t="s">
        <v>13839</v>
      </c>
      <c r="D10881" t="s">
        <v>18831</v>
      </c>
      <c r="E10881" t="s">
        <v>28281</v>
      </c>
      <c r="F10881" t="s">
        <v>32664</v>
      </c>
      <c r="G10881" t="s">
        <v>32672</v>
      </c>
      <c r="H10881" t="s">
        <v>32683</v>
      </c>
      <c r="I10881" t="s">
        <v>10627</v>
      </c>
      <c r="J10881" t="s">
        <v>39275</v>
      </c>
      <c r="K10881" t="s">
        <v>42326</v>
      </c>
      <c r="M10881" t="s">
        <v>45817</v>
      </c>
      <c r="N10881" t="s">
        <v>46569</v>
      </c>
      <c r="O10881" t="s">
        <v>46570</v>
      </c>
      <c r="P10881">
        <v>0</v>
      </c>
      <c r="Q10881">
        <v>1</v>
      </c>
      <c r="R10881" t="s">
        <v>46578</v>
      </c>
      <c r="S10881" t="s">
        <v>46874</v>
      </c>
      <c r="T10881" t="s">
        <v>48405</v>
      </c>
      <c r="U10881" t="s">
        <v>57520</v>
      </c>
      <c r="W10881" t="s">
        <v>45817</v>
      </c>
      <c r="X10881" t="s">
        <v>46579</v>
      </c>
    </row>
    <row r="10882" spans="1:24">
      <c r="A10882">
        <f>HYPERLINK("https://www.philgeps.gov.ph/GEPSNONPILOT/Tender/SplashBidNoticeAbstractUI.aspx?menuIndex=3&amp;refID=7052024&amp;Result=3","7052024")</f>
        <v>0</v>
      </c>
      <c r="B10882" t="s">
        <v>2936</v>
      </c>
      <c r="C10882" t="s">
        <v>13840</v>
      </c>
      <c r="D10882" t="s">
        <v>18804</v>
      </c>
      <c r="E10882" t="s">
        <v>20724</v>
      </c>
      <c r="F10882" t="s">
        <v>32664</v>
      </c>
      <c r="G10882" t="s">
        <v>32671</v>
      </c>
      <c r="H10882" t="s">
        <v>12635</v>
      </c>
      <c r="I10882" t="s">
        <v>14442</v>
      </c>
      <c r="J10882" t="s">
        <v>34268</v>
      </c>
      <c r="K10882" t="s">
        <v>42283</v>
      </c>
      <c r="M10882" t="s">
        <v>45790</v>
      </c>
      <c r="N10882" t="s">
        <v>46569</v>
      </c>
      <c r="O10882" t="s">
        <v>46570</v>
      </c>
      <c r="P10882">
        <v>0</v>
      </c>
      <c r="Q10882">
        <v>4</v>
      </c>
      <c r="R10882" t="s">
        <v>46578</v>
      </c>
      <c r="S10882" t="s">
        <v>46874</v>
      </c>
      <c r="T10882" t="s">
        <v>48225</v>
      </c>
      <c r="U10882" t="s">
        <v>57521</v>
      </c>
      <c r="W10882" t="s">
        <v>45790</v>
      </c>
      <c r="X10882" t="s">
        <v>46579</v>
      </c>
    </row>
    <row r="10883" spans="1:24">
      <c r="A10883">
        <f>HYPERLINK("https://www.philgeps.gov.ph/GEPSNONPILOT/Tender/SplashBidNoticeAbstractUI.aspx?menuIndex=3&amp;refID=7052106&amp;Result=3","7052106")</f>
        <v>0</v>
      </c>
      <c r="B10883" t="s">
        <v>224</v>
      </c>
      <c r="C10883" t="s">
        <v>13841</v>
      </c>
      <c r="D10883" t="s">
        <v>18816</v>
      </c>
      <c r="E10883" t="s">
        <v>28282</v>
      </c>
      <c r="F10883" t="s">
        <v>32664</v>
      </c>
      <c r="G10883" t="s">
        <v>32672</v>
      </c>
      <c r="H10883" t="s">
        <v>12635</v>
      </c>
      <c r="I10883" t="s">
        <v>7759</v>
      </c>
      <c r="J10883" t="s">
        <v>39276</v>
      </c>
      <c r="K10883" t="s">
        <v>42281</v>
      </c>
      <c r="M10883" t="s">
        <v>42788</v>
      </c>
      <c r="N10883" t="s">
        <v>46569</v>
      </c>
      <c r="O10883" t="s">
        <v>46570</v>
      </c>
      <c r="P10883">
        <v>0</v>
      </c>
      <c r="Q10883">
        <v>2</v>
      </c>
      <c r="R10883" t="s">
        <v>46578</v>
      </c>
      <c r="S10883" t="s">
        <v>46874</v>
      </c>
      <c r="T10883" t="s">
        <v>48313</v>
      </c>
      <c r="U10883" t="s">
        <v>57522</v>
      </c>
      <c r="W10883" t="s">
        <v>42788</v>
      </c>
      <c r="X10883" t="s">
        <v>46579</v>
      </c>
    </row>
    <row r="10884" spans="1:24">
      <c r="A10884">
        <f>HYPERLINK("https://www.philgeps.gov.ph/GEPSNONPILOT/Tender/SplashBidNoticeAbstractUI.aspx?menuIndex=3&amp;refID=7052104&amp;Result=3","7052104")</f>
        <v>0</v>
      </c>
      <c r="B10884" t="s">
        <v>1381</v>
      </c>
      <c r="C10884" t="s">
        <v>13842</v>
      </c>
      <c r="D10884" t="s">
        <v>18804</v>
      </c>
      <c r="E10884" t="s">
        <v>28283</v>
      </c>
      <c r="F10884" t="s">
        <v>32664</v>
      </c>
      <c r="G10884" t="s">
        <v>32677</v>
      </c>
      <c r="H10884" t="s">
        <v>12635</v>
      </c>
      <c r="I10884" t="s">
        <v>6118</v>
      </c>
      <c r="J10884" t="s">
        <v>39277</v>
      </c>
      <c r="K10884" t="s">
        <v>42308</v>
      </c>
      <c r="M10884" t="s">
        <v>44036</v>
      </c>
      <c r="N10884" t="s">
        <v>46569</v>
      </c>
      <c r="O10884" t="s">
        <v>46570</v>
      </c>
      <c r="P10884">
        <v>0</v>
      </c>
      <c r="Q10884">
        <v>3</v>
      </c>
      <c r="R10884" t="s">
        <v>46578</v>
      </c>
      <c r="S10884" t="s">
        <v>46874</v>
      </c>
      <c r="T10884" t="s">
        <v>48411</v>
      </c>
      <c r="U10884" t="s">
        <v>57523</v>
      </c>
      <c r="W10884" t="s">
        <v>44036</v>
      </c>
      <c r="X10884" t="s">
        <v>46579</v>
      </c>
    </row>
    <row r="10885" spans="1:24">
      <c r="A10885">
        <f>HYPERLINK("https://www.philgeps.gov.ph/GEPSNONPILOT/Tender/SplashBidNoticeAbstractUI.aspx?menuIndex=3&amp;refID=7052084&amp;Result=3","7052084")</f>
        <v>0</v>
      </c>
      <c r="B10885" t="s">
        <v>1282</v>
      </c>
      <c r="C10885" t="s">
        <v>13843</v>
      </c>
      <c r="D10885" t="s">
        <v>18823</v>
      </c>
      <c r="E10885" t="s">
        <v>28284</v>
      </c>
      <c r="F10885" t="s">
        <v>32664</v>
      </c>
      <c r="G10885" t="s">
        <v>32672</v>
      </c>
      <c r="H10885" t="s">
        <v>12635</v>
      </c>
      <c r="I10885" t="s">
        <v>32736</v>
      </c>
      <c r="J10885" t="s">
        <v>39278</v>
      </c>
      <c r="K10885" t="s">
        <v>42283</v>
      </c>
      <c r="M10885" t="s">
        <v>43925</v>
      </c>
      <c r="N10885" t="s">
        <v>46569</v>
      </c>
      <c r="O10885" t="s">
        <v>46570</v>
      </c>
      <c r="P10885">
        <v>0</v>
      </c>
      <c r="Q10885">
        <v>0</v>
      </c>
      <c r="R10885" t="s">
        <v>46578</v>
      </c>
      <c r="S10885" t="s">
        <v>46874</v>
      </c>
      <c r="T10885" t="s">
        <v>48212</v>
      </c>
      <c r="U10885" t="s">
        <v>57524</v>
      </c>
      <c r="W10885" t="s">
        <v>63508</v>
      </c>
      <c r="X10885" t="s">
        <v>46579</v>
      </c>
    </row>
    <row r="10886" spans="1:24">
      <c r="A10886">
        <f>HYPERLINK("https://www.philgeps.gov.ph/GEPSNONPILOT/Tender/SplashBidNoticeAbstractUI.aspx?menuIndex=3&amp;refID=7052081&amp;Result=3","7052081")</f>
        <v>0</v>
      </c>
      <c r="B10886" t="s">
        <v>2132</v>
      </c>
      <c r="C10886" t="s">
        <v>13844</v>
      </c>
      <c r="D10886" t="s">
        <v>18831</v>
      </c>
      <c r="E10886" t="s">
        <v>28285</v>
      </c>
      <c r="F10886" t="s">
        <v>32664</v>
      </c>
      <c r="G10886" t="s">
        <v>32672</v>
      </c>
      <c r="H10886" t="s">
        <v>12635</v>
      </c>
      <c r="I10886" t="s">
        <v>32696</v>
      </c>
      <c r="J10886" t="s">
        <v>32945</v>
      </c>
      <c r="K10886" t="s">
        <v>42281</v>
      </c>
      <c r="M10886" t="s">
        <v>44887</v>
      </c>
      <c r="N10886" t="s">
        <v>46569</v>
      </c>
      <c r="O10886" t="s">
        <v>46570</v>
      </c>
      <c r="P10886">
        <v>0</v>
      </c>
      <c r="Q10886">
        <v>2</v>
      </c>
      <c r="R10886" t="s">
        <v>46578</v>
      </c>
      <c r="S10886" t="s">
        <v>46874</v>
      </c>
      <c r="T10886" t="s">
        <v>48467</v>
      </c>
      <c r="U10886" t="s">
        <v>57525</v>
      </c>
      <c r="V10886" t="s">
        <v>62796</v>
      </c>
      <c r="W10886" t="s">
        <v>44887</v>
      </c>
      <c r="X10886" t="s">
        <v>46579</v>
      </c>
    </row>
    <row r="10887" spans="1:24">
      <c r="A10887">
        <f>HYPERLINK("https://www.philgeps.gov.ph/GEPSNONPILOT/Tender/SplashBidNoticeAbstractUI.aspx?menuIndex=3&amp;refID=7052137&amp;Result=3","7052137")</f>
        <v>0</v>
      </c>
      <c r="B10887" t="s">
        <v>2964</v>
      </c>
      <c r="C10887" t="s">
        <v>13845</v>
      </c>
      <c r="D10887" t="s">
        <v>18799</v>
      </c>
      <c r="E10887" t="s">
        <v>28286</v>
      </c>
      <c r="F10887" t="s">
        <v>32664</v>
      </c>
      <c r="G10887" t="s">
        <v>32674</v>
      </c>
      <c r="H10887" t="s">
        <v>12635</v>
      </c>
      <c r="I10887" t="s">
        <v>14442</v>
      </c>
      <c r="J10887" t="s">
        <v>33250</v>
      </c>
      <c r="K10887" t="s">
        <v>42283</v>
      </c>
      <c r="M10887" t="s">
        <v>45818</v>
      </c>
      <c r="N10887" t="s">
        <v>46569</v>
      </c>
      <c r="O10887" t="s">
        <v>46570</v>
      </c>
      <c r="P10887">
        <v>0</v>
      </c>
      <c r="Q10887">
        <v>8</v>
      </c>
      <c r="R10887" t="s">
        <v>46578</v>
      </c>
      <c r="S10887" t="s">
        <v>46874</v>
      </c>
      <c r="T10887" t="s">
        <v>48562</v>
      </c>
      <c r="U10887" t="s">
        <v>57526</v>
      </c>
      <c r="W10887" t="s">
        <v>45818</v>
      </c>
      <c r="X10887" t="s">
        <v>46579</v>
      </c>
    </row>
    <row r="10888" spans="1:24">
      <c r="A10888">
        <f>HYPERLINK("https://www.philgeps.gov.ph/GEPSNONPILOT/Tender/SplashBidNoticeAbstractUI.aspx?menuIndex=3&amp;refID=7052174&amp;Result=3","7052174")</f>
        <v>0</v>
      </c>
      <c r="B10888" t="s">
        <v>2189</v>
      </c>
      <c r="C10888" t="s">
        <v>13846</v>
      </c>
      <c r="D10888" t="s">
        <v>18843</v>
      </c>
      <c r="E10888" t="s">
        <v>28287</v>
      </c>
      <c r="F10888" t="s">
        <v>32664</v>
      </c>
      <c r="G10888" t="s">
        <v>32672</v>
      </c>
      <c r="H10888" t="s">
        <v>32683</v>
      </c>
      <c r="I10888" t="s">
        <v>10627</v>
      </c>
      <c r="J10888" t="s">
        <v>32943</v>
      </c>
      <c r="K10888" t="s">
        <v>42305</v>
      </c>
      <c r="M10888" t="s">
        <v>44951</v>
      </c>
      <c r="N10888" t="s">
        <v>46569</v>
      </c>
      <c r="O10888" t="s">
        <v>46570</v>
      </c>
      <c r="P10888">
        <v>0</v>
      </c>
      <c r="Q10888">
        <v>0</v>
      </c>
      <c r="R10888" t="s">
        <v>46578</v>
      </c>
      <c r="S10888" t="s">
        <v>46874</v>
      </c>
      <c r="T10888" t="s">
        <v>48448</v>
      </c>
      <c r="U10888" t="s">
        <v>57527</v>
      </c>
      <c r="W10888" t="s">
        <v>44951</v>
      </c>
      <c r="X10888" t="s">
        <v>46579</v>
      </c>
    </row>
    <row r="10889" spans="1:24">
      <c r="A10889">
        <f>HYPERLINK("https://www.philgeps.gov.ph/GEPSNONPILOT/Tender/SplashBidNoticeAbstractUI.aspx?menuIndex=3&amp;refID=7052113&amp;Result=3","7052113")</f>
        <v>0</v>
      </c>
      <c r="B10889" t="s">
        <v>2965</v>
      </c>
      <c r="C10889" t="s">
        <v>10803</v>
      </c>
      <c r="D10889" t="s">
        <v>18789</v>
      </c>
      <c r="E10889" t="s">
        <v>24080</v>
      </c>
      <c r="F10889" t="s">
        <v>32664</v>
      </c>
      <c r="G10889" t="s">
        <v>32672</v>
      </c>
      <c r="H10889" t="s">
        <v>12635</v>
      </c>
      <c r="I10889" t="s">
        <v>9486</v>
      </c>
      <c r="J10889" t="s">
        <v>39279</v>
      </c>
      <c r="K10889" t="s">
        <v>42281</v>
      </c>
      <c r="M10889" t="s">
        <v>45819</v>
      </c>
      <c r="N10889" t="s">
        <v>46569</v>
      </c>
      <c r="O10889" t="s">
        <v>46570</v>
      </c>
      <c r="P10889">
        <v>0</v>
      </c>
      <c r="Q10889">
        <v>3</v>
      </c>
      <c r="R10889" t="s">
        <v>46578</v>
      </c>
      <c r="S10889" t="s">
        <v>46874</v>
      </c>
      <c r="T10889" t="s">
        <v>48254</v>
      </c>
      <c r="U10889" t="s">
        <v>57528</v>
      </c>
      <c r="W10889" t="s">
        <v>45819</v>
      </c>
      <c r="X10889" t="s">
        <v>46579</v>
      </c>
    </row>
    <row r="10890" spans="1:24">
      <c r="A10890">
        <f>HYPERLINK("https://www.philgeps.gov.ph/GEPSNONPILOT/Tender/SplashBidNoticeAbstractUI.aspx?menuIndex=3&amp;refID=7052121&amp;Result=3","7052121")</f>
        <v>0</v>
      </c>
      <c r="B10890" t="s">
        <v>2966</v>
      </c>
      <c r="C10890" t="s">
        <v>13847</v>
      </c>
      <c r="D10890" t="s">
        <v>18805</v>
      </c>
      <c r="E10890" t="s">
        <v>19380</v>
      </c>
      <c r="F10890" t="s">
        <v>32664</v>
      </c>
      <c r="G10890" t="s">
        <v>32672</v>
      </c>
      <c r="H10890" t="s">
        <v>12635</v>
      </c>
      <c r="I10890" t="s">
        <v>6168</v>
      </c>
      <c r="J10890" t="s">
        <v>33380</v>
      </c>
      <c r="K10890" t="s">
        <v>42309</v>
      </c>
      <c r="M10890" t="s">
        <v>45820</v>
      </c>
      <c r="N10890" t="s">
        <v>46569</v>
      </c>
      <c r="O10890" t="s">
        <v>46570</v>
      </c>
      <c r="P10890">
        <v>0</v>
      </c>
      <c r="Q10890">
        <v>0</v>
      </c>
      <c r="R10890" t="s">
        <v>46578</v>
      </c>
      <c r="S10890" t="s">
        <v>46874</v>
      </c>
      <c r="T10890" t="s">
        <v>48215</v>
      </c>
      <c r="U10890" t="s">
        <v>57529</v>
      </c>
      <c r="W10890" t="s">
        <v>45820</v>
      </c>
      <c r="X10890" t="s">
        <v>46579</v>
      </c>
    </row>
    <row r="10891" spans="1:24">
      <c r="A10891">
        <f>HYPERLINK("https://www.philgeps.gov.ph/GEPSNONPILOT/Tender/SplashBidNoticeAbstractUI.aspx?menuIndex=3&amp;refID=7052173&amp;Result=3","7052173")</f>
        <v>0</v>
      </c>
      <c r="B10891" t="s">
        <v>2926</v>
      </c>
      <c r="C10891" t="s">
        <v>13848</v>
      </c>
      <c r="D10891" t="s">
        <v>18802</v>
      </c>
      <c r="E10891" t="s">
        <v>28288</v>
      </c>
      <c r="F10891" t="s">
        <v>32664</v>
      </c>
      <c r="G10891" t="s">
        <v>32672</v>
      </c>
      <c r="H10891" t="s">
        <v>32683</v>
      </c>
      <c r="I10891" t="s">
        <v>10627</v>
      </c>
      <c r="J10891" t="s">
        <v>39280</v>
      </c>
      <c r="K10891" t="s">
        <v>42298</v>
      </c>
      <c r="M10891" t="s">
        <v>45779</v>
      </c>
      <c r="N10891" t="s">
        <v>46569</v>
      </c>
      <c r="O10891" t="s">
        <v>46570</v>
      </c>
      <c r="P10891">
        <v>0</v>
      </c>
      <c r="Q10891">
        <v>0</v>
      </c>
      <c r="R10891" t="s">
        <v>46578</v>
      </c>
      <c r="S10891" t="s">
        <v>46874</v>
      </c>
      <c r="T10891" t="s">
        <v>48363</v>
      </c>
      <c r="U10891" t="s">
        <v>57530</v>
      </c>
      <c r="V10891" t="s">
        <v>62797</v>
      </c>
      <c r="W10891" t="s">
        <v>45779</v>
      </c>
      <c r="X10891" t="s">
        <v>46579</v>
      </c>
    </row>
    <row r="10892" spans="1:24">
      <c r="A10892">
        <f>HYPERLINK("https://www.philgeps.gov.ph/GEPSNONPILOT/Tender/SplashBidNoticeAbstractUI.aspx?menuIndex=3&amp;refID=7052172&amp;Result=3","7052172")</f>
        <v>0</v>
      </c>
      <c r="B10892" t="s">
        <v>2967</v>
      </c>
      <c r="C10892" t="s">
        <v>13849</v>
      </c>
      <c r="D10892" t="s">
        <v>18822</v>
      </c>
      <c r="E10892" t="s">
        <v>28289</v>
      </c>
      <c r="F10892" t="s">
        <v>32664</v>
      </c>
      <c r="G10892" t="s">
        <v>32672</v>
      </c>
      <c r="H10892" t="s">
        <v>12635</v>
      </c>
      <c r="I10892" t="s">
        <v>4439</v>
      </c>
      <c r="J10892" t="s">
        <v>39281</v>
      </c>
      <c r="K10892" t="s">
        <v>42289</v>
      </c>
      <c r="M10892" t="s">
        <v>45821</v>
      </c>
      <c r="N10892" t="s">
        <v>46569</v>
      </c>
      <c r="O10892" t="s">
        <v>46570</v>
      </c>
      <c r="P10892">
        <v>0</v>
      </c>
      <c r="Q10892">
        <v>2</v>
      </c>
      <c r="R10892" t="s">
        <v>46578</v>
      </c>
      <c r="S10892" t="s">
        <v>46874</v>
      </c>
      <c r="T10892" t="s">
        <v>48449</v>
      </c>
      <c r="U10892" t="s">
        <v>57531</v>
      </c>
      <c r="V10892" t="s">
        <v>62798</v>
      </c>
      <c r="W10892" t="s">
        <v>45821</v>
      </c>
      <c r="X10892" t="s">
        <v>46579</v>
      </c>
    </row>
    <row r="10893" spans="1:24">
      <c r="A10893">
        <f>HYPERLINK("https://www.philgeps.gov.ph/GEPSNONPILOT/Tender/SplashBidNoticeAbstractUI.aspx?menuIndex=3&amp;refID=7052032&amp;Result=3","7052032")</f>
        <v>0</v>
      </c>
      <c r="B10893" t="s">
        <v>2968</v>
      </c>
      <c r="C10893" t="s">
        <v>13850</v>
      </c>
      <c r="D10893" t="s">
        <v>18847</v>
      </c>
      <c r="E10893" t="s">
        <v>28290</v>
      </c>
      <c r="F10893" t="s">
        <v>32664</v>
      </c>
      <c r="G10893" t="s">
        <v>32672</v>
      </c>
      <c r="H10893" t="s">
        <v>12635</v>
      </c>
      <c r="I10893" t="s">
        <v>6168</v>
      </c>
      <c r="J10893" t="s">
        <v>39282</v>
      </c>
      <c r="K10893" t="s">
        <v>42305</v>
      </c>
      <c r="M10893" t="s">
        <v>45822</v>
      </c>
      <c r="N10893" t="s">
        <v>46569</v>
      </c>
      <c r="O10893" t="s">
        <v>46570</v>
      </c>
      <c r="P10893">
        <v>0</v>
      </c>
      <c r="Q10893">
        <v>2</v>
      </c>
      <c r="R10893" t="s">
        <v>46578</v>
      </c>
      <c r="S10893" t="s">
        <v>46874</v>
      </c>
      <c r="T10893" t="s">
        <v>48228</v>
      </c>
      <c r="U10893" t="s">
        <v>57532</v>
      </c>
      <c r="V10893" t="s">
        <v>62799</v>
      </c>
      <c r="W10893" t="s">
        <v>45822</v>
      </c>
      <c r="X10893" t="s">
        <v>46579</v>
      </c>
    </row>
    <row r="10894" spans="1:24">
      <c r="A10894">
        <f>HYPERLINK("https://www.philgeps.gov.ph/GEPSNONPILOT/Tender/SplashBidNoticeAbstractUI.aspx?menuIndex=3&amp;refID=7052171&amp;Result=3","7052171")</f>
        <v>0</v>
      </c>
      <c r="B10894" t="s">
        <v>2969</v>
      </c>
      <c r="C10894" t="s">
        <v>13851</v>
      </c>
      <c r="D10894" t="s">
        <v>18837</v>
      </c>
      <c r="E10894" t="s">
        <v>23865</v>
      </c>
      <c r="F10894" t="s">
        <v>32664</v>
      </c>
      <c r="G10894" t="s">
        <v>32672</v>
      </c>
      <c r="H10894" t="s">
        <v>32683</v>
      </c>
      <c r="I10894" t="s">
        <v>10627</v>
      </c>
      <c r="J10894" t="s">
        <v>39283</v>
      </c>
      <c r="K10894" t="s">
        <v>42354</v>
      </c>
      <c r="M10894" t="s">
        <v>45823</v>
      </c>
      <c r="N10894" t="s">
        <v>46569</v>
      </c>
      <c r="O10894" t="s">
        <v>46570</v>
      </c>
      <c r="P10894">
        <v>0</v>
      </c>
      <c r="Q10894">
        <v>0</v>
      </c>
      <c r="R10894" t="s">
        <v>46578</v>
      </c>
      <c r="S10894" t="s">
        <v>46874</v>
      </c>
      <c r="T10894" t="s">
        <v>48374</v>
      </c>
      <c r="U10894" t="s">
        <v>57533</v>
      </c>
      <c r="V10894" t="s">
        <v>62800</v>
      </c>
      <c r="W10894" t="s">
        <v>45823</v>
      </c>
      <c r="X10894" t="s">
        <v>46579</v>
      </c>
    </row>
    <row r="10895" spans="1:24">
      <c r="A10895">
        <f>HYPERLINK("https://www.philgeps.gov.ph/GEPSNONPILOT/Tender/SplashBidNoticeAbstractUI.aspx?menuIndex=3&amp;refID=7052179&amp;Result=3","7052179")</f>
        <v>0</v>
      </c>
      <c r="B10895" t="s">
        <v>715</v>
      </c>
      <c r="C10895" t="s">
        <v>13852</v>
      </c>
      <c r="D10895" t="s">
        <v>18807</v>
      </c>
      <c r="E10895" t="s">
        <v>28291</v>
      </c>
      <c r="F10895" t="s">
        <v>32664</v>
      </c>
      <c r="G10895" t="s">
        <v>32672</v>
      </c>
      <c r="H10895" t="s">
        <v>12635</v>
      </c>
      <c r="I10895" t="s">
        <v>10370</v>
      </c>
      <c r="J10895" t="s">
        <v>32845</v>
      </c>
      <c r="K10895" t="s">
        <v>42297</v>
      </c>
      <c r="M10895" t="s">
        <v>43302</v>
      </c>
      <c r="N10895" t="s">
        <v>46569</v>
      </c>
      <c r="O10895" t="s">
        <v>46570</v>
      </c>
      <c r="P10895">
        <v>0</v>
      </c>
      <c r="Q10895">
        <v>2</v>
      </c>
      <c r="R10895" t="s">
        <v>46578</v>
      </c>
      <c r="S10895" t="s">
        <v>46874</v>
      </c>
      <c r="T10895" t="s">
        <v>48334</v>
      </c>
      <c r="U10895" t="s">
        <v>51958</v>
      </c>
      <c r="W10895" t="s">
        <v>43302</v>
      </c>
      <c r="X10895" t="s">
        <v>46579</v>
      </c>
    </row>
    <row r="10896" spans="1:24">
      <c r="A10896">
        <f>HYPERLINK("https://www.philgeps.gov.ph/GEPSNONPILOT/Tender/SplashBidNoticeAbstractUI.aspx?menuIndex=3&amp;refID=7052166&amp;Result=3","7052166")</f>
        <v>0</v>
      </c>
      <c r="B10896" t="s">
        <v>2534</v>
      </c>
      <c r="C10896" t="s">
        <v>13853</v>
      </c>
      <c r="D10896" t="s">
        <v>18783</v>
      </c>
      <c r="E10896" t="s">
        <v>28292</v>
      </c>
      <c r="F10896" t="s">
        <v>32664</v>
      </c>
      <c r="G10896" t="s">
        <v>32672</v>
      </c>
      <c r="H10896" t="s">
        <v>12635</v>
      </c>
      <c r="I10896" t="s">
        <v>32699</v>
      </c>
      <c r="J10896" t="s">
        <v>33015</v>
      </c>
      <c r="K10896" t="s">
        <v>42289</v>
      </c>
      <c r="M10896" t="s">
        <v>45342</v>
      </c>
      <c r="N10896" t="s">
        <v>46569</v>
      </c>
      <c r="O10896" t="s">
        <v>46570</v>
      </c>
      <c r="P10896">
        <v>0</v>
      </c>
      <c r="Q10896">
        <v>1</v>
      </c>
      <c r="R10896" t="s">
        <v>46578</v>
      </c>
      <c r="S10896" t="s">
        <v>46874</v>
      </c>
      <c r="T10896" t="s">
        <v>48467</v>
      </c>
      <c r="U10896" t="s">
        <v>57534</v>
      </c>
      <c r="W10896" t="s">
        <v>45342</v>
      </c>
      <c r="X10896" t="s">
        <v>46579</v>
      </c>
    </row>
    <row r="10897" spans="1:24">
      <c r="A10897">
        <f>HYPERLINK("https://www.philgeps.gov.ph/GEPSNONPILOT/Tender/SplashBidNoticeAbstractUI.aspx?menuIndex=3&amp;refID=7052088&amp;Result=3","7052088")</f>
        <v>0</v>
      </c>
      <c r="B10897" t="s">
        <v>2687</v>
      </c>
      <c r="C10897" t="s">
        <v>9028</v>
      </c>
      <c r="D10897" t="s">
        <v>18789</v>
      </c>
      <c r="E10897" t="s">
        <v>28293</v>
      </c>
      <c r="F10897" t="s">
        <v>32664</v>
      </c>
      <c r="G10897" t="s">
        <v>32671</v>
      </c>
      <c r="H10897" t="s">
        <v>12635</v>
      </c>
      <c r="I10897" t="s">
        <v>4439</v>
      </c>
      <c r="J10897" t="s">
        <v>39284</v>
      </c>
      <c r="K10897" t="s">
        <v>42297</v>
      </c>
      <c r="M10897" t="s">
        <v>45512</v>
      </c>
      <c r="N10897" t="s">
        <v>46569</v>
      </c>
      <c r="O10897" t="s">
        <v>46570</v>
      </c>
      <c r="P10897">
        <v>0</v>
      </c>
      <c r="Q10897">
        <v>0</v>
      </c>
      <c r="R10897" t="s">
        <v>46578</v>
      </c>
      <c r="S10897" t="s">
        <v>46874</v>
      </c>
      <c r="T10897" t="s">
        <v>48448</v>
      </c>
      <c r="U10897" t="s">
        <v>57535</v>
      </c>
      <c r="W10897" t="s">
        <v>45512</v>
      </c>
      <c r="X10897" t="s">
        <v>46579</v>
      </c>
    </row>
    <row r="10898" spans="1:24">
      <c r="A10898">
        <f>HYPERLINK("https://www.philgeps.gov.ph/GEPSNONPILOT/Tender/SplashBidNoticeAbstractUI.aspx?menuIndex=3&amp;refID=7052177&amp;Result=3","7052177")</f>
        <v>0</v>
      </c>
      <c r="B10898" t="s">
        <v>1943</v>
      </c>
      <c r="C10898" t="s">
        <v>13854</v>
      </c>
      <c r="D10898" t="s">
        <v>18842</v>
      </c>
      <c r="E10898" t="s">
        <v>28294</v>
      </c>
      <c r="F10898" t="s">
        <v>32664</v>
      </c>
      <c r="G10898" t="s">
        <v>32672</v>
      </c>
      <c r="H10898" t="s">
        <v>32683</v>
      </c>
      <c r="I10898" t="s">
        <v>10627</v>
      </c>
      <c r="J10898" t="s">
        <v>39285</v>
      </c>
      <c r="K10898" t="s">
        <v>42281</v>
      </c>
      <c r="M10898" t="s">
        <v>44668</v>
      </c>
      <c r="N10898" t="s">
        <v>46569</v>
      </c>
      <c r="O10898" t="s">
        <v>46570</v>
      </c>
      <c r="P10898">
        <v>0</v>
      </c>
      <c r="Q10898">
        <v>0</v>
      </c>
      <c r="R10898" t="s">
        <v>46578</v>
      </c>
      <c r="S10898" t="s">
        <v>46874</v>
      </c>
      <c r="T10898" t="s">
        <v>48225</v>
      </c>
      <c r="U10898" t="s">
        <v>57500</v>
      </c>
      <c r="W10898" t="s">
        <v>44668</v>
      </c>
      <c r="X10898" t="s">
        <v>46579</v>
      </c>
    </row>
    <row r="10899" spans="1:24">
      <c r="A10899">
        <f>HYPERLINK("https://www.philgeps.gov.ph/GEPSNONPILOT/Tender/SplashBidNoticeAbstractUI.aspx?menuIndex=3&amp;refID=7052161&amp;Result=3","7052161")</f>
        <v>0</v>
      </c>
      <c r="B10899" t="s">
        <v>2963</v>
      </c>
      <c r="C10899" t="s">
        <v>13855</v>
      </c>
      <c r="D10899" t="s">
        <v>18831</v>
      </c>
      <c r="E10899" t="s">
        <v>28295</v>
      </c>
      <c r="F10899" t="s">
        <v>32664</v>
      </c>
      <c r="G10899" t="s">
        <v>32672</v>
      </c>
      <c r="H10899" t="s">
        <v>32683</v>
      </c>
      <c r="I10899" t="s">
        <v>10627</v>
      </c>
      <c r="J10899" t="s">
        <v>39286</v>
      </c>
      <c r="K10899" t="s">
        <v>42290</v>
      </c>
      <c r="M10899" t="s">
        <v>45817</v>
      </c>
      <c r="N10899" t="s">
        <v>46569</v>
      </c>
      <c r="O10899" t="s">
        <v>46570</v>
      </c>
      <c r="P10899">
        <v>0</v>
      </c>
      <c r="Q10899">
        <v>1</v>
      </c>
      <c r="R10899" t="s">
        <v>46578</v>
      </c>
      <c r="S10899" t="s">
        <v>46874</v>
      </c>
      <c r="T10899" t="s">
        <v>48405</v>
      </c>
      <c r="U10899" t="s">
        <v>57536</v>
      </c>
      <c r="W10899" t="s">
        <v>45817</v>
      </c>
      <c r="X10899" t="s">
        <v>46579</v>
      </c>
    </row>
    <row r="10900" spans="1:24">
      <c r="A10900">
        <f>HYPERLINK("https://www.philgeps.gov.ph/GEPSNONPILOT/Tender/SplashBidNoticeAbstractUI.aspx?menuIndex=3&amp;refID=7052154&amp;Result=3","7052154")</f>
        <v>0</v>
      </c>
      <c r="B10900" t="s">
        <v>2346</v>
      </c>
      <c r="C10900" t="s">
        <v>13856</v>
      </c>
      <c r="D10900" t="s">
        <v>18846</v>
      </c>
      <c r="E10900" t="s">
        <v>28296</v>
      </c>
      <c r="F10900" t="s">
        <v>32664</v>
      </c>
      <c r="G10900" t="s">
        <v>32672</v>
      </c>
      <c r="H10900" t="s">
        <v>12635</v>
      </c>
      <c r="I10900" t="s">
        <v>11464</v>
      </c>
      <c r="J10900" t="s">
        <v>32981</v>
      </c>
      <c r="K10900" t="s">
        <v>42298</v>
      </c>
      <c r="M10900" t="s">
        <v>45128</v>
      </c>
      <c r="N10900" t="s">
        <v>46569</v>
      </c>
      <c r="O10900" t="s">
        <v>46570</v>
      </c>
      <c r="P10900">
        <v>0</v>
      </c>
      <c r="Q10900">
        <v>1</v>
      </c>
      <c r="R10900" t="s">
        <v>46578</v>
      </c>
      <c r="S10900" t="s">
        <v>46874</v>
      </c>
      <c r="T10900" t="s">
        <v>48381</v>
      </c>
      <c r="U10900" t="s">
        <v>57537</v>
      </c>
      <c r="W10900" t="s">
        <v>45128</v>
      </c>
      <c r="X10900" t="s">
        <v>46579</v>
      </c>
    </row>
    <row r="10901" spans="1:24">
      <c r="A10901">
        <f>HYPERLINK("https://www.philgeps.gov.ph/GEPSNONPILOT/Tender/SplashBidNoticeAbstractUI.aspx?menuIndex=3&amp;refID=7052201&amp;Result=3","7052201")</f>
        <v>0</v>
      </c>
      <c r="B10901" t="s">
        <v>2967</v>
      </c>
      <c r="C10901" t="s">
        <v>13857</v>
      </c>
      <c r="D10901" t="s">
        <v>18822</v>
      </c>
      <c r="E10901" t="s">
        <v>28297</v>
      </c>
      <c r="F10901" t="s">
        <v>32664</v>
      </c>
      <c r="G10901" t="s">
        <v>32672</v>
      </c>
      <c r="H10901" t="s">
        <v>12635</v>
      </c>
      <c r="I10901" t="s">
        <v>4439</v>
      </c>
      <c r="J10901" t="s">
        <v>39287</v>
      </c>
      <c r="K10901" t="s">
        <v>42289</v>
      </c>
      <c r="M10901" t="s">
        <v>45821</v>
      </c>
      <c r="N10901" t="s">
        <v>46569</v>
      </c>
      <c r="O10901" t="s">
        <v>46570</v>
      </c>
      <c r="P10901">
        <v>0</v>
      </c>
      <c r="Q10901">
        <v>2</v>
      </c>
      <c r="R10901" t="s">
        <v>46578</v>
      </c>
      <c r="S10901" t="s">
        <v>46874</v>
      </c>
      <c r="T10901" t="s">
        <v>48449</v>
      </c>
      <c r="U10901" t="s">
        <v>57538</v>
      </c>
      <c r="V10901" t="s">
        <v>62801</v>
      </c>
      <c r="W10901" t="s">
        <v>45821</v>
      </c>
      <c r="X10901" t="s">
        <v>46579</v>
      </c>
    </row>
    <row r="10902" spans="1:24">
      <c r="A10902">
        <f>HYPERLINK("https://www.philgeps.gov.ph/GEPSNONPILOT/Tender/SplashBidNoticeAbstractUI.aspx?menuIndex=3&amp;refID=7052182&amp;Result=3","7052182")</f>
        <v>0</v>
      </c>
      <c r="B10902" t="s">
        <v>2970</v>
      </c>
      <c r="C10902" t="s">
        <v>13858</v>
      </c>
      <c r="D10902" t="s">
        <v>18796</v>
      </c>
      <c r="E10902" t="s">
        <v>21684</v>
      </c>
      <c r="F10902" t="s">
        <v>32664</v>
      </c>
      <c r="G10902" t="s">
        <v>32672</v>
      </c>
      <c r="H10902" t="s">
        <v>32683</v>
      </c>
      <c r="I10902" t="s">
        <v>10627</v>
      </c>
      <c r="J10902" t="s">
        <v>39288</v>
      </c>
      <c r="K10902" t="s">
        <v>42311</v>
      </c>
      <c r="M10902" t="s">
        <v>45824</v>
      </c>
      <c r="N10902" t="s">
        <v>46569</v>
      </c>
      <c r="O10902" t="s">
        <v>46570</v>
      </c>
      <c r="P10902">
        <v>0</v>
      </c>
      <c r="Q10902">
        <v>0</v>
      </c>
      <c r="R10902" t="s">
        <v>46578</v>
      </c>
      <c r="S10902" t="s">
        <v>46874</v>
      </c>
      <c r="T10902" t="s">
        <v>48278</v>
      </c>
      <c r="U10902" t="s">
        <v>57539</v>
      </c>
      <c r="W10902" t="s">
        <v>45824</v>
      </c>
      <c r="X10902" t="s">
        <v>46579</v>
      </c>
    </row>
    <row r="10903" spans="1:24">
      <c r="A10903">
        <f>HYPERLINK("https://www.philgeps.gov.ph/GEPSNONPILOT/Tender/SplashBidNoticeAbstractUI.aspx?menuIndex=3&amp;refID=7052261&amp;Result=3","7052261")</f>
        <v>0</v>
      </c>
      <c r="B10903" t="s">
        <v>1656</v>
      </c>
      <c r="C10903" t="s">
        <v>13859</v>
      </c>
      <c r="D10903" t="s">
        <v>18805</v>
      </c>
      <c r="E10903" t="s">
        <v>20991</v>
      </c>
      <c r="F10903" t="s">
        <v>32664</v>
      </c>
      <c r="G10903" t="s">
        <v>32671</v>
      </c>
      <c r="H10903" t="s">
        <v>12635</v>
      </c>
      <c r="I10903" t="s">
        <v>7703</v>
      </c>
      <c r="J10903" t="s">
        <v>33338</v>
      </c>
      <c r="K10903" t="s">
        <v>42306</v>
      </c>
      <c r="M10903" t="s">
        <v>44341</v>
      </c>
      <c r="N10903" t="s">
        <v>46569</v>
      </c>
      <c r="O10903" t="s">
        <v>46570</v>
      </c>
      <c r="P10903">
        <v>0</v>
      </c>
      <c r="Q10903">
        <v>0</v>
      </c>
      <c r="R10903" t="s">
        <v>46578</v>
      </c>
      <c r="S10903" t="s">
        <v>46874</v>
      </c>
      <c r="T10903" t="s">
        <v>48215</v>
      </c>
      <c r="U10903" t="s">
        <v>57540</v>
      </c>
      <c r="W10903" t="s">
        <v>44341</v>
      </c>
      <c r="X10903" t="s">
        <v>46579</v>
      </c>
    </row>
    <row r="10904" spans="1:24">
      <c r="A10904">
        <f>HYPERLINK("https://www.philgeps.gov.ph/GEPSNONPILOT/Tender/SplashBidNoticeAbstractUI.aspx?menuIndex=3&amp;refID=7052089&amp;Result=3","7052089")</f>
        <v>0</v>
      </c>
      <c r="B10904" t="s">
        <v>2971</v>
      </c>
      <c r="C10904" t="s">
        <v>13860</v>
      </c>
      <c r="D10904" t="s">
        <v>18784</v>
      </c>
      <c r="E10904" t="s">
        <v>28298</v>
      </c>
      <c r="F10904" t="s">
        <v>32664</v>
      </c>
      <c r="G10904" t="s">
        <v>32678</v>
      </c>
      <c r="H10904" t="s">
        <v>32681</v>
      </c>
      <c r="I10904" t="s">
        <v>32681</v>
      </c>
      <c r="J10904" t="s">
        <v>33008</v>
      </c>
      <c r="K10904" t="s">
        <v>42404</v>
      </c>
      <c r="M10904" t="s">
        <v>45825</v>
      </c>
      <c r="N10904" t="s">
        <v>46569</v>
      </c>
      <c r="O10904" t="s">
        <v>46570</v>
      </c>
      <c r="P10904">
        <v>0</v>
      </c>
      <c r="Q10904">
        <v>1</v>
      </c>
      <c r="R10904" t="s">
        <v>46578</v>
      </c>
      <c r="S10904" t="s">
        <v>46874</v>
      </c>
      <c r="T10904" t="s">
        <v>48449</v>
      </c>
      <c r="U10904" t="s">
        <v>57541</v>
      </c>
      <c r="W10904" t="s">
        <v>45825</v>
      </c>
      <c r="X10904" t="s">
        <v>46579</v>
      </c>
    </row>
    <row r="10905" spans="1:24">
      <c r="A10905">
        <f>HYPERLINK("https://www.philgeps.gov.ph/GEPSNONPILOT/Tender/SplashBidNoticeAbstractUI.aspx?menuIndex=3&amp;refID=7052253&amp;Result=3","7052253")</f>
        <v>0</v>
      </c>
      <c r="B10905" t="s">
        <v>2972</v>
      </c>
      <c r="C10905" t="s">
        <v>13861</v>
      </c>
      <c r="D10905" t="s">
        <v>18820</v>
      </c>
      <c r="E10905" t="s">
        <v>28299</v>
      </c>
      <c r="F10905" t="s">
        <v>32664</v>
      </c>
      <c r="G10905" t="s">
        <v>32673</v>
      </c>
      <c r="H10905" t="s">
        <v>12635</v>
      </c>
      <c r="I10905" t="s">
        <v>4439</v>
      </c>
      <c r="J10905" t="s">
        <v>39289</v>
      </c>
      <c r="K10905" t="s">
        <v>42284</v>
      </c>
      <c r="M10905" t="s">
        <v>45826</v>
      </c>
      <c r="N10905" t="s">
        <v>46569</v>
      </c>
      <c r="O10905" t="s">
        <v>46570</v>
      </c>
      <c r="P10905">
        <v>0</v>
      </c>
      <c r="Q10905">
        <v>0</v>
      </c>
      <c r="R10905" t="s">
        <v>46578</v>
      </c>
      <c r="S10905" t="s">
        <v>46874</v>
      </c>
      <c r="T10905" t="s">
        <v>48225</v>
      </c>
      <c r="U10905" t="s">
        <v>57542</v>
      </c>
      <c r="W10905" t="s">
        <v>45826</v>
      </c>
      <c r="X10905" t="s">
        <v>46579</v>
      </c>
    </row>
    <row r="10906" spans="1:24">
      <c r="A10906">
        <f>HYPERLINK("https://www.philgeps.gov.ph/GEPSNONPILOT/Tender/SplashBidNoticeAbstractUI.aspx?menuIndex=3&amp;refID=7051961&amp;Result=3","7051961")</f>
        <v>0</v>
      </c>
      <c r="B10906" t="s">
        <v>2973</v>
      </c>
      <c r="C10906" t="s">
        <v>13862</v>
      </c>
      <c r="D10906" t="s">
        <v>18854</v>
      </c>
      <c r="E10906" t="s">
        <v>27951</v>
      </c>
      <c r="F10906" t="s">
        <v>32664</v>
      </c>
      <c r="G10906" t="s">
        <v>32672</v>
      </c>
      <c r="H10906" t="s">
        <v>32683</v>
      </c>
      <c r="I10906" t="s">
        <v>10627</v>
      </c>
      <c r="J10906" t="s">
        <v>39290</v>
      </c>
      <c r="K10906" t="s">
        <v>42281</v>
      </c>
      <c r="M10906" t="s">
        <v>45827</v>
      </c>
      <c r="N10906" t="s">
        <v>46569</v>
      </c>
      <c r="O10906" t="s">
        <v>46570</v>
      </c>
      <c r="P10906">
        <v>0</v>
      </c>
      <c r="Q10906">
        <v>0</v>
      </c>
      <c r="R10906" t="s">
        <v>46578</v>
      </c>
      <c r="S10906" t="s">
        <v>46874</v>
      </c>
      <c r="T10906" t="s">
        <v>48304</v>
      </c>
      <c r="U10906" t="s">
        <v>57543</v>
      </c>
      <c r="W10906" t="s">
        <v>45827</v>
      </c>
      <c r="X10906" t="s">
        <v>46579</v>
      </c>
    </row>
    <row r="10907" spans="1:24">
      <c r="A10907">
        <f>HYPERLINK("https://www.philgeps.gov.ph/GEPSNONPILOT/Tender/SplashBidNoticeAbstractUI.aspx?menuIndex=3&amp;refID=7052251&amp;Result=3","7052251")</f>
        <v>0</v>
      </c>
      <c r="B10907" t="s">
        <v>2926</v>
      </c>
      <c r="C10907" t="s">
        <v>13863</v>
      </c>
      <c r="D10907" t="s">
        <v>18802</v>
      </c>
      <c r="E10907" t="s">
        <v>28300</v>
      </c>
      <c r="F10907" t="s">
        <v>32664</v>
      </c>
      <c r="G10907" t="s">
        <v>32672</v>
      </c>
      <c r="H10907" t="s">
        <v>12635</v>
      </c>
      <c r="I10907" t="s">
        <v>32698</v>
      </c>
      <c r="J10907" t="s">
        <v>39291</v>
      </c>
      <c r="K10907" t="s">
        <v>42284</v>
      </c>
      <c r="M10907" t="s">
        <v>45779</v>
      </c>
      <c r="N10907" t="s">
        <v>46569</v>
      </c>
      <c r="O10907" t="s">
        <v>46570</v>
      </c>
      <c r="P10907">
        <v>0</v>
      </c>
      <c r="Q10907">
        <v>2</v>
      </c>
      <c r="R10907" t="s">
        <v>46578</v>
      </c>
      <c r="S10907" t="s">
        <v>46874</v>
      </c>
      <c r="T10907" t="s">
        <v>48363</v>
      </c>
      <c r="U10907" t="s">
        <v>57544</v>
      </c>
      <c r="V10907" t="s">
        <v>62802</v>
      </c>
      <c r="W10907" t="s">
        <v>45779</v>
      </c>
      <c r="X10907" t="s">
        <v>46579</v>
      </c>
    </row>
    <row r="10908" spans="1:24">
      <c r="A10908">
        <f>HYPERLINK("https://www.philgeps.gov.ph/GEPSNONPILOT/Tender/SplashBidNoticeAbstractUI.aspx?menuIndex=3&amp;refID=7052168&amp;Result=3","7052168")</f>
        <v>0</v>
      </c>
      <c r="B10908" t="s">
        <v>146</v>
      </c>
      <c r="C10908" t="s">
        <v>13864</v>
      </c>
      <c r="D10908" t="s">
        <v>18826</v>
      </c>
      <c r="E10908" t="s">
        <v>28301</v>
      </c>
      <c r="F10908" t="s">
        <v>32664</v>
      </c>
      <c r="G10908" t="s">
        <v>32672</v>
      </c>
      <c r="H10908" t="s">
        <v>12635</v>
      </c>
      <c r="I10908" t="s">
        <v>32711</v>
      </c>
      <c r="J10908" t="s">
        <v>39292</v>
      </c>
      <c r="K10908" t="s">
        <v>42298</v>
      </c>
      <c r="M10908" t="s">
        <v>42710</v>
      </c>
      <c r="N10908" t="s">
        <v>46569</v>
      </c>
      <c r="O10908" t="s">
        <v>46570</v>
      </c>
      <c r="P10908">
        <v>0</v>
      </c>
      <c r="Q10908">
        <v>0</v>
      </c>
      <c r="R10908" t="s">
        <v>46578</v>
      </c>
      <c r="S10908" t="s">
        <v>46874</v>
      </c>
      <c r="T10908" t="s">
        <v>48453</v>
      </c>
      <c r="U10908" t="s">
        <v>57545</v>
      </c>
      <c r="W10908" t="s">
        <v>42710</v>
      </c>
      <c r="X10908" t="s">
        <v>46579</v>
      </c>
    </row>
    <row r="10909" spans="1:24">
      <c r="A10909">
        <f>HYPERLINK("https://www.philgeps.gov.ph/GEPSNONPILOT/Tender/SplashBidNoticeAbstractUI.aspx?menuIndex=3&amp;refID=7052155&amp;Result=3","7052155")</f>
        <v>0</v>
      </c>
      <c r="B10909" t="s">
        <v>2965</v>
      </c>
      <c r="C10909" t="s">
        <v>13865</v>
      </c>
      <c r="D10909" t="s">
        <v>18789</v>
      </c>
      <c r="E10909" t="s">
        <v>24101</v>
      </c>
      <c r="F10909" t="s">
        <v>32664</v>
      </c>
      <c r="G10909" t="s">
        <v>32672</v>
      </c>
      <c r="H10909" t="s">
        <v>12635</v>
      </c>
      <c r="I10909" t="s">
        <v>32706</v>
      </c>
      <c r="J10909" t="s">
        <v>39293</v>
      </c>
      <c r="K10909" t="s">
        <v>42281</v>
      </c>
      <c r="M10909" t="s">
        <v>45819</v>
      </c>
      <c r="N10909" t="s">
        <v>46569</v>
      </c>
      <c r="O10909" t="s">
        <v>46570</v>
      </c>
      <c r="P10909">
        <v>0</v>
      </c>
      <c r="Q10909">
        <v>0</v>
      </c>
      <c r="R10909" t="s">
        <v>46578</v>
      </c>
      <c r="S10909" t="s">
        <v>46874</v>
      </c>
      <c r="T10909" t="s">
        <v>48254</v>
      </c>
      <c r="U10909" t="s">
        <v>57546</v>
      </c>
      <c r="W10909" t="s">
        <v>45819</v>
      </c>
      <c r="X10909" t="s">
        <v>46579</v>
      </c>
    </row>
    <row r="10910" spans="1:24">
      <c r="A10910">
        <f>HYPERLINK("https://www.philgeps.gov.ph/GEPSNONPILOT/Tender/SplashBidNoticeAbstractUI.aspx?menuIndex=3&amp;refID=7052240&amp;Result=3","7052240")</f>
        <v>0</v>
      </c>
      <c r="B10910" t="s">
        <v>1197</v>
      </c>
      <c r="C10910" t="s">
        <v>13866</v>
      </c>
      <c r="D10910" t="s">
        <v>18784</v>
      </c>
      <c r="E10910" t="s">
        <v>28302</v>
      </c>
      <c r="F10910" t="s">
        <v>32664</v>
      </c>
      <c r="G10910" t="s">
        <v>32672</v>
      </c>
      <c r="H10910" t="s">
        <v>12635</v>
      </c>
      <c r="I10910" t="s">
        <v>32727</v>
      </c>
      <c r="J10910" t="s">
        <v>39294</v>
      </c>
      <c r="K10910" t="s">
        <v>42281</v>
      </c>
      <c r="M10910" t="s">
        <v>45828</v>
      </c>
      <c r="N10910" t="s">
        <v>46569</v>
      </c>
      <c r="O10910" t="s">
        <v>46570</v>
      </c>
      <c r="P10910">
        <v>0</v>
      </c>
      <c r="Q10910">
        <v>7</v>
      </c>
      <c r="R10910" t="s">
        <v>46578</v>
      </c>
      <c r="S10910" t="s">
        <v>46874</v>
      </c>
      <c r="T10910" t="s">
        <v>48313</v>
      </c>
      <c r="U10910" t="s">
        <v>57547</v>
      </c>
      <c r="W10910" t="s">
        <v>45828</v>
      </c>
      <c r="X10910" t="s">
        <v>46579</v>
      </c>
    </row>
    <row r="10911" spans="1:24">
      <c r="A10911">
        <f>HYPERLINK("https://www.philgeps.gov.ph/GEPSNONPILOT/Tender/SplashBidNoticeAbstractUI.aspx?menuIndex=3&amp;refID=7052237&amp;Result=3","7052237")</f>
        <v>0</v>
      </c>
      <c r="B10911" t="s">
        <v>2963</v>
      </c>
      <c r="C10911" t="s">
        <v>13867</v>
      </c>
      <c r="D10911" t="s">
        <v>18831</v>
      </c>
      <c r="E10911" t="s">
        <v>28303</v>
      </c>
      <c r="F10911" t="s">
        <v>32664</v>
      </c>
      <c r="G10911" t="s">
        <v>32672</v>
      </c>
      <c r="H10911" t="s">
        <v>32683</v>
      </c>
      <c r="I10911" t="s">
        <v>10627</v>
      </c>
      <c r="J10911" t="s">
        <v>39295</v>
      </c>
      <c r="K10911" t="s">
        <v>42311</v>
      </c>
      <c r="M10911" t="s">
        <v>45817</v>
      </c>
      <c r="N10911" t="s">
        <v>46569</v>
      </c>
      <c r="O10911" t="s">
        <v>46570</v>
      </c>
      <c r="P10911">
        <v>0</v>
      </c>
      <c r="Q10911">
        <v>1</v>
      </c>
      <c r="R10911" t="s">
        <v>46578</v>
      </c>
      <c r="S10911" t="s">
        <v>46874</v>
      </c>
      <c r="T10911" t="s">
        <v>48405</v>
      </c>
      <c r="U10911" t="s">
        <v>57548</v>
      </c>
      <c r="W10911" t="s">
        <v>45817</v>
      </c>
      <c r="X10911" t="s">
        <v>46579</v>
      </c>
    </row>
    <row r="10912" spans="1:24">
      <c r="A10912">
        <f>HYPERLINK("https://www.philgeps.gov.ph/GEPSNONPILOT/Tender/SplashBidNoticeAbstractUI.aspx?menuIndex=3&amp;refID=7052264&amp;Result=3","7052264")</f>
        <v>0</v>
      </c>
      <c r="B10912" t="s">
        <v>2484</v>
      </c>
      <c r="C10912" t="s">
        <v>13868</v>
      </c>
      <c r="D10912" t="s">
        <v>18822</v>
      </c>
      <c r="E10912" t="s">
        <v>28304</v>
      </c>
      <c r="F10912" t="s">
        <v>32664</v>
      </c>
      <c r="G10912" t="s">
        <v>32672</v>
      </c>
      <c r="H10912" t="s">
        <v>12635</v>
      </c>
      <c r="I10912" t="s">
        <v>4439</v>
      </c>
      <c r="J10912" t="s">
        <v>33175</v>
      </c>
      <c r="K10912" t="s">
        <v>42297</v>
      </c>
      <c r="M10912" t="s">
        <v>45284</v>
      </c>
      <c r="N10912" t="s">
        <v>46569</v>
      </c>
      <c r="O10912" t="s">
        <v>46570</v>
      </c>
      <c r="P10912">
        <v>0</v>
      </c>
      <c r="Q10912">
        <v>0</v>
      </c>
      <c r="R10912" t="s">
        <v>46578</v>
      </c>
      <c r="S10912" t="s">
        <v>46874</v>
      </c>
      <c r="T10912" t="s">
        <v>48283</v>
      </c>
      <c r="U10912" t="s">
        <v>56210</v>
      </c>
      <c r="W10912" t="s">
        <v>45284</v>
      </c>
      <c r="X10912" t="s">
        <v>46579</v>
      </c>
    </row>
    <row r="10913" spans="1:24">
      <c r="A10913">
        <f>HYPERLINK("https://www.philgeps.gov.ph/GEPSNONPILOT/Tender/SplashBidNoticeAbstractUI.aspx?menuIndex=3&amp;refID=7052219&amp;Result=3","7052219")</f>
        <v>0</v>
      </c>
      <c r="B10913" t="s">
        <v>565</v>
      </c>
      <c r="C10913" t="s">
        <v>13869</v>
      </c>
      <c r="E10913" t="s">
        <v>28305</v>
      </c>
      <c r="F10913" t="s">
        <v>32664</v>
      </c>
      <c r="G10913" t="s">
        <v>32672</v>
      </c>
      <c r="H10913" t="s">
        <v>12635</v>
      </c>
      <c r="I10913" t="s">
        <v>4439</v>
      </c>
      <c r="J10913" t="s">
        <v>39296</v>
      </c>
      <c r="K10913" t="s">
        <v>42283</v>
      </c>
      <c r="M10913" t="s">
        <v>43145</v>
      </c>
      <c r="N10913" t="s">
        <v>46569</v>
      </c>
      <c r="O10913" t="s">
        <v>46570</v>
      </c>
      <c r="P10913">
        <v>0</v>
      </c>
      <c r="Q10913">
        <v>2</v>
      </c>
      <c r="R10913" t="s">
        <v>46578</v>
      </c>
      <c r="S10913" t="s">
        <v>46874</v>
      </c>
      <c r="T10913" t="s">
        <v>48473</v>
      </c>
      <c r="U10913" t="s">
        <v>57549</v>
      </c>
      <c r="W10913" t="s">
        <v>43145</v>
      </c>
      <c r="X10913" t="s">
        <v>46579</v>
      </c>
    </row>
    <row r="10914" spans="1:24">
      <c r="A10914">
        <f>HYPERLINK("https://www.philgeps.gov.ph/GEPSNONPILOT/Tender/SplashBidNoticeAbstractUI.aspx?menuIndex=3&amp;refID=7052260&amp;Result=3","7052260")</f>
        <v>0</v>
      </c>
      <c r="B10914" t="s">
        <v>942</v>
      </c>
      <c r="C10914" t="s">
        <v>13870</v>
      </c>
      <c r="D10914" t="s">
        <v>18793</v>
      </c>
      <c r="E10914" t="s">
        <v>21598</v>
      </c>
      <c r="F10914" t="s">
        <v>32664</v>
      </c>
      <c r="G10914" t="s">
        <v>32672</v>
      </c>
      <c r="H10914" t="s">
        <v>12635</v>
      </c>
      <c r="I10914" t="s">
        <v>8797</v>
      </c>
      <c r="J10914" t="s">
        <v>39297</v>
      </c>
      <c r="K10914" t="s">
        <v>42289</v>
      </c>
      <c r="M10914" t="s">
        <v>43548</v>
      </c>
      <c r="N10914" t="s">
        <v>46569</v>
      </c>
      <c r="O10914" t="s">
        <v>46570</v>
      </c>
      <c r="P10914">
        <v>0</v>
      </c>
      <c r="Q10914">
        <v>2</v>
      </c>
      <c r="R10914" t="s">
        <v>46578</v>
      </c>
      <c r="S10914" t="s">
        <v>46874</v>
      </c>
      <c r="T10914" t="s">
        <v>48212</v>
      </c>
      <c r="U10914" t="s">
        <v>57550</v>
      </c>
      <c r="V10914" t="s">
        <v>62803</v>
      </c>
      <c r="W10914" t="s">
        <v>43548</v>
      </c>
      <c r="X10914" t="s">
        <v>46579</v>
      </c>
    </row>
    <row r="10915" spans="1:24">
      <c r="A10915">
        <f>HYPERLINK("https://www.philgeps.gov.ph/GEPSNONPILOT/Tender/SplashBidNoticeAbstractUI.aspx?menuIndex=3&amp;refID=7052244&amp;Result=3","7052244")</f>
        <v>0</v>
      </c>
      <c r="B10915" t="s">
        <v>1439</v>
      </c>
      <c r="C10915" t="s">
        <v>13871</v>
      </c>
      <c r="D10915" t="s">
        <v>18807</v>
      </c>
      <c r="E10915" t="s">
        <v>28306</v>
      </c>
      <c r="F10915" t="s">
        <v>32664</v>
      </c>
      <c r="G10915" t="s">
        <v>32671</v>
      </c>
      <c r="H10915" t="s">
        <v>12635</v>
      </c>
      <c r="I10915" t="s">
        <v>32694</v>
      </c>
      <c r="J10915" t="s">
        <v>39298</v>
      </c>
      <c r="K10915" t="s">
        <v>42289</v>
      </c>
      <c r="M10915" t="s">
        <v>45829</v>
      </c>
      <c r="N10915" t="s">
        <v>46569</v>
      </c>
      <c r="O10915" t="s">
        <v>46570</v>
      </c>
      <c r="P10915">
        <v>0</v>
      </c>
      <c r="Q10915">
        <v>1</v>
      </c>
      <c r="R10915" t="s">
        <v>46578</v>
      </c>
      <c r="S10915" t="s">
        <v>46874</v>
      </c>
      <c r="T10915" t="s">
        <v>48448</v>
      </c>
      <c r="U10915" t="s">
        <v>57551</v>
      </c>
      <c r="W10915" t="s">
        <v>45829</v>
      </c>
      <c r="X10915" t="s">
        <v>46579</v>
      </c>
    </row>
    <row r="10916" spans="1:24">
      <c r="A10916">
        <f>HYPERLINK("https://www.philgeps.gov.ph/GEPSNONPILOT/Tender/SplashBidNoticeAbstractUI.aspx?menuIndex=3&amp;refID=7052239&amp;Result=3","7052239")</f>
        <v>0</v>
      </c>
      <c r="B10916" t="s">
        <v>29</v>
      </c>
      <c r="C10916" t="s">
        <v>13872</v>
      </c>
      <c r="D10916" t="s">
        <v>18781</v>
      </c>
      <c r="E10916" t="s">
        <v>28307</v>
      </c>
      <c r="F10916" t="s">
        <v>32664</v>
      </c>
      <c r="G10916" t="s">
        <v>32672</v>
      </c>
      <c r="H10916" t="s">
        <v>32683</v>
      </c>
      <c r="I10916" t="s">
        <v>10627</v>
      </c>
      <c r="J10916" t="s">
        <v>39299</v>
      </c>
      <c r="K10916" t="s">
        <v>42301</v>
      </c>
      <c r="M10916" t="s">
        <v>42591</v>
      </c>
      <c r="N10916" t="s">
        <v>46569</v>
      </c>
      <c r="O10916" t="s">
        <v>46570</v>
      </c>
      <c r="P10916">
        <v>0</v>
      </c>
      <c r="Q10916">
        <v>7</v>
      </c>
      <c r="R10916" t="s">
        <v>46578</v>
      </c>
      <c r="S10916" t="s">
        <v>46874</v>
      </c>
      <c r="T10916" t="s">
        <v>48453</v>
      </c>
      <c r="U10916" t="s">
        <v>57552</v>
      </c>
      <c r="V10916" t="s">
        <v>62804</v>
      </c>
      <c r="W10916" t="s">
        <v>42591</v>
      </c>
      <c r="X10916" t="s">
        <v>46579</v>
      </c>
    </row>
    <row r="10917" spans="1:24">
      <c r="A10917">
        <f>HYPERLINK("https://www.philgeps.gov.ph/GEPSNONPILOT/Tender/SplashBidNoticeAbstractUI.aspx?menuIndex=3&amp;refID=7052223&amp;Result=3","7052223")</f>
        <v>0</v>
      </c>
      <c r="B10917" t="s">
        <v>2874</v>
      </c>
      <c r="C10917" t="s">
        <v>13873</v>
      </c>
      <c r="D10917" t="s">
        <v>18785</v>
      </c>
      <c r="E10917" t="s">
        <v>28308</v>
      </c>
      <c r="F10917" t="s">
        <v>32664</v>
      </c>
      <c r="G10917" t="s">
        <v>32672</v>
      </c>
      <c r="H10917" t="s">
        <v>12635</v>
      </c>
      <c r="I10917" t="s">
        <v>6168</v>
      </c>
      <c r="J10917" t="s">
        <v>39300</v>
      </c>
      <c r="K10917" t="s">
        <v>42284</v>
      </c>
      <c r="M10917" t="s">
        <v>45723</v>
      </c>
      <c r="N10917" t="s">
        <v>46569</v>
      </c>
      <c r="O10917" t="s">
        <v>46570</v>
      </c>
      <c r="P10917">
        <v>0</v>
      </c>
      <c r="Q10917">
        <v>5</v>
      </c>
      <c r="R10917" t="s">
        <v>46578</v>
      </c>
      <c r="S10917" t="s">
        <v>46874</v>
      </c>
      <c r="T10917" t="s">
        <v>48448</v>
      </c>
      <c r="U10917" t="s">
        <v>57553</v>
      </c>
      <c r="V10917" t="s">
        <v>62805</v>
      </c>
      <c r="W10917" t="s">
        <v>45723</v>
      </c>
      <c r="X10917" t="s">
        <v>46579</v>
      </c>
    </row>
    <row r="10918" spans="1:24">
      <c r="A10918">
        <f>HYPERLINK("https://www.philgeps.gov.ph/GEPSNONPILOT/Tender/SplashBidNoticeAbstractUI.aspx?menuIndex=3&amp;refID=7052315&amp;Result=3","7052315")</f>
        <v>0</v>
      </c>
      <c r="B10918" t="s">
        <v>1656</v>
      </c>
      <c r="C10918" t="s">
        <v>13874</v>
      </c>
      <c r="D10918" t="s">
        <v>18805</v>
      </c>
      <c r="E10918" t="s">
        <v>19202</v>
      </c>
      <c r="F10918" t="s">
        <v>32664</v>
      </c>
      <c r="G10918" t="s">
        <v>32671</v>
      </c>
      <c r="H10918" t="s">
        <v>12635</v>
      </c>
      <c r="I10918" t="s">
        <v>5501</v>
      </c>
      <c r="J10918" t="s">
        <v>39301</v>
      </c>
      <c r="K10918" t="s">
        <v>42306</v>
      </c>
      <c r="M10918" t="s">
        <v>44341</v>
      </c>
      <c r="N10918" t="s">
        <v>46569</v>
      </c>
      <c r="O10918" t="s">
        <v>46570</v>
      </c>
      <c r="P10918">
        <v>0</v>
      </c>
      <c r="Q10918">
        <v>0</v>
      </c>
      <c r="R10918" t="s">
        <v>46578</v>
      </c>
      <c r="S10918" t="s">
        <v>46874</v>
      </c>
      <c r="T10918" t="s">
        <v>48215</v>
      </c>
      <c r="U10918" t="s">
        <v>57554</v>
      </c>
      <c r="W10918" t="s">
        <v>44341</v>
      </c>
      <c r="X10918" t="s">
        <v>46579</v>
      </c>
    </row>
    <row r="10919" spans="1:24">
      <c r="A10919">
        <f>HYPERLINK("https://www.philgeps.gov.ph/GEPSNONPILOT/Tender/SplashBidNoticeAbstractUI.aspx?menuIndex=3&amp;refID=7052218&amp;Result=3","7052218")</f>
        <v>0</v>
      </c>
      <c r="B10919" t="s">
        <v>2974</v>
      </c>
      <c r="C10919" t="s">
        <v>13875</v>
      </c>
      <c r="D10919" t="s">
        <v>18820</v>
      </c>
      <c r="E10919" t="s">
        <v>28309</v>
      </c>
      <c r="F10919" t="s">
        <v>32664</v>
      </c>
      <c r="G10919" t="s">
        <v>32672</v>
      </c>
      <c r="H10919" t="s">
        <v>32683</v>
      </c>
      <c r="I10919" t="s">
        <v>10627</v>
      </c>
      <c r="J10919" t="s">
        <v>39302</v>
      </c>
      <c r="K10919" t="s">
        <v>42308</v>
      </c>
      <c r="M10919" t="s">
        <v>45830</v>
      </c>
      <c r="N10919" t="s">
        <v>46569</v>
      </c>
      <c r="O10919" t="s">
        <v>46570</v>
      </c>
      <c r="P10919">
        <v>0</v>
      </c>
      <c r="Q10919">
        <v>0</v>
      </c>
      <c r="R10919" t="s">
        <v>46578</v>
      </c>
      <c r="S10919" t="s">
        <v>46874</v>
      </c>
      <c r="T10919" t="s">
        <v>48424</v>
      </c>
      <c r="U10919" t="s">
        <v>57555</v>
      </c>
      <c r="W10919" t="s">
        <v>45830</v>
      </c>
      <c r="X10919" t="s">
        <v>46579</v>
      </c>
    </row>
    <row r="10920" spans="1:24">
      <c r="A10920">
        <f>HYPERLINK("https://www.philgeps.gov.ph/GEPSNONPILOT/Tender/SplashBidNoticeAbstractUI.aspx?menuIndex=3&amp;refID=7052318&amp;Result=3","7052318")</f>
        <v>0</v>
      </c>
      <c r="B10920" t="s">
        <v>2484</v>
      </c>
      <c r="C10920" t="s">
        <v>13876</v>
      </c>
      <c r="D10920" t="s">
        <v>18822</v>
      </c>
      <c r="E10920" t="s">
        <v>28310</v>
      </c>
      <c r="F10920" t="s">
        <v>32664</v>
      </c>
      <c r="G10920" t="s">
        <v>32672</v>
      </c>
      <c r="H10920" t="s">
        <v>12635</v>
      </c>
      <c r="I10920" t="s">
        <v>4439</v>
      </c>
      <c r="J10920" t="s">
        <v>33175</v>
      </c>
      <c r="K10920" t="s">
        <v>42297</v>
      </c>
      <c r="M10920" t="s">
        <v>45284</v>
      </c>
      <c r="N10920" t="s">
        <v>46569</v>
      </c>
      <c r="O10920" t="s">
        <v>46570</v>
      </c>
      <c r="P10920">
        <v>0</v>
      </c>
      <c r="Q10920">
        <v>1</v>
      </c>
      <c r="R10920" t="s">
        <v>46578</v>
      </c>
      <c r="S10920" t="s">
        <v>46874</v>
      </c>
      <c r="T10920" t="s">
        <v>48283</v>
      </c>
      <c r="U10920" t="s">
        <v>56210</v>
      </c>
      <c r="W10920" t="s">
        <v>45284</v>
      </c>
      <c r="X10920" t="s">
        <v>46579</v>
      </c>
    </row>
    <row r="10921" spans="1:24">
      <c r="A10921">
        <f>HYPERLINK("https://www.philgeps.gov.ph/GEPSNONPILOT/Tender/SplashBidNoticeAbstractUI.aspx?menuIndex=3&amp;refID=7052305&amp;Result=3","7052305")</f>
        <v>0</v>
      </c>
      <c r="B10921" t="s">
        <v>2484</v>
      </c>
      <c r="C10921" t="s">
        <v>13877</v>
      </c>
      <c r="D10921" t="s">
        <v>18822</v>
      </c>
      <c r="E10921" t="s">
        <v>28311</v>
      </c>
      <c r="F10921" t="s">
        <v>32664</v>
      </c>
      <c r="G10921" t="s">
        <v>32672</v>
      </c>
      <c r="H10921" t="s">
        <v>12635</v>
      </c>
      <c r="I10921" t="s">
        <v>4439</v>
      </c>
      <c r="J10921" t="s">
        <v>33175</v>
      </c>
      <c r="K10921" t="s">
        <v>42297</v>
      </c>
      <c r="M10921" t="s">
        <v>45284</v>
      </c>
      <c r="N10921" t="s">
        <v>46569</v>
      </c>
      <c r="O10921" t="s">
        <v>46570</v>
      </c>
      <c r="P10921">
        <v>0</v>
      </c>
      <c r="Q10921">
        <v>0</v>
      </c>
      <c r="R10921" t="s">
        <v>46578</v>
      </c>
      <c r="S10921" t="s">
        <v>46874</v>
      </c>
      <c r="T10921" t="s">
        <v>48283</v>
      </c>
      <c r="U10921" t="s">
        <v>56210</v>
      </c>
      <c r="W10921" t="s">
        <v>45284</v>
      </c>
      <c r="X10921" t="s">
        <v>46579</v>
      </c>
    </row>
    <row r="10922" spans="1:24">
      <c r="A10922">
        <f>HYPERLINK("https://www.philgeps.gov.ph/GEPSNONPILOT/Tender/SplashBidNoticeAbstractUI.aspx?menuIndex=3&amp;refID=7052309&amp;Result=3","7052309")</f>
        <v>0</v>
      </c>
      <c r="B10922" t="s">
        <v>2975</v>
      </c>
      <c r="C10922" t="s">
        <v>13878</v>
      </c>
      <c r="E10922" t="s">
        <v>28312</v>
      </c>
      <c r="F10922" t="s">
        <v>32664</v>
      </c>
      <c r="G10922" t="s">
        <v>32671</v>
      </c>
      <c r="H10922" t="s">
        <v>12635</v>
      </c>
      <c r="I10922" t="s">
        <v>6223</v>
      </c>
      <c r="J10922" t="s">
        <v>39303</v>
      </c>
      <c r="K10922" t="s">
        <v>42283</v>
      </c>
      <c r="M10922" t="s">
        <v>45831</v>
      </c>
      <c r="N10922" t="s">
        <v>46569</v>
      </c>
      <c r="O10922" t="s">
        <v>46570</v>
      </c>
      <c r="P10922">
        <v>0</v>
      </c>
      <c r="Q10922">
        <v>1</v>
      </c>
      <c r="R10922" t="s">
        <v>46578</v>
      </c>
      <c r="S10922" t="s">
        <v>46874</v>
      </c>
      <c r="T10922" t="s">
        <v>48376</v>
      </c>
      <c r="U10922" t="s">
        <v>57556</v>
      </c>
      <c r="V10922" t="s">
        <v>62806</v>
      </c>
      <c r="W10922" t="s">
        <v>45831</v>
      </c>
      <c r="X10922" t="s">
        <v>46579</v>
      </c>
    </row>
    <row r="10923" spans="1:24">
      <c r="A10923">
        <f>HYPERLINK("https://www.philgeps.gov.ph/GEPSNONPILOT/Tender/SplashBidNoticeAbstractUI.aspx?menuIndex=3&amp;refID=7052299&amp;Result=3","7052299")</f>
        <v>0</v>
      </c>
      <c r="B10923" t="s">
        <v>2345</v>
      </c>
      <c r="C10923" t="s">
        <v>13879</v>
      </c>
      <c r="D10923" t="s">
        <v>18849</v>
      </c>
      <c r="E10923" t="s">
        <v>28313</v>
      </c>
      <c r="F10923" t="s">
        <v>32664</v>
      </c>
      <c r="G10923" t="s">
        <v>32672</v>
      </c>
      <c r="H10923" t="s">
        <v>12635</v>
      </c>
      <c r="I10923" t="s">
        <v>6118</v>
      </c>
      <c r="J10923" t="s">
        <v>39304</v>
      </c>
      <c r="K10923" t="s">
        <v>42512</v>
      </c>
      <c r="M10923" t="s">
        <v>45127</v>
      </c>
      <c r="N10923" t="s">
        <v>46569</v>
      </c>
      <c r="O10923" t="s">
        <v>46570</v>
      </c>
      <c r="P10923">
        <v>0</v>
      </c>
      <c r="Q10923">
        <v>0</v>
      </c>
      <c r="R10923" t="s">
        <v>46578</v>
      </c>
      <c r="S10923" t="s">
        <v>46874</v>
      </c>
      <c r="T10923" t="s">
        <v>48363</v>
      </c>
      <c r="U10923" t="s">
        <v>57557</v>
      </c>
      <c r="W10923" t="s">
        <v>45127</v>
      </c>
      <c r="X10923" t="s">
        <v>46579</v>
      </c>
    </row>
    <row r="10924" spans="1:24">
      <c r="A10924">
        <f>HYPERLINK("https://www.philgeps.gov.ph/GEPSNONPILOT/Tender/SplashBidNoticeAbstractUI.aspx?menuIndex=3&amp;refID=7052297&amp;Result=3","7052297")</f>
        <v>0</v>
      </c>
      <c r="B10924" t="s">
        <v>2958</v>
      </c>
      <c r="C10924" t="s">
        <v>13880</v>
      </c>
      <c r="D10924" t="s">
        <v>18792</v>
      </c>
      <c r="E10924" t="s">
        <v>19247</v>
      </c>
      <c r="F10924" t="s">
        <v>32664</v>
      </c>
      <c r="G10924" t="s">
        <v>32672</v>
      </c>
      <c r="H10924" t="s">
        <v>32683</v>
      </c>
      <c r="I10924" t="s">
        <v>10627</v>
      </c>
      <c r="J10924" t="s">
        <v>33051</v>
      </c>
      <c r="K10924" t="s">
        <v>42281</v>
      </c>
      <c r="M10924" t="s">
        <v>45812</v>
      </c>
      <c r="N10924" t="s">
        <v>46569</v>
      </c>
      <c r="O10924" t="s">
        <v>46570</v>
      </c>
      <c r="P10924">
        <v>0</v>
      </c>
      <c r="Q10924">
        <v>0</v>
      </c>
      <c r="R10924" t="s">
        <v>46578</v>
      </c>
      <c r="S10924" t="s">
        <v>46874</v>
      </c>
      <c r="T10924" t="s">
        <v>48673</v>
      </c>
      <c r="U10924" t="s">
        <v>57558</v>
      </c>
      <c r="W10924" t="s">
        <v>45812</v>
      </c>
      <c r="X10924" t="s">
        <v>46579</v>
      </c>
    </row>
    <row r="10925" spans="1:24">
      <c r="A10925">
        <f>HYPERLINK("https://www.philgeps.gov.ph/GEPSNONPILOT/Tender/SplashBidNoticeAbstractUI.aspx?menuIndex=3&amp;refID=7052289&amp;Result=3","7052289")</f>
        <v>0</v>
      </c>
      <c r="B10925" t="s">
        <v>2976</v>
      </c>
      <c r="C10925" t="s">
        <v>11538</v>
      </c>
      <c r="D10925" t="s">
        <v>18838</v>
      </c>
      <c r="E10925" t="s">
        <v>21832</v>
      </c>
      <c r="F10925" t="s">
        <v>32664</v>
      </c>
      <c r="G10925" t="s">
        <v>32672</v>
      </c>
      <c r="H10925" t="s">
        <v>12635</v>
      </c>
      <c r="I10925" t="s">
        <v>4439</v>
      </c>
      <c r="J10925" t="s">
        <v>32898</v>
      </c>
      <c r="K10925" t="s">
        <v>42297</v>
      </c>
      <c r="L10925" t="s">
        <v>2976</v>
      </c>
      <c r="M10925" t="s">
        <v>45832</v>
      </c>
      <c r="N10925" t="s">
        <v>46569</v>
      </c>
      <c r="O10925" t="s">
        <v>46570</v>
      </c>
      <c r="P10925">
        <v>0</v>
      </c>
      <c r="Q10925">
        <v>2</v>
      </c>
      <c r="R10925" t="s">
        <v>46578</v>
      </c>
      <c r="S10925" t="s">
        <v>46874</v>
      </c>
      <c r="T10925" t="s">
        <v>48376</v>
      </c>
      <c r="U10925" t="s">
        <v>57559</v>
      </c>
      <c r="W10925" t="s">
        <v>45832</v>
      </c>
      <c r="X10925" t="s">
        <v>46579</v>
      </c>
    </row>
    <row r="10926" spans="1:24">
      <c r="A10926">
        <f>HYPERLINK("https://www.philgeps.gov.ph/GEPSNONPILOT/Tender/SplashBidNoticeAbstractUI.aspx?menuIndex=3&amp;refID=7052312&amp;Result=3","7052312")</f>
        <v>0</v>
      </c>
      <c r="B10926" t="s">
        <v>2974</v>
      </c>
      <c r="C10926" t="s">
        <v>13881</v>
      </c>
      <c r="D10926" t="s">
        <v>18820</v>
      </c>
      <c r="E10926" t="s">
        <v>28314</v>
      </c>
      <c r="F10926" t="s">
        <v>32664</v>
      </c>
      <c r="G10926" t="s">
        <v>32672</v>
      </c>
      <c r="H10926" t="s">
        <v>12635</v>
      </c>
      <c r="I10926" t="s">
        <v>32688</v>
      </c>
      <c r="J10926" t="s">
        <v>32859</v>
      </c>
      <c r="K10926" t="s">
        <v>42303</v>
      </c>
      <c r="M10926" t="s">
        <v>45830</v>
      </c>
      <c r="N10926" t="s">
        <v>46569</v>
      </c>
      <c r="O10926" t="s">
        <v>46570</v>
      </c>
      <c r="P10926">
        <v>0</v>
      </c>
      <c r="Q10926">
        <v>0</v>
      </c>
      <c r="R10926" t="s">
        <v>46578</v>
      </c>
      <c r="S10926" t="s">
        <v>46874</v>
      </c>
      <c r="T10926" t="s">
        <v>48424</v>
      </c>
      <c r="U10926" t="s">
        <v>57560</v>
      </c>
      <c r="W10926" t="s">
        <v>45830</v>
      </c>
      <c r="X10926" t="s">
        <v>46579</v>
      </c>
    </row>
    <row r="10927" spans="1:24">
      <c r="A10927">
        <f>HYPERLINK("https://www.philgeps.gov.ph/GEPSNONPILOT/Tender/SplashBidNoticeAbstractUI.aspx?menuIndex=3&amp;refID=7052300&amp;Result=3","7052300")</f>
        <v>0</v>
      </c>
      <c r="B10927" t="s">
        <v>1439</v>
      </c>
      <c r="C10927" t="s">
        <v>13882</v>
      </c>
      <c r="D10927" t="s">
        <v>18807</v>
      </c>
      <c r="E10927" t="s">
        <v>28315</v>
      </c>
      <c r="F10927" t="s">
        <v>32664</v>
      </c>
      <c r="G10927" t="s">
        <v>32671</v>
      </c>
      <c r="H10927" t="s">
        <v>12635</v>
      </c>
      <c r="I10927" t="s">
        <v>4439</v>
      </c>
      <c r="J10927" t="s">
        <v>39305</v>
      </c>
      <c r="K10927" t="s">
        <v>42289</v>
      </c>
      <c r="M10927" t="s">
        <v>45829</v>
      </c>
      <c r="N10927" t="s">
        <v>46569</v>
      </c>
      <c r="O10927" t="s">
        <v>46570</v>
      </c>
      <c r="P10927">
        <v>0</v>
      </c>
      <c r="Q10927">
        <v>0</v>
      </c>
      <c r="R10927" t="s">
        <v>46578</v>
      </c>
      <c r="S10927" t="s">
        <v>46874</v>
      </c>
      <c r="T10927" t="s">
        <v>48448</v>
      </c>
      <c r="U10927" t="s">
        <v>57561</v>
      </c>
      <c r="W10927" t="s">
        <v>45829</v>
      </c>
      <c r="X10927" t="s">
        <v>46579</v>
      </c>
    </row>
    <row r="10928" spans="1:24">
      <c r="A10928">
        <f>HYPERLINK("https://www.philgeps.gov.ph/GEPSNONPILOT/Tender/SplashBidNoticeAbstractUI.aspx?menuIndex=3&amp;refID=7052287&amp;Result=3","7052287")</f>
        <v>0</v>
      </c>
      <c r="B10928" t="s">
        <v>2421</v>
      </c>
      <c r="C10928" t="s">
        <v>13883</v>
      </c>
      <c r="D10928" t="s">
        <v>18819</v>
      </c>
      <c r="E10928" t="s">
        <v>28316</v>
      </c>
      <c r="F10928" t="s">
        <v>32664</v>
      </c>
      <c r="G10928" t="s">
        <v>32671</v>
      </c>
      <c r="H10928" t="s">
        <v>12635</v>
      </c>
      <c r="I10928" t="s">
        <v>13883</v>
      </c>
      <c r="J10928" t="s">
        <v>39306</v>
      </c>
      <c r="K10928" t="s">
        <v>42283</v>
      </c>
      <c r="M10928" t="s">
        <v>45833</v>
      </c>
      <c r="N10928" t="s">
        <v>46569</v>
      </c>
      <c r="O10928" t="s">
        <v>46570</v>
      </c>
      <c r="P10928">
        <v>0</v>
      </c>
      <c r="Q10928">
        <v>5</v>
      </c>
      <c r="R10928" t="s">
        <v>46578</v>
      </c>
      <c r="S10928" t="s">
        <v>46874</v>
      </c>
      <c r="T10928" t="s">
        <v>48473</v>
      </c>
      <c r="U10928" t="s">
        <v>57562</v>
      </c>
      <c r="V10928" t="s">
        <v>62807</v>
      </c>
      <c r="W10928" t="s">
        <v>45833</v>
      </c>
      <c r="X10928" t="s">
        <v>46579</v>
      </c>
    </row>
    <row r="10929" spans="1:24">
      <c r="A10929">
        <f>HYPERLINK("https://www.philgeps.gov.ph/GEPSNONPILOT/Tender/SplashBidNoticeAbstractUI.aspx?menuIndex=3&amp;refID=7052285&amp;Result=3","7052285")</f>
        <v>0</v>
      </c>
      <c r="B10929" t="s">
        <v>29</v>
      </c>
      <c r="C10929" t="s">
        <v>13884</v>
      </c>
      <c r="D10929" t="s">
        <v>18781</v>
      </c>
      <c r="E10929" t="s">
        <v>28317</v>
      </c>
      <c r="F10929" t="s">
        <v>32664</v>
      </c>
      <c r="G10929" t="s">
        <v>32672</v>
      </c>
      <c r="H10929" t="s">
        <v>32683</v>
      </c>
      <c r="I10929" t="s">
        <v>10627</v>
      </c>
      <c r="J10929" t="s">
        <v>39307</v>
      </c>
      <c r="K10929" t="s">
        <v>42301</v>
      </c>
      <c r="M10929" t="s">
        <v>42591</v>
      </c>
      <c r="N10929" t="s">
        <v>46569</v>
      </c>
      <c r="O10929" t="s">
        <v>46570</v>
      </c>
      <c r="P10929">
        <v>0</v>
      </c>
      <c r="Q10929">
        <v>5</v>
      </c>
      <c r="R10929" t="s">
        <v>46578</v>
      </c>
      <c r="S10929" t="s">
        <v>46874</v>
      </c>
      <c r="T10929" t="s">
        <v>48453</v>
      </c>
      <c r="U10929" t="s">
        <v>57552</v>
      </c>
      <c r="V10929" t="s">
        <v>62804</v>
      </c>
      <c r="W10929" t="s">
        <v>42591</v>
      </c>
      <c r="X10929" t="s">
        <v>46579</v>
      </c>
    </row>
    <row r="10930" spans="1:24">
      <c r="A10930">
        <f>HYPERLINK("https://www.philgeps.gov.ph/GEPSNONPILOT/Tender/SplashBidNoticeAbstractUI.aspx?menuIndex=3&amp;refID=7052278&amp;Result=3","7052278")</f>
        <v>0</v>
      </c>
      <c r="B10930" t="s">
        <v>1994</v>
      </c>
      <c r="C10930" t="s">
        <v>13885</v>
      </c>
      <c r="D10930" t="s">
        <v>18784</v>
      </c>
      <c r="E10930" t="s">
        <v>28318</v>
      </c>
      <c r="F10930" t="s">
        <v>32664</v>
      </c>
      <c r="G10930" t="s">
        <v>32672</v>
      </c>
      <c r="H10930" t="s">
        <v>12635</v>
      </c>
      <c r="I10930" t="s">
        <v>32702</v>
      </c>
      <c r="J10930" t="s">
        <v>39308</v>
      </c>
      <c r="K10930" t="s">
        <v>42283</v>
      </c>
      <c r="M10930" t="s">
        <v>44729</v>
      </c>
      <c r="N10930" t="s">
        <v>46569</v>
      </c>
      <c r="O10930" t="s">
        <v>46570</v>
      </c>
      <c r="P10930">
        <v>0</v>
      </c>
      <c r="Q10930">
        <v>13</v>
      </c>
      <c r="R10930" t="s">
        <v>46578</v>
      </c>
      <c r="S10930" t="s">
        <v>46874</v>
      </c>
      <c r="T10930" t="s">
        <v>48238</v>
      </c>
      <c r="U10930" t="s">
        <v>57563</v>
      </c>
      <c r="W10930" t="s">
        <v>46084</v>
      </c>
      <c r="X10930" t="s">
        <v>46579</v>
      </c>
    </row>
    <row r="10931" spans="1:24">
      <c r="A10931">
        <f>HYPERLINK("https://www.philgeps.gov.ph/GEPSNONPILOT/Tender/SplashBidNoticeAbstractUI.aspx?menuIndex=3&amp;refID=7052304&amp;Result=3","7052304")</f>
        <v>0</v>
      </c>
      <c r="B10931" t="s">
        <v>2977</v>
      </c>
      <c r="C10931" t="s">
        <v>13886</v>
      </c>
      <c r="D10931" t="s">
        <v>18784</v>
      </c>
      <c r="E10931" t="s">
        <v>28319</v>
      </c>
      <c r="F10931" t="s">
        <v>32664</v>
      </c>
      <c r="G10931" t="s">
        <v>32674</v>
      </c>
      <c r="H10931" t="s">
        <v>12635</v>
      </c>
      <c r="I10931" t="s">
        <v>8730</v>
      </c>
      <c r="J10931" t="s">
        <v>34713</v>
      </c>
      <c r="K10931" t="s">
        <v>42284</v>
      </c>
      <c r="M10931" t="s">
        <v>45834</v>
      </c>
      <c r="N10931" t="s">
        <v>46569</v>
      </c>
      <c r="O10931" t="s">
        <v>46570</v>
      </c>
      <c r="P10931">
        <v>0</v>
      </c>
      <c r="Q10931">
        <v>8</v>
      </c>
      <c r="R10931" t="s">
        <v>46578</v>
      </c>
      <c r="S10931" t="s">
        <v>46874</v>
      </c>
      <c r="T10931" t="s">
        <v>48254</v>
      </c>
      <c r="U10931" t="s">
        <v>57564</v>
      </c>
      <c r="W10931" t="s">
        <v>45834</v>
      </c>
      <c r="X10931" t="s">
        <v>46579</v>
      </c>
    </row>
    <row r="10932" spans="1:24">
      <c r="A10932">
        <f>HYPERLINK("https://www.philgeps.gov.ph/GEPSNONPILOT/Tender/SplashBidNoticeAbstractUI.aspx?menuIndex=3&amp;refID=7052286&amp;Result=3","7052286")</f>
        <v>0</v>
      </c>
      <c r="B10932" t="s">
        <v>2484</v>
      </c>
      <c r="C10932" t="s">
        <v>13887</v>
      </c>
      <c r="D10932" t="s">
        <v>18822</v>
      </c>
      <c r="E10932" t="s">
        <v>28320</v>
      </c>
      <c r="F10932" t="s">
        <v>32664</v>
      </c>
      <c r="G10932" t="s">
        <v>32672</v>
      </c>
      <c r="H10932" t="s">
        <v>12635</v>
      </c>
      <c r="I10932" t="s">
        <v>4439</v>
      </c>
      <c r="J10932" t="s">
        <v>33175</v>
      </c>
      <c r="K10932" t="s">
        <v>42297</v>
      </c>
      <c r="M10932" t="s">
        <v>45284</v>
      </c>
      <c r="N10932" t="s">
        <v>46569</v>
      </c>
      <c r="O10932" t="s">
        <v>46570</v>
      </c>
      <c r="P10932">
        <v>0</v>
      </c>
      <c r="Q10932">
        <v>1</v>
      </c>
      <c r="R10932" t="s">
        <v>46578</v>
      </c>
      <c r="S10932" t="s">
        <v>46874</v>
      </c>
      <c r="T10932" t="s">
        <v>48283</v>
      </c>
      <c r="U10932" t="s">
        <v>56210</v>
      </c>
      <c r="W10932" t="s">
        <v>45284</v>
      </c>
      <c r="X10932" t="s">
        <v>46579</v>
      </c>
    </row>
    <row r="10933" spans="1:24">
      <c r="A10933">
        <f>HYPERLINK("https://www.philgeps.gov.ph/GEPSNONPILOT/Tender/SplashBidNoticeAbstractUI.aspx?menuIndex=3&amp;refID=7052383&amp;Result=3","7052383")</f>
        <v>0</v>
      </c>
      <c r="B10933" t="s">
        <v>2484</v>
      </c>
      <c r="C10933" t="s">
        <v>13888</v>
      </c>
      <c r="D10933" t="s">
        <v>18822</v>
      </c>
      <c r="E10933" t="s">
        <v>28321</v>
      </c>
      <c r="F10933" t="s">
        <v>32664</v>
      </c>
      <c r="G10933" t="s">
        <v>32672</v>
      </c>
      <c r="H10933" t="s">
        <v>12635</v>
      </c>
      <c r="I10933" t="s">
        <v>4439</v>
      </c>
      <c r="J10933" t="s">
        <v>33175</v>
      </c>
      <c r="K10933" t="s">
        <v>42297</v>
      </c>
      <c r="M10933" t="s">
        <v>45284</v>
      </c>
      <c r="N10933" t="s">
        <v>46569</v>
      </c>
      <c r="O10933" t="s">
        <v>46570</v>
      </c>
      <c r="P10933">
        <v>0</v>
      </c>
      <c r="Q10933">
        <v>0</v>
      </c>
      <c r="R10933" t="s">
        <v>46578</v>
      </c>
      <c r="S10933" t="s">
        <v>46874</v>
      </c>
      <c r="T10933" t="s">
        <v>48283</v>
      </c>
      <c r="U10933" t="s">
        <v>57565</v>
      </c>
      <c r="W10933" t="s">
        <v>45284</v>
      </c>
      <c r="X10933" t="s">
        <v>46579</v>
      </c>
    </row>
    <row r="10934" spans="1:24">
      <c r="A10934">
        <f>HYPERLINK("https://www.philgeps.gov.ph/GEPSNONPILOT/Tender/SplashBidNoticeAbstractUI.aspx?menuIndex=3&amp;refID=7052303&amp;Result=3","7052303")</f>
        <v>0</v>
      </c>
      <c r="B10934" t="s">
        <v>2558</v>
      </c>
      <c r="C10934" t="s">
        <v>13889</v>
      </c>
      <c r="D10934" t="s">
        <v>18846</v>
      </c>
      <c r="E10934" t="s">
        <v>28322</v>
      </c>
      <c r="F10934" t="s">
        <v>32664</v>
      </c>
      <c r="G10934" t="s">
        <v>32672</v>
      </c>
      <c r="H10934" t="s">
        <v>32681</v>
      </c>
      <c r="I10934" t="s">
        <v>32681</v>
      </c>
      <c r="J10934" t="s">
        <v>39309</v>
      </c>
      <c r="K10934" t="s">
        <v>42303</v>
      </c>
      <c r="M10934" t="s">
        <v>45369</v>
      </c>
      <c r="N10934" t="s">
        <v>46569</v>
      </c>
      <c r="O10934" t="s">
        <v>46570</v>
      </c>
      <c r="P10934">
        <v>0</v>
      </c>
      <c r="Q10934">
        <v>2</v>
      </c>
      <c r="R10934" t="s">
        <v>46578</v>
      </c>
      <c r="S10934" t="s">
        <v>46874</v>
      </c>
      <c r="T10934" t="s">
        <v>48313</v>
      </c>
      <c r="U10934" t="s">
        <v>57566</v>
      </c>
      <c r="W10934" t="s">
        <v>45369</v>
      </c>
      <c r="X10934" t="s">
        <v>46579</v>
      </c>
    </row>
    <row r="10935" spans="1:24">
      <c r="A10935">
        <f>HYPERLINK("https://www.philgeps.gov.ph/GEPSNONPILOT/Tender/SplashBidNoticeAbstractUI.aspx?menuIndex=3&amp;refID=7052313&amp;Result=3","7052313")</f>
        <v>0</v>
      </c>
      <c r="B10935" t="s">
        <v>2558</v>
      </c>
      <c r="C10935" t="s">
        <v>13890</v>
      </c>
      <c r="D10935" t="s">
        <v>18846</v>
      </c>
      <c r="E10935" t="s">
        <v>28323</v>
      </c>
      <c r="F10935" t="s">
        <v>32664</v>
      </c>
      <c r="G10935" t="s">
        <v>32672</v>
      </c>
      <c r="H10935" t="s">
        <v>32681</v>
      </c>
      <c r="I10935" t="s">
        <v>10627</v>
      </c>
      <c r="J10935" t="s">
        <v>39310</v>
      </c>
      <c r="K10935" t="s">
        <v>42398</v>
      </c>
      <c r="M10935" t="s">
        <v>45369</v>
      </c>
      <c r="N10935" t="s">
        <v>46569</v>
      </c>
      <c r="O10935" t="s">
        <v>46570</v>
      </c>
      <c r="P10935">
        <v>0</v>
      </c>
      <c r="Q10935">
        <v>1</v>
      </c>
      <c r="R10935" t="s">
        <v>46578</v>
      </c>
      <c r="S10935" t="s">
        <v>46874</v>
      </c>
      <c r="T10935" t="s">
        <v>48313</v>
      </c>
      <c r="U10935" t="s">
        <v>57567</v>
      </c>
      <c r="W10935" t="s">
        <v>45369</v>
      </c>
      <c r="X10935" t="s">
        <v>46579</v>
      </c>
    </row>
    <row r="10936" spans="1:24">
      <c r="A10936">
        <f>HYPERLINK("https://www.philgeps.gov.ph/GEPSNONPILOT/Tender/SplashBidNoticeAbstractUI.aspx?menuIndex=3&amp;refID=7052380&amp;Result=3","7052380")</f>
        <v>0</v>
      </c>
      <c r="B10936" t="s">
        <v>2484</v>
      </c>
      <c r="C10936" t="s">
        <v>13891</v>
      </c>
      <c r="D10936" t="s">
        <v>18822</v>
      </c>
      <c r="E10936" t="s">
        <v>28324</v>
      </c>
      <c r="F10936" t="s">
        <v>32664</v>
      </c>
      <c r="G10936" t="s">
        <v>32672</v>
      </c>
      <c r="H10936" t="s">
        <v>12635</v>
      </c>
      <c r="I10936" t="s">
        <v>4439</v>
      </c>
      <c r="J10936" t="s">
        <v>33175</v>
      </c>
      <c r="K10936" t="s">
        <v>42297</v>
      </c>
      <c r="M10936" t="s">
        <v>45284</v>
      </c>
      <c r="N10936" t="s">
        <v>46569</v>
      </c>
      <c r="O10936" t="s">
        <v>46570</v>
      </c>
      <c r="P10936">
        <v>0</v>
      </c>
      <c r="Q10936">
        <v>0</v>
      </c>
      <c r="R10936" t="s">
        <v>46578</v>
      </c>
      <c r="S10936" t="s">
        <v>46874</v>
      </c>
      <c r="T10936" t="s">
        <v>48283</v>
      </c>
      <c r="U10936" t="s">
        <v>56210</v>
      </c>
      <c r="W10936" t="s">
        <v>45284</v>
      </c>
      <c r="X10936" t="s">
        <v>46579</v>
      </c>
    </row>
    <row r="10937" spans="1:24">
      <c r="A10937">
        <f>HYPERLINK("https://www.philgeps.gov.ph/GEPSNONPILOT/Tender/SplashBidNoticeAbstractUI.aspx?menuIndex=3&amp;refID=7052391&amp;Result=3","7052391")</f>
        <v>0</v>
      </c>
      <c r="B10937" t="s">
        <v>2484</v>
      </c>
      <c r="C10937" t="s">
        <v>13892</v>
      </c>
      <c r="D10937" t="s">
        <v>18822</v>
      </c>
      <c r="E10937" t="s">
        <v>28325</v>
      </c>
      <c r="F10937" t="s">
        <v>32664</v>
      </c>
      <c r="G10937" t="s">
        <v>32672</v>
      </c>
      <c r="H10937" t="s">
        <v>12635</v>
      </c>
      <c r="I10937" t="s">
        <v>4439</v>
      </c>
      <c r="J10937" t="s">
        <v>33175</v>
      </c>
      <c r="K10937" t="s">
        <v>42297</v>
      </c>
      <c r="M10937" t="s">
        <v>45284</v>
      </c>
      <c r="N10937" t="s">
        <v>46569</v>
      </c>
      <c r="O10937" t="s">
        <v>46570</v>
      </c>
      <c r="P10937">
        <v>0</v>
      </c>
      <c r="Q10937">
        <v>1</v>
      </c>
      <c r="R10937" t="s">
        <v>46578</v>
      </c>
      <c r="S10937" t="s">
        <v>46874</v>
      </c>
      <c r="T10937" t="s">
        <v>48283</v>
      </c>
      <c r="U10937" t="s">
        <v>56210</v>
      </c>
      <c r="W10937" t="s">
        <v>45284</v>
      </c>
      <c r="X10937" t="s">
        <v>46579</v>
      </c>
    </row>
    <row r="10938" spans="1:24">
      <c r="A10938">
        <f>HYPERLINK("https://www.philgeps.gov.ph/GEPSNONPILOT/Tender/SplashBidNoticeAbstractUI.aspx?menuIndex=3&amp;refID=7052279&amp;Result=3","7052279")</f>
        <v>0</v>
      </c>
      <c r="B10938" t="s">
        <v>1439</v>
      </c>
      <c r="C10938" t="s">
        <v>13893</v>
      </c>
      <c r="D10938" t="s">
        <v>18807</v>
      </c>
      <c r="E10938" t="s">
        <v>28326</v>
      </c>
      <c r="F10938" t="s">
        <v>32664</v>
      </c>
      <c r="G10938" t="s">
        <v>32671</v>
      </c>
      <c r="H10938" t="s">
        <v>12635</v>
      </c>
      <c r="I10938" t="s">
        <v>4439</v>
      </c>
      <c r="J10938" t="s">
        <v>39311</v>
      </c>
      <c r="K10938" t="s">
        <v>42289</v>
      </c>
      <c r="M10938" t="s">
        <v>45829</v>
      </c>
      <c r="N10938" t="s">
        <v>46569</v>
      </c>
      <c r="O10938" t="s">
        <v>46570</v>
      </c>
      <c r="Q10938">
        <v>0</v>
      </c>
      <c r="R10938" t="s">
        <v>46578</v>
      </c>
      <c r="S10938" t="s">
        <v>46910</v>
      </c>
      <c r="T10938" t="s">
        <v>48448</v>
      </c>
      <c r="U10938" t="s">
        <v>57568</v>
      </c>
      <c r="W10938" t="s">
        <v>45829</v>
      </c>
      <c r="X10938" t="s">
        <v>46579</v>
      </c>
    </row>
    <row r="10939" spans="1:24">
      <c r="A10939">
        <f>HYPERLINK("https://www.philgeps.gov.ph/GEPSNONPILOT/Tender/SplashBidNoticeAbstractUI.aspx?menuIndex=3&amp;refID=7052384&amp;Result=3","7052384")</f>
        <v>0</v>
      </c>
      <c r="B10939" t="s">
        <v>2978</v>
      </c>
      <c r="C10939" t="s">
        <v>13894</v>
      </c>
      <c r="D10939" t="s">
        <v>18856</v>
      </c>
      <c r="E10939" t="s">
        <v>22276</v>
      </c>
      <c r="F10939" t="s">
        <v>32664</v>
      </c>
      <c r="G10939" t="s">
        <v>32672</v>
      </c>
      <c r="H10939" t="s">
        <v>32683</v>
      </c>
      <c r="I10939" t="s">
        <v>10627</v>
      </c>
      <c r="J10939" t="s">
        <v>32962</v>
      </c>
      <c r="K10939" t="s">
        <v>42298</v>
      </c>
      <c r="M10939" t="s">
        <v>45835</v>
      </c>
      <c r="N10939" t="s">
        <v>46569</v>
      </c>
      <c r="O10939" t="s">
        <v>46570</v>
      </c>
      <c r="P10939">
        <v>0</v>
      </c>
      <c r="Q10939">
        <v>1</v>
      </c>
      <c r="R10939" t="s">
        <v>46578</v>
      </c>
      <c r="S10939" t="s">
        <v>46874</v>
      </c>
      <c r="T10939" t="s">
        <v>48648</v>
      </c>
      <c r="U10939" t="s">
        <v>57569</v>
      </c>
      <c r="W10939" t="s">
        <v>45835</v>
      </c>
      <c r="X10939" t="s">
        <v>46579</v>
      </c>
    </row>
    <row r="10940" spans="1:24">
      <c r="A10940">
        <f>HYPERLINK("https://www.philgeps.gov.ph/GEPSNONPILOT/Tender/SplashBidNoticeAbstractUI.aspx?menuIndex=3&amp;refID=7052160&amp;Result=3","7052160")</f>
        <v>0</v>
      </c>
      <c r="B10940" t="s">
        <v>2757</v>
      </c>
      <c r="C10940" t="s">
        <v>13895</v>
      </c>
      <c r="D10940" t="s">
        <v>18805</v>
      </c>
      <c r="E10940" t="s">
        <v>28327</v>
      </c>
      <c r="F10940" t="s">
        <v>32664</v>
      </c>
      <c r="G10940" t="s">
        <v>32674</v>
      </c>
      <c r="H10940" t="s">
        <v>12635</v>
      </c>
      <c r="I10940" t="s">
        <v>4439</v>
      </c>
      <c r="J10940" t="s">
        <v>39312</v>
      </c>
      <c r="K10940" t="s">
        <v>42289</v>
      </c>
      <c r="M10940" t="s">
        <v>45592</v>
      </c>
      <c r="N10940" t="s">
        <v>46569</v>
      </c>
      <c r="O10940" t="s">
        <v>46570</v>
      </c>
      <c r="P10940">
        <v>0</v>
      </c>
      <c r="Q10940">
        <v>0</v>
      </c>
      <c r="R10940" t="s">
        <v>46578</v>
      </c>
      <c r="S10940" t="s">
        <v>46874</v>
      </c>
      <c r="T10940" t="s">
        <v>48473</v>
      </c>
      <c r="U10940" t="s">
        <v>57570</v>
      </c>
      <c r="W10940" t="s">
        <v>45592</v>
      </c>
      <c r="X10940" t="s">
        <v>46579</v>
      </c>
    </row>
    <row r="10941" spans="1:24">
      <c r="A10941">
        <f>HYPERLINK("https://www.philgeps.gov.ph/GEPSNONPILOT/Tender/SplashBidNoticeAbstractUI.aspx?menuIndex=3&amp;refID=7052362&amp;Result=3","7052362")</f>
        <v>0</v>
      </c>
      <c r="B10941" t="s">
        <v>2484</v>
      </c>
      <c r="C10941" t="s">
        <v>13896</v>
      </c>
      <c r="D10941" t="s">
        <v>18822</v>
      </c>
      <c r="E10941" t="s">
        <v>28328</v>
      </c>
      <c r="F10941" t="s">
        <v>32664</v>
      </c>
      <c r="G10941" t="s">
        <v>32672</v>
      </c>
      <c r="H10941" t="s">
        <v>12635</v>
      </c>
      <c r="I10941" t="s">
        <v>4439</v>
      </c>
      <c r="J10941" t="s">
        <v>33175</v>
      </c>
      <c r="K10941" t="s">
        <v>42297</v>
      </c>
      <c r="M10941" t="s">
        <v>45284</v>
      </c>
      <c r="N10941" t="s">
        <v>46569</v>
      </c>
      <c r="O10941" t="s">
        <v>46570</v>
      </c>
      <c r="P10941">
        <v>0</v>
      </c>
      <c r="Q10941">
        <v>0</v>
      </c>
      <c r="R10941" t="s">
        <v>46578</v>
      </c>
      <c r="S10941" t="s">
        <v>46874</v>
      </c>
      <c r="T10941" t="s">
        <v>48283</v>
      </c>
      <c r="U10941" t="s">
        <v>56210</v>
      </c>
      <c r="W10941" t="s">
        <v>45284</v>
      </c>
      <c r="X10941" t="s">
        <v>46579</v>
      </c>
    </row>
    <row r="10942" spans="1:24">
      <c r="A10942">
        <f>HYPERLINK("https://www.philgeps.gov.ph/GEPSNONPILOT/Tender/SplashBidNoticeAbstractUI.aspx?menuIndex=3&amp;refID=7052255&amp;Result=3","7052255")</f>
        <v>0</v>
      </c>
      <c r="B10942" t="s">
        <v>1439</v>
      </c>
      <c r="C10942" t="s">
        <v>13897</v>
      </c>
      <c r="D10942" t="s">
        <v>18807</v>
      </c>
      <c r="E10942" t="s">
        <v>28329</v>
      </c>
      <c r="F10942" t="s">
        <v>32664</v>
      </c>
      <c r="G10942" t="s">
        <v>32671</v>
      </c>
      <c r="H10942" t="s">
        <v>12635</v>
      </c>
      <c r="I10942" t="s">
        <v>32694</v>
      </c>
      <c r="J10942" t="s">
        <v>39313</v>
      </c>
      <c r="K10942" t="s">
        <v>42289</v>
      </c>
      <c r="M10942" t="s">
        <v>45829</v>
      </c>
      <c r="N10942" t="s">
        <v>46569</v>
      </c>
      <c r="O10942" t="s">
        <v>46570</v>
      </c>
      <c r="P10942">
        <v>0</v>
      </c>
      <c r="Q10942">
        <v>1</v>
      </c>
      <c r="R10942" t="s">
        <v>46578</v>
      </c>
      <c r="S10942" t="s">
        <v>46874</v>
      </c>
      <c r="T10942" t="s">
        <v>48448</v>
      </c>
      <c r="U10942" t="s">
        <v>57571</v>
      </c>
      <c r="W10942" t="s">
        <v>45829</v>
      </c>
      <c r="X10942" t="s">
        <v>46579</v>
      </c>
    </row>
    <row r="10943" spans="1:24">
      <c r="A10943">
        <f>HYPERLINK("https://www.philgeps.gov.ph/GEPSNONPILOT/Tender/SplashBidNoticeAbstractUI.aspx?menuIndex=3&amp;refID=7052359&amp;Result=3","7052359")</f>
        <v>0</v>
      </c>
      <c r="B10943" t="s">
        <v>2484</v>
      </c>
      <c r="C10943" t="s">
        <v>13898</v>
      </c>
      <c r="D10943" t="s">
        <v>18822</v>
      </c>
      <c r="E10943" t="s">
        <v>28330</v>
      </c>
      <c r="F10943" t="s">
        <v>32664</v>
      </c>
      <c r="G10943" t="s">
        <v>32672</v>
      </c>
      <c r="H10943" t="s">
        <v>12635</v>
      </c>
      <c r="I10943" t="s">
        <v>4439</v>
      </c>
      <c r="J10943" t="s">
        <v>33175</v>
      </c>
      <c r="K10943" t="s">
        <v>42297</v>
      </c>
      <c r="M10943" t="s">
        <v>45284</v>
      </c>
      <c r="N10943" t="s">
        <v>46569</v>
      </c>
      <c r="O10943" t="s">
        <v>46570</v>
      </c>
      <c r="P10943">
        <v>0</v>
      </c>
      <c r="Q10943">
        <v>1</v>
      </c>
      <c r="R10943" t="s">
        <v>46578</v>
      </c>
      <c r="S10943" t="s">
        <v>46874</v>
      </c>
      <c r="T10943" t="s">
        <v>48283</v>
      </c>
      <c r="U10943" t="s">
        <v>56210</v>
      </c>
      <c r="W10943" t="s">
        <v>45284</v>
      </c>
      <c r="X10943" t="s">
        <v>46579</v>
      </c>
    </row>
    <row r="10944" spans="1:24">
      <c r="A10944">
        <f>HYPERLINK("https://www.philgeps.gov.ph/GEPSNONPILOT/Tender/SplashBidNoticeAbstractUI.aspx?menuIndex=3&amp;refID=7052351&amp;Result=3","7052351")</f>
        <v>0</v>
      </c>
      <c r="B10944" t="s">
        <v>2484</v>
      </c>
      <c r="C10944" t="s">
        <v>13899</v>
      </c>
      <c r="D10944" t="s">
        <v>18822</v>
      </c>
      <c r="E10944" t="s">
        <v>22202</v>
      </c>
      <c r="F10944" t="s">
        <v>32664</v>
      </c>
      <c r="G10944" t="s">
        <v>32672</v>
      </c>
      <c r="H10944" t="s">
        <v>12635</v>
      </c>
      <c r="I10944" t="s">
        <v>4439</v>
      </c>
      <c r="J10944" t="s">
        <v>33175</v>
      </c>
      <c r="K10944" t="s">
        <v>42297</v>
      </c>
      <c r="M10944" t="s">
        <v>45284</v>
      </c>
      <c r="N10944" t="s">
        <v>46569</v>
      </c>
      <c r="O10944" t="s">
        <v>46570</v>
      </c>
      <c r="P10944">
        <v>0</v>
      </c>
      <c r="Q10944">
        <v>0</v>
      </c>
      <c r="R10944" t="s">
        <v>46578</v>
      </c>
      <c r="S10944" t="s">
        <v>46874</v>
      </c>
      <c r="T10944" t="s">
        <v>48283</v>
      </c>
      <c r="U10944" t="s">
        <v>57565</v>
      </c>
      <c r="W10944" t="s">
        <v>45284</v>
      </c>
      <c r="X10944" t="s">
        <v>46579</v>
      </c>
    </row>
    <row r="10945" spans="1:24">
      <c r="A10945">
        <f>HYPERLINK("https://www.philgeps.gov.ph/GEPSNONPILOT/Tender/SplashBidNoticeAbstractUI.aspx?menuIndex=3&amp;refID=7052428&amp;Result=3","7052428")</f>
        <v>0</v>
      </c>
      <c r="B10945" t="s">
        <v>851</v>
      </c>
      <c r="C10945" t="s">
        <v>13900</v>
      </c>
      <c r="D10945" t="s">
        <v>18829</v>
      </c>
      <c r="E10945" t="s">
        <v>28331</v>
      </c>
      <c r="F10945" t="s">
        <v>32664</v>
      </c>
      <c r="G10945" t="s">
        <v>32672</v>
      </c>
      <c r="H10945" t="s">
        <v>32683</v>
      </c>
      <c r="I10945" t="s">
        <v>10627</v>
      </c>
      <c r="J10945" t="s">
        <v>39314</v>
      </c>
      <c r="K10945" t="s">
        <v>42513</v>
      </c>
      <c r="M10945" t="s">
        <v>43447</v>
      </c>
      <c r="N10945" t="s">
        <v>46569</v>
      </c>
      <c r="O10945" t="s">
        <v>46570</v>
      </c>
      <c r="P10945">
        <v>0</v>
      </c>
      <c r="Q10945">
        <v>2</v>
      </c>
      <c r="R10945" t="s">
        <v>46578</v>
      </c>
      <c r="S10945" t="s">
        <v>46874</v>
      </c>
      <c r="T10945" t="s">
        <v>48313</v>
      </c>
      <c r="U10945" t="s">
        <v>57572</v>
      </c>
      <c r="V10945" t="s">
        <v>62808</v>
      </c>
      <c r="W10945" t="s">
        <v>43447</v>
      </c>
      <c r="X10945" t="s">
        <v>46579</v>
      </c>
    </row>
    <row r="10946" spans="1:24">
      <c r="A10946">
        <f>HYPERLINK("https://www.philgeps.gov.ph/GEPSNONPILOT/Tender/SplashBidNoticeAbstractUI.aspx?menuIndex=3&amp;refID=7052426&amp;Result=3","7052426")</f>
        <v>0</v>
      </c>
      <c r="B10946" t="s">
        <v>2484</v>
      </c>
      <c r="C10946" t="s">
        <v>13901</v>
      </c>
      <c r="D10946" t="s">
        <v>18822</v>
      </c>
      <c r="E10946" t="s">
        <v>28332</v>
      </c>
      <c r="F10946" t="s">
        <v>32664</v>
      </c>
      <c r="G10946" t="s">
        <v>32672</v>
      </c>
      <c r="H10946" t="s">
        <v>12635</v>
      </c>
      <c r="I10946" t="s">
        <v>4439</v>
      </c>
      <c r="J10946" t="s">
        <v>33175</v>
      </c>
      <c r="K10946" t="s">
        <v>42297</v>
      </c>
      <c r="M10946" t="s">
        <v>45284</v>
      </c>
      <c r="N10946" t="s">
        <v>46569</v>
      </c>
      <c r="O10946" t="s">
        <v>46570</v>
      </c>
      <c r="P10946">
        <v>0</v>
      </c>
      <c r="Q10946">
        <v>0</v>
      </c>
      <c r="R10946" t="s">
        <v>46578</v>
      </c>
      <c r="S10946" t="s">
        <v>46874</v>
      </c>
      <c r="T10946" t="s">
        <v>48283</v>
      </c>
      <c r="U10946" t="s">
        <v>56210</v>
      </c>
      <c r="W10946" t="s">
        <v>45284</v>
      </c>
      <c r="X10946" t="s">
        <v>46579</v>
      </c>
    </row>
    <row r="10947" spans="1:24">
      <c r="A10947">
        <f>HYPERLINK("https://www.philgeps.gov.ph/GEPSNONPILOT/Tender/SplashBidNoticeAbstractUI.aspx?menuIndex=3&amp;refID=7052424&amp;Result=3","7052424")</f>
        <v>0</v>
      </c>
      <c r="B10947" t="s">
        <v>2484</v>
      </c>
      <c r="C10947" t="s">
        <v>13902</v>
      </c>
      <c r="D10947" t="s">
        <v>18822</v>
      </c>
      <c r="E10947" t="s">
        <v>28333</v>
      </c>
      <c r="F10947" t="s">
        <v>32664</v>
      </c>
      <c r="G10947" t="s">
        <v>32672</v>
      </c>
      <c r="H10947" t="s">
        <v>12635</v>
      </c>
      <c r="I10947" t="s">
        <v>4439</v>
      </c>
      <c r="J10947" t="s">
        <v>33175</v>
      </c>
      <c r="K10947" t="s">
        <v>42297</v>
      </c>
      <c r="M10947" t="s">
        <v>45284</v>
      </c>
      <c r="N10947" t="s">
        <v>46569</v>
      </c>
      <c r="O10947" t="s">
        <v>46570</v>
      </c>
      <c r="P10947">
        <v>0</v>
      </c>
      <c r="Q10947">
        <v>1</v>
      </c>
      <c r="R10947" t="s">
        <v>46578</v>
      </c>
      <c r="S10947" t="s">
        <v>46874</v>
      </c>
      <c r="T10947" t="s">
        <v>48283</v>
      </c>
      <c r="U10947" t="s">
        <v>56210</v>
      </c>
      <c r="W10947" t="s">
        <v>45284</v>
      </c>
      <c r="X10947" t="s">
        <v>46579</v>
      </c>
    </row>
    <row r="10948" spans="1:24">
      <c r="A10948">
        <f>HYPERLINK("https://www.philgeps.gov.ph/GEPSNONPILOT/Tender/SplashBidNoticeAbstractUI.aspx?menuIndex=3&amp;refID=7052422&amp;Result=3","7052422")</f>
        <v>0</v>
      </c>
      <c r="B10948" t="s">
        <v>2979</v>
      </c>
      <c r="C10948" t="s">
        <v>13903</v>
      </c>
      <c r="D10948" t="s">
        <v>18852</v>
      </c>
      <c r="E10948" t="s">
        <v>19380</v>
      </c>
      <c r="F10948" t="s">
        <v>32664</v>
      </c>
      <c r="G10948" t="s">
        <v>32672</v>
      </c>
      <c r="H10948" t="s">
        <v>12635</v>
      </c>
      <c r="I10948" t="s">
        <v>4439</v>
      </c>
      <c r="J10948" t="s">
        <v>39315</v>
      </c>
      <c r="K10948" t="s">
        <v>42289</v>
      </c>
      <c r="M10948" t="s">
        <v>45836</v>
      </c>
      <c r="N10948" t="s">
        <v>46569</v>
      </c>
      <c r="O10948" t="s">
        <v>46570</v>
      </c>
      <c r="P10948">
        <v>0</v>
      </c>
      <c r="Q10948">
        <v>1</v>
      </c>
      <c r="R10948" t="s">
        <v>46578</v>
      </c>
      <c r="S10948" t="s">
        <v>46874</v>
      </c>
      <c r="T10948" t="s">
        <v>48287</v>
      </c>
      <c r="U10948" t="s">
        <v>57573</v>
      </c>
      <c r="W10948" t="s">
        <v>45836</v>
      </c>
      <c r="X10948" t="s">
        <v>46579</v>
      </c>
    </row>
    <row r="10949" spans="1:24">
      <c r="A10949">
        <f>HYPERLINK("https://www.philgeps.gov.ph/GEPSNONPILOT/Tender/SplashBidNoticeAbstractUI.aspx?menuIndex=3&amp;refID=7052416&amp;Result=3","7052416")</f>
        <v>0</v>
      </c>
      <c r="B10949" t="s">
        <v>2978</v>
      </c>
      <c r="C10949" t="s">
        <v>13904</v>
      </c>
      <c r="D10949" t="s">
        <v>18856</v>
      </c>
      <c r="E10949" t="s">
        <v>28334</v>
      </c>
      <c r="F10949" t="s">
        <v>32664</v>
      </c>
      <c r="G10949" t="s">
        <v>32672</v>
      </c>
      <c r="H10949" t="s">
        <v>32683</v>
      </c>
      <c r="I10949" t="s">
        <v>10627</v>
      </c>
      <c r="J10949" t="s">
        <v>39316</v>
      </c>
      <c r="K10949" t="s">
        <v>42311</v>
      </c>
      <c r="M10949" t="s">
        <v>45835</v>
      </c>
      <c r="N10949" t="s">
        <v>46569</v>
      </c>
      <c r="O10949" t="s">
        <v>46570</v>
      </c>
      <c r="P10949">
        <v>0</v>
      </c>
      <c r="Q10949">
        <v>2</v>
      </c>
      <c r="R10949" t="s">
        <v>46578</v>
      </c>
      <c r="S10949" t="s">
        <v>46874</v>
      </c>
      <c r="T10949" t="s">
        <v>48648</v>
      </c>
      <c r="U10949" t="s">
        <v>57569</v>
      </c>
      <c r="W10949" t="s">
        <v>45835</v>
      </c>
      <c r="X10949" t="s">
        <v>46579</v>
      </c>
    </row>
    <row r="10950" spans="1:24">
      <c r="A10950">
        <f>HYPERLINK("https://www.philgeps.gov.ph/GEPSNONPILOT/Tender/SplashBidNoticeAbstractUI.aspx?menuIndex=3&amp;refID=7052429&amp;Result=3","7052429")</f>
        <v>0</v>
      </c>
      <c r="B10950" t="s">
        <v>2980</v>
      </c>
      <c r="C10950" t="s">
        <v>12466</v>
      </c>
      <c r="D10950" t="s">
        <v>18789</v>
      </c>
      <c r="E10950" t="s">
        <v>20330</v>
      </c>
      <c r="F10950" t="s">
        <v>32664</v>
      </c>
      <c r="G10950" t="s">
        <v>32674</v>
      </c>
      <c r="H10950" t="s">
        <v>12635</v>
      </c>
      <c r="I10950" t="s">
        <v>14442</v>
      </c>
      <c r="J10950" t="s">
        <v>39317</v>
      </c>
      <c r="K10950" t="s">
        <v>42284</v>
      </c>
      <c r="M10950" t="s">
        <v>45837</v>
      </c>
      <c r="N10950" t="s">
        <v>46569</v>
      </c>
      <c r="O10950" t="s">
        <v>46570</v>
      </c>
      <c r="P10950">
        <v>0</v>
      </c>
      <c r="Q10950">
        <v>2</v>
      </c>
      <c r="R10950" t="s">
        <v>46578</v>
      </c>
      <c r="S10950" t="s">
        <v>46874</v>
      </c>
      <c r="T10950" t="s">
        <v>48287</v>
      </c>
      <c r="U10950" t="s">
        <v>57574</v>
      </c>
      <c r="W10950" t="s">
        <v>45837</v>
      </c>
      <c r="X10950" t="s">
        <v>46579</v>
      </c>
    </row>
    <row r="10951" spans="1:24">
      <c r="A10951">
        <f>HYPERLINK("https://www.philgeps.gov.ph/GEPSNONPILOT/Tender/SplashBidNoticeAbstractUI.aspx?menuIndex=3&amp;refID=7052420&amp;Result=3","7052420")</f>
        <v>0</v>
      </c>
      <c r="B10951" t="s">
        <v>945</v>
      </c>
      <c r="C10951" t="s">
        <v>13905</v>
      </c>
      <c r="D10951" t="s">
        <v>18837</v>
      </c>
      <c r="E10951" t="s">
        <v>28335</v>
      </c>
      <c r="F10951" t="s">
        <v>32664</v>
      </c>
      <c r="G10951" t="s">
        <v>32672</v>
      </c>
      <c r="H10951" t="s">
        <v>32683</v>
      </c>
      <c r="I10951" t="s">
        <v>10627</v>
      </c>
      <c r="J10951" t="s">
        <v>39318</v>
      </c>
      <c r="K10951" t="s">
        <v>42314</v>
      </c>
      <c r="M10951" t="s">
        <v>43551</v>
      </c>
      <c r="N10951" t="s">
        <v>46569</v>
      </c>
      <c r="O10951" t="s">
        <v>46570</v>
      </c>
      <c r="P10951">
        <v>0</v>
      </c>
      <c r="Q10951">
        <v>0</v>
      </c>
      <c r="R10951" t="s">
        <v>46578</v>
      </c>
      <c r="S10951" t="s">
        <v>46874</v>
      </c>
      <c r="T10951" t="s">
        <v>48212</v>
      </c>
      <c r="U10951" t="s">
        <v>57575</v>
      </c>
      <c r="W10951" t="s">
        <v>43551</v>
      </c>
      <c r="X10951" t="s">
        <v>46579</v>
      </c>
    </row>
    <row r="10952" spans="1:24">
      <c r="A10952">
        <f>HYPERLINK("https://www.philgeps.gov.ph/GEPSNONPILOT/Tender/SplashBidNoticeAbstractUI.aspx?menuIndex=3&amp;refID=7052415&amp;Result=3","7052415")</f>
        <v>0</v>
      </c>
      <c r="B10952" t="s">
        <v>2484</v>
      </c>
      <c r="C10952" t="s">
        <v>13906</v>
      </c>
      <c r="D10952" t="s">
        <v>18822</v>
      </c>
      <c r="E10952" t="s">
        <v>28336</v>
      </c>
      <c r="F10952" t="s">
        <v>32664</v>
      </c>
      <c r="G10952" t="s">
        <v>32672</v>
      </c>
      <c r="H10952" t="s">
        <v>12635</v>
      </c>
      <c r="I10952" t="s">
        <v>4439</v>
      </c>
      <c r="J10952" t="s">
        <v>33175</v>
      </c>
      <c r="K10952" t="s">
        <v>42297</v>
      </c>
      <c r="M10952" t="s">
        <v>45284</v>
      </c>
      <c r="N10952" t="s">
        <v>46569</v>
      </c>
      <c r="O10952" t="s">
        <v>46570</v>
      </c>
      <c r="P10952">
        <v>0</v>
      </c>
      <c r="Q10952">
        <v>0</v>
      </c>
      <c r="R10952" t="s">
        <v>46578</v>
      </c>
      <c r="S10952" t="s">
        <v>46874</v>
      </c>
      <c r="T10952" t="s">
        <v>48283</v>
      </c>
      <c r="U10952" t="s">
        <v>56210</v>
      </c>
      <c r="W10952" t="s">
        <v>45284</v>
      </c>
      <c r="X10952" t="s">
        <v>46579</v>
      </c>
    </row>
    <row r="10953" spans="1:24">
      <c r="A10953">
        <f>HYPERLINK("https://www.philgeps.gov.ph/GEPSNONPILOT/Tender/SplashBidNoticeAbstractUI.aspx?menuIndex=3&amp;refID=7052410&amp;Result=3","7052410")</f>
        <v>0</v>
      </c>
      <c r="B10953" t="s">
        <v>851</v>
      </c>
      <c r="C10953" t="s">
        <v>13907</v>
      </c>
      <c r="D10953" t="s">
        <v>18829</v>
      </c>
      <c r="E10953" t="s">
        <v>28337</v>
      </c>
      <c r="F10953" t="s">
        <v>32664</v>
      </c>
      <c r="G10953" t="s">
        <v>32672</v>
      </c>
      <c r="H10953" t="s">
        <v>32683</v>
      </c>
      <c r="I10953" t="s">
        <v>10627</v>
      </c>
      <c r="J10953" t="s">
        <v>39319</v>
      </c>
      <c r="K10953" t="s">
        <v>42429</v>
      </c>
      <c r="M10953" t="s">
        <v>43447</v>
      </c>
      <c r="N10953" t="s">
        <v>46569</v>
      </c>
      <c r="O10953" t="s">
        <v>46570</v>
      </c>
      <c r="P10953">
        <v>0</v>
      </c>
      <c r="Q10953">
        <v>6</v>
      </c>
      <c r="R10953" t="s">
        <v>46578</v>
      </c>
      <c r="S10953" t="s">
        <v>46874</v>
      </c>
      <c r="T10953" t="s">
        <v>48313</v>
      </c>
      <c r="U10953" t="s">
        <v>57572</v>
      </c>
      <c r="V10953" t="s">
        <v>62809</v>
      </c>
      <c r="W10953" t="s">
        <v>43447</v>
      </c>
      <c r="X10953" t="s">
        <v>46579</v>
      </c>
    </row>
    <row r="10954" spans="1:24">
      <c r="A10954">
        <f>HYPERLINK("https://www.philgeps.gov.ph/GEPSNONPILOT/Tender/SplashBidNoticeAbstractUI.aspx?menuIndex=3&amp;refID=7052407&amp;Result=3","7052407")</f>
        <v>0</v>
      </c>
      <c r="B10954" t="s">
        <v>2484</v>
      </c>
      <c r="C10954" t="s">
        <v>13908</v>
      </c>
      <c r="D10954" t="s">
        <v>18822</v>
      </c>
      <c r="E10954" t="s">
        <v>21056</v>
      </c>
      <c r="F10954" t="s">
        <v>32664</v>
      </c>
      <c r="G10954" t="s">
        <v>32672</v>
      </c>
      <c r="H10954" t="s">
        <v>12635</v>
      </c>
      <c r="I10954" t="s">
        <v>4439</v>
      </c>
      <c r="J10954" t="s">
        <v>33175</v>
      </c>
      <c r="K10954" t="s">
        <v>42297</v>
      </c>
      <c r="M10954" t="s">
        <v>45284</v>
      </c>
      <c r="N10954" t="s">
        <v>46569</v>
      </c>
      <c r="O10954" t="s">
        <v>46570</v>
      </c>
      <c r="P10954">
        <v>0</v>
      </c>
      <c r="Q10954">
        <v>0</v>
      </c>
      <c r="R10954" t="s">
        <v>46578</v>
      </c>
      <c r="S10954" t="s">
        <v>46874</v>
      </c>
      <c r="T10954" t="s">
        <v>48228</v>
      </c>
      <c r="U10954" t="s">
        <v>56210</v>
      </c>
      <c r="W10954" t="s">
        <v>45284</v>
      </c>
      <c r="X10954" t="s">
        <v>46579</v>
      </c>
    </row>
    <row r="10955" spans="1:24">
      <c r="A10955">
        <f>HYPERLINK("https://www.philgeps.gov.ph/GEPSNONPILOT/Tender/SplashBidNoticeAbstractUI.aspx?menuIndex=3&amp;refID=7052405&amp;Result=3","7052405")</f>
        <v>0</v>
      </c>
      <c r="B10955" t="s">
        <v>2978</v>
      </c>
      <c r="C10955" t="s">
        <v>13909</v>
      </c>
      <c r="D10955" t="s">
        <v>18856</v>
      </c>
      <c r="E10955" t="s">
        <v>25095</v>
      </c>
      <c r="F10955" t="s">
        <v>32664</v>
      </c>
      <c r="G10955" t="s">
        <v>32672</v>
      </c>
      <c r="H10955" t="s">
        <v>32683</v>
      </c>
      <c r="I10955" t="s">
        <v>10627</v>
      </c>
      <c r="J10955" t="s">
        <v>39320</v>
      </c>
      <c r="K10955" t="s">
        <v>42369</v>
      </c>
      <c r="M10955" t="s">
        <v>45835</v>
      </c>
      <c r="N10955" t="s">
        <v>46569</v>
      </c>
      <c r="O10955" t="s">
        <v>46570</v>
      </c>
      <c r="P10955">
        <v>0</v>
      </c>
      <c r="Q10955">
        <v>2</v>
      </c>
      <c r="R10955" t="s">
        <v>46578</v>
      </c>
      <c r="S10955" t="s">
        <v>46874</v>
      </c>
      <c r="T10955" t="s">
        <v>48648</v>
      </c>
      <c r="U10955" t="s">
        <v>57576</v>
      </c>
      <c r="W10955" t="s">
        <v>45835</v>
      </c>
      <c r="X10955" t="s">
        <v>46579</v>
      </c>
    </row>
    <row r="10956" spans="1:24">
      <c r="A10956">
        <f>HYPERLINK("https://www.philgeps.gov.ph/GEPSNONPILOT/Tender/SplashBidNoticeAbstractUI.aspx?menuIndex=3&amp;refID=7052419&amp;Result=3","7052419")</f>
        <v>0</v>
      </c>
      <c r="B10956" t="s">
        <v>2484</v>
      </c>
      <c r="C10956" t="s">
        <v>13910</v>
      </c>
      <c r="D10956" t="s">
        <v>18822</v>
      </c>
      <c r="E10956" t="s">
        <v>28338</v>
      </c>
      <c r="F10956" t="s">
        <v>32664</v>
      </c>
      <c r="G10956" t="s">
        <v>32672</v>
      </c>
      <c r="H10956" t="s">
        <v>12635</v>
      </c>
      <c r="I10956" t="s">
        <v>4439</v>
      </c>
      <c r="J10956" t="s">
        <v>33175</v>
      </c>
      <c r="K10956" t="s">
        <v>42297</v>
      </c>
      <c r="M10956" t="s">
        <v>45284</v>
      </c>
      <c r="N10956" t="s">
        <v>46569</v>
      </c>
      <c r="O10956" t="s">
        <v>46570</v>
      </c>
      <c r="P10956">
        <v>0</v>
      </c>
      <c r="Q10956">
        <v>1</v>
      </c>
      <c r="R10956" t="s">
        <v>46578</v>
      </c>
      <c r="S10956" t="s">
        <v>46874</v>
      </c>
      <c r="T10956" t="s">
        <v>48283</v>
      </c>
      <c r="U10956" t="s">
        <v>56210</v>
      </c>
      <c r="W10956" t="s">
        <v>45284</v>
      </c>
      <c r="X10956" t="s">
        <v>46579</v>
      </c>
    </row>
    <row r="10957" spans="1:24">
      <c r="A10957">
        <f>HYPERLINK("https://www.philgeps.gov.ph/GEPSNONPILOT/Tender/SplashBidNoticeAbstractUI.aspx?menuIndex=3&amp;refID=7052404&amp;Result=3","7052404")</f>
        <v>0</v>
      </c>
      <c r="B10957" t="s">
        <v>2484</v>
      </c>
      <c r="C10957" t="s">
        <v>13911</v>
      </c>
      <c r="D10957" t="s">
        <v>18822</v>
      </c>
      <c r="E10957" t="s">
        <v>28339</v>
      </c>
      <c r="F10957" t="s">
        <v>32664</v>
      </c>
      <c r="G10957" t="s">
        <v>32672</v>
      </c>
      <c r="H10957" t="s">
        <v>12635</v>
      </c>
      <c r="I10957" t="s">
        <v>4439</v>
      </c>
      <c r="J10957" t="s">
        <v>33175</v>
      </c>
      <c r="K10957" t="s">
        <v>42297</v>
      </c>
      <c r="M10957" t="s">
        <v>45284</v>
      </c>
      <c r="N10957" t="s">
        <v>46569</v>
      </c>
      <c r="O10957" t="s">
        <v>46570</v>
      </c>
      <c r="P10957">
        <v>0</v>
      </c>
      <c r="Q10957">
        <v>1</v>
      </c>
      <c r="R10957" t="s">
        <v>46578</v>
      </c>
      <c r="S10957" t="s">
        <v>46874</v>
      </c>
      <c r="T10957" t="s">
        <v>48283</v>
      </c>
      <c r="U10957" t="s">
        <v>56210</v>
      </c>
      <c r="W10957" t="s">
        <v>45284</v>
      </c>
      <c r="X10957" t="s">
        <v>46579</v>
      </c>
    </row>
    <row r="10958" spans="1:24">
      <c r="A10958">
        <f>HYPERLINK("https://www.philgeps.gov.ph/GEPSNONPILOT/Tender/SplashBidNoticeAbstractUI.aspx?menuIndex=3&amp;refID=7052400&amp;Result=3","7052400")</f>
        <v>0</v>
      </c>
      <c r="B10958" t="s">
        <v>2484</v>
      </c>
      <c r="C10958" t="s">
        <v>13912</v>
      </c>
      <c r="D10958" t="s">
        <v>18822</v>
      </c>
      <c r="E10958" t="s">
        <v>28340</v>
      </c>
      <c r="F10958" t="s">
        <v>32664</v>
      </c>
      <c r="G10958" t="s">
        <v>32672</v>
      </c>
      <c r="H10958" t="s">
        <v>12635</v>
      </c>
      <c r="I10958" t="s">
        <v>4439</v>
      </c>
      <c r="J10958" t="s">
        <v>33175</v>
      </c>
      <c r="K10958" t="s">
        <v>42297</v>
      </c>
      <c r="M10958" t="s">
        <v>45284</v>
      </c>
      <c r="N10958" t="s">
        <v>46569</v>
      </c>
      <c r="O10958" t="s">
        <v>46570</v>
      </c>
      <c r="P10958">
        <v>0</v>
      </c>
      <c r="Q10958">
        <v>1</v>
      </c>
      <c r="R10958" t="s">
        <v>46578</v>
      </c>
      <c r="S10958" t="s">
        <v>46874</v>
      </c>
      <c r="T10958" t="s">
        <v>48283</v>
      </c>
      <c r="U10958" t="s">
        <v>57577</v>
      </c>
      <c r="W10958" t="s">
        <v>45284</v>
      </c>
      <c r="X10958" t="s">
        <v>46579</v>
      </c>
    </row>
    <row r="10959" spans="1:24">
      <c r="A10959">
        <f>HYPERLINK("https://www.philgeps.gov.ph/GEPSNONPILOT/Tender/SplashBidNoticeAbstractUI.aspx?menuIndex=3&amp;refID=7052398&amp;Result=3","7052398")</f>
        <v>0</v>
      </c>
      <c r="B10959" t="s">
        <v>2978</v>
      </c>
      <c r="C10959" t="s">
        <v>13913</v>
      </c>
      <c r="D10959" t="s">
        <v>18856</v>
      </c>
      <c r="E10959" t="s">
        <v>28341</v>
      </c>
      <c r="F10959" t="s">
        <v>32664</v>
      </c>
      <c r="G10959" t="s">
        <v>32672</v>
      </c>
      <c r="H10959" t="s">
        <v>32683</v>
      </c>
      <c r="I10959" t="s">
        <v>10627</v>
      </c>
      <c r="J10959" t="s">
        <v>39321</v>
      </c>
      <c r="K10959" t="s">
        <v>42290</v>
      </c>
      <c r="M10959" t="s">
        <v>45835</v>
      </c>
      <c r="N10959" t="s">
        <v>46569</v>
      </c>
      <c r="O10959" t="s">
        <v>46570</v>
      </c>
      <c r="P10959">
        <v>0</v>
      </c>
      <c r="Q10959">
        <v>2</v>
      </c>
      <c r="R10959" t="s">
        <v>46578</v>
      </c>
      <c r="S10959" t="s">
        <v>46874</v>
      </c>
      <c r="T10959" t="s">
        <v>48648</v>
      </c>
      <c r="U10959" t="s">
        <v>57569</v>
      </c>
      <c r="W10959" t="s">
        <v>45835</v>
      </c>
      <c r="X10959" t="s">
        <v>46579</v>
      </c>
    </row>
    <row r="10960" spans="1:24">
      <c r="A10960">
        <f>HYPERLINK("https://www.philgeps.gov.ph/GEPSNONPILOT/Tender/SplashBidNoticeAbstractUI.aspx?menuIndex=3&amp;refID=7052369&amp;Result=3","7052369")</f>
        <v>0</v>
      </c>
      <c r="B10960" t="s">
        <v>2981</v>
      </c>
      <c r="C10960" t="s">
        <v>13914</v>
      </c>
      <c r="D10960" t="s">
        <v>18808</v>
      </c>
      <c r="E10960" t="s">
        <v>28342</v>
      </c>
      <c r="F10960" t="s">
        <v>32664</v>
      </c>
      <c r="G10960" t="s">
        <v>32672</v>
      </c>
      <c r="H10960" t="s">
        <v>32683</v>
      </c>
      <c r="I10960" t="s">
        <v>10627</v>
      </c>
      <c r="J10960" t="s">
        <v>33127</v>
      </c>
      <c r="K10960" t="s">
        <v>42345</v>
      </c>
      <c r="M10960" t="s">
        <v>45838</v>
      </c>
      <c r="N10960" t="s">
        <v>46569</v>
      </c>
      <c r="O10960" t="s">
        <v>46570</v>
      </c>
      <c r="Q10960">
        <v>1</v>
      </c>
      <c r="R10960" t="s">
        <v>46578</v>
      </c>
      <c r="S10960" t="s">
        <v>46911</v>
      </c>
      <c r="T10960" t="s">
        <v>48313</v>
      </c>
      <c r="U10960" t="s">
        <v>57578</v>
      </c>
      <c r="V10960" t="s">
        <v>62810</v>
      </c>
      <c r="W10960" t="s">
        <v>45838</v>
      </c>
      <c r="X10960" t="s">
        <v>46579</v>
      </c>
    </row>
    <row r="10961" spans="1:24">
      <c r="A10961">
        <f>HYPERLINK("https://www.philgeps.gov.ph/GEPSNONPILOT/Tender/SplashBidNoticeAbstractUI.aspx?menuIndex=3&amp;refID=7052377&amp;Result=3","7052377")</f>
        <v>0</v>
      </c>
      <c r="B10961" t="s">
        <v>2982</v>
      </c>
      <c r="C10961" t="s">
        <v>13915</v>
      </c>
      <c r="D10961" t="s">
        <v>18827</v>
      </c>
      <c r="E10961" t="s">
        <v>28343</v>
      </c>
      <c r="F10961" t="s">
        <v>32664</v>
      </c>
      <c r="G10961" t="s">
        <v>32672</v>
      </c>
      <c r="H10961" t="s">
        <v>12635</v>
      </c>
      <c r="I10961" t="s">
        <v>32716</v>
      </c>
      <c r="J10961" t="s">
        <v>33128</v>
      </c>
      <c r="K10961" t="s">
        <v>42289</v>
      </c>
      <c r="M10961" t="s">
        <v>45839</v>
      </c>
      <c r="N10961" t="s">
        <v>46569</v>
      </c>
      <c r="O10961" t="s">
        <v>46570</v>
      </c>
      <c r="P10961">
        <v>0</v>
      </c>
      <c r="Q10961">
        <v>1</v>
      </c>
      <c r="R10961" t="s">
        <v>46578</v>
      </c>
      <c r="S10961" t="s">
        <v>46874</v>
      </c>
      <c r="T10961" t="s">
        <v>48562</v>
      </c>
      <c r="U10961" t="s">
        <v>57579</v>
      </c>
      <c r="W10961" t="s">
        <v>45839</v>
      </c>
      <c r="X10961" t="s">
        <v>46579</v>
      </c>
    </row>
    <row r="10962" spans="1:24">
      <c r="A10962">
        <f>HYPERLINK("https://www.philgeps.gov.ph/GEPSNONPILOT/Tender/SplashBidNoticeAbstractUI.aspx?menuIndex=3&amp;refID=7052477&amp;Result=3","7052477")</f>
        <v>0</v>
      </c>
      <c r="B10962" t="s">
        <v>1194</v>
      </c>
      <c r="C10962" t="s">
        <v>13916</v>
      </c>
      <c r="D10962" t="s">
        <v>18782</v>
      </c>
      <c r="E10962" t="s">
        <v>28344</v>
      </c>
      <c r="F10962" t="s">
        <v>32664</v>
      </c>
      <c r="G10962" t="s">
        <v>32672</v>
      </c>
      <c r="H10962" t="s">
        <v>32683</v>
      </c>
      <c r="I10962" t="s">
        <v>10627</v>
      </c>
      <c r="J10962" t="s">
        <v>32837</v>
      </c>
      <c r="K10962" t="s">
        <v>42305</v>
      </c>
      <c r="M10962" t="s">
        <v>45840</v>
      </c>
      <c r="N10962" t="s">
        <v>46569</v>
      </c>
      <c r="O10962" t="s">
        <v>46570</v>
      </c>
      <c r="Q10962">
        <v>1</v>
      </c>
      <c r="R10962" t="s">
        <v>46578</v>
      </c>
      <c r="S10962" t="s">
        <v>46912</v>
      </c>
      <c r="T10962" t="s">
        <v>48212</v>
      </c>
      <c r="U10962" t="s">
        <v>57580</v>
      </c>
      <c r="W10962" t="s">
        <v>45840</v>
      </c>
      <c r="X10962" t="s">
        <v>46579</v>
      </c>
    </row>
    <row r="10963" spans="1:24">
      <c r="A10963">
        <f>HYPERLINK("https://www.philgeps.gov.ph/GEPSNONPILOT/Tender/SplashBidNoticeAbstractUI.aspx?menuIndex=3&amp;refID=7052473&amp;Result=3","7052473")</f>
        <v>0</v>
      </c>
      <c r="B10963" t="s">
        <v>1194</v>
      </c>
      <c r="C10963" t="s">
        <v>13917</v>
      </c>
      <c r="D10963" t="s">
        <v>18782</v>
      </c>
      <c r="E10963" t="s">
        <v>28345</v>
      </c>
      <c r="F10963" t="s">
        <v>32664</v>
      </c>
      <c r="G10963" t="s">
        <v>32672</v>
      </c>
      <c r="H10963" t="s">
        <v>32683</v>
      </c>
      <c r="I10963" t="s">
        <v>10627</v>
      </c>
      <c r="J10963" t="s">
        <v>33267</v>
      </c>
      <c r="K10963" t="s">
        <v>42359</v>
      </c>
      <c r="M10963" t="s">
        <v>45840</v>
      </c>
      <c r="N10963" t="s">
        <v>46569</v>
      </c>
      <c r="O10963" t="s">
        <v>46570</v>
      </c>
      <c r="Q10963">
        <v>1</v>
      </c>
      <c r="R10963" t="s">
        <v>46578</v>
      </c>
      <c r="S10963" t="s">
        <v>46913</v>
      </c>
      <c r="T10963" t="s">
        <v>48212</v>
      </c>
      <c r="U10963" t="s">
        <v>57581</v>
      </c>
      <c r="W10963" t="s">
        <v>45840</v>
      </c>
      <c r="X10963" t="s">
        <v>46579</v>
      </c>
    </row>
    <row r="10964" spans="1:24">
      <c r="A10964">
        <f>HYPERLINK("https://www.philgeps.gov.ph/GEPSNONPILOT/Tender/SplashBidNoticeAbstractUI.aspx?menuIndex=3&amp;refID=7052418&amp;Result=3","7052418")</f>
        <v>0</v>
      </c>
      <c r="B10964" t="s">
        <v>851</v>
      </c>
      <c r="C10964" t="s">
        <v>13918</v>
      </c>
      <c r="D10964" t="s">
        <v>18829</v>
      </c>
      <c r="E10964" t="s">
        <v>28346</v>
      </c>
      <c r="F10964" t="s">
        <v>32664</v>
      </c>
      <c r="G10964" t="s">
        <v>32672</v>
      </c>
      <c r="H10964" t="s">
        <v>32683</v>
      </c>
      <c r="I10964" t="s">
        <v>10627</v>
      </c>
      <c r="J10964" t="s">
        <v>39322</v>
      </c>
      <c r="K10964" t="s">
        <v>42513</v>
      </c>
      <c r="M10964" t="s">
        <v>43447</v>
      </c>
      <c r="N10964" t="s">
        <v>46569</v>
      </c>
      <c r="O10964" t="s">
        <v>46570</v>
      </c>
      <c r="P10964">
        <v>0</v>
      </c>
      <c r="Q10964">
        <v>2</v>
      </c>
      <c r="R10964" t="s">
        <v>46578</v>
      </c>
      <c r="S10964" t="s">
        <v>46874</v>
      </c>
      <c r="T10964" t="s">
        <v>48313</v>
      </c>
      <c r="U10964" t="s">
        <v>57572</v>
      </c>
      <c r="V10964" t="s">
        <v>62811</v>
      </c>
      <c r="W10964" t="s">
        <v>43447</v>
      </c>
      <c r="X10964" t="s">
        <v>46579</v>
      </c>
    </row>
    <row r="10965" spans="1:24">
      <c r="A10965">
        <f>HYPERLINK("https://www.philgeps.gov.ph/GEPSNONPILOT/Tender/SplashBidNoticeAbstractUI.aspx?menuIndex=3&amp;refID=7052402&amp;Result=3","7052402")</f>
        <v>0</v>
      </c>
      <c r="B10965" t="s">
        <v>2484</v>
      </c>
      <c r="C10965" t="s">
        <v>13919</v>
      </c>
      <c r="D10965" t="s">
        <v>18822</v>
      </c>
      <c r="E10965" t="s">
        <v>28347</v>
      </c>
      <c r="F10965" t="s">
        <v>32664</v>
      </c>
      <c r="G10965" t="s">
        <v>32672</v>
      </c>
      <c r="H10965" t="s">
        <v>12635</v>
      </c>
      <c r="I10965" t="s">
        <v>4439</v>
      </c>
      <c r="J10965" t="s">
        <v>33175</v>
      </c>
      <c r="K10965" t="s">
        <v>42297</v>
      </c>
      <c r="M10965" t="s">
        <v>45284</v>
      </c>
      <c r="N10965" t="s">
        <v>46569</v>
      </c>
      <c r="O10965" t="s">
        <v>46570</v>
      </c>
      <c r="P10965">
        <v>0</v>
      </c>
      <c r="Q10965">
        <v>1</v>
      </c>
      <c r="R10965" t="s">
        <v>46578</v>
      </c>
      <c r="S10965" t="s">
        <v>46874</v>
      </c>
      <c r="T10965" t="s">
        <v>48283</v>
      </c>
      <c r="U10965" t="s">
        <v>56210</v>
      </c>
      <c r="W10965" t="s">
        <v>45284</v>
      </c>
      <c r="X10965" t="s">
        <v>46579</v>
      </c>
    </row>
    <row r="10966" spans="1:24">
      <c r="A10966">
        <f>HYPERLINK("https://www.philgeps.gov.ph/GEPSNONPILOT/Tender/SplashBidNoticeAbstractUI.aspx?menuIndex=3&amp;refID=7052466&amp;Result=3","7052466")</f>
        <v>0</v>
      </c>
      <c r="B10966" t="s">
        <v>2398</v>
      </c>
      <c r="C10966" t="s">
        <v>13920</v>
      </c>
      <c r="D10966" t="s">
        <v>18781</v>
      </c>
      <c r="E10966" t="s">
        <v>28348</v>
      </c>
      <c r="F10966" t="s">
        <v>32664</v>
      </c>
      <c r="G10966" t="s">
        <v>32672</v>
      </c>
      <c r="H10966" t="s">
        <v>32683</v>
      </c>
      <c r="I10966" t="s">
        <v>10627</v>
      </c>
      <c r="J10966" t="s">
        <v>34006</v>
      </c>
      <c r="K10966" t="s">
        <v>42298</v>
      </c>
      <c r="M10966" t="s">
        <v>45188</v>
      </c>
      <c r="N10966" t="s">
        <v>46569</v>
      </c>
      <c r="O10966" t="s">
        <v>46570</v>
      </c>
      <c r="P10966">
        <v>0</v>
      </c>
      <c r="Q10966">
        <v>0</v>
      </c>
      <c r="R10966" t="s">
        <v>46578</v>
      </c>
      <c r="S10966" t="s">
        <v>46874</v>
      </c>
      <c r="T10966" t="s">
        <v>48227</v>
      </c>
      <c r="U10966" t="s">
        <v>57582</v>
      </c>
      <c r="W10966" t="s">
        <v>45188</v>
      </c>
      <c r="X10966" t="s">
        <v>46579</v>
      </c>
    </row>
    <row r="10967" spans="1:24">
      <c r="A10967">
        <f>HYPERLINK("https://www.philgeps.gov.ph/GEPSNONPILOT/Tender/SplashBidNoticeAbstractUI.aspx?menuIndex=3&amp;refID=7052479&amp;Result=3","7052479")</f>
        <v>0</v>
      </c>
      <c r="B10967" t="s">
        <v>2983</v>
      </c>
      <c r="C10967" t="s">
        <v>13921</v>
      </c>
      <c r="D10967" t="s">
        <v>18825</v>
      </c>
      <c r="E10967" t="s">
        <v>28349</v>
      </c>
      <c r="F10967" t="s">
        <v>32664</v>
      </c>
      <c r="G10967" t="s">
        <v>32672</v>
      </c>
      <c r="H10967" t="s">
        <v>32683</v>
      </c>
      <c r="I10967" t="s">
        <v>10627</v>
      </c>
      <c r="J10967" t="s">
        <v>32943</v>
      </c>
      <c r="K10967" t="s">
        <v>42467</v>
      </c>
      <c r="M10967" t="s">
        <v>45841</v>
      </c>
      <c r="N10967" t="s">
        <v>46569</v>
      </c>
      <c r="O10967" t="s">
        <v>46570</v>
      </c>
      <c r="P10967">
        <v>0</v>
      </c>
      <c r="Q10967">
        <v>0</v>
      </c>
      <c r="R10967" t="s">
        <v>46578</v>
      </c>
      <c r="S10967" t="s">
        <v>46874</v>
      </c>
      <c r="T10967" t="s">
        <v>48381</v>
      </c>
      <c r="U10967" t="s">
        <v>57583</v>
      </c>
      <c r="V10967" t="s">
        <v>62812</v>
      </c>
      <c r="W10967" t="s">
        <v>45841</v>
      </c>
      <c r="X10967" t="s">
        <v>46579</v>
      </c>
    </row>
    <row r="10968" spans="1:24">
      <c r="A10968">
        <f>HYPERLINK("https://www.philgeps.gov.ph/GEPSNONPILOT/Tender/SplashBidNoticeAbstractUI.aspx?menuIndex=3&amp;refID=7052379&amp;Result=3","7052379")</f>
        <v>0</v>
      </c>
      <c r="B10968" t="s">
        <v>1656</v>
      </c>
      <c r="C10968" t="s">
        <v>13922</v>
      </c>
      <c r="D10968" t="s">
        <v>18805</v>
      </c>
      <c r="E10968" t="s">
        <v>28350</v>
      </c>
      <c r="F10968" t="s">
        <v>32664</v>
      </c>
      <c r="G10968" t="s">
        <v>32671</v>
      </c>
      <c r="H10968" t="s">
        <v>12635</v>
      </c>
      <c r="I10968" t="s">
        <v>6168</v>
      </c>
      <c r="J10968" t="s">
        <v>33831</v>
      </c>
      <c r="K10968" t="s">
        <v>42306</v>
      </c>
      <c r="M10968" t="s">
        <v>44341</v>
      </c>
      <c r="N10968" t="s">
        <v>46569</v>
      </c>
      <c r="O10968" t="s">
        <v>46570</v>
      </c>
      <c r="P10968">
        <v>0</v>
      </c>
      <c r="Q10968">
        <v>0</v>
      </c>
      <c r="R10968" t="s">
        <v>46578</v>
      </c>
      <c r="S10968" t="s">
        <v>46874</v>
      </c>
      <c r="T10968" t="s">
        <v>48674</v>
      </c>
      <c r="U10968" t="s">
        <v>57584</v>
      </c>
      <c r="W10968" t="s">
        <v>44341</v>
      </c>
      <c r="X10968" t="s">
        <v>46579</v>
      </c>
    </row>
    <row r="10969" spans="1:24">
      <c r="A10969">
        <f>HYPERLINK("https://www.philgeps.gov.ph/GEPSNONPILOT/Tender/SplashBidNoticeAbstractUI.aspx?menuIndex=3&amp;refID=7052465&amp;Result=3","7052465")</f>
        <v>0</v>
      </c>
      <c r="B10969" t="s">
        <v>1194</v>
      </c>
      <c r="C10969" t="s">
        <v>13923</v>
      </c>
      <c r="D10969" t="s">
        <v>18782</v>
      </c>
      <c r="E10969" t="s">
        <v>28351</v>
      </c>
      <c r="F10969" t="s">
        <v>32664</v>
      </c>
      <c r="G10969" t="s">
        <v>32672</v>
      </c>
      <c r="H10969" t="s">
        <v>32683</v>
      </c>
      <c r="I10969" t="s">
        <v>10627</v>
      </c>
      <c r="J10969" t="s">
        <v>32962</v>
      </c>
      <c r="K10969" t="s">
        <v>42400</v>
      </c>
      <c r="M10969" t="s">
        <v>45840</v>
      </c>
      <c r="N10969" t="s">
        <v>46569</v>
      </c>
      <c r="O10969" t="s">
        <v>46570</v>
      </c>
      <c r="Q10969">
        <v>1</v>
      </c>
      <c r="R10969" t="s">
        <v>46578</v>
      </c>
      <c r="S10969" t="s">
        <v>46914</v>
      </c>
      <c r="T10969" t="s">
        <v>48212</v>
      </c>
      <c r="U10969" t="s">
        <v>57585</v>
      </c>
      <c r="W10969" t="s">
        <v>45840</v>
      </c>
      <c r="X10969" t="s">
        <v>46579</v>
      </c>
    </row>
    <row r="10970" spans="1:24">
      <c r="A10970">
        <f>HYPERLINK("https://www.philgeps.gov.ph/GEPSNONPILOT/Tender/SplashBidNoticeAbstractUI.aspx?menuIndex=3&amp;refID=7052367&amp;Result=3","7052367")</f>
        <v>0</v>
      </c>
      <c r="B10970" t="s">
        <v>2484</v>
      </c>
      <c r="C10970" t="s">
        <v>13924</v>
      </c>
      <c r="D10970" t="s">
        <v>18822</v>
      </c>
      <c r="E10970" t="s">
        <v>28352</v>
      </c>
      <c r="F10970" t="s">
        <v>32664</v>
      </c>
      <c r="G10970" t="s">
        <v>32672</v>
      </c>
      <c r="H10970" t="s">
        <v>12635</v>
      </c>
      <c r="I10970" t="s">
        <v>4439</v>
      </c>
      <c r="J10970" t="s">
        <v>33175</v>
      </c>
      <c r="K10970" t="s">
        <v>42297</v>
      </c>
      <c r="M10970" t="s">
        <v>45284</v>
      </c>
      <c r="N10970" t="s">
        <v>46569</v>
      </c>
      <c r="O10970" t="s">
        <v>46570</v>
      </c>
      <c r="P10970">
        <v>0</v>
      </c>
      <c r="Q10970">
        <v>1</v>
      </c>
      <c r="R10970" t="s">
        <v>46578</v>
      </c>
      <c r="S10970" t="s">
        <v>46874</v>
      </c>
      <c r="T10970" t="s">
        <v>48283</v>
      </c>
      <c r="U10970" t="s">
        <v>56210</v>
      </c>
      <c r="W10970" t="s">
        <v>45284</v>
      </c>
      <c r="X10970" t="s">
        <v>46579</v>
      </c>
    </row>
    <row r="10971" spans="1:24">
      <c r="A10971">
        <f>HYPERLINK("https://www.philgeps.gov.ph/GEPSNONPILOT/Tender/SplashBidNoticeAbstractUI.aspx?menuIndex=3&amp;refID=7052457&amp;Result=3","7052457")</f>
        <v>0</v>
      </c>
      <c r="B10971" t="s">
        <v>2984</v>
      </c>
      <c r="C10971" t="s">
        <v>13925</v>
      </c>
      <c r="E10971" t="s">
        <v>19259</v>
      </c>
      <c r="F10971" t="s">
        <v>32664</v>
      </c>
      <c r="G10971" t="s">
        <v>32672</v>
      </c>
      <c r="H10971" t="s">
        <v>12635</v>
      </c>
      <c r="I10971" t="s">
        <v>32706</v>
      </c>
      <c r="J10971" t="s">
        <v>33657</v>
      </c>
      <c r="K10971" t="s">
        <v>42297</v>
      </c>
      <c r="M10971" t="s">
        <v>45842</v>
      </c>
      <c r="N10971" t="s">
        <v>46569</v>
      </c>
      <c r="O10971" t="s">
        <v>46570</v>
      </c>
      <c r="P10971">
        <v>0</v>
      </c>
      <c r="Q10971">
        <v>0</v>
      </c>
      <c r="R10971" t="s">
        <v>46578</v>
      </c>
      <c r="S10971" t="s">
        <v>46874</v>
      </c>
      <c r="T10971" t="s">
        <v>48473</v>
      </c>
      <c r="U10971" t="s">
        <v>57586</v>
      </c>
      <c r="W10971" t="s">
        <v>45842</v>
      </c>
      <c r="X10971" t="s">
        <v>46579</v>
      </c>
    </row>
    <row r="10972" spans="1:24">
      <c r="A10972">
        <f>HYPERLINK("https://www.philgeps.gov.ph/GEPSNONPILOT/Tender/SplashBidNoticeAbstractUI.aspx?menuIndex=3&amp;refID=7052455&amp;Result=3","7052455")</f>
        <v>0</v>
      </c>
      <c r="B10972" t="s">
        <v>1194</v>
      </c>
      <c r="C10972" t="s">
        <v>13926</v>
      </c>
      <c r="D10972" t="s">
        <v>18782</v>
      </c>
      <c r="E10972" t="s">
        <v>28353</v>
      </c>
      <c r="F10972" t="s">
        <v>32664</v>
      </c>
      <c r="G10972" t="s">
        <v>32672</v>
      </c>
      <c r="H10972" t="s">
        <v>32683</v>
      </c>
      <c r="I10972" t="s">
        <v>10627</v>
      </c>
      <c r="J10972" t="s">
        <v>32962</v>
      </c>
      <c r="K10972" t="s">
        <v>42400</v>
      </c>
      <c r="M10972" t="s">
        <v>45840</v>
      </c>
      <c r="N10972" t="s">
        <v>46569</v>
      </c>
      <c r="O10972" t="s">
        <v>46570</v>
      </c>
      <c r="Q10972">
        <v>1</v>
      </c>
      <c r="R10972" t="s">
        <v>46578</v>
      </c>
      <c r="S10972" t="s">
        <v>46915</v>
      </c>
      <c r="T10972" t="s">
        <v>48212</v>
      </c>
      <c r="U10972" t="s">
        <v>57587</v>
      </c>
      <c r="W10972" t="s">
        <v>45840</v>
      </c>
      <c r="X10972" t="s">
        <v>46579</v>
      </c>
    </row>
    <row r="10973" spans="1:24">
      <c r="A10973">
        <f>HYPERLINK("https://www.philgeps.gov.ph/GEPSNONPILOT/Tender/SplashBidNoticeAbstractUI.aspx?menuIndex=3&amp;refID=7052467&amp;Result=3","7052467")</f>
        <v>0</v>
      </c>
      <c r="B10973" t="s">
        <v>1194</v>
      </c>
      <c r="C10973" t="s">
        <v>13927</v>
      </c>
      <c r="D10973" t="s">
        <v>18782</v>
      </c>
      <c r="E10973" t="s">
        <v>28354</v>
      </c>
      <c r="F10973" t="s">
        <v>32664</v>
      </c>
      <c r="G10973" t="s">
        <v>32672</v>
      </c>
      <c r="H10973" t="s">
        <v>32683</v>
      </c>
      <c r="I10973" t="s">
        <v>10627</v>
      </c>
      <c r="J10973" t="s">
        <v>32962</v>
      </c>
      <c r="K10973" t="s">
        <v>42400</v>
      </c>
      <c r="M10973" t="s">
        <v>45840</v>
      </c>
      <c r="N10973" t="s">
        <v>46569</v>
      </c>
      <c r="O10973" t="s">
        <v>46570</v>
      </c>
      <c r="Q10973">
        <v>1</v>
      </c>
      <c r="R10973" t="s">
        <v>46578</v>
      </c>
      <c r="S10973" t="s">
        <v>46916</v>
      </c>
      <c r="T10973" t="s">
        <v>48212</v>
      </c>
      <c r="U10973" t="s">
        <v>57588</v>
      </c>
      <c r="W10973" t="s">
        <v>45840</v>
      </c>
      <c r="X10973" t="s">
        <v>46579</v>
      </c>
    </row>
    <row r="10974" spans="1:24">
      <c r="A10974">
        <f>HYPERLINK("https://www.philgeps.gov.ph/GEPSNONPILOT/Tender/SplashBidNoticeAbstractUI.aspx?menuIndex=3&amp;refID=7052459&amp;Result=3","7052459")</f>
        <v>0</v>
      </c>
      <c r="B10974" t="s">
        <v>1194</v>
      </c>
      <c r="C10974" t="s">
        <v>13928</v>
      </c>
      <c r="D10974" t="s">
        <v>18782</v>
      </c>
      <c r="E10974" t="s">
        <v>28355</v>
      </c>
      <c r="F10974" t="s">
        <v>32664</v>
      </c>
      <c r="G10974" t="s">
        <v>32672</v>
      </c>
      <c r="H10974" t="s">
        <v>32683</v>
      </c>
      <c r="I10974" t="s">
        <v>10627</v>
      </c>
      <c r="J10974" t="s">
        <v>32962</v>
      </c>
      <c r="K10974" t="s">
        <v>42400</v>
      </c>
      <c r="M10974" t="s">
        <v>45840</v>
      </c>
      <c r="N10974" t="s">
        <v>46569</v>
      </c>
      <c r="O10974" t="s">
        <v>46570</v>
      </c>
      <c r="Q10974">
        <v>1</v>
      </c>
      <c r="R10974" t="s">
        <v>46578</v>
      </c>
      <c r="S10974" t="s">
        <v>46915</v>
      </c>
      <c r="T10974" t="s">
        <v>48212</v>
      </c>
      <c r="U10974" t="s">
        <v>57589</v>
      </c>
      <c r="W10974" t="s">
        <v>45840</v>
      </c>
      <c r="X10974" t="s">
        <v>46579</v>
      </c>
    </row>
    <row r="10975" spans="1:24">
      <c r="A10975">
        <f>HYPERLINK("https://www.philgeps.gov.ph/GEPSNONPILOT/Tender/SplashBidNoticeAbstractUI.aspx?menuIndex=3&amp;refID=7052509&amp;Result=3","7052509")</f>
        <v>0</v>
      </c>
      <c r="B10975" t="s">
        <v>582</v>
      </c>
      <c r="C10975" t="s">
        <v>13929</v>
      </c>
      <c r="D10975" t="s">
        <v>18806</v>
      </c>
      <c r="E10975" t="s">
        <v>26744</v>
      </c>
      <c r="F10975" t="s">
        <v>32664</v>
      </c>
      <c r="G10975" t="s">
        <v>32672</v>
      </c>
      <c r="H10975" t="s">
        <v>12635</v>
      </c>
      <c r="I10975" t="s">
        <v>32696</v>
      </c>
      <c r="J10975" t="s">
        <v>38340</v>
      </c>
      <c r="K10975" t="s">
        <v>42281</v>
      </c>
      <c r="M10975" t="s">
        <v>43162</v>
      </c>
      <c r="N10975" t="s">
        <v>46569</v>
      </c>
      <c r="O10975" t="s">
        <v>46570</v>
      </c>
      <c r="P10975">
        <v>0</v>
      </c>
      <c r="Q10975">
        <v>0</v>
      </c>
      <c r="R10975" t="s">
        <v>46578</v>
      </c>
      <c r="S10975" t="s">
        <v>46874</v>
      </c>
      <c r="T10975" t="s">
        <v>48313</v>
      </c>
      <c r="U10975" t="s">
        <v>57590</v>
      </c>
      <c r="V10975" t="s">
        <v>62813</v>
      </c>
      <c r="W10975" t="s">
        <v>43162</v>
      </c>
      <c r="X10975" t="s">
        <v>46579</v>
      </c>
    </row>
    <row r="10976" spans="1:24">
      <c r="A10976">
        <f>HYPERLINK("https://www.philgeps.gov.ph/GEPSNONPILOT/Tender/SplashBidNoticeAbstractUI.aspx?menuIndex=3&amp;refID=7052513&amp;Result=3","7052513")</f>
        <v>0</v>
      </c>
      <c r="B10976" t="s">
        <v>2985</v>
      </c>
      <c r="C10976" t="s">
        <v>13930</v>
      </c>
      <c r="D10976" t="s">
        <v>18857</v>
      </c>
      <c r="E10976" t="s">
        <v>28356</v>
      </c>
      <c r="F10976" t="s">
        <v>32664</v>
      </c>
      <c r="G10976" t="s">
        <v>32672</v>
      </c>
      <c r="H10976" t="s">
        <v>32683</v>
      </c>
      <c r="I10976" t="s">
        <v>10627</v>
      </c>
      <c r="J10976" t="s">
        <v>39323</v>
      </c>
      <c r="K10976" t="s">
        <v>42285</v>
      </c>
      <c r="M10976" t="s">
        <v>45843</v>
      </c>
      <c r="N10976" t="s">
        <v>46569</v>
      </c>
      <c r="O10976" t="s">
        <v>46570</v>
      </c>
      <c r="P10976">
        <v>0</v>
      </c>
      <c r="Q10976">
        <v>0</v>
      </c>
      <c r="R10976" t="s">
        <v>46578</v>
      </c>
      <c r="S10976" t="s">
        <v>46874</v>
      </c>
      <c r="T10976" t="s">
        <v>48303</v>
      </c>
      <c r="U10976" t="s">
        <v>57591</v>
      </c>
      <c r="W10976" t="s">
        <v>45843</v>
      </c>
      <c r="X10976" t="s">
        <v>46579</v>
      </c>
    </row>
    <row r="10977" spans="1:24">
      <c r="A10977">
        <f>HYPERLINK("https://www.philgeps.gov.ph/GEPSNONPILOT/Tender/SplashBidNoticeAbstractUI.aspx?menuIndex=3&amp;refID=7052484&amp;Result=3","7052484")</f>
        <v>0</v>
      </c>
      <c r="B10977" t="s">
        <v>1194</v>
      </c>
      <c r="C10977" t="s">
        <v>13931</v>
      </c>
      <c r="D10977" t="s">
        <v>18782</v>
      </c>
      <c r="E10977" t="s">
        <v>28357</v>
      </c>
      <c r="F10977" t="s">
        <v>32664</v>
      </c>
      <c r="G10977" t="s">
        <v>32672</v>
      </c>
      <c r="H10977" t="s">
        <v>32683</v>
      </c>
      <c r="I10977" t="s">
        <v>10627</v>
      </c>
      <c r="J10977" t="s">
        <v>32981</v>
      </c>
      <c r="K10977" t="s">
        <v>42408</v>
      </c>
      <c r="M10977" t="s">
        <v>45840</v>
      </c>
      <c r="N10977" t="s">
        <v>46569</v>
      </c>
      <c r="O10977" t="s">
        <v>46570</v>
      </c>
      <c r="Q10977">
        <v>1</v>
      </c>
      <c r="R10977" t="s">
        <v>46578</v>
      </c>
      <c r="S10977" t="s">
        <v>46917</v>
      </c>
      <c r="T10977" t="s">
        <v>48212</v>
      </c>
      <c r="U10977" t="s">
        <v>57592</v>
      </c>
      <c r="W10977" t="s">
        <v>45840</v>
      </c>
      <c r="X10977" t="s">
        <v>46579</v>
      </c>
    </row>
    <row r="10978" spans="1:24">
      <c r="A10978">
        <f>HYPERLINK("https://www.philgeps.gov.ph/GEPSNONPILOT/Tender/SplashBidNoticeAbstractUI.aspx?menuIndex=3&amp;refID=7052500&amp;Result=3","7052500")</f>
        <v>0</v>
      </c>
      <c r="B10978" t="s">
        <v>2985</v>
      </c>
      <c r="C10978" t="s">
        <v>13932</v>
      </c>
      <c r="D10978" t="s">
        <v>18857</v>
      </c>
      <c r="E10978" t="s">
        <v>28358</v>
      </c>
      <c r="F10978" t="s">
        <v>32664</v>
      </c>
      <c r="G10978" t="s">
        <v>32672</v>
      </c>
      <c r="H10978" t="s">
        <v>32683</v>
      </c>
      <c r="I10978" t="s">
        <v>10627</v>
      </c>
      <c r="J10978" t="s">
        <v>34148</v>
      </c>
      <c r="K10978" t="s">
        <v>42285</v>
      </c>
      <c r="M10978" t="s">
        <v>45843</v>
      </c>
      <c r="N10978" t="s">
        <v>46569</v>
      </c>
      <c r="O10978" t="s">
        <v>46570</v>
      </c>
      <c r="P10978">
        <v>0</v>
      </c>
      <c r="Q10978">
        <v>1</v>
      </c>
      <c r="R10978" t="s">
        <v>46578</v>
      </c>
      <c r="S10978" t="s">
        <v>46874</v>
      </c>
      <c r="T10978" t="s">
        <v>48264</v>
      </c>
      <c r="U10978" t="s">
        <v>57593</v>
      </c>
      <c r="W10978" t="s">
        <v>45843</v>
      </c>
      <c r="X10978" t="s">
        <v>46579</v>
      </c>
    </row>
    <row r="10979" spans="1:24">
      <c r="A10979">
        <f>HYPERLINK("https://www.philgeps.gov.ph/GEPSNONPILOT/Tender/SplashBidNoticeAbstractUI.aspx?menuIndex=3&amp;refID=7052497&amp;Result=3","7052497")</f>
        <v>0</v>
      </c>
      <c r="B10979" t="s">
        <v>964</v>
      </c>
      <c r="C10979" t="s">
        <v>13933</v>
      </c>
      <c r="D10979" t="s">
        <v>18786</v>
      </c>
      <c r="E10979" t="s">
        <v>28359</v>
      </c>
      <c r="F10979" t="s">
        <v>32664</v>
      </c>
      <c r="G10979" t="s">
        <v>32672</v>
      </c>
      <c r="H10979" t="s">
        <v>32683</v>
      </c>
      <c r="I10979" t="s">
        <v>10627</v>
      </c>
      <c r="J10979" t="s">
        <v>39324</v>
      </c>
      <c r="K10979" t="s">
        <v>42290</v>
      </c>
      <c r="M10979" t="s">
        <v>43572</v>
      </c>
      <c r="N10979" t="s">
        <v>46569</v>
      </c>
      <c r="O10979" t="s">
        <v>46570</v>
      </c>
      <c r="P10979">
        <v>0</v>
      </c>
      <c r="Q10979">
        <v>1</v>
      </c>
      <c r="R10979" t="s">
        <v>46578</v>
      </c>
      <c r="S10979" t="s">
        <v>46874</v>
      </c>
      <c r="T10979" t="s">
        <v>48412</v>
      </c>
      <c r="U10979" t="s">
        <v>57594</v>
      </c>
      <c r="W10979" t="s">
        <v>63579</v>
      </c>
      <c r="X10979" t="s">
        <v>46579</v>
      </c>
    </row>
    <row r="10980" spans="1:24">
      <c r="A10980">
        <f>HYPERLINK("https://www.philgeps.gov.ph/GEPSNONPILOT/Tender/SplashBidNoticeAbstractUI.aspx?menuIndex=3&amp;refID=7052501&amp;Result=3","7052501")</f>
        <v>0</v>
      </c>
      <c r="B10980" t="s">
        <v>2610</v>
      </c>
      <c r="C10980" t="s">
        <v>13934</v>
      </c>
      <c r="D10980" t="s">
        <v>18784</v>
      </c>
      <c r="E10980" t="s">
        <v>28360</v>
      </c>
      <c r="F10980" t="s">
        <v>32664</v>
      </c>
      <c r="G10980" t="s">
        <v>32672</v>
      </c>
      <c r="H10980" t="s">
        <v>12635</v>
      </c>
      <c r="I10980" t="s">
        <v>32710</v>
      </c>
      <c r="J10980" t="s">
        <v>33051</v>
      </c>
      <c r="K10980" t="s">
        <v>42281</v>
      </c>
      <c r="M10980" t="s">
        <v>45427</v>
      </c>
      <c r="N10980" t="s">
        <v>46569</v>
      </c>
      <c r="O10980" t="s">
        <v>46570</v>
      </c>
      <c r="P10980">
        <v>0</v>
      </c>
      <c r="Q10980">
        <v>5</v>
      </c>
      <c r="R10980" t="s">
        <v>46578</v>
      </c>
      <c r="S10980" t="s">
        <v>46874</v>
      </c>
      <c r="T10980" t="s">
        <v>48228</v>
      </c>
      <c r="U10980" t="s">
        <v>57595</v>
      </c>
      <c r="W10980" t="s">
        <v>45427</v>
      </c>
      <c r="X10980" t="s">
        <v>46579</v>
      </c>
    </row>
    <row r="10981" spans="1:24">
      <c r="A10981">
        <f>HYPERLINK("https://www.philgeps.gov.ph/GEPSNONPILOT/Tender/SplashBidNoticeAbstractUI.aspx?menuIndex=3&amp;refID=7052468&amp;Result=3","7052468")</f>
        <v>0</v>
      </c>
      <c r="B10981" t="s">
        <v>1194</v>
      </c>
      <c r="C10981" t="s">
        <v>13935</v>
      </c>
      <c r="D10981" t="s">
        <v>18782</v>
      </c>
      <c r="E10981" t="s">
        <v>28361</v>
      </c>
      <c r="F10981" t="s">
        <v>32664</v>
      </c>
      <c r="G10981" t="s">
        <v>32672</v>
      </c>
      <c r="H10981" t="s">
        <v>32683</v>
      </c>
      <c r="I10981" t="s">
        <v>10627</v>
      </c>
      <c r="J10981" t="s">
        <v>32837</v>
      </c>
      <c r="K10981" t="s">
        <v>42305</v>
      </c>
      <c r="M10981" t="s">
        <v>45840</v>
      </c>
      <c r="N10981" t="s">
        <v>46569</v>
      </c>
      <c r="O10981" t="s">
        <v>46570</v>
      </c>
      <c r="Q10981">
        <v>1</v>
      </c>
      <c r="R10981" t="s">
        <v>46578</v>
      </c>
      <c r="S10981" t="s">
        <v>46918</v>
      </c>
      <c r="T10981" t="s">
        <v>48212</v>
      </c>
      <c r="U10981" t="s">
        <v>57596</v>
      </c>
      <c r="W10981" t="s">
        <v>45840</v>
      </c>
      <c r="X10981" t="s">
        <v>46579</v>
      </c>
    </row>
    <row r="10982" spans="1:24">
      <c r="A10982">
        <f>HYPERLINK("https://www.philgeps.gov.ph/GEPSNONPILOT/Tender/SplashBidNoticeAbstractUI.aspx?menuIndex=3&amp;refID=7052493&amp;Result=3","7052493")</f>
        <v>0</v>
      </c>
      <c r="B10982" t="s">
        <v>2986</v>
      </c>
      <c r="C10982" t="s">
        <v>13936</v>
      </c>
      <c r="D10982" t="s">
        <v>18832</v>
      </c>
      <c r="E10982" t="s">
        <v>28362</v>
      </c>
      <c r="F10982" t="s">
        <v>32664</v>
      </c>
      <c r="G10982" t="s">
        <v>32672</v>
      </c>
      <c r="H10982" t="s">
        <v>32683</v>
      </c>
      <c r="I10982" t="s">
        <v>10627</v>
      </c>
      <c r="J10982" t="s">
        <v>39325</v>
      </c>
      <c r="K10982" t="s">
        <v>42298</v>
      </c>
      <c r="M10982" t="s">
        <v>45844</v>
      </c>
      <c r="N10982" t="s">
        <v>46569</v>
      </c>
      <c r="O10982" t="s">
        <v>46570</v>
      </c>
      <c r="P10982">
        <v>0</v>
      </c>
      <c r="Q10982">
        <v>0</v>
      </c>
      <c r="R10982" t="s">
        <v>46578</v>
      </c>
      <c r="S10982" t="s">
        <v>46874</v>
      </c>
      <c r="T10982" t="s">
        <v>48467</v>
      </c>
      <c r="U10982" t="s">
        <v>57597</v>
      </c>
      <c r="W10982" t="s">
        <v>45844</v>
      </c>
      <c r="X10982" t="s">
        <v>46579</v>
      </c>
    </row>
    <row r="10983" spans="1:24">
      <c r="A10983">
        <f>HYPERLINK("https://www.philgeps.gov.ph/GEPSNONPILOT/Tender/SplashBidNoticeAbstractUI.aspx?menuIndex=3&amp;refID=7052498&amp;Result=3","7052498")</f>
        <v>0</v>
      </c>
      <c r="B10983" t="s">
        <v>2987</v>
      </c>
      <c r="C10983" t="s">
        <v>13937</v>
      </c>
      <c r="D10983" t="s">
        <v>18798</v>
      </c>
      <c r="E10983" t="s">
        <v>28363</v>
      </c>
      <c r="F10983" t="s">
        <v>32664</v>
      </c>
      <c r="G10983" t="s">
        <v>32672</v>
      </c>
      <c r="H10983" t="s">
        <v>32683</v>
      </c>
      <c r="I10983" t="s">
        <v>10627</v>
      </c>
      <c r="J10983" t="s">
        <v>32976</v>
      </c>
      <c r="K10983" t="s">
        <v>42343</v>
      </c>
      <c r="M10983" t="s">
        <v>45845</v>
      </c>
      <c r="N10983" t="s">
        <v>46569</v>
      </c>
      <c r="O10983" t="s">
        <v>46570</v>
      </c>
      <c r="P10983">
        <v>0</v>
      </c>
      <c r="Q10983">
        <v>0</v>
      </c>
      <c r="R10983" t="s">
        <v>46578</v>
      </c>
      <c r="S10983" t="s">
        <v>46874</v>
      </c>
      <c r="T10983" t="s">
        <v>48449</v>
      </c>
      <c r="U10983" t="s">
        <v>57598</v>
      </c>
      <c r="W10983" t="s">
        <v>45845</v>
      </c>
      <c r="X10983" t="s">
        <v>46579</v>
      </c>
    </row>
    <row r="10984" spans="1:24">
      <c r="A10984">
        <f>HYPERLINK("https://www.philgeps.gov.ph/GEPSNONPILOT/Tender/SplashBidNoticeAbstractUI.aspx?menuIndex=3&amp;refID=7052491&amp;Result=3","7052491")</f>
        <v>0</v>
      </c>
      <c r="B10984" t="s">
        <v>1656</v>
      </c>
      <c r="C10984" t="s">
        <v>13938</v>
      </c>
      <c r="D10984" t="s">
        <v>18805</v>
      </c>
      <c r="E10984" t="s">
        <v>26357</v>
      </c>
      <c r="F10984" t="s">
        <v>32664</v>
      </c>
      <c r="G10984" t="s">
        <v>32671</v>
      </c>
      <c r="H10984" t="s">
        <v>12635</v>
      </c>
      <c r="I10984" t="s">
        <v>6168</v>
      </c>
      <c r="J10984" t="s">
        <v>39326</v>
      </c>
      <c r="K10984" t="s">
        <v>42306</v>
      </c>
      <c r="M10984" t="s">
        <v>44341</v>
      </c>
      <c r="N10984" t="s">
        <v>46569</v>
      </c>
      <c r="O10984" t="s">
        <v>46570</v>
      </c>
      <c r="P10984">
        <v>0</v>
      </c>
      <c r="Q10984">
        <v>0</v>
      </c>
      <c r="R10984" t="s">
        <v>46578</v>
      </c>
      <c r="S10984" t="s">
        <v>46874</v>
      </c>
      <c r="T10984" t="s">
        <v>48215</v>
      </c>
      <c r="U10984" t="s">
        <v>57599</v>
      </c>
      <c r="W10984" t="s">
        <v>44341</v>
      </c>
      <c r="X10984" t="s">
        <v>46579</v>
      </c>
    </row>
    <row r="10985" spans="1:24">
      <c r="A10985">
        <f>HYPERLINK("https://www.philgeps.gov.ph/GEPSNONPILOT/Tender/SplashBidNoticeAbstractUI.aspx?menuIndex=3&amp;refID=7052408&amp;Result=3","7052408")</f>
        <v>0</v>
      </c>
      <c r="B10985" t="s">
        <v>2988</v>
      </c>
      <c r="C10985" t="s">
        <v>13939</v>
      </c>
      <c r="D10985" t="s">
        <v>18818</v>
      </c>
      <c r="E10985" t="s">
        <v>19815</v>
      </c>
      <c r="F10985" t="s">
        <v>32664</v>
      </c>
      <c r="G10985" t="s">
        <v>32672</v>
      </c>
      <c r="H10985" t="s">
        <v>12635</v>
      </c>
      <c r="I10985" t="s">
        <v>4439</v>
      </c>
      <c r="J10985" t="s">
        <v>33128</v>
      </c>
      <c r="K10985" t="s">
        <v>42281</v>
      </c>
      <c r="M10985" t="s">
        <v>45846</v>
      </c>
      <c r="N10985" t="s">
        <v>46569</v>
      </c>
      <c r="O10985" t="s">
        <v>46570</v>
      </c>
      <c r="P10985">
        <v>0</v>
      </c>
      <c r="Q10985">
        <v>0</v>
      </c>
      <c r="R10985" t="s">
        <v>46578</v>
      </c>
      <c r="S10985" t="s">
        <v>46874</v>
      </c>
      <c r="T10985" t="s">
        <v>48287</v>
      </c>
      <c r="U10985" t="s">
        <v>57600</v>
      </c>
      <c r="W10985" t="s">
        <v>45846</v>
      </c>
      <c r="X10985" t="s">
        <v>46579</v>
      </c>
    </row>
    <row r="10986" spans="1:24">
      <c r="A10986">
        <f>HYPERLINK("https://www.philgeps.gov.ph/GEPSNONPILOT/Tender/SplashBidNoticeAbstractUI.aspx?menuIndex=3&amp;refID=7052490&amp;Result=3","7052490")</f>
        <v>0</v>
      </c>
      <c r="B10986" t="s">
        <v>2986</v>
      </c>
      <c r="C10986" t="s">
        <v>13940</v>
      </c>
      <c r="D10986" t="s">
        <v>18832</v>
      </c>
      <c r="E10986" t="s">
        <v>28364</v>
      </c>
      <c r="F10986" t="s">
        <v>32664</v>
      </c>
      <c r="G10986" t="s">
        <v>32672</v>
      </c>
      <c r="H10986" t="s">
        <v>32683</v>
      </c>
      <c r="I10986" t="s">
        <v>10627</v>
      </c>
      <c r="J10986" t="s">
        <v>39327</v>
      </c>
      <c r="K10986" t="s">
        <v>42298</v>
      </c>
      <c r="M10986" t="s">
        <v>45844</v>
      </c>
      <c r="N10986" t="s">
        <v>46569</v>
      </c>
      <c r="O10986" t="s">
        <v>46570</v>
      </c>
      <c r="P10986">
        <v>0</v>
      </c>
      <c r="Q10986">
        <v>1</v>
      </c>
      <c r="R10986" t="s">
        <v>46578</v>
      </c>
      <c r="S10986" t="s">
        <v>46874</v>
      </c>
      <c r="T10986" t="s">
        <v>48467</v>
      </c>
      <c r="U10986" t="s">
        <v>57601</v>
      </c>
      <c r="W10986" t="s">
        <v>45844</v>
      </c>
      <c r="X10986" t="s">
        <v>46579</v>
      </c>
    </row>
    <row r="10987" spans="1:24">
      <c r="A10987">
        <f>HYPERLINK("https://www.philgeps.gov.ph/GEPSNONPILOT/Tender/SplashBidNoticeAbstractUI.aspx?menuIndex=3&amp;refID=7052557&amp;Result=3","7052557")</f>
        <v>0</v>
      </c>
      <c r="B10987" t="s">
        <v>2989</v>
      </c>
      <c r="C10987" t="s">
        <v>13941</v>
      </c>
      <c r="D10987" t="s">
        <v>18792</v>
      </c>
      <c r="E10987" t="s">
        <v>20822</v>
      </c>
      <c r="F10987" t="s">
        <v>32664</v>
      </c>
      <c r="G10987" t="s">
        <v>32672</v>
      </c>
      <c r="H10987" t="s">
        <v>12635</v>
      </c>
      <c r="I10987" t="s">
        <v>6628</v>
      </c>
      <c r="J10987" t="s">
        <v>32853</v>
      </c>
      <c r="K10987" t="s">
        <v>42289</v>
      </c>
      <c r="M10987" t="s">
        <v>45847</v>
      </c>
      <c r="N10987" t="s">
        <v>46569</v>
      </c>
      <c r="O10987" t="s">
        <v>46570</v>
      </c>
      <c r="P10987">
        <v>0</v>
      </c>
      <c r="Q10987">
        <v>6</v>
      </c>
      <c r="R10987" t="s">
        <v>46578</v>
      </c>
      <c r="S10987" t="s">
        <v>46874</v>
      </c>
      <c r="T10987" t="s">
        <v>48287</v>
      </c>
      <c r="U10987" t="s">
        <v>57602</v>
      </c>
      <c r="W10987" t="s">
        <v>45847</v>
      </c>
      <c r="X10987" t="s">
        <v>46579</v>
      </c>
    </row>
    <row r="10988" spans="1:24">
      <c r="A10988">
        <f>HYPERLINK("https://www.philgeps.gov.ph/GEPSNONPILOT/Tender/SplashBidNoticeAbstractUI.aspx?menuIndex=3&amp;refID=7052556&amp;Result=3","7052556")</f>
        <v>0</v>
      </c>
      <c r="B10988" t="s">
        <v>2990</v>
      </c>
      <c r="C10988" t="s">
        <v>13942</v>
      </c>
      <c r="E10988" t="s">
        <v>20552</v>
      </c>
      <c r="F10988" t="s">
        <v>32664</v>
      </c>
      <c r="G10988" t="s">
        <v>32672</v>
      </c>
      <c r="H10988" t="s">
        <v>32683</v>
      </c>
      <c r="I10988" t="s">
        <v>10627</v>
      </c>
      <c r="J10988" t="s">
        <v>39328</v>
      </c>
      <c r="K10988" t="s">
        <v>42283</v>
      </c>
      <c r="M10988" t="s">
        <v>45848</v>
      </c>
      <c r="N10988" t="s">
        <v>46569</v>
      </c>
      <c r="O10988" t="s">
        <v>46570</v>
      </c>
      <c r="P10988">
        <v>0</v>
      </c>
      <c r="Q10988">
        <v>0</v>
      </c>
      <c r="R10988" t="s">
        <v>46578</v>
      </c>
      <c r="S10988" t="s">
        <v>46874</v>
      </c>
      <c r="T10988" t="s">
        <v>48449</v>
      </c>
      <c r="U10988" t="s">
        <v>57603</v>
      </c>
      <c r="W10988" t="s">
        <v>45848</v>
      </c>
      <c r="X10988" t="s">
        <v>46579</v>
      </c>
    </row>
    <row r="10989" spans="1:24">
      <c r="A10989">
        <f>HYPERLINK("https://www.philgeps.gov.ph/GEPSNONPILOT/Tender/SplashBidNoticeAbstractUI.aspx?menuIndex=3&amp;refID=7052552&amp;Result=3","7052552")</f>
        <v>0</v>
      </c>
      <c r="B10989" t="s">
        <v>2990</v>
      </c>
      <c r="C10989" t="s">
        <v>13943</v>
      </c>
      <c r="E10989" t="s">
        <v>19012</v>
      </c>
      <c r="F10989" t="s">
        <v>32664</v>
      </c>
      <c r="G10989" t="s">
        <v>32672</v>
      </c>
      <c r="H10989" t="s">
        <v>32683</v>
      </c>
      <c r="I10989" t="s">
        <v>10627</v>
      </c>
      <c r="J10989" t="s">
        <v>39329</v>
      </c>
      <c r="K10989" t="s">
        <v>42283</v>
      </c>
      <c r="M10989" t="s">
        <v>45848</v>
      </c>
      <c r="N10989" t="s">
        <v>46569</v>
      </c>
      <c r="O10989" t="s">
        <v>46570</v>
      </c>
      <c r="P10989">
        <v>0</v>
      </c>
      <c r="Q10989">
        <v>0</v>
      </c>
      <c r="R10989" t="s">
        <v>46578</v>
      </c>
      <c r="S10989" t="s">
        <v>46874</v>
      </c>
      <c r="T10989" t="s">
        <v>48449</v>
      </c>
      <c r="U10989" t="s">
        <v>57604</v>
      </c>
      <c r="W10989" t="s">
        <v>45848</v>
      </c>
      <c r="X10989" t="s">
        <v>46579</v>
      </c>
    </row>
    <row r="10990" spans="1:24">
      <c r="A10990">
        <f>HYPERLINK("https://www.philgeps.gov.ph/GEPSNONPILOT/Tender/SplashBidNoticeAbstractUI.aspx?menuIndex=3&amp;refID=7052550&amp;Result=3","7052550")</f>
        <v>0</v>
      </c>
      <c r="B10990" t="s">
        <v>964</v>
      </c>
      <c r="C10990" t="s">
        <v>13944</v>
      </c>
      <c r="E10990" t="s">
        <v>28365</v>
      </c>
      <c r="F10990" t="s">
        <v>32664</v>
      </c>
      <c r="G10990" t="s">
        <v>32672</v>
      </c>
      <c r="H10990" t="s">
        <v>32683</v>
      </c>
      <c r="I10990" t="s">
        <v>10627</v>
      </c>
      <c r="J10990" t="s">
        <v>39330</v>
      </c>
      <c r="K10990" t="s">
        <v>42305</v>
      </c>
      <c r="M10990" t="s">
        <v>43572</v>
      </c>
      <c r="N10990" t="s">
        <v>46569</v>
      </c>
      <c r="O10990" t="s">
        <v>46570</v>
      </c>
      <c r="P10990">
        <v>0</v>
      </c>
      <c r="Q10990">
        <v>1</v>
      </c>
      <c r="R10990" t="s">
        <v>46578</v>
      </c>
      <c r="S10990" t="s">
        <v>46874</v>
      </c>
      <c r="T10990" t="s">
        <v>48412</v>
      </c>
      <c r="U10990" t="s">
        <v>57605</v>
      </c>
      <c r="W10990" t="s">
        <v>63579</v>
      </c>
      <c r="X10990" t="s">
        <v>46579</v>
      </c>
    </row>
    <row r="10991" spans="1:24">
      <c r="A10991">
        <f>HYPERLINK("https://www.philgeps.gov.ph/GEPSNONPILOT/Tender/SplashBidNoticeAbstractUI.aspx?menuIndex=3&amp;refID=7052549&amp;Result=3","7052549")</f>
        <v>0</v>
      </c>
      <c r="B10991" t="s">
        <v>2274</v>
      </c>
      <c r="C10991" t="s">
        <v>13945</v>
      </c>
      <c r="D10991" t="s">
        <v>18817</v>
      </c>
      <c r="E10991" t="s">
        <v>28366</v>
      </c>
      <c r="F10991" t="s">
        <v>32664</v>
      </c>
      <c r="G10991" t="s">
        <v>32672</v>
      </c>
      <c r="H10991" t="s">
        <v>12635</v>
      </c>
      <c r="I10991" t="s">
        <v>32699</v>
      </c>
      <c r="J10991" t="s">
        <v>34618</v>
      </c>
      <c r="K10991" t="s">
        <v>42289</v>
      </c>
      <c r="M10991" t="s">
        <v>45041</v>
      </c>
      <c r="N10991" t="s">
        <v>46569</v>
      </c>
      <c r="O10991" t="s">
        <v>46570</v>
      </c>
      <c r="P10991">
        <v>0</v>
      </c>
      <c r="Q10991">
        <v>1</v>
      </c>
      <c r="R10991" t="s">
        <v>46578</v>
      </c>
      <c r="S10991" t="s">
        <v>46874</v>
      </c>
      <c r="T10991" t="s">
        <v>48313</v>
      </c>
      <c r="U10991" t="s">
        <v>57606</v>
      </c>
      <c r="W10991" t="s">
        <v>45041</v>
      </c>
      <c r="X10991" t="s">
        <v>46579</v>
      </c>
    </row>
    <row r="10992" spans="1:24">
      <c r="A10992">
        <f>HYPERLINK("https://www.philgeps.gov.ph/GEPSNONPILOT/Tender/SplashBidNoticeAbstractUI.aspx?menuIndex=3&amp;refID=7052548&amp;Result=3","7052548")</f>
        <v>0</v>
      </c>
      <c r="B10992" t="s">
        <v>2990</v>
      </c>
      <c r="C10992" t="s">
        <v>13946</v>
      </c>
      <c r="E10992" t="s">
        <v>20532</v>
      </c>
      <c r="F10992" t="s">
        <v>32664</v>
      </c>
      <c r="G10992" t="s">
        <v>32672</v>
      </c>
      <c r="H10992" t="s">
        <v>32683</v>
      </c>
      <c r="I10992" t="s">
        <v>10627</v>
      </c>
      <c r="J10992" t="s">
        <v>39331</v>
      </c>
      <c r="K10992" t="s">
        <v>42283</v>
      </c>
      <c r="M10992" t="s">
        <v>45848</v>
      </c>
      <c r="N10992" t="s">
        <v>46569</v>
      </c>
      <c r="O10992" t="s">
        <v>46570</v>
      </c>
      <c r="P10992">
        <v>0</v>
      </c>
      <c r="Q10992">
        <v>0</v>
      </c>
      <c r="R10992" t="s">
        <v>46578</v>
      </c>
      <c r="S10992" t="s">
        <v>46874</v>
      </c>
      <c r="T10992" t="s">
        <v>48449</v>
      </c>
      <c r="U10992" t="s">
        <v>57607</v>
      </c>
      <c r="W10992" t="s">
        <v>45848</v>
      </c>
      <c r="X10992" t="s">
        <v>46579</v>
      </c>
    </row>
    <row r="10993" spans="1:24">
      <c r="A10993">
        <f>HYPERLINK("https://www.philgeps.gov.ph/GEPSNONPILOT/Tender/SplashBidNoticeAbstractUI.aspx?menuIndex=3&amp;refID=7052543&amp;Result=3","7052543")</f>
        <v>0</v>
      </c>
      <c r="B10993" t="s">
        <v>2990</v>
      </c>
      <c r="C10993" t="s">
        <v>13942</v>
      </c>
      <c r="E10993" t="s">
        <v>20490</v>
      </c>
      <c r="F10993" t="s">
        <v>32664</v>
      </c>
      <c r="G10993" t="s">
        <v>32672</v>
      </c>
      <c r="H10993" t="s">
        <v>32683</v>
      </c>
      <c r="I10993" t="s">
        <v>10627</v>
      </c>
      <c r="J10993" t="s">
        <v>39332</v>
      </c>
      <c r="K10993" t="s">
        <v>42283</v>
      </c>
      <c r="M10993" t="s">
        <v>45848</v>
      </c>
      <c r="N10993" t="s">
        <v>46569</v>
      </c>
      <c r="O10993" t="s">
        <v>46570</v>
      </c>
      <c r="P10993">
        <v>0</v>
      </c>
      <c r="Q10993">
        <v>0</v>
      </c>
      <c r="R10993" t="s">
        <v>46578</v>
      </c>
      <c r="S10993" t="s">
        <v>46874</v>
      </c>
      <c r="T10993" t="s">
        <v>48449</v>
      </c>
      <c r="U10993" t="s">
        <v>57608</v>
      </c>
      <c r="W10993" t="s">
        <v>45848</v>
      </c>
      <c r="X10993" t="s">
        <v>46579</v>
      </c>
    </row>
    <row r="10994" spans="1:24">
      <c r="A10994">
        <f>HYPERLINK("https://www.philgeps.gov.ph/GEPSNONPILOT/Tender/SplashBidNoticeAbstractUI.aspx?menuIndex=3&amp;refID=7052504&amp;Result=3","7052504")</f>
        <v>0</v>
      </c>
      <c r="B10994" t="s">
        <v>964</v>
      </c>
      <c r="C10994" t="s">
        <v>13947</v>
      </c>
      <c r="D10994" t="s">
        <v>18786</v>
      </c>
      <c r="E10994" t="s">
        <v>28367</v>
      </c>
      <c r="F10994" t="s">
        <v>32664</v>
      </c>
      <c r="G10994" t="s">
        <v>32672</v>
      </c>
      <c r="H10994" t="s">
        <v>32683</v>
      </c>
      <c r="I10994" t="s">
        <v>10627</v>
      </c>
      <c r="J10994" t="s">
        <v>39333</v>
      </c>
      <c r="K10994" t="s">
        <v>42319</v>
      </c>
      <c r="M10994" t="s">
        <v>43572</v>
      </c>
      <c r="N10994" t="s">
        <v>46569</v>
      </c>
      <c r="O10994" t="s">
        <v>46570</v>
      </c>
      <c r="P10994">
        <v>0</v>
      </c>
      <c r="Q10994">
        <v>0</v>
      </c>
      <c r="R10994" t="s">
        <v>46578</v>
      </c>
      <c r="S10994" t="s">
        <v>46874</v>
      </c>
      <c r="T10994" t="s">
        <v>48412</v>
      </c>
      <c r="U10994" t="s">
        <v>57609</v>
      </c>
      <c r="W10994" t="s">
        <v>63579</v>
      </c>
      <c r="X10994" t="s">
        <v>46579</v>
      </c>
    </row>
    <row r="10995" spans="1:24">
      <c r="A10995">
        <f>HYPERLINK("https://www.philgeps.gov.ph/GEPSNONPILOT/Tender/SplashBidNoticeAbstractUI.aspx?menuIndex=3&amp;refID=7052545&amp;Result=3","7052545")</f>
        <v>0</v>
      </c>
      <c r="B10995" t="s">
        <v>2990</v>
      </c>
      <c r="C10995" t="s">
        <v>13948</v>
      </c>
      <c r="E10995" t="s">
        <v>20488</v>
      </c>
      <c r="F10995" t="s">
        <v>32664</v>
      </c>
      <c r="G10995" t="s">
        <v>32672</v>
      </c>
      <c r="H10995" t="s">
        <v>32683</v>
      </c>
      <c r="I10995" t="s">
        <v>10627</v>
      </c>
      <c r="J10995" t="s">
        <v>39334</v>
      </c>
      <c r="K10995" t="s">
        <v>42283</v>
      </c>
      <c r="M10995" t="s">
        <v>45848</v>
      </c>
      <c r="N10995" t="s">
        <v>46569</v>
      </c>
      <c r="O10995" t="s">
        <v>46570</v>
      </c>
      <c r="P10995">
        <v>0</v>
      </c>
      <c r="Q10995">
        <v>0</v>
      </c>
      <c r="R10995" t="s">
        <v>46578</v>
      </c>
      <c r="S10995" t="s">
        <v>46874</v>
      </c>
      <c r="T10995" t="s">
        <v>48449</v>
      </c>
      <c r="U10995" t="s">
        <v>57610</v>
      </c>
      <c r="W10995" t="s">
        <v>45848</v>
      </c>
      <c r="X10995" t="s">
        <v>46579</v>
      </c>
    </row>
    <row r="10996" spans="1:24">
      <c r="A10996">
        <f>HYPERLINK("https://www.philgeps.gov.ph/GEPSNONPILOT/Tender/SplashBidNoticeAbstractUI.aspx?menuIndex=3&amp;refID=7052538&amp;Result=3","7052538")</f>
        <v>0</v>
      </c>
      <c r="B10996" t="s">
        <v>2989</v>
      </c>
      <c r="C10996" t="s">
        <v>13949</v>
      </c>
      <c r="D10996" t="s">
        <v>18792</v>
      </c>
      <c r="E10996" t="s">
        <v>20566</v>
      </c>
      <c r="F10996" t="s">
        <v>32664</v>
      </c>
      <c r="G10996" t="s">
        <v>32672</v>
      </c>
      <c r="H10996" t="s">
        <v>12635</v>
      </c>
      <c r="I10996" t="s">
        <v>7324</v>
      </c>
      <c r="J10996" t="s">
        <v>34210</v>
      </c>
      <c r="K10996" t="s">
        <v>42289</v>
      </c>
      <c r="M10996" t="s">
        <v>45847</v>
      </c>
      <c r="N10996" t="s">
        <v>46569</v>
      </c>
      <c r="O10996" t="s">
        <v>46570</v>
      </c>
      <c r="P10996">
        <v>0</v>
      </c>
      <c r="Q10996">
        <v>0</v>
      </c>
      <c r="R10996" t="s">
        <v>46578</v>
      </c>
      <c r="S10996" t="s">
        <v>46874</v>
      </c>
      <c r="T10996" t="s">
        <v>48287</v>
      </c>
      <c r="U10996" t="s">
        <v>57611</v>
      </c>
      <c r="W10996" t="s">
        <v>45847</v>
      </c>
      <c r="X10996" t="s">
        <v>46579</v>
      </c>
    </row>
    <row r="10997" spans="1:24">
      <c r="A10997">
        <f>HYPERLINK("https://www.philgeps.gov.ph/GEPSNONPILOT/Tender/SplashBidNoticeAbstractUI.aspx?menuIndex=3&amp;refID=7052533&amp;Result=3","7052533")</f>
        <v>0</v>
      </c>
      <c r="B10997" t="s">
        <v>2990</v>
      </c>
      <c r="C10997" t="s">
        <v>13950</v>
      </c>
      <c r="E10997" t="s">
        <v>18937</v>
      </c>
      <c r="F10997" t="s">
        <v>32664</v>
      </c>
      <c r="G10997" t="s">
        <v>32672</v>
      </c>
      <c r="H10997" t="s">
        <v>32683</v>
      </c>
      <c r="I10997" t="s">
        <v>10627</v>
      </c>
      <c r="J10997" t="s">
        <v>39335</v>
      </c>
      <c r="K10997" t="s">
        <v>42283</v>
      </c>
      <c r="M10997" t="s">
        <v>45848</v>
      </c>
      <c r="N10997" t="s">
        <v>46569</v>
      </c>
      <c r="O10997" t="s">
        <v>46570</v>
      </c>
      <c r="P10997">
        <v>0</v>
      </c>
      <c r="Q10997">
        <v>0</v>
      </c>
      <c r="R10997" t="s">
        <v>46578</v>
      </c>
      <c r="S10997" t="s">
        <v>46874</v>
      </c>
      <c r="T10997" t="s">
        <v>48449</v>
      </c>
      <c r="U10997" t="s">
        <v>57612</v>
      </c>
      <c r="W10997" t="s">
        <v>45848</v>
      </c>
      <c r="X10997" t="s">
        <v>46579</v>
      </c>
    </row>
    <row r="10998" spans="1:24">
      <c r="A10998">
        <f>HYPERLINK("https://www.philgeps.gov.ph/GEPSNONPILOT/Tender/SplashBidNoticeAbstractUI.aspx?menuIndex=3&amp;refID=7052510&amp;Result=3","7052510")</f>
        <v>0</v>
      </c>
      <c r="B10998" t="s">
        <v>964</v>
      </c>
      <c r="C10998" t="s">
        <v>13951</v>
      </c>
      <c r="D10998" t="s">
        <v>18786</v>
      </c>
      <c r="E10998" t="s">
        <v>28368</v>
      </c>
      <c r="F10998" t="s">
        <v>32664</v>
      </c>
      <c r="G10998" t="s">
        <v>32672</v>
      </c>
      <c r="H10998" t="s">
        <v>32683</v>
      </c>
      <c r="I10998" t="s">
        <v>10627</v>
      </c>
      <c r="J10998" t="s">
        <v>39336</v>
      </c>
      <c r="K10998" t="s">
        <v>42333</v>
      </c>
      <c r="M10998" t="s">
        <v>43572</v>
      </c>
      <c r="N10998" t="s">
        <v>46569</v>
      </c>
      <c r="O10998" t="s">
        <v>46570</v>
      </c>
      <c r="P10998">
        <v>0</v>
      </c>
      <c r="Q10998">
        <v>0</v>
      </c>
      <c r="R10998" t="s">
        <v>46578</v>
      </c>
      <c r="S10998" t="s">
        <v>46874</v>
      </c>
      <c r="T10998" t="s">
        <v>48412</v>
      </c>
      <c r="U10998" t="s">
        <v>57613</v>
      </c>
      <c r="W10998" t="s">
        <v>63579</v>
      </c>
      <c r="X10998" t="s">
        <v>46579</v>
      </c>
    </row>
    <row r="10999" spans="1:24">
      <c r="A10999">
        <f>HYPERLINK("https://www.philgeps.gov.ph/GEPSNONPILOT/Tender/SplashBidNoticeAbstractUI.aspx?menuIndex=3&amp;refID=7052532&amp;Result=3","7052532")</f>
        <v>0</v>
      </c>
      <c r="B10999" t="s">
        <v>964</v>
      </c>
      <c r="C10999" t="s">
        <v>13952</v>
      </c>
      <c r="D10999" t="s">
        <v>18786</v>
      </c>
      <c r="E10999" t="s">
        <v>28369</v>
      </c>
      <c r="F10999" t="s">
        <v>32664</v>
      </c>
      <c r="G10999" t="s">
        <v>32672</v>
      </c>
      <c r="H10999" t="s">
        <v>32683</v>
      </c>
      <c r="I10999" t="s">
        <v>10627</v>
      </c>
      <c r="J10999" t="s">
        <v>39337</v>
      </c>
      <c r="K10999" t="s">
        <v>42484</v>
      </c>
      <c r="M10999" t="s">
        <v>43572</v>
      </c>
      <c r="N10999" t="s">
        <v>46569</v>
      </c>
      <c r="O10999" t="s">
        <v>46570</v>
      </c>
      <c r="P10999">
        <v>0</v>
      </c>
      <c r="Q10999">
        <v>0</v>
      </c>
      <c r="R10999" t="s">
        <v>46578</v>
      </c>
      <c r="S10999" t="s">
        <v>46874</v>
      </c>
      <c r="T10999" t="s">
        <v>48412</v>
      </c>
      <c r="U10999" t="s">
        <v>57614</v>
      </c>
      <c r="W10999" t="s">
        <v>63579</v>
      </c>
      <c r="X10999" t="s">
        <v>46579</v>
      </c>
    </row>
    <row r="11000" spans="1:24">
      <c r="A11000">
        <f>HYPERLINK("https://www.philgeps.gov.ph/GEPSNONPILOT/Tender/SplashBidNoticeAbstractUI.aspx?menuIndex=3&amp;refID=7052531&amp;Result=3","7052531")</f>
        <v>0</v>
      </c>
      <c r="B11000" t="s">
        <v>2990</v>
      </c>
      <c r="C11000" t="s">
        <v>13950</v>
      </c>
      <c r="E11000" t="s">
        <v>20314</v>
      </c>
      <c r="F11000" t="s">
        <v>32664</v>
      </c>
      <c r="G11000" t="s">
        <v>32672</v>
      </c>
      <c r="H11000" t="s">
        <v>32683</v>
      </c>
      <c r="I11000" t="s">
        <v>10627</v>
      </c>
      <c r="J11000" t="s">
        <v>39338</v>
      </c>
      <c r="K11000" t="s">
        <v>42283</v>
      </c>
      <c r="M11000" t="s">
        <v>45848</v>
      </c>
      <c r="N11000" t="s">
        <v>46569</v>
      </c>
      <c r="O11000" t="s">
        <v>46570</v>
      </c>
      <c r="P11000">
        <v>0</v>
      </c>
      <c r="Q11000">
        <v>0</v>
      </c>
      <c r="R11000" t="s">
        <v>46578</v>
      </c>
      <c r="S11000" t="s">
        <v>46874</v>
      </c>
      <c r="T11000" t="s">
        <v>48449</v>
      </c>
      <c r="U11000" t="s">
        <v>57615</v>
      </c>
      <c r="W11000" t="s">
        <v>45848</v>
      </c>
      <c r="X11000" t="s">
        <v>46579</v>
      </c>
    </row>
    <row r="11001" spans="1:24">
      <c r="A11001">
        <f>HYPERLINK("https://www.philgeps.gov.ph/GEPSNONPILOT/Tender/SplashBidNoticeAbstractUI.aspx?menuIndex=3&amp;refID=7052526&amp;Result=3","7052526")</f>
        <v>0</v>
      </c>
      <c r="B11001" t="s">
        <v>2990</v>
      </c>
      <c r="C11001" t="s">
        <v>7955</v>
      </c>
      <c r="E11001" t="s">
        <v>20077</v>
      </c>
      <c r="F11001" t="s">
        <v>32664</v>
      </c>
      <c r="G11001" t="s">
        <v>32672</v>
      </c>
      <c r="H11001" t="s">
        <v>32683</v>
      </c>
      <c r="I11001" t="s">
        <v>10627</v>
      </c>
      <c r="J11001" t="s">
        <v>39339</v>
      </c>
      <c r="K11001" t="s">
        <v>42283</v>
      </c>
      <c r="M11001" t="s">
        <v>45848</v>
      </c>
      <c r="N11001" t="s">
        <v>46569</v>
      </c>
      <c r="O11001" t="s">
        <v>46570</v>
      </c>
      <c r="P11001">
        <v>0</v>
      </c>
      <c r="Q11001">
        <v>0</v>
      </c>
      <c r="R11001" t="s">
        <v>46578</v>
      </c>
      <c r="S11001" t="s">
        <v>46874</v>
      </c>
      <c r="T11001" t="s">
        <v>48449</v>
      </c>
      <c r="U11001" t="s">
        <v>57616</v>
      </c>
      <c r="W11001" t="s">
        <v>45848</v>
      </c>
      <c r="X11001" t="s">
        <v>46579</v>
      </c>
    </row>
    <row r="11002" spans="1:24">
      <c r="A11002">
        <f>HYPERLINK("https://www.philgeps.gov.ph/GEPSNONPILOT/Tender/SplashBidNoticeAbstractUI.aspx?menuIndex=3&amp;refID=7052495&amp;Result=3","7052495")</f>
        <v>0</v>
      </c>
      <c r="B11002" t="s">
        <v>131</v>
      </c>
      <c r="C11002" t="s">
        <v>13953</v>
      </c>
      <c r="D11002" t="s">
        <v>18829</v>
      </c>
      <c r="E11002" t="s">
        <v>28370</v>
      </c>
      <c r="F11002" t="s">
        <v>32666</v>
      </c>
      <c r="G11002" t="s">
        <v>32672</v>
      </c>
      <c r="H11002" t="s">
        <v>12635</v>
      </c>
      <c r="I11002" t="s">
        <v>32716</v>
      </c>
      <c r="J11002" t="s">
        <v>39340</v>
      </c>
      <c r="K11002" t="s">
        <v>42297</v>
      </c>
      <c r="M11002" t="s">
        <v>42695</v>
      </c>
      <c r="N11002" t="s">
        <v>46569</v>
      </c>
      <c r="O11002" t="s">
        <v>46570</v>
      </c>
      <c r="P11002">
        <v>0</v>
      </c>
      <c r="Q11002">
        <v>0</v>
      </c>
      <c r="R11002" t="s">
        <v>46578</v>
      </c>
      <c r="S11002" t="s">
        <v>46874</v>
      </c>
      <c r="T11002" t="s">
        <v>48350</v>
      </c>
      <c r="U11002" t="s">
        <v>57617</v>
      </c>
      <c r="W11002" t="s">
        <v>42695</v>
      </c>
      <c r="X11002" t="s">
        <v>46579</v>
      </c>
    </row>
    <row r="11003" spans="1:24">
      <c r="A11003">
        <f>HYPERLINK("https://www.philgeps.gov.ph/GEPSNONPILOT/Tender/SplashBidNoticeAbstractUI.aspx?menuIndex=3&amp;refID=7052525&amp;Result=3","7052525")</f>
        <v>0</v>
      </c>
      <c r="B11003" t="s">
        <v>2181</v>
      </c>
      <c r="C11003" t="s">
        <v>13954</v>
      </c>
      <c r="D11003" t="s">
        <v>18781</v>
      </c>
      <c r="E11003" t="s">
        <v>28371</v>
      </c>
      <c r="F11003" t="s">
        <v>32664</v>
      </c>
      <c r="G11003" t="s">
        <v>32672</v>
      </c>
      <c r="H11003" t="s">
        <v>32683</v>
      </c>
      <c r="I11003" t="s">
        <v>10627</v>
      </c>
      <c r="J11003" t="s">
        <v>39341</v>
      </c>
      <c r="K11003" t="s">
        <v>42514</v>
      </c>
      <c r="M11003" t="s">
        <v>44941</v>
      </c>
      <c r="N11003" t="s">
        <v>46569</v>
      </c>
      <c r="O11003" t="s">
        <v>46570</v>
      </c>
      <c r="P11003">
        <v>0</v>
      </c>
      <c r="Q11003">
        <v>5</v>
      </c>
      <c r="R11003" t="s">
        <v>46578</v>
      </c>
      <c r="S11003" t="s">
        <v>46874</v>
      </c>
      <c r="T11003" t="s">
        <v>48238</v>
      </c>
      <c r="U11003" t="s">
        <v>57618</v>
      </c>
      <c r="W11003" t="s">
        <v>44941</v>
      </c>
      <c r="X11003" t="s">
        <v>46579</v>
      </c>
    </row>
    <row r="11004" spans="1:24">
      <c r="A11004">
        <f>HYPERLINK("https://www.philgeps.gov.ph/GEPSNONPILOT/Tender/SplashBidNoticeAbstractUI.aspx?menuIndex=3&amp;refID=7052524&amp;Result=3","7052524")</f>
        <v>0</v>
      </c>
      <c r="B11004" t="s">
        <v>2985</v>
      </c>
      <c r="C11004" t="s">
        <v>13955</v>
      </c>
      <c r="D11004" t="s">
        <v>18857</v>
      </c>
      <c r="E11004" t="s">
        <v>28372</v>
      </c>
      <c r="F11004" t="s">
        <v>32664</v>
      </c>
      <c r="G11004" t="s">
        <v>32677</v>
      </c>
      <c r="H11004" t="s">
        <v>12635</v>
      </c>
      <c r="I11004" t="s">
        <v>11464</v>
      </c>
      <c r="J11004" t="s">
        <v>32943</v>
      </c>
      <c r="K11004" t="s">
        <v>42284</v>
      </c>
      <c r="M11004" t="s">
        <v>45843</v>
      </c>
      <c r="N11004" t="s">
        <v>46569</v>
      </c>
      <c r="O11004" t="s">
        <v>46570</v>
      </c>
      <c r="P11004">
        <v>0</v>
      </c>
      <c r="Q11004">
        <v>2</v>
      </c>
      <c r="R11004" t="s">
        <v>46578</v>
      </c>
      <c r="S11004" t="s">
        <v>46874</v>
      </c>
      <c r="T11004" t="s">
        <v>48256</v>
      </c>
      <c r="U11004" t="s">
        <v>57619</v>
      </c>
      <c r="W11004" t="s">
        <v>45843</v>
      </c>
      <c r="X11004" t="s">
        <v>46579</v>
      </c>
    </row>
    <row r="11005" spans="1:24">
      <c r="A11005">
        <f>HYPERLINK("https://www.philgeps.gov.ph/GEPSNONPILOT/Tender/SplashBidNoticeAbstractUI.aspx?menuIndex=3&amp;refID=7052517&amp;Result=3","7052517")</f>
        <v>0</v>
      </c>
      <c r="B11005" t="s">
        <v>2274</v>
      </c>
      <c r="C11005" t="s">
        <v>13956</v>
      </c>
      <c r="D11005" t="s">
        <v>18817</v>
      </c>
      <c r="E11005" t="s">
        <v>28373</v>
      </c>
      <c r="F11005" t="s">
        <v>32664</v>
      </c>
      <c r="G11005" t="s">
        <v>32672</v>
      </c>
      <c r="H11005" t="s">
        <v>12635</v>
      </c>
      <c r="I11005" t="s">
        <v>32690</v>
      </c>
      <c r="J11005" t="s">
        <v>33078</v>
      </c>
      <c r="K11005" t="s">
        <v>42289</v>
      </c>
      <c r="M11005" t="s">
        <v>45041</v>
      </c>
      <c r="N11005" t="s">
        <v>46569</v>
      </c>
      <c r="O11005" t="s">
        <v>46570</v>
      </c>
      <c r="P11005">
        <v>0</v>
      </c>
      <c r="Q11005">
        <v>3</v>
      </c>
      <c r="R11005" t="s">
        <v>46578</v>
      </c>
      <c r="S11005" t="s">
        <v>46874</v>
      </c>
      <c r="T11005" t="s">
        <v>48313</v>
      </c>
      <c r="U11005" t="s">
        <v>57620</v>
      </c>
      <c r="W11005" t="s">
        <v>45041</v>
      </c>
      <c r="X11005" t="s">
        <v>46579</v>
      </c>
    </row>
    <row r="11006" spans="1:24">
      <c r="A11006">
        <f>HYPERLINK("https://www.philgeps.gov.ph/GEPSNONPILOT/Tender/SplashBidNoticeAbstractUI.aspx?menuIndex=3&amp;refID=7052536&amp;Result=3","7052536")</f>
        <v>0</v>
      </c>
      <c r="B11006" t="s">
        <v>2990</v>
      </c>
      <c r="C11006" t="s">
        <v>13950</v>
      </c>
      <c r="E11006" t="s">
        <v>22083</v>
      </c>
      <c r="F11006" t="s">
        <v>32664</v>
      </c>
      <c r="G11006" t="s">
        <v>32672</v>
      </c>
      <c r="H11006" t="s">
        <v>32683</v>
      </c>
      <c r="I11006" t="s">
        <v>10627</v>
      </c>
      <c r="J11006" t="s">
        <v>39342</v>
      </c>
      <c r="K11006" t="s">
        <v>42283</v>
      </c>
      <c r="M11006" t="s">
        <v>45848</v>
      </c>
      <c r="N11006" t="s">
        <v>46569</v>
      </c>
      <c r="O11006" t="s">
        <v>46570</v>
      </c>
      <c r="P11006">
        <v>0</v>
      </c>
      <c r="Q11006">
        <v>0</v>
      </c>
      <c r="R11006" t="s">
        <v>46578</v>
      </c>
      <c r="S11006" t="s">
        <v>46874</v>
      </c>
      <c r="T11006" t="s">
        <v>48449</v>
      </c>
      <c r="U11006" t="s">
        <v>57621</v>
      </c>
      <c r="W11006" t="s">
        <v>45848</v>
      </c>
      <c r="X11006" t="s">
        <v>46579</v>
      </c>
    </row>
    <row r="11007" spans="1:24">
      <c r="A11007">
        <f>HYPERLINK("https://www.philgeps.gov.ph/GEPSNONPILOT/Tender/SplashBidNoticeAbstractUI.aspx?menuIndex=3&amp;refID=7052560&amp;Result=3","7052560")</f>
        <v>0</v>
      </c>
      <c r="B11007" t="s">
        <v>2990</v>
      </c>
      <c r="C11007" t="s">
        <v>10792</v>
      </c>
      <c r="E11007" t="s">
        <v>20418</v>
      </c>
      <c r="F11007" t="s">
        <v>32664</v>
      </c>
      <c r="G11007" t="s">
        <v>32672</v>
      </c>
      <c r="H11007" t="s">
        <v>32683</v>
      </c>
      <c r="I11007" t="s">
        <v>10627</v>
      </c>
      <c r="J11007" t="s">
        <v>39343</v>
      </c>
      <c r="K11007" t="s">
        <v>42283</v>
      </c>
      <c r="M11007" t="s">
        <v>45848</v>
      </c>
      <c r="N11007" t="s">
        <v>46569</v>
      </c>
      <c r="O11007" t="s">
        <v>46570</v>
      </c>
      <c r="P11007">
        <v>0</v>
      </c>
      <c r="Q11007">
        <v>0</v>
      </c>
      <c r="R11007" t="s">
        <v>46578</v>
      </c>
      <c r="S11007" t="s">
        <v>46874</v>
      </c>
      <c r="T11007" t="s">
        <v>48449</v>
      </c>
      <c r="U11007" t="s">
        <v>57622</v>
      </c>
      <c r="W11007" t="s">
        <v>45848</v>
      </c>
      <c r="X11007" t="s">
        <v>46579</v>
      </c>
    </row>
    <row r="11008" spans="1:24">
      <c r="A11008">
        <f>HYPERLINK("https://www.philgeps.gov.ph/GEPSNONPILOT/Tender/SplashBidNoticeAbstractUI.aspx?menuIndex=3&amp;refID=7052621&amp;Result=3","7052621")</f>
        <v>0</v>
      </c>
      <c r="B11008" t="s">
        <v>2665</v>
      </c>
      <c r="C11008" t="s">
        <v>13957</v>
      </c>
      <c r="D11008" t="s">
        <v>18832</v>
      </c>
      <c r="E11008" t="s">
        <v>28374</v>
      </c>
      <c r="F11008" t="s">
        <v>32664</v>
      </c>
      <c r="G11008" t="s">
        <v>32672</v>
      </c>
      <c r="H11008" t="s">
        <v>12635</v>
      </c>
      <c r="I11008" t="s">
        <v>4439</v>
      </c>
      <c r="J11008" t="s">
        <v>39344</v>
      </c>
      <c r="K11008" t="s">
        <v>42281</v>
      </c>
      <c r="M11008" t="s">
        <v>45487</v>
      </c>
      <c r="N11008" t="s">
        <v>46569</v>
      </c>
      <c r="O11008" t="s">
        <v>46570</v>
      </c>
      <c r="P11008">
        <v>0</v>
      </c>
      <c r="Q11008">
        <v>0</v>
      </c>
      <c r="R11008" t="s">
        <v>46578</v>
      </c>
      <c r="S11008" t="s">
        <v>46874</v>
      </c>
      <c r="T11008" t="s">
        <v>48473</v>
      </c>
      <c r="U11008" t="s">
        <v>56323</v>
      </c>
      <c r="W11008" t="s">
        <v>45487</v>
      </c>
      <c r="X11008" t="s">
        <v>46579</v>
      </c>
    </row>
    <row r="11009" spans="1:24">
      <c r="A11009">
        <f>HYPERLINK("https://www.philgeps.gov.ph/GEPSNONPILOT/Tender/SplashBidNoticeAbstractUI.aspx?menuIndex=3&amp;refID=7052475&amp;Result=3","7052475")</f>
        <v>0</v>
      </c>
      <c r="B11009" t="s">
        <v>1194</v>
      </c>
      <c r="C11009" t="s">
        <v>13958</v>
      </c>
      <c r="D11009" t="s">
        <v>18782</v>
      </c>
      <c r="E11009" t="s">
        <v>28375</v>
      </c>
      <c r="F11009" t="s">
        <v>32664</v>
      </c>
      <c r="G11009" t="s">
        <v>32672</v>
      </c>
      <c r="H11009" t="s">
        <v>32683</v>
      </c>
      <c r="I11009" t="s">
        <v>10627</v>
      </c>
      <c r="J11009" t="s">
        <v>32865</v>
      </c>
      <c r="K11009" t="s">
        <v>42359</v>
      </c>
      <c r="M11009" t="s">
        <v>45840</v>
      </c>
      <c r="N11009" t="s">
        <v>46569</v>
      </c>
      <c r="O11009" t="s">
        <v>46570</v>
      </c>
      <c r="Q11009">
        <v>0</v>
      </c>
      <c r="R11009" t="s">
        <v>46578</v>
      </c>
      <c r="S11009" t="s">
        <v>46913</v>
      </c>
      <c r="T11009" t="s">
        <v>48212</v>
      </c>
      <c r="U11009" t="s">
        <v>57623</v>
      </c>
      <c r="W11009" t="s">
        <v>45840</v>
      </c>
      <c r="X11009" t="s">
        <v>46579</v>
      </c>
    </row>
    <row r="11010" spans="1:24">
      <c r="A11010">
        <f>HYPERLINK("https://www.philgeps.gov.ph/GEPSNONPILOT/Tender/SplashBidNoticeAbstractUI.aspx?menuIndex=3&amp;refID=7052619&amp;Result=3","7052619")</f>
        <v>0</v>
      </c>
      <c r="B11010" t="s">
        <v>2991</v>
      </c>
      <c r="C11010" t="s">
        <v>13959</v>
      </c>
      <c r="D11010" t="s">
        <v>18784</v>
      </c>
      <c r="E11010" t="s">
        <v>28376</v>
      </c>
      <c r="F11010" t="s">
        <v>32664</v>
      </c>
      <c r="G11010" t="s">
        <v>32671</v>
      </c>
      <c r="H11010" t="s">
        <v>12635</v>
      </c>
      <c r="I11010" t="s">
        <v>13883</v>
      </c>
      <c r="J11010" t="s">
        <v>39345</v>
      </c>
      <c r="K11010" t="s">
        <v>42283</v>
      </c>
      <c r="M11010" t="s">
        <v>45849</v>
      </c>
      <c r="N11010" t="s">
        <v>46569</v>
      </c>
      <c r="O11010" t="s">
        <v>46570</v>
      </c>
      <c r="P11010">
        <v>0</v>
      </c>
      <c r="Q11010">
        <v>4</v>
      </c>
      <c r="R11010" t="s">
        <v>46578</v>
      </c>
      <c r="S11010" t="s">
        <v>46874</v>
      </c>
      <c r="T11010" t="s">
        <v>48287</v>
      </c>
      <c r="U11010" t="s">
        <v>57624</v>
      </c>
      <c r="V11010" t="s">
        <v>62814</v>
      </c>
      <c r="W11010" t="s">
        <v>45849</v>
      </c>
      <c r="X11010" t="s">
        <v>46579</v>
      </c>
    </row>
    <row r="11011" spans="1:24">
      <c r="A11011">
        <f>HYPERLINK("https://www.philgeps.gov.ph/GEPSNONPILOT/Tender/SplashBidNoticeAbstractUI.aspx?menuIndex=3&amp;refID=7052617&amp;Result=3","7052617")</f>
        <v>0</v>
      </c>
      <c r="B11011" t="s">
        <v>2022</v>
      </c>
      <c r="C11011" t="s">
        <v>13960</v>
      </c>
      <c r="D11011" t="s">
        <v>18806</v>
      </c>
      <c r="E11011" t="s">
        <v>28377</v>
      </c>
      <c r="F11011" t="s">
        <v>32664</v>
      </c>
      <c r="G11011" t="s">
        <v>32672</v>
      </c>
      <c r="H11011" t="s">
        <v>12635</v>
      </c>
      <c r="I11011" t="s">
        <v>32779</v>
      </c>
      <c r="J11011" t="s">
        <v>39346</v>
      </c>
      <c r="K11011" t="s">
        <v>42281</v>
      </c>
      <c r="M11011" t="s">
        <v>44764</v>
      </c>
      <c r="N11011" t="s">
        <v>46569</v>
      </c>
      <c r="O11011" t="s">
        <v>46570</v>
      </c>
      <c r="P11011">
        <v>0</v>
      </c>
      <c r="Q11011">
        <v>3</v>
      </c>
      <c r="R11011" t="s">
        <v>46578</v>
      </c>
      <c r="S11011" t="s">
        <v>46874</v>
      </c>
      <c r="T11011" t="s">
        <v>48571</v>
      </c>
      <c r="U11011" t="s">
        <v>57625</v>
      </c>
      <c r="W11011" t="s">
        <v>44764</v>
      </c>
      <c r="X11011" t="s">
        <v>46579</v>
      </c>
    </row>
    <row r="11012" spans="1:24">
      <c r="A11012">
        <f>HYPERLINK("https://www.philgeps.gov.ph/GEPSNONPILOT/Tender/SplashBidNoticeAbstractUI.aspx?menuIndex=3&amp;refID=7052602&amp;Result=3","7052602")</f>
        <v>0</v>
      </c>
      <c r="B11012" t="s">
        <v>2665</v>
      </c>
      <c r="C11012" t="s">
        <v>13961</v>
      </c>
      <c r="D11012" t="s">
        <v>18832</v>
      </c>
      <c r="E11012" t="s">
        <v>28378</v>
      </c>
      <c r="F11012" t="s">
        <v>32664</v>
      </c>
      <c r="G11012" t="s">
        <v>32672</v>
      </c>
      <c r="H11012" t="s">
        <v>12635</v>
      </c>
      <c r="I11012" t="s">
        <v>4439</v>
      </c>
      <c r="J11012" t="s">
        <v>39347</v>
      </c>
      <c r="K11012" t="s">
        <v>42281</v>
      </c>
      <c r="M11012" t="s">
        <v>45487</v>
      </c>
      <c r="N11012" t="s">
        <v>46569</v>
      </c>
      <c r="O11012" t="s">
        <v>46570</v>
      </c>
      <c r="P11012">
        <v>0</v>
      </c>
      <c r="Q11012">
        <v>0</v>
      </c>
      <c r="R11012" t="s">
        <v>46578</v>
      </c>
      <c r="S11012" t="s">
        <v>46874</v>
      </c>
      <c r="T11012" t="s">
        <v>48473</v>
      </c>
      <c r="U11012" t="s">
        <v>56323</v>
      </c>
      <c r="W11012" t="s">
        <v>45487</v>
      </c>
      <c r="X11012" t="s">
        <v>46579</v>
      </c>
    </row>
    <row r="11013" spans="1:24">
      <c r="A11013">
        <f>HYPERLINK("https://www.philgeps.gov.ph/GEPSNONPILOT/Tender/SplashBidNoticeAbstractUI.aspx?menuIndex=3&amp;refID=7052615&amp;Result=3","7052615")</f>
        <v>0</v>
      </c>
      <c r="B11013" t="s">
        <v>940</v>
      </c>
      <c r="C11013" t="s">
        <v>13962</v>
      </c>
      <c r="D11013" t="s">
        <v>18784</v>
      </c>
      <c r="E11013" t="s">
        <v>28379</v>
      </c>
      <c r="F11013" t="s">
        <v>32664</v>
      </c>
      <c r="G11013" t="s">
        <v>32672</v>
      </c>
      <c r="H11013" t="s">
        <v>12635</v>
      </c>
      <c r="I11013" t="s">
        <v>32734</v>
      </c>
      <c r="J11013" t="s">
        <v>39348</v>
      </c>
      <c r="K11013" t="s">
        <v>42291</v>
      </c>
      <c r="M11013" t="s">
        <v>45850</v>
      </c>
      <c r="N11013" t="s">
        <v>46569</v>
      </c>
      <c r="O11013" t="s">
        <v>46570</v>
      </c>
      <c r="P11013">
        <v>0</v>
      </c>
      <c r="Q11013">
        <v>12</v>
      </c>
      <c r="R11013" t="s">
        <v>46578</v>
      </c>
      <c r="S11013" t="s">
        <v>46874</v>
      </c>
      <c r="T11013" t="s">
        <v>48412</v>
      </c>
      <c r="U11013" t="s">
        <v>57626</v>
      </c>
      <c r="W11013" t="s">
        <v>45850</v>
      </c>
      <c r="X11013" t="s">
        <v>46579</v>
      </c>
    </row>
    <row r="11014" spans="1:24">
      <c r="A11014">
        <f>HYPERLINK("https://www.philgeps.gov.ph/GEPSNONPILOT/Tender/SplashBidNoticeAbstractUI.aspx?menuIndex=3&amp;refID=7052607&amp;Result=3","7052607")</f>
        <v>0</v>
      </c>
      <c r="B11014" t="s">
        <v>2992</v>
      </c>
      <c r="C11014" t="s">
        <v>13963</v>
      </c>
      <c r="D11014" t="s">
        <v>18793</v>
      </c>
      <c r="E11014" t="s">
        <v>28380</v>
      </c>
      <c r="F11014" t="s">
        <v>32664</v>
      </c>
      <c r="G11014" t="s">
        <v>32672</v>
      </c>
      <c r="H11014" t="s">
        <v>32683</v>
      </c>
      <c r="I11014" t="s">
        <v>10627</v>
      </c>
      <c r="J11014" t="s">
        <v>39349</v>
      </c>
      <c r="K11014" t="s">
        <v>42298</v>
      </c>
      <c r="M11014" t="s">
        <v>45851</v>
      </c>
      <c r="N11014" t="s">
        <v>46569</v>
      </c>
      <c r="O11014" t="s">
        <v>46570</v>
      </c>
      <c r="P11014">
        <v>0</v>
      </c>
      <c r="Q11014">
        <v>0</v>
      </c>
      <c r="R11014" t="s">
        <v>46578</v>
      </c>
      <c r="S11014" t="s">
        <v>46874</v>
      </c>
      <c r="T11014" t="s">
        <v>48238</v>
      </c>
      <c r="U11014" t="s">
        <v>57627</v>
      </c>
      <c r="W11014" t="s">
        <v>45851</v>
      </c>
      <c r="X11014" t="s">
        <v>46579</v>
      </c>
    </row>
    <row r="11015" spans="1:24">
      <c r="A11015">
        <f>HYPERLINK("https://www.philgeps.gov.ph/GEPSNONPILOT/Tender/SplashBidNoticeAbstractUI.aspx?menuIndex=3&amp;refID=7052539&amp;Result=3","7052539")</f>
        <v>0</v>
      </c>
      <c r="B11015" t="s">
        <v>2990</v>
      </c>
      <c r="C11015" t="s">
        <v>13942</v>
      </c>
      <c r="E11015" t="s">
        <v>19716</v>
      </c>
      <c r="F11015" t="s">
        <v>32664</v>
      </c>
      <c r="G11015" t="s">
        <v>32672</v>
      </c>
      <c r="H11015" t="s">
        <v>32683</v>
      </c>
      <c r="I11015" t="s">
        <v>10627</v>
      </c>
      <c r="J11015" t="s">
        <v>39350</v>
      </c>
      <c r="K11015" t="s">
        <v>42283</v>
      </c>
      <c r="M11015" t="s">
        <v>45848</v>
      </c>
      <c r="N11015" t="s">
        <v>46569</v>
      </c>
      <c r="O11015" t="s">
        <v>46570</v>
      </c>
      <c r="P11015">
        <v>0</v>
      </c>
      <c r="Q11015">
        <v>0</v>
      </c>
      <c r="R11015" t="s">
        <v>46578</v>
      </c>
      <c r="S11015" t="s">
        <v>46874</v>
      </c>
      <c r="T11015" t="s">
        <v>48449</v>
      </c>
      <c r="U11015" t="s">
        <v>57628</v>
      </c>
      <c r="W11015" t="s">
        <v>45848</v>
      </c>
      <c r="X11015" t="s">
        <v>46579</v>
      </c>
    </row>
    <row r="11016" spans="1:24">
      <c r="A11016">
        <f>HYPERLINK("https://www.philgeps.gov.ph/GEPSNONPILOT/Tender/SplashBidNoticeAbstractUI.aspx?menuIndex=3&amp;refID=7052590&amp;Result=3","7052590")</f>
        <v>0</v>
      </c>
      <c r="B11016" t="s">
        <v>2992</v>
      </c>
      <c r="C11016" t="s">
        <v>13964</v>
      </c>
      <c r="D11016" t="s">
        <v>18793</v>
      </c>
      <c r="E11016" t="s">
        <v>24273</v>
      </c>
      <c r="F11016" t="s">
        <v>32664</v>
      </c>
      <c r="G11016" t="s">
        <v>32672</v>
      </c>
      <c r="H11016" t="s">
        <v>32683</v>
      </c>
      <c r="I11016" t="s">
        <v>10627</v>
      </c>
      <c r="J11016" t="s">
        <v>39351</v>
      </c>
      <c r="K11016" t="s">
        <v>42281</v>
      </c>
      <c r="M11016" t="s">
        <v>45851</v>
      </c>
      <c r="N11016" t="s">
        <v>46569</v>
      </c>
      <c r="O11016" t="s">
        <v>46570</v>
      </c>
      <c r="P11016">
        <v>0</v>
      </c>
      <c r="Q11016">
        <v>1</v>
      </c>
      <c r="R11016" t="s">
        <v>46578</v>
      </c>
      <c r="S11016" t="s">
        <v>46874</v>
      </c>
      <c r="T11016" t="s">
        <v>48238</v>
      </c>
      <c r="U11016" t="s">
        <v>57629</v>
      </c>
      <c r="W11016" t="s">
        <v>45851</v>
      </c>
      <c r="X11016" t="s">
        <v>46579</v>
      </c>
    </row>
    <row r="11017" spans="1:24">
      <c r="A11017">
        <f>HYPERLINK("https://www.philgeps.gov.ph/GEPSNONPILOT/Tender/SplashBidNoticeAbstractUI.aspx?menuIndex=3&amp;refID=7052585&amp;Result=3","7052585")</f>
        <v>0</v>
      </c>
      <c r="B11017" t="s">
        <v>1663</v>
      </c>
      <c r="C11017" t="s">
        <v>13965</v>
      </c>
      <c r="D11017" t="s">
        <v>18834</v>
      </c>
      <c r="E11017" t="s">
        <v>28381</v>
      </c>
      <c r="F11017" t="s">
        <v>32664</v>
      </c>
      <c r="G11017" t="s">
        <v>32672</v>
      </c>
      <c r="H11017" t="s">
        <v>12635</v>
      </c>
      <c r="I11017" t="s">
        <v>10361</v>
      </c>
      <c r="J11017" t="s">
        <v>34023</v>
      </c>
      <c r="K11017" t="s">
        <v>42311</v>
      </c>
      <c r="M11017" t="s">
        <v>44349</v>
      </c>
      <c r="N11017" t="s">
        <v>46569</v>
      </c>
      <c r="O11017" t="s">
        <v>46570</v>
      </c>
      <c r="P11017">
        <v>0</v>
      </c>
      <c r="Q11017">
        <v>1</v>
      </c>
      <c r="R11017" t="s">
        <v>46578</v>
      </c>
      <c r="S11017" t="s">
        <v>46874</v>
      </c>
      <c r="T11017" t="s">
        <v>48573</v>
      </c>
      <c r="U11017" t="s">
        <v>57630</v>
      </c>
      <c r="W11017" t="s">
        <v>44349</v>
      </c>
      <c r="X11017" t="s">
        <v>46579</v>
      </c>
    </row>
    <row r="11018" spans="1:24">
      <c r="A11018">
        <f>HYPERLINK("https://www.philgeps.gov.ph/GEPSNONPILOT/Tender/SplashBidNoticeAbstractUI.aspx?menuIndex=3&amp;refID=7052573&amp;Result=3","7052573")</f>
        <v>0</v>
      </c>
      <c r="B11018" t="s">
        <v>2990</v>
      </c>
      <c r="C11018" t="s">
        <v>13966</v>
      </c>
      <c r="E11018" t="s">
        <v>19721</v>
      </c>
      <c r="F11018" t="s">
        <v>32664</v>
      </c>
      <c r="G11018" t="s">
        <v>32672</v>
      </c>
      <c r="H11018" t="s">
        <v>32683</v>
      </c>
      <c r="I11018" t="s">
        <v>10627</v>
      </c>
      <c r="J11018" t="s">
        <v>39352</v>
      </c>
      <c r="K11018" t="s">
        <v>42283</v>
      </c>
      <c r="M11018" t="s">
        <v>45848</v>
      </c>
      <c r="N11018" t="s">
        <v>46569</v>
      </c>
      <c r="O11018" t="s">
        <v>46570</v>
      </c>
      <c r="P11018">
        <v>0</v>
      </c>
      <c r="Q11018">
        <v>0</v>
      </c>
      <c r="R11018" t="s">
        <v>46578</v>
      </c>
      <c r="S11018" t="s">
        <v>46874</v>
      </c>
      <c r="T11018" t="s">
        <v>48449</v>
      </c>
      <c r="U11018" t="s">
        <v>57631</v>
      </c>
      <c r="W11018" t="s">
        <v>45848</v>
      </c>
      <c r="X11018" t="s">
        <v>46579</v>
      </c>
    </row>
    <row r="11019" spans="1:24">
      <c r="A11019">
        <f>HYPERLINK("https://www.philgeps.gov.ph/GEPSNONPILOT/Tender/SplashBidNoticeAbstractUI.aspx?menuIndex=3&amp;refID=7052601&amp;Result=3","7052601")</f>
        <v>0</v>
      </c>
      <c r="B11019" t="s">
        <v>582</v>
      </c>
      <c r="C11019" t="s">
        <v>13967</v>
      </c>
      <c r="D11019" t="s">
        <v>18806</v>
      </c>
      <c r="E11019" t="s">
        <v>27999</v>
      </c>
      <c r="F11019" t="s">
        <v>32664</v>
      </c>
      <c r="G11019" t="s">
        <v>32672</v>
      </c>
      <c r="H11019" t="s">
        <v>12635</v>
      </c>
      <c r="I11019" t="s">
        <v>32715</v>
      </c>
      <c r="J11019" t="s">
        <v>32859</v>
      </c>
      <c r="K11019" t="s">
        <v>42281</v>
      </c>
      <c r="M11019" t="s">
        <v>43162</v>
      </c>
      <c r="N11019" t="s">
        <v>46569</v>
      </c>
      <c r="O11019" t="s">
        <v>46570</v>
      </c>
      <c r="P11019">
        <v>0</v>
      </c>
      <c r="Q11019">
        <v>0</v>
      </c>
      <c r="R11019" t="s">
        <v>46578</v>
      </c>
      <c r="S11019" t="s">
        <v>46874</v>
      </c>
      <c r="T11019" t="s">
        <v>48313</v>
      </c>
      <c r="U11019" t="s">
        <v>57632</v>
      </c>
      <c r="V11019" t="s">
        <v>62813</v>
      </c>
      <c r="W11019" t="s">
        <v>43162</v>
      </c>
      <c r="X11019" t="s">
        <v>46579</v>
      </c>
    </row>
    <row r="11020" spans="1:24">
      <c r="A11020">
        <f>HYPERLINK("https://www.philgeps.gov.ph/GEPSNONPILOT/Tender/SplashBidNoticeAbstractUI.aspx?menuIndex=3&amp;refID=7052575&amp;Result=3","7052575")</f>
        <v>0</v>
      </c>
      <c r="B11020" t="s">
        <v>2989</v>
      </c>
      <c r="C11020" t="s">
        <v>13968</v>
      </c>
      <c r="D11020" t="s">
        <v>18792</v>
      </c>
      <c r="E11020" t="s">
        <v>19708</v>
      </c>
      <c r="F11020" t="s">
        <v>32664</v>
      </c>
      <c r="G11020" t="s">
        <v>32672</v>
      </c>
      <c r="H11020" t="s">
        <v>12635</v>
      </c>
      <c r="I11020" t="s">
        <v>32700</v>
      </c>
      <c r="J11020" t="s">
        <v>39353</v>
      </c>
      <c r="K11020" t="s">
        <v>42289</v>
      </c>
      <c r="M11020" t="s">
        <v>45847</v>
      </c>
      <c r="N11020" t="s">
        <v>46569</v>
      </c>
      <c r="O11020" t="s">
        <v>46570</v>
      </c>
      <c r="P11020">
        <v>0</v>
      </c>
      <c r="Q11020">
        <v>0</v>
      </c>
      <c r="R11020" t="s">
        <v>46578</v>
      </c>
      <c r="S11020" t="s">
        <v>46874</v>
      </c>
      <c r="T11020" t="s">
        <v>48254</v>
      </c>
      <c r="U11020" t="s">
        <v>57633</v>
      </c>
      <c r="W11020" t="s">
        <v>45847</v>
      </c>
      <c r="X11020" t="s">
        <v>46579</v>
      </c>
    </row>
    <row r="11021" spans="1:24">
      <c r="A11021">
        <f>HYPERLINK("https://www.philgeps.gov.ph/GEPSNONPILOT/Tender/SplashBidNoticeAbstractUI.aspx?menuIndex=3&amp;refID=7052661&amp;Result=3","7052661")</f>
        <v>0</v>
      </c>
      <c r="B11021" t="s">
        <v>1660</v>
      </c>
      <c r="C11021" t="s">
        <v>13969</v>
      </c>
      <c r="D11021" t="s">
        <v>18783</v>
      </c>
      <c r="E11021" t="s">
        <v>28382</v>
      </c>
      <c r="F11021" t="s">
        <v>32664</v>
      </c>
      <c r="G11021" t="s">
        <v>32672</v>
      </c>
      <c r="H11021" t="s">
        <v>12635</v>
      </c>
      <c r="I11021" t="s">
        <v>11464</v>
      </c>
      <c r="J11021" t="s">
        <v>32930</v>
      </c>
      <c r="K11021" t="s">
        <v>42283</v>
      </c>
      <c r="M11021" t="s">
        <v>44345</v>
      </c>
      <c r="N11021" t="s">
        <v>46569</v>
      </c>
      <c r="O11021" t="s">
        <v>46570</v>
      </c>
      <c r="P11021">
        <v>0</v>
      </c>
      <c r="Q11021">
        <v>5</v>
      </c>
      <c r="R11021" t="s">
        <v>46578</v>
      </c>
      <c r="S11021" t="s">
        <v>46874</v>
      </c>
      <c r="T11021" t="s">
        <v>48571</v>
      </c>
      <c r="U11021" t="s">
        <v>57634</v>
      </c>
      <c r="W11021" t="s">
        <v>44347</v>
      </c>
      <c r="X11021" t="s">
        <v>46579</v>
      </c>
    </row>
    <row r="11022" spans="1:24">
      <c r="A11022">
        <f>HYPERLINK("https://www.philgeps.gov.ph/GEPSNONPILOT/Tender/SplashBidNoticeAbstractUI.aspx?menuIndex=3&amp;refID=7052577&amp;Result=3","7052577")</f>
        <v>0</v>
      </c>
      <c r="B11022" t="s">
        <v>2975</v>
      </c>
      <c r="C11022" t="s">
        <v>13970</v>
      </c>
      <c r="E11022" t="s">
        <v>28383</v>
      </c>
      <c r="F11022" t="s">
        <v>32664</v>
      </c>
      <c r="G11022" t="s">
        <v>32671</v>
      </c>
      <c r="H11022" t="s">
        <v>12635</v>
      </c>
      <c r="I11022" t="s">
        <v>6223</v>
      </c>
      <c r="J11022" t="s">
        <v>36406</v>
      </c>
      <c r="K11022" t="s">
        <v>42283</v>
      </c>
      <c r="M11022" t="s">
        <v>45831</v>
      </c>
      <c r="N11022" t="s">
        <v>46569</v>
      </c>
      <c r="O11022" t="s">
        <v>46570</v>
      </c>
      <c r="P11022">
        <v>0</v>
      </c>
      <c r="Q11022">
        <v>1</v>
      </c>
      <c r="R11022" t="s">
        <v>46578</v>
      </c>
      <c r="S11022" t="s">
        <v>46874</v>
      </c>
      <c r="T11022" t="s">
        <v>48376</v>
      </c>
      <c r="U11022" t="s">
        <v>57635</v>
      </c>
      <c r="V11022" t="s">
        <v>62806</v>
      </c>
      <c r="W11022" t="s">
        <v>45831</v>
      </c>
      <c r="X11022" t="s">
        <v>46579</v>
      </c>
    </row>
    <row r="11023" spans="1:24">
      <c r="A11023">
        <f>HYPERLINK("https://www.philgeps.gov.ph/GEPSNONPILOT/Tender/SplashBidNoticeAbstractUI.aspx?menuIndex=3&amp;refID=7052572&amp;Result=3","7052572")</f>
        <v>0</v>
      </c>
      <c r="B11023" t="s">
        <v>2993</v>
      </c>
      <c r="C11023" t="s">
        <v>13971</v>
      </c>
      <c r="D11023" t="s">
        <v>18856</v>
      </c>
      <c r="E11023" t="s">
        <v>28384</v>
      </c>
      <c r="F11023" t="s">
        <v>32664</v>
      </c>
      <c r="G11023" t="s">
        <v>32672</v>
      </c>
      <c r="H11023" t="s">
        <v>32683</v>
      </c>
      <c r="I11023" t="s">
        <v>10627</v>
      </c>
      <c r="J11023" t="s">
        <v>39354</v>
      </c>
      <c r="K11023" t="s">
        <v>42298</v>
      </c>
      <c r="M11023" t="s">
        <v>45852</v>
      </c>
      <c r="N11023" t="s">
        <v>46569</v>
      </c>
      <c r="O11023" t="s">
        <v>46570</v>
      </c>
      <c r="P11023">
        <v>0</v>
      </c>
      <c r="Q11023">
        <v>1</v>
      </c>
      <c r="R11023" t="s">
        <v>46578</v>
      </c>
      <c r="S11023" t="s">
        <v>46874</v>
      </c>
      <c r="T11023" t="s">
        <v>48448</v>
      </c>
      <c r="U11023" t="s">
        <v>57636</v>
      </c>
      <c r="W11023" t="s">
        <v>45852</v>
      </c>
      <c r="X11023" t="s">
        <v>46579</v>
      </c>
    </row>
    <row r="11024" spans="1:24">
      <c r="A11024">
        <f>HYPERLINK("https://www.philgeps.gov.ph/GEPSNONPILOT/Tender/SplashBidNoticeAbstractUI.aspx?menuIndex=3&amp;refID=7052571&amp;Result=3","7052571")</f>
        <v>0</v>
      </c>
      <c r="B11024" t="s">
        <v>2990</v>
      </c>
      <c r="C11024" t="s">
        <v>13972</v>
      </c>
      <c r="E11024" t="s">
        <v>19752</v>
      </c>
      <c r="F11024" t="s">
        <v>32664</v>
      </c>
      <c r="G11024" t="s">
        <v>32672</v>
      </c>
      <c r="H11024" t="s">
        <v>32683</v>
      </c>
      <c r="I11024" t="s">
        <v>10627</v>
      </c>
      <c r="J11024" t="s">
        <v>39355</v>
      </c>
      <c r="K11024" t="s">
        <v>42283</v>
      </c>
      <c r="M11024" t="s">
        <v>45848</v>
      </c>
      <c r="N11024" t="s">
        <v>46569</v>
      </c>
      <c r="O11024" t="s">
        <v>46570</v>
      </c>
      <c r="P11024">
        <v>0</v>
      </c>
      <c r="Q11024">
        <v>0</v>
      </c>
      <c r="R11024" t="s">
        <v>46578</v>
      </c>
      <c r="S11024" t="s">
        <v>46874</v>
      </c>
      <c r="T11024" t="s">
        <v>48449</v>
      </c>
      <c r="U11024" t="s">
        <v>57637</v>
      </c>
      <c r="W11024" t="s">
        <v>45848</v>
      </c>
      <c r="X11024" t="s">
        <v>46579</v>
      </c>
    </row>
    <row r="11025" spans="1:24">
      <c r="A11025">
        <f>HYPERLINK("https://www.philgeps.gov.ph/GEPSNONPILOT/Tender/SplashBidNoticeAbstractUI.aspx?menuIndex=3&amp;refID=6931645&amp;Result=3","6931645")</f>
        <v>0</v>
      </c>
      <c r="B11025" t="s">
        <v>2994</v>
      </c>
      <c r="C11025" t="s">
        <v>13973</v>
      </c>
      <c r="D11025" t="s">
        <v>18787</v>
      </c>
      <c r="E11025" t="s">
        <v>28385</v>
      </c>
      <c r="F11025" t="s">
        <v>32664</v>
      </c>
      <c r="G11025" t="s">
        <v>32672</v>
      </c>
      <c r="H11025" t="s">
        <v>32683</v>
      </c>
      <c r="I11025" t="s">
        <v>10627</v>
      </c>
      <c r="J11025" t="s">
        <v>32943</v>
      </c>
      <c r="K11025" t="s">
        <v>42283</v>
      </c>
      <c r="M11025" t="s">
        <v>45853</v>
      </c>
      <c r="N11025" t="s">
        <v>46569</v>
      </c>
      <c r="O11025" t="s">
        <v>46570</v>
      </c>
      <c r="P11025">
        <v>0</v>
      </c>
      <c r="Q11025">
        <v>0</v>
      </c>
      <c r="R11025" t="s">
        <v>46579</v>
      </c>
      <c r="S11025" t="s">
        <v>46919</v>
      </c>
      <c r="T11025" t="s">
        <v>48389</v>
      </c>
      <c r="U11025" t="s">
        <v>57638</v>
      </c>
      <c r="W11025" t="s">
        <v>45853</v>
      </c>
      <c r="X11025" t="s">
        <v>46636</v>
      </c>
    </row>
    <row r="11026" spans="1:24">
      <c r="A11026">
        <f>HYPERLINK("https://www.philgeps.gov.ph/GEPSNONPILOT/Tender/SplashBidNoticeAbstractUI.aspx?menuIndex=3&amp;refID=6931623&amp;Result=3","6931623")</f>
        <v>0</v>
      </c>
      <c r="B11026" t="s">
        <v>2994</v>
      </c>
      <c r="C11026" t="s">
        <v>13974</v>
      </c>
      <c r="D11026" t="s">
        <v>18787</v>
      </c>
      <c r="E11026" t="s">
        <v>28386</v>
      </c>
      <c r="F11026" t="s">
        <v>32664</v>
      </c>
      <c r="G11026" t="s">
        <v>32672</v>
      </c>
      <c r="H11026" t="s">
        <v>32683</v>
      </c>
      <c r="I11026" t="s">
        <v>10627</v>
      </c>
      <c r="J11026" t="s">
        <v>33150</v>
      </c>
      <c r="K11026" t="s">
        <v>42283</v>
      </c>
      <c r="M11026" t="s">
        <v>45853</v>
      </c>
      <c r="N11026" t="s">
        <v>46569</v>
      </c>
      <c r="O11026" t="s">
        <v>46570</v>
      </c>
      <c r="P11026">
        <v>0</v>
      </c>
      <c r="Q11026">
        <v>0</v>
      </c>
      <c r="R11026" t="s">
        <v>46579</v>
      </c>
      <c r="S11026" t="s">
        <v>46919</v>
      </c>
      <c r="T11026" t="s">
        <v>48389</v>
      </c>
      <c r="U11026" t="s">
        <v>57639</v>
      </c>
      <c r="W11026" t="s">
        <v>45853</v>
      </c>
      <c r="X11026" t="s">
        <v>46636</v>
      </c>
    </row>
    <row r="11027" spans="1:24">
      <c r="A11027">
        <f>HYPERLINK("https://www.philgeps.gov.ph/GEPSNONPILOT/Tender/SplashBidNoticeAbstractUI.aspx?menuIndex=3&amp;refID=7052666&amp;Result=3","7052666")</f>
        <v>0</v>
      </c>
      <c r="B11027" t="s">
        <v>1660</v>
      </c>
      <c r="C11027" t="s">
        <v>13975</v>
      </c>
      <c r="D11027" t="s">
        <v>18783</v>
      </c>
      <c r="E11027" t="s">
        <v>28387</v>
      </c>
      <c r="F11027" t="s">
        <v>32664</v>
      </c>
      <c r="G11027" t="s">
        <v>32672</v>
      </c>
      <c r="H11027" t="s">
        <v>12635</v>
      </c>
      <c r="I11027" t="s">
        <v>4439</v>
      </c>
      <c r="J11027" t="s">
        <v>39356</v>
      </c>
      <c r="K11027" t="s">
        <v>42281</v>
      </c>
      <c r="M11027" t="s">
        <v>44345</v>
      </c>
      <c r="N11027" t="s">
        <v>46569</v>
      </c>
      <c r="O11027" t="s">
        <v>46570</v>
      </c>
      <c r="P11027">
        <v>0</v>
      </c>
      <c r="Q11027">
        <v>0</v>
      </c>
      <c r="R11027" t="s">
        <v>46578</v>
      </c>
      <c r="S11027" t="s">
        <v>46874</v>
      </c>
      <c r="T11027" t="s">
        <v>48571</v>
      </c>
      <c r="U11027" t="s">
        <v>57640</v>
      </c>
      <c r="W11027" t="s">
        <v>44347</v>
      </c>
      <c r="X11027" t="s">
        <v>46579</v>
      </c>
    </row>
    <row r="11028" spans="1:24">
      <c r="A11028">
        <f>HYPERLINK("https://www.philgeps.gov.ph/GEPSNONPILOT/Tender/SplashBidNoticeAbstractUI.aspx?menuIndex=3&amp;refID=7052664&amp;Result=3","7052664")</f>
        <v>0</v>
      </c>
      <c r="B11028" t="s">
        <v>1660</v>
      </c>
      <c r="C11028" t="s">
        <v>13976</v>
      </c>
      <c r="D11028" t="s">
        <v>18783</v>
      </c>
      <c r="E11028" t="s">
        <v>28388</v>
      </c>
      <c r="F11028" t="s">
        <v>32664</v>
      </c>
      <c r="G11028" t="s">
        <v>32672</v>
      </c>
      <c r="H11028" t="s">
        <v>12635</v>
      </c>
      <c r="I11028" t="s">
        <v>11464</v>
      </c>
      <c r="J11028" t="s">
        <v>32837</v>
      </c>
      <c r="K11028" t="s">
        <v>42283</v>
      </c>
      <c r="M11028" t="s">
        <v>44345</v>
      </c>
      <c r="N11028" t="s">
        <v>46569</v>
      </c>
      <c r="O11028" t="s">
        <v>46570</v>
      </c>
      <c r="P11028">
        <v>0</v>
      </c>
      <c r="Q11028">
        <v>4</v>
      </c>
      <c r="R11028" t="s">
        <v>46578</v>
      </c>
      <c r="S11028" t="s">
        <v>46874</v>
      </c>
      <c r="T11028" t="s">
        <v>48571</v>
      </c>
      <c r="U11028" t="s">
        <v>57641</v>
      </c>
      <c r="W11028" t="s">
        <v>44347</v>
      </c>
      <c r="X11028" t="s">
        <v>46579</v>
      </c>
    </row>
    <row r="11029" spans="1:24">
      <c r="A11029">
        <f>HYPERLINK("https://www.philgeps.gov.ph/GEPSNONPILOT/Tender/SplashBidNoticeAbstractUI.aspx?menuIndex=3&amp;refID=7052519&amp;Result=3","7052519")</f>
        <v>0</v>
      </c>
      <c r="B11029" t="s">
        <v>1656</v>
      </c>
      <c r="C11029" t="s">
        <v>13977</v>
      </c>
      <c r="D11029" t="s">
        <v>18805</v>
      </c>
      <c r="E11029" t="s">
        <v>22276</v>
      </c>
      <c r="F11029" t="s">
        <v>32664</v>
      </c>
      <c r="G11029" t="s">
        <v>32671</v>
      </c>
      <c r="H11029" t="s">
        <v>12635</v>
      </c>
      <c r="I11029" t="s">
        <v>4439</v>
      </c>
      <c r="J11029" t="s">
        <v>39357</v>
      </c>
      <c r="K11029" t="s">
        <v>42306</v>
      </c>
      <c r="M11029" t="s">
        <v>44341</v>
      </c>
      <c r="N11029" t="s">
        <v>46569</v>
      </c>
      <c r="O11029" t="s">
        <v>46570</v>
      </c>
      <c r="P11029">
        <v>0</v>
      </c>
      <c r="Q11029">
        <v>0</v>
      </c>
      <c r="R11029" t="s">
        <v>46578</v>
      </c>
      <c r="S11029" t="s">
        <v>46874</v>
      </c>
      <c r="T11029" t="s">
        <v>48215</v>
      </c>
      <c r="U11029" t="s">
        <v>57642</v>
      </c>
      <c r="W11029" t="s">
        <v>44341</v>
      </c>
      <c r="X11029" t="s">
        <v>46579</v>
      </c>
    </row>
    <row r="11030" spans="1:24">
      <c r="A11030">
        <f>HYPERLINK("https://www.philgeps.gov.ph/GEPSNONPILOT/Tender/SplashBidNoticeAbstractUI.aspx?menuIndex=3&amp;refID=7052658&amp;Result=3","7052658")</f>
        <v>0</v>
      </c>
      <c r="B11030" t="s">
        <v>1660</v>
      </c>
      <c r="C11030" t="s">
        <v>13978</v>
      </c>
      <c r="D11030" t="s">
        <v>18783</v>
      </c>
      <c r="E11030" t="s">
        <v>28389</v>
      </c>
      <c r="F11030" t="s">
        <v>32664</v>
      </c>
      <c r="G11030" t="s">
        <v>32672</v>
      </c>
      <c r="H11030" t="s">
        <v>12635</v>
      </c>
      <c r="I11030" t="s">
        <v>11464</v>
      </c>
      <c r="J11030" t="s">
        <v>34559</v>
      </c>
      <c r="K11030" t="s">
        <v>42283</v>
      </c>
      <c r="M11030" t="s">
        <v>44345</v>
      </c>
      <c r="N11030" t="s">
        <v>46569</v>
      </c>
      <c r="O11030" t="s">
        <v>46570</v>
      </c>
      <c r="P11030">
        <v>0</v>
      </c>
      <c r="Q11030">
        <v>4</v>
      </c>
      <c r="R11030" t="s">
        <v>46578</v>
      </c>
      <c r="S11030" t="s">
        <v>46874</v>
      </c>
      <c r="T11030" t="s">
        <v>48571</v>
      </c>
      <c r="U11030" t="s">
        <v>52688</v>
      </c>
      <c r="W11030" t="s">
        <v>44347</v>
      </c>
      <c r="X11030" t="s">
        <v>46579</v>
      </c>
    </row>
    <row r="11031" spans="1:24">
      <c r="A11031">
        <f>HYPERLINK("https://www.philgeps.gov.ph/GEPSNONPILOT/Tender/SplashBidNoticeAbstractUI.aspx?menuIndex=3&amp;refID=7052656&amp;Result=3","7052656")</f>
        <v>0</v>
      </c>
      <c r="B11031" t="s">
        <v>359</v>
      </c>
      <c r="C11031" t="s">
        <v>13979</v>
      </c>
      <c r="D11031" t="s">
        <v>18824</v>
      </c>
      <c r="E11031" t="s">
        <v>20957</v>
      </c>
      <c r="F11031" t="s">
        <v>32664</v>
      </c>
      <c r="G11031" t="s">
        <v>32672</v>
      </c>
      <c r="H11031" t="s">
        <v>12635</v>
      </c>
      <c r="I11031" t="s">
        <v>5589</v>
      </c>
      <c r="J11031" t="s">
        <v>36923</v>
      </c>
      <c r="K11031" t="s">
        <v>42305</v>
      </c>
      <c r="M11031" t="s">
        <v>42928</v>
      </c>
      <c r="N11031" t="s">
        <v>46569</v>
      </c>
      <c r="O11031" t="s">
        <v>46570</v>
      </c>
      <c r="P11031">
        <v>0</v>
      </c>
      <c r="Q11031">
        <v>6</v>
      </c>
      <c r="R11031" t="s">
        <v>46578</v>
      </c>
      <c r="S11031" t="s">
        <v>46874</v>
      </c>
      <c r="T11031" t="s">
        <v>48389</v>
      </c>
      <c r="U11031" t="s">
        <v>57643</v>
      </c>
      <c r="W11031" t="s">
        <v>42928</v>
      </c>
      <c r="X11031" t="s">
        <v>46579</v>
      </c>
    </row>
    <row r="11032" spans="1:24">
      <c r="A11032">
        <f>HYPERLINK("https://www.philgeps.gov.ph/GEPSNONPILOT/Tender/SplashBidNoticeAbstractUI.aspx?menuIndex=3&amp;refID=7052606&amp;Result=3","7052606")</f>
        <v>0</v>
      </c>
      <c r="B11032" t="s">
        <v>1656</v>
      </c>
      <c r="C11032" t="s">
        <v>13980</v>
      </c>
      <c r="D11032" t="s">
        <v>18805</v>
      </c>
      <c r="E11032" t="s">
        <v>22014</v>
      </c>
      <c r="F11032" t="s">
        <v>32664</v>
      </c>
      <c r="G11032" t="s">
        <v>32671</v>
      </c>
      <c r="H11032" t="s">
        <v>12635</v>
      </c>
      <c r="I11032" t="s">
        <v>4439</v>
      </c>
      <c r="J11032" t="s">
        <v>33126</v>
      </c>
      <c r="K11032" t="s">
        <v>42306</v>
      </c>
      <c r="M11032" t="s">
        <v>44341</v>
      </c>
      <c r="N11032" t="s">
        <v>46569</v>
      </c>
      <c r="O11032" t="s">
        <v>46570</v>
      </c>
      <c r="P11032">
        <v>0</v>
      </c>
      <c r="Q11032">
        <v>0</v>
      </c>
      <c r="R11032" t="s">
        <v>46578</v>
      </c>
      <c r="S11032" t="s">
        <v>46874</v>
      </c>
      <c r="T11032" t="s">
        <v>48215</v>
      </c>
      <c r="U11032" t="s">
        <v>57644</v>
      </c>
      <c r="W11032" t="s">
        <v>44341</v>
      </c>
      <c r="X11032" t="s">
        <v>46579</v>
      </c>
    </row>
    <row r="11033" spans="1:24">
      <c r="A11033">
        <f>HYPERLINK("https://www.philgeps.gov.ph/GEPSNONPILOT/Tender/SplashBidNoticeAbstractUI.aspx?menuIndex=3&amp;refID=7052660&amp;Result=3","7052660")</f>
        <v>0</v>
      </c>
      <c r="B11033" t="s">
        <v>1660</v>
      </c>
      <c r="C11033" t="s">
        <v>13981</v>
      </c>
      <c r="D11033" t="s">
        <v>18783</v>
      </c>
      <c r="E11033" t="s">
        <v>28390</v>
      </c>
      <c r="F11033" t="s">
        <v>32664</v>
      </c>
      <c r="G11033" t="s">
        <v>32672</v>
      </c>
      <c r="H11033" t="s">
        <v>12635</v>
      </c>
      <c r="I11033" t="s">
        <v>11464</v>
      </c>
      <c r="J11033" t="s">
        <v>34481</v>
      </c>
      <c r="K11033" t="s">
        <v>42283</v>
      </c>
      <c r="M11033" t="s">
        <v>44345</v>
      </c>
      <c r="N11033" t="s">
        <v>46569</v>
      </c>
      <c r="O11033" t="s">
        <v>46570</v>
      </c>
      <c r="P11033">
        <v>0</v>
      </c>
      <c r="Q11033">
        <v>3</v>
      </c>
      <c r="R11033" t="s">
        <v>46578</v>
      </c>
      <c r="S11033" t="s">
        <v>46874</v>
      </c>
      <c r="T11033" t="s">
        <v>48580</v>
      </c>
      <c r="U11033" t="s">
        <v>52688</v>
      </c>
      <c r="W11033" t="s">
        <v>44347</v>
      </c>
      <c r="X11033" t="s">
        <v>46579</v>
      </c>
    </row>
    <row r="11034" spans="1:24">
      <c r="A11034">
        <f>HYPERLINK("https://www.philgeps.gov.ph/GEPSNONPILOT/Tender/SplashBidNoticeAbstractUI.aspx?menuIndex=3&amp;refID=7052648&amp;Result=3","7052648")</f>
        <v>0</v>
      </c>
      <c r="B11034" t="s">
        <v>2284</v>
      </c>
      <c r="C11034" t="s">
        <v>13982</v>
      </c>
      <c r="D11034" t="s">
        <v>18807</v>
      </c>
      <c r="E11034" t="s">
        <v>19583</v>
      </c>
      <c r="F11034" t="s">
        <v>32664</v>
      </c>
      <c r="G11034" t="s">
        <v>32672</v>
      </c>
      <c r="H11034" t="s">
        <v>12635</v>
      </c>
      <c r="I11034" t="s">
        <v>4439</v>
      </c>
      <c r="J11034" t="s">
        <v>39358</v>
      </c>
      <c r="K11034" t="s">
        <v>42283</v>
      </c>
      <c r="M11034" t="s">
        <v>45054</v>
      </c>
      <c r="N11034" t="s">
        <v>46569</v>
      </c>
      <c r="O11034" t="s">
        <v>46570</v>
      </c>
      <c r="P11034">
        <v>0</v>
      </c>
      <c r="Q11034">
        <v>2</v>
      </c>
      <c r="R11034" t="s">
        <v>46578</v>
      </c>
      <c r="S11034" t="s">
        <v>46874</v>
      </c>
      <c r="T11034" t="s">
        <v>48287</v>
      </c>
      <c r="U11034" t="s">
        <v>54909</v>
      </c>
      <c r="W11034" t="s">
        <v>45054</v>
      </c>
      <c r="X11034" t="s">
        <v>46579</v>
      </c>
    </row>
    <row r="11035" spans="1:24">
      <c r="A11035">
        <f>HYPERLINK("https://www.philgeps.gov.ph/GEPSNONPILOT/Tender/SplashBidNoticeAbstractUI.aspx?menuIndex=3&amp;refID=7052640&amp;Result=3","7052640")</f>
        <v>0</v>
      </c>
      <c r="B11035" t="s">
        <v>943</v>
      </c>
      <c r="C11035" t="s">
        <v>13983</v>
      </c>
      <c r="D11035" t="s">
        <v>18784</v>
      </c>
      <c r="E11035" t="s">
        <v>28391</v>
      </c>
      <c r="F11035" t="s">
        <v>32664</v>
      </c>
      <c r="G11035" t="s">
        <v>32672</v>
      </c>
      <c r="H11035" t="s">
        <v>32682</v>
      </c>
      <c r="I11035" t="s">
        <v>5589</v>
      </c>
      <c r="J11035" t="s">
        <v>32930</v>
      </c>
      <c r="K11035" t="s">
        <v>42291</v>
      </c>
      <c r="M11035" t="s">
        <v>43603</v>
      </c>
      <c r="N11035" t="s">
        <v>46569</v>
      </c>
      <c r="O11035" t="s">
        <v>46570</v>
      </c>
      <c r="P11035">
        <v>0</v>
      </c>
      <c r="Q11035">
        <v>9</v>
      </c>
      <c r="R11035" t="s">
        <v>46578</v>
      </c>
      <c r="S11035" t="s">
        <v>46874</v>
      </c>
      <c r="T11035" t="s">
        <v>48375</v>
      </c>
      <c r="U11035" t="s">
        <v>57645</v>
      </c>
      <c r="W11035" t="s">
        <v>43603</v>
      </c>
      <c r="X11035" t="s">
        <v>46579</v>
      </c>
    </row>
    <row r="11036" spans="1:24">
      <c r="A11036">
        <f>HYPERLINK("https://www.philgeps.gov.ph/GEPSNONPILOT/Tender/SplashBidNoticeAbstractUI.aspx?menuIndex=3&amp;refID=7052655&amp;Result=3","7052655")</f>
        <v>0</v>
      </c>
      <c r="B11036" t="s">
        <v>1660</v>
      </c>
      <c r="C11036" t="s">
        <v>13984</v>
      </c>
      <c r="D11036" t="s">
        <v>18783</v>
      </c>
      <c r="E11036" t="s">
        <v>28392</v>
      </c>
      <c r="F11036" t="s">
        <v>32664</v>
      </c>
      <c r="G11036" t="s">
        <v>32672</v>
      </c>
      <c r="H11036" t="s">
        <v>12635</v>
      </c>
      <c r="I11036" t="s">
        <v>11464</v>
      </c>
      <c r="J11036" t="s">
        <v>35617</v>
      </c>
      <c r="K11036" t="s">
        <v>42283</v>
      </c>
      <c r="M11036" t="s">
        <v>44345</v>
      </c>
      <c r="N11036" t="s">
        <v>46569</v>
      </c>
      <c r="O11036" t="s">
        <v>46570</v>
      </c>
      <c r="P11036">
        <v>0</v>
      </c>
      <c r="Q11036">
        <v>4</v>
      </c>
      <c r="R11036" t="s">
        <v>46578</v>
      </c>
      <c r="S11036" t="s">
        <v>46874</v>
      </c>
      <c r="T11036" t="s">
        <v>48571</v>
      </c>
      <c r="U11036" t="s">
        <v>57646</v>
      </c>
      <c r="W11036" t="s">
        <v>44347</v>
      </c>
      <c r="X11036" t="s">
        <v>46579</v>
      </c>
    </row>
    <row r="11037" spans="1:24">
      <c r="A11037">
        <f>HYPERLINK("https://www.philgeps.gov.ph/GEPSNONPILOT/Tender/SplashBidNoticeAbstractUI.aspx?menuIndex=3&amp;refID=7052652&amp;Result=3","7052652")</f>
        <v>0</v>
      </c>
      <c r="B11037" t="s">
        <v>2995</v>
      </c>
      <c r="C11037" t="s">
        <v>13985</v>
      </c>
      <c r="D11037" t="s">
        <v>18796</v>
      </c>
      <c r="E11037" t="s">
        <v>28393</v>
      </c>
      <c r="F11037" t="s">
        <v>32664</v>
      </c>
      <c r="G11037" t="s">
        <v>32671</v>
      </c>
      <c r="H11037" t="s">
        <v>12635</v>
      </c>
      <c r="I11037" t="s">
        <v>32692</v>
      </c>
      <c r="J11037" t="s">
        <v>39359</v>
      </c>
      <c r="K11037" t="s">
        <v>42281</v>
      </c>
      <c r="M11037" t="s">
        <v>45854</v>
      </c>
      <c r="N11037" t="s">
        <v>46569</v>
      </c>
      <c r="O11037" t="s">
        <v>46570</v>
      </c>
      <c r="P11037">
        <v>0</v>
      </c>
      <c r="Q11037">
        <v>5</v>
      </c>
      <c r="R11037" t="s">
        <v>46578</v>
      </c>
      <c r="S11037" t="s">
        <v>46874</v>
      </c>
      <c r="T11037" t="s">
        <v>48420</v>
      </c>
      <c r="U11037" t="s">
        <v>57647</v>
      </c>
      <c r="W11037" t="s">
        <v>45854</v>
      </c>
      <c r="X11037" t="s">
        <v>46579</v>
      </c>
    </row>
    <row r="11038" spans="1:24">
      <c r="A11038">
        <f>HYPERLINK("https://www.philgeps.gov.ph/GEPSNONPILOT/Tender/SplashBidNoticeAbstractUI.aspx?menuIndex=3&amp;refID=7052638&amp;Result=3","7052638")</f>
        <v>0</v>
      </c>
      <c r="B11038" t="s">
        <v>654</v>
      </c>
      <c r="C11038" t="s">
        <v>13986</v>
      </c>
      <c r="D11038" t="s">
        <v>18827</v>
      </c>
      <c r="E11038" t="s">
        <v>28394</v>
      </c>
      <c r="F11038" t="s">
        <v>32664</v>
      </c>
      <c r="G11038" t="s">
        <v>32672</v>
      </c>
      <c r="H11038" t="s">
        <v>32683</v>
      </c>
      <c r="I11038" t="s">
        <v>10627</v>
      </c>
      <c r="J11038" t="s">
        <v>33302</v>
      </c>
      <c r="K11038" t="s">
        <v>42298</v>
      </c>
      <c r="M11038" t="s">
        <v>43240</v>
      </c>
      <c r="N11038" t="s">
        <v>46569</v>
      </c>
      <c r="O11038" t="s">
        <v>46570</v>
      </c>
      <c r="Q11038">
        <v>0</v>
      </c>
      <c r="R11038" t="s">
        <v>46578</v>
      </c>
      <c r="S11038" t="s">
        <v>46920</v>
      </c>
      <c r="T11038" t="s">
        <v>48212</v>
      </c>
      <c r="U11038" t="s">
        <v>50013</v>
      </c>
      <c r="W11038" t="s">
        <v>43240</v>
      </c>
      <c r="X11038" t="s">
        <v>46579</v>
      </c>
    </row>
    <row r="11039" spans="1:24">
      <c r="A11039">
        <f>HYPERLINK("https://www.philgeps.gov.ph/GEPSNONPILOT/Tender/SplashBidNoticeAbstractUI.aspx?menuIndex=3&amp;refID=7052631&amp;Result=3","7052631")</f>
        <v>0</v>
      </c>
      <c r="B11039" t="s">
        <v>654</v>
      </c>
      <c r="C11039" t="s">
        <v>13987</v>
      </c>
      <c r="D11039" t="s">
        <v>18827</v>
      </c>
      <c r="E11039" t="s">
        <v>28395</v>
      </c>
      <c r="F11039" t="s">
        <v>32664</v>
      </c>
      <c r="G11039" t="s">
        <v>32672</v>
      </c>
      <c r="H11039" t="s">
        <v>32683</v>
      </c>
      <c r="I11039" t="s">
        <v>10627</v>
      </c>
      <c r="J11039" t="s">
        <v>33267</v>
      </c>
      <c r="K11039" t="s">
        <v>42281</v>
      </c>
      <c r="M11039" t="s">
        <v>43240</v>
      </c>
      <c r="N11039" t="s">
        <v>46569</v>
      </c>
      <c r="O11039" t="s">
        <v>46570</v>
      </c>
      <c r="P11039">
        <v>0</v>
      </c>
      <c r="Q11039">
        <v>0</v>
      </c>
      <c r="R11039" t="s">
        <v>46578</v>
      </c>
      <c r="S11039" t="s">
        <v>46874</v>
      </c>
      <c r="T11039" t="s">
        <v>48212</v>
      </c>
      <c r="U11039" t="s">
        <v>50013</v>
      </c>
      <c r="W11039" t="s">
        <v>43240</v>
      </c>
      <c r="X11039" t="s">
        <v>46579</v>
      </c>
    </row>
    <row r="11040" spans="1:24">
      <c r="A11040">
        <f>HYPERLINK("https://www.philgeps.gov.ph/GEPSNONPILOT/Tender/SplashBidNoticeAbstractUI.aspx?menuIndex=3&amp;refID=7052645&amp;Result=3","7052645")</f>
        <v>0</v>
      </c>
      <c r="B11040" t="s">
        <v>2991</v>
      </c>
      <c r="C11040" t="s">
        <v>13988</v>
      </c>
      <c r="D11040" t="s">
        <v>18814</v>
      </c>
      <c r="E11040" t="s">
        <v>28396</v>
      </c>
      <c r="F11040" t="s">
        <v>32664</v>
      </c>
      <c r="G11040" t="s">
        <v>32671</v>
      </c>
      <c r="H11040" t="s">
        <v>12635</v>
      </c>
      <c r="I11040" t="s">
        <v>32744</v>
      </c>
      <c r="J11040" t="s">
        <v>39360</v>
      </c>
      <c r="K11040" t="s">
        <v>42283</v>
      </c>
      <c r="M11040" t="s">
        <v>45849</v>
      </c>
      <c r="N11040" t="s">
        <v>46569</v>
      </c>
      <c r="O11040" t="s">
        <v>46570</v>
      </c>
      <c r="P11040">
        <v>0</v>
      </c>
      <c r="Q11040">
        <v>4</v>
      </c>
      <c r="R11040" t="s">
        <v>46578</v>
      </c>
      <c r="S11040" t="s">
        <v>46874</v>
      </c>
      <c r="T11040" t="s">
        <v>48221</v>
      </c>
      <c r="U11040" t="s">
        <v>57648</v>
      </c>
      <c r="V11040" t="s">
        <v>62814</v>
      </c>
      <c r="W11040" t="s">
        <v>45849</v>
      </c>
      <c r="X11040" t="s">
        <v>46579</v>
      </c>
    </row>
    <row r="11041" spans="1:24">
      <c r="A11041">
        <f>HYPERLINK("https://www.philgeps.gov.ph/GEPSNONPILOT/Tender/SplashBidNoticeAbstractUI.aspx?menuIndex=3&amp;refID=6931668&amp;Result=3","6931668")</f>
        <v>0</v>
      </c>
      <c r="B11041" t="s">
        <v>2994</v>
      </c>
      <c r="C11041" t="s">
        <v>13989</v>
      </c>
      <c r="D11041" t="s">
        <v>18787</v>
      </c>
      <c r="E11041" t="s">
        <v>28397</v>
      </c>
      <c r="F11041" t="s">
        <v>32664</v>
      </c>
      <c r="G11041" t="s">
        <v>32672</v>
      </c>
      <c r="H11041" t="s">
        <v>32683</v>
      </c>
      <c r="I11041" t="s">
        <v>10627</v>
      </c>
      <c r="J11041" t="s">
        <v>32943</v>
      </c>
      <c r="K11041" t="s">
        <v>42283</v>
      </c>
      <c r="M11041" t="s">
        <v>45853</v>
      </c>
      <c r="N11041" t="s">
        <v>46569</v>
      </c>
      <c r="O11041" t="s">
        <v>46570</v>
      </c>
      <c r="P11041">
        <v>0</v>
      </c>
      <c r="Q11041">
        <v>0</v>
      </c>
      <c r="R11041" t="s">
        <v>46579</v>
      </c>
      <c r="S11041" t="s">
        <v>46919</v>
      </c>
      <c r="T11041" t="s">
        <v>48389</v>
      </c>
      <c r="U11041" t="s">
        <v>57649</v>
      </c>
      <c r="W11041" t="s">
        <v>45853</v>
      </c>
      <c r="X11041" t="s">
        <v>46636</v>
      </c>
    </row>
    <row r="11042" spans="1:24">
      <c r="A11042">
        <f>HYPERLINK("https://www.philgeps.gov.ph/GEPSNONPILOT/Tender/SplashBidNoticeAbstractUI.aspx?menuIndex=3&amp;refID=7052635&amp;Result=3","7052635")</f>
        <v>0</v>
      </c>
      <c r="B11042" t="s">
        <v>654</v>
      </c>
      <c r="C11042" t="s">
        <v>13990</v>
      </c>
      <c r="D11042" t="s">
        <v>18827</v>
      </c>
      <c r="E11042" t="s">
        <v>28398</v>
      </c>
      <c r="F11042" t="s">
        <v>32664</v>
      </c>
      <c r="G11042" t="s">
        <v>32672</v>
      </c>
      <c r="H11042" t="s">
        <v>32683</v>
      </c>
      <c r="I11042" t="s">
        <v>10627</v>
      </c>
      <c r="J11042" t="s">
        <v>33009</v>
      </c>
      <c r="K11042" t="s">
        <v>42281</v>
      </c>
      <c r="M11042" t="s">
        <v>43240</v>
      </c>
      <c r="N11042" t="s">
        <v>46569</v>
      </c>
      <c r="O11042" t="s">
        <v>46570</v>
      </c>
      <c r="P11042">
        <v>0</v>
      </c>
      <c r="Q11042">
        <v>0</v>
      </c>
      <c r="R11042" t="s">
        <v>46578</v>
      </c>
      <c r="S11042" t="s">
        <v>46874</v>
      </c>
      <c r="T11042" t="s">
        <v>48212</v>
      </c>
      <c r="U11042" t="s">
        <v>50013</v>
      </c>
      <c r="W11042" t="s">
        <v>43240</v>
      </c>
      <c r="X11042" t="s">
        <v>46579</v>
      </c>
    </row>
    <row r="11043" spans="1:24">
      <c r="A11043">
        <f>HYPERLINK("https://www.philgeps.gov.ph/GEPSNONPILOT/Tender/SplashBidNoticeAbstractUI.aspx?menuIndex=3&amp;refID=7052630&amp;Result=3","7052630")</f>
        <v>0</v>
      </c>
      <c r="B11043" t="s">
        <v>654</v>
      </c>
      <c r="C11043" t="s">
        <v>13991</v>
      </c>
      <c r="D11043" t="s">
        <v>18827</v>
      </c>
      <c r="E11043" t="s">
        <v>28399</v>
      </c>
      <c r="F11043" t="s">
        <v>32664</v>
      </c>
      <c r="G11043" t="s">
        <v>32672</v>
      </c>
      <c r="H11043" t="s">
        <v>32683</v>
      </c>
      <c r="I11043" t="s">
        <v>10627</v>
      </c>
      <c r="J11043" t="s">
        <v>32962</v>
      </c>
      <c r="K11043" t="s">
        <v>42281</v>
      </c>
      <c r="M11043" t="s">
        <v>43240</v>
      </c>
      <c r="N11043" t="s">
        <v>46569</v>
      </c>
      <c r="O11043" t="s">
        <v>46570</v>
      </c>
      <c r="P11043">
        <v>0</v>
      </c>
      <c r="Q11043">
        <v>0</v>
      </c>
      <c r="R11043" t="s">
        <v>46578</v>
      </c>
      <c r="S11043" t="s">
        <v>46874</v>
      </c>
      <c r="T11043" t="s">
        <v>48212</v>
      </c>
      <c r="U11043" t="s">
        <v>50013</v>
      </c>
      <c r="W11043" t="s">
        <v>43240</v>
      </c>
      <c r="X11043" t="s">
        <v>46579</v>
      </c>
    </row>
    <row r="11044" spans="1:24">
      <c r="A11044">
        <f>HYPERLINK("https://www.philgeps.gov.ph/GEPSNONPILOT/Tender/SplashBidNoticeAbstractUI.aspx?menuIndex=3&amp;refID=7052566&amp;Result=3","7052566")</f>
        <v>0</v>
      </c>
      <c r="B11044" t="s">
        <v>2990</v>
      </c>
      <c r="C11044" t="s">
        <v>13972</v>
      </c>
      <c r="E11044" t="s">
        <v>20413</v>
      </c>
      <c r="F11044" t="s">
        <v>32664</v>
      </c>
      <c r="G11044" t="s">
        <v>32672</v>
      </c>
      <c r="H11044" t="s">
        <v>32683</v>
      </c>
      <c r="I11044" t="s">
        <v>10627</v>
      </c>
      <c r="J11044" t="s">
        <v>39361</v>
      </c>
      <c r="K11044" t="s">
        <v>42283</v>
      </c>
      <c r="M11044" t="s">
        <v>45848</v>
      </c>
      <c r="N11044" t="s">
        <v>46569</v>
      </c>
      <c r="O11044" t="s">
        <v>46570</v>
      </c>
      <c r="P11044">
        <v>0</v>
      </c>
      <c r="Q11044">
        <v>0</v>
      </c>
      <c r="R11044" t="s">
        <v>46578</v>
      </c>
      <c r="S11044" t="s">
        <v>46874</v>
      </c>
      <c r="T11044" t="s">
        <v>48449</v>
      </c>
      <c r="U11044" t="s">
        <v>57650</v>
      </c>
      <c r="W11044" t="s">
        <v>45848</v>
      </c>
      <c r="X11044" t="s">
        <v>46579</v>
      </c>
    </row>
    <row r="11045" spans="1:24">
      <c r="A11045">
        <f>HYPERLINK("https://www.philgeps.gov.ph/GEPSNONPILOT/Tender/SplashBidNoticeAbstractUI.aspx?menuIndex=3&amp;refID=7052626&amp;Result=3","7052626")</f>
        <v>0</v>
      </c>
      <c r="B11045" t="s">
        <v>654</v>
      </c>
      <c r="C11045" t="s">
        <v>13992</v>
      </c>
      <c r="D11045" t="s">
        <v>18827</v>
      </c>
      <c r="E11045" t="s">
        <v>28400</v>
      </c>
      <c r="F11045" t="s">
        <v>32664</v>
      </c>
      <c r="G11045" t="s">
        <v>32672</v>
      </c>
      <c r="H11045" t="s">
        <v>32683</v>
      </c>
      <c r="I11045" t="s">
        <v>10627</v>
      </c>
      <c r="J11045" t="s">
        <v>32962</v>
      </c>
      <c r="K11045" t="s">
        <v>42281</v>
      </c>
      <c r="M11045" t="s">
        <v>43240</v>
      </c>
      <c r="N11045" t="s">
        <v>46569</v>
      </c>
      <c r="O11045" t="s">
        <v>46570</v>
      </c>
      <c r="P11045">
        <v>0</v>
      </c>
      <c r="Q11045">
        <v>0</v>
      </c>
      <c r="R11045" t="s">
        <v>46578</v>
      </c>
      <c r="S11045" t="s">
        <v>46874</v>
      </c>
      <c r="T11045" t="s">
        <v>48212</v>
      </c>
      <c r="U11045" t="s">
        <v>50013</v>
      </c>
      <c r="W11045" t="s">
        <v>43240</v>
      </c>
      <c r="X11045" t="s">
        <v>46579</v>
      </c>
    </row>
    <row r="11046" spans="1:24">
      <c r="A11046">
        <f>HYPERLINK("https://www.philgeps.gov.ph/GEPSNONPILOT/Tender/SplashBidNoticeAbstractUI.aspx?menuIndex=3&amp;refID=7052565&amp;Result=3","7052565")</f>
        <v>0</v>
      </c>
      <c r="B11046" t="s">
        <v>1656</v>
      </c>
      <c r="C11046" t="s">
        <v>13993</v>
      </c>
      <c r="D11046" t="s">
        <v>18805</v>
      </c>
      <c r="E11046" t="s">
        <v>20142</v>
      </c>
      <c r="F11046" t="s">
        <v>32664</v>
      </c>
      <c r="G11046" t="s">
        <v>32671</v>
      </c>
      <c r="H11046" t="s">
        <v>12635</v>
      </c>
      <c r="I11046" t="s">
        <v>10370</v>
      </c>
      <c r="J11046" t="s">
        <v>33520</v>
      </c>
      <c r="K11046" t="s">
        <v>42306</v>
      </c>
      <c r="M11046" t="s">
        <v>44341</v>
      </c>
      <c r="N11046" t="s">
        <v>46569</v>
      </c>
      <c r="O11046" t="s">
        <v>46570</v>
      </c>
      <c r="P11046">
        <v>0</v>
      </c>
      <c r="Q11046">
        <v>2</v>
      </c>
      <c r="R11046" t="s">
        <v>46578</v>
      </c>
      <c r="S11046" t="s">
        <v>46874</v>
      </c>
      <c r="T11046" t="s">
        <v>48215</v>
      </c>
      <c r="U11046" t="s">
        <v>57651</v>
      </c>
      <c r="W11046" t="s">
        <v>44341</v>
      </c>
      <c r="X11046" t="s">
        <v>46579</v>
      </c>
    </row>
    <row r="11047" spans="1:24">
      <c r="A11047">
        <f>HYPERLINK("https://www.philgeps.gov.ph/GEPSNONPILOT/Tender/SplashBidNoticeAbstractUI.aspx?menuIndex=3&amp;refID=7052564&amp;Result=3","7052564")</f>
        <v>0</v>
      </c>
      <c r="B11047" t="s">
        <v>2990</v>
      </c>
      <c r="C11047" t="s">
        <v>13994</v>
      </c>
      <c r="E11047" t="s">
        <v>20434</v>
      </c>
      <c r="F11047" t="s">
        <v>32664</v>
      </c>
      <c r="G11047" t="s">
        <v>32672</v>
      </c>
      <c r="H11047" t="s">
        <v>32683</v>
      </c>
      <c r="I11047" t="s">
        <v>10627</v>
      </c>
      <c r="J11047" t="s">
        <v>39362</v>
      </c>
      <c r="K11047" t="s">
        <v>42283</v>
      </c>
      <c r="M11047" t="s">
        <v>45848</v>
      </c>
      <c r="N11047" t="s">
        <v>46569</v>
      </c>
      <c r="O11047" t="s">
        <v>46570</v>
      </c>
      <c r="P11047">
        <v>0</v>
      </c>
      <c r="Q11047">
        <v>0</v>
      </c>
      <c r="R11047" t="s">
        <v>46578</v>
      </c>
      <c r="S11047" t="s">
        <v>46874</v>
      </c>
      <c r="T11047" t="s">
        <v>48449</v>
      </c>
      <c r="U11047" t="s">
        <v>57652</v>
      </c>
      <c r="W11047" t="s">
        <v>45848</v>
      </c>
      <c r="X11047" t="s">
        <v>46579</v>
      </c>
    </row>
    <row r="11048" spans="1:24">
      <c r="A11048">
        <f>HYPERLINK("https://www.philgeps.gov.ph/GEPSNONPILOT/Tender/SplashBidNoticeAbstractUI.aspx?menuIndex=3&amp;refID=7052542&amp;Result=3","7052542")</f>
        <v>0</v>
      </c>
      <c r="B11048" t="s">
        <v>964</v>
      </c>
      <c r="C11048" t="s">
        <v>13995</v>
      </c>
      <c r="D11048" t="s">
        <v>18786</v>
      </c>
      <c r="E11048" t="s">
        <v>28401</v>
      </c>
      <c r="F11048" t="s">
        <v>32664</v>
      </c>
      <c r="G11048" t="s">
        <v>32672</v>
      </c>
      <c r="H11048" t="s">
        <v>32683</v>
      </c>
      <c r="I11048" t="s">
        <v>10627</v>
      </c>
      <c r="J11048" t="s">
        <v>39363</v>
      </c>
      <c r="K11048" t="s">
        <v>42311</v>
      </c>
      <c r="M11048" t="s">
        <v>43572</v>
      </c>
      <c r="N11048" t="s">
        <v>46569</v>
      </c>
      <c r="O11048" t="s">
        <v>46570</v>
      </c>
      <c r="P11048">
        <v>0</v>
      </c>
      <c r="Q11048">
        <v>0</v>
      </c>
      <c r="R11048" t="s">
        <v>46578</v>
      </c>
      <c r="S11048" t="s">
        <v>46874</v>
      </c>
      <c r="T11048" t="s">
        <v>48412</v>
      </c>
      <c r="U11048" t="s">
        <v>57653</v>
      </c>
      <c r="W11048" t="s">
        <v>63579</v>
      </c>
      <c r="X11048" t="s">
        <v>46579</v>
      </c>
    </row>
    <row r="11049" spans="1:24">
      <c r="A11049">
        <f>HYPERLINK("https://www.philgeps.gov.ph/GEPSNONPILOT/Tender/SplashBidNoticeAbstractUI.aspx?menuIndex=3&amp;refID=7052488&amp;Result=3","7052488")</f>
        <v>0</v>
      </c>
      <c r="B11049" t="s">
        <v>2996</v>
      </c>
      <c r="C11049" t="s">
        <v>13996</v>
      </c>
      <c r="D11049" t="s">
        <v>18781</v>
      </c>
      <c r="E11049" t="s">
        <v>25232</v>
      </c>
      <c r="F11049" t="s">
        <v>32664</v>
      </c>
      <c r="G11049" t="s">
        <v>32672</v>
      </c>
      <c r="H11049" t="s">
        <v>32683</v>
      </c>
      <c r="I11049" t="s">
        <v>32716</v>
      </c>
      <c r="J11049" t="s">
        <v>33051</v>
      </c>
      <c r="K11049" t="s">
        <v>42336</v>
      </c>
      <c r="M11049" t="s">
        <v>45855</v>
      </c>
      <c r="N11049" t="s">
        <v>46569</v>
      </c>
      <c r="O11049" t="s">
        <v>46570</v>
      </c>
      <c r="P11049">
        <v>0</v>
      </c>
      <c r="Q11049">
        <v>0</v>
      </c>
      <c r="R11049" t="s">
        <v>46578</v>
      </c>
      <c r="S11049" t="s">
        <v>46874</v>
      </c>
      <c r="T11049" t="s">
        <v>48448</v>
      </c>
      <c r="U11049" t="s">
        <v>57654</v>
      </c>
      <c r="W11049" t="s">
        <v>45855</v>
      </c>
      <c r="X11049" t="s">
        <v>46579</v>
      </c>
    </row>
    <row r="11050" spans="1:24">
      <c r="A11050">
        <f>HYPERLINK("https://www.philgeps.gov.ph/GEPSNONPILOT/Tender/SplashBidNoticeAbstractUI.aspx?menuIndex=3&amp;refID=7052487&amp;Result=3","7052487")</f>
        <v>0</v>
      </c>
      <c r="B11050" t="s">
        <v>2997</v>
      </c>
      <c r="C11050" t="s">
        <v>13997</v>
      </c>
      <c r="D11050" t="s">
        <v>18805</v>
      </c>
      <c r="E11050" t="s">
        <v>28402</v>
      </c>
      <c r="F11050" t="s">
        <v>32664</v>
      </c>
      <c r="G11050" t="s">
        <v>32672</v>
      </c>
      <c r="H11050" t="s">
        <v>12635</v>
      </c>
      <c r="I11050" t="s">
        <v>6223</v>
      </c>
      <c r="J11050" t="s">
        <v>33796</v>
      </c>
      <c r="K11050" t="s">
        <v>42309</v>
      </c>
      <c r="M11050" t="s">
        <v>45856</v>
      </c>
      <c r="N11050" t="s">
        <v>46569</v>
      </c>
      <c r="O11050" t="s">
        <v>46570</v>
      </c>
      <c r="P11050">
        <v>0</v>
      </c>
      <c r="Q11050">
        <v>1</v>
      </c>
      <c r="R11050" t="s">
        <v>46578</v>
      </c>
      <c r="S11050" t="s">
        <v>46874</v>
      </c>
      <c r="T11050" t="s">
        <v>48381</v>
      </c>
      <c r="U11050" t="s">
        <v>52043</v>
      </c>
      <c r="W11050" t="s">
        <v>45856</v>
      </c>
      <c r="X11050" t="s">
        <v>46579</v>
      </c>
    </row>
    <row r="11051" spans="1:24">
      <c r="A11051">
        <f>HYPERLINK("https://www.philgeps.gov.ph/GEPSNONPILOT/Tender/SplashBidNoticeAbstractUI.aspx?menuIndex=3&amp;refID=7052482&amp;Result=3","7052482")</f>
        <v>0</v>
      </c>
      <c r="B11051" t="s">
        <v>1194</v>
      </c>
      <c r="C11051" t="s">
        <v>13998</v>
      </c>
      <c r="D11051" t="s">
        <v>18782</v>
      </c>
      <c r="E11051" t="s">
        <v>28403</v>
      </c>
      <c r="F11051" t="s">
        <v>32664</v>
      </c>
      <c r="G11051" t="s">
        <v>32672</v>
      </c>
      <c r="H11051" t="s">
        <v>32683</v>
      </c>
      <c r="I11051" t="s">
        <v>10627</v>
      </c>
      <c r="J11051" t="s">
        <v>32981</v>
      </c>
      <c r="K11051" t="s">
        <v>42408</v>
      </c>
      <c r="M11051" t="s">
        <v>45840</v>
      </c>
      <c r="N11051" t="s">
        <v>46569</v>
      </c>
      <c r="O11051" t="s">
        <v>46570</v>
      </c>
      <c r="Q11051">
        <v>1</v>
      </c>
      <c r="R11051" t="s">
        <v>46578</v>
      </c>
      <c r="S11051" t="s">
        <v>46917</v>
      </c>
      <c r="T11051" t="s">
        <v>48212</v>
      </c>
      <c r="U11051" t="s">
        <v>57655</v>
      </c>
      <c r="W11051" t="s">
        <v>45840</v>
      </c>
      <c r="X11051" t="s">
        <v>46579</v>
      </c>
    </row>
    <row r="11052" spans="1:24">
      <c r="A11052">
        <f>HYPERLINK("https://www.philgeps.gov.ph/GEPSNONPILOT/Tender/SplashBidNoticeAbstractUI.aspx?menuIndex=3&amp;refID=7052622&amp;Result=3","7052622")</f>
        <v>0</v>
      </c>
      <c r="B11052" t="s">
        <v>2022</v>
      </c>
      <c r="C11052" t="s">
        <v>13999</v>
      </c>
      <c r="D11052" t="s">
        <v>18806</v>
      </c>
      <c r="E11052" t="s">
        <v>28404</v>
      </c>
      <c r="F11052" t="s">
        <v>32664</v>
      </c>
      <c r="G11052" t="s">
        <v>32672</v>
      </c>
      <c r="H11052" t="s">
        <v>12635</v>
      </c>
      <c r="I11052" t="s">
        <v>32779</v>
      </c>
      <c r="J11052" t="s">
        <v>36127</v>
      </c>
      <c r="K11052" t="s">
        <v>42281</v>
      </c>
      <c r="M11052" t="s">
        <v>44764</v>
      </c>
      <c r="N11052" t="s">
        <v>46569</v>
      </c>
      <c r="O11052" t="s">
        <v>46570</v>
      </c>
      <c r="P11052">
        <v>0</v>
      </c>
      <c r="Q11052">
        <v>2</v>
      </c>
      <c r="R11052" t="s">
        <v>46578</v>
      </c>
      <c r="S11052" t="s">
        <v>46874</v>
      </c>
      <c r="T11052" t="s">
        <v>48571</v>
      </c>
      <c r="U11052" t="s">
        <v>57656</v>
      </c>
      <c r="W11052" t="s">
        <v>44764</v>
      </c>
      <c r="X11052" t="s">
        <v>46579</v>
      </c>
    </row>
    <row r="11053" spans="1:24">
      <c r="A11053">
        <f>HYPERLINK("https://www.philgeps.gov.ph/GEPSNONPILOT/Tender/SplashBidNoticeAbstractUI.aspx?menuIndex=3&amp;refID=7052480&amp;Result=3","7052480")</f>
        <v>0</v>
      </c>
      <c r="B11053" t="s">
        <v>1194</v>
      </c>
      <c r="C11053" t="s">
        <v>14000</v>
      </c>
      <c r="D11053" t="s">
        <v>18782</v>
      </c>
      <c r="E11053" t="s">
        <v>28405</v>
      </c>
      <c r="F11053" t="s">
        <v>32664</v>
      </c>
      <c r="G11053" t="s">
        <v>32672</v>
      </c>
      <c r="H11053" t="s">
        <v>32683</v>
      </c>
      <c r="I11053" t="s">
        <v>10627</v>
      </c>
      <c r="J11053" t="s">
        <v>32837</v>
      </c>
      <c r="K11053" t="s">
        <v>42414</v>
      </c>
      <c r="M11053" t="s">
        <v>45840</v>
      </c>
      <c r="N11053" t="s">
        <v>46569</v>
      </c>
      <c r="O11053" t="s">
        <v>46570</v>
      </c>
      <c r="Q11053">
        <v>1</v>
      </c>
      <c r="R11053" t="s">
        <v>46578</v>
      </c>
      <c r="S11053" t="s">
        <v>46921</v>
      </c>
      <c r="T11053" t="s">
        <v>48212</v>
      </c>
      <c r="U11053" t="s">
        <v>57657</v>
      </c>
      <c r="W11053" t="s">
        <v>45840</v>
      </c>
      <c r="X11053" t="s">
        <v>46579</v>
      </c>
    </row>
    <row r="11054" spans="1:24">
      <c r="A11054">
        <f>HYPERLINK("https://www.philgeps.gov.ph/GEPSNONPILOT/Tender/SplashBidNoticeAbstractUI.aspx?menuIndex=3&amp;refID=7052570&amp;Result=3","7052570")</f>
        <v>0</v>
      </c>
      <c r="B11054" t="s">
        <v>2990</v>
      </c>
      <c r="C11054" t="s">
        <v>13972</v>
      </c>
      <c r="E11054" t="s">
        <v>19774</v>
      </c>
      <c r="F11054" t="s">
        <v>32664</v>
      </c>
      <c r="G11054" t="s">
        <v>32672</v>
      </c>
      <c r="H11054" t="s">
        <v>32683</v>
      </c>
      <c r="I11054" t="s">
        <v>10627</v>
      </c>
      <c r="J11054" t="s">
        <v>39364</v>
      </c>
      <c r="K11054" t="s">
        <v>42283</v>
      </c>
      <c r="M11054" t="s">
        <v>45848</v>
      </c>
      <c r="N11054" t="s">
        <v>46569</v>
      </c>
      <c r="O11054" t="s">
        <v>46570</v>
      </c>
      <c r="P11054">
        <v>0</v>
      </c>
      <c r="Q11054">
        <v>0</v>
      </c>
      <c r="R11054" t="s">
        <v>46578</v>
      </c>
      <c r="S11054" t="s">
        <v>46874</v>
      </c>
      <c r="T11054" t="s">
        <v>48449</v>
      </c>
      <c r="U11054" t="s">
        <v>57658</v>
      </c>
      <c r="W11054" t="s">
        <v>45848</v>
      </c>
      <c r="X11054" t="s">
        <v>46579</v>
      </c>
    </row>
    <row r="11055" spans="1:24">
      <c r="A11055">
        <f>HYPERLINK("https://www.philgeps.gov.ph/GEPSNONPILOT/Tender/SplashBidNoticeAbstractUI.aspx?menuIndex=3&amp;refID=7052452&amp;Result=3","7052452")</f>
        <v>0</v>
      </c>
      <c r="B11055" t="s">
        <v>851</v>
      </c>
      <c r="C11055" t="s">
        <v>14001</v>
      </c>
      <c r="D11055" t="s">
        <v>18829</v>
      </c>
      <c r="E11055" t="s">
        <v>28406</v>
      </c>
      <c r="F11055" t="s">
        <v>32664</v>
      </c>
      <c r="G11055" t="s">
        <v>32672</v>
      </c>
      <c r="H11055" t="s">
        <v>32683</v>
      </c>
      <c r="I11055" t="s">
        <v>10627</v>
      </c>
      <c r="J11055" t="s">
        <v>39365</v>
      </c>
      <c r="K11055" t="s">
        <v>42513</v>
      </c>
      <c r="M11055" t="s">
        <v>43447</v>
      </c>
      <c r="N11055" t="s">
        <v>46569</v>
      </c>
      <c r="O11055" t="s">
        <v>46570</v>
      </c>
      <c r="P11055">
        <v>0</v>
      </c>
      <c r="Q11055">
        <v>2</v>
      </c>
      <c r="R11055" t="s">
        <v>46578</v>
      </c>
      <c r="S11055" t="s">
        <v>46874</v>
      </c>
      <c r="T11055" t="s">
        <v>48313</v>
      </c>
      <c r="U11055" t="s">
        <v>57572</v>
      </c>
      <c r="V11055" t="s">
        <v>62815</v>
      </c>
      <c r="W11055" t="s">
        <v>43447</v>
      </c>
      <c r="X11055" t="s">
        <v>46579</v>
      </c>
    </row>
    <row r="11056" spans="1:24">
      <c r="A11056">
        <f>HYPERLINK("https://www.philgeps.gov.ph/GEPSNONPILOT/Tender/SplashBidNoticeAbstractUI.aspx?menuIndex=3&amp;refID=7052451&amp;Result=3","7052451")</f>
        <v>0</v>
      </c>
      <c r="B11056" t="s">
        <v>1194</v>
      </c>
      <c r="C11056" t="s">
        <v>14002</v>
      </c>
      <c r="D11056" t="s">
        <v>18782</v>
      </c>
      <c r="E11056" t="s">
        <v>28407</v>
      </c>
      <c r="F11056" t="s">
        <v>32664</v>
      </c>
      <c r="G11056" t="s">
        <v>32672</v>
      </c>
      <c r="H11056" t="s">
        <v>32683</v>
      </c>
      <c r="I11056" t="s">
        <v>10627</v>
      </c>
      <c r="J11056" t="s">
        <v>32962</v>
      </c>
      <c r="K11056" t="s">
        <v>42400</v>
      </c>
      <c r="M11056" t="s">
        <v>45840</v>
      </c>
      <c r="N11056" t="s">
        <v>46569</v>
      </c>
      <c r="O11056" t="s">
        <v>46570</v>
      </c>
      <c r="Q11056">
        <v>1</v>
      </c>
      <c r="R11056" t="s">
        <v>46578</v>
      </c>
      <c r="S11056" t="s">
        <v>46922</v>
      </c>
      <c r="T11056" t="s">
        <v>48212</v>
      </c>
      <c r="U11056" t="s">
        <v>57659</v>
      </c>
      <c r="W11056" t="s">
        <v>45840</v>
      </c>
      <c r="X11056" t="s">
        <v>46579</v>
      </c>
    </row>
    <row r="11057" spans="1:24">
      <c r="A11057">
        <f>HYPERLINK("https://www.philgeps.gov.ph/GEPSNONPILOT/Tender/SplashBidNoticeAbstractUI.aspx?menuIndex=3&amp;refID=7052445&amp;Result=3","7052445")</f>
        <v>0</v>
      </c>
      <c r="B11057" t="s">
        <v>851</v>
      </c>
      <c r="C11057" t="s">
        <v>14003</v>
      </c>
      <c r="D11057" t="s">
        <v>18829</v>
      </c>
      <c r="E11057" t="s">
        <v>28408</v>
      </c>
      <c r="F11057" t="s">
        <v>32664</v>
      </c>
      <c r="G11057" t="s">
        <v>32672</v>
      </c>
      <c r="H11057" t="s">
        <v>32683</v>
      </c>
      <c r="I11057" t="s">
        <v>10627</v>
      </c>
      <c r="J11057" t="s">
        <v>39366</v>
      </c>
      <c r="K11057" t="s">
        <v>42513</v>
      </c>
      <c r="M11057" t="s">
        <v>43447</v>
      </c>
      <c r="N11057" t="s">
        <v>46569</v>
      </c>
      <c r="O11057" t="s">
        <v>46570</v>
      </c>
      <c r="P11057">
        <v>0</v>
      </c>
      <c r="Q11057">
        <v>2</v>
      </c>
      <c r="R11057" t="s">
        <v>46578</v>
      </c>
      <c r="S11057" t="s">
        <v>46874</v>
      </c>
      <c r="T11057" t="s">
        <v>48313</v>
      </c>
      <c r="U11057" t="s">
        <v>57572</v>
      </c>
      <c r="V11057" t="s">
        <v>62816</v>
      </c>
      <c r="W11057" t="s">
        <v>43447</v>
      </c>
      <c r="X11057" t="s">
        <v>46579</v>
      </c>
    </row>
    <row r="11058" spans="1:24">
      <c r="A11058">
        <f>HYPERLINK("https://www.philgeps.gov.ph/GEPSNONPILOT/Tender/SplashBidNoticeAbstractUI.aspx?menuIndex=3&amp;refID=7052441&amp;Result=3","7052441")</f>
        <v>0</v>
      </c>
      <c r="B11058" t="s">
        <v>851</v>
      </c>
      <c r="C11058" t="s">
        <v>14004</v>
      </c>
      <c r="D11058" t="s">
        <v>18829</v>
      </c>
      <c r="E11058" t="s">
        <v>28409</v>
      </c>
      <c r="F11058" t="s">
        <v>32664</v>
      </c>
      <c r="G11058" t="s">
        <v>32672</v>
      </c>
      <c r="H11058" t="s">
        <v>32683</v>
      </c>
      <c r="I11058" t="s">
        <v>10627</v>
      </c>
      <c r="J11058" t="s">
        <v>39367</v>
      </c>
      <c r="K11058" t="s">
        <v>42513</v>
      </c>
      <c r="M11058" t="s">
        <v>43447</v>
      </c>
      <c r="N11058" t="s">
        <v>46569</v>
      </c>
      <c r="O11058" t="s">
        <v>46570</v>
      </c>
      <c r="P11058">
        <v>0</v>
      </c>
      <c r="Q11058">
        <v>2</v>
      </c>
      <c r="R11058" t="s">
        <v>46578</v>
      </c>
      <c r="S11058" t="s">
        <v>46874</v>
      </c>
      <c r="T11058" t="s">
        <v>48313</v>
      </c>
      <c r="U11058" t="s">
        <v>57572</v>
      </c>
      <c r="V11058" t="s">
        <v>62817</v>
      </c>
      <c r="W11058" t="s">
        <v>43447</v>
      </c>
      <c r="X11058" t="s">
        <v>46579</v>
      </c>
    </row>
    <row r="11059" spans="1:24">
      <c r="A11059">
        <f>HYPERLINK("https://www.philgeps.gov.ph/GEPSNONPILOT/Tender/SplashBidNoticeAbstractUI.aspx?menuIndex=3&amp;refID=7052492&amp;Result=3","7052492")</f>
        <v>0</v>
      </c>
      <c r="B11059" t="s">
        <v>2997</v>
      </c>
      <c r="C11059" t="s">
        <v>5401</v>
      </c>
      <c r="D11059" t="s">
        <v>18805</v>
      </c>
      <c r="E11059" t="s">
        <v>28410</v>
      </c>
      <c r="F11059" t="s">
        <v>32664</v>
      </c>
      <c r="G11059" t="s">
        <v>32672</v>
      </c>
      <c r="H11059" t="s">
        <v>12635</v>
      </c>
      <c r="I11059" t="s">
        <v>32730</v>
      </c>
      <c r="J11059" t="s">
        <v>33553</v>
      </c>
      <c r="K11059" t="s">
        <v>42306</v>
      </c>
      <c r="M11059" t="s">
        <v>45856</v>
      </c>
      <c r="N11059" t="s">
        <v>46569</v>
      </c>
      <c r="O11059" t="s">
        <v>46570</v>
      </c>
      <c r="P11059">
        <v>0</v>
      </c>
      <c r="Q11059">
        <v>0</v>
      </c>
      <c r="R11059" t="s">
        <v>46578</v>
      </c>
      <c r="S11059" t="s">
        <v>46874</v>
      </c>
      <c r="T11059" t="s">
        <v>48381</v>
      </c>
      <c r="U11059" t="s">
        <v>52043</v>
      </c>
      <c r="W11059" t="s">
        <v>45856</v>
      </c>
      <c r="X11059" t="s">
        <v>46579</v>
      </c>
    </row>
    <row r="11060" spans="1:24">
      <c r="A11060">
        <f>HYPERLINK("https://www.philgeps.gov.ph/GEPSNONPILOT/Tender/SplashBidNoticeAbstractUI.aspx?menuIndex=3&amp;refID=7052437&amp;Result=3","7052437")</f>
        <v>0</v>
      </c>
      <c r="B11060" t="s">
        <v>2997</v>
      </c>
      <c r="C11060" t="s">
        <v>14005</v>
      </c>
      <c r="D11060" t="s">
        <v>18805</v>
      </c>
      <c r="E11060" t="s">
        <v>28411</v>
      </c>
      <c r="F11060" t="s">
        <v>32664</v>
      </c>
      <c r="G11060" t="s">
        <v>32672</v>
      </c>
      <c r="H11060" t="s">
        <v>12635</v>
      </c>
      <c r="I11060" t="s">
        <v>32694</v>
      </c>
      <c r="J11060" t="s">
        <v>39368</v>
      </c>
      <c r="K11060" t="s">
        <v>42309</v>
      </c>
      <c r="M11060" t="s">
        <v>45856</v>
      </c>
      <c r="N11060" t="s">
        <v>46569</v>
      </c>
      <c r="O11060" t="s">
        <v>46570</v>
      </c>
      <c r="P11060">
        <v>0</v>
      </c>
      <c r="Q11060">
        <v>0</v>
      </c>
      <c r="R11060" t="s">
        <v>46578</v>
      </c>
      <c r="S11060" t="s">
        <v>46874</v>
      </c>
      <c r="T11060" t="s">
        <v>48381</v>
      </c>
      <c r="U11060" t="s">
        <v>52043</v>
      </c>
      <c r="W11060" t="s">
        <v>45856</v>
      </c>
      <c r="X11060" t="s">
        <v>46579</v>
      </c>
    </row>
    <row r="11061" spans="1:24">
      <c r="A11061">
        <f>HYPERLINK("https://www.philgeps.gov.ph/GEPSNONPILOT/Tender/SplashBidNoticeAbstractUI.aspx?menuIndex=3&amp;refID=7052397&amp;Result=3","7052397")</f>
        <v>0</v>
      </c>
      <c r="B11061" t="s">
        <v>2984</v>
      </c>
      <c r="C11061" t="s">
        <v>14006</v>
      </c>
      <c r="E11061" t="s">
        <v>19246</v>
      </c>
      <c r="F11061" t="s">
        <v>32664</v>
      </c>
      <c r="G11061" t="s">
        <v>32672</v>
      </c>
      <c r="H11061" t="s">
        <v>12635</v>
      </c>
      <c r="I11061" t="s">
        <v>32706</v>
      </c>
      <c r="J11061" t="s">
        <v>33128</v>
      </c>
      <c r="K11061" t="s">
        <v>42297</v>
      </c>
      <c r="M11061" t="s">
        <v>45842</v>
      </c>
      <c r="N11061" t="s">
        <v>46569</v>
      </c>
      <c r="O11061" t="s">
        <v>46570</v>
      </c>
      <c r="P11061">
        <v>0</v>
      </c>
      <c r="Q11061">
        <v>0</v>
      </c>
      <c r="R11061" t="s">
        <v>46578</v>
      </c>
      <c r="S11061" t="s">
        <v>46874</v>
      </c>
      <c r="T11061" t="s">
        <v>48473</v>
      </c>
      <c r="U11061" t="s">
        <v>57660</v>
      </c>
      <c r="W11061" t="s">
        <v>45842</v>
      </c>
      <c r="X11061" t="s">
        <v>46579</v>
      </c>
    </row>
    <row r="11062" spans="1:24">
      <c r="A11062">
        <f>HYPERLINK("https://www.philgeps.gov.ph/GEPSNONPILOT/Tender/SplashBidNoticeAbstractUI.aspx?menuIndex=3&amp;refID=7052442&amp;Result=3","7052442")</f>
        <v>0</v>
      </c>
      <c r="B11062" t="s">
        <v>2998</v>
      </c>
      <c r="C11062" t="s">
        <v>14007</v>
      </c>
      <c r="D11062" t="s">
        <v>18784</v>
      </c>
      <c r="E11062" t="s">
        <v>28412</v>
      </c>
      <c r="F11062" t="s">
        <v>32664</v>
      </c>
      <c r="G11062" t="s">
        <v>32672</v>
      </c>
      <c r="H11062" t="s">
        <v>32683</v>
      </c>
      <c r="I11062" t="s">
        <v>10627</v>
      </c>
      <c r="J11062" t="s">
        <v>39369</v>
      </c>
      <c r="K11062" t="s">
        <v>42379</v>
      </c>
      <c r="M11062" t="s">
        <v>45857</v>
      </c>
      <c r="N11062" t="s">
        <v>46569</v>
      </c>
      <c r="O11062" t="s">
        <v>46570</v>
      </c>
      <c r="P11062">
        <v>0</v>
      </c>
      <c r="Q11062">
        <v>8</v>
      </c>
      <c r="R11062" t="s">
        <v>46578</v>
      </c>
      <c r="S11062" t="s">
        <v>46874</v>
      </c>
      <c r="T11062" t="s">
        <v>48212</v>
      </c>
      <c r="U11062" t="s">
        <v>57661</v>
      </c>
      <c r="W11062" t="s">
        <v>45857</v>
      </c>
      <c r="X11062" t="s">
        <v>46579</v>
      </c>
    </row>
    <row r="11063" spans="1:24">
      <c r="A11063">
        <f>HYPERLINK("https://www.philgeps.gov.ph/GEPSNONPILOT/Tender/SplashBidNoticeAbstractUI.aspx?menuIndex=3&amp;refID=7052395&amp;Result=3","7052395")</f>
        <v>0</v>
      </c>
      <c r="B11063" t="s">
        <v>2484</v>
      </c>
      <c r="C11063" t="s">
        <v>14008</v>
      </c>
      <c r="D11063" t="s">
        <v>18822</v>
      </c>
      <c r="E11063" t="s">
        <v>28413</v>
      </c>
      <c r="F11063" t="s">
        <v>32664</v>
      </c>
      <c r="G11063" t="s">
        <v>32672</v>
      </c>
      <c r="H11063" t="s">
        <v>12635</v>
      </c>
      <c r="I11063" t="s">
        <v>4439</v>
      </c>
      <c r="J11063" t="s">
        <v>33175</v>
      </c>
      <c r="K11063" t="s">
        <v>42297</v>
      </c>
      <c r="M11063" t="s">
        <v>45284</v>
      </c>
      <c r="N11063" t="s">
        <v>46569</v>
      </c>
      <c r="O11063" t="s">
        <v>46570</v>
      </c>
      <c r="P11063">
        <v>0</v>
      </c>
      <c r="Q11063">
        <v>0</v>
      </c>
      <c r="R11063" t="s">
        <v>46578</v>
      </c>
      <c r="S11063" t="s">
        <v>46874</v>
      </c>
      <c r="T11063" t="s">
        <v>48283</v>
      </c>
      <c r="U11063" t="s">
        <v>56210</v>
      </c>
      <c r="W11063" t="s">
        <v>45284</v>
      </c>
      <c r="X11063" t="s">
        <v>46579</v>
      </c>
    </row>
    <row r="11064" spans="1:24">
      <c r="A11064">
        <f>HYPERLINK("https://www.philgeps.gov.ph/GEPSNONPILOT/Tender/SplashBidNoticeAbstractUI.aspx?menuIndex=3&amp;refID=7052340&amp;Result=3","7052340")</f>
        <v>0</v>
      </c>
      <c r="B11064" t="s">
        <v>29</v>
      </c>
      <c r="C11064" t="s">
        <v>14009</v>
      </c>
      <c r="D11064" t="s">
        <v>18788</v>
      </c>
      <c r="E11064" t="s">
        <v>28414</v>
      </c>
      <c r="F11064" t="s">
        <v>32664</v>
      </c>
      <c r="G11064" t="s">
        <v>32672</v>
      </c>
      <c r="H11064" t="s">
        <v>32683</v>
      </c>
      <c r="I11064" t="s">
        <v>10627</v>
      </c>
      <c r="J11064" t="s">
        <v>39370</v>
      </c>
      <c r="K11064" t="s">
        <v>42301</v>
      </c>
      <c r="M11064" t="s">
        <v>42591</v>
      </c>
      <c r="N11064" t="s">
        <v>46569</v>
      </c>
      <c r="O11064" t="s">
        <v>46570</v>
      </c>
      <c r="P11064">
        <v>0</v>
      </c>
      <c r="Q11064">
        <v>6</v>
      </c>
      <c r="R11064" t="s">
        <v>46578</v>
      </c>
      <c r="S11064" t="s">
        <v>46874</v>
      </c>
      <c r="T11064" t="s">
        <v>48453</v>
      </c>
      <c r="U11064" t="s">
        <v>57552</v>
      </c>
      <c r="V11064" t="s">
        <v>62818</v>
      </c>
      <c r="W11064" t="s">
        <v>42591</v>
      </c>
      <c r="X11064" t="s">
        <v>46579</v>
      </c>
    </row>
    <row r="11065" spans="1:24">
      <c r="A11065">
        <f>HYPERLINK("https://www.philgeps.gov.ph/GEPSNONPILOT/Tender/SplashBidNoticeAbstractUI.aspx?menuIndex=3&amp;refID=7052337&amp;Result=3","7052337")</f>
        <v>0</v>
      </c>
      <c r="B11065" t="s">
        <v>2974</v>
      </c>
      <c r="C11065" t="s">
        <v>14010</v>
      </c>
      <c r="D11065" t="s">
        <v>18820</v>
      </c>
      <c r="E11065" t="s">
        <v>28415</v>
      </c>
      <c r="F11065" t="s">
        <v>32664</v>
      </c>
      <c r="G11065" t="s">
        <v>32672</v>
      </c>
      <c r="H11065" t="s">
        <v>12635</v>
      </c>
      <c r="I11065" t="s">
        <v>11464</v>
      </c>
      <c r="J11065" t="s">
        <v>32943</v>
      </c>
      <c r="K11065" t="s">
        <v>42303</v>
      </c>
      <c r="M11065" t="s">
        <v>45830</v>
      </c>
      <c r="N11065" t="s">
        <v>46569</v>
      </c>
      <c r="O11065" t="s">
        <v>46570</v>
      </c>
      <c r="P11065">
        <v>0</v>
      </c>
      <c r="Q11065">
        <v>6</v>
      </c>
      <c r="R11065" t="s">
        <v>46578</v>
      </c>
      <c r="S11065" t="s">
        <v>46874</v>
      </c>
      <c r="T11065" t="s">
        <v>48424</v>
      </c>
      <c r="U11065" t="s">
        <v>57662</v>
      </c>
      <c r="W11065" t="s">
        <v>45830</v>
      </c>
      <c r="X11065" t="s">
        <v>46579</v>
      </c>
    </row>
    <row r="11066" spans="1:24">
      <c r="A11066">
        <f>HYPERLINK("https://www.philgeps.gov.ph/GEPSNONPILOT/Tender/SplashBidNoticeAbstractUI.aspx?menuIndex=3&amp;refID=7052336&amp;Result=3","7052336")</f>
        <v>0</v>
      </c>
      <c r="B11066" t="s">
        <v>2558</v>
      </c>
      <c r="C11066" t="s">
        <v>14011</v>
      </c>
      <c r="D11066" t="s">
        <v>18846</v>
      </c>
      <c r="E11066" t="s">
        <v>28416</v>
      </c>
      <c r="F11066" t="s">
        <v>32664</v>
      </c>
      <c r="G11066" t="s">
        <v>32672</v>
      </c>
      <c r="H11066" t="s">
        <v>32681</v>
      </c>
      <c r="I11066" t="s">
        <v>10627</v>
      </c>
      <c r="J11066" t="s">
        <v>39371</v>
      </c>
      <c r="K11066" t="s">
        <v>42289</v>
      </c>
      <c r="M11066" t="s">
        <v>45369</v>
      </c>
      <c r="N11066" t="s">
        <v>46569</v>
      </c>
      <c r="O11066" t="s">
        <v>46570</v>
      </c>
      <c r="P11066">
        <v>0</v>
      </c>
      <c r="Q11066">
        <v>0</v>
      </c>
      <c r="R11066" t="s">
        <v>46578</v>
      </c>
      <c r="S11066" t="s">
        <v>46874</v>
      </c>
      <c r="T11066" t="s">
        <v>48313</v>
      </c>
      <c r="U11066" t="s">
        <v>57663</v>
      </c>
      <c r="W11066" t="s">
        <v>45369</v>
      </c>
      <c r="X11066" t="s">
        <v>46579</v>
      </c>
    </row>
    <row r="11067" spans="1:24">
      <c r="A11067">
        <f>HYPERLINK("https://www.philgeps.gov.ph/GEPSNONPILOT/Tender/SplashBidNoticeAbstractUI.aspx?menuIndex=3&amp;refID=7052430&amp;Result=3","7052430")</f>
        <v>0</v>
      </c>
      <c r="B11067" t="s">
        <v>131</v>
      </c>
      <c r="C11067" t="s">
        <v>14012</v>
      </c>
      <c r="D11067" t="s">
        <v>18829</v>
      </c>
      <c r="E11067" t="s">
        <v>28417</v>
      </c>
      <c r="F11067" t="s">
        <v>32666</v>
      </c>
      <c r="G11067" t="s">
        <v>32672</v>
      </c>
      <c r="H11067" t="s">
        <v>12635</v>
      </c>
      <c r="I11067" t="s">
        <v>4439</v>
      </c>
      <c r="J11067" t="s">
        <v>39372</v>
      </c>
      <c r="K11067" t="s">
        <v>42297</v>
      </c>
      <c r="M11067" t="s">
        <v>42695</v>
      </c>
      <c r="N11067" t="s">
        <v>46569</v>
      </c>
      <c r="O11067" t="s">
        <v>46570</v>
      </c>
      <c r="P11067">
        <v>0</v>
      </c>
      <c r="Q11067">
        <v>0</v>
      </c>
      <c r="R11067" t="s">
        <v>46578</v>
      </c>
      <c r="S11067" t="s">
        <v>46874</v>
      </c>
      <c r="T11067" t="s">
        <v>48291</v>
      </c>
      <c r="U11067" t="s">
        <v>57664</v>
      </c>
      <c r="W11067" t="s">
        <v>42695</v>
      </c>
      <c r="X11067" t="s">
        <v>46579</v>
      </c>
    </row>
    <row r="11068" spans="1:24">
      <c r="A11068">
        <f>HYPERLINK("https://www.philgeps.gov.ph/GEPSNONPILOT/Tender/SplashBidNoticeAbstractUI.aspx?menuIndex=3&amp;refID=7052325&amp;Result=3","7052325")</f>
        <v>0</v>
      </c>
      <c r="B11068" t="s">
        <v>2558</v>
      </c>
      <c r="C11068" t="s">
        <v>14013</v>
      </c>
      <c r="D11068" t="s">
        <v>18846</v>
      </c>
      <c r="E11068" t="s">
        <v>28418</v>
      </c>
      <c r="F11068" t="s">
        <v>32664</v>
      </c>
      <c r="G11068" t="s">
        <v>32672</v>
      </c>
      <c r="H11068" t="s">
        <v>32681</v>
      </c>
      <c r="I11068" t="s">
        <v>10627</v>
      </c>
      <c r="J11068" t="s">
        <v>39373</v>
      </c>
      <c r="K11068" t="s">
        <v>42297</v>
      </c>
      <c r="M11068" t="s">
        <v>45369</v>
      </c>
      <c r="N11068" t="s">
        <v>46569</v>
      </c>
      <c r="O11068" t="s">
        <v>46570</v>
      </c>
      <c r="P11068">
        <v>0</v>
      </c>
      <c r="Q11068">
        <v>1</v>
      </c>
      <c r="R11068" t="s">
        <v>46578</v>
      </c>
      <c r="S11068" t="s">
        <v>46874</v>
      </c>
      <c r="T11068" t="s">
        <v>48313</v>
      </c>
      <c r="U11068" t="s">
        <v>57665</v>
      </c>
      <c r="W11068" t="s">
        <v>45369</v>
      </c>
      <c r="X11068" t="s">
        <v>46579</v>
      </c>
    </row>
    <row r="11069" spans="1:24">
      <c r="A11069">
        <f>HYPERLINK("https://www.philgeps.gov.ph/GEPSNONPILOT/Tender/SplashBidNoticeAbstractUI.aspx?menuIndex=3&amp;refID=7052444&amp;Result=3","7052444")</f>
        <v>0</v>
      </c>
      <c r="B11069" t="s">
        <v>2980</v>
      </c>
      <c r="C11069" t="s">
        <v>14014</v>
      </c>
      <c r="D11069" t="s">
        <v>18789</v>
      </c>
      <c r="E11069" t="s">
        <v>20142</v>
      </c>
      <c r="F11069" t="s">
        <v>32664</v>
      </c>
      <c r="G11069" t="s">
        <v>32672</v>
      </c>
      <c r="H11069" t="s">
        <v>32683</v>
      </c>
      <c r="I11069" t="s">
        <v>10627</v>
      </c>
      <c r="J11069" t="s">
        <v>39374</v>
      </c>
      <c r="K11069" t="s">
        <v>42378</v>
      </c>
      <c r="M11069" t="s">
        <v>45837</v>
      </c>
      <c r="N11069" t="s">
        <v>46569</v>
      </c>
      <c r="O11069" t="s">
        <v>46570</v>
      </c>
      <c r="P11069">
        <v>0</v>
      </c>
      <c r="Q11069">
        <v>0</v>
      </c>
      <c r="R11069" t="s">
        <v>46578</v>
      </c>
      <c r="S11069" t="s">
        <v>46874</v>
      </c>
      <c r="T11069" t="s">
        <v>48221</v>
      </c>
      <c r="U11069" t="s">
        <v>57666</v>
      </c>
      <c r="W11069" t="s">
        <v>45837</v>
      </c>
      <c r="X11069" t="s">
        <v>46579</v>
      </c>
    </row>
    <row r="11070" spans="1:24">
      <c r="A11070">
        <f>HYPERLINK("https://www.philgeps.gov.ph/GEPSNONPILOT/Tender/SplashBidNoticeAbstractUI.aspx?menuIndex=3&amp;refID=7052324&amp;Result=3","7052324")</f>
        <v>0</v>
      </c>
      <c r="B11070" t="s">
        <v>437</v>
      </c>
      <c r="C11070" t="s">
        <v>14015</v>
      </c>
      <c r="D11070" t="s">
        <v>18836</v>
      </c>
      <c r="E11070" t="s">
        <v>28419</v>
      </c>
      <c r="F11070" t="s">
        <v>32664</v>
      </c>
      <c r="G11070" t="s">
        <v>32672</v>
      </c>
      <c r="H11070" t="s">
        <v>12635</v>
      </c>
      <c r="I11070" t="s">
        <v>10370</v>
      </c>
      <c r="J11070" t="s">
        <v>39375</v>
      </c>
      <c r="K11070" t="s">
        <v>42289</v>
      </c>
      <c r="M11070" t="s">
        <v>43009</v>
      </c>
      <c r="N11070" t="s">
        <v>46569</v>
      </c>
      <c r="O11070" t="s">
        <v>46570</v>
      </c>
      <c r="Q11070">
        <v>3</v>
      </c>
      <c r="R11070" t="s">
        <v>46578</v>
      </c>
      <c r="S11070" t="s">
        <v>46923</v>
      </c>
      <c r="T11070" t="s">
        <v>48375</v>
      </c>
      <c r="U11070" t="s">
        <v>57667</v>
      </c>
      <c r="W11070" t="s">
        <v>43009</v>
      </c>
      <c r="X11070" t="s">
        <v>46579</v>
      </c>
    </row>
    <row r="11071" spans="1:24">
      <c r="A11071">
        <f>HYPERLINK("https://www.philgeps.gov.ph/GEPSNONPILOT/Tender/SplashBidNoticeAbstractUI.aspx?menuIndex=3&amp;refID=7052320&amp;Result=3","7052320")</f>
        <v>0</v>
      </c>
      <c r="B11071" t="s">
        <v>29</v>
      </c>
      <c r="C11071" t="s">
        <v>14016</v>
      </c>
      <c r="D11071" t="s">
        <v>18781</v>
      </c>
      <c r="E11071" t="s">
        <v>28420</v>
      </c>
      <c r="F11071" t="s">
        <v>32664</v>
      </c>
      <c r="G11071" t="s">
        <v>32672</v>
      </c>
      <c r="H11071" t="s">
        <v>32683</v>
      </c>
      <c r="I11071" t="s">
        <v>10627</v>
      </c>
      <c r="J11071" t="s">
        <v>39299</v>
      </c>
      <c r="K11071" t="s">
        <v>42301</v>
      </c>
      <c r="M11071" t="s">
        <v>42591</v>
      </c>
      <c r="N11071" t="s">
        <v>46569</v>
      </c>
      <c r="O11071" t="s">
        <v>46570</v>
      </c>
      <c r="P11071">
        <v>0</v>
      </c>
      <c r="Q11071">
        <v>4</v>
      </c>
      <c r="R11071" t="s">
        <v>46578</v>
      </c>
      <c r="S11071" t="s">
        <v>46874</v>
      </c>
      <c r="T11071" t="s">
        <v>48453</v>
      </c>
      <c r="U11071" t="s">
        <v>57552</v>
      </c>
      <c r="V11071" t="s">
        <v>62804</v>
      </c>
      <c r="W11071" t="s">
        <v>42591</v>
      </c>
      <c r="X11071" t="s">
        <v>46579</v>
      </c>
    </row>
    <row r="11072" spans="1:24">
      <c r="A11072">
        <f>HYPERLINK("https://www.philgeps.gov.ph/GEPSNONPILOT/Tender/SplashBidNoticeAbstractUI.aspx?menuIndex=3&amp;refID=7052344&amp;Result=3","7052344")</f>
        <v>0</v>
      </c>
      <c r="B11072" t="s">
        <v>2558</v>
      </c>
      <c r="C11072" t="s">
        <v>14017</v>
      </c>
      <c r="D11072" t="s">
        <v>18846</v>
      </c>
      <c r="E11072" t="s">
        <v>28421</v>
      </c>
      <c r="F11072" t="s">
        <v>32664</v>
      </c>
      <c r="G11072" t="s">
        <v>32672</v>
      </c>
      <c r="H11072" t="s">
        <v>32681</v>
      </c>
      <c r="I11072" t="s">
        <v>10627</v>
      </c>
      <c r="J11072" t="s">
        <v>39376</v>
      </c>
      <c r="K11072" t="s">
        <v>42316</v>
      </c>
      <c r="M11072" t="s">
        <v>45369</v>
      </c>
      <c r="N11072" t="s">
        <v>46569</v>
      </c>
      <c r="O11072" t="s">
        <v>46570</v>
      </c>
      <c r="P11072">
        <v>0</v>
      </c>
      <c r="Q11072">
        <v>0</v>
      </c>
      <c r="R11072" t="s">
        <v>46578</v>
      </c>
      <c r="S11072" t="s">
        <v>46874</v>
      </c>
      <c r="T11072" t="s">
        <v>48313</v>
      </c>
      <c r="U11072" t="s">
        <v>57668</v>
      </c>
      <c r="W11072" t="s">
        <v>45369</v>
      </c>
      <c r="X11072" t="s">
        <v>46579</v>
      </c>
    </row>
    <row r="11073" spans="1:24">
      <c r="A11073">
        <f>HYPERLINK("https://www.philgeps.gov.ph/GEPSNONPILOT/Tender/SplashBidNoticeAbstractUI.aspx?menuIndex=3&amp;refID=7052271&amp;Result=3","7052271")</f>
        <v>0</v>
      </c>
      <c r="B11073" t="s">
        <v>1439</v>
      </c>
      <c r="C11073" t="s">
        <v>14018</v>
      </c>
      <c r="D11073" t="s">
        <v>18807</v>
      </c>
      <c r="E11073" t="s">
        <v>28422</v>
      </c>
      <c r="F11073" t="s">
        <v>32664</v>
      </c>
      <c r="G11073" t="s">
        <v>32671</v>
      </c>
      <c r="H11073" t="s">
        <v>12635</v>
      </c>
      <c r="I11073" t="s">
        <v>4439</v>
      </c>
      <c r="J11073" t="s">
        <v>39377</v>
      </c>
      <c r="K11073" t="s">
        <v>42289</v>
      </c>
      <c r="M11073" t="s">
        <v>45829</v>
      </c>
      <c r="N11073" t="s">
        <v>46569</v>
      </c>
      <c r="O11073" t="s">
        <v>46570</v>
      </c>
      <c r="P11073">
        <v>0</v>
      </c>
      <c r="Q11073">
        <v>1</v>
      </c>
      <c r="R11073" t="s">
        <v>46578</v>
      </c>
      <c r="S11073" t="s">
        <v>46874</v>
      </c>
      <c r="T11073" t="s">
        <v>48448</v>
      </c>
      <c r="U11073" t="s">
        <v>57669</v>
      </c>
      <c r="W11073" t="s">
        <v>45829</v>
      </c>
      <c r="X11073" t="s">
        <v>46579</v>
      </c>
    </row>
    <row r="11074" spans="1:24">
      <c r="A11074">
        <f>HYPERLINK("https://www.philgeps.gov.ph/GEPSNONPILOT/Tender/SplashBidNoticeAbstractUI.aspx?menuIndex=3&amp;refID=7036129&amp;Result=3","7036129")</f>
        <v>0</v>
      </c>
      <c r="B11074" t="s">
        <v>178</v>
      </c>
      <c r="C11074" t="s">
        <v>14019</v>
      </c>
      <c r="D11074" t="s">
        <v>18839</v>
      </c>
      <c r="E11074" t="s">
        <v>20991</v>
      </c>
      <c r="F11074" t="s">
        <v>32664</v>
      </c>
      <c r="G11074" t="s">
        <v>32672</v>
      </c>
      <c r="H11074" t="s">
        <v>12635</v>
      </c>
      <c r="I11074" t="s">
        <v>32741</v>
      </c>
      <c r="J11074" t="s">
        <v>33761</v>
      </c>
      <c r="K11074" t="s">
        <v>42290</v>
      </c>
      <c r="M11074" t="s">
        <v>45858</v>
      </c>
      <c r="N11074" t="s">
        <v>46569</v>
      </c>
      <c r="O11074" t="s">
        <v>46570</v>
      </c>
      <c r="P11074">
        <v>0</v>
      </c>
      <c r="Q11074">
        <v>16</v>
      </c>
      <c r="R11074" t="s">
        <v>46579</v>
      </c>
      <c r="S11074" t="s">
        <v>46919</v>
      </c>
      <c r="T11074" t="s">
        <v>48468</v>
      </c>
      <c r="U11074" t="s">
        <v>57670</v>
      </c>
      <c r="W11074" t="s">
        <v>45858</v>
      </c>
      <c r="X11074" t="s">
        <v>46587</v>
      </c>
    </row>
    <row r="11075" spans="1:24">
      <c r="A11075">
        <f>HYPERLINK("https://www.philgeps.gov.ph/GEPSNONPILOT/Tender/SplashBidNoticeAbstractUI.aspx?menuIndex=3&amp;refID=7052327&amp;Result=3","7052327")</f>
        <v>0</v>
      </c>
      <c r="B11075" t="s">
        <v>509</v>
      </c>
      <c r="C11075" t="s">
        <v>14020</v>
      </c>
      <c r="D11075" t="s">
        <v>18803</v>
      </c>
      <c r="E11075" t="s">
        <v>28423</v>
      </c>
      <c r="F11075" t="s">
        <v>32664</v>
      </c>
      <c r="G11075" t="s">
        <v>32672</v>
      </c>
      <c r="H11075" t="s">
        <v>32682</v>
      </c>
      <c r="I11075" t="s">
        <v>9946</v>
      </c>
      <c r="J11075" t="s">
        <v>39378</v>
      </c>
      <c r="K11075" t="s">
        <v>42308</v>
      </c>
      <c r="M11075" t="s">
        <v>45859</v>
      </c>
      <c r="N11075" t="s">
        <v>46569</v>
      </c>
      <c r="O11075" t="s">
        <v>46570</v>
      </c>
      <c r="Q11075">
        <v>4</v>
      </c>
      <c r="R11075" t="s">
        <v>46578</v>
      </c>
      <c r="S11075" t="s">
        <v>46924</v>
      </c>
      <c r="T11075" t="s">
        <v>48345</v>
      </c>
      <c r="U11075" t="s">
        <v>57671</v>
      </c>
      <c r="W11075" t="s">
        <v>45859</v>
      </c>
      <c r="X11075" t="s">
        <v>46579</v>
      </c>
    </row>
    <row r="11076" spans="1:24">
      <c r="A11076">
        <f>HYPERLINK("https://www.philgeps.gov.ph/GEPSNONPILOT/Tender/SplashBidNoticeAbstractUI.aspx?menuIndex=3&amp;refID=7028170&amp;Result=3","7028170")</f>
        <v>0</v>
      </c>
      <c r="B11076" t="s">
        <v>1707</v>
      </c>
      <c r="C11076" t="s">
        <v>14021</v>
      </c>
      <c r="E11076" t="s">
        <v>28424</v>
      </c>
      <c r="F11076" t="s">
        <v>32664</v>
      </c>
      <c r="G11076" t="s">
        <v>32672</v>
      </c>
      <c r="H11076" t="s">
        <v>32683</v>
      </c>
      <c r="I11076" t="s">
        <v>10627</v>
      </c>
      <c r="J11076" t="s">
        <v>33150</v>
      </c>
      <c r="K11076" t="s">
        <v>42283</v>
      </c>
      <c r="M11076" t="s">
        <v>44401</v>
      </c>
      <c r="N11076" t="s">
        <v>46569</v>
      </c>
      <c r="O11076" t="s">
        <v>46570</v>
      </c>
      <c r="P11076">
        <v>0</v>
      </c>
      <c r="Q11076">
        <v>0</v>
      </c>
      <c r="R11076" t="s">
        <v>46579</v>
      </c>
      <c r="S11076" t="s">
        <v>46919</v>
      </c>
      <c r="T11076" t="s">
        <v>48212</v>
      </c>
      <c r="U11076" t="s">
        <v>57672</v>
      </c>
      <c r="W11076" t="s">
        <v>44401</v>
      </c>
      <c r="X11076" t="s">
        <v>46592</v>
      </c>
    </row>
    <row r="11077" spans="1:24">
      <c r="A11077">
        <f>HYPERLINK("https://www.philgeps.gov.ph/GEPSNONPILOT/Tender/SplashBidNoticeAbstractUI.aspx?menuIndex=3&amp;refID=7052436&amp;Result=3","7052436")</f>
        <v>0</v>
      </c>
      <c r="B11077" t="s">
        <v>851</v>
      </c>
      <c r="C11077" t="s">
        <v>14022</v>
      </c>
      <c r="D11077" t="s">
        <v>18829</v>
      </c>
      <c r="E11077" t="s">
        <v>28425</v>
      </c>
      <c r="F11077" t="s">
        <v>32664</v>
      </c>
      <c r="G11077" t="s">
        <v>32672</v>
      </c>
      <c r="H11077" t="s">
        <v>32683</v>
      </c>
      <c r="I11077" t="s">
        <v>10627</v>
      </c>
      <c r="J11077" t="s">
        <v>39379</v>
      </c>
      <c r="K11077" t="s">
        <v>42513</v>
      </c>
      <c r="M11077" t="s">
        <v>43447</v>
      </c>
      <c r="N11077" t="s">
        <v>46569</v>
      </c>
      <c r="O11077" t="s">
        <v>46570</v>
      </c>
      <c r="P11077">
        <v>0</v>
      </c>
      <c r="Q11077">
        <v>2</v>
      </c>
      <c r="R11077" t="s">
        <v>46578</v>
      </c>
      <c r="S11077" t="s">
        <v>46874</v>
      </c>
      <c r="T11077" t="s">
        <v>48313</v>
      </c>
      <c r="U11077" t="s">
        <v>57572</v>
      </c>
      <c r="V11077" t="s">
        <v>62819</v>
      </c>
      <c r="W11077" t="s">
        <v>43447</v>
      </c>
      <c r="X11077" t="s">
        <v>46579</v>
      </c>
    </row>
    <row r="11078" spans="1:24">
      <c r="A11078">
        <f>HYPERLINK("https://www.philgeps.gov.ph/GEPSNONPILOT/Tender/SplashBidNoticeAbstractUI.aspx?menuIndex=3&amp;refID=7052489&amp;Result=3","7052489")</f>
        <v>0</v>
      </c>
      <c r="B11078" t="s">
        <v>131</v>
      </c>
      <c r="C11078" t="s">
        <v>14023</v>
      </c>
      <c r="D11078" t="s">
        <v>18829</v>
      </c>
      <c r="E11078" t="s">
        <v>28426</v>
      </c>
      <c r="F11078" t="s">
        <v>32666</v>
      </c>
      <c r="G11078" t="s">
        <v>32672</v>
      </c>
      <c r="H11078" t="s">
        <v>12635</v>
      </c>
      <c r="I11078" t="s">
        <v>14442</v>
      </c>
      <c r="J11078" t="s">
        <v>33126</v>
      </c>
      <c r="K11078" t="s">
        <v>42297</v>
      </c>
      <c r="M11078" t="s">
        <v>42695</v>
      </c>
      <c r="N11078" t="s">
        <v>46569</v>
      </c>
      <c r="O11078" t="s">
        <v>46570</v>
      </c>
      <c r="P11078">
        <v>0</v>
      </c>
      <c r="Q11078">
        <v>0</v>
      </c>
      <c r="R11078" t="s">
        <v>46578</v>
      </c>
      <c r="S11078" t="s">
        <v>46874</v>
      </c>
      <c r="T11078" t="s">
        <v>48350</v>
      </c>
      <c r="U11078" t="s">
        <v>57673</v>
      </c>
      <c r="W11078" t="s">
        <v>42695</v>
      </c>
      <c r="X11078" t="s">
        <v>46579</v>
      </c>
    </row>
    <row r="11079" spans="1:24">
      <c r="A11079">
        <f>HYPERLINK("https://www.philgeps.gov.ph/GEPSNONPILOT/Tender/SplashBidNoticeAbstractUI.aspx?menuIndex=3&amp;refID=7034144&amp;Result=3","7034144")</f>
        <v>0</v>
      </c>
      <c r="B11079" t="s">
        <v>2999</v>
      </c>
      <c r="C11079" t="s">
        <v>14024</v>
      </c>
      <c r="D11079" t="s">
        <v>18831</v>
      </c>
      <c r="E11079" t="s">
        <v>28427</v>
      </c>
      <c r="F11079" t="s">
        <v>32664</v>
      </c>
      <c r="G11079" t="s">
        <v>32672</v>
      </c>
      <c r="H11079" t="s">
        <v>32683</v>
      </c>
      <c r="I11079" t="s">
        <v>10627</v>
      </c>
      <c r="J11079" t="s">
        <v>39380</v>
      </c>
      <c r="K11079" t="s">
        <v>42311</v>
      </c>
      <c r="M11079" t="s">
        <v>45860</v>
      </c>
      <c r="N11079" t="s">
        <v>46569</v>
      </c>
      <c r="O11079" t="s">
        <v>46570</v>
      </c>
      <c r="P11079">
        <v>0</v>
      </c>
      <c r="Q11079">
        <v>1</v>
      </c>
      <c r="R11079" t="s">
        <v>46579</v>
      </c>
      <c r="S11079" t="s">
        <v>46919</v>
      </c>
      <c r="T11079" t="s">
        <v>48212</v>
      </c>
      <c r="U11079" t="s">
        <v>57674</v>
      </c>
      <c r="W11079" t="s">
        <v>45860</v>
      </c>
      <c r="X11079" t="s">
        <v>46588</v>
      </c>
    </row>
    <row r="11080" spans="1:24">
      <c r="A11080">
        <f>HYPERLINK("https://www.philgeps.gov.ph/GEPSNONPILOT/Tender/SplashBidNoticeAbstractUI.aspx?menuIndex=3&amp;refID=7052485&amp;Result=3","7052485")</f>
        <v>0</v>
      </c>
      <c r="B11080" t="s">
        <v>2983</v>
      </c>
      <c r="C11080" t="s">
        <v>14025</v>
      </c>
      <c r="D11080" t="s">
        <v>18825</v>
      </c>
      <c r="E11080" t="s">
        <v>28428</v>
      </c>
      <c r="F11080" t="s">
        <v>32664</v>
      </c>
      <c r="G11080" t="s">
        <v>32672</v>
      </c>
      <c r="H11080" t="s">
        <v>32683</v>
      </c>
      <c r="I11080" t="s">
        <v>10627</v>
      </c>
      <c r="J11080" t="s">
        <v>32837</v>
      </c>
      <c r="K11080" t="s">
        <v>42467</v>
      </c>
      <c r="M11080" t="s">
        <v>45841</v>
      </c>
      <c r="N11080" t="s">
        <v>46569</v>
      </c>
      <c r="O11080" t="s">
        <v>46570</v>
      </c>
      <c r="P11080">
        <v>0</v>
      </c>
      <c r="Q11080">
        <v>0</v>
      </c>
      <c r="R11080" t="s">
        <v>46578</v>
      </c>
      <c r="S11080" t="s">
        <v>46874</v>
      </c>
      <c r="T11080" t="s">
        <v>48381</v>
      </c>
      <c r="U11080" t="s">
        <v>57583</v>
      </c>
      <c r="V11080" t="s">
        <v>62812</v>
      </c>
      <c r="W11080" t="s">
        <v>45841</v>
      </c>
      <c r="X11080" t="s">
        <v>46579</v>
      </c>
    </row>
    <row r="11081" spans="1:24">
      <c r="A11081">
        <f>HYPERLINK("https://www.philgeps.gov.ph/GEPSNONPILOT/Tender/SplashBidNoticeAbstractUI.aspx?menuIndex=3&amp;refID=7025866&amp;Result=3","7025866")</f>
        <v>0</v>
      </c>
      <c r="B11081" t="s">
        <v>1024</v>
      </c>
      <c r="C11081" t="s">
        <v>14026</v>
      </c>
      <c r="D11081" t="s">
        <v>18801</v>
      </c>
      <c r="E11081" t="s">
        <v>28429</v>
      </c>
      <c r="F11081" t="s">
        <v>32664</v>
      </c>
      <c r="G11081" t="s">
        <v>32672</v>
      </c>
      <c r="H11081" t="s">
        <v>12635</v>
      </c>
      <c r="I11081" t="s">
        <v>11464</v>
      </c>
      <c r="J11081" t="s">
        <v>33150</v>
      </c>
      <c r="K11081" t="s">
        <v>42311</v>
      </c>
      <c r="M11081" t="s">
        <v>43636</v>
      </c>
      <c r="N11081" t="s">
        <v>46569</v>
      </c>
      <c r="O11081" t="s">
        <v>46570</v>
      </c>
      <c r="P11081">
        <v>0</v>
      </c>
      <c r="Q11081">
        <v>12</v>
      </c>
      <c r="R11081" t="s">
        <v>46579</v>
      </c>
      <c r="S11081" t="s">
        <v>46919</v>
      </c>
      <c r="T11081" t="s">
        <v>48467</v>
      </c>
      <c r="U11081" t="s">
        <v>57675</v>
      </c>
      <c r="W11081" t="s">
        <v>43636</v>
      </c>
      <c r="X11081" t="s">
        <v>46593</v>
      </c>
    </row>
    <row r="11082" spans="1:24">
      <c r="A11082">
        <f>HYPERLINK("https://www.philgeps.gov.ph/GEPSNONPILOT/Tender/SplashBidNoticeAbstractUI.aspx?menuIndex=3&amp;refID=7052275&amp;Result=3","7052275")</f>
        <v>0</v>
      </c>
      <c r="B11082" t="s">
        <v>2346</v>
      </c>
      <c r="C11082" t="s">
        <v>10101</v>
      </c>
      <c r="D11082" t="s">
        <v>18846</v>
      </c>
      <c r="E11082" t="s">
        <v>28430</v>
      </c>
      <c r="F11082" t="s">
        <v>32664</v>
      </c>
      <c r="G11082" t="s">
        <v>32672</v>
      </c>
      <c r="H11082" t="s">
        <v>32683</v>
      </c>
      <c r="I11082" t="s">
        <v>10627</v>
      </c>
      <c r="J11082" t="s">
        <v>32943</v>
      </c>
      <c r="K11082" t="s">
        <v>42298</v>
      </c>
      <c r="M11082" t="s">
        <v>45128</v>
      </c>
      <c r="N11082" t="s">
        <v>46569</v>
      </c>
      <c r="O11082" t="s">
        <v>46570</v>
      </c>
      <c r="P11082">
        <v>0</v>
      </c>
      <c r="Q11082">
        <v>1</v>
      </c>
      <c r="R11082" t="s">
        <v>46578</v>
      </c>
      <c r="S11082" t="s">
        <v>46874</v>
      </c>
      <c r="T11082" t="s">
        <v>48381</v>
      </c>
      <c r="U11082" t="s">
        <v>57676</v>
      </c>
      <c r="W11082" t="s">
        <v>45128</v>
      </c>
      <c r="X11082" t="s">
        <v>46579</v>
      </c>
    </row>
    <row r="11083" spans="1:24">
      <c r="A11083">
        <f>HYPERLINK("https://www.philgeps.gov.ph/GEPSNONPILOT/Tender/SplashBidNoticeAbstractUI.aspx?menuIndex=3&amp;refID=7024588&amp;Result=3","7024588")</f>
        <v>0</v>
      </c>
      <c r="B11083" t="s">
        <v>1710</v>
      </c>
      <c r="C11083" t="s">
        <v>14027</v>
      </c>
      <c r="D11083" t="s">
        <v>18805</v>
      </c>
      <c r="E11083" t="s">
        <v>28431</v>
      </c>
      <c r="F11083" t="s">
        <v>32664</v>
      </c>
      <c r="G11083" t="s">
        <v>32672</v>
      </c>
      <c r="H11083" t="s">
        <v>12635</v>
      </c>
      <c r="I11083" t="s">
        <v>4439</v>
      </c>
      <c r="J11083" t="s">
        <v>39381</v>
      </c>
      <c r="K11083" t="s">
        <v>42303</v>
      </c>
      <c r="M11083" t="s">
        <v>44404</v>
      </c>
      <c r="N11083" t="s">
        <v>46569</v>
      </c>
      <c r="O11083" t="s">
        <v>46570</v>
      </c>
      <c r="P11083">
        <v>0</v>
      </c>
      <c r="Q11083">
        <v>3</v>
      </c>
      <c r="R11083" t="s">
        <v>46579</v>
      </c>
      <c r="S11083" t="s">
        <v>46919</v>
      </c>
      <c r="T11083" t="s">
        <v>48573</v>
      </c>
      <c r="U11083" t="s">
        <v>57677</v>
      </c>
      <c r="W11083" t="s">
        <v>44404</v>
      </c>
      <c r="X11083" t="s">
        <v>46593</v>
      </c>
    </row>
    <row r="11084" spans="1:24">
      <c r="A11084">
        <f>HYPERLINK("https://www.philgeps.gov.ph/GEPSNONPILOT/Tender/SplashBidNoticeAbstractUI.aspx?menuIndex=3&amp;refID=7023974&amp;Result=3","7023974")</f>
        <v>0</v>
      </c>
      <c r="B11084" t="s">
        <v>3000</v>
      </c>
      <c r="C11084" t="s">
        <v>14028</v>
      </c>
      <c r="D11084" t="s">
        <v>18801</v>
      </c>
      <c r="E11084" t="s">
        <v>19194</v>
      </c>
      <c r="F11084" t="s">
        <v>32665</v>
      </c>
      <c r="G11084" t="s">
        <v>32671</v>
      </c>
      <c r="H11084" t="s">
        <v>32682</v>
      </c>
      <c r="I11084" t="s">
        <v>32767</v>
      </c>
      <c r="J11084" t="s">
        <v>33752</v>
      </c>
      <c r="K11084" t="s">
        <v>42404</v>
      </c>
      <c r="M11084" t="s">
        <v>45861</v>
      </c>
      <c r="N11084" t="s">
        <v>46569</v>
      </c>
      <c r="O11084" t="s">
        <v>46570</v>
      </c>
      <c r="P11084">
        <v>0</v>
      </c>
      <c r="Q11084">
        <v>1</v>
      </c>
      <c r="R11084" t="s">
        <v>46579</v>
      </c>
      <c r="S11084" t="s">
        <v>46919</v>
      </c>
      <c r="T11084" t="s">
        <v>48258</v>
      </c>
      <c r="U11084" t="s">
        <v>57678</v>
      </c>
      <c r="V11084" t="s">
        <v>62820</v>
      </c>
      <c r="W11084" t="s">
        <v>45861</v>
      </c>
      <c r="X11084" t="s">
        <v>46594</v>
      </c>
    </row>
    <row r="11085" spans="1:24">
      <c r="A11085">
        <f>HYPERLINK("https://www.philgeps.gov.ph/GEPSNONPILOT/Tender/SplashBidNoticeAbstractUI.aspx?menuIndex=3&amp;refID=7027856&amp;Result=3","7027856")</f>
        <v>0</v>
      </c>
      <c r="B11085" t="s">
        <v>3001</v>
      </c>
      <c r="C11085" t="s">
        <v>14029</v>
      </c>
      <c r="D11085" t="s">
        <v>18826</v>
      </c>
      <c r="E11085" t="s">
        <v>28432</v>
      </c>
      <c r="F11085" t="s">
        <v>32665</v>
      </c>
      <c r="G11085" t="s">
        <v>32672</v>
      </c>
      <c r="H11085" t="s">
        <v>32683</v>
      </c>
      <c r="I11085" t="s">
        <v>10627</v>
      </c>
      <c r="J11085" t="s">
        <v>32830</v>
      </c>
      <c r="K11085" t="s">
        <v>42330</v>
      </c>
      <c r="M11085" t="s">
        <v>45862</v>
      </c>
      <c r="N11085" t="s">
        <v>46569</v>
      </c>
      <c r="O11085" t="s">
        <v>46570</v>
      </c>
      <c r="P11085">
        <v>0</v>
      </c>
      <c r="Q11085">
        <v>2</v>
      </c>
      <c r="R11085" t="s">
        <v>46579</v>
      </c>
      <c r="S11085" t="s">
        <v>46919</v>
      </c>
      <c r="T11085" t="s">
        <v>48296</v>
      </c>
      <c r="U11085" t="s">
        <v>57679</v>
      </c>
      <c r="W11085" t="s">
        <v>45862</v>
      </c>
      <c r="X11085" t="s">
        <v>46592</v>
      </c>
    </row>
    <row r="11086" spans="1:24">
      <c r="A11086">
        <f>HYPERLINK("https://www.philgeps.gov.ph/GEPSNONPILOT/Tender/SplashBidNoticeAbstractUI.aspx?menuIndex=3&amp;refID=7052321&amp;Result=3","7052321")</f>
        <v>0</v>
      </c>
      <c r="B11086" t="s">
        <v>3002</v>
      </c>
      <c r="C11086" t="s">
        <v>14030</v>
      </c>
      <c r="D11086" t="s">
        <v>18781</v>
      </c>
      <c r="E11086" t="s">
        <v>28433</v>
      </c>
      <c r="F11086" t="s">
        <v>32664</v>
      </c>
      <c r="G11086" t="s">
        <v>32672</v>
      </c>
      <c r="H11086" t="s">
        <v>32683</v>
      </c>
      <c r="I11086" t="s">
        <v>10627</v>
      </c>
      <c r="J11086" t="s">
        <v>39382</v>
      </c>
      <c r="K11086" t="s">
        <v>42397</v>
      </c>
      <c r="M11086" t="s">
        <v>45863</v>
      </c>
      <c r="N11086" t="s">
        <v>46569</v>
      </c>
      <c r="O11086" t="s">
        <v>46570</v>
      </c>
      <c r="P11086">
        <v>0</v>
      </c>
      <c r="Q11086">
        <v>0</v>
      </c>
      <c r="R11086" t="s">
        <v>46578</v>
      </c>
      <c r="S11086" t="s">
        <v>46874</v>
      </c>
      <c r="T11086" t="s">
        <v>48381</v>
      </c>
      <c r="U11086" t="s">
        <v>57680</v>
      </c>
      <c r="W11086" t="s">
        <v>45863</v>
      </c>
      <c r="X11086" t="s">
        <v>46579</v>
      </c>
    </row>
    <row r="11087" spans="1:24">
      <c r="A11087">
        <f>HYPERLINK("https://www.philgeps.gov.ph/GEPSNONPILOT/Tender/SplashBidNoticeAbstractUI.aspx?menuIndex=3&amp;refID=7024574&amp;Result=3","7024574")</f>
        <v>0</v>
      </c>
      <c r="B11087" t="s">
        <v>1710</v>
      </c>
      <c r="C11087" t="s">
        <v>14031</v>
      </c>
      <c r="D11087" t="s">
        <v>18805</v>
      </c>
      <c r="E11087" t="s">
        <v>28434</v>
      </c>
      <c r="F11087" t="s">
        <v>32664</v>
      </c>
      <c r="G11087" t="s">
        <v>32672</v>
      </c>
      <c r="H11087" t="s">
        <v>12635</v>
      </c>
      <c r="I11087" t="s">
        <v>4439</v>
      </c>
      <c r="J11087" t="s">
        <v>39383</v>
      </c>
      <c r="K11087" t="s">
        <v>42303</v>
      </c>
      <c r="M11087" t="s">
        <v>44404</v>
      </c>
      <c r="N11087" t="s">
        <v>46569</v>
      </c>
      <c r="O11087" t="s">
        <v>46570</v>
      </c>
      <c r="P11087">
        <v>0</v>
      </c>
      <c r="Q11087">
        <v>3</v>
      </c>
      <c r="R11087" t="s">
        <v>46579</v>
      </c>
      <c r="S11087" t="s">
        <v>46919</v>
      </c>
      <c r="T11087" t="s">
        <v>48573</v>
      </c>
      <c r="U11087" t="s">
        <v>57677</v>
      </c>
      <c r="W11087" t="s">
        <v>44404</v>
      </c>
      <c r="X11087" t="s">
        <v>46593</v>
      </c>
    </row>
    <row r="11088" spans="1:24">
      <c r="A11088">
        <f>HYPERLINK("https://www.philgeps.gov.ph/GEPSNONPILOT/Tender/SplashBidNoticeAbstractUI.aspx?menuIndex=3&amp;refID=7043943&amp;Result=3","7043943")</f>
        <v>0</v>
      </c>
      <c r="B11088" t="s">
        <v>3003</v>
      </c>
      <c r="C11088" t="s">
        <v>14032</v>
      </c>
      <c r="D11088" t="s">
        <v>18820</v>
      </c>
      <c r="E11088" t="s">
        <v>28435</v>
      </c>
      <c r="F11088" t="s">
        <v>32664</v>
      </c>
      <c r="G11088" t="s">
        <v>32672</v>
      </c>
      <c r="H11088" t="s">
        <v>12635</v>
      </c>
      <c r="I11088" t="s">
        <v>32789</v>
      </c>
      <c r="J11088" t="s">
        <v>39384</v>
      </c>
      <c r="K11088" t="s">
        <v>42303</v>
      </c>
      <c r="M11088" t="s">
        <v>45864</v>
      </c>
      <c r="N11088" t="s">
        <v>46569</v>
      </c>
      <c r="O11088" t="s">
        <v>46570</v>
      </c>
      <c r="P11088">
        <v>0</v>
      </c>
      <c r="Q11088">
        <v>1</v>
      </c>
      <c r="R11088" t="s">
        <v>46579</v>
      </c>
      <c r="S11088" t="s">
        <v>46919</v>
      </c>
      <c r="T11088" t="s">
        <v>48303</v>
      </c>
      <c r="U11088" t="s">
        <v>57681</v>
      </c>
      <c r="W11088" t="s">
        <v>45864</v>
      </c>
      <c r="X11088" t="s">
        <v>46582</v>
      </c>
    </row>
    <row r="11089" spans="1:24">
      <c r="A11089">
        <f>HYPERLINK("https://www.philgeps.gov.ph/GEPSNONPILOT/Tender/SplashBidNoticeAbstractUI.aspx?menuIndex=3&amp;refID=7043941&amp;Result=3","7043941")</f>
        <v>0</v>
      </c>
      <c r="B11089" t="s">
        <v>3003</v>
      </c>
      <c r="C11089" t="s">
        <v>14033</v>
      </c>
      <c r="D11089" t="s">
        <v>18820</v>
      </c>
      <c r="E11089" t="s">
        <v>28436</v>
      </c>
      <c r="F11089" t="s">
        <v>32664</v>
      </c>
      <c r="G11089" t="s">
        <v>32672</v>
      </c>
      <c r="H11089" t="s">
        <v>12635</v>
      </c>
      <c r="I11089" t="s">
        <v>8730</v>
      </c>
      <c r="J11089" t="s">
        <v>39385</v>
      </c>
      <c r="K11089" t="s">
        <v>42303</v>
      </c>
      <c r="M11089" t="s">
        <v>45864</v>
      </c>
      <c r="N11089" t="s">
        <v>46569</v>
      </c>
      <c r="O11089" t="s">
        <v>46570</v>
      </c>
      <c r="P11089">
        <v>0</v>
      </c>
      <c r="Q11089">
        <v>1</v>
      </c>
      <c r="R11089" t="s">
        <v>46579</v>
      </c>
      <c r="S11089" t="s">
        <v>46919</v>
      </c>
      <c r="T11089" t="s">
        <v>48303</v>
      </c>
      <c r="U11089" t="s">
        <v>57681</v>
      </c>
      <c r="W11089" t="s">
        <v>45864</v>
      </c>
      <c r="X11089" t="s">
        <v>46582</v>
      </c>
    </row>
    <row r="11090" spans="1:24">
      <c r="A11090">
        <f>HYPERLINK("https://www.philgeps.gov.ph/GEPSNONPILOT/Tender/SplashBidNoticeAbstractUI.aspx?menuIndex=3&amp;refID=7023976&amp;Result=3","7023976")</f>
        <v>0</v>
      </c>
      <c r="B11090" t="s">
        <v>3000</v>
      </c>
      <c r="C11090" t="s">
        <v>14034</v>
      </c>
      <c r="D11090" t="s">
        <v>18801</v>
      </c>
      <c r="E11090" t="s">
        <v>19155</v>
      </c>
      <c r="F11090" t="s">
        <v>32665</v>
      </c>
      <c r="G11090" t="s">
        <v>32671</v>
      </c>
      <c r="H11090" t="s">
        <v>12635</v>
      </c>
      <c r="I11090" t="s">
        <v>32767</v>
      </c>
      <c r="J11090" t="s">
        <v>32917</v>
      </c>
      <c r="K11090" t="s">
        <v>42404</v>
      </c>
      <c r="M11090" t="s">
        <v>45861</v>
      </c>
      <c r="N11090" t="s">
        <v>46569</v>
      </c>
      <c r="O11090" t="s">
        <v>46570</v>
      </c>
      <c r="P11090">
        <v>0</v>
      </c>
      <c r="Q11090">
        <v>1</v>
      </c>
      <c r="R11090" t="s">
        <v>46579</v>
      </c>
      <c r="S11090" t="s">
        <v>46919</v>
      </c>
      <c r="T11090" t="s">
        <v>48258</v>
      </c>
      <c r="U11090" t="s">
        <v>57682</v>
      </c>
      <c r="V11090" t="s">
        <v>62821</v>
      </c>
      <c r="W11090" t="s">
        <v>45861</v>
      </c>
      <c r="X11090" t="s">
        <v>46594</v>
      </c>
    </row>
    <row r="11091" spans="1:24">
      <c r="A11091">
        <f>HYPERLINK("https://www.philgeps.gov.ph/GEPSNONPILOT/Tender/SplashBidNoticeAbstractUI.aspx?menuIndex=3&amp;refID=7043864&amp;Result=3","7043864")</f>
        <v>0</v>
      </c>
      <c r="B11091" t="s">
        <v>1645</v>
      </c>
      <c r="C11091" t="s">
        <v>14035</v>
      </c>
      <c r="E11091" t="s">
        <v>28437</v>
      </c>
      <c r="F11091" t="s">
        <v>32664</v>
      </c>
      <c r="G11091" t="s">
        <v>32672</v>
      </c>
      <c r="H11091" t="s">
        <v>32683</v>
      </c>
      <c r="I11091" t="s">
        <v>32758</v>
      </c>
      <c r="J11091" t="s">
        <v>32962</v>
      </c>
      <c r="K11091" t="s">
        <v>42298</v>
      </c>
      <c r="M11091" t="s">
        <v>44329</v>
      </c>
      <c r="N11091" t="s">
        <v>46569</v>
      </c>
      <c r="O11091" t="s">
        <v>46570</v>
      </c>
      <c r="P11091">
        <v>0</v>
      </c>
      <c r="Q11091">
        <v>1</v>
      </c>
      <c r="R11091" t="s">
        <v>46579</v>
      </c>
      <c r="S11091" t="s">
        <v>46919</v>
      </c>
      <c r="T11091" t="s">
        <v>48212</v>
      </c>
      <c r="U11091" t="s">
        <v>52658</v>
      </c>
      <c r="W11091" t="s">
        <v>44329</v>
      </c>
      <c r="X11091" t="s">
        <v>46583</v>
      </c>
    </row>
    <row r="11092" spans="1:24">
      <c r="A11092">
        <f>HYPERLINK("https://www.philgeps.gov.ph/GEPSNONPILOT/Tender/SplashBidNoticeAbstractUI.aspx?menuIndex=3&amp;refID=7028248&amp;Result=3","7028248")</f>
        <v>0</v>
      </c>
      <c r="B11092" t="s">
        <v>460</v>
      </c>
      <c r="C11092" t="s">
        <v>14036</v>
      </c>
      <c r="D11092" t="s">
        <v>18806</v>
      </c>
      <c r="E11092" t="s">
        <v>14036</v>
      </c>
      <c r="F11092" t="s">
        <v>32664</v>
      </c>
      <c r="G11092" t="s">
        <v>32672</v>
      </c>
      <c r="H11092" t="s">
        <v>12635</v>
      </c>
      <c r="I11092" t="s">
        <v>32703</v>
      </c>
      <c r="J11092" t="s">
        <v>32898</v>
      </c>
      <c r="K11092" t="s">
        <v>42284</v>
      </c>
      <c r="M11092" t="s">
        <v>43033</v>
      </c>
      <c r="N11092" t="s">
        <v>46569</v>
      </c>
      <c r="O11092" t="s">
        <v>46570</v>
      </c>
      <c r="P11092">
        <v>0</v>
      </c>
      <c r="Q11092">
        <v>0</v>
      </c>
      <c r="R11092" t="s">
        <v>46579</v>
      </c>
      <c r="S11092" t="s">
        <v>46919</v>
      </c>
      <c r="T11092" t="s">
        <v>48453</v>
      </c>
      <c r="U11092" t="s">
        <v>57683</v>
      </c>
      <c r="V11092" t="s">
        <v>61876</v>
      </c>
      <c r="W11092" t="s">
        <v>43033</v>
      </c>
      <c r="X11092" t="s">
        <v>46592</v>
      </c>
    </row>
    <row r="11093" spans="1:24">
      <c r="A11093">
        <f>HYPERLINK("https://www.philgeps.gov.ph/GEPSNONPILOT/Tender/SplashBidNoticeAbstractUI.aspx?menuIndex=3&amp;refID=7043440&amp;Result=3","7043440")</f>
        <v>0</v>
      </c>
      <c r="B11093" t="s">
        <v>83</v>
      </c>
      <c r="C11093" t="s">
        <v>14037</v>
      </c>
      <c r="D11093" t="s">
        <v>18784</v>
      </c>
      <c r="E11093" t="s">
        <v>28438</v>
      </c>
      <c r="F11093" t="s">
        <v>32664</v>
      </c>
      <c r="G11093" t="s">
        <v>32672</v>
      </c>
      <c r="H11093" t="s">
        <v>12635</v>
      </c>
      <c r="I11093" t="s">
        <v>6118</v>
      </c>
      <c r="J11093" t="s">
        <v>39386</v>
      </c>
      <c r="K11093" t="s">
        <v>42283</v>
      </c>
      <c r="M11093" t="s">
        <v>45865</v>
      </c>
      <c r="N11093" t="s">
        <v>46569</v>
      </c>
      <c r="O11093" t="s">
        <v>46570</v>
      </c>
      <c r="P11093">
        <v>0</v>
      </c>
      <c r="Q11093">
        <v>1</v>
      </c>
      <c r="R11093" t="s">
        <v>46579</v>
      </c>
      <c r="S11093" t="s">
        <v>46919</v>
      </c>
      <c r="T11093" t="s">
        <v>48238</v>
      </c>
      <c r="U11093" t="s">
        <v>57684</v>
      </c>
      <c r="V11093" t="s">
        <v>62822</v>
      </c>
      <c r="W11093" t="s">
        <v>45865</v>
      </c>
      <c r="X11093" t="s">
        <v>46584</v>
      </c>
    </row>
    <row r="11094" spans="1:24">
      <c r="A11094">
        <f>HYPERLINK("https://www.philgeps.gov.ph/GEPSNONPILOT/Tender/SplashBidNoticeAbstractUI.aspx?menuIndex=3&amp;refID=7043281&amp;Result=3","7043281")</f>
        <v>0</v>
      </c>
      <c r="B11094" t="s">
        <v>460</v>
      </c>
      <c r="C11094" t="s">
        <v>14038</v>
      </c>
      <c r="D11094" t="s">
        <v>18806</v>
      </c>
      <c r="E11094" t="s">
        <v>28439</v>
      </c>
      <c r="F11094" t="s">
        <v>32664</v>
      </c>
      <c r="G11094" t="s">
        <v>32672</v>
      </c>
      <c r="H11094" t="s">
        <v>12635</v>
      </c>
      <c r="I11094" t="s">
        <v>11464</v>
      </c>
      <c r="J11094" t="s">
        <v>39387</v>
      </c>
      <c r="K11094" t="s">
        <v>42330</v>
      </c>
      <c r="M11094" t="s">
        <v>44323</v>
      </c>
      <c r="N11094" t="s">
        <v>46569</v>
      </c>
      <c r="O11094" t="s">
        <v>46570</v>
      </c>
      <c r="P11094">
        <v>0</v>
      </c>
      <c r="Q11094">
        <v>7</v>
      </c>
      <c r="R11094" t="s">
        <v>46579</v>
      </c>
      <c r="S11094" t="s">
        <v>46919</v>
      </c>
      <c r="T11094" t="s">
        <v>48453</v>
      </c>
      <c r="U11094" t="s">
        <v>57685</v>
      </c>
      <c r="V11094" t="s">
        <v>61876</v>
      </c>
      <c r="W11094" t="s">
        <v>44323</v>
      </c>
      <c r="X11094" t="s">
        <v>46585</v>
      </c>
    </row>
    <row r="11095" spans="1:24">
      <c r="A11095">
        <f>HYPERLINK("https://www.philgeps.gov.ph/GEPSNONPILOT/Tender/SplashBidNoticeAbstractUI.aspx?menuIndex=3&amp;refID=7043937&amp;Result=3","7043937")</f>
        <v>0</v>
      </c>
      <c r="B11095" t="s">
        <v>3003</v>
      </c>
      <c r="C11095" t="s">
        <v>14039</v>
      </c>
      <c r="D11095" t="s">
        <v>18820</v>
      </c>
      <c r="E11095" t="s">
        <v>28440</v>
      </c>
      <c r="F11095" t="s">
        <v>32664</v>
      </c>
      <c r="G11095" t="s">
        <v>32672</v>
      </c>
      <c r="H11095" t="s">
        <v>12635</v>
      </c>
      <c r="I11095" t="s">
        <v>13883</v>
      </c>
      <c r="J11095" t="s">
        <v>39388</v>
      </c>
      <c r="K11095" t="s">
        <v>42303</v>
      </c>
      <c r="M11095" t="s">
        <v>45864</v>
      </c>
      <c r="N11095" t="s">
        <v>46569</v>
      </c>
      <c r="O11095" t="s">
        <v>46570</v>
      </c>
      <c r="P11095">
        <v>0</v>
      </c>
      <c r="Q11095">
        <v>6</v>
      </c>
      <c r="R11095" t="s">
        <v>46579</v>
      </c>
      <c r="S11095" t="s">
        <v>46919</v>
      </c>
      <c r="T11095" t="s">
        <v>48303</v>
      </c>
      <c r="U11095" t="s">
        <v>57681</v>
      </c>
      <c r="W11095" t="s">
        <v>45864</v>
      </c>
      <c r="X11095" t="s">
        <v>46582</v>
      </c>
    </row>
    <row r="11096" spans="1:24">
      <c r="A11096">
        <f>HYPERLINK("https://www.philgeps.gov.ph/GEPSNONPILOT/Tender/SplashBidNoticeAbstractUI.aspx?menuIndex=3&amp;refID=7042332&amp;Result=3","7042332")</f>
        <v>0</v>
      </c>
      <c r="B11096" t="s">
        <v>1049</v>
      </c>
      <c r="C11096" t="s">
        <v>14040</v>
      </c>
      <c r="D11096" t="s">
        <v>18831</v>
      </c>
      <c r="E11096" t="s">
        <v>28441</v>
      </c>
      <c r="F11096" t="s">
        <v>32664</v>
      </c>
      <c r="G11096" t="s">
        <v>32672</v>
      </c>
      <c r="H11096" t="s">
        <v>12635</v>
      </c>
      <c r="I11096" t="s">
        <v>32727</v>
      </c>
      <c r="J11096" t="s">
        <v>39389</v>
      </c>
      <c r="K11096" t="s">
        <v>42281</v>
      </c>
      <c r="M11096" t="s">
        <v>43666</v>
      </c>
      <c r="N11096" t="s">
        <v>46569</v>
      </c>
      <c r="O11096" t="s">
        <v>46570</v>
      </c>
      <c r="P11096">
        <v>0</v>
      </c>
      <c r="Q11096">
        <v>1</v>
      </c>
      <c r="R11096" t="s">
        <v>46579</v>
      </c>
      <c r="S11096" t="s">
        <v>46919</v>
      </c>
      <c r="T11096" t="s">
        <v>48212</v>
      </c>
      <c r="U11096" t="s">
        <v>57686</v>
      </c>
      <c r="W11096" t="s">
        <v>63505</v>
      </c>
      <c r="X11096" t="s">
        <v>46585</v>
      </c>
    </row>
    <row r="11097" spans="1:24">
      <c r="A11097">
        <f>HYPERLINK("https://www.philgeps.gov.ph/GEPSNONPILOT/Tender/SplashBidNoticeAbstractUI.aspx?menuIndex=3&amp;refID=7041754&amp;Result=3","7041754")</f>
        <v>0</v>
      </c>
      <c r="B11097" t="s">
        <v>3004</v>
      </c>
      <c r="C11097" t="s">
        <v>14041</v>
      </c>
      <c r="D11097" t="s">
        <v>18806</v>
      </c>
      <c r="E11097" t="s">
        <v>18889</v>
      </c>
      <c r="F11097" t="s">
        <v>32664</v>
      </c>
      <c r="G11097" t="s">
        <v>32672</v>
      </c>
      <c r="H11097" t="s">
        <v>12635</v>
      </c>
      <c r="I11097" t="s">
        <v>4439</v>
      </c>
      <c r="J11097" t="s">
        <v>34866</v>
      </c>
      <c r="K11097" t="s">
        <v>42289</v>
      </c>
      <c r="M11097" t="s">
        <v>45866</v>
      </c>
      <c r="N11097" t="s">
        <v>46569</v>
      </c>
      <c r="O11097" t="s">
        <v>46570</v>
      </c>
      <c r="P11097">
        <v>0</v>
      </c>
      <c r="Q11097">
        <v>0</v>
      </c>
      <c r="R11097" t="s">
        <v>46579</v>
      </c>
      <c r="S11097" t="s">
        <v>46919</v>
      </c>
      <c r="T11097" t="s">
        <v>48287</v>
      </c>
      <c r="U11097" t="s">
        <v>57687</v>
      </c>
      <c r="W11097" t="s">
        <v>45866</v>
      </c>
      <c r="X11097" t="s">
        <v>46585</v>
      </c>
    </row>
    <row r="11098" spans="1:24">
      <c r="A11098">
        <f>HYPERLINK("https://www.philgeps.gov.ph/GEPSNONPILOT/Tender/SplashBidNoticeAbstractUI.aspx?menuIndex=3&amp;refID=7042748&amp;Result=3","7042748")</f>
        <v>0</v>
      </c>
      <c r="B11098" t="s">
        <v>2824</v>
      </c>
      <c r="C11098" t="s">
        <v>14042</v>
      </c>
      <c r="D11098" t="s">
        <v>18843</v>
      </c>
      <c r="E11098" t="s">
        <v>28442</v>
      </c>
      <c r="F11098" t="s">
        <v>32664</v>
      </c>
      <c r="G11098" t="s">
        <v>32672</v>
      </c>
      <c r="H11098" t="s">
        <v>32683</v>
      </c>
      <c r="I11098" t="s">
        <v>4439</v>
      </c>
      <c r="J11098" t="s">
        <v>39390</v>
      </c>
      <c r="K11098" t="s">
        <v>42290</v>
      </c>
      <c r="M11098" t="s">
        <v>45668</v>
      </c>
      <c r="N11098" t="s">
        <v>46569</v>
      </c>
      <c r="O11098" t="s">
        <v>46570</v>
      </c>
      <c r="P11098">
        <v>0</v>
      </c>
      <c r="Q11098">
        <v>1</v>
      </c>
      <c r="R11098" t="s">
        <v>46579</v>
      </c>
      <c r="S11098" t="s">
        <v>46919</v>
      </c>
      <c r="T11098" t="s">
        <v>48248</v>
      </c>
      <c r="U11098" t="s">
        <v>57688</v>
      </c>
      <c r="W11098" t="s">
        <v>45668</v>
      </c>
      <c r="X11098" t="s">
        <v>46585</v>
      </c>
    </row>
    <row r="11099" spans="1:24">
      <c r="A11099">
        <f>HYPERLINK("https://www.philgeps.gov.ph/GEPSNONPILOT/Tender/SplashBidNoticeAbstractUI.aspx?menuIndex=3&amp;refID=7039849&amp;Result=3","7039849")</f>
        <v>0</v>
      </c>
      <c r="B11099" t="s">
        <v>1664</v>
      </c>
      <c r="C11099" t="s">
        <v>14043</v>
      </c>
      <c r="D11099" t="s">
        <v>18838</v>
      </c>
      <c r="E11099" t="s">
        <v>28443</v>
      </c>
      <c r="F11099" t="s">
        <v>32664</v>
      </c>
      <c r="G11099" t="s">
        <v>32673</v>
      </c>
      <c r="H11099" t="s">
        <v>12635</v>
      </c>
      <c r="I11099" t="s">
        <v>6628</v>
      </c>
      <c r="J11099" t="s">
        <v>32837</v>
      </c>
      <c r="K11099" t="s">
        <v>42281</v>
      </c>
      <c r="M11099" t="s">
        <v>45867</v>
      </c>
      <c r="N11099" t="s">
        <v>46569</v>
      </c>
      <c r="O11099" t="s">
        <v>46570</v>
      </c>
      <c r="P11099">
        <v>0</v>
      </c>
      <c r="Q11099">
        <v>8</v>
      </c>
      <c r="R11099" t="s">
        <v>46579</v>
      </c>
      <c r="S11099" t="s">
        <v>46919</v>
      </c>
      <c r="T11099" t="s">
        <v>48212</v>
      </c>
      <c r="U11099" t="s">
        <v>57689</v>
      </c>
      <c r="V11099" t="s">
        <v>62823</v>
      </c>
      <c r="W11099" t="s">
        <v>45867</v>
      </c>
      <c r="X11099" t="s">
        <v>46586</v>
      </c>
    </row>
    <row r="11100" spans="1:24">
      <c r="A11100">
        <f>HYPERLINK("https://www.philgeps.gov.ph/GEPSNONPILOT/Tender/SplashBidNoticeAbstractUI.aspx?menuIndex=3&amp;refID=7043942&amp;Result=3","7043942")</f>
        <v>0</v>
      </c>
      <c r="B11100" t="s">
        <v>3003</v>
      </c>
      <c r="C11100" t="s">
        <v>14044</v>
      </c>
      <c r="D11100" t="s">
        <v>18820</v>
      </c>
      <c r="E11100" t="s">
        <v>28444</v>
      </c>
      <c r="F11100" t="s">
        <v>32664</v>
      </c>
      <c r="G11100" t="s">
        <v>32672</v>
      </c>
      <c r="H11100" t="s">
        <v>12635</v>
      </c>
      <c r="I11100" t="s">
        <v>5589</v>
      </c>
      <c r="J11100" t="s">
        <v>34882</v>
      </c>
      <c r="K11100" t="s">
        <v>42303</v>
      </c>
      <c r="M11100" t="s">
        <v>45864</v>
      </c>
      <c r="N11100" t="s">
        <v>46569</v>
      </c>
      <c r="O11100" t="s">
        <v>46570</v>
      </c>
      <c r="P11100">
        <v>0</v>
      </c>
      <c r="Q11100">
        <v>3</v>
      </c>
      <c r="R11100" t="s">
        <v>46579</v>
      </c>
      <c r="S11100" t="s">
        <v>46919</v>
      </c>
      <c r="T11100" t="s">
        <v>48303</v>
      </c>
      <c r="U11100" t="s">
        <v>57681</v>
      </c>
      <c r="W11100" t="s">
        <v>45864</v>
      </c>
      <c r="X11100" t="s">
        <v>46582</v>
      </c>
    </row>
    <row r="11101" spans="1:24">
      <c r="A11101">
        <f>HYPERLINK("https://www.philgeps.gov.ph/GEPSNONPILOT/Tender/SplashBidNoticeAbstractUI.aspx?menuIndex=3&amp;refID=7045435&amp;Result=3","7045435")</f>
        <v>0</v>
      </c>
      <c r="B11101" t="s">
        <v>755</v>
      </c>
      <c r="C11101" t="s">
        <v>14045</v>
      </c>
      <c r="D11101" t="s">
        <v>18818</v>
      </c>
      <c r="E11101" t="s">
        <v>28445</v>
      </c>
      <c r="F11101" t="s">
        <v>32664</v>
      </c>
      <c r="G11101" t="s">
        <v>32672</v>
      </c>
      <c r="H11101" t="s">
        <v>32683</v>
      </c>
      <c r="I11101" t="s">
        <v>10627</v>
      </c>
      <c r="J11101" t="s">
        <v>34551</v>
      </c>
      <c r="K11101" t="s">
        <v>42397</v>
      </c>
      <c r="M11101" t="s">
        <v>43345</v>
      </c>
      <c r="N11101" t="s">
        <v>46569</v>
      </c>
      <c r="O11101" t="s">
        <v>46570</v>
      </c>
      <c r="P11101">
        <v>0</v>
      </c>
      <c r="Q11101">
        <v>0</v>
      </c>
      <c r="R11101" t="s">
        <v>46579</v>
      </c>
      <c r="S11101" t="s">
        <v>46919</v>
      </c>
      <c r="T11101" t="s">
        <v>48213</v>
      </c>
      <c r="U11101" t="s">
        <v>57690</v>
      </c>
      <c r="W11101" t="s">
        <v>43345</v>
      </c>
      <c r="X11101" t="s">
        <v>46581</v>
      </c>
    </row>
    <row r="11102" spans="1:24">
      <c r="A11102">
        <f>HYPERLINK("https://www.philgeps.gov.ph/GEPSNONPILOT/Tender/SplashBidNoticeAbstractUI.aspx?menuIndex=3&amp;refID=7042285&amp;Result=3","7042285")</f>
        <v>0</v>
      </c>
      <c r="B11102" t="s">
        <v>1049</v>
      </c>
      <c r="C11102" t="s">
        <v>14046</v>
      </c>
      <c r="D11102" t="s">
        <v>18831</v>
      </c>
      <c r="E11102" t="s">
        <v>28446</v>
      </c>
      <c r="F11102" t="s">
        <v>32664</v>
      </c>
      <c r="G11102" t="s">
        <v>32672</v>
      </c>
      <c r="H11102" t="s">
        <v>12635</v>
      </c>
      <c r="I11102" t="s">
        <v>32727</v>
      </c>
      <c r="J11102" t="s">
        <v>39391</v>
      </c>
      <c r="K11102" t="s">
        <v>42281</v>
      </c>
      <c r="M11102" t="s">
        <v>43666</v>
      </c>
      <c r="N11102" t="s">
        <v>46569</v>
      </c>
      <c r="O11102" t="s">
        <v>46570</v>
      </c>
      <c r="P11102">
        <v>0</v>
      </c>
      <c r="Q11102">
        <v>1</v>
      </c>
      <c r="R11102" t="s">
        <v>46579</v>
      </c>
      <c r="S11102" t="s">
        <v>46919</v>
      </c>
      <c r="T11102" t="s">
        <v>48212</v>
      </c>
      <c r="U11102" t="s">
        <v>57691</v>
      </c>
      <c r="W11102" t="s">
        <v>63505</v>
      </c>
      <c r="X11102" t="s">
        <v>46585</v>
      </c>
    </row>
    <row r="11103" spans="1:24">
      <c r="A11103">
        <f>HYPERLINK("https://www.philgeps.gov.ph/GEPSNONPILOT/Tender/SplashBidNoticeAbstractUI.aspx?menuIndex=3&amp;refID=7045409&amp;Result=3","7045409")</f>
        <v>0</v>
      </c>
      <c r="B11103" t="s">
        <v>845</v>
      </c>
      <c r="C11103" t="s">
        <v>14047</v>
      </c>
      <c r="D11103" t="s">
        <v>18824</v>
      </c>
      <c r="E11103" t="s">
        <v>28447</v>
      </c>
      <c r="F11103" t="s">
        <v>32664</v>
      </c>
      <c r="G11103" t="s">
        <v>32672</v>
      </c>
      <c r="H11103" t="s">
        <v>12635</v>
      </c>
      <c r="I11103" t="s">
        <v>32722</v>
      </c>
      <c r="J11103" t="s">
        <v>39392</v>
      </c>
      <c r="K11103" t="s">
        <v>42289</v>
      </c>
      <c r="M11103" t="s">
        <v>43441</v>
      </c>
      <c r="N11103" t="s">
        <v>46569</v>
      </c>
      <c r="O11103" t="s">
        <v>46570</v>
      </c>
      <c r="P11103">
        <v>0</v>
      </c>
      <c r="Q11103">
        <v>6</v>
      </c>
      <c r="R11103" t="s">
        <v>46579</v>
      </c>
      <c r="S11103" t="s">
        <v>46919</v>
      </c>
      <c r="T11103" t="s">
        <v>48354</v>
      </c>
      <c r="U11103" t="s">
        <v>57692</v>
      </c>
      <c r="W11103" t="s">
        <v>43441</v>
      </c>
      <c r="X11103" t="s">
        <v>46581</v>
      </c>
    </row>
    <row r="11104" spans="1:24">
      <c r="A11104">
        <f>HYPERLINK("https://www.philgeps.gov.ph/GEPSNONPILOT/Tender/SplashBidNoticeAbstractUI.aspx?menuIndex=3&amp;refID=7045326&amp;Result=3","7045326")</f>
        <v>0</v>
      </c>
      <c r="B11104" t="s">
        <v>3005</v>
      </c>
      <c r="C11104" t="s">
        <v>14048</v>
      </c>
      <c r="D11104" t="s">
        <v>18785</v>
      </c>
      <c r="E11104" t="s">
        <v>28448</v>
      </c>
      <c r="F11104" t="s">
        <v>32664</v>
      </c>
      <c r="G11104" t="s">
        <v>32672</v>
      </c>
      <c r="H11104" t="s">
        <v>32683</v>
      </c>
      <c r="I11104" t="s">
        <v>10627</v>
      </c>
      <c r="J11104" t="s">
        <v>33051</v>
      </c>
      <c r="K11104" t="s">
        <v>42281</v>
      </c>
      <c r="M11104" t="s">
        <v>45868</v>
      </c>
      <c r="N11104" t="s">
        <v>46569</v>
      </c>
      <c r="O11104" t="s">
        <v>46570</v>
      </c>
      <c r="P11104">
        <v>0</v>
      </c>
      <c r="Q11104">
        <v>1</v>
      </c>
      <c r="R11104" t="s">
        <v>46579</v>
      </c>
      <c r="S11104" t="s">
        <v>46919</v>
      </c>
      <c r="T11104" t="s">
        <v>48285</v>
      </c>
      <c r="U11104" t="s">
        <v>57693</v>
      </c>
      <c r="W11104" t="s">
        <v>45868</v>
      </c>
      <c r="X11104" t="s">
        <v>46581</v>
      </c>
    </row>
    <row r="11105" spans="1:24">
      <c r="A11105">
        <f>HYPERLINK("https://www.philgeps.gov.ph/GEPSNONPILOT/Tender/SplashBidNoticeAbstractUI.aspx?menuIndex=3&amp;refID=7045592&amp;Result=3","7045592")</f>
        <v>0</v>
      </c>
      <c r="B11105" t="s">
        <v>3006</v>
      </c>
      <c r="C11105" t="s">
        <v>14049</v>
      </c>
      <c r="D11105" t="s">
        <v>18804</v>
      </c>
      <c r="E11105" t="s">
        <v>28449</v>
      </c>
      <c r="F11105" t="s">
        <v>32664</v>
      </c>
      <c r="G11105" t="s">
        <v>32672</v>
      </c>
      <c r="H11105" t="s">
        <v>32683</v>
      </c>
      <c r="I11105" t="s">
        <v>10627</v>
      </c>
      <c r="J11105" t="s">
        <v>39393</v>
      </c>
      <c r="K11105" t="s">
        <v>42321</v>
      </c>
      <c r="M11105" t="s">
        <v>45869</v>
      </c>
      <c r="N11105" t="s">
        <v>46569</v>
      </c>
      <c r="O11105" t="s">
        <v>46570</v>
      </c>
      <c r="P11105">
        <v>0</v>
      </c>
      <c r="Q11105">
        <v>0</v>
      </c>
      <c r="R11105" t="s">
        <v>46579</v>
      </c>
      <c r="S11105" t="s">
        <v>46919</v>
      </c>
      <c r="T11105" t="s">
        <v>48212</v>
      </c>
      <c r="U11105" t="s">
        <v>57694</v>
      </c>
      <c r="W11105" t="s">
        <v>45869</v>
      </c>
      <c r="X11105" t="s">
        <v>46581</v>
      </c>
    </row>
    <row r="11106" spans="1:24">
      <c r="A11106">
        <f>HYPERLINK("https://www.philgeps.gov.ph/GEPSNONPILOT/Tender/SplashBidNoticeAbstractUI.aspx?menuIndex=3&amp;refID=7041399&amp;Result=3","7041399")</f>
        <v>0</v>
      </c>
      <c r="B11106" t="s">
        <v>460</v>
      </c>
      <c r="C11106" t="s">
        <v>14050</v>
      </c>
      <c r="D11106" t="s">
        <v>18806</v>
      </c>
      <c r="E11106" t="s">
        <v>28450</v>
      </c>
      <c r="F11106" t="s">
        <v>32664</v>
      </c>
      <c r="G11106" t="s">
        <v>32672</v>
      </c>
      <c r="H11106" t="s">
        <v>12635</v>
      </c>
      <c r="I11106" t="s">
        <v>9486</v>
      </c>
      <c r="J11106" t="s">
        <v>39394</v>
      </c>
      <c r="K11106" t="s">
        <v>42330</v>
      </c>
      <c r="M11106" t="s">
        <v>43641</v>
      </c>
      <c r="N11106" t="s">
        <v>46569</v>
      </c>
      <c r="O11106" t="s">
        <v>46570</v>
      </c>
      <c r="P11106">
        <v>0</v>
      </c>
      <c r="Q11106">
        <v>8</v>
      </c>
      <c r="R11106" t="s">
        <v>46579</v>
      </c>
      <c r="S11106" t="s">
        <v>46919</v>
      </c>
      <c r="T11106" t="s">
        <v>48453</v>
      </c>
      <c r="U11106" t="s">
        <v>57695</v>
      </c>
      <c r="V11106" t="s">
        <v>62824</v>
      </c>
      <c r="W11106" t="s">
        <v>43641</v>
      </c>
      <c r="X11106" t="s">
        <v>46585</v>
      </c>
    </row>
    <row r="11107" spans="1:24">
      <c r="A11107">
        <f>HYPERLINK("https://www.philgeps.gov.ph/GEPSNONPILOT/Tender/SplashBidNoticeAbstractUI.aspx?menuIndex=3&amp;refID=7045316&amp;Result=3","7045316")</f>
        <v>0</v>
      </c>
      <c r="B11107" t="s">
        <v>3005</v>
      </c>
      <c r="C11107" t="s">
        <v>14051</v>
      </c>
      <c r="D11107" t="s">
        <v>18785</v>
      </c>
      <c r="E11107" t="s">
        <v>28451</v>
      </c>
      <c r="F11107" t="s">
        <v>32664</v>
      </c>
      <c r="G11107" t="s">
        <v>32672</v>
      </c>
      <c r="H11107" t="s">
        <v>32683</v>
      </c>
      <c r="I11107" t="s">
        <v>10627</v>
      </c>
      <c r="J11107" t="s">
        <v>33051</v>
      </c>
      <c r="K11107" t="s">
        <v>42281</v>
      </c>
      <c r="M11107" t="s">
        <v>45868</v>
      </c>
      <c r="N11107" t="s">
        <v>46569</v>
      </c>
      <c r="O11107" t="s">
        <v>46570</v>
      </c>
      <c r="P11107">
        <v>0</v>
      </c>
      <c r="Q11107">
        <v>1</v>
      </c>
      <c r="R11107" t="s">
        <v>46579</v>
      </c>
      <c r="S11107" t="s">
        <v>46919</v>
      </c>
      <c r="T11107" t="s">
        <v>48285</v>
      </c>
      <c r="U11107" t="s">
        <v>57696</v>
      </c>
      <c r="W11107" t="s">
        <v>45868</v>
      </c>
      <c r="X11107" t="s">
        <v>46581</v>
      </c>
    </row>
    <row r="11108" spans="1:24">
      <c r="A11108">
        <f>HYPERLINK("https://www.philgeps.gov.ph/GEPSNONPILOT/Tender/SplashBidNoticeAbstractUI.aspx?menuIndex=3&amp;refID=7027809&amp;Result=3","7027809")</f>
        <v>0</v>
      </c>
      <c r="B11108" t="s">
        <v>3001</v>
      </c>
      <c r="C11108" t="s">
        <v>14052</v>
      </c>
      <c r="D11108" t="s">
        <v>18826</v>
      </c>
      <c r="E11108" t="s">
        <v>28452</v>
      </c>
      <c r="F11108" t="s">
        <v>32665</v>
      </c>
      <c r="G11108" t="s">
        <v>32672</v>
      </c>
      <c r="H11108" t="s">
        <v>32683</v>
      </c>
      <c r="I11108" t="s">
        <v>10627</v>
      </c>
      <c r="J11108" t="s">
        <v>33128</v>
      </c>
      <c r="K11108" t="s">
        <v>42325</v>
      </c>
      <c r="M11108" t="s">
        <v>45862</v>
      </c>
      <c r="N11108" t="s">
        <v>46569</v>
      </c>
      <c r="O11108" t="s">
        <v>46570</v>
      </c>
      <c r="P11108">
        <v>0</v>
      </c>
      <c r="Q11108">
        <v>3</v>
      </c>
      <c r="R11108" t="s">
        <v>46579</v>
      </c>
      <c r="S11108" t="s">
        <v>46919</v>
      </c>
      <c r="T11108" t="s">
        <v>48296</v>
      </c>
      <c r="U11108" t="s">
        <v>57697</v>
      </c>
      <c r="W11108" t="s">
        <v>45862</v>
      </c>
      <c r="X11108" t="s">
        <v>46592</v>
      </c>
    </row>
    <row r="11109" spans="1:24">
      <c r="A11109">
        <f>HYPERLINK("https://www.philgeps.gov.ph/GEPSNONPILOT/Tender/SplashBidNoticeAbstractUI.aspx?menuIndex=3&amp;refID=7045014&amp;Result=3","7045014")</f>
        <v>0</v>
      </c>
      <c r="B11109" t="s">
        <v>1974</v>
      </c>
      <c r="C11109" t="s">
        <v>14053</v>
      </c>
      <c r="D11109" t="s">
        <v>18857</v>
      </c>
      <c r="E11109" t="s">
        <v>28453</v>
      </c>
      <c r="F11109" t="s">
        <v>32664</v>
      </c>
      <c r="G11109" t="s">
        <v>32672</v>
      </c>
      <c r="H11109" t="s">
        <v>12635</v>
      </c>
      <c r="I11109" t="s">
        <v>6168</v>
      </c>
      <c r="J11109" t="s">
        <v>39395</v>
      </c>
      <c r="K11109" t="s">
        <v>42281</v>
      </c>
      <c r="M11109" t="s">
        <v>44708</v>
      </c>
      <c r="N11109" t="s">
        <v>46569</v>
      </c>
      <c r="O11109" t="s">
        <v>46570</v>
      </c>
      <c r="P11109">
        <v>0</v>
      </c>
      <c r="Q11109">
        <v>5</v>
      </c>
      <c r="R11109" t="s">
        <v>46579</v>
      </c>
      <c r="S11109" t="s">
        <v>46919</v>
      </c>
      <c r="T11109" t="s">
        <v>48238</v>
      </c>
      <c r="U11109" t="s">
        <v>57698</v>
      </c>
      <c r="V11109" t="s">
        <v>62825</v>
      </c>
      <c r="W11109" t="s">
        <v>44708</v>
      </c>
      <c r="X11109" t="s">
        <v>46581</v>
      </c>
    </row>
    <row r="11110" spans="1:24">
      <c r="A11110">
        <f>HYPERLINK("https://www.philgeps.gov.ph/GEPSNONPILOT/Tender/SplashBidNoticeAbstractUI.aspx?menuIndex=3&amp;refID=7044798&amp;Result=3","7044798")</f>
        <v>0</v>
      </c>
      <c r="B11110" t="s">
        <v>1371</v>
      </c>
      <c r="C11110" t="s">
        <v>14054</v>
      </c>
      <c r="D11110" t="s">
        <v>18796</v>
      </c>
      <c r="E11110" t="s">
        <v>28454</v>
      </c>
      <c r="F11110" t="s">
        <v>32664</v>
      </c>
      <c r="G11110" t="s">
        <v>32672</v>
      </c>
      <c r="H11110" t="s">
        <v>32683</v>
      </c>
      <c r="I11110" t="s">
        <v>10627</v>
      </c>
      <c r="J11110" t="s">
        <v>32859</v>
      </c>
      <c r="K11110" t="s">
        <v>42281</v>
      </c>
      <c r="M11110" t="s">
        <v>45870</v>
      </c>
      <c r="N11110" t="s">
        <v>46569</v>
      </c>
      <c r="O11110" t="s">
        <v>46570</v>
      </c>
      <c r="P11110">
        <v>0</v>
      </c>
      <c r="Q11110">
        <v>0</v>
      </c>
      <c r="R11110" t="s">
        <v>46579</v>
      </c>
      <c r="S11110" t="s">
        <v>46919</v>
      </c>
      <c r="T11110" t="s">
        <v>48448</v>
      </c>
      <c r="U11110" t="s">
        <v>57699</v>
      </c>
      <c r="W11110" t="s">
        <v>45870</v>
      </c>
      <c r="X11110" t="s">
        <v>46581</v>
      </c>
    </row>
    <row r="11111" spans="1:24">
      <c r="A11111">
        <f>HYPERLINK("https://www.philgeps.gov.ph/GEPSNONPILOT/Tender/SplashBidNoticeAbstractUI.aspx?menuIndex=3&amp;refID=7045373&amp;Result=3","7045373")</f>
        <v>0</v>
      </c>
      <c r="B11111" t="s">
        <v>3005</v>
      </c>
      <c r="C11111" t="s">
        <v>14055</v>
      </c>
      <c r="D11111" t="s">
        <v>18785</v>
      </c>
      <c r="E11111" t="s">
        <v>28455</v>
      </c>
      <c r="F11111" t="s">
        <v>32664</v>
      </c>
      <c r="G11111" t="s">
        <v>32672</v>
      </c>
      <c r="H11111" t="s">
        <v>12635</v>
      </c>
      <c r="I11111" t="s">
        <v>6628</v>
      </c>
      <c r="J11111" t="s">
        <v>32865</v>
      </c>
      <c r="K11111" t="s">
        <v>42289</v>
      </c>
      <c r="M11111" t="s">
        <v>45868</v>
      </c>
      <c r="N11111" t="s">
        <v>46569</v>
      </c>
      <c r="O11111" t="s">
        <v>46570</v>
      </c>
      <c r="P11111">
        <v>0</v>
      </c>
      <c r="Q11111">
        <v>11</v>
      </c>
      <c r="R11111" t="s">
        <v>46579</v>
      </c>
      <c r="S11111" t="s">
        <v>46919</v>
      </c>
      <c r="T11111" t="s">
        <v>48285</v>
      </c>
      <c r="U11111" t="s">
        <v>57700</v>
      </c>
      <c r="W11111" t="s">
        <v>45868</v>
      </c>
      <c r="X11111" t="s">
        <v>46581</v>
      </c>
    </row>
    <row r="11112" spans="1:24">
      <c r="A11112">
        <f>HYPERLINK("https://www.philgeps.gov.ph/GEPSNONPILOT/Tender/SplashBidNoticeAbstractUI.aspx?menuIndex=3&amp;refID=7043940&amp;Result=3","7043940")</f>
        <v>0</v>
      </c>
      <c r="B11112" t="s">
        <v>3003</v>
      </c>
      <c r="C11112" t="s">
        <v>14056</v>
      </c>
      <c r="D11112" t="s">
        <v>18820</v>
      </c>
      <c r="E11112" t="s">
        <v>28456</v>
      </c>
      <c r="F11112" t="s">
        <v>32664</v>
      </c>
      <c r="G11112" t="s">
        <v>32672</v>
      </c>
      <c r="H11112" t="s">
        <v>12635</v>
      </c>
      <c r="I11112" t="s">
        <v>32721</v>
      </c>
      <c r="J11112" t="s">
        <v>39396</v>
      </c>
      <c r="K11112" t="s">
        <v>42303</v>
      </c>
      <c r="M11112" t="s">
        <v>45864</v>
      </c>
      <c r="N11112" t="s">
        <v>46569</v>
      </c>
      <c r="O11112" t="s">
        <v>46570</v>
      </c>
      <c r="P11112">
        <v>0</v>
      </c>
      <c r="Q11112">
        <v>1</v>
      </c>
      <c r="R11112" t="s">
        <v>46579</v>
      </c>
      <c r="S11112" t="s">
        <v>46919</v>
      </c>
      <c r="T11112" t="s">
        <v>48303</v>
      </c>
      <c r="U11112" t="s">
        <v>57681</v>
      </c>
      <c r="W11112" t="s">
        <v>45864</v>
      </c>
      <c r="X11112" t="s">
        <v>46582</v>
      </c>
    </row>
    <row r="11113" spans="1:24">
      <c r="A11113">
        <f>HYPERLINK("https://www.philgeps.gov.ph/GEPSNONPILOT/Tender/SplashBidNoticeAbstractUI.aspx?menuIndex=3&amp;refID=7046227&amp;Result=3","7046227")</f>
        <v>0</v>
      </c>
      <c r="B11113" t="s">
        <v>1371</v>
      </c>
      <c r="C11113" t="s">
        <v>14057</v>
      </c>
      <c r="D11113" t="s">
        <v>18796</v>
      </c>
      <c r="E11113" t="s">
        <v>28457</v>
      </c>
      <c r="F11113" t="s">
        <v>32664</v>
      </c>
      <c r="G11113" t="s">
        <v>32672</v>
      </c>
      <c r="H11113" t="s">
        <v>32683</v>
      </c>
      <c r="I11113" t="s">
        <v>10627</v>
      </c>
      <c r="J11113" t="s">
        <v>39397</v>
      </c>
      <c r="K11113" t="s">
        <v>42345</v>
      </c>
      <c r="M11113" t="s">
        <v>45871</v>
      </c>
      <c r="N11113" t="s">
        <v>46569</v>
      </c>
      <c r="O11113" t="s">
        <v>46570</v>
      </c>
      <c r="P11113">
        <v>0</v>
      </c>
      <c r="Q11113">
        <v>0</v>
      </c>
      <c r="R11113" t="s">
        <v>46579</v>
      </c>
      <c r="S11113" t="s">
        <v>46919</v>
      </c>
      <c r="T11113" t="s">
        <v>48467</v>
      </c>
      <c r="U11113" t="s">
        <v>57701</v>
      </c>
      <c r="W11113" t="s">
        <v>45870</v>
      </c>
      <c r="X11113" t="s">
        <v>46581</v>
      </c>
    </row>
    <row r="11114" spans="1:24">
      <c r="A11114">
        <f>HYPERLINK("https://www.philgeps.gov.ph/GEPSNONPILOT/Tender/SplashBidNoticeAbstractUI.aspx?menuIndex=3&amp;refID=7044855&amp;Result=3","7044855")</f>
        <v>0</v>
      </c>
      <c r="B11114" t="s">
        <v>1402</v>
      </c>
      <c r="C11114" t="s">
        <v>14058</v>
      </c>
      <c r="D11114" t="s">
        <v>18789</v>
      </c>
      <c r="E11114" t="s">
        <v>28458</v>
      </c>
      <c r="F11114" t="s">
        <v>32664</v>
      </c>
      <c r="G11114" t="s">
        <v>32672</v>
      </c>
      <c r="H11114" t="s">
        <v>32683</v>
      </c>
      <c r="I11114" t="s">
        <v>10627</v>
      </c>
      <c r="J11114" t="s">
        <v>39398</v>
      </c>
      <c r="K11114" t="s">
        <v>42311</v>
      </c>
      <c r="M11114" t="s">
        <v>45872</v>
      </c>
      <c r="N11114" t="s">
        <v>46569</v>
      </c>
      <c r="O11114" t="s">
        <v>46570</v>
      </c>
      <c r="Q11114">
        <v>0</v>
      </c>
      <c r="R11114" t="s">
        <v>46579</v>
      </c>
      <c r="S11114" t="s">
        <v>46925</v>
      </c>
      <c r="T11114" t="s">
        <v>48313</v>
      </c>
      <c r="U11114" t="s">
        <v>57702</v>
      </c>
      <c r="V11114" t="s">
        <v>61995</v>
      </c>
      <c r="W11114" t="s">
        <v>45872</v>
      </c>
      <c r="X11114" t="s">
        <v>46581</v>
      </c>
    </row>
    <row r="11115" spans="1:24">
      <c r="A11115">
        <f>HYPERLINK("https://www.philgeps.gov.ph/GEPSNONPILOT/Tender/SplashBidNoticeAbstractUI.aspx?menuIndex=3&amp;refID=7045065&amp;Result=3","7045065")</f>
        <v>0</v>
      </c>
      <c r="B11115" t="s">
        <v>755</v>
      </c>
      <c r="C11115" t="s">
        <v>14059</v>
      </c>
      <c r="D11115" t="s">
        <v>18818</v>
      </c>
      <c r="E11115" t="s">
        <v>28459</v>
      </c>
      <c r="F11115" t="s">
        <v>32664</v>
      </c>
      <c r="G11115" t="s">
        <v>32672</v>
      </c>
      <c r="H11115" t="s">
        <v>32683</v>
      </c>
      <c r="I11115" t="s">
        <v>10627</v>
      </c>
      <c r="J11115" t="s">
        <v>38968</v>
      </c>
      <c r="K11115" t="s">
        <v>42290</v>
      </c>
      <c r="M11115" t="s">
        <v>43345</v>
      </c>
      <c r="N11115" t="s">
        <v>46569</v>
      </c>
      <c r="O11115" t="s">
        <v>46570</v>
      </c>
      <c r="P11115">
        <v>0</v>
      </c>
      <c r="Q11115">
        <v>0</v>
      </c>
      <c r="R11115" t="s">
        <v>46579</v>
      </c>
      <c r="S11115" t="s">
        <v>46919</v>
      </c>
      <c r="T11115" t="s">
        <v>48213</v>
      </c>
      <c r="U11115" t="s">
        <v>57703</v>
      </c>
      <c r="W11115" t="s">
        <v>43345</v>
      </c>
      <c r="X11115" t="s">
        <v>46581</v>
      </c>
    </row>
    <row r="11116" spans="1:24">
      <c r="A11116">
        <f>HYPERLINK("https://www.philgeps.gov.ph/GEPSNONPILOT/Tender/SplashBidNoticeAbstractUI.aspx?menuIndex=3&amp;refID=7046223&amp;Result=3","7046223")</f>
        <v>0</v>
      </c>
      <c r="B11116" t="s">
        <v>1015</v>
      </c>
      <c r="C11116" t="s">
        <v>14060</v>
      </c>
      <c r="D11116" t="s">
        <v>18804</v>
      </c>
      <c r="E11116" t="s">
        <v>28460</v>
      </c>
      <c r="F11116" t="s">
        <v>32664</v>
      </c>
      <c r="G11116" t="s">
        <v>32672</v>
      </c>
      <c r="H11116" t="s">
        <v>12635</v>
      </c>
      <c r="I11116" t="s">
        <v>11464</v>
      </c>
      <c r="J11116" t="s">
        <v>33001</v>
      </c>
      <c r="K11116" t="s">
        <v>42305</v>
      </c>
      <c r="M11116" t="s">
        <v>43627</v>
      </c>
      <c r="N11116" t="s">
        <v>46569</v>
      </c>
      <c r="O11116" t="s">
        <v>46570</v>
      </c>
      <c r="P11116">
        <v>0</v>
      </c>
      <c r="Q11116">
        <v>4</v>
      </c>
      <c r="R11116" t="s">
        <v>46579</v>
      </c>
      <c r="S11116" t="s">
        <v>46919</v>
      </c>
      <c r="T11116" t="s">
        <v>48487</v>
      </c>
      <c r="U11116" t="s">
        <v>57704</v>
      </c>
      <c r="W11116" t="s">
        <v>43627</v>
      </c>
      <c r="X11116" t="s">
        <v>46581</v>
      </c>
    </row>
    <row r="11117" spans="1:24">
      <c r="A11117">
        <f>HYPERLINK("https://www.philgeps.gov.ph/GEPSNONPILOT/Tender/SplashBidNoticeAbstractUI.aspx?menuIndex=3&amp;refID=7046181&amp;Result=3","7046181")</f>
        <v>0</v>
      </c>
      <c r="B11117" t="s">
        <v>1371</v>
      </c>
      <c r="C11117" t="s">
        <v>14061</v>
      </c>
      <c r="D11117" t="s">
        <v>18796</v>
      </c>
      <c r="E11117" t="s">
        <v>28461</v>
      </c>
      <c r="F11117" t="s">
        <v>32664</v>
      </c>
      <c r="G11117" t="s">
        <v>32672</v>
      </c>
      <c r="H11117" t="s">
        <v>32683</v>
      </c>
      <c r="I11117" t="s">
        <v>10627</v>
      </c>
      <c r="J11117" t="s">
        <v>39399</v>
      </c>
      <c r="K11117" t="s">
        <v>42290</v>
      </c>
      <c r="M11117" t="s">
        <v>45871</v>
      </c>
      <c r="N11117" t="s">
        <v>46569</v>
      </c>
      <c r="O11117" t="s">
        <v>46570</v>
      </c>
      <c r="P11117">
        <v>0</v>
      </c>
      <c r="Q11117">
        <v>1</v>
      </c>
      <c r="R11117" t="s">
        <v>46579</v>
      </c>
      <c r="S11117" t="s">
        <v>46919</v>
      </c>
      <c r="T11117" t="s">
        <v>48467</v>
      </c>
      <c r="U11117" t="s">
        <v>57705</v>
      </c>
      <c r="W11117" t="s">
        <v>45870</v>
      </c>
      <c r="X11117" t="s">
        <v>46581</v>
      </c>
    </row>
    <row r="11118" spans="1:24">
      <c r="A11118">
        <f>HYPERLINK("https://www.philgeps.gov.ph/GEPSNONPILOT/Tender/SplashBidNoticeAbstractUI.aspx?menuIndex=3&amp;refID=7046153&amp;Result=3","7046153")</f>
        <v>0</v>
      </c>
      <c r="B11118" t="s">
        <v>1015</v>
      </c>
      <c r="C11118" t="s">
        <v>14062</v>
      </c>
      <c r="D11118" t="s">
        <v>18804</v>
      </c>
      <c r="E11118" t="s">
        <v>28462</v>
      </c>
      <c r="F11118" t="s">
        <v>32664</v>
      </c>
      <c r="G11118" t="s">
        <v>32672</v>
      </c>
      <c r="H11118" t="s">
        <v>12635</v>
      </c>
      <c r="I11118" t="s">
        <v>32704</v>
      </c>
      <c r="J11118" t="s">
        <v>39400</v>
      </c>
      <c r="K11118" t="s">
        <v>42321</v>
      </c>
      <c r="M11118" t="s">
        <v>43627</v>
      </c>
      <c r="N11118" t="s">
        <v>46569</v>
      </c>
      <c r="O11118" t="s">
        <v>46570</v>
      </c>
      <c r="P11118">
        <v>0</v>
      </c>
      <c r="Q11118">
        <v>7</v>
      </c>
      <c r="R11118" t="s">
        <v>46579</v>
      </c>
      <c r="S11118" t="s">
        <v>46919</v>
      </c>
      <c r="T11118" t="s">
        <v>48487</v>
      </c>
      <c r="U11118" t="s">
        <v>57704</v>
      </c>
      <c r="W11118" t="s">
        <v>43627</v>
      </c>
      <c r="X11118" t="s">
        <v>46581</v>
      </c>
    </row>
    <row r="11119" spans="1:24">
      <c r="A11119">
        <f>HYPERLINK("https://www.philgeps.gov.ph/GEPSNONPILOT/Tender/SplashBidNoticeAbstractUI.aspx?menuIndex=3&amp;refID=7027897&amp;Result=3","7027897")</f>
        <v>0</v>
      </c>
      <c r="B11119" t="s">
        <v>3001</v>
      </c>
      <c r="C11119" t="s">
        <v>14063</v>
      </c>
      <c r="D11119" t="s">
        <v>18826</v>
      </c>
      <c r="E11119" t="s">
        <v>28463</v>
      </c>
      <c r="F11119" t="s">
        <v>32665</v>
      </c>
      <c r="G11119" t="s">
        <v>32672</v>
      </c>
      <c r="H11119" t="s">
        <v>32683</v>
      </c>
      <c r="I11119" t="s">
        <v>10627</v>
      </c>
      <c r="J11119" t="s">
        <v>33096</v>
      </c>
      <c r="K11119" t="s">
        <v>42330</v>
      </c>
      <c r="M11119" t="s">
        <v>45862</v>
      </c>
      <c r="N11119" t="s">
        <v>46569</v>
      </c>
      <c r="O11119" t="s">
        <v>46570</v>
      </c>
      <c r="P11119">
        <v>0</v>
      </c>
      <c r="Q11119">
        <v>2</v>
      </c>
      <c r="R11119" t="s">
        <v>46579</v>
      </c>
      <c r="S11119" t="s">
        <v>46919</v>
      </c>
      <c r="T11119" t="s">
        <v>48296</v>
      </c>
      <c r="U11119" t="s">
        <v>57706</v>
      </c>
      <c r="W11119" t="s">
        <v>45862</v>
      </c>
      <c r="X11119" t="s">
        <v>46592</v>
      </c>
    </row>
    <row r="11120" spans="1:24">
      <c r="A11120">
        <f>HYPERLINK("https://www.philgeps.gov.ph/GEPSNONPILOT/Tender/SplashBidNoticeAbstractUI.aspx?menuIndex=3&amp;refID=7046236&amp;Result=3","7046236")</f>
        <v>0</v>
      </c>
      <c r="B11120" t="s">
        <v>1974</v>
      </c>
      <c r="C11120" t="s">
        <v>14064</v>
      </c>
      <c r="D11120" t="s">
        <v>18857</v>
      </c>
      <c r="E11120" t="s">
        <v>28464</v>
      </c>
      <c r="F11120" t="s">
        <v>32664</v>
      </c>
      <c r="G11120" t="s">
        <v>32677</v>
      </c>
      <c r="H11120" t="s">
        <v>12635</v>
      </c>
      <c r="I11120" t="s">
        <v>6628</v>
      </c>
      <c r="J11120" t="s">
        <v>32865</v>
      </c>
      <c r="K11120" t="s">
        <v>42281</v>
      </c>
      <c r="M11120" t="s">
        <v>44708</v>
      </c>
      <c r="N11120" t="s">
        <v>46569</v>
      </c>
      <c r="O11120" t="s">
        <v>46570</v>
      </c>
      <c r="P11120">
        <v>0</v>
      </c>
      <c r="Q11120">
        <v>1</v>
      </c>
      <c r="R11120" t="s">
        <v>46579</v>
      </c>
      <c r="S11120" t="s">
        <v>46919</v>
      </c>
      <c r="T11120" t="s">
        <v>48238</v>
      </c>
      <c r="U11120" t="s">
        <v>57707</v>
      </c>
      <c r="V11120" t="s">
        <v>62826</v>
      </c>
      <c r="W11120" t="s">
        <v>44708</v>
      </c>
      <c r="X11120" t="s">
        <v>46581</v>
      </c>
    </row>
    <row r="11121" spans="1:24">
      <c r="A11121">
        <f>HYPERLINK("https://www.philgeps.gov.ph/GEPSNONPILOT/Tender/SplashBidNoticeAbstractUI.aspx?menuIndex=3&amp;refID=7046032&amp;Result=3","7046032")</f>
        <v>0</v>
      </c>
      <c r="B11121" t="s">
        <v>1974</v>
      </c>
      <c r="C11121" t="s">
        <v>14065</v>
      </c>
      <c r="D11121" t="s">
        <v>18857</v>
      </c>
      <c r="E11121" t="s">
        <v>28465</v>
      </c>
      <c r="F11121" t="s">
        <v>32664</v>
      </c>
      <c r="G11121" t="s">
        <v>32672</v>
      </c>
      <c r="H11121" t="s">
        <v>12635</v>
      </c>
      <c r="I11121" t="s">
        <v>10370</v>
      </c>
      <c r="J11121" t="s">
        <v>33051</v>
      </c>
      <c r="K11121" t="s">
        <v>42281</v>
      </c>
      <c r="M11121" t="s">
        <v>44708</v>
      </c>
      <c r="N11121" t="s">
        <v>46569</v>
      </c>
      <c r="O11121" t="s">
        <v>46570</v>
      </c>
      <c r="P11121">
        <v>0</v>
      </c>
      <c r="Q11121">
        <v>1</v>
      </c>
      <c r="R11121" t="s">
        <v>46579</v>
      </c>
      <c r="S11121" t="s">
        <v>46919</v>
      </c>
      <c r="T11121" t="s">
        <v>48238</v>
      </c>
      <c r="U11121" t="s">
        <v>57708</v>
      </c>
      <c r="V11121" t="s">
        <v>62825</v>
      </c>
      <c r="W11121" t="s">
        <v>44708</v>
      </c>
      <c r="X11121" t="s">
        <v>46581</v>
      </c>
    </row>
    <row r="11122" spans="1:24">
      <c r="A11122">
        <f>HYPERLINK("https://www.philgeps.gov.ph/GEPSNONPILOT/Tender/SplashBidNoticeAbstractUI.aspx?menuIndex=3&amp;refID=7046186&amp;Result=3","7046186")</f>
        <v>0</v>
      </c>
      <c r="B11122" t="s">
        <v>1015</v>
      </c>
      <c r="C11122" t="s">
        <v>14066</v>
      </c>
      <c r="D11122" t="s">
        <v>18804</v>
      </c>
      <c r="E11122" t="s">
        <v>28466</v>
      </c>
      <c r="F11122" t="s">
        <v>32664</v>
      </c>
      <c r="G11122" t="s">
        <v>32672</v>
      </c>
      <c r="H11122" t="s">
        <v>12635</v>
      </c>
      <c r="I11122" t="s">
        <v>9486</v>
      </c>
      <c r="J11122" t="s">
        <v>39401</v>
      </c>
      <c r="K11122" t="s">
        <v>42321</v>
      </c>
      <c r="M11122" t="s">
        <v>43627</v>
      </c>
      <c r="N11122" t="s">
        <v>46569</v>
      </c>
      <c r="O11122" t="s">
        <v>46570</v>
      </c>
      <c r="P11122">
        <v>0</v>
      </c>
      <c r="Q11122">
        <v>3</v>
      </c>
      <c r="R11122" t="s">
        <v>46579</v>
      </c>
      <c r="S11122" t="s">
        <v>46919</v>
      </c>
      <c r="T11122" t="s">
        <v>48487</v>
      </c>
      <c r="U11122" t="s">
        <v>57704</v>
      </c>
      <c r="W11122" t="s">
        <v>43627</v>
      </c>
      <c r="X11122" t="s">
        <v>46581</v>
      </c>
    </row>
    <row r="11123" spans="1:24">
      <c r="A11123">
        <f>HYPERLINK("https://www.philgeps.gov.ph/GEPSNONPILOT/Tender/SplashBidNoticeAbstractUI.aspx?menuIndex=3&amp;refID=7045762&amp;Result=3","7045762")</f>
        <v>0</v>
      </c>
      <c r="B11123" t="s">
        <v>2236</v>
      </c>
      <c r="C11123" t="s">
        <v>14067</v>
      </c>
      <c r="D11123" t="s">
        <v>18805</v>
      </c>
      <c r="E11123" t="s">
        <v>28467</v>
      </c>
      <c r="F11123" t="s">
        <v>32664</v>
      </c>
      <c r="G11123" t="s">
        <v>32672</v>
      </c>
      <c r="H11123" t="s">
        <v>32683</v>
      </c>
      <c r="I11123" t="s">
        <v>10627</v>
      </c>
      <c r="J11123" t="s">
        <v>39402</v>
      </c>
      <c r="K11123" t="s">
        <v>42283</v>
      </c>
      <c r="M11123" t="s">
        <v>45000</v>
      </c>
      <c r="N11123" t="s">
        <v>46569</v>
      </c>
      <c r="O11123" t="s">
        <v>46570</v>
      </c>
      <c r="P11123">
        <v>0</v>
      </c>
      <c r="Q11123">
        <v>3</v>
      </c>
      <c r="R11123" t="s">
        <v>46579</v>
      </c>
      <c r="S11123" t="s">
        <v>46919</v>
      </c>
      <c r="T11123" t="s">
        <v>48238</v>
      </c>
      <c r="U11123" t="s">
        <v>54702</v>
      </c>
      <c r="W11123" t="s">
        <v>45000</v>
      </c>
      <c r="X11123" t="s">
        <v>46581</v>
      </c>
    </row>
    <row r="11124" spans="1:24">
      <c r="A11124">
        <f>HYPERLINK("https://www.philgeps.gov.ph/GEPSNONPILOT/Tender/SplashBidNoticeAbstractUI.aspx?menuIndex=3&amp;refID=7046130&amp;Result=3","7046130")</f>
        <v>0</v>
      </c>
      <c r="B11124" t="s">
        <v>1371</v>
      </c>
      <c r="C11124" t="s">
        <v>14068</v>
      </c>
      <c r="D11124" t="s">
        <v>18796</v>
      </c>
      <c r="E11124" t="s">
        <v>28468</v>
      </c>
      <c r="F11124" t="s">
        <v>32664</v>
      </c>
      <c r="G11124" t="s">
        <v>32672</v>
      </c>
      <c r="H11124" t="s">
        <v>32683</v>
      </c>
      <c r="I11124" t="s">
        <v>10627</v>
      </c>
      <c r="J11124" t="s">
        <v>39399</v>
      </c>
      <c r="K11124" t="s">
        <v>42290</v>
      </c>
      <c r="M11124" t="s">
        <v>45871</v>
      </c>
      <c r="N11124" t="s">
        <v>46569</v>
      </c>
      <c r="O11124" t="s">
        <v>46570</v>
      </c>
      <c r="P11124">
        <v>0</v>
      </c>
      <c r="Q11124">
        <v>0</v>
      </c>
      <c r="R11124" t="s">
        <v>46579</v>
      </c>
      <c r="S11124" t="s">
        <v>46919</v>
      </c>
      <c r="T11124" t="s">
        <v>48467</v>
      </c>
      <c r="U11124" t="s">
        <v>57705</v>
      </c>
      <c r="W11124" t="s">
        <v>45870</v>
      </c>
      <c r="X11124" t="s">
        <v>46581</v>
      </c>
    </row>
    <row r="11125" spans="1:24">
      <c r="A11125">
        <f>HYPERLINK("https://www.philgeps.gov.ph/GEPSNONPILOT/Tender/SplashBidNoticeAbstractUI.aspx?menuIndex=3&amp;refID=7045549&amp;Result=3","7045549")</f>
        <v>0</v>
      </c>
      <c r="B11125" t="s">
        <v>1019</v>
      </c>
      <c r="C11125" t="s">
        <v>14069</v>
      </c>
      <c r="E11125" t="s">
        <v>21076</v>
      </c>
      <c r="F11125" t="s">
        <v>32664</v>
      </c>
      <c r="G11125" t="s">
        <v>32672</v>
      </c>
      <c r="H11125" t="s">
        <v>12635</v>
      </c>
      <c r="I11125" t="s">
        <v>4333</v>
      </c>
      <c r="J11125" t="s">
        <v>39403</v>
      </c>
      <c r="K11125" t="s">
        <v>42283</v>
      </c>
      <c r="M11125" t="s">
        <v>45873</v>
      </c>
      <c r="N11125" t="s">
        <v>46569</v>
      </c>
      <c r="O11125" t="s">
        <v>46570</v>
      </c>
      <c r="P11125">
        <v>0</v>
      </c>
      <c r="Q11125">
        <v>4</v>
      </c>
      <c r="R11125" t="s">
        <v>46579</v>
      </c>
      <c r="S11125" t="s">
        <v>46919</v>
      </c>
      <c r="T11125" t="s">
        <v>48284</v>
      </c>
      <c r="U11125" t="s">
        <v>49456</v>
      </c>
      <c r="W11125" t="s">
        <v>63568</v>
      </c>
      <c r="X11125" t="s">
        <v>46581</v>
      </c>
    </row>
    <row r="11126" spans="1:24">
      <c r="A11126">
        <f>HYPERLINK("https://www.philgeps.gov.ph/GEPSNONPILOT/Tender/SplashBidNoticeAbstractUI.aspx?menuIndex=3&amp;refID=7046001&amp;Result=3","7046001")</f>
        <v>0</v>
      </c>
      <c r="B11126" t="s">
        <v>1371</v>
      </c>
      <c r="C11126" t="s">
        <v>14070</v>
      </c>
      <c r="D11126" t="s">
        <v>18796</v>
      </c>
      <c r="E11126" t="s">
        <v>28469</v>
      </c>
      <c r="F11126" t="s">
        <v>32664</v>
      </c>
      <c r="G11126" t="s">
        <v>32672</v>
      </c>
      <c r="H11126" t="s">
        <v>32683</v>
      </c>
      <c r="I11126" t="s">
        <v>10627</v>
      </c>
      <c r="J11126" t="s">
        <v>39404</v>
      </c>
      <c r="K11126" t="s">
        <v>42285</v>
      </c>
      <c r="M11126" t="s">
        <v>45871</v>
      </c>
      <c r="N11126" t="s">
        <v>46569</v>
      </c>
      <c r="O11126" t="s">
        <v>46570</v>
      </c>
      <c r="P11126">
        <v>0</v>
      </c>
      <c r="Q11126">
        <v>0</v>
      </c>
      <c r="R11126" t="s">
        <v>46579</v>
      </c>
      <c r="S11126" t="s">
        <v>46919</v>
      </c>
      <c r="T11126" t="s">
        <v>48467</v>
      </c>
      <c r="U11126" t="s">
        <v>57701</v>
      </c>
      <c r="W11126" t="s">
        <v>45870</v>
      </c>
      <c r="X11126" t="s">
        <v>46581</v>
      </c>
    </row>
    <row r="11127" spans="1:24">
      <c r="A11127">
        <f>HYPERLINK("https://www.philgeps.gov.ph/GEPSNONPILOT/Tender/SplashBidNoticeAbstractUI.aspx?menuIndex=3&amp;refID=7045783&amp;Result=3","7045783")</f>
        <v>0</v>
      </c>
      <c r="B11127" t="s">
        <v>354</v>
      </c>
      <c r="C11127" t="s">
        <v>14071</v>
      </c>
      <c r="D11127" t="s">
        <v>18850</v>
      </c>
      <c r="E11127" t="s">
        <v>28470</v>
      </c>
      <c r="F11127" t="s">
        <v>32664</v>
      </c>
      <c r="G11127" t="s">
        <v>32672</v>
      </c>
      <c r="H11127" t="s">
        <v>32683</v>
      </c>
      <c r="I11127" t="s">
        <v>10627</v>
      </c>
      <c r="J11127" t="s">
        <v>39405</v>
      </c>
      <c r="K11127" t="s">
        <v>42515</v>
      </c>
      <c r="M11127" t="s">
        <v>42923</v>
      </c>
      <c r="N11127" t="s">
        <v>46569</v>
      </c>
      <c r="O11127" t="s">
        <v>46570</v>
      </c>
      <c r="P11127">
        <v>0</v>
      </c>
      <c r="Q11127">
        <v>1</v>
      </c>
      <c r="R11127" t="s">
        <v>46579</v>
      </c>
      <c r="S11127" t="s">
        <v>46919</v>
      </c>
      <c r="T11127" t="s">
        <v>48304</v>
      </c>
      <c r="U11127" t="s">
        <v>57709</v>
      </c>
      <c r="W11127" t="s">
        <v>42923</v>
      </c>
      <c r="X11127" t="s">
        <v>46581</v>
      </c>
    </row>
    <row r="11128" spans="1:24">
      <c r="A11128">
        <f>HYPERLINK("https://www.philgeps.gov.ph/GEPSNONPILOT/Tender/SplashBidNoticeAbstractUI.aspx?menuIndex=3&amp;refID=7045863&amp;Result=3","7045863")</f>
        <v>0</v>
      </c>
      <c r="B11128" t="s">
        <v>1371</v>
      </c>
      <c r="C11128" t="s">
        <v>14072</v>
      </c>
      <c r="D11128" t="s">
        <v>18796</v>
      </c>
      <c r="E11128" t="s">
        <v>28471</v>
      </c>
      <c r="F11128" t="s">
        <v>32664</v>
      </c>
      <c r="G11128" t="s">
        <v>32672</v>
      </c>
      <c r="H11128" t="s">
        <v>32683</v>
      </c>
      <c r="I11128" t="s">
        <v>10627</v>
      </c>
      <c r="J11128" t="s">
        <v>39406</v>
      </c>
      <c r="K11128" t="s">
        <v>42298</v>
      </c>
      <c r="M11128" t="s">
        <v>45870</v>
      </c>
      <c r="N11128" t="s">
        <v>46569</v>
      </c>
      <c r="O11128" t="s">
        <v>46570</v>
      </c>
      <c r="P11128">
        <v>0</v>
      </c>
      <c r="Q11128">
        <v>0</v>
      </c>
      <c r="R11128" t="s">
        <v>46579</v>
      </c>
      <c r="S11128" t="s">
        <v>46919</v>
      </c>
      <c r="T11128" t="s">
        <v>48448</v>
      </c>
      <c r="U11128" t="s">
        <v>57710</v>
      </c>
      <c r="W11128" t="s">
        <v>45870</v>
      </c>
      <c r="X11128" t="s">
        <v>46581</v>
      </c>
    </row>
    <row r="11129" spans="1:24">
      <c r="A11129">
        <f>HYPERLINK("https://www.philgeps.gov.ph/GEPSNONPILOT/Tender/SplashBidNoticeAbstractUI.aspx?menuIndex=3&amp;refID=7045691&amp;Result=3","7045691")</f>
        <v>0</v>
      </c>
      <c r="B11129" t="s">
        <v>1049</v>
      </c>
      <c r="C11129" t="s">
        <v>14073</v>
      </c>
      <c r="D11129" t="s">
        <v>18792</v>
      </c>
      <c r="E11129" t="s">
        <v>28472</v>
      </c>
      <c r="F11129" t="s">
        <v>32664</v>
      </c>
      <c r="G11129" t="s">
        <v>32672</v>
      </c>
      <c r="H11129" t="s">
        <v>12635</v>
      </c>
      <c r="I11129" t="s">
        <v>7709</v>
      </c>
      <c r="J11129" t="s">
        <v>39407</v>
      </c>
      <c r="K11129" t="s">
        <v>42281</v>
      </c>
      <c r="M11129" t="s">
        <v>43666</v>
      </c>
      <c r="N11129" t="s">
        <v>46569</v>
      </c>
      <c r="O11129" t="s">
        <v>46570</v>
      </c>
      <c r="P11129">
        <v>0</v>
      </c>
      <c r="Q11129">
        <v>2</v>
      </c>
      <c r="R11129" t="s">
        <v>46579</v>
      </c>
      <c r="S11129" t="s">
        <v>46919</v>
      </c>
      <c r="T11129" t="s">
        <v>48212</v>
      </c>
      <c r="U11129" t="s">
        <v>57711</v>
      </c>
      <c r="W11129" t="s">
        <v>63505</v>
      </c>
      <c r="X11129" t="s">
        <v>46581</v>
      </c>
    </row>
    <row r="11130" spans="1:24">
      <c r="A11130">
        <f>HYPERLINK("https://www.philgeps.gov.ph/GEPSNONPILOT/Tender/SplashBidNoticeAbstractUI.aspx?menuIndex=3&amp;refID=7045820&amp;Result=3","7045820")</f>
        <v>0</v>
      </c>
      <c r="B11130" t="s">
        <v>1049</v>
      </c>
      <c r="C11130" t="s">
        <v>14074</v>
      </c>
      <c r="D11130" t="s">
        <v>18792</v>
      </c>
      <c r="E11130" t="s">
        <v>28473</v>
      </c>
      <c r="F11130" t="s">
        <v>32664</v>
      </c>
      <c r="G11130" t="s">
        <v>32672</v>
      </c>
      <c r="H11130" t="s">
        <v>12635</v>
      </c>
      <c r="I11130" t="s">
        <v>32736</v>
      </c>
      <c r="J11130" t="s">
        <v>39171</v>
      </c>
      <c r="K11130" t="s">
        <v>42311</v>
      </c>
      <c r="M11130" t="s">
        <v>43666</v>
      </c>
      <c r="N11130" t="s">
        <v>46569</v>
      </c>
      <c r="O11130" t="s">
        <v>46570</v>
      </c>
      <c r="P11130">
        <v>0</v>
      </c>
      <c r="Q11130">
        <v>0</v>
      </c>
      <c r="R11130" t="s">
        <v>46579</v>
      </c>
      <c r="S11130" t="s">
        <v>46919</v>
      </c>
      <c r="T11130" t="s">
        <v>48212</v>
      </c>
      <c r="U11130" t="s">
        <v>57712</v>
      </c>
      <c r="W11130" t="s">
        <v>63505</v>
      </c>
      <c r="X11130" t="s">
        <v>46581</v>
      </c>
    </row>
    <row r="11131" spans="1:24">
      <c r="A11131">
        <f>HYPERLINK("https://www.philgeps.gov.ph/GEPSNONPILOT/Tender/SplashBidNoticeAbstractUI.aspx?menuIndex=3&amp;refID=7045642&amp;Result=3","7045642")</f>
        <v>0</v>
      </c>
      <c r="B11131" t="s">
        <v>1049</v>
      </c>
      <c r="C11131" t="s">
        <v>14075</v>
      </c>
      <c r="D11131" t="s">
        <v>18831</v>
      </c>
      <c r="E11131" t="s">
        <v>28474</v>
      </c>
      <c r="F11131" t="s">
        <v>32664</v>
      </c>
      <c r="G11131" t="s">
        <v>32672</v>
      </c>
      <c r="H11131" t="s">
        <v>12635</v>
      </c>
      <c r="I11131" t="s">
        <v>32727</v>
      </c>
      <c r="J11131" t="s">
        <v>39408</v>
      </c>
      <c r="K11131" t="s">
        <v>42281</v>
      </c>
      <c r="M11131" t="s">
        <v>43666</v>
      </c>
      <c r="N11131" t="s">
        <v>46569</v>
      </c>
      <c r="O11131" t="s">
        <v>46570</v>
      </c>
      <c r="P11131">
        <v>0</v>
      </c>
      <c r="Q11131">
        <v>1</v>
      </c>
      <c r="R11131" t="s">
        <v>46579</v>
      </c>
      <c r="S11131" t="s">
        <v>46919</v>
      </c>
      <c r="T11131" t="s">
        <v>48212</v>
      </c>
      <c r="U11131" t="s">
        <v>57713</v>
      </c>
      <c r="W11131" t="s">
        <v>63505</v>
      </c>
      <c r="X11131" t="s">
        <v>46581</v>
      </c>
    </row>
    <row r="11132" spans="1:24">
      <c r="A11132">
        <f>HYPERLINK("https://www.philgeps.gov.ph/GEPSNONPILOT/Tender/SplashBidNoticeAbstractUI.aspx?menuIndex=3&amp;refID=7045786&amp;Result=3","7045786")</f>
        <v>0</v>
      </c>
      <c r="B11132" t="s">
        <v>1371</v>
      </c>
      <c r="C11132" t="s">
        <v>14076</v>
      </c>
      <c r="D11132" t="s">
        <v>18796</v>
      </c>
      <c r="E11132" t="s">
        <v>28475</v>
      </c>
      <c r="F11132" t="s">
        <v>32664</v>
      </c>
      <c r="G11132" t="s">
        <v>32672</v>
      </c>
      <c r="H11132" t="s">
        <v>32683</v>
      </c>
      <c r="I11132" t="s">
        <v>10627</v>
      </c>
      <c r="J11132" t="s">
        <v>39409</v>
      </c>
      <c r="K11132" t="s">
        <v>42316</v>
      </c>
      <c r="M11132" t="s">
        <v>45870</v>
      </c>
      <c r="N11132" t="s">
        <v>46569</v>
      </c>
      <c r="O11132" t="s">
        <v>46570</v>
      </c>
      <c r="P11132">
        <v>0</v>
      </c>
      <c r="Q11132">
        <v>0</v>
      </c>
      <c r="R11132" t="s">
        <v>46579</v>
      </c>
      <c r="S11132" t="s">
        <v>46919</v>
      </c>
      <c r="T11132" t="s">
        <v>48448</v>
      </c>
      <c r="U11132" t="s">
        <v>57714</v>
      </c>
      <c r="W11132" t="s">
        <v>45870</v>
      </c>
      <c r="X11132" t="s">
        <v>46581</v>
      </c>
    </row>
    <row r="11133" spans="1:24">
      <c r="A11133">
        <f>HYPERLINK("https://www.philgeps.gov.ph/GEPSNONPILOT/Tender/SplashBidNoticeAbstractUI.aspx?menuIndex=3&amp;refID=7044733&amp;Result=3","7044733")</f>
        <v>0</v>
      </c>
      <c r="B11133" t="s">
        <v>3007</v>
      </c>
      <c r="C11133" t="s">
        <v>14077</v>
      </c>
      <c r="D11133" t="s">
        <v>18802</v>
      </c>
      <c r="E11133" t="s">
        <v>28476</v>
      </c>
      <c r="F11133" t="s">
        <v>32664</v>
      </c>
      <c r="G11133" t="s">
        <v>32672</v>
      </c>
      <c r="H11133" t="s">
        <v>12635</v>
      </c>
      <c r="I11133" t="s">
        <v>4439</v>
      </c>
      <c r="J11133" t="s">
        <v>39410</v>
      </c>
      <c r="K11133" t="s">
        <v>42297</v>
      </c>
      <c r="M11133" t="s">
        <v>45874</v>
      </c>
      <c r="N11133" t="s">
        <v>46569</v>
      </c>
      <c r="O11133" t="s">
        <v>46570</v>
      </c>
      <c r="P11133">
        <v>0</v>
      </c>
      <c r="Q11133">
        <v>0</v>
      </c>
      <c r="R11133" t="s">
        <v>46579</v>
      </c>
      <c r="S11133" t="s">
        <v>46919</v>
      </c>
      <c r="T11133" t="s">
        <v>48453</v>
      </c>
      <c r="U11133" t="s">
        <v>57715</v>
      </c>
      <c r="V11133" t="s">
        <v>62827</v>
      </c>
      <c r="W11133" t="s">
        <v>45874</v>
      </c>
      <c r="X11133" t="s">
        <v>46581</v>
      </c>
    </row>
    <row r="11134" spans="1:24">
      <c r="A11134">
        <f>HYPERLINK("https://www.philgeps.gov.ph/GEPSNONPILOT/Tender/SplashBidNoticeAbstractUI.aspx?menuIndex=3&amp;refID=7044713&amp;Result=3","7044713")</f>
        <v>0</v>
      </c>
      <c r="B11134" t="s">
        <v>1371</v>
      </c>
      <c r="C11134" t="s">
        <v>14078</v>
      </c>
      <c r="D11134" t="s">
        <v>18796</v>
      </c>
      <c r="E11134" t="s">
        <v>28477</v>
      </c>
      <c r="F11134" t="s">
        <v>32664</v>
      </c>
      <c r="G11134" t="s">
        <v>32672</v>
      </c>
      <c r="H11134" t="s">
        <v>32683</v>
      </c>
      <c r="I11134" t="s">
        <v>10627</v>
      </c>
      <c r="J11134" t="s">
        <v>33177</v>
      </c>
      <c r="K11134" t="s">
        <v>42281</v>
      </c>
      <c r="M11134" t="s">
        <v>45870</v>
      </c>
      <c r="N11134" t="s">
        <v>46569</v>
      </c>
      <c r="O11134" t="s">
        <v>46570</v>
      </c>
      <c r="P11134">
        <v>0</v>
      </c>
      <c r="Q11134">
        <v>0</v>
      </c>
      <c r="R11134" t="s">
        <v>46579</v>
      </c>
      <c r="S11134" t="s">
        <v>46919</v>
      </c>
      <c r="T11134" t="s">
        <v>48448</v>
      </c>
      <c r="U11134" t="s">
        <v>57716</v>
      </c>
      <c r="W11134" t="s">
        <v>45870</v>
      </c>
      <c r="X11134" t="s">
        <v>46581</v>
      </c>
    </row>
    <row r="11135" spans="1:24">
      <c r="A11135">
        <f>HYPERLINK("https://www.philgeps.gov.ph/GEPSNONPILOT/Tender/SplashBidNoticeAbstractUI.aspx?menuIndex=3&amp;refID=7045784&amp;Result=3","7045784")</f>
        <v>0</v>
      </c>
      <c r="B11135" t="s">
        <v>1049</v>
      </c>
      <c r="C11135" t="s">
        <v>14079</v>
      </c>
      <c r="D11135" t="s">
        <v>18792</v>
      </c>
      <c r="E11135" t="s">
        <v>28478</v>
      </c>
      <c r="F11135" t="s">
        <v>32664</v>
      </c>
      <c r="G11135" t="s">
        <v>32672</v>
      </c>
      <c r="H11135" t="s">
        <v>12635</v>
      </c>
      <c r="I11135" t="s">
        <v>7709</v>
      </c>
      <c r="J11135" t="s">
        <v>36552</v>
      </c>
      <c r="K11135" t="s">
        <v>42281</v>
      </c>
      <c r="M11135" t="s">
        <v>43666</v>
      </c>
      <c r="N11135" t="s">
        <v>46569</v>
      </c>
      <c r="O11135" t="s">
        <v>46570</v>
      </c>
      <c r="P11135">
        <v>0</v>
      </c>
      <c r="Q11135">
        <v>0</v>
      </c>
      <c r="R11135" t="s">
        <v>46579</v>
      </c>
      <c r="S11135" t="s">
        <v>46919</v>
      </c>
      <c r="T11135" t="s">
        <v>48212</v>
      </c>
      <c r="U11135" t="s">
        <v>57717</v>
      </c>
      <c r="W11135" t="s">
        <v>63505</v>
      </c>
      <c r="X11135" t="s">
        <v>46581</v>
      </c>
    </row>
    <row r="11136" spans="1:24">
      <c r="A11136">
        <f>HYPERLINK("https://www.philgeps.gov.ph/GEPSNONPILOT/Tender/SplashBidNoticeAbstractUI.aspx?menuIndex=3&amp;refID=7045779&amp;Result=3","7045779")</f>
        <v>0</v>
      </c>
      <c r="B11136" t="s">
        <v>1514</v>
      </c>
      <c r="C11136" t="s">
        <v>14080</v>
      </c>
      <c r="D11136" t="s">
        <v>18829</v>
      </c>
      <c r="E11136" t="s">
        <v>28479</v>
      </c>
      <c r="F11136" t="s">
        <v>32664</v>
      </c>
      <c r="G11136" t="s">
        <v>32671</v>
      </c>
      <c r="H11136" t="s">
        <v>32681</v>
      </c>
      <c r="I11136" t="s">
        <v>5589</v>
      </c>
      <c r="J11136" t="s">
        <v>39411</v>
      </c>
      <c r="K11136" t="s">
        <v>42281</v>
      </c>
      <c r="M11136" t="s">
        <v>44180</v>
      </c>
      <c r="N11136" t="s">
        <v>46569</v>
      </c>
      <c r="O11136" t="s">
        <v>46570</v>
      </c>
      <c r="P11136">
        <v>0</v>
      </c>
      <c r="Q11136">
        <v>0</v>
      </c>
      <c r="R11136" t="s">
        <v>46579</v>
      </c>
      <c r="S11136" t="s">
        <v>46919</v>
      </c>
      <c r="T11136" t="s">
        <v>48278</v>
      </c>
      <c r="U11136" t="s">
        <v>57718</v>
      </c>
      <c r="W11136" t="s">
        <v>44180</v>
      </c>
      <c r="X11136" t="s">
        <v>46581</v>
      </c>
    </row>
    <row r="11137" spans="1:24">
      <c r="A11137">
        <f>HYPERLINK("https://www.philgeps.gov.ph/GEPSNONPILOT/Tender/SplashBidNoticeAbstractUI.aspx?menuIndex=3&amp;refID=7046094&amp;Result=3","7046094")</f>
        <v>0</v>
      </c>
      <c r="B11137" t="s">
        <v>1371</v>
      </c>
      <c r="C11137" t="s">
        <v>14081</v>
      </c>
      <c r="D11137" t="s">
        <v>18796</v>
      </c>
      <c r="E11137" t="s">
        <v>28480</v>
      </c>
      <c r="F11137" t="s">
        <v>32664</v>
      </c>
      <c r="G11137" t="s">
        <v>32672</v>
      </c>
      <c r="H11137" t="s">
        <v>32683</v>
      </c>
      <c r="I11137" t="s">
        <v>10627</v>
      </c>
      <c r="J11137" t="s">
        <v>39412</v>
      </c>
      <c r="K11137" t="s">
        <v>42345</v>
      </c>
      <c r="M11137" t="s">
        <v>45871</v>
      </c>
      <c r="N11137" t="s">
        <v>46569</v>
      </c>
      <c r="O11137" t="s">
        <v>46570</v>
      </c>
      <c r="P11137">
        <v>0</v>
      </c>
      <c r="Q11137">
        <v>0</v>
      </c>
      <c r="R11137" t="s">
        <v>46579</v>
      </c>
      <c r="S11137" t="s">
        <v>46919</v>
      </c>
      <c r="T11137" t="s">
        <v>48467</v>
      </c>
      <c r="U11137" t="s">
        <v>57701</v>
      </c>
      <c r="W11137" t="s">
        <v>45870</v>
      </c>
      <c r="X11137" t="s">
        <v>46581</v>
      </c>
    </row>
    <row r="11138" spans="1:24">
      <c r="A11138">
        <f>HYPERLINK("https://www.philgeps.gov.ph/GEPSNONPILOT/Tender/SplashBidNoticeAbstractUI.aspx?menuIndex=3&amp;refID=7044352&amp;Result=3","7044352")</f>
        <v>0</v>
      </c>
      <c r="B11138" t="s">
        <v>3008</v>
      </c>
      <c r="C11138" t="s">
        <v>14082</v>
      </c>
      <c r="D11138" t="s">
        <v>18802</v>
      </c>
      <c r="E11138" t="s">
        <v>28481</v>
      </c>
      <c r="F11138" t="s">
        <v>32664</v>
      </c>
      <c r="G11138" t="s">
        <v>32672</v>
      </c>
      <c r="H11138" t="s">
        <v>32683</v>
      </c>
      <c r="I11138" t="s">
        <v>10627</v>
      </c>
      <c r="J11138" t="s">
        <v>39413</v>
      </c>
      <c r="K11138" t="s">
        <v>42289</v>
      </c>
      <c r="M11138" t="s">
        <v>45875</v>
      </c>
      <c r="N11138" t="s">
        <v>46569</v>
      </c>
      <c r="O11138" t="s">
        <v>46570</v>
      </c>
      <c r="P11138">
        <v>0</v>
      </c>
      <c r="Q11138">
        <v>1</v>
      </c>
      <c r="R11138" t="s">
        <v>46579</v>
      </c>
      <c r="S11138" t="s">
        <v>46919</v>
      </c>
      <c r="T11138" t="s">
        <v>48448</v>
      </c>
      <c r="U11138" t="s">
        <v>57719</v>
      </c>
      <c r="W11138" t="s">
        <v>63580</v>
      </c>
      <c r="X11138" t="s">
        <v>46581</v>
      </c>
    </row>
    <row r="11139" spans="1:24">
      <c r="A11139">
        <f>HYPERLINK("https://www.philgeps.gov.ph/GEPSNONPILOT/Tender/SplashBidNoticeAbstractUI.aspx?menuIndex=3&amp;refID=7045934&amp;Result=3","7045934")</f>
        <v>0</v>
      </c>
      <c r="B11139" t="s">
        <v>1371</v>
      </c>
      <c r="C11139" t="s">
        <v>14083</v>
      </c>
      <c r="D11139" t="s">
        <v>18796</v>
      </c>
      <c r="E11139" t="s">
        <v>28482</v>
      </c>
      <c r="F11139" t="s">
        <v>32664</v>
      </c>
      <c r="G11139" t="s">
        <v>32672</v>
      </c>
      <c r="H11139" t="s">
        <v>32683</v>
      </c>
      <c r="I11139" t="s">
        <v>10627</v>
      </c>
      <c r="J11139" t="s">
        <v>39414</v>
      </c>
      <c r="K11139" t="s">
        <v>42281</v>
      </c>
      <c r="M11139" t="s">
        <v>45870</v>
      </c>
      <c r="N11139" t="s">
        <v>46569</v>
      </c>
      <c r="O11139" t="s">
        <v>46570</v>
      </c>
      <c r="P11139">
        <v>0</v>
      </c>
      <c r="Q11139">
        <v>0</v>
      </c>
      <c r="R11139" t="s">
        <v>46579</v>
      </c>
      <c r="S11139" t="s">
        <v>46919</v>
      </c>
      <c r="T11139" t="s">
        <v>48448</v>
      </c>
      <c r="U11139" t="s">
        <v>57720</v>
      </c>
      <c r="W11139" t="s">
        <v>45870</v>
      </c>
      <c r="X11139" t="s">
        <v>46581</v>
      </c>
    </row>
    <row r="11140" spans="1:24">
      <c r="A11140">
        <f>HYPERLINK("https://www.philgeps.gov.ph/GEPSNONPILOT/Tender/SplashBidNoticeAbstractUI.aspx?menuIndex=3&amp;refID=7044676&amp;Result=3","7044676")</f>
        <v>0</v>
      </c>
      <c r="B11140" t="s">
        <v>1371</v>
      </c>
      <c r="C11140" t="s">
        <v>14084</v>
      </c>
      <c r="D11140" t="s">
        <v>18796</v>
      </c>
      <c r="E11140" t="s">
        <v>28483</v>
      </c>
      <c r="F11140" t="s">
        <v>32664</v>
      </c>
      <c r="G11140" t="s">
        <v>32672</v>
      </c>
      <c r="H11140" t="s">
        <v>32683</v>
      </c>
      <c r="I11140" t="s">
        <v>10627</v>
      </c>
      <c r="J11140" t="s">
        <v>32859</v>
      </c>
      <c r="K11140" t="s">
        <v>42314</v>
      </c>
      <c r="M11140" t="s">
        <v>45870</v>
      </c>
      <c r="N11140" t="s">
        <v>46569</v>
      </c>
      <c r="O11140" t="s">
        <v>46570</v>
      </c>
      <c r="P11140">
        <v>0</v>
      </c>
      <c r="Q11140">
        <v>0</v>
      </c>
      <c r="R11140" t="s">
        <v>46579</v>
      </c>
      <c r="S11140" t="s">
        <v>46919</v>
      </c>
      <c r="T11140" t="s">
        <v>48448</v>
      </c>
      <c r="U11140" t="s">
        <v>57721</v>
      </c>
      <c r="W11140" t="s">
        <v>45870</v>
      </c>
      <c r="X11140" t="s">
        <v>46581</v>
      </c>
    </row>
    <row r="11141" spans="1:24">
      <c r="A11141">
        <f>HYPERLINK("https://www.philgeps.gov.ph/GEPSNONPILOT/Tender/SplashBidNoticeAbstractUI.aspx?menuIndex=3&amp;refID=7044621&amp;Result=3","7044621")</f>
        <v>0</v>
      </c>
      <c r="B11141" t="s">
        <v>3009</v>
      </c>
      <c r="C11141" t="s">
        <v>14085</v>
      </c>
      <c r="E11141" t="s">
        <v>28484</v>
      </c>
      <c r="F11141" t="s">
        <v>32664</v>
      </c>
      <c r="G11141" t="s">
        <v>32672</v>
      </c>
      <c r="H11141" t="s">
        <v>32683</v>
      </c>
      <c r="I11141" t="s">
        <v>10627</v>
      </c>
      <c r="J11141" t="s">
        <v>33051</v>
      </c>
      <c r="K11141" t="s">
        <v>42289</v>
      </c>
      <c r="M11141" t="s">
        <v>45876</v>
      </c>
      <c r="N11141" t="s">
        <v>46569</v>
      </c>
      <c r="O11141" t="s">
        <v>46570</v>
      </c>
      <c r="P11141">
        <v>0</v>
      </c>
      <c r="Q11141">
        <v>0</v>
      </c>
      <c r="R11141" t="s">
        <v>46579</v>
      </c>
      <c r="S11141" t="s">
        <v>46919</v>
      </c>
      <c r="T11141" t="s">
        <v>48630</v>
      </c>
      <c r="U11141" t="s">
        <v>57722</v>
      </c>
      <c r="W11141" t="s">
        <v>45876</v>
      </c>
      <c r="X11141" t="s">
        <v>46581</v>
      </c>
    </row>
    <row r="11142" spans="1:24">
      <c r="A11142">
        <f>HYPERLINK("https://www.philgeps.gov.ph/GEPSNONPILOT/Tender/SplashBidNoticeAbstractUI.aspx?menuIndex=3&amp;refID=7044536&amp;Result=3","7044536")</f>
        <v>0</v>
      </c>
      <c r="B11142" t="s">
        <v>3009</v>
      </c>
      <c r="C11142" t="s">
        <v>14086</v>
      </c>
      <c r="D11142" t="s">
        <v>18831</v>
      </c>
      <c r="E11142" t="s">
        <v>28485</v>
      </c>
      <c r="F11142" t="s">
        <v>32664</v>
      </c>
      <c r="G11142" t="s">
        <v>32672</v>
      </c>
      <c r="H11142" t="s">
        <v>32683</v>
      </c>
      <c r="I11142" t="s">
        <v>10627</v>
      </c>
      <c r="J11142" t="s">
        <v>39415</v>
      </c>
      <c r="K11142" t="s">
        <v>42325</v>
      </c>
      <c r="M11142" t="s">
        <v>45876</v>
      </c>
      <c r="N11142" t="s">
        <v>46569</v>
      </c>
      <c r="O11142" t="s">
        <v>46570</v>
      </c>
      <c r="P11142">
        <v>0</v>
      </c>
      <c r="Q11142">
        <v>0</v>
      </c>
      <c r="R11142" t="s">
        <v>46579</v>
      </c>
      <c r="S11142" t="s">
        <v>46919</v>
      </c>
      <c r="T11142" t="s">
        <v>48467</v>
      </c>
      <c r="U11142" t="s">
        <v>57723</v>
      </c>
      <c r="W11142" t="s">
        <v>45876</v>
      </c>
      <c r="X11142" t="s">
        <v>46581</v>
      </c>
    </row>
    <row r="11143" spans="1:24">
      <c r="A11143">
        <f>HYPERLINK("https://www.philgeps.gov.ph/GEPSNONPILOT/Tender/SplashBidNoticeAbstractUI.aspx?menuIndex=3&amp;refID=7046551&amp;Result=3","7046551")</f>
        <v>0</v>
      </c>
      <c r="B11143" t="s">
        <v>1402</v>
      </c>
      <c r="C11143" t="s">
        <v>14087</v>
      </c>
      <c r="D11143" t="s">
        <v>18789</v>
      </c>
      <c r="E11143" t="s">
        <v>28486</v>
      </c>
      <c r="F11143" t="s">
        <v>32664</v>
      </c>
      <c r="G11143" t="s">
        <v>32672</v>
      </c>
      <c r="H11143" t="s">
        <v>32683</v>
      </c>
      <c r="I11143" t="s">
        <v>10627</v>
      </c>
      <c r="J11143" t="s">
        <v>39416</v>
      </c>
      <c r="K11143" t="s">
        <v>42311</v>
      </c>
      <c r="M11143" t="s">
        <v>45872</v>
      </c>
      <c r="N11143" t="s">
        <v>46569</v>
      </c>
      <c r="O11143" t="s">
        <v>46570</v>
      </c>
      <c r="Q11143">
        <v>0</v>
      </c>
      <c r="R11143" t="s">
        <v>46579</v>
      </c>
      <c r="S11143" t="s">
        <v>46926</v>
      </c>
      <c r="T11143" t="s">
        <v>48313</v>
      </c>
      <c r="U11143" t="s">
        <v>57724</v>
      </c>
      <c r="V11143" t="s">
        <v>61995</v>
      </c>
      <c r="W11143" t="s">
        <v>45872</v>
      </c>
      <c r="X11143" t="s">
        <v>46581</v>
      </c>
    </row>
    <row r="11144" spans="1:24">
      <c r="A11144">
        <f>HYPERLINK("https://www.philgeps.gov.ph/GEPSNONPILOT/Tender/SplashBidNoticeAbstractUI.aspx?menuIndex=3&amp;refID=7046448&amp;Result=3","7046448")</f>
        <v>0</v>
      </c>
      <c r="B11144" t="s">
        <v>1797</v>
      </c>
      <c r="C11144" t="s">
        <v>14088</v>
      </c>
      <c r="D11144" t="s">
        <v>18831</v>
      </c>
      <c r="E11144" t="s">
        <v>28487</v>
      </c>
      <c r="F11144" t="s">
        <v>32664</v>
      </c>
      <c r="G11144" t="s">
        <v>32672</v>
      </c>
      <c r="H11144" t="s">
        <v>12635</v>
      </c>
      <c r="I11144" t="s">
        <v>9486</v>
      </c>
      <c r="J11144" t="s">
        <v>39417</v>
      </c>
      <c r="K11144" t="s">
        <v>42281</v>
      </c>
      <c r="M11144" t="s">
        <v>44500</v>
      </c>
      <c r="N11144" t="s">
        <v>46569</v>
      </c>
      <c r="O11144" t="s">
        <v>46570</v>
      </c>
      <c r="P11144">
        <v>0</v>
      </c>
      <c r="Q11144">
        <v>1</v>
      </c>
      <c r="R11144" t="s">
        <v>46579</v>
      </c>
      <c r="S11144" t="s">
        <v>46919</v>
      </c>
      <c r="T11144" t="s">
        <v>48213</v>
      </c>
      <c r="U11144" t="s">
        <v>57725</v>
      </c>
      <c r="V11144" t="s">
        <v>62172</v>
      </c>
      <c r="W11144" t="s">
        <v>44500</v>
      </c>
      <c r="X11144" t="s">
        <v>46581</v>
      </c>
    </row>
    <row r="11145" spans="1:24">
      <c r="A11145">
        <f>HYPERLINK("https://www.philgeps.gov.ph/GEPSNONPILOT/Tender/SplashBidNoticeAbstractUI.aspx?menuIndex=3&amp;refID=7046444&amp;Result=3","7046444")</f>
        <v>0</v>
      </c>
      <c r="B11145" t="s">
        <v>1402</v>
      </c>
      <c r="C11145" t="s">
        <v>14089</v>
      </c>
      <c r="D11145" t="s">
        <v>18789</v>
      </c>
      <c r="E11145" t="s">
        <v>28488</v>
      </c>
      <c r="F11145" t="s">
        <v>32664</v>
      </c>
      <c r="G11145" t="s">
        <v>32672</v>
      </c>
      <c r="H11145" t="s">
        <v>12635</v>
      </c>
      <c r="I11145" t="s">
        <v>10627</v>
      </c>
      <c r="J11145" t="s">
        <v>39398</v>
      </c>
      <c r="K11145" t="s">
        <v>42311</v>
      </c>
      <c r="M11145" t="s">
        <v>45872</v>
      </c>
      <c r="N11145" t="s">
        <v>46569</v>
      </c>
      <c r="O11145" t="s">
        <v>46570</v>
      </c>
      <c r="Q11145">
        <v>0</v>
      </c>
      <c r="R11145" t="s">
        <v>46579</v>
      </c>
      <c r="S11145" t="s">
        <v>46927</v>
      </c>
      <c r="T11145" t="s">
        <v>48313</v>
      </c>
      <c r="U11145" t="s">
        <v>57726</v>
      </c>
      <c r="V11145" t="s">
        <v>61995</v>
      </c>
      <c r="W11145" t="s">
        <v>45872</v>
      </c>
      <c r="X11145" t="s">
        <v>46581</v>
      </c>
    </row>
    <row r="11146" spans="1:24">
      <c r="A11146">
        <f>HYPERLINK("https://www.philgeps.gov.ph/GEPSNONPILOT/Tender/SplashBidNoticeAbstractUI.aspx?menuIndex=3&amp;refID=7046437&amp;Result=3","7046437")</f>
        <v>0</v>
      </c>
      <c r="B11146" t="s">
        <v>3010</v>
      </c>
      <c r="C11146" t="s">
        <v>14090</v>
      </c>
      <c r="D11146" t="s">
        <v>18831</v>
      </c>
      <c r="E11146" t="s">
        <v>19380</v>
      </c>
      <c r="F11146" t="s">
        <v>32664</v>
      </c>
      <c r="G11146" t="s">
        <v>32672</v>
      </c>
      <c r="H11146" t="s">
        <v>12635</v>
      </c>
      <c r="I11146" t="s">
        <v>4439</v>
      </c>
      <c r="J11146" t="s">
        <v>39418</v>
      </c>
      <c r="K11146" t="s">
        <v>42281</v>
      </c>
      <c r="M11146" t="s">
        <v>45877</v>
      </c>
      <c r="N11146" t="s">
        <v>46569</v>
      </c>
      <c r="O11146" t="s">
        <v>46570</v>
      </c>
      <c r="P11146">
        <v>0</v>
      </c>
      <c r="Q11146">
        <v>2</v>
      </c>
      <c r="R11146" t="s">
        <v>46579</v>
      </c>
      <c r="S11146" t="s">
        <v>46919</v>
      </c>
      <c r="T11146" t="s">
        <v>48449</v>
      </c>
      <c r="U11146" t="s">
        <v>57727</v>
      </c>
      <c r="W11146" t="s">
        <v>45877</v>
      </c>
      <c r="X11146" t="s">
        <v>46581</v>
      </c>
    </row>
    <row r="11147" spans="1:24">
      <c r="A11147">
        <f>HYPERLINK("https://www.philgeps.gov.ph/GEPSNONPILOT/Tender/SplashBidNoticeAbstractUI.aspx?menuIndex=3&amp;refID=7044650&amp;Result=3","7044650")</f>
        <v>0</v>
      </c>
      <c r="B11147" t="s">
        <v>1371</v>
      </c>
      <c r="C11147" t="s">
        <v>14091</v>
      </c>
      <c r="D11147" t="s">
        <v>18796</v>
      </c>
      <c r="E11147" t="s">
        <v>28489</v>
      </c>
      <c r="F11147" t="s">
        <v>32664</v>
      </c>
      <c r="G11147" t="s">
        <v>32672</v>
      </c>
      <c r="H11147" t="s">
        <v>32683</v>
      </c>
      <c r="I11147" t="s">
        <v>10627</v>
      </c>
      <c r="J11147" t="s">
        <v>39419</v>
      </c>
      <c r="K11147" t="s">
        <v>42311</v>
      </c>
      <c r="M11147" t="s">
        <v>45870</v>
      </c>
      <c r="N11147" t="s">
        <v>46569</v>
      </c>
      <c r="O11147" t="s">
        <v>46570</v>
      </c>
      <c r="P11147">
        <v>0</v>
      </c>
      <c r="Q11147">
        <v>1</v>
      </c>
      <c r="R11147" t="s">
        <v>46579</v>
      </c>
      <c r="S11147" t="s">
        <v>46919</v>
      </c>
      <c r="T11147" t="s">
        <v>48448</v>
      </c>
      <c r="U11147" t="s">
        <v>57728</v>
      </c>
      <c r="W11147" t="s">
        <v>45870</v>
      </c>
      <c r="X11147" t="s">
        <v>46581</v>
      </c>
    </row>
    <row r="11148" spans="1:24">
      <c r="A11148">
        <f>HYPERLINK("https://www.philgeps.gov.ph/GEPSNONPILOT/Tender/SplashBidNoticeAbstractUI.aspx?menuIndex=3&amp;refID=7046405&amp;Result=3","7046405")</f>
        <v>0</v>
      </c>
      <c r="B11148" t="s">
        <v>1797</v>
      </c>
      <c r="C11148" t="s">
        <v>14092</v>
      </c>
      <c r="D11148" t="s">
        <v>18831</v>
      </c>
      <c r="E11148" t="s">
        <v>28490</v>
      </c>
      <c r="F11148" t="s">
        <v>32664</v>
      </c>
      <c r="G11148" t="s">
        <v>32672</v>
      </c>
      <c r="H11148" t="s">
        <v>12635</v>
      </c>
      <c r="I11148" t="s">
        <v>8797</v>
      </c>
      <c r="J11148" t="s">
        <v>39420</v>
      </c>
      <c r="K11148" t="s">
        <v>42281</v>
      </c>
      <c r="M11148" t="s">
        <v>44500</v>
      </c>
      <c r="N11148" t="s">
        <v>46569</v>
      </c>
      <c r="O11148" t="s">
        <v>46570</v>
      </c>
      <c r="P11148">
        <v>0</v>
      </c>
      <c r="Q11148">
        <v>5</v>
      </c>
      <c r="R11148" t="s">
        <v>46579</v>
      </c>
      <c r="S11148" t="s">
        <v>46919</v>
      </c>
      <c r="T11148" t="s">
        <v>48213</v>
      </c>
      <c r="U11148" t="s">
        <v>57729</v>
      </c>
      <c r="V11148" t="s">
        <v>62172</v>
      </c>
      <c r="W11148" t="s">
        <v>44500</v>
      </c>
      <c r="X11148" t="s">
        <v>46581</v>
      </c>
    </row>
    <row r="11149" spans="1:24">
      <c r="A11149">
        <f>HYPERLINK("https://www.philgeps.gov.ph/GEPSNONPILOT/Tender/SplashBidNoticeAbstractUI.aspx?menuIndex=3&amp;refID=7046572&amp;Result=3","7046572")</f>
        <v>0</v>
      </c>
      <c r="B11149" t="s">
        <v>1049</v>
      </c>
      <c r="C11149" t="s">
        <v>14093</v>
      </c>
      <c r="D11149" t="s">
        <v>18792</v>
      </c>
      <c r="E11149" t="s">
        <v>28491</v>
      </c>
      <c r="F11149" t="s">
        <v>32664</v>
      </c>
      <c r="G11149" t="s">
        <v>32672</v>
      </c>
      <c r="H11149" t="s">
        <v>12635</v>
      </c>
      <c r="I11149" t="s">
        <v>7709</v>
      </c>
      <c r="J11149" t="s">
        <v>39421</v>
      </c>
      <c r="K11149" t="s">
        <v>42281</v>
      </c>
      <c r="M11149" t="s">
        <v>43666</v>
      </c>
      <c r="N11149" t="s">
        <v>46569</v>
      </c>
      <c r="O11149" t="s">
        <v>46570</v>
      </c>
      <c r="P11149">
        <v>0</v>
      </c>
      <c r="Q11149">
        <v>0</v>
      </c>
      <c r="R11149" t="s">
        <v>46579</v>
      </c>
      <c r="S11149" t="s">
        <v>46919</v>
      </c>
      <c r="T11149" t="s">
        <v>48212</v>
      </c>
      <c r="U11149" t="s">
        <v>57730</v>
      </c>
      <c r="W11149" t="s">
        <v>63505</v>
      </c>
      <c r="X11149" t="s">
        <v>46581</v>
      </c>
    </row>
    <row r="11150" spans="1:24">
      <c r="A11150">
        <f>HYPERLINK("https://www.philgeps.gov.ph/GEPSNONPILOT/Tender/SplashBidNoticeAbstractUI.aspx?menuIndex=3&amp;refID=7046621&amp;Result=3","7046621")</f>
        <v>0</v>
      </c>
      <c r="B11150" t="s">
        <v>1806</v>
      </c>
      <c r="C11150" t="s">
        <v>14094</v>
      </c>
      <c r="D11150" t="s">
        <v>18799</v>
      </c>
      <c r="E11150" t="s">
        <v>28492</v>
      </c>
      <c r="F11150" t="s">
        <v>32664</v>
      </c>
      <c r="G11150" t="s">
        <v>32672</v>
      </c>
      <c r="H11150" t="s">
        <v>32683</v>
      </c>
      <c r="I11150" t="s">
        <v>10627</v>
      </c>
      <c r="J11150" t="s">
        <v>32943</v>
      </c>
      <c r="K11150" t="s">
        <v>42311</v>
      </c>
      <c r="M11150" t="s">
        <v>45878</v>
      </c>
      <c r="N11150" t="s">
        <v>46569</v>
      </c>
      <c r="O11150" t="s">
        <v>46570</v>
      </c>
      <c r="P11150">
        <v>0</v>
      </c>
      <c r="Q11150">
        <v>1</v>
      </c>
      <c r="R11150" t="s">
        <v>46579</v>
      </c>
      <c r="S11150" t="s">
        <v>46919</v>
      </c>
      <c r="T11150" t="s">
        <v>48345</v>
      </c>
      <c r="U11150" t="s">
        <v>57731</v>
      </c>
      <c r="V11150" t="s">
        <v>62828</v>
      </c>
      <c r="W11150" t="s">
        <v>45878</v>
      </c>
      <c r="X11150" t="s">
        <v>46581</v>
      </c>
    </row>
    <row r="11151" spans="1:24">
      <c r="A11151">
        <f>HYPERLINK("https://www.philgeps.gov.ph/GEPSNONPILOT/Tender/SplashBidNoticeAbstractUI.aspx?menuIndex=3&amp;refID=7046398&amp;Result=3","7046398")</f>
        <v>0</v>
      </c>
      <c r="B11151" t="s">
        <v>1371</v>
      </c>
      <c r="C11151" t="s">
        <v>14095</v>
      </c>
      <c r="D11151" t="s">
        <v>18796</v>
      </c>
      <c r="E11151" t="s">
        <v>28493</v>
      </c>
      <c r="F11151" t="s">
        <v>32664</v>
      </c>
      <c r="G11151" t="s">
        <v>32672</v>
      </c>
      <c r="H11151" t="s">
        <v>32683</v>
      </c>
      <c r="I11151" t="s">
        <v>10627</v>
      </c>
      <c r="J11151" t="s">
        <v>39422</v>
      </c>
      <c r="K11151" t="s">
        <v>42308</v>
      </c>
      <c r="M11151" t="s">
        <v>45871</v>
      </c>
      <c r="N11151" t="s">
        <v>46569</v>
      </c>
      <c r="O11151" t="s">
        <v>46570</v>
      </c>
      <c r="P11151">
        <v>0</v>
      </c>
      <c r="Q11151">
        <v>1</v>
      </c>
      <c r="R11151" t="s">
        <v>46579</v>
      </c>
      <c r="S11151" t="s">
        <v>46919</v>
      </c>
      <c r="T11151" t="s">
        <v>48467</v>
      </c>
      <c r="U11151" t="s">
        <v>57732</v>
      </c>
      <c r="W11151" t="s">
        <v>45870</v>
      </c>
      <c r="X11151" t="s">
        <v>46581</v>
      </c>
    </row>
    <row r="11152" spans="1:24">
      <c r="A11152">
        <f>HYPERLINK("https://www.philgeps.gov.ph/GEPSNONPILOT/Tender/SplashBidNoticeAbstractUI.aspx?menuIndex=3&amp;refID=7046370&amp;Result=3","7046370")</f>
        <v>0</v>
      </c>
      <c r="B11152" t="s">
        <v>1371</v>
      </c>
      <c r="C11152" t="s">
        <v>14096</v>
      </c>
      <c r="D11152" t="s">
        <v>18796</v>
      </c>
      <c r="E11152" t="s">
        <v>28494</v>
      </c>
      <c r="F11152" t="s">
        <v>32664</v>
      </c>
      <c r="G11152" t="s">
        <v>32672</v>
      </c>
      <c r="H11152" t="s">
        <v>32683</v>
      </c>
      <c r="I11152" t="s">
        <v>10627</v>
      </c>
      <c r="J11152" t="s">
        <v>32962</v>
      </c>
      <c r="K11152" t="s">
        <v>42290</v>
      </c>
      <c r="M11152" t="s">
        <v>45871</v>
      </c>
      <c r="N11152" t="s">
        <v>46569</v>
      </c>
      <c r="O11152" t="s">
        <v>46570</v>
      </c>
      <c r="P11152">
        <v>0</v>
      </c>
      <c r="Q11152">
        <v>0</v>
      </c>
      <c r="R11152" t="s">
        <v>46579</v>
      </c>
      <c r="S11152" t="s">
        <v>46919</v>
      </c>
      <c r="T11152" t="s">
        <v>48467</v>
      </c>
      <c r="U11152" t="s">
        <v>57733</v>
      </c>
      <c r="W11152" t="s">
        <v>45870</v>
      </c>
      <c r="X11152" t="s">
        <v>46581</v>
      </c>
    </row>
    <row r="11153" spans="1:24">
      <c r="A11153">
        <f>HYPERLINK("https://www.philgeps.gov.ph/GEPSNONPILOT/Tender/SplashBidNoticeAbstractUI.aspx?menuIndex=3&amp;refID=7046394&amp;Result=3","7046394")</f>
        <v>0</v>
      </c>
      <c r="B11153" t="s">
        <v>1049</v>
      </c>
      <c r="C11153" t="s">
        <v>14097</v>
      </c>
      <c r="D11153" t="s">
        <v>18792</v>
      </c>
      <c r="E11153" t="s">
        <v>28495</v>
      </c>
      <c r="F11153" t="s">
        <v>32664</v>
      </c>
      <c r="G11153" t="s">
        <v>32672</v>
      </c>
      <c r="H11153" t="s">
        <v>12635</v>
      </c>
      <c r="I11153" t="s">
        <v>32699</v>
      </c>
      <c r="J11153" t="s">
        <v>32929</v>
      </c>
      <c r="K11153" t="s">
        <v>42281</v>
      </c>
      <c r="M11153" t="s">
        <v>43666</v>
      </c>
      <c r="N11153" t="s">
        <v>46569</v>
      </c>
      <c r="O11153" t="s">
        <v>46570</v>
      </c>
      <c r="P11153">
        <v>0</v>
      </c>
      <c r="Q11153">
        <v>1</v>
      </c>
      <c r="R11153" t="s">
        <v>46579</v>
      </c>
      <c r="S11153" t="s">
        <v>46919</v>
      </c>
      <c r="T11153" t="s">
        <v>48212</v>
      </c>
      <c r="U11153" t="s">
        <v>57734</v>
      </c>
      <c r="W11153" t="s">
        <v>63505</v>
      </c>
      <c r="X11153" t="s">
        <v>46581</v>
      </c>
    </row>
    <row r="11154" spans="1:24">
      <c r="A11154">
        <f>HYPERLINK("https://www.philgeps.gov.ph/GEPSNONPILOT/Tender/SplashBidNoticeAbstractUI.aspx?menuIndex=3&amp;refID=7046271&amp;Result=3","7046271")</f>
        <v>0</v>
      </c>
      <c r="B11154" t="s">
        <v>1402</v>
      </c>
      <c r="C11154" t="s">
        <v>14098</v>
      </c>
      <c r="D11154" t="s">
        <v>18789</v>
      </c>
      <c r="E11154" t="s">
        <v>28496</v>
      </c>
      <c r="F11154" t="s">
        <v>32664</v>
      </c>
      <c r="G11154" t="s">
        <v>32672</v>
      </c>
      <c r="H11154" t="s">
        <v>32683</v>
      </c>
      <c r="I11154" t="s">
        <v>10627</v>
      </c>
      <c r="J11154" t="s">
        <v>39398</v>
      </c>
      <c r="K11154" t="s">
        <v>42311</v>
      </c>
      <c r="M11154" t="s">
        <v>45872</v>
      </c>
      <c r="N11154" t="s">
        <v>46569</v>
      </c>
      <c r="O11154" t="s">
        <v>46570</v>
      </c>
      <c r="Q11154">
        <v>0</v>
      </c>
      <c r="R11154" t="s">
        <v>46579</v>
      </c>
      <c r="S11154" t="s">
        <v>46928</v>
      </c>
      <c r="T11154" t="s">
        <v>48313</v>
      </c>
      <c r="U11154" t="s">
        <v>57735</v>
      </c>
      <c r="V11154" t="s">
        <v>61995</v>
      </c>
      <c r="W11154" t="s">
        <v>45872</v>
      </c>
      <c r="X11154" t="s">
        <v>46581</v>
      </c>
    </row>
    <row r="11155" spans="1:24">
      <c r="A11155">
        <f>HYPERLINK("https://www.philgeps.gov.ph/GEPSNONPILOT/Tender/SplashBidNoticeAbstractUI.aspx?menuIndex=3&amp;refID=7046364&amp;Result=3","7046364")</f>
        <v>0</v>
      </c>
      <c r="B11155" t="s">
        <v>1402</v>
      </c>
      <c r="C11155" t="s">
        <v>14099</v>
      </c>
      <c r="D11155" t="s">
        <v>18789</v>
      </c>
      <c r="E11155" t="s">
        <v>28497</v>
      </c>
      <c r="F11155" t="s">
        <v>32664</v>
      </c>
      <c r="G11155" t="s">
        <v>32672</v>
      </c>
      <c r="H11155" t="s">
        <v>32683</v>
      </c>
      <c r="I11155" t="s">
        <v>10627</v>
      </c>
      <c r="J11155" t="s">
        <v>39398</v>
      </c>
      <c r="K11155" t="s">
        <v>42311</v>
      </c>
      <c r="M11155" t="s">
        <v>45872</v>
      </c>
      <c r="N11155" t="s">
        <v>46569</v>
      </c>
      <c r="O11155" t="s">
        <v>46570</v>
      </c>
      <c r="Q11155">
        <v>0</v>
      </c>
      <c r="R11155" t="s">
        <v>46579</v>
      </c>
      <c r="S11155" t="s">
        <v>46929</v>
      </c>
      <c r="T11155" t="s">
        <v>48313</v>
      </c>
      <c r="U11155" t="s">
        <v>57736</v>
      </c>
      <c r="V11155" t="s">
        <v>61995</v>
      </c>
      <c r="W11155" t="s">
        <v>45872</v>
      </c>
      <c r="X11155" t="s">
        <v>46581</v>
      </c>
    </row>
    <row r="11156" spans="1:24">
      <c r="A11156">
        <f>HYPERLINK("https://www.philgeps.gov.ph/GEPSNONPILOT/Tender/SplashBidNoticeAbstractUI.aspx?menuIndex=3&amp;refID=7046323&amp;Result=3","7046323")</f>
        <v>0</v>
      </c>
      <c r="B11156" t="s">
        <v>1371</v>
      </c>
      <c r="C11156" t="s">
        <v>14100</v>
      </c>
      <c r="D11156" t="s">
        <v>18796</v>
      </c>
      <c r="E11156" t="s">
        <v>28498</v>
      </c>
      <c r="F11156" t="s">
        <v>32664</v>
      </c>
      <c r="G11156" t="s">
        <v>32672</v>
      </c>
      <c r="H11156" t="s">
        <v>32683</v>
      </c>
      <c r="I11156" t="s">
        <v>10627</v>
      </c>
      <c r="J11156" t="s">
        <v>32943</v>
      </c>
      <c r="K11156" t="s">
        <v>42290</v>
      </c>
      <c r="M11156" t="s">
        <v>45870</v>
      </c>
      <c r="N11156" t="s">
        <v>46569</v>
      </c>
      <c r="O11156" t="s">
        <v>46570</v>
      </c>
      <c r="P11156">
        <v>0</v>
      </c>
      <c r="Q11156">
        <v>1</v>
      </c>
      <c r="R11156" t="s">
        <v>46579</v>
      </c>
      <c r="S11156" t="s">
        <v>46919</v>
      </c>
      <c r="T11156" t="s">
        <v>48467</v>
      </c>
      <c r="U11156" t="s">
        <v>57737</v>
      </c>
      <c r="W11156" t="s">
        <v>45870</v>
      </c>
      <c r="X11156" t="s">
        <v>46581</v>
      </c>
    </row>
    <row r="11157" spans="1:24">
      <c r="A11157">
        <f>HYPERLINK("https://www.philgeps.gov.ph/GEPSNONPILOT/Tender/SplashBidNoticeAbstractUI.aspx?menuIndex=3&amp;refID=7046667&amp;Result=3","7046667")</f>
        <v>0</v>
      </c>
      <c r="B11157" t="s">
        <v>2933</v>
      </c>
      <c r="C11157" t="s">
        <v>14101</v>
      </c>
      <c r="E11157" t="s">
        <v>28499</v>
      </c>
      <c r="F11157" t="s">
        <v>32664</v>
      </c>
      <c r="G11157" t="s">
        <v>32672</v>
      </c>
      <c r="H11157" t="s">
        <v>12635</v>
      </c>
      <c r="I11157" t="s">
        <v>32736</v>
      </c>
      <c r="J11157" t="s">
        <v>32837</v>
      </c>
      <c r="K11157" t="s">
        <v>42289</v>
      </c>
      <c r="M11157" t="s">
        <v>45879</v>
      </c>
      <c r="N11157" t="s">
        <v>46569</v>
      </c>
      <c r="O11157" t="s">
        <v>46570</v>
      </c>
      <c r="P11157">
        <v>0</v>
      </c>
      <c r="Q11157">
        <v>1</v>
      </c>
      <c r="R11157" t="s">
        <v>46579</v>
      </c>
      <c r="S11157" t="s">
        <v>46919</v>
      </c>
      <c r="T11157" t="s">
        <v>48212</v>
      </c>
      <c r="U11157" t="s">
        <v>57738</v>
      </c>
      <c r="W11157" t="s">
        <v>45879</v>
      </c>
      <c r="X11157" t="s">
        <v>46581</v>
      </c>
    </row>
    <row r="11158" spans="1:24">
      <c r="A11158">
        <f>HYPERLINK("https://www.philgeps.gov.ph/GEPSNONPILOT/Tender/SplashBidNoticeAbstractUI.aspx?menuIndex=3&amp;refID=7046422&amp;Result=3","7046422")</f>
        <v>0</v>
      </c>
      <c r="B11158" t="s">
        <v>1049</v>
      </c>
      <c r="C11158" t="s">
        <v>14102</v>
      </c>
      <c r="D11158" t="s">
        <v>18874</v>
      </c>
      <c r="E11158" t="s">
        <v>28500</v>
      </c>
      <c r="F11158" t="s">
        <v>32664</v>
      </c>
      <c r="G11158" t="s">
        <v>32672</v>
      </c>
      <c r="H11158" t="s">
        <v>12635</v>
      </c>
      <c r="I11158" t="s">
        <v>32699</v>
      </c>
      <c r="J11158" t="s">
        <v>39423</v>
      </c>
      <c r="K11158" t="s">
        <v>42298</v>
      </c>
      <c r="M11158" t="s">
        <v>43666</v>
      </c>
      <c r="N11158" t="s">
        <v>46569</v>
      </c>
      <c r="O11158" t="s">
        <v>46570</v>
      </c>
      <c r="P11158">
        <v>0</v>
      </c>
      <c r="Q11158">
        <v>3</v>
      </c>
      <c r="R11158" t="s">
        <v>46579</v>
      </c>
      <c r="S11158" t="s">
        <v>46919</v>
      </c>
      <c r="T11158" t="s">
        <v>48212</v>
      </c>
      <c r="U11158" t="s">
        <v>57739</v>
      </c>
      <c r="W11158" t="s">
        <v>63505</v>
      </c>
      <c r="X11158" t="s">
        <v>46581</v>
      </c>
    </row>
    <row r="11159" spans="1:24">
      <c r="A11159">
        <f>HYPERLINK("https://www.philgeps.gov.ph/GEPSNONPILOT/Tender/SplashBidNoticeAbstractUI.aspx?menuIndex=3&amp;refID=7046252&amp;Result=3","7046252")</f>
        <v>0</v>
      </c>
      <c r="B11159" t="s">
        <v>1371</v>
      </c>
      <c r="C11159" t="s">
        <v>14103</v>
      </c>
      <c r="D11159" t="s">
        <v>18796</v>
      </c>
      <c r="E11159" t="s">
        <v>28501</v>
      </c>
      <c r="F11159" t="s">
        <v>32664</v>
      </c>
      <c r="G11159" t="s">
        <v>32672</v>
      </c>
      <c r="H11159" t="s">
        <v>32683</v>
      </c>
      <c r="I11159" t="s">
        <v>10627</v>
      </c>
      <c r="J11159" t="s">
        <v>39424</v>
      </c>
      <c r="K11159" t="s">
        <v>42290</v>
      </c>
      <c r="M11159" t="s">
        <v>45871</v>
      </c>
      <c r="N11159" t="s">
        <v>46569</v>
      </c>
      <c r="O11159" t="s">
        <v>46570</v>
      </c>
      <c r="P11159">
        <v>0</v>
      </c>
      <c r="Q11159">
        <v>0</v>
      </c>
      <c r="R11159" t="s">
        <v>46579</v>
      </c>
      <c r="S11159" t="s">
        <v>46919</v>
      </c>
      <c r="T11159" t="s">
        <v>48467</v>
      </c>
      <c r="U11159" t="s">
        <v>57705</v>
      </c>
      <c r="W11159" t="s">
        <v>45870</v>
      </c>
      <c r="X11159" t="s">
        <v>46581</v>
      </c>
    </row>
    <row r="11160" spans="1:24">
      <c r="A11160">
        <f>HYPERLINK("https://www.philgeps.gov.ph/GEPSNONPILOT/Tender/SplashBidNoticeAbstractUI.aspx?menuIndex=3&amp;refID=7041375&amp;Result=3","7041375")</f>
        <v>0</v>
      </c>
      <c r="B11160" t="s">
        <v>460</v>
      </c>
      <c r="C11160" t="s">
        <v>14104</v>
      </c>
      <c r="D11160" t="s">
        <v>18806</v>
      </c>
      <c r="E11160" t="s">
        <v>28502</v>
      </c>
      <c r="F11160" t="s">
        <v>32664</v>
      </c>
      <c r="G11160" t="s">
        <v>32672</v>
      </c>
      <c r="H11160" t="s">
        <v>12635</v>
      </c>
      <c r="I11160" t="s">
        <v>9486</v>
      </c>
      <c r="J11160" t="s">
        <v>39425</v>
      </c>
      <c r="K11160" t="s">
        <v>42330</v>
      </c>
      <c r="M11160" t="s">
        <v>43641</v>
      </c>
      <c r="N11160" t="s">
        <v>46569</v>
      </c>
      <c r="O11160" t="s">
        <v>46570</v>
      </c>
      <c r="P11160">
        <v>0</v>
      </c>
      <c r="Q11160">
        <v>4</v>
      </c>
      <c r="R11160" t="s">
        <v>46579</v>
      </c>
      <c r="S11160" t="s">
        <v>46919</v>
      </c>
      <c r="T11160" t="s">
        <v>48453</v>
      </c>
      <c r="U11160" t="s">
        <v>57740</v>
      </c>
      <c r="V11160" t="s">
        <v>62824</v>
      </c>
      <c r="W11160" t="s">
        <v>43641</v>
      </c>
      <c r="X11160" t="s">
        <v>46585</v>
      </c>
    </row>
    <row r="11161" spans="1:24">
      <c r="A11161">
        <f>HYPERLINK("https://www.philgeps.gov.ph/GEPSNONPILOT/Tender/SplashBidNoticeAbstractUI.aspx?menuIndex=3&amp;refID=7046810&amp;Result=3","7046810")</f>
        <v>0</v>
      </c>
      <c r="B11161" t="s">
        <v>3011</v>
      </c>
      <c r="C11161" t="s">
        <v>14105</v>
      </c>
      <c r="D11161" t="s">
        <v>18845</v>
      </c>
      <c r="E11161" t="s">
        <v>28503</v>
      </c>
      <c r="F11161" t="s">
        <v>32664</v>
      </c>
      <c r="G11161" t="s">
        <v>32672</v>
      </c>
      <c r="H11161" t="s">
        <v>32683</v>
      </c>
      <c r="I11161" t="s">
        <v>10627</v>
      </c>
      <c r="J11161" t="s">
        <v>39426</v>
      </c>
      <c r="K11161" t="s">
        <v>42290</v>
      </c>
      <c r="M11161" t="s">
        <v>45880</v>
      </c>
      <c r="N11161" t="s">
        <v>46569</v>
      </c>
      <c r="O11161" t="s">
        <v>46570</v>
      </c>
      <c r="P11161">
        <v>0</v>
      </c>
      <c r="Q11161">
        <v>1</v>
      </c>
      <c r="R11161" t="s">
        <v>46579</v>
      </c>
      <c r="S11161" t="s">
        <v>46919</v>
      </c>
      <c r="T11161" t="s">
        <v>48389</v>
      </c>
      <c r="U11161" t="s">
        <v>57741</v>
      </c>
      <c r="W11161" t="s">
        <v>45880</v>
      </c>
      <c r="X11161" t="s">
        <v>46581</v>
      </c>
    </row>
    <row r="11162" spans="1:24">
      <c r="A11162">
        <f>HYPERLINK("https://www.philgeps.gov.ph/GEPSNONPILOT/Tender/SplashBidNoticeAbstractUI.aspx?menuIndex=3&amp;refID=7041034&amp;Result=3","7041034")</f>
        <v>0</v>
      </c>
      <c r="B11162" t="s">
        <v>2994</v>
      </c>
      <c r="C11162" t="s">
        <v>14106</v>
      </c>
      <c r="D11162" t="s">
        <v>18787</v>
      </c>
      <c r="E11162" t="s">
        <v>28504</v>
      </c>
      <c r="F11162" t="s">
        <v>32664</v>
      </c>
      <c r="G11162" t="s">
        <v>32672</v>
      </c>
      <c r="H11162" t="s">
        <v>32683</v>
      </c>
      <c r="I11162" t="s">
        <v>10627</v>
      </c>
      <c r="J11162" t="s">
        <v>32943</v>
      </c>
      <c r="K11162" t="s">
        <v>42283</v>
      </c>
      <c r="M11162" t="s">
        <v>45853</v>
      </c>
      <c r="N11162" t="s">
        <v>46569</v>
      </c>
      <c r="O11162" t="s">
        <v>46570</v>
      </c>
      <c r="P11162">
        <v>0</v>
      </c>
      <c r="Q11162">
        <v>0</v>
      </c>
      <c r="R11162" t="s">
        <v>46579</v>
      </c>
      <c r="S11162" t="s">
        <v>46919</v>
      </c>
      <c r="T11162" t="s">
        <v>48389</v>
      </c>
      <c r="U11162" t="s">
        <v>57742</v>
      </c>
      <c r="W11162" t="s">
        <v>45853</v>
      </c>
      <c r="X11162" t="s">
        <v>46585</v>
      </c>
    </row>
    <row r="11163" spans="1:24">
      <c r="A11163">
        <f>HYPERLINK("https://www.philgeps.gov.ph/GEPSNONPILOT/Tender/SplashBidNoticeAbstractUI.aspx?menuIndex=3&amp;refID=7046355&amp;Result=3","7046355")</f>
        <v>0</v>
      </c>
      <c r="B11163" t="s">
        <v>1015</v>
      </c>
      <c r="C11163" t="s">
        <v>14107</v>
      </c>
      <c r="D11163" t="s">
        <v>18804</v>
      </c>
      <c r="E11163" t="s">
        <v>28505</v>
      </c>
      <c r="F11163" t="s">
        <v>32664</v>
      </c>
      <c r="G11163" t="s">
        <v>32672</v>
      </c>
      <c r="H11163" t="s">
        <v>32683</v>
      </c>
      <c r="I11163" t="s">
        <v>10627</v>
      </c>
      <c r="J11163" t="s">
        <v>39427</v>
      </c>
      <c r="K11163" t="s">
        <v>42380</v>
      </c>
      <c r="M11163" t="s">
        <v>45881</v>
      </c>
      <c r="N11163" t="s">
        <v>46569</v>
      </c>
      <c r="O11163" t="s">
        <v>46570</v>
      </c>
      <c r="P11163">
        <v>0</v>
      </c>
      <c r="Q11163">
        <v>1</v>
      </c>
      <c r="R11163" t="s">
        <v>46579</v>
      </c>
      <c r="S11163" t="s">
        <v>46919</v>
      </c>
      <c r="T11163" t="s">
        <v>48487</v>
      </c>
      <c r="U11163" t="s">
        <v>57743</v>
      </c>
      <c r="W11163" t="s">
        <v>45881</v>
      </c>
      <c r="X11163" t="s">
        <v>46581</v>
      </c>
    </row>
    <row r="11164" spans="1:24">
      <c r="A11164">
        <f>HYPERLINK("https://www.philgeps.gov.ph/GEPSNONPILOT/Tender/SplashBidNoticeAbstractUI.aspx?menuIndex=3&amp;refID=7041026&amp;Result=3","7041026")</f>
        <v>0</v>
      </c>
      <c r="B11164" t="s">
        <v>2994</v>
      </c>
      <c r="C11164" t="s">
        <v>14108</v>
      </c>
      <c r="D11164" t="s">
        <v>18787</v>
      </c>
      <c r="E11164" t="s">
        <v>28506</v>
      </c>
      <c r="F11164" t="s">
        <v>32664</v>
      </c>
      <c r="G11164" t="s">
        <v>32672</v>
      </c>
      <c r="H11164" t="s">
        <v>32683</v>
      </c>
      <c r="I11164" t="s">
        <v>10627</v>
      </c>
      <c r="J11164" t="s">
        <v>32943</v>
      </c>
      <c r="K11164" t="s">
        <v>42283</v>
      </c>
      <c r="M11164" t="s">
        <v>45853</v>
      </c>
      <c r="N11164" t="s">
        <v>46569</v>
      </c>
      <c r="O11164" t="s">
        <v>46570</v>
      </c>
      <c r="P11164">
        <v>0</v>
      </c>
      <c r="Q11164">
        <v>0</v>
      </c>
      <c r="R11164" t="s">
        <v>46579</v>
      </c>
      <c r="S11164" t="s">
        <v>46919</v>
      </c>
      <c r="T11164" t="s">
        <v>48389</v>
      </c>
      <c r="U11164" t="s">
        <v>57744</v>
      </c>
      <c r="W11164" t="s">
        <v>45853</v>
      </c>
      <c r="X11164" t="s">
        <v>46585</v>
      </c>
    </row>
    <row r="11165" spans="1:24">
      <c r="A11165">
        <f>HYPERLINK("https://www.philgeps.gov.ph/GEPSNONPILOT/Tender/SplashBidNoticeAbstractUI.aspx?menuIndex=3&amp;refID=7043976&amp;Result=3","7043976")</f>
        <v>0</v>
      </c>
      <c r="B11165" t="s">
        <v>1024</v>
      </c>
      <c r="C11165" t="s">
        <v>14109</v>
      </c>
      <c r="D11165" t="s">
        <v>18801</v>
      </c>
      <c r="E11165" t="s">
        <v>28507</v>
      </c>
      <c r="F11165" t="s">
        <v>32664</v>
      </c>
      <c r="G11165" t="s">
        <v>32672</v>
      </c>
      <c r="H11165" t="s">
        <v>12635</v>
      </c>
      <c r="I11165" t="s">
        <v>32700</v>
      </c>
      <c r="J11165" t="s">
        <v>34041</v>
      </c>
      <c r="K11165" t="s">
        <v>42289</v>
      </c>
      <c r="M11165" t="s">
        <v>43636</v>
      </c>
      <c r="N11165" t="s">
        <v>46569</v>
      </c>
      <c r="O11165" t="s">
        <v>46570</v>
      </c>
      <c r="P11165">
        <v>0</v>
      </c>
      <c r="Q11165">
        <v>8</v>
      </c>
      <c r="R11165" t="s">
        <v>46579</v>
      </c>
      <c r="S11165" t="s">
        <v>46919</v>
      </c>
      <c r="T11165" t="s">
        <v>48630</v>
      </c>
      <c r="U11165" t="s">
        <v>57745</v>
      </c>
      <c r="W11165" t="s">
        <v>43636</v>
      </c>
      <c r="X11165" t="s">
        <v>46582</v>
      </c>
    </row>
    <row r="11166" spans="1:24">
      <c r="A11166">
        <f>HYPERLINK("https://www.philgeps.gov.ph/GEPSNONPILOT/Tender/SplashBidNoticeAbstractUI.aspx?menuIndex=3&amp;refID=7047244&amp;Result=3","7047244")</f>
        <v>0</v>
      </c>
      <c r="B11166" t="s">
        <v>530</v>
      </c>
      <c r="C11166" t="s">
        <v>14110</v>
      </c>
      <c r="D11166" t="s">
        <v>18802</v>
      </c>
      <c r="E11166" t="s">
        <v>28508</v>
      </c>
      <c r="F11166" t="s">
        <v>32664</v>
      </c>
      <c r="G11166" t="s">
        <v>32672</v>
      </c>
      <c r="H11166" t="s">
        <v>12635</v>
      </c>
      <c r="I11166" t="s">
        <v>14442</v>
      </c>
      <c r="J11166" t="s">
        <v>39428</v>
      </c>
      <c r="K11166" t="s">
        <v>42303</v>
      </c>
      <c r="M11166" t="s">
        <v>43108</v>
      </c>
      <c r="N11166" t="s">
        <v>46569</v>
      </c>
      <c r="O11166" t="s">
        <v>46570</v>
      </c>
      <c r="P11166">
        <v>0</v>
      </c>
      <c r="Q11166">
        <v>0</v>
      </c>
      <c r="R11166" t="s">
        <v>46579</v>
      </c>
      <c r="S11166" t="s">
        <v>46919</v>
      </c>
      <c r="T11166" t="s">
        <v>48223</v>
      </c>
      <c r="U11166" t="s">
        <v>57746</v>
      </c>
      <c r="W11166" t="s">
        <v>43108</v>
      </c>
      <c r="X11166" t="s">
        <v>46580</v>
      </c>
    </row>
    <row r="11167" spans="1:24">
      <c r="A11167">
        <f>HYPERLINK("https://www.philgeps.gov.ph/GEPSNONPILOT/Tender/SplashBidNoticeAbstractUI.aspx?menuIndex=3&amp;refID=7041076&amp;Result=3","7041076")</f>
        <v>0</v>
      </c>
      <c r="B11167" t="s">
        <v>1699</v>
      </c>
      <c r="C11167" t="s">
        <v>14111</v>
      </c>
      <c r="D11167" t="s">
        <v>18791</v>
      </c>
      <c r="E11167" t="s">
        <v>28509</v>
      </c>
      <c r="F11167" t="s">
        <v>32664</v>
      </c>
      <c r="G11167" t="s">
        <v>32673</v>
      </c>
      <c r="H11167" t="s">
        <v>32681</v>
      </c>
      <c r="I11167" t="s">
        <v>32681</v>
      </c>
      <c r="J11167" t="s">
        <v>39429</v>
      </c>
      <c r="K11167" t="s">
        <v>42283</v>
      </c>
      <c r="L11167" t="s">
        <v>1699</v>
      </c>
      <c r="M11167" t="s">
        <v>44393</v>
      </c>
      <c r="N11167" t="s">
        <v>46569</v>
      </c>
      <c r="O11167" t="s">
        <v>46570</v>
      </c>
      <c r="P11167">
        <v>0</v>
      </c>
      <c r="Q11167">
        <v>5</v>
      </c>
      <c r="R11167" t="s">
        <v>46579</v>
      </c>
      <c r="S11167" t="s">
        <v>46919</v>
      </c>
      <c r="T11167" t="s">
        <v>48361</v>
      </c>
      <c r="U11167" t="s">
        <v>57747</v>
      </c>
      <c r="W11167" t="s">
        <v>44393</v>
      </c>
      <c r="X11167" t="s">
        <v>46585</v>
      </c>
    </row>
    <row r="11168" spans="1:24">
      <c r="A11168">
        <f>HYPERLINK("https://www.philgeps.gov.ph/GEPSNONPILOT/Tender/SplashBidNoticeAbstractUI.aspx?menuIndex=3&amp;refID=7043944&amp;Result=3","7043944")</f>
        <v>0</v>
      </c>
      <c r="B11168" t="s">
        <v>3003</v>
      </c>
      <c r="C11168" t="s">
        <v>14112</v>
      </c>
      <c r="D11168" t="s">
        <v>18820</v>
      </c>
      <c r="E11168" t="s">
        <v>28510</v>
      </c>
      <c r="F11168" t="s">
        <v>32664</v>
      </c>
      <c r="G11168" t="s">
        <v>32672</v>
      </c>
      <c r="H11168" t="s">
        <v>12635</v>
      </c>
      <c r="I11168" t="s">
        <v>5589</v>
      </c>
      <c r="J11168" t="s">
        <v>33330</v>
      </c>
      <c r="K11168" t="s">
        <v>42303</v>
      </c>
      <c r="M11168" t="s">
        <v>45864</v>
      </c>
      <c r="N11168" t="s">
        <v>46569</v>
      </c>
      <c r="O11168" t="s">
        <v>46570</v>
      </c>
      <c r="P11168">
        <v>0</v>
      </c>
      <c r="Q11168">
        <v>1</v>
      </c>
      <c r="R11168" t="s">
        <v>46579</v>
      </c>
      <c r="S11168" t="s">
        <v>46919</v>
      </c>
      <c r="T11168" t="s">
        <v>48303</v>
      </c>
      <c r="U11168" t="s">
        <v>57681</v>
      </c>
      <c r="W11168" t="s">
        <v>45864</v>
      </c>
      <c r="X11168" t="s">
        <v>46582</v>
      </c>
    </row>
    <row r="11169" spans="1:24">
      <c r="A11169">
        <f>HYPERLINK("https://www.philgeps.gov.ph/GEPSNONPILOT/Tender/SplashBidNoticeAbstractUI.aspx?menuIndex=3&amp;refID=7047276&amp;Result=3","7047276")</f>
        <v>0</v>
      </c>
      <c r="B11169" t="s">
        <v>1781</v>
      </c>
      <c r="C11169" t="s">
        <v>14113</v>
      </c>
      <c r="D11169" t="s">
        <v>18807</v>
      </c>
      <c r="E11169" t="s">
        <v>28511</v>
      </c>
      <c r="F11169" t="s">
        <v>32664</v>
      </c>
      <c r="G11169" t="s">
        <v>32672</v>
      </c>
      <c r="H11169" t="s">
        <v>32682</v>
      </c>
      <c r="I11169" t="s">
        <v>11464</v>
      </c>
      <c r="J11169" t="s">
        <v>39430</v>
      </c>
      <c r="K11169" t="s">
        <v>42311</v>
      </c>
      <c r="M11169" t="s">
        <v>44483</v>
      </c>
      <c r="N11169" t="s">
        <v>46569</v>
      </c>
      <c r="O11169" t="s">
        <v>46570</v>
      </c>
      <c r="P11169">
        <v>0</v>
      </c>
      <c r="Q11169">
        <v>3</v>
      </c>
      <c r="R11169" t="s">
        <v>46579</v>
      </c>
      <c r="S11169" t="s">
        <v>46919</v>
      </c>
      <c r="T11169" t="s">
        <v>48675</v>
      </c>
      <c r="U11169" t="s">
        <v>57748</v>
      </c>
      <c r="V11169" t="s">
        <v>62829</v>
      </c>
      <c r="W11169" t="s">
        <v>44483</v>
      </c>
      <c r="X11169" t="s">
        <v>46580</v>
      </c>
    </row>
    <row r="11170" spans="1:24">
      <c r="A11170">
        <f>HYPERLINK("https://www.philgeps.gov.ph/GEPSNONPILOT/Tender/SplashBidNoticeAbstractUI.aspx?menuIndex=3&amp;refID=7047272&amp;Result=3","7047272")</f>
        <v>0</v>
      </c>
      <c r="B11170" t="s">
        <v>729</v>
      </c>
      <c r="C11170" t="s">
        <v>14114</v>
      </c>
      <c r="D11170" t="s">
        <v>18818</v>
      </c>
      <c r="E11170" t="s">
        <v>28512</v>
      </c>
      <c r="F11170" t="s">
        <v>32664</v>
      </c>
      <c r="G11170" t="s">
        <v>32672</v>
      </c>
      <c r="H11170" t="s">
        <v>12635</v>
      </c>
      <c r="I11170" t="s">
        <v>32694</v>
      </c>
      <c r="J11170" t="s">
        <v>39431</v>
      </c>
      <c r="K11170" t="s">
        <v>42289</v>
      </c>
      <c r="M11170" t="s">
        <v>43318</v>
      </c>
      <c r="N11170" t="s">
        <v>46569</v>
      </c>
      <c r="O11170" t="s">
        <v>46570</v>
      </c>
      <c r="P11170">
        <v>0</v>
      </c>
      <c r="Q11170">
        <v>0</v>
      </c>
      <c r="R11170" t="s">
        <v>46579</v>
      </c>
      <c r="S11170" t="s">
        <v>46919</v>
      </c>
      <c r="T11170" t="s">
        <v>48228</v>
      </c>
      <c r="U11170" t="s">
        <v>57749</v>
      </c>
      <c r="W11170" t="s">
        <v>43318</v>
      </c>
      <c r="X11170" t="s">
        <v>46580</v>
      </c>
    </row>
    <row r="11171" spans="1:24">
      <c r="A11171">
        <f>HYPERLINK("https://www.philgeps.gov.ph/GEPSNONPILOT/Tender/SplashBidNoticeAbstractUI.aspx?menuIndex=3&amp;refID=7047280&amp;Result=3","7047280")</f>
        <v>0</v>
      </c>
      <c r="B11171" t="s">
        <v>3012</v>
      </c>
      <c r="C11171" t="s">
        <v>14115</v>
      </c>
      <c r="D11171" t="s">
        <v>18803</v>
      </c>
      <c r="E11171" t="s">
        <v>28513</v>
      </c>
      <c r="F11171" t="s">
        <v>32664</v>
      </c>
      <c r="G11171" t="s">
        <v>32672</v>
      </c>
      <c r="H11171" t="s">
        <v>32683</v>
      </c>
      <c r="I11171" t="s">
        <v>10627</v>
      </c>
      <c r="J11171" t="s">
        <v>39432</v>
      </c>
      <c r="K11171" t="s">
        <v>42283</v>
      </c>
      <c r="M11171" t="s">
        <v>45882</v>
      </c>
      <c r="N11171" t="s">
        <v>46569</v>
      </c>
      <c r="O11171" t="s">
        <v>46570</v>
      </c>
      <c r="P11171">
        <v>0</v>
      </c>
      <c r="Q11171">
        <v>28</v>
      </c>
      <c r="R11171" t="s">
        <v>46579</v>
      </c>
      <c r="S11171" t="s">
        <v>46919</v>
      </c>
      <c r="T11171" t="s">
        <v>48212</v>
      </c>
      <c r="U11171" t="s">
        <v>57750</v>
      </c>
      <c r="W11171" t="s">
        <v>45882</v>
      </c>
      <c r="X11171" t="s">
        <v>46580</v>
      </c>
    </row>
    <row r="11172" spans="1:24">
      <c r="A11172">
        <f>HYPERLINK("https://www.philgeps.gov.ph/GEPSNONPILOT/Tender/SplashBidNoticeAbstractUI.aspx?menuIndex=3&amp;refID=7047278&amp;Result=3","7047278")</f>
        <v>0</v>
      </c>
      <c r="B11172" t="s">
        <v>1317</v>
      </c>
      <c r="C11172" t="s">
        <v>14116</v>
      </c>
      <c r="D11172" t="s">
        <v>18782</v>
      </c>
      <c r="E11172" t="s">
        <v>20303</v>
      </c>
      <c r="F11172" t="s">
        <v>32664</v>
      </c>
      <c r="G11172" t="s">
        <v>32672</v>
      </c>
      <c r="H11172" t="s">
        <v>32683</v>
      </c>
      <c r="I11172" t="s">
        <v>10627</v>
      </c>
      <c r="J11172" t="s">
        <v>32898</v>
      </c>
      <c r="K11172" t="s">
        <v>42305</v>
      </c>
      <c r="M11172" t="s">
        <v>43966</v>
      </c>
      <c r="N11172" t="s">
        <v>46569</v>
      </c>
      <c r="O11172" t="s">
        <v>46570</v>
      </c>
      <c r="P11172">
        <v>0</v>
      </c>
      <c r="Q11172">
        <v>0</v>
      </c>
      <c r="R11172" t="s">
        <v>46579</v>
      </c>
      <c r="S11172" t="s">
        <v>46919</v>
      </c>
      <c r="T11172" t="s">
        <v>48368</v>
      </c>
      <c r="U11172" t="s">
        <v>51590</v>
      </c>
      <c r="W11172" t="s">
        <v>43966</v>
      </c>
      <c r="X11172" t="s">
        <v>46580</v>
      </c>
    </row>
    <row r="11173" spans="1:24">
      <c r="A11173">
        <f>HYPERLINK("https://www.philgeps.gov.ph/GEPSNONPILOT/Tender/SplashBidNoticeAbstractUI.aspx?menuIndex=3&amp;refID=7047254&amp;Result=3","7047254")</f>
        <v>0</v>
      </c>
      <c r="B11173" t="s">
        <v>530</v>
      </c>
      <c r="C11173" t="s">
        <v>14117</v>
      </c>
      <c r="D11173" t="s">
        <v>18802</v>
      </c>
      <c r="E11173" t="s">
        <v>28514</v>
      </c>
      <c r="F11173" t="s">
        <v>32664</v>
      </c>
      <c r="G11173" t="s">
        <v>32672</v>
      </c>
      <c r="H11173" t="s">
        <v>12635</v>
      </c>
      <c r="I11173" t="s">
        <v>32694</v>
      </c>
      <c r="J11173" t="s">
        <v>39433</v>
      </c>
      <c r="K11173" t="s">
        <v>42303</v>
      </c>
      <c r="M11173" t="s">
        <v>43108</v>
      </c>
      <c r="N11173" t="s">
        <v>46569</v>
      </c>
      <c r="O11173" t="s">
        <v>46570</v>
      </c>
      <c r="P11173">
        <v>0</v>
      </c>
      <c r="Q11173">
        <v>0</v>
      </c>
      <c r="R11173" t="s">
        <v>46579</v>
      </c>
      <c r="S11173" t="s">
        <v>46919</v>
      </c>
      <c r="T11173" t="s">
        <v>48223</v>
      </c>
      <c r="U11173" t="s">
        <v>57746</v>
      </c>
      <c r="W11173" t="s">
        <v>43108</v>
      </c>
      <c r="X11173" t="s">
        <v>46580</v>
      </c>
    </row>
    <row r="11174" spans="1:24">
      <c r="A11174">
        <f>HYPERLINK("https://www.philgeps.gov.ph/GEPSNONPILOT/Tender/SplashBidNoticeAbstractUI.aspx?menuIndex=3&amp;refID=7047281&amp;Result=3","7047281")</f>
        <v>0</v>
      </c>
      <c r="B11174" t="s">
        <v>1148</v>
      </c>
      <c r="C11174" t="s">
        <v>10427</v>
      </c>
      <c r="D11174" t="s">
        <v>18827</v>
      </c>
      <c r="E11174" t="s">
        <v>28515</v>
      </c>
      <c r="F11174" t="s">
        <v>32664</v>
      </c>
      <c r="G11174" t="s">
        <v>32672</v>
      </c>
      <c r="H11174" t="s">
        <v>12635</v>
      </c>
      <c r="I11174" t="s">
        <v>9486</v>
      </c>
      <c r="J11174" t="s">
        <v>32865</v>
      </c>
      <c r="K11174" t="s">
        <v>42309</v>
      </c>
      <c r="M11174" t="s">
        <v>43779</v>
      </c>
      <c r="N11174" t="s">
        <v>46569</v>
      </c>
      <c r="O11174" t="s">
        <v>46570</v>
      </c>
      <c r="P11174">
        <v>0</v>
      </c>
      <c r="Q11174">
        <v>6</v>
      </c>
      <c r="R11174" t="s">
        <v>46579</v>
      </c>
      <c r="S11174" t="s">
        <v>46919</v>
      </c>
      <c r="T11174" t="s">
        <v>48307</v>
      </c>
      <c r="U11174" t="s">
        <v>55899</v>
      </c>
      <c r="W11174" t="s">
        <v>43779</v>
      </c>
      <c r="X11174" t="s">
        <v>46580</v>
      </c>
    </row>
    <row r="11175" spans="1:24">
      <c r="A11175">
        <f>HYPERLINK("https://www.philgeps.gov.ph/GEPSNONPILOT/Tender/SplashBidNoticeAbstractUI.aspx?menuIndex=3&amp;refID=7047229&amp;Result=3","7047229")</f>
        <v>0</v>
      </c>
      <c r="B11175" t="s">
        <v>2776</v>
      </c>
      <c r="C11175" t="s">
        <v>14118</v>
      </c>
      <c r="D11175" t="s">
        <v>18842</v>
      </c>
      <c r="E11175" t="s">
        <v>28516</v>
      </c>
      <c r="F11175" t="s">
        <v>32664</v>
      </c>
      <c r="G11175" t="s">
        <v>32672</v>
      </c>
      <c r="H11175" t="s">
        <v>32683</v>
      </c>
      <c r="I11175" t="s">
        <v>10627</v>
      </c>
      <c r="J11175" t="s">
        <v>32974</v>
      </c>
      <c r="K11175" t="s">
        <v>42305</v>
      </c>
      <c r="M11175" t="s">
        <v>45883</v>
      </c>
      <c r="N11175" t="s">
        <v>46569</v>
      </c>
      <c r="O11175" t="s">
        <v>46570</v>
      </c>
      <c r="P11175">
        <v>0</v>
      </c>
      <c r="Q11175">
        <v>0</v>
      </c>
      <c r="R11175" t="s">
        <v>46579</v>
      </c>
      <c r="S11175" t="s">
        <v>46919</v>
      </c>
      <c r="T11175" t="s">
        <v>48284</v>
      </c>
      <c r="U11175" t="s">
        <v>57751</v>
      </c>
      <c r="W11175" t="s">
        <v>45883</v>
      </c>
      <c r="X11175" t="s">
        <v>46580</v>
      </c>
    </row>
    <row r="11176" spans="1:24">
      <c r="A11176">
        <f>HYPERLINK("https://www.philgeps.gov.ph/GEPSNONPILOT/Tender/SplashBidNoticeAbstractUI.aspx?menuIndex=3&amp;refID=7047275&amp;Result=3","7047275")</f>
        <v>0</v>
      </c>
      <c r="B11176" t="s">
        <v>1042</v>
      </c>
      <c r="C11176" t="s">
        <v>14119</v>
      </c>
      <c r="D11176" t="s">
        <v>18853</v>
      </c>
      <c r="E11176" t="s">
        <v>28517</v>
      </c>
      <c r="F11176" t="s">
        <v>32664</v>
      </c>
      <c r="G11176" t="s">
        <v>32674</v>
      </c>
      <c r="H11176" t="s">
        <v>12635</v>
      </c>
      <c r="I11176" t="s">
        <v>6168</v>
      </c>
      <c r="J11176" t="s">
        <v>39434</v>
      </c>
      <c r="K11176" t="s">
        <v>42289</v>
      </c>
      <c r="M11176" t="s">
        <v>43656</v>
      </c>
      <c r="N11176" t="s">
        <v>46569</v>
      </c>
      <c r="O11176" t="s">
        <v>46570</v>
      </c>
      <c r="P11176">
        <v>0</v>
      </c>
      <c r="Q11176">
        <v>2</v>
      </c>
      <c r="R11176" t="s">
        <v>46579</v>
      </c>
      <c r="S11176" t="s">
        <v>46919</v>
      </c>
      <c r="T11176" t="s">
        <v>48608</v>
      </c>
      <c r="U11176" t="s">
        <v>57752</v>
      </c>
      <c r="W11176" t="s">
        <v>44771</v>
      </c>
      <c r="X11176" t="s">
        <v>46580</v>
      </c>
    </row>
    <row r="11177" spans="1:24">
      <c r="A11177">
        <f>HYPERLINK("https://www.philgeps.gov.ph/GEPSNONPILOT/Tender/SplashBidNoticeAbstractUI.aspx?menuIndex=3&amp;refID=7047221&amp;Result=3","7047221")</f>
        <v>0</v>
      </c>
      <c r="B11177" t="s">
        <v>2776</v>
      </c>
      <c r="C11177" t="s">
        <v>14120</v>
      </c>
      <c r="D11177" t="s">
        <v>18842</v>
      </c>
      <c r="E11177" t="s">
        <v>28518</v>
      </c>
      <c r="F11177" t="s">
        <v>32664</v>
      </c>
      <c r="G11177" t="s">
        <v>32672</v>
      </c>
      <c r="H11177" t="s">
        <v>32683</v>
      </c>
      <c r="I11177" t="s">
        <v>10627</v>
      </c>
      <c r="J11177" t="s">
        <v>33196</v>
      </c>
      <c r="K11177" t="s">
        <v>42296</v>
      </c>
      <c r="M11177" t="s">
        <v>45883</v>
      </c>
      <c r="N11177" t="s">
        <v>46569</v>
      </c>
      <c r="O11177" t="s">
        <v>46570</v>
      </c>
      <c r="P11177">
        <v>0</v>
      </c>
      <c r="Q11177">
        <v>0</v>
      </c>
      <c r="R11177" t="s">
        <v>46579</v>
      </c>
      <c r="S11177" t="s">
        <v>46919</v>
      </c>
      <c r="T11177" t="s">
        <v>48284</v>
      </c>
      <c r="U11177" t="s">
        <v>57751</v>
      </c>
      <c r="W11177" t="s">
        <v>45883</v>
      </c>
      <c r="X11177" t="s">
        <v>46580</v>
      </c>
    </row>
    <row r="11178" spans="1:24">
      <c r="A11178">
        <f>HYPERLINK("https://www.philgeps.gov.ph/GEPSNONPILOT/Tender/SplashBidNoticeAbstractUI.aspx?menuIndex=3&amp;refID=7047266&amp;Result=3","7047266")</f>
        <v>0</v>
      </c>
      <c r="B11178" t="s">
        <v>530</v>
      </c>
      <c r="C11178" t="s">
        <v>14121</v>
      </c>
      <c r="D11178" t="s">
        <v>18802</v>
      </c>
      <c r="E11178" t="s">
        <v>28519</v>
      </c>
      <c r="F11178" t="s">
        <v>32664</v>
      </c>
      <c r="G11178" t="s">
        <v>32672</v>
      </c>
      <c r="H11178" t="s">
        <v>12635</v>
      </c>
      <c r="I11178" t="s">
        <v>32698</v>
      </c>
      <c r="J11178" t="s">
        <v>39435</v>
      </c>
      <c r="K11178" t="s">
        <v>42303</v>
      </c>
      <c r="M11178" t="s">
        <v>43108</v>
      </c>
      <c r="N11178" t="s">
        <v>46569</v>
      </c>
      <c r="O11178" t="s">
        <v>46570</v>
      </c>
      <c r="P11178">
        <v>0</v>
      </c>
      <c r="Q11178">
        <v>0</v>
      </c>
      <c r="R11178" t="s">
        <v>46579</v>
      </c>
      <c r="S11178" t="s">
        <v>46919</v>
      </c>
      <c r="T11178" t="s">
        <v>48321</v>
      </c>
      <c r="U11178" t="s">
        <v>57753</v>
      </c>
      <c r="W11178" t="s">
        <v>43108</v>
      </c>
      <c r="X11178" t="s">
        <v>46580</v>
      </c>
    </row>
    <row r="11179" spans="1:24">
      <c r="A11179">
        <f>HYPERLINK("https://www.philgeps.gov.ph/GEPSNONPILOT/Tender/SplashBidNoticeAbstractUI.aspx?menuIndex=3&amp;refID=7047376&amp;Result=3","7047376")</f>
        <v>0</v>
      </c>
      <c r="B11179" t="s">
        <v>56</v>
      </c>
      <c r="C11179" t="s">
        <v>14122</v>
      </c>
      <c r="D11179" t="s">
        <v>18805</v>
      </c>
      <c r="E11179" t="s">
        <v>28520</v>
      </c>
      <c r="F11179" t="s">
        <v>32664</v>
      </c>
      <c r="G11179" t="s">
        <v>32672</v>
      </c>
      <c r="H11179" t="s">
        <v>32683</v>
      </c>
      <c r="I11179" t="s">
        <v>10627</v>
      </c>
      <c r="J11179" t="s">
        <v>39436</v>
      </c>
      <c r="K11179" t="s">
        <v>42516</v>
      </c>
      <c r="M11179" t="s">
        <v>42618</v>
      </c>
      <c r="N11179" t="s">
        <v>46569</v>
      </c>
      <c r="O11179" t="s">
        <v>46570</v>
      </c>
      <c r="P11179">
        <v>0</v>
      </c>
      <c r="Q11179">
        <v>4</v>
      </c>
      <c r="R11179" t="s">
        <v>46579</v>
      </c>
      <c r="S11179" t="s">
        <v>46919</v>
      </c>
      <c r="T11179" t="s">
        <v>48212</v>
      </c>
      <c r="U11179" t="s">
        <v>57754</v>
      </c>
      <c r="W11179" t="s">
        <v>42618</v>
      </c>
      <c r="X11179" t="s">
        <v>46580</v>
      </c>
    </row>
    <row r="11180" spans="1:24">
      <c r="A11180">
        <f>HYPERLINK("https://www.philgeps.gov.ph/GEPSNONPILOT/Tender/SplashBidNoticeAbstractUI.aspx?menuIndex=3&amp;refID=7047355&amp;Result=3","7047355")</f>
        <v>0</v>
      </c>
      <c r="B11180" t="s">
        <v>2710</v>
      </c>
      <c r="C11180" t="s">
        <v>14123</v>
      </c>
      <c r="E11180" t="s">
        <v>28521</v>
      </c>
      <c r="F11180" t="s">
        <v>32664</v>
      </c>
      <c r="G11180" t="s">
        <v>32671</v>
      </c>
      <c r="H11180" t="s">
        <v>12635</v>
      </c>
      <c r="I11180" t="s">
        <v>11464</v>
      </c>
      <c r="J11180" t="s">
        <v>32859</v>
      </c>
      <c r="K11180" t="s">
        <v>42283</v>
      </c>
      <c r="M11180" t="s">
        <v>45536</v>
      </c>
      <c r="N11180" t="s">
        <v>46569</v>
      </c>
      <c r="O11180" t="s">
        <v>46570</v>
      </c>
      <c r="P11180">
        <v>0</v>
      </c>
      <c r="Q11180">
        <v>3</v>
      </c>
      <c r="R11180" t="s">
        <v>46579</v>
      </c>
      <c r="S11180" t="s">
        <v>46919</v>
      </c>
      <c r="T11180" t="s">
        <v>48254</v>
      </c>
      <c r="U11180" t="s">
        <v>57755</v>
      </c>
      <c r="W11180" t="s">
        <v>45536</v>
      </c>
      <c r="X11180" t="s">
        <v>46580</v>
      </c>
    </row>
    <row r="11181" spans="1:24">
      <c r="A11181">
        <f>HYPERLINK("https://www.philgeps.gov.ph/GEPSNONPILOT/Tender/SplashBidNoticeAbstractUI.aspx?menuIndex=3&amp;refID=7047301&amp;Result=3","7047301")</f>
        <v>0</v>
      </c>
      <c r="B11181" t="s">
        <v>153</v>
      </c>
      <c r="C11181" t="s">
        <v>14124</v>
      </c>
      <c r="D11181" t="s">
        <v>18809</v>
      </c>
      <c r="E11181" t="s">
        <v>28522</v>
      </c>
      <c r="F11181" t="s">
        <v>32664</v>
      </c>
      <c r="G11181" t="s">
        <v>32672</v>
      </c>
      <c r="H11181" t="s">
        <v>32683</v>
      </c>
      <c r="I11181" t="s">
        <v>10627</v>
      </c>
      <c r="J11181" t="s">
        <v>39437</v>
      </c>
      <c r="K11181" t="s">
        <v>42511</v>
      </c>
      <c r="M11181" t="s">
        <v>42717</v>
      </c>
      <c r="N11181" t="s">
        <v>46569</v>
      </c>
      <c r="O11181" t="s">
        <v>46570</v>
      </c>
      <c r="P11181">
        <v>0</v>
      </c>
      <c r="Q11181">
        <v>2</v>
      </c>
      <c r="R11181" t="s">
        <v>46579</v>
      </c>
      <c r="S11181" t="s">
        <v>46919</v>
      </c>
      <c r="T11181" t="s">
        <v>48294</v>
      </c>
      <c r="U11181" t="s">
        <v>49079</v>
      </c>
      <c r="W11181" t="s">
        <v>42717</v>
      </c>
      <c r="X11181" t="s">
        <v>46580</v>
      </c>
    </row>
    <row r="11182" spans="1:24">
      <c r="A11182">
        <f>HYPERLINK("https://www.philgeps.gov.ph/GEPSNONPILOT/Tender/SplashBidNoticeAbstractUI.aspx?menuIndex=3&amp;refID=7047353&amp;Result=3","7047353")</f>
        <v>0</v>
      </c>
      <c r="B11182" t="s">
        <v>874</v>
      </c>
      <c r="C11182" t="s">
        <v>14125</v>
      </c>
      <c r="D11182" t="s">
        <v>18821</v>
      </c>
      <c r="E11182" t="s">
        <v>19923</v>
      </c>
      <c r="F11182" t="s">
        <v>32667</v>
      </c>
      <c r="G11182" t="s">
        <v>32672</v>
      </c>
      <c r="H11182" t="s">
        <v>12635</v>
      </c>
      <c r="I11182" t="s">
        <v>14442</v>
      </c>
      <c r="J11182" t="s">
        <v>33021</v>
      </c>
      <c r="K11182" t="s">
        <v>42289</v>
      </c>
      <c r="M11182" t="s">
        <v>43474</v>
      </c>
      <c r="N11182" t="s">
        <v>46569</v>
      </c>
      <c r="O11182" t="s">
        <v>46570</v>
      </c>
      <c r="P11182">
        <v>0</v>
      </c>
      <c r="Q11182">
        <v>2</v>
      </c>
      <c r="R11182" t="s">
        <v>46579</v>
      </c>
      <c r="S11182" t="s">
        <v>46919</v>
      </c>
      <c r="T11182" t="s">
        <v>48363</v>
      </c>
      <c r="U11182" t="s">
        <v>57756</v>
      </c>
      <c r="W11182" t="s">
        <v>43474</v>
      </c>
      <c r="X11182" t="s">
        <v>46580</v>
      </c>
    </row>
    <row r="11183" spans="1:24">
      <c r="A11183">
        <f>HYPERLINK("https://www.philgeps.gov.ph/GEPSNONPILOT/Tender/SplashBidNoticeAbstractUI.aspx?menuIndex=3&amp;refID=7047231&amp;Result=3","7047231")</f>
        <v>0</v>
      </c>
      <c r="B11183" t="s">
        <v>336</v>
      </c>
      <c r="C11183" t="s">
        <v>14126</v>
      </c>
      <c r="D11183" t="s">
        <v>18808</v>
      </c>
      <c r="E11183" t="s">
        <v>28523</v>
      </c>
      <c r="F11183" t="s">
        <v>32664</v>
      </c>
      <c r="G11183" t="s">
        <v>32672</v>
      </c>
      <c r="H11183" t="s">
        <v>32683</v>
      </c>
      <c r="I11183" t="s">
        <v>32733</v>
      </c>
      <c r="J11183" t="s">
        <v>39438</v>
      </c>
      <c r="K11183" t="s">
        <v>42283</v>
      </c>
      <c r="M11183" t="s">
        <v>42904</v>
      </c>
      <c r="N11183" t="s">
        <v>46569</v>
      </c>
      <c r="O11183" t="s">
        <v>46570</v>
      </c>
      <c r="P11183">
        <v>0</v>
      </c>
      <c r="Q11183">
        <v>0</v>
      </c>
      <c r="R11183" t="s">
        <v>46579</v>
      </c>
      <c r="S11183" t="s">
        <v>46919</v>
      </c>
      <c r="T11183" t="s">
        <v>48363</v>
      </c>
      <c r="U11183" t="s">
        <v>57757</v>
      </c>
      <c r="W11183" t="s">
        <v>42904</v>
      </c>
      <c r="X11183" t="s">
        <v>46580</v>
      </c>
    </row>
    <row r="11184" spans="1:24">
      <c r="A11184">
        <f>HYPERLINK("https://www.philgeps.gov.ph/GEPSNONPILOT/Tender/SplashBidNoticeAbstractUI.aspx?menuIndex=3&amp;refID=7047343&amp;Result=3","7047343")</f>
        <v>0</v>
      </c>
      <c r="B11184" t="s">
        <v>2994</v>
      </c>
      <c r="C11184" t="s">
        <v>14127</v>
      </c>
      <c r="D11184" t="s">
        <v>18787</v>
      </c>
      <c r="E11184" t="s">
        <v>28524</v>
      </c>
      <c r="F11184" t="s">
        <v>32664</v>
      </c>
      <c r="G11184" t="s">
        <v>32672</v>
      </c>
      <c r="H11184" t="s">
        <v>12635</v>
      </c>
      <c r="I11184" t="s">
        <v>9486</v>
      </c>
      <c r="J11184" t="s">
        <v>39439</v>
      </c>
      <c r="K11184" t="s">
        <v>42325</v>
      </c>
      <c r="M11184" t="s">
        <v>45884</v>
      </c>
      <c r="N11184" t="s">
        <v>46569</v>
      </c>
      <c r="O11184" t="s">
        <v>46570</v>
      </c>
      <c r="P11184">
        <v>0</v>
      </c>
      <c r="Q11184">
        <v>6</v>
      </c>
      <c r="R11184" t="s">
        <v>46579</v>
      </c>
      <c r="S11184" t="s">
        <v>46919</v>
      </c>
      <c r="T11184" t="s">
        <v>48389</v>
      </c>
      <c r="U11184" t="s">
        <v>57758</v>
      </c>
      <c r="W11184" t="s">
        <v>63581</v>
      </c>
      <c r="X11184" t="s">
        <v>46580</v>
      </c>
    </row>
    <row r="11185" spans="1:24">
      <c r="A11185">
        <f>HYPERLINK("https://www.philgeps.gov.ph/GEPSNONPILOT/Tender/SplashBidNoticeAbstractUI.aspx?menuIndex=3&amp;refID=7047338&amp;Result=3","7047338")</f>
        <v>0</v>
      </c>
      <c r="B11185" t="s">
        <v>3013</v>
      </c>
      <c r="C11185" t="s">
        <v>14128</v>
      </c>
      <c r="D11185" t="s">
        <v>18810</v>
      </c>
      <c r="E11185" t="s">
        <v>28525</v>
      </c>
      <c r="F11185" t="s">
        <v>32664</v>
      </c>
      <c r="G11185" t="s">
        <v>32672</v>
      </c>
      <c r="H11185" t="s">
        <v>12635</v>
      </c>
      <c r="I11185" t="s">
        <v>32700</v>
      </c>
      <c r="J11185" t="s">
        <v>39440</v>
      </c>
      <c r="K11185" t="s">
        <v>42298</v>
      </c>
      <c r="M11185" t="s">
        <v>45885</v>
      </c>
      <c r="N11185" t="s">
        <v>46569</v>
      </c>
      <c r="O11185" t="s">
        <v>46570</v>
      </c>
      <c r="P11185">
        <v>0</v>
      </c>
      <c r="Q11185">
        <v>3</v>
      </c>
      <c r="R11185" t="s">
        <v>46579</v>
      </c>
      <c r="S11185" t="s">
        <v>46919</v>
      </c>
      <c r="T11185" t="s">
        <v>48216</v>
      </c>
      <c r="U11185" t="s">
        <v>57759</v>
      </c>
      <c r="W11185" t="s">
        <v>45885</v>
      </c>
      <c r="X11185" t="s">
        <v>46580</v>
      </c>
    </row>
    <row r="11186" spans="1:24">
      <c r="A11186">
        <f>HYPERLINK("https://www.philgeps.gov.ph/GEPSNONPILOT/Tender/SplashBidNoticeAbstractUI.aspx?menuIndex=3&amp;refID=7047259&amp;Result=3","7047259")</f>
        <v>0</v>
      </c>
      <c r="B11186" t="s">
        <v>336</v>
      </c>
      <c r="C11186" t="s">
        <v>14129</v>
      </c>
      <c r="D11186" t="s">
        <v>18808</v>
      </c>
      <c r="E11186" t="s">
        <v>28526</v>
      </c>
      <c r="F11186" t="s">
        <v>32664</v>
      </c>
      <c r="G11186" t="s">
        <v>32672</v>
      </c>
      <c r="H11186" t="s">
        <v>12635</v>
      </c>
      <c r="I11186" t="s">
        <v>7324</v>
      </c>
      <c r="J11186" t="s">
        <v>39441</v>
      </c>
      <c r="K11186" t="s">
        <v>42283</v>
      </c>
      <c r="M11186" t="s">
        <v>42904</v>
      </c>
      <c r="N11186" t="s">
        <v>46569</v>
      </c>
      <c r="O11186" t="s">
        <v>46570</v>
      </c>
      <c r="P11186">
        <v>0</v>
      </c>
      <c r="Q11186">
        <v>3</v>
      </c>
      <c r="R11186" t="s">
        <v>46579</v>
      </c>
      <c r="S11186" t="s">
        <v>46919</v>
      </c>
      <c r="T11186" t="s">
        <v>48363</v>
      </c>
      <c r="U11186" t="s">
        <v>57760</v>
      </c>
      <c r="W11186" t="s">
        <v>42904</v>
      </c>
      <c r="X11186" t="s">
        <v>46580</v>
      </c>
    </row>
    <row r="11187" spans="1:24">
      <c r="A11187">
        <f>HYPERLINK("https://www.philgeps.gov.ph/GEPSNONPILOT/Tender/SplashBidNoticeAbstractUI.aspx?menuIndex=3&amp;refID=7047325&amp;Result=3","7047325")</f>
        <v>0</v>
      </c>
      <c r="B11187" t="s">
        <v>336</v>
      </c>
      <c r="C11187" t="s">
        <v>14130</v>
      </c>
      <c r="D11187" t="s">
        <v>18808</v>
      </c>
      <c r="E11187" t="s">
        <v>28527</v>
      </c>
      <c r="F11187" t="s">
        <v>32664</v>
      </c>
      <c r="G11187" t="s">
        <v>32672</v>
      </c>
      <c r="H11187" t="s">
        <v>12635</v>
      </c>
      <c r="I11187" t="s">
        <v>6628</v>
      </c>
      <c r="J11187" t="s">
        <v>32984</v>
      </c>
      <c r="K11187" t="s">
        <v>42283</v>
      </c>
      <c r="M11187" t="s">
        <v>42904</v>
      </c>
      <c r="N11187" t="s">
        <v>46569</v>
      </c>
      <c r="O11187" t="s">
        <v>46570</v>
      </c>
      <c r="P11187">
        <v>0</v>
      </c>
      <c r="Q11187">
        <v>0</v>
      </c>
      <c r="R11187" t="s">
        <v>46579</v>
      </c>
      <c r="S11187" t="s">
        <v>46919</v>
      </c>
      <c r="T11187" t="s">
        <v>48363</v>
      </c>
      <c r="U11187" t="s">
        <v>57761</v>
      </c>
      <c r="W11187" t="s">
        <v>42904</v>
      </c>
      <c r="X11187" t="s">
        <v>46580</v>
      </c>
    </row>
    <row r="11188" spans="1:24">
      <c r="A11188">
        <f>HYPERLINK("https://www.philgeps.gov.ph/GEPSNONPILOT/Tender/SplashBidNoticeAbstractUI.aspx?menuIndex=3&amp;refID=7047324&amp;Result=3","7047324")</f>
        <v>0</v>
      </c>
      <c r="B11188" t="s">
        <v>133</v>
      </c>
      <c r="C11188" t="s">
        <v>14131</v>
      </c>
      <c r="D11188" t="s">
        <v>18832</v>
      </c>
      <c r="E11188" t="s">
        <v>28528</v>
      </c>
      <c r="F11188" t="s">
        <v>32664</v>
      </c>
      <c r="G11188" t="s">
        <v>32672</v>
      </c>
      <c r="H11188" t="s">
        <v>32683</v>
      </c>
      <c r="I11188" t="s">
        <v>10627</v>
      </c>
      <c r="J11188" t="s">
        <v>39442</v>
      </c>
      <c r="K11188" t="s">
        <v>42303</v>
      </c>
      <c r="M11188" t="s">
        <v>42697</v>
      </c>
      <c r="N11188" t="s">
        <v>46569</v>
      </c>
      <c r="O11188" t="s">
        <v>46570</v>
      </c>
      <c r="P11188">
        <v>0</v>
      </c>
      <c r="Q11188">
        <v>0</v>
      </c>
      <c r="R11188" t="s">
        <v>46579</v>
      </c>
      <c r="S11188" t="s">
        <v>46919</v>
      </c>
      <c r="T11188" t="s">
        <v>48293</v>
      </c>
      <c r="U11188" t="s">
        <v>57762</v>
      </c>
      <c r="W11188" t="s">
        <v>42697</v>
      </c>
      <c r="X11188" t="s">
        <v>46580</v>
      </c>
    </row>
    <row r="11189" spans="1:24">
      <c r="A11189">
        <f>HYPERLINK("https://www.philgeps.gov.ph/GEPSNONPILOT/Tender/SplashBidNoticeAbstractUI.aspx?menuIndex=3&amp;refID=7047319&amp;Result=3","7047319")</f>
        <v>0</v>
      </c>
      <c r="B11189" t="s">
        <v>3014</v>
      </c>
      <c r="C11189" t="s">
        <v>14132</v>
      </c>
      <c r="D11189" t="s">
        <v>18852</v>
      </c>
      <c r="E11189" t="s">
        <v>28529</v>
      </c>
      <c r="F11189" t="s">
        <v>32664</v>
      </c>
      <c r="G11189" t="s">
        <v>32672</v>
      </c>
      <c r="H11189" t="s">
        <v>12635</v>
      </c>
      <c r="I11189" t="s">
        <v>4439</v>
      </c>
      <c r="J11189" t="s">
        <v>39443</v>
      </c>
      <c r="K11189" t="s">
        <v>42297</v>
      </c>
      <c r="M11189" t="s">
        <v>45886</v>
      </c>
      <c r="N11189" t="s">
        <v>46569</v>
      </c>
      <c r="O11189" t="s">
        <v>46570</v>
      </c>
      <c r="P11189">
        <v>0</v>
      </c>
      <c r="Q11189">
        <v>0</v>
      </c>
      <c r="R11189" t="s">
        <v>46579</v>
      </c>
      <c r="S11189" t="s">
        <v>46919</v>
      </c>
      <c r="T11189" t="s">
        <v>48446</v>
      </c>
      <c r="U11189" t="s">
        <v>57763</v>
      </c>
      <c r="V11189" t="s">
        <v>62830</v>
      </c>
      <c r="W11189" t="s">
        <v>45886</v>
      </c>
      <c r="X11189" t="s">
        <v>46580</v>
      </c>
    </row>
    <row r="11190" spans="1:24">
      <c r="A11190">
        <f>HYPERLINK("https://www.philgeps.gov.ph/GEPSNONPILOT/Tender/SplashBidNoticeAbstractUI.aspx?menuIndex=3&amp;refID=7047363&amp;Result=3","7047363")</f>
        <v>0</v>
      </c>
      <c r="B11190" t="s">
        <v>209</v>
      </c>
      <c r="C11190" t="s">
        <v>14133</v>
      </c>
      <c r="D11190" t="s">
        <v>18789</v>
      </c>
      <c r="E11190" t="s">
        <v>28530</v>
      </c>
      <c r="F11190" t="s">
        <v>32664</v>
      </c>
      <c r="G11190" t="s">
        <v>32671</v>
      </c>
      <c r="H11190" t="s">
        <v>32683</v>
      </c>
      <c r="I11190" t="s">
        <v>32721</v>
      </c>
      <c r="J11190" t="s">
        <v>39444</v>
      </c>
      <c r="K11190" t="s">
        <v>42330</v>
      </c>
      <c r="M11190" t="s">
        <v>42773</v>
      </c>
      <c r="N11190" t="s">
        <v>46569</v>
      </c>
      <c r="O11190" t="s">
        <v>46570</v>
      </c>
      <c r="Q11190">
        <v>0</v>
      </c>
      <c r="R11190" t="s">
        <v>46579</v>
      </c>
      <c r="S11190" t="s">
        <v>46930</v>
      </c>
      <c r="T11190" t="s">
        <v>48448</v>
      </c>
      <c r="U11190" t="s">
        <v>57764</v>
      </c>
      <c r="W11190" t="s">
        <v>42773</v>
      </c>
      <c r="X11190" t="s">
        <v>46580</v>
      </c>
    </row>
    <row r="11191" spans="1:24">
      <c r="A11191">
        <f>HYPERLINK("https://www.philgeps.gov.ph/GEPSNONPILOT/Tender/SplashBidNoticeAbstractUI.aspx?menuIndex=3&amp;refID=7047350&amp;Result=3","7047350")</f>
        <v>0</v>
      </c>
      <c r="B11191" t="s">
        <v>1307</v>
      </c>
      <c r="C11191" t="s">
        <v>14134</v>
      </c>
      <c r="D11191" t="s">
        <v>18792</v>
      </c>
      <c r="E11191" t="s">
        <v>26752</v>
      </c>
      <c r="F11191" t="s">
        <v>32664</v>
      </c>
      <c r="G11191" t="s">
        <v>32672</v>
      </c>
      <c r="H11191" t="s">
        <v>32683</v>
      </c>
      <c r="I11191" t="s">
        <v>10627</v>
      </c>
      <c r="J11191" t="s">
        <v>33150</v>
      </c>
      <c r="K11191" t="s">
        <v>42326</v>
      </c>
      <c r="M11191" t="s">
        <v>43952</v>
      </c>
      <c r="N11191" t="s">
        <v>46569</v>
      </c>
      <c r="O11191" t="s">
        <v>46570</v>
      </c>
      <c r="P11191">
        <v>0</v>
      </c>
      <c r="Q11191">
        <v>0</v>
      </c>
      <c r="R11191" t="s">
        <v>46579</v>
      </c>
      <c r="S11191" t="s">
        <v>46919</v>
      </c>
      <c r="T11191" t="s">
        <v>48468</v>
      </c>
      <c r="U11191" t="s">
        <v>57765</v>
      </c>
      <c r="W11191" t="s">
        <v>43952</v>
      </c>
      <c r="X11191" t="s">
        <v>46580</v>
      </c>
    </row>
    <row r="11192" spans="1:24">
      <c r="A11192">
        <f>HYPERLINK("https://www.philgeps.gov.ph/GEPSNONPILOT/Tender/SplashBidNoticeAbstractUI.aspx?menuIndex=3&amp;refID=7047252&amp;Result=3","7047252")</f>
        <v>0</v>
      </c>
      <c r="B11192" t="s">
        <v>1943</v>
      </c>
      <c r="C11192" t="s">
        <v>14135</v>
      </c>
      <c r="D11192" t="s">
        <v>18842</v>
      </c>
      <c r="E11192" t="s">
        <v>28531</v>
      </c>
      <c r="F11192" t="s">
        <v>32664</v>
      </c>
      <c r="G11192" t="s">
        <v>32672</v>
      </c>
      <c r="H11192" t="s">
        <v>12635</v>
      </c>
      <c r="I11192" t="s">
        <v>6628</v>
      </c>
      <c r="J11192" t="s">
        <v>32984</v>
      </c>
      <c r="K11192" t="s">
        <v>42289</v>
      </c>
      <c r="M11192" t="s">
        <v>44668</v>
      </c>
      <c r="N11192" t="s">
        <v>46569</v>
      </c>
      <c r="O11192" t="s">
        <v>46570</v>
      </c>
      <c r="P11192">
        <v>0</v>
      </c>
      <c r="Q11192">
        <v>0</v>
      </c>
      <c r="R11192" t="s">
        <v>46579</v>
      </c>
      <c r="S11192" t="s">
        <v>46919</v>
      </c>
      <c r="T11192" t="s">
        <v>48268</v>
      </c>
      <c r="U11192" t="s">
        <v>57766</v>
      </c>
      <c r="W11192" t="s">
        <v>44668</v>
      </c>
      <c r="X11192" t="s">
        <v>46580</v>
      </c>
    </row>
    <row r="11193" spans="1:24">
      <c r="A11193">
        <f>HYPERLINK("https://www.philgeps.gov.ph/GEPSNONPILOT/Tender/SplashBidNoticeAbstractUI.aspx?menuIndex=3&amp;refID=7047452&amp;Result=3","7047452")</f>
        <v>0</v>
      </c>
      <c r="B11193" t="s">
        <v>336</v>
      </c>
      <c r="C11193" t="s">
        <v>14136</v>
      </c>
      <c r="D11193" t="s">
        <v>18808</v>
      </c>
      <c r="E11193" t="s">
        <v>28532</v>
      </c>
      <c r="F11193" t="s">
        <v>32664</v>
      </c>
      <c r="G11193" t="s">
        <v>32674</v>
      </c>
      <c r="H11193" t="s">
        <v>12635</v>
      </c>
      <c r="I11193" t="s">
        <v>6628</v>
      </c>
      <c r="J11193" t="s">
        <v>33762</v>
      </c>
      <c r="K11193" t="s">
        <v>42283</v>
      </c>
      <c r="M11193" t="s">
        <v>42904</v>
      </c>
      <c r="N11193" t="s">
        <v>46569</v>
      </c>
      <c r="O11193" t="s">
        <v>46570</v>
      </c>
      <c r="P11193">
        <v>0</v>
      </c>
      <c r="Q11193">
        <v>2</v>
      </c>
      <c r="R11193" t="s">
        <v>46579</v>
      </c>
      <c r="S11193" t="s">
        <v>46919</v>
      </c>
      <c r="T11193" t="s">
        <v>48305</v>
      </c>
      <c r="U11193" t="s">
        <v>49394</v>
      </c>
      <c r="W11193" t="s">
        <v>42904</v>
      </c>
      <c r="X11193" t="s">
        <v>46580</v>
      </c>
    </row>
    <row r="11194" spans="1:24">
      <c r="A11194">
        <f>HYPERLINK("https://www.philgeps.gov.ph/GEPSNONPILOT/Tender/SplashBidNoticeAbstractUI.aspx?menuIndex=3&amp;refID=7047447&amp;Result=3","7047447")</f>
        <v>0</v>
      </c>
      <c r="B11194" t="s">
        <v>184</v>
      </c>
      <c r="C11194" t="s">
        <v>14137</v>
      </c>
      <c r="D11194" t="s">
        <v>18825</v>
      </c>
      <c r="E11194" t="s">
        <v>28533</v>
      </c>
      <c r="F11194" t="s">
        <v>32664</v>
      </c>
      <c r="G11194" t="s">
        <v>32672</v>
      </c>
      <c r="H11194" t="s">
        <v>32683</v>
      </c>
      <c r="I11194" t="s">
        <v>10627</v>
      </c>
      <c r="J11194" t="s">
        <v>39445</v>
      </c>
      <c r="K11194" t="s">
        <v>42285</v>
      </c>
      <c r="M11194" t="s">
        <v>42884</v>
      </c>
      <c r="N11194" t="s">
        <v>46569</v>
      </c>
      <c r="O11194" t="s">
        <v>46570</v>
      </c>
      <c r="P11194">
        <v>0</v>
      </c>
      <c r="Q11194">
        <v>0</v>
      </c>
      <c r="R11194" t="s">
        <v>46579</v>
      </c>
      <c r="S11194" t="s">
        <v>46919</v>
      </c>
      <c r="T11194" t="s">
        <v>48238</v>
      </c>
      <c r="U11194" t="s">
        <v>57767</v>
      </c>
      <c r="W11194" t="s">
        <v>42884</v>
      </c>
      <c r="X11194" t="s">
        <v>46580</v>
      </c>
    </row>
    <row r="11195" spans="1:24">
      <c r="A11195">
        <f>HYPERLINK("https://www.philgeps.gov.ph/GEPSNONPILOT/Tender/SplashBidNoticeAbstractUI.aspx?menuIndex=3&amp;refID=7046260&amp;Result=3","7046260")</f>
        <v>0</v>
      </c>
      <c r="B11195" t="s">
        <v>1015</v>
      </c>
      <c r="C11195" t="s">
        <v>14138</v>
      </c>
      <c r="D11195" t="s">
        <v>18804</v>
      </c>
      <c r="E11195" t="s">
        <v>28534</v>
      </c>
      <c r="F11195" t="s">
        <v>32664</v>
      </c>
      <c r="G11195" t="s">
        <v>32672</v>
      </c>
      <c r="H11195" t="s">
        <v>12635</v>
      </c>
      <c r="I11195" t="s">
        <v>11464</v>
      </c>
      <c r="J11195" t="s">
        <v>32930</v>
      </c>
      <c r="K11195" t="s">
        <v>42298</v>
      </c>
      <c r="M11195" t="s">
        <v>43627</v>
      </c>
      <c r="N11195" t="s">
        <v>46569</v>
      </c>
      <c r="O11195" t="s">
        <v>46570</v>
      </c>
      <c r="P11195">
        <v>0</v>
      </c>
      <c r="Q11195">
        <v>6</v>
      </c>
      <c r="R11195" t="s">
        <v>46579</v>
      </c>
      <c r="S11195" t="s">
        <v>46919</v>
      </c>
      <c r="T11195" t="s">
        <v>48487</v>
      </c>
      <c r="U11195" t="s">
        <v>57704</v>
      </c>
      <c r="W11195" t="s">
        <v>43627</v>
      </c>
      <c r="X11195" t="s">
        <v>46581</v>
      </c>
    </row>
    <row r="11196" spans="1:24">
      <c r="A11196">
        <f>HYPERLINK("https://www.philgeps.gov.ph/GEPSNONPILOT/Tender/SplashBidNoticeAbstractUI.aspx?menuIndex=3&amp;refID=7047442&amp;Result=3","7047442")</f>
        <v>0</v>
      </c>
      <c r="B11196" t="s">
        <v>3015</v>
      </c>
      <c r="C11196" t="s">
        <v>14139</v>
      </c>
      <c r="D11196" t="s">
        <v>18788</v>
      </c>
      <c r="E11196" t="s">
        <v>19010</v>
      </c>
      <c r="F11196" t="s">
        <v>32665</v>
      </c>
      <c r="G11196" t="s">
        <v>32672</v>
      </c>
      <c r="H11196" t="s">
        <v>32683</v>
      </c>
      <c r="I11196" t="s">
        <v>10627</v>
      </c>
      <c r="J11196" t="s">
        <v>33051</v>
      </c>
      <c r="K11196" t="s">
        <v>42303</v>
      </c>
      <c r="M11196" t="s">
        <v>45887</v>
      </c>
      <c r="N11196" t="s">
        <v>46569</v>
      </c>
      <c r="O11196" t="s">
        <v>46570</v>
      </c>
      <c r="P11196">
        <v>0</v>
      </c>
      <c r="Q11196">
        <v>2</v>
      </c>
      <c r="R11196" t="s">
        <v>46579</v>
      </c>
      <c r="S11196" t="s">
        <v>46919</v>
      </c>
      <c r="T11196" t="s">
        <v>48304</v>
      </c>
      <c r="U11196" t="s">
        <v>57768</v>
      </c>
      <c r="W11196" t="s">
        <v>45887</v>
      </c>
      <c r="X11196" t="s">
        <v>46580</v>
      </c>
    </row>
    <row r="11197" spans="1:24">
      <c r="A11197">
        <f>HYPERLINK("https://www.philgeps.gov.ph/GEPSNONPILOT/Tender/SplashBidNoticeAbstractUI.aspx?menuIndex=3&amp;refID=7047441&amp;Result=3","7047441")</f>
        <v>0</v>
      </c>
      <c r="B11197" t="s">
        <v>310</v>
      </c>
      <c r="C11197" t="s">
        <v>14140</v>
      </c>
      <c r="D11197" t="s">
        <v>18789</v>
      </c>
      <c r="E11197" t="s">
        <v>28535</v>
      </c>
      <c r="F11197" t="s">
        <v>32664</v>
      </c>
      <c r="G11197" t="s">
        <v>32672</v>
      </c>
      <c r="H11197" t="s">
        <v>32683</v>
      </c>
      <c r="I11197" t="s">
        <v>4439</v>
      </c>
      <c r="J11197" t="s">
        <v>39446</v>
      </c>
      <c r="K11197" t="s">
        <v>42308</v>
      </c>
      <c r="M11197" t="s">
        <v>42877</v>
      </c>
      <c r="N11197" t="s">
        <v>46569</v>
      </c>
      <c r="O11197" t="s">
        <v>46570</v>
      </c>
      <c r="P11197">
        <v>0</v>
      </c>
      <c r="Q11197">
        <v>2</v>
      </c>
      <c r="R11197" t="s">
        <v>46579</v>
      </c>
      <c r="S11197" t="s">
        <v>46919</v>
      </c>
      <c r="T11197" t="s">
        <v>48452</v>
      </c>
      <c r="U11197" t="s">
        <v>57769</v>
      </c>
      <c r="V11197" t="s">
        <v>62831</v>
      </c>
      <c r="W11197" t="s">
        <v>42877</v>
      </c>
      <c r="X11197" t="s">
        <v>46580</v>
      </c>
    </row>
    <row r="11198" spans="1:24">
      <c r="A11198">
        <f>HYPERLINK("https://www.philgeps.gov.ph/GEPSNONPILOT/Tender/SplashBidNoticeAbstractUI.aspx?menuIndex=3&amp;refID=7047321&amp;Result=3","7047321")</f>
        <v>0</v>
      </c>
      <c r="B11198" t="s">
        <v>1407</v>
      </c>
      <c r="C11198" t="s">
        <v>14141</v>
      </c>
      <c r="D11198" t="s">
        <v>18839</v>
      </c>
      <c r="E11198" t="s">
        <v>28536</v>
      </c>
      <c r="F11198" t="s">
        <v>32664</v>
      </c>
      <c r="G11198" t="s">
        <v>32672</v>
      </c>
      <c r="H11198" t="s">
        <v>32683</v>
      </c>
      <c r="I11198" t="s">
        <v>10627</v>
      </c>
      <c r="J11198" t="s">
        <v>39447</v>
      </c>
      <c r="K11198" t="s">
        <v>42311</v>
      </c>
      <c r="M11198" t="s">
        <v>44064</v>
      </c>
      <c r="N11198" t="s">
        <v>46569</v>
      </c>
      <c r="O11198" t="s">
        <v>46570</v>
      </c>
      <c r="P11198">
        <v>0</v>
      </c>
      <c r="Q11198">
        <v>0</v>
      </c>
      <c r="R11198" t="s">
        <v>46579</v>
      </c>
      <c r="S11198" t="s">
        <v>46919</v>
      </c>
      <c r="T11198" t="s">
        <v>48238</v>
      </c>
      <c r="U11198" t="s">
        <v>57770</v>
      </c>
      <c r="W11198" t="s">
        <v>44064</v>
      </c>
      <c r="X11198" t="s">
        <v>46580</v>
      </c>
    </row>
    <row r="11199" spans="1:24">
      <c r="A11199">
        <f>HYPERLINK("https://www.philgeps.gov.ph/GEPSNONPILOT/Tender/SplashBidNoticeAbstractUI.aspx?menuIndex=3&amp;refID=7047428&amp;Result=3","7047428")</f>
        <v>0</v>
      </c>
      <c r="B11199" t="s">
        <v>3016</v>
      </c>
      <c r="C11199" t="s">
        <v>14142</v>
      </c>
      <c r="D11199" t="s">
        <v>18863</v>
      </c>
      <c r="E11199" t="s">
        <v>28537</v>
      </c>
      <c r="F11199" t="s">
        <v>32665</v>
      </c>
      <c r="G11199" t="s">
        <v>32672</v>
      </c>
      <c r="H11199" t="s">
        <v>32683</v>
      </c>
      <c r="I11199" t="s">
        <v>10627</v>
      </c>
      <c r="J11199" t="s">
        <v>32981</v>
      </c>
      <c r="K11199" t="s">
        <v>42283</v>
      </c>
      <c r="M11199" t="s">
        <v>45888</v>
      </c>
      <c r="N11199" t="s">
        <v>46569</v>
      </c>
      <c r="O11199" t="s">
        <v>46570</v>
      </c>
      <c r="P11199">
        <v>0</v>
      </c>
      <c r="Q11199">
        <v>1</v>
      </c>
      <c r="R11199" t="s">
        <v>46579</v>
      </c>
      <c r="S11199" t="s">
        <v>46919</v>
      </c>
      <c r="T11199" t="s">
        <v>48315</v>
      </c>
      <c r="U11199" t="s">
        <v>57771</v>
      </c>
      <c r="W11199" t="s">
        <v>45888</v>
      </c>
      <c r="X11199" t="s">
        <v>46580</v>
      </c>
    </row>
    <row r="11200" spans="1:24">
      <c r="A11200">
        <f>HYPERLINK("https://www.philgeps.gov.ph/GEPSNONPILOT/Tender/SplashBidNoticeAbstractUI.aspx?menuIndex=3&amp;refID=7047423&amp;Result=3","7047423")</f>
        <v>0</v>
      </c>
      <c r="B11200" t="s">
        <v>448</v>
      </c>
      <c r="C11200" t="s">
        <v>14143</v>
      </c>
      <c r="D11200" t="s">
        <v>18788</v>
      </c>
      <c r="E11200" t="s">
        <v>28538</v>
      </c>
      <c r="F11200" t="s">
        <v>32664</v>
      </c>
      <c r="G11200" t="s">
        <v>32672</v>
      </c>
      <c r="H11200" t="s">
        <v>32683</v>
      </c>
      <c r="I11200" t="s">
        <v>10627</v>
      </c>
      <c r="J11200" t="s">
        <v>39448</v>
      </c>
      <c r="K11200" t="s">
        <v>42298</v>
      </c>
      <c r="M11200" t="s">
        <v>43021</v>
      </c>
      <c r="N11200" t="s">
        <v>46569</v>
      </c>
      <c r="O11200" t="s">
        <v>46570</v>
      </c>
      <c r="P11200">
        <v>0</v>
      </c>
      <c r="Q11200">
        <v>0</v>
      </c>
      <c r="R11200" t="s">
        <v>46579</v>
      </c>
      <c r="S11200" t="s">
        <v>46919</v>
      </c>
      <c r="T11200" t="s">
        <v>48303</v>
      </c>
      <c r="U11200" t="s">
        <v>54973</v>
      </c>
      <c r="W11200" t="s">
        <v>43021</v>
      </c>
      <c r="X11200" t="s">
        <v>46580</v>
      </c>
    </row>
    <row r="11201" spans="1:24">
      <c r="A11201">
        <f>HYPERLINK("https://www.philgeps.gov.ph/GEPSNONPILOT/Tender/SplashBidNoticeAbstractUI.aspx?menuIndex=3&amp;refID=7047414&amp;Result=3","7047414")</f>
        <v>0</v>
      </c>
      <c r="B11201" t="s">
        <v>448</v>
      </c>
      <c r="C11201" t="s">
        <v>14144</v>
      </c>
      <c r="D11201" t="s">
        <v>18788</v>
      </c>
      <c r="E11201" t="s">
        <v>28539</v>
      </c>
      <c r="F11201" t="s">
        <v>32664</v>
      </c>
      <c r="G11201" t="s">
        <v>32672</v>
      </c>
      <c r="H11201" t="s">
        <v>32683</v>
      </c>
      <c r="I11201" t="s">
        <v>10627</v>
      </c>
      <c r="J11201" t="s">
        <v>39449</v>
      </c>
      <c r="K11201" t="s">
        <v>42298</v>
      </c>
      <c r="M11201" t="s">
        <v>43021</v>
      </c>
      <c r="N11201" t="s">
        <v>46569</v>
      </c>
      <c r="O11201" t="s">
        <v>46570</v>
      </c>
      <c r="P11201">
        <v>0</v>
      </c>
      <c r="Q11201">
        <v>0</v>
      </c>
      <c r="R11201" t="s">
        <v>46579</v>
      </c>
      <c r="S11201" t="s">
        <v>46919</v>
      </c>
      <c r="T11201" t="s">
        <v>48303</v>
      </c>
      <c r="U11201" t="s">
        <v>54973</v>
      </c>
      <c r="W11201" t="s">
        <v>43021</v>
      </c>
      <c r="X11201" t="s">
        <v>46580</v>
      </c>
    </row>
    <row r="11202" spans="1:24">
      <c r="A11202">
        <f>HYPERLINK("https://www.philgeps.gov.ph/GEPSNONPILOT/Tender/SplashBidNoticeAbstractUI.aspx?menuIndex=3&amp;refID=7047408&amp;Result=3","7047408")</f>
        <v>0</v>
      </c>
      <c r="B11202" t="s">
        <v>310</v>
      </c>
      <c r="C11202" t="s">
        <v>14145</v>
      </c>
      <c r="D11202" t="s">
        <v>18789</v>
      </c>
      <c r="E11202" t="s">
        <v>28540</v>
      </c>
      <c r="F11202" t="s">
        <v>32664</v>
      </c>
      <c r="G11202" t="s">
        <v>32672</v>
      </c>
      <c r="H11202" t="s">
        <v>32683</v>
      </c>
      <c r="I11202" t="s">
        <v>4439</v>
      </c>
      <c r="J11202" t="s">
        <v>34022</v>
      </c>
      <c r="K11202" t="s">
        <v>42450</v>
      </c>
      <c r="M11202" t="s">
        <v>42877</v>
      </c>
      <c r="N11202" t="s">
        <v>46569</v>
      </c>
      <c r="O11202" t="s">
        <v>46570</v>
      </c>
      <c r="P11202">
        <v>0</v>
      </c>
      <c r="Q11202">
        <v>6</v>
      </c>
      <c r="R11202" t="s">
        <v>46579</v>
      </c>
      <c r="S11202" t="s">
        <v>46919</v>
      </c>
      <c r="T11202" t="s">
        <v>48452</v>
      </c>
      <c r="U11202" t="s">
        <v>57772</v>
      </c>
      <c r="V11202" t="s">
        <v>62832</v>
      </c>
      <c r="W11202" t="s">
        <v>42877</v>
      </c>
      <c r="X11202" t="s">
        <v>46580</v>
      </c>
    </row>
    <row r="11203" spans="1:24">
      <c r="A11203">
        <f>HYPERLINK("https://www.philgeps.gov.ph/GEPSNONPILOT/Tender/SplashBidNoticeAbstractUI.aspx?menuIndex=3&amp;refID=7047404&amp;Result=3","7047404")</f>
        <v>0</v>
      </c>
      <c r="B11203" t="s">
        <v>336</v>
      </c>
      <c r="C11203" t="s">
        <v>14146</v>
      </c>
      <c r="D11203" t="s">
        <v>18808</v>
      </c>
      <c r="E11203" t="s">
        <v>28541</v>
      </c>
      <c r="F11203" t="s">
        <v>32664</v>
      </c>
      <c r="G11203" t="s">
        <v>32672</v>
      </c>
      <c r="H11203" t="s">
        <v>12635</v>
      </c>
      <c r="I11203" t="s">
        <v>6118</v>
      </c>
      <c r="J11203" t="s">
        <v>33642</v>
      </c>
      <c r="K11203" t="s">
        <v>42283</v>
      </c>
      <c r="M11203" t="s">
        <v>42904</v>
      </c>
      <c r="N11203" t="s">
        <v>46569</v>
      </c>
      <c r="O11203" t="s">
        <v>46570</v>
      </c>
      <c r="P11203">
        <v>0</v>
      </c>
      <c r="Q11203">
        <v>0</v>
      </c>
      <c r="R11203" t="s">
        <v>46579</v>
      </c>
      <c r="S11203" t="s">
        <v>46919</v>
      </c>
      <c r="T11203" t="s">
        <v>48363</v>
      </c>
      <c r="U11203" t="s">
        <v>57773</v>
      </c>
      <c r="W11203" t="s">
        <v>42904</v>
      </c>
      <c r="X11203" t="s">
        <v>46580</v>
      </c>
    </row>
    <row r="11204" spans="1:24">
      <c r="A11204">
        <f>HYPERLINK("https://www.philgeps.gov.ph/GEPSNONPILOT/Tender/SplashBidNoticeAbstractUI.aspx?menuIndex=3&amp;refID=7046302&amp;Result=3","7046302")</f>
        <v>0</v>
      </c>
      <c r="B11204" t="s">
        <v>1371</v>
      </c>
      <c r="C11204" t="s">
        <v>14147</v>
      </c>
      <c r="D11204" t="s">
        <v>18796</v>
      </c>
      <c r="E11204" t="s">
        <v>28542</v>
      </c>
      <c r="F11204" t="s">
        <v>32664</v>
      </c>
      <c r="G11204" t="s">
        <v>32672</v>
      </c>
      <c r="H11204" t="s">
        <v>32683</v>
      </c>
      <c r="I11204" t="s">
        <v>10627</v>
      </c>
      <c r="J11204" t="s">
        <v>32943</v>
      </c>
      <c r="K11204" t="s">
        <v>42290</v>
      </c>
      <c r="M11204" t="s">
        <v>45871</v>
      </c>
      <c r="N11204" t="s">
        <v>46569</v>
      </c>
      <c r="O11204" t="s">
        <v>46570</v>
      </c>
      <c r="P11204">
        <v>0</v>
      </c>
      <c r="Q11204">
        <v>0</v>
      </c>
      <c r="R11204" t="s">
        <v>46579</v>
      </c>
      <c r="S11204" t="s">
        <v>46919</v>
      </c>
      <c r="T11204" t="s">
        <v>48467</v>
      </c>
      <c r="U11204" t="s">
        <v>57737</v>
      </c>
      <c r="W11204" t="s">
        <v>45870</v>
      </c>
      <c r="X11204" t="s">
        <v>46581</v>
      </c>
    </row>
    <row r="11205" spans="1:24">
      <c r="A11205">
        <f>HYPERLINK("https://www.philgeps.gov.ph/GEPSNONPILOT/Tender/SplashBidNoticeAbstractUI.aspx?menuIndex=3&amp;refID=7047458&amp;Result=3","7047458")</f>
        <v>0</v>
      </c>
      <c r="B11205" t="s">
        <v>1141</v>
      </c>
      <c r="C11205" t="s">
        <v>14148</v>
      </c>
      <c r="D11205" t="s">
        <v>18809</v>
      </c>
      <c r="E11205" t="s">
        <v>28543</v>
      </c>
      <c r="F11205" t="s">
        <v>32664</v>
      </c>
      <c r="G11205" t="s">
        <v>32672</v>
      </c>
      <c r="H11205" t="s">
        <v>12635</v>
      </c>
      <c r="I11205" t="s">
        <v>32688</v>
      </c>
      <c r="J11205" t="s">
        <v>36545</v>
      </c>
      <c r="K11205" t="s">
        <v>42289</v>
      </c>
      <c r="M11205" t="s">
        <v>43772</v>
      </c>
      <c r="N11205" t="s">
        <v>46569</v>
      </c>
      <c r="O11205" t="s">
        <v>46570</v>
      </c>
      <c r="P11205">
        <v>0</v>
      </c>
      <c r="Q11205">
        <v>3</v>
      </c>
      <c r="R11205" t="s">
        <v>46579</v>
      </c>
      <c r="S11205" t="s">
        <v>46919</v>
      </c>
      <c r="T11205" t="s">
        <v>48467</v>
      </c>
      <c r="U11205" t="s">
        <v>57774</v>
      </c>
      <c r="W11205" t="s">
        <v>43772</v>
      </c>
      <c r="X11205" t="s">
        <v>46580</v>
      </c>
    </row>
    <row r="11206" spans="1:24">
      <c r="A11206">
        <f>HYPERLINK("https://www.philgeps.gov.ph/GEPSNONPILOT/Tender/SplashBidNoticeAbstractUI.aspx?menuIndex=3&amp;refID=7047394&amp;Result=3","7047394")</f>
        <v>0</v>
      </c>
      <c r="B11206" t="s">
        <v>3017</v>
      </c>
      <c r="C11206" t="s">
        <v>14149</v>
      </c>
      <c r="D11206" t="s">
        <v>18813</v>
      </c>
      <c r="E11206" t="s">
        <v>28544</v>
      </c>
      <c r="F11206" t="s">
        <v>32664</v>
      </c>
      <c r="G11206" t="s">
        <v>32672</v>
      </c>
      <c r="H11206" t="s">
        <v>12635</v>
      </c>
      <c r="I11206" t="s">
        <v>4439</v>
      </c>
      <c r="J11206" t="s">
        <v>39450</v>
      </c>
      <c r="K11206" t="s">
        <v>42340</v>
      </c>
      <c r="L11206" t="s">
        <v>3017</v>
      </c>
      <c r="M11206" t="s">
        <v>45889</v>
      </c>
      <c r="N11206" t="s">
        <v>46569</v>
      </c>
      <c r="O11206" t="s">
        <v>46570</v>
      </c>
      <c r="P11206">
        <v>0</v>
      </c>
      <c r="Q11206">
        <v>0</v>
      </c>
      <c r="R11206" t="s">
        <v>46579</v>
      </c>
      <c r="S11206" t="s">
        <v>46919</v>
      </c>
      <c r="T11206" t="s">
        <v>48303</v>
      </c>
      <c r="U11206" t="s">
        <v>57775</v>
      </c>
      <c r="V11206" t="s">
        <v>62833</v>
      </c>
      <c r="W11206" t="s">
        <v>45889</v>
      </c>
      <c r="X11206" t="s">
        <v>46580</v>
      </c>
    </row>
    <row r="11207" spans="1:24">
      <c r="A11207">
        <f>HYPERLINK("https://www.philgeps.gov.ph/GEPSNONPILOT/Tender/SplashBidNoticeAbstractUI.aspx?menuIndex=3&amp;refID=7047400&amp;Result=3","7047400")</f>
        <v>0</v>
      </c>
      <c r="B11207" t="s">
        <v>1943</v>
      </c>
      <c r="C11207" t="s">
        <v>14150</v>
      </c>
      <c r="D11207" t="s">
        <v>18842</v>
      </c>
      <c r="E11207" t="s">
        <v>19670</v>
      </c>
      <c r="F11207" t="s">
        <v>32664</v>
      </c>
      <c r="G11207" t="s">
        <v>32672</v>
      </c>
      <c r="H11207" t="s">
        <v>12635</v>
      </c>
      <c r="I11207" t="s">
        <v>10370</v>
      </c>
      <c r="J11207" t="s">
        <v>32984</v>
      </c>
      <c r="K11207" t="s">
        <v>42289</v>
      </c>
      <c r="M11207" t="s">
        <v>44668</v>
      </c>
      <c r="N11207" t="s">
        <v>46569</v>
      </c>
      <c r="O11207" t="s">
        <v>46570</v>
      </c>
      <c r="P11207">
        <v>0</v>
      </c>
      <c r="Q11207">
        <v>0</v>
      </c>
      <c r="R11207" t="s">
        <v>46579</v>
      </c>
      <c r="S11207" t="s">
        <v>46919</v>
      </c>
      <c r="T11207" t="s">
        <v>48268</v>
      </c>
      <c r="U11207" t="s">
        <v>57776</v>
      </c>
      <c r="W11207" t="s">
        <v>44668</v>
      </c>
      <c r="X11207" t="s">
        <v>46580</v>
      </c>
    </row>
    <row r="11208" spans="1:24">
      <c r="A11208">
        <f>HYPERLINK("https://www.philgeps.gov.ph/GEPSNONPILOT/Tender/SplashBidNoticeAbstractUI.aspx?menuIndex=3&amp;refID=7047377&amp;Result=3","7047377")</f>
        <v>0</v>
      </c>
      <c r="B11208" t="s">
        <v>1497</v>
      </c>
      <c r="C11208" t="s">
        <v>4211</v>
      </c>
      <c r="D11208" t="s">
        <v>18785</v>
      </c>
      <c r="E11208" t="s">
        <v>28545</v>
      </c>
      <c r="F11208" t="s">
        <v>32664</v>
      </c>
      <c r="G11208" t="s">
        <v>32672</v>
      </c>
      <c r="H11208" t="s">
        <v>12635</v>
      </c>
      <c r="I11208" t="s">
        <v>9486</v>
      </c>
      <c r="J11208" t="s">
        <v>32974</v>
      </c>
      <c r="K11208" t="s">
        <v>42284</v>
      </c>
      <c r="M11208" t="s">
        <v>44161</v>
      </c>
      <c r="N11208" t="s">
        <v>46569</v>
      </c>
      <c r="O11208" t="s">
        <v>46570</v>
      </c>
      <c r="P11208">
        <v>0</v>
      </c>
      <c r="Q11208">
        <v>6</v>
      </c>
      <c r="R11208" t="s">
        <v>46579</v>
      </c>
      <c r="S11208" t="s">
        <v>46919</v>
      </c>
      <c r="T11208" t="s">
        <v>48212</v>
      </c>
      <c r="U11208" t="s">
        <v>52151</v>
      </c>
      <c r="W11208" t="s">
        <v>44161</v>
      </c>
      <c r="X11208" t="s">
        <v>46580</v>
      </c>
    </row>
    <row r="11209" spans="1:24">
      <c r="A11209">
        <f>HYPERLINK("https://www.philgeps.gov.ph/GEPSNONPILOT/Tender/SplashBidNoticeAbstractUI.aspx?menuIndex=3&amp;refID=7047317&amp;Result=3","7047317")</f>
        <v>0</v>
      </c>
      <c r="B11209" t="s">
        <v>3018</v>
      </c>
      <c r="C11209" t="s">
        <v>14151</v>
      </c>
      <c r="D11209" t="s">
        <v>18784</v>
      </c>
      <c r="E11209" t="s">
        <v>27568</v>
      </c>
      <c r="F11209" t="s">
        <v>32666</v>
      </c>
      <c r="G11209" t="s">
        <v>32672</v>
      </c>
      <c r="H11209" t="s">
        <v>12635</v>
      </c>
      <c r="I11209" t="s">
        <v>6168</v>
      </c>
      <c r="J11209" t="s">
        <v>39451</v>
      </c>
      <c r="K11209" t="s">
        <v>42284</v>
      </c>
      <c r="M11209" t="s">
        <v>45890</v>
      </c>
      <c r="N11209" t="s">
        <v>46569</v>
      </c>
      <c r="O11209" t="s">
        <v>46570</v>
      </c>
      <c r="P11209">
        <v>0</v>
      </c>
      <c r="Q11209">
        <v>2</v>
      </c>
      <c r="R11209" t="s">
        <v>46579</v>
      </c>
      <c r="S11209" t="s">
        <v>46919</v>
      </c>
      <c r="T11209" t="s">
        <v>48296</v>
      </c>
      <c r="U11209" t="s">
        <v>57777</v>
      </c>
      <c r="W11209" t="s">
        <v>45890</v>
      </c>
      <c r="X11209" t="s">
        <v>46580</v>
      </c>
    </row>
    <row r="11210" spans="1:24">
      <c r="A11210">
        <f>HYPERLINK("https://www.philgeps.gov.ph/GEPSNONPILOT/Tender/SplashBidNoticeAbstractUI.aspx?menuIndex=3&amp;refID=7047384&amp;Result=3","7047384")</f>
        <v>0</v>
      </c>
      <c r="B11210" t="s">
        <v>133</v>
      </c>
      <c r="C11210" t="s">
        <v>14152</v>
      </c>
      <c r="D11210" t="s">
        <v>18832</v>
      </c>
      <c r="E11210" t="s">
        <v>28546</v>
      </c>
      <c r="F11210" t="s">
        <v>32664</v>
      </c>
      <c r="G11210" t="s">
        <v>32672</v>
      </c>
      <c r="H11210" t="s">
        <v>32683</v>
      </c>
      <c r="I11210" t="s">
        <v>10627</v>
      </c>
      <c r="J11210" t="s">
        <v>39452</v>
      </c>
      <c r="K11210" t="s">
        <v>42281</v>
      </c>
      <c r="M11210" t="s">
        <v>42697</v>
      </c>
      <c r="N11210" t="s">
        <v>46569</v>
      </c>
      <c r="O11210" t="s">
        <v>46570</v>
      </c>
      <c r="P11210">
        <v>0</v>
      </c>
      <c r="Q11210">
        <v>0</v>
      </c>
      <c r="R11210" t="s">
        <v>46579</v>
      </c>
      <c r="S11210" t="s">
        <v>46919</v>
      </c>
      <c r="T11210" t="s">
        <v>48293</v>
      </c>
      <c r="U11210" t="s">
        <v>57778</v>
      </c>
      <c r="W11210" t="s">
        <v>42697</v>
      </c>
      <c r="X11210" t="s">
        <v>46580</v>
      </c>
    </row>
    <row r="11211" spans="1:24">
      <c r="A11211">
        <f>HYPERLINK("https://www.philgeps.gov.ph/GEPSNONPILOT/Tender/SplashBidNoticeAbstractUI.aspx?menuIndex=3&amp;refID=7047382&amp;Result=3","7047382")</f>
        <v>0</v>
      </c>
      <c r="B11211" t="s">
        <v>2994</v>
      </c>
      <c r="C11211" t="s">
        <v>14153</v>
      </c>
      <c r="D11211" t="s">
        <v>18787</v>
      </c>
      <c r="E11211" t="s">
        <v>28547</v>
      </c>
      <c r="F11211" t="s">
        <v>32664</v>
      </c>
      <c r="G11211" t="s">
        <v>32672</v>
      </c>
      <c r="H11211" t="s">
        <v>12635</v>
      </c>
      <c r="I11211" t="s">
        <v>8797</v>
      </c>
      <c r="J11211" t="s">
        <v>39453</v>
      </c>
      <c r="K11211" t="s">
        <v>42325</v>
      </c>
      <c r="M11211" t="s">
        <v>45884</v>
      </c>
      <c r="N11211" t="s">
        <v>46569</v>
      </c>
      <c r="O11211" t="s">
        <v>46570</v>
      </c>
      <c r="P11211">
        <v>0</v>
      </c>
      <c r="Q11211">
        <v>8</v>
      </c>
      <c r="R11211" t="s">
        <v>46579</v>
      </c>
      <c r="S11211" t="s">
        <v>46919</v>
      </c>
      <c r="T11211" t="s">
        <v>48389</v>
      </c>
      <c r="U11211" t="s">
        <v>57779</v>
      </c>
      <c r="W11211" t="s">
        <v>63581</v>
      </c>
      <c r="X11211" t="s">
        <v>46580</v>
      </c>
    </row>
    <row r="11212" spans="1:24">
      <c r="A11212">
        <f>HYPERLINK("https://www.philgeps.gov.ph/GEPSNONPILOT/Tender/SplashBidNoticeAbstractUI.aspx?menuIndex=3&amp;refID=7047308&amp;Result=3","7047308")</f>
        <v>0</v>
      </c>
      <c r="B11212" t="s">
        <v>2994</v>
      </c>
      <c r="C11212" t="s">
        <v>14154</v>
      </c>
      <c r="D11212" t="s">
        <v>18787</v>
      </c>
      <c r="E11212" t="s">
        <v>28548</v>
      </c>
      <c r="F11212" t="s">
        <v>32664</v>
      </c>
      <c r="G11212" t="s">
        <v>32672</v>
      </c>
      <c r="H11212" t="s">
        <v>12635</v>
      </c>
      <c r="I11212" t="s">
        <v>7759</v>
      </c>
      <c r="J11212" t="s">
        <v>39454</v>
      </c>
      <c r="K11212" t="s">
        <v>42325</v>
      </c>
      <c r="M11212" t="s">
        <v>45884</v>
      </c>
      <c r="N11212" t="s">
        <v>46569</v>
      </c>
      <c r="O11212" t="s">
        <v>46570</v>
      </c>
      <c r="P11212">
        <v>0</v>
      </c>
      <c r="Q11212">
        <v>1</v>
      </c>
      <c r="R11212" t="s">
        <v>46579</v>
      </c>
      <c r="S11212" t="s">
        <v>46919</v>
      </c>
      <c r="T11212" t="s">
        <v>48389</v>
      </c>
      <c r="U11212" t="s">
        <v>57780</v>
      </c>
      <c r="W11212" t="s">
        <v>63581</v>
      </c>
      <c r="X11212" t="s">
        <v>46580</v>
      </c>
    </row>
    <row r="11213" spans="1:24">
      <c r="A11213">
        <f>HYPERLINK("https://www.philgeps.gov.ph/GEPSNONPILOT/Tender/SplashBidNoticeAbstractUI.aspx?menuIndex=3&amp;refID=7047307&amp;Result=3","7047307")</f>
        <v>0</v>
      </c>
      <c r="B11213" t="s">
        <v>336</v>
      </c>
      <c r="C11213" t="s">
        <v>14155</v>
      </c>
      <c r="D11213" t="s">
        <v>18808</v>
      </c>
      <c r="E11213" t="s">
        <v>28549</v>
      </c>
      <c r="F11213" t="s">
        <v>32664</v>
      </c>
      <c r="G11213" t="s">
        <v>32672</v>
      </c>
      <c r="H11213" t="s">
        <v>12635</v>
      </c>
      <c r="I11213" t="s">
        <v>6168</v>
      </c>
      <c r="J11213" t="s">
        <v>34638</v>
      </c>
      <c r="K11213" t="s">
        <v>42283</v>
      </c>
      <c r="M11213" t="s">
        <v>42904</v>
      </c>
      <c r="N11213" t="s">
        <v>46569</v>
      </c>
      <c r="O11213" t="s">
        <v>46570</v>
      </c>
      <c r="P11213">
        <v>0</v>
      </c>
      <c r="Q11213">
        <v>1</v>
      </c>
      <c r="R11213" t="s">
        <v>46579</v>
      </c>
      <c r="S11213" t="s">
        <v>46919</v>
      </c>
      <c r="T11213" t="s">
        <v>48363</v>
      </c>
      <c r="U11213" t="s">
        <v>57781</v>
      </c>
      <c r="W11213" t="s">
        <v>42904</v>
      </c>
      <c r="X11213" t="s">
        <v>46580</v>
      </c>
    </row>
    <row r="11214" spans="1:24">
      <c r="A11214">
        <f>HYPERLINK("https://www.philgeps.gov.ph/GEPSNONPILOT/Tender/SplashBidNoticeAbstractUI.aspx?menuIndex=3&amp;refID=7047296&amp;Result=3","7047296")</f>
        <v>0</v>
      </c>
      <c r="B11214" t="s">
        <v>2188</v>
      </c>
      <c r="C11214" t="s">
        <v>14156</v>
      </c>
      <c r="D11214" t="s">
        <v>18798</v>
      </c>
      <c r="E11214" t="s">
        <v>28550</v>
      </c>
      <c r="F11214" t="s">
        <v>32664</v>
      </c>
      <c r="G11214" t="s">
        <v>32672</v>
      </c>
      <c r="H11214" t="s">
        <v>32683</v>
      </c>
      <c r="I11214" t="s">
        <v>10627</v>
      </c>
      <c r="J11214" t="s">
        <v>39455</v>
      </c>
      <c r="K11214" t="s">
        <v>42281</v>
      </c>
      <c r="M11214" t="s">
        <v>44949</v>
      </c>
      <c r="N11214" t="s">
        <v>46569</v>
      </c>
      <c r="O11214" t="s">
        <v>46570</v>
      </c>
      <c r="P11214">
        <v>0</v>
      </c>
      <c r="Q11214">
        <v>2</v>
      </c>
      <c r="R11214" t="s">
        <v>46579</v>
      </c>
      <c r="S11214" t="s">
        <v>46919</v>
      </c>
      <c r="T11214" t="s">
        <v>48212</v>
      </c>
      <c r="U11214" t="s">
        <v>57782</v>
      </c>
      <c r="V11214" t="s">
        <v>62834</v>
      </c>
      <c r="W11214" t="s">
        <v>44949</v>
      </c>
      <c r="X11214" t="s">
        <v>46580</v>
      </c>
    </row>
    <row r="11215" spans="1:24">
      <c r="A11215">
        <f>HYPERLINK("https://www.philgeps.gov.ph/GEPSNONPILOT/Tender/SplashBidNoticeAbstractUI.aspx?menuIndex=3&amp;refID=7047398&amp;Result=3","7047398")</f>
        <v>0</v>
      </c>
      <c r="B11215" t="s">
        <v>184</v>
      </c>
      <c r="C11215" t="s">
        <v>14157</v>
      </c>
      <c r="D11215" t="s">
        <v>18825</v>
      </c>
      <c r="E11215" t="s">
        <v>28551</v>
      </c>
      <c r="F11215" t="s">
        <v>32664</v>
      </c>
      <c r="G11215" t="s">
        <v>32672</v>
      </c>
      <c r="H11215" t="s">
        <v>32683</v>
      </c>
      <c r="I11215" t="s">
        <v>10627</v>
      </c>
      <c r="J11215" t="s">
        <v>39456</v>
      </c>
      <c r="K11215" t="s">
        <v>42349</v>
      </c>
      <c r="M11215" t="s">
        <v>42884</v>
      </c>
      <c r="N11215" t="s">
        <v>46569</v>
      </c>
      <c r="O11215" t="s">
        <v>46570</v>
      </c>
      <c r="P11215">
        <v>0</v>
      </c>
      <c r="Q11215">
        <v>0</v>
      </c>
      <c r="R11215" t="s">
        <v>46579</v>
      </c>
      <c r="S11215" t="s">
        <v>46919</v>
      </c>
      <c r="T11215" t="s">
        <v>48238</v>
      </c>
      <c r="U11215" t="s">
        <v>57767</v>
      </c>
      <c r="W11215" t="s">
        <v>42884</v>
      </c>
      <c r="X11215" t="s">
        <v>46580</v>
      </c>
    </row>
    <row r="11216" spans="1:24">
      <c r="A11216">
        <f>HYPERLINK("https://www.philgeps.gov.ph/GEPSNONPILOT/Tender/SplashBidNoticeAbstractUI.aspx?menuIndex=3&amp;refID=7047295&amp;Result=3","7047295")</f>
        <v>0</v>
      </c>
      <c r="B11216" t="s">
        <v>951</v>
      </c>
      <c r="C11216" t="s">
        <v>14158</v>
      </c>
      <c r="D11216" t="s">
        <v>18787</v>
      </c>
      <c r="E11216" t="s">
        <v>28552</v>
      </c>
      <c r="F11216" t="s">
        <v>32664</v>
      </c>
      <c r="G11216" t="s">
        <v>32677</v>
      </c>
      <c r="H11216" t="s">
        <v>12635</v>
      </c>
      <c r="I11216" t="s">
        <v>9486</v>
      </c>
      <c r="J11216" t="s">
        <v>39457</v>
      </c>
      <c r="K11216" t="s">
        <v>42283</v>
      </c>
      <c r="M11216" t="s">
        <v>44587</v>
      </c>
      <c r="N11216" t="s">
        <v>46569</v>
      </c>
      <c r="O11216" t="s">
        <v>46570</v>
      </c>
      <c r="P11216">
        <v>0</v>
      </c>
      <c r="Q11216">
        <v>27</v>
      </c>
      <c r="R11216" t="s">
        <v>46579</v>
      </c>
      <c r="S11216" t="s">
        <v>46919</v>
      </c>
      <c r="T11216" t="s">
        <v>48238</v>
      </c>
      <c r="U11216" t="s">
        <v>57783</v>
      </c>
      <c r="W11216" t="s">
        <v>44587</v>
      </c>
      <c r="X11216" t="s">
        <v>46580</v>
      </c>
    </row>
    <row r="11217" spans="1:24">
      <c r="A11217">
        <f>HYPERLINK("https://www.philgeps.gov.ph/GEPSNONPILOT/Tender/SplashBidNoticeAbstractUI.aspx?menuIndex=3&amp;refID=7047557&amp;Result=3","7047557")</f>
        <v>0</v>
      </c>
      <c r="B11217" t="s">
        <v>3019</v>
      </c>
      <c r="C11217" t="s">
        <v>14159</v>
      </c>
      <c r="D11217" t="s">
        <v>18840</v>
      </c>
      <c r="E11217" t="s">
        <v>19785</v>
      </c>
      <c r="F11217" t="s">
        <v>32664</v>
      </c>
      <c r="G11217" t="s">
        <v>32672</v>
      </c>
      <c r="H11217" t="s">
        <v>32683</v>
      </c>
      <c r="I11217" t="s">
        <v>10627</v>
      </c>
      <c r="J11217" t="s">
        <v>33167</v>
      </c>
      <c r="K11217" t="s">
        <v>42305</v>
      </c>
      <c r="M11217" t="s">
        <v>45891</v>
      </c>
      <c r="N11217" t="s">
        <v>46569</v>
      </c>
      <c r="O11217" t="s">
        <v>46570</v>
      </c>
      <c r="P11217">
        <v>0</v>
      </c>
      <c r="Q11217">
        <v>0</v>
      </c>
      <c r="R11217" t="s">
        <v>46579</v>
      </c>
      <c r="S11217" t="s">
        <v>46919</v>
      </c>
      <c r="T11217" t="s">
        <v>48238</v>
      </c>
      <c r="U11217" t="s">
        <v>57784</v>
      </c>
      <c r="W11217" t="s">
        <v>45891</v>
      </c>
      <c r="X11217" t="s">
        <v>46580</v>
      </c>
    </row>
    <row r="11218" spans="1:24">
      <c r="A11218">
        <f>HYPERLINK("https://www.philgeps.gov.ph/GEPSNONPILOT/Tender/SplashBidNoticeAbstractUI.aspx?menuIndex=3&amp;refID=7047313&amp;Result=3","7047313")</f>
        <v>0</v>
      </c>
      <c r="B11218" t="s">
        <v>3020</v>
      </c>
      <c r="C11218" t="s">
        <v>14160</v>
      </c>
      <c r="D11218" t="s">
        <v>18814</v>
      </c>
      <c r="E11218" t="s">
        <v>28553</v>
      </c>
      <c r="F11218" t="s">
        <v>32664</v>
      </c>
      <c r="G11218" t="s">
        <v>32674</v>
      </c>
      <c r="H11218" t="s">
        <v>12635</v>
      </c>
      <c r="I11218" t="s">
        <v>32728</v>
      </c>
      <c r="J11218" t="s">
        <v>33021</v>
      </c>
      <c r="K11218" t="s">
        <v>42281</v>
      </c>
      <c r="M11218" t="s">
        <v>45892</v>
      </c>
      <c r="N11218" t="s">
        <v>46569</v>
      </c>
      <c r="O11218" t="s">
        <v>46570</v>
      </c>
      <c r="P11218">
        <v>0</v>
      </c>
      <c r="Q11218">
        <v>6</v>
      </c>
      <c r="R11218" t="s">
        <v>46579</v>
      </c>
      <c r="S11218" t="s">
        <v>46919</v>
      </c>
      <c r="T11218" t="s">
        <v>48287</v>
      </c>
      <c r="U11218" t="s">
        <v>57785</v>
      </c>
      <c r="W11218" t="s">
        <v>63582</v>
      </c>
      <c r="X11218" t="s">
        <v>46580</v>
      </c>
    </row>
    <row r="11219" spans="1:24">
      <c r="A11219">
        <f>HYPERLINK("https://www.philgeps.gov.ph/GEPSNONPILOT/Tender/SplashBidNoticeAbstractUI.aspx?menuIndex=3&amp;refID=7047410&amp;Result=3","7047410")</f>
        <v>0</v>
      </c>
      <c r="B11219" t="s">
        <v>448</v>
      </c>
      <c r="C11219" t="s">
        <v>14161</v>
      </c>
      <c r="D11219" t="s">
        <v>18788</v>
      </c>
      <c r="E11219" t="s">
        <v>28554</v>
      </c>
      <c r="F11219" t="s">
        <v>32664</v>
      </c>
      <c r="G11219" t="s">
        <v>32672</v>
      </c>
      <c r="H11219" t="s">
        <v>32683</v>
      </c>
      <c r="I11219" t="s">
        <v>10627</v>
      </c>
      <c r="J11219" t="s">
        <v>39458</v>
      </c>
      <c r="K11219" t="s">
        <v>42298</v>
      </c>
      <c r="M11219" t="s">
        <v>43021</v>
      </c>
      <c r="N11219" t="s">
        <v>46569</v>
      </c>
      <c r="O11219" t="s">
        <v>46570</v>
      </c>
      <c r="P11219">
        <v>0</v>
      </c>
      <c r="Q11219">
        <v>0</v>
      </c>
      <c r="R11219" t="s">
        <v>46579</v>
      </c>
      <c r="S11219" t="s">
        <v>46919</v>
      </c>
      <c r="T11219" t="s">
        <v>48303</v>
      </c>
      <c r="U11219" t="s">
        <v>54973</v>
      </c>
      <c r="W11219" t="s">
        <v>43021</v>
      </c>
      <c r="X11219" t="s">
        <v>46580</v>
      </c>
    </row>
    <row r="11220" spans="1:24">
      <c r="A11220">
        <f>HYPERLINK("https://www.philgeps.gov.ph/GEPSNONPILOT/Tender/SplashBidNoticeAbstractUI.aspx?menuIndex=3&amp;refID=7047532&amp;Result=3","7047532")</f>
        <v>0</v>
      </c>
      <c r="B11220" t="s">
        <v>1292</v>
      </c>
      <c r="C11220" t="s">
        <v>14162</v>
      </c>
      <c r="D11220" t="s">
        <v>18807</v>
      </c>
      <c r="E11220" t="s">
        <v>28555</v>
      </c>
      <c r="F11220" t="s">
        <v>32665</v>
      </c>
      <c r="G11220" t="s">
        <v>32672</v>
      </c>
      <c r="H11220" t="s">
        <v>12635</v>
      </c>
      <c r="I11220" t="s">
        <v>14442</v>
      </c>
      <c r="J11220" t="s">
        <v>37027</v>
      </c>
      <c r="K11220" t="s">
        <v>42281</v>
      </c>
      <c r="M11220" t="s">
        <v>43936</v>
      </c>
      <c r="N11220" t="s">
        <v>46569</v>
      </c>
      <c r="O11220" t="s">
        <v>46570</v>
      </c>
      <c r="P11220">
        <v>0</v>
      </c>
      <c r="Q11220">
        <v>4</v>
      </c>
      <c r="R11220" t="s">
        <v>46579</v>
      </c>
      <c r="S11220" t="s">
        <v>46919</v>
      </c>
      <c r="T11220" t="s">
        <v>48304</v>
      </c>
      <c r="U11220" t="s">
        <v>57786</v>
      </c>
      <c r="V11220" t="s">
        <v>61958</v>
      </c>
      <c r="W11220" t="s">
        <v>63509</v>
      </c>
      <c r="X11220" t="s">
        <v>46580</v>
      </c>
    </row>
    <row r="11221" spans="1:24">
      <c r="A11221">
        <f>HYPERLINK("https://www.philgeps.gov.ph/GEPSNONPILOT/Tender/SplashBidNoticeAbstractUI.aspx?menuIndex=3&amp;refID=7047402&amp;Result=3","7047402")</f>
        <v>0</v>
      </c>
      <c r="B11221" t="s">
        <v>448</v>
      </c>
      <c r="C11221" t="s">
        <v>14163</v>
      </c>
      <c r="D11221" t="s">
        <v>18788</v>
      </c>
      <c r="E11221" t="s">
        <v>28556</v>
      </c>
      <c r="F11221" t="s">
        <v>32664</v>
      </c>
      <c r="G11221" t="s">
        <v>32672</v>
      </c>
      <c r="H11221" t="s">
        <v>32683</v>
      </c>
      <c r="I11221" t="s">
        <v>10627</v>
      </c>
      <c r="J11221" t="s">
        <v>39459</v>
      </c>
      <c r="K11221" t="s">
        <v>42290</v>
      </c>
      <c r="M11221" t="s">
        <v>43021</v>
      </c>
      <c r="N11221" t="s">
        <v>46569</v>
      </c>
      <c r="O11221" t="s">
        <v>46570</v>
      </c>
      <c r="P11221">
        <v>0</v>
      </c>
      <c r="Q11221">
        <v>0</v>
      </c>
      <c r="R11221" t="s">
        <v>46579</v>
      </c>
      <c r="S11221" t="s">
        <v>46919</v>
      </c>
      <c r="T11221" t="s">
        <v>48303</v>
      </c>
      <c r="U11221" t="s">
        <v>54973</v>
      </c>
      <c r="W11221" t="s">
        <v>43021</v>
      </c>
      <c r="X11221" t="s">
        <v>46580</v>
      </c>
    </row>
    <row r="11222" spans="1:24">
      <c r="A11222">
        <f>HYPERLINK("https://www.philgeps.gov.ph/GEPSNONPILOT/Tender/SplashBidNoticeAbstractUI.aspx?menuIndex=3&amp;refID=7047536&amp;Result=3","7047536")</f>
        <v>0</v>
      </c>
      <c r="B11222" t="s">
        <v>448</v>
      </c>
      <c r="C11222" t="s">
        <v>14164</v>
      </c>
      <c r="D11222" t="s">
        <v>18788</v>
      </c>
      <c r="E11222" t="s">
        <v>28557</v>
      </c>
      <c r="F11222" t="s">
        <v>32664</v>
      </c>
      <c r="G11222" t="s">
        <v>32672</v>
      </c>
      <c r="H11222" t="s">
        <v>32683</v>
      </c>
      <c r="I11222" t="s">
        <v>10627</v>
      </c>
      <c r="J11222" t="s">
        <v>39460</v>
      </c>
      <c r="K11222" t="s">
        <v>42281</v>
      </c>
      <c r="M11222" t="s">
        <v>43021</v>
      </c>
      <c r="N11222" t="s">
        <v>46569</v>
      </c>
      <c r="O11222" t="s">
        <v>46570</v>
      </c>
      <c r="P11222">
        <v>0</v>
      </c>
      <c r="Q11222">
        <v>0</v>
      </c>
      <c r="R11222" t="s">
        <v>46579</v>
      </c>
      <c r="S11222" t="s">
        <v>46919</v>
      </c>
      <c r="T11222" t="s">
        <v>48307</v>
      </c>
      <c r="U11222" t="s">
        <v>54973</v>
      </c>
      <c r="W11222" t="s">
        <v>43021</v>
      </c>
      <c r="X11222" t="s">
        <v>46580</v>
      </c>
    </row>
    <row r="11223" spans="1:24">
      <c r="A11223">
        <f>HYPERLINK("https://www.philgeps.gov.ph/GEPSNONPILOT/Tender/SplashBidNoticeAbstractUI.aspx?menuIndex=3&amp;refID=7047385&amp;Result=3","7047385")</f>
        <v>0</v>
      </c>
      <c r="B11223" t="s">
        <v>1781</v>
      </c>
      <c r="C11223" t="s">
        <v>14165</v>
      </c>
      <c r="D11223" t="s">
        <v>18807</v>
      </c>
      <c r="E11223" t="s">
        <v>28558</v>
      </c>
      <c r="F11223" t="s">
        <v>32664</v>
      </c>
      <c r="G11223" t="s">
        <v>32672</v>
      </c>
      <c r="H11223" t="s">
        <v>32682</v>
      </c>
      <c r="I11223" t="s">
        <v>11464</v>
      </c>
      <c r="J11223" t="s">
        <v>32943</v>
      </c>
      <c r="K11223" t="s">
        <v>42311</v>
      </c>
      <c r="M11223" t="s">
        <v>44483</v>
      </c>
      <c r="N11223" t="s">
        <v>46569</v>
      </c>
      <c r="O11223" t="s">
        <v>46570</v>
      </c>
      <c r="P11223">
        <v>0</v>
      </c>
      <c r="Q11223">
        <v>4</v>
      </c>
      <c r="R11223" t="s">
        <v>46579</v>
      </c>
      <c r="S11223" t="s">
        <v>46919</v>
      </c>
      <c r="T11223" t="s">
        <v>48675</v>
      </c>
      <c r="U11223" t="s">
        <v>57787</v>
      </c>
      <c r="V11223" t="s">
        <v>62835</v>
      </c>
      <c r="W11223" t="s">
        <v>44483</v>
      </c>
      <c r="X11223" t="s">
        <v>46580</v>
      </c>
    </row>
    <row r="11224" spans="1:24">
      <c r="A11224">
        <f>HYPERLINK("https://www.philgeps.gov.ph/GEPSNONPILOT/Tender/SplashBidNoticeAbstractUI.aspx?menuIndex=3&amp;refID=7047314&amp;Result=3","7047314")</f>
        <v>0</v>
      </c>
      <c r="B11224" t="s">
        <v>3021</v>
      </c>
      <c r="C11224" t="s">
        <v>14166</v>
      </c>
      <c r="D11224" t="s">
        <v>18782</v>
      </c>
      <c r="E11224" t="s">
        <v>28559</v>
      </c>
      <c r="F11224" t="s">
        <v>32664</v>
      </c>
      <c r="G11224" t="s">
        <v>32672</v>
      </c>
      <c r="H11224" t="s">
        <v>12635</v>
      </c>
      <c r="I11224" t="s">
        <v>10627</v>
      </c>
      <c r="J11224" t="s">
        <v>39461</v>
      </c>
      <c r="K11224" t="s">
        <v>42311</v>
      </c>
      <c r="M11224" t="s">
        <v>45893</v>
      </c>
      <c r="N11224" t="s">
        <v>46569</v>
      </c>
      <c r="O11224" t="s">
        <v>46570</v>
      </c>
      <c r="Q11224">
        <v>2</v>
      </c>
      <c r="R11224" t="s">
        <v>46579</v>
      </c>
      <c r="S11224" t="s">
        <v>46931</v>
      </c>
      <c r="T11224" t="s">
        <v>48343</v>
      </c>
      <c r="U11224" t="s">
        <v>57788</v>
      </c>
      <c r="W11224" t="s">
        <v>45893</v>
      </c>
      <c r="X11224" t="s">
        <v>46580</v>
      </c>
    </row>
    <row r="11225" spans="1:24">
      <c r="A11225">
        <f>HYPERLINK("https://www.philgeps.gov.ph/GEPSNONPILOT/Tender/SplashBidNoticeAbstractUI.aspx?menuIndex=3&amp;refID=7047522&amp;Result=3","7047522")</f>
        <v>0</v>
      </c>
      <c r="B11225" t="s">
        <v>3022</v>
      </c>
      <c r="C11225" t="s">
        <v>14167</v>
      </c>
      <c r="D11225" t="s">
        <v>18785</v>
      </c>
      <c r="E11225" t="s">
        <v>18889</v>
      </c>
      <c r="F11225" t="s">
        <v>32664</v>
      </c>
      <c r="G11225" t="s">
        <v>32672</v>
      </c>
      <c r="H11225" t="s">
        <v>12635</v>
      </c>
      <c r="I11225" t="s">
        <v>10370</v>
      </c>
      <c r="J11225" t="s">
        <v>39462</v>
      </c>
      <c r="K11225" t="s">
        <v>42281</v>
      </c>
      <c r="M11225" t="s">
        <v>45894</v>
      </c>
      <c r="N11225" t="s">
        <v>46569</v>
      </c>
      <c r="O11225" t="s">
        <v>46570</v>
      </c>
      <c r="P11225">
        <v>0</v>
      </c>
      <c r="Q11225">
        <v>9</v>
      </c>
      <c r="R11225" t="s">
        <v>46579</v>
      </c>
      <c r="S11225" t="s">
        <v>46919</v>
      </c>
      <c r="T11225" t="s">
        <v>48303</v>
      </c>
      <c r="U11225" t="s">
        <v>57789</v>
      </c>
      <c r="W11225" t="s">
        <v>45894</v>
      </c>
      <c r="X11225" t="s">
        <v>46580</v>
      </c>
    </row>
    <row r="11226" spans="1:24">
      <c r="A11226">
        <f>HYPERLINK("https://www.philgeps.gov.ph/GEPSNONPILOT/Tender/SplashBidNoticeAbstractUI.aspx?menuIndex=3&amp;refID=7047525&amp;Result=3","7047525")</f>
        <v>0</v>
      </c>
      <c r="B11226" t="s">
        <v>110</v>
      </c>
      <c r="C11226" t="s">
        <v>14168</v>
      </c>
      <c r="D11226" t="s">
        <v>18826</v>
      </c>
      <c r="E11226" t="s">
        <v>28560</v>
      </c>
      <c r="F11226" t="s">
        <v>32664</v>
      </c>
      <c r="G11226" t="s">
        <v>32672</v>
      </c>
      <c r="H11226" t="s">
        <v>32683</v>
      </c>
      <c r="I11226" t="s">
        <v>10627</v>
      </c>
      <c r="J11226" t="s">
        <v>39463</v>
      </c>
      <c r="K11226" t="s">
        <v>42290</v>
      </c>
      <c r="M11226" t="s">
        <v>43665</v>
      </c>
      <c r="N11226" t="s">
        <v>46569</v>
      </c>
      <c r="O11226" t="s">
        <v>46570</v>
      </c>
      <c r="P11226">
        <v>0</v>
      </c>
      <c r="Q11226">
        <v>9</v>
      </c>
      <c r="R11226" t="s">
        <v>46579</v>
      </c>
      <c r="S11226" t="s">
        <v>46919</v>
      </c>
      <c r="T11226" t="s">
        <v>48212</v>
      </c>
      <c r="U11226" t="s">
        <v>50948</v>
      </c>
      <c r="W11226" t="s">
        <v>43665</v>
      </c>
      <c r="X11226" t="s">
        <v>46580</v>
      </c>
    </row>
    <row r="11227" spans="1:24">
      <c r="A11227">
        <f>HYPERLINK("https://www.philgeps.gov.ph/GEPSNONPILOT/Tender/SplashBidNoticeAbstractUI.aspx?menuIndex=3&amp;refID=7047511&amp;Result=3","7047511")</f>
        <v>0</v>
      </c>
      <c r="B11227" t="s">
        <v>3023</v>
      </c>
      <c r="C11227" t="s">
        <v>14169</v>
      </c>
      <c r="D11227" t="s">
        <v>18827</v>
      </c>
      <c r="E11227" t="s">
        <v>28561</v>
      </c>
      <c r="F11227" t="s">
        <v>32664</v>
      </c>
      <c r="G11227" t="s">
        <v>32672</v>
      </c>
      <c r="H11227" t="s">
        <v>12635</v>
      </c>
      <c r="I11227" t="s">
        <v>32729</v>
      </c>
      <c r="J11227" t="s">
        <v>33273</v>
      </c>
      <c r="K11227" t="s">
        <v>42309</v>
      </c>
      <c r="M11227" t="s">
        <v>45895</v>
      </c>
      <c r="N11227" t="s">
        <v>46569</v>
      </c>
      <c r="O11227" t="s">
        <v>46570</v>
      </c>
      <c r="P11227">
        <v>0</v>
      </c>
      <c r="Q11227">
        <v>9</v>
      </c>
      <c r="R11227" t="s">
        <v>46579</v>
      </c>
      <c r="S11227" t="s">
        <v>46919</v>
      </c>
      <c r="T11227" t="s">
        <v>48394</v>
      </c>
      <c r="U11227" t="s">
        <v>57790</v>
      </c>
      <c r="W11227" t="s">
        <v>45895</v>
      </c>
      <c r="X11227" t="s">
        <v>46580</v>
      </c>
    </row>
    <row r="11228" spans="1:24">
      <c r="A11228">
        <f>HYPERLINK("https://www.philgeps.gov.ph/GEPSNONPILOT/Tender/SplashBidNoticeAbstractUI.aspx?menuIndex=3&amp;refID=7047510&amp;Result=3","7047510")</f>
        <v>0</v>
      </c>
      <c r="B11228" t="s">
        <v>310</v>
      </c>
      <c r="C11228" t="s">
        <v>14170</v>
      </c>
      <c r="D11228" t="s">
        <v>18789</v>
      </c>
      <c r="E11228" t="s">
        <v>28562</v>
      </c>
      <c r="F11228" t="s">
        <v>32664</v>
      </c>
      <c r="G11228" t="s">
        <v>32672</v>
      </c>
      <c r="H11228" t="s">
        <v>32683</v>
      </c>
      <c r="I11228" t="s">
        <v>4439</v>
      </c>
      <c r="J11228" t="s">
        <v>39464</v>
      </c>
      <c r="K11228" t="s">
        <v>42327</v>
      </c>
      <c r="M11228" t="s">
        <v>42877</v>
      </c>
      <c r="N11228" t="s">
        <v>46569</v>
      </c>
      <c r="O11228" t="s">
        <v>46570</v>
      </c>
      <c r="P11228">
        <v>0</v>
      </c>
      <c r="Q11228">
        <v>2</v>
      </c>
      <c r="R11228" t="s">
        <v>46579</v>
      </c>
      <c r="S11228" t="s">
        <v>46919</v>
      </c>
      <c r="T11228" t="s">
        <v>48452</v>
      </c>
      <c r="U11228" t="s">
        <v>57791</v>
      </c>
      <c r="V11228" t="s">
        <v>62832</v>
      </c>
      <c r="W11228" t="s">
        <v>42877</v>
      </c>
      <c r="X11228" t="s">
        <v>46580</v>
      </c>
    </row>
    <row r="11229" spans="1:24">
      <c r="A11229">
        <f>HYPERLINK("https://www.philgeps.gov.ph/GEPSNONPILOT/Tender/SplashBidNoticeAbstractUI.aspx?menuIndex=3&amp;refID=7047502&amp;Result=3","7047502")</f>
        <v>0</v>
      </c>
      <c r="B11229" t="s">
        <v>1958</v>
      </c>
      <c r="C11229" t="s">
        <v>14171</v>
      </c>
      <c r="D11229" t="s">
        <v>18841</v>
      </c>
      <c r="E11229" t="s">
        <v>28563</v>
      </c>
      <c r="F11229" t="s">
        <v>32665</v>
      </c>
      <c r="G11229" t="s">
        <v>32672</v>
      </c>
      <c r="H11229" t="s">
        <v>12635</v>
      </c>
      <c r="I11229" t="s">
        <v>4439</v>
      </c>
      <c r="J11229" t="s">
        <v>39465</v>
      </c>
      <c r="K11229" t="s">
        <v>42289</v>
      </c>
      <c r="M11229" t="s">
        <v>44687</v>
      </c>
      <c r="N11229" t="s">
        <v>46569</v>
      </c>
      <c r="O11229" t="s">
        <v>46570</v>
      </c>
      <c r="P11229">
        <v>0</v>
      </c>
      <c r="Q11229">
        <v>0</v>
      </c>
      <c r="R11229" t="s">
        <v>46579</v>
      </c>
      <c r="S11229" t="s">
        <v>46919</v>
      </c>
      <c r="T11229" t="s">
        <v>48304</v>
      </c>
      <c r="U11229" t="s">
        <v>53650</v>
      </c>
      <c r="W11229" t="s">
        <v>44687</v>
      </c>
      <c r="X11229" t="s">
        <v>46580</v>
      </c>
    </row>
    <row r="11230" spans="1:24">
      <c r="A11230">
        <f>HYPERLINK("https://www.philgeps.gov.ph/GEPSNONPILOT/Tender/SplashBidNoticeAbstractUI.aspx?menuIndex=3&amp;refID=7047550&amp;Result=3","7047550")</f>
        <v>0</v>
      </c>
      <c r="B11230" t="s">
        <v>708</v>
      </c>
      <c r="C11230" t="s">
        <v>14172</v>
      </c>
      <c r="D11230" t="s">
        <v>18792</v>
      </c>
      <c r="E11230" t="s">
        <v>28564</v>
      </c>
      <c r="F11230" t="s">
        <v>32664</v>
      </c>
      <c r="G11230" t="s">
        <v>32672</v>
      </c>
      <c r="H11230" t="s">
        <v>32683</v>
      </c>
      <c r="I11230" t="s">
        <v>4439</v>
      </c>
      <c r="J11230" t="s">
        <v>39466</v>
      </c>
      <c r="K11230" t="s">
        <v>42311</v>
      </c>
      <c r="M11230" t="s">
        <v>43295</v>
      </c>
      <c r="N11230" t="s">
        <v>46569</v>
      </c>
      <c r="O11230" t="s">
        <v>46570</v>
      </c>
      <c r="P11230">
        <v>0</v>
      </c>
      <c r="Q11230">
        <v>1</v>
      </c>
      <c r="R11230" t="s">
        <v>46579</v>
      </c>
      <c r="S11230" t="s">
        <v>46919</v>
      </c>
      <c r="T11230" t="s">
        <v>48405</v>
      </c>
      <c r="U11230" t="s">
        <v>57792</v>
      </c>
      <c r="W11230" t="s">
        <v>43295</v>
      </c>
      <c r="X11230" t="s">
        <v>46580</v>
      </c>
    </row>
    <row r="11231" spans="1:24">
      <c r="A11231">
        <f>HYPERLINK("https://www.philgeps.gov.ph/GEPSNONPILOT/Tender/SplashBidNoticeAbstractUI.aspx?menuIndex=3&amp;refID=7047451&amp;Result=3","7047451")</f>
        <v>0</v>
      </c>
      <c r="B11231" t="s">
        <v>1865</v>
      </c>
      <c r="C11231" t="s">
        <v>14173</v>
      </c>
      <c r="D11231" t="s">
        <v>18841</v>
      </c>
      <c r="E11231" t="s">
        <v>28565</v>
      </c>
      <c r="F11231" t="s">
        <v>32664</v>
      </c>
      <c r="G11231" t="s">
        <v>32672</v>
      </c>
      <c r="H11231" t="s">
        <v>32683</v>
      </c>
      <c r="I11231" t="s">
        <v>10627</v>
      </c>
      <c r="J11231" t="s">
        <v>34041</v>
      </c>
      <c r="K11231" t="s">
        <v>42318</v>
      </c>
      <c r="M11231" t="s">
        <v>44578</v>
      </c>
      <c r="N11231" t="s">
        <v>46569</v>
      </c>
      <c r="O11231" t="s">
        <v>46570</v>
      </c>
      <c r="P11231">
        <v>0</v>
      </c>
      <c r="Q11231">
        <v>0</v>
      </c>
      <c r="R11231" t="s">
        <v>46579</v>
      </c>
      <c r="S11231" t="s">
        <v>46919</v>
      </c>
      <c r="T11231" t="s">
        <v>48580</v>
      </c>
      <c r="U11231" t="s">
        <v>57793</v>
      </c>
      <c r="W11231" t="s">
        <v>44578</v>
      </c>
      <c r="X11231" t="s">
        <v>46580</v>
      </c>
    </row>
    <row r="11232" spans="1:24">
      <c r="A11232">
        <f>HYPERLINK("https://www.philgeps.gov.ph/GEPSNONPILOT/Tender/SplashBidNoticeAbstractUI.aspx?menuIndex=3&amp;refID=7047526&amp;Result=3","7047526")</f>
        <v>0</v>
      </c>
      <c r="B11232" t="s">
        <v>448</v>
      </c>
      <c r="C11232" t="s">
        <v>14174</v>
      </c>
      <c r="D11232" t="s">
        <v>18788</v>
      </c>
      <c r="E11232" t="s">
        <v>28566</v>
      </c>
      <c r="F11232" t="s">
        <v>32664</v>
      </c>
      <c r="G11232" t="s">
        <v>32672</v>
      </c>
      <c r="H11232" t="s">
        <v>32683</v>
      </c>
      <c r="I11232" t="s">
        <v>10627</v>
      </c>
      <c r="J11232" t="s">
        <v>39467</v>
      </c>
      <c r="K11232" t="s">
        <v>42305</v>
      </c>
      <c r="M11232" t="s">
        <v>43021</v>
      </c>
      <c r="N11232" t="s">
        <v>46569</v>
      </c>
      <c r="O11232" t="s">
        <v>46570</v>
      </c>
      <c r="P11232">
        <v>0</v>
      </c>
      <c r="Q11232">
        <v>0</v>
      </c>
      <c r="R11232" t="s">
        <v>46579</v>
      </c>
      <c r="S11232" t="s">
        <v>46919</v>
      </c>
      <c r="T11232" t="s">
        <v>48307</v>
      </c>
      <c r="U11232" t="s">
        <v>54973</v>
      </c>
      <c r="W11232" t="s">
        <v>43021</v>
      </c>
      <c r="X11232" t="s">
        <v>46580</v>
      </c>
    </row>
    <row r="11233" spans="1:24">
      <c r="A11233">
        <f>HYPERLINK("https://www.philgeps.gov.ph/GEPSNONPILOT/Tender/SplashBidNoticeAbstractUI.aspx?menuIndex=3&amp;refID=7047668&amp;Result=3","7047668")</f>
        <v>0</v>
      </c>
      <c r="B11233" t="s">
        <v>3024</v>
      </c>
      <c r="C11233" t="s">
        <v>14175</v>
      </c>
      <c r="D11233" t="s">
        <v>18805</v>
      </c>
      <c r="E11233" t="s">
        <v>28567</v>
      </c>
      <c r="F11233" t="s">
        <v>32664</v>
      </c>
      <c r="G11233" t="s">
        <v>32672</v>
      </c>
      <c r="H11233" t="s">
        <v>12635</v>
      </c>
      <c r="I11233" t="s">
        <v>8730</v>
      </c>
      <c r="J11233" t="s">
        <v>39468</v>
      </c>
      <c r="K11233" t="s">
        <v>42297</v>
      </c>
      <c r="L11233" t="s">
        <v>3024</v>
      </c>
      <c r="M11233" t="s">
        <v>45896</v>
      </c>
      <c r="N11233" t="s">
        <v>46569</v>
      </c>
      <c r="O11233" t="s">
        <v>46570</v>
      </c>
      <c r="P11233">
        <v>0</v>
      </c>
      <c r="Q11233">
        <v>13</v>
      </c>
      <c r="R11233" t="s">
        <v>46579</v>
      </c>
      <c r="S11233" t="s">
        <v>46919</v>
      </c>
      <c r="T11233" t="s">
        <v>48238</v>
      </c>
      <c r="U11233" t="s">
        <v>57794</v>
      </c>
      <c r="W11233" t="s">
        <v>45896</v>
      </c>
      <c r="X11233" t="s">
        <v>46580</v>
      </c>
    </row>
    <row r="11234" spans="1:24">
      <c r="A11234">
        <f>HYPERLINK("https://www.philgeps.gov.ph/GEPSNONPILOT/Tender/SplashBidNoticeAbstractUI.aspx?menuIndex=3&amp;refID=7047524&amp;Result=3","7047524")</f>
        <v>0</v>
      </c>
      <c r="B11234" t="s">
        <v>365</v>
      </c>
      <c r="C11234" t="s">
        <v>14176</v>
      </c>
      <c r="D11234" t="s">
        <v>18816</v>
      </c>
      <c r="E11234" t="s">
        <v>19677</v>
      </c>
      <c r="F11234" t="s">
        <v>32664</v>
      </c>
      <c r="G11234" t="s">
        <v>32672</v>
      </c>
      <c r="H11234" t="s">
        <v>12635</v>
      </c>
      <c r="I11234" t="s">
        <v>32711</v>
      </c>
      <c r="J11234" t="s">
        <v>33657</v>
      </c>
      <c r="K11234" t="s">
        <v>42281</v>
      </c>
      <c r="M11234" t="s">
        <v>42934</v>
      </c>
      <c r="N11234" t="s">
        <v>46569</v>
      </c>
      <c r="O11234" t="s">
        <v>46570</v>
      </c>
      <c r="P11234">
        <v>0</v>
      </c>
      <c r="Q11234">
        <v>1</v>
      </c>
      <c r="R11234" t="s">
        <v>46579</v>
      </c>
      <c r="S11234" t="s">
        <v>46919</v>
      </c>
      <c r="T11234" t="s">
        <v>48238</v>
      </c>
      <c r="U11234" t="s">
        <v>57795</v>
      </c>
      <c r="V11234" t="s">
        <v>62836</v>
      </c>
      <c r="W11234" t="s">
        <v>42934</v>
      </c>
      <c r="X11234" t="s">
        <v>46580</v>
      </c>
    </row>
    <row r="11235" spans="1:24">
      <c r="A11235">
        <f>HYPERLINK("https://www.philgeps.gov.ph/GEPSNONPILOT/Tender/SplashBidNoticeAbstractUI.aspx?menuIndex=3&amp;refID=7047667&amp;Result=3","7047667")</f>
        <v>0</v>
      </c>
      <c r="B11235" t="s">
        <v>45</v>
      </c>
      <c r="C11235" t="s">
        <v>14177</v>
      </c>
      <c r="D11235" t="s">
        <v>18789</v>
      </c>
      <c r="E11235" t="s">
        <v>28568</v>
      </c>
      <c r="F11235" t="s">
        <v>32664</v>
      </c>
      <c r="G11235" t="s">
        <v>32672</v>
      </c>
      <c r="H11235" t="s">
        <v>32683</v>
      </c>
      <c r="I11235" t="s">
        <v>10627</v>
      </c>
      <c r="J11235" t="s">
        <v>33009</v>
      </c>
      <c r="K11235" t="s">
        <v>42323</v>
      </c>
      <c r="M11235" t="s">
        <v>42607</v>
      </c>
      <c r="N11235" t="s">
        <v>46569</v>
      </c>
      <c r="O11235" t="s">
        <v>46570</v>
      </c>
      <c r="P11235">
        <v>0</v>
      </c>
      <c r="Q11235">
        <v>3</v>
      </c>
      <c r="R11235" t="s">
        <v>46579</v>
      </c>
      <c r="S11235" t="s">
        <v>46919</v>
      </c>
      <c r="T11235" t="s">
        <v>48467</v>
      </c>
      <c r="U11235" t="s">
        <v>57796</v>
      </c>
      <c r="W11235" t="s">
        <v>42607</v>
      </c>
      <c r="X11235" t="s">
        <v>46580</v>
      </c>
    </row>
    <row r="11236" spans="1:24">
      <c r="A11236">
        <f>HYPERLINK("https://www.philgeps.gov.ph/GEPSNONPILOT/Tender/SplashBidNoticeAbstractUI.aspx?menuIndex=3&amp;refID=7047645&amp;Result=3","7047645")</f>
        <v>0</v>
      </c>
      <c r="B11236" t="s">
        <v>3017</v>
      </c>
      <c r="C11236" t="s">
        <v>14178</v>
      </c>
      <c r="D11236" t="s">
        <v>18813</v>
      </c>
      <c r="E11236" t="s">
        <v>28569</v>
      </c>
      <c r="F11236" t="s">
        <v>32664</v>
      </c>
      <c r="G11236" t="s">
        <v>32672</v>
      </c>
      <c r="H11236" t="s">
        <v>12635</v>
      </c>
      <c r="I11236" t="s">
        <v>4439</v>
      </c>
      <c r="J11236" t="s">
        <v>39469</v>
      </c>
      <c r="K11236" t="s">
        <v>42340</v>
      </c>
      <c r="L11236" t="s">
        <v>3017</v>
      </c>
      <c r="M11236" t="s">
        <v>45889</v>
      </c>
      <c r="N11236" t="s">
        <v>46569</v>
      </c>
      <c r="O11236" t="s">
        <v>46570</v>
      </c>
      <c r="P11236">
        <v>0</v>
      </c>
      <c r="Q11236">
        <v>0</v>
      </c>
      <c r="R11236" t="s">
        <v>46579</v>
      </c>
      <c r="S11236" t="s">
        <v>46919</v>
      </c>
      <c r="T11236" t="s">
        <v>48676</v>
      </c>
      <c r="U11236" t="s">
        <v>57775</v>
      </c>
      <c r="V11236" t="s">
        <v>62833</v>
      </c>
      <c r="W11236" t="s">
        <v>45889</v>
      </c>
      <c r="X11236" t="s">
        <v>46580</v>
      </c>
    </row>
    <row r="11237" spans="1:24">
      <c r="A11237">
        <f>HYPERLINK("https://www.philgeps.gov.ph/GEPSNONPILOT/Tender/SplashBidNoticeAbstractUI.aspx?menuIndex=3&amp;refID=7047495&amp;Result=3","7047495")</f>
        <v>0</v>
      </c>
      <c r="B11237" t="s">
        <v>133</v>
      </c>
      <c r="C11237" t="s">
        <v>14179</v>
      </c>
      <c r="D11237" t="s">
        <v>18832</v>
      </c>
      <c r="E11237" t="s">
        <v>28570</v>
      </c>
      <c r="F11237" t="s">
        <v>32664</v>
      </c>
      <c r="G11237" t="s">
        <v>32672</v>
      </c>
      <c r="H11237" t="s">
        <v>32683</v>
      </c>
      <c r="I11237" t="s">
        <v>10627</v>
      </c>
      <c r="J11237" t="s">
        <v>39470</v>
      </c>
      <c r="K11237" t="s">
        <v>42289</v>
      </c>
      <c r="M11237" t="s">
        <v>42697</v>
      </c>
      <c r="N11237" t="s">
        <v>46569</v>
      </c>
      <c r="O11237" t="s">
        <v>46570</v>
      </c>
      <c r="P11237">
        <v>0</v>
      </c>
      <c r="Q11237">
        <v>0</v>
      </c>
      <c r="R11237" t="s">
        <v>46579</v>
      </c>
      <c r="S11237" t="s">
        <v>46919</v>
      </c>
      <c r="T11237" t="s">
        <v>48293</v>
      </c>
      <c r="U11237" t="s">
        <v>57797</v>
      </c>
      <c r="W11237" t="s">
        <v>42697</v>
      </c>
      <c r="X11237" t="s">
        <v>46580</v>
      </c>
    </row>
    <row r="11238" spans="1:24">
      <c r="A11238">
        <f>HYPERLINK("https://www.philgeps.gov.ph/GEPSNONPILOT/Tender/SplashBidNoticeAbstractUI.aspx?menuIndex=3&amp;refID=7047642&amp;Result=3","7047642")</f>
        <v>0</v>
      </c>
      <c r="B11238" t="s">
        <v>448</v>
      </c>
      <c r="C11238" t="s">
        <v>14180</v>
      </c>
      <c r="D11238" t="s">
        <v>18788</v>
      </c>
      <c r="E11238" t="s">
        <v>28571</v>
      </c>
      <c r="F11238" t="s">
        <v>32664</v>
      </c>
      <c r="G11238" t="s">
        <v>32672</v>
      </c>
      <c r="H11238" t="s">
        <v>12635</v>
      </c>
      <c r="I11238" t="s">
        <v>11464</v>
      </c>
      <c r="J11238" t="s">
        <v>32982</v>
      </c>
      <c r="K11238" t="s">
        <v>42289</v>
      </c>
      <c r="M11238" t="s">
        <v>43021</v>
      </c>
      <c r="N11238" t="s">
        <v>46569</v>
      </c>
      <c r="O11238" t="s">
        <v>46570</v>
      </c>
      <c r="P11238">
        <v>0</v>
      </c>
      <c r="Q11238">
        <v>5</v>
      </c>
      <c r="R11238" t="s">
        <v>46579</v>
      </c>
      <c r="S11238" t="s">
        <v>46919</v>
      </c>
      <c r="T11238" t="s">
        <v>48303</v>
      </c>
      <c r="U11238" t="s">
        <v>50744</v>
      </c>
      <c r="W11238" t="s">
        <v>43021</v>
      </c>
      <c r="X11238" t="s">
        <v>46580</v>
      </c>
    </row>
    <row r="11239" spans="1:24">
      <c r="A11239">
        <f>HYPERLINK("https://www.philgeps.gov.ph/GEPSNONPILOT/Tender/SplashBidNoticeAbstractUI.aspx?menuIndex=3&amp;refID=7047570&amp;Result=3","7047570")</f>
        <v>0</v>
      </c>
      <c r="B11239" t="s">
        <v>448</v>
      </c>
      <c r="C11239" t="s">
        <v>14181</v>
      </c>
      <c r="D11239" t="s">
        <v>18788</v>
      </c>
      <c r="E11239" t="s">
        <v>28572</v>
      </c>
      <c r="F11239" t="s">
        <v>32664</v>
      </c>
      <c r="G11239" t="s">
        <v>32671</v>
      </c>
      <c r="H11239" t="s">
        <v>32683</v>
      </c>
      <c r="I11239" t="s">
        <v>10627</v>
      </c>
      <c r="J11239" t="s">
        <v>39471</v>
      </c>
      <c r="K11239" t="s">
        <v>42281</v>
      </c>
      <c r="M11239" t="s">
        <v>43021</v>
      </c>
      <c r="N11239" t="s">
        <v>46569</v>
      </c>
      <c r="O11239" t="s">
        <v>46570</v>
      </c>
      <c r="P11239">
        <v>0</v>
      </c>
      <c r="Q11239">
        <v>0</v>
      </c>
      <c r="R11239" t="s">
        <v>46579</v>
      </c>
      <c r="S11239" t="s">
        <v>46919</v>
      </c>
      <c r="T11239" t="s">
        <v>48307</v>
      </c>
      <c r="U11239" t="s">
        <v>57798</v>
      </c>
      <c r="W11239" t="s">
        <v>43021</v>
      </c>
      <c r="X11239" t="s">
        <v>46580</v>
      </c>
    </row>
    <row r="11240" spans="1:24">
      <c r="A11240">
        <f>HYPERLINK("https://www.philgeps.gov.ph/GEPSNONPILOT/Tender/SplashBidNoticeAbstractUI.aspx?menuIndex=3&amp;refID=7047634&amp;Result=3","7047634")</f>
        <v>0</v>
      </c>
      <c r="B11240" t="s">
        <v>3019</v>
      </c>
      <c r="C11240" t="s">
        <v>14182</v>
      </c>
      <c r="D11240" t="s">
        <v>18840</v>
      </c>
      <c r="E11240" t="s">
        <v>19780</v>
      </c>
      <c r="F11240" t="s">
        <v>32664</v>
      </c>
      <c r="G11240" t="s">
        <v>32672</v>
      </c>
      <c r="H11240" t="s">
        <v>32683</v>
      </c>
      <c r="I11240" t="s">
        <v>10627</v>
      </c>
      <c r="J11240" t="s">
        <v>32962</v>
      </c>
      <c r="K11240" t="s">
        <v>42305</v>
      </c>
      <c r="M11240" t="s">
        <v>45891</v>
      </c>
      <c r="N11240" t="s">
        <v>46569</v>
      </c>
      <c r="O11240" t="s">
        <v>46570</v>
      </c>
      <c r="P11240">
        <v>0</v>
      </c>
      <c r="Q11240">
        <v>0</v>
      </c>
      <c r="R11240" t="s">
        <v>46579</v>
      </c>
      <c r="S11240" t="s">
        <v>46919</v>
      </c>
      <c r="T11240" t="s">
        <v>48238</v>
      </c>
      <c r="U11240" t="s">
        <v>57799</v>
      </c>
      <c r="W11240" t="s">
        <v>45891</v>
      </c>
      <c r="X11240" t="s">
        <v>46580</v>
      </c>
    </row>
    <row r="11241" spans="1:24">
      <c r="A11241">
        <f>HYPERLINK("https://www.philgeps.gov.ph/GEPSNONPILOT/Tender/SplashBidNoticeAbstractUI.aspx?menuIndex=3&amp;refID=7047643&amp;Result=3","7047643")</f>
        <v>0</v>
      </c>
      <c r="B11241" t="s">
        <v>3025</v>
      </c>
      <c r="C11241" t="s">
        <v>14183</v>
      </c>
      <c r="D11241" t="s">
        <v>18842</v>
      </c>
      <c r="E11241" t="s">
        <v>28573</v>
      </c>
      <c r="F11241" t="s">
        <v>32664</v>
      </c>
      <c r="G11241" t="s">
        <v>32671</v>
      </c>
      <c r="H11241" t="s">
        <v>12635</v>
      </c>
      <c r="I11241" t="s">
        <v>6628</v>
      </c>
      <c r="J11241" t="s">
        <v>33189</v>
      </c>
      <c r="K11241" t="s">
        <v>42281</v>
      </c>
      <c r="M11241" t="s">
        <v>45897</v>
      </c>
      <c r="N11241" t="s">
        <v>46569</v>
      </c>
      <c r="O11241" t="s">
        <v>46570</v>
      </c>
      <c r="P11241">
        <v>0</v>
      </c>
      <c r="Q11241">
        <v>1</v>
      </c>
      <c r="R11241" t="s">
        <v>46579</v>
      </c>
      <c r="S11241" t="s">
        <v>46919</v>
      </c>
      <c r="T11241" t="s">
        <v>48448</v>
      </c>
      <c r="U11241" t="s">
        <v>57800</v>
      </c>
      <c r="W11241" t="s">
        <v>45897</v>
      </c>
      <c r="X11241" t="s">
        <v>46580</v>
      </c>
    </row>
    <row r="11242" spans="1:24">
      <c r="A11242">
        <f>HYPERLINK("https://www.philgeps.gov.ph/GEPSNONPILOT/Tender/SplashBidNoticeAbstractUI.aspx?menuIndex=3&amp;refID=7047625&amp;Result=3","7047625")</f>
        <v>0</v>
      </c>
      <c r="B11242" t="s">
        <v>448</v>
      </c>
      <c r="C11242" t="s">
        <v>14184</v>
      </c>
      <c r="D11242" t="s">
        <v>18788</v>
      </c>
      <c r="E11242" t="s">
        <v>28574</v>
      </c>
      <c r="F11242" t="s">
        <v>32664</v>
      </c>
      <c r="G11242" t="s">
        <v>32672</v>
      </c>
      <c r="H11242" t="s">
        <v>12635</v>
      </c>
      <c r="I11242" t="s">
        <v>32710</v>
      </c>
      <c r="J11242" t="s">
        <v>32982</v>
      </c>
      <c r="K11242" t="s">
        <v>42314</v>
      </c>
      <c r="M11242" t="s">
        <v>43021</v>
      </c>
      <c r="N11242" t="s">
        <v>46569</v>
      </c>
      <c r="O11242" t="s">
        <v>46570</v>
      </c>
      <c r="P11242">
        <v>0</v>
      </c>
      <c r="Q11242">
        <v>5</v>
      </c>
      <c r="R11242" t="s">
        <v>46579</v>
      </c>
      <c r="S11242" t="s">
        <v>46919</v>
      </c>
      <c r="T11242" t="s">
        <v>48303</v>
      </c>
      <c r="U11242" t="s">
        <v>57801</v>
      </c>
      <c r="W11242" t="s">
        <v>43021</v>
      </c>
      <c r="X11242" t="s">
        <v>46580</v>
      </c>
    </row>
    <row r="11243" spans="1:24">
      <c r="A11243">
        <f>HYPERLINK("https://www.philgeps.gov.ph/GEPSNONPILOT/Tender/SplashBidNoticeAbstractUI.aspx?menuIndex=3&amp;refID=7047633&amp;Result=3","7047633")</f>
        <v>0</v>
      </c>
      <c r="B11243" t="s">
        <v>184</v>
      </c>
      <c r="C11243" t="s">
        <v>14185</v>
      </c>
      <c r="D11243" t="s">
        <v>18825</v>
      </c>
      <c r="E11243" t="s">
        <v>28575</v>
      </c>
      <c r="F11243" t="s">
        <v>32664</v>
      </c>
      <c r="G11243" t="s">
        <v>32672</v>
      </c>
      <c r="H11243" t="s">
        <v>12635</v>
      </c>
      <c r="I11243" t="s">
        <v>32717</v>
      </c>
      <c r="J11243" t="s">
        <v>39472</v>
      </c>
      <c r="K11243" t="s">
        <v>42284</v>
      </c>
      <c r="M11243" t="s">
        <v>42884</v>
      </c>
      <c r="N11243" t="s">
        <v>46569</v>
      </c>
      <c r="O11243" t="s">
        <v>46570</v>
      </c>
      <c r="Q11243">
        <v>5</v>
      </c>
      <c r="R11243" t="s">
        <v>46579</v>
      </c>
      <c r="S11243" t="s">
        <v>46932</v>
      </c>
      <c r="T11243" t="s">
        <v>48238</v>
      </c>
      <c r="U11243" t="s">
        <v>57802</v>
      </c>
      <c r="W11243" t="s">
        <v>42884</v>
      </c>
      <c r="X11243" t="s">
        <v>46580</v>
      </c>
    </row>
    <row r="11244" spans="1:24">
      <c r="A11244">
        <f>HYPERLINK("https://www.philgeps.gov.ph/GEPSNONPILOT/Tender/SplashBidNoticeAbstractUI.aspx?menuIndex=3&amp;refID=7047627&amp;Result=3","7047627")</f>
        <v>0</v>
      </c>
      <c r="B11244" t="s">
        <v>3026</v>
      </c>
      <c r="C11244" t="s">
        <v>14186</v>
      </c>
      <c r="D11244" t="s">
        <v>18814</v>
      </c>
      <c r="E11244" t="s">
        <v>28576</v>
      </c>
      <c r="F11244" t="s">
        <v>32664</v>
      </c>
      <c r="G11244" t="s">
        <v>32672</v>
      </c>
      <c r="H11244" t="s">
        <v>12635</v>
      </c>
      <c r="I11244" t="s">
        <v>11464</v>
      </c>
      <c r="J11244" t="s">
        <v>37027</v>
      </c>
      <c r="K11244" t="s">
        <v>42298</v>
      </c>
      <c r="M11244" t="s">
        <v>45898</v>
      </c>
      <c r="N11244" t="s">
        <v>46569</v>
      </c>
      <c r="O11244" t="s">
        <v>46570</v>
      </c>
      <c r="P11244">
        <v>0</v>
      </c>
      <c r="Q11244">
        <v>7</v>
      </c>
      <c r="R11244" t="s">
        <v>46579</v>
      </c>
      <c r="S11244" t="s">
        <v>46919</v>
      </c>
      <c r="T11244" t="s">
        <v>48467</v>
      </c>
      <c r="U11244" t="s">
        <v>57803</v>
      </c>
      <c r="W11244" t="s">
        <v>63583</v>
      </c>
      <c r="X11244" t="s">
        <v>46580</v>
      </c>
    </row>
    <row r="11245" spans="1:24">
      <c r="A11245">
        <f>HYPERLINK("https://www.philgeps.gov.ph/GEPSNONPILOT/Tender/SplashBidNoticeAbstractUI.aspx?menuIndex=3&amp;refID=7047600&amp;Result=3","7047600")</f>
        <v>0</v>
      </c>
      <c r="B11245" t="s">
        <v>1081</v>
      </c>
      <c r="C11245" t="s">
        <v>14187</v>
      </c>
      <c r="D11245" t="s">
        <v>18827</v>
      </c>
      <c r="E11245" t="s">
        <v>28577</v>
      </c>
      <c r="F11245" t="s">
        <v>32664</v>
      </c>
      <c r="G11245" t="s">
        <v>32672</v>
      </c>
      <c r="H11245" t="s">
        <v>12635</v>
      </c>
      <c r="I11245" t="s">
        <v>32696</v>
      </c>
      <c r="J11245" t="s">
        <v>37626</v>
      </c>
      <c r="K11245" t="s">
        <v>42283</v>
      </c>
      <c r="M11245" t="s">
        <v>43704</v>
      </c>
      <c r="N11245" t="s">
        <v>46569</v>
      </c>
      <c r="O11245" t="s">
        <v>46570</v>
      </c>
      <c r="P11245">
        <v>0</v>
      </c>
      <c r="Q11245">
        <v>2</v>
      </c>
      <c r="R11245" t="s">
        <v>46579</v>
      </c>
      <c r="S11245" t="s">
        <v>46919</v>
      </c>
      <c r="T11245" t="s">
        <v>48374</v>
      </c>
      <c r="U11245" t="s">
        <v>57804</v>
      </c>
      <c r="W11245" t="s">
        <v>43704</v>
      </c>
      <c r="X11245" t="s">
        <v>46580</v>
      </c>
    </row>
    <row r="11246" spans="1:24">
      <c r="A11246">
        <f>HYPERLINK("https://www.philgeps.gov.ph/GEPSNONPILOT/Tender/SplashBidNoticeAbstractUI.aspx?menuIndex=3&amp;refID=7047596&amp;Result=3","7047596")</f>
        <v>0</v>
      </c>
      <c r="B11246" t="s">
        <v>3025</v>
      </c>
      <c r="C11246" t="s">
        <v>14188</v>
      </c>
      <c r="D11246" t="s">
        <v>18842</v>
      </c>
      <c r="E11246" t="s">
        <v>28578</v>
      </c>
      <c r="F11246" t="s">
        <v>32664</v>
      </c>
      <c r="G11246" t="s">
        <v>32671</v>
      </c>
      <c r="H11246" t="s">
        <v>12635</v>
      </c>
      <c r="I11246" t="s">
        <v>7324</v>
      </c>
      <c r="J11246" t="s">
        <v>32959</v>
      </c>
      <c r="K11246" t="s">
        <v>42289</v>
      </c>
      <c r="M11246" t="s">
        <v>45897</v>
      </c>
      <c r="N11246" t="s">
        <v>46569</v>
      </c>
      <c r="O11246" t="s">
        <v>46570</v>
      </c>
      <c r="P11246">
        <v>0</v>
      </c>
      <c r="Q11246">
        <v>3</v>
      </c>
      <c r="R11246" t="s">
        <v>46579</v>
      </c>
      <c r="S11246" t="s">
        <v>46919</v>
      </c>
      <c r="T11246" t="s">
        <v>48448</v>
      </c>
      <c r="U11246" t="s">
        <v>57805</v>
      </c>
      <c r="W11246" t="s">
        <v>45897</v>
      </c>
      <c r="X11246" t="s">
        <v>46580</v>
      </c>
    </row>
    <row r="11247" spans="1:24">
      <c r="A11247">
        <f>HYPERLINK("https://www.philgeps.gov.ph/GEPSNONPILOT/Tender/SplashBidNoticeAbstractUI.aspx?menuIndex=3&amp;refID=7047666&amp;Result=3","7047666")</f>
        <v>0</v>
      </c>
      <c r="B11247" t="s">
        <v>365</v>
      </c>
      <c r="C11247" t="s">
        <v>14189</v>
      </c>
      <c r="D11247" t="s">
        <v>18816</v>
      </c>
      <c r="E11247" t="s">
        <v>19761</v>
      </c>
      <c r="F11247" t="s">
        <v>32664</v>
      </c>
      <c r="G11247" t="s">
        <v>32672</v>
      </c>
      <c r="H11247" t="s">
        <v>12635</v>
      </c>
      <c r="I11247" t="s">
        <v>32696</v>
      </c>
      <c r="J11247" t="s">
        <v>37841</v>
      </c>
      <c r="K11247" t="s">
        <v>42298</v>
      </c>
      <c r="M11247" t="s">
        <v>42934</v>
      </c>
      <c r="N11247" t="s">
        <v>46569</v>
      </c>
      <c r="O11247" t="s">
        <v>46570</v>
      </c>
      <c r="P11247">
        <v>0</v>
      </c>
      <c r="Q11247">
        <v>3</v>
      </c>
      <c r="R11247" t="s">
        <v>46579</v>
      </c>
      <c r="S11247" t="s">
        <v>46919</v>
      </c>
      <c r="T11247" t="s">
        <v>48238</v>
      </c>
      <c r="U11247" t="s">
        <v>57806</v>
      </c>
      <c r="V11247" t="s">
        <v>61830</v>
      </c>
      <c r="W11247" t="s">
        <v>42934</v>
      </c>
      <c r="X11247" t="s">
        <v>46580</v>
      </c>
    </row>
    <row r="11248" spans="1:24">
      <c r="A11248">
        <f>HYPERLINK("https://www.philgeps.gov.ph/GEPSNONPILOT/Tender/SplashBidNoticeAbstractUI.aspx?menuIndex=3&amp;refID=7047591&amp;Result=3","7047591")</f>
        <v>0</v>
      </c>
      <c r="B11248" t="s">
        <v>3019</v>
      </c>
      <c r="C11248" t="s">
        <v>14190</v>
      </c>
      <c r="D11248" t="s">
        <v>18840</v>
      </c>
      <c r="E11248" t="s">
        <v>19782</v>
      </c>
      <c r="F11248" t="s">
        <v>32664</v>
      </c>
      <c r="G11248" t="s">
        <v>32672</v>
      </c>
      <c r="H11248" t="s">
        <v>32683</v>
      </c>
      <c r="I11248" t="s">
        <v>10627</v>
      </c>
      <c r="J11248" t="s">
        <v>32837</v>
      </c>
      <c r="K11248" t="s">
        <v>42313</v>
      </c>
      <c r="M11248" t="s">
        <v>45891</v>
      </c>
      <c r="N11248" t="s">
        <v>46569</v>
      </c>
      <c r="O11248" t="s">
        <v>46570</v>
      </c>
      <c r="Q11248">
        <v>1</v>
      </c>
      <c r="R11248" t="s">
        <v>46579</v>
      </c>
      <c r="S11248" t="s">
        <v>46933</v>
      </c>
      <c r="T11248" t="s">
        <v>48677</v>
      </c>
      <c r="U11248" t="s">
        <v>57807</v>
      </c>
      <c r="W11248" t="s">
        <v>45891</v>
      </c>
      <c r="X11248" t="s">
        <v>46580</v>
      </c>
    </row>
    <row r="11249" spans="1:24">
      <c r="A11249">
        <f>HYPERLINK("https://www.philgeps.gov.ph/GEPSNONPILOT/Tender/SplashBidNoticeAbstractUI.aspx?menuIndex=3&amp;refID=7047565&amp;Result=3","7047565")</f>
        <v>0</v>
      </c>
      <c r="B11249" t="s">
        <v>133</v>
      </c>
      <c r="C11249" t="s">
        <v>14191</v>
      </c>
      <c r="D11249" t="s">
        <v>18832</v>
      </c>
      <c r="E11249" t="s">
        <v>28579</v>
      </c>
      <c r="F11249" t="s">
        <v>32664</v>
      </c>
      <c r="G11249" t="s">
        <v>32672</v>
      </c>
      <c r="H11249" t="s">
        <v>32683</v>
      </c>
      <c r="I11249" t="s">
        <v>10627</v>
      </c>
      <c r="J11249" t="s">
        <v>39473</v>
      </c>
      <c r="K11249" t="s">
        <v>42305</v>
      </c>
      <c r="M11249" t="s">
        <v>42697</v>
      </c>
      <c r="N11249" t="s">
        <v>46569</v>
      </c>
      <c r="O11249" t="s">
        <v>46570</v>
      </c>
      <c r="P11249">
        <v>0</v>
      </c>
      <c r="Q11249">
        <v>0</v>
      </c>
      <c r="R11249" t="s">
        <v>46579</v>
      </c>
      <c r="S11249" t="s">
        <v>46919</v>
      </c>
      <c r="T11249" t="s">
        <v>48293</v>
      </c>
      <c r="U11249" t="s">
        <v>57808</v>
      </c>
      <c r="W11249" t="s">
        <v>42697</v>
      </c>
      <c r="X11249" t="s">
        <v>46580</v>
      </c>
    </row>
    <row r="11250" spans="1:24">
      <c r="A11250">
        <f>HYPERLINK("https://www.philgeps.gov.ph/GEPSNONPILOT/Tender/SplashBidNoticeAbstractUI.aspx?menuIndex=3&amp;refID=7047494&amp;Result=3","7047494")</f>
        <v>0</v>
      </c>
      <c r="B11250" t="s">
        <v>2523</v>
      </c>
      <c r="C11250" t="s">
        <v>14192</v>
      </c>
      <c r="D11250" t="s">
        <v>18789</v>
      </c>
      <c r="E11250" t="s">
        <v>28580</v>
      </c>
      <c r="F11250" t="s">
        <v>32664</v>
      </c>
      <c r="G11250" t="s">
        <v>32672</v>
      </c>
      <c r="H11250" t="s">
        <v>12635</v>
      </c>
      <c r="I11250" t="s">
        <v>6628</v>
      </c>
      <c r="J11250" t="s">
        <v>34838</v>
      </c>
      <c r="K11250" t="s">
        <v>42281</v>
      </c>
      <c r="M11250" t="s">
        <v>45899</v>
      </c>
      <c r="N11250" t="s">
        <v>46569</v>
      </c>
      <c r="O11250" t="s">
        <v>46570</v>
      </c>
      <c r="P11250">
        <v>0</v>
      </c>
      <c r="Q11250">
        <v>20</v>
      </c>
      <c r="R11250" t="s">
        <v>46579</v>
      </c>
      <c r="S11250" t="s">
        <v>46919</v>
      </c>
      <c r="T11250" t="s">
        <v>48212</v>
      </c>
      <c r="U11250" t="s">
        <v>57809</v>
      </c>
      <c r="W11250" t="s">
        <v>45899</v>
      </c>
      <c r="X11250" t="s">
        <v>46580</v>
      </c>
    </row>
    <row r="11251" spans="1:24">
      <c r="A11251">
        <f>HYPERLINK("https://www.philgeps.gov.ph/GEPSNONPILOT/Tender/SplashBidNoticeAbstractUI.aspx?menuIndex=3&amp;refID=7047489&amp;Result=3","7047489")</f>
        <v>0</v>
      </c>
      <c r="B11251" t="s">
        <v>448</v>
      </c>
      <c r="C11251" t="s">
        <v>14193</v>
      </c>
      <c r="D11251" t="s">
        <v>18788</v>
      </c>
      <c r="E11251" t="s">
        <v>28581</v>
      </c>
      <c r="F11251" t="s">
        <v>32664</v>
      </c>
      <c r="G11251" t="s">
        <v>32672</v>
      </c>
      <c r="H11251" t="s">
        <v>32683</v>
      </c>
      <c r="I11251" t="s">
        <v>10627</v>
      </c>
      <c r="J11251" t="s">
        <v>39474</v>
      </c>
      <c r="K11251" t="s">
        <v>42298</v>
      </c>
      <c r="M11251" t="s">
        <v>43021</v>
      </c>
      <c r="N11251" t="s">
        <v>46569</v>
      </c>
      <c r="O11251" t="s">
        <v>46570</v>
      </c>
      <c r="P11251">
        <v>0</v>
      </c>
      <c r="Q11251">
        <v>0</v>
      </c>
      <c r="R11251" t="s">
        <v>46579</v>
      </c>
      <c r="S11251" t="s">
        <v>46919</v>
      </c>
      <c r="T11251" t="s">
        <v>48307</v>
      </c>
      <c r="U11251" t="s">
        <v>54973</v>
      </c>
      <c r="W11251" t="s">
        <v>43021</v>
      </c>
      <c r="X11251" t="s">
        <v>46580</v>
      </c>
    </row>
    <row r="11252" spans="1:24">
      <c r="A11252">
        <f>HYPERLINK("https://www.philgeps.gov.ph/GEPSNONPILOT/Tender/SplashBidNoticeAbstractUI.aspx?menuIndex=3&amp;refID=7047614&amp;Result=3","7047614")</f>
        <v>0</v>
      </c>
      <c r="B11252" t="s">
        <v>3027</v>
      </c>
      <c r="C11252" t="s">
        <v>14194</v>
      </c>
      <c r="D11252" t="s">
        <v>18791</v>
      </c>
      <c r="E11252" t="s">
        <v>28582</v>
      </c>
      <c r="F11252" t="s">
        <v>32664</v>
      </c>
      <c r="G11252" t="s">
        <v>32672</v>
      </c>
      <c r="H11252" t="s">
        <v>32683</v>
      </c>
      <c r="I11252" t="s">
        <v>10627</v>
      </c>
      <c r="J11252" t="s">
        <v>39475</v>
      </c>
      <c r="K11252" t="s">
        <v>42283</v>
      </c>
      <c r="L11252" t="s">
        <v>3027</v>
      </c>
      <c r="M11252" t="s">
        <v>45900</v>
      </c>
      <c r="N11252" t="s">
        <v>46569</v>
      </c>
      <c r="O11252" t="s">
        <v>46570</v>
      </c>
      <c r="P11252">
        <v>0</v>
      </c>
      <c r="Q11252">
        <v>1</v>
      </c>
      <c r="R11252" t="s">
        <v>46579</v>
      </c>
      <c r="S11252" t="s">
        <v>46919</v>
      </c>
      <c r="T11252" t="s">
        <v>48453</v>
      </c>
      <c r="U11252" t="s">
        <v>57810</v>
      </c>
      <c r="W11252" t="s">
        <v>45900</v>
      </c>
      <c r="X11252" t="s">
        <v>46580</v>
      </c>
    </row>
    <row r="11253" spans="1:24">
      <c r="A11253">
        <f>HYPERLINK("https://www.philgeps.gov.ph/GEPSNONPILOT/Tender/SplashBidNoticeAbstractUI.aspx?menuIndex=3&amp;refID=7047611&amp;Result=3","7047611")</f>
        <v>0</v>
      </c>
      <c r="B11253" t="s">
        <v>570</v>
      </c>
      <c r="C11253" t="s">
        <v>14195</v>
      </c>
      <c r="E11253" t="s">
        <v>28583</v>
      </c>
      <c r="F11253" t="s">
        <v>32664</v>
      </c>
      <c r="G11253" t="s">
        <v>32672</v>
      </c>
      <c r="H11253" t="s">
        <v>32683</v>
      </c>
      <c r="I11253" t="s">
        <v>10627</v>
      </c>
      <c r="J11253" t="s">
        <v>32865</v>
      </c>
      <c r="K11253" t="s">
        <v>42283</v>
      </c>
      <c r="M11253" t="s">
        <v>43150</v>
      </c>
      <c r="N11253" t="s">
        <v>46569</v>
      </c>
      <c r="O11253" t="s">
        <v>46570</v>
      </c>
      <c r="P11253">
        <v>0</v>
      </c>
      <c r="Q11253">
        <v>0</v>
      </c>
      <c r="R11253" t="s">
        <v>46579</v>
      </c>
      <c r="S11253" t="s">
        <v>46919</v>
      </c>
      <c r="T11253" t="s">
        <v>48467</v>
      </c>
      <c r="U11253" t="s">
        <v>57811</v>
      </c>
      <c r="W11253" t="s">
        <v>43150</v>
      </c>
      <c r="X11253" t="s">
        <v>46580</v>
      </c>
    </row>
    <row r="11254" spans="1:24">
      <c r="A11254">
        <f>HYPERLINK("https://www.philgeps.gov.ph/GEPSNONPILOT/Tender/SplashBidNoticeAbstractUI.aspx?menuIndex=3&amp;refID=7047741&amp;Result=3","7047741")</f>
        <v>0</v>
      </c>
      <c r="B11254" t="s">
        <v>3028</v>
      </c>
      <c r="C11254" t="s">
        <v>4456</v>
      </c>
      <c r="D11254" t="s">
        <v>18796</v>
      </c>
      <c r="E11254" t="s">
        <v>28584</v>
      </c>
      <c r="F11254" t="s">
        <v>32664</v>
      </c>
      <c r="G11254" t="s">
        <v>32671</v>
      </c>
      <c r="H11254" t="s">
        <v>12635</v>
      </c>
      <c r="I11254" t="s">
        <v>4439</v>
      </c>
      <c r="J11254" t="s">
        <v>39476</v>
      </c>
      <c r="K11254" t="s">
        <v>42297</v>
      </c>
      <c r="M11254" t="s">
        <v>45901</v>
      </c>
      <c r="N11254" t="s">
        <v>46569</v>
      </c>
      <c r="O11254" t="s">
        <v>46570</v>
      </c>
      <c r="P11254">
        <v>0</v>
      </c>
      <c r="Q11254">
        <v>0</v>
      </c>
      <c r="R11254" t="s">
        <v>46579</v>
      </c>
      <c r="S11254" t="s">
        <v>46919</v>
      </c>
      <c r="T11254" t="s">
        <v>48258</v>
      </c>
      <c r="U11254" t="s">
        <v>57812</v>
      </c>
      <c r="W11254" t="s">
        <v>45901</v>
      </c>
      <c r="X11254" t="s">
        <v>46580</v>
      </c>
    </row>
    <row r="11255" spans="1:24">
      <c r="A11255">
        <f>HYPERLINK("https://www.philgeps.gov.ph/GEPSNONPILOT/Tender/SplashBidNoticeAbstractUI.aspx?menuIndex=3&amp;refID=7047659&amp;Result=3","7047659")</f>
        <v>0</v>
      </c>
      <c r="B11255" t="s">
        <v>3029</v>
      </c>
      <c r="C11255" t="s">
        <v>14196</v>
      </c>
      <c r="D11255" t="s">
        <v>18786</v>
      </c>
      <c r="E11255" t="s">
        <v>28585</v>
      </c>
      <c r="F11255" t="s">
        <v>32664</v>
      </c>
      <c r="G11255" t="s">
        <v>32672</v>
      </c>
      <c r="H11255" t="s">
        <v>32683</v>
      </c>
      <c r="I11255" t="s">
        <v>10627</v>
      </c>
      <c r="J11255" t="s">
        <v>32962</v>
      </c>
      <c r="K11255" t="s">
        <v>42369</v>
      </c>
      <c r="M11255" t="s">
        <v>45902</v>
      </c>
      <c r="N11255" t="s">
        <v>46569</v>
      </c>
      <c r="O11255" t="s">
        <v>46570</v>
      </c>
      <c r="P11255">
        <v>0</v>
      </c>
      <c r="Q11255">
        <v>0</v>
      </c>
      <c r="R11255" t="s">
        <v>46579</v>
      </c>
      <c r="S11255" t="s">
        <v>46919</v>
      </c>
      <c r="T11255" t="s">
        <v>48228</v>
      </c>
      <c r="U11255" t="s">
        <v>57813</v>
      </c>
      <c r="V11255" t="s">
        <v>62837</v>
      </c>
      <c r="W11255" t="s">
        <v>45902</v>
      </c>
      <c r="X11255" t="s">
        <v>46580</v>
      </c>
    </row>
    <row r="11256" spans="1:24">
      <c r="A11256">
        <f>HYPERLINK("https://www.philgeps.gov.ph/GEPSNONPILOT/Tender/SplashBidNoticeAbstractUI.aspx?menuIndex=3&amp;refID=7047736&amp;Result=3","7047736")</f>
        <v>0</v>
      </c>
      <c r="B11256" t="s">
        <v>3030</v>
      </c>
      <c r="C11256" t="s">
        <v>14197</v>
      </c>
      <c r="E11256" t="s">
        <v>28586</v>
      </c>
      <c r="F11256" t="s">
        <v>32664</v>
      </c>
      <c r="G11256" t="s">
        <v>32672</v>
      </c>
      <c r="H11256" t="s">
        <v>32683</v>
      </c>
      <c r="I11256" t="s">
        <v>10627</v>
      </c>
      <c r="J11256" t="s">
        <v>32853</v>
      </c>
      <c r="K11256" t="s">
        <v>42283</v>
      </c>
      <c r="M11256" t="s">
        <v>45903</v>
      </c>
      <c r="N11256" t="s">
        <v>46569</v>
      </c>
      <c r="O11256" t="s">
        <v>46570</v>
      </c>
      <c r="P11256">
        <v>0</v>
      </c>
      <c r="Q11256">
        <v>0</v>
      </c>
      <c r="R11256" t="s">
        <v>46579</v>
      </c>
      <c r="S11256" t="s">
        <v>46919</v>
      </c>
      <c r="T11256" t="s">
        <v>48678</v>
      </c>
      <c r="U11256" t="s">
        <v>57814</v>
      </c>
      <c r="W11256" t="s">
        <v>45903</v>
      </c>
      <c r="X11256" t="s">
        <v>46580</v>
      </c>
    </row>
    <row r="11257" spans="1:24">
      <c r="A11257">
        <f>HYPERLINK("https://www.philgeps.gov.ph/GEPSNONPILOT/Tender/SplashBidNoticeAbstractUI.aspx?menuIndex=3&amp;refID=7047528&amp;Result=3","7047528")</f>
        <v>0</v>
      </c>
      <c r="B11257" t="s">
        <v>3027</v>
      </c>
      <c r="C11257" t="s">
        <v>14198</v>
      </c>
      <c r="D11257" t="s">
        <v>18791</v>
      </c>
      <c r="E11257" t="s">
        <v>28587</v>
      </c>
      <c r="F11257" t="s">
        <v>32664</v>
      </c>
      <c r="G11257" t="s">
        <v>32672</v>
      </c>
      <c r="H11257" t="s">
        <v>32683</v>
      </c>
      <c r="I11257" t="s">
        <v>10627</v>
      </c>
      <c r="J11257" t="s">
        <v>33167</v>
      </c>
      <c r="K11257" t="s">
        <v>42283</v>
      </c>
      <c r="L11257" t="s">
        <v>3027</v>
      </c>
      <c r="M11257" t="s">
        <v>45900</v>
      </c>
      <c r="N11257" t="s">
        <v>46569</v>
      </c>
      <c r="O11257" t="s">
        <v>46570</v>
      </c>
      <c r="P11257">
        <v>0</v>
      </c>
      <c r="Q11257">
        <v>1</v>
      </c>
      <c r="R11257" t="s">
        <v>46579</v>
      </c>
      <c r="S11257" t="s">
        <v>46919</v>
      </c>
      <c r="T11257" t="s">
        <v>48453</v>
      </c>
      <c r="U11257" t="s">
        <v>57810</v>
      </c>
      <c r="W11257" t="s">
        <v>45900</v>
      </c>
      <c r="X11257" t="s">
        <v>46580</v>
      </c>
    </row>
    <row r="11258" spans="1:24">
      <c r="A11258">
        <f>HYPERLINK("https://www.philgeps.gov.ph/GEPSNONPILOT/Tender/SplashBidNoticeAbstractUI.aspx?menuIndex=3&amp;refID=7047558&amp;Result=3","7047558")</f>
        <v>0</v>
      </c>
      <c r="B11258" t="s">
        <v>3023</v>
      </c>
      <c r="C11258" t="s">
        <v>14199</v>
      </c>
      <c r="D11258" t="s">
        <v>18827</v>
      </c>
      <c r="E11258" t="s">
        <v>28588</v>
      </c>
      <c r="F11258" t="s">
        <v>32664</v>
      </c>
      <c r="G11258" t="s">
        <v>32672</v>
      </c>
      <c r="H11258" t="s">
        <v>12635</v>
      </c>
      <c r="I11258" t="s">
        <v>32729</v>
      </c>
      <c r="J11258" t="s">
        <v>39477</v>
      </c>
      <c r="K11258" t="s">
        <v>42309</v>
      </c>
      <c r="M11258" t="s">
        <v>45895</v>
      </c>
      <c r="N11258" t="s">
        <v>46569</v>
      </c>
      <c r="O11258" t="s">
        <v>46570</v>
      </c>
      <c r="P11258">
        <v>0</v>
      </c>
      <c r="Q11258">
        <v>4</v>
      </c>
      <c r="R11258" t="s">
        <v>46579</v>
      </c>
      <c r="S11258" t="s">
        <v>46919</v>
      </c>
      <c r="T11258" t="s">
        <v>48478</v>
      </c>
      <c r="U11258" t="s">
        <v>57815</v>
      </c>
      <c r="W11258" t="s">
        <v>45895</v>
      </c>
      <c r="X11258" t="s">
        <v>46580</v>
      </c>
    </row>
    <row r="11259" spans="1:24">
      <c r="A11259">
        <f>HYPERLINK("https://www.philgeps.gov.ph/GEPSNONPILOT/Tender/SplashBidNoticeAbstractUI.aspx?menuIndex=3&amp;refID=7047720&amp;Result=3","7047720")</f>
        <v>0</v>
      </c>
      <c r="B11259" t="s">
        <v>184</v>
      </c>
      <c r="C11259" t="s">
        <v>14200</v>
      </c>
      <c r="D11259" t="s">
        <v>18825</v>
      </c>
      <c r="E11259" t="s">
        <v>28589</v>
      </c>
      <c r="F11259" t="s">
        <v>32664</v>
      </c>
      <c r="G11259" t="s">
        <v>32672</v>
      </c>
      <c r="H11259" t="s">
        <v>12635</v>
      </c>
      <c r="I11259" t="s">
        <v>32685</v>
      </c>
      <c r="J11259" t="s">
        <v>39478</v>
      </c>
      <c r="K11259" t="s">
        <v>42284</v>
      </c>
      <c r="M11259" t="s">
        <v>42884</v>
      </c>
      <c r="N11259" t="s">
        <v>46569</v>
      </c>
      <c r="O11259" t="s">
        <v>46570</v>
      </c>
      <c r="P11259">
        <v>0</v>
      </c>
      <c r="Q11259">
        <v>4</v>
      </c>
      <c r="R11259" t="s">
        <v>46579</v>
      </c>
      <c r="S11259" t="s">
        <v>46919</v>
      </c>
      <c r="T11259" t="s">
        <v>48238</v>
      </c>
      <c r="U11259" t="s">
        <v>57802</v>
      </c>
      <c r="W11259" t="s">
        <v>42884</v>
      </c>
      <c r="X11259" t="s">
        <v>46580</v>
      </c>
    </row>
    <row r="11260" spans="1:24">
      <c r="A11260">
        <f>HYPERLINK("https://www.philgeps.gov.ph/GEPSNONPILOT/Tender/SplashBidNoticeAbstractUI.aspx?menuIndex=3&amp;refID=7047632&amp;Result=3","7047632")</f>
        <v>0</v>
      </c>
      <c r="B11260" t="s">
        <v>3029</v>
      </c>
      <c r="C11260" t="s">
        <v>14201</v>
      </c>
      <c r="D11260" t="s">
        <v>18786</v>
      </c>
      <c r="E11260" t="s">
        <v>28590</v>
      </c>
      <c r="F11260" t="s">
        <v>32664</v>
      </c>
      <c r="G11260" t="s">
        <v>32672</v>
      </c>
      <c r="H11260" t="s">
        <v>32683</v>
      </c>
      <c r="I11260" t="s">
        <v>10627</v>
      </c>
      <c r="J11260" t="s">
        <v>32837</v>
      </c>
      <c r="K11260" t="s">
        <v>42369</v>
      </c>
      <c r="M11260" t="s">
        <v>45902</v>
      </c>
      <c r="N11260" t="s">
        <v>46569</v>
      </c>
      <c r="O11260" t="s">
        <v>46570</v>
      </c>
      <c r="P11260">
        <v>0</v>
      </c>
      <c r="Q11260">
        <v>0</v>
      </c>
      <c r="R11260" t="s">
        <v>46579</v>
      </c>
      <c r="S11260" t="s">
        <v>46919</v>
      </c>
      <c r="T11260" t="s">
        <v>48228</v>
      </c>
      <c r="U11260" t="s">
        <v>57816</v>
      </c>
      <c r="V11260" t="s">
        <v>62837</v>
      </c>
      <c r="W11260" t="s">
        <v>45902</v>
      </c>
      <c r="X11260" t="s">
        <v>46580</v>
      </c>
    </row>
    <row r="11261" spans="1:24">
      <c r="A11261">
        <f>HYPERLINK("https://www.philgeps.gov.ph/GEPSNONPILOT/Tender/SplashBidNoticeAbstractUI.aspx?menuIndex=3&amp;refID=7047719&amp;Result=3","7047719")</f>
        <v>0</v>
      </c>
      <c r="B11261" t="s">
        <v>1081</v>
      </c>
      <c r="C11261" t="s">
        <v>14202</v>
      </c>
      <c r="D11261" t="s">
        <v>18827</v>
      </c>
      <c r="E11261" t="s">
        <v>28591</v>
      </c>
      <c r="F11261" t="s">
        <v>32664</v>
      </c>
      <c r="G11261" t="s">
        <v>32672</v>
      </c>
      <c r="H11261" t="s">
        <v>12635</v>
      </c>
      <c r="I11261" t="s">
        <v>32699</v>
      </c>
      <c r="J11261" t="s">
        <v>39479</v>
      </c>
      <c r="K11261" t="s">
        <v>42283</v>
      </c>
      <c r="M11261" t="s">
        <v>43704</v>
      </c>
      <c r="N11261" t="s">
        <v>46569</v>
      </c>
      <c r="O11261" t="s">
        <v>46570</v>
      </c>
      <c r="P11261">
        <v>0</v>
      </c>
      <c r="Q11261">
        <v>2</v>
      </c>
      <c r="R11261" t="s">
        <v>46579</v>
      </c>
      <c r="S11261" t="s">
        <v>46919</v>
      </c>
      <c r="T11261" t="s">
        <v>48679</v>
      </c>
      <c r="U11261" t="s">
        <v>57817</v>
      </c>
      <c r="W11261" t="s">
        <v>43704</v>
      </c>
      <c r="X11261" t="s">
        <v>46580</v>
      </c>
    </row>
    <row r="11262" spans="1:24">
      <c r="A11262">
        <f>HYPERLINK("https://www.philgeps.gov.ph/GEPSNONPILOT/Tender/SplashBidNoticeAbstractUI.aspx?menuIndex=3&amp;refID=7047740&amp;Result=3","7047740")</f>
        <v>0</v>
      </c>
      <c r="B11262" t="s">
        <v>3025</v>
      </c>
      <c r="C11262" t="s">
        <v>14203</v>
      </c>
      <c r="D11262" t="s">
        <v>18842</v>
      </c>
      <c r="E11262" t="s">
        <v>28592</v>
      </c>
      <c r="F11262" t="s">
        <v>32664</v>
      </c>
      <c r="G11262" t="s">
        <v>32671</v>
      </c>
      <c r="H11262" t="s">
        <v>12635</v>
      </c>
      <c r="I11262" t="s">
        <v>4997</v>
      </c>
      <c r="J11262" t="s">
        <v>33987</v>
      </c>
      <c r="K11262" t="s">
        <v>42303</v>
      </c>
      <c r="M11262" t="s">
        <v>45897</v>
      </c>
      <c r="N11262" t="s">
        <v>46569</v>
      </c>
      <c r="O11262" t="s">
        <v>46570</v>
      </c>
      <c r="P11262">
        <v>0</v>
      </c>
      <c r="Q11262">
        <v>3</v>
      </c>
      <c r="R11262" t="s">
        <v>46579</v>
      </c>
      <c r="S11262" t="s">
        <v>46919</v>
      </c>
      <c r="T11262" t="s">
        <v>48448</v>
      </c>
      <c r="U11262" t="s">
        <v>57818</v>
      </c>
      <c r="W11262" t="s">
        <v>45897</v>
      </c>
      <c r="X11262" t="s">
        <v>46580</v>
      </c>
    </row>
    <row r="11263" spans="1:24">
      <c r="A11263">
        <f>HYPERLINK("https://www.philgeps.gov.ph/GEPSNONPILOT/Tender/SplashBidNoticeAbstractUI.aspx?menuIndex=3&amp;refID=7047735&amp;Result=3","7047735")</f>
        <v>0</v>
      </c>
      <c r="B11263" t="s">
        <v>2868</v>
      </c>
      <c r="C11263" t="s">
        <v>14204</v>
      </c>
      <c r="D11263" t="s">
        <v>18802</v>
      </c>
      <c r="E11263" t="s">
        <v>20566</v>
      </c>
      <c r="F11263" t="s">
        <v>32664</v>
      </c>
      <c r="G11263" t="s">
        <v>32672</v>
      </c>
      <c r="H11263" t="s">
        <v>32683</v>
      </c>
      <c r="I11263" t="s">
        <v>10627</v>
      </c>
      <c r="J11263" t="s">
        <v>33761</v>
      </c>
      <c r="K11263" t="s">
        <v>42517</v>
      </c>
      <c r="M11263" t="s">
        <v>45717</v>
      </c>
      <c r="N11263" t="s">
        <v>46569</v>
      </c>
      <c r="O11263" t="s">
        <v>46570</v>
      </c>
      <c r="P11263">
        <v>0</v>
      </c>
      <c r="Q11263">
        <v>1</v>
      </c>
      <c r="R11263" t="s">
        <v>46579</v>
      </c>
      <c r="S11263" t="s">
        <v>46919</v>
      </c>
      <c r="T11263" t="s">
        <v>48212</v>
      </c>
      <c r="U11263" t="s">
        <v>57819</v>
      </c>
      <c r="W11263" t="s">
        <v>45717</v>
      </c>
      <c r="X11263" t="s">
        <v>46580</v>
      </c>
    </row>
    <row r="11264" spans="1:24">
      <c r="A11264">
        <f>HYPERLINK("https://www.philgeps.gov.ph/GEPSNONPILOT/Tender/SplashBidNoticeAbstractUI.aspx?menuIndex=3&amp;refID=7047708&amp;Result=3","7047708")</f>
        <v>0</v>
      </c>
      <c r="B11264" t="s">
        <v>3031</v>
      </c>
      <c r="C11264" t="s">
        <v>14205</v>
      </c>
      <c r="D11264" t="s">
        <v>18846</v>
      </c>
      <c r="E11264" t="s">
        <v>26151</v>
      </c>
      <c r="F11264" t="s">
        <v>32664</v>
      </c>
      <c r="G11264" t="s">
        <v>32672</v>
      </c>
      <c r="H11264" t="s">
        <v>12635</v>
      </c>
      <c r="I11264" t="s">
        <v>32706</v>
      </c>
      <c r="J11264" t="s">
        <v>39480</v>
      </c>
      <c r="K11264" t="s">
        <v>42281</v>
      </c>
      <c r="M11264" t="s">
        <v>45904</v>
      </c>
      <c r="N11264" t="s">
        <v>46569</v>
      </c>
      <c r="O11264" t="s">
        <v>46570</v>
      </c>
      <c r="P11264">
        <v>0</v>
      </c>
      <c r="Q11264">
        <v>0</v>
      </c>
      <c r="R11264" t="s">
        <v>46579</v>
      </c>
      <c r="S11264" t="s">
        <v>46919</v>
      </c>
      <c r="T11264" t="s">
        <v>48487</v>
      </c>
      <c r="U11264" t="s">
        <v>57820</v>
      </c>
      <c r="V11264" t="s">
        <v>62838</v>
      </c>
      <c r="W11264" t="s">
        <v>45904</v>
      </c>
      <c r="X11264" t="s">
        <v>46580</v>
      </c>
    </row>
    <row r="11265" spans="1:24">
      <c r="A11265">
        <f>HYPERLINK("https://www.philgeps.gov.ph/GEPSNONPILOT/Tender/SplashBidNoticeAbstractUI.aspx?menuIndex=3&amp;refID=7047697&amp;Result=3","7047697")</f>
        <v>0</v>
      </c>
      <c r="B11265" t="s">
        <v>448</v>
      </c>
      <c r="C11265" t="s">
        <v>14206</v>
      </c>
      <c r="D11265" t="s">
        <v>18788</v>
      </c>
      <c r="E11265" t="s">
        <v>28593</v>
      </c>
      <c r="F11265" t="s">
        <v>32664</v>
      </c>
      <c r="G11265" t="s">
        <v>32672</v>
      </c>
      <c r="H11265" t="s">
        <v>12635</v>
      </c>
      <c r="I11265" t="s">
        <v>5589</v>
      </c>
      <c r="J11265" t="s">
        <v>34038</v>
      </c>
      <c r="K11265" t="s">
        <v>42281</v>
      </c>
      <c r="M11265" t="s">
        <v>43021</v>
      </c>
      <c r="N11265" t="s">
        <v>46569</v>
      </c>
      <c r="O11265" t="s">
        <v>46570</v>
      </c>
      <c r="P11265">
        <v>0</v>
      </c>
      <c r="Q11265">
        <v>7</v>
      </c>
      <c r="R11265" t="s">
        <v>46579</v>
      </c>
      <c r="S11265" t="s">
        <v>46919</v>
      </c>
      <c r="T11265" t="s">
        <v>48307</v>
      </c>
      <c r="U11265" t="s">
        <v>57821</v>
      </c>
      <c r="W11265" t="s">
        <v>43021</v>
      </c>
      <c r="X11265" t="s">
        <v>46580</v>
      </c>
    </row>
    <row r="11266" spans="1:24">
      <c r="A11266">
        <f>HYPERLINK("https://www.philgeps.gov.ph/GEPSNONPILOT/Tender/SplashBidNoticeAbstractUI.aspx?menuIndex=3&amp;refID=7047480&amp;Result=3","7047480")</f>
        <v>0</v>
      </c>
      <c r="B11266" t="s">
        <v>1958</v>
      </c>
      <c r="C11266" t="s">
        <v>14207</v>
      </c>
      <c r="E11266" t="s">
        <v>28594</v>
      </c>
      <c r="F11266" t="s">
        <v>32665</v>
      </c>
      <c r="G11266" t="s">
        <v>32672</v>
      </c>
      <c r="H11266" t="s">
        <v>12635</v>
      </c>
      <c r="I11266" t="s">
        <v>4439</v>
      </c>
      <c r="J11266" t="s">
        <v>36474</v>
      </c>
      <c r="K11266" t="s">
        <v>42289</v>
      </c>
      <c r="M11266" t="s">
        <v>44687</v>
      </c>
      <c r="N11266" t="s">
        <v>46569</v>
      </c>
      <c r="O11266" t="s">
        <v>46570</v>
      </c>
      <c r="P11266">
        <v>0</v>
      </c>
      <c r="Q11266">
        <v>0</v>
      </c>
      <c r="R11266" t="s">
        <v>46579</v>
      </c>
      <c r="S11266" t="s">
        <v>46919</v>
      </c>
      <c r="T11266" t="s">
        <v>48304</v>
      </c>
      <c r="U11266" t="s">
        <v>53650</v>
      </c>
      <c r="W11266" t="s">
        <v>44687</v>
      </c>
      <c r="X11266" t="s">
        <v>46580</v>
      </c>
    </row>
    <row r="11267" spans="1:24">
      <c r="A11267">
        <f>HYPERLINK("https://www.philgeps.gov.ph/GEPSNONPILOT/Tender/SplashBidNoticeAbstractUI.aspx?menuIndex=3&amp;refID=7047718&amp;Result=3","7047718")</f>
        <v>0</v>
      </c>
      <c r="B11267" t="s">
        <v>1781</v>
      </c>
      <c r="C11267" t="s">
        <v>14208</v>
      </c>
      <c r="D11267" t="s">
        <v>18807</v>
      </c>
      <c r="E11267" t="s">
        <v>28595</v>
      </c>
      <c r="F11267" t="s">
        <v>32664</v>
      </c>
      <c r="G11267" t="s">
        <v>32672</v>
      </c>
      <c r="H11267" t="s">
        <v>32682</v>
      </c>
      <c r="I11267" t="s">
        <v>11464</v>
      </c>
      <c r="J11267" t="s">
        <v>32837</v>
      </c>
      <c r="K11267" t="s">
        <v>42311</v>
      </c>
      <c r="M11267" t="s">
        <v>44483</v>
      </c>
      <c r="N11267" t="s">
        <v>46569</v>
      </c>
      <c r="O11267" t="s">
        <v>46570</v>
      </c>
      <c r="P11267">
        <v>0</v>
      </c>
      <c r="Q11267">
        <v>3</v>
      </c>
      <c r="R11267" t="s">
        <v>46579</v>
      </c>
      <c r="S11267" t="s">
        <v>46919</v>
      </c>
      <c r="T11267" t="s">
        <v>48675</v>
      </c>
      <c r="U11267" t="s">
        <v>57822</v>
      </c>
      <c r="V11267" t="s">
        <v>62839</v>
      </c>
      <c r="W11267" t="s">
        <v>44483</v>
      </c>
      <c r="X11267" t="s">
        <v>46580</v>
      </c>
    </row>
    <row r="11268" spans="1:24">
      <c r="A11268">
        <f>HYPERLINK("https://www.philgeps.gov.ph/GEPSNONPILOT/Tender/SplashBidNoticeAbstractUI.aspx?menuIndex=3&amp;refID=7047696&amp;Result=3","7047696")</f>
        <v>0</v>
      </c>
      <c r="B11268" t="s">
        <v>1419</v>
      </c>
      <c r="C11268" t="s">
        <v>14209</v>
      </c>
      <c r="D11268" t="s">
        <v>18791</v>
      </c>
      <c r="E11268" t="s">
        <v>28596</v>
      </c>
      <c r="F11268" t="s">
        <v>32664</v>
      </c>
      <c r="G11268" t="s">
        <v>32672</v>
      </c>
      <c r="H11268" t="s">
        <v>12635</v>
      </c>
      <c r="I11268" t="s">
        <v>6223</v>
      </c>
      <c r="J11268" t="s">
        <v>39481</v>
      </c>
      <c r="K11268" t="s">
        <v>42281</v>
      </c>
      <c r="M11268" t="s">
        <v>44078</v>
      </c>
      <c r="N11268" t="s">
        <v>46569</v>
      </c>
      <c r="O11268" t="s">
        <v>46570</v>
      </c>
      <c r="P11268">
        <v>0</v>
      </c>
      <c r="Q11268">
        <v>2</v>
      </c>
      <c r="R11268" t="s">
        <v>46579</v>
      </c>
      <c r="S11268" t="s">
        <v>46919</v>
      </c>
      <c r="T11268" t="s">
        <v>48680</v>
      </c>
      <c r="U11268" t="s">
        <v>57823</v>
      </c>
      <c r="W11268" t="s">
        <v>44078</v>
      </c>
      <c r="X11268" t="s">
        <v>46580</v>
      </c>
    </row>
    <row r="11269" spans="1:24">
      <c r="A11269">
        <f>HYPERLINK("https://www.philgeps.gov.ph/GEPSNONPILOT/Tender/SplashBidNoticeAbstractUI.aspx?menuIndex=3&amp;refID=7047695&amp;Result=3","7047695")</f>
        <v>0</v>
      </c>
      <c r="B11269" t="s">
        <v>3032</v>
      </c>
      <c r="C11269" t="s">
        <v>14210</v>
      </c>
      <c r="D11269" t="s">
        <v>18817</v>
      </c>
      <c r="E11269" t="s">
        <v>28597</v>
      </c>
      <c r="F11269" t="s">
        <v>32664</v>
      </c>
      <c r="G11269" t="s">
        <v>32672</v>
      </c>
      <c r="H11269" t="s">
        <v>32683</v>
      </c>
      <c r="I11269" t="s">
        <v>10627</v>
      </c>
      <c r="J11269" t="s">
        <v>39482</v>
      </c>
      <c r="K11269" t="s">
        <v>42335</v>
      </c>
      <c r="M11269" t="s">
        <v>45905</v>
      </c>
      <c r="N11269" t="s">
        <v>46569</v>
      </c>
      <c r="O11269" t="s">
        <v>46570</v>
      </c>
      <c r="P11269">
        <v>0</v>
      </c>
      <c r="Q11269">
        <v>0</v>
      </c>
      <c r="R11269" t="s">
        <v>46579</v>
      </c>
      <c r="S11269" t="s">
        <v>46919</v>
      </c>
      <c r="T11269" t="s">
        <v>48453</v>
      </c>
      <c r="U11269" t="s">
        <v>57824</v>
      </c>
      <c r="W11269" t="s">
        <v>45905</v>
      </c>
      <c r="X11269" t="s">
        <v>46580</v>
      </c>
    </row>
    <row r="11270" spans="1:24">
      <c r="A11270">
        <f>HYPERLINK("https://www.philgeps.gov.ph/GEPSNONPILOT/Tender/SplashBidNoticeAbstractUI.aspx?menuIndex=3&amp;refID=7047686&amp;Result=3","7047686")</f>
        <v>0</v>
      </c>
      <c r="B11270" t="s">
        <v>3029</v>
      </c>
      <c r="C11270" t="s">
        <v>14211</v>
      </c>
      <c r="D11270" t="s">
        <v>18786</v>
      </c>
      <c r="E11270" t="s">
        <v>28598</v>
      </c>
      <c r="F11270" t="s">
        <v>32664</v>
      </c>
      <c r="G11270" t="s">
        <v>32672</v>
      </c>
      <c r="H11270" t="s">
        <v>32683</v>
      </c>
      <c r="I11270" t="s">
        <v>10627</v>
      </c>
      <c r="J11270" t="s">
        <v>32859</v>
      </c>
      <c r="K11270" t="s">
        <v>42305</v>
      </c>
      <c r="M11270" t="s">
        <v>45902</v>
      </c>
      <c r="N11270" t="s">
        <v>46569</v>
      </c>
      <c r="O11270" t="s">
        <v>46570</v>
      </c>
      <c r="P11270">
        <v>0</v>
      </c>
      <c r="Q11270">
        <v>0</v>
      </c>
      <c r="R11270" t="s">
        <v>46579</v>
      </c>
      <c r="S11270" t="s">
        <v>46919</v>
      </c>
      <c r="T11270" t="s">
        <v>48228</v>
      </c>
      <c r="U11270" t="s">
        <v>57825</v>
      </c>
      <c r="V11270" t="s">
        <v>62837</v>
      </c>
      <c r="W11270" t="s">
        <v>45902</v>
      </c>
      <c r="X11270" t="s">
        <v>46580</v>
      </c>
    </row>
    <row r="11271" spans="1:24">
      <c r="A11271">
        <f>HYPERLINK("https://www.philgeps.gov.ph/GEPSNONPILOT/Tender/SplashBidNoticeAbstractUI.aspx?menuIndex=3&amp;refID=7047679&amp;Result=3","7047679")</f>
        <v>0</v>
      </c>
      <c r="B11271" t="s">
        <v>3025</v>
      </c>
      <c r="C11271" t="s">
        <v>14212</v>
      </c>
      <c r="D11271" t="s">
        <v>18842</v>
      </c>
      <c r="E11271" t="s">
        <v>28599</v>
      </c>
      <c r="F11271" t="s">
        <v>32664</v>
      </c>
      <c r="G11271" t="s">
        <v>32671</v>
      </c>
      <c r="H11271" t="s">
        <v>12635</v>
      </c>
      <c r="I11271" t="s">
        <v>32695</v>
      </c>
      <c r="J11271" t="s">
        <v>39483</v>
      </c>
      <c r="K11271" t="s">
        <v>42281</v>
      </c>
      <c r="M11271" t="s">
        <v>45897</v>
      </c>
      <c r="N11271" t="s">
        <v>46569</v>
      </c>
      <c r="O11271" t="s">
        <v>46570</v>
      </c>
      <c r="P11271">
        <v>0</v>
      </c>
      <c r="Q11271">
        <v>1</v>
      </c>
      <c r="R11271" t="s">
        <v>46579</v>
      </c>
      <c r="S11271" t="s">
        <v>46919</v>
      </c>
      <c r="T11271" t="s">
        <v>48448</v>
      </c>
      <c r="U11271" t="s">
        <v>57826</v>
      </c>
      <c r="W11271" t="s">
        <v>45897</v>
      </c>
      <c r="X11271" t="s">
        <v>46580</v>
      </c>
    </row>
    <row r="11272" spans="1:24">
      <c r="A11272">
        <f>HYPERLINK("https://www.philgeps.gov.ph/GEPSNONPILOT/Tender/SplashBidNoticeAbstractUI.aspx?menuIndex=3&amp;refID=7047702&amp;Result=3","7047702")</f>
        <v>0</v>
      </c>
      <c r="B11272" t="s">
        <v>1974</v>
      </c>
      <c r="C11272" t="s">
        <v>14213</v>
      </c>
      <c r="D11272" t="s">
        <v>18857</v>
      </c>
      <c r="E11272" t="s">
        <v>28600</v>
      </c>
      <c r="F11272" t="s">
        <v>32664</v>
      </c>
      <c r="G11272" t="s">
        <v>32672</v>
      </c>
      <c r="H11272" t="s">
        <v>12635</v>
      </c>
      <c r="I11272" t="s">
        <v>11464</v>
      </c>
      <c r="J11272" t="s">
        <v>39484</v>
      </c>
      <c r="K11272" t="s">
        <v>42281</v>
      </c>
      <c r="M11272" t="s">
        <v>44708</v>
      </c>
      <c r="N11272" t="s">
        <v>46569</v>
      </c>
      <c r="O11272" t="s">
        <v>46570</v>
      </c>
      <c r="P11272">
        <v>0</v>
      </c>
      <c r="Q11272">
        <v>4</v>
      </c>
      <c r="R11272" t="s">
        <v>46579</v>
      </c>
      <c r="S11272" t="s">
        <v>46919</v>
      </c>
      <c r="T11272" t="s">
        <v>48238</v>
      </c>
      <c r="U11272" t="s">
        <v>57827</v>
      </c>
      <c r="V11272" t="s">
        <v>62825</v>
      </c>
      <c r="W11272" t="s">
        <v>44708</v>
      </c>
      <c r="X11272" t="s">
        <v>46580</v>
      </c>
    </row>
    <row r="11273" spans="1:24">
      <c r="A11273">
        <f>HYPERLINK("https://www.philgeps.gov.ph/GEPSNONPILOT/Tender/SplashBidNoticeAbstractUI.aspx?menuIndex=3&amp;refID=7047715&amp;Result=3","7047715")</f>
        <v>0</v>
      </c>
      <c r="B11273" t="s">
        <v>3017</v>
      </c>
      <c r="C11273" t="s">
        <v>14214</v>
      </c>
      <c r="D11273" t="s">
        <v>18813</v>
      </c>
      <c r="E11273" t="s">
        <v>28601</v>
      </c>
      <c r="F11273" t="s">
        <v>32664</v>
      </c>
      <c r="G11273" t="s">
        <v>32672</v>
      </c>
      <c r="H11273" t="s">
        <v>12635</v>
      </c>
      <c r="I11273" t="s">
        <v>4439</v>
      </c>
      <c r="J11273" t="s">
        <v>39485</v>
      </c>
      <c r="K11273" t="s">
        <v>42340</v>
      </c>
      <c r="L11273" t="s">
        <v>3017</v>
      </c>
      <c r="M11273" t="s">
        <v>45889</v>
      </c>
      <c r="N11273" t="s">
        <v>46569</v>
      </c>
      <c r="O11273" t="s">
        <v>46570</v>
      </c>
      <c r="P11273">
        <v>0</v>
      </c>
      <c r="Q11273">
        <v>0</v>
      </c>
      <c r="R11273" t="s">
        <v>46579</v>
      </c>
      <c r="S11273" t="s">
        <v>46919</v>
      </c>
      <c r="T11273" t="s">
        <v>48661</v>
      </c>
      <c r="U11273" t="s">
        <v>57775</v>
      </c>
      <c r="V11273" t="s">
        <v>62833</v>
      </c>
      <c r="W11273" t="s">
        <v>45889</v>
      </c>
      <c r="X11273" t="s">
        <v>46580</v>
      </c>
    </row>
    <row r="11274" spans="1:24">
      <c r="A11274">
        <f>HYPERLINK("https://www.philgeps.gov.ph/GEPSNONPILOT/Tender/SplashBidNoticeAbstractUI.aspx?menuIndex=3&amp;refID=7047479&amp;Result=3","7047479")</f>
        <v>0</v>
      </c>
      <c r="B11274" t="s">
        <v>184</v>
      </c>
      <c r="C11274" t="s">
        <v>14215</v>
      </c>
      <c r="D11274" t="s">
        <v>18825</v>
      </c>
      <c r="E11274" t="s">
        <v>28602</v>
      </c>
      <c r="F11274" t="s">
        <v>32664</v>
      </c>
      <c r="G11274" t="s">
        <v>32672</v>
      </c>
      <c r="H11274" t="s">
        <v>32683</v>
      </c>
      <c r="I11274" t="s">
        <v>10627</v>
      </c>
      <c r="J11274" t="s">
        <v>39472</v>
      </c>
      <c r="K11274" t="s">
        <v>42308</v>
      </c>
      <c r="M11274" t="s">
        <v>42884</v>
      </c>
      <c r="N11274" t="s">
        <v>46569</v>
      </c>
      <c r="O11274" t="s">
        <v>46570</v>
      </c>
      <c r="P11274">
        <v>0</v>
      </c>
      <c r="Q11274">
        <v>0</v>
      </c>
      <c r="R11274" t="s">
        <v>46579</v>
      </c>
      <c r="S11274" t="s">
        <v>46919</v>
      </c>
      <c r="T11274" t="s">
        <v>48238</v>
      </c>
      <c r="U11274" t="s">
        <v>57767</v>
      </c>
      <c r="W11274" t="s">
        <v>42884</v>
      </c>
      <c r="X11274" t="s">
        <v>46580</v>
      </c>
    </row>
    <row r="11275" spans="1:24">
      <c r="A11275">
        <f>HYPERLINK("https://www.philgeps.gov.ph/GEPSNONPILOT/Tender/SplashBidNoticeAbstractUI.aspx?menuIndex=3&amp;refID=7047475&amp;Result=3","7047475")</f>
        <v>0</v>
      </c>
      <c r="B11275" t="s">
        <v>448</v>
      </c>
      <c r="C11275" t="s">
        <v>14216</v>
      </c>
      <c r="D11275" t="s">
        <v>18788</v>
      </c>
      <c r="E11275" t="s">
        <v>28603</v>
      </c>
      <c r="F11275" t="s">
        <v>32664</v>
      </c>
      <c r="G11275" t="s">
        <v>32672</v>
      </c>
      <c r="H11275" t="s">
        <v>32683</v>
      </c>
      <c r="I11275" t="s">
        <v>10627</v>
      </c>
      <c r="J11275" t="s">
        <v>39486</v>
      </c>
      <c r="K11275" t="s">
        <v>42298</v>
      </c>
      <c r="M11275" t="s">
        <v>43021</v>
      </c>
      <c r="N11275" t="s">
        <v>46569</v>
      </c>
      <c r="O11275" t="s">
        <v>46570</v>
      </c>
      <c r="P11275">
        <v>0</v>
      </c>
      <c r="Q11275">
        <v>0</v>
      </c>
      <c r="R11275" t="s">
        <v>46579</v>
      </c>
      <c r="S11275" t="s">
        <v>46919</v>
      </c>
      <c r="T11275" t="s">
        <v>48307</v>
      </c>
      <c r="U11275" t="s">
        <v>54973</v>
      </c>
      <c r="W11275" t="s">
        <v>43021</v>
      </c>
      <c r="X11275" t="s">
        <v>46580</v>
      </c>
    </row>
    <row r="11276" spans="1:24">
      <c r="A11276">
        <f>HYPERLINK("https://www.philgeps.gov.ph/GEPSNONPILOT/Tender/SplashBidNoticeAbstractUI.aspx?menuIndex=3&amp;refID=7047731&amp;Result=3","7047731")</f>
        <v>0</v>
      </c>
      <c r="B11276" t="s">
        <v>3033</v>
      </c>
      <c r="C11276" t="s">
        <v>14217</v>
      </c>
      <c r="D11276" t="s">
        <v>18784</v>
      </c>
      <c r="E11276" t="s">
        <v>24785</v>
      </c>
      <c r="F11276" t="s">
        <v>32665</v>
      </c>
      <c r="G11276" t="s">
        <v>32671</v>
      </c>
      <c r="H11276" t="s">
        <v>12635</v>
      </c>
      <c r="I11276" t="s">
        <v>32733</v>
      </c>
      <c r="J11276" t="s">
        <v>39487</v>
      </c>
      <c r="K11276" t="s">
        <v>42303</v>
      </c>
      <c r="M11276" t="s">
        <v>45906</v>
      </c>
      <c r="N11276" t="s">
        <v>46569</v>
      </c>
      <c r="O11276" t="s">
        <v>46570</v>
      </c>
      <c r="P11276">
        <v>0</v>
      </c>
      <c r="Q11276">
        <v>2</v>
      </c>
      <c r="R11276" t="s">
        <v>46579</v>
      </c>
      <c r="S11276" t="s">
        <v>46919</v>
      </c>
      <c r="T11276" t="s">
        <v>48316</v>
      </c>
      <c r="U11276" t="s">
        <v>57828</v>
      </c>
      <c r="W11276" t="s">
        <v>45906</v>
      </c>
      <c r="X11276" t="s">
        <v>46580</v>
      </c>
    </row>
    <row r="11277" spans="1:24">
      <c r="A11277">
        <f>HYPERLINK("https://www.philgeps.gov.ph/GEPSNONPILOT/Tender/SplashBidNoticeAbstractUI.aspx?menuIndex=3&amp;refID=7047291&amp;Result=3","7047291")</f>
        <v>0</v>
      </c>
      <c r="B11277" t="s">
        <v>729</v>
      </c>
      <c r="C11277" t="s">
        <v>14218</v>
      </c>
      <c r="D11277" t="s">
        <v>18818</v>
      </c>
      <c r="E11277" t="s">
        <v>28604</v>
      </c>
      <c r="F11277" t="s">
        <v>32664</v>
      </c>
      <c r="G11277" t="s">
        <v>32672</v>
      </c>
      <c r="H11277" t="s">
        <v>32683</v>
      </c>
      <c r="I11277" t="s">
        <v>32694</v>
      </c>
      <c r="J11277" t="s">
        <v>38025</v>
      </c>
      <c r="K11277" t="s">
        <v>42281</v>
      </c>
      <c r="M11277" t="s">
        <v>43318</v>
      </c>
      <c r="N11277" t="s">
        <v>46569</v>
      </c>
      <c r="O11277" t="s">
        <v>46570</v>
      </c>
      <c r="P11277">
        <v>0</v>
      </c>
      <c r="Q11277">
        <v>0</v>
      </c>
      <c r="R11277" t="s">
        <v>46579</v>
      </c>
      <c r="S11277" t="s">
        <v>46919</v>
      </c>
      <c r="T11277" t="s">
        <v>48228</v>
      </c>
      <c r="U11277" t="s">
        <v>57749</v>
      </c>
      <c r="W11277" t="s">
        <v>43318</v>
      </c>
      <c r="X11277" t="s">
        <v>46580</v>
      </c>
    </row>
    <row r="11278" spans="1:24">
      <c r="A11278">
        <f>HYPERLINK("https://www.philgeps.gov.ph/GEPSNONPILOT/Tender/SplashBidNoticeAbstractUI.aspx?menuIndex=3&amp;refID=7047711&amp;Result=3","7047711")</f>
        <v>0</v>
      </c>
      <c r="B11278" t="s">
        <v>3029</v>
      </c>
      <c r="C11278" t="s">
        <v>14219</v>
      </c>
      <c r="D11278" t="s">
        <v>18786</v>
      </c>
      <c r="E11278" t="s">
        <v>28605</v>
      </c>
      <c r="F11278" t="s">
        <v>32664</v>
      </c>
      <c r="G11278" t="s">
        <v>32672</v>
      </c>
      <c r="H11278" t="s">
        <v>32683</v>
      </c>
      <c r="I11278" t="s">
        <v>10627</v>
      </c>
      <c r="J11278" t="s">
        <v>32865</v>
      </c>
      <c r="K11278" t="s">
        <v>42369</v>
      </c>
      <c r="M11278" t="s">
        <v>45902</v>
      </c>
      <c r="N11278" t="s">
        <v>46569</v>
      </c>
      <c r="O11278" t="s">
        <v>46570</v>
      </c>
      <c r="P11278">
        <v>0</v>
      </c>
      <c r="Q11278">
        <v>0</v>
      </c>
      <c r="R11278" t="s">
        <v>46579</v>
      </c>
      <c r="S11278" t="s">
        <v>46919</v>
      </c>
      <c r="T11278" t="s">
        <v>48228</v>
      </c>
      <c r="U11278" t="s">
        <v>57829</v>
      </c>
      <c r="V11278" t="s">
        <v>62837</v>
      </c>
      <c r="W11278" t="s">
        <v>45902</v>
      </c>
      <c r="X11278" t="s">
        <v>46580</v>
      </c>
    </row>
    <row r="11279" spans="1:24">
      <c r="A11279">
        <f>HYPERLINK("https://www.philgeps.gov.ph/GEPSNONPILOT/Tender/SplashBidNoticeAbstractUI.aspx?menuIndex=3&amp;refID=7047694&amp;Result=3","7047694")</f>
        <v>0</v>
      </c>
      <c r="B11279" t="s">
        <v>145</v>
      </c>
      <c r="C11279" t="s">
        <v>14220</v>
      </c>
      <c r="D11279" t="s">
        <v>18784</v>
      </c>
      <c r="E11279" t="s">
        <v>28606</v>
      </c>
      <c r="F11279" t="s">
        <v>32664</v>
      </c>
      <c r="G11279" t="s">
        <v>32671</v>
      </c>
      <c r="H11279" t="s">
        <v>12635</v>
      </c>
      <c r="I11279" t="s">
        <v>32710</v>
      </c>
      <c r="J11279" t="s">
        <v>39488</v>
      </c>
      <c r="K11279" t="s">
        <v>42283</v>
      </c>
      <c r="M11279" t="s">
        <v>44503</v>
      </c>
      <c r="N11279" t="s">
        <v>46569</v>
      </c>
      <c r="O11279" t="s">
        <v>46570</v>
      </c>
      <c r="P11279">
        <v>0</v>
      </c>
      <c r="Q11279">
        <v>12</v>
      </c>
      <c r="R11279" t="s">
        <v>46579</v>
      </c>
      <c r="S11279" t="s">
        <v>46919</v>
      </c>
      <c r="T11279" t="s">
        <v>48287</v>
      </c>
      <c r="U11279" t="s">
        <v>49062</v>
      </c>
      <c r="V11279" t="s">
        <v>62173</v>
      </c>
      <c r="W11279" t="s">
        <v>44503</v>
      </c>
      <c r="X11279" t="s">
        <v>46580</v>
      </c>
    </row>
    <row r="11280" spans="1:24">
      <c r="A11280">
        <f>HYPERLINK("https://www.philgeps.gov.ph/GEPSNONPILOT/Tender/SplashBidNoticeAbstractUI.aspx?menuIndex=3&amp;refID=7047473&amp;Result=3","7047473")</f>
        <v>0</v>
      </c>
      <c r="B11280" t="s">
        <v>310</v>
      </c>
      <c r="C11280" t="s">
        <v>14221</v>
      </c>
      <c r="D11280" t="s">
        <v>18789</v>
      </c>
      <c r="E11280" t="s">
        <v>28607</v>
      </c>
      <c r="F11280" t="s">
        <v>32664</v>
      </c>
      <c r="G11280" t="s">
        <v>32672</v>
      </c>
      <c r="H11280" t="s">
        <v>32683</v>
      </c>
      <c r="I11280" t="s">
        <v>4439</v>
      </c>
      <c r="J11280" t="s">
        <v>39489</v>
      </c>
      <c r="K11280" t="s">
        <v>42308</v>
      </c>
      <c r="M11280" t="s">
        <v>42877</v>
      </c>
      <c r="N11280" t="s">
        <v>46569</v>
      </c>
      <c r="O11280" t="s">
        <v>46570</v>
      </c>
      <c r="P11280">
        <v>0</v>
      </c>
      <c r="Q11280">
        <v>3</v>
      </c>
      <c r="R11280" t="s">
        <v>46579</v>
      </c>
      <c r="S11280" t="s">
        <v>46919</v>
      </c>
      <c r="T11280" t="s">
        <v>48452</v>
      </c>
      <c r="U11280" t="s">
        <v>57830</v>
      </c>
      <c r="V11280" t="s">
        <v>62832</v>
      </c>
      <c r="W11280" t="s">
        <v>42877</v>
      </c>
      <c r="X11280" t="s">
        <v>46580</v>
      </c>
    </row>
    <row r="11281" spans="1:24">
      <c r="A11281">
        <f>HYPERLINK("https://www.philgeps.gov.ph/GEPSNONPILOT/Tender/SplashBidNoticeAbstractUI.aspx?menuIndex=3&amp;refID=7047171&amp;Result=3","7047171")</f>
        <v>0</v>
      </c>
      <c r="B11281" t="s">
        <v>2559</v>
      </c>
      <c r="C11281" t="s">
        <v>14222</v>
      </c>
      <c r="D11281" t="s">
        <v>18859</v>
      </c>
      <c r="E11281" t="s">
        <v>28608</v>
      </c>
      <c r="F11281" t="s">
        <v>32664</v>
      </c>
      <c r="G11281" t="s">
        <v>32672</v>
      </c>
      <c r="H11281" t="s">
        <v>12635</v>
      </c>
      <c r="I11281" t="s">
        <v>6628</v>
      </c>
      <c r="J11281" t="s">
        <v>33228</v>
      </c>
      <c r="K11281" t="s">
        <v>42303</v>
      </c>
      <c r="M11281" t="s">
        <v>45370</v>
      </c>
      <c r="N11281" t="s">
        <v>46569</v>
      </c>
      <c r="O11281" t="s">
        <v>46570</v>
      </c>
      <c r="P11281">
        <v>0</v>
      </c>
      <c r="Q11281">
        <v>0</v>
      </c>
      <c r="R11281" t="s">
        <v>46579</v>
      </c>
      <c r="S11281" t="s">
        <v>46919</v>
      </c>
      <c r="T11281" t="s">
        <v>48287</v>
      </c>
      <c r="U11281" t="s">
        <v>57831</v>
      </c>
      <c r="V11281" t="s">
        <v>62840</v>
      </c>
      <c r="W11281" t="s">
        <v>45370</v>
      </c>
      <c r="X11281" t="s">
        <v>46580</v>
      </c>
    </row>
    <row r="11282" spans="1:24">
      <c r="A11282">
        <f>HYPERLINK("https://www.philgeps.gov.ph/GEPSNONPILOT/Tender/SplashBidNoticeAbstractUI.aspx?menuIndex=3&amp;refID=7047078&amp;Result=3","7047078")</f>
        <v>0</v>
      </c>
      <c r="B11282" t="s">
        <v>3034</v>
      </c>
      <c r="C11282" t="s">
        <v>14223</v>
      </c>
      <c r="D11282" t="s">
        <v>18839</v>
      </c>
      <c r="E11282" t="s">
        <v>28609</v>
      </c>
      <c r="F11282" t="s">
        <v>32664</v>
      </c>
      <c r="G11282" t="s">
        <v>32672</v>
      </c>
      <c r="H11282" t="s">
        <v>32683</v>
      </c>
      <c r="I11282" t="s">
        <v>10627</v>
      </c>
      <c r="J11282" t="s">
        <v>39490</v>
      </c>
      <c r="K11282" t="s">
        <v>42305</v>
      </c>
      <c r="M11282" t="s">
        <v>45907</v>
      </c>
      <c r="N11282" t="s">
        <v>46569</v>
      </c>
      <c r="O11282" t="s">
        <v>46570</v>
      </c>
      <c r="P11282">
        <v>0</v>
      </c>
      <c r="Q11282">
        <v>1</v>
      </c>
      <c r="R11282" t="s">
        <v>46579</v>
      </c>
      <c r="S11282" t="s">
        <v>46919</v>
      </c>
      <c r="T11282" t="s">
        <v>48213</v>
      </c>
      <c r="U11282" t="s">
        <v>57832</v>
      </c>
      <c r="W11282" t="s">
        <v>45907</v>
      </c>
      <c r="X11282" t="s">
        <v>46581</v>
      </c>
    </row>
    <row r="11283" spans="1:24">
      <c r="A11283">
        <f>HYPERLINK("https://www.philgeps.gov.ph/GEPSNONPILOT/Tender/SplashBidNoticeAbstractUI.aspx?menuIndex=3&amp;refID=7047669&amp;Result=3","7047669")</f>
        <v>0</v>
      </c>
      <c r="B11283" t="s">
        <v>220</v>
      </c>
      <c r="C11283" t="s">
        <v>14224</v>
      </c>
      <c r="D11283" t="s">
        <v>18788</v>
      </c>
      <c r="E11283" t="s">
        <v>19105</v>
      </c>
      <c r="F11283" t="s">
        <v>32664</v>
      </c>
      <c r="G11283" t="s">
        <v>32672</v>
      </c>
      <c r="H11283" t="s">
        <v>12635</v>
      </c>
      <c r="I11283" t="s">
        <v>14442</v>
      </c>
      <c r="J11283" t="s">
        <v>39491</v>
      </c>
      <c r="K11283" t="s">
        <v>42297</v>
      </c>
      <c r="L11283" t="s">
        <v>220</v>
      </c>
      <c r="M11283" t="s">
        <v>42784</v>
      </c>
      <c r="N11283" t="s">
        <v>46569</v>
      </c>
      <c r="O11283" t="s">
        <v>46570</v>
      </c>
      <c r="P11283">
        <v>0</v>
      </c>
      <c r="Q11283">
        <v>2</v>
      </c>
      <c r="R11283" t="s">
        <v>46579</v>
      </c>
      <c r="S11283" t="s">
        <v>46919</v>
      </c>
      <c r="T11283" t="s">
        <v>48307</v>
      </c>
      <c r="U11283" t="s">
        <v>57833</v>
      </c>
      <c r="W11283" t="s">
        <v>42784</v>
      </c>
      <c r="X11283" t="s">
        <v>46580</v>
      </c>
    </row>
    <row r="11284" spans="1:24">
      <c r="A11284">
        <f>HYPERLINK("https://www.philgeps.gov.ph/GEPSNONPILOT/Tender/SplashBidNoticeAbstractUI.aspx?menuIndex=3&amp;refID=7047688&amp;Result=3","7047688")</f>
        <v>0</v>
      </c>
      <c r="B11284" t="s">
        <v>220</v>
      </c>
      <c r="C11284" t="s">
        <v>14225</v>
      </c>
      <c r="D11284" t="s">
        <v>18788</v>
      </c>
      <c r="E11284" t="s">
        <v>27390</v>
      </c>
      <c r="F11284" t="s">
        <v>32664</v>
      </c>
      <c r="G11284" t="s">
        <v>32672</v>
      </c>
      <c r="H11284" t="s">
        <v>12635</v>
      </c>
      <c r="I11284" t="s">
        <v>4439</v>
      </c>
      <c r="J11284" t="s">
        <v>39492</v>
      </c>
      <c r="K11284" t="s">
        <v>42297</v>
      </c>
      <c r="M11284" t="s">
        <v>42784</v>
      </c>
      <c r="N11284" t="s">
        <v>46569</v>
      </c>
      <c r="O11284" t="s">
        <v>46570</v>
      </c>
      <c r="P11284">
        <v>0</v>
      </c>
      <c r="Q11284">
        <v>2</v>
      </c>
      <c r="R11284" t="s">
        <v>46579</v>
      </c>
      <c r="S11284" t="s">
        <v>46919</v>
      </c>
      <c r="T11284" t="s">
        <v>48307</v>
      </c>
      <c r="U11284" t="s">
        <v>57833</v>
      </c>
      <c r="W11284" t="s">
        <v>42784</v>
      </c>
      <c r="X11284" t="s">
        <v>46580</v>
      </c>
    </row>
    <row r="11285" spans="1:24">
      <c r="A11285">
        <f>HYPERLINK("https://www.philgeps.gov.ph/GEPSNONPILOT/Tender/SplashBidNoticeAbstractUI.aspx?menuIndex=3&amp;refID=7039022&amp;Result=3","7039022")</f>
        <v>0</v>
      </c>
      <c r="B11285" t="s">
        <v>3035</v>
      </c>
      <c r="C11285" t="s">
        <v>14226</v>
      </c>
      <c r="D11285" t="s">
        <v>18804</v>
      </c>
      <c r="E11285" t="s">
        <v>28610</v>
      </c>
      <c r="F11285" t="s">
        <v>32664</v>
      </c>
      <c r="G11285" t="s">
        <v>32672</v>
      </c>
      <c r="H11285" t="s">
        <v>12635</v>
      </c>
      <c r="I11285" t="s">
        <v>32699</v>
      </c>
      <c r="J11285" t="s">
        <v>33051</v>
      </c>
      <c r="K11285" t="s">
        <v>42283</v>
      </c>
      <c r="M11285" t="s">
        <v>45908</v>
      </c>
      <c r="N11285" t="s">
        <v>46569</v>
      </c>
      <c r="O11285" t="s">
        <v>46570</v>
      </c>
      <c r="P11285">
        <v>0</v>
      </c>
      <c r="Q11285">
        <v>0</v>
      </c>
      <c r="R11285" t="s">
        <v>46579</v>
      </c>
      <c r="S11285" t="s">
        <v>46919</v>
      </c>
      <c r="T11285" t="s">
        <v>48303</v>
      </c>
      <c r="U11285" t="s">
        <v>57834</v>
      </c>
      <c r="W11285" t="s">
        <v>45908</v>
      </c>
      <c r="X11285" t="s">
        <v>46586</v>
      </c>
    </row>
    <row r="11286" spans="1:24">
      <c r="A11286">
        <f>HYPERLINK("https://www.philgeps.gov.ph/GEPSNONPILOT/Tender/SplashBidNoticeAbstractUI.aspx?menuIndex=3&amp;refID=7036808&amp;Result=3","7036808")</f>
        <v>0</v>
      </c>
      <c r="B11286" t="s">
        <v>3036</v>
      </c>
      <c r="C11286" t="s">
        <v>14227</v>
      </c>
      <c r="D11286" t="s">
        <v>18805</v>
      </c>
      <c r="E11286" t="s">
        <v>28611</v>
      </c>
      <c r="F11286" t="s">
        <v>32664</v>
      </c>
      <c r="G11286" t="s">
        <v>32671</v>
      </c>
      <c r="H11286" t="s">
        <v>12635</v>
      </c>
      <c r="I11286" t="s">
        <v>10374</v>
      </c>
      <c r="J11286" t="s">
        <v>36161</v>
      </c>
      <c r="K11286" t="s">
        <v>42297</v>
      </c>
      <c r="M11286" t="s">
        <v>45909</v>
      </c>
      <c r="N11286" t="s">
        <v>46569</v>
      </c>
      <c r="O11286" t="s">
        <v>46570</v>
      </c>
      <c r="P11286">
        <v>0</v>
      </c>
      <c r="Q11286">
        <v>1</v>
      </c>
      <c r="R11286" t="s">
        <v>46579</v>
      </c>
      <c r="S11286" t="s">
        <v>46919</v>
      </c>
      <c r="T11286" t="s">
        <v>48287</v>
      </c>
      <c r="U11286" t="s">
        <v>57835</v>
      </c>
      <c r="W11286" t="s">
        <v>45909</v>
      </c>
      <c r="X11286" t="s">
        <v>46587</v>
      </c>
    </row>
    <row r="11287" spans="1:24">
      <c r="A11287">
        <f>HYPERLINK("https://www.philgeps.gov.ph/GEPSNONPILOT/Tender/SplashBidNoticeAbstractUI.aspx?menuIndex=3&amp;refID=7023535-2&amp;Result=3","7023535-2")</f>
        <v>0</v>
      </c>
      <c r="B11287" t="s">
        <v>3037</v>
      </c>
      <c r="C11287" t="s">
        <v>14228</v>
      </c>
      <c r="D11287" t="s">
        <v>18788</v>
      </c>
      <c r="E11287" t="s">
        <v>28612</v>
      </c>
      <c r="F11287" t="s">
        <v>32664</v>
      </c>
      <c r="G11287" t="s">
        <v>32672</v>
      </c>
      <c r="H11287" t="s">
        <v>32681</v>
      </c>
      <c r="I11287" t="s">
        <v>32681</v>
      </c>
      <c r="J11287" t="s">
        <v>37840</v>
      </c>
      <c r="K11287" t="s">
        <v>42311</v>
      </c>
      <c r="M11287" t="s">
        <v>45910</v>
      </c>
      <c r="N11287" t="s">
        <v>46569</v>
      </c>
      <c r="O11287" t="s">
        <v>46570</v>
      </c>
      <c r="P11287">
        <v>0</v>
      </c>
      <c r="Q11287">
        <v>0</v>
      </c>
      <c r="R11287" t="s">
        <v>46579</v>
      </c>
      <c r="S11287" t="s">
        <v>46919</v>
      </c>
      <c r="T11287" t="s">
        <v>48308</v>
      </c>
      <c r="U11287" t="s">
        <v>57836</v>
      </c>
      <c r="W11287" t="s">
        <v>45910</v>
      </c>
      <c r="X11287" t="s">
        <v>46580</v>
      </c>
    </row>
    <row r="11288" spans="1:24">
      <c r="A11288">
        <f>HYPERLINK("https://www.philgeps.gov.ph/GEPSNONPILOT/Tender/SplashBidNoticeAbstractUI.aspx?menuIndex=3&amp;refID=7023492-2&amp;Result=3","7023492-2")</f>
        <v>0</v>
      </c>
      <c r="B11288" t="s">
        <v>3037</v>
      </c>
      <c r="C11288" t="s">
        <v>14229</v>
      </c>
      <c r="D11288" t="s">
        <v>18788</v>
      </c>
      <c r="E11288" t="s">
        <v>28613</v>
      </c>
      <c r="F11288" t="s">
        <v>32664</v>
      </c>
      <c r="G11288" t="s">
        <v>32672</v>
      </c>
      <c r="H11288" t="s">
        <v>32681</v>
      </c>
      <c r="I11288" t="s">
        <v>32681</v>
      </c>
      <c r="J11288" t="s">
        <v>32962</v>
      </c>
      <c r="K11288" t="s">
        <v>42311</v>
      </c>
      <c r="M11288" t="s">
        <v>45910</v>
      </c>
      <c r="N11288" t="s">
        <v>46569</v>
      </c>
      <c r="O11288" t="s">
        <v>46570</v>
      </c>
      <c r="P11288">
        <v>0</v>
      </c>
      <c r="Q11288">
        <v>0</v>
      </c>
      <c r="R11288" t="s">
        <v>46579</v>
      </c>
      <c r="S11288" t="s">
        <v>46919</v>
      </c>
      <c r="T11288" t="s">
        <v>48308</v>
      </c>
      <c r="U11288" t="s">
        <v>57837</v>
      </c>
      <c r="W11288" t="s">
        <v>45910</v>
      </c>
      <c r="X11288" t="s">
        <v>46580</v>
      </c>
    </row>
    <row r="11289" spans="1:24">
      <c r="A11289">
        <f>HYPERLINK("https://www.philgeps.gov.ph/GEPSNONPILOT/Tender/SplashBidNoticeAbstractUI.aspx?menuIndex=3&amp;refID=7046891&amp;Result=3","7046891")</f>
        <v>0</v>
      </c>
      <c r="B11289" t="s">
        <v>3038</v>
      </c>
      <c r="C11289" t="s">
        <v>14230</v>
      </c>
      <c r="D11289" t="s">
        <v>18784</v>
      </c>
      <c r="E11289" t="s">
        <v>28614</v>
      </c>
      <c r="F11289" t="s">
        <v>32665</v>
      </c>
      <c r="G11289" t="s">
        <v>32672</v>
      </c>
      <c r="H11289" t="s">
        <v>12635</v>
      </c>
      <c r="I11289" t="s">
        <v>32692</v>
      </c>
      <c r="J11289" t="s">
        <v>35111</v>
      </c>
      <c r="K11289" t="s">
        <v>42378</v>
      </c>
      <c r="M11289" t="s">
        <v>45911</v>
      </c>
      <c r="N11289" t="s">
        <v>46569</v>
      </c>
      <c r="O11289" t="s">
        <v>46570</v>
      </c>
      <c r="P11289">
        <v>0</v>
      </c>
      <c r="Q11289">
        <v>1</v>
      </c>
      <c r="R11289" t="s">
        <v>46579</v>
      </c>
      <c r="S11289" t="s">
        <v>46919</v>
      </c>
      <c r="T11289" t="s">
        <v>48525</v>
      </c>
      <c r="U11289" t="s">
        <v>57838</v>
      </c>
      <c r="W11289" t="s">
        <v>45911</v>
      </c>
      <c r="X11289" t="s">
        <v>46581</v>
      </c>
    </row>
    <row r="11290" spans="1:24">
      <c r="A11290">
        <f>HYPERLINK("https://www.philgeps.gov.ph/GEPSNONPILOT/Tender/SplashBidNoticeAbstractUI.aspx?menuIndex=3&amp;refID=7047189&amp;Result=3","7047189")</f>
        <v>0</v>
      </c>
      <c r="B11290" t="s">
        <v>49</v>
      </c>
      <c r="C11290" t="s">
        <v>14231</v>
      </c>
      <c r="D11290" t="s">
        <v>18799</v>
      </c>
      <c r="E11290" t="s">
        <v>28615</v>
      </c>
      <c r="F11290" t="s">
        <v>32664</v>
      </c>
      <c r="G11290" t="s">
        <v>32672</v>
      </c>
      <c r="H11290" t="s">
        <v>32683</v>
      </c>
      <c r="I11290" t="s">
        <v>10627</v>
      </c>
      <c r="J11290" t="s">
        <v>39493</v>
      </c>
      <c r="K11290" t="s">
        <v>42518</v>
      </c>
      <c r="M11290" t="s">
        <v>42611</v>
      </c>
      <c r="N11290" t="s">
        <v>46569</v>
      </c>
      <c r="O11290" t="s">
        <v>46570</v>
      </c>
      <c r="P11290">
        <v>0</v>
      </c>
      <c r="Q11290">
        <v>3</v>
      </c>
      <c r="R11290" t="s">
        <v>46579</v>
      </c>
      <c r="S11290" t="s">
        <v>46919</v>
      </c>
      <c r="T11290" t="s">
        <v>48374</v>
      </c>
      <c r="U11290" t="s">
        <v>57839</v>
      </c>
      <c r="V11290" t="s">
        <v>61619</v>
      </c>
      <c r="W11290" t="s">
        <v>63463</v>
      </c>
      <c r="X11290" t="s">
        <v>46580</v>
      </c>
    </row>
    <row r="11291" spans="1:24">
      <c r="A11291">
        <f>HYPERLINK("https://www.philgeps.gov.ph/GEPSNONPILOT/Tender/SplashBidNoticeAbstractUI.aspx?menuIndex=3&amp;refID=6985467&amp;Result=3","6985467")</f>
        <v>0</v>
      </c>
      <c r="B11291" t="s">
        <v>2291</v>
      </c>
      <c r="C11291" t="s">
        <v>14232</v>
      </c>
      <c r="D11291" t="s">
        <v>18798</v>
      </c>
      <c r="E11291" t="s">
        <v>28616</v>
      </c>
      <c r="F11291" t="s">
        <v>32664</v>
      </c>
      <c r="G11291" t="s">
        <v>32672</v>
      </c>
      <c r="H11291" t="s">
        <v>32683</v>
      </c>
      <c r="I11291" t="s">
        <v>10627</v>
      </c>
      <c r="J11291" t="s">
        <v>39494</v>
      </c>
      <c r="K11291" t="s">
        <v>42285</v>
      </c>
      <c r="M11291" t="s">
        <v>45062</v>
      </c>
      <c r="N11291" t="s">
        <v>46569</v>
      </c>
      <c r="O11291" t="s">
        <v>46570</v>
      </c>
      <c r="P11291">
        <v>0</v>
      </c>
      <c r="Q11291">
        <v>3</v>
      </c>
      <c r="R11291" t="s">
        <v>46579</v>
      </c>
      <c r="S11291" t="s">
        <v>46919</v>
      </c>
      <c r="T11291" t="s">
        <v>48313</v>
      </c>
      <c r="U11291" t="s">
        <v>57840</v>
      </c>
      <c r="V11291" t="s">
        <v>62841</v>
      </c>
      <c r="W11291" t="s">
        <v>45062</v>
      </c>
      <c r="X11291" t="s">
        <v>46616</v>
      </c>
    </row>
    <row r="11292" spans="1:24">
      <c r="A11292">
        <f>HYPERLINK("https://www.philgeps.gov.ph/GEPSNONPILOT/Tender/SplashBidNoticeAbstractUI.aspx?menuIndex=3&amp;refID=6931750&amp;Result=3","6931750")</f>
        <v>0</v>
      </c>
      <c r="B11292" t="s">
        <v>2994</v>
      </c>
      <c r="C11292" t="s">
        <v>14233</v>
      </c>
      <c r="D11292" t="s">
        <v>18787</v>
      </c>
      <c r="E11292" t="s">
        <v>28617</v>
      </c>
      <c r="F11292" t="s">
        <v>32664</v>
      </c>
      <c r="G11292" t="s">
        <v>32672</v>
      </c>
      <c r="H11292" t="s">
        <v>32683</v>
      </c>
      <c r="I11292" t="s">
        <v>10627</v>
      </c>
      <c r="J11292" t="s">
        <v>33150</v>
      </c>
      <c r="K11292" t="s">
        <v>42283</v>
      </c>
      <c r="M11292" t="s">
        <v>45853</v>
      </c>
      <c r="N11292" t="s">
        <v>46569</v>
      </c>
      <c r="O11292" t="s">
        <v>46570</v>
      </c>
      <c r="P11292">
        <v>0</v>
      </c>
      <c r="Q11292">
        <v>0</v>
      </c>
      <c r="R11292" t="s">
        <v>46579</v>
      </c>
      <c r="S11292" t="s">
        <v>46919</v>
      </c>
      <c r="T11292" t="s">
        <v>48389</v>
      </c>
      <c r="U11292" t="s">
        <v>57841</v>
      </c>
      <c r="W11292" t="s">
        <v>45853</v>
      </c>
      <c r="X11292" t="s">
        <v>46636</v>
      </c>
    </row>
    <row r="11293" spans="1:24">
      <c r="A11293">
        <f>HYPERLINK("https://www.philgeps.gov.ph/GEPSNONPILOT/Tender/SplashBidNoticeAbstractUI.aspx?menuIndex=3&amp;refID=7023165-2&amp;Result=3","7023165-2")</f>
        <v>0</v>
      </c>
      <c r="B11293" t="s">
        <v>3037</v>
      </c>
      <c r="C11293" t="s">
        <v>14234</v>
      </c>
      <c r="D11293" t="s">
        <v>18788</v>
      </c>
      <c r="E11293" t="s">
        <v>28618</v>
      </c>
      <c r="F11293" t="s">
        <v>32664</v>
      </c>
      <c r="G11293" t="s">
        <v>32672</v>
      </c>
      <c r="H11293" t="s">
        <v>32681</v>
      </c>
      <c r="I11293" t="s">
        <v>32681</v>
      </c>
      <c r="J11293" t="s">
        <v>39495</v>
      </c>
      <c r="K11293" t="s">
        <v>42290</v>
      </c>
      <c r="M11293" t="s">
        <v>45910</v>
      </c>
      <c r="N11293" t="s">
        <v>46569</v>
      </c>
      <c r="O11293" t="s">
        <v>46570</v>
      </c>
      <c r="P11293">
        <v>0</v>
      </c>
      <c r="Q11293">
        <v>0</v>
      </c>
      <c r="R11293" t="s">
        <v>46579</v>
      </c>
      <c r="S11293" t="s">
        <v>46919</v>
      </c>
      <c r="T11293" t="s">
        <v>48308</v>
      </c>
      <c r="U11293" t="s">
        <v>57842</v>
      </c>
      <c r="W11293" t="s">
        <v>45910</v>
      </c>
      <c r="X11293" t="s">
        <v>46580</v>
      </c>
    </row>
    <row r="11294" spans="1:24">
      <c r="A11294">
        <f>HYPERLINK("https://www.philgeps.gov.ph/GEPSNONPILOT/Tender/SplashBidNoticeAbstractUI.aspx?menuIndex=3&amp;refID=7047464&amp;Result=3","7047464")</f>
        <v>0</v>
      </c>
      <c r="B11294" t="s">
        <v>1865</v>
      </c>
      <c r="C11294" t="s">
        <v>14235</v>
      </c>
      <c r="D11294" t="s">
        <v>18841</v>
      </c>
      <c r="E11294" t="s">
        <v>28619</v>
      </c>
      <c r="F11294" t="s">
        <v>32664</v>
      </c>
      <c r="G11294" t="s">
        <v>32674</v>
      </c>
      <c r="H11294" t="s">
        <v>12635</v>
      </c>
      <c r="I11294" t="s">
        <v>11464</v>
      </c>
      <c r="J11294" t="s">
        <v>39496</v>
      </c>
      <c r="K11294" t="s">
        <v>42281</v>
      </c>
      <c r="M11294" t="s">
        <v>44578</v>
      </c>
      <c r="N11294" t="s">
        <v>46569</v>
      </c>
      <c r="O11294" t="s">
        <v>46570</v>
      </c>
      <c r="P11294">
        <v>0</v>
      </c>
      <c r="Q11294">
        <v>1</v>
      </c>
      <c r="R11294" t="s">
        <v>46579</v>
      </c>
      <c r="S11294" t="s">
        <v>46919</v>
      </c>
      <c r="T11294" t="s">
        <v>48448</v>
      </c>
      <c r="U11294" t="s">
        <v>57843</v>
      </c>
      <c r="W11294" t="s">
        <v>44578</v>
      </c>
      <c r="X11294" t="s">
        <v>46580</v>
      </c>
    </row>
    <row r="11295" spans="1:24">
      <c r="A11295">
        <f>HYPERLINK("https://www.philgeps.gov.ph/GEPSNONPILOT/Tender/SplashBidNoticeAbstractUI.aspx?menuIndex=3&amp;refID=7052266&amp;Result=3","7052266")</f>
        <v>0</v>
      </c>
      <c r="B11295" t="s">
        <v>199</v>
      </c>
      <c r="C11295" t="s">
        <v>14236</v>
      </c>
      <c r="D11295" t="s">
        <v>18789</v>
      </c>
      <c r="E11295" t="s">
        <v>28620</v>
      </c>
      <c r="F11295" t="s">
        <v>32664</v>
      </c>
      <c r="G11295" t="s">
        <v>32672</v>
      </c>
      <c r="H11295" t="s">
        <v>12635</v>
      </c>
      <c r="I11295" t="s">
        <v>5589</v>
      </c>
      <c r="J11295" t="s">
        <v>39497</v>
      </c>
      <c r="K11295" t="s">
        <v>42311</v>
      </c>
      <c r="M11295" t="s">
        <v>45558</v>
      </c>
      <c r="N11295" t="s">
        <v>46569</v>
      </c>
      <c r="O11295" t="s">
        <v>46570</v>
      </c>
      <c r="P11295">
        <v>0</v>
      </c>
      <c r="Q11295">
        <v>15</v>
      </c>
      <c r="R11295" t="s">
        <v>46578</v>
      </c>
      <c r="S11295" t="s">
        <v>46874</v>
      </c>
      <c r="T11295" t="s">
        <v>48468</v>
      </c>
      <c r="U11295" t="s">
        <v>57844</v>
      </c>
      <c r="V11295" t="s">
        <v>62632</v>
      </c>
      <c r="W11295" t="s">
        <v>45558</v>
      </c>
      <c r="X11295" t="s">
        <v>46579</v>
      </c>
    </row>
    <row r="11296" spans="1:24">
      <c r="A11296">
        <f>HYPERLINK("https://www.philgeps.gov.ph/GEPSNONPILOT/Tender/SplashBidNoticeAbstractUI.aspx?menuIndex=3&amp;refID=7046952&amp;Result=3","7046952")</f>
        <v>0</v>
      </c>
      <c r="B11296" t="s">
        <v>3034</v>
      </c>
      <c r="C11296" t="s">
        <v>14237</v>
      </c>
      <c r="D11296" t="s">
        <v>18839</v>
      </c>
      <c r="E11296" t="s">
        <v>28621</v>
      </c>
      <c r="F11296" t="s">
        <v>32664</v>
      </c>
      <c r="G11296" t="s">
        <v>32672</v>
      </c>
      <c r="H11296" t="s">
        <v>32683</v>
      </c>
      <c r="I11296" t="s">
        <v>10627</v>
      </c>
      <c r="J11296" t="s">
        <v>39498</v>
      </c>
      <c r="K11296" t="s">
        <v>42305</v>
      </c>
      <c r="M11296" t="s">
        <v>45907</v>
      </c>
      <c r="N11296" t="s">
        <v>46569</v>
      </c>
      <c r="O11296" t="s">
        <v>46570</v>
      </c>
      <c r="P11296">
        <v>0</v>
      </c>
      <c r="Q11296">
        <v>1</v>
      </c>
      <c r="R11296" t="s">
        <v>46579</v>
      </c>
      <c r="S11296" t="s">
        <v>46919</v>
      </c>
      <c r="T11296" t="s">
        <v>48213</v>
      </c>
      <c r="U11296" t="s">
        <v>57845</v>
      </c>
      <c r="W11296" t="s">
        <v>45907</v>
      </c>
      <c r="X11296" t="s">
        <v>46581</v>
      </c>
    </row>
    <row r="11297" spans="1:24">
      <c r="A11297">
        <f>HYPERLINK("https://www.philgeps.gov.ph/GEPSNONPILOT/Tender/SplashBidNoticeAbstractUI.aspx?menuIndex=3&amp;refID=7052216&amp;Result=3","7052216")</f>
        <v>0</v>
      </c>
      <c r="B11297" t="s">
        <v>2346</v>
      </c>
      <c r="C11297" t="s">
        <v>14238</v>
      </c>
      <c r="D11297" t="s">
        <v>18846</v>
      </c>
      <c r="E11297" t="s">
        <v>28622</v>
      </c>
      <c r="F11297" t="s">
        <v>32664</v>
      </c>
      <c r="G11297" t="s">
        <v>32672</v>
      </c>
      <c r="H11297" t="s">
        <v>12635</v>
      </c>
      <c r="I11297" t="s">
        <v>32754</v>
      </c>
      <c r="J11297" t="s">
        <v>32859</v>
      </c>
      <c r="K11297" t="s">
        <v>42298</v>
      </c>
      <c r="M11297" t="s">
        <v>45128</v>
      </c>
      <c r="N11297" t="s">
        <v>46569</v>
      </c>
      <c r="O11297" t="s">
        <v>46570</v>
      </c>
      <c r="P11297">
        <v>0</v>
      </c>
      <c r="Q11297">
        <v>1</v>
      </c>
      <c r="R11297" t="s">
        <v>46578</v>
      </c>
      <c r="S11297" t="s">
        <v>46874</v>
      </c>
      <c r="T11297" t="s">
        <v>48381</v>
      </c>
      <c r="U11297" t="s">
        <v>57846</v>
      </c>
      <c r="W11297" t="s">
        <v>45128</v>
      </c>
      <c r="X11297" t="s">
        <v>46579</v>
      </c>
    </row>
    <row r="11298" spans="1:24">
      <c r="A11298">
        <f>HYPERLINK("https://www.philgeps.gov.ph/GEPSNONPILOT/Tender/SplashBidNoticeAbstractUI.aspx?menuIndex=3&amp;refID=7052215&amp;Result=3","7052215")</f>
        <v>0</v>
      </c>
      <c r="B11298" t="s">
        <v>2926</v>
      </c>
      <c r="C11298" t="s">
        <v>14239</v>
      </c>
      <c r="D11298" t="s">
        <v>18802</v>
      </c>
      <c r="E11298" t="s">
        <v>28623</v>
      </c>
      <c r="F11298" t="s">
        <v>32664</v>
      </c>
      <c r="G11298" t="s">
        <v>32672</v>
      </c>
      <c r="H11298" t="s">
        <v>12635</v>
      </c>
      <c r="I11298" t="s">
        <v>11464</v>
      </c>
      <c r="J11298" t="s">
        <v>34253</v>
      </c>
      <c r="K11298" t="s">
        <v>42281</v>
      </c>
      <c r="M11298" t="s">
        <v>45779</v>
      </c>
      <c r="N11298" t="s">
        <v>46569</v>
      </c>
      <c r="O11298" t="s">
        <v>46570</v>
      </c>
      <c r="P11298">
        <v>0</v>
      </c>
      <c r="Q11298">
        <v>3</v>
      </c>
      <c r="R11298" t="s">
        <v>46578</v>
      </c>
      <c r="S11298" t="s">
        <v>46874</v>
      </c>
      <c r="T11298" t="s">
        <v>48363</v>
      </c>
      <c r="U11298" t="s">
        <v>57847</v>
      </c>
      <c r="V11298" t="s">
        <v>62842</v>
      </c>
      <c r="W11298" t="s">
        <v>45779</v>
      </c>
      <c r="X11298" t="s">
        <v>46579</v>
      </c>
    </row>
    <row r="11299" spans="1:24">
      <c r="A11299">
        <f>HYPERLINK("https://www.philgeps.gov.ph/GEPSNONPILOT/Tender/SplashBidNoticeAbstractUI.aspx?menuIndex=3&amp;refID=7047201&amp;Result=3","7047201")</f>
        <v>0</v>
      </c>
      <c r="B11299" t="s">
        <v>49</v>
      </c>
      <c r="C11299" t="s">
        <v>14240</v>
      </c>
      <c r="D11299" t="s">
        <v>18799</v>
      </c>
      <c r="E11299" t="s">
        <v>28624</v>
      </c>
      <c r="F11299" t="s">
        <v>32664</v>
      </c>
      <c r="G11299" t="s">
        <v>32672</v>
      </c>
      <c r="H11299" t="s">
        <v>32683</v>
      </c>
      <c r="I11299" t="s">
        <v>10627</v>
      </c>
      <c r="J11299" t="s">
        <v>32864</v>
      </c>
      <c r="K11299" t="s">
        <v>42300</v>
      </c>
      <c r="M11299" t="s">
        <v>42611</v>
      </c>
      <c r="N11299" t="s">
        <v>46569</v>
      </c>
      <c r="O11299" t="s">
        <v>46570</v>
      </c>
      <c r="P11299">
        <v>0</v>
      </c>
      <c r="Q11299">
        <v>4</v>
      </c>
      <c r="R11299" t="s">
        <v>46579</v>
      </c>
      <c r="S11299" t="s">
        <v>46919</v>
      </c>
      <c r="T11299" t="s">
        <v>48374</v>
      </c>
      <c r="U11299" t="s">
        <v>57848</v>
      </c>
      <c r="V11299" t="s">
        <v>61619</v>
      </c>
      <c r="W11299" t="s">
        <v>63463</v>
      </c>
      <c r="X11299" t="s">
        <v>46580</v>
      </c>
    </row>
    <row r="11300" spans="1:24">
      <c r="A11300">
        <f>HYPERLINK("https://www.philgeps.gov.ph/GEPSNONPILOT/Tender/SplashBidNoticeAbstractUI.aspx?menuIndex=3&amp;refID=7052213&amp;Result=3","7052213")</f>
        <v>0</v>
      </c>
      <c r="B11300" t="s">
        <v>991</v>
      </c>
      <c r="C11300" t="s">
        <v>14241</v>
      </c>
      <c r="D11300" t="s">
        <v>18812</v>
      </c>
      <c r="E11300" t="s">
        <v>28625</v>
      </c>
      <c r="F11300" t="s">
        <v>32664</v>
      </c>
      <c r="G11300" t="s">
        <v>32672</v>
      </c>
      <c r="H11300" t="s">
        <v>32683</v>
      </c>
      <c r="I11300" t="s">
        <v>10627</v>
      </c>
      <c r="J11300" t="s">
        <v>39499</v>
      </c>
      <c r="K11300" t="s">
        <v>42430</v>
      </c>
      <c r="M11300" t="s">
        <v>43602</v>
      </c>
      <c r="N11300" t="s">
        <v>46569</v>
      </c>
      <c r="O11300" t="s">
        <v>46570</v>
      </c>
      <c r="P11300">
        <v>0</v>
      </c>
      <c r="Q11300">
        <v>0</v>
      </c>
      <c r="R11300" t="s">
        <v>46578</v>
      </c>
      <c r="S11300" t="s">
        <v>46874</v>
      </c>
      <c r="T11300" t="s">
        <v>48469</v>
      </c>
      <c r="U11300" t="s">
        <v>57849</v>
      </c>
      <c r="W11300" t="s">
        <v>43602</v>
      </c>
      <c r="X11300" t="s">
        <v>46579</v>
      </c>
    </row>
    <row r="11301" spans="1:24">
      <c r="A11301">
        <f>HYPERLINK("https://www.philgeps.gov.ph/GEPSNONPILOT/Tender/SplashBidNoticeAbstractUI.aspx?menuIndex=3&amp;refID=7052190&amp;Result=3","7052190")</f>
        <v>0</v>
      </c>
      <c r="B11301" t="s">
        <v>565</v>
      </c>
      <c r="C11301" t="s">
        <v>14242</v>
      </c>
      <c r="E11301" t="s">
        <v>28626</v>
      </c>
      <c r="F11301" t="s">
        <v>32664</v>
      </c>
      <c r="G11301" t="s">
        <v>32672</v>
      </c>
      <c r="H11301" t="s">
        <v>12635</v>
      </c>
      <c r="I11301" t="s">
        <v>4333</v>
      </c>
      <c r="J11301" t="s">
        <v>39500</v>
      </c>
      <c r="K11301" t="s">
        <v>42283</v>
      </c>
      <c r="M11301" t="s">
        <v>43145</v>
      </c>
      <c r="N11301" t="s">
        <v>46569</v>
      </c>
      <c r="O11301" t="s">
        <v>46570</v>
      </c>
      <c r="P11301">
        <v>0</v>
      </c>
      <c r="Q11301">
        <v>2</v>
      </c>
      <c r="R11301" t="s">
        <v>46578</v>
      </c>
      <c r="S11301" t="s">
        <v>46874</v>
      </c>
      <c r="T11301" t="s">
        <v>48473</v>
      </c>
      <c r="U11301" t="s">
        <v>57549</v>
      </c>
      <c r="W11301" t="s">
        <v>43145</v>
      </c>
      <c r="X11301" t="s">
        <v>46579</v>
      </c>
    </row>
    <row r="11302" spans="1:24">
      <c r="A11302">
        <f>HYPERLINK("https://www.philgeps.gov.ph/GEPSNONPILOT/Tender/SplashBidNoticeAbstractUI.aspx?menuIndex=3&amp;refID=7052147&amp;Result=3","7052147")</f>
        <v>0</v>
      </c>
      <c r="B11302" t="s">
        <v>146</v>
      </c>
      <c r="C11302" t="s">
        <v>14243</v>
      </c>
      <c r="D11302" t="s">
        <v>18826</v>
      </c>
      <c r="E11302" t="s">
        <v>28627</v>
      </c>
      <c r="F11302" t="s">
        <v>32664</v>
      </c>
      <c r="G11302" t="s">
        <v>32672</v>
      </c>
      <c r="H11302" t="s">
        <v>12635</v>
      </c>
      <c r="I11302" t="s">
        <v>32711</v>
      </c>
      <c r="J11302" t="s">
        <v>39501</v>
      </c>
      <c r="K11302" t="s">
        <v>42298</v>
      </c>
      <c r="M11302" t="s">
        <v>42710</v>
      </c>
      <c r="N11302" t="s">
        <v>46569</v>
      </c>
      <c r="O11302" t="s">
        <v>46570</v>
      </c>
      <c r="P11302">
        <v>0</v>
      </c>
      <c r="Q11302">
        <v>1</v>
      </c>
      <c r="R11302" t="s">
        <v>46578</v>
      </c>
      <c r="S11302" t="s">
        <v>46874</v>
      </c>
      <c r="T11302" t="s">
        <v>48453</v>
      </c>
      <c r="U11302" t="s">
        <v>57850</v>
      </c>
      <c r="W11302" t="s">
        <v>42710</v>
      </c>
      <c r="X11302" t="s">
        <v>46579</v>
      </c>
    </row>
    <row r="11303" spans="1:24">
      <c r="A11303">
        <f>HYPERLINK("https://www.philgeps.gov.ph/GEPSNONPILOT/Tender/SplashBidNoticeAbstractUI.aspx?menuIndex=3&amp;refID=6931724&amp;Result=3","6931724")</f>
        <v>0</v>
      </c>
      <c r="B11303" t="s">
        <v>2994</v>
      </c>
      <c r="C11303" t="s">
        <v>14244</v>
      </c>
      <c r="D11303" t="s">
        <v>18787</v>
      </c>
      <c r="E11303" t="s">
        <v>28628</v>
      </c>
      <c r="F11303" t="s">
        <v>32664</v>
      </c>
      <c r="G11303" t="s">
        <v>32672</v>
      </c>
      <c r="H11303" t="s">
        <v>32683</v>
      </c>
      <c r="I11303" t="s">
        <v>10627</v>
      </c>
      <c r="J11303" t="s">
        <v>33150</v>
      </c>
      <c r="K11303" t="s">
        <v>42283</v>
      </c>
      <c r="M11303" t="s">
        <v>45853</v>
      </c>
      <c r="N11303" t="s">
        <v>46569</v>
      </c>
      <c r="O11303" t="s">
        <v>46570</v>
      </c>
      <c r="P11303">
        <v>0</v>
      </c>
      <c r="Q11303">
        <v>0</v>
      </c>
      <c r="R11303" t="s">
        <v>46579</v>
      </c>
      <c r="S11303" t="s">
        <v>46919</v>
      </c>
      <c r="T11303" t="s">
        <v>48389</v>
      </c>
      <c r="U11303" t="s">
        <v>57851</v>
      </c>
      <c r="W11303" t="s">
        <v>45853</v>
      </c>
      <c r="X11303" t="s">
        <v>46636</v>
      </c>
    </row>
    <row r="11304" spans="1:24">
      <c r="A11304">
        <f>HYPERLINK("https://www.philgeps.gov.ph/GEPSNONPILOT/Tender/SplashBidNoticeAbstractUI.aspx?menuIndex=3&amp;refID=6931690&amp;Result=3","6931690")</f>
        <v>0</v>
      </c>
      <c r="B11304" t="s">
        <v>2994</v>
      </c>
      <c r="C11304" t="s">
        <v>14245</v>
      </c>
      <c r="D11304" t="s">
        <v>18787</v>
      </c>
      <c r="E11304" t="s">
        <v>28629</v>
      </c>
      <c r="F11304" t="s">
        <v>32664</v>
      </c>
      <c r="G11304" t="s">
        <v>32672</v>
      </c>
      <c r="H11304" t="s">
        <v>32683</v>
      </c>
      <c r="I11304" t="s">
        <v>10627</v>
      </c>
      <c r="J11304" t="s">
        <v>32943</v>
      </c>
      <c r="K11304" t="s">
        <v>42283</v>
      </c>
      <c r="M11304" t="s">
        <v>45853</v>
      </c>
      <c r="N11304" t="s">
        <v>46569</v>
      </c>
      <c r="O11304" t="s">
        <v>46570</v>
      </c>
      <c r="P11304">
        <v>0</v>
      </c>
      <c r="Q11304">
        <v>0</v>
      </c>
      <c r="R11304" t="s">
        <v>46579</v>
      </c>
      <c r="S11304" t="s">
        <v>46919</v>
      </c>
      <c r="T11304" t="s">
        <v>48389</v>
      </c>
      <c r="U11304" t="s">
        <v>57852</v>
      </c>
      <c r="W11304" t="s">
        <v>45853</v>
      </c>
      <c r="X11304" t="s">
        <v>46636</v>
      </c>
    </row>
    <row r="11305" spans="1:24">
      <c r="A11305">
        <f>HYPERLINK("https://www.philgeps.gov.ph/GEPSNONPILOT/Tender/SplashBidNoticeAbstractUI.aspx?menuIndex=3&amp;refID=7052206&amp;Result=3","7052206")</f>
        <v>0</v>
      </c>
      <c r="B11305" t="s">
        <v>2963</v>
      </c>
      <c r="C11305" t="s">
        <v>14246</v>
      </c>
      <c r="D11305" t="s">
        <v>18831</v>
      </c>
      <c r="E11305" t="s">
        <v>28630</v>
      </c>
      <c r="F11305" t="s">
        <v>32664</v>
      </c>
      <c r="G11305" t="s">
        <v>32672</v>
      </c>
      <c r="H11305" t="s">
        <v>32683</v>
      </c>
      <c r="I11305" t="s">
        <v>10627</v>
      </c>
      <c r="J11305" t="s">
        <v>39502</v>
      </c>
      <c r="K11305" t="s">
        <v>42311</v>
      </c>
      <c r="M11305" t="s">
        <v>45817</v>
      </c>
      <c r="N11305" t="s">
        <v>46569</v>
      </c>
      <c r="O11305" t="s">
        <v>46570</v>
      </c>
      <c r="P11305">
        <v>0</v>
      </c>
      <c r="Q11305">
        <v>1</v>
      </c>
      <c r="R11305" t="s">
        <v>46578</v>
      </c>
      <c r="S11305" t="s">
        <v>46874</v>
      </c>
      <c r="T11305" t="s">
        <v>48405</v>
      </c>
      <c r="U11305" t="s">
        <v>57853</v>
      </c>
      <c r="W11305" t="s">
        <v>45817</v>
      </c>
      <c r="X11305" t="s">
        <v>46579</v>
      </c>
    </row>
    <row r="11306" spans="1:24">
      <c r="A11306">
        <f>HYPERLINK("https://www.philgeps.gov.ph/GEPSNONPILOT/Tender/SplashBidNoticeAbstractUI.aspx?menuIndex=3&amp;refID=7052188&amp;Result=3","7052188")</f>
        <v>0</v>
      </c>
      <c r="B11306" t="s">
        <v>2963</v>
      </c>
      <c r="C11306" t="s">
        <v>14247</v>
      </c>
      <c r="D11306" t="s">
        <v>18831</v>
      </c>
      <c r="E11306" t="s">
        <v>28631</v>
      </c>
      <c r="F11306" t="s">
        <v>32664</v>
      </c>
      <c r="G11306" t="s">
        <v>32672</v>
      </c>
      <c r="H11306" t="s">
        <v>32683</v>
      </c>
      <c r="I11306" t="s">
        <v>10627</v>
      </c>
      <c r="J11306" t="s">
        <v>39503</v>
      </c>
      <c r="K11306" t="s">
        <v>42308</v>
      </c>
      <c r="M11306" t="s">
        <v>45817</v>
      </c>
      <c r="N11306" t="s">
        <v>46569</v>
      </c>
      <c r="O11306" t="s">
        <v>46570</v>
      </c>
      <c r="P11306">
        <v>0</v>
      </c>
      <c r="Q11306">
        <v>1</v>
      </c>
      <c r="R11306" t="s">
        <v>46578</v>
      </c>
      <c r="S11306" t="s">
        <v>46874</v>
      </c>
      <c r="T11306" t="s">
        <v>48405</v>
      </c>
      <c r="U11306" t="s">
        <v>57854</v>
      </c>
      <c r="W11306" t="s">
        <v>45817</v>
      </c>
      <c r="X11306" t="s">
        <v>46579</v>
      </c>
    </row>
    <row r="11307" spans="1:24">
      <c r="A11307">
        <f>HYPERLINK("https://www.philgeps.gov.ph/GEPSNONPILOT/Tender/SplashBidNoticeAbstractUI.aspx?menuIndex=3&amp;refID=7052132&amp;Result=3","7052132")</f>
        <v>0</v>
      </c>
      <c r="B11307" t="s">
        <v>1138</v>
      </c>
      <c r="C11307" t="s">
        <v>14248</v>
      </c>
      <c r="D11307" t="s">
        <v>18842</v>
      </c>
      <c r="E11307" t="s">
        <v>26469</v>
      </c>
      <c r="F11307" t="s">
        <v>32664</v>
      </c>
      <c r="G11307" t="s">
        <v>32672</v>
      </c>
      <c r="H11307" t="s">
        <v>32683</v>
      </c>
      <c r="I11307" t="s">
        <v>10627</v>
      </c>
      <c r="J11307" t="s">
        <v>32943</v>
      </c>
      <c r="K11307" t="s">
        <v>42311</v>
      </c>
      <c r="M11307" t="s">
        <v>43769</v>
      </c>
      <c r="N11307" t="s">
        <v>46569</v>
      </c>
      <c r="O11307" t="s">
        <v>46570</v>
      </c>
      <c r="P11307">
        <v>0</v>
      </c>
      <c r="Q11307">
        <v>0</v>
      </c>
      <c r="R11307" t="s">
        <v>46578</v>
      </c>
      <c r="S11307" t="s">
        <v>46874</v>
      </c>
      <c r="T11307" t="s">
        <v>48280</v>
      </c>
      <c r="U11307" t="s">
        <v>51666</v>
      </c>
      <c r="W11307" t="s">
        <v>43769</v>
      </c>
      <c r="X11307" t="s">
        <v>46579</v>
      </c>
    </row>
    <row r="11308" spans="1:24">
      <c r="A11308">
        <f>HYPERLINK("https://www.philgeps.gov.ph/GEPSNONPILOT/Tender/SplashBidNoticeAbstractUI.aspx?menuIndex=3&amp;refID=7052077&amp;Result=3","7052077")</f>
        <v>0</v>
      </c>
      <c r="B11308" t="s">
        <v>2926</v>
      </c>
      <c r="C11308" t="s">
        <v>14249</v>
      </c>
      <c r="D11308" t="s">
        <v>18802</v>
      </c>
      <c r="E11308" t="s">
        <v>28632</v>
      </c>
      <c r="F11308" t="s">
        <v>32664</v>
      </c>
      <c r="G11308" t="s">
        <v>32672</v>
      </c>
      <c r="H11308" t="s">
        <v>32683</v>
      </c>
      <c r="I11308" t="s">
        <v>10627</v>
      </c>
      <c r="J11308" t="s">
        <v>39504</v>
      </c>
      <c r="K11308" t="s">
        <v>42301</v>
      </c>
      <c r="M11308" t="s">
        <v>45779</v>
      </c>
      <c r="N11308" t="s">
        <v>46569</v>
      </c>
      <c r="O11308" t="s">
        <v>46570</v>
      </c>
      <c r="P11308">
        <v>0</v>
      </c>
      <c r="Q11308">
        <v>0</v>
      </c>
      <c r="R11308" t="s">
        <v>46578</v>
      </c>
      <c r="S11308" t="s">
        <v>46874</v>
      </c>
      <c r="T11308" t="s">
        <v>48363</v>
      </c>
      <c r="U11308" t="s">
        <v>57495</v>
      </c>
      <c r="V11308" t="s">
        <v>62843</v>
      </c>
      <c r="W11308" t="s">
        <v>45779</v>
      </c>
      <c r="X11308" t="s">
        <v>46579</v>
      </c>
    </row>
    <row r="11309" spans="1:24">
      <c r="A11309">
        <f>HYPERLINK("https://www.philgeps.gov.ph/GEPSNONPILOT/Tender/SplashBidNoticeAbstractUI.aspx?menuIndex=3&amp;refID=7052138&amp;Result=3","7052138")</f>
        <v>0</v>
      </c>
      <c r="B11309" t="s">
        <v>2687</v>
      </c>
      <c r="C11309" t="s">
        <v>14250</v>
      </c>
      <c r="D11309" t="s">
        <v>18789</v>
      </c>
      <c r="E11309" t="s">
        <v>28633</v>
      </c>
      <c r="F11309" t="s">
        <v>32664</v>
      </c>
      <c r="G11309" t="s">
        <v>32671</v>
      </c>
      <c r="H11309" t="s">
        <v>12635</v>
      </c>
      <c r="I11309" t="s">
        <v>6118</v>
      </c>
      <c r="J11309" t="s">
        <v>39505</v>
      </c>
      <c r="K11309" t="s">
        <v>42297</v>
      </c>
      <c r="M11309" t="s">
        <v>45512</v>
      </c>
      <c r="N11309" t="s">
        <v>46569</v>
      </c>
      <c r="O11309" t="s">
        <v>46570</v>
      </c>
      <c r="P11309">
        <v>0</v>
      </c>
      <c r="Q11309">
        <v>0</v>
      </c>
      <c r="R11309" t="s">
        <v>46578</v>
      </c>
      <c r="S11309" t="s">
        <v>46874</v>
      </c>
      <c r="T11309" t="s">
        <v>48448</v>
      </c>
      <c r="U11309" t="s">
        <v>57855</v>
      </c>
      <c r="W11309" t="s">
        <v>45512</v>
      </c>
      <c r="X11309" t="s">
        <v>46579</v>
      </c>
    </row>
    <row r="11310" spans="1:24">
      <c r="A11310">
        <f>HYPERLINK("https://www.philgeps.gov.ph/GEPSNONPILOT/Tender/SplashBidNoticeAbstractUI.aspx?menuIndex=3&amp;refID=7052150&amp;Result=3","7052150")</f>
        <v>0</v>
      </c>
      <c r="B11310" t="s">
        <v>2967</v>
      </c>
      <c r="C11310" t="s">
        <v>14251</v>
      </c>
      <c r="D11310" t="s">
        <v>18822</v>
      </c>
      <c r="E11310" t="s">
        <v>28634</v>
      </c>
      <c r="F11310" t="s">
        <v>32664</v>
      </c>
      <c r="G11310" t="s">
        <v>32672</v>
      </c>
      <c r="H11310" t="s">
        <v>12635</v>
      </c>
      <c r="I11310" t="s">
        <v>4439</v>
      </c>
      <c r="J11310" t="s">
        <v>39506</v>
      </c>
      <c r="K11310" t="s">
        <v>42289</v>
      </c>
      <c r="M11310" t="s">
        <v>45821</v>
      </c>
      <c r="N11310" t="s">
        <v>46569</v>
      </c>
      <c r="O11310" t="s">
        <v>46570</v>
      </c>
      <c r="P11310">
        <v>0</v>
      </c>
      <c r="Q11310">
        <v>2</v>
      </c>
      <c r="R11310" t="s">
        <v>46578</v>
      </c>
      <c r="S11310" t="s">
        <v>46874</v>
      </c>
      <c r="T11310" t="s">
        <v>48449</v>
      </c>
      <c r="U11310" t="s">
        <v>57856</v>
      </c>
      <c r="V11310" t="s">
        <v>62844</v>
      </c>
      <c r="W11310" t="s">
        <v>45821</v>
      </c>
      <c r="X11310" t="s">
        <v>46579</v>
      </c>
    </row>
    <row r="11311" spans="1:24">
      <c r="A11311">
        <f>HYPERLINK("https://www.philgeps.gov.ph/GEPSNONPILOT/Tender/SplashBidNoticeAbstractUI.aspx?menuIndex=3&amp;refID=7021620-2&amp;Result=3","7021620-2")</f>
        <v>0</v>
      </c>
      <c r="B11311" t="s">
        <v>1926</v>
      </c>
      <c r="C11311" t="s">
        <v>14252</v>
      </c>
      <c r="D11311" t="s">
        <v>18787</v>
      </c>
      <c r="E11311" t="s">
        <v>28635</v>
      </c>
      <c r="F11311" t="s">
        <v>32664</v>
      </c>
      <c r="G11311" t="s">
        <v>32672</v>
      </c>
      <c r="H11311" t="s">
        <v>32681</v>
      </c>
      <c r="I11311" t="s">
        <v>32681</v>
      </c>
      <c r="J11311" t="s">
        <v>39507</v>
      </c>
      <c r="K11311" t="s">
        <v>42298</v>
      </c>
      <c r="M11311" t="s">
        <v>44648</v>
      </c>
      <c r="N11311" t="s">
        <v>46569</v>
      </c>
      <c r="O11311" t="s">
        <v>46570</v>
      </c>
      <c r="P11311">
        <v>0</v>
      </c>
      <c r="Q11311">
        <v>1</v>
      </c>
      <c r="R11311" t="s">
        <v>46579</v>
      </c>
      <c r="S11311" t="s">
        <v>46919</v>
      </c>
      <c r="T11311" t="s">
        <v>48284</v>
      </c>
      <c r="U11311" t="s">
        <v>57857</v>
      </c>
      <c r="W11311" t="s">
        <v>44648</v>
      </c>
      <c r="X11311" t="s">
        <v>46580</v>
      </c>
    </row>
    <row r="11312" spans="1:24">
      <c r="A11312">
        <f>HYPERLINK("https://www.philgeps.gov.ph/GEPSNONPILOT/Tender/SplashBidNoticeAbstractUI.aspx?menuIndex=3&amp;refID=7052136&amp;Result=3","7052136")</f>
        <v>0</v>
      </c>
      <c r="B11312" t="s">
        <v>2060</v>
      </c>
      <c r="C11312" t="s">
        <v>14253</v>
      </c>
      <c r="D11312" t="s">
        <v>18819</v>
      </c>
      <c r="E11312" t="s">
        <v>28636</v>
      </c>
      <c r="F11312" t="s">
        <v>32664</v>
      </c>
      <c r="G11312" t="s">
        <v>32672</v>
      </c>
      <c r="H11312" t="s">
        <v>12635</v>
      </c>
      <c r="I11312" t="s">
        <v>6168</v>
      </c>
      <c r="J11312" t="s">
        <v>39508</v>
      </c>
      <c r="K11312" t="s">
        <v>42289</v>
      </c>
      <c r="M11312" t="s">
        <v>44809</v>
      </c>
      <c r="N11312" t="s">
        <v>46569</v>
      </c>
      <c r="O11312" t="s">
        <v>46570</v>
      </c>
      <c r="P11312">
        <v>0</v>
      </c>
      <c r="Q11312">
        <v>1</v>
      </c>
      <c r="R11312" t="s">
        <v>46578</v>
      </c>
      <c r="S11312" t="s">
        <v>46874</v>
      </c>
      <c r="T11312" t="s">
        <v>48249</v>
      </c>
      <c r="U11312" t="s">
        <v>49244</v>
      </c>
      <c r="W11312" t="s">
        <v>44809</v>
      </c>
      <c r="X11312" t="s">
        <v>46579</v>
      </c>
    </row>
    <row r="11313" spans="1:24">
      <c r="A11313">
        <f>HYPERLINK("https://www.philgeps.gov.ph/GEPSNONPILOT/Tender/SplashBidNoticeAbstractUI.aspx?menuIndex=3&amp;refID=7052079&amp;Result=3","7052079")</f>
        <v>0</v>
      </c>
      <c r="B11313" t="s">
        <v>2874</v>
      </c>
      <c r="C11313" t="s">
        <v>14254</v>
      </c>
      <c r="D11313" t="s">
        <v>18785</v>
      </c>
      <c r="E11313" t="s">
        <v>28637</v>
      </c>
      <c r="F11313" t="s">
        <v>32664</v>
      </c>
      <c r="G11313" t="s">
        <v>32672</v>
      </c>
      <c r="H11313" t="s">
        <v>12635</v>
      </c>
      <c r="I11313" t="s">
        <v>6168</v>
      </c>
      <c r="J11313" t="s">
        <v>39509</v>
      </c>
      <c r="K11313" t="s">
        <v>42284</v>
      </c>
      <c r="M11313" t="s">
        <v>45723</v>
      </c>
      <c r="N11313" t="s">
        <v>46569</v>
      </c>
      <c r="O11313" t="s">
        <v>46570</v>
      </c>
      <c r="P11313">
        <v>0</v>
      </c>
      <c r="Q11313">
        <v>4</v>
      </c>
      <c r="R11313" t="s">
        <v>46578</v>
      </c>
      <c r="S11313" t="s">
        <v>46874</v>
      </c>
      <c r="T11313" t="s">
        <v>48448</v>
      </c>
      <c r="U11313" t="s">
        <v>57858</v>
      </c>
      <c r="V11313" t="s">
        <v>62805</v>
      </c>
      <c r="W11313" t="s">
        <v>45723</v>
      </c>
      <c r="X11313" t="s">
        <v>46579</v>
      </c>
    </row>
    <row r="11314" spans="1:24">
      <c r="A11314">
        <f>HYPERLINK("https://www.philgeps.gov.ph/GEPSNONPILOT/Tender/SplashBidNoticeAbstractUI.aspx?menuIndex=3&amp;refID=7047854&amp;Result=3","7047854")</f>
        <v>0</v>
      </c>
      <c r="B11314" t="s">
        <v>1507</v>
      </c>
      <c r="C11314" t="s">
        <v>14255</v>
      </c>
      <c r="D11314" t="s">
        <v>18789</v>
      </c>
      <c r="E11314" t="s">
        <v>28638</v>
      </c>
      <c r="F11314" t="s">
        <v>32664</v>
      </c>
      <c r="G11314" t="s">
        <v>32672</v>
      </c>
      <c r="H11314" t="s">
        <v>12635</v>
      </c>
      <c r="I11314" t="s">
        <v>32706</v>
      </c>
      <c r="J11314" t="s">
        <v>39510</v>
      </c>
      <c r="K11314" t="s">
        <v>42283</v>
      </c>
      <c r="M11314" t="s">
        <v>44172</v>
      </c>
      <c r="N11314" t="s">
        <v>46569</v>
      </c>
      <c r="O11314" t="s">
        <v>46570</v>
      </c>
      <c r="P11314">
        <v>0</v>
      </c>
      <c r="Q11314">
        <v>0</v>
      </c>
      <c r="R11314" t="s">
        <v>46579</v>
      </c>
      <c r="S11314" t="s">
        <v>46919</v>
      </c>
      <c r="T11314" t="s">
        <v>48212</v>
      </c>
      <c r="U11314" t="s">
        <v>57859</v>
      </c>
      <c r="V11314" t="s">
        <v>62043</v>
      </c>
      <c r="W11314" t="s">
        <v>44172</v>
      </c>
      <c r="X11314" t="s">
        <v>46580</v>
      </c>
    </row>
    <row r="11315" spans="1:24">
      <c r="A11315">
        <f>HYPERLINK("https://www.philgeps.gov.ph/GEPSNONPILOT/Tender/SplashBidNoticeAbstractUI.aspx?menuIndex=3&amp;refID=7047848&amp;Result=3","7047848")</f>
        <v>0</v>
      </c>
      <c r="B11315" t="s">
        <v>3026</v>
      </c>
      <c r="C11315" t="s">
        <v>14256</v>
      </c>
      <c r="D11315" t="s">
        <v>18814</v>
      </c>
      <c r="E11315" t="s">
        <v>28639</v>
      </c>
      <c r="F11315" t="s">
        <v>32664</v>
      </c>
      <c r="G11315" t="s">
        <v>32672</v>
      </c>
      <c r="H11315" t="s">
        <v>12635</v>
      </c>
      <c r="I11315" t="s">
        <v>32721</v>
      </c>
      <c r="J11315" t="s">
        <v>34148</v>
      </c>
      <c r="K11315" t="s">
        <v>42281</v>
      </c>
      <c r="M11315" t="s">
        <v>45898</v>
      </c>
      <c r="N11315" t="s">
        <v>46569</v>
      </c>
      <c r="O11315" t="s">
        <v>46570</v>
      </c>
      <c r="P11315">
        <v>0</v>
      </c>
      <c r="Q11315">
        <v>5</v>
      </c>
      <c r="R11315" t="s">
        <v>46579</v>
      </c>
      <c r="S11315" t="s">
        <v>46919</v>
      </c>
      <c r="T11315" t="s">
        <v>48467</v>
      </c>
      <c r="U11315" t="s">
        <v>57860</v>
      </c>
      <c r="W11315" t="s">
        <v>63583</v>
      </c>
      <c r="X11315" t="s">
        <v>46580</v>
      </c>
    </row>
    <row r="11316" spans="1:24">
      <c r="A11316">
        <f>HYPERLINK("https://www.philgeps.gov.ph/GEPSNONPILOT/Tender/SplashBidNoticeAbstractUI.aspx?menuIndex=3&amp;refID=7047837&amp;Result=3","7047837")</f>
        <v>0</v>
      </c>
      <c r="B11316" t="s">
        <v>1022</v>
      </c>
      <c r="C11316" t="s">
        <v>14257</v>
      </c>
      <c r="D11316" t="s">
        <v>18799</v>
      </c>
      <c r="E11316" t="s">
        <v>19110</v>
      </c>
      <c r="F11316" t="s">
        <v>32664</v>
      </c>
      <c r="G11316" t="s">
        <v>32672</v>
      </c>
      <c r="H11316" t="s">
        <v>32683</v>
      </c>
      <c r="I11316" t="s">
        <v>10627</v>
      </c>
      <c r="J11316" t="s">
        <v>32837</v>
      </c>
      <c r="K11316" t="s">
        <v>42281</v>
      </c>
      <c r="M11316" t="s">
        <v>43634</v>
      </c>
      <c r="N11316" t="s">
        <v>46569</v>
      </c>
      <c r="O11316" t="s">
        <v>46570</v>
      </c>
      <c r="P11316">
        <v>0</v>
      </c>
      <c r="Q11316">
        <v>0</v>
      </c>
      <c r="R11316" t="s">
        <v>46579</v>
      </c>
      <c r="S11316" t="s">
        <v>46919</v>
      </c>
      <c r="T11316" t="s">
        <v>48448</v>
      </c>
      <c r="U11316" t="s">
        <v>57861</v>
      </c>
      <c r="W11316" t="s">
        <v>43634</v>
      </c>
      <c r="X11316" t="s">
        <v>46580</v>
      </c>
    </row>
    <row r="11317" spans="1:24">
      <c r="A11317">
        <f>HYPERLINK("https://www.philgeps.gov.ph/GEPSNONPILOT/Tender/SplashBidNoticeAbstractUI.aspx?menuIndex=3&amp;refID=7047861&amp;Result=3","7047861")</f>
        <v>0</v>
      </c>
      <c r="B11317" t="s">
        <v>1081</v>
      </c>
      <c r="C11317" t="s">
        <v>14258</v>
      </c>
      <c r="D11317" t="s">
        <v>18827</v>
      </c>
      <c r="E11317" t="s">
        <v>28640</v>
      </c>
      <c r="F11317" t="s">
        <v>32664</v>
      </c>
      <c r="G11317" t="s">
        <v>32672</v>
      </c>
      <c r="H11317" t="s">
        <v>12635</v>
      </c>
      <c r="I11317" t="s">
        <v>32699</v>
      </c>
      <c r="J11317" t="s">
        <v>39511</v>
      </c>
      <c r="K11317" t="s">
        <v>42283</v>
      </c>
      <c r="M11317" t="s">
        <v>43704</v>
      </c>
      <c r="N11317" t="s">
        <v>46569</v>
      </c>
      <c r="O11317" t="s">
        <v>46570</v>
      </c>
      <c r="P11317">
        <v>0</v>
      </c>
      <c r="Q11317">
        <v>2</v>
      </c>
      <c r="R11317" t="s">
        <v>46579</v>
      </c>
      <c r="S11317" t="s">
        <v>46919</v>
      </c>
      <c r="T11317" t="s">
        <v>48374</v>
      </c>
      <c r="U11317" t="s">
        <v>57862</v>
      </c>
      <c r="W11317" t="s">
        <v>43704</v>
      </c>
      <c r="X11317" t="s">
        <v>46580</v>
      </c>
    </row>
    <row r="11318" spans="1:24">
      <c r="A11318">
        <f>HYPERLINK("https://www.philgeps.gov.ph/GEPSNONPILOT/Tender/SplashBidNoticeAbstractUI.aspx?menuIndex=3&amp;refID=7047856&amp;Result=3","7047856")</f>
        <v>0</v>
      </c>
      <c r="B11318" t="s">
        <v>252</v>
      </c>
      <c r="C11318" t="s">
        <v>14259</v>
      </c>
      <c r="D11318" t="s">
        <v>18802</v>
      </c>
      <c r="E11318" t="s">
        <v>28641</v>
      </c>
      <c r="F11318" t="s">
        <v>32664</v>
      </c>
      <c r="G11318" t="s">
        <v>32672</v>
      </c>
      <c r="H11318" t="s">
        <v>12635</v>
      </c>
      <c r="I11318" t="s">
        <v>32712</v>
      </c>
      <c r="J11318" t="s">
        <v>39512</v>
      </c>
      <c r="K11318" t="s">
        <v>42281</v>
      </c>
      <c r="L11318" t="s">
        <v>252</v>
      </c>
      <c r="M11318" t="s">
        <v>42817</v>
      </c>
      <c r="N11318" t="s">
        <v>46569</v>
      </c>
      <c r="O11318" t="s">
        <v>46570</v>
      </c>
      <c r="P11318">
        <v>0</v>
      </c>
      <c r="Q11318">
        <v>29</v>
      </c>
      <c r="R11318" t="s">
        <v>46579</v>
      </c>
      <c r="S11318" t="s">
        <v>46919</v>
      </c>
      <c r="T11318" t="s">
        <v>48303</v>
      </c>
      <c r="U11318" t="s">
        <v>57863</v>
      </c>
      <c r="V11318" t="s">
        <v>61680</v>
      </c>
      <c r="W11318" t="s">
        <v>42817</v>
      </c>
      <c r="X11318" t="s">
        <v>46580</v>
      </c>
    </row>
    <row r="11319" spans="1:24">
      <c r="A11319">
        <f>HYPERLINK("https://www.philgeps.gov.ph/GEPSNONPILOT/Tender/SplashBidNoticeAbstractUI.aspx?menuIndex=3&amp;refID=7047826&amp;Result=3","7047826")</f>
        <v>0</v>
      </c>
      <c r="B11319" t="s">
        <v>1507</v>
      </c>
      <c r="C11319" t="s">
        <v>14260</v>
      </c>
      <c r="D11319" t="s">
        <v>18789</v>
      </c>
      <c r="E11319" t="s">
        <v>28642</v>
      </c>
      <c r="F11319" t="s">
        <v>32664</v>
      </c>
      <c r="G11319" t="s">
        <v>32672</v>
      </c>
      <c r="H11319" t="s">
        <v>12635</v>
      </c>
      <c r="I11319" t="s">
        <v>4439</v>
      </c>
      <c r="J11319" t="s">
        <v>39513</v>
      </c>
      <c r="K11319" t="s">
        <v>42283</v>
      </c>
      <c r="M11319" t="s">
        <v>44172</v>
      </c>
      <c r="N11319" t="s">
        <v>46569</v>
      </c>
      <c r="O11319" t="s">
        <v>46570</v>
      </c>
      <c r="P11319">
        <v>0</v>
      </c>
      <c r="Q11319">
        <v>4</v>
      </c>
      <c r="R11319" t="s">
        <v>46579</v>
      </c>
      <c r="S11319" t="s">
        <v>46919</v>
      </c>
      <c r="T11319" t="s">
        <v>48212</v>
      </c>
      <c r="U11319" t="s">
        <v>57864</v>
      </c>
      <c r="V11319" t="s">
        <v>62043</v>
      </c>
      <c r="W11319" t="s">
        <v>44172</v>
      </c>
      <c r="X11319" t="s">
        <v>46580</v>
      </c>
    </row>
    <row r="11320" spans="1:24">
      <c r="A11320">
        <f>HYPERLINK("https://www.philgeps.gov.ph/GEPSNONPILOT/Tender/SplashBidNoticeAbstractUI.aspx?menuIndex=3&amp;refID=7047816&amp;Result=3","7047816")</f>
        <v>0</v>
      </c>
      <c r="B11320" t="s">
        <v>3039</v>
      </c>
      <c r="C11320" t="s">
        <v>14261</v>
      </c>
      <c r="D11320" t="s">
        <v>18831</v>
      </c>
      <c r="E11320" t="s">
        <v>28643</v>
      </c>
      <c r="F11320" t="s">
        <v>32664</v>
      </c>
      <c r="G11320" t="s">
        <v>32672</v>
      </c>
      <c r="H11320" t="s">
        <v>32683</v>
      </c>
      <c r="I11320" t="s">
        <v>10627</v>
      </c>
      <c r="J11320" t="s">
        <v>32962</v>
      </c>
      <c r="K11320" t="s">
        <v>42321</v>
      </c>
      <c r="L11320" t="s">
        <v>3039</v>
      </c>
      <c r="M11320" t="s">
        <v>45912</v>
      </c>
      <c r="N11320" t="s">
        <v>46569</v>
      </c>
      <c r="O11320" t="s">
        <v>46570</v>
      </c>
      <c r="P11320">
        <v>0</v>
      </c>
      <c r="Q11320">
        <v>1</v>
      </c>
      <c r="R11320" t="s">
        <v>46579</v>
      </c>
      <c r="S11320" t="s">
        <v>46919</v>
      </c>
      <c r="T11320" t="s">
        <v>48468</v>
      </c>
      <c r="U11320" t="s">
        <v>57865</v>
      </c>
      <c r="W11320" t="s">
        <v>45912</v>
      </c>
      <c r="X11320" t="s">
        <v>46580</v>
      </c>
    </row>
    <row r="11321" spans="1:24">
      <c r="A11321">
        <f>HYPERLINK("https://www.philgeps.gov.ph/GEPSNONPILOT/Tender/SplashBidNoticeAbstractUI.aspx?menuIndex=3&amp;refID=7047823&amp;Result=3","7047823")</f>
        <v>0</v>
      </c>
      <c r="B11321" t="s">
        <v>2857</v>
      </c>
      <c r="C11321" t="s">
        <v>14262</v>
      </c>
      <c r="D11321" t="s">
        <v>18799</v>
      </c>
      <c r="E11321" t="s">
        <v>28644</v>
      </c>
      <c r="F11321" t="s">
        <v>32664</v>
      </c>
      <c r="G11321" t="s">
        <v>32672</v>
      </c>
      <c r="H11321" t="s">
        <v>12635</v>
      </c>
      <c r="I11321" t="s">
        <v>10374</v>
      </c>
      <c r="J11321" t="s">
        <v>33051</v>
      </c>
      <c r="K11321" t="s">
        <v>42281</v>
      </c>
      <c r="M11321" t="s">
        <v>45705</v>
      </c>
      <c r="N11321" t="s">
        <v>46569</v>
      </c>
      <c r="O11321" t="s">
        <v>46570</v>
      </c>
      <c r="P11321">
        <v>0</v>
      </c>
      <c r="Q11321">
        <v>7</v>
      </c>
      <c r="R11321" t="s">
        <v>46579</v>
      </c>
      <c r="S11321" t="s">
        <v>46919</v>
      </c>
      <c r="T11321" t="s">
        <v>48328</v>
      </c>
      <c r="U11321" t="s">
        <v>57866</v>
      </c>
      <c r="W11321" t="s">
        <v>45705</v>
      </c>
      <c r="X11321" t="s">
        <v>46580</v>
      </c>
    </row>
    <row r="11322" spans="1:24">
      <c r="A11322">
        <f>HYPERLINK("https://www.philgeps.gov.ph/GEPSNONPILOT/Tender/SplashBidNoticeAbstractUI.aspx?menuIndex=3&amp;refID=7047806&amp;Result=3","7047806")</f>
        <v>0</v>
      </c>
      <c r="B11322" t="s">
        <v>1081</v>
      </c>
      <c r="C11322" t="s">
        <v>14263</v>
      </c>
      <c r="D11322" t="s">
        <v>18827</v>
      </c>
      <c r="E11322" t="s">
        <v>28645</v>
      </c>
      <c r="F11322" t="s">
        <v>32664</v>
      </c>
      <c r="G11322" t="s">
        <v>32672</v>
      </c>
      <c r="H11322" t="s">
        <v>12635</v>
      </c>
      <c r="I11322" t="s">
        <v>32696</v>
      </c>
      <c r="J11322" t="s">
        <v>34148</v>
      </c>
      <c r="K11322" t="s">
        <v>42283</v>
      </c>
      <c r="M11322" t="s">
        <v>43704</v>
      </c>
      <c r="N11322" t="s">
        <v>46569</v>
      </c>
      <c r="O11322" t="s">
        <v>46570</v>
      </c>
      <c r="P11322">
        <v>0</v>
      </c>
      <c r="Q11322">
        <v>2</v>
      </c>
      <c r="R11322" t="s">
        <v>46579</v>
      </c>
      <c r="S11322" t="s">
        <v>46919</v>
      </c>
      <c r="T11322" t="s">
        <v>48374</v>
      </c>
      <c r="U11322" t="s">
        <v>57867</v>
      </c>
      <c r="W11322" t="s">
        <v>43704</v>
      </c>
      <c r="X11322" t="s">
        <v>46580</v>
      </c>
    </row>
    <row r="11323" spans="1:24">
      <c r="A11323">
        <f>HYPERLINK("https://www.philgeps.gov.ph/GEPSNONPILOT/Tender/SplashBidNoticeAbstractUI.aspx?menuIndex=3&amp;refID=7047822&amp;Result=3","7047822")</f>
        <v>0</v>
      </c>
      <c r="B11323" t="s">
        <v>1116</v>
      </c>
      <c r="C11323" t="s">
        <v>14264</v>
      </c>
      <c r="D11323" t="s">
        <v>18804</v>
      </c>
      <c r="E11323" t="s">
        <v>28646</v>
      </c>
      <c r="F11323" t="s">
        <v>32664</v>
      </c>
      <c r="G11323" t="s">
        <v>32672</v>
      </c>
      <c r="H11323" t="s">
        <v>12635</v>
      </c>
      <c r="I11323" t="s">
        <v>4439</v>
      </c>
      <c r="J11323" t="s">
        <v>39514</v>
      </c>
      <c r="K11323" t="s">
        <v>42289</v>
      </c>
      <c r="M11323" t="s">
        <v>43744</v>
      </c>
      <c r="N11323" t="s">
        <v>46569</v>
      </c>
      <c r="O11323" t="s">
        <v>46570</v>
      </c>
      <c r="P11323">
        <v>0</v>
      </c>
      <c r="Q11323">
        <v>2</v>
      </c>
      <c r="R11323" t="s">
        <v>46579</v>
      </c>
      <c r="S11323" t="s">
        <v>46919</v>
      </c>
      <c r="T11323" t="s">
        <v>48479</v>
      </c>
      <c r="U11323" t="s">
        <v>57868</v>
      </c>
      <c r="W11323" t="s">
        <v>43744</v>
      </c>
      <c r="X11323" t="s">
        <v>46580</v>
      </c>
    </row>
    <row r="11324" spans="1:24">
      <c r="A11324">
        <f>HYPERLINK("https://www.philgeps.gov.ph/GEPSNONPILOT/Tender/SplashBidNoticeAbstractUI.aspx?menuIndex=3&amp;refID=7047812&amp;Result=3","7047812")</f>
        <v>0</v>
      </c>
      <c r="B11324" t="s">
        <v>2868</v>
      </c>
      <c r="C11324" t="s">
        <v>14265</v>
      </c>
      <c r="D11324" t="s">
        <v>18802</v>
      </c>
      <c r="E11324" t="s">
        <v>20822</v>
      </c>
      <c r="F11324" t="s">
        <v>32664</v>
      </c>
      <c r="G11324" t="s">
        <v>32672</v>
      </c>
      <c r="H11324" t="s">
        <v>32683</v>
      </c>
      <c r="I11324" t="s">
        <v>10627</v>
      </c>
      <c r="J11324" t="s">
        <v>33761</v>
      </c>
      <c r="K11324" t="s">
        <v>42519</v>
      </c>
      <c r="M11324" t="s">
        <v>45717</v>
      </c>
      <c r="N11324" t="s">
        <v>46569</v>
      </c>
      <c r="O11324" t="s">
        <v>46570</v>
      </c>
      <c r="P11324">
        <v>0</v>
      </c>
      <c r="Q11324">
        <v>1</v>
      </c>
      <c r="R11324" t="s">
        <v>46579</v>
      </c>
      <c r="S11324" t="s">
        <v>46919</v>
      </c>
      <c r="T11324" t="s">
        <v>48212</v>
      </c>
      <c r="U11324" t="s">
        <v>57869</v>
      </c>
      <c r="W11324" t="s">
        <v>45717</v>
      </c>
      <c r="X11324" t="s">
        <v>46580</v>
      </c>
    </row>
    <row r="11325" spans="1:24">
      <c r="A11325">
        <f>HYPERLINK("https://www.philgeps.gov.ph/GEPSNONPILOT/Tender/SplashBidNoticeAbstractUI.aspx?menuIndex=3&amp;refID=7047955&amp;Result=3","7047955")</f>
        <v>0</v>
      </c>
      <c r="B11325" t="s">
        <v>902</v>
      </c>
      <c r="C11325" t="s">
        <v>14266</v>
      </c>
      <c r="D11325" t="s">
        <v>18785</v>
      </c>
      <c r="E11325" t="s">
        <v>28647</v>
      </c>
      <c r="F11325" t="s">
        <v>32664</v>
      </c>
      <c r="G11325" t="s">
        <v>32672</v>
      </c>
      <c r="H11325" t="s">
        <v>32683</v>
      </c>
      <c r="I11325" t="s">
        <v>10627</v>
      </c>
      <c r="J11325" t="s">
        <v>39515</v>
      </c>
      <c r="K11325" t="s">
        <v>42311</v>
      </c>
      <c r="M11325" t="s">
        <v>43506</v>
      </c>
      <c r="N11325" t="s">
        <v>46569</v>
      </c>
      <c r="O11325" t="s">
        <v>46570</v>
      </c>
      <c r="P11325">
        <v>0</v>
      </c>
      <c r="Q11325">
        <v>0</v>
      </c>
      <c r="R11325" t="s">
        <v>46579</v>
      </c>
      <c r="S11325" t="s">
        <v>46919</v>
      </c>
      <c r="T11325" t="s">
        <v>48212</v>
      </c>
      <c r="U11325" t="s">
        <v>57870</v>
      </c>
      <c r="W11325" t="s">
        <v>63494</v>
      </c>
      <c r="X11325" t="s">
        <v>46580</v>
      </c>
    </row>
    <row r="11326" spans="1:24">
      <c r="A11326">
        <f>HYPERLINK("https://www.philgeps.gov.ph/GEPSNONPILOT/Tender/SplashBidNoticeAbstractUI.aspx?menuIndex=3&amp;refID=7047846&amp;Result=3","7047846")</f>
        <v>0</v>
      </c>
      <c r="B11326" t="s">
        <v>3040</v>
      </c>
      <c r="C11326" t="s">
        <v>14267</v>
      </c>
      <c r="D11326" t="s">
        <v>18781</v>
      </c>
      <c r="E11326" t="s">
        <v>28648</v>
      </c>
      <c r="F11326" t="s">
        <v>32664</v>
      </c>
      <c r="G11326" t="s">
        <v>32672</v>
      </c>
      <c r="H11326" t="s">
        <v>32683</v>
      </c>
      <c r="I11326" t="s">
        <v>10627</v>
      </c>
      <c r="J11326" t="s">
        <v>32962</v>
      </c>
      <c r="K11326" t="s">
        <v>42311</v>
      </c>
      <c r="M11326" t="s">
        <v>45913</v>
      </c>
      <c r="N11326" t="s">
        <v>46569</v>
      </c>
      <c r="O11326" t="s">
        <v>46570</v>
      </c>
      <c r="P11326">
        <v>0</v>
      </c>
      <c r="Q11326">
        <v>1</v>
      </c>
      <c r="R11326" t="s">
        <v>46579</v>
      </c>
      <c r="S11326" t="s">
        <v>46919</v>
      </c>
      <c r="T11326" t="s">
        <v>48313</v>
      </c>
      <c r="U11326" t="s">
        <v>57871</v>
      </c>
      <c r="W11326" t="s">
        <v>45913</v>
      </c>
      <c r="X11326" t="s">
        <v>46580</v>
      </c>
    </row>
    <row r="11327" spans="1:24">
      <c r="A11327">
        <f>HYPERLINK("https://www.philgeps.gov.ph/GEPSNONPILOT/Tender/SplashBidNoticeAbstractUI.aspx?menuIndex=3&amp;refID=7047847&amp;Result=3","7047847")</f>
        <v>0</v>
      </c>
      <c r="B11327" t="s">
        <v>1116</v>
      </c>
      <c r="C11327" t="s">
        <v>14268</v>
      </c>
      <c r="D11327" t="s">
        <v>18804</v>
      </c>
      <c r="E11327" t="s">
        <v>28649</v>
      </c>
      <c r="F11327" t="s">
        <v>32664</v>
      </c>
      <c r="G11327" t="s">
        <v>32677</v>
      </c>
      <c r="H11327" t="s">
        <v>12635</v>
      </c>
      <c r="I11327" t="s">
        <v>32708</v>
      </c>
      <c r="J11327" t="s">
        <v>39516</v>
      </c>
      <c r="K11327" t="s">
        <v>42289</v>
      </c>
      <c r="M11327" t="s">
        <v>43744</v>
      </c>
      <c r="N11327" t="s">
        <v>46569</v>
      </c>
      <c r="O11327" t="s">
        <v>46570</v>
      </c>
      <c r="P11327">
        <v>0</v>
      </c>
      <c r="Q11327">
        <v>13</v>
      </c>
      <c r="R11327" t="s">
        <v>46579</v>
      </c>
      <c r="S11327" t="s">
        <v>46919</v>
      </c>
      <c r="T11327" t="s">
        <v>48470</v>
      </c>
      <c r="U11327" t="s">
        <v>57868</v>
      </c>
      <c r="W11327" t="s">
        <v>43744</v>
      </c>
      <c r="X11327" t="s">
        <v>46580</v>
      </c>
    </row>
    <row r="11328" spans="1:24">
      <c r="A11328">
        <f>HYPERLINK("https://www.philgeps.gov.ph/GEPSNONPILOT/Tender/SplashBidNoticeAbstractUI.aspx?menuIndex=3&amp;refID=7047953&amp;Result=3","7047953")</f>
        <v>0</v>
      </c>
      <c r="B11328" t="s">
        <v>2517</v>
      </c>
      <c r="C11328" t="s">
        <v>14269</v>
      </c>
      <c r="D11328" t="s">
        <v>18804</v>
      </c>
      <c r="E11328" t="s">
        <v>28650</v>
      </c>
      <c r="F11328" t="s">
        <v>32664</v>
      </c>
      <c r="G11328" t="s">
        <v>32672</v>
      </c>
      <c r="H11328" t="s">
        <v>32683</v>
      </c>
      <c r="I11328" t="s">
        <v>10627</v>
      </c>
      <c r="J11328" t="s">
        <v>37009</v>
      </c>
      <c r="K11328" t="s">
        <v>42311</v>
      </c>
      <c r="M11328" t="s">
        <v>45323</v>
      </c>
      <c r="N11328" t="s">
        <v>46569</v>
      </c>
      <c r="O11328" t="s">
        <v>46570</v>
      </c>
      <c r="P11328">
        <v>0</v>
      </c>
      <c r="Q11328">
        <v>1</v>
      </c>
      <c r="R11328" t="s">
        <v>46579</v>
      </c>
      <c r="S11328" t="s">
        <v>46919</v>
      </c>
      <c r="T11328" t="s">
        <v>48468</v>
      </c>
      <c r="U11328" t="s">
        <v>57872</v>
      </c>
      <c r="V11328" t="s">
        <v>62845</v>
      </c>
      <c r="W11328" t="s">
        <v>45323</v>
      </c>
      <c r="X11328" t="s">
        <v>46580</v>
      </c>
    </row>
    <row r="11329" spans="1:24">
      <c r="A11329">
        <f>HYPERLINK("https://www.philgeps.gov.ph/GEPSNONPILOT/Tender/SplashBidNoticeAbstractUI.aspx?menuIndex=3&amp;refID=7047947&amp;Result=3","7047947")</f>
        <v>0</v>
      </c>
      <c r="B11329" t="s">
        <v>252</v>
      </c>
      <c r="C11329" t="s">
        <v>14270</v>
      </c>
      <c r="D11329" t="s">
        <v>18802</v>
      </c>
      <c r="E11329" t="s">
        <v>28651</v>
      </c>
      <c r="F11329" t="s">
        <v>32664</v>
      </c>
      <c r="G11329" t="s">
        <v>32672</v>
      </c>
      <c r="H11329" t="s">
        <v>12635</v>
      </c>
      <c r="I11329" t="s">
        <v>6223</v>
      </c>
      <c r="J11329" t="s">
        <v>39517</v>
      </c>
      <c r="K11329" t="s">
        <v>42281</v>
      </c>
      <c r="L11329" t="s">
        <v>252</v>
      </c>
      <c r="M11329" t="s">
        <v>42817</v>
      </c>
      <c r="N11329" t="s">
        <v>46569</v>
      </c>
      <c r="O11329" t="s">
        <v>46570</v>
      </c>
      <c r="P11329">
        <v>0</v>
      </c>
      <c r="Q11329">
        <v>2</v>
      </c>
      <c r="R11329" t="s">
        <v>46579</v>
      </c>
      <c r="S11329" t="s">
        <v>46919</v>
      </c>
      <c r="T11329" t="s">
        <v>48303</v>
      </c>
      <c r="U11329" t="s">
        <v>57873</v>
      </c>
      <c r="V11329" t="s">
        <v>61680</v>
      </c>
      <c r="W11329" t="s">
        <v>42817</v>
      </c>
      <c r="X11329" t="s">
        <v>46580</v>
      </c>
    </row>
    <row r="11330" spans="1:24">
      <c r="A11330">
        <f>HYPERLINK("https://www.philgeps.gov.ph/GEPSNONPILOT/Tender/SplashBidNoticeAbstractUI.aspx?menuIndex=3&amp;refID=7047934&amp;Result=3","7047934")</f>
        <v>0</v>
      </c>
      <c r="B11330" t="s">
        <v>531</v>
      </c>
      <c r="C11330" t="s">
        <v>14271</v>
      </c>
      <c r="D11330" t="s">
        <v>18793</v>
      </c>
      <c r="E11330" t="s">
        <v>28652</v>
      </c>
      <c r="F11330" t="s">
        <v>32664</v>
      </c>
      <c r="G11330" t="s">
        <v>32672</v>
      </c>
      <c r="H11330" t="s">
        <v>12635</v>
      </c>
      <c r="I11330" t="s">
        <v>11464</v>
      </c>
      <c r="J11330" t="s">
        <v>34862</v>
      </c>
      <c r="K11330" t="s">
        <v>42305</v>
      </c>
      <c r="M11330" t="s">
        <v>43109</v>
      </c>
      <c r="N11330" t="s">
        <v>46569</v>
      </c>
      <c r="O11330" t="s">
        <v>46570</v>
      </c>
      <c r="P11330">
        <v>0</v>
      </c>
      <c r="Q11330">
        <v>5</v>
      </c>
      <c r="R11330" t="s">
        <v>46579</v>
      </c>
      <c r="S11330" t="s">
        <v>46919</v>
      </c>
      <c r="T11330" t="s">
        <v>48467</v>
      </c>
      <c r="U11330" t="s">
        <v>57874</v>
      </c>
      <c r="W11330" t="s">
        <v>43109</v>
      </c>
      <c r="X11330" t="s">
        <v>46580</v>
      </c>
    </row>
    <row r="11331" spans="1:24">
      <c r="A11331">
        <f>HYPERLINK("https://www.philgeps.gov.ph/GEPSNONPILOT/Tender/SplashBidNoticeAbstractUI.aspx?menuIndex=3&amp;refID=7047952&amp;Result=3","7047952")</f>
        <v>0</v>
      </c>
      <c r="B11331" t="s">
        <v>83</v>
      </c>
      <c r="C11331" t="s">
        <v>14272</v>
      </c>
      <c r="D11331" t="s">
        <v>18784</v>
      </c>
      <c r="E11331" t="s">
        <v>28653</v>
      </c>
      <c r="F11331" t="s">
        <v>32664</v>
      </c>
      <c r="G11331" t="s">
        <v>32672</v>
      </c>
      <c r="H11331" t="s">
        <v>12635</v>
      </c>
      <c r="I11331" t="s">
        <v>5589</v>
      </c>
      <c r="J11331" t="s">
        <v>39518</v>
      </c>
      <c r="K11331" t="s">
        <v>42283</v>
      </c>
      <c r="M11331" t="s">
        <v>45058</v>
      </c>
      <c r="N11331" t="s">
        <v>46569</v>
      </c>
      <c r="O11331" t="s">
        <v>46570</v>
      </c>
      <c r="P11331">
        <v>0</v>
      </c>
      <c r="Q11331">
        <v>26</v>
      </c>
      <c r="R11331" t="s">
        <v>46579</v>
      </c>
      <c r="S11331" t="s">
        <v>46919</v>
      </c>
      <c r="T11331" t="s">
        <v>48681</v>
      </c>
      <c r="U11331" t="s">
        <v>57875</v>
      </c>
      <c r="W11331" t="s">
        <v>45058</v>
      </c>
      <c r="X11331" t="s">
        <v>46580</v>
      </c>
    </row>
    <row r="11332" spans="1:24">
      <c r="A11332">
        <f>HYPERLINK("https://www.philgeps.gov.ph/GEPSNONPILOT/Tender/SplashBidNoticeAbstractUI.aspx?menuIndex=3&amp;refID=7047929&amp;Result=3","7047929")</f>
        <v>0</v>
      </c>
      <c r="B11332" t="s">
        <v>475</v>
      </c>
      <c r="C11332" t="s">
        <v>14273</v>
      </c>
      <c r="D11332" t="s">
        <v>18796</v>
      </c>
      <c r="E11332" t="s">
        <v>28654</v>
      </c>
      <c r="F11332" t="s">
        <v>32664</v>
      </c>
      <c r="G11332" t="s">
        <v>32672</v>
      </c>
      <c r="H11332" t="s">
        <v>12635</v>
      </c>
      <c r="I11332" t="s">
        <v>32707</v>
      </c>
      <c r="J11332" t="s">
        <v>39519</v>
      </c>
      <c r="K11332" t="s">
        <v>42283</v>
      </c>
      <c r="M11332" t="s">
        <v>43050</v>
      </c>
      <c r="N11332" t="s">
        <v>46569</v>
      </c>
      <c r="O11332" t="s">
        <v>46570</v>
      </c>
      <c r="P11332">
        <v>0</v>
      </c>
      <c r="Q11332">
        <v>0</v>
      </c>
      <c r="R11332" t="s">
        <v>46579</v>
      </c>
      <c r="S11332" t="s">
        <v>46919</v>
      </c>
      <c r="T11332" t="s">
        <v>48483</v>
      </c>
      <c r="U11332" t="s">
        <v>57876</v>
      </c>
      <c r="W11332" t="s">
        <v>43050</v>
      </c>
      <c r="X11332" t="s">
        <v>46580</v>
      </c>
    </row>
    <row r="11333" spans="1:24">
      <c r="A11333">
        <f>HYPERLINK("https://www.philgeps.gov.ph/GEPSNONPILOT/Tender/SplashBidNoticeAbstractUI.aspx?menuIndex=3&amp;refID=7047918&amp;Result=3","7047918")</f>
        <v>0</v>
      </c>
      <c r="B11333" t="s">
        <v>252</v>
      </c>
      <c r="C11333" t="s">
        <v>14274</v>
      </c>
      <c r="D11333" t="s">
        <v>18802</v>
      </c>
      <c r="E11333" t="s">
        <v>28655</v>
      </c>
      <c r="F11333" t="s">
        <v>32664</v>
      </c>
      <c r="G11333" t="s">
        <v>32672</v>
      </c>
      <c r="H11333" t="s">
        <v>12635</v>
      </c>
      <c r="I11333" t="s">
        <v>32712</v>
      </c>
      <c r="J11333" t="s">
        <v>39520</v>
      </c>
      <c r="K11333" t="s">
        <v>42281</v>
      </c>
      <c r="L11333" t="s">
        <v>252</v>
      </c>
      <c r="M11333" t="s">
        <v>42817</v>
      </c>
      <c r="N11333" t="s">
        <v>46569</v>
      </c>
      <c r="O11333" t="s">
        <v>46570</v>
      </c>
      <c r="P11333">
        <v>0</v>
      </c>
      <c r="Q11333">
        <v>24</v>
      </c>
      <c r="R11333" t="s">
        <v>46579</v>
      </c>
      <c r="S11333" t="s">
        <v>46919</v>
      </c>
      <c r="T11333" t="s">
        <v>48303</v>
      </c>
      <c r="U11333" t="s">
        <v>57877</v>
      </c>
      <c r="V11333" t="s">
        <v>61680</v>
      </c>
      <c r="W11333" t="s">
        <v>42817</v>
      </c>
      <c r="X11333" t="s">
        <v>46580</v>
      </c>
    </row>
    <row r="11334" spans="1:24">
      <c r="A11334">
        <f>HYPERLINK("https://www.philgeps.gov.ph/GEPSNONPILOT/Tender/SplashBidNoticeAbstractUI.aspx?menuIndex=3&amp;refID=7047914&amp;Result=3","7047914")</f>
        <v>0</v>
      </c>
      <c r="B11334" t="s">
        <v>3041</v>
      </c>
      <c r="C11334" t="s">
        <v>14275</v>
      </c>
      <c r="D11334" t="s">
        <v>18804</v>
      </c>
      <c r="E11334" t="s">
        <v>28656</v>
      </c>
      <c r="F11334" t="s">
        <v>32664</v>
      </c>
      <c r="G11334" t="s">
        <v>32672</v>
      </c>
      <c r="H11334" t="s">
        <v>32683</v>
      </c>
      <c r="I11334" t="s">
        <v>10627</v>
      </c>
      <c r="J11334" t="s">
        <v>32865</v>
      </c>
      <c r="K11334" t="s">
        <v>42283</v>
      </c>
      <c r="M11334" t="s">
        <v>45914</v>
      </c>
      <c r="N11334" t="s">
        <v>46569</v>
      </c>
      <c r="O11334" t="s">
        <v>46570</v>
      </c>
      <c r="P11334">
        <v>0</v>
      </c>
      <c r="Q11334">
        <v>1</v>
      </c>
      <c r="R11334" t="s">
        <v>46579</v>
      </c>
      <c r="S11334" t="s">
        <v>46919</v>
      </c>
      <c r="T11334" t="s">
        <v>48303</v>
      </c>
      <c r="U11334" t="s">
        <v>57878</v>
      </c>
      <c r="W11334" t="s">
        <v>45914</v>
      </c>
      <c r="X11334" t="s">
        <v>46580</v>
      </c>
    </row>
    <row r="11335" spans="1:24">
      <c r="A11335">
        <f>HYPERLINK("https://www.philgeps.gov.ph/GEPSNONPILOT/Tender/SplashBidNoticeAbstractUI.aspx?menuIndex=3&amp;refID=7047906&amp;Result=3","7047906")</f>
        <v>0</v>
      </c>
      <c r="B11335" t="s">
        <v>1507</v>
      </c>
      <c r="C11335" t="s">
        <v>14276</v>
      </c>
      <c r="D11335" t="s">
        <v>18789</v>
      </c>
      <c r="E11335" t="s">
        <v>28657</v>
      </c>
      <c r="F11335" t="s">
        <v>32664</v>
      </c>
      <c r="G11335" t="s">
        <v>32672</v>
      </c>
      <c r="H11335" t="s">
        <v>12635</v>
      </c>
      <c r="I11335" t="s">
        <v>4439</v>
      </c>
      <c r="J11335" t="s">
        <v>39521</v>
      </c>
      <c r="K11335" t="s">
        <v>42283</v>
      </c>
      <c r="M11335" t="s">
        <v>44172</v>
      </c>
      <c r="N11335" t="s">
        <v>46569</v>
      </c>
      <c r="O11335" t="s">
        <v>46570</v>
      </c>
      <c r="P11335">
        <v>0</v>
      </c>
      <c r="Q11335">
        <v>2</v>
      </c>
      <c r="R11335" t="s">
        <v>46579</v>
      </c>
      <c r="S11335" t="s">
        <v>46919</v>
      </c>
      <c r="T11335" t="s">
        <v>48212</v>
      </c>
      <c r="U11335" t="s">
        <v>57879</v>
      </c>
      <c r="V11335" t="s">
        <v>62043</v>
      </c>
      <c r="W11335" t="s">
        <v>44172</v>
      </c>
      <c r="X11335" t="s">
        <v>46580</v>
      </c>
    </row>
    <row r="11336" spans="1:24">
      <c r="A11336">
        <f>HYPERLINK("https://www.philgeps.gov.ph/GEPSNONPILOT/Tender/SplashBidNoticeAbstractUI.aspx?menuIndex=3&amp;refID=7047779&amp;Result=3","7047779")</f>
        <v>0</v>
      </c>
      <c r="B11336" t="s">
        <v>3029</v>
      </c>
      <c r="C11336" t="s">
        <v>14277</v>
      </c>
      <c r="D11336" t="s">
        <v>18786</v>
      </c>
      <c r="E11336" t="s">
        <v>28658</v>
      </c>
      <c r="F11336" t="s">
        <v>32664</v>
      </c>
      <c r="G11336" t="s">
        <v>32672</v>
      </c>
      <c r="H11336" t="s">
        <v>32683</v>
      </c>
      <c r="I11336" t="s">
        <v>10627</v>
      </c>
      <c r="J11336" t="s">
        <v>39522</v>
      </c>
      <c r="K11336" t="s">
        <v>42305</v>
      </c>
      <c r="M11336" t="s">
        <v>45902</v>
      </c>
      <c r="N11336" t="s">
        <v>46569</v>
      </c>
      <c r="O11336" t="s">
        <v>46570</v>
      </c>
      <c r="P11336">
        <v>0</v>
      </c>
      <c r="Q11336">
        <v>0</v>
      </c>
      <c r="R11336" t="s">
        <v>46579</v>
      </c>
      <c r="S11336" t="s">
        <v>46919</v>
      </c>
      <c r="T11336" t="s">
        <v>48228</v>
      </c>
      <c r="U11336" t="s">
        <v>57880</v>
      </c>
      <c r="V11336" t="s">
        <v>62837</v>
      </c>
      <c r="W11336" t="s">
        <v>45902</v>
      </c>
      <c r="X11336" t="s">
        <v>46580</v>
      </c>
    </row>
    <row r="11337" spans="1:24">
      <c r="A11337">
        <f>HYPERLINK("https://www.philgeps.gov.ph/GEPSNONPILOT/Tender/SplashBidNoticeAbstractUI.aspx?menuIndex=3&amp;refID=7047901&amp;Result=3","7047901")</f>
        <v>0</v>
      </c>
      <c r="B11337" t="s">
        <v>3042</v>
      </c>
      <c r="C11337" t="s">
        <v>14278</v>
      </c>
      <c r="D11337" t="s">
        <v>18840</v>
      </c>
      <c r="E11337" t="s">
        <v>28659</v>
      </c>
      <c r="F11337" t="s">
        <v>32664</v>
      </c>
      <c r="G11337" t="s">
        <v>32672</v>
      </c>
      <c r="H11337" t="s">
        <v>12635</v>
      </c>
      <c r="I11337" t="s">
        <v>32694</v>
      </c>
      <c r="J11337" t="s">
        <v>39523</v>
      </c>
      <c r="K11337" t="s">
        <v>42281</v>
      </c>
      <c r="M11337" t="s">
        <v>45915</v>
      </c>
      <c r="N11337" t="s">
        <v>46569</v>
      </c>
      <c r="O11337" t="s">
        <v>46570</v>
      </c>
      <c r="P11337">
        <v>0</v>
      </c>
      <c r="Q11337">
        <v>0</v>
      </c>
      <c r="R11337" t="s">
        <v>46579</v>
      </c>
      <c r="S11337" t="s">
        <v>46919</v>
      </c>
      <c r="T11337" t="s">
        <v>48248</v>
      </c>
      <c r="U11337" t="s">
        <v>57881</v>
      </c>
      <c r="V11337" t="s">
        <v>62846</v>
      </c>
      <c r="W11337" t="s">
        <v>45915</v>
      </c>
      <c r="X11337" t="s">
        <v>46580</v>
      </c>
    </row>
    <row r="11338" spans="1:24">
      <c r="A11338">
        <f>HYPERLINK("https://www.philgeps.gov.ph/GEPSNONPILOT/Tender/SplashBidNoticeAbstractUI.aspx?menuIndex=3&amp;refID=7048105&amp;Result=3","7048105")</f>
        <v>0</v>
      </c>
      <c r="B11338" t="s">
        <v>1507</v>
      </c>
      <c r="C11338" t="s">
        <v>14279</v>
      </c>
      <c r="D11338" t="s">
        <v>18789</v>
      </c>
      <c r="E11338" t="s">
        <v>28660</v>
      </c>
      <c r="F11338" t="s">
        <v>32664</v>
      </c>
      <c r="G11338" t="s">
        <v>32672</v>
      </c>
      <c r="H11338" t="s">
        <v>12635</v>
      </c>
      <c r="I11338" t="s">
        <v>4439</v>
      </c>
      <c r="J11338" t="s">
        <v>39524</v>
      </c>
      <c r="K11338" t="s">
        <v>42283</v>
      </c>
      <c r="M11338" t="s">
        <v>44172</v>
      </c>
      <c r="N11338" t="s">
        <v>46569</v>
      </c>
      <c r="O11338" t="s">
        <v>46570</v>
      </c>
      <c r="P11338">
        <v>0</v>
      </c>
      <c r="Q11338">
        <v>1</v>
      </c>
      <c r="R11338" t="s">
        <v>46579</v>
      </c>
      <c r="S11338" t="s">
        <v>46919</v>
      </c>
      <c r="T11338" t="s">
        <v>48212</v>
      </c>
      <c r="U11338" t="s">
        <v>57882</v>
      </c>
      <c r="V11338" t="s">
        <v>62043</v>
      </c>
      <c r="W11338" t="s">
        <v>44172</v>
      </c>
      <c r="X11338" t="s">
        <v>46580</v>
      </c>
    </row>
    <row r="11339" spans="1:24">
      <c r="A11339">
        <f>HYPERLINK("https://www.philgeps.gov.ph/GEPSNONPILOT/Tender/SplashBidNoticeAbstractUI.aspx?menuIndex=3&amp;refID=7048096&amp;Result=3","7048096")</f>
        <v>0</v>
      </c>
      <c r="B11339" t="s">
        <v>1507</v>
      </c>
      <c r="C11339" t="s">
        <v>14280</v>
      </c>
      <c r="D11339" t="s">
        <v>18789</v>
      </c>
      <c r="E11339" t="s">
        <v>28661</v>
      </c>
      <c r="F11339" t="s">
        <v>32664</v>
      </c>
      <c r="G11339" t="s">
        <v>32672</v>
      </c>
      <c r="H11339" t="s">
        <v>12635</v>
      </c>
      <c r="I11339" t="s">
        <v>4439</v>
      </c>
      <c r="J11339" t="s">
        <v>39525</v>
      </c>
      <c r="K11339" t="s">
        <v>42283</v>
      </c>
      <c r="M11339" t="s">
        <v>44172</v>
      </c>
      <c r="N11339" t="s">
        <v>46569</v>
      </c>
      <c r="O11339" t="s">
        <v>46570</v>
      </c>
      <c r="P11339">
        <v>0</v>
      </c>
      <c r="Q11339">
        <v>2</v>
      </c>
      <c r="R11339" t="s">
        <v>46579</v>
      </c>
      <c r="S11339" t="s">
        <v>46919</v>
      </c>
      <c r="T11339" t="s">
        <v>48212</v>
      </c>
      <c r="U11339" t="s">
        <v>57883</v>
      </c>
      <c r="V11339" t="s">
        <v>62043</v>
      </c>
      <c r="W11339" t="s">
        <v>44172</v>
      </c>
      <c r="X11339" t="s">
        <v>46580</v>
      </c>
    </row>
    <row r="11340" spans="1:24">
      <c r="A11340">
        <f>HYPERLINK("https://www.philgeps.gov.ph/GEPSNONPILOT/Tender/SplashBidNoticeAbstractUI.aspx?menuIndex=3&amp;refID=7047908&amp;Result=3","7047908")</f>
        <v>0</v>
      </c>
      <c r="B11340" t="s">
        <v>3043</v>
      </c>
      <c r="C11340" t="s">
        <v>4490</v>
      </c>
      <c r="D11340" t="s">
        <v>18787</v>
      </c>
      <c r="E11340" t="s">
        <v>28662</v>
      </c>
      <c r="F11340" t="s">
        <v>32664</v>
      </c>
      <c r="G11340" t="s">
        <v>32672</v>
      </c>
      <c r="H11340" t="s">
        <v>12635</v>
      </c>
      <c r="I11340" t="s">
        <v>32716</v>
      </c>
      <c r="J11340" t="s">
        <v>32853</v>
      </c>
      <c r="K11340" t="s">
        <v>42289</v>
      </c>
      <c r="M11340" t="s">
        <v>45916</v>
      </c>
      <c r="N11340" t="s">
        <v>46569</v>
      </c>
      <c r="O11340" t="s">
        <v>46570</v>
      </c>
      <c r="Q11340">
        <v>1</v>
      </c>
      <c r="R11340" t="s">
        <v>46579</v>
      </c>
      <c r="S11340" t="s">
        <v>46934</v>
      </c>
      <c r="T11340" t="s">
        <v>48287</v>
      </c>
      <c r="U11340" t="s">
        <v>57884</v>
      </c>
      <c r="V11340" t="s">
        <v>62847</v>
      </c>
      <c r="W11340" t="s">
        <v>45916</v>
      </c>
      <c r="X11340" t="s">
        <v>46580</v>
      </c>
    </row>
    <row r="11341" spans="1:24">
      <c r="A11341">
        <f>HYPERLINK("https://www.philgeps.gov.ph/GEPSNONPILOT/Tender/SplashBidNoticeAbstractUI.aspx?menuIndex=3&amp;refID=7048089&amp;Result=3","7048089")</f>
        <v>0</v>
      </c>
      <c r="B11341" t="s">
        <v>1507</v>
      </c>
      <c r="C11341" t="s">
        <v>14281</v>
      </c>
      <c r="D11341" t="s">
        <v>18789</v>
      </c>
      <c r="E11341" t="s">
        <v>28663</v>
      </c>
      <c r="F11341" t="s">
        <v>32664</v>
      </c>
      <c r="G11341" t="s">
        <v>32672</v>
      </c>
      <c r="H11341" t="s">
        <v>12635</v>
      </c>
      <c r="I11341" t="s">
        <v>4439</v>
      </c>
      <c r="J11341" t="s">
        <v>39526</v>
      </c>
      <c r="K11341" t="s">
        <v>42283</v>
      </c>
      <c r="M11341" t="s">
        <v>44172</v>
      </c>
      <c r="N11341" t="s">
        <v>46569</v>
      </c>
      <c r="O11341" t="s">
        <v>46570</v>
      </c>
      <c r="P11341">
        <v>0</v>
      </c>
      <c r="Q11341">
        <v>3</v>
      </c>
      <c r="R11341" t="s">
        <v>46579</v>
      </c>
      <c r="S11341" t="s">
        <v>46919</v>
      </c>
      <c r="T11341" t="s">
        <v>48212</v>
      </c>
      <c r="U11341" t="s">
        <v>57885</v>
      </c>
      <c r="V11341" t="s">
        <v>62043</v>
      </c>
      <c r="W11341" t="s">
        <v>44172</v>
      </c>
      <c r="X11341" t="s">
        <v>46580</v>
      </c>
    </row>
    <row r="11342" spans="1:24">
      <c r="A11342">
        <f>HYPERLINK("https://www.philgeps.gov.ph/GEPSNONPILOT/Tender/SplashBidNoticeAbstractUI.aspx?menuIndex=3&amp;refID=7048084&amp;Result=3","7048084")</f>
        <v>0</v>
      </c>
      <c r="B11342" t="s">
        <v>1426</v>
      </c>
      <c r="C11342" t="s">
        <v>14282</v>
      </c>
      <c r="D11342" t="s">
        <v>18821</v>
      </c>
      <c r="E11342" t="s">
        <v>28664</v>
      </c>
      <c r="F11342" t="s">
        <v>32664</v>
      </c>
      <c r="G11342" t="s">
        <v>32672</v>
      </c>
      <c r="H11342" t="s">
        <v>12635</v>
      </c>
      <c r="I11342" t="s">
        <v>11464</v>
      </c>
      <c r="J11342" t="s">
        <v>32982</v>
      </c>
      <c r="K11342" t="s">
        <v>42311</v>
      </c>
      <c r="M11342" t="s">
        <v>44086</v>
      </c>
      <c r="N11342" t="s">
        <v>46569</v>
      </c>
      <c r="O11342" t="s">
        <v>46570</v>
      </c>
      <c r="P11342">
        <v>0</v>
      </c>
      <c r="Q11342">
        <v>2</v>
      </c>
      <c r="R11342" t="s">
        <v>46579</v>
      </c>
      <c r="S11342" t="s">
        <v>46919</v>
      </c>
      <c r="T11342" t="s">
        <v>48313</v>
      </c>
      <c r="U11342" t="s">
        <v>57886</v>
      </c>
      <c r="W11342" t="s">
        <v>44086</v>
      </c>
      <c r="X11342" t="s">
        <v>46580</v>
      </c>
    </row>
    <row r="11343" spans="1:24">
      <c r="A11343">
        <f>HYPERLINK("https://www.philgeps.gov.ph/GEPSNONPILOT/Tender/SplashBidNoticeAbstractUI.aspx?menuIndex=3&amp;refID=7052076&amp;Result=3","7052076")</f>
        <v>0</v>
      </c>
      <c r="B11343" t="s">
        <v>2469</v>
      </c>
      <c r="C11343" t="s">
        <v>14283</v>
      </c>
      <c r="D11343" t="s">
        <v>18801</v>
      </c>
      <c r="E11343" t="s">
        <v>28665</v>
      </c>
      <c r="F11343" t="s">
        <v>32664</v>
      </c>
      <c r="G11343" t="s">
        <v>32672</v>
      </c>
      <c r="H11343" t="s">
        <v>32683</v>
      </c>
      <c r="I11343" t="s">
        <v>10627</v>
      </c>
      <c r="J11343" t="s">
        <v>32962</v>
      </c>
      <c r="K11343" t="s">
        <v>42298</v>
      </c>
      <c r="M11343" t="s">
        <v>45290</v>
      </c>
      <c r="N11343" t="s">
        <v>46569</v>
      </c>
      <c r="O11343" t="s">
        <v>46570</v>
      </c>
      <c r="P11343">
        <v>0</v>
      </c>
      <c r="Q11343">
        <v>10</v>
      </c>
      <c r="R11343" t="s">
        <v>46578</v>
      </c>
      <c r="S11343" t="s">
        <v>46874</v>
      </c>
      <c r="T11343" t="s">
        <v>48448</v>
      </c>
      <c r="U11343" t="s">
        <v>55574</v>
      </c>
      <c r="V11343" t="s">
        <v>62260</v>
      </c>
      <c r="W11343" t="s">
        <v>63562</v>
      </c>
      <c r="X11343" t="s">
        <v>46579</v>
      </c>
    </row>
    <row r="11344" spans="1:24">
      <c r="A11344">
        <f>HYPERLINK("https://www.philgeps.gov.ph/GEPSNONPILOT/Tender/SplashBidNoticeAbstractUI.aspx?menuIndex=3&amp;refID=7048059&amp;Result=3","7048059")</f>
        <v>0</v>
      </c>
      <c r="B11344" t="s">
        <v>3044</v>
      </c>
      <c r="C11344" t="s">
        <v>14284</v>
      </c>
      <c r="D11344" t="s">
        <v>18787</v>
      </c>
      <c r="E11344" t="s">
        <v>28666</v>
      </c>
      <c r="F11344" t="s">
        <v>32664</v>
      </c>
      <c r="G11344" t="s">
        <v>32672</v>
      </c>
      <c r="H11344" t="s">
        <v>12635</v>
      </c>
      <c r="I11344" t="s">
        <v>4439</v>
      </c>
      <c r="J11344" t="s">
        <v>39527</v>
      </c>
      <c r="K11344" t="s">
        <v>42297</v>
      </c>
      <c r="M11344" t="s">
        <v>45917</v>
      </c>
      <c r="N11344" t="s">
        <v>46569</v>
      </c>
      <c r="O11344" t="s">
        <v>46570</v>
      </c>
      <c r="P11344">
        <v>0</v>
      </c>
      <c r="Q11344">
        <v>0</v>
      </c>
      <c r="R11344" t="s">
        <v>46579</v>
      </c>
      <c r="S11344" t="s">
        <v>46919</v>
      </c>
      <c r="T11344" t="s">
        <v>48268</v>
      </c>
      <c r="U11344" t="s">
        <v>57887</v>
      </c>
      <c r="W11344" t="s">
        <v>45917</v>
      </c>
      <c r="X11344" t="s">
        <v>46580</v>
      </c>
    </row>
    <row r="11345" spans="1:24">
      <c r="A11345">
        <f>HYPERLINK("https://www.philgeps.gov.ph/GEPSNONPILOT/Tender/SplashBidNoticeAbstractUI.aspx?menuIndex=3&amp;refID=7047937&amp;Result=3","7047937")</f>
        <v>0</v>
      </c>
      <c r="B11345" t="s">
        <v>1507</v>
      </c>
      <c r="C11345" t="s">
        <v>14285</v>
      </c>
      <c r="D11345" t="s">
        <v>18789</v>
      </c>
      <c r="E11345" t="s">
        <v>28667</v>
      </c>
      <c r="F11345" t="s">
        <v>32664</v>
      </c>
      <c r="G11345" t="s">
        <v>32672</v>
      </c>
      <c r="H11345" t="s">
        <v>12635</v>
      </c>
      <c r="I11345" t="s">
        <v>4439</v>
      </c>
      <c r="J11345" t="s">
        <v>39528</v>
      </c>
      <c r="K11345" t="s">
        <v>42283</v>
      </c>
      <c r="M11345" t="s">
        <v>44172</v>
      </c>
      <c r="N11345" t="s">
        <v>46569</v>
      </c>
      <c r="O11345" t="s">
        <v>46570</v>
      </c>
      <c r="P11345">
        <v>0</v>
      </c>
      <c r="Q11345">
        <v>1</v>
      </c>
      <c r="R11345" t="s">
        <v>46579</v>
      </c>
      <c r="S11345" t="s">
        <v>46919</v>
      </c>
      <c r="T11345" t="s">
        <v>48212</v>
      </c>
      <c r="U11345" t="s">
        <v>57888</v>
      </c>
      <c r="V11345" t="s">
        <v>62043</v>
      </c>
      <c r="W11345" t="s">
        <v>44172</v>
      </c>
      <c r="X11345" t="s">
        <v>46580</v>
      </c>
    </row>
    <row r="11346" spans="1:24">
      <c r="A11346">
        <f>HYPERLINK("https://www.philgeps.gov.ph/GEPSNONPILOT/Tender/SplashBidNoticeAbstractUI.aspx?menuIndex=3&amp;refID=7048051&amp;Result=3","7048051")</f>
        <v>0</v>
      </c>
      <c r="B11346" t="s">
        <v>83</v>
      </c>
      <c r="C11346" t="s">
        <v>14286</v>
      </c>
      <c r="D11346" t="s">
        <v>18784</v>
      </c>
      <c r="E11346" t="s">
        <v>28668</v>
      </c>
      <c r="F11346" t="s">
        <v>32664</v>
      </c>
      <c r="G11346" t="s">
        <v>32672</v>
      </c>
      <c r="H11346" t="s">
        <v>12635</v>
      </c>
      <c r="I11346" t="s">
        <v>5589</v>
      </c>
      <c r="J11346" t="s">
        <v>39529</v>
      </c>
      <c r="K11346" t="s">
        <v>42283</v>
      </c>
      <c r="M11346" t="s">
        <v>45058</v>
      </c>
      <c r="N11346" t="s">
        <v>46569</v>
      </c>
      <c r="O11346" t="s">
        <v>46570</v>
      </c>
      <c r="P11346">
        <v>0</v>
      </c>
      <c r="Q11346">
        <v>14</v>
      </c>
      <c r="R11346" t="s">
        <v>46579</v>
      </c>
      <c r="S11346" t="s">
        <v>46919</v>
      </c>
      <c r="T11346" t="s">
        <v>48613</v>
      </c>
      <c r="U11346" t="s">
        <v>57889</v>
      </c>
      <c r="W11346" t="s">
        <v>45058</v>
      </c>
      <c r="X11346" t="s">
        <v>46580</v>
      </c>
    </row>
    <row r="11347" spans="1:24">
      <c r="A11347">
        <f>HYPERLINK("https://www.philgeps.gov.ph/GEPSNONPILOT/Tender/SplashBidNoticeAbstractUI.aspx?menuIndex=3&amp;refID=7048043&amp;Result=3","7048043")</f>
        <v>0</v>
      </c>
      <c r="B11347" t="s">
        <v>2717</v>
      </c>
      <c r="C11347" t="s">
        <v>14287</v>
      </c>
      <c r="D11347" t="s">
        <v>18823</v>
      </c>
      <c r="E11347" t="s">
        <v>28669</v>
      </c>
      <c r="F11347" t="s">
        <v>32664</v>
      </c>
      <c r="G11347" t="s">
        <v>32672</v>
      </c>
      <c r="H11347" t="s">
        <v>12635</v>
      </c>
      <c r="I11347" t="s">
        <v>7709</v>
      </c>
      <c r="J11347" t="s">
        <v>39530</v>
      </c>
      <c r="K11347" t="s">
        <v>42283</v>
      </c>
      <c r="M11347" t="s">
        <v>45544</v>
      </c>
      <c r="N11347" t="s">
        <v>46569</v>
      </c>
      <c r="O11347" t="s">
        <v>46570</v>
      </c>
      <c r="P11347">
        <v>0</v>
      </c>
      <c r="Q11347">
        <v>2</v>
      </c>
      <c r="R11347" t="s">
        <v>46579</v>
      </c>
      <c r="S11347" t="s">
        <v>46919</v>
      </c>
      <c r="T11347" t="s">
        <v>48467</v>
      </c>
      <c r="U11347" t="s">
        <v>57890</v>
      </c>
      <c r="W11347" t="s">
        <v>45544</v>
      </c>
      <c r="X11347" t="s">
        <v>46580</v>
      </c>
    </row>
    <row r="11348" spans="1:24">
      <c r="A11348">
        <f>HYPERLINK("https://www.philgeps.gov.ph/GEPSNONPILOT/Tender/SplashBidNoticeAbstractUI.aspx?menuIndex=3&amp;refID=7048035&amp;Result=3","7048035")</f>
        <v>0</v>
      </c>
      <c r="B11348" t="s">
        <v>1507</v>
      </c>
      <c r="C11348" t="s">
        <v>14288</v>
      </c>
      <c r="D11348" t="s">
        <v>18789</v>
      </c>
      <c r="E11348" t="s">
        <v>28670</v>
      </c>
      <c r="F11348" t="s">
        <v>32664</v>
      </c>
      <c r="G11348" t="s">
        <v>32672</v>
      </c>
      <c r="H11348" t="s">
        <v>12635</v>
      </c>
      <c r="I11348" t="s">
        <v>4439</v>
      </c>
      <c r="J11348" t="s">
        <v>39531</v>
      </c>
      <c r="K11348" t="s">
        <v>42283</v>
      </c>
      <c r="M11348" t="s">
        <v>44172</v>
      </c>
      <c r="N11348" t="s">
        <v>46569</v>
      </c>
      <c r="O11348" t="s">
        <v>46570</v>
      </c>
      <c r="P11348">
        <v>0</v>
      </c>
      <c r="Q11348">
        <v>3</v>
      </c>
      <c r="R11348" t="s">
        <v>46579</v>
      </c>
      <c r="S11348" t="s">
        <v>46919</v>
      </c>
      <c r="T11348" t="s">
        <v>48212</v>
      </c>
      <c r="U11348" t="s">
        <v>57891</v>
      </c>
      <c r="V11348" t="s">
        <v>62043</v>
      </c>
      <c r="W11348" t="s">
        <v>44172</v>
      </c>
      <c r="X11348" t="s">
        <v>46580</v>
      </c>
    </row>
    <row r="11349" spans="1:24">
      <c r="A11349">
        <f>HYPERLINK("https://www.philgeps.gov.ph/GEPSNONPILOT/Tender/SplashBidNoticeAbstractUI.aspx?menuIndex=3&amp;refID=7048031&amp;Result=3","7048031")</f>
        <v>0</v>
      </c>
      <c r="B11349" t="s">
        <v>420</v>
      </c>
      <c r="C11349" t="s">
        <v>14289</v>
      </c>
      <c r="D11349" t="s">
        <v>18841</v>
      </c>
      <c r="E11349" t="s">
        <v>19146</v>
      </c>
      <c r="F11349" t="s">
        <v>32665</v>
      </c>
      <c r="G11349" t="s">
        <v>32672</v>
      </c>
      <c r="H11349" t="s">
        <v>12635</v>
      </c>
      <c r="I11349" t="s">
        <v>4439</v>
      </c>
      <c r="J11349" t="s">
        <v>39532</v>
      </c>
      <c r="K11349" t="s">
        <v>42290</v>
      </c>
      <c r="M11349" t="s">
        <v>42991</v>
      </c>
      <c r="N11349" t="s">
        <v>46569</v>
      </c>
      <c r="O11349" t="s">
        <v>46570</v>
      </c>
      <c r="P11349">
        <v>0</v>
      </c>
      <c r="Q11349">
        <v>0</v>
      </c>
      <c r="R11349" t="s">
        <v>46579</v>
      </c>
      <c r="S11349" t="s">
        <v>46919</v>
      </c>
      <c r="T11349" t="s">
        <v>48237</v>
      </c>
      <c r="U11349" t="s">
        <v>57892</v>
      </c>
      <c r="W11349" t="s">
        <v>42991</v>
      </c>
      <c r="X11349" t="s">
        <v>46580</v>
      </c>
    </row>
    <row r="11350" spans="1:24">
      <c r="A11350">
        <f>HYPERLINK("https://www.philgeps.gov.ph/GEPSNONPILOT/Tender/SplashBidNoticeAbstractUI.aspx?menuIndex=3&amp;refID=7047787&amp;Result=3","7047787")</f>
        <v>0</v>
      </c>
      <c r="B11350" t="s">
        <v>2559</v>
      </c>
      <c r="C11350" t="s">
        <v>14290</v>
      </c>
      <c r="D11350" t="s">
        <v>18859</v>
      </c>
      <c r="E11350" t="s">
        <v>28671</v>
      </c>
      <c r="F11350" t="s">
        <v>32664</v>
      </c>
      <c r="G11350" t="s">
        <v>32672</v>
      </c>
      <c r="H11350" t="s">
        <v>12635</v>
      </c>
      <c r="I11350" t="s">
        <v>32701</v>
      </c>
      <c r="J11350" t="s">
        <v>39533</v>
      </c>
      <c r="K11350" t="s">
        <v>42281</v>
      </c>
      <c r="M11350" t="s">
        <v>45370</v>
      </c>
      <c r="N11350" t="s">
        <v>46569</v>
      </c>
      <c r="O11350" t="s">
        <v>46570</v>
      </c>
      <c r="P11350">
        <v>0</v>
      </c>
      <c r="Q11350">
        <v>1</v>
      </c>
      <c r="R11350" t="s">
        <v>46579</v>
      </c>
      <c r="S11350" t="s">
        <v>46919</v>
      </c>
      <c r="T11350" t="s">
        <v>48467</v>
      </c>
      <c r="U11350" t="s">
        <v>57893</v>
      </c>
      <c r="V11350" t="s">
        <v>62848</v>
      </c>
      <c r="W11350" t="s">
        <v>45370</v>
      </c>
      <c r="X11350" t="s">
        <v>46580</v>
      </c>
    </row>
    <row r="11351" spans="1:24">
      <c r="A11351">
        <f>HYPERLINK("https://www.philgeps.gov.ph/GEPSNONPILOT/Tender/SplashBidNoticeAbstractUI.aspx?menuIndex=3&amp;refID=7048046&amp;Result=3","7048046")</f>
        <v>0</v>
      </c>
      <c r="B11351" t="s">
        <v>902</v>
      </c>
      <c r="C11351" t="s">
        <v>14291</v>
      </c>
      <c r="D11351" t="s">
        <v>18785</v>
      </c>
      <c r="E11351" t="s">
        <v>28672</v>
      </c>
      <c r="F11351" t="s">
        <v>32664</v>
      </c>
      <c r="G11351" t="s">
        <v>32672</v>
      </c>
      <c r="H11351" t="s">
        <v>32683</v>
      </c>
      <c r="I11351" t="s">
        <v>10627</v>
      </c>
      <c r="J11351" t="s">
        <v>32837</v>
      </c>
      <c r="K11351" t="s">
        <v>42281</v>
      </c>
      <c r="M11351" t="s">
        <v>43506</v>
      </c>
      <c r="N11351" t="s">
        <v>46569</v>
      </c>
      <c r="O11351" t="s">
        <v>46570</v>
      </c>
      <c r="P11351">
        <v>0</v>
      </c>
      <c r="Q11351">
        <v>0</v>
      </c>
      <c r="R11351" t="s">
        <v>46579</v>
      </c>
      <c r="S11351" t="s">
        <v>46919</v>
      </c>
      <c r="T11351" t="s">
        <v>48212</v>
      </c>
      <c r="U11351" t="s">
        <v>57894</v>
      </c>
      <c r="W11351" t="s">
        <v>63494</v>
      </c>
      <c r="X11351" t="s">
        <v>46580</v>
      </c>
    </row>
    <row r="11352" spans="1:24">
      <c r="A11352">
        <f>HYPERLINK("https://www.philgeps.gov.ph/GEPSNONPILOT/Tender/SplashBidNoticeAbstractUI.aspx?menuIndex=3&amp;refID=7048085&amp;Result=3","7048085")</f>
        <v>0</v>
      </c>
      <c r="B11352" t="s">
        <v>3045</v>
      </c>
      <c r="C11352" t="s">
        <v>14292</v>
      </c>
      <c r="D11352" t="s">
        <v>18805</v>
      </c>
      <c r="E11352" t="s">
        <v>23397</v>
      </c>
      <c r="F11352" t="s">
        <v>32664</v>
      </c>
      <c r="G11352" t="s">
        <v>32672</v>
      </c>
      <c r="H11352" t="s">
        <v>12635</v>
      </c>
      <c r="I11352" t="s">
        <v>6168</v>
      </c>
      <c r="J11352" t="s">
        <v>39534</v>
      </c>
      <c r="K11352" t="s">
        <v>42309</v>
      </c>
      <c r="M11352" t="s">
        <v>45918</v>
      </c>
      <c r="N11352" t="s">
        <v>46569</v>
      </c>
      <c r="O11352" t="s">
        <v>46570</v>
      </c>
      <c r="P11352">
        <v>0</v>
      </c>
      <c r="Q11352">
        <v>0</v>
      </c>
      <c r="R11352" t="s">
        <v>46579</v>
      </c>
      <c r="S11352" t="s">
        <v>46919</v>
      </c>
      <c r="T11352" t="s">
        <v>48302</v>
      </c>
      <c r="U11352" t="s">
        <v>57895</v>
      </c>
      <c r="W11352" t="s">
        <v>45918</v>
      </c>
      <c r="X11352" t="s">
        <v>46580</v>
      </c>
    </row>
    <row r="11353" spans="1:24">
      <c r="A11353">
        <f>HYPERLINK("https://www.philgeps.gov.ph/GEPSNONPILOT/Tender/SplashBidNoticeAbstractUI.aspx?menuIndex=3&amp;refID=7048033&amp;Result=3","7048033")</f>
        <v>0</v>
      </c>
      <c r="B11353" t="s">
        <v>304</v>
      </c>
      <c r="C11353" t="s">
        <v>14293</v>
      </c>
      <c r="D11353" t="s">
        <v>18792</v>
      </c>
      <c r="E11353" t="s">
        <v>19460</v>
      </c>
      <c r="F11353" t="s">
        <v>32664</v>
      </c>
      <c r="G11353" t="s">
        <v>32672</v>
      </c>
      <c r="H11353" t="s">
        <v>12635</v>
      </c>
      <c r="I11353" t="s">
        <v>8730</v>
      </c>
      <c r="J11353" t="s">
        <v>39535</v>
      </c>
      <c r="K11353" t="s">
        <v>42297</v>
      </c>
      <c r="L11353" t="s">
        <v>304</v>
      </c>
      <c r="M11353" t="s">
        <v>42871</v>
      </c>
      <c r="N11353" t="s">
        <v>46569</v>
      </c>
      <c r="O11353" t="s">
        <v>46570</v>
      </c>
      <c r="P11353">
        <v>0</v>
      </c>
      <c r="Q11353">
        <v>1</v>
      </c>
      <c r="R11353" t="s">
        <v>46579</v>
      </c>
      <c r="S11353" t="s">
        <v>46919</v>
      </c>
      <c r="T11353" t="s">
        <v>48283</v>
      </c>
      <c r="U11353" t="s">
        <v>57896</v>
      </c>
      <c r="W11353" t="s">
        <v>42871</v>
      </c>
      <c r="X11353" t="s">
        <v>46580</v>
      </c>
    </row>
    <row r="11354" spans="1:24">
      <c r="A11354">
        <f>HYPERLINK("https://www.philgeps.gov.ph/GEPSNONPILOT/Tender/SplashBidNoticeAbstractUI.aspx?menuIndex=3&amp;refID=7047951&amp;Result=3","7047951")</f>
        <v>0</v>
      </c>
      <c r="B11354" t="s">
        <v>3046</v>
      </c>
      <c r="C11354" t="s">
        <v>14294</v>
      </c>
      <c r="D11354" t="s">
        <v>18786</v>
      </c>
      <c r="E11354" t="s">
        <v>19137</v>
      </c>
      <c r="F11354" t="s">
        <v>32664</v>
      </c>
      <c r="G11354" t="s">
        <v>32672</v>
      </c>
      <c r="H11354" t="s">
        <v>12635</v>
      </c>
      <c r="I11354" t="s">
        <v>4439</v>
      </c>
      <c r="J11354" t="s">
        <v>37103</v>
      </c>
      <c r="K11354" t="s">
        <v>42281</v>
      </c>
      <c r="L11354" t="s">
        <v>3046</v>
      </c>
      <c r="M11354" t="s">
        <v>45919</v>
      </c>
      <c r="N11354" t="s">
        <v>46569</v>
      </c>
      <c r="O11354" t="s">
        <v>46570</v>
      </c>
      <c r="P11354">
        <v>0</v>
      </c>
      <c r="Q11354">
        <v>0</v>
      </c>
      <c r="R11354" t="s">
        <v>46579</v>
      </c>
      <c r="S11354" t="s">
        <v>46919</v>
      </c>
      <c r="T11354" t="s">
        <v>48254</v>
      </c>
      <c r="U11354" t="s">
        <v>57897</v>
      </c>
      <c r="W11354" t="s">
        <v>45919</v>
      </c>
      <c r="X11354" t="s">
        <v>46580</v>
      </c>
    </row>
    <row r="11355" spans="1:24">
      <c r="A11355">
        <f>HYPERLINK("https://www.philgeps.gov.ph/GEPSNONPILOT/Tender/SplashBidNoticeAbstractUI.aspx?menuIndex=3&amp;refID=7048017&amp;Result=3","7048017")</f>
        <v>0</v>
      </c>
      <c r="B11355" t="s">
        <v>83</v>
      </c>
      <c r="C11355" t="s">
        <v>14295</v>
      </c>
      <c r="D11355" t="s">
        <v>18784</v>
      </c>
      <c r="E11355" t="s">
        <v>28673</v>
      </c>
      <c r="F11355" t="s">
        <v>32664</v>
      </c>
      <c r="G11355" t="s">
        <v>32672</v>
      </c>
      <c r="H11355" t="s">
        <v>12635</v>
      </c>
      <c r="I11355" t="s">
        <v>5589</v>
      </c>
      <c r="J11355" t="s">
        <v>39536</v>
      </c>
      <c r="K11355" t="s">
        <v>42283</v>
      </c>
      <c r="M11355" t="s">
        <v>45058</v>
      </c>
      <c r="N11355" t="s">
        <v>46569</v>
      </c>
      <c r="O11355" t="s">
        <v>46570</v>
      </c>
      <c r="P11355">
        <v>0</v>
      </c>
      <c r="Q11355">
        <v>32</v>
      </c>
      <c r="R11355" t="s">
        <v>46579</v>
      </c>
      <c r="S11355" t="s">
        <v>46919</v>
      </c>
      <c r="T11355" t="s">
        <v>48682</v>
      </c>
      <c r="U11355" t="s">
        <v>57898</v>
      </c>
      <c r="W11355" t="s">
        <v>45058</v>
      </c>
      <c r="X11355" t="s">
        <v>46580</v>
      </c>
    </row>
    <row r="11356" spans="1:24">
      <c r="A11356">
        <f>HYPERLINK("https://www.philgeps.gov.ph/GEPSNONPILOT/Tender/SplashBidNoticeAbstractUI.aspx?menuIndex=3&amp;refID=7048081&amp;Result=3","7048081")</f>
        <v>0</v>
      </c>
      <c r="B11356" t="s">
        <v>2739</v>
      </c>
      <c r="C11356" t="s">
        <v>14296</v>
      </c>
      <c r="E11356" t="s">
        <v>28674</v>
      </c>
      <c r="F11356" t="s">
        <v>32664</v>
      </c>
      <c r="G11356" t="s">
        <v>32671</v>
      </c>
      <c r="H11356" t="s">
        <v>12635</v>
      </c>
      <c r="I11356" t="s">
        <v>32752</v>
      </c>
      <c r="J11356" t="s">
        <v>39537</v>
      </c>
      <c r="K11356" t="s">
        <v>42283</v>
      </c>
      <c r="M11356" t="s">
        <v>45573</v>
      </c>
      <c r="N11356" t="s">
        <v>46569</v>
      </c>
      <c r="O11356" t="s">
        <v>46570</v>
      </c>
      <c r="P11356">
        <v>0</v>
      </c>
      <c r="Q11356">
        <v>0</v>
      </c>
      <c r="R11356" t="s">
        <v>46579</v>
      </c>
      <c r="S11356" t="s">
        <v>46919</v>
      </c>
      <c r="T11356" t="s">
        <v>48383</v>
      </c>
      <c r="U11356" t="s">
        <v>57899</v>
      </c>
      <c r="V11356" t="s">
        <v>62849</v>
      </c>
      <c r="W11356" t="s">
        <v>45573</v>
      </c>
      <c r="X11356" t="s">
        <v>46580</v>
      </c>
    </row>
    <row r="11357" spans="1:24">
      <c r="A11357">
        <f>HYPERLINK("https://www.philgeps.gov.ph/GEPSNONPILOT/Tender/SplashBidNoticeAbstractUI.aspx?menuIndex=3&amp;refID=7048226&amp;Result=3","7048226")</f>
        <v>0</v>
      </c>
      <c r="B11357" t="s">
        <v>2278</v>
      </c>
      <c r="C11357" t="s">
        <v>14297</v>
      </c>
      <c r="D11357" t="s">
        <v>18788</v>
      </c>
      <c r="E11357" t="s">
        <v>28675</v>
      </c>
      <c r="F11357" t="s">
        <v>32664</v>
      </c>
      <c r="G11357" t="s">
        <v>32672</v>
      </c>
      <c r="H11357" t="s">
        <v>32683</v>
      </c>
      <c r="I11357" t="s">
        <v>10627</v>
      </c>
      <c r="J11357" t="s">
        <v>33951</v>
      </c>
      <c r="K11357" t="s">
        <v>42283</v>
      </c>
      <c r="M11357" t="s">
        <v>45045</v>
      </c>
      <c r="N11357" t="s">
        <v>46569</v>
      </c>
      <c r="O11357" t="s">
        <v>46570</v>
      </c>
      <c r="P11357">
        <v>0</v>
      </c>
      <c r="Q11357">
        <v>1</v>
      </c>
      <c r="R11357" t="s">
        <v>46579</v>
      </c>
      <c r="S11357" t="s">
        <v>46919</v>
      </c>
      <c r="T11357" t="s">
        <v>48657</v>
      </c>
      <c r="U11357" t="s">
        <v>57900</v>
      </c>
      <c r="W11357" t="s">
        <v>45045</v>
      </c>
      <c r="X11357" t="s">
        <v>46580</v>
      </c>
    </row>
    <row r="11358" spans="1:24">
      <c r="A11358">
        <f>HYPERLINK("https://www.philgeps.gov.ph/GEPSNONPILOT/Tender/SplashBidNoticeAbstractUI.aspx?menuIndex=3&amp;refID=7048231&amp;Result=3","7048231")</f>
        <v>0</v>
      </c>
      <c r="B11358" t="s">
        <v>1442</v>
      </c>
      <c r="C11358" t="s">
        <v>14298</v>
      </c>
      <c r="E11358" t="s">
        <v>28676</v>
      </c>
      <c r="F11358" t="s">
        <v>32664</v>
      </c>
      <c r="G11358" t="s">
        <v>32672</v>
      </c>
      <c r="H11358" t="s">
        <v>32683</v>
      </c>
      <c r="I11358" t="s">
        <v>10627</v>
      </c>
      <c r="J11358" t="s">
        <v>34635</v>
      </c>
      <c r="K11358" t="s">
        <v>42285</v>
      </c>
      <c r="M11358" t="s">
        <v>45920</v>
      </c>
      <c r="N11358" t="s">
        <v>46569</v>
      </c>
      <c r="O11358" t="s">
        <v>46570</v>
      </c>
      <c r="P11358">
        <v>0</v>
      </c>
      <c r="Q11358">
        <v>0</v>
      </c>
      <c r="R11358" t="s">
        <v>46579</v>
      </c>
      <c r="S11358" t="s">
        <v>46919</v>
      </c>
      <c r="T11358" t="s">
        <v>48467</v>
      </c>
      <c r="U11358" t="s">
        <v>56481</v>
      </c>
      <c r="W11358" t="s">
        <v>45920</v>
      </c>
      <c r="X11358" t="s">
        <v>46580</v>
      </c>
    </row>
    <row r="11359" spans="1:24">
      <c r="A11359">
        <f>HYPERLINK("https://www.philgeps.gov.ph/GEPSNONPILOT/Tender/SplashBidNoticeAbstractUI.aspx?menuIndex=3&amp;refID=7048208&amp;Result=3","7048208")</f>
        <v>0</v>
      </c>
      <c r="B11359" t="s">
        <v>3047</v>
      </c>
      <c r="C11359" t="s">
        <v>14299</v>
      </c>
      <c r="D11359" t="s">
        <v>18786</v>
      </c>
      <c r="E11359" t="s">
        <v>28677</v>
      </c>
      <c r="F11359" t="s">
        <v>32664</v>
      </c>
      <c r="G11359" t="s">
        <v>32672</v>
      </c>
      <c r="H11359" t="s">
        <v>12635</v>
      </c>
      <c r="I11359" t="s">
        <v>4439</v>
      </c>
      <c r="J11359" t="s">
        <v>39538</v>
      </c>
      <c r="K11359" t="s">
        <v>42281</v>
      </c>
      <c r="M11359" t="s">
        <v>45921</v>
      </c>
      <c r="N11359" t="s">
        <v>46569</v>
      </c>
      <c r="O11359" t="s">
        <v>46570</v>
      </c>
      <c r="P11359">
        <v>0</v>
      </c>
      <c r="Q11359">
        <v>1</v>
      </c>
      <c r="R11359" t="s">
        <v>46579</v>
      </c>
      <c r="S11359" t="s">
        <v>46919</v>
      </c>
      <c r="T11359" t="s">
        <v>48219</v>
      </c>
      <c r="U11359" t="s">
        <v>57901</v>
      </c>
      <c r="V11359" t="s">
        <v>62850</v>
      </c>
      <c r="W11359" t="s">
        <v>45921</v>
      </c>
      <c r="X11359" t="s">
        <v>46580</v>
      </c>
    </row>
    <row r="11360" spans="1:24">
      <c r="A11360">
        <f>HYPERLINK("https://www.philgeps.gov.ph/GEPSNONPILOT/Tender/SplashBidNoticeAbstractUI.aspx?menuIndex=3&amp;refID=7048205&amp;Result=3","7048205")</f>
        <v>0</v>
      </c>
      <c r="B11360" t="s">
        <v>3048</v>
      </c>
      <c r="C11360" t="s">
        <v>14300</v>
      </c>
      <c r="D11360" t="s">
        <v>18824</v>
      </c>
      <c r="E11360" t="s">
        <v>19380</v>
      </c>
      <c r="F11360" t="s">
        <v>32664</v>
      </c>
      <c r="G11360" t="s">
        <v>32672</v>
      </c>
      <c r="H11360" t="s">
        <v>12635</v>
      </c>
      <c r="I11360" t="s">
        <v>32706</v>
      </c>
      <c r="J11360" t="s">
        <v>39539</v>
      </c>
      <c r="K11360" t="s">
        <v>42289</v>
      </c>
      <c r="M11360" t="s">
        <v>45922</v>
      </c>
      <c r="N11360" t="s">
        <v>46569</v>
      </c>
      <c r="O11360" t="s">
        <v>46570</v>
      </c>
      <c r="P11360">
        <v>0</v>
      </c>
      <c r="Q11360">
        <v>0</v>
      </c>
      <c r="R11360" t="s">
        <v>46579</v>
      </c>
      <c r="S11360" t="s">
        <v>46919</v>
      </c>
      <c r="T11360" t="s">
        <v>48534</v>
      </c>
      <c r="U11360" t="s">
        <v>57902</v>
      </c>
      <c r="W11360" t="s">
        <v>45922</v>
      </c>
      <c r="X11360" t="s">
        <v>46580</v>
      </c>
    </row>
    <row r="11361" spans="1:24">
      <c r="A11361">
        <f>HYPERLINK("https://www.philgeps.gov.ph/GEPSNONPILOT/Tender/SplashBidNoticeAbstractUI.aspx?menuIndex=3&amp;refID=7052139&amp;Result=3","7052139")</f>
        <v>0</v>
      </c>
      <c r="B11361" t="s">
        <v>849</v>
      </c>
      <c r="C11361" t="s">
        <v>14301</v>
      </c>
      <c r="D11361" t="s">
        <v>18836</v>
      </c>
      <c r="E11361" t="s">
        <v>28678</v>
      </c>
      <c r="F11361" t="s">
        <v>32664</v>
      </c>
      <c r="G11361" t="s">
        <v>32672</v>
      </c>
      <c r="H11361" t="s">
        <v>12635</v>
      </c>
      <c r="I11361" t="s">
        <v>32727</v>
      </c>
      <c r="J11361" t="s">
        <v>37576</v>
      </c>
      <c r="K11361" t="s">
        <v>42281</v>
      </c>
      <c r="M11361" t="s">
        <v>43445</v>
      </c>
      <c r="N11361" t="s">
        <v>46569</v>
      </c>
      <c r="O11361" t="s">
        <v>46570</v>
      </c>
      <c r="P11361">
        <v>0</v>
      </c>
      <c r="Q11361">
        <v>3</v>
      </c>
      <c r="R11361" t="s">
        <v>46578</v>
      </c>
      <c r="S11361" t="s">
        <v>46874</v>
      </c>
      <c r="T11361" t="s">
        <v>48402</v>
      </c>
      <c r="U11361" t="s">
        <v>57903</v>
      </c>
      <c r="V11361" t="s">
        <v>62851</v>
      </c>
      <c r="W11361" t="s">
        <v>63491</v>
      </c>
      <c r="X11361" t="s">
        <v>46579</v>
      </c>
    </row>
    <row r="11362" spans="1:24">
      <c r="A11362">
        <f>HYPERLINK("https://www.philgeps.gov.ph/GEPSNONPILOT/Tender/SplashBidNoticeAbstractUI.aspx?menuIndex=3&amp;refID=7048210&amp;Result=3","7048210")</f>
        <v>0</v>
      </c>
      <c r="B11362" t="s">
        <v>1507</v>
      </c>
      <c r="C11362" t="s">
        <v>14302</v>
      </c>
      <c r="D11362" t="s">
        <v>18789</v>
      </c>
      <c r="E11362" t="s">
        <v>28679</v>
      </c>
      <c r="F11362" t="s">
        <v>32664</v>
      </c>
      <c r="G11362" t="s">
        <v>32672</v>
      </c>
      <c r="H11362" t="s">
        <v>12635</v>
      </c>
      <c r="I11362" t="s">
        <v>4439</v>
      </c>
      <c r="J11362" t="s">
        <v>39540</v>
      </c>
      <c r="K11362" t="s">
        <v>42283</v>
      </c>
      <c r="M11362" t="s">
        <v>44172</v>
      </c>
      <c r="N11362" t="s">
        <v>46569</v>
      </c>
      <c r="O11362" t="s">
        <v>46570</v>
      </c>
      <c r="P11362">
        <v>0</v>
      </c>
      <c r="Q11362">
        <v>1</v>
      </c>
      <c r="R11362" t="s">
        <v>46579</v>
      </c>
      <c r="S11362" t="s">
        <v>46919</v>
      </c>
      <c r="T11362" t="s">
        <v>48212</v>
      </c>
      <c r="U11362" t="s">
        <v>57904</v>
      </c>
      <c r="V11362" t="s">
        <v>62043</v>
      </c>
      <c r="W11362" t="s">
        <v>44172</v>
      </c>
      <c r="X11362" t="s">
        <v>46580</v>
      </c>
    </row>
    <row r="11363" spans="1:24">
      <c r="A11363">
        <f>HYPERLINK("https://www.philgeps.gov.ph/GEPSNONPILOT/Tender/SplashBidNoticeAbstractUI.aspx?menuIndex=3&amp;refID=7048018&amp;Result=3","7048018")</f>
        <v>0</v>
      </c>
      <c r="B11363" t="s">
        <v>2638</v>
      </c>
      <c r="C11363" t="s">
        <v>14303</v>
      </c>
      <c r="D11363" t="s">
        <v>18865</v>
      </c>
      <c r="E11363" t="s">
        <v>28680</v>
      </c>
      <c r="F11363" t="s">
        <v>32664</v>
      </c>
      <c r="G11363" t="s">
        <v>32672</v>
      </c>
      <c r="H11363" t="s">
        <v>12635</v>
      </c>
      <c r="I11363" t="s">
        <v>6223</v>
      </c>
      <c r="J11363" t="s">
        <v>39541</v>
      </c>
      <c r="K11363" t="s">
        <v>42283</v>
      </c>
      <c r="M11363" t="s">
        <v>45458</v>
      </c>
      <c r="N11363" t="s">
        <v>46569</v>
      </c>
      <c r="O11363" t="s">
        <v>46570</v>
      </c>
      <c r="Q11363">
        <v>0</v>
      </c>
      <c r="R11363" t="s">
        <v>46579</v>
      </c>
      <c r="S11363" t="s">
        <v>46935</v>
      </c>
      <c r="T11363" t="s">
        <v>48532</v>
      </c>
      <c r="U11363" t="s">
        <v>57905</v>
      </c>
      <c r="W11363" t="s">
        <v>45458</v>
      </c>
      <c r="X11363" t="s">
        <v>46580</v>
      </c>
    </row>
    <row r="11364" spans="1:24">
      <c r="A11364">
        <f>HYPERLINK("https://www.philgeps.gov.ph/GEPSNONPILOT/Tender/SplashBidNoticeAbstractUI.aspx?menuIndex=3&amp;refID=7048203&amp;Result=3","7048203")</f>
        <v>0</v>
      </c>
      <c r="B11364" t="s">
        <v>3049</v>
      </c>
      <c r="C11364" t="s">
        <v>14304</v>
      </c>
      <c r="E11364" t="s">
        <v>28681</v>
      </c>
      <c r="F11364" t="s">
        <v>32664</v>
      </c>
      <c r="G11364" t="s">
        <v>32672</v>
      </c>
      <c r="H11364" t="s">
        <v>32683</v>
      </c>
      <c r="I11364" t="s">
        <v>10627</v>
      </c>
      <c r="J11364" t="s">
        <v>39542</v>
      </c>
      <c r="K11364" t="s">
        <v>42283</v>
      </c>
      <c r="M11364" t="s">
        <v>45923</v>
      </c>
      <c r="N11364" t="s">
        <v>46569</v>
      </c>
      <c r="O11364" t="s">
        <v>46570</v>
      </c>
      <c r="P11364">
        <v>0</v>
      </c>
      <c r="Q11364">
        <v>0</v>
      </c>
      <c r="R11364" t="s">
        <v>46579</v>
      </c>
      <c r="S11364" t="s">
        <v>46919</v>
      </c>
      <c r="T11364" t="s">
        <v>48469</v>
      </c>
      <c r="U11364" t="s">
        <v>57906</v>
      </c>
      <c r="V11364" t="s">
        <v>62852</v>
      </c>
      <c r="W11364" t="s">
        <v>45923</v>
      </c>
      <c r="X11364" t="s">
        <v>46580</v>
      </c>
    </row>
    <row r="11365" spans="1:24">
      <c r="A11365">
        <f>HYPERLINK("https://www.philgeps.gov.ph/GEPSNONPILOT/Tender/SplashBidNoticeAbstractUI.aspx?menuIndex=3&amp;refID=7048222&amp;Result=3","7048222")</f>
        <v>0</v>
      </c>
      <c r="B11365" t="s">
        <v>1442</v>
      </c>
      <c r="C11365" t="s">
        <v>14305</v>
      </c>
      <c r="E11365" t="s">
        <v>28682</v>
      </c>
      <c r="F11365" t="s">
        <v>32664</v>
      </c>
      <c r="G11365" t="s">
        <v>32672</v>
      </c>
      <c r="H11365" t="s">
        <v>32683</v>
      </c>
      <c r="I11365" t="s">
        <v>10627</v>
      </c>
      <c r="J11365" t="s">
        <v>33886</v>
      </c>
      <c r="K11365" t="s">
        <v>42285</v>
      </c>
      <c r="M11365" t="s">
        <v>45920</v>
      </c>
      <c r="N11365" t="s">
        <v>46569</v>
      </c>
      <c r="O11365" t="s">
        <v>46570</v>
      </c>
      <c r="P11365">
        <v>0</v>
      </c>
      <c r="Q11365">
        <v>1</v>
      </c>
      <c r="R11365" t="s">
        <v>46579</v>
      </c>
      <c r="S11365" t="s">
        <v>46919</v>
      </c>
      <c r="T11365" t="s">
        <v>48467</v>
      </c>
      <c r="U11365" t="s">
        <v>56481</v>
      </c>
      <c r="W11365" t="s">
        <v>45920</v>
      </c>
      <c r="X11365" t="s">
        <v>46580</v>
      </c>
    </row>
    <row r="11366" spans="1:24">
      <c r="A11366">
        <f>HYPERLINK("https://www.philgeps.gov.ph/GEPSNONPILOT/Tender/SplashBidNoticeAbstractUI.aspx?menuIndex=3&amp;refID=7048184&amp;Result=3","7048184")</f>
        <v>0</v>
      </c>
      <c r="B11366" t="s">
        <v>1384</v>
      </c>
      <c r="C11366" t="s">
        <v>14306</v>
      </c>
      <c r="D11366" t="s">
        <v>18784</v>
      </c>
      <c r="E11366" t="s">
        <v>28683</v>
      </c>
      <c r="F11366" t="s">
        <v>32664</v>
      </c>
      <c r="G11366" t="s">
        <v>32672</v>
      </c>
      <c r="H11366" t="s">
        <v>32683</v>
      </c>
      <c r="I11366" t="s">
        <v>10627</v>
      </c>
      <c r="J11366" t="s">
        <v>39543</v>
      </c>
      <c r="K11366" t="s">
        <v>42290</v>
      </c>
      <c r="M11366" t="s">
        <v>44039</v>
      </c>
      <c r="N11366" t="s">
        <v>46569</v>
      </c>
      <c r="O11366" t="s">
        <v>46570</v>
      </c>
      <c r="P11366">
        <v>0</v>
      </c>
      <c r="Q11366">
        <v>9</v>
      </c>
      <c r="R11366" t="s">
        <v>46579</v>
      </c>
      <c r="S11366" t="s">
        <v>46919</v>
      </c>
      <c r="T11366" t="s">
        <v>48487</v>
      </c>
      <c r="U11366" t="s">
        <v>57907</v>
      </c>
      <c r="V11366" t="s">
        <v>62853</v>
      </c>
      <c r="W11366" t="s">
        <v>44039</v>
      </c>
      <c r="X11366" t="s">
        <v>46580</v>
      </c>
    </row>
    <row r="11367" spans="1:24">
      <c r="A11367">
        <f>HYPERLINK("https://www.philgeps.gov.ph/GEPSNONPILOT/Tender/SplashBidNoticeAbstractUI.aspx?menuIndex=3&amp;refID=7048324&amp;Result=3","7048324")</f>
        <v>0</v>
      </c>
      <c r="B11367" t="s">
        <v>1844</v>
      </c>
      <c r="C11367" t="s">
        <v>3912</v>
      </c>
      <c r="D11367" t="s">
        <v>18781</v>
      </c>
      <c r="E11367" t="s">
        <v>25310</v>
      </c>
      <c r="F11367" t="s">
        <v>32664</v>
      </c>
      <c r="G11367" t="s">
        <v>32672</v>
      </c>
      <c r="H11367" t="s">
        <v>12635</v>
      </c>
      <c r="I11367" t="s">
        <v>6168</v>
      </c>
      <c r="J11367" t="s">
        <v>33078</v>
      </c>
      <c r="K11367" t="s">
        <v>42297</v>
      </c>
      <c r="M11367" t="s">
        <v>44552</v>
      </c>
      <c r="N11367" t="s">
        <v>46569</v>
      </c>
      <c r="O11367" t="s">
        <v>46570</v>
      </c>
      <c r="P11367">
        <v>0</v>
      </c>
      <c r="Q11367">
        <v>0</v>
      </c>
      <c r="R11367" t="s">
        <v>46579</v>
      </c>
      <c r="S11367" t="s">
        <v>46919</v>
      </c>
      <c r="T11367" t="s">
        <v>48683</v>
      </c>
      <c r="U11367" t="s">
        <v>57908</v>
      </c>
      <c r="W11367" t="s">
        <v>44552</v>
      </c>
      <c r="X11367" t="s">
        <v>46580</v>
      </c>
    </row>
    <row r="11368" spans="1:24">
      <c r="A11368">
        <f>HYPERLINK("https://www.philgeps.gov.ph/GEPSNONPILOT/Tender/SplashBidNoticeAbstractUI.aspx?menuIndex=3&amp;refID=7048191&amp;Result=3","7048191")</f>
        <v>0</v>
      </c>
      <c r="B11368" t="s">
        <v>3049</v>
      </c>
      <c r="C11368" t="s">
        <v>14307</v>
      </c>
      <c r="E11368" t="s">
        <v>28684</v>
      </c>
      <c r="F11368" t="s">
        <v>32664</v>
      </c>
      <c r="G11368" t="s">
        <v>32672</v>
      </c>
      <c r="H11368" t="s">
        <v>32683</v>
      </c>
      <c r="I11368" t="s">
        <v>10627</v>
      </c>
      <c r="J11368" t="s">
        <v>39544</v>
      </c>
      <c r="K11368" t="s">
        <v>42283</v>
      </c>
      <c r="M11368" t="s">
        <v>45923</v>
      </c>
      <c r="N11368" t="s">
        <v>46569</v>
      </c>
      <c r="O11368" t="s">
        <v>46570</v>
      </c>
      <c r="P11368">
        <v>0</v>
      </c>
      <c r="Q11368">
        <v>0</v>
      </c>
      <c r="R11368" t="s">
        <v>46579</v>
      </c>
      <c r="S11368" t="s">
        <v>46919</v>
      </c>
      <c r="T11368" t="s">
        <v>48469</v>
      </c>
      <c r="U11368" t="s">
        <v>57909</v>
      </c>
      <c r="V11368" t="s">
        <v>62854</v>
      </c>
      <c r="W11368" t="s">
        <v>45923</v>
      </c>
      <c r="X11368" t="s">
        <v>46580</v>
      </c>
    </row>
    <row r="11369" spans="1:24">
      <c r="A11369">
        <f>HYPERLINK("https://www.philgeps.gov.ph/GEPSNONPILOT/Tender/SplashBidNoticeAbstractUI.aspx?menuIndex=3&amp;refID=7048188&amp;Result=3","7048188")</f>
        <v>0</v>
      </c>
      <c r="B11369" t="s">
        <v>3047</v>
      </c>
      <c r="C11369" t="s">
        <v>14308</v>
      </c>
      <c r="D11369" t="s">
        <v>18786</v>
      </c>
      <c r="E11369" t="s">
        <v>28685</v>
      </c>
      <c r="F11369" t="s">
        <v>32664</v>
      </c>
      <c r="G11369" t="s">
        <v>32672</v>
      </c>
      <c r="H11369" t="s">
        <v>12635</v>
      </c>
      <c r="I11369" t="s">
        <v>32704</v>
      </c>
      <c r="J11369" t="s">
        <v>39545</v>
      </c>
      <c r="K11369" t="s">
        <v>42305</v>
      </c>
      <c r="M11369" t="s">
        <v>45921</v>
      </c>
      <c r="N11369" t="s">
        <v>46569</v>
      </c>
      <c r="O11369" t="s">
        <v>46570</v>
      </c>
      <c r="P11369">
        <v>0</v>
      </c>
      <c r="Q11369">
        <v>35</v>
      </c>
      <c r="R11369" t="s">
        <v>46579</v>
      </c>
      <c r="S11369" t="s">
        <v>46919</v>
      </c>
      <c r="T11369" t="s">
        <v>48246</v>
      </c>
      <c r="U11369" t="s">
        <v>57910</v>
      </c>
      <c r="V11369" t="s">
        <v>62855</v>
      </c>
      <c r="W11369" t="s">
        <v>45921</v>
      </c>
      <c r="X11369" t="s">
        <v>46580</v>
      </c>
    </row>
    <row r="11370" spans="1:24">
      <c r="A11370">
        <f>HYPERLINK("https://www.philgeps.gov.ph/GEPSNONPILOT/Tender/SplashBidNoticeAbstractUI.aspx?menuIndex=3&amp;refID=7048012&amp;Result=3","7048012")</f>
        <v>0</v>
      </c>
      <c r="B11370" t="s">
        <v>2717</v>
      </c>
      <c r="C11370" t="s">
        <v>14309</v>
      </c>
      <c r="D11370" t="s">
        <v>18823</v>
      </c>
      <c r="E11370" t="s">
        <v>28686</v>
      </c>
      <c r="F11370" t="s">
        <v>32664</v>
      </c>
      <c r="G11370" t="s">
        <v>32672</v>
      </c>
      <c r="H11370" t="s">
        <v>12635</v>
      </c>
      <c r="I11370" t="s">
        <v>32704</v>
      </c>
      <c r="J11370" t="s">
        <v>34587</v>
      </c>
      <c r="K11370" t="s">
        <v>42283</v>
      </c>
      <c r="M11370" t="s">
        <v>45544</v>
      </c>
      <c r="N11370" t="s">
        <v>46569</v>
      </c>
      <c r="O11370" t="s">
        <v>46570</v>
      </c>
      <c r="P11370">
        <v>0</v>
      </c>
      <c r="Q11370">
        <v>26</v>
      </c>
      <c r="R11370" t="s">
        <v>46579</v>
      </c>
      <c r="S11370" t="s">
        <v>46919</v>
      </c>
      <c r="T11370" t="s">
        <v>48467</v>
      </c>
      <c r="U11370" t="s">
        <v>57890</v>
      </c>
      <c r="W11370" t="s">
        <v>45544</v>
      </c>
      <c r="X11370" t="s">
        <v>46580</v>
      </c>
    </row>
    <row r="11371" spans="1:24">
      <c r="A11371">
        <f>HYPERLINK("https://www.philgeps.gov.ph/GEPSNONPILOT/Tender/SplashBidNoticeAbstractUI.aspx?menuIndex=3&amp;refID=7048197&amp;Result=3","7048197")</f>
        <v>0</v>
      </c>
      <c r="B11371" t="s">
        <v>160</v>
      </c>
      <c r="C11371" t="s">
        <v>14310</v>
      </c>
      <c r="D11371" t="s">
        <v>18806</v>
      </c>
      <c r="E11371" t="s">
        <v>28687</v>
      </c>
      <c r="F11371" t="s">
        <v>32664</v>
      </c>
      <c r="G11371" t="s">
        <v>32672</v>
      </c>
      <c r="H11371" t="s">
        <v>12635</v>
      </c>
      <c r="I11371" t="s">
        <v>11464</v>
      </c>
      <c r="J11371" t="s">
        <v>34862</v>
      </c>
      <c r="K11371" t="s">
        <v>42290</v>
      </c>
      <c r="M11371" t="s">
        <v>42724</v>
      </c>
      <c r="N11371" t="s">
        <v>46569</v>
      </c>
      <c r="O11371" t="s">
        <v>46570</v>
      </c>
      <c r="P11371">
        <v>0</v>
      </c>
      <c r="Q11371">
        <v>2</v>
      </c>
      <c r="R11371" t="s">
        <v>46579</v>
      </c>
      <c r="S11371" t="s">
        <v>46919</v>
      </c>
      <c r="T11371" t="s">
        <v>48468</v>
      </c>
      <c r="U11371" t="s">
        <v>57911</v>
      </c>
      <c r="W11371" t="s">
        <v>42724</v>
      </c>
      <c r="X11371" t="s">
        <v>46580</v>
      </c>
    </row>
    <row r="11372" spans="1:24">
      <c r="A11372">
        <f>HYPERLINK("https://www.philgeps.gov.ph/GEPSNONPILOT/Tender/SplashBidNoticeAbstractUI.aspx?menuIndex=3&amp;refID=7048306&amp;Result=3","7048306")</f>
        <v>0</v>
      </c>
      <c r="B11372" t="s">
        <v>790</v>
      </c>
      <c r="C11372" t="s">
        <v>14311</v>
      </c>
      <c r="D11372" t="s">
        <v>18809</v>
      </c>
      <c r="E11372" t="s">
        <v>28688</v>
      </c>
      <c r="F11372" t="s">
        <v>32664</v>
      </c>
      <c r="G11372" t="s">
        <v>32672</v>
      </c>
      <c r="H11372" t="s">
        <v>32683</v>
      </c>
      <c r="I11372" t="s">
        <v>10627</v>
      </c>
      <c r="J11372" t="s">
        <v>39546</v>
      </c>
      <c r="K11372" t="s">
        <v>42508</v>
      </c>
      <c r="M11372" t="s">
        <v>43382</v>
      </c>
      <c r="N11372" t="s">
        <v>46569</v>
      </c>
      <c r="O11372" t="s">
        <v>46570</v>
      </c>
      <c r="P11372">
        <v>0</v>
      </c>
      <c r="Q11372">
        <v>0</v>
      </c>
      <c r="R11372" t="s">
        <v>46579</v>
      </c>
      <c r="S11372" t="s">
        <v>46919</v>
      </c>
      <c r="T11372" t="s">
        <v>48479</v>
      </c>
      <c r="U11372" t="s">
        <v>57912</v>
      </c>
      <c r="W11372" t="s">
        <v>43382</v>
      </c>
      <c r="X11372" t="s">
        <v>46580</v>
      </c>
    </row>
    <row r="11373" spans="1:24">
      <c r="A11373">
        <f>HYPERLINK("https://www.philgeps.gov.ph/GEPSNONPILOT/Tender/SplashBidNoticeAbstractUI.aspx?menuIndex=3&amp;refID=7048195&amp;Result=3","7048195")</f>
        <v>0</v>
      </c>
      <c r="B11373" t="s">
        <v>1507</v>
      </c>
      <c r="C11373" t="s">
        <v>14312</v>
      </c>
      <c r="D11373" t="s">
        <v>18789</v>
      </c>
      <c r="E11373" t="s">
        <v>28689</v>
      </c>
      <c r="F11373" t="s">
        <v>32664</v>
      </c>
      <c r="G11373" t="s">
        <v>32672</v>
      </c>
      <c r="H11373" t="s">
        <v>12635</v>
      </c>
      <c r="I11373" t="s">
        <v>4439</v>
      </c>
      <c r="J11373" t="s">
        <v>39547</v>
      </c>
      <c r="K11373" t="s">
        <v>42283</v>
      </c>
      <c r="M11373" t="s">
        <v>44172</v>
      </c>
      <c r="N11373" t="s">
        <v>46569</v>
      </c>
      <c r="O11373" t="s">
        <v>46570</v>
      </c>
      <c r="P11373">
        <v>0</v>
      </c>
      <c r="Q11373">
        <v>1</v>
      </c>
      <c r="R11373" t="s">
        <v>46579</v>
      </c>
      <c r="S11373" t="s">
        <v>46919</v>
      </c>
      <c r="T11373" t="s">
        <v>48679</v>
      </c>
      <c r="U11373" t="s">
        <v>57913</v>
      </c>
      <c r="V11373" t="s">
        <v>62043</v>
      </c>
      <c r="W11373" t="s">
        <v>44172</v>
      </c>
      <c r="X11373" t="s">
        <v>46580</v>
      </c>
    </row>
    <row r="11374" spans="1:24">
      <c r="A11374">
        <f>HYPERLINK("https://www.philgeps.gov.ph/GEPSNONPILOT/Tender/SplashBidNoticeAbstractUI.aspx?menuIndex=3&amp;refID=7048305&amp;Result=3","7048305")</f>
        <v>0</v>
      </c>
      <c r="B11374" t="s">
        <v>1244</v>
      </c>
      <c r="C11374" t="s">
        <v>14313</v>
      </c>
      <c r="D11374" t="s">
        <v>18807</v>
      </c>
      <c r="E11374" t="s">
        <v>28690</v>
      </c>
      <c r="F11374" t="s">
        <v>32664</v>
      </c>
      <c r="G11374" t="s">
        <v>32672</v>
      </c>
      <c r="H11374" t="s">
        <v>12635</v>
      </c>
      <c r="I11374" t="s">
        <v>10627</v>
      </c>
      <c r="J11374" t="s">
        <v>39548</v>
      </c>
      <c r="K11374" t="s">
        <v>42298</v>
      </c>
      <c r="M11374" t="s">
        <v>43886</v>
      </c>
      <c r="N11374" t="s">
        <v>46569</v>
      </c>
      <c r="O11374" t="s">
        <v>46570</v>
      </c>
      <c r="P11374">
        <v>0</v>
      </c>
      <c r="Q11374">
        <v>1</v>
      </c>
      <c r="R11374" t="s">
        <v>46579</v>
      </c>
      <c r="S11374" t="s">
        <v>46919</v>
      </c>
      <c r="T11374" t="s">
        <v>48381</v>
      </c>
      <c r="U11374" t="s">
        <v>57914</v>
      </c>
      <c r="W11374" t="s">
        <v>43886</v>
      </c>
      <c r="X11374" t="s">
        <v>46580</v>
      </c>
    </row>
    <row r="11375" spans="1:24">
      <c r="A11375">
        <f>HYPERLINK("https://www.philgeps.gov.ph/GEPSNONPILOT/Tender/SplashBidNoticeAbstractUI.aspx?menuIndex=3&amp;refID=7048289&amp;Result=3","7048289")</f>
        <v>0</v>
      </c>
      <c r="B11375" t="s">
        <v>1543</v>
      </c>
      <c r="C11375" t="s">
        <v>14314</v>
      </c>
      <c r="D11375" t="s">
        <v>18830</v>
      </c>
      <c r="E11375" t="s">
        <v>19822</v>
      </c>
      <c r="F11375" t="s">
        <v>32664</v>
      </c>
      <c r="G11375" t="s">
        <v>32674</v>
      </c>
      <c r="H11375" t="s">
        <v>32682</v>
      </c>
      <c r="I11375" t="s">
        <v>9946</v>
      </c>
      <c r="J11375" t="s">
        <v>39549</v>
      </c>
      <c r="K11375" t="s">
        <v>42334</v>
      </c>
      <c r="M11375" t="s">
        <v>45924</v>
      </c>
      <c r="N11375" t="s">
        <v>46569</v>
      </c>
      <c r="O11375" t="s">
        <v>46570</v>
      </c>
      <c r="P11375">
        <v>0</v>
      </c>
      <c r="Q11375">
        <v>1</v>
      </c>
      <c r="R11375" t="s">
        <v>46579</v>
      </c>
      <c r="S11375" t="s">
        <v>46919</v>
      </c>
      <c r="T11375" t="s">
        <v>48492</v>
      </c>
      <c r="U11375" t="s">
        <v>57915</v>
      </c>
      <c r="W11375" t="s">
        <v>45924</v>
      </c>
      <c r="X11375" t="s">
        <v>46580</v>
      </c>
    </row>
    <row r="11376" spans="1:24">
      <c r="A11376">
        <f>HYPERLINK("https://www.philgeps.gov.ph/GEPSNONPILOT/Tender/SplashBidNoticeAbstractUI.aspx?menuIndex=3&amp;refID=7048315&amp;Result=3","7048315")</f>
        <v>0</v>
      </c>
      <c r="B11376" t="s">
        <v>3050</v>
      </c>
      <c r="C11376" t="s">
        <v>14315</v>
      </c>
      <c r="E11376" t="s">
        <v>28691</v>
      </c>
      <c r="F11376" t="s">
        <v>32664</v>
      </c>
      <c r="G11376" t="s">
        <v>32672</v>
      </c>
      <c r="H11376" t="s">
        <v>32682</v>
      </c>
      <c r="I11376" t="s">
        <v>32752</v>
      </c>
      <c r="J11376" t="s">
        <v>39550</v>
      </c>
      <c r="K11376" t="s">
        <v>42351</v>
      </c>
      <c r="M11376" t="s">
        <v>45925</v>
      </c>
      <c r="N11376" t="s">
        <v>46569</v>
      </c>
      <c r="O11376" t="s">
        <v>46570</v>
      </c>
      <c r="P11376">
        <v>0</v>
      </c>
      <c r="Q11376">
        <v>1</v>
      </c>
      <c r="R11376" t="s">
        <v>46579</v>
      </c>
      <c r="S11376" t="s">
        <v>46919</v>
      </c>
      <c r="T11376" t="s">
        <v>48212</v>
      </c>
      <c r="U11376" t="s">
        <v>57916</v>
      </c>
      <c r="V11376" t="s">
        <v>62856</v>
      </c>
      <c r="W11376" t="s">
        <v>45925</v>
      </c>
      <c r="X11376" t="s">
        <v>46580</v>
      </c>
    </row>
    <row r="11377" spans="1:24">
      <c r="A11377">
        <f>HYPERLINK("https://www.philgeps.gov.ph/GEPSNONPILOT/Tender/SplashBidNoticeAbstractUI.aspx?menuIndex=3&amp;refID=7048321&amp;Result=3","7048321")</f>
        <v>0</v>
      </c>
      <c r="B11377" t="s">
        <v>2467</v>
      </c>
      <c r="C11377" t="s">
        <v>14316</v>
      </c>
      <c r="D11377" t="s">
        <v>18807</v>
      </c>
      <c r="E11377" t="s">
        <v>28692</v>
      </c>
      <c r="F11377" t="s">
        <v>32664</v>
      </c>
      <c r="G11377" t="s">
        <v>32672</v>
      </c>
      <c r="H11377" t="s">
        <v>12635</v>
      </c>
      <c r="I11377" t="s">
        <v>32706</v>
      </c>
      <c r="J11377" t="s">
        <v>39551</v>
      </c>
      <c r="K11377" t="s">
        <v>42311</v>
      </c>
      <c r="L11377" t="s">
        <v>2467</v>
      </c>
      <c r="M11377" t="s">
        <v>45264</v>
      </c>
      <c r="N11377" t="s">
        <v>46569</v>
      </c>
      <c r="O11377" t="s">
        <v>46570</v>
      </c>
      <c r="P11377">
        <v>0</v>
      </c>
      <c r="Q11377">
        <v>0</v>
      </c>
      <c r="R11377" t="s">
        <v>46579</v>
      </c>
      <c r="S11377" t="s">
        <v>46919</v>
      </c>
      <c r="T11377" t="s">
        <v>48228</v>
      </c>
      <c r="U11377" t="s">
        <v>57917</v>
      </c>
      <c r="V11377" t="s">
        <v>62857</v>
      </c>
      <c r="W11377" t="s">
        <v>45264</v>
      </c>
      <c r="X11377" t="s">
        <v>46580</v>
      </c>
    </row>
    <row r="11378" spans="1:24">
      <c r="A11378">
        <f>HYPERLINK("https://www.philgeps.gov.ph/GEPSNONPILOT/Tender/SplashBidNoticeAbstractUI.aspx?menuIndex=3&amp;refID=7048299&amp;Result=3","7048299")</f>
        <v>0</v>
      </c>
      <c r="B11378" t="s">
        <v>1481</v>
      </c>
      <c r="C11378" t="s">
        <v>14317</v>
      </c>
      <c r="D11378" t="s">
        <v>18784</v>
      </c>
      <c r="E11378" t="s">
        <v>28693</v>
      </c>
      <c r="F11378" t="s">
        <v>32664</v>
      </c>
      <c r="G11378" t="s">
        <v>32671</v>
      </c>
      <c r="H11378" t="s">
        <v>12635</v>
      </c>
      <c r="I11378" t="s">
        <v>6223</v>
      </c>
      <c r="J11378" t="s">
        <v>33657</v>
      </c>
      <c r="K11378" t="s">
        <v>42333</v>
      </c>
      <c r="M11378" t="s">
        <v>44144</v>
      </c>
      <c r="N11378" t="s">
        <v>46569</v>
      </c>
      <c r="O11378" t="s">
        <v>46570</v>
      </c>
      <c r="Q11378">
        <v>3</v>
      </c>
      <c r="R11378" t="s">
        <v>46579</v>
      </c>
      <c r="S11378" t="s">
        <v>46936</v>
      </c>
      <c r="T11378" t="s">
        <v>48520</v>
      </c>
      <c r="U11378" t="s">
        <v>57918</v>
      </c>
      <c r="W11378" t="s">
        <v>44144</v>
      </c>
      <c r="X11378" t="s">
        <v>46580</v>
      </c>
    </row>
    <row r="11379" spans="1:24">
      <c r="A11379">
        <f>HYPERLINK("https://www.philgeps.gov.ph/GEPSNONPILOT/Tender/SplashBidNoticeAbstractUI.aspx?menuIndex=3&amp;refID=7048284&amp;Result=3","7048284")</f>
        <v>0</v>
      </c>
      <c r="B11379" t="s">
        <v>1300</v>
      </c>
      <c r="C11379" t="s">
        <v>14318</v>
      </c>
      <c r="D11379" t="s">
        <v>18782</v>
      </c>
      <c r="E11379" t="s">
        <v>28694</v>
      </c>
      <c r="F11379" t="s">
        <v>32664</v>
      </c>
      <c r="G11379" t="s">
        <v>32672</v>
      </c>
      <c r="H11379" t="s">
        <v>12635</v>
      </c>
      <c r="I11379" t="s">
        <v>32686</v>
      </c>
      <c r="J11379" t="s">
        <v>34882</v>
      </c>
      <c r="K11379" t="s">
        <v>42303</v>
      </c>
      <c r="M11379" t="s">
        <v>43944</v>
      </c>
      <c r="N11379" t="s">
        <v>46569</v>
      </c>
      <c r="O11379" t="s">
        <v>46570</v>
      </c>
      <c r="P11379">
        <v>0</v>
      </c>
      <c r="Q11379">
        <v>0</v>
      </c>
      <c r="R11379" t="s">
        <v>46579</v>
      </c>
      <c r="S11379" t="s">
        <v>46919</v>
      </c>
      <c r="T11379" t="s">
        <v>48212</v>
      </c>
      <c r="U11379" t="s">
        <v>57919</v>
      </c>
      <c r="V11379" t="s">
        <v>61960</v>
      </c>
      <c r="W11379" t="s">
        <v>43944</v>
      </c>
      <c r="X11379" t="s">
        <v>46580</v>
      </c>
    </row>
    <row r="11380" spans="1:24">
      <c r="A11380">
        <f>HYPERLINK("https://www.philgeps.gov.ph/GEPSNONPILOT/Tender/SplashBidNoticeAbstractUI.aspx?menuIndex=3&amp;refID=7048274&amp;Result=3","7048274")</f>
        <v>0</v>
      </c>
      <c r="B11380" t="s">
        <v>1191</v>
      </c>
      <c r="C11380" t="s">
        <v>14319</v>
      </c>
      <c r="D11380" t="s">
        <v>18831</v>
      </c>
      <c r="E11380" t="s">
        <v>28695</v>
      </c>
      <c r="F11380" t="s">
        <v>32664</v>
      </c>
      <c r="G11380" t="s">
        <v>32672</v>
      </c>
      <c r="H11380" t="s">
        <v>12635</v>
      </c>
      <c r="I11380" t="s">
        <v>4439</v>
      </c>
      <c r="J11380" t="s">
        <v>39552</v>
      </c>
      <c r="K11380" t="s">
        <v>42289</v>
      </c>
      <c r="M11380" t="s">
        <v>43827</v>
      </c>
      <c r="N11380" t="s">
        <v>46569</v>
      </c>
      <c r="O11380" t="s">
        <v>46570</v>
      </c>
      <c r="P11380">
        <v>0</v>
      </c>
      <c r="Q11380">
        <v>2</v>
      </c>
      <c r="R11380" t="s">
        <v>46579</v>
      </c>
      <c r="S11380" t="s">
        <v>46919</v>
      </c>
      <c r="T11380" t="s">
        <v>48236</v>
      </c>
      <c r="U11380" t="s">
        <v>57920</v>
      </c>
      <c r="W11380" t="s">
        <v>43827</v>
      </c>
      <c r="X11380" t="s">
        <v>46580</v>
      </c>
    </row>
    <row r="11381" spans="1:24">
      <c r="A11381">
        <f>HYPERLINK("https://www.philgeps.gov.ph/GEPSNONPILOT/Tender/SplashBidNoticeAbstractUI.aspx?menuIndex=3&amp;refID=7048266&amp;Result=3","7048266")</f>
        <v>0</v>
      </c>
      <c r="B11381" t="s">
        <v>2882</v>
      </c>
      <c r="C11381" t="s">
        <v>14320</v>
      </c>
      <c r="D11381" t="s">
        <v>18826</v>
      </c>
      <c r="E11381" t="s">
        <v>28696</v>
      </c>
      <c r="F11381" t="s">
        <v>32664</v>
      </c>
      <c r="G11381" t="s">
        <v>32672</v>
      </c>
      <c r="H11381" t="s">
        <v>32683</v>
      </c>
      <c r="I11381" t="s">
        <v>10627</v>
      </c>
      <c r="J11381" t="s">
        <v>32962</v>
      </c>
      <c r="K11381" t="s">
        <v>42313</v>
      </c>
      <c r="L11381" t="s">
        <v>2882</v>
      </c>
      <c r="M11381" t="s">
        <v>45731</v>
      </c>
      <c r="N11381" t="s">
        <v>46569</v>
      </c>
      <c r="O11381" t="s">
        <v>46570</v>
      </c>
      <c r="P11381">
        <v>0</v>
      </c>
      <c r="Q11381">
        <v>70</v>
      </c>
      <c r="R11381" t="s">
        <v>46579</v>
      </c>
      <c r="S11381" t="s">
        <v>46919</v>
      </c>
      <c r="T11381" t="s">
        <v>48381</v>
      </c>
      <c r="U11381" t="s">
        <v>57921</v>
      </c>
      <c r="W11381" t="s">
        <v>45731</v>
      </c>
      <c r="X11381" t="s">
        <v>46580</v>
      </c>
    </row>
    <row r="11382" spans="1:24">
      <c r="A11382">
        <f>HYPERLINK("https://www.philgeps.gov.ph/GEPSNONPILOT/Tender/SplashBidNoticeAbstractUI.aspx?menuIndex=3&amp;refID=7048451&amp;Result=3","7048451")</f>
        <v>0</v>
      </c>
      <c r="B11382" t="s">
        <v>3051</v>
      </c>
      <c r="C11382" t="s">
        <v>4511</v>
      </c>
      <c r="D11382" t="s">
        <v>18813</v>
      </c>
      <c r="E11382" t="s">
        <v>28697</v>
      </c>
      <c r="F11382" t="s">
        <v>32664</v>
      </c>
      <c r="G11382" t="s">
        <v>32672</v>
      </c>
      <c r="H11382" t="s">
        <v>32683</v>
      </c>
      <c r="I11382" t="s">
        <v>10627</v>
      </c>
      <c r="J11382" t="s">
        <v>32837</v>
      </c>
      <c r="K11382" t="s">
        <v>42285</v>
      </c>
      <c r="M11382" t="s">
        <v>45926</v>
      </c>
      <c r="N11382" t="s">
        <v>46569</v>
      </c>
      <c r="O11382" t="s">
        <v>46570</v>
      </c>
      <c r="P11382">
        <v>0</v>
      </c>
      <c r="Q11382">
        <v>1</v>
      </c>
      <c r="R11382" t="s">
        <v>46579</v>
      </c>
      <c r="S11382" t="s">
        <v>46919</v>
      </c>
      <c r="T11382" t="s">
        <v>48657</v>
      </c>
      <c r="U11382" t="s">
        <v>57922</v>
      </c>
      <c r="W11382" t="s">
        <v>45926</v>
      </c>
      <c r="X11382" t="s">
        <v>46580</v>
      </c>
    </row>
    <row r="11383" spans="1:24">
      <c r="A11383">
        <f>HYPERLINK("https://www.philgeps.gov.ph/GEPSNONPILOT/Tender/SplashBidNoticeAbstractUI.aspx?menuIndex=3&amp;refID=7048317&amp;Result=3","7048317")</f>
        <v>0</v>
      </c>
      <c r="B11383" t="s">
        <v>2586</v>
      </c>
      <c r="C11383" t="s">
        <v>14321</v>
      </c>
      <c r="D11383" t="s">
        <v>18796</v>
      </c>
      <c r="E11383" t="s">
        <v>28698</v>
      </c>
      <c r="F11383" t="s">
        <v>32664</v>
      </c>
      <c r="G11383" t="s">
        <v>32672</v>
      </c>
      <c r="H11383" t="s">
        <v>12635</v>
      </c>
      <c r="I11383" t="s">
        <v>11464</v>
      </c>
      <c r="J11383" t="s">
        <v>33001</v>
      </c>
      <c r="K11383" t="s">
        <v>42281</v>
      </c>
      <c r="M11383" t="s">
        <v>45401</v>
      </c>
      <c r="N11383" t="s">
        <v>46569</v>
      </c>
      <c r="O11383" t="s">
        <v>46570</v>
      </c>
      <c r="P11383">
        <v>0</v>
      </c>
      <c r="Q11383">
        <v>4</v>
      </c>
      <c r="R11383" t="s">
        <v>46579</v>
      </c>
      <c r="S11383" t="s">
        <v>46919</v>
      </c>
      <c r="T11383" t="s">
        <v>48479</v>
      </c>
      <c r="U11383" t="s">
        <v>57923</v>
      </c>
      <c r="W11383" t="s">
        <v>45401</v>
      </c>
      <c r="X11383" t="s">
        <v>46580</v>
      </c>
    </row>
    <row r="11384" spans="1:24">
      <c r="A11384">
        <f>HYPERLINK("https://www.philgeps.gov.ph/GEPSNONPILOT/Tender/SplashBidNoticeAbstractUI.aspx?menuIndex=3&amp;refID=7048270&amp;Result=3","7048270")</f>
        <v>0</v>
      </c>
      <c r="B11384" t="s">
        <v>1507</v>
      </c>
      <c r="C11384" t="s">
        <v>14322</v>
      </c>
      <c r="D11384" t="s">
        <v>18789</v>
      </c>
      <c r="E11384" t="s">
        <v>28699</v>
      </c>
      <c r="F11384" t="s">
        <v>32664</v>
      </c>
      <c r="G11384" t="s">
        <v>32672</v>
      </c>
      <c r="H11384" t="s">
        <v>12635</v>
      </c>
      <c r="I11384" t="s">
        <v>8730</v>
      </c>
      <c r="J11384" t="s">
        <v>39553</v>
      </c>
      <c r="K11384" t="s">
        <v>42283</v>
      </c>
      <c r="M11384" t="s">
        <v>44172</v>
      </c>
      <c r="N11384" t="s">
        <v>46569</v>
      </c>
      <c r="O11384" t="s">
        <v>46570</v>
      </c>
      <c r="P11384">
        <v>0</v>
      </c>
      <c r="Q11384">
        <v>2</v>
      </c>
      <c r="R11384" t="s">
        <v>46579</v>
      </c>
      <c r="S11384" t="s">
        <v>46919</v>
      </c>
      <c r="T11384" t="s">
        <v>48212</v>
      </c>
      <c r="U11384" t="s">
        <v>57924</v>
      </c>
      <c r="V11384" t="s">
        <v>62043</v>
      </c>
      <c r="W11384" t="s">
        <v>44172</v>
      </c>
      <c r="X11384" t="s">
        <v>46580</v>
      </c>
    </row>
    <row r="11385" spans="1:24">
      <c r="A11385">
        <f>HYPERLINK("https://www.philgeps.gov.ph/GEPSNONPILOT/Tender/SplashBidNoticeAbstractUI.aspx?menuIndex=3&amp;refID=7048437&amp;Result=3","7048437")</f>
        <v>0</v>
      </c>
      <c r="B11385" t="s">
        <v>3050</v>
      </c>
      <c r="C11385" t="s">
        <v>14323</v>
      </c>
      <c r="E11385" t="s">
        <v>28691</v>
      </c>
      <c r="F11385" t="s">
        <v>32664</v>
      </c>
      <c r="G11385" t="s">
        <v>32672</v>
      </c>
      <c r="H11385" t="s">
        <v>32682</v>
      </c>
      <c r="I11385" t="s">
        <v>32752</v>
      </c>
      <c r="J11385" t="s">
        <v>39554</v>
      </c>
      <c r="K11385" t="s">
        <v>42351</v>
      </c>
      <c r="M11385" t="s">
        <v>45925</v>
      </c>
      <c r="N11385" t="s">
        <v>46569</v>
      </c>
      <c r="O11385" t="s">
        <v>46570</v>
      </c>
      <c r="P11385">
        <v>0</v>
      </c>
      <c r="Q11385">
        <v>0</v>
      </c>
      <c r="R11385" t="s">
        <v>46579</v>
      </c>
      <c r="S11385" t="s">
        <v>46919</v>
      </c>
      <c r="T11385" t="s">
        <v>48212</v>
      </c>
      <c r="U11385" t="s">
        <v>57916</v>
      </c>
      <c r="V11385" t="s">
        <v>62858</v>
      </c>
      <c r="W11385" t="s">
        <v>45925</v>
      </c>
      <c r="X11385" t="s">
        <v>46580</v>
      </c>
    </row>
    <row r="11386" spans="1:24">
      <c r="A11386">
        <f>HYPERLINK("https://www.philgeps.gov.ph/GEPSNONPILOT/Tender/SplashBidNoticeAbstractUI.aspx?menuIndex=3&amp;refID=7048425&amp;Result=3","7048425")</f>
        <v>0</v>
      </c>
      <c r="B11386" t="s">
        <v>160</v>
      </c>
      <c r="C11386" t="s">
        <v>14324</v>
      </c>
      <c r="D11386" t="s">
        <v>18806</v>
      </c>
      <c r="E11386" t="s">
        <v>28700</v>
      </c>
      <c r="F11386" t="s">
        <v>32664</v>
      </c>
      <c r="G11386" t="s">
        <v>32672</v>
      </c>
      <c r="H11386" t="s">
        <v>12635</v>
      </c>
      <c r="I11386" t="s">
        <v>32696</v>
      </c>
      <c r="J11386" t="s">
        <v>32859</v>
      </c>
      <c r="K11386" t="s">
        <v>42305</v>
      </c>
      <c r="M11386" t="s">
        <v>42724</v>
      </c>
      <c r="N11386" t="s">
        <v>46569</v>
      </c>
      <c r="O11386" t="s">
        <v>46570</v>
      </c>
      <c r="P11386">
        <v>0</v>
      </c>
      <c r="Q11386">
        <v>2</v>
      </c>
      <c r="R11386" t="s">
        <v>46579</v>
      </c>
      <c r="S11386" t="s">
        <v>46919</v>
      </c>
      <c r="T11386" t="s">
        <v>48293</v>
      </c>
      <c r="U11386" t="s">
        <v>57925</v>
      </c>
      <c r="W11386" t="s">
        <v>42724</v>
      </c>
      <c r="X11386" t="s">
        <v>46580</v>
      </c>
    </row>
    <row r="11387" spans="1:24">
      <c r="A11387">
        <f>HYPERLINK("https://www.philgeps.gov.ph/GEPSNONPILOT/Tender/SplashBidNoticeAbstractUI.aspx?menuIndex=3&amp;refID=7048446&amp;Result=3","7048446")</f>
        <v>0</v>
      </c>
      <c r="B11387" t="s">
        <v>2882</v>
      </c>
      <c r="C11387" t="s">
        <v>14325</v>
      </c>
      <c r="D11387" t="s">
        <v>18826</v>
      </c>
      <c r="E11387" t="s">
        <v>28701</v>
      </c>
      <c r="F11387" t="s">
        <v>32664</v>
      </c>
      <c r="G11387" t="s">
        <v>32672</v>
      </c>
      <c r="H11387" t="s">
        <v>32683</v>
      </c>
      <c r="I11387" t="s">
        <v>10627</v>
      </c>
      <c r="J11387" t="s">
        <v>32962</v>
      </c>
      <c r="K11387" t="s">
        <v>42313</v>
      </c>
      <c r="L11387" t="s">
        <v>2882</v>
      </c>
      <c r="M11387" t="s">
        <v>45731</v>
      </c>
      <c r="N11387" t="s">
        <v>46569</v>
      </c>
      <c r="O11387" t="s">
        <v>46570</v>
      </c>
      <c r="P11387">
        <v>0</v>
      </c>
      <c r="Q11387">
        <v>65</v>
      </c>
      <c r="R11387" t="s">
        <v>46579</v>
      </c>
      <c r="S11387" t="s">
        <v>46919</v>
      </c>
      <c r="T11387" t="s">
        <v>48238</v>
      </c>
      <c r="U11387" t="s">
        <v>57926</v>
      </c>
      <c r="W11387" t="s">
        <v>45731</v>
      </c>
      <c r="X11387" t="s">
        <v>46580</v>
      </c>
    </row>
    <row r="11388" spans="1:24">
      <c r="A11388">
        <f>HYPERLINK("https://www.philgeps.gov.ph/GEPSNONPILOT/Tender/SplashBidNoticeAbstractUI.aspx?menuIndex=3&amp;refID=7048285&amp;Result=3","7048285")</f>
        <v>0</v>
      </c>
      <c r="B11388" t="s">
        <v>184</v>
      </c>
      <c r="C11388" t="s">
        <v>14326</v>
      </c>
      <c r="D11388" t="s">
        <v>18825</v>
      </c>
      <c r="E11388" t="s">
        <v>28702</v>
      </c>
      <c r="F11388" t="s">
        <v>32664</v>
      </c>
      <c r="G11388" t="s">
        <v>32672</v>
      </c>
      <c r="H11388" t="s">
        <v>12635</v>
      </c>
      <c r="I11388" t="s">
        <v>32685</v>
      </c>
      <c r="J11388" t="s">
        <v>39555</v>
      </c>
      <c r="K11388" t="s">
        <v>42284</v>
      </c>
      <c r="M11388" t="s">
        <v>42884</v>
      </c>
      <c r="N11388" t="s">
        <v>46569</v>
      </c>
      <c r="O11388" t="s">
        <v>46570</v>
      </c>
      <c r="P11388">
        <v>0</v>
      </c>
      <c r="Q11388">
        <v>3</v>
      </c>
      <c r="R11388" t="s">
        <v>46579</v>
      </c>
      <c r="S11388" t="s">
        <v>46919</v>
      </c>
      <c r="T11388" t="s">
        <v>48238</v>
      </c>
      <c r="U11388" t="s">
        <v>57802</v>
      </c>
      <c r="W11388" t="s">
        <v>42884</v>
      </c>
      <c r="X11388" t="s">
        <v>46580</v>
      </c>
    </row>
    <row r="11389" spans="1:24">
      <c r="A11389">
        <f>HYPERLINK("https://www.philgeps.gov.ph/GEPSNONPILOT/Tender/SplashBidNoticeAbstractUI.aspx?menuIndex=3&amp;refID=7048415&amp;Result=3","7048415")</f>
        <v>0</v>
      </c>
      <c r="B11389" t="s">
        <v>3052</v>
      </c>
      <c r="C11389" t="s">
        <v>14327</v>
      </c>
      <c r="E11389" t="s">
        <v>20272</v>
      </c>
      <c r="F11389" t="s">
        <v>32666</v>
      </c>
      <c r="G11389" t="s">
        <v>32672</v>
      </c>
      <c r="H11389" t="s">
        <v>12635</v>
      </c>
      <c r="I11389" t="s">
        <v>4439</v>
      </c>
      <c r="J11389" t="s">
        <v>39556</v>
      </c>
      <c r="K11389" t="s">
        <v>42283</v>
      </c>
      <c r="M11389" t="s">
        <v>45927</v>
      </c>
      <c r="N11389" t="s">
        <v>46569</v>
      </c>
      <c r="O11389" t="s">
        <v>46570</v>
      </c>
      <c r="P11389">
        <v>0</v>
      </c>
      <c r="Q11389">
        <v>1</v>
      </c>
      <c r="R11389" t="s">
        <v>46579</v>
      </c>
      <c r="S11389" t="s">
        <v>46919</v>
      </c>
      <c r="T11389" t="s">
        <v>48264</v>
      </c>
      <c r="U11389" t="s">
        <v>50059</v>
      </c>
      <c r="W11389" t="s">
        <v>45927</v>
      </c>
      <c r="X11389" t="s">
        <v>46580</v>
      </c>
    </row>
    <row r="11390" spans="1:24">
      <c r="A11390">
        <f>HYPERLINK("https://www.philgeps.gov.ph/GEPSNONPILOT/Tender/SplashBidNoticeAbstractUI.aspx?menuIndex=3&amp;refID=7048280&amp;Result=3","7048280")</f>
        <v>0</v>
      </c>
      <c r="B11390" t="s">
        <v>3053</v>
      </c>
      <c r="C11390" t="s">
        <v>14328</v>
      </c>
      <c r="D11390" t="s">
        <v>18793</v>
      </c>
      <c r="E11390" t="s">
        <v>25612</v>
      </c>
      <c r="F11390" t="s">
        <v>32664</v>
      </c>
      <c r="G11390" t="s">
        <v>32672</v>
      </c>
      <c r="H11390" t="s">
        <v>32683</v>
      </c>
      <c r="I11390" t="s">
        <v>10627</v>
      </c>
      <c r="J11390" t="s">
        <v>33320</v>
      </c>
      <c r="K11390" t="s">
        <v>42290</v>
      </c>
      <c r="M11390" t="s">
        <v>45928</v>
      </c>
      <c r="N11390" t="s">
        <v>46569</v>
      </c>
      <c r="O11390" t="s">
        <v>46570</v>
      </c>
      <c r="P11390">
        <v>0</v>
      </c>
      <c r="Q11390">
        <v>1</v>
      </c>
      <c r="R11390" t="s">
        <v>46579</v>
      </c>
      <c r="S11390" t="s">
        <v>46919</v>
      </c>
      <c r="T11390" t="s">
        <v>48215</v>
      </c>
      <c r="U11390" t="s">
        <v>57927</v>
      </c>
      <c r="W11390" t="s">
        <v>45928</v>
      </c>
      <c r="X11390" t="s">
        <v>46580</v>
      </c>
    </row>
    <row r="11391" spans="1:24">
      <c r="A11391">
        <f>HYPERLINK("https://www.philgeps.gov.ph/GEPSNONPILOT/Tender/SplashBidNoticeAbstractUI.aspx?menuIndex=3&amp;refID=7048396&amp;Result=3","7048396")</f>
        <v>0</v>
      </c>
      <c r="B11391" t="s">
        <v>3054</v>
      </c>
      <c r="C11391" t="s">
        <v>14329</v>
      </c>
      <c r="D11391" t="s">
        <v>18823</v>
      </c>
      <c r="E11391" t="s">
        <v>19193</v>
      </c>
      <c r="F11391" t="s">
        <v>32664</v>
      </c>
      <c r="G11391" t="s">
        <v>32672</v>
      </c>
      <c r="H11391" t="s">
        <v>12635</v>
      </c>
      <c r="I11391" t="s">
        <v>6223</v>
      </c>
      <c r="J11391" t="s">
        <v>39557</v>
      </c>
      <c r="K11391" t="s">
        <v>42281</v>
      </c>
      <c r="M11391" t="s">
        <v>45929</v>
      </c>
      <c r="N11391" t="s">
        <v>46569</v>
      </c>
      <c r="O11391" t="s">
        <v>46570</v>
      </c>
      <c r="P11391">
        <v>0</v>
      </c>
      <c r="Q11391">
        <v>3</v>
      </c>
      <c r="R11391" t="s">
        <v>46579</v>
      </c>
      <c r="S11391" t="s">
        <v>46919</v>
      </c>
      <c r="T11391" t="s">
        <v>48427</v>
      </c>
      <c r="U11391" t="s">
        <v>53992</v>
      </c>
      <c r="W11391" t="s">
        <v>45929</v>
      </c>
      <c r="X11391" t="s">
        <v>46580</v>
      </c>
    </row>
    <row r="11392" spans="1:24">
      <c r="A11392">
        <f>HYPERLINK("https://www.philgeps.gov.ph/GEPSNONPILOT/Tender/SplashBidNoticeAbstractUI.aspx?menuIndex=3&amp;refID=7048428&amp;Result=3","7048428")</f>
        <v>0</v>
      </c>
      <c r="B11392" t="s">
        <v>82</v>
      </c>
      <c r="C11392" t="s">
        <v>14330</v>
      </c>
      <c r="D11392" t="s">
        <v>18804</v>
      </c>
      <c r="E11392" t="s">
        <v>28703</v>
      </c>
      <c r="F11392" t="s">
        <v>32664</v>
      </c>
      <c r="G11392" t="s">
        <v>32672</v>
      </c>
      <c r="H11392" t="s">
        <v>12635</v>
      </c>
      <c r="I11392" t="s">
        <v>4439</v>
      </c>
      <c r="J11392" t="s">
        <v>39558</v>
      </c>
      <c r="K11392" t="s">
        <v>42289</v>
      </c>
      <c r="M11392" t="s">
        <v>43708</v>
      </c>
      <c r="N11392" t="s">
        <v>46569</v>
      </c>
      <c r="O11392" t="s">
        <v>46570</v>
      </c>
      <c r="P11392">
        <v>0</v>
      </c>
      <c r="Q11392">
        <v>1</v>
      </c>
      <c r="R11392" t="s">
        <v>46579</v>
      </c>
      <c r="S11392" t="s">
        <v>46919</v>
      </c>
      <c r="T11392" t="s">
        <v>48684</v>
      </c>
      <c r="U11392" t="s">
        <v>51046</v>
      </c>
      <c r="V11392" t="s">
        <v>62859</v>
      </c>
      <c r="W11392" t="s">
        <v>43708</v>
      </c>
      <c r="X11392" t="s">
        <v>46580</v>
      </c>
    </row>
    <row r="11393" spans="1:24">
      <c r="A11393">
        <f>HYPERLINK("https://www.philgeps.gov.ph/GEPSNONPILOT/Tender/SplashBidNoticeAbstractUI.aspx?menuIndex=3&amp;refID=7048275&amp;Result=3","7048275")</f>
        <v>0</v>
      </c>
      <c r="B11393" t="s">
        <v>2278</v>
      </c>
      <c r="C11393" t="s">
        <v>14331</v>
      </c>
      <c r="E11393" t="s">
        <v>28704</v>
      </c>
      <c r="F11393" t="s">
        <v>32664</v>
      </c>
      <c r="G11393" t="s">
        <v>32672</v>
      </c>
      <c r="H11393" t="s">
        <v>32683</v>
      </c>
      <c r="I11393" t="s">
        <v>10627</v>
      </c>
      <c r="J11393" t="s">
        <v>32943</v>
      </c>
      <c r="K11393" t="s">
        <v>42283</v>
      </c>
      <c r="M11393" t="s">
        <v>45045</v>
      </c>
      <c r="N11393" t="s">
        <v>46569</v>
      </c>
      <c r="O11393" t="s">
        <v>46570</v>
      </c>
      <c r="P11393">
        <v>0</v>
      </c>
      <c r="Q11393">
        <v>1</v>
      </c>
      <c r="R11393" t="s">
        <v>46579</v>
      </c>
      <c r="S11393" t="s">
        <v>46919</v>
      </c>
      <c r="T11393" t="s">
        <v>48657</v>
      </c>
      <c r="U11393" t="s">
        <v>57900</v>
      </c>
      <c r="W11393" t="s">
        <v>45045</v>
      </c>
      <c r="X11393" t="s">
        <v>46580</v>
      </c>
    </row>
    <row r="11394" spans="1:24">
      <c r="A11394">
        <f>HYPERLINK("https://www.philgeps.gov.ph/GEPSNONPILOT/Tender/SplashBidNoticeAbstractUI.aspx?menuIndex=3&amp;refID=7048314&amp;Result=3","7048314")</f>
        <v>0</v>
      </c>
      <c r="B11394" t="s">
        <v>1300</v>
      </c>
      <c r="C11394" t="s">
        <v>14332</v>
      </c>
      <c r="D11394" t="s">
        <v>18782</v>
      </c>
      <c r="E11394" t="s">
        <v>28705</v>
      </c>
      <c r="F11394" t="s">
        <v>32664</v>
      </c>
      <c r="G11394" t="s">
        <v>32672</v>
      </c>
      <c r="H11394" t="s">
        <v>12635</v>
      </c>
      <c r="I11394" t="s">
        <v>6223</v>
      </c>
      <c r="J11394" t="s">
        <v>32837</v>
      </c>
      <c r="K11394" t="s">
        <v>42297</v>
      </c>
      <c r="M11394" t="s">
        <v>43944</v>
      </c>
      <c r="N11394" t="s">
        <v>46569</v>
      </c>
      <c r="O11394" t="s">
        <v>46570</v>
      </c>
      <c r="P11394">
        <v>0</v>
      </c>
      <c r="Q11394">
        <v>1</v>
      </c>
      <c r="R11394" t="s">
        <v>46579</v>
      </c>
      <c r="S11394" t="s">
        <v>46919</v>
      </c>
      <c r="T11394" t="s">
        <v>48212</v>
      </c>
      <c r="U11394" t="s">
        <v>57928</v>
      </c>
      <c r="V11394" t="s">
        <v>61960</v>
      </c>
      <c r="W11394" t="s">
        <v>43944</v>
      </c>
      <c r="X11394" t="s">
        <v>46580</v>
      </c>
    </row>
    <row r="11395" spans="1:24">
      <c r="A11395">
        <f>HYPERLINK("https://www.philgeps.gov.ph/GEPSNONPILOT/Tender/SplashBidNoticeAbstractUI.aspx?menuIndex=3&amp;refID=7048401&amp;Result=3","7048401")</f>
        <v>0</v>
      </c>
      <c r="B11395" t="s">
        <v>2745</v>
      </c>
      <c r="C11395" t="s">
        <v>14333</v>
      </c>
      <c r="D11395" t="s">
        <v>18781</v>
      </c>
      <c r="E11395" t="s">
        <v>28706</v>
      </c>
      <c r="F11395" t="s">
        <v>32664</v>
      </c>
      <c r="G11395" t="s">
        <v>32672</v>
      </c>
      <c r="H11395" t="s">
        <v>32683</v>
      </c>
      <c r="I11395" t="s">
        <v>32723</v>
      </c>
      <c r="J11395" t="s">
        <v>32943</v>
      </c>
      <c r="K11395" t="s">
        <v>42298</v>
      </c>
      <c r="M11395" t="s">
        <v>45579</v>
      </c>
      <c r="N11395" t="s">
        <v>46569</v>
      </c>
      <c r="O11395" t="s">
        <v>46570</v>
      </c>
      <c r="P11395">
        <v>0</v>
      </c>
      <c r="Q11395">
        <v>4</v>
      </c>
      <c r="R11395" t="s">
        <v>46579</v>
      </c>
      <c r="S11395" t="s">
        <v>46919</v>
      </c>
      <c r="T11395" t="s">
        <v>48412</v>
      </c>
      <c r="U11395" t="s">
        <v>57929</v>
      </c>
      <c r="W11395" t="s">
        <v>45579</v>
      </c>
      <c r="X11395" t="s">
        <v>46580</v>
      </c>
    </row>
    <row r="11396" spans="1:24">
      <c r="A11396">
        <f>HYPERLINK("https://www.philgeps.gov.ph/GEPSNONPILOT/Tender/SplashBidNoticeAbstractUI.aspx?menuIndex=3&amp;refID=7048370&amp;Result=3","7048370")</f>
        <v>0</v>
      </c>
      <c r="B11396" t="s">
        <v>1257</v>
      </c>
      <c r="C11396" t="s">
        <v>4254</v>
      </c>
      <c r="E11396" t="s">
        <v>28707</v>
      </c>
      <c r="F11396" t="s">
        <v>32664</v>
      </c>
      <c r="G11396" t="s">
        <v>32674</v>
      </c>
      <c r="H11396" t="s">
        <v>12635</v>
      </c>
      <c r="I11396" t="s">
        <v>6168</v>
      </c>
      <c r="J11396" t="s">
        <v>39559</v>
      </c>
      <c r="K11396" t="s">
        <v>42283</v>
      </c>
      <c r="M11396" t="s">
        <v>43899</v>
      </c>
      <c r="N11396" t="s">
        <v>46569</v>
      </c>
      <c r="O11396" t="s">
        <v>46570</v>
      </c>
      <c r="P11396">
        <v>0</v>
      </c>
      <c r="Q11396">
        <v>1</v>
      </c>
      <c r="R11396" t="s">
        <v>46579</v>
      </c>
      <c r="S11396" t="s">
        <v>46919</v>
      </c>
      <c r="T11396" t="s">
        <v>48250</v>
      </c>
      <c r="U11396" t="s">
        <v>49404</v>
      </c>
      <c r="W11396" t="s">
        <v>43899</v>
      </c>
      <c r="X11396" t="s">
        <v>46580</v>
      </c>
    </row>
    <row r="11397" spans="1:24">
      <c r="A11397">
        <f>HYPERLINK("https://www.philgeps.gov.ph/GEPSNONPILOT/Tender/SplashBidNoticeAbstractUI.aspx?menuIndex=3&amp;refID=7048337&amp;Result=3","7048337")</f>
        <v>0</v>
      </c>
      <c r="B11397" t="s">
        <v>1920</v>
      </c>
      <c r="C11397" t="s">
        <v>14334</v>
      </c>
      <c r="D11397" t="s">
        <v>18789</v>
      </c>
      <c r="E11397" t="s">
        <v>28708</v>
      </c>
      <c r="F11397" t="s">
        <v>32664</v>
      </c>
      <c r="G11397" t="s">
        <v>32672</v>
      </c>
      <c r="H11397" t="s">
        <v>12635</v>
      </c>
      <c r="I11397" t="s">
        <v>7324</v>
      </c>
      <c r="J11397" t="s">
        <v>36542</v>
      </c>
      <c r="K11397" t="s">
        <v>42289</v>
      </c>
      <c r="M11397" t="s">
        <v>44641</v>
      </c>
      <c r="N11397" t="s">
        <v>46569</v>
      </c>
      <c r="O11397" t="s">
        <v>46570</v>
      </c>
      <c r="P11397">
        <v>0</v>
      </c>
      <c r="Q11397">
        <v>0</v>
      </c>
      <c r="R11397" t="s">
        <v>46579</v>
      </c>
      <c r="S11397" t="s">
        <v>46919</v>
      </c>
      <c r="T11397" t="s">
        <v>48316</v>
      </c>
      <c r="U11397" t="s">
        <v>57930</v>
      </c>
      <c r="W11397" t="s">
        <v>44641</v>
      </c>
      <c r="X11397" t="s">
        <v>46580</v>
      </c>
    </row>
    <row r="11398" spans="1:24">
      <c r="A11398">
        <f>HYPERLINK("https://www.philgeps.gov.ph/GEPSNONPILOT/Tender/SplashBidNoticeAbstractUI.aspx?menuIndex=3&amp;refID=7048548&amp;Result=3","7048548")</f>
        <v>0</v>
      </c>
      <c r="B11398" t="s">
        <v>218</v>
      </c>
      <c r="C11398" t="s">
        <v>14335</v>
      </c>
      <c r="D11398" t="s">
        <v>18792</v>
      </c>
      <c r="E11398" t="s">
        <v>27330</v>
      </c>
      <c r="F11398" t="s">
        <v>32664</v>
      </c>
      <c r="G11398" t="s">
        <v>32672</v>
      </c>
      <c r="H11398" t="s">
        <v>12635</v>
      </c>
      <c r="I11398" t="s">
        <v>6223</v>
      </c>
      <c r="J11398" t="s">
        <v>34293</v>
      </c>
      <c r="K11398" t="s">
        <v>42311</v>
      </c>
      <c r="M11398" t="s">
        <v>42782</v>
      </c>
      <c r="N11398" t="s">
        <v>46569</v>
      </c>
      <c r="O11398" t="s">
        <v>46570</v>
      </c>
      <c r="P11398">
        <v>0</v>
      </c>
      <c r="Q11398">
        <v>6</v>
      </c>
      <c r="R11398" t="s">
        <v>46579</v>
      </c>
      <c r="S11398" t="s">
        <v>46919</v>
      </c>
      <c r="T11398" t="s">
        <v>48580</v>
      </c>
      <c r="U11398" t="s">
        <v>57931</v>
      </c>
      <c r="W11398" t="s">
        <v>42782</v>
      </c>
      <c r="X11398" t="s">
        <v>46580</v>
      </c>
    </row>
    <row r="11399" spans="1:24">
      <c r="A11399">
        <f>HYPERLINK("https://www.philgeps.gov.ph/GEPSNONPILOT/Tender/SplashBidNoticeAbstractUI.aspx?menuIndex=3&amp;refID=7048543&amp;Result=3","7048543")</f>
        <v>0</v>
      </c>
      <c r="B11399" t="s">
        <v>3055</v>
      </c>
      <c r="C11399" t="s">
        <v>4694</v>
      </c>
      <c r="E11399" t="s">
        <v>20272</v>
      </c>
      <c r="F11399" t="s">
        <v>32666</v>
      </c>
      <c r="G11399" t="s">
        <v>32672</v>
      </c>
      <c r="H11399" t="s">
        <v>12635</v>
      </c>
      <c r="I11399" t="s">
        <v>4439</v>
      </c>
      <c r="J11399" t="s">
        <v>33299</v>
      </c>
      <c r="K11399" t="s">
        <v>42283</v>
      </c>
      <c r="M11399" t="s">
        <v>45930</v>
      </c>
      <c r="N11399" t="s">
        <v>46569</v>
      </c>
      <c r="O11399" t="s">
        <v>46570</v>
      </c>
      <c r="P11399">
        <v>0</v>
      </c>
      <c r="Q11399">
        <v>0</v>
      </c>
      <c r="R11399" t="s">
        <v>46579</v>
      </c>
      <c r="S11399" t="s">
        <v>46919</v>
      </c>
      <c r="T11399" t="s">
        <v>48264</v>
      </c>
      <c r="U11399" t="s">
        <v>50059</v>
      </c>
      <c r="W11399" t="s">
        <v>45930</v>
      </c>
      <c r="X11399" t="s">
        <v>46580</v>
      </c>
    </row>
    <row r="11400" spans="1:24">
      <c r="A11400">
        <f>HYPERLINK("https://www.philgeps.gov.ph/GEPSNONPILOT/Tender/SplashBidNoticeAbstractUI.aspx?menuIndex=3&amp;refID=7048540&amp;Result=3","7048540")</f>
        <v>0</v>
      </c>
      <c r="B11400" t="s">
        <v>3056</v>
      </c>
      <c r="C11400" t="s">
        <v>14336</v>
      </c>
      <c r="D11400" t="s">
        <v>18842</v>
      </c>
      <c r="E11400" t="s">
        <v>22803</v>
      </c>
      <c r="F11400" t="s">
        <v>32665</v>
      </c>
      <c r="G11400" t="s">
        <v>32672</v>
      </c>
      <c r="H11400" t="s">
        <v>12635</v>
      </c>
      <c r="I11400" t="s">
        <v>11464</v>
      </c>
      <c r="J11400" t="s">
        <v>33050</v>
      </c>
      <c r="K11400" t="s">
        <v>42281</v>
      </c>
      <c r="M11400" t="s">
        <v>45931</v>
      </c>
      <c r="N11400" t="s">
        <v>46569</v>
      </c>
      <c r="O11400" t="s">
        <v>46570</v>
      </c>
      <c r="P11400">
        <v>0</v>
      </c>
      <c r="Q11400">
        <v>3</v>
      </c>
      <c r="R11400" t="s">
        <v>46579</v>
      </c>
      <c r="S11400" t="s">
        <v>46919</v>
      </c>
      <c r="T11400" t="s">
        <v>48424</v>
      </c>
      <c r="U11400" t="s">
        <v>57932</v>
      </c>
      <c r="W11400" t="s">
        <v>45931</v>
      </c>
      <c r="X11400" t="s">
        <v>46580</v>
      </c>
    </row>
    <row r="11401" spans="1:24">
      <c r="A11401">
        <f>HYPERLINK("https://www.philgeps.gov.ph/GEPSNONPILOT/Tender/SplashBidNoticeAbstractUI.aspx?menuIndex=3&amp;refID=7048531&amp;Result=3","7048531")</f>
        <v>0</v>
      </c>
      <c r="B11401" t="s">
        <v>1148</v>
      </c>
      <c r="C11401" t="s">
        <v>14337</v>
      </c>
      <c r="D11401" t="s">
        <v>18827</v>
      </c>
      <c r="E11401" t="s">
        <v>28709</v>
      </c>
      <c r="F11401" t="s">
        <v>32664</v>
      </c>
      <c r="G11401" t="s">
        <v>32672</v>
      </c>
      <c r="H11401" t="s">
        <v>12635</v>
      </c>
      <c r="I11401" t="s">
        <v>11464</v>
      </c>
      <c r="J11401" t="s">
        <v>36415</v>
      </c>
      <c r="K11401" t="s">
        <v>42297</v>
      </c>
      <c r="M11401" t="s">
        <v>43779</v>
      </c>
      <c r="N11401" t="s">
        <v>46569</v>
      </c>
      <c r="O11401" t="s">
        <v>46570</v>
      </c>
      <c r="P11401">
        <v>0</v>
      </c>
      <c r="Q11401">
        <v>6</v>
      </c>
      <c r="R11401" t="s">
        <v>46579</v>
      </c>
      <c r="S11401" t="s">
        <v>46919</v>
      </c>
      <c r="T11401" t="s">
        <v>48228</v>
      </c>
      <c r="U11401" t="s">
        <v>57933</v>
      </c>
      <c r="W11401" t="s">
        <v>43779</v>
      </c>
      <c r="X11401" t="s">
        <v>46580</v>
      </c>
    </row>
    <row r="11402" spans="1:24">
      <c r="A11402">
        <f>HYPERLINK("https://www.philgeps.gov.ph/GEPSNONPILOT/Tender/SplashBidNoticeAbstractUI.aspx?menuIndex=3&amp;refID=7048395&amp;Result=3","7048395")</f>
        <v>0</v>
      </c>
      <c r="B11402" t="s">
        <v>212</v>
      </c>
      <c r="C11402" t="s">
        <v>14338</v>
      </c>
      <c r="D11402" t="s">
        <v>18844</v>
      </c>
      <c r="E11402" t="s">
        <v>28710</v>
      </c>
      <c r="F11402" t="s">
        <v>32664</v>
      </c>
      <c r="G11402" t="s">
        <v>32672</v>
      </c>
      <c r="H11402" t="s">
        <v>12635</v>
      </c>
      <c r="I11402" t="s">
        <v>32685</v>
      </c>
      <c r="J11402" t="s">
        <v>39560</v>
      </c>
      <c r="K11402" t="s">
        <v>42289</v>
      </c>
      <c r="M11402" t="s">
        <v>44228</v>
      </c>
      <c r="N11402" t="s">
        <v>46569</v>
      </c>
      <c r="O11402" t="s">
        <v>46570</v>
      </c>
      <c r="P11402">
        <v>0</v>
      </c>
      <c r="Q11402">
        <v>0</v>
      </c>
      <c r="R11402" t="s">
        <v>46579</v>
      </c>
      <c r="S11402" t="s">
        <v>46919</v>
      </c>
      <c r="T11402" t="s">
        <v>48489</v>
      </c>
      <c r="U11402" t="s">
        <v>57934</v>
      </c>
      <c r="W11402" t="s">
        <v>44228</v>
      </c>
      <c r="X11402" t="s">
        <v>46580</v>
      </c>
    </row>
    <row r="11403" spans="1:24">
      <c r="A11403">
        <f>HYPERLINK("https://www.philgeps.gov.ph/GEPSNONPILOT/Tender/SplashBidNoticeAbstractUI.aspx?menuIndex=3&amp;refID=7048392&amp;Result=3","7048392")</f>
        <v>0</v>
      </c>
      <c r="B11403" t="s">
        <v>1257</v>
      </c>
      <c r="C11403" t="s">
        <v>4254</v>
      </c>
      <c r="E11403" t="s">
        <v>28711</v>
      </c>
      <c r="F11403" t="s">
        <v>32664</v>
      </c>
      <c r="G11403" t="s">
        <v>32674</v>
      </c>
      <c r="H11403" t="s">
        <v>12635</v>
      </c>
      <c r="I11403" t="s">
        <v>6168</v>
      </c>
      <c r="J11403" t="s">
        <v>33126</v>
      </c>
      <c r="K11403" t="s">
        <v>42283</v>
      </c>
      <c r="M11403" t="s">
        <v>43899</v>
      </c>
      <c r="N11403" t="s">
        <v>46569</v>
      </c>
      <c r="O11403" t="s">
        <v>46570</v>
      </c>
      <c r="P11403">
        <v>0</v>
      </c>
      <c r="Q11403">
        <v>0</v>
      </c>
      <c r="R11403" t="s">
        <v>46579</v>
      </c>
      <c r="S11403" t="s">
        <v>46919</v>
      </c>
      <c r="T11403" t="s">
        <v>48250</v>
      </c>
      <c r="U11403" t="s">
        <v>49404</v>
      </c>
      <c r="W11403" t="s">
        <v>43899</v>
      </c>
      <c r="X11403" t="s">
        <v>46580</v>
      </c>
    </row>
    <row r="11404" spans="1:24">
      <c r="A11404">
        <f>HYPERLINK("https://www.philgeps.gov.ph/GEPSNONPILOT/Tender/SplashBidNoticeAbstractUI.aspx?menuIndex=3&amp;refID=7048528&amp;Result=3","7048528")</f>
        <v>0</v>
      </c>
      <c r="B11404" t="s">
        <v>3057</v>
      </c>
      <c r="C11404" t="s">
        <v>14339</v>
      </c>
      <c r="D11404" t="s">
        <v>18865</v>
      </c>
      <c r="E11404" t="s">
        <v>28712</v>
      </c>
      <c r="F11404" t="s">
        <v>32664</v>
      </c>
      <c r="G11404" t="s">
        <v>32672</v>
      </c>
      <c r="H11404" t="s">
        <v>32683</v>
      </c>
      <c r="I11404" t="s">
        <v>10627</v>
      </c>
      <c r="J11404" t="s">
        <v>39561</v>
      </c>
      <c r="K11404" t="s">
        <v>42305</v>
      </c>
      <c r="M11404" t="s">
        <v>45932</v>
      </c>
      <c r="N11404" t="s">
        <v>46569</v>
      </c>
      <c r="O11404" t="s">
        <v>46570</v>
      </c>
      <c r="P11404">
        <v>0</v>
      </c>
      <c r="Q11404">
        <v>0</v>
      </c>
      <c r="R11404" t="s">
        <v>46579</v>
      </c>
      <c r="S11404" t="s">
        <v>46919</v>
      </c>
      <c r="T11404" t="s">
        <v>48212</v>
      </c>
      <c r="U11404" t="s">
        <v>57935</v>
      </c>
      <c r="W11404" t="s">
        <v>45932</v>
      </c>
      <c r="X11404" t="s">
        <v>46580</v>
      </c>
    </row>
    <row r="11405" spans="1:24">
      <c r="A11405">
        <f>HYPERLINK("https://www.philgeps.gov.ph/GEPSNONPILOT/Tender/SplashBidNoticeAbstractUI.aspx?menuIndex=3&amp;refID=7048421&amp;Result=3","7048421")</f>
        <v>0</v>
      </c>
      <c r="B11405" t="s">
        <v>81</v>
      </c>
      <c r="C11405" t="s">
        <v>14340</v>
      </c>
      <c r="D11405" t="s">
        <v>18818</v>
      </c>
      <c r="E11405" t="s">
        <v>28713</v>
      </c>
      <c r="F11405" t="s">
        <v>32664</v>
      </c>
      <c r="G11405" t="s">
        <v>32674</v>
      </c>
      <c r="H11405" t="s">
        <v>12635</v>
      </c>
      <c r="I11405" t="s">
        <v>32694</v>
      </c>
      <c r="J11405" t="s">
        <v>39562</v>
      </c>
      <c r="K11405" t="s">
        <v>42283</v>
      </c>
      <c r="M11405" t="s">
        <v>42665</v>
      </c>
      <c r="N11405" t="s">
        <v>46569</v>
      </c>
      <c r="O11405" t="s">
        <v>46570</v>
      </c>
      <c r="P11405">
        <v>0</v>
      </c>
      <c r="Q11405">
        <v>0</v>
      </c>
      <c r="R11405" t="s">
        <v>46579</v>
      </c>
      <c r="S11405" t="s">
        <v>46919</v>
      </c>
      <c r="T11405" t="s">
        <v>48219</v>
      </c>
      <c r="U11405" t="s">
        <v>57936</v>
      </c>
      <c r="W11405" t="s">
        <v>42665</v>
      </c>
      <c r="X11405" t="s">
        <v>46580</v>
      </c>
    </row>
    <row r="11406" spans="1:24">
      <c r="A11406">
        <f>HYPERLINK("https://www.philgeps.gov.ph/GEPSNONPILOT/Tender/SplashBidNoticeAbstractUI.aspx?menuIndex=3&amp;refID=7048520&amp;Result=3","7048520")</f>
        <v>0</v>
      </c>
      <c r="B11406" t="s">
        <v>3058</v>
      </c>
      <c r="C11406" t="s">
        <v>14341</v>
      </c>
      <c r="E11406" t="s">
        <v>20272</v>
      </c>
      <c r="F11406" t="s">
        <v>32666</v>
      </c>
      <c r="G11406" t="s">
        <v>32672</v>
      </c>
      <c r="H11406" t="s">
        <v>12635</v>
      </c>
      <c r="I11406" t="s">
        <v>6223</v>
      </c>
      <c r="J11406" t="s">
        <v>32898</v>
      </c>
      <c r="K11406" t="s">
        <v>42283</v>
      </c>
      <c r="M11406" t="s">
        <v>45933</v>
      </c>
      <c r="N11406" t="s">
        <v>46569</v>
      </c>
      <c r="O11406" t="s">
        <v>46570</v>
      </c>
      <c r="P11406">
        <v>0</v>
      </c>
      <c r="Q11406">
        <v>2</v>
      </c>
      <c r="R11406" t="s">
        <v>46579</v>
      </c>
      <c r="S11406" t="s">
        <v>46919</v>
      </c>
      <c r="T11406" t="s">
        <v>48264</v>
      </c>
      <c r="U11406" t="s">
        <v>50059</v>
      </c>
      <c r="W11406" t="s">
        <v>45933</v>
      </c>
      <c r="X11406" t="s">
        <v>46580</v>
      </c>
    </row>
    <row r="11407" spans="1:24">
      <c r="A11407">
        <f>HYPERLINK("https://www.philgeps.gov.ph/GEPSNONPILOT/Tender/SplashBidNoticeAbstractUI.aspx?menuIndex=3&amp;refID=7048523&amp;Result=3","7048523")</f>
        <v>0</v>
      </c>
      <c r="B11407" t="s">
        <v>218</v>
      </c>
      <c r="C11407" t="s">
        <v>14342</v>
      </c>
      <c r="D11407" t="s">
        <v>18792</v>
      </c>
      <c r="E11407" t="s">
        <v>28714</v>
      </c>
      <c r="F11407" t="s">
        <v>32664</v>
      </c>
      <c r="G11407" t="s">
        <v>32672</v>
      </c>
      <c r="H11407" t="s">
        <v>12635</v>
      </c>
      <c r="I11407" t="s">
        <v>6223</v>
      </c>
      <c r="J11407" t="s">
        <v>39563</v>
      </c>
      <c r="K11407" t="s">
        <v>42305</v>
      </c>
      <c r="M11407" t="s">
        <v>42782</v>
      </c>
      <c r="N11407" t="s">
        <v>46569</v>
      </c>
      <c r="O11407" t="s">
        <v>46570</v>
      </c>
      <c r="P11407">
        <v>0</v>
      </c>
      <c r="Q11407">
        <v>4</v>
      </c>
      <c r="R11407" t="s">
        <v>46579</v>
      </c>
      <c r="S11407" t="s">
        <v>46919</v>
      </c>
      <c r="T11407" t="s">
        <v>48580</v>
      </c>
      <c r="U11407" t="s">
        <v>57937</v>
      </c>
      <c r="W11407" t="s">
        <v>42782</v>
      </c>
      <c r="X11407" t="s">
        <v>46580</v>
      </c>
    </row>
    <row r="11408" spans="1:24">
      <c r="A11408">
        <f>HYPERLINK("https://www.philgeps.gov.ph/GEPSNONPILOT/Tender/SplashBidNoticeAbstractUI.aspx?menuIndex=3&amp;refID=7048525&amp;Result=3","7048525")</f>
        <v>0</v>
      </c>
      <c r="B11408" t="s">
        <v>593</v>
      </c>
      <c r="C11408" t="s">
        <v>4254</v>
      </c>
      <c r="D11408" t="s">
        <v>18824</v>
      </c>
      <c r="E11408" t="s">
        <v>19583</v>
      </c>
      <c r="F11408" t="s">
        <v>32666</v>
      </c>
      <c r="G11408" t="s">
        <v>32674</v>
      </c>
      <c r="H11408" t="s">
        <v>12635</v>
      </c>
      <c r="I11408" t="s">
        <v>6168</v>
      </c>
      <c r="J11408" t="s">
        <v>34153</v>
      </c>
      <c r="K11408" t="s">
        <v>42284</v>
      </c>
      <c r="M11408" t="s">
        <v>43173</v>
      </c>
      <c r="N11408" t="s">
        <v>46569</v>
      </c>
      <c r="O11408" t="s">
        <v>46570</v>
      </c>
      <c r="P11408">
        <v>0</v>
      </c>
      <c r="Q11408">
        <v>0</v>
      </c>
      <c r="R11408" t="s">
        <v>46579</v>
      </c>
      <c r="S11408" t="s">
        <v>46919</v>
      </c>
      <c r="T11408" t="s">
        <v>48276</v>
      </c>
      <c r="U11408" t="s">
        <v>57938</v>
      </c>
      <c r="W11408" t="s">
        <v>43173</v>
      </c>
      <c r="X11408" t="s">
        <v>46580</v>
      </c>
    </row>
    <row r="11409" spans="1:24">
      <c r="A11409">
        <f>HYPERLINK("https://www.philgeps.gov.ph/GEPSNONPILOT/Tender/SplashBidNoticeAbstractUI.aspx?menuIndex=3&amp;refID=7048489&amp;Result=3","7048489")</f>
        <v>0</v>
      </c>
      <c r="B11409" t="s">
        <v>3059</v>
      </c>
      <c r="C11409" t="s">
        <v>10741</v>
      </c>
      <c r="E11409" t="s">
        <v>20272</v>
      </c>
      <c r="F11409" t="s">
        <v>32666</v>
      </c>
      <c r="G11409" t="s">
        <v>32672</v>
      </c>
      <c r="H11409" t="s">
        <v>12635</v>
      </c>
      <c r="I11409" t="s">
        <v>4439</v>
      </c>
      <c r="J11409" t="s">
        <v>34347</v>
      </c>
      <c r="K11409" t="s">
        <v>42283</v>
      </c>
      <c r="M11409" t="s">
        <v>45934</v>
      </c>
      <c r="N11409" t="s">
        <v>46569</v>
      </c>
      <c r="O11409" t="s">
        <v>46570</v>
      </c>
      <c r="P11409">
        <v>0</v>
      </c>
      <c r="Q11409">
        <v>0</v>
      </c>
      <c r="R11409" t="s">
        <v>46579</v>
      </c>
      <c r="S11409" t="s">
        <v>46919</v>
      </c>
      <c r="T11409" t="s">
        <v>48264</v>
      </c>
      <c r="U11409" t="s">
        <v>50059</v>
      </c>
      <c r="W11409" t="s">
        <v>45934</v>
      </c>
      <c r="X11409" t="s">
        <v>46580</v>
      </c>
    </row>
    <row r="11410" spans="1:24">
      <c r="A11410">
        <f>HYPERLINK("https://www.philgeps.gov.ph/GEPSNONPILOT/Tender/SplashBidNoticeAbstractUI.aspx?menuIndex=3&amp;refID=7048529&amp;Result=3","7048529")</f>
        <v>0</v>
      </c>
      <c r="B11410" t="s">
        <v>1920</v>
      </c>
      <c r="C11410" t="s">
        <v>14343</v>
      </c>
      <c r="D11410" t="s">
        <v>18789</v>
      </c>
      <c r="E11410" t="s">
        <v>28715</v>
      </c>
      <c r="F11410" t="s">
        <v>32664</v>
      </c>
      <c r="G11410" t="s">
        <v>32672</v>
      </c>
      <c r="H11410" t="s">
        <v>12635</v>
      </c>
      <c r="I11410" t="s">
        <v>32736</v>
      </c>
      <c r="J11410" t="s">
        <v>32898</v>
      </c>
      <c r="K11410" t="s">
        <v>42297</v>
      </c>
      <c r="M11410" t="s">
        <v>44641</v>
      </c>
      <c r="N11410" t="s">
        <v>46569</v>
      </c>
      <c r="O11410" t="s">
        <v>46570</v>
      </c>
      <c r="P11410">
        <v>0</v>
      </c>
      <c r="Q11410">
        <v>2</v>
      </c>
      <c r="R11410" t="s">
        <v>46579</v>
      </c>
      <c r="S11410" t="s">
        <v>46919</v>
      </c>
      <c r="T11410" t="s">
        <v>48316</v>
      </c>
      <c r="U11410" t="s">
        <v>57939</v>
      </c>
      <c r="W11410" t="s">
        <v>44641</v>
      </c>
      <c r="X11410" t="s">
        <v>46580</v>
      </c>
    </row>
    <row r="11411" spans="1:24">
      <c r="A11411">
        <f>HYPERLINK("https://www.philgeps.gov.ph/GEPSNONPILOT/Tender/SplashBidNoticeAbstractUI.aspx?menuIndex=3&amp;refID=7048479&amp;Result=3","7048479")</f>
        <v>0</v>
      </c>
      <c r="B11411" t="s">
        <v>2940</v>
      </c>
      <c r="C11411" t="s">
        <v>14344</v>
      </c>
      <c r="D11411" t="s">
        <v>18833</v>
      </c>
      <c r="E11411" t="s">
        <v>28716</v>
      </c>
      <c r="F11411" t="s">
        <v>32664</v>
      </c>
      <c r="G11411" t="s">
        <v>32671</v>
      </c>
      <c r="H11411" t="s">
        <v>12635</v>
      </c>
      <c r="I11411" t="s">
        <v>4439</v>
      </c>
      <c r="J11411" t="s">
        <v>39564</v>
      </c>
      <c r="K11411" t="s">
        <v>42281</v>
      </c>
      <c r="M11411" t="s">
        <v>45794</v>
      </c>
      <c r="N11411" t="s">
        <v>46569</v>
      </c>
      <c r="O11411" t="s">
        <v>46570</v>
      </c>
      <c r="P11411">
        <v>0</v>
      </c>
      <c r="Q11411">
        <v>0</v>
      </c>
      <c r="R11411" t="s">
        <v>46579</v>
      </c>
      <c r="S11411" t="s">
        <v>46919</v>
      </c>
      <c r="T11411" t="s">
        <v>48307</v>
      </c>
      <c r="U11411" t="s">
        <v>57940</v>
      </c>
      <c r="W11411" t="s">
        <v>45794</v>
      </c>
      <c r="X11411" t="s">
        <v>46580</v>
      </c>
    </row>
    <row r="11412" spans="1:24">
      <c r="A11412">
        <f>HYPERLINK("https://www.philgeps.gov.ph/GEPSNONPILOT/Tender/SplashBidNoticeAbstractUI.aspx?menuIndex=3&amp;refID=7048477&amp;Result=3","7048477")</f>
        <v>0</v>
      </c>
      <c r="B11412" t="s">
        <v>2938</v>
      </c>
      <c r="C11412" t="s">
        <v>14345</v>
      </c>
      <c r="D11412" t="s">
        <v>18807</v>
      </c>
      <c r="E11412" t="s">
        <v>28717</v>
      </c>
      <c r="F11412" t="s">
        <v>32664</v>
      </c>
      <c r="G11412" t="s">
        <v>32672</v>
      </c>
      <c r="H11412" t="s">
        <v>12635</v>
      </c>
      <c r="I11412" t="s">
        <v>32738</v>
      </c>
      <c r="J11412" t="s">
        <v>36130</v>
      </c>
      <c r="K11412" t="s">
        <v>42281</v>
      </c>
      <c r="M11412" t="s">
        <v>45792</v>
      </c>
      <c r="N11412" t="s">
        <v>46569</v>
      </c>
      <c r="O11412" t="s">
        <v>46570</v>
      </c>
      <c r="P11412">
        <v>0</v>
      </c>
      <c r="Q11412">
        <v>7</v>
      </c>
      <c r="R11412" t="s">
        <v>46579</v>
      </c>
      <c r="S11412" t="s">
        <v>46919</v>
      </c>
      <c r="T11412" t="s">
        <v>48642</v>
      </c>
      <c r="U11412" t="s">
        <v>57941</v>
      </c>
      <c r="V11412" t="s">
        <v>62860</v>
      </c>
      <c r="W11412" t="s">
        <v>45792</v>
      </c>
      <c r="X11412" t="s">
        <v>46580</v>
      </c>
    </row>
    <row r="11413" spans="1:24">
      <c r="A11413">
        <f>HYPERLINK("https://www.philgeps.gov.ph/GEPSNONPILOT/Tender/SplashBidNoticeAbstractUI.aspx?menuIndex=3&amp;refID=7048475&amp;Result=3","7048475")</f>
        <v>0</v>
      </c>
      <c r="B11413" t="s">
        <v>3016</v>
      </c>
      <c r="C11413" t="s">
        <v>14346</v>
      </c>
      <c r="D11413" t="s">
        <v>18863</v>
      </c>
      <c r="E11413" t="s">
        <v>28718</v>
      </c>
      <c r="F11413" t="s">
        <v>32665</v>
      </c>
      <c r="G11413" t="s">
        <v>32672</v>
      </c>
      <c r="H11413" t="s">
        <v>32683</v>
      </c>
      <c r="I11413" t="s">
        <v>10627</v>
      </c>
      <c r="J11413" t="s">
        <v>34518</v>
      </c>
      <c r="K11413" t="s">
        <v>42283</v>
      </c>
      <c r="M11413" t="s">
        <v>45888</v>
      </c>
      <c r="N11413" t="s">
        <v>46569</v>
      </c>
      <c r="O11413" t="s">
        <v>46570</v>
      </c>
      <c r="P11413">
        <v>0</v>
      </c>
      <c r="Q11413">
        <v>1</v>
      </c>
      <c r="R11413" t="s">
        <v>46579</v>
      </c>
      <c r="S11413" t="s">
        <v>46919</v>
      </c>
      <c r="T11413" t="s">
        <v>48315</v>
      </c>
      <c r="U11413" t="s">
        <v>57942</v>
      </c>
      <c r="W11413" t="s">
        <v>45888</v>
      </c>
      <c r="X11413" t="s">
        <v>46580</v>
      </c>
    </row>
    <row r="11414" spans="1:24">
      <c r="A11414">
        <f>HYPERLINK("https://www.philgeps.gov.ph/GEPSNONPILOT/Tender/SplashBidNoticeAbstractUI.aspx?menuIndex=3&amp;refID=7048379&amp;Result=3","7048379")</f>
        <v>0</v>
      </c>
      <c r="B11414" t="s">
        <v>82</v>
      </c>
      <c r="C11414" t="s">
        <v>14347</v>
      </c>
      <c r="D11414" t="s">
        <v>18804</v>
      </c>
      <c r="E11414" t="s">
        <v>28719</v>
      </c>
      <c r="F11414" t="s">
        <v>32664</v>
      </c>
      <c r="G11414" t="s">
        <v>32672</v>
      </c>
      <c r="H11414" t="s">
        <v>32683</v>
      </c>
      <c r="I11414" t="s">
        <v>10627</v>
      </c>
      <c r="J11414" t="s">
        <v>34022</v>
      </c>
      <c r="K11414" t="s">
        <v>42285</v>
      </c>
      <c r="M11414" t="s">
        <v>43708</v>
      </c>
      <c r="N11414" t="s">
        <v>46569</v>
      </c>
      <c r="O11414" t="s">
        <v>46570</v>
      </c>
      <c r="P11414">
        <v>0</v>
      </c>
      <c r="Q11414">
        <v>0</v>
      </c>
      <c r="R11414" t="s">
        <v>46579</v>
      </c>
      <c r="S11414" t="s">
        <v>46919</v>
      </c>
      <c r="T11414" t="s">
        <v>48684</v>
      </c>
      <c r="U11414" t="s">
        <v>51046</v>
      </c>
      <c r="W11414" t="s">
        <v>43708</v>
      </c>
      <c r="X11414" t="s">
        <v>46580</v>
      </c>
    </row>
    <row r="11415" spans="1:24">
      <c r="A11415">
        <f>HYPERLINK("https://www.philgeps.gov.ph/GEPSNONPILOT/Tender/SplashBidNoticeAbstractUI.aspx?menuIndex=3&amp;refID=7048527&amp;Result=3","7048527")</f>
        <v>0</v>
      </c>
      <c r="B11415" t="s">
        <v>160</v>
      </c>
      <c r="C11415" t="s">
        <v>14348</v>
      </c>
      <c r="D11415" t="s">
        <v>18806</v>
      </c>
      <c r="E11415" t="s">
        <v>28720</v>
      </c>
      <c r="F11415" t="s">
        <v>32664</v>
      </c>
      <c r="G11415" t="s">
        <v>32672</v>
      </c>
      <c r="H11415" t="s">
        <v>32683</v>
      </c>
      <c r="I11415" t="s">
        <v>10627</v>
      </c>
      <c r="J11415" t="s">
        <v>39565</v>
      </c>
      <c r="K11415" t="s">
        <v>42311</v>
      </c>
      <c r="M11415" t="s">
        <v>42724</v>
      </c>
      <c r="N11415" t="s">
        <v>46569</v>
      </c>
      <c r="O11415" t="s">
        <v>46570</v>
      </c>
      <c r="P11415">
        <v>0</v>
      </c>
      <c r="Q11415">
        <v>1</v>
      </c>
      <c r="R11415" t="s">
        <v>46579</v>
      </c>
      <c r="S11415" t="s">
        <v>46919</v>
      </c>
      <c r="T11415" t="s">
        <v>48293</v>
      </c>
      <c r="U11415" t="s">
        <v>49086</v>
      </c>
      <c r="W11415" t="s">
        <v>42724</v>
      </c>
      <c r="X11415" t="s">
        <v>46580</v>
      </c>
    </row>
    <row r="11416" spans="1:24">
      <c r="A11416">
        <f>HYPERLINK("https://www.philgeps.gov.ph/GEPSNONPILOT/Tender/SplashBidNoticeAbstractUI.aspx?menuIndex=3&amp;refID=7048474&amp;Result=3","7048474")</f>
        <v>0</v>
      </c>
      <c r="B11416" t="s">
        <v>2882</v>
      </c>
      <c r="C11416" t="s">
        <v>14349</v>
      </c>
      <c r="D11416" t="s">
        <v>18826</v>
      </c>
      <c r="E11416" t="s">
        <v>28721</v>
      </c>
      <c r="F11416" t="s">
        <v>32664</v>
      </c>
      <c r="G11416" t="s">
        <v>32672</v>
      </c>
      <c r="H11416" t="s">
        <v>32683</v>
      </c>
      <c r="I11416" t="s">
        <v>10627</v>
      </c>
      <c r="J11416" t="s">
        <v>34391</v>
      </c>
      <c r="K11416" t="s">
        <v>42314</v>
      </c>
      <c r="L11416" t="s">
        <v>2882</v>
      </c>
      <c r="M11416" t="s">
        <v>45731</v>
      </c>
      <c r="N11416" t="s">
        <v>46569</v>
      </c>
      <c r="O11416" t="s">
        <v>46570</v>
      </c>
      <c r="Q11416">
        <v>56</v>
      </c>
      <c r="R11416" t="s">
        <v>46579</v>
      </c>
      <c r="S11416" t="s">
        <v>46937</v>
      </c>
      <c r="T11416" t="s">
        <v>48448</v>
      </c>
      <c r="U11416" t="s">
        <v>57943</v>
      </c>
      <c r="W11416" t="s">
        <v>45731</v>
      </c>
      <c r="X11416" t="s">
        <v>46580</v>
      </c>
    </row>
    <row r="11417" spans="1:24">
      <c r="A11417">
        <f>HYPERLINK("https://www.philgeps.gov.ph/GEPSNONPILOT/Tender/SplashBidNoticeAbstractUI.aspx?menuIndex=3&amp;refID=7048659&amp;Result=3","7048659")</f>
        <v>0</v>
      </c>
      <c r="B11417" t="s">
        <v>585</v>
      </c>
      <c r="C11417" t="s">
        <v>14350</v>
      </c>
      <c r="D11417" t="s">
        <v>18834</v>
      </c>
      <c r="E11417" t="s">
        <v>28722</v>
      </c>
      <c r="F11417" t="s">
        <v>32664</v>
      </c>
      <c r="G11417" t="s">
        <v>32672</v>
      </c>
      <c r="H11417" t="s">
        <v>32683</v>
      </c>
      <c r="I11417" t="s">
        <v>10627</v>
      </c>
      <c r="J11417" t="s">
        <v>34148</v>
      </c>
      <c r="K11417" t="s">
        <v>42311</v>
      </c>
      <c r="M11417" t="s">
        <v>43165</v>
      </c>
      <c r="N11417" t="s">
        <v>46569</v>
      </c>
      <c r="O11417" t="s">
        <v>46570</v>
      </c>
      <c r="P11417">
        <v>0</v>
      </c>
      <c r="Q11417">
        <v>3</v>
      </c>
      <c r="R11417" t="s">
        <v>46579</v>
      </c>
      <c r="S11417" t="s">
        <v>46919</v>
      </c>
      <c r="T11417" t="s">
        <v>48373</v>
      </c>
      <c r="U11417" t="s">
        <v>57944</v>
      </c>
      <c r="W11417" t="s">
        <v>43165</v>
      </c>
      <c r="X11417" t="s">
        <v>46580</v>
      </c>
    </row>
    <row r="11418" spans="1:24">
      <c r="A11418">
        <f>HYPERLINK("https://www.philgeps.gov.ph/GEPSNONPILOT/Tender/SplashBidNoticeAbstractUI.aspx?menuIndex=3&amp;refID=7048509&amp;Result=3","7048509")</f>
        <v>0</v>
      </c>
      <c r="B11418" t="s">
        <v>2077</v>
      </c>
      <c r="C11418" t="s">
        <v>14351</v>
      </c>
      <c r="D11418" t="s">
        <v>18856</v>
      </c>
      <c r="E11418" t="s">
        <v>28723</v>
      </c>
      <c r="F11418" t="s">
        <v>32664</v>
      </c>
      <c r="G11418" t="s">
        <v>32672</v>
      </c>
      <c r="H11418" t="s">
        <v>32683</v>
      </c>
      <c r="I11418" t="s">
        <v>10627</v>
      </c>
      <c r="J11418" t="s">
        <v>39566</v>
      </c>
      <c r="K11418" t="s">
        <v>42298</v>
      </c>
      <c r="M11418" t="s">
        <v>44829</v>
      </c>
      <c r="N11418" t="s">
        <v>46569</v>
      </c>
      <c r="O11418" t="s">
        <v>46570</v>
      </c>
      <c r="P11418">
        <v>0</v>
      </c>
      <c r="Q11418">
        <v>3</v>
      </c>
      <c r="R11418" t="s">
        <v>46579</v>
      </c>
      <c r="S11418" t="s">
        <v>46919</v>
      </c>
      <c r="T11418" t="s">
        <v>48213</v>
      </c>
      <c r="U11418" t="s">
        <v>57945</v>
      </c>
      <c r="W11418" t="s">
        <v>44829</v>
      </c>
      <c r="X11418" t="s">
        <v>46580</v>
      </c>
    </row>
    <row r="11419" spans="1:24">
      <c r="A11419">
        <f>HYPERLINK("https://www.philgeps.gov.ph/GEPSNONPILOT/Tender/SplashBidNoticeAbstractUI.aspx?menuIndex=3&amp;refID=7048678&amp;Result=3","7048678")</f>
        <v>0</v>
      </c>
      <c r="B11419" t="s">
        <v>3056</v>
      </c>
      <c r="C11419" t="s">
        <v>14352</v>
      </c>
      <c r="D11419" t="s">
        <v>18842</v>
      </c>
      <c r="E11419" t="s">
        <v>22102</v>
      </c>
      <c r="F11419" t="s">
        <v>32664</v>
      </c>
      <c r="G11419" t="s">
        <v>32673</v>
      </c>
      <c r="H11419" t="s">
        <v>12635</v>
      </c>
      <c r="I11419" t="s">
        <v>11464</v>
      </c>
      <c r="J11419" t="s">
        <v>39567</v>
      </c>
      <c r="K11419" t="s">
        <v>42281</v>
      </c>
      <c r="M11419" t="s">
        <v>45931</v>
      </c>
      <c r="N11419" t="s">
        <v>46569</v>
      </c>
      <c r="O11419" t="s">
        <v>46570</v>
      </c>
      <c r="P11419">
        <v>0</v>
      </c>
      <c r="Q11419">
        <v>1</v>
      </c>
      <c r="R11419" t="s">
        <v>46579</v>
      </c>
      <c r="S11419" t="s">
        <v>46919</v>
      </c>
      <c r="T11419" t="s">
        <v>48424</v>
      </c>
      <c r="U11419" t="s">
        <v>57946</v>
      </c>
      <c r="W11419" t="s">
        <v>45931</v>
      </c>
      <c r="X11419" t="s">
        <v>46580</v>
      </c>
    </row>
    <row r="11420" spans="1:24">
      <c r="A11420">
        <f>HYPERLINK("https://www.philgeps.gov.ph/GEPSNONPILOT/Tender/SplashBidNoticeAbstractUI.aspx?menuIndex=3&amp;refID=7048665&amp;Result=3","7048665")</f>
        <v>0</v>
      </c>
      <c r="B11420" t="s">
        <v>3060</v>
      </c>
      <c r="C11420" t="s">
        <v>14353</v>
      </c>
      <c r="D11420" t="s">
        <v>18860</v>
      </c>
      <c r="E11420" t="s">
        <v>19950</v>
      </c>
      <c r="F11420" t="s">
        <v>32664</v>
      </c>
      <c r="G11420" t="s">
        <v>32672</v>
      </c>
      <c r="H11420" t="s">
        <v>12635</v>
      </c>
      <c r="I11420" t="s">
        <v>4333</v>
      </c>
      <c r="J11420" t="s">
        <v>39568</v>
      </c>
      <c r="K11420" t="s">
        <v>42284</v>
      </c>
      <c r="M11420" t="s">
        <v>45935</v>
      </c>
      <c r="N11420" t="s">
        <v>46569</v>
      </c>
      <c r="O11420" t="s">
        <v>46570</v>
      </c>
      <c r="P11420">
        <v>0</v>
      </c>
      <c r="Q11420">
        <v>1</v>
      </c>
      <c r="R11420" t="s">
        <v>46579</v>
      </c>
      <c r="S11420" t="s">
        <v>46919</v>
      </c>
      <c r="T11420" t="s">
        <v>48685</v>
      </c>
      <c r="U11420" t="s">
        <v>57947</v>
      </c>
      <c r="V11420" t="s">
        <v>62861</v>
      </c>
      <c r="W11420" t="s">
        <v>45935</v>
      </c>
      <c r="X11420" t="s">
        <v>46580</v>
      </c>
    </row>
    <row r="11421" spans="1:24">
      <c r="A11421">
        <f>HYPERLINK("https://www.philgeps.gov.ph/GEPSNONPILOT/Tender/SplashBidNoticeAbstractUI.aspx?menuIndex=3&amp;refID=7048660&amp;Result=3","7048660")</f>
        <v>0</v>
      </c>
      <c r="B11421" t="s">
        <v>82</v>
      </c>
      <c r="C11421" t="s">
        <v>14354</v>
      </c>
      <c r="D11421" t="s">
        <v>18804</v>
      </c>
      <c r="E11421" t="s">
        <v>19110</v>
      </c>
      <c r="F11421" t="s">
        <v>32664</v>
      </c>
      <c r="G11421" t="s">
        <v>32672</v>
      </c>
      <c r="H11421" t="s">
        <v>12635</v>
      </c>
      <c r="I11421" t="s">
        <v>4439</v>
      </c>
      <c r="J11421" t="s">
        <v>32853</v>
      </c>
      <c r="K11421" t="s">
        <v>42289</v>
      </c>
      <c r="M11421" t="s">
        <v>45936</v>
      </c>
      <c r="N11421" t="s">
        <v>46569</v>
      </c>
      <c r="O11421" t="s">
        <v>46570</v>
      </c>
      <c r="P11421">
        <v>0</v>
      </c>
      <c r="Q11421">
        <v>1</v>
      </c>
      <c r="R11421" t="s">
        <v>46579</v>
      </c>
      <c r="S11421" t="s">
        <v>46919</v>
      </c>
      <c r="T11421" t="s">
        <v>48215</v>
      </c>
      <c r="U11421" t="s">
        <v>57948</v>
      </c>
      <c r="V11421" t="s">
        <v>62862</v>
      </c>
      <c r="W11421" t="s">
        <v>45936</v>
      </c>
      <c r="X11421" t="s">
        <v>46580</v>
      </c>
    </row>
    <row r="11422" spans="1:24">
      <c r="A11422">
        <f>HYPERLINK("https://www.philgeps.gov.ph/GEPSNONPILOT/Tender/SplashBidNoticeAbstractUI.aspx?menuIndex=3&amp;refID=7048516&amp;Result=3","7048516")</f>
        <v>0</v>
      </c>
      <c r="B11422" t="s">
        <v>3037</v>
      </c>
      <c r="C11422" t="s">
        <v>14355</v>
      </c>
      <c r="D11422" t="s">
        <v>18788</v>
      </c>
      <c r="E11422" t="s">
        <v>28724</v>
      </c>
      <c r="F11422" t="s">
        <v>32664</v>
      </c>
      <c r="G11422" t="s">
        <v>32672</v>
      </c>
      <c r="H11422" t="s">
        <v>32683</v>
      </c>
      <c r="I11422" t="s">
        <v>10627</v>
      </c>
      <c r="J11422" t="s">
        <v>39569</v>
      </c>
      <c r="K11422" t="s">
        <v>42290</v>
      </c>
      <c r="M11422" t="s">
        <v>45937</v>
      </c>
      <c r="N11422" t="s">
        <v>46569</v>
      </c>
      <c r="O11422" t="s">
        <v>46570</v>
      </c>
      <c r="P11422">
        <v>0</v>
      </c>
      <c r="Q11422">
        <v>1</v>
      </c>
      <c r="R11422" t="s">
        <v>46579</v>
      </c>
      <c r="S11422" t="s">
        <v>46919</v>
      </c>
      <c r="T11422" t="s">
        <v>48284</v>
      </c>
      <c r="U11422" t="s">
        <v>57949</v>
      </c>
      <c r="W11422" t="s">
        <v>45937</v>
      </c>
      <c r="X11422" t="s">
        <v>46580</v>
      </c>
    </row>
    <row r="11423" spans="1:24">
      <c r="A11423">
        <f>HYPERLINK("https://www.philgeps.gov.ph/GEPSNONPILOT/Tender/SplashBidNoticeAbstractUI.aspx?menuIndex=3&amp;refID=7048508&amp;Result=3","7048508")</f>
        <v>0</v>
      </c>
      <c r="B11423" t="s">
        <v>426</v>
      </c>
      <c r="C11423" t="s">
        <v>14356</v>
      </c>
      <c r="D11423" t="s">
        <v>18841</v>
      </c>
      <c r="E11423" t="s">
        <v>28725</v>
      </c>
      <c r="F11423" t="s">
        <v>32664</v>
      </c>
      <c r="G11423" t="s">
        <v>32672</v>
      </c>
      <c r="H11423" t="s">
        <v>12635</v>
      </c>
      <c r="I11423" t="s">
        <v>4439</v>
      </c>
      <c r="J11423" t="s">
        <v>39570</v>
      </c>
      <c r="K11423" t="s">
        <v>42289</v>
      </c>
      <c r="M11423" t="s">
        <v>42997</v>
      </c>
      <c r="N11423" t="s">
        <v>46569</v>
      </c>
      <c r="O11423" t="s">
        <v>46570</v>
      </c>
      <c r="P11423">
        <v>0</v>
      </c>
      <c r="Q11423">
        <v>0</v>
      </c>
      <c r="R11423" t="s">
        <v>46579</v>
      </c>
      <c r="S11423" t="s">
        <v>46919</v>
      </c>
      <c r="T11423" t="s">
        <v>48448</v>
      </c>
      <c r="U11423" t="s">
        <v>57950</v>
      </c>
      <c r="W11423" t="s">
        <v>42997</v>
      </c>
      <c r="X11423" t="s">
        <v>46580</v>
      </c>
    </row>
    <row r="11424" spans="1:24">
      <c r="A11424">
        <f>HYPERLINK("https://www.philgeps.gov.ph/GEPSNONPILOT/Tender/SplashBidNoticeAbstractUI.aspx?menuIndex=3&amp;refID=7048652&amp;Result=3","7048652")</f>
        <v>0</v>
      </c>
      <c r="B11424" t="s">
        <v>2922</v>
      </c>
      <c r="C11424" t="s">
        <v>14357</v>
      </c>
      <c r="D11424" t="s">
        <v>18790</v>
      </c>
      <c r="E11424" t="s">
        <v>28726</v>
      </c>
      <c r="F11424" t="s">
        <v>32664</v>
      </c>
      <c r="G11424" t="s">
        <v>32672</v>
      </c>
      <c r="H11424" t="s">
        <v>32683</v>
      </c>
      <c r="I11424" t="s">
        <v>10627</v>
      </c>
      <c r="J11424" t="s">
        <v>39571</v>
      </c>
      <c r="K11424" t="s">
        <v>42520</v>
      </c>
      <c r="L11424" t="s">
        <v>2922</v>
      </c>
      <c r="M11424" t="s">
        <v>45775</v>
      </c>
      <c r="N11424" t="s">
        <v>46569</v>
      </c>
      <c r="O11424" t="s">
        <v>46570</v>
      </c>
      <c r="Q11424">
        <v>4</v>
      </c>
      <c r="R11424" t="s">
        <v>46579</v>
      </c>
      <c r="S11424" t="s">
        <v>46938</v>
      </c>
      <c r="T11424" t="s">
        <v>48284</v>
      </c>
      <c r="U11424" t="s">
        <v>57951</v>
      </c>
      <c r="W11424" t="s">
        <v>45775</v>
      </c>
      <c r="X11424" t="s">
        <v>46580</v>
      </c>
    </row>
    <row r="11425" spans="1:24">
      <c r="A11425">
        <f>HYPERLINK("https://www.philgeps.gov.ph/GEPSNONPILOT/Tender/SplashBidNoticeAbstractUI.aspx?menuIndex=3&amp;refID=7048563&amp;Result=3","7048563")</f>
        <v>0</v>
      </c>
      <c r="B11425" t="s">
        <v>3060</v>
      </c>
      <c r="C11425" t="s">
        <v>14358</v>
      </c>
      <c r="D11425" t="s">
        <v>18860</v>
      </c>
      <c r="E11425" t="s">
        <v>21803</v>
      </c>
      <c r="F11425" t="s">
        <v>32664</v>
      </c>
      <c r="G11425" t="s">
        <v>32672</v>
      </c>
      <c r="H11425" t="s">
        <v>32683</v>
      </c>
      <c r="I11425" t="s">
        <v>10627</v>
      </c>
      <c r="J11425" t="s">
        <v>39572</v>
      </c>
      <c r="K11425" t="s">
        <v>42321</v>
      </c>
      <c r="M11425" t="s">
        <v>45935</v>
      </c>
      <c r="N11425" t="s">
        <v>46569</v>
      </c>
      <c r="O11425" t="s">
        <v>46570</v>
      </c>
      <c r="P11425">
        <v>0</v>
      </c>
      <c r="Q11425">
        <v>0</v>
      </c>
      <c r="R11425" t="s">
        <v>46579</v>
      </c>
      <c r="S11425" t="s">
        <v>46919</v>
      </c>
      <c r="T11425" t="s">
        <v>48686</v>
      </c>
      <c r="U11425" t="s">
        <v>57952</v>
      </c>
      <c r="V11425" t="s">
        <v>62863</v>
      </c>
      <c r="W11425" t="s">
        <v>45935</v>
      </c>
      <c r="X11425" t="s">
        <v>46580</v>
      </c>
    </row>
    <row r="11426" spans="1:24">
      <c r="A11426">
        <f>HYPERLINK("https://www.philgeps.gov.ph/GEPSNONPILOT/Tender/SplashBidNoticeAbstractUI.aspx?menuIndex=3&amp;refID=7048456&amp;Result=3","7048456")</f>
        <v>0</v>
      </c>
      <c r="B11426" t="s">
        <v>3061</v>
      </c>
      <c r="C11426" t="s">
        <v>14359</v>
      </c>
      <c r="E11426" t="s">
        <v>20272</v>
      </c>
      <c r="F11426" t="s">
        <v>32666</v>
      </c>
      <c r="G11426" t="s">
        <v>32672</v>
      </c>
      <c r="H11426" t="s">
        <v>12635</v>
      </c>
      <c r="I11426" t="s">
        <v>4439</v>
      </c>
      <c r="J11426" t="s">
        <v>34534</v>
      </c>
      <c r="K11426" t="s">
        <v>42283</v>
      </c>
      <c r="M11426" t="s">
        <v>45938</v>
      </c>
      <c r="N11426" t="s">
        <v>46569</v>
      </c>
      <c r="O11426" t="s">
        <v>46570</v>
      </c>
      <c r="P11426">
        <v>0</v>
      </c>
      <c r="Q11426">
        <v>0</v>
      </c>
      <c r="R11426" t="s">
        <v>46579</v>
      </c>
      <c r="S11426" t="s">
        <v>46919</v>
      </c>
      <c r="T11426" t="s">
        <v>48264</v>
      </c>
      <c r="U11426" t="s">
        <v>50059</v>
      </c>
      <c r="W11426" t="s">
        <v>45938</v>
      </c>
      <c r="X11426" t="s">
        <v>46580</v>
      </c>
    </row>
    <row r="11427" spans="1:24">
      <c r="A11427">
        <f>HYPERLINK("https://www.philgeps.gov.ph/GEPSNONPILOT/Tender/SplashBidNoticeAbstractUI.aspx?menuIndex=3&amp;refID=7048605&amp;Result=3","7048605")</f>
        <v>0</v>
      </c>
      <c r="B11427" t="s">
        <v>426</v>
      </c>
      <c r="C11427" t="s">
        <v>14360</v>
      </c>
      <c r="D11427" t="s">
        <v>18841</v>
      </c>
      <c r="E11427" t="s">
        <v>28727</v>
      </c>
      <c r="F11427" t="s">
        <v>32664</v>
      </c>
      <c r="G11427" t="s">
        <v>32671</v>
      </c>
      <c r="H11427" t="s">
        <v>12635</v>
      </c>
      <c r="I11427" t="s">
        <v>32706</v>
      </c>
      <c r="J11427" t="s">
        <v>32917</v>
      </c>
      <c r="K11427" t="s">
        <v>42289</v>
      </c>
      <c r="M11427" t="s">
        <v>42997</v>
      </c>
      <c r="N11427" t="s">
        <v>46569</v>
      </c>
      <c r="O11427" t="s">
        <v>46570</v>
      </c>
      <c r="P11427">
        <v>0</v>
      </c>
      <c r="Q11427">
        <v>0</v>
      </c>
      <c r="R11427" t="s">
        <v>46579</v>
      </c>
      <c r="S11427" t="s">
        <v>46919</v>
      </c>
      <c r="T11427" t="s">
        <v>48448</v>
      </c>
      <c r="U11427" t="s">
        <v>57953</v>
      </c>
      <c r="W11427" t="s">
        <v>42997</v>
      </c>
      <c r="X11427" t="s">
        <v>46580</v>
      </c>
    </row>
    <row r="11428" spans="1:24">
      <c r="A11428">
        <f>HYPERLINK("https://www.philgeps.gov.ph/GEPSNONPILOT/Tender/SplashBidNoticeAbstractUI.aspx?menuIndex=3&amp;refID=7048666&amp;Result=3","7048666")</f>
        <v>0</v>
      </c>
      <c r="B11428" t="s">
        <v>139</v>
      </c>
      <c r="C11428" t="s">
        <v>14361</v>
      </c>
      <c r="D11428" t="s">
        <v>18809</v>
      </c>
      <c r="E11428" t="s">
        <v>28728</v>
      </c>
      <c r="F11428" t="s">
        <v>32664</v>
      </c>
      <c r="G11428" t="s">
        <v>32674</v>
      </c>
      <c r="H11428" t="s">
        <v>12635</v>
      </c>
      <c r="I11428" t="s">
        <v>4439</v>
      </c>
      <c r="J11428" t="s">
        <v>39573</v>
      </c>
      <c r="K11428" t="s">
        <v>42289</v>
      </c>
      <c r="M11428" t="s">
        <v>42703</v>
      </c>
      <c r="N11428" t="s">
        <v>46569</v>
      </c>
      <c r="O11428" t="s">
        <v>46570</v>
      </c>
      <c r="P11428">
        <v>0</v>
      </c>
      <c r="Q11428">
        <v>0</v>
      </c>
      <c r="R11428" t="s">
        <v>46579</v>
      </c>
      <c r="S11428" t="s">
        <v>46919</v>
      </c>
      <c r="T11428" t="s">
        <v>48376</v>
      </c>
      <c r="U11428" t="s">
        <v>49056</v>
      </c>
      <c r="W11428" t="s">
        <v>42703</v>
      </c>
      <c r="X11428" t="s">
        <v>46580</v>
      </c>
    </row>
    <row r="11429" spans="1:24">
      <c r="A11429">
        <f>HYPERLINK("https://www.philgeps.gov.ph/GEPSNONPILOT/Tender/SplashBidNoticeAbstractUI.aspx?menuIndex=3&amp;refID=7048595&amp;Result=3","7048595")</f>
        <v>0</v>
      </c>
      <c r="B11429" t="s">
        <v>304</v>
      </c>
      <c r="C11429" t="s">
        <v>14362</v>
      </c>
      <c r="D11429" t="s">
        <v>18792</v>
      </c>
      <c r="E11429" t="s">
        <v>19460</v>
      </c>
      <c r="F11429" t="s">
        <v>32664</v>
      </c>
      <c r="G11429" t="s">
        <v>32672</v>
      </c>
      <c r="H11429" t="s">
        <v>32681</v>
      </c>
      <c r="I11429" t="s">
        <v>32681</v>
      </c>
      <c r="J11429" t="s">
        <v>39574</v>
      </c>
      <c r="K11429" t="s">
        <v>42283</v>
      </c>
      <c r="L11429" t="s">
        <v>304</v>
      </c>
      <c r="M11429" t="s">
        <v>42871</v>
      </c>
      <c r="N11429" t="s">
        <v>46569</v>
      </c>
      <c r="O11429" t="s">
        <v>46570</v>
      </c>
      <c r="P11429">
        <v>0</v>
      </c>
      <c r="Q11429">
        <v>4</v>
      </c>
      <c r="R11429" t="s">
        <v>46579</v>
      </c>
      <c r="S11429" t="s">
        <v>46919</v>
      </c>
      <c r="T11429" t="s">
        <v>48283</v>
      </c>
      <c r="U11429" t="s">
        <v>57954</v>
      </c>
      <c r="W11429" t="s">
        <v>42871</v>
      </c>
      <c r="X11429" t="s">
        <v>46580</v>
      </c>
    </row>
    <row r="11430" spans="1:24">
      <c r="A11430">
        <f>HYPERLINK("https://www.philgeps.gov.ph/GEPSNONPILOT/Tender/SplashBidNoticeAbstractUI.aspx?menuIndex=3&amp;refID=7048591&amp;Result=3","7048591")</f>
        <v>0</v>
      </c>
      <c r="B11430" t="s">
        <v>1049</v>
      </c>
      <c r="C11430" t="s">
        <v>14363</v>
      </c>
      <c r="E11430" t="s">
        <v>28729</v>
      </c>
      <c r="F11430" t="s">
        <v>32664</v>
      </c>
      <c r="G11430" t="s">
        <v>32671</v>
      </c>
      <c r="H11430" t="s">
        <v>12635</v>
      </c>
      <c r="I11430" t="s">
        <v>32800</v>
      </c>
      <c r="J11430" t="s">
        <v>32853</v>
      </c>
      <c r="K11430" t="s">
        <v>42281</v>
      </c>
      <c r="M11430" t="s">
        <v>45266</v>
      </c>
      <c r="N11430" t="s">
        <v>46569</v>
      </c>
      <c r="O11430" t="s">
        <v>46570</v>
      </c>
      <c r="P11430">
        <v>0</v>
      </c>
      <c r="Q11430">
        <v>4</v>
      </c>
      <c r="R11430" t="s">
        <v>46579</v>
      </c>
      <c r="S11430" t="s">
        <v>46919</v>
      </c>
      <c r="T11430" t="s">
        <v>48427</v>
      </c>
      <c r="U11430" t="s">
        <v>57955</v>
      </c>
      <c r="W11430" t="s">
        <v>63560</v>
      </c>
      <c r="X11430" t="s">
        <v>46580</v>
      </c>
    </row>
    <row r="11431" spans="1:24">
      <c r="A11431">
        <f>HYPERLINK("https://www.philgeps.gov.ph/GEPSNONPILOT/Tender/SplashBidNoticeAbstractUI.aspx?menuIndex=3&amp;refID=7048587&amp;Result=3","7048587")</f>
        <v>0</v>
      </c>
      <c r="B11431" t="s">
        <v>891</v>
      </c>
      <c r="C11431" t="s">
        <v>14364</v>
      </c>
      <c r="D11431" t="s">
        <v>18830</v>
      </c>
      <c r="E11431" t="s">
        <v>28730</v>
      </c>
      <c r="F11431" t="s">
        <v>32664</v>
      </c>
      <c r="G11431" t="s">
        <v>32672</v>
      </c>
      <c r="H11431" t="s">
        <v>32683</v>
      </c>
      <c r="I11431" t="s">
        <v>10627</v>
      </c>
      <c r="J11431" t="s">
        <v>37270</v>
      </c>
      <c r="K11431" t="s">
        <v>42521</v>
      </c>
      <c r="M11431" t="s">
        <v>43494</v>
      </c>
      <c r="N11431" t="s">
        <v>46569</v>
      </c>
      <c r="O11431" t="s">
        <v>46570</v>
      </c>
      <c r="P11431">
        <v>0</v>
      </c>
      <c r="Q11431">
        <v>1</v>
      </c>
      <c r="R11431" t="s">
        <v>46579</v>
      </c>
      <c r="S11431" t="s">
        <v>46919</v>
      </c>
      <c r="T11431" t="s">
        <v>48284</v>
      </c>
      <c r="U11431" t="s">
        <v>57956</v>
      </c>
      <c r="V11431" t="s">
        <v>62864</v>
      </c>
      <c r="W11431" t="s">
        <v>43494</v>
      </c>
      <c r="X11431" t="s">
        <v>46580</v>
      </c>
    </row>
    <row r="11432" spans="1:24">
      <c r="A11432">
        <f>HYPERLINK("https://www.philgeps.gov.ph/GEPSNONPILOT/Tender/SplashBidNoticeAbstractUI.aspx?menuIndex=3&amp;refID=7048568&amp;Result=3","7048568")</f>
        <v>0</v>
      </c>
      <c r="B11432" t="s">
        <v>585</v>
      </c>
      <c r="C11432" t="s">
        <v>14365</v>
      </c>
      <c r="D11432" t="s">
        <v>18834</v>
      </c>
      <c r="E11432" t="s">
        <v>28731</v>
      </c>
      <c r="F11432" t="s">
        <v>32664</v>
      </c>
      <c r="G11432" t="s">
        <v>32672</v>
      </c>
      <c r="H11432" t="s">
        <v>12635</v>
      </c>
      <c r="I11432" t="s">
        <v>8797</v>
      </c>
      <c r="J11432" t="s">
        <v>39575</v>
      </c>
      <c r="K11432" t="s">
        <v>42281</v>
      </c>
      <c r="M11432" t="s">
        <v>43165</v>
      </c>
      <c r="N11432" t="s">
        <v>46569</v>
      </c>
      <c r="O11432" t="s">
        <v>46570</v>
      </c>
      <c r="P11432">
        <v>0</v>
      </c>
      <c r="Q11432">
        <v>1</v>
      </c>
      <c r="R11432" t="s">
        <v>46579</v>
      </c>
      <c r="S11432" t="s">
        <v>46919</v>
      </c>
      <c r="T11432" t="s">
        <v>48427</v>
      </c>
      <c r="U11432" t="s">
        <v>57957</v>
      </c>
      <c r="W11432" t="s">
        <v>43165</v>
      </c>
      <c r="X11432" t="s">
        <v>46580</v>
      </c>
    </row>
    <row r="11433" spans="1:24">
      <c r="A11433">
        <f>HYPERLINK("https://www.philgeps.gov.ph/GEPSNONPILOT/Tender/SplashBidNoticeAbstractUI.aspx?menuIndex=3&amp;refID=7048566&amp;Result=3","7048566")</f>
        <v>0</v>
      </c>
      <c r="B11433" t="s">
        <v>426</v>
      </c>
      <c r="C11433" t="s">
        <v>14366</v>
      </c>
      <c r="D11433" t="s">
        <v>18841</v>
      </c>
      <c r="E11433" t="s">
        <v>28732</v>
      </c>
      <c r="F11433" t="s">
        <v>32664</v>
      </c>
      <c r="G11433" t="s">
        <v>32671</v>
      </c>
      <c r="H11433" t="s">
        <v>12635</v>
      </c>
      <c r="I11433" t="s">
        <v>32706</v>
      </c>
      <c r="J11433" t="s">
        <v>32831</v>
      </c>
      <c r="K11433" t="s">
        <v>42289</v>
      </c>
      <c r="M11433" t="s">
        <v>42997</v>
      </c>
      <c r="N11433" t="s">
        <v>46569</v>
      </c>
      <c r="O11433" t="s">
        <v>46570</v>
      </c>
      <c r="P11433">
        <v>0</v>
      </c>
      <c r="Q11433">
        <v>0</v>
      </c>
      <c r="R11433" t="s">
        <v>46579</v>
      </c>
      <c r="S11433" t="s">
        <v>46919</v>
      </c>
      <c r="T11433" t="s">
        <v>48448</v>
      </c>
      <c r="U11433" t="s">
        <v>57958</v>
      </c>
      <c r="W11433" t="s">
        <v>42997</v>
      </c>
      <c r="X11433" t="s">
        <v>46580</v>
      </c>
    </row>
    <row r="11434" spans="1:24">
      <c r="A11434">
        <f>HYPERLINK("https://www.philgeps.gov.ph/GEPSNONPILOT/Tender/SplashBidNoticeAbstractUI.aspx?menuIndex=3&amp;refID=7048550&amp;Result=3","7048550")</f>
        <v>0</v>
      </c>
      <c r="B11434" t="s">
        <v>2077</v>
      </c>
      <c r="C11434" t="s">
        <v>14367</v>
      </c>
      <c r="D11434" t="s">
        <v>18856</v>
      </c>
      <c r="E11434" t="s">
        <v>28733</v>
      </c>
      <c r="F11434" t="s">
        <v>32664</v>
      </c>
      <c r="G11434" t="s">
        <v>32672</v>
      </c>
      <c r="H11434" t="s">
        <v>12635</v>
      </c>
      <c r="I11434" t="s">
        <v>6628</v>
      </c>
      <c r="J11434" t="s">
        <v>39576</v>
      </c>
      <c r="K11434" t="s">
        <v>42281</v>
      </c>
      <c r="M11434" t="s">
        <v>44829</v>
      </c>
      <c r="N11434" t="s">
        <v>46569</v>
      </c>
      <c r="O11434" t="s">
        <v>46570</v>
      </c>
      <c r="P11434">
        <v>0</v>
      </c>
      <c r="Q11434">
        <v>5</v>
      </c>
      <c r="R11434" t="s">
        <v>46579</v>
      </c>
      <c r="S11434" t="s">
        <v>46919</v>
      </c>
      <c r="T11434" t="s">
        <v>48213</v>
      </c>
      <c r="U11434" t="s">
        <v>57959</v>
      </c>
      <c r="W11434" t="s">
        <v>44829</v>
      </c>
      <c r="X11434" t="s">
        <v>46580</v>
      </c>
    </row>
    <row r="11435" spans="1:24">
      <c r="A11435">
        <f>HYPERLINK("https://www.philgeps.gov.ph/GEPSNONPILOT/Tender/SplashBidNoticeAbstractUI.aspx?menuIndex=3&amp;refID=7048612&amp;Result=3","7048612")</f>
        <v>0</v>
      </c>
      <c r="B11435" t="s">
        <v>585</v>
      </c>
      <c r="C11435" t="s">
        <v>14368</v>
      </c>
      <c r="D11435" t="s">
        <v>18834</v>
      </c>
      <c r="E11435" t="s">
        <v>28734</v>
      </c>
      <c r="F11435" t="s">
        <v>32664</v>
      </c>
      <c r="G11435" t="s">
        <v>32672</v>
      </c>
      <c r="H11435" t="s">
        <v>12635</v>
      </c>
      <c r="I11435" t="s">
        <v>9486</v>
      </c>
      <c r="J11435" t="s">
        <v>39577</v>
      </c>
      <c r="K11435" t="s">
        <v>42281</v>
      </c>
      <c r="M11435" t="s">
        <v>43165</v>
      </c>
      <c r="N11435" t="s">
        <v>46569</v>
      </c>
      <c r="O11435" t="s">
        <v>46570</v>
      </c>
      <c r="P11435">
        <v>0</v>
      </c>
      <c r="Q11435">
        <v>5</v>
      </c>
      <c r="R11435" t="s">
        <v>46579</v>
      </c>
      <c r="S11435" t="s">
        <v>46919</v>
      </c>
      <c r="T11435" t="s">
        <v>48427</v>
      </c>
      <c r="U11435" t="s">
        <v>57960</v>
      </c>
      <c r="W11435" t="s">
        <v>43165</v>
      </c>
      <c r="X11435" t="s">
        <v>46580</v>
      </c>
    </row>
    <row r="11436" spans="1:24">
      <c r="A11436">
        <f>HYPERLINK("https://www.philgeps.gov.ph/GEPSNONPILOT/Tender/SplashBidNoticeAbstractUI.aspx?menuIndex=3&amp;refID=7048629&amp;Result=3","7048629")</f>
        <v>0</v>
      </c>
      <c r="B11436" t="s">
        <v>139</v>
      </c>
      <c r="C11436" t="s">
        <v>14369</v>
      </c>
      <c r="D11436" t="s">
        <v>18809</v>
      </c>
      <c r="E11436" t="s">
        <v>28735</v>
      </c>
      <c r="F11436" t="s">
        <v>32664</v>
      </c>
      <c r="G11436" t="s">
        <v>32674</v>
      </c>
      <c r="H11436" t="s">
        <v>12635</v>
      </c>
      <c r="I11436" t="s">
        <v>8730</v>
      </c>
      <c r="J11436" t="s">
        <v>33626</v>
      </c>
      <c r="K11436" t="s">
        <v>42289</v>
      </c>
      <c r="M11436" t="s">
        <v>42703</v>
      </c>
      <c r="N11436" t="s">
        <v>46569</v>
      </c>
      <c r="O11436" t="s">
        <v>46570</v>
      </c>
      <c r="P11436">
        <v>0</v>
      </c>
      <c r="Q11436">
        <v>1</v>
      </c>
      <c r="R11436" t="s">
        <v>46579</v>
      </c>
      <c r="S11436" t="s">
        <v>46919</v>
      </c>
      <c r="T11436" t="s">
        <v>48376</v>
      </c>
      <c r="U11436" t="s">
        <v>49056</v>
      </c>
      <c r="W11436" t="s">
        <v>42703</v>
      </c>
      <c r="X11436" t="s">
        <v>46580</v>
      </c>
    </row>
    <row r="11437" spans="1:24">
      <c r="A11437">
        <f>HYPERLINK("https://www.philgeps.gov.ph/GEPSNONPILOT/Tender/SplashBidNoticeAbstractUI.aspx?menuIndex=3&amp;refID=7048764&amp;Result=3","7048764")</f>
        <v>0</v>
      </c>
      <c r="B11437" t="s">
        <v>2922</v>
      </c>
      <c r="C11437" t="s">
        <v>14370</v>
      </c>
      <c r="D11437" t="s">
        <v>18790</v>
      </c>
      <c r="E11437" t="s">
        <v>28736</v>
      </c>
      <c r="F11437" t="s">
        <v>32664</v>
      </c>
      <c r="G11437" t="s">
        <v>32672</v>
      </c>
      <c r="H11437" t="s">
        <v>32683</v>
      </c>
      <c r="I11437" t="s">
        <v>10627</v>
      </c>
      <c r="J11437" t="s">
        <v>39571</v>
      </c>
      <c r="K11437" t="s">
        <v>42520</v>
      </c>
      <c r="L11437" t="s">
        <v>2922</v>
      </c>
      <c r="M11437" t="s">
        <v>45775</v>
      </c>
      <c r="N11437" t="s">
        <v>46569</v>
      </c>
      <c r="O11437" t="s">
        <v>46570</v>
      </c>
      <c r="Q11437">
        <v>2</v>
      </c>
      <c r="R11437" t="s">
        <v>46579</v>
      </c>
      <c r="S11437" t="s">
        <v>46939</v>
      </c>
      <c r="T11437" t="s">
        <v>48284</v>
      </c>
      <c r="U11437" t="s">
        <v>57961</v>
      </c>
      <c r="W11437" t="s">
        <v>45775</v>
      </c>
      <c r="X11437" t="s">
        <v>46580</v>
      </c>
    </row>
    <row r="11438" spans="1:24">
      <c r="A11438">
        <f>HYPERLINK("https://www.philgeps.gov.ph/GEPSNONPILOT/Tender/SplashBidNoticeAbstractUI.aspx?menuIndex=3&amp;refID=7048769&amp;Result=3","7048769")</f>
        <v>0</v>
      </c>
      <c r="B11438" t="s">
        <v>1920</v>
      </c>
      <c r="C11438" t="s">
        <v>14371</v>
      </c>
      <c r="D11438" t="s">
        <v>18789</v>
      </c>
      <c r="E11438" t="s">
        <v>28715</v>
      </c>
      <c r="F11438" t="s">
        <v>32664</v>
      </c>
      <c r="G11438" t="s">
        <v>32672</v>
      </c>
      <c r="H11438" t="s">
        <v>12635</v>
      </c>
      <c r="I11438" t="s">
        <v>8958</v>
      </c>
      <c r="J11438" t="s">
        <v>32917</v>
      </c>
      <c r="K11438" t="s">
        <v>42297</v>
      </c>
      <c r="M11438" t="s">
        <v>44641</v>
      </c>
      <c r="N11438" t="s">
        <v>46569</v>
      </c>
      <c r="O11438" t="s">
        <v>46570</v>
      </c>
      <c r="P11438">
        <v>0</v>
      </c>
      <c r="Q11438">
        <v>1</v>
      </c>
      <c r="R11438" t="s">
        <v>46579</v>
      </c>
      <c r="S11438" t="s">
        <v>46919</v>
      </c>
      <c r="T11438" t="s">
        <v>48316</v>
      </c>
      <c r="U11438" t="s">
        <v>57962</v>
      </c>
      <c r="W11438" t="s">
        <v>44641</v>
      </c>
      <c r="X11438" t="s">
        <v>46580</v>
      </c>
    </row>
    <row r="11439" spans="1:24">
      <c r="A11439">
        <f>HYPERLINK("https://www.philgeps.gov.ph/GEPSNONPILOT/Tender/SplashBidNoticeAbstractUI.aspx?menuIndex=3&amp;refID=7048766&amp;Result=3","7048766")</f>
        <v>0</v>
      </c>
      <c r="B11439" t="s">
        <v>2389</v>
      </c>
      <c r="C11439" t="s">
        <v>14372</v>
      </c>
      <c r="D11439" t="s">
        <v>18802</v>
      </c>
      <c r="E11439" t="s">
        <v>28737</v>
      </c>
      <c r="F11439" t="s">
        <v>32664</v>
      </c>
      <c r="G11439" t="s">
        <v>32672</v>
      </c>
      <c r="H11439" t="s">
        <v>32683</v>
      </c>
      <c r="I11439" t="s">
        <v>10627</v>
      </c>
      <c r="J11439" t="s">
        <v>35067</v>
      </c>
      <c r="K11439" t="s">
        <v>42415</v>
      </c>
      <c r="M11439" t="s">
        <v>45179</v>
      </c>
      <c r="N11439" t="s">
        <v>46569</v>
      </c>
      <c r="O11439" t="s">
        <v>46570</v>
      </c>
      <c r="P11439">
        <v>0</v>
      </c>
      <c r="Q11439">
        <v>0</v>
      </c>
      <c r="R11439" t="s">
        <v>46579</v>
      </c>
      <c r="S11439" t="s">
        <v>46919</v>
      </c>
      <c r="T11439" t="s">
        <v>48236</v>
      </c>
      <c r="U11439" t="s">
        <v>57963</v>
      </c>
      <c r="W11439" t="s">
        <v>45179</v>
      </c>
      <c r="X11439" t="s">
        <v>46580</v>
      </c>
    </row>
    <row r="11440" spans="1:24">
      <c r="A11440">
        <f>HYPERLINK("https://www.philgeps.gov.ph/GEPSNONPILOT/Tender/SplashBidNoticeAbstractUI.aspx?menuIndex=3&amp;refID=7048455&amp;Result=3","7048455")</f>
        <v>0</v>
      </c>
      <c r="B11440" t="s">
        <v>3042</v>
      </c>
      <c r="C11440" t="s">
        <v>14373</v>
      </c>
      <c r="D11440" t="s">
        <v>18840</v>
      </c>
      <c r="E11440" t="s">
        <v>28738</v>
      </c>
      <c r="F11440" t="s">
        <v>32664</v>
      </c>
      <c r="G11440" t="s">
        <v>32672</v>
      </c>
      <c r="H11440" t="s">
        <v>12635</v>
      </c>
      <c r="I11440" t="s">
        <v>32699</v>
      </c>
      <c r="J11440" t="s">
        <v>39578</v>
      </c>
      <c r="K11440" t="s">
        <v>42284</v>
      </c>
      <c r="M11440" t="s">
        <v>45915</v>
      </c>
      <c r="N11440" t="s">
        <v>46569</v>
      </c>
      <c r="O11440" t="s">
        <v>46570</v>
      </c>
      <c r="P11440">
        <v>0</v>
      </c>
      <c r="Q11440">
        <v>2</v>
      </c>
      <c r="R11440" t="s">
        <v>46579</v>
      </c>
      <c r="S11440" t="s">
        <v>46919</v>
      </c>
      <c r="T11440" t="s">
        <v>48248</v>
      </c>
      <c r="U11440" t="s">
        <v>57881</v>
      </c>
      <c r="V11440" t="s">
        <v>62846</v>
      </c>
      <c r="W11440" t="s">
        <v>45915</v>
      </c>
      <c r="X11440" t="s">
        <v>46580</v>
      </c>
    </row>
    <row r="11441" spans="1:24">
      <c r="A11441">
        <f>HYPERLINK("https://www.philgeps.gov.ph/GEPSNONPILOT/Tender/SplashBidNoticeAbstractUI.aspx?menuIndex=3&amp;refID=7048753&amp;Result=3","7048753")</f>
        <v>0</v>
      </c>
      <c r="B11441" t="s">
        <v>2022</v>
      </c>
      <c r="C11441" t="s">
        <v>14374</v>
      </c>
      <c r="D11441" t="s">
        <v>18875</v>
      </c>
      <c r="E11441" t="s">
        <v>28739</v>
      </c>
      <c r="F11441" t="s">
        <v>32664</v>
      </c>
      <c r="G11441" t="s">
        <v>32677</v>
      </c>
      <c r="H11441" t="s">
        <v>12635</v>
      </c>
      <c r="I11441" t="s">
        <v>32699</v>
      </c>
      <c r="J11441" t="s">
        <v>39579</v>
      </c>
      <c r="K11441" t="s">
        <v>42298</v>
      </c>
      <c r="M11441" t="s">
        <v>44764</v>
      </c>
      <c r="N11441" t="s">
        <v>46569</v>
      </c>
      <c r="O11441" t="s">
        <v>46570</v>
      </c>
      <c r="P11441">
        <v>0</v>
      </c>
      <c r="Q11441">
        <v>1</v>
      </c>
      <c r="R11441" t="s">
        <v>46579</v>
      </c>
      <c r="S11441" t="s">
        <v>46919</v>
      </c>
      <c r="T11441" t="s">
        <v>48449</v>
      </c>
      <c r="U11441" t="s">
        <v>57964</v>
      </c>
      <c r="W11441" t="s">
        <v>44764</v>
      </c>
      <c r="X11441" t="s">
        <v>46580</v>
      </c>
    </row>
    <row r="11442" spans="1:24">
      <c r="A11442">
        <f>HYPERLINK("https://www.philgeps.gov.ph/GEPSNONPILOT/Tender/SplashBidNoticeAbstractUI.aspx?menuIndex=3&amp;refID=7048746&amp;Result=3","7048746")</f>
        <v>0</v>
      </c>
      <c r="B11442" t="s">
        <v>2922</v>
      </c>
      <c r="C11442" t="s">
        <v>14375</v>
      </c>
      <c r="D11442" t="s">
        <v>18792</v>
      </c>
      <c r="E11442" t="s">
        <v>28740</v>
      </c>
      <c r="F11442" t="s">
        <v>32664</v>
      </c>
      <c r="G11442" t="s">
        <v>32672</v>
      </c>
      <c r="H11442" t="s">
        <v>32683</v>
      </c>
      <c r="I11442" t="s">
        <v>10627</v>
      </c>
      <c r="J11442" t="s">
        <v>39571</v>
      </c>
      <c r="K11442" t="s">
        <v>42520</v>
      </c>
      <c r="L11442" t="s">
        <v>2922</v>
      </c>
      <c r="M11442" t="s">
        <v>45775</v>
      </c>
      <c r="N11442" t="s">
        <v>46569</v>
      </c>
      <c r="O11442" t="s">
        <v>46570</v>
      </c>
      <c r="Q11442">
        <v>3</v>
      </c>
      <c r="R11442" t="s">
        <v>46579</v>
      </c>
      <c r="S11442" t="s">
        <v>46940</v>
      </c>
      <c r="T11442" t="s">
        <v>48284</v>
      </c>
      <c r="U11442" t="s">
        <v>57965</v>
      </c>
      <c r="W11442" t="s">
        <v>45775</v>
      </c>
      <c r="X11442" t="s">
        <v>46580</v>
      </c>
    </row>
    <row r="11443" spans="1:24">
      <c r="A11443">
        <f>HYPERLINK("https://www.philgeps.gov.ph/GEPSNONPILOT/Tender/SplashBidNoticeAbstractUI.aspx?menuIndex=3&amp;refID=7048742&amp;Result=3","7048742")</f>
        <v>0</v>
      </c>
      <c r="B11443" t="s">
        <v>689</v>
      </c>
      <c r="C11443" t="s">
        <v>5047</v>
      </c>
      <c r="D11443" t="s">
        <v>18800</v>
      </c>
      <c r="E11443" t="s">
        <v>28741</v>
      </c>
      <c r="F11443" t="s">
        <v>32664</v>
      </c>
      <c r="G11443" t="s">
        <v>32671</v>
      </c>
      <c r="H11443" t="s">
        <v>12635</v>
      </c>
      <c r="I11443" t="s">
        <v>9486</v>
      </c>
      <c r="J11443" t="s">
        <v>39580</v>
      </c>
      <c r="K11443" t="s">
        <v>42281</v>
      </c>
      <c r="M11443" t="s">
        <v>43276</v>
      </c>
      <c r="N11443" t="s">
        <v>46569</v>
      </c>
      <c r="O11443" t="s">
        <v>46570</v>
      </c>
      <c r="P11443">
        <v>0</v>
      </c>
      <c r="Q11443">
        <v>1</v>
      </c>
      <c r="R11443" t="s">
        <v>46579</v>
      </c>
      <c r="S11443" t="s">
        <v>46919</v>
      </c>
      <c r="T11443" t="s">
        <v>48293</v>
      </c>
      <c r="U11443" t="s">
        <v>53962</v>
      </c>
      <c r="V11443" t="s">
        <v>61795</v>
      </c>
      <c r="W11443" t="s">
        <v>43276</v>
      </c>
      <c r="X11443" t="s">
        <v>46580</v>
      </c>
    </row>
    <row r="11444" spans="1:24">
      <c r="A11444">
        <f>HYPERLINK("https://www.philgeps.gov.ph/GEPSNONPILOT/Tender/SplashBidNoticeAbstractUI.aspx?menuIndex=3&amp;refID=7048762&amp;Result=3","7048762")</f>
        <v>0</v>
      </c>
      <c r="B11444" t="s">
        <v>3062</v>
      </c>
      <c r="C11444" t="s">
        <v>14376</v>
      </c>
      <c r="D11444" t="s">
        <v>18834</v>
      </c>
      <c r="E11444" t="s">
        <v>28742</v>
      </c>
      <c r="F11444" t="s">
        <v>32664</v>
      </c>
      <c r="G11444" t="s">
        <v>32672</v>
      </c>
      <c r="H11444" t="s">
        <v>12635</v>
      </c>
      <c r="I11444" t="s">
        <v>32706</v>
      </c>
      <c r="J11444" t="s">
        <v>39581</v>
      </c>
      <c r="K11444" t="s">
        <v>42311</v>
      </c>
      <c r="M11444" t="s">
        <v>45939</v>
      </c>
      <c r="N11444" t="s">
        <v>46569</v>
      </c>
      <c r="O11444" t="s">
        <v>46570</v>
      </c>
      <c r="Q11444">
        <v>1</v>
      </c>
      <c r="R11444" t="s">
        <v>46579</v>
      </c>
      <c r="S11444" t="s">
        <v>46941</v>
      </c>
      <c r="T11444" t="s">
        <v>48284</v>
      </c>
      <c r="U11444" t="s">
        <v>57966</v>
      </c>
      <c r="W11444" t="s">
        <v>45939</v>
      </c>
      <c r="X11444" t="s">
        <v>46580</v>
      </c>
    </row>
    <row r="11445" spans="1:24">
      <c r="A11445">
        <f>HYPERLINK("https://www.philgeps.gov.ph/GEPSNONPILOT/Tender/SplashBidNoticeAbstractUI.aspx?menuIndex=3&amp;refID=7048740&amp;Result=3","7048740")</f>
        <v>0</v>
      </c>
      <c r="B11445" t="s">
        <v>1049</v>
      </c>
      <c r="C11445" t="s">
        <v>14377</v>
      </c>
      <c r="E11445" t="s">
        <v>28743</v>
      </c>
      <c r="F11445" t="s">
        <v>32664</v>
      </c>
      <c r="G11445" t="s">
        <v>32671</v>
      </c>
      <c r="H11445" t="s">
        <v>12635</v>
      </c>
      <c r="I11445" t="s">
        <v>6168</v>
      </c>
      <c r="J11445" t="s">
        <v>39582</v>
      </c>
      <c r="K11445" t="s">
        <v>42281</v>
      </c>
      <c r="M11445" t="s">
        <v>45266</v>
      </c>
      <c r="N11445" t="s">
        <v>46569</v>
      </c>
      <c r="O11445" t="s">
        <v>46570</v>
      </c>
      <c r="P11445">
        <v>0</v>
      </c>
      <c r="Q11445">
        <v>0</v>
      </c>
      <c r="R11445" t="s">
        <v>46579</v>
      </c>
      <c r="S11445" t="s">
        <v>46919</v>
      </c>
      <c r="T11445" t="s">
        <v>48427</v>
      </c>
      <c r="U11445" t="s">
        <v>57967</v>
      </c>
      <c r="W11445" t="s">
        <v>63560</v>
      </c>
      <c r="X11445" t="s">
        <v>46580</v>
      </c>
    </row>
    <row r="11446" spans="1:24">
      <c r="A11446">
        <f>HYPERLINK("https://www.philgeps.gov.ph/GEPSNONPILOT/Tender/SplashBidNoticeAbstractUI.aspx?menuIndex=3&amp;refID=7048719&amp;Result=3","7048719")</f>
        <v>0</v>
      </c>
      <c r="B11446" t="s">
        <v>2028</v>
      </c>
      <c r="C11446" t="s">
        <v>14378</v>
      </c>
      <c r="D11446" t="s">
        <v>18807</v>
      </c>
      <c r="E11446" t="s">
        <v>24379</v>
      </c>
      <c r="F11446" t="s">
        <v>32664</v>
      </c>
      <c r="G11446" t="s">
        <v>32672</v>
      </c>
      <c r="H11446" t="s">
        <v>12635</v>
      </c>
      <c r="I11446" t="s">
        <v>4439</v>
      </c>
      <c r="J11446" t="s">
        <v>39583</v>
      </c>
      <c r="K11446" t="s">
        <v>42297</v>
      </c>
      <c r="M11446" t="s">
        <v>44770</v>
      </c>
      <c r="N11446" t="s">
        <v>46569</v>
      </c>
      <c r="O11446" t="s">
        <v>46570</v>
      </c>
      <c r="P11446">
        <v>0</v>
      </c>
      <c r="Q11446">
        <v>0</v>
      </c>
      <c r="R11446" t="s">
        <v>46579</v>
      </c>
      <c r="S11446" t="s">
        <v>46919</v>
      </c>
      <c r="T11446" t="s">
        <v>48212</v>
      </c>
      <c r="U11446" t="s">
        <v>57170</v>
      </c>
      <c r="W11446" t="s">
        <v>44770</v>
      </c>
      <c r="X11446" t="s">
        <v>46580</v>
      </c>
    </row>
    <row r="11447" spans="1:24">
      <c r="A11447">
        <f>HYPERLINK("https://www.philgeps.gov.ph/GEPSNONPILOT/Tender/SplashBidNoticeAbstractUI.aspx?menuIndex=3&amp;refID=7048757&amp;Result=3","7048757")</f>
        <v>0</v>
      </c>
      <c r="B11447" t="s">
        <v>585</v>
      </c>
      <c r="C11447" t="s">
        <v>14379</v>
      </c>
      <c r="D11447" t="s">
        <v>18834</v>
      </c>
      <c r="E11447" t="s">
        <v>28744</v>
      </c>
      <c r="F11447" t="s">
        <v>32664</v>
      </c>
      <c r="G11447" t="s">
        <v>32672</v>
      </c>
      <c r="H11447" t="s">
        <v>32683</v>
      </c>
      <c r="I11447" t="s">
        <v>10627</v>
      </c>
      <c r="J11447" t="s">
        <v>39584</v>
      </c>
      <c r="K11447" t="s">
        <v>42298</v>
      </c>
      <c r="M11447" t="s">
        <v>43165</v>
      </c>
      <c r="N11447" t="s">
        <v>46569</v>
      </c>
      <c r="O11447" t="s">
        <v>46570</v>
      </c>
      <c r="P11447">
        <v>0</v>
      </c>
      <c r="Q11447">
        <v>3</v>
      </c>
      <c r="R11447" t="s">
        <v>46579</v>
      </c>
      <c r="S11447" t="s">
        <v>46919</v>
      </c>
      <c r="T11447" t="s">
        <v>48427</v>
      </c>
      <c r="U11447" t="s">
        <v>57968</v>
      </c>
      <c r="W11447" t="s">
        <v>43165</v>
      </c>
      <c r="X11447" t="s">
        <v>46580</v>
      </c>
    </row>
    <row r="11448" spans="1:24">
      <c r="A11448">
        <f>HYPERLINK("https://www.philgeps.gov.ph/GEPSNONPILOT/Tender/SplashBidNoticeAbstractUI.aspx?menuIndex=3&amp;refID=7048713&amp;Result=3","7048713")</f>
        <v>0</v>
      </c>
      <c r="B11448" t="s">
        <v>2940</v>
      </c>
      <c r="C11448" t="s">
        <v>14380</v>
      </c>
      <c r="D11448" t="s">
        <v>18833</v>
      </c>
      <c r="E11448" t="s">
        <v>28745</v>
      </c>
      <c r="F11448" t="s">
        <v>32664</v>
      </c>
      <c r="G11448" t="s">
        <v>32672</v>
      </c>
      <c r="H11448" t="s">
        <v>32683</v>
      </c>
      <c r="I11448" t="s">
        <v>10627</v>
      </c>
      <c r="J11448" t="s">
        <v>39585</v>
      </c>
      <c r="K11448" t="s">
        <v>42416</v>
      </c>
      <c r="M11448" t="s">
        <v>45794</v>
      </c>
      <c r="N11448" t="s">
        <v>46569</v>
      </c>
      <c r="O11448" t="s">
        <v>46570</v>
      </c>
      <c r="P11448">
        <v>0</v>
      </c>
      <c r="Q11448">
        <v>0</v>
      </c>
      <c r="R11448" t="s">
        <v>46579</v>
      </c>
      <c r="S11448" t="s">
        <v>46919</v>
      </c>
      <c r="T11448" t="s">
        <v>48321</v>
      </c>
      <c r="U11448" t="s">
        <v>57969</v>
      </c>
      <c r="W11448" t="s">
        <v>45794</v>
      </c>
      <c r="X11448" t="s">
        <v>46580</v>
      </c>
    </row>
    <row r="11449" spans="1:24">
      <c r="A11449">
        <f>HYPERLINK("https://www.philgeps.gov.ph/GEPSNONPILOT/Tender/SplashBidNoticeAbstractUI.aspx?menuIndex=3&amp;refID=7048711&amp;Result=3","7048711")</f>
        <v>0</v>
      </c>
      <c r="B11449" t="s">
        <v>3063</v>
      </c>
      <c r="C11449" t="s">
        <v>14381</v>
      </c>
      <c r="D11449" t="s">
        <v>18826</v>
      </c>
      <c r="E11449" t="s">
        <v>28746</v>
      </c>
      <c r="F11449" t="s">
        <v>32664</v>
      </c>
      <c r="G11449" t="s">
        <v>32672</v>
      </c>
      <c r="H11449" t="s">
        <v>12635</v>
      </c>
      <c r="I11449" t="s">
        <v>32704</v>
      </c>
      <c r="J11449" t="s">
        <v>39586</v>
      </c>
      <c r="K11449" t="s">
        <v>42281</v>
      </c>
      <c r="M11449" t="s">
        <v>45940</v>
      </c>
      <c r="N11449" t="s">
        <v>46569</v>
      </c>
      <c r="O11449" t="s">
        <v>46570</v>
      </c>
      <c r="P11449">
        <v>0</v>
      </c>
      <c r="Q11449">
        <v>28</v>
      </c>
      <c r="R11449" t="s">
        <v>46579</v>
      </c>
      <c r="S11449" t="s">
        <v>46919</v>
      </c>
      <c r="T11449" t="s">
        <v>48270</v>
      </c>
      <c r="U11449" t="s">
        <v>57970</v>
      </c>
      <c r="W11449" t="s">
        <v>45940</v>
      </c>
      <c r="X11449" t="s">
        <v>46580</v>
      </c>
    </row>
    <row r="11450" spans="1:24">
      <c r="A11450">
        <f>HYPERLINK("https://www.philgeps.gov.ph/GEPSNONPILOT/Tender/SplashBidNoticeAbstractUI.aspx?menuIndex=3&amp;refID=7048893&amp;Result=3","7048893")</f>
        <v>0</v>
      </c>
      <c r="B11450" t="s">
        <v>167</v>
      </c>
      <c r="C11450" t="s">
        <v>14382</v>
      </c>
      <c r="D11450" t="s">
        <v>18837</v>
      </c>
      <c r="E11450" t="s">
        <v>28747</v>
      </c>
      <c r="F11450" t="s">
        <v>32664</v>
      </c>
      <c r="G11450" t="s">
        <v>32672</v>
      </c>
      <c r="H11450" t="s">
        <v>12635</v>
      </c>
      <c r="I11450" t="s">
        <v>32721</v>
      </c>
      <c r="J11450" t="s">
        <v>35518</v>
      </c>
      <c r="K11450" t="s">
        <v>42281</v>
      </c>
      <c r="M11450" t="s">
        <v>42731</v>
      </c>
      <c r="N11450" t="s">
        <v>46569</v>
      </c>
      <c r="O11450" t="s">
        <v>46570</v>
      </c>
      <c r="P11450">
        <v>0</v>
      </c>
      <c r="Q11450">
        <v>9</v>
      </c>
      <c r="R11450" t="s">
        <v>46579</v>
      </c>
      <c r="S11450" t="s">
        <v>46919</v>
      </c>
      <c r="T11450" t="s">
        <v>48389</v>
      </c>
      <c r="U11450" t="s">
        <v>57971</v>
      </c>
      <c r="W11450" t="s">
        <v>42731</v>
      </c>
      <c r="X11450" t="s">
        <v>46580</v>
      </c>
    </row>
    <row r="11451" spans="1:24">
      <c r="A11451">
        <f>HYPERLINK("https://www.philgeps.gov.ph/GEPSNONPILOT/Tender/SplashBidNoticeAbstractUI.aspx?menuIndex=3&amp;refID=7048565&amp;Result=3","7048565")</f>
        <v>0</v>
      </c>
      <c r="B11451" t="s">
        <v>1656</v>
      </c>
      <c r="C11451" t="s">
        <v>14383</v>
      </c>
      <c r="D11451" t="s">
        <v>18805</v>
      </c>
      <c r="E11451" t="s">
        <v>19484</v>
      </c>
      <c r="F11451" t="s">
        <v>32664</v>
      </c>
      <c r="G11451" t="s">
        <v>32671</v>
      </c>
      <c r="H11451" t="s">
        <v>32683</v>
      </c>
      <c r="I11451" t="s">
        <v>4439</v>
      </c>
      <c r="J11451" t="s">
        <v>33215</v>
      </c>
      <c r="K11451" t="s">
        <v>42306</v>
      </c>
      <c r="M11451" t="s">
        <v>44341</v>
      </c>
      <c r="N11451" t="s">
        <v>46569</v>
      </c>
      <c r="O11451" t="s">
        <v>46570</v>
      </c>
      <c r="P11451">
        <v>0</v>
      </c>
      <c r="Q11451">
        <v>0</v>
      </c>
      <c r="R11451" t="s">
        <v>46579</v>
      </c>
      <c r="S11451" t="s">
        <v>46919</v>
      </c>
      <c r="T11451" t="s">
        <v>48350</v>
      </c>
      <c r="U11451" t="s">
        <v>57972</v>
      </c>
      <c r="W11451" t="s">
        <v>44341</v>
      </c>
      <c r="X11451" t="s">
        <v>46580</v>
      </c>
    </row>
    <row r="11452" spans="1:24">
      <c r="A11452">
        <f>HYPERLINK("https://www.philgeps.gov.ph/GEPSNONPILOT/Tender/SplashBidNoticeAbstractUI.aspx?menuIndex=3&amp;refID=7048889&amp;Result=3","7048889")</f>
        <v>0</v>
      </c>
      <c r="B11452" t="s">
        <v>2117</v>
      </c>
      <c r="C11452" t="s">
        <v>14384</v>
      </c>
      <c r="D11452" t="s">
        <v>18812</v>
      </c>
      <c r="E11452" t="s">
        <v>28748</v>
      </c>
      <c r="F11452" t="s">
        <v>32664</v>
      </c>
      <c r="G11452" t="s">
        <v>32672</v>
      </c>
      <c r="H11452" t="s">
        <v>12635</v>
      </c>
      <c r="I11452" t="s">
        <v>11464</v>
      </c>
      <c r="J11452" t="s">
        <v>34411</v>
      </c>
      <c r="K11452" t="s">
        <v>42298</v>
      </c>
      <c r="M11452" t="s">
        <v>45247</v>
      </c>
      <c r="N11452" t="s">
        <v>46569</v>
      </c>
      <c r="O11452" t="s">
        <v>46570</v>
      </c>
      <c r="P11452">
        <v>0</v>
      </c>
      <c r="Q11452">
        <v>6</v>
      </c>
      <c r="R11452" t="s">
        <v>46579</v>
      </c>
      <c r="S11452" t="s">
        <v>46919</v>
      </c>
      <c r="T11452" t="s">
        <v>48212</v>
      </c>
      <c r="U11452" t="s">
        <v>57973</v>
      </c>
      <c r="W11452" t="s">
        <v>45247</v>
      </c>
      <c r="X11452" t="s">
        <v>46580</v>
      </c>
    </row>
    <row r="11453" spans="1:24">
      <c r="A11453">
        <f>HYPERLINK("https://www.philgeps.gov.ph/GEPSNONPILOT/Tender/SplashBidNoticeAbstractUI.aspx?menuIndex=3&amp;refID=7048886&amp;Result=3","7048886")</f>
        <v>0</v>
      </c>
      <c r="B11453" t="s">
        <v>1524</v>
      </c>
      <c r="C11453" t="s">
        <v>14385</v>
      </c>
      <c r="D11453" t="s">
        <v>18804</v>
      </c>
      <c r="E11453" t="s">
        <v>28749</v>
      </c>
      <c r="F11453" t="s">
        <v>32664</v>
      </c>
      <c r="G11453" t="s">
        <v>32672</v>
      </c>
      <c r="H11453" t="s">
        <v>12635</v>
      </c>
      <c r="I11453" t="s">
        <v>32704</v>
      </c>
      <c r="J11453" t="s">
        <v>39587</v>
      </c>
      <c r="K11453" t="s">
        <v>42311</v>
      </c>
      <c r="M11453" t="s">
        <v>44191</v>
      </c>
      <c r="N11453" t="s">
        <v>46569</v>
      </c>
      <c r="O11453" t="s">
        <v>46570</v>
      </c>
      <c r="P11453">
        <v>0</v>
      </c>
      <c r="Q11453">
        <v>46</v>
      </c>
      <c r="R11453" t="s">
        <v>46579</v>
      </c>
      <c r="S11453" t="s">
        <v>46919</v>
      </c>
      <c r="T11453" t="s">
        <v>48687</v>
      </c>
      <c r="U11453" t="s">
        <v>52220</v>
      </c>
      <c r="V11453" t="s">
        <v>62052</v>
      </c>
      <c r="W11453" t="s">
        <v>44191</v>
      </c>
      <c r="X11453" t="s">
        <v>46580</v>
      </c>
    </row>
    <row r="11454" spans="1:24">
      <c r="A11454">
        <f>HYPERLINK("https://www.philgeps.gov.ph/GEPSNONPILOT/Tender/SplashBidNoticeAbstractUI.aspx?menuIndex=3&amp;refID=7048884&amp;Result=3","7048884")</f>
        <v>0</v>
      </c>
      <c r="B11454" t="s">
        <v>3064</v>
      </c>
      <c r="C11454" t="s">
        <v>14386</v>
      </c>
      <c r="D11454" t="s">
        <v>18842</v>
      </c>
      <c r="E11454" t="s">
        <v>23458</v>
      </c>
      <c r="F11454" t="s">
        <v>32664</v>
      </c>
      <c r="G11454" t="s">
        <v>32672</v>
      </c>
      <c r="H11454" t="s">
        <v>32683</v>
      </c>
      <c r="I11454" t="s">
        <v>10627</v>
      </c>
      <c r="J11454" t="s">
        <v>32898</v>
      </c>
      <c r="K11454" t="s">
        <v>42305</v>
      </c>
      <c r="M11454" t="s">
        <v>45941</v>
      </c>
      <c r="N11454" t="s">
        <v>46569</v>
      </c>
      <c r="O11454" t="s">
        <v>46570</v>
      </c>
      <c r="P11454">
        <v>0</v>
      </c>
      <c r="Q11454">
        <v>0</v>
      </c>
      <c r="R11454" t="s">
        <v>46579</v>
      </c>
      <c r="S11454" t="s">
        <v>46919</v>
      </c>
      <c r="T11454" t="s">
        <v>48307</v>
      </c>
      <c r="U11454" t="s">
        <v>57974</v>
      </c>
      <c r="V11454" t="s">
        <v>62756</v>
      </c>
      <c r="W11454" t="s">
        <v>45941</v>
      </c>
      <c r="X11454" t="s">
        <v>46580</v>
      </c>
    </row>
    <row r="11455" spans="1:24">
      <c r="A11455">
        <f>HYPERLINK("https://www.philgeps.gov.ph/GEPSNONPILOT/Tender/SplashBidNoticeAbstractUI.aspx?menuIndex=3&amp;refID=7048881&amp;Result=3","7048881")</f>
        <v>0</v>
      </c>
      <c r="B11455" t="s">
        <v>1730</v>
      </c>
      <c r="C11455" t="s">
        <v>14387</v>
      </c>
      <c r="D11455" t="s">
        <v>18806</v>
      </c>
      <c r="E11455" t="s">
        <v>28750</v>
      </c>
      <c r="F11455" t="s">
        <v>32664</v>
      </c>
      <c r="G11455" t="s">
        <v>32672</v>
      </c>
      <c r="H11455" t="s">
        <v>12635</v>
      </c>
      <c r="I11455" t="s">
        <v>10370</v>
      </c>
      <c r="J11455" t="s">
        <v>39588</v>
      </c>
      <c r="K11455" t="s">
        <v>42281</v>
      </c>
      <c r="M11455" t="s">
        <v>44429</v>
      </c>
      <c r="N11455" t="s">
        <v>46569</v>
      </c>
      <c r="O11455" t="s">
        <v>46570</v>
      </c>
      <c r="P11455">
        <v>0</v>
      </c>
      <c r="Q11455">
        <v>9</v>
      </c>
      <c r="R11455" t="s">
        <v>46579</v>
      </c>
      <c r="S11455" t="s">
        <v>46919</v>
      </c>
      <c r="T11455" t="s">
        <v>48405</v>
      </c>
      <c r="U11455" t="s">
        <v>57975</v>
      </c>
      <c r="W11455" t="s">
        <v>44429</v>
      </c>
      <c r="X11455" t="s">
        <v>46580</v>
      </c>
    </row>
    <row r="11456" spans="1:24">
      <c r="A11456">
        <f>HYPERLINK("https://www.philgeps.gov.ph/GEPSNONPILOT/Tender/SplashBidNoticeAbstractUI.aspx?menuIndex=3&amp;refID=7048878&amp;Result=3","7048878")</f>
        <v>0</v>
      </c>
      <c r="B11456" t="s">
        <v>2302</v>
      </c>
      <c r="C11456" t="s">
        <v>14388</v>
      </c>
      <c r="D11456" t="s">
        <v>18801</v>
      </c>
      <c r="E11456" t="s">
        <v>28751</v>
      </c>
      <c r="F11456" t="s">
        <v>32664</v>
      </c>
      <c r="G11456" t="s">
        <v>32674</v>
      </c>
      <c r="H11456" t="s">
        <v>12635</v>
      </c>
      <c r="I11456" t="s">
        <v>9486</v>
      </c>
      <c r="J11456" t="s">
        <v>39589</v>
      </c>
      <c r="K11456" t="s">
        <v>42284</v>
      </c>
      <c r="M11456" t="s">
        <v>45074</v>
      </c>
      <c r="N11456" t="s">
        <v>46569</v>
      </c>
      <c r="O11456" t="s">
        <v>46570</v>
      </c>
      <c r="P11456">
        <v>0</v>
      </c>
      <c r="Q11456">
        <v>2</v>
      </c>
      <c r="R11456" t="s">
        <v>46579</v>
      </c>
      <c r="S11456" t="s">
        <v>46919</v>
      </c>
      <c r="T11456" t="s">
        <v>48448</v>
      </c>
      <c r="U11456" t="s">
        <v>57976</v>
      </c>
      <c r="W11456" t="s">
        <v>45074</v>
      </c>
      <c r="X11456" t="s">
        <v>46580</v>
      </c>
    </row>
    <row r="11457" spans="1:24">
      <c r="A11457">
        <f>HYPERLINK("https://www.philgeps.gov.ph/GEPSNONPILOT/Tender/SplashBidNoticeAbstractUI.aspx?menuIndex=3&amp;refID=7048735&amp;Result=3","7048735")</f>
        <v>0</v>
      </c>
      <c r="B11457" t="s">
        <v>2457</v>
      </c>
      <c r="C11457" t="s">
        <v>14389</v>
      </c>
      <c r="D11457" t="s">
        <v>18801</v>
      </c>
      <c r="E11457" t="s">
        <v>26357</v>
      </c>
      <c r="F11457" t="s">
        <v>32664</v>
      </c>
      <c r="G11457" t="s">
        <v>32672</v>
      </c>
      <c r="H11457" t="s">
        <v>32683</v>
      </c>
      <c r="I11457" t="s">
        <v>10627</v>
      </c>
      <c r="J11457" t="s">
        <v>32962</v>
      </c>
      <c r="K11457" t="s">
        <v>42281</v>
      </c>
      <c r="M11457" t="s">
        <v>45253</v>
      </c>
      <c r="N11457" t="s">
        <v>46569</v>
      </c>
      <c r="O11457" t="s">
        <v>46570</v>
      </c>
      <c r="P11457">
        <v>0</v>
      </c>
      <c r="Q11457">
        <v>0</v>
      </c>
      <c r="R11457" t="s">
        <v>46579</v>
      </c>
      <c r="S11457" t="s">
        <v>46919</v>
      </c>
      <c r="T11457" t="s">
        <v>48316</v>
      </c>
      <c r="U11457" t="s">
        <v>57977</v>
      </c>
      <c r="W11457" t="s">
        <v>45253</v>
      </c>
      <c r="X11457" t="s">
        <v>46580</v>
      </c>
    </row>
    <row r="11458" spans="1:24">
      <c r="A11458">
        <f>HYPERLINK("https://www.philgeps.gov.ph/GEPSNONPILOT/Tender/SplashBidNoticeAbstractUI.aspx?menuIndex=3&amp;refID=7048875&amp;Result=3","7048875")</f>
        <v>0</v>
      </c>
      <c r="B11458" t="s">
        <v>2922</v>
      </c>
      <c r="C11458" t="s">
        <v>14390</v>
      </c>
      <c r="D11458" t="s">
        <v>18790</v>
      </c>
      <c r="E11458" t="s">
        <v>28752</v>
      </c>
      <c r="F11458" t="s">
        <v>32664</v>
      </c>
      <c r="G11458" t="s">
        <v>32672</v>
      </c>
      <c r="H11458" t="s">
        <v>32683</v>
      </c>
      <c r="I11458" t="s">
        <v>10627</v>
      </c>
      <c r="J11458" t="s">
        <v>39571</v>
      </c>
      <c r="K11458" t="s">
        <v>42520</v>
      </c>
      <c r="L11458" t="s">
        <v>2922</v>
      </c>
      <c r="M11458" t="s">
        <v>45775</v>
      </c>
      <c r="N11458" t="s">
        <v>46569</v>
      </c>
      <c r="O11458" t="s">
        <v>46570</v>
      </c>
      <c r="Q11458">
        <v>2</v>
      </c>
      <c r="R11458" t="s">
        <v>46579</v>
      </c>
      <c r="S11458" t="s">
        <v>46942</v>
      </c>
      <c r="T11458" t="s">
        <v>48284</v>
      </c>
      <c r="U11458" t="s">
        <v>57978</v>
      </c>
      <c r="W11458" t="s">
        <v>45775</v>
      </c>
      <c r="X11458" t="s">
        <v>46580</v>
      </c>
    </row>
    <row r="11459" spans="1:24">
      <c r="A11459">
        <f>HYPERLINK("https://www.philgeps.gov.ph/GEPSNONPILOT/Tender/SplashBidNoticeAbstractUI.aspx?menuIndex=3&amp;refID=7048644&amp;Result=3","7048644")</f>
        <v>0</v>
      </c>
      <c r="B11459" t="s">
        <v>295</v>
      </c>
      <c r="C11459" t="s">
        <v>14391</v>
      </c>
      <c r="D11459" t="s">
        <v>18848</v>
      </c>
      <c r="E11459" t="s">
        <v>28753</v>
      </c>
      <c r="F11459" t="s">
        <v>32664</v>
      </c>
      <c r="G11459" t="s">
        <v>32672</v>
      </c>
      <c r="H11459" t="s">
        <v>12635</v>
      </c>
      <c r="I11459" t="s">
        <v>11464</v>
      </c>
      <c r="J11459" t="s">
        <v>33097</v>
      </c>
      <c r="K11459" t="s">
        <v>42297</v>
      </c>
      <c r="M11459" t="s">
        <v>42862</v>
      </c>
      <c r="N11459" t="s">
        <v>46569</v>
      </c>
      <c r="O11459" t="s">
        <v>46570</v>
      </c>
      <c r="P11459">
        <v>0</v>
      </c>
      <c r="Q11459">
        <v>2</v>
      </c>
      <c r="R11459" t="s">
        <v>46579</v>
      </c>
      <c r="S11459" t="s">
        <v>46919</v>
      </c>
      <c r="T11459" t="s">
        <v>48298</v>
      </c>
      <c r="U11459" t="s">
        <v>57979</v>
      </c>
      <c r="W11459" t="s">
        <v>42862</v>
      </c>
      <c r="X11459" t="s">
        <v>46580</v>
      </c>
    </row>
    <row r="11460" spans="1:24">
      <c r="A11460">
        <f>HYPERLINK("https://www.philgeps.gov.ph/GEPSNONPILOT/Tender/SplashBidNoticeAbstractUI.aspx?menuIndex=3&amp;refID=7048625&amp;Result=3","7048625")</f>
        <v>0</v>
      </c>
      <c r="B11460" t="s">
        <v>1920</v>
      </c>
      <c r="C11460" t="s">
        <v>14392</v>
      </c>
      <c r="D11460" t="s">
        <v>18789</v>
      </c>
      <c r="E11460" t="s">
        <v>28715</v>
      </c>
      <c r="F11460" t="s">
        <v>32664</v>
      </c>
      <c r="G11460" t="s">
        <v>32672</v>
      </c>
      <c r="H11460" t="s">
        <v>12635</v>
      </c>
      <c r="I11460" t="s">
        <v>32699</v>
      </c>
      <c r="J11460" t="s">
        <v>34216</v>
      </c>
      <c r="K11460" t="s">
        <v>42297</v>
      </c>
      <c r="M11460" t="s">
        <v>44641</v>
      </c>
      <c r="N11460" t="s">
        <v>46569</v>
      </c>
      <c r="O11460" t="s">
        <v>46570</v>
      </c>
      <c r="P11460">
        <v>0</v>
      </c>
      <c r="Q11460">
        <v>0</v>
      </c>
      <c r="R11460" t="s">
        <v>46579</v>
      </c>
      <c r="S11460" t="s">
        <v>46919</v>
      </c>
      <c r="T11460" t="s">
        <v>48316</v>
      </c>
      <c r="U11460" t="s">
        <v>57980</v>
      </c>
      <c r="W11460" t="s">
        <v>44641</v>
      </c>
      <c r="X11460" t="s">
        <v>46580</v>
      </c>
    </row>
    <row r="11461" spans="1:24">
      <c r="A11461">
        <f>HYPERLINK("https://www.philgeps.gov.ph/GEPSNONPILOT/Tender/SplashBidNoticeAbstractUI.aspx?menuIndex=3&amp;refID=7048836&amp;Result=3","7048836")</f>
        <v>0</v>
      </c>
      <c r="B11461" t="s">
        <v>1920</v>
      </c>
      <c r="C11461" t="s">
        <v>14393</v>
      </c>
      <c r="D11461" t="s">
        <v>18789</v>
      </c>
      <c r="E11461" t="s">
        <v>28715</v>
      </c>
      <c r="F11461" t="s">
        <v>32664</v>
      </c>
      <c r="G11461" t="s">
        <v>32672</v>
      </c>
      <c r="H11461" t="s">
        <v>12635</v>
      </c>
      <c r="I11461" t="s">
        <v>8958</v>
      </c>
      <c r="J11461" t="s">
        <v>33338</v>
      </c>
      <c r="K11461" t="s">
        <v>42297</v>
      </c>
      <c r="M11461" t="s">
        <v>44641</v>
      </c>
      <c r="N11461" t="s">
        <v>46569</v>
      </c>
      <c r="O11461" t="s">
        <v>46570</v>
      </c>
      <c r="P11461">
        <v>0</v>
      </c>
      <c r="Q11461">
        <v>0</v>
      </c>
      <c r="R11461" t="s">
        <v>46579</v>
      </c>
      <c r="S11461" t="s">
        <v>46919</v>
      </c>
      <c r="T11461" t="s">
        <v>48316</v>
      </c>
      <c r="U11461" t="s">
        <v>57981</v>
      </c>
      <c r="W11461" t="s">
        <v>44641</v>
      </c>
      <c r="X11461" t="s">
        <v>46580</v>
      </c>
    </row>
    <row r="11462" spans="1:24">
      <c r="A11462">
        <f>HYPERLINK("https://www.philgeps.gov.ph/GEPSNONPILOT/Tender/SplashBidNoticeAbstractUI.aspx?menuIndex=3&amp;refID=7048870&amp;Result=3","7048870")</f>
        <v>0</v>
      </c>
      <c r="B11462" t="s">
        <v>947</v>
      </c>
      <c r="C11462" t="s">
        <v>14394</v>
      </c>
      <c r="D11462" t="s">
        <v>18787</v>
      </c>
      <c r="E11462" t="s">
        <v>28754</v>
      </c>
      <c r="F11462" t="s">
        <v>32664</v>
      </c>
      <c r="G11462" t="s">
        <v>32672</v>
      </c>
      <c r="H11462" t="s">
        <v>12635</v>
      </c>
      <c r="I11462" t="s">
        <v>11464</v>
      </c>
      <c r="J11462" t="s">
        <v>39590</v>
      </c>
      <c r="K11462" t="s">
        <v>42305</v>
      </c>
      <c r="M11462" t="s">
        <v>43553</v>
      </c>
      <c r="N11462" t="s">
        <v>46569</v>
      </c>
      <c r="O11462" t="s">
        <v>46570</v>
      </c>
      <c r="Q11462">
        <v>7</v>
      </c>
      <c r="R11462" t="s">
        <v>46579</v>
      </c>
      <c r="S11462" t="s">
        <v>46943</v>
      </c>
      <c r="T11462" t="s">
        <v>48381</v>
      </c>
      <c r="U11462" t="s">
        <v>50650</v>
      </c>
      <c r="W11462" t="s">
        <v>63497</v>
      </c>
      <c r="X11462" t="s">
        <v>46580</v>
      </c>
    </row>
    <row r="11463" spans="1:24">
      <c r="A11463">
        <f>HYPERLINK("https://www.philgeps.gov.ph/GEPSNONPILOT/Tender/SplashBidNoticeAbstractUI.aspx?menuIndex=3&amp;refID=7048813&amp;Result=3","7048813")</f>
        <v>0</v>
      </c>
      <c r="B11463" t="s">
        <v>585</v>
      </c>
      <c r="C11463" t="s">
        <v>14395</v>
      </c>
      <c r="D11463" t="s">
        <v>18834</v>
      </c>
      <c r="E11463" t="s">
        <v>28755</v>
      </c>
      <c r="F11463" t="s">
        <v>32664</v>
      </c>
      <c r="G11463" t="s">
        <v>32672</v>
      </c>
      <c r="H11463" t="s">
        <v>32683</v>
      </c>
      <c r="I11463" t="s">
        <v>10627</v>
      </c>
      <c r="J11463" t="s">
        <v>39591</v>
      </c>
      <c r="K11463" t="s">
        <v>42409</v>
      </c>
      <c r="M11463" t="s">
        <v>43165</v>
      </c>
      <c r="N11463" t="s">
        <v>46569</v>
      </c>
      <c r="O11463" t="s">
        <v>46570</v>
      </c>
      <c r="P11463">
        <v>0</v>
      </c>
      <c r="Q11463">
        <v>2</v>
      </c>
      <c r="R11463" t="s">
        <v>46579</v>
      </c>
      <c r="S11463" t="s">
        <v>46919</v>
      </c>
      <c r="T11463" t="s">
        <v>48373</v>
      </c>
      <c r="U11463" t="s">
        <v>57982</v>
      </c>
      <c r="W11463" t="s">
        <v>43165</v>
      </c>
      <c r="X11463" t="s">
        <v>46580</v>
      </c>
    </row>
    <row r="11464" spans="1:24">
      <c r="A11464">
        <f>HYPERLINK("https://www.philgeps.gov.ph/GEPSNONPILOT/Tender/SplashBidNoticeAbstractUI.aspx?menuIndex=3&amp;refID=7048805&amp;Result=3","7048805")</f>
        <v>0</v>
      </c>
      <c r="B11464" t="s">
        <v>3065</v>
      </c>
      <c r="C11464" t="s">
        <v>14396</v>
      </c>
      <c r="D11464" t="s">
        <v>18831</v>
      </c>
      <c r="E11464" t="s">
        <v>28756</v>
      </c>
      <c r="F11464" t="s">
        <v>32664</v>
      </c>
      <c r="G11464" t="s">
        <v>32672</v>
      </c>
      <c r="H11464" t="s">
        <v>12635</v>
      </c>
      <c r="I11464" t="s">
        <v>32738</v>
      </c>
      <c r="J11464" t="s">
        <v>39592</v>
      </c>
      <c r="K11464" t="s">
        <v>42311</v>
      </c>
      <c r="M11464" t="s">
        <v>45942</v>
      </c>
      <c r="N11464" t="s">
        <v>46569</v>
      </c>
      <c r="O11464" t="s">
        <v>46570</v>
      </c>
      <c r="P11464">
        <v>0</v>
      </c>
      <c r="Q11464">
        <v>6</v>
      </c>
      <c r="R11464" t="s">
        <v>46579</v>
      </c>
      <c r="S11464" t="s">
        <v>46919</v>
      </c>
      <c r="T11464" t="s">
        <v>48487</v>
      </c>
      <c r="U11464" t="s">
        <v>57983</v>
      </c>
      <c r="W11464" t="s">
        <v>45942</v>
      </c>
      <c r="X11464" t="s">
        <v>46580</v>
      </c>
    </row>
    <row r="11465" spans="1:24">
      <c r="A11465">
        <f>HYPERLINK("https://www.philgeps.gov.ph/GEPSNONPILOT/Tender/SplashBidNoticeAbstractUI.aspx?menuIndex=3&amp;refID=7048804&amp;Result=3","7048804")</f>
        <v>0</v>
      </c>
      <c r="B11465" t="s">
        <v>1920</v>
      </c>
      <c r="C11465" t="s">
        <v>14397</v>
      </c>
      <c r="D11465" t="s">
        <v>18789</v>
      </c>
      <c r="E11465" t="s">
        <v>28715</v>
      </c>
      <c r="F11465" t="s">
        <v>32664</v>
      </c>
      <c r="G11465" t="s">
        <v>32672</v>
      </c>
      <c r="H11465" t="s">
        <v>12635</v>
      </c>
      <c r="I11465" t="s">
        <v>8958</v>
      </c>
      <c r="J11465" t="s">
        <v>32917</v>
      </c>
      <c r="K11465" t="s">
        <v>42297</v>
      </c>
      <c r="M11465" t="s">
        <v>44641</v>
      </c>
      <c r="N11465" t="s">
        <v>46569</v>
      </c>
      <c r="O11465" t="s">
        <v>46570</v>
      </c>
      <c r="P11465">
        <v>0</v>
      </c>
      <c r="Q11465">
        <v>1</v>
      </c>
      <c r="R11465" t="s">
        <v>46579</v>
      </c>
      <c r="S11465" t="s">
        <v>46919</v>
      </c>
      <c r="T11465" t="s">
        <v>48316</v>
      </c>
      <c r="U11465" t="s">
        <v>57984</v>
      </c>
      <c r="W11465" t="s">
        <v>44641</v>
      </c>
      <c r="X11465" t="s">
        <v>46580</v>
      </c>
    </row>
    <row r="11466" spans="1:24">
      <c r="A11466">
        <f>HYPERLINK("https://www.philgeps.gov.ph/GEPSNONPILOT/Tender/SplashBidNoticeAbstractUI.aspx?menuIndex=3&amp;refID=7048613&amp;Result=3","7048613")</f>
        <v>0</v>
      </c>
      <c r="B11466" t="s">
        <v>3063</v>
      </c>
      <c r="C11466" t="s">
        <v>14398</v>
      </c>
      <c r="D11466" t="s">
        <v>18826</v>
      </c>
      <c r="E11466" t="s">
        <v>28757</v>
      </c>
      <c r="F11466" t="s">
        <v>32664</v>
      </c>
      <c r="G11466" t="s">
        <v>32672</v>
      </c>
      <c r="H11466" t="s">
        <v>12635</v>
      </c>
      <c r="I11466" t="s">
        <v>32729</v>
      </c>
      <c r="J11466" t="s">
        <v>39593</v>
      </c>
      <c r="K11466" t="s">
        <v>42281</v>
      </c>
      <c r="M11466" t="s">
        <v>45940</v>
      </c>
      <c r="N11466" t="s">
        <v>46569</v>
      </c>
      <c r="O11466" t="s">
        <v>46570</v>
      </c>
      <c r="P11466">
        <v>0</v>
      </c>
      <c r="Q11466">
        <v>5</v>
      </c>
      <c r="R11466" t="s">
        <v>46579</v>
      </c>
      <c r="S11466" t="s">
        <v>46919</v>
      </c>
      <c r="T11466" t="s">
        <v>48270</v>
      </c>
      <c r="U11466" t="s">
        <v>57985</v>
      </c>
      <c r="W11466" t="s">
        <v>45940</v>
      </c>
      <c r="X11466" t="s">
        <v>46580</v>
      </c>
    </row>
    <row r="11467" spans="1:24">
      <c r="A11467">
        <f>HYPERLINK("https://www.philgeps.gov.ph/GEPSNONPILOT/Tender/SplashBidNoticeAbstractUI.aspx?menuIndex=3&amp;refID=7048799&amp;Result=3","7048799")</f>
        <v>0</v>
      </c>
      <c r="B11467" t="s">
        <v>2922</v>
      </c>
      <c r="C11467" t="s">
        <v>14399</v>
      </c>
      <c r="D11467" t="s">
        <v>18865</v>
      </c>
      <c r="E11467" t="s">
        <v>28758</v>
      </c>
      <c r="F11467" t="s">
        <v>32664</v>
      </c>
      <c r="G11467" t="s">
        <v>32672</v>
      </c>
      <c r="H11467" t="s">
        <v>32683</v>
      </c>
      <c r="I11467" t="s">
        <v>10627</v>
      </c>
      <c r="J11467" t="s">
        <v>39571</v>
      </c>
      <c r="K11467" t="s">
        <v>42520</v>
      </c>
      <c r="L11467" t="s">
        <v>2922</v>
      </c>
      <c r="M11467" t="s">
        <v>45775</v>
      </c>
      <c r="N11467" t="s">
        <v>46569</v>
      </c>
      <c r="O11467" t="s">
        <v>46570</v>
      </c>
      <c r="Q11467">
        <v>2</v>
      </c>
      <c r="R11467" t="s">
        <v>46579</v>
      </c>
      <c r="S11467" t="s">
        <v>46944</v>
      </c>
      <c r="T11467" t="s">
        <v>48284</v>
      </c>
      <c r="U11467" t="s">
        <v>57986</v>
      </c>
      <c r="W11467" t="s">
        <v>45775</v>
      </c>
      <c r="X11467" t="s">
        <v>46580</v>
      </c>
    </row>
    <row r="11468" spans="1:24">
      <c r="A11468">
        <f>HYPERLINK("https://www.philgeps.gov.ph/GEPSNONPILOT/Tender/SplashBidNoticeAbstractUI.aspx?menuIndex=3&amp;refID=7048841&amp;Result=3","7048841")</f>
        <v>0</v>
      </c>
      <c r="B11468" t="s">
        <v>3066</v>
      </c>
      <c r="C11468" t="s">
        <v>14400</v>
      </c>
      <c r="D11468" t="s">
        <v>18816</v>
      </c>
      <c r="E11468" t="s">
        <v>28759</v>
      </c>
      <c r="F11468" t="s">
        <v>32664</v>
      </c>
      <c r="G11468" t="s">
        <v>32672</v>
      </c>
      <c r="H11468" t="s">
        <v>12635</v>
      </c>
      <c r="I11468" t="s">
        <v>4439</v>
      </c>
      <c r="J11468" t="s">
        <v>39594</v>
      </c>
      <c r="K11468" t="s">
        <v>42289</v>
      </c>
      <c r="M11468" t="s">
        <v>45943</v>
      </c>
      <c r="N11468" t="s">
        <v>46569</v>
      </c>
      <c r="O11468" t="s">
        <v>46570</v>
      </c>
      <c r="P11468">
        <v>0</v>
      </c>
      <c r="Q11468">
        <v>0</v>
      </c>
      <c r="R11468" t="s">
        <v>46579</v>
      </c>
      <c r="S11468" t="s">
        <v>46919</v>
      </c>
      <c r="T11468" t="s">
        <v>48238</v>
      </c>
      <c r="U11468" t="s">
        <v>57987</v>
      </c>
      <c r="W11468" t="s">
        <v>45943</v>
      </c>
      <c r="X11468" t="s">
        <v>46580</v>
      </c>
    </row>
    <row r="11469" spans="1:24">
      <c r="A11469">
        <f>HYPERLINK("https://www.philgeps.gov.ph/GEPSNONPILOT/Tender/SplashBidNoticeAbstractUI.aspx?menuIndex=3&amp;refID=7048797&amp;Result=3","7048797")</f>
        <v>0</v>
      </c>
      <c r="B11469" t="s">
        <v>3067</v>
      </c>
      <c r="C11469" t="s">
        <v>14401</v>
      </c>
      <c r="D11469" t="s">
        <v>18842</v>
      </c>
      <c r="E11469" t="s">
        <v>23458</v>
      </c>
      <c r="F11469" t="s">
        <v>32664</v>
      </c>
      <c r="G11469" t="s">
        <v>32672</v>
      </c>
      <c r="H11469" t="s">
        <v>32683</v>
      </c>
      <c r="I11469" t="s">
        <v>10627</v>
      </c>
      <c r="J11469" t="s">
        <v>33299</v>
      </c>
      <c r="K11469" t="s">
        <v>42305</v>
      </c>
      <c r="M11469" t="s">
        <v>45944</v>
      </c>
      <c r="N11469" t="s">
        <v>46569</v>
      </c>
      <c r="O11469" t="s">
        <v>46570</v>
      </c>
      <c r="P11469">
        <v>0</v>
      </c>
      <c r="Q11469">
        <v>0</v>
      </c>
      <c r="R11469" t="s">
        <v>46579</v>
      </c>
      <c r="S11469" t="s">
        <v>46919</v>
      </c>
      <c r="T11469" t="s">
        <v>48307</v>
      </c>
      <c r="U11469" t="s">
        <v>57988</v>
      </c>
      <c r="V11469" t="s">
        <v>62756</v>
      </c>
      <c r="W11469" t="s">
        <v>45944</v>
      </c>
      <c r="X11469" t="s">
        <v>46580</v>
      </c>
    </row>
    <row r="11470" spans="1:24">
      <c r="A11470">
        <f>HYPERLINK("https://www.philgeps.gov.ph/GEPSNONPILOT/Tender/SplashBidNoticeAbstractUI.aspx?menuIndex=3&amp;refID=7049014&amp;Result=3","7049014")</f>
        <v>0</v>
      </c>
      <c r="B11470" t="s">
        <v>396</v>
      </c>
      <c r="C11470" t="s">
        <v>14402</v>
      </c>
      <c r="D11470" t="s">
        <v>18790</v>
      </c>
      <c r="E11470" t="s">
        <v>28760</v>
      </c>
      <c r="F11470" t="s">
        <v>32664</v>
      </c>
      <c r="G11470" t="s">
        <v>32672</v>
      </c>
      <c r="H11470" t="s">
        <v>12635</v>
      </c>
      <c r="I11470" t="s">
        <v>32721</v>
      </c>
      <c r="J11470" t="s">
        <v>39595</v>
      </c>
      <c r="K11470" t="s">
        <v>42283</v>
      </c>
      <c r="M11470" t="s">
        <v>45945</v>
      </c>
      <c r="N11470" t="s">
        <v>46569</v>
      </c>
      <c r="O11470" t="s">
        <v>46570</v>
      </c>
      <c r="P11470">
        <v>0</v>
      </c>
      <c r="Q11470">
        <v>0</v>
      </c>
      <c r="R11470" t="s">
        <v>46579</v>
      </c>
      <c r="S11470" t="s">
        <v>46919</v>
      </c>
      <c r="T11470" t="s">
        <v>48212</v>
      </c>
      <c r="U11470" t="s">
        <v>57989</v>
      </c>
      <c r="W11470" t="s">
        <v>45945</v>
      </c>
      <c r="X11470" t="s">
        <v>46580</v>
      </c>
    </row>
    <row r="11471" spans="1:24">
      <c r="A11471">
        <f>HYPERLINK("https://www.philgeps.gov.ph/GEPSNONPILOT/Tender/SplashBidNoticeAbstractUI.aspx?menuIndex=3&amp;refID=7048808&amp;Result=3","7048808")</f>
        <v>0</v>
      </c>
      <c r="B11471" t="s">
        <v>82</v>
      </c>
      <c r="C11471" t="s">
        <v>14403</v>
      </c>
      <c r="D11471" t="s">
        <v>18804</v>
      </c>
      <c r="E11471" t="s">
        <v>19246</v>
      </c>
      <c r="F11471" t="s">
        <v>32664</v>
      </c>
      <c r="G11471" t="s">
        <v>32672</v>
      </c>
      <c r="H11471" t="s">
        <v>12635</v>
      </c>
      <c r="I11471" t="s">
        <v>32717</v>
      </c>
      <c r="J11471" t="s">
        <v>33657</v>
      </c>
      <c r="K11471" t="s">
        <v>42289</v>
      </c>
      <c r="M11471" t="s">
        <v>45936</v>
      </c>
      <c r="N11471" t="s">
        <v>46569</v>
      </c>
      <c r="O11471" t="s">
        <v>46570</v>
      </c>
      <c r="P11471">
        <v>0</v>
      </c>
      <c r="Q11471">
        <v>2</v>
      </c>
      <c r="R11471" t="s">
        <v>46579</v>
      </c>
      <c r="S11471" t="s">
        <v>46919</v>
      </c>
      <c r="T11471" t="s">
        <v>48215</v>
      </c>
      <c r="U11471" t="s">
        <v>57948</v>
      </c>
      <c r="V11471" t="s">
        <v>62865</v>
      </c>
      <c r="W11471" t="s">
        <v>45936</v>
      </c>
      <c r="X11471" t="s">
        <v>46580</v>
      </c>
    </row>
    <row r="11472" spans="1:24">
      <c r="A11472">
        <f>HYPERLINK("https://www.philgeps.gov.ph/GEPSNONPILOT/Tender/SplashBidNoticeAbstractUI.aspx?menuIndex=3&amp;refID=7049012&amp;Result=3","7049012")</f>
        <v>0</v>
      </c>
      <c r="B11472" t="s">
        <v>3068</v>
      </c>
      <c r="C11472" t="s">
        <v>14404</v>
      </c>
      <c r="D11472" t="s">
        <v>18804</v>
      </c>
      <c r="E11472" t="s">
        <v>28761</v>
      </c>
      <c r="F11472" t="s">
        <v>32666</v>
      </c>
      <c r="G11472" t="s">
        <v>32671</v>
      </c>
      <c r="H11472" t="s">
        <v>12635</v>
      </c>
      <c r="I11472" t="s">
        <v>6168</v>
      </c>
      <c r="J11472" t="s">
        <v>33608</v>
      </c>
      <c r="K11472" t="s">
        <v>42284</v>
      </c>
      <c r="M11472" t="s">
        <v>45946</v>
      </c>
      <c r="N11472" t="s">
        <v>46569</v>
      </c>
      <c r="O11472" t="s">
        <v>46570</v>
      </c>
      <c r="P11472">
        <v>0</v>
      </c>
      <c r="Q11472">
        <v>2</v>
      </c>
      <c r="R11472" t="s">
        <v>46579</v>
      </c>
      <c r="S11472" t="s">
        <v>46919</v>
      </c>
      <c r="T11472" t="s">
        <v>48307</v>
      </c>
      <c r="U11472" t="s">
        <v>57990</v>
      </c>
      <c r="W11472" t="s">
        <v>45946</v>
      </c>
      <c r="X11472" t="s">
        <v>46580</v>
      </c>
    </row>
    <row r="11473" spans="1:24">
      <c r="A11473">
        <f>HYPERLINK("https://www.philgeps.gov.ph/GEPSNONPILOT/Tender/SplashBidNoticeAbstractUI.aspx?menuIndex=3&amp;refID=7048420&amp;Result=3","7048420")</f>
        <v>0</v>
      </c>
      <c r="B11473" t="s">
        <v>593</v>
      </c>
      <c r="C11473" t="s">
        <v>4333</v>
      </c>
      <c r="D11473" t="s">
        <v>18824</v>
      </c>
      <c r="E11473" t="s">
        <v>18889</v>
      </c>
      <c r="F11473" t="s">
        <v>32666</v>
      </c>
      <c r="G11473" t="s">
        <v>32672</v>
      </c>
      <c r="H11473" t="s">
        <v>12635</v>
      </c>
      <c r="I11473" t="s">
        <v>4333</v>
      </c>
      <c r="J11473" t="s">
        <v>32898</v>
      </c>
      <c r="K11473" t="s">
        <v>42284</v>
      </c>
      <c r="M11473" t="s">
        <v>43173</v>
      </c>
      <c r="N11473" t="s">
        <v>46569</v>
      </c>
      <c r="O11473" t="s">
        <v>46570</v>
      </c>
      <c r="P11473">
        <v>0</v>
      </c>
      <c r="Q11473">
        <v>1</v>
      </c>
      <c r="R11473" t="s">
        <v>46579</v>
      </c>
      <c r="S11473" t="s">
        <v>46919</v>
      </c>
      <c r="T11473" t="s">
        <v>48276</v>
      </c>
      <c r="U11473" t="s">
        <v>57991</v>
      </c>
      <c r="W11473" t="s">
        <v>43173</v>
      </c>
      <c r="X11473" t="s">
        <v>46580</v>
      </c>
    </row>
    <row r="11474" spans="1:24">
      <c r="A11474">
        <f>HYPERLINK("https://www.philgeps.gov.ph/GEPSNONPILOT/Tender/SplashBidNoticeAbstractUI.aspx?menuIndex=3&amp;refID=7049009&amp;Result=3","7049009")</f>
        <v>0</v>
      </c>
      <c r="B11474" t="s">
        <v>27</v>
      </c>
      <c r="C11474" t="s">
        <v>14405</v>
      </c>
      <c r="E11474" t="s">
        <v>28762</v>
      </c>
      <c r="F11474" t="s">
        <v>32664</v>
      </c>
      <c r="G11474" t="s">
        <v>32672</v>
      </c>
      <c r="H11474" t="s">
        <v>12635</v>
      </c>
      <c r="I11474" t="s">
        <v>32708</v>
      </c>
      <c r="J11474" t="s">
        <v>34481</v>
      </c>
      <c r="K11474" t="s">
        <v>42283</v>
      </c>
      <c r="M11474" t="s">
        <v>42589</v>
      </c>
      <c r="N11474" t="s">
        <v>46569</v>
      </c>
      <c r="O11474" t="s">
        <v>46570</v>
      </c>
      <c r="Q11474">
        <v>17</v>
      </c>
      <c r="R11474" t="s">
        <v>46579</v>
      </c>
      <c r="S11474" t="s">
        <v>46945</v>
      </c>
      <c r="T11474" t="s">
        <v>48468</v>
      </c>
      <c r="U11474" t="s">
        <v>57992</v>
      </c>
      <c r="W11474" t="s">
        <v>42589</v>
      </c>
      <c r="X11474" t="s">
        <v>46580</v>
      </c>
    </row>
    <row r="11475" spans="1:24">
      <c r="A11475">
        <f>HYPERLINK("https://www.philgeps.gov.ph/GEPSNONPILOT/Tender/SplashBidNoticeAbstractUI.aspx?menuIndex=3&amp;refID=7049001&amp;Result=3","7049001")</f>
        <v>0</v>
      </c>
      <c r="B11475" t="s">
        <v>236</v>
      </c>
      <c r="C11475" t="s">
        <v>14406</v>
      </c>
      <c r="D11475" t="s">
        <v>18789</v>
      </c>
      <c r="E11475" t="s">
        <v>28763</v>
      </c>
      <c r="F11475" t="s">
        <v>32664</v>
      </c>
      <c r="G11475" t="s">
        <v>32672</v>
      </c>
      <c r="H11475" t="s">
        <v>32683</v>
      </c>
      <c r="I11475" t="s">
        <v>10627</v>
      </c>
      <c r="J11475" t="s">
        <v>33508</v>
      </c>
      <c r="K11475" t="s">
        <v>42522</v>
      </c>
      <c r="M11475" t="s">
        <v>42801</v>
      </c>
      <c r="N11475" t="s">
        <v>46569</v>
      </c>
      <c r="O11475" t="s">
        <v>46570</v>
      </c>
      <c r="Q11475">
        <v>2</v>
      </c>
      <c r="R11475" t="s">
        <v>46579</v>
      </c>
      <c r="S11475" t="s">
        <v>46946</v>
      </c>
      <c r="T11475" t="s">
        <v>48212</v>
      </c>
      <c r="U11475" t="s">
        <v>57993</v>
      </c>
      <c r="W11475" t="s">
        <v>42801</v>
      </c>
      <c r="X11475" t="s">
        <v>46580</v>
      </c>
    </row>
    <row r="11476" spans="1:24">
      <c r="A11476">
        <f>HYPERLINK("https://www.philgeps.gov.ph/GEPSNONPILOT/Tender/SplashBidNoticeAbstractUI.aspx?menuIndex=3&amp;refID=7048812&amp;Result=3","7048812")</f>
        <v>0</v>
      </c>
      <c r="B11476" t="s">
        <v>708</v>
      </c>
      <c r="C11476" t="s">
        <v>14407</v>
      </c>
      <c r="D11476" t="s">
        <v>18792</v>
      </c>
      <c r="E11476" t="s">
        <v>28764</v>
      </c>
      <c r="F11476" t="s">
        <v>32664</v>
      </c>
      <c r="G11476" t="s">
        <v>32672</v>
      </c>
      <c r="H11476" t="s">
        <v>12635</v>
      </c>
      <c r="I11476" t="s">
        <v>11464</v>
      </c>
      <c r="J11476" t="s">
        <v>32930</v>
      </c>
      <c r="K11476" t="s">
        <v>42281</v>
      </c>
      <c r="M11476" t="s">
        <v>43295</v>
      </c>
      <c r="N11476" t="s">
        <v>46569</v>
      </c>
      <c r="O11476" t="s">
        <v>46570</v>
      </c>
      <c r="P11476">
        <v>0</v>
      </c>
      <c r="Q11476">
        <v>6</v>
      </c>
      <c r="R11476" t="s">
        <v>46579</v>
      </c>
      <c r="S11476" t="s">
        <v>46919</v>
      </c>
      <c r="T11476" t="s">
        <v>48405</v>
      </c>
      <c r="U11476" t="s">
        <v>57994</v>
      </c>
      <c r="W11476" t="s">
        <v>43295</v>
      </c>
      <c r="X11476" t="s">
        <v>46580</v>
      </c>
    </row>
    <row r="11477" spans="1:24">
      <c r="A11477">
        <f>HYPERLINK("https://www.philgeps.gov.ph/GEPSNONPILOT/Tender/SplashBidNoticeAbstractUI.aspx?menuIndex=3&amp;refID=7048776&amp;Result=3","7048776")</f>
        <v>0</v>
      </c>
      <c r="B11477" t="s">
        <v>3069</v>
      </c>
      <c r="C11477" t="s">
        <v>14408</v>
      </c>
      <c r="D11477" t="s">
        <v>18820</v>
      </c>
      <c r="E11477" t="s">
        <v>28765</v>
      </c>
      <c r="F11477" t="s">
        <v>32664</v>
      </c>
      <c r="G11477" t="s">
        <v>32672</v>
      </c>
      <c r="H11477" t="s">
        <v>32683</v>
      </c>
      <c r="I11477" t="s">
        <v>10627</v>
      </c>
      <c r="J11477" t="s">
        <v>39596</v>
      </c>
      <c r="K11477" t="s">
        <v>42393</v>
      </c>
      <c r="M11477" t="s">
        <v>45947</v>
      </c>
      <c r="N11477" t="s">
        <v>46569</v>
      </c>
      <c r="O11477" t="s">
        <v>46570</v>
      </c>
      <c r="P11477">
        <v>0</v>
      </c>
      <c r="Q11477">
        <v>0</v>
      </c>
      <c r="R11477" t="s">
        <v>46579</v>
      </c>
      <c r="S11477" t="s">
        <v>46919</v>
      </c>
      <c r="T11477" t="s">
        <v>48284</v>
      </c>
      <c r="U11477" t="s">
        <v>57995</v>
      </c>
      <c r="W11477" t="s">
        <v>45947</v>
      </c>
      <c r="X11477" t="s">
        <v>46580</v>
      </c>
    </row>
    <row r="11478" spans="1:24">
      <c r="A11478">
        <f>HYPERLINK("https://www.philgeps.gov.ph/GEPSNONPILOT/Tender/SplashBidNoticeAbstractUI.aspx?menuIndex=3&amp;refID=7048976&amp;Result=3","7048976")</f>
        <v>0</v>
      </c>
      <c r="B11478" t="s">
        <v>3065</v>
      </c>
      <c r="C11478" t="s">
        <v>14409</v>
      </c>
      <c r="D11478" t="s">
        <v>18831</v>
      </c>
      <c r="E11478" t="s">
        <v>28766</v>
      </c>
      <c r="F11478" t="s">
        <v>32664</v>
      </c>
      <c r="G11478" t="s">
        <v>32672</v>
      </c>
      <c r="H11478" t="s">
        <v>12635</v>
      </c>
      <c r="I11478" t="s">
        <v>32738</v>
      </c>
      <c r="J11478" t="s">
        <v>39597</v>
      </c>
      <c r="K11478" t="s">
        <v>42311</v>
      </c>
      <c r="M11478" t="s">
        <v>45948</v>
      </c>
      <c r="N11478" t="s">
        <v>46569</v>
      </c>
      <c r="O11478" t="s">
        <v>46570</v>
      </c>
      <c r="P11478">
        <v>0</v>
      </c>
      <c r="Q11478">
        <v>5</v>
      </c>
      <c r="R11478" t="s">
        <v>46579</v>
      </c>
      <c r="S11478" t="s">
        <v>46919</v>
      </c>
      <c r="T11478" t="s">
        <v>48487</v>
      </c>
      <c r="U11478" t="s">
        <v>57996</v>
      </c>
      <c r="W11478" t="s">
        <v>45948</v>
      </c>
      <c r="X11478" t="s">
        <v>46580</v>
      </c>
    </row>
    <row r="11479" spans="1:24">
      <c r="A11479">
        <f>HYPERLINK("https://www.philgeps.gov.ph/GEPSNONPILOT/Tender/SplashBidNoticeAbstractUI.aspx?menuIndex=3&amp;refID=7048975&amp;Result=3","7048975")</f>
        <v>0</v>
      </c>
      <c r="B11479" t="s">
        <v>1920</v>
      </c>
      <c r="C11479" t="s">
        <v>14410</v>
      </c>
      <c r="D11479" t="s">
        <v>18789</v>
      </c>
      <c r="E11479" t="s">
        <v>28715</v>
      </c>
      <c r="F11479" t="s">
        <v>32664</v>
      </c>
      <c r="G11479" t="s">
        <v>32672</v>
      </c>
      <c r="H11479" t="s">
        <v>12635</v>
      </c>
      <c r="I11479" t="s">
        <v>7324</v>
      </c>
      <c r="J11479" t="s">
        <v>33338</v>
      </c>
      <c r="K11479" t="s">
        <v>42297</v>
      </c>
      <c r="M11479" t="s">
        <v>44641</v>
      </c>
      <c r="N11479" t="s">
        <v>46569</v>
      </c>
      <c r="O11479" t="s">
        <v>46570</v>
      </c>
      <c r="P11479">
        <v>0</v>
      </c>
      <c r="Q11479">
        <v>0</v>
      </c>
      <c r="R11479" t="s">
        <v>46579</v>
      </c>
      <c r="S11479" t="s">
        <v>46919</v>
      </c>
      <c r="T11479" t="s">
        <v>48316</v>
      </c>
      <c r="U11479" t="s">
        <v>57997</v>
      </c>
      <c r="W11479" t="s">
        <v>44641</v>
      </c>
      <c r="X11479" t="s">
        <v>46580</v>
      </c>
    </row>
    <row r="11480" spans="1:24">
      <c r="A11480">
        <f>HYPERLINK("https://www.philgeps.gov.ph/GEPSNONPILOT/Tender/SplashBidNoticeAbstractUI.aspx?menuIndex=3&amp;refID=7048944&amp;Result=3","7048944")</f>
        <v>0</v>
      </c>
      <c r="B11480" t="s">
        <v>82</v>
      </c>
      <c r="C11480" t="s">
        <v>14411</v>
      </c>
      <c r="D11480" t="s">
        <v>18804</v>
      </c>
      <c r="E11480" t="s">
        <v>19259</v>
      </c>
      <c r="F11480" t="s">
        <v>32664</v>
      </c>
      <c r="G11480" t="s">
        <v>32672</v>
      </c>
      <c r="H11480" t="s">
        <v>12635</v>
      </c>
      <c r="I11480" t="s">
        <v>4439</v>
      </c>
      <c r="J11480" t="s">
        <v>39598</v>
      </c>
      <c r="K11480" t="s">
        <v>42289</v>
      </c>
      <c r="M11480" t="s">
        <v>45936</v>
      </c>
      <c r="N11480" t="s">
        <v>46569</v>
      </c>
      <c r="O11480" t="s">
        <v>46570</v>
      </c>
      <c r="P11480">
        <v>0</v>
      </c>
      <c r="Q11480">
        <v>1</v>
      </c>
      <c r="R11480" t="s">
        <v>46579</v>
      </c>
      <c r="S11480" t="s">
        <v>46919</v>
      </c>
      <c r="T11480" t="s">
        <v>48215</v>
      </c>
      <c r="U11480" t="s">
        <v>57948</v>
      </c>
      <c r="V11480" t="s">
        <v>62866</v>
      </c>
      <c r="W11480" t="s">
        <v>45936</v>
      </c>
      <c r="X11480" t="s">
        <v>46580</v>
      </c>
    </row>
    <row r="11481" spans="1:24">
      <c r="A11481">
        <f>HYPERLINK("https://www.philgeps.gov.ph/GEPSNONPILOT/Tender/SplashBidNoticeAbstractUI.aspx?menuIndex=3&amp;refID=7048943&amp;Result=3","7048943")</f>
        <v>0</v>
      </c>
      <c r="B11481" t="s">
        <v>3070</v>
      </c>
      <c r="C11481" t="s">
        <v>14412</v>
      </c>
      <c r="D11481" t="s">
        <v>18807</v>
      </c>
      <c r="E11481" t="s">
        <v>19299</v>
      </c>
      <c r="F11481" t="s">
        <v>32664</v>
      </c>
      <c r="G11481" t="s">
        <v>32672</v>
      </c>
      <c r="H11481" t="s">
        <v>12635</v>
      </c>
      <c r="I11481" t="s">
        <v>32721</v>
      </c>
      <c r="J11481" t="s">
        <v>33126</v>
      </c>
      <c r="K11481" t="s">
        <v>42306</v>
      </c>
      <c r="M11481" t="s">
        <v>45949</v>
      </c>
      <c r="N11481" t="s">
        <v>46569</v>
      </c>
      <c r="O11481" t="s">
        <v>46570</v>
      </c>
      <c r="P11481">
        <v>0</v>
      </c>
      <c r="Q11481">
        <v>1</v>
      </c>
      <c r="R11481" t="s">
        <v>46579</v>
      </c>
      <c r="S11481" t="s">
        <v>46919</v>
      </c>
      <c r="T11481" t="s">
        <v>48254</v>
      </c>
      <c r="U11481" t="s">
        <v>57998</v>
      </c>
      <c r="W11481" t="s">
        <v>45949</v>
      </c>
      <c r="X11481" t="s">
        <v>46580</v>
      </c>
    </row>
    <row r="11482" spans="1:24">
      <c r="A11482">
        <f>HYPERLINK("https://www.philgeps.gov.ph/GEPSNONPILOT/Tender/SplashBidNoticeAbstractUI.aspx?menuIndex=3&amp;refID=7048942&amp;Result=3","7048942")</f>
        <v>0</v>
      </c>
      <c r="B11482" t="s">
        <v>3071</v>
      </c>
      <c r="C11482" t="s">
        <v>14413</v>
      </c>
      <c r="D11482" t="s">
        <v>18803</v>
      </c>
      <c r="E11482" t="s">
        <v>28767</v>
      </c>
      <c r="F11482" t="s">
        <v>32664</v>
      </c>
      <c r="G11482" t="s">
        <v>32671</v>
      </c>
      <c r="H11482" t="s">
        <v>12635</v>
      </c>
      <c r="I11482" t="s">
        <v>32685</v>
      </c>
      <c r="J11482" t="s">
        <v>33214</v>
      </c>
      <c r="K11482" t="s">
        <v>42281</v>
      </c>
      <c r="M11482" t="s">
        <v>45950</v>
      </c>
      <c r="N11482" t="s">
        <v>46569</v>
      </c>
      <c r="O11482" t="s">
        <v>46570</v>
      </c>
      <c r="P11482">
        <v>0</v>
      </c>
      <c r="Q11482">
        <v>1</v>
      </c>
      <c r="R11482" t="s">
        <v>46579</v>
      </c>
      <c r="S11482" t="s">
        <v>46919</v>
      </c>
      <c r="T11482" t="s">
        <v>48303</v>
      </c>
      <c r="U11482" t="s">
        <v>57999</v>
      </c>
      <c r="W11482" t="s">
        <v>45950</v>
      </c>
      <c r="X11482" t="s">
        <v>46580</v>
      </c>
    </row>
    <row r="11483" spans="1:24">
      <c r="A11483">
        <f>HYPERLINK("https://www.philgeps.gov.ph/GEPSNONPILOT/Tender/SplashBidNoticeAbstractUI.aspx?menuIndex=3&amp;refID=7048935&amp;Result=3","7048935")</f>
        <v>0</v>
      </c>
      <c r="B11483" t="s">
        <v>1049</v>
      </c>
      <c r="C11483" t="s">
        <v>14414</v>
      </c>
      <c r="E11483" t="s">
        <v>28768</v>
      </c>
      <c r="F11483" t="s">
        <v>32664</v>
      </c>
      <c r="G11483" t="s">
        <v>32671</v>
      </c>
      <c r="H11483" t="s">
        <v>12635</v>
      </c>
      <c r="I11483" t="s">
        <v>32704</v>
      </c>
      <c r="J11483" t="s">
        <v>39599</v>
      </c>
      <c r="K11483" t="s">
        <v>42281</v>
      </c>
      <c r="M11483" t="s">
        <v>45266</v>
      </c>
      <c r="N11483" t="s">
        <v>46569</v>
      </c>
      <c r="O11483" t="s">
        <v>46570</v>
      </c>
      <c r="P11483">
        <v>0</v>
      </c>
      <c r="Q11483">
        <v>8</v>
      </c>
      <c r="R11483" t="s">
        <v>46579</v>
      </c>
      <c r="S11483" t="s">
        <v>46919</v>
      </c>
      <c r="T11483" t="s">
        <v>48427</v>
      </c>
      <c r="U11483" t="s">
        <v>58000</v>
      </c>
      <c r="W11483" t="s">
        <v>63560</v>
      </c>
      <c r="X11483" t="s">
        <v>46580</v>
      </c>
    </row>
    <row r="11484" spans="1:24">
      <c r="A11484">
        <f>HYPERLINK("https://www.philgeps.gov.ph/GEPSNONPILOT/Tender/SplashBidNoticeAbstractUI.aspx?menuIndex=3&amp;refID=7048925&amp;Result=3","7048925")</f>
        <v>0</v>
      </c>
      <c r="B11484" t="s">
        <v>3064</v>
      </c>
      <c r="C11484" t="s">
        <v>4913</v>
      </c>
      <c r="D11484" t="s">
        <v>18842</v>
      </c>
      <c r="E11484" t="s">
        <v>25333</v>
      </c>
      <c r="F11484" t="s">
        <v>32664</v>
      </c>
      <c r="G11484" t="s">
        <v>32672</v>
      </c>
      <c r="H11484" t="s">
        <v>32683</v>
      </c>
      <c r="I11484" t="s">
        <v>10627</v>
      </c>
      <c r="J11484" t="s">
        <v>32859</v>
      </c>
      <c r="K11484" t="s">
        <v>42298</v>
      </c>
      <c r="M11484" t="s">
        <v>45941</v>
      </c>
      <c r="N11484" t="s">
        <v>46569</v>
      </c>
      <c r="O11484" t="s">
        <v>46570</v>
      </c>
      <c r="P11484">
        <v>0</v>
      </c>
      <c r="Q11484">
        <v>0</v>
      </c>
      <c r="R11484" t="s">
        <v>46579</v>
      </c>
      <c r="S11484" t="s">
        <v>46919</v>
      </c>
      <c r="T11484" t="s">
        <v>48307</v>
      </c>
      <c r="U11484" t="s">
        <v>58001</v>
      </c>
      <c r="V11484" t="s">
        <v>62756</v>
      </c>
      <c r="W11484" t="s">
        <v>45941</v>
      </c>
      <c r="X11484" t="s">
        <v>46580</v>
      </c>
    </row>
    <row r="11485" spans="1:24">
      <c r="A11485">
        <f>HYPERLINK("https://www.philgeps.gov.ph/GEPSNONPILOT/Tender/SplashBidNoticeAbstractUI.aspx?menuIndex=3&amp;refID=7048918&amp;Result=3","7048918")</f>
        <v>0</v>
      </c>
      <c r="B11485" t="s">
        <v>2717</v>
      </c>
      <c r="C11485" t="s">
        <v>14415</v>
      </c>
      <c r="D11485" t="s">
        <v>18823</v>
      </c>
      <c r="E11485" t="s">
        <v>28769</v>
      </c>
      <c r="F11485" t="s">
        <v>32664</v>
      </c>
      <c r="G11485" t="s">
        <v>32672</v>
      </c>
      <c r="H11485" t="s">
        <v>12635</v>
      </c>
      <c r="I11485" t="s">
        <v>4439</v>
      </c>
      <c r="J11485" t="s">
        <v>39600</v>
      </c>
      <c r="K11485" t="s">
        <v>42283</v>
      </c>
      <c r="M11485" t="s">
        <v>45544</v>
      </c>
      <c r="N11485" t="s">
        <v>46569</v>
      </c>
      <c r="O11485" t="s">
        <v>46570</v>
      </c>
      <c r="P11485">
        <v>0</v>
      </c>
      <c r="Q11485">
        <v>7</v>
      </c>
      <c r="R11485" t="s">
        <v>46579</v>
      </c>
      <c r="S11485" t="s">
        <v>46919</v>
      </c>
      <c r="T11485" t="s">
        <v>48580</v>
      </c>
      <c r="U11485" t="s">
        <v>58002</v>
      </c>
      <c r="W11485" t="s">
        <v>45544</v>
      </c>
      <c r="X11485" t="s">
        <v>46580</v>
      </c>
    </row>
    <row r="11486" spans="1:24">
      <c r="A11486">
        <f>HYPERLINK("https://www.philgeps.gov.ph/GEPSNONPILOT/Tender/SplashBidNoticeAbstractUI.aspx?menuIndex=3&amp;refID=7048972&amp;Result=3","7048972")</f>
        <v>0</v>
      </c>
      <c r="B11486" t="s">
        <v>396</v>
      </c>
      <c r="C11486" t="s">
        <v>14416</v>
      </c>
      <c r="D11486" t="s">
        <v>18790</v>
      </c>
      <c r="E11486" t="s">
        <v>28770</v>
      </c>
      <c r="F11486" t="s">
        <v>32664</v>
      </c>
      <c r="G11486" t="s">
        <v>32672</v>
      </c>
      <c r="H11486" t="s">
        <v>12635</v>
      </c>
      <c r="I11486" t="s">
        <v>32699</v>
      </c>
      <c r="J11486" t="s">
        <v>39601</v>
      </c>
      <c r="K11486" t="s">
        <v>42283</v>
      </c>
      <c r="M11486" t="s">
        <v>45945</v>
      </c>
      <c r="N11486" t="s">
        <v>46569</v>
      </c>
      <c r="O11486" t="s">
        <v>46570</v>
      </c>
      <c r="P11486">
        <v>0</v>
      </c>
      <c r="Q11486">
        <v>0</v>
      </c>
      <c r="R11486" t="s">
        <v>46579</v>
      </c>
      <c r="S11486" t="s">
        <v>46919</v>
      </c>
      <c r="T11486" t="s">
        <v>48212</v>
      </c>
      <c r="U11486" t="s">
        <v>58003</v>
      </c>
      <c r="W11486" t="s">
        <v>45945</v>
      </c>
      <c r="X11486" t="s">
        <v>46580</v>
      </c>
    </row>
    <row r="11487" spans="1:24">
      <c r="A11487">
        <f>HYPERLINK("https://www.philgeps.gov.ph/GEPSNONPILOT/Tender/SplashBidNoticeAbstractUI.aspx?menuIndex=3&amp;refID=7048913&amp;Result=3","7048913")</f>
        <v>0</v>
      </c>
      <c r="B11487" t="s">
        <v>947</v>
      </c>
      <c r="C11487" t="s">
        <v>14417</v>
      </c>
      <c r="D11487" t="s">
        <v>18787</v>
      </c>
      <c r="E11487" t="s">
        <v>28771</v>
      </c>
      <c r="F11487" t="s">
        <v>32664</v>
      </c>
      <c r="G11487" t="s">
        <v>32672</v>
      </c>
      <c r="H11487" t="s">
        <v>12635</v>
      </c>
      <c r="I11487" t="s">
        <v>32701</v>
      </c>
      <c r="J11487" t="s">
        <v>39602</v>
      </c>
      <c r="K11487" t="s">
        <v>42305</v>
      </c>
      <c r="M11487" t="s">
        <v>43553</v>
      </c>
      <c r="N11487" t="s">
        <v>46569</v>
      </c>
      <c r="O11487" t="s">
        <v>46570</v>
      </c>
      <c r="Q11487">
        <v>2</v>
      </c>
      <c r="R11487" t="s">
        <v>46579</v>
      </c>
      <c r="S11487" t="s">
        <v>46947</v>
      </c>
      <c r="T11487" t="s">
        <v>48381</v>
      </c>
      <c r="U11487" t="s">
        <v>54312</v>
      </c>
      <c r="W11487" t="s">
        <v>63497</v>
      </c>
      <c r="X11487" t="s">
        <v>46580</v>
      </c>
    </row>
    <row r="11488" spans="1:24">
      <c r="A11488">
        <f>HYPERLINK("https://www.philgeps.gov.ph/GEPSNONPILOT/Tender/SplashBidNoticeAbstractUI.aspx?menuIndex=3&amp;refID=7048979&amp;Result=3","7048979")</f>
        <v>0</v>
      </c>
      <c r="B11488" t="s">
        <v>346</v>
      </c>
      <c r="C11488" t="s">
        <v>14418</v>
      </c>
      <c r="D11488" t="s">
        <v>18817</v>
      </c>
      <c r="E11488" t="s">
        <v>28772</v>
      </c>
      <c r="F11488" t="s">
        <v>32664</v>
      </c>
      <c r="G11488" t="s">
        <v>32672</v>
      </c>
      <c r="H11488" t="s">
        <v>32683</v>
      </c>
      <c r="I11488" t="s">
        <v>10627</v>
      </c>
      <c r="J11488" t="s">
        <v>39603</v>
      </c>
      <c r="K11488" t="s">
        <v>42426</v>
      </c>
      <c r="M11488" t="s">
        <v>42915</v>
      </c>
      <c r="N11488" t="s">
        <v>46569</v>
      </c>
      <c r="O11488" t="s">
        <v>46570</v>
      </c>
      <c r="P11488">
        <v>0</v>
      </c>
      <c r="Q11488">
        <v>0</v>
      </c>
      <c r="R11488" t="s">
        <v>46579</v>
      </c>
      <c r="S11488" t="s">
        <v>46919</v>
      </c>
      <c r="T11488" t="s">
        <v>48213</v>
      </c>
      <c r="U11488" t="s">
        <v>58004</v>
      </c>
      <c r="W11488" t="s">
        <v>42915</v>
      </c>
      <c r="X11488" t="s">
        <v>46580</v>
      </c>
    </row>
    <row r="11489" spans="1:24">
      <c r="A11489">
        <f>HYPERLINK("https://www.philgeps.gov.ph/GEPSNONPILOT/Tender/SplashBidNoticeAbstractUI.aspx?menuIndex=3&amp;refID=7049102&amp;Result=3","7049102")</f>
        <v>0</v>
      </c>
      <c r="B11489" t="s">
        <v>27</v>
      </c>
      <c r="C11489" t="s">
        <v>14419</v>
      </c>
      <c r="E11489" t="s">
        <v>28773</v>
      </c>
      <c r="F11489" t="s">
        <v>32664</v>
      </c>
      <c r="G11489" t="s">
        <v>32672</v>
      </c>
      <c r="H11489" t="s">
        <v>12635</v>
      </c>
      <c r="I11489" t="s">
        <v>32712</v>
      </c>
      <c r="J11489" t="s">
        <v>33009</v>
      </c>
      <c r="K11489" t="s">
        <v>42283</v>
      </c>
      <c r="M11489" t="s">
        <v>45951</v>
      </c>
      <c r="N11489" t="s">
        <v>46569</v>
      </c>
      <c r="O11489" t="s">
        <v>46570</v>
      </c>
      <c r="P11489">
        <v>0</v>
      </c>
      <c r="Q11489">
        <v>17</v>
      </c>
      <c r="R11489" t="s">
        <v>46579</v>
      </c>
      <c r="S11489" t="s">
        <v>46919</v>
      </c>
      <c r="T11489" t="s">
        <v>48557</v>
      </c>
      <c r="U11489" t="s">
        <v>57992</v>
      </c>
      <c r="W11489" t="s">
        <v>45951</v>
      </c>
      <c r="X11489" t="s">
        <v>46580</v>
      </c>
    </row>
    <row r="11490" spans="1:24">
      <c r="A11490">
        <f>HYPERLINK("https://www.philgeps.gov.ph/GEPSNONPILOT/Tender/SplashBidNoticeAbstractUI.aspx?menuIndex=3&amp;refID=7048922&amp;Result=3","7048922")</f>
        <v>0</v>
      </c>
      <c r="B11490" t="s">
        <v>167</v>
      </c>
      <c r="C11490" t="s">
        <v>14420</v>
      </c>
      <c r="D11490" t="s">
        <v>18837</v>
      </c>
      <c r="E11490" t="s">
        <v>28774</v>
      </c>
      <c r="F11490" t="s">
        <v>32664</v>
      </c>
      <c r="G11490" t="s">
        <v>32672</v>
      </c>
      <c r="H11490" t="s">
        <v>12635</v>
      </c>
      <c r="I11490" t="s">
        <v>4439</v>
      </c>
      <c r="J11490" t="s">
        <v>39604</v>
      </c>
      <c r="K11490" t="s">
        <v>42297</v>
      </c>
      <c r="M11490" t="s">
        <v>42731</v>
      </c>
      <c r="N11490" t="s">
        <v>46569</v>
      </c>
      <c r="O11490" t="s">
        <v>46570</v>
      </c>
      <c r="P11490">
        <v>0</v>
      </c>
      <c r="Q11490">
        <v>2</v>
      </c>
      <c r="R11490" t="s">
        <v>46579</v>
      </c>
      <c r="S11490" t="s">
        <v>46919</v>
      </c>
      <c r="T11490" t="s">
        <v>48389</v>
      </c>
      <c r="U11490" t="s">
        <v>57971</v>
      </c>
      <c r="W11490" t="s">
        <v>42731</v>
      </c>
      <c r="X11490" t="s">
        <v>46580</v>
      </c>
    </row>
    <row r="11491" spans="1:24">
      <c r="A11491">
        <f>HYPERLINK("https://www.philgeps.gov.ph/GEPSNONPILOT/Tender/SplashBidNoticeAbstractUI.aspx?menuIndex=3&amp;refID=7049100&amp;Result=3","7049100")</f>
        <v>0</v>
      </c>
      <c r="B11491" t="s">
        <v>3072</v>
      </c>
      <c r="C11491" t="s">
        <v>14421</v>
      </c>
      <c r="D11491" t="s">
        <v>18784</v>
      </c>
      <c r="E11491" t="s">
        <v>19583</v>
      </c>
      <c r="F11491" t="s">
        <v>32664</v>
      </c>
      <c r="G11491" t="s">
        <v>32672</v>
      </c>
      <c r="H11491" t="s">
        <v>32682</v>
      </c>
      <c r="I11491" t="s">
        <v>8730</v>
      </c>
      <c r="J11491" t="s">
        <v>32865</v>
      </c>
      <c r="K11491" t="s">
        <v>42295</v>
      </c>
      <c r="M11491" t="s">
        <v>45952</v>
      </c>
      <c r="N11491" t="s">
        <v>46569</v>
      </c>
      <c r="O11491" t="s">
        <v>46570</v>
      </c>
      <c r="P11491">
        <v>0</v>
      </c>
      <c r="Q11491">
        <v>3</v>
      </c>
      <c r="R11491" t="s">
        <v>46579</v>
      </c>
      <c r="S11491" t="s">
        <v>46919</v>
      </c>
      <c r="T11491" t="s">
        <v>48290</v>
      </c>
      <c r="U11491" t="s">
        <v>58005</v>
      </c>
      <c r="W11491" t="s">
        <v>45952</v>
      </c>
      <c r="X11491" t="s">
        <v>46580</v>
      </c>
    </row>
    <row r="11492" spans="1:24">
      <c r="A11492">
        <f>HYPERLINK("https://www.philgeps.gov.ph/GEPSNONPILOT/Tender/SplashBidNoticeAbstractUI.aspx?menuIndex=3&amp;refID=7049099&amp;Result=3","7049099")</f>
        <v>0</v>
      </c>
      <c r="B11492" t="s">
        <v>3065</v>
      </c>
      <c r="C11492" t="s">
        <v>14422</v>
      </c>
      <c r="D11492" t="s">
        <v>18831</v>
      </c>
      <c r="E11492" t="s">
        <v>28775</v>
      </c>
      <c r="F11492" t="s">
        <v>32664</v>
      </c>
      <c r="G11492" t="s">
        <v>32672</v>
      </c>
      <c r="H11492" t="s">
        <v>12635</v>
      </c>
      <c r="I11492" t="s">
        <v>32738</v>
      </c>
      <c r="J11492" t="s">
        <v>39605</v>
      </c>
      <c r="K11492" t="s">
        <v>42311</v>
      </c>
      <c r="M11492" t="s">
        <v>45948</v>
      </c>
      <c r="N11492" t="s">
        <v>46569</v>
      </c>
      <c r="O11492" t="s">
        <v>46570</v>
      </c>
      <c r="P11492">
        <v>0</v>
      </c>
      <c r="Q11492">
        <v>4</v>
      </c>
      <c r="R11492" t="s">
        <v>46579</v>
      </c>
      <c r="S11492" t="s">
        <v>46919</v>
      </c>
      <c r="T11492" t="s">
        <v>48487</v>
      </c>
      <c r="U11492" t="s">
        <v>58006</v>
      </c>
      <c r="W11492" t="s">
        <v>45948</v>
      </c>
      <c r="X11492" t="s">
        <v>46580</v>
      </c>
    </row>
    <row r="11493" spans="1:24">
      <c r="A11493">
        <f>HYPERLINK("https://www.philgeps.gov.ph/GEPSNONPILOT/Tender/SplashBidNoticeAbstractUI.aspx?menuIndex=3&amp;refID=7048977&amp;Result=3","7048977")</f>
        <v>0</v>
      </c>
      <c r="B11493" t="s">
        <v>209</v>
      </c>
      <c r="C11493" t="s">
        <v>14423</v>
      </c>
      <c r="D11493" t="s">
        <v>18789</v>
      </c>
      <c r="E11493" t="s">
        <v>28776</v>
      </c>
      <c r="F11493" t="s">
        <v>32664</v>
      </c>
      <c r="G11493" t="s">
        <v>32671</v>
      </c>
      <c r="H11493" t="s">
        <v>32682</v>
      </c>
      <c r="I11493" t="s">
        <v>10590</v>
      </c>
      <c r="J11493" t="s">
        <v>39606</v>
      </c>
      <c r="K11493" t="s">
        <v>42330</v>
      </c>
      <c r="M11493" t="s">
        <v>42773</v>
      </c>
      <c r="N11493" t="s">
        <v>46569</v>
      </c>
      <c r="O11493" t="s">
        <v>46570</v>
      </c>
      <c r="Q11493">
        <v>0</v>
      </c>
      <c r="R11493" t="s">
        <v>46579</v>
      </c>
      <c r="S11493" t="s">
        <v>46948</v>
      </c>
      <c r="T11493" t="s">
        <v>48448</v>
      </c>
      <c r="U11493" t="s">
        <v>58007</v>
      </c>
      <c r="W11493" t="s">
        <v>42773</v>
      </c>
      <c r="X11493" t="s">
        <v>46580</v>
      </c>
    </row>
    <row r="11494" spans="1:24">
      <c r="A11494">
        <f>HYPERLINK("https://www.philgeps.gov.ph/GEPSNONPILOT/Tender/SplashBidNoticeAbstractUI.aspx?menuIndex=3&amp;refID=7048904&amp;Result=3","7048904")</f>
        <v>0</v>
      </c>
      <c r="B11494" t="s">
        <v>1920</v>
      </c>
      <c r="C11494" t="s">
        <v>14424</v>
      </c>
      <c r="D11494" t="s">
        <v>18789</v>
      </c>
      <c r="E11494" t="s">
        <v>28715</v>
      </c>
      <c r="F11494" t="s">
        <v>32664</v>
      </c>
      <c r="G11494" t="s">
        <v>32672</v>
      </c>
      <c r="H11494" t="s">
        <v>12635</v>
      </c>
      <c r="I11494" t="s">
        <v>8958</v>
      </c>
      <c r="J11494" t="s">
        <v>33311</v>
      </c>
      <c r="K11494" t="s">
        <v>42297</v>
      </c>
      <c r="M11494" t="s">
        <v>44641</v>
      </c>
      <c r="N11494" t="s">
        <v>46569</v>
      </c>
      <c r="O11494" t="s">
        <v>46570</v>
      </c>
      <c r="P11494">
        <v>0</v>
      </c>
      <c r="Q11494">
        <v>0</v>
      </c>
      <c r="R11494" t="s">
        <v>46579</v>
      </c>
      <c r="S11494" t="s">
        <v>46919</v>
      </c>
      <c r="T11494" t="s">
        <v>48316</v>
      </c>
      <c r="U11494" t="s">
        <v>58008</v>
      </c>
      <c r="W11494" t="s">
        <v>44641</v>
      </c>
      <c r="X11494" t="s">
        <v>46580</v>
      </c>
    </row>
    <row r="11495" spans="1:24">
      <c r="A11495">
        <f>HYPERLINK("https://www.philgeps.gov.ph/GEPSNONPILOT/Tender/SplashBidNoticeAbstractUI.aspx?menuIndex=3&amp;refID=7049083&amp;Result=3","7049083")</f>
        <v>0</v>
      </c>
      <c r="B11495" t="s">
        <v>27</v>
      </c>
      <c r="C11495" t="s">
        <v>14425</v>
      </c>
      <c r="E11495" t="s">
        <v>28777</v>
      </c>
      <c r="F11495" t="s">
        <v>32664</v>
      </c>
      <c r="G11495" t="s">
        <v>32672</v>
      </c>
      <c r="H11495" t="s">
        <v>12635</v>
      </c>
      <c r="I11495" t="s">
        <v>32712</v>
      </c>
      <c r="J11495" t="s">
        <v>34487</v>
      </c>
      <c r="K11495" t="s">
        <v>42283</v>
      </c>
      <c r="M11495" t="s">
        <v>45951</v>
      </c>
      <c r="N11495" t="s">
        <v>46569</v>
      </c>
      <c r="O11495" t="s">
        <v>46570</v>
      </c>
      <c r="P11495">
        <v>0</v>
      </c>
      <c r="Q11495">
        <v>11</v>
      </c>
      <c r="R11495" t="s">
        <v>46579</v>
      </c>
      <c r="S11495" t="s">
        <v>46919</v>
      </c>
      <c r="T11495" t="s">
        <v>48557</v>
      </c>
      <c r="U11495" t="s">
        <v>57992</v>
      </c>
      <c r="W11495" t="s">
        <v>45951</v>
      </c>
      <c r="X11495" t="s">
        <v>46580</v>
      </c>
    </row>
    <row r="11496" spans="1:24">
      <c r="A11496">
        <f>HYPERLINK("https://www.philgeps.gov.ph/GEPSNONPILOT/Tender/SplashBidNoticeAbstractUI.aspx?menuIndex=3&amp;refID=7049079&amp;Result=3","7049079")</f>
        <v>0</v>
      </c>
      <c r="B11496" t="s">
        <v>27</v>
      </c>
      <c r="C11496" t="s">
        <v>14426</v>
      </c>
      <c r="E11496" t="s">
        <v>28778</v>
      </c>
      <c r="F11496" t="s">
        <v>32664</v>
      </c>
      <c r="G11496" t="s">
        <v>32672</v>
      </c>
      <c r="H11496" t="s">
        <v>12635</v>
      </c>
      <c r="I11496" t="s">
        <v>32708</v>
      </c>
      <c r="J11496" t="s">
        <v>39607</v>
      </c>
      <c r="K11496" t="s">
        <v>42283</v>
      </c>
      <c r="M11496" t="s">
        <v>45953</v>
      </c>
      <c r="N11496" t="s">
        <v>46569</v>
      </c>
      <c r="O11496" t="s">
        <v>46570</v>
      </c>
      <c r="P11496">
        <v>0</v>
      </c>
      <c r="Q11496">
        <v>8</v>
      </c>
      <c r="R11496" t="s">
        <v>46579</v>
      </c>
      <c r="S11496" t="s">
        <v>46919</v>
      </c>
      <c r="T11496" t="s">
        <v>48557</v>
      </c>
      <c r="U11496" t="s">
        <v>58009</v>
      </c>
      <c r="W11496" t="s">
        <v>45953</v>
      </c>
      <c r="X11496" t="s">
        <v>46580</v>
      </c>
    </row>
    <row r="11497" spans="1:24">
      <c r="A11497">
        <f>HYPERLINK("https://www.philgeps.gov.ph/GEPSNONPILOT/Tender/SplashBidNoticeAbstractUI.aspx?menuIndex=3&amp;refID=7049078&amp;Result=3","7049078")</f>
        <v>0</v>
      </c>
      <c r="B11497" t="s">
        <v>1656</v>
      </c>
      <c r="C11497" t="s">
        <v>14427</v>
      </c>
      <c r="D11497" t="s">
        <v>18805</v>
      </c>
      <c r="E11497" t="s">
        <v>21319</v>
      </c>
      <c r="F11497" t="s">
        <v>32664</v>
      </c>
      <c r="G11497" t="s">
        <v>32671</v>
      </c>
      <c r="H11497" t="s">
        <v>12635</v>
      </c>
      <c r="I11497" t="s">
        <v>32767</v>
      </c>
      <c r="J11497" t="s">
        <v>33621</v>
      </c>
      <c r="K11497" t="s">
        <v>42306</v>
      </c>
      <c r="M11497" t="s">
        <v>44341</v>
      </c>
      <c r="N11497" t="s">
        <v>46569</v>
      </c>
      <c r="O11497" t="s">
        <v>46570</v>
      </c>
      <c r="P11497">
        <v>0</v>
      </c>
      <c r="Q11497">
        <v>0</v>
      </c>
      <c r="R11497" t="s">
        <v>46579</v>
      </c>
      <c r="S11497" t="s">
        <v>46919</v>
      </c>
      <c r="T11497" t="s">
        <v>48350</v>
      </c>
      <c r="U11497" t="s">
        <v>58010</v>
      </c>
      <c r="W11497" t="s">
        <v>44341</v>
      </c>
      <c r="X11497" t="s">
        <v>46580</v>
      </c>
    </row>
    <row r="11498" spans="1:24">
      <c r="A11498">
        <f>HYPERLINK("https://www.philgeps.gov.ph/GEPSNONPILOT/Tender/SplashBidNoticeAbstractUI.aspx?menuIndex=3&amp;refID=7049072&amp;Result=3","7049072")</f>
        <v>0</v>
      </c>
      <c r="B11498" t="s">
        <v>212</v>
      </c>
      <c r="C11498" t="s">
        <v>14428</v>
      </c>
      <c r="D11498" t="s">
        <v>18844</v>
      </c>
      <c r="E11498" t="s">
        <v>28779</v>
      </c>
      <c r="F11498" t="s">
        <v>32664</v>
      </c>
      <c r="G11498" t="s">
        <v>32675</v>
      </c>
      <c r="H11498" t="s">
        <v>12635</v>
      </c>
      <c r="I11498" t="s">
        <v>8730</v>
      </c>
      <c r="J11498" t="s">
        <v>39608</v>
      </c>
      <c r="K11498" t="s">
        <v>42289</v>
      </c>
      <c r="M11498" t="s">
        <v>44228</v>
      </c>
      <c r="N11498" t="s">
        <v>46569</v>
      </c>
      <c r="O11498" t="s">
        <v>46570</v>
      </c>
      <c r="Q11498">
        <v>2</v>
      </c>
      <c r="R11498" t="s">
        <v>46579</v>
      </c>
      <c r="S11498" t="s">
        <v>46709</v>
      </c>
      <c r="T11498" t="s">
        <v>48573</v>
      </c>
      <c r="U11498" t="s">
        <v>58011</v>
      </c>
      <c r="W11498" t="s">
        <v>44228</v>
      </c>
      <c r="X11498" t="s">
        <v>46580</v>
      </c>
    </row>
    <row r="11499" spans="1:24">
      <c r="A11499">
        <f>HYPERLINK("https://www.philgeps.gov.ph/GEPSNONPILOT/Tender/SplashBidNoticeAbstractUI.aspx?menuIndex=3&amp;refID=7049068&amp;Result=3","7049068")</f>
        <v>0</v>
      </c>
      <c r="B11499" t="s">
        <v>3039</v>
      </c>
      <c r="C11499" t="s">
        <v>14429</v>
      </c>
      <c r="D11499" t="s">
        <v>18831</v>
      </c>
      <c r="E11499" t="s">
        <v>28780</v>
      </c>
      <c r="F11499" t="s">
        <v>32664</v>
      </c>
      <c r="G11499" t="s">
        <v>32672</v>
      </c>
      <c r="H11499" t="s">
        <v>32683</v>
      </c>
      <c r="I11499" t="s">
        <v>10627</v>
      </c>
      <c r="J11499" t="s">
        <v>32837</v>
      </c>
      <c r="K11499" t="s">
        <v>42321</v>
      </c>
      <c r="L11499" t="s">
        <v>3039</v>
      </c>
      <c r="M11499" t="s">
        <v>45912</v>
      </c>
      <c r="N11499" t="s">
        <v>46569</v>
      </c>
      <c r="O11499" t="s">
        <v>46570</v>
      </c>
      <c r="P11499">
        <v>0</v>
      </c>
      <c r="Q11499">
        <v>2</v>
      </c>
      <c r="R11499" t="s">
        <v>46579</v>
      </c>
      <c r="S11499" t="s">
        <v>46919</v>
      </c>
      <c r="T11499" t="s">
        <v>48468</v>
      </c>
      <c r="U11499" t="s">
        <v>58012</v>
      </c>
      <c r="W11499" t="s">
        <v>45912</v>
      </c>
      <c r="X11499" t="s">
        <v>46580</v>
      </c>
    </row>
    <row r="11500" spans="1:24">
      <c r="A11500">
        <f>HYPERLINK("https://www.philgeps.gov.ph/GEPSNONPILOT/Tender/SplashBidNoticeAbstractUI.aspx?menuIndex=3&amp;refID=7049061&amp;Result=3","7049061")</f>
        <v>0</v>
      </c>
      <c r="B11500" t="s">
        <v>2123</v>
      </c>
      <c r="C11500" t="s">
        <v>14430</v>
      </c>
      <c r="D11500" t="s">
        <v>18842</v>
      </c>
      <c r="E11500" t="s">
        <v>28781</v>
      </c>
      <c r="F11500" t="s">
        <v>32664</v>
      </c>
      <c r="G11500" t="s">
        <v>32672</v>
      </c>
      <c r="H11500" t="s">
        <v>32683</v>
      </c>
      <c r="I11500" t="s">
        <v>10627</v>
      </c>
      <c r="J11500" t="s">
        <v>39609</v>
      </c>
      <c r="K11500" t="s">
        <v>42523</v>
      </c>
      <c r="M11500" t="s">
        <v>44878</v>
      </c>
      <c r="N11500" t="s">
        <v>46569</v>
      </c>
      <c r="O11500" t="s">
        <v>46570</v>
      </c>
      <c r="P11500">
        <v>0</v>
      </c>
      <c r="Q11500">
        <v>0</v>
      </c>
      <c r="R11500" t="s">
        <v>46579</v>
      </c>
      <c r="S11500" t="s">
        <v>46919</v>
      </c>
      <c r="T11500" t="s">
        <v>48321</v>
      </c>
      <c r="U11500" t="s">
        <v>58013</v>
      </c>
      <c r="W11500" t="s">
        <v>44878</v>
      </c>
      <c r="X11500" t="s">
        <v>46580</v>
      </c>
    </row>
    <row r="11501" spans="1:24">
      <c r="A11501">
        <f>HYPERLINK("https://www.philgeps.gov.ph/GEPSNONPILOT/Tender/SplashBidNoticeAbstractUI.aspx?menuIndex=3&amp;refID=7049060&amp;Result=3","7049060")</f>
        <v>0</v>
      </c>
      <c r="B11501" t="s">
        <v>401</v>
      </c>
      <c r="C11501" t="s">
        <v>14431</v>
      </c>
      <c r="D11501" t="s">
        <v>18844</v>
      </c>
      <c r="E11501" t="s">
        <v>28782</v>
      </c>
      <c r="F11501" t="s">
        <v>32664</v>
      </c>
      <c r="G11501" t="s">
        <v>32672</v>
      </c>
      <c r="H11501" t="s">
        <v>32683</v>
      </c>
      <c r="I11501" t="s">
        <v>10627</v>
      </c>
      <c r="J11501" t="s">
        <v>39610</v>
      </c>
      <c r="K11501" t="s">
        <v>42397</v>
      </c>
      <c r="M11501" t="s">
        <v>42971</v>
      </c>
      <c r="N11501" t="s">
        <v>46569</v>
      </c>
      <c r="O11501" t="s">
        <v>46570</v>
      </c>
      <c r="P11501">
        <v>0</v>
      </c>
      <c r="Q11501">
        <v>0</v>
      </c>
      <c r="R11501" t="s">
        <v>46579</v>
      </c>
      <c r="S11501" t="s">
        <v>46919</v>
      </c>
      <c r="T11501" t="s">
        <v>48212</v>
      </c>
      <c r="U11501" t="s">
        <v>58014</v>
      </c>
      <c r="V11501" t="s">
        <v>62867</v>
      </c>
      <c r="W11501" t="s">
        <v>42971</v>
      </c>
      <c r="X11501" t="s">
        <v>46580</v>
      </c>
    </row>
    <row r="11502" spans="1:24">
      <c r="A11502">
        <f>HYPERLINK("https://www.philgeps.gov.ph/GEPSNONPILOT/Tender/SplashBidNoticeAbstractUI.aspx?menuIndex=3&amp;refID=7049058&amp;Result=3","7049058")</f>
        <v>0</v>
      </c>
      <c r="B11502" t="s">
        <v>1797</v>
      </c>
      <c r="C11502" t="s">
        <v>14432</v>
      </c>
      <c r="D11502" t="s">
        <v>18831</v>
      </c>
      <c r="E11502" t="s">
        <v>28783</v>
      </c>
      <c r="F11502" t="s">
        <v>32664</v>
      </c>
      <c r="G11502" t="s">
        <v>32672</v>
      </c>
      <c r="H11502" t="s">
        <v>32683</v>
      </c>
      <c r="I11502" t="s">
        <v>10627</v>
      </c>
      <c r="J11502" t="s">
        <v>39611</v>
      </c>
      <c r="K11502" t="s">
        <v>42524</v>
      </c>
      <c r="M11502" t="s">
        <v>44500</v>
      </c>
      <c r="N11502" t="s">
        <v>46569</v>
      </c>
      <c r="O11502" t="s">
        <v>46570</v>
      </c>
      <c r="P11502">
        <v>0</v>
      </c>
      <c r="Q11502">
        <v>1</v>
      </c>
      <c r="R11502" t="s">
        <v>46579</v>
      </c>
      <c r="S11502" t="s">
        <v>46919</v>
      </c>
      <c r="T11502" t="s">
        <v>48284</v>
      </c>
      <c r="U11502" t="s">
        <v>58015</v>
      </c>
      <c r="V11502" t="s">
        <v>62172</v>
      </c>
      <c r="W11502" t="s">
        <v>44500</v>
      </c>
      <c r="X11502" t="s">
        <v>46580</v>
      </c>
    </row>
    <row r="11503" spans="1:24">
      <c r="A11503">
        <f>HYPERLINK("https://www.philgeps.gov.ph/GEPSNONPILOT/Tender/SplashBidNoticeAbstractUI.aspx?menuIndex=3&amp;refID=7049081&amp;Result=3","7049081")</f>
        <v>0</v>
      </c>
      <c r="B11503" t="s">
        <v>236</v>
      </c>
      <c r="C11503" t="s">
        <v>14433</v>
      </c>
      <c r="D11503" t="s">
        <v>18789</v>
      </c>
      <c r="E11503" t="s">
        <v>28784</v>
      </c>
      <c r="F11503" t="s">
        <v>32664</v>
      </c>
      <c r="G11503" t="s">
        <v>32672</v>
      </c>
      <c r="H11503" t="s">
        <v>32683</v>
      </c>
      <c r="I11503" t="s">
        <v>10627</v>
      </c>
      <c r="J11503" t="s">
        <v>34379</v>
      </c>
      <c r="K11503" t="s">
        <v>42411</v>
      </c>
      <c r="M11503" t="s">
        <v>42801</v>
      </c>
      <c r="N11503" t="s">
        <v>46569</v>
      </c>
      <c r="O11503" t="s">
        <v>46570</v>
      </c>
      <c r="P11503">
        <v>0</v>
      </c>
      <c r="Q11503">
        <v>0</v>
      </c>
      <c r="R11503" t="s">
        <v>46579</v>
      </c>
      <c r="S11503" t="s">
        <v>46919</v>
      </c>
      <c r="T11503" t="s">
        <v>48212</v>
      </c>
      <c r="U11503" t="s">
        <v>57993</v>
      </c>
      <c r="W11503" t="s">
        <v>42801</v>
      </c>
      <c r="X11503" t="s">
        <v>46580</v>
      </c>
    </row>
    <row r="11504" spans="1:24">
      <c r="A11504">
        <f>HYPERLINK("https://www.philgeps.gov.ph/GEPSNONPILOT/Tender/SplashBidNoticeAbstractUI.aspx?menuIndex=3&amp;refID=7049037&amp;Result=3","7049037")</f>
        <v>0</v>
      </c>
      <c r="B11504" t="s">
        <v>346</v>
      </c>
      <c r="C11504" t="s">
        <v>14434</v>
      </c>
      <c r="D11504" t="s">
        <v>18817</v>
      </c>
      <c r="E11504" t="s">
        <v>28785</v>
      </c>
      <c r="F11504" t="s">
        <v>32664</v>
      </c>
      <c r="G11504" t="s">
        <v>32672</v>
      </c>
      <c r="H11504" t="s">
        <v>12635</v>
      </c>
      <c r="I11504" t="s">
        <v>4439</v>
      </c>
      <c r="J11504" t="s">
        <v>39612</v>
      </c>
      <c r="K11504" t="s">
        <v>42289</v>
      </c>
      <c r="M11504" t="s">
        <v>42915</v>
      </c>
      <c r="N11504" t="s">
        <v>46569</v>
      </c>
      <c r="O11504" t="s">
        <v>46570</v>
      </c>
      <c r="P11504">
        <v>0</v>
      </c>
      <c r="Q11504">
        <v>0</v>
      </c>
      <c r="R11504" t="s">
        <v>46579</v>
      </c>
      <c r="S11504" t="s">
        <v>46919</v>
      </c>
      <c r="T11504" t="s">
        <v>48478</v>
      </c>
      <c r="U11504" t="s">
        <v>58016</v>
      </c>
      <c r="W11504" t="s">
        <v>42915</v>
      </c>
      <c r="X11504" t="s">
        <v>46580</v>
      </c>
    </row>
    <row r="11505" spans="1:24">
      <c r="A11505">
        <f>HYPERLINK("https://www.philgeps.gov.ph/GEPSNONPILOT/Tender/SplashBidNoticeAbstractUI.aspx?menuIndex=3&amp;refID=7048945&amp;Result=3","7048945")</f>
        <v>0</v>
      </c>
      <c r="B11505" t="s">
        <v>1920</v>
      </c>
      <c r="C11505" t="s">
        <v>14435</v>
      </c>
      <c r="D11505" t="s">
        <v>18789</v>
      </c>
      <c r="E11505" t="s">
        <v>28715</v>
      </c>
      <c r="F11505" t="s">
        <v>32664</v>
      </c>
      <c r="G11505" t="s">
        <v>32672</v>
      </c>
      <c r="H11505" t="s">
        <v>12635</v>
      </c>
      <c r="I11505" t="s">
        <v>9486</v>
      </c>
      <c r="J11505" t="s">
        <v>39613</v>
      </c>
      <c r="K11505" t="s">
        <v>42297</v>
      </c>
      <c r="M11505" t="s">
        <v>44641</v>
      </c>
      <c r="N11505" t="s">
        <v>46569</v>
      </c>
      <c r="O11505" t="s">
        <v>46570</v>
      </c>
      <c r="P11505">
        <v>0</v>
      </c>
      <c r="Q11505">
        <v>2</v>
      </c>
      <c r="R11505" t="s">
        <v>46579</v>
      </c>
      <c r="S11505" t="s">
        <v>46919</v>
      </c>
      <c r="T11505" t="s">
        <v>48316</v>
      </c>
      <c r="U11505" t="s">
        <v>58017</v>
      </c>
      <c r="W11505" t="s">
        <v>44641</v>
      </c>
      <c r="X11505" t="s">
        <v>46580</v>
      </c>
    </row>
    <row r="11506" spans="1:24">
      <c r="A11506">
        <f>HYPERLINK("https://www.philgeps.gov.ph/GEPSNONPILOT/Tender/SplashBidNoticeAbstractUI.aspx?menuIndex=3&amp;refID=7048844&amp;Result=3","7048844")</f>
        <v>0</v>
      </c>
      <c r="B11506" t="s">
        <v>2922</v>
      </c>
      <c r="C11506" t="s">
        <v>14436</v>
      </c>
      <c r="D11506" t="s">
        <v>18831</v>
      </c>
      <c r="E11506" t="s">
        <v>28786</v>
      </c>
      <c r="F11506" t="s">
        <v>32664</v>
      </c>
      <c r="G11506" t="s">
        <v>32672</v>
      </c>
      <c r="H11506" t="s">
        <v>32683</v>
      </c>
      <c r="I11506" t="s">
        <v>10627</v>
      </c>
      <c r="J11506" t="s">
        <v>39571</v>
      </c>
      <c r="K11506" t="s">
        <v>42520</v>
      </c>
      <c r="L11506" t="s">
        <v>2922</v>
      </c>
      <c r="M11506" t="s">
        <v>45775</v>
      </c>
      <c r="N11506" t="s">
        <v>46569</v>
      </c>
      <c r="O11506" t="s">
        <v>46570</v>
      </c>
      <c r="Q11506">
        <v>5</v>
      </c>
      <c r="R11506" t="s">
        <v>46579</v>
      </c>
      <c r="S11506" t="s">
        <v>46949</v>
      </c>
      <c r="T11506" t="s">
        <v>48284</v>
      </c>
      <c r="U11506" t="s">
        <v>58018</v>
      </c>
      <c r="W11506" t="s">
        <v>45775</v>
      </c>
      <c r="X11506" t="s">
        <v>46580</v>
      </c>
    </row>
    <row r="11507" spans="1:24">
      <c r="A11507">
        <f>HYPERLINK("https://www.philgeps.gov.ph/GEPSNONPILOT/Tender/SplashBidNoticeAbstractUI.aspx?menuIndex=3&amp;refID=7049097&amp;Result=3","7049097")</f>
        <v>0</v>
      </c>
      <c r="B11507" t="s">
        <v>3039</v>
      </c>
      <c r="C11507" t="s">
        <v>14437</v>
      </c>
      <c r="D11507" t="s">
        <v>18831</v>
      </c>
      <c r="E11507" t="s">
        <v>28787</v>
      </c>
      <c r="F11507" t="s">
        <v>32664</v>
      </c>
      <c r="G11507" t="s">
        <v>32672</v>
      </c>
      <c r="H11507" t="s">
        <v>32683</v>
      </c>
      <c r="I11507" t="s">
        <v>10627</v>
      </c>
      <c r="J11507" t="s">
        <v>38882</v>
      </c>
      <c r="K11507" t="s">
        <v>42321</v>
      </c>
      <c r="L11507" t="s">
        <v>3039</v>
      </c>
      <c r="M11507" t="s">
        <v>45912</v>
      </c>
      <c r="N11507" t="s">
        <v>46569</v>
      </c>
      <c r="O11507" t="s">
        <v>46570</v>
      </c>
      <c r="P11507">
        <v>0</v>
      </c>
      <c r="Q11507">
        <v>1</v>
      </c>
      <c r="R11507" t="s">
        <v>46579</v>
      </c>
      <c r="S11507" t="s">
        <v>46919</v>
      </c>
      <c r="T11507" t="s">
        <v>48468</v>
      </c>
      <c r="U11507" t="s">
        <v>58019</v>
      </c>
      <c r="W11507" t="s">
        <v>45912</v>
      </c>
      <c r="X11507" t="s">
        <v>46580</v>
      </c>
    </row>
    <row r="11508" spans="1:24">
      <c r="A11508">
        <f>HYPERLINK("https://www.philgeps.gov.ph/GEPSNONPILOT/Tender/SplashBidNoticeAbstractUI.aspx?menuIndex=3&amp;refID=7049024&amp;Result=3","7049024")</f>
        <v>0</v>
      </c>
      <c r="B11508" t="s">
        <v>3065</v>
      </c>
      <c r="C11508" t="s">
        <v>14438</v>
      </c>
      <c r="D11508" t="s">
        <v>18831</v>
      </c>
      <c r="E11508" t="s">
        <v>28788</v>
      </c>
      <c r="F11508" t="s">
        <v>32664</v>
      </c>
      <c r="G11508" t="s">
        <v>32672</v>
      </c>
      <c r="H11508" t="s">
        <v>12635</v>
      </c>
      <c r="I11508" t="s">
        <v>32738</v>
      </c>
      <c r="J11508" t="s">
        <v>39614</v>
      </c>
      <c r="K11508" t="s">
        <v>42311</v>
      </c>
      <c r="M11508" t="s">
        <v>45942</v>
      </c>
      <c r="N11508" t="s">
        <v>46569</v>
      </c>
      <c r="O11508" t="s">
        <v>46570</v>
      </c>
      <c r="P11508">
        <v>0</v>
      </c>
      <c r="Q11508">
        <v>4</v>
      </c>
      <c r="R11508" t="s">
        <v>46579</v>
      </c>
      <c r="S11508" t="s">
        <v>46919</v>
      </c>
      <c r="T11508" t="s">
        <v>48487</v>
      </c>
      <c r="U11508" t="s">
        <v>57983</v>
      </c>
      <c r="W11508" t="s">
        <v>45942</v>
      </c>
      <c r="X11508" t="s">
        <v>46580</v>
      </c>
    </row>
    <row r="11509" spans="1:24">
      <c r="A11509">
        <f>HYPERLINK("https://www.philgeps.gov.ph/GEPSNONPILOT/Tender/SplashBidNoticeAbstractUI.aspx?menuIndex=3&amp;refID=7049054&amp;Result=3","7049054")</f>
        <v>0</v>
      </c>
      <c r="B11509" t="s">
        <v>236</v>
      </c>
      <c r="C11509" t="s">
        <v>14439</v>
      </c>
      <c r="D11509" t="s">
        <v>18789</v>
      </c>
      <c r="E11509" t="s">
        <v>28789</v>
      </c>
      <c r="F11509" t="s">
        <v>32664</v>
      </c>
      <c r="G11509" t="s">
        <v>32672</v>
      </c>
      <c r="H11509" t="s">
        <v>32683</v>
      </c>
      <c r="I11509" t="s">
        <v>10627</v>
      </c>
      <c r="J11509" t="s">
        <v>34131</v>
      </c>
      <c r="K11509" t="s">
        <v>42327</v>
      </c>
      <c r="M11509" t="s">
        <v>42801</v>
      </c>
      <c r="N11509" t="s">
        <v>46569</v>
      </c>
      <c r="O11509" t="s">
        <v>46570</v>
      </c>
      <c r="Q11509">
        <v>0</v>
      </c>
      <c r="R11509" t="s">
        <v>46579</v>
      </c>
      <c r="S11509" t="s">
        <v>46950</v>
      </c>
      <c r="T11509" t="s">
        <v>48212</v>
      </c>
      <c r="U11509" t="s">
        <v>57993</v>
      </c>
      <c r="W11509" t="s">
        <v>42801</v>
      </c>
      <c r="X11509" t="s">
        <v>46580</v>
      </c>
    </row>
    <row r="11510" spans="1:24">
      <c r="A11510">
        <f>HYPERLINK("https://www.philgeps.gov.ph/GEPSNONPILOT/Tender/SplashBidNoticeAbstractUI.aspx?menuIndex=3&amp;refID=7048702&amp;Result=3","7048702")</f>
        <v>0</v>
      </c>
      <c r="B11510" t="s">
        <v>2962</v>
      </c>
      <c r="C11510" t="s">
        <v>14440</v>
      </c>
      <c r="D11510" t="s">
        <v>18843</v>
      </c>
      <c r="E11510" t="s">
        <v>28790</v>
      </c>
      <c r="F11510" t="s">
        <v>32664</v>
      </c>
      <c r="G11510" t="s">
        <v>32671</v>
      </c>
      <c r="H11510" t="s">
        <v>12635</v>
      </c>
      <c r="I11510" t="s">
        <v>8958</v>
      </c>
      <c r="J11510" t="s">
        <v>33078</v>
      </c>
      <c r="K11510" t="s">
        <v>42297</v>
      </c>
      <c r="M11510" t="s">
        <v>45816</v>
      </c>
      <c r="N11510" t="s">
        <v>46569</v>
      </c>
      <c r="O11510" t="s">
        <v>46570</v>
      </c>
      <c r="P11510">
        <v>0</v>
      </c>
      <c r="Q11510">
        <v>0</v>
      </c>
      <c r="R11510" t="s">
        <v>46579</v>
      </c>
      <c r="S11510" t="s">
        <v>46919</v>
      </c>
      <c r="T11510" t="s">
        <v>48221</v>
      </c>
      <c r="U11510" t="s">
        <v>58020</v>
      </c>
      <c r="W11510" t="s">
        <v>45816</v>
      </c>
      <c r="X11510" t="s">
        <v>46580</v>
      </c>
    </row>
    <row r="11511" spans="1:24">
      <c r="A11511">
        <f>HYPERLINK("https://www.philgeps.gov.ph/GEPSNONPILOT/Tender/SplashBidNoticeAbstractUI.aspx?menuIndex=3&amp;refID=7048849&amp;Result=3","7048849")</f>
        <v>0</v>
      </c>
      <c r="B11511" t="s">
        <v>1049</v>
      </c>
      <c r="C11511" t="s">
        <v>14441</v>
      </c>
      <c r="E11511" t="s">
        <v>28791</v>
      </c>
      <c r="F11511" t="s">
        <v>32664</v>
      </c>
      <c r="G11511" t="s">
        <v>32671</v>
      </c>
      <c r="H11511" t="s">
        <v>12635</v>
      </c>
      <c r="I11511" t="s">
        <v>32706</v>
      </c>
      <c r="J11511" t="s">
        <v>39615</v>
      </c>
      <c r="K11511" t="s">
        <v>42281</v>
      </c>
      <c r="M11511" t="s">
        <v>45266</v>
      </c>
      <c r="N11511" t="s">
        <v>46569</v>
      </c>
      <c r="O11511" t="s">
        <v>46570</v>
      </c>
      <c r="P11511">
        <v>0</v>
      </c>
      <c r="Q11511">
        <v>0</v>
      </c>
      <c r="R11511" t="s">
        <v>46579</v>
      </c>
      <c r="S11511" t="s">
        <v>46919</v>
      </c>
      <c r="T11511" t="s">
        <v>48427</v>
      </c>
      <c r="U11511" t="s">
        <v>58021</v>
      </c>
      <c r="W11511" t="s">
        <v>63560</v>
      </c>
      <c r="X11511" t="s">
        <v>46580</v>
      </c>
    </row>
    <row r="11512" spans="1:24">
      <c r="A11512">
        <f>HYPERLINK("https://www.philgeps.gov.ph/GEPSNONPILOT/Tender/SplashBidNoticeAbstractUI.aspx?menuIndex=3&amp;refID=7048695&amp;Result=3","7048695")</f>
        <v>0</v>
      </c>
      <c r="B11512" t="s">
        <v>3073</v>
      </c>
      <c r="C11512" t="s">
        <v>14442</v>
      </c>
      <c r="D11512" t="s">
        <v>18821</v>
      </c>
      <c r="E11512" t="s">
        <v>20957</v>
      </c>
      <c r="F11512" t="s">
        <v>32665</v>
      </c>
      <c r="G11512" t="s">
        <v>32671</v>
      </c>
      <c r="H11512" t="s">
        <v>12635</v>
      </c>
      <c r="I11512" t="s">
        <v>14442</v>
      </c>
      <c r="J11512" t="s">
        <v>39616</v>
      </c>
      <c r="K11512" t="s">
        <v>42289</v>
      </c>
      <c r="M11512" t="s">
        <v>45954</v>
      </c>
      <c r="N11512" t="s">
        <v>46569</v>
      </c>
      <c r="O11512" t="s">
        <v>46570</v>
      </c>
      <c r="P11512">
        <v>0</v>
      </c>
      <c r="Q11512">
        <v>11</v>
      </c>
      <c r="R11512" t="s">
        <v>46579</v>
      </c>
      <c r="S11512" t="s">
        <v>46919</v>
      </c>
      <c r="T11512" t="s">
        <v>48282</v>
      </c>
      <c r="U11512" t="s">
        <v>58022</v>
      </c>
      <c r="W11512" t="s">
        <v>45954</v>
      </c>
      <c r="X11512" t="s">
        <v>46580</v>
      </c>
    </row>
    <row r="11513" spans="1:24">
      <c r="A11513">
        <f>HYPERLINK("https://www.philgeps.gov.ph/GEPSNONPILOT/Tender/SplashBidNoticeAbstractUI.aspx?menuIndex=3&amp;refID=7048694&amp;Result=3","7048694")</f>
        <v>0</v>
      </c>
      <c r="B11513" t="s">
        <v>1920</v>
      </c>
      <c r="C11513" t="s">
        <v>14443</v>
      </c>
      <c r="D11513" t="s">
        <v>18789</v>
      </c>
      <c r="E11513" t="s">
        <v>28715</v>
      </c>
      <c r="F11513" t="s">
        <v>32664</v>
      </c>
      <c r="G11513" t="s">
        <v>32672</v>
      </c>
      <c r="H11513" t="s">
        <v>12635</v>
      </c>
      <c r="I11513" t="s">
        <v>8958</v>
      </c>
      <c r="J11513" t="s">
        <v>33015</v>
      </c>
      <c r="K11513" t="s">
        <v>42297</v>
      </c>
      <c r="M11513" t="s">
        <v>44641</v>
      </c>
      <c r="N11513" t="s">
        <v>46569</v>
      </c>
      <c r="O11513" t="s">
        <v>46570</v>
      </c>
      <c r="P11513">
        <v>0</v>
      </c>
      <c r="Q11513">
        <v>1</v>
      </c>
      <c r="R11513" t="s">
        <v>46579</v>
      </c>
      <c r="S11513" t="s">
        <v>46919</v>
      </c>
      <c r="T11513" t="s">
        <v>48316</v>
      </c>
      <c r="U11513" t="s">
        <v>58023</v>
      </c>
      <c r="W11513" t="s">
        <v>44641</v>
      </c>
      <c r="X11513" t="s">
        <v>46580</v>
      </c>
    </row>
    <row r="11514" spans="1:24">
      <c r="A11514">
        <f>HYPERLINK("https://www.philgeps.gov.ph/GEPSNONPILOT/Tender/SplashBidNoticeAbstractUI.aspx?menuIndex=3&amp;refID=7049048&amp;Result=3","7049048")</f>
        <v>0</v>
      </c>
      <c r="B11514" t="s">
        <v>3039</v>
      </c>
      <c r="C11514" t="s">
        <v>14444</v>
      </c>
      <c r="D11514" t="s">
        <v>18831</v>
      </c>
      <c r="E11514" t="s">
        <v>28792</v>
      </c>
      <c r="F11514" t="s">
        <v>32664</v>
      </c>
      <c r="G11514" t="s">
        <v>32672</v>
      </c>
      <c r="H11514" t="s">
        <v>32683</v>
      </c>
      <c r="I11514" t="s">
        <v>10627</v>
      </c>
      <c r="J11514" t="s">
        <v>32837</v>
      </c>
      <c r="K11514" t="s">
        <v>42321</v>
      </c>
      <c r="L11514" t="s">
        <v>3039</v>
      </c>
      <c r="M11514" t="s">
        <v>45912</v>
      </c>
      <c r="N11514" t="s">
        <v>46569</v>
      </c>
      <c r="O11514" t="s">
        <v>46570</v>
      </c>
      <c r="P11514">
        <v>0</v>
      </c>
      <c r="Q11514">
        <v>2</v>
      </c>
      <c r="R11514" t="s">
        <v>46579</v>
      </c>
      <c r="S11514" t="s">
        <v>46919</v>
      </c>
      <c r="T11514" t="s">
        <v>48468</v>
      </c>
      <c r="U11514" t="s">
        <v>58012</v>
      </c>
      <c r="W11514" t="s">
        <v>45912</v>
      </c>
      <c r="X11514" t="s">
        <v>46580</v>
      </c>
    </row>
    <row r="11515" spans="1:24">
      <c r="A11515">
        <f>HYPERLINK("https://www.philgeps.gov.ph/GEPSNONPILOT/Tender/SplashBidNoticeAbstractUI.aspx?menuIndex=3&amp;refID=7048899&amp;Result=3","7048899")</f>
        <v>0</v>
      </c>
      <c r="B11515" t="s">
        <v>2941</v>
      </c>
      <c r="C11515" t="s">
        <v>14445</v>
      </c>
      <c r="D11515" t="s">
        <v>18831</v>
      </c>
      <c r="E11515" t="s">
        <v>28793</v>
      </c>
      <c r="F11515" t="s">
        <v>32664</v>
      </c>
      <c r="G11515" t="s">
        <v>32672</v>
      </c>
      <c r="H11515" t="s">
        <v>32683</v>
      </c>
      <c r="I11515" t="s">
        <v>10627</v>
      </c>
      <c r="J11515" t="s">
        <v>39617</v>
      </c>
      <c r="K11515" t="s">
        <v>42281</v>
      </c>
      <c r="M11515" t="s">
        <v>45795</v>
      </c>
      <c r="N11515" t="s">
        <v>46569</v>
      </c>
      <c r="O11515" t="s">
        <v>46570</v>
      </c>
      <c r="P11515">
        <v>0</v>
      </c>
      <c r="Q11515">
        <v>2</v>
      </c>
      <c r="R11515" t="s">
        <v>46579</v>
      </c>
      <c r="S11515" t="s">
        <v>46919</v>
      </c>
      <c r="T11515" t="s">
        <v>48448</v>
      </c>
      <c r="U11515" t="s">
        <v>57444</v>
      </c>
      <c r="W11515" t="s">
        <v>45795</v>
      </c>
      <c r="X11515" t="s">
        <v>46580</v>
      </c>
    </row>
    <row r="11516" spans="1:24">
      <c r="A11516">
        <f>HYPERLINK("https://www.philgeps.gov.ph/GEPSNONPILOT/Tender/SplashBidNoticeAbstractUI.aspx?menuIndex=3&amp;refID=7049198&amp;Result=3","7049198")</f>
        <v>0</v>
      </c>
      <c r="B11516" t="s">
        <v>2909</v>
      </c>
      <c r="C11516" t="s">
        <v>14446</v>
      </c>
      <c r="E11516" t="s">
        <v>28794</v>
      </c>
      <c r="F11516" t="s">
        <v>32664</v>
      </c>
      <c r="G11516" t="s">
        <v>32672</v>
      </c>
      <c r="H11516" t="s">
        <v>12635</v>
      </c>
      <c r="I11516" t="s">
        <v>32779</v>
      </c>
      <c r="J11516" t="s">
        <v>39618</v>
      </c>
      <c r="K11516" t="s">
        <v>42283</v>
      </c>
      <c r="M11516" t="s">
        <v>45760</v>
      </c>
      <c r="N11516" t="s">
        <v>46569</v>
      </c>
      <c r="O11516" t="s">
        <v>46570</v>
      </c>
      <c r="P11516">
        <v>0</v>
      </c>
      <c r="Q11516">
        <v>2</v>
      </c>
      <c r="R11516" t="s">
        <v>46579</v>
      </c>
      <c r="S11516" t="s">
        <v>46919</v>
      </c>
      <c r="T11516" t="s">
        <v>48424</v>
      </c>
      <c r="U11516" t="s">
        <v>58024</v>
      </c>
      <c r="W11516" t="s">
        <v>63578</v>
      </c>
      <c r="X11516" t="s">
        <v>46580</v>
      </c>
    </row>
    <row r="11517" spans="1:24">
      <c r="A11517">
        <f>HYPERLINK("https://www.philgeps.gov.ph/GEPSNONPILOT/Tender/SplashBidNoticeAbstractUI.aspx?menuIndex=3&amp;refID=7049194&amp;Result=3","7049194")</f>
        <v>0</v>
      </c>
      <c r="B11517" t="s">
        <v>236</v>
      </c>
      <c r="C11517" t="s">
        <v>14447</v>
      </c>
      <c r="D11517" t="s">
        <v>18789</v>
      </c>
      <c r="E11517" t="s">
        <v>28795</v>
      </c>
      <c r="F11517" t="s">
        <v>32664</v>
      </c>
      <c r="G11517" t="s">
        <v>32672</v>
      </c>
      <c r="H11517" t="s">
        <v>32683</v>
      </c>
      <c r="I11517" t="s">
        <v>10627</v>
      </c>
      <c r="J11517" t="s">
        <v>39619</v>
      </c>
      <c r="K11517" t="s">
        <v>42525</v>
      </c>
      <c r="M11517" t="s">
        <v>42801</v>
      </c>
      <c r="N11517" t="s">
        <v>46569</v>
      </c>
      <c r="O11517" t="s">
        <v>46570</v>
      </c>
      <c r="Q11517">
        <v>2</v>
      </c>
      <c r="R11517" t="s">
        <v>46579</v>
      </c>
      <c r="S11517" t="s">
        <v>46930</v>
      </c>
      <c r="T11517" t="s">
        <v>48212</v>
      </c>
      <c r="U11517" t="s">
        <v>57993</v>
      </c>
      <c r="W11517" t="s">
        <v>42801</v>
      </c>
      <c r="X11517" t="s">
        <v>46580</v>
      </c>
    </row>
    <row r="11518" spans="1:24">
      <c r="A11518">
        <f>HYPERLINK("https://www.philgeps.gov.ph/GEPSNONPILOT/Tender/SplashBidNoticeAbstractUI.aspx?menuIndex=3&amp;refID=7049030&amp;Result=3","7049030")</f>
        <v>0</v>
      </c>
      <c r="B11518" t="s">
        <v>401</v>
      </c>
      <c r="C11518" t="s">
        <v>14448</v>
      </c>
      <c r="D11518" t="s">
        <v>18842</v>
      </c>
      <c r="E11518" t="s">
        <v>28796</v>
      </c>
      <c r="F11518" t="s">
        <v>32664</v>
      </c>
      <c r="G11518" t="s">
        <v>32672</v>
      </c>
      <c r="H11518" t="s">
        <v>12635</v>
      </c>
      <c r="I11518" t="s">
        <v>5589</v>
      </c>
      <c r="J11518" t="s">
        <v>39620</v>
      </c>
      <c r="K11518" t="s">
        <v>42281</v>
      </c>
      <c r="M11518" t="s">
        <v>42971</v>
      </c>
      <c r="N11518" t="s">
        <v>46569</v>
      </c>
      <c r="O11518" t="s">
        <v>46570</v>
      </c>
      <c r="P11518">
        <v>0</v>
      </c>
      <c r="Q11518">
        <v>3</v>
      </c>
      <c r="R11518" t="s">
        <v>46579</v>
      </c>
      <c r="S11518" t="s">
        <v>46919</v>
      </c>
      <c r="T11518" t="s">
        <v>48212</v>
      </c>
      <c r="U11518" t="s">
        <v>58025</v>
      </c>
      <c r="W11518" t="s">
        <v>42971</v>
      </c>
      <c r="X11518" t="s">
        <v>46580</v>
      </c>
    </row>
    <row r="11519" spans="1:24">
      <c r="A11519">
        <f>HYPERLINK("https://www.philgeps.gov.ph/GEPSNONPILOT/Tender/SplashBidNoticeAbstractUI.aspx?menuIndex=3&amp;refID=7049187&amp;Result=3","7049187")</f>
        <v>0</v>
      </c>
      <c r="B11519" t="s">
        <v>1873</v>
      </c>
      <c r="C11519" t="s">
        <v>14449</v>
      </c>
      <c r="D11519" t="s">
        <v>18787</v>
      </c>
      <c r="E11519" t="s">
        <v>19782</v>
      </c>
      <c r="F11519" t="s">
        <v>32664</v>
      </c>
      <c r="G11519" t="s">
        <v>32672</v>
      </c>
      <c r="H11519" t="s">
        <v>32683</v>
      </c>
      <c r="I11519" t="s">
        <v>10627</v>
      </c>
      <c r="J11519" t="s">
        <v>32943</v>
      </c>
      <c r="K11519" t="s">
        <v>42369</v>
      </c>
      <c r="M11519" t="s">
        <v>44589</v>
      </c>
      <c r="N11519" t="s">
        <v>46569</v>
      </c>
      <c r="O11519" t="s">
        <v>46570</v>
      </c>
      <c r="P11519">
        <v>0</v>
      </c>
      <c r="Q11519">
        <v>0</v>
      </c>
      <c r="R11519" t="s">
        <v>46579</v>
      </c>
      <c r="S11519" t="s">
        <v>46919</v>
      </c>
      <c r="T11519" t="s">
        <v>48254</v>
      </c>
      <c r="U11519" t="s">
        <v>54975</v>
      </c>
      <c r="V11519" t="s">
        <v>62868</v>
      </c>
      <c r="W11519" t="s">
        <v>44589</v>
      </c>
      <c r="X11519" t="s">
        <v>46580</v>
      </c>
    </row>
    <row r="11520" spans="1:24">
      <c r="A11520">
        <f>HYPERLINK("https://www.philgeps.gov.ph/GEPSNONPILOT/Tender/SplashBidNoticeAbstractUI.aspx?menuIndex=3&amp;refID=7049206&amp;Result=3","7049206")</f>
        <v>0</v>
      </c>
      <c r="B11520" t="s">
        <v>3039</v>
      </c>
      <c r="C11520" t="s">
        <v>14450</v>
      </c>
      <c r="D11520" t="s">
        <v>18831</v>
      </c>
      <c r="E11520" t="s">
        <v>28797</v>
      </c>
      <c r="F11520" t="s">
        <v>32664</v>
      </c>
      <c r="G11520" t="s">
        <v>32672</v>
      </c>
      <c r="H11520" t="s">
        <v>32683</v>
      </c>
      <c r="I11520" t="s">
        <v>10627</v>
      </c>
      <c r="J11520" t="s">
        <v>32865</v>
      </c>
      <c r="K11520" t="s">
        <v>42321</v>
      </c>
      <c r="L11520" t="s">
        <v>3039</v>
      </c>
      <c r="M11520" t="s">
        <v>45912</v>
      </c>
      <c r="N11520" t="s">
        <v>46569</v>
      </c>
      <c r="O11520" t="s">
        <v>46570</v>
      </c>
      <c r="P11520">
        <v>0</v>
      </c>
      <c r="Q11520">
        <v>1</v>
      </c>
      <c r="R11520" t="s">
        <v>46579</v>
      </c>
      <c r="S11520" t="s">
        <v>46919</v>
      </c>
      <c r="T11520" t="s">
        <v>48468</v>
      </c>
      <c r="U11520" t="s">
        <v>58026</v>
      </c>
      <c r="W11520" t="s">
        <v>45912</v>
      </c>
      <c r="X11520" t="s">
        <v>46580</v>
      </c>
    </row>
    <row r="11521" spans="1:24">
      <c r="A11521">
        <f>HYPERLINK("https://www.philgeps.gov.ph/GEPSNONPILOT/Tender/SplashBidNoticeAbstractUI.aspx?menuIndex=3&amp;refID=7049214&amp;Result=3","7049214")</f>
        <v>0</v>
      </c>
      <c r="B11521" t="s">
        <v>27</v>
      </c>
      <c r="C11521" t="s">
        <v>14451</v>
      </c>
      <c r="E11521" t="s">
        <v>28798</v>
      </c>
      <c r="F11521" t="s">
        <v>32664</v>
      </c>
      <c r="G11521" t="s">
        <v>32672</v>
      </c>
      <c r="H11521" t="s">
        <v>12635</v>
      </c>
      <c r="I11521" t="s">
        <v>32708</v>
      </c>
      <c r="J11521" t="s">
        <v>32943</v>
      </c>
      <c r="K11521" t="s">
        <v>42283</v>
      </c>
      <c r="M11521" t="s">
        <v>45953</v>
      </c>
      <c r="N11521" t="s">
        <v>46569</v>
      </c>
      <c r="O11521" t="s">
        <v>46570</v>
      </c>
      <c r="P11521">
        <v>0</v>
      </c>
      <c r="Q11521">
        <v>10</v>
      </c>
      <c r="R11521" t="s">
        <v>46579</v>
      </c>
      <c r="S11521" t="s">
        <v>46919</v>
      </c>
      <c r="T11521" t="s">
        <v>48557</v>
      </c>
      <c r="U11521" t="s">
        <v>58009</v>
      </c>
      <c r="W11521" t="s">
        <v>45953</v>
      </c>
      <c r="X11521" t="s">
        <v>46580</v>
      </c>
    </row>
    <row r="11522" spans="1:24">
      <c r="A11522">
        <f>HYPERLINK("https://www.philgeps.gov.ph/GEPSNONPILOT/Tender/SplashBidNoticeAbstractUI.aspx?menuIndex=3&amp;refID=7049174&amp;Result=3","7049174")</f>
        <v>0</v>
      </c>
      <c r="B11522" t="s">
        <v>3039</v>
      </c>
      <c r="C11522" t="s">
        <v>14452</v>
      </c>
      <c r="D11522" t="s">
        <v>18831</v>
      </c>
      <c r="E11522" t="s">
        <v>28797</v>
      </c>
      <c r="F11522" t="s">
        <v>32664</v>
      </c>
      <c r="G11522" t="s">
        <v>32672</v>
      </c>
      <c r="H11522" t="s">
        <v>32683</v>
      </c>
      <c r="I11522" t="s">
        <v>10627</v>
      </c>
      <c r="J11522" t="s">
        <v>34862</v>
      </c>
      <c r="K11522" t="s">
        <v>42321</v>
      </c>
      <c r="L11522" t="s">
        <v>3039</v>
      </c>
      <c r="M11522" t="s">
        <v>45912</v>
      </c>
      <c r="N11522" t="s">
        <v>46569</v>
      </c>
      <c r="O11522" t="s">
        <v>46570</v>
      </c>
      <c r="P11522">
        <v>0</v>
      </c>
      <c r="Q11522">
        <v>1</v>
      </c>
      <c r="R11522" t="s">
        <v>46579</v>
      </c>
      <c r="S11522" t="s">
        <v>46919</v>
      </c>
      <c r="T11522" t="s">
        <v>48468</v>
      </c>
      <c r="U11522" t="s">
        <v>58027</v>
      </c>
      <c r="W11522" t="s">
        <v>45912</v>
      </c>
      <c r="X11522" t="s">
        <v>46580</v>
      </c>
    </row>
    <row r="11523" spans="1:24">
      <c r="A11523">
        <f>HYPERLINK("https://www.philgeps.gov.ph/GEPSNONPILOT/Tender/SplashBidNoticeAbstractUI.aspx?menuIndex=3&amp;refID=7049027&amp;Result=3","7049027")</f>
        <v>0</v>
      </c>
      <c r="B11523" t="s">
        <v>265</v>
      </c>
      <c r="C11523" t="s">
        <v>14453</v>
      </c>
      <c r="D11523" t="s">
        <v>18805</v>
      </c>
      <c r="E11523" t="s">
        <v>28799</v>
      </c>
      <c r="F11523" t="s">
        <v>32664</v>
      </c>
      <c r="G11523" t="s">
        <v>32671</v>
      </c>
      <c r="H11523" t="s">
        <v>12635</v>
      </c>
      <c r="I11523" t="s">
        <v>32706</v>
      </c>
      <c r="J11523" t="s">
        <v>39621</v>
      </c>
      <c r="K11523" t="s">
        <v>42334</v>
      </c>
      <c r="M11523" t="s">
        <v>42830</v>
      </c>
      <c r="N11523" t="s">
        <v>46569</v>
      </c>
      <c r="O11523" t="s">
        <v>46570</v>
      </c>
      <c r="P11523">
        <v>0</v>
      </c>
      <c r="Q11523">
        <v>0</v>
      </c>
      <c r="R11523" t="s">
        <v>46579</v>
      </c>
      <c r="S11523" t="s">
        <v>46919</v>
      </c>
      <c r="T11523" t="s">
        <v>48376</v>
      </c>
      <c r="U11523" t="s">
        <v>58028</v>
      </c>
      <c r="V11523" t="s">
        <v>62869</v>
      </c>
      <c r="W11523" t="s">
        <v>42830</v>
      </c>
      <c r="X11523" t="s">
        <v>46580</v>
      </c>
    </row>
    <row r="11524" spans="1:24">
      <c r="A11524">
        <f>HYPERLINK("https://www.philgeps.gov.ph/GEPSNONPILOT/Tender/SplashBidNoticeAbstractUI.aspx?menuIndex=3&amp;refID=7049172&amp;Result=3","7049172")</f>
        <v>0</v>
      </c>
      <c r="B11524" t="s">
        <v>3065</v>
      </c>
      <c r="C11524" t="s">
        <v>14454</v>
      </c>
      <c r="D11524" t="s">
        <v>18831</v>
      </c>
      <c r="E11524" t="s">
        <v>28800</v>
      </c>
      <c r="F11524" t="s">
        <v>32664</v>
      </c>
      <c r="G11524" t="s">
        <v>32672</v>
      </c>
      <c r="H11524" t="s">
        <v>12635</v>
      </c>
      <c r="I11524" t="s">
        <v>32738</v>
      </c>
      <c r="J11524" t="s">
        <v>39622</v>
      </c>
      <c r="K11524" t="s">
        <v>42311</v>
      </c>
      <c r="M11524" t="s">
        <v>45948</v>
      </c>
      <c r="N11524" t="s">
        <v>46569</v>
      </c>
      <c r="O11524" t="s">
        <v>46570</v>
      </c>
      <c r="P11524">
        <v>0</v>
      </c>
      <c r="Q11524">
        <v>4</v>
      </c>
      <c r="R11524" t="s">
        <v>46579</v>
      </c>
      <c r="S11524" t="s">
        <v>46919</v>
      </c>
      <c r="T11524" t="s">
        <v>48389</v>
      </c>
      <c r="U11524" t="s">
        <v>58029</v>
      </c>
      <c r="W11524" t="s">
        <v>45948</v>
      </c>
      <c r="X11524" t="s">
        <v>46580</v>
      </c>
    </row>
    <row r="11525" spans="1:24">
      <c r="A11525">
        <f>HYPERLINK("https://www.philgeps.gov.ph/GEPSNONPILOT/Tender/SplashBidNoticeAbstractUI.aspx?menuIndex=3&amp;refID=7049165&amp;Result=3","7049165")</f>
        <v>0</v>
      </c>
      <c r="B11525" t="s">
        <v>3074</v>
      </c>
      <c r="C11525" t="s">
        <v>14455</v>
      </c>
      <c r="D11525" t="s">
        <v>18805</v>
      </c>
      <c r="E11525" t="s">
        <v>28801</v>
      </c>
      <c r="F11525" t="s">
        <v>32664</v>
      </c>
      <c r="G11525" t="s">
        <v>32672</v>
      </c>
      <c r="H11525" t="s">
        <v>32683</v>
      </c>
      <c r="I11525" t="s">
        <v>32723</v>
      </c>
      <c r="J11525" t="s">
        <v>32981</v>
      </c>
      <c r="K11525" t="s">
        <v>42281</v>
      </c>
      <c r="M11525" t="s">
        <v>45955</v>
      </c>
      <c r="N11525" t="s">
        <v>46569</v>
      </c>
      <c r="O11525" t="s">
        <v>46570</v>
      </c>
      <c r="P11525">
        <v>0</v>
      </c>
      <c r="Q11525">
        <v>3</v>
      </c>
      <c r="R11525" t="s">
        <v>46579</v>
      </c>
      <c r="S11525" t="s">
        <v>46919</v>
      </c>
      <c r="T11525" t="s">
        <v>48313</v>
      </c>
      <c r="U11525" t="s">
        <v>58030</v>
      </c>
      <c r="V11525" t="s">
        <v>62870</v>
      </c>
      <c r="W11525" t="s">
        <v>45955</v>
      </c>
      <c r="X11525" t="s">
        <v>46580</v>
      </c>
    </row>
    <row r="11526" spans="1:24">
      <c r="A11526">
        <f>HYPERLINK("https://www.philgeps.gov.ph/GEPSNONPILOT/Tender/SplashBidNoticeAbstractUI.aspx?menuIndex=3&amp;refID=7049151&amp;Result=3","7049151")</f>
        <v>0</v>
      </c>
      <c r="B11526" t="s">
        <v>2825</v>
      </c>
      <c r="C11526" t="s">
        <v>14456</v>
      </c>
      <c r="D11526" t="s">
        <v>18790</v>
      </c>
      <c r="E11526" t="s">
        <v>28802</v>
      </c>
      <c r="F11526" t="s">
        <v>32665</v>
      </c>
      <c r="G11526" t="s">
        <v>32676</v>
      </c>
      <c r="H11526" t="s">
        <v>32682</v>
      </c>
      <c r="I11526" t="s">
        <v>32716</v>
      </c>
      <c r="J11526" t="s">
        <v>39623</v>
      </c>
      <c r="K11526" t="s">
        <v>42303</v>
      </c>
      <c r="M11526" t="s">
        <v>45669</v>
      </c>
      <c r="N11526" t="s">
        <v>46569</v>
      </c>
      <c r="O11526" t="s">
        <v>46570</v>
      </c>
      <c r="P11526">
        <v>0</v>
      </c>
      <c r="Q11526">
        <v>0</v>
      </c>
      <c r="R11526" t="s">
        <v>46579</v>
      </c>
      <c r="S11526" t="s">
        <v>46919</v>
      </c>
      <c r="T11526" t="s">
        <v>48268</v>
      </c>
      <c r="U11526" t="s">
        <v>58031</v>
      </c>
      <c r="W11526" t="s">
        <v>45669</v>
      </c>
      <c r="X11526" t="s">
        <v>46580</v>
      </c>
    </row>
    <row r="11527" spans="1:24">
      <c r="A11527">
        <f>HYPERLINK("https://www.philgeps.gov.ph/GEPSNONPILOT/Tender/SplashBidNoticeAbstractUI.aspx?menuIndex=3&amp;refID=7049324&amp;Result=3","7049324")</f>
        <v>0</v>
      </c>
      <c r="B11527" t="s">
        <v>1042</v>
      </c>
      <c r="C11527" t="s">
        <v>14457</v>
      </c>
      <c r="D11527" t="s">
        <v>18853</v>
      </c>
      <c r="E11527" t="s">
        <v>28803</v>
      </c>
      <c r="F11527" t="s">
        <v>32664</v>
      </c>
      <c r="G11527" t="s">
        <v>32672</v>
      </c>
      <c r="H11527" t="s">
        <v>32683</v>
      </c>
      <c r="I11527" t="s">
        <v>10627</v>
      </c>
      <c r="J11527" t="s">
        <v>39624</v>
      </c>
      <c r="K11527" t="s">
        <v>42298</v>
      </c>
      <c r="M11527" t="s">
        <v>44771</v>
      </c>
      <c r="N11527" t="s">
        <v>46569</v>
      </c>
      <c r="O11527" t="s">
        <v>46570</v>
      </c>
      <c r="P11527">
        <v>0</v>
      </c>
      <c r="Q11527">
        <v>0</v>
      </c>
      <c r="R11527" t="s">
        <v>46579</v>
      </c>
      <c r="S11527" t="s">
        <v>46919</v>
      </c>
      <c r="T11527" t="s">
        <v>48254</v>
      </c>
      <c r="U11527" t="s">
        <v>58032</v>
      </c>
      <c r="V11527" t="s">
        <v>62871</v>
      </c>
      <c r="W11527" t="s">
        <v>44771</v>
      </c>
      <c r="X11527" t="s">
        <v>46580</v>
      </c>
    </row>
    <row r="11528" spans="1:24">
      <c r="A11528">
        <f>HYPERLINK("https://www.philgeps.gov.ph/GEPSNONPILOT/Tender/SplashBidNoticeAbstractUI.aspx?menuIndex=3&amp;refID=7049215&amp;Result=3","7049215")</f>
        <v>0</v>
      </c>
      <c r="B11528" t="s">
        <v>1524</v>
      </c>
      <c r="C11528" t="s">
        <v>14458</v>
      </c>
      <c r="D11528" t="s">
        <v>18804</v>
      </c>
      <c r="E11528" t="s">
        <v>28804</v>
      </c>
      <c r="F11528" t="s">
        <v>32664</v>
      </c>
      <c r="G11528" t="s">
        <v>32672</v>
      </c>
      <c r="H11528" t="s">
        <v>12635</v>
      </c>
      <c r="I11528" t="s">
        <v>32704</v>
      </c>
      <c r="J11528" t="s">
        <v>39625</v>
      </c>
      <c r="K11528" t="s">
        <v>42311</v>
      </c>
      <c r="M11528" t="s">
        <v>44191</v>
      </c>
      <c r="N11528" t="s">
        <v>46569</v>
      </c>
      <c r="O11528" t="s">
        <v>46570</v>
      </c>
      <c r="P11528">
        <v>0</v>
      </c>
      <c r="Q11528">
        <v>38</v>
      </c>
      <c r="R11528" t="s">
        <v>46579</v>
      </c>
      <c r="S11528" t="s">
        <v>46919</v>
      </c>
      <c r="T11528" t="s">
        <v>48688</v>
      </c>
      <c r="U11528" t="s">
        <v>52220</v>
      </c>
      <c r="V11528" t="s">
        <v>62052</v>
      </c>
      <c r="W11528" t="s">
        <v>44191</v>
      </c>
      <c r="X11528" t="s">
        <v>46580</v>
      </c>
    </row>
    <row r="11529" spans="1:24">
      <c r="A11529">
        <f>HYPERLINK("https://www.philgeps.gov.ph/GEPSNONPILOT/Tender/SplashBidNoticeAbstractUI.aspx?menuIndex=3&amp;refID=7048696&amp;Result=3","7048696")</f>
        <v>0</v>
      </c>
      <c r="B11529" t="s">
        <v>3075</v>
      </c>
      <c r="C11529" t="s">
        <v>14459</v>
      </c>
      <c r="E11529" t="s">
        <v>20272</v>
      </c>
      <c r="F11529" t="s">
        <v>32666</v>
      </c>
      <c r="G11529" t="s">
        <v>32672</v>
      </c>
      <c r="H11529" t="s">
        <v>12635</v>
      </c>
      <c r="I11529" t="s">
        <v>4439</v>
      </c>
      <c r="J11529" t="s">
        <v>39626</v>
      </c>
      <c r="K11529" t="s">
        <v>42283</v>
      </c>
      <c r="M11529" t="s">
        <v>45956</v>
      </c>
      <c r="N11529" t="s">
        <v>46569</v>
      </c>
      <c r="O11529" t="s">
        <v>46570</v>
      </c>
      <c r="P11529">
        <v>0</v>
      </c>
      <c r="Q11529">
        <v>0</v>
      </c>
      <c r="R11529" t="s">
        <v>46579</v>
      </c>
      <c r="S11529" t="s">
        <v>46919</v>
      </c>
      <c r="T11529" t="s">
        <v>48264</v>
      </c>
      <c r="U11529" t="s">
        <v>50059</v>
      </c>
      <c r="W11529" t="s">
        <v>45956</v>
      </c>
      <c r="X11529" t="s">
        <v>46580</v>
      </c>
    </row>
    <row r="11530" spans="1:24">
      <c r="A11530">
        <f>HYPERLINK("https://www.philgeps.gov.ph/GEPSNONPILOT/Tender/SplashBidNoticeAbstractUI.aspx?menuIndex=3&amp;refID=7049319&amp;Result=3","7049319")</f>
        <v>0</v>
      </c>
      <c r="B11530" t="s">
        <v>3065</v>
      </c>
      <c r="C11530" t="s">
        <v>14460</v>
      </c>
      <c r="D11530" t="s">
        <v>18831</v>
      </c>
      <c r="E11530" t="s">
        <v>28805</v>
      </c>
      <c r="F11530" t="s">
        <v>32664</v>
      </c>
      <c r="G11530" t="s">
        <v>32672</v>
      </c>
      <c r="H11530" t="s">
        <v>12635</v>
      </c>
      <c r="I11530" t="s">
        <v>32738</v>
      </c>
      <c r="J11530" t="s">
        <v>39627</v>
      </c>
      <c r="K11530" t="s">
        <v>42311</v>
      </c>
      <c r="M11530" t="s">
        <v>45942</v>
      </c>
      <c r="N11530" t="s">
        <v>46569</v>
      </c>
      <c r="O11530" t="s">
        <v>46570</v>
      </c>
      <c r="P11530">
        <v>0</v>
      </c>
      <c r="Q11530">
        <v>5</v>
      </c>
      <c r="R11530" t="s">
        <v>46579</v>
      </c>
      <c r="S11530" t="s">
        <v>46919</v>
      </c>
      <c r="T11530" t="s">
        <v>48487</v>
      </c>
      <c r="U11530" t="s">
        <v>57983</v>
      </c>
      <c r="W11530" t="s">
        <v>45942</v>
      </c>
      <c r="X11530" t="s">
        <v>46580</v>
      </c>
    </row>
    <row r="11531" spans="1:24">
      <c r="A11531">
        <f>HYPERLINK("https://www.philgeps.gov.ph/GEPSNONPILOT/Tender/SplashBidNoticeAbstractUI.aspx?menuIndex=3&amp;refID=7049317&amp;Result=3","7049317")</f>
        <v>0</v>
      </c>
      <c r="B11531" t="s">
        <v>3029</v>
      </c>
      <c r="C11531" t="s">
        <v>14461</v>
      </c>
      <c r="D11531" t="s">
        <v>18786</v>
      </c>
      <c r="E11531" t="s">
        <v>28806</v>
      </c>
      <c r="F11531" t="s">
        <v>32664</v>
      </c>
      <c r="G11531" t="s">
        <v>32672</v>
      </c>
      <c r="H11531" t="s">
        <v>12635</v>
      </c>
      <c r="I11531" t="s">
        <v>5501</v>
      </c>
      <c r="J11531" t="s">
        <v>39628</v>
      </c>
      <c r="K11531" t="s">
        <v>42281</v>
      </c>
      <c r="M11531" t="s">
        <v>45902</v>
      </c>
      <c r="N11531" t="s">
        <v>46569</v>
      </c>
      <c r="O11531" t="s">
        <v>46570</v>
      </c>
      <c r="P11531">
        <v>0</v>
      </c>
      <c r="Q11531">
        <v>3</v>
      </c>
      <c r="R11531" t="s">
        <v>46579</v>
      </c>
      <c r="S11531" t="s">
        <v>46919</v>
      </c>
      <c r="T11531" t="s">
        <v>48228</v>
      </c>
      <c r="U11531" t="s">
        <v>58033</v>
      </c>
      <c r="V11531" t="s">
        <v>62837</v>
      </c>
      <c r="W11531" t="s">
        <v>45902</v>
      </c>
      <c r="X11531" t="s">
        <v>46580</v>
      </c>
    </row>
    <row r="11532" spans="1:24">
      <c r="A11532">
        <f>HYPERLINK("https://www.philgeps.gov.ph/GEPSNONPILOT/Tender/SplashBidNoticeAbstractUI.aspx?menuIndex=3&amp;refID=7049302&amp;Result=3","7049302")</f>
        <v>0</v>
      </c>
      <c r="B11532" t="s">
        <v>236</v>
      </c>
      <c r="C11532" t="s">
        <v>14462</v>
      </c>
      <c r="D11532" t="s">
        <v>18789</v>
      </c>
      <c r="E11532" t="s">
        <v>28807</v>
      </c>
      <c r="F11532" t="s">
        <v>32664</v>
      </c>
      <c r="G11532" t="s">
        <v>32672</v>
      </c>
      <c r="H11532" t="s">
        <v>32683</v>
      </c>
      <c r="I11532" t="s">
        <v>10627</v>
      </c>
      <c r="J11532" t="s">
        <v>34379</v>
      </c>
      <c r="K11532" t="s">
        <v>42411</v>
      </c>
      <c r="M11532" t="s">
        <v>42801</v>
      </c>
      <c r="N11532" t="s">
        <v>46569</v>
      </c>
      <c r="O11532" t="s">
        <v>46570</v>
      </c>
      <c r="Q11532">
        <v>1</v>
      </c>
      <c r="R11532" t="s">
        <v>46579</v>
      </c>
      <c r="S11532" t="s">
        <v>46951</v>
      </c>
      <c r="T11532" t="s">
        <v>48212</v>
      </c>
      <c r="U11532" t="s">
        <v>57993</v>
      </c>
      <c r="W11532" t="s">
        <v>42801</v>
      </c>
      <c r="X11532" t="s">
        <v>46580</v>
      </c>
    </row>
    <row r="11533" spans="1:24">
      <c r="A11533">
        <f>HYPERLINK("https://www.philgeps.gov.ph/GEPSNONPILOT/Tender/SplashBidNoticeAbstractUI.aspx?menuIndex=3&amp;refID=7049293&amp;Result=3","7049293")</f>
        <v>0</v>
      </c>
      <c r="B11533" t="s">
        <v>1989</v>
      </c>
      <c r="C11533" t="s">
        <v>14463</v>
      </c>
      <c r="D11533" t="s">
        <v>18818</v>
      </c>
      <c r="E11533" t="s">
        <v>28808</v>
      </c>
      <c r="F11533" t="s">
        <v>32664</v>
      </c>
      <c r="G11533" t="s">
        <v>32672</v>
      </c>
      <c r="H11533" t="s">
        <v>12635</v>
      </c>
      <c r="I11533" t="s">
        <v>4439</v>
      </c>
      <c r="J11533" t="s">
        <v>39629</v>
      </c>
      <c r="K11533" t="s">
        <v>42305</v>
      </c>
      <c r="M11533" t="s">
        <v>44723</v>
      </c>
      <c r="N11533" t="s">
        <v>46569</v>
      </c>
      <c r="O11533" t="s">
        <v>46570</v>
      </c>
      <c r="P11533">
        <v>0</v>
      </c>
      <c r="Q11533">
        <v>0</v>
      </c>
      <c r="R11533" t="s">
        <v>46579</v>
      </c>
      <c r="S11533" t="s">
        <v>46919</v>
      </c>
      <c r="T11533" t="s">
        <v>48313</v>
      </c>
      <c r="U11533" t="s">
        <v>58034</v>
      </c>
      <c r="W11533" t="s">
        <v>44723</v>
      </c>
      <c r="X11533" t="s">
        <v>46580</v>
      </c>
    </row>
    <row r="11534" spans="1:24">
      <c r="A11534">
        <f>HYPERLINK("https://www.philgeps.gov.ph/GEPSNONPILOT/Tender/SplashBidNoticeAbstractUI.aspx?menuIndex=3&amp;refID=7049288&amp;Result=3","7049288")</f>
        <v>0</v>
      </c>
      <c r="B11534" t="s">
        <v>590</v>
      </c>
      <c r="C11534" t="s">
        <v>14464</v>
      </c>
      <c r="D11534" t="s">
        <v>18809</v>
      </c>
      <c r="E11534" t="s">
        <v>27057</v>
      </c>
      <c r="F11534" t="s">
        <v>32664</v>
      </c>
      <c r="G11534" t="s">
        <v>32672</v>
      </c>
      <c r="H11534" t="s">
        <v>12635</v>
      </c>
      <c r="I11534" t="s">
        <v>32706</v>
      </c>
      <c r="J11534" t="s">
        <v>32837</v>
      </c>
      <c r="K11534" t="s">
        <v>42321</v>
      </c>
      <c r="M11534" t="s">
        <v>43170</v>
      </c>
      <c r="N11534" t="s">
        <v>46569</v>
      </c>
      <c r="O11534" t="s">
        <v>46570</v>
      </c>
      <c r="P11534">
        <v>0</v>
      </c>
      <c r="Q11534">
        <v>0</v>
      </c>
      <c r="R11534" t="s">
        <v>46579</v>
      </c>
      <c r="S11534" t="s">
        <v>46919</v>
      </c>
      <c r="T11534" t="s">
        <v>48212</v>
      </c>
      <c r="U11534" t="s">
        <v>58035</v>
      </c>
      <c r="V11534" t="s">
        <v>62872</v>
      </c>
      <c r="W11534" t="s">
        <v>43170</v>
      </c>
      <c r="X11534" t="s">
        <v>46580</v>
      </c>
    </row>
    <row r="11535" spans="1:24">
      <c r="A11535">
        <f>HYPERLINK("https://www.philgeps.gov.ph/GEPSNONPILOT/Tender/SplashBidNoticeAbstractUI.aspx?menuIndex=3&amp;refID=7049283&amp;Result=3","7049283")</f>
        <v>0</v>
      </c>
      <c r="B11535" t="s">
        <v>236</v>
      </c>
      <c r="C11535" t="s">
        <v>14465</v>
      </c>
      <c r="D11535" t="s">
        <v>18789</v>
      </c>
      <c r="E11535" t="s">
        <v>28809</v>
      </c>
      <c r="F11535" t="s">
        <v>32664</v>
      </c>
      <c r="G11535" t="s">
        <v>32672</v>
      </c>
      <c r="H11535" t="s">
        <v>32683</v>
      </c>
      <c r="I11535" t="s">
        <v>10627</v>
      </c>
      <c r="J11535" t="s">
        <v>34147</v>
      </c>
      <c r="K11535" t="s">
        <v>42395</v>
      </c>
      <c r="M11535" t="s">
        <v>42801</v>
      </c>
      <c r="N11535" t="s">
        <v>46569</v>
      </c>
      <c r="O11535" t="s">
        <v>46570</v>
      </c>
      <c r="Q11535">
        <v>0</v>
      </c>
      <c r="R11535" t="s">
        <v>46579</v>
      </c>
      <c r="S11535" t="s">
        <v>46706</v>
      </c>
      <c r="T11535" t="s">
        <v>48212</v>
      </c>
      <c r="U11535" t="s">
        <v>57993</v>
      </c>
      <c r="W11535" t="s">
        <v>42801</v>
      </c>
      <c r="X11535" t="s">
        <v>46580</v>
      </c>
    </row>
    <row r="11536" spans="1:24">
      <c r="A11536">
        <f>HYPERLINK("https://www.philgeps.gov.ph/GEPSNONPILOT/Tender/SplashBidNoticeAbstractUI.aspx?menuIndex=3&amp;refID=7049320&amp;Result=3","7049320")</f>
        <v>0</v>
      </c>
      <c r="B11536" t="s">
        <v>346</v>
      </c>
      <c r="C11536" t="s">
        <v>14466</v>
      </c>
      <c r="D11536" t="s">
        <v>18817</v>
      </c>
      <c r="E11536" t="s">
        <v>28810</v>
      </c>
      <c r="F11536" t="s">
        <v>32664</v>
      </c>
      <c r="G11536" t="s">
        <v>32672</v>
      </c>
      <c r="H11536" t="s">
        <v>12635</v>
      </c>
      <c r="I11536" t="s">
        <v>6168</v>
      </c>
      <c r="J11536" t="s">
        <v>39630</v>
      </c>
      <c r="K11536" t="s">
        <v>42289</v>
      </c>
      <c r="M11536" t="s">
        <v>42915</v>
      </c>
      <c r="N11536" t="s">
        <v>46569</v>
      </c>
      <c r="O11536" t="s">
        <v>46570</v>
      </c>
      <c r="P11536">
        <v>0</v>
      </c>
      <c r="Q11536">
        <v>1</v>
      </c>
      <c r="R11536" t="s">
        <v>46579</v>
      </c>
      <c r="S11536" t="s">
        <v>46919</v>
      </c>
      <c r="T11536" t="s">
        <v>48580</v>
      </c>
      <c r="U11536" t="s">
        <v>58036</v>
      </c>
      <c r="W11536" t="s">
        <v>42915</v>
      </c>
      <c r="X11536" t="s">
        <v>46580</v>
      </c>
    </row>
    <row r="11537" spans="1:24">
      <c r="A11537">
        <f>HYPERLINK("https://www.philgeps.gov.ph/GEPSNONPILOT/Tender/SplashBidNoticeAbstractUI.aspx?menuIndex=3&amp;refID=7049161&amp;Result=3","7049161")</f>
        <v>0</v>
      </c>
      <c r="B11537" t="s">
        <v>236</v>
      </c>
      <c r="C11537" t="s">
        <v>14467</v>
      </c>
      <c r="D11537" t="s">
        <v>18789</v>
      </c>
      <c r="E11537" t="s">
        <v>28811</v>
      </c>
      <c r="F11537" t="s">
        <v>32664</v>
      </c>
      <c r="G11537" t="s">
        <v>32672</v>
      </c>
      <c r="H11537" t="s">
        <v>32683</v>
      </c>
      <c r="I11537" t="s">
        <v>10627</v>
      </c>
      <c r="J11537" t="s">
        <v>34131</v>
      </c>
      <c r="K11537" t="s">
        <v>42327</v>
      </c>
      <c r="M11537" t="s">
        <v>42801</v>
      </c>
      <c r="N11537" t="s">
        <v>46569</v>
      </c>
      <c r="O11537" t="s">
        <v>46570</v>
      </c>
      <c r="Q11537">
        <v>1</v>
      </c>
      <c r="R11537" t="s">
        <v>46579</v>
      </c>
      <c r="S11537" t="s">
        <v>46952</v>
      </c>
      <c r="T11537" t="s">
        <v>48212</v>
      </c>
      <c r="U11537" t="s">
        <v>57993</v>
      </c>
      <c r="W11537" t="s">
        <v>42801</v>
      </c>
      <c r="X11537" t="s">
        <v>46580</v>
      </c>
    </row>
    <row r="11538" spans="1:24">
      <c r="A11538">
        <f>HYPERLINK("https://www.philgeps.gov.ph/GEPSNONPILOT/Tender/SplashBidNoticeAbstractUI.aspx?menuIndex=3&amp;refID=7049268&amp;Result=3","7049268")</f>
        <v>0</v>
      </c>
      <c r="B11538" t="s">
        <v>632</v>
      </c>
      <c r="C11538" t="s">
        <v>14468</v>
      </c>
      <c r="D11538" t="s">
        <v>18821</v>
      </c>
      <c r="E11538" t="s">
        <v>28812</v>
      </c>
      <c r="F11538" t="s">
        <v>32664</v>
      </c>
      <c r="G11538" t="s">
        <v>32672</v>
      </c>
      <c r="H11538" t="s">
        <v>12635</v>
      </c>
      <c r="I11538" t="s">
        <v>6118</v>
      </c>
      <c r="J11538" t="s">
        <v>32859</v>
      </c>
      <c r="K11538" t="s">
        <v>42297</v>
      </c>
      <c r="M11538" t="s">
        <v>43214</v>
      </c>
      <c r="N11538" t="s">
        <v>46569</v>
      </c>
      <c r="O11538" t="s">
        <v>46570</v>
      </c>
      <c r="P11538">
        <v>0</v>
      </c>
      <c r="Q11538">
        <v>0</v>
      </c>
      <c r="R11538" t="s">
        <v>46579</v>
      </c>
      <c r="S11538" t="s">
        <v>46919</v>
      </c>
      <c r="T11538" t="s">
        <v>48314</v>
      </c>
      <c r="U11538" t="s">
        <v>58037</v>
      </c>
      <c r="W11538" t="s">
        <v>43214</v>
      </c>
      <c r="X11538" t="s">
        <v>46580</v>
      </c>
    </row>
    <row r="11539" spans="1:24">
      <c r="A11539">
        <f>HYPERLINK("https://www.philgeps.gov.ph/GEPSNONPILOT/Tender/SplashBidNoticeAbstractUI.aspx?menuIndex=3&amp;refID=7049279&amp;Result=3","7049279")</f>
        <v>0</v>
      </c>
      <c r="B11539" t="s">
        <v>1989</v>
      </c>
      <c r="C11539" t="s">
        <v>14469</v>
      </c>
      <c r="D11539" t="s">
        <v>18818</v>
      </c>
      <c r="E11539" t="s">
        <v>28813</v>
      </c>
      <c r="F11539" t="s">
        <v>32664</v>
      </c>
      <c r="G11539" t="s">
        <v>32672</v>
      </c>
      <c r="H11539" t="s">
        <v>12635</v>
      </c>
      <c r="I11539" t="s">
        <v>32706</v>
      </c>
      <c r="J11539" t="s">
        <v>32981</v>
      </c>
      <c r="K11539" t="s">
        <v>42285</v>
      </c>
      <c r="M11539" t="s">
        <v>44723</v>
      </c>
      <c r="N11539" t="s">
        <v>46569</v>
      </c>
      <c r="O11539" t="s">
        <v>46570</v>
      </c>
      <c r="P11539">
        <v>0</v>
      </c>
      <c r="Q11539">
        <v>0</v>
      </c>
      <c r="R11539" t="s">
        <v>46579</v>
      </c>
      <c r="S11539" t="s">
        <v>46919</v>
      </c>
      <c r="T11539" t="s">
        <v>48313</v>
      </c>
      <c r="U11539" t="s">
        <v>58038</v>
      </c>
      <c r="W11539" t="s">
        <v>44723</v>
      </c>
      <c r="X11539" t="s">
        <v>46580</v>
      </c>
    </row>
    <row r="11540" spans="1:24">
      <c r="A11540">
        <f>HYPERLINK("https://www.philgeps.gov.ph/GEPSNONPILOT/Tender/SplashBidNoticeAbstractUI.aspx?menuIndex=3&amp;refID=7049263&amp;Result=3","7049263")</f>
        <v>0</v>
      </c>
      <c r="B11540" t="s">
        <v>3076</v>
      </c>
      <c r="C11540" t="s">
        <v>14470</v>
      </c>
      <c r="D11540" t="s">
        <v>18816</v>
      </c>
      <c r="E11540" t="s">
        <v>19758</v>
      </c>
      <c r="F11540" t="s">
        <v>32664</v>
      </c>
      <c r="G11540" t="s">
        <v>32672</v>
      </c>
      <c r="H11540" t="s">
        <v>12635</v>
      </c>
      <c r="I11540" t="s">
        <v>8730</v>
      </c>
      <c r="J11540" t="s">
        <v>34851</v>
      </c>
      <c r="K11540" t="s">
        <v>42281</v>
      </c>
      <c r="M11540" t="s">
        <v>45957</v>
      </c>
      <c r="N11540" t="s">
        <v>46569</v>
      </c>
      <c r="O11540" t="s">
        <v>46570</v>
      </c>
      <c r="P11540">
        <v>0</v>
      </c>
      <c r="Q11540">
        <v>2</v>
      </c>
      <c r="R11540" t="s">
        <v>46579</v>
      </c>
      <c r="S11540" t="s">
        <v>46919</v>
      </c>
      <c r="T11540" t="s">
        <v>48468</v>
      </c>
      <c r="U11540" t="s">
        <v>58039</v>
      </c>
      <c r="V11540" t="s">
        <v>62873</v>
      </c>
      <c r="W11540" t="s">
        <v>45957</v>
      </c>
      <c r="X11540" t="s">
        <v>46580</v>
      </c>
    </row>
    <row r="11541" spans="1:24">
      <c r="A11541">
        <f>HYPERLINK("https://www.philgeps.gov.ph/GEPSNONPILOT/Tender/SplashBidNoticeAbstractUI.aspx?menuIndex=3&amp;refID=7049253&amp;Result=3","7049253")</f>
        <v>0</v>
      </c>
      <c r="B11541" t="s">
        <v>236</v>
      </c>
      <c r="C11541" t="s">
        <v>14471</v>
      </c>
      <c r="D11541" t="s">
        <v>18789</v>
      </c>
      <c r="E11541" t="s">
        <v>28814</v>
      </c>
      <c r="F11541" t="s">
        <v>32664</v>
      </c>
      <c r="G11541" t="s">
        <v>32672</v>
      </c>
      <c r="H11541" t="s">
        <v>32683</v>
      </c>
      <c r="I11541" t="s">
        <v>10627</v>
      </c>
      <c r="J11541" t="s">
        <v>34147</v>
      </c>
      <c r="K11541" t="s">
        <v>42395</v>
      </c>
      <c r="M11541" t="s">
        <v>42801</v>
      </c>
      <c r="N11541" t="s">
        <v>46569</v>
      </c>
      <c r="O11541" t="s">
        <v>46570</v>
      </c>
      <c r="P11541">
        <v>0</v>
      </c>
      <c r="Q11541">
        <v>0</v>
      </c>
      <c r="R11541" t="s">
        <v>46579</v>
      </c>
      <c r="S11541" t="s">
        <v>46919</v>
      </c>
      <c r="T11541" t="s">
        <v>48212</v>
      </c>
      <c r="U11541" t="s">
        <v>57993</v>
      </c>
      <c r="W11541" t="s">
        <v>42801</v>
      </c>
      <c r="X11541" t="s">
        <v>46580</v>
      </c>
    </row>
    <row r="11542" spans="1:24">
      <c r="A11542">
        <f>HYPERLINK("https://www.philgeps.gov.ph/GEPSNONPILOT/Tender/SplashBidNoticeAbstractUI.aspx?menuIndex=3&amp;refID=7049272&amp;Result=3","7049272")</f>
        <v>0</v>
      </c>
      <c r="B11542" t="s">
        <v>3077</v>
      </c>
      <c r="C11542" t="s">
        <v>14472</v>
      </c>
      <c r="D11542" t="s">
        <v>18790</v>
      </c>
      <c r="E11542" t="s">
        <v>28815</v>
      </c>
      <c r="F11542" t="s">
        <v>32664</v>
      </c>
      <c r="G11542" t="s">
        <v>32672</v>
      </c>
      <c r="H11542" t="s">
        <v>12635</v>
      </c>
      <c r="I11542" t="s">
        <v>32696</v>
      </c>
      <c r="J11542" t="s">
        <v>35589</v>
      </c>
      <c r="K11542" t="s">
        <v>42281</v>
      </c>
      <c r="M11542" t="s">
        <v>45958</v>
      </c>
      <c r="N11542" t="s">
        <v>46569</v>
      </c>
      <c r="O11542" t="s">
        <v>46570</v>
      </c>
      <c r="P11542">
        <v>0</v>
      </c>
      <c r="Q11542">
        <v>2</v>
      </c>
      <c r="R11542" t="s">
        <v>46579</v>
      </c>
      <c r="S11542" t="s">
        <v>46919</v>
      </c>
      <c r="T11542" t="s">
        <v>48236</v>
      </c>
      <c r="U11542" t="s">
        <v>58040</v>
      </c>
      <c r="V11542" t="s">
        <v>62874</v>
      </c>
      <c r="W11542" t="s">
        <v>45958</v>
      </c>
      <c r="X11542" t="s">
        <v>46580</v>
      </c>
    </row>
    <row r="11543" spans="1:24">
      <c r="A11543">
        <f>HYPERLINK("https://www.philgeps.gov.ph/GEPSNONPILOT/Tender/SplashBidNoticeAbstractUI.aspx?menuIndex=3&amp;refID=7049246&amp;Result=3","7049246")</f>
        <v>0</v>
      </c>
      <c r="B11543" t="s">
        <v>1049</v>
      </c>
      <c r="C11543" t="s">
        <v>14473</v>
      </c>
      <c r="E11543" t="s">
        <v>28816</v>
      </c>
      <c r="F11543" t="s">
        <v>32664</v>
      </c>
      <c r="G11543" t="s">
        <v>32671</v>
      </c>
      <c r="H11543" t="s">
        <v>12635</v>
      </c>
      <c r="I11543" t="s">
        <v>32706</v>
      </c>
      <c r="J11543" t="s">
        <v>33578</v>
      </c>
      <c r="K11543" t="s">
        <v>42281</v>
      </c>
      <c r="M11543" t="s">
        <v>45266</v>
      </c>
      <c r="N11543" t="s">
        <v>46569</v>
      </c>
      <c r="O11543" t="s">
        <v>46570</v>
      </c>
      <c r="P11543">
        <v>0</v>
      </c>
      <c r="Q11543">
        <v>0</v>
      </c>
      <c r="R11543" t="s">
        <v>46579</v>
      </c>
      <c r="S11543" t="s">
        <v>46919</v>
      </c>
      <c r="T11543" t="s">
        <v>48427</v>
      </c>
      <c r="U11543" t="s">
        <v>58041</v>
      </c>
      <c r="W11543" t="s">
        <v>63560</v>
      </c>
      <c r="X11543" t="s">
        <v>46580</v>
      </c>
    </row>
    <row r="11544" spans="1:24">
      <c r="A11544">
        <f>HYPERLINK("https://www.philgeps.gov.ph/GEPSNONPILOT/Tender/SplashBidNoticeAbstractUI.aspx?menuIndex=3&amp;refID=7049232&amp;Result=3","7049232")</f>
        <v>0</v>
      </c>
      <c r="B11544" t="s">
        <v>1873</v>
      </c>
      <c r="C11544" t="s">
        <v>14474</v>
      </c>
      <c r="D11544" t="s">
        <v>18787</v>
      </c>
      <c r="E11544" t="s">
        <v>19780</v>
      </c>
      <c r="F11544" t="s">
        <v>32664</v>
      </c>
      <c r="G11544" t="s">
        <v>32672</v>
      </c>
      <c r="H11544" t="s">
        <v>32683</v>
      </c>
      <c r="I11544" t="s">
        <v>10627</v>
      </c>
      <c r="J11544" t="s">
        <v>32962</v>
      </c>
      <c r="K11544" t="s">
        <v>42526</v>
      </c>
      <c r="M11544" t="s">
        <v>44589</v>
      </c>
      <c r="N11544" t="s">
        <v>46569</v>
      </c>
      <c r="O11544" t="s">
        <v>46570</v>
      </c>
      <c r="P11544">
        <v>0</v>
      </c>
      <c r="Q11544">
        <v>0</v>
      </c>
      <c r="R11544" t="s">
        <v>46579</v>
      </c>
      <c r="S11544" t="s">
        <v>46919</v>
      </c>
      <c r="T11544" t="s">
        <v>48427</v>
      </c>
      <c r="U11544" t="s">
        <v>54975</v>
      </c>
      <c r="V11544" t="s">
        <v>62868</v>
      </c>
      <c r="W11544" t="s">
        <v>44589</v>
      </c>
      <c r="X11544" t="s">
        <v>46580</v>
      </c>
    </row>
    <row r="11545" spans="1:24">
      <c r="A11545">
        <f>HYPERLINK("https://www.philgeps.gov.ph/GEPSNONPILOT/Tender/SplashBidNoticeAbstractUI.aspx?menuIndex=3&amp;refID=7049150&amp;Result=3","7049150")</f>
        <v>0</v>
      </c>
      <c r="B11545" t="s">
        <v>3039</v>
      </c>
      <c r="C11545" t="s">
        <v>14475</v>
      </c>
      <c r="D11545" t="s">
        <v>18831</v>
      </c>
      <c r="E11545" t="s">
        <v>28817</v>
      </c>
      <c r="F11545" t="s">
        <v>32664</v>
      </c>
      <c r="G11545" t="s">
        <v>32672</v>
      </c>
      <c r="H11545" t="s">
        <v>32683</v>
      </c>
      <c r="I11545" t="s">
        <v>10627</v>
      </c>
      <c r="J11545" t="s">
        <v>32837</v>
      </c>
      <c r="K11545" t="s">
        <v>42321</v>
      </c>
      <c r="L11545" t="s">
        <v>3039</v>
      </c>
      <c r="M11545" t="s">
        <v>45912</v>
      </c>
      <c r="N11545" t="s">
        <v>46569</v>
      </c>
      <c r="O11545" t="s">
        <v>46570</v>
      </c>
      <c r="P11545">
        <v>0</v>
      </c>
      <c r="Q11545">
        <v>1</v>
      </c>
      <c r="R11545" t="s">
        <v>46579</v>
      </c>
      <c r="S11545" t="s">
        <v>46919</v>
      </c>
      <c r="T11545" t="s">
        <v>48468</v>
      </c>
      <c r="U11545" t="s">
        <v>58042</v>
      </c>
      <c r="W11545" t="s">
        <v>45912</v>
      </c>
      <c r="X11545" t="s">
        <v>46580</v>
      </c>
    </row>
    <row r="11546" spans="1:24">
      <c r="A11546">
        <f>HYPERLINK("https://www.philgeps.gov.ph/GEPSNONPILOT/Tender/SplashBidNoticeAbstractUI.aspx?menuIndex=3&amp;refID=7049318&amp;Result=3","7049318")</f>
        <v>0</v>
      </c>
      <c r="B11546" t="s">
        <v>2941</v>
      </c>
      <c r="C11546" t="s">
        <v>14476</v>
      </c>
      <c r="D11546" t="s">
        <v>18831</v>
      </c>
      <c r="E11546" t="s">
        <v>28216</v>
      </c>
      <c r="F11546" t="s">
        <v>32664</v>
      </c>
      <c r="G11546" t="s">
        <v>32672</v>
      </c>
      <c r="H11546" t="s">
        <v>12635</v>
      </c>
      <c r="I11546" t="s">
        <v>4439</v>
      </c>
      <c r="J11546" t="s">
        <v>39631</v>
      </c>
      <c r="K11546" t="s">
        <v>42289</v>
      </c>
      <c r="M11546" t="s">
        <v>45795</v>
      </c>
      <c r="N11546" t="s">
        <v>46569</v>
      </c>
      <c r="O11546" t="s">
        <v>46570</v>
      </c>
      <c r="P11546">
        <v>0</v>
      </c>
      <c r="Q11546">
        <v>2</v>
      </c>
      <c r="R11546" t="s">
        <v>46579</v>
      </c>
      <c r="S11546" t="s">
        <v>46919</v>
      </c>
      <c r="T11546" t="s">
        <v>48448</v>
      </c>
      <c r="U11546" t="s">
        <v>57444</v>
      </c>
      <c r="W11546" t="s">
        <v>45795</v>
      </c>
      <c r="X11546" t="s">
        <v>46580</v>
      </c>
    </row>
    <row r="11547" spans="1:24">
      <c r="A11547">
        <f>HYPERLINK("https://www.philgeps.gov.ph/GEPSNONPILOT/Tender/SplashBidNoticeAbstractUI.aspx?menuIndex=3&amp;refID=7049146&amp;Result=3","7049146")</f>
        <v>0</v>
      </c>
      <c r="B11547" t="s">
        <v>1109</v>
      </c>
      <c r="C11547" t="s">
        <v>14477</v>
      </c>
      <c r="D11547" t="s">
        <v>18837</v>
      </c>
      <c r="E11547" t="s">
        <v>28818</v>
      </c>
      <c r="F11547" t="s">
        <v>32664</v>
      </c>
      <c r="G11547" t="s">
        <v>32672</v>
      </c>
      <c r="H11547" t="s">
        <v>12635</v>
      </c>
      <c r="I11547" t="s">
        <v>10370</v>
      </c>
      <c r="J11547" t="s">
        <v>39632</v>
      </c>
      <c r="K11547" t="s">
        <v>42281</v>
      </c>
      <c r="M11547" t="s">
        <v>43736</v>
      </c>
      <c r="N11547" t="s">
        <v>46569</v>
      </c>
      <c r="O11547" t="s">
        <v>46570</v>
      </c>
      <c r="P11547">
        <v>0</v>
      </c>
      <c r="Q11547">
        <v>6</v>
      </c>
      <c r="R11547" t="s">
        <v>46579</v>
      </c>
      <c r="S11547" t="s">
        <v>46919</v>
      </c>
      <c r="T11547" t="s">
        <v>48284</v>
      </c>
      <c r="U11547" t="s">
        <v>58043</v>
      </c>
      <c r="W11547" t="s">
        <v>43736</v>
      </c>
      <c r="X11547" t="s">
        <v>46580</v>
      </c>
    </row>
    <row r="11548" spans="1:24">
      <c r="A11548">
        <f>HYPERLINK("https://www.philgeps.gov.ph/GEPSNONPILOT/Tender/SplashBidNoticeAbstractUI.aspx?menuIndex=3&amp;refID=7049137&amp;Result=3","7049137")</f>
        <v>0</v>
      </c>
      <c r="B11548" t="s">
        <v>236</v>
      </c>
      <c r="C11548" t="s">
        <v>14478</v>
      </c>
      <c r="D11548" t="s">
        <v>18789</v>
      </c>
      <c r="E11548" t="s">
        <v>28819</v>
      </c>
      <c r="F11548" t="s">
        <v>32664</v>
      </c>
      <c r="G11548" t="s">
        <v>32672</v>
      </c>
      <c r="H11548" t="s">
        <v>32683</v>
      </c>
      <c r="I11548" t="s">
        <v>10627</v>
      </c>
      <c r="J11548" t="s">
        <v>34213</v>
      </c>
      <c r="K11548" t="s">
        <v>42395</v>
      </c>
      <c r="M11548" t="s">
        <v>42801</v>
      </c>
      <c r="N11548" t="s">
        <v>46569</v>
      </c>
      <c r="O11548" t="s">
        <v>46570</v>
      </c>
      <c r="P11548">
        <v>0</v>
      </c>
      <c r="Q11548">
        <v>0</v>
      </c>
      <c r="R11548" t="s">
        <v>46579</v>
      </c>
      <c r="S11548" t="s">
        <v>46919</v>
      </c>
      <c r="T11548" t="s">
        <v>48212</v>
      </c>
      <c r="U11548" t="s">
        <v>57993</v>
      </c>
      <c r="W11548" t="s">
        <v>42801</v>
      </c>
      <c r="X11548" t="s">
        <v>46580</v>
      </c>
    </row>
    <row r="11549" spans="1:24">
      <c r="A11549">
        <f>HYPERLINK("https://www.philgeps.gov.ph/GEPSNONPILOT/Tender/SplashBidNoticeAbstractUI.aspx?menuIndex=3&amp;refID=7049173&amp;Result=3","7049173")</f>
        <v>0</v>
      </c>
      <c r="B11549" t="s">
        <v>160</v>
      </c>
      <c r="C11549" t="s">
        <v>14479</v>
      </c>
      <c r="D11549" t="s">
        <v>18806</v>
      </c>
      <c r="E11549" t="s">
        <v>28820</v>
      </c>
      <c r="F11549" t="s">
        <v>32664</v>
      </c>
      <c r="G11549" t="s">
        <v>32672</v>
      </c>
      <c r="H11549" t="s">
        <v>12635</v>
      </c>
      <c r="I11549" t="s">
        <v>8797</v>
      </c>
      <c r="J11549" t="s">
        <v>39633</v>
      </c>
      <c r="K11549" t="s">
        <v>42311</v>
      </c>
      <c r="M11549" t="s">
        <v>42724</v>
      </c>
      <c r="N11549" t="s">
        <v>46569</v>
      </c>
      <c r="O11549" t="s">
        <v>46570</v>
      </c>
      <c r="Q11549">
        <v>10</v>
      </c>
      <c r="R11549" t="s">
        <v>46579</v>
      </c>
      <c r="S11549" t="s">
        <v>46953</v>
      </c>
      <c r="T11549" t="s">
        <v>48468</v>
      </c>
      <c r="U11549" t="s">
        <v>58044</v>
      </c>
      <c r="W11549" t="s">
        <v>42724</v>
      </c>
      <c r="X11549" t="s">
        <v>46580</v>
      </c>
    </row>
    <row r="11550" spans="1:24">
      <c r="A11550">
        <f>HYPERLINK("https://www.philgeps.gov.ph/GEPSNONPILOT/Tender/SplashBidNoticeAbstractUI.aspx?menuIndex=3&amp;refID=7049353&amp;Result=3","7049353")</f>
        <v>0</v>
      </c>
      <c r="B11550" t="s">
        <v>1243</v>
      </c>
      <c r="C11550" t="s">
        <v>14480</v>
      </c>
      <c r="D11550" t="s">
        <v>18785</v>
      </c>
      <c r="E11550" t="s">
        <v>28821</v>
      </c>
      <c r="F11550" t="s">
        <v>32664</v>
      </c>
      <c r="G11550" t="s">
        <v>32674</v>
      </c>
      <c r="H11550" t="s">
        <v>12635</v>
      </c>
      <c r="I11550" t="s">
        <v>6168</v>
      </c>
      <c r="J11550" t="s">
        <v>39634</v>
      </c>
      <c r="K11550" t="s">
        <v>42284</v>
      </c>
      <c r="M11550" t="s">
        <v>43885</v>
      </c>
      <c r="N11550" t="s">
        <v>46569</v>
      </c>
      <c r="O11550" t="s">
        <v>46570</v>
      </c>
      <c r="P11550">
        <v>0</v>
      </c>
      <c r="Q11550">
        <v>1</v>
      </c>
      <c r="R11550" t="s">
        <v>46579</v>
      </c>
      <c r="S11550" t="s">
        <v>46919</v>
      </c>
      <c r="T11550" t="s">
        <v>48254</v>
      </c>
      <c r="U11550" t="s">
        <v>49404</v>
      </c>
      <c r="W11550" t="s">
        <v>63507</v>
      </c>
      <c r="X11550" t="s">
        <v>46580</v>
      </c>
    </row>
    <row r="11551" spans="1:24">
      <c r="A11551">
        <f>HYPERLINK("https://www.philgeps.gov.ph/GEPSNONPILOT/Tender/SplashBidNoticeAbstractUI.aspx?menuIndex=3&amp;refID=7049383&amp;Result=3","7049383")</f>
        <v>0</v>
      </c>
      <c r="B11551" t="s">
        <v>393</v>
      </c>
      <c r="C11551" t="s">
        <v>14481</v>
      </c>
      <c r="D11551" t="s">
        <v>18853</v>
      </c>
      <c r="E11551" t="s">
        <v>28822</v>
      </c>
      <c r="F11551" t="s">
        <v>32664</v>
      </c>
      <c r="G11551" t="s">
        <v>32672</v>
      </c>
      <c r="H11551" t="s">
        <v>32683</v>
      </c>
      <c r="I11551" t="s">
        <v>10627</v>
      </c>
      <c r="J11551" t="s">
        <v>39635</v>
      </c>
      <c r="K11551" t="s">
        <v>42281</v>
      </c>
      <c r="L11551" t="s">
        <v>393</v>
      </c>
      <c r="M11551" t="s">
        <v>42963</v>
      </c>
      <c r="N11551" t="s">
        <v>46569</v>
      </c>
      <c r="O11551" t="s">
        <v>46570</v>
      </c>
      <c r="P11551">
        <v>0</v>
      </c>
      <c r="Q11551">
        <v>0</v>
      </c>
      <c r="R11551" t="s">
        <v>46579</v>
      </c>
      <c r="S11551" t="s">
        <v>46919</v>
      </c>
      <c r="T11551" t="s">
        <v>48284</v>
      </c>
      <c r="U11551" t="s">
        <v>58045</v>
      </c>
      <c r="V11551" t="s">
        <v>62875</v>
      </c>
      <c r="W11551" t="s">
        <v>42963</v>
      </c>
      <c r="X11551" t="s">
        <v>46580</v>
      </c>
    </row>
    <row r="11552" spans="1:24">
      <c r="A11552">
        <f>HYPERLINK("https://www.philgeps.gov.ph/GEPSNONPILOT/Tender/SplashBidNoticeAbstractUI.aspx?menuIndex=3&amp;refID=7049231&amp;Result=3","7049231")</f>
        <v>0</v>
      </c>
      <c r="B11552" t="s">
        <v>236</v>
      </c>
      <c r="C11552" t="s">
        <v>14482</v>
      </c>
      <c r="D11552" t="s">
        <v>18789</v>
      </c>
      <c r="E11552" t="s">
        <v>28823</v>
      </c>
      <c r="F11552" t="s">
        <v>32664</v>
      </c>
      <c r="G11552" t="s">
        <v>32672</v>
      </c>
      <c r="H11552" t="s">
        <v>32683</v>
      </c>
      <c r="I11552" t="s">
        <v>10627</v>
      </c>
      <c r="J11552" t="s">
        <v>34147</v>
      </c>
      <c r="K11552" t="s">
        <v>42395</v>
      </c>
      <c r="M11552" t="s">
        <v>42801</v>
      </c>
      <c r="N11552" t="s">
        <v>46569</v>
      </c>
      <c r="O11552" t="s">
        <v>46570</v>
      </c>
      <c r="P11552">
        <v>0</v>
      </c>
      <c r="Q11552">
        <v>1</v>
      </c>
      <c r="R11552" t="s">
        <v>46579</v>
      </c>
      <c r="S11552" t="s">
        <v>46919</v>
      </c>
      <c r="T11552" t="s">
        <v>48212</v>
      </c>
      <c r="U11552" t="s">
        <v>57993</v>
      </c>
      <c r="W11552" t="s">
        <v>42801</v>
      </c>
      <c r="X11552" t="s">
        <v>46580</v>
      </c>
    </row>
    <row r="11553" spans="1:24">
      <c r="A11553">
        <f>HYPERLINK("https://www.philgeps.gov.ph/GEPSNONPILOT/Tender/SplashBidNoticeAbstractUI.aspx?menuIndex=3&amp;refID=7049377&amp;Result=3","7049377")</f>
        <v>0</v>
      </c>
      <c r="B11553" t="s">
        <v>1243</v>
      </c>
      <c r="C11553" t="s">
        <v>14483</v>
      </c>
      <c r="D11553" t="s">
        <v>18785</v>
      </c>
      <c r="E11553" t="s">
        <v>28824</v>
      </c>
      <c r="F11553" t="s">
        <v>32664</v>
      </c>
      <c r="G11553" t="s">
        <v>32674</v>
      </c>
      <c r="H11553" t="s">
        <v>12635</v>
      </c>
      <c r="I11553" t="s">
        <v>32685</v>
      </c>
      <c r="J11553" t="s">
        <v>39636</v>
      </c>
      <c r="K11553" t="s">
        <v>42284</v>
      </c>
      <c r="M11553" t="s">
        <v>43885</v>
      </c>
      <c r="N11553" t="s">
        <v>46569</v>
      </c>
      <c r="O11553" t="s">
        <v>46570</v>
      </c>
      <c r="P11553">
        <v>0</v>
      </c>
      <c r="Q11553">
        <v>0</v>
      </c>
      <c r="R11553" t="s">
        <v>46579</v>
      </c>
      <c r="S11553" t="s">
        <v>46919</v>
      </c>
      <c r="T11553" t="s">
        <v>48254</v>
      </c>
      <c r="U11553" t="s">
        <v>58046</v>
      </c>
      <c r="W11553" t="s">
        <v>63507</v>
      </c>
      <c r="X11553" t="s">
        <v>46580</v>
      </c>
    </row>
    <row r="11554" spans="1:24">
      <c r="A11554">
        <f>HYPERLINK("https://www.philgeps.gov.ph/GEPSNONPILOT/Tender/SplashBidNoticeAbstractUI.aspx?menuIndex=3&amp;refID=7049264&amp;Result=3","7049264")</f>
        <v>0</v>
      </c>
      <c r="B11554" t="s">
        <v>3065</v>
      </c>
      <c r="C11554" t="s">
        <v>14484</v>
      </c>
      <c r="D11554" t="s">
        <v>18831</v>
      </c>
      <c r="E11554" t="s">
        <v>28825</v>
      </c>
      <c r="F11554" t="s">
        <v>32664</v>
      </c>
      <c r="G11554" t="s">
        <v>32672</v>
      </c>
      <c r="H11554" t="s">
        <v>12635</v>
      </c>
      <c r="I11554" t="s">
        <v>32738</v>
      </c>
      <c r="J11554" t="s">
        <v>39637</v>
      </c>
      <c r="K11554" t="s">
        <v>42311</v>
      </c>
      <c r="M11554" t="s">
        <v>45942</v>
      </c>
      <c r="N11554" t="s">
        <v>46569</v>
      </c>
      <c r="O11554" t="s">
        <v>46570</v>
      </c>
      <c r="P11554">
        <v>0</v>
      </c>
      <c r="Q11554">
        <v>8</v>
      </c>
      <c r="R11554" t="s">
        <v>46579</v>
      </c>
      <c r="S11554" t="s">
        <v>46919</v>
      </c>
      <c r="T11554" t="s">
        <v>48487</v>
      </c>
      <c r="U11554" t="s">
        <v>57983</v>
      </c>
      <c r="W11554" t="s">
        <v>45942</v>
      </c>
      <c r="X11554" t="s">
        <v>46580</v>
      </c>
    </row>
    <row r="11555" spans="1:24">
      <c r="A11555">
        <f>HYPERLINK("https://www.philgeps.gov.ph/GEPSNONPILOT/Tender/SplashBidNoticeAbstractUI.aspx?menuIndex=3&amp;refID=7049029&amp;Result=3","7049029")</f>
        <v>0</v>
      </c>
      <c r="B11555" t="s">
        <v>236</v>
      </c>
      <c r="C11555" t="s">
        <v>14485</v>
      </c>
      <c r="D11555" t="s">
        <v>18789</v>
      </c>
      <c r="E11555" t="s">
        <v>28826</v>
      </c>
      <c r="F11555" t="s">
        <v>32664</v>
      </c>
      <c r="G11555" t="s">
        <v>32672</v>
      </c>
      <c r="H11555" t="s">
        <v>32683</v>
      </c>
      <c r="I11555" t="s">
        <v>10627</v>
      </c>
      <c r="J11555" t="s">
        <v>38737</v>
      </c>
      <c r="K11555" t="s">
        <v>42301</v>
      </c>
      <c r="M11555" t="s">
        <v>42801</v>
      </c>
      <c r="N11555" t="s">
        <v>46569</v>
      </c>
      <c r="O11555" t="s">
        <v>46570</v>
      </c>
      <c r="Q11555">
        <v>2</v>
      </c>
      <c r="R11555" t="s">
        <v>46579</v>
      </c>
      <c r="S11555" t="s">
        <v>46954</v>
      </c>
      <c r="T11555" t="s">
        <v>48212</v>
      </c>
      <c r="U11555" t="s">
        <v>57993</v>
      </c>
      <c r="W11555" t="s">
        <v>42801</v>
      </c>
      <c r="X11555" t="s">
        <v>46580</v>
      </c>
    </row>
    <row r="11556" spans="1:24">
      <c r="A11556">
        <f>HYPERLINK("https://www.philgeps.gov.ph/GEPSNONPILOT/Tender/SplashBidNoticeAbstractUI.aspx?menuIndex=3&amp;refID=7049371&amp;Result=3","7049371")</f>
        <v>0</v>
      </c>
      <c r="B11556" t="s">
        <v>3065</v>
      </c>
      <c r="C11556" t="s">
        <v>14486</v>
      </c>
      <c r="D11556" t="s">
        <v>18831</v>
      </c>
      <c r="E11556" t="s">
        <v>28827</v>
      </c>
      <c r="F11556" t="s">
        <v>32664</v>
      </c>
      <c r="G11556" t="s">
        <v>32672</v>
      </c>
      <c r="H11556" t="s">
        <v>12635</v>
      </c>
      <c r="I11556" t="s">
        <v>32738</v>
      </c>
      <c r="J11556" t="s">
        <v>39638</v>
      </c>
      <c r="K11556" t="s">
        <v>42311</v>
      </c>
      <c r="M11556" t="s">
        <v>45942</v>
      </c>
      <c r="N11556" t="s">
        <v>46569</v>
      </c>
      <c r="O11556" t="s">
        <v>46570</v>
      </c>
      <c r="P11556">
        <v>0</v>
      </c>
      <c r="Q11556">
        <v>6</v>
      </c>
      <c r="R11556" t="s">
        <v>46579</v>
      </c>
      <c r="S11556" t="s">
        <v>46919</v>
      </c>
      <c r="T11556" t="s">
        <v>48487</v>
      </c>
      <c r="U11556" t="s">
        <v>57983</v>
      </c>
      <c r="W11556" t="s">
        <v>45942</v>
      </c>
      <c r="X11556" t="s">
        <v>46580</v>
      </c>
    </row>
    <row r="11557" spans="1:24">
      <c r="A11557">
        <f>HYPERLINK("https://www.philgeps.gov.ph/GEPSNONPILOT/Tender/SplashBidNoticeAbstractUI.aspx?menuIndex=3&amp;refID=7049281&amp;Result=3","7049281")</f>
        <v>0</v>
      </c>
      <c r="B11557" t="s">
        <v>3065</v>
      </c>
      <c r="C11557" t="s">
        <v>14487</v>
      </c>
      <c r="D11557" t="s">
        <v>18831</v>
      </c>
      <c r="E11557" t="s">
        <v>28828</v>
      </c>
      <c r="F11557" t="s">
        <v>32664</v>
      </c>
      <c r="G11557" t="s">
        <v>32672</v>
      </c>
      <c r="H11557" t="s">
        <v>12635</v>
      </c>
      <c r="I11557" t="s">
        <v>32738</v>
      </c>
      <c r="J11557" t="s">
        <v>39639</v>
      </c>
      <c r="K11557" t="s">
        <v>42311</v>
      </c>
      <c r="M11557" t="s">
        <v>45948</v>
      </c>
      <c r="N11557" t="s">
        <v>46569</v>
      </c>
      <c r="O11557" t="s">
        <v>46570</v>
      </c>
      <c r="P11557">
        <v>0</v>
      </c>
      <c r="Q11557">
        <v>4</v>
      </c>
      <c r="R11557" t="s">
        <v>46579</v>
      </c>
      <c r="S11557" t="s">
        <v>46919</v>
      </c>
      <c r="T11557" t="s">
        <v>48487</v>
      </c>
      <c r="U11557" t="s">
        <v>58047</v>
      </c>
      <c r="W11557" t="s">
        <v>45948</v>
      </c>
      <c r="X11557" t="s">
        <v>46580</v>
      </c>
    </row>
    <row r="11558" spans="1:24">
      <c r="A11558">
        <f>HYPERLINK("https://www.philgeps.gov.ph/GEPSNONPILOT/Tender/SplashBidNoticeAbstractUI.aspx?menuIndex=3&amp;refID=7049367&amp;Result=3","7049367")</f>
        <v>0</v>
      </c>
      <c r="B11558" t="s">
        <v>632</v>
      </c>
      <c r="C11558" t="s">
        <v>14488</v>
      </c>
      <c r="D11558" t="s">
        <v>18821</v>
      </c>
      <c r="E11558" t="s">
        <v>28829</v>
      </c>
      <c r="F11558" t="s">
        <v>32664</v>
      </c>
      <c r="G11558" t="s">
        <v>32672</v>
      </c>
      <c r="H11558" t="s">
        <v>32683</v>
      </c>
      <c r="I11558" t="s">
        <v>10627</v>
      </c>
      <c r="J11558" t="s">
        <v>32837</v>
      </c>
      <c r="K11558" t="s">
        <v>42323</v>
      </c>
      <c r="M11558" t="s">
        <v>43214</v>
      </c>
      <c r="N11558" t="s">
        <v>46569</v>
      </c>
      <c r="O11558" t="s">
        <v>46570</v>
      </c>
      <c r="P11558">
        <v>0</v>
      </c>
      <c r="Q11558">
        <v>3</v>
      </c>
      <c r="R11558" t="s">
        <v>46579</v>
      </c>
      <c r="S11558" t="s">
        <v>46919</v>
      </c>
      <c r="T11558" t="s">
        <v>48314</v>
      </c>
      <c r="U11558" t="s">
        <v>58048</v>
      </c>
      <c r="W11558" t="s">
        <v>43214</v>
      </c>
      <c r="X11558" t="s">
        <v>46580</v>
      </c>
    </row>
    <row r="11559" spans="1:24">
      <c r="A11559">
        <f>HYPERLINK("https://www.philgeps.gov.ph/GEPSNONPILOT/Tender/SplashBidNoticeAbstractUI.aspx?menuIndex=3&amp;refID=7049352&amp;Result=3","7049352")</f>
        <v>0</v>
      </c>
      <c r="B11559" t="s">
        <v>3065</v>
      </c>
      <c r="C11559" t="s">
        <v>14489</v>
      </c>
      <c r="D11559" t="s">
        <v>18831</v>
      </c>
      <c r="E11559" t="s">
        <v>28830</v>
      </c>
      <c r="F11559" t="s">
        <v>32664</v>
      </c>
      <c r="G11559" t="s">
        <v>32672</v>
      </c>
      <c r="H11559" t="s">
        <v>12635</v>
      </c>
      <c r="I11559" t="s">
        <v>32738</v>
      </c>
      <c r="J11559" t="s">
        <v>39640</v>
      </c>
      <c r="K11559" t="s">
        <v>42311</v>
      </c>
      <c r="M11559" t="s">
        <v>45948</v>
      </c>
      <c r="N11559" t="s">
        <v>46569</v>
      </c>
      <c r="O11559" t="s">
        <v>46570</v>
      </c>
      <c r="P11559">
        <v>0</v>
      </c>
      <c r="Q11559">
        <v>4</v>
      </c>
      <c r="R11559" t="s">
        <v>46579</v>
      </c>
      <c r="S11559" t="s">
        <v>46919</v>
      </c>
      <c r="T11559" t="s">
        <v>48487</v>
      </c>
      <c r="U11559" t="s">
        <v>57996</v>
      </c>
      <c r="W11559" t="s">
        <v>45948</v>
      </c>
      <c r="X11559" t="s">
        <v>46580</v>
      </c>
    </row>
    <row r="11560" spans="1:24">
      <c r="A11560">
        <f>HYPERLINK("https://www.philgeps.gov.ph/GEPSNONPILOT/Tender/SplashBidNoticeAbstractUI.aspx?menuIndex=3&amp;refID=7049229&amp;Result=3","7049229")</f>
        <v>0</v>
      </c>
      <c r="B11560" t="s">
        <v>1989</v>
      </c>
      <c r="C11560" t="s">
        <v>14490</v>
      </c>
      <c r="D11560" t="s">
        <v>18818</v>
      </c>
      <c r="E11560" t="s">
        <v>28831</v>
      </c>
      <c r="F11560" t="s">
        <v>32664</v>
      </c>
      <c r="G11560" t="s">
        <v>32672</v>
      </c>
      <c r="H11560" t="s">
        <v>32683</v>
      </c>
      <c r="I11560" t="s">
        <v>10627</v>
      </c>
      <c r="J11560" t="s">
        <v>33150</v>
      </c>
      <c r="K11560" t="s">
        <v>42311</v>
      </c>
      <c r="M11560" t="s">
        <v>44723</v>
      </c>
      <c r="N11560" t="s">
        <v>46569</v>
      </c>
      <c r="O11560" t="s">
        <v>46570</v>
      </c>
      <c r="P11560">
        <v>0</v>
      </c>
      <c r="Q11560">
        <v>0</v>
      </c>
      <c r="R11560" t="s">
        <v>46579</v>
      </c>
      <c r="S11560" t="s">
        <v>46919</v>
      </c>
      <c r="T11560" t="s">
        <v>48313</v>
      </c>
      <c r="U11560" t="s">
        <v>58049</v>
      </c>
      <c r="W11560" t="s">
        <v>44723</v>
      </c>
      <c r="X11560" t="s">
        <v>46580</v>
      </c>
    </row>
    <row r="11561" spans="1:24">
      <c r="A11561">
        <f>HYPERLINK("https://www.philgeps.gov.ph/GEPSNONPILOT/Tender/SplashBidNoticeAbstractUI.aspx?menuIndex=3&amp;refID=7049382&amp;Result=3","7049382")</f>
        <v>0</v>
      </c>
      <c r="B11561" t="s">
        <v>2720</v>
      </c>
      <c r="C11561" t="s">
        <v>14491</v>
      </c>
      <c r="D11561" t="s">
        <v>18785</v>
      </c>
      <c r="E11561" t="s">
        <v>28832</v>
      </c>
      <c r="F11561" t="s">
        <v>32664</v>
      </c>
      <c r="G11561" t="s">
        <v>32672</v>
      </c>
      <c r="H11561" t="s">
        <v>32683</v>
      </c>
      <c r="I11561" t="s">
        <v>10627</v>
      </c>
      <c r="J11561" t="s">
        <v>35117</v>
      </c>
      <c r="K11561" t="s">
        <v>42285</v>
      </c>
      <c r="M11561" t="s">
        <v>45547</v>
      </c>
      <c r="N11561" t="s">
        <v>46569</v>
      </c>
      <c r="O11561" t="s">
        <v>46570</v>
      </c>
      <c r="Q11561">
        <v>5</v>
      </c>
      <c r="R11561" t="s">
        <v>46579</v>
      </c>
      <c r="S11561" t="s">
        <v>46955</v>
      </c>
      <c r="T11561" t="s">
        <v>48284</v>
      </c>
      <c r="U11561" t="s">
        <v>58050</v>
      </c>
      <c r="V11561" t="s">
        <v>62612</v>
      </c>
      <c r="W11561" t="s">
        <v>45547</v>
      </c>
      <c r="X11561" t="s">
        <v>46580</v>
      </c>
    </row>
    <row r="11562" spans="1:24">
      <c r="A11562">
        <f>HYPERLINK("https://www.philgeps.gov.ph/GEPSNONPILOT/Tender/SplashBidNoticeAbstractUI.aspx?menuIndex=3&amp;refID=7049362&amp;Result=3","7049362")</f>
        <v>0</v>
      </c>
      <c r="B11562" t="s">
        <v>1170</v>
      </c>
      <c r="C11562" t="s">
        <v>14492</v>
      </c>
      <c r="D11562" t="s">
        <v>18830</v>
      </c>
      <c r="E11562" t="s">
        <v>21522</v>
      </c>
      <c r="F11562" t="s">
        <v>32664</v>
      </c>
      <c r="G11562" t="s">
        <v>32675</v>
      </c>
      <c r="H11562" t="s">
        <v>12635</v>
      </c>
      <c r="I11562" t="s">
        <v>5589</v>
      </c>
      <c r="J11562" t="s">
        <v>33024</v>
      </c>
      <c r="K11562" t="s">
        <v>42281</v>
      </c>
      <c r="M11562" t="s">
        <v>43804</v>
      </c>
      <c r="N11562" t="s">
        <v>46569</v>
      </c>
      <c r="O11562" t="s">
        <v>46570</v>
      </c>
      <c r="Q11562">
        <v>3</v>
      </c>
      <c r="R11562" t="s">
        <v>46579</v>
      </c>
      <c r="S11562" t="s">
        <v>46956</v>
      </c>
      <c r="T11562" t="s">
        <v>48244</v>
      </c>
      <c r="U11562" t="s">
        <v>58051</v>
      </c>
      <c r="W11562" t="s">
        <v>43804</v>
      </c>
      <c r="X11562" t="s">
        <v>46580</v>
      </c>
    </row>
    <row r="11563" spans="1:24">
      <c r="A11563">
        <f>HYPERLINK("https://www.philgeps.gov.ph/GEPSNONPILOT/Tender/SplashBidNoticeAbstractUI.aspx?menuIndex=3&amp;refID=7049360&amp;Result=3","7049360")</f>
        <v>0</v>
      </c>
      <c r="B11563" t="s">
        <v>2720</v>
      </c>
      <c r="C11563" t="s">
        <v>14493</v>
      </c>
      <c r="D11563" t="s">
        <v>18785</v>
      </c>
      <c r="E11563" t="s">
        <v>28833</v>
      </c>
      <c r="F11563" t="s">
        <v>32664</v>
      </c>
      <c r="G11563" t="s">
        <v>32672</v>
      </c>
      <c r="H11563" t="s">
        <v>32683</v>
      </c>
      <c r="I11563" t="s">
        <v>10627</v>
      </c>
      <c r="J11563" t="s">
        <v>39641</v>
      </c>
      <c r="K11563" t="s">
        <v>42290</v>
      </c>
      <c r="M11563" t="s">
        <v>45547</v>
      </c>
      <c r="N11563" t="s">
        <v>46569</v>
      </c>
      <c r="O11563" t="s">
        <v>46570</v>
      </c>
      <c r="Q11563">
        <v>3</v>
      </c>
      <c r="R11563" t="s">
        <v>46579</v>
      </c>
      <c r="S11563" t="s">
        <v>46957</v>
      </c>
      <c r="T11563" t="s">
        <v>48284</v>
      </c>
      <c r="U11563" t="s">
        <v>58050</v>
      </c>
      <c r="V11563" t="s">
        <v>62612</v>
      </c>
      <c r="W11563" t="s">
        <v>45547</v>
      </c>
      <c r="X11563" t="s">
        <v>46580</v>
      </c>
    </row>
    <row r="11564" spans="1:24">
      <c r="A11564">
        <f>HYPERLINK("https://www.philgeps.gov.ph/GEPSNONPILOT/Tender/SplashBidNoticeAbstractUI.aspx?menuIndex=3&amp;refID=7049349&amp;Result=3","7049349")</f>
        <v>0</v>
      </c>
      <c r="B11564" t="s">
        <v>2720</v>
      </c>
      <c r="C11564" t="s">
        <v>14494</v>
      </c>
      <c r="D11564" t="s">
        <v>18785</v>
      </c>
      <c r="E11564" t="s">
        <v>28834</v>
      </c>
      <c r="F11564" t="s">
        <v>32664</v>
      </c>
      <c r="G11564" t="s">
        <v>32672</v>
      </c>
      <c r="H11564" t="s">
        <v>32683</v>
      </c>
      <c r="I11564" t="s">
        <v>10627</v>
      </c>
      <c r="J11564" t="s">
        <v>38920</v>
      </c>
      <c r="K11564" t="s">
        <v>42369</v>
      </c>
      <c r="M11564" t="s">
        <v>45547</v>
      </c>
      <c r="N11564" t="s">
        <v>46569</v>
      </c>
      <c r="O11564" t="s">
        <v>46570</v>
      </c>
      <c r="Q11564">
        <v>2</v>
      </c>
      <c r="R11564" t="s">
        <v>46579</v>
      </c>
      <c r="S11564" t="s">
        <v>46958</v>
      </c>
      <c r="T11564" t="s">
        <v>48415</v>
      </c>
      <c r="U11564" t="s">
        <v>58050</v>
      </c>
      <c r="V11564" t="s">
        <v>62612</v>
      </c>
      <c r="W11564" t="s">
        <v>45547</v>
      </c>
      <c r="X11564" t="s">
        <v>46580</v>
      </c>
    </row>
    <row r="11565" spans="1:24">
      <c r="A11565">
        <f>HYPERLINK("https://www.philgeps.gov.ph/GEPSNONPILOT/Tender/SplashBidNoticeAbstractUI.aspx?menuIndex=3&amp;refID=7049332&amp;Result=3","7049332")</f>
        <v>0</v>
      </c>
      <c r="B11565" t="s">
        <v>1370</v>
      </c>
      <c r="C11565" t="s">
        <v>14495</v>
      </c>
      <c r="D11565" t="s">
        <v>18831</v>
      </c>
      <c r="E11565" t="s">
        <v>19681</v>
      </c>
      <c r="F11565" t="s">
        <v>32664</v>
      </c>
      <c r="G11565" t="s">
        <v>32672</v>
      </c>
      <c r="H11565" t="s">
        <v>12635</v>
      </c>
      <c r="I11565" t="s">
        <v>5589</v>
      </c>
      <c r="J11565" t="s">
        <v>39642</v>
      </c>
      <c r="K11565" t="s">
        <v>42283</v>
      </c>
      <c r="M11565" t="s">
        <v>44025</v>
      </c>
      <c r="N11565" t="s">
        <v>46569</v>
      </c>
      <c r="O11565" t="s">
        <v>46570</v>
      </c>
      <c r="P11565">
        <v>0</v>
      </c>
      <c r="Q11565">
        <v>3</v>
      </c>
      <c r="R11565" t="s">
        <v>46579</v>
      </c>
      <c r="S11565" t="s">
        <v>46919</v>
      </c>
      <c r="T11565" t="s">
        <v>48284</v>
      </c>
      <c r="U11565" t="s">
        <v>58052</v>
      </c>
      <c r="W11565" t="s">
        <v>44025</v>
      </c>
      <c r="X11565" t="s">
        <v>46580</v>
      </c>
    </row>
    <row r="11566" spans="1:24">
      <c r="A11566">
        <f>HYPERLINK("https://www.philgeps.gov.ph/GEPSNONPILOT/Tender/SplashBidNoticeAbstractUI.aspx?menuIndex=3&amp;refID=7049343&amp;Result=3","7049343")</f>
        <v>0</v>
      </c>
      <c r="B11566" t="s">
        <v>393</v>
      </c>
      <c r="C11566" t="s">
        <v>14496</v>
      </c>
      <c r="D11566" t="s">
        <v>18853</v>
      </c>
      <c r="E11566" t="s">
        <v>28835</v>
      </c>
      <c r="F11566" t="s">
        <v>32664</v>
      </c>
      <c r="G11566" t="s">
        <v>32672</v>
      </c>
      <c r="H11566" t="s">
        <v>32683</v>
      </c>
      <c r="I11566" t="s">
        <v>10627</v>
      </c>
      <c r="J11566" t="s">
        <v>39643</v>
      </c>
      <c r="K11566" t="s">
        <v>42281</v>
      </c>
      <c r="L11566" t="s">
        <v>393</v>
      </c>
      <c r="M11566" t="s">
        <v>42963</v>
      </c>
      <c r="N11566" t="s">
        <v>46569</v>
      </c>
      <c r="O11566" t="s">
        <v>46570</v>
      </c>
      <c r="P11566">
        <v>0</v>
      </c>
      <c r="Q11566">
        <v>0</v>
      </c>
      <c r="R11566" t="s">
        <v>46579</v>
      </c>
      <c r="S11566" t="s">
        <v>46919</v>
      </c>
      <c r="T11566" t="s">
        <v>48284</v>
      </c>
      <c r="U11566" t="s">
        <v>58053</v>
      </c>
      <c r="V11566" t="s">
        <v>62876</v>
      </c>
      <c r="W11566" t="s">
        <v>42963</v>
      </c>
      <c r="X11566" t="s">
        <v>46580</v>
      </c>
    </row>
    <row r="11567" spans="1:24">
      <c r="A11567">
        <f>HYPERLINK("https://www.philgeps.gov.ph/GEPSNONPILOT/Tender/SplashBidNoticeAbstractUI.aspx?menuIndex=3&amp;refID=7049342&amp;Result=3","7049342")</f>
        <v>0</v>
      </c>
      <c r="B11567" t="s">
        <v>1042</v>
      </c>
      <c r="C11567" t="s">
        <v>14497</v>
      </c>
      <c r="D11567" t="s">
        <v>18853</v>
      </c>
      <c r="E11567" t="s">
        <v>28836</v>
      </c>
      <c r="F11567" t="s">
        <v>32664</v>
      </c>
      <c r="G11567" t="s">
        <v>32672</v>
      </c>
      <c r="H11567" t="s">
        <v>32683</v>
      </c>
      <c r="I11567" t="s">
        <v>10627</v>
      </c>
      <c r="J11567" t="s">
        <v>39644</v>
      </c>
      <c r="K11567" t="s">
        <v>42281</v>
      </c>
      <c r="M11567" t="s">
        <v>44771</v>
      </c>
      <c r="N11567" t="s">
        <v>46569</v>
      </c>
      <c r="O11567" t="s">
        <v>46570</v>
      </c>
      <c r="P11567">
        <v>0</v>
      </c>
      <c r="Q11567">
        <v>0</v>
      </c>
      <c r="R11567" t="s">
        <v>46579</v>
      </c>
      <c r="S11567" t="s">
        <v>46919</v>
      </c>
      <c r="T11567" t="s">
        <v>48316</v>
      </c>
      <c r="U11567" t="s">
        <v>58054</v>
      </c>
      <c r="V11567" t="s">
        <v>62871</v>
      </c>
      <c r="W11567" t="s">
        <v>44771</v>
      </c>
      <c r="X11567" t="s">
        <v>46580</v>
      </c>
    </row>
    <row r="11568" spans="1:24">
      <c r="A11568">
        <f>HYPERLINK("https://www.philgeps.gov.ph/GEPSNONPILOT/Tender/SplashBidNoticeAbstractUI.aspx?menuIndex=3&amp;refID=7049375&amp;Result=3","7049375")</f>
        <v>0</v>
      </c>
      <c r="B11568" t="s">
        <v>2123</v>
      </c>
      <c r="C11568" t="s">
        <v>14498</v>
      </c>
      <c r="D11568" t="s">
        <v>18842</v>
      </c>
      <c r="E11568" t="s">
        <v>26942</v>
      </c>
      <c r="F11568" t="s">
        <v>32664</v>
      </c>
      <c r="G11568" t="s">
        <v>32672</v>
      </c>
      <c r="H11568" t="s">
        <v>32683</v>
      </c>
      <c r="I11568" t="s">
        <v>10627</v>
      </c>
      <c r="J11568" t="s">
        <v>39645</v>
      </c>
      <c r="K11568" t="s">
        <v>42393</v>
      </c>
      <c r="M11568" t="s">
        <v>44878</v>
      </c>
      <c r="N11568" t="s">
        <v>46569</v>
      </c>
      <c r="O11568" t="s">
        <v>46570</v>
      </c>
      <c r="P11568">
        <v>0</v>
      </c>
      <c r="Q11568">
        <v>0</v>
      </c>
      <c r="R11568" t="s">
        <v>46579</v>
      </c>
      <c r="S11568" t="s">
        <v>46919</v>
      </c>
      <c r="T11568" t="s">
        <v>48238</v>
      </c>
      <c r="U11568" t="s">
        <v>58055</v>
      </c>
      <c r="W11568" t="s">
        <v>44878</v>
      </c>
      <c r="X11568" t="s">
        <v>46580</v>
      </c>
    </row>
    <row r="11569" spans="1:24">
      <c r="A11569">
        <f>HYPERLINK("https://www.philgeps.gov.ph/GEPSNONPILOT/Tender/SplashBidNoticeAbstractUI.aspx?menuIndex=3&amp;refID=7049325&amp;Result=3","7049325")</f>
        <v>0</v>
      </c>
      <c r="B11569" t="s">
        <v>299</v>
      </c>
      <c r="C11569" t="s">
        <v>14499</v>
      </c>
      <c r="E11569" t="s">
        <v>27139</v>
      </c>
      <c r="F11569" t="s">
        <v>32665</v>
      </c>
      <c r="G11569" t="s">
        <v>32674</v>
      </c>
      <c r="H11569" t="s">
        <v>12635</v>
      </c>
      <c r="I11569" t="s">
        <v>6628</v>
      </c>
      <c r="J11569" t="s">
        <v>39646</v>
      </c>
      <c r="K11569" t="s">
        <v>42283</v>
      </c>
      <c r="M11569" t="s">
        <v>42866</v>
      </c>
      <c r="N11569" t="s">
        <v>46569</v>
      </c>
      <c r="O11569" t="s">
        <v>46570</v>
      </c>
      <c r="P11569">
        <v>0</v>
      </c>
      <c r="Q11569">
        <v>0</v>
      </c>
      <c r="R11569" t="s">
        <v>46579</v>
      </c>
      <c r="S11569" t="s">
        <v>46919</v>
      </c>
      <c r="T11569" t="s">
        <v>48449</v>
      </c>
      <c r="U11569" t="s">
        <v>58056</v>
      </c>
      <c r="W11569" t="s">
        <v>42866</v>
      </c>
      <c r="X11569" t="s">
        <v>46580</v>
      </c>
    </row>
    <row r="11570" spans="1:24">
      <c r="A11570">
        <f>HYPERLINK("https://www.philgeps.gov.ph/GEPSNONPILOT/Tender/SplashBidNoticeAbstractUI.aspx?menuIndex=3&amp;refID=7049116&amp;Result=3","7049116")</f>
        <v>0</v>
      </c>
      <c r="B11570" t="s">
        <v>236</v>
      </c>
      <c r="C11570" t="s">
        <v>14500</v>
      </c>
      <c r="D11570" t="s">
        <v>18789</v>
      </c>
      <c r="E11570" t="s">
        <v>28837</v>
      </c>
      <c r="F11570" t="s">
        <v>32664</v>
      </c>
      <c r="G11570" t="s">
        <v>32672</v>
      </c>
      <c r="H11570" t="s">
        <v>32683</v>
      </c>
      <c r="I11570" t="s">
        <v>10627</v>
      </c>
      <c r="J11570" t="s">
        <v>34131</v>
      </c>
      <c r="K11570" t="s">
        <v>42327</v>
      </c>
      <c r="M11570" t="s">
        <v>42801</v>
      </c>
      <c r="N11570" t="s">
        <v>46569</v>
      </c>
      <c r="O11570" t="s">
        <v>46570</v>
      </c>
      <c r="Q11570">
        <v>0</v>
      </c>
      <c r="R11570" t="s">
        <v>46579</v>
      </c>
      <c r="S11570" t="s">
        <v>46959</v>
      </c>
      <c r="T11570" t="s">
        <v>48212</v>
      </c>
      <c r="U11570" t="s">
        <v>57993</v>
      </c>
      <c r="W11570" t="s">
        <v>42801</v>
      </c>
      <c r="X11570" t="s">
        <v>46580</v>
      </c>
    </row>
    <row r="11571" spans="1:24">
      <c r="A11571">
        <f>HYPERLINK("https://www.philgeps.gov.ph/GEPSNONPILOT/Tender/SplashBidNoticeAbstractUI.aspx?menuIndex=3&amp;refID=7049351&amp;Result=3","7049351")</f>
        <v>0</v>
      </c>
      <c r="B11571" t="s">
        <v>3072</v>
      </c>
      <c r="C11571" t="s">
        <v>14501</v>
      </c>
      <c r="D11571" t="s">
        <v>18784</v>
      </c>
      <c r="E11571" t="s">
        <v>20150</v>
      </c>
      <c r="F11571" t="s">
        <v>32664</v>
      </c>
      <c r="G11571" t="s">
        <v>32672</v>
      </c>
      <c r="H11571" t="s">
        <v>12635</v>
      </c>
      <c r="I11571" t="s">
        <v>4205</v>
      </c>
      <c r="J11571" t="s">
        <v>32853</v>
      </c>
      <c r="K11571" t="s">
        <v>42295</v>
      </c>
      <c r="M11571" t="s">
        <v>45952</v>
      </c>
      <c r="N11571" t="s">
        <v>46569</v>
      </c>
      <c r="O11571" t="s">
        <v>46570</v>
      </c>
      <c r="P11571">
        <v>0</v>
      </c>
      <c r="Q11571">
        <v>3</v>
      </c>
      <c r="R11571" t="s">
        <v>46579</v>
      </c>
      <c r="S11571" t="s">
        <v>46919</v>
      </c>
      <c r="T11571" t="s">
        <v>48290</v>
      </c>
      <c r="U11571" t="s">
        <v>58057</v>
      </c>
      <c r="W11571" t="s">
        <v>45952</v>
      </c>
      <c r="X11571" t="s">
        <v>46580</v>
      </c>
    </row>
    <row r="11572" spans="1:24">
      <c r="A11572">
        <f>HYPERLINK("https://www.philgeps.gov.ph/GEPSNONPILOT/Tender/SplashBidNoticeAbstractUI.aspx?menuIndex=3&amp;refID=7049114&amp;Result=3","7049114")</f>
        <v>0</v>
      </c>
      <c r="B11572" t="s">
        <v>3039</v>
      </c>
      <c r="C11572" t="s">
        <v>14502</v>
      </c>
      <c r="D11572" t="s">
        <v>18831</v>
      </c>
      <c r="E11572" t="s">
        <v>28838</v>
      </c>
      <c r="F11572" t="s">
        <v>32664</v>
      </c>
      <c r="G11572" t="s">
        <v>32672</v>
      </c>
      <c r="H11572" t="s">
        <v>32683</v>
      </c>
      <c r="I11572" t="s">
        <v>10627</v>
      </c>
      <c r="J11572" t="s">
        <v>34862</v>
      </c>
      <c r="K11572" t="s">
        <v>42321</v>
      </c>
      <c r="L11572" t="s">
        <v>3039</v>
      </c>
      <c r="M11572" t="s">
        <v>45912</v>
      </c>
      <c r="N11572" t="s">
        <v>46569</v>
      </c>
      <c r="O11572" t="s">
        <v>46570</v>
      </c>
      <c r="P11572">
        <v>0</v>
      </c>
      <c r="Q11572">
        <v>0</v>
      </c>
      <c r="R11572" t="s">
        <v>46579</v>
      </c>
      <c r="S11572" t="s">
        <v>46919</v>
      </c>
      <c r="T11572" t="s">
        <v>48468</v>
      </c>
      <c r="U11572" t="s">
        <v>58027</v>
      </c>
      <c r="W11572" t="s">
        <v>45912</v>
      </c>
      <c r="X11572" t="s">
        <v>46580</v>
      </c>
    </row>
    <row r="11573" spans="1:24">
      <c r="A11573">
        <f>HYPERLINK("https://www.philgeps.gov.ph/GEPSNONPILOT/Tender/SplashBidNoticeAbstractUI.aspx?menuIndex=3&amp;refID=7049340&amp;Result=3","7049340")</f>
        <v>0</v>
      </c>
      <c r="B11573" t="s">
        <v>2720</v>
      </c>
      <c r="C11573" t="s">
        <v>14503</v>
      </c>
      <c r="D11573" t="s">
        <v>18785</v>
      </c>
      <c r="E11573" t="s">
        <v>28839</v>
      </c>
      <c r="F11573" t="s">
        <v>32664</v>
      </c>
      <c r="G11573" t="s">
        <v>32672</v>
      </c>
      <c r="H11573" t="s">
        <v>32683</v>
      </c>
      <c r="I11573" t="s">
        <v>10627</v>
      </c>
      <c r="J11573" t="s">
        <v>34213</v>
      </c>
      <c r="K11573" t="s">
        <v>42369</v>
      </c>
      <c r="M11573" t="s">
        <v>45547</v>
      </c>
      <c r="N11573" t="s">
        <v>46569</v>
      </c>
      <c r="O11573" t="s">
        <v>46570</v>
      </c>
      <c r="Q11573">
        <v>1</v>
      </c>
      <c r="R11573" t="s">
        <v>46579</v>
      </c>
      <c r="S11573" t="s">
        <v>46960</v>
      </c>
      <c r="T11573" t="s">
        <v>48284</v>
      </c>
      <c r="U11573" t="s">
        <v>58050</v>
      </c>
      <c r="V11573" t="s">
        <v>62612</v>
      </c>
      <c r="W11573" t="s">
        <v>45547</v>
      </c>
      <c r="X11573" t="s">
        <v>46580</v>
      </c>
    </row>
    <row r="11574" spans="1:24">
      <c r="A11574">
        <f>HYPERLINK("https://www.philgeps.gov.ph/GEPSNONPILOT/Tender/SplashBidNoticeAbstractUI.aspx?menuIndex=3&amp;refID=7049327&amp;Result=3","7049327")</f>
        <v>0</v>
      </c>
      <c r="B11574" t="s">
        <v>2005</v>
      </c>
      <c r="C11574" t="s">
        <v>14504</v>
      </c>
      <c r="D11574" t="s">
        <v>18784</v>
      </c>
      <c r="E11574" t="s">
        <v>28840</v>
      </c>
      <c r="F11574" t="s">
        <v>32664</v>
      </c>
      <c r="G11574" t="s">
        <v>32672</v>
      </c>
      <c r="H11574" t="s">
        <v>12635</v>
      </c>
      <c r="I11574" t="s">
        <v>10370</v>
      </c>
      <c r="J11574" t="s">
        <v>32865</v>
      </c>
      <c r="K11574" t="s">
        <v>42283</v>
      </c>
      <c r="M11574" t="s">
        <v>45959</v>
      </c>
      <c r="N11574" t="s">
        <v>46569</v>
      </c>
      <c r="O11574" t="s">
        <v>46570</v>
      </c>
      <c r="Q11574">
        <v>16</v>
      </c>
      <c r="R11574" t="s">
        <v>46579</v>
      </c>
      <c r="S11574" t="s">
        <v>46878</v>
      </c>
      <c r="T11574" t="s">
        <v>48213</v>
      </c>
      <c r="U11574" t="s">
        <v>58058</v>
      </c>
      <c r="W11574" t="s">
        <v>45959</v>
      </c>
      <c r="X11574" t="s">
        <v>46580</v>
      </c>
    </row>
    <row r="11575" spans="1:24">
      <c r="A11575">
        <f>HYPERLINK("https://www.philgeps.gov.ph/GEPSNONPILOT/Tender/SplashBidNoticeAbstractUI.aspx?menuIndex=3&amp;refID=7049450&amp;Result=3","7049450")</f>
        <v>0</v>
      </c>
      <c r="B11575" t="s">
        <v>3050</v>
      </c>
      <c r="C11575" t="s">
        <v>14505</v>
      </c>
      <c r="D11575" t="s">
        <v>18784</v>
      </c>
      <c r="E11575" t="s">
        <v>28841</v>
      </c>
      <c r="F11575" t="s">
        <v>32664</v>
      </c>
      <c r="G11575" t="s">
        <v>32677</v>
      </c>
      <c r="H11575" t="s">
        <v>12635</v>
      </c>
      <c r="I11575" t="s">
        <v>32730</v>
      </c>
      <c r="J11575" t="s">
        <v>39647</v>
      </c>
      <c r="K11575" t="s">
        <v>42281</v>
      </c>
      <c r="M11575" t="s">
        <v>45960</v>
      </c>
      <c r="N11575" t="s">
        <v>46569</v>
      </c>
      <c r="O11575" t="s">
        <v>46570</v>
      </c>
      <c r="Q11575">
        <v>2</v>
      </c>
      <c r="R11575" t="s">
        <v>46579</v>
      </c>
      <c r="S11575" t="s">
        <v>46961</v>
      </c>
      <c r="T11575" t="s">
        <v>48383</v>
      </c>
      <c r="U11575" t="s">
        <v>58059</v>
      </c>
      <c r="W11575" t="s">
        <v>45960</v>
      </c>
      <c r="X11575" t="s">
        <v>46580</v>
      </c>
    </row>
    <row r="11576" spans="1:24">
      <c r="A11576">
        <f>HYPERLINK("https://www.philgeps.gov.ph/GEPSNONPILOT/Tender/SplashBidNoticeAbstractUI.aspx?menuIndex=3&amp;refID=7049131&amp;Result=3","7049131")</f>
        <v>0</v>
      </c>
      <c r="B11576" t="s">
        <v>3039</v>
      </c>
      <c r="C11576" t="s">
        <v>14506</v>
      </c>
      <c r="D11576" t="s">
        <v>18831</v>
      </c>
      <c r="E11576" t="s">
        <v>28842</v>
      </c>
      <c r="F11576" t="s">
        <v>32664</v>
      </c>
      <c r="G11576" t="s">
        <v>32672</v>
      </c>
      <c r="H11576" t="s">
        <v>32683</v>
      </c>
      <c r="I11576" t="s">
        <v>10627</v>
      </c>
      <c r="J11576" t="s">
        <v>32930</v>
      </c>
      <c r="K11576" t="s">
        <v>42321</v>
      </c>
      <c r="L11576" t="s">
        <v>3039</v>
      </c>
      <c r="M11576" t="s">
        <v>45912</v>
      </c>
      <c r="N11576" t="s">
        <v>46569</v>
      </c>
      <c r="O11576" t="s">
        <v>46570</v>
      </c>
      <c r="P11576">
        <v>0</v>
      </c>
      <c r="Q11576">
        <v>1</v>
      </c>
      <c r="R11576" t="s">
        <v>46579</v>
      </c>
      <c r="S11576" t="s">
        <v>46919</v>
      </c>
      <c r="T11576" t="s">
        <v>48468</v>
      </c>
      <c r="U11576" t="s">
        <v>58060</v>
      </c>
      <c r="W11576" t="s">
        <v>45912</v>
      </c>
      <c r="X11576" t="s">
        <v>46580</v>
      </c>
    </row>
    <row r="11577" spans="1:24">
      <c r="A11577">
        <f>HYPERLINK("https://www.philgeps.gov.ph/GEPSNONPILOT/Tender/SplashBidNoticeAbstractUI.aspx?menuIndex=3&amp;refID=7049329&amp;Result=3","7049329")</f>
        <v>0</v>
      </c>
      <c r="B11577" t="s">
        <v>393</v>
      </c>
      <c r="C11577" t="s">
        <v>14507</v>
      </c>
      <c r="D11577" t="s">
        <v>18853</v>
      </c>
      <c r="E11577" t="s">
        <v>28843</v>
      </c>
      <c r="F11577" t="s">
        <v>32664</v>
      </c>
      <c r="G11577" t="s">
        <v>32672</v>
      </c>
      <c r="H11577" t="s">
        <v>32683</v>
      </c>
      <c r="I11577" t="s">
        <v>10627</v>
      </c>
      <c r="J11577" t="s">
        <v>39648</v>
      </c>
      <c r="K11577" t="s">
        <v>42281</v>
      </c>
      <c r="L11577" t="s">
        <v>393</v>
      </c>
      <c r="M11577" t="s">
        <v>42963</v>
      </c>
      <c r="N11577" t="s">
        <v>46569</v>
      </c>
      <c r="O11577" t="s">
        <v>46570</v>
      </c>
      <c r="P11577">
        <v>0</v>
      </c>
      <c r="Q11577">
        <v>0</v>
      </c>
      <c r="R11577" t="s">
        <v>46579</v>
      </c>
      <c r="S11577" t="s">
        <v>46919</v>
      </c>
      <c r="T11577" t="s">
        <v>48284</v>
      </c>
      <c r="U11577" t="s">
        <v>58061</v>
      </c>
      <c r="V11577" t="s">
        <v>62877</v>
      </c>
      <c r="W11577" t="s">
        <v>42963</v>
      </c>
      <c r="X11577" t="s">
        <v>46580</v>
      </c>
    </row>
    <row r="11578" spans="1:24">
      <c r="A11578">
        <f>HYPERLINK("https://www.philgeps.gov.ph/GEPSNONPILOT/Tender/SplashBidNoticeAbstractUI.aspx?menuIndex=3&amp;refID=7049442&amp;Result=3","7049442")</f>
        <v>0</v>
      </c>
      <c r="B11578" t="s">
        <v>2720</v>
      </c>
      <c r="C11578" t="s">
        <v>14508</v>
      </c>
      <c r="D11578" t="s">
        <v>18785</v>
      </c>
      <c r="E11578" t="s">
        <v>28844</v>
      </c>
      <c r="F11578" t="s">
        <v>32664</v>
      </c>
      <c r="G11578" t="s">
        <v>32672</v>
      </c>
      <c r="H11578" t="s">
        <v>32683</v>
      </c>
      <c r="I11578" t="s">
        <v>10627</v>
      </c>
      <c r="J11578" t="s">
        <v>39649</v>
      </c>
      <c r="K11578" t="s">
        <v>42365</v>
      </c>
      <c r="M11578" t="s">
        <v>45547</v>
      </c>
      <c r="N11578" t="s">
        <v>46569</v>
      </c>
      <c r="O11578" t="s">
        <v>46570</v>
      </c>
      <c r="Q11578">
        <v>3</v>
      </c>
      <c r="R11578" t="s">
        <v>46579</v>
      </c>
      <c r="S11578" t="s">
        <v>46962</v>
      </c>
      <c r="T11578" t="s">
        <v>48284</v>
      </c>
      <c r="U11578" t="s">
        <v>58050</v>
      </c>
      <c r="V11578" t="s">
        <v>62612</v>
      </c>
      <c r="W11578" t="s">
        <v>45547</v>
      </c>
      <c r="X11578" t="s">
        <v>46580</v>
      </c>
    </row>
    <row r="11579" spans="1:24">
      <c r="A11579">
        <f>HYPERLINK("https://www.philgeps.gov.ph/GEPSNONPILOT/Tender/SplashBidNoticeAbstractUI.aspx?menuIndex=3&amp;refID=7049443&amp;Result=3","7049443")</f>
        <v>0</v>
      </c>
      <c r="B11579" t="s">
        <v>3078</v>
      </c>
      <c r="C11579" t="s">
        <v>14509</v>
      </c>
      <c r="D11579" t="s">
        <v>18838</v>
      </c>
      <c r="E11579" t="s">
        <v>28845</v>
      </c>
      <c r="F11579" t="s">
        <v>32664</v>
      </c>
      <c r="G11579" t="s">
        <v>32672</v>
      </c>
      <c r="H11579" t="s">
        <v>32683</v>
      </c>
      <c r="I11579" t="s">
        <v>10627</v>
      </c>
      <c r="J11579" t="s">
        <v>39650</v>
      </c>
      <c r="K11579" t="s">
        <v>42311</v>
      </c>
      <c r="M11579" t="s">
        <v>45961</v>
      </c>
      <c r="N11579" t="s">
        <v>46569</v>
      </c>
      <c r="O11579" t="s">
        <v>46570</v>
      </c>
      <c r="P11579">
        <v>0</v>
      </c>
      <c r="Q11579">
        <v>3</v>
      </c>
      <c r="R11579" t="s">
        <v>46579</v>
      </c>
      <c r="S11579" t="s">
        <v>46919</v>
      </c>
      <c r="T11579" t="s">
        <v>48303</v>
      </c>
      <c r="U11579" t="s">
        <v>58062</v>
      </c>
      <c r="W11579" t="s">
        <v>45961</v>
      </c>
      <c r="X11579" t="s">
        <v>46580</v>
      </c>
    </row>
    <row r="11580" spans="1:24">
      <c r="A11580">
        <f>HYPERLINK("https://www.philgeps.gov.ph/GEPSNONPILOT/Tender/SplashBidNoticeAbstractUI.aspx?menuIndex=3&amp;refID=7049445&amp;Result=3","7049445")</f>
        <v>0</v>
      </c>
      <c r="B11580" t="s">
        <v>2969</v>
      </c>
      <c r="C11580" t="s">
        <v>14510</v>
      </c>
      <c r="D11580" t="s">
        <v>18837</v>
      </c>
      <c r="E11580" t="s">
        <v>21068</v>
      </c>
      <c r="F11580" t="s">
        <v>32664</v>
      </c>
      <c r="G11580" t="s">
        <v>32672</v>
      </c>
      <c r="H11580" t="s">
        <v>12635</v>
      </c>
      <c r="I11580" t="s">
        <v>5589</v>
      </c>
      <c r="J11580" t="s">
        <v>39651</v>
      </c>
      <c r="K11580" t="s">
        <v>42284</v>
      </c>
      <c r="M11580" t="s">
        <v>45823</v>
      </c>
      <c r="N11580" t="s">
        <v>46569</v>
      </c>
      <c r="O11580" t="s">
        <v>46570</v>
      </c>
      <c r="P11580">
        <v>0</v>
      </c>
      <c r="Q11580">
        <v>3</v>
      </c>
      <c r="R11580" t="s">
        <v>46579</v>
      </c>
      <c r="S11580" t="s">
        <v>46919</v>
      </c>
      <c r="T11580" t="s">
        <v>48309</v>
      </c>
      <c r="U11580" t="s">
        <v>58063</v>
      </c>
      <c r="V11580" t="s">
        <v>62878</v>
      </c>
      <c r="W11580" t="s">
        <v>45823</v>
      </c>
      <c r="X11580" t="s">
        <v>46580</v>
      </c>
    </row>
    <row r="11581" spans="1:24">
      <c r="A11581">
        <f>HYPERLINK("https://www.philgeps.gov.ph/GEPSNONPILOT/Tender/SplashBidNoticeAbstractUI.aspx?menuIndex=3&amp;refID=7049433&amp;Result=3","7049433")</f>
        <v>0</v>
      </c>
      <c r="B11581" t="s">
        <v>82</v>
      </c>
      <c r="C11581" t="s">
        <v>14511</v>
      </c>
      <c r="D11581" t="s">
        <v>18804</v>
      </c>
      <c r="E11581" t="s">
        <v>28846</v>
      </c>
      <c r="F11581" t="s">
        <v>32664</v>
      </c>
      <c r="G11581" t="s">
        <v>32672</v>
      </c>
      <c r="H11581" t="s">
        <v>12635</v>
      </c>
      <c r="I11581" t="s">
        <v>10370</v>
      </c>
      <c r="J11581" t="s">
        <v>39652</v>
      </c>
      <c r="K11581" t="s">
        <v>42289</v>
      </c>
      <c r="M11581" t="s">
        <v>43708</v>
      </c>
      <c r="N11581" t="s">
        <v>46569</v>
      </c>
      <c r="O11581" t="s">
        <v>46570</v>
      </c>
      <c r="P11581">
        <v>0</v>
      </c>
      <c r="Q11581">
        <v>5</v>
      </c>
      <c r="R11581" t="s">
        <v>46579</v>
      </c>
      <c r="S11581" t="s">
        <v>46919</v>
      </c>
      <c r="T11581" t="s">
        <v>48389</v>
      </c>
      <c r="U11581" t="s">
        <v>58064</v>
      </c>
      <c r="V11581" t="s">
        <v>62879</v>
      </c>
      <c r="W11581" t="s">
        <v>43708</v>
      </c>
      <c r="X11581" t="s">
        <v>46580</v>
      </c>
    </row>
    <row r="11582" spans="1:24">
      <c r="A11582">
        <f>HYPERLINK("https://www.philgeps.gov.ph/GEPSNONPILOT/Tender/SplashBidNoticeAbstractUI.aspx?menuIndex=3&amp;refID=7049334&amp;Result=3","7049334")</f>
        <v>0</v>
      </c>
      <c r="B11582" t="s">
        <v>1943</v>
      </c>
      <c r="C11582" t="s">
        <v>14512</v>
      </c>
      <c r="D11582" t="s">
        <v>18842</v>
      </c>
      <c r="E11582" t="s">
        <v>20429</v>
      </c>
      <c r="F11582" t="s">
        <v>32664</v>
      </c>
      <c r="G11582" t="s">
        <v>32672</v>
      </c>
      <c r="H11582" t="s">
        <v>12635</v>
      </c>
      <c r="I11582" t="s">
        <v>32697</v>
      </c>
      <c r="J11582" t="s">
        <v>33015</v>
      </c>
      <c r="K11582" t="s">
        <v>42289</v>
      </c>
      <c r="M11582" t="s">
        <v>44668</v>
      </c>
      <c r="N11582" t="s">
        <v>46569</v>
      </c>
      <c r="O11582" t="s">
        <v>46570</v>
      </c>
      <c r="P11582">
        <v>0</v>
      </c>
      <c r="Q11582">
        <v>0</v>
      </c>
      <c r="R11582" t="s">
        <v>46579</v>
      </c>
      <c r="S11582" t="s">
        <v>46919</v>
      </c>
      <c r="T11582" t="s">
        <v>48689</v>
      </c>
      <c r="U11582" t="s">
        <v>57766</v>
      </c>
      <c r="W11582" t="s">
        <v>44668</v>
      </c>
      <c r="X11582" t="s">
        <v>46580</v>
      </c>
    </row>
    <row r="11583" spans="1:24">
      <c r="A11583">
        <f>HYPERLINK("https://www.philgeps.gov.ph/GEPSNONPILOT/Tender/SplashBidNoticeAbstractUI.aspx?menuIndex=3&amp;refID=7049425&amp;Result=3","7049425")</f>
        <v>0</v>
      </c>
      <c r="B11583" t="s">
        <v>2720</v>
      </c>
      <c r="C11583" t="s">
        <v>14513</v>
      </c>
      <c r="D11583" t="s">
        <v>18785</v>
      </c>
      <c r="E11583" t="s">
        <v>28847</v>
      </c>
      <c r="F11583" t="s">
        <v>32664</v>
      </c>
      <c r="G11583" t="s">
        <v>32672</v>
      </c>
      <c r="H11583" t="s">
        <v>32683</v>
      </c>
      <c r="I11583" t="s">
        <v>10627</v>
      </c>
      <c r="J11583" t="s">
        <v>39649</v>
      </c>
      <c r="K11583" t="s">
        <v>42397</v>
      </c>
      <c r="M11583" t="s">
        <v>45547</v>
      </c>
      <c r="N11583" t="s">
        <v>46569</v>
      </c>
      <c r="O11583" t="s">
        <v>46570</v>
      </c>
      <c r="Q11583">
        <v>5</v>
      </c>
      <c r="R11583" t="s">
        <v>46579</v>
      </c>
      <c r="S11583" t="s">
        <v>46963</v>
      </c>
      <c r="T11583" t="s">
        <v>48415</v>
      </c>
      <c r="U11583" t="s">
        <v>58050</v>
      </c>
      <c r="V11583" t="s">
        <v>62612</v>
      </c>
      <c r="W11583" t="s">
        <v>45547</v>
      </c>
      <c r="X11583" t="s">
        <v>46580</v>
      </c>
    </row>
    <row r="11584" spans="1:24">
      <c r="A11584">
        <f>HYPERLINK("https://www.philgeps.gov.ph/GEPSNONPILOT/Tender/SplashBidNoticeAbstractUI.aspx?menuIndex=3&amp;refID=7049417&amp;Result=3","7049417")</f>
        <v>0</v>
      </c>
      <c r="B11584" t="s">
        <v>3072</v>
      </c>
      <c r="C11584" t="s">
        <v>14514</v>
      </c>
      <c r="D11584" t="s">
        <v>18784</v>
      </c>
      <c r="E11584" t="s">
        <v>21126</v>
      </c>
      <c r="F11584" t="s">
        <v>32664</v>
      </c>
      <c r="G11584" t="s">
        <v>32672</v>
      </c>
      <c r="H11584" t="s">
        <v>12635</v>
      </c>
      <c r="I11584" t="s">
        <v>10374</v>
      </c>
      <c r="J11584" t="s">
        <v>32962</v>
      </c>
      <c r="K11584" t="s">
        <v>42295</v>
      </c>
      <c r="M11584" t="s">
        <v>45952</v>
      </c>
      <c r="N11584" t="s">
        <v>46569</v>
      </c>
      <c r="O11584" t="s">
        <v>46570</v>
      </c>
      <c r="P11584">
        <v>0</v>
      </c>
      <c r="Q11584">
        <v>6</v>
      </c>
      <c r="R11584" t="s">
        <v>46579</v>
      </c>
      <c r="S11584" t="s">
        <v>46919</v>
      </c>
      <c r="T11584" t="s">
        <v>48290</v>
      </c>
      <c r="U11584" t="s">
        <v>58057</v>
      </c>
      <c r="W11584" t="s">
        <v>45952</v>
      </c>
      <c r="X11584" t="s">
        <v>46580</v>
      </c>
    </row>
    <row r="11585" spans="1:24">
      <c r="A11585">
        <f>HYPERLINK("https://www.philgeps.gov.ph/GEPSNONPILOT/Tender/SplashBidNoticeAbstractUI.aspx?menuIndex=3&amp;refID=7049415&amp;Result=3","7049415")</f>
        <v>0</v>
      </c>
      <c r="B11585" t="s">
        <v>2720</v>
      </c>
      <c r="C11585" t="s">
        <v>14515</v>
      </c>
      <c r="D11585" t="s">
        <v>18785</v>
      </c>
      <c r="E11585" t="s">
        <v>28848</v>
      </c>
      <c r="F11585" t="s">
        <v>32664</v>
      </c>
      <c r="G11585" t="s">
        <v>32672</v>
      </c>
      <c r="H11585" t="s">
        <v>32683</v>
      </c>
      <c r="I11585" t="s">
        <v>10627</v>
      </c>
      <c r="J11585" t="s">
        <v>39653</v>
      </c>
      <c r="K11585" t="s">
        <v>42365</v>
      </c>
      <c r="M11585" t="s">
        <v>45547</v>
      </c>
      <c r="N11585" t="s">
        <v>46569</v>
      </c>
      <c r="O11585" t="s">
        <v>46570</v>
      </c>
      <c r="Q11585">
        <v>9</v>
      </c>
      <c r="R11585" t="s">
        <v>46579</v>
      </c>
      <c r="S11585" t="s">
        <v>46964</v>
      </c>
      <c r="T11585" t="s">
        <v>48284</v>
      </c>
      <c r="U11585" t="s">
        <v>58050</v>
      </c>
      <c r="V11585" t="s">
        <v>62612</v>
      </c>
      <c r="W11585" t="s">
        <v>45547</v>
      </c>
      <c r="X11585" t="s">
        <v>46580</v>
      </c>
    </row>
    <row r="11586" spans="1:24">
      <c r="A11586">
        <f>HYPERLINK("https://www.philgeps.gov.ph/GEPSNONPILOT/Tender/SplashBidNoticeAbstractUI.aspx?menuIndex=3&amp;refID=7049115&amp;Result=3","7049115")</f>
        <v>0</v>
      </c>
      <c r="B11586" t="s">
        <v>1191</v>
      </c>
      <c r="C11586" t="s">
        <v>14516</v>
      </c>
      <c r="D11586" t="s">
        <v>18831</v>
      </c>
      <c r="E11586" t="s">
        <v>28849</v>
      </c>
      <c r="F11586" t="s">
        <v>32664</v>
      </c>
      <c r="G11586" t="s">
        <v>32672</v>
      </c>
      <c r="H11586" t="s">
        <v>12635</v>
      </c>
      <c r="I11586" t="s">
        <v>4997</v>
      </c>
      <c r="J11586" t="s">
        <v>39654</v>
      </c>
      <c r="K11586" t="s">
        <v>42289</v>
      </c>
      <c r="M11586" t="s">
        <v>43827</v>
      </c>
      <c r="N11586" t="s">
        <v>46569</v>
      </c>
      <c r="O11586" t="s">
        <v>46570</v>
      </c>
      <c r="P11586">
        <v>0</v>
      </c>
      <c r="Q11586">
        <v>1</v>
      </c>
      <c r="R11586" t="s">
        <v>46579</v>
      </c>
      <c r="S11586" t="s">
        <v>46919</v>
      </c>
      <c r="T11586" t="s">
        <v>48236</v>
      </c>
      <c r="U11586" t="s">
        <v>58065</v>
      </c>
      <c r="W11586" t="s">
        <v>43827</v>
      </c>
      <c r="X11586" t="s">
        <v>46580</v>
      </c>
    </row>
    <row r="11587" spans="1:24">
      <c r="A11587">
        <f>HYPERLINK("https://www.philgeps.gov.ph/GEPSNONPILOT/Tender/SplashBidNoticeAbstractUI.aspx?menuIndex=3&amp;refID=7049411&amp;Result=3","7049411")</f>
        <v>0</v>
      </c>
      <c r="B11587" t="s">
        <v>393</v>
      </c>
      <c r="C11587" t="s">
        <v>14517</v>
      </c>
      <c r="D11587" t="s">
        <v>18853</v>
      </c>
      <c r="E11587" t="s">
        <v>28850</v>
      </c>
      <c r="F11587" t="s">
        <v>32664</v>
      </c>
      <c r="G11587" t="s">
        <v>32672</v>
      </c>
      <c r="H11587" t="s">
        <v>32683</v>
      </c>
      <c r="I11587" t="s">
        <v>10627</v>
      </c>
      <c r="J11587" t="s">
        <v>39655</v>
      </c>
      <c r="K11587" t="s">
        <v>42303</v>
      </c>
      <c r="L11587" t="s">
        <v>393</v>
      </c>
      <c r="M11587" t="s">
        <v>42963</v>
      </c>
      <c r="N11587" t="s">
        <v>46569</v>
      </c>
      <c r="O11587" t="s">
        <v>46570</v>
      </c>
      <c r="P11587">
        <v>0</v>
      </c>
      <c r="Q11587">
        <v>0</v>
      </c>
      <c r="R11587" t="s">
        <v>46579</v>
      </c>
      <c r="S11587" t="s">
        <v>46919</v>
      </c>
      <c r="T11587" t="s">
        <v>48284</v>
      </c>
      <c r="U11587" t="s">
        <v>58066</v>
      </c>
      <c r="V11587" t="s">
        <v>62880</v>
      </c>
      <c r="W11587" t="s">
        <v>42963</v>
      </c>
      <c r="X11587" t="s">
        <v>46580</v>
      </c>
    </row>
    <row r="11588" spans="1:24">
      <c r="A11588">
        <f>HYPERLINK("https://www.philgeps.gov.ph/GEPSNONPILOT/Tender/SplashBidNoticeAbstractUI.aspx?menuIndex=3&amp;refID=7049524&amp;Result=3","7049524")</f>
        <v>0</v>
      </c>
      <c r="B11588" t="s">
        <v>1579</v>
      </c>
      <c r="C11588" t="s">
        <v>14518</v>
      </c>
      <c r="D11588" t="s">
        <v>18831</v>
      </c>
      <c r="E11588" t="s">
        <v>28851</v>
      </c>
      <c r="F11588" t="s">
        <v>32664</v>
      </c>
      <c r="G11588" t="s">
        <v>32671</v>
      </c>
      <c r="H11588" t="s">
        <v>12635</v>
      </c>
      <c r="I11588" t="s">
        <v>32752</v>
      </c>
      <c r="J11588" t="s">
        <v>37792</v>
      </c>
      <c r="K11588" t="s">
        <v>42295</v>
      </c>
      <c r="M11588" t="s">
        <v>44255</v>
      </c>
      <c r="N11588" t="s">
        <v>46569</v>
      </c>
      <c r="O11588" t="s">
        <v>46570</v>
      </c>
      <c r="P11588">
        <v>0</v>
      </c>
      <c r="Q11588">
        <v>4</v>
      </c>
      <c r="R11588" t="s">
        <v>46579</v>
      </c>
      <c r="S11588" t="s">
        <v>46919</v>
      </c>
      <c r="T11588" t="s">
        <v>48420</v>
      </c>
      <c r="U11588" t="s">
        <v>58067</v>
      </c>
      <c r="W11588" t="s">
        <v>44255</v>
      </c>
      <c r="X11588" t="s">
        <v>46580</v>
      </c>
    </row>
    <row r="11589" spans="1:24">
      <c r="A11589">
        <f>HYPERLINK("https://www.philgeps.gov.ph/GEPSNONPILOT/Tender/SplashBidNoticeAbstractUI.aspx?menuIndex=3&amp;refID=7049431&amp;Result=3","7049431")</f>
        <v>0</v>
      </c>
      <c r="B11589" t="s">
        <v>2720</v>
      </c>
      <c r="C11589" t="s">
        <v>14519</v>
      </c>
      <c r="D11589" t="s">
        <v>18785</v>
      </c>
      <c r="E11589" t="s">
        <v>28852</v>
      </c>
      <c r="F11589" t="s">
        <v>32664</v>
      </c>
      <c r="G11589" t="s">
        <v>32672</v>
      </c>
      <c r="H11589" t="s">
        <v>32683</v>
      </c>
      <c r="I11589" t="s">
        <v>10627</v>
      </c>
      <c r="J11589" t="s">
        <v>39649</v>
      </c>
      <c r="K11589" t="s">
        <v>42397</v>
      </c>
      <c r="M11589" t="s">
        <v>45547</v>
      </c>
      <c r="N11589" t="s">
        <v>46569</v>
      </c>
      <c r="O11589" t="s">
        <v>46570</v>
      </c>
      <c r="Q11589">
        <v>4</v>
      </c>
      <c r="R11589" t="s">
        <v>46579</v>
      </c>
      <c r="S11589" t="s">
        <v>46965</v>
      </c>
      <c r="T11589" t="s">
        <v>48284</v>
      </c>
      <c r="U11589" t="s">
        <v>58050</v>
      </c>
      <c r="V11589" t="s">
        <v>62612</v>
      </c>
      <c r="W11589" t="s">
        <v>45547</v>
      </c>
      <c r="X11589" t="s">
        <v>46580</v>
      </c>
    </row>
    <row r="11590" spans="1:24">
      <c r="A11590">
        <f>HYPERLINK("https://www.philgeps.gov.ph/GEPSNONPILOT/Tender/SplashBidNoticeAbstractUI.aspx?menuIndex=3&amp;refID=7049549&amp;Result=3","7049549")</f>
        <v>0</v>
      </c>
      <c r="B11590" t="s">
        <v>1656</v>
      </c>
      <c r="C11590" t="s">
        <v>14520</v>
      </c>
      <c r="D11590" t="s">
        <v>18805</v>
      </c>
      <c r="E11590" t="s">
        <v>20330</v>
      </c>
      <c r="F11590" t="s">
        <v>32664</v>
      </c>
      <c r="G11590" t="s">
        <v>32671</v>
      </c>
      <c r="H11590" t="s">
        <v>12635</v>
      </c>
      <c r="I11590" t="s">
        <v>6168</v>
      </c>
      <c r="J11590" t="s">
        <v>33215</v>
      </c>
      <c r="K11590" t="s">
        <v>42306</v>
      </c>
      <c r="M11590" t="s">
        <v>44341</v>
      </c>
      <c r="N11590" t="s">
        <v>46569</v>
      </c>
      <c r="O11590" t="s">
        <v>46570</v>
      </c>
      <c r="P11590">
        <v>0</v>
      </c>
      <c r="Q11590">
        <v>0</v>
      </c>
      <c r="R11590" t="s">
        <v>46579</v>
      </c>
      <c r="S11590" t="s">
        <v>46919</v>
      </c>
      <c r="T11590" t="s">
        <v>48350</v>
      </c>
      <c r="U11590" t="s">
        <v>58068</v>
      </c>
      <c r="W11590" t="s">
        <v>44341</v>
      </c>
      <c r="X11590" t="s">
        <v>46580</v>
      </c>
    </row>
    <row r="11591" spans="1:24">
      <c r="A11591">
        <f>HYPERLINK("https://www.philgeps.gov.ph/GEPSNONPILOT/Tender/SplashBidNoticeAbstractUI.aspx?menuIndex=3&amp;refID=7049418&amp;Result=3","7049418")</f>
        <v>0</v>
      </c>
      <c r="B11591" t="s">
        <v>3065</v>
      </c>
      <c r="C11591" t="s">
        <v>14521</v>
      </c>
      <c r="D11591" t="s">
        <v>18831</v>
      </c>
      <c r="E11591" t="s">
        <v>28853</v>
      </c>
      <c r="F11591" t="s">
        <v>32664</v>
      </c>
      <c r="G11591" t="s">
        <v>32672</v>
      </c>
      <c r="H11591" t="s">
        <v>12635</v>
      </c>
      <c r="I11591" t="s">
        <v>32738</v>
      </c>
      <c r="J11591" t="s">
        <v>33092</v>
      </c>
      <c r="K11591" t="s">
        <v>42311</v>
      </c>
      <c r="M11591" t="s">
        <v>45948</v>
      </c>
      <c r="N11591" t="s">
        <v>46569</v>
      </c>
      <c r="O11591" t="s">
        <v>46570</v>
      </c>
      <c r="P11591">
        <v>0</v>
      </c>
      <c r="Q11591">
        <v>5</v>
      </c>
      <c r="R11591" t="s">
        <v>46579</v>
      </c>
      <c r="S11591" t="s">
        <v>46919</v>
      </c>
      <c r="T11591" t="s">
        <v>48487</v>
      </c>
      <c r="U11591" t="s">
        <v>58069</v>
      </c>
      <c r="W11591" t="s">
        <v>45948</v>
      </c>
      <c r="X11591" t="s">
        <v>46580</v>
      </c>
    </row>
    <row r="11592" spans="1:24">
      <c r="A11592">
        <f>HYPERLINK("https://www.philgeps.gov.ph/GEPSNONPILOT/Tender/SplashBidNoticeAbstractUI.aspx?menuIndex=3&amp;refID=7049515&amp;Result=3","7049515")</f>
        <v>0</v>
      </c>
      <c r="B11592" t="s">
        <v>2275</v>
      </c>
      <c r="C11592" t="s">
        <v>14522</v>
      </c>
      <c r="E11592" t="s">
        <v>28854</v>
      </c>
      <c r="F11592" t="s">
        <v>32664</v>
      </c>
      <c r="G11592" t="s">
        <v>32672</v>
      </c>
      <c r="H11592" t="s">
        <v>12635</v>
      </c>
      <c r="I11592" t="s">
        <v>10370</v>
      </c>
      <c r="J11592" t="s">
        <v>34806</v>
      </c>
      <c r="K11592" t="s">
        <v>42298</v>
      </c>
      <c r="M11592" t="s">
        <v>45962</v>
      </c>
      <c r="N11592" t="s">
        <v>46569</v>
      </c>
      <c r="O11592" t="s">
        <v>46570</v>
      </c>
      <c r="P11592">
        <v>0</v>
      </c>
      <c r="Q11592">
        <v>10</v>
      </c>
      <c r="R11592" t="s">
        <v>46579</v>
      </c>
      <c r="S11592" t="s">
        <v>46919</v>
      </c>
      <c r="T11592" t="s">
        <v>48453</v>
      </c>
      <c r="U11592" t="s">
        <v>58070</v>
      </c>
      <c r="W11592" t="s">
        <v>45962</v>
      </c>
      <c r="X11592" t="s">
        <v>46580</v>
      </c>
    </row>
    <row r="11593" spans="1:24">
      <c r="A11593">
        <f>HYPERLINK("https://www.philgeps.gov.ph/GEPSNONPILOT/Tender/SplashBidNoticeAbstractUI.aspx?menuIndex=3&amp;refID=7049419&amp;Result=3","7049419")</f>
        <v>0</v>
      </c>
      <c r="B11593" t="s">
        <v>1243</v>
      </c>
      <c r="C11593" t="s">
        <v>14523</v>
      </c>
      <c r="D11593" t="s">
        <v>18785</v>
      </c>
      <c r="E11593" t="s">
        <v>28855</v>
      </c>
      <c r="F11593" t="s">
        <v>32664</v>
      </c>
      <c r="G11593" t="s">
        <v>32674</v>
      </c>
      <c r="H11593" t="s">
        <v>12635</v>
      </c>
      <c r="I11593" t="s">
        <v>32685</v>
      </c>
      <c r="J11593" t="s">
        <v>39656</v>
      </c>
      <c r="K11593" t="s">
        <v>42284</v>
      </c>
      <c r="M11593" t="s">
        <v>43885</v>
      </c>
      <c r="N11593" t="s">
        <v>46569</v>
      </c>
      <c r="O11593" t="s">
        <v>46570</v>
      </c>
      <c r="P11593">
        <v>0</v>
      </c>
      <c r="Q11593">
        <v>0</v>
      </c>
      <c r="R11593" t="s">
        <v>46579</v>
      </c>
      <c r="S11593" t="s">
        <v>46919</v>
      </c>
      <c r="T11593" t="s">
        <v>48254</v>
      </c>
      <c r="U11593" t="s">
        <v>58071</v>
      </c>
      <c r="W11593" t="s">
        <v>63507</v>
      </c>
      <c r="X11593" t="s">
        <v>46580</v>
      </c>
    </row>
    <row r="11594" spans="1:24">
      <c r="A11594">
        <f>HYPERLINK("https://www.philgeps.gov.ph/GEPSNONPILOT/Tender/SplashBidNoticeAbstractUI.aspx?menuIndex=3&amp;refID=7049536&amp;Result=3","7049536")</f>
        <v>0</v>
      </c>
      <c r="B11594" t="s">
        <v>871</v>
      </c>
      <c r="C11594" t="s">
        <v>14524</v>
      </c>
      <c r="D11594" t="s">
        <v>18784</v>
      </c>
      <c r="E11594" t="s">
        <v>28856</v>
      </c>
      <c r="F11594" t="s">
        <v>32664</v>
      </c>
      <c r="G11594" t="s">
        <v>32672</v>
      </c>
      <c r="H11594" t="s">
        <v>12635</v>
      </c>
      <c r="I11594" t="s">
        <v>32730</v>
      </c>
      <c r="J11594" t="s">
        <v>39657</v>
      </c>
      <c r="K11594" t="s">
        <v>42289</v>
      </c>
      <c r="M11594" t="s">
        <v>43471</v>
      </c>
      <c r="N11594" t="s">
        <v>46569</v>
      </c>
      <c r="O11594" t="s">
        <v>46570</v>
      </c>
      <c r="P11594">
        <v>0</v>
      </c>
      <c r="Q11594">
        <v>4</v>
      </c>
      <c r="R11594" t="s">
        <v>46579</v>
      </c>
      <c r="S11594" t="s">
        <v>46919</v>
      </c>
      <c r="T11594" t="s">
        <v>48394</v>
      </c>
      <c r="U11594" t="s">
        <v>50482</v>
      </c>
      <c r="V11594" t="s">
        <v>62881</v>
      </c>
      <c r="W11594" t="s">
        <v>43471</v>
      </c>
      <c r="X11594" t="s">
        <v>46580</v>
      </c>
    </row>
    <row r="11595" spans="1:24">
      <c r="A11595">
        <f>HYPERLINK("https://www.philgeps.gov.ph/GEPSNONPILOT/Tender/SplashBidNoticeAbstractUI.aspx?menuIndex=3&amp;refID=7049438&amp;Result=3","7049438")</f>
        <v>0</v>
      </c>
      <c r="B11595" t="s">
        <v>2720</v>
      </c>
      <c r="C11595" t="s">
        <v>14525</v>
      </c>
      <c r="D11595" t="s">
        <v>18785</v>
      </c>
      <c r="E11595" t="s">
        <v>28857</v>
      </c>
      <c r="F11595" t="s">
        <v>32664</v>
      </c>
      <c r="G11595" t="s">
        <v>32672</v>
      </c>
      <c r="H11595" t="s">
        <v>32683</v>
      </c>
      <c r="I11595" t="s">
        <v>10627</v>
      </c>
      <c r="J11595" t="s">
        <v>39649</v>
      </c>
      <c r="K11595" t="s">
        <v>42365</v>
      </c>
      <c r="M11595" t="s">
        <v>45547</v>
      </c>
      <c r="N11595" t="s">
        <v>46569</v>
      </c>
      <c r="O11595" t="s">
        <v>46570</v>
      </c>
      <c r="Q11595">
        <v>4</v>
      </c>
      <c r="R11595" t="s">
        <v>46579</v>
      </c>
      <c r="S11595" t="s">
        <v>46966</v>
      </c>
      <c r="T11595" t="s">
        <v>48284</v>
      </c>
      <c r="U11595" t="s">
        <v>58050</v>
      </c>
      <c r="V11595" t="s">
        <v>62612</v>
      </c>
      <c r="W11595" t="s">
        <v>45547</v>
      </c>
      <c r="X11595" t="s">
        <v>46580</v>
      </c>
    </row>
    <row r="11596" spans="1:24">
      <c r="A11596">
        <f>HYPERLINK("https://www.philgeps.gov.ph/GEPSNONPILOT/Tender/SplashBidNoticeAbstractUI.aspx?menuIndex=3&amp;refID=7049517&amp;Result=3","7049517")</f>
        <v>0</v>
      </c>
      <c r="B11596" t="s">
        <v>871</v>
      </c>
      <c r="C11596" t="s">
        <v>14526</v>
      </c>
      <c r="D11596" t="s">
        <v>18784</v>
      </c>
      <c r="E11596" t="s">
        <v>28858</v>
      </c>
      <c r="F11596" t="s">
        <v>32664</v>
      </c>
      <c r="G11596" t="s">
        <v>32672</v>
      </c>
      <c r="H11596" t="s">
        <v>12635</v>
      </c>
      <c r="I11596" t="s">
        <v>10370</v>
      </c>
      <c r="J11596" t="s">
        <v>39658</v>
      </c>
      <c r="K11596" t="s">
        <v>42281</v>
      </c>
      <c r="M11596" t="s">
        <v>43471</v>
      </c>
      <c r="N11596" t="s">
        <v>46569</v>
      </c>
      <c r="O11596" t="s">
        <v>46570</v>
      </c>
      <c r="P11596">
        <v>0</v>
      </c>
      <c r="Q11596">
        <v>17</v>
      </c>
      <c r="R11596" t="s">
        <v>46579</v>
      </c>
      <c r="S11596" t="s">
        <v>46919</v>
      </c>
      <c r="T11596" t="s">
        <v>48394</v>
      </c>
      <c r="U11596" t="s">
        <v>50482</v>
      </c>
      <c r="V11596" t="s">
        <v>62881</v>
      </c>
      <c r="W11596" t="s">
        <v>43471</v>
      </c>
      <c r="X11596" t="s">
        <v>46580</v>
      </c>
    </row>
    <row r="11597" spans="1:24">
      <c r="A11597">
        <f>HYPERLINK("https://www.philgeps.gov.ph/GEPSNONPILOT/Tender/SplashBidNoticeAbstractUI.aspx?menuIndex=3&amp;refID=7049104&amp;Result=3","7049104")</f>
        <v>0</v>
      </c>
      <c r="B11597" t="s">
        <v>27</v>
      </c>
      <c r="C11597" t="s">
        <v>14527</v>
      </c>
      <c r="E11597" t="s">
        <v>28859</v>
      </c>
      <c r="F11597" t="s">
        <v>32664</v>
      </c>
      <c r="G11597" t="s">
        <v>32672</v>
      </c>
      <c r="H11597" t="s">
        <v>12635</v>
      </c>
      <c r="I11597" t="s">
        <v>32712</v>
      </c>
      <c r="J11597" t="s">
        <v>33009</v>
      </c>
      <c r="K11597" t="s">
        <v>42283</v>
      </c>
      <c r="M11597" t="s">
        <v>42589</v>
      </c>
      <c r="N11597" t="s">
        <v>46569</v>
      </c>
      <c r="O11597" t="s">
        <v>46570</v>
      </c>
      <c r="Q11597">
        <v>17</v>
      </c>
      <c r="R11597" t="s">
        <v>46579</v>
      </c>
      <c r="S11597" t="s">
        <v>46967</v>
      </c>
      <c r="T11597" t="s">
        <v>48468</v>
      </c>
      <c r="U11597" t="s">
        <v>57992</v>
      </c>
      <c r="W11597" t="s">
        <v>42589</v>
      </c>
      <c r="X11597" t="s">
        <v>46580</v>
      </c>
    </row>
    <row r="11598" spans="1:24">
      <c r="A11598">
        <f>HYPERLINK("https://www.philgeps.gov.ph/GEPSNONPILOT/Tender/SplashBidNoticeAbstractUI.aspx?menuIndex=3&amp;refID=7049501&amp;Result=3","7049501")</f>
        <v>0</v>
      </c>
      <c r="B11598" t="s">
        <v>3065</v>
      </c>
      <c r="C11598" t="s">
        <v>14528</v>
      </c>
      <c r="D11598" t="s">
        <v>18831</v>
      </c>
      <c r="E11598" t="s">
        <v>28860</v>
      </c>
      <c r="F11598" t="s">
        <v>32664</v>
      </c>
      <c r="G11598" t="s">
        <v>32672</v>
      </c>
      <c r="H11598" t="s">
        <v>12635</v>
      </c>
      <c r="I11598" t="s">
        <v>32738</v>
      </c>
      <c r="J11598" t="s">
        <v>39659</v>
      </c>
      <c r="K11598" t="s">
        <v>42311</v>
      </c>
      <c r="M11598" t="s">
        <v>45948</v>
      </c>
      <c r="N11598" t="s">
        <v>46569</v>
      </c>
      <c r="O11598" t="s">
        <v>46570</v>
      </c>
      <c r="P11598">
        <v>0</v>
      </c>
      <c r="Q11598">
        <v>4</v>
      </c>
      <c r="R11598" t="s">
        <v>46579</v>
      </c>
      <c r="S11598" t="s">
        <v>46919</v>
      </c>
      <c r="T11598" t="s">
        <v>48487</v>
      </c>
      <c r="U11598" t="s">
        <v>58072</v>
      </c>
      <c r="W11598" t="s">
        <v>45948</v>
      </c>
      <c r="X11598" t="s">
        <v>46580</v>
      </c>
    </row>
    <row r="11599" spans="1:24">
      <c r="A11599">
        <f>HYPERLINK("https://www.philgeps.gov.ph/GEPSNONPILOT/Tender/SplashBidNoticeAbstractUI.aspx?menuIndex=3&amp;refID=7049496&amp;Result=3","7049496")</f>
        <v>0</v>
      </c>
      <c r="B11599" t="s">
        <v>3079</v>
      </c>
      <c r="C11599" t="s">
        <v>14529</v>
      </c>
      <c r="D11599" t="s">
        <v>18851</v>
      </c>
      <c r="E11599" t="s">
        <v>19178</v>
      </c>
      <c r="F11599" t="s">
        <v>32664</v>
      </c>
      <c r="G11599" t="s">
        <v>32672</v>
      </c>
      <c r="H11599" t="s">
        <v>12635</v>
      </c>
      <c r="I11599" t="s">
        <v>11464</v>
      </c>
      <c r="J11599" t="s">
        <v>32918</v>
      </c>
      <c r="K11599" t="s">
        <v>42281</v>
      </c>
      <c r="M11599" t="s">
        <v>45963</v>
      </c>
      <c r="N11599" t="s">
        <v>46569</v>
      </c>
      <c r="O11599" t="s">
        <v>46570</v>
      </c>
      <c r="P11599">
        <v>0</v>
      </c>
      <c r="Q11599">
        <v>0</v>
      </c>
      <c r="R11599" t="s">
        <v>46579</v>
      </c>
      <c r="S11599" t="s">
        <v>46919</v>
      </c>
      <c r="T11599" t="s">
        <v>48473</v>
      </c>
      <c r="U11599" t="s">
        <v>58073</v>
      </c>
      <c r="W11599" t="s">
        <v>45963</v>
      </c>
      <c r="X11599" t="s">
        <v>46580</v>
      </c>
    </row>
    <row r="11600" spans="1:24">
      <c r="A11600">
        <f>HYPERLINK("https://www.philgeps.gov.ph/GEPSNONPILOT/Tender/SplashBidNoticeAbstractUI.aspx?menuIndex=3&amp;refID=7049480&amp;Result=3","7049480")</f>
        <v>0</v>
      </c>
      <c r="B11600" t="s">
        <v>2720</v>
      </c>
      <c r="C11600" t="s">
        <v>14530</v>
      </c>
      <c r="D11600" t="s">
        <v>18785</v>
      </c>
      <c r="E11600" t="s">
        <v>28861</v>
      </c>
      <c r="F11600" t="s">
        <v>32664</v>
      </c>
      <c r="G11600" t="s">
        <v>32672</v>
      </c>
      <c r="H11600" t="s">
        <v>32683</v>
      </c>
      <c r="I11600" t="s">
        <v>10627</v>
      </c>
      <c r="J11600" t="s">
        <v>39660</v>
      </c>
      <c r="K11600" t="s">
        <v>42397</v>
      </c>
      <c r="M11600" t="s">
        <v>45547</v>
      </c>
      <c r="N11600" t="s">
        <v>46569</v>
      </c>
      <c r="O11600" t="s">
        <v>46570</v>
      </c>
      <c r="Q11600">
        <v>6</v>
      </c>
      <c r="R11600" t="s">
        <v>46579</v>
      </c>
      <c r="S11600" t="s">
        <v>46968</v>
      </c>
      <c r="T11600" t="s">
        <v>48284</v>
      </c>
      <c r="U11600" t="s">
        <v>58050</v>
      </c>
      <c r="V11600" t="s">
        <v>62612</v>
      </c>
      <c r="W11600" t="s">
        <v>45547</v>
      </c>
      <c r="X11600" t="s">
        <v>46580</v>
      </c>
    </row>
    <row r="11601" spans="1:24">
      <c r="A11601">
        <f>HYPERLINK("https://www.philgeps.gov.ph/GEPSNONPILOT/Tender/SplashBidNoticeAbstractUI.aspx?menuIndex=3&amp;refID=7049479&amp;Result=3","7049479")</f>
        <v>0</v>
      </c>
      <c r="B11601" t="s">
        <v>2123</v>
      </c>
      <c r="C11601" t="s">
        <v>14531</v>
      </c>
      <c r="D11601" t="s">
        <v>18842</v>
      </c>
      <c r="E11601" t="s">
        <v>25253</v>
      </c>
      <c r="F11601" t="s">
        <v>32664</v>
      </c>
      <c r="G11601" t="s">
        <v>32672</v>
      </c>
      <c r="H11601" t="s">
        <v>32683</v>
      </c>
      <c r="I11601" t="s">
        <v>10627</v>
      </c>
      <c r="J11601" t="s">
        <v>39661</v>
      </c>
      <c r="K11601" t="s">
        <v>42489</v>
      </c>
      <c r="M11601" t="s">
        <v>44878</v>
      </c>
      <c r="N11601" t="s">
        <v>46569</v>
      </c>
      <c r="O11601" t="s">
        <v>46570</v>
      </c>
      <c r="P11601">
        <v>0</v>
      </c>
      <c r="Q11601">
        <v>0</v>
      </c>
      <c r="R11601" t="s">
        <v>46579</v>
      </c>
      <c r="S11601" t="s">
        <v>46919</v>
      </c>
      <c r="T11601" t="s">
        <v>48389</v>
      </c>
      <c r="U11601" t="s">
        <v>58074</v>
      </c>
      <c r="W11601" t="s">
        <v>44878</v>
      </c>
      <c r="X11601" t="s">
        <v>46580</v>
      </c>
    </row>
    <row r="11602" spans="1:24">
      <c r="A11602">
        <f>HYPERLINK("https://www.philgeps.gov.ph/GEPSNONPILOT/Tender/SplashBidNoticeAbstractUI.aspx?menuIndex=3&amp;refID=7049639&amp;Result=3","7049639")</f>
        <v>0</v>
      </c>
      <c r="B11602" t="s">
        <v>212</v>
      </c>
      <c r="C11602" t="s">
        <v>14532</v>
      </c>
      <c r="D11602" t="s">
        <v>18844</v>
      </c>
      <c r="E11602" t="s">
        <v>28862</v>
      </c>
      <c r="F11602" t="s">
        <v>32664</v>
      </c>
      <c r="G11602" t="s">
        <v>32672</v>
      </c>
      <c r="H11602" t="s">
        <v>12635</v>
      </c>
      <c r="I11602" t="s">
        <v>32712</v>
      </c>
      <c r="J11602" t="s">
        <v>37047</v>
      </c>
      <c r="K11602" t="s">
        <v>42298</v>
      </c>
      <c r="M11602" t="s">
        <v>42796</v>
      </c>
      <c r="N11602" t="s">
        <v>46569</v>
      </c>
      <c r="O11602" t="s">
        <v>46570</v>
      </c>
      <c r="P11602">
        <v>0</v>
      </c>
      <c r="Q11602">
        <v>4</v>
      </c>
      <c r="R11602" t="s">
        <v>46579</v>
      </c>
      <c r="S11602" t="s">
        <v>46919</v>
      </c>
      <c r="T11602" t="s">
        <v>48489</v>
      </c>
      <c r="U11602" t="s">
        <v>58075</v>
      </c>
      <c r="V11602" t="s">
        <v>61668</v>
      </c>
      <c r="W11602" t="s">
        <v>42796</v>
      </c>
      <c r="X11602" t="s">
        <v>46580</v>
      </c>
    </row>
    <row r="11603" spans="1:24">
      <c r="A11603">
        <f>HYPERLINK("https://www.philgeps.gov.ph/GEPSNONPILOT/Tender/SplashBidNoticeAbstractUI.aspx?menuIndex=3&amp;refID=7049523&amp;Result=3","7049523")</f>
        <v>0</v>
      </c>
      <c r="B11603" t="s">
        <v>3080</v>
      </c>
      <c r="C11603" t="s">
        <v>14533</v>
      </c>
      <c r="D11603" t="s">
        <v>18804</v>
      </c>
      <c r="E11603" t="s">
        <v>28863</v>
      </c>
      <c r="F11603" t="s">
        <v>32664</v>
      </c>
      <c r="G11603" t="s">
        <v>32672</v>
      </c>
      <c r="H11603" t="s">
        <v>32683</v>
      </c>
      <c r="I11603" t="s">
        <v>10627</v>
      </c>
      <c r="J11603" t="s">
        <v>33761</v>
      </c>
      <c r="K11603" t="s">
        <v>42311</v>
      </c>
      <c r="M11603" t="s">
        <v>45964</v>
      </c>
      <c r="N11603" t="s">
        <v>46569</v>
      </c>
      <c r="O11603" t="s">
        <v>46570</v>
      </c>
      <c r="P11603">
        <v>0</v>
      </c>
      <c r="Q11603">
        <v>3</v>
      </c>
      <c r="R11603" t="s">
        <v>46579</v>
      </c>
      <c r="S11603" t="s">
        <v>46919</v>
      </c>
      <c r="T11603" t="s">
        <v>48238</v>
      </c>
      <c r="U11603" t="s">
        <v>58076</v>
      </c>
      <c r="W11603" t="s">
        <v>45964</v>
      </c>
      <c r="X11603" t="s">
        <v>46580</v>
      </c>
    </row>
    <row r="11604" spans="1:24">
      <c r="A11604">
        <f>HYPERLINK("https://www.philgeps.gov.ph/GEPSNONPILOT/Tender/SplashBidNoticeAbstractUI.aspx?menuIndex=3&amp;refID=7049503&amp;Result=3","7049503")</f>
        <v>0</v>
      </c>
      <c r="B11604" t="s">
        <v>797</v>
      </c>
      <c r="C11604" t="s">
        <v>14534</v>
      </c>
      <c r="D11604" t="s">
        <v>18792</v>
      </c>
      <c r="E11604" t="s">
        <v>28864</v>
      </c>
      <c r="F11604" t="s">
        <v>32664</v>
      </c>
      <c r="G11604" t="s">
        <v>32672</v>
      </c>
      <c r="H11604" t="s">
        <v>12635</v>
      </c>
      <c r="I11604" t="s">
        <v>32704</v>
      </c>
      <c r="J11604" t="s">
        <v>39662</v>
      </c>
      <c r="K11604" t="s">
        <v>42298</v>
      </c>
      <c r="M11604" t="s">
        <v>43389</v>
      </c>
      <c r="N11604" t="s">
        <v>46569</v>
      </c>
      <c r="O11604" t="s">
        <v>46570</v>
      </c>
      <c r="P11604">
        <v>0</v>
      </c>
      <c r="Q11604">
        <v>6</v>
      </c>
      <c r="R11604" t="s">
        <v>46579</v>
      </c>
      <c r="S11604" t="s">
        <v>46919</v>
      </c>
      <c r="T11604" t="s">
        <v>48690</v>
      </c>
      <c r="U11604" t="s">
        <v>58077</v>
      </c>
      <c r="V11604" t="s">
        <v>62882</v>
      </c>
      <c r="W11604" t="s">
        <v>43389</v>
      </c>
      <c r="X11604" t="s">
        <v>46580</v>
      </c>
    </row>
    <row r="11605" spans="1:24">
      <c r="A11605">
        <f>HYPERLINK("https://www.philgeps.gov.ph/GEPSNONPILOT/Tender/SplashBidNoticeAbstractUI.aspx?menuIndex=3&amp;refID=7049633&amp;Result=3","7049633")</f>
        <v>0</v>
      </c>
      <c r="B11605" t="s">
        <v>947</v>
      </c>
      <c r="C11605" t="s">
        <v>14535</v>
      </c>
      <c r="D11605" t="s">
        <v>18787</v>
      </c>
      <c r="E11605" t="s">
        <v>28865</v>
      </c>
      <c r="F11605" t="s">
        <v>32664</v>
      </c>
      <c r="G11605" t="s">
        <v>32672</v>
      </c>
      <c r="H11605" t="s">
        <v>32683</v>
      </c>
      <c r="I11605" t="s">
        <v>10627</v>
      </c>
      <c r="J11605" t="s">
        <v>39663</v>
      </c>
      <c r="K11605" t="s">
        <v>42527</v>
      </c>
      <c r="M11605" t="s">
        <v>43553</v>
      </c>
      <c r="N11605" t="s">
        <v>46569</v>
      </c>
      <c r="O11605" t="s">
        <v>46570</v>
      </c>
      <c r="P11605">
        <v>0</v>
      </c>
      <c r="Q11605">
        <v>3</v>
      </c>
      <c r="R11605" t="s">
        <v>46579</v>
      </c>
      <c r="S11605" t="s">
        <v>46919</v>
      </c>
      <c r="T11605" t="s">
        <v>48381</v>
      </c>
      <c r="U11605" t="s">
        <v>58078</v>
      </c>
      <c r="W11605" t="s">
        <v>63497</v>
      </c>
      <c r="X11605" t="s">
        <v>46580</v>
      </c>
    </row>
    <row r="11606" spans="1:24">
      <c r="A11606">
        <f>HYPERLINK("https://www.philgeps.gov.ph/GEPSNONPILOT/Tender/SplashBidNoticeAbstractUI.aspx?menuIndex=3&amp;refID=7049512&amp;Result=3","7049512")</f>
        <v>0</v>
      </c>
      <c r="B11606" t="s">
        <v>1656</v>
      </c>
      <c r="C11606" t="s">
        <v>14536</v>
      </c>
      <c r="D11606" t="s">
        <v>18805</v>
      </c>
      <c r="E11606" t="s">
        <v>19681</v>
      </c>
      <c r="F11606" t="s">
        <v>32664</v>
      </c>
      <c r="G11606" t="s">
        <v>32671</v>
      </c>
      <c r="H11606" t="s">
        <v>12635</v>
      </c>
      <c r="I11606" t="s">
        <v>32752</v>
      </c>
      <c r="J11606" t="s">
        <v>39664</v>
      </c>
      <c r="K11606" t="s">
        <v>42306</v>
      </c>
      <c r="M11606" t="s">
        <v>44341</v>
      </c>
      <c r="N11606" t="s">
        <v>46569</v>
      </c>
      <c r="O11606" t="s">
        <v>46570</v>
      </c>
      <c r="P11606">
        <v>0</v>
      </c>
      <c r="Q11606">
        <v>0</v>
      </c>
      <c r="R11606" t="s">
        <v>46579</v>
      </c>
      <c r="S11606" t="s">
        <v>46919</v>
      </c>
      <c r="T11606" t="s">
        <v>48350</v>
      </c>
      <c r="U11606" t="s">
        <v>58079</v>
      </c>
      <c r="W11606" t="s">
        <v>44341</v>
      </c>
      <c r="X11606" t="s">
        <v>46580</v>
      </c>
    </row>
    <row r="11607" spans="1:24">
      <c r="A11607">
        <f>HYPERLINK("https://www.philgeps.gov.ph/GEPSNONPILOT/Tender/SplashBidNoticeAbstractUI.aspx?menuIndex=3&amp;refID=7049652&amp;Result=3","7049652")</f>
        <v>0</v>
      </c>
      <c r="B11607" t="s">
        <v>3081</v>
      </c>
      <c r="C11607" t="s">
        <v>14537</v>
      </c>
      <c r="D11607" t="s">
        <v>18784</v>
      </c>
      <c r="E11607" t="s">
        <v>28866</v>
      </c>
      <c r="F11607" t="s">
        <v>32664</v>
      </c>
      <c r="G11607" t="s">
        <v>32672</v>
      </c>
      <c r="H11607" t="s">
        <v>12635</v>
      </c>
      <c r="I11607" t="s">
        <v>32690</v>
      </c>
      <c r="J11607" t="s">
        <v>33167</v>
      </c>
      <c r="K11607" t="s">
        <v>42281</v>
      </c>
      <c r="M11607" t="s">
        <v>45965</v>
      </c>
      <c r="N11607" t="s">
        <v>46569</v>
      </c>
      <c r="O11607" t="s">
        <v>46570</v>
      </c>
      <c r="P11607">
        <v>0</v>
      </c>
      <c r="Q11607">
        <v>2</v>
      </c>
      <c r="R11607" t="s">
        <v>46579</v>
      </c>
      <c r="S11607" t="s">
        <v>46919</v>
      </c>
      <c r="T11607" t="s">
        <v>48280</v>
      </c>
      <c r="U11607" t="s">
        <v>58080</v>
      </c>
      <c r="W11607" t="s">
        <v>45965</v>
      </c>
      <c r="X11607" t="s">
        <v>46580</v>
      </c>
    </row>
    <row r="11608" spans="1:24">
      <c r="A11608">
        <f>HYPERLINK("https://www.philgeps.gov.ph/GEPSNONPILOT/Tender/SplashBidNoticeAbstractUI.aspx?menuIndex=3&amp;refID=7049650&amp;Result=3","7049650")</f>
        <v>0</v>
      </c>
      <c r="B11608" t="s">
        <v>714</v>
      </c>
      <c r="C11608" t="s">
        <v>14538</v>
      </c>
      <c r="D11608" t="s">
        <v>18846</v>
      </c>
      <c r="E11608" t="s">
        <v>28867</v>
      </c>
      <c r="F11608" t="s">
        <v>32664</v>
      </c>
      <c r="G11608" t="s">
        <v>32672</v>
      </c>
      <c r="H11608" t="s">
        <v>32681</v>
      </c>
      <c r="I11608" t="s">
        <v>32681</v>
      </c>
      <c r="J11608" t="s">
        <v>39665</v>
      </c>
      <c r="K11608" t="s">
        <v>42305</v>
      </c>
      <c r="M11608" t="s">
        <v>45966</v>
      </c>
      <c r="N11608" t="s">
        <v>46569</v>
      </c>
      <c r="O11608" t="s">
        <v>46570</v>
      </c>
      <c r="P11608">
        <v>0</v>
      </c>
      <c r="Q11608">
        <v>3</v>
      </c>
      <c r="R11608" t="s">
        <v>46579</v>
      </c>
      <c r="S11608" t="s">
        <v>46919</v>
      </c>
      <c r="T11608" t="s">
        <v>48308</v>
      </c>
      <c r="U11608" t="s">
        <v>58081</v>
      </c>
      <c r="W11608" t="s">
        <v>45966</v>
      </c>
      <c r="X11608" t="s">
        <v>46580</v>
      </c>
    </row>
    <row r="11609" spans="1:24">
      <c r="A11609">
        <f>HYPERLINK("https://www.philgeps.gov.ph/GEPSNONPILOT/Tender/SplashBidNoticeAbstractUI.aspx?menuIndex=3&amp;refID=7049641&amp;Result=3","7049641")</f>
        <v>0</v>
      </c>
      <c r="B11609" t="s">
        <v>1590</v>
      </c>
      <c r="C11609" t="s">
        <v>14539</v>
      </c>
      <c r="D11609" t="s">
        <v>18831</v>
      </c>
      <c r="E11609" t="s">
        <v>19950</v>
      </c>
      <c r="F11609" t="s">
        <v>32664</v>
      </c>
      <c r="G11609" t="s">
        <v>32671</v>
      </c>
      <c r="H11609" t="s">
        <v>12635</v>
      </c>
      <c r="I11609" t="s">
        <v>4333</v>
      </c>
      <c r="J11609" t="s">
        <v>39666</v>
      </c>
      <c r="K11609" t="s">
        <v>42297</v>
      </c>
      <c r="M11609" t="s">
        <v>44267</v>
      </c>
      <c r="N11609" t="s">
        <v>46569</v>
      </c>
      <c r="O11609" t="s">
        <v>46570</v>
      </c>
      <c r="P11609">
        <v>0</v>
      </c>
      <c r="Q11609">
        <v>5</v>
      </c>
      <c r="R11609" t="s">
        <v>46579</v>
      </c>
      <c r="S11609" t="s">
        <v>46919</v>
      </c>
      <c r="T11609" t="s">
        <v>48448</v>
      </c>
      <c r="U11609" t="s">
        <v>52462</v>
      </c>
      <c r="V11609" t="s">
        <v>62883</v>
      </c>
      <c r="W11609" t="s">
        <v>44267</v>
      </c>
      <c r="X11609" t="s">
        <v>46580</v>
      </c>
    </row>
    <row r="11610" spans="1:24">
      <c r="A11610">
        <f>HYPERLINK("https://www.philgeps.gov.ph/GEPSNONPILOT/Tender/SplashBidNoticeAbstractUI.aspx?menuIndex=3&amp;refID=7049447&amp;Result=3","7049447")</f>
        <v>0</v>
      </c>
      <c r="B11610" t="s">
        <v>1243</v>
      </c>
      <c r="C11610" t="s">
        <v>14540</v>
      </c>
      <c r="D11610" t="s">
        <v>18785</v>
      </c>
      <c r="E11610" t="s">
        <v>28868</v>
      </c>
      <c r="F11610" t="s">
        <v>32664</v>
      </c>
      <c r="G11610" t="s">
        <v>32672</v>
      </c>
      <c r="H11610" t="s">
        <v>12635</v>
      </c>
      <c r="I11610" t="s">
        <v>14442</v>
      </c>
      <c r="J11610" t="s">
        <v>39667</v>
      </c>
      <c r="K11610" t="s">
        <v>42289</v>
      </c>
      <c r="M11610" t="s">
        <v>43903</v>
      </c>
      <c r="N11610" t="s">
        <v>46569</v>
      </c>
      <c r="O11610" t="s">
        <v>46570</v>
      </c>
      <c r="P11610">
        <v>0</v>
      </c>
      <c r="Q11610">
        <v>3</v>
      </c>
      <c r="R11610" t="s">
        <v>46579</v>
      </c>
      <c r="S11610" t="s">
        <v>46919</v>
      </c>
      <c r="T11610" t="s">
        <v>48415</v>
      </c>
      <c r="U11610" t="s">
        <v>58082</v>
      </c>
      <c r="V11610" t="s">
        <v>62884</v>
      </c>
      <c r="W11610" t="s">
        <v>63507</v>
      </c>
      <c r="X11610" t="s">
        <v>46580</v>
      </c>
    </row>
    <row r="11611" spans="1:24">
      <c r="A11611">
        <f>HYPERLINK("https://www.philgeps.gov.ph/GEPSNONPILOT/Tender/SplashBidNoticeAbstractUI.aspx?menuIndex=3&amp;refID=7049622&amp;Result=3","7049622")</f>
        <v>0</v>
      </c>
      <c r="B11611" t="s">
        <v>947</v>
      </c>
      <c r="C11611" t="s">
        <v>14541</v>
      </c>
      <c r="D11611" t="s">
        <v>18787</v>
      </c>
      <c r="E11611" t="s">
        <v>28869</v>
      </c>
      <c r="F11611" t="s">
        <v>32664</v>
      </c>
      <c r="G11611" t="s">
        <v>32672</v>
      </c>
      <c r="H11611" t="s">
        <v>32683</v>
      </c>
      <c r="I11611" t="s">
        <v>10627</v>
      </c>
      <c r="J11611" t="s">
        <v>39668</v>
      </c>
      <c r="K11611" t="s">
        <v>42486</v>
      </c>
      <c r="M11611" t="s">
        <v>43553</v>
      </c>
      <c r="N11611" t="s">
        <v>46569</v>
      </c>
      <c r="O11611" t="s">
        <v>46570</v>
      </c>
      <c r="P11611">
        <v>0</v>
      </c>
      <c r="Q11611">
        <v>2</v>
      </c>
      <c r="R11611" t="s">
        <v>46579</v>
      </c>
      <c r="S11611" t="s">
        <v>46919</v>
      </c>
      <c r="T11611" t="s">
        <v>48258</v>
      </c>
      <c r="U11611" t="s">
        <v>50650</v>
      </c>
      <c r="W11611" t="s">
        <v>63497</v>
      </c>
      <c r="X11611" t="s">
        <v>46580</v>
      </c>
    </row>
    <row r="11612" spans="1:24">
      <c r="A11612">
        <f>HYPERLINK("https://www.philgeps.gov.ph/GEPSNONPILOT/Tender/SplashBidNoticeAbstractUI.aspx?menuIndex=3&amp;refID=7049514&amp;Result=3","7049514")</f>
        <v>0</v>
      </c>
      <c r="B11612" t="s">
        <v>3065</v>
      </c>
      <c r="C11612" t="s">
        <v>14542</v>
      </c>
      <c r="D11612" t="s">
        <v>18831</v>
      </c>
      <c r="E11612" t="s">
        <v>28870</v>
      </c>
      <c r="F11612" t="s">
        <v>32664</v>
      </c>
      <c r="G11612" t="s">
        <v>32672</v>
      </c>
      <c r="H11612" t="s">
        <v>12635</v>
      </c>
      <c r="I11612" t="s">
        <v>32738</v>
      </c>
      <c r="J11612" t="s">
        <v>39669</v>
      </c>
      <c r="K11612" t="s">
        <v>42311</v>
      </c>
      <c r="M11612" t="s">
        <v>45948</v>
      </c>
      <c r="N11612" t="s">
        <v>46569</v>
      </c>
      <c r="O11612" t="s">
        <v>46570</v>
      </c>
      <c r="P11612">
        <v>0</v>
      </c>
      <c r="Q11612">
        <v>6</v>
      </c>
      <c r="R11612" t="s">
        <v>46579</v>
      </c>
      <c r="S11612" t="s">
        <v>46919</v>
      </c>
      <c r="T11612" t="s">
        <v>48487</v>
      </c>
      <c r="U11612" t="s">
        <v>58083</v>
      </c>
      <c r="W11612" t="s">
        <v>45948</v>
      </c>
      <c r="X11612" t="s">
        <v>46580</v>
      </c>
    </row>
    <row r="11613" spans="1:24">
      <c r="A11613">
        <f>HYPERLINK("https://www.philgeps.gov.ph/GEPSNONPILOT/Tender/SplashBidNoticeAbstractUI.aspx?menuIndex=3&amp;refID=7049620&amp;Result=3","7049620")</f>
        <v>0</v>
      </c>
      <c r="B11613" t="s">
        <v>592</v>
      </c>
      <c r="C11613" t="s">
        <v>14543</v>
      </c>
      <c r="D11613" t="s">
        <v>18784</v>
      </c>
      <c r="E11613" t="s">
        <v>28871</v>
      </c>
      <c r="F11613" t="s">
        <v>32664</v>
      </c>
      <c r="G11613" t="s">
        <v>32672</v>
      </c>
      <c r="H11613" t="s">
        <v>12635</v>
      </c>
      <c r="I11613" t="s">
        <v>5589</v>
      </c>
      <c r="J11613" t="s">
        <v>39670</v>
      </c>
      <c r="K11613" t="s">
        <v>42281</v>
      </c>
      <c r="M11613" t="s">
        <v>43411</v>
      </c>
      <c r="N11613" t="s">
        <v>46569</v>
      </c>
      <c r="O11613" t="s">
        <v>46570</v>
      </c>
      <c r="Q11613">
        <v>13</v>
      </c>
      <c r="R11613" t="s">
        <v>46579</v>
      </c>
      <c r="S11613" t="s">
        <v>46969</v>
      </c>
      <c r="T11613" t="s">
        <v>48345</v>
      </c>
      <c r="U11613" t="s">
        <v>58084</v>
      </c>
      <c r="V11613" t="s">
        <v>62885</v>
      </c>
      <c r="W11613" t="s">
        <v>43411</v>
      </c>
      <c r="X11613" t="s">
        <v>46580</v>
      </c>
    </row>
    <row r="11614" spans="1:24">
      <c r="A11614">
        <f>HYPERLINK("https://www.philgeps.gov.ph/GEPSNONPILOT/Tender/SplashBidNoticeAbstractUI.aspx?menuIndex=3&amp;refID=7049619&amp;Result=3","7049619")</f>
        <v>0</v>
      </c>
      <c r="B11614" t="s">
        <v>592</v>
      </c>
      <c r="C11614" t="s">
        <v>14544</v>
      </c>
      <c r="D11614" t="s">
        <v>18784</v>
      </c>
      <c r="E11614" t="s">
        <v>28872</v>
      </c>
      <c r="F11614" t="s">
        <v>32664</v>
      </c>
      <c r="G11614" t="s">
        <v>32672</v>
      </c>
      <c r="H11614" t="s">
        <v>12635</v>
      </c>
      <c r="I11614" t="s">
        <v>5589</v>
      </c>
      <c r="J11614" t="s">
        <v>39671</v>
      </c>
      <c r="K11614" t="s">
        <v>42305</v>
      </c>
      <c r="M11614" t="s">
        <v>43411</v>
      </c>
      <c r="N11614" t="s">
        <v>46569</v>
      </c>
      <c r="O11614" t="s">
        <v>46570</v>
      </c>
      <c r="Q11614">
        <v>17</v>
      </c>
      <c r="R11614" t="s">
        <v>46579</v>
      </c>
      <c r="S11614" t="s">
        <v>46970</v>
      </c>
      <c r="T11614" t="s">
        <v>48345</v>
      </c>
      <c r="U11614" t="s">
        <v>58084</v>
      </c>
      <c r="V11614" t="s">
        <v>62886</v>
      </c>
      <c r="W11614" t="s">
        <v>43411</v>
      </c>
      <c r="X11614" t="s">
        <v>46580</v>
      </c>
    </row>
    <row r="11615" spans="1:24">
      <c r="A11615">
        <f>HYPERLINK("https://www.philgeps.gov.ph/GEPSNONPILOT/Tender/SplashBidNoticeAbstractUI.aspx?menuIndex=3&amp;refID=7049628&amp;Result=3","7049628")</f>
        <v>0</v>
      </c>
      <c r="B11615" t="s">
        <v>1590</v>
      </c>
      <c r="C11615" t="s">
        <v>14545</v>
      </c>
      <c r="D11615" t="s">
        <v>18831</v>
      </c>
      <c r="E11615" t="s">
        <v>21803</v>
      </c>
      <c r="F11615" t="s">
        <v>32664</v>
      </c>
      <c r="G11615" t="s">
        <v>32675</v>
      </c>
      <c r="H11615" t="s">
        <v>12635</v>
      </c>
      <c r="I11615" t="s">
        <v>8797</v>
      </c>
      <c r="J11615" t="s">
        <v>35727</v>
      </c>
      <c r="K11615" t="s">
        <v>42297</v>
      </c>
      <c r="M11615" t="s">
        <v>44267</v>
      </c>
      <c r="N11615" t="s">
        <v>46569</v>
      </c>
      <c r="O11615" t="s">
        <v>46570</v>
      </c>
      <c r="P11615">
        <v>0</v>
      </c>
      <c r="Q11615">
        <v>12</v>
      </c>
      <c r="R11615" t="s">
        <v>46579</v>
      </c>
      <c r="S11615" t="s">
        <v>46919</v>
      </c>
      <c r="T11615" t="s">
        <v>48448</v>
      </c>
      <c r="U11615" t="s">
        <v>52462</v>
      </c>
      <c r="V11615" t="s">
        <v>62883</v>
      </c>
      <c r="W11615" t="s">
        <v>44267</v>
      </c>
      <c r="X11615" t="s">
        <v>46580</v>
      </c>
    </row>
    <row r="11616" spans="1:24">
      <c r="A11616">
        <f>HYPERLINK("https://www.philgeps.gov.ph/GEPSNONPILOT/Tender/SplashBidNoticeAbstractUI.aspx?menuIndex=3&amp;refID=7049478&amp;Result=3","7049478")</f>
        <v>0</v>
      </c>
      <c r="B11616" t="s">
        <v>797</v>
      </c>
      <c r="C11616" t="s">
        <v>14546</v>
      </c>
      <c r="D11616" t="s">
        <v>18792</v>
      </c>
      <c r="E11616" t="s">
        <v>28873</v>
      </c>
      <c r="F11616" t="s">
        <v>32664</v>
      </c>
      <c r="G11616" t="s">
        <v>32672</v>
      </c>
      <c r="H11616" t="s">
        <v>12635</v>
      </c>
      <c r="I11616" t="s">
        <v>6628</v>
      </c>
      <c r="J11616" t="s">
        <v>33566</v>
      </c>
      <c r="K11616" t="s">
        <v>42298</v>
      </c>
      <c r="M11616" t="s">
        <v>43389</v>
      </c>
      <c r="N11616" t="s">
        <v>46569</v>
      </c>
      <c r="O11616" t="s">
        <v>46570</v>
      </c>
      <c r="P11616">
        <v>0</v>
      </c>
      <c r="Q11616">
        <v>4</v>
      </c>
      <c r="R11616" t="s">
        <v>46579</v>
      </c>
      <c r="S11616" t="s">
        <v>46919</v>
      </c>
      <c r="T11616" t="s">
        <v>48691</v>
      </c>
      <c r="U11616" t="s">
        <v>58085</v>
      </c>
      <c r="V11616" t="s">
        <v>62887</v>
      </c>
      <c r="W11616" t="s">
        <v>43389</v>
      </c>
      <c r="X11616" t="s">
        <v>46580</v>
      </c>
    </row>
    <row r="11617" spans="1:24">
      <c r="A11617">
        <f>HYPERLINK("https://www.philgeps.gov.ph/GEPSNONPILOT/Tender/SplashBidNoticeAbstractUI.aspx?menuIndex=3&amp;refID=7049703&amp;Result=3","7049703")</f>
        <v>0</v>
      </c>
      <c r="B11617" t="s">
        <v>3034</v>
      </c>
      <c r="C11617" t="s">
        <v>14547</v>
      </c>
      <c r="D11617" t="s">
        <v>18839</v>
      </c>
      <c r="E11617" t="s">
        <v>28874</v>
      </c>
      <c r="F11617" t="s">
        <v>32664</v>
      </c>
      <c r="G11617" t="s">
        <v>32672</v>
      </c>
      <c r="H11617" t="s">
        <v>12635</v>
      </c>
      <c r="I11617" t="s">
        <v>5589</v>
      </c>
      <c r="J11617" t="s">
        <v>39672</v>
      </c>
      <c r="K11617" t="s">
        <v>42311</v>
      </c>
      <c r="M11617" t="s">
        <v>45907</v>
      </c>
      <c r="N11617" t="s">
        <v>46569</v>
      </c>
      <c r="O11617" t="s">
        <v>46570</v>
      </c>
      <c r="P11617">
        <v>0</v>
      </c>
      <c r="Q11617">
        <v>10</v>
      </c>
      <c r="R11617" t="s">
        <v>46579</v>
      </c>
      <c r="S11617" t="s">
        <v>46919</v>
      </c>
      <c r="T11617" t="s">
        <v>48213</v>
      </c>
      <c r="U11617" t="s">
        <v>58086</v>
      </c>
      <c r="W11617" t="s">
        <v>45907</v>
      </c>
      <c r="X11617" t="s">
        <v>46580</v>
      </c>
    </row>
    <row r="11618" spans="1:24">
      <c r="A11618">
        <f>HYPERLINK("https://www.philgeps.gov.ph/GEPSNONPILOT/Tender/SplashBidNoticeAbstractUI.aspx?menuIndex=3&amp;refID=7049696&amp;Result=3","7049696")</f>
        <v>0</v>
      </c>
      <c r="B11618" t="s">
        <v>3081</v>
      </c>
      <c r="C11618" t="s">
        <v>14548</v>
      </c>
      <c r="D11618" t="s">
        <v>18784</v>
      </c>
      <c r="E11618" t="s">
        <v>28875</v>
      </c>
      <c r="F11618" t="s">
        <v>32664</v>
      </c>
      <c r="G11618" t="s">
        <v>32672</v>
      </c>
      <c r="H11618" t="s">
        <v>12635</v>
      </c>
      <c r="I11618" t="s">
        <v>7324</v>
      </c>
      <c r="J11618" t="s">
        <v>35843</v>
      </c>
      <c r="K11618" t="s">
        <v>42281</v>
      </c>
      <c r="M11618" t="s">
        <v>45965</v>
      </c>
      <c r="N11618" t="s">
        <v>46569</v>
      </c>
      <c r="O11618" t="s">
        <v>46570</v>
      </c>
      <c r="P11618">
        <v>0</v>
      </c>
      <c r="Q11618">
        <v>1</v>
      </c>
      <c r="R11618" t="s">
        <v>46579</v>
      </c>
      <c r="S11618" t="s">
        <v>46919</v>
      </c>
      <c r="T11618" t="s">
        <v>48280</v>
      </c>
      <c r="U11618" t="s">
        <v>58087</v>
      </c>
      <c r="W11618" t="s">
        <v>45965</v>
      </c>
      <c r="X11618" t="s">
        <v>46580</v>
      </c>
    </row>
    <row r="11619" spans="1:24">
      <c r="A11619">
        <f>HYPERLINK("https://www.philgeps.gov.ph/GEPSNONPILOT/Tender/SplashBidNoticeAbstractUI.aspx?menuIndex=3&amp;refID=7049694&amp;Result=3","7049694")</f>
        <v>0</v>
      </c>
      <c r="B11619" t="s">
        <v>785</v>
      </c>
      <c r="C11619" t="s">
        <v>14549</v>
      </c>
      <c r="D11619" t="s">
        <v>18794</v>
      </c>
      <c r="E11619" t="s">
        <v>28876</v>
      </c>
      <c r="F11619" t="s">
        <v>32664</v>
      </c>
      <c r="G11619" t="s">
        <v>32672</v>
      </c>
      <c r="H11619" t="s">
        <v>12635</v>
      </c>
      <c r="I11619" t="s">
        <v>32717</v>
      </c>
      <c r="J11619" t="s">
        <v>39673</v>
      </c>
      <c r="K11619" t="s">
        <v>42305</v>
      </c>
      <c r="M11619" t="s">
        <v>43377</v>
      </c>
      <c r="N11619" t="s">
        <v>46569</v>
      </c>
      <c r="O11619" t="s">
        <v>46570</v>
      </c>
      <c r="Q11619">
        <v>5</v>
      </c>
      <c r="R11619" t="s">
        <v>46579</v>
      </c>
      <c r="S11619" t="s">
        <v>46971</v>
      </c>
      <c r="T11619" t="s">
        <v>48453</v>
      </c>
      <c r="U11619" t="s">
        <v>58088</v>
      </c>
      <c r="W11619" t="s">
        <v>43377</v>
      </c>
      <c r="X11619" t="s">
        <v>46580</v>
      </c>
    </row>
    <row r="11620" spans="1:24">
      <c r="A11620">
        <f>HYPERLINK("https://www.philgeps.gov.ph/GEPSNONPILOT/Tender/SplashBidNoticeAbstractUI.aspx?menuIndex=3&amp;refID=7049700&amp;Result=3","7049700")</f>
        <v>0</v>
      </c>
      <c r="B11620" t="s">
        <v>3081</v>
      </c>
      <c r="C11620" t="s">
        <v>14550</v>
      </c>
      <c r="D11620" t="s">
        <v>18784</v>
      </c>
      <c r="E11620" t="s">
        <v>28877</v>
      </c>
      <c r="F11620" t="s">
        <v>32664</v>
      </c>
      <c r="G11620" t="s">
        <v>32672</v>
      </c>
      <c r="H11620" t="s">
        <v>12635</v>
      </c>
      <c r="I11620" t="s">
        <v>9597</v>
      </c>
      <c r="J11620" t="s">
        <v>32859</v>
      </c>
      <c r="K11620" t="s">
        <v>42281</v>
      </c>
      <c r="M11620" t="s">
        <v>45965</v>
      </c>
      <c r="N11620" t="s">
        <v>46569</v>
      </c>
      <c r="O11620" t="s">
        <v>46570</v>
      </c>
      <c r="P11620">
        <v>0</v>
      </c>
      <c r="Q11620">
        <v>3</v>
      </c>
      <c r="R11620" t="s">
        <v>46579</v>
      </c>
      <c r="S11620" t="s">
        <v>46919</v>
      </c>
      <c r="T11620" t="s">
        <v>48280</v>
      </c>
      <c r="U11620" t="s">
        <v>58089</v>
      </c>
      <c r="W11620" t="s">
        <v>45965</v>
      </c>
      <c r="X11620" t="s">
        <v>46580</v>
      </c>
    </row>
    <row r="11621" spans="1:24">
      <c r="A11621">
        <f>HYPERLINK("https://www.philgeps.gov.ph/GEPSNONPILOT/Tender/SplashBidNoticeAbstractUI.aspx?menuIndex=3&amp;refID=7049617&amp;Result=3","7049617")</f>
        <v>0</v>
      </c>
      <c r="B11621" t="s">
        <v>947</v>
      </c>
      <c r="C11621" t="s">
        <v>14551</v>
      </c>
      <c r="D11621" t="s">
        <v>18787</v>
      </c>
      <c r="E11621" t="s">
        <v>28878</v>
      </c>
      <c r="F11621" t="s">
        <v>32664</v>
      </c>
      <c r="G11621" t="s">
        <v>32672</v>
      </c>
      <c r="H11621" t="s">
        <v>32683</v>
      </c>
      <c r="I11621" t="s">
        <v>10627</v>
      </c>
      <c r="J11621" t="s">
        <v>39674</v>
      </c>
      <c r="K11621" t="s">
        <v>42296</v>
      </c>
      <c r="M11621" t="s">
        <v>43553</v>
      </c>
      <c r="N11621" t="s">
        <v>46569</v>
      </c>
      <c r="O11621" t="s">
        <v>46570</v>
      </c>
      <c r="P11621">
        <v>0</v>
      </c>
      <c r="Q11621">
        <v>5</v>
      </c>
      <c r="R11621" t="s">
        <v>46579</v>
      </c>
      <c r="S11621" t="s">
        <v>46919</v>
      </c>
      <c r="T11621" t="s">
        <v>48381</v>
      </c>
      <c r="U11621" t="s">
        <v>50650</v>
      </c>
      <c r="W11621" t="s">
        <v>63497</v>
      </c>
      <c r="X11621" t="s">
        <v>46580</v>
      </c>
    </row>
    <row r="11622" spans="1:24">
      <c r="A11622">
        <f>HYPERLINK("https://www.philgeps.gov.ph/GEPSNONPILOT/Tender/SplashBidNoticeAbstractUI.aspx?menuIndex=3&amp;refID=7049693&amp;Result=3","7049693")</f>
        <v>0</v>
      </c>
      <c r="B11622" t="s">
        <v>3081</v>
      </c>
      <c r="C11622" t="s">
        <v>14552</v>
      </c>
      <c r="D11622" t="s">
        <v>18784</v>
      </c>
      <c r="E11622" t="s">
        <v>28879</v>
      </c>
      <c r="F11622" t="s">
        <v>32664</v>
      </c>
      <c r="G11622" t="s">
        <v>32672</v>
      </c>
      <c r="H11622" t="s">
        <v>12635</v>
      </c>
      <c r="I11622" t="s">
        <v>32716</v>
      </c>
      <c r="J11622" t="s">
        <v>33001</v>
      </c>
      <c r="K11622" t="s">
        <v>42281</v>
      </c>
      <c r="M11622" t="s">
        <v>45965</v>
      </c>
      <c r="N11622" t="s">
        <v>46569</v>
      </c>
      <c r="O11622" t="s">
        <v>46570</v>
      </c>
      <c r="P11622">
        <v>0</v>
      </c>
      <c r="Q11622">
        <v>2</v>
      </c>
      <c r="R11622" t="s">
        <v>46579</v>
      </c>
      <c r="S11622" t="s">
        <v>46919</v>
      </c>
      <c r="T11622" t="s">
        <v>48280</v>
      </c>
      <c r="U11622" t="s">
        <v>58090</v>
      </c>
      <c r="W11622" t="s">
        <v>45965</v>
      </c>
      <c r="X11622" t="s">
        <v>46580</v>
      </c>
    </row>
    <row r="11623" spans="1:24">
      <c r="A11623">
        <f>HYPERLINK("https://www.philgeps.gov.ph/GEPSNONPILOT/Tender/SplashBidNoticeAbstractUI.aspx?menuIndex=3&amp;refID=7049626&amp;Result=3","7049626")</f>
        <v>0</v>
      </c>
      <c r="B11623" t="s">
        <v>947</v>
      </c>
      <c r="C11623" t="s">
        <v>14553</v>
      </c>
      <c r="D11623" t="s">
        <v>18787</v>
      </c>
      <c r="E11623" t="s">
        <v>28880</v>
      </c>
      <c r="F11623" t="s">
        <v>32664</v>
      </c>
      <c r="G11623" t="s">
        <v>32672</v>
      </c>
      <c r="H11623" t="s">
        <v>32683</v>
      </c>
      <c r="I11623" t="s">
        <v>10627</v>
      </c>
      <c r="J11623" t="s">
        <v>39675</v>
      </c>
      <c r="K11623" t="s">
        <v>42492</v>
      </c>
      <c r="M11623" t="s">
        <v>43553</v>
      </c>
      <c r="N11623" t="s">
        <v>46569</v>
      </c>
      <c r="O11623" t="s">
        <v>46570</v>
      </c>
      <c r="P11623">
        <v>0</v>
      </c>
      <c r="Q11623">
        <v>2</v>
      </c>
      <c r="R11623" t="s">
        <v>46579</v>
      </c>
      <c r="S11623" t="s">
        <v>46919</v>
      </c>
      <c r="T11623" t="s">
        <v>48381</v>
      </c>
      <c r="U11623" t="s">
        <v>50650</v>
      </c>
      <c r="W11623" t="s">
        <v>63497</v>
      </c>
      <c r="X11623" t="s">
        <v>46580</v>
      </c>
    </row>
    <row r="11624" spans="1:24">
      <c r="A11624">
        <f>HYPERLINK("https://www.philgeps.gov.ph/GEPSNONPILOT/Tender/SplashBidNoticeAbstractUI.aspx?menuIndex=3&amp;refID=7049697&amp;Result=3","7049697")</f>
        <v>0</v>
      </c>
      <c r="B11624" t="s">
        <v>3062</v>
      </c>
      <c r="C11624" t="s">
        <v>14554</v>
      </c>
      <c r="D11624" t="s">
        <v>18834</v>
      </c>
      <c r="E11624" t="s">
        <v>28881</v>
      </c>
      <c r="F11624" t="s">
        <v>32664</v>
      </c>
      <c r="G11624" t="s">
        <v>32672</v>
      </c>
      <c r="H11624" t="s">
        <v>32683</v>
      </c>
      <c r="I11624" t="s">
        <v>10627</v>
      </c>
      <c r="J11624" t="s">
        <v>39676</v>
      </c>
      <c r="K11624" t="s">
        <v>42298</v>
      </c>
      <c r="M11624" t="s">
        <v>45939</v>
      </c>
      <c r="N11624" t="s">
        <v>46569</v>
      </c>
      <c r="O11624" t="s">
        <v>46570</v>
      </c>
      <c r="Q11624">
        <v>4</v>
      </c>
      <c r="R11624" t="s">
        <v>46579</v>
      </c>
      <c r="S11624" t="s">
        <v>46972</v>
      </c>
      <c r="T11624" t="s">
        <v>48284</v>
      </c>
      <c r="U11624" t="s">
        <v>58091</v>
      </c>
      <c r="V11624" t="s">
        <v>62888</v>
      </c>
      <c r="W11624" t="s">
        <v>45939</v>
      </c>
      <c r="X11624" t="s">
        <v>46580</v>
      </c>
    </row>
    <row r="11625" spans="1:24">
      <c r="A11625">
        <f>HYPERLINK("https://www.philgeps.gov.ph/GEPSNONPILOT/Tender/SplashBidNoticeAbstractUI.aspx?menuIndex=3&amp;refID=7049686&amp;Result=3","7049686")</f>
        <v>0</v>
      </c>
      <c r="B11625" t="s">
        <v>1773</v>
      </c>
      <c r="C11625" t="s">
        <v>14555</v>
      </c>
      <c r="D11625" t="s">
        <v>18834</v>
      </c>
      <c r="E11625" t="s">
        <v>28882</v>
      </c>
      <c r="F11625" t="s">
        <v>32664</v>
      </c>
      <c r="G11625" t="s">
        <v>32672</v>
      </c>
      <c r="H11625" t="s">
        <v>32683</v>
      </c>
      <c r="I11625" t="s">
        <v>10627</v>
      </c>
      <c r="J11625" t="s">
        <v>34022</v>
      </c>
      <c r="K11625" t="s">
        <v>42285</v>
      </c>
      <c r="M11625" t="s">
        <v>44475</v>
      </c>
      <c r="N11625" t="s">
        <v>46569</v>
      </c>
      <c r="O11625" t="s">
        <v>46570</v>
      </c>
      <c r="P11625">
        <v>0</v>
      </c>
      <c r="Q11625">
        <v>3</v>
      </c>
      <c r="R11625" t="s">
        <v>46579</v>
      </c>
      <c r="S11625" t="s">
        <v>46919</v>
      </c>
      <c r="T11625" t="s">
        <v>48276</v>
      </c>
      <c r="U11625" t="s">
        <v>53064</v>
      </c>
      <c r="W11625" t="s">
        <v>44475</v>
      </c>
      <c r="X11625" t="s">
        <v>46580</v>
      </c>
    </row>
    <row r="11626" spans="1:24">
      <c r="A11626">
        <f>HYPERLINK("https://www.philgeps.gov.ph/GEPSNONPILOT/Tender/SplashBidNoticeAbstractUI.aspx?menuIndex=3&amp;refID=7049681&amp;Result=3","7049681")</f>
        <v>0</v>
      </c>
      <c r="B11626" t="s">
        <v>3081</v>
      </c>
      <c r="C11626" t="s">
        <v>14556</v>
      </c>
      <c r="D11626" t="s">
        <v>18784</v>
      </c>
      <c r="E11626" t="s">
        <v>28883</v>
      </c>
      <c r="F11626" t="s">
        <v>32664</v>
      </c>
      <c r="G11626" t="s">
        <v>32672</v>
      </c>
      <c r="H11626" t="s">
        <v>12635</v>
      </c>
      <c r="I11626" t="s">
        <v>8730</v>
      </c>
      <c r="J11626" t="s">
        <v>39677</v>
      </c>
      <c r="K11626" t="s">
        <v>42281</v>
      </c>
      <c r="M11626" t="s">
        <v>45965</v>
      </c>
      <c r="N11626" t="s">
        <v>46569</v>
      </c>
      <c r="O11626" t="s">
        <v>46570</v>
      </c>
      <c r="P11626">
        <v>0</v>
      </c>
      <c r="Q11626">
        <v>1</v>
      </c>
      <c r="R11626" t="s">
        <v>46579</v>
      </c>
      <c r="S11626" t="s">
        <v>46919</v>
      </c>
      <c r="T11626" t="s">
        <v>48280</v>
      </c>
      <c r="U11626" t="s">
        <v>58092</v>
      </c>
      <c r="W11626" t="s">
        <v>45965</v>
      </c>
      <c r="X11626" t="s">
        <v>46580</v>
      </c>
    </row>
    <row r="11627" spans="1:24">
      <c r="A11627">
        <f>HYPERLINK("https://www.philgeps.gov.ph/GEPSNONPILOT/Tender/SplashBidNoticeAbstractUI.aspx?menuIndex=3&amp;refID=7049695&amp;Result=3","7049695")</f>
        <v>0</v>
      </c>
      <c r="B11627" t="s">
        <v>49</v>
      </c>
      <c r="C11627" t="s">
        <v>14557</v>
      </c>
      <c r="D11627" t="s">
        <v>18799</v>
      </c>
      <c r="E11627" t="s">
        <v>28884</v>
      </c>
      <c r="F11627" t="s">
        <v>32664</v>
      </c>
      <c r="G11627" t="s">
        <v>32672</v>
      </c>
      <c r="H11627" t="s">
        <v>12635</v>
      </c>
      <c r="I11627" t="s">
        <v>32685</v>
      </c>
      <c r="J11627" t="s">
        <v>39678</v>
      </c>
      <c r="K11627" t="s">
        <v>42283</v>
      </c>
      <c r="M11627" t="s">
        <v>43367</v>
      </c>
      <c r="N11627" t="s">
        <v>46569</v>
      </c>
      <c r="O11627" t="s">
        <v>46570</v>
      </c>
      <c r="P11627">
        <v>0</v>
      </c>
      <c r="Q11627">
        <v>0</v>
      </c>
      <c r="R11627" t="s">
        <v>46579</v>
      </c>
      <c r="S11627" t="s">
        <v>46919</v>
      </c>
      <c r="T11627" t="s">
        <v>48258</v>
      </c>
      <c r="U11627" t="s">
        <v>58093</v>
      </c>
      <c r="W11627" t="s">
        <v>43367</v>
      </c>
      <c r="X11627" t="s">
        <v>46580</v>
      </c>
    </row>
    <row r="11628" spans="1:24">
      <c r="A11628">
        <f>HYPERLINK("https://www.philgeps.gov.ph/GEPSNONPILOT/Tender/SplashBidNoticeAbstractUI.aspx?menuIndex=3&amp;refID=7049674&amp;Result=3","7049674")</f>
        <v>0</v>
      </c>
      <c r="B11628" t="s">
        <v>3081</v>
      </c>
      <c r="C11628" t="s">
        <v>14558</v>
      </c>
      <c r="D11628" t="s">
        <v>18784</v>
      </c>
      <c r="E11628" t="s">
        <v>28885</v>
      </c>
      <c r="F11628" t="s">
        <v>32664</v>
      </c>
      <c r="G11628" t="s">
        <v>32672</v>
      </c>
      <c r="H11628" t="s">
        <v>12635</v>
      </c>
      <c r="I11628" t="s">
        <v>8730</v>
      </c>
      <c r="J11628" t="s">
        <v>39679</v>
      </c>
      <c r="K11628" t="s">
        <v>42281</v>
      </c>
      <c r="M11628" t="s">
        <v>45965</v>
      </c>
      <c r="N11628" t="s">
        <v>46569</v>
      </c>
      <c r="O11628" t="s">
        <v>46570</v>
      </c>
      <c r="P11628">
        <v>0</v>
      </c>
      <c r="Q11628">
        <v>2</v>
      </c>
      <c r="R11628" t="s">
        <v>46579</v>
      </c>
      <c r="S11628" t="s">
        <v>46919</v>
      </c>
      <c r="T11628" t="s">
        <v>48280</v>
      </c>
      <c r="U11628" t="s">
        <v>58094</v>
      </c>
      <c r="W11628" t="s">
        <v>45965</v>
      </c>
      <c r="X11628" t="s">
        <v>46580</v>
      </c>
    </row>
    <row r="11629" spans="1:24">
      <c r="A11629">
        <f>HYPERLINK("https://www.philgeps.gov.ph/GEPSNONPILOT/Tender/SplashBidNoticeAbstractUI.aspx?menuIndex=3&amp;refID=7049610&amp;Result=3","7049610")</f>
        <v>0</v>
      </c>
      <c r="B11629" t="s">
        <v>3082</v>
      </c>
      <c r="C11629" t="s">
        <v>14559</v>
      </c>
      <c r="D11629" t="s">
        <v>18788</v>
      </c>
      <c r="E11629" t="s">
        <v>18889</v>
      </c>
      <c r="F11629" t="s">
        <v>32664</v>
      </c>
      <c r="G11629" t="s">
        <v>32672</v>
      </c>
      <c r="H11629" t="s">
        <v>32683</v>
      </c>
      <c r="I11629" t="s">
        <v>10627</v>
      </c>
      <c r="J11629" t="s">
        <v>32859</v>
      </c>
      <c r="K11629" t="s">
        <v>42283</v>
      </c>
      <c r="M11629" t="s">
        <v>45967</v>
      </c>
      <c r="N11629" t="s">
        <v>46569</v>
      </c>
      <c r="O11629" t="s">
        <v>46570</v>
      </c>
      <c r="P11629">
        <v>0</v>
      </c>
      <c r="Q11629">
        <v>0</v>
      </c>
      <c r="R11629" t="s">
        <v>46579</v>
      </c>
      <c r="S11629" t="s">
        <v>46919</v>
      </c>
      <c r="T11629" t="s">
        <v>48258</v>
      </c>
      <c r="U11629" t="s">
        <v>58095</v>
      </c>
      <c r="W11629" t="s">
        <v>45967</v>
      </c>
      <c r="X11629" t="s">
        <v>46580</v>
      </c>
    </row>
    <row r="11630" spans="1:24">
      <c r="A11630">
        <f>HYPERLINK("https://www.philgeps.gov.ph/GEPSNONPILOT/Tender/SplashBidNoticeAbstractUI.aspx?menuIndex=3&amp;refID=7049687&amp;Result=3","7049687")</f>
        <v>0</v>
      </c>
      <c r="B11630" t="s">
        <v>3081</v>
      </c>
      <c r="C11630" t="s">
        <v>14151</v>
      </c>
      <c r="D11630" t="s">
        <v>18784</v>
      </c>
      <c r="E11630" t="s">
        <v>28886</v>
      </c>
      <c r="F11630" t="s">
        <v>32664</v>
      </c>
      <c r="G11630" t="s">
        <v>32672</v>
      </c>
      <c r="H11630" t="s">
        <v>12635</v>
      </c>
      <c r="I11630" t="s">
        <v>6168</v>
      </c>
      <c r="J11630" t="s">
        <v>39680</v>
      </c>
      <c r="K11630" t="s">
        <v>42281</v>
      </c>
      <c r="M11630" t="s">
        <v>45965</v>
      </c>
      <c r="N11630" t="s">
        <v>46569</v>
      </c>
      <c r="O11630" t="s">
        <v>46570</v>
      </c>
      <c r="P11630">
        <v>0</v>
      </c>
      <c r="Q11630">
        <v>0</v>
      </c>
      <c r="R11630" t="s">
        <v>46579</v>
      </c>
      <c r="S11630" t="s">
        <v>46919</v>
      </c>
      <c r="T11630" t="s">
        <v>48280</v>
      </c>
      <c r="U11630" t="s">
        <v>58096</v>
      </c>
      <c r="W11630" t="s">
        <v>45965</v>
      </c>
      <c r="X11630" t="s">
        <v>46580</v>
      </c>
    </row>
    <row r="11631" spans="1:24">
      <c r="A11631">
        <f>HYPERLINK("https://www.philgeps.gov.ph/GEPSNONPILOT/Tender/SplashBidNoticeAbstractUI.aspx?menuIndex=3&amp;refID=7049631&amp;Result=3","7049631")</f>
        <v>0</v>
      </c>
      <c r="B11631" t="s">
        <v>1105</v>
      </c>
      <c r="C11631" t="s">
        <v>14560</v>
      </c>
      <c r="D11631" t="s">
        <v>18830</v>
      </c>
      <c r="E11631" t="s">
        <v>28887</v>
      </c>
      <c r="F11631" t="s">
        <v>32664</v>
      </c>
      <c r="G11631" t="s">
        <v>32672</v>
      </c>
      <c r="H11631" t="s">
        <v>12635</v>
      </c>
      <c r="I11631" t="s">
        <v>32708</v>
      </c>
      <c r="J11631" t="s">
        <v>39681</v>
      </c>
      <c r="K11631" t="s">
        <v>42283</v>
      </c>
      <c r="M11631" t="s">
        <v>43732</v>
      </c>
      <c r="N11631" t="s">
        <v>46569</v>
      </c>
      <c r="O11631" t="s">
        <v>46570</v>
      </c>
      <c r="Q11631">
        <v>48</v>
      </c>
      <c r="R11631" t="s">
        <v>46579</v>
      </c>
      <c r="S11631" t="s">
        <v>46973</v>
      </c>
      <c r="T11631" t="s">
        <v>48313</v>
      </c>
      <c r="U11631" t="s">
        <v>58097</v>
      </c>
      <c r="W11631" t="s">
        <v>43732</v>
      </c>
      <c r="X11631" t="s">
        <v>46580</v>
      </c>
    </row>
    <row r="11632" spans="1:24">
      <c r="A11632">
        <f>HYPERLINK("https://www.philgeps.gov.ph/GEPSNONPILOT/Tender/SplashBidNoticeAbstractUI.aspx?menuIndex=3&amp;refID=7049771&amp;Result=3","7049771")</f>
        <v>0</v>
      </c>
      <c r="B11632" t="s">
        <v>3083</v>
      </c>
      <c r="C11632" t="s">
        <v>14561</v>
      </c>
      <c r="D11632" t="s">
        <v>18808</v>
      </c>
      <c r="E11632" t="s">
        <v>25095</v>
      </c>
      <c r="F11632" t="s">
        <v>32664</v>
      </c>
      <c r="G11632" t="s">
        <v>32672</v>
      </c>
      <c r="H11632" t="s">
        <v>12635</v>
      </c>
      <c r="I11632" t="s">
        <v>11464</v>
      </c>
      <c r="J11632" t="s">
        <v>39682</v>
      </c>
      <c r="K11632" t="s">
        <v>42321</v>
      </c>
      <c r="M11632" t="s">
        <v>45968</v>
      </c>
      <c r="N11632" t="s">
        <v>46569</v>
      </c>
      <c r="O11632" t="s">
        <v>46570</v>
      </c>
      <c r="P11632">
        <v>0</v>
      </c>
      <c r="Q11632">
        <v>9</v>
      </c>
      <c r="R11632" t="s">
        <v>46579</v>
      </c>
      <c r="S11632" t="s">
        <v>46919</v>
      </c>
      <c r="T11632" t="s">
        <v>48363</v>
      </c>
      <c r="U11632" t="s">
        <v>58098</v>
      </c>
      <c r="W11632" t="s">
        <v>45968</v>
      </c>
      <c r="X11632" t="s">
        <v>46580</v>
      </c>
    </row>
    <row r="11633" spans="1:24">
      <c r="A11633">
        <f>HYPERLINK("https://www.philgeps.gov.ph/GEPSNONPILOT/Tender/SplashBidNoticeAbstractUI.aspx?menuIndex=3&amp;refID=7049679&amp;Result=3","7049679")</f>
        <v>0</v>
      </c>
      <c r="B11633" t="s">
        <v>3081</v>
      </c>
      <c r="C11633" t="s">
        <v>14562</v>
      </c>
      <c r="D11633" t="s">
        <v>18784</v>
      </c>
      <c r="E11633" t="s">
        <v>28888</v>
      </c>
      <c r="F11633" t="s">
        <v>32664</v>
      </c>
      <c r="G11633" t="s">
        <v>32672</v>
      </c>
      <c r="H11633" t="s">
        <v>12635</v>
      </c>
      <c r="I11633" t="s">
        <v>32684</v>
      </c>
      <c r="J11633" t="s">
        <v>33138</v>
      </c>
      <c r="K11633" t="s">
        <v>42281</v>
      </c>
      <c r="M11633" t="s">
        <v>45965</v>
      </c>
      <c r="N11633" t="s">
        <v>46569</v>
      </c>
      <c r="O11633" t="s">
        <v>46570</v>
      </c>
      <c r="P11633">
        <v>0</v>
      </c>
      <c r="Q11633">
        <v>9</v>
      </c>
      <c r="R11633" t="s">
        <v>46579</v>
      </c>
      <c r="S11633" t="s">
        <v>46919</v>
      </c>
      <c r="T11633" t="s">
        <v>48280</v>
      </c>
      <c r="U11633" t="s">
        <v>58099</v>
      </c>
      <c r="W11633" t="s">
        <v>45965</v>
      </c>
      <c r="X11633" t="s">
        <v>46580</v>
      </c>
    </row>
    <row r="11634" spans="1:24">
      <c r="A11634">
        <f>HYPERLINK("https://www.philgeps.gov.ph/GEPSNONPILOT/Tender/SplashBidNoticeAbstractUI.aspx?menuIndex=3&amp;refID=7049783&amp;Result=3","7049783")</f>
        <v>0</v>
      </c>
      <c r="B11634" t="s">
        <v>3034</v>
      </c>
      <c r="C11634" t="s">
        <v>14563</v>
      </c>
      <c r="D11634" t="s">
        <v>18839</v>
      </c>
      <c r="E11634" t="s">
        <v>28889</v>
      </c>
      <c r="F11634" t="s">
        <v>32664</v>
      </c>
      <c r="G11634" t="s">
        <v>32672</v>
      </c>
      <c r="H11634" t="s">
        <v>12635</v>
      </c>
      <c r="I11634" t="s">
        <v>32704</v>
      </c>
      <c r="J11634" t="s">
        <v>39683</v>
      </c>
      <c r="K11634" t="s">
        <v>42297</v>
      </c>
      <c r="M11634" t="s">
        <v>45907</v>
      </c>
      <c r="N11634" t="s">
        <v>46569</v>
      </c>
      <c r="O11634" t="s">
        <v>46570</v>
      </c>
      <c r="P11634">
        <v>0</v>
      </c>
      <c r="Q11634">
        <v>11</v>
      </c>
      <c r="R11634" t="s">
        <v>46579</v>
      </c>
      <c r="S11634" t="s">
        <v>46919</v>
      </c>
      <c r="T11634" t="s">
        <v>48213</v>
      </c>
      <c r="U11634" t="s">
        <v>58100</v>
      </c>
      <c r="W11634" t="s">
        <v>45907</v>
      </c>
      <c r="X11634" t="s">
        <v>46580</v>
      </c>
    </row>
    <row r="11635" spans="1:24">
      <c r="A11635">
        <f>HYPERLINK("https://www.philgeps.gov.ph/GEPSNONPILOT/Tender/SplashBidNoticeAbstractUI.aspx?menuIndex=3&amp;refID=7049754&amp;Result=3","7049754")</f>
        <v>0</v>
      </c>
      <c r="B11635" t="s">
        <v>374</v>
      </c>
      <c r="C11635" t="s">
        <v>14564</v>
      </c>
      <c r="D11635" t="s">
        <v>18784</v>
      </c>
      <c r="E11635" t="s">
        <v>28890</v>
      </c>
      <c r="F11635" t="s">
        <v>32664</v>
      </c>
      <c r="G11635" t="s">
        <v>32677</v>
      </c>
      <c r="H11635" t="s">
        <v>32681</v>
      </c>
      <c r="I11635" t="s">
        <v>32681</v>
      </c>
      <c r="J11635" t="s">
        <v>32930</v>
      </c>
      <c r="K11635" t="s">
        <v>42382</v>
      </c>
      <c r="M11635" t="s">
        <v>43933</v>
      </c>
      <c r="N11635" t="s">
        <v>46569</v>
      </c>
      <c r="O11635" t="s">
        <v>46570</v>
      </c>
      <c r="P11635">
        <v>0</v>
      </c>
      <c r="Q11635">
        <v>9</v>
      </c>
      <c r="R11635" t="s">
        <v>46579</v>
      </c>
      <c r="S11635" t="s">
        <v>46919</v>
      </c>
      <c r="T11635" t="s">
        <v>48315</v>
      </c>
      <c r="U11635" t="s">
        <v>58101</v>
      </c>
      <c r="W11635" t="s">
        <v>43933</v>
      </c>
      <c r="X11635" t="s">
        <v>46580</v>
      </c>
    </row>
    <row r="11636" spans="1:24">
      <c r="A11636">
        <f>HYPERLINK("https://www.philgeps.gov.ph/GEPSNONPILOT/Tender/SplashBidNoticeAbstractUI.aspx?menuIndex=3&amp;refID=7049685&amp;Result=3","7049685")</f>
        <v>0</v>
      </c>
      <c r="B11636" t="s">
        <v>1790</v>
      </c>
      <c r="C11636" t="s">
        <v>14565</v>
      </c>
      <c r="D11636" t="s">
        <v>18787</v>
      </c>
      <c r="E11636" t="s">
        <v>28891</v>
      </c>
      <c r="F11636" t="s">
        <v>32665</v>
      </c>
      <c r="G11636" t="s">
        <v>32672</v>
      </c>
      <c r="H11636" t="s">
        <v>32683</v>
      </c>
      <c r="I11636" t="s">
        <v>10627</v>
      </c>
      <c r="J11636" t="s">
        <v>34559</v>
      </c>
      <c r="K11636" t="s">
        <v>42298</v>
      </c>
      <c r="M11636" t="s">
        <v>44492</v>
      </c>
      <c r="N11636" t="s">
        <v>46569</v>
      </c>
      <c r="O11636" t="s">
        <v>46570</v>
      </c>
      <c r="P11636">
        <v>0</v>
      </c>
      <c r="Q11636">
        <v>0</v>
      </c>
      <c r="R11636" t="s">
        <v>46579</v>
      </c>
      <c r="S11636" t="s">
        <v>46919</v>
      </c>
      <c r="T11636" t="s">
        <v>48284</v>
      </c>
      <c r="U11636" t="s">
        <v>58102</v>
      </c>
      <c r="W11636" t="s">
        <v>44492</v>
      </c>
      <c r="X11636" t="s">
        <v>46580</v>
      </c>
    </row>
    <row r="11637" spans="1:24">
      <c r="A11637">
        <f>HYPERLINK("https://www.philgeps.gov.ph/GEPSNONPILOT/Tender/SplashBidNoticeAbstractUI.aspx?menuIndex=3&amp;refID=7049751&amp;Result=3","7049751")</f>
        <v>0</v>
      </c>
      <c r="B11637" t="s">
        <v>1150</v>
      </c>
      <c r="C11637" t="s">
        <v>10858</v>
      </c>
      <c r="D11637" t="s">
        <v>18845</v>
      </c>
      <c r="E11637" t="s">
        <v>28892</v>
      </c>
      <c r="F11637" t="s">
        <v>32664</v>
      </c>
      <c r="G11637" t="s">
        <v>32672</v>
      </c>
      <c r="H11637" t="s">
        <v>12635</v>
      </c>
      <c r="I11637" t="s">
        <v>8797</v>
      </c>
      <c r="J11637" t="s">
        <v>39684</v>
      </c>
      <c r="K11637" t="s">
        <v>42297</v>
      </c>
      <c r="M11637" t="s">
        <v>44784</v>
      </c>
      <c r="N11637" t="s">
        <v>46569</v>
      </c>
      <c r="O11637" t="s">
        <v>46570</v>
      </c>
      <c r="P11637">
        <v>0</v>
      </c>
      <c r="Q11637">
        <v>9</v>
      </c>
      <c r="R11637" t="s">
        <v>46579</v>
      </c>
      <c r="S11637" t="s">
        <v>46919</v>
      </c>
      <c r="T11637" t="s">
        <v>48363</v>
      </c>
      <c r="U11637" t="s">
        <v>58103</v>
      </c>
      <c r="W11637" t="s">
        <v>44784</v>
      </c>
      <c r="X11637" t="s">
        <v>46580</v>
      </c>
    </row>
    <row r="11638" spans="1:24">
      <c r="A11638">
        <f>HYPERLINK("https://www.philgeps.gov.ph/GEPSNONPILOT/Tender/SplashBidNoticeAbstractUI.aspx?menuIndex=3&amp;refID=7049766&amp;Result=3","7049766")</f>
        <v>0</v>
      </c>
      <c r="B11638" t="s">
        <v>2841</v>
      </c>
      <c r="C11638" t="s">
        <v>14566</v>
      </c>
      <c r="D11638" t="s">
        <v>18859</v>
      </c>
      <c r="E11638" t="s">
        <v>28893</v>
      </c>
      <c r="F11638" t="s">
        <v>32664</v>
      </c>
      <c r="G11638" t="s">
        <v>32672</v>
      </c>
      <c r="H11638" t="s">
        <v>32683</v>
      </c>
      <c r="I11638" t="s">
        <v>10627</v>
      </c>
      <c r="J11638" t="s">
        <v>39685</v>
      </c>
      <c r="K11638" t="s">
        <v>42311</v>
      </c>
      <c r="M11638" t="s">
        <v>45689</v>
      </c>
      <c r="N11638" t="s">
        <v>46569</v>
      </c>
      <c r="O11638" t="s">
        <v>46570</v>
      </c>
      <c r="P11638">
        <v>0</v>
      </c>
      <c r="Q11638">
        <v>8</v>
      </c>
      <c r="R11638" t="s">
        <v>46579</v>
      </c>
      <c r="S11638" t="s">
        <v>46919</v>
      </c>
      <c r="T11638" t="s">
        <v>48212</v>
      </c>
      <c r="U11638" t="s">
        <v>58104</v>
      </c>
      <c r="V11638" t="s">
        <v>62889</v>
      </c>
      <c r="W11638" t="s">
        <v>45689</v>
      </c>
      <c r="X11638" t="s">
        <v>46580</v>
      </c>
    </row>
    <row r="11639" spans="1:24">
      <c r="A11639">
        <f>HYPERLINK("https://www.philgeps.gov.ph/GEPSNONPILOT/Tender/SplashBidNoticeAbstractUI.aspx?menuIndex=3&amp;refID=7049741&amp;Result=3","7049741")</f>
        <v>0</v>
      </c>
      <c r="B11639" t="s">
        <v>952</v>
      </c>
      <c r="C11639" t="s">
        <v>14567</v>
      </c>
      <c r="D11639" t="s">
        <v>18786</v>
      </c>
      <c r="E11639" t="s">
        <v>28894</v>
      </c>
      <c r="F11639" t="s">
        <v>32664</v>
      </c>
      <c r="G11639" t="s">
        <v>32672</v>
      </c>
      <c r="H11639" t="s">
        <v>12635</v>
      </c>
      <c r="I11639" t="s">
        <v>32706</v>
      </c>
      <c r="J11639" t="s">
        <v>39686</v>
      </c>
      <c r="K11639" t="s">
        <v>42281</v>
      </c>
      <c r="M11639" t="s">
        <v>43558</v>
      </c>
      <c r="N11639" t="s">
        <v>46569</v>
      </c>
      <c r="O11639" t="s">
        <v>46570</v>
      </c>
      <c r="P11639">
        <v>0</v>
      </c>
      <c r="Q11639">
        <v>0</v>
      </c>
      <c r="R11639" t="s">
        <v>46579</v>
      </c>
      <c r="S11639" t="s">
        <v>46919</v>
      </c>
      <c r="T11639" t="s">
        <v>48221</v>
      </c>
      <c r="U11639" t="s">
        <v>58105</v>
      </c>
      <c r="V11639" t="s">
        <v>62890</v>
      </c>
      <c r="W11639" t="s">
        <v>43558</v>
      </c>
      <c r="X11639" t="s">
        <v>46580</v>
      </c>
    </row>
    <row r="11640" spans="1:24">
      <c r="A11640">
        <f>HYPERLINK("https://www.philgeps.gov.ph/GEPSNONPILOT/Tender/SplashBidNoticeAbstractUI.aspx?menuIndex=3&amp;refID=7049757&amp;Result=3","7049757")</f>
        <v>0</v>
      </c>
      <c r="B11640" t="s">
        <v>952</v>
      </c>
      <c r="C11640" t="s">
        <v>14568</v>
      </c>
      <c r="D11640" t="s">
        <v>18786</v>
      </c>
      <c r="E11640" t="s">
        <v>28895</v>
      </c>
      <c r="F11640" t="s">
        <v>32664</v>
      </c>
      <c r="G11640" t="s">
        <v>32672</v>
      </c>
      <c r="H11640" t="s">
        <v>12635</v>
      </c>
      <c r="I11640" t="s">
        <v>32699</v>
      </c>
      <c r="J11640" t="s">
        <v>39687</v>
      </c>
      <c r="K11640" t="s">
        <v>42281</v>
      </c>
      <c r="M11640" t="s">
        <v>43558</v>
      </c>
      <c r="N11640" t="s">
        <v>46569</v>
      </c>
      <c r="O11640" t="s">
        <v>46570</v>
      </c>
      <c r="P11640">
        <v>0</v>
      </c>
      <c r="Q11640">
        <v>3</v>
      </c>
      <c r="R11640" t="s">
        <v>46579</v>
      </c>
      <c r="S11640" t="s">
        <v>46919</v>
      </c>
      <c r="T11640" t="s">
        <v>48221</v>
      </c>
      <c r="U11640" t="s">
        <v>58106</v>
      </c>
      <c r="V11640" t="s">
        <v>62891</v>
      </c>
      <c r="W11640" t="s">
        <v>43558</v>
      </c>
      <c r="X11640" t="s">
        <v>46580</v>
      </c>
    </row>
    <row r="11641" spans="1:24">
      <c r="A11641">
        <f>HYPERLINK("https://www.philgeps.gov.ph/GEPSNONPILOT/Tender/SplashBidNoticeAbstractUI.aspx?menuIndex=3&amp;refID=7049732&amp;Result=3","7049732")</f>
        <v>0</v>
      </c>
      <c r="B11641" t="s">
        <v>785</v>
      </c>
      <c r="C11641" t="s">
        <v>14569</v>
      </c>
      <c r="D11641" t="s">
        <v>18794</v>
      </c>
      <c r="E11641" t="s">
        <v>28896</v>
      </c>
      <c r="F11641" t="s">
        <v>32664</v>
      </c>
      <c r="G11641" t="s">
        <v>32672</v>
      </c>
      <c r="H11641" t="s">
        <v>12635</v>
      </c>
      <c r="I11641" t="s">
        <v>32717</v>
      </c>
      <c r="J11641" t="s">
        <v>39688</v>
      </c>
      <c r="K11641" t="s">
        <v>42305</v>
      </c>
      <c r="M11641" t="s">
        <v>43377</v>
      </c>
      <c r="N11641" t="s">
        <v>46569</v>
      </c>
      <c r="O11641" t="s">
        <v>46570</v>
      </c>
      <c r="Q11641">
        <v>5</v>
      </c>
      <c r="R11641" t="s">
        <v>46579</v>
      </c>
      <c r="S11641" t="s">
        <v>46974</v>
      </c>
      <c r="T11641" t="s">
        <v>48363</v>
      </c>
      <c r="U11641" t="s">
        <v>58107</v>
      </c>
      <c r="W11641" t="s">
        <v>43377</v>
      </c>
      <c r="X11641" t="s">
        <v>46580</v>
      </c>
    </row>
    <row r="11642" spans="1:24">
      <c r="A11642">
        <f>HYPERLINK("https://www.philgeps.gov.ph/GEPSNONPILOT/Tender/SplashBidNoticeAbstractUI.aspx?menuIndex=3&amp;refID=7049769&amp;Result=3","7049769")</f>
        <v>0</v>
      </c>
      <c r="B11642" t="s">
        <v>3034</v>
      </c>
      <c r="C11642" t="s">
        <v>14570</v>
      </c>
      <c r="D11642" t="s">
        <v>18839</v>
      </c>
      <c r="E11642" t="s">
        <v>28897</v>
      </c>
      <c r="F11642" t="s">
        <v>32664</v>
      </c>
      <c r="G11642" t="s">
        <v>32672</v>
      </c>
      <c r="H11642" t="s">
        <v>12635</v>
      </c>
      <c r="I11642" t="s">
        <v>5589</v>
      </c>
      <c r="J11642" t="s">
        <v>39689</v>
      </c>
      <c r="K11642" t="s">
        <v>42281</v>
      </c>
      <c r="M11642" t="s">
        <v>45907</v>
      </c>
      <c r="N11642" t="s">
        <v>46569</v>
      </c>
      <c r="O11642" t="s">
        <v>46570</v>
      </c>
      <c r="P11642">
        <v>0</v>
      </c>
      <c r="Q11642">
        <v>10</v>
      </c>
      <c r="R11642" t="s">
        <v>46579</v>
      </c>
      <c r="S11642" t="s">
        <v>46919</v>
      </c>
      <c r="T11642" t="s">
        <v>48213</v>
      </c>
      <c r="U11642" t="s">
        <v>58108</v>
      </c>
      <c r="W11642" t="s">
        <v>45907</v>
      </c>
      <c r="X11642" t="s">
        <v>46580</v>
      </c>
    </row>
    <row r="11643" spans="1:24">
      <c r="A11643">
        <f>HYPERLINK("https://www.philgeps.gov.ph/GEPSNONPILOT/Tender/SplashBidNoticeAbstractUI.aspx?menuIndex=3&amp;refID=7049729&amp;Result=3","7049729")</f>
        <v>0</v>
      </c>
      <c r="B11643" t="s">
        <v>49</v>
      </c>
      <c r="C11643" t="s">
        <v>14571</v>
      </c>
      <c r="D11643" t="s">
        <v>18799</v>
      </c>
      <c r="E11643" t="s">
        <v>28898</v>
      </c>
      <c r="F11643" t="s">
        <v>32664</v>
      </c>
      <c r="G11643" t="s">
        <v>32672</v>
      </c>
      <c r="H11643" t="s">
        <v>12635</v>
      </c>
      <c r="I11643" t="s">
        <v>32685</v>
      </c>
      <c r="J11643" t="s">
        <v>39690</v>
      </c>
      <c r="K11643" t="s">
        <v>42283</v>
      </c>
      <c r="M11643" t="s">
        <v>43367</v>
      </c>
      <c r="N11643" t="s">
        <v>46569</v>
      </c>
      <c r="O11643" t="s">
        <v>46570</v>
      </c>
      <c r="P11643">
        <v>0</v>
      </c>
      <c r="Q11643">
        <v>1</v>
      </c>
      <c r="R11643" t="s">
        <v>46579</v>
      </c>
      <c r="S11643" t="s">
        <v>46919</v>
      </c>
      <c r="T11643" t="s">
        <v>48258</v>
      </c>
      <c r="U11643" t="s">
        <v>58109</v>
      </c>
      <c r="W11643" t="s">
        <v>43367</v>
      </c>
      <c r="X11643" t="s">
        <v>46580</v>
      </c>
    </row>
    <row r="11644" spans="1:24">
      <c r="A11644">
        <f>HYPERLINK("https://www.philgeps.gov.ph/GEPSNONPILOT/Tender/SplashBidNoticeAbstractUI.aspx?menuIndex=3&amp;refID=7049758&amp;Result=3","7049758")</f>
        <v>0</v>
      </c>
      <c r="B11644" t="s">
        <v>3034</v>
      </c>
      <c r="C11644" t="s">
        <v>14572</v>
      </c>
      <c r="D11644" t="s">
        <v>18839</v>
      </c>
      <c r="E11644" t="s">
        <v>28899</v>
      </c>
      <c r="F11644" t="s">
        <v>32664</v>
      </c>
      <c r="G11644" t="s">
        <v>32672</v>
      </c>
      <c r="H11644" t="s">
        <v>12635</v>
      </c>
      <c r="I11644" t="s">
        <v>5589</v>
      </c>
      <c r="J11644" t="s">
        <v>39691</v>
      </c>
      <c r="K11644" t="s">
        <v>42281</v>
      </c>
      <c r="M11644" t="s">
        <v>45907</v>
      </c>
      <c r="N11644" t="s">
        <v>46569</v>
      </c>
      <c r="O11644" t="s">
        <v>46570</v>
      </c>
      <c r="P11644">
        <v>0</v>
      </c>
      <c r="Q11644">
        <v>6</v>
      </c>
      <c r="R11644" t="s">
        <v>46579</v>
      </c>
      <c r="S11644" t="s">
        <v>46919</v>
      </c>
      <c r="T11644" t="s">
        <v>48213</v>
      </c>
      <c r="U11644" t="s">
        <v>58110</v>
      </c>
      <c r="W11644" t="s">
        <v>45907</v>
      </c>
      <c r="X11644" t="s">
        <v>46580</v>
      </c>
    </row>
    <row r="11645" spans="1:24">
      <c r="A11645">
        <f>HYPERLINK("https://www.philgeps.gov.ph/GEPSNONPILOT/Tender/SplashBidNoticeAbstractUI.aspx?menuIndex=3&amp;refID=7049727&amp;Result=3","7049727")</f>
        <v>0</v>
      </c>
      <c r="B11645" t="s">
        <v>3034</v>
      </c>
      <c r="C11645" t="s">
        <v>14573</v>
      </c>
      <c r="D11645" t="s">
        <v>18839</v>
      </c>
      <c r="E11645" t="s">
        <v>28900</v>
      </c>
      <c r="F11645" t="s">
        <v>32664</v>
      </c>
      <c r="G11645" t="s">
        <v>32672</v>
      </c>
      <c r="H11645" t="s">
        <v>12635</v>
      </c>
      <c r="I11645" t="s">
        <v>32704</v>
      </c>
      <c r="J11645" t="s">
        <v>39692</v>
      </c>
      <c r="K11645" t="s">
        <v>42297</v>
      </c>
      <c r="M11645" t="s">
        <v>45907</v>
      </c>
      <c r="N11645" t="s">
        <v>46569</v>
      </c>
      <c r="O11645" t="s">
        <v>46570</v>
      </c>
      <c r="P11645">
        <v>0</v>
      </c>
      <c r="Q11645">
        <v>12</v>
      </c>
      <c r="R11645" t="s">
        <v>46579</v>
      </c>
      <c r="S11645" t="s">
        <v>46919</v>
      </c>
      <c r="T11645" t="s">
        <v>48213</v>
      </c>
      <c r="U11645" t="s">
        <v>58111</v>
      </c>
      <c r="W11645" t="s">
        <v>45907</v>
      </c>
      <c r="X11645" t="s">
        <v>46580</v>
      </c>
    </row>
    <row r="11646" spans="1:24">
      <c r="A11646">
        <f>HYPERLINK("https://www.philgeps.gov.ph/GEPSNONPILOT/Tender/SplashBidNoticeAbstractUI.aspx?menuIndex=3&amp;refID=7049746&amp;Result=3","7049746")</f>
        <v>0</v>
      </c>
      <c r="B11646" t="s">
        <v>2951</v>
      </c>
      <c r="C11646" t="s">
        <v>14574</v>
      </c>
      <c r="D11646" t="s">
        <v>18789</v>
      </c>
      <c r="E11646" t="s">
        <v>28901</v>
      </c>
      <c r="F11646" t="s">
        <v>32664</v>
      </c>
      <c r="G11646" t="s">
        <v>32672</v>
      </c>
      <c r="H11646" t="s">
        <v>12635</v>
      </c>
      <c r="I11646" t="s">
        <v>6168</v>
      </c>
      <c r="J11646" t="s">
        <v>39693</v>
      </c>
      <c r="K11646" t="s">
        <v>42281</v>
      </c>
      <c r="M11646" t="s">
        <v>45969</v>
      </c>
      <c r="N11646" t="s">
        <v>46569</v>
      </c>
      <c r="O11646" t="s">
        <v>46570</v>
      </c>
      <c r="P11646">
        <v>0</v>
      </c>
      <c r="Q11646">
        <v>4</v>
      </c>
      <c r="R11646" t="s">
        <v>46579</v>
      </c>
      <c r="S11646" t="s">
        <v>46919</v>
      </c>
      <c r="T11646" t="s">
        <v>48212</v>
      </c>
      <c r="U11646" t="s">
        <v>58112</v>
      </c>
      <c r="W11646" t="s">
        <v>45969</v>
      </c>
      <c r="X11646" t="s">
        <v>46580</v>
      </c>
    </row>
    <row r="11647" spans="1:24">
      <c r="A11647">
        <f>HYPERLINK("https://www.philgeps.gov.ph/GEPSNONPILOT/Tender/SplashBidNoticeAbstractUI.aspx?menuIndex=3&amp;refID=7049713&amp;Result=3","7049713")</f>
        <v>0</v>
      </c>
      <c r="B11647" t="s">
        <v>785</v>
      </c>
      <c r="C11647" t="s">
        <v>14575</v>
      </c>
      <c r="D11647" t="s">
        <v>18794</v>
      </c>
      <c r="E11647" t="s">
        <v>28902</v>
      </c>
      <c r="F11647" t="s">
        <v>32664</v>
      </c>
      <c r="G11647" t="s">
        <v>32672</v>
      </c>
      <c r="H11647" t="s">
        <v>12635</v>
      </c>
      <c r="I11647" t="s">
        <v>32717</v>
      </c>
      <c r="J11647" t="s">
        <v>39694</v>
      </c>
      <c r="K11647" t="s">
        <v>42305</v>
      </c>
      <c r="M11647" t="s">
        <v>43377</v>
      </c>
      <c r="N11647" t="s">
        <v>46569</v>
      </c>
      <c r="O11647" t="s">
        <v>46570</v>
      </c>
      <c r="Q11647">
        <v>5</v>
      </c>
      <c r="R11647" t="s">
        <v>46579</v>
      </c>
      <c r="S11647" t="s">
        <v>46975</v>
      </c>
      <c r="T11647" t="s">
        <v>48363</v>
      </c>
      <c r="U11647" t="s">
        <v>58113</v>
      </c>
      <c r="W11647" t="s">
        <v>43377</v>
      </c>
      <c r="X11647" t="s">
        <v>46580</v>
      </c>
    </row>
    <row r="11648" spans="1:24">
      <c r="A11648">
        <f>HYPERLINK("https://www.philgeps.gov.ph/GEPSNONPILOT/Tender/SplashBidNoticeAbstractUI.aspx?menuIndex=3&amp;refID=7049711&amp;Result=3","7049711")</f>
        <v>0</v>
      </c>
      <c r="B11648" t="s">
        <v>1819</v>
      </c>
      <c r="C11648" t="s">
        <v>14576</v>
      </c>
      <c r="D11648" t="s">
        <v>18797</v>
      </c>
      <c r="E11648" t="s">
        <v>28903</v>
      </c>
      <c r="F11648" t="s">
        <v>32664</v>
      </c>
      <c r="G11648" t="s">
        <v>32672</v>
      </c>
      <c r="H11648" t="s">
        <v>12635</v>
      </c>
      <c r="I11648" t="s">
        <v>7759</v>
      </c>
      <c r="J11648" t="s">
        <v>32981</v>
      </c>
      <c r="K11648" t="s">
        <v>42289</v>
      </c>
      <c r="M11648" t="s">
        <v>44525</v>
      </c>
      <c r="N11648" t="s">
        <v>46569</v>
      </c>
      <c r="O11648" t="s">
        <v>46570</v>
      </c>
      <c r="Q11648">
        <v>1</v>
      </c>
      <c r="R11648" t="s">
        <v>46579</v>
      </c>
      <c r="S11648" t="s">
        <v>46976</v>
      </c>
      <c r="T11648" t="s">
        <v>48571</v>
      </c>
      <c r="U11648" t="s">
        <v>58114</v>
      </c>
      <c r="V11648" t="s">
        <v>62892</v>
      </c>
      <c r="W11648" t="s">
        <v>44525</v>
      </c>
      <c r="X11648" t="s">
        <v>46580</v>
      </c>
    </row>
    <row r="11649" spans="1:24">
      <c r="A11649">
        <f>HYPERLINK("https://www.philgeps.gov.ph/GEPSNONPILOT/Tender/SplashBidNoticeAbstractUI.aspx?menuIndex=3&amp;refID=7049710&amp;Result=3","7049710")</f>
        <v>0</v>
      </c>
      <c r="B11649" t="s">
        <v>49</v>
      </c>
      <c r="C11649" t="s">
        <v>14577</v>
      </c>
      <c r="D11649" t="s">
        <v>18799</v>
      </c>
      <c r="E11649" t="s">
        <v>28904</v>
      </c>
      <c r="F11649" t="s">
        <v>32664</v>
      </c>
      <c r="G11649" t="s">
        <v>32672</v>
      </c>
      <c r="H11649" t="s">
        <v>12635</v>
      </c>
      <c r="I11649" t="s">
        <v>32685</v>
      </c>
      <c r="J11649" t="s">
        <v>39695</v>
      </c>
      <c r="K11649" t="s">
        <v>42283</v>
      </c>
      <c r="M11649" t="s">
        <v>43367</v>
      </c>
      <c r="N11649" t="s">
        <v>46569</v>
      </c>
      <c r="O11649" t="s">
        <v>46570</v>
      </c>
      <c r="Q11649">
        <v>3</v>
      </c>
      <c r="R11649" t="s">
        <v>46579</v>
      </c>
      <c r="S11649" t="s">
        <v>46977</v>
      </c>
      <c r="T11649" t="s">
        <v>48273</v>
      </c>
      <c r="U11649" t="s">
        <v>58115</v>
      </c>
      <c r="W11649" t="s">
        <v>43367</v>
      </c>
      <c r="X11649" t="s">
        <v>46580</v>
      </c>
    </row>
    <row r="11650" spans="1:24">
      <c r="A11650">
        <f>HYPERLINK("https://www.philgeps.gov.ph/GEPSNONPILOT/Tender/SplashBidNoticeAbstractUI.aspx?menuIndex=3&amp;refID=7049707&amp;Result=3","7049707")</f>
        <v>0</v>
      </c>
      <c r="B11650" t="s">
        <v>785</v>
      </c>
      <c r="C11650" t="s">
        <v>14578</v>
      </c>
      <c r="D11650" t="s">
        <v>18794</v>
      </c>
      <c r="E11650" t="s">
        <v>28905</v>
      </c>
      <c r="F11650" t="s">
        <v>32664</v>
      </c>
      <c r="G11650" t="s">
        <v>32672</v>
      </c>
      <c r="H11650" t="s">
        <v>12635</v>
      </c>
      <c r="I11650" t="s">
        <v>32717</v>
      </c>
      <c r="J11650" t="s">
        <v>32943</v>
      </c>
      <c r="K11650" t="s">
        <v>42305</v>
      </c>
      <c r="M11650" t="s">
        <v>43377</v>
      </c>
      <c r="N11650" t="s">
        <v>46569</v>
      </c>
      <c r="O11650" t="s">
        <v>46570</v>
      </c>
      <c r="Q11650">
        <v>9</v>
      </c>
      <c r="R11650" t="s">
        <v>46579</v>
      </c>
      <c r="S11650" t="s">
        <v>46978</v>
      </c>
      <c r="T11650" t="s">
        <v>48572</v>
      </c>
      <c r="U11650" t="s">
        <v>58116</v>
      </c>
      <c r="W11650" t="s">
        <v>43377</v>
      </c>
      <c r="X11650" t="s">
        <v>46580</v>
      </c>
    </row>
    <row r="11651" spans="1:24">
      <c r="A11651">
        <f>HYPERLINK("https://www.philgeps.gov.ph/GEPSNONPILOT/Tender/SplashBidNoticeAbstractUI.aspx?menuIndex=3&amp;refID=7049677&amp;Result=3","7049677")</f>
        <v>0</v>
      </c>
      <c r="B11651" t="s">
        <v>1790</v>
      </c>
      <c r="C11651" t="s">
        <v>14579</v>
      </c>
      <c r="D11651" t="s">
        <v>18787</v>
      </c>
      <c r="E11651" t="s">
        <v>28906</v>
      </c>
      <c r="F11651" t="s">
        <v>32664</v>
      </c>
      <c r="G11651" t="s">
        <v>32672</v>
      </c>
      <c r="H11651" t="s">
        <v>32683</v>
      </c>
      <c r="I11651" t="s">
        <v>32707</v>
      </c>
      <c r="J11651" t="s">
        <v>39696</v>
      </c>
      <c r="K11651" t="s">
        <v>42311</v>
      </c>
      <c r="M11651" t="s">
        <v>44492</v>
      </c>
      <c r="N11651" t="s">
        <v>46569</v>
      </c>
      <c r="O11651" t="s">
        <v>46570</v>
      </c>
      <c r="P11651">
        <v>0</v>
      </c>
      <c r="Q11651">
        <v>4</v>
      </c>
      <c r="R11651" t="s">
        <v>46579</v>
      </c>
      <c r="S11651" t="s">
        <v>46919</v>
      </c>
      <c r="T11651" t="s">
        <v>48284</v>
      </c>
      <c r="U11651" t="s">
        <v>58117</v>
      </c>
      <c r="W11651" t="s">
        <v>44492</v>
      </c>
      <c r="X11651" t="s">
        <v>46580</v>
      </c>
    </row>
    <row r="11652" spans="1:24">
      <c r="A11652">
        <f>HYPERLINK("https://www.philgeps.gov.ph/GEPSNONPILOT/Tender/SplashBidNoticeAbstractUI.aspx?menuIndex=3&amp;refID=7049666&amp;Result=3","7049666")</f>
        <v>0</v>
      </c>
      <c r="B11652" t="s">
        <v>3081</v>
      </c>
      <c r="C11652" t="s">
        <v>14580</v>
      </c>
      <c r="D11652" t="s">
        <v>18784</v>
      </c>
      <c r="E11652" t="s">
        <v>28907</v>
      </c>
      <c r="F11652" t="s">
        <v>32664</v>
      </c>
      <c r="G11652" t="s">
        <v>32672</v>
      </c>
      <c r="H11652" t="s">
        <v>12635</v>
      </c>
      <c r="I11652" t="s">
        <v>32700</v>
      </c>
      <c r="J11652" t="s">
        <v>39697</v>
      </c>
      <c r="K11652" t="s">
        <v>42281</v>
      </c>
      <c r="M11652" t="s">
        <v>45965</v>
      </c>
      <c r="N11652" t="s">
        <v>46569</v>
      </c>
      <c r="O11652" t="s">
        <v>46570</v>
      </c>
      <c r="P11652">
        <v>0</v>
      </c>
      <c r="Q11652">
        <v>1</v>
      </c>
      <c r="R11652" t="s">
        <v>46579</v>
      </c>
      <c r="S11652" t="s">
        <v>46919</v>
      </c>
      <c r="T11652" t="s">
        <v>48280</v>
      </c>
      <c r="U11652" t="s">
        <v>58118</v>
      </c>
      <c r="W11652" t="s">
        <v>45965</v>
      </c>
      <c r="X11652" t="s">
        <v>46580</v>
      </c>
    </row>
    <row r="11653" spans="1:24">
      <c r="A11653">
        <f>HYPERLINK("https://www.philgeps.gov.ph/GEPSNONPILOT/Tender/SplashBidNoticeAbstractUI.aspx?menuIndex=3&amp;refID=7049743&amp;Result=3","7049743")</f>
        <v>0</v>
      </c>
      <c r="B11653" t="s">
        <v>3034</v>
      </c>
      <c r="C11653" t="s">
        <v>14581</v>
      </c>
      <c r="D11653" t="s">
        <v>18839</v>
      </c>
      <c r="E11653" t="s">
        <v>28908</v>
      </c>
      <c r="F11653" t="s">
        <v>32664</v>
      </c>
      <c r="G11653" t="s">
        <v>32672</v>
      </c>
      <c r="H11653" t="s">
        <v>12635</v>
      </c>
      <c r="I11653" t="s">
        <v>9486</v>
      </c>
      <c r="J11653" t="s">
        <v>39698</v>
      </c>
      <c r="K11653" t="s">
        <v>42297</v>
      </c>
      <c r="M11653" t="s">
        <v>45907</v>
      </c>
      <c r="N11653" t="s">
        <v>46569</v>
      </c>
      <c r="O11653" t="s">
        <v>46570</v>
      </c>
      <c r="P11653">
        <v>0</v>
      </c>
      <c r="Q11653">
        <v>9</v>
      </c>
      <c r="R11653" t="s">
        <v>46579</v>
      </c>
      <c r="S11653" t="s">
        <v>46919</v>
      </c>
      <c r="T11653" t="s">
        <v>48213</v>
      </c>
      <c r="U11653" t="s">
        <v>58119</v>
      </c>
      <c r="W11653" t="s">
        <v>45907</v>
      </c>
      <c r="X11653" t="s">
        <v>46580</v>
      </c>
    </row>
    <row r="11654" spans="1:24">
      <c r="A11654">
        <f>HYPERLINK("https://www.philgeps.gov.ph/GEPSNONPILOT/Tender/SplashBidNoticeAbstractUI.aspx?menuIndex=3&amp;refID=7049706&amp;Result=3","7049706")</f>
        <v>0</v>
      </c>
      <c r="B11654" t="s">
        <v>3084</v>
      </c>
      <c r="C11654" t="s">
        <v>14582</v>
      </c>
      <c r="E11654" t="s">
        <v>28909</v>
      </c>
      <c r="F11654" t="s">
        <v>32664</v>
      </c>
      <c r="G11654" t="s">
        <v>32672</v>
      </c>
      <c r="H11654" t="s">
        <v>12635</v>
      </c>
      <c r="I11654" t="s">
        <v>10370</v>
      </c>
      <c r="J11654" t="s">
        <v>39699</v>
      </c>
      <c r="K11654" t="s">
        <v>42283</v>
      </c>
      <c r="M11654" t="s">
        <v>45970</v>
      </c>
      <c r="N11654" t="s">
        <v>46569</v>
      </c>
      <c r="O11654" t="s">
        <v>46570</v>
      </c>
      <c r="P11654">
        <v>0</v>
      </c>
      <c r="Q11654">
        <v>13</v>
      </c>
      <c r="R11654" t="s">
        <v>46579</v>
      </c>
      <c r="S11654" t="s">
        <v>46919</v>
      </c>
      <c r="T11654" t="s">
        <v>48452</v>
      </c>
      <c r="U11654" t="s">
        <v>58120</v>
      </c>
      <c r="V11654" t="s">
        <v>62893</v>
      </c>
      <c r="W11654" t="s">
        <v>63584</v>
      </c>
      <c r="X11654" t="s">
        <v>46580</v>
      </c>
    </row>
    <row r="11655" spans="1:24">
      <c r="A11655">
        <f>HYPERLINK("https://www.philgeps.gov.ph/GEPSNONPILOT/Tender/SplashBidNoticeAbstractUI.aspx?menuIndex=3&amp;refID=7049656&amp;Result=3","7049656")</f>
        <v>0</v>
      </c>
      <c r="B11655" t="s">
        <v>402</v>
      </c>
      <c r="C11655" t="s">
        <v>14583</v>
      </c>
      <c r="D11655" t="s">
        <v>18781</v>
      </c>
      <c r="E11655" t="s">
        <v>28910</v>
      </c>
      <c r="F11655" t="s">
        <v>32664</v>
      </c>
      <c r="G11655" t="s">
        <v>32672</v>
      </c>
      <c r="H11655" t="s">
        <v>12635</v>
      </c>
      <c r="I11655" t="s">
        <v>32749</v>
      </c>
      <c r="J11655" t="s">
        <v>39700</v>
      </c>
      <c r="K11655" t="s">
        <v>42283</v>
      </c>
      <c r="M11655" t="s">
        <v>42972</v>
      </c>
      <c r="N11655" t="s">
        <v>46569</v>
      </c>
      <c r="O11655" t="s">
        <v>46570</v>
      </c>
      <c r="P11655">
        <v>0</v>
      </c>
      <c r="Q11655">
        <v>1</v>
      </c>
      <c r="R11655" t="s">
        <v>46579</v>
      </c>
      <c r="S11655" t="s">
        <v>46919</v>
      </c>
      <c r="T11655" t="s">
        <v>48284</v>
      </c>
      <c r="U11655" t="s">
        <v>58121</v>
      </c>
      <c r="W11655" t="s">
        <v>42972</v>
      </c>
      <c r="X11655" t="s">
        <v>46580</v>
      </c>
    </row>
    <row r="11656" spans="1:24">
      <c r="A11656">
        <f>HYPERLINK("https://www.philgeps.gov.ph/GEPSNONPILOT/Tender/SplashBidNoticeAbstractUI.aspx?menuIndex=3&amp;refID=7049593&amp;Result=3","7049593")</f>
        <v>0</v>
      </c>
      <c r="B11656" t="s">
        <v>2005</v>
      </c>
      <c r="C11656" t="s">
        <v>14584</v>
      </c>
      <c r="E11656" t="s">
        <v>28911</v>
      </c>
      <c r="F11656" t="s">
        <v>32664</v>
      </c>
      <c r="G11656" t="s">
        <v>32672</v>
      </c>
      <c r="H11656" t="s">
        <v>12635</v>
      </c>
      <c r="I11656" t="s">
        <v>8797</v>
      </c>
      <c r="J11656" t="s">
        <v>32982</v>
      </c>
      <c r="K11656" t="s">
        <v>42281</v>
      </c>
      <c r="M11656" t="s">
        <v>45971</v>
      </c>
      <c r="N11656" t="s">
        <v>46569</v>
      </c>
      <c r="O11656" t="s">
        <v>46570</v>
      </c>
      <c r="Q11656">
        <v>5</v>
      </c>
      <c r="R11656" t="s">
        <v>46579</v>
      </c>
      <c r="S11656" t="s">
        <v>46979</v>
      </c>
      <c r="T11656" t="s">
        <v>48213</v>
      </c>
      <c r="U11656" t="s">
        <v>58122</v>
      </c>
      <c r="W11656" t="s">
        <v>45971</v>
      </c>
      <c r="X11656" t="s">
        <v>46580</v>
      </c>
    </row>
    <row r="11657" spans="1:24">
      <c r="A11657">
        <f>HYPERLINK("https://www.philgeps.gov.ph/GEPSNONPILOT/Tender/SplashBidNoticeAbstractUI.aspx?menuIndex=3&amp;refID=7049669&amp;Result=3","7049669")</f>
        <v>0</v>
      </c>
      <c r="B11657" t="s">
        <v>2641</v>
      </c>
      <c r="C11657" t="s">
        <v>14585</v>
      </c>
      <c r="D11657" t="s">
        <v>18786</v>
      </c>
      <c r="E11657" t="s">
        <v>28912</v>
      </c>
      <c r="F11657" t="s">
        <v>32664</v>
      </c>
      <c r="G11657" t="s">
        <v>32672</v>
      </c>
      <c r="H11657" t="s">
        <v>12635</v>
      </c>
      <c r="I11657" t="s">
        <v>8797</v>
      </c>
      <c r="J11657" t="s">
        <v>39701</v>
      </c>
      <c r="K11657" t="s">
        <v>42281</v>
      </c>
      <c r="M11657" t="s">
        <v>45461</v>
      </c>
      <c r="N11657" t="s">
        <v>46569</v>
      </c>
      <c r="O11657" t="s">
        <v>46570</v>
      </c>
      <c r="P11657">
        <v>0</v>
      </c>
      <c r="Q11657">
        <v>12</v>
      </c>
      <c r="R11657" t="s">
        <v>46579</v>
      </c>
      <c r="S11657" t="s">
        <v>46919</v>
      </c>
      <c r="T11657" t="s">
        <v>48631</v>
      </c>
      <c r="U11657" t="s">
        <v>58123</v>
      </c>
      <c r="W11657" t="s">
        <v>45461</v>
      </c>
      <c r="X11657" t="s">
        <v>46580</v>
      </c>
    </row>
    <row r="11658" spans="1:24">
      <c r="A11658">
        <f>HYPERLINK("https://www.philgeps.gov.ph/GEPSNONPILOT/Tender/SplashBidNoticeAbstractUI.aspx?menuIndex=3&amp;refID=7049671&amp;Result=3","7049671")</f>
        <v>0</v>
      </c>
      <c r="B11658" t="s">
        <v>1651</v>
      </c>
      <c r="C11658" t="s">
        <v>14586</v>
      </c>
      <c r="D11658" t="s">
        <v>18784</v>
      </c>
      <c r="E11658" t="s">
        <v>28913</v>
      </c>
      <c r="F11658" t="s">
        <v>32664</v>
      </c>
      <c r="G11658" t="s">
        <v>32672</v>
      </c>
      <c r="H11658" t="s">
        <v>12635</v>
      </c>
      <c r="I11658" t="s">
        <v>11464</v>
      </c>
      <c r="J11658" t="s">
        <v>38456</v>
      </c>
      <c r="K11658" t="s">
        <v>42283</v>
      </c>
      <c r="M11658" t="s">
        <v>44336</v>
      </c>
      <c r="N11658" t="s">
        <v>46569</v>
      </c>
      <c r="O11658" t="s">
        <v>46570</v>
      </c>
      <c r="Q11658">
        <v>6</v>
      </c>
      <c r="R11658" t="s">
        <v>46579</v>
      </c>
      <c r="S11658" t="s">
        <v>46980</v>
      </c>
      <c r="T11658" t="s">
        <v>48313</v>
      </c>
      <c r="U11658" t="s">
        <v>52671</v>
      </c>
      <c r="W11658" t="s">
        <v>44336</v>
      </c>
      <c r="X11658" t="s">
        <v>46580</v>
      </c>
    </row>
    <row r="11659" spans="1:24">
      <c r="A11659">
        <f>HYPERLINK("https://www.philgeps.gov.ph/GEPSNONPILOT/Tender/SplashBidNoticeAbstractUI.aspx?menuIndex=3&amp;refID=7049585&amp;Result=3","7049585")</f>
        <v>0</v>
      </c>
      <c r="B11659" t="s">
        <v>3085</v>
      </c>
      <c r="C11659" t="s">
        <v>14587</v>
      </c>
      <c r="D11659" t="s">
        <v>18818</v>
      </c>
      <c r="E11659" t="s">
        <v>28914</v>
      </c>
      <c r="F11659" t="s">
        <v>32664</v>
      </c>
      <c r="G11659" t="s">
        <v>32672</v>
      </c>
      <c r="H11659" t="s">
        <v>32683</v>
      </c>
      <c r="I11659" t="s">
        <v>10627</v>
      </c>
      <c r="J11659" t="s">
        <v>39702</v>
      </c>
      <c r="K11659" t="s">
        <v>42285</v>
      </c>
      <c r="M11659" t="s">
        <v>45972</v>
      </c>
      <c r="N11659" t="s">
        <v>46569</v>
      </c>
      <c r="O11659" t="s">
        <v>46570</v>
      </c>
      <c r="P11659">
        <v>0</v>
      </c>
      <c r="Q11659">
        <v>1</v>
      </c>
      <c r="R11659" t="s">
        <v>46579</v>
      </c>
      <c r="S11659" t="s">
        <v>46919</v>
      </c>
      <c r="T11659" t="s">
        <v>48354</v>
      </c>
      <c r="U11659" t="s">
        <v>58124</v>
      </c>
      <c r="W11659" t="s">
        <v>45972</v>
      </c>
      <c r="X11659" t="s">
        <v>46580</v>
      </c>
    </row>
    <row r="11660" spans="1:24">
      <c r="A11660">
        <f>HYPERLINK("https://www.philgeps.gov.ph/GEPSNONPILOT/Tender/SplashBidNoticeAbstractUI.aspx?menuIndex=3&amp;refID=7049568&amp;Result=3","7049568")</f>
        <v>0</v>
      </c>
      <c r="B11660" t="s">
        <v>2981</v>
      </c>
      <c r="C11660" t="s">
        <v>14588</v>
      </c>
      <c r="D11660" t="s">
        <v>18808</v>
      </c>
      <c r="E11660" t="s">
        <v>28915</v>
      </c>
      <c r="F11660" t="s">
        <v>32664</v>
      </c>
      <c r="G11660" t="s">
        <v>32672</v>
      </c>
      <c r="H11660" t="s">
        <v>32683</v>
      </c>
      <c r="I11660" t="s">
        <v>10627</v>
      </c>
      <c r="J11660" t="s">
        <v>39703</v>
      </c>
      <c r="K11660" t="s">
        <v>42397</v>
      </c>
      <c r="M11660" t="s">
        <v>45838</v>
      </c>
      <c r="N11660" t="s">
        <v>46569</v>
      </c>
      <c r="O11660" t="s">
        <v>46570</v>
      </c>
      <c r="P11660">
        <v>0</v>
      </c>
      <c r="Q11660">
        <v>2</v>
      </c>
      <c r="R11660" t="s">
        <v>46579</v>
      </c>
      <c r="S11660" t="s">
        <v>46919</v>
      </c>
      <c r="T11660" t="s">
        <v>48212</v>
      </c>
      <c r="U11660" t="s">
        <v>58125</v>
      </c>
      <c r="V11660" t="s">
        <v>62894</v>
      </c>
      <c r="W11660" t="s">
        <v>45838</v>
      </c>
      <c r="X11660" t="s">
        <v>46580</v>
      </c>
    </row>
    <row r="11661" spans="1:24">
      <c r="A11661">
        <f>HYPERLINK("https://www.philgeps.gov.ph/GEPSNONPILOT/Tender/SplashBidNoticeAbstractUI.aspx?menuIndex=3&amp;refID=7049737&amp;Result=3","7049737")</f>
        <v>0</v>
      </c>
      <c r="B11661" t="s">
        <v>49</v>
      </c>
      <c r="C11661" t="s">
        <v>14589</v>
      </c>
      <c r="D11661" t="s">
        <v>18799</v>
      </c>
      <c r="E11661" t="s">
        <v>28916</v>
      </c>
      <c r="F11661" t="s">
        <v>32664</v>
      </c>
      <c r="G11661" t="s">
        <v>32672</v>
      </c>
      <c r="H11661" t="s">
        <v>12635</v>
      </c>
      <c r="I11661" t="s">
        <v>32684</v>
      </c>
      <c r="J11661" t="s">
        <v>39704</v>
      </c>
      <c r="K11661" t="s">
        <v>42283</v>
      </c>
      <c r="M11661" t="s">
        <v>43367</v>
      </c>
      <c r="N11661" t="s">
        <v>46569</v>
      </c>
      <c r="O11661" t="s">
        <v>46570</v>
      </c>
      <c r="P11661">
        <v>0</v>
      </c>
      <c r="Q11661">
        <v>1</v>
      </c>
      <c r="R11661" t="s">
        <v>46579</v>
      </c>
      <c r="S11661" t="s">
        <v>46919</v>
      </c>
      <c r="T11661" t="s">
        <v>48258</v>
      </c>
      <c r="U11661" t="s">
        <v>58126</v>
      </c>
      <c r="W11661" t="s">
        <v>43367</v>
      </c>
      <c r="X11661" t="s">
        <v>46580</v>
      </c>
    </row>
    <row r="11662" spans="1:24">
      <c r="A11662">
        <f>HYPERLINK("https://www.philgeps.gov.ph/GEPSNONPILOT/Tender/SplashBidNoticeAbstractUI.aspx?menuIndex=3&amp;refID=7049557&amp;Result=3","7049557")</f>
        <v>0</v>
      </c>
      <c r="B11662" t="s">
        <v>871</v>
      </c>
      <c r="C11662" t="s">
        <v>14590</v>
      </c>
      <c r="D11662" t="s">
        <v>18784</v>
      </c>
      <c r="E11662" t="s">
        <v>28917</v>
      </c>
      <c r="F11662" t="s">
        <v>32664</v>
      </c>
      <c r="G11662" t="s">
        <v>32672</v>
      </c>
      <c r="H11662" t="s">
        <v>12635</v>
      </c>
      <c r="I11662" t="s">
        <v>10370</v>
      </c>
      <c r="J11662" t="s">
        <v>39000</v>
      </c>
      <c r="K11662" t="s">
        <v>42281</v>
      </c>
      <c r="M11662" t="s">
        <v>43471</v>
      </c>
      <c r="N11662" t="s">
        <v>46569</v>
      </c>
      <c r="O11662" t="s">
        <v>46570</v>
      </c>
      <c r="P11662">
        <v>0</v>
      </c>
      <c r="Q11662">
        <v>9</v>
      </c>
      <c r="R11662" t="s">
        <v>46579</v>
      </c>
      <c r="S11662" t="s">
        <v>46919</v>
      </c>
      <c r="T11662" t="s">
        <v>48394</v>
      </c>
      <c r="U11662" t="s">
        <v>50482</v>
      </c>
      <c r="V11662" t="s">
        <v>62881</v>
      </c>
      <c r="W11662" t="s">
        <v>43471</v>
      </c>
      <c r="X11662" t="s">
        <v>46580</v>
      </c>
    </row>
    <row r="11663" spans="1:24">
      <c r="A11663">
        <f>HYPERLINK("https://www.philgeps.gov.ph/GEPSNONPILOT/Tender/SplashBidNoticeAbstractUI.aspx?menuIndex=3&amp;refID=7049662&amp;Result=3","7049662")</f>
        <v>0</v>
      </c>
      <c r="B11663" t="s">
        <v>2995</v>
      </c>
      <c r="C11663" t="s">
        <v>14591</v>
      </c>
      <c r="D11663" t="s">
        <v>18796</v>
      </c>
      <c r="E11663" t="s">
        <v>28918</v>
      </c>
      <c r="F11663" t="s">
        <v>32664</v>
      </c>
      <c r="G11663" t="s">
        <v>32671</v>
      </c>
      <c r="H11663" t="s">
        <v>32682</v>
      </c>
      <c r="I11663" t="s">
        <v>32694</v>
      </c>
      <c r="J11663" t="s">
        <v>35261</v>
      </c>
      <c r="K11663" t="s">
        <v>42281</v>
      </c>
      <c r="M11663" t="s">
        <v>45854</v>
      </c>
      <c r="N11663" t="s">
        <v>46569</v>
      </c>
      <c r="O11663" t="s">
        <v>46570</v>
      </c>
      <c r="P11663">
        <v>0</v>
      </c>
      <c r="Q11663">
        <v>0</v>
      </c>
      <c r="R11663" t="s">
        <v>46579</v>
      </c>
      <c r="S11663" t="s">
        <v>46919</v>
      </c>
      <c r="T11663" t="s">
        <v>48562</v>
      </c>
      <c r="U11663" t="s">
        <v>58127</v>
      </c>
      <c r="W11663" t="s">
        <v>45854</v>
      </c>
      <c r="X11663" t="s">
        <v>46580</v>
      </c>
    </row>
    <row r="11664" spans="1:24">
      <c r="A11664">
        <f>HYPERLINK("https://www.philgeps.gov.ph/GEPSNONPILOT/Tender/SplashBidNoticeAbstractUI.aspx?menuIndex=3&amp;refID=7049461&amp;Result=3","7049461")</f>
        <v>0</v>
      </c>
      <c r="B11664" t="s">
        <v>2720</v>
      </c>
      <c r="C11664" t="s">
        <v>14592</v>
      </c>
      <c r="D11664" t="s">
        <v>18785</v>
      </c>
      <c r="E11664" t="s">
        <v>28919</v>
      </c>
      <c r="F11664" t="s">
        <v>32664</v>
      </c>
      <c r="G11664" t="s">
        <v>32672</v>
      </c>
      <c r="H11664" t="s">
        <v>32683</v>
      </c>
      <c r="I11664" t="s">
        <v>10627</v>
      </c>
      <c r="J11664" t="s">
        <v>39649</v>
      </c>
      <c r="K11664" t="s">
        <v>42397</v>
      </c>
      <c r="M11664" t="s">
        <v>45547</v>
      </c>
      <c r="N11664" t="s">
        <v>46569</v>
      </c>
      <c r="O11664" t="s">
        <v>46570</v>
      </c>
      <c r="Q11664">
        <v>2</v>
      </c>
      <c r="R11664" t="s">
        <v>46579</v>
      </c>
      <c r="S11664" t="s">
        <v>46981</v>
      </c>
      <c r="T11664" t="s">
        <v>48284</v>
      </c>
      <c r="U11664" t="s">
        <v>58050</v>
      </c>
      <c r="V11664" t="s">
        <v>62895</v>
      </c>
      <c r="W11664" t="s">
        <v>45547</v>
      </c>
      <c r="X11664" t="s">
        <v>46580</v>
      </c>
    </row>
    <row r="11665" spans="1:24">
      <c r="A11665">
        <f>HYPERLINK("https://www.philgeps.gov.ph/GEPSNONPILOT/Tender/SplashBidNoticeAbstractUI.aspx?menuIndex=3&amp;refID=7049454&amp;Result=3","7049454")</f>
        <v>0</v>
      </c>
      <c r="B11665" t="s">
        <v>2720</v>
      </c>
      <c r="C11665" t="s">
        <v>14593</v>
      </c>
      <c r="D11665" t="s">
        <v>18785</v>
      </c>
      <c r="E11665" t="s">
        <v>28920</v>
      </c>
      <c r="F11665" t="s">
        <v>32664</v>
      </c>
      <c r="G11665" t="s">
        <v>32672</v>
      </c>
      <c r="H11665" t="s">
        <v>32683</v>
      </c>
      <c r="I11665" t="s">
        <v>10627</v>
      </c>
      <c r="J11665" t="s">
        <v>39649</v>
      </c>
      <c r="K11665" t="s">
        <v>42397</v>
      </c>
      <c r="M11665" t="s">
        <v>45547</v>
      </c>
      <c r="N11665" t="s">
        <v>46569</v>
      </c>
      <c r="O11665" t="s">
        <v>46570</v>
      </c>
      <c r="Q11665">
        <v>3</v>
      </c>
      <c r="R11665" t="s">
        <v>46579</v>
      </c>
      <c r="S11665" t="s">
        <v>46982</v>
      </c>
      <c r="T11665" t="s">
        <v>48284</v>
      </c>
      <c r="U11665" t="s">
        <v>58050</v>
      </c>
      <c r="V11665" t="s">
        <v>62612</v>
      </c>
      <c r="W11665" t="s">
        <v>45547</v>
      </c>
      <c r="X11665" t="s">
        <v>46580</v>
      </c>
    </row>
    <row r="11666" spans="1:24">
      <c r="A11666">
        <f>HYPERLINK("https://www.philgeps.gov.ph/GEPSNONPILOT/Tender/SplashBidNoticeAbstractUI.aspx?menuIndex=3&amp;refID=7049570&amp;Result=3","7049570")</f>
        <v>0</v>
      </c>
      <c r="B11666" t="s">
        <v>3001</v>
      </c>
      <c r="C11666" t="s">
        <v>14063</v>
      </c>
      <c r="D11666" t="s">
        <v>18826</v>
      </c>
      <c r="E11666" t="s">
        <v>18926</v>
      </c>
      <c r="F11666" t="s">
        <v>32665</v>
      </c>
      <c r="G11666" t="s">
        <v>32672</v>
      </c>
      <c r="H11666" t="s">
        <v>32683</v>
      </c>
      <c r="I11666" t="s">
        <v>10627</v>
      </c>
      <c r="J11666" t="s">
        <v>36978</v>
      </c>
      <c r="K11666" t="s">
        <v>42305</v>
      </c>
      <c r="M11666" t="s">
        <v>45862</v>
      </c>
      <c r="N11666" t="s">
        <v>46569</v>
      </c>
      <c r="O11666" t="s">
        <v>46570</v>
      </c>
      <c r="P11666">
        <v>0</v>
      </c>
      <c r="Q11666">
        <v>2</v>
      </c>
      <c r="R11666" t="s">
        <v>46579</v>
      </c>
      <c r="S11666" t="s">
        <v>46919</v>
      </c>
      <c r="T11666" t="s">
        <v>48285</v>
      </c>
      <c r="U11666" t="s">
        <v>58128</v>
      </c>
      <c r="W11666" t="s">
        <v>45862</v>
      </c>
      <c r="X11666" t="s">
        <v>46580</v>
      </c>
    </row>
    <row r="11667" spans="1:24">
      <c r="A11667">
        <f>HYPERLINK("https://www.philgeps.gov.ph/GEPSNONPILOT/Tender/SplashBidNoticeAbstractUI.aspx?menuIndex=3&amp;refID=7049452&amp;Result=3","7049452")</f>
        <v>0</v>
      </c>
      <c r="B11667" t="s">
        <v>2969</v>
      </c>
      <c r="C11667" t="s">
        <v>14594</v>
      </c>
      <c r="D11667" t="s">
        <v>18837</v>
      </c>
      <c r="E11667" t="s">
        <v>23883</v>
      </c>
      <c r="F11667" t="s">
        <v>32664</v>
      </c>
      <c r="G11667" t="s">
        <v>32672</v>
      </c>
      <c r="H11667" t="s">
        <v>12635</v>
      </c>
      <c r="I11667" t="s">
        <v>11464</v>
      </c>
      <c r="J11667" t="s">
        <v>32981</v>
      </c>
      <c r="K11667" t="s">
        <v>42284</v>
      </c>
      <c r="M11667" t="s">
        <v>45823</v>
      </c>
      <c r="N11667" t="s">
        <v>46569</v>
      </c>
      <c r="O11667" t="s">
        <v>46570</v>
      </c>
      <c r="P11667">
        <v>0</v>
      </c>
      <c r="Q11667">
        <v>5</v>
      </c>
      <c r="R11667" t="s">
        <v>46579</v>
      </c>
      <c r="S11667" t="s">
        <v>46919</v>
      </c>
      <c r="T11667" t="s">
        <v>48309</v>
      </c>
      <c r="U11667" t="s">
        <v>58129</v>
      </c>
      <c r="V11667" t="s">
        <v>62878</v>
      </c>
      <c r="W11667" t="s">
        <v>45823</v>
      </c>
      <c r="X11667" t="s">
        <v>46580</v>
      </c>
    </row>
    <row r="11668" spans="1:24">
      <c r="A11668">
        <f>HYPERLINK("https://www.philgeps.gov.ph/GEPSNONPILOT/Tender/SplashBidNoticeAbstractUI.aspx?menuIndex=3&amp;refID=7049589&amp;Result=3","7049589")</f>
        <v>0</v>
      </c>
      <c r="B11668" t="s">
        <v>3001</v>
      </c>
      <c r="C11668" t="s">
        <v>14595</v>
      </c>
      <c r="D11668" t="s">
        <v>18826</v>
      </c>
      <c r="E11668" t="s">
        <v>28921</v>
      </c>
      <c r="F11668" t="s">
        <v>32665</v>
      </c>
      <c r="G11668" t="s">
        <v>32672</v>
      </c>
      <c r="H11668" t="s">
        <v>32683</v>
      </c>
      <c r="I11668" t="s">
        <v>10627</v>
      </c>
      <c r="J11668" t="s">
        <v>32976</v>
      </c>
      <c r="K11668" t="s">
        <v>42305</v>
      </c>
      <c r="M11668" t="s">
        <v>45862</v>
      </c>
      <c r="N11668" t="s">
        <v>46569</v>
      </c>
      <c r="O11668" t="s">
        <v>46570</v>
      </c>
      <c r="P11668">
        <v>0</v>
      </c>
      <c r="Q11668">
        <v>2</v>
      </c>
      <c r="R11668" t="s">
        <v>46579</v>
      </c>
      <c r="S11668" t="s">
        <v>46919</v>
      </c>
      <c r="T11668" t="s">
        <v>48296</v>
      </c>
      <c r="U11668" t="s">
        <v>58130</v>
      </c>
      <c r="W11668" t="s">
        <v>45862</v>
      </c>
      <c r="X11668" t="s">
        <v>46580</v>
      </c>
    </row>
    <row r="11669" spans="1:24">
      <c r="A11669">
        <f>HYPERLINK("https://www.philgeps.gov.ph/GEPSNONPILOT/Tender/SplashBidNoticeAbstractUI.aspx?menuIndex=3&amp;refID=7049405&amp;Result=3","7049405")</f>
        <v>0</v>
      </c>
      <c r="B11669" t="s">
        <v>2720</v>
      </c>
      <c r="C11669" t="s">
        <v>14596</v>
      </c>
      <c r="D11669" t="s">
        <v>18785</v>
      </c>
      <c r="E11669" t="s">
        <v>28922</v>
      </c>
      <c r="F11669" t="s">
        <v>32664</v>
      </c>
      <c r="G11669" t="s">
        <v>32672</v>
      </c>
      <c r="H11669" t="s">
        <v>32683</v>
      </c>
      <c r="I11669" t="s">
        <v>10627</v>
      </c>
      <c r="J11669" t="s">
        <v>39705</v>
      </c>
      <c r="K11669" t="s">
        <v>42367</v>
      </c>
      <c r="M11669" t="s">
        <v>45547</v>
      </c>
      <c r="N11669" t="s">
        <v>46569</v>
      </c>
      <c r="O11669" t="s">
        <v>46570</v>
      </c>
      <c r="Q11669">
        <v>4</v>
      </c>
      <c r="R11669" t="s">
        <v>46579</v>
      </c>
      <c r="S11669" t="s">
        <v>46983</v>
      </c>
      <c r="T11669" t="s">
        <v>48284</v>
      </c>
      <c r="U11669" t="s">
        <v>58050</v>
      </c>
      <c r="V11669" t="s">
        <v>62612</v>
      </c>
      <c r="W11669" t="s">
        <v>45547</v>
      </c>
      <c r="X11669" t="s">
        <v>46580</v>
      </c>
    </row>
    <row r="11670" spans="1:24">
      <c r="A11670">
        <f>HYPERLINK("https://www.philgeps.gov.ph/GEPSNONPILOT/Tender/SplashBidNoticeAbstractUI.aspx?menuIndex=3&amp;refID=7049394&amp;Result=3","7049394")</f>
        <v>0</v>
      </c>
      <c r="B11670" t="s">
        <v>1292</v>
      </c>
      <c r="C11670" t="s">
        <v>14597</v>
      </c>
      <c r="D11670" t="s">
        <v>18807</v>
      </c>
      <c r="E11670" t="s">
        <v>28923</v>
      </c>
      <c r="F11670" t="s">
        <v>32665</v>
      </c>
      <c r="G11670" t="s">
        <v>32671</v>
      </c>
      <c r="H11670" t="s">
        <v>12635</v>
      </c>
      <c r="I11670" t="s">
        <v>4333</v>
      </c>
      <c r="J11670" t="s">
        <v>39706</v>
      </c>
      <c r="K11670" t="s">
        <v>42284</v>
      </c>
      <c r="M11670" t="s">
        <v>43936</v>
      </c>
      <c r="N11670" t="s">
        <v>46569</v>
      </c>
      <c r="O11670" t="s">
        <v>46570</v>
      </c>
      <c r="P11670">
        <v>0</v>
      </c>
      <c r="Q11670">
        <v>4</v>
      </c>
      <c r="R11670" t="s">
        <v>46579</v>
      </c>
      <c r="S11670" t="s">
        <v>46919</v>
      </c>
      <c r="T11670" t="s">
        <v>48282</v>
      </c>
      <c r="U11670" t="s">
        <v>51530</v>
      </c>
      <c r="V11670" t="s">
        <v>61958</v>
      </c>
      <c r="W11670" t="s">
        <v>63509</v>
      </c>
      <c r="X11670" t="s">
        <v>46580</v>
      </c>
    </row>
    <row r="11671" spans="1:24">
      <c r="A11671">
        <f>HYPERLINK("https://www.philgeps.gov.ph/GEPSNONPILOT/Tender/SplashBidNoticeAbstractUI.aspx?menuIndex=3&amp;refID=7049391&amp;Result=3","7049391")</f>
        <v>0</v>
      </c>
      <c r="B11671" t="s">
        <v>2720</v>
      </c>
      <c r="C11671" t="s">
        <v>14598</v>
      </c>
      <c r="D11671" t="s">
        <v>18785</v>
      </c>
      <c r="E11671" t="s">
        <v>28924</v>
      </c>
      <c r="F11671" t="s">
        <v>32664</v>
      </c>
      <c r="G11671" t="s">
        <v>32672</v>
      </c>
      <c r="H11671" t="s">
        <v>32683</v>
      </c>
      <c r="I11671" t="s">
        <v>10627</v>
      </c>
      <c r="J11671" t="s">
        <v>39707</v>
      </c>
      <c r="K11671" t="s">
        <v>42367</v>
      </c>
      <c r="M11671" t="s">
        <v>45547</v>
      </c>
      <c r="N11671" t="s">
        <v>46569</v>
      </c>
      <c r="O11671" t="s">
        <v>46570</v>
      </c>
      <c r="Q11671">
        <v>4</v>
      </c>
      <c r="R11671" t="s">
        <v>46579</v>
      </c>
      <c r="S11671" t="s">
        <v>46984</v>
      </c>
      <c r="T11671" t="s">
        <v>48284</v>
      </c>
      <c r="U11671" t="s">
        <v>58050</v>
      </c>
      <c r="V11671" t="s">
        <v>62612</v>
      </c>
      <c r="W11671" t="s">
        <v>45547</v>
      </c>
      <c r="X11671" t="s">
        <v>46580</v>
      </c>
    </row>
    <row r="11672" spans="1:24">
      <c r="A11672">
        <f>HYPERLINK("https://www.philgeps.gov.ph/GEPSNONPILOT/Tender/SplashBidNoticeAbstractUI.aspx?menuIndex=3&amp;refID=7049453&amp;Result=3","7049453")</f>
        <v>0</v>
      </c>
      <c r="B11672" t="s">
        <v>797</v>
      </c>
      <c r="C11672" t="s">
        <v>14599</v>
      </c>
      <c r="D11672" t="s">
        <v>18792</v>
      </c>
      <c r="E11672" t="s">
        <v>28925</v>
      </c>
      <c r="F11672" t="s">
        <v>32664</v>
      </c>
      <c r="G11672" t="s">
        <v>32672</v>
      </c>
      <c r="H11672" t="s">
        <v>12635</v>
      </c>
      <c r="I11672" t="s">
        <v>32719</v>
      </c>
      <c r="J11672" t="s">
        <v>39708</v>
      </c>
      <c r="K11672" t="s">
        <v>42281</v>
      </c>
      <c r="M11672" t="s">
        <v>43389</v>
      </c>
      <c r="N11672" t="s">
        <v>46569</v>
      </c>
      <c r="O11672" t="s">
        <v>46570</v>
      </c>
      <c r="P11672">
        <v>0</v>
      </c>
      <c r="Q11672">
        <v>4</v>
      </c>
      <c r="R11672" t="s">
        <v>46579</v>
      </c>
      <c r="S11672" t="s">
        <v>46919</v>
      </c>
      <c r="T11672" t="s">
        <v>48552</v>
      </c>
      <c r="U11672" t="s">
        <v>58131</v>
      </c>
      <c r="V11672" t="s">
        <v>62896</v>
      </c>
      <c r="W11672" t="s">
        <v>43389</v>
      </c>
      <c r="X11672" t="s">
        <v>46580</v>
      </c>
    </row>
    <row r="11673" spans="1:24">
      <c r="A11673">
        <f>HYPERLINK("https://www.philgeps.gov.ph/GEPSNONPILOT/Tender/SplashBidNoticeAbstractUI.aspx?menuIndex=3&amp;refID=7049571&amp;Result=3","7049571")</f>
        <v>0</v>
      </c>
      <c r="B11673" t="s">
        <v>3086</v>
      </c>
      <c r="C11673" t="s">
        <v>5866</v>
      </c>
      <c r="D11673" t="s">
        <v>18788</v>
      </c>
      <c r="E11673" t="s">
        <v>20248</v>
      </c>
      <c r="F11673" t="s">
        <v>32664</v>
      </c>
      <c r="G11673" t="s">
        <v>32672</v>
      </c>
      <c r="H11673" t="s">
        <v>32683</v>
      </c>
      <c r="I11673" t="s">
        <v>9597</v>
      </c>
      <c r="J11673" t="s">
        <v>33466</v>
      </c>
      <c r="K11673" t="s">
        <v>42303</v>
      </c>
      <c r="M11673" t="s">
        <v>45973</v>
      </c>
      <c r="N11673" t="s">
        <v>46569</v>
      </c>
      <c r="O11673" t="s">
        <v>46570</v>
      </c>
      <c r="P11673">
        <v>0</v>
      </c>
      <c r="Q11673">
        <v>0</v>
      </c>
      <c r="R11673" t="s">
        <v>46579</v>
      </c>
      <c r="S11673" t="s">
        <v>46919</v>
      </c>
      <c r="T11673" t="s">
        <v>48282</v>
      </c>
      <c r="U11673" t="s">
        <v>58132</v>
      </c>
      <c r="W11673" t="s">
        <v>45973</v>
      </c>
      <c r="X11673" t="s">
        <v>46580</v>
      </c>
    </row>
    <row r="11674" spans="1:24">
      <c r="A11674">
        <f>HYPERLINK("https://www.philgeps.gov.ph/GEPSNONPILOT/Tender/SplashBidNoticeAbstractUI.aspx?menuIndex=3&amp;refID=6991554-2&amp;Result=3","6991554-2")</f>
        <v>0</v>
      </c>
      <c r="B11674" t="s">
        <v>718</v>
      </c>
      <c r="C11674" t="s">
        <v>14600</v>
      </c>
      <c r="D11674" t="s">
        <v>18837</v>
      </c>
      <c r="E11674" t="s">
        <v>28926</v>
      </c>
      <c r="F11674" t="s">
        <v>32664</v>
      </c>
      <c r="G11674" t="s">
        <v>32672</v>
      </c>
      <c r="H11674" t="s">
        <v>32681</v>
      </c>
      <c r="I11674" t="s">
        <v>32681</v>
      </c>
      <c r="J11674" t="s">
        <v>39709</v>
      </c>
      <c r="K11674" t="s">
        <v>42349</v>
      </c>
      <c r="M11674" t="s">
        <v>43305</v>
      </c>
      <c r="N11674" t="s">
        <v>46569</v>
      </c>
      <c r="O11674" t="s">
        <v>46570</v>
      </c>
      <c r="Q11674">
        <v>3</v>
      </c>
      <c r="R11674" t="s">
        <v>46580</v>
      </c>
      <c r="S11674" t="s">
        <v>46985</v>
      </c>
      <c r="T11674" t="s">
        <v>48236</v>
      </c>
      <c r="U11674" t="s">
        <v>58133</v>
      </c>
      <c r="W11674" t="s">
        <v>43305</v>
      </c>
      <c r="X11674" t="s">
        <v>46581</v>
      </c>
    </row>
    <row r="11675" spans="1:24">
      <c r="A11675">
        <f>HYPERLINK("https://www.philgeps.gov.ph/GEPSNONPILOT/Tender/SplashBidNoticeAbstractUI.aspx?menuIndex=3&amp;refID=7049660&amp;Result=3","7049660")</f>
        <v>0</v>
      </c>
      <c r="B11675" t="s">
        <v>3081</v>
      </c>
      <c r="C11675" t="s">
        <v>14601</v>
      </c>
      <c r="D11675" t="s">
        <v>18784</v>
      </c>
      <c r="E11675" t="s">
        <v>28927</v>
      </c>
      <c r="F11675" t="s">
        <v>32664</v>
      </c>
      <c r="G11675" t="s">
        <v>32672</v>
      </c>
      <c r="H11675" t="s">
        <v>12635</v>
      </c>
      <c r="I11675" t="s">
        <v>32719</v>
      </c>
      <c r="J11675" t="s">
        <v>39710</v>
      </c>
      <c r="K11675" t="s">
        <v>42281</v>
      </c>
      <c r="M11675" t="s">
        <v>45965</v>
      </c>
      <c r="N11675" t="s">
        <v>46569</v>
      </c>
      <c r="O11675" t="s">
        <v>46570</v>
      </c>
      <c r="P11675">
        <v>0</v>
      </c>
      <c r="Q11675">
        <v>4</v>
      </c>
      <c r="R11675" t="s">
        <v>46579</v>
      </c>
      <c r="S11675" t="s">
        <v>46919</v>
      </c>
      <c r="T11675" t="s">
        <v>48280</v>
      </c>
      <c r="U11675" t="s">
        <v>58134</v>
      </c>
      <c r="W11675" t="s">
        <v>45965</v>
      </c>
      <c r="X11675" t="s">
        <v>46580</v>
      </c>
    </row>
    <row r="11676" spans="1:24">
      <c r="A11676">
        <f>HYPERLINK("https://www.philgeps.gov.ph/GEPSNONPILOT/Tender/SplashBidNoticeAbstractUI.aspx?menuIndex=3&amp;refID=7049825&amp;Result=3","7049825")</f>
        <v>0</v>
      </c>
      <c r="B11676" t="s">
        <v>2564</v>
      </c>
      <c r="C11676" t="s">
        <v>14602</v>
      </c>
      <c r="D11676" t="s">
        <v>18820</v>
      </c>
      <c r="E11676" t="s">
        <v>28928</v>
      </c>
      <c r="F11676" t="s">
        <v>32664</v>
      </c>
      <c r="G11676" t="s">
        <v>32672</v>
      </c>
      <c r="H11676" t="s">
        <v>12635</v>
      </c>
      <c r="I11676" t="s">
        <v>32706</v>
      </c>
      <c r="J11676" t="s">
        <v>39711</v>
      </c>
      <c r="K11676" t="s">
        <v>42305</v>
      </c>
      <c r="M11676" t="s">
        <v>45375</v>
      </c>
      <c r="N11676" t="s">
        <v>46569</v>
      </c>
      <c r="O11676" t="s">
        <v>46570</v>
      </c>
      <c r="P11676">
        <v>0</v>
      </c>
      <c r="Q11676">
        <v>0</v>
      </c>
      <c r="R11676" t="s">
        <v>46579</v>
      </c>
      <c r="S11676" t="s">
        <v>46919</v>
      </c>
      <c r="T11676" t="s">
        <v>48381</v>
      </c>
      <c r="U11676" t="s">
        <v>58135</v>
      </c>
      <c r="W11676" t="s">
        <v>45375</v>
      </c>
      <c r="X11676" t="s">
        <v>46580</v>
      </c>
    </row>
    <row r="11677" spans="1:24">
      <c r="A11677">
        <f>HYPERLINK("https://www.philgeps.gov.ph/GEPSNONPILOT/Tender/SplashBidNoticeAbstractUI.aspx?menuIndex=3&amp;refID=7049824&amp;Result=3","7049824")</f>
        <v>0</v>
      </c>
      <c r="B11677" t="s">
        <v>3034</v>
      </c>
      <c r="C11677" t="s">
        <v>14603</v>
      </c>
      <c r="D11677" t="s">
        <v>18839</v>
      </c>
      <c r="E11677" t="s">
        <v>28929</v>
      </c>
      <c r="F11677" t="s">
        <v>32664</v>
      </c>
      <c r="G11677" t="s">
        <v>32672</v>
      </c>
      <c r="H11677" t="s">
        <v>12635</v>
      </c>
      <c r="I11677" t="s">
        <v>8797</v>
      </c>
      <c r="J11677" t="s">
        <v>39712</v>
      </c>
      <c r="K11677" t="s">
        <v>42297</v>
      </c>
      <c r="M11677" t="s">
        <v>45907</v>
      </c>
      <c r="N11677" t="s">
        <v>46569</v>
      </c>
      <c r="O11677" t="s">
        <v>46570</v>
      </c>
      <c r="P11677">
        <v>0</v>
      </c>
      <c r="Q11677">
        <v>1</v>
      </c>
      <c r="R11677" t="s">
        <v>46579</v>
      </c>
      <c r="S11677" t="s">
        <v>46919</v>
      </c>
      <c r="T11677" t="s">
        <v>48213</v>
      </c>
      <c r="U11677" t="s">
        <v>58136</v>
      </c>
      <c r="W11677" t="s">
        <v>45907</v>
      </c>
      <c r="X11677" t="s">
        <v>46580</v>
      </c>
    </row>
    <row r="11678" spans="1:24">
      <c r="A11678">
        <f>HYPERLINK("https://www.philgeps.gov.ph/GEPSNONPILOT/Tender/SplashBidNoticeAbstractUI.aspx?menuIndex=3&amp;refID=7049390&amp;Result=3","7049390")</f>
        <v>0</v>
      </c>
      <c r="B11678" t="s">
        <v>632</v>
      </c>
      <c r="C11678" t="s">
        <v>14604</v>
      </c>
      <c r="D11678" t="s">
        <v>18821</v>
      </c>
      <c r="E11678" t="s">
        <v>28930</v>
      </c>
      <c r="F11678" t="s">
        <v>32664</v>
      </c>
      <c r="G11678" t="s">
        <v>32672</v>
      </c>
      <c r="H11678" t="s">
        <v>32683</v>
      </c>
      <c r="I11678" t="s">
        <v>10627</v>
      </c>
      <c r="J11678" t="s">
        <v>34487</v>
      </c>
      <c r="K11678" t="s">
        <v>42352</v>
      </c>
      <c r="M11678" t="s">
        <v>43214</v>
      </c>
      <c r="N11678" t="s">
        <v>46569</v>
      </c>
      <c r="O11678" t="s">
        <v>46570</v>
      </c>
      <c r="P11678">
        <v>0</v>
      </c>
      <c r="Q11678">
        <v>3</v>
      </c>
      <c r="R11678" t="s">
        <v>46579</v>
      </c>
      <c r="S11678" t="s">
        <v>46919</v>
      </c>
      <c r="T11678" t="s">
        <v>48314</v>
      </c>
      <c r="U11678" t="s">
        <v>58137</v>
      </c>
      <c r="W11678" t="s">
        <v>43214</v>
      </c>
      <c r="X11678" t="s">
        <v>46580</v>
      </c>
    </row>
    <row r="11679" spans="1:24">
      <c r="A11679">
        <f>HYPERLINK("https://www.philgeps.gov.ph/GEPSNONPILOT/Tender/SplashBidNoticeAbstractUI.aspx?menuIndex=3&amp;refID=7049817&amp;Result=3","7049817")</f>
        <v>0</v>
      </c>
      <c r="B11679" t="s">
        <v>3034</v>
      </c>
      <c r="C11679" t="s">
        <v>14605</v>
      </c>
      <c r="D11679" t="s">
        <v>18839</v>
      </c>
      <c r="E11679" t="s">
        <v>28931</v>
      </c>
      <c r="F11679" t="s">
        <v>32664</v>
      </c>
      <c r="G11679" t="s">
        <v>32672</v>
      </c>
      <c r="H11679" t="s">
        <v>12635</v>
      </c>
      <c r="I11679" t="s">
        <v>6223</v>
      </c>
      <c r="J11679" t="s">
        <v>33743</v>
      </c>
      <c r="K11679" t="s">
        <v>42297</v>
      </c>
      <c r="M11679" t="s">
        <v>45907</v>
      </c>
      <c r="N11679" t="s">
        <v>46569</v>
      </c>
      <c r="O11679" t="s">
        <v>46570</v>
      </c>
      <c r="P11679">
        <v>0</v>
      </c>
      <c r="Q11679">
        <v>4</v>
      </c>
      <c r="R11679" t="s">
        <v>46579</v>
      </c>
      <c r="S11679" t="s">
        <v>46919</v>
      </c>
      <c r="T11679" t="s">
        <v>48213</v>
      </c>
      <c r="U11679" t="s">
        <v>58138</v>
      </c>
      <c r="W11679" t="s">
        <v>45907</v>
      </c>
      <c r="X11679" t="s">
        <v>46580</v>
      </c>
    </row>
    <row r="11680" spans="1:24">
      <c r="A11680">
        <f>HYPERLINK("https://www.philgeps.gov.ph/GEPSNONPILOT/Tender/SplashBidNoticeAbstractUI.aspx?menuIndex=3&amp;refID=7049815&amp;Result=3","7049815")</f>
        <v>0</v>
      </c>
      <c r="B11680" t="s">
        <v>3034</v>
      </c>
      <c r="C11680" t="s">
        <v>14606</v>
      </c>
      <c r="D11680" t="s">
        <v>18839</v>
      </c>
      <c r="E11680" t="s">
        <v>28932</v>
      </c>
      <c r="F11680" t="s">
        <v>32664</v>
      </c>
      <c r="G11680" t="s">
        <v>32672</v>
      </c>
      <c r="H11680" t="s">
        <v>12635</v>
      </c>
      <c r="I11680" t="s">
        <v>32729</v>
      </c>
      <c r="J11680" t="s">
        <v>39713</v>
      </c>
      <c r="K11680" t="s">
        <v>42297</v>
      </c>
      <c r="M11680" t="s">
        <v>45907</v>
      </c>
      <c r="N11680" t="s">
        <v>46569</v>
      </c>
      <c r="O11680" t="s">
        <v>46570</v>
      </c>
      <c r="P11680">
        <v>0</v>
      </c>
      <c r="Q11680">
        <v>1</v>
      </c>
      <c r="R11680" t="s">
        <v>46579</v>
      </c>
      <c r="S11680" t="s">
        <v>46919</v>
      </c>
      <c r="T11680" t="s">
        <v>48213</v>
      </c>
      <c r="U11680" t="s">
        <v>58139</v>
      </c>
      <c r="W11680" t="s">
        <v>45907</v>
      </c>
      <c r="X11680" t="s">
        <v>46580</v>
      </c>
    </row>
    <row r="11681" spans="1:24">
      <c r="A11681">
        <f>HYPERLINK("https://www.philgeps.gov.ph/GEPSNONPILOT/Tender/SplashBidNoticeAbstractUI.aspx?menuIndex=3&amp;refID=7027208&amp;Result=3","7027208")</f>
        <v>0</v>
      </c>
      <c r="B11681" t="s">
        <v>3087</v>
      </c>
      <c r="C11681" t="s">
        <v>14607</v>
      </c>
      <c r="D11681" t="s">
        <v>18810</v>
      </c>
      <c r="E11681" t="s">
        <v>28933</v>
      </c>
      <c r="F11681" t="s">
        <v>32664</v>
      </c>
      <c r="G11681" t="s">
        <v>32672</v>
      </c>
      <c r="H11681" t="s">
        <v>12635</v>
      </c>
      <c r="I11681" t="s">
        <v>32712</v>
      </c>
      <c r="J11681" t="s">
        <v>39714</v>
      </c>
      <c r="K11681" t="s">
        <v>42298</v>
      </c>
      <c r="M11681" t="s">
        <v>45974</v>
      </c>
      <c r="N11681" t="s">
        <v>46569</v>
      </c>
      <c r="O11681" t="s">
        <v>46570</v>
      </c>
      <c r="P11681">
        <v>0</v>
      </c>
      <c r="Q11681">
        <v>42</v>
      </c>
      <c r="R11681" t="s">
        <v>46580</v>
      </c>
      <c r="S11681" t="s">
        <v>46986</v>
      </c>
      <c r="T11681" t="s">
        <v>48236</v>
      </c>
      <c r="U11681" t="s">
        <v>58140</v>
      </c>
      <c r="V11681" t="s">
        <v>62897</v>
      </c>
      <c r="W11681" t="s">
        <v>45974</v>
      </c>
      <c r="X11681" t="s">
        <v>46592</v>
      </c>
    </row>
    <row r="11682" spans="1:24">
      <c r="A11682">
        <f>HYPERLINK("https://www.philgeps.gov.ph/GEPSNONPILOT/Tender/SplashBidNoticeAbstractUI.aspx?menuIndex=3&amp;refID=7049809&amp;Result=3","7049809")</f>
        <v>0</v>
      </c>
      <c r="B11682" t="s">
        <v>3034</v>
      </c>
      <c r="C11682" t="s">
        <v>14608</v>
      </c>
      <c r="D11682" t="s">
        <v>18839</v>
      </c>
      <c r="E11682" t="s">
        <v>28934</v>
      </c>
      <c r="F11682" t="s">
        <v>32664</v>
      </c>
      <c r="G11682" t="s">
        <v>32672</v>
      </c>
      <c r="H11682" t="s">
        <v>12635</v>
      </c>
      <c r="I11682" t="s">
        <v>6168</v>
      </c>
      <c r="J11682" t="s">
        <v>39715</v>
      </c>
      <c r="K11682" t="s">
        <v>42297</v>
      </c>
      <c r="M11682" t="s">
        <v>45907</v>
      </c>
      <c r="N11682" t="s">
        <v>46569</v>
      </c>
      <c r="O11682" t="s">
        <v>46570</v>
      </c>
      <c r="P11682">
        <v>0</v>
      </c>
      <c r="Q11682">
        <v>2</v>
      </c>
      <c r="R11682" t="s">
        <v>46579</v>
      </c>
      <c r="S11682" t="s">
        <v>46919</v>
      </c>
      <c r="T11682" t="s">
        <v>48213</v>
      </c>
      <c r="U11682" t="s">
        <v>58141</v>
      </c>
      <c r="W11682" t="s">
        <v>45907</v>
      </c>
      <c r="X11682" t="s">
        <v>46580</v>
      </c>
    </row>
    <row r="11683" spans="1:24">
      <c r="A11683">
        <f>HYPERLINK("https://www.philgeps.gov.ph/GEPSNONPILOT/Tender/SplashBidNoticeAbstractUI.aspx?menuIndex=3&amp;refID=7049803&amp;Result=3","7049803")</f>
        <v>0</v>
      </c>
      <c r="B11683" t="s">
        <v>3034</v>
      </c>
      <c r="C11683" t="s">
        <v>14609</v>
      </c>
      <c r="D11683" t="s">
        <v>18839</v>
      </c>
      <c r="E11683" t="s">
        <v>28935</v>
      </c>
      <c r="F11683" t="s">
        <v>32664</v>
      </c>
      <c r="G11683" t="s">
        <v>32672</v>
      </c>
      <c r="H11683" t="s">
        <v>12635</v>
      </c>
      <c r="I11683" t="s">
        <v>9486</v>
      </c>
      <c r="J11683" t="s">
        <v>39716</v>
      </c>
      <c r="K11683" t="s">
        <v>42297</v>
      </c>
      <c r="M11683" t="s">
        <v>45907</v>
      </c>
      <c r="N11683" t="s">
        <v>46569</v>
      </c>
      <c r="O11683" t="s">
        <v>46570</v>
      </c>
      <c r="P11683">
        <v>0</v>
      </c>
      <c r="Q11683">
        <v>1</v>
      </c>
      <c r="R11683" t="s">
        <v>46579</v>
      </c>
      <c r="S11683" t="s">
        <v>46919</v>
      </c>
      <c r="T11683" t="s">
        <v>48213</v>
      </c>
      <c r="U11683" t="s">
        <v>58142</v>
      </c>
      <c r="W11683" t="s">
        <v>45907</v>
      </c>
      <c r="X11683" t="s">
        <v>46580</v>
      </c>
    </row>
    <row r="11684" spans="1:24">
      <c r="A11684">
        <f>HYPERLINK("https://www.philgeps.gov.ph/GEPSNONPILOT/Tender/SplashBidNoticeAbstractUI.aspx?menuIndex=3&amp;refID=7049470&amp;Result=3","7049470")</f>
        <v>0</v>
      </c>
      <c r="B11684" t="s">
        <v>2720</v>
      </c>
      <c r="C11684" t="s">
        <v>14610</v>
      </c>
      <c r="D11684" t="s">
        <v>18785</v>
      </c>
      <c r="E11684" t="s">
        <v>28936</v>
      </c>
      <c r="F11684" t="s">
        <v>32664</v>
      </c>
      <c r="G11684" t="s">
        <v>32672</v>
      </c>
      <c r="H11684" t="s">
        <v>32683</v>
      </c>
      <c r="I11684" t="s">
        <v>10627</v>
      </c>
      <c r="J11684" t="s">
        <v>39717</v>
      </c>
      <c r="K11684" t="s">
        <v>42327</v>
      </c>
      <c r="M11684" t="s">
        <v>45547</v>
      </c>
      <c r="N11684" t="s">
        <v>46569</v>
      </c>
      <c r="O11684" t="s">
        <v>46570</v>
      </c>
      <c r="Q11684">
        <v>3</v>
      </c>
      <c r="R11684" t="s">
        <v>46579</v>
      </c>
      <c r="S11684" t="s">
        <v>46987</v>
      </c>
      <c r="T11684" t="s">
        <v>48284</v>
      </c>
      <c r="U11684" t="s">
        <v>58050</v>
      </c>
      <c r="V11684" t="s">
        <v>62612</v>
      </c>
      <c r="W11684" t="s">
        <v>45547</v>
      </c>
      <c r="X11684" t="s">
        <v>46580</v>
      </c>
    </row>
    <row r="11685" spans="1:24">
      <c r="A11685">
        <f>HYPERLINK("https://www.philgeps.gov.ph/GEPSNONPILOT/Tender/SplashBidNoticeAbstractUI.aspx?menuIndex=3&amp;refID=7049802&amp;Result=3","7049802")</f>
        <v>0</v>
      </c>
      <c r="B11685" t="s">
        <v>3088</v>
      </c>
      <c r="C11685" t="s">
        <v>14611</v>
      </c>
      <c r="D11685" t="s">
        <v>18782</v>
      </c>
      <c r="E11685" t="s">
        <v>19380</v>
      </c>
      <c r="F11685" t="s">
        <v>32664</v>
      </c>
      <c r="G11685" t="s">
        <v>32672</v>
      </c>
      <c r="H11685" t="s">
        <v>12635</v>
      </c>
      <c r="I11685" t="s">
        <v>6223</v>
      </c>
      <c r="J11685" t="s">
        <v>39718</v>
      </c>
      <c r="K11685" t="s">
        <v>42297</v>
      </c>
      <c r="L11685" t="s">
        <v>3088</v>
      </c>
      <c r="M11685" t="s">
        <v>45975</v>
      </c>
      <c r="N11685" t="s">
        <v>46569</v>
      </c>
      <c r="O11685" t="s">
        <v>46570</v>
      </c>
      <c r="P11685">
        <v>0</v>
      </c>
      <c r="Q11685">
        <v>1</v>
      </c>
      <c r="R11685" t="s">
        <v>46579</v>
      </c>
      <c r="S11685" t="s">
        <v>46919</v>
      </c>
      <c r="T11685" t="s">
        <v>48631</v>
      </c>
      <c r="U11685" t="s">
        <v>58143</v>
      </c>
      <c r="V11685" t="s">
        <v>62898</v>
      </c>
      <c r="W11685" t="s">
        <v>45975</v>
      </c>
      <c r="X11685" t="s">
        <v>46580</v>
      </c>
    </row>
    <row r="11686" spans="1:24">
      <c r="A11686">
        <f>HYPERLINK("https://www.philgeps.gov.ph/GEPSNONPILOT/Tender/SplashBidNoticeAbstractUI.aspx?menuIndex=3&amp;refID=7049799&amp;Result=3","7049799")</f>
        <v>0</v>
      </c>
      <c r="B11686" t="s">
        <v>3034</v>
      </c>
      <c r="C11686" t="s">
        <v>14612</v>
      </c>
      <c r="D11686" t="s">
        <v>18839</v>
      </c>
      <c r="E11686" t="s">
        <v>28937</v>
      </c>
      <c r="F11686" t="s">
        <v>32664</v>
      </c>
      <c r="G11686" t="s">
        <v>32672</v>
      </c>
      <c r="H11686" t="s">
        <v>12635</v>
      </c>
      <c r="I11686" t="s">
        <v>32712</v>
      </c>
      <c r="J11686" t="s">
        <v>39719</v>
      </c>
      <c r="K11686" t="s">
        <v>42281</v>
      </c>
      <c r="M11686" t="s">
        <v>45907</v>
      </c>
      <c r="N11686" t="s">
        <v>46569</v>
      </c>
      <c r="O11686" t="s">
        <v>46570</v>
      </c>
      <c r="P11686">
        <v>0</v>
      </c>
      <c r="Q11686">
        <v>7</v>
      </c>
      <c r="R11686" t="s">
        <v>46579</v>
      </c>
      <c r="S11686" t="s">
        <v>46919</v>
      </c>
      <c r="T11686" t="s">
        <v>48213</v>
      </c>
      <c r="U11686" t="s">
        <v>58144</v>
      </c>
      <c r="W11686" t="s">
        <v>45907</v>
      </c>
      <c r="X11686" t="s">
        <v>46580</v>
      </c>
    </row>
    <row r="11687" spans="1:24">
      <c r="A11687">
        <f>HYPERLINK("https://www.philgeps.gov.ph/GEPSNONPILOT/Tender/SplashBidNoticeAbstractUI.aspx?menuIndex=3&amp;refID=7049798&amp;Result=3","7049798")</f>
        <v>0</v>
      </c>
      <c r="B11687" t="s">
        <v>212</v>
      </c>
      <c r="C11687" t="s">
        <v>14613</v>
      </c>
      <c r="D11687" t="s">
        <v>18844</v>
      </c>
      <c r="E11687" t="s">
        <v>28938</v>
      </c>
      <c r="F11687" t="s">
        <v>32664</v>
      </c>
      <c r="G11687" t="s">
        <v>32672</v>
      </c>
      <c r="H11687" t="s">
        <v>12635</v>
      </c>
      <c r="I11687" t="s">
        <v>5589</v>
      </c>
      <c r="J11687" t="s">
        <v>39720</v>
      </c>
      <c r="K11687" t="s">
        <v>42289</v>
      </c>
      <c r="M11687" t="s">
        <v>45976</v>
      </c>
      <c r="N11687" t="s">
        <v>46569</v>
      </c>
      <c r="O11687" t="s">
        <v>46570</v>
      </c>
      <c r="P11687">
        <v>0</v>
      </c>
      <c r="Q11687">
        <v>5</v>
      </c>
      <c r="R11687" t="s">
        <v>46579</v>
      </c>
      <c r="S11687" t="s">
        <v>46919</v>
      </c>
      <c r="T11687" t="s">
        <v>48489</v>
      </c>
      <c r="U11687" t="s">
        <v>58145</v>
      </c>
      <c r="V11687" t="s">
        <v>61668</v>
      </c>
      <c r="W11687" t="s">
        <v>45976</v>
      </c>
      <c r="X11687" t="s">
        <v>46580</v>
      </c>
    </row>
    <row r="11688" spans="1:24">
      <c r="A11688">
        <f>HYPERLINK("https://www.philgeps.gov.ph/GEPSNONPILOT/Tender/SplashBidNoticeAbstractUI.aspx?menuIndex=3&amp;refID=7049790&amp;Result=3","7049790")</f>
        <v>0</v>
      </c>
      <c r="B11688" t="s">
        <v>1598</v>
      </c>
      <c r="C11688" t="s">
        <v>14614</v>
      </c>
      <c r="D11688" t="s">
        <v>18812</v>
      </c>
      <c r="E11688" t="s">
        <v>28939</v>
      </c>
      <c r="F11688" t="s">
        <v>32664</v>
      </c>
      <c r="G11688" t="s">
        <v>32672</v>
      </c>
      <c r="H11688" t="s">
        <v>12635</v>
      </c>
      <c r="I11688" t="s">
        <v>5589</v>
      </c>
      <c r="J11688" t="s">
        <v>39721</v>
      </c>
      <c r="K11688" t="s">
        <v>42281</v>
      </c>
      <c r="M11688" t="s">
        <v>44275</v>
      </c>
      <c r="N11688" t="s">
        <v>46569</v>
      </c>
      <c r="O11688" t="s">
        <v>46570</v>
      </c>
      <c r="P11688">
        <v>0</v>
      </c>
      <c r="Q11688">
        <v>11</v>
      </c>
      <c r="R11688" t="s">
        <v>46579</v>
      </c>
      <c r="S11688" t="s">
        <v>46919</v>
      </c>
      <c r="T11688" t="s">
        <v>48389</v>
      </c>
      <c r="U11688" t="s">
        <v>58146</v>
      </c>
      <c r="W11688" t="s">
        <v>44275</v>
      </c>
      <c r="X11688" t="s">
        <v>46580</v>
      </c>
    </row>
    <row r="11689" spans="1:24">
      <c r="A11689">
        <f>HYPERLINK("https://www.philgeps.gov.ph/GEPSNONPILOT/Tender/SplashBidNoticeAbstractUI.aspx?menuIndex=3&amp;refID=7049821&amp;Result=3","7049821")</f>
        <v>0</v>
      </c>
      <c r="B11689" t="s">
        <v>2564</v>
      </c>
      <c r="C11689" t="s">
        <v>14615</v>
      </c>
      <c r="D11689" t="s">
        <v>18820</v>
      </c>
      <c r="E11689" t="s">
        <v>28940</v>
      </c>
      <c r="F11689" t="s">
        <v>32664</v>
      </c>
      <c r="G11689" t="s">
        <v>32672</v>
      </c>
      <c r="H11689" t="s">
        <v>12635</v>
      </c>
      <c r="I11689" t="s">
        <v>6223</v>
      </c>
      <c r="J11689" t="s">
        <v>34348</v>
      </c>
      <c r="K11689" t="s">
        <v>42281</v>
      </c>
      <c r="M11689" t="s">
        <v>45375</v>
      </c>
      <c r="N11689" t="s">
        <v>46569</v>
      </c>
      <c r="O11689" t="s">
        <v>46570</v>
      </c>
      <c r="P11689">
        <v>0</v>
      </c>
      <c r="Q11689">
        <v>5</v>
      </c>
      <c r="R11689" t="s">
        <v>46579</v>
      </c>
      <c r="S11689" t="s">
        <v>46919</v>
      </c>
      <c r="T11689" t="s">
        <v>48381</v>
      </c>
      <c r="U11689" t="s">
        <v>58147</v>
      </c>
      <c r="W11689" t="s">
        <v>45375</v>
      </c>
      <c r="X11689" t="s">
        <v>46580</v>
      </c>
    </row>
    <row r="11690" spans="1:24">
      <c r="A11690">
        <f>HYPERLINK("https://www.philgeps.gov.ph/GEPSNONPILOT/Tender/SplashBidNoticeAbstractUI.aspx?menuIndex=3&amp;refID=7049474&amp;Result=3","7049474")</f>
        <v>0</v>
      </c>
      <c r="B11690" t="s">
        <v>3065</v>
      </c>
      <c r="C11690" t="s">
        <v>14616</v>
      </c>
      <c r="D11690" t="s">
        <v>18831</v>
      </c>
      <c r="E11690" t="s">
        <v>28941</v>
      </c>
      <c r="F11690" t="s">
        <v>32664</v>
      </c>
      <c r="G11690" t="s">
        <v>32672</v>
      </c>
      <c r="H11690" t="s">
        <v>12635</v>
      </c>
      <c r="I11690" t="s">
        <v>32738</v>
      </c>
      <c r="J11690" t="s">
        <v>34192</v>
      </c>
      <c r="K11690" t="s">
        <v>42311</v>
      </c>
      <c r="M11690" t="s">
        <v>45948</v>
      </c>
      <c r="N11690" t="s">
        <v>46569</v>
      </c>
      <c r="O11690" t="s">
        <v>46570</v>
      </c>
      <c r="P11690">
        <v>0</v>
      </c>
      <c r="Q11690">
        <v>5</v>
      </c>
      <c r="R11690" t="s">
        <v>46579</v>
      </c>
      <c r="S11690" t="s">
        <v>46919</v>
      </c>
      <c r="T11690" t="s">
        <v>48389</v>
      </c>
      <c r="U11690" t="s">
        <v>58148</v>
      </c>
      <c r="W11690" t="s">
        <v>45948</v>
      </c>
      <c r="X11690" t="s">
        <v>46580</v>
      </c>
    </row>
    <row r="11691" spans="1:24">
      <c r="A11691">
        <f>HYPERLINK("https://www.philgeps.gov.ph/GEPSNONPILOT/Tender/SplashBidNoticeAbstractUI.aspx?menuIndex=3&amp;refID=7039457&amp;Result=3","7039457")</f>
        <v>0</v>
      </c>
      <c r="B11691" t="s">
        <v>2150</v>
      </c>
      <c r="C11691" t="s">
        <v>14617</v>
      </c>
      <c r="D11691" t="s">
        <v>18851</v>
      </c>
      <c r="E11691" t="s">
        <v>28942</v>
      </c>
      <c r="F11691" t="s">
        <v>32664</v>
      </c>
      <c r="G11691" t="s">
        <v>32672</v>
      </c>
      <c r="H11691" t="s">
        <v>32683</v>
      </c>
      <c r="I11691" t="s">
        <v>10627</v>
      </c>
      <c r="J11691" t="s">
        <v>39722</v>
      </c>
      <c r="K11691" t="s">
        <v>42281</v>
      </c>
      <c r="M11691" t="s">
        <v>44906</v>
      </c>
      <c r="N11691" t="s">
        <v>46569</v>
      </c>
      <c r="O11691" t="s">
        <v>46570</v>
      </c>
      <c r="P11691">
        <v>0</v>
      </c>
      <c r="Q11691">
        <v>0</v>
      </c>
      <c r="R11691" t="s">
        <v>46580</v>
      </c>
      <c r="S11691" t="s">
        <v>46986</v>
      </c>
      <c r="T11691" t="s">
        <v>48212</v>
      </c>
      <c r="U11691" t="s">
        <v>58149</v>
      </c>
      <c r="W11691" t="s">
        <v>44906</v>
      </c>
      <c r="X11691" t="s">
        <v>46586</v>
      </c>
    </row>
    <row r="11692" spans="1:24">
      <c r="A11692">
        <f>HYPERLINK("https://www.philgeps.gov.ph/GEPSNONPILOT/Tender/SplashBidNoticeAbstractUI.aspx?menuIndex=3&amp;refID=7049805&amp;Result=3","7049805")</f>
        <v>0</v>
      </c>
      <c r="B11692" t="s">
        <v>3089</v>
      </c>
      <c r="C11692" t="s">
        <v>14618</v>
      </c>
      <c r="D11692" t="s">
        <v>18793</v>
      </c>
      <c r="E11692" t="s">
        <v>28943</v>
      </c>
      <c r="F11692" t="s">
        <v>32664</v>
      </c>
      <c r="G11692" t="s">
        <v>32672</v>
      </c>
      <c r="H11692" t="s">
        <v>12635</v>
      </c>
      <c r="I11692" t="s">
        <v>11464</v>
      </c>
      <c r="J11692" t="s">
        <v>39723</v>
      </c>
      <c r="K11692" t="s">
        <v>42289</v>
      </c>
      <c r="M11692" t="s">
        <v>45977</v>
      </c>
      <c r="N11692" t="s">
        <v>46569</v>
      </c>
      <c r="O11692" t="s">
        <v>46570</v>
      </c>
      <c r="P11692">
        <v>0</v>
      </c>
      <c r="Q11692">
        <v>3</v>
      </c>
      <c r="R11692" t="s">
        <v>46579</v>
      </c>
      <c r="S11692" t="s">
        <v>46919</v>
      </c>
      <c r="T11692" t="s">
        <v>48283</v>
      </c>
      <c r="U11692" t="s">
        <v>58150</v>
      </c>
      <c r="W11692" t="s">
        <v>45977</v>
      </c>
      <c r="X11692" t="s">
        <v>46580</v>
      </c>
    </row>
    <row r="11693" spans="1:24">
      <c r="A11693">
        <f>HYPERLINK("https://www.philgeps.gov.ph/GEPSNONPILOT/Tender/SplashBidNoticeAbstractUI.aspx?menuIndex=3&amp;refID=7049819&amp;Result=3","7049819")</f>
        <v>0</v>
      </c>
      <c r="B11693" t="s">
        <v>2564</v>
      </c>
      <c r="C11693" t="s">
        <v>14619</v>
      </c>
      <c r="D11693" t="s">
        <v>18820</v>
      </c>
      <c r="E11693" t="s">
        <v>28944</v>
      </c>
      <c r="F11693" t="s">
        <v>32664</v>
      </c>
      <c r="G11693" t="s">
        <v>32672</v>
      </c>
      <c r="H11693" t="s">
        <v>12635</v>
      </c>
      <c r="I11693" t="s">
        <v>6118</v>
      </c>
      <c r="J11693" t="s">
        <v>39724</v>
      </c>
      <c r="K11693" t="s">
        <v>42314</v>
      </c>
      <c r="M11693" t="s">
        <v>45375</v>
      </c>
      <c r="N11693" t="s">
        <v>46569</v>
      </c>
      <c r="O11693" t="s">
        <v>46570</v>
      </c>
      <c r="P11693">
        <v>0</v>
      </c>
      <c r="Q11693">
        <v>0</v>
      </c>
      <c r="R11693" t="s">
        <v>46579</v>
      </c>
      <c r="S11693" t="s">
        <v>46919</v>
      </c>
      <c r="T11693" t="s">
        <v>48381</v>
      </c>
      <c r="U11693" t="s">
        <v>58151</v>
      </c>
      <c r="W11693" t="s">
        <v>45375</v>
      </c>
      <c r="X11693" t="s">
        <v>46580</v>
      </c>
    </row>
    <row r="11694" spans="1:24">
      <c r="A11694">
        <f>HYPERLINK("https://www.philgeps.gov.ph/GEPSNONPILOT/Tender/SplashBidNoticeAbstractUI.aspx?menuIndex=3&amp;refID=7049827&amp;Result=3","7049827")</f>
        <v>0</v>
      </c>
      <c r="B11694" t="s">
        <v>2564</v>
      </c>
      <c r="C11694" t="s">
        <v>14620</v>
      </c>
      <c r="D11694" t="s">
        <v>18820</v>
      </c>
      <c r="E11694" t="s">
        <v>28945</v>
      </c>
      <c r="F11694" t="s">
        <v>32664</v>
      </c>
      <c r="G11694" t="s">
        <v>32672</v>
      </c>
      <c r="H11694" t="s">
        <v>32683</v>
      </c>
      <c r="I11694" t="s">
        <v>10627</v>
      </c>
      <c r="J11694" t="s">
        <v>39725</v>
      </c>
      <c r="K11694" t="s">
        <v>42389</v>
      </c>
      <c r="M11694" t="s">
        <v>45375</v>
      </c>
      <c r="N11694" t="s">
        <v>46569</v>
      </c>
      <c r="O11694" t="s">
        <v>46570</v>
      </c>
      <c r="P11694">
        <v>0</v>
      </c>
      <c r="Q11694">
        <v>0</v>
      </c>
      <c r="R11694" t="s">
        <v>46579</v>
      </c>
      <c r="S11694" t="s">
        <v>46919</v>
      </c>
      <c r="T11694" t="s">
        <v>48381</v>
      </c>
      <c r="U11694" t="s">
        <v>58152</v>
      </c>
      <c r="W11694" t="s">
        <v>45375</v>
      </c>
      <c r="X11694" t="s">
        <v>46580</v>
      </c>
    </row>
    <row r="11695" spans="1:24">
      <c r="A11695">
        <f>HYPERLINK("https://www.philgeps.gov.ph/GEPSNONPILOT/Tender/SplashBidNoticeAbstractUI.aspx?menuIndex=3&amp;refID=7039153&amp;Result=3","7039153")</f>
        <v>0</v>
      </c>
      <c r="B11695" t="s">
        <v>2150</v>
      </c>
      <c r="C11695" t="s">
        <v>14621</v>
      </c>
      <c r="D11695" t="s">
        <v>18851</v>
      </c>
      <c r="E11695" t="s">
        <v>28946</v>
      </c>
      <c r="F11695" t="s">
        <v>32664</v>
      </c>
      <c r="G11695" t="s">
        <v>32672</v>
      </c>
      <c r="H11695" t="s">
        <v>32683</v>
      </c>
      <c r="I11695" t="s">
        <v>10627</v>
      </c>
      <c r="J11695" t="s">
        <v>39726</v>
      </c>
      <c r="K11695" t="s">
        <v>42311</v>
      </c>
      <c r="M11695" t="s">
        <v>44906</v>
      </c>
      <c r="N11695" t="s">
        <v>46569</v>
      </c>
      <c r="O11695" t="s">
        <v>46570</v>
      </c>
      <c r="P11695">
        <v>0</v>
      </c>
      <c r="Q11695">
        <v>0</v>
      </c>
      <c r="R11695" t="s">
        <v>46580</v>
      </c>
      <c r="S11695" t="s">
        <v>46986</v>
      </c>
      <c r="T11695" t="s">
        <v>48212</v>
      </c>
      <c r="U11695" t="s">
        <v>58153</v>
      </c>
      <c r="W11695" t="s">
        <v>44906</v>
      </c>
      <c r="X11695" t="s">
        <v>46586</v>
      </c>
    </row>
    <row r="11696" spans="1:24">
      <c r="A11696">
        <f>HYPERLINK("https://www.philgeps.gov.ph/GEPSNONPILOT/Tender/SplashBidNoticeAbstractUI.aspx?menuIndex=3&amp;refID=7039435&amp;Result=3","7039435")</f>
        <v>0</v>
      </c>
      <c r="B11696" t="s">
        <v>2150</v>
      </c>
      <c r="C11696" t="s">
        <v>14622</v>
      </c>
      <c r="D11696" t="s">
        <v>18851</v>
      </c>
      <c r="E11696" t="s">
        <v>28947</v>
      </c>
      <c r="F11696" t="s">
        <v>32664</v>
      </c>
      <c r="G11696" t="s">
        <v>32672</v>
      </c>
      <c r="H11696" t="s">
        <v>32683</v>
      </c>
      <c r="I11696" t="s">
        <v>10627</v>
      </c>
      <c r="J11696" t="s">
        <v>39727</v>
      </c>
      <c r="K11696" t="s">
        <v>42281</v>
      </c>
      <c r="M11696" t="s">
        <v>44906</v>
      </c>
      <c r="N11696" t="s">
        <v>46569</v>
      </c>
      <c r="O11696" t="s">
        <v>46570</v>
      </c>
      <c r="P11696">
        <v>0</v>
      </c>
      <c r="Q11696">
        <v>0</v>
      </c>
      <c r="R11696" t="s">
        <v>46580</v>
      </c>
      <c r="S11696" t="s">
        <v>46986</v>
      </c>
      <c r="T11696" t="s">
        <v>48212</v>
      </c>
      <c r="U11696" t="s">
        <v>58154</v>
      </c>
      <c r="W11696" t="s">
        <v>44906</v>
      </c>
      <c r="X11696" t="s">
        <v>46586</v>
      </c>
    </row>
    <row r="11697" spans="1:24">
      <c r="A11697">
        <f>HYPERLINK("https://www.philgeps.gov.ph/GEPSNONPILOT/Tender/SplashBidNoticeAbstractUI.aspx?menuIndex=3&amp;refID=7049792&amp;Result=3","7049792")</f>
        <v>0</v>
      </c>
      <c r="B11697" t="s">
        <v>3034</v>
      </c>
      <c r="C11697" t="s">
        <v>14623</v>
      </c>
      <c r="D11697" t="s">
        <v>18839</v>
      </c>
      <c r="E11697" t="s">
        <v>28948</v>
      </c>
      <c r="F11697" t="s">
        <v>32664</v>
      </c>
      <c r="G11697" t="s">
        <v>32672</v>
      </c>
      <c r="H11697" t="s">
        <v>12635</v>
      </c>
      <c r="I11697" t="s">
        <v>32706</v>
      </c>
      <c r="J11697" t="s">
        <v>39728</v>
      </c>
      <c r="K11697" t="s">
        <v>42297</v>
      </c>
      <c r="M11697" t="s">
        <v>45907</v>
      </c>
      <c r="N11697" t="s">
        <v>46569</v>
      </c>
      <c r="O11697" t="s">
        <v>46570</v>
      </c>
      <c r="P11697">
        <v>0</v>
      </c>
      <c r="Q11697">
        <v>0</v>
      </c>
      <c r="R11697" t="s">
        <v>46579</v>
      </c>
      <c r="S11697" t="s">
        <v>46919</v>
      </c>
      <c r="T11697" t="s">
        <v>48213</v>
      </c>
      <c r="U11697" t="s">
        <v>58155</v>
      </c>
      <c r="W11697" t="s">
        <v>45907</v>
      </c>
      <c r="X11697" t="s">
        <v>46580</v>
      </c>
    </row>
    <row r="11698" spans="1:24">
      <c r="A11698">
        <f>HYPERLINK("https://www.philgeps.gov.ph/GEPSNONPILOT/Tender/SplashBidNoticeAbstractUI.aspx?menuIndex=3&amp;refID=7038925&amp;Result=3","7038925")</f>
        <v>0</v>
      </c>
      <c r="B11698" t="s">
        <v>1551</v>
      </c>
      <c r="C11698" t="s">
        <v>14624</v>
      </c>
      <c r="D11698" t="s">
        <v>18785</v>
      </c>
      <c r="E11698" t="s">
        <v>28949</v>
      </c>
      <c r="F11698" t="s">
        <v>32664</v>
      </c>
      <c r="G11698" t="s">
        <v>32672</v>
      </c>
      <c r="H11698" t="s">
        <v>12635</v>
      </c>
      <c r="I11698" t="s">
        <v>32729</v>
      </c>
      <c r="J11698" t="s">
        <v>32943</v>
      </c>
      <c r="K11698" t="s">
        <v>42281</v>
      </c>
      <c r="M11698" t="s">
        <v>44220</v>
      </c>
      <c r="N11698" t="s">
        <v>46569</v>
      </c>
      <c r="O11698" t="s">
        <v>46570</v>
      </c>
      <c r="P11698">
        <v>0</v>
      </c>
      <c r="Q11698">
        <v>8</v>
      </c>
      <c r="R11698" t="s">
        <v>46580</v>
      </c>
      <c r="S11698" t="s">
        <v>46986</v>
      </c>
      <c r="T11698" t="s">
        <v>48284</v>
      </c>
      <c r="U11698" t="s">
        <v>58156</v>
      </c>
      <c r="V11698" t="s">
        <v>62899</v>
      </c>
      <c r="W11698" t="s">
        <v>44220</v>
      </c>
      <c r="X11698" t="s">
        <v>46586</v>
      </c>
    </row>
    <row r="11699" spans="1:24">
      <c r="A11699">
        <f>HYPERLINK("https://www.philgeps.gov.ph/GEPSNONPILOT/Tender/SplashBidNoticeAbstractUI.aspx?menuIndex=3&amp;refID=7039228&amp;Result=3","7039228")</f>
        <v>0</v>
      </c>
      <c r="B11699" t="s">
        <v>2150</v>
      </c>
      <c r="C11699" t="s">
        <v>14625</v>
      </c>
      <c r="D11699" t="s">
        <v>18851</v>
      </c>
      <c r="E11699" t="s">
        <v>28950</v>
      </c>
      <c r="F11699" t="s">
        <v>32664</v>
      </c>
      <c r="G11699" t="s">
        <v>32672</v>
      </c>
      <c r="H11699" t="s">
        <v>32683</v>
      </c>
      <c r="I11699" t="s">
        <v>10627</v>
      </c>
      <c r="J11699" t="s">
        <v>39729</v>
      </c>
      <c r="K11699" t="s">
        <v>42290</v>
      </c>
      <c r="M11699" t="s">
        <v>44906</v>
      </c>
      <c r="N11699" t="s">
        <v>46569</v>
      </c>
      <c r="O11699" t="s">
        <v>46570</v>
      </c>
      <c r="P11699">
        <v>0</v>
      </c>
      <c r="Q11699">
        <v>0</v>
      </c>
      <c r="R11699" t="s">
        <v>46580</v>
      </c>
      <c r="S11699" t="s">
        <v>46986</v>
      </c>
      <c r="T11699" t="s">
        <v>48212</v>
      </c>
      <c r="U11699" t="s">
        <v>58157</v>
      </c>
      <c r="W11699" t="s">
        <v>44906</v>
      </c>
      <c r="X11699" t="s">
        <v>46586</v>
      </c>
    </row>
    <row r="11700" spans="1:24">
      <c r="A11700">
        <f>HYPERLINK("https://www.philgeps.gov.ph/GEPSNONPILOT/Tender/SplashBidNoticeAbstractUI.aspx?menuIndex=3&amp;refID=7037617&amp;Result=3","7037617")</f>
        <v>0</v>
      </c>
      <c r="B11700" t="s">
        <v>684</v>
      </c>
      <c r="C11700" t="s">
        <v>14626</v>
      </c>
      <c r="E11700" t="s">
        <v>26715</v>
      </c>
      <c r="F11700" t="s">
        <v>32664</v>
      </c>
      <c r="G11700" t="s">
        <v>32672</v>
      </c>
      <c r="H11700" t="s">
        <v>12635</v>
      </c>
      <c r="I11700" t="s">
        <v>8797</v>
      </c>
      <c r="J11700" t="s">
        <v>35403</v>
      </c>
      <c r="K11700" t="s">
        <v>42283</v>
      </c>
      <c r="M11700" t="s">
        <v>45394</v>
      </c>
      <c r="N11700" t="s">
        <v>46569</v>
      </c>
      <c r="O11700" t="s">
        <v>46570</v>
      </c>
      <c r="P11700">
        <v>0</v>
      </c>
      <c r="Q11700">
        <v>14</v>
      </c>
      <c r="R11700" t="s">
        <v>46580</v>
      </c>
      <c r="S11700" t="s">
        <v>46986</v>
      </c>
      <c r="T11700" t="s">
        <v>48238</v>
      </c>
      <c r="U11700" t="s">
        <v>58158</v>
      </c>
      <c r="W11700" t="s">
        <v>45394</v>
      </c>
      <c r="X11700" t="s">
        <v>46587</v>
      </c>
    </row>
    <row r="11701" spans="1:24">
      <c r="A11701">
        <f>HYPERLINK("https://www.philgeps.gov.ph/GEPSNONPILOT/Tender/SplashBidNoticeAbstractUI.aspx?menuIndex=3&amp;refID=7037588&amp;Result=3","7037588")</f>
        <v>0</v>
      </c>
      <c r="B11701" t="s">
        <v>684</v>
      </c>
      <c r="C11701" t="s">
        <v>12054</v>
      </c>
      <c r="E11701" t="s">
        <v>28951</v>
      </c>
      <c r="F11701" t="s">
        <v>32664</v>
      </c>
      <c r="G11701" t="s">
        <v>32672</v>
      </c>
      <c r="H11701" t="s">
        <v>12635</v>
      </c>
      <c r="I11701" t="s">
        <v>8797</v>
      </c>
      <c r="J11701" t="s">
        <v>39730</v>
      </c>
      <c r="K11701" t="s">
        <v>42283</v>
      </c>
      <c r="M11701" t="s">
        <v>45394</v>
      </c>
      <c r="N11701" t="s">
        <v>46569</v>
      </c>
      <c r="O11701" t="s">
        <v>46570</v>
      </c>
      <c r="P11701">
        <v>0</v>
      </c>
      <c r="Q11701">
        <v>19</v>
      </c>
      <c r="R11701" t="s">
        <v>46580</v>
      </c>
      <c r="S11701" t="s">
        <v>46986</v>
      </c>
      <c r="T11701" t="s">
        <v>48238</v>
      </c>
      <c r="U11701" t="s">
        <v>56047</v>
      </c>
      <c r="W11701" t="s">
        <v>45394</v>
      </c>
      <c r="X11701" t="s">
        <v>46587</v>
      </c>
    </row>
    <row r="11702" spans="1:24">
      <c r="A11702">
        <f>HYPERLINK("https://www.philgeps.gov.ph/GEPSNONPILOT/Tender/SplashBidNoticeAbstractUI.aspx?menuIndex=3&amp;refID=7037529&amp;Result=3","7037529")</f>
        <v>0</v>
      </c>
      <c r="B11702" t="s">
        <v>684</v>
      </c>
      <c r="C11702" t="s">
        <v>14627</v>
      </c>
      <c r="E11702" t="s">
        <v>28952</v>
      </c>
      <c r="F11702" t="s">
        <v>32664</v>
      </c>
      <c r="G11702" t="s">
        <v>32672</v>
      </c>
      <c r="H11702" t="s">
        <v>12635</v>
      </c>
      <c r="I11702" t="s">
        <v>8797</v>
      </c>
      <c r="J11702" t="s">
        <v>33036</v>
      </c>
      <c r="K11702" t="s">
        <v>42283</v>
      </c>
      <c r="M11702" t="s">
        <v>45394</v>
      </c>
      <c r="N11702" t="s">
        <v>46569</v>
      </c>
      <c r="O11702" t="s">
        <v>46570</v>
      </c>
      <c r="P11702">
        <v>0</v>
      </c>
      <c r="Q11702">
        <v>6</v>
      </c>
      <c r="R11702" t="s">
        <v>46580</v>
      </c>
      <c r="S11702" t="s">
        <v>46986</v>
      </c>
      <c r="T11702" t="s">
        <v>48238</v>
      </c>
      <c r="U11702" t="s">
        <v>58159</v>
      </c>
      <c r="W11702" t="s">
        <v>45394</v>
      </c>
      <c r="X11702" t="s">
        <v>46587</v>
      </c>
    </row>
    <row r="11703" spans="1:24">
      <c r="A11703">
        <f>HYPERLINK("https://www.philgeps.gov.ph/GEPSNONPILOT/Tender/SplashBidNoticeAbstractUI.aspx?menuIndex=3&amp;refID=7039190&amp;Result=3","7039190")</f>
        <v>0</v>
      </c>
      <c r="B11703" t="s">
        <v>2150</v>
      </c>
      <c r="C11703" t="s">
        <v>14628</v>
      </c>
      <c r="D11703" t="s">
        <v>18851</v>
      </c>
      <c r="E11703" t="s">
        <v>28953</v>
      </c>
      <c r="F11703" t="s">
        <v>32664</v>
      </c>
      <c r="G11703" t="s">
        <v>32672</v>
      </c>
      <c r="H11703" t="s">
        <v>32683</v>
      </c>
      <c r="I11703" t="s">
        <v>10627</v>
      </c>
      <c r="J11703" t="s">
        <v>39731</v>
      </c>
      <c r="K11703" t="s">
        <v>42311</v>
      </c>
      <c r="M11703" t="s">
        <v>44906</v>
      </c>
      <c r="N11703" t="s">
        <v>46569</v>
      </c>
      <c r="O11703" t="s">
        <v>46570</v>
      </c>
      <c r="P11703">
        <v>0</v>
      </c>
      <c r="Q11703">
        <v>0</v>
      </c>
      <c r="R11703" t="s">
        <v>46580</v>
      </c>
      <c r="S11703" t="s">
        <v>46986</v>
      </c>
      <c r="T11703" t="s">
        <v>48212</v>
      </c>
      <c r="U11703" t="s">
        <v>58160</v>
      </c>
      <c r="W11703" t="s">
        <v>44906</v>
      </c>
      <c r="X11703" t="s">
        <v>46586</v>
      </c>
    </row>
    <row r="11704" spans="1:24">
      <c r="A11704">
        <f>HYPERLINK("https://www.philgeps.gov.ph/GEPSNONPILOT/Tender/SplashBidNoticeAbstractUI.aspx?menuIndex=3&amp;refID=7037564&amp;Result=3","7037564")</f>
        <v>0</v>
      </c>
      <c r="B11704" t="s">
        <v>684</v>
      </c>
      <c r="C11704" t="s">
        <v>14629</v>
      </c>
      <c r="E11704" t="s">
        <v>28954</v>
      </c>
      <c r="F11704" t="s">
        <v>32664</v>
      </c>
      <c r="G11704" t="s">
        <v>32672</v>
      </c>
      <c r="H11704" t="s">
        <v>12635</v>
      </c>
      <c r="I11704" t="s">
        <v>8797</v>
      </c>
      <c r="J11704" t="s">
        <v>36084</v>
      </c>
      <c r="K11704" t="s">
        <v>42283</v>
      </c>
      <c r="M11704" t="s">
        <v>45394</v>
      </c>
      <c r="N11704" t="s">
        <v>46569</v>
      </c>
      <c r="O11704" t="s">
        <v>46570</v>
      </c>
      <c r="P11704">
        <v>0</v>
      </c>
      <c r="Q11704">
        <v>5</v>
      </c>
      <c r="R11704" t="s">
        <v>46580</v>
      </c>
      <c r="S11704" t="s">
        <v>46986</v>
      </c>
      <c r="T11704" t="s">
        <v>48238</v>
      </c>
      <c r="U11704" t="s">
        <v>58161</v>
      </c>
      <c r="W11704" t="s">
        <v>45394</v>
      </c>
      <c r="X11704" t="s">
        <v>46587</v>
      </c>
    </row>
    <row r="11705" spans="1:24">
      <c r="A11705">
        <f>HYPERLINK("https://www.philgeps.gov.ph/GEPSNONPILOT/Tender/SplashBidNoticeAbstractUI.aspx?menuIndex=3&amp;refID=7036696&amp;Result=3","7036696")</f>
        <v>0</v>
      </c>
      <c r="B11705" t="s">
        <v>758</v>
      </c>
      <c r="C11705" t="s">
        <v>14630</v>
      </c>
      <c r="D11705" t="s">
        <v>18838</v>
      </c>
      <c r="E11705" t="s">
        <v>28955</v>
      </c>
      <c r="F11705" t="s">
        <v>32664</v>
      </c>
      <c r="G11705" t="s">
        <v>32672</v>
      </c>
      <c r="H11705" t="s">
        <v>12635</v>
      </c>
      <c r="I11705" t="s">
        <v>4439</v>
      </c>
      <c r="J11705" t="s">
        <v>39732</v>
      </c>
      <c r="K11705" t="s">
        <v>42281</v>
      </c>
      <c r="M11705" t="s">
        <v>43348</v>
      </c>
      <c r="N11705" t="s">
        <v>46569</v>
      </c>
      <c r="O11705" t="s">
        <v>46570</v>
      </c>
      <c r="P11705">
        <v>0</v>
      </c>
      <c r="Q11705">
        <v>8</v>
      </c>
      <c r="R11705" t="s">
        <v>46580</v>
      </c>
      <c r="S11705" t="s">
        <v>46986</v>
      </c>
      <c r="T11705" t="s">
        <v>48284</v>
      </c>
      <c r="U11705" t="s">
        <v>54240</v>
      </c>
      <c r="V11705" t="s">
        <v>61806</v>
      </c>
      <c r="W11705" t="s">
        <v>43348</v>
      </c>
      <c r="X11705" t="s">
        <v>46587</v>
      </c>
    </row>
    <row r="11706" spans="1:24">
      <c r="A11706">
        <f>HYPERLINK("https://www.philgeps.gov.ph/GEPSNONPILOT/Tender/SplashBidNoticeAbstractUI.aspx?menuIndex=3&amp;refID=7043719&amp;Result=3","7043719")</f>
        <v>0</v>
      </c>
      <c r="B11706" t="s">
        <v>2150</v>
      </c>
      <c r="C11706" t="s">
        <v>14631</v>
      </c>
      <c r="D11706" t="s">
        <v>18851</v>
      </c>
      <c r="E11706" t="s">
        <v>28956</v>
      </c>
      <c r="F11706" t="s">
        <v>32664</v>
      </c>
      <c r="G11706" t="s">
        <v>32672</v>
      </c>
      <c r="H11706" t="s">
        <v>12635</v>
      </c>
      <c r="I11706" t="s">
        <v>4333</v>
      </c>
      <c r="J11706" t="s">
        <v>39733</v>
      </c>
      <c r="K11706" t="s">
        <v>42281</v>
      </c>
      <c r="M11706" t="s">
        <v>44906</v>
      </c>
      <c r="N11706" t="s">
        <v>46569</v>
      </c>
      <c r="O11706" t="s">
        <v>46570</v>
      </c>
      <c r="P11706">
        <v>0</v>
      </c>
      <c r="Q11706">
        <v>0</v>
      </c>
      <c r="R11706" t="s">
        <v>46580</v>
      </c>
      <c r="S11706" t="s">
        <v>46986</v>
      </c>
      <c r="T11706" t="s">
        <v>48212</v>
      </c>
      <c r="U11706" t="s">
        <v>58162</v>
      </c>
      <c r="W11706" t="s">
        <v>44906</v>
      </c>
      <c r="X11706" t="s">
        <v>46583</v>
      </c>
    </row>
    <row r="11707" spans="1:24">
      <c r="A11707">
        <f>HYPERLINK("https://www.philgeps.gov.ph/GEPSNONPILOT/Tender/SplashBidNoticeAbstractUI.aspx?menuIndex=3&amp;refID=7043072&amp;Result=3","7043072")</f>
        <v>0</v>
      </c>
      <c r="B11707" t="s">
        <v>3090</v>
      </c>
      <c r="C11707" t="s">
        <v>14632</v>
      </c>
      <c r="D11707" t="s">
        <v>18805</v>
      </c>
      <c r="E11707" t="s">
        <v>28957</v>
      </c>
      <c r="F11707" t="s">
        <v>32664</v>
      </c>
      <c r="G11707" t="s">
        <v>32671</v>
      </c>
      <c r="H11707" t="s">
        <v>12635</v>
      </c>
      <c r="I11707" t="s">
        <v>8730</v>
      </c>
      <c r="J11707" t="s">
        <v>39734</v>
      </c>
      <c r="K11707" t="s">
        <v>42297</v>
      </c>
      <c r="M11707" t="s">
        <v>45978</v>
      </c>
      <c r="N11707" t="s">
        <v>46569</v>
      </c>
      <c r="O11707" t="s">
        <v>46570</v>
      </c>
      <c r="P11707">
        <v>0</v>
      </c>
      <c r="Q11707">
        <v>4</v>
      </c>
      <c r="R11707" t="s">
        <v>46580</v>
      </c>
      <c r="S11707" t="s">
        <v>46986</v>
      </c>
      <c r="T11707" t="s">
        <v>48692</v>
      </c>
      <c r="U11707" t="s">
        <v>58163</v>
      </c>
      <c r="W11707" t="s">
        <v>45978</v>
      </c>
      <c r="X11707" t="s">
        <v>46585</v>
      </c>
    </row>
    <row r="11708" spans="1:24">
      <c r="A11708">
        <f>HYPERLINK("https://www.philgeps.gov.ph/GEPSNONPILOT/Tender/SplashBidNoticeAbstractUI.aspx?menuIndex=3&amp;refID=7043055&amp;Result=3","7043055")</f>
        <v>0</v>
      </c>
      <c r="B11708" t="s">
        <v>2150</v>
      </c>
      <c r="C11708" t="s">
        <v>14633</v>
      </c>
      <c r="D11708" t="s">
        <v>18851</v>
      </c>
      <c r="E11708" t="s">
        <v>28958</v>
      </c>
      <c r="F11708" t="s">
        <v>32664</v>
      </c>
      <c r="G11708" t="s">
        <v>32672</v>
      </c>
      <c r="H11708" t="s">
        <v>12635</v>
      </c>
      <c r="I11708" t="s">
        <v>10590</v>
      </c>
      <c r="J11708" t="s">
        <v>39735</v>
      </c>
      <c r="K11708" t="s">
        <v>42281</v>
      </c>
      <c r="M11708" t="s">
        <v>44906</v>
      </c>
      <c r="N11708" t="s">
        <v>46569</v>
      </c>
      <c r="O11708" t="s">
        <v>46570</v>
      </c>
      <c r="P11708">
        <v>0</v>
      </c>
      <c r="Q11708">
        <v>0</v>
      </c>
      <c r="R11708" t="s">
        <v>46580</v>
      </c>
      <c r="S11708" t="s">
        <v>46986</v>
      </c>
      <c r="T11708" t="s">
        <v>48212</v>
      </c>
      <c r="U11708" t="s">
        <v>58164</v>
      </c>
      <c r="W11708" t="s">
        <v>44906</v>
      </c>
      <c r="X11708" t="s">
        <v>46585</v>
      </c>
    </row>
    <row r="11709" spans="1:24">
      <c r="A11709">
        <f>HYPERLINK("https://www.philgeps.gov.ph/GEPSNONPILOT/Tender/SplashBidNoticeAbstractUI.aspx?menuIndex=3&amp;refID=7043039&amp;Result=3","7043039")</f>
        <v>0</v>
      </c>
      <c r="B11709" t="s">
        <v>2150</v>
      </c>
      <c r="C11709" t="s">
        <v>14634</v>
      </c>
      <c r="D11709" t="s">
        <v>18851</v>
      </c>
      <c r="E11709" t="s">
        <v>28959</v>
      </c>
      <c r="F11709" t="s">
        <v>32664</v>
      </c>
      <c r="G11709" t="s">
        <v>32672</v>
      </c>
      <c r="H11709" t="s">
        <v>12635</v>
      </c>
      <c r="I11709" t="s">
        <v>32691</v>
      </c>
      <c r="J11709" t="s">
        <v>33031</v>
      </c>
      <c r="K11709" t="s">
        <v>42281</v>
      </c>
      <c r="M11709" t="s">
        <v>44906</v>
      </c>
      <c r="N11709" t="s">
        <v>46569</v>
      </c>
      <c r="O11709" t="s">
        <v>46570</v>
      </c>
      <c r="P11709">
        <v>0</v>
      </c>
      <c r="Q11709">
        <v>0</v>
      </c>
      <c r="R11709" t="s">
        <v>46580</v>
      </c>
      <c r="S11709" t="s">
        <v>46986</v>
      </c>
      <c r="T11709" t="s">
        <v>48212</v>
      </c>
      <c r="U11709" t="s">
        <v>58165</v>
      </c>
      <c r="W11709" t="s">
        <v>44906</v>
      </c>
      <c r="X11709" t="s">
        <v>46585</v>
      </c>
    </row>
    <row r="11710" spans="1:24">
      <c r="A11710">
        <f>HYPERLINK("https://www.philgeps.gov.ph/GEPSNONPILOT/Tender/SplashBidNoticeAbstractUI.aspx?menuIndex=3&amp;refID=7042896&amp;Result=3","7042896")</f>
        <v>0</v>
      </c>
      <c r="B11710" t="s">
        <v>2150</v>
      </c>
      <c r="C11710" t="s">
        <v>14635</v>
      </c>
      <c r="D11710" t="s">
        <v>18851</v>
      </c>
      <c r="E11710" t="s">
        <v>28960</v>
      </c>
      <c r="F11710" t="s">
        <v>32664</v>
      </c>
      <c r="G11710" t="s">
        <v>32672</v>
      </c>
      <c r="H11710" t="s">
        <v>12635</v>
      </c>
      <c r="I11710" t="s">
        <v>32685</v>
      </c>
      <c r="J11710" t="s">
        <v>35060</v>
      </c>
      <c r="K11710" t="s">
        <v>42281</v>
      </c>
      <c r="M11710" t="s">
        <v>44906</v>
      </c>
      <c r="N11710" t="s">
        <v>46569</v>
      </c>
      <c r="O11710" t="s">
        <v>46570</v>
      </c>
      <c r="P11710">
        <v>0</v>
      </c>
      <c r="Q11710">
        <v>0</v>
      </c>
      <c r="R11710" t="s">
        <v>46580</v>
      </c>
      <c r="S11710" t="s">
        <v>46986</v>
      </c>
      <c r="T11710" t="s">
        <v>48212</v>
      </c>
      <c r="U11710" t="s">
        <v>58166</v>
      </c>
      <c r="W11710" t="s">
        <v>44906</v>
      </c>
      <c r="X11710" t="s">
        <v>46585</v>
      </c>
    </row>
    <row r="11711" spans="1:24">
      <c r="A11711">
        <f>HYPERLINK("https://www.philgeps.gov.ph/GEPSNONPILOT/Tender/SplashBidNoticeAbstractUI.aspx?menuIndex=3&amp;refID=7042858&amp;Result=3","7042858")</f>
        <v>0</v>
      </c>
      <c r="B11711" t="s">
        <v>1009</v>
      </c>
      <c r="C11711" t="s">
        <v>14636</v>
      </c>
      <c r="D11711" t="s">
        <v>18783</v>
      </c>
      <c r="E11711" t="s">
        <v>28961</v>
      </c>
      <c r="F11711" t="s">
        <v>32664</v>
      </c>
      <c r="G11711" t="s">
        <v>32672</v>
      </c>
      <c r="H11711" t="s">
        <v>12635</v>
      </c>
      <c r="I11711" t="s">
        <v>32684</v>
      </c>
      <c r="J11711" t="s">
        <v>39736</v>
      </c>
      <c r="K11711" t="s">
        <v>42284</v>
      </c>
      <c r="M11711" t="s">
        <v>43621</v>
      </c>
      <c r="N11711" t="s">
        <v>46569</v>
      </c>
      <c r="O11711" t="s">
        <v>46570</v>
      </c>
      <c r="P11711">
        <v>0</v>
      </c>
      <c r="Q11711">
        <v>8</v>
      </c>
      <c r="R11711" t="s">
        <v>46580</v>
      </c>
      <c r="S11711" t="s">
        <v>46986</v>
      </c>
      <c r="T11711" t="s">
        <v>48405</v>
      </c>
      <c r="U11711" t="s">
        <v>50851</v>
      </c>
      <c r="V11711" t="s">
        <v>62900</v>
      </c>
      <c r="W11711" t="s">
        <v>43621</v>
      </c>
      <c r="X11711" t="s">
        <v>46585</v>
      </c>
    </row>
    <row r="11712" spans="1:24">
      <c r="A11712">
        <f>HYPERLINK("https://www.philgeps.gov.ph/GEPSNONPILOT/Tender/SplashBidNoticeAbstractUI.aspx?menuIndex=3&amp;refID=7043022&amp;Result=3","7043022")</f>
        <v>0</v>
      </c>
      <c r="B11712" t="s">
        <v>2150</v>
      </c>
      <c r="C11712" t="s">
        <v>14637</v>
      </c>
      <c r="D11712" t="s">
        <v>18851</v>
      </c>
      <c r="E11712" t="s">
        <v>28959</v>
      </c>
      <c r="F11712" t="s">
        <v>32664</v>
      </c>
      <c r="G11712" t="s">
        <v>32672</v>
      </c>
      <c r="H11712" t="s">
        <v>12635</v>
      </c>
      <c r="I11712" t="s">
        <v>10361</v>
      </c>
      <c r="J11712" t="s">
        <v>39737</v>
      </c>
      <c r="K11712" t="s">
        <v>42281</v>
      </c>
      <c r="M11712" t="s">
        <v>44906</v>
      </c>
      <c r="N11712" t="s">
        <v>46569</v>
      </c>
      <c r="O11712" t="s">
        <v>46570</v>
      </c>
      <c r="P11712">
        <v>0</v>
      </c>
      <c r="Q11712">
        <v>0</v>
      </c>
      <c r="R11712" t="s">
        <v>46580</v>
      </c>
      <c r="S11712" t="s">
        <v>46986</v>
      </c>
      <c r="T11712" t="s">
        <v>48212</v>
      </c>
      <c r="U11712" t="s">
        <v>58165</v>
      </c>
      <c r="W11712" t="s">
        <v>44906</v>
      </c>
      <c r="X11712" t="s">
        <v>46585</v>
      </c>
    </row>
    <row r="11713" spans="1:24">
      <c r="A11713">
        <f>HYPERLINK("https://www.philgeps.gov.ph/GEPSNONPILOT/Tender/SplashBidNoticeAbstractUI.aspx?menuIndex=3&amp;refID=7038526&amp;Result=3","7038526")</f>
        <v>0</v>
      </c>
      <c r="B11713" t="s">
        <v>3091</v>
      </c>
      <c r="C11713" t="s">
        <v>14638</v>
      </c>
      <c r="D11713" t="s">
        <v>18806</v>
      </c>
      <c r="E11713" t="s">
        <v>19110</v>
      </c>
      <c r="F11713" t="s">
        <v>32664</v>
      </c>
      <c r="G11713" t="s">
        <v>32672</v>
      </c>
      <c r="H11713" t="s">
        <v>32683</v>
      </c>
      <c r="I11713" t="s">
        <v>10627</v>
      </c>
      <c r="J11713" t="s">
        <v>34559</v>
      </c>
      <c r="K11713" t="s">
        <v>42311</v>
      </c>
      <c r="M11713" t="s">
        <v>45979</v>
      </c>
      <c r="N11713" t="s">
        <v>46569</v>
      </c>
      <c r="O11713" t="s">
        <v>46570</v>
      </c>
      <c r="Q11713">
        <v>2</v>
      </c>
      <c r="R11713" t="s">
        <v>46580</v>
      </c>
      <c r="S11713" t="s">
        <v>46988</v>
      </c>
      <c r="T11713" t="s">
        <v>48303</v>
      </c>
      <c r="U11713" t="s">
        <v>58167</v>
      </c>
      <c r="V11713" t="s">
        <v>62901</v>
      </c>
      <c r="W11713" t="s">
        <v>45979</v>
      </c>
      <c r="X11713" t="s">
        <v>46586</v>
      </c>
    </row>
    <row r="11714" spans="1:24">
      <c r="A11714">
        <f>HYPERLINK("https://www.philgeps.gov.ph/GEPSNONPILOT/Tender/SplashBidNoticeAbstractUI.aspx?menuIndex=3&amp;refID=7043723&amp;Result=3","7043723")</f>
        <v>0</v>
      </c>
      <c r="B11714" t="s">
        <v>2150</v>
      </c>
      <c r="C11714" t="s">
        <v>14639</v>
      </c>
      <c r="D11714" t="s">
        <v>18851</v>
      </c>
      <c r="E11714" t="s">
        <v>28962</v>
      </c>
      <c r="F11714" t="s">
        <v>32664</v>
      </c>
      <c r="G11714" t="s">
        <v>32672</v>
      </c>
      <c r="H11714" t="s">
        <v>12635</v>
      </c>
      <c r="I11714" t="s">
        <v>32685</v>
      </c>
      <c r="J11714" t="s">
        <v>39738</v>
      </c>
      <c r="K11714" t="s">
        <v>42281</v>
      </c>
      <c r="M11714" t="s">
        <v>44906</v>
      </c>
      <c r="N11714" t="s">
        <v>46569</v>
      </c>
      <c r="O11714" t="s">
        <v>46570</v>
      </c>
      <c r="P11714">
        <v>0</v>
      </c>
      <c r="Q11714">
        <v>0</v>
      </c>
      <c r="R11714" t="s">
        <v>46580</v>
      </c>
      <c r="S11714" t="s">
        <v>46986</v>
      </c>
      <c r="T11714" t="s">
        <v>48212</v>
      </c>
      <c r="U11714" t="s">
        <v>58168</v>
      </c>
      <c r="W11714" t="s">
        <v>44906</v>
      </c>
      <c r="X11714" t="s">
        <v>46583</v>
      </c>
    </row>
    <row r="11715" spans="1:24">
      <c r="A11715">
        <f>HYPERLINK("https://www.philgeps.gov.ph/GEPSNONPILOT/Tender/SplashBidNoticeAbstractUI.aspx?menuIndex=3&amp;refID=7042975&amp;Result=3","7042975")</f>
        <v>0</v>
      </c>
      <c r="B11715" t="s">
        <v>2150</v>
      </c>
      <c r="C11715" t="s">
        <v>14640</v>
      </c>
      <c r="D11715" t="s">
        <v>18851</v>
      </c>
      <c r="E11715" t="s">
        <v>28963</v>
      </c>
      <c r="F11715" t="s">
        <v>32664</v>
      </c>
      <c r="G11715" t="s">
        <v>32672</v>
      </c>
      <c r="H11715" t="s">
        <v>12635</v>
      </c>
      <c r="I11715" t="s">
        <v>10590</v>
      </c>
      <c r="J11715" t="s">
        <v>38710</v>
      </c>
      <c r="K11715" t="s">
        <v>42281</v>
      </c>
      <c r="M11715" t="s">
        <v>44906</v>
      </c>
      <c r="N11715" t="s">
        <v>46569</v>
      </c>
      <c r="O11715" t="s">
        <v>46570</v>
      </c>
      <c r="P11715">
        <v>0</v>
      </c>
      <c r="Q11715">
        <v>0</v>
      </c>
      <c r="R11715" t="s">
        <v>46580</v>
      </c>
      <c r="S11715" t="s">
        <v>46986</v>
      </c>
      <c r="T11715" t="s">
        <v>48212</v>
      </c>
      <c r="U11715" t="s">
        <v>58169</v>
      </c>
      <c r="W11715" t="s">
        <v>44906</v>
      </c>
      <c r="X11715" t="s">
        <v>46585</v>
      </c>
    </row>
    <row r="11716" spans="1:24">
      <c r="A11716">
        <f>HYPERLINK("https://www.philgeps.gov.ph/GEPSNONPILOT/Tender/SplashBidNoticeAbstractUI.aspx?menuIndex=3&amp;refID=7044006&amp;Result=3","7044006")</f>
        <v>0</v>
      </c>
      <c r="B11716" t="s">
        <v>2150</v>
      </c>
      <c r="C11716" t="s">
        <v>14641</v>
      </c>
      <c r="D11716" t="s">
        <v>18851</v>
      </c>
      <c r="E11716" t="s">
        <v>28964</v>
      </c>
      <c r="F11716" t="s">
        <v>32664</v>
      </c>
      <c r="G11716" t="s">
        <v>32672</v>
      </c>
      <c r="H11716" t="s">
        <v>12635</v>
      </c>
      <c r="I11716" t="s">
        <v>6223</v>
      </c>
      <c r="J11716" t="s">
        <v>39739</v>
      </c>
      <c r="K11716" t="s">
        <v>42281</v>
      </c>
      <c r="M11716" t="s">
        <v>44906</v>
      </c>
      <c r="N11716" t="s">
        <v>46569</v>
      </c>
      <c r="O11716" t="s">
        <v>46570</v>
      </c>
      <c r="P11716">
        <v>0</v>
      </c>
      <c r="Q11716">
        <v>0</v>
      </c>
      <c r="R11716" t="s">
        <v>46580</v>
      </c>
      <c r="S11716" t="s">
        <v>46986</v>
      </c>
      <c r="T11716" t="s">
        <v>48212</v>
      </c>
      <c r="U11716" t="s">
        <v>58170</v>
      </c>
      <c r="W11716" t="s">
        <v>44906</v>
      </c>
      <c r="X11716" t="s">
        <v>46582</v>
      </c>
    </row>
    <row r="11717" spans="1:24">
      <c r="A11717">
        <f>HYPERLINK("https://www.philgeps.gov.ph/GEPSNONPILOT/Tender/SplashBidNoticeAbstractUI.aspx?menuIndex=3&amp;refID=7039208&amp;Result=3","7039208")</f>
        <v>0</v>
      </c>
      <c r="B11717" t="s">
        <v>2150</v>
      </c>
      <c r="C11717" t="s">
        <v>14642</v>
      </c>
      <c r="D11717" t="s">
        <v>18851</v>
      </c>
      <c r="E11717" t="s">
        <v>28965</v>
      </c>
      <c r="F11717" t="s">
        <v>32664</v>
      </c>
      <c r="G11717" t="s">
        <v>32672</v>
      </c>
      <c r="H11717" t="s">
        <v>32683</v>
      </c>
      <c r="I11717" t="s">
        <v>10627</v>
      </c>
      <c r="J11717" t="s">
        <v>39740</v>
      </c>
      <c r="K11717" t="s">
        <v>42340</v>
      </c>
      <c r="M11717" t="s">
        <v>44906</v>
      </c>
      <c r="N11717" t="s">
        <v>46569</v>
      </c>
      <c r="O11717" t="s">
        <v>46570</v>
      </c>
      <c r="P11717">
        <v>0</v>
      </c>
      <c r="Q11717">
        <v>0</v>
      </c>
      <c r="R11717" t="s">
        <v>46580</v>
      </c>
      <c r="S11717" t="s">
        <v>46986</v>
      </c>
      <c r="T11717" t="s">
        <v>48212</v>
      </c>
      <c r="U11717" t="s">
        <v>58171</v>
      </c>
      <c r="W11717" t="s">
        <v>44906</v>
      </c>
      <c r="X11717" t="s">
        <v>46586</v>
      </c>
    </row>
    <row r="11718" spans="1:24">
      <c r="A11718">
        <f>HYPERLINK("https://www.philgeps.gov.ph/GEPSNONPILOT/Tender/SplashBidNoticeAbstractUI.aspx?menuIndex=3&amp;refID=7039253&amp;Result=3","7039253")</f>
        <v>0</v>
      </c>
      <c r="B11718" t="s">
        <v>2150</v>
      </c>
      <c r="C11718" t="s">
        <v>14643</v>
      </c>
      <c r="D11718" t="s">
        <v>18851</v>
      </c>
      <c r="E11718" t="s">
        <v>28966</v>
      </c>
      <c r="F11718" t="s">
        <v>32664</v>
      </c>
      <c r="G11718" t="s">
        <v>32672</v>
      </c>
      <c r="H11718" t="s">
        <v>32683</v>
      </c>
      <c r="I11718" t="s">
        <v>10627</v>
      </c>
      <c r="J11718" t="s">
        <v>39741</v>
      </c>
      <c r="K11718" t="s">
        <v>42311</v>
      </c>
      <c r="M11718" t="s">
        <v>44906</v>
      </c>
      <c r="N11718" t="s">
        <v>46569</v>
      </c>
      <c r="O11718" t="s">
        <v>46570</v>
      </c>
      <c r="P11718">
        <v>0</v>
      </c>
      <c r="Q11718">
        <v>0</v>
      </c>
      <c r="R11718" t="s">
        <v>46580</v>
      </c>
      <c r="S11718" t="s">
        <v>46986</v>
      </c>
      <c r="T11718" t="s">
        <v>48212</v>
      </c>
      <c r="U11718" t="s">
        <v>58172</v>
      </c>
      <c r="W11718" t="s">
        <v>44906</v>
      </c>
      <c r="X11718" t="s">
        <v>46586</v>
      </c>
    </row>
    <row r="11719" spans="1:24">
      <c r="A11719">
        <f>HYPERLINK("https://www.philgeps.gov.ph/GEPSNONPILOT/Tender/SplashBidNoticeAbstractUI.aspx?menuIndex=3&amp;refID=7043977&amp;Result=3","7043977")</f>
        <v>0</v>
      </c>
      <c r="B11719" t="s">
        <v>2150</v>
      </c>
      <c r="C11719" t="s">
        <v>14644</v>
      </c>
      <c r="D11719" t="s">
        <v>18851</v>
      </c>
      <c r="E11719" t="s">
        <v>28967</v>
      </c>
      <c r="F11719" t="s">
        <v>32664</v>
      </c>
      <c r="G11719" t="s">
        <v>32672</v>
      </c>
      <c r="H11719" t="s">
        <v>12635</v>
      </c>
      <c r="I11719" t="s">
        <v>7429</v>
      </c>
      <c r="J11719" t="s">
        <v>39742</v>
      </c>
      <c r="K11719" t="s">
        <v>42281</v>
      </c>
      <c r="M11719" t="s">
        <v>44906</v>
      </c>
      <c r="N11719" t="s">
        <v>46569</v>
      </c>
      <c r="O11719" t="s">
        <v>46570</v>
      </c>
      <c r="P11719">
        <v>0</v>
      </c>
      <c r="Q11719">
        <v>0</v>
      </c>
      <c r="R11719" t="s">
        <v>46580</v>
      </c>
      <c r="S11719" t="s">
        <v>46986</v>
      </c>
      <c r="T11719" t="s">
        <v>48212</v>
      </c>
      <c r="U11719" t="s">
        <v>58173</v>
      </c>
      <c r="W11719" t="s">
        <v>44906</v>
      </c>
      <c r="X11719" t="s">
        <v>46582</v>
      </c>
    </row>
    <row r="11720" spans="1:24">
      <c r="A11720">
        <f>HYPERLINK("https://www.philgeps.gov.ph/GEPSNONPILOT/Tender/SplashBidNoticeAbstractUI.aspx?menuIndex=3&amp;refID=7043969&amp;Result=3","7043969")</f>
        <v>0</v>
      </c>
      <c r="B11720" t="s">
        <v>2150</v>
      </c>
      <c r="C11720" t="s">
        <v>14645</v>
      </c>
      <c r="D11720" t="s">
        <v>18851</v>
      </c>
      <c r="E11720" t="s">
        <v>28968</v>
      </c>
      <c r="F11720" t="s">
        <v>32664</v>
      </c>
      <c r="G11720" t="s">
        <v>32672</v>
      </c>
      <c r="H11720" t="s">
        <v>12635</v>
      </c>
      <c r="I11720" t="s">
        <v>6168</v>
      </c>
      <c r="J11720" t="s">
        <v>39743</v>
      </c>
      <c r="K11720" t="s">
        <v>42281</v>
      </c>
      <c r="M11720" t="s">
        <v>44906</v>
      </c>
      <c r="N11720" t="s">
        <v>46569</v>
      </c>
      <c r="O11720" t="s">
        <v>46570</v>
      </c>
      <c r="P11720">
        <v>0</v>
      </c>
      <c r="Q11720">
        <v>1</v>
      </c>
      <c r="R11720" t="s">
        <v>46580</v>
      </c>
      <c r="S11720" t="s">
        <v>46986</v>
      </c>
      <c r="T11720" t="s">
        <v>48212</v>
      </c>
      <c r="U11720" t="s">
        <v>58174</v>
      </c>
      <c r="W11720" t="s">
        <v>44906</v>
      </c>
      <c r="X11720" t="s">
        <v>46582</v>
      </c>
    </row>
    <row r="11721" spans="1:24">
      <c r="A11721">
        <f>HYPERLINK("https://www.philgeps.gov.ph/GEPSNONPILOT/Tender/SplashBidNoticeAbstractUI.aspx?menuIndex=3&amp;refID=7043987&amp;Result=3","7043987")</f>
        <v>0</v>
      </c>
      <c r="B11721" t="s">
        <v>2150</v>
      </c>
      <c r="C11721" t="s">
        <v>14646</v>
      </c>
      <c r="D11721" t="s">
        <v>18851</v>
      </c>
      <c r="E11721" t="s">
        <v>28969</v>
      </c>
      <c r="F11721" t="s">
        <v>32664</v>
      </c>
      <c r="G11721" t="s">
        <v>32672</v>
      </c>
      <c r="H11721" t="s">
        <v>12635</v>
      </c>
      <c r="I11721" t="s">
        <v>6223</v>
      </c>
      <c r="J11721" t="s">
        <v>39744</v>
      </c>
      <c r="K11721" t="s">
        <v>42281</v>
      </c>
      <c r="M11721" t="s">
        <v>44906</v>
      </c>
      <c r="N11721" t="s">
        <v>46569</v>
      </c>
      <c r="O11721" t="s">
        <v>46570</v>
      </c>
      <c r="P11721">
        <v>0</v>
      </c>
      <c r="Q11721">
        <v>0</v>
      </c>
      <c r="R11721" t="s">
        <v>46580</v>
      </c>
      <c r="S11721" t="s">
        <v>46986</v>
      </c>
      <c r="T11721" t="s">
        <v>48212</v>
      </c>
      <c r="U11721" t="s">
        <v>58175</v>
      </c>
      <c r="W11721" t="s">
        <v>44906</v>
      </c>
      <c r="X11721" t="s">
        <v>46582</v>
      </c>
    </row>
    <row r="11722" spans="1:24">
      <c r="A11722">
        <f>HYPERLINK("https://www.philgeps.gov.ph/GEPSNONPILOT/Tender/SplashBidNoticeAbstractUI.aspx?menuIndex=3&amp;refID=7043961&amp;Result=3","7043961")</f>
        <v>0</v>
      </c>
      <c r="B11722" t="s">
        <v>2150</v>
      </c>
      <c r="C11722" t="s">
        <v>14647</v>
      </c>
      <c r="D11722" t="s">
        <v>18851</v>
      </c>
      <c r="E11722" t="s">
        <v>28970</v>
      </c>
      <c r="F11722" t="s">
        <v>32664</v>
      </c>
      <c r="G11722" t="s">
        <v>32672</v>
      </c>
      <c r="H11722" t="s">
        <v>12635</v>
      </c>
      <c r="I11722" t="s">
        <v>4439</v>
      </c>
      <c r="J11722" t="s">
        <v>33657</v>
      </c>
      <c r="K11722" t="s">
        <v>42281</v>
      </c>
      <c r="M11722" t="s">
        <v>44906</v>
      </c>
      <c r="N11722" t="s">
        <v>46569</v>
      </c>
      <c r="O11722" t="s">
        <v>46570</v>
      </c>
      <c r="P11722">
        <v>0</v>
      </c>
      <c r="Q11722">
        <v>3</v>
      </c>
      <c r="R11722" t="s">
        <v>46580</v>
      </c>
      <c r="S11722" t="s">
        <v>46986</v>
      </c>
      <c r="T11722" t="s">
        <v>48212</v>
      </c>
      <c r="U11722" t="s">
        <v>58176</v>
      </c>
      <c r="W11722" t="s">
        <v>44906</v>
      </c>
      <c r="X11722" t="s">
        <v>46582</v>
      </c>
    </row>
    <row r="11723" spans="1:24">
      <c r="A11723">
        <f>HYPERLINK("https://www.philgeps.gov.ph/GEPSNONPILOT/Tender/SplashBidNoticeAbstractUI.aspx?menuIndex=3&amp;refID=7043862&amp;Result=3","7043862")</f>
        <v>0</v>
      </c>
      <c r="B11723" t="s">
        <v>1645</v>
      </c>
      <c r="C11723" t="s">
        <v>14648</v>
      </c>
      <c r="E11723" t="s">
        <v>28971</v>
      </c>
      <c r="F11723" t="s">
        <v>32664</v>
      </c>
      <c r="G11723" t="s">
        <v>32672</v>
      </c>
      <c r="H11723" t="s">
        <v>32683</v>
      </c>
      <c r="I11723" t="s">
        <v>32758</v>
      </c>
      <c r="J11723" t="s">
        <v>32962</v>
      </c>
      <c r="K11723" t="s">
        <v>42281</v>
      </c>
      <c r="M11723" t="s">
        <v>44329</v>
      </c>
      <c r="N11723" t="s">
        <v>46569</v>
      </c>
      <c r="O11723" t="s">
        <v>46570</v>
      </c>
      <c r="P11723">
        <v>0</v>
      </c>
      <c r="Q11723">
        <v>1</v>
      </c>
      <c r="R11723" t="s">
        <v>46580</v>
      </c>
      <c r="S11723" t="s">
        <v>46986</v>
      </c>
      <c r="T11723" t="s">
        <v>48284</v>
      </c>
      <c r="U11723" t="s">
        <v>52658</v>
      </c>
      <c r="W11723" t="s">
        <v>44329</v>
      </c>
      <c r="X11723" t="s">
        <v>46583</v>
      </c>
    </row>
    <row r="11724" spans="1:24">
      <c r="A11724">
        <f>HYPERLINK("https://www.philgeps.gov.ph/GEPSNONPILOT/Tender/SplashBidNoticeAbstractUI.aspx?menuIndex=3&amp;refID=7042292&amp;Result=3","7042292")</f>
        <v>0</v>
      </c>
      <c r="B11724" t="s">
        <v>47</v>
      </c>
      <c r="C11724" t="s">
        <v>14649</v>
      </c>
      <c r="D11724" t="s">
        <v>18797</v>
      </c>
      <c r="E11724" t="s">
        <v>20077</v>
      </c>
      <c r="F11724" t="s">
        <v>32664</v>
      </c>
      <c r="G11724" t="s">
        <v>32672</v>
      </c>
      <c r="H11724" t="s">
        <v>12635</v>
      </c>
      <c r="I11724" t="s">
        <v>9946</v>
      </c>
      <c r="J11724" t="s">
        <v>39745</v>
      </c>
      <c r="K11724" t="s">
        <v>42291</v>
      </c>
      <c r="M11724" t="s">
        <v>42609</v>
      </c>
      <c r="N11724" t="s">
        <v>46569</v>
      </c>
      <c r="O11724" t="s">
        <v>46570</v>
      </c>
      <c r="P11724">
        <v>0</v>
      </c>
      <c r="Q11724">
        <v>1</v>
      </c>
      <c r="R11724" t="s">
        <v>46580</v>
      </c>
      <c r="S11724" t="s">
        <v>46986</v>
      </c>
      <c r="T11724" t="s">
        <v>48215</v>
      </c>
      <c r="U11724" t="s">
        <v>58177</v>
      </c>
      <c r="W11724" t="s">
        <v>42609</v>
      </c>
      <c r="X11724" t="s">
        <v>46585</v>
      </c>
    </row>
    <row r="11725" spans="1:24">
      <c r="A11725">
        <f>HYPERLINK("https://www.philgeps.gov.ph/GEPSNONPILOT/Tender/SplashBidNoticeAbstractUI.aspx?menuIndex=3&amp;refID=7043794&amp;Result=3","7043794")</f>
        <v>0</v>
      </c>
      <c r="B11725" t="s">
        <v>2150</v>
      </c>
      <c r="C11725" t="s">
        <v>14650</v>
      </c>
      <c r="D11725" t="s">
        <v>18851</v>
      </c>
      <c r="E11725" t="s">
        <v>28972</v>
      </c>
      <c r="F11725" t="s">
        <v>32664</v>
      </c>
      <c r="G11725" t="s">
        <v>32672</v>
      </c>
      <c r="H11725" t="s">
        <v>12635</v>
      </c>
      <c r="I11725" t="s">
        <v>5589</v>
      </c>
      <c r="J11725" t="s">
        <v>39746</v>
      </c>
      <c r="K11725" t="s">
        <v>42281</v>
      </c>
      <c r="M11725" t="s">
        <v>44906</v>
      </c>
      <c r="N11725" t="s">
        <v>46569</v>
      </c>
      <c r="O11725" t="s">
        <v>46570</v>
      </c>
      <c r="P11725">
        <v>0</v>
      </c>
      <c r="Q11725">
        <v>4</v>
      </c>
      <c r="R11725" t="s">
        <v>46580</v>
      </c>
      <c r="S11725" t="s">
        <v>46986</v>
      </c>
      <c r="T11725" t="s">
        <v>48212</v>
      </c>
      <c r="U11725" t="s">
        <v>58178</v>
      </c>
      <c r="W11725" t="s">
        <v>44906</v>
      </c>
      <c r="X11725" t="s">
        <v>46583</v>
      </c>
    </row>
    <row r="11726" spans="1:24">
      <c r="A11726">
        <f>HYPERLINK("https://www.philgeps.gov.ph/GEPSNONPILOT/Tender/SplashBidNoticeAbstractUI.aspx?menuIndex=3&amp;refID=7043791&amp;Result=3","7043791")</f>
        <v>0</v>
      </c>
      <c r="B11726" t="s">
        <v>2150</v>
      </c>
      <c r="C11726" t="s">
        <v>14651</v>
      </c>
      <c r="D11726" t="s">
        <v>18851</v>
      </c>
      <c r="E11726" t="s">
        <v>28973</v>
      </c>
      <c r="F11726" t="s">
        <v>32664</v>
      </c>
      <c r="G11726" t="s">
        <v>32672</v>
      </c>
      <c r="H11726" t="s">
        <v>12635</v>
      </c>
      <c r="I11726" t="s">
        <v>5589</v>
      </c>
      <c r="J11726" t="s">
        <v>37899</v>
      </c>
      <c r="K11726" t="s">
        <v>42281</v>
      </c>
      <c r="M11726" t="s">
        <v>44906</v>
      </c>
      <c r="N11726" t="s">
        <v>46569</v>
      </c>
      <c r="O11726" t="s">
        <v>46570</v>
      </c>
      <c r="P11726">
        <v>0</v>
      </c>
      <c r="Q11726">
        <v>3</v>
      </c>
      <c r="R11726" t="s">
        <v>46580</v>
      </c>
      <c r="S11726" t="s">
        <v>46986</v>
      </c>
      <c r="T11726" t="s">
        <v>48212</v>
      </c>
      <c r="U11726" t="s">
        <v>58179</v>
      </c>
      <c r="W11726" t="s">
        <v>44906</v>
      </c>
      <c r="X11726" t="s">
        <v>46583</v>
      </c>
    </row>
    <row r="11727" spans="1:24">
      <c r="A11727">
        <f>HYPERLINK("https://www.philgeps.gov.ph/GEPSNONPILOT/Tender/SplashBidNoticeAbstractUI.aspx?menuIndex=3&amp;refID=7043785&amp;Result=3","7043785")</f>
        <v>0</v>
      </c>
      <c r="B11727" t="s">
        <v>2150</v>
      </c>
      <c r="C11727" t="s">
        <v>14652</v>
      </c>
      <c r="D11727" t="s">
        <v>18851</v>
      </c>
      <c r="E11727" t="s">
        <v>28974</v>
      </c>
      <c r="F11727" t="s">
        <v>32664</v>
      </c>
      <c r="G11727" t="s">
        <v>32672</v>
      </c>
      <c r="H11727" t="s">
        <v>12635</v>
      </c>
      <c r="I11727" t="s">
        <v>6223</v>
      </c>
      <c r="J11727" t="s">
        <v>39747</v>
      </c>
      <c r="K11727" t="s">
        <v>42281</v>
      </c>
      <c r="M11727" t="s">
        <v>44906</v>
      </c>
      <c r="N11727" t="s">
        <v>46569</v>
      </c>
      <c r="O11727" t="s">
        <v>46570</v>
      </c>
      <c r="P11727">
        <v>0</v>
      </c>
      <c r="Q11727">
        <v>0</v>
      </c>
      <c r="R11727" t="s">
        <v>46580</v>
      </c>
      <c r="S11727" t="s">
        <v>46986</v>
      </c>
      <c r="T11727" t="s">
        <v>48212</v>
      </c>
      <c r="U11727" t="s">
        <v>58180</v>
      </c>
      <c r="W11727" t="s">
        <v>44906</v>
      </c>
      <c r="X11727" t="s">
        <v>46583</v>
      </c>
    </row>
    <row r="11728" spans="1:24">
      <c r="A11728">
        <f>HYPERLINK("https://www.philgeps.gov.ph/GEPSNONPILOT/Tender/SplashBidNoticeAbstractUI.aspx?menuIndex=3&amp;refID=7043903&amp;Result=3","7043903")</f>
        <v>0</v>
      </c>
      <c r="B11728" t="s">
        <v>3092</v>
      </c>
      <c r="C11728" t="s">
        <v>14653</v>
      </c>
      <c r="D11728" t="s">
        <v>18824</v>
      </c>
      <c r="E11728" t="s">
        <v>19044</v>
      </c>
      <c r="F11728" t="s">
        <v>32665</v>
      </c>
      <c r="G11728" t="s">
        <v>32672</v>
      </c>
      <c r="H11728" t="s">
        <v>12635</v>
      </c>
      <c r="I11728" t="s">
        <v>4439</v>
      </c>
      <c r="J11728" t="s">
        <v>32859</v>
      </c>
      <c r="K11728" t="s">
        <v>42297</v>
      </c>
      <c r="M11728" t="s">
        <v>45980</v>
      </c>
      <c r="N11728" t="s">
        <v>46569</v>
      </c>
      <c r="O11728" t="s">
        <v>46570</v>
      </c>
      <c r="P11728">
        <v>0</v>
      </c>
      <c r="Q11728">
        <v>2</v>
      </c>
      <c r="R11728" t="s">
        <v>46580</v>
      </c>
      <c r="S11728" t="s">
        <v>46986</v>
      </c>
      <c r="T11728" t="s">
        <v>48223</v>
      </c>
      <c r="U11728" t="s">
        <v>58181</v>
      </c>
      <c r="W11728" t="s">
        <v>45980</v>
      </c>
      <c r="X11728" t="s">
        <v>46583</v>
      </c>
    </row>
    <row r="11729" spans="1:24">
      <c r="A11729">
        <f>HYPERLINK("https://www.philgeps.gov.ph/GEPSNONPILOT/Tender/SplashBidNoticeAbstractUI.aspx?menuIndex=3&amp;refID=7044543&amp;Result=3","7044543")</f>
        <v>0</v>
      </c>
      <c r="B11729" t="s">
        <v>2092</v>
      </c>
      <c r="C11729" t="s">
        <v>14654</v>
      </c>
      <c r="D11729" t="s">
        <v>18784</v>
      </c>
      <c r="E11729" t="s">
        <v>28975</v>
      </c>
      <c r="F11729" t="s">
        <v>32664</v>
      </c>
      <c r="G11729" t="s">
        <v>32672</v>
      </c>
      <c r="H11729" t="s">
        <v>32682</v>
      </c>
      <c r="I11729" t="s">
        <v>32694</v>
      </c>
      <c r="J11729" t="s">
        <v>34601</v>
      </c>
      <c r="K11729" t="s">
        <v>42330</v>
      </c>
      <c r="M11729" t="s">
        <v>44847</v>
      </c>
      <c r="N11729" t="s">
        <v>46569</v>
      </c>
      <c r="O11729" t="s">
        <v>46570</v>
      </c>
      <c r="P11729">
        <v>0</v>
      </c>
      <c r="Q11729">
        <v>0</v>
      </c>
      <c r="R11729" t="s">
        <v>46580</v>
      </c>
      <c r="S11729" t="s">
        <v>46986</v>
      </c>
      <c r="T11729" t="s">
        <v>48278</v>
      </c>
      <c r="U11729" t="s">
        <v>58182</v>
      </c>
      <c r="W11729" t="s">
        <v>44847</v>
      </c>
      <c r="X11729" t="s">
        <v>46581</v>
      </c>
    </row>
    <row r="11730" spans="1:24">
      <c r="A11730">
        <f>HYPERLINK("https://www.philgeps.gov.ph/GEPSNONPILOT/Tender/SplashBidNoticeAbstractUI.aspx?menuIndex=3&amp;refID=7044549&amp;Result=3","7044549")</f>
        <v>0</v>
      </c>
      <c r="B11730" t="s">
        <v>79</v>
      </c>
      <c r="C11730" t="s">
        <v>14655</v>
      </c>
      <c r="E11730" t="s">
        <v>28976</v>
      </c>
      <c r="F11730" t="s">
        <v>32664</v>
      </c>
      <c r="G11730" t="s">
        <v>32672</v>
      </c>
      <c r="H11730" t="s">
        <v>32683</v>
      </c>
      <c r="I11730" t="s">
        <v>10627</v>
      </c>
      <c r="J11730" t="s">
        <v>33273</v>
      </c>
      <c r="K11730" t="s">
        <v>42508</v>
      </c>
      <c r="M11730" t="s">
        <v>42642</v>
      </c>
      <c r="N11730" t="s">
        <v>46569</v>
      </c>
      <c r="O11730" t="s">
        <v>46570</v>
      </c>
      <c r="P11730">
        <v>0</v>
      </c>
      <c r="Q11730">
        <v>0</v>
      </c>
      <c r="R11730" t="s">
        <v>46580</v>
      </c>
      <c r="S11730" t="s">
        <v>46986</v>
      </c>
      <c r="T11730" t="s">
        <v>48284</v>
      </c>
      <c r="U11730" t="s">
        <v>58183</v>
      </c>
      <c r="W11730" t="s">
        <v>42642</v>
      </c>
      <c r="X11730" t="s">
        <v>46581</v>
      </c>
    </row>
    <row r="11731" spans="1:24">
      <c r="A11731">
        <f>HYPERLINK("https://www.philgeps.gov.ph/GEPSNONPILOT/Tender/SplashBidNoticeAbstractUI.aspx?menuIndex=3&amp;refID=7044527&amp;Result=3","7044527")</f>
        <v>0</v>
      </c>
      <c r="B11731" t="s">
        <v>79</v>
      </c>
      <c r="C11731" t="s">
        <v>14656</v>
      </c>
      <c r="E11731" t="s">
        <v>28977</v>
      </c>
      <c r="F11731" t="s">
        <v>32664</v>
      </c>
      <c r="G11731" t="s">
        <v>32672</v>
      </c>
      <c r="H11731" t="s">
        <v>32683</v>
      </c>
      <c r="I11731" t="s">
        <v>10627</v>
      </c>
      <c r="J11731" t="s">
        <v>34487</v>
      </c>
      <c r="K11731" t="s">
        <v>42437</v>
      </c>
      <c r="M11731" t="s">
        <v>42642</v>
      </c>
      <c r="N11731" t="s">
        <v>46569</v>
      </c>
      <c r="O11731" t="s">
        <v>46570</v>
      </c>
      <c r="P11731">
        <v>0</v>
      </c>
      <c r="Q11731">
        <v>0</v>
      </c>
      <c r="R11731" t="s">
        <v>46580</v>
      </c>
      <c r="S11731" t="s">
        <v>46986</v>
      </c>
      <c r="T11731" t="s">
        <v>48284</v>
      </c>
      <c r="U11731" t="s">
        <v>58183</v>
      </c>
      <c r="W11731" t="s">
        <v>42642</v>
      </c>
      <c r="X11731" t="s">
        <v>46581</v>
      </c>
    </row>
    <row r="11732" spans="1:24">
      <c r="A11732">
        <f>HYPERLINK("https://www.philgeps.gov.ph/GEPSNONPILOT/Tender/SplashBidNoticeAbstractUI.aspx?menuIndex=3&amp;refID=7039175&amp;Result=3","7039175")</f>
        <v>0</v>
      </c>
      <c r="B11732" t="s">
        <v>2150</v>
      </c>
      <c r="C11732" t="s">
        <v>14657</v>
      </c>
      <c r="D11732" t="s">
        <v>18851</v>
      </c>
      <c r="E11732" t="s">
        <v>28978</v>
      </c>
      <c r="F11732" t="s">
        <v>32664</v>
      </c>
      <c r="G11732" t="s">
        <v>32672</v>
      </c>
      <c r="H11732" t="s">
        <v>32683</v>
      </c>
      <c r="I11732" t="s">
        <v>10627</v>
      </c>
      <c r="J11732" t="s">
        <v>39748</v>
      </c>
      <c r="K11732" t="s">
        <v>42290</v>
      </c>
      <c r="M11732" t="s">
        <v>44906</v>
      </c>
      <c r="N11732" t="s">
        <v>46569</v>
      </c>
      <c r="O11732" t="s">
        <v>46570</v>
      </c>
      <c r="P11732">
        <v>0</v>
      </c>
      <c r="Q11732">
        <v>0</v>
      </c>
      <c r="R11732" t="s">
        <v>46580</v>
      </c>
      <c r="S11732" t="s">
        <v>46986</v>
      </c>
      <c r="T11732" t="s">
        <v>48212</v>
      </c>
      <c r="U11732" t="s">
        <v>58184</v>
      </c>
      <c r="W11732" t="s">
        <v>44906</v>
      </c>
      <c r="X11732" t="s">
        <v>46586</v>
      </c>
    </row>
    <row r="11733" spans="1:24">
      <c r="A11733">
        <f>HYPERLINK("https://www.philgeps.gov.ph/GEPSNONPILOT/Tender/SplashBidNoticeAbstractUI.aspx?menuIndex=3&amp;refID=7044517&amp;Result=3","7044517")</f>
        <v>0</v>
      </c>
      <c r="B11733" t="s">
        <v>162</v>
      </c>
      <c r="C11733" t="s">
        <v>14658</v>
      </c>
      <c r="D11733" t="s">
        <v>18788</v>
      </c>
      <c r="E11733" t="s">
        <v>28979</v>
      </c>
      <c r="F11733" t="s">
        <v>32664</v>
      </c>
      <c r="G11733" t="s">
        <v>32672</v>
      </c>
      <c r="H11733" t="s">
        <v>12635</v>
      </c>
      <c r="I11733" t="s">
        <v>4439</v>
      </c>
      <c r="J11733" t="s">
        <v>39749</v>
      </c>
      <c r="K11733" t="s">
        <v>42289</v>
      </c>
      <c r="M11733" t="s">
        <v>42726</v>
      </c>
      <c r="N11733" t="s">
        <v>46569</v>
      </c>
      <c r="O11733" t="s">
        <v>46570</v>
      </c>
      <c r="P11733">
        <v>0</v>
      </c>
      <c r="Q11733">
        <v>0</v>
      </c>
      <c r="R11733" t="s">
        <v>46580</v>
      </c>
      <c r="S11733" t="s">
        <v>46986</v>
      </c>
      <c r="T11733" t="s">
        <v>48293</v>
      </c>
      <c r="U11733" t="s">
        <v>58185</v>
      </c>
      <c r="W11733" t="s">
        <v>42726</v>
      </c>
      <c r="X11733" t="s">
        <v>46581</v>
      </c>
    </row>
    <row r="11734" spans="1:24">
      <c r="A11734">
        <f>HYPERLINK("https://www.philgeps.gov.ph/GEPSNONPILOT/Tender/SplashBidNoticeAbstractUI.aspx?menuIndex=3&amp;refID=7044498&amp;Result=3","7044498")</f>
        <v>0</v>
      </c>
      <c r="B11734" t="s">
        <v>79</v>
      </c>
      <c r="C11734" t="s">
        <v>14659</v>
      </c>
      <c r="E11734" t="s">
        <v>28980</v>
      </c>
      <c r="F11734" t="s">
        <v>32664</v>
      </c>
      <c r="G11734" t="s">
        <v>32672</v>
      </c>
      <c r="H11734" t="s">
        <v>32683</v>
      </c>
      <c r="I11734" t="s">
        <v>10627</v>
      </c>
      <c r="J11734" t="s">
        <v>39750</v>
      </c>
      <c r="K11734" t="s">
        <v>42290</v>
      </c>
      <c r="M11734" t="s">
        <v>42642</v>
      </c>
      <c r="N11734" t="s">
        <v>46569</v>
      </c>
      <c r="O11734" t="s">
        <v>46570</v>
      </c>
      <c r="P11734">
        <v>0</v>
      </c>
      <c r="Q11734">
        <v>0</v>
      </c>
      <c r="R11734" t="s">
        <v>46580</v>
      </c>
      <c r="S11734" t="s">
        <v>46986</v>
      </c>
      <c r="T11734" t="s">
        <v>48284</v>
      </c>
      <c r="U11734" t="s">
        <v>58186</v>
      </c>
      <c r="W11734" t="s">
        <v>42642</v>
      </c>
      <c r="X11734" t="s">
        <v>46581</v>
      </c>
    </row>
    <row r="11735" spans="1:24">
      <c r="A11735">
        <f>HYPERLINK("https://www.philgeps.gov.ph/GEPSNONPILOT/Tender/SplashBidNoticeAbstractUI.aspx?menuIndex=3&amp;refID=7043982&amp;Result=3","7043982")</f>
        <v>0</v>
      </c>
      <c r="B11735" t="s">
        <v>2150</v>
      </c>
      <c r="C11735" t="s">
        <v>14660</v>
      </c>
      <c r="D11735" t="s">
        <v>18851</v>
      </c>
      <c r="E11735" t="s">
        <v>28981</v>
      </c>
      <c r="F11735" t="s">
        <v>32664</v>
      </c>
      <c r="G11735" t="s">
        <v>32672</v>
      </c>
      <c r="H11735" t="s">
        <v>12635</v>
      </c>
      <c r="I11735" t="s">
        <v>6168</v>
      </c>
      <c r="J11735" t="s">
        <v>36138</v>
      </c>
      <c r="K11735" t="s">
        <v>42281</v>
      </c>
      <c r="M11735" t="s">
        <v>44906</v>
      </c>
      <c r="N11735" t="s">
        <v>46569</v>
      </c>
      <c r="O11735" t="s">
        <v>46570</v>
      </c>
      <c r="P11735">
        <v>0</v>
      </c>
      <c r="Q11735">
        <v>0</v>
      </c>
      <c r="R11735" t="s">
        <v>46580</v>
      </c>
      <c r="S11735" t="s">
        <v>46986</v>
      </c>
      <c r="T11735" t="s">
        <v>48389</v>
      </c>
      <c r="U11735" t="s">
        <v>58187</v>
      </c>
      <c r="W11735" t="s">
        <v>44906</v>
      </c>
      <c r="X11735" t="s">
        <v>46582</v>
      </c>
    </row>
    <row r="11736" spans="1:24">
      <c r="A11736">
        <f>HYPERLINK("https://www.philgeps.gov.ph/GEPSNONPILOT/Tender/SplashBidNoticeAbstractUI.aspx?menuIndex=3&amp;refID=7044491&amp;Result=3","7044491")</f>
        <v>0</v>
      </c>
      <c r="B11736" t="s">
        <v>162</v>
      </c>
      <c r="C11736" t="s">
        <v>14661</v>
      </c>
      <c r="D11736" t="s">
        <v>18788</v>
      </c>
      <c r="E11736" t="s">
        <v>28982</v>
      </c>
      <c r="F11736" t="s">
        <v>32664</v>
      </c>
      <c r="G11736" t="s">
        <v>32672</v>
      </c>
      <c r="H11736" t="s">
        <v>12635</v>
      </c>
      <c r="I11736" t="s">
        <v>4439</v>
      </c>
      <c r="J11736" t="s">
        <v>39751</v>
      </c>
      <c r="K11736" t="s">
        <v>42289</v>
      </c>
      <c r="M11736" t="s">
        <v>42726</v>
      </c>
      <c r="N11736" t="s">
        <v>46569</v>
      </c>
      <c r="O11736" t="s">
        <v>46570</v>
      </c>
      <c r="P11736">
        <v>0</v>
      </c>
      <c r="Q11736">
        <v>0</v>
      </c>
      <c r="R11736" t="s">
        <v>46580</v>
      </c>
      <c r="S11736" t="s">
        <v>46986</v>
      </c>
      <c r="T11736" t="s">
        <v>48293</v>
      </c>
      <c r="U11736" t="s">
        <v>58188</v>
      </c>
      <c r="W11736" t="s">
        <v>42726</v>
      </c>
      <c r="X11736" t="s">
        <v>46581</v>
      </c>
    </row>
    <row r="11737" spans="1:24">
      <c r="A11737">
        <f>HYPERLINK("https://www.philgeps.gov.ph/GEPSNONPILOT/Tender/SplashBidNoticeAbstractUI.aspx?menuIndex=3&amp;refID=7043965&amp;Result=3","7043965")</f>
        <v>0</v>
      </c>
      <c r="B11737" t="s">
        <v>2150</v>
      </c>
      <c r="C11737" t="s">
        <v>14662</v>
      </c>
      <c r="D11737" t="s">
        <v>18851</v>
      </c>
      <c r="E11737" t="s">
        <v>28983</v>
      </c>
      <c r="F11737" t="s">
        <v>32664</v>
      </c>
      <c r="G11737" t="s">
        <v>32672</v>
      </c>
      <c r="H11737" t="s">
        <v>12635</v>
      </c>
      <c r="I11737" t="s">
        <v>10361</v>
      </c>
      <c r="J11737" t="s">
        <v>39752</v>
      </c>
      <c r="K11737" t="s">
        <v>42281</v>
      </c>
      <c r="M11737" t="s">
        <v>44906</v>
      </c>
      <c r="N11737" t="s">
        <v>46569</v>
      </c>
      <c r="O11737" t="s">
        <v>46570</v>
      </c>
      <c r="P11737">
        <v>0</v>
      </c>
      <c r="Q11737">
        <v>0</v>
      </c>
      <c r="R11737" t="s">
        <v>46580</v>
      </c>
      <c r="S11737" t="s">
        <v>46986</v>
      </c>
      <c r="T11737" t="s">
        <v>48212</v>
      </c>
      <c r="U11737" t="s">
        <v>58189</v>
      </c>
      <c r="W11737" t="s">
        <v>44906</v>
      </c>
      <c r="X11737" t="s">
        <v>46582</v>
      </c>
    </row>
    <row r="11738" spans="1:24">
      <c r="A11738">
        <f>HYPERLINK("https://www.philgeps.gov.ph/GEPSNONPILOT/Tender/SplashBidNoticeAbstractUI.aspx?menuIndex=3&amp;refID=7044480&amp;Result=3","7044480")</f>
        <v>0</v>
      </c>
      <c r="B11738" t="s">
        <v>3093</v>
      </c>
      <c r="C11738" t="s">
        <v>14663</v>
      </c>
      <c r="D11738" t="s">
        <v>18797</v>
      </c>
      <c r="E11738" t="s">
        <v>19681</v>
      </c>
      <c r="F11738" t="s">
        <v>32664</v>
      </c>
      <c r="G11738" t="s">
        <v>32672</v>
      </c>
      <c r="H11738" t="s">
        <v>32683</v>
      </c>
      <c r="I11738" t="s">
        <v>4439</v>
      </c>
      <c r="J11738" t="s">
        <v>39753</v>
      </c>
      <c r="K11738" t="s">
        <v>42289</v>
      </c>
      <c r="M11738" t="s">
        <v>45981</v>
      </c>
      <c r="N11738" t="s">
        <v>46569</v>
      </c>
      <c r="O11738" t="s">
        <v>46570</v>
      </c>
      <c r="P11738">
        <v>0</v>
      </c>
      <c r="Q11738">
        <v>3</v>
      </c>
      <c r="R11738" t="s">
        <v>46580</v>
      </c>
      <c r="S11738" t="s">
        <v>46986</v>
      </c>
      <c r="T11738" t="s">
        <v>48282</v>
      </c>
      <c r="U11738" t="s">
        <v>58190</v>
      </c>
      <c r="W11738" t="s">
        <v>45981</v>
      </c>
      <c r="X11738" t="s">
        <v>46581</v>
      </c>
    </row>
    <row r="11739" spans="1:24">
      <c r="A11739">
        <f>HYPERLINK("https://www.philgeps.gov.ph/GEPSNONPILOT/Tender/SplashBidNoticeAbstractUI.aspx?menuIndex=3&amp;refID=7044441&amp;Result=3","7044441")</f>
        <v>0</v>
      </c>
      <c r="B11739" t="s">
        <v>3094</v>
      </c>
      <c r="C11739" t="s">
        <v>14664</v>
      </c>
      <c r="D11739" t="s">
        <v>18784</v>
      </c>
      <c r="E11739" t="s">
        <v>28984</v>
      </c>
      <c r="F11739" t="s">
        <v>32664</v>
      </c>
      <c r="G11739" t="s">
        <v>32672</v>
      </c>
      <c r="H11739" t="s">
        <v>12635</v>
      </c>
      <c r="I11739" t="s">
        <v>32699</v>
      </c>
      <c r="J11739" t="s">
        <v>39754</v>
      </c>
      <c r="K11739" t="s">
        <v>42347</v>
      </c>
      <c r="M11739" t="s">
        <v>45982</v>
      </c>
      <c r="N11739" t="s">
        <v>46569</v>
      </c>
      <c r="O11739" t="s">
        <v>46570</v>
      </c>
      <c r="Q11739">
        <v>8</v>
      </c>
      <c r="R11739" t="s">
        <v>46580</v>
      </c>
      <c r="S11739" t="s">
        <v>46989</v>
      </c>
      <c r="T11739" t="s">
        <v>48236</v>
      </c>
      <c r="U11739" t="s">
        <v>58191</v>
      </c>
      <c r="W11739" t="s">
        <v>45982</v>
      </c>
      <c r="X11739" t="s">
        <v>46581</v>
      </c>
    </row>
    <row r="11740" spans="1:24">
      <c r="A11740">
        <f>HYPERLINK("https://www.philgeps.gov.ph/GEPSNONPILOT/Tender/SplashBidNoticeAbstractUI.aspx?menuIndex=3&amp;refID=7044668&amp;Result=3","7044668")</f>
        <v>0</v>
      </c>
      <c r="B11740" t="s">
        <v>162</v>
      </c>
      <c r="C11740" t="s">
        <v>14665</v>
      </c>
      <c r="D11740" t="s">
        <v>18788</v>
      </c>
      <c r="E11740" t="s">
        <v>28985</v>
      </c>
      <c r="F11740" t="s">
        <v>32664</v>
      </c>
      <c r="G11740" t="s">
        <v>32672</v>
      </c>
      <c r="H11740" t="s">
        <v>12635</v>
      </c>
      <c r="I11740" t="s">
        <v>4439</v>
      </c>
      <c r="J11740" t="s">
        <v>33863</v>
      </c>
      <c r="K11740" t="s">
        <v>42289</v>
      </c>
      <c r="M11740" t="s">
        <v>42726</v>
      </c>
      <c r="N11740" t="s">
        <v>46569</v>
      </c>
      <c r="O11740" t="s">
        <v>46570</v>
      </c>
      <c r="P11740">
        <v>0</v>
      </c>
      <c r="Q11740">
        <v>0</v>
      </c>
      <c r="R11740" t="s">
        <v>46580</v>
      </c>
      <c r="S11740" t="s">
        <v>46986</v>
      </c>
      <c r="T11740" t="s">
        <v>48293</v>
      </c>
      <c r="U11740" t="s">
        <v>58192</v>
      </c>
      <c r="W11740" t="s">
        <v>42726</v>
      </c>
      <c r="X11740" t="s">
        <v>46581</v>
      </c>
    </row>
    <row r="11741" spans="1:24">
      <c r="A11741">
        <f>HYPERLINK("https://www.philgeps.gov.ph/GEPSNONPILOT/Tender/SplashBidNoticeAbstractUI.aspx?menuIndex=3&amp;refID=7044503&amp;Result=3","7044503")</f>
        <v>0</v>
      </c>
      <c r="B11741" t="s">
        <v>3095</v>
      </c>
      <c r="C11741" t="s">
        <v>14666</v>
      </c>
      <c r="D11741" t="s">
        <v>18817</v>
      </c>
      <c r="E11741" t="s">
        <v>28986</v>
      </c>
      <c r="F11741" t="s">
        <v>32664</v>
      </c>
      <c r="G11741" t="s">
        <v>32672</v>
      </c>
      <c r="H11741" t="s">
        <v>32683</v>
      </c>
      <c r="I11741" t="s">
        <v>10627</v>
      </c>
      <c r="J11741" t="s">
        <v>39755</v>
      </c>
      <c r="K11741" t="s">
        <v>42314</v>
      </c>
      <c r="M11741" t="s">
        <v>45983</v>
      </c>
      <c r="N11741" t="s">
        <v>46569</v>
      </c>
      <c r="O11741" t="s">
        <v>46570</v>
      </c>
      <c r="P11741">
        <v>0</v>
      </c>
      <c r="Q11741">
        <v>14</v>
      </c>
      <c r="R11741" t="s">
        <v>46580</v>
      </c>
      <c r="S11741" t="s">
        <v>46986</v>
      </c>
      <c r="T11741" t="s">
        <v>48303</v>
      </c>
      <c r="U11741" t="s">
        <v>58193</v>
      </c>
      <c r="V11741" t="s">
        <v>62902</v>
      </c>
      <c r="W11741" t="s">
        <v>45983</v>
      </c>
      <c r="X11741" t="s">
        <v>46581</v>
      </c>
    </row>
    <row r="11742" spans="1:24">
      <c r="A11742">
        <f>HYPERLINK("https://www.philgeps.gov.ph/GEPSNONPILOT/Tender/SplashBidNoticeAbstractUI.aspx?menuIndex=3&amp;refID=7044522&amp;Result=3","7044522")</f>
        <v>0</v>
      </c>
      <c r="B11742" t="s">
        <v>660</v>
      </c>
      <c r="C11742" t="s">
        <v>14667</v>
      </c>
      <c r="D11742" t="s">
        <v>18855</v>
      </c>
      <c r="E11742" t="s">
        <v>28987</v>
      </c>
      <c r="F11742" t="s">
        <v>32664</v>
      </c>
      <c r="G11742" t="s">
        <v>32672</v>
      </c>
      <c r="H11742" t="s">
        <v>32683</v>
      </c>
      <c r="I11742" t="s">
        <v>10627</v>
      </c>
      <c r="J11742" t="s">
        <v>32930</v>
      </c>
      <c r="K11742" t="s">
        <v>42283</v>
      </c>
      <c r="M11742" t="s">
        <v>43247</v>
      </c>
      <c r="N11742" t="s">
        <v>46569</v>
      </c>
      <c r="O11742" t="s">
        <v>46570</v>
      </c>
      <c r="P11742">
        <v>0</v>
      </c>
      <c r="Q11742">
        <v>1</v>
      </c>
      <c r="R11742" t="s">
        <v>46580</v>
      </c>
      <c r="S11742" t="s">
        <v>46986</v>
      </c>
      <c r="T11742" t="s">
        <v>48303</v>
      </c>
      <c r="U11742" t="s">
        <v>58194</v>
      </c>
      <c r="W11742" t="s">
        <v>43247</v>
      </c>
      <c r="X11742" t="s">
        <v>46581</v>
      </c>
    </row>
    <row r="11743" spans="1:24">
      <c r="A11743">
        <f>HYPERLINK("https://www.philgeps.gov.ph/GEPSNONPILOT/Tender/SplashBidNoticeAbstractUI.aspx?menuIndex=3&amp;refID=7044658&amp;Result=3","7044658")</f>
        <v>0</v>
      </c>
      <c r="B11743" t="s">
        <v>135</v>
      </c>
      <c r="C11743" t="s">
        <v>14668</v>
      </c>
      <c r="D11743" t="s">
        <v>18807</v>
      </c>
      <c r="E11743" t="s">
        <v>28988</v>
      </c>
      <c r="F11743" t="s">
        <v>32664</v>
      </c>
      <c r="G11743" t="s">
        <v>32672</v>
      </c>
      <c r="H11743" t="s">
        <v>12635</v>
      </c>
      <c r="I11743" t="s">
        <v>7709</v>
      </c>
      <c r="J11743" t="s">
        <v>39756</v>
      </c>
      <c r="K11743" t="s">
        <v>42281</v>
      </c>
      <c r="M11743" t="s">
        <v>42699</v>
      </c>
      <c r="N11743" t="s">
        <v>46569</v>
      </c>
      <c r="O11743" t="s">
        <v>46570</v>
      </c>
      <c r="P11743">
        <v>0</v>
      </c>
      <c r="Q11743">
        <v>1</v>
      </c>
      <c r="R11743" t="s">
        <v>46580</v>
      </c>
      <c r="S11743" t="s">
        <v>46986</v>
      </c>
      <c r="T11743" t="s">
        <v>48238</v>
      </c>
      <c r="U11743" t="s">
        <v>49052</v>
      </c>
      <c r="V11743" t="s">
        <v>61650</v>
      </c>
      <c r="W11743" t="s">
        <v>42699</v>
      </c>
      <c r="X11743" t="s">
        <v>46581</v>
      </c>
    </row>
    <row r="11744" spans="1:24">
      <c r="A11744">
        <f>HYPERLINK("https://www.philgeps.gov.ph/GEPSNONPILOT/Tender/SplashBidNoticeAbstractUI.aspx?menuIndex=3&amp;refID=7044642&amp;Result=3","7044642")</f>
        <v>0</v>
      </c>
      <c r="B11744" t="s">
        <v>616</v>
      </c>
      <c r="C11744" t="s">
        <v>14669</v>
      </c>
      <c r="D11744" t="s">
        <v>18841</v>
      </c>
      <c r="E11744" t="s">
        <v>28989</v>
      </c>
      <c r="F11744" t="s">
        <v>32664</v>
      </c>
      <c r="G11744" t="s">
        <v>32672</v>
      </c>
      <c r="H11744" t="s">
        <v>12635</v>
      </c>
      <c r="I11744" t="s">
        <v>10590</v>
      </c>
      <c r="J11744" t="s">
        <v>36919</v>
      </c>
      <c r="K11744" t="s">
        <v>42330</v>
      </c>
      <c r="M11744" t="s">
        <v>43196</v>
      </c>
      <c r="N11744" t="s">
        <v>46569</v>
      </c>
      <c r="O11744" t="s">
        <v>46570</v>
      </c>
      <c r="P11744">
        <v>0</v>
      </c>
      <c r="Q11744">
        <v>0</v>
      </c>
      <c r="R11744" t="s">
        <v>46580</v>
      </c>
      <c r="S11744" t="s">
        <v>46986</v>
      </c>
      <c r="T11744" t="s">
        <v>48254</v>
      </c>
      <c r="U11744" t="s">
        <v>58195</v>
      </c>
      <c r="W11744" t="s">
        <v>43196</v>
      </c>
      <c r="X11744" t="s">
        <v>46581</v>
      </c>
    </row>
    <row r="11745" spans="1:24">
      <c r="A11745">
        <f>HYPERLINK("https://www.philgeps.gov.ph/GEPSNONPILOT/Tender/SplashBidNoticeAbstractUI.aspx?menuIndex=3&amp;refID=7044653&amp;Result=3","7044653")</f>
        <v>0</v>
      </c>
      <c r="B11745" t="s">
        <v>2746</v>
      </c>
      <c r="C11745" t="s">
        <v>14670</v>
      </c>
      <c r="D11745" t="s">
        <v>18784</v>
      </c>
      <c r="E11745" t="s">
        <v>28990</v>
      </c>
      <c r="F11745" t="s">
        <v>32664</v>
      </c>
      <c r="G11745" t="s">
        <v>32672</v>
      </c>
      <c r="H11745" t="s">
        <v>12635</v>
      </c>
      <c r="I11745" t="s">
        <v>32704</v>
      </c>
      <c r="J11745" t="s">
        <v>39757</v>
      </c>
      <c r="K11745" t="s">
        <v>42311</v>
      </c>
      <c r="M11745" t="s">
        <v>45580</v>
      </c>
      <c r="N11745" t="s">
        <v>46569</v>
      </c>
      <c r="O11745" t="s">
        <v>46570</v>
      </c>
      <c r="P11745">
        <v>0</v>
      </c>
      <c r="Q11745">
        <v>10</v>
      </c>
      <c r="R11745" t="s">
        <v>46580</v>
      </c>
      <c r="S11745" t="s">
        <v>46986</v>
      </c>
      <c r="T11745" t="s">
        <v>48693</v>
      </c>
      <c r="U11745" t="s">
        <v>58196</v>
      </c>
      <c r="V11745" t="s">
        <v>62903</v>
      </c>
      <c r="W11745" t="s">
        <v>45580</v>
      </c>
      <c r="X11745" t="s">
        <v>46581</v>
      </c>
    </row>
    <row r="11746" spans="1:24">
      <c r="A11746">
        <f>HYPERLINK("https://www.philgeps.gov.ph/GEPSNONPILOT/Tender/SplashBidNoticeAbstractUI.aspx?menuIndex=3&amp;refID=7044667&amp;Result=3","7044667")</f>
        <v>0</v>
      </c>
      <c r="B11746" t="s">
        <v>1966</v>
      </c>
      <c r="C11746" t="s">
        <v>6118</v>
      </c>
      <c r="D11746" t="s">
        <v>18782</v>
      </c>
      <c r="E11746" t="s">
        <v>28991</v>
      </c>
      <c r="F11746" t="s">
        <v>32664</v>
      </c>
      <c r="G11746" t="s">
        <v>32672</v>
      </c>
      <c r="H11746" t="s">
        <v>12635</v>
      </c>
      <c r="I11746" t="s">
        <v>6118</v>
      </c>
      <c r="J11746" t="s">
        <v>39758</v>
      </c>
      <c r="K11746" t="s">
        <v>42297</v>
      </c>
      <c r="M11746" t="s">
        <v>44698</v>
      </c>
      <c r="N11746" t="s">
        <v>46569</v>
      </c>
      <c r="O11746" t="s">
        <v>46570</v>
      </c>
      <c r="P11746">
        <v>0</v>
      </c>
      <c r="Q11746">
        <v>0</v>
      </c>
      <c r="R11746" t="s">
        <v>46580</v>
      </c>
      <c r="S11746" t="s">
        <v>46986</v>
      </c>
      <c r="T11746" t="s">
        <v>48212</v>
      </c>
      <c r="U11746" t="s">
        <v>58197</v>
      </c>
      <c r="W11746" t="s">
        <v>44698</v>
      </c>
      <c r="X11746" t="s">
        <v>46581</v>
      </c>
    </row>
    <row r="11747" spans="1:24">
      <c r="A11747">
        <f>HYPERLINK("https://www.philgeps.gov.ph/GEPSNONPILOT/Tender/SplashBidNoticeAbstractUI.aspx?menuIndex=3&amp;refID=7042691&amp;Result=3","7042691")</f>
        <v>0</v>
      </c>
      <c r="B11747" t="s">
        <v>3020</v>
      </c>
      <c r="C11747" t="s">
        <v>14671</v>
      </c>
      <c r="D11747" t="s">
        <v>18814</v>
      </c>
      <c r="E11747" t="s">
        <v>28992</v>
      </c>
      <c r="F11747" t="s">
        <v>32664</v>
      </c>
      <c r="G11747" t="s">
        <v>32674</v>
      </c>
      <c r="H11747" t="s">
        <v>12635</v>
      </c>
      <c r="I11747" t="s">
        <v>6168</v>
      </c>
      <c r="J11747" t="s">
        <v>34041</v>
      </c>
      <c r="K11747" t="s">
        <v>42289</v>
      </c>
      <c r="M11747" t="s">
        <v>45892</v>
      </c>
      <c r="N11747" t="s">
        <v>46569</v>
      </c>
      <c r="O11747" t="s">
        <v>46570</v>
      </c>
      <c r="P11747">
        <v>0</v>
      </c>
      <c r="Q11747">
        <v>2</v>
      </c>
      <c r="R11747" t="s">
        <v>46580</v>
      </c>
      <c r="S11747" t="s">
        <v>46986</v>
      </c>
      <c r="T11747" t="s">
        <v>48287</v>
      </c>
      <c r="U11747" t="s">
        <v>58198</v>
      </c>
      <c r="W11747" t="s">
        <v>63582</v>
      </c>
      <c r="X11747" t="s">
        <v>46585</v>
      </c>
    </row>
    <row r="11748" spans="1:24">
      <c r="A11748">
        <f>HYPERLINK("https://www.philgeps.gov.ph/GEPSNONPILOT/Tender/SplashBidNoticeAbstractUI.aspx?menuIndex=3&amp;refID=7044631&amp;Result=3","7044631")</f>
        <v>0</v>
      </c>
      <c r="B11748" t="s">
        <v>2825</v>
      </c>
      <c r="C11748" t="s">
        <v>14672</v>
      </c>
      <c r="D11748" t="s">
        <v>18790</v>
      </c>
      <c r="E11748" t="s">
        <v>28993</v>
      </c>
      <c r="F11748" t="s">
        <v>32665</v>
      </c>
      <c r="G11748" t="s">
        <v>32672</v>
      </c>
      <c r="H11748" t="s">
        <v>12635</v>
      </c>
      <c r="I11748" t="s">
        <v>4439</v>
      </c>
      <c r="J11748" t="s">
        <v>39759</v>
      </c>
      <c r="K11748" t="s">
        <v>42303</v>
      </c>
      <c r="M11748" t="s">
        <v>45669</v>
      </c>
      <c r="N11748" t="s">
        <v>46569</v>
      </c>
      <c r="O11748" t="s">
        <v>46570</v>
      </c>
      <c r="P11748">
        <v>0</v>
      </c>
      <c r="Q11748">
        <v>0</v>
      </c>
      <c r="R11748" t="s">
        <v>46580</v>
      </c>
      <c r="S11748" t="s">
        <v>46986</v>
      </c>
      <c r="T11748" t="s">
        <v>48283</v>
      </c>
      <c r="U11748" t="s">
        <v>58199</v>
      </c>
      <c r="W11748" t="s">
        <v>45669</v>
      </c>
      <c r="X11748" t="s">
        <v>46581</v>
      </c>
    </row>
    <row r="11749" spans="1:24">
      <c r="A11749">
        <f>HYPERLINK("https://www.philgeps.gov.ph/GEPSNONPILOT/Tender/SplashBidNoticeAbstractUI.aspx?menuIndex=3&amp;refID=7044613&amp;Result=3","7044613")</f>
        <v>0</v>
      </c>
      <c r="B11749" t="s">
        <v>1966</v>
      </c>
      <c r="C11749" t="s">
        <v>6118</v>
      </c>
      <c r="D11749" t="s">
        <v>18782</v>
      </c>
      <c r="E11749" t="s">
        <v>28994</v>
      </c>
      <c r="F11749" t="s">
        <v>32664</v>
      </c>
      <c r="G11749" t="s">
        <v>32672</v>
      </c>
      <c r="H11749" t="s">
        <v>12635</v>
      </c>
      <c r="I11749" t="s">
        <v>6118</v>
      </c>
      <c r="J11749" t="s">
        <v>39760</v>
      </c>
      <c r="K11749" t="s">
        <v>42297</v>
      </c>
      <c r="M11749" t="s">
        <v>44698</v>
      </c>
      <c r="N11749" t="s">
        <v>46569</v>
      </c>
      <c r="O11749" t="s">
        <v>46570</v>
      </c>
      <c r="P11749">
        <v>0</v>
      </c>
      <c r="Q11749">
        <v>0</v>
      </c>
      <c r="R11749" t="s">
        <v>46580</v>
      </c>
      <c r="S11749" t="s">
        <v>46986</v>
      </c>
      <c r="T11749" t="s">
        <v>48212</v>
      </c>
      <c r="U11749" t="s">
        <v>58200</v>
      </c>
      <c r="W11749" t="s">
        <v>44698</v>
      </c>
      <c r="X11749" t="s">
        <v>46581</v>
      </c>
    </row>
    <row r="11750" spans="1:24">
      <c r="A11750">
        <f>HYPERLINK("https://www.philgeps.gov.ph/GEPSNONPILOT/Tender/SplashBidNoticeAbstractUI.aspx?menuIndex=3&amp;refID=7044609&amp;Result=3","7044609")</f>
        <v>0</v>
      </c>
      <c r="B11750" t="s">
        <v>1779</v>
      </c>
      <c r="C11750" t="s">
        <v>14673</v>
      </c>
      <c r="E11750" t="s">
        <v>28995</v>
      </c>
      <c r="F11750" t="s">
        <v>32664</v>
      </c>
      <c r="G11750" t="s">
        <v>32672</v>
      </c>
      <c r="H11750" t="s">
        <v>12635</v>
      </c>
      <c r="I11750" t="s">
        <v>4439</v>
      </c>
      <c r="J11750" t="s">
        <v>39761</v>
      </c>
      <c r="K11750" t="s">
        <v>42289</v>
      </c>
      <c r="M11750" t="s">
        <v>44481</v>
      </c>
      <c r="N11750" t="s">
        <v>46569</v>
      </c>
      <c r="O11750" t="s">
        <v>46570</v>
      </c>
      <c r="P11750">
        <v>0</v>
      </c>
      <c r="Q11750">
        <v>1</v>
      </c>
      <c r="R11750" t="s">
        <v>46580</v>
      </c>
      <c r="S11750" t="s">
        <v>46986</v>
      </c>
      <c r="T11750" t="s">
        <v>48236</v>
      </c>
      <c r="U11750" t="s">
        <v>58201</v>
      </c>
      <c r="V11750" t="s">
        <v>62904</v>
      </c>
      <c r="W11750" t="s">
        <v>44481</v>
      </c>
      <c r="X11750" t="s">
        <v>46581</v>
      </c>
    </row>
    <row r="11751" spans="1:24">
      <c r="A11751">
        <f>HYPERLINK("https://www.philgeps.gov.ph/GEPSNONPILOT/Tender/SplashBidNoticeAbstractUI.aspx?menuIndex=3&amp;refID=7044607&amp;Result=3","7044607")</f>
        <v>0</v>
      </c>
      <c r="B11751" t="s">
        <v>2825</v>
      </c>
      <c r="C11751" t="s">
        <v>14674</v>
      </c>
      <c r="D11751" t="s">
        <v>18790</v>
      </c>
      <c r="E11751" t="s">
        <v>28996</v>
      </c>
      <c r="F11751" t="s">
        <v>32665</v>
      </c>
      <c r="G11751" t="s">
        <v>32672</v>
      </c>
      <c r="H11751" t="s">
        <v>12635</v>
      </c>
      <c r="I11751" t="s">
        <v>4439</v>
      </c>
      <c r="J11751" t="s">
        <v>39762</v>
      </c>
      <c r="K11751" t="s">
        <v>42303</v>
      </c>
      <c r="M11751" t="s">
        <v>45669</v>
      </c>
      <c r="N11751" t="s">
        <v>46569</v>
      </c>
      <c r="O11751" t="s">
        <v>46570</v>
      </c>
      <c r="P11751">
        <v>0</v>
      </c>
      <c r="Q11751">
        <v>0</v>
      </c>
      <c r="R11751" t="s">
        <v>46580</v>
      </c>
      <c r="S11751" t="s">
        <v>46986</v>
      </c>
      <c r="T11751" t="s">
        <v>48228</v>
      </c>
      <c r="U11751" t="s">
        <v>58199</v>
      </c>
      <c r="W11751" t="s">
        <v>45669</v>
      </c>
      <c r="X11751" t="s">
        <v>46581</v>
      </c>
    </row>
    <row r="11752" spans="1:24">
      <c r="A11752">
        <f>HYPERLINK("https://www.philgeps.gov.ph/GEPSNONPILOT/Tender/SplashBidNoticeAbstractUI.aspx?menuIndex=3&amp;refID=7044703&amp;Result=3","7044703")</f>
        <v>0</v>
      </c>
      <c r="B11752" t="s">
        <v>162</v>
      </c>
      <c r="C11752" t="s">
        <v>14675</v>
      </c>
      <c r="D11752" t="s">
        <v>18788</v>
      </c>
      <c r="E11752" t="s">
        <v>28997</v>
      </c>
      <c r="F11752" t="s">
        <v>32664</v>
      </c>
      <c r="G11752" t="s">
        <v>32672</v>
      </c>
      <c r="H11752" t="s">
        <v>12635</v>
      </c>
      <c r="I11752" t="s">
        <v>4439</v>
      </c>
      <c r="J11752" t="s">
        <v>39763</v>
      </c>
      <c r="K11752" t="s">
        <v>42289</v>
      </c>
      <c r="M11752" t="s">
        <v>42726</v>
      </c>
      <c r="N11752" t="s">
        <v>46569</v>
      </c>
      <c r="O11752" t="s">
        <v>46570</v>
      </c>
      <c r="P11752">
        <v>0</v>
      </c>
      <c r="Q11752">
        <v>0</v>
      </c>
      <c r="R11752" t="s">
        <v>46580</v>
      </c>
      <c r="S11752" t="s">
        <v>46986</v>
      </c>
      <c r="T11752" t="s">
        <v>48293</v>
      </c>
      <c r="U11752" t="s">
        <v>58202</v>
      </c>
      <c r="W11752" t="s">
        <v>42726</v>
      </c>
      <c r="X11752" t="s">
        <v>46581</v>
      </c>
    </row>
    <row r="11753" spans="1:24">
      <c r="A11753">
        <f>HYPERLINK("https://www.philgeps.gov.ph/GEPSNONPILOT/Tender/SplashBidNoticeAbstractUI.aspx?menuIndex=3&amp;refID=7044693&amp;Result=3","7044693")</f>
        <v>0</v>
      </c>
      <c r="B11753" t="s">
        <v>2825</v>
      </c>
      <c r="C11753" t="s">
        <v>14676</v>
      </c>
      <c r="D11753" t="s">
        <v>18790</v>
      </c>
      <c r="E11753" t="s">
        <v>28998</v>
      </c>
      <c r="F11753" t="s">
        <v>32665</v>
      </c>
      <c r="G11753" t="s">
        <v>32672</v>
      </c>
      <c r="H11753" t="s">
        <v>32683</v>
      </c>
      <c r="I11753" t="s">
        <v>10627</v>
      </c>
      <c r="J11753" t="s">
        <v>39764</v>
      </c>
      <c r="K11753" t="s">
        <v>42290</v>
      </c>
      <c r="M11753" t="s">
        <v>45669</v>
      </c>
      <c r="N11753" t="s">
        <v>46569</v>
      </c>
      <c r="O11753" t="s">
        <v>46570</v>
      </c>
      <c r="P11753">
        <v>0</v>
      </c>
      <c r="Q11753">
        <v>0</v>
      </c>
      <c r="R11753" t="s">
        <v>46580</v>
      </c>
      <c r="S11753" t="s">
        <v>46986</v>
      </c>
      <c r="T11753" t="s">
        <v>48267</v>
      </c>
      <c r="U11753" t="s">
        <v>58203</v>
      </c>
      <c r="W11753" t="s">
        <v>45669</v>
      </c>
      <c r="X11753" t="s">
        <v>46581</v>
      </c>
    </row>
    <row r="11754" spans="1:24">
      <c r="A11754">
        <f>HYPERLINK("https://www.philgeps.gov.ph/GEPSNONPILOT/Tender/SplashBidNoticeAbstractUI.aspx?menuIndex=3&amp;refID=7044657&amp;Result=3","7044657")</f>
        <v>0</v>
      </c>
      <c r="B11754" t="s">
        <v>1712</v>
      </c>
      <c r="C11754" t="s">
        <v>14677</v>
      </c>
      <c r="D11754" t="s">
        <v>18792</v>
      </c>
      <c r="E11754" t="s">
        <v>28999</v>
      </c>
      <c r="F11754" t="s">
        <v>32665</v>
      </c>
      <c r="G11754" t="s">
        <v>32674</v>
      </c>
      <c r="H11754" t="s">
        <v>12635</v>
      </c>
      <c r="I11754" t="s">
        <v>4439</v>
      </c>
      <c r="J11754" t="s">
        <v>39765</v>
      </c>
      <c r="K11754" t="s">
        <v>42297</v>
      </c>
      <c r="M11754" t="s">
        <v>44406</v>
      </c>
      <c r="N11754" t="s">
        <v>46569</v>
      </c>
      <c r="O11754" t="s">
        <v>46570</v>
      </c>
      <c r="P11754">
        <v>0</v>
      </c>
      <c r="Q11754">
        <v>0</v>
      </c>
      <c r="R11754" t="s">
        <v>46580</v>
      </c>
      <c r="S11754" t="s">
        <v>46986</v>
      </c>
      <c r="T11754" t="s">
        <v>48283</v>
      </c>
      <c r="U11754" t="s">
        <v>58204</v>
      </c>
      <c r="W11754" t="s">
        <v>44406</v>
      </c>
      <c r="X11754" t="s">
        <v>46581</v>
      </c>
    </row>
    <row r="11755" spans="1:24">
      <c r="A11755">
        <f>HYPERLINK("https://www.philgeps.gov.ph/GEPSNONPILOT/Tender/SplashBidNoticeAbstractUI.aspx?menuIndex=3&amp;refID=7044787&amp;Result=3","7044787")</f>
        <v>0</v>
      </c>
      <c r="B11755" t="s">
        <v>2150</v>
      </c>
      <c r="C11755" t="s">
        <v>14678</v>
      </c>
      <c r="D11755" t="s">
        <v>18851</v>
      </c>
      <c r="E11755" t="s">
        <v>29000</v>
      </c>
      <c r="F11755" t="s">
        <v>32664</v>
      </c>
      <c r="G11755" t="s">
        <v>32672</v>
      </c>
      <c r="H11755" t="s">
        <v>12635</v>
      </c>
      <c r="I11755" t="s">
        <v>6628</v>
      </c>
      <c r="J11755" t="s">
        <v>39766</v>
      </c>
      <c r="K11755" t="s">
        <v>42281</v>
      </c>
      <c r="M11755" t="s">
        <v>44906</v>
      </c>
      <c r="N11755" t="s">
        <v>46569</v>
      </c>
      <c r="O11755" t="s">
        <v>46570</v>
      </c>
      <c r="P11755">
        <v>0</v>
      </c>
      <c r="Q11755">
        <v>1</v>
      </c>
      <c r="R11755" t="s">
        <v>46580</v>
      </c>
      <c r="S11755" t="s">
        <v>46986</v>
      </c>
      <c r="T11755" t="s">
        <v>48212</v>
      </c>
      <c r="U11755" t="s">
        <v>58205</v>
      </c>
      <c r="W11755" t="s">
        <v>44906</v>
      </c>
      <c r="X11755" t="s">
        <v>46581</v>
      </c>
    </row>
    <row r="11756" spans="1:24">
      <c r="A11756">
        <f>HYPERLINK("https://www.philgeps.gov.ph/GEPSNONPILOT/Tender/SplashBidNoticeAbstractUI.aspx?menuIndex=3&amp;refID=7044640&amp;Result=3","7044640")</f>
        <v>0</v>
      </c>
      <c r="B11756" t="s">
        <v>3096</v>
      </c>
      <c r="C11756" t="s">
        <v>10614</v>
      </c>
      <c r="D11756" t="s">
        <v>18828</v>
      </c>
      <c r="E11756" t="s">
        <v>29001</v>
      </c>
      <c r="F11756" t="s">
        <v>32664</v>
      </c>
      <c r="G11756" t="s">
        <v>32672</v>
      </c>
      <c r="H11756" t="s">
        <v>32683</v>
      </c>
      <c r="I11756" t="s">
        <v>32721</v>
      </c>
      <c r="J11756" t="s">
        <v>32943</v>
      </c>
      <c r="K11756" t="s">
        <v>42285</v>
      </c>
      <c r="M11756" t="s">
        <v>45984</v>
      </c>
      <c r="N11756" t="s">
        <v>46569</v>
      </c>
      <c r="O11756" t="s">
        <v>46570</v>
      </c>
      <c r="P11756">
        <v>0</v>
      </c>
      <c r="Q11756">
        <v>0</v>
      </c>
      <c r="R11756" t="s">
        <v>46580</v>
      </c>
      <c r="S11756" t="s">
        <v>46986</v>
      </c>
      <c r="T11756" t="s">
        <v>48282</v>
      </c>
      <c r="U11756" t="s">
        <v>58206</v>
      </c>
      <c r="W11756" t="s">
        <v>45984</v>
      </c>
      <c r="X11756" t="s">
        <v>46581</v>
      </c>
    </row>
    <row r="11757" spans="1:24">
      <c r="A11757">
        <f>HYPERLINK("https://www.philgeps.gov.ph/GEPSNONPILOT/Tender/SplashBidNoticeAbstractUI.aspx?menuIndex=3&amp;refID=7044751&amp;Result=3","7044751")</f>
        <v>0</v>
      </c>
      <c r="B11757" t="s">
        <v>1779</v>
      </c>
      <c r="C11757" t="s">
        <v>14679</v>
      </c>
      <c r="E11757" t="s">
        <v>29002</v>
      </c>
      <c r="F11757" t="s">
        <v>32664</v>
      </c>
      <c r="G11757" t="s">
        <v>32672</v>
      </c>
      <c r="H11757" t="s">
        <v>12635</v>
      </c>
      <c r="I11757" t="s">
        <v>4439</v>
      </c>
      <c r="J11757" t="s">
        <v>39767</v>
      </c>
      <c r="K11757" t="s">
        <v>42289</v>
      </c>
      <c r="M11757" t="s">
        <v>44481</v>
      </c>
      <c r="N11757" t="s">
        <v>46569</v>
      </c>
      <c r="O11757" t="s">
        <v>46570</v>
      </c>
      <c r="P11757">
        <v>0</v>
      </c>
      <c r="Q11757">
        <v>2</v>
      </c>
      <c r="R11757" t="s">
        <v>46580</v>
      </c>
      <c r="S11757" t="s">
        <v>46986</v>
      </c>
      <c r="T11757" t="s">
        <v>48236</v>
      </c>
      <c r="U11757" t="s">
        <v>58207</v>
      </c>
      <c r="V11757" t="s">
        <v>62905</v>
      </c>
      <c r="W11757" t="s">
        <v>44481</v>
      </c>
      <c r="X11757" t="s">
        <v>46581</v>
      </c>
    </row>
    <row r="11758" spans="1:24">
      <c r="A11758">
        <f>HYPERLINK("https://www.philgeps.gov.ph/GEPSNONPILOT/Tender/SplashBidNoticeAbstractUI.aspx?menuIndex=3&amp;refID=7044665&amp;Result=3","7044665")</f>
        <v>0</v>
      </c>
      <c r="B11758" t="s">
        <v>1779</v>
      </c>
      <c r="C11758" t="s">
        <v>14680</v>
      </c>
      <c r="E11758" t="s">
        <v>29003</v>
      </c>
      <c r="F11758" t="s">
        <v>32664</v>
      </c>
      <c r="G11758" t="s">
        <v>32672</v>
      </c>
      <c r="H11758" t="s">
        <v>12635</v>
      </c>
      <c r="I11758" t="s">
        <v>4439</v>
      </c>
      <c r="J11758" t="s">
        <v>32962</v>
      </c>
      <c r="K11758" t="s">
        <v>42289</v>
      </c>
      <c r="M11758" t="s">
        <v>44481</v>
      </c>
      <c r="N11758" t="s">
        <v>46569</v>
      </c>
      <c r="O11758" t="s">
        <v>46570</v>
      </c>
      <c r="P11758">
        <v>0</v>
      </c>
      <c r="Q11758">
        <v>0</v>
      </c>
      <c r="R11758" t="s">
        <v>46580</v>
      </c>
      <c r="S11758" t="s">
        <v>46986</v>
      </c>
      <c r="T11758" t="s">
        <v>48236</v>
      </c>
      <c r="U11758" t="s">
        <v>58208</v>
      </c>
      <c r="V11758" t="s">
        <v>62905</v>
      </c>
      <c r="W11758" t="s">
        <v>44481</v>
      </c>
      <c r="X11758" t="s">
        <v>46581</v>
      </c>
    </row>
    <row r="11759" spans="1:24">
      <c r="A11759">
        <f>HYPERLINK("https://www.philgeps.gov.ph/GEPSNONPILOT/Tender/SplashBidNoticeAbstractUI.aspx?menuIndex=3&amp;refID=7044611&amp;Result=3","7044611")</f>
        <v>0</v>
      </c>
      <c r="B11759" t="s">
        <v>1865</v>
      </c>
      <c r="C11759" t="s">
        <v>14681</v>
      </c>
      <c r="D11759" t="s">
        <v>18841</v>
      </c>
      <c r="E11759" t="s">
        <v>29004</v>
      </c>
      <c r="F11759" t="s">
        <v>32664</v>
      </c>
      <c r="G11759" t="s">
        <v>32674</v>
      </c>
      <c r="H11759" t="s">
        <v>12635</v>
      </c>
      <c r="I11759" t="s">
        <v>5589</v>
      </c>
      <c r="J11759" t="s">
        <v>33015</v>
      </c>
      <c r="K11759" t="s">
        <v>42281</v>
      </c>
      <c r="M11759" t="s">
        <v>44578</v>
      </c>
      <c r="N11759" t="s">
        <v>46569</v>
      </c>
      <c r="O11759" t="s">
        <v>46570</v>
      </c>
      <c r="P11759">
        <v>0</v>
      </c>
      <c r="Q11759">
        <v>1</v>
      </c>
      <c r="R11759" t="s">
        <v>46580</v>
      </c>
      <c r="S11759" t="s">
        <v>46986</v>
      </c>
      <c r="T11759" t="s">
        <v>48448</v>
      </c>
      <c r="U11759" t="s">
        <v>58209</v>
      </c>
      <c r="W11759" t="s">
        <v>44578</v>
      </c>
      <c r="X11759" t="s">
        <v>46581</v>
      </c>
    </row>
    <row r="11760" spans="1:24">
      <c r="A11760">
        <f>HYPERLINK("https://www.philgeps.gov.ph/GEPSNONPILOT/Tender/SplashBidNoticeAbstractUI.aspx?menuIndex=3&amp;refID=7044747&amp;Result=3","7044747")</f>
        <v>0</v>
      </c>
      <c r="B11760" t="s">
        <v>3097</v>
      </c>
      <c r="C11760" t="s">
        <v>14682</v>
      </c>
      <c r="D11760" t="s">
        <v>18804</v>
      </c>
      <c r="E11760" t="s">
        <v>29005</v>
      </c>
      <c r="F11760" t="s">
        <v>32664</v>
      </c>
      <c r="G11760" t="s">
        <v>32672</v>
      </c>
      <c r="H11760" t="s">
        <v>32683</v>
      </c>
      <c r="I11760" t="s">
        <v>10627</v>
      </c>
      <c r="J11760" t="s">
        <v>39768</v>
      </c>
      <c r="K11760" t="s">
        <v>42317</v>
      </c>
      <c r="M11760" t="s">
        <v>45985</v>
      </c>
      <c r="N11760" t="s">
        <v>46569</v>
      </c>
      <c r="O11760" t="s">
        <v>46570</v>
      </c>
      <c r="P11760">
        <v>0</v>
      </c>
      <c r="Q11760">
        <v>4</v>
      </c>
      <c r="R11760" t="s">
        <v>46580</v>
      </c>
      <c r="S11760" t="s">
        <v>46986</v>
      </c>
      <c r="T11760" t="s">
        <v>48303</v>
      </c>
      <c r="U11760" t="s">
        <v>58210</v>
      </c>
      <c r="W11760" t="s">
        <v>45985</v>
      </c>
      <c r="X11760" t="s">
        <v>46581</v>
      </c>
    </row>
    <row r="11761" spans="1:24">
      <c r="A11761">
        <f>HYPERLINK("https://www.philgeps.gov.ph/GEPSNONPILOT/Tender/SplashBidNoticeAbstractUI.aspx?menuIndex=3&amp;refID=7044742&amp;Result=3","7044742")</f>
        <v>0</v>
      </c>
      <c r="B11761" t="s">
        <v>162</v>
      </c>
      <c r="C11761" t="s">
        <v>14683</v>
      </c>
      <c r="D11761" t="s">
        <v>18788</v>
      </c>
      <c r="E11761" t="s">
        <v>29006</v>
      </c>
      <c r="F11761" t="s">
        <v>32664</v>
      </c>
      <c r="G11761" t="s">
        <v>32672</v>
      </c>
      <c r="H11761" t="s">
        <v>12635</v>
      </c>
      <c r="I11761" t="s">
        <v>4439</v>
      </c>
      <c r="J11761" t="s">
        <v>39769</v>
      </c>
      <c r="K11761" t="s">
        <v>42289</v>
      </c>
      <c r="M11761" t="s">
        <v>42726</v>
      </c>
      <c r="N11761" t="s">
        <v>46569</v>
      </c>
      <c r="O11761" t="s">
        <v>46570</v>
      </c>
      <c r="P11761">
        <v>0</v>
      </c>
      <c r="Q11761">
        <v>0</v>
      </c>
      <c r="R11761" t="s">
        <v>46580</v>
      </c>
      <c r="S11761" t="s">
        <v>46986</v>
      </c>
      <c r="T11761" t="s">
        <v>48293</v>
      </c>
      <c r="U11761" t="s">
        <v>58211</v>
      </c>
      <c r="W11761" t="s">
        <v>42726</v>
      </c>
      <c r="X11761" t="s">
        <v>46581</v>
      </c>
    </row>
    <row r="11762" spans="1:24">
      <c r="A11762">
        <f>HYPERLINK("https://www.philgeps.gov.ph/GEPSNONPILOT/Tender/SplashBidNoticeAbstractUI.aspx?menuIndex=3&amp;refID=7044737&amp;Result=3","7044737")</f>
        <v>0</v>
      </c>
      <c r="B11762" t="s">
        <v>616</v>
      </c>
      <c r="C11762" t="s">
        <v>14684</v>
      </c>
      <c r="D11762" t="s">
        <v>18841</v>
      </c>
      <c r="E11762" t="s">
        <v>29007</v>
      </c>
      <c r="F11762" t="s">
        <v>32664</v>
      </c>
      <c r="G11762" t="s">
        <v>32672</v>
      </c>
      <c r="H11762" t="s">
        <v>12635</v>
      </c>
      <c r="I11762" t="s">
        <v>32706</v>
      </c>
      <c r="J11762" t="s">
        <v>39770</v>
      </c>
      <c r="K11762" t="s">
        <v>42330</v>
      </c>
      <c r="M11762" t="s">
        <v>43196</v>
      </c>
      <c r="N11762" t="s">
        <v>46569</v>
      </c>
      <c r="O11762" t="s">
        <v>46570</v>
      </c>
      <c r="P11762">
        <v>0</v>
      </c>
      <c r="Q11762">
        <v>0</v>
      </c>
      <c r="R11762" t="s">
        <v>46580</v>
      </c>
      <c r="S11762" t="s">
        <v>46986</v>
      </c>
      <c r="T11762" t="s">
        <v>48290</v>
      </c>
      <c r="U11762" t="s">
        <v>58212</v>
      </c>
      <c r="W11762" t="s">
        <v>43196</v>
      </c>
      <c r="X11762" t="s">
        <v>46581</v>
      </c>
    </row>
    <row r="11763" spans="1:24">
      <c r="A11763">
        <f>HYPERLINK("https://www.philgeps.gov.ph/GEPSNONPILOT/Tender/SplashBidNoticeAbstractUI.aspx?menuIndex=3&amp;refID=7044736&amp;Result=3","7044736")</f>
        <v>0</v>
      </c>
      <c r="B11763" t="s">
        <v>438</v>
      </c>
      <c r="C11763" t="s">
        <v>14685</v>
      </c>
      <c r="D11763" t="s">
        <v>18855</v>
      </c>
      <c r="E11763" t="s">
        <v>29008</v>
      </c>
      <c r="F11763" t="s">
        <v>32664</v>
      </c>
      <c r="G11763" t="s">
        <v>32674</v>
      </c>
      <c r="H11763" t="s">
        <v>12635</v>
      </c>
      <c r="I11763" t="s">
        <v>32704</v>
      </c>
      <c r="J11763" t="s">
        <v>34732</v>
      </c>
      <c r="K11763" t="s">
        <v>42289</v>
      </c>
      <c r="M11763" t="s">
        <v>43010</v>
      </c>
      <c r="N11763" t="s">
        <v>46569</v>
      </c>
      <c r="O11763" t="s">
        <v>46570</v>
      </c>
      <c r="P11763">
        <v>0</v>
      </c>
      <c r="Q11763">
        <v>4</v>
      </c>
      <c r="R11763" t="s">
        <v>46580</v>
      </c>
      <c r="S11763" t="s">
        <v>46986</v>
      </c>
      <c r="T11763" t="s">
        <v>48221</v>
      </c>
      <c r="U11763" t="s">
        <v>58213</v>
      </c>
      <c r="W11763" t="s">
        <v>43010</v>
      </c>
      <c r="X11763" t="s">
        <v>46581</v>
      </c>
    </row>
    <row r="11764" spans="1:24">
      <c r="A11764">
        <f>HYPERLINK("https://www.philgeps.gov.ph/GEPSNONPILOT/Tender/SplashBidNoticeAbstractUI.aspx?menuIndex=3&amp;refID=7044732&amp;Result=3","7044732")</f>
        <v>0</v>
      </c>
      <c r="B11764" t="s">
        <v>1966</v>
      </c>
      <c r="C11764" t="s">
        <v>4250</v>
      </c>
      <c r="D11764" t="s">
        <v>18782</v>
      </c>
      <c r="E11764" t="s">
        <v>29009</v>
      </c>
      <c r="F11764" t="s">
        <v>32664</v>
      </c>
      <c r="G11764" t="s">
        <v>32672</v>
      </c>
      <c r="H11764" t="s">
        <v>32683</v>
      </c>
      <c r="I11764" t="s">
        <v>4439</v>
      </c>
      <c r="J11764" t="s">
        <v>39771</v>
      </c>
      <c r="K11764" t="s">
        <v>42297</v>
      </c>
      <c r="M11764" t="s">
        <v>44698</v>
      </c>
      <c r="N11764" t="s">
        <v>46569</v>
      </c>
      <c r="O11764" t="s">
        <v>46570</v>
      </c>
      <c r="P11764">
        <v>0</v>
      </c>
      <c r="Q11764">
        <v>1</v>
      </c>
      <c r="R11764" t="s">
        <v>46580</v>
      </c>
      <c r="S11764" t="s">
        <v>46986</v>
      </c>
      <c r="T11764" t="s">
        <v>48212</v>
      </c>
      <c r="U11764" t="s">
        <v>58214</v>
      </c>
      <c r="W11764" t="s">
        <v>44698</v>
      </c>
      <c r="X11764" t="s">
        <v>46581</v>
      </c>
    </row>
    <row r="11765" spans="1:24">
      <c r="A11765">
        <f>HYPERLINK("https://www.philgeps.gov.ph/GEPSNONPILOT/Tender/SplashBidNoticeAbstractUI.aspx?menuIndex=3&amp;refID=7044783&amp;Result=3","7044783")</f>
        <v>0</v>
      </c>
      <c r="B11765" t="s">
        <v>660</v>
      </c>
      <c r="C11765" t="s">
        <v>14686</v>
      </c>
      <c r="D11765" t="s">
        <v>18855</v>
      </c>
      <c r="E11765" t="s">
        <v>29010</v>
      </c>
      <c r="F11765" t="s">
        <v>32664</v>
      </c>
      <c r="G11765" t="s">
        <v>32672</v>
      </c>
      <c r="H11765" t="s">
        <v>32683</v>
      </c>
      <c r="I11765" t="s">
        <v>10627</v>
      </c>
      <c r="J11765" t="s">
        <v>34022</v>
      </c>
      <c r="K11765" t="s">
        <v>42283</v>
      </c>
      <c r="M11765" t="s">
        <v>43247</v>
      </c>
      <c r="N11765" t="s">
        <v>46569</v>
      </c>
      <c r="O11765" t="s">
        <v>46570</v>
      </c>
      <c r="P11765">
        <v>0</v>
      </c>
      <c r="Q11765">
        <v>1</v>
      </c>
      <c r="R11765" t="s">
        <v>46580</v>
      </c>
      <c r="S11765" t="s">
        <v>46986</v>
      </c>
      <c r="T11765" t="s">
        <v>48303</v>
      </c>
      <c r="U11765" t="s">
        <v>58194</v>
      </c>
      <c r="W11765" t="s">
        <v>43247</v>
      </c>
      <c r="X11765" t="s">
        <v>46581</v>
      </c>
    </row>
    <row r="11766" spans="1:24">
      <c r="A11766">
        <f>HYPERLINK("https://www.philgeps.gov.ph/GEPSNONPILOT/Tender/SplashBidNoticeAbstractUI.aspx?menuIndex=3&amp;refID=7044726&amp;Result=3","7044726")</f>
        <v>0</v>
      </c>
      <c r="B11766" t="s">
        <v>3098</v>
      </c>
      <c r="C11766" t="s">
        <v>14687</v>
      </c>
      <c r="D11766" t="s">
        <v>18788</v>
      </c>
      <c r="E11766" t="s">
        <v>29011</v>
      </c>
      <c r="F11766" t="s">
        <v>32664</v>
      </c>
      <c r="G11766" t="s">
        <v>32672</v>
      </c>
      <c r="H11766" t="s">
        <v>32683</v>
      </c>
      <c r="I11766" t="s">
        <v>10627</v>
      </c>
      <c r="J11766" t="s">
        <v>39772</v>
      </c>
      <c r="K11766" t="s">
        <v>42369</v>
      </c>
      <c r="M11766" t="s">
        <v>45986</v>
      </c>
      <c r="N11766" t="s">
        <v>46569</v>
      </c>
      <c r="O11766" t="s">
        <v>46570</v>
      </c>
      <c r="P11766">
        <v>0</v>
      </c>
      <c r="Q11766">
        <v>0</v>
      </c>
      <c r="R11766" t="s">
        <v>46580</v>
      </c>
      <c r="S11766" t="s">
        <v>46986</v>
      </c>
      <c r="T11766" t="s">
        <v>48236</v>
      </c>
      <c r="U11766" t="s">
        <v>58215</v>
      </c>
      <c r="W11766" t="s">
        <v>63585</v>
      </c>
      <c r="X11766" t="s">
        <v>46581</v>
      </c>
    </row>
    <row r="11767" spans="1:24">
      <c r="A11767">
        <f>HYPERLINK("https://www.philgeps.gov.ph/GEPSNONPILOT/Tender/SplashBidNoticeAbstractUI.aspx?menuIndex=3&amp;refID=7044722&amp;Result=3","7044722")</f>
        <v>0</v>
      </c>
      <c r="B11767" t="s">
        <v>3099</v>
      </c>
      <c r="C11767" t="s">
        <v>14688</v>
      </c>
      <c r="D11767" t="s">
        <v>18837</v>
      </c>
      <c r="E11767" t="s">
        <v>29012</v>
      </c>
      <c r="F11767" t="s">
        <v>32664</v>
      </c>
      <c r="G11767" t="s">
        <v>32672</v>
      </c>
      <c r="H11767" t="s">
        <v>12635</v>
      </c>
      <c r="I11767" t="s">
        <v>32699</v>
      </c>
      <c r="J11767" t="s">
        <v>39495</v>
      </c>
      <c r="K11767" t="s">
        <v>42471</v>
      </c>
      <c r="M11767" t="s">
        <v>45987</v>
      </c>
      <c r="N11767" t="s">
        <v>46569</v>
      </c>
      <c r="O11767" t="s">
        <v>46570</v>
      </c>
      <c r="P11767">
        <v>0</v>
      </c>
      <c r="Q11767">
        <v>2</v>
      </c>
      <c r="R11767" t="s">
        <v>46580</v>
      </c>
      <c r="S11767" t="s">
        <v>46986</v>
      </c>
      <c r="T11767" t="s">
        <v>48284</v>
      </c>
      <c r="U11767" t="s">
        <v>58216</v>
      </c>
      <c r="W11767" t="s">
        <v>45987</v>
      </c>
      <c r="X11767" t="s">
        <v>46581</v>
      </c>
    </row>
    <row r="11768" spans="1:24">
      <c r="A11768">
        <f>HYPERLINK("https://www.philgeps.gov.ph/GEPSNONPILOT/Tender/SplashBidNoticeAbstractUI.aspx?menuIndex=3&amp;refID=7044738&amp;Result=3","7044738")</f>
        <v>0</v>
      </c>
      <c r="B11768" t="s">
        <v>3100</v>
      </c>
      <c r="C11768" t="s">
        <v>14689</v>
      </c>
      <c r="D11768" t="s">
        <v>18807</v>
      </c>
      <c r="E11768" t="s">
        <v>18926</v>
      </c>
      <c r="F11768" t="s">
        <v>32664</v>
      </c>
      <c r="G11768" t="s">
        <v>32672</v>
      </c>
      <c r="H11768" t="s">
        <v>32683</v>
      </c>
      <c r="I11768" t="s">
        <v>10627</v>
      </c>
      <c r="J11768" t="s">
        <v>32962</v>
      </c>
      <c r="K11768" t="s">
        <v>42290</v>
      </c>
      <c r="M11768" t="s">
        <v>45988</v>
      </c>
      <c r="N11768" t="s">
        <v>46569</v>
      </c>
      <c r="O11768" t="s">
        <v>46570</v>
      </c>
      <c r="P11768">
        <v>0</v>
      </c>
      <c r="Q11768">
        <v>0</v>
      </c>
      <c r="R11768" t="s">
        <v>46580</v>
      </c>
      <c r="S11768" t="s">
        <v>46986</v>
      </c>
      <c r="T11768" t="s">
        <v>48223</v>
      </c>
      <c r="U11768" t="s">
        <v>58217</v>
      </c>
      <c r="W11768" t="s">
        <v>45988</v>
      </c>
      <c r="X11768" t="s">
        <v>46581</v>
      </c>
    </row>
    <row r="11769" spans="1:24">
      <c r="A11769">
        <f>HYPERLINK("https://www.philgeps.gov.ph/GEPSNONPILOT/Tender/SplashBidNoticeAbstractUI.aspx?menuIndex=3&amp;refID=7044707&amp;Result=3","7044707")</f>
        <v>0</v>
      </c>
      <c r="B11769" t="s">
        <v>582</v>
      </c>
      <c r="C11769" t="s">
        <v>14690</v>
      </c>
      <c r="E11769" t="s">
        <v>29013</v>
      </c>
      <c r="F11769" t="s">
        <v>32664</v>
      </c>
      <c r="G11769" t="s">
        <v>32672</v>
      </c>
      <c r="H11769" t="s">
        <v>12635</v>
      </c>
      <c r="I11769" t="s">
        <v>4439</v>
      </c>
      <c r="J11769" t="s">
        <v>39773</v>
      </c>
      <c r="K11769" t="s">
        <v>42303</v>
      </c>
      <c r="M11769" t="s">
        <v>43162</v>
      </c>
      <c r="N11769" t="s">
        <v>46569</v>
      </c>
      <c r="O11769" t="s">
        <v>46570</v>
      </c>
      <c r="P11769">
        <v>0</v>
      </c>
      <c r="Q11769">
        <v>2</v>
      </c>
      <c r="R11769" t="s">
        <v>46580</v>
      </c>
      <c r="S11769" t="s">
        <v>46986</v>
      </c>
      <c r="T11769" t="s">
        <v>48313</v>
      </c>
      <c r="U11769" t="s">
        <v>49844</v>
      </c>
      <c r="V11769" t="s">
        <v>62906</v>
      </c>
      <c r="W11769" t="s">
        <v>43162</v>
      </c>
      <c r="X11769" t="s">
        <v>46581</v>
      </c>
    </row>
    <row r="11770" spans="1:24">
      <c r="A11770">
        <f>HYPERLINK("https://www.philgeps.gov.ph/GEPSNONPILOT/Tender/SplashBidNoticeAbstractUI.aspx?menuIndex=3&amp;refID=7044687&amp;Result=3","7044687")</f>
        <v>0</v>
      </c>
      <c r="B11770" t="s">
        <v>1497</v>
      </c>
      <c r="C11770" t="s">
        <v>14691</v>
      </c>
      <c r="D11770" t="s">
        <v>18785</v>
      </c>
      <c r="E11770" t="s">
        <v>29014</v>
      </c>
      <c r="F11770" t="s">
        <v>32664</v>
      </c>
      <c r="G11770" t="s">
        <v>32672</v>
      </c>
      <c r="H11770" t="s">
        <v>32683</v>
      </c>
      <c r="I11770" t="s">
        <v>32716</v>
      </c>
      <c r="J11770" t="s">
        <v>39774</v>
      </c>
      <c r="K11770" t="s">
        <v>42311</v>
      </c>
      <c r="M11770" t="s">
        <v>44161</v>
      </c>
      <c r="N11770" t="s">
        <v>46569</v>
      </c>
      <c r="O11770" t="s">
        <v>46570</v>
      </c>
      <c r="P11770">
        <v>0</v>
      </c>
      <c r="Q11770">
        <v>9</v>
      </c>
      <c r="R11770" t="s">
        <v>46580</v>
      </c>
      <c r="S11770" t="s">
        <v>46986</v>
      </c>
      <c r="T11770" t="s">
        <v>48212</v>
      </c>
      <c r="U11770" t="s">
        <v>52151</v>
      </c>
      <c r="W11770" t="s">
        <v>44161</v>
      </c>
      <c r="X11770" t="s">
        <v>46581</v>
      </c>
    </row>
    <row r="11771" spans="1:24">
      <c r="A11771">
        <f>HYPERLINK("https://www.philgeps.gov.ph/GEPSNONPILOT/Tender/SplashBidNoticeAbstractUI.aspx?menuIndex=3&amp;refID=7044708&amp;Result=3","7044708")</f>
        <v>0</v>
      </c>
      <c r="B11771" t="s">
        <v>660</v>
      </c>
      <c r="C11771" t="s">
        <v>14692</v>
      </c>
      <c r="D11771" t="s">
        <v>18855</v>
      </c>
      <c r="E11771" t="s">
        <v>29015</v>
      </c>
      <c r="F11771" t="s">
        <v>32664</v>
      </c>
      <c r="G11771" t="s">
        <v>32672</v>
      </c>
      <c r="H11771" t="s">
        <v>32683</v>
      </c>
      <c r="I11771" t="s">
        <v>10627</v>
      </c>
      <c r="J11771" t="s">
        <v>32930</v>
      </c>
      <c r="K11771" t="s">
        <v>42283</v>
      </c>
      <c r="M11771" t="s">
        <v>43247</v>
      </c>
      <c r="N11771" t="s">
        <v>46569</v>
      </c>
      <c r="O11771" t="s">
        <v>46570</v>
      </c>
      <c r="P11771">
        <v>0</v>
      </c>
      <c r="Q11771">
        <v>1</v>
      </c>
      <c r="R11771" t="s">
        <v>46580</v>
      </c>
      <c r="S11771" t="s">
        <v>46986</v>
      </c>
      <c r="T11771" t="s">
        <v>48303</v>
      </c>
      <c r="U11771" t="s">
        <v>58194</v>
      </c>
      <c r="W11771" t="s">
        <v>43247</v>
      </c>
      <c r="X11771" t="s">
        <v>46581</v>
      </c>
    </row>
    <row r="11772" spans="1:24">
      <c r="A11772">
        <f>HYPERLINK("https://www.philgeps.gov.ph/GEPSNONPILOT/Tender/SplashBidNoticeAbstractUI.aspx?menuIndex=3&amp;refID=7044563&amp;Result=3","7044563")</f>
        <v>0</v>
      </c>
      <c r="B11772" t="s">
        <v>3095</v>
      </c>
      <c r="C11772" t="s">
        <v>14693</v>
      </c>
      <c r="D11772" t="s">
        <v>18817</v>
      </c>
      <c r="E11772" t="s">
        <v>24596</v>
      </c>
      <c r="F11772" t="s">
        <v>32664</v>
      </c>
      <c r="G11772" t="s">
        <v>32672</v>
      </c>
      <c r="H11772" t="s">
        <v>12635</v>
      </c>
      <c r="I11772" t="s">
        <v>32704</v>
      </c>
      <c r="J11772" t="s">
        <v>32981</v>
      </c>
      <c r="K11772" t="s">
        <v>42290</v>
      </c>
      <c r="M11772" t="s">
        <v>45983</v>
      </c>
      <c r="N11772" t="s">
        <v>46569</v>
      </c>
      <c r="O11772" t="s">
        <v>46570</v>
      </c>
      <c r="P11772">
        <v>0</v>
      </c>
      <c r="Q11772">
        <v>24</v>
      </c>
      <c r="R11772" t="s">
        <v>46580</v>
      </c>
      <c r="S11772" t="s">
        <v>46986</v>
      </c>
      <c r="T11772" t="s">
        <v>48453</v>
      </c>
      <c r="U11772" t="s">
        <v>58218</v>
      </c>
      <c r="V11772" t="s">
        <v>62907</v>
      </c>
      <c r="W11772" t="s">
        <v>45983</v>
      </c>
      <c r="X11772" t="s">
        <v>46581</v>
      </c>
    </row>
    <row r="11773" spans="1:24">
      <c r="A11773">
        <f>HYPERLINK("https://www.philgeps.gov.ph/GEPSNONPILOT/Tender/SplashBidNoticeAbstractUI.aspx?menuIndex=3&amp;refID=7044598&amp;Result=3","7044598")</f>
        <v>0</v>
      </c>
      <c r="B11773" t="s">
        <v>162</v>
      </c>
      <c r="C11773" t="s">
        <v>14694</v>
      </c>
      <c r="D11773" t="s">
        <v>18788</v>
      </c>
      <c r="E11773" t="s">
        <v>29016</v>
      </c>
      <c r="F11773" t="s">
        <v>32664</v>
      </c>
      <c r="G11773" t="s">
        <v>32672</v>
      </c>
      <c r="H11773" t="s">
        <v>12635</v>
      </c>
      <c r="I11773" t="s">
        <v>4439</v>
      </c>
      <c r="J11773" t="s">
        <v>39775</v>
      </c>
      <c r="K11773" t="s">
        <v>42289</v>
      </c>
      <c r="M11773" t="s">
        <v>42726</v>
      </c>
      <c r="N11773" t="s">
        <v>46569</v>
      </c>
      <c r="O11773" t="s">
        <v>46570</v>
      </c>
      <c r="P11773">
        <v>0</v>
      </c>
      <c r="Q11773">
        <v>0</v>
      </c>
      <c r="R11773" t="s">
        <v>46580</v>
      </c>
      <c r="S11773" t="s">
        <v>46986</v>
      </c>
      <c r="T11773" t="s">
        <v>48293</v>
      </c>
      <c r="U11773" t="s">
        <v>58219</v>
      </c>
      <c r="W11773" t="s">
        <v>42726</v>
      </c>
      <c r="X11773" t="s">
        <v>46581</v>
      </c>
    </row>
    <row r="11774" spans="1:24">
      <c r="A11774">
        <f>HYPERLINK("https://www.philgeps.gov.ph/GEPSNONPILOT/Tender/SplashBidNoticeAbstractUI.aspx?menuIndex=3&amp;refID=7044592&amp;Result=3","7044592")</f>
        <v>0</v>
      </c>
      <c r="B11774" t="s">
        <v>2092</v>
      </c>
      <c r="C11774" t="s">
        <v>14695</v>
      </c>
      <c r="D11774" t="s">
        <v>18784</v>
      </c>
      <c r="E11774" t="s">
        <v>29017</v>
      </c>
      <c r="F11774" t="s">
        <v>32664</v>
      </c>
      <c r="G11774" t="s">
        <v>32672</v>
      </c>
      <c r="H11774" t="s">
        <v>12635</v>
      </c>
      <c r="I11774" t="s">
        <v>6223</v>
      </c>
      <c r="J11774" t="s">
        <v>32859</v>
      </c>
      <c r="K11774" t="s">
        <v>42330</v>
      </c>
      <c r="M11774" t="s">
        <v>44847</v>
      </c>
      <c r="N11774" t="s">
        <v>46569</v>
      </c>
      <c r="O11774" t="s">
        <v>46570</v>
      </c>
      <c r="P11774">
        <v>0</v>
      </c>
      <c r="Q11774">
        <v>3</v>
      </c>
      <c r="R11774" t="s">
        <v>46580</v>
      </c>
      <c r="S11774" t="s">
        <v>46986</v>
      </c>
      <c r="T11774" t="s">
        <v>48297</v>
      </c>
      <c r="U11774" t="s">
        <v>58220</v>
      </c>
      <c r="W11774" t="s">
        <v>44847</v>
      </c>
      <c r="X11774" t="s">
        <v>46581</v>
      </c>
    </row>
    <row r="11775" spans="1:24">
      <c r="A11775">
        <f>HYPERLINK("https://www.philgeps.gov.ph/GEPSNONPILOT/Tender/SplashBidNoticeAbstractUI.aspx?menuIndex=3&amp;refID=7044715&amp;Result=3","7044715")</f>
        <v>0</v>
      </c>
      <c r="B11775" t="s">
        <v>610</v>
      </c>
      <c r="C11775" t="s">
        <v>14696</v>
      </c>
      <c r="D11775" t="s">
        <v>18805</v>
      </c>
      <c r="E11775" t="s">
        <v>29018</v>
      </c>
      <c r="F11775" t="s">
        <v>32664</v>
      </c>
      <c r="G11775" t="s">
        <v>32672</v>
      </c>
      <c r="H11775" t="s">
        <v>12635</v>
      </c>
      <c r="I11775" t="s">
        <v>10627</v>
      </c>
      <c r="J11775" t="s">
        <v>39776</v>
      </c>
      <c r="K11775" t="s">
        <v>42283</v>
      </c>
      <c r="M11775" t="s">
        <v>43190</v>
      </c>
      <c r="N11775" t="s">
        <v>46569</v>
      </c>
      <c r="O11775" t="s">
        <v>46570</v>
      </c>
      <c r="P11775">
        <v>0</v>
      </c>
      <c r="Q11775">
        <v>3</v>
      </c>
      <c r="R11775" t="s">
        <v>46580</v>
      </c>
      <c r="S11775" t="s">
        <v>46986</v>
      </c>
      <c r="T11775" t="s">
        <v>48284</v>
      </c>
      <c r="U11775" t="s">
        <v>58221</v>
      </c>
      <c r="W11775" t="s">
        <v>43190</v>
      </c>
      <c r="X11775" t="s">
        <v>46581</v>
      </c>
    </row>
    <row r="11776" spans="1:24">
      <c r="A11776">
        <f>HYPERLINK("https://www.philgeps.gov.ph/GEPSNONPILOT/Tender/SplashBidNoticeAbstractUI.aspx?menuIndex=3&amp;refID=7044734&amp;Result=3","7044734")</f>
        <v>0</v>
      </c>
      <c r="B11776" t="s">
        <v>460</v>
      </c>
      <c r="C11776" t="s">
        <v>14697</v>
      </c>
      <c r="D11776" t="s">
        <v>18806</v>
      </c>
      <c r="E11776" t="s">
        <v>29019</v>
      </c>
      <c r="F11776" t="s">
        <v>32664</v>
      </c>
      <c r="G11776" t="s">
        <v>32672</v>
      </c>
      <c r="H11776" t="s">
        <v>12635</v>
      </c>
      <c r="I11776" t="s">
        <v>32685</v>
      </c>
      <c r="J11776" t="s">
        <v>39777</v>
      </c>
      <c r="K11776" t="s">
        <v>42330</v>
      </c>
      <c r="M11776" t="s">
        <v>44571</v>
      </c>
      <c r="N11776" t="s">
        <v>46569</v>
      </c>
      <c r="O11776" t="s">
        <v>46570</v>
      </c>
      <c r="P11776">
        <v>0</v>
      </c>
      <c r="Q11776">
        <v>1</v>
      </c>
      <c r="R11776" t="s">
        <v>46580</v>
      </c>
      <c r="S11776" t="s">
        <v>46986</v>
      </c>
      <c r="T11776" t="s">
        <v>48285</v>
      </c>
      <c r="U11776" t="s">
        <v>58222</v>
      </c>
      <c r="V11776" t="s">
        <v>61668</v>
      </c>
      <c r="W11776" t="s">
        <v>44571</v>
      </c>
      <c r="X11776" t="s">
        <v>46581</v>
      </c>
    </row>
    <row r="11777" spans="1:24">
      <c r="A11777">
        <f>HYPERLINK("https://www.philgeps.gov.ph/GEPSNONPILOT/Tender/SplashBidNoticeAbstractUI.aspx?menuIndex=3&amp;refID=7044579&amp;Result=3","7044579")</f>
        <v>0</v>
      </c>
      <c r="B11777" t="s">
        <v>79</v>
      </c>
      <c r="C11777" t="s">
        <v>14698</v>
      </c>
      <c r="E11777" t="s">
        <v>29020</v>
      </c>
      <c r="F11777" t="s">
        <v>32664</v>
      </c>
      <c r="G11777" t="s">
        <v>32672</v>
      </c>
      <c r="H11777" t="s">
        <v>32683</v>
      </c>
      <c r="I11777" t="s">
        <v>10627</v>
      </c>
      <c r="J11777" t="s">
        <v>39778</v>
      </c>
      <c r="K11777" t="s">
        <v>42298</v>
      </c>
      <c r="M11777" t="s">
        <v>42642</v>
      </c>
      <c r="N11777" t="s">
        <v>46569</v>
      </c>
      <c r="O11777" t="s">
        <v>46570</v>
      </c>
      <c r="P11777">
        <v>0</v>
      </c>
      <c r="Q11777">
        <v>0</v>
      </c>
      <c r="R11777" t="s">
        <v>46580</v>
      </c>
      <c r="S11777" t="s">
        <v>46986</v>
      </c>
      <c r="T11777" t="s">
        <v>48284</v>
      </c>
      <c r="U11777" t="s">
        <v>58223</v>
      </c>
      <c r="W11777" t="s">
        <v>42642</v>
      </c>
      <c r="X11777" t="s">
        <v>46581</v>
      </c>
    </row>
    <row r="11778" spans="1:24">
      <c r="A11778">
        <f>HYPERLINK("https://www.philgeps.gov.ph/GEPSNONPILOT/Tender/SplashBidNoticeAbstractUI.aspx?menuIndex=3&amp;refID=7044779&amp;Result=3","7044779")</f>
        <v>0</v>
      </c>
      <c r="B11778" t="s">
        <v>2746</v>
      </c>
      <c r="C11778" t="s">
        <v>14699</v>
      </c>
      <c r="D11778" t="s">
        <v>18784</v>
      </c>
      <c r="E11778" t="s">
        <v>29021</v>
      </c>
      <c r="F11778" t="s">
        <v>32664</v>
      </c>
      <c r="G11778" t="s">
        <v>32672</v>
      </c>
      <c r="H11778" t="s">
        <v>12635</v>
      </c>
      <c r="I11778" t="s">
        <v>9597</v>
      </c>
      <c r="J11778" t="s">
        <v>32981</v>
      </c>
      <c r="K11778" t="s">
        <v>42281</v>
      </c>
      <c r="M11778" t="s">
        <v>45580</v>
      </c>
      <c r="N11778" t="s">
        <v>46569</v>
      </c>
      <c r="O11778" t="s">
        <v>46570</v>
      </c>
      <c r="P11778">
        <v>0</v>
      </c>
      <c r="Q11778">
        <v>10</v>
      </c>
      <c r="R11778" t="s">
        <v>46580</v>
      </c>
      <c r="S11778" t="s">
        <v>46986</v>
      </c>
      <c r="T11778" t="s">
        <v>48693</v>
      </c>
      <c r="U11778" t="s">
        <v>58224</v>
      </c>
      <c r="V11778" t="s">
        <v>62903</v>
      </c>
      <c r="W11778" t="s">
        <v>45580</v>
      </c>
      <c r="X11778" t="s">
        <v>46581</v>
      </c>
    </row>
    <row r="11779" spans="1:24">
      <c r="A11779">
        <f>HYPERLINK("https://www.philgeps.gov.ph/GEPSNONPILOT/Tender/SplashBidNoticeAbstractUI.aspx?menuIndex=3&amp;refID=7044577&amp;Result=3","7044577")</f>
        <v>0</v>
      </c>
      <c r="B11779" t="s">
        <v>660</v>
      </c>
      <c r="C11779" t="s">
        <v>14700</v>
      </c>
      <c r="D11779" t="s">
        <v>18855</v>
      </c>
      <c r="E11779" t="s">
        <v>29022</v>
      </c>
      <c r="F11779" t="s">
        <v>32664</v>
      </c>
      <c r="G11779" t="s">
        <v>32672</v>
      </c>
      <c r="H11779" t="s">
        <v>32683</v>
      </c>
      <c r="I11779" t="s">
        <v>10627</v>
      </c>
      <c r="J11779" t="s">
        <v>32930</v>
      </c>
      <c r="K11779" t="s">
        <v>42283</v>
      </c>
      <c r="M11779" t="s">
        <v>43247</v>
      </c>
      <c r="N11779" t="s">
        <v>46569</v>
      </c>
      <c r="O11779" t="s">
        <v>46570</v>
      </c>
      <c r="P11779">
        <v>0</v>
      </c>
      <c r="Q11779">
        <v>1</v>
      </c>
      <c r="R11779" t="s">
        <v>46580</v>
      </c>
      <c r="S11779" t="s">
        <v>46986</v>
      </c>
      <c r="T11779" t="s">
        <v>48303</v>
      </c>
      <c r="U11779" t="s">
        <v>58194</v>
      </c>
      <c r="W11779" t="s">
        <v>43247</v>
      </c>
      <c r="X11779" t="s">
        <v>46581</v>
      </c>
    </row>
    <row r="11780" spans="1:24">
      <c r="A11780">
        <f>HYPERLINK("https://www.philgeps.gov.ph/GEPSNONPILOT/Tender/SplashBidNoticeAbstractUI.aspx?menuIndex=3&amp;refID=7044584&amp;Result=3","7044584")</f>
        <v>0</v>
      </c>
      <c r="B11780" t="s">
        <v>616</v>
      </c>
      <c r="C11780" t="s">
        <v>14701</v>
      </c>
      <c r="D11780" t="s">
        <v>18841</v>
      </c>
      <c r="E11780" t="s">
        <v>29023</v>
      </c>
      <c r="F11780" t="s">
        <v>32664</v>
      </c>
      <c r="G11780" t="s">
        <v>32672</v>
      </c>
      <c r="H11780" t="s">
        <v>12635</v>
      </c>
      <c r="I11780" t="s">
        <v>4439</v>
      </c>
      <c r="J11780" t="s">
        <v>39779</v>
      </c>
      <c r="K11780" t="s">
        <v>42330</v>
      </c>
      <c r="M11780" t="s">
        <v>43196</v>
      </c>
      <c r="N11780" t="s">
        <v>46569</v>
      </c>
      <c r="O11780" t="s">
        <v>46570</v>
      </c>
      <c r="P11780">
        <v>0</v>
      </c>
      <c r="Q11780">
        <v>1</v>
      </c>
      <c r="R11780" t="s">
        <v>46580</v>
      </c>
      <c r="S11780" t="s">
        <v>46986</v>
      </c>
      <c r="T11780" t="s">
        <v>48290</v>
      </c>
      <c r="U11780" t="s">
        <v>58225</v>
      </c>
      <c r="W11780" t="s">
        <v>43196</v>
      </c>
      <c r="X11780" t="s">
        <v>46581</v>
      </c>
    </row>
    <row r="11781" spans="1:24">
      <c r="A11781">
        <f>HYPERLINK("https://www.philgeps.gov.ph/GEPSNONPILOT/Tender/SplashBidNoticeAbstractUI.aspx?menuIndex=3&amp;refID=7044934&amp;Result=3","7044934")</f>
        <v>0</v>
      </c>
      <c r="B11781" t="s">
        <v>1966</v>
      </c>
      <c r="C11781" t="s">
        <v>4254</v>
      </c>
      <c r="D11781" t="s">
        <v>18782</v>
      </c>
      <c r="E11781" t="s">
        <v>29024</v>
      </c>
      <c r="F11781" t="s">
        <v>32664</v>
      </c>
      <c r="G11781" t="s">
        <v>32672</v>
      </c>
      <c r="H11781" t="s">
        <v>12635</v>
      </c>
      <c r="I11781" t="s">
        <v>8730</v>
      </c>
      <c r="J11781" t="s">
        <v>37582</v>
      </c>
      <c r="K11781" t="s">
        <v>42297</v>
      </c>
      <c r="M11781" t="s">
        <v>44698</v>
      </c>
      <c r="N11781" t="s">
        <v>46569</v>
      </c>
      <c r="O11781" t="s">
        <v>46570</v>
      </c>
      <c r="P11781">
        <v>0</v>
      </c>
      <c r="Q11781">
        <v>0</v>
      </c>
      <c r="R11781" t="s">
        <v>46580</v>
      </c>
      <c r="S11781" t="s">
        <v>46986</v>
      </c>
      <c r="T11781" t="s">
        <v>48212</v>
      </c>
      <c r="U11781" t="s">
        <v>58226</v>
      </c>
      <c r="W11781" t="s">
        <v>44698</v>
      </c>
      <c r="X11781" t="s">
        <v>46581</v>
      </c>
    </row>
    <row r="11782" spans="1:24">
      <c r="A11782">
        <f>HYPERLINK("https://www.philgeps.gov.ph/GEPSNONPILOT/Tender/SplashBidNoticeAbstractUI.aspx?menuIndex=3&amp;refID=7044932&amp;Result=3","7044932")</f>
        <v>0</v>
      </c>
      <c r="B11782" t="s">
        <v>2746</v>
      </c>
      <c r="C11782" t="s">
        <v>14702</v>
      </c>
      <c r="D11782" t="s">
        <v>18784</v>
      </c>
      <c r="E11782" t="s">
        <v>25591</v>
      </c>
      <c r="F11782" t="s">
        <v>32664</v>
      </c>
      <c r="G11782" t="s">
        <v>32672</v>
      </c>
      <c r="H11782" t="s">
        <v>12635</v>
      </c>
      <c r="I11782" t="s">
        <v>32750</v>
      </c>
      <c r="J11782" t="s">
        <v>39780</v>
      </c>
      <c r="K11782" t="s">
        <v>42281</v>
      </c>
      <c r="M11782" t="s">
        <v>45580</v>
      </c>
      <c r="N11782" t="s">
        <v>46569</v>
      </c>
      <c r="O11782" t="s">
        <v>46570</v>
      </c>
      <c r="P11782">
        <v>0</v>
      </c>
      <c r="Q11782">
        <v>1</v>
      </c>
      <c r="R11782" t="s">
        <v>46580</v>
      </c>
      <c r="S11782" t="s">
        <v>46986</v>
      </c>
      <c r="T11782" t="s">
        <v>48693</v>
      </c>
      <c r="U11782" t="s">
        <v>58227</v>
      </c>
      <c r="V11782" t="s">
        <v>62903</v>
      </c>
      <c r="W11782" t="s">
        <v>45580</v>
      </c>
      <c r="X11782" t="s">
        <v>46581</v>
      </c>
    </row>
    <row r="11783" spans="1:24">
      <c r="A11783">
        <f>HYPERLINK("https://www.philgeps.gov.ph/GEPSNONPILOT/Tender/SplashBidNoticeAbstractUI.aspx?menuIndex=3&amp;refID=7042427&amp;Result=3","7042427")</f>
        <v>0</v>
      </c>
      <c r="B11783" t="s">
        <v>47</v>
      </c>
      <c r="C11783" t="s">
        <v>14703</v>
      </c>
      <c r="D11783" t="s">
        <v>18797</v>
      </c>
      <c r="E11783" t="s">
        <v>20314</v>
      </c>
      <c r="F11783" t="s">
        <v>32664</v>
      </c>
      <c r="G11783" t="s">
        <v>32672</v>
      </c>
      <c r="H11783" t="s">
        <v>12635</v>
      </c>
      <c r="I11783" t="s">
        <v>8730</v>
      </c>
      <c r="J11783" t="s">
        <v>39781</v>
      </c>
      <c r="K11783" t="s">
        <v>42289</v>
      </c>
      <c r="M11783" t="s">
        <v>42609</v>
      </c>
      <c r="N11783" t="s">
        <v>46569</v>
      </c>
      <c r="O11783" t="s">
        <v>46570</v>
      </c>
      <c r="P11783">
        <v>0</v>
      </c>
      <c r="Q11783">
        <v>7</v>
      </c>
      <c r="R11783" t="s">
        <v>46580</v>
      </c>
      <c r="S11783" t="s">
        <v>46986</v>
      </c>
      <c r="T11783" t="s">
        <v>48284</v>
      </c>
      <c r="U11783" t="s">
        <v>58228</v>
      </c>
      <c r="W11783" t="s">
        <v>42609</v>
      </c>
      <c r="X11783" t="s">
        <v>46585</v>
      </c>
    </row>
    <row r="11784" spans="1:24">
      <c r="A11784">
        <f>HYPERLINK("https://www.philgeps.gov.ph/GEPSNONPILOT/Tender/SplashBidNoticeAbstractUI.aspx?menuIndex=3&amp;refID=7044704&amp;Result=3","7044704")</f>
        <v>0</v>
      </c>
      <c r="B11784" t="s">
        <v>438</v>
      </c>
      <c r="C11784" t="s">
        <v>14704</v>
      </c>
      <c r="D11784" t="s">
        <v>18855</v>
      </c>
      <c r="E11784" t="s">
        <v>29008</v>
      </c>
      <c r="F11784" t="s">
        <v>32664</v>
      </c>
      <c r="G11784" t="s">
        <v>32674</v>
      </c>
      <c r="H11784" t="s">
        <v>12635</v>
      </c>
      <c r="I11784" t="s">
        <v>32706</v>
      </c>
      <c r="J11784" t="s">
        <v>39537</v>
      </c>
      <c r="K11784" t="s">
        <v>42289</v>
      </c>
      <c r="M11784" t="s">
        <v>43010</v>
      </c>
      <c r="N11784" t="s">
        <v>46569</v>
      </c>
      <c r="O11784" t="s">
        <v>46570</v>
      </c>
      <c r="P11784">
        <v>0</v>
      </c>
      <c r="Q11784">
        <v>0</v>
      </c>
      <c r="R11784" t="s">
        <v>46580</v>
      </c>
      <c r="S11784" t="s">
        <v>46986</v>
      </c>
      <c r="T11784" t="s">
        <v>48221</v>
      </c>
      <c r="U11784" t="s">
        <v>58229</v>
      </c>
      <c r="W11784" t="s">
        <v>43010</v>
      </c>
      <c r="X11784" t="s">
        <v>46581</v>
      </c>
    </row>
    <row r="11785" spans="1:24">
      <c r="A11785">
        <f>HYPERLINK("https://www.philgeps.gov.ph/GEPSNONPILOT/Tender/SplashBidNoticeAbstractUI.aspx?menuIndex=3&amp;refID=7044939&amp;Result=3","7044939")</f>
        <v>0</v>
      </c>
      <c r="B11785" t="s">
        <v>3101</v>
      </c>
      <c r="C11785" t="s">
        <v>14705</v>
      </c>
      <c r="D11785" t="s">
        <v>18783</v>
      </c>
      <c r="E11785" t="s">
        <v>29025</v>
      </c>
      <c r="F11785" t="s">
        <v>32664</v>
      </c>
      <c r="G11785" t="s">
        <v>32672</v>
      </c>
      <c r="H11785" t="s">
        <v>32683</v>
      </c>
      <c r="I11785" t="s">
        <v>10627</v>
      </c>
      <c r="J11785" t="s">
        <v>39782</v>
      </c>
      <c r="K11785" t="s">
        <v>42301</v>
      </c>
      <c r="M11785" t="s">
        <v>45989</v>
      </c>
      <c r="N11785" t="s">
        <v>46569</v>
      </c>
      <c r="O11785" t="s">
        <v>46570</v>
      </c>
      <c r="Q11785">
        <v>6</v>
      </c>
      <c r="R11785" t="s">
        <v>46580</v>
      </c>
      <c r="S11785" t="s">
        <v>46990</v>
      </c>
      <c r="T11785" t="s">
        <v>48284</v>
      </c>
      <c r="U11785" t="s">
        <v>58230</v>
      </c>
      <c r="W11785" t="s">
        <v>45989</v>
      </c>
      <c r="X11785" t="s">
        <v>46581</v>
      </c>
    </row>
    <row r="11786" spans="1:24">
      <c r="A11786">
        <f>HYPERLINK("https://www.philgeps.gov.ph/GEPSNONPILOT/Tender/SplashBidNoticeAbstractUI.aspx?menuIndex=3&amp;refID=7044931&amp;Result=3","7044931")</f>
        <v>0</v>
      </c>
      <c r="B11786" t="s">
        <v>3100</v>
      </c>
      <c r="C11786" t="s">
        <v>14689</v>
      </c>
      <c r="D11786" t="s">
        <v>18807</v>
      </c>
      <c r="E11786" t="s">
        <v>19202</v>
      </c>
      <c r="F11786" t="s">
        <v>32664</v>
      </c>
      <c r="G11786" t="s">
        <v>32672</v>
      </c>
      <c r="H11786" t="s">
        <v>32683</v>
      </c>
      <c r="I11786" t="s">
        <v>10627</v>
      </c>
      <c r="J11786" t="s">
        <v>33021</v>
      </c>
      <c r="K11786" t="s">
        <v>42284</v>
      </c>
      <c r="M11786" t="s">
        <v>45988</v>
      </c>
      <c r="N11786" t="s">
        <v>46569</v>
      </c>
      <c r="O11786" t="s">
        <v>46570</v>
      </c>
      <c r="P11786">
        <v>0</v>
      </c>
      <c r="Q11786">
        <v>0</v>
      </c>
      <c r="R11786" t="s">
        <v>46580</v>
      </c>
      <c r="S11786" t="s">
        <v>46986</v>
      </c>
      <c r="T11786" t="s">
        <v>48694</v>
      </c>
      <c r="U11786" t="s">
        <v>58231</v>
      </c>
      <c r="W11786" t="s">
        <v>45988</v>
      </c>
      <c r="X11786" t="s">
        <v>46581</v>
      </c>
    </row>
    <row r="11787" spans="1:24">
      <c r="A11787">
        <f>HYPERLINK("https://www.philgeps.gov.ph/GEPSNONPILOT/Tender/SplashBidNoticeAbstractUI.aspx?menuIndex=3&amp;refID=7044920&amp;Result=3","7044920")</f>
        <v>0</v>
      </c>
      <c r="B11787" t="s">
        <v>2150</v>
      </c>
      <c r="C11787" t="s">
        <v>14706</v>
      </c>
      <c r="D11787" t="s">
        <v>18851</v>
      </c>
      <c r="E11787" t="s">
        <v>29026</v>
      </c>
      <c r="F11787" t="s">
        <v>32664</v>
      </c>
      <c r="G11787" t="s">
        <v>32672</v>
      </c>
      <c r="H11787" t="s">
        <v>12635</v>
      </c>
      <c r="I11787" t="s">
        <v>6168</v>
      </c>
      <c r="J11787" t="s">
        <v>35188</v>
      </c>
      <c r="K11787" t="s">
        <v>42281</v>
      </c>
      <c r="M11787" t="s">
        <v>44906</v>
      </c>
      <c r="N11787" t="s">
        <v>46569</v>
      </c>
      <c r="O11787" t="s">
        <v>46570</v>
      </c>
      <c r="P11787">
        <v>0</v>
      </c>
      <c r="Q11787">
        <v>0</v>
      </c>
      <c r="R11787" t="s">
        <v>46580</v>
      </c>
      <c r="S11787" t="s">
        <v>46986</v>
      </c>
      <c r="T11787" t="s">
        <v>48212</v>
      </c>
      <c r="U11787" t="s">
        <v>58232</v>
      </c>
      <c r="W11787" t="s">
        <v>44906</v>
      </c>
      <c r="X11787" t="s">
        <v>46581</v>
      </c>
    </row>
    <row r="11788" spans="1:24">
      <c r="A11788">
        <f>HYPERLINK("https://www.philgeps.gov.ph/GEPSNONPILOT/Tender/SplashBidNoticeAbstractUI.aspx?menuIndex=3&amp;refID=7044918&amp;Result=3","7044918")</f>
        <v>0</v>
      </c>
      <c r="B11788" t="s">
        <v>3102</v>
      </c>
      <c r="C11788" t="s">
        <v>14707</v>
      </c>
      <c r="D11788" t="s">
        <v>18818</v>
      </c>
      <c r="E11788" t="s">
        <v>19137</v>
      </c>
      <c r="F11788" t="s">
        <v>32664</v>
      </c>
      <c r="G11788" t="s">
        <v>32672</v>
      </c>
      <c r="H11788" t="s">
        <v>12635</v>
      </c>
      <c r="I11788" t="s">
        <v>4439</v>
      </c>
      <c r="J11788" t="s">
        <v>34601</v>
      </c>
      <c r="K11788" t="s">
        <v>42281</v>
      </c>
      <c r="M11788" t="s">
        <v>45990</v>
      </c>
      <c r="N11788" t="s">
        <v>46569</v>
      </c>
      <c r="O11788" t="s">
        <v>46570</v>
      </c>
      <c r="P11788">
        <v>0</v>
      </c>
      <c r="Q11788">
        <v>0</v>
      </c>
      <c r="R11788" t="s">
        <v>46580</v>
      </c>
      <c r="S11788" t="s">
        <v>46986</v>
      </c>
      <c r="T11788" t="s">
        <v>48308</v>
      </c>
      <c r="U11788" t="s">
        <v>58233</v>
      </c>
      <c r="W11788" t="s">
        <v>45990</v>
      </c>
      <c r="X11788" t="s">
        <v>46581</v>
      </c>
    </row>
    <row r="11789" spans="1:24">
      <c r="A11789">
        <f>HYPERLINK("https://www.philgeps.gov.ph/GEPSNONPILOT/Tender/SplashBidNoticeAbstractUI.aspx?menuIndex=3&amp;refID=7044881&amp;Result=3","7044881")</f>
        <v>0</v>
      </c>
      <c r="B11789" t="s">
        <v>3042</v>
      </c>
      <c r="C11789" t="s">
        <v>14708</v>
      </c>
      <c r="D11789" t="s">
        <v>18840</v>
      </c>
      <c r="E11789" t="s">
        <v>29027</v>
      </c>
      <c r="F11789" t="s">
        <v>32664</v>
      </c>
      <c r="G11789" t="s">
        <v>32672</v>
      </c>
      <c r="H11789" t="s">
        <v>32683</v>
      </c>
      <c r="I11789" t="s">
        <v>10627</v>
      </c>
      <c r="J11789" t="s">
        <v>39783</v>
      </c>
      <c r="K11789" t="s">
        <v>42431</v>
      </c>
      <c r="M11789" t="s">
        <v>45915</v>
      </c>
      <c r="N11789" t="s">
        <v>46569</v>
      </c>
      <c r="O11789" t="s">
        <v>46570</v>
      </c>
      <c r="P11789">
        <v>0</v>
      </c>
      <c r="Q11789">
        <v>0</v>
      </c>
      <c r="R11789" t="s">
        <v>46580</v>
      </c>
      <c r="S11789" t="s">
        <v>46986</v>
      </c>
      <c r="T11789" t="s">
        <v>48248</v>
      </c>
      <c r="U11789" t="s">
        <v>58234</v>
      </c>
      <c r="V11789" t="s">
        <v>62846</v>
      </c>
      <c r="W11789" t="s">
        <v>45915</v>
      </c>
      <c r="X11789" t="s">
        <v>46581</v>
      </c>
    </row>
    <row r="11790" spans="1:24">
      <c r="A11790">
        <f>HYPERLINK("https://www.philgeps.gov.ph/GEPSNONPILOT/Tender/SplashBidNoticeAbstractUI.aspx?menuIndex=3&amp;refID=7044851&amp;Result=3","7044851")</f>
        <v>0</v>
      </c>
      <c r="B11790" t="s">
        <v>660</v>
      </c>
      <c r="C11790" t="s">
        <v>14709</v>
      </c>
      <c r="D11790" t="s">
        <v>18855</v>
      </c>
      <c r="E11790" t="s">
        <v>29028</v>
      </c>
      <c r="F11790" t="s">
        <v>32664</v>
      </c>
      <c r="G11790" t="s">
        <v>32672</v>
      </c>
      <c r="H11790" t="s">
        <v>32683</v>
      </c>
      <c r="I11790" t="s">
        <v>10627</v>
      </c>
      <c r="J11790" t="s">
        <v>37816</v>
      </c>
      <c r="K11790" t="s">
        <v>42283</v>
      </c>
      <c r="M11790" t="s">
        <v>43247</v>
      </c>
      <c r="N11790" t="s">
        <v>46569</v>
      </c>
      <c r="O11790" t="s">
        <v>46570</v>
      </c>
      <c r="P11790">
        <v>0</v>
      </c>
      <c r="Q11790">
        <v>1</v>
      </c>
      <c r="R11790" t="s">
        <v>46580</v>
      </c>
      <c r="S11790" t="s">
        <v>46986</v>
      </c>
      <c r="T11790" t="s">
        <v>48303</v>
      </c>
      <c r="U11790" t="s">
        <v>58194</v>
      </c>
      <c r="W11790" t="s">
        <v>43247</v>
      </c>
      <c r="X11790" t="s">
        <v>46581</v>
      </c>
    </row>
    <row r="11791" spans="1:24">
      <c r="A11791">
        <f>HYPERLINK("https://www.philgeps.gov.ph/GEPSNONPILOT/Tender/SplashBidNoticeAbstractUI.aspx?menuIndex=3&amp;refID=7044882&amp;Result=3","7044882")</f>
        <v>0</v>
      </c>
      <c r="B11791" t="s">
        <v>3100</v>
      </c>
      <c r="C11791" t="s">
        <v>14710</v>
      </c>
      <c r="D11791" t="s">
        <v>18807</v>
      </c>
      <c r="E11791" t="s">
        <v>21047</v>
      </c>
      <c r="F11791" t="s">
        <v>32664</v>
      </c>
      <c r="G11791" t="s">
        <v>32672</v>
      </c>
      <c r="H11791" t="s">
        <v>32683</v>
      </c>
      <c r="I11791" t="s">
        <v>10627</v>
      </c>
      <c r="J11791" t="s">
        <v>33876</v>
      </c>
      <c r="K11791" t="s">
        <v>42311</v>
      </c>
      <c r="M11791" t="s">
        <v>45988</v>
      </c>
      <c r="N11791" t="s">
        <v>46569</v>
      </c>
      <c r="O11791" t="s">
        <v>46570</v>
      </c>
      <c r="P11791">
        <v>0</v>
      </c>
      <c r="Q11791">
        <v>0</v>
      </c>
      <c r="R11791" t="s">
        <v>46580</v>
      </c>
      <c r="S11791" t="s">
        <v>46986</v>
      </c>
      <c r="T11791" t="s">
        <v>48223</v>
      </c>
      <c r="U11791" t="s">
        <v>58235</v>
      </c>
      <c r="W11791" t="s">
        <v>45988</v>
      </c>
      <c r="X11791" t="s">
        <v>46581</v>
      </c>
    </row>
    <row r="11792" spans="1:24">
      <c r="A11792">
        <f>HYPERLINK("https://www.philgeps.gov.ph/GEPSNONPILOT/Tender/SplashBidNoticeAbstractUI.aspx?menuIndex=3&amp;refID=7044843&amp;Result=3","7044843")</f>
        <v>0</v>
      </c>
      <c r="B11792" t="s">
        <v>3100</v>
      </c>
      <c r="C11792" t="s">
        <v>14689</v>
      </c>
      <c r="D11792" t="s">
        <v>18807</v>
      </c>
      <c r="E11792" t="s">
        <v>19681</v>
      </c>
      <c r="F11792" t="s">
        <v>32664</v>
      </c>
      <c r="G11792" t="s">
        <v>32672</v>
      </c>
      <c r="H11792" t="s">
        <v>32683</v>
      </c>
      <c r="I11792" t="s">
        <v>10627</v>
      </c>
      <c r="J11792" t="s">
        <v>32962</v>
      </c>
      <c r="K11792" t="s">
        <v>42284</v>
      </c>
      <c r="M11792" t="s">
        <v>45988</v>
      </c>
      <c r="N11792" t="s">
        <v>46569</v>
      </c>
      <c r="O11792" t="s">
        <v>46570</v>
      </c>
      <c r="P11792">
        <v>0</v>
      </c>
      <c r="Q11792">
        <v>0</v>
      </c>
      <c r="R11792" t="s">
        <v>46580</v>
      </c>
      <c r="S11792" t="s">
        <v>46986</v>
      </c>
      <c r="T11792" t="s">
        <v>48223</v>
      </c>
      <c r="U11792" t="s">
        <v>58236</v>
      </c>
      <c r="W11792" t="s">
        <v>45988</v>
      </c>
      <c r="X11792" t="s">
        <v>46581</v>
      </c>
    </row>
    <row r="11793" spans="1:24">
      <c r="A11793">
        <f>HYPERLINK("https://www.philgeps.gov.ph/GEPSNONPILOT/Tender/SplashBidNoticeAbstractUI.aspx?menuIndex=3&amp;refID=7044933&amp;Result=3","7044933")</f>
        <v>0</v>
      </c>
      <c r="B11793" t="s">
        <v>3098</v>
      </c>
      <c r="C11793" t="s">
        <v>14711</v>
      </c>
      <c r="D11793" t="s">
        <v>18788</v>
      </c>
      <c r="E11793" t="s">
        <v>29029</v>
      </c>
      <c r="F11793" t="s">
        <v>32664</v>
      </c>
      <c r="G11793" t="s">
        <v>32672</v>
      </c>
      <c r="H11793" t="s">
        <v>32683</v>
      </c>
      <c r="I11793" t="s">
        <v>10627</v>
      </c>
      <c r="J11793" t="s">
        <v>39784</v>
      </c>
      <c r="K11793" t="s">
        <v>42369</v>
      </c>
      <c r="M11793" t="s">
        <v>45986</v>
      </c>
      <c r="N11793" t="s">
        <v>46569</v>
      </c>
      <c r="O11793" t="s">
        <v>46570</v>
      </c>
      <c r="P11793">
        <v>0</v>
      </c>
      <c r="Q11793">
        <v>1</v>
      </c>
      <c r="R11793" t="s">
        <v>46580</v>
      </c>
      <c r="S11793" t="s">
        <v>46986</v>
      </c>
      <c r="T11793" t="s">
        <v>48236</v>
      </c>
      <c r="U11793" t="s">
        <v>58237</v>
      </c>
      <c r="W11793" t="s">
        <v>63585</v>
      </c>
      <c r="X11793" t="s">
        <v>46581</v>
      </c>
    </row>
    <row r="11794" spans="1:24">
      <c r="A11794">
        <f>HYPERLINK("https://www.philgeps.gov.ph/GEPSNONPILOT/Tender/SplashBidNoticeAbstractUI.aspx?menuIndex=3&amp;refID=7044902&amp;Result=3","7044902")</f>
        <v>0</v>
      </c>
      <c r="B11794" t="s">
        <v>794</v>
      </c>
      <c r="C11794" t="s">
        <v>14712</v>
      </c>
      <c r="D11794" t="s">
        <v>18806</v>
      </c>
      <c r="E11794" t="s">
        <v>29030</v>
      </c>
      <c r="F11794" t="s">
        <v>32664</v>
      </c>
      <c r="G11794" t="s">
        <v>32672</v>
      </c>
      <c r="H11794" t="s">
        <v>32683</v>
      </c>
      <c r="I11794" t="s">
        <v>10627</v>
      </c>
      <c r="J11794" t="s">
        <v>39785</v>
      </c>
      <c r="K11794" t="s">
        <v>42303</v>
      </c>
      <c r="M11794" t="s">
        <v>45991</v>
      </c>
      <c r="N11794" t="s">
        <v>46569</v>
      </c>
      <c r="O11794" t="s">
        <v>46570</v>
      </c>
      <c r="P11794">
        <v>0</v>
      </c>
      <c r="Q11794">
        <v>0</v>
      </c>
      <c r="R11794" t="s">
        <v>46580</v>
      </c>
      <c r="S11794" t="s">
        <v>46986</v>
      </c>
      <c r="T11794" t="s">
        <v>48246</v>
      </c>
      <c r="U11794" t="s">
        <v>58238</v>
      </c>
      <c r="W11794" t="s">
        <v>45991</v>
      </c>
      <c r="X11794" t="s">
        <v>46581</v>
      </c>
    </row>
    <row r="11795" spans="1:24">
      <c r="A11795">
        <f>HYPERLINK("https://www.philgeps.gov.ph/GEPSNONPILOT/Tender/SplashBidNoticeAbstractUI.aspx?menuIndex=3&amp;refID=7044844&amp;Result=3","7044844")</f>
        <v>0</v>
      </c>
      <c r="B11795" t="s">
        <v>3098</v>
      </c>
      <c r="C11795" t="s">
        <v>14713</v>
      </c>
      <c r="D11795" t="s">
        <v>18788</v>
      </c>
      <c r="E11795" t="s">
        <v>29031</v>
      </c>
      <c r="F11795" t="s">
        <v>32664</v>
      </c>
      <c r="G11795" t="s">
        <v>32672</v>
      </c>
      <c r="H11795" t="s">
        <v>32683</v>
      </c>
      <c r="I11795" t="s">
        <v>10627</v>
      </c>
      <c r="J11795" t="s">
        <v>39786</v>
      </c>
      <c r="K11795" t="s">
        <v>42369</v>
      </c>
      <c r="M11795" t="s">
        <v>45986</v>
      </c>
      <c r="N11795" t="s">
        <v>46569</v>
      </c>
      <c r="O11795" t="s">
        <v>46570</v>
      </c>
      <c r="P11795">
        <v>0</v>
      </c>
      <c r="Q11795">
        <v>0</v>
      </c>
      <c r="R11795" t="s">
        <v>46580</v>
      </c>
      <c r="S11795" t="s">
        <v>46986</v>
      </c>
      <c r="T11795" t="s">
        <v>48236</v>
      </c>
      <c r="U11795" t="s">
        <v>58239</v>
      </c>
      <c r="W11795" t="s">
        <v>63585</v>
      </c>
      <c r="X11795" t="s">
        <v>46581</v>
      </c>
    </row>
    <row r="11796" spans="1:24">
      <c r="A11796">
        <f>HYPERLINK("https://www.philgeps.gov.ph/GEPSNONPILOT/Tender/SplashBidNoticeAbstractUI.aspx?menuIndex=3&amp;refID=7044814&amp;Result=3","7044814")</f>
        <v>0</v>
      </c>
      <c r="B11796" t="s">
        <v>3103</v>
      </c>
      <c r="C11796" t="s">
        <v>14714</v>
      </c>
      <c r="D11796" t="s">
        <v>18832</v>
      </c>
      <c r="E11796" t="s">
        <v>19110</v>
      </c>
      <c r="F11796" t="s">
        <v>32664</v>
      </c>
      <c r="G11796" t="s">
        <v>32672</v>
      </c>
      <c r="H11796" t="s">
        <v>32683</v>
      </c>
      <c r="I11796" t="s">
        <v>10627</v>
      </c>
      <c r="J11796" t="s">
        <v>33657</v>
      </c>
      <c r="K11796" t="s">
        <v>42281</v>
      </c>
      <c r="M11796" t="s">
        <v>45992</v>
      </c>
      <c r="N11796" t="s">
        <v>46569</v>
      </c>
      <c r="O11796" t="s">
        <v>46570</v>
      </c>
      <c r="P11796">
        <v>0</v>
      </c>
      <c r="Q11796">
        <v>0</v>
      </c>
      <c r="R11796" t="s">
        <v>46580</v>
      </c>
      <c r="S11796" t="s">
        <v>46986</v>
      </c>
      <c r="T11796" t="s">
        <v>48212</v>
      </c>
      <c r="U11796" t="s">
        <v>58240</v>
      </c>
      <c r="V11796" t="s">
        <v>62908</v>
      </c>
      <c r="W11796" t="s">
        <v>45992</v>
      </c>
      <c r="X11796" t="s">
        <v>46581</v>
      </c>
    </row>
    <row r="11797" spans="1:24">
      <c r="A11797">
        <f>HYPERLINK("https://www.philgeps.gov.ph/GEPSNONPILOT/Tender/SplashBidNoticeAbstractUI.aspx?menuIndex=3&amp;refID=7044799&amp;Result=3","7044799")</f>
        <v>0</v>
      </c>
      <c r="B11797" t="s">
        <v>3104</v>
      </c>
      <c r="C11797" t="s">
        <v>14715</v>
      </c>
      <c r="D11797" t="s">
        <v>18785</v>
      </c>
      <c r="E11797" t="s">
        <v>29032</v>
      </c>
      <c r="F11797" t="s">
        <v>32664</v>
      </c>
      <c r="G11797" t="s">
        <v>32672</v>
      </c>
      <c r="H11797" t="s">
        <v>12635</v>
      </c>
      <c r="I11797" t="s">
        <v>32689</v>
      </c>
      <c r="J11797" t="s">
        <v>39787</v>
      </c>
      <c r="K11797" t="s">
        <v>42298</v>
      </c>
      <c r="M11797" t="s">
        <v>45993</v>
      </c>
      <c r="N11797" t="s">
        <v>46569</v>
      </c>
      <c r="O11797" t="s">
        <v>46570</v>
      </c>
      <c r="Q11797">
        <v>11</v>
      </c>
      <c r="R11797" t="s">
        <v>46580</v>
      </c>
      <c r="S11797" t="s">
        <v>46991</v>
      </c>
      <c r="T11797" t="s">
        <v>48303</v>
      </c>
      <c r="U11797" t="s">
        <v>58241</v>
      </c>
      <c r="V11797" t="s">
        <v>62909</v>
      </c>
      <c r="W11797" t="s">
        <v>45993</v>
      </c>
      <c r="X11797" t="s">
        <v>46581</v>
      </c>
    </row>
    <row r="11798" spans="1:24">
      <c r="A11798">
        <f>HYPERLINK("https://www.philgeps.gov.ph/GEPSNONPILOT/Tender/SplashBidNoticeAbstractUI.aspx?menuIndex=3&amp;refID=7044580&amp;Result=3","7044580")</f>
        <v>0</v>
      </c>
      <c r="B11798" t="s">
        <v>3096</v>
      </c>
      <c r="C11798" t="s">
        <v>14716</v>
      </c>
      <c r="D11798" t="s">
        <v>18828</v>
      </c>
      <c r="E11798" t="s">
        <v>29033</v>
      </c>
      <c r="F11798" t="s">
        <v>32664</v>
      </c>
      <c r="G11798" t="s">
        <v>32672</v>
      </c>
      <c r="H11798" t="s">
        <v>32683</v>
      </c>
      <c r="I11798" t="s">
        <v>10627</v>
      </c>
      <c r="J11798" t="s">
        <v>32945</v>
      </c>
      <c r="K11798" t="s">
        <v>42285</v>
      </c>
      <c r="M11798" t="s">
        <v>45984</v>
      </c>
      <c r="N11798" t="s">
        <v>46569</v>
      </c>
      <c r="O11798" t="s">
        <v>46570</v>
      </c>
      <c r="P11798">
        <v>0</v>
      </c>
      <c r="Q11798">
        <v>0</v>
      </c>
      <c r="R11798" t="s">
        <v>46580</v>
      </c>
      <c r="S11798" t="s">
        <v>46986</v>
      </c>
      <c r="T11798" t="s">
        <v>48283</v>
      </c>
      <c r="U11798" t="s">
        <v>58242</v>
      </c>
      <c r="W11798" t="s">
        <v>45984</v>
      </c>
      <c r="X11798" t="s">
        <v>46581</v>
      </c>
    </row>
    <row r="11799" spans="1:24">
      <c r="A11799">
        <f>HYPERLINK("https://www.philgeps.gov.ph/GEPSNONPILOT/Tender/SplashBidNoticeAbstractUI.aspx?menuIndex=3&amp;refID=7044838&amp;Result=3","7044838")</f>
        <v>0</v>
      </c>
      <c r="B11799" t="s">
        <v>417</v>
      </c>
      <c r="C11799" t="s">
        <v>14717</v>
      </c>
      <c r="D11799" t="s">
        <v>18789</v>
      </c>
      <c r="E11799" t="s">
        <v>21510</v>
      </c>
      <c r="F11799" t="s">
        <v>32664</v>
      </c>
      <c r="G11799" t="s">
        <v>32672</v>
      </c>
      <c r="H11799" t="s">
        <v>12635</v>
      </c>
      <c r="I11799" t="s">
        <v>32699</v>
      </c>
      <c r="J11799" t="s">
        <v>39788</v>
      </c>
      <c r="K11799" t="s">
        <v>42297</v>
      </c>
      <c r="M11799" t="s">
        <v>42988</v>
      </c>
      <c r="N11799" t="s">
        <v>46569</v>
      </c>
      <c r="O11799" t="s">
        <v>46570</v>
      </c>
      <c r="P11799">
        <v>0</v>
      </c>
      <c r="Q11799">
        <v>5</v>
      </c>
      <c r="R11799" t="s">
        <v>46580</v>
      </c>
      <c r="S11799" t="s">
        <v>46986</v>
      </c>
      <c r="T11799" t="s">
        <v>48345</v>
      </c>
      <c r="U11799" t="s">
        <v>58243</v>
      </c>
      <c r="W11799" t="s">
        <v>42988</v>
      </c>
      <c r="X11799" t="s">
        <v>46581</v>
      </c>
    </row>
    <row r="11800" spans="1:24">
      <c r="A11800">
        <f>HYPERLINK("https://www.philgeps.gov.ph/GEPSNONPILOT/Tender/SplashBidNoticeAbstractUI.aspx?menuIndex=3&amp;refID=7044828&amp;Result=3","7044828")</f>
        <v>0</v>
      </c>
      <c r="B11800" t="s">
        <v>3105</v>
      </c>
      <c r="C11800" t="s">
        <v>14718</v>
      </c>
      <c r="D11800" t="s">
        <v>18788</v>
      </c>
      <c r="E11800" t="s">
        <v>29034</v>
      </c>
      <c r="F11800" t="s">
        <v>32665</v>
      </c>
      <c r="G11800" t="s">
        <v>32672</v>
      </c>
      <c r="H11800" t="s">
        <v>32683</v>
      </c>
      <c r="I11800" t="s">
        <v>10627</v>
      </c>
      <c r="J11800" t="s">
        <v>39789</v>
      </c>
      <c r="K11800" t="s">
        <v>42417</v>
      </c>
      <c r="L11800" t="s">
        <v>3105</v>
      </c>
      <c r="M11800" t="s">
        <v>45994</v>
      </c>
      <c r="N11800" t="s">
        <v>46569</v>
      </c>
      <c r="O11800" t="s">
        <v>46570</v>
      </c>
      <c r="P11800">
        <v>0</v>
      </c>
      <c r="Q11800">
        <v>0</v>
      </c>
      <c r="R11800" t="s">
        <v>46580</v>
      </c>
      <c r="S11800" t="s">
        <v>46986</v>
      </c>
      <c r="T11800" t="s">
        <v>48284</v>
      </c>
      <c r="U11800" t="s">
        <v>58244</v>
      </c>
      <c r="W11800" t="s">
        <v>45994</v>
      </c>
      <c r="X11800" t="s">
        <v>46581</v>
      </c>
    </row>
    <row r="11801" spans="1:24">
      <c r="A11801">
        <f>HYPERLINK("https://www.philgeps.gov.ph/GEPSNONPILOT/Tender/SplashBidNoticeAbstractUI.aspx?menuIndex=3&amp;refID=7045010&amp;Result=3","7045010")</f>
        <v>0</v>
      </c>
      <c r="B11801" t="s">
        <v>1911</v>
      </c>
      <c r="C11801" t="s">
        <v>14719</v>
      </c>
      <c r="D11801" t="s">
        <v>18844</v>
      </c>
      <c r="E11801" t="s">
        <v>29035</v>
      </c>
      <c r="F11801" t="s">
        <v>32664</v>
      </c>
      <c r="G11801" t="s">
        <v>32672</v>
      </c>
      <c r="H11801" t="s">
        <v>32683</v>
      </c>
      <c r="I11801" t="s">
        <v>10627</v>
      </c>
      <c r="J11801" t="s">
        <v>32865</v>
      </c>
      <c r="K11801" t="s">
        <v>42298</v>
      </c>
      <c r="M11801" t="s">
        <v>44632</v>
      </c>
      <c r="N11801" t="s">
        <v>46569</v>
      </c>
      <c r="O11801" t="s">
        <v>46570</v>
      </c>
      <c r="P11801">
        <v>0</v>
      </c>
      <c r="Q11801">
        <v>0</v>
      </c>
      <c r="R11801" t="s">
        <v>46580</v>
      </c>
      <c r="S11801" t="s">
        <v>46986</v>
      </c>
      <c r="T11801" t="s">
        <v>48284</v>
      </c>
      <c r="U11801" t="s">
        <v>58245</v>
      </c>
      <c r="W11801" t="s">
        <v>44632</v>
      </c>
      <c r="X11801" t="s">
        <v>46581</v>
      </c>
    </row>
    <row r="11802" spans="1:24">
      <c r="A11802">
        <f>HYPERLINK("https://www.philgeps.gov.ph/GEPSNONPILOT/Tender/SplashBidNoticeAbstractUI.aspx?menuIndex=3&amp;refID=7045034&amp;Result=3","7045034")</f>
        <v>0</v>
      </c>
      <c r="B11802" t="s">
        <v>2150</v>
      </c>
      <c r="C11802" t="s">
        <v>14720</v>
      </c>
      <c r="D11802" t="s">
        <v>18851</v>
      </c>
      <c r="E11802" t="s">
        <v>29036</v>
      </c>
      <c r="F11802" t="s">
        <v>32664</v>
      </c>
      <c r="G11802" t="s">
        <v>32672</v>
      </c>
      <c r="H11802" t="s">
        <v>12635</v>
      </c>
      <c r="I11802" t="s">
        <v>9486</v>
      </c>
      <c r="J11802" t="s">
        <v>39790</v>
      </c>
      <c r="K11802" t="s">
        <v>42281</v>
      </c>
      <c r="M11802" t="s">
        <v>44906</v>
      </c>
      <c r="N11802" t="s">
        <v>46569</v>
      </c>
      <c r="O11802" t="s">
        <v>46570</v>
      </c>
      <c r="P11802">
        <v>0</v>
      </c>
      <c r="Q11802">
        <v>8</v>
      </c>
      <c r="R11802" t="s">
        <v>46580</v>
      </c>
      <c r="S11802" t="s">
        <v>46986</v>
      </c>
      <c r="T11802" t="s">
        <v>48212</v>
      </c>
      <c r="U11802" t="s">
        <v>58246</v>
      </c>
      <c r="W11802" t="s">
        <v>44906</v>
      </c>
      <c r="X11802" t="s">
        <v>46581</v>
      </c>
    </row>
    <row r="11803" spans="1:24">
      <c r="A11803">
        <f>HYPERLINK("https://www.philgeps.gov.ph/GEPSNONPILOT/Tender/SplashBidNoticeAbstractUI.aspx?menuIndex=3&amp;refID=7045031&amp;Result=3","7045031")</f>
        <v>0</v>
      </c>
      <c r="B11803" t="s">
        <v>833</v>
      </c>
      <c r="C11803" t="s">
        <v>14721</v>
      </c>
      <c r="D11803" t="s">
        <v>18789</v>
      </c>
      <c r="E11803" t="s">
        <v>29037</v>
      </c>
      <c r="F11803" t="s">
        <v>32664</v>
      </c>
      <c r="G11803" t="s">
        <v>32672</v>
      </c>
      <c r="H11803" t="s">
        <v>12635</v>
      </c>
      <c r="I11803" t="s">
        <v>32706</v>
      </c>
      <c r="J11803" t="s">
        <v>39791</v>
      </c>
      <c r="K11803" t="s">
        <v>42297</v>
      </c>
      <c r="M11803" t="s">
        <v>43428</v>
      </c>
      <c r="N11803" t="s">
        <v>46569</v>
      </c>
      <c r="O11803" t="s">
        <v>46570</v>
      </c>
      <c r="P11803">
        <v>0</v>
      </c>
      <c r="Q11803">
        <v>1</v>
      </c>
      <c r="R11803" t="s">
        <v>46580</v>
      </c>
      <c r="S11803" t="s">
        <v>46986</v>
      </c>
      <c r="T11803" t="s">
        <v>48213</v>
      </c>
      <c r="U11803" t="s">
        <v>58247</v>
      </c>
      <c r="V11803" t="s">
        <v>62910</v>
      </c>
      <c r="W11803" t="s">
        <v>43428</v>
      </c>
      <c r="X11803" t="s">
        <v>46581</v>
      </c>
    </row>
    <row r="11804" spans="1:24">
      <c r="A11804">
        <f>HYPERLINK("https://www.philgeps.gov.ph/GEPSNONPILOT/Tender/SplashBidNoticeAbstractUI.aspx?menuIndex=3&amp;refID=7044826&amp;Result=3","7044826")</f>
        <v>0</v>
      </c>
      <c r="B11804" t="s">
        <v>3106</v>
      </c>
      <c r="C11804" t="s">
        <v>14722</v>
      </c>
      <c r="D11804" t="s">
        <v>18798</v>
      </c>
      <c r="E11804" t="s">
        <v>19688</v>
      </c>
      <c r="F11804" t="s">
        <v>32664</v>
      </c>
      <c r="G11804" t="s">
        <v>32672</v>
      </c>
      <c r="H11804" t="s">
        <v>32683</v>
      </c>
      <c r="I11804" t="s">
        <v>10627</v>
      </c>
      <c r="J11804" t="s">
        <v>39792</v>
      </c>
      <c r="K11804" t="s">
        <v>42369</v>
      </c>
      <c r="M11804" t="s">
        <v>45995</v>
      </c>
      <c r="N11804" t="s">
        <v>46569</v>
      </c>
      <c r="O11804" t="s">
        <v>46570</v>
      </c>
      <c r="P11804">
        <v>0</v>
      </c>
      <c r="Q11804">
        <v>0</v>
      </c>
      <c r="R11804" t="s">
        <v>46580</v>
      </c>
      <c r="S11804" t="s">
        <v>46986</v>
      </c>
      <c r="T11804" t="s">
        <v>48220</v>
      </c>
      <c r="U11804" t="s">
        <v>58248</v>
      </c>
      <c r="W11804" t="s">
        <v>45995</v>
      </c>
      <c r="X11804" t="s">
        <v>46581</v>
      </c>
    </row>
    <row r="11805" spans="1:24">
      <c r="A11805">
        <f>HYPERLINK("https://www.philgeps.gov.ph/GEPSNONPILOT/Tender/SplashBidNoticeAbstractUI.aspx?menuIndex=3&amp;refID=7045004&amp;Result=3","7045004")</f>
        <v>0</v>
      </c>
      <c r="B11805" t="s">
        <v>213</v>
      </c>
      <c r="C11805" t="s">
        <v>14723</v>
      </c>
      <c r="D11805" t="s">
        <v>18787</v>
      </c>
      <c r="E11805" t="s">
        <v>20927</v>
      </c>
      <c r="F11805" t="s">
        <v>32664</v>
      </c>
      <c r="G11805" t="s">
        <v>32672</v>
      </c>
      <c r="H11805" t="s">
        <v>32683</v>
      </c>
      <c r="I11805" t="s">
        <v>10627</v>
      </c>
      <c r="J11805" t="s">
        <v>32837</v>
      </c>
      <c r="K11805" t="s">
        <v>42283</v>
      </c>
      <c r="M11805" t="s">
        <v>42777</v>
      </c>
      <c r="N11805" t="s">
        <v>46569</v>
      </c>
      <c r="O11805" t="s">
        <v>46570</v>
      </c>
      <c r="P11805">
        <v>0</v>
      </c>
      <c r="Q11805">
        <v>1</v>
      </c>
      <c r="R11805" t="s">
        <v>46580</v>
      </c>
      <c r="S11805" t="s">
        <v>46986</v>
      </c>
      <c r="T11805" t="s">
        <v>48303</v>
      </c>
      <c r="U11805" t="s">
        <v>58249</v>
      </c>
      <c r="W11805" t="s">
        <v>42777</v>
      </c>
      <c r="X11805" t="s">
        <v>46581</v>
      </c>
    </row>
    <row r="11806" spans="1:24">
      <c r="A11806">
        <f>HYPERLINK("https://www.philgeps.gov.ph/GEPSNONPILOT/Tender/SplashBidNoticeAbstractUI.aspx?menuIndex=3&amp;refID=7045038&amp;Result=3","7045038")</f>
        <v>0</v>
      </c>
      <c r="B11806" t="s">
        <v>471</v>
      </c>
      <c r="C11806" t="s">
        <v>14724</v>
      </c>
      <c r="D11806" t="s">
        <v>18785</v>
      </c>
      <c r="E11806" t="s">
        <v>29038</v>
      </c>
      <c r="F11806" t="s">
        <v>32664</v>
      </c>
      <c r="G11806" t="s">
        <v>32672</v>
      </c>
      <c r="H11806" t="s">
        <v>32682</v>
      </c>
      <c r="I11806" t="s">
        <v>9946</v>
      </c>
      <c r="J11806" t="s">
        <v>39793</v>
      </c>
      <c r="K11806" t="s">
        <v>42334</v>
      </c>
      <c r="M11806" t="s">
        <v>43046</v>
      </c>
      <c r="N11806" t="s">
        <v>46569</v>
      </c>
      <c r="O11806" t="s">
        <v>46570</v>
      </c>
      <c r="P11806">
        <v>0</v>
      </c>
      <c r="Q11806">
        <v>0</v>
      </c>
      <c r="R11806" t="s">
        <v>46580</v>
      </c>
      <c r="S11806" t="s">
        <v>46986</v>
      </c>
      <c r="T11806" t="s">
        <v>48212</v>
      </c>
      <c r="U11806" t="s">
        <v>58250</v>
      </c>
      <c r="W11806" t="s">
        <v>43046</v>
      </c>
      <c r="X11806" t="s">
        <v>46581</v>
      </c>
    </row>
    <row r="11807" spans="1:24">
      <c r="A11807">
        <f>HYPERLINK("https://www.philgeps.gov.ph/GEPSNONPILOT/Tender/SplashBidNoticeAbstractUI.aspx?menuIndex=3&amp;refID=7045041&amp;Result=3","7045041")</f>
        <v>0</v>
      </c>
      <c r="B11807" t="s">
        <v>2852</v>
      </c>
      <c r="C11807" t="s">
        <v>14725</v>
      </c>
      <c r="D11807" t="s">
        <v>18794</v>
      </c>
      <c r="E11807" t="s">
        <v>29039</v>
      </c>
      <c r="F11807" t="s">
        <v>32664</v>
      </c>
      <c r="G11807" t="s">
        <v>32672</v>
      </c>
      <c r="H11807" t="s">
        <v>12635</v>
      </c>
      <c r="I11807" t="s">
        <v>32706</v>
      </c>
      <c r="J11807" t="s">
        <v>39794</v>
      </c>
      <c r="K11807" t="s">
        <v>42281</v>
      </c>
      <c r="L11807" t="s">
        <v>2852</v>
      </c>
      <c r="M11807" t="s">
        <v>45996</v>
      </c>
      <c r="N11807" t="s">
        <v>46569</v>
      </c>
      <c r="O11807" t="s">
        <v>46570</v>
      </c>
      <c r="P11807">
        <v>0</v>
      </c>
      <c r="Q11807">
        <v>2</v>
      </c>
      <c r="R11807" t="s">
        <v>46580</v>
      </c>
      <c r="S11807" t="s">
        <v>46986</v>
      </c>
      <c r="T11807" t="s">
        <v>48374</v>
      </c>
      <c r="U11807" t="s">
        <v>58251</v>
      </c>
      <c r="W11807" t="s">
        <v>45996</v>
      </c>
      <c r="X11807" t="s">
        <v>46581</v>
      </c>
    </row>
    <row r="11808" spans="1:24">
      <c r="A11808">
        <f>HYPERLINK("https://www.philgeps.gov.ph/GEPSNONPILOT/Tender/SplashBidNoticeAbstractUI.aspx?menuIndex=3&amp;refID=7045002&amp;Result=3","7045002")</f>
        <v>0</v>
      </c>
      <c r="B11808" t="s">
        <v>1838</v>
      </c>
      <c r="C11808" t="s">
        <v>14726</v>
      </c>
      <c r="D11808" t="s">
        <v>18799</v>
      </c>
      <c r="E11808" t="s">
        <v>29040</v>
      </c>
      <c r="F11808" t="s">
        <v>32664</v>
      </c>
      <c r="G11808" t="s">
        <v>32674</v>
      </c>
      <c r="H11808" t="s">
        <v>12635</v>
      </c>
      <c r="I11808" t="s">
        <v>8958</v>
      </c>
      <c r="J11808" t="s">
        <v>33069</v>
      </c>
      <c r="K11808" t="s">
        <v>42281</v>
      </c>
      <c r="M11808" t="s">
        <v>44546</v>
      </c>
      <c r="N11808" t="s">
        <v>46569</v>
      </c>
      <c r="O11808" t="s">
        <v>46570</v>
      </c>
      <c r="Q11808">
        <v>4</v>
      </c>
      <c r="R11808" t="s">
        <v>46580</v>
      </c>
      <c r="S11808" t="s">
        <v>46992</v>
      </c>
      <c r="T11808" t="s">
        <v>48473</v>
      </c>
      <c r="U11808" t="s">
        <v>49565</v>
      </c>
      <c r="W11808" t="s">
        <v>44546</v>
      </c>
      <c r="X11808" t="s">
        <v>46581</v>
      </c>
    </row>
    <row r="11809" spans="1:24">
      <c r="A11809">
        <f>HYPERLINK("https://www.philgeps.gov.ph/GEPSNONPILOT/Tender/SplashBidNoticeAbstractUI.aspx?menuIndex=3&amp;refID=7045001&amp;Result=3","7045001")</f>
        <v>0</v>
      </c>
      <c r="B11809" t="s">
        <v>3107</v>
      </c>
      <c r="C11809" t="s">
        <v>14727</v>
      </c>
      <c r="D11809" t="s">
        <v>18815</v>
      </c>
      <c r="E11809" t="s">
        <v>29041</v>
      </c>
      <c r="F11809" t="s">
        <v>32664</v>
      </c>
      <c r="G11809" t="s">
        <v>32672</v>
      </c>
      <c r="H11809" t="s">
        <v>32683</v>
      </c>
      <c r="I11809" t="s">
        <v>10627</v>
      </c>
      <c r="J11809" t="s">
        <v>33267</v>
      </c>
      <c r="K11809" t="s">
        <v>42321</v>
      </c>
      <c r="M11809" t="s">
        <v>45997</v>
      </c>
      <c r="N11809" t="s">
        <v>46569</v>
      </c>
      <c r="O11809" t="s">
        <v>46570</v>
      </c>
      <c r="P11809">
        <v>0</v>
      </c>
      <c r="Q11809">
        <v>0</v>
      </c>
      <c r="R11809" t="s">
        <v>46580</v>
      </c>
      <c r="S11809" t="s">
        <v>46986</v>
      </c>
      <c r="T11809" t="s">
        <v>48212</v>
      </c>
      <c r="U11809" t="s">
        <v>58252</v>
      </c>
      <c r="W11809" t="s">
        <v>45997</v>
      </c>
      <c r="X11809" t="s">
        <v>46581</v>
      </c>
    </row>
    <row r="11810" spans="1:24">
      <c r="A11810">
        <f>HYPERLINK("https://www.philgeps.gov.ph/GEPSNONPILOT/Tender/SplashBidNoticeAbstractUI.aspx?menuIndex=3&amp;refID=7044989&amp;Result=3","7044989")</f>
        <v>0</v>
      </c>
      <c r="B11810" t="s">
        <v>162</v>
      </c>
      <c r="C11810" t="s">
        <v>14728</v>
      </c>
      <c r="D11810" t="s">
        <v>18788</v>
      </c>
      <c r="E11810" t="s">
        <v>29042</v>
      </c>
      <c r="F11810" t="s">
        <v>32664</v>
      </c>
      <c r="G11810" t="s">
        <v>32672</v>
      </c>
      <c r="H11810" t="s">
        <v>12635</v>
      </c>
      <c r="I11810" t="s">
        <v>4439</v>
      </c>
      <c r="J11810" t="s">
        <v>39795</v>
      </c>
      <c r="K11810" t="s">
        <v>42289</v>
      </c>
      <c r="M11810" t="s">
        <v>42726</v>
      </c>
      <c r="N11810" t="s">
        <v>46569</v>
      </c>
      <c r="O11810" t="s">
        <v>46570</v>
      </c>
      <c r="P11810">
        <v>0</v>
      </c>
      <c r="Q11810">
        <v>0</v>
      </c>
      <c r="R11810" t="s">
        <v>46580</v>
      </c>
      <c r="S11810" t="s">
        <v>46986</v>
      </c>
      <c r="T11810" t="s">
        <v>48293</v>
      </c>
      <c r="U11810" t="s">
        <v>58253</v>
      </c>
      <c r="W11810" t="s">
        <v>42726</v>
      </c>
      <c r="X11810" t="s">
        <v>46581</v>
      </c>
    </row>
    <row r="11811" spans="1:24">
      <c r="A11811">
        <f>HYPERLINK("https://www.philgeps.gov.ph/GEPSNONPILOT/Tender/SplashBidNoticeAbstractUI.aspx?menuIndex=3&amp;refID=7045023&amp;Result=3","7045023")</f>
        <v>0</v>
      </c>
      <c r="B11811" t="s">
        <v>1007</v>
      </c>
      <c r="C11811" t="s">
        <v>14729</v>
      </c>
      <c r="D11811" t="s">
        <v>18812</v>
      </c>
      <c r="E11811" t="s">
        <v>29043</v>
      </c>
      <c r="F11811" t="s">
        <v>32664</v>
      </c>
      <c r="G11811" t="s">
        <v>32672</v>
      </c>
      <c r="H11811" t="s">
        <v>12635</v>
      </c>
      <c r="I11811" t="s">
        <v>32729</v>
      </c>
      <c r="J11811" t="s">
        <v>39796</v>
      </c>
      <c r="K11811" t="s">
        <v>42284</v>
      </c>
      <c r="M11811" t="s">
        <v>44391</v>
      </c>
      <c r="N11811" t="s">
        <v>46569</v>
      </c>
      <c r="O11811" t="s">
        <v>46570</v>
      </c>
      <c r="P11811">
        <v>0</v>
      </c>
      <c r="Q11811">
        <v>3</v>
      </c>
      <c r="R11811" t="s">
        <v>46580</v>
      </c>
      <c r="S11811" t="s">
        <v>46986</v>
      </c>
      <c r="T11811" t="s">
        <v>48487</v>
      </c>
      <c r="U11811" t="s">
        <v>58254</v>
      </c>
      <c r="W11811" t="s">
        <v>44391</v>
      </c>
      <c r="X11811" t="s">
        <v>46581</v>
      </c>
    </row>
    <row r="11812" spans="1:24">
      <c r="A11812">
        <f>HYPERLINK("https://www.philgeps.gov.ph/GEPSNONPILOT/Tender/SplashBidNoticeAbstractUI.aspx?menuIndex=3&amp;refID=7045055&amp;Result=3","7045055")</f>
        <v>0</v>
      </c>
      <c r="B11812" t="s">
        <v>162</v>
      </c>
      <c r="C11812" t="s">
        <v>14730</v>
      </c>
      <c r="D11812" t="s">
        <v>18788</v>
      </c>
      <c r="E11812" t="s">
        <v>29044</v>
      </c>
      <c r="F11812" t="s">
        <v>32664</v>
      </c>
      <c r="G11812" t="s">
        <v>32672</v>
      </c>
      <c r="H11812" t="s">
        <v>32683</v>
      </c>
      <c r="I11812" t="s">
        <v>10627</v>
      </c>
      <c r="J11812" t="s">
        <v>39797</v>
      </c>
      <c r="K11812" t="s">
        <v>42311</v>
      </c>
      <c r="M11812" t="s">
        <v>42726</v>
      </c>
      <c r="N11812" t="s">
        <v>46569</v>
      </c>
      <c r="O11812" t="s">
        <v>46570</v>
      </c>
      <c r="P11812">
        <v>0</v>
      </c>
      <c r="Q11812">
        <v>2</v>
      </c>
      <c r="R11812" t="s">
        <v>46580</v>
      </c>
      <c r="S11812" t="s">
        <v>46986</v>
      </c>
      <c r="T11812" t="s">
        <v>48349</v>
      </c>
      <c r="U11812" t="s">
        <v>58255</v>
      </c>
      <c r="W11812" t="s">
        <v>42726</v>
      </c>
      <c r="X11812" t="s">
        <v>46581</v>
      </c>
    </row>
    <row r="11813" spans="1:24">
      <c r="A11813">
        <f>HYPERLINK("https://www.philgeps.gov.ph/GEPSNONPILOT/Tender/SplashBidNoticeAbstractUI.aspx?menuIndex=3&amp;refID=7045133&amp;Result=3","7045133")</f>
        <v>0</v>
      </c>
      <c r="B11813" t="s">
        <v>213</v>
      </c>
      <c r="C11813" t="s">
        <v>14731</v>
      </c>
      <c r="D11813" t="s">
        <v>18787</v>
      </c>
      <c r="E11813" t="s">
        <v>29045</v>
      </c>
      <c r="F11813" t="s">
        <v>32664</v>
      </c>
      <c r="G11813" t="s">
        <v>32672</v>
      </c>
      <c r="H11813" t="s">
        <v>12635</v>
      </c>
      <c r="I11813" t="s">
        <v>6628</v>
      </c>
      <c r="J11813" t="s">
        <v>39267</v>
      </c>
      <c r="K11813" t="s">
        <v>42283</v>
      </c>
      <c r="M11813" t="s">
        <v>42777</v>
      </c>
      <c r="N11813" t="s">
        <v>46569</v>
      </c>
      <c r="O11813" t="s">
        <v>46570</v>
      </c>
      <c r="P11813">
        <v>0</v>
      </c>
      <c r="Q11813">
        <v>4</v>
      </c>
      <c r="R11813" t="s">
        <v>46580</v>
      </c>
      <c r="S11813" t="s">
        <v>46986</v>
      </c>
      <c r="T11813" t="s">
        <v>48303</v>
      </c>
      <c r="U11813" t="s">
        <v>58256</v>
      </c>
      <c r="W11813" t="s">
        <v>42777</v>
      </c>
      <c r="X11813" t="s">
        <v>46581</v>
      </c>
    </row>
    <row r="11814" spans="1:24">
      <c r="A11814">
        <f>HYPERLINK("https://www.philgeps.gov.ph/GEPSNONPILOT/Tender/SplashBidNoticeAbstractUI.aspx?menuIndex=3&amp;refID=7044995&amp;Result=3","7044995")</f>
        <v>0</v>
      </c>
      <c r="B11814" t="s">
        <v>3100</v>
      </c>
      <c r="C11814" t="s">
        <v>14689</v>
      </c>
      <c r="D11814" t="s">
        <v>18807</v>
      </c>
      <c r="E11814" t="s">
        <v>20330</v>
      </c>
      <c r="F11814" t="s">
        <v>32664</v>
      </c>
      <c r="G11814" t="s">
        <v>32672</v>
      </c>
      <c r="H11814" t="s">
        <v>32683</v>
      </c>
      <c r="I11814" t="s">
        <v>10627</v>
      </c>
      <c r="J11814" t="s">
        <v>35617</v>
      </c>
      <c r="K11814" t="s">
        <v>42311</v>
      </c>
      <c r="M11814" t="s">
        <v>45988</v>
      </c>
      <c r="N11814" t="s">
        <v>46569</v>
      </c>
      <c r="O11814" t="s">
        <v>46570</v>
      </c>
      <c r="P11814">
        <v>0</v>
      </c>
      <c r="Q11814">
        <v>0</v>
      </c>
      <c r="R11814" t="s">
        <v>46580</v>
      </c>
      <c r="S11814" t="s">
        <v>46986</v>
      </c>
      <c r="T11814" t="s">
        <v>48223</v>
      </c>
      <c r="U11814" t="s">
        <v>58257</v>
      </c>
      <c r="W11814" t="s">
        <v>45988</v>
      </c>
      <c r="X11814" t="s">
        <v>46581</v>
      </c>
    </row>
    <row r="11815" spans="1:24">
      <c r="A11815">
        <f>HYPERLINK("https://www.philgeps.gov.ph/GEPSNONPILOT/Tender/SplashBidNoticeAbstractUI.aspx?menuIndex=3&amp;refID=7044987&amp;Result=3","7044987")</f>
        <v>0</v>
      </c>
      <c r="B11815" t="s">
        <v>2852</v>
      </c>
      <c r="C11815" t="s">
        <v>14732</v>
      </c>
      <c r="D11815" t="s">
        <v>18794</v>
      </c>
      <c r="E11815" t="s">
        <v>29046</v>
      </c>
      <c r="F11815" t="s">
        <v>32664</v>
      </c>
      <c r="G11815" t="s">
        <v>32672</v>
      </c>
      <c r="H11815" t="s">
        <v>12635</v>
      </c>
      <c r="I11815" t="s">
        <v>4439</v>
      </c>
      <c r="J11815" t="s">
        <v>39798</v>
      </c>
      <c r="K11815" t="s">
        <v>42281</v>
      </c>
      <c r="L11815" t="s">
        <v>2852</v>
      </c>
      <c r="M11815" t="s">
        <v>45996</v>
      </c>
      <c r="N11815" t="s">
        <v>46569</v>
      </c>
      <c r="O11815" t="s">
        <v>46570</v>
      </c>
      <c r="P11815">
        <v>0</v>
      </c>
      <c r="Q11815">
        <v>1</v>
      </c>
      <c r="R11815" t="s">
        <v>46580</v>
      </c>
      <c r="S11815" t="s">
        <v>46986</v>
      </c>
      <c r="T11815" t="s">
        <v>48374</v>
      </c>
      <c r="U11815" t="s">
        <v>58258</v>
      </c>
      <c r="W11815" t="s">
        <v>45996</v>
      </c>
      <c r="X11815" t="s">
        <v>46581</v>
      </c>
    </row>
    <row r="11816" spans="1:24">
      <c r="A11816">
        <f>HYPERLINK("https://www.philgeps.gov.ph/GEPSNONPILOT/Tender/SplashBidNoticeAbstractUI.aspx?menuIndex=3&amp;refID=7045123&amp;Result=3","7045123")</f>
        <v>0</v>
      </c>
      <c r="B11816" t="s">
        <v>2852</v>
      </c>
      <c r="C11816" t="s">
        <v>14733</v>
      </c>
      <c r="D11816" t="s">
        <v>18794</v>
      </c>
      <c r="E11816" t="s">
        <v>29047</v>
      </c>
      <c r="F11816" t="s">
        <v>32664</v>
      </c>
      <c r="G11816" t="s">
        <v>32672</v>
      </c>
      <c r="H11816" t="s">
        <v>12635</v>
      </c>
      <c r="I11816" t="s">
        <v>32712</v>
      </c>
      <c r="J11816" t="s">
        <v>35518</v>
      </c>
      <c r="K11816" t="s">
        <v>42298</v>
      </c>
      <c r="L11816" t="s">
        <v>2852</v>
      </c>
      <c r="M11816" t="s">
        <v>45996</v>
      </c>
      <c r="N11816" t="s">
        <v>46569</v>
      </c>
      <c r="O11816" t="s">
        <v>46570</v>
      </c>
      <c r="P11816">
        <v>0</v>
      </c>
      <c r="Q11816">
        <v>31</v>
      </c>
      <c r="R11816" t="s">
        <v>46580</v>
      </c>
      <c r="S11816" t="s">
        <v>46986</v>
      </c>
      <c r="T11816" t="s">
        <v>48374</v>
      </c>
      <c r="U11816" t="s">
        <v>58259</v>
      </c>
      <c r="W11816" t="s">
        <v>45996</v>
      </c>
      <c r="X11816" t="s">
        <v>46581</v>
      </c>
    </row>
    <row r="11817" spans="1:24">
      <c r="A11817">
        <f>HYPERLINK("https://www.philgeps.gov.ph/GEPSNONPILOT/Tender/SplashBidNoticeAbstractUI.aspx?menuIndex=3&amp;refID=7045015&amp;Result=3","7045015")</f>
        <v>0</v>
      </c>
      <c r="B11817" t="s">
        <v>3108</v>
      </c>
      <c r="C11817" t="s">
        <v>14734</v>
      </c>
      <c r="D11817" t="s">
        <v>18788</v>
      </c>
      <c r="E11817" t="s">
        <v>29048</v>
      </c>
      <c r="F11817" t="s">
        <v>32664</v>
      </c>
      <c r="G11817" t="s">
        <v>32672</v>
      </c>
      <c r="H11817" t="s">
        <v>32682</v>
      </c>
      <c r="I11817" t="s">
        <v>14442</v>
      </c>
      <c r="J11817" t="s">
        <v>39799</v>
      </c>
      <c r="K11817" t="s">
        <v>42281</v>
      </c>
      <c r="M11817" t="s">
        <v>45998</v>
      </c>
      <c r="N11817" t="s">
        <v>46569</v>
      </c>
      <c r="O11817" t="s">
        <v>46570</v>
      </c>
      <c r="P11817">
        <v>0</v>
      </c>
      <c r="Q11817">
        <v>0</v>
      </c>
      <c r="R11817" t="s">
        <v>46580</v>
      </c>
      <c r="S11817" t="s">
        <v>46986</v>
      </c>
      <c r="T11817" t="s">
        <v>48244</v>
      </c>
      <c r="U11817" t="s">
        <v>58260</v>
      </c>
      <c r="W11817" t="s">
        <v>45998</v>
      </c>
      <c r="X11817" t="s">
        <v>46581</v>
      </c>
    </row>
    <row r="11818" spans="1:24">
      <c r="A11818">
        <f>HYPERLINK("https://www.philgeps.gov.ph/GEPSNONPILOT/Tender/SplashBidNoticeAbstractUI.aspx?menuIndex=3&amp;refID=7045114&amp;Result=3","7045114")</f>
        <v>0</v>
      </c>
      <c r="B11818" t="s">
        <v>3109</v>
      </c>
      <c r="C11818" t="s">
        <v>14735</v>
      </c>
      <c r="D11818" t="s">
        <v>18782</v>
      </c>
      <c r="E11818" t="s">
        <v>29049</v>
      </c>
      <c r="F11818" t="s">
        <v>32664</v>
      </c>
      <c r="G11818" t="s">
        <v>32672</v>
      </c>
      <c r="H11818" t="s">
        <v>32683</v>
      </c>
      <c r="I11818" t="s">
        <v>10627</v>
      </c>
      <c r="J11818" t="s">
        <v>32898</v>
      </c>
      <c r="K11818" t="s">
        <v>42281</v>
      </c>
      <c r="M11818" t="s">
        <v>45999</v>
      </c>
      <c r="N11818" t="s">
        <v>46569</v>
      </c>
      <c r="O11818" t="s">
        <v>46570</v>
      </c>
      <c r="P11818">
        <v>0</v>
      </c>
      <c r="Q11818">
        <v>1</v>
      </c>
      <c r="R11818" t="s">
        <v>46580</v>
      </c>
      <c r="S11818" t="s">
        <v>46986</v>
      </c>
      <c r="T11818" t="s">
        <v>48246</v>
      </c>
      <c r="U11818" t="s">
        <v>58261</v>
      </c>
      <c r="W11818" t="s">
        <v>45999</v>
      </c>
      <c r="X11818" t="s">
        <v>46581</v>
      </c>
    </row>
    <row r="11819" spans="1:24">
      <c r="A11819">
        <f>HYPERLINK("https://www.philgeps.gov.ph/GEPSNONPILOT/Tender/SplashBidNoticeAbstractUI.aspx?menuIndex=3&amp;refID=7044858&amp;Result=3","7044858")</f>
        <v>0</v>
      </c>
      <c r="B11819" t="s">
        <v>3108</v>
      </c>
      <c r="C11819" t="s">
        <v>14736</v>
      </c>
      <c r="D11819" t="s">
        <v>18788</v>
      </c>
      <c r="E11819" t="s">
        <v>29050</v>
      </c>
      <c r="F11819" t="s">
        <v>32664</v>
      </c>
      <c r="G11819" t="s">
        <v>32672</v>
      </c>
      <c r="H11819" t="s">
        <v>32683</v>
      </c>
      <c r="I11819" t="s">
        <v>10627</v>
      </c>
      <c r="J11819" t="s">
        <v>39800</v>
      </c>
      <c r="K11819" t="s">
        <v>42283</v>
      </c>
      <c r="M11819" t="s">
        <v>45998</v>
      </c>
      <c r="N11819" t="s">
        <v>46569</v>
      </c>
      <c r="O11819" t="s">
        <v>46570</v>
      </c>
      <c r="P11819">
        <v>0</v>
      </c>
      <c r="Q11819">
        <v>0</v>
      </c>
      <c r="R11819" t="s">
        <v>46580</v>
      </c>
      <c r="S11819" t="s">
        <v>46986</v>
      </c>
      <c r="T11819" t="s">
        <v>48244</v>
      </c>
      <c r="U11819" t="s">
        <v>58262</v>
      </c>
      <c r="W11819" t="s">
        <v>45998</v>
      </c>
      <c r="X11819" t="s">
        <v>46581</v>
      </c>
    </row>
    <row r="11820" spans="1:24">
      <c r="A11820">
        <f>HYPERLINK("https://www.philgeps.gov.ph/GEPSNONPILOT/Tender/SplashBidNoticeAbstractUI.aspx?menuIndex=3&amp;refID=7044596&amp;Result=3","7044596")</f>
        <v>0</v>
      </c>
      <c r="B11820" t="s">
        <v>3110</v>
      </c>
      <c r="C11820" t="s">
        <v>14737</v>
      </c>
      <c r="D11820" t="s">
        <v>18810</v>
      </c>
      <c r="E11820" t="s">
        <v>19771</v>
      </c>
      <c r="F11820" t="s">
        <v>32664</v>
      </c>
      <c r="G11820" t="s">
        <v>32672</v>
      </c>
      <c r="H11820" t="s">
        <v>12635</v>
      </c>
      <c r="I11820" t="s">
        <v>4439</v>
      </c>
      <c r="J11820" t="s">
        <v>32982</v>
      </c>
      <c r="K11820" t="s">
        <v>42305</v>
      </c>
      <c r="M11820" t="s">
        <v>46000</v>
      </c>
      <c r="N11820" t="s">
        <v>46569</v>
      </c>
      <c r="O11820" t="s">
        <v>46570</v>
      </c>
      <c r="P11820">
        <v>0</v>
      </c>
      <c r="Q11820">
        <v>1</v>
      </c>
      <c r="R11820" t="s">
        <v>46580</v>
      </c>
      <c r="S11820" t="s">
        <v>46986</v>
      </c>
      <c r="T11820" t="s">
        <v>48248</v>
      </c>
      <c r="U11820" t="s">
        <v>58263</v>
      </c>
      <c r="V11820" t="s">
        <v>61668</v>
      </c>
      <c r="W11820" t="s">
        <v>46000</v>
      </c>
      <c r="X11820" t="s">
        <v>46581</v>
      </c>
    </row>
    <row r="11821" spans="1:24">
      <c r="A11821">
        <f>HYPERLINK("https://www.philgeps.gov.ph/GEPSNONPILOT/Tender/SplashBidNoticeAbstractUI.aspx?menuIndex=3&amp;refID=7045112&amp;Result=3","7045112")</f>
        <v>0</v>
      </c>
      <c r="B11821" t="s">
        <v>2035</v>
      </c>
      <c r="C11821" t="s">
        <v>14738</v>
      </c>
      <c r="D11821" t="s">
        <v>18784</v>
      </c>
      <c r="E11821" t="s">
        <v>25548</v>
      </c>
      <c r="F11821" t="s">
        <v>32664</v>
      </c>
      <c r="G11821" t="s">
        <v>32672</v>
      </c>
      <c r="H11821" t="s">
        <v>12635</v>
      </c>
      <c r="I11821" t="s">
        <v>5589</v>
      </c>
      <c r="J11821" t="s">
        <v>38882</v>
      </c>
      <c r="K11821" t="s">
        <v>42283</v>
      </c>
      <c r="M11821" t="s">
        <v>44779</v>
      </c>
      <c r="N11821" t="s">
        <v>46569</v>
      </c>
      <c r="O11821" t="s">
        <v>46570</v>
      </c>
      <c r="P11821">
        <v>0</v>
      </c>
      <c r="Q11821">
        <v>22</v>
      </c>
      <c r="R11821" t="s">
        <v>46580</v>
      </c>
      <c r="S11821" t="s">
        <v>46986</v>
      </c>
      <c r="T11821" t="s">
        <v>48284</v>
      </c>
      <c r="U11821" t="s">
        <v>58264</v>
      </c>
      <c r="W11821" t="s">
        <v>44779</v>
      </c>
      <c r="X11821" t="s">
        <v>46581</v>
      </c>
    </row>
    <row r="11822" spans="1:24">
      <c r="A11822">
        <f>HYPERLINK("https://www.philgeps.gov.ph/GEPSNONPILOT/Tender/SplashBidNoticeAbstractUI.aspx?menuIndex=3&amp;refID=7045129&amp;Result=3","7045129")</f>
        <v>0</v>
      </c>
      <c r="B11822" t="s">
        <v>1968</v>
      </c>
      <c r="C11822" t="s">
        <v>14739</v>
      </c>
      <c r="D11822" t="s">
        <v>18791</v>
      </c>
      <c r="E11822" t="s">
        <v>20248</v>
      </c>
      <c r="F11822" t="s">
        <v>32664</v>
      </c>
      <c r="G11822" t="s">
        <v>32672</v>
      </c>
      <c r="H11822" t="s">
        <v>12635</v>
      </c>
      <c r="I11822" t="s">
        <v>4439</v>
      </c>
      <c r="J11822" t="s">
        <v>39801</v>
      </c>
      <c r="K11822" t="s">
        <v>42281</v>
      </c>
      <c r="M11822" t="s">
        <v>44701</v>
      </c>
      <c r="N11822" t="s">
        <v>46569</v>
      </c>
      <c r="O11822" t="s">
        <v>46570</v>
      </c>
      <c r="P11822">
        <v>0</v>
      </c>
      <c r="Q11822">
        <v>0</v>
      </c>
      <c r="R11822" t="s">
        <v>46580</v>
      </c>
      <c r="S11822" t="s">
        <v>46986</v>
      </c>
      <c r="T11822" t="s">
        <v>48381</v>
      </c>
      <c r="U11822" t="s">
        <v>58265</v>
      </c>
      <c r="W11822" t="s">
        <v>44701</v>
      </c>
      <c r="X11822" t="s">
        <v>46581</v>
      </c>
    </row>
    <row r="11823" spans="1:24">
      <c r="A11823">
        <f>HYPERLINK("https://www.philgeps.gov.ph/GEPSNONPILOT/Tender/SplashBidNoticeAbstractUI.aspx?menuIndex=3&amp;refID=7045051&amp;Result=3","7045051")</f>
        <v>0</v>
      </c>
      <c r="B11823" t="s">
        <v>1838</v>
      </c>
      <c r="C11823" t="s">
        <v>14740</v>
      </c>
      <c r="D11823" t="s">
        <v>18799</v>
      </c>
      <c r="E11823" t="s">
        <v>29051</v>
      </c>
      <c r="F11823" t="s">
        <v>32664</v>
      </c>
      <c r="G11823" t="s">
        <v>32671</v>
      </c>
      <c r="H11823" t="s">
        <v>12635</v>
      </c>
      <c r="I11823" t="s">
        <v>32771</v>
      </c>
      <c r="J11823" t="s">
        <v>32853</v>
      </c>
      <c r="K11823" t="s">
        <v>42283</v>
      </c>
      <c r="M11823" t="s">
        <v>44546</v>
      </c>
      <c r="N11823" t="s">
        <v>46569</v>
      </c>
      <c r="O11823" t="s">
        <v>46570</v>
      </c>
      <c r="Q11823">
        <v>11</v>
      </c>
      <c r="R11823" t="s">
        <v>46580</v>
      </c>
      <c r="S11823" t="s">
        <v>46977</v>
      </c>
      <c r="T11823" t="s">
        <v>48473</v>
      </c>
      <c r="U11823" t="s">
        <v>49565</v>
      </c>
      <c r="W11823" t="s">
        <v>44546</v>
      </c>
      <c r="X11823" t="s">
        <v>46581</v>
      </c>
    </row>
    <row r="11824" spans="1:24">
      <c r="A11824">
        <f>HYPERLINK("https://www.philgeps.gov.ph/GEPSNONPILOT/Tender/SplashBidNoticeAbstractUI.aspx?menuIndex=3&amp;refID=7045111&amp;Result=3","7045111")</f>
        <v>0</v>
      </c>
      <c r="B11824" t="s">
        <v>1007</v>
      </c>
      <c r="C11824" t="s">
        <v>14741</v>
      </c>
      <c r="D11824" t="s">
        <v>18812</v>
      </c>
      <c r="E11824" t="s">
        <v>29052</v>
      </c>
      <c r="F11824" t="s">
        <v>32664</v>
      </c>
      <c r="G11824" t="s">
        <v>32672</v>
      </c>
      <c r="H11824" t="s">
        <v>12635</v>
      </c>
      <c r="I11824" t="s">
        <v>32712</v>
      </c>
      <c r="J11824" t="s">
        <v>33580</v>
      </c>
      <c r="K11824" t="s">
        <v>42284</v>
      </c>
      <c r="M11824" t="s">
        <v>44391</v>
      </c>
      <c r="N11824" t="s">
        <v>46569</v>
      </c>
      <c r="O11824" t="s">
        <v>46570</v>
      </c>
      <c r="P11824">
        <v>0</v>
      </c>
      <c r="Q11824">
        <v>19</v>
      </c>
      <c r="R11824" t="s">
        <v>46580</v>
      </c>
      <c r="S11824" t="s">
        <v>46986</v>
      </c>
      <c r="T11824" t="s">
        <v>48487</v>
      </c>
      <c r="U11824" t="s">
        <v>58266</v>
      </c>
      <c r="W11824" t="s">
        <v>44391</v>
      </c>
      <c r="X11824" t="s">
        <v>46581</v>
      </c>
    </row>
    <row r="11825" spans="1:24">
      <c r="A11825">
        <f>HYPERLINK("https://www.philgeps.gov.ph/GEPSNONPILOT/Tender/SplashBidNoticeAbstractUI.aspx?menuIndex=3&amp;refID=7045103&amp;Result=3","7045103")</f>
        <v>0</v>
      </c>
      <c r="B11825" t="s">
        <v>794</v>
      </c>
      <c r="C11825" t="s">
        <v>14742</v>
      </c>
      <c r="D11825" t="s">
        <v>18806</v>
      </c>
      <c r="E11825" t="s">
        <v>29053</v>
      </c>
      <c r="F11825" t="s">
        <v>32664</v>
      </c>
      <c r="G11825" t="s">
        <v>32672</v>
      </c>
      <c r="H11825" t="s">
        <v>12635</v>
      </c>
      <c r="I11825" t="s">
        <v>4439</v>
      </c>
      <c r="J11825" t="s">
        <v>39802</v>
      </c>
      <c r="K11825" t="s">
        <v>42297</v>
      </c>
      <c r="M11825" t="s">
        <v>45991</v>
      </c>
      <c r="N11825" t="s">
        <v>46569</v>
      </c>
      <c r="O11825" t="s">
        <v>46570</v>
      </c>
      <c r="P11825">
        <v>0</v>
      </c>
      <c r="Q11825">
        <v>0</v>
      </c>
      <c r="R11825" t="s">
        <v>46580</v>
      </c>
      <c r="S11825" t="s">
        <v>46986</v>
      </c>
      <c r="T11825" t="s">
        <v>48246</v>
      </c>
      <c r="U11825" t="s">
        <v>58267</v>
      </c>
      <c r="W11825" t="s">
        <v>45991</v>
      </c>
      <c r="X11825" t="s">
        <v>46581</v>
      </c>
    </row>
    <row r="11826" spans="1:24">
      <c r="A11826">
        <f>HYPERLINK("https://www.philgeps.gov.ph/GEPSNONPILOT/Tender/SplashBidNoticeAbstractUI.aspx?menuIndex=3&amp;refID=7045106&amp;Result=3","7045106")</f>
        <v>0</v>
      </c>
      <c r="B11826" t="s">
        <v>2150</v>
      </c>
      <c r="C11826" t="s">
        <v>14743</v>
      </c>
      <c r="D11826" t="s">
        <v>18851</v>
      </c>
      <c r="E11826" t="s">
        <v>29054</v>
      </c>
      <c r="F11826" t="s">
        <v>32664</v>
      </c>
      <c r="G11826" t="s">
        <v>32672</v>
      </c>
      <c r="H11826" t="s">
        <v>12635</v>
      </c>
      <c r="I11826" t="s">
        <v>32743</v>
      </c>
      <c r="J11826" t="s">
        <v>32982</v>
      </c>
      <c r="K11826" t="s">
        <v>42281</v>
      </c>
      <c r="M11826" t="s">
        <v>44906</v>
      </c>
      <c r="N11826" t="s">
        <v>46569</v>
      </c>
      <c r="O11826" t="s">
        <v>46570</v>
      </c>
      <c r="P11826">
        <v>0</v>
      </c>
      <c r="Q11826">
        <v>11</v>
      </c>
      <c r="R11826" t="s">
        <v>46580</v>
      </c>
      <c r="S11826" t="s">
        <v>46986</v>
      </c>
      <c r="T11826" t="s">
        <v>48212</v>
      </c>
      <c r="U11826" t="s">
        <v>58268</v>
      </c>
      <c r="W11826" t="s">
        <v>44906</v>
      </c>
      <c r="X11826" t="s">
        <v>46581</v>
      </c>
    </row>
    <row r="11827" spans="1:24">
      <c r="A11827">
        <f>HYPERLINK("https://www.philgeps.gov.ph/GEPSNONPILOT/Tender/SplashBidNoticeAbstractUI.aspx?menuIndex=3&amp;refID=7045083&amp;Result=3","7045083")</f>
        <v>0</v>
      </c>
      <c r="B11827" t="s">
        <v>3111</v>
      </c>
      <c r="C11827" t="s">
        <v>4590</v>
      </c>
      <c r="D11827" t="s">
        <v>18848</v>
      </c>
      <c r="E11827" t="s">
        <v>29055</v>
      </c>
      <c r="F11827" t="s">
        <v>32664</v>
      </c>
      <c r="G11827" t="s">
        <v>32672</v>
      </c>
      <c r="H11827" t="s">
        <v>12635</v>
      </c>
      <c r="I11827" t="s">
        <v>6168</v>
      </c>
      <c r="J11827" t="s">
        <v>39803</v>
      </c>
      <c r="K11827" t="s">
        <v>42297</v>
      </c>
      <c r="M11827" t="s">
        <v>46001</v>
      </c>
      <c r="N11827" t="s">
        <v>46569</v>
      </c>
      <c r="O11827" t="s">
        <v>46570</v>
      </c>
      <c r="P11827">
        <v>0</v>
      </c>
      <c r="Q11827">
        <v>2</v>
      </c>
      <c r="R11827" t="s">
        <v>46580</v>
      </c>
      <c r="S11827" t="s">
        <v>46986</v>
      </c>
      <c r="T11827" t="s">
        <v>48228</v>
      </c>
      <c r="U11827" t="s">
        <v>58269</v>
      </c>
      <c r="W11827" t="s">
        <v>46001</v>
      </c>
      <c r="X11827" t="s">
        <v>46581</v>
      </c>
    </row>
    <row r="11828" spans="1:24">
      <c r="A11828">
        <f>HYPERLINK("https://www.philgeps.gov.ph/GEPSNONPILOT/Tender/SplashBidNoticeAbstractUI.aspx?menuIndex=3&amp;refID=7045085&amp;Result=3","7045085")</f>
        <v>0</v>
      </c>
      <c r="B11828" t="s">
        <v>1007</v>
      </c>
      <c r="C11828" t="s">
        <v>14744</v>
      </c>
      <c r="D11828" t="s">
        <v>18812</v>
      </c>
      <c r="E11828" t="s">
        <v>29056</v>
      </c>
      <c r="F11828" t="s">
        <v>32664</v>
      </c>
      <c r="G11828" t="s">
        <v>32672</v>
      </c>
      <c r="H11828" t="s">
        <v>12635</v>
      </c>
      <c r="I11828" t="s">
        <v>32684</v>
      </c>
      <c r="J11828" t="s">
        <v>39804</v>
      </c>
      <c r="K11828" t="s">
        <v>42284</v>
      </c>
      <c r="M11828" t="s">
        <v>44391</v>
      </c>
      <c r="N11828" t="s">
        <v>46569</v>
      </c>
      <c r="O11828" t="s">
        <v>46570</v>
      </c>
      <c r="P11828">
        <v>0</v>
      </c>
      <c r="Q11828">
        <v>6</v>
      </c>
      <c r="R11828" t="s">
        <v>46580</v>
      </c>
      <c r="S11828" t="s">
        <v>46986</v>
      </c>
      <c r="T11828" t="s">
        <v>48487</v>
      </c>
      <c r="U11828" t="s">
        <v>58270</v>
      </c>
      <c r="W11828" t="s">
        <v>44391</v>
      </c>
      <c r="X11828" t="s">
        <v>46581</v>
      </c>
    </row>
    <row r="11829" spans="1:24">
      <c r="A11829">
        <f>HYPERLINK("https://www.philgeps.gov.ph/GEPSNONPILOT/Tender/SplashBidNoticeAbstractUI.aspx?menuIndex=3&amp;refID=7045131&amp;Result=3","7045131")</f>
        <v>0</v>
      </c>
      <c r="B11829" t="s">
        <v>3108</v>
      </c>
      <c r="C11829" t="s">
        <v>14745</v>
      </c>
      <c r="D11829" t="s">
        <v>18788</v>
      </c>
      <c r="E11829" t="s">
        <v>29057</v>
      </c>
      <c r="F11829" t="s">
        <v>32664</v>
      </c>
      <c r="G11829" t="s">
        <v>32672</v>
      </c>
      <c r="H11829" t="s">
        <v>32683</v>
      </c>
      <c r="I11829" t="s">
        <v>10627</v>
      </c>
      <c r="J11829" t="s">
        <v>39805</v>
      </c>
      <c r="K11829" t="s">
        <v>42283</v>
      </c>
      <c r="M11829" t="s">
        <v>45998</v>
      </c>
      <c r="N11829" t="s">
        <v>46569</v>
      </c>
      <c r="O11829" t="s">
        <v>46570</v>
      </c>
      <c r="P11829">
        <v>0</v>
      </c>
      <c r="Q11829">
        <v>0</v>
      </c>
      <c r="R11829" t="s">
        <v>46580</v>
      </c>
      <c r="S11829" t="s">
        <v>46986</v>
      </c>
      <c r="T11829" t="s">
        <v>48244</v>
      </c>
      <c r="U11829" t="s">
        <v>58271</v>
      </c>
      <c r="W11829" t="s">
        <v>45998</v>
      </c>
      <c r="X11829" t="s">
        <v>46581</v>
      </c>
    </row>
    <row r="11830" spans="1:24">
      <c r="A11830">
        <f>HYPERLINK("https://www.philgeps.gov.ph/GEPSNONPILOT/Tender/SplashBidNoticeAbstractUI.aspx?menuIndex=3&amp;refID=7045078&amp;Result=3","7045078")</f>
        <v>0</v>
      </c>
      <c r="B11830" t="s">
        <v>471</v>
      </c>
      <c r="C11830" t="s">
        <v>14746</v>
      </c>
      <c r="D11830" t="s">
        <v>18785</v>
      </c>
      <c r="E11830" t="s">
        <v>29058</v>
      </c>
      <c r="F11830" t="s">
        <v>32664</v>
      </c>
      <c r="G11830" t="s">
        <v>32672</v>
      </c>
      <c r="H11830" t="s">
        <v>32682</v>
      </c>
      <c r="I11830" t="s">
        <v>32740</v>
      </c>
      <c r="J11830" t="s">
        <v>39806</v>
      </c>
      <c r="K11830" t="s">
        <v>42334</v>
      </c>
      <c r="M11830" t="s">
        <v>43046</v>
      </c>
      <c r="N11830" t="s">
        <v>46569</v>
      </c>
      <c r="O11830" t="s">
        <v>46570</v>
      </c>
      <c r="P11830">
        <v>0</v>
      </c>
      <c r="Q11830">
        <v>3</v>
      </c>
      <c r="R11830" t="s">
        <v>46580</v>
      </c>
      <c r="S11830" t="s">
        <v>46986</v>
      </c>
      <c r="T11830" t="s">
        <v>48212</v>
      </c>
      <c r="U11830" t="s">
        <v>58272</v>
      </c>
      <c r="W11830" t="s">
        <v>43046</v>
      </c>
      <c r="X11830" t="s">
        <v>46581</v>
      </c>
    </row>
    <row r="11831" spans="1:24">
      <c r="A11831">
        <f>HYPERLINK("https://www.philgeps.gov.ph/GEPSNONPILOT/Tender/SplashBidNoticeAbstractUI.aspx?menuIndex=3&amp;refID=7045069&amp;Result=3","7045069")</f>
        <v>0</v>
      </c>
      <c r="B11831" t="s">
        <v>1988</v>
      </c>
      <c r="C11831" t="s">
        <v>14747</v>
      </c>
      <c r="D11831" t="s">
        <v>18830</v>
      </c>
      <c r="E11831" t="s">
        <v>20559</v>
      </c>
      <c r="F11831" t="s">
        <v>32664</v>
      </c>
      <c r="G11831" t="s">
        <v>32672</v>
      </c>
      <c r="H11831" t="s">
        <v>32683</v>
      </c>
      <c r="I11831" t="s">
        <v>10627</v>
      </c>
      <c r="J11831" t="s">
        <v>33267</v>
      </c>
      <c r="K11831" t="s">
        <v>42314</v>
      </c>
      <c r="M11831" t="s">
        <v>46002</v>
      </c>
      <c r="N11831" t="s">
        <v>46569</v>
      </c>
      <c r="O11831" t="s">
        <v>46570</v>
      </c>
      <c r="P11831">
        <v>0</v>
      </c>
      <c r="Q11831">
        <v>2</v>
      </c>
      <c r="R11831" t="s">
        <v>46580</v>
      </c>
      <c r="S11831" t="s">
        <v>46986</v>
      </c>
      <c r="T11831" t="s">
        <v>48256</v>
      </c>
      <c r="U11831" t="s">
        <v>58273</v>
      </c>
      <c r="V11831" t="s">
        <v>62911</v>
      </c>
      <c r="W11831" t="s">
        <v>46002</v>
      </c>
      <c r="X11831" t="s">
        <v>46581</v>
      </c>
    </row>
    <row r="11832" spans="1:24">
      <c r="A11832">
        <f>HYPERLINK("https://www.philgeps.gov.ph/GEPSNONPILOT/Tender/SplashBidNoticeAbstractUI.aspx?menuIndex=3&amp;refID=7045113&amp;Result=3","7045113")</f>
        <v>0</v>
      </c>
      <c r="B11832" t="s">
        <v>1609</v>
      </c>
      <c r="C11832" t="s">
        <v>14748</v>
      </c>
      <c r="D11832" t="s">
        <v>18782</v>
      </c>
      <c r="E11832" t="s">
        <v>29059</v>
      </c>
      <c r="F11832" t="s">
        <v>32664</v>
      </c>
      <c r="G11832" t="s">
        <v>32672</v>
      </c>
      <c r="H11832" t="s">
        <v>12635</v>
      </c>
      <c r="I11832" t="s">
        <v>5589</v>
      </c>
      <c r="J11832" t="s">
        <v>38036</v>
      </c>
      <c r="K11832" t="s">
        <v>42290</v>
      </c>
      <c r="M11832" t="s">
        <v>44288</v>
      </c>
      <c r="N11832" t="s">
        <v>46569</v>
      </c>
      <c r="O11832" t="s">
        <v>46570</v>
      </c>
      <c r="Q11832">
        <v>7</v>
      </c>
      <c r="R11832" t="s">
        <v>46580</v>
      </c>
      <c r="S11832" t="s">
        <v>46993</v>
      </c>
      <c r="T11832" t="s">
        <v>48220</v>
      </c>
      <c r="U11832" t="s">
        <v>58274</v>
      </c>
      <c r="V11832" t="s">
        <v>62088</v>
      </c>
      <c r="W11832" t="s">
        <v>44288</v>
      </c>
      <c r="X11832" t="s">
        <v>46581</v>
      </c>
    </row>
    <row r="11833" spans="1:24">
      <c r="A11833">
        <f>HYPERLINK("https://www.philgeps.gov.ph/GEPSNONPILOT/Tender/SplashBidNoticeAbstractUI.aspx?menuIndex=3&amp;refID=7044976&amp;Result=3","7044976")</f>
        <v>0</v>
      </c>
      <c r="B11833" t="s">
        <v>3042</v>
      </c>
      <c r="C11833" t="s">
        <v>14749</v>
      </c>
      <c r="D11833" t="s">
        <v>18840</v>
      </c>
      <c r="E11833" t="s">
        <v>29060</v>
      </c>
      <c r="F11833" t="s">
        <v>32664</v>
      </c>
      <c r="G11833" t="s">
        <v>32672</v>
      </c>
      <c r="H11833" t="s">
        <v>32683</v>
      </c>
      <c r="I11833" t="s">
        <v>10627</v>
      </c>
      <c r="J11833" t="s">
        <v>39807</v>
      </c>
      <c r="K11833" t="s">
        <v>42298</v>
      </c>
      <c r="M11833" t="s">
        <v>45915</v>
      </c>
      <c r="N11833" t="s">
        <v>46569</v>
      </c>
      <c r="O11833" t="s">
        <v>46570</v>
      </c>
      <c r="P11833">
        <v>0</v>
      </c>
      <c r="Q11833">
        <v>0</v>
      </c>
      <c r="R11833" t="s">
        <v>46580</v>
      </c>
      <c r="S11833" t="s">
        <v>46986</v>
      </c>
      <c r="T11833" t="s">
        <v>48248</v>
      </c>
      <c r="U11833" t="s">
        <v>58275</v>
      </c>
      <c r="V11833" t="s">
        <v>62846</v>
      </c>
      <c r="W11833" t="s">
        <v>45915</v>
      </c>
      <c r="X11833" t="s">
        <v>46581</v>
      </c>
    </row>
    <row r="11834" spans="1:24">
      <c r="A11834">
        <f>HYPERLINK("https://www.philgeps.gov.ph/GEPSNONPILOT/Tender/SplashBidNoticeAbstractUI.aspx?menuIndex=3&amp;refID=7044975&amp;Result=3","7044975")</f>
        <v>0</v>
      </c>
      <c r="B11834" t="s">
        <v>3112</v>
      </c>
      <c r="C11834" t="s">
        <v>14750</v>
      </c>
      <c r="D11834" t="s">
        <v>18781</v>
      </c>
      <c r="E11834" t="s">
        <v>29061</v>
      </c>
      <c r="F11834" t="s">
        <v>32664</v>
      </c>
      <c r="G11834" t="s">
        <v>32672</v>
      </c>
      <c r="H11834" t="s">
        <v>32683</v>
      </c>
      <c r="I11834" t="s">
        <v>10627</v>
      </c>
      <c r="J11834" t="s">
        <v>39808</v>
      </c>
      <c r="K11834" t="s">
        <v>42305</v>
      </c>
      <c r="M11834" t="s">
        <v>46003</v>
      </c>
      <c r="N11834" t="s">
        <v>46569</v>
      </c>
      <c r="O11834" t="s">
        <v>46570</v>
      </c>
      <c r="P11834">
        <v>0</v>
      </c>
      <c r="Q11834">
        <v>0</v>
      </c>
      <c r="R11834" t="s">
        <v>46580</v>
      </c>
      <c r="S11834" t="s">
        <v>46986</v>
      </c>
      <c r="T11834" t="s">
        <v>48276</v>
      </c>
      <c r="U11834" t="s">
        <v>58276</v>
      </c>
      <c r="W11834" t="s">
        <v>46003</v>
      </c>
      <c r="X11834" t="s">
        <v>46581</v>
      </c>
    </row>
    <row r="11835" spans="1:24">
      <c r="A11835">
        <f>HYPERLINK("https://www.philgeps.gov.ph/GEPSNONPILOT/Tender/SplashBidNoticeAbstractUI.aspx?menuIndex=3&amp;refID=7045088&amp;Result=3","7045088")</f>
        <v>0</v>
      </c>
      <c r="B11835" t="s">
        <v>3109</v>
      </c>
      <c r="C11835" t="s">
        <v>14751</v>
      </c>
      <c r="D11835" t="s">
        <v>18782</v>
      </c>
      <c r="E11835" t="s">
        <v>25795</v>
      </c>
      <c r="F11835" t="s">
        <v>32664</v>
      </c>
      <c r="G11835" t="s">
        <v>32672</v>
      </c>
      <c r="H11835" t="s">
        <v>12635</v>
      </c>
      <c r="I11835" t="s">
        <v>32694</v>
      </c>
      <c r="J11835" t="s">
        <v>39809</v>
      </c>
      <c r="K11835" t="s">
        <v>42330</v>
      </c>
      <c r="M11835" t="s">
        <v>45999</v>
      </c>
      <c r="N11835" t="s">
        <v>46569</v>
      </c>
      <c r="O11835" t="s">
        <v>46570</v>
      </c>
      <c r="P11835">
        <v>0</v>
      </c>
      <c r="Q11835">
        <v>0</v>
      </c>
      <c r="R11835" t="s">
        <v>46580</v>
      </c>
      <c r="S11835" t="s">
        <v>46986</v>
      </c>
      <c r="T11835" t="s">
        <v>48449</v>
      </c>
      <c r="U11835" t="s">
        <v>58277</v>
      </c>
      <c r="W11835" t="s">
        <v>45999</v>
      </c>
      <c r="X11835" t="s">
        <v>46581</v>
      </c>
    </row>
    <row r="11836" spans="1:24">
      <c r="A11836">
        <f>HYPERLINK("https://www.philgeps.gov.ph/GEPSNONPILOT/Tender/SplashBidNoticeAbstractUI.aspx?menuIndex=3&amp;refID=7045187&amp;Result=3","7045187")</f>
        <v>0</v>
      </c>
      <c r="B11836" t="s">
        <v>3113</v>
      </c>
      <c r="C11836" t="s">
        <v>14752</v>
      </c>
      <c r="D11836" t="s">
        <v>18808</v>
      </c>
      <c r="E11836" t="s">
        <v>29062</v>
      </c>
      <c r="F11836" t="s">
        <v>32670</v>
      </c>
      <c r="G11836" t="s">
        <v>32671</v>
      </c>
      <c r="H11836" t="s">
        <v>32681</v>
      </c>
      <c r="I11836" t="s">
        <v>32701</v>
      </c>
      <c r="J11836" t="s">
        <v>39810</v>
      </c>
      <c r="K11836" t="s">
        <v>42281</v>
      </c>
      <c r="M11836" t="s">
        <v>46004</v>
      </c>
      <c r="N11836" t="s">
        <v>46569</v>
      </c>
      <c r="O11836" t="s">
        <v>46570</v>
      </c>
      <c r="P11836">
        <v>0</v>
      </c>
      <c r="Q11836">
        <v>0</v>
      </c>
      <c r="R11836" t="s">
        <v>46580</v>
      </c>
      <c r="S11836" t="s">
        <v>46986</v>
      </c>
      <c r="T11836" t="s">
        <v>48376</v>
      </c>
      <c r="U11836" t="s">
        <v>58278</v>
      </c>
      <c r="V11836" t="s">
        <v>62912</v>
      </c>
      <c r="W11836" t="s">
        <v>46004</v>
      </c>
      <c r="X11836" t="s">
        <v>46581</v>
      </c>
    </row>
    <row r="11837" spans="1:24">
      <c r="A11837">
        <f>HYPERLINK("https://www.philgeps.gov.ph/GEPSNONPILOT/Tender/SplashBidNoticeAbstractUI.aspx?menuIndex=3&amp;refID=7045084&amp;Result=3","7045084")</f>
        <v>0</v>
      </c>
      <c r="B11837" t="s">
        <v>2852</v>
      </c>
      <c r="C11837" t="s">
        <v>14753</v>
      </c>
      <c r="D11837" t="s">
        <v>18794</v>
      </c>
      <c r="E11837" t="s">
        <v>29063</v>
      </c>
      <c r="F11837" t="s">
        <v>32664</v>
      </c>
      <c r="G11837" t="s">
        <v>32672</v>
      </c>
      <c r="H11837" t="s">
        <v>12635</v>
      </c>
      <c r="I11837" t="s">
        <v>32710</v>
      </c>
      <c r="J11837" t="s">
        <v>39811</v>
      </c>
      <c r="K11837" t="s">
        <v>42281</v>
      </c>
      <c r="L11837" t="s">
        <v>2852</v>
      </c>
      <c r="M11837" t="s">
        <v>45996</v>
      </c>
      <c r="N11837" t="s">
        <v>46569</v>
      </c>
      <c r="O11837" t="s">
        <v>46570</v>
      </c>
      <c r="P11837">
        <v>0</v>
      </c>
      <c r="Q11837">
        <v>6</v>
      </c>
      <c r="R11837" t="s">
        <v>46580</v>
      </c>
      <c r="S11837" t="s">
        <v>46986</v>
      </c>
      <c r="T11837" t="s">
        <v>48374</v>
      </c>
      <c r="U11837" t="s">
        <v>58279</v>
      </c>
      <c r="W11837" t="s">
        <v>45996</v>
      </c>
      <c r="X11837" t="s">
        <v>46581</v>
      </c>
    </row>
    <row r="11838" spans="1:24">
      <c r="A11838">
        <f>HYPERLINK("https://www.philgeps.gov.ph/GEPSNONPILOT/Tender/SplashBidNoticeAbstractUI.aspx?menuIndex=3&amp;refID=7045210&amp;Result=3","7045210")</f>
        <v>0</v>
      </c>
      <c r="B11838" t="s">
        <v>1007</v>
      </c>
      <c r="C11838" t="s">
        <v>14754</v>
      </c>
      <c r="D11838" t="s">
        <v>18812</v>
      </c>
      <c r="E11838" t="s">
        <v>29064</v>
      </c>
      <c r="F11838" t="s">
        <v>32664</v>
      </c>
      <c r="G11838" t="s">
        <v>32672</v>
      </c>
      <c r="H11838" t="s">
        <v>12635</v>
      </c>
      <c r="I11838" t="s">
        <v>11464</v>
      </c>
      <c r="J11838" t="s">
        <v>32930</v>
      </c>
      <c r="K11838" t="s">
        <v>42284</v>
      </c>
      <c r="M11838" t="s">
        <v>44391</v>
      </c>
      <c r="N11838" t="s">
        <v>46569</v>
      </c>
      <c r="O11838" t="s">
        <v>46570</v>
      </c>
      <c r="P11838">
        <v>0</v>
      </c>
      <c r="Q11838">
        <v>8</v>
      </c>
      <c r="R11838" t="s">
        <v>46580</v>
      </c>
      <c r="S11838" t="s">
        <v>46986</v>
      </c>
      <c r="T11838" t="s">
        <v>48487</v>
      </c>
      <c r="U11838" t="s">
        <v>58280</v>
      </c>
      <c r="W11838" t="s">
        <v>44391</v>
      </c>
      <c r="X11838" t="s">
        <v>46581</v>
      </c>
    </row>
    <row r="11839" spans="1:24">
      <c r="A11839">
        <f>HYPERLINK("https://www.philgeps.gov.ph/GEPSNONPILOT/Tender/SplashBidNoticeAbstractUI.aspx?menuIndex=3&amp;refID=7045057&amp;Result=3","7045057")</f>
        <v>0</v>
      </c>
      <c r="B11839" t="s">
        <v>1007</v>
      </c>
      <c r="C11839" t="s">
        <v>14755</v>
      </c>
      <c r="D11839" t="s">
        <v>18812</v>
      </c>
      <c r="E11839" t="s">
        <v>29065</v>
      </c>
      <c r="F11839" t="s">
        <v>32664</v>
      </c>
      <c r="G11839" t="s">
        <v>32672</v>
      </c>
      <c r="H11839" t="s">
        <v>12635</v>
      </c>
      <c r="I11839" t="s">
        <v>4439</v>
      </c>
      <c r="J11839" t="s">
        <v>39812</v>
      </c>
      <c r="K11839" t="s">
        <v>42284</v>
      </c>
      <c r="M11839" t="s">
        <v>44391</v>
      </c>
      <c r="N11839" t="s">
        <v>46569</v>
      </c>
      <c r="O11839" t="s">
        <v>46570</v>
      </c>
      <c r="P11839">
        <v>0</v>
      </c>
      <c r="Q11839">
        <v>2</v>
      </c>
      <c r="R11839" t="s">
        <v>46580</v>
      </c>
      <c r="S11839" t="s">
        <v>46986</v>
      </c>
      <c r="T11839" t="s">
        <v>48487</v>
      </c>
      <c r="U11839" t="s">
        <v>58281</v>
      </c>
      <c r="W11839" t="s">
        <v>44391</v>
      </c>
      <c r="X11839" t="s">
        <v>46581</v>
      </c>
    </row>
    <row r="11840" spans="1:24">
      <c r="A11840">
        <f>HYPERLINK("https://www.philgeps.gov.ph/GEPSNONPILOT/Tender/SplashBidNoticeAbstractUI.aspx?menuIndex=3&amp;refID=7045198&amp;Result=3","7045198")</f>
        <v>0</v>
      </c>
      <c r="B11840" t="s">
        <v>92</v>
      </c>
      <c r="C11840" t="s">
        <v>14756</v>
      </c>
      <c r="D11840" t="s">
        <v>18820</v>
      </c>
      <c r="E11840" t="s">
        <v>29066</v>
      </c>
      <c r="F11840" t="s">
        <v>32664</v>
      </c>
      <c r="G11840" t="s">
        <v>32672</v>
      </c>
      <c r="H11840" t="s">
        <v>32683</v>
      </c>
      <c r="I11840" t="s">
        <v>10627</v>
      </c>
      <c r="J11840" t="s">
        <v>32962</v>
      </c>
      <c r="K11840" t="s">
        <v>42298</v>
      </c>
      <c r="M11840" t="s">
        <v>42655</v>
      </c>
      <c r="N11840" t="s">
        <v>46569</v>
      </c>
      <c r="O11840" t="s">
        <v>46570</v>
      </c>
      <c r="P11840">
        <v>0</v>
      </c>
      <c r="Q11840">
        <v>0</v>
      </c>
      <c r="R11840" t="s">
        <v>46580</v>
      </c>
      <c r="S11840" t="s">
        <v>46986</v>
      </c>
      <c r="T11840" t="s">
        <v>48648</v>
      </c>
      <c r="U11840" t="s">
        <v>58282</v>
      </c>
      <c r="W11840" t="s">
        <v>42655</v>
      </c>
      <c r="X11840" t="s">
        <v>46581</v>
      </c>
    </row>
    <row r="11841" spans="1:24">
      <c r="A11841">
        <f>HYPERLINK("https://www.philgeps.gov.ph/GEPSNONPILOT/Tender/SplashBidNoticeAbstractUI.aspx?menuIndex=3&amp;refID=7045064&amp;Result=3","7045064")</f>
        <v>0</v>
      </c>
      <c r="B11841" t="s">
        <v>660</v>
      </c>
      <c r="C11841" t="s">
        <v>14757</v>
      </c>
      <c r="D11841" t="s">
        <v>18855</v>
      </c>
      <c r="E11841" t="s">
        <v>29067</v>
      </c>
      <c r="F11841" t="s">
        <v>32664</v>
      </c>
      <c r="G11841" t="s">
        <v>32672</v>
      </c>
      <c r="H11841" t="s">
        <v>32683</v>
      </c>
      <c r="I11841" t="s">
        <v>10627</v>
      </c>
      <c r="J11841" t="s">
        <v>32974</v>
      </c>
      <c r="K11841" t="s">
        <v>42283</v>
      </c>
      <c r="M11841" t="s">
        <v>43247</v>
      </c>
      <c r="N11841" t="s">
        <v>46569</v>
      </c>
      <c r="O11841" t="s">
        <v>46570</v>
      </c>
      <c r="P11841">
        <v>0</v>
      </c>
      <c r="Q11841">
        <v>1</v>
      </c>
      <c r="R11841" t="s">
        <v>46580</v>
      </c>
      <c r="S11841" t="s">
        <v>46986</v>
      </c>
      <c r="T11841" t="s">
        <v>48303</v>
      </c>
      <c r="U11841" t="s">
        <v>58194</v>
      </c>
      <c r="W11841" t="s">
        <v>43247</v>
      </c>
      <c r="X11841" t="s">
        <v>46581</v>
      </c>
    </row>
    <row r="11842" spans="1:24">
      <c r="A11842">
        <f>HYPERLINK("https://www.philgeps.gov.ph/GEPSNONPILOT/Tender/SplashBidNoticeAbstractUI.aspx?menuIndex=3&amp;refID=7045209&amp;Result=3","7045209")</f>
        <v>0</v>
      </c>
      <c r="B11842" t="s">
        <v>3114</v>
      </c>
      <c r="C11842" t="s">
        <v>14758</v>
      </c>
      <c r="D11842" t="s">
        <v>18807</v>
      </c>
      <c r="E11842" t="s">
        <v>29068</v>
      </c>
      <c r="F11842" t="s">
        <v>32664</v>
      </c>
      <c r="G11842" t="s">
        <v>32672</v>
      </c>
      <c r="H11842" t="s">
        <v>32683</v>
      </c>
      <c r="I11842" t="s">
        <v>10627</v>
      </c>
      <c r="J11842" t="s">
        <v>32837</v>
      </c>
      <c r="K11842" t="s">
        <v>42311</v>
      </c>
      <c r="M11842" t="s">
        <v>46005</v>
      </c>
      <c r="N11842" t="s">
        <v>46569</v>
      </c>
      <c r="O11842" t="s">
        <v>46570</v>
      </c>
      <c r="P11842">
        <v>0</v>
      </c>
      <c r="Q11842">
        <v>1</v>
      </c>
      <c r="R11842" t="s">
        <v>46580</v>
      </c>
      <c r="S11842" t="s">
        <v>46986</v>
      </c>
      <c r="T11842" t="s">
        <v>48303</v>
      </c>
      <c r="U11842" t="s">
        <v>58283</v>
      </c>
      <c r="W11842" t="s">
        <v>46005</v>
      </c>
      <c r="X11842" t="s">
        <v>46581</v>
      </c>
    </row>
    <row r="11843" spans="1:24">
      <c r="A11843">
        <f>HYPERLINK("https://www.philgeps.gov.ph/GEPSNONPILOT/Tender/SplashBidNoticeAbstractUI.aspx?menuIndex=3&amp;refID=7044964&amp;Result=3","7044964")</f>
        <v>0</v>
      </c>
      <c r="B11843" t="s">
        <v>2586</v>
      </c>
      <c r="C11843" t="s">
        <v>14759</v>
      </c>
      <c r="D11843" t="s">
        <v>18796</v>
      </c>
      <c r="E11843" t="s">
        <v>29069</v>
      </c>
      <c r="F11843" t="s">
        <v>32664</v>
      </c>
      <c r="G11843" t="s">
        <v>32672</v>
      </c>
      <c r="H11843" t="s">
        <v>12635</v>
      </c>
      <c r="I11843" t="s">
        <v>9597</v>
      </c>
      <c r="J11843" t="s">
        <v>32865</v>
      </c>
      <c r="K11843" t="s">
        <v>42281</v>
      </c>
      <c r="M11843" t="s">
        <v>45401</v>
      </c>
      <c r="N11843" t="s">
        <v>46569</v>
      </c>
      <c r="O11843" t="s">
        <v>46570</v>
      </c>
      <c r="P11843">
        <v>0</v>
      </c>
      <c r="Q11843">
        <v>2</v>
      </c>
      <c r="R11843" t="s">
        <v>46580</v>
      </c>
      <c r="S11843" t="s">
        <v>46986</v>
      </c>
      <c r="T11843" t="s">
        <v>48467</v>
      </c>
      <c r="U11843" t="s">
        <v>58284</v>
      </c>
      <c r="W11843" t="s">
        <v>45401</v>
      </c>
      <c r="X11843" t="s">
        <v>46581</v>
      </c>
    </row>
    <row r="11844" spans="1:24">
      <c r="A11844">
        <f>HYPERLINK("https://www.philgeps.gov.ph/GEPSNONPILOT/Tender/SplashBidNoticeAbstractUI.aspx?menuIndex=3&amp;refID=7045201&amp;Result=3","7045201")</f>
        <v>0</v>
      </c>
      <c r="B11844" t="s">
        <v>3115</v>
      </c>
      <c r="C11844" t="s">
        <v>14760</v>
      </c>
      <c r="D11844" t="s">
        <v>18818</v>
      </c>
      <c r="E11844" t="s">
        <v>29070</v>
      </c>
      <c r="F11844" t="s">
        <v>32664</v>
      </c>
      <c r="G11844" t="s">
        <v>32672</v>
      </c>
      <c r="H11844" t="s">
        <v>32683</v>
      </c>
      <c r="I11844" t="s">
        <v>10627</v>
      </c>
      <c r="J11844" t="s">
        <v>33858</v>
      </c>
      <c r="K11844" t="s">
        <v>42285</v>
      </c>
      <c r="M11844" t="s">
        <v>46006</v>
      </c>
      <c r="N11844" t="s">
        <v>46569</v>
      </c>
      <c r="O11844" t="s">
        <v>46570</v>
      </c>
      <c r="P11844">
        <v>0</v>
      </c>
      <c r="Q11844">
        <v>0</v>
      </c>
      <c r="R11844" t="s">
        <v>46580</v>
      </c>
      <c r="S11844" t="s">
        <v>46986</v>
      </c>
      <c r="T11844" t="s">
        <v>48212</v>
      </c>
      <c r="U11844" t="s">
        <v>58285</v>
      </c>
      <c r="W11844" t="s">
        <v>46006</v>
      </c>
      <c r="X11844" t="s">
        <v>46581</v>
      </c>
    </row>
    <row r="11845" spans="1:24">
      <c r="A11845">
        <f>HYPERLINK("https://www.philgeps.gov.ph/GEPSNONPILOT/Tender/SplashBidNoticeAbstractUI.aspx?menuIndex=3&amp;refID=7045194&amp;Result=3","7045194")</f>
        <v>0</v>
      </c>
      <c r="B11845" t="s">
        <v>3116</v>
      </c>
      <c r="C11845" t="s">
        <v>14761</v>
      </c>
      <c r="D11845" t="s">
        <v>18782</v>
      </c>
      <c r="E11845" t="s">
        <v>25795</v>
      </c>
      <c r="F11845" t="s">
        <v>32664</v>
      </c>
      <c r="G11845" t="s">
        <v>32672</v>
      </c>
      <c r="H11845" t="s">
        <v>12635</v>
      </c>
      <c r="I11845" t="s">
        <v>4439</v>
      </c>
      <c r="J11845" t="s">
        <v>39813</v>
      </c>
      <c r="K11845" t="s">
        <v>42297</v>
      </c>
      <c r="M11845" t="s">
        <v>46007</v>
      </c>
      <c r="N11845" t="s">
        <v>46569</v>
      </c>
      <c r="O11845" t="s">
        <v>46570</v>
      </c>
      <c r="P11845">
        <v>0</v>
      </c>
      <c r="Q11845">
        <v>0</v>
      </c>
      <c r="R11845" t="s">
        <v>46580</v>
      </c>
      <c r="S11845" t="s">
        <v>46986</v>
      </c>
      <c r="T11845" t="s">
        <v>48449</v>
      </c>
      <c r="U11845" t="s">
        <v>58286</v>
      </c>
      <c r="V11845" t="s">
        <v>58286</v>
      </c>
      <c r="W11845" t="s">
        <v>46007</v>
      </c>
      <c r="X11845" t="s">
        <v>46581</v>
      </c>
    </row>
    <row r="11846" spans="1:24">
      <c r="A11846">
        <f>HYPERLINK("https://www.philgeps.gov.ph/GEPSNONPILOT/Tender/SplashBidNoticeAbstractUI.aspx?menuIndex=3&amp;refID=7045179&amp;Result=3","7045179")</f>
        <v>0</v>
      </c>
      <c r="B11846" t="s">
        <v>3117</v>
      </c>
      <c r="C11846" t="s">
        <v>12219</v>
      </c>
      <c r="D11846" t="s">
        <v>18806</v>
      </c>
      <c r="E11846" t="s">
        <v>29071</v>
      </c>
      <c r="F11846" t="s">
        <v>32665</v>
      </c>
      <c r="G11846" t="s">
        <v>32672</v>
      </c>
      <c r="H11846" t="s">
        <v>12635</v>
      </c>
      <c r="I11846" t="s">
        <v>32736</v>
      </c>
      <c r="J11846" t="s">
        <v>39814</v>
      </c>
      <c r="K11846" t="s">
        <v>42281</v>
      </c>
      <c r="M11846" t="s">
        <v>46008</v>
      </c>
      <c r="N11846" t="s">
        <v>46569</v>
      </c>
      <c r="O11846" t="s">
        <v>46570</v>
      </c>
      <c r="P11846">
        <v>0</v>
      </c>
      <c r="Q11846">
        <v>0</v>
      </c>
      <c r="R11846" t="s">
        <v>46580</v>
      </c>
      <c r="S11846" t="s">
        <v>46986</v>
      </c>
      <c r="T11846" t="s">
        <v>48354</v>
      </c>
      <c r="U11846" t="s">
        <v>58287</v>
      </c>
      <c r="W11846" t="s">
        <v>46008</v>
      </c>
      <c r="X11846" t="s">
        <v>46581</v>
      </c>
    </row>
    <row r="11847" spans="1:24">
      <c r="A11847">
        <f>HYPERLINK("https://www.philgeps.gov.ph/GEPSNONPILOT/Tender/SplashBidNoticeAbstractUI.aspx?menuIndex=3&amp;refID=7044977&amp;Result=3","7044977")</f>
        <v>0</v>
      </c>
      <c r="B11847" t="s">
        <v>3118</v>
      </c>
      <c r="C11847" t="s">
        <v>14762</v>
      </c>
      <c r="D11847" t="s">
        <v>18828</v>
      </c>
      <c r="E11847" t="s">
        <v>29072</v>
      </c>
      <c r="F11847" t="s">
        <v>32664</v>
      </c>
      <c r="G11847" t="s">
        <v>32672</v>
      </c>
      <c r="H11847" t="s">
        <v>32683</v>
      </c>
      <c r="I11847" t="s">
        <v>10627</v>
      </c>
      <c r="J11847" t="s">
        <v>34806</v>
      </c>
      <c r="K11847" t="s">
        <v>42435</v>
      </c>
      <c r="M11847" t="s">
        <v>46009</v>
      </c>
      <c r="N11847" t="s">
        <v>46569</v>
      </c>
      <c r="O11847" t="s">
        <v>46570</v>
      </c>
      <c r="P11847">
        <v>0</v>
      </c>
      <c r="Q11847">
        <v>0</v>
      </c>
      <c r="R11847" t="s">
        <v>46580</v>
      </c>
      <c r="S11847" t="s">
        <v>46986</v>
      </c>
      <c r="T11847" t="s">
        <v>48283</v>
      </c>
      <c r="U11847" t="s">
        <v>58288</v>
      </c>
      <c r="W11847" t="s">
        <v>46009</v>
      </c>
      <c r="X11847" t="s">
        <v>46581</v>
      </c>
    </row>
    <row r="11848" spans="1:24">
      <c r="A11848">
        <f>HYPERLINK("https://www.philgeps.gov.ph/GEPSNONPILOT/Tender/SplashBidNoticeAbstractUI.aspx?menuIndex=3&amp;refID=7045169&amp;Result=3","7045169")</f>
        <v>0</v>
      </c>
      <c r="B11848" t="s">
        <v>1007</v>
      </c>
      <c r="C11848" t="s">
        <v>14763</v>
      </c>
      <c r="D11848" t="s">
        <v>18812</v>
      </c>
      <c r="E11848" t="s">
        <v>29073</v>
      </c>
      <c r="F11848" t="s">
        <v>32664</v>
      </c>
      <c r="G11848" t="s">
        <v>32672</v>
      </c>
      <c r="H11848" t="s">
        <v>12635</v>
      </c>
      <c r="I11848" t="s">
        <v>8849</v>
      </c>
      <c r="J11848" t="s">
        <v>39815</v>
      </c>
      <c r="K11848" t="s">
        <v>42284</v>
      </c>
      <c r="M11848" t="s">
        <v>44391</v>
      </c>
      <c r="N11848" t="s">
        <v>46569</v>
      </c>
      <c r="O11848" t="s">
        <v>46570</v>
      </c>
      <c r="P11848">
        <v>0</v>
      </c>
      <c r="Q11848">
        <v>0</v>
      </c>
      <c r="R11848" t="s">
        <v>46580</v>
      </c>
      <c r="S11848" t="s">
        <v>46986</v>
      </c>
      <c r="T11848" t="s">
        <v>48487</v>
      </c>
      <c r="U11848" t="s">
        <v>58289</v>
      </c>
      <c r="W11848" t="s">
        <v>44391</v>
      </c>
      <c r="X11848" t="s">
        <v>46581</v>
      </c>
    </row>
    <row r="11849" spans="1:24">
      <c r="A11849">
        <f>HYPERLINK("https://www.philgeps.gov.ph/GEPSNONPILOT/Tender/SplashBidNoticeAbstractUI.aspx?menuIndex=3&amp;refID=7045153&amp;Result=3","7045153")</f>
        <v>0</v>
      </c>
      <c r="B11849" t="s">
        <v>660</v>
      </c>
      <c r="C11849" t="s">
        <v>14764</v>
      </c>
      <c r="D11849" t="s">
        <v>18855</v>
      </c>
      <c r="E11849" t="s">
        <v>29074</v>
      </c>
      <c r="F11849" t="s">
        <v>32664</v>
      </c>
      <c r="G11849" t="s">
        <v>32672</v>
      </c>
      <c r="H11849" t="s">
        <v>32683</v>
      </c>
      <c r="I11849" t="s">
        <v>10627</v>
      </c>
      <c r="J11849" t="s">
        <v>32930</v>
      </c>
      <c r="K11849" t="s">
        <v>42283</v>
      </c>
      <c r="M11849" t="s">
        <v>43247</v>
      </c>
      <c r="N11849" t="s">
        <v>46569</v>
      </c>
      <c r="O11849" t="s">
        <v>46570</v>
      </c>
      <c r="P11849">
        <v>0</v>
      </c>
      <c r="Q11849">
        <v>1</v>
      </c>
      <c r="R11849" t="s">
        <v>46580</v>
      </c>
      <c r="S11849" t="s">
        <v>46986</v>
      </c>
      <c r="T11849" t="s">
        <v>48303</v>
      </c>
      <c r="U11849" t="s">
        <v>58194</v>
      </c>
      <c r="W11849" t="s">
        <v>43247</v>
      </c>
      <c r="X11849" t="s">
        <v>46581</v>
      </c>
    </row>
    <row r="11850" spans="1:24">
      <c r="A11850">
        <f>HYPERLINK("https://www.philgeps.gov.ph/GEPSNONPILOT/Tender/SplashBidNoticeAbstractUI.aspx?menuIndex=3&amp;refID=7044953&amp;Result=3","7044953")</f>
        <v>0</v>
      </c>
      <c r="B11850" t="s">
        <v>417</v>
      </c>
      <c r="C11850" t="s">
        <v>14765</v>
      </c>
      <c r="D11850" t="s">
        <v>18789</v>
      </c>
      <c r="E11850" t="s">
        <v>21625</v>
      </c>
      <c r="F11850" t="s">
        <v>32664</v>
      </c>
      <c r="G11850" t="s">
        <v>32672</v>
      </c>
      <c r="H11850" t="s">
        <v>12635</v>
      </c>
      <c r="I11850" t="s">
        <v>32699</v>
      </c>
      <c r="J11850" t="s">
        <v>39816</v>
      </c>
      <c r="K11850" t="s">
        <v>42297</v>
      </c>
      <c r="M11850" t="s">
        <v>42988</v>
      </c>
      <c r="N11850" t="s">
        <v>46569</v>
      </c>
      <c r="O11850" t="s">
        <v>46570</v>
      </c>
      <c r="P11850">
        <v>0</v>
      </c>
      <c r="Q11850">
        <v>5</v>
      </c>
      <c r="R11850" t="s">
        <v>46580</v>
      </c>
      <c r="S11850" t="s">
        <v>46986</v>
      </c>
      <c r="T11850" t="s">
        <v>48345</v>
      </c>
      <c r="U11850" t="s">
        <v>58290</v>
      </c>
      <c r="W11850" t="s">
        <v>42988</v>
      </c>
      <c r="X11850" t="s">
        <v>46581</v>
      </c>
    </row>
    <row r="11851" spans="1:24">
      <c r="A11851">
        <f>HYPERLINK("https://www.philgeps.gov.ph/GEPSNONPILOT/Tender/SplashBidNoticeAbstractUI.aspx?menuIndex=3&amp;refID=7045182&amp;Result=3","7045182")</f>
        <v>0</v>
      </c>
      <c r="B11851" t="s">
        <v>1998</v>
      </c>
      <c r="C11851" t="s">
        <v>14766</v>
      </c>
      <c r="D11851" t="s">
        <v>18817</v>
      </c>
      <c r="E11851" t="s">
        <v>29075</v>
      </c>
      <c r="F11851" t="s">
        <v>32664</v>
      </c>
      <c r="G11851" t="s">
        <v>32672</v>
      </c>
      <c r="H11851" t="s">
        <v>32683</v>
      </c>
      <c r="I11851" t="s">
        <v>10627</v>
      </c>
      <c r="J11851" t="s">
        <v>32865</v>
      </c>
      <c r="K11851" t="s">
        <v>42313</v>
      </c>
      <c r="M11851" t="s">
        <v>44735</v>
      </c>
      <c r="N11851" t="s">
        <v>46569</v>
      </c>
      <c r="O11851" t="s">
        <v>46570</v>
      </c>
      <c r="P11851">
        <v>0</v>
      </c>
      <c r="Q11851">
        <v>0</v>
      </c>
      <c r="R11851" t="s">
        <v>46580</v>
      </c>
      <c r="S11851" t="s">
        <v>46986</v>
      </c>
      <c r="T11851" t="s">
        <v>48572</v>
      </c>
      <c r="U11851" t="s">
        <v>55360</v>
      </c>
      <c r="W11851" t="s">
        <v>44735</v>
      </c>
      <c r="X11851" t="s">
        <v>46581</v>
      </c>
    </row>
    <row r="11852" spans="1:24">
      <c r="A11852">
        <f>HYPERLINK("https://www.philgeps.gov.ph/GEPSNONPILOT/Tender/SplashBidNoticeAbstractUI.aspx?menuIndex=3&amp;refID=7045196&amp;Result=3","7045196")</f>
        <v>0</v>
      </c>
      <c r="B11852" t="s">
        <v>550</v>
      </c>
      <c r="C11852" t="s">
        <v>14767</v>
      </c>
      <c r="D11852" t="s">
        <v>18792</v>
      </c>
      <c r="E11852" t="s">
        <v>29076</v>
      </c>
      <c r="F11852" t="s">
        <v>32664</v>
      </c>
      <c r="G11852" t="s">
        <v>32672</v>
      </c>
      <c r="H11852" t="s">
        <v>32683</v>
      </c>
      <c r="I11852" t="s">
        <v>10627</v>
      </c>
      <c r="J11852" t="s">
        <v>39817</v>
      </c>
      <c r="K11852" t="s">
        <v>42369</v>
      </c>
      <c r="M11852" t="s">
        <v>43130</v>
      </c>
      <c r="N11852" t="s">
        <v>46569</v>
      </c>
      <c r="O11852" t="s">
        <v>46570</v>
      </c>
      <c r="P11852">
        <v>0</v>
      </c>
      <c r="Q11852">
        <v>3</v>
      </c>
      <c r="R11852" t="s">
        <v>46580</v>
      </c>
      <c r="S11852" t="s">
        <v>46986</v>
      </c>
      <c r="T11852" t="s">
        <v>48507</v>
      </c>
      <c r="U11852" t="s">
        <v>58291</v>
      </c>
      <c r="W11852" t="s">
        <v>43130</v>
      </c>
      <c r="X11852" t="s">
        <v>46581</v>
      </c>
    </row>
    <row r="11853" spans="1:24">
      <c r="A11853">
        <f>HYPERLINK("https://www.philgeps.gov.ph/GEPSNONPILOT/Tender/SplashBidNoticeAbstractUI.aspx?menuIndex=3&amp;refID=7045281&amp;Result=3","7045281")</f>
        <v>0</v>
      </c>
      <c r="B11853" t="s">
        <v>1911</v>
      </c>
      <c r="C11853" t="s">
        <v>14768</v>
      </c>
      <c r="D11853" t="s">
        <v>18844</v>
      </c>
      <c r="E11853" t="s">
        <v>29077</v>
      </c>
      <c r="F11853" t="s">
        <v>32664</v>
      </c>
      <c r="G11853" t="s">
        <v>32672</v>
      </c>
      <c r="H11853" t="s">
        <v>32683</v>
      </c>
      <c r="I11853" t="s">
        <v>10627</v>
      </c>
      <c r="J11853" t="s">
        <v>32865</v>
      </c>
      <c r="K11853" t="s">
        <v>42298</v>
      </c>
      <c r="M11853" t="s">
        <v>44632</v>
      </c>
      <c r="N11853" t="s">
        <v>46569</v>
      </c>
      <c r="O11853" t="s">
        <v>46570</v>
      </c>
      <c r="P11853">
        <v>0</v>
      </c>
      <c r="Q11853">
        <v>0</v>
      </c>
      <c r="R11853" t="s">
        <v>46580</v>
      </c>
      <c r="S11853" t="s">
        <v>46986</v>
      </c>
      <c r="T11853" t="s">
        <v>48284</v>
      </c>
      <c r="U11853" t="s">
        <v>58292</v>
      </c>
      <c r="W11853" t="s">
        <v>44632</v>
      </c>
      <c r="X11853" t="s">
        <v>46581</v>
      </c>
    </row>
    <row r="11854" spans="1:24">
      <c r="A11854">
        <f>HYPERLINK("https://www.philgeps.gov.ph/GEPSNONPILOT/Tender/SplashBidNoticeAbstractUI.aspx?menuIndex=3&amp;refID=7045296&amp;Result=3","7045296")</f>
        <v>0</v>
      </c>
      <c r="B11854" t="s">
        <v>1966</v>
      </c>
      <c r="C11854" t="s">
        <v>14769</v>
      </c>
      <c r="D11854" t="s">
        <v>18782</v>
      </c>
      <c r="E11854" t="s">
        <v>29078</v>
      </c>
      <c r="F11854" t="s">
        <v>32664</v>
      </c>
      <c r="G11854" t="s">
        <v>32672</v>
      </c>
      <c r="H11854" t="s">
        <v>12635</v>
      </c>
      <c r="I11854" t="s">
        <v>32712</v>
      </c>
      <c r="J11854" t="s">
        <v>34038</v>
      </c>
      <c r="K11854" t="s">
        <v>42297</v>
      </c>
      <c r="M11854" t="s">
        <v>44698</v>
      </c>
      <c r="N11854" t="s">
        <v>46569</v>
      </c>
      <c r="O11854" t="s">
        <v>46570</v>
      </c>
      <c r="P11854">
        <v>0</v>
      </c>
      <c r="Q11854">
        <v>7</v>
      </c>
      <c r="R11854" t="s">
        <v>46580</v>
      </c>
      <c r="S11854" t="s">
        <v>46986</v>
      </c>
      <c r="T11854" t="s">
        <v>48212</v>
      </c>
      <c r="U11854" t="s">
        <v>58293</v>
      </c>
      <c r="W11854" t="s">
        <v>44698</v>
      </c>
      <c r="X11854" t="s">
        <v>46581</v>
      </c>
    </row>
    <row r="11855" spans="1:24">
      <c r="A11855">
        <f>HYPERLINK("https://www.philgeps.gov.ph/GEPSNONPILOT/Tender/SplashBidNoticeAbstractUI.aspx?menuIndex=3&amp;refID=7045287&amp;Result=3","7045287")</f>
        <v>0</v>
      </c>
      <c r="B11855" t="s">
        <v>3119</v>
      </c>
      <c r="C11855" t="s">
        <v>11805</v>
      </c>
      <c r="E11855" t="s">
        <v>29079</v>
      </c>
      <c r="F11855" t="s">
        <v>32664</v>
      </c>
      <c r="G11855" t="s">
        <v>32672</v>
      </c>
      <c r="H11855" t="s">
        <v>12635</v>
      </c>
      <c r="I11855" t="s">
        <v>4333</v>
      </c>
      <c r="J11855" t="s">
        <v>39818</v>
      </c>
      <c r="K11855" t="s">
        <v>42283</v>
      </c>
      <c r="M11855" t="s">
        <v>46010</v>
      </c>
      <c r="N11855" t="s">
        <v>46569</v>
      </c>
      <c r="O11855" t="s">
        <v>46570</v>
      </c>
      <c r="P11855">
        <v>0</v>
      </c>
      <c r="Q11855">
        <v>0</v>
      </c>
      <c r="R11855" t="s">
        <v>46580</v>
      </c>
      <c r="S11855" t="s">
        <v>46986</v>
      </c>
      <c r="T11855" t="s">
        <v>48448</v>
      </c>
      <c r="U11855" t="s">
        <v>58294</v>
      </c>
      <c r="W11855" t="s">
        <v>46010</v>
      </c>
      <c r="X11855" t="s">
        <v>46581</v>
      </c>
    </row>
    <row r="11856" spans="1:24">
      <c r="A11856">
        <f>HYPERLINK("https://www.philgeps.gov.ph/GEPSNONPILOT/Tender/SplashBidNoticeAbstractUI.aspx?menuIndex=3&amp;refID=7045180&amp;Result=3","7045180")</f>
        <v>0</v>
      </c>
      <c r="B11856" t="s">
        <v>3107</v>
      </c>
      <c r="C11856" t="s">
        <v>14770</v>
      </c>
      <c r="D11856" t="s">
        <v>18815</v>
      </c>
      <c r="E11856" t="s">
        <v>29080</v>
      </c>
      <c r="F11856" t="s">
        <v>32664</v>
      </c>
      <c r="G11856" t="s">
        <v>32672</v>
      </c>
      <c r="H11856" t="s">
        <v>32683</v>
      </c>
      <c r="I11856" t="s">
        <v>10627</v>
      </c>
      <c r="J11856" t="s">
        <v>39819</v>
      </c>
      <c r="K11856" t="s">
        <v>42398</v>
      </c>
      <c r="M11856" t="s">
        <v>45997</v>
      </c>
      <c r="N11856" t="s">
        <v>46569</v>
      </c>
      <c r="O11856" t="s">
        <v>46570</v>
      </c>
      <c r="P11856">
        <v>0</v>
      </c>
      <c r="Q11856">
        <v>0</v>
      </c>
      <c r="R11856" t="s">
        <v>46580</v>
      </c>
      <c r="S11856" t="s">
        <v>46986</v>
      </c>
      <c r="T11856" t="s">
        <v>48212</v>
      </c>
      <c r="U11856" t="s">
        <v>58295</v>
      </c>
      <c r="W11856" t="s">
        <v>45997</v>
      </c>
      <c r="X11856" t="s">
        <v>46581</v>
      </c>
    </row>
    <row r="11857" spans="1:24">
      <c r="A11857">
        <f>HYPERLINK("https://www.philgeps.gov.ph/GEPSNONPILOT/Tender/SplashBidNoticeAbstractUI.aspx?menuIndex=3&amp;refID=7045274&amp;Result=3","7045274")</f>
        <v>0</v>
      </c>
      <c r="B11857" t="s">
        <v>1263</v>
      </c>
      <c r="C11857" t="s">
        <v>14771</v>
      </c>
      <c r="D11857" t="s">
        <v>18807</v>
      </c>
      <c r="E11857" t="s">
        <v>29081</v>
      </c>
      <c r="F11857" t="s">
        <v>32664</v>
      </c>
      <c r="G11857" t="s">
        <v>32672</v>
      </c>
      <c r="H11857" t="s">
        <v>12635</v>
      </c>
      <c r="I11857" t="s">
        <v>6118</v>
      </c>
      <c r="J11857" t="s">
        <v>39820</v>
      </c>
      <c r="K11857" t="s">
        <v>42283</v>
      </c>
      <c r="M11857" t="s">
        <v>43906</v>
      </c>
      <c r="N11857" t="s">
        <v>46569</v>
      </c>
      <c r="O11857" t="s">
        <v>46570</v>
      </c>
      <c r="P11857">
        <v>0</v>
      </c>
      <c r="Q11857">
        <v>1</v>
      </c>
      <c r="R11857" t="s">
        <v>46580</v>
      </c>
      <c r="S11857" t="s">
        <v>46986</v>
      </c>
      <c r="T11857" t="s">
        <v>48452</v>
      </c>
      <c r="U11857" t="s">
        <v>58296</v>
      </c>
      <c r="W11857" t="s">
        <v>43906</v>
      </c>
      <c r="X11857" t="s">
        <v>46581</v>
      </c>
    </row>
    <row r="11858" spans="1:24">
      <c r="A11858">
        <f>HYPERLINK("https://www.philgeps.gov.ph/GEPSNONPILOT/Tender/SplashBidNoticeAbstractUI.aspx?menuIndex=3&amp;refID=7045305&amp;Result=3","7045305")</f>
        <v>0</v>
      </c>
      <c r="B11858" t="s">
        <v>2297</v>
      </c>
      <c r="C11858" t="s">
        <v>14772</v>
      </c>
      <c r="D11858" t="s">
        <v>18816</v>
      </c>
      <c r="E11858" t="s">
        <v>29082</v>
      </c>
      <c r="F11858" t="s">
        <v>32664</v>
      </c>
      <c r="G11858" t="s">
        <v>32672</v>
      </c>
      <c r="H11858" t="s">
        <v>32683</v>
      </c>
      <c r="I11858" t="s">
        <v>10627</v>
      </c>
      <c r="J11858" t="s">
        <v>39821</v>
      </c>
      <c r="K11858" t="s">
        <v>42384</v>
      </c>
      <c r="M11858" t="s">
        <v>45068</v>
      </c>
      <c r="N11858" t="s">
        <v>46569</v>
      </c>
      <c r="O11858" t="s">
        <v>46570</v>
      </c>
      <c r="P11858">
        <v>0</v>
      </c>
      <c r="Q11858">
        <v>0</v>
      </c>
      <c r="R11858" t="s">
        <v>46580</v>
      </c>
      <c r="S11858" t="s">
        <v>46986</v>
      </c>
      <c r="T11858" t="s">
        <v>48236</v>
      </c>
      <c r="U11858" t="s">
        <v>54960</v>
      </c>
      <c r="W11858" t="s">
        <v>45068</v>
      </c>
      <c r="X11858" t="s">
        <v>46581</v>
      </c>
    </row>
    <row r="11859" spans="1:24">
      <c r="A11859">
        <f>HYPERLINK("https://www.philgeps.gov.ph/GEPSNONPILOT/Tender/SplashBidNoticeAbstractUI.aspx?menuIndex=3&amp;refID=7045271&amp;Result=3","7045271")</f>
        <v>0</v>
      </c>
      <c r="B11859" t="s">
        <v>244</v>
      </c>
      <c r="C11859" t="s">
        <v>14773</v>
      </c>
      <c r="D11859" t="s">
        <v>18804</v>
      </c>
      <c r="E11859" t="s">
        <v>29083</v>
      </c>
      <c r="F11859" t="s">
        <v>32664</v>
      </c>
      <c r="G11859" t="s">
        <v>32672</v>
      </c>
      <c r="H11859" t="s">
        <v>12635</v>
      </c>
      <c r="I11859" t="s">
        <v>32764</v>
      </c>
      <c r="J11859" t="s">
        <v>33167</v>
      </c>
      <c r="K11859" t="s">
        <v>42281</v>
      </c>
      <c r="M11859" t="s">
        <v>42809</v>
      </c>
      <c r="N11859" t="s">
        <v>46569</v>
      </c>
      <c r="O11859" t="s">
        <v>46570</v>
      </c>
      <c r="P11859">
        <v>0</v>
      </c>
      <c r="Q11859">
        <v>6</v>
      </c>
      <c r="R11859" t="s">
        <v>46580</v>
      </c>
      <c r="S11859" t="s">
        <v>46986</v>
      </c>
      <c r="T11859" t="s">
        <v>48483</v>
      </c>
      <c r="U11859" t="s">
        <v>58297</v>
      </c>
      <c r="W11859" t="s">
        <v>42809</v>
      </c>
      <c r="X11859" t="s">
        <v>46581</v>
      </c>
    </row>
    <row r="11860" spans="1:24">
      <c r="A11860">
        <f>HYPERLINK("https://www.philgeps.gov.ph/GEPSNONPILOT/Tender/SplashBidNoticeAbstractUI.aspx?menuIndex=3&amp;refID=7045272&amp;Result=3","7045272")</f>
        <v>0</v>
      </c>
      <c r="B11860" t="s">
        <v>441</v>
      </c>
      <c r="C11860" t="s">
        <v>14774</v>
      </c>
      <c r="D11860" t="s">
        <v>18805</v>
      </c>
      <c r="E11860" t="s">
        <v>29084</v>
      </c>
      <c r="F11860" t="s">
        <v>32664</v>
      </c>
      <c r="G11860" t="s">
        <v>32672</v>
      </c>
      <c r="H11860" t="s">
        <v>12635</v>
      </c>
      <c r="I11860" t="s">
        <v>32764</v>
      </c>
      <c r="J11860" t="s">
        <v>39822</v>
      </c>
      <c r="K11860" t="s">
        <v>42305</v>
      </c>
      <c r="M11860" t="s">
        <v>43013</v>
      </c>
      <c r="N11860" t="s">
        <v>46569</v>
      </c>
      <c r="O11860" t="s">
        <v>46570</v>
      </c>
      <c r="P11860">
        <v>0</v>
      </c>
      <c r="Q11860">
        <v>9</v>
      </c>
      <c r="R11860" t="s">
        <v>46580</v>
      </c>
      <c r="S11860" t="s">
        <v>46986</v>
      </c>
      <c r="T11860" t="s">
        <v>48238</v>
      </c>
      <c r="U11860" t="s">
        <v>58298</v>
      </c>
      <c r="W11860" t="s">
        <v>44010</v>
      </c>
      <c r="X11860" t="s">
        <v>46581</v>
      </c>
    </row>
    <row r="11861" spans="1:24">
      <c r="A11861">
        <f>HYPERLINK("https://www.philgeps.gov.ph/GEPSNONPILOT/Tender/SplashBidNoticeAbstractUI.aspx?menuIndex=3&amp;refID=7045266&amp;Result=3","7045266")</f>
        <v>0</v>
      </c>
      <c r="B11861" t="s">
        <v>3107</v>
      </c>
      <c r="C11861" t="s">
        <v>14775</v>
      </c>
      <c r="D11861" t="s">
        <v>18815</v>
      </c>
      <c r="E11861" t="s">
        <v>29085</v>
      </c>
      <c r="F11861" t="s">
        <v>32664</v>
      </c>
      <c r="G11861" t="s">
        <v>32672</v>
      </c>
      <c r="H11861" t="s">
        <v>32683</v>
      </c>
      <c r="I11861" t="s">
        <v>10627</v>
      </c>
      <c r="J11861" t="s">
        <v>39823</v>
      </c>
      <c r="K11861" t="s">
        <v>42328</v>
      </c>
      <c r="M11861" t="s">
        <v>45997</v>
      </c>
      <c r="N11861" t="s">
        <v>46569</v>
      </c>
      <c r="O11861" t="s">
        <v>46570</v>
      </c>
      <c r="P11861">
        <v>0</v>
      </c>
      <c r="Q11861">
        <v>0</v>
      </c>
      <c r="R11861" t="s">
        <v>46580</v>
      </c>
      <c r="S11861" t="s">
        <v>46986</v>
      </c>
      <c r="T11861" t="s">
        <v>48212</v>
      </c>
      <c r="U11861" t="s">
        <v>58299</v>
      </c>
      <c r="W11861" t="s">
        <v>45997</v>
      </c>
      <c r="X11861" t="s">
        <v>46581</v>
      </c>
    </row>
    <row r="11862" spans="1:24">
      <c r="A11862">
        <f>HYPERLINK("https://www.philgeps.gov.ph/GEPSNONPILOT/Tender/SplashBidNoticeAbstractUI.aspx?menuIndex=3&amp;refID=7045265&amp;Result=3","7045265")</f>
        <v>0</v>
      </c>
      <c r="B11862" t="s">
        <v>1108</v>
      </c>
      <c r="C11862" t="s">
        <v>14776</v>
      </c>
      <c r="D11862" t="s">
        <v>18796</v>
      </c>
      <c r="E11862" t="s">
        <v>29086</v>
      </c>
      <c r="F11862" t="s">
        <v>32664</v>
      </c>
      <c r="G11862" t="s">
        <v>32672</v>
      </c>
      <c r="H11862" t="s">
        <v>32683</v>
      </c>
      <c r="I11862" t="s">
        <v>10627</v>
      </c>
      <c r="J11862" t="s">
        <v>34147</v>
      </c>
      <c r="K11862" t="s">
        <v>42311</v>
      </c>
      <c r="M11862" t="s">
        <v>43735</v>
      </c>
      <c r="N11862" t="s">
        <v>46569</v>
      </c>
      <c r="O11862" t="s">
        <v>46570</v>
      </c>
      <c r="P11862">
        <v>0</v>
      </c>
      <c r="Q11862">
        <v>1</v>
      </c>
      <c r="R11862" t="s">
        <v>46580</v>
      </c>
      <c r="S11862" t="s">
        <v>46986</v>
      </c>
      <c r="T11862" t="s">
        <v>48284</v>
      </c>
      <c r="U11862" t="s">
        <v>58300</v>
      </c>
      <c r="V11862" t="s">
        <v>62913</v>
      </c>
      <c r="W11862" t="s">
        <v>43735</v>
      </c>
      <c r="X11862" t="s">
        <v>46581</v>
      </c>
    </row>
    <row r="11863" spans="1:24">
      <c r="A11863">
        <f>HYPERLINK("https://www.philgeps.gov.ph/GEPSNONPILOT/Tender/SplashBidNoticeAbstractUI.aspx?menuIndex=3&amp;refID=7045249&amp;Result=3","7045249")</f>
        <v>0</v>
      </c>
      <c r="B11863" t="s">
        <v>3114</v>
      </c>
      <c r="C11863" t="s">
        <v>14777</v>
      </c>
      <c r="D11863" t="s">
        <v>18807</v>
      </c>
      <c r="E11863" t="s">
        <v>29087</v>
      </c>
      <c r="F11863" t="s">
        <v>32664</v>
      </c>
      <c r="G11863" t="s">
        <v>32672</v>
      </c>
      <c r="H11863" t="s">
        <v>32683</v>
      </c>
      <c r="I11863" t="s">
        <v>10627</v>
      </c>
      <c r="J11863" t="s">
        <v>32962</v>
      </c>
      <c r="K11863" t="s">
        <v>42308</v>
      </c>
      <c r="M11863" t="s">
        <v>46005</v>
      </c>
      <c r="N11863" t="s">
        <v>46569</v>
      </c>
      <c r="O11863" t="s">
        <v>46570</v>
      </c>
      <c r="P11863">
        <v>0</v>
      </c>
      <c r="Q11863">
        <v>0</v>
      </c>
      <c r="R11863" t="s">
        <v>46580</v>
      </c>
      <c r="S11863" t="s">
        <v>46986</v>
      </c>
      <c r="T11863" t="s">
        <v>48303</v>
      </c>
      <c r="U11863" t="s">
        <v>58301</v>
      </c>
      <c r="W11863" t="s">
        <v>46005</v>
      </c>
      <c r="X11863" t="s">
        <v>46581</v>
      </c>
    </row>
    <row r="11864" spans="1:24">
      <c r="A11864">
        <f>HYPERLINK("https://www.philgeps.gov.ph/GEPSNONPILOT/Tender/SplashBidNoticeAbstractUI.aspx?menuIndex=3&amp;refID=7045422&amp;Result=3","7045422")</f>
        <v>0</v>
      </c>
      <c r="B11864" t="s">
        <v>141</v>
      </c>
      <c r="C11864" t="s">
        <v>14778</v>
      </c>
      <c r="D11864" t="s">
        <v>18796</v>
      </c>
      <c r="E11864" t="s">
        <v>29088</v>
      </c>
      <c r="F11864" t="s">
        <v>32664</v>
      </c>
      <c r="G11864" t="s">
        <v>32671</v>
      </c>
      <c r="H11864" t="s">
        <v>12635</v>
      </c>
      <c r="I11864" t="s">
        <v>32800</v>
      </c>
      <c r="J11864" t="s">
        <v>39824</v>
      </c>
      <c r="K11864" t="s">
        <v>42281</v>
      </c>
      <c r="M11864" t="s">
        <v>42705</v>
      </c>
      <c r="N11864" t="s">
        <v>46569</v>
      </c>
      <c r="O11864" t="s">
        <v>46570</v>
      </c>
      <c r="P11864">
        <v>0</v>
      </c>
      <c r="Q11864">
        <v>9</v>
      </c>
      <c r="R11864" t="s">
        <v>46580</v>
      </c>
      <c r="S11864" t="s">
        <v>46986</v>
      </c>
      <c r="T11864" t="s">
        <v>48228</v>
      </c>
      <c r="U11864" t="s">
        <v>58302</v>
      </c>
      <c r="W11864" t="s">
        <v>42705</v>
      </c>
      <c r="X11864" t="s">
        <v>46581</v>
      </c>
    </row>
    <row r="11865" spans="1:24">
      <c r="A11865">
        <f>HYPERLINK("https://www.philgeps.gov.ph/GEPSNONPILOT/Tender/SplashBidNoticeAbstractUI.aspx?menuIndex=3&amp;refID=7045275&amp;Result=3","7045275")</f>
        <v>0</v>
      </c>
      <c r="B11865" t="s">
        <v>660</v>
      </c>
      <c r="C11865" t="s">
        <v>14779</v>
      </c>
      <c r="D11865" t="s">
        <v>18855</v>
      </c>
      <c r="E11865" t="s">
        <v>29089</v>
      </c>
      <c r="F11865" t="s">
        <v>32664</v>
      </c>
      <c r="G11865" t="s">
        <v>32672</v>
      </c>
      <c r="H11865" t="s">
        <v>32683</v>
      </c>
      <c r="I11865" t="s">
        <v>10627</v>
      </c>
      <c r="J11865" t="s">
        <v>32962</v>
      </c>
      <c r="K11865" t="s">
        <v>42283</v>
      </c>
      <c r="M11865" t="s">
        <v>43247</v>
      </c>
      <c r="N11865" t="s">
        <v>46569</v>
      </c>
      <c r="O11865" t="s">
        <v>46570</v>
      </c>
      <c r="P11865">
        <v>0</v>
      </c>
      <c r="Q11865">
        <v>2</v>
      </c>
      <c r="R11865" t="s">
        <v>46580</v>
      </c>
      <c r="S11865" t="s">
        <v>46986</v>
      </c>
      <c r="T11865" t="s">
        <v>48303</v>
      </c>
      <c r="U11865" t="s">
        <v>58194</v>
      </c>
      <c r="W11865" t="s">
        <v>43247</v>
      </c>
      <c r="X11865" t="s">
        <v>46581</v>
      </c>
    </row>
    <row r="11866" spans="1:24">
      <c r="A11866">
        <f>HYPERLINK("https://www.philgeps.gov.ph/GEPSNONPILOT/Tender/SplashBidNoticeAbstractUI.aspx?menuIndex=3&amp;refID=7045418&amp;Result=3","7045418")</f>
        <v>0</v>
      </c>
      <c r="B11866" t="s">
        <v>660</v>
      </c>
      <c r="C11866" t="s">
        <v>14780</v>
      </c>
      <c r="D11866" t="s">
        <v>18855</v>
      </c>
      <c r="E11866" t="s">
        <v>29090</v>
      </c>
      <c r="F11866" t="s">
        <v>32664</v>
      </c>
      <c r="G11866" t="s">
        <v>32672</v>
      </c>
      <c r="H11866" t="s">
        <v>32683</v>
      </c>
      <c r="I11866" t="s">
        <v>10627</v>
      </c>
      <c r="J11866" t="s">
        <v>32962</v>
      </c>
      <c r="K11866" t="s">
        <v>42283</v>
      </c>
      <c r="M11866" t="s">
        <v>43247</v>
      </c>
      <c r="N11866" t="s">
        <v>46569</v>
      </c>
      <c r="O11866" t="s">
        <v>46570</v>
      </c>
      <c r="P11866">
        <v>0</v>
      </c>
      <c r="Q11866">
        <v>2</v>
      </c>
      <c r="R11866" t="s">
        <v>46580</v>
      </c>
      <c r="S11866" t="s">
        <v>46986</v>
      </c>
      <c r="T11866" t="s">
        <v>48303</v>
      </c>
      <c r="U11866" t="s">
        <v>58194</v>
      </c>
      <c r="W11866" t="s">
        <v>43247</v>
      </c>
      <c r="X11866" t="s">
        <v>46581</v>
      </c>
    </row>
    <row r="11867" spans="1:24">
      <c r="A11867">
        <f>HYPERLINK("https://www.philgeps.gov.ph/GEPSNONPILOT/Tender/SplashBidNoticeAbstractUI.aspx?menuIndex=3&amp;refID=7045298&amp;Result=3","7045298")</f>
        <v>0</v>
      </c>
      <c r="B11867" t="s">
        <v>2460</v>
      </c>
      <c r="C11867" t="s">
        <v>14781</v>
      </c>
      <c r="D11867" t="s">
        <v>18783</v>
      </c>
      <c r="E11867" t="s">
        <v>19193</v>
      </c>
      <c r="F11867" t="s">
        <v>32664</v>
      </c>
      <c r="G11867" t="s">
        <v>32672</v>
      </c>
      <c r="H11867" t="s">
        <v>12635</v>
      </c>
      <c r="I11867" t="s">
        <v>32712</v>
      </c>
      <c r="J11867" t="s">
        <v>33051</v>
      </c>
      <c r="K11867" t="s">
        <v>42297</v>
      </c>
      <c r="M11867" t="s">
        <v>45256</v>
      </c>
      <c r="N11867" t="s">
        <v>46569</v>
      </c>
      <c r="O11867" t="s">
        <v>46570</v>
      </c>
      <c r="P11867">
        <v>0</v>
      </c>
      <c r="Q11867">
        <v>5</v>
      </c>
      <c r="R11867" t="s">
        <v>46580</v>
      </c>
      <c r="S11867" t="s">
        <v>46986</v>
      </c>
      <c r="T11867" t="s">
        <v>48287</v>
      </c>
      <c r="U11867" t="s">
        <v>58303</v>
      </c>
      <c r="W11867" t="s">
        <v>45256</v>
      </c>
      <c r="X11867" t="s">
        <v>46581</v>
      </c>
    </row>
    <row r="11868" spans="1:24">
      <c r="A11868">
        <f>HYPERLINK("https://www.philgeps.gov.ph/GEPSNONPILOT/Tender/SplashBidNoticeAbstractUI.aspx?menuIndex=3&amp;refID=7045261&amp;Result=3","7045261")</f>
        <v>0</v>
      </c>
      <c r="B11868" t="s">
        <v>2297</v>
      </c>
      <c r="C11868" t="s">
        <v>14782</v>
      </c>
      <c r="D11868" t="s">
        <v>18816</v>
      </c>
      <c r="E11868" t="s">
        <v>29091</v>
      </c>
      <c r="F11868" t="s">
        <v>32664</v>
      </c>
      <c r="G11868" t="s">
        <v>32672</v>
      </c>
      <c r="H11868" t="s">
        <v>32683</v>
      </c>
      <c r="I11868" t="s">
        <v>10627</v>
      </c>
      <c r="J11868" t="s">
        <v>39825</v>
      </c>
      <c r="K11868" t="s">
        <v>42528</v>
      </c>
      <c r="M11868" t="s">
        <v>45068</v>
      </c>
      <c r="N11868" t="s">
        <v>46569</v>
      </c>
      <c r="O11868" t="s">
        <v>46570</v>
      </c>
      <c r="Q11868">
        <v>0</v>
      </c>
      <c r="R11868" t="s">
        <v>46580</v>
      </c>
      <c r="S11868" t="s">
        <v>46994</v>
      </c>
      <c r="T11868" t="s">
        <v>48236</v>
      </c>
      <c r="U11868" t="s">
        <v>54960</v>
      </c>
      <c r="W11868" t="s">
        <v>45068</v>
      </c>
      <c r="X11868" t="s">
        <v>46581</v>
      </c>
    </row>
    <row r="11869" spans="1:24">
      <c r="A11869">
        <f>HYPERLINK("https://www.philgeps.gov.ph/GEPSNONPILOT/Tender/SplashBidNoticeAbstractUI.aspx?menuIndex=3&amp;refID=7045294&amp;Result=3","7045294")</f>
        <v>0</v>
      </c>
      <c r="B11869" t="s">
        <v>3119</v>
      </c>
      <c r="C11869" t="s">
        <v>14783</v>
      </c>
      <c r="E11869" t="s">
        <v>29092</v>
      </c>
      <c r="F11869" t="s">
        <v>32664</v>
      </c>
      <c r="G11869" t="s">
        <v>32672</v>
      </c>
      <c r="H11869" t="s">
        <v>12635</v>
      </c>
      <c r="I11869" t="s">
        <v>4439</v>
      </c>
      <c r="J11869" t="s">
        <v>39826</v>
      </c>
      <c r="K11869" t="s">
        <v>42283</v>
      </c>
      <c r="M11869" t="s">
        <v>46010</v>
      </c>
      <c r="N11869" t="s">
        <v>46569</v>
      </c>
      <c r="O11869" t="s">
        <v>46570</v>
      </c>
      <c r="P11869">
        <v>0</v>
      </c>
      <c r="Q11869">
        <v>0</v>
      </c>
      <c r="R11869" t="s">
        <v>46580</v>
      </c>
      <c r="S11869" t="s">
        <v>46986</v>
      </c>
      <c r="T11869" t="s">
        <v>48599</v>
      </c>
      <c r="U11869" t="s">
        <v>58304</v>
      </c>
      <c r="W11869" t="s">
        <v>46010</v>
      </c>
      <c r="X11869" t="s">
        <v>46581</v>
      </c>
    </row>
    <row r="11870" spans="1:24">
      <c r="A11870">
        <f>HYPERLINK("https://www.philgeps.gov.ph/GEPSNONPILOT/Tender/SplashBidNoticeAbstractUI.aspx?menuIndex=3&amp;refID=7045407&amp;Result=3","7045407")</f>
        <v>0</v>
      </c>
      <c r="B11870" t="s">
        <v>1935</v>
      </c>
      <c r="C11870" t="s">
        <v>14784</v>
      </c>
      <c r="D11870" t="s">
        <v>18824</v>
      </c>
      <c r="E11870" t="s">
        <v>29093</v>
      </c>
      <c r="F11870" t="s">
        <v>32664</v>
      </c>
      <c r="G11870" t="s">
        <v>32672</v>
      </c>
      <c r="H11870" t="s">
        <v>12635</v>
      </c>
      <c r="I11870" t="s">
        <v>32704</v>
      </c>
      <c r="J11870" t="s">
        <v>33858</v>
      </c>
      <c r="K11870" t="s">
        <v>42305</v>
      </c>
      <c r="M11870" t="s">
        <v>44660</v>
      </c>
      <c r="N11870" t="s">
        <v>46569</v>
      </c>
      <c r="O11870" t="s">
        <v>46570</v>
      </c>
      <c r="P11870">
        <v>0</v>
      </c>
      <c r="Q11870">
        <v>44</v>
      </c>
      <c r="R11870" t="s">
        <v>46580</v>
      </c>
      <c r="S11870" t="s">
        <v>46986</v>
      </c>
      <c r="T11870" t="s">
        <v>48487</v>
      </c>
      <c r="U11870" t="s">
        <v>58305</v>
      </c>
      <c r="W11870" t="s">
        <v>44660</v>
      </c>
      <c r="X11870" t="s">
        <v>46581</v>
      </c>
    </row>
    <row r="11871" spans="1:24">
      <c r="A11871">
        <f>HYPERLINK("https://www.philgeps.gov.ph/GEPSNONPILOT/Tender/SplashBidNoticeAbstractUI.aspx?menuIndex=3&amp;refID=7045404&amp;Result=3","7045404")</f>
        <v>0</v>
      </c>
      <c r="B11871" t="s">
        <v>2150</v>
      </c>
      <c r="C11871" t="s">
        <v>14785</v>
      </c>
      <c r="D11871" t="s">
        <v>18851</v>
      </c>
      <c r="E11871" t="s">
        <v>29094</v>
      </c>
      <c r="F11871" t="s">
        <v>32664</v>
      </c>
      <c r="G11871" t="s">
        <v>32672</v>
      </c>
      <c r="H11871" t="s">
        <v>12635</v>
      </c>
      <c r="I11871" t="s">
        <v>6168</v>
      </c>
      <c r="J11871" t="s">
        <v>39827</v>
      </c>
      <c r="K11871" t="s">
        <v>42281</v>
      </c>
      <c r="M11871" t="s">
        <v>44906</v>
      </c>
      <c r="N11871" t="s">
        <v>46569</v>
      </c>
      <c r="O11871" t="s">
        <v>46570</v>
      </c>
      <c r="P11871">
        <v>0</v>
      </c>
      <c r="Q11871">
        <v>0</v>
      </c>
      <c r="R11871" t="s">
        <v>46580</v>
      </c>
      <c r="S11871" t="s">
        <v>46986</v>
      </c>
      <c r="T11871" t="s">
        <v>48212</v>
      </c>
      <c r="U11871" t="s">
        <v>58306</v>
      </c>
      <c r="W11871" t="s">
        <v>44906</v>
      </c>
      <c r="X11871" t="s">
        <v>46581</v>
      </c>
    </row>
    <row r="11872" spans="1:24">
      <c r="A11872">
        <f>HYPERLINK("https://www.philgeps.gov.ph/GEPSNONPILOT/Tender/SplashBidNoticeAbstractUI.aspx?menuIndex=3&amp;refID=7045375&amp;Result=3","7045375")</f>
        <v>0</v>
      </c>
      <c r="B11872" t="s">
        <v>3120</v>
      </c>
      <c r="C11872" t="s">
        <v>14786</v>
      </c>
      <c r="D11872" t="s">
        <v>18828</v>
      </c>
      <c r="E11872" t="s">
        <v>29095</v>
      </c>
      <c r="F11872" t="s">
        <v>32664</v>
      </c>
      <c r="G11872" t="s">
        <v>32672</v>
      </c>
      <c r="H11872" t="s">
        <v>32683</v>
      </c>
      <c r="I11872" t="s">
        <v>10627</v>
      </c>
      <c r="J11872" t="s">
        <v>33761</v>
      </c>
      <c r="K11872" t="s">
        <v>42311</v>
      </c>
      <c r="M11872" t="s">
        <v>46011</v>
      </c>
      <c r="N11872" t="s">
        <v>46569</v>
      </c>
      <c r="O11872" t="s">
        <v>46570</v>
      </c>
      <c r="P11872">
        <v>0</v>
      </c>
      <c r="Q11872">
        <v>0</v>
      </c>
      <c r="R11872" t="s">
        <v>46580</v>
      </c>
      <c r="S11872" t="s">
        <v>46986</v>
      </c>
      <c r="T11872" t="s">
        <v>48236</v>
      </c>
      <c r="U11872" t="s">
        <v>58307</v>
      </c>
      <c r="W11872" t="s">
        <v>46011</v>
      </c>
      <c r="X11872" t="s">
        <v>46581</v>
      </c>
    </row>
    <row r="11873" spans="1:24">
      <c r="A11873">
        <f>HYPERLINK("https://www.philgeps.gov.ph/GEPSNONPILOT/Tender/SplashBidNoticeAbstractUI.aspx?menuIndex=3&amp;refID=7045361&amp;Result=3","7045361")</f>
        <v>0</v>
      </c>
      <c r="B11873" t="s">
        <v>3097</v>
      </c>
      <c r="C11873" t="s">
        <v>14787</v>
      </c>
      <c r="D11873" t="s">
        <v>18804</v>
      </c>
      <c r="E11873" t="s">
        <v>29096</v>
      </c>
      <c r="F11873" t="s">
        <v>32664</v>
      </c>
      <c r="G11873" t="s">
        <v>32672</v>
      </c>
      <c r="H11873" t="s">
        <v>32683</v>
      </c>
      <c r="I11873" t="s">
        <v>10627</v>
      </c>
      <c r="J11873" t="s">
        <v>39828</v>
      </c>
      <c r="K11873" t="s">
        <v>42298</v>
      </c>
      <c r="M11873" t="s">
        <v>45985</v>
      </c>
      <c r="N11873" t="s">
        <v>46569</v>
      </c>
      <c r="O11873" t="s">
        <v>46570</v>
      </c>
      <c r="P11873">
        <v>0</v>
      </c>
      <c r="Q11873">
        <v>3</v>
      </c>
      <c r="R11873" t="s">
        <v>46580</v>
      </c>
      <c r="S11873" t="s">
        <v>46986</v>
      </c>
      <c r="T11873" t="s">
        <v>48303</v>
      </c>
      <c r="U11873" t="s">
        <v>58308</v>
      </c>
      <c r="W11873" t="s">
        <v>45985</v>
      </c>
      <c r="X11873" t="s">
        <v>46581</v>
      </c>
    </row>
    <row r="11874" spans="1:24">
      <c r="A11874">
        <f>HYPERLINK("https://www.philgeps.gov.ph/GEPSNONPILOT/Tender/SplashBidNoticeAbstractUI.aspx?menuIndex=3&amp;refID=7045385&amp;Result=3","7045385")</f>
        <v>0</v>
      </c>
      <c r="B11874" t="s">
        <v>1656</v>
      </c>
      <c r="C11874" t="s">
        <v>14788</v>
      </c>
      <c r="D11874" t="s">
        <v>18805</v>
      </c>
      <c r="E11874" t="s">
        <v>22014</v>
      </c>
      <c r="F11874" t="s">
        <v>32664</v>
      </c>
      <c r="G11874" t="s">
        <v>32672</v>
      </c>
      <c r="H11874" t="s">
        <v>32683</v>
      </c>
      <c r="I11874" t="s">
        <v>4439</v>
      </c>
      <c r="J11874" t="s">
        <v>33126</v>
      </c>
      <c r="K11874" t="s">
        <v>42306</v>
      </c>
      <c r="M11874" t="s">
        <v>44341</v>
      </c>
      <c r="N11874" t="s">
        <v>46569</v>
      </c>
      <c r="O11874" t="s">
        <v>46570</v>
      </c>
      <c r="P11874">
        <v>0</v>
      </c>
      <c r="Q11874">
        <v>0</v>
      </c>
      <c r="R11874" t="s">
        <v>46580</v>
      </c>
      <c r="S11874" t="s">
        <v>46986</v>
      </c>
      <c r="T11874" t="s">
        <v>48245</v>
      </c>
      <c r="U11874" t="s">
        <v>58309</v>
      </c>
      <c r="W11874" t="s">
        <v>44341</v>
      </c>
      <c r="X11874" t="s">
        <v>46581</v>
      </c>
    </row>
    <row r="11875" spans="1:24">
      <c r="A11875">
        <f>HYPERLINK("https://www.philgeps.gov.ph/GEPSNONPILOT/Tender/SplashBidNoticeAbstractUI.aspx?menuIndex=3&amp;refID=7045356&amp;Result=3","7045356")</f>
        <v>0</v>
      </c>
      <c r="B11875" t="s">
        <v>1849</v>
      </c>
      <c r="C11875" t="s">
        <v>14789</v>
      </c>
      <c r="D11875" t="s">
        <v>18826</v>
      </c>
      <c r="E11875" t="s">
        <v>29097</v>
      </c>
      <c r="F11875" t="s">
        <v>32664</v>
      </c>
      <c r="G11875" t="s">
        <v>32671</v>
      </c>
      <c r="H11875" t="s">
        <v>32683</v>
      </c>
      <c r="I11875" t="s">
        <v>10627</v>
      </c>
      <c r="J11875" t="s">
        <v>39829</v>
      </c>
      <c r="K11875" t="s">
        <v>42290</v>
      </c>
      <c r="M11875" t="s">
        <v>46012</v>
      </c>
      <c r="N11875" t="s">
        <v>46569</v>
      </c>
      <c r="O11875" t="s">
        <v>46570</v>
      </c>
      <c r="Q11875">
        <v>8</v>
      </c>
      <c r="R11875" t="s">
        <v>46580</v>
      </c>
      <c r="S11875" t="s">
        <v>46923</v>
      </c>
      <c r="T11875" t="s">
        <v>48374</v>
      </c>
      <c r="U11875" t="s">
        <v>58310</v>
      </c>
      <c r="W11875" t="s">
        <v>46012</v>
      </c>
      <c r="X11875" t="s">
        <v>46581</v>
      </c>
    </row>
    <row r="11876" spans="1:24">
      <c r="A11876">
        <f>HYPERLINK("https://www.philgeps.gov.ph/GEPSNONPILOT/Tender/SplashBidNoticeAbstractUI.aspx?menuIndex=3&amp;refID=7045350&amp;Result=3","7045350")</f>
        <v>0</v>
      </c>
      <c r="B11876" t="s">
        <v>153</v>
      </c>
      <c r="C11876" t="s">
        <v>14790</v>
      </c>
      <c r="D11876" t="s">
        <v>18809</v>
      </c>
      <c r="E11876" t="s">
        <v>29098</v>
      </c>
      <c r="F11876" t="s">
        <v>32664</v>
      </c>
      <c r="G11876" t="s">
        <v>32672</v>
      </c>
      <c r="H11876" t="s">
        <v>12635</v>
      </c>
      <c r="I11876" t="s">
        <v>4439</v>
      </c>
      <c r="J11876" t="s">
        <v>39830</v>
      </c>
      <c r="K11876" t="s">
        <v>42297</v>
      </c>
      <c r="M11876" t="s">
        <v>42717</v>
      </c>
      <c r="N11876" t="s">
        <v>46569</v>
      </c>
      <c r="O11876" t="s">
        <v>46570</v>
      </c>
      <c r="P11876">
        <v>0</v>
      </c>
      <c r="Q11876">
        <v>0</v>
      </c>
      <c r="R11876" t="s">
        <v>46580</v>
      </c>
      <c r="S11876" t="s">
        <v>46986</v>
      </c>
      <c r="T11876" t="s">
        <v>48343</v>
      </c>
      <c r="U11876" t="s">
        <v>49079</v>
      </c>
      <c r="W11876" t="s">
        <v>42717</v>
      </c>
      <c r="X11876" t="s">
        <v>46581</v>
      </c>
    </row>
    <row r="11877" spans="1:24">
      <c r="A11877">
        <f>HYPERLINK("https://www.philgeps.gov.ph/GEPSNONPILOT/Tender/SplashBidNoticeAbstractUI.aspx?menuIndex=3&amp;refID=7045343&amp;Result=3","7045343")</f>
        <v>0</v>
      </c>
      <c r="B11877" t="s">
        <v>2378</v>
      </c>
      <c r="C11877" t="s">
        <v>14791</v>
      </c>
      <c r="D11877" t="s">
        <v>18831</v>
      </c>
      <c r="E11877" t="s">
        <v>29099</v>
      </c>
      <c r="F11877" t="s">
        <v>32664</v>
      </c>
      <c r="G11877" t="s">
        <v>32672</v>
      </c>
      <c r="H11877" t="s">
        <v>32683</v>
      </c>
      <c r="I11877" t="s">
        <v>10627</v>
      </c>
      <c r="J11877" t="s">
        <v>35267</v>
      </c>
      <c r="K11877" t="s">
        <v>42398</v>
      </c>
      <c r="M11877" t="s">
        <v>46013</v>
      </c>
      <c r="N11877" t="s">
        <v>46569</v>
      </c>
      <c r="O11877" t="s">
        <v>46570</v>
      </c>
      <c r="P11877">
        <v>0</v>
      </c>
      <c r="Q11877">
        <v>1</v>
      </c>
      <c r="R11877" t="s">
        <v>46580</v>
      </c>
      <c r="S11877" t="s">
        <v>46986</v>
      </c>
      <c r="T11877" t="s">
        <v>48656</v>
      </c>
      <c r="U11877" t="s">
        <v>58311</v>
      </c>
      <c r="V11877" t="s">
        <v>62914</v>
      </c>
      <c r="W11877" t="s">
        <v>46013</v>
      </c>
      <c r="X11877" t="s">
        <v>46581</v>
      </c>
    </row>
    <row r="11878" spans="1:24">
      <c r="A11878">
        <f>HYPERLINK("https://www.philgeps.gov.ph/GEPSNONPILOT/Tender/SplashBidNoticeAbstractUI.aspx?menuIndex=3&amp;refID=7045338&amp;Result=3","7045338")</f>
        <v>0</v>
      </c>
      <c r="B11878" t="s">
        <v>2776</v>
      </c>
      <c r="C11878" t="s">
        <v>14792</v>
      </c>
      <c r="D11878" t="s">
        <v>18842</v>
      </c>
      <c r="E11878" t="s">
        <v>29100</v>
      </c>
      <c r="F11878" t="s">
        <v>32664</v>
      </c>
      <c r="G11878" t="s">
        <v>32672</v>
      </c>
      <c r="H11878" t="s">
        <v>32683</v>
      </c>
      <c r="I11878" t="s">
        <v>10627</v>
      </c>
      <c r="J11878" t="s">
        <v>32945</v>
      </c>
      <c r="K11878" t="s">
        <v>42469</v>
      </c>
      <c r="M11878" t="s">
        <v>45883</v>
      </c>
      <c r="N11878" t="s">
        <v>46569</v>
      </c>
      <c r="O11878" t="s">
        <v>46570</v>
      </c>
      <c r="P11878">
        <v>0</v>
      </c>
      <c r="Q11878">
        <v>0</v>
      </c>
      <c r="R11878" t="s">
        <v>46580</v>
      </c>
      <c r="S11878" t="s">
        <v>46986</v>
      </c>
      <c r="T11878" t="s">
        <v>48284</v>
      </c>
      <c r="U11878" t="s">
        <v>57751</v>
      </c>
      <c r="W11878" t="s">
        <v>45883</v>
      </c>
      <c r="X11878" t="s">
        <v>46581</v>
      </c>
    </row>
    <row r="11879" spans="1:24">
      <c r="A11879">
        <f>HYPERLINK("https://www.philgeps.gov.ph/GEPSNONPILOT/Tender/SplashBidNoticeAbstractUI.aspx?menuIndex=3&amp;refID=7045336&amp;Result=3","7045336")</f>
        <v>0</v>
      </c>
      <c r="B11879" t="s">
        <v>1108</v>
      </c>
      <c r="C11879" t="s">
        <v>14793</v>
      </c>
      <c r="D11879" t="s">
        <v>18796</v>
      </c>
      <c r="E11879" t="s">
        <v>29101</v>
      </c>
      <c r="F11879" t="s">
        <v>32664</v>
      </c>
      <c r="G11879" t="s">
        <v>32672</v>
      </c>
      <c r="H11879" t="s">
        <v>32683</v>
      </c>
      <c r="I11879" t="s">
        <v>10627</v>
      </c>
      <c r="J11879" t="s">
        <v>34213</v>
      </c>
      <c r="K11879" t="s">
        <v>42317</v>
      </c>
      <c r="M11879" t="s">
        <v>43735</v>
      </c>
      <c r="N11879" t="s">
        <v>46569</v>
      </c>
      <c r="O11879" t="s">
        <v>46570</v>
      </c>
      <c r="P11879">
        <v>0</v>
      </c>
      <c r="Q11879">
        <v>1</v>
      </c>
      <c r="R11879" t="s">
        <v>46580</v>
      </c>
      <c r="S11879" t="s">
        <v>46986</v>
      </c>
      <c r="T11879" t="s">
        <v>48284</v>
      </c>
      <c r="U11879" t="s">
        <v>58300</v>
      </c>
      <c r="V11879" t="s">
        <v>62915</v>
      </c>
      <c r="W11879" t="s">
        <v>43735</v>
      </c>
      <c r="X11879" t="s">
        <v>46581</v>
      </c>
    </row>
    <row r="11880" spans="1:24">
      <c r="A11880">
        <f>HYPERLINK("https://www.philgeps.gov.ph/GEPSNONPILOT/Tender/SplashBidNoticeAbstractUI.aspx?menuIndex=3&amp;refID=7045333&amp;Result=3","7045333")</f>
        <v>0</v>
      </c>
      <c r="B11880" t="s">
        <v>3121</v>
      </c>
      <c r="C11880" t="s">
        <v>14794</v>
      </c>
      <c r="D11880" t="s">
        <v>18806</v>
      </c>
      <c r="E11880" t="s">
        <v>29102</v>
      </c>
      <c r="F11880" t="s">
        <v>32664</v>
      </c>
      <c r="G11880" t="s">
        <v>32672</v>
      </c>
      <c r="H11880" t="s">
        <v>12635</v>
      </c>
      <c r="I11880" t="s">
        <v>11464</v>
      </c>
      <c r="J11880" t="s">
        <v>33009</v>
      </c>
      <c r="K11880" t="s">
        <v>42298</v>
      </c>
      <c r="M11880" t="s">
        <v>46014</v>
      </c>
      <c r="N11880" t="s">
        <v>46569</v>
      </c>
      <c r="O11880" t="s">
        <v>46570</v>
      </c>
      <c r="P11880">
        <v>0</v>
      </c>
      <c r="Q11880">
        <v>6</v>
      </c>
      <c r="R11880" t="s">
        <v>46580</v>
      </c>
      <c r="S11880" t="s">
        <v>46986</v>
      </c>
      <c r="T11880" t="s">
        <v>48363</v>
      </c>
      <c r="U11880" t="s">
        <v>58312</v>
      </c>
      <c r="W11880" t="s">
        <v>46014</v>
      </c>
      <c r="X11880" t="s">
        <v>46581</v>
      </c>
    </row>
    <row r="11881" spans="1:24">
      <c r="A11881">
        <f>HYPERLINK("https://www.philgeps.gov.ph/GEPSNONPILOT/Tender/SplashBidNoticeAbstractUI.aspx?menuIndex=3&amp;refID=7045328&amp;Result=3","7045328")</f>
        <v>0</v>
      </c>
      <c r="B11881" t="s">
        <v>2776</v>
      </c>
      <c r="C11881" t="s">
        <v>14795</v>
      </c>
      <c r="D11881" t="s">
        <v>18842</v>
      </c>
      <c r="E11881" t="s">
        <v>29103</v>
      </c>
      <c r="F11881" t="s">
        <v>32664</v>
      </c>
      <c r="G11881" t="s">
        <v>32672</v>
      </c>
      <c r="H11881" t="s">
        <v>32683</v>
      </c>
      <c r="I11881" t="s">
        <v>10627</v>
      </c>
      <c r="J11881" t="s">
        <v>32974</v>
      </c>
      <c r="K11881" t="s">
        <v>42305</v>
      </c>
      <c r="M11881" t="s">
        <v>45883</v>
      </c>
      <c r="N11881" t="s">
        <v>46569</v>
      </c>
      <c r="O11881" t="s">
        <v>46570</v>
      </c>
      <c r="P11881">
        <v>0</v>
      </c>
      <c r="Q11881">
        <v>0</v>
      </c>
      <c r="R11881" t="s">
        <v>46580</v>
      </c>
      <c r="S11881" t="s">
        <v>46986</v>
      </c>
      <c r="T11881" t="s">
        <v>48284</v>
      </c>
      <c r="U11881" t="s">
        <v>57751</v>
      </c>
      <c r="W11881" t="s">
        <v>45883</v>
      </c>
      <c r="X11881" t="s">
        <v>46581</v>
      </c>
    </row>
    <row r="11882" spans="1:24">
      <c r="A11882">
        <f>HYPERLINK("https://www.philgeps.gov.ph/GEPSNONPILOT/Tender/SplashBidNoticeAbstractUI.aspx?menuIndex=3&amp;refID=7045319&amp;Result=3","7045319")</f>
        <v>0</v>
      </c>
      <c r="B11882" t="s">
        <v>2776</v>
      </c>
      <c r="C11882" t="s">
        <v>14796</v>
      </c>
      <c r="D11882" t="s">
        <v>18842</v>
      </c>
      <c r="E11882" t="s">
        <v>29104</v>
      </c>
      <c r="F11882" t="s">
        <v>32664</v>
      </c>
      <c r="G11882" t="s">
        <v>32672</v>
      </c>
      <c r="H11882" t="s">
        <v>32683</v>
      </c>
      <c r="I11882" t="s">
        <v>10627</v>
      </c>
      <c r="J11882" t="s">
        <v>34147</v>
      </c>
      <c r="K11882" t="s">
        <v>42529</v>
      </c>
      <c r="M11882" t="s">
        <v>45883</v>
      </c>
      <c r="N11882" t="s">
        <v>46569</v>
      </c>
      <c r="O11882" t="s">
        <v>46570</v>
      </c>
      <c r="P11882">
        <v>0</v>
      </c>
      <c r="Q11882">
        <v>0</v>
      </c>
      <c r="R11882" t="s">
        <v>46580</v>
      </c>
      <c r="S11882" t="s">
        <v>46986</v>
      </c>
      <c r="T11882" t="s">
        <v>48284</v>
      </c>
      <c r="U11882" t="s">
        <v>57751</v>
      </c>
      <c r="W11882" t="s">
        <v>45883</v>
      </c>
      <c r="X11882" t="s">
        <v>46581</v>
      </c>
    </row>
    <row r="11883" spans="1:24">
      <c r="A11883">
        <f>HYPERLINK("https://www.philgeps.gov.ph/GEPSNONPILOT/Tender/SplashBidNoticeAbstractUI.aspx?menuIndex=3&amp;refID=7045355&amp;Result=3","7045355")</f>
        <v>0</v>
      </c>
      <c r="B11883" t="s">
        <v>2785</v>
      </c>
      <c r="C11883" t="s">
        <v>14797</v>
      </c>
      <c r="D11883" t="s">
        <v>18806</v>
      </c>
      <c r="E11883" t="s">
        <v>29105</v>
      </c>
      <c r="F11883" t="s">
        <v>32664</v>
      </c>
      <c r="G11883" t="s">
        <v>32672</v>
      </c>
      <c r="H11883" t="s">
        <v>12635</v>
      </c>
      <c r="I11883" t="s">
        <v>32743</v>
      </c>
      <c r="J11883" t="s">
        <v>35589</v>
      </c>
      <c r="K11883" t="s">
        <v>42305</v>
      </c>
      <c r="M11883" t="s">
        <v>45627</v>
      </c>
      <c r="N11883" t="s">
        <v>46569</v>
      </c>
      <c r="O11883" t="s">
        <v>46570</v>
      </c>
      <c r="Q11883">
        <v>11</v>
      </c>
      <c r="R11883" t="s">
        <v>46580</v>
      </c>
      <c r="S11883" t="s">
        <v>46995</v>
      </c>
      <c r="T11883" t="s">
        <v>48284</v>
      </c>
      <c r="U11883" t="s">
        <v>58313</v>
      </c>
      <c r="V11883" t="s">
        <v>62916</v>
      </c>
      <c r="W11883" t="s">
        <v>45627</v>
      </c>
      <c r="X11883" t="s">
        <v>46581</v>
      </c>
    </row>
    <row r="11884" spans="1:24">
      <c r="A11884">
        <f>HYPERLINK("https://www.philgeps.gov.ph/GEPSNONPILOT/Tender/SplashBidNoticeAbstractUI.aspx?menuIndex=3&amp;refID=7045426&amp;Result=3","7045426")</f>
        <v>0</v>
      </c>
      <c r="B11884" t="s">
        <v>44</v>
      </c>
      <c r="C11884" t="s">
        <v>14798</v>
      </c>
      <c r="D11884" t="s">
        <v>18795</v>
      </c>
      <c r="E11884" t="s">
        <v>29106</v>
      </c>
      <c r="F11884" t="s">
        <v>32664</v>
      </c>
      <c r="G11884" t="s">
        <v>32672</v>
      </c>
      <c r="H11884" t="s">
        <v>12635</v>
      </c>
      <c r="I11884" t="s">
        <v>32685</v>
      </c>
      <c r="J11884" t="s">
        <v>36132</v>
      </c>
      <c r="K11884" t="s">
        <v>42281</v>
      </c>
      <c r="M11884" t="s">
        <v>42606</v>
      </c>
      <c r="N11884" t="s">
        <v>46569</v>
      </c>
      <c r="O11884" t="s">
        <v>46570</v>
      </c>
      <c r="P11884">
        <v>0</v>
      </c>
      <c r="Q11884">
        <v>1</v>
      </c>
      <c r="R11884" t="s">
        <v>46580</v>
      </c>
      <c r="S11884" t="s">
        <v>46986</v>
      </c>
      <c r="T11884" t="s">
        <v>48303</v>
      </c>
      <c r="U11884" t="s">
        <v>58314</v>
      </c>
      <c r="W11884" t="s">
        <v>42606</v>
      </c>
      <c r="X11884" t="s">
        <v>46581</v>
      </c>
    </row>
    <row r="11885" spans="1:24">
      <c r="A11885">
        <f>HYPERLINK("https://www.philgeps.gov.ph/GEPSNONPILOT/Tender/SplashBidNoticeAbstractUI.aspx?menuIndex=3&amp;refID=7045413&amp;Result=3","7045413")</f>
        <v>0</v>
      </c>
      <c r="B11885" t="s">
        <v>1778</v>
      </c>
      <c r="C11885" t="s">
        <v>14799</v>
      </c>
      <c r="D11885" t="s">
        <v>18837</v>
      </c>
      <c r="E11885" t="s">
        <v>29107</v>
      </c>
      <c r="F11885" t="s">
        <v>32664</v>
      </c>
      <c r="G11885" t="s">
        <v>32674</v>
      </c>
      <c r="H11885" t="s">
        <v>12635</v>
      </c>
      <c r="I11885" t="s">
        <v>8797</v>
      </c>
      <c r="J11885" t="s">
        <v>36416</v>
      </c>
      <c r="K11885" t="s">
        <v>42283</v>
      </c>
      <c r="M11885" t="s">
        <v>44480</v>
      </c>
      <c r="N11885" t="s">
        <v>46569</v>
      </c>
      <c r="O11885" t="s">
        <v>46570</v>
      </c>
      <c r="P11885">
        <v>0</v>
      </c>
      <c r="Q11885">
        <v>7</v>
      </c>
      <c r="R11885" t="s">
        <v>46580</v>
      </c>
      <c r="S11885" t="s">
        <v>46986</v>
      </c>
      <c r="T11885" t="s">
        <v>48473</v>
      </c>
      <c r="U11885" t="s">
        <v>58315</v>
      </c>
      <c r="W11885" t="s">
        <v>44480</v>
      </c>
      <c r="X11885" t="s">
        <v>46581</v>
      </c>
    </row>
    <row r="11886" spans="1:24">
      <c r="A11886">
        <f>HYPERLINK("https://www.philgeps.gov.ph/GEPSNONPILOT/Tender/SplashBidNoticeAbstractUI.aspx?menuIndex=3&amp;refID=7045560&amp;Result=3","7045560")</f>
        <v>0</v>
      </c>
      <c r="B11886" t="s">
        <v>660</v>
      </c>
      <c r="C11886" t="s">
        <v>14800</v>
      </c>
      <c r="D11886" t="s">
        <v>18855</v>
      </c>
      <c r="E11886" t="s">
        <v>29108</v>
      </c>
      <c r="F11886" t="s">
        <v>32664</v>
      </c>
      <c r="G11886" t="s">
        <v>32672</v>
      </c>
      <c r="H11886" t="s">
        <v>32683</v>
      </c>
      <c r="I11886" t="s">
        <v>10627</v>
      </c>
      <c r="J11886" t="s">
        <v>33743</v>
      </c>
      <c r="K11886" t="s">
        <v>42283</v>
      </c>
      <c r="M11886" t="s">
        <v>43247</v>
      </c>
      <c r="N11886" t="s">
        <v>46569</v>
      </c>
      <c r="O11886" t="s">
        <v>46570</v>
      </c>
      <c r="P11886">
        <v>0</v>
      </c>
      <c r="Q11886">
        <v>1</v>
      </c>
      <c r="R11886" t="s">
        <v>46580</v>
      </c>
      <c r="S11886" t="s">
        <v>46986</v>
      </c>
      <c r="T11886" t="s">
        <v>48303</v>
      </c>
      <c r="U11886" t="s">
        <v>58194</v>
      </c>
      <c r="W11886" t="s">
        <v>43247</v>
      </c>
      <c r="X11886" t="s">
        <v>46581</v>
      </c>
    </row>
    <row r="11887" spans="1:24">
      <c r="A11887">
        <f>HYPERLINK("https://www.philgeps.gov.ph/GEPSNONPILOT/Tender/SplashBidNoticeAbstractUI.aspx?menuIndex=3&amp;refID=7045546&amp;Result=3","7045546")</f>
        <v>0</v>
      </c>
      <c r="B11887" t="s">
        <v>3122</v>
      </c>
      <c r="C11887" t="s">
        <v>14801</v>
      </c>
      <c r="D11887" t="s">
        <v>18782</v>
      </c>
      <c r="E11887" t="s">
        <v>29109</v>
      </c>
      <c r="F11887" t="s">
        <v>32664</v>
      </c>
      <c r="G11887" t="s">
        <v>32672</v>
      </c>
      <c r="H11887" t="s">
        <v>32683</v>
      </c>
      <c r="I11887" t="s">
        <v>10627</v>
      </c>
      <c r="J11887" t="s">
        <v>33118</v>
      </c>
      <c r="K11887" t="s">
        <v>42289</v>
      </c>
      <c r="M11887" t="s">
        <v>46015</v>
      </c>
      <c r="N11887" t="s">
        <v>46569</v>
      </c>
      <c r="O11887" t="s">
        <v>46570</v>
      </c>
      <c r="P11887">
        <v>0</v>
      </c>
      <c r="Q11887">
        <v>0</v>
      </c>
      <c r="R11887" t="s">
        <v>46580</v>
      </c>
      <c r="S11887" t="s">
        <v>46986</v>
      </c>
      <c r="T11887" t="s">
        <v>48271</v>
      </c>
      <c r="U11887" t="s">
        <v>58316</v>
      </c>
      <c r="V11887" t="s">
        <v>62917</v>
      </c>
      <c r="W11887" t="s">
        <v>46015</v>
      </c>
      <c r="X11887" t="s">
        <v>46581</v>
      </c>
    </row>
    <row r="11888" spans="1:24">
      <c r="A11888">
        <f>HYPERLINK("https://www.philgeps.gov.ph/GEPSNONPILOT/Tender/SplashBidNoticeAbstractUI.aspx?menuIndex=3&amp;refID=7045523&amp;Result=3","7045523")</f>
        <v>0</v>
      </c>
      <c r="B11888" t="s">
        <v>3123</v>
      </c>
      <c r="C11888" t="s">
        <v>14802</v>
      </c>
      <c r="D11888" t="s">
        <v>18852</v>
      </c>
      <c r="E11888" t="s">
        <v>29110</v>
      </c>
      <c r="F11888" t="s">
        <v>32664</v>
      </c>
      <c r="G11888" t="s">
        <v>32672</v>
      </c>
      <c r="H11888" t="s">
        <v>12635</v>
      </c>
      <c r="I11888" t="s">
        <v>10370</v>
      </c>
      <c r="J11888" t="s">
        <v>32847</v>
      </c>
      <c r="K11888" t="s">
        <v>42281</v>
      </c>
      <c r="M11888" t="s">
        <v>46016</v>
      </c>
      <c r="N11888" t="s">
        <v>46569</v>
      </c>
      <c r="O11888" t="s">
        <v>46570</v>
      </c>
      <c r="P11888">
        <v>0</v>
      </c>
      <c r="Q11888">
        <v>1</v>
      </c>
      <c r="R11888" t="s">
        <v>46580</v>
      </c>
      <c r="S11888" t="s">
        <v>46986</v>
      </c>
      <c r="T11888" t="s">
        <v>48309</v>
      </c>
      <c r="U11888" t="s">
        <v>58317</v>
      </c>
      <c r="V11888" t="s">
        <v>62918</v>
      </c>
      <c r="W11888" t="s">
        <v>46016</v>
      </c>
      <c r="X11888" t="s">
        <v>46581</v>
      </c>
    </row>
    <row r="11889" spans="1:24">
      <c r="A11889">
        <f>HYPERLINK("https://www.philgeps.gov.ph/GEPSNONPILOT/Tender/SplashBidNoticeAbstractUI.aspx?menuIndex=3&amp;refID=7045197&amp;Result=3","7045197")</f>
        <v>0</v>
      </c>
      <c r="B11889" t="s">
        <v>2150</v>
      </c>
      <c r="C11889" t="s">
        <v>14803</v>
      </c>
      <c r="D11889" t="s">
        <v>18851</v>
      </c>
      <c r="E11889" t="s">
        <v>29111</v>
      </c>
      <c r="F11889" t="s">
        <v>32664</v>
      </c>
      <c r="G11889" t="s">
        <v>32672</v>
      </c>
      <c r="H11889" t="s">
        <v>12635</v>
      </c>
      <c r="I11889" t="s">
        <v>6223</v>
      </c>
      <c r="J11889" t="s">
        <v>39831</v>
      </c>
      <c r="K11889" t="s">
        <v>42281</v>
      </c>
      <c r="M11889" t="s">
        <v>44906</v>
      </c>
      <c r="N11889" t="s">
        <v>46569</v>
      </c>
      <c r="O11889" t="s">
        <v>46570</v>
      </c>
      <c r="P11889">
        <v>0</v>
      </c>
      <c r="Q11889">
        <v>0</v>
      </c>
      <c r="R11889" t="s">
        <v>46580</v>
      </c>
      <c r="S11889" t="s">
        <v>46986</v>
      </c>
      <c r="T11889" t="s">
        <v>48212</v>
      </c>
      <c r="U11889" t="s">
        <v>58318</v>
      </c>
      <c r="W11889" t="s">
        <v>44906</v>
      </c>
      <c r="X11889" t="s">
        <v>46581</v>
      </c>
    </row>
    <row r="11890" spans="1:24">
      <c r="A11890">
        <f>HYPERLINK("https://www.philgeps.gov.ph/GEPSNONPILOT/Tender/SplashBidNoticeAbstractUI.aspx?menuIndex=3&amp;refID=7045516&amp;Result=3","7045516")</f>
        <v>0</v>
      </c>
      <c r="B11890" t="s">
        <v>3124</v>
      </c>
      <c r="C11890" t="s">
        <v>14804</v>
      </c>
      <c r="D11890" t="s">
        <v>18829</v>
      </c>
      <c r="E11890" t="s">
        <v>29112</v>
      </c>
      <c r="F11890" t="s">
        <v>32664</v>
      </c>
      <c r="G11890" t="s">
        <v>32672</v>
      </c>
      <c r="H11890" t="s">
        <v>32683</v>
      </c>
      <c r="I11890" t="s">
        <v>10627</v>
      </c>
      <c r="J11890" t="s">
        <v>39832</v>
      </c>
      <c r="K11890" t="s">
        <v>42308</v>
      </c>
      <c r="M11890" t="s">
        <v>46017</v>
      </c>
      <c r="N11890" t="s">
        <v>46569</v>
      </c>
      <c r="O11890" t="s">
        <v>46570</v>
      </c>
      <c r="P11890">
        <v>0</v>
      </c>
      <c r="Q11890">
        <v>3</v>
      </c>
      <c r="R11890" t="s">
        <v>46580</v>
      </c>
      <c r="S11890" t="s">
        <v>46986</v>
      </c>
      <c r="T11890" t="s">
        <v>48223</v>
      </c>
      <c r="U11890" t="s">
        <v>58319</v>
      </c>
      <c r="W11890" t="s">
        <v>46017</v>
      </c>
      <c r="X11890" t="s">
        <v>46581</v>
      </c>
    </row>
    <row r="11891" spans="1:24">
      <c r="A11891">
        <f>HYPERLINK("https://www.philgeps.gov.ph/GEPSNONPILOT/Tender/SplashBidNoticeAbstractUI.aspx?menuIndex=3&amp;refID=7045509&amp;Result=3","7045509")</f>
        <v>0</v>
      </c>
      <c r="B11891" t="s">
        <v>1778</v>
      </c>
      <c r="C11891" t="s">
        <v>14805</v>
      </c>
      <c r="D11891" t="s">
        <v>18837</v>
      </c>
      <c r="E11891" t="s">
        <v>29113</v>
      </c>
      <c r="F11891" t="s">
        <v>32664</v>
      </c>
      <c r="G11891" t="s">
        <v>32674</v>
      </c>
      <c r="H11891" t="s">
        <v>12635</v>
      </c>
      <c r="I11891" t="s">
        <v>8797</v>
      </c>
      <c r="J11891" t="s">
        <v>39833</v>
      </c>
      <c r="K11891" t="s">
        <v>42283</v>
      </c>
      <c r="M11891" t="s">
        <v>44480</v>
      </c>
      <c r="N11891" t="s">
        <v>46569</v>
      </c>
      <c r="O11891" t="s">
        <v>46570</v>
      </c>
      <c r="P11891">
        <v>0</v>
      </c>
      <c r="Q11891">
        <v>2</v>
      </c>
      <c r="R11891" t="s">
        <v>46580</v>
      </c>
      <c r="S11891" t="s">
        <v>46986</v>
      </c>
      <c r="T11891" t="s">
        <v>48595</v>
      </c>
      <c r="U11891" t="s">
        <v>58320</v>
      </c>
      <c r="W11891" t="s">
        <v>44480</v>
      </c>
      <c r="X11891" t="s">
        <v>46581</v>
      </c>
    </row>
    <row r="11892" spans="1:24">
      <c r="A11892">
        <f>HYPERLINK("https://www.philgeps.gov.ph/GEPSNONPILOT/Tender/SplashBidNoticeAbstractUI.aspx?menuIndex=3&amp;refID=7045487&amp;Result=3","7045487")</f>
        <v>0</v>
      </c>
      <c r="B11892" t="s">
        <v>3125</v>
      </c>
      <c r="C11892" t="s">
        <v>14806</v>
      </c>
      <c r="D11892" t="s">
        <v>18816</v>
      </c>
      <c r="E11892" t="s">
        <v>29114</v>
      </c>
      <c r="F11892" t="s">
        <v>32664</v>
      </c>
      <c r="G11892" t="s">
        <v>32672</v>
      </c>
      <c r="H11892" t="s">
        <v>32683</v>
      </c>
      <c r="I11892" t="s">
        <v>10627</v>
      </c>
      <c r="J11892" t="s">
        <v>39834</v>
      </c>
      <c r="K11892" t="s">
        <v>42290</v>
      </c>
      <c r="M11892" t="s">
        <v>46018</v>
      </c>
      <c r="N11892" t="s">
        <v>46569</v>
      </c>
      <c r="O11892" t="s">
        <v>46570</v>
      </c>
      <c r="P11892">
        <v>0</v>
      </c>
      <c r="Q11892">
        <v>0</v>
      </c>
      <c r="R11892" t="s">
        <v>46580</v>
      </c>
      <c r="S11892" t="s">
        <v>46986</v>
      </c>
      <c r="T11892" t="s">
        <v>48487</v>
      </c>
      <c r="U11892" t="s">
        <v>58321</v>
      </c>
      <c r="W11892" t="s">
        <v>46018</v>
      </c>
      <c r="X11892" t="s">
        <v>46581</v>
      </c>
    </row>
    <row r="11893" spans="1:24">
      <c r="A11893">
        <f>HYPERLINK("https://www.philgeps.gov.ph/GEPSNONPILOT/Tender/SplashBidNoticeAbstractUI.aspx?menuIndex=3&amp;refID=7045486&amp;Result=3","7045486")</f>
        <v>0</v>
      </c>
      <c r="B11893" t="s">
        <v>660</v>
      </c>
      <c r="C11893" t="s">
        <v>14807</v>
      </c>
      <c r="D11893" t="s">
        <v>18855</v>
      </c>
      <c r="E11893" t="s">
        <v>29115</v>
      </c>
      <c r="F11893" t="s">
        <v>32664</v>
      </c>
      <c r="G11893" t="s">
        <v>32672</v>
      </c>
      <c r="H11893" t="s">
        <v>32683</v>
      </c>
      <c r="I11893" t="s">
        <v>10627</v>
      </c>
      <c r="J11893" t="s">
        <v>32837</v>
      </c>
      <c r="K11893" t="s">
        <v>42283</v>
      </c>
      <c r="M11893" t="s">
        <v>43247</v>
      </c>
      <c r="N11893" t="s">
        <v>46569</v>
      </c>
      <c r="O11893" t="s">
        <v>46570</v>
      </c>
      <c r="P11893">
        <v>0</v>
      </c>
      <c r="Q11893">
        <v>1</v>
      </c>
      <c r="R11893" t="s">
        <v>46580</v>
      </c>
      <c r="S11893" t="s">
        <v>46986</v>
      </c>
      <c r="T11893" t="s">
        <v>48303</v>
      </c>
      <c r="U11893" t="s">
        <v>58194</v>
      </c>
      <c r="W11893" t="s">
        <v>43247</v>
      </c>
      <c r="X11893" t="s">
        <v>46581</v>
      </c>
    </row>
    <row r="11894" spans="1:24">
      <c r="A11894">
        <f>HYPERLINK("https://www.philgeps.gov.ph/GEPSNONPILOT/Tender/SplashBidNoticeAbstractUI.aspx?menuIndex=3&amp;refID=7045485&amp;Result=3","7045485")</f>
        <v>0</v>
      </c>
      <c r="B11894" t="s">
        <v>3124</v>
      </c>
      <c r="C11894" t="s">
        <v>14808</v>
      </c>
      <c r="D11894" t="s">
        <v>18829</v>
      </c>
      <c r="E11894" t="s">
        <v>29116</v>
      </c>
      <c r="F11894" t="s">
        <v>32664</v>
      </c>
      <c r="G11894" t="s">
        <v>32672</v>
      </c>
      <c r="H11894" t="s">
        <v>32683</v>
      </c>
      <c r="I11894" t="s">
        <v>10627</v>
      </c>
      <c r="J11894" t="s">
        <v>38207</v>
      </c>
      <c r="K11894" t="s">
        <v>42308</v>
      </c>
      <c r="M11894" t="s">
        <v>46017</v>
      </c>
      <c r="N11894" t="s">
        <v>46569</v>
      </c>
      <c r="O11894" t="s">
        <v>46570</v>
      </c>
      <c r="P11894">
        <v>0</v>
      </c>
      <c r="Q11894">
        <v>3</v>
      </c>
      <c r="R11894" t="s">
        <v>46580</v>
      </c>
      <c r="S11894" t="s">
        <v>46986</v>
      </c>
      <c r="T11894" t="s">
        <v>48223</v>
      </c>
      <c r="U11894" t="s">
        <v>58322</v>
      </c>
      <c r="W11894" t="s">
        <v>46017</v>
      </c>
      <c r="X11894" t="s">
        <v>46581</v>
      </c>
    </row>
    <row r="11895" spans="1:24">
      <c r="A11895">
        <f>HYPERLINK("https://www.philgeps.gov.ph/GEPSNONPILOT/Tender/SplashBidNoticeAbstractUI.aspx?menuIndex=3&amp;refID=7045482&amp;Result=3","7045482")</f>
        <v>0</v>
      </c>
      <c r="B11895" t="s">
        <v>2150</v>
      </c>
      <c r="C11895" t="s">
        <v>14809</v>
      </c>
      <c r="D11895" t="s">
        <v>18851</v>
      </c>
      <c r="E11895" t="s">
        <v>29117</v>
      </c>
      <c r="F11895" t="s">
        <v>32664</v>
      </c>
      <c r="G11895" t="s">
        <v>32672</v>
      </c>
      <c r="H11895" t="s">
        <v>12635</v>
      </c>
      <c r="I11895" t="s">
        <v>10361</v>
      </c>
      <c r="J11895" t="s">
        <v>38675</v>
      </c>
      <c r="K11895" t="s">
        <v>42281</v>
      </c>
      <c r="M11895" t="s">
        <v>44906</v>
      </c>
      <c r="N11895" t="s">
        <v>46569</v>
      </c>
      <c r="O11895" t="s">
        <v>46570</v>
      </c>
      <c r="P11895">
        <v>0</v>
      </c>
      <c r="Q11895">
        <v>0</v>
      </c>
      <c r="R11895" t="s">
        <v>46580</v>
      </c>
      <c r="S11895" t="s">
        <v>46986</v>
      </c>
      <c r="T11895" t="s">
        <v>48212</v>
      </c>
      <c r="U11895" t="s">
        <v>58323</v>
      </c>
      <c r="W11895" t="s">
        <v>44906</v>
      </c>
      <c r="X11895" t="s">
        <v>46581</v>
      </c>
    </row>
    <row r="11896" spans="1:24">
      <c r="A11896">
        <f>HYPERLINK("https://www.philgeps.gov.ph/GEPSNONPILOT/Tender/SplashBidNoticeAbstractUI.aspx?menuIndex=3&amp;refID=7045116&amp;Result=3","7045116")</f>
        <v>0</v>
      </c>
      <c r="B11896" t="s">
        <v>3126</v>
      </c>
      <c r="C11896" t="s">
        <v>14810</v>
      </c>
      <c r="D11896" t="s">
        <v>18852</v>
      </c>
      <c r="E11896" t="s">
        <v>29118</v>
      </c>
      <c r="F11896" t="s">
        <v>32664</v>
      </c>
      <c r="G11896" t="s">
        <v>32672</v>
      </c>
      <c r="H11896" t="s">
        <v>12635</v>
      </c>
      <c r="I11896" t="s">
        <v>4439</v>
      </c>
      <c r="J11896" t="s">
        <v>39835</v>
      </c>
      <c r="K11896" t="s">
        <v>42281</v>
      </c>
      <c r="M11896" t="s">
        <v>46019</v>
      </c>
      <c r="N11896" t="s">
        <v>46569</v>
      </c>
      <c r="O11896" t="s">
        <v>46570</v>
      </c>
      <c r="P11896">
        <v>0</v>
      </c>
      <c r="Q11896">
        <v>0</v>
      </c>
      <c r="R11896" t="s">
        <v>46580</v>
      </c>
      <c r="S11896" t="s">
        <v>46986</v>
      </c>
      <c r="T11896" t="s">
        <v>48282</v>
      </c>
      <c r="U11896" t="s">
        <v>58324</v>
      </c>
      <c r="V11896" t="s">
        <v>62919</v>
      </c>
      <c r="W11896" t="s">
        <v>46019</v>
      </c>
      <c r="X11896" t="s">
        <v>46581</v>
      </c>
    </row>
    <row r="11897" spans="1:24">
      <c r="A11897">
        <f>HYPERLINK("https://www.philgeps.gov.ph/GEPSNONPILOT/Tender/SplashBidNoticeAbstractUI.aspx?menuIndex=3&amp;refID=7045459&amp;Result=3","7045459")</f>
        <v>0</v>
      </c>
      <c r="B11897" t="s">
        <v>2150</v>
      </c>
      <c r="C11897" t="s">
        <v>14811</v>
      </c>
      <c r="D11897" t="s">
        <v>18851</v>
      </c>
      <c r="E11897" t="s">
        <v>29119</v>
      </c>
      <c r="F11897" t="s">
        <v>32664</v>
      </c>
      <c r="G11897" t="s">
        <v>32672</v>
      </c>
      <c r="H11897" t="s">
        <v>12635</v>
      </c>
      <c r="I11897" t="s">
        <v>5589</v>
      </c>
      <c r="J11897" t="s">
        <v>39836</v>
      </c>
      <c r="K11897" t="s">
        <v>42281</v>
      </c>
      <c r="M11897" t="s">
        <v>44906</v>
      </c>
      <c r="N11897" t="s">
        <v>46569</v>
      </c>
      <c r="O11897" t="s">
        <v>46570</v>
      </c>
      <c r="P11897">
        <v>0</v>
      </c>
      <c r="Q11897">
        <v>2</v>
      </c>
      <c r="R11897" t="s">
        <v>46580</v>
      </c>
      <c r="S11897" t="s">
        <v>46986</v>
      </c>
      <c r="T11897" t="s">
        <v>48212</v>
      </c>
      <c r="U11897" t="s">
        <v>58325</v>
      </c>
      <c r="W11897" t="s">
        <v>44906</v>
      </c>
      <c r="X11897" t="s">
        <v>46581</v>
      </c>
    </row>
    <row r="11898" spans="1:24">
      <c r="A11898">
        <f>HYPERLINK("https://www.philgeps.gov.ph/GEPSNONPILOT/Tender/SplashBidNoticeAbstractUI.aspx?menuIndex=3&amp;refID=7045451&amp;Result=3","7045451")</f>
        <v>0</v>
      </c>
      <c r="B11898" t="s">
        <v>3127</v>
      </c>
      <c r="C11898" t="s">
        <v>14812</v>
      </c>
      <c r="D11898" t="s">
        <v>18792</v>
      </c>
      <c r="E11898" t="s">
        <v>29120</v>
      </c>
      <c r="F11898" t="s">
        <v>32664</v>
      </c>
      <c r="G11898" t="s">
        <v>32672</v>
      </c>
      <c r="H11898" t="s">
        <v>12635</v>
      </c>
      <c r="I11898" t="s">
        <v>5589</v>
      </c>
      <c r="J11898" t="s">
        <v>39837</v>
      </c>
      <c r="K11898" t="s">
        <v>42281</v>
      </c>
      <c r="M11898" t="s">
        <v>46020</v>
      </c>
      <c r="N11898" t="s">
        <v>46569</v>
      </c>
      <c r="O11898" t="s">
        <v>46570</v>
      </c>
      <c r="P11898">
        <v>0</v>
      </c>
      <c r="Q11898">
        <v>1</v>
      </c>
      <c r="R11898" t="s">
        <v>46580</v>
      </c>
      <c r="S11898" t="s">
        <v>46986</v>
      </c>
      <c r="T11898" t="s">
        <v>48312</v>
      </c>
      <c r="U11898" t="s">
        <v>58326</v>
      </c>
      <c r="V11898" t="s">
        <v>62920</v>
      </c>
      <c r="W11898" t="s">
        <v>46020</v>
      </c>
      <c r="X11898" t="s">
        <v>46581</v>
      </c>
    </row>
    <row r="11899" spans="1:24">
      <c r="A11899">
        <f>HYPERLINK("https://www.philgeps.gov.ph/GEPSNONPILOT/Tender/SplashBidNoticeAbstractUI.aspx?menuIndex=3&amp;refID=7045447&amp;Result=3","7045447")</f>
        <v>0</v>
      </c>
      <c r="B11899" t="s">
        <v>1935</v>
      </c>
      <c r="C11899" t="s">
        <v>14813</v>
      </c>
      <c r="D11899" t="s">
        <v>18824</v>
      </c>
      <c r="E11899" t="s">
        <v>29121</v>
      </c>
      <c r="F11899" t="s">
        <v>32664</v>
      </c>
      <c r="G11899" t="s">
        <v>32672</v>
      </c>
      <c r="H11899" t="s">
        <v>12635</v>
      </c>
      <c r="I11899" t="s">
        <v>32693</v>
      </c>
      <c r="J11899" t="s">
        <v>32962</v>
      </c>
      <c r="K11899" t="s">
        <v>42298</v>
      </c>
      <c r="M11899" t="s">
        <v>44660</v>
      </c>
      <c r="N11899" t="s">
        <v>46569</v>
      </c>
      <c r="O11899" t="s">
        <v>46570</v>
      </c>
      <c r="P11899">
        <v>0</v>
      </c>
      <c r="Q11899">
        <v>9</v>
      </c>
      <c r="R11899" t="s">
        <v>46580</v>
      </c>
      <c r="S11899" t="s">
        <v>46986</v>
      </c>
      <c r="T11899" t="s">
        <v>48695</v>
      </c>
      <c r="U11899" t="s">
        <v>58327</v>
      </c>
      <c r="W11899" t="s">
        <v>44660</v>
      </c>
      <c r="X11899" t="s">
        <v>46581</v>
      </c>
    </row>
    <row r="11900" spans="1:24">
      <c r="A11900">
        <f>HYPERLINK("https://www.philgeps.gov.ph/GEPSNONPILOT/Tender/SplashBidNoticeAbstractUI.aspx?menuIndex=3&amp;refID=7045446&amp;Result=3","7045446")</f>
        <v>0</v>
      </c>
      <c r="B11900" t="s">
        <v>3125</v>
      </c>
      <c r="C11900" t="s">
        <v>14814</v>
      </c>
      <c r="D11900" t="s">
        <v>18816</v>
      </c>
      <c r="E11900" t="s">
        <v>26791</v>
      </c>
      <c r="F11900" t="s">
        <v>32664</v>
      </c>
      <c r="G11900" t="s">
        <v>32672</v>
      </c>
      <c r="H11900" t="s">
        <v>32683</v>
      </c>
      <c r="I11900" t="s">
        <v>10627</v>
      </c>
      <c r="J11900" t="s">
        <v>33761</v>
      </c>
      <c r="K11900" t="s">
        <v>42308</v>
      </c>
      <c r="M11900" t="s">
        <v>46018</v>
      </c>
      <c r="N11900" t="s">
        <v>46569</v>
      </c>
      <c r="O11900" t="s">
        <v>46570</v>
      </c>
      <c r="P11900">
        <v>0</v>
      </c>
      <c r="Q11900">
        <v>0</v>
      </c>
      <c r="R11900" t="s">
        <v>46580</v>
      </c>
      <c r="S11900" t="s">
        <v>46986</v>
      </c>
      <c r="T11900" t="s">
        <v>48238</v>
      </c>
      <c r="U11900" t="s">
        <v>58328</v>
      </c>
      <c r="W11900" t="s">
        <v>46018</v>
      </c>
      <c r="X11900" t="s">
        <v>46581</v>
      </c>
    </row>
    <row r="11901" spans="1:24">
      <c r="A11901">
        <f>HYPERLINK("https://www.philgeps.gov.ph/GEPSNONPILOT/Tender/SplashBidNoticeAbstractUI.aspx?menuIndex=3&amp;refID=7045445&amp;Result=3","7045445")</f>
        <v>0</v>
      </c>
      <c r="B11901" t="s">
        <v>141</v>
      </c>
      <c r="C11901" t="s">
        <v>14815</v>
      </c>
      <c r="D11901" t="s">
        <v>18796</v>
      </c>
      <c r="E11901" t="s">
        <v>29122</v>
      </c>
      <c r="F11901" t="s">
        <v>32664</v>
      </c>
      <c r="G11901" t="s">
        <v>32671</v>
      </c>
      <c r="H11901" t="s">
        <v>12635</v>
      </c>
      <c r="I11901" t="s">
        <v>10370</v>
      </c>
      <c r="J11901" t="s">
        <v>33267</v>
      </c>
      <c r="K11901" t="s">
        <v>42281</v>
      </c>
      <c r="M11901" t="s">
        <v>42705</v>
      </c>
      <c r="N11901" t="s">
        <v>46569</v>
      </c>
      <c r="O11901" t="s">
        <v>46570</v>
      </c>
      <c r="P11901">
        <v>0</v>
      </c>
      <c r="Q11901">
        <v>6</v>
      </c>
      <c r="R11901" t="s">
        <v>46580</v>
      </c>
      <c r="S11901" t="s">
        <v>46986</v>
      </c>
      <c r="T11901" t="s">
        <v>48228</v>
      </c>
      <c r="U11901" t="s">
        <v>58329</v>
      </c>
      <c r="W11901" t="s">
        <v>42705</v>
      </c>
      <c r="X11901" t="s">
        <v>46581</v>
      </c>
    </row>
    <row r="11902" spans="1:24">
      <c r="A11902">
        <f>HYPERLINK("https://www.philgeps.gov.ph/GEPSNONPILOT/Tender/SplashBidNoticeAbstractUI.aspx?menuIndex=3&amp;refID=7045438&amp;Result=3","7045438")</f>
        <v>0</v>
      </c>
      <c r="B11902" t="s">
        <v>1108</v>
      </c>
      <c r="C11902" t="s">
        <v>14816</v>
      </c>
      <c r="D11902" t="s">
        <v>18796</v>
      </c>
      <c r="E11902" t="s">
        <v>29123</v>
      </c>
      <c r="F11902" t="s">
        <v>32664</v>
      </c>
      <c r="G11902" t="s">
        <v>32672</v>
      </c>
      <c r="H11902" t="s">
        <v>32683</v>
      </c>
      <c r="I11902" t="s">
        <v>10627</v>
      </c>
      <c r="J11902" t="s">
        <v>34213</v>
      </c>
      <c r="K11902" t="s">
        <v>42317</v>
      </c>
      <c r="M11902" t="s">
        <v>43735</v>
      </c>
      <c r="N11902" t="s">
        <v>46569</v>
      </c>
      <c r="O11902" t="s">
        <v>46570</v>
      </c>
      <c r="P11902">
        <v>0</v>
      </c>
      <c r="Q11902">
        <v>1</v>
      </c>
      <c r="R11902" t="s">
        <v>46580</v>
      </c>
      <c r="S11902" t="s">
        <v>46986</v>
      </c>
      <c r="T11902" t="s">
        <v>48284</v>
      </c>
      <c r="U11902" t="s">
        <v>58300</v>
      </c>
      <c r="V11902" t="s">
        <v>62921</v>
      </c>
      <c r="W11902" t="s">
        <v>43735</v>
      </c>
      <c r="X11902" t="s">
        <v>46581</v>
      </c>
    </row>
    <row r="11903" spans="1:24">
      <c r="A11903">
        <f>HYPERLINK("https://www.philgeps.gov.ph/GEPSNONPILOT/Tender/SplashBidNoticeAbstractUI.aspx?menuIndex=3&amp;refID=7045463&amp;Result=3","7045463")</f>
        <v>0</v>
      </c>
      <c r="B11903" t="s">
        <v>3128</v>
      </c>
      <c r="C11903" t="s">
        <v>14817</v>
      </c>
      <c r="D11903" t="s">
        <v>18810</v>
      </c>
      <c r="E11903" t="s">
        <v>29124</v>
      </c>
      <c r="F11903" t="s">
        <v>32664</v>
      </c>
      <c r="G11903" t="s">
        <v>32672</v>
      </c>
      <c r="H11903" t="s">
        <v>32683</v>
      </c>
      <c r="I11903" t="s">
        <v>10627</v>
      </c>
      <c r="J11903" t="s">
        <v>39838</v>
      </c>
      <c r="K11903" t="s">
        <v>42311</v>
      </c>
      <c r="M11903" t="s">
        <v>46021</v>
      </c>
      <c r="N11903" t="s">
        <v>46569</v>
      </c>
      <c r="O11903" t="s">
        <v>46570</v>
      </c>
      <c r="P11903">
        <v>0</v>
      </c>
      <c r="Q11903">
        <v>0</v>
      </c>
      <c r="R11903" t="s">
        <v>46580</v>
      </c>
      <c r="S11903" t="s">
        <v>46986</v>
      </c>
      <c r="T11903" t="s">
        <v>48467</v>
      </c>
      <c r="U11903" t="s">
        <v>58330</v>
      </c>
      <c r="W11903" t="s">
        <v>46021</v>
      </c>
      <c r="X11903" t="s">
        <v>46581</v>
      </c>
    </row>
    <row r="11904" spans="1:24">
      <c r="A11904">
        <f>HYPERLINK("https://www.philgeps.gov.ph/GEPSNONPILOT/Tender/SplashBidNoticeAbstractUI.aspx?menuIndex=3&amp;refID=7045306&amp;Result=3","7045306")</f>
        <v>0</v>
      </c>
      <c r="B11904" t="s">
        <v>3005</v>
      </c>
      <c r="C11904" t="s">
        <v>14818</v>
      </c>
      <c r="D11904" t="s">
        <v>18785</v>
      </c>
      <c r="E11904" t="s">
        <v>29125</v>
      </c>
      <c r="F11904" t="s">
        <v>32664</v>
      </c>
      <c r="G11904" t="s">
        <v>32672</v>
      </c>
      <c r="H11904" t="s">
        <v>32683</v>
      </c>
      <c r="I11904" t="s">
        <v>10627</v>
      </c>
      <c r="J11904" t="s">
        <v>33051</v>
      </c>
      <c r="K11904" t="s">
        <v>42281</v>
      </c>
      <c r="M11904" t="s">
        <v>45868</v>
      </c>
      <c r="N11904" t="s">
        <v>46569</v>
      </c>
      <c r="O11904" t="s">
        <v>46570</v>
      </c>
      <c r="P11904">
        <v>0</v>
      </c>
      <c r="Q11904">
        <v>2</v>
      </c>
      <c r="R11904" t="s">
        <v>46580</v>
      </c>
      <c r="S11904" t="s">
        <v>46986</v>
      </c>
      <c r="T11904" t="s">
        <v>48285</v>
      </c>
      <c r="U11904" t="s">
        <v>57696</v>
      </c>
      <c r="W11904" t="s">
        <v>45868</v>
      </c>
      <c r="X11904" t="s">
        <v>46581</v>
      </c>
    </row>
    <row r="11905" spans="1:24">
      <c r="A11905">
        <f>HYPERLINK("https://www.philgeps.gov.ph/GEPSNONPILOT/Tender/SplashBidNoticeAbstractUI.aspx?menuIndex=3&amp;refID=7045246&amp;Result=3","7045246")</f>
        <v>0</v>
      </c>
      <c r="B11905" t="s">
        <v>3112</v>
      </c>
      <c r="C11905" t="s">
        <v>14819</v>
      </c>
      <c r="D11905" t="s">
        <v>18781</v>
      </c>
      <c r="E11905" t="s">
        <v>29126</v>
      </c>
      <c r="F11905" t="s">
        <v>32664</v>
      </c>
      <c r="G11905" t="s">
        <v>32672</v>
      </c>
      <c r="H11905" t="s">
        <v>32683</v>
      </c>
      <c r="I11905" t="s">
        <v>32716</v>
      </c>
      <c r="J11905" t="s">
        <v>39839</v>
      </c>
      <c r="K11905" t="s">
        <v>42305</v>
      </c>
      <c r="M11905" t="s">
        <v>46003</v>
      </c>
      <c r="N11905" t="s">
        <v>46569</v>
      </c>
      <c r="O11905" t="s">
        <v>46570</v>
      </c>
      <c r="P11905">
        <v>0</v>
      </c>
      <c r="Q11905">
        <v>1</v>
      </c>
      <c r="R11905" t="s">
        <v>46580</v>
      </c>
      <c r="S11905" t="s">
        <v>46986</v>
      </c>
      <c r="T11905" t="s">
        <v>48276</v>
      </c>
      <c r="U11905" t="s">
        <v>58331</v>
      </c>
      <c r="W11905" t="s">
        <v>46003</v>
      </c>
      <c r="X11905" t="s">
        <v>46581</v>
      </c>
    </row>
    <row r="11906" spans="1:24">
      <c r="A11906">
        <f>HYPERLINK("https://www.philgeps.gov.ph/GEPSNONPILOT/Tender/SplashBidNoticeAbstractUI.aspx?menuIndex=3&amp;refID=7045493&amp;Result=3","7045493")</f>
        <v>0</v>
      </c>
      <c r="B11906" t="s">
        <v>715</v>
      </c>
      <c r="C11906" t="s">
        <v>14820</v>
      </c>
      <c r="D11906" t="s">
        <v>18807</v>
      </c>
      <c r="E11906" t="s">
        <v>29127</v>
      </c>
      <c r="F11906" t="s">
        <v>32664</v>
      </c>
      <c r="G11906" t="s">
        <v>32672</v>
      </c>
      <c r="H11906" t="s">
        <v>12635</v>
      </c>
      <c r="I11906" t="s">
        <v>4439</v>
      </c>
      <c r="J11906" t="s">
        <v>33761</v>
      </c>
      <c r="K11906" t="s">
        <v>42297</v>
      </c>
      <c r="M11906" t="s">
        <v>43302</v>
      </c>
      <c r="N11906" t="s">
        <v>46569</v>
      </c>
      <c r="O11906" t="s">
        <v>46570</v>
      </c>
      <c r="P11906">
        <v>0</v>
      </c>
      <c r="Q11906">
        <v>0</v>
      </c>
      <c r="R11906" t="s">
        <v>46580</v>
      </c>
      <c r="S11906" t="s">
        <v>46986</v>
      </c>
      <c r="T11906" t="s">
        <v>48487</v>
      </c>
      <c r="U11906" t="s">
        <v>51958</v>
      </c>
      <c r="W11906" t="s">
        <v>43302</v>
      </c>
      <c r="X11906" t="s">
        <v>46581</v>
      </c>
    </row>
    <row r="11907" spans="1:24">
      <c r="A11907">
        <f>HYPERLINK("https://www.philgeps.gov.ph/GEPSNONPILOT/Tender/SplashBidNoticeAbstractUI.aspx?menuIndex=3&amp;refID=7045231&amp;Result=3","7045231")</f>
        <v>0</v>
      </c>
      <c r="B11907" t="s">
        <v>2150</v>
      </c>
      <c r="C11907" t="s">
        <v>14821</v>
      </c>
      <c r="D11907" t="s">
        <v>18851</v>
      </c>
      <c r="E11907" t="s">
        <v>29128</v>
      </c>
      <c r="F11907" t="s">
        <v>32664</v>
      </c>
      <c r="G11907" t="s">
        <v>32672</v>
      </c>
      <c r="H11907" t="s">
        <v>12635</v>
      </c>
      <c r="I11907" t="s">
        <v>32721</v>
      </c>
      <c r="J11907" t="s">
        <v>39840</v>
      </c>
      <c r="K11907" t="s">
        <v>42281</v>
      </c>
      <c r="M11907" t="s">
        <v>44906</v>
      </c>
      <c r="N11907" t="s">
        <v>46569</v>
      </c>
      <c r="O11907" t="s">
        <v>46570</v>
      </c>
      <c r="P11907">
        <v>0</v>
      </c>
      <c r="Q11907">
        <v>0</v>
      </c>
      <c r="R11907" t="s">
        <v>46580</v>
      </c>
      <c r="S11907" t="s">
        <v>46986</v>
      </c>
      <c r="T11907" t="s">
        <v>48212</v>
      </c>
      <c r="U11907" t="s">
        <v>58332</v>
      </c>
      <c r="W11907" t="s">
        <v>44906</v>
      </c>
      <c r="X11907" t="s">
        <v>46581</v>
      </c>
    </row>
    <row r="11908" spans="1:24">
      <c r="A11908">
        <f>HYPERLINK("https://www.philgeps.gov.ph/GEPSNONPILOT/Tender/SplashBidNoticeAbstractUI.aspx?menuIndex=3&amp;refID=7045545&amp;Result=3","7045545")</f>
        <v>0</v>
      </c>
      <c r="B11908" t="s">
        <v>3124</v>
      </c>
      <c r="C11908" t="s">
        <v>14822</v>
      </c>
      <c r="D11908" t="s">
        <v>18829</v>
      </c>
      <c r="E11908" t="s">
        <v>29129</v>
      </c>
      <c r="F11908" t="s">
        <v>32664</v>
      </c>
      <c r="G11908" t="s">
        <v>32672</v>
      </c>
      <c r="H11908" t="s">
        <v>12635</v>
      </c>
      <c r="I11908" t="s">
        <v>32721</v>
      </c>
      <c r="J11908" t="s">
        <v>32930</v>
      </c>
      <c r="K11908" t="s">
        <v>42283</v>
      </c>
      <c r="M11908" t="s">
        <v>46017</v>
      </c>
      <c r="N11908" t="s">
        <v>46569</v>
      </c>
      <c r="O11908" t="s">
        <v>46570</v>
      </c>
      <c r="P11908">
        <v>0</v>
      </c>
      <c r="Q11908">
        <v>1</v>
      </c>
      <c r="R11908" t="s">
        <v>46580</v>
      </c>
      <c r="S11908" t="s">
        <v>46986</v>
      </c>
      <c r="T11908" t="s">
        <v>48223</v>
      </c>
      <c r="U11908" t="s">
        <v>58333</v>
      </c>
      <c r="W11908" t="s">
        <v>46017</v>
      </c>
      <c r="X11908" t="s">
        <v>46581</v>
      </c>
    </row>
    <row r="11909" spans="1:24">
      <c r="A11909">
        <f>HYPERLINK("https://www.philgeps.gov.ph/GEPSNONPILOT/Tender/SplashBidNoticeAbstractUI.aspx?menuIndex=3&amp;refID=7045221&amp;Result=3","7045221")</f>
        <v>0</v>
      </c>
      <c r="B11909" t="s">
        <v>92</v>
      </c>
      <c r="C11909" t="s">
        <v>14823</v>
      </c>
      <c r="D11909" t="s">
        <v>18820</v>
      </c>
      <c r="E11909" t="s">
        <v>29130</v>
      </c>
      <c r="F11909" t="s">
        <v>32664</v>
      </c>
      <c r="G11909" t="s">
        <v>32672</v>
      </c>
      <c r="H11909" t="s">
        <v>32683</v>
      </c>
      <c r="I11909" t="s">
        <v>10627</v>
      </c>
      <c r="J11909" t="s">
        <v>32981</v>
      </c>
      <c r="K11909" t="s">
        <v>42285</v>
      </c>
      <c r="M11909" t="s">
        <v>42655</v>
      </c>
      <c r="N11909" t="s">
        <v>46569</v>
      </c>
      <c r="O11909" t="s">
        <v>46570</v>
      </c>
      <c r="P11909">
        <v>0</v>
      </c>
      <c r="Q11909">
        <v>0</v>
      </c>
      <c r="R11909" t="s">
        <v>46580</v>
      </c>
      <c r="S11909" t="s">
        <v>46986</v>
      </c>
      <c r="T11909" t="s">
        <v>48453</v>
      </c>
      <c r="U11909" t="s">
        <v>58334</v>
      </c>
      <c r="W11909" t="s">
        <v>42655</v>
      </c>
      <c r="X11909" t="s">
        <v>46581</v>
      </c>
    </row>
    <row r="11910" spans="1:24">
      <c r="A11910">
        <f>HYPERLINK("https://www.philgeps.gov.ph/GEPSNONPILOT/Tender/SplashBidNoticeAbstractUI.aspx?menuIndex=3&amp;refID=7045425&amp;Result=3","7045425")</f>
        <v>0</v>
      </c>
      <c r="B11910" t="s">
        <v>1935</v>
      </c>
      <c r="C11910" t="s">
        <v>14824</v>
      </c>
      <c r="D11910" t="s">
        <v>18824</v>
      </c>
      <c r="E11910" t="s">
        <v>29131</v>
      </c>
      <c r="F11910" t="s">
        <v>32664</v>
      </c>
      <c r="G11910" t="s">
        <v>32672</v>
      </c>
      <c r="H11910" t="s">
        <v>12635</v>
      </c>
      <c r="I11910" t="s">
        <v>5501</v>
      </c>
      <c r="J11910" t="s">
        <v>39841</v>
      </c>
      <c r="K11910" t="s">
        <v>42311</v>
      </c>
      <c r="M11910" t="s">
        <v>44660</v>
      </c>
      <c r="N11910" t="s">
        <v>46569</v>
      </c>
      <c r="O11910" t="s">
        <v>46570</v>
      </c>
      <c r="P11910">
        <v>0</v>
      </c>
      <c r="Q11910">
        <v>13</v>
      </c>
      <c r="R11910" t="s">
        <v>46580</v>
      </c>
      <c r="S11910" t="s">
        <v>46986</v>
      </c>
      <c r="T11910" t="s">
        <v>48351</v>
      </c>
      <c r="U11910" t="s">
        <v>58335</v>
      </c>
      <c r="W11910" t="s">
        <v>44660</v>
      </c>
      <c r="X11910" t="s">
        <v>46581</v>
      </c>
    </row>
    <row r="11911" spans="1:24">
      <c r="A11911">
        <f>HYPERLINK("https://www.philgeps.gov.ph/GEPSNONPILOT/Tender/SplashBidNoticeAbstractUI.aspx?menuIndex=3&amp;refID=7045212&amp;Result=3","7045212")</f>
        <v>0</v>
      </c>
      <c r="B11911" t="s">
        <v>3115</v>
      </c>
      <c r="C11911" t="s">
        <v>14825</v>
      </c>
      <c r="D11911" t="s">
        <v>18818</v>
      </c>
      <c r="E11911" t="s">
        <v>29132</v>
      </c>
      <c r="F11911" t="s">
        <v>32664</v>
      </c>
      <c r="G11911" t="s">
        <v>32672</v>
      </c>
      <c r="H11911" t="s">
        <v>32683</v>
      </c>
      <c r="I11911" t="s">
        <v>10627</v>
      </c>
      <c r="J11911" t="s">
        <v>33858</v>
      </c>
      <c r="K11911" t="s">
        <v>42285</v>
      </c>
      <c r="M11911" t="s">
        <v>46006</v>
      </c>
      <c r="N11911" t="s">
        <v>46569</v>
      </c>
      <c r="O11911" t="s">
        <v>46570</v>
      </c>
      <c r="P11911">
        <v>0</v>
      </c>
      <c r="Q11911">
        <v>0</v>
      </c>
      <c r="R11911" t="s">
        <v>46580</v>
      </c>
      <c r="S11911" t="s">
        <v>46986</v>
      </c>
      <c r="T11911" t="s">
        <v>48212</v>
      </c>
      <c r="U11911" t="s">
        <v>58336</v>
      </c>
      <c r="W11911" t="s">
        <v>46006</v>
      </c>
      <c r="X11911" t="s">
        <v>46581</v>
      </c>
    </row>
    <row r="11912" spans="1:24">
      <c r="A11912">
        <f>HYPERLINK("https://www.philgeps.gov.ph/GEPSNONPILOT/Tender/SplashBidNoticeAbstractUI.aspx?menuIndex=3&amp;refID=7045152&amp;Result=3","7045152")</f>
        <v>0</v>
      </c>
      <c r="B11912" t="s">
        <v>1966</v>
      </c>
      <c r="C11912" t="s">
        <v>4439</v>
      </c>
      <c r="D11912" t="s">
        <v>18782</v>
      </c>
      <c r="E11912" t="s">
        <v>29133</v>
      </c>
      <c r="F11912" t="s">
        <v>32664</v>
      </c>
      <c r="G11912" t="s">
        <v>32672</v>
      </c>
      <c r="H11912" t="s">
        <v>32683</v>
      </c>
      <c r="I11912" t="s">
        <v>4439</v>
      </c>
      <c r="J11912" t="s">
        <v>39842</v>
      </c>
      <c r="K11912" t="s">
        <v>42297</v>
      </c>
      <c r="M11912" t="s">
        <v>44698</v>
      </c>
      <c r="N11912" t="s">
        <v>46569</v>
      </c>
      <c r="O11912" t="s">
        <v>46570</v>
      </c>
      <c r="Q11912">
        <v>1</v>
      </c>
      <c r="R11912" t="s">
        <v>46580</v>
      </c>
      <c r="S11912" t="s">
        <v>46996</v>
      </c>
      <c r="T11912" t="s">
        <v>48212</v>
      </c>
      <c r="U11912" t="s">
        <v>58337</v>
      </c>
      <c r="W11912" t="s">
        <v>44698</v>
      </c>
      <c r="X11912" t="s">
        <v>46581</v>
      </c>
    </row>
    <row r="11913" spans="1:24">
      <c r="A11913">
        <f>HYPERLINK("https://www.philgeps.gov.ph/GEPSNONPILOT/Tender/SplashBidNoticeAbstractUI.aspx?menuIndex=3&amp;refID=7045238&amp;Result=3","7045238")</f>
        <v>0</v>
      </c>
      <c r="B11913" t="s">
        <v>2232</v>
      </c>
      <c r="C11913" t="s">
        <v>14826</v>
      </c>
      <c r="D11913" t="s">
        <v>18853</v>
      </c>
      <c r="E11913" t="s">
        <v>29134</v>
      </c>
      <c r="F11913" t="s">
        <v>32664</v>
      </c>
      <c r="G11913" t="s">
        <v>32672</v>
      </c>
      <c r="H11913" t="s">
        <v>32683</v>
      </c>
      <c r="I11913" t="s">
        <v>10627</v>
      </c>
      <c r="J11913" t="s">
        <v>39843</v>
      </c>
      <c r="K11913" t="s">
        <v>42321</v>
      </c>
      <c r="M11913" t="s">
        <v>44996</v>
      </c>
      <c r="N11913" t="s">
        <v>46569</v>
      </c>
      <c r="O11913" t="s">
        <v>46570</v>
      </c>
      <c r="P11913">
        <v>0</v>
      </c>
      <c r="Q11913">
        <v>0</v>
      </c>
      <c r="R11913" t="s">
        <v>46580</v>
      </c>
      <c r="S11913" t="s">
        <v>46986</v>
      </c>
      <c r="T11913" t="s">
        <v>48354</v>
      </c>
      <c r="U11913" t="s">
        <v>58338</v>
      </c>
      <c r="V11913" t="s">
        <v>62922</v>
      </c>
      <c r="W11913" t="s">
        <v>44996</v>
      </c>
      <c r="X11913" t="s">
        <v>46581</v>
      </c>
    </row>
    <row r="11914" spans="1:24">
      <c r="A11914">
        <f>HYPERLINK("https://www.philgeps.gov.ph/GEPSNONPILOT/Tender/SplashBidNoticeAbstractUI.aspx?menuIndex=3&amp;refID=7045150&amp;Result=3","7045150")</f>
        <v>0</v>
      </c>
      <c r="B11914" t="s">
        <v>2150</v>
      </c>
      <c r="C11914" t="s">
        <v>14827</v>
      </c>
      <c r="D11914" t="s">
        <v>18851</v>
      </c>
      <c r="E11914" t="s">
        <v>29135</v>
      </c>
      <c r="F11914" t="s">
        <v>32664</v>
      </c>
      <c r="G11914" t="s">
        <v>32672</v>
      </c>
      <c r="H11914" t="s">
        <v>12635</v>
      </c>
      <c r="I11914" t="s">
        <v>10361</v>
      </c>
      <c r="J11914" t="s">
        <v>39844</v>
      </c>
      <c r="K11914" t="s">
        <v>42281</v>
      </c>
      <c r="M11914" t="s">
        <v>44906</v>
      </c>
      <c r="N11914" t="s">
        <v>46569</v>
      </c>
      <c r="O11914" t="s">
        <v>46570</v>
      </c>
      <c r="P11914">
        <v>0</v>
      </c>
      <c r="Q11914">
        <v>0</v>
      </c>
      <c r="R11914" t="s">
        <v>46580</v>
      </c>
      <c r="S11914" t="s">
        <v>46986</v>
      </c>
      <c r="T11914" t="s">
        <v>48212</v>
      </c>
      <c r="U11914" t="s">
        <v>58339</v>
      </c>
      <c r="W11914" t="s">
        <v>44906</v>
      </c>
      <c r="X11914" t="s">
        <v>46581</v>
      </c>
    </row>
    <row r="11915" spans="1:24">
      <c r="A11915">
        <f>HYPERLINK("https://www.philgeps.gov.ph/GEPSNONPILOT/Tender/SplashBidNoticeAbstractUI.aspx?menuIndex=3&amp;refID=7045143&amp;Result=3","7045143")</f>
        <v>0</v>
      </c>
      <c r="B11915" t="s">
        <v>3100</v>
      </c>
      <c r="C11915" t="s">
        <v>14689</v>
      </c>
      <c r="D11915" t="s">
        <v>18807</v>
      </c>
      <c r="E11915" t="s">
        <v>19461</v>
      </c>
      <c r="F11915" t="s">
        <v>32664</v>
      </c>
      <c r="G11915" t="s">
        <v>32672</v>
      </c>
      <c r="H11915" t="s">
        <v>32683</v>
      </c>
      <c r="I11915" t="s">
        <v>10627</v>
      </c>
      <c r="J11915" t="s">
        <v>33021</v>
      </c>
      <c r="K11915" t="s">
        <v>42298</v>
      </c>
      <c r="M11915" t="s">
        <v>45988</v>
      </c>
      <c r="N11915" t="s">
        <v>46569</v>
      </c>
      <c r="O11915" t="s">
        <v>46570</v>
      </c>
      <c r="P11915">
        <v>0</v>
      </c>
      <c r="Q11915">
        <v>0</v>
      </c>
      <c r="R11915" t="s">
        <v>46580</v>
      </c>
      <c r="S11915" t="s">
        <v>46986</v>
      </c>
      <c r="T11915" t="s">
        <v>48223</v>
      </c>
      <c r="U11915" t="s">
        <v>58257</v>
      </c>
      <c r="W11915" t="s">
        <v>45988</v>
      </c>
      <c r="X11915" t="s">
        <v>46581</v>
      </c>
    </row>
    <row r="11916" spans="1:24">
      <c r="A11916">
        <f>HYPERLINK("https://www.philgeps.gov.ph/GEPSNONPILOT/Tender/SplashBidNoticeAbstractUI.aspx?menuIndex=3&amp;refID=7045138&amp;Result=3","7045138")</f>
        <v>0</v>
      </c>
      <c r="B11916" t="s">
        <v>3129</v>
      </c>
      <c r="C11916" t="s">
        <v>14828</v>
      </c>
      <c r="E11916" t="s">
        <v>29136</v>
      </c>
      <c r="F11916" t="s">
        <v>32664</v>
      </c>
      <c r="G11916" t="s">
        <v>32672</v>
      </c>
      <c r="H11916" t="s">
        <v>12635</v>
      </c>
      <c r="I11916" t="s">
        <v>10627</v>
      </c>
      <c r="J11916" t="s">
        <v>35216</v>
      </c>
      <c r="K11916" t="s">
        <v>42283</v>
      </c>
      <c r="M11916" t="s">
        <v>46022</v>
      </c>
      <c r="N11916" t="s">
        <v>46569</v>
      </c>
      <c r="O11916" t="s">
        <v>46570</v>
      </c>
      <c r="P11916">
        <v>0</v>
      </c>
      <c r="Q11916">
        <v>3</v>
      </c>
      <c r="R11916" t="s">
        <v>46580</v>
      </c>
      <c r="S11916" t="s">
        <v>46986</v>
      </c>
      <c r="T11916" t="s">
        <v>48468</v>
      </c>
      <c r="U11916" t="s">
        <v>58340</v>
      </c>
      <c r="W11916" t="s">
        <v>46022</v>
      </c>
      <c r="X11916" t="s">
        <v>46581</v>
      </c>
    </row>
    <row r="11917" spans="1:24">
      <c r="A11917">
        <f>HYPERLINK("https://www.philgeps.gov.ph/GEPSNONPILOT/Tender/SplashBidNoticeAbstractUI.aspx?menuIndex=3&amp;refID=7045151&amp;Result=3","7045151")</f>
        <v>0</v>
      </c>
      <c r="B11917" t="s">
        <v>3113</v>
      </c>
      <c r="C11917" t="s">
        <v>14829</v>
      </c>
      <c r="D11917" t="s">
        <v>18844</v>
      </c>
      <c r="E11917" t="s">
        <v>29137</v>
      </c>
      <c r="F11917" t="s">
        <v>32664</v>
      </c>
      <c r="G11917" t="s">
        <v>32672</v>
      </c>
      <c r="H11917" t="s">
        <v>12635</v>
      </c>
      <c r="I11917" t="s">
        <v>8797</v>
      </c>
      <c r="J11917" t="s">
        <v>39845</v>
      </c>
      <c r="K11917" t="s">
        <v>42281</v>
      </c>
      <c r="M11917" t="s">
        <v>46004</v>
      </c>
      <c r="N11917" t="s">
        <v>46569</v>
      </c>
      <c r="O11917" t="s">
        <v>46570</v>
      </c>
      <c r="P11917">
        <v>0</v>
      </c>
      <c r="Q11917">
        <v>6</v>
      </c>
      <c r="R11917" t="s">
        <v>46580</v>
      </c>
      <c r="S11917" t="s">
        <v>46986</v>
      </c>
      <c r="T11917" t="s">
        <v>48236</v>
      </c>
      <c r="U11917" t="s">
        <v>49127</v>
      </c>
      <c r="V11917" t="s">
        <v>62912</v>
      </c>
      <c r="W11917" t="s">
        <v>46004</v>
      </c>
      <c r="X11917" t="s">
        <v>46581</v>
      </c>
    </row>
    <row r="11918" spans="1:24">
      <c r="A11918">
        <f>HYPERLINK("https://www.philgeps.gov.ph/GEPSNONPILOT/Tender/SplashBidNoticeAbstractUI.aspx?menuIndex=3&amp;refID=7045349&amp;Result=3","7045349")</f>
        <v>0</v>
      </c>
      <c r="B11918" t="s">
        <v>3097</v>
      </c>
      <c r="C11918" t="s">
        <v>14830</v>
      </c>
      <c r="D11918" t="s">
        <v>18804</v>
      </c>
      <c r="E11918" t="s">
        <v>29138</v>
      </c>
      <c r="F11918" t="s">
        <v>32664</v>
      </c>
      <c r="G11918" t="s">
        <v>32672</v>
      </c>
      <c r="H11918" t="s">
        <v>32683</v>
      </c>
      <c r="I11918" t="s">
        <v>10627</v>
      </c>
      <c r="J11918" t="s">
        <v>39846</v>
      </c>
      <c r="K11918" t="s">
        <v>42416</v>
      </c>
      <c r="M11918" t="s">
        <v>45985</v>
      </c>
      <c r="N11918" t="s">
        <v>46569</v>
      </c>
      <c r="O11918" t="s">
        <v>46570</v>
      </c>
      <c r="P11918">
        <v>0</v>
      </c>
      <c r="Q11918">
        <v>4</v>
      </c>
      <c r="R11918" t="s">
        <v>46580</v>
      </c>
      <c r="S11918" t="s">
        <v>46986</v>
      </c>
      <c r="T11918" t="s">
        <v>48303</v>
      </c>
      <c r="U11918" t="s">
        <v>58341</v>
      </c>
      <c r="W11918" t="s">
        <v>45985</v>
      </c>
      <c r="X11918" t="s">
        <v>46581</v>
      </c>
    </row>
    <row r="11919" spans="1:24">
      <c r="A11919">
        <f>HYPERLINK("https://www.philgeps.gov.ph/GEPSNONPILOT/Tender/SplashBidNoticeAbstractUI.aspx?menuIndex=3&amp;refID=7045144&amp;Result=3","7045144")</f>
        <v>0</v>
      </c>
      <c r="B11919" t="s">
        <v>833</v>
      </c>
      <c r="C11919" t="s">
        <v>14831</v>
      </c>
      <c r="D11919" t="s">
        <v>18789</v>
      </c>
      <c r="E11919" t="s">
        <v>29139</v>
      </c>
      <c r="F11919" t="s">
        <v>32664</v>
      </c>
      <c r="G11919" t="s">
        <v>32672</v>
      </c>
      <c r="H11919" t="s">
        <v>12635</v>
      </c>
      <c r="I11919" t="s">
        <v>32696</v>
      </c>
      <c r="J11919" t="s">
        <v>39847</v>
      </c>
      <c r="K11919" t="s">
        <v>42281</v>
      </c>
      <c r="M11919" t="s">
        <v>43428</v>
      </c>
      <c r="N11919" t="s">
        <v>46569</v>
      </c>
      <c r="O11919" t="s">
        <v>46570</v>
      </c>
      <c r="P11919">
        <v>0</v>
      </c>
      <c r="Q11919">
        <v>3</v>
      </c>
      <c r="R11919" t="s">
        <v>46580</v>
      </c>
      <c r="S11919" t="s">
        <v>46986</v>
      </c>
      <c r="T11919" t="s">
        <v>48213</v>
      </c>
      <c r="U11919" t="s">
        <v>58342</v>
      </c>
      <c r="V11919" t="s">
        <v>62923</v>
      </c>
      <c r="W11919" t="s">
        <v>43428</v>
      </c>
      <c r="X11919" t="s">
        <v>46581</v>
      </c>
    </row>
    <row r="11920" spans="1:24">
      <c r="A11920">
        <f>HYPERLINK("https://www.philgeps.gov.ph/GEPSNONPILOT/Tender/SplashBidNoticeAbstractUI.aspx?menuIndex=3&amp;refID=7044794&amp;Result=3","7044794")</f>
        <v>0</v>
      </c>
      <c r="B11920" t="s">
        <v>1966</v>
      </c>
      <c r="C11920" t="s">
        <v>14832</v>
      </c>
      <c r="D11920" t="s">
        <v>18782</v>
      </c>
      <c r="E11920" t="s">
        <v>29140</v>
      </c>
      <c r="F11920" t="s">
        <v>32664</v>
      </c>
      <c r="G11920" t="s">
        <v>32672</v>
      </c>
      <c r="H11920" t="s">
        <v>32683</v>
      </c>
      <c r="I11920" t="s">
        <v>4439</v>
      </c>
      <c r="J11920" t="s">
        <v>39848</v>
      </c>
      <c r="K11920" t="s">
        <v>42297</v>
      </c>
      <c r="M11920" t="s">
        <v>44698</v>
      </c>
      <c r="N11920" t="s">
        <v>46569</v>
      </c>
      <c r="O11920" t="s">
        <v>46570</v>
      </c>
      <c r="P11920">
        <v>0</v>
      </c>
      <c r="Q11920">
        <v>1</v>
      </c>
      <c r="R11920" t="s">
        <v>46580</v>
      </c>
      <c r="S11920" t="s">
        <v>46986</v>
      </c>
      <c r="T11920" t="s">
        <v>48212</v>
      </c>
      <c r="U11920" t="s">
        <v>58343</v>
      </c>
      <c r="W11920" t="s">
        <v>44698</v>
      </c>
      <c r="X11920" t="s">
        <v>46581</v>
      </c>
    </row>
    <row r="11921" spans="1:24">
      <c r="A11921">
        <f>HYPERLINK("https://www.philgeps.gov.ph/GEPSNONPILOT/Tender/SplashBidNoticeAbstractUI.aspx?menuIndex=3&amp;refID=7044404&amp;Result=3","7044404")</f>
        <v>0</v>
      </c>
      <c r="B11921" t="s">
        <v>3093</v>
      </c>
      <c r="C11921" t="s">
        <v>14833</v>
      </c>
      <c r="D11921" t="s">
        <v>18797</v>
      </c>
      <c r="E11921" t="s">
        <v>18926</v>
      </c>
      <c r="F11921" t="s">
        <v>32664</v>
      </c>
      <c r="G11921" t="s">
        <v>32672</v>
      </c>
      <c r="H11921" t="s">
        <v>32683</v>
      </c>
      <c r="I11921" t="s">
        <v>4439</v>
      </c>
      <c r="J11921" t="s">
        <v>39849</v>
      </c>
      <c r="K11921" t="s">
        <v>42289</v>
      </c>
      <c r="M11921" t="s">
        <v>45981</v>
      </c>
      <c r="N11921" t="s">
        <v>46569</v>
      </c>
      <c r="O11921" t="s">
        <v>46570</v>
      </c>
      <c r="P11921">
        <v>0</v>
      </c>
      <c r="Q11921">
        <v>3</v>
      </c>
      <c r="R11921" t="s">
        <v>46580</v>
      </c>
      <c r="S11921" t="s">
        <v>46986</v>
      </c>
      <c r="T11921" t="s">
        <v>48282</v>
      </c>
      <c r="U11921" t="s">
        <v>58344</v>
      </c>
      <c r="W11921" t="s">
        <v>45981</v>
      </c>
      <c r="X11921" t="s">
        <v>46581</v>
      </c>
    </row>
    <row r="11922" spans="1:24">
      <c r="A11922">
        <f>HYPERLINK("https://www.philgeps.gov.ph/GEPSNONPILOT/Tender/SplashBidNoticeAbstractUI.aspx?menuIndex=3&amp;refID=7045416&amp;Result=3","7045416")</f>
        <v>0</v>
      </c>
      <c r="B11922" t="s">
        <v>3091</v>
      </c>
      <c r="C11922" t="s">
        <v>14834</v>
      </c>
      <c r="D11922" t="s">
        <v>18806</v>
      </c>
      <c r="E11922" t="s">
        <v>19246</v>
      </c>
      <c r="F11922" t="s">
        <v>32664</v>
      </c>
      <c r="G11922" t="s">
        <v>32672</v>
      </c>
      <c r="H11922" t="s">
        <v>12635</v>
      </c>
      <c r="I11922" t="s">
        <v>4439</v>
      </c>
      <c r="J11922" t="s">
        <v>39850</v>
      </c>
      <c r="K11922" t="s">
        <v>42281</v>
      </c>
      <c r="M11922" t="s">
        <v>45979</v>
      </c>
      <c r="N11922" t="s">
        <v>46569</v>
      </c>
      <c r="O11922" t="s">
        <v>46570</v>
      </c>
      <c r="P11922">
        <v>0</v>
      </c>
      <c r="Q11922">
        <v>0</v>
      </c>
      <c r="R11922" t="s">
        <v>46580</v>
      </c>
      <c r="S11922" t="s">
        <v>46986</v>
      </c>
      <c r="T11922" t="s">
        <v>48303</v>
      </c>
      <c r="U11922" t="s">
        <v>58345</v>
      </c>
      <c r="V11922" t="s">
        <v>62901</v>
      </c>
      <c r="W11922" t="s">
        <v>45979</v>
      </c>
      <c r="X11922" t="s">
        <v>46581</v>
      </c>
    </row>
    <row r="11923" spans="1:24">
      <c r="A11923">
        <f>HYPERLINK("https://www.philgeps.gov.ph/GEPSNONPILOT/Tender/SplashBidNoticeAbstractUI.aspx?menuIndex=3&amp;refID=7044385&amp;Result=3","7044385")</f>
        <v>0</v>
      </c>
      <c r="B11923" t="s">
        <v>818</v>
      </c>
      <c r="C11923" t="s">
        <v>14835</v>
      </c>
      <c r="D11923" t="s">
        <v>18816</v>
      </c>
      <c r="E11923" t="s">
        <v>29141</v>
      </c>
      <c r="F11923" t="s">
        <v>32664</v>
      </c>
      <c r="G11923" t="s">
        <v>32672</v>
      </c>
      <c r="H11923" t="s">
        <v>32683</v>
      </c>
      <c r="I11923" t="s">
        <v>10627</v>
      </c>
      <c r="J11923" t="s">
        <v>39851</v>
      </c>
      <c r="K11923" t="s">
        <v>42431</v>
      </c>
      <c r="M11923" t="s">
        <v>43413</v>
      </c>
      <c r="N11923" t="s">
        <v>46569</v>
      </c>
      <c r="O11923" t="s">
        <v>46570</v>
      </c>
      <c r="P11923">
        <v>0</v>
      </c>
      <c r="Q11923">
        <v>0</v>
      </c>
      <c r="R11923" t="s">
        <v>46580</v>
      </c>
      <c r="S11923" t="s">
        <v>46986</v>
      </c>
      <c r="T11923" t="s">
        <v>48268</v>
      </c>
      <c r="U11923" t="s">
        <v>58346</v>
      </c>
      <c r="W11923" t="s">
        <v>43413</v>
      </c>
      <c r="X11923" t="s">
        <v>46581</v>
      </c>
    </row>
    <row r="11924" spans="1:24">
      <c r="A11924">
        <f>HYPERLINK("https://www.philgeps.gov.ph/GEPSNONPILOT/Tender/SplashBidNoticeAbstractUI.aspx?menuIndex=3&amp;refID=7044361&amp;Result=3","7044361")</f>
        <v>0</v>
      </c>
      <c r="B11924" t="s">
        <v>2586</v>
      </c>
      <c r="C11924" t="s">
        <v>14836</v>
      </c>
      <c r="D11924" t="s">
        <v>18796</v>
      </c>
      <c r="E11924" t="s">
        <v>29142</v>
      </c>
      <c r="F11924" t="s">
        <v>32664</v>
      </c>
      <c r="G11924" t="s">
        <v>32672</v>
      </c>
      <c r="H11924" t="s">
        <v>12635</v>
      </c>
      <c r="I11924" t="s">
        <v>32699</v>
      </c>
      <c r="J11924" t="s">
        <v>39852</v>
      </c>
      <c r="K11924" t="s">
        <v>42289</v>
      </c>
      <c r="M11924" t="s">
        <v>45401</v>
      </c>
      <c r="N11924" t="s">
        <v>46569</v>
      </c>
      <c r="O11924" t="s">
        <v>46570</v>
      </c>
      <c r="P11924">
        <v>0</v>
      </c>
      <c r="Q11924">
        <v>1</v>
      </c>
      <c r="R11924" t="s">
        <v>46580</v>
      </c>
      <c r="S11924" t="s">
        <v>46986</v>
      </c>
      <c r="T11924" t="s">
        <v>48467</v>
      </c>
      <c r="U11924" t="s">
        <v>58347</v>
      </c>
      <c r="W11924" t="s">
        <v>45401</v>
      </c>
      <c r="X11924" t="s">
        <v>46581</v>
      </c>
    </row>
    <row r="11925" spans="1:24">
      <c r="A11925">
        <f>HYPERLINK("https://www.philgeps.gov.ph/GEPSNONPILOT/Tender/SplashBidNoticeAbstractUI.aspx?menuIndex=3&amp;refID=7044415&amp;Result=3","7044415")</f>
        <v>0</v>
      </c>
      <c r="B11925" t="s">
        <v>3130</v>
      </c>
      <c r="C11925" t="s">
        <v>14837</v>
      </c>
      <c r="D11925" t="s">
        <v>18830</v>
      </c>
      <c r="E11925" t="s">
        <v>29143</v>
      </c>
      <c r="F11925" t="s">
        <v>32664</v>
      </c>
      <c r="G11925" t="s">
        <v>32672</v>
      </c>
      <c r="H11925" t="s">
        <v>12635</v>
      </c>
      <c r="I11925" t="s">
        <v>11464</v>
      </c>
      <c r="J11925" t="s">
        <v>36084</v>
      </c>
      <c r="K11925" t="s">
        <v>42289</v>
      </c>
      <c r="M11925" t="s">
        <v>46023</v>
      </c>
      <c r="N11925" t="s">
        <v>46569</v>
      </c>
      <c r="O11925" t="s">
        <v>46570</v>
      </c>
      <c r="P11925">
        <v>0</v>
      </c>
      <c r="Q11925">
        <v>8</v>
      </c>
      <c r="R11925" t="s">
        <v>46580</v>
      </c>
      <c r="S11925" t="s">
        <v>46986</v>
      </c>
      <c r="T11925" t="s">
        <v>48696</v>
      </c>
      <c r="U11925" t="s">
        <v>58348</v>
      </c>
      <c r="W11925" t="s">
        <v>46023</v>
      </c>
      <c r="X11925" t="s">
        <v>46581</v>
      </c>
    </row>
    <row r="11926" spans="1:24">
      <c r="A11926">
        <f>HYPERLINK("https://www.philgeps.gov.ph/GEPSNONPILOT/Tender/SplashBidNoticeAbstractUI.aspx?menuIndex=3&amp;refID=7044438&amp;Result=3","7044438")</f>
        <v>0</v>
      </c>
      <c r="B11926" t="s">
        <v>3023</v>
      </c>
      <c r="C11926" t="s">
        <v>10522</v>
      </c>
      <c r="D11926" t="s">
        <v>18827</v>
      </c>
      <c r="E11926" t="s">
        <v>29144</v>
      </c>
      <c r="F11926" t="s">
        <v>32664</v>
      </c>
      <c r="G11926" t="s">
        <v>32672</v>
      </c>
      <c r="H11926" t="s">
        <v>32683</v>
      </c>
      <c r="I11926" t="s">
        <v>10627</v>
      </c>
      <c r="J11926" t="s">
        <v>32837</v>
      </c>
      <c r="K11926" t="s">
        <v>42298</v>
      </c>
      <c r="M11926" t="s">
        <v>45895</v>
      </c>
      <c r="N11926" t="s">
        <v>46569</v>
      </c>
      <c r="O11926" t="s">
        <v>46570</v>
      </c>
      <c r="P11926">
        <v>0</v>
      </c>
      <c r="Q11926">
        <v>0</v>
      </c>
      <c r="R11926" t="s">
        <v>46580</v>
      </c>
      <c r="S11926" t="s">
        <v>46986</v>
      </c>
      <c r="T11926" t="s">
        <v>48453</v>
      </c>
      <c r="U11926" t="s">
        <v>58349</v>
      </c>
      <c r="W11926" t="s">
        <v>45895</v>
      </c>
      <c r="X11926" t="s">
        <v>46581</v>
      </c>
    </row>
    <row r="11927" spans="1:24">
      <c r="A11927">
        <f>HYPERLINK("https://www.philgeps.gov.ph/GEPSNONPILOT/Tender/SplashBidNoticeAbstractUI.aspx?menuIndex=3&amp;refID=7044942&amp;Result=3","7044942")</f>
        <v>0</v>
      </c>
      <c r="B11927" t="s">
        <v>3131</v>
      </c>
      <c r="C11927" t="s">
        <v>14838</v>
      </c>
      <c r="D11927" t="s">
        <v>18809</v>
      </c>
      <c r="E11927" t="s">
        <v>29145</v>
      </c>
      <c r="F11927" t="s">
        <v>32664</v>
      </c>
      <c r="G11927" t="s">
        <v>32671</v>
      </c>
      <c r="H11927" t="s">
        <v>12635</v>
      </c>
      <c r="I11927" t="s">
        <v>4997</v>
      </c>
      <c r="J11927" t="s">
        <v>32898</v>
      </c>
      <c r="K11927" t="s">
        <v>42281</v>
      </c>
      <c r="M11927" t="s">
        <v>46024</v>
      </c>
      <c r="N11927" t="s">
        <v>46569</v>
      </c>
      <c r="O11927" t="s">
        <v>46570</v>
      </c>
      <c r="P11927">
        <v>0</v>
      </c>
      <c r="Q11927">
        <v>5</v>
      </c>
      <c r="R11927" t="s">
        <v>46580</v>
      </c>
      <c r="S11927" t="s">
        <v>46986</v>
      </c>
      <c r="T11927" t="s">
        <v>48305</v>
      </c>
      <c r="U11927" t="s">
        <v>58350</v>
      </c>
      <c r="W11927" t="s">
        <v>63586</v>
      </c>
      <c r="X11927" t="s">
        <v>46581</v>
      </c>
    </row>
    <row r="11928" spans="1:24">
      <c r="A11928">
        <f>HYPERLINK("https://www.philgeps.gov.ph/GEPSNONPILOT/Tender/SplashBidNoticeAbstractUI.aspx?menuIndex=3&amp;refID=7045136&amp;Result=3","7045136")</f>
        <v>0</v>
      </c>
      <c r="B11928" t="s">
        <v>1007</v>
      </c>
      <c r="C11928" t="s">
        <v>14839</v>
      </c>
      <c r="D11928" t="s">
        <v>18812</v>
      </c>
      <c r="E11928" t="s">
        <v>29146</v>
      </c>
      <c r="F11928" t="s">
        <v>32664</v>
      </c>
      <c r="G11928" t="s">
        <v>32672</v>
      </c>
      <c r="H11928" t="s">
        <v>12635</v>
      </c>
      <c r="I11928" t="s">
        <v>32696</v>
      </c>
      <c r="J11928" t="s">
        <v>33302</v>
      </c>
      <c r="K11928" t="s">
        <v>42284</v>
      </c>
      <c r="M11928" t="s">
        <v>44391</v>
      </c>
      <c r="N11928" t="s">
        <v>46569</v>
      </c>
      <c r="O11928" t="s">
        <v>46570</v>
      </c>
      <c r="P11928">
        <v>0</v>
      </c>
      <c r="Q11928">
        <v>3</v>
      </c>
      <c r="R11928" t="s">
        <v>46580</v>
      </c>
      <c r="S11928" t="s">
        <v>46986</v>
      </c>
      <c r="T11928" t="s">
        <v>48487</v>
      </c>
      <c r="U11928" t="s">
        <v>58351</v>
      </c>
      <c r="W11928" t="s">
        <v>44391</v>
      </c>
      <c r="X11928" t="s">
        <v>46581</v>
      </c>
    </row>
    <row r="11929" spans="1:24">
      <c r="A11929">
        <f>HYPERLINK("https://www.philgeps.gov.ph/GEPSNONPILOT/Tender/SplashBidNoticeAbstractUI.aspx?menuIndex=3&amp;refID=7044382&amp;Result=3","7044382")</f>
        <v>0</v>
      </c>
      <c r="B11929" t="s">
        <v>1753</v>
      </c>
      <c r="C11929" t="s">
        <v>14840</v>
      </c>
      <c r="D11929" t="s">
        <v>18784</v>
      </c>
      <c r="E11929" t="s">
        <v>29147</v>
      </c>
      <c r="F11929" t="s">
        <v>32664</v>
      </c>
      <c r="G11929" t="s">
        <v>32671</v>
      </c>
      <c r="H11929" t="s">
        <v>12635</v>
      </c>
      <c r="I11929" t="s">
        <v>4333</v>
      </c>
      <c r="J11929" t="s">
        <v>32859</v>
      </c>
      <c r="K11929" t="s">
        <v>42281</v>
      </c>
      <c r="M11929" t="s">
        <v>44453</v>
      </c>
      <c r="N11929" t="s">
        <v>46569</v>
      </c>
      <c r="O11929" t="s">
        <v>46570</v>
      </c>
      <c r="Q11929">
        <v>9</v>
      </c>
      <c r="R11929" t="s">
        <v>46580</v>
      </c>
      <c r="S11929" t="s">
        <v>46997</v>
      </c>
      <c r="T11929" t="s">
        <v>48244</v>
      </c>
      <c r="U11929" t="s">
        <v>58352</v>
      </c>
      <c r="W11929" t="s">
        <v>44453</v>
      </c>
      <c r="X11929" t="s">
        <v>46581</v>
      </c>
    </row>
    <row r="11930" spans="1:24">
      <c r="A11930">
        <f>HYPERLINK("https://www.philgeps.gov.ph/GEPSNONPILOT/Tender/SplashBidNoticeAbstractUI.aspx?menuIndex=3&amp;refID=7045233&amp;Result=3","7045233")</f>
        <v>0</v>
      </c>
      <c r="B11930" t="s">
        <v>1911</v>
      </c>
      <c r="C11930" t="s">
        <v>14841</v>
      </c>
      <c r="D11930" t="s">
        <v>18844</v>
      </c>
      <c r="E11930" t="s">
        <v>29148</v>
      </c>
      <c r="F11930" t="s">
        <v>32664</v>
      </c>
      <c r="G11930" t="s">
        <v>32672</v>
      </c>
      <c r="H11930" t="s">
        <v>32683</v>
      </c>
      <c r="I11930" t="s">
        <v>10627</v>
      </c>
      <c r="J11930" t="s">
        <v>32865</v>
      </c>
      <c r="K11930" t="s">
        <v>42314</v>
      </c>
      <c r="M11930" t="s">
        <v>44632</v>
      </c>
      <c r="N11930" t="s">
        <v>46569</v>
      </c>
      <c r="O11930" t="s">
        <v>46570</v>
      </c>
      <c r="P11930">
        <v>0</v>
      </c>
      <c r="Q11930">
        <v>0</v>
      </c>
      <c r="R11930" t="s">
        <v>46580</v>
      </c>
      <c r="S11930" t="s">
        <v>46986</v>
      </c>
      <c r="T11930" t="s">
        <v>48284</v>
      </c>
      <c r="U11930" t="s">
        <v>58353</v>
      </c>
      <c r="W11930" t="s">
        <v>44632</v>
      </c>
      <c r="X11930" t="s">
        <v>46581</v>
      </c>
    </row>
    <row r="11931" spans="1:24">
      <c r="A11931">
        <f>HYPERLINK("https://www.philgeps.gov.ph/GEPSNONPILOT/Tender/SplashBidNoticeAbstractUI.aspx?menuIndex=3&amp;refID=7043745&amp;Result=3","7043745")</f>
        <v>0</v>
      </c>
      <c r="B11931" t="s">
        <v>2150</v>
      </c>
      <c r="C11931" t="s">
        <v>14842</v>
      </c>
      <c r="D11931" t="s">
        <v>18851</v>
      </c>
      <c r="E11931" t="s">
        <v>29149</v>
      </c>
      <c r="F11931" t="s">
        <v>32664</v>
      </c>
      <c r="G11931" t="s">
        <v>32672</v>
      </c>
      <c r="H11931" t="s">
        <v>12635</v>
      </c>
      <c r="I11931" t="s">
        <v>32685</v>
      </c>
      <c r="J11931" t="s">
        <v>35345</v>
      </c>
      <c r="K11931" t="s">
        <v>42281</v>
      </c>
      <c r="M11931" t="s">
        <v>44906</v>
      </c>
      <c r="N11931" t="s">
        <v>46569</v>
      </c>
      <c r="O11931" t="s">
        <v>46570</v>
      </c>
      <c r="P11931">
        <v>0</v>
      </c>
      <c r="Q11931">
        <v>0</v>
      </c>
      <c r="R11931" t="s">
        <v>46580</v>
      </c>
      <c r="S11931" t="s">
        <v>46986</v>
      </c>
      <c r="T11931" t="s">
        <v>48212</v>
      </c>
      <c r="U11931" t="s">
        <v>58354</v>
      </c>
      <c r="W11931" t="s">
        <v>44906</v>
      </c>
      <c r="X11931" t="s">
        <v>46583</v>
      </c>
    </row>
    <row r="11932" spans="1:24">
      <c r="A11932">
        <f>HYPERLINK("https://www.philgeps.gov.ph/GEPSNONPILOT/Tender/SplashBidNoticeAbstractUI.aspx?menuIndex=3&amp;refID=7044359&amp;Result=3","7044359")</f>
        <v>0</v>
      </c>
      <c r="B11932" t="s">
        <v>1753</v>
      </c>
      <c r="C11932" t="s">
        <v>14843</v>
      </c>
      <c r="D11932" t="s">
        <v>18784</v>
      </c>
      <c r="E11932" t="s">
        <v>29150</v>
      </c>
      <c r="F11932" t="s">
        <v>32664</v>
      </c>
      <c r="G11932" t="s">
        <v>32671</v>
      </c>
      <c r="H11932" t="s">
        <v>12635</v>
      </c>
      <c r="I11932" t="s">
        <v>32685</v>
      </c>
      <c r="J11932" t="s">
        <v>33654</v>
      </c>
      <c r="K11932" t="s">
        <v>42281</v>
      </c>
      <c r="M11932" t="s">
        <v>44453</v>
      </c>
      <c r="N11932" t="s">
        <v>46569</v>
      </c>
      <c r="O11932" t="s">
        <v>46570</v>
      </c>
      <c r="Q11932">
        <v>1</v>
      </c>
      <c r="R11932" t="s">
        <v>46580</v>
      </c>
      <c r="S11932" t="s">
        <v>46998</v>
      </c>
      <c r="T11932" t="s">
        <v>48244</v>
      </c>
      <c r="U11932" t="s">
        <v>53007</v>
      </c>
      <c r="W11932" t="s">
        <v>44453</v>
      </c>
      <c r="X11932" t="s">
        <v>46581</v>
      </c>
    </row>
    <row r="11933" spans="1:24">
      <c r="A11933">
        <f>HYPERLINK("https://www.philgeps.gov.ph/GEPSNONPILOT/Tender/SplashBidNoticeAbstractUI.aspx?menuIndex=3&amp;refID=7043735&amp;Result=3","7043735")</f>
        <v>0</v>
      </c>
      <c r="B11933" t="s">
        <v>2150</v>
      </c>
      <c r="C11933" t="s">
        <v>14844</v>
      </c>
      <c r="D11933" t="s">
        <v>18851</v>
      </c>
      <c r="E11933" t="s">
        <v>29151</v>
      </c>
      <c r="F11933" t="s">
        <v>32664</v>
      </c>
      <c r="G11933" t="s">
        <v>32672</v>
      </c>
      <c r="H11933" t="s">
        <v>12635</v>
      </c>
      <c r="I11933" t="s">
        <v>32712</v>
      </c>
      <c r="J11933" t="s">
        <v>33118</v>
      </c>
      <c r="K11933" t="s">
        <v>42281</v>
      </c>
      <c r="M11933" t="s">
        <v>44906</v>
      </c>
      <c r="N11933" t="s">
        <v>46569</v>
      </c>
      <c r="O11933" t="s">
        <v>46570</v>
      </c>
      <c r="P11933">
        <v>0</v>
      </c>
      <c r="Q11933">
        <v>7</v>
      </c>
      <c r="R11933" t="s">
        <v>46580</v>
      </c>
      <c r="S11933" t="s">
        <v>46986</v>
      </c>
      <c r="T11933" t="s">
        <v>48212</v>
      </c>
      <c r="U11933" t="s">
        <v>58355</v>
      </c>
      <c r="W11933" t="s">
        <v>44906</v>
      </c>
      <c r="X11933" t="s">
        <v>46583</v>
      </c>
    </row>
    <row r="11934" spans="1:24">
      <c r="A11934">
        <f>HYPERLINK("https://www.philgeps.gov.ph/GEPSNONPILOT/Tender/SplashBidNoticeAbstractUI.aspx?menuIndex=3&amp;refID=7043727&amp;Result=3","7043727")</f>
        <v>0</v>
      </c>
      <c r="B11934" t="s">
        <v>2150</v>
      </c>
      <c r="C11934" t="s">
        <v>14845</v>
      </c>
      <c r="D11934" t="s">
        <v>18851</v>
      </c>
      <c r="E11934" t="s">
        <v>29152</v>
      </c>
      <c r="F11934" t="s">
        <v>32664</v>
      </c>
      <c r="G11934" t="s">
        <v>32672</v>
      </c>
      <c r="H11934" t="s">
        <v>12635</v>
      </c>
      <c r="I11934" t="s">
        <v>32703</v>
      </c>
      <c r="J11934" t="s">
        <v>33092</v>
      </c>
      <c r="K11934" t="s">
        <v>42281</v>
      </c>
      <c r="M11934" t="s">
        <v>44906</v>
      </c>
      <c r="N11934" t="s">
        <v>46569</v>
      </c>
      <c r="O11934" t="s">
        <v>46570</v>
      </c>
      <c r="P11934">
        <v>0</v>
      </c>
      <c r="Q11934">
        <v>2</v>
      </c>
      <c r="R11934" t="s">
        <v>46580</v>
      </c>
      <c r="S11934" t="s">
        <v>46986</v>
      </c>
      <c r="T11934" t="s">
        <v>48212</v>
      </c>
      <c r="U11934" t="s">
        <v>58356</v>
      </c>
      <c r="W11934" t="s">
        <v>44906</v>
      </c>
      <c r="X11934" t="s">
        <v>46583</v>
      </c>
    </row>
    <row r="11935" spans="1:24">
      <c r="A11935">
        <f>HYPERLINK("https://www.philgeps.gov.ph/GEPSNONPILOT/Tender/SplashBidNoticeAbstractUI.aspx?menuIndex=3&amp;refID=7043725&amp;Result=3","7043725")</f>
        <v>0</v>
      </c>
      <c r="B11935" t="s">
        <v>2150</v>
      </c>
      <c r="C11935" t="s">
        <v>14846</v>
      </c>
      <c r="D11935" t="s">
        <v>18851</v>
      </c>
      <c r="E11935" t="s">
        <v>29153</v>
      </c>
      <c r="F11935" t="s">
        <v>32664</v>
      </c>
      <c r="G11935" t="s">
        <v>32672</v>
      </c>
      <c r="H11935" t="s">
        <v>12635</v>
      </c>
      <c r="I11935" t="s">
        <v>10590</v>
      </c>
      <c r="J11935" t="s">
        <v>39853</v>
      </c>
      <c r="K11935" t="s">
        <v>42281</v>
      </c>
      <c r="M11935" t="s">
        <v>44906</v>
      </c>
      <c r="N11935" t="s">
        <v>46569</v>
      </c>
      <c r="O11935" t="s">
        <v>46570</v>
      </c>
      <c r="P11935">
        <v>0</v>
      </c>
      <c r="Q11935">
        <v>0</v>
      </c>
      <c r="R11935" t="s">
        <v>46580</v>
      </c>
      <c r="S11935" t="s">
        <v>46986</v>
      </c>
      <c r="T11935" t="s">
        <v>48212</v>
      </c>
      <c r="U11935" t="s">
        <v>58357</v>
      </c>
      <c r="W11935" t="s">
        <v>44906</v>
      </c>
      <c r="X11935" t="s">
        <v>46583</v>
      </c>
    </row>
    <row r="11936" spans="1:24">
      <c r="A11936">
        <f>HYPERLINK("https://www.philgeps.gov.ph/GEPSNONPILOT/Tender/SplashBidNoticeAbstractUI.aspx?menuIndex=3&amp;refID=7043724&amp;Result=3","7043724")</f>
        <v>0</v>
      </c>
      <c r="B11936" t="s">
        <v>2150</v>
      </c>
      <c r="C11936" t="s">
        <v>14847</v>
      </c>
      <c r="D11936" t="s">
        <v>18851</v>
      </c>
      <c r="E11936" t="s">
        <v>29154</v>
      </c>
      <c r="F11936" t="s">
        <v>32664</v>
      </c>
      <c r="G11936" t="s">
        <v>32672</v>
      </c>
      <c r="H11936" t="s">
        <v>12635</v>
      </c>
      <c r="I11936" t="s">
        <v>32685</v>
      </c>
      <c r="J11936" t="s">
        <v>33051</v>
      </c>
      <c r="K11936" t="s">
        <v>42281</v>
      </c>
      <c r="M11936" t="s">
        <v>44906</v>
      </c>
      <c r="N11936" t="s">
        <v>46569</v>
      </c>
      <c r="O11936" t="s">
        <v>46570</v>
      </c>
      <c r="P11936">
        <v>0</v>
      </c>
      <c r="Q11936">
        <v>0</v>
      </c>
      <c r="R11936" t="s">
        <v>46580</v>
      </c>
      <c r="S11936" t="s">
        <v>46986</v>
      </c>
      <c r="T11936" t="s">
        <v>48212</v>
      </c>
      <c r="U11936" t="s">
        <v>58358</v>
      </c>
      <c r="W11936" t="s">
        <v>44906</v>
      </c>
      <c r="X11936" t="s">
        <v>46583</v>
      </c>
    </row>
    <row r="11937" spans="1:24">
      <c r="A11937">
        <f>HYPERLINK("https://www.philgeps.gov.ph/GEPSNONPILOT/Tender/SplashBidNoticeAbstractUI.aspx?menuIndex=3&amp;refID=7042246&amp;Result=3","7042246")</f>
        <v>0</v>
      </c>
      <c r="B11937" t="s">
        <v>1380</v>
      </c>
      <c r="C11937" t="s">
        <v>14848</v>
      </c>
      <c r="D11937" t="s">
        <v>18809</v>
      </c>
      <c r="E11937" t="s">
        <v>29155</v>
      </c>
      <c r="F11937" t="s">
        <v>32664</v>
      </c>
      <c r="G11937" t="s">
        <v>32672</v>
      </c>
      <c r="H11937" t="s">
        <v>32683</v>
      </c>
      <c r="I11937" t="s">
        <v>10627</v>
      </c>
      <c r="J11937" t="s">
        <v>39854</v>
      </c>
      <c r="K11937" t="s">
        <v>42326</v>
      </c>
      <c r="L11937" t="s">
        <v>1380</v>
      </c>
      <c r="M11937" t="s">
        <v>44035</v>
      </c>
      <c r="N11937" t="s">
        <v>46569</v>
      </c>
      <c r="O11937" t="s">
        <v>46570</v>
      </c>
      <c r="P11937">
        <v>0</v>
      </c>
      <c r="Q11937">
        <v>3</v>
      </c>
      <c r="R11937" t="s">
        <v>46580</v>
      </c>
      <c r="S11937" t="s">
        <v>46986</v>
      </c>
      <c r="T11937" t="s">
        <v>48394</v>
      </c>
      <c r="U11937" t="s">
        <v>58359</v>
      </c>
      <c r="V11937" t="s">
        <v>61989</v>
      </c>
      <c r="W11937" t="s">
        <v>44035</v>
      </c>
      <c r="X11937" t="s">
        <v>46585</v>
      </c>
    </row>
    <row r="11938" spans="1:24">
      <c r="A11938">
        <f>HYPERLINK("https://www.philgeps.gov.ph/GEPSNONPILOT/Tender/SplashBidNoticeAbstractUI.aspx?menuIndex=3&amp;refID=7041010&amp;Result=3","7041010")</f>
        <v>0</v>
      </c>
      <c r="B11938" t="s">
        <v>3132</v>
      </c>
      <c r="C11938" t="s">
        <v>14849</v>
      </c>
      <c r="D11938" t="s">
        <v>18818</v>
      </c>
      <c r="E11938" t="s">
        <v>29156</v>
      </c>
      <c r="F11938" t="s">
        <v>32664</v>
      </c>
      <c r="G11938" t="s">
        <v>32672</v>
      </c>
      <c r="H11938" t="s">
        <v>32681</v>
      </c>
      <c r="I11938" t="s">
        <v>32681</v>
      </c>
      <c r="J11938" t="s">
        <v>39855</v>
      </c>
      <c r="K11938" t="s">
        <v>42414</v>
      </c>
      <c r="M11938" t="s">
        <v>46025</v>
      </c>
      <c r="N11938" t="s">
        <v>46569</v>
      </c>
      <c r="O11938" t="s">
        <v>46570</v>
      </c>
      <c r="P11938">
        <v>0</v>
      </c>
      <c r="Q11938">
        <v>3</v>
      </c>
      <c r="R11938" t="s">
        <v>46580</v>
      </c>
      <c r="S11938" t="s">
        <v>46986</v>
      </c>
      <c r="T11938" t="s">
        <v>48308</v>
      </c>
      <c r="U11938" t="s">
        <v>58360</v>
      </c>
      <c r="W11938" t="s">
        <v>46025</v>
      </c>
      <c r="X11938" t="s">
        <v>46585</v>
      </c>
    </row>
    <row r="11939" spans="1:24">
      <c r="A11939">
        <f>HYPERLINK("https://www.philgeps.gov.ph/GEPSNONPILOT/Tender/SplashBidNoticeAbstractUI.aspx?menuIndex=3&amp;refID=7043752&amp;Result=3","7043752")</f>
        <v>0</v>
      </c>
      <c r="B11939" t="s">
        <v>2150</v>
      </c>
      <c r="C11939" t="s">
        <v>14635</v>
      </c>
      <c r="D11939" t="s">
        <v>18851</v>
      </c>
      <c r="E11939" t="s">
        <v>29157</v>
      </c>
      <c r="F11939" t="s">
        <v>32664</v>
      </c>
      <c r="G11939" t="s">
        <v>32672</v>
      </c>
      <c r="H11939" t="s">
        <v>12635</v>
      </c>
      <c r="I11939" t="s">
        <v>32685</v>
      </c>
      <c r="J11939" t="s">
        <v>39856</v>
      </c>
      <c r="K11939" t="s">
        <v>42281</v>
      </c>
      <c r="M11939" t="s">
        <v>44906</v>
      </c>
      <c r="N11939" t="s">
        <v>46569</v>
      </c>
      <c r="O11939" t="s">
        <v>46570</v>
      </c>
      <c r="P11939">
        <v>0</v>
      </c>
      <c r="Q11939">
        <v>0</v>
      </c>
      <c r="R11939" t="s">
        <v>46580</v>
      </c>
      <c r="S11939" t="s">
        <v>46986</v>
      </c>
      <c r="T11939" t="s">
        <v>48212</v>
      </c>
      <c r="U11939" t="s">
        <v>58361</v>
      </c>
      <c r="W11939" t="s">
        <v>44906</v>
      </c>
      <c r="X11939" t="s">
        <v>46583</v>
      </c>
    </row>
    <row r="11940" spans="1:24">
      <c r="A11940">
        <f>HYPERLINK("https://www.philgeps.gov.ph/GEPSNONPILOT/Tender/SplashBidNoticeAbstractUI.aspx?menuIndex=3&amp;refID=7043749&amp;Result=3","7043749")</f>
        <v>0</v>
      </c>
      <c r="B11940" t="s">
        <v>2150</v>
      </c>
      <c r="C11940" t="s">
        <v>14850</v>
      </c>
      <c r="D11940" t="s">
        <v>18851</v>
      </c>
      <c r="E11940" t="s">
        <v>29158</v>
      </c>
      <c r="F11940" t="s">
        <v>32664</v>
      </c>
      <c r="G11940" t="s">
        <v>32672</v>
      </c>
      <c r="H11940" t="s">
        <v>12635</v>
      </c>
      <c r="I11940" t="s">
        <v>10590</v>
      </c>
      <c r="J11940" t="s">
        <v>39857</v>
      </c>
      <c r="K11940" t="s">
        <v>42281</v>
      </c>
      <c r="M11940" t="s">
        <v>44906</v>
      </c>
      <c r="N11940" t="s">
        <v>46569</v>
      </c>
      <c r="O11940" t="s">
        <v>46570</v>
      </c>
      <c r="P11940">
        <v>0</v>
      </c>
      <c r="Q11940">
        <v>0</v>
      </c>
      <c r="R11940" t="s">
        <v>46580</v>
      </c>
      <c r="S11940" t="s">
        <v>46986</v>
      </c>
      <c r="T11940" t="s">
        <v>48212</v>
      </c>
      <c r="U11940" t="s">
        <v>58362</v>
      </c>
      <c r="W11940" t="s">
        <v>44906</v>
      </c>
      <c r="X11940" t="s">
        <v>46583</v>
      </c>
    </row>
    <row r="11941" spans="1:24">
      <c r="A11941">
        <f>HYPERLINK("https://www.philgeps.gov.ph/GEPSNONPILOT/Tender/SplashBidNoticeAbstractUI.aspx?menuIndex=3&amp;refID=7039652&amp;Result=3","7039652")</f>
        <v>0</v>
      </c>
      <c r="B11941" t="s">
        <v>2150</v>
      </c>
      <c r="C11941" t="s">
        <v>14851</v>
      </c>
      <c r="D11941" t="s">
        <v>18851</v>
      </c>
      <c r="E11941" t="s">
        <v>29159</v>
      </c>
      <c r="F11941" t="s">
        <v>32664</v>
      </c>
      <c r="G11941" t="s">
        <v>32672</v>
      </c>
      <c r="H11941" t="s">
        <v>32683</v>
      </c>
      <c r="I11941" t="s">
        <v>10627</v>
      </c>
      <c r="J11941" t="s">
        <v>39858</v>
      </c>
      <c r="K11941" t="s">
        <v>42290</v>
      </c>
      <c r="M11941" t="s">
        <v>44906</v>
      </c>
      <c r="N11941" t="s">
        <v>46569</v>
      </c>
      <c r="O11941" t="s">
        <v>46570</v>
      </c>
      <c r="P11941">
        <v>0</v>
      </c>
      <c r="Q11941">
        <v>0</v>
      </c>
      <c r="R11941" t="s">
        <v>46580</v>
      </c>
      <c r="S11941" t="s">
        <v>46986</v>
      </c>
      <c r="T11941" t="s">
        <v>48212</v>
      </c>
      <c r="U11941" t="s">
        <v>58363</v>
      </c>
      <c r="W11941" t="s">
        <v>44906</v>
      </c>
      <c r="X11941" t="s">
        <v>46586</v>
      </c>
    </row>
    <row r="11942" spans="1:24">
      <c r="A11942">
        <f>HYPERLINK("https://www.philgeps.gov.ph/GEPSNONPILOT/Tender/SplashBidNoticeAbstractUI.aspx?menuIndex=3&amp;refID=7039616&amp;Result=3","7039616")</f>
        <v>0</v>
      </c>
      <c r="B11942" t="s">
        <v>2150</v>
      </c>
      <c r="C11942" t="s">
        <v>14852</v>
      </c>
      <c r="D11942" t="s">
        <v>18851</v>
      </c>
      <c r="E11942" t="s">
        <v>29160</v>
      </c>
      <c r="F11942" t="s">
        <v>32664</v>
      </c>
      <c r="G11942" t="s">
        <v>32672</v>
      </c>
      <c r="H11942" t="s">
        <v>32683</v>
      </c>
      <c r="I11942" t="s">
        <v>10627</v>
      </c>
      <c r="J11942" t="s">
        <v>39859</v>
      </c>
      <c r="K11942" t="s">
        <v>42290</v>
      </c>
      <c r="M11942" t="s">
        <v>44906</v>
      </c>
      <c r="N11942" t="s">
        <v>46569</v>
      </c>
      <c r="O11942" t="s">
        <v>46570</v>
      </c>
      <c r="P11942">
        <v>0</v>
      </c>
      <c r="Q11942">
        <v>0</v>
      </c>
      <c r="R11942" t="s">
        <v>46580</v>
      </c>
      <c r="S11942" t="s">
        <v>46986</v>
      </c>
      <c r="T11942" t="s">
        <v>48212</v>
      </c>
      <c r="U11942" t="s">
        <v>58364</v>
      </c>
      <c r="W11942" t="s">
        <v>44906</v>
      </c>
      <c r="X11942" t="s">
        <v>46586</v>
      </c>
    </row>
    <row r="11943" spans="1:24">
      <c r="A11943">
        <f>HYPERLINK("https://www.philgeps.gov.ph/GEPSNONPILOT/Tender/SplashBidNoticeAbstractUI.aspx?menuIndex=3&amp;refID=7039492&amp;Result=3","7039492")</f>
        <v>0</v>
      </c>
      <c r="B11943" t="s">
        <v>2150</v>
      </c>
      <c r="C11943" t="s">
        <v>14853</v>
      </c>
      <c r="D11943" t="s">
        <v>18851</v>
      </c>
      <c r="E11943" t="s">
        <v>29161</v>
      </c>
      <c r="F11943" t="s">
        <v>32664</v>
      </c>
      <c r="G11943" t="s">
        <v>32672</v>
      </c>
      <c r="H11943" t="s">
        <v>32683</v>
      </c>
      <c r="I11943" t="s">
        <v>10627</v>
      </c>
      <c r="J11943" t="s">
        <v>39860</v>
      </c>
      <c r="K11943" t="s">
        <v>42285</v>
      </c>
      <c r="M11943" t="s">
        <v>44906</v>
      </c>
      <c r="N11943" t="s">
        <v>46569</v>
      </c>
      <c r="O11943" t="s">
        <v>46570</v>
      </c>
      <c r="P11943">
        <v>0</v>
      </c>
      <c r="Q11943">
        <v>0</v>
      </c>
      <c r="R11943" t="s">
        <v>46580</v>
      </c>
      <c r="S11943" t="s">
        <v>46986</v>
      </c>
      <c r="T11943" t="s">
        <v>48212</v>
      </c>
      <c r="U11943" t="s">
        <v>58365</v>
      </c>
      <c r="W11943" t="s">
        <v>44906</v>
      </c>
      <c r="X11943" t="s">
        <v>46586</v>
      </c>
    </row>
    <row r="11944" spans="1:24">
      <c r="A11944">
        <f>HYPERLINK("https://www.philgeps.gov.ph/GEPSNONPILOT/Tender/SplashBidNoticeAbstractUI.aspx?menuIndex=3&amp;refID=7044014&amp;Result=3","7044014")</f>
        <v>0</v>
      </c>
      <c r="B11944" t="s">
        <v>2150</v>
      </c>
      <c r="C11944" t="s">
        <v>14854</v>
      </c>
      <c r="D11944" t="s">
        <v>18851</v>
      </c>
      <c r="E11944" t="s">
        <v>29162</v>
      </c>
      <c r="F11944" t="s">
        <v>32664</v>
      </c>
      <c r="G11944" t="s">
        <v>32672</v>
      </c>
      <c r="H11944" t="s">
        <v>12635</v>
      </c>
      <c r="I11944" t="s">
        <v>5589</v>
      </c>
      <c r="J11944" t="s">
        <v>39861</v>
      </c>
      <c r="K11944" t="s">
        <v>42281</v>
      </c>
      <c r="M11944" t="s">
        <v>44906</v>
      </c>
      <c r="N11944" t="s">
        <v>46569</v>
      </c>
      <c r="O11944" t="s">
        <v>46570</v>
      </c>
      <c r="P11944">
        <v>0</v>
      </c>
      <c r="Q11944">
        <v>2</v>
      </c>
      <c r="R11944" t="s">
        <v>46580</v>
      </c>
      <c r="S11944" t="s">
        <v>46986</v>
      </c>
      <c r="T11944" t="s">
        <v>48212</v>
      </c>
      <c r="U11944" t="s">
        <v>58366</v>
      </c>
      <c r="W11944" t="s">
        <v>44906</v>
      </c>
      <c r="X11944" t="s">
        <v>46582</v>
      </c>
    </row>
    <row r="11945" spans="1:24">
      <c r="A11945">
        <f>HYPERLINK("https://www.philgeps.gov.ph/GEPSNONPILOT/Tender/SplashBidNoticeAbstractUI.aspx?menuIndex=3&amp;refID=7039525&amp;Result=3","7039525")</f>
        <v>0</v>
      </c>
      <c r="B11945" t="s">
        <v>2150</v>
      </c>
      <c r="C11945" t="s">
        <v>14855</v>
      </c>
      <c r="E11945" t="s">
        <v>29163</v>
      </c>
      <c r="F11945" t="s">
        <v>32664</v>
      </c>
      <c r="G11945" t="s">
        <v>32672</v>
      </c>
      <c r="H11945" t="s">
        <v>32683</v>
      </c>
      <c r="I11945" t="s">
        <v>10627</v>
      </c>
      <c r="J11945" t="s">
        <v>39862</v>
      </c>
      <c r="K11945" t="s">
        <v>42298</v>
      </c>
      <c r="M11945" t="s">
        <v>44906</v>
      </c>
      <c r="N11945" t="s">
        <v>46569</v>
      </c>
      <c r="O11945" t="s">
        <v>46570</v>
      </c>
      <c r="P11945">
        <v>0</v>
      </c>
      <c r="Q11945">
        <v>1</v>
      </c>
      <c r="R11945" t="s">
        <v>46580</v>
      </c>
      <c r="S11945" t="s">
        <v>46986</v>
      </c>
      <c r="T11945" t="s">
        <v>48212</v>
      </c>
      <c r="U11945" t="s">
        <v>58367</v>
      </c>
      <c r="W11945" t="s">
        <v>44906</v>
      </c>
      <c r="X11945" t="s">
        <v>46586</v>
      </c>
    </row>
    <row r="11946" spans="1:24">
      <c r="A11946">
        <f>HYPERLINK("https://www.philgeps.gov.ph/GEPSNONPILOT/Tender/SplashBidNoticeAbstractUI.aspx?menuIndex=3&amp;refID=7043731&amp;Result=3","7043731")</f>
        <v>0</v>
      </c>
      <c r="B11946" t="s">
        <v>2150</v>
      </c>
      <c r="C11946" t="s">
        <v>14856</v>
      </c>
      <c r="D11946" t="s">
        <v>18851</v>
      </c>
      <c r="E11946" t="s">
        <v>29164</v>
      </c>
      <c r="F11946" t="s">
        <v>32664</v>
      </c>
      <c r="G11946" t="s">
        <v>32672</v>
      </c>
      <c r="H11946" t="s">
        <v>12635</v>
      </c>
      <c r="I11946" t="s">
        <v>6168</v>
      </c>
      <c r="J11946" t="s">
        <v>39863</v>
      </c>
      <c r="K11946" t="s">
        <v>42281</v>
      </c>
      <c r="M11946" t="s">
        <v>44906</v>
      </c>
      <c r="N11946" t="s">
        <v>46569</v>
      </c>
      <c r="O11946" t="s">
        <v>46570</v>
      </c>
      <c r="P11946">
        <v>0</v>
      </c>
      <c r="Q11946">
        <v>0</v>
      </c>
      <c r="R11946" t="s">
        <v>46580</v>
      </c>
      <c r="S11946" t="s">
        <v>46986</v>
      </c>
      <c r="T11946" t="s">
        <v>48212</v>
      </c>
      <c r="U11946" t="s">
        <v>58368</v>
      </c>
      <c r="W11946" t="s">
        <v>44906</v>
      </c>
      <c r="X11946" t="s">
        <v>46583</v>
      </c>
    </row>
    <row r="11947" spans="1:24">
      <c r="A11947">
        <f>HYPERLINK("https://www.philgeps.gov.ph/GEPSNONPILOT/Tender/SplashBidNoticeAbstractUI.aspx?menuIndex=3&amp;refID=7032692&amp;Result=3","7032692")</f>
        <v>0</v>
      </c>
      <c r="B11947" t="s">
        <v>2437</v>
      </c>
      <c r="C11947" t="s">
        <v>14857</v>
      </c>
      <c r="D11947" t="s">
        <v>18849</v>
      </c>
      <c r="E11947" t="s">
        <v>19634</v>
      </c>
      <c r="F11947" t="s">
        <v>32664</v>
      </c>
      <c r="G11947" t="s">
        <v>32672</v>
      </c>
      <c r="H11947" t="s">
        <v>32683</v>
      </c>
      <c r="I11947" t="s">
        <v>10627</v>
      </c>
      <c r="J11947" t="s">
        <v>39864</v>
      </c>
      <c r="K11947" t="s">
        <v>42281</v>
      </c>
      <c r="M11947" t="s">
        <v>45229</v>
      </c>
      <c r="N11947" t="s">
        <v>46569</v>
      </c>
      <c r="O11947" t="s">
        <v>46570</v>
      </c>
      <c r="P11947">
        <v>0</v>
      </c>
      <c r="Q11947">
        <v>0</v>
      </c>
      <c r="R11947" t="s">
        <v>46580</v>
      </c>
      <c r="S11947" t="s">
        <v>46986</v>
      </c>
      <c r="T11947" t="s">
        <v>48313</v>
      </c>
      <c r="U11947" t="s">
        <v>55466</v>
      </c>
      <c r="W11947" t="s">
        <v>45229</v>
      </c>
      <c r="X11947" t="s">
        <v>46589</v>
      </c>
    </row>
    <row r="11948" spans="1:24">
      <c r="A11948">
        <f>HYPERLINK("https://www.philgeps.gov.ph/GEPSNONPILOT/Tender/SplashBidNoticeAbstractUI.aspx?menuIndex=3&amp;refID=7031606&amp;Result=3","7031606")</f>
        <v>0</v>
      </c>
      <c r="B11948" t="s">
        <v>1745</v>
      </c>
      <c r="C11948" t="s">
        <v>14858</v>
      </c>
      <c r="D11948" t="s">
        <v>18822</v>
      </c>
      <c r="E11948" t="s">
        <v>29165</v>
      </c>
      <c r="F11948" t="s">
        <v>32664</v>
      </c>
      <c r="G11948" t="s">
        <v>32672</v>
      </c>
      <c r="H11948" t="s">
        <v>32682</v>
      </c>
      <c r="I11948" t="s">
        <v>32754</v>
      </c>
      <c r="J11948" t="s">
        <v>33150</v>
      </c>
      <c r="K11948" t="s">
        <v>42311</v>
      </c>
      <c r="M11948" t="s">
        <v>44444</v>
      </c>
      <c r="N11948" t="s">
        <v>46569</v>
      </c>
      <c r="O11948" t="s">
        <v>46570</v>
      </c>
      <c r="P11948">
        <v>0</v>
      </c>
      <c r="Q11948">
        <v>2</v>
      </c>
      <c r="R11948" t="s">
        <v>46580</v>
      </c>
      <c r="S11948" t="s">
        <v>46986</v>
      </c>
      <c r="T11948" t="s">
        <v>48381</v>
      </c>
      <c r="U11948" t="s">
        <v>58369</v>
      </c>
      <c r="V11948" t="s">
        <v>62924</v>
      </c>
      <c r="W11948" t="s">
        <v>44444</v>
      </c>
      <c r="X11948" t="s">
        <v>46591</v>
      </c>
    </row>
    <row r="11949" spans="1:24">
      <c r="A11949">
        <f>HYPERLINK("https://www.philgeps.gov.ph/GEPSNONPILOT/Tender/SplashBidNoticeAbstractUI.aspx?menuIndex=3&amp;refID=7039688&amp;Result=3","7039688")</f>
        <v>0</v>
      </c>
      <c r="B11949" t="s">
        <v>2150</v>
      </c>
      <c r="C11949" t="s">
        <v>14859</v>
      </c>
      <c r="D11949" t="s">
        <v>18851</v>
      </c>
      <c r="E11949" t="s">
        <v>29166</v>
      </c>
      <c r="F11949" t="s">
        <v>32664</v>
      </c>
      <c r="G11949" t="s">
        <v>32672</v>
      </c>
      <c r="H11949" t="s">
        <v>32683</v>
      </c>
      <c r="I11949" t="s">
        <v>10627</v>
      </c>
      <c r="J11949" t="s">
        <v>39865</v>
      </c>
      <c r="K11949" t="s">
        <v>42369</v>
      </c>
      <c r="M11949" t="s">
        <v>44906</v>
      </c>
      <c r="N11949" t="s">
        <v>46569</v>
      </c>
      <c r="O11949" t="s">
        <v>46570</v>
      </c>
      <c r="P11949">
        <v>0</v>
      </c>
      <c r="Q11949">
        <v>0</v>
      </c>
      <c r="R11949" t="s">
        <v>46580</v>
      </c>
      <c r="S11949" t="s">
        <v>46986</v>
      </c>
      <c r="T11949" t="s">
        <v>48212</v>
      </c>
      <c r="U11949" t="s">
        <v>58370</v>
      </c>
      <c r="W11949" t="s">
        <v>44906</v>
      </c>
      <c r="X11949" t="s">
        <v>46586</v>
      </c>
    </row>
    <row r="11950" spans="1:24">
      <c r="A11950">
        <f>HYPERLINK("https://www.philgeps.gov.ph/GEPSNONPILOT/Tender/SplashBidNoticeAbstractUI.aspx?menuIndex=3&amp;refID=7049788&amp;Result=3","7049788")</f>
        <v>0</v>
      </c>
      <c r="B11950" t="s">
        <v>3034</v>
      </c>
      <c r="C11950" t="s">
        <v>14860</v>
      </c>
      <c r="D11950" t="s">
        <v>18839</v>
      </c>
      <c r="E11950" t="s">
        <v>29167</v>
      </c>
      <c r="F11950" t="s">
        <v>32664</v>
      </c>
      <c r="G11950" t="s">
        <v>32672</v>
      </c>
      <c r="H11950" t="s">
        <v>12635</v>
      </c>
      <c r="I11950" t="s">
        <v>32706</v>
      </c>
      <c r="J11950" t="s">
        <v>39866</v>
      </c>
      <c r="K11950" t="s">
        <v>42297</v>
      </c>
      <c r="M11950" t="s">
        <v>45907</v>
      </c>
      <c r="N11950" t="s">
        <v>46569</v>
      </c>
      <c r="O11950" t="s">
        <v>46570</v>
      </c>
      <c r="P11950">
        <v>0</v>
      </c>
      <c r="Q11950">
        <v>2</v>
      </c>
      <c r="R11950" t="s">
        <v>46579</v>
      </c>
      <c r="S11950" t="s">
        <v>46919</v>
      </c>
      <c r="T11950" t="s">
        <v>48213</v>
      </c>
      <c r="U11950" t="s">
        <v>58371</v>
      </c>
      <c r="W11950" t="s">
        <v>45907</v>
      </c>
      <c r="X11950" t="s">
        <v>46580</v>
      </c>
    </row>
    <row r="11951" spans="1:24">
      <c r="A11951">
        <f>HYPERLINK("https://www.philgeps.gov.ph/GEPSNONPILOT/Tender/SplashBidNoticeAbstractUI.aspx?menuIndex=3&amp;refID=7036451&amp;Result=3","7036451")</f>
        <v>0</v>
      </c>
      <c r="B11951" t="s">
        <v>1231</v>
      </c>
      <c r="C11951" t="s">
        <v>4928</v>
      </c>
      <c r="D11951" t="s">
        <v>18786</v>
      </c>
      <c r="E11951" t="s">
        <v>29168</v>
      </c>
      <c r="F11951" t="s">
        <v>32664</v>
      </c>
      <c r="G11951" t="s">
        <v>32672</v>
      </c>
      <c r="H11951" t="s">
        <v>12635</v>
      </c>
      <c r="I11951" t="s">
        <v>10370</v>
      </c>
      <c r="J11951" t="s">
        <v>39867</v>
      </c>
      <c r="K11951" t="s">
        <v>42281</v>
      </c>
      <c r="M11951" t="s">
        <v>43872</v>
      </c>
      <c r="N11951" t="s">
        <v>46569</v>
      </c>
      <c r="O11951" t="s">
        <v>46570</v>
      </c>
      <c r="P11951">
        <v>0</v>
      </c>
      <c r="Q11951">
        <v>2</v>
      </c>
      <c r="R11951" t="s">
        <v>46580</v>
      </c>
      <c r="S11951" t="s">
        <v>46986</v>
      </c>
      <c r="T11951" t="s">
        <v>48212</v>
      </c>
      <c r="U11951" t="s">
        <v>58372</v>
      </c>
      <c r="V11951" t="s">
        <v>62925</v>
      </c>
      <c r="W11951" t="s">
        <v>43872</v>
      </c>
      <c r="X11951" t="s">
        <v>46587</v>
      </c>
    </row>
    <row r="11952" spans="1:24">
      <c r="A11952">
        <f>HYPERLINK("https://www.philgeps.gov.ph/GEPSNONPILOT/Tender/SplashBidNoticeAbstractUI.aspx?menuIndex=3&amp;refID=7049387&amp;Result=3","7049387")</f>
        <v>0</v>
      </c>
      <c r="B11952" t="s">
        <v>1656</v>
      </c>
      <c r="C11952" t="s">
        <v>14861</v>
      </c>
      <c r="D11952" t="s">
        <v>18805</v>
      </c>
      <c r="E11952" t="s">
        <v>18926</v>
      </c>
      <c r="F11952" t="s">
        <v>32664</v>
      </c>
      <c r="G11952" t="s">
        <v>32671</v>
      </c>
      <c r="H11952" t="s">
        <v>12635</v>
      </c>
      <c r="I11952" t="s">
        <v>10361</v>
      </c>
      <c r="J11952" t="s">
        <v>34824</v>
      </c>
      <c r="K11952" t="s">
        <v>42306</v>
      </c>
      <c r="M11952" t="s">
        <v>44341</v>
      </c>
      <c r="N11952" t="s">
        <v>46569</v>
      </c>
      <c r="O11952" t="s">
        <v>46570</v>
      </c>
      <c r="P11952">
        <v>0</v>
      </c>
      <c r="Q11952">
        <v>0</v>
      </c>
      <c r="R11952" t="s">
        <v>46579</v>
      </c>
      <c r="S11952" t="s">
        <v>46919</v>
      </c>
      <c r="T11952" t="s">
        <v>48350</v>
      </c>
      <c r="U11952" t="s">
        <v>58373</v>
      </c>
      <c r="W11952" t="s">
        <v>44341</v>
      </c>
      <c r="X11952" t="s">
        <v>46580</v>
      </c>
    </row>
    <row r="11953" spans="1:24">
      <c r="A11953">
        <f>HYPERLINK("https://www.philgeps.gov.ph/GEPSNONPILOT/Tender/SplashBidNoticeAbstractUI.aspx?menuIndex=3&amp;refID=7039567&amp;Result=3","7039567")</f>
        <v>0</v>
      </c>
      <c r="B11953" t="s">
        <v>2150</v>
      </c>
      <c r="C11953" t="s">
        <v>14862</v>
      </c>
      <c r="D11953" t="s">
        <v>18851</v>
      </c>
      <c r="E11953" t="s">
        <v>29169</v>
      </c>
      <c r="F11953" t="s">
        <v>32664</v>
      </c>
      <c r="G11953" t="s">
        <v>32672</v>
      </c>
      <c r="H11953" t="s">
        <v>32683</v>
      </c>
      <c r="I11953" t="s">
        <v>10627</v>
      </c>
      <c r="J11953" t="s">
        <v>39868</v>
      </c>
      <c r="K11953" t="s">
        <v>42327</v>
      </c>
      <c r="M11953" t="s">
        <v>44906</v>
      </c>
      <c r="N11953" t="s">
        <v>46569</v>
      </c>
      <c r="O11953" t="s">
        <v>46570</v>
      </c>
      <c r="P11953">
        <v>0</v>
      </c>
      <c r="Q11953">
        <v>0</v>
      </c>
      <c r="R11953" t="s">
        <v>46580</v>
      </c>
      <c r="S11953" t="s">
        <v>46986</v>
      </c>
      <c r="T11953" t="s">
        <v>48212</v>
      </c>
      <c r="U11953" t="s">
        <v>58374</v>
      </c>
      <c r="W11953" t="s">
        <v>44906</v>
      </c>
      <c r="X11953" t="s">
        <v>46586</v>
      </c>
    </row>
    <row r="11954" spans="1:24">
      <c r="A11954">
        <f>HYPERLINK("https://www.philgeps.gov.ph/GEPSNONPILOT/Tender/SplashBidNoticeAbstractUI.aspx?menuIndex=3&amp;refID=7031707&amp;Result=3","7031707")</f>
        <v>0</v>
      </c>
      <c r="B11954" t="s">
        <v>3133</v>
      </c>
      <c r="C11954" t="s">
        <v>14863</v>
      </c>
      <c r="D11954" t="s">
        <v>18821</v>
      </c>
      <c r="E11954" t="s">
        <v>21424</v>
      </c>
      <c r="F11954" t="s">
        <v>32664</v>
      </c>
      <c r="G11954" t="s">
        <v>32672</v>
      </c>
      <c r="H11954" t="s">
        <v>32682</v>
      </c>
      <c r="I11954" t="s">
        <v>9946</v>
      </c>
      <c r="J11954" t="s">
        <v>33177</v>
      </c>
      <c r="K11954" t="s">
        <v>42401</v>
      </c>
      <c r="M11954" t="s">
        <v>46026</v>
      </c>
      <c r="N11954" t="s">
        <v>46569</v>
      </c>
      <c r="O11954" t="s">
        <v>46570</v>
      </c>
      <c r="P11954">
        <v>0</v>
      </c>
      <c r="Q11954">
        <v>2</v>
      </c>
      <c r="R11954" t="s">
        <v>46580</v>
      </c>
      <c r="S11954" t="s">
        <v>46986</v>
      </c>
      <c r="T11954" t="s">
        <v>48215</v>
      </c>
      <c r="U11954" t="s">
        <v>58375</v>
      </c>
      <c r="W11954" t="s">
        <v>46026</v>
      </c>
      <c r="X11954" t="s">
        <v>46591</v>
      </c>
    </row>
    <row r="11955" spans="1:24">
      <c r="A11955">
        <f>HYPERLINK("https://www.philgeps.gov.ph/GEPSNONPILOT/Tender/SplashBidNoticeAbstractUI.aspx?menuIndex=3&amp;refID=7048691&amp;Result=3","7048691")</f>
        <v>0</v>
      </c>
      <c r="B11955" t="s">
        <v>2999</v>
      </c>
      <c r="C11955" t="s">
        <v>14864</v>
      </c>
      <c r="D11955" t="s">
        <v>18831</v>
      </c>
      <c r="E11955" t="s">
        <v>29170</v>
      </c>
      <c r="F11955" t="s">
        <v>32664</v>
      </c>
      <c r="G11955" t="s">
        <v>32672</v>
      </c>
      <c r="H11955" t="s">
        <v>32683</v>
      </c>
      <c r="I11955" t="s">
        <v>10627</v>
      </c>
      <c r="J11955" t="s">
        <v>39869</v>
      </c>
      <c r="K11955" t="s">
        <v>42311</v>
      </c>
      <c r="M11955" t="s">
        <v>45860</v>
      </c>
      <c r="N11955" t="s">
        <v>46569</v>
      </c>
      <c r="O11955" t="s">
        <v>46570</v>
      </c>
      <c r="P11955">
        <v>0</v>
      </c>
      <c r="Q11955">
        <v>1</v>
      </c>
      <c r="R11955" t="s">
        <v>46579</v>
      </c>
      <c r="S11955" t="s">
        <v>46919</v>
      </c>
      <c r="T11955" t="s">
        <v>48657</v>
      </c>
      <c r="U11955" t="s">
        <v>57674</v>
      </c>
      <c r="W11955" t="s">
        <v>45860</v>
      </c>
      <c r="X11955" t="s">
        <v>46580</v>
      </c>
    </row>
    <row r="11956" spans="1:24">
      <c r="A11956">
        <f>HYPERLINK("https://www.philgeps.gov.ph/GEPSNONPILOT/Tender/SplashBidNoticeAbstractUI.aspx?menuIndex=3&amp;refID=7049786&amp;Result=3","7049786")</f>
        <v>0</v>
      </c>
      <c r="B11956" t="s">
        <v>3134</v>
      </c>
      <c r="C11956" t="s">
        <v>14865</v>
      </c>
      <c r="D11956" t="s">
        <v>18829</v>
      </c>
      <c r="E11956" t="s">
        <v>29171</v>
      </c>
      <c r="F11956" t="s">
        <v>32664</v>
      </c>
      <c r="G11956" t="s">
        <v>32672</v>
      </c>
      <c r="H11956" t="s">
        <v>32683</v>
      </c>
      <c r="I11956" t="s">
        <v>4439</v>
      </c>
      <c r="J11956" t="s">
        <v>39870</v>
      </c>
      <c r="K11956" t="s">
        <v>42281</v>
      </c>
      <c r="M11956" t="s">
        <v>46027</v>
      </c>
      <c r="N11956" t="s">
        <v>46569</v>
      </c>
      <c r="O11956" t="s">
        <v>46570</v>
      </c>
      <c r="P11956">
        <v>0</v>
      </c>
      <c r="Q11956">
        <v>0</v>
      </c>
      <c r="R11956" t="s">
        <v>46579</v>
      </c>
      <c r="S11956" t="s">
        <v>46919</v>
      </c>
      <c r="T11956" t="s">
        <v>48283</v>
      </c>
      <c r="U11956" t="s">
        <v>58376</v>
      </c>
      <c r="W11956" t="s">
        <v>46027</v>
      </c>
      <c r="X11956" t="s">
        <v>46580</v>
      </c>
    </row>
    <row r="11957" spans="1:24">
      <c r="A11957">
        <f>HYPERLINK("https://www.philgeps.gov.ph/GEPSNONPILOT/Tender/SplashBidNoticeAbstractUI.aspx?menuIndex=3&amp;refID=7049384&amp;Result=3","7049384")</f>
        <v>0</v>
      </c>
      <c r="B11957" t="s">
        <v>3072</v>
      </c>
      <c r="C11957" t="s">
        <v>14866</v>
      </c>
      <c r="D11957" t="s">
        <v>18784</v>
      </c>
      <c r="E11957" t="s">
        <v>22598</v>
      </c>
      <c r="F11957" t="s">
        <v>32664</v>
      </c>
      <c r="G11957" t="s">
        <v>32672</v>
      </c>
      <c r="H11957" t="s">
        <v>12635</v>
      </c>
      <c r="I11957" t="s">
        <v>9597</v>
      </c>
      <c r="J11957" t="s">
        <v>32943</v>
      </c>
      <c r="K11957" t="s">
        <v>42295</v>
      </c>
      <c r="M11957" t="s">
        <v>45952</v>
      </c>
      <c r="N11957" t="s">
        <v>46569</v>
      </c>
      <c r="O11957" t="s">
        <v>46570</v>
      </c>
      <c r="P11957">
        <v>0</v>
      </c>
      <c r="Q11957">
        <v>10</v>
      </c>
      <c r="R11957" t="s">
        <v>46579</v>
      </c>
      <c r="S11957" t="s">
        <v>46919</v>
      </c>
      <c r="T11957" t="s">
        <v>48290</v>
      </c>
      <c r="U11957" t="s">
        <v>58377</v>
      </c>
      <c r="W11957" t="s">
        <v>45952</v>
      </c>
      <c r="X11957" t="s">
        <v>46580</v>
      </c>
    </row>
    <row r="11958" spans="1:24">
      <c r="A11958">
        <f>HYPERLINK("https://www.philgeps.gov.ph/GEPSNONPILOT/Tender/SplashBidNoticeAbstractUI.aspx?menuIndex=3&amp;refID=7048693&amp;Result=3","7048693")</f>
        <v>0</v>
      </c>
      <c r="B11958" t="s">
        <v>139</v>
      </c>
      <c r="C11958" t="s">
        <v>14867</v>
      </c>
      <c r="D11958" t="s">
        <v>18809</v>
      </c>
      <c r="E11958" t="s">
        <v>29172</v>
      </c>
      <c r="F11958" t="s">
        <v>32664</v>
      </c>
      <c r="G11958" t="s">
        <v>32674</v>
      </c>
      <c r="H11958" t="s">
        <v>12635</v>
      </c>
      <c r="I11958" t="s">
        <v>4439</v>
      </c>
      <c r="J11958" t="s">
        <v>39871</v>
      </c>
      <c r="K11958" t="s">
        <v>42289</v>
      </c>
      <c r="M11958" t="s">
        <v>42703</v>
      </c>
      <c r="N11958" t="s">
        <v>46569</v>
      </c>
      <c r="O11958" t="s">
        <v>46570</v>
      </c>
      <c r="P11958">
        <v>0</v>
      </c>
      <c r="Q11958">
        <v>1</v>
      </c>
      <c r="R11958" t="s">
        <v>46579</v>
      </c>
      <c r="S11958" t="s">
        <v>46919</v>
      </c>
      <c r="T11958" t="s">
        <v>48376</v>
      </c>
      <c r="U11958" t="s">
        <v>58378</v>
      </c>
      <c r="W11958" t="s">
        <v>42703</v>
      </c>
      <c r="X11958" t="s">
        <v>46580</v>
      </c>
    </row>
    <row r="11959" spans="1:24">
      <c r="A11959">
        <f>HYPERLINK("https://www.philgeps.gov.ph/GEPSNONPILOT/Tender/SplashBidNoticeAbstractUI.aspx?menuIndex=3&amp;refID=7044353&amp;Result=3","7044353")</f>
        <v>0</v>
      </c>
      <c r="B11959" t="s">
        <v>2559</v>
      </c>
      <c r="C11959" t="s">
        <v>14868</v>
      </c>
      <c r="D11959" t="s">
        <v>18859</v>
      </c>
      <c r="E11959" t="s">
        <v>29173</v>
      </c>
      <c r="F11959" t="s">
        <v>32664</v>
      </c>
      <c r="G11959" t="s">
        <v>32672</v>
      </c>
      <c r="H11959" t="s">
        <v>32683</v>
      </c>
      <c r="I11959" t="s">
        <v>10627</v>
      </c>
      <c r="J11959" t="s">
        <v>36786</v>
      </c>
      <c r="K11959" t="s">
        <v>42298</v>
      </c>
      <c r="M11959" t="s">
        <v>45370</v>
      </c>
      <c r="N11959" t="s">
        <v>46569</v>
      </c>
      <c r="O11959" t="s">
        <v>46570</v>
      </c>
      <c r="P11959">
        <v>0</v>
      </c>
      <c r="Q11959">
        <v>1</v>
      </c>
      <c r="R11959" t="s">
        <v>46580</v>
      </c>
      <c r="S11959" t="s">
        <v>46986</v>
      </c>
      <c r="T11959" t="s">
        <v>48322</v>
      </c>
      <c r="U11959" t="s">
        <v>58379</v>
      </c>
      <c r="V11959" t="s">
        <v>62840</v>
      </c>
      <c r="W11959" t="s">
        <v>45370</v>
      </c>
      <c r="X11959" t="s">
        <v>46581</v>
      </c>
    </row>
    <row r="11960" spans="1:24">
      <c r="A11960">
        <f>HYPERLINK("https://www.philgeps.gov.ph/GEPSNONPILOT/Tender/SplashBidNoticeAbstractUI.aspx?menuIndex=3&amp;refID=7045780&amp;Result=3","7045780")</f>
        <v>0</v>
      </c>
      <c r="B11960" t="s">
        <v>3135</v>
      </c>
      <c r="C11960" t="s">
        <v>14869</v>
      </c>
      <c r="D11960" t="s">
        <v>18784</v>
      </c>
      <c r="E11960" t="s">
        <v>29174</v>
      </c>
      <c r="F11960" t="s">
        <v>32664</v>
      </c>
      <c r="G11960" t="s">
        <v>32672</v>
      </c>
      <c r="H11960" t="s">
        <v>12635</v>
      </c>
      <c r="I11960" t="s">
        <v>10370</v>
      </c>
      <c r="J11960" t="s">
        <v>39872</v>
      </c>
      <c r="K11960" t="s">
        <v>42302</v>
      </c>
      <c r="M11960" t="s">
        <v>46028</v>
      </c>
      <c r="N11960" t="s">
        <v>46569</v>
      </c>
      <c r="O11960" t="s">
        <v>46570</v>
      </c>
      <c r="P11960">
        <v>0</v>
      </c>
      <c r="Q11960">
        <v>12</v>
      </c>
      <c r="R11960" t="s">
        <v>46580</v>
      </c>
      <c r="S11960" t="s">
        <v>46986</v>
      </c>
      <c r="T11960" t="s">
        <v>48328</v>
      </c>
      <c r="U11960" t="s">
        <v>58380</v>
      </c>
      <c r="W11960" t="s">
        <v>46028</v>
      </c>
      <c r="X11960" t="s">
        <v>46581</v>
      </c>
    </row>
    <row r="11961" spans="1:24">
      <c r="A11961">
        <f>HYPERLINK("https://www.philgeps.gov.ph/GEPSNONPILOT/Tender/SplashBidNoticeAbstractUI.aspx?menuIndex=3&amp;refID=7045767&amp;Result=3","7045767")</f>
        <v>0</v>
      </c>
      <c r="B11961" t="s">
        <v>2150</v>
      </c>
      <c r="C11961" t="s">
        <v>14870</v>
      </c>
      <c r="D11961" t="s">
        <v>18851</v>
      </c>
      <c r="E11961" t="s">
        <v>29175</v>
      </c>
      <c r="F11961" t="s">
        <v>32664</v>
      </c>
      <c r="G11961" t="s">
        <v>32672</v>
      </c>
      <c r="H11961" t="s">
        <v>12635</v>
      </c>
      <c r="I11961" t="s">
        <v>6223</v>
      </c>
      <c r="J11961" t="s">
        <v>39873</v>
      </c>
      <c r="K11961" t="s">
        <v>42281</v>
      </c>
      <c r="M11961" t="s">
        <v>44906</v>
      </c>
      <c r="N11961" t="s">
        <v>46569</v>
      </c>
      <c r="O11961" t="s">
        <v>46570</v>
      </c>
      <c r="P11961">
        <v>0</v>
      </c>
      <c r="Q11961">
        <v>2</v>
      </c>
      <c r="R11961" t="s">
        <v>46580</v>
      </c>
      <c r="S11961" t="s">
        <v>46986</v>
      </c>
      <c r="T11961" t="s">
        <v>48212</v>
      </c>
      <c r="U11961" t="s">
        <v>58381</v>
      </c>
      <c r="W11961" t="s">
        <v>44906</v>
      </c>
      <c r="X11961" t="s">
        <v>46581</v>
      </c>
    </row>
    <row r="11962" spans="1:24">
      <c r="A11962">
        <f>HYPERLINK("https://www.philgeps.gov.ph/GEPSNONPILOT/Tender/SplashBidNoticeAbstractUI.aspx?menuIndex=3&amp;refID=7049785&amp;Result=3","7049785")</f>
        <v>0</v>
      </c>
      <c r="B11962" t="s">
        <v>1083</v>
      </c>
      <c r="C11962" t="s">
        <v>14871</v>
      </c>
      <c r="D11962" t="s">
        <v>18784</v>
      </c>
      <c r="E11962" t="s">
        <v>29176</v>
      </c>
      <c r="F11962" t="s">
        <v>32664</v>
      </c>
      <c r="G11962" t="s">
        <v>32672</v>
      </c>
      <c r="H11962" t="s">
        <v>32683</v>
      </c>
      <c r="I11962" t="s">
        <v>10627</v>
      </c>
      <c r="J11962" t="s">
        <v>39874</v>
      </c>
      <c r="K11962" t="s">
        <v>42308</v>
      </c>
      <c r="M11962" t="s">
        <v>43707</v>
      </c>
      <c r="N11962" t="s">
        <v>46569</v>
      </c>
      <c r="O11962" t="s">
        <v>46570</v>
      </c>
      <c r="P11962">
        <v>0</v>
      </c>
      <c r="Q11962">
        <v>24</v>
      </c>
      <c r="R11962" t="s">
        <v>46579</v>
      </c>
      <c r="S11962" t="s">
        <v>46919</v>
      </c>
      <c r="T11962" t="s">
        <v>48238</v>
      </c>
      <c r="U11962" t="s">
        <v>58382</v>
      </c>
      <c r="W11962" t="s">
        <v>43707</v>
      </c>
      <c r="X11962" t="s">
        <v>46580</v>
      </c>
    </row>
    <row r="11963" spans="1:24">
      <c r="A11963">
        <f>HYPERLINK("https://www.philgeps.gov.ph/GEPSNONPILOT/Tender/SplashBidNoticeAbstractUI.aspx?menuIndex=3&amp;refID=7045760&amp;Result=3","7045760")</f>
        <v>0</v>
      </c>
      <c r="B11963" t="s">
        <v>3136</v>
      </c>
      <c r="C11963" t="s">
        <v>14872</v>
      </c>
      <c r="D11963" t="s">
        <v>18831</v>
      </c>
      <c r="E11963" t="s">
        <v>18926</v>
      </c>
      <c r="F11963" t="s">
        <v>32664</v>
      </c>
      <c r="G11963" t="s">
        <v>32674</v>
      </c>
      <c r="H11963" t="s">
        <v>12635</v>
      </c>
      <c r="I11963" t="s">
        <v>4439</v>
      </c>
      <c r="J11963" t="s">
        <v>33466</v>
      </c>
      <c r="K11963" t="s">
        <v>42303</v>
      </c>
      <c r="M11963" t="s">
        <v>46029</v>
      </c>
      <c r="N11963" t="s">
        <v>46569</v>
      </c>
      <c r="O11963" t="s">
        <v>46570</v>
      </c>
      <c r="P11963">
        <v>0</v>
      </c>
      <c r="Q11963">
        <v>0</v>
      </c>
      <c r="R11963" t="s">
        <v>46580</v>
      </c>
      <c r="S11963" t="s">
        <v>46986</v>
      </c>
      <c r="T11963" t="s">
        <v>48293</v>
      </c>
      <c r="U11963" t="s">
        <v>58383</v>
      </c>
      <c r="W11963" t="s">
        <v>46029</v>
      </c>
      <c r="X11963" t="s">
        <v>46581</v>
      </c>
    </row>
    <row r="11964" spans="1:24">
      <c r="A11964">
        <f>HYPERLINK("https://www.philgeps.gov.ph/GEPSNONPILOT/Tender/SplashBidNoticeAbstractUI.aspx?menuIndex=3&amp;refID=7045736&amp;Result=3","7045736")</f>
        <v>0</v>
      </c>
      <c r="B11964" t="s">
        <v>2523</v>
      </c>
      <c r="C11964" t="s">
        <v>14873</v>
      </c>
      <c r="D11964" t="s">
        <v>18789</v>
      </c>
      <c r="E11964" t="s">
        <v>29177</v>
      </c>
      <c r="F11964" t="s">
        <v>32664</v>
      </c>
      <c r="G11964" t="s">
        <v>32672</v>
      </c>
      <c r="H11964" t="s">
        <v>12635</v>
      </c>
      <c r="I11964" t="s">
        <v>32712</v>
      </c>
      <c r="J11964" t="s">
        <v>34240</v>
      </c>
      <c r="K11964" t="s">
        <v>42281</v>
      </c>
      <c r="M11964" t="s">
        <v>45899</v>
      </c>
      <c r="N11964" t="s">
        <v>46569</v>
      </c>
      <c r="O11964" t="s">
        <v>46570</v>
      </c>
      <c r="P11964">
        <v>0</v>
      </c>
      <c r="Q11964">
        <v>9</v>
      </c>
      <c r="R11964" t="s">
        <v>46580</v>
      </c>
      <c r="S11964" t="s">
        <v>46986</v>
      </c>
      <c r="T11964" t="s">
        <v>48283</v>
      </c>
      <c r="U11964" t="s">
        <v>57809</v>
      </c>
      <c r="W11964" t="s">
        <v>45899</v>
      </c>
      <c r="X11964" t="s">
        <v>46581</v>
      </c>
    </row>
    <row r="11965" spans="1:24">
      <c r="A11965">
        <f>HYPERLINK("https://www.philgeps.gov.ph/GEPSNONPILOT/Tender/SplashBidNoticeAbstractUI.aspx?menuIndex=3&amp;refID=7045681&amp;Result=3","7045681")</f>
        <v>0</v>
      </c>
      <c r="B11965" t="s">
        <v>2523</v>
      </c>
      <c r="C11965" t="s">
        <v>14874</v>
      </c>
      <c r="D11965" t="s">
        <v>18789</v>
      </c>
      <c r="E11965" t="s">
        <v>29178</v>
      </c>
      <c r="F11965" t="s">
        <v>32664</v>
      </c>
      <c r="G11965" t="s">
        <v>32672</v>
      </c>
      <c r="H11965" t="s">
        <v>12635</v>
      </c>
      <c r="I11965" t="s">
        <v>8797</v>
      </c>
      <c r="J11965" t="s">
        <v>39875</v>
      </c>
      <c r="K11965" t="s">
        <v>42281</v>
      </c>
      <c r="M11965" t="s">
        <v>45899</v>
      </c>
      <c r="N11965" t="s">
        <v>46569</v>
      </c>
      <c r="O11965" t="s">
        <v>46570</v>
      </c>
      <c r="P11965">
        <v>0</v>
      </c>
      <c r="Q11965">
        <v>12</v>
      </c>
      <c r="R11965" t="s">
        <v>46580</v>
      </c>
      <c r="S11965" t="s">
        <v>46986</v>
      </c>
      <c r="T11965" t="s">
        <v>48283</v>
      </c>
      <c r="U11965" t="s">
        <v>57809</v>
      </c>
      <c r="W11965" t="s">
        <v>45899</v>
      </c>
      <c r="X11965" t="s">
        <v>46581</v>
      </c>
    </row>
    <row r="11966" spans="1:24">
      <c r="A11966">
        <f>HYPERLINK("https://www.philgeps.gov.ph/GEPSNONPILOT/Tender/SplashBidNoticeAbstractUI.aspx?menuIndex=3&amp;refID=7036632&amp;Result=3","7036632")</f>
        <v>0</v>
      </c>
      <c r="B11966" t="s">
        <v>758</v>
      </c>
      <c r="C11966" t="s">
        <v>14875</v>
      </c>
      <c r="D11966" t="s">
        <v>18838</v>
      </c>
      <c r="E11966" t="s">
        <v>29179</v>
      </c>
      <c r="F11966" t="s">
        <v>32664</v>
      </c>
      <c r="G11966" t="s">
        <v>32672</v>
      </c>
      <c r="H11966" t="s">
        <v>12635</v>
      </c>
      <c r="I11966" t="s">
        <v>32721</v>
      </c>
      <c r="J11966" t="s">
        <v>39876</v>
      </c>
      <c r="K11966" t="s">
        <v>42281</v>
      </c>
      <c r="M11966" t="s">
        <v>43348</v>
      </c>
      <c r="N11966" t="s">
        <v>46569</v>
      </c>
      <c r="O11966" t="s">
        <v>46570</v>
      </c>
      <c r="P11966">
        <v>0</v>
      </c>
      <c r="Q11966">
        <v>11</v>
      </c>
      <c r="R11966" t="s">
        <v>46580</v>
      </c>
      <c r="S11966" t="s">
        <v>46986</v>
      </c>
      <c r="T11966" t="s">
        <v>48284</v>
      </c>
      <c r="U11966" t="s">
        <v>58384</v>
      </c>
      <c r="V11966" t="s">
        <v>61806</v>
      </c>
      <c r="W11966" t="s">
        <v>43348</v>
      </c>
      <c r="X11966" t="s">
        <v>46587</v>
      </c>
    </row>
    <row r="11967" spans="1:24">
      <c r="A11967">
        <f>HYPERLINK("https://www.philgeps.gov.ph/GEPSNONPILOT/Tender/SplashBidNoticeAbstractUI.aspx?menuIndex=3&amp;refID=7045770&amp;Result=3","7045770")</f>
        <v>0</v>
      </c>
      <c r="B11967" t="s">
        <v>2523</v>
      </c>
      <c r="C11967" t="s">
        <v>14876</v>
      </c>
      <c r="D11967" t="s">
        <v>18789</v>
      </c>
      <c r="E11967" t="s">
        <v>29180</v>
      </c>
      <c r="F11967" t="s">
        <v>32664</v>
      </c>
      <c r="G11967" t="s">
        <v>32672</v>
      </c>
      <c r="H11967" t="s">
        <v>12635</v>
      </c>
      <c r="I11967" t="s">
        <v>7324</v>
      </c>
      <c r="J11967" t="s">
        <v>39877</v>
      </c>
      <c r="K11967" t="s">
        <v>42281</v>
      </c>
      <c r="M11967" t="s">
        <v>45899</v>
      </c>
      <c r="N11967" t="s">
        <v>46569</v>
      </c>
      <c r="O11967" t="s">
        <v>46570</v>
      </c>
      <c r="P11967">
        <v>0</v>
      </c>
      <c r="Q11967">
        <v>8</v>
      </c>
      <c r="R11967" t="s">
        <v>46580</v>
      </c>
      <c r="S11967" t="s">
        <v>46986</v>
      </c>
      <c r="T11967" t="s">
        <v>48283</v>
      </c>
      <c r="U11967" t="s">
        <v>57809</v>
      </c>
      <c r="W11967" t="s">
        <v>45899</v>
      </c>
      <c r="X11967" t="s">
        <v>46581</v>
      </c>
    </row>
    <row r="11968" spans="1:24">
      <c r="A11968">
        <f>HYPERLINK("https://www.philgeps.gov.ph/GEPSNONPILOT/Tender/SplashBidNoticeAbstractUI.aspx?menuIndex=3&amp;refID=7048684&amp;Result=3","7048684")</f>
        <v>0</v>
      </c>
      <c r="B11968" t="s">
        <v>295</v>
      </c>
      <c r="C11968" t="s">
        <v>14877</v>
      </c>
      <c r="D11968" t="s">
        <v>18848</v>
      </c>
      <c r="E11968" t="s">
        <v>29181</v>
      </c>
      <c r="F11968" t="s">
        <v>32664</v>
      </c>
      <c r="G11968" t="s">
        <v>32672</v>
      </c>
      <c r="H11968" t="s">
        <v>12635</v>
      </c>
      <c r="I11968" t="s">
        <v>6168</v>
      </c>
      <c r="J11968" t="s">
        <v>39878</v>
      </c>
      <c r="K11968" t="s">
        <v>42297</v>
      </c>
      <c r="M11968" t="s">
        <v>42862</v>
      </c>
      <c r="N11968" t="s">
        <v>46569</v>
      </c>
      <c r="O11968" t="s">
        <v>46570</v>
      </c>
      <c r="P11968">
        <v>0</v>
      </c>
      <c r="Q11968">
        <v>0</v>
      </c>
      <c r="R11968" t="s">
        <v>46579</v>
      </c>
      <c r="S11968" t="s">
        <v>46919</v>
      </c>
      <c r="T11968" t="s">
        <v>48298</v>
      </c>
      <c r="U11968" t="s">
        <v>58385</v>
      </c>
      <c r="W11968" t="s">
        <v>42862</v>
      </c>
      <c r="X11968" t="s">
        <v>46580</v>
      </c>
    </row>
    <row r="11969" spans="1:24">
      <c r="A11969">
        <f>HYPERLINK("https://www.philgeps.gov.ph/GEPSNONPILOT/Tender/SplashBidNoticeAbstractUI.aspx?menuIndex=3&amp;refID=7045669&amp;Result=3","7045669")</f>
        <v>0</v>
      </c>
      <c r="B11969" t="s">
        <v>461</v>
      </c>
      <c r="C11969" t="s">
        <v>14878</v>
      </c>
      <c r="D11969" t="s">
        <v>18846</v>
      </c>
      <c r="E11969" t="s">
        <v>29182</v>
      </c>
      <c r="F11969" t="s">
        <v>32664</v>
      </c>
      <c r="G11969" t="s">
        <v>32672</v>
      </c>
      <c r="H11969" t="s">
        <v>12635</v>
      </c>
      <c r="I11969" t="s">
        <v>32712</v>
      </c>
      <c r="J11969" t="s">
        <v>35589</v>
      </c>
      <c r="K11969" t="s">
        <v>42298</v>
      </c>
      <c r="M11969" t="s">
        <v>46030</v>
      </c>
      <c r="N11969" t="s">
        <v>46569</v>
      </c>
      <c r="O11969" t="s">
        <v>46570</v>
      </c>
      <c r="P11969">
        <v>0</v>
      </c>
      <c r="Q11969">
        <v>7</v>
      </c>
      <c r="R11969" t="s">
        <v>46580</v>
      </c>
      <c r="S11969" t="s">
        <v>46986</v>
      </c>
      <c r="T11969" t="s">
        <v>48452</v>
      </c>
      <c r="U11969" t="s">
        <v>58386</v>
      </c>
      <c r="W11969" t="s">
        <v>46030</v>
      </c>
      <c r="X11969" t="s">
        <v>46581</v>
      </c>
    </row>
    <row r="11970" spans="1:24">
      <c r="A11970">
        <f>HYPERLINK("https://www.philgeps.gov.ph/GEPSNONPILOT/Tender/SplashBidNoticeAbstractUI.aspx?menuIndex=3&amp;refID=7045660&amp;Result=3","7045660")</f>
        <v>0</v>
      </c>
      <c r="B11970" t="s">
        <v>3128</v>
      </c>
      <c r="C11970" t="s">
        <v>14879</v>
      </c>
      <c r="D11970" t="s">
        <v>18810</v>
      </c>
      <c r="E11970" t="s">
        <v>29183</v>
      </c>
      <c r="F11970" t="s">
        <v>32664</v>
      </c>
      <c r="G11970" t="s">
        <v>32672</v>
      </c>
      <c r="H11970" t="s">
        <v>32683</v>
      </c>
      <c r="I11970" t="s">
        <v>10627</v>
      </c>
      <c r="J11970" t="s">
        <v>39879</v>
      </c>
      <c r="K11970" t="s">
        <v>42298</v>
      </c>
      <c r="M11970" t="s">
        <v>46021</v>
      </c>
      <c r="N11970" t="s">
        <v>46569</v>
      </c>
      <c r="O11970" t="s">
        <v>46570</v>
      </c>
      <c r="P11970">
        <v>0</v>
      </c>
      <c r="Q11970">
        <v>0</v>
      </c>
      <c r="R11970" t="s">
        <v>46580</v>
      </c>
      <c r="S11970" t="s">
        <v>46986</v>
      </c>
      <c r="T11970" t="s">
        <v>48467</v>
      </c>
      <c r="U11970" t="s">
        <v>58387</v>
      </c>
      <c r="W11970" t="s">
        <v>46021</v>
      </c>
      <c r="X11970" t="s">
        <v>46581</v>
      </c>
    </row>
    <row r="11971" spans="1:24">
      <c r="A11971">
        <f>HYPERLINK("https://www.philgeps.gov.ph/GEPSNONPILOT/Tender/SplashBidNoticeAbstractUI.aspx?menuIndex=3&amp;refID=7045674&amp;Result=3","7045674")</f>
        <v>0</v>
      </c>
      <c r="B11971" t="s">
        <v>1108</v>
      </c>
      <c r="C11971" t="s">
        <v>14880</v>
      </c>
      <c r="D11971" t="s">
        <v>18796</v>
      </c>
      <c r="E11971" t="s">
        <v>29184</v>
      </c>
      <c r="F11971" t="s">
        <v>32664</v>
      </c>
      <c r="G11971" t="s">
        <v>32672</v>
      </c>
      <c r="H11971" t="s">
        <v>32683</v>
      </c>
      <c r="I11971" t="s">
        <v>10627</v>
      </c>
      <c r="J11971" t="s">
        <v>34213</v>
      </c>
      <c r="K11971" t="s">
        <v>42345</v>
      </c>
      <c r="M11971" t="s">
        <v>43735</v>
      </c>
      <c r="N11971" t="s">
        <v>46569</v>
      </c>
      <c r="O11971" t="s">
        <v>46570</v>
      </c>
      <c r="P11971">
        <v>0</v>
      </c>
      <c r="Q11971">
        <v>1</v>
      </c>
      <c r="R11971" t="s">
        <v>46580</v>
      </c>
      <c r="S11971" t="s">
        <v>46986</v>
      </c>
      <c r="T11971" t="s">
        <v>48284</v>
      </c>
      <c r="U11971" t="s">
        <v>51113</v>
      </c>
      <c r="V11971" t="s">
        <v>62926</v>
      </c>
      <c r="W11971" t="s">
        <v>43735</v>
      </c>
      <c r="X11971" t="s">
        <v>46581</v>
      </c>
    </row>
    <row r="11972" spans="1:24">
      <c r="A11972">
        <f>HYPERLINK("https://www.philgeps.gov.ph/GEPSNONPILOT/Tender/SplashBidNoticeAbstractUI.aspx?menuIndex=3&amp;refID=7045610&amp;Result=3","7045610")</f>
        <v>0</v>
      </c>
      <c r="B11972" t="s">
        <v>940</v>
      </c>
      <c r="C11972" t="s">
        <v>14881</v>
      </c>
      <c r="D11972" t="s">
        <v>18784</v>
      </c>
      <c r="E11972" t="s">
        <v>29185</v>
      </c>
      <c r="F11972" t="s">
        <v>32664</v>
      </c>
      <c r="G11972" t="s">
        <v>32672</v>
      </c>
      <c r="H11972" t="s">
        <v>12635</v>
      </c>
      <c r="I11972" t="s">
        <v>32745</v>
      </c>
      <c r="J11972" t="s">
        <v>34481</v>
      </c>
      <c r="K11972" t="s">
        <v>42283</v>
      </c>
      <c r="M11972" t="s">
        <v>45850</v>
      </c>
      <c r="N11972" t="s">
        <v>46569</v>
      </c>
      <c r="O11972" t="s">
        <v>46570</v>
      </c>
      <c r="Q11972">
        <v>11</v>
      </c>
      <c r="R11972" t="s">
        <v>46580</v>
      </c>
      <c r="S11972" t="s">
        <v>46999</v>
      </c>
      <c r="T11972" t="s">
        <v>48468</v>
      </c>
      <c r="U11972" t="s">
        <v>58388</v>
      </c>
      <c r="W11972" t="s">
        <v>45850</v>
      </c>
      <c r="X11972" t="s">
        <v>46581</v>
      </c>
    </row>
    <row r="11973" spans="1:24">
      <c r="A11973">
        <f>HYPERLINK("https://www.philgeps.gov.ph/GEPSNONPILOT/Tender/SplashBidNoticeAbstractUI.aspx?menuIndex=3&amp;refID=7045657&amp;Result=3","7045657")</f>
        <v>0</v>
      </c>
      <c r="B11973" t="s">
        <v>44</v>
      </c>
      <c r="C11973" t="s">
        <v>14882</v>
      </c>
      <c r="D11973" t="s">
        <v>18795</v>
      </c>
      <c r="E11973" t="s">
        <v>29186</v>
      </c>
      <c r="F11973" t="s">
        <v>32664</v>
      </c>
      <c r="G11973" t="s">
        <v>32672</v>
      </c>
      <c r="H11973" t="s">
        <v>12635</v>
      </c>
      <c r="I11973" t="s">
        <v>32736</v>
      </c>
      <c r="J11973" t="s">
        <v>39880</v>
      </c>
      <c r="K11973" t="s">
        <v>42321</v>
      </c>
      <c r="M11973" t="s">
        <v>42606</v>
      </c>
      <c r="N11973" t="s">
        <v>46569</v>
      </c>
      <c r="O11973" t="s">
        <v>46570</v>
      </c>
      <c r="Q11973">
        <v>2</v>
      </c>
      <c r="R11973" t="s">
        <v>46580</v>
      </c>
      <c r="S11973" t="s">
        <v>47000</v>
      </c>
      <c r="T11973" t="s">
        <v>48303</v>
      </c>
      <c r="U11973" t="s">
        <v>58389</v>
      </c>
      <c r="W11973" t="s">
        <v>42606</v>
      </c>
      <c r="X11973" t="s">
        <v>46581</v>
      </c>
    </row>
    <row r="11974" spans="1:24">
      <c r="A11974">
        <f>HYPERLINK("https://www.philgeps.gov.ph/GEPSNONPILOT/Tender/SplashBidNoticeAbstractUI.aspx?menuIndex=3&amp;refID=7045595&amp;Result=3","7045595")</f>
        <v>0</v>
      </c>
      <c r="B11974" t="s">
        <v>1108</v>
      </c>
      <c r="C11974" t="s">
        <v>14883</v>
      </c>
      <c r="D11974" t="s">
        <v>18796</v>
      </c>
      <c r="E11974" t="s">
        <v>29187</v>
      </c>
      <c r="F11974" t="s">
        <v>32664</v>
      </c>
      <c r="G11974" t="s">
        <v>32672</v>
      </c>
      <c r="H11974" t="s">
        <v>32683</v>
      </c>
      <c r="I11974" t="s">
        <v>10627</v>
      </c>
      <c r="J11974" t="s">
        <v>34213</v>
      </c>
      <c r="K11974" t="s">
        <v>42345</v>
      </c>
      <c r="M11974" t="s">
        <v>43735</v>
      </c>
      <c r="N11974" t="s">
        <v>46569</v>
      </c>
      <c r="O11974" t="s">
        <v>46570</v>
      </c>
      <c r="P11974">
        <v>0</v>
      </c>
      <c r="Q11974">
        <v>2</v>
      </c>
      <c r="R11974" t="s">
        <v>46580</v>
      </c>
      <c r="S11974" t="s">
        <v>46986</v>
      </c>
      <c r="T11974" t="s">
        <v>48284</v>
      </c>
      <c r="U11974" t="s">
        <v>51113</v>
      </c>
      <c r="V11974" t="s">
        <v>62927</v>
      </c>
      <c r="W11974" t="s">
        <v>43735</v>
      </c>
      <c r="X11974" t="s">
        <v>46581</v>
      </c>
    </row>
    <row r="11975" spans="1:24">
      <c r="A11975">
        <f>HYPERLINK("https://www.philgeps.gov.ph/GEPSNONPILOT/Tender/SplashBidNoticeAbstractUI.aspx?menuIndex=3&amp;refID=7045776&amp;Result=3","7045776")</f>
        <v>0</v>
      </c>
      <c r="B11975" t="s">
        <v>3137</v>
      </c>
      <c r="C11975" t="s">
        <v>14884</v>
      </c>
      <c r="D11975" t="s">
        <v>18824</v>
      </c>
      <c r="E11975" t="s">
        <v>29188</v>
      </c>
      <c r="F11975" t="s">
        <v>32664</v>
      </c>
      <c r="G11975" t="s">
        <v>32672</v>
      </c>
      <c r="H11975" t="s">
        <v>12635</v>
      </c>
      <c r="I11975" t="s">
        <v>32704</v>
      </c>
      <c r="J11975" t="s">
        <v>39881</v>
      </c>
      <c r="K11975" t="s">
        <v>42311</v>
      </c>
      <c r="M11975" t="s">
        <v>46031</v>
      </c>
      <c r="N11975" t="s">
        <v>46569</v>
      </c>
      <c r="O11975" t="s">
        <v>46570</v>
      </c>
      <c r="P11975">
        <v>0</v>
      </c>
      <c r="Q11975">
        <v>13</v>
      </c>
      <c r="R11975" t="s">
        <v>46580</v>
      </c>
      <c r="S11975" t="s">
        <v>46986</v>
      </c>
      <c r="T11975" t="s">
        <v>48552</v>
      </c>
      <c r="U11975" t="s">
        <v>58390</v>
      </c>
      <c r="V11975" t="s">
        <v>62928</v>
      </c>
      <c r="W11975" t="s">
        <v>46031</v>
      </c>
      <c r="X11975" t="s">
        <v>46581</v>
      </c>
    </row>
    <row r="11976" spans="1:24">
      <c r="A11976">
        <f>HYPERLINK("https://www.philgeps.gov.ph/GEPSNONPILOT/Tender/SplashBidNoticeAbstractUI.aspx?menuIndex=3&amp;refID=7045571&amp;Result=3","7045571")</f>
        <v>0</v>
      </c>
      <c r="B11976" t="s">
        <v>3128</v>
      </c>
      <c r="C11976" t="s">
        <v>14885</v>
      </c>
      <c r="D11976" t="s">
        <v>18810</v>
      </c>
      <c r="E11976" t="s">
        <v>29189</v>
      </c>
      <c r="F11976" t="s">
        <v>32664</v>
      </c>
      <c r="G11976" t="s">
        <v>32672</v>
      </c>
      <c r="H11976" t="s">
        <v>32683</v>
      </c>
      <c r="I11976" t="s">
        <v>10627</v>
      </c>
      <c r="J11976" t="s">
        <v>39882</v>
      </c>
      <c r="K11976" t="s">
        <v>42298</v>
      </c>
      <c r="M11976" t="s">
        <v>46021</v>
      </c>
      <c r="N11976" t="s">
        <v>46569</v>
      </c>
      <c r="O11976" t="s">
        <v>46570</v>
      </c>
      <c r="P11976">
        <v>0</v>
      </c>
      <c r="Q11976">
        <v>0</v>
      </c>
      <c r="R11976" t="s">
        <v>46580</v>
      </c>
      <c r="S11976" t="s">
        <v>46986</v>
      </c>
      <c r="T11976" t="s">
        <v>48467</v>
      </c>
      <c r="U11976" t="s">
        <v>58391</v>
      </c>
      <c r="W11976" t="s">
        <v>46021</v>
      </c>
      <c r="X11976" t="s">
        <v>46581</v>
      </c>
    </row>
    <row r="11977" spans="1:24">
      <c r="A11977">
        <f>HYPERLINK("https://www.philgeps.gov.ph/GEPSNONPILOT/Tender/SplashBidNoticeAbstractUI.aspx?menuIndex=3&amp;refID=7048333&amp;Result=3","7048333")</f>
        <v>0</v>
      </c>
      <c r="B11977" t="s">
        <v>1017</v>
      </c>
      <c r="C11977" t="s">
        <v>14886</v>
      </c>
      <c r="D11977" t="s">
        <v>18781</v>
      </c>
      <c r="E11977" t="s">
        <v>29190</v>
      </c>
      <c r="F11977" t="s">
        <v>32664</v>
      </c>
      <c r="G11977" t="s">
        <v>32672</v>
      </c>
      <c r="H11977" t="s">
        <v>12635</v>
      </c>
      <c r="I11977" t="s">
        <v>32687</v>
      </c>
      <c r="J11977" t="s">
        <v>39883</v>
      </c>
      <c r="K11977" t="s">
        <v>42281</v>
      </c>
      <c r="M11977" t="s">
        <v>43629</v>
      </c>
      <c r="N11977" t="s">
        <v>46569</v>
      </c>
      <c r="O11977" t="s">
        <v>46570</v>
      </c>
      <c r="P11977">
        <v>0</v>
      </c>
      <c r="Q11977">
        <v>3</v>
      </c>
      <c r="R11977" t="s">
        <v>46579</v>
      </c>
      <c r="S11977" t="s">
        <v>46919</v>
      </c>
      <c r="T11977" t="s">
        <v>48238</v>
      </c>
      <c r="U11977" t="s">
        <v>58392</v>
      </c>
      <c r="V11977" t="s">
        <v>61872</v>
      </c>
      <c r="W11977" t="s">
        <v>43629</v>
      </c>
      <c r="X11977" t="s">
        <v>46580</v>
      </c>
    </row>
    <row r="11978" spans="1:24">
      <c r="A11978">
        <f>HYPERLINK("https://www.philgeps.gov.ph/GEPSNONPILOT/Tender/SplashBidNoticeAbstractUI.aspx?menuIndex=3&amp;refID=7048332&amp;Result=3","7048332")</f>
        <v>0</v>
      </c>
      <c r="B11978" t="s">
        <v>2088</v>
      </c>
      <c r="C11978" t="s">
        <v>14887</v>
      </c>
      <c r="D11978" t="s">
        <v>18792</v>
      </c>
      <c r="E11978" t="s">
        <v>29191</v>
      </c>
      <c r="F11978" t="s">
        <v>32664</v>
      </c>
      <c r="G11978" t="s">
        <v>32672</v>
      </c>
      <c r="H11978" t="s">
        <v>32683</v>
      </c>
      <c r="I11978" t="s">
        <v>10627</v>
      </c>
      <c r="J11978" t="s">
        <v>37270</v>
      </c>
      <c r="K11978" t="s">
        <v>42468</v>
      </c>
      <c r="M11978" t="s">
        <v>44842</v>
      </c>
      <c r="N11978" t="s">
        <v>46569</v>
      </c>
      <c r="O11978" t="s">
        <v>46570</v>
      </c>
      <c r="P11978">
        <v>0</v>
      </c>
      <c r="Q11978">
        <v>0</v>
      </c>
      <c r="R11978" t="s">
        <v>46579</v>
      </c>
      <c r="S11978" t="s">
        <v>46919</v>
      </c>
      <c r="T11978" t="s">
        <v>48236</v>
      </c>
      <c r="U11978" t="s">
        <v>54182</v>
      </c>
      <c r="W11978" t="s">
        <v>44842</v>
      </c>
      <c r="X11978" t="s">
        <v>46580</v>
      </c>
    </row>
    <row r="11979" spans="1:24">
      <c r="A11979">
        <f>HYPERLINK("https://www.philgeps.gov.ph/GEPSNONPILOT/Tender/SplashBidNoticeAbstractUI.aspx?menuIndex=3&amp;refID=7045596&amp;Result=3","7045596")</f>
        <v>0</v>
      </c>
      <c r="B11979" t="s">
        <v>1460</v>
      </c>
      <c r="C11979" t="s">
        <v>14888</v>
      </c>
      <c r="D11979" t="s">
        <v>18838</v>
      </c>
      <c r="E11979" t="s">
        <v>29192</v>
      </c>
      <c r="F11979" t="s">
        <v>32664</v>
      </c>
      <c r="G11979" t="s">
        <v>32672</v>
      </c>
      <c r="H11979" t="s">
        <v>12635</v>
      </c>
      <c r="I11979" t="s">
        <v>6628</v>
      </c>
      <c r="J11979" t="s">
        <v>37647</v>
      </c>
      <c r="K11979" t="s">
        <v>42302</v>
      </c>
      <c r="M11979" t="s">
        <v>44121</v>
      </c>
      <c r="N11979" t="s">
        <v>46569</v>
      </c>
      <c r="O11979" t="s">
        <v>46570</v>
      </c>
      <c r="P11979">
        <v>0</v>
      </c>
      <c r="Q11979">
        <v>5</v>
      </c>
      <c r="R11979" t="s">
        <v>46580</v>
      </c>
      <c r="S11979" t="s">
        <v>46986</v>
      </c>
      <c r="T11979" t="s">
        <v>48343</v>
      </c>
      <c r="U11979" t="s">
        <v>58393</v>
      </c>
      <c r="W11979" t="s">
        <v>44121</v>
      </c>
      <c r="X11979" t="s">
        <v>46581</v>
      </c>
    </row>
    <row r="11980" spans="1:24">
      <c r="A11980">
        <f>HYPERLINK("https://www.philgeps.gov.ph/GEPSNONPILOT/Tender/SplashBidNoticeAbstractUI.aspx?menuIndex=3&amp;refID=7048326&amp;Result=3","7048326")</f>
        <v>0</v>
      </c>
      <c r="B11980" t="s">
        <v>3042</v>
      </c>
      <c r="C11980" t="s">
        <v>14889</v>
      </c>
      <c r="D11980" t="s">
        <v>18840</v>
      </c>
      <c r="E11980" t="s">
        <v>29193</v>
      </c>
      <c r="F11980" t="s">
        <v>32664</v>
      </c>
      <c r="G11980" t="s">
        <v>32672</v>
      </c>
      <c r="H11980" t="s">
        <v>12635</v>
      </c>
      <c r="I11980" t="s">
        <v>32694</v>
      </c>
      <c r="J11980" t="s">
        <v>39884</v>
      </c>
      <c r="K11980" t="s">
        <v>42284</v>
      </c>
      <c r="M11980" t="s">
        <v>45915</v>
      </c>
      <c r="N11980" t="s">
        <v>46569</v>
      </c>
      <c r="O11980" t="s">
        <v>46570</v>
      </c>
      <c r="P11980">
        <v>0</v>
      </c>
      <c r="Q11980">
        <v>0</v>
      </c>
      <c r="R11980" t="s">
        <v>46579</v>
      </c>
      <c r="S11980" t="s">
        <v>46919</v>
      </c>
      <c r="T11980" t="s">
        <v>48248</v>
      </c>
      <c r="U11980" t="s">
        <v>57881</v>
      </c>
      <c r="V11980" t="s">
        <v>62846</v>
      </c>
      <c r="W11980" t="s">
        <v>45915</v>
      </c>
      <c r="X11980" t="s">
        <v>46580</v>
      </c>
    </row>
    <row r="11981" spans="1:24">
      <c r="A11981">
        <f>HYPERLINK("https://www.philgeps.gov.ph/GEPSNONPILOT/Tender/SplashBidNoticeAbstractUI.aspx?menuIndex=3&amp;refID=7045574&amp;Result=3","7045574")</f>
        <v>0</v>
      </c>
      <c r="B11981" t="s">
        <v>1055</v>
      </c>
      <c r="C11981" t="s">
        <v>14890</v>
      </c>
      <c r="D11981" t="s">
        <v>18784</v>
      </c>
      <c r="E11981" t="s">
        <v>29194</v>
      </c>
      <c r="F11981" t="s">
        <v>32664</v>
      </c>
      <c r="G11981" t="s">
        <v>32672</v>
      </c>
      <c r="H11981" t="s">
        <v>32683</v>
      </c>
      <c r="I11981" t="s">
        <v>10627</v>
      </c>
      <c r="J11981" t="s">
        <v>39885</v>
      </c>
      <c r="K11981" t="s">
        <v>42308</v>
      </c>
      <c r="M11981" t="s">
        <v>43998</v>
      </c>
      <c r="N11981" t="s">
        <v>46569</v>
      </c>
      <c r="O11981" t="s">
        <v>46570</v>
      </c>
      <c r="P11981">
        <v>0</v>
      </c>
      <c r="Q11981">
        <v>14</v>
      </c>
      <c r="R11981" t="s">
        <v>46580</v>
      </c>
      <c r="S11981" t="s">
        <v>46986</v>
      </c>
      <c r="T11981" t="s">
        <v>48381</v>
      </c>
      <c r="U11981" t="s">
        <v>58394</v>
      </c>
      <c r="V11981" t="s">
        <v>62093</v>
      </c>
      <c r="W11981" t="s">
        <v>43998</v>
      </c>
      <c r="X11981" t="s">
        <v>46581</v>
      </c>
    </row>
    <row r="11982" spans="1:24">
      <c r="A11982">
        <f>HYPERLINK("https://www.philgeps.gov.ph/GEPSNONPILOT/Tender/SplashBidNoticeAbstractUI.aspx?menuIndex=3&amp;refID=7045624&amp;Result=3","7045624")</f>
        <v>0</v>
      </c>
      <c r="B11982" t="s">
        <v>1778</v>
      </c>
      <c r="C11982" t="s">
        <v>14891</v>
      </c>
      <c r="D11982" t="s">
        <v>18837</v>
      </c>
      <c r="E11982" t="s">
        <v>29195</v>
      </c>
      <c r="F11982" t="s">
        <v>32664</v>
      </c>
      <c r="G11982" t="s">
        <v>32674</v>
      </c>
      <c r="H11982" t="s">
        <v>12635</v>
      </c>
      <c r="I11982" t="s">
        <v>9486</v>
      </c>
      <c r="J11982" t="s">
        <v>39886</v>
      </c>
      <c r="K11982" t="s">
        <v>42283</v>
      </c>
      <c r="M11982" t="s">
        <v>44480</v>
      </c>
      <c r="N11982" t="s">
        <v>46569</v>
      </c>
      <c r="O11982" t="s">
        <v>46570</v>
      </c>
      <c r="P11982">
        <v>0</v>
      </c>
      <c r="Q11982">
        <v>2</v>
      </c>
      <c r="R11982" t="s">
        <v>46580</v>
      </c>
      <c r="S11982" t="s">
        <v>46986</v>
      </c>
      <c r="T11982" t="s">
        <v>48473</v>
      </c>
      <c r="U11982" t="s">
        <v>58395</v>
      </c>
      <c r="W11982" t="s">
        <v>44480</v>
      </c>
      <c r="X11982" t="s">
        <v>46581</v>
      </c>
    </row>
    <row r="11983" spans="1:24">
      <c r="A11983">
        <f>HYPERLINK("https://www.philgeps.gov.ph/GEPSNONPILOT/Tender/SplashBidNoticeAbstractUI.aspx?menuIndex=3&amp;refID=7045948&amp;Result=3","7045948")</f>
        <v>0</v>
      </c>
      <c r="B11983" t="s">
        <v>3138</v>
      </c>
      <c r="C11983" t="s">
        <v>14892</v>
      </c>
      <c r="D11983" t="s">
        <v>18803</v>
      </c>
      <c r="E11983" t="s">
        <v>29196</v>
      </c>
      <c r="F11983" t="s">
        <v>32664</v>
      </c>
      <c r="G11983" t="s">
        <v>32672</v>
      </c>
      <c r="H11983" t="s">
        <v>12635</v>
      </c>
      <c r="I11983" t="s">
        <v>5589</v>
      </c>
      <c r="J11983" t="s">
        <v>32929</v>
      </c>
      <c r="K11983" t="s">
        <v>42281</v>
      </c>
      <c r="M11983" t="s">
        <v>46032</v>
      </c>
      <c r="N11983" t="s">
        <v>46569</v>
      </c>
      <c r="O11983" t="s">
        <v>46570</v>
      </c>
      <c r="P11983">
        <v>0</v>
      </c>
      <c r="Q11983">
        <v>6</v>
      </c>
      <c r="R11983" t="s">
        <v>46580</v>
      </c>
      <c r="S11983" t="s">
        <v>46986</v>
      </c>
      <c r="T11983" t="s">
        <v>48293</v>
      </c>
      <c r="U11983" t="s">
        <v>58396</v>
      </c>
      <c r="V11983" t="s">
        <v>62929</v>
      </c>
      <c r="W11983" t="s">
        <v>46032</v>
      </c>
      <c r="X11983" t="s">
        <v>46581</v>
      </c>
    </row>
    <row r="11984" spans="1:24">
      <c r="A11984">
        <f>HYPERLINK("https://www.philgeps.gov.ph/GEPSNONPILOT/Tender/SplashBidNoticeAbstractUI.aspx?menuIndex=3&amp;refID=7048329&amp;Result=3","7048329")</f>
        <v>0</v>
      </c>
      <c r="B11984" t="s">
        <v>1656</v>
      </c>
      <c r="C11984" t="s">
        <v>14893</v>
      </c>
      <c r="E11984" t="s">
        <v>29197</v>
      </c>
      <c r="F11984" t="s">
        <v>32664</v>
      </c>
      <c r="G11984" t="s">
        <v>32671</v>
      </c>
      <c r="H11984" t="s">
        <v>32683</v>
      </c>
      <c r="I11984" t="s">
        <v>4439</v>
      </c>
      <c r="J11984" t="s">
        <v>33338</v>
      </c>
      <c r="K11984" t="s">
        <v>42306</v>
      </c>
      <c r="N11984" t="s">
        <v>46569</v>
      </c>
      <c r="O11984" t="s">
        <v>46570</v>
      </c>
      <c r="P11984">
        <v>0</v>
      </c>
      <c r="Q11984">
        <v>0</v>
      </c>
      <c r="R11984" t="s">
        <v>46579</v>
      </c>
      <c r="S11984" t="s">
        <v>46919</v>
      </c>
      <c r="T11984" t="s">
        <v>48697</v>
      </c>
      <c r="U11984" t="s">
        <v>58397</v>
      </c>
      <c r="W11984" t="s">
        <v>44341</v>
      </c>
      <c r="X11984" t="s">
        <v>46580</v>
      </c>
    </row>
    <row r="11985" spans="1:24">
      <c r="A11985">
        <f>HYPERLINK("https://www.philgeps.gov.ph/GEPSNONPILOT/Tender/SplashBidNoticeAbstractUI.aspx?menuIndex=3&amp;refID=7045920&amp;Result=3","7045920")</f>
        <v>0</v>
      </c>
      <c r="B11985" t="s">
        <v>2517</v>
      </c>
      <c r="C11985" t="s">
        <v>14894</v>
      </c>
      <c r="D11985" t="s">
        <v>18804</v>
      </c>
      <c r="E11985" t="s">
        <v>29198</v>
      </c>
      <c r="F11985" t="s">
        <v>32664</v>
      </c>
      <c r="G11985" t="s">
        <v>32672</v>
      </c>
      <c r="H11985" t="s">
        <v>32683</v>
      </c>
      <c r="I11985" t="s">
        <v>10627</v>
      </c>
      <c r="J11985" t="s">
        <v>34481</v>
      </c>
      <c r="K11985" t="s">
        <v>42290</v>
      </c>
      <c r="M11985" t="s">
        <v>45323</v>
      </c>
      <c r="N11985" t="s">
        <v>46569</v>
      </c>
      <c r="O11985" t="s">
        <v>46570</v>
      </c>
      <c r="P11985">
        <v>0</v>
      </c>
      <c r="Q11985">
        <v>1</v>
      </c>
      <c r="R11985" t="s">
        <v>46580</v>
      </c>
      <c r="S11985" t="s">
        <v>46986</v>
      </c>
      <c r="T11985" t="s">
        <v>48236</v>
      </c>
      <c r="U11985" t="s">
        <v>58398</v>
      </c>
      <c r="V11985" t="s">
        <v>62930</v>
      </c>
      <c r="W11985" t="s">
        <v>45323</v>
      </c>
      <c r="X11985" t="s">
        <v>46581</v>
      </c>
    </row>
    <row r="11986" spans="1:24">
      <c r="A11986">
        <f>HYPERLINK("https://www.philgeps.gov.ph/GEPSNONPILOT/Tender/SplashBidNoticeAbstractUI.aspx?menuIndex=3&amp;refID=7045613&amp;Result=3","7045613")</f>
        <v>0</v>
      </c>
      <c r="B11986" t="s">
        <v>660</v>
      </c>
      <c r="C11986" t="s">
        <v>14895</v>
      </c>
      <c r="D11986" t="s">
        <v>18855</v>
      </c>
      <c r="E11986" t="s">
        <v>29199</v>
      </c>
      <c r="F11986" t="s">
        <v>32664</v>
      </c>
      <c r="G11986" t="s">
        <v>32672</v>
      </c>
      <c r="H11986" t="s">
        <v>32683</v>
      </c>
      <c r="I11986" t="s">
        <v>10627</v>
      </c>
      <c r="J11986" t="s">
        <v>32930</v>
      </c>
      <c r="K11986" t="s">
        <v>42283</v>
      </c>
      <c r="M11986" t="s">
        <v>43247</v>
      </c>
      <c r="N11986" t="s">
        <v>46569</v>
      </c>
      <c r="O11986" t="s">
        <v>46570</v>
      </c>
      <c r="P11986">
        <v>0</v>
      </c>
      <c r="Q11986">
        <v>1</v>
      </c>
      <c r="R11986" t="s">
        <v>46580</v>
      </c>
      <c r="S11986" t="s">
        <v>46986</v>
      </c>
      <c r="T11986" t="s">
        <v>48303</v>
      </c>
      <c r="U11986" t="s">
        <v>58194</v>
      </c>
      <c r="W11986" t="s">
        <v>43247</v>
      </c>
      <c r="X11986" t="s">
        <v>46581</v>
      </c>
    </row>
    <row r="11987" spans="1:24">
      <c r="A11987">
        <f>HYPERLINK("https://www.philgeps.gov.ph/GEPSNONPILOT/Tender/SplashBidNoticeAbstractUI.aspx?menuIndex=3&amp;refID=7045942&amp;Result=3","7045942")</f>
        <v>0</v>
      </c>
      <c r="B11987" t="s">
        <v>1778</v>
      </c>
      <c r="C11987" t="s">
        <v>14896</v>
      </c>
      <c r="D11987" t="s">
        <v>18837</v>
      </c>
      <c r="E11987" t="s">
        <v>19421</v>
      </c>
      <c r="F11987" t="s">
        <v>32664</v>
      </c>
      <c r="G11987" t="s">
        <v>32674</v>
      </c>
      <c r="H11987" t="s">
        <v>12635</v>
      </c>
      <c r="I11987" t="s">
        <v>8797</v>
      </c>
      <c r="J11987" t="s">
        <v>37443</v>
      </c>
      <c r="K11987" t="s">
        <v>42283</v>
      </c>
      <c r="M11987" t="s">
        <v>44480</v>
      </c>
      <c r="N11987" t="s">
        <v>46569</v>
      </c>
      <c r="O11987" t="s">
        <v>46570</v>
      </c>
      <c r="P11987">
        <v>0</v>
      </c>
      <c r="Q11987">
        <v>3</v>
      </c>
      <c r="R11987" t="s">
        <v>46580</v>
      </c>
      <c r="S11987" t="s">
        <v>46986</v>
      </c>
      <c r="T11987" t="s">
        <v>48473</v>
      </c>
      <c r="U11987" t="s">
        <v>58399</v>
      </c>
      <c r="W11987" t="s">
        <v>44480</v>
      </c>
      <c r="X11987" t="s">
        <v>46581</v>
      </c>
    </row>
    <row r="11988" spans="1:24">
      <c r="A11988">
        <f>HYPERLINK("https://www.philgeps.gov.ph/GEPSNONPILOT/Tender/SplashBidNoticeAbstractUI.aspx?menuIndex=3&amp;refID=7045913&amp;Result=3","7045913")</f>
        <v>0</v>
      </c>
      <c r="B11988" t="s">
        <v>3042</v>
      </c>
      <c r="C11988" t="s">
        <v>14897</v>
      </c>
      <c r="D11988" t="s">
        <v>18840</v>
      </c>
      <c r="E11988" t="s">
        <v>29200</v>
      </c>
      <c r="F11988" t="s">
        <v>32664</v>
      </c>
      <c r="G11988" t="s">
        <v>32672</v>
      </c>
      <c r="H11988" t="s">
        <v>12635</v>
      </c>
      <c r="I11988" t="s">
        <v>32694</v>
      </c>
      <c r="J11988" t="s">
        <v>39887</v>
      </c>
      <c r="K11988" t="s">
        <v>42284</v>
      </c>
      <c r="M11988" t="s">
        <v>45915</v>
      </c>
      <c r="N11988" t="s">
        <v>46569</v>
      </c>
      <c r="O11988" t="s">
        <v>46570</v>
      </c>
      <c r="P11988">
        <v>0</v>
      </c>
      <c r="Q11988">
        <v>0</v>
      </c>
      <c r="R11988" t="s">
        <v>46580</v>
      </c>
      <c r="S11988" t="s">
        <v>46986</v>
      </c>
      <c r="T11988" t="s">
        <v>48248</v>
      </c>
      <c r="U11988" t="s">
        <v>57881</v>
      </c>
      <c r="V11988" t="s">
        <v>62846</v>
      </c>
      <c r="W11988" t="s">
        <v>45915</v>
      </c>
      <c r="X11988" t="s">
        <v>46581</v>
      </c>
    </row>
    <row r="11989" spans="1:24">
      <c r="A11989">
        <f>HYPERLINK("https://www.philgeps.gov.ph/GEPSNONPILOT/Tender/SplashBidNoticeAbstractUI.aspx?menuIndex=3&amp;refID=7045892&amp;Result=3","7045892")</f>
        <v>0</v>
      </c>
      <c r="B11989" t="s">
        <v>1806</v>
      </c>
      <c r="C11989" t="s">
        <v>14898</v>
      </c>
      <c r="D11989" t="s">
        <v>18799</v>
      </c>
      <c r="E11989" t="s">
        <v>29201</v>
      </c>
      <c r="F11989" t="s">
        <v>32664</v>
      </c>
      <c r="G11989" t="s">
        <v>32672</v>
      </c>
      <c r="H11989" t="s">
        <v>32683</v>
      </c>
      <c r="I11989" t="s">
        <v>10627</v>
      </c>
      <c r="J11989" t="s">
        <v>34148</v>
      </c>
      <c r="K11989" t="s">
        <v>42311</v>
      </c>
      <c r="M11989" t="s">
        <v>45878</v>
      </c>
      <c r="N11989" t="s">
        <v>46569</v>
      </c>
      <c r="O11989" t="s">
        <v>46570</v>
      </c>
      <c r="P11989">
        <v>0</v>
      </c>
      <c r="Q11989">
        <v>3</v>
      </c>
      <c r="R11989" t="s">
        <v>46580</v>
      </c>
      <c r="S11989" t="s">
        <v>46986</v>
      </c>
      <c r="T11989" t="s">
        <v>48345</v>
      </c>
      <c r="U11989" t="s">
        <v>58400</v>
      </c>
      <c r="V11989" t="s">
        <v>62931</v>
      </c>
      <c r="W11989" t="s">
        <v>45878</v>
      </c>
      <c r="X11989" t="s">
        <v>46581</v>
      </c>
    </row>
    <row r="11990" spans="1:24">
      <c r="A11990">
        <f>HYPERLINK("https://www.philgeps.gov.ph/GEPSNONPILOT/Tender/SplashBidNoticeAbstractUI.aspx?menuIndex=3&amp;refID=7045708&amp;Result=3","7045708")</f>
        <v>0</v>
      </c>
      <c r="B11990" t="s">
        <v>660</v>
      </c>
      <c r="C11990" t="s">
        <v>14899</v>
      </c>
      <c r="D11990" t="s">
        <v>18855</v>
      </c>
      <c r="E11990" t="s">
        <v>29202</v>
      </c>
      <c r="F11990" t="s">
        <v>32664</v>
      </c>
      <c r="G11990" t="s">
        <v>32672</v>
      </c>
      <c r="H11990" t="s">
        <v>32683</v>
      </c>
      <c r="I11990" t="s">
        <v>10627</v>
      </c>
      <c r="J11990" t="s">
        <v>32943</v>
      </c>
      <c r="K11990" t="s">
        <v>42283</v>
      </c>
      <c r="M11990" t="s">
        <v>43247</v>
      </c>
      <c r="N11990" t="s">
        <v>46569</v>
      </c>
      <c r="O11990" t="s">
        <v>46570</v>
      </c>
      <c r="P11990">
        <v>0</v>
      </c>
      <c r="Q11990">
        <v>2</v>
      </c>
      <c r="R11990" t="s">
        <v>46580</v>
      </c>
      <c r="S11990" t="s">
        <v>46986</v>
      </c>
      <c r="T11990" t="s">
        <v>48303</v>
      </c>
      <c r="U11990" t="s">
        <v>58194</v>
      </c>
      <c r="W11990" t="s">
        <v>43247</v>
      </c>
      <c r="X11990" t="s">
        <v>46581</v>
      </c>
    </row>
    <row r="11991" spans="1:24">
      <c r="A11991">
        <f>HYPERLINK("https://www.philgeps.gov.ph/GEPSNONPILOT/Tender/SplashBidNoticeAbstractUI.aspx?menuIndex=3&amp;refID=7045888&amp;Result=3","7045888")</f>
        <v>0</v>
      </c>
      <c r="B11991" t="s">
        <v>461</v>
      </c>
      <c r="C11991" t="s">
        <v>14900</v>
      </c>
      <c r="D11991" t="s">
        <v>18846</v>
      </c>
      <c r="E11991" t="s">
        <v>29203</v>
      </c>
      <c r="F11991" t="s">
        <v>32664</v>
      </c>
      <c r="G11991" t="s">
        <v>32672</v>
      </c>
      <c r="H11991" t="s">
        <v>12635</v>
      </c>
      <c r="I11991" t="s">
        <v>32704</v>
      </c>
      <c r="J11991" t="s">
        <v>39888</v>
      </c>
      <c r="K11991" t="s">
        <v>42298</v>
      </c>
      <c r="M11991" t="s">
        <v>46030</v>
      </c>
      <c r="N11991" t="s">
        <v>46569</v>
      </c>
      <c r="O11991" t="s">
        <v>46570</v>
      </c>
      <c r="P11991">
        <v>0</v>
      </c>
      <c r="Q11991">
        <v>28</v>
      </c>
      <c r="R11991" t="s">
        <v>46580</v>
      </c>
      <c r="S11991" t="s">
        <v>46986</v>
      </c>
      <c r="T11991" t="s">
        <v>48452</v>
      </c>
      <c r="U11991" t="s">
        <v>58401</v>
      </c>
      <c r="W11991" t="s">
        <v>46030</v>
      </c>
      <c r="X11991" t="s">
        <v>46581</v>
      </c>
    </row>
    <row r="11992" spans="1:24">
      <c r="A11992">
        <f>HYPERLINK("https://www.philgeps.gov.ph/GEPSNONPILOT/Tender/SplashBidNoticeAbstractUI.aspx?menuIndex=3&amp;refID=7045927&amp;Result=3","7045927")</f>
        <v>0</v>
      </c>
      <c r="B11992" t="s">
        <v>1939</v>
      </c>
      <c r="C11992" t="s">
        <v>14901</v>
      </c>
      <c r="D11992" t="s">
        <v>18782</v>
      </c>
      <c r="E11992" t="s">
        <v>29204</v>
      </c>
      <c r="F11992" t="s">
        <v>32664</v>
      </c>
      <c r="G11992" t="s">
        <v>32671</v>
      </c>
      <c r="H11992" t="s">
        <v>12635</v>
      </c>
      <c r="I11992" t="s">
        <v>32717</v>
      </c>
      <c r="J11992" t="s">
        <v>33215</v>
      </c>
      <c r="K11992" t="s">
        <v>42306</v>
      </c>
      <c r="L11992" t="s">
        <v>1939</v>
      </c>
      <c r="M11992" t="s">
        <v>44664</v>
      </c>
      <c r="N11992" t="s">
        <v>46569</v>
      </c>
      <c r="O11992" t="s">
        <v>46570</v>
      </c>
      <c r="P11992">
        <v>0</v>
      </c>
      <c r="Q11992">
        <v>0</v>
      </c>
      <c r="R11992" t="s">
        <v>46580</v>
      </c>
      <c r="S11992" t="s">
        <v>46986</v>
      </c>
      <c r="T11992" t="s">
        <v>48307</v>
      </c>
      <c r="U11992" t="s">
        <v>58402</v>
      </c>
      <c r="W11992" t="s">
        <v>44664</v>
      </c>
      <c r="X11992" t="s">
        <v>46581</v>
      </c>
    </row>
    <row r="11993" spans="1:24">
      <c r="A11993">
        <f>HYPERLINK("https://www.philgeps.gov.ph/GEPSNONPILOT/Tender/SplashBidNoticeAbstractUI.aspx?menuIndex=3&amp;refID=7045908&amp;Result=3","7045908")</f>
        <v>0</v>
      </c>
      <c r="B11993" t="s">
        <v>3137</v>
      </c>
      <c r="C11993" t="s">
        <v>14902</v>
      </c>
      <c r="D11993" t="s">
        <v>18824</v>
      </c>
      <c r="E11993" t="s">
        <v>29205</v>
      </c>
      <c r="F11993" t="s">
        <v>32664</v>
      </c>
      <c r="G11993" t="s">
        <v>32672</v>
      </c>
      <c r="H11993" t="s">
        <v>12635</v>
      </c>
      <c r="I11993" t="s">
        <v>32704</v>
      </c>
      <c r="J11993" t="s">
        <v>32962</v>
      </c>
      <c r="K11993" t="s">
        <v>42311</v>
      </c>
      <c r="M11993" t="s">
        <v>46031</v>
      </c>
      <c r="N11993" t="s">
        <v>46569</v>
      </c>
      <c r="O11993" t="s">
        <v>46570</v>
      </c>
      <c r="P11993">
        <v>0</v>
      </c>
      <c r="Q11993">
        <v>28</v>
      </c>
      <c r="R11993" t="s">
        <v>46580</v>
      </c>
      <c r="S11993" t="s">
        <v>46986</v>
      </c>
      <c r="T11993" t="s">
        <v>48552</v>
      </c>
      <c r="U11993" t="s">
        <v>58403</v>
      </c>
      <c r="V11993" t="s">
        <v>62928</v>
      </c>
      <c r="W11993" t="s">
        <v>46031</v>
      </c>
      <c r="X11993" t="s">
        <v>46581</v>
      </c>
    </row>
    <row r="11994" spans="1:24">
      <c r="A11994">
        <f>HYPERLINK("https://www.philgeps.gov.ph/GEPSNONPILOT/Tender/SplashBidNoticeAbstractUI.aspx?menuIndex=3&amp;refID=7045849&amp;Result=3","7045849")</f>
        <v>0</v>
      </c>
      <c r="B11994" t="s">
        <v>2418</v>
      </c>
      <c r="C11994" t="s">
        <v>14903</v>
      </c>
      <c r="D11994" t="s">
        <v>18784</v>
      </c>
      <c r="E11994" t="s">
        <v>29206</v>
      </c>
      <c r="F11994" t="s">
        <v>32664</v>
      </c>
      <c r="G11994" t="s">
        <v>32672</v>
      </c>
      <c r="H11994" t="s">
        <v>12635</v>
      </c>
      <c r="I11994" t="s">
        <v>6118</v>
      </c>
      <c r="J11994" t="s">
        <v>32898</v>
      </c>
      <c r="K11994" t="s">
        <v>42284</v>
      </c>
      <c r="M11994" t="s">
        <v>45209</v>
      </c>
      <c r="N11994" t="s">
        <v>46569</v>
      </c>
      <c r="O11994" t="s">
        <v>46570</v>
      </c>
      <c r="P11994">
        <v>0</v>
      </c>
      <c r="Q11994">
        <v>0</v>
      </c>
      <c r="R11994" t="s">
        <v>46580</v>
      </c>
      <c r="S11994" t="s">
        <v>46986</v>
      </c>
      <c r="T11994" t="s">
        <v>48236</v>
      </c>
      <c r="U11994" t="s">
        <v>55399</v>
      </c>
      <c r="W11994" t="s">
        <v>45209</v>
      </c>
      <c r="X11994" t="s">
        <v>46581</v>
      </c>
    </row>
    <row r="11995" spans="1:24">
      <c r="A11995">
        <f>HYPERLINK("https://www.philgeps.gov.ph/GEPSNONPILOT/Tender/SplashBidNoticeAbstractUI.aspx?menuIndex=3&amp;refID=7045682&amp;Result=3","7045682")</f>
        <v>0</v>
      </c>
      <c r="B11995" t="s">
        <v>794</v>
      </c>
      <c r="C11995" t="s">
        <v>14904</v>
      </c>
      <c r="D11995" t="s">
        <v>18806</v>
      </c>
      <c r="E11995" t="s">
        <v>29207</v>
      </c>
      <c r="F11995" t="s">
        <v>32664</v>
      </c>
      <c r="G11995" t="s">
        <v>32672</v>
      </c>
      <c r="H11995" t="s">
        <v>12635</v>
      </c>
      <c r="I11995" t="s">
        <v>4439</v>
      </c>
      <c r="J11995" t="s">
        <v>39889</v>
      </c>
      <c r="K11995" t="s">
        <v>42297</v>
      </c>
      <c r="M11995" t="s">
        <v>45991</v>
      </c>
      <c r="N11995" t="s">
        <v>46569</v>
      </c>
      <c r="O11995" t="s">
        <v>46570</v>
      </c>
      <c r="P11995">
        <v>0</v>
      </c>
      <c r="Q11995">
        <v>0</v>
      </c>
      <c r="R11995" t="s">
        <v>46580</v>
      </c>
      <c r="S11995" t="s">
        <v>46986</v>
      </c>
      <c r="T11995" t="s">
        <v>48246</v>
      </c>
      <c r="U11995" t="s">
        <v>58404</v>
      </c>
      <c r="W11995" t="s">
        <v>45991</v>
      </c>
      <c r="X11995" t="s">
        <v>46581</v>
      </c>
    </row>
    <row r="11996" spans="1:24">
      <c r="A11996">
        <f>HYPERLINK("https://www.philgeps.gov.ph/GEPSNONPILOT/Tender/SplashBidNoticeAbstractUI.aspx?menuIndex=3&amp;refID=7046095&amp;Result=3","7046095")</f>
        <v>0</v>
      </c>
      <c r="B11996" t="s">
        <v>1778</v>
      </c>
      <c r="C11996" t="s">
        <v>14905</v>
      </c>
      <c r="D11996" t="s">
        <v>18837</v>
      </c>
      <c r="E11996" t="s">
        <v>29208</v>
      </c>
      <c r="F11996" t="s">
        <v>32664</v>
      </c>
      <c r="G11996" t="s">
        <v>32674</v>
      </c>
      <c r="H11996" t="s">
        <v>12635</v>
      </c>
      <c r="I11996" t="s">
        <v>32694</v>
      </c>
      <c r="J11996" t="s">
        <v>39890</v>
      </c>
      <c r="K11996" t="s">
        <v>42283</v>
      </c>
      <c r="M11996" t="s">
        <v>44480</v>
      </c>
      <c r="N11996" t="s">
        <v>46569</v>
      </c>
      <c r="O11996" t="s">
        <v>46570</v>
      </c>
      <c r="P11996">
        <v>0</v>
      </c>
      <c r="Q11996">
        <v>1</v>
      </c>
      <c r="R11996" t="s">
        <v>46580</v>
      </c>
      <c r="S11996" t="s">
        <v>46986</v>
      </c>
      <c r="T11996" t="s">
        <v>48473</v>
      </c>
      <c r="U11996" t="s">
        <v>58405</v>
      </c>
      <c r="W11996" t="s">
        <v>44480</v>
      </c>
      <c r="X11996" t="s">
        <v>46581</v>
      </c>
    </row>
    <row r="11997" spans="1:24">
      <c r="A11997">
        <f>HYPERLINK("https://www.philgeps.gov.ph/GEPSNONPILOT/Tender/SplashBidNoticeAbstractUI.aspx?menuIndex=3&amp;refID=7045848&amp;Result=3","7045848")</f>
        <v>0</v>
      </c>
      <c r="B11997" t="s">
        <v>1656</v>
      </c>
      <c r="C11997" t="s">
        <v>14906</v>
      </c>
      <c r="D11997" t="s">
        <v>18805</v>
      </c>
      <c r="E11997" t="s">
        <v>29209</v>
      </c>
      <c r="F11997" t="s">
        <v>32664</v>
      </c>
      <c r="G11997" t="s">
        <v>32672</v>
      </c>
      <c r="H11997" t="s">
        <v>32683</v>
      </c>
      <c r="I11997" t="s">
        <v>4333</v>
      </c>
      <c r="J11997" t="s">
        <v>33336</v>
      </c>
      <c r="K11997" t="s">
        <v>42306</v>
      </c>
      <c r="M11997" t="s">
        <v>44341</v>
      </c>
      <c r="N11997" t="s">
        <v>46569</v>
      </c>
      <c r="O11997" t="s">
        <v>46570</v>
      </c>
      <c r="P11997">
        <v>0</v>
      </c>
      <c r="Q11997">
        <v>0</v>
      </c>
      <c r="R11997" t="s">
        <v>46580</v>
      </c>
      <c r="S11997" t="s">
        <v>46986</v>
      </c>
      <c r="T11997" t="s">
        <v>48291</v>
      </c>
      <c r="U11997" t="s">
        <v>58406</v>
      </c>
      <c r="W11997" t="s">
        <v>44341</v>
      </c>
      <c r="X11997" t="s">
        <v>46581</v>
      </c>
    </row>
    <row r="11998" spans="1:24">
      <c r="A11998">
        <f>HYPERLINK("https://www.philgeps.gov.ph/GEPSNONPILOT/Tender/SplashBidNoticeAbstractUI.aspx?menuIndex=3&amp;refID=7046073&amp;Result=3","7046073")</f>
        <v>0</v>
      </c>
      <c r="B11998" t="s">
        <v>2517</v>
      </c>
      <c r="C11998" t="s">
        <v>14907</v>
      </c>
      <c r="D11998" t="s">
        <v>18804</v>
      </c>
      <c r="E11998" t="s">
        <v>29210</v>
      </c>
      <c r="F11998" t="s">
        <v>32664</v>
      </c>
      <c r="G11998" t="s">
        <v>32672</v>
      </c>
      <c r="H11998" t="s">
        <v>32683</v>
      </c>
      <c r="I11998" t="s">
        <v>10627</v>
      </c>
      <c r="J11998" t="s">
        <v>39891</v>
      </c>
      <c r="K11998" t="s">
        <v>42298</v>
      </c>
      <c r="M11998" t="s">
        <v>45323</v>
      </c>
      <c r="N11998" t="s">
        <v>46569</v>
      </c>
      <c r="O11998" t="s">
        <v>46570</v>
      </c>
      <c r="Q11998">
        <v>1</v>
      </c>
      <c r="R11998" t="s">
        <v>46580</v>
      </c>
      <c r="S11998" t="s">
        <v>47001</v>
      </c>
      <c r="T11998" t="s">
        <v>48236</v>
      </c>
      <c r="U11998" t="s">
        <v>58407</v>
      </c>
      <c r="V11998" t="s">
        <v>62932</v>
      </c>
      <c r="W11998" t="s">
        <v>45323</v>
      </c>
      <c r="X11998" t="s">
        <v>46581</v>
      </c>
    </row>
    <row r="11999" spans="1:24">
      <c r="A11999">
        <f>HYPERLINK("https://www.philgeps.gov.ph/GEPSNONPILOT/Tender/SplashBidNoticeAbstractUI.aspx?menuIndex=3&amp;refID=7046084&amp;Result=3","7046084")</f>
        <v>0</v>
      </c>
      <c r="B11999" t="s">
        <v>3137</v>
      </c>
      <c r="C11999" t="s">
        <v>14908</v>
      </c>
      <c r="D11999" t="s">
        <v>18824</v>
      </c>
      <c r="E11999" t="s">
        <v>29211</v>
      </c>
      <c r="F11999" t="s">
        <v>32664</v>
      </c>
      <c r="G11999" t="s">
        <v>32672</v>
      </c>
      <c r="H11999" t="s">
        <v>12635</v>
      </c>
      <c r="I11999" t="s">
        <v>32704</v>
      </c>
      <c r="J11999" t="s">
        <v>32974</v>
      </c>
      <c r="K11999" t="s">
        <v>42311</v>
      </c>
      <c r="M11999" t="s">
        <v>46031</v>
      </c>
      <c r="N11999" t="s">
        <v>46569</v>
      </c>
      <c r="O11999" t="s">
        <v>46570</v>
      </c>
      <c r="P11999">
        <v>0</v>
      </c>
      <c r="Q11999">
        <v>8</v>
      </c>
      <c r="R11999" t="s">
        <v>46580</v>
      </c>
      <c r="S11999" t="s">
        <v>46986</v>
      </c>
      <c r="T11999" t="s">
        <v>48552</v>
      </c>
      <c r="U11999" t="s">
        <v>58408</v>
      </c>
      <c r="V11999" t="s">
        <v>62928</v>
      </c>
      <c r="W11999" t="s">
        <v>46031</v>
      </c>
      <c r="X11999" t="s">
        <v>46581</v>
      </c>
    </row>
    <row r="12000" spans="1:24">
      <c r="A12000">
        <f>HYPERLINK("https://www.philgeps.gov.ph/GEPSNONPILOT/Tender/SplashBidNoticeAbstractUI.aspx?menuIndex=3&amp;refID=7046069&amp;Result=3","7046069")</f>
        <v>0</v>
      </c>
      <c r="B12000" t="s">
        <v>3114</v>
      </c>
      <c r="C12000" t="s">
        <v>14909</v>
      </c>
      <c r="D12000" t="s">
        <v>18807</v>
      </c>
      <c r="E12000" t="s">
        <v>29212</v>
      </c>
      <c r="F12000" t="s">
        <v>32664</v>
      </c>
      <c r="G12000" t="s">
        <v>32672</v>
      </c>
      <c r="H12000" t="s">
        <v>12635</v>
      </c>
      <c r="I12000" t="s">
        <v>9486</v>
      </c>
      <c r="J12000" t="s">
        <v>39892</v>
      </c>
      <c r="K12000" t="s">
        <v>42289</v>
      </c>
      <c r="M12000" t="s">
        <v>46005</v>
      </c>
      <c r="N12000" t="s">
        <v>46569</v>
      </c>
      <c r="O12000" t="s">
        <v>46570</v>
      </c>
      <c r="P12000">
        <v>0</v>
      </c>
      <c r="Q12000">
        <v>2</v>
      </c>
      <c r="R12000" t="s">
        <v>46580</v>
      </c>
      <c r="S12000" t="s">
        <v>46986</v>
      </c>
      <c r="T12000" t="s">
        <v>48303</v>
      </c>
      <c r="U12000" t="s">
        <v>58409</v>
      </c>
      <c r="W12000" t="s">
        <v>46005</v>
      </c>
      <c r="X12000" t="s">
        <v>46581</v>
      </c>
    </row>
    <row r="12001" spans="1:24">
      <c r="A12001">
        <f>HYPERLINK("https://www.philgeps.gov.ph/GEPSNONPILOT/Tender/SplashBidNoticeAbstractUI.aspx?menuIndex=3&amp;refID=7046065&amp;Result=3","7046065")</f>
        <v>0</v>
      </c>
      <c r="B12001" t="s">
        <v>2150</v>
      </c>
      <c r="C12001" t="s">
        <v>14910</v>
      </c>
      <c r="D12001" t="s">
        <v>18851</v>
      </c>
      <c r="E12001" t="s">
        <v>29213</v>
      </c>
      <c r="F12001" t="s">
        <v>32664</v>
      </c>
      <c r="G12001" t="s">
        <v>32672</v>
      </c>
      <c r="H12001" t="s">
        <v>12635</v>
      </c>
      <c r="I12001" t="s">
        <v>32699</v>
      </c>
      <c r="J12001" t="s">
        <v>33126</v>
      </c>
      <c r="K12001" t="s">
        <v>42281</v>
      </c>
      <c r="M12001" t="s">
        <v>44906</v>
      </c>
      <c r="N12001" t="s">
        <v>46569</v>
      </c>
      <c r="O12001" t="s">
        <v>46570</v>
      </c>
      <c r="P12001">
        <v>0</v>
      </c>
      <c r="Q12001">
        <v>1</v>
      </c>
      <c r="R12001" t="s">
        <v>46580</v>
      </c>
      <c r="S12001" t="s">
        <v>46986</v>
      </c>
      <c r="T12001" t="s">
        <v>48212</v>
      </c>
      <c r="U12001" t="s">
        <v>58410</v>
      </c>
      <c r="W12001" t="s">
        <v>44906</v>
      </c>
      <c r="X12001" t="s">
        <v>46581</v>
      </c>
    </row>
    <row r="12002" spans="1:24">
      <c r="A12002">
        <f>HYPERLINK("https://www.philgeps.gov.ph/GEPSNONPILOT/Tender/SplashBidNoticeAbstractUI.aspx?menuIndex=3&amp;refID=7046061&amp;Result=3","7046061")</f>
        <v>0</v>
      </c>
      <c r="B12002" t="s">
        <v>666</v>
      </c>
      <c r="C12002" t="s">
        <v>14911</v>
      </c>
      <c r="D12002" t="s">
        <v>18798</v>
      </c>
      <c r="E12002" t="s">
        <v>29214</v>
      </c>
      <c r="F12002" t="s">
        <v>32664</v>
      </c>
      <c r="G12002" t="s">
        <v>32672</v>
      </c>
      <c r="H12002" t="s">
        <v>32683</v>
      </c>
      <c r="I12002" t="s">
        <v>10627</v>
      </c>
      <c r="J12002" t="s">
        <v>39893</v>
      </c>
      <c r="K12002" t="s">
        <v>42329</v>
      </c>
      <c r="M12002" t="s">
        <v>43253</v>
      </c>
      <c r="N12002" t="s">
        <v>46569</v>
      </c>
      <c r="O12002" t="s">
        <v>46570</v>
      </c>
      <c r="P12002">
        <v>0</v>
      </c>
      <c r="Q12002">
        <v>2</v>
      </c>
      <c r="R12002" t="s">
        <v>46580</v>
      </c>
      <c r="S12002" t="s">
        <v>46986</v>
      </c>
      <c r="T12002" t="s">
        <v>48448</v>
      </c>
      <c r="U12002" t="s">
        <v>58411</v>
      </c>
      <c r="W12002" t="s">
        <v>43253</v>
      </c>
      <c r="X12002" t="s">
        <v>46581</v>
      </c>
    </row>
    <row r="12003" spans="1:24">
      <c r="A12003">
        <f>HYPERLINK("https://www.philgeps.gov.ph/GEPSNONPILOT/Tender/SplashBidNoticeAbstractUI.aspx?menuIndex=3&amp;refID=7045879&amp;Result=3","7045879")</f>
        <v>0</v>
      </c>
      <c r="B12003" t="s">
        <v>1706</v>
      </c>
      <c r="C12003" t="s">
        <v>14912</v>
      </c>
      <c r="D12003" t="s">
        <v>18793</v>
      </c>
      <c r="E12003" t="s">
        <v>29215</v>
      </c>
      <c r="F12003" t="s">
        <v>32664</v>
      </c>
      <c r="G12003" t="s">
        <v>32672</v>
      </c>
      <c r="H12003" t="s">
        <v>12635</v>
      </c>
      <c r="I12003" t="s">
        <v>4439</v>
      </c>
      <c r="J12003" t="s">
        <v>39894</v>
      </c>
      <c r="K12003" t="s">
        <v>42298</v>
      </c>
      <c r="M12003" t="s">
        <v>44400</v>
      </c>
      <c r="N12003" t="s">
        <v>46569</v>
      </c>
      <c r="O12003" t="s">
        <v>46570</v>
      </c>
      <c r="P12003">
        <v>0</v>
      </c>
      <c r="Q12003">
        <v>0</v>
      </c>
      <c r="R12003" t="s">
        <v>46580</v>
      </c>
      <c r="S12003" t="s">
        <v>46986</v>
      </c>
      <c r="T12003" t="s">
        <v>48236</v>
      </c>
      <c r="U12003" t="s">
        <v>58412</v>
      </c>
      <c r="W12003" t="s">
        <v>44400</v>
      </c>
      <c r="X12003" t="s">
        <v>46581</v>
      </c>
    </row>
    <row r="12004" spans="1:24">
      <c r="A12004">
        <f>HYPERLINK("https://www.philgeps.gov.ph/GEPSNONPILOT/Tender/SplashBidNoticeAbstractUI.aspx?menuIndex=3&amp;refID=7046053&amp;Result=3","7046053")</f>
        <v>0</v>
      </c>
      <c r="B12004" t="s">
        <v>3137</v>
      </c>
      <c r="C12004" t="s">
        <v>14913</v>
      </c>
      <c r="D12004" t="s">
        <v>18824</v>
      </c>
      <c r="E12004" t="s">
        <v>29216</v>
      </c>
      <c r="F12004" t="s">
        <v>32664</v>
      </c>
      <c r="G12004" t="s">
        <v>32672</v>
      </c>
      <c r="H12004" t="s">
        <v>12635</v>
      </c>
      <c r="I12004" t="s">
        <v>32704</v>
      </c>
      <c r="J12004" t="s">
        <v>35358</v>
      </c>
      <c r="K12004" t="s">
        <v>42311</v>
      </c>
      <c r="M12004" t="s">
        <v>46031</v>
      </c>
      <c r="N12004" t="s">
        <v>46569</v>
      </c>
      <c r="O12004" t="s">
        <v>46570</v>
      </c>
      <c r="P12004">
        <v>0</v>
      </c>
      <c r="Q12004">
        <v>4</v>
      </c>
      <c r="R12004" t="s">
        <v>46580</v>
      </c>
      <c r="S12004" t="s">
        <v>46986</v>
      </c>
      <c r="T12004" t="s">
        <v>48552</v>
      </c>
      <c r="U12004" t="s">
        <v>58413</v>
      </c>
      <c r="V12004" t="s">
        <v>62928</v>
      </c>
      <c r="W12004" t="s">
        <v>46031</v>
      </c>
      <c r="X12004" t="s">
        <v>46581</v>
      </c>
    </row>
    <row r="12005" spans="1:24">
      <c r="A12005">
        <f>HYPERLINK("https://www.philgeps.gov.ph/GEPSNONPILOT/Tender/SplashBidNoticeAbstractUI.aspx?menuIndex=3&amp;refID=7046036&amp;Result=3","7046036")</f>
        <v>0</v>
      </c>
      <c r="B12005" t="s">
        <v>3021</v>
      </c>
      <c r="C12005" t="s">
        <v>14914</v>
      </c>
      <c r="D12005" t="s">
        <v>18782</v>
      </c>
      <c r="E12005" t="s">
        <v>23473</v>
      </c>
      <c r="F12005" t="s">
        <v>32664</v>
      </c>
      <c r="G12005" t="s">
        <v>32672</v>
      </c>
      <c r="H12005" t="s">
        <v>32683</v>
      </c>
      <c r="I12005" t="s">
        <v>10627</v>
      </c>
      <c r="J12005" t="s">
        <v>39895</v>
      </c>
      <c r="K12005" t="s">
        <v>42397</v>
      </c>
      <c r="M12005" t="s">
        <v>45893</v>
      </c>
      <c r="N12005" t="s">
        <v>46569</v>
      </c>
      <c r="O12005" t="s">
        <v>46570</v>
      </c>
      <c r="P12005">
        <v>0</v>
      </c>
      <c r="Q12005">
        <v>3</v>
      </c>
      <c r="R12005" t="s">
        <v>46580</v>
      </c>
      <c r="S12005" t="s">
        <v>46986</v>
      </c>
      <c r="T12005" t="s">
        <v>48343</v>
      </c>
      <c r="U12005" t="s">
        <v>58414</v>
      </c>
      <c r="W12005" t="s">
        <v>45893</v>
      </c>
      <c r="X12005" t="s">
        <v>46581</v>
      </c>
    </row>
    <row r="12006" spans="1:24">
      <c r="A12006">
        <f>HYPERLINK("https://www.philgeps.gov.ph/GEPSNONPILOT/Tender/SplashBidNoticeAbstractUI.aspx?menuIndex=3&amp;refID=7046023&amp;Result=3","7046023")</f>
        <v>0</v>
      </c>
      <c r="B12006" t="s">
        <v>3098</v>
      </c>
      <c r="C12006" t="s">
        <v>14915</v>
      </c>
      <c r="D12006" t="s">
        <v>18788</v>
      </c>
      <c r="E12006" t="s">
        <v>29217</v>
      </c>
      <c r="F12006" t="s">
        <v>32664</v>
      </c>
      <c r="G12006" t="s">
        <v>32672</v>
      </c>
      <c r="H12006" t="s">
        <v>12635</v>
      </c>
      <c r="I12006" t="s">
        <v>4439</v>
      </c>
      <c r="J12006" t="s">
        <v>39896</v>
      </c>
      <c r="K12006" t="s">
        <v>42283</v>
      </c>
      <c r="M12006" t="s">
        <v>45986</v>
      </c>
      <c r="N12006" t="s">
        <v>46569</v>
      </c>
      <c r="O12006" t="s">
        <v>46570</v>
      </c>
      <c r="P12006">
        <v>0</v>
      </c>
      <c r="Q12006">
        <v>0</v>
      </c>
      <c r="R12006" t="s">
        <v>46580</v>
      </c>
      <c r="S12006" t="s">
        <v>46986</v>
      </c>
      <c r="T12006" t="s">
        <v>48354</v>
      </c>
      <c r="U12006" t="s">
        <v>58415</v>
      </c>
      <c r="W12006" t="s">
        <v>63587</v>
      </c>
      <c r="X12006" t="s">
        <v>46581</v>
      </c>
    </row>
    <row r="12007" spans="1:24">
      <c r="A12007">
        <f>HYPERLINK("https://www.philgeps.gov.ph/GEPSNONPILOT/Tender/SplashBidNoticeAbstractUI.aspx?menuIndex=3&amp;refID=7046101&amp;Result=3","7046101")</f>
        <v>0</v>
      </c>
      <c r="B12007" t="s">
        <v>3112</v>
      </c>
      <c r="C12007" t="s">
        <v>14916</v>
      </c>
      <c r="D12007" t="s">
        <v>18781</v>
      </c>
      <c r="E12007" t="s">
        <v>29126</v>
      </c>
      <c r="F12007" t="s">
        <v>32664</v>
      </c>
      <c r="G12007" t="s">
        <v>32672</v>
      </c>
      <c r="H12007" t="s">
        <v>32683</v>
      </c>
      <c r="I12007" t="s">
        <v>32716</v>
      </c>
      <c r="J12007" t="s">
        <v>39839</v>
      </c>
      <c r="K12007" t="s">
        <v>42305</v>
      </c>
      <c r="M12007" t="s">
        <v>46003</v>
      </c>
      <c r="N12007" t="s">
        <v>46569</v>
      </c>
      <c r="O12007" t="s">
        <v>46570</v>
      </c>
      <c r="P12007">
        <v>0</v>
      </c>
      <c r="Q12007">
        <v>1</v>
      </c>
      <c r="R12007" t="s">
        <v>46580</v>
      </c>
      <c r="S12007" t="s">
        <v>46986</v>
      </c>
      <c r="T12007" t="s">
        <v>48276</v>
      </c>
      <c r="U12007" t="s">
        <v>58416</v>
      </c>
      <c r="W12007" t="s">
        <v>46003</v>
      </c>
      <c r="X12007" t="s">
        <v>46581</v>
      </c>
    </row>
    <row r="12008" spans="1:24">
      <c r="A12008">
        <f>HYPERLINK("https://www.philgeps.gov.ph/GEPSNONPILOT/Tender/SplashBidNoticeAbstractUI.aspx?menuIndex=3&amp;refID=7046080&amp;Result=3","7046080")</f>
        <v>0</v>
      </c>
      <c r="B12008" t="s">
        <v>666</v>
      </c>
      <c r="C12008" t="s">
        <v>14917</v>
      </c>
      <c r="D12008" t="s">
        <v>18798</v>
      </c>
      <c r="E12008" t="s">
        <v>29218</v>
      </c>
      <c r="F12008" t="s">
        <v>32664</v>
      </c>
      <c r="G12008" t="s">
        <v>32672</v>
      </c>
      <c r="H12008" t="s">
        <v>32683</v>
      </c>
      <c r="I12008" t="s">
        <v>10627</v>
      </c>
      <c r="J12008" t="s">
        <v>39897</v>
      </c>
      <c r="K12008" t="s">
        <v>42419</v>
      </c>
      <c r="M12008" t="s">
        <v>43253</v>
      </c>
      <c r="N12008" t="s">
        <v>46569</v>
      </c>
      <c r="O12008" t="s">
        <v>46570</v>
      </c>
      <c r="P12008">
        <v>0</v>
      </c>
      <c r="Q12008">
        <v>1</v>
      </c>
      <c r="R12008" t="s">
        <v>46580</v>
      </c>
      <c r="S12008" t="s">
        <v>46986</v>
      </c>
      <c r="T12008" t="s">
        <v>48448</v>
      </c>
      <c r="U12008" t="s">
        <v>58411</v>
      </c>
      <c r="W12008" t="s">
        <v>43253</v>
      </c>
      <c r="X12008" t="s">
        <v>46581</v>
      </c>
    </row>
    <row r="12009" spans="1:24">
      <c r="A12009">
        <f>HYPERLINK("https://www.philgeps.gov.ph/GEPSNONPILOT/Tender/SplashBidNoticeAbstractUI.aspx?menuIndex=3&amp;refID=7046171&amp;Result=3","7046171")</f>
        <v>0</v>
      </c>
      <c r="B12009" t="s">
        <v>2517</v>
      </c>
      <c r="C12009" t="s">
        <v>14918</v>
      </c>
      <c r="D12009" t="s">
        <v>18804</v>
      </c>
      <c r="E12009" t="s">
        <v>29219</v>
      </c>
      <c r="F12009" t="s">
        <v>32664</v>
      </c>
      <c r="G12009" t="s">
        <v>32672</v>
      </c>
      <c r="H12009" t="s">
        <v>32683</v>
      </c>
      <c r="I12009" t="s">
        <v>10627</v>
      </c>
      <c r="J12009" t="s">
        <v>33051</v>
      </c>
      <c r="K12009" t="s">
        <v>42325</v>
      </c>
      <c r="M12009" t="s">
        <v>45323</v>
      </c>
      <c r="N12009" t="s">
        <v>46569</v>
      </c>
      <c r="O12009" t="s">
        <v>46570</v>
      </c>
      <c r="P12009">
        <v>0</v>
      </c>
      <c r="Q12009">
        <v>0</v>
      </c>
      <c r="R12009" t="s">
        <v>46580</v>
      </c>
      <c r="S12009" t="s">
        <v>46986</v>
      </c>
      <c r="T12009" t="s">
        <v>48236</v>
      </c>
      <c r="U12009" t="s">
        <v>58417</v>
      </c>
      <c r="V12009" t="s">
        <v>62933</v>
      </c>
      <c r="W12009" t="s">
        <v>45323</v>
      </c>
      <c r="X12009" t="s">
        <v>46581</v>
      </c>
    </row>
    <row r="12010" spans="1:24">
      <c r="A12010">
        <f>HYPERLINK("https://www.philgeps.gov.ph/GEPSNONPILOT/Tender/SplashBidNoticeAbstractUI.aspx?menuIndex=3&amp;refID=7045902&amp;Result=3","7045902")</f>
        <v>0</v>
      </c>
      <c r="B12010" t="s">
        <v>3139</v>
      </c>
      <c r="C12010" t="s">
        <v>14919</v>
      </c>
      <c r="D12010" t="s">
        <v>18796</v>
      </c>
      <c r="E12010" t="s">
        <v>29220</v>
      </c>
      <c r="F12010" t="s">
        <v>32664</v>
      </c>
      <c r="G12010" t="s">
        <v>32672</v>
      </c>
      <c r="H12010" t="s">
        <v>32683</v>
      </c>
      <c r="I12010" t="s">
        <v>6223</v>
      </c>
      <c r="J12010" t="s">
        <v>33657</v>
      </c>
      <c r="K12010" t="s">
        <v>42298</v>
      </c>
      <c r="M12010" t="s">
        <v>46033</v>
      </c>
      <c r="N12010" t="s">
        <v>46569</v>
      </c>
      <c r="O12010" t="s">
        <v>46570</v>
      </c>
      <c r="P12010">
        <v>0</v>
      </c>
      <c r="Q12010">
        <v>1</v>
      </c>
      <c r="R12010" t="s">
        <v>46580</v>
      </c>
      <c r="S12010" t="s">
        <v>46986</v>
      </c>
      <c r="T12010" t="s">
        <v>48376</v>
      </c>
      <c r="U12010" t="s">
        <v>58418</v>
      </c>
      <c r="W12010" t="s">
        <v>46033</v>
      </c>
      <c r="X12010" t="s">
        <v>46581</v>
      </c>
    </row>
    <row r="12011" spans="1:24">
      <c r="A12011">
        <f>HYPERLINK("https://www.philgeps.gov.ph/GEPSNONPILOT/Tender/SplashBidNoticeAbstractUI.aspx?menuIndex=3&amp;refID=7046163&amp;Result=3","7046163")</f>
        <v>0</v>
      </c>
      <c r="B12011" t="s">
        <v>3137</v>
      </c>
      <c r="C12011" t="s">
        <v>14920</v>
      </c>
      <c r="D12011" t="s">
        <v>18824</v>
      </c>
      <c r="E12011" t="s">
        <v>29221</v>
      </c>
      <c r="F12011" t="s">
        <v>32664</v>
      </c>
      <c r="G12011" t="s">
        <v>32672</v>
      </c>
      <c r="H12011" t="s">
        <v>12635</v>
      </c>
      <c r="I12011" t="s">
        <v>32704</v>
      </c>
      <c r="J12011" t="s">
        <v>39898</v>
      </c>
      <c r="K12011" t="s">
        <v>42311</v>
      </c>
      <c r="M12011" t="s">
        <v>46031</v>
      </c>
      <c r="N12011" t="s">
        <v>46569</v>
      </c>
      <c r="O12011" t="s">
        <v>46570</v>
      </c>
      <c r="P12011">
        <v>0</v>
      </c>
      <c r="Q12011">
        <v>8</v>
      </c>
      <c r="R12011" t="s">
        <v>46580</v>
      </c>
      <c r="S12011" t="s">
        <v>46986</v>
      </c>
      <c r="T12011" t="s">
        <v>48552</v>
      </c>
      <c r="U12011" t="s">
        <v>58419</v>
      </c>
      <c r="V12011" t="s">
        <v>62928</v>
      </c>
      <c r="W12011" t="s">
        <v>46031</v>
      </c>
      <c r="X12011" t="s">
        <v>46581</v>
      </c>
    </row>
    <row r="12012" spans="1:24">
      <c r="A12012">
        <f>HYPERLINK("https://www.philgeps.gov.ph/GEPSNONPILOT/Tender/SplashBidNoticeAbstractUI.aspx?menuIndex=3&amp;refID=7046159&amp;Result=3","7046159")</f>
        <v>0</v>
      </c>
      <c r="B12012" t="s">
        <v>3140</v>
      </c>
      <c r="C12012" t="s">
        <v>14921</v>
      </c>
      <c r="D12012" t="s">
        <v>18783</v>
      </c>
      <c r="E12012" t="s">
        <v>29222</v>
      </c>
      <c r="F12012" t="s">
        <v>32664</v>
      </c>
      <c r="G12012" t="s">
        <v>32672</v>
      </c>
      <c r="H12012" t="s">
        <v>12635</v>
      </c>
      <c r="I12012" t="s">
        <v>11464</v>
      </c>
      <c r="J12012" t="s">
        <v>39899</v>
      </c>
      <c r="K12012" t="s">
        <v>42298</v>
      </c>
      <c r="M12012" t="s">
        <v>46034</v>
      </c>
      <c r="N12012" t="s">
        <v>46569</v>
      </c>
      <c r="O12012" t="s">
        <v>46570</v>
      </c>
      <c r="P12012">
        <v>0</v>
      </c>
      <c r="Q12012">
        <v>5</v>
      </c>
      <c r="R12012" t="s">
        <v>46580</v>
      </c>
      <c r="S12012" t="s">
        <v>46986</v>
      </c>
      <c r="T12012" t="s">
        <v>48313</v>
      </c>
      <c r="U12012" t="s">
        <v>58420</v>
      </c>
      <c r="V12012" t="s">
        <v>62934</v>
      </c>
      <c r="W12012" t="s">
        <v>46034</v>
      </c>
      <c r="X12012" t="s">
        <v>46581</v>
      </c>
    </row>
    <row r="12013" spans="1:24">
      <c r="A12013">
        <f>HYPERLINK("https://www.philgeps.gov.ph/GEPSNONPILOT/Tender/SplashBidNoticeAbstractUI.aspx?menuIndex=3&amp;refID=7048252&amp;Result=3","7048252")</f>
        <v>0</v>
      </c>
      <c r="B12013" t="s">
        <v>160</v>
      </c>
      <c r="C12013" t="s">
        <v>14922</v>
      </c>
      <c r="D12013" t="s">
        <v>18806</v>
      </c>
      <c r="E12013" t="s">
        <v>29223</v>
      </c>
      <c r="F12013" t="s">
        <v>32664</v>
      </c>
      <c r="G12013" t="s">
        <v>32672</v>
      </c>
      <c r="H12013" t="s">
        <v>12635</v>
      </c>
      <c r="I12013" t="s">
        <v>4439</v>
      </c>
      <c r="J12013" t="s">
        <v>39900</v>
      </c>
      <c r="K12013" t="s">
        <v>42281</v>
      </c>
      <c r="M12013" t="s">
        <v>42724</v>
      </c>
      <c r="N12013" t="s">
        <v>46569</v>
      </c>
      <c r="O12013" t="s">
        <v>46570</v>
      </c>
      <c r="P12013">
        <v>0</v>
      </c>
      <c r="Q12013">
        <v>0</v>
      </c>
      <c r="R12013" t="s">
        <v>46579</v>
      </c>
      <c r="S12013" t="s">
        <v>46919</v>
      </c>
      <c r="T12013" t="s">
        <v>48468</v>
      </c>
      <c r="U12013" t="s">
        <v>58421</v>
      </c>
      <c r="W12013" t="s">
        <v>42724</v>
      </c>
      <c r="X12013" t="s">
        <v>46580</v>
      </c>
    </row>
    <row r="12014" spans="1:24">
      <c r="A12014">
        <f>HYPERLINK("https://www.philgeps.gov.ph/GEPSNONPILOT/Tender/SplashBidNoticeAbstractUI.aspx?menuIndex=3&amp;refID=7046157&amp;Result=3","7046157")</f>
        <v>0</v>
      </c>
      <c r="B12014" t="s">
        <v>2275</v>
      </c>
      <c r="C12014" t="s">
        <v>14923</v>
      </c>
      <c r="D12014" t="s">
        <v>18784</v>
      </c>
      <c r="E12014" t="s">
        <v>29224</v>
      </c>
      <c r="F12014" t="s">
        <v>32664</v>
      </c>
      <c r="G12014" t="s">
        <v>32672</v>
      </c>
      <c r="H12014" t="s">
        <v>12635</v>
      </c>
      <c r="I12014" t="s">
        <v>32707</v>
      </c>
      <c r="J12014" t="s">
        <v>39468</v>
      </c>
      <c r="K12014" t="s">
        <v>42281</v>
      </c>
      <c r="M12014" t="s">
        <v>46035</v>
      </c>
      <c r="N12014" t="s">
        <v>46569</v>
      </c>
      <c r="O12014" t="s">
        <v>46570</v>
      </c>
      <c r="Q12014">
        <v>2</v>
      </c>
      <c r="R12014" t="s">
        <v>46580</v>
      </c>
      <c r="S12014" t="s">
        <v>46862</v>
      </c>
      <c r="T12014" t="s">
        <v>48238</v>
      </c>
      <c r="U12014" t="s">
        <v>58422</v>
      </c>
      <c r="W12014" t="s">
        <v>46035</v>
      </c>
      <c r="X12014" t="s">
        <v>46581</v>
      </c>
    </row>
    <row r="12015" spans="1:24">
      <c r="A12015">
        <f>HYPERLINK("https://www.philgeps.gov.ph/GEPSNONPILOT/Tender/SplashBidNoticeAbstractUI.aspx?menuIndex=3&amp;refID=7046154&amp;Result=3","7046154")</f>
        <v>0</v>
      </c>
      <c r="B12015" t="s">
        <v>462</v>
      </c>
      <c r="C12015" t="s">
        <v>14924</v>
      </c>
      <c r="D12015" t="s">
        <v>18834</v>
      </c>
      <c r="E12015" t="s">
        <v>21732</v>
      </c>
      <c r="F12015" t="s">
        <v>32664</v>
      </c>
      <c r="G12015" t="s">
        <v>32671</v>
      </c>
      <c r="H12015" t="s">
        <v>32683</v>
      </c>
      <c r="I12015" t="s">
        <v>10627</v>
      </c>
      <c r="J12015" t="s">
        <v>33051</v>
      </c>
      <c r="K12015" t="s">
        <v>42303</v>
      </c>
      <c r="M12015" t="s">
        <v>43037</v>
      </c>
      <c r="N12015" t="s">
        <v>46569</v>
      </c>
      <c r="O12015" t="s">
        <v>46570</v>
      </c>
      <c r="P12015">
        <v>0</v>
      </c>
      <c r="Q12015">
        <v>1</v>
      </c>
      <c r="R12015" t="s">
        <v>46580</v>
      </c>
      <c r="S12015" t="s">
        <v>46986</v>
      </c>
      <c r="T12015" t="s">
        <v>48316</v>
      </c>
      <c r="U12015" t="s">
        <v>58423</v>
      </c>
      <c r="W12015" t="s">
        <v>43037</v>
      </c>
      <c r="X12015" t="s">
        <v>46581</v>
      </c>
    </row>
    <row r="12016" spans="1:24">
      <c r="A12016">
        <f>HYPERLINK("https://www.philgeps.gov.ph/GEPSNONPILOT/Tender/SplashBidNoticeAbstractUI.aspx?menuIndex=3&amp;refID=7046068&amp;Result=3","7046068")</f>
        <v>0</v>
      </c>
      <c r="B12016" t="s">
        <v>3002</v>
      </c>
      <c r="C12016" t="s">
        <v>14925</v>
      </c>
      <c r="D12016" t="s">
        <v>18781</v>
      </c>
      <c r="E12016" t="s">
        <v>29225</v>
      </c>
      <c r="F12016" t="s">
        <v>32664</v>
      </c>
      <c r="G12016" t="s">
        <v>32672</v>
      </c>
      <c r="H12016" t="s">
        <v>12635</v>
      </c>
      <c r="I12016" t="s">
        <v>32704</v>
      </c>
      <c r="J12016" t="s">
        <v>34559</v>
      </c>
      <c r="K12016" t="s">
        <v>42284</v>
      </c>
      <c r="M12016" t="s">
        <v>45863</v>
      </c>
      <c r="N12016" t="s">
        <v>46569</v>
      </c>
      <c r="O12016" t="s">
        <v>46570</v>
      </c>
      <c r="P12016">
        <v>0</v>
      </c>
      <c r="Q12016">
        <v>8</v>
      </c>
      <c r="R12016" t="s">
        <v>46580</v>
      </c>
      <c r="S12016" t="s">
        <v>46986</v>
      </c>
      <c r="T12016" t="s">
        <v>48354</v>
      </c>
      <c r="U12016" t="s">
        <v>58424</v>
      </c>
      <c r="W12016" t="s">
        <v>45863</v>
      </c>
      <c r="X12016" t="s">
        <v>46581</v>
      </c>
    </row>
    <row r="12017" spans="1:24">
      <c r="A12017">
        <f>HYPERLINK("https://www.philgeps.gov.ph/GEPSNONPILOT/Tender/SplashBidNoticeAbstractUI.aspx?menuIndex=3&amp;refID=7046150&amp;Result=3","7046150")</f>
        <v>0</v>
      </c>
      <c r="B12017" t="s">
        <v>3141</v>
      </c>
      <c r="C12017" t="s">
        <v>14926</v>
      </c>
      <c r="D12017" t="s">
        <v>18828</v>
      </c>
      <c r="E12017" t="s">
        <v>29226</v>
      </c>
      <c r="F12017" t="s">
        <v>32664</v>
      </c>
      <c r="G12017" t="s">
        <v>32672</v>
      </c>
      <c r="H12017" t="s">
        <v>32683</v>
      </c>
      <c r="I12017" t="s">
        <v>10627</v>
      </c>
      <c r="J12017" t="s">
        <v>39901</v>
      </c>
      <c r="K12017" t="s">
        <v>42424</v>
      </c>
      <c r="M12017" t="s">
        <v>46036</v>
      </c>
      <c r="N12017" t="s">
        <v>46569</v>
      </c>
      <c r="O12017" t="s">
        <v>46570</v>
      </c>
      <c r="P12017">
        <v>0</v>
      </c>
      <c r="Q12017">
        <v>0</v>
      </c>
      <c r="R12017" t="s">
        <v>46580</v>
      </c>
      <c r="S12017" t="s">
        <v>46986</v>
      </c>
      <c r="T12017" t="s">
        <v>48473</v>
      </c>
      <c r="U12017" t="s">
        <v>58425</v>
      </c>
      <c r="W12017" t="s">
        <v>46036</v>
      </c>
      <c r="X12017" t="s">
        <v>46581</v>
      </c>
    </row>
    <row r="12018" spans="1:24">
      <c r="A12018">
        <f>HYPERLINK("https://www.philgeps.gov.ph/GEPSNONPILOT/Tender/SplashBidNoticeAbstractUI.aspx?menuIndex=3&amp;refID=7046151&amp;Result=3","7046151")</f>
        <v>0</v>
      </c>
      <c r="B12018" t="s">
        <v>666</v>
      </c>
      <c r="C12018" t="s">
        <v>14927</v>
      </c>
      <c r="D12018" t="s">
        <v>18798</v>
      </c>
      <c r="E12018" t="s">
        <v>29227</v>
      </c>
      <c r="F12018" t="s">
        <v>32664</v>
      </c>
      <c r="G12018" t="s">
        <v>32672</v>
      </c>
      <c r="H12018" t="s">
        <v>32683</v>
      </c>
      <c r="I12018" t="s">
        <v>10627</v>
      </c>
      <c r="J12018" t="s">
        <v>39902</v>
      </c>
      <c r="K12018" t="s">
        <v>42335</v>
      </c>
      <c r="M12018" t="s">
        <v>43253</v>
      </c>
      <c r="N12018" t="s">
        <v>46569</v>
      </c>
      <c r="O12018" t="s">
        <v>46570</v>
      </c>
      <c r="P12018">
        <v>0</v>
      </c>
      <c r="Q12018">
        <v>1</v>
      </c>
      <c r="R12018" t="s">
        <v>46580</v>
      </c>
      <c r="S12018" t="s">
        <v>46986</v>
      </c>
      <c r="T12018" t="s">
        <v>48448</v>
      </c>
      <c r="U12018" t="s">
        <v>58411</v>
      </c>
      <c r="W12018" t="s">
        <v>43253</v>
      </c>
      <c r="X12018" t="s">
        <v>46581</v>
      </c>
    </row>
    <row r="12019" spans="1:24">
      <c r="A12019">
        <f>HYPERLINK("https://www.philgeps.gov.ph/GEPSNONPILOT/Tender/SplashBidNoticeAbstractUI.aspx?menuIndex=3&amp;refID=7046018&amp;Result=3","7046018")</f>
        <v>0</v>
      </c>
      <c r="B12019" t="s">
        <v>3139</v>
      </c>
      <c r="C12019" t="s">
        <v>14928</v>
      </c>
      <c r="D12019" t="s">
        <v>18796</v>
      </c>
      <c r="E12019" t="s">
        <v>29228</v>
      </c>
      <c r="F12019" t="s">
        <v>32664</v>
      </c>
      <c r="G12019" t="s">
        <v>32672</v>
      </c>
      <c r="H12019" t="s">
        <v>12635</v>
      </c>
      <c r="I12019" t="s">
        <v>6168</v>
      </c>
      <c r="J12019" t="s">
        <v>39903</v>
      </c>
      <c r="K12019" t="s">
        <v>42298</v>
      </c>
      <c r="M12019" t="s">
        <v>46033</v>
      </c>
      <c r="N12019" t="s">
        <v>46569</v>
      </c>
      <c r="O12019" t="s">
        <v>46570</v>
      </c>
      <c r="P12019">
        <v>0</v>
      </c>
      <c r="Q12019">
        <v>4</v>
      </c>
      <c r="R12019" t="s">
        <v>46580</v>
      </c>
      <c r="S12019" t="s">
        <v>46986</v>
      </c>
      <c r="T12019" t="s">
        <v>48376</v>
      </c>
      <c r="U12019" t="s">
        <v>58426</v>
      </c>
      <c r="W12019" t="s">
        <v>46033</v>
      </c>
      <c r="X12019" t="s">
        <v>46581</v>
      </c>
    </row>
    <row r="12020" spans="1:24">
      <c r="A12020">
        <f>HYPERLINK("https://www.philgeps.gov.ph/GEPSNONPILOT/Tender/SplashBidNoticeAbstractUI.aspx?menuIndex=3&amp;refID=7046138&amp;Result=3","7046138")</f>
        <v>0</v>
      </c>
      <c r="B12020" t="s">
        <v>3142</v>
      </c>
      <c r="C12020" t="s">
        <v>14929</v>
      </c>
      <c r="D12020" t="s">
        <v>18861</v>
      </c>
      <c r="E12020" t="s">
        <v>29229</v>
      </c>
      <c r="F12020" t="s">
        <v>32664</v>
      </c>
      <c r="G12020" t="s">
        <v>32672</v>
      </c>
      <c r="H12020" t="s">
        <v>32682</v>
      </c>
      <c r="I12020" t="s">
        <v>32721</v>
      </c>
      <c r="J12020" t="s">
        <v>39904</v>
      </c>
      <c r="K12020" t="s">
        <v>42281</v>
      </c>
      <c r="M12020" t="s">
        <v>46037</v>
      </c>
      <c r="N12020" t="s">
        <v>46569</v>
      </c>
      <c r="O12020" t="s">
        <v>46570</v>
      </c>
      <c r="P12020">
        <v>0</v>
      </c>
      <c r="Q12020">
        <v>1</v>
      </c>
      <c r="R12020" t="s">
        <v>46580</v>
      </c>
      <c r="S12020" t="s">
        <v>46986</v>
      </c>
      <c r="T12020" t="s">
        <v>48283</v>
      </c>
      <c r="U12020" t="s">
        <v>58427</v>
      </c>
      <c r="W12020" t="s">
        <v>46037</v>
      </c>
      <c r="X12020" t="s">
        <v>46581</v>
      </c>
    </row>
    <row r="12021" spans="1:24">
      <c r="A12021">
        <f>HYPERLINK("https://www.philgeps.gov.ph/GEPSNONPILOT/Tender/SplashBidNoticeAbstractUI.aspx?menuIndex=3&amp;refID=7046129&amp;Result=3","7046129")</f>
        <v>0</v>
      </c>
      <c r="B12021" t="s">
        <v>666</v>
      </c>
      <c r="C12021" t="s">
        <v>14930</v>
      </c>
      <c r="D12021" t="s">
        <v>18798</v>
      </c>
      <c r="E12021" t="s">
        <v>29230</v>
      </c>
      <c r="F12021" t="s">
        <v>32664</v>
      </c>
      <c r="G12021" t="s">
        <v>32672</v>
      </c>
      <c r="H12021" t="s">
        <v>32683</v>
      </c>
      <c r="I12021" t="s">
        <v>10627</v>
      </c>
      <c r="J12021" t="s">
        <v>39905</v>
      </c>
      <c r="K12021" t="s">
        <v>42433</v>
      </c>
      <c r="M12021" t="s">
        <v>43253</v>
      </c>
      <c r="N12021" t="s">
        <v>46569</v>
      </c>
      <c r="O12021" t="s">
        <v>46570</v>
      </c>
      <c r="P12021">
        <v>0</v>
      </c>
      <c r="Q12021">
        <v>1</v>
      </c>
      <c r="R12021" t="s">
        <v>46580</v>
      </c>
      <c r="S12021" t="s">
        <v>46986</v>
      </c>
      <c r="T12021" t="s">
        <v>48467</v>
      </c>
      <c r="U12021" t="s">
        <v>58411</v>
      </c>
      <c r="W12021" t="s">
        <v>43253</v>
      </c>
      <c r="X12021" t="s">
        <v>46581</v>
      </c>
    </row>
    <row r="12022" spans="1:24">
      <c r="A12022">
        <f>HYPERLINK("https://www.philgeps.gov.ph/GEPSNONPILOT/Tender/SplashBidNoticeAbstractUI.aspx?menuIndex=3&amp;refID=7046124&amp;Result=3","7046124")</f>
        <v>0</v>
      </c>
      <c r="B12022" t="s">
        <v>3137</v>
      </c>
      <c r="C12022" t="s">
        <v>14931</v>
      </c>
      <c r="D12022" t="s">
        <v>18824</v>
      </c>
      <c r="E12022" t="s">
        <v>29231</v>
      </c>
      <c r="F12022" t="s">
        <v>32664</v>
      </c>
      <c r="G12022" t="s">
        <v>32672</v>
      </c>
      <c r="H12022" t="s">
        <v>12635</v>
      </c>
      <c r="I12022" t="s">
        <v>32704</v>
      </c>
      <c r="J12022" t="s">
        <v>35518</v>
      </c>
      <c r="K12022" t="s">
        <v>42311</v>
      </c>
      <c r="M12022" t="s">
        <v>46031</v>
      </c>
      <c r="N12022" t="s">
        <v>46569</v>
      </c>
      <c r="O12022" t="s">
        <v>46570</v>
      </c>
      <c r="P12022">
        <v>0</v>
      </c>
      <c r="Q12022">
        <v>4</v>
      </c>
      <c r="R12022" t="s">
        <v>46580</v>
      </c>
      <c r="S12022" t="s">
        <v>46986</v>
      </c>
      <c r="T12022" t="s">
        <v>48552</v>
      </c>
      <c r="U12022" t="s">
        <v>58428</v>
      </c>
      <c r="V12022" t="s">
        <v>62928</v>
      </c>
      <c r="W12022" t="s">
        <v>46031</v>
      </c>
      <c r="X12022" t="s">
        <v>46581</v>
      </c>
    </row>
    <row r="12023" spans="1:24">
      <c r="A12023">
        <f>HYPERLINK("https://www.philgeps.gov.ph/GEPSNONPILOT/Tender/SplashBidNoticeAbstractUI.aspx?menuIndex=3&amp;refID=7046141&amp;Result=3","7046141")</f>
        <v>0</v>
      </c>
      <c r="B12023" t="s">
        <v>492</v>
      </c>
      <c r="C12023" t="s">
        <v>14932</v>
      </c>
      <c r="D12023" t="s">
        <v>18809</v>
      </c>
      <c r="E12023" t="s">
        <v>29232</v>
      </c>
      <c r="F12023" t="s">
        <v>32664</v>
      </c>
      <c r="G12023" t="s">
        <v>32672</v>
      </c>
      <c r="H12023" t="s">
        <v>32683</v>
      </c>
      <c r="I12023" t="s">
        <v>10627</v>
      </c>
      <c r="J12023" t="s">
        <v>34635</v>
      </c>
      <c r="K12023" t="s">
        <v>42296</v>
      </c>
      <c r="M12023" t="s">
        <v>43068</v>
      </c>
      <c r="N12023" t="s">
        <v>46569</v>
      </c>
      <c r="O12023" t="s">
        <v>46570</v>
      </c>
      <c r="P12023">
        <v>0</v>
      </c>
      <c r="Q12023">
        <v>5</v>
      </c>
      <c r="R12023" t="s">
        <v>46580</v>
      </c>
      <c r="S12023" t="s">
        <v>46986</v>
      </c>
      <c r="T12023" t="s">
        <v>48284</v>
      </c>
      <c r="U12023" t="s">
        <v>58429</v>
      </c>
      <c r="W12023" t="s">
        <v>43068</v>
      </c>
      <c r="X12023" t="s">
        <v>46581</v>
      </c>
    </row>
    <row r="12024" spans="1:24">
      <c r="A12024">
        <f>HYPERLINK("https://www.philgeps.gov.ph/GEPSNONPILOT/Tender/SplashBidNoticeAbstractUI.aspx?menuIndex=3&amp;refID=7046135&amp;Result=3","7046135")</f>
        <v>0</v>
      </c>
      <c r="B12024" t="s">
        <v>461</v>
      </c>
      <c r="C12024" t="s">
        <v>14933</v>
      </c>
      <c r="D12024" t="s">
        <v>18846</v>
      </c>
      <c r="E12024" t="s">
        <v>29233</v>
      </c>
      <c r="F12024" t="s">
        <v>32664</v>
      </c>
      <c r="G12024" t="s">
        <v>32672</v>
      </c>
      <c r="H12024" t="s">
        <v>12635</v>
      </c>
      <c r="I12024" t="s">
        <v>32704</v>
      </c>
      <c r="J12024" t="s">
        <v>32943</v>
      </c>
      <c r="K12024" t="s">
        <v>42298</v>
      </c>
      <c r="M12024" t="s">
        <v>46030</v>
      </c>
      <c r="N12024" t="s">
        <v>46569</v>
      </c>
      <c r="O12024" t="s">
        <v>46570</v>
      </c>
      <c r="P12024">
        <v>0</v>
      </c>
      <c r="Q12024">
        <v>24</v>
      </c>
      <c r="R12024" t="s">
        <v>46580</v>
      </c>
      <c r="S12024" t="s">
        <v>46986</v>
      </c>
      <c r="T12024" t="s">
        <v>48452</v>
      </c>
      <c r="U12024" t="s">
        <v>58430</v>
      </c>
      <c r="W12024" t="s">
        <v>46030</v>
      </c>
      <c r="X12024" t="s">
        <v>46581</v>
      </c>
    </row>
    <row r="12025" spans="1:24">
      <c r="A12025">
        <f>HYPERLINK("https://www.philgeps.gov.ph/GEPSNONPILOT/Tender/SplashBidNoticeAbstractUI.aspx?menuIndex=3&amp;refID=7046109&amp;Result=3","7046109")</f>
        <v>0</v>
      </c>
      <c r="B12025" t="s">
        <v>666</v>
      </c>
      <c r="C12025" t="s">
        <v>14934</v>
      </c>
      <c r="D12025" t="s">
        <v>18798</v>
      </c>
      <c r="E12025" t="s">
        <v>29234</v>
      </c>
      <c r="F12025" t="s">
        <v>32664</v>
      </c>
      <c r="G12025" t="s">
        <v>32672</v>
      </c>
      <c r="H12025" t="s">
        <v>32683</v>
      </c>
      <c r="I12025" t="s">
        <v>10627</v>
      </c>
      <c r="J12025" t="s">
        <v>39906</v>
      </c>
      <c r="K12025" t="s">
        <v>42336</v>
      </c>
      <c r="M12025" t="s">
        <v>43253</v>
      </c>
      <c r="N12025" t="s">
        <v>46569</v>
      </c>
      <c r="O12025" t="s">
        <v>46570</v>
      </c>
      <c r="P12025">
        <v>0</v>
      </c>
      <c r="Q12025">
        <v>1</v>
      </c>
      <c r="R12025" t="s">
        <v>46580</v>
      </c>
      <c r="S12025" t="s">
        <v>46986</v>
      </c>
      <c r="T12025" t="s">
        <v>48467</v>
      </c>
      <c r="U12025" t="s">
        <v>58411</v>
      </c>
      <c r="W12025" t="s">
        <v>43253</v>
      </c>
      <c r="X12025" t="s">
        <v>46581</v>
      </c>
    </row>
    <row r="12026" spans="1:24">
      <c r="A12026">
        <f>HYPERLINK("https://www.philgeps.gov.ph/GEPSNONPILOT/Tender/SplashBidNoticeAbstractUI.aspx?menuIndex=3&amp;refID=7046126&amp;Result=3","7046126")</f>
        <v>0</v>
      </c>
      <c r="B12026" t="s">
        <v>2150</v>
      </c>
      <c r="C12026" t="s">
        <v>14935</v>
      </c>
      <c r="D12026" t="s">
        <v>18851</v>
      </c>
      <c r="E12026" t="s">
        <v>29235</v>
      </c>
      <c r="F12026" t="s">
        <v>32664</v>
      </c>
      <c r="G12026" t="s">
        <v>32672</v>
      </c>
      <c r="H12026" t="s">
        <v>12635</v>
      </c>
      <c r="I12026" t="s">
        <v>10361</v>
      </c>
      <c r="J12026" t="s">
        <v>39907</v>
      </c>
      <c r="K12026" t="s">
        <v>42281</v>
      </c>
      <c r="M12026" t="s">
        <v>44906</v>
      </c>
      <c r="N12026" t="s">
        <v>46569</v>
      </c>
      <c r="O12026" t="s">
        <v>46570</v>
      </c>
      <c r="P12026">
        <v>0</v>
      </c>
      <c r="Q12026">
        <v>0</v>
      </c>
      <c r="R12026" t="s">
        <v>46580</v>
      </c>
      <c r="S12026" t="s">
        <v>46986</v>
      </c>
      <c r="T12026" t="s">
        <v>48212</v>
      </c>
      <c r="U12026" t="s">
        <v>58431</v>
      </c>
      <c r="W12026" t="s">
        <v>44906</v>
      </c>
      <c r="X12026" t="s">
        <v>46581</v>
      </c>
    </row>
    <row r="12027" spans="1:24">
      <c r="A12027">
        <f>HYPERLINK("https://www.philgeps.gov.ph/GEPSNONPILOT/Tender/SplashBidNoticeAbstractUI.aspx?menuIndex=3&amp;refID=7046146&amp;Result=3","7046146")</f>
        <v>0</v>
      </c>
      <c r="B12027" t="s">
        <v>513</v>
      </c>
      <c r="C12027" t="s">
        <v>14936</v>
      </c>
      <c r="D12027" t="s">
        <v>18858</v>
      </c>
      <c r="E12027" t="s">
        <v>29236</v>
      </c>
      <c r="F12027" t="s">
        <v>32664</v>
      </c>
      <c r="G12027" t="s">
        <v>32672</v>
      </c>
      <c r="H12027" t="s">
        <v>32681</v>
      </c>
      <c r="I12027" t="s">
        <v>32681</v>
      </c>
      <c r="J12027" t="s">
        <v>32837</v>
      </c>
      <c r="K12027" t="s">
        <v>42311</v>
      </c>
      <c r="M12027" t="s">
        <v>43089</v>
      </c>
      <c r="N12027" t="s">
        <v>46569</v>
      </c>
      <c r="O12027" t="s">
        <v>46570</v>
      </c>
      <c r="P12027">
        <v>0</v>
      </c>
      <c r="Q12027">
        <v>7</v>
      </c>
      <c r="R12027" t="s">
        <v>46580</v>
      </c>
      <c r="S12027" t="s">
        <v>46986</v>
      </c>
      <c r="T12027" t="s">
        <v>48468</v>
      </c>
      <c r="U12027" t="s">
        <v>58432</v>
      </c>
      <c r="W12027" t="s">
        <v>43089</v>
      </c>
      <c r="X12027" t="s">
        <v>46581</v>
      </c>
    </row>
    <row r="12028" spans="1:24">
      <c r="A12028">
        <f>HYPERLINK("https://www.philgeps.gov.ph/GEPSNONPILOT/Tender/SplashBidNoticeAbstractUI.aspx?menuIndex=3&amp;refID=7046098&amp;Result=3","7046098")</f>
        <v>0</v>
      </c>
      <c r="B12028" t="s">
        <v>462</v>
      </c>
      <c r="C12028" t="s">
        <v>14937</v>
      </c>
      <c r="D12028" t="s">
        <v>18834</v>
      </c>
      <c r="E12028" t="s">
        <v>21625</v>
      </c>
      <c r="F12028" t="s">
        <v>32664</v>
      </c>
      <c r="G12028" t="s">
        <v>32671</v>
      </c>
      <c r="H12028" t="s">
        <v>32683</v>
      </c>
      <c r="I12028" t="s">
        <v>10627</v>
      </c>
      <c r="J12028" t="s">
        <v>32853</v>
      </c>
      <c r="K12028" t="s">
        <v>42354</v>
      </c>
      <c r="M12028" t="s">
        <v>43037</v>
      </c>
      <c r="N12028" t="s">
        <v>46569</v>
      </c>
      <c r="O12028" t="s">
        <v>46570</v>
      </c>
      <c r="P12028">
        <v>0</v>
      </c>
      <c r="Q12028">
        <v>1</v>
      </c>
      <c r="R12028" t="s">
        <v>46580</v>
      </c>
      <c r="S12028" t="s">
        <v>46986</v>
      </c>
      <c r="T12028" t="s">
        <v>48316</v>
      </c>
      <c r="U12028" t="s">
        <v>58433</v>
      </c>
      <c r="W12028" t="s">
        <v>43037</v>
      </c>
      <c r="X12028" t="s">
        <v>46581</v>
      </c>
    </row>
    <row r="12029" spans="1:24">
      <c r="A12029">
        <f>HYPERLINK("https://www.philgeps.gov.ph/GEPSNONPILOT/Tender/SplashBidNoticeAbstractUI.aspx?menuIndex=3&amp;refID=7046273&amp;Result=3","7046273")</f>
        <v>0</v>
      </c>
      <c r="B12029" t="s">
        <v>1745</v>
      </c>
      <c r="C12029" t="s">
        <v>14938</v>
      </c>
      <c r="D12029" t="s">
        <v>18822</v>
      </c>
      <c r="E12029" t="s">
        <v>29165</v>
      </c>
      <c r="F12029" t="s">
        <v>32664</v>
      </c>
      <c r="G12029" t="s">
        <v>32672</v>
      </c>
      <c r="H12029" t="s">
        <v>12635</v>
      </c>
      <c r="I12029" t="s">
        <v>6168</v>
      </c>
      <c r="J12029" t="s">
        <v>39908</v>
      </c>
      <c r="K12029" t="s">
        <v>42289</v>
      </c>
      <c r="M12029" t="s">
        <v>44444</v>
      </c>
      <c r="N12029" t="s">
        <v>46569</v>
      </c>
      <c r="O12029" t="s">
        <v>46570</v>
      </c>
      <c r="P12029">
        <v>0</v>
      </c>
      <c r="Q12029">
        <v>5</v>
      </c>
      <c r="R12029" t="s">
        <v>46580</v>
      </c>
      <c r="S12029" t="s">
        <v>46986</v>
      </c>
      <c r="T12029" t="s">
        <v>48381</v>
      </c>
      <c r="U12029" t="s">
        <v>58434</v>
      </c>
      <c r="W12029" t="s">
        <v>44444</v>
      </c>
      <c r="X12029" t="s">
        <v>46581</v>
      </c>
    </row>
    <row r="12030" spans="1:24">
      <c r="A12030">
        <f>HYPERLINK("https://www.philgeps.gov.ph/GEPSNONPILOT/Tender/SplashBidNoticeAbstractUI.aspx?menuIndex=3&amp;refID=7046281&amp;Result=3","7046281")</f>
        <v>0</v>
      </c>
      <c r="B12030" t="s">
        <v>2150</v>
      </c>
      <c r="C12030" t="s">
        <v>14939</v>
      </c>
      <c r="D12030" t="s">
        <v>18851</v>
      </c>
      <c r="E12030" t="s">
        <v>29237</v>
      </c>
      <c r="F12030" t="s">
        <v>32664</v>
      </c>
      <c r="G12030" t="s">
        <v>32672</v>
      </c>
      <c r="H12030" t="s">
        <v>12635</v>
      </c>
      <c r="I12030" t="s">
        <v>32696</v>
      </c>
      <c r="J12030" t="s">
        <v>39909</v>
      </c>
      <c r="K12030" t="s">
        <v>42281</v>
      </c>
      <c r="M12030" t="s">
        <v>44906</v>
      </c>
      <c r="N12030" t="s">
        <v>46569</v>
      </c>
      <c r="O12030" t="s">
        <v>46570</v>
      </c>
      <c r="P12030">
        <v>0</v>
      </c>
      <c r="Q12030">
        <v>0</v>
      </c>
      <c r="R12030" t="s">
        <v>46580</v>
      </c>
      <c r="S12030" t="s">
        <v>46986</v>
      </c>
      <c r="T12030" t="s">
        <v>48212</v>
      </c>
      <c r="U12030" t="s">
        <v>58435</v>
      </c>
      <c r="W12030" t="s">
        <v>44906</v>
      </c>
      <c r="X12030" t="s">
        <v>46581</v>
      </c>
    </row>
    <row r="12031" spans="1:24">
      <c r="A12031">
        <f>HYPERLINK("https://www.philgeps.gov.ph/GEPSNONPILOT/Tender/SplashBidNoticeAbstractUI.aspx?menuIndex=3&amp;refID=7046278&amp;Result=3","7046278")</f>
        <v>0</v>
      </c>
      <c r="B12031" t="s">
        <v>3143</v>
      </c>
      <c r="C12031" t="s">
        <v>14940</v>
      </c>
      <c r="D12031" t="s">
        <v>18827</v>
      </c>
      <c r="E12031" t="s">
        <v>21565</v>
      </c>
      <c r="F12031" t="s">
        <v>32664</v>
      </c>
      <c r="G12031" t="s">
        <v>32672</v>
      </c>
      <c r="H12031" t="s">
        <v>32683</v>
      </c>
      <c r="I12031" t="s">
        <v>10627</v>
      </c>
      <c r="J12031" t="s">
        <v>39910</v>
      </c>
      <c r="K12031" t="s">
        <v>42332</v>
      </c>
      <c r="M12031" t="s">
        <v>46038</v>
      </c>
      <c r="N12031" t="s">
        <v>46569</v>
      </c>
      <c r="O12031" t="s">
        <v>46570</v>
      </c>
      <c r="P12031">
        <v>0</v>
      </c>
      <c r="Q12031">
        <v>0</v>
      </c>
      <c r="R12031" t="s">
        <v>46580</v>
      </c>
      <c r="S12031" t="s">
        <v>46986</v>
      </c>
      <c r="T12031" t="s">
        <v>48284</v>
      </c>
      <c r="U12031" t="s">
        <v>58436</v>
      </c>
      <c r="V12031" t="s">
        <v>62935</v>
      </c>
      <c r="W12031" t="s">
        <v>46038</v>
      </c>
      <c r="X12031" t="s">
        <v>46581</v>
      </c>
    </row>
    <row r="12032" spans="1:24">
      <c r="A12032">
        <f>HYPERLINK("https://www.philgeps.gov.ph/GEPSNONPILOT/Tender/SplashBidNoticeAbstractUI.aspx?menuIndex=3&amp;refID=7046280&amp;Result=3","7046280")</f>
        <v>0</v>
      </c>
      <c r="B12032" t="s">
        <v>2940</v>
      </c>
      <c r="C12032" t="s">
        <v>14941</v>
      </c>
      <c r="D12032" t="s">
        <v>18833</v>
      </c>
      <c r="E12032" t="s">
        <v>29238</v>
      </c>
      <c r="F12032" t="s">
        <v>32664</v>
      </c>
      <c r="G12032" t="s">
        <v>32672</v>
      </c>
      <c r="H12032" t="s">
        <v>32683</v>
      </c>
      <c r="I12032" t="s">
        <v>10627</v>
      </c>
      <c r="J12032" t="s">
        <v>39911</v>
      </c>
      <c r="K12032" t="s">
        <v>42528</v>
      </c>
      <c r="M12032" t="s">
        <v>45794</v>
      </c>
      <c r="N12032" t="s">
        <v>46569</v>
      </c>
      <c r="O12032" t="s">
        <v>46570</v>
      </c>
      <c r="P12032">
        <v>0</v>
      </c>
      <c r="Q12032">
        <v>0</v>
      </c>
      <c r="R12032" t="s">
        <v>46580</v>
      </c>
      <c r="S12032" t="s">
        <v>46986</v>
      </c>
      <c r="T12032" t="s">
        <v>48321</v>
      </c>
      <c r="U12032" t="s">
        <v>58437</v>
      </c>
      <c r="W12032" t="s">
        <v>45794</v>
      </c>
      <c r="X12032" t="s">
        <v>46581</v>
      </c>
    </row>
    <row r="12033" spans="1:24">
      <c r="A12033">
        <f>HYPERLINK("https://www.philgeps.gov.ph/GEPSNONPILOT/Tender/SplashBidNoticeAbstractUI.aspx?menuIndex=3&amp;refID=7046162&amp;Result=3","7046162")</f>
        <v>0</v>
      </c>
      <c r="B12033" t="s">
        <v>2150</v>
      </c>
      <c r="C12033" t="s">
        <v>14942</v>
      </c>
      <c r="D12033" t="s">
        <v>18851</v>
      </c>
      <c r="E12033" t="s">
        <v>29235</v>
      </c>
      <c r="F12033" t="s">
        <v>32664</v>
      </c>
      <c r="G12033" t="s">
        <v>32672</v>
      </c>
      <c r="H12033" t="s">
        <v>12635</v>
      </c>
      <c r="I12033" t="s">
        <v>6168</v>
      </c>
      <c r="J12033" t="s">
        <v>34978</v>
      </c>
      <c r="K12033" t="s">
        <v>42281</v>
      </c>
      <c r="M12033" t="s">
        <v>44906</v>
      </c>
      <c r="N12033" t="s">
        <v>46569</v>
      </c>
      <c r="O12033" t="s">
        <v>46570</v>
      </c>
      <c r="P12033">
        <v>0</v>
      </c>
      <c r="Q12033">
        <v>0</v>
      </c>
      <c r="R12033" t="s">
        <v>46580</v>
      </c>
      <c r="S12033" t="s">
        <v>46986</v>
      </c>
      <c r="T12033" t="s">
        <v>48212</v>
      </c>
      <c r="U12033" t="s">
        <v>58431</v>
      </c>
      <c r="W12033" t="s">
        <v>44906</v>
      </c>
      <c r="X12033" t="s">
        <v>46581</v>
      </c>
    </row>
    <row r="12034" spans="1:24">
      <c r="A12034">
        <f>HYPERLINK("https://www.philgeps.gov.ph/GEPSNONPILOT/Tender/SplashBidNoticeAbstractUI.aspx?menuIndex=3&amp;refID=7046014&amp;Result=3","7046014")</f>
        <v>0</v>
      </c>
      <c r="B12034" t="s">
        <v>3144</v>
      </c>
      <c r="C12034" t="s">
        <v>14943</v>
      </c>
      <c r="D12034" t="s">
        <v>18827</v>
      </c>
      <c r="E12034" t="s">
        <v>29239</v>
      </c>
      <c r="F12034" t="s">
        <v>32664</v>
      </c>
      <c r="G12034" t="s">
        <v>32672</v>
      </c>
      <c r="H12034" t="s">
        <v>32683</v>
      </c>
      <c r="I12034" t="s">
        <v>10627</v>
      </c>
      <c r="J12034" t="s">
        <v>39912</v>
      </c>
      <c r="K12034" t="s">
        <v>42384</v>
      </c>
      <c r="M12034" t="s">
        <v>46039</v>
      </c>
      <c r="N12034" t="s">
        <v>46569</v>
      </c>
      <c r="O12034" t="s">
        <v>46570</v>
      </c>
      <c r="P12034">
        <v>0</v>
      </c>
      <c r="Q12034">
        <v>1</v>
      </c>
      <c r="R12034" t="s">
        <v>46580</v>
      </c>
      <c r="S12034" t="s">
        <v>46986</v>
      </c>
      <c r="T12034" t="s">
        <v>48487</v>
      </c>
      <c r="U12034" t="s">
        <v>58438</v>
      </c>
      <c r="V12034" t="s">
        <v>62936</v>
      </c>
      <c r="W12034" t="s">
        <v>46039</v>
      </c>
      <c r="X12034" t="s">
        <v>46581</v>
      </c>
    </row>
    <row r="12035" spans="1:24">
      <c r="A12035">
        <f>HYPERLINK("https://www.philgeps.gov.ph/GEPSNONPILOT/Tender/SplashBidNoticeAbstractUI.aspx?menuIndex=3&amp;refID=7046122&amp;Result=3","7046122")</f>
        <v>0</v>
      </c>
      <c r="B12035" t="s">
        <v>1988</v>
      </c>
      <c r="C12035" t="s">
        <v>7216</v>
      </c>
      <c r="E12035" t="s">
        <v>29240</v>
      </c>
      <c r="F12035" t="s">
        <v>32664</v>
      </c>
      <c r="G12035" t="s">
        <v>32672</v>
      </c>
      <c r="H12035" t="s">
        <v>12635</v>
      </c>
      <c r="I12035" t="s">
        <v>32699</v>
      </c>
      <c r="J12035" t="s">
        <v>39913</v>
      </c>
      <c r="K12035" t="s">
        <v>42283</v>
      </c>
      <c r="M12035" t="s">
        <v>46002</v>
      </c>
      <c r="N12035" t="s">
        <v>46569</v>
      </c>
      <c r="O12035" t="s">
        <v>46570</v>
      </c>
      <c r="P12035">
        <v>0</v>
      </c>
      <c r="Q12035">
        <v>3</v>
      </c>
      <c r="R12035" t="s">
        <v>46580</v>
      </c>
      <c r="S12035" t="s">
        <v>46986</v>
      </c>
      <c r="T12035" t="s">
        <v>48256</v>
      </c>
      <c r="U12035" t="s">
        <v>58439</v>
      </c>
      <c r="V12035" t="s">
        <v>62937</v>
      </c>
      <c r="W12035" t="s">
        <v>46002</v>
      </c>
      <c r="X12035" t="s">
        <v>46581</v>
      </c>
    </row>
    <row r="12036" spans="1:24">
      <c r="A12036">
        <f>HYPERLINK("https://www.philgeps.gov.ph/GEPSNONPILOT/Tender/SplashBidNoticeAbstractUI.aspx?menuIndex=3&amp;refID=7046248&amp;Result=3","7046248")</f>
        <v>0</v>
      </c>
      <c r="B12036" t="s">
        <v>2150</v>
      </c>
      <c r="C12036" t="s">
        <v>14944</v>
      </c>
      <c r="D12036" t="s">
        <v>18851</v>
      </c>
      <c r="E12036" t="s">
        <v>29237</v>
      </c>
      <c r="F12036" t="s">
        <v>32664</v>
      </c>
      <c r="G12036" t="s">
        <v>32672</v>
      </c>
      <c r="H12036" t="s">
        <v>12635</v>
      </c>
      <c r="I12036" t="s">
        <v>6168</v>
      </c>
      <c r="J12036" t="s">
        <v>39914</v>
      </c>
      <c r="K12036" t="s">
        <v>42281</v>
      </c>
      <c r="M12036" t="s">
        <v>44906</v>
      </c>
      <c r="N12036" t="s">
        <v>46569</v>
      </c>
      <c r="O12036" t="s">
        <v>46570</v>
      </c>
      <c r="P12036">
        <v>0</v>
      </c>
      <c r="Q12036">
        <v>0</v>
      </c>
      <c r="R12036" t="s">
        <v>46580</v>
      </c>
      <c r="S12036" t="s">
        <v>46986</v>
      </c>
      <c r="T12036" t="s">
        <v>48212</v>
      </c>
      <c r="U12036" t="s">
        <v>58435</v>
      </c>
      <c r="W12036" t="s">
        <v>44906</v>
      </c>
      <c r="X12036" t="s">
        <v>46581</v>
      </c>
    </row>
    <row r="12037" spans="1:24">
      <c r="A12037">
        <f>HYPERLINK("https://www.philgeps.gov.ph/GEPSNONPILOT/Tender/SplashBidNoticeAbstractUI.aspx?menuIndex=3&amp;refID=7046239&amp;Result=3","7046239")</f>
        <v>0</v>
      </c>
      <c r="B12037" t="s">
        <v>189</v>
      </c>
      <c r="C12037" t="s">
        <v>14945</v>
      </c>
      <c r="E12037" t="s">
        <v>29241</v>
      </c>
      <c r="F12037" t="s">
        <v>32664</v>
      </c>
      <c r="G12037" t="s">
        <v>32672</v>
      </c>
      <c r="H12037" t="s">
        <v>32683</v>
      </c>
      <c r="I12037" t="s">
        <v>10627</v>
      </c>
      <c r="J12037" t="s">
        <v>39915</v>
      </c>
      <c r="K12037" t="s">
        <v>42405</v>
      </c>
      <c r="M12037" t="s">
        <v>42753</v>
      </c>
      <c r="N12037" t="s">
        <v>46569</v>
      </c>
      <c r="O12037" t="s">
        <v>46570</v>
      </c>
      <c r="P12037">
        <v>0</v>
      </c>
      <c r="Q12037">
        <v>0</v>
      </c>
      <c r="R12037" t="s">
        <v>46580</v>
      </c>
      <c r="S12037" t="s">
        <v>46986</v>
      </c>
      <c r="T12037" t="s">
        <v>48236</v>
      </c>
      <c r="U12037" t="s">
        <v>58440</v>
      </c>
      <c r="W12037" t="s">
        <v>42753</v>
      </c>
      <c r="X12037" t="s">
        <v>46581</v>
      </c>
    </row>
    <row r="12038" spans="1:24">
      <c r="A12038">
        <f>HYPERLINK("https://www.philgeps.gov.ph/GEPSNONPILOT/Tender/SplashBidNoticeAbstractUI.aspx?menuIndex=3&amp;refID=7046000&amp;Result=3","7046000")</f>
        <v>0</v>
      </c>
      <c r="B12038" t="s">
        <v>1939</v>
      </c>
      <c r="C12038" t="s">
        <v>14946</v>
      </c>
      <c r="D12038" t="s">
        <v>18782</v>
      </c>
      <c r="E12038" t="s">
        <v>29242</v>
      </c>
      <c r="F12038" t="s">
        <v>32664</v>
      </c>
      <c r="G12038" t="s">
        <v>32675</v>
      </c>
      <c r="H12038" t="s">
        <v>12635</v>
      </c>
      <c r="I12038" t="s">
        <v>5501</v>
      </c>
      <c r="J12038" t="s">
        <v>39916</v>
      </c>
      <c r="K12038" t="s">
        <v>42306</v>
      </c>
      <c r="L12038" t="s">
        <v>1939</v>
      </c>
      <c r="M12038" t="s">
        <v>44664</v>
      </c>
      <c r="N12038" t="s">
        <v>46569</v>
      </c>
      <c r="O12038" t="s">
        <v>46570</v>
      </c>
      <c r="P12038">
        <v>0</v>
      </c>
      <c r="Q12038">
        <v>0</v>
      </c>
      <c r="R12038" t="s">
        <v>46580</v>
      </c>
      <c r="S12038" t="s">
        <v>46986</v>
      </c>
      <c r="T12038" t="s">
        <v>48307</v>
      </c>
      <c r="U12038" t="s">
        <v>58441</v>
      </c>
      <c r="W12038" t="s">
        <v>44664</v>
      </c>
      <c r="X12038" t="s">
        <v>46581</v>
      </c>
    </row>
    <row r="12039" spans="1:24">
      <c r="A12039">
        <f>HYPERLINK("https://www.philgeps.gov.ph/GEPSNONPILOT/Tender/SplashBidNoticeAbstractUI.aspx?menuIndex=3&amp;refID=7046218&amp;Result=3","7046218")</f>
        <v>0</v>
      </c>
      <c r="B12039" t="s">
        <v>2150</v>
      </c>
      <c r="C12039" t="s">
        <v>14947</v>
      </c>
      <c r="D12039" t="s">
        <v>18851</v>
      </c>
      <c r="E12039" t="s">
        <v>29237</v>
      </c>
      <c r="F12039" t="s">
        <v>32664</v>
      </c>
      <c r="G12039" t="s">
        <v>32672</v>
      </c>
      <c r="H12039" t="s">
        <v>12635</v>
      </c>
      <c r="I12039" t="s">
        <v>32691</v>
      </c>
      <c r="J12039" t="s">
        <v>33793</v>
      </c>
      <c r="K12039" t="s">
        <v>42281</v>
      </c>
      <c r="M12039" t="s">
        <v>44906</v>
      </c>
      <c r="N12039" t="s">
        <v>46569</v>
      </c>
      <c r="O12039" t="s">
        <v>46570</v>
      </c>
      <c r="P12039">
        <v>0</v>
      </c>
      <c r="Q12039">
        <v>0</v>
      </c>
      <c r="R12039" t="s">
        <v>46580</v>
      </c>
      <c r="S12039" t="s">
        <v>46986</v>
      </c>
      <c r="T12039" t="s">
        <v>48212</v>
      </c>
      <c r="U12039" t="s">
        <v>58435</v>
      </c>
      <c r="W12039" t="s">
        <v>44906</v>
      </c>
      <c r="X12039" t="s">
        <v>46581</v>
      </c>
    </row>
    <row r="12040" spans="1:24">
      <c r="A12040">
        <f>HYPERLINK("https://www.philgeps.gov.ph/GEPSNONPILOT/Tender/SplashBidNoticeAbstractUI.aspx?menuIndex=3&amp;refID=7046256&amp;Result=3","7046256")</f>
        <v>0</v>
      </c>
      <c r="B12040" t="s">
        <v>2882</v>
      </c>
      <c r="C12040" t="s">
        <v>14948</v>
      </c>
      <c r="D12040" t="s">
        <v>18826</v>
      </c>
      <c r="E12040" t="s">
        <v>29243</v>
      </c>
      <c r="F12040" t="s">
        <v>32664</v>
      </c>
      <c r="G12040" t="s">
        <v>32672</v>
      </c>
      <c r="H12040" t="s">
        <v>32683</v>
      </c>
      <c r="I12040" t="s">
        <v>10627</v>
      </c>
      <c r="J12040" t="s">
        <v>33150</v>
      </c>
      <c r="K12040" t="s">
        <v>42285</v>
      </c>
      <c r="L12040" t="s">
        <v>2882</v>
      </c>
      <c r="M12040" t="s">
        <v>45731</v>
      </c>
      <c r="N12040" t="s">
        <v>46569</v>
      </c>
      <c r="O12040" t="s">
        <v>46570</v>
      </c>
      <c r="P12040">
        <v>0</v>
      </c>
      <c r="Q12040">
        <v>76</v>
      </c>
      <c r="R12040" t="s">
        <v>46580</v>
      </c>
      <c r="S12040" t="s">
        <v>46986</v>
      </c>
      <c r="T12040" t="s">
        <v>48303</v>
      </c>
      <c r="U12040" t="s">
        <v>58442</v>
      </c>
      <c r="W12040" t="s">
        <v>45731</v>
      </c>
      <c r="X12040" t="s">
        <v>46581</v>
      </c>
    </row>
    <row r="12041" spans="1:24">
      <c r="A12041">
        <f>HYPERLINK("https://www.philgeps.gov.ph/GEPSNONPILOT/Tender/SplashBidNoticeAbstractUI.aspx?menuIndex=3&amp;refID=7048325&amp;Result=3","7048325")</f>
        <v>0</v>
      </c>
      <c r="B12041" t="s">
        <v>1300</v>
      </c>
      <c r="C12041" t="s">
        <v>14949</v>
      </c>
      <c r="D12041" t="s">
        <v>18782</v>
      </c>
      <c r="E12041" t="s">
        <v>29244</v>
      </c>
      <c r="F12041" t="s">
        <v>32664</v>
      </c>
      <c r="G12041" t="s">
        <v>32672</v>
      </c>
      <c r="H12041" t="s">
        <v>12635</v>
      </c>
      <c r="I12041" t="s">
        <v>4205</v>
      </c>
      <c r="J12041" t="s">
        <v>39917</v>
      </c>
      <c r="K12041" t="s">
        <v>42297</v>
      </c>
      <c r="M12041" t="s">
        <v>43944</v>
      </c>
      <c r="N12041" t="s">
        <v>46569</v>
      </c>
      <c r="O12041" t="s">
        <v>46570</v>
      </c>
      <c r="P12041">
        <v>0</v>
      </c>
      <c r="Q12041">
        <v>2</v>
      </c>
      <c r="R12041" t="s">
        <v>46579</v>
      </c>
      <c r="S12041" t="s">
        <v>46919</v>
      </c>
      <c r="T12041" t="s">
        <v>48212</v>
      </c>
      <c r="U12041" t="s">
        <v>58443</v>
      </c>
      <c r="V12041" t="s">
        <v>61960</v>
      </c>
      <c r="W12041" t="s">
        <v>43944</v>
      </c>
      <c r="X12041" t="s">
        <v>46580</v>
      </c>
    </row>
    <row r="12042" spans="1:24">
      <c r="A12042">
        <f>HYPERLINK("https://www.philgeps.gov.ph/GEPSNONPILOT/Tender/SplashBidNoticeAbstractUI.aspx?menuIndex=3&amp;refID=7046299&amp;Result=3","7046299")</f>
        <v>0</v>
      </c>
      <c r="B12042" t="s">
        <v>3140</v>
      </c>
      <c r="C12042" t="s">
        <v>14950</v>
      </c>
      <c r="D12042" t="s">
        <v>18783</v>
      </c>
      <c r="E12042" t="s">
        <v>29245</v>
      </c>
      <c r="F12042" t="s">
        <v>32664</v>
      </c>
      <c r="G12042" t="s">
        <v>32672</v>
      </c>
      <c r="H12042" t="s">
        <v>32683</v>
      </c>
      <c r="I12042" t="s">
        <v>32707</v>
      </c>
      <c r="J12042" t="s">
        <v>33969</v>
      </c>
      <c r="K12042" t="s">
        <v>42312</v>
      </c>
      <c r="M12042" t="s">
        <v>46034</v>
      </c>
      <c r="N12042" t="s">
        <v>46569</v>
      </c>
      <c r="O12042" t="s">
        <v>46570</v>
      </c>
      <c r="P12042">
        <v>0</v>
      </c>
      <c r="Q12042">
        <v>7</v>
      </c>
      <c r="R12042" t="s">
        <v>46580</v>
      </c>
      <c r="S12042" t="s">
        <v>46986</v>
      </c>
      <c r="T12042" t="s">
        <v>48698</v>
      </c>
      <c r="U12042" t="s">
        <v>58444</v>
      </c>
      <c r="V12042" t="s">
        <v>62938</v>
      </c>
      <c r="W12042" t="s">
        <v>46034</v>
      </c>
      <c r="X12042" t="s">
        <v>46581</v>
      </c>
    </row>
    <row r="12043" spans="1:24">
      <c r="A12043">
        <f>HYPERLINK("https://www.philgeps.gov.ph/GEPSNONPILOT/Tender/SplashBidNoticeAbstractUI.aspx?menuIndex=3&amp;refID=7046255&amp;Result=3","7046255")</f>
        <v>0</v>
      </c>
      <c r="B12043" t="s">
        <v>790</v>
      </c>
      <c r="C12043" t="s">
        <v>14951</v>
      </c>
      <c r="D12043" t="s">
        <v>18809</v>
      </c>
      <c r="E12043" t="s">
        <v>29246</v>
      </c>
      <c r="F12043" t="s">
        <v>32664</v>
      </c>
      <c r="G12043" t="s">
        <v>32672</v>
      </c>
      <c r="H12043" t="s">
        <v>12635</v>
      </c>
      <c r="I12043" t="s">
        <v>10370</v>
      </c>
      <c r="J12043" t="s">
        <v>39918</v>
      </c>
      <c r="K12043" t="s">
        <v>42289</v>
      </c>
      <c r="M12043" t="s">
        <v>43382</v>
      </c>
      <c r="N12043" t="s">
        <v>46569</v>
      </c>
      <c r="O12043" t="s">
        <v>46570</v>
      </c>
      <c r="P12043">
        <v>0</v>
      </c>
      <c r="Q12043">
        <v>2</v>
      </c>
      <c r="R12043" t="s">
        <v>46580</v>
      </c>
      <c r="S12043" t="s">
        <v>46986</v>
      </c>
      <c r="T12043" t="s">
        <v>48376</v>
      </c>
      <c r="U12043" t="s">
        <v>58445</v>
      </c>
      <c r="W12043" t="s">
        <v>43382</v>
      </c>
      <c r="X12043" t="s">
        <v>46581</v>
      </c>
    </row>
    <row r="12044" spans="1:24">
      <c r="A12044">
        <f>HYPERLINK("https://www.philgeps.gov.ph/GEPSNONPILOT/Tender/SplashBidNoticeAbstractUI.aspx?menuIndex=3&amp;refID=7046420&amp;Result=3","7046420")</f>
        <v>0</v>
      </c>
      <c r="B12044" t="s">
        <v>570</v>
      </c>
      <c r="C12044" t="s">
        <v>14952</v>
      </c>
      <c r="E12044" t="s">
        <v>29247</v>
      </c>
      <c r="F12044" t="s">
        <v>32664</v>
      </c>
      <c r="G12044" t="s">
        <v>32672</v>
      </c>
      <c r="H12044" t="s">
        <v>12635</v>
      </c>
      <c r="I12044" t="s">
        <v>32689</v>
      </c>
      <c r="J12044" t="s">
        <v>39919</v>
      </c>
      <c r="K12044" t="s">
        <v>42283</v>
      </c>
      <c r="M12044" t="s">
        <v>43150</v>
      </c>
      <c r="N12044" t="s">
        <v>46569</v>
      </c>
      <c r="O12044" t="s">
        <v>46570</v>
      </c>
      <c r="P12044">
        <v>0</v>
      </c>
      <c r="Q12044">
        <v>1</v>
      </c>
      <c r="R12044" t="s">
        <v>46580</v>
      </c>
      <c r="S12044" t="s">
        <v>46986</v>
      </c>
      <c r="T12044" t="s">
        <v>48467</v>
      </c>
      <c r="U12044" t="s">
        <v>58446</v>
      </c>
      <c r="W12044" t="s">
        <v>43150</v>
      </c>
      <c r="X12044" t="s">
        <v>46581</v>
      </c>
    </row>
    <row r="12045" spans="1:24">
      <c r="A12045">
        <f>HYPERLINK("https://www.philgeps.gov.ph/GEPSNONPILOT/Tender/SplashBidNoticeAbstractUI.aspx?menuIndex=3&amp;refID=7046230&amp;Result=3","7046230")</f>
        <v>0</v>
      </c>
      <c r="B12045" t="s">
        <v>3145</v>
      </c>
      <c r="C12045" t="s">
        <v>14953</v>
      </c>
      <c r="D12045" t="s">
        <v>18826</v>
      </c>
      <c r="E12045" t="s">
        <v>29248</v>
      </c>
      <c r="F12045" t="s">
        <v>32664</v>
      </c>
      <c r="G12045" t="s">
        <v>32672</v>
      </c>
      <c r="H12045" t="s">
        <v>32683</v>
      </c>
      <c r="I12045" t="s">
        <v>10627</v>
      </c>
      <c r="J12045" t="s">
        <v>37240</v>
      </c>
      <c r="K12045" t="s">
        <v>42530</v>
      </c>
      <c r="M12045" t="s">
        <v>46040</v>
      </c>
      <c r="N12045" t="s">
        <v>46569</v>
      </c>
      <c r="O12045" t="s">
        <v>46570</v>
      </c>
      <c r="Q12045">
        <v>16</v>
      </c>
      <c r="R12045" t="s">
        <v>46580</v>
      </c>
      <c r="S12045" t="s">
        <v>47002</v>
      </c>
      <c r="T12045" t="s">
        <v>48637</v>
      </c>
      <c r="U12045" t="s">
        <v>58447</v>
      </c>
      <c r="W12045" t="s">
        <v>63588</v>
      </c>
      <c r="X12045" t="s">
        <v>46581</v>
      </c>
    </row>
    <row r="12046" spans="1:24">
      <c r="A12046">
        <f>HYPERLINK("https://www.philgeps.gov.ph/GEPSNONPILOT/Tender/SplashBidNoticeAbstractUI.aspx?menuIndex=3&amp;refID=7046417&amp;Result=3","7046417")</f>
        <v>0</v>
      </c>
      <c r="B12046" t="s">
        <v>83</v>
      </c>
      <c r="C12046" t="s">
        <v>14954</v>
      </c>
      <c r="D12046" t="s">
        <v>18784</v>
      </c>
      <c r="E12046" t="s">
        <v>25251</v>
      </c>
      <c r="F12046" t="s">
        <v>32664</v>
      </c>
      <c r="G12046" t="s">
        <v>32672</v>
      </c>
      <c r="H12046" t="s">
        <v>32683</v>
      </c>
      <c r="I12046" t="s">
        <v>10627</v>
      </c>
      <c r="J12046" t="s">
        <v>39920</v>
      </c>
      <c r="K12046" t="s">
        <v>42365</v>
      </c>
      <c r="M12046" t="s">
        <v>46041</v>
      </c>
      <c r="N12046" t="s">
        <v>46569</v>
      </c>
      <c r="O12046" t="s">
        <v>46570</v>
      </c>
      <c r="P12046">
        <v>0</v>
      </c>
      <c r="Q12046">
        <v>12</v>
      </c>
      <c r="R12046" t="s">
        <v>46580</v>
      </c>
      <c r="S12046" t="s">
        <v>46986</v>
      </c>
      <c r="T12046" t="s">
        <v>48238</v>
      </c>
      <c r="U12046" t="s">
        <v>58448</v>
      </c>
      <c r="W12046" t="s">
        <v>46041</v>
      </c>
      <c r="X12046" t="s">
        <v>46581</v>
      </c>
    </row>
    <row r="12047" spans="1:24">
      <c r="A12047">
        <f>HYPERLINK("https://www.philgeps.gov.ph/GEPSNONPILOT/Tender/SplashBidNoticeAbstractUI.aspx?menuIndex=3&amp;refID=7046416&amp;Result=3","7046416")</f>
        <v>0</v>
      </c>
      <c r="B12047" t="s">
        <v>2145</v>
      </c>
      <c r="C12047" t="s">
        <v>14955</v>
      </c>
      <c r="D12047" t="s">
        <v>18847</v>
      </c>
      <c r="E12047" t="s">
        <v>29249</v>
      </c>
      <c r="F12047" t="s">
        <v>32664</v>
      </c>
      <c r="G12047" t="s">
        <v>32673</v>
      </c>
      <c r="H12047" t="s">
        <v>32683</v>
      </c>
      <c r="I12047" t="s">
        <v>10627</v>
      </c>
      <c r="J12047" t="s">
        <v>39921</v>
      </c>
      <c r="K12047" t="s">
        <v>42290</v>
      </c>
      <c r="M12047" t="s">
        <v>45745</v>
      </c>
      <c r="N12047" t="s">
        <v>46569</v>
      </c>
      <c r="O12047" t="s">
        <v>46570</v>
      </c>
      <c r="P12047">
        <v>0</v>
      </c>
      <c r="Q12047">
        <v>0</v>
      </c>
      <c r="R12047" t="s">
        <v>46580</v>
      </c>
      <c r="S12047" t="s">
        <v>46986</v>
      </c>
      <c r="T12047" t="s">
        <v>48212</v>
      </c>
      <c r="U12047" t="s">
        <v>57283</v>
      </c>
      <c r="V12047" t="s">
        <v>62939</v>
      </c>
      <c r="W12047" t="s">
        <v>63577</v>
      </c>
      <c r="X12047" t="s">
        <v>46581</v>
      </c>
    </row>
    <row r="12048" spans="1:24">
      <c r="A12048">
        <f>HYPERLINK("https://www.philgeps.gov.ph/GEPSNONPILOT/Tender/SplashBidNoticeAbstractUI.aspx?menuIndex=3&amp;refID=7046395&amp;Result=3","7046395")</f>
        <v>0</v>
      </c>
      <c r="B12048" t="s">
        <v>3146</v>
      </c>
      <c r="C12048" t="s">
        <v>14956</v>
      </c>
      <c r="D12048" t="s">
        <v>18851</v>
      </c>
      <c r="E12048" t="s">
        <v>29250</v>
      </c>
      <c r="F12048" t="s">
        <v>32664</v>
      </c>
      <c r="G12048" t="s">
        <v>32672</v>
      </c>
      <c r="H12048" t="s">
        <v>12635</v>
      </c>
      <c r="I12048" t="s">
        <v>32708</v>
      </c>
      <c r="J12048" t="s">
        <v>33121</v>
      </c>
      <c r="K12048" t="s">
        <v>42281</v>
      </c>
      <c r="M12048" t="s">
        <v>46042</v>
      </c>
      <c r="N12048" t="s">
        <v>46569</v>
      </c>
      <c r="O12048" t="s">
        <v>46570</v>
      </c>
      <c r="P12048">
        <v>0</v>
      </c>
      <c r="Q12048">
        <v>3</v>
      </c>
      <c r="R12048" t="s">
        <v>46580</v>
      </c>
      <c r="S12048" t="s">
        <v>46986</v>
      </c>
      <c r="T12048" t="s">
        <v>48238</v>
      </c>
      <c r="U12048" t="s">
        <v>58449</v>
      </c>
      <c r="W12048" t="s">
        <v>46042</v>
      </c>
      <c r="X12048" t="s">
        <v>46581</v>
      </c>
    </row>
    <row r="12049" spans="1:24">
      <c r="A12049">
        <f>HYPERLINK("https://www.philgeps.gov.ph/GEPSNONPILOT/Tender/SplashBidNoticeAbstractUI.aspx?menuIndex=3&amp;refID=7046386&amp;Result=3","7046386")</f>
        <v>0</v>
      </c>
      <c r="B12049" t="s">
        <v>2940</v>
      </c>
      <c r="C12049" t="s">
        <v>13767</v>
      </c>
      <c r="D12049" t="s">
        <v>18833</v>
      </c>
      <c r="E12049" t="s">
        <v>29251</v>
      </c>
      <c r="F12049" t="s">
        <v>32664</v>
      </c>
      <c r="G12049" t="s">
        <v>32672</v>
      </c>
      <c r="H12049" t="s">
        <v>32683</v>
      </c>
      <c r="I12049" t="s">
        <v>10627</v>
      </c>
      <c r="J12049" t="s">
        <v>39922</v>
      </c>
      <c r="K12049" t="s">
        <v>42321</v>
      </c>
      <c r="M12049" t="s">
        <v>45794</v>
      </c>
      <c r="N12049" t="s">
        <v>46569</v>
      </c>
      <c r="O12049" t="s">
        <v>46570</v>
      </c>
      <c r="P12049">
        <v>0</v>
      </c>
      <c r="Q12049">
        <v>0</v>
      </c>
      <c r="R12049" t="s">
        <v>46580</v>
      </c>
      <c r="S12049" t="s">
        <v>46986</v>
      </c>
      <c r="T12049" t="s">
        <v>48321</v>
      </c>
      <c r="U12049" t="s">
        <v>58450</v>
      </c>
      <c r="W12049" t="s">
        <v>45794</v>
      </c>
      <c r="X12049" t="s">
        <v>46581</v>
      </c>
    </row>
    <row r="12050" spans="1:24">
      <c r="A12050">
        <f>HYPERLINK("https://www.philgeps.gov.ph/GEPSNONPILOT/Tender/SplashBidNoticeAbstractUI.aspx?menuIndex=3&amp;refID=7046384&amp;Result=3","7046384")</f>
        <v>0</v>
      </c>
      <c r="B12050" t="s">
        <v>3147</v>
      </c>
      <c r="C12050" t="s">
        <v>14957</v>
      </c>
      <c r="D12050" t="s">
        <v>18848</v>
      </c>
      <c r="E12050" t="s">
        <v>29252</v>
      </c>
      <c r="F12050" t="s">
        <v>32664</v>
      </c>
      <c r="G12050" t="s">
        <v>32672</v>
      </c>
      <c r="H12050" t="s">
        <v>32683</v>
      </c>
      <c r="I12050" t="s">
        <v>32723</v>
      </c>
      <c r="J12050" t="s">
        <v>32930</v>
      </c>
      <c r="K12050" t="s">
        <v>42305</v>
      </c>
      <c r="M12050" t="s">
        <v>46043</v>
      </c>
      <c r="N12050" t="s">
        <v>46569</v>
      </c>
      <c r="O12050" t="s">
        <v>46570</v>
      </c>
      <c r="P12050">
        <v>0</v>
      </c>
      <c r="Q12050">
        <v>4</v>
      </c>
      <c r="R12050" t="s">
        <v>46580</v>
      </c>
      <c r="S12050" t="s">
        <v>46986</v>
      </c>
      <c r="T12050" t="s">
        <v>48272</v>
      </c>
      <c r="U12050" t="s">
        <v>58451</v>
      </c>
      <c r="W12050" t="s">
        <v>46043</v>
      </c>
      <c r="X12050" t="s">
        <v>46581</v>
      </c>
    </row>
    <row r="12051" spans="1:24">
      <c r="A12051">
        <f>HYPERLINK("https://www.philgeps.gov.ph/GEPSNONPILOT/Tender/SplashBidNoticeAbstractUI.aspx?menuIndex=3&amp;refID=7046381&amp;Result=3","7046381")</f>
        <v>0</v>
      </c>
      <c r="B12051" t="s">
        <v>189</v>
      </c>
      <c r="C12051" t="s">
        <v>14958</v>
      </c>
      <c r="E12051" t="s">
        <v>29253</v>
      </c>
      <c r="F12051" t="s">
        <v>32664</v>
      </c>
      <c r="G12051" t="s">
        <v>32672</v>
      </c>
      <c r="H12051" t="s">
        <v>32683</v>
      </c>
      <c r="I12051" t="s">
        <v>10627</v>
      </c>
      <c r="J12051" t="s">
        <v>39923</v>
      </c>
      <c r="K12051" t="s">
        <v>42298</v>
      </c>
      <c r="M12051" t="s">
        <v>42753</v>
      </c>
      <c r="N12051" t="s">
        <v>46569</v>
      </c>
      <c r="O12051" t="s">
        <v>46570</v>
      </c>
      <c r="P12051">
        <v>0</v>
      </c>
      <c r="Q12051">
        <v>1</v>
      </c>
      <c r="R12051" t="s">
        <v>46580</v>
      </c>
      <c r="S12051" t="s">
        <v>46986</v>
      </c>
      <c r="T12051" t="s">
        <v>48236</v>
      </c>
      <c r="U12051" t="s">
        <v>58452</v>
      </c>
      <c r="W12051" t="s">
        <v>42753</v>
      </c>
      <c r="X12051" t="s">
        <v>46581</v>
      </c>
    </row>
    <row r="12052" spans="1:24">
      <c r="A12052">
        <f>HYPERLINK("https://www.philgeps.gov.ph/GEPSNONPILOT/Tender/SplashBidNoticeAbstractUI.aspx?menuIndex=3&amp;refID=7046421&amp;Result=3","7046421")</f>
        <v>0</v>
      </c>
      <c r="B12052" t="s">
        <v>145</v>
      </c>
      <c r="C12052" t="s">
        <v>14959</v>
      </c>
      <c r="D12052" t="s">
        <v>18784</v>
      </c>
      <c r="E12052" t="s">
        <v>29254</v>
      </c>
      <c r="F12052" t="s">
        <v>32664</v>
      </c>
      <c r="G12052" t="s">
        <v>32672</v>
      </c>
      <c r="H12052" t="s">
        <v>12635</v>
      </c>
      <c r="I12052" t="s">
        <v>6553</v>
      </c>
      <c r="J12052" t="s">
        <v>39924</v>
      </c>
      <c r="K12052" t="s">
        <v>42283</v>
      </c>
      <c r="M12052" t="s">
        <v>46044</v>
      </c>
      <c r="N12052" t="s">
        <v>46569</v>
      </c>
      <c r="O12052" t="s">
        <v>46570</v>
      </c>
      <c r="P12052">
        <v>0</v>
      </c>
      <c r="Q12052">
        <v>3</v>
      </c>
      <c r="R12052" t="s">
        <v>46580</v>
      </c>
      <c r="S12052" t="s">
        <v>46986</v>
      </c>
      <c r="T12052" t="s">
        <v>48453</v>
      </c>
      <c r="U12052" t="s">
        <v>58453</v>
      </c>
      <c r="V12052" t="s">
        <v>62940</v>
      </c>
      <c r="W12052" t="s">
        <v>46044</v>
      </c>
      <c r="X12052" t="s">
        <v>46581</v>
      </c>
    </row>
    <row r="12053" spans="1:24">
      <c r="A12053">
        <f>HYPERLINK("https://www.philgeps.gov.ph/GEPSNONPILOT/Tender/SplashBidNoticeAbstractUI.aspx?menuIndex=3&amp;refID=7046377&amp;Result=3","7046377")</f>
        <v>0</v>
      </c>
      <c r="B12053" t="s">
        <v>1705</v>
      </c>
      <c r="C12053" t="s">
        <v>14960</v>
      </c>
      <c r="D12053" t="s">
        <v>18831</v>
      </c>
      <c r="E12053" t="s">
        <v>29255</v>
      </c>
      <c r="F12053" t="s">
        <v>32664</v>
      </c>
      <c r="G12053" t="s">
        <v>32672</v>
      </c>
      <c r="H12053" t="s">
        <v>12635</v>
      </c>
      <c r="I12053" t="s">
        <v>8730</v>
      </c>
      <c r="J12053" t="s">
        <v>39925</v>
      </c>
      <c r="K12053" t="s">
        <v>42284</v>
      </c>
      <c r="M12053" t="s">
        <v>44399</v>
      </c>
      <c r="N12053" t="s">
        <v>46569</v>
      </c>
      <c r="O12053" t="s">
        <v>46570</v>
      </c>
      <c r="Q12053">
        <v>8</v>
      </c>
      <c r="R12053" t="s">
        <v>46580</v>
      </c>
      <c r="S12053" t="s">
        <v>47003</v>
      </c>
      <c r="T12053" t="s">
        <v>48483</v>
      </c>
      <c r="U12053" t="s">
        <v>58454</v>
      </c>
      <c r="W12053" t="s">
        <v>44399</v>
      </c>
      <c r="X12053" t="s">
        <v>46581</v>
      </c>
    </row>
    <row r="12054" spans="1:24">
      <c r="A12054">
        <f>HYPERLINK("https://www.philgeps.gov.ph/GEPSNONPILOT/Tender/SplashBidNoticeAbstractUI.aspx?menuIndex=3&amp;refID=7046359&amp;Result=3","7046359")</f>
        <v>0</v>
      </c>
      <c r="B12054" t="s">
        <v>1897</v>
      </c>
      <c r="C12054" t="s">
        <v>14961</v>
      </c>
      <c r="D12054" t="s">
        <v>18802</v>
      </c>
      <c r="E12054" t="s">
        <v>29256</v>
      </c>
      <c r="F12054" t="s">
        <v>32664</v>
      </c>
      <c r="G12054" t="s">
        <v>32672</v>
      </c>
      <c r="H12054" t="s">
        <v>12635</v>
      </c>
      <c r="I12054" t="s">
        <v>32694</v>
      </c>
      <c r="J12054" t="s">
        <v>39926</v>
      </c>
      <c r="K12054" t="s">
        <v>42281</v>
      </c>
      <c r="M12054" t="s">
        <v>44616</v>
      </c>
      <c r="N12054" t="s">
        <v>46569</v>
      </c>
      <c r="O12054" t="s">
        <v>46570</v>
      </c>
      <c r="P12054">
        <v>0</v>
      </c>
      <c r="Q12054">
        <v>0</v>
      </c>
      <c r="R12054" t="s">
        <v>46580</v>
      </c>
      <c r="S12054" t="s">
        <v>46986</v>
      </c>
      <c r="T12054" t="s">
        <v>48219</v>
      </c>
      <c r="U12054" t="s">
        <v>58455</v>
      </c>
      <c r="W12054" t="s">
        <v>44616</v>
      </c>
      <c r="X12054" t="s">
        <v>46581</v>
      </c>
    </row>
    <row r="12055" spans="1:24">
      <c r="A12055">
        <f>HYPERLINK("https://www.philgeps.gov.ph/GEPSNONPILOT/Tender/SplashBidNoticeAbstractUI.aspx?menuIndex=3&amp;refID=7046400&amp;Result=3","7046400")</f>
        <v>0</v>
      </c>
      <c r="B12055" t="s">
        <v>2206</v>
      </c>
      <c r="C12055" t="s">
        <v>14962</v>
      </c>
      <c r="D12055" t="s">
        <v>18845</v>
      </c>
      <c r="E12055" t="s">
        <v>29257</v>
      </c>
      <c r="F12055" t="s">
        <v>32664</v>
      </c>
      <c r="G12055" t="s">
        <v>32672</v>
      </c>
      <c r="H12055" t="s">
        <v>32682</v>
      </c>
      <c r="I12055" t="s">
        <v>4439</v>
      </c>
      <c r="J12055" t="s">
        <v>39927</v>
      </c>
      <c r="K12055" t="s">
        <v>42298</v>
      </c>
      <c r="M12055" t="s">
        <v>44970</v>
      </c>
      <c r="N12055" t="s">
        <v>46569</v>
      </c>
      <c r="O12055" t="s">
        <v>46570</v>
      </c>
      <c r="P12055">
        <v>0</v>
      </c>
      <c r="Q12055">
        <v>1</v>
      </c>
      <c r="R12055" t="s">
        <v>46580</v>
      </c>
      <c r="S12055" t="s">
        <v>46986</v>
      </c>
      <c r="T12055" t="s">
        <v>48502</v>
      </c>
      <c r="U12055" t="s">
        <v>56676</v>
      </c>
      <c r="W12055" t="s">
        <v>44970</v>
      </c>
      <c r="X12055" t="s">
        <v>46581</v>
      </c>
    </row>
    <row r="12056" spans="1:24">
      <c r="A12056">
        <f>HYPERLINK("https://www.philgeps.gov.ph/GEPSNONPILOT/Tender/SplashBidNoticeAbstractUI.aspx?menuIndex=3&amp;refID=7046319&amp;Result=3","7046319")</f>
        <v>0</v>
      </c>
      <c r="B12056" t="s">
        <v>2206</v>
      </c>
      <c r="C12056" t="s">
        <v>11561</v>
      </c>
      <c r="D12056" t="s">
        <v>18845</v>
      </c>
      <c r="E12056" t="s">
        <v>29258</v>
      </c>
      <c r="F12056" t="s">
        <v>32664</v>
      </c>
      <c r="G12056" t="s">
        <v>32672</v>
      </c>
      <c r="H12056" t="s">
        <v>32682</v>
      </c>
      <c r="I12056" t="s">
        <v>4439</v>
      </c>
      <c r="J12056" t="s">
        <v>33128</v>
      </c>
      <c r="K12056" t="s">
        <v>42281</v>
      </c>
      <c r="M12056" t="s">
        <v>44970</v>
      </c>
      <c r="N12056" t="s">
        <v>46569</v>
      </c>
      <c r="O12056" t="s">
        <v>46570</v>
      </c>
      <c r="P12056">
        <v>0</v>
      </c>
      <c r="Q12056">
        <v>1</v>
      </c>
      <c r="R12056" t="s">
        <v>46580</v>
      </c>
      <c r="S12056" t="s">
        <v>46986</v>
      </c>
      <c r="T12056" t="s">
        <v>48287</v>
      </c>
      <c r="U12056" t="s">
        <v>56676</v>
      </c>
      <c r="W12056" t="s">
        <v>44970</v>
      </c>
      <c r="X12056" t="s">
        <v>46581</v>
      </c>
    </row>
    <row r="12057" spans="1:24">
      <c r="A12057">
        <f>HYPERLINK("https://www.philgeps.gov.ph/GEPSNONPILOT/Tender/SplashBidNoticeAbstractUI.aspx?menuIndex=3&amp;refID=7046353&amp;Result=3","7046353")</f>
        <v>0</v>
      </c>
      <c r="B12057" t="s">
        <v>3148</v>
      </c>
      <c r="C12057" t="s">
        <v>14963</v>
      </c>
      <c r="D12057" t="s">
        <v>18783</v>
      </c>
      <c r="E12057" t="s">
        <v>29259</v>
      </c>
      <c r="F12057" t="s">
        <v>32664</v>
      </c>
      <c r="G12057" t="s">
        <v>32671</v>
      </c>
      <c r="H12057" t="s">
        <v>12635</v>
      </c>
      <c r="I12057" t="s">
        <v>4439</v>
      </c>
      <c r="J12057" t="s">
        <v>39928</v>
      </c>
      <c r="K12057" t="s">
        <v>42283</v>
      </c>
      <c r="M12057" t="s">
        <v>46045</v>
      </c>
      <c r="N12057" t="s">
        <v>46569</v>
      </c>
      <c r="O12057" t="s">
        <v>46570</v>
      </c>
      <c r="P12057">
        <v>0</v>
      </c>
      <c r="Q12057">
        <v>0</v>
      </c>
      <c r="R12057" t="s">
        <v>46580</v>
      </c>
      <c r="S12057" t="s">
        <v>46986</v>
      </c>
      <c r="T12057" t="s">
        <v>48316</v>
      </c>
      <c r="U12057" t="s">
        <v>58456</v>
      </c>
      <c r="W12057" t="s">
        <v>46045</v>
      </c>
      <c r="X12057" t="s">
        <v>46581</v>
      </c>
    </row>
    <row r="12058" spans="1:24">
      <c r="A12058">
        <f>HYPERLINK("https://www.philgeps.gov.ph/GEPSNONPILOT/Tender/SplashBidNoticeAbstractUI.aspx?menuIndex=3&amp;refID=7046311&amp;Result=3","7046311")</f>
        <v>0</v>
      </c>
      <c r="B12058" t="s">
        <v>2940</v>
      </c>
      <c r="C12058" t="s">
        <v>14964</v>
      </c>
      <c r="D12058" t="s">
        <v>18833</v>
      </c>
      <c r="E12058" t="s">
        <v>29260</v>
      </c>
      <c r="F12058" t="s">
        <v>32664</v>
      </c>
      <c r="G12058" t="s">
        <v>32672</v>
      </c>
      <c r="H12058" t="s">
        <v>32683</v>
      </c>
      <c r="I12058" t="s">
        <v>10627</v>
      </c>
      <c r="J12058" t="s">
        <v>39929</v>
      </c>
      <c r="K12058" t="s">
        <v>42318</v>
      </c>
      <c r="M12058" t="s">
        <v>45794</v>
      </c>
      <c r="N12058" t="s">
        <v>46569</v>
      </c>
      <c r="O12058" t="s">
        <v>46570</v>
      </c>
      <c r="P12058">
        <v>0</v>
      </c>
      <c r="Q12058">
        <v>0</v>
      </c>
      <c r="R12058" t="s">
        <v>46580</v>
      </c>
      <c r="S12058" t="s">
        <v>46986</v>
      </c>
      <c r="T12058" t="s">
        <v>48321</v>
      </c>
      <c r="U12058" t="s">
        <v>58457</v>
      </c>
      <c r="W12058" t="s">
        <v>45794</v>
      </c>
      <c r="X12058" t="s">
        <v>46581</v>
      </c>
    </row>
    <row r="12059" spans="1:24">
      <c r="A12059">
        <f>HYPERLINK("https://www.philgeps.gov.ph/GEPSNONPILOT/Tender/SplashBidNoticeAbstractUI.aspx?menuIndex=3&amp;refID=7046303&amp;Result=3","7046303")</f>
        <v>0</v>
      </c>
      <c r="B12059" t="s">
        <v>189</v>
      </c>
      <c r="C12059" t="s">
        <v>14965</v>
      </c>
      <c r="E12059" t="s">
        <v>29261</v>
      </c>
      <c r="F12059" t="s">
        <v>32664</v>
      </c>
      <c r="G12059" t="s">
        <v>32672</v>
      </c>
      <c r="H12059" t="s">
        <v>32683</v>
      </c>
      <c r="I12059" t="s">
        <v>10627</v>
      </c>
      <c r="J12059" t="s">
        <v>39930</v>
      </c>
      <c r="K12059" t="s">
        <v>42369</v>
      </c>
      <c r="M12059" t="s">
        <v>42753</v>
      </c>
      <c r="N12059" t="s">
        <v>46569</v>
      </c>
      <c r="O12059" t="s">
        <v>46570</v>
      </c>
      <c r="P12059">
        <v>0</v>
      </c>
      <c r="Q12059">
        <v>0</v>
      </c>
      <c r="R12059" t="s">
        <v>46580</v>
      </c>
      <c r="S12059" t="s">
        <v>46986</v>
      </c>
      <c r="T12059" t="s">
        <v>48236</v>
      </c>
      <c r="U12059" t="s">
        <v>58458</v>
      </c>
      <c r="W12059" t="s">
        <v>42753</v>
      </c>
      <c r="X12059" t="s">
        <v>46581</v>
      </c>
    </row>
    <row r="12060" spans="1:24">
      <c r="A12060">
        <f>HYPERLINK("https://www.philgeps.gov.ph/GEPSNONPILOT/Tender/SplashBidNoticeAbstractUI.aspx?menuIndex=3&amp;refID=7046286&amp;Result=3","7046286")</f>
        <v>0</v>
      </c>
      <c r="B12060" t="s">
        <v>189</v>
      </c>
      <c r="C12060" t="s">
        <v>14966</v>
      </c>
      <c r="E12060" t="s">
        <v>29262</v>
      </c>
      <c r="F12060" t="s">
        <v>32664</v>
      </c>
      <c r="G12060" t="s">
        <v>32672</v>
      </c>
      <c r="H12060" t="s">
        <v>32683</v>
      </c>
      <c r="I12060" t="s">
        <v>10627</v>
      </c>
      <c r="J12060" t="s">
        <v>39931</v>
      </c>
      <c r="K12060" t="s">
        <v>42405</v>
      </c>
      <c r="M12060" t="s">
        <v>42753</v>
      </c>
      <c r="N12060" t="s">
        <v>46569</v>
      </c>
      <c r="O12060" t="s">
        <v>46570</v>
      </c>
      <c r="P12060">
        <v>0</v>
      </c>
      <c r="Q12060">
        <v>0</v>
      </c>
      <c r="R12060" t="s">
        <v>46580</v>
      </c>
      <c r="S12060" t="s">
        <v>46986</v>
      </c>
      <c r="T12060" t="s">
        <v>48236</v>
      </c>
      <c r="U12060" t="s">
        <v>58452</v>
      </c>
      <c r="W12060" t="s">
        <v>42753</v>
      </c>
      <c r="X12060" t="s">
        <v>46581</v>
      </c>
    </row>
    <row r="12061" spans="1:24">
      <c r="A12061">
        <f>HYPERLINK("https://www.philgeps.gov.ph/GEPSNONPILOT/Tender/SplashBidNoticeAbstractUI.aspx?menuIndex=3&amp;refID=7046258&amp;Result=3","7046258")</f>
        <v>0</v>
      </c>
      <c r="B12061" t="s">
        <v>3137</v>
      </c>
      <c r="C12061" t="s">
        <v>14967</v>
      </c>
      <c r="D12061" t="s">
        <v>18824</v>
      </c>
      <c r="E12061" t="s">
        <v>29263</v>
      </c>
      <c r="F12061" t="s">
        <v>32664</v>
      </c>
      <c r="G12061" t="s">
        <v>32672</v>
      </c>
      <c r="H12061" t="s">
        <v>12635</v>
      </c>
      <c r="I12061" t="s">
        <v>32704</v>
      </c>
      <c r="J12061" t="s">
        <v>39932</v>
      </c>
      <c r="K12061" t="s">
        <v>42298</v>
      </c>
      <c r="M12061" t="s">
        <v>46031</v>
      </c>
      <c r="N12061" t="s">
        <v>46569</v>
      </c>
      <c r="O12061" t="s">
        <v>46570</v>
      </c>
      <c r="P12061">
        <v>0</v>
      </c>
      <c r="Q12061">
        <v>13</v>
      </c>
      <c r="R12061" t="s">
        <v>46580</v>
      </c>
      <c r="S12061" t="s">
        <v>46986</v>
      </c>
      <c r="T12061" t="s">
        <v>48429</v>
      </c>
      <c r="U12061" t="s">
        <v>58459</v>
      </c>
      <c r="V12061" t="s">
        <v>62928</v>
      </c>
      <c r="W12061" t="s">
        <v>46031</v>
      </c>
      <c r="X12061" t="s">
        <v>46581</v>
      </c>
    </row>
    <row r="12062" spans="1:24">
      <c r="A12062">
        <f>HYPERLINK("https://www.philgeps.gov.ph/GEPSNONPILOT/Tender/SplashBidNoticeAbstractUI.aspx?menuIndex=3&amp;refID=7046224&amp;Result=3","7046224")</f>
        <v>0</v>
      </c>
      <c r="B12062" t="s">
        <v>3149</v>
      </c>
      <c r="C12062" t="s">
        <v>14968</v>
      </c>
      <c r="E12062" t="s">
        <v>29264</v>
      </c>
      <c r="F12062" t="s">
        <v>32664</v>
      </c>
      <c r="G12062" t="s">
        <v>32672</v>
      </c>
      <c r="H12062" t="s">
        <v>32683</v>
      </c>
      <c r="I12062" t="s">
        <v>10627</v>
      </c>
      <c r="J12062" t="s">
        <v>39933</v>
      </c>
      <c r="K12062" t="s">
        <v>42283</v>
      </c>
      <c r="M12062" t="s">
        <v>46046</v>
      </c>
      <c r="N12062" t="s">
        <v>46569</v>
      </c>
      <c r="O12062" t="s">
        <v>46570</v>
      </c>
      <c r="P12062">
        <v>0</v>
      </c>
      <c r="Q12062">
        <v>0</v>
      </c>
      <c r="R12062" t="s">
        <v>46580</v>
      </c>
      <c r="S12062" t="s">
        <v>46986</v>
      </c>
      <c r="T12062" t="s">
        <v>48284</v>
      </c>
      <c r="U12062" t="s">
        <v>58460</v>
      </c>
      <c r="W12062" t="s">
        <v>46046</v>
      </c>
      <c r="X12062" t="s">
        <v>46581</v>
      </c>
    </row>
    <row r="12063" spans="1:24">
      <c r="A12063">
        <f>HYPERLINK("https://www.philgeps.gov.ph/GEPSNONPILOT/Tender/SplashBidNoticeAbstractUI.aspx?menuIndex=3&amp;refID=7046344&amp;Result=3","7046344")</f>
        <v>0</v>
      </c>
      <c r="B12063" t="s">
        <v>1705</v>
      </c>
      <c r="C12063" t="s">
        <v>14969</v>
      </c>
      <c r="D12063" t="s">
        <v>18831</v>
      </c>
      <c r="E12063" t="s">
        <v>29265</v>
      </c>
      <c r="F12063" t="s">
        <v>32664</v>
      </c>
      <c r="G12063" t="s">
        <v>32672</v>
      </c>
      <c r="H12063" t="s">
        <v>12635</v>
      </c>
      <c r="I12063" t="s">
        <v>4439</v>
      </c>
      <c r="J12063" t="s">
        <v>39934</v>
      </c>
      <c r="K12063" t="s">
        <v>42284</v>
      </c>
      <c r="M12063" t="s">
        <v>44399</v>
      </c>
      <c r="N12063" t="s">
        <v>46569</v>
      </c>
      <c r="O12063" t="s">
        <v>46570</v>
      </c>
      <c r="P12063">
        <v>0</v>
      </c>
      <c r="Q12063">
        <v>2</v>
      </c>
      <c r="R12063" t="s">
        <v>46580</v>
      </c>
      <c r="S12063" t="s">
        <v>46986</v>
      </c>
      <c r="T12063" t="s">
        <v>48483</v>
      </c>
      <c r="U12063" t="s">
        <v>58461</v>
      </c>
      <c r="W12063" t="s">
        <v>44399</v>
      </c>
      <c r="X12063" t="s">
        <v>46581</v>
      </c>
    </row>
    <row r="12064" spans="1:24">
      <c r="A12064">
        <f>HYPERLINK("https://www.philgeps.gov.ph/GEPSNONPILOT/Tender/SplashBidNoticeAbstractUI.aspx?menuIndex=3&amp;refID=7046539&amp;Result=3","7046539")</f>
        <v>0</v>
      </c>
      <c r="B12064" t="s">
        <v>3051</v>
      </c>
      <c r="C12064" t="s">
        <v>14970</v>
      </c>
      <c r="D12064" t="s">
        <v>18813</v>
      </c>
      <c r="E12064" t="s">
        <v>29266</v>
      </c>
      <c r="F12064" t="s">
        <v>32664</v>
      </c>
      <c r="G12064" t="s">
        <v>32672</v>
      </c>
      <c r="H12064" t="s">
        <v>32683</v>
      </c>
      <c r="I12064" t="s">
        <v>10627</v>
      </c>
      <c r="J12064" t="s">
        <v>32962</v>
      </c>
      <c r="K12064" t="s">
        <v>42285</v>
      </c>
      <c r="M12064" t="s">
        <v>45926</v>
      </c>
      <c r="N12064" t="s">
        <v>46569</v>
      </c>
      <c r="O12064" t="s">
        <v>46570</v>
      </c>
      <c r="P12064">
        <v>0</v>
      </c>
      <c r="Q12064">
        <v>3</v>
      </c>
      <c r="R12064" t="s">
        <v>46580</v>
      </c>
      <c r="S12064" t="s">
        <v>46986</v>
      </c>
      <c r="T12064" t="s">
        <v>48309</v>
      </c>
      <c r="U12064" t="s">
        <v>58462</v>
      </c>
      <c r="W12064" t="s">
        <v>45926</v>
      </c>
      <c r="X12064" t="s">
        <v>46581</v>
      </c>
    </row>
    <row r="12065" spans="1:24">
      <c r="A12065">
        <f>HYPERLINK("https://www.philgeps.gov.ph/GEPSNONPILOT/Tender/SplashBidNoticeAbstractUI.aspx?menuIndex=3&amp;refID=7046534&amp;Result=3","7046534")</f>
        <v>0</v>
      </c>
      <c r="B12065" t="s">
        <v>189</v>
      </c>
      <c r="C12065" t="s">
        <v>14971</v>
      </c>
      <c r="E12065" t="s">
        <v>29267</v>
      </c>
      <c r="F12065" t="s">
        <v>32664</v>
      </c>
      <c r="G12065" t="s">
        <v>32672</v>
      </c>
      <c r="H12065" t="s">
        <v>32683</v>
      </c>
      <c r="I12065" t="s">
        <v>10627</v>
      </c>
      <c r="J12065" t="s">
        <v>39935</v>
      </c>
      <c r="K12065" t="s">
        <v>42427</v>
      </c>
      <c r="M12065" t="s">
        <v>42753</v>
      </c>
      <c r="N12065" t="s">
        <v>46569</v>
      </c>
      <c r="O12065" t="s">
        <v>46570</v>
      </c>
      <c r="P12065">
        <v>0</v>
      </c>
      <c r="Q12065">
        <v>0</v>
      </c>
      <c r="R12065" t="s">
        <v>46580</v>
      </c>
      <c r="S12065" t="s">
        <v>46986</v>
      </c>
      <c r="T12065" t="s">
        <v>48236</v>
      </c>
      <c r="U12065" t="s">
        <v>58463</v>
      </c>
      <c r="W12065" t="s">
        <v>42753</v>
      </c>
      <c r="X12065" t="s">
        <v>46581</v>
      </c>
    </row>
    <row r="12066" spans="1:24">
      <c r="A12066">
        <f>HYPERLINK("https://www.philgeps.gov.ph/GEPSNONPILOT/Tender/SplashBidNoticeAbstractUI.aspx?menuIndex=3&amp;refID=7046211&amp;Result=3","7046211")</f>
        <v>0</v>
      </c>
      <c r="B12066" t="s">
        <v>3137</v>
      </c>
      <c r="C12066" t="s">
        <v>14972</v>
      </c>
      <c r="D12066" t="s">
        <v>18824</v>
      </c>
      <c r="E12066" t="s">
        <v>29268</v>
      </c>
      <c r="F12066" t="s">
        <v>32664</v>
      </c>
      <c r="G12066" t="s">
        <v>32672</v>
      </c>
      <c r="H12066" t="s">
        <v>12635</v>
      </c>
      <c r="I12066" t="s">
        <v>32704</v>
      </c>
      <c r="J12066" t="s">
        <v>32837</v>
      </c>
      <c r="K12066" t="s">
        <v>42298</v>
      </c>
      <c r="M12066" t="s">
        <v>46031</v>
      </c>
      <c r="N12066" t="s">
        <v>46569</v>
      </c>
      <c r="O12066" t="s">
        <v>46570</v>
      </c>
      <c r="P12066">
        <v>0</v>
      </c>
      <c r="Q12066">
        <v>10</v>
      </c>
      <c r="R12066" t="s">
        <v>46580</v>
      </c>
      <c r="S12066" t="s">
        <v>46986</v>
      </c>
      <c r="T12066" t="s">
        <v>48429</v>
      </c>
      <c r="U12066" t="s">
        <v>58464</v>
      </c>
      <c r="V12066" t="s">
        <v>62928</v>
      </c>
      <c r="W12066" t="s">
        <v>46031</v>
      </c>
      <c r="X12066" t="s">
        <v>46581</v>
      </c>
    </row>
    <row r="12067" spans="1:24">
      <c r="A12067">
        <f>HYPERLINK("https://www.philgeps.gov.ph/GEPSNONPILOT/Tender/SplashBidNoticeAbstractUI.aspx?menuIndex=3&amp;refID=7046102&amp;Result=3","7046102")</f>
        <v>0</v>
      </c>
      <c r="B12067" t="s">
        <v>2150</v>
      </c>
      <c r="C12067" t="s">
        <v>14973</v>
      </c>
      <c r="D12067" t="s">
        <v>18851</v>
      </c>
      <c r="E12067" t="s">
        <v>29269</v>
      </c>
      <c r="F12067" t="s">
        <v>32664</v>
      </c>
      <c r="G12067" t="s">
        <v>32672</v>
      </c>
      <c r="H12067" t="s">
        <v>12635</v>
      </c>
      <c r="I12067" t="s">
        <v>32699</v>
      </c>
      <c r="J12067" t="s">
        <v>39936</v>
      </c>
      <c r="K12067" t="s">
        <v>42281</v>
      </c>
      <c r="M12067" t="s">
        <v>44906</v>
      </c>
      <c r="N12067" t="s">
        <v>46569</v>
      </c>
      <c r="O12067" t="s">
        <v>46570</v>
      </c>
      <c r="P12067">
        <v>0</v>
      </c>
      <c r="Q12067">
        <v>0</v>
      </c>
      <c r="R12067" t="s">
        <v>46580</v>
      </c>
      <c r="S12067" t="s">
        <v>46986</v>
      </c>
      <c r="T12067" t="s">
        <v>48212</v>
      </c>
      <c r="U12067" t="s">
        <v>58465</v>
      </c>
      <c r="W12067" t="s">
        <v>44906</v>
      </c>
      <c r="X12067" t="s">
        <v>46581</v>
      </c>
    </row>
    <row r="12068" spans="1:24">
      <c r="A12068">
        <f>HYPERLINK("https://www.philgeps.gov.ph/GEPSNONPILOT/Tender/SplashBidNoticeAbstractUI.aspx?menuIndex=3&amp;refID=7046199&amp;Result=3","7046199")</f>
        <v>0</v>
      </c>
      <c r="B12068" t="s">
        <v>1112</v>
      </c>
      <c r="C12068" t="s">
        <v>14974</v>
      </c>
      <c r="D12068" t="s">
        <v>18842</v>
      </c>
      <c r="E12068" t="s">
        <v>29270</v>
      </c>
      <c r="F12068" t="s">
        <v>32664</v>
      </c>
      <c r="G12068" t="s">
        <v>32672</v>
      </c>
      <c r="H12068" t="s">
        <v>12635</v>
      </c>
      <c r="I12068" t="s">
        <v>32708</v>
      </c>
      <c r="J12068" t="s">
        <v>32981</v>
      </c>
      <c r="K12068" t="s">
        <v>42283</v>
      </c>
      <c r="M12068" t="s">
        <v>43739</v>
      </c>
      <c r="N12068" t="s">
        <v>46569</v>
      </c>
      <c r="O12068" t="s">
        <v>46570</v>
      </c>
      <c r="P12068">
        <v>0</v>
      </c>
      <c r="Q12068">
        <v>16</v>
      </c>
      <c r="R12068" t="s">
        <v>46580</v>
      </c>
      <c r="S12068" t="s">
        <v>46986</v>
      </c>
      <c r="T12068" t="s">
        <v>48303</v>
      </c>
      <c r="U12068" t="s">
        <v>58466</v>
      </c>
      <c r="W12068" t="s">
        <v>43739</v>
      </c>
      <c r="X12068" t="s">
        <v>46581</v>
      </c>
    </row>
    <row r="12069" spans="1:24">
      <c r="A12069">
        <f>HYPERLINK("https://www.philgeps.gov.ph/GEPSNONPILOT/Tender/SplashBidNoticeAbstractUI.aspx?menuIndex=3&amp;refID=7046503&amp;Result=3","7046503")</f>
        <v>0</v>
      </c>
      <c r="B12069" t="s">
        <v>3150</v>
      </c>
      <c r="C12069" t="s">
        <v>14975</v>
      </c>
      <c r="D12069" t="s">
        <v>18841</v>
      </c>
      <c r="E12069" t="s">
        <v>19207</v>
      </c>
      <c r="F12069" t="s">
        <v>32665</v>
      </c>
      <c r="G12069" t="s">
        <v>32672</v>
      </c>
      <c r="H12069" t="s">
        <v>12635</v>
      </c>
      <c r="I12069" t="s">
        <v>4439</v>
      </c>
      <c r="J12069" t="s">
        <v>39937</v>
      </c>
      <c r="K12069" t="s">
        <v>42290</v>
      </c>
      <c r="M12069" t="s">
        <v>46047</v>
      </c>
      <c r="N12069" t="s">
        <v>46569</v>
      </c>
      <c r="O12069" t="s">
        <v>46570</v>
      </c>
      <c r="P12069">
        <v>0</v>
      </c>
      <c r="Q12069">
        <v>0</v>
      </c>
      <c r="R12069" t="s">
        <v>46580</v>
      </c>
      <c r="S12069" t="s">
        <v>46986</v>
      </c>
      <c r="T12069" t="s">
        <v>48236</v>
      </c>
      <c r="U12069" t="s">
        <v>58467</v>
      </c>
      <c r="W12069" t="s">
        <v>46047</v>
      </c>
      <c r="X12069" t="s">
        <v>46581</v>
      </c>
    </row>
    <row r="12070" spans="1:24">
      <c r="A12070">
        <f>HYPERLINK("https://www.philgeps.gov.ph/GEPSNONPILOT/Tender/SplashBidNoticeAbstractUI.aspx?menuIndex=3&amp;refID=7046196&amp;Result=3","7046196")</f>
        <v>0</v>
      </c>
      <c r="B12070" t="s">
        <v>2999</v>
      </c>
      <c r="C12070" t="s">
        <v>14976</v>
      </c>
      <c r="D12070" t="s">
        <v>18831</v>
      </c>
      <c r="E12070" t="s">
        <v>29271</v>
      </c>
      <c r="F12070" t="s">
        <v>32664</v>
      </c>
      <c r="G12070" t="s">
        <v>32672</v>
      </c>
      <c r="H12070" t="s">
        <v>12635</v>
      </c>
      <c r="I12070" t="s">
        <v>11464</v>
      </c>
      <c r="J12070" t="s">
        <v>32981</v>
      </c>
      <c r="K12070" t="s">
        <v>42281</v>
      </c>
      <c r="M12070" t="s">
        <v>45860</v>
      </c>
      <c r="N12070" t="s">
        <v>46569</v>
      </c>
      <c r="O12070" t="s">
        <v>46570</v>
      </c>
      <c r="P12070">
        <v>0</v>
      </c>
      <c r="Q12070">
        <v>7</v>
      </c>
      <c r="R12070" t="s">
        <v>46580</v>
      </c>
      <c r="S12070" t="s">
        <v>46986</v>
      </c>
      <c r="T12070" t="s">
        <v>48381</v>
      </c>
      <c r="U12070" t="s">
        <v>57674</v>
      </c>
      <c r="W12070" t="s">
        <v>45860</v>
      </c>
      <c r="X12070" t="s">
        <v>46581</v>
      </c>
    </row>
    <row r="12071" spans="1:24">
      <c r="A12071">
        <f>HYPERLINK("https://www.philgeps.gov.ph/GEPSNONPILOT/Tender/SplashBidNoticeAbstractUI.aspx?menuIndex=3&amp;refID=7046499&amp;Result=3","7046499")</f>
        <v>0</v>
      </c>
      <c r="B12071" t="s">
        <v>3151</v>
      </c>
      <c r="C12071" t="s">
        <v>8762</v>
      </c>
      <c r="D12071" t="s">
        <v>18781</v>
      </c>
      <c r="E12071" t="s">
        <v>21583</v>
      </c>
      <c r="F12071" t="s">
        <v>32664</v>
      </c>
      <c r="G12071" t="s">
        <v>32672</v>
      </c>
      <c r="H12071" t="s">
        <v>12635</v>
      </c>
      <c r="I12071" t="s">
        <v>6223</v>
      </c>
      <c r="J12071" t="s">
        <v>39938</v>
      </c>
      <c r="K12071" t="s">
        <v>42283</v>
      </c>
      <c r="M12071" t="s">
        <v>46048</v>
      </c>
      <c r="N12071" t="s">
        <v>46569</v>
      </c>
      <c r="O12071" t="s">
        <v>46570</v>
      </c>
      <c r="P12071">
        <v>0</v>
      </c>
      <c r="Q12071">
        <v>0</v>
      </c>
      <c r="R12071" t="s">
        <v>46580</v>
      </c>
      <c r="S12071" t="s">
        <v>46986</v>
      </c>
      <c r="T12071" t="s">
        <v>48450</v>
      </c>
      <c r="U12071" t="s">
        <v>58468</v>
      </c>
      <c r="W12071" t="s">
        <v>46048</v>
      </c>
      <c r="X12071" t="s">
        <v>46581</v>
      </c>
    </row>
    <row r="12072" spans="1:24">
      <c r="A12072">
        <f>HYPERLINK("https://www.philgeps.gov.ph/GEPSNONPILOT/Tender/SplashBidNoticeAbstractUI.aspx?menuIndex=3&amp;refID=7046288&amp;Result=3","7046288")</f>
        <v>0</v>
      </c>
      <c r="B12072" t="s">
        <v>790</v>
      </c>
      <c r="C12072" t="s">
        <v>14977</v>
      </c>
      <c r="D12072" t="s">
        <v>18809</v>
      </c>
      <c r="E12072" t="s">
        <v>29272</v>
      </c>
      <c r="F12072" t="s">
        <v>32664</v>
      </c>
      <c r="G12072" t="s">
        <v>32672</v>
      </c>
      <c r="H12072" t="s">
        <v>12635</v>
      </c>
      <c r="I12072" t="s">
        <v>32738</v>
      </c>
      <c r="J12072" t="s">
        <v>39939</v>
      </c>
      <c r="K12072" t="s">
        <v>42289</v>
      </c>
      <c r="M12072" t="s">
        <v>43382</v>
      </c>
      <c r="N12072" t="s">
        <v>46569</v>
      </c>
      <c r="O12072" t="s">
        <v>46570</v>
      </c>
      <c r="P12072">
        <v>0</v>
      </c>
      <c r="Q12072">
        <v>4</v>
      </c>
      <c r="R12072" t="s">
        <v>46580</v>
      </c>
      <c r="S12072" t="s">
        <v>46986</v>
      </c>
      <c r="T12072" t="s">
        <v>48376</v>
      </c>
      <c r="U12072" t="s">
        <v>58469</v>
      </c>
      <c r="W12072" t="s">
        <v>43382</v>
      </c>
      <c r="X12072" t="s">
        <v>46581</v>
      </c>
    </row>
    <row r="12073" spans="1:24">
      <c r="A12073">
        <f>HYPERLINK("https://www.philgeps.gov.ph/GEPSNONPILOT/Tender/SplashBidNoticeAbstractUI.aspx?menuIndex=3&amp;refID=7046490&amp;Result=3","7046490")</f>
        <v>0</v>
      </c>
      <c r="B12073" t="s">
        <v>2940</v>
      </c>
      <c r="C12073" t="s">
        <v>14978</v>
      </c>
      <c r="D12073" t="s">
        <v>18833</v>
      </c>
      <c r="E12073" t="s">
        <v>29273</v>
      </c>
      <c r="F12073" t="s">
        <v>32664</v>
      </c>
      <c r="G12073" t="s">
        <v>32672</v>
      </c>
      <c r="H12073" t="s">
        <v>32683</v>
      </c>
      <c r="I12073" t="s">
        <v>10627</v>
      </c>
      <c r="J12073" t="s">
        <v>39940</v>
      </c>
      <c r="K12073" t="s">
        <v>42340</v>
      </c>
      <c r="M12073" t="s">
        <v>45794</v>
      </c>
      <c r="N12073" t="s">
        <v>46569</v>
      </c>
      <c r="O12073" t="s">
        <v>46570</v>
      </c>
      <c r="P12073">
        <v>0</v>
      </c>
      <c r="Q12073">
        <v>0</v>
      </c>
      <c r="R12073" t="s">
        <v>46580</v>
      </c>
      <c r="S12073" t="s">
        <v>46986</v>
      </c>
      <c r="T12073" t="s">
        <v>48321</v>
      </c>
      <c r="U12073" t="s">
        <v>58470</v>
      </c>
      <c r="W12073" t="s">
        <v>45794</v>
      </c>
      <c r="X12073" t="s">
        <v>46581</v>
      </c>
    </row>
    <row r="12074" spans="1:24">
      <c r="A12074">
        <f>HYPERLINK("https://www.philgeps.gov.ph/GEPSNONPILOT/Tender/SplashBidNoticeAbstractUI.aspx?menuIndex=3&amp;refID=7046489&amp;Result=3","7046489")</f>
        <v>0</v>
      </c>
      <c r="B12074" t="s">
        <v>3152</v>
      </c>
      <c r="C12074" t="s">
        <v>14979</v>
      </c>
      <c r="D12074" t="s">
        <v>18802</v>
      </c>
      <c r="E12074" t="s">
        <v>19583</v>
      </c>
      <c r="F12074" t="s">
        <v>32664</v>
      </c>
      <c r="G12074" t="s">
        <v>32672</v>
      </c>
      <c r="H12074" t="s">
        <v>32683</v>
      </c>
      <c r="I12074" t="s">
        <v>10627</v>
      </c>
      <c r="J12074" t="s">
        <v>33150</v>
      </c>
      <c r="K12074" t="s">
        <v>42311</v>
      </c>
      <c r="M12074" t="s">
        <v>46049</v>
      </c>
      <c r="N12074" t="s">
        <v>46569</v>
      </c>
      <c r="O12074" t="s">
        <v>46570</v>
      </c>
      <c r="P12074">
        <v>0</v>
      </c>
      <c r="Q12074">
        <v>2</v>
      </c>
      <c r="R12074" t="s">
        <v>46580</v>
      </c>
      <c r="S12074" t="s">
        <v>46986</v>
      </c>
      <c r="T12074" t="s">
        <v>48238</v>
      </c>
      <c r="U12074" t="s">
        <v>58471</v>
      </c>
      <c r="W12074" t="s">
        <v>46049</v>
      </c>
      <c r="X12074" t="s">
        <v>46581</v>
      </c>
    </row>
    <row r="12075" spans="1:24">
      <c r="A12075">
        <f>HYPERLINK("https://www.philgeps.gov.ph/GEPSNONPILOT/Tender/SplashBidNoticeAbstractUI.aspx?menuIndex=3&amp;refID=7046475&amp;Result=3","7046475")</f>
        <v>0</v>
      </c>
      <c r="B12075" t="s">
        <v>3153</v>
      </c>
      <c r="C12075" t="s">
        <v>8762</v>
      </c>
      <c r="D12075" t="s">
        <v>18781</v>
      </c>
      <c r="E12075" t="s">
        <v>21583</v>
      </c>
      <c r="F12075" t="s">
        <v>32664</v>
      </c>
      <c r="G12075" t="s">
        <v>32672</v>
      </c>
      <c r="H12075" t="s">
        <v>12635</v>
      </c>
      <c r="I12075" t="s">
        <v>6223</v>
      </c>
      <c r="J12075" t="s">
        <v>32898</v>
      </c>
      <c r="K12075" t="s">
        <v>42283</v>
      </c>
      <c r="M12075" t="s">
        <v>46050</v>
      </c>
      <c r="N12075" t="s">
        <v>46569</v>
      </c>
      <c r="O12075" t="s">
        <v>46570</v>
      </c>
      <c r="P12075">
        <v>0</v>
      </c>
      <c r="Q12075">
        <v>0</v>
      </c>
      <c r="R12075" t="s">
        <v>46580</v>
      </c>
      <c r="S12075" t="s">
        <v>46986</v>
      </c>
      <c r="T12075" t="s">
        <v>48376</v>
      </c>
      <c r="U12075" t="s">
        <v>58472</v>
      </c>
      <c r="W12075" t="s">
        <v>46050</v>
      </c>
      <c r="X12075" t="s">
        <v>46581</v>
      </c>
    </row>
    <row r="12076" spans="1:24">
      <c r="A12076">
        <f>HYPERLINK("https://www.philgeps.gov.ph/GEPSNONPILOT/Tender/SplashBidNoticeAbstractUI.aspx?menuIndex=3&amp;refID=7046487&amp;Result=3","7046487")</f>
        <v>0</v>
      </c>
      <c r="B12076" t="s">
        <v>2145</v>
      </c>
      <c r="C12076" t="s">
        <v>14980</v>
      </c>
      <c r="D12076" t="s">
        <v>18847</v>
      </c>
      <c r="E12076" t="s">
        <v>29274</v>
      </c>
      <c r="F12076" t="s">
        <v>32664</v>
      </c>
      <c r="G12076" t="s">
        <v>32673</v>
      </c>
      <c r="H12076" t="s">
        <v>32683</v>
      </c>
      <c r="I12076" t="s">
        <v>10627</v>
      </c>
      <c r="J12076" t="s">
        <v>39941</v>
      </c>
      <c r="K12076" t="s">
        <v>42311</v>
      </c>
      <c r="M12076" t="s">
        <v>45745</v>
      </c>
      <c r="N12076" t="s">
        <v>46569</v>
      </c>
      <c r="O12076" t="s">
        <v>46570</v>
      </c>
      <c r="P12076">
        <v>0</v>
      </c>
      <c r="Q12076">
        <v>0</v>
      </c>
      <c r="R12076" t="s">
        <v>46580</v>
      </c>
      <c r="S12076" t="s">
        <v>46986</v>
      </c>
      <c r="T12076" t="s">
        <v>48212</v>
      </c>
      <c r="U12076" t="s">
        <v>57283</v>
      </c>
      <c r="V12076" t="s">
        <v>62939</v>
      </c>
      <c r="W12076" t="s">
        <v>63577</v>
      </c>
      <c r="X12076" t="s">
        <v>46581</v>
      </c>
    </row>
    <row r="12077" spans="1:24">
      <c r="A12077">
        <f>HYPERLINK("https://www.philgeps.gov.ph/GEPSNONPILOT/Tender/SplashBidNoticeAbstractUI.aspx?menuIndex=3&amp;refID=7046486&amp;Result=3","7046486")</f>
        <v>0</v>
      </c>
      <c r="B12077" t="s">
        <v>1712</v>
      </c>
      <c r="C12077" t="s">
        <v>14981</v>
      </c>
      <c r="D12077" t="s">
        <v>18792</v>
      </c>
      <c r="E12077" t="s">
        <v>29275</v>
      </c>
      <c r="F12077" t="s">
        <v>32665</v>
      </c>
      <c r="G12077" t="s">
        <v>32674</v>
      </c>
      <c r="H12077" t="s">
        <v>12635</v>
      </c>
      <c r="I12077" t="s">
        <v>32784</v>
      </c>
      <c r="J12077" t="s">
        <v>39942</v>
      </c>
      <c r="K12077" t="s">
        <v>42297</v>
      </c>
      <c r="M12077" t="s">
        <v>44406</v>
      </c>
      <c r="N12077" t="s">
        <v>46569</v>
      </c>
      <c r="O12077" t="s">
        <v>46570</v>
      </c>
      <c r="P12077">
        <v>0</v>
      </c>
      <c r="Q12077">
        <v>1</v>
      </c>
      <c r="R12077" t="s">
        <v>46580</v>
      </c>
      <c r="S12077" t="s">
        <v>46986</v>
      </c>
      <c r="T12077" t="s">
        <v>48283</v>
      </c>
      <c r="U12077" t="s">
        <v>58473</v>
      </c>
      <c r="W12077" t="s">
        <v>44406</v>
      </c>
      <c r="X12077" t="s">
        <v>46581</v>
      </c>
    </row>
    <row r="12078" spans="1:24">
      <c r="A12078">
        <f>HYPERLINK("https://www.philgeps.gov.ph/GEPSNONPILOT/Tender/SplashBidNoticeAbstractUI.aspx?menuIndex=3&amp;refID=7046455&amp;Result=3","7046455")</f>
        <v>0</v>
      </c>
      <c r="B12078" t="s">
        <v>2940</v>
      </c>
      <c r="C12078" t="s">
        <v>14982</v>
      </c>
      <c r="D12078" t="s">
        <v>18833</v>
      </c>
      <c r="E12078" t="s">
        <v>29276</v>
      </c>
      <c r="F12078" t="s">
        <v>32664</v>
      </c>
      <c r="G12078" t="s">
        <v>32672</v>
      </c>
      <c r="H12078" t="s">
        <v>12635</v>
      </c>
      <c r="I12078" t="s">
        <v>4439</v>
      </c>
      <c r="J12078" t="s">
        <v>39943</v>
      </c>
      <c r="K12078" t="s">
        <v>42526</v>
      </c>
      <c r="M12078" t="s">
        <v>45794</v>
      </c>
      <c r="N12078" t="s">
        <v>46569</v>
      </c>
      <c r="O12078" t="s">
        <v>46570</v>
      </c>
      <c r="P12078">
        <v>0</v>
      </c>
      <c r="Q12078">
        <v>1</v>
      </c>
      <c r="R12078" t="s">
        <v>46580</v>
      </c>
      <c r="S12078" t="s">
        <v>46986</v>
      </c>
      <c r="T12078" t="s">
        <v>48321</v>
      </c>
      <c r="U12078" t="s">
        <v>58474</v>
      </c>
      <c r="W12078" t="s">
        <v>45794</v>
      </c>
      <c r="X12078" t="s">
        <v>46581</v>
      </c>
    </row>
    <row r="12079" spans="1:24">
      <c r="A12079">
        <f>HYPERLINK("https://www.philgeps.gov.ph/GEPSNONPILOT/Tender/SplashBidNoticeAbstractUI.aspx?menuIndex=3&amp;refID=7046509&amp;Result=3","7046509")</f>
        <v>0</v>
      </c>
      <c r="B12079" t="s">
        <v>2150</v>
      </c>
      <c r="C12079" t="s">
        <v>14983</v>
      </c>
      <c r="D12079" t="s">
        <v>18851</v>
      </c>
      <c r="E12079" t="s">
        <v>29277</v>
      </c>
      <c r="F12079" t="s">
        <v>32664</v>
      </c>
      <c r="G12079" t="s">
        <v>32672</v>
      </c>
      <c r="H12079" t="s">
        <v>12635</v>
      </c>
      <c r="I12079" t="s">
        <v>10361</v>
      </c>
      <c r="J12079" t="s">
        <v>39944</v>
      </c>
      <c r="K12079" t="s">
        <v>42281</v>
      </c>
      <c r="M12079" t="s">
        <v>44906</v>
      </c>
      <c r="N12079" t="s">
        <v>46569</v>
      </c>
      <c r="O12079" t="s">
        <v>46570</v>
      </c>
      <c r="P12079">
        <v>0</v>
      </c>
      <c r="Q12079">
        <v>0</v>
      </c>
      <c r="R12079" t="s">
        <v>46580</v>
      </c>
      <c r="S12079" t="s">
        <v>46986</v>
      </c>
      <c r="T12079" t="s">
        <v>48212</v>
      </c>
      <c r="U12079" t="s">
        <v>58475</v>
      </c>
      <c r="W12079" t="s">
        <v>44906</v>
      </c>
      <c r="X12079" t="s">
        <v>46581</v>
      </c>
    </row>
    <row r="12080" spans="1:24">
      <c r="A12080">
        <f>HYPERLINK("https://www.philgeps.gov.ph/GEPSNONPILOT/Tender/SplashBidNoticeAbstractUI.aspx?menuIndex=3&amp;refID=7046453&amp;Result=3","7046453")</f>
        <v>0</v>
      </c>
      <c r="B12080" t="s">
        <v>2145</v>
      </c>
      <c r="C12080" t="s">
        <v>14984</v>
      </c>
      <c r="D12080" t="s">
        <v>18847</v>
      </c>
      <c r="E12080" t="s">
        <v>29278</v>
      </c>
      <c r="F12080" t="s">
        <v>32664</v>
      </c>
      <c r="G12080" t="s">
        <v>32673</v>
      </c>
      <c r="H12080" t="s">
        <v>32683</v>
      </c>
      <c r="I12080" t="s">
        <v>10627</v>
      </c>
      <c r="J12080" t="s">
        <v>39945</v>
      </c>
      <c r="K12080" t="s">
        <v>42528</v>
      </c>
      <c r="M12080" t="s">
        <v>45745</v>
      </c>
      <c r="N12080" t="s">
        <v>46569</v>
      </c>
      <c r="O12080" t="s">
        <v>46570</v>
      </c>
      <c r="P12080">
        <v>0</v>
      </c>
      <c r="Q12080">
        <v>0</v>
      </c>
      <c r="R12080" t="s">
        <v>46580</v>
      </c>
      <c r="S12080" t="s">
        <v>46986</v>
      </c>
      <c r="T12080" t="s">
        <v>48212</v>
      </c>
      <c r="U12080" t="s">
        <v>57283</v>
      </c>
      <c r="V12080" t="s">
        <v>62941</v>
      </c>
      <c r="W12080" t="s">
        <v>63577</v>
      </c>
      <c r="X12080" t="s">
        <v>46581</v>
      </c>
    </row>
    <row r="12081" spans="1:24">
      <c r="A12081">
        <f>HYPERLINK("https://www.philgeps.gov.ph/GEPSNONPILOT/Tender/SplashBidNoticeAbstractUI.aspx?menuIndex=3&amp;refID=7046439&amp;Result=3","7046439")</f>
        <v>0</v>
      </c>
      <c r="B12081" t="s">
        <v>3029</v>
      </c>
      <c r="C12081" t="s">
        <v>14985</v>
      </c>
      <c r="D12081" t="s">
        <v>18786</v>
      </c>
      <c r="E12081" t="s">
        <v>29279</v>
      </c>
      <c r="F12081" t="s">
        <v>32664</v>
      </c>
      <c r="G12081" t="s">
        <v>32672</v>
      </c>
      <c r="H12081" t="s">
        <v>32683</v>
      </c>
      <c r="I12081" t="s">
        <v>10627</v>
      </c>
      <c r="J12081" t="s">
        <v>32962</v>
      </c>
      <c r="K12081" t="s">
        <v>42369</v>
      </c>
      <c r="M12081" t="s">
        <v>45902</v>
      </c>
      <c r="N12081" t="s">
        <v>46569</v>
      </c>
      <c r="O12081" t="s">
        <v>46570</v>
      </c>
      <c r="P12081">
        <v>0</v>
      </c>
      <c r="Q12081">
        <v>0</v>
      </c>
      <c r="R12081" t="s">
        <v>46580</v>
      </c>
      <c r="S12081" t="s">
        <v>46986</v>
      </c>
      <c r="T12081" t="s">
        <v>48228</v>
      </c>
      <c r="U12081" t="s">
        <v>58476</v>
      </c>
      <c r="W12081" t="s">
        <v>45902</v>
      </c>
      <c r="X12081" t="s">
        <v>46581</v>
      </c>
    </row>
    <row r="12082" spans="1:24">
      <c r="A12082">
        <f>HYPERLINK("https://www.philgeps.gov.ph/GEPSNONPILOT/Tender/SplashBidNoticeAbstractUI.aspx?menuIndex=3&amp;refID=7046438&amp;Result=3","7046438")</f>
        <v>0</v>
      </c>
      <c r="B12082" t="s">
        <v>3152</v>
      </c>
      <c r="C12082" t="s">
        <v>14986</v>
      </c>
      <c r="D12082" t="s">
        <v>18802</v>
      </c>
      <c r="E12082" t="s">
        <v>18889</v>
      </c>
      <c r="F12082" t="s">
        <v>32664</v>
      </c>
      <c r="G12082" t="s">
        <v>32672</v>
      </c>
      <c r="H12082" t="s">
        <v>32683</v>
      </c>
      <c r="I12082" t="s">
        <v>10627</v>
      </c>
      <c r="J12082" t="s">
        <v>32981</v>
      </c>
      <c r="K12082" t="s">
        <v>42298</v>
      </c>
      <c r="M12082" t="s">
        <v>46049</v>
      </c>
      <c r="N12082" t="s">
        <v>46569</v>
      </c>
      <c r="O12082" t="s">
        <v>46570</v>
      </c>
      <c r="P12082">
        <v>0</v>
      </c>
      <c r="Q12082">
        <v>2</v>
      </c>
      <c r="R12082" t="s">
        <v>46580</v>
      </c>
      <c r="S12082" t="s">
        <v>46986</v>
      </c>
      <c r="T12082" t="s">
        <v>48238</v>
      </c>
      <c r="U12082" t="s">
        <v>58477</v>
      </c>
      <c r="W12082" t="s">
        <v>46049</v>
      </c>
      <c r="X12082" t="s">
        <v>46581</v>
      </c>
    </row>
    <row r="12083" spans="1:24">
      <c r="A12083">
        <f>HYPERLINK("https://www.philgeps.gov.ph/GEPSNONPILOT/Tender/SplashBidNoticeAbstractUI.aspx?menuIndex=3&amp;refID=7046428&amp;Result=3","7046428")</f>
        <v>0</v>
      </c>
      <c r="B12083" t="s">
        <v>189</v>
      </c>
      <c r="C12083" t="s">
        <v>14987</v>
      </c>
      <c r="E12083" t="s">
        <v>29280</v>
      </c>
      <c r="F12083" t="s">
        <v>32664</v>
      </c>
      <c r="G12083" t="s">
        <v>32672</v>
      </c>
      <c r="H12083" t="s">
        <v>32683</v>
      </c>
      <c r="I12083" t="s">
        <v>10627</v>
      </c>
      <c r="J12083" t="s">
        <v>39946</v>
      </c>
      <c r="K12083" t="s">
        <v>42436</v>
      </c>
      <c r="M12083" t="s">
        <v>42753</v>
      </c>
      <c r="N12083" t="s">
        <v>46569</v>
      </c>
      <c r="O12083" t="s">
        <v>46570</v>
      </c>
      <c r="P12083">
        <v>0</v>
      </c>
      <c r="Q12083">
        <v>1</v>
      </c>
      <c r="R12083" t="s">
        <v>46580</v>
      </c>
      <c r="S12083" t="s">
        <v>46986</v>
      </c>
      <c r="T12083" t="s">
        <v>48236</v>
      </c>
      <c r="U12083" t="s">
        <v>58440</v>
      </c>
      <c r="W12083" t="s">
        <v>42753</v>
      </c>
      <c r="X12083" t="s">
        <v>46581</v>
      </c>
    </row>
    <row r="12084" spans="1:24">
      <c r="A12084">
        <f>HYPERLINK("https://www.philgeps.gov.ph/GEPSNONPILOT/Tender/SplashBidNoticeAbstractUI.aspx?menuIndex=3&amp;refID=7046457&amp;Result=3","7046457")</f>
        <v>0</v>
      </c>
      <c r="B12084" t="s">
        <v>1556</v>
      </c>
      <c r="C12084" t="s">
        <v>8589</v>
      </c>
      <c r="D12084" t="s">
        <v>18799</v>
      </c>
      <c r="E12084" t="s">
        <v>29281</v>
      </c>
      <c r="F12084" t="s">
        <v>32664</v>
      </c>
      <c r="G12084" t="s">
        <v>32672</v>
      </c>
      <c r="H12084" t="s">
        <v>32683</v>
      </c>
      <c r="I12084" t="s">
        <v>10627</v>
      </c>
      <c r="J12084" t="s">
        <v>32962</v>
      </c>
      <c r="K12084" t="s">
        <v>42311</v>
      </c>
      <c r="M12084" t="s">
        <v>44225</v>
      </c>
      <c r="N12084" t="s">
        <v>46569</v>
      </c>
      <c r="O12084" t="s">
        <v>46570</v>
      </c>
      <c r="P12084">
        <v>0</v>
      </c>
      <c r="Q12084">
        <v>0</v>
      </c>
      <c r="R12084" t="s">
        <v>46580</v>
      </c>
      <c r="S12084" t="s">
        <v>46986</v>
      </c>
      <c r="T12084" t="s">
        <v>48699</v>
      </c>
      <c r="U12084" t="s">
        <v>58478</v>
      </c>
      <c r="W12084" t="s">
        <v>44225</v>
      </c>
      <c r="X12084" t="s">
        <v>46581</v>
      </c>
    </row>
    <row r="12085" spans="1:24">
      <c r="A12085">
        <f>HYPERLINK("https://www.philgeps.gov.ph/GEPSNONPILOT/Tender/SplashBidNoticeAbstractUI.aspx?menuIndex=3&amp;refID=7046517&amp;Result=3","7046517")</f>
        <v>0</v>
      </c>
      <c r="B12085" t="s">
        <v>3154</v>
      </c>
      <c r="C12085" t="s">
        <v>14988</v>
      </c>
      <c r="D12085" t="s">
        <v>18781</v>
      </c>
      <c r="E12085" t="s">
        <v>29282</v>
      </c>
      <c r="F12085" t="s">
        <v>32664</v>
      </c>
      <c r="G12085" t="s">
        <v>32672</v>
      </c>
      <c r="H12085" t="s">
        <v>32683</v>
      </c>
      <c r="I12085" t="s">
        <v>10627</v>
      </c>
      <c r="J12085" t="s">
        <v>39947</v>
      </c>
      <c r="K12085" t="s">
        <v>42303</v>
      </c>
      <c r="M12085" t="s">
        <v>46051</v>
      </c>
      <c r="N12085" t="s">
        <v>46569</v>
      </c>
      <c r="O12085" t="s">
        <v>46570</v>
      </c>
      <c r="P12085">
        <v>0</v>
      </c>
      <c r="Q12085">
        <v>0</v>
      </c>
      <c r="R12085" t="s">
        <v>46580</v>
      </c>
      <c r="S12085" t="s">
        <v>46986</v>
      </c>
      <c r="T12085" t="s">
        <v>48700</v>
      </c>
      <c r="U12085" t="s">
        <v>58479</v>
      </c>
      <c r="W12085" t="s">
        <v>46051</v>
      </c>
      <c r="X12085" t="s">
        <v>46581</v>
      </c>
    </row>
    <row r="12086" spans="1:24">
      <c r="A12086">
        <f>HYPERLINK("https://www.philgeps.gov.ph/GEPSNONPILOT/Tender/SplashBidNoticeAbstractUI.aspx?menuIndex=3&amp;refID=7046638&amp;Result=3","7046638")</f>
        <v>0</v>
      </c>
      <c r="B12086" t="s">
        <v>2150</v>
      </c>
      <c r="C12086" t="s">
        <v>14989</v>
      </c>
      <c r="D12086" t="s">
        <v>18851</v>
      </c>
      <c r="E12086" t="s">
        <v>29283</v>
      </c>
      <c r="F12086" t="s">
        <v>32664</v>
      </c>
      <c r="G12086" t="s">
        <v>32672</v>
      </c>
      <c r="H12086" t="s">
        <v>12635</v>
      </c>
      <c r="I12086" t="s">
        <v>32699</v>
      </c>
      <c r="J12086" t="s">
        <v>33055</v>
      </c>
      <c r="K12086" t="s">
        <v>42281</v>
      </c>
      <c r="M12086" t="s">
        <v>44906</v>
      </c>
      <c r="N12086" t="s">
        <v>46569</v>
      </c>
      <c r="O12086" t="s">
        <v>46570</v>
      </c>
      <c r="P12086">
        <v>0</v>
      </c>
      <c r="Q12086">
        <v>0</v>
      </c>
      <c r="R12086" t="s">
        <v>46580</v>
      </c>
      <c r="S12086" t="s">
        <v>46986</v>
      </c>
      <c r="T12086" t="s">
        <v>48212</v>
      </c>
      <c r="U12086" t="s">
        <v>58480</v>
      </c>
      <c r="W12086" t="s">
        <v>44906</v>
      </c>
      <c r="X12086" t="s">
        <v>46581</v>
      </c>
    </row>
    <row r="12087" spans="1:24">
      <c r="A12087">
        <f>HYPERLINK("https://www.philgeps.gov.ph/GEPSNONPILOT/Tender/SplashBidNoticeAbstractUI.aspx?menuIndex=3&amp;refID=7046634&amp;Result=3","7046634")</f>
        <v>0</v>
      </c>
      <c r="B12087" t="s">
        <v>592</v>
      </c>
      <c r="C12087" t="s">
        <v>14990</v>
      </c>
      <c r="D12087" t="s">
        <v>18792</v>
      </c>
      <c r="E12087" t="s">
        <v>29284</v>
      </c>
      <c r="F12087" t="s">
        <v>32664</v>
      </c>
      <c r="G12087" t="s">
        <v>32672</v>
      </c>
      <c r="H12087" t="s">
        <v>12635</v>
      </c>
      <c r="I12087" t="s">
        <v>32738</v>
      </c>
      <c r="J12087" t="s">
        <v>39948</v>
      </c>
      <c r="K12087" t="s">
        <v>42349</v>
      </c>
      <c r="M12087" t="s">
        <v>43411</v>
      </c>
      <c r="N12087" t="s">
        <v>46569</v>
      </c>
      <c r="O12087" t="s">
        <v>46570</v>
      </c>
      <c r="Q12087">
        <v>5</v>
      </c>
      <c r="R12087" t="s">
        <v>46580</v>
      </c>
      <c r="S12087" t="s">
        <v>47004</v>
      </c>
      <c r="T12087" t="s">
        <v>48487</v>
      </c>
      <c r="U12087" t="s">
        <v>58481</v>
      </c>
      <c r="V12087" t="s">
        <v>62942</v>
      </c>
      <c r="W12087" t="s">
        <v>43411</v>
      </c>
      <c r="X12087" t="s">
        <v>46581</v>
      </c>
    </row>
    <row r="12088" spans="1:24">
      <c r="A12088">
        <f>HYPERLINK("https://www.philgeps.gov.ph/GEPSNONPILOT/Tender/SplashBidNoticeAbstractUI.aspx?menuIndex=3&amp;refID=7046627&amp;Result=3","7046627")</f>
        <v>0</v>
      </c>
      <c r="B12088" t="s">
        <v>3152</v>
      </c>
      <c r="C12088" t="s">
        <v>14991</v>
      </c>
      <c r="D12088" t="s">
        <v>18802</v>
      </c>
      <c r="E12088" t="s">
        <v>22598</v>
      </c>
      <c r="F12088" t="s">
        <v>32664</v>
      </c>
      <c r="G12088" t="s">
        <v>32672</v>
      </c>
      <c r="H12088" t="s">
        <v>32683</v>
      </c>
      <c r="I12088" t="s">
        <v>10627</v>
      </c>
      <c r="J12088" t="s">
        <v>34022</v>
      </c>
      <c r="K12088" t="s">
        <v>42308</v>
      </c>
      <c r="M12088" t="s">
        <v>46049</v>
      </c>
      <c r="N12088" t="s">
        <v>46569</v>
      </c>
      <c r="O12088" t="s">
        <v>46570</v>
      </c>
      <c r="P12088">
        <v>0</v>
      </c>
      <c r="Q12088">
        <v>2</v>
      </c>
      <c r="R12088" t="s">
        <v>46580</v>
      </c>
      <c r="S12088" t="s">
        <v>46986</v>
      </c>
      <c r="T12088" t="s">
        <v>48238</v>
      </c>
      <c r="U12088" t="s">
        <v>58482</v>
      </c>
      <c r="W12088" t="s">
        <v>46049</v>
      </c>
      <c r="X12088" t="s">
        <v>46581</v>
      </c>
    </row>
    <row r="12089" spans="1:24">
      <c r="A12089">
        <f>HYPERLINK("https://www.philgeps.gov.ph/GEPSNONPILOT/Tender/SplashBidNoticeAbstractUI.aspx?menuIndex=3&amp;refID=7046626&amp;Result=3","7046626")</f>
        <v>0</v>
      </c>
      <c r="B12089" t="s">
        <v>3155</v>
      </c>
      <c r="C12089" t="s">
        <v>14992</v>
      </c>
      <c r="D12089" t="s">
        <v>18841</v>
      </c>
      <c r="E12089" t="s">
        <v>29285</v>
      </c>
      <c r="F12089" t="s">
        <v>32664</v>
      </c>
      <c r="G12089" t="s">
        <v>32672</v>
      </c>
      <c r="H12089" t="s">
        <v>32683</v>
      </c>
      <c r="I12089" t="s">
        <v>10627</v>
      </c>
      <c r="J12089" t="s">
        <v>38494</v>
      </c>
      <c r="K12089" t="s">
        <v>42308</v>
      </c>
      <c r="M12089" t="s">
        <v>46052</v>
      </c>
      <c r="N12089" t="s">
        <v>46569</v>
      </c>
      <c r="O12089" t="s">
        <v>46570</v>
      </c>
      <c r="P12089">
        <v>0</v>
      </c>
      <c r="Q12089">
        <v>1</v>
      </c>
      <c r="R12089" t="s">
        <v>46580</v>
      </c>
      <c r="S12089" t="s">
        <v>46986</v>
      </c>
      <c r="T12089" t="s">
        <v>48284</v>
      </c>
      <c r="U12089" t="s">
        <v>58483</v>
      </c>
      <c r="W12089" t="s">
        <v>46052</v>
      </c>
      <c r="X12089" t="s">
        <v>46581</v>
      </c>
    </row>
    <row r="12090" spans="1:24">
      <c r="A12090">
        <f>HYPERLINK("https://www.philgeps.gov.ph/GEPSNONPILOT/Tender/SplashBidNoticeAbstractUI.aspx?menuIndex=3&amp;refID=7046624&amp;Result=3","7046624")</f>
        <v>0</v>
      </c>
      <c r="B12090" t="s">
        <v>660</v>
      </c>
      <c r="C12090" t="s">
        <v>14993</v>
      </c>
      <c r="D12090" t="s">
        <v>18855</v>
      </c>
      <c r="E12090" t="s">
        <v>29286</v>
      </c>
      <c r="F12090" t="s">
        <v>32664</v>
      </c>
      <c r="G12090" t="s">
        <v>32672</v>
      </c>
      <c r="H12090" t="s">
        <v>12635</v>
      </c>
      <c r="I12090" t="s">
        <v>9597</v>
      </c>
      <c r="J12090" t="s">
        <v>39949</v>
      </c>
      <c r="K12090" t="s">
        <v>42283</v>
      </c>
      <c r="M12090" t="s">
        <v>43247</v>
      </c>
      <c r="N12090" t="s">
        <v>46569</v>
      </c>
      <c r="O12090" t="s">
        <v>46570</v>
      </c>
      <c r="P12090">
        <v>0</v>
      </c>
      <c r="Q12090">
        <v>7</v>
      </c>
      <c r="R12090" t="s">
        <v>46580</v>
      </c>
      <c r="S12090" t="s">
        <v>46986</v>
      </c>
      <c r="T12090" t="s">
        <v>48303</v>
      </c>
      <c r="U12090" t="s">
        <v>58484</v>
      </c>
      <c r="W12090" t="s">
        <v>43247</v>
      </c>
      <c r="X12090" t="s">
        <v>46581</v>
      </c>
    </row>
    <row r="12091" spans="1:24">
      <c r="A12091">
        <f>HYPERLINK("https://www.philgeps.gov.ph/GEPSNONPILOT/Tender/SplashBidNoticeAbstractUI.aspx?menuIndex=3&amp;refID=7046619&amp;Result=3","7046619")</f>
        <v>0</v>
      </c>
      <c r="B12091" t="s">
        <v>108</v>
      </c>
      <c r="C12091" t="s">
        <v>14994</v>
      </c>
      <c r="D12091" t="s">
        <v>18824</v>
      </c>
      <c r="E12091" t="s">
        <v>29287</v>
      </c>
      <c r="F12091" t="s">
        <v>32664</v>
      </c>
      <c r="G12091" t="s">
        <v>32672</v>
      </c>
      <c r="H12091" t="s">
        <v>32683</v>
      </c>
      <c r="I12091" t="s">
        <v>10627</v>
      </c>
      <c r="J12091" t="s">
        <v>39950</v>
      </c>
      <c r="K12091" t="s">
        <v>42283</v>
      </c>
      <c r="M12091" t="s">
        <v>42672</v>
      </c>
      <c r="N12091" t="s">
        <v>46569</v>
      </c>
      <c r="O12091" t="s">
        <v>46570</v>
      </c>
      <c r="P12091">
        <v>0</v>
      </c>
      <c r="Q12091">
        <v>1</v>
      </c>
      <c r="R12091" t="s">
        <v>46580</v>
      </c>
      <c r="S12091" t="s">
        <v>46986</v>
      </c>
      <c r="T12091" t="s">
        <v>48467</v>
      </c>
      <c r="U12091" t="s">
        <v>48996</v>
      </c>
      <c r="W12091" t="s">
        <v>42672</v>
      </c>
      <c r="X12091" t="s">
        <v>46581</v>
      </c>
    </row>
    <row r="12092" spans="1:24">
      <c r="A12092">
        <f>HYPERLINK("https://www.philgeps.gov.ph/GEPSNONPILOT/Tender/SplashBidNoticeAbstractUI.aspx?menuIndex=3&amp;refID=7046615&amp;Result=3","7046615")</f>
        <v>0</v>
      </c>
      <c r="B12092" t="s">
        <v>1090</v>
      </c>
      <c r="C12092" t="s">
        <v>14995</v>
      </c>
      <c r="D12092" t="s">
        <v>18860</v>
      </c>
      <c r="E12092" t="s">
        <v>29288</v>
      </c>
      <c r="F12092" t="s">
        <v>32664</v>
      </c>
      <c r="G12092" t="s">
        <v>32672</v>
      </c>
      <c r="H12092" t="s">
        <v>32683</v>
      </c>
      <c r="I12092" t="s">
        <v>10627</v>
      </c>
      <c r="J12092" t="s">
        <v>39951</v>
      </c>
      <c r="K12092" t="s">
        <v>42531</v>
      </c>
      <c r="M12092" t="s">
        <v>46053</v>
      </c>
      <c r="N12092" t="s">
        <v>46569</v>
      </c>
      <c r="O12092" t="s">
        <v>46570</v>
      </c>
      <c r="P12092">
        <v>0</v>
      </c>
      <c r="Q12092">
        <v>0</v>
      </c>
      <c r="R12092" t="s">
        <v>46580</v>
      </c>
      <c r="S12092" t="s">
        <v>46986</v>
      </c>
      <c r="T12092" t="s">
        <v>48453</v>
      </c>
      <c r="U12092" t="s">
        <v>58485</v>
      </c>
      <c r="W12092" t="s">
        <v>46053</v>
      </c>
      <c r="X12092" t="s">
        <v>46581</v>
      </c>
    </row>
    <row r="12093" spans="1:24">
      <c r="A12093">
        <f>HYPERLINK("https://www.philgeps.gov.ph/GEPSNONPILOT/Tender/SplashBidNoticeAbstractUI.aspx?menuIndex=3&amp;refID=7046608&amp;Result=3","7046608")</f>
        <v>0</v>
      </c>
      <c r="B12093" t="s">
        <v>393</v>
      </c>
      <c r="C12093" t="s">
        <v>14996</v>
      </c>
      <c r="D12093" t="s">
        <v>18853</v>
      </c>
      <c r="E12093" t="s">
        <v>29289</v>
      </c>
      <c r="F12093" t="s">
        <v>32664</v>
      </c>
      <c r="G12093" t="s">
        <v>32672</v>
      </c>
      <c r="H12093" t="s">
        <v>32683</v>
      </c>
      <c r="I12093" t="s">
        <v>10627</v>
      </c>
      <c r="J12093" t="s">
        <v>39952</v>
      </c>
      <c r="K12093" t="s">
        <v>42470</v>
      </c>
      <c r="L12093" t="s">
        <v>393</v>
      </c>
      <c r="M12093" t="s">
        <v>42963</v>
      </c>
      <c r="N12093" t="s">
        <v>46569</v>
      </c>
      <c r="O12093" t="s">
        <v>46570</v>
      </c>
      <c r="P12093">
        <v>0</v>
      </c>
      <c r="Q12093">
        <v>0</v>
      </c>
      <c r="R12093" t="s">
        <v>46580</v>
      </c>
      <c r="S12093" t="s">
        <v>46986</v>
      </c>
      <c r="T12093" t="s">
        <v>48284</v>
      </c>
      <c r="U12093" t="s">
        <v>58486</v>
      </c>
      <c r="V12093" t="s">
        <v>62943</v>
      </c>
      <c r="W12093" t="s">
        <v>42963</v>
      </c>
      <c r="X12093" t="s">
        <v>46581</v>
      </c>
    </row>
    <row r="12094" spans="1:24">
      <c r="A12094">
        <f>HYPERLINK("https://www.philgeps.gov.ph/GEPSNONPILOT/Tender/SplashBidNoticeAbstractUI.aspx?menuIndex=3&amp;refID=7046459&amp;Result=3","7046459")</f>
        <v>0</v>
      </c>
      <c r="B12094" t="s">
        <v>1844</v>
      </c>
      <c r="C12094" t="s">
        <v>8762</v>
      </c>
      <c r="D12094" t="s">
        <v>18781</v>
      </c>
      <c r="E12094" t="s">
        <v>21583</v>
      </c>
      <c r="F12094" t="s">
        <v>32664</v>
      </c>
      <c r="G12094" t="s">
        <v>32672</v>
      </c>
      <c r="H12094" t="s">
        <v>12635</v>
      </c>
      <c r="I12094" t="s">
        <v>6223</v>
      </c>
      <c r="J12094" t="s">
        <v>39953</v>
      </c>
      <c r="K12094" t="s">
        <v>42283</v>
      </c>
      <c r="M12094" t="s">
        <v>44552</v>
      </c>
      <c r="N12094" t="s">
        <v>46569</v>
      </c>
      <c r="O12094" t="s">
        <v>46570</v>
      </c>
      <c r="P12094">
        <v>0</v>
      </c>
      <c r="Q12094">
        <v>0</v>
      </c>
      <c r="R12094" t="s">
        <v>46580</v>
      </c>
      <c r="S12094" t="s">
        <v>46986</v>
      </c>
      <c r="T12094" t="s">
        <v>48578</v>
      </c>
      <c r="U12094" t="s">
        <v>58487</v>
      </c>
      <c r="W12094" t="s">
        <v>44552</v>
      </c>
      <c r="X12094" t="s">
        <v>46581</v>
      </c>
    </row>
    <row r="12095" spans="1:24">
      <c r="A12095">
        <f>HYPERLINK("https://www.philgeps.gov.ph/GEPSNONPILOT/Tender/SplashBidNoticeAbstractUI.aspx?menuIndex=3&amp;refID=7046601&amp;Result=3","7046601")</f>
        <v>0</v>
      </c>
      <c r="B12095" t="s">
        <v>2176</v>
      </c>
      <c r="C12095" t="s">
        <v>14997</v>
      </c>
      <c r="D12095" t="s">
        <v>18806</v>
      </c>
      <c r="E12095" t="s">
        <v>29290</v>
      </c>
      <c r="F12095" t="s">
        <v>32664</v>
      </c>
      <c r="G12095" t="s">
        <v>32672</v>
      </c>
      <c r="H12095" t="s">
        <v>12635</v>
      </c>
      <c r="I12095" t="s">
        <v>32712</v>
      </c>
      <c r="J12095" t="s">
        <v>39954</v>
      </c>
      <c r="K12095" t="s">
        <v>42283</v>
      </c>
      <c r="M12095" t="s">
        <v>44936</v>
      </c>
      <c r="N12095" t="s">
        <v>46569</v>
      </c>
      <c r="O12095" t="s">
        <v>46570</v>
      </c>
      <c r="P12095">
        <v>0</v>
      </c>
      <c r="Q12095">
        <v>66</v>
      </c>
      <c r="R12095" t="s">
        <v>46580</v>
      </c>
      <c r="S12095" t="s">
        <v>46986</v>
      </c>
      <c r="T12095" t="s">
        <v>48284</v>
      </c>
      <c r="U12095" t="s">
        <v>58488</v>
      </c>
      <c r="W12095" t="s">
        <v>44936</v>
      </c>
      <c r="X12095" t="s">
        <v>46581</v>
      </c>
    </row>
    <row r="12096" spans="1:24">
      <c r="A12096">
        <f>HYPERLINK("https://www.philgeps.gov.ph/GEPSNONPILOT/Tender/SplashBidNoticeAbstractUI.aspx?menuIndex=3&amp;refID=7046590&amp;Result=3","7046590")</f>
        <v>0</v>
      </c>
      <c r="B12096" t="s">
        <v>3156</v>
      </c>
      <c r="C12096" t="s">
        <v>14998</v>
      </c>
      <c r="D12096" t="s">
        <v>18839</v>
      </c>
      <c r="E12096" t="s">
        <v>14998</v>
      </c>
      <c r="F12096" t="s">
        <v>32664</v>
      </c>
      <c r="G12096" t="s">
        <v>32672</v>
      </c>
      <c r="H12096" t="s">
        <v>12635</v>
      </c>
      <c r="I12096" t="s">
        <v>11464</v>
      </c>
      <c r="J12096" t="s">
        <v>33009</v>
      </c>
      <c r="K12096" t="s">
        <v>42289</v>
      </c>
      <c r="M12096" t="s">
        <v>46054</v>
      </c>
      <c r="N12096" t="s">
        <v>46569</v>
      </c>
      <c r="O12096" t="s">
        <v>46570</v>
      </c>
      <c r="P12096">
        <v>0</v>
      </c>
      <c r="Q12096">
        <v>8</v>
      </c>
      <c r="R12096" t="s">
        <v>46580</v>
      </c>
      <c r="S12096" t="s">
        <v>46986</v>
      </c>
      <c r="T12096" t="s">
        <v>48213</v>
      </c>
      <c r="U12096" t="s">
        <v>58489</v>
      </c>
      <c r="W12096" t="s">
        <v>46054</v>
      </c>
      <c r="X12096" t="s">
        <v>46581</v>
      </c>
    </row>
    <row r="12097" spans="1:24">
      <c r="A12097">
        <f>HYPERLINK("https://www.philgeps.gov.ph/GEPSNONPILOT/Tender/SplashBidNoticeAbstractUI.aspx?menuIndex=3&amp;refID=7046629&amp;Result=3","7046629")</f>
        <v>0</v>
      </c>
      <c r="B12097" t="s">
        <v>108</v>
      </c>
      <c r="C12097" t="s">
        <v>14999</v>
      </c>
      <c r="D12097" t="s">
        <v>18824</v>
      </c>
      <c r="E12097" t="s">
        <v>29291</v>
      </c>
      <c r="F12097" t="s">
        <v>32664</v>
      </c>
      <c r="G12097" t="s">
        <v>32672</v>
      </c>
      <c r="H12097" t="s">
        <v>32683</v>
      </c>
      <c r="I12097" t="s">
        <v>10627</v>
      </c>
      <c r="J12097" t="s">
        <v>39955</v>
      </c>
      <c r="K12097" t="s">
        <v>42283</v>
      </c>
      <c r="M12097" t="s">
        <v>42672</v>
      </c>
      <c r="N12097" t="s">
        <v>46569</v>
      </c>
      <c r="O12097" t="s">
        <v>46570</v>
      </c>
      <c r="P12097">
        <v>0</v>
      </c>
      <c r="Q12097">
        <v>1</v>
      </c>
      <c r="R12097" t="s">
        <v>46580</v>
      </c>
      <c r="S12097" t="s">
        <v>46986</v>
      </c>
      <c r="T12097" t="s">
        <v>48467</v>
      </c>
      <c r="U12097" t="s">
        <v>48996</v>
      </c>
      <c r="W12097" t="s">
        <v>42672</v>
      </c>
      <c r="X12097" t="s">
        <v>46581</v>
      </c>
    </row>
    <row r="12098" spans="1:24">
      <c r="A12098">
        <f>HYPERLINK("https://www.philgeps.gov.ph/GEPSNONPILOT/Tender/SplashBidNoticeAbstractUI.aspx?menuIndex=3&amp;refID=7046581&amp;Result=3","7046581")</f>
        <v>0</v>
      </c>
      <c r="B12098" t="s">
        <v>393</v>
      </c>
      <c r="C12098" t="s">
        <v>15000</v>
      </c>
      <c r="D12098" t="s">
        <v>18853</v>
      </c>
      <c r="E12098" t="s">
        <v>29292</v>
      </c>
      <c r="F12098" t="s">
        <v>32664</v>
      </c>
      <c r="G12098" t="s">
        <v>32672</v>
      </c>
      <c r="H12098" t="s">
        <v>32683</v>
      </c>
      <c r="I12098" t="s">
        <v>10627</v>
      </c>
      <c r="J12098" t="s">
        <v>39956</v>
      </c>
      <c r="K12098" t="s">
        <v>42315</v>
      </c>
      <c r="L12098" t="s">
        <v>393</v>
      </c>
      <c r="M12098" t="s">
        <v>42963</v>
      </c>
      <c r="N12098" t="s">
        <v>46569</v>
      </c>
      <c r="O12098" t="s">
        <v>46570</v>
      </c>
      <c r="P12098">
        <v>0</v>
      </c>
      <c r="Q12098">
        <v>0</v>
      </c>
      <c r="R12098" t="s">
        <v>46580</v>
      </c>
      <c r="S12098" t="s">
        <v>46986</v>
      </c>
      <c r="T12098" t="s">
        <v>48284</v>
      </c>
      <c r="U12098" t="s">
        <v>58490</v>
      </c>
      <c r="V12098" t="s">
        <v>62944</v>
      </c>
      <c r="W12098" t="s">
        <v>42963</v>
      </c>
      <c r="X12098" t="s">
        <v>46581</v>
      </c>
    </row>
    <row r="12099" spans="1:24">
      <c r="A12099">
        <f>HYPERLINK("https://www.philgeps.gov.ph/GEPSNONPILOT/Tender/SplashBidNoticeAbstractUI.aspx?menuIndex=3&amp;refID=7046351&amp;Result=3","7046351")</f>
        <v>0</v>
      </c>
      <c r="B12099" t="s">
        <v>189</v>
      </c>
      <c r="C12099" t="s">
        <v>15001</v>
      </c>
      <c r="E12099" t="s">
        <v>29293</v>
      </c>
      <c r="F12099" t="s">
        <v>32664</v>
      </c>
      <c r="G12099" t="s">
        <v>32672</v>
      </c>
      <c r="H12099" t="s">
        <v>32683</v>
      </c>
      <c r="I12099" t="s">
        <v>10627</v>
      </c>
      <c r="J12099" t="s">
        <v>39957</v>
      </c>
      <c r="K12099" t="s">
        <v>42408</v>
      </c>
      <c r="M12099" t="s">
        <v>42753</v>
      </c>
      <c r="N12099" t="s">
        <v>46569</v>
      </c>
      <c r="O12099" t="s">
        <v>46570</v>
      </c>
      <c r="P12099">
        <v>0</v>
      </c>
      <c r="Q12099">
        <v>0</v>
      </c>
      <c r="R12099" t="s">
        <v>46580</v>
      </c>
      <c r="S12099" t="s">
        <v>46986</v>
      </c>
      <c r="T12099" t="s">
        <v>48236</v>
      </c>
      <c r="U12099" t="s">
        <v>58458</v>
      </c>
      <c r="W12099" t="s">
        <v>42753</v>
      </c>
      <c r="X12099" t="s">
        <v>46581</v>
      </c>
    </row>
    <row r="12100" spans="1:24">
      <c r="A12100">
        <f>HYPERLINK("https://www.philgeps.gov.ph/GEPSNONPILOT/Tender/SplashBidNoticeAbstractUI.aspx?menuIndex=3&amp;refID=7046568&amp;Result=3","7046568")</f>
        <v>0</v>
      </c>
      <c r="B12100" t="s">
        <v>3152</v>
      </c>
      <c r="C12100" t="s">
        <v>15002</v>
      </c>
      <c r="D12100" t="s">
        <v>18802</v>
      </c>
      <c r="E12100" t="s">
        <v>20150</v>
      </c>
      <c r="F12100" t="s">
        <v>32664</v>
      </c>
      <c r="G12100" t="s">
        <v>32672</v>
      </c>
      <c r="H12100" t="s">
        <v>32683</v>
      </c>
      <c r="I12100" t="s">
        <v>10627</v>
      </c>
      <c r="J12100" t="s">
        <v>34022</v>
      </c>
      <c r="K12100" t="s">
        <v>42308</v>
      </c>
      <c r="M12100" t="s">
        <v>46049</v>
      </c>
      <c r="N12100" t="s">
        <v>46569</v>
      </c>
      <c r="O12100" t="s">
        <v>46570</v>
      </c>
      <c r="P12100">
        <v>0</v>
      </c>
      <c r="Q12100">
        <v>1</v>
      </c>
      <c r="R12100" t="s">
        <v>46580</v>
      </c>
      <c r="S12100" t="s">
        <v>46986</v>
      </c>
      <c r="T12100" t="s">
        <v>48238</v>
      </c>
      <c r="U12100" t="s">
        <v>58491</v>
      </c>
      <c r="W12100" t="s">
        <v>46049</v>
      </c>
      <c r="X12100" t="s">
        <v>46581</v>
      </c>
    </row>
    <row r="12101" spans="1:24">
      <c r="A12101">
        <f>HYPERLINK("https://www.philgeps.gov.ph/GEPSNONPILOT/Tender/SplashBidNoticeAbstractUI.aspx?menuIndex=3&amp;refID=7046523&amp;Result=3","7046523")</f>
        <v>0</v>
      </c>
      <c r="B12101" t="s">
        <v>2145</v>
      </c>
      <c r="C12101" t="s">
        <v>15003</v>
      </c>
      <c r="D12101" t="s">
        <v>18847</v>
      </c>
      <c r="E12101" t="s">
        <v>29294</v>
      </c>
      <c r="F12101" t="s">
        <v>32664</v>
      </c>
      <c r="G12101" t="s">
        <v>32673</v>
      </c>
      <c r="H12101" t="s">
        <v>32683</v>
      </c>
      <c r="I12101" t="s">
        <v>10627</v>
      </c>
      <c r="J12101" t="s">
        <v>39958</v>
      </c>
      <c r="K12101" t="s">
        <v>42311</v>
      </c>
      <c r="M12101" t="s">
        <v>45745</v>
      </c>
      <c r="N12101" t="s">
        <v>46569</v>
      </c>
      <c r="O12101" t="s">
        <v>46570</v>
      </c>
      <c r="P12101">
        <v>0</v>
      </c>
      <c r="Q12101">
        <v>0</v>
      </c>
      <c r="R12101" t="s">
        <v>46580</v>
      </c>
      <c r="S12101" t="s">
        <v>46986</v>
      </c>
      <c r="T12101" t="s">
        <v>48212</v>
      </c>
      <c r="U12101" t="s">
        <v>57283</v>
      </c>
      <c r="V12101" t="s">
        <v>62945</v>
      </c>
      <c r="W12101" t="s">
        <v>63577</v>
      </c>
      <c r="X12101" t="s">
        <v>46581</v>
      </c>
    </row>
    <row r="12102" spans="1:24">
      <c r="A12102">
        <f>HYPERLINK("https://www.philgeps.gov.ph/GEPSNONPILOT/Tender/SplashBidNoticeAbstractUI.aspx?menuIndex=3&amp;refID=7046607&amp;Result=3","7046607")</f>
        <v>0</v>
      </c>
      <c r="B12102" t="s">
        <v>2098</v>
      </c>
      <c r="C12102" t="s">
        <v>15004</v>
      </c>
      <c r="D12102" t="s">
        <v>18826</v>
      </c>
      <c r="E12102" t="s">
        <v>29295</v>
      </c>
      <c r="F12102" t="s">
        <v>32664</v>
      </c>
      <c r="G12102" t="s">
        <v>32678</v>
      </c>
      <c r="H12102" t="s">
        <v>32681</v>
      </c>
      <c r="I12102" t="s">
        <v>32681</v>
      </c>
      <c r="J12102" t="s">
        <v>39959</v>
      </c>
      <c r="K12102" t="s">
        <v>42285</v>
      </c>
      <c r="M12102" t="s">
        <v>44853</v>
      </c>
      <c r="N12102" t="s">
        <v>46569</v>
      </c>
      <c r="O12102" t="s">
        <v>46570</v>
      </c>
      <c r="Q12102">
        <v>4</v>
      </c>
      <c r="R12102" t="s">
        <v>46580</v>
      </c>
      <c r="S12102" t="s">
        <v>47005</v>
      </c>
      <c r="T12102" t="s">
        <v>48701</v>
      </c>
      <c r="U12102" t="s">
        <v>58492</v>
      </c>
      <c r="W12102" t="s">
        <v>44853</v>
      </c>
      <c r="X12102" t="s">
        <v>46581</v>
      </c>
    </row>
    <row r="12103" spans="1:24">
      <c r="A12103">
        <f>HYPERLINK("https://www.philgeps.gov.ph/GEPSNONPILOT/Tender/SplashBidNoticeAbstractUI.aspx?menuIndex=3&amp;refID=7046567&amp;Result=3","7046567")</f>
        <v>0</v>
      </c>
      <c r="B12103" t="s">
        <v>189</v>
      </c>
      <c r="C12103" t="s">
        <v>15005</v>
      </c>
      <c r="E12103" t="s">
        <v>29296</v>
      </c>
      <c r="F12103" t="s">
        <v>32664</v>
      </c>
      <c r="G12103" t="s">
        <v>32672</v>
      </c>
      <c r="H12103" t="s">
        <v>12635</v>
      </c>
      <c r="I12103" t="s">
        <v>9597</v>
      </c>
      <c r="J12103" t="s">
        <v>39501</v>
      </c>
      <c r="K12103" t="s">
        <v>42314</v>
      </c>
      <c r="M12103" t="s">
        <v>42753</v>
      </c>
      <c r="N12103" t="s">
        <v>46569</v>
      </c>
      <c r="O12103" t="s">
        <v>46570</v>
      </c>
      <c r="P12103">
        <v>0</v>
      </c>
      <c r="Q12103">
        <v>12</v>
      </c>
      <c r="R12103" t="s">
        <v>46580</v>
      </c>
      <c r="S12103" t="s">
        <v>46986</v>
      </c>
      <c r="T12103" t="s">
        <v>48236</v>
      </c>
      <c r="U12103" t="s">
        <v>58493</v>
      </c>
      <c r="W12103" t="s">
        <v>42753</v>
      </c>
      <c r="X12103" t="s">
        <v>46581</v>
      </c>
    </row>
    <row r="12104" spans="1:24">
      <c r="A12104">
        <f>HYPERLINK("https://www.philgeps.gov.ph/GEPSNONPILOT/Tender/SplashBidNoticeAbstractUI.aspx?menuIndex=3&amp;refID=7046552&amp;Result=3","7046552")</f>
        <v>0</v>
      </c>
      <c r="B12104" t="s">
        <v>393</v>
      </c>
      <c r="C12104" t="s">
        <v>15006</v>
      </c>
      <c r="D12104" t="s">
        <v>18853</v>
      </c>
      <c r="E12104" t="s">
        <v>29297</v>
      </c>
      <c r="F12104" t="s">
        <v>32664</v>
      </c>
      <c r="G12104" t="s">
        <v>32672</v>
      </c>
      <c r="H12104" t="s">
        <v>32683</v>
      </c>
      <c r="I12104" t="s">
        <v>10627</v>
      </c>
      <c r="J12104" t="s">
        <v>39960</v>
      </c>
      <c r="K12104" t="s">
        <v>42421</v>
      </c>
      <c r="L12104" t="s">
        <v>393</v>
      </c>
      <c r="M12104" t="s">
        <v>42963</v>
      </c>
      <c r="N12104" t="s">
        <v>46569</v>
      </c>
      <c r="O12104" t="s">
        <v>46570</v>
      </c>
      <c r="P12104">
        <v>0</v>
      </c>
      <c r="Q12104">
        <v>0</v>
      </c>
      <c r="R12104" t="s">
        <v>46580</v>
      </c>
      <c r="S12104" t="s">
        <v>46986</v>
      </c>
      <c r="T12104" t="s">
        <v>48284</v>
      </c>
      <c r="U12104" t="s">
        <v>58494</v>
      </c>
      <c r="V12104" t="s">
        <v>62946</v>
      </c>
      <c r="W12104" t="s">
        <v>42963</v>
      </c>
      <c r="X12104" t="s">
        <v>46581</v>
      </c>
    </row>
    <row r="12105" spans="1:24">
      <c r="A12105">
        <f>HYPERLINK("https://www.philgeps.gov.ph/GEPSNONPILOT/Tender/SplashBidNoticeAbstractUI.aspx?menuIndex=3&amp;refID=7046542&amp;Result=3","7046542")</f>
        <v>0</v>
      </c>
      <c r="B12105" t="s">
        <v>2857</v>
      </c>
      <c r="C12105" t="s">
        <v>15007</v>
      </c>
      <c r="D12105" t="s">
        <v>18799</v>
      </c>
      <c r="E12105" t="s">
        <v>29298</v>
      </c>
      <c r="F12105" t="s">
        <v>32664</v>
      </c>
      <c r="G12105" t="s">
        <v>32672</v>
      </c>
      <c r="H12105" t="s">
        <v>32683</v>
      </c>
      <c r="I12105" t="s">
        <v>10627</v>
      </c>
      <c r="J12105" t="s">
        <v>32981</v>
      </c>
      <c r="K12105" t="s">
        <v>42298</v>
      </c>
      <c r="M12105" t="s">
        <v>45705</v>
      </c>
      <c r="N12105" t="s">
        <v>46569</v>
      </c>
      <c r="O12105" t="s">
        <v>46570</v>
      </c>
      <c r="P12105">
        <v>0</v>
      </c>
      <c r="Q12105">
        <v>0</v>
      </c>
      <c r="R12105" t="s">
        <v>46580</v>
      </c>
      <c r="S12105" t="s">
        <v>46986</v>
      </c>
      <c r="T12105" t="s">
        <v>48328</v>
      </c>
      <c r="U12105" t="s">
        <v>58495</v>
      </c>
      <c r="W12105" t="s">
        <v>45705</v>
      </c>
      <c r="X12105" t="s">
        <v>46581</v>
      </c>
    </row>
    <row r="12106" spans="1:24">
      <c r="A12106">
        <f>HYPERLINK("https://www.philgeps.gov.ph/GEPSNONPILOT/Tender/SplashBidNoticeAbstractUI.aspx?menuIndex=3&amp;refID=7046579&amp;Result=3","7046579")</f>
        <v>0</v>
      </c>
      <c r="B12106" t="s">
        <v>2150</v>
      </c>
      <c r="C12106" t="s">
        <v>15008</v>
      </c>
      <c r="D12106" t="s">
        <v>18851</v>
      </c>
      <c r="E12106" t="s">
        <v>29299</v>
      </c>
      <c r="F12106" t="s">
        <v>32664</v>
      </c>
      <c r="G12106" t="s">
        <v>32672</v>
      </c>
      <c r="H12106" t="s">
        <v>12635</v>
      </c>
      <c r="I12106" t="s">
        <v>32706</v>
      </c>
      <c r="J12106" t="s">
        <v>39961</v>
      </c>
      <c r="K12106" t="s">
        <v>42281</v>
      </c>
      <c r="M12106" t="s">
        <v>44906</v>
      </c>
      <c r="N12106" t="s">
        <v>46569</v>
      </c>
      <c r="O12106" t="s">
        <v>46570</v>
      </c>
      <c r="P12106">
        <v>0</v>
      </c>
      <c r="Q12106">
        <v>0</v>
      </c>
      <c r="R12106" t="s">
        <v>46580</v>
      </c>
      <c r="S12106" t="s">
        <v>46986</v>
      </c>
      <c r="T12106" t="s">
        <v>48212</v>
      </c>
      <c r="U12106" t="s">
        <v>58496</v>
      </c>
      <c r="W12106" t="s">
        <v>44906</v>
      </c>
      <c r="X12106" t="s">
        <v>46581</v>
      </c>
    </row>
    <row r="12107" spans="1:24">
      <c r="A12107">
        <f>HYPERLINK("https://www.philgeps.gov.ph/GEPSNONPILOT/Tender/SplashBidNoticeAbstractUI.aspx?menuIndex=3&amp;refID=7046178&amp;Result=3","7046178")</f>
        <v>0</v>
      </c>
      <c r="B12107" t="s">
        <v>117</v>
      </c>
      <c r="C12107" t="s">
        <v>15009</v>
      </c>
      <c r="D12107" t="s">
        <v>18799</v>
      </c>
      <c r="E12107" t="s">
        <v>15009</v>
      </c>
      <c r="F12107" t="s">
        <v>32664</v>
      </c>
      <c r="G12107" t="s">
        <v>32672</v>
      </c>
      <c r="H12107" t="s">
        <v>32683</v>
      </c>
      <c r="I12107" t="s">
        <v>32758</v>
      </c>
      <c r="J12107" t="s">
        <v>39962</v>
      </c>
      <c r="K12107" t="s">
        <v>42283</v>
      </c>
      <c r="M12107" t="s">
        <v>46055</v>
      </c>
      <c r="N12107" t="s">
        <v>46569</v>
      </c>
      <c r="O12107" t="s">
        <v>46570</v>
      </c>
      <c r="P12107">
        <v>0</v>
      </c>
      <c r="Q12107">
        <v>0</v>
      </c>
      <c r="R12107" t="s">
        <v>46580</v>
      </c>
      <c r="S12107" t="s">
        <v>46986</v>
      </c>
      <c r="T12107" t="s">
        <v>48309</v>
      </c>
      <c r="U12107" t="s">
        <v>58497</v>
      </c>
      <c r="W12107" t="s">
        <v>46055</v>
      </c>
      <c r="X12107" t="s">
        <v>46581</v>
      </c>
    </row>
    <row r="12108" spans="1:24">
      <c r="A12108">
        <f>HYPERLINK("https://www.philgeps.gov.ph/GEPSNONPILOT/Tender/SplashBidNoticeAbstractUI.aspx?menuIndex=3&amp;refID=7046474&amp;Result=3","7046474")</f>
        <v>0</v>
      </c>
      <c r="B12108" t="s">
        <v>3029</v>
      </c>
      <c r="C12108" t="s">
        <v>15010</v>
      </c>
      <c r="D12108" t="s">
        <v>18786</v>
      </c>
      <c r="E12108" t="s">
        <v>29300</v>
      </c>
      <c r="F12108" t="s">
        <v>32664</v>
      </c>
      <c r="G12108" t="s">
        <v>32672</v>
      </c>
      <c r="H12108" t="s">
        <v>32683</v>
      </c>
      <c r="I12108" t="s">
        <v>10627</v>
      </c>
      <c r="J12108" t="s">
        <v>32837</v>
      </c>
      <c r="K12108" t="s">
        <v>42369</v>
      </c>
      <c r="M12108" t="s">
        <v>45902</v>
      </c>
      <c r="N12108" t="s">
        <v>46569</v>
      </c>
      <c r="O12108" t="s">
        <v>46570</v>
      </c>
      <c r="Q12108">
        <v>0</v>
      </c>
      <c r="R12108" t="s">
        <v>46580</v>
      </c>
      <c r="S12108" t="s">
        <v>47006</v>
      </c>
      <c r="T12108" t="s">
        <v>48228</v>
      </c>
      <c r="U12108" t="s">
        <v>58498</v>
      </c>
      <c r="W12108" t="s">
        <v>45902</v>
      </c>
      <c r="X12108" t="s">
        <v>46581</v>
      </c>
    </row>
    <row r="12109" spans="1:24">
      <c r="A12109">
        <f>HYPERLINK("https://www.philgeps.gov.ph/GEPSNONPILOT/Tender/SplashBidNoticeAbstractUI.aspx?menuIndex=3&amp;refID=7046553&amp;Result=3","7046553")</f>
        <v>0</v>
      </c>
      <c r="B12109" t="s">
        <v>3157</v>
      </c>
      <c r="C12109" t="s">
        <v>15011</v>
      </c>
      <c r="D12109" t="s">
        <v>18831</v>
      </c>
      <c r="E12109" t="s">
        <v>29301</v>
      </c>
      <c r="F12109" t="s">
        <v>32664</v>
      </c>
      <c r="G12109" t="s">
        <v>32672</v>
      </c>
      <c r="H12109" t="s">
        <v>12635</v>
      </c>
      <c r="I12109" t="s">
        <v>4439</v>
      </c>
      <c r="J12109" t="s">
        <v>39963</v>
      </c>
      <c r="K12109" t="s">
        <v>42289</v>
      </c>
      <c r="M12109" t="s">
        <v>46056</v>
      </c>
      <c r="N12109" t="s">
        <v>46569</v>
      </c>
      <c r="O12109" t="s">
        <v>46570</v>
      </c>
      <c r="P12109">
        <v>0</v>
      </c>
      <c r="Q12109">
        <v>0</v>
      </c>
      <c r="R12109" t="s">
        <v>46580</v>
      </c>
      <c r="S12109" t="s">
        <v>46986</v>
      </c>
      <c r="T12109" t="s">
        <v>48287</v>
      </c>
      <c r="U12109" t="s">
        <v>58499</v>
      </c>
      <c r="W12109" t="s">
        <v>46056</v>
      </c>
      <c r="X12109" t="s">
        <v>46581</v>
      </c>
    </row>
    <row r="12110" spans="1:24">
      <c r="A12110">
        <f>HYPERLINK("https://www.philgeps.gov.ph/GEPSNONPILOT/Tender/SplashBidNoticeAbstractUI.aspx?menuIndex=3&amp;refID=7045989&amp;Result=3","7045989")</f>
        <v>0</v>
      </c>
      <c r="B12110" t="s">
        <v>3137</v>
      </c>
      <c r="C12110" t="s">
        <v>15012</v>
      </c>
      <c r="D12110" t="s">
        <v>18824</v>
      </c>
      <c r="E12110" t="s">
        <v>29302</v>
      </c>
      <c r="F12110" t="s">
        <v>32664</v>
      </c>
      <c r="G12110" t="s">
        <v>32672</v>
      </c>
      <c r="H12110" t="s">
        <v>12635</v>
      </c>
      <c r="I12110" t="s">
        <v>32704</v>
      </c>
      <c r="J12110" t="s">
        <v>39964</v>
      </c>
      <c r="K12110" t="s">
        <v>42311</v>
      </c>
      <c r="M12110" t="s">
        <v>46031</v>
      </c>
      <c r="N12110" t="s">
        <v>46569</v>
      </c>
      <c r="O12110" t="s">
        <v>46570</v>
      </c>
      <c r="P12110">
        <v>0</v>
      </c>
      <c r="Q12110">
        <v>14</v>
      </c>
      <c r="R12110" t="s">
        <v>46580</v>
      </c>
      <c r="S12110" t="s">
        <v>46986</v>
      </c>
      <c r="T12110" t="s">
        <v>48552</v>
      </c>
      <c r="U12110" t="s">
        <v>58500</v>
      </c>
      <c r="V12110" t="s">
        <v>62928</v>
      </c>
      <c r="W12110" t="s">
        <v>46031</v>
      </c>
      <c r="X12110" t="s">
        <v>46581</v>
      </c>
    </row>
    <row r="12111" spans="1:24">
      <c r="A12111">
        <f>HYPERLINK("https://www.philgeps.gov.ph/GEPSNONPILOT/Tender/SplashBidNoticeAbstractUI.aspx?menuIndex=3&amp;refID=7046192&amp;Result=3","7046192")</f>
        <v>0</v>
      </c>
      <c r="B12111" t="s">
        <v>2150</v>
      </c>
      <c r="C12111" t="s">
        <v>15013</v>
      </c>
      <c r="D12111" t="s">
        <v>18851</v>
      </c>
      <c r="E12111" t="s">
        <v>29237</v>
      </c>
      <c r="F12111" t="s">
        <v>32664</v>
      </c>
      <c r="G12111" t="s">
        <v>32672</v>
      </c>
      <c r="H12111" t="s">
        <v>12635</v>
      </c>
      <c r="I12111" t="s">
        <v>10361</v>
      </c>
      <c r="J12111" t="s">
        <v>33415</v>
      </c>
      <c r="K12111" t="s">
        <v>42281</v>
      </c>
      <c r="M12111" t="s">
        <v>44906</v>
      </c>
      <c r="N12111" t="s">
        <v>46569</v>
      </c>
      <c r="O12111" t="s">
        <v>46570</v>
      </c>
      <c r="P12111">
        <v>0</v>
      </c>
      <c r="Q12111">
        <v>0</v>
      </c>
      <c r="R12111" t="s">
        <v>46580</v>
      </c>
      <c r="S12111" t="s">
        <v>46986</v>
      </c>
      <c r="T12111" t="s">
        <v>48212</v>
      </c>
      <c r="U12111" t="s">
        <v>58435</v>
      </c>
      <c r="W12111" t="s">
        <v>44906</v>
      </c>
      <c r="X12111" t="s">
        <v>46581</v>
      </c>
    </row>
    <row r="12112" spans="1:24">
      <c r="A12112">
        <f>HYPERLINK("https://www.philgeps.gov.ph/GEPSNONPILOT/Tender/SplashBidNoticeAbstractUI.aspx?menuIndex=3&amp;refID=7045980&amp;Result=3","7045980")</f>
        <v>0</v>
      </c>
      <c r="B12112" t="s">
        <v>1911</v>
      </c>
      <c r="C12112" t="s">
        <v>15014</v>
      </c>
      <c r="D12112" t="s">
        <v>18844</v>
      </c>
      <c r="E12112" t="s">
        <v>29303</v>
      </c>
      <c r="F12112" t="s">
        <v>32664</v>
      </c>
      <c r="G12112" t="s">
        <v>32672</v>
      </c>
      <c r="H12112" t="s">
        <v>32683</v>
      </c>
      <c r="I12112" t="s">
        <v>10627</v>
      </c>
      <c r="J12112" t="s">
        <v>32865</v>
      </c>
      <c r="K12112" t="s">
        <v>42314</v>
      </c>
      <c r="M12112" t="s">
        <v>44632</v>
      </c>
      <c r="N12112" t="s">
        <v>46569</v>
      </c>
      <c r="O12112" t="s">
        <v>46570</v>
      </c>
      <c r="P12112">
        <v>0</v>
      </c>
      <c r="Q12112">
        <v>0</v>
      </c>
      <c r="R12112" t="s">
        <v>46580</v>
      </c>
      <c r="S12112" t="s">
        <v>46986</v>
      </c>
      <c r="T12112" t="s">
        <v>48284</v>
      </c>
      <c r="U12112" t="s">
        <v>58501</v>
      </c>
      <c r="W12112" t="s">
        <v>44632</v>
      </c>
      <c r="X12112" t="s">
        <v>46581</v>
      </c>
    </row>
    <row r="12113" spans="1:24">
      <c r="A12113">
        <f>HYPERLINK("https://www.philgeps.gov.ph/GEPSNONPILOT/Tender/SplashBidNoticeAbstractUI.aspx?menuIndex=3&amp;refID=7046183&amp;Result=3","7046183")</f>
        <v>0</v>
      </c>
      <c r="B12113" t="s">
        <v>2275</v>
      </c>
      <c r="C12113" t="s">
        <v>15015</v>
      </c>
      <c r="D12113" t="s">
        <v>18784</v>
      </c>
      <c r="E12113" t="s">
        <v>29304</v>
      </c>
      <c r="F12113" t="s">
        <v>32664</v>
      </c>
      <c r="G12113" t="s">
        <v>32672</v>
      </c>
      <c r="H12113" t="s">
        <v>12635</v>
      </c>
      <c r="I12113" t="s">
        <v>32704</v>
      </c>
      <c r="J12113" t="s">
        <v>39965</v>
      </c>
      <c r="K12113" t="s">
        <v>42290</v>
      </c>
      <c r="M12113" t="s">
        <v>46035</v>
      </c>
      <c r="N12113" t="s">
        <v>46569</v>
      </c>
      <c r="O12113" t="s">
        <v>46570</v>
      </c>
      <c r="Q12113">
        <v>13</v>
      </c>
      <c r="R12113" t="s">
        <v>46580</v>
      </c>
      <c r="S12113" t="s">
        <v>47007</v>
      </c>
      <c r="T12113" t="s">
        <v>48238</v>
      </c>
      <c r="U12113" t="s">
        <v>58502</v>
      </c>
      <c r="W12113" t="s">
        <v>46035</v>
      </c>
      <c r="X12113" t="s">
        <v>46581</v>
      </c>
    </row>
    <row r="12114" spans="1:24">
      <c r="A12114">
        <f>HYPERLINK("https://www.philgeps.gov.ph/GEPSNONPILOT/Tender/SplashBidNoticeAbstractUI.aspx?menuIndex=3&amp;refID=7045977&amp;Result=3","7045977")</f>
        <v>0</v>
      </c>
      <c r="B12114" t="s">
        <v>1778</v>
      </c>
      <c r="C12114" t="s">
        <v>15016</v>
      </c>
      <c r="D12114" t="s">
        <v>18837</v>
      </c>
      <c r="E12114" t="s">
        <v>29305</v>
      </c>
      <c r="F12114" t="s">
        <v>32664</v>
      </c>
      <c r="G12114" t="s">
        <v>32674</v>
      </c>
      <c r="H12114" t="s">
        <v>12635</v>
      </c>
      <c r="I12114" t="s">
        <v>8797</v>
      </c>
      <c r="J12114" t="s">
        <v>36257</v>
      </c>
      <c r="K12114" t="s">
        <v>42283</v>
      </c>
      <c r="M12114" t="s">
        <v>44480</v>
      </c>
      <c r="N12114" t="s">
        <v>46569</v>
      </c>
      <c r="O12114" t="s">
        <v>46570</v>
      </c>
      <c r="P12114">
        <v>0</v>
      </c>
      <c r="Q12114">
        <v>0</v>
      </c>
      <c r="R12114" t="s">
        <v>46580</v>
      </c>
      <c r="S12114" t="s">
        <v>46986</v>
      </c>
      <c r="T12114" t="s">
        <v>48473</v>
      </c>
      <c r="U12114" t="s">
        <v>58503</v>
      </c>
      <c r="W12114" t="s">
        <v>44480</v>
      </c>
      <c r="X12114" t="s">
        <v>46581</v>
      </c>
    </row>
    <row r="12115" spans="1:24">
      <c r="A12115">
        <f>HYPERLINK("https://www.philgeps.gov.ph/GEPSNONPILOT/Tender/SplashBidNoticeAbstractUI.aspx?menuIndex=3&amp;refID=7045968&amp;Result=3","7045968")</f>
        <v>0</v>
      </c>
      <c r="B12115" t="s">
        <v>3158</v>
      </c>
      <c r="C12115" t="s">
        <v>15017</v>
      </c>
      <c r="D12115" t="s">
        <v>18843</v>
      </c>
      <c r="E12115" t="s">
        <v>29306</v>
      </c>
      <c r="F12115" t="s">
        <v>32664</v>
      </c>
      <c r="G12115" t="s">
        <v>32672</v>
      </c>
      <c r="H12115" t="s">
        <v>12635</v>
      </c>
      <c r="I12115" t="s">
        <v>4439</v>
      </c>
      <c r="J12115" t="s">
        <v>39966</v>
      </c>
      <c r="K12115" t="s">
        <v>42289</v>
      </c>
      <c r="M12115" t="s">
        <v>46057</v>
      </c>
      <c r="N12115" t="s">
        <v>46569</v>
      </c>
      <c r="O12115" t="s">
        <v>46570</v>
      </c>
      <c r="P12115">
        <v>0</v>
      </c>
      <c r="Q12115">
        <v>0</v>
      </c>
      <c r="R12115" t="s">
        <v>46580</v>
      </c>
      <c r="S12115" t="s">
        <v>46986</v>
      </c>
      <c r="T12115" t="s">
        <v>48264</v>
      </c>
      <c r="U12115" t="s">
        <v>58504</v>
      </c>
      <c r="W12115" t="s">
        <v>46057</v>
      </c>
      <c r="X12115" t="s">
        <v>46581</v>
      </c>
    </row>
    <row r="12116" spans="1:24">
      <c r="A12116">
        <f>HYPERLINK("https://www.philgeps.gov.ph/GEPSNONPILOT/Tender/SplashBidNoticeAbstractUI.aspx?menuIndex=3&amp;refID=7046179&amp;Result=3","7046179")</f>
        <v>0</v>
      </c>
      <c r="B12116" t="s">
        <v>2882</v>
      </c>
      <c r="C12116" t="s">
        <v>15018</v>
      </c>
      <c r="D12116" t="s">
        <v>18826</v>
      </c>
      <c r="E12116" t="s">
        <v>29307</v>
      </c>
      <c r="F12116" t="s">
        <v>32664</v>
      </c>
      <c r="G12116" t="s">
        <v>32672</v>
      </c>
      <c r="H12116" t="s">
        <v>32683</v>
      </c>
      <c r="I12116" t="s">
        <v>10627</v>
      </c>
      <c r="J12116" t="s">
        <v>32962</v>
      </c>
      <c r="K12116" t="s">
        <v>42313</v>
      </c>
      <c r="L12116" t="s">
        <v>2882</v>
      </c>
      <c r="M12116" t="s">
        <v>45731</v>
      </c>
      <c r="N12116" t="s">
        <v>46569</v>
      </c>
      <c r="O12116" t="s">
        <v>46570</v>
      </c>
      <c r="P12116">
        <v>0</v>
      </c>
      <c r="Q12116">
        <v>73</v>
      </c>
      <c r="R12116" t="s">
        <v>46580</v>
      </c>
      <c r="S12116" t="s">
        <v>46986</v>
      </c>
      <c r="T12116" t="s">
        <v>48284</v>
      </c>
      <c r="U12116" t="s">
        <v>58505</v>
      </c>
      <c r="W12116" t="s">
        <v>45731</v>
      </c>
      <c r="X12116" t="s">
        <v>46581</v>
      </c>
    </row>
    <row r="12117" spans="1:24">
      <c r="A12117">
        <f>HYPERLINK("https://www.philgeps.gov.ph/GEPSNONPILOT/Tender/SplashBidNoticeAbstractUI.aspx?menuIndex=3&amp;refID=7045823&amp;Result=3","7045823")</f>
        <v>0</v>
      </c>
      <c r="B12117" t="s">
        <v>2150</v>
      </c>
      <c r="C12117" t="s">
        <v>15019</v>
      </c>
      <c r="D12117" t="s">
        <v>18851</v>
      </c>
      <c r="E12117" t="s">
        <v>29175</v>
      </c>
      <c r="F12117" t="s">
        <v>32664</v>
      </c>
      <c r="G12117" t="s">
        <v>32672</v>
      </c>
      <c r="H12117" t="s">
        <v>12635</v>
      </c>
      <c r="I12117" t="s">
        <v>6223</v>
      </c>
      <c r="J12117" t="s">
        <v>39664</v>
      </c>
      <c r="K12117" t="s">
        <v>42281</v>
      </c>
      <c r="M12117" t="s">
        <v>44906</v>
      </c>
      <c r="N12117" t="s">
        <v>46569</v>
      </c>
      <c r="O12117" t="s">
        <v>46570</v>
      </c>
      <c r="P12117">
        <v>0</v>
      </c>
      <c r="Q12117">
        <v>2</v>
      </c>
      <c r="R12117" t="s">
        <v>46580</v>
      </c>
      <c r="S12117" t="s">
        <v>46986</v>
      </c>
      <c r="T12117" t="s">
        <v>48212</v>
      </c>
      <c r="U12117" t="s">
        <v>58381</v>
      </c>
      <c r="W12117" t="s">
        <v>44906</v>
      </c>
      <c r="X12117" t="s">
        <v>46581</v>
      </c>
    </row>
    <row r="12118" spans="1:24">
      <c r="A12118">
        <f>HYPERLINK("https://www.philgeps.gov.ph/GEPSNONPILOT/Tender/SplashBidNoticeAbstractUI.aspx?menuIndex=3&amp;refID=7045825&amp;Result=3","7045825")</f>
        <v>0</v>
      </c>
      <c r="B12118" t="s">
        <v>3158</v>
      </c>
      <c r="C12118" t="s">
        <v>15020</v>
      </c>
      <c r="D12118" t="s">
        <v>18843</v>
      </c>
      <c r="E12118" t="s">
        <v>29308</v>
      </c>
      <c r="F12118" t="s">
        <v>32664</v>
      </c>
      <c r="G12118" t="s">
        <v>32672</v>
      </c>
      <c r="H12118" t="s">
        <v>32683</v>
      </c>
      <c r="I12118" t="s">
        <v>10627</v>
      </c>
      <c r="J12118" t="s">
        <v>32962</v>
      </c>
      <c r="K12118" t="s">
        <v>42311</v>
      </c>
      <c r="M12118" t="s">
        <v>46057</v>
      </c>
      <c r="N12118" t="s">
        <v>46569</v>
      </c>
      <c r="O12118" t="s">
        <v>46570</v>
      </c>
      <c r="P12118">
        <v>0</v>
      </c>
      <c r="Q12118">
        <v>1</v>
      </c>
      <c r="R12118" t="s">
        <v>46580</v>
      </c>
      <c r="S12118" t="s">
        <v>46986</v>
      </c>
      <c r="T12118" t="s">
        <v>48264</v>
      </c>
      <c r="U12118" t="s">
        <v>58506</v>
      </c>
      <c r="W12118" t="s">
        <v>46057</v>
      </c>
      <c r="X12118" t="s">
        <v>46581</v>
      </c>
    </row>
    <row r="12119" spans="1:24">
      <c r="A12119">
        <f>HYPERLINK("https://www.philgeps.gov.ph/GEPSNONPILOT/Tender/SplashBidNoticeAbstractUI.aspx?menuIndex=3&amp;refID=7045816&amp;Result=3","7045816")</f>
        <v>0</v>
      </c>
      <c r="B12119" t="s">
        <v>660</v>
      </c>
      <c r="C12119" t="s">
        <v>15021</v>
      </c>
      <c r="D12119" t="s">
        <v>18855</v>
      </c>
      <c r="E12119" t="s">
        <v>29309</v>
      </c>
      <c r="F12119" t="s">
        <v>32664</v>
      </c>
      <c r="G12119" t="s">
        <v>32672</v>
      </c>
      <c r="H12119" t="s">
        <v>32683</v>
      </c>
      <c r="I12119" t="s">
        <v>10627</v>
      </c>
      <c r="J12119" t="s">
        <v>32974</v>
      </c>
      <c r="K12119" t="s">
        <v>42283</v>
      </c>
      <c r="M12119" t="s">
        <v>43247</v>
      </c>
      <c r="N12119" t="s">
        <v>46569</v>
      </c>
      <c r="O12119" t="s">
        <v>46570</v>
      </c>
      <c r="P12119">
        <v>0</v>
      </c>
      <c r="Q12119">
        <v>1</v>
      </c>
      <c r="R12119" t="s">
        <v>46580</v>
      </c>
      <c r="S12119" t="s">
        <v>46986</v>
      </c>
      <c r="T12119" t="s">
        <v>48303</v>
      </c>
      <c r="U12119" t="s">
        <v>58194</v>
      </c>
      <c r="W12119" t="s">
        <v>43247</v>
      </c>
      <c r="X12119" t="s">
        <v>46581</v>
      </c>
    </row>
    <row r="12120" spans="1:24">
      <c r="A12120">
        <f>HYPERLINK("https://www.philgeps.gov.ph/GEPSNONPILOT/Tender/SplashBidNoticeAbstractUI.aspx?menuIndex=3&amp;refID=7045990&amp;Result=3","7045990")</f>
        <v>0</v>
      </c>
      <c r="B12120" t="s">
        <v>1175</v>
      </c>
      <c r="C12120" t="s">
        <v>3912</v>
      </c>
      <c r="D12120" t="s">
        <v>18782</v>
      </c>
      <c r="E12120" t="s">
        <v>19180</v>
      </c>
      <c r="F12120" t="s">
        <v>32665</v>
      </c>
      <c r="G12120" t="s">
        <v>32672</v>
      </c>
      <c r="H12120" t="s">
        <v>12635</v>
      </c>
      <c r="I12120" t="s">
        <v>6168</v>
      </c>
      <c r="J12120" t="s">
        <v>39967</v>
      </c>
      <c r="K12120" t="s">
        <v>42284</v>
      </c>
      <c r="M12120" t="s">
        <v>43809</v>
      </c>
      <c r="N12120" t="s">
        <v>46569</v>
      </c>
      <c r="O12120" t="s">
        <v>46570</v>
      </c>
      <c r="P12120">
        <v>0</v>
      </c>
      <c r="Q12120">
        <v>2</v>
      </c>
      <c r="R12120" t="s">
        <v>46580</v>
      </c>
      <c r="S12120" t="s">
        <v>46986</v>
      </c>
      <c r="T12120" t="s">
        <v>48212</v>
      </c>
      <c r="U12120" t="s">
        <v>58507</v>
      </c>
      <c r="V12120" t="s">
        <v>62947</v>
      </c>
      <c r="W12120" t="s">
        <v>43809</v>
      </c>
      <c r="X12120" t="s">
        <v>46581</v>
      </c>
    </row>
    <row r="12121" spans="1:24">
      <c r="A12121">
        <f>HYPERLINK("https://www.philgeps.gov.ph/GEPSNONPILOT/Tender/SplashBidNoticeAbstractUI.aspx?menuIndex=3&amp;refID=7045803&amp;Result=3","7045803")</f>
        <v>0</v>
      </c>
      <c r="B12121" t="s">
        <v>141</v>
      </c>
      <c r="C12121" t="s">
        <v>15022</v>
      </c>
      <c r="D12121" t="s">
        <v>18796</v>
      </c>
      <c r="E12121" t="s">
        <v>29310</v>
      </c>
      <c r="F12121" t="s">
        <v>32664</v>
      </c>
      <c r="G12121" t="s">
        <v>32671</v>
      </c>
      <c r="H12121" t="s">
        <v>12635</v>
      </c>
      <c r="I12121" t="s">
        <v>32798</v>
      </c>
      <c r="J12121" t="s">
        <v>33167</v>
      </c>
      <c r="K12121" t="s">
        <v>42281</v>
      </c>
      <c r="M12121" t="s">
        <v>42705</v>
      </c>
      <c r="N12121" t="s">
        <v>46569</v>
      </c>
      <c r="O12121" t="s">
        <v>46570</v>
      </c>
      <c r="P12121">
        <v>0</v>
      </c>
      <c r="Q12121">
        <v>0</v>
      </c>
      <c r="R12121" t="s">
        <v>46580</v>
      </c>
      <c r="S12121" t="s">
        <v>46986</v>
      </c>
      <c r="T12121" t="s">
        <v>48228</v>
      </c>
      <c r="U12121" t="s">
        <v>58508</v>
      </c>
      <c r="W12121" t="s">
        <v>42705</v>
      </c>
      <c r="X12121" t="s">
        <v>46581</v>
      </c>
    </row>
    <row r="12122" spans="1:24">
      <c r="A12122">
        <f>HYPERLINK("https://www.philgeps.gov.ph/GEPSNONPILOT/Tender/SplashBidNoticeAbstractUI.aspx?menuIndex=3&amp;refID=7045797&amp;Result=3","7045797")</f>
        <v>0</v>
      </c>
      <c r="B12122" t="s">
        <v>3158</v>
      </c>
      <c r="C12122" t="s">
        <v>15023</v>
      </c>
      <c r="D12122" t="s">
        <v>18843</v>
      </c>
      <c r="E12122" t="s">
        <v>29311</v>
      </c>
      <c r="F12122" t="s">
        <v>32664</v>
      </c>
      <c r="G12122" t="s">
        <v>32672</v>
      </c>
      <c r="H12122" t="s">
        <v>12635</v>
      </c>
      <c r="I12122" t="s">
        <v>10627</v>
      </c>
      <c r="J12122" t="s">
        <v>32837</v>
      </c>
      <c r="K12122" t="s">
        <v>42311</v>
      </c>
      <c r="M12122" t="s">
        <v>46057</v>
      </c>
      <c r="N12122" t="s">
        <v>46569</v>
      </c>
      <c r="O12122" t="s">
        <v>46570</v>
      </c>
      <c r="P12122">
        <v>0</v>
      </c>
      <c r="Q12122">
        <v>0</v>
      </c>
      <c r="R12122" t="s">
        <v>46580</v>
      </c>
      <c r="S12122" t="s">
        <v>46986</v>
      </c>
      <c r="T12122" t="s">
        <v>48264</v>
      </c>
      <c r="U12122" t="s">
        <v>58509</v>
      </c>
      <c r="W12122" t="s">
        <v>46057</v>
      </c>
      <c r="X12122" t="s">
        <v>46581</v>
      </c>
    </row>
    <row r="12123" spans="1:24">
      <c r="A12123">
        <f>HYPERLINK("https://www.philgeps.gov.ph/GEPSNONPILOT/Tender/SplashBidNoticeAbstractUI.aspx?menuIndex=3&amp;refID=7045842&amp;Result=3","7045842")</f>
        <v>0</v>
      </c>
      <c r="B12123" t="s">
        <v>3135</v>
      </c>
      <c r="C12123" t="s">
        <v>15024</v>
      </c>
      <c r="D12123" t="s">
        <v>18784</v>
      </c>
      <c r="E12123" t="s">
        <v>29312</v>
      </c>
      <c r="F12123" t="s">
        <v>32664</v>
      </c>
      <c r="G12123" t="s">
        <v>32672</v>
      </c>
      <c r="H12123" t="s">
        <v>12635</v>
      </c>
      <c r="I12123" t="s">
        <v>32800</v>
      </c>
      <c r="J12123" t="s">
        <v>39968</v>
      </c>
      <c r="K12123" t="s">
        <v>42347</v>
      </c>
      <c r="M12123" t="s">
        <v>46028</v>
      </c>
      <c r="N12123" t="s">
        <v>46569</v>
      </c>
      <c r="O12123" t="s">
        <v>46570</v>
      </c>
      <c r="P12123">
        <v>0</v>
      </c>
      <c r="Q12123">
        <v>1</v>
      </c>
      <c r="R12123" t="s">
        <v>46580</v>
      </c>
      <c r="S12123" t="s">
        <v>46986</v>
      </c>
      <c r="T12123" t="s">
        <v>48328</v>
      </c>
      <c r="U12123" t="s">
        <v>58510</v>
      </c>
      <c r="W12123" t="s">
        <v>46028</v>
      </c>
      <c r="X12123" t="s">
        <v>46581</v>
      </c>
    </row>
    <row r="12124" spans="1:24">
      <c r="A12124">
        <f>HYPERLINK("https://www.philgeps.gov.ph/GEPSNONPILOT/Tender/SplashBidNoticeAbstractUI.aspx?menuIndex=3&amp;refID=7046177&amp;Result=3","7046177")</f>
        <v>0</v>
      </c>
      <c r="B12124" t="s">
        <v>3159</v>
      </c>
      <c r="C12124" t="s">
        <v>15025</v>
      </c>
      <c r="D12124" t="s">
        <v>18804</v>
      </c>
      <c r="E12124" t="s">
        <v>19634</v>
      </c>
      <c r="F12124" t="s">
        <v>32664</v>
      </c>
      <c r="G12124" t="s">
        <v>32672</v>
      </c>
      <c r="H12124" t="s">
        <v>12635</v>
      </c>
      <c r="I12124" t="s">
        <v>11464</v>
      </c>
      <c r="J12124" t="s">
        <v>35277</v>
      </c>
      <c r="K12124" t="s">
        <v>42311</v>
      </c>
      <c r="M12124" t="s">
        <v>46058</v>
      </c>
      <c r="N12124" t="s">
        <v>46569</v>
      </c>
      <c r="O12124" t="s">
        <v>46570</v>
      </c>
      <c r="P12124">
        <v>0</v>
      </c>
      <c r="Q12124">
        <v>5</v>
      </c>
      <c r="R12124" t="s">
        <v>46580</v>
      </c>
      <c r="S12124" t="s">
        <v>46986</v>
      </c>
      <c r="T12124" t="s">
        <v>48303</v>
      </c>
      <c r="U12124" t="s">
        <v>58511</v>
      </c>
      <c r="W12124" t="s">
        <v>46058</v>
      </c>
      <c r="X12124" t="s">
        <v>46581</v>
      </c>
    </row>
    <row r="12125" spans="1:24">
      <c r="A12125">
        <f>HYPERLINK("https://www.philgeps.gov.ph/GEPSNONPILOT/Tender/SplashBidNoticeAbstractUI.aspx?menuIndex=3&amp;refID=7048168&amp;Result=3","7048168")</f>
        <v>0</v>
      </c>
      <c r="B12125" t="s">
        <v>3047</v>
      </c>
      <c r="C12125" t="s">
        <v>15026</v>
      </c>
      <c r="D12125" t="s">
        <v>18786</v>
      </c>
      <c r="E12125" t="s">
        <v>29313</v>
      </c>
      <c r="F12125" t="s">
        <v>32664</v>
      </c>
      <c r="G12125" t="s">
        <v>32672</v>
      </c>
      <c r="H12125" t="s">
        <v>12635</v>
      </c>
      <c r="I12125" t="s">
        <v>6168</v>
      </c>
      <c r="J12125" t="s">
        <v>39969</v>
      </c>
      <c r="K12125" t="s">
        <v>42281</v>
      </c>
      <c r="M12125" t="s">
        <v>45921</v>
      </c>
      <c r="N12125" t="s">
        <v>46569</v>
      </c>
      <c r="O12125" t="s">
        <v>46570</v>
      </c>
      <c r="P12125">
        <v>0</v>
      </c>
      <c r="Q12125">
        <v>6</v>
      </c>
      <c r="R12125" t="s">
        <v>46579</v>
      </c>
      <c r="S12125" t="s">
        <v>46919</v>
      </c>
      <c r="T12125" t="s">
        <v>48246</v>
      </c>
      <c r="U12125" t="s">
        <v>57910</v>
      </c>
      <c r="V12125" t="s">
        <v>62948</v>
      </c>
      <c r="W12125" t="s">
        <v>45921</v>
      </c>
      <c r="X12125" t="s">
        <v>46580</v>
      </c>
    </row>
    <row r="12126" spans="1:24">
      <c r="A12126">
        <f>HYPERLINK("https://www.philgeps.gov.ph/GEPSNONPILOT/Tender/SplashBidNoticeAbstractUI.aspx?menuIndex=3&amp;refID=7045796&amp;Result=3","7045796")</f>
        <v>0</v>
      </c>
      <c r="B12126" t="s">
        <v>1108</v>
      </c>
      <c r="C12126" t="s">
        <v>15027</v>
      </c>
      <c r="D12126" t="s">
        <v>18796</v>
      </c>
      <c r="E12126" t="s">
        <v>29314</v>
      </c>
      <c r="F12126" t="s">
        <v>32664</v>
      </c>
      <c r="G12126" t="s">
        <v>32672</v>
      </c>
      <c r="H12126" t="s">
        <v>32683</v>
      </c>
      <c r="I12126" t="s">
        <v>10627</v>
      </c>
      <c r="J12126" t="s">
        <v>34635</v>
      </c>
      <c r="K12126" t="s">
        <v>42487</v>
      </c>
      <c r="M12126" t="s">
        <v>43735</v>
      </c>
      <c r="N12126" t="s">
        <v>46569</v>
      </c>
      <c r="O12126" t="s">
        <v>46570</v>
      </c>
      <c r="P12126">
        <v>0</v>
      </c>
      <c r="Q12126">
        <v>4</v>
      </c>
      <c r="R12126" t="s">
        <v>46580</v>
      </c>
      <c r="S12126" t="s">
        <v>46986</v>
      </c>
      <c r="T12126" t="s">
        <v>48284</v>
      </c>
      <c r="U12126" t="s">
        <v>51113</v>
      </c>
      <c r="V12126" t="s">
        <v>62949</v>
      </c>
      <c r="W12126" t="s">
        <v>43735</v>
      </c>
      <c r="X12126" t="s">
        <v>46581</v>
      </c>
    </row>
    <row r="12127" spans="1:24">
      <c r="A12127">
        <f>HYPERLINK("https://www.philgeps.gov.ph/GEPSNONPILOT/Tender/SplashBidNoticeAbstractUI.aspx?menuIndex=3&amp;refID=7045951&amp;Result=3","7045951")</f>
        <v>0</v>
      </c>
      <c r="B12127" t="s">
        <v>515</v>
      </c>
      <c r="C12127" t="s">
        <v>15028</v>
      </c>
      <c r="D12127" t="s">
        <v>18792</v>
      </c>
      <c r="E12127" t="s">
        <v>29013</v>
      </c>
      <c r="F12127" t="s">
        <v>32664</v>
      </c>
      <c r="G12127" t="s">
        <v>32672</v>
      </c>
      <c r="H12127" t="s">
        <v>12635</v>
      </c>
      <c r="I12127" t="s">
        <v>14442</v>
      </c>
      <c r="J12127" t="s">
        <v>39970</v>
      </c>
      <c r="K12127" t="s">
        <v>42297</v>
      </c>
      <c r="M12127" t="s">
        <v>46059</v>
      </c>
      <c r="N12127" t="s">
        <v>46569</v>
      </c>
      <c r="O12127" t="s">
        <v>46570</v>
      </c>
      <c r="P12127">
        <v>0</v>
      </c>
      <c r="Q12127">
        <v>2</v>
      </c>
      <c r="R12127" t="s">
        <v>46580</v>
      </c>
      <c r="S12127" t="s">
        <v>46986</v>
      </c>
      <c r="T12127" t="s">
        <v>48221</v>
      </c>
      <c r="U12127" t="s">
        <v>58512</v>
      </c>
      <c r="W12127" t="s">
        <v>43091</v>
      </c>
      <c r="X12127" t="s">
        <v>46581</v>
      </c>
    </row>
    <row r="12128" spans="1:24">
      <c r="A12128">
        <f>HYPERLINK("https://www.philgeps.gov.ph/GEPSNONPILOT/Tender/SplashBidNoticeAbstractUI.aspx?menuIndex=3&amp;refID=7045822&amp;Result=3","7045822")</f>
        <v>0</v>
      </c>
      <c r="B12128" t="s">
        <v>2523</v>
      </c>
      <c r="C12128" t="s">
        <v>15029</v>
      </c>
      <c r="D12128" t="s">
        <v>18789</v>
      </c>
      <c r="E12128" t="s">
        <v>29315</v>
      </c>
      <c r="F12128" t="s">
        <v>32664</v>
      </c>
      <c r="G12128" t="s">
        <v>32672</v>
      </c>
      <c r="H12128" t="s">
        <v>12635</v>
      </c>
      <c r="I12128" t="s">
        <v>32716</v>
      </c>
      <c r="J12128" t="s">
        <v>34529</v>
      </c>
      <c r="K12128" t="s">
        <v>42298</v>
      </c>
      <c r="M12128" t="s">
        <v>45899</v>
      </c>
      <c r="N12128" t="s">
        <v>46569</v>
      </c>
      <c r="O12128" t="s">
        <v>46570</v>
      </c>
      <c r="P12128">
        <v>0</v>
      </c>
      <c r="Q12128">
        <v>7</v>
      </c>
      <c r="R12128" t="s">
        <v>46580</v>
      </c>
      <c r="S12128" t="s">
        <v>46986</v>
      </c>
      <c r="T12128" t="s">
        <v>48212</v>
      </c>
      <c r="U12128" t="s">
        <v>57809</v>
      </c>
      <c r="W12128" t="s">
        <v>45899</v>
      </c>
      <c r="X12128" t="s">
        <v>46581</v>
      </c>
    </row>
    <row r="12129" spans="1:24">
      <c r="A12129">
        <f>HYPERLINK("https://www.philgeps.gov.ph/GEPSNONPILOT/Tender/SplashBidNoticeAbstractUI.aspx?menuIndex=3&amp;refID=7046718&amp;Result=3","7046718")</f>
        <v>0</v>
      </c>
      <c r="B12129" t="s">
        <v>1031</v>
      </c>
      <c r="C12129" t="s">
        <v>15030</v>
      </c>
      <c r="D12129" t="s">
        <v>18858</v>
      </c>
      <c r="E12129" t="s">
        <v>28685</v>
      </c>
      <c r="F12129" t="s">
        <v>32665</v>
      </c>
      <c r="G12129" t="s">
        <v>32672</v>
      </c>
      <c r="H12129" t="s">
        <v>12635</v>
      </c>
      <c r="I12129" t="s">
        <v>32706</v>
      </c>
      <c r="J12129" t="s">
        <v>39971</v>
      </c>
      <c r="K12129" t="s">
        <v>42281</v>
      </c>
      <c r="M12129" t="s">
        <v>43644</v>
      </c>
      <c r="N12129" t="s">
        <v>46569</v>
      </c>
      <c r="O12129" t="s">
        <v>46570</v>
      </c>
      <c r="P12129">
        <v>0</v>
      </c>
      <c r="Q12129">
        <v>1</v>
      </c>
      <c r="R12129" t="s">
        <v>46580</v>
      </c>
      <c r="S12129" t="s">
        <v>46986</v>
      </c>
      <c r="T12129" t="s">
        <v>48415</v>
      </c>
      <c r="U12129" t="s">
        <v>58513</v>
      </c>
      <c r="W12129" t="s">
        <v>43644</v>
      </c>
      <c r="X12129" t="s">
        <v>46581</v>
      </c>
    </row>
    <row r="12130" spans="1:24">
      <c r="A12130">
        <f>HYPERLINK("https://www.philgeps.gov.ph/GEPSNONPILOT/Tender/SplashBidNoticeAbstractUI.aspx?menuIndex=3&amp;refID=7046717&amp;Result=3","7046717")</f>
        <v>0</v>
      </c>
      <c r="B12130" t="s">
        <v>2752</v>
      </c>
      <c r="C12130" t="s">
        <v>15031</v>
      </c>
      <c r="D12130" t="s">
        <v>18786</v>
      </c>
      <c r="E12130" t="s">
        <v>29316</v>
      </c>
      <c r="F12130" t="s">
        <v>32664</v>
      </c>
      <c r="G12130" t="s">
        <v>32672</v>
      </c>
      <c r="H12130" t="s">
        <v>12635</v>
      </c>
      <c r="I12130" t="s">
        <v>8730</v>
      </c>
      <c r="J12130" t="s">
        <v>39972</v>
      </c>
      <c r="K12130" t="s">
        <v>42289</v>
      </c>
      <c r="M12130" t="s">
        <v>45586</v>
      </c>
      <c r="N12130" t="s">
        <v>46569</v>
      </c>
      <c r="O12130" t="s">
        <v>46570</v>
      </c>
      <c r="P12130">
        <v>0</v>
      </c>
      <c r="Q12130">
        <v>4</v>
      </c>
      <c r="R12130" t="s">
        <v>46580</v>
      </c>
      <c r="S12130" t="s">
        <v>46986</v>
      </c>
      <c r="T12130" t="s">
        <v>48246</v>
      </c>
      <c r="U12130" t="s">
        <v>58514</v>
      </c>
      <c r="W12130" t="s">
        <v>45586</v>
      </c>
      <c r="X12130" t="s">
        <v>46581</v>
      </c>
    </row>
    <row r="12131" spans="1:24">
      <c r="A12131">
        <f>HYPERLINK("https://www.philgeps.gov.ph/GEPSNONPILOT/Tender/SplashBidNoticeAbstractUI.aspx?menuIndex=3&amp;refID=7048235&amp;Result=3","7048235")</f>
        <v>0</v>
      </c>
      <c r="B12131" t="s">
        <v>1442</v>
      </c>
      <c r="C12131" t="s">
        <v>15032</v>
      </c>
      <c r="E12131" t="s">
        <v>29317</v>
      </c>
      <c r="F12131" t="s">
        <v>32664</v>
      </c>
      <c r="G12131" t="s">
        <v>32672</v>
      </c>
      <c r="H12131" t="s">
        <v>32683</v>
      </c>
      <c r="I12131" t="s">
        <v>10627</v>
      </c>
      <c r="J12131" t="s">
        <v>39973</v>
      </c>
      <c r="K12131" t="s">
        <v>42285</v>
      </c>
      <c r="M12131" t="s">
        <v>45920</v>
      </c>
      <c r="N12131" t="s">
        <v>46569</v>
      </c>
      <c r="O12131" t="s">
        <v>46570</v>
      </c>
      <c r="P12131">
        <v>0</v>
      </c>
      <c r="Q12131">
        <v>0</v>
      </c>
      <c r="R12131" t="s">
        <v>46579</v>
      </c>
      <c r="S12131" t="s">
        <v>46919</v>
      </c>
      <c r="T12131" t="s">
        <v>48467</v>
      </c>
      <c r="U12131" t="s">
        <v>56481</v>
      </c>
      <c r="W12131" t="s">
        <v>45920</v>
      </c>
      <c r="X12131" t="s">
        <v>46580</v>
      </c>
    </row>
    <row r="12132" spans="1:24">
      <c r="A12132">
        <f>HYPERLINK("https://www.philgeps.gov.ph/GEPSNONPILOT/Tender/SplashBidNoticeAbstractUI.aspx?menuIndex=3&amp;refID=7046694&amp;Result=3","7046694")</f>
        <v>0</v>
      </c>
      <c r="B12132" t="s">
        <v>2150</v>
      </c>
      <c r="C12132" t="s">
        <v>15033</v>
      </c>
      <c r="D12132" t="s">
        <v>18851</v>
      </c>
      <c r="E12132" t="s">
        <v>29318</v>
      </c>
      <c r="F12132" t="s">
        <v>32664</v>
      </c>
      <c r="G12132" t="s">
        <v>32672</v>
      </c>
      <c r="H12132" t="s">
        <v>12635</v>
      </c>
      <c r="I12132" t="s">
        <v>6223</v>
      </c>
      <c r="J12132" t="s">
        <v>39974</v>
      </c>
      <c r="K12132" t="s">
        <v>42281</v>
      </c>
      <c r="M12132" t="s">
        <v>44906</v>
      </c>
      <c r="N12132" t="s">
        <v>46569</v>
      </c>
      <c r="O12132" t="s">
        <v>46570</v>
      </c>
      <c r="P12132">
        <v>0</v>
      </c>
      <c r="Q12132">
        <v>0</v>
      </c>
      <c r="R12132" t="s">
        <v>46580</v>
      </c>
      <c r="S12132" t="s">
        <v>46986</v>
      </c>
      <c r="T12132" t="s">
        <v>48212</v>
      </c>
      <c r="U12132" t="s">
        <v>58515</v>
      </c>
      <c r="W12132" t="s">
        <v>44906</v>
      </c>
      <c r="X12132" t="s">
        <v>46581</v>
      </c>
    </row>
    <row r="12133" spans="1:24">
      <c r="A12133">
        <f>HYPERLINK("https://www.philgeps.gov.ph/GEPSNONPILOT/Tender/SplashBidNoticeAbstractUI.aspx?menuIndex=3&amp;refID=7048243&amp;Result=3","7048243")</f>
        <v>0</v>
      </c>
      <c r="B12133" t="s">
        <v>1507</v>
      </c>
      <c r="C12133" t="s">
        <v>15034</v>
      </c>
      <c r="D12133" t="s">
        <v>18789</v>
      </c>
      <c r="E12133" t="s">
        <v>29319</v>
      </c>
      <c r="F12133" t="s">
        <v>32664</v>
      </c>
      <c r="G12133" t="s">
        <v>32672</v>
      </c>
      <c r="H12133" t="s">
        <v>12635</v>
      </c>
      <c r="I12133" t="s">
        <v>4439</v>
      </c>
      <c r="J12133" t="s">
        <v>39975</v>
      </c>
      <c r="K12133" t="s">
        <v>42283</v>
      </c>
      <c r="M12133" t="s">
        <v>44172</v>
      </c>
      <c r="N12133" t="s">
        <v>46569</v>
      </c>
      <c r="O12133" t="s">
        <v>46570</v>
      </c>
      <c r="P12133">
        <v>0</v>
      </c>
      <c r="Q12133">
        <v>2</v>
      </c>
      <c r="R12133" t="s">
        <v>46579</v>
      </c>
      <c r="S12133" t="s">
        <v>46919</v>
      </c>
      <c r="T12133" t="s">
        <v>48212</v>
      </c>
      <c r="U12133" t="s">
        <v>58516</v>
      </c>
      <c r="V12133" t="s">
        <v>62043</v>
      </c>
      <c r="W12133" t="s">
        <v>44172</v>
      </c>
      <c r="X12133" t="s">
        <v>46580</v>
      </c>
    </row>
    <row r="12134" spans="1:24">
      <c r="A12134">
        <f>HYPERLINK("https://www.philgeps.gov.ph/GEPSNONPILOT/Tender/SplashBidNoticeAbstractUI.aspx?menuIndex=3&amp;refID=7046582&amp;Result=3","7046582")</f>
        <v>0</v>
      </c>
      <c r="B12134" t="s">
        <v>3160</v>
      </c>
      <c r="C12134" t="s">
        <v>15035</v>
      </c>
      <c r="D12134" t="s">
        <v>18781</v>
      </c>
      <c r="E12134" t="s">
        <v>29282</v>
      </c>
      <c r="F12134" t="s">
        <v>32664</v>
      </c>
      <c r="G12134" t="s">
        <v>32672</v>
      </c>
      <c r="H12134" t="s">
        <v>32683</v>
      </c>
      <c r="I12134" t="s">
        <v>10627</v>
      </c>
      <c r="J12134" t="s">
        <v>32898</v>
      </c>
      <c r="K12134" t="s">
        <v>42281</v>
      </c>
      <c r="M12134" t="s">
        <v>46060</v>
      </c>
      <c r="N12134" t="s">
        <v>46569</v>
      </c>
      <c r="O12134" t="s">
        <v>46570</v>
      </c>
      <c r="P12134">
        <v>0</v>
      </c>
      <c r="Q12134">
        <v>0</v>
      </c>
      <c r="R12134" t="s">
        <v>46580</v>
      </c>
      <c r="S12134" t="s">
        <v>46986</v>
      </c>
      <c r="T12134" t="s">
        <v>48376</v>
      </c>
      <c r="U12134" t="s">
        <v>58517</v>
      </c>
      <c r="W12134" t="s">
        <v>46060</v>
      </c>
      <c r="X12134" t="s">
        <v>46581</v>
      </c>
    </row>
    <row r="12135" spans="1:24">
      <c r="A12135">
        <f>HYPERLINK("https://www.philgeps.gov.ph/GEPSNONPILOT/Tender/SplashBidNoticeAbstractUI.aspx?menuIndex=3&amp;refID=7046690&amp;Result=3","7046690")</f>
        <v>0</v>
      </c>
      <c r="B12135" t="s">
        <v>3152</v>
      </c>
      <c r="C12135" t="s">
        <v>15036</v>
      </c>
      <c r="D12135" t="s">
        <v>18802</v>
      </c>
      <c r="E12135" t="s">
        <v>19650</v>
      </c>
      <c r="F12135" t="s">
        <v>32664</v>
      </c>
      <c r="G12135" t="s">
        <v>32672</v>
      </c>
      <c r="H12135" t="s">
        <v>12635</v>
      </c>
      <c r="I12135" t="s">
        <v>6628</v>
      </c>
      <c r="J12135" t="s">
        <v>33118</v>
      </c>
      <c r="K12135" t="s">
        <v>42281</v>
      </c>
      <c r="M12135" t="s">
        <v>46049</v>
      </c>
      <c r="N12135" t="s">
        <v>46569</v>
      </c>
      <c r="O12135" t="s">
        <v>46570</v>
      </c>
      <c r="P12135">
        <v>0</v>
      </c>
      <c r="Q12135">
        <v>1</v>
      </c>
      <c r="R12135" t="s">
        <v>46580</v>
      </c>
      <c r="S12135" t="s">
        <v>46986</v>
      </c>
      <c r="T12135" t="s">
        <v>48238</v>
      </c>
      <c r="U12135" t="s">
        <v>58518</v>
      </c>
      <c r="W12135" t="s">
        <v>46049</v>
      </c>
      <c r="X12135" t="s">
        <v>46581</v>
      </c>
    </row>
    <row r="12136" spans="1:24">
      <c r="A12136">
        <f>HYPERLINK("https://www.philgeps.gov.ph/GEPSNONPILOT/Tender/SplashBidNoticeAbstractUI.aspx?menuIndex=3&amp;refID=7046714&amp;Result=3","7046714")</f>
        <v>0</v>
      </c>
      <c r="B12136" t="s">
        <v>1618</v>
      </c>
      <c r="C12136" t="s">
        <v>15037</v>
      </c>
      <c r="D12136" t="s">
        <v>18784</v>
      </c>
      <c r="E12136" t="s">
        <v>21238</v>
      </c>
      <c r="F12136" t="s">
        <v>32664</v>
      </c>
      <c r="G12136" t="s">
        <v>32672</v>
      </c>
      <c r="H12136" t="s">
        <v>12635</v>
      </c>
      <c r="I12136" t="s">
        <v>6168</v>
      </c>
      <c r="J12136" t="s">
        <v>39976</v>
      </c>
      <c r="K12136" t="s">
        <v>42283</v>
      </c>
      <c r="M12136" t="s">
        <v>44298</v>
      </c>
      <c r="N12136" t="s">
        <v>46569</v>
      </c>
      <c r="O12136" t="s">
        <v>46570</v>
      </c>
      <c r="Q12136">
        <v>8</v>
      </c>
      <c r="R12136" t="s">
        <v>46580</v>
      </c>
      <c r="S12136" t="s">
        <v>47008</v>
      </c>
      <c r="T12136" t="s">
        <v>48212</v>
      </c>
      <c r="U12136" t="s">
        <v>58519</v>
      </c>
      <c r="W12136" t="s">
        <v>44298</v>
      </c>
      <c r="X12136" t="s">
        <v>46581</v>
      </c>
    </row>
    <row r="12137" spans="1:24">
      <c r="A12137">
        <f>HYPERLINK("https://www.philgeps.gov.ph/GEPSNONPILOT/Tender/SplashBidNoticeAbstractUI.aspx?menuIndex=3&amp;refID=7046681&amp;Result=3","7046681")</f>
        <v>0</v>
      </c>
      <c r="B12137" t="s">
        <v>592</v>
      </c>
      <c r="C12137" t="s">
        <v>15038</v>
      </c>
      <c r="D12137" t="s">
        <v>18854</v>
      </c>
      <c r="E12137" t="s">
        <v>29320</v>
      </c>
      <c r="F12137" t="s">
        <v>32664</v>
      </c>
      <c r="G12137" t="s">
        <v>32672</v>
      </c>
      <c r="H12137" t="s">
        <v>12635</v>
      </c>
      <c r="I12137" t="s">
        <v>32738</v>
      </c>
      <c r="J12137" t="s">
        <v>34293</v>
      </c>
      <c r="K12137" t="s">
        <v>42311</v>
      </c>
      <c r="M12137" t="s">
        <v>43411</v>
      </c>
      <c r="N12137" t="s">
        <v>46569</v>
      </c>
      <c r="O12137" t="s">
        <v>46570</v>
      </c>
      <c r="Q12137">
        <v>7</v>
      </c>
      <c r="R12137" t="s">
        <v>46580</v>
      </c>
      <c r="S12137" t="s">
        <v>47009</v>
      </c>
      <c r="T12137" t="s">
        <v>48661</v>
      </c>
      <c r="U12137" t="s">
        <v>58520</v>
      </c>
      <c r="V12137" t="s">
        <v>62950</v>
      </c>
      <c r="W12137" t="s">
        <v>43411</v>
      </c>
      <c r="X12137" t="s">
        <v>46581</v>
      </c>
    </row>
    <row r="12138" spans="1:24">
      <c r="A12138">
        <f>HYPERLINK("https://www.philgeps.gov.ph/GEPSNONPILOT/Tender/SplashBidNoticeAbstractUI.aspx?menuIndex=3&amp;refID=7046707&amp;Result=3","7046707")</f>
        <v>0</v>
      </c>
      <c r="B12138" t="s">
        <v>3161</v>
      </c>
      <c r="C12138" t="s">
        <v>15039</v>
      </c>
      <c r="D12138" t="s">
        <v>18784</v>
      </c>
      <c r="E12138" t="s">
        <v>29321</v>
      </c>
      <c r="F12138" t="s">
        <v>32664</v>
      </c>
      <c r="G12138" t="s">
        <v>32672</v>
      </c>
      <c r="H12138" t="s">
        <v>32683</v>
      </c>
      <c r="I12138" t="s">
        <v>10627</v>
      </c>
      <c r="J12138" t="s">
        <v>39977</v>
      </c>
      <c r="K12138" t="s">
        <v>42311</v>
      </c>
      <c r="M12138" t="s">
        <v>46061</v>
      </c>
      <c r="N12138" t="s">
        <v>46569</v>
      </c>
      <c r="O12138" t="s">
        <v>46570</v>
      </c>
      <c r="P12138">
        <v>0</v>
      </c>
      <c r="Q12138">
        <v>7</v>
      </c>
      <c r="R12138" t="s">
        <v>46580</v>
      </c>
      <c r="S12138" t="s">
        <v>46986</v>
      </c>
      <c r="T12138" t="s">
        <v>48349</v>
      </c>
      <c r="U12138" t="s">
        <v>58521</v>
      </c>
      <c r="W12138" t="s">
        <v>46061</v>
      </c>
      <c r="X12138" t="s">
        <v>46581</v>
      </c>
    </row>
    <row r="12139" spans="1:24">
      <c r="A12139">
        <f>HYPERLINK("https://www.philgeps.gov.ph/GEPSNONPILOT/Tender/SplashBidNoticeAbstractUI.aspx?menuIndex=3&amp;refID=7046662&amp;Result=3","7046662")</f>
        <v>0</v>
      </c>
      <c r="B12139" t="s">
        <v>660</v>
      </c>
      <c r="C12139" t="s">
        <v>15040</v>
      </c>
      <c r="D12139" t="s">
        <v>18855</v>
      </c>
      <c r="E12139" t="s">
        <v>29322</v>
      </c>
      <c r="F12139" t="s">
        <v>32664</v>
      </c>
      <c r="G12139" t="s">
        <v>32672</v>
      </c>
      <c r="H12139" t="s">
        <v>12635</v>
      </c>
      <c r="I12139" t="s">
        <v>6168</v>
      </c>
      <c r="J12139" t="s">
        <v>39978</v>
      </c>
      <c r="K12139" t="s">
        <v>42283</v>
      </c>
      <c r="M12139" t="s">
        <v>43247</v>
      </c>
      <c r="N12139" t="s">
        <v>46569</v>
      </c>
      <c r="O12139" t="s">
        <v>46570</v>
      </c>
      <c r="P12139">
        <v>0</v>
      </c>
      <c r="Q12139">
        <v>4</v>
      </c>
      <c r="R12139" t="s">
        <v>46580</v>
      </c>
      <c r="S12139" t="s">
        <v>46986</v>
      </c>
      <c r="T12139" t="s">
        <v>48303</v>
      </c>
      <c r="U12139" t="s">
        <v>58484</v>
      </c>
      <c r="W12139" t="s">
        <v>43247</v>
      </c>
      <c r="X12139" t="s">
        <v>46581</v>
      </c>
    </row>
    <row r="12140" spans="1:24">
      <c r="A12140">
        <f>HYPERLINK("https://www.philgeps.gov.ph/GEPSNONPILOT/Tender/SplashBidNoticeAbstractUI.aspx?menuIndex=3&amp;refID=7048246&amp;Result=3","7048246")</f>
        <v>0</v>
      </c>
      <c r="B12140" t="s">
        <v>2882</v>
      </c>
      <c r="C12140" t="s">
        <v>15041</v>
      </c>
      <c r="D12140" t="s">
        <v>18826</v>
      </c>
      <c r="E12140" t="s">
        <v>29323</v>
      </c>
      <c r="F12140" t="s">
        <v>32664</v>
      </c>
      <c r="G12140" t="s">
        <v>32672</v>
      </c>
      <c r="H12140" t="s">
        <v>32683</v>
      </c>
      <c r="I12140" t="s">
        <v>10627</v>
      </c>
      <c r="J12140" t="s">
        <v>32962</v>
      </c>
      <c r="K12140" t="s">
        <v>42313</v>
      </c>
      <c r="L12140" t="s">
        <v>2882</v>
      </c>
      <c r="M12140" t="s">
        <v>45731</v>
      </c>
      <c r="N12140" t="s">
        <v>46569</v>
      </c>
      <c r="O12140" t="s">
        <v>46570</v>
      </c>
      <c r="P12140">
        <v>0</v>
      </c>
      <c r="Q12140">
        <v>72</v>
      </c>
      <c r="R12140" t="s">
        <v>46579</v>
      </c>
      <c r="S12140" t="s">
        <v>46919</v>
      </c>
      <c r="T12140" t="s">
        <v>48212</v>
      </c>
      <c r="U12140" t="s">
        <v>58522</v>
      </c>
      <c r="W12140" t="s">
        <v>45731</v>
      </c>
      <c r="X12140" t="s">
        <v>46580</v>
      </c>
    </row>
    <row r="12141" spans="1:24">
      <c r="A12141">
        <f>HYPERLINK("https://www.philgeps.gov.ph/GEPSNONPILOT/Tender/SplashBidNoticeAbstractUI.aspx?menuIndex=3&amp;refID=7046658&amp;Result=3","7046658")</f>
        <v>0</v>
      </c>
      <c r="B12141" t="s">
        <v>3152</v>
      </c>
      <c r="C12141" t="s">
        <v>15042</v>
      </c>
      <c r="D12141" t="s">
        <v>18802</v>
      </c>
      <c r="E12141" t="s">
        <v>21126</v>
      </c>
      <c r="F12141" t="s">
        <v>32664</v>
      </c>
      <c r="G12141" t="s">
        <v>32672</v>
      </c>
      <c r="H12141" t="s">
        <v>32683</v>
      </c>
      <c r="I12141" t="s">
        <v>10627</v>
      </c>
      <c r="J12141" t="s">
        <v>32859</v>
      </c>
      <c r="K12141" t="s">
        <v>42314</v>
      </c>
      <c r="M12141" t="s">
        <v>46049</v>
      </c>
      <c r="N12141" t="s">
        <v>46569</v>
      </c>
      <c r="O12141" t="s">
        <v>46570</v>
      </c>
      <c r="P12141">
        <v>0</v>
      </c>
      <c r="Q12141">
        <v>2</v>
      </c>
      <c r="R12141" t="s">
        <v>46580</v>
      </c>
      <c r="S12141" t="s">
        <v>46986</v>
      </c>
      <c r="T12141" t="s">
        <v>48238</v>
      </c>
      <c r="U12141" t="s">
        <v>58523</v>
      </c>
      <c r="W12141" t="s">
        <v>46049</v>
      </c>
      <c r="X12141" t="s">
        <v>46581</v>
      </c>
    </row>
    <row r="12142" spans="1:24">
      <c r="A12142">
        <f>HYPERLINK("https://www.philgeps.gov.ph/GEPSNONPILOT/Tender/SplashBidNoticeAbstractUI.aspx?menuIndex=3&amp;refID=7046731&amp;Result=3","7046731")</f>
        <v>0</v>
      </c>
      <c r="B12142" t="s">
        <v>1481</v>
      </c>
      <c r="C12142" t="s">
        <v>15043</v>
      </c>
      <c r="D12142" t="s">
        <v>18784</v>
      </c>
      <c r="E12142" t="s">
        <v>19904</v>
      </c>
      <c r="F12142" t="s">
        <v>32664</v>
      </c>
      <c r="G12142" t="s">
        <v>32672</v>
      </c>
      <c r="H12142" t="s">
        <v>12635</v>
      </c>
      <c r="I12142" t="s">
        <v>32708</v>
      </c>
      <c r="J12142" t="s">
        <v>39979</v>
      </c>
      <c r="K12142" t="s">
        <v>42311</v>
      </c>
      <c r="M12142" t="s">
        <v>46062</v>
      </c>
      <c r="N12142" t="s">
        <v>46569</v>
      </c>
      <c r="O12142" t="s">
        <v>46570</v>
      </c>
      <c r="P12142">
        <v>0</v>
      </c>
      <c r="Q12142">
        <v>50</v>
      </c>
      <c r="R12142" t="s">
        <v>46580</v>
      </c>
      <c r="S12142" t="s">
        <v>46986</v>
      </c>
      <c r="T12142" t="s">
        <v>48212</v>
      </c>
      <c r="U12142" t="s">
        <v>58524</v>
      </c>
      <c r="W12142" t="s">
        <v>46062</v>
      </c>
      <c r="X12142" t="s">
        <v>46581</v>
      </c>
    </row>
    <row r="12143" spans="1:24">
      <c r="A12143">
        <f>HYPERLINK("https://www.philgeps.gov.ph/GEPSNONPILOT/Tender/SplashBidNoticeAbstractUI.aspx?menuIndex=3&amp;refID=7046803&amp;Result=3","7046803")</f>
        <v>0</v>
      </c>
      <c r="B12143" t="s">
        <v>2981</v>
      </c>
      <c r="C12143" t="s">
        <v>15044</v>
      </c>
      <c r="D12143" t="s">
        <v>18808</v>
      </c>
      <c r="E12143" t="s">
        <v>29324</v>
      </c>
      <c r="F12143" t="s">
        <v>32664</v>
      </c>
      <c r="G12143" t="s">
        <v>32672</v>
      </c>
      <c r="H12143" t="s">
        <v>32683</v>
      </c>
      <c r="I12143" t="s">
        <v>10627</v>
      </c>
      <c r="J12143" t="s">
        <v>34213</v>
      </c>
      <c r="K12143" t="s">
        <v>42296</v>
      </c>
      <c r="M12143" t="s">
        <v>45838</v>
      </c>
      <c r="N12143" t="s">
        <v>46569</v>
      </c>
      <c r="O12143" t="s">
        <v>46570</v>
      </c>
      <c r="P12143">
        <v>0</v>
      </c>
      <c r="Q12143">
        <v>0</v>
      </c>
      <c r="R12143" t="s">
        <v>46580</v>
      </c>
      <c r="S12143" t="s">
        <v>46986</v>
      </c>
      <c r="T12143" t="s">
        <v>48284</v>
      </c>
      <c r="U12143" t="s">
        <v>58525</v>
      </c>
      <c r="V12143" t="s">
        <v>62951</v>
      </c>
      <c r="W12143" t="s">
        <v>45838</v>
      </c>
      <c r="X12143" t="s">
        <v>46581</v>
      </c>
    </row>
    <row r="12144" spans="1:24">
      <c r="A12144">
        <f>HYPERLINK("https://www.philgeps.gov.ph/GEPSNONPILOT/Tender/SplashBidNoticeAbstractUI.aspx?menuIndex=3&amp;refID=7046689&amp;Result=3","7046689")</f>
        <v>0</v>
      </c>
      <c r="B12144" t="s">
        <v>3161</v>
      </c>
      <c r="C12144" t="s">
        <v>15045</v>
      </c>
      <c r="D12144" t="s">
        <v>18784</v>
      </c>
      <c r="E12144" t="s">
        <v>29325</v>
      </c>
      <c r="F12144" t="s">
        <v>32664</v>
      </c>
      <c r="G12144" t="s">
        <v>32672</v>
      </c>
      <c r="H12144" t="s">
        <v>12635</v>
      </c>
      <c r="I12144" t="s">
        <v>10370</v>
      </c>
      <c r="J12144" t="s">
        <v>36922</v>
      </c>
      <c r="K12144" t="s">
        <v>42311</v>
      </c>
      <c r="M12144" t="s">
        <v>46061</v>
      </c>
      <c r="N12144" t="s">
        <v>46569</v>
      </c>
      <c r="O12144" t="s">
        <v>46570</v>
      </c>
      <c r="P12144">
        <v>0</v>
      </c>
      <c r="Q12144">
        <v>17</v>
      </c>
      <c r="R12144" t="s">
        <v>46580</v>
      </c>
      <c r="S12144" t="s">
        <v>46986</v>
      </c>
      <c r="T12144" t="s">
        <v>48308</v>
      </c>
      <c r="U12144" t="s">
        <v>58526</v>
      </c>
      <c r="W12144" t="s">
        <v>46061</v>
      </c>
      <c r="X12144" t="s">
        <v>46581</v>
      </c>
    </row>
    <row r="12145" spans="1:24">
      <c r="A12145">
        <f>HYPERLINK("https://www.philgeps.gov.ph/GEPSNONPILOT/Tender/SplashBidNoticeAbstractUI.aspx?menuIndex=3&amp;refID=7046799&amp;Result=3","7046799")</f>
        <v>0</v>
      </c>
      <c r="B12145" t="s">
        <v>2150</v>
      </c>
      <c r="C12145" t="s">
        <v>15046</v>
      </c>
      <c r="D12145" t="s">
        <v>18851</v>
      </c>
      <c r="E12145" t="s">
        <v>29326</v>
      </c>
      <c r="F12145" t="s">
        <v>32664</v>
      </c>
      <c r="G12145" t="s">
        <v>32672</v>
      </c>
      <c r="H12145" t="s">
        <v>12635</v>
      </c>
      <c r="I12145" t="s">
        <v>32691</v>
      </c>
      <c r="J12145" t="s">
        <v>39980</v>
      </c>
      <c r="K12145" t="s">
        <v>42281</v>
      </c>
      <c r="M12145" t="s">
        <v>44906</v>
      </c>
      <c r="N12145" t="s">
        <v>46569</v>
      </c>
      <c r="O12145" t="s">
        <v>46570</v>
      </c>
      <c r="P12145">
        <v>0</v>
      </c>
      <c r="Q12145">
        <v>0</v>
      </c>
      <c r="R12145" t="s">
        <v>46580</v>
      </c>
      <c r="S12145" t="s">
        <v>46986</v>
      </c>
      <c r="T12145" t="s">
        <v>48212</v>
      </c>
      <c r="U12145" t="s">
        <v>58527</v>
      </c>
      <c r="W12145" t="s">
        <v>44906</v>
      </c>
      <c r="X12145" t="s">
        <v>46581</v>
      </c>
    </row>
    <row r="12146" spans="1:24">
      <c r="A12146">
        <f>HYPERLINK("https://www.philgeps.gov.ph/GEPSNONPILOT/Tender/SplashBidNoticeAbstractUI.aspx?menuIndex=3&amp;refID=7046664&amp;Result=3","7046664")</f>
        <v>0</v>
      </c>
      <c r="B12146" t="s">
        <v>965</v>
      </c>
      <c r="C12146" t="s">
        <v>15047</v>
      </c>
      <c r="D12146" t="s">
        <v>18823</v>
      </c>
      <c r="E12146" t="s">
        <v>26357</v>
      </c>
      <c r="F12146" t="s">
        <v>32664</v>
      </c>
      <c r="G12146" t="s">
        <v>32672</v>
      </c>
      <c r="H12146" t="s">
        <v>32683</v>
      </c>
      <c r="I12146" t="s">
        <v>10627</v>
      </c>
      <c r="J12146" t="s">
        <v>39981</v>
      </c>
      <c r="K12146" t="s">
        <v>42290</v>
      </c>
      <c r="M12146" t="s">
        <v>43573</v>
      </c>
      <c r="N12146" t="s">
        <v>46569</v>
      </c>
      <c r="O12146" t="s">
        <v>46570</v>
      </c>
      <c r="P12146">
        <v>0</v>
      </c>
      <c r="Q12146">
        <v>3</v>
      </c>
      <c r="R12146" t="s">
        <v>46580</v>
      </c>
      <c r="S12146" t="s">
        <v>46986</v>
      </c>
      <c r="T12146" t="s">
        <v>48569</v>
      </c>
      <c r="U12146" t="s">
        <v>58528</v>
      </c>
      <c r="V12146" t="s">
        <v>62952</v>
      </c>
      <c r="W12146" t="s">
        <v>43573</v>
      </c>
      <c r="X12146" t="s">
        <v>46581</v>
      </c>
    </row>
    <row r="12147" spans="1:24">
      <c r="A12147">
        <f>HYPERLINK("https://www.philgeps.gov.ph/GEPSNONPILOT/Tender/SplashBidNoticeAbstractUI.aspx?menuIndex=3&amp;refID=7046695&amp;Result=3","7046695")</f>
        <v>0</v>
      </c>
      <c r="B12147" t="s">
        <v>592</v>
      </c>
      <c r="C12147" t="s">
        <v>15048</v>
      </c>
      <c r="D12147" t="s">
        <v>18854</v>
      </c>
      <c r="E12147" t="s">
        <v>29327</v>
      </c>
      <c r="F12147" t="s">
        <v>32664</v>
      </c>
      <c r="G12147" t="s">
        <v>32672</v>
      </c>
      <c r="H12147" t="s">
        <v>12635</v>
      </c>
      <c r="I12147" t="s">
        <v>13883</v>
      </c>
      <c r="J12147" t="s">
        <v>39982</v>
      </c>
      <c r="K12147" t="s">
        <v>42298</v>
      </c>
      <c r="M12147" t="s">
        <v>43411</v>
      </c>
      <c r="N12147" t="s">
        <v>46569</v>
      </c>
      <c r="O12147" t="s">
        <v>46570</v>
      </c>
      <c r="Q12147">
        <v>26</v>
      </c>
      <c r="R12147" t="s">
        <v>46580</v>
      </c>
      <c r="S12147" t="s">
        <v>47010</v>
      </c>
      <c r="T12147" t="s">
        <v>48661</v>
      </c>
      <c r="U12147" t="s">
        <v>58520</v>
      </c>
      <c r="V12147" t="s">
        <v>62953</v>
      </c>
      <c r="W12147" t="s">
        <v>43411</v>
      </c>
      <c r="X12147" t="s">
        <v>46581</v>
      </c>
    </row>
    <row r="12148" spans="1:24">
      <c r="A12148">
        <f>HYPERLINK("https://www.philgeps.gov.ph/GEPSNONPILOT/Tender/SplashBidNoticeAbstractUI.aspx?menuIndex=3&amp;refID=7046796&amp;Result=3","7046796")</f>
        <v>0</v>
      </c>
      <c r="B12148" t="s">
        <v>2150</v>
      </c>
      <c r="C12148" t="s">
        <v>15049</v>
      </c>
      <c r="D12148" t="s">
        <v>18851</v>
      </c>
      <c r="E12148" t="s">
        <v>29326</v>
      </c>
      <c r="F12148" t="s">
        <v>32664</v>
      </c>
      <c r="G12148" t="s">
        <v>32672</v>
      </c>
      <c r="H12148" t="s">
        <v>12635</v>
      </c>
      <c r="I12148" t="s">
        <v>32691</v>
      </c>
      <c r="J12148" t="s">
        <v>37269</v>
      </c>
      <c r="K12148" t="s">
        <v>42281</v>
      </c>
      <c r="M12148" t="s">
        <v>44906</v>
      </c>
      <c r="N12148" t="s">
        <v>46569</v>
      </c>
      <c r="O12148" t="s">
        <v>46570</v>
      </c>
      <c r="P12148">
        <v>0</v>
      </c>
      <c r="Q12148">
        <v>0</v>
      </c>
      <c r="R12148" t="s">
        <v>46580</v>
      </c>
      <c r="S12148" t="s">
        <v>46986</v>
      </c>
      <c r="T12148" t="s">
        <v>48212</v>
      </c>
      <c r="U12148" t="s">
        <v>58527</v>
      </c>
      <c r="W12148" t="s">
        <v>44906</v>
      </c>
      <c r="X12148" t="s">
        <v>46581</v>
      </c>
    </row>
    <row r="12149" spans="1:24">
      <c r="A12149">
        <f>HYPERLINK("https://www.philgeps.gov.ph/GEPSNONPILOT/Tender/SplashBidNoticeAbstractUI.aspx?menuIndex=3&amp;refID=7046794&amp;Result=3","7046794")</f>
        <v>0</v>
      </c>
      <c r="B12149" t="s">
        <v>1605</v>
      </c>
      <c r="C12149" t="s">
        <v>15050</v>
      </c>
      <c r="D12149" t="s">
        <v>18818</v>
      </c>
      <c r="E12149" t="s">
        <v>29328</v>
      </c>
      <c r="F12149" t="s">
        <v>32664</v>
      </c>
      <c r="G12149" t="s">
        <v>32672</v>
      </c>
      <c r="H12149" t="s">
        <v>32683</v>
      </c>
      <c r="I12149" t="s">
        <v>10627</v>
      </c>
      <c r="J12149" t="s">
        <v>34379</v>
      </c>
      <c r="K12149" t="s">
        <v>42290</v>
      </c>
      <c r="M12149" t="s">
        <v>44284</v>
      </c>
      <c r="N12149" t="s">
        <v>46569</v>
      </c>
      <c r="O12149" t="s">
        <v>46570</v>
      </c>
      <c r="P12149">
        <v>0</v>
      </c>
      <c r="Q12149">
        <v>0</v>
      </c>
      <c r="R12149" t="s">
        <v>46580</v>
      </c>
      <c r="S12149" t="s">
        <v>46986</v>
      </c>
      <c r="T12149" t="s">
        <v>48381</v>
      </c>
      <c r="U12149" t="s">
        <v>52527</v>
      </c>
      <c r="W12149" t="s">
        <v>44284</v>
      </c>
      <c r="X12149" t="s">
        <v>46581</v>
      </c>
    </row>
    <row r="12150" spans="1:24">
      <c r="A12150">
        <f>HYPERLINK("https://www.philgeps.gov.ph/GEPSNONPILOT/Tender/SplashBidNoticeAbstractUI.aspx?menuIndex=3&amp;refID=7046778&amp;Result=3","7046778")</f>
        <v>0</v>
      </c>
      <c r="B12150" t="s">
        <v>1605</v>
      </c>
      <c r="C12150" t="s">
        <v>15051</v>
      </c>
      <c r="D12150" t="s">
        <v>18818</v>
      </c>
      <c r="E12150" t="s">
        <v>29329</v>
      </c>
      <c r="F12150" t="s">
        <v>32664</v>
      </c>
      <c r="G12150" t="s">
        <v>32672</v>
      </c>
      <c r="H12150" t="s">
        <v>32683</v>
      </c>
      <c r="I12150" t="s">
        <v>10627</v>
      </c>
      <c r="J12150" t="s">
        <v>39983</v>
      </c>
      <c r="K12150" t="s">
        <v>42285</v>
      </c>
      <c r="M12150" t="s">
        <v>44284</v>
      </c>
      <c r="N12150" t="s">
        <v>46569</v>
      </c>
      <c r="O12150" t="s">
        <v>46570</v>
      </c>
      <c r="P12150">
        <v>0</v>
      </c>
      <c r="Q12150">
        <v>0</v>
      </c>
      <c r="R12150" t="s">
        <v>46580</v>
      </c>
      <c r="S12150" t="s">
        <v>46986</v>
      </c>
      <c r="T12150" t="s">
        <v>48381</v>
      </c>
      <c r="U12150" t="s">
        <v>52527</v>
      </c>
      <c r="W12150" t="s">
        <v>44284</v>
      </c>
      <c r="X12150" t="s">
        <v>46581</v>
      </c>
    </row>
    <row r="12151" spans="1:24">
      <c r="A12151">
        <f>HYPERLINK("https://www.philgeps.gov.ph/GEPSNONPILOT/Tender/SplashBidNoticeAbstractUI.aspx?menuIndex=3&amp;refID=7046784&amp;Result=3","7046784")</f>
        <v>0</v>
      </c>
      <c r="B12151" t="s">
        <v>370</v>
      </c>
      <c r="C12151" t="s">
        <v>15052</v>
      </c>
      <c r="D12151" t="s">
        <v>18792</v>
      </c>
      <c r="E12151" t="s">
        <v>29330</v>
      </c>
      <c r="F12151" t="s">
        <v>32664</v>
      </c>
      <c r="G12151" t="s">
        <v>32672</v>
      </c>
      <c r="H12151" t="s">
        <v>32683</v>
      </c>
      <c r="I12151" t="s">
        <v>32723</v>
      </c>
      <c r="J12151" t="s">
        <v>39984</v>
      </c>
      <c r="K12151" t="s">
        <v>42311</v>
      </c>
      <c r="M12151" t="s">
        <v>42939</v>
      </c>
      <c r="N12151" t="s">
        <v>46569</v>
      </c>
      <c r="O12151" t="s">
        <v>46570</v>
      </c>
      <c r="P12151">
        <v>0</v>
      </c>
      <c r="Q12151">
        <v>0</v>
      </c>
      <c r="R12151" t="s">
        <v>46580</v>
      </c>
      <c r="S12151" t="s">
        <v>46986</v>
      </c>
      <c r="T12151" t="s">
        <v>48284</v>
      </c>
      <c r="U12151" t="s">
        <v>58529</v>
      </c>
      <c r="W12151" t="s">
        <v>42939</v>
      </c>
      <c r="X12151" t="s">
        <v>46581</v>
      </c>
    </row>
    <row r="12152" spans="1:24">
      <c r="A12152">
        <f>HYPERLINK("https://www.philgeps.gov.ph/GEPSNONPILOT/Tender/SplashBidNoticeAbstractUI.aspx?menuIndex=3&amp;refID=7046660&amp;Result=3","7046660")</f>
        <v>0</v>
      </c>
      <c r="B12152" t="s">
        <v>108</v>
      </c>
      <c r="C12152" t="s">
        <v>15053</v>
      </c>
      <c r="D12152" t="s">
        <v>18824</v>
      </c>
      <c r="E12152" t="s">
        <v>29331</v>
      </c>
      <c r="F12152" t="s">
        <v>32664</v>
      </c>
      <c r="G12152" t="s">
        <v>32672</v>
      </c>
      <c r="H12152" t="s">
        <v>32683</v>
      </c>
      <c r="I12152" t="s">
        <v>10627</v>
      </c>
      <c r="J12152" t="s">
        <v>39985</v>
      </c>
      <c r="K12152" t="s">
        <v>42283</v>
      </c>
      <c r="M12152" t="s">
        <v>42672</v>
      </c>
      <c r="N12152" t="s">
        <v>46569</v>
      </c>
      <c r="O12152" t="s">
        <v>46570</v>
      </c>
      <c r="P12152">
        <v>0</v>
      </c>
      <c r="Q12152">
        <v>0</v>
      </c>
      <c r="R12152" t="s">
        <v>46580</v>
      </c>
      <c r="S12152" t="s">
        <v>46986</v>
      </c>
      <c r="T12152" t="s">
        <v>48467</v>
      </c>
      <c r="U12152" t="s">
        <v>48996</v>
      </c>
      <c r="W12152" t="s">
        <v>42672</v>
      </c>
      <c r="X12152" t="s">
        <v>46581</v>
      </c>
    </row>
    <row r="12153" spans="1:24">
      <c r="A12153">
        <f>HYPERLINK("https://www.philgeps.gov.ph/GEPSNONPILOT/Tender/SplashBidNoticeAbstractUI.aspx?menuIndex=3&amp;refID=7046801&amp;Result=3","7046801")</f>
        <v>0</v>
      </c>
      <c r="B12153" t="s">
        <v>2981</v>
      </c>
      <c r="C12153" t="s">
        <v>15054</v>
      </c>
      <c r="D12153" t="s">
        <v>18808</v>
      </c>
      <c r="E12153" t="s">
        <v>29332</v>
      </c>
      <c r="F12153" t="s">
        <v>32664</v>
      </c>
      <c r="G12153" t="s">
        <v>32672</v>
      </c>
      <c r="H12153" t="s">
        <v>32683</v>
      </c>
      <c r="I12153" t="s">
        <v>10627</v>
      </c>
      <c r="J12153" t="s">
        <v>34213</v>
      </c>
      <c r="K12153" t="s">
        <v>42296</v>
      </c>
      <c r="M12153" t="s">
        <v>45838</v>
      </c>
      <c r="N12153" t="s">
        <v>46569</v>
      </c>
      <c r="O12153" t="s">
        <v>46570</v>
      </c>
      <c r="P12153">
        <v>0</v>
      </c>
      <c r="Q12153">
        <v>1</v>
      </c>
      <c r="R12153" t="s">
        <v>46580</v>
      </c>
      <c r="S12153" t="s">
        <v>46986</v>
      </c>
      <c r="T12153" t="s">
        <v>48284</v>
      </c>
      <c r="U12153" t="s">
        <v>58530</v>
      </c>
      <c r="V12153" t="s">
        <v>62954</v>
      </c>
      <c r="W12153" t="s">
        <v>45838</v>
      </c>
      <c r="X12153" t="s">
        <v>46581</v>
      </c>
    </row>
    <row r="12154" spans="1:24">
      <c r="A12154">
        <f>HYPERLINK("https://www.philgeps.gov.ph/GEPSNONPILOT/Tender/SplashBidNoticeAbstractUI.aspx?menuIndex=3&amp;refID=7046777&amp;Result=3","7046777")</f>
        <v>0</v>
      </c>
      <c r="B12154" t="s">
        <v>1449</v>
      </c>
      <c r="C12154" t="s">
        <v>15055</v>
      </c>
      <c r="D12154" t="s">
        <v>18801</v>
      </c>
      <c r="E12154" t="s">
        <v>29333</v>
      </c>
      <c r="F12154" t="s">
        <v>32664</v>
      </c>
      <c r="G12154" t="s">
        <v>32672</v>
      </c>
      <c r="H12154" t="s">
        <v>12635</v>
      </c>
      <c r="I12154" t="s">
        <v>5589</v>
      </c>
      <c r="J12154" t="s">
        <v>38561</v>
      </c>
      <c r="K12154" t="s">
        <v>42298</v>
      </c>
      <c r="M12154" t="s">
        <v>44110</v>
      </c>
      <c r="N12154" t="s">
        <v>46569</v>
      </c>
      <c r="O12154" t="s">
        <v>46570</v>
      </c>
      <c r="P12154">
        <v>0</v>
      </c>
      <c r="Q12154">
        <v>10</v>
      </c>
      <c r="R12154" t="s">
        <v>46580</v>
      </c>
      <c r="S12154" t="s">
        <v>46986</v>
      </c>
      <c r="T12154" t="s">
        <v>48303</v>
      </c>
      <c r="U12154" t="s">
        <v>58531</v>
      </c>
      <c r="W12154" t="s">
        <v>44110</v>
      </c>
      <c r="X12154" t="s">
        <v>46581</v>
      </c>
    </row>
    <row r="12155" spans="1:24">
      <c r="A12155">
        <f>HYPERLINK("https://www.philgeps.gov.ph/GEPSNONPILOT/Tender/SplashBidNoticeAbstractUI.aspx?menuIndex=3&amp;refID=7046767&amp;Result=3","7046767")</f>
        <v>0</v>
      </c>
      <c r="B12155" t="s">
        <v>2150</v>
      </c>
      <c r="C12155" t="s">
        <v>15056</v>
      </c>
      <c r="D12155" t="s">
        <v>18851</v>
      </c>
      <c r="E12155" t="s">
        <v>29334</v>
      </c>
      <c r="F12155" t="s">
        <v>32664</v>
      </c>
      <c r="G12155" t="s">
        <v>32672</v>
      </c>
      <c r="H12155" t="s">
        <v>12635</v>
      </c>
      <c r="I12155" t="s">
        <v>32685</v>
      </c>
      <c r="J12155" t="s">
        <v>35114</v>
      </c>
      <c r="K12155" t="s">
        <v>42281</v>
      </c>
      <c r="M12155" t="s">
        <v>44906</v>
      </c>
      <c r="N12155" t="s">
        <v>46569</v>
      </c>
      <c r="O12155" t="s">
        <v>46570</v>
      </c>
      <c r="P12155">
        <v>0</v>
      </c>
      <c r="Q12155">
        <v>0</v>
      </c>
      <c r="R12155" t="s">
        <v>46580</v>
      </c>
      <c r="S12155" t="s">
        <v>46986</v>
      </c>
      <c r="T12155" t="s">
        <v>48212</v>
      </c>
      <c r="U12155" t="s">
        <v>58532</v>
      </c>
      <c r="W12155" t="s">
        <v>44906</v>
      </c>
      <c r="X12155" t="s">
        <v>46581</v>
      </c>
    </row>
    <row r="12156" spans="1:24">
      <c r="A12156">
        <f>HYPERLINK("https://www.philgeps.gov.ph/GEPSNONPILOT/Tender/SplashBidNoticeAbstractUI.aspx?menuIndex=3&amp;refID=7046788&amp;Result=3","7046788")</f>
        <v>0</v>
      </c>
      <c r="B12156" t="s">
        <v>2150</v>
      </c>
      <c r="C12156" t="s">
        <v>15057</v>
      </c>
      <c r="D12156" t="s">
        <v>18851</v>
      </c>
      <c r="E12156" t="s">
        <v>29326</v>
      </c>
      <c r="F12156" t="s">
        <v>32664</v>
      </c>
      <c r="G12156" t="s">
        <v>32672</v>
      </c>
      <c r="H12156" t="s">
        <v>12635</v>
      </c>
      <c r="I12156" t="s">
        <v>10361</v>
      </c>
      <c r="J12156" t="s">
        <v>39986</v>
      </c>
      <c r="K12156" t="s">
        <v>42281</v>
      </c>
      <c r="M12156" t="s">
        <v>44906</v>
      </c>
      <c r="N12156" t="s">
        <v>46569</v>
      </c>
      <c r="O12156" t="s">
        <v>46570</v>
      </c>
      <c r="P12156">
        <v>0</v>
      </c>
      <c r="Q12156">
        <v>0</v>
      </c>
      <c r="R12156" t="s">
        <v>46580</v>
      </c>
      <c r="S12156" t="s">
        <v>46986</v>
      </c>
      <c r="T12156" t="s">
        <v>48212</v>
      </c>
      <c r="U12156" t="s">
        <v>58527</v>
      </c>
      <c r="W12156" t="s">
        <v>44906</v>
      </c>
      <c r="X12156" t="s">
        <v>46581</v>
      </c>
    </row>
    <row r="12157" spans="1:24">
      <c r="A12157">
        <f>HYPERLINK("https://www.philgeps.gov.ph/GEPSNONPILOT/Tender/SplashBidNoticeAbstractUI.aspx?menuIndex=3&amp;refID=7046783&amp;Result=3","7046783")</f>
        <v>0</v>
      </c>
      <c r="B12157" t="s">
        <v>2150</v>
      </c>
      <c r="C12157" t="s">
        <v>15058</v>
      </c>
      <c r="D12157" t="s">
        <v>18851</v>
      </c>
      <c r="E12157" t="s">
        <v>29335</v>
      </c>
      <c r="F12157" t="s">
        <v>32664</v>
      </c>
      <c r="G12157" t="s">
        <v>32672</v>
      </c>
      <c r="H12157" t="s">
        <v>12635</v>
      </c>
      <c r="I12157" t="s">
        <v>11464</v>
      </c>
      <c r="J12157" t="s">
        <v>32930</v>
      </c>
      <c r="K12157" t="s">
        <v>42281</v>
      </c>
      <c r="M12157" t="s">
        <v>44906</v>
      </c>
      <c r="N12157" t="s">
        <v>46569</v>
      </c>
      <c r="O12157" t="s">
        <v>46570</v>
      </c>
      <c r="P12157">
        <v>0</v>
      </c>
      <c r="Q12157">
        <v>6</v>
      </c>
      <c r="R12157" t="s">
        <v>46580</v>
      </c>
      <c r="S12157" t="s">
        <v>46986</v>
      </c>
      <c r="T12157" t="s">
        <v>48212</v>
      </c>
      <c r="U12157" t="s">
        <v>58533</v>
      </c>
      <c r="W12157" t="s">
        <v>44906</v>
      </c>
      <c r="X12157" t="s">
        <v>46581</v>
      </c>
    </row>
    <row r="12158" spans="1:24">
      <c r="A12158">
        <f>HYPERLINK("https://www.philgeps.gov.ph/GEPSNONPILOT/Tender/SplashBidNoticeAbstractUI.aspx?menuIndex=3&amp;refID=7046740&amp;Result=3","7046740")</f>
        <v>0</v>
      </c>
      <c r="B12158" t="s">
        <v>1103</v>
      </c>
      <c r="C12158" t="s">
        <v>15059</v>
      </c>
      <c r="D12158" t="s">
        <v>18790</v>
      </c>
      <c r="E12158" t="s">
        <v>29336</v>
      </c>
      <c r="F12158" t="s">
        <v>32664</v>
      </c>
      <c r="G12158" t="s">
        <v>32672</v>
      </c>
      <c r="H12158" t="s">
        <v>32683</v>
      </c>
      <c r="I12158" t="s">
        <v>10627</v>
      </c>
      <c r="J12158" t="s">
        <v>32943</v>
      </c>
      <c r="K12158" t="s">
        <v>42290</v>
      </c>
      <c r="M12158" t="s">
        <v>43730</v>
      </c>
      <c r="N12158" t="s">
        <v>46569</v>
      </c>
      <c r="O12158" t="s">
        <v>46570</v>
      </c>
      <c r="P12158">
        <v>0</v>
      </c>
      <c r="Q12158">
        <v>1</v>
      </c>
      <c r="R12158" t="s">
        <v>46580</v>
      </c>
      <c r="S12158" t="s">
        <v>46986</v>
      </c>
      <c r="T12158" t="s">
        <v>48238</v>
      </c>
      <c r="U12158" t="s">
        <v>58534</v>
      </c>
      <c r="W12158" t="s">
        <v>43730</v>
      </c>
      <c r="X12158" t="s">
        <v>46581</v>
      </c>
    </row>
    <row r="12159" spans="1:24">
      <c r="A12159">
        <f>HYPERLINK("https://www.philgeps.gov.ph/GEPSNONPILOT/Tender/SplashBidNoticeAbstractUI.aspx?menuIndex=3&amp;refID=7046668&amp;Result=3","7046668")</f>
        <v>0</v>
      </c>
      <c r="B12159" t="s">
        <v>2150</v>
      </c>
      <c r="C12159" t="s">
        <v>15060</v>
      </c>
      <c r="D12159" t="s">
        <v>18851</v>
      </c>
      <c r="E12159" t="s">
        <v>29283</v>
      </c>
      <c r="F12159" t="s">
        <v>32664</v>
      </c>
      <c r="G12159" t="s">
        <v>32672</v>
      </c>
      <c r="H12159" t="s">
        <v>12635</v>
      </c>
      <c r="I12159" t="s">
        <v>32698</v>
      </c>
      <c r="J12159" t="s">
        <v>39987</v>
      </c>
      <c r="K12159" t="s">
        <v>42281</v>
      </c>
      <c r="M12159" t="s">
        <v>44906</v>
      </c>
      <c r="N12159" t="s">
        <v>46569</v>
      </c>
      <c r="O12159" t="s">
        <v>46570</v>
      </c>
      <c r="P12159">
        <v>0</v>
      </c>
      <c r="Q12159">
        <v>0</v>
      </c>
      <c r="R12159" t="s">
        <v>46580</v>
      </c>
      <c r="S12159" t="s">
        <v>46986</v>
      </c>
      <c r="T12159" t="s">
        <v>48212</v>
      </c>
      <c r="U12159" t="s">
        <v>58480</v>
      </c>
      <c r="W12159" t="s">
        <v>44906</v>
      </c>
      <c r="X12159" t="s">
        <v>46581</v>
      </c>
    </row>
    <row r="12160" spans="1:24">
      <c r="A12160">
        <f>HYPERLINK("https://www.philgeps.gov.ph/GEPSNONPILOT/Tender/SplashBidNoticeAbstractUI.aspx?menuIndex=3&amp;refID=7046792&amp;Result=3","7046792")</f>
        <v>0</v>
      </c>
      <c r="B12160" t="s">
        <v>2981</v>
      </c>
      <c r="C12160" t="s">
        <v>15061</v>
      </c>
      <c r="D12160" t="s">
        <v>18808</v>
      </c>
      <c r="E12160" t="s">
        <v>29337</v>
      </c>
      <c r="F12160" t="s">
        <v>32664</v>
      </c>
      <c r="G12160" t="s">
        <v>32672</v>
      </c>
      <c r="H12160" t="s">
        <v>32683</v>
      </c>
      <c r="I12160" t="s">
        <v>10627</v>
      </c>
      <c r="J12160" t="s">
        <v>33952</v>
      </c>
      <c r="K12160" t="s">
        <v>42384</v>
      </c>
      <c r="M12160" t="s">
        <v>45838</v>
      </c>
      <c r="N12160" t="s">
        <v>46569</v>
      </c>
      <c r="O12160" t="s">
        <v>46570</v>
      </c>
      <c r="P12160">
        <v>0</v>
      </c>
      <c r="Q12160">
        <v>0</v>
      </c>
      <c r="R12160" t="s">
        <v>46580</v>
      </c>
      <c r="S12160" t="s">
        <v>46986</v>
      </c>
      <c r="T12160" t="s">
        <v>48284</v>
      </c>
      <c r="U12160" t="s">
        <v>58535</v>
      </c>
      <c r="V12160" t="s">
        <v>62955</v>
      </c>
      <c r="W12160" t="s">
        <v>45838</v>
      </c>
      <c r="X12160" t="s">
        <v>46581</v>
      </c>
    </row>
    <row r="12161" spans="1:24">
      <c r="A12161">
        <f>HYPERLINK("https://www.philgeps.gov.ph/GEPSNONPILOT/Tender/SplashBidNoticeAbstractUI.aspx?menuIndex=3&amp;refID=7046768&amp;Result=3","7046768")</f>
        <v>0</v>
      </c>
      <c r="B12161" t="s">
        <v>2460</v>
      </c>
      <c r="C12161" t="s">
        <v>15062</v>
      </c>
      <c r="D12161" t="s">
        <v>18783</v>
      </c>
      <c r="E12161" t="s">
        <v>19928</v>
      </c>
      <c r="F12161" t="s">
        <v>32664</v>
      </c>
      <c r="G12161" t="s">
        <v>32672</v>
      </c>
      <c r="H12161" t="s">
        <v>12635</v>
      </c>
      <c r="I12161" t="s">
        <v>4439</v>
      </c>
      <c r="J12161" t="s">
        <v>39988</v>
      </c>
      <c r="K12161" t="s">
        <v>42281</v>
      </c>
      <c r="M12161" t="s">
        <v>45256</v>
      </c>
      <c r="N12161" t="s">
        <v>46569</v>
      </c>
      <c r="O12161" t="s">
        <v>46570</v>
      </c>
      <c r="P12161">
        <v>0</v>
      </c>
      <c r="Q12161">
        <v>2</v>
      </c>
      <c r="R12161" t="s">
        <v>46580</v>
      </c>
      <c r="S12161" t="s">
        <v>46986</v>
      </c>
      <c r="T12161" t="s">
        <v>48287</v>
      </c>
      <c r="U12161" t="s">
        <v>58536</v>
      </c>
      <c r="W12161" t="s">
        <v>45256</v>
      </c>
      <c r="X12161" t="s">
        <v>46581</v>
      </c>
    </row>
    <row r="12162" spans="1:24">
      <c r="A12162">
        <f>HYPERLINK("https://www.philgeps.gov.ph/GEPSNONPILOT/Tender/SplashBidNoticeAbstractUI.aspx?menuIndex=3&amp;refID=7046882&amp;Result=3","7046882")</f>
        <v>0</v>
      </c>
      <c r="B12162" t="s">
        <v>3162</v>
      </c>
      <c r="C12162" t="s">
        <v>15063</v>
      </c>
      <c r="D12162" t="s">
        <v>18830</v>
      </c>
      <c r="E12162" t="s">
        <v>20540</v>
      </c>
      <c r="F12162" t="s">
        <v>32664</v>
      </c>
      <c r="G12162" t="s">
        <v>32672</v>
      </c>
      <c r="H12162" t="s">
        <v>32683</v>
      </c>
      <c r="I12162" t="s">
        <v>10627</v>
      </c>
      <c r="J12162" t="s">
        <v>39989</v>
      </c>
      <c r="K12162" t="s">
        <v>42293</v>
      </c>
      <c r="M12162" t="s">
        <v>46063</v>
      </c>
      <c r="N12162" t="s">
        <v>46569</v>
      </c>
      <c r="O12162" t="s">
        <v>46570</v>
      </c>
      <c r="P12162">
        <v>0</v>
      </c>
      <c r="Q12162">
        <v>3</v>
      </c>
      <c r="R12162" t="s">
        <v>46580</v>
      </c>
      <c r="S12162" t="s">
        <v>46986</v>
      </c>
      <c r="T12162" t="s">
        <v>48284</v>
      </c>
      <c r="U12162" t="s">
        <v>58537</v>
      </c>
      <c r="W12162" t="s">
        <v>46063</v>
      </c>
      <c r="X12162" t="s">
        <v>46581</v>
      </c>
    </row>
    <row r="12163" spans="1:24">
      <c r="A12163">
        <f>HYPERLINK("https://www.philgeps.gov.ph/GEPSNONPILOT/Tender/SplashBidNoticeAbstractUI.aspx?menuIndex=3&amp;refID=7046775&amp;Result=3","7046775")</f>
        <v>0</v>
      </c>
      <c r="B12163" t="s">
        <v>2150</v>
      </c>
      <c r="C12163" t="s">
        <v>15064</v>
      </c>
      <c r="D12163" t="s">
        <v>18851</v>
      </c>
      <c r="E12163" t="s">
        <v>29338</v>
      </c>
      <c r="F12163" t="s">
        <v>32664</v>
      </c>
      <c r="G12163" t="s">
        <v>32672</v>
      </c>
      <c r="H12163" t="s">
        <v>12635</v>
      </c>
      <c r="I12163" t="s">
        <v>32689</v>
      </c>
      <c r="J12163" t="s">
        <v>39990</v>
      </c>
      <c r="K12163" t="s">
        <v>42281</v>
      </c>
      <c r="M12163" t="s">
        <v>44906</v>
      </c>
      <c r="N12163" t="s">
        <v>46569</v>
      </c>
      <c r="O12163" t="s">
        <v>46570</v>
      </c>
      <c r="Q12163">
        <v>0</v>
      </c>
      <c r="R12163" t="s">
        <v>46580</v>
      </c>
      <c r="S12163" t="s">
        <v>47011</v>
      </c>
      <c r="T12163" t="s">
        <v>48212</v>
      </c>
      <c r="U12163" t="s">
        <v>58538</v>
      </c>
      <c r="W12163" t="s">
        <v>44906</v>
      </c>
      <c r="X12163" t="s">
        <v>46581</v>
      </c>
    </row>
    <row r="12164" spans="1:24">
      <c r="A12164">
        <f>HYPERLINK("https://www.philgeps.gov.ph/GEPSNONPILOT/Tender/SplashBidNoticeAbstractUI.aspx?menuIndex=3&amp;refID=7046874&amp;Result=3","7046874")</f>
        <v>0</v>
      </c>
      <c r="B12164" t="s">
        <v>3162</v>
      </c>
      <c r="C12164" t="s">
        <v>15065</v>
      </c>
      <c r="D12164" t="s">
        <v>18830</v>
      </c>
      <c r="E12164" t="s">
        <v>20724</v>
      </c>
      <c r="F12164" t="s">
        <v>32664</v>
      </c>
      <c r="G12164" t="s">
        <v>32672</v>
      </c>
      <c r="H12164" t="s">
        <v>32683</v>
      </c>
      <c r="I12164" t="s">
        <v>10627</v>
      </c>
      <c r="J12164" t="s">
        <v>39991</v>
      </c>
      <c r="K12164" t="s">
        <v>42293</v>
      </c>
      <c r="M12164" t="s">
        <v>46063</v>
      </c>
      <c r="N12164" t="s">
        <v>46569</v>
      </c>
      <c r="O12164" t="s">
        <v>46570</v>
      </c>
      <c r="P12164">
        <v>0</v>
      </c>
      <c r="Q12164">
        <v>2</v>
      </c>
      <c r="R12164" t="s">
        <v>46580</v>
      </c>
      <c r="S12164" t="s">
        <v>46986</v>
      </c>
      <c r="T12164" t="s">
        <v>48284</v>
      </c>
      <c r="U12164" t="s">
        <v>58539</v>
      </c>
      <c r="W12164" t="s">
        <v>46063</v>
      </c>
      <c r="X12164" t="s">
        <v>46581</v>
      </c>
    </row>
    <row r="12165" spans="1:24">
      <c r="A12165">
        <f>HYPERLINK("https://www.philgeps.gov.ph/GEPSNONPILOT/Tender/SplashBidNoticeAbstractUI.aspx?menuIndex=3&amp;refID=7046914&amp;Result=3","7046914")</f>
        <v>0</v>
      </c>
      <c r="B12165" t="s">
        <v>940</v>
      </c>
      <c r="C12165" t="s">
        <v>15066</v>
      </c>
      <c r="D12165" t="s">
        <v>18784</v>
      </c>
      <c r="E12165" t="s">
        <v>29339</v>
      </c>
      <c r="F12165" t="s">
        <v>32664</v>
      </c>
      <c r="G12165" t="s">
        <v>32672</v>
      </c>
      <c r="H12165" t="s">
        <v>12635</v>
      </c>
      <c r="I12165" t="s">
        <v>32734</v>
      </c>
      <c r="J12165" t="s">
        <v>39992</v>
      </c>
      <c r="K12165" t="s">
        <v>42291</v>
      </c>
      <c r="M12165" t="s">
        <v>46064</v>
      </c>
      <c r="N12165" t="s">
        <v>46569</v>
      </c>
      <c r="O12165" t="s">
        <v>46570</v>
      </c>
      <c r="P12165">
        <v>0</v>
      </c>
      <c r="Q12165">
        <v>11</v>
      </c>
      <c r="R12165" t="s">
        <v>46580</v>
      </c>
      <c r="S12165" t="s">
        <v>46986</v>
      </c>
      <c r="T12165" t="s">
        <v>48468</v>
      </c>
      <c r="U12165" t="s">
        <v>58540</v>
      </c>
      <c r="W12165" t="s">
        <v>46064</v>
      </c>
      <c r="X12165" t="s">
        <v>46581</v>
      </c>
    </row>
    <row r="12166" spans="1:24">
      <c r="A12166">
        <f>HYPERLINK("https://www.philgeps.gov.ph/GEPSNONPILOT/Tender/SplashBidNoticeAbstractUI.aspx?menuIndex=3&amp;refID=7046865&amp;Result=3","7046865")</f>
        <v>0</v>
      </c>
      <c r="B12166" t="s">
        <v>3163</v>
      </c>
      <c r="C12166" t="s">
        <v>15067</v>
      </c>
      <c r="D12166" t="s">
        <v>18791</v>
      </c>
      <c r="E12166" t="s">
        <v>29340</v>
      </c>
      <c r="F12166" t="s">
        <v>32664</v>
      </c>
      <c r="G12166" t="s">
        <v>32672</v>
      </c>
      <c r="H12166" t="s">
        <v>32683</v>
      </c>
      <c r="I12166" t="s">
        <v>14442</v>
      </c>
      <c r="J12166" t="s">
        <v>33128</v>
      </c>
      <c r="K12166" t="s">
        <v>42290</v>
      </c>
      <c r="M12166" t="s">
        <v>46065</v>
      </c>
      <c r="N12166" t="s">
        <v>46569</v>
      </c>
      <c r="O12166" t="s">
        <v>46570</v>
      </c>
      <c r="P12166">
        <v>0</v>
      </c>
      <c r="Q12166">
        <v>0</v>
      </c>
      <c r="R12166" t="s">
        <v>46580</v>
      </c>
      <c r="S12166" t="s">
        <v>46986</v>
      </c>
      <c r="T12166" t="s">
        <v>48293</v>
      </c>
      <c r="U12166" t="s">
        <v>58541</v>
      </c>
      <c r="W12166" t="s">
        <v>46065</v>
      </c>
      <c r="X12166" t="s">
        <v>46581</v>
      </c>
    </row>
    <row r="12167" spans="1:24">
      <c r="A12167">
        <f>HYPERLINK("https://www.philgeps.gov.ph/GEPSNONPILOT/Tender/SplashBidNoticeAbstractUI.aspx?menuIndex=3&amp;refID=7046863&amp;Result=3","7046863")</f>
        <v>0</v>
      </c>
      <c r="B12167" t="s">
        <v>3164</v>
      </c>
      <c r="C12167" t="s">
        <v>15068</v>
      </c>
      <c r="D12167" t="s">
        <v>18824</v>
      </c>
      <c r="E12167" t="s">
        <v>19766</v>
      </c>
      <c r="F12167" t="s">
        <v>32665</v>
      </c>
      <c r="G12167" t="s">
        <v>32672</v>
      </c>
      <c r="H12167" t="s">
        <v>12635</v>
      </c>
      <c r="I12167" t="s">
        <v>4439</v>
      </c>
      <c r="J12167" t="s">
        <v>39993</v>
      </c>
      <c r="K12167" t="s">
        <v>42297</v>
      </c>
      <c r="M12167" t="s">
        <v>46066</v>
      </c>
      <c r="N12167" t="s">
        <v>46569</v>
      </c>
      <c r="O12167" t="s">
        <v>46570</v>
      </c>
      <c r="P12167">
        <v>0</v>
      </c>
      <c r="Q12167">
        <v>1</v>
      </c>
      <c r="R12167" t="s">
        <v>46580</v>
      </c>
      <c r="S12167" t="s">
        <v>46986</v>
      </c>
      <c r="T12167" t="s">
        <v>48283</v>
      </c>
      <c r="U12167" t="s">
        <v>58542</v>
      </c>
      <c r="W12167" t="s">
        <v>46066</v>
      </c>
      <c r="X12167" t="s">
        <v>46581</v>
      </c>
    </row>
    <row r="12168" spans="1:24">
      <c r="A12168">
        <f>HYPERLINK("https://www.philgeps.gov.ph/GEPSNONPILOT/Tender/SplashBidNoticeAbstractUI.aspx?menuIndex=3&amp;refID=7046862&amp;Result=3","7046862")</f>
        <v>0</v>
      </c>
      <c r="B12168" t="s">
        <v>3152</v>
      </c>
      <c r="C12168" t="s">
        <v>15069</v>
      </c>
      <c r="D12168" t="s">
        <v>18802</v>
      </c>
      <c r="E12168" t="s">
        <v>19247</v>
      </c>
      <c r="F12168" t="s">
        <v>32664</v>
      </c>
      <c r="G12168" t="s">
        <v>32672</v>
      </c>
      <c r="H12168" t="s">
        <v>12635</v>
      </c>
      <c r="I12168" t="s">
        <v>9486</v>
      </c>
      <c r="J12168" t="s">
        <v>33051</v>
      </c>
      <c r="K12168" t="s">
        <v>42289</v>
      </c>
      <c r="M12168" t="s">
        <v>46049</v>
      </c>
      <c r="N12168" t="s">
        <v>46569</v>
      </c>
      <c r="O12168" t="s">
        <v>46570</v>
      </c>
      <c r="P12168">
        <v>0</v>
      </c>
      <c r="Q12168">
        <v>1</v>
      </c>
      <c r="R12168" t="s">
        <v>46580</v>
      </c>
      <c r="S12168" t="s">
        <v>46986</v>
      </c>
      <c r="T12168" t="s">
        <v>48238</v>
      </c>
      <c r="U12168" t="s">
        <v>58543</v>
      </c>
      <c r="W12168" t="s">
        <v>46049</v>
      </c>
      <c r="X12168" t="s">
        <v>46581</v>
      </c>
    </row>
    <row r="12169" spans="1:24">
      <c r="A12169">
        <f>HYPERLINK("https://www.philgeps.gov.ph/GEPSNONPILOT/Tender/SplashBidNoticeAbstractUI.aspx?menuIndex=3&amp;refID=7046861&amp;Result=3","7046861")</f>
        <v>0</v>
      </c>
      <c r="B12169" t="s">
        <v>2558</v>
      </c>
      <c r="C12169" t="s">
        <v>15070</v>
      </c>
      <c r="D12169" t="s">
        <v>18846</v>
      </c>
      <c r="E12169" t="s">
        <v>29341</v>
      </c>
      <c r="F12169" t="s">
        <v>32664</v>
      </c>
      <c r="G12169" t="s">
        <v>32672</v>
      </c>
      <c r="H12169" t="s">
        <v>32683</v>
      </c>
      <c r="I12169" t="s">
        <v>10627</v>
      </c>
      <c r="J12169" t="s">
        <v>34046</v>
      </c>
      <c r="K12169" t="s">
        <v>42416</v>
      </c>
      <c r="M12169" t="s">
        <v>45369</v>
      </c>
      <c r="N12169" t="s">
        <v>46569</v>
      </c>
      <c r="O12169" t="s">
        <v>46570</v>
      </c>
      <c r="P12169">
        <v>0</v>
      </c>
      <c r="Q12169">
        <v>1</v>
      </c>
      <c r="R12169" t="s">
        <v>46580</v>
      </c>
      <c r="S12169" t="s">
        <v>46986</v>
      </c>
      <c r="T12169" t="s">
        <v>48467</v>
      </c>
      <c r="U12169" t="s">
        <v>58544</v>
      </c>
      <c r="W12169" t="s">
        <v>45369</v>
      </c>
      <c r="X12169" t="s">
        <v>46581</v>
      </c>
    </row>
    <row r="12170" spans="1:24">
      <c r="A12170">
        <f>HYPERLINK("https://www.philgeps.gov.ph/GEPSNONPILOT/Tender/SplashBidNoticeAbstractUI.aspx?menuIndex=3&amp;refID=7046858&amp;Result=3","7046858")</f>
        <v>0</v>
      </c>
      <c r="B12170" t="s">
        <v>2558</v>
      </c>
      <c r="C12170" t="s">
        <v>15071</v>
      </c>
      <c r="D12170" t="s">
        <v>18846</v>
      </c>
      <c r="E12170" t="s">
        <v>29342</v>
      </c>
      <c r="F12170" t="s">
        <v>32664</v>
      </c>
      <c r="G12170" t="s">
        <v>32672</v>
      </c>
      <c r="H12170" t="s">
        <v>32683</v>
      </c>
      <c r="I12170" t="s">
        <v>10627</v>
      </c>
      <c r="J12170" t="s">
        <v>34321</v>
      </c>
      <c r="K12170" t="s">
        <v>42395</v>
      </c>
      <c r="M12170" t="s">
        <v>45369</v>
      </c>
      <c r="N12170" t="s">
        <v>46569</v>
      </c>
      <c r="O12170" t="s">
        <v>46570</v>
      </c>
      <c r="P12170">
        <v>0</v>
      </c>
      <c r="Q12170">
        <v>0</v>
      </c>
      <c r="R12170" t="s">
        <v>46580</v>
      </c>
      <c r="S12170" t="s">
        <v>46986</v>
      </c>
      <c r="T12170" t="s">
        <v>48467</v>
      </c>
      <c r="U12170" t="s">
        <v>58545</v>
      </c>
      <c r="W12170" t="s">
        <v>45369</v>
      </c>
      <c r="X12170" t="s">
        <v>46581</v>
      </c>
    </row>
    <row r="12171" spans="1:24">
      <c r="A12171">
        <f>HYPERLINK("https://www.philgeps.gov.ph/GEPSNONPILOT/Tender/SplashBidNoticeAbstractUI.aspx?menuIndex=3&amp;refID=7046955&amp;Result=3","7046955")</f>
        <v>0</v>
      </c>
      <c r="B12171" t="s">
        <v>3165</v>
      </c>
      <c r="C12171" t="s">
        <v>15072</v>
      </c>
      <c r="D12171" t="s">
        <v>18806</v>
      </c>
      <c r="E12171" t="s">
        <v>29343</v>
      </c>
      <c r="F12171" t="s">
        <v>32664</v>
      </c>
      <c r="G12171" t="s">
        <v>32672</v>
      </c>
      <c r="H12171" t="s">
        <v>12635</v>
      </c>
      <c r="I12171" t="s">
        <v>11464</v>
      </c>
      <c r="J12171" t="s">
        <v>34518</v>
      </c>
      <c r="K12171" t="s">
        <v>42281</v>
      </c>
      <c r="M12171" t="s">
        <v>46067</v>
      </c>
      <c r="N12171" t="s">
        <v>46569</v>
      </c>
      <c r="O12171" t="s">
        <v>46570</v>
      </c>
      <c r="P12171">
        <v>0</v>
      </c>
      <c r="Q12171">
        <v>4</v>
      </c>
      <c r="R12171" t="s">
        <v>46580</v>
      </c>
      <c r="S12171" t="s">
        <v>46986</v>
      </c>
      <c r="T12171" t="s">
        <v>48487</v>
      </c>
      <c r="U12171" t="s">
        <v>58546</v>
      </c>
      <c r="W12171" t="s">
        <v>46067</v>
      </c>
      <c r="X12171" t="s">
        <v>46581</v>
      </c>
    </row>
    <row r="12172" spans="1:24">
      <c r="A12172">
        <f>HYPERLINK("https://www.philgeps.gov.ph/GEPSNONPILOT/Tender/SplashBidNoticeAbstractUI.aspx?menuIndex=3&amp;refID=7046867&amp;Result=3","7046867")</f>
        <v>0</v>
      </c>
      <c r="B12172" t="s">
        <v>3162</v>
      </c>
      <c r="C12172" t="s">
        <v>15073</v>
      </c>
      <c r="D12172" t="s">
        <v>18830</v>
      </c>
      <c r="E12172" t="s">
        <v>29344</v>
      </c>
      <c r="F12172" t="s">
        <v>32664</v>
      </c>
      <c r="G12172" t="s">
        <v>32672</v>
      </c>
      <c r="H12172" t="s">
        <v>32683</v>
      </c>
      <c r="I12172" t="s">
        <v>10627</v>
      </c>
      <c r="J12172" t="s">
        <v>39994</v>
      </c>
      <c r="K12172" t="s">
        <v>42320</v>
      </c>
      <c r="M12172" t="s">
        <v>46063</v>
      </c>
      <c r="N12172" t="s">
        <v>46569</v>
      </c>
      <c r="O12172" t="s">
        <v>46570</v>
      </c>
      <c r="P12172">
        <v>0</v>
      </c>
      <c r="Q12172">
        <v>2</v>
      </c>
      <c r="R12172" t="s">
        <v>46580</v>
      </c>
      <c r="S12172" t="s">
        <v>46986</v>
      </c>
      <c r="T12172" t="s">
        <v>48284</v>
      </c>
      <c r="U12172" t="s">
        <v>58547</v>
      </c>
      <c r="W12172" t="s">
        <v>46063</v>
      </c>
      <c r="X12172" t="s">
        <v>46581</v>
      </c>
    </row>
    <row r="12173" spans="1:24">
      <c r="A12173">
        <f>HYPERLINK("https://www.philgeps.gov.ph/GEPSNONPILOT/Tender/SplashBidNoticeAbstractUI.aspx?menuIndex=3&amp;refID=7047030&amp;Result=3","7047030")</f>
        <v>0</v>
      </c>
      <c r="B12173" t="s">
        <v>3158</v>
      </c>
      <c r="C12173" t="s">
        <v>15074</v>
      </c>
      <c r="D12173" t="s">
        <v>18843</v>
      </c>
      <c r="E12173" t="s">
        <v>29345</v>
      </c>
      <c r="F12173" t="s">
        <v>32664</v>
      </c>
      <c r="G12173" t="s">
        <v>32672</v>
      </c>
      <c r="H12173" t="s">
        <v>12635</v>
      </c>
      <c r="I12173" t="s">
        <v>32706</v>
      </c>
      <c r="J12173" t="s">
        <v>33267</v>
      </c>
      <c r="K12173" t="s">
        <v>42281</v>
      </c>
      <c r="M12173" t="s">
        <v>46057</v>
      </c>
      <c r="N12173" t="s">
        <v>46569</v>
      </c>
      <c r="O12173" t="s">
        <v>46570</v>
      </c>
      <c r="P12173">
        <v>0</v>
      </c>
      <c r="Q12173">
        <v>0</v>
      </c>
      <c r="R12173" t="s">
        <v>46580</v>
      </c>
      <c r="S12173" t="s">
        <v>46986</v>
      </c>
      <c r="T12173" t="s">
        <v>48264</v>
      </c>
      <c r="U12173" t="s">
        <v>58548</v>
      </c>
      <c r="W12173" t="s">
        <v>46057</v>
      </c>
      <c r="X12173" t="s">
        <v>46581</v>
      </c>
    </row>
    <row r="12174" spans="1:24">
      <c r="A12174">
        <f>HYPERLINK("https://www.philgeps.gov.ph/GEPSNONPILOT/Tender/SplashBidNoticeAbstractUI.aspx?menuIndex=3&amp;refID=7046911&amp;Result=3","7046911")</f>
        <v>0</v>
      </c>
      <c r="B12174" t="s">
        <v>3166</v>
      </c>
      <c r="C12174" t="s">
        <v>10166</v>
      </c>
      <c r="D12174" t="s">
        <v>18788</v>
      </c>
      <c r="E12174" t="s">
        <v>29346</v>
      </c>
      <c r="F12174" t="s">
        <v>32664</v>
      </c>
      <c r="G12174" t="s">
        <v>32672</v>
      </c>
      <c r="H12174" t="s">
        <v>32683</v>
      </c>
      <c r="I12174" t="s">
        <v>10627</v>
      </c>
      <c r="J12174" t="s">
        <v>39995</v>
      </c>
      <c r="K12174" t="s">
        <v>42298</v>
      </c>
      <c r="M12174" t="s">
        <v>46068</v>
      </c>
      <c r="N12174" t="s">
        <v>46569</v>
      </c>
      <c r="O12174" t="s">
        <v>46570</v>
      </c>
      <c r="P12174">
        <v>0</v>
      </c>
      <c r="Q12174">
        <v>0</v>
      </c>
      <c r="R12174" t="s">
        <v>46580</v>
      </c>
      <c r="S12174" t="s">
        <v>46986</v>
      </c>
      <c r="T12174" t="s">
        <v>48236</v>
      </c>
      <c r="U12174" t="s">
        <v>58549</v>
      </c>
      <c r="V12174" t="s">
        <v>62956</v>
      </c>
      <c r="W12174" t="s">
        <v>46068</v>
      </c>
      <c r="X12174" t="s">
        <v>46581</v>
      </c>
    </row>
    <row r="12175" spans="1:24">
      <c r="A12175">
        <f>HYPERLINK("https://www.philgeps.gov.ph/GEPSNONPILOT/Tender/SplashBidNoticeAbstractUI.aspx?menuIndex=3&amp;refID=7047021&amp;Result=3","7047021")</f>
        <v>0</v>
      </c>
      <c r="B12175" t="s">
        <v>1248</v>
      </c>
      <c r="C12175" t="s">
        <v>15075</v>
      </c>
      <c r="D12175" t="s">
        <v>18858</v>
      </c>
      <c r="E12175" t="s">
        <v>29347</v>
      </c>
      <c r="F12175" t="s">
        <v>32664</v>
      </c>
      <c r="G12175" t="s">
        <v>32672</v>
      </c>
      <c r="H12175" t="s">
        <v>32682</v>
      </c>
      <c r="I12175" t="s">
        <v>9946</v>
      </c>
      <c r="J12175" t="s">
        <v>34806</v>
      </c>
      <c r="K12175" t="s">
        <v>42291</v>
      </c>
      <c r="M12175" t="s">
        <v>43890</v>
      </c>
      <c r="N12175" t="s">
        <v>46569</v>
      </c>
      <c r="O12175" t="s">
        <v>46570</v>
      </c>
      <c r="P12175">
        <v>0</v>
      </c>
      <c r="Q12175">
        <v>0</v>
      </c>
      <c r="R12175" t="s">
        <v>46580</v>
      </c>
      <c r="S12175" t="s">
        <v>46986</v>
      </c>
      <c r="T12175" t="s">
        <v>48236</v>
      </c>
      <c r="U12175" t="s">
        <v>58550</v>
      </c>
      <c r="W12175" t="s">
        <v>43890</v>
      </c>
      <c r="X12175" t="s">
        <v>46581</v>
      </c>
    </row>
    <row r="12176" spans="1:24">
      <c r="A12176">
        <f>HYPERLINK("https://www.philgeps.gov.ph/GEPSNONPILOT/Tender/SplashBidNoticeAbstractUI.aspx?menuIndex=3&amp;refID=7047034&amp;Result=3","7047034")</f>
        <v>0</v>
      </c>
      <c r="B12176" t="s">
        <v>999</v>
      </c>
      <c r="C12176" t="s">
        <v>15076</v>
      </c>
      <c r="D12176" t="s">
        <v>18782</v>
      </c>
      <c r="E12176" t="s">
        <v>29348</v>
      </c>
      <c r="F12176" t="s">
        <v>32664</v>
      </c>
      <c r="G12176" t="s">
        <v>32672</v>
      </c>
      <c r="H12176" t="s">
        <v>12635</v>
      </c>
      <c r="I12176" t="s">
        <v>11464</v>
      </c>
      <c r="J12176" t="s">
        <v>32930</v>
      </c>
      <c r="K12176" t="s">
        <v>42295</v>
      </c>
      <c r="M12176" t="s">
        <v>43611</v>
      </c>
      <c r="N12176" t="s">
        <v>46569</v>
      </c>
      <c r="O12176" t="s">
        <v>46570</v>
      </c>
      <c r="P12176">
        <v>0</v>
      </c>
      <c r="Q12176">
        <v>4</v>
      </c>
      <c r="R12176" t="s">
        <v>46580</v>
      </c>
      <c r="S12176" t="s">
        <v>46986</v>
      </c>
      <c r="T12176" t="s">
        <v>48284</v>
      </c>
      <c r="U12176" t="s">
        <v>58551</v>
      </c>
      <c r="W12176" t="s">
        <v>43611</v>
      </c>
      <c r="X12176" t="s">
        <v>46581</v>
      </c>
    </row>
    <row r="12177" spans="1:24">
      <c r="A12177">
        <f>HYPERLINK("https://www.philgeps.gov.ph/GEPSNONPILOT/Tender/SplashBidNoticeAbstractUI.aspx?menuIndex=3&amp;refID=7047001&amp;Result=3","7047001")</f>
        <v>0</v>
      </c>
      <c r="B12177" t="s">
        <v>1656</v>
      </c>
      <c r="C12177" t="s">
        <v>15077</v>
      </c>
      <c r="D12177" t="s">
        <v>18805</v>
      </c>
      <c r="E12177" t="s">
        <v>29349</v>
      </c>
      <c r="F12177" t="s">
        <v>32664</v>
      </c>
      <c r="G12177" t="s">
        <v>32671</v>
      </c>
      <c r="H12177" t="s">
        <v>12635</v>
      </c>
      <c r="I12177" t="s">
        <v>6168</v>
      </c>
      <c r="J12177" t="s">
        <v>33249</v>
      </c>
      <c r="K12177" t="s">
        <v>42306</v>
      </c>
      <c r="M12177" t="s">
        <v>44341</v>
      </c>
      <c r="N12177" t="s">
        <v>46569</v>
      </c>
      <c r="O12177" t="s">
        <v>46570</v>
      </c>
      <c r="P12177">
        <v>0</v>
      </c>
      <c r="Q12177">
        <v>0</v>
      </c>
      <c r="R12177" t="s">
        <v>46580</v>
      </c>
      <c r="S12177" t="s">
        <v>46986</v>
      </c>
      <c r="T12177" t="s">
        <v>48291</v>
      </c>
      <c r="U12177" t="s">
        <v>58552</v>
      </c>
      <c r="W12177" t="s">
        <v>44341</v>
      </c>
      <c r="X12177" t="s">
        <v>46581</v>
      </c>
    </row>
    <row r="12178" spans="1:24">
      <c r="A12178">
        <f>HYPERLINK("https://www.philgeps.gov.ph/GEPSNONPILOT/Tender/SplashBidNoticeAbstractUI.aspx?menuIndex=3&amp;refID=7046869&amp;Result=3","7046869")</f>
        <v>0</v>
      </c>
      <c r="B12178" t="s">
        <v>957</v>
      </c>
      <c r="C12178" t="s">
        <v>15078</v>
      </c>
      <c r="D12178" t="s">
        <v>18828</v>
      </c>
      <c r="E12178" t="s">
        <v>29350</v>
      </c>
      <c r="F12178" t="s">
        <v>32664</v>
      </c>
      <c r="G12178" t="s">
        <v>32672</v>
      </c>
      <c r="H12178" t="s">
        <v>32683</v>
      </c>
      <c r="I12178" t="s">
        <v>10627</v>
      </c>
      <c r="J12178" t="s">
        <v>33969</v>
      </c>
      <c r="K12178" t="s">
        <v>42308</v>
      </c>
      <c r="M12178" t="s">
        <v>43564</v>
      </c>
      <c r="N12178" t="s">
        <v>46569</v>
      </c>
      <c r="O12178" t="s">
        <v>46570</v>
      </c>
      <c r="P12178">
        <v>0</v>
      </c>
      <c r="Q12178">
        <v>1</v>
      </c>
      <c r="R12178" t="s">
        <v>46580</v>
      </c>
      <c r="S12178" t="s">
        <v>46986</v>
      </c>
      <c r="T12178" t="s">
        <v>48415</v>
      </c>
      <c r="U12178" t="s">
        <v>58553</v>
      </c>
      <c r="W12178" t="s">
        <v>63498</v>
      </c>
      <c r="X12178" t="s">
        <v>46581</v>
      </c>
    </row>
    <row r="12179" spans="1:24">
      <c r="A12179">
        <f>HYPERLINK("https://www.philgeps.gov.ph/GEPSNONPILOT/Tender/SplashBidNoticeAbstractUI.aspx?menuIndex=3&amp;refID=7046997&amp;Result=3","7046997")</f>
        <v>0</v>
      </c>
      <c r="B12179" t="s">
        <v>749</v>
      </c>
      <c r="C12179" t="s">
        <v>15079</v>
      </c>
      <c r="D12179" t="s">
        <v>18788</v>
      </c>
      <c r="E12179" t="s">
        <v>29351</v>
      </c>
      <c r="F12179" t="s">
        <v>32664</v>
      </c>
      <c r="G12179" t="s">
        <v>32672</v>
      </c>
      <c r="H12179" t="s">
        <v>12635</v>
      </c>
      <c r="I12179" t="s">
        <v>5589</v>
      </c>
      <c r="J12179" t="s">
        <v>34559</v>
      </c>
      <c r="K12179" t="s">
        <v>42283</v>
      </c>
      <c r="M12179" t="s">
        <v>43339</v>
      </c>
      <c r="N12179" t="s">
        <v>46569</v>
      </c>
      <c r="O12179" t="s">
        <v>46570</v>
      </c>
      <c r="P12179">
        <v>0</v>
      </c>
      <c r="Q12179">
        <v>9</v>
      </c>
      <c r="R12179" t="s">
        <v>46580</v>
      </c>
      <c r="S12179" t="s">
        <v>46986</v>
      </c>
      <c r="T12179" t="s">
        <v>48284</v>
      </c>
      <c r="U12179" t="s">
        <v>58554</v>
      </c>
      <c r="W12179" t="s">
        <v>43339</v>
      </c>
      <c r="X12179" t="s">
        <v>46581</v>
      </c>
    </row>
    <row r="12180" spans="1:24">
      <c r="A12180">
        <f>HYPERLINK("https://www.philgeps.gov.ph/GEPSNONPILOT/Tender/SplashBidNoticeAbstractUI.aspx?menuIndex=3&amp;refID=7046741&amp;Result=3","7046741")</f>
        <v>0</v>
      </c>
      <c r="B12180" t="s">
        <v>1449</v>
      </c>
      <c r="C12180" t="s">
        <v>15080</v>
      </c>
      <c r="D12180" t="s">
        <v>18801</v>
      </c>
      <c r="E12180" t="s">
        <v>29352</v>
      </c>
      <c r="F12180" t="s">
        <v>32664</v>
      </c>
      <c r="G12180" t="s">
        <v>32672</v>
      </c>
      <c r="H12180" t="s">
        <v>12635</v>
      </c>
      <c r="I12180" t="s">
        <v>32729</v>
      </c>
      <c r="J12180" t="s">
        <v>39996</v>
      </c>
      <c r="K12180" t="s">
        <v>42298</v>
      </c>
      <c r="M12180" t="s">
        <v>44110</v>
      </c>
      <c r="N12180" t="s">
        <v>46569</v>
      </c>
      <c r="O12180" t="s">
        <v>46570</v>
      </c>
      <c r="P12180">
        <v>0</v>
      </c>
      <c r="Q12180">
        <v>6</v>
      </c>
      <c r="R12180" t="s">
        <v>46580</v>
      </c>
      <c r="S12180" t="s">
        <v>46986</v>
      </c>
      <c r="T12180" t="s">
        <v>48322</v>
      </c>
      <c r="U12180" t="s">
        <v>58555</v>
      </c>
      <c r="W12180" t="s">
        <v>44110</v>
      </c>
      <c r="X12180" t="s">
        <v>46581</v>
      </c>
    </row>
    <row r="12181" spans="1:24">
      <c r="A12181">
        <f>HYPERLINK("https://www.philgeps.gov.ph/GEPSNONPILOT/Tender/SplashBidNoticeAbstractUI.aspx?menuIndex=3&amp;refID=7046996&amp;Result=3","7046996")</f>
        <v>0</v>
      </c>
      <c r="B12181" t="s">
        <v>3165</v>
      </c>
      <c r="C12181" t="s">
        <v>15081</v>
      </c>
      <c r="D12181" t="s">
        <v>18806</v>
      </c>
      <c r="E12181" t="s">
        <v>29353</v>
      </c>
      <c r="F12181" t="s">
        <v>32664</v>
      </c>
      <c r="G12181" t="s">
        <v>32672</v>
      </c>
      <c r="H12181" t="s">
        <v>12635</v>
      </c>
      <c r="I12181" t="s">
        <v>11464</v>
      </c>
      <c r="J12181" t="s">
        <v>39997</v>
      </c>
      <c r="K12181" t="s">
        <v>42281</v>
      </c>
      <c r="M12181" t="s">
        <v>46067</v>
      </c>
      <c r="N12181" t="s">
        <v>46569</v>
      </c>
      <c r="O12181" t="s">
        <v>46570</v>
      </c>
      <c r="P12181">
        <v>0</v>
      </c>
      <c r="Q12181">
        <v>6</v>
      </c>
      <c r="R12181" t="s">
        <v>46580</v>
      </c>
      <c r="S12181" t="s">
        <v>46986</v>
      </c>
      <c r="T12181" t="s">
        <v>48487</v>
      </c>
      <c r="U12181" t="s">
        <v>58556</v>
      </c>
      <c r="W12181" t="s">
        <v>46067</v>
      </c>
      <c r="X12181" t="s">
        <v>46581</v>
      </c>
    </row>
    <row r="12182" spans="1:24">
      <c r="A12182">
        <f>HYPERLINK("https://www.philgeps.gov.ph/GEPSNONPILOT/Tender/SplashBidNoticeAbstractUI.aspx?menuIndex=3&amp;refID=7046929&amp;Result=3","7046929")</f>
        <v>0</v>
      </c>
      <c r="B12182" t="s">
        <v>2433</v>
      </c>
      <c r="C12182" t="s">
        <v>15082</v>
      </c>
      <c r="D12182" t="s">
        <v>18842</v>
      </c>
      <c r="E12182" t="s">
        <v>29354</v>
      </c>
      <c r="F12182" t="s">
        <v>32665</v>
      </c>
      <c r="G12182" t="s">
        <v>32672</v>
      </c>
      <c r="H12182" t="s">
        <v>32683</v>
      </c>
      <c r="I12182" t="s">
        <v>10627</v>
      </c>
      <c r="J12182" t="s">
        <v>39998</v>
      </c>
      <c r="K12182" t="s">
        <v>42298</v>
      </c>
      <c r="M12182" t="s">
        <v>45225</v>
      </c>
      <c r="N12182" t="s">
        <v>46569</v>
      </c>
      <c r="O12182" t="s">
        <v>46570</v>
      </c>
      <c r="P12182">
        <v>0</v>
      </c>
      <c r="Q12182">
        <v>0</v>
      </c>
      <c r="R12182" t="s">
        <v>46580</v>
      </c>
      <c r="S12182" t="s">
        <v>46986</v>
      </c>
      <c r="T12182" t="s">
        <v>48410</v>
      </c>
      <c r="U12182" t="s">
        <v>58557</v>
      </c>
      <c r="W12182" t="s">
        <v>45225</v>
      </c>
      <c r="X12182" t="s">
        <v>46581</v>
      </c>
    </row>
    <row r="12183" spans="1:24">
      <c r="A12183">
        <f>HYPERLINK("https://www.philgeps.gov.ph/GEPSNONPILOT/Tender/SplashBidNoticeAbstractUI.aspx?menuIndex=3&amp;refID=7046756&amp;Result=3","7046756")</f>
        <v>0</v>
      </c>
      <c r="B12183" t="s">
        <v>2150</v>
      </c>
      <c r="C12183" t="s">
        <v>15083</v>
      </c>
      <c r="D12183" t="s">
        <v>18851</v>
      </c>
      <c r="E12183" t="s">
        <v>29355</v>
      </c>
      <c r="F12183" t="s">
        <v>32664</v>
      </c>
      <c r="G12183" t="s">
        <v>32672</v>
      </c>
      <c r="H12183" t="s">
        <v>12635</v>
      </c>
      <c r="I12183" t="s">
        <v>6118</v>
      </c>
      <c r="J12183" t="s">
        <v>32865</v>
      </c>
      <c r="K12183" t="s">
        <v>42281</v>
      </c>
      <c r="M12183" t="s">
        <v>44906</v>
      </c>
      <c r="N12183" t="s">
        <v>46569</v>
      </c>
      <c r="O12183" t="s">
        <v>46570</v>
      </c>
      <c r="P12183">
        <v>0</v>
      </c>
      <c r="Q12183">
        <v>0</v>
      </c>
      <c r="R12183" t="s">
        <v>46580</v>
      </c>
      <c r="S12183" t="s">
        <v>46986</v>
      </c>
      <c r="T12183" t="s">
        <v>48212</v>
      </c>
      <c r="U12183" t="s">
        <v>58558</v>
      </c>
      <c r="W12183" t="s">
        <v>44906</v>
      </c>
      <c r="X12183" t="s">
        <v>46581</v>
      </c>
    </row>
    <row r="12184" spans="1:24">
      <c r="A12184">
        <f>HYPERLINK("https://www.philgeps.gov.ph/GEPSNONPILOT/Tender/SplashBidNoticeAbstractUI.aspx?menuIndex=3&amp;refID=7046999&amp;Result=3","7046999")</f>
        <v>0</v>
      </c>
      <c r="B12184" t="s">
        <v>749</v>
      </c>
      <c r="C12184" t="s">
        <v>15084</v>
      </c>
      <c r="D12184" t="s">
        <v>18788</v>
      </c>
      <c r="E12184" t="s">
        <v>29356</v>
      </c>
      <c r="F12184" t="s">
        <v>32664</v>
      </c>
      <c r="G12184" t="s">
        <v>32672</v>
      </c>
      <c r="H12184" t="s">
        <v>12635</v>
      </c>
      <c r="I12184" t="s">
        <v>11464</v>
      </c>
      <c r="J12184" t="s">
        <v>33751</v>
      </c>
      <c r="K12184" t="s">
        <v>42283</v>
      </c>
      <c r="M12184" t="s">
        <v>43339</v>
      </c>
      <c r="N12184" t="s">
        <v>46569</v>
      </c>
      <c r="O12184" t="s">
        <v>46570</v>
      </c>
      <c r="P12184">
        <v>0</v>
      </c>
      <c r="Q12184">
        <v>3</v>
      </c>
      <c r="R12184" t="s">
        <v>46580</v>
      </c>
      <c r="S12184" t="s">
        <v>46986</v>
      </c>
      <c r="T12184" t="s">
        <v>48284</v>
      </c>
      <c r="U12184" t="s">
        <v>58559</v>
      </c>
      <c r="W12184" t="s">
        <v>43339</v>
      </c>
      <c r="X12184" t="s">
        <v>46581</v>
      </c>
    </row>
    <row r="12185" spans="1:24">
      <c r="A12185">
        <f>HYPERLINK("https://www.philgeps.gov.ph/GEPSNONPILOT/Tender/SplashBidNoticeAbstractUI.aspx?menuIndex=3&amp;refID=7032022&amp;Result=3","7032022")</f>
        <v>0</v>
      </c>
      <c r="B12185" t="s">
        <v>2626</v>
      </c>
      <c r="C12185" t="s">
        <v>15085</v>
      </c>
      <c r="D12185" t="s">
        <v>18830</v>
      </c>
      <c r="E12185" t="s">
        <v>29357</v>
      </c>
      <c r="F12185" t="s">
        <v>32664</v>
      </c>
      <c r="G12185" t="s">
        <v>32672</v>
      </c>
      <c r="H12185" t="s">
        <v>32683</v>
      </c>
      <c r="I12185" t="s">
        <v>10627</v>
      </c>
      <c r="J12185" t="s">
        <v>39999</v>
      </c>
      <c r="K12185" t="s">
        <v>42469</v>
      </c>
      <c r="M12185" t="s">
        <v>46069</v>
      </c>
      <c r="N12185" t="s">
        <v>46569</v>
      </c>
      <c r="O12185" t="s">
        <v>46570</v>
      </c>
      <c r="P12185">
        <v>0</v>
      </c>
      <c r="Q12185">
        <v>8</v>
      </c>
      <c r="R12185" t="s">
        <v>46581</v>
      </c>
      <c r="S12185" t="s">
        <v>47012</v>
      </c>
      <c r="T12185" t="s">
        <v>48264</v>
      </c>
      <c r="U12185" t="s">
        <v>49256</v>
      </c>
      <c r="W12185" t="s">
        <v>46069</v>
      </c>
      <c r="X12185" t="s">
        <v>46590</v>
      </c>
    </row>
    <row r="12186" spans="1:24">
      <c r="A12186">
        <f>HYPERLINK("https://www.philgeps.gov.ph/GEPSNONPILOT/Tender/SplashBidNoticeAbstractUI.aspx?menuIndex=3&amp;refID=7047002&amp;Result=3","7047002")</f>
        <v>0</v>
      </c>
      <c r="B12186" t="s">
        <v>3165</v>
      </c>
      <c r="C12186" t="s">
        <v>15086</v>
      </c>
      <c r="D12186" t="s">
        <v>18806</v>
      </c>
      <c r="E12186" t="s">
        <v>29358</v>
      </c>
      <c r="F12186" t="s">
        <v>32664</v>
      </c>
      <c r="G12186" t="s">
        <v>32672</v>
      </c>
      <c r="H12186" t="s">
        <v>12635</v>
      </c>
      <c r="I12186" t="s">
        <v>10361</v>
      </c>
      <c r="J12186" t="s">
        <v>40000</v>
      </c>
      <c r="K12186" t="s">
        <v>42348</v>
      </c>
      <c r="M12186" t="s">
        <v>46067</v>
      </c>
      <c r="N12186" t="s">
        <v>46569</v>
      </c>
      <c r="O12186" t="s">
        <v>46570</v>
      </c>
      <c r="P12186">
        <v>0</v>
      </c>
      <c r="Q12186">
        <v>0</v>
      </c>
      <c r="R12186" t="s">
        <v>46580</v>
      </c>
      <c r="S12186" t="s">
        <v>46986</v>
      </c>
      <c r="T12186" t="s">
        <v>48487</v>
      </c>
      <c r="U12186" t="s">
        <v>58560</v>
      </c>
      <c r="W12186" t="s">
        <v>46067</v>
      </c>
      <c r="X12186" t="s">
        <v>46581</v>
      </c>
    </row>
    <row r="12187" spans="1:24">
      <c r="A12187">
        <f>HYPERLINK("https://www.philgeps.gov.ph/GEPSNONPILOT/Tender/SplashBidNoticeAbstractUI.aspx?menuIndex=3&amp;refID=7029815&amp;Result=3","7029815")</f>
        <v>0</v>
      </c>
      <c r="B12187" t="s">
        <v>2155</v>
      </c>
      <c r="C12187" t="s">
        <v>5093</v>
      </c>
      <c r="D12187" t="s">
        <v>18832</v>
      </c>
      <c r="E12187" t="s">
        <v>29359</v>
      </c>
      <c r="F12187" t="s">
        <v>32664</v>
      </c>
      <c r="G12187" t="s">
        <v>32672</v>
      </c>
      <c r="H12187" t="s">
        <v>32683</v>
      </c>
      <c r="I12187" t="s">
        <v>10627</v>
      </c>
      <c r="J12187" t="s">
        <v>40001</v>
      </c>
      <c r="K12187" t="s">
        <v>42369</v>
      </c>
      <c r="M12187" t="s">
        <v>44912</v>
      </c>
      <c r="N12187" t="s">
        <v>46569</v>
      </c>
      <c r="O12187" t="s">
        <v>46570</v>
      </c>
      <c r="P12187">
        <v>0</v>
      </c>
      <c r="Q12187">
        <v>1</v>
      </c>
      <c r="R12187" t="s">
        <v>46581</v>
      </c>
      <c r="S12187" t="s">
        <v>47012</v>
      </c>
      <c r="T12187" t="s">
        <v>48309</v>
      </c>
      <c r="U12187" t="s">
        <v>58561</v>
      </c>
      <c r="W12187" t="s">
        <v>44912</v>
      </c>
      <c r="X12187" t="s">
        <v>46591</v>
      </c>
    </row>
    <row r="12188" spans="1:24">
      <c r="A12188">
        <f>HYPERLINK("https://www.philgeps.gov.ph/GEPSNONPILOT/Tender/SplashBidNoticeAbstractUI.aspx?menuIndex=3&amp;refID=7034923&amp;Result=3","7034923")</f>
        <v>0</v>
      </c>
      <c r="B12188" t="s">
        <v>3003</v>
      </c>
      <c r="C12188" t="s">
        <v>15087</v>
      </c>
      <c r="D12188" t="s">
        <v>18820</v>
      </c>
      <c r="E12188" t="s">
        <v>29360</v>
      </c>
      <c r="F12188" t="s">
        <v>32664</v>
      </c>
      <c r="G12188" t="s">
        <v>32672</v>
      </c>
      <c r="H12188" t="s">
        <v>12635</v>
      </c>
      <c r="I12188" t="s">
        <v>8730</v>
      </c>
      <c r="J12188" t="s">
        <v>40002</v>
      </c>
      <c r="K12188" t="s">
        <v>42303</v>
      </c>
      <c r="M12188" t="s">
        <v>45864</v>
      </c>
      <c r="N12188" t="s">
        <v>46569</v>
      </c>
      <c r="O12188" t="s">
        <v>46570</v>
      </c>
      <c r="P12188">
        <v>0</v>
      </c>
      <c r="Q12188">
        <v>2</v>
      </c>
      <c r="R12188" t="s">
        <v>46581</v>
      </c>
      <c r="S12188" t="s">
        <v>47012</v>
      </c>
      <c r="T12188" t="s">
        <v>48307</v>
      </c>
      <c r="U12188" t="s">
        <v>58562</v>
      </c>
      <c r="W12188" t="s">
        <v>45864</v>
      </c>
      <c r="X12188" t="s">
        <v>46588</v>
      </c>
    </row>
    <row r="12189" spans="1:24">
      <c r="A12189">
        <f>HYPERLINK("https://www.philgeps.gov.ph/GEPSNONPILOT/Tender/SplashBidNoticeAbstractUI.aspx?menuIndex=3&amp;refID=7034834&amp;Result=3","7034834")</f>
        <v>0</v>
      </c>
      <c r="B12189" t="s">
        <v>3003</v>
      </c>
      <c r="C12189" t="s">
        <v>15088</v>
      </c>
      <c r="D12189" t="s">
        <v>18820</v>
      </c>
      <c r="E12189" t="s">
        <v>29361</v>
      </c>
      <c r="F12189" t="s">
        <v>32664</v>
      </c>
      <c r="G12189" t="s">
        <v>32672</v>
      </c>
      <c r="H12189" t="s">
        <v>12635</v>
      </c>
      <c r="I12189" t="s">
        <v>6628</v>
      </c>
      <c r="J12189" t="s">
        <v>32974</v>
      </c>
      <c r="K12189" t="s">
        <v>42303</v>
      </c>
      <c r="M12189" t="s">
        <v>45864</v>
      </c>
      <c r="N12189" t="s">
        <v>46569</v>
      </c>
      <c r="O12189" t="s">
        <v>46570</v>
      </c>
      <c r="P12189">
        <v>0</v>
      </c>
      <c r="Q12189">
        <v>5</v>
      </c>
      <c r="R12189" t="s">
        <v>46581</v>
      </c>
      <c r="S12189" t="s">
        <v>47012</v>
      </c>
      <c r="T12189" t="s">
        <v>48307</v>
      </c>
      <c r="U12189" t="s">
        <v>58562</v>
      </c>
      <c r="W12189" t="s">
        <v>45864</v>
      </c>
      <c r="X12189" t="s">
        <v>46588</v>
      </c>
    </row>
    <row r="12190" spans="1:24">
      <c r="A12190">
        <f>HYPERLINK("https://www.philgeps.gov.ph/GEPSNONPILOT/Tender/SplashBidNoticeAbstractUI.aspx?menuIndex=3&amp;refID=7017395&amp;Result=3","7017395")</f>
        <v>0</v>
      </c>
      <c r="B12190" t="s">
        <v>32</v>
      </c>
      <c r="C12190" t="s">
        <v>15089</v>
      </c>
      <c r="D12190" t="s">
        <v>18788</v>
      </c>
      <c r="E12190" t="s">
        <v>29362</v>
      </c>
      <c r="F12190" t="s">
        <v>32664</v>
      </c>
      <c r="G12190" t="s">
        <v>32672</v>
      </c>
      <c r="H12190" t="s">
        <v>32683</v>
      </c>
      <c r="I12190" t="s">
        <v>10627</v>
      </c>
      <c r="J12190" t="s">
        <v>40003</v>
      </c>
      <c r="K12190" t="s">
        <v>42301</v>
      </c>
      <c r="M12190" t="s">
        <v>46070</v>
      </c>
      <c r="N12190" t="s">
        <v>46569</v>
      </c>
      <c r="O12190" t="s">
        <v>46570</v>
      </c>
      <c r="P12190">
        <v>0</v>
      </c>
      <c r="Q12190">
        <v>1</v>
      </c>
      <c r="R12190" t="s">
        <v>46581</v>
      </c>
      <c r="S12190" t="s">
        <v>47012</v>
      </c>
      <c r="T12190" t="s">
        <v>48213</v>
      </c>
      <c r="U12190" t="s">
        <v>58563</v>
      </c>
      <c r="V12190" t="s">
        <v>61608</v>
      </c>
      <c r="W12190" t="s">
        <v>46070</v>
      </c>
      <c r="X12190" t="s">
        <v>46596</v>
      </c>
    </row>
    <row r="12191" spans="1:24">
      <c r="A12191">
        <f>HYPERLINK("https://www.philgeps.gov.ph/GEPSNONPILOT/Tender/SplashBidNoticeAbstractUI.aspx?menuIndex=3&amp;refID=7034806&amp;Result=3","7034806")</f>
        <v>0</v>
      </c>
      <c r="B12191" t="s">
        <v>3003</v>
      </c>
      <c r="C12191" t="s">
        <v>15090</v>
      </c>
      <c r="E12191" t="s">
        <v>29363</v>
      </c>
      <c r="F12191" t="s">
        <v>32664</v>
      </c>
      <c r="G12191" t="s">
        <v>32672</v>
      </c>
      <c r="H12191" t="s">
        <v>12635</v>
      </c>
      <c r="I12191" t="s">
        <v>32685</v>
      </c>
      <c r="J12191" t="s">
        <v>40004</v>
      </c>
      <c r="K12191" t="s">
        <v>42303</v>
      </c>
      <c r="M12191" t="s">
        <v>45864</v>
      </c>
      <c r="N12191" t="s">
        <v>46569</v>
      </c>
      <c r="O12191" t="s">
        <v>46570</v>
      </c>
      <c r="P12191">
        <v>0</v>
      </c>
      <c r="Q12191">
        <v>0</v>
      </c>
      <c r="R12191" t="s">
        <v>46581</v>
      </c>
      <c r="S12191" t="s">
        <v>47012</v>
      </c>
      <c r="T12191" t="s">
        <v>48307</v>
      </c>
      <c r="U12191" t="s">
        <v>58562</v>
      </c>
      <c r="W12191" t="s">
        <v>45864</v>
      </c>
      <c r="X12191" t="s">
        <v>46588</v>
      </c>
    </row>
    <row r="12192" spans="1:24">
      <c r="A12192">
        <f>HYPERLINK("https://www.philgeps.gov.ph/GEPSNONPILOT/Tender/SplashBidNoticeAbstractUI.aspx?menuIndex=3&amp;refID=7046766&amp;Result=3","7046766")</f>
        <v>0</v>
      </c>
      <c r="B12192" t="s">
        <v>3027</v>
      </c>
      <c r="C12192" t="s">
        <v>15091</v>
      </c>
      <c r="D12192" t="s">
        <v>18791</v>
      </c>
      <c r="E12192" t="s">
        <v>29364</v>
      </c>
      <c r="F12192" t="s">
        <v>32664</v>
      </c>
      <c r="G12192" t="s">
        <v>32672</v>
      </c>
      <c r="H12192" t="s">
        <v>12635</v>
      </c>
      <c r="I12192" t="s">
        <v>4439</v>
      </c>
      <c r="J12192" t="s">
        <v>40005</v>
      </c>
      <c r="K12192" t="s">
        <v>42283</v>
      </c>
      <c r="L12192" t="s">
        <v>3027</v>
      </c>
      <c r="M12192" t="s">
        <v>45900</v>
      </c>
      <c r="N12192" t="s">
        <v>46569</v>
      </c>
      <c r="O12192" t="s">
        <v>46570</v>
      </c>
      <c r="P12192">
        <v>0</v>
      </c>
      <c r="Q12192">
        <v>2</v>
      </c>
      <c r="R12192" t="s">
        <v>46580</v>
      </c>
      <c r="S12192" t="s">
        <v>46986</v>
      </c>
      <c r="T12192" t="s">
        <v>48468</v>
      </c>
      <c r="U12192" t="s">
        <v>57810</v>
      </c>
      <c r="W12192" t="s">
        <v>45900</v>
      </c>
      <c r="X12192" t="s">
        <v>46581</v>
      </c>
    </row>
    <row r="12193" spans="1:24">
      <c r="A12193">
        <f>HYPERLINK("https://www.philgeps.gov.ph/GEPSNONPILOT/Tender/SplashBidNoticeAbstractUI.aspx?menuIndex=3&amp;refID=7046993&amp;Result=3","7046993")</f>
        <v>0</v>
      </c>
      <c r="B12193" t="s">
        <v>749</v>
      </c>
      <c r="C12193" t="s">
        <v>15092</v>
      </c>
      <c r="D12193" t="s">
        <v>18788</v>
      </c>
      <c r="E12193" t="s">
        <v>29365</v>
      </c>
      <c r="F12193" t="s">
        <v>32664</v>
      </c>
      <c r="G12193" t="s">
        <v>32672</v>
      </c>
      <c r="H12193" t="s">
        <v>12635</v>
      </c>
      <c r="I12193" t="s">
        <v>11464</v>
      </c>
      <c r="J12193" t="s">
        <v>40006</v>
      </c>
      <c r="K12193" t="s">
        <v>42283</v>
      </c>
      <c r="M12193" t="s">
        <v>43339</v>
      </c>
      <c r="N12193" t="s">
        <v>46569</v>
      </c>
      <c r="O12193" t="s">
        <v>46570</v>
      </c>
      <c r="P12193">
        <v>0</v>
      </c>
      <c r="Q12193">
        <v>2</v>
      </c>
      <c r="R12193" t="s">
        <v>46580</v>
      </c>
      <c r="S12193" t="s">
        <v>46986</v>
      </c>
      <c r="T12193" t="s">
        <v>48284</v>
      </c>
      <c r="U12193" t="s">
        <v>58564</v>
      </c>
      <c r="W12193" t="s">
        <v>43339</v>
      </c>
      <c r="X12193" t="s">
        <v>46581</v>
      </c>
    </row>
    <row r="12194" spans="1:24">
      <c r="A12194">
        <f>HYPERLINK("https://www.philgeps.gov.ph/GEPSNONPILOT/Tender/SplashBidNoticeAbstractUI.aspx?menuIndex=3&amp;refID=6938960&amp;Result=3","6938960")</f>
        <v>0</v>
      </c>
      <c r="B12194" t="s">
        <v>27</v>
      </c>
      <c r="C12194" t="s">
        <v>15093</v>
      </c>
      <c r="E12194" t="s">
        <v>29366</v>
      </c>
      <c r="F12194" t="s">
        <v>32664</v>
      </c>
      <c r="G12194" t="s">
        <v>32672</v>
      </c>
      <c r="H12194" t="s">
        <v>12635</v>
      </c>
      <c r="I12194" t="s">
        <v>32708</v>
      </c>
      <c r="J12194" t="s">
        <v>32962</v>
      </c>
      <c r="K12194" t="s">
        <v>42283</v>
      </c>
      <c r="M12194" t="s">
        <v>42589</v>
      </c>
      <c r="N12194" t="s">
        <v>46569</v>
      </c>
      <c r="O12194" t="s">
        <v>46570</v>
      </c>
      <c r="Q12194">
        <v>20</v>
      </c>
      <c r="R12194" t="s">
        <v>46581</v>
      </c>
      <c r="S12194" t="s">
        <v>47013</v>
      </c>
      <c r="T12194" t="s">
        <v>48236</v>
      </c>
      <c r="U12194" t="s">
        <v>58565</v>
      </c>
      <c r="W12194" t="s">
        <v>42589</v>
      </c>
      <c r="X12194" t="s">
        <v>46633</v>
      </c>
    </row>
    <row r="12195" spans="1:24">
      <c r="A12195">
        <f>HYPERLINK("https://www.philgeps.gov.ph/GEPSNONPILOT/Tender/SplashBidNoticeAbstractUI.aspx?menuIndex=3&amp;refID=6938942&amp;Result=3","6938942")</f>
        <v>0</v>
      </c>
      <c r="B12195" t="s">
        <v>27</v>
      </c>
      <c r="C12195" t="s">
        <v>15094</v>
      </c>
      <c r="E12195" t="s">
        <v>29367</v>
      </c>
      <c r="F12195" t="s">
        <v>32664</v>
      </c>
      <c r="G12195" t="s">
        <v>32672</v>
      </c>
      <c r="H12195" t="s">
        <v>12635</v>
      </c>
      <c r="I12195" t="s">
        <v>32712</v>
      </c>
      <c r="J12195" t="s">
        <v>34806</v>
      </c>
      <c r="K12195" t="s">
        <v>42283</v>
      </c>
      <c r="M12195" t="s">
        <v>42589</v>
      </c>
      <c r="N12195" t="s">
        <v>46569</v>
      </c>
      <c r="O12195" t="s">
        <v>46570</v>
      </c>
      <c r="Q12195">
        <v>21</v>
      </c>
      <c r="R12195" t="s">
        <v>46581</v>
      </c>
      <c r="S12195" t="s">
        <v>47014</v>
      </c>
      <c r="T12195" t="s">
        <v>48236</v>
      </c>
      <c r="U12195" t="s">
        <v>58565</v>
      </c>
      <c r="W12195" t="s">
        <v>42589</v>
      </c>
      <c r="X12195" t="s">
        <v>46633</v>
      </c>
    </row>
    <row r="12196" spans="1:24">
      <c r="A12196">
        <f>HYPERLINK("https://www.philgeps.gov.ph/GEPSNONPILOT/Tender/SplashBidNoticeAbstractUI.aspx?menuIndex=3&amp;refID=6938443&amp;Result=3","6938443")</f>
        <v>0</v>
      </c>
      <c r="B12196" t="s">
        <v>747</v>
      </c>
      <c r="C12196" t="s">
        <v>15095</v>
      </c>
      <c r="D12196" t="s">
        <v>18806</v>
      </c>
      <c r="E12196" t="s">
        <v>29368</v>
      </c>
      <c r="F12196" t="s">
        <v>32664</v>
      </c>
      <c r="G12196" t="s">
        <v>32672</v>
      </c>
      <c r="H12196" t="s">
        <v>32683</v>
      </c>
      <c r="I12196" t="s">
        <v>10627</v>
      </c>
      <c r="J12196" t="s">
        <v>32922</v>
      </c>
      <c r="K12196" t="s">
        <v>42349</v>
      </c>
      <c r="M12196" t="s">
        <v>46071</v>
      </c>
      <c r="N12196" t="s">
        <v>46569</v>
      </c>
      <c r="O12196" t="s">
        <v>46570</v>
      </c>
      <c r="P12196">
        <v>0</v>
      </c>
      <c r="Q12196">
        <v>5</v>
      </c>
      <c r="R12196" t="s">
        <v>46581</v>
      </c>
      <c r="S12196" t="s">
        <v>47012</v>
      </c>
      <c r="T12196" t="s">
        <v>48394</v>
      </c>
      <c r="U12196" t="s">
        <v>58566</v>
      </c>
      <c r="W12196" t="s">
        <v>46071</v>
      </c>
      <c r="X12196" t="s">
        <v>46633</v>
      </c>
    </row>
    <row r="12197" spans="1:24">
      <c r="A12197">
        <f>HYPERLINK("https://www.philgeps.gov.ph/GEPSNONPILOT/Tender/SplashBidNoticeAbstractUI.aspx?menuIndex=3&amp;refID=7036516&amp;Result=3","7036516")</f>
        <v>0</v>
      </c>
      <c r="B12197" t="s">
        <v>471</v>
      </c>
      <c r="C12197" t="s">
        <v>15096</v>
      </c>
      <c r="D12197" t="s">
        <v>18785</v>
      </c>
      <c r="E12197" t="s">
        <v>29369</v>
      </c>
      <c r="F12197" t="s">
        <v>32664</v>
      </c>
      <c r="G12197" t="s">
        <v>32672</v>
      </c>
      <c r="H12197" t="s">
        <v>12635</v>
      </c>
      <c r="I12197" t="s">
        <v>5589</v>
      </c>
      <c r="J12197" t="s">
        <v>40007</v>
      </c>
      <c r="K12197" t="s">
        <v>42283</v>
      </c>
      <c r="M12197" t="s">
        <v>43046</v>
      </c>
      <c r="N12197" t="s">
        <v>46569</v>
      </c>
      <c r="O12197" t="s">
        <v>46570</v>
      </c>
      <c r="P12197">
        <v>0</v>
      </c>
      <c r="Q12197">
        <v>14</v>
      </c>
      <c r="R12197" t="s">
        <v>46581</v>
      </c>
      <c r="S12197" t="s">
        <v>47012</v>
      </c>
      <c r="T12197" t="s">
        <v>48284</v>
      </c>
      <c r="U12197" t="s">
        <v>58567</v>
      </c>
      <c r="W12197" t="s">
        <v>43046</v>
      </c>
      <c r="X12197" t="s">
        <v>46587</v>
      </c>
    </row>
    <row r="12198" spans="1:24">
      <c r="A12198">
        <f>HYPERLINK("https://www.philgeps.gov.ph/GEPSNONPILOT/Tender/SplashBidNoticeAbstractUI.aspx?menuIndex=3&amp;refID=7029810&amp;Result=3","7029810")</f>
        <v>0</v>
      </c>
      <c r="B12198" t="s">
        <v>2155</v>
      </c>
      <c r="C12198" t="s">
        <v>4913</v>
      </c>
      <c r="D12198" t="s">
        <v>18832</v>
      </c>
      <c r="E12198" t="s">
        <v>29370</v>
      </c>
      <c r="F12198" t="s">
        <v>32664</v>
      </c>
      <c r="G12198" t="s">
        <v>32672</v>
      </c>
      <c r="H12198" t="s">
        <v>32683</v>
      </c>
      <c r="I12198" t="s">
        <v>10627</v>
      </c>
      <c r="J12198" t="s">
        <v>40008</v>
      </c>
      <c r="K12198" t="s">
        <v>42311</v>
      </c>
      <c r="M12198" t="s">
        <v>44912</v>
      </c>
      <c r="N12198" t="s">
        <v>46569</v>
      </c>
      <c r="O12198" t="s">
        <v>46570</v>
      </c>
      <c r="P12198">
        <v>0</v>
      </c>
      <c r="Q12198">
        <v>2</v>
      </c>
      <c r="R12198" t="s">
        <v>46581</v>
      </c>
      <c r="S12198" t="s">
        <v>47012</v>
      </c>
      <c r="T12198" t="s">
        <v>48309</v>
      </c>
      <c r="U12198" t="s">
        <v>58568</v>
      </c>
      <c r="W12198" t="s">
        <v>44912</v>
      </c>
      <c r="X12198" t="s">
        <v>46591</v>
      </c>
    </row>
    <row r="12199" spans="1:24">
      <c r="A12199">
        <f>HYPERLINK("https://www.philgeps.gov.ph/GEPSNONPILOT/Tender/SplashBidNoticeAbstractUI.aspx?menuIndex=3&amp;refID=7047020&amp;Result=3","7047020")</f>
        <v>0</v>
      </c>
      <c r="B12199" t="s">
        <v>3165</v>
      </c>
      <c r="C12199" t="s">
        <v>15097</v>
      </c>
      <c r="D12199" t="s">
        <v>18806</v>
      </c>
      <c r="E12199" t="s">
        <v>29371</v>
      </c>
      <c r="F12199" t="s">
        <v>32664</v>
      </c>
      <c r="G12199" t="s">
        <v>32672</v>
      </c>
      <c r="H12199" t="s">
        <v>12635</v>
      </c>
      <c r="I12199" t="s">
        <v>32684</v>
      </c>
      <c r="J12199" t="s">
        <v>35252</v>
      </c>
      <c r="K12199" t="s">
        <v>42281</v>
      </c>
      <c r="M12199" t="s">
        <v>46067</v>
      </c>
      <c r="N12199" t="s">
        <v>46569</v>
      </c>
      <c r="O12199" t="s">
        <v>46570</v>
      </c>
      <c r="P12199">
        <v>0</v>
      </c>
      <c r="Q12199">
        <v>2</v>
      </c>
      <c r="R12199" t="s">
        <v>46580</v>
      </c>
      <c r="S12199" t="s">
        <v>46986</v>
      </c>
      <c r="T12199" t="s">
        <v>48487</v>
      </c>
      <c r="U12199" t="s">
        <v>58569</v>
      </c>
      <c r="W12199" t="s">
        <v>46067</v>
      </c>
      <c r="X12199" t="s">
        <v>46581</v>
      </c>
    </row>
    <row r="12200" spans="1:24">
      <c r="A12200">
        <f>HYPERLINK("https://www.philgeps.gov.ph/GEPSNONPILOT/Tender/SplashBidNoticeAbstractUI.aspx?menuIndex=3&amp;refID=7038928&amp;Result=3","7038928")</f>
        <v>0</v>
      </c>
      <c r="B12200" t="s">
        <v>2022</v>
      </c>
      <c r="C12200" t="s">
        <v>15098</v>
      </c>
      <c r="D12200" t="s">
        <v>18806</v>
      </c>
      <c r="E12200" t="s">
        <v>29372</v>
      </c>
      <c r="F12200" t="s">
        <v>32664</v>
      </c>
      <c r="G12200" t="s">
        <v>32672</v>
      </c>
      <c r="H12200" t="s">
        <v>12635</v>
      </c>
      <c r="I12200" t="s">
        <v>32696</v>
      </c>
      <c r="J12200" t="s">
        <v>38737</v>
      </c>
      <c r="K12200" t="s">
        <v>42298</v>
      </c>
      <c r="M12200" t="s">
        <v>44764</v>
      </c>
      <c r="N12200" t="s">
        <v>46569</v>
      </c>
      <c r="O12200" t="s">
        <v>46570</v>
      </c>
      <c r="Q12200">
        <v>2</v>
      </c>
      <c r="R12200" t="s">
        <v>46581</v>
      </c>
      <c r="S12200" t="s">
        <v>47015</v>
      </c>
      <c r="T12200" t="s">
        <v>48354</v>
      </c>
      <c r="U12200" t="s">
        <v>58570</v>
      </c>
      <c r="W12200" t="s">
        <v>44764</v>
      </c>
      <c r="X12200" t="s">
        <v>46586</v>
      </c>
    </row>
    <row r="12201" spans="1:24">
      <c r="A12201">
        <f>HYPERLINK("https://www.philgeps.gov.ph/GEPSNONPILOT/Tender/SplashBidNoticeAbstractUI.aspx?menuIndex=3&amp;refID=7037096&amp;Result=3","7037096")</f>
        <v>0</v>
      </c>
      <c r="B12201" t="s">
        <v>2073</v>
      </c>
      <c r="C12201" t="s">
        <v>15099</v>
      </c>
      <c r="D12201" t="s">
        <v>18782</v>
      </c>
      <c r="E12201" t="s">
        <v>29373</v>
      </c>
      <c r="F12201" t="s">
        <v>32664</v>
      </c>
      <c r="G12201" t="s">
        <v>32672</v>
      </c>
      <c r="H12201" t="s">
        <v>12635</v>
      </c>
      <c r="I12201" t="s">
        <v>32706</v>
      </c>
      <c r="J12201" t="s">
        <v>40009</v>
      </c>
      <c r="K12201" t="s">
        <v>42347</v>
      </c>
      <c r="M12201" t="s">
        <v>44825</v>
      </c>
      <c r="N12201" t="s">
        <v>46569</v>
      </c>
      <c r="O12201" t="s">
        <v>46570</v>
      </c>
      <c r="P12201">
        <v>0</v>
      </c>
      <c r="Q12201">
        <v>2</v>
      </c>
      <c r="R12201" t="s">
        <v>46581</v>
      </c>
      <c r="S12201" t="s">
        <v>47012</v>
      </c>
      <c r="T12201" t="s">
        <v>48412</v>
      </c>
      <c r="U12201" t="s">
        <v>58571</v>
      </c>
      <c r="W12201" t="s">
        <v>44825</v>
      </c>
      <c r="X12201" t="s">
        <v>46587</v>
      </c>
    </row>
    <row r="12202" spans="1:24">
      <c r="A12202">
        <f>HYPERLINK("https://www.philgeps.gov.ph/GEPSNONPILOT/Tender/SplashBidNoticeAbstractUI.aspx?menuIndex=3&amp;refID=7035997&amp;Result=3","7035997")</f>
        <v>0</v>
      </c>
      <c r="B12202" t="s">
        <v>460</v>
      </c>
      <c r="C12202" t="s">
        <v>15100</v>
      </c>
      <c r="D12202" t="s">
        <v>18806</v>
      </c>
      <c r="E12202" t="s">
        <v>29374</v>
      </c>
      <c r="F12202" t="s">
        <v>32664</v>
      </c>
      <c r="G12202" t="s">
        <v>32672</v>
      </c>
      <c r="H12202" t="s">
        <v>12635</v>
      </c>
      <c r="I12202" t="s">
        <v>32704</v>
      </c>
      <c r="J12202" t="s">
        <v>40010</v>
      </c>
      <c r="K12202" t="s">
        <v>42330</v>
      </c>
      <c r="M12202" t="s">
        <v>43641</v>
      </c>
      <c r="N12202" t="s">
        <v>46569</v>
      </c>
      <c r="O12202" t="s">
        <v>46570</v>
      </c>
      <c r="Q12202">
        <v>2</v>
      </c>
      <c r="R12202" t="s">
        <v>46581</v>
      </c>
      <c r="S12202" t="s">
        <v>47016</v>
      </c>
      <c r="T12202" t="s">
        <v>48307</v>
      </c>
      <c r="U12202" t="s">
        <v>58572</v>
      </c>
      <c r="V12202" t="s">
        <v>61876</v>
      </c>
      <c r="W12202" t="s">
        <v>43641</v>
      </c>
      <c r="X12202" t="s">
        <v>46587</v>
      </c>
    </row>
    <row r="12203" spans="1:24">
      <c r="A12203">
        <f>HYPERLINK("https://www.philgeps.gov.ph/GEPSNONPILOT/Tender/SplashBidNoticeAbstractUI.aspx?menuIndex=3&amp;refID=7035976&amp;Result=3","7035976")</f>
        <v>0</v>
      </c>
      <c r="B12203" t="s">
        <v>460</v>
      </c>
      <c r="C12203" t="s">
        <v>15101</v>
      </c>
      <c r="D12203" t="s">
        <v>18806</v>
      </c>
      <c r="E12203" t="s">
        <v>29375</v>
      </c>
      <c r="F12203" t="s">
        <v>32664</v>
      </c>
      <c r="G12203" t="s">
        <v>32672</v>
      </c>
      <c r="H12203" t="s">
        <v>12635</v>
      </c>
      <c r="I12203" t="s">
        <v>32704</v>
      </c>
      <c r="J12203" t="s">
        <v>37448</v>
      </c>
      <c r="K12203" t="s">
        <v>42330</v>
      </c>
      <c r="M12203" t="s">
        <v>43641</v>
      </c>
      <c r="N12203" t="s">
        <v>46569</v>
      </c>
      <c r="O12203" t="s">
        <v>46570</v>
      </c>
      <c r="Q12203">
        <v>2</v>
      </c>
      <c r="R12203" t="s">
        <v>46581</v>
      </c>
      <c r="S12203" t="s">
        <v>46953</v>
      </c>
      <c r="T12203" t="s">
        <v>48307</v>
      </c>
      <c r="U12203" t="s">
        <v>58573</v>
      </c>
      <c r="V12203" t="s">
        <v>62957</v>
      </c>
      <c r="W12203" t="s">
        <v>43641</v>
      </c>
      <c r="X12203" t="s">
        <v>46587</v>
      </c>
    </row>
    <row r="12204" spans="1:24">
      <c r="A12204">
        <f>HYPERLINK("https://www.philgeps.gov.ph/GEPSNONPILOT/Tender/SplashBidNoticeAbstractUI.aspx?menuIndex=3&amp;refID=7035963&amp;Result=3","7035963")</f>
        <v>0</v>
      </c>
      <c r="B12204" t="s">
        <v>460</v>
      </c>
      <c r="C12204" t="s">
        <v>15102</v>
      </c>
      <c r="D12204" t="s">
        <v>18806</v>
      </c>
      <c r="E12204" t="s">
        <v>29376</v>
      </c>
      <c r="F12204" t="s">
        <v>32664</v>
      </c>
      <c r="G12204" t="s">
        <v>32672</v>
      </c>
      <c r="H12204" t="s">
        <v>12635</v>
      </c>
      <c r="I12204" t="s">
        <v>32704</v>
      </c>
      <c r="J12204" t="s">
        <v>40011</v>
      </c>
      <c r="K12204" t="s">
        <v>42330</v>
      </c>
      <c r="M12204" t="s">
        <v>43641</v>
      </c>
      <c r="N12204" t="s">
        <v>46569</v>
      </c>
      <c r="O12204" t="s">
        <v>46570</v>
      </c>
      <c r="Q12204">
        <v>2</v>
      </c>
      <c r="R12204" t="s">
        <v>46581</v>
      </c>
      <c r="S12204" t="s">
        <v>47004</v>
      </c>
      <c r="T12204" t="s">
        <v>48307</v>
      </c>
      <c r="U12204" t="s">
        <v>58574</v>
      </c>
      <c r="V12204" t="s">
        <v>61876</v>
      </c>
      <c r="W12204" t="s">
        <v>43641</v>
      </c>
      <c r="X12204" t="s">
        <v>46587</v>
      </c>
    </row>
    <row r="12205" spans="1:24">
      <c r="A12205">
        <f>HYPERLINK("https://www.philgeps.gov.ph/GEPSNONPILOT/Tender/SplashBidNoticeAbstractUI.aspx?menuIndex=3&amp;refID=6938950&amp;Result=3","6938950")</f>
        <v>0</v>
      </c>
      <c r="B12205" t="s">
        <v>27</v>
      </c>
      <c r="C12205" t="s">
        <v>15103</v>
      </c>
      <c r="E12205" t="s">
        <v>29377</v>
      </c>
      <c r="F12205" t="s">
        <v>32664</v>
      </c>
      <c r="G12205" t="s">
        <v>32672</v>
      </c>
      <c r="H12205" t="s">
        <v>12635</v>
      </c>
      <c r="I12205" t="s">
        <v>32708</v>
      </c>
      <c r="J12205" t="s">
        <v>33267</v>
      </c>
      <c r="K12205" t="s">
        <v>42283</v>
      </c>
      <c r="M12205" t="s">
        <v>42589</v>
      </c>
      <c r="N12205" t="s">
        <v>46569</v>
      </c>
      <c r="O12205" t="s">
        <v>46570</v>
      </c>
      <c r="Q12205">
        <v>11</v>
      </c>
      <c r="R12205" t="s">
        <v>46581</v>
      </c>
      <c r="S12205" t="s">
        <v>47017</v>
      </c>
      <c r="T12205" t="s">
        <v>48236</v>
      </c>
      <c r="U12205" t="s">
        <v>58565</v>
      </c>
      <c r="W12205" t="s">
        <v>42589</v>
      </c>
      <c r="X12205" t="s">
        <v>46633</v>
      </c>
    </row>
    <row r="12206" spans="1:24">
      <c r="A12206">
        <f>HYPERLINK("https://www.philgeps.gov.ph/GEPSNONPILOT/Tender/SplashBidNoticeAbstractUI.aspx?menuIndex=3&amp;refID=7040331&amp;Result=3","7040331")</f>
        <v>0</v>
      </c>
      <c r="B12206" t="s">
        <v>2224</v>
      </c>
      <c r="C12206" t="s">
        <v>15104</v>
      </c>
      <c r="E12206" t="s">
        <v>25249</v>
      </c>
      <c r="F12206" t="s">
        <v>32664</v>
      </c>
      <c r="G12206" t="s">
        <v>32672</v>
      </c>
      <c r="H12206" t="s">
        <v>32683</v>
      </c>
      <c r="I12206" t="s">
        <v>10627</v>
      </c>
      <c r="J12206" t="s">
        <v>40012</v>
      </c>
      <c r="K12206" t="s">
        <v>42283</v>
      </c>
      <c r="M12206" t="s">
        <v>44988</v>
      </c>
      <c r="N12206" t="s">
        <v>46569</v>
      </c>
      <c r="O12206" t="s">
        <v>46570</v>
      </c>
      <c r="P12206">
        <v>0</v>
      </c>
      <c r="Q12206">
        <v>5</v>
      </c>
      <c r="R12206" t="s">
        <v>46581</v>
      </c>
      <c r="S12206" t="s">
        <v>47012</v>
      </c>
      <c r="T12206" t="s">
        <v>48238</v>
      </c>
      <c r="U12206" t="s">
        <v>58575</v>
      </c>
      <c r="W12206" t="s">
        <v>44988</v>
      </c>
      <c r="X12206" t="s">
        <v>46586</v>
      </c>
    </row>
    <row r="12207" spans="1:24">
      <c r="A12207">
        <f>HYPERLINK("https://www.philgeps.gov.ph/GEPSNONPILOT/Tender/SplashBidNoticeAbstractUI.aspx?menuIndex=3&amp;refID=7035939&amp;Result=3","7035939")</f>
        <v>0</v>
      </c>
      <c r="B12207" t="s">
        <v>460</v>
      </c>
      <c r="C12207" t="s">
        <v>15105</v>
      </c>
      <c r="D12207" t="s">
        <v>18806</v>
      </c>
      <c r="E12207" t="s">
        <v>29378</v>
      </c>
      <c r="F12207" t="s">
        <v>32664</v>
      </c>
      <c r="G12207" t="s">
        <v>32672</v>
      </c>
      <c r="H12207" t="s">
        <v>12635</v>
      </c>
      <c r="I12207" t="s">
        <v>32704</v>
      </c>
      <c r="J12207" t="s">
        <v>32842</v>
      </c>
      <c r="K12207" t="s">
        <v>42330</v>
      </c>
      <c r="M12207" t="s">
        <v>43641</v>
      </c>
      <c r="N12207" t="s">
        <v>46569</v>
      </c>
      <c r="O12207" t="s">
        <v>46570</v>
      </c>
      <c r="Q12207">
        <v>4</v>
      </c>
      <c r="R12207" t="s">
        <v>46581</v>
      </c>
      <c r="S12207" t="s">
        <v>46935</v>
      </c>
      <c r="T12207" t="s">
        <v>48307</v>
      </c>
      <c r="U12207" t="s">
        <v>58576</v>
      </c>
      <c r="V12207" t="s">
        <v>61876</v>
      </c>
      <c r="W12207" t="s">
        <v>43641</v>
      </c>
      <c r="X12207" t="s">
        <v>46587</v>
      </c>
    </row>
    <row r="12208" spans="1:24">
      <c r="A12208">
        <f>HYPERLINK("https://www.philgeps.gov.ph/GEPSNONPILOT/Tender/SplashBidNoticeAbstractUI.aspx?menuIndex=3&amp;refID=7035922&amp;Result=3","7035922")</f>
        <v>0</v>
      </c>
      <c r="B12208" t="s">
        <v>460</v>
      </c>
      <c r="C12208" t="s">
        <v>15106</v>
      </c>
      <c r="D12208" t="s">
        <v>18806</v>
      </c>
      <c r="E12208" t="s">
        <v>29379</v>
      </c>
      <c r="F12208" t="s">
        <v>32664</v>
      </c>
      <c r="G12208" t="s">
        <v>32672</v>
      </c>
      <c r="H12208" t="s">
        <v>12635</v>
      </c>
      <c r="I12208" t="s">
        <v>32704</v>
      </c>
      <c r="J12208" t="s">
        <v>32845</v>
      </c>
      <c r="K12208" t="s">
        <v>42330</v>
      </c>
      <c r="M12208" t="s">
        <v>43641</v>
      </c>
      <c r="N12208" t="s">
        <v>46569</v>
      </c>
      <c r="O12208" t="s">
        <v>46570</v>
      </c>
      <c r="Q12208">
        <v>2</v>
      </c>
      <c r="R12208" t="s">
        <v>46581</v>
      </c>
      <c r="S12208" t="s">
        <v>47018</v>
      </c>
      <c r="T12208" t="s">
        <v>48307</v>
      </c>
      <c r="U12208" t="s">
        <v>58577</v>
      </c>
      <c r="V12208" t="s">
        <v>61876</v>
      </c>
      <c r="W12208" t="s">
        <v>43641</v>
      </c>
      <c r="X12208" t="s">
        <v>46587</v>
      </c>
    </row>
    <row r="12209" spans="1:24">
      <c r="A12209">
        <f>HYPERLINK("https://www.philgeps.gov.ph/GEPSNONPILOT/Tender/SplashBidNoticeAbstractUI.aspx?menuIndex=3&amp;refID=7036167&amp;Result=3","7036167")</f>
        <v>0</v>
      </c>
      <c r="B12209" t="s">
        <v>471</v>
      </c>
      <c r="C12209" t="s">
        <v>15107</v>
      </c>
      <c r="D12209" t="s">
        <v>18785</v>
      </c>
      <c r="E12209" t="s">
        <v>29380</v>
      </c>
      <c r="F12209" t="s">
        <v>32664</v>
      </c>
      <c r="G12209" t="s">
        <v>32672</v>
      </c>
      <c r="H12209" t="s">
        <v>32683</v>
      </c>
      <c r="I12209" t="s">
        <v>10627</v>
      </c>
      <c r="J12209" t="s">
        <v>32837</v>
      </c>
      <c r="K12209" t="s">
        <v>42283</v>
      </c>
      <c r="M12209" t="s">
        <v>43046</v>
      </c>
      <c r="N12209" t="s">
        <v>46569</v>
      </c>
      <c r="O12209" t="s">
        <v>46570</v>
      </c>
      <c r="P12209">
        <v>0</v>
      </c>
      <c r="Q12209">
        <v>0</v>
      </c>
      <c r="R12209" t="s">
        <v>46581</v>
      </c>
      <c r="S12209" t="s">
        <v>47012</v>
      </c>
      <c r="T12209" t="s">
        <v>48354</v>
      </c>
      <c r="U12209" t="s">
        <v>58578</v>
      </c>
      <c r="W12209" t="s">
        <v>43046</v>
      </c>
      <c r="X12209" t="s">
        <v>46587</v>
      </c>
    </row>
    <row r="12210" spans="1:24">
      <c r="A12210">
        <f>HYPERLINK("https://www.philgeps.gov.ph/GEPSNONPILOT/Tender/SplashBidNoticeAbstractUI.aspx?menuIndex=3&amp;refID=7035823&amp;Result=3","7035823")</f>
        <v>0</v>
      </c>
      <c r="B12210" t="s">
        <v>460</v>
      </c>
      <c r="C12210" t="s">
        <v>15108</v>
      </c>
      <c r="D12210" t="s">
        <v>18806</v>
      </c>
      <c r="E12210" t="s">
        <v>29381</v>
      </c>
      <c r="F12210" t="s">
        <v>32664</v>
      </c>
      <c r="G12210" t="s">
        <v>32672</v>
      </c>
      <c r="H12210" t="s">
        <v>12635</v>
      </c>
      <c r="I12210" t="s">
        <v>32704</v>
      </c>
      <c r="J12210" t="s">
        <v>36265</v>
      </c>
      <c r="K12210" t="s">
        <v>42330</v>
      </c>
      <c r="M12210" t="s">
        <v>43641</v>
      </c>
      <c r="N12210" t="s">
        <v>46569</v>
      </c>
      <c r="O12210" t="s">
        <v>46570</v>
      </c>
      <c r="Q12210">
        <v>4</v>
      </c>
      <c r="R12210" t="s">
        <v>46581</v>
      </c>
      <c r="S12210" t="s">
        <v>47019</v>
      </c>
      <c r="T12210" t="s">
        <v>48307</v>
      </c>
      <c r="U12210" t="s">
        <v>58579</v>
      </c>
      <c r="V12210" t="s">
        <v>61876</v>
      </c>
      <c r="W12210" t="s">
        <v>43641</v>
      </c>
      <c r="X12210" t="s">
        <v>46587</v>
      </c>
    </row>
    <row r="12211" spans="1:24">
      <c r="A12211">
        <f>HYPERLINK("https://www.philgeps.gov.ph/GEPSNONPILOT/Tender/SplashBidNoticeAbstractUI.aspx?menuIndex=3&amp;refID=7040960&amp;Result=3","7040960")</f>
        <v>0</v>
      </c>
      <c r="B12211" t="s">
        <v>3167</v>
      </c>
      <c r="C12211" t="s">
        <v>15109</v>
      </c>
      <c r="D12211" t="s">
        <v>18796</v>
      </c>
      <c r="E12211" t="s">
        <v>29382</v>
      </c>
      <c r="F12211" t="s">
        <v>32664</v>
      </c>
      <c r="G12211" t="s">
        <v>32672</v>
      </c>
      <c r="H12211" t="s">
        <v>32683</v>
      </c>
      <c r="I12211" t="s">
        <v>6553</v>
      </c>
      <c r="J12211" t="s">
        <v>40013</v>
      </c>
      <c r="K12211" t="s">
        <v>42290</v>
      </c>
      <c r="M12211" t="s">
        <v>46072</v>
      </c>
      <c r="N12211" t="s">
        <v>46569</v>
      </c>
      <c r="O12211" t="s">
        <v>46570</v>
      </c>
      <c r="P12211">
        <v>0</v>
      </c>
      <c r="Q12211">
        <v>3</v>
      </c>
      <c r="R12211" t="s">
        <v>46581</v>
      </c>
      <c r="S12211" t="s">
        <v>47012</v>
      </c>
      <c r="T12211" t="s">
        <v>48303</v>
      </c>
      <c r="U12211" t="s">
        <v>58580</v>
      </c>
      <c r="V12211" t="s">
        <v>62958</v>
      </c>
      <c r="W12211" t="s">
        <v>46072</v>
      </c>
      <c r="X12211" t="s">
        <v>46586</v>
      </c>
    </row>
    <row r="12212" spans="1:24">
      <c r="A12212">
        <f>HYPERLINK("https://www.philgeps.gov.ph/GEPSNONPILOT/Tender/SplashBidNoticeAbstractUI.aspx?menuIndex=3&amp;refID=7039464&amp;Result=3","7039464")</f>
        <v>0</v>
      </c>
      <c r="B12212" t="s">
        <v>430</v>
      </c>
      <c r="C12212" t="s">
        <v>15110</v>
      </c>
      <c r="D12212" t="s">
        <v>18831</v>
      </c>
      <c r="E12212" t="s">
        <v>29383</v>
      </c>
      <c r="F12212" t="s">
        <v>32665</v>
      </c>
      <c r="G12212" t="s">
        <v>32672</v>
      </c>
      <c r="H12212" t="s">
        <v>32682</v>
      </c>
      <c r="I12212" t="s">
        <v>9946</v>
      </c>
      <c r="J12212" t="s">
        <v>36262</v>
      </c>
      <c r="K12212" t="s">
        <v>42401</v>
      </c>
      <c r="M12212" t="s">
        <v>46073</v>
      </c>
      <c r="N12212" t="s">
        <v>46569</v>
      </c>
      <c r="O12212" t="s">
        <v>46570</v>
      </c>
      <c r="P12212">
        <v>0</v>
      </c>
      <c r="Q12212">
        <v>3</v>
      </c>
      <c r="R12212" t="s">
        <v>46581</v>
      </c>
      <c r="S12212" t="s">
        <v>47012</v>
      </c>
      <c r="T12212" t="s">
        <v>48236</v>
      </c>
      <c r="U12212" t="s">
        <v>58581</v>
      </c>
      <c r="W12212" t="s">
        <v>46073</v>
      </c>
      <c r="X12212" t="s">
        <v>46586</v>
      </c>
    </row>
    <row r="12213" spans="1:24">
      <c r="A12213">
        <f>HYPERLINK("https://www.philgeps.gov.ph/GEPSNONPILOT/Tender/SplashBidNoticeAbstractUI.aspx?menuIndex=3&amp;refID=7035781&amp;Result=3","7035781")</f>
        <v>0</v>
      </c>
      <c r="B12213" t="s">
        <v>460</v>
      </c>
      <c r="C12213" t="s">
        <v>15111</v>
      </c>
      <c r="D12213" t="s">
        <v>18806</v>
      </c>
      <c r="E12213" t="s">
        <v>29384</v>
      </c>
      <c r="F12213" t="s">
        <v>32664</v>
      </c>
      <c r="G12213" t="s">
        <v>32672</v>
      </c>
      <c r="H12213" t="s">
        <v>12635</v>
      </c>
      <c r="I12213" t="s">
        <v>8797</v>
      </c>
      <c r="J12213" t="s">
        <v>40014</v>
      </c>
      <c r="K12213" t="s">
        <v>42330</v>
      </c>
      <c r="M12213" t="s">
        <v>43641</v>
      </c>
      <c r="N12213" t="s">
        <v>46569</v>
      </c>
      <c r="O12213" t="s">
        <v>46570</v>
      </c>
      <c r="Q12213">
        <v>7</v>
      </c>
      <c r="R12213" t="s">
        <v>46581</v>
      </c>
      <c r="S12213" t="s">
        <v>47020</v>
      </c>
      <c r="T12213" t="s">
        <v>48307</v>
      </c>
      <c r="U12213" t="s">
        <v>58582</v>
      </c>
      <c r="V12213" t="s">
        <v>61876</v>
      </c>
      <c r="W12213" t="s">
        <v>43641</v>
      </c>
      <c r="X12213" t="s">
        <v>46587</v>
      </c>
    </row>
    <row r="12214" spans="1:24">
      <c r="A12214">
        <f>HYPERLINK("https://www.philgeps.gov.ph/GEPSNONPILOT/Tender/SplashBidNoticeAbstractUI.aspx?menuIndex=3&amp;refID=7034952&amp;Result=3","7034952")</f>
        <v>0</v>
      </c>
      <c r="B12214" t="s">
        <v>3003</v>
      </c>
      <c r="C12214" t="s">
        <v>15112</v>
      </c>
      <c r="D12214" t="s">
        <v>18820</v>
      </c>
      <c r="E12214" t="s">
        <v>29385</v>
      </c>
      <c r="F12214" t="s">
        <v>32664</v>
      </c>
      <c r="G12214" t="s">
        <v>32672</v>
      </c>
      <c r="H12214" t="s">
        <v>12635</v>
      </c>
      <c r="I12214" t="s">
        <v>8730</v>
      </c>
      <c r="J12214" t="s">
        <v>40015</v>
      </c>
      <c r="K12214" t="s">
        <v>42303</v>
      </c>
      <c r="M12214" t="s">
        <v>45864</v>
      </c>
      <c r="N12214" t="s">
        <v>46569</v>
      </c>
      <c r="O12214" t="s">
        <v>46570</v>
      </c>
      <c r="P12214">
        <v>0</v>
      </c>
      <c r="Q12214">
        <v>2</v>
      </c>
      <c r="R12214" t="s">
        <v>46581</v>
      </c>
      <c r="S12214" t="s">
        <v>47012</v>
      </c>
      <c r="T12214" t="s">
        <v>48307</v>
      </c>
      <c r="U12214" t="s">
        <v>58562</v>
      </c>
      <c r="W12214" t="s">
        <v>45864</v>
      </c>
      <c r="X12214" t="s">
        <v>46588</v>
      </c>
    </row>
    <row r="12215" spans="1:24">
      <c r="A12215">
        <f>HYPERLINK("https://www.philgeps.gov.ph/GEPSNONPILOT/Tender/SplashBidNoticeAbstractUI.aspx?menuIndex=3&amp;refID=7034934&amp;Result=3","7034934")</f>
        <v>0</v>
      </c>
      <c r="B12215" t="s">
        <v>3003</v>
      </c>
      <c r="C12215" t="s">
        <v>15113</v>
      </c>
      <c r="D12215" t="s">
        <v>18820</v>
      </c>
      <c r="E12215" t="s">
        <v>29386</v>
      </c>
      <c r="F12215" t="s">
        <v>32664</v>
      </c>
      <c r="G12215" t="s">
        <v>32672</v>
      </c>
      <c r="H12215" t="s">
        <v>12635</v>
      </c>
      <c r="I12215" t="s">
        <v>6628</v>
      </c>
      <c r="J12215" t="s">
        <v>32974</v>
      </c>
      <c r="K12215" t="s">
        <v>42303</v>
      </c>
      <c r="M12215" t="s">
        <v>45864</v>
      </c>
      <c r="N12215" t="s">
        <v>46569</v>
      </c>
      <c r="O12215" t="s">
        <v>46570</v>
      </c>
      <c r="P12215">
        <v>0</v>
      </c>
      <c r="Q12215">
        <v>4</v>
      </c>
      <c r="R12215" t="s">
        <v>46581</v>
      </c>
      <c r="S12215" t="s">
        <v>47012</v>
      </c>
      <c r="T12215" t="s">
        <v>48307</v>
      </c>
      <c r="U12215" t="s">
        <v>58562</v>
      </c>
      <c r="W12215" t="s">
        <v>45864</v>
      </c>
      <c r="X12215" t="s">
        <v>46588</v>
      </c>
    </row>
    <row r="12216" spans="1:24">
      <c r="A12216">
        <f>HYPERLINK("https://www.philgeps.gov.ph/GEPSNONPILOT/Tender/SplashBidNoticeAbstractUI.aspx?menuIndex=3&amp;refID=7035899&amp;Result=3","7035899")</f>
        <v>0</v>
      </c>
      <c r="B12216" t="s">
        <v>460</v>
      </c>
      <c r="C12216" t="s">
        <v>15114</v>
      </c>
      <c r="D12216" t="s">
        <v>18806</v>
      </c>
      <c r="E12216" t="s">
        <v>29387</v>
      </c>
      <c r="F12216" t="s">
        <v>32664</v>
      </c>
      <c r="G12216" t="s">
        <v>32672</v>
      </c>
      <c r="H12216" t="s">
        <v>12635</v>
      </c>
      <c r="I12216" t="s">
        <v>32704</v>
      </c>
      <c r="J12216" t="s">
        <v>34079</v>
      </c>
      <c r="K12216" t="s">
        <v>42330</v>
      </c>
      <c r="M12216" t="s">
        <v>43641</v>
      </c>
      <c r="N12216" t="s">
        <v>46569</v>
      </c>
      <c r="O12216" t="s">
        <v>46570</v>
      </c>
      <c r="Q12216">
        <v>3</v>
      </c>
      <c r="R12216" t="s">
        <v>46581</v>
      </c>
      <c r="S12216" t="s">
        <v>47021</v>
      </c>
      <c r="T12216" t="s">
        <v>48307</v>
      </c>
      <c r="U12216" t="s">
        <v>58583</v>
      </c>
      <c r="V12216" t="s">
        <v>61876</v>
      </c>
      <c r="W12216" t="s">
        <v>43641</v>
      </c>
      <c r="X12216" t="s">
        <v>46587</v>
      </c>
    </row>
    <row r="12217" spans="1:24">
      <c r="A12217">
        <f>HYPERLINK("https://www.philgeps.gov.ph/GEPSNONPILOT/Tender/SplashBidNoticeAbstractUI.aspx?menuIndex=3&amp;refID=7047073&amp;Result=3","7047073")</f>
        <v>0</v>
      </c>
      <c r="B12217" t="s">
        <v>1656</v>
      </c>
      <c r="C12217" t="s">
        <v>15115</v>
      </c>
      <c r="D12217" t="s">
        <v>18805</v>
      </c>
      <c r="E12217" t="s">
        <v>29388</v>
      </c>
      <c r="F12217" t="s">
        <v>32664</v>
      </c>
      <c r="G12217" t="s">
        <v>32671</v>
      </c>
      <c r="H12217" t="s">
        <v>12635</v>
      </c>
      <c r="I12217" t="s">
        <v>32684</v>
      </c>
      <c r="J12217" t="s">
        <v>34192</v>
      </c>
      <c r="K12217" t="s">
        <v>42306</v>
      </c>
      <c r="M12217" t="s">
        <v>44341</v>
      </c>
      <c r="N12217" t="s">
        <v>46569</v>
      </c>
      <c r="O12217" t="s">
        <v>46570</v>
      </c>
      <c r="P12217">
        <v>0</v>
      </c>
      <c r="Q12217">
        <v>1</v>
      </c>
      <c r="R12217" t="s">
        <v>46580</v>
      </c>
      <c r="S12217" t="s">
        <v>46986</v>
      </c>
      <c r="T12217" t="s">
        <v>48291</v>
      </c>
      <c r="U12217" t="s">
        <v>58584</v>
      </c>
      <c r="W12217" t="s">
        <v>44341</v>
      </c>
      <c r="X12217" t="s">
        <v>46581</v>
      </c>
    </row>
    <row r="12218" spans="1:24">
      <c r="A12218">
        <f>HYPERLINK("https://www.philgeps.gov.ph/GEPSNONPILOT/Tender/SplashBidNoticeAbstractUI.aspx?menuIndex=3&amp;refID=7029812&amp;Result=3","7029812")</f>
        <v>0</v>
      </c>
      <c r="B12218" t="s">
        <v>2155</v>
      </c>
      <c r="C12218" t="s">
        <v>15116</v>
      </c>
      <c r="D12218" t="s">
        <v>18832</v>
      </c>
      <c r="E12218" t="s">
        <v>29389</v>
      </c>
      <c r="F12218" t="s">
        <v>32664</v>
      </c>
      <c r="G12218" t="s">
        <v>32672</v>
      </c>
      <c r="H12218" t="s">
        <v>32683</v>
      </c>
      <c r="I12218" t="s">
        <v>10627</v>
      </c>
      <c r="J12218" t="s">
        <v>40016</v>
      </c>
      <c r="K12218" t="s">
        <v>42298</v>
      </c>
      <c r="M12218" t="s">
        <v>44912</v>
      </c>
      <c r="N12218" t="s">
        <v>46569</v>
      </c>
      <c r="O12218" t="s">
        <v>46570</v>
      </c>
      <c r="P12218">
        <v>0</v>
      </c>
      <c r="Q12218">
        <v>1</v>
      </c>
      <c r="R12218" t="s">
        <v>46581</v>
      </c>
      <c r="S12218" t="s">
        <v>47012</v>
      </c>
      <c r="T12218" t="s">
        <v>48309</v>
      </c>
      <c r="U12218" t="s">
        <v>58585</v>
      </c>
      <c r="W12218" t="s">
        <v>44912</v>
      </c>
      <c r="X12218" t="s">
        <v>46591</v>
      </c>
    </row>
    <row r="12219" spans="1:24">
      <c r="A12219">
        <f>HYPERLINK("https://www.philgeps.gov.ph/GEPSNONPILOT/Tender/SplashBidNoticeAbstractUI.aspx?menuIndex=3&amp;refID=7047065&amp;Result=3","7047065")</f>
        <v>0</v>
      </c>
      <c r="B12219" t="s">
        <v>3107</v>
      </c>
      <c r="C12219" t="s">
        <v>15117</v>
      </c>
      <c r="D12219" t="s">
        <v>18815</v>
      </c>
      <c r="E12219" t="s">
        <v>29390</v>
      </c>
      <c r="F12219" t="s">
        <v>32664</v>
      </c>
      <c r="G12219" t="s">
        <v>32672</v>
      </c>
      <c r="H12219" t="s">
        <v>32683</v>
      </c>
      <c r="I12219" t="s">
        <v>10627</v>
      </c>
      <c r="J12219" t="s">
        <v>40017</v>
      </c>
      <c r="K12219" t="s">
        <v>42281</v>
      </c>
      <c r="M12219" t="s">
        <v>45997</v>
      </c>
      <c r="N12219" t="s">
        <v>46569</v>
      </c>
      <c r="O12219" t="s">
        <v>46570</v>
      </c>
      <c r="P12219">
        <v>0</v>
      </c>
      <c r="Q12219">
        <v>0</v>
      </c>
      <c r="R12219" t="s">
        <v>46580</v>
      </c>
      <c r="S12219" t="s">
        <v>46986</v>
      </c>
      <c r="T12219" t="s">
        <v>48212</v>
      </c>
      <c r="U12219" t="s">
        <v>58586</v>
      </c>
      <c r="W12219" t="s">
        <v>45997</v>
      </c>
      <c r="X12219" t="s">
        <v>46581</v>
      </c>
    </row>
    <row r="12220" spans="1:24">
      <c r="A12220">
        <f>HYPERLINK("https://www.philgeps.gov.ph/GEPSNONPILOT/Tender/SplashBidNoticeAbstractUI.aspx?menuIndex=3&amp;refID=7047050&amp;Result=3","7047050")</f>
        <v>0</v>
      </c>
      <c r="B12220" t="s">
        <v>940</v>
      </c>
      <c r="C12220" t="s">
        <v>15118</v>
      </c>
      <c r="D12220" t="s">
        <v>18784</v>
      </c>
      <c r="E12220" t="s">
        <v>29391</v>
      </c>
      <c r="F12220" t="s">
        <v>32664</v>
      </c>
      <c r="G12220" t="s">
        <v>32672</v>
      </c>
      <c r="H12220" t="s">
        <v>12635</v>
      </c>
      <c r="I12220" t="s">
        <v>32734</v>
      </c>
      <c r="J12220" t="s">
        <v>33097</v>
      </c>
      <c r="K12220" t="s">
        <v>42291</v>
      </c>
      <c r="M12220" t="s">
        <v>46064</v>
      </c>
      <c r="N12220" t="s">
        <v>46569</v>
      </c>
      <c r="O12220" t="s">
        <v>46570</v>
      </c>
      <c r="P12220">
        <v>0</v>
      </c>
      <c r="Q12220">
        <v>11</v>
      </c>
      <c r="R12220" t="s">
        <v>46580</v>
      </c>
      <c r="S12220" t="s">
        <v>46986</v>
      </c>
      <c r="T12220" t="s">
        <v>48468</v>
      </c>
      <c r="U12220" t="s">
        <v>58587</v>
      </c>
      <c r="W12220" t="s">
        <v>46064</v>
      </c>
      <c r="X12220" t="s">
        <v>46581</v>
      </c>
    </row>
    <row r="12221" spans="1:24">
      <c r="A12221">
        <f>HYPERLINK("https://www.philgeps.gov.ph/GEPSNONPILOT/Tender/SplashBidNoticeAbstractUI.aspx?menuIndex=3&amp;refID=7035625&amp;Result=3","7035625")</f>
        <v>0</v>
      </c>
      <c r="B12221" t="s">
        <v>460</v>
      </c>
      <c r="C12221" t="s">
        <v>15119</v>
      </c>
      <c r="D12221" t="s">
        <v>18806</v>
      </c>
      <c r="E12221" t="s">
        <v>29392</v>
      </c>
      <c r="F12221" t="s">
        <v>32664</v>
      </c>
      <c r="G12221" t="s">
        <v>32672</v>
      </c>
      <c r="H12221" t="s">
        <v>12635</v>
      </c>
      <c r="I12221" t="s">
        <v>9486</v>
      </c>
      <c r="J12221" t="s">
        <v>40018</v>
      </c>
      <c r="K12221" t="s">
        <v>42330</v>
      </c>
      <c r="M12221" t="s">
        <v>43641</v>
      </c>
      <c r="N12221" t="s">
        <v>46569</v>
      </c>
      <c r="O12221" t="s">
        <v>46570</v>
      </c>
      <c r="Q12221">
        <v>2</v>
      </c>
      <c r="R12221" t="s">
        <v>46581</v>
      </c>
      <c r="S12221" t="s">
        <v>47022</v>
      </c>
      <c r="T12221" t="s">
        <v>48307</v>
      </c>
      <c r="U12221" t="s">
        <v>58588</v>
      </c>
      <c r="V12221" t="s">
        <v>61876</v>
      </c>
      <c r="W12221" t="s">
        <v>43641</v>
      </c>
      <c r="X12221" t="s">
        <v>46587</v>
      </c>
    </row>
    <row r="12222" spans="1:24">
      <c r="A12222">
        <f>HYPERLINK("https://www.philgeps.gov.ph/GEPSNONPILOT/Tender/SplashBidNoticeAbstractUI.aspx?menuIndex=3&amp;refID=7047049&amp;Result=3","7047049")</f>
        <v>0</v>
      </c>
      <c r="B12222" t="s">
        <v>999</v>
      </c>
      <c r="C12222" t="s">
        <v>15120</v>
      </c>
      <c r="D12222" t="s">
        <v>18782</v>
      </c>
      <c r="E12222" t="s">
        <v>29393</v>
      </c>
      <c r="F12222" t="s">
        <v>32664</v>
      </c>
      <c r="G12222" t="s">
        <v>32672</v>
      </c>
      <c r="H12222" t="s">
        <v>12635</v>
      </c>
      <c r="I12222" t="s">
        <v>11464</v>
      </c>
      <c r="J12222" t="s">
        <v>40019</v>
      </c>
      <c r="K12222" t="s">
        <v>42295</v>
      </c>
      <c r="M12222" t="s">
        <v>43611</v>
      </c>
      <c r="N12222" t="s">
        <v>46569</v>
      </c>
      <c r="O12222" t="s">
        <v>46570</v>
      </c>
      <c r="P12222">
        <v>0</v>
      </c>
      <c r="Q12222">
        <v>2</v>
      </c>
      <c r="R12222" t="s">
        <v>46580</v>
      </c>
      <c r="S12222" t="s">
        <v>46986</v>
      </c>
      <c r="T12222" t="s">
        <v>48284</v>
      </c>
      <c r="U12222" t="s">
        <v>58589</v>
      </c>
      <c r="W12222" t="s">
        <v>43611</v>
      </c>
      <c r="X12222" t="s">
        <v>46581</v>
      </c>
    </row>
    <row r="12223" spans="1:24">
      <c r="A12223">
        <f>HYPERLINK("https://www.philgeps.gov.ph/GEPSNONPILOT/Tender/SplashBidNoticeAbstractUI.aspx?menuIndex=3&amp;refID=7047036&amp;Result=3","7047036")</f>
        <v>0</v>
      </c>
      <c r="B12223" t="s">
        <v>3168</v>
      </c>
      <c r="C12223" t="s">
        <v>15121</v>
      </c>
      <c r="D12223" t="s">
        <v>18805</v>
      </c>
      <c r="E12223" t="s">
        <v>20953</v>
      </c>
      <c r="F12223" t="s">
        <v>32666</v>
      </c>
      <c r="G12223" t="s">
        <v>32672</v>
      </c>
      <c r="H12223" t="s">
        <v>12635</v>
      </c>
      <c r="I12223" t="s">
        <v>11464</v>
      </c>
      <c r="J12223" t="s">
        <v>32859</v>
      </c>
      <c r="K12223" t="s">
        <v>42284</v>
      </c>
      <c r="M12223" t="s">
        <v>46074</v>
      </c>
      <c r="N12223" t="s">
        <v>46569</v>
      </c>
      <c r="O12223" t="s">
        <v>46570</v>
      </c>
      <c r="P12223">
        <v>0</v>
      </c>
      <c r="Q12223">
        <v>0</v>
      </c>
      <c r="R12223" t="s">
        <v>46580</v>
      </c>
      <c r="S12223" t="s">
        <v>46986</v>
      </c>
      <c r="T12223" t="s">
        <v>48381</v>
      </c>
      <c r="U12223" t="s">
        <v>58590</v>
      </c>
      <c r="W12223" t="s">
        <v>46074</v>
      </c>
      <c r="X12223" t="s">
        <v>46581</v>
      </c>
    </row>
    <row r="12224" spans="1:24">
      <c r="A12224">
        <f>HYPERLINK("https://www.philgeps.gov.ph/GEPSNONPILOT/Tender/SplashBidNoticeAbstractUI.aspx?menuIndex=3&amp;refID=7035947&amp;Result=3","7035947")</f>
        <v>0</v>
      </c>
      <c r="B12224" t="s">
        <v>460</v>
      </c>
      <c r="C12224" t="s">
        <v>15122</v>
      </c>
      <c r="D12224" t="s">
        <v>18806</v>
      </c>
      <c r="E12224" t="s">
        <v>29394</v>
      </c>
      <c r="F12224" t="s">
        <v>32664</v>
      </c>
      <c r="G12224" t="s">
        <v>32672</v>
      </c>
      <c r="H12224" t="s">
        <v>12635</v>
      </c>
      <c r="I12224" t="s">
        <v>9486</v>
      </c>
      <c r="J12224" t="s">
        <v>40020</v>
      </c>
      <c r="K12224" t="s">
        <v>42330</v>
      </c>
      <c r="M12224" t="s">
        <v>43641</v>
      </c>
      <c r="N12224" t="s">
        <v>46569</v>
      </c>
      <c r="O12224" t="s">
        <v>46570</v>
      </c>
      <c r="Q12224">
        <v>3</v>
      </c>
      <c r="R12224" t="s">
        <v>46581</v>
      </c>
      <c r="S12224" t="s">
        <v>47023</v>
      </c>
      <c r="T12224" t="s">
        <v>48307</v>
      </c>
      <c r="U12224" t="s">
        <v>58591</v>
      </c>
      <c r="V12224" t="s">
        <v>61876</v>
      </c>
      <c r="W12224" t="s">
        <v>43641</v>
      </c>
      <c r="X12224" t="s">
        <v>46587</v>
      </c>
    </row>
    <row r="12225" spans="1:24">
      <c r="A12225">
        <f>HYPERLINK("https://www.philgeps.gov.ph/GEPSNONPILOT/Tender/SplashBidNoticeAbstractUI.aspx?menuIndex=3&amp;refID=7047048&amp;Result=3","7047048")</f>
        <v>0</v>
      </c>
      <c r="B12225" t="s">
        <v>3107</v>
      </c>
      <c r="C12225" t="s">
        <v>15123</v>
      </c>
      <c r="D12225" t="s">
        <v>18815</v>
      </c>
      <c r="E12225" t="s">
        <v>29395</v>
      </c>
      <c r="F12225" t="s">
        <v>32664</v>
      </c>
      <c r="G12225" t="s">
        <v>32672</v>
      </c>
      <c r="H12225" t="s">
        <v>32683</v>
      </c>
      <c r="I12225" t="s">
        <v>10627</v>
      </c>
      <c r="J12225" t="s">
        <v>40021</v>
      </c>
      <c r="K12225" t="s">
        <v>42359</v>
      </c>
      <c r="M12225" t="s">
        <v>45997</v>
      </c>
      <c r="N12225" t="s">
        <v>46569</v>
      </c>
      <c r="O12225" t="s">
        <v>46570</v>
      </c>
      <c r="P12225">
        <v>0</v>
      </c>
      <c r="Q12225">
        <v>0</v>
      </c>
      <c r="R12225" t="s">
        <v>46580</v>
      </c>
      <c r="S12225" t="s">
        <v>46986</v>
      </c>
      <c r="T12225" t="s">
        <v>48212</v>
      </c>
      <c r="U12225" t="s">
        <v>58592</v>
      </c>
      <c r="W12225" t="s">
        <v>45997</v>
      </c>
      <c r="X12225" t="s">
        <v>46581</v>
      </c>
    </row>
    <row r="12226" spans="1:24">
      <c r="A12226">
        <f>HYPERLINK("https://www.philgeps.gov.ph/GEPSNONPILOT/Tender/SplashBidNoticeAbstractUI.aspx?menuIndex=3&amp;refID=7046989&amp;Result=3","7046989")</f>
        <v>0</v>
      </c>
      <c r="B12226" t="s">
        <v>3169</v>
      </c>
      <c r="C12226" t="s">
        <v>15124</v>
      </c>
      <c r="D12226" t="s">
        <v>18827</v>
      </c>
      <c r="E12226" t="s">
        <v>29396</v>
      </c>
      <c r="F12226" t="s">
        <v>32664</v>
      </c>
      <c r="G12226" t="s">
        <v>32672</v>
      </c>
      <c r="H12226" t="s">
        <v>12635</v>
      </c>
      <c r="I12226" t="s">
        <v>32741</v>
      </c>
      <c r="J12226" t="s">
        <v>33761</v>
      </c>
      <c r="K12226" t="s">
        <v>42308</v>
      </c>
      <c r="M12226" t="s">
        <v>46075</v>
      </c>
      <c r="N12226" t="s">
        <v>46569</v>
      </c>
      <c r="O12226" t="s">
        <v>46570</v>
      </c>
      <c r="P12226">
        <v>0</v>
      </c>
      <c r="Q12226">
        <v>23</v>
      </c>
      <c r="R12226" t="s">
        <v>46580</v>
      </c>
      <c r="S12226" t="s">
        <v>46986</v>
      </c>
      <c r="T12226" t="s">
        <v>48284</v>
      </c>
      <c r="U12226" t="s">
        <v>58593</v>
      </c>
      <c r="W12226" t="s">
        <v>46075</v>
      </c>
      <c r="X12226" t="s">
        <v>46581</v>
      </c>
    </row>
    <row r="12227" spans="1:24">
      <c r="A12227">
        <f>HYPERLINK("https://www.philgeps.gov.ph/GEPSNONPILOT/Tender/SplashBidNoticeAbstractUI.aspx?menuIndex=3&amp;refID=7047072&amp;Result=3","7047072")</f>
        <v>0</v>
      </c>
      <c r="B12227" t="s">
        <v>3107</v>
      </c>
      <c r="C12227" t="s">
        <v>15125</v>
      </c>
      <c r="D12227" t="s">
        <v>18815</v>
      </c>
      <c r="E12227" t="s">
        <v>29397</v>
      </c>
      <c r="F12227" t="s">
        <v>32664</v>
      </c>
      <c r="G12227" t="s">
        <v>32672</v>
      </c>
      <c r="H12227" t="s">
        <v>32683</v>
      </c>
      <c r="I12227" t="s">
        <v>10627</v>
      </c>
      <c r="J12227" t="s">
        <v>33267</v>
      </c>
      <c r="K12227" t="s">
        <v>42482</v>
      </c>
      <c r="M12227" t="s">
        <v>45997</v>
      </c>
      <c r="N12227" t="s">
        <v>46569</v>
      </c>
      <c r="O12227" t="s">
        <v>46570</v>
      </c>
      <c r="P12227">
        <v>0</v>
      </c>
      <c r="Q12227">
        <v>0</v>
      </c>
      <c r="R12227" t="s">
        <v>46580</v>
      </c>
      <c r="S12227" t="s">
        <v>46986</v>
      </c>
      <c r="T12227" t="s">
        <v>48212</v>
      </c>
      <c r="U12227" t="s">
        <v>58594</v>
      </c>
      <c r="W12227" t="s">
        <v>45997</v>
      </c>
      <c r="X12227" t="s">
        <v>46581</v>
      </c>
    </row>
    <row r="12228" spans="1:24">
      <c r="A12228">
        <f>HYPERLINK("https://www.philgeps.gov.ph/GEPSNONPILOT/Tender/SplashBidNoticeAbstractUI.aspx?menuIndex=3&amp;refID=7046981&amp;Result=3","7046981")</f>
        <v>0</v>
      </c>
      <c r="B12228" t="s">
        <v>3165</v>
      </c>
      <c r="C12228" t="s">
        <v>15126</v>
      </c>
      <c r="D12228" t="s">
        <v>18806</v>
      </c>
      <c r="E12228" t="s">
        <v>29398</v>
      </c>
      <c r="F12228" t="s">
        <v>32664</v>
      </c>
      <c r="G12228" t="s">
        <v>32672</v>
      </c>
      <c r="H12228" t="s">
        <v>32683</v>
      </c>
      <c r="I12228" t="s">
        <v>10627</v>
      </c>
      <c r="J12228" t="s">
        <v>32859</v>
      </c>
      <c r="K12228" t="s">
        <v>42281</v>
      </c>
      <c r="M12228" t="s">
        <v>46067</v>
      </c>
      <c r="N12228" t="s">
        <v>46569</v>
      </c>
      <c r="O12228" t="s">
        <v>46570</v>
      </c>
      <c r="P12228">
        <v>0</v>
      </c>
      <c r="Q12228">
        <v>0</v>
      </c>
      <c r="R12228" t="s">
        <v>46580</v>
      </c>
      <c r="S12228" t="s">
        <v>46986</v>
      </c>
      <c r="T12228" t="s">
        <v>48487</v>
      </c>
      <c r="U12228" t="s">
        <v>58595</v>
      </c>
      <c r="W12228" t="s">
        <v>46067</v>
      </c>
      <c r="X12228" t="s">
        <v>46581</v>
      </c>
    </row>
    <row r="12229" spans="1:24">
      <c r="A12229">
        <f>HYPERLINK("https://www.philgeps.gov.ph/GEPSNONPILOT/Tender/SplashBidNoticeAbstractUI.aspx?menuIndex=3&amp;refID=7046962&amp;Result=3","7046962")</f>
        <v>0</v>
      </c>
      <c r="B12229" t="s">
        <v>3169</v>
      </c>
      <c r="C12229" t="s">
        <v>15127</v>
      </c>
      <c r="D12229" t="s">
        <v>18827</v>
      </c>
      <c r="E12229" t="s">
        <v>29399</v>
      </c>
      <c r="F12229" t="s">
        <v>32664</v>
      </c>
      <c r="G12229" t="s">
        <v>32672</v>
      </c>
      <c r="H12229" t="s">
        <v>12635</v>
      </c>
      <c r="I12229" t="s">
        <v>5589</v>
      </c>
      <c r="J12229" t="s">
        <v>40022</v>
      </c>
      <c r="K12229" t="s">
        <v>42308</v>
      </c>
      <c r="M12229" t="s">
        <v>46075</v>
      </c>
      <c r="N12229" t="s">
        <v>46569</v>
      </c>
      <c r="O12229" t="s">
        <v>46570</v>
      </c>
      <c r="P12229">
        <v>0</v>
      </c>
      <c r="Q12229">
        <v>20</v>
      </c>
      <c r="R12229" t="s">
        <v>46580</v>
      </c>
      <c r="S12229" t="s">
        <v>46986</v>
      </c>
      <c r="T12229" t="s">
        <v>48225</v>
      </c>
      <c r="U12229" t="s">
        <v>58596</v>
      </c>
      <c r="W12229" t="s">
        <v>46075</v>
      </c>
      <c r="X12229" t="s">
        <v>46581</v>
      </c>
    </row>
    <row r="12230" spans="1:24">
      <c r="A12230">
        <f>HYPERLINK("https://www.philgeps.gov.ph/GEPSNONPILOT/Tender/SplashBidNoticeAbstractUI.aspx?menuIndex=3&amp;refID=7046954&amp;Result=3","7046954")</f>
        <v>0</v>
      </c>
      <c r="B12230" t="s">
        <v>2433</v>
      </c>
      <c r="C12230" t="s">
        <v>15128</v>
      </c>
      <c r="D12230" t="s">
        <v>18842</v>
      </c>
      <c r="E12230" t="s">
        <v>29400</v>
      </c>
      <c r="F12230" t="s">
        <v>32664</v>
      </c>
      <c r="G12230" t="s">
        <v>32672</v>
      </c>
      <c r="H12230" t="s">
        <v>32683</v>
      </c>
      <c r="I12230" t="s">
        <v>10627</v>
      </c>
      <c r="J12230" t="s">
        <v>40023</v>
      </c>
      <c r="K12230" t="s">
        <v>42298</v>
      </c>
      <c r="M12230" t="s">
        <v>45225</v>
      </c>
      <c r="N12230" t="s">
        <v>46569</v>
      </c>
      <c r="O12230" t="s">
        <v>46570</v>
      </c>
      <c r="P12230">
        <v>0</v>
      </c>
      <c r="Q12230">
        <v>0</v>
      </c>
      <c r="R12230" t="s">
        <v>46580</v>
      </c>
      <c r="S12230" t="s">
        <v>46986</v>
      </c>
      <c r="T12230" t="s">
        <v>48410</v>
      </c>
      <c r="U12230" t="s">
        <v>58597</v>
      </c>
      <c r="W12230" t="s">
        <v>45225</v>
      </c>
      <c r="X12230" t="s">
        <v>46581</v>
      </c>
    </row>
    <row r="12231" spans="1:24">
      <c r="A12231">
        <f>HYPERLINK("https://www.philgeps.gov.ph/GEPSNONPILOT/Tender/SplashBidNoticeAbstractUI.aspx?menuIndex=3&amp;refID=7046942&amp;Result=3","7046942")</f>
        <v>0</v>
      </c>
      <c r="B12231" t="s">
        <v>2572</v>
      </c>
      <c r="C12231" t="s">
        <v>15129</v>
      </c>
      <c r="D12231" t="s">
        <v>18831</v>
      </c>
      <c r="E12231" t="s">
        <v>29401</v>
      </c>
      <c r="F12231" t="s">
        <v>32664</v>
      </c>
      <c r="G12231" t="s">
        <v>32672</v>
      </c>
      <c r="H12231" t="s">
        <v>32683</v>
      </c>
      <c r="I12231" t="s">
        <v>10627</v>
      </c>
      <c r="J12231" t="s">
        <v>40024</v>
      </c>
      <c r="K12231" t="s">
        <v>42298</v>
      </c>
      <c r="M12231" t="s">
        <v>45384</v>
      </c>
      <c r="N12231" t="s">
        <v>46569</v>
      </c>
      <c r="O12231" t="s">
        <v>46570</v>
      </c>
      <c r="P12231">
        <v>0</v>
      </c>
      <c r="Q12231">
        <v>1</v>
      </c>
      <c r="R12231" t="s">
        <v>46580</v>
      </c>
      <c r="S12231" t="s">
        <v>46986</v>
      </c>
      <c r="T12231" t="s">
        <v>48467</v>
      </c>
      <c r="U12231" t="s">
        <v>58598</v>
      </c>
      <c r="W12231" t="s">
        <v>45384</v>
      </c>
      <c r="X12231" t="s">
        <v>46581</v>
      </c>
    </row>
    <row r="12232" spans="1:24">
      <c r="A12232">
        <f>HYPERLINK("https://www.philgeps.gov.ph/GEPSNONPILOT/Tender/SplashBidNoticeAbstractUI.aspx?menuIndex=3&amp;refID=7046855&amp;Result=3","7046855")</f>
        <v>0</v>
      </c>
      <c r="B12232" t="s">
        <v>2558</v>
      </c>
      <c r="C12232" t="s">
        <v>15130</v>
      </c>
      <c r="D12232" t="s">
        <v>18846</v>
      </c>
      <c r="E12232" t="s">
        <v>29402</v>
      </c>
      <c r="F12232" t="s">
        <v>32664</v>
      </c>
      <c r="G12232" t="s">
        <v>32672</v>
      </c>
      <c r="H12232" t="s">
        <v>12635</v>
      </c>
      <c r="I12232" t="s">
        <v>32685</v>
      </c>
      <c r="J12232" t="s">
        <v>35587</v>
      </c>
      <c r="K12232" t="s">
        <v>42289</v>
      </c>
      <c r="M12232" t="s">
        <v>45369</v>
      </c>
      <c r="N12232" t="s">
        <v>46569</v>
      </c>
      <c r="O12232" t="s">
        <v>46570</v>
      </c>
      <c r="P12232">
        <v>0</v>
      </c>
      <c r="Q12232">
        <v>0</v>
      </c>
      <c r="R12232" t="s">
        <v>46580</v>
      </c>
      <c r="S12232" t="s">
        <v>46986</v>
      </c>
      <c r="T12232" t="s">
        <v>48212</v>
      </c>
      <c r="U12232" t="s">
        <v>58599</v>
      </c>
      <c r="W12232" t="s">
        <v>45369</v>
      </c>
      <c r="X12232" t="s">
        <v>46581</v>
      </c>
    </row>
    <row r="12233" spans="1:24">
      <c r="A12233">
        <f>HYPERLINK("https://www.philgeps.gov.ph/GEPSNONPILOT/Tender/SplashBidNoticeAbstractUI.aspx?menuIndex=3&amp;refID=7046850&amp;Result=3","7046850")</f>
        <v>0</v>
      </c>
      <c r="B12233" t="s">
        <v>29</v>
      </c>
      <c r="C12233" t="s">
        <v>15131</v>
      </c>
      <c r="D12233" t="s">
        <v>18784</v>
      </c>
      <c r="E12233" t="s">
        <v>29403</v>
      </c>
      <c r="F12233" t="s">
        <v>32664</v>
      </c>
      <c r="G12233" t="s">
        <v>32672</v>
      </c>
      <c r="H12233" t="s">
        <v>12635</v>
      </c>
      <c r="I12233" t="s">
        <v>9946</v>
      </c>
      <c r="J12233" t="s">
        <v>40025</v>
      </c>
      <c r="K12233" t="s">
        <v>42283</v>
      </c>
      <c r="M12233" t="s">
        <v>46076</v>
      </c>
      <c r="N12233" t="s">
        <v>46569</v>
      </c>
      <c r="O12233" t="s">
        <v>46570</v>
      </c>
      <c r="P12233">
        <v>0</v>
      </c>
      <c r="Q12233">
        <v>6</v>
      </c>
      <c r="R12233" t="s">
        <v>46580</v>
      </c>
      <c r="S12233" t="s">
        <v>46986</v>
      </c>
      <c r="T12233" t="s">
        <v>48238</v>
      </c>
      <c r="U12233" t="s">
        <v>58600</v>
      </c>
      <c r="W12233" t="s">
        <v>46076</v>
      </c>
      <c r="X12233" t="s">
        <v>46581</v>
      </c>
    </row>
    <row r="12234" spans="1:24">
      <c r="A12234">
        <f>HYPERLINK("https://www.philgeps.gov.ph/GEPSNONPILOT/Tender/SplashBidNoticeAbstractUI.aspx?menuIndex=3&amp;refID=7046990&amp;Result=3","7046990")</f>
        <v>0</v>
      </c>
      <c r="B12234" t="s">
        <v>749</v>
      </c>
      <c r="C12234" t="s">
        <v>15132</v>
      </c>
      <c r="D12234" t="s">
        <v>18788</v>
      </c>
      <c r="E12234" t="s">
        <v>29404</v>
      </c>
      <c r="F12234" t="s">
        <v>32664</v>
      </c>
      <c r="G12234" t="s">
        <v>32672</v>
      </c>
      <c r="H12234" t="s">
        <v>12635</v>
      </c>
      <c r="I12234" t="s">
        <v>5589</v>
      </c>
      <c r="J12234" t="s">
        <v>40026</v>
      </c>
      <c r="K12234" t="s">
        <v>42283</v>
      </c>
      <c r="M12234" t="s">
        <v>43339</v>
      </c>
      <c r="N12234" t="s">
        <v>46569</v>
      </c>
      <c r="O12234" t="s">
        <v>46570</v>
      </c>
      <c r="P12234">
        <v>0</v>
      </c>
      <c r="Q12234">
        <v>7</v>
      </c>
      <c r="R12234" t="s">
        <v>46580</v>
      </c>
      <c r="S12234" t="s">
        <v>46986</v>
      </c>
      <c r="T12234" t="s">
        <v>48284</v>
      </c>
      <c r="U12234" t="s">
        <v>58601</v>
      </c>
      <c r="W12234" t="s">
        <v>43339</v>
      </c>
      <c r="X12234" t="s">
        <v>46581</v>
      </c>
    </row>
    <row r="12235" spans="1:24">
      <c r="A12235">
        <f>HYPERLINK("https://www.philgeps.gov.ph/GEPSNONPILOT/Tender/SplashBidNoticeAbstractUI.aspx?menuIndex=3&amp;refID=7046848&amp;Result=3","7046848")</f>
        <v>0</v>
      </c>
      <c r="B12235" t="s">
        <v>2558</v>
      </c>
      <c r="C12235" t="s">
        <v>15133</v>
      </c>
      <c r="D12235" t="s">
        <v>18846</v>
      </c>
      <c r="E12235" t="s">
        <v>29405</v>
      </c>
      <c r="F12235" t="s">
        <v>32664</v>
      </c>
      <c r="G12235" t="s">
        <v>32672</v>
      </c>
      <c r="H12235" t="s">
        <v>12635</v>
      </c>
      <c r="I12235" t="s">
        <v>32706</v>
      </c>
      <c r="J12235" t="s">
        <v>40027</v>
      </c>
      <c r="K12235" t="s">
        <v>42289</v>
      </c>
      <c r="M12235" t="s">
        <v>45369</v>
      </c>
      <c r="N12235" t="s">
        <v>46569</v>
      </c>
      <c r="O12235" t="s">
        <v>46570</v>
      </c>
      <c r="P12235">
        <v>0</v>
      </c>
      <c r="Q12235">
        <v>0</v>
      </c>
      <c r="R12235" t="s">
        <v>46580</v>
      </c>
      <c r="S12235" t="s">
        <v>46986</v>
      </c>
      <c r="T12235" t="s">
        <v>48212</v>
      </c>
      <c r="U12235" t="s">
        <v>58602</v>
      </c>
      <c r="W12235" t="s">
        <v>45369</v>
      </c>
      <c r="X12235" t="s">
        <v>46581</v>
      </c>
    </row>
    <row r="12236" spans="1:24">
      <c r="A12236">
        <f>HYPERLINK("https://www.philgeps.gov.ph/GEPSNONPILOT/Tender/SplashBidNoticeAbstractUI.aspx?menuIndex=3&amp;refID=7046969&amp;Result=3","7046969")</f>
        <v>0</v>
      </c>
      <c r="B12236" t="s">
        <v>3170</v>
      </c>
      <c r="C12236" t="s">
        <v>15134</v>
      </c>
      <c r="D12236" t="s">
        <v>18789</v>
      </c>
      <c r="E12236" t="s">
        <v>19581</v>
      </c>
      <c r="F12236" t="s">
        <v>32664</v>
      </c>
      <c r="G12236" t="s">
        <v>32672</v>
      </c>
      <c r="H12236" t="s">
        <v>12635</v>
      </c>
      <c r="I12236" t="s">
        <v>32723</v>
      </c>
      <c r="J12236" t="s">
        <v>32930</v>
      </c>
      <c r="K12236" t="s">
        <v>42298</v>
      </c>
      <c r="M12236" t="s">
        <v>46077</v>
      </c>
      <c r="N12236" t="s">
        <v>46569</v>
      </c>
      <c r="O12236" t="s">
        <v>46570</v>
      </c>
      <c r="P12236">
        <v>0</v>
      </c>
      <c r="Q12236">
        <v>3</v>
      </c>
      <c r="R12236" t="s">
        <v>46580</v>
      </c>
      <c r="S12236" t="s">
        <v>46986</v>
      </c>
      <c r="T12236" t="s">
        <v>48419</v>
      </c>
      <c r="U12236" t="s">
        <v>58603</v>
      </c>
      <c r="V12236" t="s">
        <v>62959</v>
      </c>
      <c r="W12236" t="s">
        <v>46077</v>
      </c>
      <c r="X12236" t="s">
        <v>46581</v>
      </c>
    </row>
    <row r="12237" spans="1:24">
      <c r="A12237">
        <f>HYPERLINK("https://www.philgeps.gov.ph/GEPSNONPILOT/Tender/SplashBidNoticeAbstractUI.aspx?menuIndex=3&amp;refID=7046831&amp;Result=3","7046831")</f>
        <v>0</v>
      </c>
      <c r="B12237" t="s">
        <v>3171</v>
      </c>
      <c r="C12237" t="s">
        <v>15135</v>
      </c>
      <c r="D12237" t="s">
        <v>18804</v>
      </c>
      <c r="E12237" t="s">
        <v>29406</v>
      </c>
      <c r="F12237" t="s">
        <v>32664</v>
      </c>
      <c r="G12237" t="s">
        <v>32672</v>
      </c>
      <c r="H12237" t="s">
        <v>32683</v>
      </c>
      <c r="I12237" t="s">
        <v>10627</v>
      </c>
      <c r="J12237" t="s">
        <v>40028</v>
      </c>
      <c r="K12237" t="s">
        <v>42289</v>
      </c>
      <c r="M12237" t="s">
        <v>46078</v>
      </c>
      <c r="N12237" t="s">
        <v>46569</v>
      </c>
      <c r="O12237" t="s">
        <v>46570</v>
      </c>
      <c r="P12237">
        <v>0</v>
      </c>
      <c r="Q12237">
        <v>0</v>
      </c>
      <c r="R12237" t="s">
        <v>46580</v>
      </c>
      <c r="S12237" t="s">
        <v>46986</v>
      </c>
      <c r="T12237" t="s">
        <v>48282</v>
      </c>
      <c r="U12237" t="s">
        <v>58604</v>
      </c>
      <c r="W12237" t="s">
        <v>46078</v>
      </c>
      <c r="X12237" t="s">
        <v>46581</v>
      </c>
    </row>
    <row r="12238" spans="1:24">
      <c r="A12238">
        <f>HYPERLINK("https://www.philgeps.gov.ph/GEPSNONPILOT/Tender/SplashBidNoticeAbstractUI.aspx?menuIndex=3&amp;refID=7046987&amp;Result=3","7046987")</f>
        <v>0</v>
      </c>
      <c r="B12238" t="s">
        <v>3165</v>
      </c>
      <c r="C12238" t="s">
        <v>15136</v>
      </c>
      <c r="D12238" t="s">
        <v>18806</v>
      </c>
      <c r="E12238" t="s">
        <v>29407</v>
      </c>
      <c r="F12238" t="s">
        <v>32664</v>
      </c>
      <c r="G12238" t="s">
        <v>32672</v>
      </c>
      <c r="H12238" t="s">
        <v>32683</v>
      </c>
      <c r="I12238" t="s">
        <v>10627</v>
      </c>
      <c r="J12238" t="s">
        <v>32859</v>
      </c>
      <c r="K12238" t="s">
        <v>42281</v>
      </c>
      <c r="M12238" t="s">
        <v>46067</v>
      </c>
      <c r="N12238" t="s">
        <v>46569</v>
      </c>
      <c r="O12238" t="s">
        <v>46570</v>
      </c>
      <c r="P12238">
        <v>0</v>
      </c>
      <c r="Q12238">
        <v>2</v>
      </c>
      <c r="R12238" t="s">
        <v>46580</v>
      </c>
      <c r="S12238" t="s">
        <v>46986</v>
      </c>
      <c r="T12238" t="s">
        <v>48487</v>
      </c>
      <c r="U12238" t="s">
        <v>58605</v>
      </c>
      <c r="W12238" t="s">
        <v>46067</v>
      </c>
      <c r="X12238" t="s">
        <v>46581</v>
      </c>
    </row>
    <row r="12239" spans="1:24">
      <c r="A12239">
        <f>HYPERLINK("https://www.philgeps.gov.ph/GEPSNONPILOT/Tender/SplashBidNoticeAbstractUI.aspx?menuIndex=3&amp;refID=7046845&amp;Result=3","7046845")</f>
        <v>0</v>
      </c>
      <c r="B12239" t="s">
        <v>3152</v>
      </c>
      <c r="C12239" t="s">
        <v>15137</v>
      </c>
      <c r="D12239" t="s">
        <v>18802</v>
      </c>
      <c r="E12239" t="s">
        <v>22186</v>
      </c>
      <c r="F12239" t="s">
        <v>32664</v>
      </c>
      <c r="G12239" t="s">
        <v>32672</v>
      </c>
      <c r="H12239" t="s">
        <v>32683</v>
      </c>
      <c r="I12239" t="s">
        <v>10627</v>
      </c>
      <c r="J12239" t="s">
        <v>32943</v>
      </c>
      <c r="K12239" t="s">
        <v>42308</v>
      </c>
      <c r="M12239" t="s">
        <v>46049</v>
      </c>
      <c r="N12239" t="s">
        <v>46569</v>
      </c>
      <c r="O12239" t="s">
        <v>46570</v>
      </c>
      <c r="P12239">
        <v>0</v>
      </c>
      <c r="Q12239">
        <v>2</v>
      </c>
      <c r="R12239" t="s">
        <v>46580</v>
      </c>
      <c r="S12239" t="s">
        <v>46986</v>
      </c>
      <c r="T12239" t="s">
        <v>48238</v>
      </c>
      <c r="U12239" t="s">
        <v>58606</v>
      </c>
      <c r="W12239" t="s">
        <v>46049</v>
      </c>
      <c r="X12239" t="s">
        <v>46581</v>
      </c>
    </row>
    <row r="12240" spans="1:24">
      <c r="A12240">
        <f>HYPERLINK("https://www.philgeps.gov.ph/GEPSNONPILOT/Tender/SplashBidNoticeAbstractUI.aspx?menuIndex=3&amp;refID=7041265&amp;Result=3","7041265")</f>
        <v>0</v>
      </c>
      <c r="B12240" t="s">
        <v>460</v>
      </c>
      <c r="C12240" t="s">
        <v>15138</v>
      </c>
      <c r="D12240" t="s">
        <v>18806</v>
      </c>
      <c r="E12240" t="s">
        <v>29408</v>
      </c>
      <c r="F12240" t="s">
        <v>32664</v>
      </c>
      <c r="G12240" t="s">
        <v>32672</v>
      </c>
      <c r="H12240" t="s">
        <v>32683</v>
      </c>
      <c r="I12240" t="s">
        <v>10627</v>
      </c>
      <c r="J12240" t="s">
        <v>33951</v>
      </c>
      <c r="K12240" t="s">
        <v>42308</v>
      </c>
      <c r="M12240" t="s">
        <v>43035</v>
      </c>
      <c r="N12240" t="s">
        <v>46569</v>
      </c>
      <c r="O12240" t="s">
        <v>46570</v>
      </c>
      <c r="P12240">
        <v>0</v>
      </c>
      <c r="Q12240">
        <v>0</v>
      </c>
      <c r="R12240" t="s">
        <v>46581</v>
      </c>
      <c r="S12240" t="s">
        <v>47012</v>
      </c>
      <c r="T12240" t="s">
        <v>48453</v>
      </c>
      <c r="U12240" t="s">
        <v>57088</v>
      </c>
      <c r="V12240" t="s">
        <v>61668</v>
      </c>
      <c r="W12240" t="s">
        <v>43035</v>
      </c>
      <c r="X12240" t="s">
        <v>46585</v>
      </c>
    </row>
    <row r="12241" spans="1:24">
      <c r="A12241">
        <f>HYPERLINK("https://www.philgeps.gov.ph/GEPSNONPILOT/Tender/SplashBidNoticeAbstractUI.aspx?menuIndex=3&amp;refID=7041214&amp;Result=3","7041214")</f>
        <v>0</v>
      </c>
      <c r="B12241" t="s">
        <v>212</v>
      </c>
      <c r="C12241" t="s">
        <v>15139</v>
      </c>
      <c r="D12241" t="s">
        <v>18844</v>
      </c>
      <c r="E12241" t="s">
        <v>29409</v>
      </c>
      <c r="F12241" t="s">
        <v>32664</v>
      </c>
      <c r="G12241" t="s">
        <v>32672</v>
      </c>
      <c r="H12241" t="s">
        <v>32683</v>
      </c>
      <c r="I12241" t="s">
        <v>10627</v>
      </c>
      <c r="J12241" t="s">
        <v>40029</v>
      </c>
      <c r="K12241" t="s">
        <v>42322</v>
      </c>
      <c r="M12241" t="s">
        <v>45764</v>
      </c>
      <c r="N12241" t="s">
        <v>46569</v>
      </c>
      <c r="O12241" t="s">
        <v>46570</v>
      </c>
      <c r="P12241">
        <v>0</v>
      </c>
      <c r="Q12241">
        <v>0</v>
      </c>
      <c r="R12241" t="s">
        <v>46581</v>
      </c>
      <c r="S12241" t="s">
        <v>47012</v>
      </c>
      <c r="T12241" t="s">
        <v>48448</v>
      </c>
      <c r="U12241" t="s">
        <v>58607</v>
      </c>
      <c r="V12241" t="s">
        <v>62960</v>
      </c>
      <c r="W12241" t="s">
        <v>45764</v>
      </c>
      <c r="X12241" t="s">
        <v>46585</v>
      </c>
    </row>
    <row r="12242" spans="1:24">
      <c r="A12242">
        <f>HYPERLINK("https://www.philgeps.gov.ph/GEPSNONPILOT/Tender/SplashBidNoticeAbstractUI.aspx?menuIndex=3&amp;refID=7047087&amp;Result=3","7047087")</f>
        <v>0</v>
      </c>
      <c r="B12242" t="s">
        <v>3158</v>
      </c>
      <c r="C12242" t="s">
        <v>15140</v>
      </c>
      <c r="D12242" t="s">
        <v>18843</v>
      </c>
      <c r="E12242" t="s">
        <v>29410</v>
      </c>
      <c r="F12242" t="s">
        <v>32668</v>
      </c>
      <c r="G12242" t="s">
        <v>32672</v>
      </c>
      <c r="H12242" t="s">
        <v>12635</v>
      </c>
      <c r="I12242" t="s">
        <v>32784</v>
      </c>
      <c r="J12242" t="s">
        <v>40030</v>
      </c>
      <c r="K12242" t="s">
        <v>42281</v>
      </c>
      <c r="M12242" t="s">
        <v>46057</v>
      </c>
      <c r="N12242" t="s">
        <v>46569</v>
      </c>
      <c r="O12242" t="s">
        <v>46570</v>
      </c>
      <c r="Q12242">
        <v>3</v>
      </c>
      <c r="R12242" t="s">
        <v>46580</v>
      </c>
      <c r="S12242" t="s">
        <v>47024</v>
      </c>
      <c r="T12242" t="s">
        <v>48264</v>
      </c>
      <c r="U12242" t="s">
        <v>58608</v>
      </c>
      <c r="W12242" t="s">
        <v>46057</v>
      </c>
      <c r="X12242" t="s">
        <v>46581</v>
      </c>
    </row>
    <row r="12243" spans="1:24">
      <c r="A12243">
        <f>HYPERLINK("https://www.philgeps.gov.ph/GEPSNONPILOT/Tender/SplashBidNoticeAbstractUI.aspx?menuIndex=3&amp;refID=7046853&amp;Result=3","7046853")</f>
        <v>0</v>
      </c>
      <c r="B12243" t="s">
        <v>3163</v>
      </c>
      <c r="C12243" t="s">
        <v>15141</v>
      </c>
      <c r="D12243" t="s">
        <v>18791</v>
      </c>
      <c r="E12243" t="s">
        <v>29411</v>
      </c>
      <c r="F12243" t="s">
        <v>32664</v>
      </c>
      <c r="G12243" t="s">
        <v>32672</v>
      </c>
      <c r="H12243" t="s">
        <v>12635</v>
      </c>
      <c r="I12243" t="s">
        <v>4333</v>
      </c>
      <c r="J12243" t="s">
        <v>32865</v>
      </c>
      <c r="K12243" t="s">
        <v>42290</v>
      </c>
      <c r="M12243" t="s">
        <v>46065</v>
      </c>
      <c r="N12243" t="s">
        <v>46569</v>
      </c>
      <c r="O12243" t="s">
        <v>46570</v>
      </c>
      <c r="P12243">
        <v>0</v>
      </c>
      <c r="Q12243">
        <v>2</v>
      </c>
      <c r="R12243" t="s">
        <v>46580</v>
      </c>
      <c r="S12243" t="s">
        <v>46986</v>
      </c>
      <c r="T12243" t="s">
        <v>48702</v>
      </c>
      <c r="U12243" t="s">
        <v>58609</v>
      </c>
      <c r="W12243" t="s">
        <v>46065</v>
      </c>
      <c r="X12243" t="s">
        <v>46581</v>
      </c>
    </row>
    <row r="12244" spans="1:24">
      <c r="A12244">
        <f>HYPERLINK("https://www.philgeps.gov.ph/GEPSNONPILOT/Tender/SplashBidNoticeAbstractUI.aspx?menuIndex=3&amp;refID=7041171&amp;Result=3","7041171")</f>
        <v>0</v>
      </c>
      <c r="B12244" t="s">
        <v>212</v>
      </c>
      <c r="C12244" t="s">
        <v>15142</v>
      </c>
      <c r="D12244" t="s">
        <v>18844</v>
      </c>
      <c r="E12244" t="s">
        <v>29412</v>
      </c>
      <c r="F12244" t="s">
        <v>32664</v>
      </c>
      <c r="G12244" t="s">
        <v>32672</v>
      </c>
      <c r="H12244" t="s">
        <v>32683</v>
      </c>
      <c r="I12244" t="s">
        <v>10627</v>
      </c>
      <c r="J12244" t="s">
        <v>40031</v>
      </c>
      <c r="K12244" t="s">
        <v>42420</v>
      </c>
      <c r="M12244" t="s">
        <v>45764</v>
      </c>
      <c r="N12244" t="s">
        <v>46569</v>
      </c>
      <c r="O12244" t="s">
        <v>46570</v>
      </c>
      <c r="P12244">
        <v>0</v>
      </c>
      <c r="Q12244">
        <v>0</v>
      </c>
      <c r="R12244" t="s">
        <v>46581</v>
      </c>
      <c r="S12244" t="s">
        <v>47012</v>
      </c>
      <c r="T12244" t="s">
        <v>48448</v>
      </c>
      <c r="U12244" t="s">
        <v>58610</v>
      </c>
      <c r="V12244" t="s">
        <v>62961</v>
      </c>
      <c r="W12244" t="s">
        <v>45764</v>
      </c>
      <c r="X12244" t="s">
        <v>46585</v>
      </c>
    </row>
    <row r="12245" spans="1:24">
      <c r="A12245">
        <f>HYPERLINK("https://www.philgeps.gov.ph/GEPSNONPILOT/Tender/SplashBidNoticeAbstractUI.aspx?menuIndex=3&amp;refID=7041202&amp;Result=3","7041202")</f>
        <v>0</v>
      </c>
      <c r="B12245" t="s">
        <v>212</v>
      </c>
      <c r="C12245" t="s">
        <v>15143</v>
      </c>
      <c r="D12245" t="s">
        <v>18844</v>
      </c>
      <c r="E12245" t="s">
        <v>29413</v>
      </c>
      <c r="F12245" t="s">
        <v>32664</v>
      </c>
      <c r="G12245" t="s">
        <v>32672</v>
      </c>
      <c r="H12245" t="s">
        <v>32683</v>
      </c>
      <c r="I12245" t="s">
        <v>10627</v>
      </c>
      <c r="J12245" t="s">
        <v>40032</v>
      </c>
      <c r="K12245" t="s">
        <v>42383</v>
      </c>
      <c r="M12245" t="s">
        <v>45764</v>
      </c>
      <c r="N12245" t="s">
        <v>46569</v>
      </c>
      <c r="O12245" t="s">
        <v>46570</v>
      </c>
      <c r="P12245">
        <v>0</v>
      </c>
      <c r="Q12245">
        <v>0</v>
      </c>
      <c r="R12245" t="s">
        <v>46581</v>
      </c>
      <c r="S12245" t="s">
        <v>47012</v>
      </c>
      <c r="T12245" t="s">
        <v>48448</v>
      </c>
      <c r="U12245" t="s">
        <v>58611</v>
      </c>
      <c r="V12245" t="s">
        <v>62962</v>
      </c>
      <c r="W12245" t="s">
        <v>45764</v>
      </c>
      <c r="X12245" t="s">
        <v>46585</v>
      </c>
    </row>
    <row r="12246" spans="1:24">
      <c r="A12246">
        <f>HYPERLINK("https://www.philgeps.gov.ph/GEPSNONPILOT/Tender/SplashBidNoticeAbstractUI.aspx?menuIndex=3&amp;refID=7041156&amp;Result=3","7041156")</f>
        <v>0</v>
      </c>
      <c r="B12246" t="s">
        <v>460</v>
      </c>
      <c r="C12246" t="s">
        <v>15144</v>
      </c>
      <c r="D12246" t="s">
        <v>18806</v>
      </c>
      <c r="E12246" t="s">
        <v>29414</v>
      </c>
      <c r="F12246" t="s">
        <v>32664</v>
      </c>
      <c r="G12246" t="s">
        <v>32672</v>
      </c>
      <c r="H12246" t="s">
        <v>12635</v>
      </c>
      <c r="I12246" t="s">
        <v>32704</v>
      </c>
      <c r="J12246" t="s">
        <v>40033</v>
      </c>
      <c r="K12246" t="s">
        <v>42330</v>
      </c>
      <c r="M12246" t="s">
        <v>43641</v>
      </c>
      <c r="N12246" t="s">
        <v>46569</v>
      </c>
      <c r="O12246" t="s">
        <v>46570</v>
      </c>
      <c r="Q12246">
        <v>3</v>
      </c>
      <c r="R12246" t="s">
        <v>46581</v>
      </c>
      <c r="S12246" t="s">
        <v>47025</v>
      </c>
      <c r="T12246" t="s">
        <v>48307</v>
      </c>
      <c r="U12246" t="s">
        <v>58612</v>
      </c>
      <c r="V12246" t="s">
        <v>62824</v>
      </c>
      <c r="W12246" t="s">
        <v>43641</v>
      </c>
      <c r="X12246" t="s">
        <v>46585</v>
      </c>
    </row>
    <row r="12247" spans="1:24">
      <c r="A12247">
        <f>HYPERLINK("https://www.philgeps.gov.ph/GEPSNONPILOT/Tender/SplashBidNoticeAbstractUI.aspx?menuIndex=3&amp;refID=7041227&amp;Result=3","7041227")</f>
        <v>0</v>
      </c>
      <c r="B12247" t="s">
        <v>212</v>
      </c>
      <c r="C12247" t="s">
        <v>15145</v>
      </c>
      <c r="D12247" t="s">
        <v>18844</v>
      </c>
      <c r="E12247" t="s">
        <v>29415</v>
      </c>
      <c r="F12247" t="s">
        <v>32664</v>
      </c>
      <c r="G12247" t="s">
        <v>32672</v>
      </c>
      <c r="H12247" t="s">
        <v>32683</v>
      </c>
      <c r="I12247" t="s">
        <v>10627</v>
      </c>
      <c r="J12247" t="s">
        <v>40034</v>
      </c>
      <c r="K12247" t="s">
        <v>42325</v>
      </c>
      <c r="M12247" t="s">
        <v>45764</v>
      </c>
      <c r="N12247" t="s">
        <v>46569</v>
      </c>
      <c r="O12247" t="s">
        <v>46570</v>
      </c>
      <c r="P12247">
        <v>0</v>
      </c>
      <c r="Q12247">
        <v>0</v>
      </c>
      <c r="R12247" t="s">
        <v>46581</v>
      </c>
      <c r="S12247" t="s">
        <v>47012</v>
      </c>
      <c r="T12247" t="s">
        <v>48448</v>
      </c>
      <c r="U12247" t="s">
        <v>58613</v>
      </c>
      <c r="V12247" t="s">
        <v>62963</v>
      </c>
      <c r="W12247" t="s">
        <v>45764</v>
      </c>
      <c r="X12247" t="s">
        <v>46585</v>
      </c>
    </row>
    <row r="12248" spans="1:24">
      <c r="A12248">
        <f>HYPERLINK("https://www.philgeps.gov.ph/GEPSNONPILOT/Tender/SplashBidNoticeAbstractUI.aspx?menuIndex=3&amp;refID=7041188&amp;Result=3","7041188")</f>
        <v>0</v>
      </c>
      <c r="B12248" t="s">
        <v>309</v>
      </c>
      <c r="C12248" t="s">
        <v>15146</v>
      </c>
      <c r="D12248" t="s">
        <v>18848</v>
      </c>
      <c r="E12248" t="s">
        <v>29416</v>
      </c>
      <c r="F12248" t="s">
        <v>32664</v>
      </c>
      <c r="G12248" t="s">
        <v>32672</v>
      </c>
      <c r="H12248" t="s">
        <v>32683</v>
      </c>
      <c r="I12248" t="s">
        <v>10627</v>
      </c>
      <c r="J12248" t="s">
        <v>40035</v>
      </c>
      <c r="K12248" t="s">
        <v>42290</v>
      </c>
      <c r="M12248" t="s">
        <v>42876</v>
      </c>
      <c r="N12248" t="s">
        <v>46569</v>
      </c>
      <c r="O12248" t="s">
        <v>46570</v>
      </c>
      <c r="P12248">
        <v>0</v>
      </c>
      <c r="Q12248">
        <v>1</v>
      </c>
      <c r="R12248" t="s">
        <v>46581</v>
      </c>
      <c r="S12248" t="s">
        <v>47012</v>
      </c>
      <c r="T12248" t="s">
        <v>48303</v>
      </c>
      <c r="U12248" t="s">
        <v>58614</v>
      </c>
      <c r="V12248" t="s">
        <v>61694</v>
      </c>
      <c r="W12248" t="s">
        <v>42876</v>
      </c>
      <c r="X12248" t="s">
        <v>46585</v>
      </c>
    </row>
    <row r="12249" spans="1:24">
      <c r="A12249">
        <f>HYPERLINK("https://www.philgeps.gov.ph/GEPSNONPILOT/Tender/SplashBidNoticeAbstractUI.aspx?menuIndex=3&amp;refID=7041146&amp;Result=3","7041146")</f>
        <v>0</v>
      </c>
      <c r="B12249" t="s">
        <v>460</v>
      </c>
      <c r="C12249" t="s">
        <v>15147</v>
      </c>
      <c r="D12249" t="s">
        <v>18806</v>
      </c>
      <c r="E12249" t="s">
        <v>29417</v>
      </c>
      <c r="F12249" t="s">
        <v>32664</v>
      </c>
      <c r="G12249" t="s">
        <v>32672</v>
      </c>
      <c r="H12249" t="s">
        <v>12635</v>
      </c>
      <c r="I12249" t="s">
        <v>8797</v>
      </c>
      <c r="J12249" t="s">
        <v>40036</v>
      </c>
      <c r="K12249" t="s">
        <v>42330</v>
      </c>
      <c r="M12249" t="s">
        <v>43641</v>
      </c>
      <c r="N12249" t="s">
        <v>46569</v>
      </c>
      <c r="O12249" t="s">
        <v>46570</v>
      </c>
      <c r="Q12249">
        <v>4</v>
      </c>
      <c r="R12249" t="s">
        <v>46581</v>
      </c>
      <c r="S12249" t="s">
        <v>47026</v>
      </c>
      <c r="T12249" t="s">
        <v>48307</v>
      </c>
      <c r="U12249" t="s">
        <v>58615</v>
      </c>
      <c r="V12249" t="s">
        <v>62824</v>
      </c>
      <c r="W12249" t="s">
        <v>43641</v>
      </c>
      <c r="X12249" t="s">
        <v>46585</v>
      </c>
    </row>
    <row r="12250" spans="1:24">
      <c r="A12250">
        <f>HYPERLINK("https://www.philgeps.gov.ph/GEPSNONPILOT/Tender/SplashBidNoticeAbstractUI.aspx?menuIndex=3&amp;refID=7041130&amp;Result=3","7041130")</f>
        <v>0</v>
      </c>
      <c r="B12250" t="s">
        <v>460</v>
      </c>
      <c r="C12250" t="s">
        <v>15148</v>
      </c>
      <c r="D12250" t="s">
        <v>18806</v>
      </c>
      <c r="E12250" t="s">
        <v>29418</v>
      </c>
      <c r="F12250" t="s">
        <v>32664</v>
      </c>
      <c r="G12250" t="s">
        <v>32672</v>
      </c>
      <c r="H12250" t="s">
        <v>12635</v>
      </c>
      <c r="I12250" t="s">
        <v>32704</v>
      </c>
      <c r="J12250" t="s">
        <v>40037</v>
      </c>
      <c r="K12250" t="s">
        <v>42330</v>
      </c>
      <c r="M12250" t="s">
        <v>43641</v>
      </c>
      <c r="N12250" t="s">
        <v>46569</v>
      </c>
      <c r="O12250" t="s">
        <v>46570</v>
      </c>
      <c r="Q12250">
        <v>2</v>
      </c>
      <c r="R12250" t="s">
        <v>46581</v>
      </c>
      <c r="S12250" t="s">
        <v>47027</v>
      </c>
      <c r="T12250" t="s">
        <v>48307</v>
      </c>
      <c r="U12250" t="s">
        <v>58616</v>
      </c>
      <c r="V12250" t="s">
        <v>62824</v>
      </c>
      <c r="W12250" t="s">
        <v>43641</v>
      </c>
      <c r="X12250" t="s">
        <v>46585</v>
      </c>
    </row>
    <row r="12251" spans="1:24">
      <c r="A12251">
        <f>HYPERLINK("https://www.philgeps.gov.ph/GEPSNONPILOT/Tender/SplashBidNoticeAbstractUI.aspx?menuIndex=3&amp;refID=7034946&amp;Result=3","7034946")</f>
        <v>0</v>
      </c>
      <c r="B12251" t="s">
        <v>3003</v>
      </c>
      <c r="C12251" t="s">
        <v>15149</v>
      </c>
      <c r="D12251" t="s">
        <v>18820</v>
      </c>
      <c r="E12251" t="s">
        <v>29419</v>
      </c>
      <c r="F12251" t="s">
        <v>32664</v>
      </c>
      <c r="G12251" t="s">
        <v>32672</v>
      </c>
      <c r="H12251" t="s">
        <v>12635</v>
      </c>
      <c r="I12251" t="s">
        <v>5589</v>
      </c>
      <c r="J12251" t="s">
        <v>40038</v>
      </c>
      <c r="K12251" t="s">
        <v>42303</v>
      </c>
      <c r="M12251" t="s">
        <v>45864</v>
      </c>
      <c r="N12251" t="s">
        <v>46569</v>
      </c>
      <c r="O12251" t="s">
        <v>46570</v>
      </c>
      <c r="P12251">
        <v>0</v>
      </c>
      <c r="Q12251">
        <v>2</v>
      </c>
      <c r="R12251" t="s">
        <v>46581</v>
      </c>
      <c r="S12251" t="s">
        <v>47012</v>
      </c>
      <c r="T12251" t="s">
        <v>48307</v>
      </c>
      <c r="U12251" t="s">
        <v>58562</v>
      </c>
      <c r="W12251" t="s">
        <v>45864</v>
      </c>
      <c r="X12251" t="s">
        <v>46588</v>
      </c>
    </row>
    <row r="12252" spans="1:24">
      <c r="A12252">
        <f>HYPERLINK("https://www.philgeps.gov.ph/GEPSNONPILOT/Tender/SplashBidNoticeAbstractUI.aspx?menuIndex=3&amp;refID=7041161&amp;Result=3","7041161")</f>
        <v>0</v>
      </c>
      <c r="B12252" t="s">
        <v>212</v>
      </c>
      <c r="C12252" t="s">
        <v>15150</v>
      </c>
      <c r="D12252" t="s">
        <v>18844</v>
      </c>
      <c r="E12252" t="s">
        <v>29420</v>
      </c>
      <c r="F12252" t="s">
        <v>32664</v>
      </c>
      <c r="G12252" t="s">
        <v>32672</v>
      </c>
      <c r="H12252" t="s">
        <v>32683</v>
      </c>
      <c r="I12252" t="s">
        <v>10627</v>
      </c>
      <c r="J12252" t="s">
        <v>40039</v>
      </c>
      <c r="K12252" t="s">
        <v>42335</v>
      </c>
      <c r="M12252" t="s">
        <v>45764</v>
      </c>
      <c r="N12252" t="s">
        <v>46569</v>
      </c>
      <c r="O12252" t="s">
        <v>46570</v>
      </c>
      <c r="P12252">
        <v>0</v>
      </c>
      <c r="Q12252">
        <v>1</v>
      </c>
      <c r="R12252" t="s">
        <v>46581</v>
      </c>
      <c r="S12252" t="s">
        <v>47012</v>
      </c>
      <c r="T12252" t="s">
        <v>48448</v>
      </c>
      <c r="U12252" t="s">
        <v>58617</v>
      </c>
      <c r="V12252" t="s">
        <v>62964</v>
      </c>
      <c r="W12252" t="s">
        <v>45764</v>
      </c>
      <c r="X12252" t="s">
        <v>46585</v>
      </c>
    </row>
    <row r="12253" spans="1:24">
      <c r="A12253">
        <f>HYPERLINK("https://www.philgeps.gov.ph/GEPSNONPILOT/Tender/SplashBidNoticeAbstractUI.aspx?menuIndex=3&amp;refID=7041114&amp;Result=3","7041114")</f>
        <v>0</v>
      </c>
      <c r="B12253" t="s">
        <v>460</v>
      </c>
      <c r="C12253" t="s">
        <v>15151</v>
      </c>
      <c r="D12253" t="s">
        <v>18806</v>
      </c>
      <c r="E12253" t="s">
        <v>29421</v>
      </c>
      <c r="F12253" t="s">
        <v>32664</v>
      </c>
      <c r="G12253" t="s">
        <v>32672</v>
      </c>
      <c r="H12253" t="s">
        <v>12635</v>
      </c>
      <c r="I12253" t="s">
        <v>32704</v>
      </c>
      <c r="J12253" t="s">
        <v>40040</v>
      </c>
      <c r="K12253" t="s">
        <v>42330</v>
      </c>
      <c r="M12253" t="s">
        <v>43641</v>
      </c>
      <c r="N12253" t="s">
        <v>46569</v>
      </c>
      <c r="O12253" t="s">
        <v>46570</v>
      </c>
      <c r="Q12253">
        <v>4</v>
      </c>
      <c r="R12253" t="s">
        <v>46581</v>
      </c>
      <c r="S12253" t="s">
        <v>47028</v>
      </c>
      <c r="T12253" t="s">
        <v>48307</v>
      </c>
      <c r="U12253" t="s">
        <v>58618</v>
      </c>
      <c r="V12253" t="s">
        <v>62824</v>
      </c>
      <c r="W12253" t="s">
        <v>43641</v>
      </c>
      <c r="X12253" t="s">
        <v>46585</v>
      </c>
    </row>
    <row r="12254" spans="1:24">
      <c r="A12254">
        <f>HYPERLINK("https://www.philgeps.gov.ph/GEPSNONPILOT/Tender/SplashBidNoticeAbstractUI.aspx?menuIndex=3&amp;refID=7041187&amp;Result=3","7041187")</f>
        <v>0</v>
      </c>
      <c r="B12254" t="s">
        <v>212</v>
      </c>
      <c r="C12254" t="s">
        <v>15152</v>
      </c>
      <c r="D12254" t="s">
        <v>18844</v>
      </c>
      <c r="E12254" t="s">
        <v>29422</v>
      </c>
      <c r="F12254" t="s">
        <v>32664</v>
      </c>
      <c r="G12254" t="s">
        <v>32672</v>
      </c>
      <c r="H12254" t="s">
        <v>32683</v>
      </c>
      <c r="I12254" t="s">
        <v>10627</v>
      </c>
      <c r="J12254" t="s">
        <v>40041</v>
      </c>
      <c r="K12254" t="s">
        <v>42294</v>
      </c>
      <c r="M12254" t="s">
        <v>45764</v>
      </c>
      <c r="N12254" t="s">
        <v>46569</v>
      </c>
      <c r="O12254" t="s">
        <v>46570</v>
      </c>
      <c r="P12254">
        <v>0</v>
      </c>
      <c r="Q12254">
        <v>1</v>
      </c>
      <c r="R12254" t="s">
        <v>46581</v>
      </c>
      <c r="S12254" t="s">
        <v>47012</v>
      </c>
      <c r="T12254" t="s">
        <v>48448</v>
      </c>
      <c r="U12254" t="s">
        <v>58619</v>
      </c>
      <c r="V12254" t="s">
        <v>62965</v>
      </c>
      <c r="W12254" t="s">
        <v>45764</v>
      </c>
      <c r="X12254" t="s">
        <v>46585</v>
      </c>
    </row>
    <row r="12255" spans="1:24">
      <c r="A12255">
        <f>HYPERLINK("https://www.philgeps.gov.ph/GEPSNONPILOT/Tender/SplashBidNoticeAbstractUI.aspx?menuIndex=3&amp;refID=7041135&amp;Result=3","7041135")</f>
        <v>0</v>
      </c>
      <c r="B12255" t="s">
        <v>212</v>
      </c>
      <c r="C12255" t="s">
        <v>15153</v>
      </c>
      <c r="D12255" t="s">
        <v>18844</v>
      </c>
      <c r="E12255" t="s">
        <v>29423</v>
      </c>
      <c r="F12255" t="s">
        <v>32664</v>
      </c>
      <c r="G12255" t="s">
        <v>32672</v>
      </c>
      <c r="H12255" t="s">
        <v>32683</v>
      </c>
      <c r="I12255" t="s">
        <v>10627</v>
      </c>
      <c r="J12255" t="s">
        <v>40042</v>
      </c>
      <c r="K12255" t="s">
        <v>42417</v>
      </c>
      <c r="M12255" t="s">
        <v>45764</v>
      </c>
      <c r="N12255" t="s">
        <v>46569</v>
      </c>
      <c r="O12255" t="s">
        <v>46570</v>
      </c>
      <c r="P12255">
        <v>0</v>
      </c>
      <c r="Q12255">
        <v>1</v>
      </c>
      <c r="R12255" t="s">
        <v>46581</v>
      </c>
      <c r="S12255" t="s">
        <v>47012</v>
      </c>
      <c r="T12255" t="s">
        <v>48448</v>
      </c>
      <c r="U12255" t="s">
        <v>58620</v>
      </c>
      <c r="V12255" t="s">
        <v>62966</v>
      </c>
      <c r="W12255" t="s">
        <v>45764</v>
      </c>
      <c r="X12255" t="s">
        <v>46585</v>
      </c>
    </row>
    <row r="12256" spans="1:24">
      <c r="A12256">
        <f>HYPERLINK("https://www.philgeps.gov.ph/GEPSNONPILOT/Tender/SplashBidNoticeAbstractUI.aspx?menuIndex=3&amp;refID=7041125&amp;Result=3","7041125")</f>
        <v>0</v>
      </c>
      <c r="B12256" t="s">
        <v>460</v>
      </c>
      <c r="C12256" t="s">
        <v>15154</v>
      </c>
      <c r="D12256" t="s">
        <v>18806</v>
      </c>
      <c r="E12256" t="s">
        <v>29424</v>
      </c>
      <c r="F12256" t="s">
        <v>32664</v>
      </c>
      <c r="G12256" t="s">
        <v>32672</v>
      </c>
      <c r="H12256" t="s">
        <v>12635</v>
      </c>
      <c r="I12256" t="s">
        <v>32704</v>
      </c>
      <c r="J12256" t="s">
        <v>34326</v>
      </c>
      <c r="K12256" t="s">
        <v>42330</v>
      </c>
      <c r="M12256" t="s">
        <v>43641</v>
      </c>
      <c r="N12256" t="s">
        <v>46569</v>
      </c>
      <c r="O12256" t="s">
        <v>46570</v>
      </c>
      <c r="Q12256">
        <v>2</v>
      </c>
      <c r="R12256" t="s">
        <v>46581</v>
      </c>
      <c r="S12256" t="s">
        <v>47029</v>
      </c>
      <c r="T12256" t="s">
        <v>48307</v>
      </c>
      <c r="U12256" t="s">
        <v>58621</v>
      </c>
      <c r="V12256" t="s">
        <v>62824</v>
      </c>
      <c r="W12256" t="s">
        <v>43641</v>
      </c>
      <c r="X12256" t="s">
        <v>46585</v>
      </c>
    </row>
    <row r="12257" spans="1:24">
      <c r="A12257">
        <f>HYPERLINK("https://www.philgeps.gov.ph/GEPSNONPILOT/Tender/SplashBidNoticeAbstractUI.aspx?menuIndex=3&amp;refID=7046984&amp;Result=3","7046984")</f>
        <v>0</v>
      </c>
      <c r="B12257" t="s">
        <v>3165</v>
      </c>
      <c r="C12257" t="s">
        <v>15155</v>
      </c>
      <c r="D12257" t="s">
        <v>18806</v>
      </c>
      <c r="E12257" t="s">
        <v>29425</v>
      </c>
      <c r="F12257" t="s">
        <v>32664</v>
      </c>
      <c r="G12257" t="s">
        <v>32672</v>
      </c>
      <c r="H12257" t="s">
        <v>32683</v>
      </c>
      <c r="I12257" t="s">
        <v>10627</v>
      </c>
      <c r="J12257" t="s">
        <v>40043</v>
      </c>
      <c r="K12257" t="s">
        <v>42281</v>
      </c>
      <c r="M12257" t="s">
        <v>46067</v>
      </c>
      <c r="N12257" t="s">
        <v>46569</v>
      </c>
      <c r="O12257" t="s">
        <v>46570</v>
      </c>
      <c r="P12257">
        <v>0</v>
      </c>
      <c r="Q12257">
        <v>1</v>
      </c>
      <c r="R12257" t="s">
        <v>46580</v>
      </c>
      <c r="S12257" t="s">
        <v>46986</v>
      </c>
      <c r="T12257" t="s">
        <v>48487</v>
      </c>
      <c r="U12257" t="s">
        <v>58622</v>
      </c>
      <c r="W12257" t="s">
        <v>46067</v>
      </c>
      <c r="X12257" t="s">
        <v>46581</v>
      </c>
    </row>
    <row r="12258" spans="1:24">
      <c r="A12258">
        <f>HYPERLINK("https://www.philgeps.gov.ph/GEPSNONPILOT/Tender/SplashBidNoticeAbstractUI.aspx?menuIndex=3&amp;refID=7041149&amp;Result=3","7041149")</f>
        <v>0</v>
      </c>
      <c r="B12258" t="s">
        <v>212</v>
      </c>
      <c r="C12258" t="s">
        <v>15156</v>
      </c>
      <c r="D12258" t="s">
        <v>18844</v>
      </c>
      <c r="E12258" t="s">
        <v>29426</v>
      </c>
      <c r="F12258" t="s">
        <v>32664</v>
      </c>
      <c r="G12258" t="s">
        <v>32672</v>
      </c>
      <c r="H12258" t="s">
        <v>32683</v>
      </c>
      <c r="I12258" t="s">
        <v>10627</v>
      </c>
      <c r="J12258" t="s">
        <v>40044</v>
      </c>
      <c r="K12258" t="s">
        <v>42336</v>
      </c>
      <c r="M12258" t="s">
        <v>45764</v>
      </c>
      <c r="N12258" t="s">
        <v>46569</v>
      </c>
      <c r="O12258" t="s">
        <v>46570</v>
      </c>
      <c r="P12258">
        <v>0</v>
      </c>
      <c r="Q12258">
        <v>1</v>
      </c>
      <c r="R12258" t="s">
        <v>46581</v>
      </c>
      <c r="S12258" t="s">
        <v>47012</v>
      </c>
      <c r="T12258" t="s">
        <v>48448</v>
      </c>
      <c r="U12258" t="s">
        <v>58623</v>
      </c>
      <c r="V12258" t="s">
        <v>62967</v>
      </c>
      <c r="W12258" t="s">
        <v>45764</v>
      </c>
      <c r="X12258" t="s">
        <v>46585</v>
      </c>
    </row>
    <row r="12259" spans="1:24">
      <c r="A12259">
        <f>HYPERLINK("https://www.philgeps.gov.ph/GEPSNONPILOT/Tender/SplashBidNoticeAbstractUI.aspx?menuIndex=3&amp;refID=7042312&amp;Result=3","7042312")</f>
        <v>0</v>
      </c>
      <c r="B12259" t="s">
        <v>1411</v>
      </c>
      <c r="C12259" t="s">
        <v>15157</v>
      </c>
      <c r="D12259" t="s">
        <v>18790</v>
      </c>
      <c r="E12259" t="s">
        <v>29427</v>
      </c>
      <c r="F12259" t="s">
        <v>32664</v>
      </c>
      <c r="G12259" t="s">
        <v>32672</v>
      </c>
      <c r="H12259" t="s">
        <v>12635</v>
      </c>
      <c r="I12259" t="s">
        <v>10370</v>
      </c>
      <c r="J12259" t="s">
        <v>40045</v>
      </c>
      <c r="K12259" t="s">
        <v>42281</v>
      </c>
      <c r="M12259" t="s">
        <v>45443</v>
      </c>
      <c r="N12259" t="s">
        <v>46569</v>
      </c>
      <c r="O12259" t="s">
        <v>46570</v>
      </c>
      <c r="P12259">
        <v>0</v>
      </c>
      <c r="Q12259">
        <v>5</v>
      </c>
      <c r="R12259" t="s">
        <v>46581</v>
      </c>
      <c r="S12259" t="s">
        <v>47012</v>
      </c>
      <c r="T12259" t="s">
        <v>48212</v>
      </c>
      <c r="U12259" t="s">
        <v>58624</v>
      </c>
      <c r="W12259" t="s">
        <v>45443</v>
      </c>
      <c r="X12259" t="s">
        <v>46585</v>
      </c>
    </row>
    <row r="12260" spans="1:24">
      <c r="A12260">
        <f>HYPERLINK("https://www.philgeps.gov.ph/GEPSNONPILOT/Tender/SplashBidNoticeAbstractUI.aspx?menuIndex=3&amp;refID=7042241&amp;Result=3","7042241")</f>
        <v>0</v>
      </c>
      <c r="B12260" t="s">
        <v>667</v>
      </c>
      <c r="C12260" t="s">
        <v>15158</v>
      </c>
      <c r="D12260" t="s">
        <v>18843</v>
      </c>
      <c r="E12260" t="s">
        <v>29428</v>
      </c>
      <c r="F12260" t="s">
        <v>32664</v>
      </c>
      <c r="G12260" t="s">
        <v>32672</v>
      </c>
      <c r="H12260" t="s">
        <v>12635</v>
      </c>
      <c r="I12260" t="s">
        <v>8730</v>
      </c>
      <c r="J12260" t="s">
        <v>40046</v>
      </c>
      <c r="K12260" t="s">
        <v>42281</v>
      </c>
      <c r="M12260" t="s">
        <v>46079</v>
      </c>
      <c r="N12260" t="s">
        <v>46569</v>
      </c>
      <c r="O12260" t="s">
        <v>46570</v>
      </c>
      <c r="P12260">
        <v>0</v>
      </c>
      <c r="Q12260">
        <v>4</v>
      </c>
      <c r="R12260" t="s">
        <v>46581</v>
      </c>
      <c r="S12260" t="s">
        <v>47012</v>
      </c>
      <c r="T12260" t="s">
        <v>48221</v>
      </c>
      <c r="U12260" t="s">
        <v>58625</v>
      </c>
      <c r="W12260" t="s">
        <v>46079</v>
      </c>
      <c r="X12260" t="s">
        <v>46585</v>
      </c>
    </row>
    <row r="12261" spans="1:24">
      <c r="A12261">
        <f>HYPERLINK("https://www.philgeps.gov.ph/GEPSNONPILOT/Tender/SplashBidNoticeAbstractUI.aspx?menuIndex=3&amp;refID=7042226&amp;Result=3","7042226")</f>
        <v>0</v>
      </c>
      <c r="B12261" t="s">
        <v>1863</v>
      </c>
      <c r="C12261" t="s">
        <v>15159</v>
      </c>
      <c r="D12261" t="s">
        <v>18783</v>
      </c>
      <c r="E12261" t="s">
        <v>29429</v>
      </c>
      <c r="F12261" t="s">
        <v>32664</v>
      </c>
      <c r="G12261" t="s">
        <v>32672</v>
      </c>
      <c r="H12261" t="s">
        <v>32683</v>
      </c>
      <c r="I12261" t="s">
        <v>10627</v>
      </c>
      <c r="J12261" t="s">
        <v>40047</v>
      </c>
      <c r="K12261" t="s">
        <v>42372</v>
      </c>
      <c r="M12261" t="s">
        <v>44576</v>
      </c>
      <c r="N12261" t="s">
        <v>46569</v>
      </c>
      <c r="O12261" t="s">
        <v>46570</v>
      </c>
      <c r="P12261">
        <v>0</v>
      </c>
      <c r="Q12261">
        <v>2</v>
      </c>
      <c r="R12261" t="s">
        <v>46581</v>
      </c>
      <c r="S12261" t="s">
        <v>47012</v>
      </c>
      <c r="T12261" t="s">
        <v>48303</v>
      </c>
      <c r="U12261" t="s">
        <v>58626</v>
      </c>
      <c r="V12261" t="s">
        <v>62203</v>
      </c>
      <c r="W12261" t="s">
        <v>44576</v>
      </c>
      <c r="X12261" t="s">
        <v>46585</v>
      </c>
    </row>
    <row r="12262" spans="1:24">
      <c r="A12262">
        <f>HYPERLINK("https://www.philgeps.gov.ph/GEPSNONPILOT/Tender/SplashBidNoticeAbstractUI.aspx?menuIndex=3&amp;refID=7042396&amp;Result=3","7042396")</f>
        <v>0</v>
      </c>
      <c r="B12262" t="s">
        <v>1463</v>
      </c>
      <c r="C12262" t="s">
        <v>15160</v>
      </c>
      <c r="D12262" t="s">
        <v>18784</v>
      </c>
      <c r="E12262" t="s">
        <v>29430</v>
      </c>
      <c r="F12262" t="s">
        <v>32664</v>
      </c>
      <c r="G12262" t="s">
        <v>32672</v>
      </c>
      <c r="H12262" t="s">
        <v>12635</v>
      </c>
      <c r="I12262" t="s">
        <v>4439</v>
      </c>
      <c r="J12262" t="s">
        <v>40048</v>
      </c>
      <c r="K12262" t="s">
        <v>42281</v>
      </c>
      <c r="M12262" t="s">
        <v>44124</v>
      </c>
      <c r="N12262" t="s">
        <v>46569</v>
      </c>
      <c r="O12262" t="s">
        <v>46570</v>
      </c>
      <c r="P12262">
        <v>0</v>
      </c>
      <c r="Q12262">
        <v>9</v>
      </c>
      <c r="R12262" t="s">
        <v>46581</v>
      </c>
      <c r="S12262" t="s">
        <v>47012</v>
      </c>
      <c r="T12262" t="s">
        <v>48284</v>
      </c>
      <c r="U12262" t="s">
        <v>58627</v>
      </c>
      <c r="W12262" t="s">
        <v>44124</v>
      </c>
      <c r="X12262" t="s">
        <v>46585</v>
      </c>
    </row>
    <row r="12263" spans="1:24">
      <c r="A12263">
        <f>HYPERLINK("https://www.philgeps.gov.ph/GEPSNONPILOT/Tender/SplashBidNoticeAbstractUI.aspx?menuIndex=3&amp;refID=7042394&amp;Result=3","7042394")</f>
        <v>0</v>
      </c>
      <c r="B12263" t="s">
        <v>3172</v>
      </c>
      <c r="C12263" t="s">
        <v>15161</v>
      </c>
      <c r="D12263" t="s">
        <v>18816</v>
      </c>
      <c r="E12263" t="s">
        <v>29431</v>
      </c>
      <c r="F12263" t="s">
        <v>32664</v>
      </c>
      <c r="G12263" t="s">
        <v>32672</v>
      </c>
      <c r="H12263" t="s">
        <v>32683</v>
      </c>
      <c r="I12263" t="s">
        <v>10627</v>
      </c>
      <c r="J12263" t="s">
        <v>33127</v>
      </c>
      <c r="K12263" t="s">
        <v>42290</v>
      </c>
      <c r="M12263" t="s">
        <v>46080</v>
      </c>
      <c r="N12263" t="s">
        <v>46569</v>
      </c>
      <c r="O12263" t="s">
        <v>46570</v>
      </c>
      <c r="P12263">
        <v>0</v>
      </c>
      <c r="Q12263">
        <v>0</v>
      </c>
      <c r="R12263" t="s">
        <v>46581</v>
      </c>
      <c r="S12263" t="s">
        <v>47012</v>
      </c>
      <c r="T12263" t="s">
        <v>48248</v>
      </c>
      <c r="U12263" t="s">
        <v>58628</v>
      </c>
      <c r="W12263" t="s">
        <v>46080</v>
      </c>
      <c r="X12263" t="s">
        <v>46585</v>
      </c>
    </row>
    <row r="12264" spans="1:24">
      <c r="A12264">
        <f>HYPERLINK("https://www.philgeps.gov.ph/GEPSNONPILOT/Tender/SplashBidNoticeAbstractUI.aspx?menuIndex=3&amp;refID=7042081&amp;Result=3","7042081")</f>
        <v>0</v>
      </c>
      <c r="B12264" t="s">
        <v>1797</v>
      </c>
      <c r="C12264" t="s">
        <v>15162</v>
      </c>
      <c r="D12264" t="s">
        <v>18831</v>
      </c>
      <c r="E12264" t="s">
        <v>29432</v>
      </c>
      <c r="F12264" t="s">
        <v>32664</v>
      </c>
      <c r="G12264" t="s">
        <v>32672</v>
      </c>
      <c r="H12264" t="s">
        <v>12635</v>
      </c>
      <c r="I12264" t="s">
        <v>8797</v>
      </c>
      <c r="J12264" t="s">
        <v>32898</v>
      </c>
      <c r="K12264" t="s">
        <v>42281</v>
      </c>
      <c r="M12264" t="s">
        <v>44500</v>
      </c>
      <c r="N12264" t="s">
        <v>46569</v>
      </c>
      <c r="O12264" t="s">
        <v>46570</v>
      </c>
      <c r="P12264">
        <v>0</v>
      </c>
      <c r="Q12264">
        <v>1</v>
      </c>
      <c r="R12264" t="s">
        <v>46581</v>
      </c>
      <c r="S12264" t="s">
        <v>47012</v>
      </c>
      <c r="T12264" t="s">
        <v>48212</v>
      </c>
      <c r="U12264" t="s">
        <v>58629</v>
      </c>
      <c r="V12264" t="s">
        <v>62172</v>
      </c>
      <c r="W12264" t="s">
        <v>44500</v>
      </c>
      <c r="X12264" t="s">
        <v>46585</v>
      </c>
    </row>
    <row r="12265" spans="1:24">
      <c r="A12265">
        <f>HYPERLINK("https://www.philgeps.gov.ph/GEPSNONPILOT/Tender/SplashBidNoticeAbstractUI.aspx?menuIndex=3&amp;refID=7041939&amp;Result=3","7041939")</f>
        <v>0</v>
      </c>
      <c r="B12265" t="s">
        <v>2041</v>
      </c>
      <c r="C12265" t="s">
        <v>15163</v>
      </c>
      <c r="D12265" t="s">
        <v>18784</v>
      </c>
      <c r="E12265" t="s">
        <v>29433</v>
      </c>
      <c r="F12265" t="s">
        <v>32664</v>
      </c>
      <c r="G12265" t="s">
        <v>32672</v>
      </c>
      <c r="H12265" t="s">
        <v>12635</v>
      </c>
      <c r="I12265" t="s">
        <v>32689</v>
      </c>
      <c r="J12265" t="s">
        <v>40049</v>
      </c>
      <c r="K12265" t="s">
        <v>42281</v>
      </c>
      <c r="M12265" t="s">
        <v>46081</v>
      </c>
      <c r="N12265" t="s">
        <v>46569</v>
      </c>
      <c r="O12265" t="s">
        <v>46570</v>
      </c>
      <c r="Q12265">
        <v>6</v>
      </c>
      <c r="R12265" t="s">
        <v>46581</v>
      </c>
      <c r="S12265" t="s">
        <v>47030</v>
      </c>
      <c r="T12265" t="s">
        <v>48222</v>
      </c>
      <c r="U12265" t="s">
        <v>58630</v>
      </c>
      <c r="W12265" t="s">
        <v>46081</v>
      </c>
      <c r="X12265" t="s">
        <v>46585</v>
      </c>
    </row>
    <row r="12266" spans="1:24">
      <c r="A12266">
        <f>HYPERLINK("https://www.philgeps.gov.ph/GEPSNONPILOT/Tender/SplashBidNoticeAbstractUI.aspx?menuIndex=3&amp;refID=7041915&amp;Result=3","7041915")</f>
        <v>0</v>
      </c>
      <c r="B12266" t="s">
        <v>1976</v>
      </c>
      <c r="C12266" t="s">
        <v>15164</v>
      </c>
      <c r="D12266" t="s">
        <v>18806</v>
      </c>
      <c r="E12266" t="s">
        <v>29434</v>
      </c>
      <c r="F12266" t="s">
        <v>32664</v>
      </c>
      <c r="G12266" t="s">
        <v>32672</v>
      </c>
      <c r="H12266" t="s">
        <v>12635</v>
      </c>
      <c r="I12266" t="s">
        <v>4439</v>
      </c>
      <c r="J12266" t="s">
        <v>40050</v>
      </c>
      <c r="K12266" t="s">
        <v>42281</v>
      </c>
      <c r="M12266" t="s">
        <v>44710</v>
      </c>
      <c r="N12266" t="s">
        <v>46569</v>
      </c>
      <c r="O12266" t="s">
        <v>46570</v>
      </c>
      <c r="P12266">
        <v>0</v>
      </c>
      <c r="Q12266">
        <v>0</v>
      </c>
      <c r="R12266" t="s">
        <v>46581</v>
      </c>
      <c r="S12266" t="s">
        <v>47012</v>
      </c>
      <c r="T12266" t="s">
        <v>48260</v>
      </c>
      <c r="U12266" t="s">
        <v>58631</v>
      </c>
      <c r="W12266" t="s">
        <v>44710</v>
      </c>
      <c r="X12266" t="s">
        <v>46585</v>
      </c>
    </row>
    <row r="12267" spans="1:24">
      <c r="A12267">
        <f>HYPERLINK("https://www.philgeps.gov.ph/GEPSNONPILOT/Tender/SplashBidNoticeAbstractUI.aspx?menuIndex=3&amp;refID=7041908&amp;Result=3","7041908")</f>
        <v>0</v>
      </c>
      <c r="B12267" t="s">
        <v>951</v>
      </c>
      <c r="C12267" t="s">
        <v>15165</v>
      </c>
      <c r="D12267" t="s">
        <v>18787</v>
      </c>
      <c r="E12267" t="s">
        <v>29435</v>
      </c>
      <c r="F12267" t="s">
        <v>32664</v>
      </c>
      <c r="G12267" t="s">
        <v>32672</v>
      </c>
      <c r="H12267" t="s">
        <v>12635</v>
      </c>
      <c r="I12267" t="s">
        <v>32708</v>
      </c>
      <c r="J12267" t="s">
        <v>39440</v>
      </c>
      <c r="K12267" t="s">
        <v>42283</v>
      </c>
      <c r="M12267" t="s">
        <v>44587</v>
      </c>
      <c r="N12267" t="s">
        <v>46569</v>
      </c>
      <c r="O12267" t="s">
        <v>46570</v>
      </c>
      <c r="Q12267">
        <v>15</v>
      </c>
      <c r="R12267" t="s">
        <v>46581</v>
      </c>
      <c r="S12267" t="s">
        <v>47031</v>
      </c>
      <c r="T12267" t="s">
        <v>48303</v>
      </c>
      <c r="U12267" t="s">
        <v>58632</v>
      </c>
      <c r="W12267" t="s">
        <v>44587</v>
      </c>
      <c r="X12267" t="s">
        <v>46585</v>
      </c>
    </row>
    <row r="12268" spans="1:24">
      <c r="A12268">
        <f>HYPERLINK("https://www.philgeps.gov.ph/GEPSNONPILOT/Tender/SplashBidNoticeAbstractUI.aspx?menuIndex=3&amp;refID=7041483&amp;Result=3","7041483")</f>
        <v>0</v>
      </c>
      <c r="B12268" t="s">
        <v>3173</v>
      </c>
      <c r="C12268" t="s">
        <v>15166</v>
      </c>
      <c r="D12268" t="s">
        <v>18781</v>
      </c>
      <c r="E12268" t="s">
        <v>29282</v>
      </c>
      <c r="F12268" t="s">
        <v>32664</v>
      </c>
      <c r="G12268" t="s">
        <v>32672</v>
      </c>
      <c r="H12268" t="s">
        <v>32683</v>
      </c>
      <c r="I12268" t="s">
        <v>10627</v>
      </c>
      <c r="J12268" t="s">
        <v>33396</v>
      </c>
      <c r="K12268" t="s">
        <v>42281</v>
      </c>
      <c r="M12268" t="s">
        <v>46082</v>
      </c>
      <c r="N12268" t="s">
        <v>46569</v>
      </c>
      <c r="O12268" t="s">
        <v>46570</v>
      </c>
      <c r="P12268">
        <v>0</v>
      </c>
      <c r="Q12268">
        <v>0</v>
      </c>
      <c r="R12268" t="s">
        <v>46581</v>
      </c>
      <c r="S12268" t="s">
        <v>47012</v>
      </c>
      <c r="T12268" t="s">
        <v>48703</v>
      </c>
      <c r="U12268" t="s">
        <v>58633</v>
      </c>
      <c r="W12268" t="s">
        <v>46082</v>
      </c>
      <c r="X12268" t="s">
        <v>46585</v>
      </c>
    </row>
    <row r="12269" spans="1:24">
      <c r="A12269">
        <f>HYPERLINK("https://www.philgeps.gov.ph/GEPSNONPILOT/Tender/SplashBidNoticeAbstractUI.aspx?menuIndex=3&amp;refID=7041098&amp;Result=3","7041098")</f>
        <v>0</v>
      </c>
      <c r="B12269" t="s">
        <v>460</v>
      </c>
      <c r="C12269" t="s">
        <v>15167</v>
      </c>
      <c r="D12269" t="s">
        <v>18806</v>
      </c>
      <c r="E12269" t="s">
        <v>29436</v>
      </c>
      <c r="F12269" t="s">
        <v>32664</v>
      </c>
      <c r="G12269" t="s">
        <v>32672</v>
      </c>
      <c r="H12269" t="s">
        <v>12635</v>
      </c>
      <c r="I12269" t="s">
        <v>9486</v>
      </c>
      <c r="J12269" t="s">
        <v>40051</v>
      </c>
      <c r="K12269" t="s">
        <v>42330</v>
      </c>
      <c r="M12269" t="s">
        <v>43641</v>
      </c>
      <c r="N12269" t="s">
        <v>46569</v>
      </c>
      <c r="O12269" t="s">
        <v>46570</v>
      </c>
      <c r="Q12269">
        <v>3</v>
      </c>
      <c r="R12269" t="s">
        <v>46581</v>
      </c>
      <c r="S12269" t="s">
        <v>47032</v>
      </c>
      <c r="T12269" t="s">
        <v>48307</v>
      </c>
      <c r="U12269" t="s">
        <v>58634</v>
      </c>
      <c r="V12269" t="s">
        <v>62824</v>
      </c>
      <c r="W12269" t="s">
        <v>43641</v>
      </c>
      <c r="X12269" t="s">
        <v>46585</v>
      </c>
    </row>
    <row r="12270" spans="1:24">
      <c r="A12270">
        <f>HYPERLINK("https://www.philgeps.gov.ph/GEPSNONPILOT/Tender/SplashBidNoticeAbstractUI.aspx?menuIndex=3&amp;refID=7041410&amp;Result=3","7041410")</f>
        <v>0</v>
      </c>
      <c r="B12270" t="s">
        <v>3174</v>
      </c>
      <c r="C12270" t="s">
        <v>15168</v>
      </c>
      <c r="D12270" t="s">
        <v>18817</v>
      </c>
      <c r="E12270" t="s">
        <v>18926</v>
      </c>
      <c r="F12270" t="s">
        <v>32666</v>
      </c>
      <c r="G12270" t="s">
        <v>32672</v>
      </c>
      <c r="H12270" t="s">
        <v>32683</v>
      </c>
      <c r="I12270" t="s">
        <v>10627</v>
      </c>
      <c r="J12270" t="s">
        <v>33051</v>
      </c>
      <c r="K12270" t="s">
        <v>42281</v>
      </c>
      <c r="M12270" t="s">
        <v>46083</v>
      </c>
      <c r="N12270" t="s">
        <v>46569</v>
      </c>
      <c r="O12270" t="s">
        <v>46570</v>
      </c>
      <c r="P12270">
        <v>0</v>
      </c>
      <c r="Q12270">
        <v>0</v>
      </c>
      <c r="R12270" t="s">
        <v>46581</v>
      </c>
      <c r="S12270" t="s">
        <v>47012</v>
      </c>
      <c r="T12270" t="s">
        <v>48646</v>
      </c>
      <c r="U12270" t="s">
        <v>58635</v>
      </c>
      <c r="W12270" t="s">
        <v>46083</v>
      </c>
      <c r="X12270" t="s">
        <v>46585</v>
      </c>
    </row>
    <row r="12271" spans="1:24">
      <c r="A12271">
        <f>HYPERLINK("https://www.philgeps.gov.ph/GEPSNONPILOT/Tender/SplashBidNoticeAbstractUI.aspx?menuIndex=3&amp;refID=7042137&amp;Result=3","7042137")</f>
        <v>0</v>
      </c>
      <c r="B12271" t="s">
        <v>1994</v>
      </c>
      <c r="C12271" t="s">
        <v>15169</v>
      </c>
      <c r="E12271" t="s">
        <v>29437</v>
      </c>
      <c r="F12271" t="s">
        <v>32664</v>
      </c>
      <c r="G12271" t="s">
        <v>32672</v>
      </c>
      <c r="H12271" t="s">
        <v>12635</v>
      </c>
      <c r="I12271" t="s">
        <v>32704</v>
      </c>
      <c r="J12271" t="s">
        <v>40052</v>
      </c>
      <c r="K12271" t="s">
        <v>42283</v>
      </c>
      <c r="M12271" t="s">
        <v>46084</v>
      </c>
      <c r="N12271" t="s">
        <v>46569</v>
      </c>
      <c r="O12271" t="s">
        <v>46570</v>
      </c>
      <c r="P12271">
        <v>0</v>
      </c>
      <c r="Q12271">
        <v>40</v>
      </c>
      <c r="R12271" t="s">
        <v>46581</v>
      </c>
      <c r="S12271" t="s">
        <v>47012</v>
      </c>
      <c r="T12271" t="s">
        <v>48264</v>
      </c>
      <c r="U12271" t="s">
        <v>58636</v>
      </c>
      <c r="W12271" t="s">
        <v>46084</v>
      </c>
      <c r="X12271" t="s">
        <v>46585</v>
      </c>
    </row>
    <row r="12272" spans="1:24">
      <c r="A12272">
        <f>HYPERLINK("https://www.philgeps.gov.ph/GEPSNONPILOT/Tender/SplashBidNoticeAbstractUI.aspx?menuIndex=3&amp;refID=7041397&amp;Result=3","7041397")</f>
        <v>0</v>
      </c>
      <c r="B12272" t="s">
        <v>2022</v>
      </c>
      <c r="C12272" t="s">
        <v>15170</v>
      </c>
      <c r="D12272" t="s">
        <v>18806</v>
      </c>
      <c r="E12272" t="s">
        <v>29438</v>
      </c>
      <c r="F12272" t="s">
        <v>32664</v>
      </c>
      <c r="G12272" t="s">
        <v>32672</v>
      </c>
      <c r="H12272" t="s">
        <v>12635</v>
      </c>
      <c r="I12272" t="s">
        <v>32696</v>
      </c>
      <c r="J12272" t="s">
        <v>38200</v>
      </c>
      <c r="K12272" t="s">
        <v>42298</v>
      </c>
      <c r="M12272" t="s">
        <v>44764</v>
      </c>
      <c r="N12272" t="s">
        <v>46569</v>
      </c>
      <c r="O12272" t="s">
        <v>46570</v>
      </c>
      <c r="Q12272">
        <v>3</v>
      </c>
      <c r="R12272" t="s">
        <v>46581</v>
      </c>
      <c r="S12272" t="s">
        <v>47033</v>
      </c>
      <c r="T12272" t="s">
        <v>48354</v>
      </c>
      <c r="U12272" t="s">
        <v>58637</v>
      </c>
      <c r="W12272" t="s">
        <v>44764</v>
      </c>
      <c r="X12272" t="s">
        <v>46585</v>
      </c>
    </row>
    <row r="12273" spans="1:24">
      <c r="A12273">
        <f>HYPERLINK("https://www.philgeps.gov.ph/GEPSNONPILOT/Tender/SplashBidNoticeAbstractUI.aspx?menuIndex=3&amp;refID=7042892&amp;Result=3","7042892")</f>
        <v>0</v>
      </c>
      <c r="B12273" t="s">
        <v>611</v>
      </c>
      <c r="C12273" t="s">
        <v>15171</v>
      </c>
      <c r="E12273" t="s">
        <v>29439</v>
      </c>
      <c r="F12273" t="s">
        <v>32664</v>
      </c>
      <c r="G12273" t="s">
        <v>32672</v>
      </c>
      <c r="H12273" t="s">
        <v>12635</v>
      </c>
      <c r="I12273" t="s">
        <v>32704</v>
      </c>
      <c r="J12273" t="s">
        <v>37840</v>
      </c>
      <c r="K12273" t="s">
        <v>42298</v>
      </c>
      <c r="M12273" t="s">
        <v>45121</v>
      </c>
      <c r="N12273" t="s">
        <v>46569</v>
      </c>
      <c r="O12273" t="s">
        <v>46570</v>
      </c>
      <c r="P12273">
        <v>0</v>
      </c>
      <c r="Q12273">
        <v>43</v>
      </c>
      <c r="R12273" t="s">
        <v>46581</v>
      </c>
      <c r="S12273" t="s">
        <v>47012</v>
      </c>
      <c r="T12273" t="s">
        <v>48577</v>
      </c>
      <c r="U12273" t="s">
        <v>58638</v>
      </c>
      <c r="W12273" t="s">
        <v>45121</v>
      </c>
      <c r="X12273" t="s">
        <v>46585</v>
      </c>
    </row>
    <row r="12274" spans="1:24">
      <c r="A12274">
        <f>HYPERLINK("https://www.philgeps.gov.ph/GEPSNONPILOT/Tender/SplashBidNoticeAbstractUI.aspx?menuIndex=3&amp;refID=7042889&amp;Result=3","7042889")</f>
        <v>0</v>
      </c>
      <c r="B12274" t="s">
        <v>27</v>
      </c>
      <c r="C12274" t="s">
        <v>15172</v>
      </c>
      <c r="E12274" t="s">
        <v>29440</v>
      </c>
      <c r="F12274" t="s">
        <v>32664</v>
      </c>
      <c r="G12274" t="s">
        <v>32672</v>
      </c>
      <c r="H12274" t="s">
        <v>12635</v>
      </c>
      <c r="I12274" t="s">
        <v>32708</v>
      </c>
      <c r="J12274" t="s">
        <v>32974</v>
      </c>
      <c r="K12274" t="s">
        <v>42283</v>
      </c>
      <c r="M12274" t="s">
        <v>45953</v>
      </c>
      <c r="N12274" t="s">
        <v>46569</v>
      </c>
      <c r="O12274" t="s">
        <v>46570</v>
      </c>
      <c r="P12274">
        <v>0</v>
      </c>
      <c r="Q12274">
        <v>13</v>
      </c>
      <c r="R12274" t="s">
        <v>46581</v>
      </c>
      <c r="S12274" t="s">
        <v>47012</v>
      </c>
      <c r="T12274" t="s">
        <v>48343</v>
      </c>
      <c r="U12274" t="s">
        <v>58565</v>
      </c>
      <c r="W12274" t="s">
        <v>45953</v>
      </c>
      <c r="X12274" t="s">
        <v>46585</v>
      </c>
    </row>
    <row r="12275" spans="1:24">
      <c r="A12275">
        <f>HYPERLINK("https://www.philgeps.gov.ph/GEPSNONPILOT/Tender/SplashBidNoticeAbstractUI.aspx?menuIndex=3&amp;refID=7042871&amp;Result=3","7042871")</f>
        <v>0</v>
      </c>
      <c r="B12275" t="s">
        <v>2772</v>
      </c>
      <c r="C12275" t="s">
        <v>15173</v>
      </c>
      <c r="D12275" t="s">
        <v>18804</v>
      </c>
      <c r="E12275" t="s">
        <v>29441</v>
      </c>
      <c r="F12275" t="s">
        <v>32664</v>
      </c>
      <c r="G12275" t="s">
        <v>32672</v>
      </c>
      <c r="H12275" t="s">
        <v>32683</v>
      </c>
      <c r="I12275" t="s">
        <v>10627</v>
      </c>
      <c r="J12275" t="s">
        <v>40053</v>
      </c>
      <c r="K12275" t="s">
        <v>42290</v>
      </c>
      <c r="M12275" t="s">
        <v>45610</v>
      </c>
      <c r="N12275" t="s">
        <v>46569</v>
      </c>
      <c r="O12275" t="s">
        <v>46570</v>
      </c>
      <c r="P12275">
        <v>0</v>
      </c>
      <c r="Q12275">
        <v>0</v>
      </c>
      <c r="R12275" t="s">
        <v>46581</v>
      </c>
      <c r="S12275" t="s">
        <v>47012</v>
      </c>
      <c r="T12275" t="s">
        <v>48321</v>
      </c>
      <c r="U12275" t="s">
        <v>58639</v>
      </c>
      <c r="W12275" t="s">
        <v>45610</v>
      </c>
      <c r="X12275" t="s">
        <v>46585</v>
      </c>
    </row>
    <row r="12276" spans="1:24">
      <c r="A12276">
        <f>HYPERLINK("https://www.philgeps.gov.ph/GEPSNONPILOT/Tender/SplashBidNoticeAbstractUI.aspx?menuIndex=3&amp;refID=7041615&amp;Result=3","7041615")</f>
        <v>0</v>
      </c>
      <c r="B12276" t="s">
        <v>1439</v>
      </c>
      <c r="C12276" t="s">
        <v>15174</v>
      </c>
      <c r="D12276" t="s">
        <v>18807</v>
      </c>
      <c r="E12276" t="s">
        <v>29442</v>
      </c>
      <c r="F12276" t="s">
        <v>32664</v>
      </c>
      <c r="G12276" t="s">
        <v>32672</v>
      </c>
      <c r="H12276" t="s">
        <v>12635</v>
      </c>
      <c r="I12276" t="s">
        <v>5589</v>
      </c>
      <c r="J12276" t="s">
        <v>40054</v>
      </c>
      <c r="K12276" t="s">
        <v>42289</v>
      </c>
      <c r="M12276" t="s">
        <v>45829</v>
      </c>
      <c r="N12276" t="s">
        <v>46569</v>
      </c>
      <c r="O12276" t="s">
        <v>46570</v>
      </c>
      <c r="P12276">
        <v>0</v>
      </c>
      <c r="Q12276">
        <v>4</v>
      </c>
      <c r="R12276" t="s">
        <v>46581</v>
      </c>
      <c r="S12276" t="s">
        <v>47012</v>
      </c>
      <c r="T12276" t="s">
        <v>48467</v>
      </c>
      <c r="U12276" t="s">
        <v>58640</v>
      </c>
      <c r="W12276" t="s">
        <v>45829</v>
      </c>
      <c r="X12276" t="s">
        <v>46585</v>
      </c>
    </row>
    <row r="12277" spans="1:24">
      <c r="A12277">
        <f>HYPERLINK("https://www.philgeps.gov.ph/GEPSNONPILOT/Tender/SplashBidNoticeAbstractUI.aspx?menuIndex=3&amp;refID=7042862&amp;Result=3","7042862")</f>
        <v>0</v>
      </c>
      <c r="B12277" t="s">
        <v>611</v>
      </c>
      <c r="C12277" t="s">
        <v>15171</v>
      </c>
      <c r="E12277" t="s">
        <v>29443</v>
      </c>
      <c r="F12277" t="s">
        <v>32664</v>
      </c>
      <c r="G12277" t="s">
        <v>32672</v>
      </c>
      <c r="H12277" t="s">
        <v>12635</v>
      </c>
      <c r="I12277" t="s">
        <v>32704</v>
      </c>
      <c r="J12277" t="s">
        <v>40055</v>
      </c>
      <c r="K12277" t="s">
        <v>42298</v>
      </c>
      <c r="M12277" t="s">
        <v>45121</v>
      </c>
      <c r="N12277" t="s">
        <v>46569</v>
      </c>
      <c r="O12277" t="s">
        <v>46570</v>
      </c>
      <c r="P12277">
        <v>0</v>
      </c>
      <c r="Q12277">
        <v>46</v>
      </c>
      <c r="R12277" t="s">
        <v>46581</v>
      </c>
      <c r="S12277" t="s">
        <v>47012</v>
      </c>
      <c r="T12277" t="s">
        <v>48560</v>
      </c>
      <c r="U12277" t="s">
        <v>58638</v>
      </c>
      <c r="W12277" t="s">
        <v>45121</v>
      </c>
      <c r="X12277" t="s">
        <v>46585</v>
      </c>
    </row>
    <row r="12278" spans="1:24">
      <c r="A12278">
        <f>HYPERLINK("https://www.philgeps.gov.ph/GEPSNONPILOT/Tender/SplashBidNoticeAbstractUI.aspx?menuIndex=3&amp;refID=7042860&amp;Result=3","7042860")</f>
        <v>0</v>
      </c>
      <c r="B12278" t="s">
        <v>27</v>
      </c>
      <c r="C12278" t="s">
        <v>15175</v>
      </c>
      <c r="E12278" t="s">
        <v>29444</v>
      </c>
      <c r="F12278" t="s">
        <v>32664</v>
      </c>
      <c r="G12278" t="s">
        <v>32672</v>
      </c>
      <c r="H12278" t="s">
        <v>12635</v>
      </c>
      <c r="I12278" t="s">
        <v>32708</v>
      </c>
      <c r="J12278" t="s">
        <v>34038</v>
      </c>
      <c r="K12278" t="s">
        <v>42283</v>
      </c>
      <c r="M12278" t="s">
        <v>45953</v>
      </c>
      <c r="N12278" t="s">
        <v>46569</v>
      </c>
      <c r="O12278" t="s">
        <v>46570</v>
      </c>
      <c r="P12278">
        <v>0</v>
      </c>
      <c r="Q12278">
        <v>11</v>
      </c>
      <c r="R12278" t="s">
        <v>46581</v>
      </c>
      <c r="S12278" t="s">
        <v>47012</v>
      </c>
      <c r="T12278" t="s">
        <v>48343</v>
      </c>
      <c r="U12278" t="s">
        <v>58565</v>
      </c>
      <c r="W12278" t="s">
        <v>45953</v>
      </c>
      <c r="X12278" t="s">
        <v>46585</v>
      </c>
    </row>
    <row r="12279" spans="1:24">
      <c r="A12279">
        <f>HYPERLINK("https://www.philgeps.gov.ph/GEPSNONPILOT/Tender/SplashBidNoticeAbstractUI.aspx?menuIndex=3&amp;refID=7042856&amp;Result=3","7042856")</f>
        <v>0</v>
      </c>
      <c r="B12279" t="s">
        <v>2772</v>
      </c>
      <c r="C12279" t="s">
        <v>15176</v>
      </c>
      <c r="D12279" t="s">
        <v>18804</v>
      </c>
      <c r="E12279" t="s">
        <v>29445</v>
      </c>
      <c r="F12279" t="s">
        <v>32664</v>
      </c>
      <c r="G12279" t="s">
        <v>32672</v>
      </c>
      <c r="H12279" t="s">
        <v>32683</v>
      </c>
      <c r="I12279" t="s">
        <v>10627</v>
      </c>
      <c r="J12279" t="s">
        <v>40056</v>
      </c>
      <c r="K12279" t="s">
        <v>42349</v>
      </c>
      <c r="M12279" t="s">
        <v>45610</v>
      </c>
      <c r="N12279" t="s">
        <v>46569</v>
      </c>
      <c r="O12279" t="s">
        <v>46570</v>
      </c>
      <c r="P12279">
        <v>0</v>
      </c>
      <c r="Q12279">
        <v>2</v>
      </c>
      <c r="R12279" t="s">
        <v>46581</v>
      </c>
      <c r="S12279" t="s">
        <v>47012</v>
      </c>
      <c r="T12279" t="s">
        <v>48321</v>
      </c>
      <c r="U12279" t="s">
        <v>58641</v>
      </c>
      <c r="W12279" t="s">
        <v>45610</v>
      </c>
      <c r="X12279" t="s">
        <v>46585</v>
      </c>
    </row>
    <row r="12280" spans="1:24">
      <c r="A12280">
        <f>HYPERLINK("https://www.philgeps.gov.ph/GEPSNONPILOT/Tender/SplashBidNoticeAbstractUI.aspx?menuIndex=3&amp;refID=7042177&amp;Result=3","7042177")</f>
        <v>0</v>
      </c>
      <c r="B12280" t="s">
        <v>1788</v>
      </c>
      <c r="C12280" t="s">
        <v>15177</v>
      </c>
      <c r="D12280" t="s">
        <v>18802</v>
      </c>
      <c r="E12280" t="s">
        <v>29446</v>
      </c>
      <c r="F12280" t="s">
        <v>32664</v>
      </c>
      <c r="G12280" t="s">
        <v>32672</v>
      </c>
      <c r="H12280" t="s">
        <v>32683</v>
      </c>
      <c r="I12280" t="s">
        <v>10627</v>
      </c>
      <c r="J12280" t="s">
        <v>40057</v>
      </c>
      <c r="K12280" t="s">
        <v>42290</v>
      </c>
      <c r="M12280" t="s">
        <v>44490</v>
      </c>
      <c r="N12280" t="s">
        <v>46569</v>
      </c>
      <c r="O12280" t="s">
        <v>46570</v>
      </c>
      <c r="P12280">
        <v>0</v>
      </c>
      <c r="Q12280">
        <v>1</v>
      </c>
      <c r="R12280" t="s">
        <v>46581</v>
      </c>
      <c r="S12280" t="s">
        <v>47012</v>
      </c>
      <c r="T12280" t="s">
        <v>48236</v>
      </c>
      <c r="U12280" t="s">
        <v>58642</v>
      </c>
      <c r="W12280" t="s">
        <v>44490</v>
      </c>
      <c r="X12280" t="s">
        <v>46585</v>
      </c>
    </row>
    <row r="12281" spans="1:24">
      <c r="A12281">
        <f>HYPERLINK("https://www.philgeps.gov.ph/GEPSNONPILOT/Tender/SplashBidNoticeAbstractUI.aspx?menuIndex=3&amp;refID=7042783&amp;Result=3","7042783")</f>
        <v>0</v>
      </c>
      <c r="B12281" t="s">
        <v>27</v>
      </c>
      <c r="C12281" t="s">
        <v>15178</v>
      </c>
      <c r="E12281" t="s">
        <v>29447</v>
      </c>
      <c r="F12281" t="s">
        <v>32664</v>
      </c>
      <c r="G12281" t="s">
        <v>32672</v>
      </c>
      <c r="H12281" t="s">
        <v>12635</v>
      </c>
      <c r="I12281" t="s">
        <v>32708</v>
      </c>
      <c r="J12281" t="s">
        <v>35852</v>
      </c>
      <c r="K12281" t="s">
        <v>42283</v>
      </c>
      <c r="M12281" t="s">
        <v>45953</v>
      </c>
      <c r="N12281" t="s">
        <v>46569</v>
      </c>
      <c r="O12281" t="s">
        <v>46570</v>
      </c>
      <c r="P12281">
        <v>0</v>
      </c>
      <c r="Q12281">
        <v>14</v>
      </c>
      <c r="R12281" t="s">
        <v>46581</v>
      </c>
      <c r="S12281" t="s">
        <v>47012</v>
      </c>
      <c r="T12281" t="s">
        <v>48343</v>
      </c>
      <c r="U12281" t="s">
        <v>58565</v>
      </c>
      <c r="W12281" t="s">
        <v>45953</v>
      </c>
      <c r="X12281" t="s">
        <v>46585</v>
      </c>
    </row>
    <row r="12282" spans="1:24">
      <c r="A12282">
        <f>HYPERLINK("https://www.philgeps.gov.ph/GEPSNONPILOT/Tender/SplashBidNoticeAbstractUI.aspx?menuIndex=3&amp;refID=7042753&amp;Result=3","7042753")</f>
        <v>0</v>
      </c>
      <c r="B12282" t="s">
        <v>27</v>
      </c>
      <c r="C12282" t="s">
        <v>15179</v>
      </c>
      <c r="E12282" t="s">
        <v>29448</v>
      </c>
      <c r="F12282" t="s">
        <v>32664</v>
      </c>
      <c r="G12282" t="s">
        <v>32672</v>
      </c>
      <c r="H12282" t="s">
        <v>12635</v>
      </c>
      <c r="I12282" t="s">
        <v>32708</v>
      </c>
      <c r="J12282" t="s">
        <v>34806</v>
      </c>
      <c r="K12282" t="s">
        <v>42283</v>
      </c>
      <c r="M12282" t="s">
        <v>42589</v>
      </c>
      <c r="N12282" t="s">
        <v>46569</v>
      </c>
      <c r="O12282" t="s">
        <v>46570</v>
      </c>
      <c r="Q12282">
        <v>13</v>
      </c>
      <c r="R12282" t="s">
        <v>46581</v>
      </c>
      <c r="S12282" t="s">
        <v>47034</v>
      </c>
      <c r="T12282" t="s">
        <v>48236</v>
      </c>
      <c r="U12282" t="s">
        <v>58565</v>
      </c>
      <c r="W12282" t="s">
        <v>42589</v>
      </c>
      <c r="X12282" t="s">
        <v>46585</v>
      </c>
    </row>
    <row r="12283" spans="1:24">
      <c r="A12283">
        <f>HYPERLINK("https://www.philgeps.gov.ph/GEPSNONPILOT/Tender/SplashBidNoticeAbstractUI.aspx?menuIndex=3&amp;refID=7042684&amp;Result=3","7042684")</f>
        <v>0</v>
      </c>
      <c r="B12283" t="s">
        <v>822</v>
      </c>
      <c r="C12283" t="s">
        <v>15180</v>
      </c>
      <c r="E12283" t="s">
        <v>29449</v>
      </c>
      <c r="F12283" t="s">
        <v>32664</v>
      </c>
      <c r="G12283" t="s">
        <v>32672</v>
      </c>
      <c r="H12283" t="s">
        <v>12635</v>
      </c>
      <c r="I12283" t="s">
        <v>32712</v>
      </c>
      <c r="J12283" t="s">
        <v>40058</v>
      </c>
      <c r="K12283" t="s">
        <v>42283</v>
      </c>
      <c r="M12283" t="s">
        <v>44836</v>
      </c>
      <c r="N12283" t="s">
        <v>46569</v>
      </c>
      <c r="O12283" t="s">
        <v>46570</v>
      </c>
      <c r="Q12283">
        <v>53</v>
      </c>
      <c r="R12283" t="s">
        <v>46581</v>
      </c>
      <c r="S12283" t="s">
        <v>47035</v>
      </c>
      <c r="T12283" t="s">
        <v>48637</v>
      </c>
      <c r="U12283" t="s">
        <v>58643</v>
      </c>
      <c r="W12283" t="s">
        <v>44836</v>
      </c>
      <c r="X12283" t="s">
        <v>46585</v>
      </c>
    </row>
    <row r="12284" spans="1:24">
      <c r="A12284">
        <f>HYPERLINK("https://www.philgeps.gov.ph/GEPSNONPILOT/Tender/SplashBidNoticeAbstractUI.aspx?menuIndex=3&amp;refID=7042636&amp;Result=3","7042636")</f>
        <v>0</v>
      </c>
      <c r="B12284" t="s">
        <v>878</v>
      </c>
      <c r="C12284" t="s">
        <v>15181</v>
      </c>
      <c r="E12284" t="s">
        <v>29450</v>
      </c>
      <c r="F12284" t="s">
        <v>32664</v>
      </c>
      <c r="G12284" t="s">
        <v>32672</v>
      </c>
      <c r="H12284" t="s">
        <v>12635</v>
      </c>
      <c r="I12284" t="s">
        <v>5589</v>
      </c>
      <c r="J12284" t="s">
        <v>40059</v>
      </c>
      <c r="K12284" t="s">
        <v>42283</v>
      </c>
      <c r="M12284" t="s">
        <v>46085</v>
      </c>
      <c r="N12284" t="s">
        <v>46569</v>
      </c>
      <c r="O12284" t="s">
        <v>46570</v>
      </c>
      <c r="Q12284">
        <v>22</v>
      </c>
      <c r="R12284" t="s">
        <v>46581</v>
      </c>
      <c r="S12284" t="s">
        <v>47036</v>
      </c>
      <c r="T12284" t="s">
        <v>48284</v>
      </c>
      <c r="U12284" t="s">
        <v>58644</v>
      </c>
      <c r="W12284" t="s">
        <v>46085</v>
      </c>
      <c r="X12284" t="s">
        <v>46585</v>
      </c>
    </row>
    <row r="12285" spans="1:24">
      <c r="A12285">
        <f>HYPERLINK("https://www.philgeps.gov.ph/GEPSNONPILOT/Tender/SplashBidNoticeAbstractUI.aspx?menuIndex=3&amp;refID=7042220&amp;Result=3","7042220")</f>
        <v>0</v>
      </c>
      <c r="B12285" t="s">
        <v>2275</v>
      </c>
      <c r="C12285" t="s">
        <v>15182</v>
      </c>
      <c r="D12285" t="s">
        <v>18784</v>
      </c>
      <c r="E12285" t="s">
        <v>29451</v>
      </c>
      <c r="F12285" t="s">
        <v>32664</v>
      </c>
      <c r="G12285" t="s">
        <v>32672</v>
      </c>
      <c r="H12285" t="s">
        <v>12635</v>
      </c>
      <c r="I12285" t="s">
        <v>9486</v>
      </c>
      <c r="J12285" t="s">
        <v>40060</v>
      </c>
      <c r="K12285" t="s">
        <v>42311</v>
      </c>
      <c r="M12285" t="s">
        <v>46086</v>
      </c>
      <c r="N12285" t="s">
        <v>46569</v>
      </c>
      <c r="O12285" t="s">
        <v>46570</v>
      </c>
      <c r="P12285">
        <v>0</v>
      </c>
      <c r="Q12285">
        <v>15</v>
      </c>
      <c r="R12285" t="s">
        <v>46581</v>
      </c>
      <c r="S12285" t="s">
        <v>47012</v>
      </c>
      <c r="T12285" t="s">
        <v>48238</v>
      </c>
      <c r="U12285" t="s">
        <v>58645</v>
      </c>
      <c r="W12285" t="s">
        <v>46086</v>
      </c>
      <c r="X12285" t="s">
        <v>46585</v>
      </c>
    </row>
    <row r="12286" spans="1:24">
      <c r="A12286">
        <f>HYPERLINK("https://www.philgeps.gov.ph/GEPSNONPILOT/Tender/SplashBidNoticeAbstractUI.aspx?menuIndex=3&amp;refID=7042632&amp;Result=3","7042632")</f>
        <v>0</v>
      </c>
      <c r="B12286" t="s">
        <v>822</v>
      </c>
      <c r="C12286" t="s">
        <v>15183</v>
      </c>
      <c r="E12286" t="s">
        <v>29452</v>
      </c>
      <c r="F12286" t="s">
        <v>32664</v>
      </c>
      <c r="G12286" t="s">
        <v>32672</v>
      </c>
      <c r="H12286" t="s">
        <v>12635</v>
      </c>
      <c r="I12286" t="s">
        <v>32779</v>
      </c>
      <c r="J12286" t="s">
        <v>40061</v>
      </c>
      <c r="K12286" t="s">
        <v>42283</v>
      </c>
      <c r="M12286" t="s">
        <v>44836</v>
      </c>
      <c r="N12286" t="s">
        <v>46569</v>
      </c>
      <c r="O12286" t="s">
        <v>46570</v>
      </c>
      <c r="Q12286">
        <v>7</v>
      </c>
      <c r="R12286" t="s">
        <v>46581</v>
      </c>
      <c r="S12286" t="s">
        <v>47037</v>
      </c>
      <c r="T12286" t="s">
        <v>48414</v>
      </c>
      <c r="U12286" t="s">
        <v>58646</v>
      </c>
      <c r="W12286" t="s">
        <v>44836</v>
      </c>
      <c r="X12286" t="s">
        <v>46585</v>
      </c>
    </row>
    <row r="12287" spans="1:24">
      <c r="A12287">
        <f>HYPERLINK("https://www.philgeps.gov.ph/GEPSNONPILOT/Tender/SplashBidNoticeAbstractUI.aspx?menuIndex=3&amp;refID=7042610&amp;Result=3","7042610")</f>
        <v>0</v>
      </c>
      <c r="B12287" t="s">
        <v>2032</v>
      </c>
      <c r="C12287" t="s">
        <v>15184</v>
      </c>
      <c r="E12287" t="s">
        <v>29453</v>
      </c>
      <c r="F12287" t="s">
        <v>32664</v>
      </c>
      <c r="G12287" t="s">
        <v>32678</v>
      </c>
      <c r="H12287" t="s">
        <v>32681</v>
      </c>
      <c r="I12287" t="s">
        <v>32681</v>
      </c>
      <c r="J12287" t="s">
        <v>34518</v>
      </c>
      <c r="K12287" t="s">
        <v>42283</v>
      </c>
      <c r="M12287" t="s">
        <v>44776</v>
      </c>
      <c r="N12287" t="s">
        <v>46569</v>
      </c>
      <c r="O12287" t="s">
        <v>46570</v>
      </c>
      <c r="P12287">
        <v>0</v>
      </c>
      <c r="Q12287">
        <v>4</v>
      </c>
      <c r="R12287" t="s">
        <v>46581</v>
      </c>
      <c r="S12287" t="s">
        <v>47012</v>
      </c>
      <c r="T12287" t="s">
        <v>48704</v>
      </c>
      <c r="U12287" t="s">
        <v>58647</v>
      </c>
      <c r="W12287" t="s">
        <v>44776</v>
      </c>
      <c r="X12287" t="s">
        <v>46585</v>
      </c>
    </row>
    <row r="12288" spans="1:24">
      <c r="A12288">
        <f>HYPERLINK("https://www.philgeps.gov.ph/GEPSNONPILOT/Tender/SplashBidNoticeAbstractUI.aspx?menuIndex=3&amp;refID=7041084&amp;Result=3","7041084")</f>
        <v>0</v>
      </c>
      <c r="B12288" t="s">
        <v>460</v>
      </c>
      <c r="C12288" t="s">
        <v>15185</v>
      </c>
      <c r="D12288" t="s">
        <v>18806</v>
      </c>
      <c r="E12288" t="s">
        <v>29454</v>
      </c>
      <c r="F12288" t="s">
        <v>32664</v>
      </c>
      <c r="G12288" t="s">
        <v>32672</v>
      </c>
      <c r="H12288" t="s">
        <v>12635</v>
      </c>
      <c r="I12288" t="s">
        <v>9486</v>
      </c>
      <c r="J12288" t="s">
        <v>35111</v>
      </c>
      <c r="K12288" t="s">
        <v>42330</v>
      </c>
      <c r="M12288" t="s">
        <v>43641</v>
      </c>
      <c r="N12288" t="s">
        <v>46569</v>
      </c>
      <c r="O12288" t="s">
        <v>46570</v>
      </c>
      <c r="Q12288">
        <v>1</v>
      </c>
      <c r="R12288" t="s">
        <v>46581</v>
      </c>
      <c r="S12288" t="s">
        <v>47038</v>
      </c>
      <c r="T12288" t="s">
        <v>48307</v>
      </c>
      <c r="U12288" t="s">
        <v>58648</v>
      </c>
      <c r="V12288" t="s">
        <v>62824</v>
      </c>
      <c r="W12288" t="s">
        <v>43641</v>
      </c>
      <c r="X12288" t="s">
        <v>46585</v>
      </c>
    </row>
    <row r="12289" spans="1:24">
      <c r="A12289">
        <f>HYPERLINK("https://www.philgeps.gov.ph/GEPSNONPILOT/Tender/SplashBidNoticeAbstractUI.aspx?menuIndex=3&amp;refID=7042604&amp;Result=3","7042604")</f>
        <v>0</v>
      </c>
      <c r="B12289" t="s">
        <v>667</v>
      </c>
      <c r="C12289" t="s">
        <v>15186</v>
      </c>
      <c r="D12289" t="s">
        <v>18843</v>
      </c>
      <c r="E12289" t="s">
        <v>29455</v>
      </c>
      <c r="F12289" t="s">
        <v>32664</v>
      </c>
      <c r="G12289" t="s">
        <v>32672</v>
      </c>
      <c r="H12289" t="s">
        <v>12635</v>
      </c>
      <c r="I12289" t="s">
        <v>8730</v>
      </c>
      <c r="J12289" t="s">
        <v>40062</v>
      </c>
      <c r="K12289" t="s">
        <v>42281</v>
      </c>
      <c r="M12289" t="s">
        <v>46079</v>
      </c>
      <c r="N12289" t="s">
        <v>46569</v>
      </c>
      <c r="O12289" t="s">
        <v>46570</v>
      </c>
      <c r="P12289">
        <v>0</v>
      </c>
      <c r="Q12289">
        <v>5</v>
      </c>
      <c r="R12289" t="s">
        <v>46581</v>
      </c>
      <c r="S12289" t="s">
        <v>47012</v>
      </c>
      <c r="T12289" t="s">
        <v>48221</v>
      </c>
      <c r="U12289" t="s">
        <v>58625</v>
      </c>
      <c r="W12289" t="s">
        <v>46079</v>
      </c>
      <c r="X12289" t="s">
        <v>46585</v>
      </c>
    </row>
    <row r="12290" spans="1:24">
      <c r="A12290">
        <f>HYPERLINK("https://www.philgeps.gov.ph/GEPSNONPILOT/Tender/SplashBidNoticeAbstractUI.aspx?menuIndex=3&amp;refID=7042601&amp;Result=3","7042601")</f>
        <v>0</v>
      </c>
      <c r="B12290" t="s">
        <v>878</v>
      </c>
      <c r="C12290" t="s">
        <v>15187</v>
      </c>
      <c r="E12290" t="s">
        <v>29456</v>
      </c>
      <c r="F12290" t="s">
        <v>32664</v>
      </c>
      <c r="G12290" t="s">
        <v>32672</v>
      </c>
      <c r="H12290" t="s">
        <v>12635</v>
      </c>
      <c r="I12290" t="s">
        <v>5589</v>
      </c>
      <c r="J12290" t="s">
        <v>40063</v>
      </c>
      <c r="K12290" t="s">
        <v>42283</v>
      </c>
      <c r="M12290" t="s">
        <v>46085</v>
      </c>
      <c r="N12290" t="s">
        <v>46569</v>
      </c>
      <c r="O12290" t="s">
        <v>46570</v>
      </c>
      <c r="P12290">
        <v>0</v>
      </c>
      <c r="Q12290">
        <v>22</v>
      </c>
      <c r="R12290" t="s">
        <v>46581</v>
      </c>
      <c r="S12290" t="s">
        <v>47012</v>
      </c>
      <c r="T12290" t="s">
        <v>48264</v>
      </c>
      <c r="U12290" t="s">
        <v>58649</v>
      </c>
      <c r="W12290" t="s">
        <v>46085</v>
      </c>
      <c r="X12290" t="s">
        <v>46585</v>
      </c>
    </row>
    <row r="12291" spans="1:24">
      <c r="A12291">
        <f>HYPERLINK("https://www.philgeps.gov.ph/GEPSNONPILOT/Tender/SplashBidNoticeAbstractUI.aspx?menuIndex=3&amp;refID=7042531&amp;Result=3","7042531")</f>
        <v>0</v>
      </c>
      <c r="B12291" t="s">
        <v>1463</v>
      </c>
      <c r="C12291" t="s">
        <v>15188</v>
      </c>
      <c r="D12291" t="s">
        <v>18784</v>
      </c>
      <c r="E12291" t="s">
        <v>29457</v>
      </c>
      <c r="F12291" t="s">
        <v>32664</v>
      </c>
      <c r="G12291" t="s">
        <v>32672</v>
      </c>
      <c r="H12291" t="s">
        <v>12635</v>
      </c>
      <c r="I12291" t="s">
        <v>4439</v>
      </c>
      <c r="J12291" t="s">
        <v>33150</v>
      </c>
      <c r="K12291" t="s">
        <v>42281</v>
      </c>
      <c r="M12291" t="s">
        <v>44124</v>
      </c>
      <c r="N12291" t="s">
        <v>46569</v>
      </c>
      <c r="O12291" t="s">
        <v>46570</v>
      </c>
      <c r="P12291">
        <v>0</v>
      </c>
      <c r="Q12291">
        <v>11</v>
      </c>
      <c r="R12291" t="s">
        <v>46581</v>
      </c>
      <c r="S12291" t="s">
        <v>47012</v>
      </c>
      <c r="T12291" t="s">
        <v>48284</v>
      </c>
      <c r="U12291" t="s">
        <v>58650</v>
      </c>
      <c r="W12291" t="s">
        <v>44124</v>
      </c>
      <c r="X12291" t="s">
        <v>46585</v>
      </c>
    </row>
    <row r="12292" spans="1:24">
      <c r="A12292">
        <f>HYPERLINK("https://www.philgeps.gov.ph/GEPSNONPILOT/Tender/SplashBidNoticeAbstractUI.aspx?menuIndex=3&amp;refID=7042655&amp;Result=3","7042655")</f>
        <v>0</v>
      </c>
      <c r="B12292" t="s">
        <v>3175</v>
      </c>
      <c r="C12292" t="s">
        <v>15189</v>
      </c>
      <c r="D12292" t="s">
        <v>18781</v>
      </c>
      <c r="E12292" t="s">
        <v>29458</v>
      </c>
      <c r="F12292" t="s">
        <v>32664</v>
      </c>
      <c r="G12292" t="s">
        <v>32672</v>
      </c>
      <c r="H12292" t="s">
        <v>12635</v>
      </c>
      <c r="I12292" t="s">
        <v>6223</v>
      </c>
      <c r="J12292" t="s">
        <v>32853</v>
      </c>
      <c r="K12292" t="s">
        <v>42283</v>
      </c>
      <c r="M12292" t="s">
        <v>46087</v>
      </c>
      <c r="N12292" t="s">
        <v>46569</v>
      </c>
      <c r="O12292" t="s">
        <v>46570</v>
      </c>
      <c r="P12292">
        <v>0</v>
      </c>
      <c r="Q12292">
        <v>3</v>
      </c>
      <c r="R12292" t="s">
        <v>46581</v>
      </c>
      <c r="S12292" t="s">
        <v>47012</v>
      </c>
      <c r="T12292" t="s">
        <v>48376</v>
      </c>
      <c r="U12292" t="s">
        <v>58651</v>
      </c>
      <c r="W12292" t="s">
        <v>46087</v>
      </c>
      <c r="X12292" t="s">
        <v>46585</v>
      </c>
    </row>
    <row r="12293" spans="1:24">
      <c r="A12293">
        <f>HYPERLINK("https://www.philgeps.gov.ph/GEPSNONPILOT/Tender/SplashBidNoticeAbstractUI.aspx?menuIndex=3&amp;refID=7042485&amp;Result=3","7042485")</f>
        <v>0</v>
      </c>
      <c r="B12293" t="s">
        <v>174</v>
      </c>
      <c r="C12293" t="s">
        <v>15190</v>
      </c>
      <c r="D12293" t="s">
        <v>18831</v>
      </c>
      <c r="E12293" t="s">
        <v>19010</v>
      </c>
      <c r="F12293" t="s">
        <v>32664</v>
      </c>
      <c r="G12293" t="s">
        <v>32672</v>
      </c>
      <c r="H12293" t="s">
        <v>32683</v>
      </c>
      <c r="I12293" t="s">
        <v>32733</v>
      </c>
      <c r="J12293" t="s">
        <v>33761</v>
      </c>
      <c r="K12293" t="s">
        <v>42281</v>
      </c>
      <c r="M12293" t="s">
        <v>42738</v>
      </c>
      <c r="N12293" t="s">
        <v>46569</v>
      </c>
      <c r="O12293" t="s">
        <v>46570</v>
      </c>
      <c r="P12293">
        <v>0</v>
      </c>
      <c r="Q12293">
        <v>2</v>
      </c>
      <c r="R12293" t="s">
        <v>46581</v>
      </c>
      <c r="S12293" t="s">
        <v>47012</v>
      </c>
      <c r="T12293" t="s">
        <v>48236</v>
      </c>
      <c r="U12293" t="s">
        <v>56569</v>
      </c>
      <c r="W12293" t="s">
        <v>42738</v>
      </c>
      <c r="X12293" t="s">
        <v>46585</v>
      </c>
    </row>
    <row r="12294" spans="1:24">
      <c r="A12294">
        <f>HYPERLINK("https://www.philgeps.gov.ph/GEPSNONPILOT/Tender/SplashBidNoticeAbstractUI.aspx?menuIndex=3&amp;refID=7041360&amp;Result=3","7041360")</f>
        <v>0</v>
      </c>
      <c r="B12294" t="s">
        <v>460</v>
      </c>
      <c r="C12294" t="s">
        <v>15191</v>
      </c>
      <c r="D12294" t="s">
        <v>18806</v>
      </c>
      <c r="E12294" t="s">
        <v>29459</v>
      </c>
      <c r="F12294" t="s">
        <v>32664</v>
      </c>
      <c r="G12294" t="s">
        <v>32672</v>
      </c>
      <c r="H12294" t="s">
        <v>12635</v>
      </c>
      <c r="I12294" t="s">
        <v>32704</v>
      </c>
      <c r="J12294" t="s">
        <v>40064</v>
      </c>
      <c r="K12294" t="s">
        <v>42330</v>
      </c>
      <c r="M12294" t="s">
        <v>43641</v>
      </c>
      <c r="N12294" t="s">
        <v>46569</v>
      </c>
      <c r="O12294" t="s">
        <v>46570</v>
      </c>
      <c r="Q12294">
        <v>6</v>
      </c>
      <c r="R12294" t="s">
        <v>46581</v>
      </c>
      <c r="S12294" t="s">
        <v>47039</v>
      </c>
      <c r="T12294" t="s">
        <v>48307</v>
      </c>
      <c r="U12294" t="s">
        <v>58652</v>
      </c>
      <c r="V12294" t="s">
        <v>62824</v>
      </c>
      <c r="W12294" t="s">
        <v>43641</v>
      </c>
      <c r="X12294" t="s">
        <v>46585</v>
      </c>
    </row>
    <row r="12295" spans="1:24">
      <c r="A12295">
        <f>HYPERLINK("https://www.philgeps.gov.ph/GEPSNONPILOT/Tender/SplashBidNoticeAbstractUI.aspx?menuIndex=3&amp;refID=7041342&amp;Result=3","7041342")</f>
        <v>0</v>
      </c>
      <c r="B12295" t="s">
        <v>460</v>
      </c>
      <c r="C12295" t="s">
        <v>15192</v>
      </c>
      <c r="D12295" t="s">
        <v>18806</v>
      </c>
      <c r="E12295" t="s">
        <v>29460</v>
      </c>
      <c r="F12295" t="s">
        <v>32664</v>
      </c>
      <c r="G12295" t="s">
        <v>32672</v>
      </c>
      <c r="H12295" t="s">
        <v>12635</v>
      </c>
      <c r="I12295" t="s">
        <v>32704</v>
      </c>
      <c r="J12295" t="s">
        <v>33657</v>
      </c>
      <c r="K12295" t="s">
        <v>42330</v>
      </c>
      <c r="M12295" t="s">
        <v>43641</v>
      </c>
      <c r="N12295" t="s">
        <v>46569</v>
      </c>
      <c r="O12295" t="s">
        <v>46570</v>
      </c>
      <c r="Q12295">
        <v>5</v>
      </c>
      <c r="R12295" t="s">
        <v>46581</v>
      </c>
      <c r="S12295" t="s">
        <v>47040</v>
      </c>
      <c r="T12295" t="s">
        <v>48307</v>
      </c>
      <c r="U12295" t="s">
        <v>58653</v>
      </c>
      <c r="V12295" t="s">
        <v>62824</v>
      </c>
      <c r="W12295" t="s">
        <v>43641</v>
      </c>
      <c r="X12295" t="s">
        <v>46585</v>
      </c>
    </row>
    <row r="12296" spans="1:24">
      <c r="A12296">
        <f>HYPERLINK("https://www.philgeps.gov.ph/GEPSNONPILOT/Tender/SplashBidNoticeAbstractUI.aspx?menuIndex=3&amp;refID=7041068&amp;Result=3","7041068")</f>
        <v>0</v>
      </c>
      <c r="B12296" t="s">
        <v>460</v>
      </c>
      <c r="C12296" t="s">
        <v>15193</v>
      </c>
      <c r="D12296" t="s">
        <v>18806</v>
      </c>
      <c r="E12296" t="s">
        <v>29461</v>
      </c>
      <c r="F12296" t="s">
        <v>32664</v>
      </c>
      <c r="G12296" t="s">
        <v>32672</v>
      </c>
      <c r="H12296" t="s">
        <v>12635</v>
      </c>
      <c r="I12296" t="s">
        <v>32721</v>
      </c>
      <c r="J12296" t="s">
        <v>40065</v>
      </c>
      <c r="K12296" t="s">
        <v>42311</v>
      </c>
      <c r="M12296" t="s">
        <v>43035</v>
      </c>
      <c r="N12296" t="s">
        <v>46569</v>
      </c>
      <c r="O12296" t="s">
        <v>46570</v>
      </c>
      <c r="P12296">
        <v>0</v>
      </c>
      <c r="Q12296">
        <v>1</v>
      </c>
      <c r="R12296" t="s">
        <v>46581</v>
      </c>
      <c r="S12296" t="s">
        <v>47012</v>
      </c>
      <c r="T12296" t="s">
        <v>48384</v>
      </c>
      <c r="U12296" t="s">
        <v>58654</v>
      </c>
      <c r="V12296" t="s">
        <v>62824</v>
      </c>
      <c r="W12296" t="s">
        <v>43035</v>
      </c>
      <c r="X12296" t="s">
        <v>46585</v>
      </c>
    </row>
    <row r="12297" spans="1:24">
      <c r="A12297">
        <f>HYPERLINK("https://www.philgeps.gov.ph/GEPSNONPILOT/Tender/SplashBidNoticeAbstractUI.aspx?menuIndex=3&amp;refID=7042705&amp;Result=3","7042705")</f>
        <v>0</v>
      </c>
      <c r="B12297" t="s">
        <v>667</v>
      </c>
      <c r="C12297" t="s">
        <v>15194</v>
      </c>
      <c r="D12297" t="s">
        <v>18843</v>
      </c>
      <c r="E12297" t="s">
        <v>29462</v>
      </c>
      <c r="F12297" t="s">
        <v>32664</v>
      </c>
      <c r="G12297" t="s">
        <v>32672</v>
      </c>
      <c r="H12297" t="s">
        <v>12635</v>
      </c>
      <c r="I12297" t="s">
        <v>32685</v>
      </c>
      <c r="J12297" t="s">
        <v>40066</v>
      </c>
      <c r="K12297" t="s">
        <v>42281</v>
      </c>
      <c r="M12297" t="s">
        <v>46079</v>
      </c>
      <c r="N12297" t="s">
        <v>46569</v>
      </c>
      <c r="O12297" t="s">
        <v>46570</v>
      </c>
      <c r="P12297">
        <v>0</v>
      </c>
      <c r="Q12297">
        <v>0</v>
      </c>
      <c r="R12297" t="s">
        <v>46581</v>
      </c>
      <c r="S12297" t="s">
        <v>47012</v>
      </c>
      <c r="T12297" t="s">
        <v>48221</v>
      </c>
      <c r="U12297" t="s">
        <v>58625</v>
      </c>
      <c r="W12297" t="s">
        <v>46079</v>
      </c>
      <c r="X12297" t="s">
        <v>46585</v>
      </c>
    </row>
    <row r="12298" spans="1:24">
      <c r="A12298">
        <f>HYPERLINK("https://www.philgeps.gov.ph/GEPSNONPILOT/Tender/SplashBidNoticeAbstractUI.aspx?menuIndex=3&amp;refID=7046827&amp;Result=3","7046827")</f>
        <v>0</v>
      </c>
      <c r="B12298" t="s">
        <v>3171</v>
      </c>
      <c r="C12298" t="s">
        <v>15195</v>
      </c>
      <c r="D12298" t="s">
        <v>18804</v>
      </c>
      <c r="E12298" t="s">
        <v>29463</v>
      </c>
      <c r="F12298" t="s">
        <v>32664</v>
      </c>
      <c r="G12298" t="s">
        <v>32672</v>
      </c>
      <c r="H12298" t="s">
        <v>32683</v>
      </c>
      <c r="I12298" t="s">
        <v>10627</v>
      </c>
      <c r="J12298" t="s">
        <v>33092</v>
      </c>
      <c r="K12298" t="s">
        <v>42355</v>
      </c>
      <c r="M12298" t="s">
        <v>46078</v>
      </c>
      <c r="N12298" t="s">
        <v>46569</v>
      </c>
      <c r="O12298" t="s">
        <v>46570</v>
      </c>
      <c r="P12298">
        <v>0</v>
      </c>
      <c r="Q12298">
        <v>0</v>
      </c>
      <c r="R12298" t="s">
        <v>46580</v>
      </c>
      <c r="S12298" t="s">
        <v>46986</v>
      </c>
      <c r="T12298" t="s">
        <v>48282</v>
      </c>
      <c r="U12298" t="s">
        <v>58655</v>
      </c>
      <c r="W12298" t="s">
        <v>46078</v>
      </c>
      <c r="X12298" t="s">
        <v>46581</v>
      </c>
    </row>
    <row r="12299" spans="1:24">
      <c r="A12299">
        <f>HYPERLINK("https://www.philgeps.gov.ph/GEPSNONPILOT/Tender/SplashBidNoticeAbstractUI.aspx?menuIndex=3&amp;refID=7041349&amp;Result=3","7041349")</f>
        <v>0</v>
      </c>
      <c r="B12299" t="s">
        <v>460</v>
      </c>
      <c r="C12299" t="s">
        <v>15196</v>
      </c>
      <c r="D12299" t="s">
        <v>18806</v>
      </c>
      <c r="E12299" t="s">
        <v>29464</v>
      </c>
      <c r="F12299" t="s">
        <v>32664</v>
      </c>
      <c r="G12299" t="s">
        <v>32672</v>
      </c>
      <c r="H12299" t="s">
        <v>12635</v>
      </c>
      <c r="I12299" t="s">
        <v>6168</v>
      </c>
      <c r="J12299" t="s">
        <v>40067</v>
      </c>
      <c r="K12299" t="s">
        <v>42330</v>
      </c>
      <c r="M12299" t="s">
        <v>43641</v>
      </c>
      <c r="N12299" t="s">
        <v>46569</v>
      </c>
      <c r="O12299" t="s">
        <v>46570</v>
      </c>
      <c r="Q12299">
        <v>0</v>
      </c>
      <c r="R12299" t="s">
        <v>46581</v>
      </c>
      <c r="S12299" t="s">
        <v>47041</v>
      </c>
      <c r="T12299" t="s">
        <v>48307</v>
      </c>
      <c r="U12299" t="s">
        <v>58656</v>
      </c>
      <c r="V12299" t="s">
        <v>62824</v>
      </c>
      <c r="W12299" t="s">
        <v>43641</v>
      </c>
      <c r="X12299" t="s">
        <v>46585</v>
      </c>
    </row>
    <row r="12300" spans="1:24">
      <c r="A12300">
        <f>HYPERLINK("https://www.philgeps.gov.ph/GEPSNONPILOT/Tender/SplashBidNoticeAbstractUI.aspx?menuIndex=3&amp;refID=7041325&amp;Result=3","7041325")</f>
        <v>0</v>
      </c>
      <c r="B12300" t="s">
        <v>460</v>
      </c>
      <c r="C12300" t="s">
        <v>15197</v>
      </c>
      <c r="D12300" t="s">
        <v>18806</v>
      </c>
      <c r="E12300" t="s">
        <v>29465</v>
      </c>
      <c r="F12300" t="s">
        <v>32664</v>
      </c>
      <c r="G12300" t="s">
        <v>32672</v>
      </c>
      <c r="H12300" t="s">
        <v>12635</v>
      </c>
      <c r="I12300" t="s">
        <v>8797</v>
      </c>
      <c r="J12300" t="s">
        <v>40068</v>
      </c>
      <c r="K12300" t="s">
        <v>42330</v>
      </c>
      <c r="M12300" t="s">
        <v>43641</v>
      </c>
      <c r="N12300" t="s">
        <v>46569</v>
      </c>
      <c r="O12300" t="s">
        <v>46570</v>
      </c>
      <c r="Q12300">
        <v>4</v>
      </c>
      <c r="R12300" t="s">
        <v>46581</v>
      </c>
      <c r="S12300" t="s">
        <v>47042</v>
      </c>
      <c r="T12300" t="s">
        <v>48307</v>
      </c>
      <c r="U12300" t="s">
        <v>58657</v>
      </c>
      <c r="V12300" t="s">
        <v>62824</v>
      </c>
      <c r="W12300" t="s">
        <v>43641</v>
      </c>
      <c r="X12300" t="s">
        <v>46585</v>
      </c>
    </row>
    <row r="12301" spans="1:24">
      <c r="A12301">
        <f>HYPERLINK("https://www.philgeps.gov.ph/GEPSNONPILOT/Tender/SplashBidNoticeAbstractUI.aspx?menuIndex=3&amp;refID=7041073&amp;Result=3","7041073")</f>
        <v>0</v>
      </c>
      <c r="B12301" t="s">
        <v>460</v>
      </c>
      <c r="C12301" t="s">
        <v>15198</v>
      </c>
      <c r="D12301" t="s">
        <v>18806</v>
      </c>
      <c r="E12301" t="s">
        <v>29466</v>
      </c>
      <c r="F12301" t="s">
        <v>32664</v>
      </c>
      <c r="G12301" t="s">
        <v>32672</v>
      </c>
      <c r="H12301" t="s">
        <v>12635</v>
      </c>
      <c r="I12301" t="s">
        <v>6168</v>
      </c>
      <c r="J12301" t="s">
        <v>37727</v>
      </c>
      <c r="K12301" t="s">
        <v>42330</v>
      </c>
      <c r="M12301" t="s">
        <v>43641</v>
      </c>
      <c r="N12301" t="s">
        <v>46569</v>
      </c>
      <c r="O12301" t="s">
        <v>46570</v>
      </c>
      <c r="Q12301">
        <v>0</v>
      </c>
      <c r="R12301" t="s">
        <v>46581</v>
      </c>
      <c r="S12301" t="s">
        <v>47043</v>
      </c>
      <c r="T12301" t="s">
        <v>48307</v>
      </c>
      <c r="U12301" t="s">
        <v>58658</v>
      </c>
      <c r="V12301" t="s">
        <v>62968</v>
      </c>
      <c r="W12301" t="s">
        <v>43641</v>
      </c>
      <c r="X12301" t="s">
        <v>46585</v>
      </c>
    </row>
    <row r="12302" spans="1:24">
      <c r="A12302">
        <f>HYPERLINK("https://www.philgeps.gov.ph/GEPSNONPILOT/Tender/SplashBidNoticeAbstractUI.aspx?menuIndex=3&amp;refID=7042521&amp;Result=3","7042521")</f>
        <v>0</v>
      </c>
      <c r="B12302" t="s">
        <v>1430</v>
      </c>
      <c r="C12302" t="s">
        <v>15199</v>
      </c>
      <c r="D12302" t="s">
        <v>18822</v>
      </c>
      <c r="E12302" t="s">
        <v>29467</v>
      </c>
      <c r="F12302" t="s">
        <v>32665</v>
      </c>
      <c r="G12302" t="s">
        <v>32672</v>
      </c>
      <c r="H12302" t="s">
        <v>32683</v>
      </c>
      <c r="I12302" t="s">
        <v>10627</v>
      </c>
      <c r="J12302" t="s">
        <v>32898</v>
      </c>
      <c r="K12302" t="s">
        <v>42297</v>
      </c>
      <c r="M12302" t="s">
        <v>44090</v>
      </c>
      <c r="N12302" t="s">
        <v>46569</v>
      </c>
      <c r="O12302" t="s">
        <v>46570</v>
      </c>
      <c r="P12302">
        <v>0</v>
      </c>
      <c r="Q12302">
        <v>1</v>
      </c>
      <c r="R12302" t="s">
        <v>46581</v>
      </c>
      <c r="S12302" t="s">
        <v>47012</v>
      </c>
      <c r="T12302" t="s">
        <v>48280</v>
      </c>
      <c r="U12302" t="s">
        <v>58659</v>
      </c>
      <c r="V12302" t="s">
        <v>62969</v>
      </c>
      <c r="W12302" t="s">
        <v>44090</v>
      </c>
      <c r="X12302" t="s">
        <v>46585</v>
      </c>
    </row>
    <row r="12303" spans="1:24">
      <c r="A12303">
        <f>HYPERLINK("https://www.philgeps.gov.ph/GEPSNONPILOT/Tender/SplashBidNoticeAbstractUI.aspx?menuIndex=3&amp;refID=7046655&amp;Result=3","7046655")</f>
        <v>0</v>
      </c>
      <c r="B12303" t="s">
        <v>2752</v>
      </c>
      <c r="C12303" t="s">
        <v>8450</v>
      </c>
      <c r="D12303" t="s">
        <v>18786</v>
      </c>
      <c r="E12303" t="s">
        <v>29468</v>
      </c>
      <c r="F12303" t="s">
        <v>32664</v>
      </c>
      <c r="G12303" t="s">
        <v>32672</v>
      </c>
      <c r="H12303" t="s">
        <v>12635</v>
      </c>
      <c r="I12303" t="s">
        <v>6168</v>
      </c>
      <c r="J12303" t="s">
        <v>40069</v>
      </c>
      <c r="K12303" t="s">
        <v>42289</v>
      </c>
      <c r="M12303" t="s">
        <v>45586</v>
      </c>
      <c r="N12303" t="s">
        <v>46569</v>
      </c>
      <c r="O12303" t="s">
        <v>46570</v>
      </c>
      <c r="P12303">
        <v>0</v>
      </c>
      <c r="Q12303">
        <v>2</v>
      </c>
      <c r="R12303" t="s">
        <v>46580</v>
      </c>
      <c r="S12303" t="s">
        <v>46986</v>
      </c>
      <c r="T12303" t="s">
        <v>48246</v>
      </c>
      <c r="U12303" t="s">
        <v>58660</v>
      </c>
      <c r="W12303" t="s">
        <v>45586</v>
      </c>
      <c r="X12303" t="s">
        <v>46581</v>
      </c>
    </row>
    <row r="12304" spans="1:24">
      <c r="A12304">
        <f>HYPERLINK("https://www.philgeps.gov.ph/GEPSNONPILOT/Tender/SplashBidNoticeAbstractUI.aspx?menuIndex=3&amp;refID=7043227&amp;Result=3","7043227")</f>
        <v>0</v>
      </c>
      <c r="B12304" t="s">
        <v>1600</v>
      </c>
      <c r="C12304" t="s">
        <v>15200</v>
      </c>
      <c r="D12304" t="s">
        <v>18835</v>
      </c>
      <c r="E12304" t="s">
        <v>29469</v>
      </c>
      <c r="F12304" t="s">
        <v>32664</v>
      </c>
      <c r="G12304" t="s">
        <v>32672</v>
      </c>
      <c r="H12304" t="s">
        <v>32683</v>
      </c>
      <c r="I12304" t="s">
        <v>10627</v>
      </c>
      <c r="J12304" t="s">
        <v>40070</v>
      </c>
      <c r="K12304" t="s">
        <v>42316</v>
      </c>
      <c r="M12304" t="s">
        <v>44277</v>
      </c>
      <c r="N12304" t="s">
        <v>46569</v>
      </c>
      <c r="O12304" t="s">
        <v>46570</v>
      </c>
      <c r="P12304">
        <v>0</v>
      </c>
      <c r="Q12304">
        <v>0</v>
      </c>
      <c r="R12304" t="s">
        <v>46581</v>
      </c>
      <c r="S12304" t="s">
        <v>47012</v>
      </c>
      <c r="T12304" t="s">
        <v>48212</v>
      </c>
      <c r="U12304" t="s">
        <v>58661</v>
      </c>
      <c r="W12304" t="s">
        <v>44277</v>
      </c>
      <c r="X12304" t="s">
        <v>46585</v>
      </c>
    </row>
    <row r="12305" spans="1:24">
      <c r="A12305">
        <f>HYPERLINK("https://www.philgeps.gov.ph/GEPSNONPILOT/Tender/SplashBidNoticeAbstractUI.aspx?menuIndex=3&amp;refID=7042842&amp;Result=3","7042842")</f>
        <v>0</v>
      </c>
      <c r="B12305" t="s">
        <v>2772</v>
      </c>
      <c r="C12305" t="s">
        <v>15201</v>
      </c>
      <c r="D12305" t="s">
        <v>18804</v>
      </c>
      <c r="E12305" t="s">
        <v>29470</v>
      </c>
      <c r="F12305" t="s">
        <v>32664</v>
      </c>
      <c r="G12305" t="s">
        <v>32672</v>
      </c>
      <c r="H12305" t="s">
        <v>32683</v>
      </c>
      <c r="I12305" t="s">
        <v>10627</v>
      </c>
      <c r="J12305" t="s">
        <v>40071</v>
      </c>
      <c r="K12305" t="s">
        <v>42349</v>
      </c>
      <c r="M12305" t="s">
        <v>45610</v>
      </c>
      <c r="N12305" t="s">
        <v>46569</v>
      </c>
      <c r="O12305" t="s">
        <v>46570</v>
      </c>
      <c r="P12305">
        <v>0</v>
      </c>
      <c r="Q12305">
        <v>2</v>
      </c>
      <c r="R12305" t="s">
        <v>46581</v>
      </c>
      <c r="S12305" t="s">
        <v>47012</v>
      </c>
      <c r="T12305" t="s">
        <v>48321</v>
      </c>
      <c r="U12305" t="s">
        <v>58662</v>
      </c>
      <c r="W12305" t="s">
        <v>45610</v>
      </c>
      <c r="X12305" t="s">
        <v>46585</v>
      </c>
    </row>
    <row r="12306" spans="1:24">
      <c r="A12306">
        <f>HYPERLINK("https://www.philgeps.gov.ph/GEPSNONPILOT/Tender/SplashBidNoticeAbstractUI.aspx?menuIndex=3&amp;refID=7046656&amp;Result=3","7046656")</f>
        <v>0</v>
      </c>
      <c r="B12306" t="s">
        <v>1524</v>
      </c>
      <c r="C12306" t="s">
        <v>15202</v>
      </c>
      <c r="D12306" t="s">
        <v>18804</v>
      </c>
      <c r="E12306" t="s">
        <v>29471</v>
      </c>
      <c r="F12306" t="s">
        <v>32664</v>
      </c>
      <c r="G12306" t="s">
        <v>32672</v>
      </c>
      <c r="H12306" t="s">
        <v>12635</v>
      </c>
      <c r="I12306" t="s">
        <v>4439</v>
      </c>
      <c r="J12306" t="s">
        <v>40072</v>
      </c>
      <c r="K12306" t="s">
        <v>42281</v>
      </c>
      <c r="M12306" t="s">
        <v>44191</v>
      </c>
      <c r="N12306" t="s">
        <v>46569</v>
      </c>
      <c r="O12306" t="s">
        <v>46570</v>
      </c>
      <c r="P12306">
        <v>0</v>
      </c>
      <c r="Q12306">
        <v>2</v>
      </c>
      <c r="R12306" t="s">
        <v>46580</v>
      </c>
      <c r="S12306" t="s">
        <v>46986</v>
      </c>
      <c r="T12306" t="s">
        <v>48705</v>
      </c>
      <c r="U12306" t="s">
        <v>52220</v>
      </c>
      <c r="V12306" t="s">
        <v>62052</v>
      </c>
      <c r="W12306" t="s">
        <v>44191</v>
      </c>
      <c r="X12306" t="s">
        <v>46581</v>
      </c>
    </row>
    <row r="12307" spans="1:24">
      <c r="A12307">
        <f>HYPERLINK("https://www.philgeps.gov.ph/GEPSNONPILOT/Tender/SplashBidNoticeAbstractUI.aspx?menuIndex=3&amp;refID=7043215&amp;Result=3","7043215")</f>
        <v>0</v>
      </c>
      <c r="B12307" t="s">
        <v>3176</v>
      </c>
      <c r="C12307" t="s">
        <v>15203</v>
      </c>
      <c r="D12307" t="s">
        <v>18784</v>
      </c>
      <c r="E12307" t="s">
        <v>29472</v>
      </c>
      <c r="F12307" t="s">
        <v>32665</v>
      </c>
      <c r="G12307" t="s">
        <v>32672</v>
      </c>
      <c r="H12307" t="s">
        <v>12635</v>
      </c>
      <c r="I12307" t="s">
        <v>6223</v>
      </c>
      <c r="J12307" t="s">
        <v>33021</v>
      </c>
      <c r="K12307" t="s">
        <v>42281</v>
      </c>
      <c r="M12307" t="s">
        <v>46088</v>
      </c>
      <c r="N12307" t="s">
        <v>46569</v>
      </c>
      <c r="O12307" t="s">
        <v>46570</v>
      </c>
      <c r="P12307">
        <v>0</v>
      </c>
      <c r="Q12307">
        <v>0</v>
      </c>
      <c r="R12307" t="s">
        <v>46581</v>
      </c>
      <c r="S12307" t="s">
        <v>47012</v>
      </c>
      <c r="T12307" t="s">
        <v>48267</v>
      </c>
      <c r="U12307" t="s">
        <v>58663</v>
      </c>
      <c r="V12307" t="s">
        <v>62970</v>
      </c>
      <c r="W12307" t="s">
        <v>46088</v>
      </c>
      <c r="X12307" t="s">
        <v>46585</v>
      </c>
    </row>
    <row r="12308" spans="1:24">
      <c r="A12308">
        <f>HYPERLINK("https://www.philgeps.gov.ph/GEPSNONPILOT/Tender/SplashBidNoticeAbstractUI.aspx?menuIndex=3&amp;refID=7041105&amp;Result=3","7041105")</f>
        <v>0</v>
      </c>
      <c r="B12308" t="s">
        <v>460</v>
      </c>
      <c r="C12308" t="s">
        <v>15204</v>
      </c>
      <c r="D12308" t="s">
        <v>18806</v>
      </c>
      <c r="E12308" t="s">
        <v>29473</v>
      </c>
      <c r="F12308" t="s">
        <v>32664</v>
      </c>
      <c r="G12308" t="s">
        <v>32672</v>
      </c>
      <c r="H12308" t="s">
        <v>12635</v>
      </c>
      <c r="I12308" t="s">
        <v>4205</v>
      </c>
      <c r="J12308" t="s">
        <v>40073</v>
      </c>
      <c r="K12308" t="s">
        <v>42330</v>
      </c>
      <c r="M12308" t="s">
        <v>43641</v>
      </c>
      <c r="N12308" t="s">
        <v>46569</v>
      </c>
      <c r="O12308" t="s">
        <v>46570</v>
      </c>
      <c r="Q12308">
        <v>0</v>
      </c>
      <c r="R12308" t="s">
        <v>46581</v>
      </c>
      <c r="S12308" t="s">
        <v>47044</v>
      </c>
      <c r="T12308" t="s">
        <v>48307</v>
      </c>
      <c r="U12308" t="s">
        <v>58664</v>
      </c>
      <c r="V12308" t="s">
        <v>62824</v>
      </c>
      <c r="W12308" t="s">
        <v>43641</v>
      </c>
      <c r="X12308" t="s">
        <v>46585</v>
      </c>
    </row>
    <row r="12309" spans="1:24">
      <c r="A12309">
        <f>HYPERLINK("https://www.philgeps.gov.ph/GEPSNONPILOT/Tender/SplashBidNoticeAbstractUI.aspx?menuIndex=3&amp;refID=7043199&amp;Result=3","7043199")</f>
        <v>0</v>
      </c>
      <c r="B12309" t="s">
        <v>3176</v>
      </c>
      <c r="C12309" t="s">
        <v>15205</v>
      </c>
      <c r="D12309" t="s">
        <v>18784</v>
      </c>
      <c r="E12309" t="s">
        <v>29474</v>
      </c>
      <c r="F12309" t="s">
        <v>32665</v>
      </c>
      <c r="G12309" t="s">
        <v>32672</v>
      </c>
      <c r="H12309" t="s">
        <v>12635</v>
      </c>
      <c r="I12309" t="s">
        <v>6223</v>
      </c>
      <c r="J12309" t="s">
        <v>33320</v>
      </c>
      <c r="K12309" t="s">
        <v>42281</v>
      </c>
      <c r="M12309" t="s">
        <v>46088</v>
      </c>
      <c r="N12309" t="s">
        <v>46569</v>
      </c>
      <c r="O12309" t="s">
        <v>46570</v>
      </c>
      <c r="P12309">
        <v>0</v>
      </c>
      <c r="Q12309">
        <v>0</v>
      </c>
      <c r="R12309" t="s">
        <v>46581</v>
      </c>
      <c r="S12309" t="s">
        <v>47012</v>
      </c>
      <c r="T12309" t="s">
        <v>48283</v>
      </c>
      <c r="U12309" t="s">
        <v>58665</v>
      </c>
      <c r="V12309" t="s">
        <v>62970</v>
      </c>
      <c r="W12309" t="s">
        <v>46088</v>
      </c>
      <c r="X12309" t="s">
        <v>46585</v>
      </c>
    </row>
    <row r="12310" spans="1:24">
      <c r="A12310">
        <f>HYPERLINK("https://www.philgeps.gov.ph/GEPSNONPILOT/Tender/SplashBidNoticeAbstractUI.aspx?menuIndex=3&amp;refID=7043183&amp;Result=3","7043183")</f>
        <v>0</v>
      </c>
      <c r="B12310" t="s">
        <v>3176</v>
      </c>
      <c r="C12310" t="s">
        <v>15206</v>
      </c>
      <c r="D12310" t="s">
        <v>18784</v>
      </c>
      <c r="E12310" t="s">
        <v>29475</v>
      </c>
      <c r="F12310" t="s">
        <v>32665</v>
      </c>
      <c r="G12310" t="s">
        <v>32672</v>
      </c>
      <c r="H12310" t="s">
        <v>12635</v>
      </c>
      <c r="I12310" t="s">
        <v>7759</v>
      </c>
      <c r="J12310" t="s">
        <v>32974</v>
      </c>
      <c r="K12310" t="s">
        <v>42281</v>
      </c>
      <c r="M12310" t="s">
        <v>46088</v>
      </c>
      <c r="N12310" t="s">
        <v>46569</v>
      </c>
      <c r="O12310" t="s">
        <v>46570</v>
      </c>
      <c r="P12310">
        <v>0</v>
      </c>
      <c r="Q12310">
        <v>0</v>
      </c>
      <c r="R12310" t="s">
        <v>46581</v>
      </c>
      <c r="S12310" t="s">
        <v>47012</v>
      </c>
      <c r="T12310" t="s">
        <v>48251</v>
      </c>
      <c r="U12310" t="s">
        <v>58666</v>
      </c>
      <c r="V12310" t="s">
        <v>62970</v>
      </c>
      <c r="W12310" t="s">
        <v>46088</v>
      </c>
      <c r="X12310" t="s">
        <v>46585</v>
      </c>
    </row>
    <row r="12311" spans="1:24">
      <c r="A12311">
        <f>HYPERLINK("https://www.philgeps.gov.ph/GEPSNONPILOT/Tender/SplashBidNoticeAbstractUI.aspx?menuIndex=3&amp;refID=7046723&amp;Result=3","7046723")</f>
        <v>0</v>
      </c>
      <c r="B12311" t="s">
        <v>965</v>
      </c>
      <c r="C12311" t="s">
        <v>15207</v>
      </c>
      <c r="D12311" t="s">
        <v>18823</v>
      </c>
      <c r="E12311" t="s">
        <v>22416</v>
      </c>
      <c r="F12311" t="s">
        <v>32664</v>
      </c>
      <c r="G12311" t="s">
        <v>32672</v>
      </c>
      <c r="H12311" t="s">
        <v>32683</v>
      </c>
      <c r="I12311" t="s">
        <v>10627</v>
      </c>
      <c r="J12311" t="s">
        <v>40074</v>
      </c>
      <c r="K12311" t="s">
        <v>42290</v>
      </c>
      <c r="M12311" t="s">
        <v>43573</v>
      </c>
      <c r="N12311" t="s">
        <v>46569</v>
      </c>
      <c r="O12311" t="s">
        <v>46570</v>
      </c>
      <c r="P12311">
        <v>0</v>
      </c>
      <c r="Q12311">
        <v>3</v>
      </c>
      <c r="R12311" t="s">
        <v>46580</v>
      </c>
      <c r="S12311" t="s">
        <v>46986</v>
      </c>
      <c r="T12311" t="s">
        <v>48569</v>
      </c>
      <c r="U12311" t="s">
        <v>58667</v>
      </c>
      <c r="V12311" t="s">
        <v>62971</v>
      </c>
      <c r="W12311" t="s">
        <v>43573</v>
      </c>
      <c r="X12311" t="s">
        <v>46581</v>
      </c>
    </row>
    <row r="12312" spans="1:24">
      <c r="A12312">
        <f>HYPERLINK("https://www.philgeps.gov.ph/GEPSNONPILOT/Tender/SplashBidNoticeAbstractUI.aspx?menuIndex=3&amp;refID=7043177&amp;Result=3","7043177")</f>
        <v>0</v>
      </c>
      <c r="B12312" t="s">
        <v>3176</v>
      </c>
      <c r="C12312" t="s">
        <v>15208</v>
      </c>
      <c r="D12312" t="s">
        <v>18784</v>
      </c>
      <c r="E12312" t="s">
        <v>29476</v>
      </c>
      <c r="F12312" t="s">
        <v>32665</v>
      </c>
      <c r="G12312" t="s">
        <v>32672</v>
      </c>
      <c r="H12312" t="s">
        <v>12635</v>
      </c>
      <c r="I12312" t="s">
        <v>7759</v>
      </c>
      <c r="J12312" t="s">
        <v>32865</v>
      </c>
      <c r="K12312" t="s">
        <v>42281</v>
      </c>
      <c r="M12312" t="s">
        <v>46088</v>
      </c>
      <c r="N12312" t="s">
        <v>46569</v>
      </c>
      <c r="O12312" t="s">
        <v>46570</v>
      </c>
      <c r="P12312">
        <v>0</v>
      </c>
      <c r="Q12312">
        <v>0</v>
      </c>
      <c r="R12312" t="s">
        <v>46581</v>
      </c>
      <c r="S12312" t="s">
        <v>47012</v>
      </c>
      <c r="T12312" t="s">
        <v>48286</v>
      </c>
      <c r="U12312" t="s">
        <v>58668</v>
      </c>
      <c r="V12312" t="s">
        <v>62970</v>
      </c>
      <c r="W12312" t="s">
        <v>46088</v>
      </c>
      <c r="X12312" t="s">
        <v>46585</v>
      </c>
    </row>
    <row r="12313" spans="1:24">
      <c r="A12313">
        <f>HYPERLINK("https://www.philgeps.gov.ph/GEPSNONPILOT/Tender/SplashBidNoticeAbstractUI.aspx?menuIndex=3&amp;refID=7043170&amp;Result=3","7043170")</f>
        <v>0</v>
      </c>
      <c r="B12313" t="s">
        <v>3176</v>
      </c>
      <c r="C12313" t="s">
        <v>15209</v>
      </c>
      <c r="D12313" t="s">
        <v>18784</v>
      </c>
      <c r="E12313" t="s">
        <v>29477</v>
      </c>
      <c r="F12313" t="s">
        <v>32665</v>
      </c>
      <c r="G12313" t="s">
        <v>32672</v>
      </c>
      <c r="H12313" t="s">
        <v>12635</v>
      </c>
      <c r="I12313" t="s">
        <v>7759</v>
      </c>
      <c r="J12313" t="s">
        <v>33138</v>
      </c>
      <c r="K12313" t="s">
        <v>42281</v>
      </c>
      <c r="M12313" t="s">
        <v>46088</v>
      </c>
      <c r="N12313" t="s">
        <v>46569</v>
      </c>
      <c r="O12313" t="s">
        <v>46570</v>
      </c>
      <c r="P12313">
        <v>0</v>
      </c>
      <c r="Q12313">
        <v>0</v>
      </c>
      <c r="R12313" t="s">
        <v>46581</v>
      </c>
      <c r="S12313" t="s">
        <v>47012</v>
      </c>
      <c r="T12313" t="s">
        <v>48293</v>
      </c>
      <c r="U12313" t="s">
        <v>58669</v>
      </c>
      <c r="V12313" t="s">
        <v>62970</v>
      </c>
      <c r="W12313" t="s">
        <v>46088</v>
      </c>
      <c r="X12313" t="s">
        <v>46585</v>
      </c>
    </row>
    <row r="12314" spans="1:24">
      <c r="A12314">
        <f>HYPERLINK("https://www.philgeps.gov.ph/GEPSNONPILOT/Tender/SplashBidNoticeAbstractUI.aspx?menuIndex=3&amp;refID=7043150&amp;Result=3","7043150")</f>
        <v>0</v>
      </c>
      <c r="B12314" t="s">
        <v>3176</v>
      </c>
      <c r="C12314" t="s">
        <v>15210</v>
      </c>
      <c r="D12314" t="s">
        <v>18784</v>
      </c>
      <c r="E12314" t="s">
        <v>29478</v>
      </c>
      <c r="F12314" t="s">
        <v>32665</v>
      </c>
      <c r="G12314" t="s">
        <v>32672</v>
      </c>
      <c r="H12314" t="s">
        <v>12635</v>
      </c>
      <c r="I12314" t="s">
        <v>7759</v>
      </c>
      <c r="J12314" t="s">
        <v>33051</v>
      </c>
      <c r="K12314" t="s">
        <v>42281</v>
      </c>
      <c r="M12314" t="s">
        <v>46088</v>
      </c>
      <c r="N12314" t="s">
        <v>46569</v>
      </c>
      <c r="O12314" t="s">
        <v>46570</v>
      </c>
      <c r="P12314">
        <v>0</v>
      </c>
      <c r="Q12314">
        <v>0</v>
      </c>
      <c r="R12314" t="s">
        <v>46581</v>
      </c>
      <c r="S12314" t="s">
        <v>47012</v>
      </c>
      <c r="T12314" t="s">
        <v>48221</v>
      </c>
      <c r="U12314" t="s">
        <v>58670</v>
      </c>
      <c r="V12314" t="s">
        <v>62970</v>
      </c>
      <c r="W12314" t="s">
        <v>46088</v>
      </c>
      <c r="X12314" t="s">
        <v>46585</v>
      </c>
    </row>
    <row r="12315" spans="1:24">
      <c r="A12315">
        <f>HYPERLINK("https://www.philgeps.gov.ph/GEPSNONPILOT/Tender/SplashBidNoticeAbstractUI.aspx?menuIndex=3&amp;refID=7046652&amp;Result=3","7046652")</f>
        <v>0</v>
      </c>
      <c r="B12315" t="s">
        <v>108</v>
      </c>
      <c r="C12315" t="s">
        <v>15211</v>
      </c>
      <c r="D12315" t="s">
        <v>18824</v>
      </c>
      <c r="E12315" t="s">
        <v>29479</v>
      </c>
      <c r="F12315" t="s">
        <v>32664</v>
      </c>
      <c r="G12315" t="s">
        <v>32672</v>
      </c>
      <c r="H12315" t="s">
        <v>32683</v>
      </c>
      <c r="I12315" t="s">
        <v>10627</v>
      </c>
      <c r="J12315" t="s">
        <v>40075</v>
      </c>
      <c r="K12315" t="s">
        <v>42283</v>
      </c>
      <c r="M12315" t="s">
        <v>42672</v>
      </c>
      <c r="N12315" t="s">
        <v>46569</v>
      </c>
      <c r="O12315" t="s">
        <v>46570</v>
      </c>
      <c r="P12315">
        <v>0</v>
      </c>
      <c r="Q12315">
        <v>0</v>
      </c>
      <c r="R12315" t="s">
        <v>46580</v>
      </c>
      <c r="S12315" t="s">
        <v>46986</v>
      </c>
      <c r="T12315" t="s">
        <v>48467</v>
      </c>
      <c r="U12315" t="s">
        <v>48996</v>
      </c>
      <c r="W12315" t="s">
        <v>42672</v>
      </c>
      <c r="X12315" t="s">
        <v>46581</v>
      </c>
    </row>
    <row r="12316" spans="1:24">
      <c r="A12316">
        <f>HYPERLINK("https://www.philgeps.gov.ph/GEPSNONPILOT/Tender/SplashBidNoticeAbstractUI.aspx?menuIndex=3&amp;refID=7043189&amp;Result=3","7043189")</f>
        <v>0</v>
      </c>
      <c r="B12316" t="s">
        <v>3176</v>
      </c>
      <c r="C12316" t="s">
        <v>15212</v>
      </c>
      <c r="D12316" t="s">
        <v>18784</v>
      </c>
      <c r="E12316" t="s">
        <v>29480</v>
      </c>
      <c r="F12316" t="s">
        <v>32665</v>
      </c>
      <c r="G12316" t="s">
        <v>32672</v>
      </c>
      <c r="H12316" t="s">
        <v>12635</v>
      </c>
      <c r="I12316" t="s">
        <v>7759</v>
      </c>
      <c r="J12316" t="s">
        <v>32865</v>
      </c>
      <c r="K12316" t="s">
        <v>42281</v>
      </c>
      <c r="M12316" t="s">
        <v>46088</v>
      </c>
      <c r="N12316" t="s">
        <v>46569</v>
      </c>
      <c r="O12316" t="s">
        <v>46570</v>
      </c>
      <c r="P12316">
        <v>0</v>
      </c>
      <c r="Q12316">
        <v>0</v>
      </c>
      <c r="R12316" t="s">
        <v>46581</v>
      </c>
      <c r="S12316" t="s">
        <v>47012</v>
      </c>
      <c r="T12316" t="s">
        <v>48228</v>
      </c>
      <c r="U12316" t="s">
        <v>58671</v>
      </c>
      <c r="V12316" t="s">
        <v>62970</v>
      </c>
      <c r="W12316" t="s">
        <v>46088</v>
      </c>
      <c r="X12316" t="s">
        <v>46585</v>
      </c>
    </row>
    <row r="12317" spans="1:24">
      <c r="A12317">
        <f>HYPERLINK("https://www.philgeps.gov.ph/GEPSNONPILOT/Tender/SplashBidNoticeAbstractUI.aspx?menuIndex=3&amp;refID=7043159&amp;Result=3","7043159")</f>
        <v>0</v>
      </c>
      <c r="B12317" t="s">
        <v>3176</v>
      </c>
      <c r="C12317" t="s">
        <v>15213</v>
      </c>
      <c r="D12317" t="s">
        <v>18784</v>
      </c>
      <c r="E12317" t="s">
        <v>29481</v>
      </c>
      <c r="F12317" t="s">
        <v>32665</v>
      </c>
      <c r="G12317" t="s">
        <v>32672</v>
      </c>
      <c r="H12317" t="s">
        <v>12635</v>
      </c>
      <c r="I12317" t="s">
        <v>6223</v>
      </c>
      <c r="J12317" t="s">
        <v>33051</v>
      </c>
      <c r="K12317" t="s">
        <v>42281</v>
      </c>
      <c r="M12317" t="s">
        <v>46088</v>
      </c>
      <c r="N12317" t="s">
        <v>46569</v>
      </c>
      <c r="O12317" t="s">
        <v>46570</v>
      </c>
      <c r="P12317">
        <v>0</v>
      </c>
      <c r="Q12317">
        <v>1</v>
      </c>
      <c r="R12317" t="s">
        <v>46581</v>
      </c>
      <c r="S12317" t="s">
        <v>47012</v>
      </c>
      <c r="T12317" t="s">
        <v>48298</v>
      </c>
      <c r="U12317" t="s">
        <v>58672</v>
      </c>
      <c r="V12317" t="s">
        <v>62970</v>
      </c>
      <c r="W12317" t="s">
        <v>46088</v>
      </c>
      <c r="X12317" t="s">
        <v>46585</v>
      </c>
    </row>
    <row r="12318" spans="1:24">
      <c r="A12318">
        <f>HYPERLINK("https://www.philgeps.gov.ph/GEPSNONPILOT/Tender/SplashBidNoticeAbstractUI.aspx?menuIndex=3&amp;refID=7043037&amp;Result=3","7043037")</f>
        <v>0</v>
      </c>
      <c r="B12318" t="s">
        <v>3177</v>
      </c>
      <c r="C12318" t="s">
        <v>15214</v>
      </c>
      <c r="D12318" t="s">
        <v>18806</v>
      </c>
      <c r="E12318" t="s">
        <v>29482</v>
      </c>
      <c r="F12318" t="s">
        <v>32665</v>
      </c>
      <c r="G12318" t="s">
        <v>32672</v>
      </c>
      <c r="H12318" t="s">
        <v>12635</v>
      </c>
      <c r="I12318" t="s">
        <v>4439</v>
      </c>
      <c r="J12318" t="s">
        <v>33433</v>
      </c>
      <c r="K12318" t="s">
        <v>42309</v>
      </c>
      <c r="M12318" t="s">
        <v>46089</v>
      </c>
      <c r="N12318" t="s">
        <v>46569</v>
      </c>
      <c r="O12318" t="s">
        <v>46570</v>
      </c>
      <c r="P12318">
        <v>0</v>
      </c>
      <c r="Q12318">
        <v>0</v>
      </c>
      <c r="R12318" t="s">
        <v>46581</v>
      </c>
      <c r="S12318" t="s">
        <v>47012</v>
      </c>
      <c r="T12318" t="s">
        <v>48258</v>
      </c>
      <c r="U12318" t="s">
        <v>58673</v>
      </c>
      <c r="W12318" t="s">
        <v>46089</v>
      </c>
      <c r="X12318" t="s">
        <v>46585</v>
      </c>
    </row>
    <row r="12319" spans="1:24">
      <c r="A12319">
        <f>HYPERLINK("https://www.philgeps.gov.ph/GEPSNONPILOT/Tender/SplashBidNoticeAbstractUI.aspx?menuIndex=3&amp;refID=7043035&amp;Result=3","7043035")</f>
        <v>0</v>
      </c>
      <c r="B12319" t="s">
        <v>218</v>
      </c>
      <c r="C12319" t="s">
        <v>15215</v>
      </c>
      <c r="D12319" t="s">
        <v>18792</v>
      </c>
      <c r="E12319" t="s">
        <v>29483</v>
      </c>
      <c r="F12319" t="s">
        <v>32664</v>
      </c>
      <c r="G12319" t="s">
        <v>32672</v>
      </c>
      <c r="H12319" t="s">
        <v>32683</v>
      </c>
      <c r="I12319" t="s">
        <v>6553</v>
      </c>
      <c r="J12319" t="s">
        <v>40076</v>
      </c>
      <c r="K12319" t="s">
        <v>42532</v>
      </c>
      <c r="M12319" t="s">
        <v>42782</v>
      </c>
      <c r="N12319" t="s">
        <v>46569</v>
      </c>
      <c r="O12319" t="s">
        <v>46570</v>
      </c>
      <c r="P12319">
        <v>0</v>
      </c>
      <c r="Q12319">
        <v>0</v>
      </c>
      <c r="R12319" t="s">
        <v>46581</v>
      </c>
      <c r="S12319" t="s">
        <v>47012</v>
      </c>
      <c r="T12319" t="s">
        <v>48467</v>
      </c>
      <c r="U12319" t="s">
        <v>58674</v>
      </c>
      <c r="W12319" t="s">
        <v>42782</v>
      </c>
      <c r="X12319" t="s">
        <v>46585</v>
      </c>
    </row>
    <row r="12320" spans="1:24">
      <c r="A12320">
        <f>HYPERLINK("https://www.philgeps.gov.ph/GEPSNONPILOT/Tender/SplashBidNoticeAbstractUI.aspx?menuIndex=3&amp;refID=7043038&amp;Result=3","7043038")</f>
        <v>0</v>
      </c>
      <c r="B12320" t="s">
        <v>611</v>
      </c>
      <c r="C12320" t="s">
        <v>15216</v>
      </c>
      <c r="D12320" t="s">
        <v>18784</v>
      </c>
      <c r="E12320" t="s">
        <v>29484</v>
      </c>
      <c r="F12320" t="s">
        <v>32664</v>
      </c>
      <c r="G12320" t="s">
        <v>32672</v>
      </c>
      <c r="H12320" t="s">
        <v>32683</v>
      </c>
      <c r="I12320" t="s">
        <v>10627</v>
      </c>
      <c r="J12320" t="s">
        <v>34518</v>
      </c>
      <c r="K12320" t="s">
        <v>42311</v>
      </c>
      <c r="M12320" t="s">
        <v>45121</v>
      </c>
      <c r="N12320" t="s">
        <v>46569</v>
      </c>
      <c r="O12320" t="s">
        <v>46570</v>
      </c>
      <c r="P12320">
        <v>0</v>
      </c>
      <c r="Q12320">
        <v>10</v>
      </c>
      <c r="R12320" t="s">
        <v>46581</v>
      </c>
      <c r="S12320" t="s">
        <v>47012</v>
      </c>
      <c r="T12320" t="s">
        <v>48706</v>
      </c>
      <c r="U12320" t="s">
        <v>58638</v>
      </c>
      <c r="W12320" t="s">
        <v>45121</v>
      </c>
      <c r="X12320" t="s">
        <v>46585</v>
      </c>
    </row>
    <row r="12321" spans="1:24">
      <c r="A12321">
        <f>HYPERLINK("https://www.philgeps.gov.ph/GEPSNONPILOT/Tender/SplashBidNoticeAbstractUI.aspx?menuIndex=3&amp;refID=7042960&amp;Result=3","7042960")</f>
        <v>0</v>
      </c>
      <c r="B12321" t="s">
        <v>1481</v>
      </c>
      <c r="C12321" t="s">
        <v>15217</v>
      </c>
      <c r="D12321" t="s">
        <v>18784</v>
      </c>
      <c r="E12321" t="s">
        <v>29485</v>
      </c>
      <c r="F12321" t="s">
        <v>32664</v>
      </c>
      <c r="G12321" t="s">
        <v>32672</v>
      </c>
      <c r="H12321" t="s">
        <v>12635</v>
      </c>
      <c r="I12321" t="s">
        <v>32708</v>
      </c>
      <c r="J12321" t="s">
        <v>32981</v>
      </c>
      <c r="K12321" t="s">
        <v>42311</v>
      </c>
      <c r="M12321" t="s">
        <v>46062</v>
      </c>
      <c r="N12321" t="s">
        <v>46569</v>
      </c>
      <c r="O12321" t="s">
        <v>46570</v>
      </c>
      <c r="Q12321">
        <v>19</v>
      </c>
      <c r="R12321" t="s">
        <v>46581</v>
      </c>
      <c r="S12321" t="s">
        <v>47045</v>
      </c>
      <c r="T12321" t="s">
        <v>48322</v>
      </c>
      <c r="U12321" t="s">
        <v>58675</v>
      </c>
      <c r="W12321" t="s">
        <v>46062</v>
      </c>
      <c r="X12321" t="s">
        <v>46585</v>
      </c>
    </row>
    <row r="12322" spans="1:24">
      <c r="A12322">
        <f>HYPERLINK("https://www.philgeps.gov.ph/GEPSNONPILOT/Tender/SplashBidNoticeAbstractUI.aspx?menuIndex=3&amp;refID=7043222&amp;Result=3","7043222")</f>
        <v>0</v>
      </c>
      <c r="B12322" t="s">
        <v>1600</v>
      </c>
      <c r="C12322" t="s">
        <v>15218</v>
      </c>
      <c r="D12322" t="s">
        <v>18835</v>
      </c>
      <c r="E12322" t="s">
        <v>29486</v>
      </c>
      <c r="F12322" t="s">
        <v>32664</v>
      </c>
      <c r="G12322" t="s">
        <v>32672</v>
      </c>
      <c r="H12322" t="s">
        <v>32683</v>
      </c>
      <c r="I12322" t="s">
        <v>10627</v>
      </c>
      <c r="J12322" t="s">
        <v>40077</v>
      </c>
      <c r="K12322" t="s">
        <v>42317</v>
      </c>
      <c r="M12322" t="s">
        <v>44277</v>
      </c>
      <c r="N12322" t="s">
        <v>46569</v>
      </c>
      <c r="O12322" t="s">
        <v>46570</v>
      </c>
      <c r="P12322">
        <v>0</v>
      </c>
      <c r="Q12322">
        <v>1</v>
      </c>
      <c r="R12322" t="s">
        <v>46581</v>
      </c>
      <c r="S12322" t="s">
        <v>47012</v>
      </c>
      <c r="T12322" t="s">
        <v>48212</v>
      </c>
      <c r="U12322" t="s">
        <v>58676</v>
      </c>
      <c r="W12322" t="s">
        <v>44277</v>
      </c>
      <c r="X12322" t="s">
        <v>46585</v>
      </c>
    </row>
    <row r="12323" spans="1:24">
      <c r="A12323">
        <f>HYPERLINK("https://www.philgeps.gov.ph/GEPSNONPILOT/Tender/SplashBidNoticeAbstractUI.aspx?menuIndex=3&amp;refID=7046648&amp;Result=3","7046648")</f>
        <v>0</v>
      </c>
      <c r="B12323" t="s">
        <v>1214</v>
      </c>
      <c r="C12323" t="s">
        <v>15219</v>
      </c>
      <c r="D12323" t="s">
        <v>18839</v>
      </c>
      <c r="E12323" t="s">
        <v>29487</v>
      </c>
      <c r="F12323" t="s">
        <v>32664</v>
      </c>
      <c r="G12323" t="s">
        <v>32672</v>
      </c>
      <c r="H12323" t="s">
        <v>12635</v>
      </c>
      <c r="I12323" t="s">
        <v>11464</v>
      </c>
      <c r="J12323" t="s">
        <v>40078</v>
      </c>
      <c r="K12323" t="s">
        <v>42289</v>
      </c>
      <c r="M12323" t="s">
        <v>44781</v>
      </c>
      <c r="N12323" t="s">
        <v>46569</v>
      </c>
      <c r="O12323" t="s">
        <v>46570</v>
      </c>
      <c r="P12323">
        <v>0</v>
      </c>
      <c r="Q12323">
        <v>4</v>
      </c>
      <c r="R12323" t="s">
        <v>46580</v>
      </c>
      <c r="S12323" t="s">
        <v>46986</v>
      </c>
      <c r="T12323" t="s">
        <v>48467</v>
      </c>
      <c r="U12323" t="s">
        <v>58677</v>
      </c>
      <c r="W12323" t="s">
        <v>44781</v>
      </c>
      <c r="X12323" t="s">
        <v>46581</v>
      </c>
    </row>
    <row r="12324" spans="1:24">
      <c r="A12324">
        <f>HYPERLINK("https://www.philgeps.gov.ph/GEPSNONPILOT/Tender/SplashBidNoticeAbstractUI.aspx?menuIndex=3&amp;refID=7043216&amp;Result=3","7043216")</f>
        <v>0</v>
      </c>
      <c r="B12324" t="s">
        <v>1600</v>
      </c>
      <c r="C12324" t="s">
        <v>15220</v>
      </c>
      <c r="D12324" t="s">
        <v>18835</v>
      </c>
      <c r="E12324" t="s">
        <v>29488</v>
      </c>
      <c r="F12324" t="s">
        <v>32664</v>
      </c>
      <c r="G12324" t="s">
        <v>32672</v>
      </c>
      <c r="H12324" t="s">
        <v>32683</v>
      </c>
      <c r="I12324" t="s">
        <v>10627</v>
      </c>
      <c r="J12324" t="s">
        <v>40079</v>
      </c>
      <c r="K12324" t="s">
        <v>42298</v>
      </c>
      <c r="M12324" t="s">
        <v>44277</v>
      </c>
      <c r="N12324" t="s">
        <v>46569</v>
      </c>
      <c r="O12324" t="s">
        <v>46570</v>
      </c>
      <c r="P12324">
        <v>0</v>
      </c>
      <c r="Q12324">
        <v>1</v>
      </c>
      <c r="R12324" t="s">
        <v>46581</v>
      </c>
      <c r="S12324" t="s">
        <v>47012</v>
      </c>
      <c r="T12324" t="s">
        <v>48212</v>
      </c>
      <c r="U12324" t="s">
        <v>58678</v>
      </c>
      <c r="W12324" t="s">
        <v>44277</v>
      </c>
      <c r="X12324" t="s">
        <v>46585</v>
      </c>
    </row>
    <row r="12325" spans="1:24">
      <c r="A12325">
        <f>HYPERLINK("https://www.philgeps.gov.ph/GEPSNONPILOT/Tender/SplashBidNoticeAbstractUI.aspx?menuIndex=3&amp;refID=7046812&amp;Result=3","7046812")</f>
        <v>0</v>
      </c>
      <c r="B12325" t="s">
        <v>2981</v>
      </c>
      <c r="C12325" t="s">
        <v>15221</v>
      </c>
      <c r="D12325" t="s">
        <v>18808</v>
      </c>
      <c r="E12325" t="s">
        <v>29489</v>
      </c>
      <c r="F12325" t="s">
        <v>32664</v>
      </c>
      <c r="G12325" t="s">
        <v>32672</v>
      </c>
      <c r="H12325" t="s">
        <v>32683</v>
      </c>
      <c r="I12325" t="s">
        <v>10627</v>
      </c>
      <c r="J12325" t="s">
        <v>38599</v>
      </c>
      <c r="K12325" t="s">
        <v>42397</v>
      </c>
      <c r="M12325" t="s">
        <v>45838</v>
      </c>
      <c r="N12325" t="s">
        <v>46569</v>
      </c>
      <c r="O12325" t="s">
        <v>46570</v>
      </c>
      <c r="P12325">
        <v>0</v>
      </c>
      <c r="Q12325">
        <v>2</v>
      </c>
      <c r="R12325" t="s">
        <v>46580</v>
      </c>
      <c r="S12325" t="s">
        <v>46986</v>
      </c>
      <c r="T12325" t="s">
        <v>48284</v>
      </c>
      <c r="U12325" t="s">
        <v>58679</v>
      </c>
      <c r="V12325" t="s">
        <v>62972</v>
      </c>
      <c r="W12325" t="s">
        <v>45838</v>
      </c>
      <c r="X12325" t="s">
        <v>46581</v>
      </c>
    </row>
    <row r="12326" spans="1:24">
      <c r="A12326">
        <f>HYPERLINK("https://www.philgeps.gov.ph/GEPSNONPILOT/Tender/SplashBidNoticeAbstractUI.aspx?menuIndex=3&amp;refID=7046645&amp;Result=3","7046645")</f>
        <v>0</v>
      </c>
      <c r="B12326" t="s">
        <v>3178</v>
      </c>
      <c r="C12326" t="s">
        <v>15222</v>
      </c>
      <c r="D12326" t="s">
        <v>18781</v>
      </c>
      <c r="E12326" t="s">
        <v>29282</v>
      </c>
      <c r="F12326" t="s">
        <v>32664</v>
      </c>
      <c r="G12326" t="s">
        <v>32672</v>
      </c>
      <c r="H12326" t="s">
        <v>32683</v>
      </c>
      <c r="I12326" t="s">
        <v>10627</v>
      </c>
      <c r="J12326" t="s">
        <v>40080</v>
      </c>
      <c r="K12326" t="s">
        <v>42298</v>
      </c>
      <c r="M12326" t="s">
        <v>46090</v>
      </c>
      <c r="N12326" t="s">
        <v>46569</v>
      </c>
      <c r="O12326" t="s">
        <v>46570</v>
      </c>
      <c r="P12326">
        <v>0</v>
      </c>
      <c r="Q12326">
        <v>0</v>
      </c>
      <c r="R12326" t="s">
        <v>46580</v>
      </c>
      <c r="S12326" t="s">
        <v>46986</v>
      </c>
      <c r="T12326" t="s">
        <v>48468</v>
      </c>
      <c r="U12326" t="s">
        <v>58680</v>
      </c>
      <c r="W12326" t="s">
        <v>46090</v>
      </c>
      <c r="X12326" t="s">
        <v>46581</v>
      </c>
    </row>
    <row r="12327" spans="1:24">
      <c r="A12327">
        <f>HYPERLINK("https://www.philgeps.gov.ph/GEPSNONPILOT/Tender/SplashBidNoticeAbstractUI.aspx?menuIndex=3&amp;refID=7046642&amp;Result=3","7046642")</f>
        <v>0</v>
      </c>
      <c r="B12327" t="s">
        <v>108</v>
      </c>
      <c r="C12327" t="s">
        <v>15223</v>
      </c>
      <c r="D12327" t="s">
        <v>18824</v>
      </c>
      <c r="E12327" t="s">
        <v>29490</v>
      </c>
      <c r="F12327" t="s">
        <v>32664</v>
      </c>
      <c r="G12327" t="s">
        <v>32672</v>
      </c>
      <c r="H12327" t="s">
        <v>32683</v>
      </c>
      <c r="I12327" t="s">
        <v>10627</v>
      </c>
      <c r="J12327" t="s">
        <v>40081</v>
      </c>
      <c r="K12327" t="s">
        <v>42283</v>
      </c>
      <c r="M12327" t="s">
        <v>42672</v>
      </c>
      <c r="N12327" t="s">
        <v>46569</v>
      </c>
      <c r="O12327" t="s">
        <v>46570</v>
      </c>
      <c r="P12327">
        <v>0</v>
      </c>
      <c r="Q12327">
        <v>1</v>
      </c>
      <c r="R12327" t="s">
        <v>46580</v>
      </c>
      <c r="S12327" t="s">
        <v>46986</v>
      </c>
      <c r="T12327" t="s">
        <v>48467</v>
      </c>
      <c r="U12327" t="s">
        <v>48996</v>
      </c>
      <c r="W12327" t="s">
        <v>42672</v>
      </c>
      <c r="X12327" t="s">
        <v>46581</v>
      </c>
    </row>
    <row r="12328" spans="1:24">
      <c r="A12328">
        <f>HYPERLINK("https://www.philgeps.gov.ph/GEPSNONPILOT/Tender/SplashBidNoticeAbstractUI.aspx?menuIndex=3&amp;refID=7048159&amp;Result=3","7048159")</f>
        <v>0</v>
      </c>
      <c r="B12328" t="s">
        <v>3179</v>
      </c>
      <c r="C12328" t="s">
        <v>15224</v>
      </c>
      <c r="E12328" t="s">
        <v>29491</v>
      </c>
      <c r="F12328" t="s">
        <v>32664</v>
      </c>
      <c r="G12328" t="s">
        <v>32672</v>
      </c>
      <c r="H12328" t="s">
        <v>12635</v>
      </c>
      <c r="I12328" t="s">
        <v>8797</v>
      </c>
      <c r="J12328" t="s">
        <v>33831</v>
      </c>
      <c r="K12328" t="s">
        <v>42283</v>
      </c>
      <c r="M12328" t="s">
        <v>46091</v>
      </c>
      <c r="N12328" t="s">
        <v>46569</v>
      </c>
      <c r="O12328" t="s">
        <v>46570</v>
      </c>
      <c r="P12328">
        <v>0</v>
      </c>
      <c r="Q12328">
        <v>1</v>
      </c>
      <c r="R12328" t="s">
        <v>46579</v>
      </c>
      <c r="S12328" t="s">
        <v>46919</v>
      </c>
      <c r="T12328" t="s">
        <v>48228</v>
      </c>
      <c r="U12328" t="s">
        <v>58681</v>
      </c>
      <c r="W12328" t="s">
        <v>46091</v>
      </c>
      <c r="X12328" t="s">
        <v>46580</v>
      </c>
    </row>
    <row r="12329" spans="1:24">
      <c r="A12329">
        <f>HYPERLINK("https://www.philgeps.gov.ph/GEPSNONPILOT/Tender/SplashBidNoticeAbstractUI.aspx?menuIndex=3&amp;refID=7043392&amp;Result=3","7043392")</f>
        <v>0</v>
      </c>
      <c r="B12329" t="s">
        <v>632</v>
      </c>
      <c r="C12329" t="s">
        <v>15225</v>
      </c>
      <c r="D12329" t="s">
        <v>18821</v>
      </c>
      <c r="E12329" t="s">
        <v>29492</v>
      </c>
      <c r="F12329" t="s">
        <v>32664</v>
      </c>
      <c r="G12329" t="s">
        <v>32672</v>
      </c>
      <c r="H12329" t="s">
        <v>32683</v>
      </c>
      <c r="I12329" t="s">
        <v>10627</v>
      </c>
      <c r="J12329" t="s">
        <v>32837</v>
      </c>
      <c r="K12329" t="s">
        <v>42323</v>
      </c>
      <c r="M12329" t="s">
        <v>43214</v>
      </c>
      <c r="N12329" t="s">
        <v>46569</v>
      </c>
      <c r="O12329" t="s">
        <v>46570</v>
      </c>
      <c r="P12329">
        <v>0</v>
      </c>
      <c r="Q12329">
        <v>2</v>
      </c>
      <c r="R12329" t="s">
        <v>46581</v>
      </c>
      <c r="S12329" t="s">
        <v>47012</v>
      </c>
      <c r="T12329" t="s">
        <v>48532</v>
      </c>
      <c r="U12329" t="s">
        <v>58682</v>
      </c>
      <c r="W12329" t="s">
        <v>43214</v>
      </c>
      <c r="X12329" t="s">
        <v>46584</v>
      </c>
    </row>
    <row r="12330" spans="1:24">
      <c r="A12330">
        <f>HYPERLINK("https://www.philgeps.gov.ph/GEPSNONPILOT/Tender/SplashBidNoticeAbstractUI.aspx?menuIndex=3&amp;refID=7042938&amp;Result=3","7042938")</f>
        <v>0</v>
      </c>
      <c r="B12330" t="s">
        <v>1481</v>
      </c>
      <c r="C12330" t="s">
        <v>15226</v>
      </c>
      <c r="D12330" t="s">
        <v>18784</v>
      </c>
      <c r="E12330" t="s">
        <v>25313</v>
      </c>
      <c r="F12330" t="s">
        <v>32664</v>
      </c>
      <c r="G12330" t="s">
        <v>32672</v>
      </c>
      <c r="H12330" t="s">
        <v>12635</v>
      </c>
      <c r="I12330" t="s">
        <v>32708</v>
      </c>
      <c r="J12330" t="s">
        <v>33969</v>
      </c>
      <c r="K12330" t="s">
        <v>42311</v>
      </c>
      <c r="M12330" t="s">
        <v>46062</v>
      </c>
      <c r="N12330" t="s">
        <v>46569</v>
      </c>
      <c r="O12330" t="s">
        <v>46570</v>
      </c>
      <c r="Q12330">
        <v>11</v>
      </c>
      <c r="R12330" t="s">
        <v>46581</v>
      </c>
      <c r="S12330" t="s">
        <v>47046</v>
      </c>
      <c r="T12330" t="s">
        <v>48284</v>
      </c>
      <c r="U12330" t="s">
        <v>58683</v>
      </c>
      <c r="W12330" t="s">
        <v>46062</v>
      </c>
      <c r="X12330" t="s">
        <v>46585</v>
      </c>
    </row>
    <row r="12331" spans="1:24">
      <c r="A12331">
        <f>HYPERLINK("https://www.philgeps.gov.ph/GEPSNONPILOT/Tender/SplashBidNoticeAbstractUI.aspx?menuIndex=3&amp;refID=7048158&amp;Result=3","7048158")</f>
        <v>0</v>
      </c>
      <c r="B12331" t="s">
        <v>3049</v>
      </c>
      <c r="C12331" t="s">
        <v>15227</v>
      </c>
      <c r="E12331" t="s">
        <v>29493</v>
      </c>
      <c r="F12331" t="s">
        <v>32664</v>
      </c>
      <c r="G12331" t="s">
        <v>32672</v>
      </c>
      <c r="H12331" t="s">
        <v>32683</v>
      </c>
      <c r="I12331" t="s">
        <v>10627</v>
      </c>
      <c r="J12331" t="s">
        <v>40082</v>
      </c>
      <c r="K12331" t="s">
        <v>42283</v>
      </c>
      <c r="M12331" t="s">
        <v>45923</v>
      </c>
      <c r="N12331" t="s">
        <v>46569</v>
      </c>
      <c r="O12331" t="s">
        <v>46570</v>
      </c>
      <c r="P12331">
        <v>0</v>
      </c>
      <c r="Q12331">
        <v>0</v>
      </c>
      <c r="R12331" t="s">
        <v>46579</v>
      </c>
      <c r="S12331" t="s">
        <v>46919</v>
      </c>
      <c r="T12331" t="s">
        <v>48469</v>
      </c>
      <c r="U12331" t="s">
        <v>58684</v>
      </c>
      <c r="V12331" t="s">
        <v>62973</v>
      </c>
      <c r="W12331" t="s">
        <v>45923</v>
      </c>
      <c r="X12331" t="s">
        <v>46580</v>
      </c>
    </row>
    <row r="12332" spans="1:24">
      <c r="A12332">
        <f>HYPERLINK("https://www.philgeps.gov.ph/GEPSNONPILOT/Tender/SplashBidNoticeAbstractUI.aspx?menuIndex=3&amp;refID=7042940&amp;Result=3","7042940")</f>
        <v>0</v>
      </c>
      <c r="B12332" t="s">
        <v>515</v>
      </c>
      <c r="C12332" t="s">
        <v>15228</v>
      </c>
      <c r="D12332" t="s">
        <v>18792</v>
      </c>
      <c r="E12332" t="s">
        <v>29494</v>
      </c>
      <c r="F12332" t="s">
        <v>32664</v>
      </c>
      <c r="G12332" t="s">
        <v>32672</v>
      </c>
      <c r="H12332" t="s">
        <v>12635</v>
      </c>
      <c r="I12332" t="s">
        <v>4439</v>
      </c>
      <c r="J12332" t="s">
        <v>40083</v>
      </c>
      <c r="K12332" t="s">
        <v>42297</v>
      </c>
      <c r="M12332" t="s">
        <v>46092</v>
      </c>
      <c r="N12332" t="s">
        <v>46569</v>
      </c>
      <c r="O12332" t="s">
        <v>46570</v>
      </c>
      <c r="P12332">
        <v>0</v>
      </c>
      <c r="Q12332">
        <v>1</v>
      </c>
      <c r="R12332" t="s">
        <v>46581</v>
      </c>
      <c r="S12332" t="s">
        <v>47012</v>
      </c>
      <c r="T12332" t="s">
        <v>48283</v>
      </c>
      <c r="U12332" t="s">
        <v>58685</v>
      </c>
      <c r="W12332" t="s">
        <v>43091</v>
      </c>
      <c r="X12332" t="s">
        <v>46585</v>
      </c>
    </row>
    <row r="12333" spans="1:24">
      <c r="A12333">
        <f>HYPERLINK("https://www.philgeps.gov.ph/GEPSNONPILOT/Tender/SplashBidNoticeAbstractUI.aspx?menuIndex=3&amp;refID=7043405&amp;Result=3","7043405")</f>
        <v>0</v>
      </c>
      <c r="B12333" t="s">
        <v>2127</v>
      </c>
      <c r="C12333" t="s">
        <v>15229</v>
      </c>
      <c r="D12333" t="s">
        <v>18802</v>
      </c>
      <c r="E12333" t="s">
        <v>19110</v>
      </c>
      <c r="F12333" t="s">
        <v>32664</v>
      </c>
      <c r="G12333" t="s">
        <v>32672</v>
      </c>
      <c r="H12333" t="s">
        <v>32683</v>
      </c>
      <c r="I12333" t="s">
        <v>10627</v>
      </c>
      <c r="J12333" t="s">
        <v>40084</v>
      </c>
      <c r="K12333" t="s">
        <v>42330</v>
      </c>
      <c r="M12333" t="s">
        <v>44882</v>
      </c>
      <c r="N12333" t="s">
        <v>46569</v>
      </c>
      <c r="O12333" t="s">
        <v>46570</v>
      </c>
      <c r="P12333">
        <v>0</v>
      </c>
      <c r="Q12333">
        <v>1</v>
      </c>
      <c r="R12333" t="s">
        <v>46581</v>
      </c>
      <c r="S12333" t="s">
        <v>47012</v>
      </c>
      <c r="T12333" t="s">
        <v>48236</v>
      </c>
      <c r="U12333" t="s">
        <v>58686</v>
      </c>
      <c r="W12333" t="s">
        <v>44882</v>
      </c>
      <c r="X12333" t="s">
        <v>46584</v>
      </c>
    </row>
    <row r="12334" spans="1:24">
      <c r="A12334">
        <f>HYPERLINK("https://www.philgeps.gov.ph/GEPSNONPILOT/Tender/SplashBidNoticeAbstractUI.aspx?menuIndex=3&amp;refID=7043387&amp;Result=3","7043387")</f>
        <v>0</v>
      </c>
      <c r="B12334" t="s">
        <v>2127</v>
      </c>
      <c r="C12334" t="s">
        <v>15230</v>
      </c>
      <c r="D12334" t="s">
        <v>18802</v>
      </c>
      <c r="E12334" t="s">
        <v>19304</v>
      </c>
      <c r="F12334" t="s">
        <v>32664</v>
      </c>
      <c r="G12334" t="s">
        <v>32672</v>
      </c>
      <c r="H12334" t="s">
        <v>32683</v>
      </c>
      <c r="I12334" t="s">
        <v>10627</v>
      </c>
      <c r="J12334" t="s">
        <v>40085</v>
      </c>
      <c r="K12334" t="s">
        <v>42365</v>
      </c>
      <c r="M12334" t="s">
        <v>44882</v>
      </c>
      <c r="N12334" t="s">
        <v>46569</v>
      </c>
      <c r="O12334" t="s">
        <v>46570</v>
      </c>
      <c r="P12334">
        <v>0</v>
      </c>
      <c r="Q12334">
        <v>1</v>
      </c>
      <c r="R12334" t="s">
        <v>46581</v>
      </c>
      <c r="S12334" t="s">
        <v>47012</v>
      </c>
      <c r="T12334" t="s">
        <v>48236</v>
      </c>
      <c r="U12334" t="s">
        <v>58687</v>
      </c>
      <c r="W12334" t="s">
        <v>44882</v>
      </c>
      <c r="X12334" t="s">
        <v>46584</v>
      </c>
    </row>
    <row r="12335" spans="1:24">
      <c r="A12335">
        <f>HYPERLINK("https://www.philgeps.gov.ph/GEPSNONPILOT/Tender/SplashBidNoticeAbstractUI.aspx?menuIndex=3&amp;refID=7043376&amp;Result=3","7043376")</f>
        <v>0</v>
      </c>
      <c r="B12335" t="s">
        <v>2127</v>
      </c>
      <c r="C12335" t="s">
        <v>15231</v>
      </c>
      <c r="D12335" t="s">
        <v>18802</v>
      </c>
      <c r="E12335" t="s">
        <v>19312</v>
      </c>
      <c r="F12335" t="s">
        <v>32664</v>
      </c>
      <c r="G12335" t="s">
        <v>32672</v>
      </c>
      <c r="H12335" t="s">
        <v>32683</v>
      </c>
      <c r="I12335" t="s">
        <v>10627</v>
      </c>
      <c r="J12335" t="s">
        <v>40086</v>
      </c>
      <c r="K12335" t="s">
        <v>42421</v>
      </c>
      <c r="M12335" t="s">
        <v>44882</v>
      </c>
      <c r="N12335" t="s">
        <v>46569</v>
      </c>
      <c r="O12335" t="s">
        <v>46570</v>
      </c>
      <c r="P12335">
        <v>0</v>
      </c>
      <c r="Q12335">
        <v>1</v>
      </c>
      <c r="R12335" t="s">
        <v>46581</v>
      </c>
      <c r="S12335" t="s">
        <v>47012</v>
      </c>
      <c r="T12335" t="s">
        <v>48236</v>
      </c>
      <c r="U12335" t="s">
        <v>58688</v>
      </c>
      <c r="W12335" t="s">
        <v>44882</v>
      </c>
      <c r="X12335" t="s">
        <v>46584</v>
      </c>
    </row>
    <row r="12336" spans="1:24">
      <c r="A12336">
        <f>HYPERLINK("https://www.philgeps.gov.ph/GEPSNONPILOT/Tender/SplashBidNoticeAbstractUI.aspx?menuIndex=3&amp;refID=7043360&amp;Result=3","7043360")</f>
        <v>0</v>
      </c>
      <c r="B12336" t="s">
        <v>2127</v>
      </c>
      <c r="C12336" t="s">
        <v>15232</v>
      </c>
      <c r="D12336" t="s">
        <v>18802</v>
      </c>
      <c r="E12336" t="s">
        <v>19226</v>
      </c>
      <c r="F12336" t="s">
        <v>32664</v>
      </c>
      <c r="G12336" t="s">
        <v>32672</v>
      </c>
      <c r="H12336" t="s">
        <v>32683</v>
      </c>
      <c r="I12336" t="s">
        <v>10627</v>
      </c>
      <c r="J12336" t="s">
        <v>40087</v>
      </c>
      <c r="K12336" t="s">
        <v>42483</v>
      </c>
      <c r="M12336" t="s">
        <v>44882</v>
      </c>
      <c r="N12336" t="s">
        <v>46569</v>
      </c>
      <c r="O12336" t="s">
        <v>46570</v>
      </c>
      <c r="P12336">
        <v>0</v>
      </c>
      <c r="Q12336">
        <v>2</v>
      </c>
      <c r="R12336" t="s">
        <v>46581</v>
      </c>
      <c r="S12336" t="s">
        <v>47012</v>
      </c>
      <c r="T12336" t="s">
        <v>48236</v>
      </c>
      <c r="U12336" t="s">
        <v>58689</v>
      </c>
      <c r="W12336" t="s">
        <v>44882</v>
      </c>
      <c r="X12336" t="s">
        <v>46584</v>
      </c>
    </row>
    <row r="12337" spans="1:24">
      <c r="A12337">
        <f>HYPERLINK("https://www.philgeps.gov.ph/GEPSNONPILOT/Tender/SplashBidNoticeAbstractUI.aspx?menuIndex=3&amp;refID=7043356&amp;Result=3","7043356")</f>
        <v>0</v>
      </c>
      <c r="B12337" t="s">
        <v>2127</v>
      </c>
      <c r="C12337" t="s">
        <v>15233</v>
      </c>
      <c r="D12337" t="s">
        <v>18802</v>
      </c>
      <c r="E12337" t="s">
        <v>20986</v>
      </c>
      <c r="F12337" t="s">
        <v>32664</v>
      </c>
      <c r="G12337" t="s">
        <v>32672</v>
      </c>
      <c r="H12337" t="s">
        <v>32683</v>
      </c>
      <c r="I12337" t="s">
        <v>10627</v>
      </c>
      <c r="J12337" t="s">
        <v>40088</v>
      </c>
      <c r="K12337" t="s">
        <v>42336</v>
      </c>
      <c r="M12337" t="s">
        <v>44882</v>
      </c>
      <c r="N12337" t="s">
        <v>46569</v>
      </c>
      <c r="O12337" t="s">
        <v>46570</v>
      </c>
      <c r="P12337">
        <v>0</v>
      </c>
      <c r="Q12337">
        <v>2</v>
      </c>
      <c r="R12337" t="s">
        <v>46581</v>
      </c>
      <c r="S12337" t="s">
        <v>47012</v>
      </c>
      <c r="T12337" t="s">
        <v>48236</v>
      </c>
      <c r="U12337" t="s">
        <v>58690</v>
      </c>
      <c r="W12337" t="s">
        <v>44882</v>
      </c>
      <c r="X12337" t="s">
        <v>46584</v>
      </c>
    </row>
    <row r="12338" spans="1:24">
      <c r="A12338">
        <f>HYPERLINK("https://www.philgeps.gov.ph/GEPSNONPILOT/Tender/SplashBidNoticeAbstractUI.aspx?menuIndex=3&amp;refID=7043345&amp;Result=3","7043345")</f>
        <v>0</v>
      </c>
      <c r="B12338" t="s">
        <v>2127</v>
      </c>
      <c r="C12338" t="s">
        <v>15234</v>
      </c>
      <c r="D12338" t="s">
        <v>18802</v>
      </c>
      <c r="E12338" t="s">
        <v>20724</v>
      </c>
      <c r="F12338" t="s">
        <v>32664</v>
      </c>
      <c r="G12338" t="s">
        <v>32672</v>
      </c>
      <c r="H12338" t="s">
        <v>32683</v>
      </c>
      <c r="I12338" t="s">
        <v>10627</v>
      </c>
      <c r="J12338" t="s">
        <v>40088</v>
      </c>
      <c r="K12338" t="s">
        <v>42336</v>
      </c>
      <c r="M12338" t="s">
        <v>44882</v>
      </c>
      <c r="N12338" t="s">
        <v>46569</v>
      </c>
      <c r="O12338" t="s">
        <v>46570</v>
      </c>
      <c r="P12338">
        <v>0</v>
      </c>
      <c r="Q12338">
        <v>2</v>
      </c>
      <c r="R12338" t="s">
        <v>46581</v>
      </c>
      <c r="S12338" t="s">
        <v>47012</v>
      </c>
      <c r="T12338" t="s">
        <v>48236</v>
      </c>
      <c r="U12338" t="s">
        <v>58691</v>
      </c>
      <c r="W12338" t="s">
        <v>44882</v>
      </c>
      <c r="X12338" t="s">
        <v>46584</v>
      </c>
    </row>
    <row r="12339" spans="1:24">
      <c r="A12339">
        <f>HYPERLINK("https://www.philgeps.gov.ph/GEPSNONPILOT/Tender/SplashBidNoticeAbstractUI.aspx?menuIndex=3&amp;refID=7043404&amp;Result=3","7043404")</f>
        <v>0</v>
      </c>
      <c r="B12339" t="s">
        <v>2626</v>
      </c>
      <c r="C12339" t="s">
        <v>15235</v>
      </c>
      <c r="D12339" t="s">
        <v>18830</v>
      </c>
      <c r="E12339" t="s">
        <v>29495</v>
      </c>
      <c r="F12339" t="s">
        <v>32664</v>
      </c>
      <c r="G12339" t="s">
        <v>32672</v>
      </c>
      <c r="H12339" t="s">
        <v>12635</v>
      </c>
      <c r="I12339" t="s">
        <v>32716</v>
      </c>
      <c r="J12339" t="s">
        <v>40089</v>
      </c>
      <c r="K12339" t="s">
        <v>42349</v>
      </c>
      <c r="M12339" t="s">
        <v>45445</v>
      </c>
      <c r="N12339" t="s">
        <v>46569</v>
      </c>
      <c r="O12339" t="s">
        <v>46570</v>
      </c>
      <c r="P12339">
        <v>0</v>
      </c>
      <c r="Q12339">
        <v>9</v>
      </c>
      <c r="R12339" t="s">
        <v>46581</v>
      </c>
      <c r="S12339" t="s">
        <v>47012</v>
      </c>
      <c r="T12339" t="s">
        <v>48321</v>
      </c>
      <c r="U12339" t="s">
        <v>58692</v>
      </c>
      <c r="W12339" t="s">
        <v>45445</v>
      </c>
      <c r="X12339" t="s">
        <v>46584</v>
      </c>
    </row>
    <row r="12340" spans="1:24">
      <c r="A12340">
        <f>HYPERLINK("https://www.philgeps.gov.ph/GEPSNONPILOT/Tender/SplashBidNoticeAbstractUI.aspx?menuIndex=3&amp;refID=7043395&amp;Result=3","7043395")</f>
        <v>0</v>
      </c>
      <c r="B12340" t="s">
        <v>2626</v>
      </c>
      <c r="C12340" t="s">
        <v>15236</v>
      </c>
      <c r="D12340" t="s">
        <v>18830</v>
      </c>
      <c r="E12340" t="s">
        <v>29496</v>
      </c>
      <c r="F12340" t="s">
        <v>32664</v>
      </c>
      <c r="G12340" t="s">
        <v>32672</v>
      </c>
      <c r="H12340" t="s">
        <v>12635</v>
      </c>
      <c r="I12340" t="s">
        <v>9486</v>
      </c>
      <c r="J12340" t="s">
        <v>40090</v>
      </c>
      <c r="K12340" t="s">
        <v>42281</v>
      </c>
      <c r="M12340" t="s">
        <v>45445</v>
      </c>
      <c r="N12340" t="s">
        <v>46569</v>
      </c>
      <c r="O12340" t="s">
        <v>46570</v>
      </c>
      <c r="P12340">
        <v>0</v>
      </c>
      <c r="Q12340">
        <v>6</v>
      </c>
      <c r="R12340" t="s">
        <v>46581</v>
      </c>
      <c r="S12340" t="s">
        <v>47012</v>
      </c>
      <c r="T12340" t="s">
        <v>48321</v>
      </c>
      <c r="U12340" t="s">
        <v>58693</v>
      </c>
      <c r="W12340" t="s">
        <v>45445</v>
      </c>
      <c r="X12340" t="s">
        <v>46584</v>
      </c>
    </row>
    <row r="12341" spans="1:24">
      <c r="A12341">
        <f>HYPERLINK("https://www.philgeps.gov.ph/GEPSNONPILOT/Tender/SplashBidNoticeAbstractUI.aspx?menuIndex=3&amp;refID=7042907&amp;Result=3","7042907")</f>
        <v>0</v>
      </c>
      <c r="B12341" t="s">
        <v>27</v>
      </c>
      <c r="C12341" t="s">
        <v>15237</v>
      </c>
      <c r="E12341" t="s">
        <v>29497</v>
      </c>
      <c r="F12341" t="s">
        <v>32664</v>
      </c>
      <c r="G12341" t="s">
        <v>32672</v>
      </c>
      <c r="H12341" t="s">
        <v>12635</v>
      </c>
      <c r="I12341" t="s">
        <v>32708</v>
      </c>
      <c r="J12341" t="s">
        <v>35096</v>
      </c>
      <c r="K12341" t="s">
        <v>42283</v>
      </c>
      <c r="M12341" t="s">
        <v>45953</v>
      </c>
      <c r="N12341" t="s">
        <v>46569</v>
      </c>
      <c r="O12341" t="s">
        <v>46570</v>
      </c>
      <c r="P12341">
        <v>0</v>
      </c>
      <c r="Q12341">
        <v>13</v>
      </c>
      <c r="R12341" t="s">
        <v>46581</v>
      </c>
      <c r="S12341" t="s">
        <v>47012</v>
      </c>
      <c r="T12341" t="s">
        <v>48343</v>
      </c>
      <c r="U12341" t="s">
        <v>58565</v>
      </c>
      <c r="W12341" t="s">
        <v>45953</v>
      </c>
      <c r="X12341" t="s">
        <v>46585</v>
      </c>
    </row>
    <row r="12342" spans="1:24">
      <c r="A12342">
        <f>HYPERLINK("https://www.philgeps.gov.ph/GEPSNONPILOT/Tender/SplashBidNoticeAbstractUI.aspx?menuIndex=3&amp;refID=7043710&amp;Result=3","7043710")</f>
        <v>0</v>
      </c>
      <c r="B12342" t="s">
        <v>3180</v>
      </c>
      <c r="C12342" t="s">
        <v>15238</v>
      </c>
      <c r="D12342" t="s">
        <v>18821</v>
      </c>
      <c r="E12342" t="s">
        <v>20939</v>
      </c>
      <c r="F12342" t="s">
        <v>32664</v>
      </c>
      <c r="G12342" t="s">
        <v>32672</v>
      </c>
      <c r="H12342" t="s">
        <v>32683</v>
      </c>
      <c r="I12342" t="s">
        <v>10627</v>
      </c>
      <c r="J12342" t="s">
        <v>32865</v>
      </c>
      <c r="K12342" t="s">
        <v>42297</v>
      </c>
      <c r="M12342" t="s">
        <v>46093</v>
      </c>
      <c r="N12342" t="s">
        <v>46569</v>
      </c>
      <c r="O12342" t="s">
        <v>46570</v>
      </c>
      <c r="P12342">
        <v>0</v>
      </c>
      <c r="Q12342">
        <v>3</v>
      </c>
      <c r="R12342" t="s">
        <v>46581</v>
      </c>
      <c r="S12342" t="s">
        <v>47012</v>
      </c>
      <c r="T12342" t="s">
        <v>48283</v>
      </c>
      <c r="U12342" t="s">
        <v>58694</v>
      </c>
      <c r="W12342" t="s">
        <v>46093</v>
      </c>
      <c r="X12342" t="s">
        <v>46583</v>
      </c>
    </row>
    <row r="12343" spans="1:24">
      <c r="A12343">
        <f>HYPERLINK("https://www.philgeps.gov.ph/GEPSNONPILOT/Tender/SplashBidNoticeAbstractUI.aspx?menuIndex=3&amp;refID=7043137&amp;Result=3","7043137")</f>
        <v>0</v>
      </c>
      <c r="B12343" t="s">
        <v>3176</v>
      </c>
      <c r="C12343" t="s">
        <v>15239</v>
      </c>
      <c r="D12343" t="s">
        <v>18784</v>
      </c>
      <c r="E12343" t="s">
        <v>29498</v>
      </c>
      <c r="F12343" t="s">
        <v>32665</v>
      </c>
      <c r="G12343" t="s">
        <v>32672</v>
      </c>
      <c r="H12343" t="s">
        <v>12635</v>
      </c>
      <c r="I12343" t="s">
        <v>7759</v>
      </c>
      <c r="J12343" t="s">
        <v>32929</v>
      </c>
      <c r="K12343" t="s">
        <v>42281</v>
      </c>
      <c r="M12343" t="s">
        <v>46088</v>
      </c>
      <c r="N12343" t="s">
        <v>46569</v>
      </c>
      <c r="O12343" t="s">
        <v>46570</v>
      </c>
      <c r="P12343">
        <v>0</v>
      </c>
      <c r="Q12343">
        <v>0</v>
      </c>
      <c r="R12343" t="s">
        <v>46581</v>
      </c>
      <c r="S12343" t="s">
        <v>47012</v>
      </c>
      <c r="T12343" t="s">
        <v>48244</v>
      </c>
      <c r="U12343" t="s">
        <v>58695</v>
      </c>
      <c r="V12343" t="s">
        <v>62970</v>
      </c>
      <c r="W12343" t="s">
        <v>46088</v>
      </c>
      <c r="X12343" t="s">
        <v>46585</v>
      </c>
    </row>
    <row r="12344" spans="1:24">
      <c r="A12344">
        <f>HYPERLINK("https://www.philgeps.gov.ph/GEPSNONPILOT/Tender/SplashBidNoticeAbstractUI.aspx?menuIndex=3&amp;refID=7043709&amp;Result=3","7043709")</f>
        <v>0</v>
      </c>
      <c r="B12344" t="s">
        <v>2626</v>
      </c>
      <c r="C12344" t="s">
        <v>15240</v>
      </c>
      <c r="D12344" t="s">
        <v>18830</v>
      </c>
      <c r="E12344" t="s">
        <v>29499</v>
      </c>
      <c r="F12344" t="s">
        <v>32664</v>
      </c>
      <c r="G12344" t="s">
        <v>32672</v>
      </c>
      <c r="H12344" t="s">
        <v>32683</v>
      </c>
      <c r="I12344" t="s">
        <v>10627</v>
      </c>
      <c r="J12344" t="s">
        <v>33009</v>
      </c>
      <c r="K12344" t="s">
        <v>42444</v>
      </c>
      <c r="M12344" t="s">
        <v>46069</v>
      </c>
      <c r="N12344" t="s">
        <v>46569</v>
      </c>
      <c r="O12344" t="s">
        <v>46570</v>
      </c>
      <c r="P12344">
        <v>0</v>
      </c>
      <c r="Q12344">
        <v>5</v>
      </c>
      <c r="R12344" t="s">
        <v>46581</v>
      </c>
      <c r="S12344" t="s">
        <v>47012</v>
      </c>
      <c r="T12344" t="s">
        <v>48264</v>
      </c>
      <c r="U12344" t="s">
        <v>49256</v>
      </c>
      <c r="W12344" t="s">
        <v>46069</v>
      </c>
      <c r="X12344" t="s">
        <v>46583</v>
      </c>
    </row>
    <row r="12345" spans="1:24">
      <c r="A12345">
        <f>HYPERLINK("https://www.philgeps.gov.ph/GEPSNONPILOT/Tender/SplashBidNoticeAbstractUI.aspx?menuIndex=3&amp;refID=7043313&amp;Result=3","7043313")</f>
        <v>0</v>
      </c>
      <c r="B12345" t="s">
        <v>2559</v>
      </c>
      <c r="C12345" t="s">
        <v>15241</v>
      </c>
      <c r="D12345" t="s">
        <v>18859</v>
      </c>
      <c r="E12345" t="s">
        <v>29500</v>
      </c>
      <c r="F12345" t="s">
        <v>32664</v>
      </c>
      <c r="G12345" t="s">
        <v>32672</v>
      </c>
      <c r="H12345" t="s">
        <v>12635</v>
      </c>
      <c r="I12345" t="s">
        <v>10627</v>
      </c>
      <c r="J12345" t="s">
        <v>34487</v>
      </c>
      <c r="K12345" t="s">
        <v>42413</v>
      </c>
      <c r="M12345" t="s">
        <v>45370</v>
      </c>
      <c r="N12345" t="s">
        <v>46569</v>
      </c>
      <c r="O12345" t="s">
        <v>46570</v>
      </c>
      <c r="P12345">
        <v>0</v>
      </c>
      <c r="Q12345">
        <v>4</v>
      </c>
      <c r="R12345" t="s">
        <v>46581</v>
      </c>
      <c r="S12345" t="s">
        <v>47012</v>
      </c>
      <c r="T12345" t="s">
        <v>48248</v>
      </c>
      <c r="U12345" t="s">
        <v>58696</v>
      </c>
      <c r="V12345" t="s">
        <v>62974</v>
      </c>
      <c r="W12345" t="s">
        <v>45370</v>
      </c>
      <c r="X12345" t="s">
        <v>46584</v>
      </c>
    </row>
    <row r="12346" spans="1:24">
      <c r="A12346">
        <f>HYPERLINK("https://www.philgeps.gov.ph/GEPSNONPILOT/Tender/SplashBidNoticeAbstractUI.aspx?menuIndex=3&amp;refID=7043303&amp;Result=3","7043303")</f>
        <v>0</v>
      </c>
      <c r="B12346" t="s">
        <v>1717</v>
      </c>
      <c r="C12346" t="s">
        <v>15242</v>
      </c>
      <c r="D12346" t="s">
        <v>18790</v>
      </c>
      <c r="E12346" t="s">
        <v>29501</v>
      </c>
      <c r="F12346" t="s">
        <v>32664</v>
      </c>
      <c r="G12346" t="s">
        <v>32672</v>
      </c>
      <c r="H12346" t="s">
        <v>12635</v>
      </c>
      <c r="I12346" t="s">
        <v>14442</v>
      </c>
      <c r="J12346" t="s">
        <v>40091</v>
      </c>
      <c r="K12346" t="s">
        <v>42281</v>
      </c>
      <c r="M12346" t="s">
        <v>45357</v>
      </c>
      <c r="N12346" t="s">
        <v>46569</v>
      </c>
      <c r="O12346" t="s">
        <v>46570</v>
      </c>
      <c r="P12346">
        <v>0</v>
      </c>
      <c r="Q12346">
        <v>4</v>
      </c>
      <c r="R12346" t="s">
        <v>46581</v>
      </c>
      <c r="S12346" t="s">
        <v>47012</v>
      </c>
      <c r="T12346" t="s">
        <v>48236</v>
      </c>
      <c r="U12346" t="s">
        <v>58697</v>
      </c>
      <c r="W12346" t="s">
        <v>63530</v>
      </c>
      <c r="X12346" t="s">
        <v>46584</v>
      </c>
    </row>
    <row r="12347" spans="1:24">
      <c r="A12347">
        <f>HYPERLINK("https://www.philgeps.gov.ph/GEPSNONPILOT/Tender/SplashBidNoticeAbstractUI.aspx?menuIndex=3&amp;refID=7043275&amp;Result=3","7043275")</f>
        <v>0</v>
      </c>
      <c r="B12347" t="s">
        <v>3181</v>
      </c>
      <c r="C12347" t="s">
        <v>15243</v>
      </c>
      <c r="D12347" t="s">
        <v>18826</v>
      </c>
      <c r="E12347" t="s">
        <v>19380</v>
      </c>
      <c r="F12347" t="s">
        <v>32664</v>
      </c>
      <c r="G12347" t="s">
        <v>32672</v>
      </c>
      <c r="H12347" t="s">
        <v>12635</v>
      </c>
      <c r="I12347" t="s">
        <v>4439</v>
      </c>
      <c r="J12347" t="s">
        <v>40092</v>
      </c>
      <c r="K12347" t="s">
        <v>42309</v>
      </c>
      <c r="M12347" t="s">
        <v>46094</v>
      </c>
      <c r="N12347" t="s">
        <v>46569</v>
      </c>
      <c r="O12347" t="s">
        <v>46570</v>
      </c>
      <c r="P12347">
        <v>0</v>
      </c>
      <c r="Q12347">
        <v>0</v>
      </c>
      <c r="R12347" t="s">
        <v>46581</v>
      </c>
      <c r="S12347" t="s">
        <v>47012</v>
      </c>
      <c r="T12347" t="s">
        <v>48410</v>
      </c>
      <c r="U12347" t="s">
        <v>58698</v>
      </c>
      <c r="W12347" t="s">
        <v>46094</v>
      </c>
      <c r="X12347" t="s">
        <v>46585</v>
      </c>
    </row>
    <row r="12348" spans="1:24">
      <c r="A12348">
        <f>HYPERLINK("https://www.philgeps.gov.ph/GEPSNONPILOT/Tender/SplashBidNoticeAbstractUI.aspx?menuIndex=3&amp;refID=7043698&amp;Result=3","7043698")</f>
        <v>0</v>
      </c>
      <c r="B12348" t="s">
        <v>3182</v>
      </c>
      <c r="C12348" t="s">
        <v>15244</v>
      </c>
      <c r="D12348" t="s">
        <v>18832</v>
      </c>
      <c r="E12348" t="s">
        <v>29502</v>
      </c>
      <c r="F12348" t="s">
        <v>32664</v>
      </c>
      <c r="G12348" t="s">
        <v>32672</v>
      </c>
      <c r="H12348" t="s">
        <v>32683</v>
      </c>
      <c r="I12348" t="s">
        <v>10627</v>
      </c>
      <c r="J12348" t="s">
        <v>40093</v>
      </c>
      <c r="K12348" t="s">
        <v>42308</v>
      </c>
      <c r="M12348" t="s">
        <v>46095</v>
      </c>
      <c r="N12348" t="s">
        <v>46569</v>
      </c>
      <c r="O12348" t="s">
        <v>46570</v>
      </c>
      <c r="P12348">
        <v>0</v>
      </c>
      <c r="Q12348">
        <v>0</v>
      </c>
      <c r="R12348" t="s">
        <v>46581</v>
      </c>
      <c r="S12348" t="s">
        <v>47012</v>
      </c>
      <c r="T12348" t="s">
        <v>48303</v>
      </c>
      <c r="U12348" t="s">
        <v>58699</v>
      </c>
      <c r="W12348" t="s">
        <v>46095</v>
      </c>
      <c r="X12348" t="s">
        <v>46583</v>
      </c>
    </row>
    <row r="12349" spans="1:24">
      <c r="A12349">
        <f>HYPERLINK("https://www.philgeps.gov.ph/GEPSNONPILOT/Tender/SplashBidNoticeAbstractUI.aspx?menuIndex=3&amp;refID=7043578&amp;Result=3","7043578")</f>
        <v>0</v>
      </c>
      <c r="B12349" t="s">
        <v>1600</v>
      </c>
      <c r="C12349" t="s">
        <v>15245</v>
      </c>
      <c r="D12349" t="s">
        <v>18835</v>
      </c>
      <c r="E12349" t="s">
        <v>29503</v>
      </c>
      <c r="F12349" t="s">
        <v>32664</v>
      </c>
      <c r="G12349" t="s">
        <v>32672</v>
      </c>
      <c r="H12349" t="s">
        <v>32683</v>
      </c>
      <c r="I12349" t="s">
        <v>10627</v>
      </c>
      <c r="J12349" t="s">
        <v>40094</v>
      </c>
      <c r="K12349" t="s">
        <v>42311</v>
      </c>
      <c r="M12349" t="s">
        <v>44277</v>
      </c>
      <c r="N12349" t="s">
        <v>46569</v>
      </c>
      <c r="O12349" t="s">
        <v>46570</v>
      </c>
      <c r="P12349">
        <v>0</v>
      </c>
      <c r="Q12349">
        <v>1</v>
      </c>
      <c r="R12349" t="s">
        <v>46581</v>
      </c>
      <c r="S12349" t="s">
        <v>47012</v>
      </c>
      <c r="T12349" t="s">
        <v>48212</v>
      </c>
      <c r="U12349" t="s">
        <v>58700</v>
      </c>
      <c r="W12349" t="s">
        <v>44277</v>
      </c>
      <c r="X12349" t="s">
        <v>46584</v>
      </c>
    </row>
    <row r="12350" spans="1:24">
      <c r="A12350">
        <f>HYPERLINK("https://www.philgeps.gov.ph/GEPSNONPILOT/Tender/SplashBidNoticeAbstractUI.aspx?menuIndex=3&amp;refID=7043056&amp;Result=3","7043056")</f>
        <v>0</v>
      </c>
      <c r="B12350" t="s">
        <v>611</v>
      </c>
      <c r="C12350" t="s">
        <v>15246</v>
      </c>
      <c r="E12350" t="s">
        <v>29504</v>
      </c>
      <c r="F12350" t="s">
        <v>32664</v>
      </c>
      <c r="G12350" t="s">
        <v>32672</v>
      </c>
      <c r="H12350" t="s">
        <v>12635</v>
      </c>
      <c r="I12350" t="s">
        <v>32704</v>
      </c>
      <c r="J12350" t="s">
        <v>40095</v>
      </c>
      <c r="K12350" t="s">
        <v>42298</v>
      </c>
      <c r="M12350" t="s">
        <v>45121</v>
      </c>
      <c r="N12350" t="s">
        <v>46569</v>
      </c>
      <c r="O12350" t="s">
        <v>46570</v>
      </c>
      <c r="P12350">
        <v>0</v>
      </c>
      <c r="Q12350">
        <v>22</v>
      </c>
      <c r="R12350" t="s">
        <v>46581</v>
      </c>
      <c r="S12350" t="s">
        <v>47012</v>
      </c>
      <c r="T12350" t="s">
        <v>48641</v>
      </c>
      <c r="U12350" t="s">
        <v>58638</v>
      </c>
      <c r="W12350" t="s">
        <v>45121</v>
      </c>
      <c r="X12350" t="s">
        <v>46585</v>
      </c>
    </row>
    <row r="12351" spans="1:24">
      <c r="A12351">
        <f>HYPERLINK("https://www.philgeps.gov.ph/GEPSNONPILOT/Tender/SplashBidNoticeAbstractUI.aspx?menuIndex=3&amp;refID=7043511&amp;Result=3","7043511")</f>
        <v>0</v>
      </c>
      <c r="B12351" t="s">
        <v>3183</v>
      </c>
      <c r="C12351" t="s">
        <v>15247</v>
      </c>
      <c r="D12351" t="s">
        <v>18847</v>
      </c>
      <c r="E12351" t="s">
        <v>29505</v>
      </c>
      <c r="F12351" t="s">
        <v>32664</v>
      </c>
      <c r="G12351" t="s">
        <v>32672</v>
      </c>
      <c r="H12351" t="s">
        <v>12635</v>
      </c>
      <c r="I12351" t="s">
        <v>32717</v>
      </c>
      <c r="J12351" t="s">
        <v>36751</v>
      </c>
      <c r="K12351" t="s">
        <v>42298</v>
      </c>
      <c r="M12351" t="s">
        <v>46096</v>
      </c>
      <c r="N12351" t="s">
        <v>46569</v>
      </c>
      <c r="O12351" t="s">
        <v>46570</v>
      </c>
      <c r="P12351">
        <v>0</v>
      </c>
      <c r="Q12351">
        <v>1</v>
      </c>
      <c r="R12351" t="s">
        <v>46581</v>
      </c>
      <c r="S12351" t="s">
        <v>47012</v>
      </c>
      <c r="T12351" t="s">
        <v>48308</v>
      </c>
      <c r="U12351" t="s">
        <v>58701</v>
      </c>
      <c r="W12351" t="s">
        <v>46096</v>
      </c>
      <c r="X12351" t="s">
        <v>46584</v>
      </c>
    </row>
    <row r="12352" spans="1:24">
      <c r="A12352">
        <f>HYPERLINK("https://www.philgeps.gov.ph/GEPSNONPILOT/Tender/SplashBidNoticeAbstractUI.aspx?menuIndex=3&amp;refID=7043350&amp;Result=3","7043350")</f>
        <v>0</v>
      </c>
      <c r="B12352" t="s">
        <v>2127</v>
      </c>
      <c r="C12352" t="s">
        <v>15234</v>
      </c>
      <c r="D12352" t="s">
        <v>18802</v>
      </c>
      <c r="E12352" t="s">
        <v>20540</v>
      </c>
      <c r="F12352" t="s">
        <v>32664</v>
      </c>
      <c r="G12352" t="s">
        <v>32672</v>
      </c>
      <c r="H12352" t="s">
        <v>32683</v>
      </c>
      <c r="I12352" t="s">
        <v>10627</v>
      </c>
      <c r="J12352" t="s">
        <v>40088</v>
      </c>
      <c r="K12352" t="s">
        <v>42336</v>
      </c>
      <c r="M12352" t="s">
        <v>44882</v>
      </c>
      <c r="N12352" t="s">
        <v>46569</v>
      </c>
      <c r="O12352" t="s">
        <v>46570</v>
      </c>
      <c r="P12352">
        <v>0</v>
      </c>
      <c r="Q12352">
        <v>2</v>
      </c>
      <c r="R12352" t="s">
        <v>46581</v>
      </c>
      <c r="S12352" t="s">
        <v>47012</v>
      </c>
      <c r="T12352" t="s">
        <v>48236</v>
      </c>
      <c r="U12352" t="s">
        <v>58691</v>
      </c>
      <c r="W12352" t="s">
        <v>44882</v>
      </c>
      <c r="X12352" t="s">
        <v>46584</v>
      </c>
    </row>
    <row r="12353" spans="1:24">
      <c r="A12353">
        <f>HYPERLINK("https://www.philgeps.gov.ph/GEPSNONPILOT/Tender/SplashBidNoticeAbstractUI.aspx?menuIndex=3&amp;refID=7043497&amp;Result=3","7043497")</f>
        <v>0</v>
      </c>
      <c r="B12353" t="s">
        <v>3183</v>
      </c>
      <c r="C12353" t="s">
        <v>15248</v>
      </c>
      <c r="D12353" t="s">
        <v>18847</v>
      </c>
      <c r="E12353" t="s">
        <v>29506</v>
      </c>
      <c r="F12353" t="s">
        <v>32664</v>
      </c>
      <c r="G12353" t="s">
        <v>32672</v>
      </c>
      <c r="H12353" t="s">
        <v>12635</v>
      </c>
      <c r="I12353" t="s">
        <v>32717</v>
      </c>
      <c r="J12353" t="s">
        <v>40096</v>
      </c>
      <c r="K12353" t="s">
        <v>42298</v>
      </c>
      <c r="M12353" t="s">
        <v>46096</v>
      </c>
      <c r="N12353" t="s">
        <v>46569</v>
      </c>
      <c r="O12353" t="s">
        <v>46570</v>
      </c>
      <c r="P12353">
        <v>0</v>
      </c>
      <c r="Q12353">
        <v>3</v>
      </c>
      <c r="R12353" t="s">
        <v>46581</v>
      </c>
      <c r="S12353" t="s">
        <v>47012</v>
      </c>
      <c r="T12353" t="s">
        <v>48308</v>
      </c>
      <c r="U12353" t="s">
        <v>58702</v>
      </c>
      <c r="W12353" t="s">
        <v>46096</v>
      </c>
      <c r="X12353" t="s">
        <v>46584</v>
      </c>
    </row>
    <row r="12354" spans="1:24">
      <c r="A12354">
        <f>HYPERLINK("https://www.philgeps.gov.ph/GEPSNONPILOT/Tender/SplashBidNoticeAbstractUI.aspx?menuIndex=3&amp;refID=7043699&amp;Result=3","7043699")</f>
        <v>0</v>
      </c>
      <c r="B12354" t="s">
        <v>3182</v>
      </c>
      <c r="C12354" t="s">
        <v>15249</v>
      </c>
      <c r="D12354" t="s">
        <v>18832</v>
      </c>
      <c r="E12354" t="s">
        <v>29507</v>
      </c>
      <c r="F12354" t="s">
        <v>32664</v>
      </c>
      <c r="G12354" t="s">
        <v>32672</v>
      </c>
      <c r="H12354" t="s">
        <v>12635</v>
      </c>
      <c r="I12354" t="s">
        <v>32736</v>
      </c>
      <c r="J12354" t="s">
        <v>36082</v>
      </c>
      <c r="K12354" t="s">
        <v>42297</v>
      </c>
      <c r="M12354" t="s">
        <v>46095</v>
      </c>
      <c r="N12354" t="s">
        <v>46569</v>
      </c>
      <c r="O12354" t="s">
        <v>46570</v>
      </c>
      <c r="P12354">
        <v>0</v>
      </c>
      <c r="Q12354">
        <v>3</v>
      </c>
      <c r="R12354" t="s">
        <v>46581</v>
      </c>
      <c r="S12354" t="s">
        <v>47012</v>
      </c>
      <c r="T12354" t="s">
        <v>48303</v>
      </c>
      <c r="U12354" t="s">
        <v>58699</v>
      </c>
      <c r="W12354" t="s">
        <v>46095</v>
      </c>
      <c r="X12354" t="s">
        <v>46583</v>
      </c>
    </row>
    <row r="12355" spans="1:24">
      <c r="A12355">
        <f>HYPERLINK("https://www.philgeps.gov.ph/GEPSNONPILOT/Tender/SplashBidNoticeAbstractUI.aspx?menuIndex=3&amp;refID=7043489&amp;Result=3","7043489")</f>
        <v>0</v>
      </c>
      <c r="B12355" t="s">
        <v>3183</v>
      </c>
      <c r="C12355" t="s">
        <v>15250</v>
      </c>
      <c r="D12355" t="s">
        <v>18847</v>
      </c>
      <c r="E12355" t="s">
        <v>29508</v>
      </c>
      <c r="F12355" t="s">
        <v>32664</v>
      </c>
      <c r="G12355" t="s">
        <v>32672</v>
      </c>
      <c r="H12355" t="s">
        <v>12635</v>
      </c>
      <c r="I12355" t="s">
        <v>32717</v>
      </c>
      <c r="J12355" t="s">
        <v>40097</v>
      </c>
      <c r="K12355" t="s">
        <v>42298</v>
      </c>
      <c r="M12355" t="s">
        <v>46096</v>
      </c>
      <c r="N12355" t="s">
        <v>46569</v>
      </c>
      <c r="O12355" t="s">
        <v>46570</v>
      </c>
      <c r="P12355">
        <v>0</v>
      </c>
      <c r="Q12355">
        <v>3</v>
      </c>
      <c r="R12355" t="s">
        <v>46581</v>
      </c>
      <c r="S12355" t="s">
        <v>47012</v>
      </c>
      <c r="T12355" t="s">
        <v>48308</v>
      </c>
      <c r="U12355" t="s">
        <v>58703</v>
      </c>
      <c r="W12355" t="s">
        <v>46096</v>
      </c>
      <c r="X12355" t="s">
        <v>46584</v>
      </c>
    </row>
    <row r="12356" spans="1:24">
      <c r="A12356">
        <f>HYPERLINK("https://www.philgeps.gov.ph/GEPSNONPILOT/Tender/SplashBidNoticeAbstractUI.aspx?menuIndex=3&amp;refID=7043616&amp;Result=3","7043616")</f>
        <v>0</v>
      </c>
      <c r="B12356" t="s">
        <v>1600</v>
      </c>
      <c r="C12356" t="s">
        <v>15251</v>
      </c>
      <c r="D12356" t="s">
        <v>18835</v>
      </c>
      <c r="E12356" t="s">
        <v>29509</v>
      </c>
      <c r="F12356" t="s">
        <v>32664</v>
      </c>
      <c r="G12356" t="s">
        <v>32672</v>
      </c>
      <c r="H12356" t="s">
        <v>32683</v>
      </c>
      <c r="I12356" t="s">
        <v>10627</v>
      </c>
      <c r="J12356" t="s">
        <v>40098</v>
      </c>
      <c r="K12356" t="s">
        <v>42298</v>
      </c>
      <c r="M12356" t="s">
        <v>44277</v>
      </c>
      <c r="N12356" t="s">
        <v>46569</v>
      </c>
      <c r="O12356" t="s">
        <v>46570</v>
      </c>
      <c r="P12356">
        <v>0</v>
      </c>
      <c r="Q12356">
        <v>0</v>
      </c>
      <c r="R12356" t="s">
        <v>46581</v>
      </c>
      <c r="S12356" t="s">
        <v>47012</v>
      </c>
      <c r="T12356" t="s">
        <v>48212</v>
      </c>
      <c r="U12356" t="s">
        <v>58704</v>
      </c>
      <c r="W12356" t="s">
        <v>44277</v>
      </c>
      <c r="X12356" t="s">
        <v>46584</v>
      </c>
    </row>
    <row r="12357" spans="1:24">
      <c r="A12357">
        <f>HYPERLINK("https://www.philgeps.gov.ph/GEPSNONPILOT/Tender/SplashBidNoticeAbstractUI.aspx?menuIndex=3&amp;refID=7043493&amp;Result=3","7043493")</f>
        <v>0</v>
      </c>
      <c r="B12357" t="s">
        <v>3183</v>
      </c>
      <c r="C12357" t="s">
        <v>15252</v>
      </c>
      <c r="D12357" t="s">
        <v>18847</v>
      </c>
      <c r="E12357" t="s">
        <v>29510</v>
      </c>
      <c r="F12357" t="s">
        <v>32664</v>
      </c>
      <c r="G12357" t="s">
        <v>32672</v>
      </c>
      <c r="H12357" t="s">
        <v>12635</v>
      </c>
      <c r="I12357" t="s">
        <v>32717</v>
      </c>
      <c r="J12357" t="s">
        <v>40099</v>
      </c>
      <c r="K12357" t="s">
        <v>42298</v>
      </c>
      <c r="M12357" t="s">
        <v>46096</v>
      </c>
      <c r="N12357" t="s">
        <v>46569</v>
      </c>
      <c r="O12357" t="s">
        <v>46570</v>
      </c>
      <c r="P12357">
        <v>0</v>
      </c>
      <c r="Q12357">
        <v>3</v>
      </c>
      <c r="R12357" t="s">
        <v>46581</v>
      </c>
      <c r="S12357" t="s">
        <v>47012</v>
      </c>
      <c r="T12357" t="s">
        <v>48308</v>
      </c>
      <c r="U12357" t="s">
        <v>58705</v>
      </c>
      <c r="W12357" t="s">
        <v>46096</v>
      </c>
      <c r="X12357" t="s">
        <v>46584</v>
      </c>
    </row>
    <row r="12358" spans="1:24">
      <c r="A12358">
        <f>HYPERLINK("https://www.philgeps.gov.ph/GEPSNONPILOT/Tender/SplashBidNoticeAbstractUI.aspx?menuIndex=3&amp;refID=7043487&amp;Result=3","7043487")</f>
        <v>0</v>
      </c>
      <c r="B12358" t="s">
        <v>3183</v>
      </c>
      <c r="C12358" t="s">
        <v>15253</v>
      </c>
      <c r="D12358" t="s">
        <v>18847</v>
      </c>
      <c r="E12358" t="s">
        <v>29511</v>
      </c>
      <c r="F12358" t="s">
        <v>32664</v>
      </c>
      <c r="G12358" t="s">
        <v>32672</v>
      </c>
      <c r="H12358" t="s">
        <v>12635</v>
      </c>
      <c r="I12358" t="s">
        <v>32717</v>
      </c>
      <c r="J12358" t="s">
        <v>40100</v>
      </c>
      <c r="K12358" t="s">
        <v>42298</v>
      </c>
      <c r="M12358" t="s">
        <v>46096</v>
      </c>
      <c r="N12358" t="s">
        <v>46569</v>
      </c>
      <c r="O12358" t="s">
        <v>46570</v>
      </c>
      <c r="P12358">
        <v>0</v>
      </c>
      <c r="Q12358">
        <v>2</v>
      </c>
      <c r="R12358" t="s">
        <v>46581</v>
      </c>
      <c r="S12358" t="s">
        <v>47012</v>
      </c>
      <c r="T12358" t="s">
        <v>48308</v>
      </c>
      <c r="U12358" t="s">
        <v>58706</v>
      </c>
      <c r="W12358" t="s">
        <v>46096</v>
      </c>
      <c r="X12358" t="s">
        <v>46584</v>
      </c>
    </row>
    <row r="12359" spans="1:24">
      <c r="A12359">
        <f>HYPERLINK("https://www.philgeps.gov.ph/GEPSNONPILOT/Tender/SplashBidNoticeAbstractUI.aspx?menuIndex=3&amp;refID=7043427&amp;Result=3","7043427")</f>
        <v>0</v>
      </c>
      <c r="B12359" t="s">
        <v>632</v>
      </c>
      <c r="C12359" t="s">
        <v>15254</v>
      </c>
      <c r="D12359" t="s">
        <v>18821</v>
      </c>
      <c r="E12359" t="s">
        <v>29512</v>
      </c>
      <c r="F12359" t="s">
        <v>32664</v>
      </c>
      <c r="G12359" t="s">
        <v>32672</v>
      </c>
      <c r="H12359" t="s">
        <v>32683</v>
      </c>
      <c r="I12359" t="s">
        <v>10627</v>
      </c>
      <c r="J12359" t="s">
        <v>32962</v>
      </c>
      <c r="K12359" t="s">
        <v>42449</v>
      </c>
      <c r="M12359" t="s">
        <v>43214</v>
      </c>
      <c r="N12359" t="s">
        <v>46569</v>
      </c>
      <c r="O12359" t="s">
        <v>46570</v>
      </c>
      <c r="P12359">
        <v>0</v>
      </c>
      <c r="Q12359">
        <v>2</v>
      </c>
      <c r="R12359" t="s">
        <v>46581</v>
      </c>
      <c r="S12359" t="s">
        <v>47012</v>
      </c>
      <c r="T12359" t="s">
        <v>48532</v>
      </c>
      <c r="U12359" t="s">
        <v>58707</v>
      </c>
      <c r="W12359" t="s">
        <v>43214</v>
      </c>
      <c r="X12359" t="s">
        <v>46584</v>
      </c>
    </row>
    <row r="12360" spans="1:24">
      <c r="A12360">
        <f>HYPERLINK("https://www.philgeps.gov.ph/GEPSNONPILOT/Tender/SplashBidNoticeAbstractUI.aspx?menuIndex=3&amp;refID=7043424&amp;Result=3","7043424")</f>
        <v>0</v>
      </c>
      <c r="B12360" t="s">
        <v>2127</v>
      </c>
      <c r="C12360" t="s">
        <v>15255</v>
      </c>
      <c r="D12360" t="s">
        <v>18802</v>
      </c>
      <c r="E12360" t="s">
        <v>19259</v>
      </c>
      <c r="F12360" t="s">
        <v>32664</v>
      </c>
      <c r="G12360" t="s">
        <v>32672</v>
      </c>
      <c r="H12360" t="s">
        <v>32683</v>
      </c>
      <c r="I12360" t="s">
        <v>10627</v>
      </c>
      <c r="J12360" t="s">
        <v>40101</v>
      </c>
      <c r="K12360" t="s">
        <v>42355</v>
      </c>
      <c r="M12360" t="s">
        <v>44882</v>
      </c>
      <c r="N12360" t="s">
        <v>46569</v>
      </c>
      <c r="O12360" t="s">
        <v>46570</v>
      </c>
      <c r="P12360">
        <v>0</v>
      </c>
      <c r="Q12360">
        <v>1</v>
      </c>
      <c r="R12360" t="s">
        <v>46581</v>
      </c>
      <c r="S12360" t="s">
        <v>47012</v>
      </c>
      <c r="T12360" t="s">
        <v>48236</v>
      </c>
      <c r="U12360" t="s">
        <v>58708</v>
      </c>
      <c r="W12360" t="s">
        <v>44882</v>
      </c>
      <c r="X12360" t="s">
        <v>46584</v>
      </c>
    </row>
    <row r="12361" spans="1:24">
      <c r="A12361">
        <f>HYPERLINK("https://www.philgeps.gov.ph/GEPSNONPILOT/Tender/SplashBidNoticeAbstractUI.aspx?menuIndex=3&amp;refID=7043513&amp;Result=3","7043513")</f>
        <v>0</v>
      </c>
      <c r="B12361" t="s">
        <v>3183</v>
      </c>
      <c r="C12361" t="s">
        <v>15256</v>
      </c>
      <c r="D12361" t="s">
        <v>18847</v>
      </c>
      <c r="E12361" t="s">
        <v>29513</v>
      </c>
      <c r="F12361" t="s">
        <v>32664</v>
      </c>
      <c r="G12361" t="s">
        <v>32672</v>
      </c>
      <c r="H12361" t="s">
        <v>12635</v>
      </c>
      <c r="I12361" t="s">
        <v>32717</v>
      </c>
      <c r="J12361" t="s">
        <v>40102</v>
      </c>
      <c r="K12361" t="s">
        <v>42298</v>
      </c>
      <c r="M12361" t="s">
        <v>46096</v>
      </c>
      <c r="N12361" t="s">
        <v>46569</v>
      </c>
      <c r="O12361" t="s">
        <v>46570</v>
      </c>
      <c r="P12361">
        <v>0</v>
      </c>
      <c r="Q12361">
        <v>1</v>
      </c>
      <c r="R12361" t="s">
        <v>46581</v>
      </c>
      <c r="S12361" t="s">
        <v>47012</v>
      </c>
      <c r="T12361" t="s">
        <v>48308</v>
      </c>
      <c r="U12361" t="s">
        <v>58709</v>
      </c>
      <c r="W12361" t="s">
        <v>46096</v>
      </c>
      <c r="X12361" t="s">
        <v>46584</v>
      </c>
    </row>
    <row r="12362" spans="1:24">
      <c r="A12362">
        <f>HYPERLINK("https://www.philgeps.gov.ph/GEPSNONPILOT/Tender/SplashBidNoticeAbstractUI.aspx?menuIndex=3&amp;refID=7043255&amp;Result=3","7043255")</f>
        <v>0</v>
      </c>
      <c r="B12362" t="s">
        <v>1600</v>
      </c>
      <c r="C12362" t="s">
        <v>15257</v>
      </c>
      <c r="D12362" t="s">
        <v>18835</v>
      </c>
      <c r="E12362" t="s">
        <v>29514</v>
      </c>
      <c r="F12362" t="s">
        <v>32664</v>
      </c>
      <c r="G12362" t="s">
        <v>32672</v>
      </c>
      <c r="H12362" t="s">
        <v>32683</v>
      </c>
      <c r="I12362" t="s">
        <v>10627</v>
      </c>
      <c r="J12362" t="s">
        <v>33640</v>
      </c>
      <c r="K12362" t="s">
        <v>42305</v>
      </c>
      <c r="M12362" t="s">
        <v>44277</v>
      </c>
      <c r="N12362" t="s">
        <v>46569</v>
      </c>
      <c r="O12362" t="s">
        <v>46570</v>
      </c>
      <c r="P12362">
        <v>0</v>
      </c>
      <c r="Q12362">
        <v>0</v>
      </c>
      <c r="R12362" t="s">
        <v>46581</v>
      </c>
      <c r="S12362" t="s">
        <v>47012</v>
      </c>
      <c r="T12362" t="s">
        <v>48212</v>
      </c>
      <c r="U12362" t="s">
        <v>58710</v>
      </c>
      <c r="W12362" t="s">
        <v>44277</v>
      </c>
      <c r="X12362" t="s">
        <v>46585</v>
      </c>
    </row>
    <row r="12363" spans="1:24">
      <c r="A12363">
        <f>HYPERLINK("https://www.philgeps.gov.ph/GEPSNONPILOT/Tender/SplashBidNoticeAbstractUI.aspx?menuIndex=3&amp;refID=7043480&amp;Result=3","7043480")</f>
        <v>0</v>
      </c>
      <c r="B12363" t="s">
        <v>3183</v>
      </c>
      <c r="C12363" t="s">
        <v>15258</v>
      </c>
      <c r="D12363" t="s">
        <v>18847</v>
      </c>
      <c r="E12363" t="s">
        <v>29515</v>
      </c>
      <c r="F12363" t="s">
        <v>32664</v>
      </c>
      <c r="G12363" t="s">
        <v>32672</v>
      </c>
      <c r="H12363" t="s">
        <v>12635</v>
      </c>
      <c r="I12363" t="s">
        <v>32717</v>
      </c>
      <c r="J12363" t="s">
        <v>40103</v>
      </c>
      <c r="K12363" t="s">
        <v>42298</v>
      </c>
      <c r="M12363" t="s">
        <v>46096</v>
      </c>
      <c r="N12363" t="s">
        <v>46569</v>
      </c>
      <c r="O12363" t="s">
        <v>46570</v>
      </c>
      <c r="P12363">
        <v>0</v>
      </c>
      <c r="Q12363">
        <v>0</v>
      </c>
      <c r="R12363" t="s">
        <v>46581</v>
      </c>
      <c r="S12363" t="s">
        <v>47012</v>
      </c>
      <c r="T12363" t="s">
        <v>48308</v>
      </c>
      <c r="U12363" t="s">
        <v>58711</v>
      </c>
      <c r="W12363" t="s">
        <v>46096</v>
      </c>
      <c r="X12363" t="s">
        <v>46584</v>
      </c>
    </row>
    <row r="12364" spans="1:24">
      <c r="A12364">
        <f>HYPERLINK("https://www.philgeps.gov.ph/GEPSNONPILOT/Tender/SplashBidNoticeAbstractUI.aspx?menuIndex=3&amp;refID=7043245&amp;Result=3","7043245")</f>
        <v>0</v>
      </c>
      <c r="B12364" t="s">
        <v>1600</v>
      </c>
      <c r="C12364" t="s">
        <v>15259</v>
      </c>
      <c r="D12364" t="s">
        <v>18835</v>
      </c>
      <c r="E12364" t="s">
        <v>29516</v>
      </c>
      <c r="F12364" t="s">
        <v>32664</v>
      </c>
      <c r="G12364" t="s">
        <v>32672</v>
      </c>
      <c r="H12364" t="s">
        <v>32683</v>
      </c>
      <c r="I12364" t="s">
        <v>10627</v>
      </c>
      <c r="J12364" t="s">
        <v>40104</v>
      </c>
      <c r="K12364" t="s">
        <v>42305</v>
      </c>
      <c r="M12364" t="s">
        <v>44277</v>
      </c>
      <c r="N12364" t="s">
        <v>46569</v>
      </c>
      <c r="O12364" t="s">
        <v>46570</v>
      </c>
      <c r="P12364">
        <v>0</v>
      </c>
      <c r="Q12364">
        <v>0</v>
      </c>
      <c r="R12364" t="s">
        <v>46581</v>
      </c>
      <c r="S12364" t="s">
        <v>47012</v>
      </c>
      <c r="T12364" t="s">
        <v>48212</v>
      </c>
      <c r="U12364" t="s">
        <v>58712</v>
      </c>
      <c r="W12364" t="s">
        <v>44277</v>
      </c>
      <c r="X12364" t="s">
        <v>46585</v>
      </c>
    </row>
    <row r="12365" spans="1:24">
      <c r="A12365">
        <f>HYPERLINK("https://www.philgeps.gov.ph/GEPSNONPILOT/Tender/SplashBidNoticeAbstractUI.aspx?menuIndex=3&amp;refID=7043238&amp;Result=3","7043238")</f>
        <v>0</v>
      </c>
      <c r="B12365" t="s">
        <v>1600</v>
      </c>
      <c r="C12365" t="s">
        <v>15260</v>
      </c>
      <c r="D12365" t="s">
        <v>18835</v>
      </c>
      <c r="E12365" t="s">
        <v>29517</v>
      </c>
      <c r="F12365" t="s">
        <v>32664</v>
      </c>
      <c r="G12365" t="s">
        <v>32672</v>
      </c>
      <c r="H12365" t="s">
        <v>32683</v>
      </c>
      <c r="I12365" t="s">
        <v>10627</v>
      </c>
      <c r="J12365" t="s">
        <v>40105</v>
      </c>
      <c r="K12365" t="s">
        <v>42313</v>
      </c>
      <c r="M12365" t="s">
        <v>44277</v>
      </c>
      <c r="N12365" t="s">
        <v>46569</v>
      </c>
      <c r="O12365" t="s">
        <v>46570</v>
      </c>
      <c r="P12365">
        <v>0</v>
      </c>
      <c r="Q12365">
        <v>0</v>
      </c>
      <c r="R12365" t="s">
        <v>46581</v>
      </c>
      <c r="S12365" t="s">
        <v>47012</v>
      </c>
      <c r="T12365" t="s">
        <v>48212</v>
      </c>
      <c r="U12365" t="s">
        <v>58713</v>
      </c>
      <c r="W12365" t="s">
        <v>44277</v>
      </c>
      <c r="X12365" t="s">
        <v>46585</v>
      </c>
    </row>
    <row r="12366" spans="1:24">
      <c r="A12366">
        <f>HYPERLINK("https://www.philgeps.gov.ph/GEPSNONPILOT/Tender/SplashBidNoticeAbstractUI.aspx?menuIndex=3&amp;refID=7043476&amp;Result=3","7043476")</f>
        <v>0</v>
      </c>
      <c r="B12366" t="s">
        <v>3183</v>
      </c>
      <c r="C12366" t="s">
        <v>15261</v>
      </c>
      <c r="D12366" t="s">
        <v>18847</v>
      </c>
      <c r="E12366" t="s">
        <v>29518</v>
      </c>
      <c r="F12366" t="s">
        <v>32664</v>
      </c>
      <c r="G12366" t="s">
        <v>32672</v>
      </c>
      <c r="H12366" t="s">
        <v>12635</v>
      </c>
      <c r="I12366" t="s">
        <v>32717</v>
      </c>
      <c r="J12366" t="s">
        <v>32842</v>
      </c>
      <c r="K12366" t="s">
        <v>42298</v>
      </c>
      <c r="M12366" t="s">
        <v>46096</v>
      </c>
      <c r="N12366" t="s">
        <v>46569</v>
      </c>
      <c r="O12366" t="s">
        <v>46570</v>
      </c>
      <c r="P12366">
        <v>0</v>
      </c>
      <c r="Q12366">
        <v>0</v>
      </c>
      <c r="R12366" t="s">
        <v>46581</v>
      </c>
      <c r="S12366" t="s">
        <v>47012</v>
      </c>
      <c r="T12366" t="s">
        <v>48308</v>
      </c>
      <c r="U12366" t="s">
        <v>58714</v>
      </c>
      <c r="W12366" t="s">
        <v>46096</v>
      </c>
      <c r="X12366" t="s">
        <v>46584</v>
      </c>
    </row>
    <row r="12367" spans="1:24">
      <c r="A12367">
        <f>HYPERLINK("https://www.philgeps.gov.ph/GEPSNONPILOT/Tender/SplashBidNoticeAbstractUI.aspx?menuIndex=3&amp;refID=7043237&amp;Result=3","7043237")</f>
        <v>0</v>
      </c>
      <c r="B12367" t="s">
        <v>1600</v>
      </c>
      <c r="C12367" t="s">
        <v>15262</v>
      </c>
      <c r="D12367" t="s">
        <v>18835</v>
      </c>
      <c r="E12367" t="s">
        <v>29519</v>
      </c>
      <c r="F12367" t="s">
        <v>32664</v>
      </c>
      <c r="G12367" t="s">
        <v>32672</v>
      </c>
      <c r="H12367" t="s">
        <v>32683</v>
      </c>
      <c r="I12367" t="s">
        <v>10627</v>
      </c>
      <c r="J12367" t="s">
        <v>40106</v>
      </c>
      <c r="K12367" t="s">
        <v>42281</v>
      </c>
      <c r="M12367" t="s">
        <v>44277</v>
      </c>
      <c r="N12367" t="s">
        <v>46569</v>
      </c>
      <c r="O12367" t="s">
        <v>46570</v>
      </c>
      <c r="P12367">
        <v>0</v>
      </c>
      <c r="Q12367">
        <v>0</v>
      </c>
      <c r="R12367" t="s">
        <v>46581</v>
      </c>
      <c r="S12367" t="s">
        <v>47012</v>
      </c>
      <c r="T12367" t="s">
        <v>48212</v>
      </c>
      <c r="U12367" t="s">
        <v>58715</v>
      </c>
      <c r="W12367" t="s">
        <v>44277</v>
      </c>
      <c r="X12367" t="s">
        <v>46585</v>
      </c>
    </row>
    <row r="12368" spans="1:24">
      <c r="A12368">
        <f>HYPERLINK("https://www.philgeps.gov.ph/GEPSNONPILOT/Tender/SplashBidNoticeAbstractUI.aspx?menuIndex=3&amp;refID=7043706&amp;Result=3","7043706")</f>
        <v>0</v>
      </c>
      <c r="B12368" t="s">
        <v>3180</v>
      </c>
      <c r="C12368" t="s">
        <v>15263</v>
      </c>
      <c r="D12368" t="s">
        <v>18821</v>
      </c>
      <c r="E12368" t="s">
        <v>29520</v>
      </c>
      <c r="F12368" t="s">
        <v>32664</v>
      </c>
      <c r="G12368" t="s">
        <v>32672</v>
      </c>
      <c r="H12368" t="s">
        <v>32683</v>
      </c>
      <c r="I12368" t="s">
        <v>10627</v>
      </c>
      <c r="J12368" t="s">
        <v>33051</v>
      </c>
      <c r="K12368" t="s">
        <v>42289</v>
      </c>
      <c r="M12368" t="s">
        <v>46093</v>
      </c>
      <c r="N12368" t="s">
        <v>46569</v>
      </c>
      <c r="O12368" t="s">
        <v>46570</v>
      </c>
      <c r="P12368">
        <v>0</v>
      </c>
      <c r="Q12368">
        <v>2</v>
      </c>
      <c r="R12368" t="s">
        <v>46581</v>
      </c>
      <c r="S12368" t="s">
        <v>47012</v>
      </c>
      <c r="T12368" t="s">
        <v>48283</v>
      </c>
      <c r="U12368" t="s">
        <v>58716</v>
      </c>
      <c r="V12368" t="s">
        <v>62975</v>
      </c>
      <c r="W12368" t="s">
        <v>46093</v>
      </c>
      <c r="X12368" t="s">
        <v>46583</v>
      </c>
    </row>
    <row r="12369" spans="1:24">
      <c r="A12369">
        <f>HYPERLINK("https://www.philgeps.gov.ph/GEPSNONPILOT/Tender/SplashBidNoticeAbstractUI.aspx?menuIndex=3&amp;refID=7043234&amp;Result=3","7043234")</f>
        <v>0</v>
      </c>
      <c r="B12369" t="s">
        <v>1600</v>
      </c>
      <c r="C12369" t="s">
        <v>15264</v>
      </c>
      <c r="D12369" t="s">
        <v>18835</v>
      </c>
      <c r="E12369" t="s">
        <v>29521</v>
      </c>
      <c r="F12369" t="s">
        <v>32664</v>
      </c>
      <c r="G12369" t="s">
        <v>32672</v>
      </c>
      <c r="H12369" t="s">
        <v>32683</v>
      </c>
      <c r="I12369" t="s">
        <v>10627</v>
      </c>
      <c r="J12369" t="s">
        <v>40106</v>
      </c>
      <c r="K12369" t="s">
        <v>42281</v>
      </c>
      <c r="M12369" t="s">
        <v>44277</v>
      </c>
      <c r="N12369" t="s">
        <v>46569</v>
      </c>
      <c r="O12369" t="s">
        <v>46570</v>
      </c>
      <c r="P12369">
        <v>0</v>
      </c>
      <c r="Q12369">
        <v>0</v>
      </c>
      <c r="R12369" t="s">
        <v>46581</v>
      </c>
      <c r="S12369" t="s">
        <v>47012</v>
      </c>
      <c r="T12369" t="s">
        <v>48212</v>
      </c>
      <c r="U12369" t="s">
        <v>58717</v>
      </c>
      <c r="W12369" t="s">
        <v>44277</v>
      </c>
      <c r="X12369" t="s">
        <v>46585</v>
      </c>
    </row>
    <row r="12370" spans="1:24">
      <c r="A12370">
        <f>HYPERLINK("https://www.philgeps.gov.ph/GEPSNONPILOT/Tender/SplashBidNoticeAbstractUI.aspx?menuIndex=3&amp;refID=7043835&amp;Result=3","7043835")</f>
        <v>0</v>
      </c>
      <c r="B12370" t="s">
        <v>1600</v>
      </c>
      <c r="C12370" t="s">
        <v>15265</v>
      </c>
      <c r="D12370" t="s">
        <v>18835</v>
      </c>
      <c r="E12370" t="s">
        <v>29522</v>
      </c>
      <c r="F12370" t="s">
        <v>32664</v>
      </c>
      <c r="G12370" t="s">
        <v>32672</v>
      </c>
      <c r="H12370" t="s">
        <v>32683</v>
      </c>
      <c r="I12370" t="s">
        <v>10627</v>
      </c>
      <c r="J12370" t="s">
        <v>40107</v>
      </c>
      <c r="K12370" t="s">
        <v>42290</v>
      </c>
      <c r="M12370" t="s">
        <v>44277</v>
      </c>
      <c r="N12370" t="s">
        <v>46569</v>
      </c>
      <c r="O12370" t="s">
        <v>46570</v>
      </c>
      <c r="P12370">
        <v>0</v>
      </c>
      <c r="Q12370">
        <v>1</v>
      </c>
      <c r="R12370" t="s">
        <v>46581</v>
      </c>
      <c r="S12370" t="s">
        <v>47012</v>
      </c>
      <c r="T12370" t="s">
        <v>48212</v>
      </c>
      <c r="U12370" t="s">
        <v>58718</v>
      </c>
      <c r="W12370" t="s">
        <v>44277</v>
      </c>
      <c r="X12370" t="s">
        <v>46583</v>
      </c>
    </row>
    <row r="12371" spans="1:24">
      <c r="A12371">
        <f>HYPERLINK("https://www.philgeps.gov.ph/GEPSNONPILOT/Tender/SplashBidNoticeAbstractUI.aspx?menuIndex=3&amp;refID=7043826&amp;Result=3","7043826")</f>
        <v>0</v>
      </c>
      <c r="B12371" t="s">
        <v>1600</v>
      </c>
      <c r="C12371" t="s">
        <v>15266</v>
      </c>
      <c r="D12371" t="s">
        <v>18835</v>
      </c>
      <c r="E12371" t="s">
        <v>29523</v>
      </c>
      <c r="F12371" t="s">
        <v>32664</v>
      </c>
      <c r="G12371" t="s">
        <v>32672</v>
      </c>
      <c r="H12371" t="s">
        <v>32683</v>
      </c>
      <c r="I12371" t="s">
        <v>10627</v>
      </c>
      <c r="J12371" t="s">
        <v>40108</v>
      </c>
      <c r="K12371" t="s">
        <v>42317</v>
      </c>
      <c r="M12371" t="s">
        <v>44277</v>
      </c>
      <c r="N12371" t="s">
        <v>46569</v>
      </c>
      <c r="O12371" t="s">
        <v>46570</v>
      </c>
      <c r="P12371">
        <v>0</v>
      </c>
      <c r="Q12371">
        <v>0</v>
      </c>
      <c r="R12371" t="s">
        <v>46581</v>
      </c>
      <c r="S12371" t="s">
        <v>47012</v>
      </c>
      <c r="T12371" t="s">
        <v>48212</v>
      </c>
      <c r="U12371" t="s">
        <v>58719</v>
      </c>
      <c r="W12371" t="s">
        <v>44277</v>
      </c>
      <c r="X12371" t="s">
        <v>46583</v>
      </c>
    </row>
    <row r="12372" spans="1:24">
      <c r="A12372">
        <f>HYPERLINK("https://www.philgeps.gov.ph/GEPSNONPILOT/Tender/SplashBidNoticeAbstractUI.aspx?menuIndex=3&amp;refID=7043248&amp;Result=3","7043248")</f>
        <v>0</v>
      </c>
      <c r="B12372" t="s">
        <v>1600</v>
      </c>
      <c r="C12372" t="s">
        <v>15267</v>
      </c>
      <c r="D12372" t="s">
        <v>18835</v>
      </c>
      <c r="E12372" t="s">
        <v>29524</v>
      </c>
      <c r="F12372" t="s">
        <v>32664</v>
      </c>
      <c r="G12372" t="s">
        <v>32672</v>
      </c>
      <c r="H12372" t="s">
        <v>32683</v>
      </c>
      <c r="I12372" t="s">
        <v>10627</v>
      </c>
      <c r="J12372" t="s">
        <v>40109</v>
      </c>
      <c r="K12372" t="s">
        <v>42305</v>
      </c>
      <c r="M12372" t="s">
        <v>44277</v>
      </c>
      <c r="N12372" t="s">
        <v>46569</v>
      </c>
      <c r="O12372" t="s">
        <v>46570</v>
      </c>
      <c r="P12372">
        <v>0</v>
      </c>
      <c r="Q12372">
        <v>0</v>
      </c>
      <c r="R12372" t="s">
        <v>46581</v>
      </c>
      <c r="S12372" t="s">
        <v>47012</v>
      </c>
      <c r="T12372" t="s">
        <v>48212</v>
      </c>
      <c r="U12372" t="s">
        <v>58720</v>
      </c>
      <c r="W12372" t="s">
        <v>44277</v>
      </c>
      <c r="X12372" t="s">
        <v>46585</v>
      </c>
    </row>
    <row r="12373" spans="1:24">
      <c r="A12373">
        <f>HYPERLINK("https://www.philgeps.gov.ph/GEPSNONPILOT/Tender/SplashBidNoticeAbstractUI.aspx?menuIndex=3&amp;refID=7043788&amp;Result=3","7043788")</f>
        <v>0</v>
      </c>
      <c r="B12373" t="s">
        <v>3183</v>
      </c>
      <c r="C12373" t="s">
        <v>15268</v>
      </c>
      <c r="D12373" t="s">
        <v>18815</v>
      </c>
      <c r="E12373" t="s">
        <v>29525</v>
      </c>
      <c r="F12373" t="s">
        <v>32664</v>
      </c>
      <c r="G12373" t="s">
        <v>32672</v>
      </c>
      <c r="H12373" t="s">
        <v>12635</v>
      </c>
      <c r="I12373" t="s">
        <v>32717</v>
      </c>
      <c r="J12373" t="s">
        <v>40110</v>
      </c>
      <c r="K12373" t="s">
        <v>42298</v>
      </c>
      <c r="M12373" t="s">
        <v>46096</v>
      </c>
      <c r="N12373" t="s">
        <v>46569</v>
      </c>
      <c r="O12373" t="s">
        <v>46570</v>
      </c>
      <c r="P12373">
        <v>0</v>
      </c>
      <c r="Q12373">
        <v>2</v>
      </c>
      <c r="R12373" t="s">
        <v>46581</v>
      </c>
      <c r="S12373" t="s">
        <v>47012</v>
      </c>
      <c r="T12373" t="s">
        <v>48308</v>
      </c>
      <c r="U12373" t="s">
        <v>58721</v>
      </c>
      <c r="W12373" t="s">
        <v>46096</v>
      </c>
      <c r="X12373" t="s">
        <v>46583</v>
      </c>
    </row>
    <row r="12374" spans="1:24">
      <c r="A12374">
        <f>HYPERLINK("https://www.philgeps.gov.ph/GEPSNONPILOT/Tender/SplashBidNoticeAbstractUI.aspx?menuIndex=3&amp;refID=7043832&amp;Result=3","7043832")</f>
        <v>0</v>
      </c>
      <c r="B12374" t="s">
        <v>2213</v>
      </c>
      <c r="C12374" t="s">
        <v>15269</v>
      </c>
      <c r="D12374" t="s">
        <v>18849</v>
      </c>
      <c r="E12374" t="s">
        <v>29526</v>
      </c>
      <c r="F12374" t="s">
        <v>32664</v>
      </c>
      <c r="G12374" t="s">
        <v>32672</v>
      </c>
      <c r="H12374" t="s">
        <v>32683</v>
      </c>
      <c r="I12374" t="s">
        <v>10627</v>
      </c>
      <c r="J12374" t="s">
        <v>33150</v>
      </c>
      <c r="K12374" t="s">
        <v>42369</v>
      </c>
      <c r="M12374" t="s">
        <v>44977</v>
      </c>
      <c r="N12374" t="s">
        <v>46569</v>
      </c>
      <c r="O12374" t="s">
        <v>46570</v>
      </c>
      <c r="P12374">
        <v>0</v>
      </c>
      <c r="Q12374">
        <v>2</v>
      </c>
      <c r="R12374" t="s">
        <v>46581</v>
      </c>
      <c r="S12374" t="s">
        <v>47012</v>
      </c>
      <c r="T12374" t="s">
        <v>48212</v>
      </c>
      <c r="U12374" t="s">
        <v>58722</v>
      </c>
      <c r="W12374" t="s">
        <v>44977</v>
      </c>
      <c r="X12374" t="s">
        <v>46583</v>
      </c>
    </row>
    <row r="12375" spans="1:24">
      <c r="A12375">
        <f>HYPERLINK("https://www.philgeps.gov.ph/GEPSNONPILOT/Tender/SplashBidNoticeAbstractUI.aspx?menuIndex=3&amp;refID=7043786&amp;Result=3","7043786")</f>
        <v>0</v>
      </c>
      <c r="B12375" t="s">
        <v>3183</v>
      </c>
      <c r="C12375" t="s">
        <v>15270</v>
      </c>
      <c r="D12375" t="s">
        <v>18815</v>
      </c>
      <c r="E12375" t="s">
        <v>29527</v>
      </c>
      <c r="F12375" t="s">
        <v>32664</v>
      </c>
      <c r="G12375" t="s">
        <v>32672</v>
      </c>
      <c r="H12375" t="s">
        <v>12635</v>
      </c>
      <c r="I12375" t="s">
        <v>32717</v>
      </c>
      <c r="J12375" t="s">
        <v>40111</v>
      </c>
      <c r="K12375" t="s">
        <v>42298</v>
      </c>
      <c r="M12375" t="s">
        <v>46096</v>
      </c>
      <c r="N12375" t="s">
        <v>46569</v>
      </c>
      <c r="O12375" t="s">
        <v>46570</v>
      </c>
      <c r="P12375">
        <v>0</v>
      </c>
      <c r="Q12375">
        <v>3</v>
      </c>
      <c r="R12375" t="s">
        <v>46581</v>
      </c>
      <c r="S12375" t="s">
        <v>47012</v>
      </c>
      <c r="T12375" t="s">
        <v>48308</v>
      </c>
      <c r="U12375" t="s">
        <v>58723</v>
      </c>
      <c r="W12375" t="s">
        <v>46096</v>
      </c>
      <c r="X12375" t="s">
        <v>46583</v>
      </c>
    </row>
    <row r="12376" spans="1:24">
      <c r="A12376">
        <f>HYPERLINK("https://www.philgeps.gov.ph/GEPSNONPILOT/Tender/SplashBidNoticeAbstractUI.aspx?menuIndex=3&amp;refID=7043781&amp;Result=3","7043781")</f>
        <v>0</v>
      </c>
      <c r="B12376" t="s">
        <v>3183</v>
      </c>
      <c r="C12376" t="s">
        <v>15271</v>
      </c>
      <c r="D12376" t="s">
        <v>18815</v>
      </c>
      <c r="E12376" t="s">
        <v>29528</v>
      </c>
      <c r="F12376" t="s">
        <v>32664</v>
      </c>
      <c r="G12376" t="s">
        <v>32672</v>
      </c>
      <c r="H12376" t="s">
        <v>12635</v>
      </c>
      <c r="I12376" t="s">
        <v>32717</v>
      </c>
      <c r="J12376" t="s">
        <v>40112</v>
      </c>
      <c r="K12376" t="s">
        <v>42298</v>
      </c>
      <c r="M12376" t="s">
        <v>46096</v>
      </c>
      <c r="N12376" t="s">
        <v>46569</v>
      </c>
      <c r="O12376" t="s">
        <v>46570</v>
      </c>
      <c r="P12376">
        <v>0</v>
      </c>
      <c r="Q12376">
        <v>4</v>
      </c>
      <c r="R12376" t="s">
        <v>46581</v>
      </c>
      <c r="S12376" t="s">
        <v>47012</v>
      </c>
      <c r="T12376" t="s">
        <v>48308</v>
      </c>
      <c r="U12376" t="s">
        <v>58723</v>
      </c>
      <c r="W12376" t="s">
        <v>46096</v>
      </c>
      <c r="X12376" t="s">
        <v>46583</v>
      </c>
    </row>
    <row r="12377" spans="1:24">
      <c r="A12377">
        <f>HYPERLINK("https://www.philgeps.gov.ph/GEPSNONPILOT/Tender/SplashBidNoticeAbstractUI.aspx?menuIndex=3&amp;refID=7043418&amp;Result=3","7043418")</f>
        <v>0</v>
      </c>
      <c r="B12377" t="s">
        <v>2127</v>
      </c>
      <c r="C12377" t="s">
        <v>15272</v>
      </c>
      <c r="D12377" t="s">
        <v>18802</v>
      </c>
      <c r="E12377" t="s">
        <v>19246</v>
      </c>
      <c r="F12377" t="s">
        <v>32664</v>
      </c>
      <c r="G12377" t="s">
        <v>32672</v>
      </c>
      <c r="H12377" t="s">
        <v>32683</v>
      </c>
      <c r="I12377" t="s">
        <v>10627</v>
      </c>
      <c r="J12377" t="s">
        <v>40113</v>
      </c>
      <c r="K12377" t="s">
        <v>42336</v>
      </c>
      <c r="M12377" t="s">
        <v>44882</v>
      </c>
      <c r="N12377" t="s">
        <v>46569</v>
      </c>
      <c r="O12377" t="s">
        <v>46570</v>
      </c>
      <c r="P12377">
        <v>0</v>
      </c>
      <c r="Q12377">
        <v>1</v>
      </c>
      <c r="R12377" t="s">
        <v>46581</v>
      </c>
      <c r="S12377" t="s">
        <v>47012</v>
      </c>
      <c r="T12377" t="s">
        <v>48236</v>
      </c>
      <c r="U12377" t="s">
        <v>58724</v>
      </c>
      <c r="W12377" t="s">
        <v>44882</v>
      </c>
      <c r="X12377" t="s">
        <v>46584</v>
      </c>
    </row>
    <row r="12378" spans="1:24">
      <c r="A12378">
        <f>HYPERLINK("https://www.philgeps.gov.ph/GEPSNONPILOT/Tender/SplashBidNoticeAbstractUI.aspx?menuIndex=3&amp;refID=7043780&amp;Result=3","7043780")</f>
        <v>0</v>
      </c>
      <c r="B12378" t="s">
        <v>3183</v>
      </c>
      <c r="C12378" t="s">
        <v>15273</v>
      </c>
      <c r="D12378" t="s">
        <v>18847</v>
      </c>
      <c r="E12378" t="s">
        <v>29529</v>
      </c>
      <c r="F12378" t="s">
        <v>32664</v>
      </c>
      <c r="G12378" t="s">
        <v>32672</v>
      </c>
      <c r="H12378" t="s">
        <v>12635</v>
      </c>
      <c r="I12378" t="s">
        <v>32717</v>
      </c>
      <c r="J12378" t="s">
        <v>40114</v>
      </c>
      <c r="K12378" t="s">
        <v>42298</v>
      </c>
      <c r="M12378" t="s">
        <v>46096</v>
      </c>
      <c r="N12378" t="s">
        <v>46569</v>
      </c>
      <c r="O12378" t="s">
        <v>46570</v>
      </c>
      <c r="P12378">
        <v>0</v>
      </c>
      <c r="Q12378">
        <v>0</v>
      </c>
      <c r="R12378" t="s">
        <v>46581</v>
      </c>
      <c r="S12378" t="s">
        <v>47012</v>
      </c>
      <c r="T12378" t="s">
        <v>48308</v>
      </c>
      <c r="U12378" t="s">
        <v>58725</v>
      </c>
      <c r="W12378" t="s">
        <v>46096</v>
      </c>
      <c r="X12378" t="s">
        <v>46583</v>
      </c>
    </row>
    <row r="12379" spans="1:24">
      <c r="A12379">
        <f>HYPERLINK("https://www.philgeps.gov.ph/GEPSNONPILOT/Tender/SplashBidNoticeAbstractUI.aspx?menuIndex=3&amp;refID=7043833&amp;Result=3","7043833")</f>
        <v>0</v>
      </c>
      <c r="B12379" t="s">
        <v>1600</v>
      </c>
      <c r="C12379" t="s">
        <v>15274</v>
      </c>
      <c r="D12379" t="s">
        <v>18835</v>
      </c>
      <c r="E12379" t="s">
        <v>29530</v>
      </c>
      <c r="F12379" t="s">
        <v>32664</v>
      </c>
      <c r="G12379" t="s">
        <v>32672</v>
      </c>
      <c r="H12379" t="s">
        <v>32683</v>
      </c>
      <c r="I12379" t="s">
        <v>10627</v>
      </c>
      <c r="J12379" t="s">
        <v>40115</v>
      </c>
      <c r="K12379" t="s">
        <v>42281</v>
      </c>
      <c r="M12379" t="s">
        <v>44277</v>
      </c>
      <c r="N12379" t="s">
        <v>46569</v>
      </c>
      <c r="O12379" t="s">
        <v>46570</v>
      </c>
      <c r="P12379">
        <v>0</v>
      </c>
      <c r="Q12379">
        <v>0</v>
      </c>
      <c r="R12379" t="s">
        <v>46581</v>
      </c>
      <c r="S12379" t="s">
        <v>47012</v>
      </c>
      <c r="T12379" t="s">
        <v>48212</v>
      </c>
      <c r="U12379" t="s">
        <v>58726</v>
      </c>
      <c r="W12379" t="s">
        <v>44277</v>
      </c>
      <c r="X12379" t="s">
        <v>46583</v>
      </c>
    </row>
    <row r="12380" spans="1:24">
      <c r="A12380">
        <f>HYPERLINK("https://www.philgeps.gov.ph/GEPSNONPILOT/Tender/SplashBidNoticeAbstractUI.aspx?menuIndex=3&amp;refID=7043777&amp;Result=3","7043777")</f>
        <v>0</v>
      </c>
      <c r="B12380" t="s">
        <v>3183</v>
      </c>
      <c r="C12380" t="s">
        <v>15275</v>
      </c>
      <c r="D12380" t="s">
        <v>18847</v>
      </c>
      <c r="E12380" t="s">
        <v>29531</v>
      </c>
      <c r="F12380" t="s">
        <v>32664</v>
      </c>
      <c r="G12380" t="s">
        <v>32672</v>
      </c>
      <c r="H12380" t="s">
        <v>12635</v>
      </c>
      <c r="I12380" t="s">
        <v>32717</v>
      </c>
      <c r="J12380" t="s">
        <v>32842</v>
      </c>
      <c r="K12380" t="s">
        <v>42298</v>
      </c>
      <c r="M12380" t="s">
        <v>46096</v>
      </c>
      <c r="N12380" t="s">
        <v>46569</v>
      </c>
      <c r="O12380" t="s">
        <v>46570</v>
      </c>
      <c r="P12380">
        <v>0</v>
      </c>
      <c r="Q12380">
        <v>0</v>
      </c>
      <c r="R12380" t="s">
        <v>46581</v>
      </c>
      <c r="S12380" t="s">
        <v>47012</v>
      </c>
      <c r="T12380" t="s">
        <v>48308</v>
      </c>
      <c r="U12380" t="s">
        <v>58727</v>
      </c>
      <c r="W12380" t="s">
        <v>46096</v>
      </c>
      <c r="X12380" t="s">
        <v>46583</v>
      </c>
    </row>
    <row r="12381" spans="1:24">
      <c r="A12381">
        <f>HYPERLINK("https://www.philgeps.gov.ph/GEPSNONPILOT/Tender/SplashBidNoticeAbstractUI.aspx?menuIndex=3&amp;refID=7043933&amp;Result=3","7043933")</f>
        <v>0</v>
      </c>
      <c r="B12381" t="s">
        <v>3184</v>
      </c>
      <c r="C12381" t="s">
        <v>15276</v>
      </c>
      <c r="D12381" t="s">
        <v>18793</v>
      </c>
      <c r="E12381" t="s">
        <v>29532</v>
      </c>
      <c r="F12381" t="s">
        <v>32664</v>
      </c>
      <c r="G12381" t="s">
        <v>32672</v>
      </c>
      <c r="H12381" t="s">
        <v>32683</v>
      </c>
      <c r="I12381" t="s">
        <v>10627</v>
      </c>
      <c r="J12381" t="s">
        <v>40116</v>
      </c>
      <c r="K12381" t="s">
        <v>42290</v>
      </c>
      <c r="M12381" t="s">
        <v>46097</v>
      </c>
      <c r="N12381" t="s">
        <v>46569</v>
      </c>
      <c r="O12381" t="s">
        <v>46570</v>
      </c>
      <c r="P12381">
        <v>0</v>
      </c>
      <c r="Q12381">
        <v>25</v>
      </c>
      <c r="R12381" t="s">
        <v>46581</v>
      </c>
      <c r="S12381" t="s">
        <v>47012</v>
      </c>
      <c r="T12381" t="s">
        <v>48284</v>
      </c>
      <c r="U12381" t="s">
        <v>58728</v>
      </c>
      <c r="W12381" t="s">
        <v>46097</v>
      </c>
      <c r="X12381" t="s">
        <v>46582</v>
      </c>
    </row>
    <row r="12382" spans="1:24">
      <c r="A12382">
        <f>HYPERLINK("https://www.philgeps.gov.ph/GEPSNONPILOT/Tender/SplashBidNoticeAbstractUI.aspx?menuIndex=3&amp;refID=7043783&amp;Result=3","7043783")</f>
        <v>0</v>
      </c>
      <c r="B12382" t="s">
        <v>3183</v>
      </c>
      <c r="C12382" t="s">
        <v>15277</v>
      </c>
      <c r="D12382" t="s">
        <v>18815</v>
      </c>
      <c r="E12382" t="s">
        <v>29533</v>
      </c>
      <c r="F12382" t="s">
        <v>32664</v>
      </c>
      <c r="G12382" t="s">
        <v>32672</v>
      </c>
      <c r="H12382" t="s">
        <v>12635</v>
      </c>
      <c r="I12382" t="s">
        <v>32717</v>
      </c>
      <c r="J12382" t="s">
        <v>40117</v>
      </c>
      <c r="K12382" t="s">
        <v>42298</v>
      </c>
      <c r="M12382" t="s">
        <v>46096</v>
      </c>
      <c r="N12382" t="s">
        <v>46569</v>
      </c>
      <c r="O12382" t="s">
        <v>46570</v>
      </c>
      <c r="P12382">
        <v>0</v>
      </c>
      <c r="Q12382">
        <v>2</v>
      </c>
      <c r="R12382" t="s">
        <v>46581</v>
      </c>
      <c r="S12382" t="s">
        <v>47012</v>
      </c>
      <c r="T12382" t="s">
        <v>48308</v>
      </c>
      <c r="U12382" t="s">
        <v>58729</v>
      </c>
      <c r="W12382" t="s">
        <v>46096</v>
      </c>
      <c r="X12382" t="s">
        <v>46583</v>
      </c>
    </row>
    <row r="12383" spans="1:24">
      <c r="A12383">
        <f>HYPERLINK("https://www.philgeps.gov.ph/GEPSNONPILOT/Tender/SplashBidNoticeAbstractUI.aspx?menuIndex=3&amp;refID=7043932&amp;Result=3","7043932")</f>
        <v>0</v>
      </c>
      <c r="B12383" t="s">
        <v>3184</v>
      </c>
      <c r="C12383" t="s">
        <v>15278</v>
      </c>
      <c r="D12383" t="s">
        <v>18793</v>
      </c>
      <c r="E12383" t="s">
        <v>29532</v>
      </c>
      <c r="F12383" t="s">
        <v>32664</v>
      </c>
      <c r="G12383" t="s">
        <v>32672</v>
      </c>
      <c r="H12383" t="s">
        <v>32683</v>
      </c>
      <c r="I12383" t="s">
        <v>10627</v>
      </c>
      <c r="J12383" t="s">
        <v>40118</v>
      </c>
      <c r="K12383" t="s">
        <v>42290</v>
      </c>
      <c r="M12383" t="s">
        <v>46097</v>
      </c>
      <c r="N12383" t="s">
        <v>46569</v>
      </c>
      <c r="O12383" t="s">
        <v>46570</v>
      </c>
      <c r="P12383">
        <v>0</v>
      </c>
      <c r="Q12383">
        <v>26</v>
      </c>
      <c r="R12383" t="s">
        <v>46581</v>
      </c>
      <c r="S12383" t="s">
        <v>47012</v>
      </c>
      <c r="T12383" t="s">
        <v>48284</v>
      </c>
      <c r="U12383" t="s">
        <v>58728</v>
      </c>
      <c r="W12383" t="s">
        <v>46097</v>
      </c>
      <c r="X12383" t="s">
        <v>46582</v>
      </c>
    </row>
    <row r="12384" spans="1:24">
      <c r="A12384">
        <f>HYPERLINK("https://www.philgeps.gov.ph/GEPSNONPILOT/Tender/SplashBidNoticeAbstractUI.aspx?menuIndex=3&amp;refID=7043931&amp;Result=3","7043931")</f>
        <v>0</v>
      </c>
      <c r="B12384" t="s">
        <v>3184</v>
      </c>
      <c r="C12384" t="s">
        <v>15279</v>
      </c>
      <c r="D12384" t="s">
        <v>18793</v>
      </c>
      <c r="E12384" t="s">
        <v>29532</v>
      </c>
      <c r="F12384" t="s">
        <v>32664</v>
      </c>
      <c r="G12384" t="s">
        <v>32672</v>
      </c>
      <c r="H12384" t="s">
        <v>32683</v>
      </c>
      <c r="I12384" t="s">
        <v>10627</v>
      </c>
      <c r="J12384" t="s">
        <v>40119</v>
      </c>
      <c r="K12384" t="s">
        <v>42290</v>
      </c>
      <c r="M12384" t="s">
        <v>46097</v>
      </c>
      <c r="N12384" t="s">
        <v>46569</v>
      </c>
      <c r="O12384" t="s">
        <v>46570</v>
      </c>
      <c r="P12384">
        <v>0</v>
      </c>
      <c r="Q12384">
        <v>26</v>
      </c>
      <c r="R12384" t="s">
        <v>46581</v>
      </c>
      <c r="S12384" t="s">
        <v>47012</v>
      </c>
      <c r="T12384" t="s">
        <v>48284</v>
      </c>
      <c r="U12384" t="s">
        <v>58728</v>
      </c>
      <c r="W12384" t="s">
        <v>46097</v>
      </c>
      <c r="X12384" t="s">
        <v>46582</v>
      </c>
    </row>
    <row r="12385" spans="1:24">
      <c r="A12385">
        <f>HYPERLINK("https://www.philgeps.gov.ph/GEPSNONPILOT/Tender/SplashBidNoticeAbstractUI.aspx?menuIndex=3&amp;refID=7043930&amp;Result=3","7043930")</f>
        <v>0</v>
      </c>
      <c r="B12385" t="s">
        <v>3184</v>
      </c>
      <c r="C12385" t="s">
        <v>15280</v>
      </c>
      <c r="D12385" t="s">
        <v>18793</v>
      </c>
      <c r="E12385" t="s">
        <v>29532</v>
      </c>
      <c r="F12385" t="s">
        <v>32664</v>
      </c>
      <c r="G12385" t="s">
        <v>32672</v>
      </c>
      <c r="H12385" t="s">
        <v>32683</v>
      </c>
      <c r="I12385" t="s">
        <v>10627</v>
      </c>
      <c r="J12385" t="s">
        <v>40120</v>
      </c>
      <c r="K12385" t="s">
        <v>42290</v>
      </c>
      <c r="M12385" t="s">
        <v>46097</v>
      </c>
      <c r="N12385" t="s">
        <v>46569</v>
      </c>
      <c r="O12385" t="s">
        <v>46570</v>
      </c>
      <c r="P12385">
        <v>0</v>
      </c>
      <c r="Q12385">
        <v>25</v>
      </c>
      <c r="R12385" t="s">
        <v>46581</v>
      </c>
      <c r="S12385" t="s">
        <v>47012</v>
      </c>
      <c r="T12385" t="s">
        <v>48284</v>
      </c>
      <c r="U12385" t="s">
        <v>58728</v>
      </c>
      <c r="W12385" t="s">
        <v>46097</v>
      </c>
      <c r="X12385" t="s">
        <v>46582</v>
      </c>
    </row>
    <row r="12386" spans="1:24">
      <c r="A12386">
        <f>HYPERLINK("https://www.philgeps.gov.ph/GEPSNONPILOT/Tender/SplashBidNoticeAbstractUI.aspx?menuIndex=3&amp;refID=7043928&amp;Result=3","7043928")</f>
        <v>0</v>
      </c>
      <c r="B12386" t="s">
        <v>3184</v>
      </c>
      <c r="C12386" t="s">
        <v>15281</v>
      </c>
      <c r="D12386" t="s">
        <v>18793</v>
      </c>
      <c r="E12386" t="s">
        <v>29532</v>
      </c>
      <c r="F12386" t="s">
        <v>32664</v>
      </c>
      <c r="G12386" t="s">
        <v>32672</v>
      </c>
      <c r="H12386" t="s">
        <v>32683</v>
      </c>
      <c r="I12386" t="s">
        <v>10627</v>
      </c>
      <c r="J12386" t="s">
        <v>40121</v>
      </c>
      <c r="K12386" t="s">
        <v>42290</v>
      </c>
      <c r="M12386" t="s">
        <v>46097</v>
      </c>
      <c r="N12386" t="s">
        <v>46569</v>
      </c>
      <c r="O12386" t="s">
        <v>46570</v>
      </c>
      <c r="P12386">
        <v>0</v>
      </c>
      <c r="Q12386">
        <v>28</v>
      </c>
      <c r="R12386" t="s">
        <v>46581</v>
      </c>
      <c r="S12386" t="s">
        <v>47012</v>
      </c>
      <c r="T12386" t="s">
        <v>48284</v>
      </c>
      <c r="U12386" t="s">
        <v>58728</v>
      </c>
      <c r="W12386" t="s">
        <v>46097</v>
      </c>
      <c r="X12386" t="s">
        <v>46582</v>
      </c>
    </row>
    <row r="12387" spans="1:24">
      <c r="A12387">
        <f>HYPERLINK("https://www.philgeps.gov.ph/GEPSNONPILOT/Tender/SplashBidNoticeAbstractUI.aspx?menuIndex=3&amp;refID=7043500&amp;Result=3","7043500")</f>
        <v>0</v>
      </c>
      <c r="B12387" t="s">
        <v>3183</v>
      </c>
      <c r="C12387" t="s">
        <v>15282</v>
      </c>
      <c r="D12387" t="s">
        <v>18847</v>
      </c>
      <c r="E12387" t="s">
        <v>29534</v>
      </c>
      <c r="F12387" t="s">
        <v>32664</v>
      </c>
      <c r="G12387" t="s">
        <v>32672</v>
      </c>
      <c r="H12387" t="s">
        <v>12635</v>
      </c>
      <c r="I12387" t="s">
        <v>32717</v>
      </c>
      <c r="J12387" t="s">
        <v>32917</v>
      </c>
      <c r="K12387" t="s">
        <v>42298</v>
      </c>
      <c r="M12387" t="s">
        <v>46096</v>
      </c>
      <c r="N12387" t="s">
        <v>46569</v>
      </c>
      <c r="O12387" t="s">
        <v>46570</v>
      </c>
      <c r="P12387">
        <v>0</v>
      </c>
      <c r="Q12387">
        <v>1</v>
      </c>
      <c r="R12387" t="s">
        <v>46581</v>
      </c>
      <c r="S12387" t="s">
        <v>47012</v>
      </c>
      <c r="T12387" t="s">
        <v>48308</v>
      </c>
      <c r="U12387" t="s">
        <v>58730</v>
      </c>
      <c r="W12387" t="s">
        <v>46096</v>
      </c>
      <c r="X12387" t="s">
        <v>46584</v>
      </c>
    </row>
    <row r="12388" spans="1:24">
      <c r="A12388">
        <f>HYPERLINK("https://www.philgeps.gov.ph/GEPSNONPILOT/Tender/SplashBidNoticeAbstractUI.aspx?menuIndex=3&amp;refID=7043927&amp;Result=3","7043927")</f>
        <v>0</v>
      </c>
      <c r="B12388" t="s">
        <v>3184</v>
      </c>
      <c r="C12388" t="s">
        <v>15283</v>
      </c>
      <c r="D12388" t="s">
        <v>18793</v>
      </c>
      <c r="E12388" t="s">
        <v>29532</v>
      </c>
      <c r="F12388" t="s">
        <v>32664</v>
      </c>
      <c r="G12388" t="s">
        <v>32672</v>
      </c>
      <c r="H12388" t="s">
        <v>32683</v>
      </c>
      <c r="I12388" t="s">
        <v>10627</v>
      </c>
      <c r="J12388" t="s">
        <v>40122</v>
      </c>
      <c r="K12388" t="s">
        <v>42290</v>
      </c>
      <c r="M12388" t="s">
        <v>46097</v>
      </c>
      <c r="N12388" t="s">
        <v>46569</v>
      </c>
      <c r="O12388" t="s">
        <v>46570</v>
      </c>
      <c r="P12388">
        <v>0</v>
      </c>
      <c r="Q12388">
        <v>27</v>
      </c>
      <c r="R12388" t="s">
        <v>46581</v>
      </c>
      <c r="S12388" t="s">
        <v>47012</v>
      </c>
      <c r="T12388" t="s">
        <v>48284</v>
      </c>
      <c r="U12388" t="s">
        <v>58728</v>
      </c>
      <c r="W12388" t="s">
        <v>46097</v>
      </c>
      <c r="X12388" t="s">
        <v>46582</v>
      </c>
    </row>
    <row r="12389" spans="1:24">
      <c r="A12389">
        <f>HYPERLINK("https://www.philgeps.gov.ph/GEPSNONPILOT/Tender/SplashBidNoticeAbstractUI.aspx?menuIndex=3&amp;refID=7043925&amp;Result=3","7043925")</f>
        <v>0</v>
      </c>
      <c r="B12389" t="s">
        <v>3184</v>
      </c>
      <c r="C12389" t="s">
        <v>15284</v>
      </c>
      <c r="D12389" t="s">
        <v>18793</v>
      </c>
      <c r="E12389" t="s">
        <v>29532</v>
      </c>
      <c r="F12389" t="s">
        <v>32664</v>
      </c>
      <c r="G12389" t="s">
        <v>32672</v>
      </c>
      <c r="H12389" t="s">
        <v>32683</v>
      </c>
      <c r="I12389" t="s">
        <v>10627</v>
      </c>
      <c r="J12389" t="s">
        <v>40123</v>
      </c>
      <c r="K12389" t="s">
        <v>42290</v>
      </c>
      <c r="M12389" t="s">
        <v>46097</v>
      </c>
      <c r="N12389" t="s">
        <v>46569</v>
      </c>
      <c r="O12389" t="s">
        <v>46570</v>
      </c>
      <c r="P12389">
        <v>0</v>
      </c>
      <c r="Q12389">
        <v>30</v>
      </c>
      <c r="R12389" t="s">
        <v>46581</v>
      </c>
      <c r="S12389" t="s">
        <v>47012</v>
      </c>
      <c r="T12389" t="s">
        <v>48284</v>
      </c>
      <c r="U12389" t="s">
        <v>58731</v>
      </c>
      <c r="W12389" t="s">
        <v>46097</v>
      </c>
      <c r="X12389" t="s">
        <v>46582</v>
      </c>
    </row>
    <row r="12390" spans="1:24">
      <c r="A12390">
        <f>HYPERLINK("https://www.philgeps.gov.ph/GEPSNONPILOT/Tender/SplashBidNoticeAbstractUI.aspx?menuIndex=3&amp;refID=7043917&amp;Result=3","7043917")</f>
        <v>0</v>
      </c>
      <c r="B12390" t="s">
        <v>3185</v>
      </c>
      <c r="C12390" t="s">
        <v>15285</v>
      </c>
      <c r="D12390" t="s">
        <v>18845</v>
      </c>
      <c r="E12390" t="s">
        <v>29535</v>
      </c>
      <c r="F12390" t="s">
        <v>32664</v>
      </c>
      <c r="G12390" t="s">
        <v>32672</v>
      </c>
      <c r="H12390" t="s">
        <v>32683</v>
      </c>
      <c r="I12390" t="s">
        <v>10627</v>
      </c>
      <c r="J12390" t="s">
        <v>33009</v>
      </c>
      <c r="K12390" t="s">
        <v>42311</v>
      </c>
      <c r="M12390" t="s">
        <v>46098</v>
      </c>
      <c r="N12390" t="s">
        <v>46569</v>
      </c>
      <c r="O12390" t="s">
        <v>46570</v>
      </c>
      <c r="P12390">
        <v>0</v>
      </c>
      <c r="Q12390">
        <v>4</v>
      </c>
      <c r="R12390" t="s">
        <v>46581</v>
      </c>
      <c r="S12390" t="s">
        <v>47012</v>
      </c>
      <c r="T12390" t="s">
        <v>48308</v>
      </c>
      <c r="U12390" t="s">
        <v>58732</v>
      </c>
      <c r="W12390" t="s">
        <v>46098</v>
      </c>
      <c r="X12390" t="s">
        <v>46582</v>
      </c>
    </row>
    <row r="12391" spans="1:24">
      <c r="A12391">
        <f>HYPERLINK("https://www.philgeps.gov.ph/GEPSNONPILOT/Tender/SplashBidNoticeAbstractUI.aspx?menuIndex=3&amp;refID=7043888&amp;Result=3","7043888")</f>
        <v>0</v>
      </c>
      <c r="B12391" t="s">
        <v>2626</v>
      </c>
      <c r="C12391" t="s">
        <v>15286</v>
      </c>
      <c r="D12391" t="s">
        <v>18830</v>
      </c>
      <c r="E12391" t="s">
        <v>29536</v>
      </c>
      <c r="F12391" t="s">
        <v>32664</v>
      </c>
      <c r="G12391" t="s">
        <v>32672</v>
      </c>
      <c r="H12391" t="s">
        <v>32683</v>
      </c>
      <c r="I12391" t="s">
        <v>10627</v>
      </c>
      <c r="J12391" t="s">
        <v>40124</v>
      </c>
      <c r="K12391" t="s">
        <v>42345</v>
      </c>
      <c r="M12391" t="s">
        <v>46069</v>
      </c>
      <c r="N12391" t="s">
        <v>46569</v>
      </c>
      <c r="O12391" t="s">
        <v>46570</v>
      </c>
      <c r="P12391">
        <v>0</v>
      </c>
      <c r="Q12391">
        <v>7</v>
      </c>
      <c r="R12391" t="s">
        <v>46581</v>
      </c>
      <c r="S12391" t="s">
        <v>47012</v>
      </c>
      <c r="T12391" t="s">
        <v>48264</v>
      </c>
      <c r="U12391" t="s">
        <v>49256</v>
      </c>
      <c r="W12391" t="s">
        <v>46069</v>
      </c>
      <c r="X12391" t="s">
        <v>46583</v>
      </c>
    </row>
    <row r="12392" spans="1:24">
      <c r="A12392">
        <f>HYPERLINK("https://www.philgeps.gov.ph/GEPSNONPILOT/Tender/SplashBidNoticeAbstractUI.aspx?menuIndex=3&amp;refID=7043929&amp;Result=3","7043929")</f>
        <v>0</v>
      </c>
      <c r="B12392" t="s">
        <v>3184</v>
      </c>
      <c r="C12392" t="s">
        <v>15287</v>
      </c>
      <c r="D12392" t="s">
        <v>18793</v>
      </c>
      <c r="E12392" t="s">
        <v>29532</v>
      </c>
      <c r="F12392" t="s">
        <v>32664</v>
      </c>
      <c r="G12392" t="s">
        <v>32672</v>
      </c>
      <c r="H12392" t="s">
        <v>32683</v>
      </c>
      <c r="I12392" t="s">
        <v>10627</v>
      </c>
      <c r="J12392" t="s">
        <v>40125</v>
      </c>
      <c r="K12392" t="s">
        <v>42290</v>
      </c>
      <c r="M12392" t="s">
        <v>46097</v>
      </c>
      <c r="N12392" t="s">
        <v>46569</v>
      </c>
      <c r="O12392" t="s">
        <v>46570</v>
      </c>
      <c r="P12392">
        <v>0</v>
      </c>
      <c r="Q12392">
        <v>26</v>
      </c>
      <c r="R12392" t="s">
        <v>46581</v>
      </c>
      <c r="S12392" t="s">
        <v>47012</v>
      </c>
      <c r="T12392" t="s">
        <v>48284</v>
      </c>
      <c r="U12392" t="s">
        <v>58728</v>
      </c>
      <c r="W12392" t="s">
        <v>46097</v>
      </c>
      <c r="X12392" t="s">
        <v>46582</v>
      </c>
    </row>
    <row r="12393" spans="1:24">
      <c r="A12393">
        <f>HYPERLINK("https://www.philgeps.gov.ph/GEPSNONPILOT/Tender/SplashBidNoticeAbstractUI.aspx?menuIndex=3&amp;refID=7043860&amp;Result=3","7043860")</f>
        <v>0</v>
      </c>
      <c r="B12393" t="s">
        <v>3186</v>
      </c>
      <c r="C12393" t="s">
        <v>15288</v>
      </c>
      <c r="E12393" t="s">
        <v>29537</v>
      </c>
      <c r="F12393" t="s">
        <v>32664</v>
      </c>
      <c r="G12393" t="s">
        <v>32671</v>
      </c>
      <c r="H12393" t="s">
        <v>12635</v>
      </c>
      <c r="I12393" t="s">
        <v>8730</v>
      </c>
      <c r="J12393" t="s">
        <v>40126</v>
      </c>
      <c r="K12393" t="s">
        <v>42283</v>
      </c>
      <c r="M12393" t="s">
        <v>46099</v>
      </c>
      <c r="N12393" t="s">
        <v>46569</v>
      </c>
      <c r="O12393" t="s">
        <v>46570</v>
      </c>
      <c r="P12393">
        <v>0</v>
      </c>
      <c r="Q12393">
        <v>0</v>
      </c>
      <c r="R12393" t="s">
        <v>46581</v>
      </c>
      <c r="S12393" t="s">
        <v>47012</v>
      </c>
      <c r="T12393" t="s">
        <v>48287</v>
      </c>
      <c r="U12393" t="s">
        <v>58733</v>
      </c>
      <c r="W12393" t="s">
        <v>46099</v>
      </c>
      <c r="X12393" t="s">
        <v>46583</v>
      </c>
    </row>
    <row r="12394" spans="1:24">
      <c r="A12394">
        <f>HYPERLINK("https://www.philgeps.gov.ph/GEPSNONPILOT/Tender/SplashBidNoticeAbstractUI.aspx?menuIndex=3&amp;refID=7043872&amp;Result=3","7043872")</f>
        <v>0</v>
      </c>
      <c r="B12394" t="s">
        <v>3187</v>
      </c>
      <c r="C12394" t="s">
        <v>15289</v>
      </c>
      <c r="D12394" t="s">
        <v>18783</v>
      </c>
      <c r="E12394" t="s">
        <v>29538</v>
      </c>
      <c r="F12394" t="s">
        <v>32664</v>
      </c>
      <c r="G12394" t="s">
        <v>32677</v>
      </c>
      <c r="H12394" t="s">
        <v>12635</v>
      </c>
      <c r="I12394" t="s">
        <v>8730</v>
      </c>
      <c r="J12394" t="s">
        <v>40127</v>
      </c>
      <c r="K12394" t="s">
        <v>42289</v>
      </c>
      <c r="M12394" t="s">
        <v>46100</v>
      </c>
      <c r="N12394" t="s">
        <v>46569</v>
      </c>
      <c r="O12394" t="s">
        <v>46570</v>
      </c>
      <c r="P12394">
        <v>0</v>
      </c>
      <c r="Q12394">
        <v>6</v>
      </c>
      <c r="R12394" t="s">
        <v>46581</v>
      </c>
      <c r="S12394" t="s">
        <v>47012</v>
      </c>
      <c r="T12394" t="s">
        <v>48213</v>
      </c>
      <c r="U12394" t="s">
        <v>58734</v>
      </c>
      <c r="V12394" t="s">
        <v>62976</v>
      </c>
      <c r="W12394" t="s">
        <v>46100</v>
      </c>
      <c r="X12394" t="s">
        <v>46583</v>
      </c>
    </row>
    <row r="12395" spans="1:24">
      <c r="A12395">
        <f>HYPERLINK("https://www.philgeps.gov.ph/GEPSNONPILOT/Tender/SplashBidNoticeAbstractUI.aspx?menuIndex=3&amp;refID=7043847&amp;Result=3","7043847")</f>
        <v>0</v>
      </c>
      <c r="B12395" t="s">
        <v>940</v>
      </c>
      <c r="C12395" t="s">
        <v>15290</v>
      </c>
      <c r="D12395" t="s">
        <v>18784</v>
      </c>
      <c r="E12395" t="s">
        <v>29539</v>
      </c>
      <c r="F12395" t="s">
        <v>32664</v>
      </c>
      <c r="G12395" t="s">
        <v>32672</v>
      </c>
      <c r="H12395" t="s">
        <v>12635</v>
      </c>
      <c r="I12395" t="s">
        <v>5589</v>
      </c>
      <c r="J12395" t="s">
        <v>40128</v>
      </c>
      <c r="K12395" t="s">
        <v>42291</v>
      </c>
      <c r="M12395" t="s">
        <v>46101</v>
      </c>
      <c r="N12395" t="s">
        <v>46569</v>
      </c>
      <c r="O12395" t="s">
        <v>46570</v>
      </c>
      <c r="Q12395">
        <v>5</v>
      </c>
      <c r="R12395" t="s">
        <v>46581</v>
      </c>
      <c r="S12395" t="s">
        <v>47047</v>
      </c>
      <c r="T12395" t="s">
        <v>48571</v>
      </c>
      <c r="U12395" t="s">
        <v>58735</v>
      </c>
      <c r="V12395" t="s">
        <v>62977</v>
      </c>
      <c r="W12395" t="s">
        <v>46101</v>
      </c>
      <c r="X12395" t="s">
        <v>46583</v>
      </c>
    </row>
    <row r="12396" spans="1:24">
      <c r="A12396">
        <f>HYPERLINK("https://www.philgeps.gov.ph/GEPSNONPILOT/Tender/SplashBidNoticeAbstractUI.aspx?menuIndex=3&amp;refID=7043846&amp;Result=3","7043846")</f>
        <v>0</v>
      </c>
      <c r="B12396" t="s">
        <v>2213</v>
      </c>
      <c r="C12396" t="s">
        <v>15291</v>
      </c>
      <c r="D12396" t="s">
        <v>18849</v>
      </c>
      <c r="E12396" t="s">
        <v>29540</v>
      </c>
      <c r="F12396" t="s">
        <v>32664</v>
      </c>
      <c r="G12396" t="s">
        <v>32672</v>
      </c>
      <c r="H12396" t="s">
        <v>32683</v>
      </c>
      <c r="I12396" t="s">
        <v>10627</v>
      </c>
      <c r="J12396" t="s">
        <v>34293</v>
      </c>
      <c r="K12396" t="s">
        <v>42369</v>
      </c>
      <c r="M12396" t="s">
        <v>44977</v>
      </c>
      <c r="N12396" t="s">
        <v>46569</v>
      </c>
      <c r="O12396" t="s">
        <v>46570</v>
      </c>
      <c r="P12396">
        <v>0</v>
      </c>
      <c r="Q12396">
        <v>2</v>
      </c>
      <c r="R12396" t="s">
        <v>46581</v>
      </c>
      <c r="S12396" t="s">
        <v>47012</v>
      </c>
      <c r="T12396" t="s">
        <v>48212</v>
      </c>
      <c r="U12396" t="s">
        <v>58736</v>
      </c>
      <c r="W12396" t="s">
        <v>44977</v>
      </c>
      <c r="X12396" t="s">
        <v>46583</v>
      </c>
    </row>
    <row r="12397" spans="1:24">
      <c r="A12397">
        <f>HYPERLINK("https://www.philgeps.gov.ph/GEPSNONPILOT/Tender/SplashBidNoticeAbstractUI.aspx?menuIndex=3&amp;refID=7043779&amp;Result=3","7043779")</f>
        <v>0</v>
      </c>
      <c r="B12397" t="s">
        <v>3183</v>
      </c>
      <c r="C12397" t="s">
        <v>15292</v>
      </c>
      <c r="D12397" t="s">
        <v>18847</v>
      </c>
      <c r="E12397" t="s">
        <v>29541</v>
      </c>
      <c r="F12397" t="s">
        <v>32664</v>
      </c>
      <c r="G12397" t="s">
        <v>32672</v>
      </c>
      <c r="H12397" t="s">
        <v>12635</v>
      </c>
      <c r="I12397" t="s">
        <v>32717</v>
      </c>
      <c r="J12397" t="s">
        <v>40129</v>
      </c>
      <c r="K12397" t="s">
        <v>42298</v>
      </c>
      <c r="M12397" t="s">
        <v>46096</v>
      </c>
      <c r="N12397" t="s">
        <v>46569</v>
      </c>
      <c r="O12397" t="s">
        <v>46570</v>
      </c>
      <c r="P12397">
        <v>0</v>
      </c>
      <c r="Q12397">
        <v>0</v>
      </c>
      <c r="R12397" t="s">
        <v>46581</v>
      </c>
      <c r="S12397" t="s">
        <v>47012</v>
      </c>
      <c r="T12397" t="s">
        <v>48308</v>
      </c>
      <c r="U12397" t="s">
        <v>58737</v>
      </c>
      <c r="W12397" t="s">
        <v>46096</v>
      </c>
      <c r="X12397" t="s">
        <v>46583</v>
      </c>
    </row>
    <row r="12398" spans="1:24">
      <c r="A12398">
        <f>HYPERLINK("https://www.philgeps.gov.ph/GEPSNONPILOT/Tender/SplashBidNoticeAbstractUI.aspx?menuIndex=3&amp;refID=7043842&amp;Result=3","7043842")</f>
        <v>0</v>
      </c>
      <c r="B12398" t="s">
        <v>2213</v>
      </c>
      <c r="C12398" t="s">
        <v>15293</v>
      </c>
      <c r="D12398" t="s">
        <v>18849</v>
      </c>
      <c r="E12398" t="s">
        <v>29542</v>
      </c>
      <c r="F12398" t="s">
        <v>32664</v>
      </c>
      <c r="G12398" t="s">
        <v>32672</v>
      </c>
      <c r="H12398" t="s">
        <v>32683</v>
      </c>
      <c r="I12398" t="s">
        <v>10627</v>
      </c>
      <c r="J12398" t="s">
        <v>33150</v>
      </c>
      <c r="K12398" t="s">
        <v>42305</v>
      </c>
      <c r="M12398" t="s">
        <v>44977</v>
      </c>
      <c r="N12398" t="s">
        <v>46569</v>
      </c>
      <c r="O12398" t="s">
        <v>46570</v>
      </c>
      <c r="P12398">
        <v>0</v>
      </c>
      <c r="Q12398">
        <v>2</v>
      </c>
      <c r="R12398" t="s">
        <v>46581</v>
      </c>
      <c r="S12398" t="s">
        <v>47012</v>
      </c>
      <c r="T12398" t="s">
        <v>48212</v>
      </c>
      <c r="U12398" t="s">
        <v>58738</v>
      </c>
      <c r="W12398" t="s">
        <v>44977</v>
      </c>
      <c r="X12398" t="s">
        <v>46583</v>
      </c>
    </row>
    <row r="12399" spans="1:24">
      <c r="A12399">
        <f>HYPERLINK("https://www.philgeps.gov.ph/GEPSNONPILOT/Tender/SplashBidNoticeAbstractUI.aspx?menuIndex=3&amp;refID=7043853&amp;Result=3","7043853")</f>
        <v>0</v>
      </c>
      <c r="B12399" t="s">
        <v>940</v>
      </c>
      <c r="C12399" t="s">
        <v>15294</v>
      </c>
      <c r="D12399" t="s">
        <v>18784</v>
      </c>
      <c r="E12399" t="s">
        <v>29543</v>
      </c>
      <c r="F12399" t="s">
        <v>32664</v>
      </c>
      <c r="G12399" t="s">
        <v>32672</v>
      </c>
      <c r="H12399" t="s">
        <v>12635</v>
      </c>
      <c r="I12399" t="s">
        <v>5589</v>
      </c>
      <c r="J12399" t="s">
        <v>40130</v>
      </c>
      <c r="K12399" t="s">
        <v>42291</v>
      </c>
      <c r="M12399" t="s">
        <v>46101</v>
      </c>
      <c r="N12399" t="s">
        <v>46569</v>
      </c>
      <c r="O12399" t="s">
        <v>46570</v>
      </c>
      <c r="Q12399">
        <v>5</v>
      </c>
      <c r="R12399" t="s">
        <v>46581</v>
      </c>
      <c r="S12399" t="s">
        <v>47048</v>
      </c>
      <c r="T12399" t="s">
        <v>48571</v>
      </c>
      <c r="U12399" t="s">
        <v>58735</v>
      </c>
      <c r="V12399" t="s">
        <v>62978</v>
      </c>
      <c r="W12399" t="s">
        <v>46101</v>
      </c>
      <c r="X12399" t="s">
        <v>46583</v>
      </c>
    </row>
    <row r="12400" spans="1:24">
      <c r="A12400">
        <f>HYPERLINK("https://www.philgeps.gov.ph/GEPSNONPILOT/Tender/SplashBidNoticeAbstractUI.aspx?menuIndex=3&amp;refID=7043836&amp;Result=3","7043836")</f>
        <v>0</v>
      </c>
      <c r="B12400" t="s">
        <v>2213</v>
      </c>
      <c r="C12400" t="s">
        <v>15295</v>
      </c>
      <c r="D12400" t="s">
        <v>18849</v>
      </c>
      <c r="E12400" t="s">
        <v>29544</v>
      </c>
      <c r="F12400" t="s">
        <v>32664</v>
      </c>
      <c r="G12400" t="s">
        <v>32672</v>
      </c>
      <c r="H12400" t="s">
        <v>32683</v>
      </c>
      <c r="I12400" t="s">
        <v>10627</v>
      </c>
      <c r="J12400" t="s">
        <v>33150</v>
      </c>
      <c r="K12400" t="s">
        <v>42369</v>
      </c>
      <c r="M12400" t="s">
        <v>44977</v>
      </c>
      <c r="N12400" t="s">
        <v>46569</v>
      </c>
      <c r="O12400" t="s">
        <v>46570</v>
      </c>
      <c r="P12400">
        <v>0</v>
      </c>
      <c r="Q12400">
        <v>2</v>
      </c>
      <c r="R12400" t="s">
        <v>46581</v>
      </c>
      <c r="S12400" t="s">
        <v>47012</v>
      </c>
      <c r="T12400" t="s">
        <v>48212</v>
      </c>
      <c r="U12400" t="s">
        <v>58739</v>
      </c>
      <c r="W12400" t="s">
        <v>44977</v>
      </c>
      <c r="X12400" t="s">
        <v>46583</v>
      </c>
    </row>
    <row r="12401" spans="1:24">
      <c r="A12401">
        <f>HYPERLINK("https://www.philgeps.gov.ph/GEPSNONPILOT/Tender/SplashBidNoticeAbstractUI.aspx?menuIndex=3&amp;refID=7043771&amp;Result=3","7043771")</f>
        <v>0</v>
      </c>
      <c r="B12401" t="s">
        <v>3188</v>
      </c>
      <c r="C12401" t="s">
        <v>15296</v>
      </c>
      <c r="D12401" t="s">
        <v>18827</v>
      </c>
      <c r="E12401" t="s">
        <v>19193</v>
      </c>
      <c r="F12401" t="s">
        <v>32664</v>
      </c>
      <c r="G12401" t="s">
        <v>32672</v>
      </c>
      <c r="H12401" t="s">
        <v>12635</v>
      </c>
      <c r="I12401" t="s">
        <v>4439</v>
      </c>
      <c r="J12401" t="s">
        <v>40131</v>
      </c>
      <c r="K12401" t="s">
        <v>42281</v>
      </c>
      <c r="L12401" t="s">
        <v>3188</v>
      </c>
      <c r="M12401" t="s">
        <v>46102</v>
      </c>
      <c r="N12401" t="s">
        <v>46569</v>
      </c>
      <c r="O12401" t="s">
        <v>46570</v>
      </c>
      <c r="Q12401">
        <v>1</v>
      </c>
      <c r="R12401" t="s">
        <v>46581</v>
      </c>
      <c r="S12401" t="s">
        <v>47049</v>
      </c>
      <c r="T12401" t="s">
        <v>48254</v>
      </c>
      <c r="U12401" t="s">
        <v>58740</v>
      </c>
      <c r="V12401" t="s">
        <v>62979</v>
      </c>
      <c r="W12401" t="s">
        <v>46102</v>
      </c>
      <c r="X12401" t="s">
        <v>46583</v>
      </c>
    </row>
    <row r="12402" spans="1:24">
      <c r="A12402">
        <f>HYPERLINK("https://www.philgeps.gov.ph/GEPSNONPILOT/Tender/SplashBidNoticeAbstractUI.aspx?menuIndex=3&amp;refID=7043822&amp;Result=3","7043822")</f>
        <v>0</v>
      </c>
      <c r="B12402" t="s">
        <v>1600</v>
      </c>
      <c r="C12402" t="s">
        <v>15297</v>
      </c>
      <c r="D12402" t="s">
        <v>18835</v>
      </c>
      <c r="E12402" t="s">
        <v>29545</v>
      </c>
      <c r="F12402" t="s">
        <v>32664</v>
      </c>
      <c r="G12402" t="s">
        <v>32672</v>
      </c>
      <c r="H12402" t="s">
        <v>32683</v>
      </c>
      <c r="I12402" t="s">
        <v>10627</v>
      </c>
      <c r="J12402" t="s">
        <v>40132</v>
      </c>
      <c r="K12402" t="s">
        <v>42310</v>
      </c>
      <c r="M12402" t="s">
        <v>44277</v>
      </c>
      <c r="N12402" t="s">
        <v>46569</v>
      </c>
      <c r="O12402" t="s">
        <v>46570</v>
      </c>
      <c r="P12402">
        <v>0</v>
      </c>
      <c r="Q12402">
        <v>0</v>
      </c>
      <c r="R12402" t="s">
        <v>46581</v>
      </c>
      <c r="S12402" t="s">
        <v>47012</v>
      </c>
      <c r="T12402" t="s">
        <v>48212</v>
      </c>
      <c r="U12402" t="s">
        <v>58741</v>
      </c>
      <c r="W12402" t="s">
        <v>44277</v>
      </c>
      <c r="X12402" t="s">
        <v>46583</v>
      </c>
    </row>
    <row r="12403" spans="1:24">
      <c r="A12403">
        <f>HYPERLINK("https://www.philgeps.gov.ph/GEPSNONPILOT/Tender/SplashBidNoticeAbstractUI.aspx?menuIndex=3&amp;refID=7043839&amp;Result=3","7043839")</f>
        <v>0</v>
      </c>
      <c r="B12403" t="s">
        <v>1600</v>
      </c>
      <c r="C12403" t="s">
        <v>15298</v>
      </c>
      <c r="D12403" t="s">
        <v>18835</v>
      </c>
      <c r="E12403" t="s">
        <v>29546</v>
      </c>
      <c r="F12403" t="s">
        <v>32664</v>
      </c>
      <c r="G12403" t="s">
        <v>32672</v>
      </c>
      <c r="H12403" t="s">
        <v>32683</v>
      </c>
      <c r="I12403" t="s">
        <v>10627</v>
      </c>
      <c r="J12403" t="s">
        <v>40133</v>
      </c>
      <c r="K12403" t="s">
        <v>42289</v>
      </c>
      <c r="M12403" t="s">
        <v>44277</v>
      </c>
      <c r="N12403" t="s">
        <v>46569</v>
      </c>
      <c r="O12403" t="s">
        <v>46570</v>
      </c>
      <c r="P12403">
        <v>0</v>
      </c>
      <c r="Q12403">
        <v>0</v>
      </c>
      <c r="R12403" t="s">
        <v>46581</v>
      </c>
      <c r="S12403" t="s">
        <v>47012</v>
      </c>
      <c r="T12403" t="s">
        <v>48212</v>
      </c>
      <c r="U12403" t="s">
        <v>58742</v>
      </c>
      <c r="W12403" t="s">
        <v>44277</v>
      </c>
      <c r="X12403" t="s">
        <v>46583</v>
      </c>
    </row>
    <row r="12404" spans="1:24">
      <c r="A12404">
        <f>HYPERLINK("https://www.philgeps.gov.ph/GEPSNONPILOT/Tender/SplashBidNoticeAbstractUI.aspx?menuIndex=3&amp;refID=7043242&amp;Result=3","7043242")</f>
        <v>0</v>
      </c>
      <c r="B12404" t="s">
        <v>1600</v>
      </c>
      <c r="C12404" t="s">
        <v>15299</v>
      </c>
      <c r="D12404" t="s">
        <v>18835</v>
      </c>
      <c r="E12404" t="s">
        <v>29547</v>
      </c>
      <c r="F12404" t="s">
        <v>32664</v>
      </c>
      <c r="G12404" t="s">
        <v>32672</v>
      </c>
      <c r="H12404" t="s">
        <v>32683</v>
      </c>
      <c r="I12404" t="s">
        <v>10627</v>
      </c>
      <c r="J12404" t="s">
        <v>40134</v>
      </c>
      <c r="K12404" t="s">
        <v>42369</v>
      </c>
      <c r="M12404" t="s">
        <v>44277</v>
      </c>
      <c r="N12404" t="s">
        <v>46569</v>
      </c>
      <c r="O12404" t="s">
        <v>46570</v>
      </c>
      <c r="P12404">
        <v>0</v>
      </c>
      <c r="Q12404">
        <v>0</v>
      </c>
      <c r="R12404" t="s">
        <v>46581</v>
      </c>
      <c r="S12404" t="s">
        <v>47012</v>
      </c>
      <c r="T12404" t="s">
        <v>48212</v>
      </c>
      <c r="U12404" t="s">
        <v>58743</v>
      </c>
      <c r="W12404" t="s">
        <v>44277</v>
      </c>
      <c r="X12404" t="s">
        <v>46585</v>
      </c>
    </row>
    <row r="12405" spans="1:24">
      <c r="A12405">
        <f>HYPERLINK("https://www.philgeps.gov.ph/GEPSNONPILOT/Tender/SplashBidNoticeAbstractUI.aspx?menuIndex=3&amp;refID=7044047&amp;Result=3","7044047")</f>
        <v>0</v>
      </c>
      <c r="B12405" t="s">
        <v>3167</v>
      </c>
      <c r="C12405" t="s">
        <v>15300</v>
      </c>
      <c r="D12405" t="s">
        <v>18796</v>
      </c>
      <c r="E12405" t="s">
        <v>29548</v>
      </c>
      <c r="F12405" t="s">
        <v>32664</v>
      </c>
      <c r="G12405" t="s">
        <v>32672</v>
      </c>
      <c r="H12405" t="s">
        <v>32683</v>
      </c>
      <c r="I12405" t="s">
        <v>6553</v>
      </c>
      <c r="J12405" t="s">
        <v>40135</v>
      </c>
      <c r="K12405" t="s">
        <v>42290</v>
      </c>
      <c r="M12405" t="s">
        <v>46072</v>
      </c>
      <c r="N12405" t="s">
        <v>46569</v>
      </c>
      <c r="O12405" t="s">
        <v>46570</v>
      </c>
      <c r="P12405">
        <v>0</v>
      </c>
      <c r="Q12405">
        <v>2</v>
      </c>
      <c r="R12405" t="s">
        <v>46581</v>
      </c>
      <c r="S12405" t="s">
        <v>47012</v>
      </c>
      <c r="T12405" t="s">
        <v>48303</v>
      </c>
      <c r="U12405" t="s">
        <v>58744</v>
      </c>
      <c r="V12405" t="s">
        <v>62958</v>
      </c>
      <c r="W12405" t="s">
        <v>46072</v>
      </c>
      <c r="X12405" t="s">
        <v>46582</v>
      </c>
    </row>
    <row r="12406" spans="1:24">
      <c r="A12406">
        <f>HYPERLINK("https://www.philgeps.gov.ph/GEPSNONPILOT/Tender/SplashBidNoticeAbstractUI.aspx?menuIndex=3&amp;refID=7044042&amp;Result=3","7044042")</f>
        <v>0</v>
      </c>
      <c r="B12406" t="s">
        <v>3167</v>
      </c>
      <c r="C12406" t="s">
        <v>15301</v>
      </c>
      <c r="D12406" t="s">
        <v>18796</v>
      </c>
      <c r="E12406" t="s">
        <v>29549</v>
      </c>
      <c r="F12406" t="s">
        <v>32664</v>
      </c>
      <c r="G12406" t="s">
        <v>32672</v>
      </c>
      <c r="H12406" t="s">
        <v>32683</v>
      </c>
      <c r="I12406" t="s">
        <v>6553</v>
      </c>
      <c r="J12406" t="s">
        <v>40136</v>
      </c>
      <c r="K12406" t="s">
        <v>42290</v>
      </c>
      <c r="M12406" t="s">
        <v>46072</v>
      </c>
      <c r="N12406" t="s">
        <v>46569</v>
      </c>
      <c r="O12406" t="s">
        <v>46570</v>
      </c>
      <c r="P12406">
        <v>0</v>
      </c>
      <c r="Q12406">
        <v>2</v>
      </c>
      <c r="R12406" t="s">
        <v>46581</v>
      </c>
      <c r="S12406" t="s">
        <v>47012</v>
      </c>
      <c r="T12406" t="s">
        <v>48303</v>
      </c>
      <c r="U12406" t="s">
        <v>58745</v>
      </c>
      <c r="V12406" t="s">
        <v>62958</v>
      </c>
      <c r="W12406" t="s">
        <v>46072</v>
      </c>
      <c r="X12406" t="s">
        <v>46582</v>
      </c>
    </row>
    <row r="12407" spans="1:24">
      <c r="A12407">
        <f>HYPERLINK("https://www.philgeps.gov.ph/GEPSNONPILOT/Tender/SplashBidNoticeAbstractUI.aspx?menuIndex=3&amp;refID=7044048&amp;Result=3","7044048")</f>
        <v>0</v>
      </c>
      <c r="B12407" t="s">
        <v>3167</v>
      </c>
      <c r="C12407" t="s">
        <v>15302</v>
      </c>
      <c r="D12407" t="s">
        <v>18796</v>
      </c>
      <c r="E12407" t="s">
        <v>29550</v>
      </c>
      <c r="F12407" t="s">
        <v>32664</v>
      </c>
      <c r="G12407" t="s">
        <v>32672</v>
      </c>
      <c r="H12407" t="s">
        <v>32683</v>
      </c>
      <c r="I12407" t="s">
        <v>6553</v>
      </c>
      <c r="J12407" t="s">
        <v>40137</v>
      </c>
      <c r="K12407" t="s">
        <v>42290</v>
      </c>
      <c r="M12407" t="s">
        <v>46072</v>
      </c>
      <c r="N12407" t="s">
        <v>46569</v>
      </c>
      <c r="O12407" t="s">
        <v>46570</v>
      </c>
      <c r="P12407">
        <v>0</v>
      </c>
      <c r="Q12407">
        <v>1</v>
      </c>
      <c r="R12407" t="s">
        <v>46581</v>
      </c>
      <c r="S12407" t="s">
        <v>47012</v>
      </c>
      <c r="T12407" t="s">
        <v>48303</v>
      </c>
      <c r="U12407" t="s">
        <v>58746</v>
      </c>
      <c r="V12407" t="s">
        <v>62958</v>
      </c>
      <c r="W12407" t="s">
        <v>46072</v>
      </c>
      <c r="X12407" t="s">
        <v>46582</v>
      </c>
    </row>
    <row r="12408" spans="1:24">
      <c r="A12408">
        <f>HYPERLINK("https://www.philgeps.gov.ph/GEPSNONPILOT/Tender/SplashBidNoticeAbstractUI.aspx?menuIndex=3&amp;refID=7044041&amp;Result=3","7044041")</f>
        <v>0</v>
      </c>
      <c r="B12408" t="s">
        <v>3167</v>
      </c>
      <c r="C12408" t="s">
        <v>15303</v>
      </c>
      <c r="D12408" t="s">
        <v>18796</v>
      </c>
      <c r="E12408" t="s">
        <v>29551</v>
      </c>
      <c r="F12408" t="s">
        <v>32664</v>
      </c>
      <c r="G12408" t="s">
        <v>32672</v>
      </c>
      <c r="H12408" t="s">
        <v>32683</v>
      </c>
      <c r="I12408" t="s">
        <v>6553</v>
      </c>
      <c r="J12408" t="s">
        <v>40138</v>
      </c>
      <c r="K12408" t="s">
        <v>42290</v>
      </c>
      <c r="M12408" t="s">
        <v>46072</v>
      </c>
      <c r="N12408" t="s">
        <v>46569</v>
      </c>
      <c r="O12408" t="s">
        <v>46570</v>
      </c>
      <c r="P12408">
        <v>0</v>
      </c>
      <c r="Q12408">
        <v>1</v>
      </c>
      <c r="R12408" t="s">
        <v>46581</v>
      </c>
      <c r="S12408" t="s">
        <v>47012</v>
      </c>
      <c r="T12408" t="s">
        <v>48303</v>
      </c>
      <c r="U12408" t="s">
        <v>58747</v>
      </c>
      <c r="V12408" t="s">
        <v>62958</v>
      </c>
      <c r="W12408" t="s">
        <v>46072</v>
      </c>
      <c r="X12408" t="s">
        <v>46582</v>
      </c>
    </row>
    <row r="12409" spans="1:24">
      <c r="A12409">
        <f>HYPERLINK("https://www.philgeps.gov.ph/GEPSNONPILOT/Tender/SplashBidNoticeAbstractUI.aspx?menuIndex=3&amp;refID=7044046&amp;Result=3","7044046")</f>
        <v>0</v>
      </c>
      <c r="B12409" t="s">
        <v>3167</v>
      </c>
      <c r="C12409" t="s">
        <v>15304</v>
      </c>
      <c r="D12409" t="s">
        <v>18796</v>
      </c>
      <c r="E12409" t="s">
        <v>29552</v>
      </c>
      <c r="F12409" t="s">
        <v>32664</v>
      </c>
      <c r="G12409" t="s">
        <v>32672</v>
      </c>
      <c r="H12409" t="s">
        <v>32683</v>
      </c>
      <c r="I12409" t="s">
        <v>6553</v>
      </c>
      <c r="J12409" t="s">
        <v>40139</v>
      </c>
      <c r="K12409" t="s">
        <v>42290</v>
      </c>
      <c r="M12409" t="s">
        <v>46072</v>
      </c>
      <c r="N12409" t="s">
        <v>46569</v>
      </c>
      <c r="O12409" t="s">
        <v>46570</v>
      </c>
      <c r="P12409">
        <v>0</v>
      </c>
      <c r="Q12409">
        <v>2</v>
      </c>
      <c r="R12409" t="s">
        <v>46581</v>
      </c>
      <c r="S12409" t="s">
        <v>47012</v>
      </c>
      <c r="T12409" t="s">
        <v>48303</v>
      </c>
      <c r="U12409" t="s">
        <v>58748</v>
      </c>
      <c r="V12409" t="s">
        <v>62958</v>
      </c>
      <c r="W12409" t="s">
        <v>46072</v>
      </c>
      <c r="X12409" t="s">
        <v>46582</v>
      </c>
    </row>
    <row r="12410" spans="1:24">
      <c r="A12410">
        <f>HYPERLINK("https://www.philgeps.gov.ph/GEPSNONPILOT/Tender/SplashBidNoticeAbstractUI.aspx?menuIndex=3&amp;refID=7043483&amp;Result=3","7043483")</f>
        <v>0</v>
      </c>
      <c r="B12410" t="s">
        <v>3183</v>
      </c>
      <c r="C12410" t="s">
        <v>15305</v>
      </c>
      <c r="D12410" t="s">
        <v>18847</v>
      </c>
      <c r="E12410" t="s">
        <v>29553</v>
      </c>
      <c r="F12410" t="s">
        <v>32664</v>
      </c>
      <c r="G12410" t="s">
        <v>32672</v>
      </c>
      <c r="H12410" t="s">
        <v>12635</v>
      </c>
      <c r="I12410" t="s">
        <v>32717</v>
      </c>
      <c r="J12410" t="s">
        <v>40140</v>
      </c>
      <c r="K12410" t="s">
        <v>42298</v>
      </c>
      <c r="M12410" t="s">
        <v>46096</v>
      </c>
      <c r="N12410" t="s">
        <v>46569</v>
      </c>
      <c r="O12410" t="s">
        <v>46570</v>
      </c>
      <c r="P12410">
        <v>0</v>
      </c>
      <c r="Q12410">
        <v>3</v>
      </c>
      <c r="R12410" t="s">
        <v>46581</v>
      </c>
      <c r="S12410" t="s">
        <v>47012</v>
      </c>
      <c r="T12410" t="s">
        <v>48308</v>
      </c>
      <c r="U12410" t="s">
        <v>58737</v>
      </c>
      <c r="W12410" t="s">
        <v>46096</v>
      </c>
      <c r="X12410" t="s">
        <v>46584</v>
      </c>
    </row>
    <row r="12411" spans="1:24">
      <c r="A12411">
        <f>HYPERLINK("https://www.philgeps.gov.ph/GEPSNONPILOT/Tender/SplashBidNoticeAbstractUI.aspx?menuIndex=3&amp;refID=7043773&amp;Result=3","7043773")</f>
        <v>0</v>
      </c>
      <c r="B12411" t="s">
        <v>3183</v>
      </c>
      <c r="C12411" t="s">
        <v>15306</v>
      </c>
      <c r="D12411" t="s">
        <v>18847</v>
      </c>
      <c r="E12411" t="s">
        <v>29554</v>
      </c>
      <c r="F12411" t="s">
        <v>32664</v>
      </c>
      <c r="G12411" t="s">
        <v>32672</v>
      </c>
      <c r="H12411" t="s">
        <v>12635</v>
      </c>
      <c r="I12411" t="s">
        <v>32717</v>
      </c>
      <c r="J12411" t="s">
        <v>32898</v>
      </c>
      <c r="K12411" t="s">
        <v>42298</v>
      </c>
      <c r="M12411" t="s">
        <v>46096</v>
      </c>
      <c r="N12411" t="s">
        <v>46569</v>
      </c>
      <c r="O12411" t="s">
        <v>46570</v>
      </c>
      <c r="P12411">
        <v>0</v>
      </c>
      <c r="Q12411">
        <v>0</v>
      </c>
      <c r="R12411" t="s">
        <v>46581</v>
      </c>
      <c r="S12411" t="s">
        <v>47012</v>
      </c>
      <c r="T12411" t="s">
        <v>48308</v>
      </c>
      <c r="U12411" t="s">
        <v>58725</v>
      </c>
      <c r="W12411" t="s">
        <v>46096</v>
      </c>
      <c r="X12411" t="s">
        <v>46583</v>
      </c>
    </row>
    <row r="12412" spans="1:24">
      <c r="A12412">
        <f>HYPERLINK("https://www.philgeps.gov.ph/GEPSNONPILOT/Tender/SplashBidNoticeAbstractUI.aspx?menuIndex=3&amp;refID=7043843&amp;Result=3","7043843")</f>
        <v>0</v>
      </c>
      <c r="B12412" t="s">
        <v>1600</v>
      </c>
      <c r="C12412" t="s">
        <v>15307</v>
      </c>
      <c r="D12412" t="s">
        <v>18835</v>
      </c>
      <c r="E12412" t="s">
        <v>29555</v>
      </c>
      <c r="F12412" t="s">
        <v>32664</v>
      </c>
      <c r="G12412" t="s">
        <v>32672</v>
      </c>
      <c r="H12412" t="s">
        <v>32683</v>
      </c>
      <c r="I12412" t="s">
        <v>10627</v>
      </c>
      <c r="J12412" t="s">
        <v>40141</v>
      </c>
      <c r="K12412" t="s">
        <v>42298</v>
      </c>
      <c r="M12412" t="s">
        <v>44277</v>
      </c>
      <c r="N12412" t="s">
        <v>46569</v>
      </c>
      <c r="O12412" t="s">
        <v>46570</v>
      </c>
      <c r="P12412">
        <v>0</v>
      </c>
      <c r="Q12412">
        <v>0</v>
      </c>
      <c r="R12412" t="s">
        <v>46581</v>
      </c>
      <c r="S12412" t="s">
        <v>47012</v>
      </c>
      <c r="T12412" t="s">
        <v>48212</v>
      </c>
      <c r="U12412" t="s">
        <v>58749</v>
      </c>
      <c r="W12412" t="s">
        <v>44277</v>
      </c>
      <c r="X12412" t="s">
        <v>46583</v>
      </c>
    </row>
    <row r="12413" spans="1:24">
      <c r="A12413">
        <f>HYPERLINK("https://www.philgeps.gov.ph/GEPSNONPILOT/Tender/SplashBidNoticeAbstractUI.aspx?menuIndex=3&amp;refID=7044033&amp;Result=3","7044033")</f>
        <v>0</v>
      </c>
      <c r="B12413" t="s">
        <v>3167</v>
      </c>
      <c r="C12413" t="s">
        <v>15308</v>
      </c>
      <c r="D12413" t="s">
        <v>18796</v>
      </c>
      <c r="E12413" t="s">
        <v>29556</v>
      </c>
      <c r="F12413" t="s">
        <v>32664</v>
      </c>
      <c r="G12413" t="s">
        <v>32672</v>
      </c>
      <c r="H12413" t="s">
        <v>32683</v>
      </c>
      <c r="I12413" t="s">
        <v>6553</v>
      </c>
      <c r="J12413" t="s">
        <v>40142</v>
      </c>
      <c r="K12413" t="s">
        <v>42290</v>
      </c>
      <c r="M12413" t="s">
        <v>46072</v>
      </c>
      <c r="N12413" t="s">
        <v>46569</v>
      </c>
      <c r="O12413" t="s">
        <v>46570</v>
      </c>
      <c r="P12413">
        <v>0</v>
      </c>
      <c r="Q12413">
        <v>1</v>
      </c>
      <c r="R12413" t="s">
        <v>46581</v>
      </c>
      <c r="S12413" t="s">
        <v>47012</v>
      </c>
      <c r="T12413" t="s">
        <v>48303</v>
      </c>
      <c r="U12413" t="s">
        <v>58750</v>
      </c>
      <c r="V12413" t="s">
        <v>62958</v>
      </c>
      <c r="W12413" t="s">
        <v>46072</v>
      </c>
      <c r="X12413" t="s">
        <v>46582</v>
      </c>
    </row>
    <row r="12414" spans="1:24">
      <c r="A12414">
        <f>HYPERLINK("https://www.philgeps.gov.ph/GEPSNONPILOT/Tender/SplashBidNoticeAbstractUI.aspx?menuIndex=3&amp;refID=7044044&amp;Result=3","7044044")</f>
        <v>0</v>
      </c>
      <c r="B12414" t="s">
        <v>3167</v>
      </c>
      <c r="C12414" t="s">
        <v>15309</v>
      </c>
      <c r="D12414" t="s">
        <v>18796</v>
      </c>
      <c r="E12414" t="s">
        <v>29557</v>
      </c>
      <c r="F12414" t="s">
        <v>32664</v>
      </c>
      <c r="G12414" t="s">
        <v>32672</v>
      </c>
      <c r="H12414" t="s">
        <v>32683</v>
      </c>
      <c r="I12414" t="s">
        <v>6553</v>
      </c>
      <c r="J12414" t="s">
        <v>40143</v>
      </c>
      <c r="K12414" t="s">
        <v>42290</v>
      </c>
      <c r="M12414" t="s">
        <v>46072</v>
      </c>
      <c r="N12414" t="s">
        <v>46569</v>
      </c>
      <c r="O12414" t="s">
        <v>46570</v>
      </c>
      <c r="P12414">
        <v>0</v>
      </c>
      <c r="Q12414">
        <v>1</v>
      </c>
      <c r="R12414" t="s">
        <v>46581</v>
      </c>
      <c r="S12414" t="s">
        <v>47012</v>
      </c>
      <c r="T12414" t="s">
        <v>48303</v>
      </c>
      <c r="U12414" t="s">
        <v>58751</v>
      </c>
      <c r="V12414" t="s">
        <v>62958</v>
      </c>
      <c r="W12414" t="s">
        <v>46072</v>
      </c>
      <c r="X12414" t="s">
        <v>46582</v>
      </c>
    </row>
    <row r="12415" spans="1:24">
      <c r="A12415">
        <f>HYPERLINK("https://www.philgeps.gov.ph/GEPSNONPILOT/Tender/SplashBidNoticeAbstractUI.aspx?menuIndex=3&amp;refID=7044032&amp;Result=3","7044032")</f>
        <v>0</v>
      </c>
      <c r="B12415" t="s">
        <v>3167</v>
      </c>
      <c r="C12415" t="s">
        <v>15310</v>
      </c>
      <c r="D12415" t="s">
        <v>18796</v>
      </c>
      <c r="E12415" t="s">
        <v>29558</v>
      </c>
      <c r="F12415" t="s">
        <v>32664</v>
      </c>
      <c r="G12415" t="s">
        <v>32672</v>
      </c>
      <c r="H12415" t="s">
        <v>32683</v>
      </c>
      <c r="I12415" t="s">
        <v>6553</v>
      </c>
      <c r="J12415" t="s">
        <v>40144</v>
      </c>
      <c r="K12415" t="s">
        <v>42290</v>
      </c>
      <c r="M12415" t="s">
        <v>46072</v>
      </c>
      <c r="N12415" t="s">
        <v>46569</v>
      </c>
      <c r="O12415" t="s">
        <v>46570</v>
      </c>
      <c r="P12415">
        <v>0</v>
      </c>
      <c r="Q12415">
        <v>1</v>
      </c>
      <c r="R12415" t="s">
        <v>46581</v>
      </c>
      <c r="S12415" t="s">
        <v>47012</v>
      </c>
      <c r="T12415" t="s">
        <v>48303</v>
      </c>
      <c r="U12415" t="s">
        <v>58752</v>
      </c>
      <c r="V12415" t="s">
        <v>62958</v>
      </c>
      <c r="W12415" t="s">
        <v>46072</v>
      </c>
      <c r="X12415" t="s">
        <v>46582</v>
      </c>
    </row>
    <row r="12416" spans="1:24">
      <c r="A12416">
        <f>HYPERLINK("https://www.philgeps.gov.ph/GEPSNONPILOT/Tender/SplashBidNoticeAbstractUI.aspx?menuIndex=3&amp;refID=7044094&amp;Result=3","7044094")</f>
        <v>0</v>
      </c>
      <c r="B12416" t="s">
        <v>36</v>
      </c>
      <c r="C12416" t="s">
        <v>15311</v>
      </c>
      <c r="D12416" t="s">
        <v>18790</v>
      </c>
      <c r="E12416" t="s">
        <v>29559</v>
      </c>
      <c r="F12416" t="s">
        <v>32664</v>
      </c>
      <c r="G12416" t="s">
        <v>32672</v>
      </c>
      <c r="H12416" t="s">
        <v>12635</v>
      </c>
      <c r="I12416" t="s">
        <v>4439</v>
      </c>
      <c r="J12416" t="s">
        <v>40145</v>
      </c>
      <c r="K12416" t="s">
        <v>42308</v>
      </c>
      <c r="L12416" t="s">
        <v>36</v>
      </c>
      <c r="M12416" t="s">
        <v>42598</v>
      </c>
      <c r="N12416" t="s">
        <v>46569</v>
      </c>
      <c r="O12416" t="s">
        <v>46570</v>
      </c>
      <c r="P12416">
        <v>0</v>
      </c>
      <c r="Q12416">
        <v>1</v>
      </c>
      <c r="R12416" t="s">
        <v>46581</v>
      </c>
      <c r="S12416" t="s">
        <v>47012</v>
      </c>
      <c r="T12416" t="s">
        <v>48453</v>
      </c>
      <c r="U12416" t="s">
        <v>58753</v>
      </c>
      <c r="V12416" t="s">
        <v>62980</v>
      </c>
      <c r="W12416" t="s">
        <v>42598</v>
      </c>
      <c r="X12416" t="s">
        <v>46582</v>
      </c>
    </row>
    <row r="12417" spans="1:24">
      <c r="A12417">
        <f>HYPERLINK("https://www.philgeps.gov.ph/GEPSNONPILOT/Tender/SplashBidNoticeAbstractUI.aspx?menuIndex=3&amp;refID=7044037&amp;Result=3","7044037")</f>
        <v>0</v>
      </c>
      <c r="B12417" t="s">
        <v>3167</v>
      </c>
      <c r="C12417" t="s">
        <v>15312</v>
      </c>
      <c r="D12417" t="s">
        <v>18796</v>
      </c>
      <c r="E12417" t="s">
        <v>29560</v>
      </c>
      <c r="F12417" t="s">
        <v>32664</v>
      </c>
      <c r="G12417" t="s">
        <v>32672</v>
      </c>
      <c r="H12417" t="s">
        <v>32683</v>
      </c>
      <c r="I12417" t="s">
        <v>6553</v>
      </c>
      <c r="J12417" t="s">
        <v>40146</v>
      </c>
      <c r="K12417" t="s">
        <v>42290</v>
      </c>
      <c r="M12417" t="s">
        <v>46072</v>
      </c>
      <c r="N12417" t="s">
        <v>46569</v>
      </c>
      <c r="O12417" t="s">
        <v>46570</v>
      </c>
      <c r="P12417">
        <v>0</v>
      </c>
      <c r="Q12417">
        <v>2</v>
      </c>
      <c r="R12417" t="s">
        <v>46581</v>
      </c>
      <c r="S12417" t="s">
        <v>47012</v>
      </c>
      <c r="T12417" t="s">
        <v>48303</v>
      </c>
      <c r="U12417" t="s">
        <v>58754</v>
      </c>
      <c r="V12417" t="s">
        <v>62958</v>
      </c>
      <c r="W12417" t="s">
        <v>46072</v>
      </c>
      <c r="X12417" t="s">
        <v>46582</v>
      </c>
    </row>
    <row r="12418" spans="1:24">
      <c r="A12418">
        <f>HYPERLINK("https://www.philgeps.gov.ph/GEPSNONPILOT/Tender/SplashBidNoticeAbstractUI.aspx?menuIndex=3&amp;refID=7044088&amp;Result=3","7044088")</f>
        <v>0</v>
      </c>
      <c r="B12418" t="s">
        <v>1428</v>
      </c>
      <c r="C12418" t="s">
        <v>15313</v>
      </c>
      <c r="D12418" t="s">
        <v>18841</v>
      </c>
      <c r="E12418" t="s">
        <v>29561</v>
      </c>
      <c r="F12418" t="s">
        <v>32664</v>
      </c>
      <c r="G12418" t="s">
        <v>32672</v>
      </c>
      <c r="H12418" t="s">
        <v>12635</v>
      </c>
      <c r="I12418" t="s">
        <v>32685</v>
      </c>
      <c r="J12418" t="s">
        <v>40147</v>
      </c>
      <c r="K12418" t="s">
        <v>42305</v>
      </c>
      <c r="M12418" t="s">
        <v>44088</v>
      </c>
      <c r="N12418" t="s">
        <v>46569</v>
      </c>
      <c r="O12418" t="s">
        <v>46570</v>
      </c>
      <c r="P12418">
        <v>0</v>
      </c>
      <c r="Q12418">
        <v>0</v>
      </c>
      <c r="R12418" t="s">
        <v>46581</v>
      </c>
      <c r="S12418" t="s">
        <v>47012</v>
      </c>
      <c r="T12418" t="s">
        <v>48322</v>
      </c>
      <c r="U12418" t="s">
        <v>58755</v>
      </c>
      <c r="W12418" t="s">
        <v>44088</v>
      </c>
      <c r="X12418" t="s">
        <v>46582</v>
      </c>
    </row>
    <row r="12419" spans="1:24">
      <c r="A12419">
        <f>HYPERLINK("https://www.philgeps.gov.ph/GEPSNONPILOT/Tender/SplashBidNoticeAbstractUI.aspx?menuIndex=3&amp;refID=7044081&amp;Result=3","7044081")</f>
        <v>0</v>
      </c>
      <c r="B12419" t="s">
        <v>2633</v>
      </c>
      <c r="C12419" t="s">
        <v>15314</v>
      </c>
      <c r="D12419" t="s">
        <v>18784</v>
      </c>
      <c r="E12419" t="s">
        <v>29562</v>
      </c>
      <c r="F12419" t="s">
        <v>32664</v>
      </c>
      <c r="G12419" t="s">
        <v>32675</v>
      </c>
      <c r="H12419" t="s">
        <v>12635</v>
      </c>
      <c r="I12419" t="s">
        <v>32727</v>
      </c>
      <c r="J12419" t="s">
        <v>40148</v>
      </c>
      <c r="K12419" t="s">
        <v>42284</v>
      </c>
      <c r="M12419" t="s">
        <v>45453</v>
      </c>
      <c r="N12419" t="s">
        <v>46569</v>
      </c>
      <c r="O12419" t="s">
        <v>46570</v>
      </c>
      <c r="Q12419">
        <v>6</v>
      </c>
      <c r="R12419" t="s">
        <v>46581</v>
      </c>
      <c r="S12419" t="s">
        <v>47050</v>
      </c>
      <c r="T12419" t="s">
        <v>48420</v>
      </c>
      <c r="U12419" t="s">
        <v>58756</v>
      </c>
      <c r="W12419" t="s">
        <v>45453</v>
      </c>
      <c r="X12419" t="s">
        <v>46582</v>
      </c>
    </row>
    <row r="12420" spans="1:24">
      <c r="A12420">
        <f>HYPERLINK("https://www.philgeps.gov.ph/GEPSNONPILOT/Tender/SplashBidNoticeAbstractUI.aspx?menuIndex=3&amp;refID=7044036&amp;Result=3","7044036")</f>
        <v>0</v>
      </c>
      <c r="B12420" t="s">
        <v>3167</v>
      </c>
      <c r="C12420" t="s">
        <v>15315</v>
      </c>
      <c r="D12420" t="s">
        <v>18796</v>
      </c>
      <c r="E12420" t="s">
        <v>29563</v>
      </c>
      <c r="F12420" t="s">
        <v>32664</v>
      </c>
      <c r="G12420" t="s">
        <v>32672</v>
      </c>
      <c r="H12420" t="s">
        <v>32683</v>
      </c>
      <c r="I12420" t="s">
        <v>6553</v>
      </c>
      <c r="J12420" t="s">
        <v>40149</v>
      </c>
      <c r="K12420" t="s">
        <v>42290</v>
      </c>
      <c r="M12420" t="s">
        <v>46072</v>
      </c>
      <c r="N12420" t="s">
        <v>46569</v>
      </c>
      <c r="O12420" t="s">
        <v>46570</v>
      </c>
      <c r="P12420">
        <v>0</v>
      </c>
      <c r="Q12420">
        <v>1</v>
      </c>
      <c r="R12420" t="s">
        <v>46581</v>
      </c>
      <c r="S12420" t="s">
        <v>47012</v>
      </c>
      <c r="T12420" t="s">
        <v>48303</v>
      </c>
      <c r="U12420" t="s">
        <v>58757</v>
      </c>
      <c r="V12420" t="s">
        <v>62958</v>
      </c>
      <c r="W12420" t="s">
        <v>46072</v>
      </c>
      <c r="X12420" t="s">
        <v>46582</v>
      </c>
    </row>
    <row r="12421" spans="1:24">
      <c r="A12421">
        <f>HYPERLINK("https://www.philgeps.gov.ph/GEPSNONPILOT/Tender/SplashBidNoticeAbstractUI.aspx?menuIndex=3&amp;refID=7044019&amp;Result=3","7044019")</f>
        <v>0</v>
      </c>
      <c r="B12421" t="s">
        <v>3072</v>
      </c>
      <c r="C12421" t="s">
        <v>15316</v>
      </c>
      <c r="D12421" t="s">
        <v>18784</v>
      </c>
      <c r="E12421" t="s">
        <v>29564</v>
      </c>
      <c r="F12421" t="s">
        <v>32664</v>
      </c>
      <c r="G12421" t="s">
        <v>32672</v>
      </c>
      <c r="H12421" t="s">
        <v>12635</v>
      </c>
      <c r="I12421" t="s">
        <v>7324</v>
      </c>
      <c r="J12421" t="s">
        <v>33051</v>
      </c>
      <c r="K12421" t="s">
        <v>42283</v>
      </c>
      <c r="M12421" t="s">
        <v>45952</v>
      </c>
      <c r="N12421" t="s">
        <v>46569</v>
      </c>
      <c r="O12421" t="s">
        <v>46570</v>
      </c>
      <c r="P12421">
        <v>0</v>
      </c>
      <c r="Q12421">
        <v>5</v>
      </c>
      <c r="R12421" t="s">
        <v>46581</v>
      </c>
      <c r="S12421" t="s">
        <v>47012</v>
      </c>
      <c r="T12421" t="s">
        <v>48641</v>
      </c>
      <c r="U12421" t="s">
        <v>58758</v>
      </c>
      <c r="W12421" t="s">
        <v>45952</v>
      </c>
      <c r="X12421" t="s">
        <v>46582</v>
      </c>
    </row>
    <row r="12422" spans="1:24">
      <c r="A12422">
        <f>HYPERLINK("https://www.philgeps.gov.ph/GEPSNONPILOT/Tender/SplashBidNoticeAbstractUI.aspx?menuIndex=3&amp;refID=7044078&amp;Result=3","7044078")</f>
        <v>0</v>
      </c>
      <c r="B12422" t="s">
        <v>3167</v>
      </c>
      <c r="C12422" t="s">
        <v>15317</v>
      </c>
      <c r="D12422" t="s">
        <v>18796</v>
      </c>
      <c r="E12422" t="s">
        <v>29565</v>
      </c>
      <c r="F12422" t="s">
        <v>32664</v>
      </c>
      <c r="G12422" t="s">
        <v>32672</v>
      </c>
      <c r="H12422" t="s">
        <v>32683</v>
      </c>
      <c r="I12422" t="s">
        <v>6553</v>
      </c>
      <c r="J12422" t="s">
        <v>40150</v>
      </c>
      <c r="K12422" t="s">
        <v>42290</v>
      </c>
      <c r="M12422" t="s">
        <v>46072</v>
      </c>
      <c r="N12422" t="s">
        <v>46569</v>
      </c>
      <c r="O12422" t="s">
        <v>46570</v>
      </c>
      <c r="P12422">
        <v>0</v>
      </c>
      <c r="Q12422">
        <v>1</v>
      </c>
      <c r="R12422" t="s">
        <v>46581</v>
      </c>
      <c r="S12422" t="s">
        <v>47012</v>
      </c>
      <c r="T12422" t="s">
        <v>48303</v>
      </c>
      <c r="U12422" t="s">
        <v>58759</v>
      </c>
      <c r="V12422" t="s">
        <v>62958</v>
      </c>
      <c r="W12422" t="s">
        <v>46072</v>
      </c>
      <c r="X12422" t="s">
        <v>46582</v>
      </c>
    </row>
    <row r="12423" spans="1:24">
      <c r="A12423">
        <f>HYPERLINK("https://www.philgeps.gov.ph/GEPSNONPILOT/Tender/SplashBidNoticeAbstractUI.aspx?menuIndex=3&amp;refID=7044077&amp;Result=3","7044077")</f>
        <v>0</v>
      </c>
      <c r="B12423" t="s">
        <v>3167</v>
      </c>
      <c r="C12423" t="s">
        <v>15318</v>
      </c>
      <c r="D12423" t="s">
        <v>18796</v>
      </c>
      <c r="E12423" t="s">
        <v>29566</v>
      </c>
      <c r="F12423" t="s">
        <v>32664</v>
      </c>
      <c r="G12423" t="s">
        <v>32672</v>
      </c>
      <c r="H12423" t="s">
        <v>32683</v>
      </c>
      <c r="I12423" t="s">
        <v>6553</v>
      </c>
      <c r="J12423" t="s">
        <v>40151</v>
      </c>
      <c r="K12423" t="s">
        <v>42290</v>
      </c>
      <c r="M12423" t="s">
        <v>46072</v>
      </c>
      <c r="N12423" t="s">
        <v>46569</v>
      </c>
      <c r="O12423" t="s">
        <v>46570</v>
      </c>
      <c r="P12423">
        <v>0</v>
      </c>
      <c r="Q12423">
        <v>2</v>
      </c>
      <c r="R12423" t="s">
        <v>46581</v>
      </c>
      <c r="S12423" t="s">
        <v>47012</v>
      </c>
      <c r="T12423" t="s">
        <v>48303</v>
      </c>
      <c r="U12423" t="s">
        <v>58760</v>
      </c>
      <c r="V12423" t="s">
        <v>62958</v>
      </c>
      <c r="W12423" t="s">
        <v>46072</v>
      </c>
      <c r="X12423" t="s">
        <v>46582</v>
      </c>
    </row>
    <row r="12424" spans="1:24">
      <c r="A12424">
        <f>HYPERLINK("https://www.philgeps.gov.ph/GEPSNONPILOT/Tender/SplashBidNoticeAbstractUI.aspx?menuIndex=3&amp;refID=7044076&amp;Result=3","7044076")</f>
        <v>0</v>
      </c>
      <c r="B12424" t="s">
        <v>3167</v>
      </c>
      <c r="C12424" t="s">
        <v>15319</v>
      </c>
      <c r="D12424" t="s">
        <v>18796</v>
      </c>
      <c r="E12424" t="s">
        <v>29567</v>
      </c>
      <c r="F12424" t="s">
        <v>32664</v>
      </c>
      <c r="G12424" t="s">
        <v>32672</v>
      </c>
      <c r="H12424" t="s">
        <v>32683</v>
      </c>
      <c r="I12424" t="s">
        <v>6553</v>
      </c>
      <c r="J12424" t="s">
        <v>40152</v>
      </c>
      <c r="K12424" t="s">
        <v>42290</v>
      </c>
      <c r="M12424" t="s">
        <v>46072</v>
      </c>
      <c r="N12424" t="s">
        <v>46569</v>
      </c>
      <c r="O12424" t="s">
        <v>46570</v>
      </c>
      <c r="P12424">
        <v>0</v>
      </c>
      <c r="Q12424">
        <v>1</v>
      </c>
      <c r="R12424" t="s">
        <v>46581</v>
      </c>
      <c r="S12424" t="s">
        <v>47012</v>
      </c>
      <c r="T12424" t="s">
        <v>48303</v>
      </c>
      <c r="U12424" t="s">
        <v>58761</v>
      </c>
      <c r="V12424" t="s">
        <v>62958</v>
      </c>
      <c r="W12424" t="s">
        <v>46072</v>
      </c>
      <c r="X12424" t="s">
        <v>46582</v>
      </c>
    </row>
    <row r="12425" spans="1:24">
      <c r="A12425">
        <f>HYPERLINK("https://www.philgeps.gov.ph/GEPSNONPILOT/Tender/SplashBidNoticeAbstractUI.aspx?menuIndex=3&amp;refID=7044071&amp;Result=3","7044071")</f>
        <v>0</v>
      </c>
      <c r="B12425" t="s">
        <v>3167</v>
      </c>
      <c r="C12425" t="s">
        <v>15320</v>
      </c>
      <c r="D12425" t="s">
        <v>18796</v>
      </c>
      <c r="E12425" t="s">
        <v>29568</v>
      </c>
      <c r="F12425" t="s">
        <v>32664</v>
      </c>
      <c r="G12425" t="s">
        <v>32672</v>
      </c>
      <c r="H12425" t="s">
        <v>32683</v>
      </c>
      <c r="I12425" t="s">
        <v>6553</v>
      </c>
      <c r="J12425" t="s">
        <v>40153</v>
      </c>
      <c r="K12425" t="s">
        <v>42290</v>
      </c>
      <c r="M12425" t="s">
        <v>46072</v>
      </c>
      <c r="N12425" t="s">
        <v>46569</v>
      </c>
      <c r="O12425" t="s">
        <v>46570</v>
      </c>
      <c r="P12425">
        <v>0</v>
      </c>
      <c r="Q12425">
        <v>1</v>
      </c>
      <c r="R12425" t="s">
        <v>46581</v>
      </c>
      <c r="S12425" t="s">
        <v>47012</v>
      </c>
      <c r="T12425" t="s">
        <v>48303</v>
      </c>
      <c r="U12425" t="s">
        <v>58762</v>
      </c>
      <c r="V12425" t="s">
        <v>62958</v>
      </c>
      <c r="W12425" t="s">
        <v>46072</v>
      </c>
      <c r="X12425" t="s">
        <v>46582</v>
      </c>
    </row>
    <row r="12426" spans="1:24">
      <c r="A12426">
        <f>HYPERLINK("https://www.philgeps.gov.ph/GEPSNONPILOT/Tender/SplashBidNoticeAbstractUI.aspx?menuIndex=3&amp;refID=7044068&amp;Result=3","7044068")</f>
        <v>0</v>
      </c>
      <c r="B12426" t="s">
        <v>3167</v>
      </c>
      <c r="C12426" t="s">
        <v>15321</v>
      </c>
      <c r="D12426" t="s">
        <v>18796</v>
      </c>
      <c r="E12426" t="s">
        <v>29569</v>
      </c>
      <c r="F12426" t="s">
        <v>32664</v>
      </c>
      <c r="G12426" t="s">
        <v>32672</v>
      </c>
      <c r="H12426" t="s">
        <v>32683</v>
      </c>
      <c r="I12426" t="s">
        <v>6553</v>
      </c>
      <c r="J12426" t="s">
        <v>40154</v>
      </c>
      <c r="K12426" t="s">
        <v>42290</v>
      </c>
      <c r="M12426" t="s">
        <v>46072</v>
      </c>
      <c r="N12426" t="s">
        <v>46569</v>
      </c>
      <c r="O12426" t="s">
        <v>46570</v>
      </c>
      <c r="P12426">
        <v>0</v>
      </c>
      <c r="Q12426">
        <v>2</v>
      </c>
      <c r="R12426" t="s">
        <v>46581</v>
      </c>
      <c r="S12426" t="s">
        <v>47012</v>
      </c>
      <c r="T12426" t="s">
        <v>48303</v>
      </c>
      <c r="U12426" t="s">
        <v>58763</v>
      </c>
      <c r="V12426" t="s">
        <v>62958</v>
      </c>
      <c r="W12426" t="s">
        <v>46072</v>
      </c>
      <c r="X12426" t="s">
        <v>46582</v>
      </c>
    </row>
    <row r="12427" spans="1:24">
      <c r="A12427">
        <f>HYPERLINK("https://www.philgeps.gov.ph/GEPSNONPILOT/Tender/SplashBidNoticeAbstractUI.aspx?menuIndex=3&amp;refID=7044065&amp;Result=3","7044065")</f>
        <v>0</v>
      </c>
      <c r="B12427" t="s">
        <v>3167</v>
      </c>
      <c r="C12427" t="s">
        <v>15322</v>
      </c>
      <c r="D12427" t="s">
        <v>18796</v>
      </c>
      <c r="E12427" t="s">
        <v>29570</v>
      </c>
      <c r="F12427" t="s">
        <v>32664</v>
      </c>
      <c r="G12427" t="s">
        <v>32672</v>
      </c>
      <c r="H12427" t="s">
        <v>32683</v>
      </c>
      <c r="I12427" t="s">
        <v>6553</v>
      </c>
      <c r="J12427" t="s">
        <v>40155</v>
      </c>
      <c r="K12427" t="s">
        <v>42290</v>
      </c>
      <c r="M12427" t="s">
        <v>46072</v>
      </c>
      <c r="N12427" t="s">
        <v>46569</v>
      </c>
      <c r="O12427" t="s">
        <v>46570</v>
      </c>
      <c r="P12427">
        <v>0</v>
      </c>
      <c r="Q12427">
        <v>2</v>
      </c>
      <c r="R12427" t="s">
        <v>46581</v>
      </c>
      <c r="S12427" t="s">
        <v>47012</v>
      </c>
      <c r="T12427" t="s">
        <v>48303</v>
      </c>
      <c r="U12427" t="s">
        <v>58764</v>
      </c>
      <c r="V12427" t="s">
        <v>62958</v>
      </c>
      <c r="W12427" t="s">
        <v>46072</v>
      </c>
      <c r="X12427" t="s">
        <v>46582</v>
      </c>
    </row>
    <row r="12428" spans="1:24">
      <c r="A12428">
        <f>HYPERLINK("https://www.philgeps.gov.ph/GEPSNONPILOT/Tender/SplashBidNoticeAbstractUI.aspx?menuIndex=3&amp;refID=7044089&amp;Result=3","7044089")</f>
        <v>0</v>
      </c>
      <c r="B12428" t="s">
        <v>2633</v>
      </c>
      <c r="C12428" t="s">
        <v>15323</v>
      </c>
      <c r="D12428" t="s">
        <v>18784</v>
      </c>
      <c r="E12428" t="s">
        <v>29571</v>
      </c>
      <c r="F12428" t="s">
        <v>32664</v>
      </c>
      <c r="G12428" t="s">
        <v>32671</v>
      </c>
      <c r="H12428" t="s">
        <v>12635</v>
      </c>
      <c r="I12428" t="s">
        <v>32727</v>
      </c>
      <c r="J12428" t="s">
        <v>39944</v>
      </c>
      <c r="K12428" t="s">
        <v>42284</v>
      </c>
      <c r="M12428" t="s">
        <v>45453</v>
      </c>
      <c r="N12428" t="s">
        <v>46569</v>
      </c>
      <c r="O12428" t="s">
        <v>46570</v>
      </c>
      <c r="Q12428">
        <v>8</v>
      </c>
      <c r="R12428" t="s">
        <v>46581</v>
      </c>
      <c r="S12428" t="s">
        <v>47051</v>
      </c>
      <c r="T12428" t="s">
        <v>48420</v>
      </c>
      <c r="U12428" t="s">
        <v>58765</v>
      </c>
      <c r="W12428" t="s">
        <v>45453</v>
      </c>
      <c r="X12428" t="s">
        <v>46582</v>
      </c>
    </row>
    <row r="12429" spans="1:24">
      <c r="A12429">
        <f>HYPERLINK("https://www.philgeps.gov.ph/GEPSNONPILOT/Tender/SplashBidNoticeAbstractUI.aspx?menuIndex=3&amp;refID=7044182&amp;Result=3","7044182")</f>
        <v>0</v>
      </c>
      <c r="B12429" t="s">
        <v>3189</v>
      </c>
      <c r="C12429" t="s">
        <v>15324</v>
      </c>
      <c r="D12429" t="s">
        <v>18835</v>
      </c>
      <c r="E12429" t="s">
        <v>28169</v>
      </c>
      <c r="F12429" t="s">
        <v>32664</v>
      </c>
      <c r="G12429" t="s">
        <v>32672</v>
      </c>
      <c r="H12429" t="s">
        <v>32683</v>
      </c>
      <c r="I12429" t="s">
        <v>10627</v>
      </c>
      <c r="J12429" t="s">
        <v>40156</v>
      </c>
      <c r="K12429" t="s">
        <v>42344</v>
      </c>
      <c r="L12429" t="s">
        <v>3189</v>
      </c>
      <c r="M12429" t="s">
        <v>46103</v>
      </c>
      <c r="N12429" t="s">
        <v>46569</v>
      </c>
      <c r="O12429" t="s">
        <v>46570</v>
      </c>
      <c r="P12429">
        <v>0</v>
      </c>
      <c r="Q12429">
        <v>0</v>
      </c>
      <c r="R12429" t="s">
        <v>46581</v>
      </c>
      <c r="S12429" t="s">
        <v>47012</v>
      </c>
      <c r="T12429" t="s">
        <v>48238</v>
      </c>
      <c r="U12429" t="s">
        <v>58766</v>
      </c>
      <c r="V12429" t="s">
        <v>62981</v>
      </c>
      <c r="W12429" t="s">
        <v>46103</v>
      </c>
      <c r="X12429" t="s">
        <v>46582</v>
      </c>
    </row>
    <row r="12430" spans="1:24">
      <c r="A12430">
        <f>HYPERLINK("https://www.philgeps.gov.ph/GEPSNONPILOT/Tender/SplashBidNoticeAbstractUI.aspx?menuIndex=3&amp;refID=7044035&amp;Result=3","7044035")</f>
        <v>0</v>
      </c>
      <c r="B12430" t="s">
        <v>3190</v>
      </c>
      <c r="C12430" t="s">
        <v>3912</v>
      </c>
      <c r="D12430" t="s">
        <v>18805</v>
      </c>
      <c r="E12430" t="s">
        <v>18926</v>
      </c>
      <c r="F12430" t="s">
        <v>32664</v>
      </c>
      <c r="G12430" t="s">
        <v>32672</v>
      </c>
      <c r="H12430" t="s">
        <v>12635</v>
      </c>
      <c r="I12430" t="s">
        <v>6168</v>
      </c>
      <c r="J12430" t="s">
        <v>35114</v>
      </c>
      <c r="K12430" t="s">
        <v>42283</v>
      </c>
      <c r="M12430" t="s">
        <v>46104</v>
      </c>
      <c r="N12430" t="s">
        <v>46569</v>
      </c>
      <c r="O12430" t="s">
        <v>46570</v>
      </c>
      <c r="P12430">
        <v>0</v>
      </c>
      <c r="Q12430">
        <v>0</v>
      </c>
      <c r="R12430" t="s">
        <v>46581</v>
      </c>
      <c r="S12430" t="s">
        <v>47012</v>
      </c>
      <c r="T12430" t="s">
        <v>48415</v>
      </c>
      <c r="U12430" t="s">
        <v>58767</v>
      </c>
      <c r="W12430" t="s">
        <v>46104</v>
      </c>
      <c r="X12430" t="s">
        <v>46582</v>
      </c>
    </row>
    <row r="12431" spans="1:24">
      <c r="A12431">
        <f>HYPERLINK("https://www.philgeps.gov.ph/GEPSNONPILOT/Tender/SplashBidNoticeAbstractUI.aspx?menuIndex=3&amp;refID=7044073&amp;Result=3","7044073")</f>
        <v>0</v>
      </c>
      <c r="B12431" t="s">
        <v>3167</v>
      </c>
      <c r="C12431" t="s">
        <v>15325</v>
      </c>
      <c r="D12431" t="s">
        <v>18796</v>
      </c>
      <c r="E12431" t="s">
        <v>29572</v>
      </c>
      <c r="F12431" t="s">
        <v>32664</v>
      </c>
      <c r="G12431" t="s">
        <v>32672</v>
      </c>
      <c r="H12431" t="s">
        <v>32683</v>
      </c>
      <c r="I12431" t="s">
        <v>6553</v>
      </c>
      <c r="J12431" t="s">
        <v>40157</v>
      </c>
      <c r="K12431" t="s">
        <v>42290</v>
      </c>
      <c r="M12431" t="s">
        <v>46072</v>
      </c>
      <c r="N12431" t="s">
        <v>46569</v>
      </c>
      <c r="O12431" t="s">
        <v>46570</v>
      </c>
      <c r="P12431">
        <v>0</v>
      </c>
      <c r="Q12431">
        <v>1</v>
      </c>
      <c r="R12431" t="s">
        <v>46581</v>
      </c>
      <c r="S12431" t="s">
        <v>47012</v>
      </c>
      <c r="T12431" t="s">
        <v>48303</v>
      </c>
      <c r="U12431" t="s">
        <v>58768</v>
      </c>
      <c r="V12431" t="s">
        <v>62958</v>
      </c>
      <c r="W12431" t="s">
        <v>46072</v>
      </c>
      <c r="X12431" t="s">
        <v>46582</v>
      </c>
    </row>
    <row r="12432" spans="1:24">
      <c r="A12432">
        <f>HYPERLINK("https://www.philgeps.gov.ph/GEPSNONPILOT/Tender/SplashBidNoticeAbstractUI.aspx?menuIndex=3&amp;refID=7044066&amp;Result=3","7044066")</f>
        <v>0</v>
      </c>
      <c r="B12432" t="s">
        <v>3167</v>
      </c>
      <c r="C12432" t="s">
        <v>15326</v>
      </c>
      <c r="D12432" t="s">
        <v>18796</v>
      </c>
      <c r="E12432" t="s">
        <v>29573</v>
      </c>
      <c r="F12432" t="s">
        <v>32664</v>
      </c>
      <c r="G12432" t="s">
        <v>32672</v>
      </c>
      <c r="H12432" t="s">
        <v>32683</v>
      </c>
      <c r="I12432" t="s">
        <v>6553</v>
      </c>
      <c r="J12432" t="s">
        <v>40158</v>
      </c>
      <c r="K12432" t="s">
        <v>42290</v>
      </c>
      <c r="M12432" t="s">
        <v>46072</v>
      </c>
      <c r="N12432" t="s">
        <v>46569</v>
      </c>
      <c r="O12432" t="s">
        <v>46570</v>
      </c>
      <c r="P12432">
        <v>0</v>
      </c>
      <c r="Q12432">
        <v>1</v>
      </c>
      <c r="R12432" t="s">
        <v>46581</v>
      </c>
      <c r="S12432" t="s">
        <v>47012</v>
      </c>
      <c r="T12432" t="s">
        <v>48303</v>
      </c>
      <c r="U12432" t="s">
        <v>58769</v>
      </c>
      <c r="V12432" t="s">
        <v>62958</v>
      </c>
      <c r="W12432" t="s">
        <v>46072</v>
      </c>
      <c r="X12432" t="s">
        <v>46582</v>
      </c>
    </row>
    <row r="12433" spans="1:24">
      <c r="A12433">
        <f>HYPERLINK("https://www.philgeps.gov.ph/GEPSNONPILOT/Tender/SplashBidNoticeAbstractUI.aspx?menuIndex=3&amp;refID=7044064&amp;Result=3","7044064")</f>
        <v>0</v>
      </c>
      <c r="B12433" t="s">
        <v>1428</v>
      </c>
      <c r="C12433" t="s">
        <v>15327</v>
      </c>
      <c r="D12433" t="s">
        <v>18841</v>
      </c>
      <c r="E12433" t="s">
        <v>29574</v>
      </c>
      <c r="F12433" t="s">
        <v>32664</v>
      </c>
      <c r="G12433" t="s">
        <v>32672</v>
      </c>
      <c r="H12433" t="s">
        <v>12635</v>
      </c>
      <c r="I12433" t="s">
        <v>32694</v>
      </c>
      <c r="J12433" t="s">
        <v>40159</v>
      </c>
      <c r="K12433" t="s">
        <v>42281</v>
      </c>
      <c r="M12433" t="s">
        <v>44088</v>
      </c>
      <c r="N12433" t="s">
        <v>46569</v>
      </c>
      <c r="O12433" t="s">
        <v>46570</v>
      </c>
      <c r="P12433">
        <v>0</v>
      </c>
      <c r="Q12433">
        <v>1</v>
      </c>
      <c r="R12433" t="s">
        <v>46581</v>
      </c>
      <c r="S12433" t="s">
        <v>47012</v>
      </c>
      <c r="T12433" t="s">
        <v>48284</v>
      </c>
      <c r="U12433" t="s">
        <v>58770</v>
      </c>
      <c r="W12433" t="s">
        <v>44088</v>
      </c>
      <c r="X12433" t="s">
        <v>46582</v>
      </c>
    </row>
    <row r="12434" spans="1:24">
      <c r="A12434">
        <f>HYPERLINK("https://www.philgeps.gov.ph/GEPSNONPILOT/Tender/SplashBidNoticeAbstractUI.aspx?menuIndex=3&amp;refID=7044184&amp;Result=3","7044184")</f>
        <v>0</v>
      </c>
      <c r="B12434" t="s">
        <v>3050</v>
      </c>
      <c r="C12434" t="s">
        <v>15328</v>
      </c>
      <c r="D12434" t="s">
        <v>18784</v>
      </c>
      <c r="E12434" t="s">
        <v>29575</v>
      </c>
      <c r="F12434" t="s">
        <v>32664</v>
      </c>
      <c r="G12434" t="s">
        <v>32672</v>
      </c>
      <c r="H12434" t="s">
        <v>12635</v>
      </c>
      <c r="I12434" t="s">
        <v>32706</v>
      </c>
      <c r="J12434" t="s">
        <v>40160</v>
      </c>
      <c r="K12434" t="s">
        <v>42351</v>
      </c>
      <c r="M12434" t="s">
        <v>46105</v>
      </c>
      <c r="N12434" t="s">
        <v>46569</v>
      </c>
      <c r="O12434" t="s">
        <v>46570</v>
      </c>
      <c r="Q12434">
        <v>0</v>
      </c>
      <c r="R12434" t="s">
        <v>46581</v>
      </c>
      <c r="S12434" t="s">
        <v>47052</v>
      </c>
      <c r="T12434" t="s">
        <v>48212</v>
      </c>
      <c r="U12434" t="s">
        <v>58771</v>
      </c>
      <c r="V12434" t="s">
        <v>62982</v>
      </c>
      <c r="W12434" t="s">
        <v>46105</v>
      </c>
      <c r="X12434" t="s">
        <v>46582</v>
      </c>
    </row>
    <row r="12435" spans="1:24">
      <c r="A12435">
        <f>HYPERLINK("https://www.philgeps.gov.ph/GEPSNONPILOT/Tender/SplashBidNoticeAbstractUI.aspx?menuIndex=3&amp;refID=7044176&amp;Result=3","7044176")</f>
        <v>0</v>
      </c>
      <c r="B12435" t="s">
        <v>3189</v>
      </c>
      <c r="C12435" t="s">
        <v>15329</v>
      </c>
      <c r="D12435" t="s">
        <v>18835</v>
      </c>
      <c r="E12435" t="s">
        <v>29576</v>
      </c>
      <c r="F12435" t="s">
        <v>32664</v>
      </c>
      <c r="G12435" t="s">
        <v>32672</v>
      </c>
      <c r="H12435" t="s">
        <v>32683</v>
      </c>
      <c r="I12435" t="s">
        <v>10627</v>
      </c>
      <c r="J12435" t="s">
        <v>40161</v>
      </c>
      <c r="K12435" t="s">
        <v>42344</v>
      </c>
      <c r="L12435" t="s">
        <v>3189</v>
      </c>
      <c r="M12435" t="s">
        <v>46103</v>
      </c>
      <c r="N12435" t="s">
        <v>46569</v>
      </c>
      <c r="O12435" t="s">
        <v>46570</v>
      </c>
      <c r="P12435">
        <v>0</v>
      </c>
      <c r="Q12435">
        <v>0</v>
      </c>
      <c r="R12435" t="s">
        <v>46581</v>
      </c>
      <c r="S12435" t="s">
        <v>47012</v>
      </c>
      <c r="T12435" t="s">
        <v>48238</v>
      </c>
      <c r="U12435" t="s">
        <v>58772</v>
      </c>
      <c r="V12435" t="s">
        <v>62981</v>
      </c>
      <c r="W12435" t="s">
        <v>46103</v>
      </c>
      <c r="X12435" t="s">
        <v>46582</v>
      </c>
    </row>
    <row r="12436" spans="1:24">
      <c r="A12436">
        <f>HYPERLINK("https://www.philgeps.gov.ph/GEPSNONPILOT/Tender/SplashBidNoticeAbstractUI.aspx?menuIndex=3&amp;refID=7044166&amp;Result=3","7044166")</f>
        <v>0</v>
      </c>
      <c r="B12436" t="s">
        <v>1055</v>
      </c>
      <c r="C12436" t="s">
        <v>15330</v>
      </c>
      <c r="D12436" t="s">
        <v>18784</v>
      </c>
      <c r="E12436" t="s">
        <v>29577</v>
      </c>
      <c r="F12436" t="s">
        <v>32664</v>
      </c>
      <c r="G12436" t="s">
        <v>32672</v>
      </c>
      <c r="H12436" t="s">
        <v>12635</v>
      </c>
      <c r="I12436" t="s">
        <v>6553</v>
      </c>
      <c r="J12436" t="s">
        <v>32837</v>
      </c>
      <c r="K12436" t="s">
        <v>42284</v>
      </c>
      <c r="M12436" t="s">
        <v>44732</v>
      </c>
      <c r="N12436" t="s">
        <v>46569</v>
      </c>
      <c r="O12436" t="s">
        <v>46570</v>
      </c>
      <c r="P12436">
        <v>0</v>
      </c>
      <c r="Q12436">
        <v>1</v>
      </c>
      <c r="R12436" t="s">
        <v>46581</v>
      </c>
      <c r="S12436" t="s">
        <v>47012</v>
      </c>
      <c r="T12436" t="s">
        <v>48384</v>
      </c>
      <c r="U12436" t="s">
        <v>58773</v>
      </c>
      <c r="W12436" t="s">
        <v>44732</v>
      </c>
      <c r="X12436" t="s">
        <v>46582</v>
      </c>
    </row>
    <row r="12437" spans="1:24">
      <c r="A12437">
        <f>HYPERLINK("https://www.philgeps.gov.ph/GEPSNONPILOT/Tender/SplashBidNoticeAbstractUI.aspx?menuIndex=3&amp;refID=7044155&amp;Result=3","7044155")</f>
        <v>0</v>
      </c>
      <c r="B12437" t="s">
        <v>3189</v>
      </c>
      <c r="C12437" t="s">
        <v>15331</v>
      </c>
      <c r="D12437" t="s">
        <v>18835</v>
      </c>
      <c r="E12437" t="s">
        <v>29578</v>
      </c>
      <c r="F12437" t="s">
        <v>32664</v>
      </c>
      <c r="G12437" t="s">
        <v>32672</v>
      </c>
      <c r="H12437" t="s">
        <v>32683</v>
      </c>
      <c r="I12437" t="s">
        <v>10627</v>
      </c>
      <c r="J12437" t="s">
        <v>40162</v>
      </c>
      <c r="K12437" t="s">
        <v>42305</v>
      </c>
      <c r="L12437" t="s">
        <v>3189</v>
      </c>
      <c r="M12437" t="s">
        <v>46103</v>
      </c>
      <c r="N12437" t="s">
        <v>46569</v>
      </c>
      <c r="O12437" t="s">
        <v>46570</v>
      </c>
      <c r="P12437">
        <v>0</v>
      </c>
      <c r="Q12437">
        <v>0</v>
      </c>
      <c r="R12437" t="s">
        <v>46581</v>
      </c>
      <c r="S12437" t="s">
        <v>47012</v>
      </c>
      <c r="T12437" t="s">
        <v>48238</v>
      </c>
      <c r="U12437" t="s">
        <v>58774</v>
      </c>
      <c r="V12437" t="s">
        <v>62981</v>
      </c>
      <c r="W12437" t="s">
        <v>46103</v>
      </c>
      <c r="X12437" t="s">
        <v>46582</v>
      </c>
    </row>
    <row r="12438" spans="1:24">
      <c r="A12438">
        <f>HYPERLINK("https://www.philgeps.gov.ph/GEPSNONPILOT/Tender/SplashBidNoticeAbstractUI.aspx?menuIndex=3&amp;refID=7044153&amp;Result=3","7044153")</f>
        <v>0</v>
      </c>
      <c r="B12438" t="s">
        <v>1055</v>
      </c>
      <c r="C12438" t="s">
        <v>15332</v>
      </c>
      <c r="D12438" t="s">
        <v>18784</v>
      </c>
      <c r="E12438" t="s">
        <v>29579</v>
      </c>
      <c r="F12438" t="s">
        <v>32664</v>
      </c>
      <c r="G12438" t="s">
        <v>32672</v>
      </c>
      <c r="H12438" t="s">
        <v>12635</v>
      </c>
      <c r="I12438" t="s">
        <v>7324</v>
      </c>
      <c r="J12438" t="s">
        <v>40163</v>
      </c>
      <c r="K12438" t="s">
        <v>42289</v>
      </c>
      <c r="M12438" t="s">
        <v>44732</v>
      </c>
      <c r="N12438" t="s">
        <v>46569</v>
      </c>
      <c r="O12438" t="s">
        <v>46570</v>
      </c>
      <c r="P12438">
        <v>0</v>
      </c>
      <c r="Q12438">
        <v>7</v>
      </c>
      <c r="R12438" t="s">
        <v>46581</v>
      </c>
      <c r="S12438" t="s">
        <v>47012</v>
      </c>
      <c r="T12438" t="s">
        <v>48384</v>
      </c>
      <c r="U12438" t="s">
        <v>58775</v>
      </c>
      <c r="W12438" t="s">
        <v>44732</v>
      </c>
      <c r="X12438" t="s">
        <v>46582</v>
      </c>
    </row>
    <row r="12439" spans="1:24">
      <c r="A12439">
        <f>HYPERLINK("https://www.philgeps.gov.ph/GEPSNONPILOT/Tender/SplashBidNoticeAbstractUI.aspx?menuIndex=3&amp;refID=7044148&amp;Result=3","7044148")</f>
        <v>0</v>
      </c>
      <c r="B12439" t="s">
        <v>3189</v>
      </c>
      <c r="C12439" t="s">
        <v>15333</v>
      </c>
      <c r="D12439" t="s">
        <v>18835</v>
      </c>
      <c r="E12439" t="s">
        <v>29580</v>
      </c>
      <c r="F12439" t="s">
        <v>32664</v>
      </c>
      <c r="G12439" t="s">
        <v>32672</v>
      </c>
      <c r="H12439" t="s">
        <v>32683</v>
      </c>
      <c r="I12439" t="s">
        <v>10627</v>
      </c>
      <c r="J12439" t="s">
        <v>40164</v>
      </c>
      <c r="K12439" t="s">
        <v>42298</v>
      </c>
      <c r="L12439" t="s">
        <v>3189</v>
      </c>
      <c r="M12439" t="s">
        <v>46103</v>
      </c>
      <c r="N12439" t="s">
        <v>46569</v>
      </c>
      <c r="O12439" t="s">
        <v>46570</v>
      </c>
      <c r="P12439">
        <v>0</v>
      </c>
      <c r="Q12439">
        <v>0</v>
      </c>
      <c r="R12439" t="s">
        <v>46581</v>
      </c>
      <c r="S12439" t="s">
        <v>47012</v>
      </c>
      <c r="T12439" t="s">
        <v>48238</v>
      </c>
      <c r="U12439" t="s">
        <v>58776</v>
      </c>
      <c r="V12439" t="s">
        <v>62981</v>
      </c>
      <c r="W12439" t="s">
        <v>46103</v>
      </c>
      <c r="X12439" t="s">
        <v>46582</v>
      </c>
    </row>
    <row r="12440" spans="1:24">
      <c r="A12440">
        <f>HYPERLINK("https://www.philgeps.gov.ph/GEPSNONPILOT/Tender/SplashBidNoticeAbstractUI.aspx?menuIndex=3&amp;refID=7044191&amp;Result=3","7044191")</f>
        <v>0</v>
      </c>
      <c r="B12440" t="s">
        <v>3189</v>
      </c>
      <c r="C12440" t="s">
        <v>15334</v>
      </c>
      <c r="D12440" t="s">
        <v>18835</v>
      </c>
      <c r="E12440" t="s">
        <v>29581</v>
      </c>
      <c r="F12440" t="s">
        <v>32664</v>
      </c>
      <c r="G12440" t="s">
        <v>32672</v>
      </c>
      <c r="H12440" t="s">
        <v>32683</v>
      </c>
      <c r="I12440" t="s">
        <v>10627</v>
      </c>
      <c r="J12440" t="s">
        <v>40165</v>
      </c>
      <c r="K12440" t="s">
        <v>42305</v>
      </c>
      <c r="L12440" t="s">
        <v>3189</v>
      </c>
      <c r="M12440" t="s">
        <v>46103</v>
      </c>
      <c r="N12440" t="s">
        <v>46569</v>
      </c>
      <c r="O12440" t="s">
        <v>46570</v>
      </c>
      <c r="P12440">
        <v>0</v>
      </c>
      <c r="Q12440">
        <v>0</v>
      </c>
      <c r="R12440" t="s">
        <v>46581</v>
      </c>
      <c r="S12440" t="s">
        <v>47012</v>
      </c>
      <c r="T12440" t="s">
        <v>48238</v>
      </c>
      <c r="U12440" t="s">
        <v>58777</v>
      </c>
      <c r="V12440" t="s">
        <v>62981</v>
      </c>
      <c r="W12440" t="s">
        <v>46103</v>
      </c>
      <c r="X12440" t="s">
        <v>46582</v>
      </c>
    </row>
    <row r="12441" spans="1:24">
      <c r="A12441">
        <f>HYPERLINK("https://www.philgeps.gov.ph/GEPSNONPILOT/Tender/SplashBidNoticeAbstractUI.aspx?menuIndex=3&amp;refID=7044142&amp;Result=3","7044142")</f>
        <v>0</v>
      </c>
      <c r="B12441" t="s">
        <v>3189</v>
      </c>
      <c r="C12441" t="s">
        <v>15335</v>
      </c>
      <c r="D12441" t="s">
        <v>18835</v>
      </c>
      <c r="E12441" t="s">
        <v>29582</v>
      </c>
      <c r="F12441" t="s">
        <v>32664</v>
      </c>
      <c r="G12441" t="s">
        <v>32672</v>
      </c>
      <c r="H12441" t="s">
        <v>32683</v>
      </c>
      <c r="I12441" t="s">
        <v>10627</v>
      </c>
      <c r="J12441" t="s">
        <v>40166</v>
      </c>
      <c r="K12441" t="s">
        <v>42337</v>
      </c>
      <c r="L12441" t="s">
        <v>3189</v>
      </c>
      <c r="M12441" t="s">
        <v>46103</v>
      </c>
      <c r="N12441" t="s">
        <v>46569</v>
      </c>
      <c r="O12441" t="s">
        <v>46570</v>
      </c>
      <c r="P12441">
        <v>0</v>
      </c>
      <c r="Q12441">
        <v>0</v>
      </c>
      <c r="R12441" t="s">
        <v>46581</v>
      </c>
      <c r="S12441" t="s">
        <v>47012</v>
      </c>
      <c r="T12441" t="s">
        <v>48238</v>
      </c>
      <c r="U12441" t="s">
        <v>58778</v>
      </c>
      <c r="V12441" t="s">
        <v>62981</v>
      </c>
      <c r="W12441" t="s">
        <v>46103</v>
      </c>
      <c r="X12441" t="s">
        <v>46582</v>
      </c>
    </row>
    <row r="12442" spans="1:24">
      <c r="A12442">
        <f>HYPERLINK("https://www.philgeps.gov.ph/GEPSNONPILOT/Tender/SplashBidNoticeAbstractUI.aspx?menuIndex=3&amp;refID=7044160&amp;Result=3","7044160")</f>
        <v>0</v>
      </c>
      <c r="B12442" t="s">
        <v>3189</v>
      </c>
      <c r="C12442" t="s">
        <v>15336</v>
      </c>
      <c r="D12442" t="s">
        <v>18835</v>
      </c>
      <c r="E12442" t="s">
        <v>29583</v>
      </c>
      <c r="F12442" t="s">
        <v>32664</v>
      </c>
      <c r="G12442" t="s">
        <v>32672</v>
      </c>
      <c r="H12442" t="s">
        <v>32683</v>
      </c>
      <c r="I12442" t="s">
        <v>10627</v>
      </c>
      <c r="J12442" t="s">
        <v>40167</v>
      </c>
      <c r="K12442" t="s">
        <v>42305</v>
      </c>
      <c r="L12442" t="s">
        <v>3189</v>
      </c>
      <c r="M12442" t="s">
        <v>46103</v>
      </c>
      <c r="N12442" t="s">
        <v>46569</v>
      </c>
      <c r="O12442" t="s">
        <v>46570</v>
      </c>
      <c r="P12442">
        <v>0</v>
      </c>
      <c r="Q12442">
        <v>0</v>
      </c>
      <c r="R12442" t="s">
        <v>46581</v>
      </c>
      <c r="S12442" t="s">
        <v>47012</v>
      </c>
      <c r="T12442" t="s">
        <v>48238</v>
      </c>
      <c r="U12442" t="s">
        <v>58779</v>
      </c>
      <c r="V12442" t="s">
        <v>62981</v>
      </c>
      <c r="W12442" t="s">
        <v>46103</v>
      </c>
      <c r="X12442" t="s">
        <v>46582</v>
      </c>
    </row>
    <row r="12443" spans="1:24">
      <c r="A12443">
        <f>HYPERLINK("https://www.philgeps.gov.ph/GEPSNONPILOT/Tender/SplashBidNoticeAbstractUI.aspx?menuIndex=3&amp;refID=7044132&amp;Result=3","7044132")</f>
        <v>0</v>
      </c>
      <c r="B12443" t="s">
        <v>242</v>
      </c>
      <c r="C12443" t="s">
        <v>15337</v>
      </c>
      <c r="D12443" t="s">
        <v>18792</v>
      </c>
      <c r="E12443" t="s">
        <v>29584</v>
      </c>
      <c r="F12443" t="s">
        <v>32664</v>
      </c>
      <c r="G12443" t="s">
        <v>32672</v>
      </c>
      <c r="H12443" t="s">
        <v>32683</v>
      </c>
      <c r="I12443" t="s">
        <v>10627</v>
      </c>
      <c r="J12443" t="s">
        <v>40168</v>
      </c>
      <c r="K12443" t="s">
        <v>42533</v>
      </c>
      <c r="M12443" t="s">
        <v>42807</v>
      </c>
      <c r="N12443" t="s">
        <v>46569</v>
      </c>
      <c r="O12443" t="s">
        <v>46570</v>
      </c>
      <c r="Q12443">
        <v>2</v>
      </c>
      <c r="R12443" t="s">
        <v>46581</v>
      </c>
      <c r="S12443" t="s">
        <v>47053</v>
      </c>
      <c r="T12443" t="s">
        <v>48296</v>
      </c>
      <c r="U12443" t="s">
        <v>58780</v>
      </c>
      <c r="W12443" t="s">
        <v>42807</v>
      </c>
      <c r="X12443" t="s">
        <v>46582</v>
      </c>
    </row>
    <row r="12444" spans="1:24">
      <c r="A12444">
        <f>HYPERLINK("https://www.philgeps.gov.ph/GEPSNONPILOT/Tender/SplashBidNoticeAbstractUI.aspx?menuIndex=3&amp;refID=7044197&amp;Result=3","7044197")</f>
        <v>0</v>
      </c>
      <c r="B12444" t="s">
        <v>3189</v>
      </c>
      <c r="C12444" t="s">
        <v>15338</v>
      </c>
      <c r="D12444" t="s">
        <v>18835</v>
      </c>
      <c r="E12444" t="s">
        <v>29585</v>
      </c>
      <c r="F12444" t="s">
        <v>32664</v>
      </c>
      <c r="G12444" t="s">
        <v>32672</v>
      </c>
      <c r="H12444" t="s">
        <v>32683</v>
      </c>
      <c r="I12444" t="s">
        <v>10627</v>
      </c>
      <c r="J12444" t="s">
        <v>40169</v>
      </c>
      <c r="K12444" t="s">
        <v>42346</v>
      </c>
      <c r="L12444" t="s">
        <v>3189</v>
      </c>
      <c r="M12444" t="s">
        <v>46103</v>
      </c>
      <c r="N12444" t="s">
        <v>46569</v>
      </c>
      <c r="O12444" t="s">
        <v>46570</v>
      </c>
      <c r="P12444">
        <v>0</v>
      </c>
      <c r="Q12444">
        <v>0</v>
      </c>
      <c r="R12444" t="s">
        <v>46581</v>
      </c>
      <c r="S12444" t="s">
        <v>47012</v>
      </c>
      <c r="T12444" t="s">
        <v>48238</v>
      </c>
      <c r="U12444" t="s">
        <v>58781</v>
      </c>
      <c r="V12444" t="s">
        <v>62981</v>
      </c>
      <c r="W12444" t="s">
        <v>46103</v>
      </c>
      <c r="X12444" t="s">
        <v>46582</v>
      </c>
    </row>
    <row r="12445" spans="1:24">
      <c r="A12445">
        <f>HYPERLINK("https://www.philgeps.gov.ph/GEPSNONPILOT/Tender/SplashBidNoticeAbstractUI.aspx?menuIndex=3&amp;refID=7044149&amp;Result=3","7044149")</f>
        <v>0</v>
      </c>
      <c r="B12445" t="s">
        <v>3189</v>
      </c>
      <c r="C12445" t="s">
        <v>15339</v>
      </c>
      <c r="D12445" t="s">
        <v>18835</v>
      </c>
      <c r="E12445" t="s">
        <v>29586</v>
      </c>
      <c r="F12445" t="s">
        <v>32664</v>
      </c>
      <c r="G12445" t="s">
        <v>32672</v>
      </c>
      <c r="H12445" t="s">
        <v>32683</v>
      </c>
      <c r="I12445" t="s">
        <v>10627</v>
      </c>
      <c r="J12445" t="s">
        <v>40170</v>
      </c>
      <c r="K12445" t="s">
        <v>42305</v>
      </c>
      <c r="L12445" t="s">
        <v>3189</v>
      </c>
      <c r="M12445" t="s">
        <v>46103</v>
      </c>
      <c r="N12445" t="s">
        <v>46569</v>
      </c>
      <c r="O12445" t="s">
        <v>46570</v>
      </c>
      <c r="P12445">
        <v>0</v>
      </c>
      <c r="Q12445">
        <v>0</v>
      </c>
      <c r="R12445" t="s">
        <v>46581</v>
      </c>
      <c r="S12445" t="s">
        <v>47012</v>
      </c>
      <c r="T12445" t="s">
        <v>48238</v>
      </c>
      <c r="U12445" t="s">
        <v>58782</v>
      </c>
      <c r="V12445" t="s">
        <v>62981</v>
      </c>
      <c r="W12445" t="s">
        <v>46103</v>
      </c>
      <c r="X12445" t="s">
        <v>46582</v>
      </c>
    </row>
    <row r="12446" spans="1:24">
      <c r="A12446">
        <f>HYPERLINK("https://www.philgeps.gov.ph/GEPSNONPILOT/Tender/SplashBidNoticeAbstractUI.aspx?menuIndex=3&amp;refID=7044137&amp;Result=3","7044137")</f>
        <v>0</v>
      </c>
      <c r="B12446" t="s">
        <v>1055</v>
      </c>
      <c r="C12446" t="s">
        <v>15340</v>
      </c>
      <c r="D12446" t="s">
        <v>18784</v>
      </c>
      <c r="E12446" t="s">
        <v>29587</v>
      </c>
      <c r="F12446" t="s">
        <v>32664</v>
      </c>
      <c r="G12446" t="s">
        <v>32672</v>
      </c>
      <c r="H12446" t="s">
        <v>12635</v>
      </c>
      <c r="I12446" t="s">
        <v>32712</v>
      </c>
      <c r="J12446" t="s">
        <v>33261</v>
      </c>
      <c r="K12446" t="s">
        <v>42298</v>
      </c>
      <c r="M12446" t="s">
        <v>44732</v>
      </c>
      <c r="N12446" t="s">
        <v>46569</v>
      </c>
      <c r="O12446" t="s">
        <v>46570</v>
      </c>
      <c r="P12446">
        <v>0</v>
      </c>
      <c r="Q12446">
        <v>23</v>
      </c>
      <c r="R12446" t="s">
        <v>46581</v>
      </c>
      <c r="S12446" t="s">
        <v>47012</v>
      </c>
      <c r="T12446" t="s">
        <v>48384</v>
      </c>
      <c r="U12446" t="s">
        <v>54491</v>
      </c>
      <c r="W12446" t="s">
        <v>44732</v>
      </c>
      <c r="X12446" t="s">
        <v>46582</v>
      </c>
    </row>
    <row r="12447" spans="1:24">
      <c r="A12447">
        <f>HYPERLINK("https://www.philgeps.gov.ph/GEPSNONPILOT/Tender/SplashBidNoticeAbstractUI.aspx?menuIndex=3&amp;refID=7044123&amp;Result=3","7044123")</f>
        <v>0</v>
      </c>
      <c r="B12447" t="s">
        <v>3189</v>
      </c>
      <c r="C12447" t="s">
        <v>15341</v>
      </c>
      <c r="D12447" t="s">
        <v>18835</v>
      </c>
      <c r="E12447" t="s">
        <v>29588</v>
      </c>
      <c r="F12447" t="s">
        <v>32664</v>
      </c>
      <c r="G12447" t="s">
        <v>32672</v>
      </c>
      <c r="H12447" t="s">
        <v>32683</v>
      </c>
      <c r="I12447" t="s">
        <v>10627</v>
      </c>
      <c r="J12447" t="s">
        <v>40156</v>
      </c>
      <c r="K12447" t="s">
        <v>42528</v>
      </c>
      <c r="L12447" t="s">
        <v>3189</v>
      </c>
      <c r="M12447" t="s">
        <v>46103</v>
      </c>
      <c r="N12447" t="s">
        <v>46569</v>
      </c>
      <c r="O12447" t="s">
        <v>46570</v>
      </c>
      <c r="P12447">
        <v>0</v>
      </c>
      <c r="Q12447">
        <v>0</v>
      </c>
      <c r="R12447" t="s">
        <v>46581</v>
      </c>
      <c r="S12447" t="s">
        <v>47012</v>
      </c>
      <c r="T12447" t="s">
        <v>48238</v>
      </c>
      <c r="U12447" t="s">
        <v>58783</v>
      </c>
      <c r="V12447" t="s">
        <v>62981</v>
      </c>
      <c r="W12447" t="s">
        <v>46103</v>
      </c>
      <c r="X12447" t="s">
        <v>46582</v>
      </c>
    </row>
    <row r="12448" spans="1:24">
      <c r="A12448">
        <f>HYPERLINK("https://www.philgeps.gov.ph/GEPSNONPILOT/Tender/SplashBidNoticeAbstractUI.aspx?menuIndex=3&amp;refID=7044034&amp;Result=3","7044034")</f>
        <v>0</v>
      </c>
      <c r="B12448" t="s">
        <v>3167</v>
      </c>
      <c r="C12448" t="s">
        <v>15342</v>
      </c>
      <c r="D12448" t="s">
        <v>18796</v>
      </c>
      <c r="E12448" t="s">
        <v>29589</v>
      </c>
      <c r="F12448" t="s">
        <v>32664</v>
      </c>
      <c r="G12448" t="s">
        <v>32672</v>
      </c>
      <c r="H12448" t="s">
        <v>32683</v>
      </c>
      <c r="I12448" t="s">
        <v>6553</v>
      </c>
      <c r="J12448" t="s">
        <v>40171</v>
      </c>
      <c r="K12448" t="s">
        <v>42290</v>
      </c>
      <c r="M12448" t="s">
        <v>46072</v>
      </c>
      <c r="N12448" t="s">
        <v>46569</v>
      </c>
      <c r="O12448" t="s">
        <v>46570</v>
      </c>
      <c r="P12448">
        <v>0</v>
      </c>
      <c r="Q12448">
        <v>2</v>
      </c>
      <c r="R12448" t="s">
        <v>46581</v>
      </c>
      <c r="S12448" t="s">
        <v>47012</v>
      </c>
      <c r="T12448" t="s">
        <v>48303</v>
      </c>
      <c r="U12448" t="s">
        <v>58784</v>
      </c>
      <c r="V12448" t="s">
        <v>62958</v>
      </c>
      <c r="W12448" t="s">
        <v>46072</v>
      </c>
      <c r="X12448" t="s">
        <v>46582</v>
      </c>
    </row>
    <row r="12449" spans="1:24">
      <c r="A12449">
        <f>HYPERLINK("https://www.philgeps.gov.ph/GEPSNONPILOT/Tender/SplashBidNoticeAbstractUI.aspx?menuIndex=3&amp;refID=7044129&amp;Result=3","7044129")</f>
        <v>0</v>
      </c>
      <c r="B12449" t="s">
        <v>1055</v>
      </c>
      <c r="C12449" t="s">
        <v>15343</v>
      </c>
      <c r="D12449" t="s">
        <v>18784</v>
      </c>
      <c r="E12449" t="s">
        <v>29590</v>
      </c>
      <c r="F12449" t="s">
        <v>32664</v>
      </c>
      <c r="G12449" t="s">
        <v>32672</v>
      </c>
      <c r="H12449" t="s">
        <v>12635</v>
      </c>
      <c r="I12449" t="s">
        <v>32701</v>
      </c>
      <c r="J12449" t="s">
        <v>40172</v>
      </c>
      <c r="K12449" t="s">
        <v>42289</v>
      </c>
      <c r="M12449" t="s">
        <v>44732</v>
      </c>
      <c r="N12449" t="s">
        <v>46569</v>
      </c>
      <c r="O12449" t="s">
        <v>46570</v>
      </c>
      <c r="P12449">
        <v>0</v>
      </c>
      <c r="Q12449">
        <v>3</v>
      </c>
      <c r="R12449" t="s">
        <v>46581</v>
      </c>
      <c r="S12449" t="s">
        <v>47012</v>
      </c>
      <c r="T12449" t="s">
        <v>48384</v>
      </c>
      <c r="U12449" t="s">
        <v>58785</v>
      </c>
      <c r="W12449" t="s">
        <v>44732</v>
      </c>
      <c r="X12449" t="s">
        <v>46582</v>
      </c>
    </row>
    <row r="12450" spans="1:24">
      <c r="A12450">
        <f>HYPERLINK("https://www.philgeps.gov.ph/GEPSNONPILOT/Tender/SplashBidNoticeAbstractUI.aspx?menuIndex=3&amp;refID=7044117&amp;Result=3","7044117")</f>
        <v>0</v>
      </c>
      <c r="B12450" t="s">
        <v>1055</v>
      </c>
      <c r="C12450" t="s">
        <v>15344</v>
      </c>
      <c r="D12450" t="s">
        <v>18784</v>
      </c>
      <c r="E12450" t="s">
        <v>29591</v>
      </c>
      <c r="F12450" t="s">
        <v>32664</v>
      </c>
      <c r="G12450" t="s">
        <v>32672</v>
      </c>
      <c r="H12450" t="s">
        <v>12635</v>
      </c>
      <c r="I12450" t="s">
        <v>6628</v>
      </c>
      <c r="J12450" t="s">
        <v>37852</v>
      </c>
      <c r="K12450" t="s">
        <v>42311</v>
      </c>
      <c r="M12450" t="s">
        <v>44732</v>
      </c>
      <c r="N12450" t="s">
        <v>46569</v>
      </c>
      <c r="O12450" t="s">
        <v>46570</v>
      </c>
      <c r="P12450">
        <v>0</v>
      </c>
      <c r="Q12450">
        <v>13</v>
      </c>
      <c r="R12450" t="s">
        <v>46581</v>
      </c>
      <c r="S12450" t="s">
        <v>47012</v>
      </c>
      <c r="T12450" t="s">
        <v>48384</v>
      </c>
      <c r="U12450" t="s">
        <v>54440</v>
      </c>
      <c r="W12450" t="s">
        <v>44732</v>
      </c>
      <c r="X12450" t="s">
        <v>46582</v>
      </c>
    </row>
    <row r="12451" spans="1:24">
      <c r="A12451">
        <f>HYPERLINK("https://www.philgeps.gov.ph/GEPSNONPILOT/Tender/SplashBidNoticeAbstractUI.aspx?menuIndex=3&amp;refID=7044062&amp;Result=3","7044062")</f>
        <v>0</v>
      </c>
      <c r="B12451" t="s">
        <v>3167</v>
      </c>
      <c r="C12451" t="s">
        <v>15345</v>
      </c>
      <c r="D12451" t="s">
        <v>18796</v>
      </c>
      <c r="E12451" t="s">
        <v>29592</v>
      </c>
      <c r="F12451" t="s">
        <v>32664</v>
      </c>
      <c r="G12451" t="s">
        <v>32672</v>
      </c>
      <c r="H12451" t="s">
        <v>32683</v>
      </c>
      <c r="I12451" t="s">
        <v>6553</v>
      </c>
      <c r="J12451" t="s">
        <v>40173</v>
      </c>
      <c r="K12451" t="s">
        <v>42290</v>
      </c>
      <c r="M12451" t="s">
        <v>46072</v>
      </c>
      <c r="N12451" t="s">
        <v>46569</v>
      </c>
      <c r="O12451" t="s">
        <v>46570</v>
      </c>
      <c r="P12451">
        <v>0</v>
      </c>
      <c r="Q12451">
        <v>1</v>
      </c>
      <c r="R12451" t="s">
        <v>46581</v>
      </c>
      <c r="S12451" t="s">
        <v>47012</v>
      </c>
      <c r="T12451" t="s">
        <v>48303</v>
      </c>
      <c r="U12451" t="s">
        <v>58786</v>
      </c>
      <c r="V12451" t="s">
        <v>62958</v>
      </c>
      <c r="W12451" t="s">
        <v>46072</v>
      </c>
      <c r="X12451" t="s">
        <v>46582</v>
      </c>
    </row>
    <row r="12452" spans="1:24">
      <c r="A12452">
        <f>HYPERLINK("https://www.philgeps.gov.ph/GEPSNONPILOT/Tender/SplashBidNoticeAbstractUI.aspx?menuIndex=3&amp;refID=7044057&amp;Result=3","7044057")</f>
        <v>0</v>
      </c>
      <c r="B12452" t="s">
        <v>3167</v>
      </c>
      <c r="C12452" t="s">
        <v>15346</v>
      </c>
      <c r="D12452" t="s">
        <v>18796</v>
      </c>
      <c r="E12452" t="s">
        <v>29593</v>
      </c>
      <c r="F12452" t="s">
        <v>32664</v>
      </c>
      <c r="G12452" t="s">
        <v>32672</v>
      </c>
      <c r="H12452" t="s">
        <v>32683</v>
      </c>
      <c r="I12452" t="s">
        <v>6553</v>
      </c>
      <c r="J12452" t="s">
        <v>40174</v>
      </c>
      <c r="K12452" t="s">
        <v>42290</v>
      </c>
      <c r="M12452" t="s">
        <v>46072</v>
      </c>
      <c r="N12452" t="s">
        <v>46569</v>
      </c>
      <c r="O12452" t="s">
        <v>46570</v>
      </c>
      <c r="P12452">
        <v>0</v>
      </c>
      <c r="Q12452">
        <v>1</v>
      </c>
      <c r="R12452" t="s">
        <v>46581</v>
      </c>
      <c r="S12452" t="s">
        <v>47012</v>
      </c>
      <c r="T12452" t="s">
        <v>48303</v>
      </c>
      <c r="U12452" t="s">
        <v>58787</v>
      </c>
      <c r="V12452" t="s">
        <v>62958</v>
      </c>
      <c r="W12452" t="s">
        <v>46072</v>
      </c>
      <c r="X12452" t="s">
        <v>46582</v>
      </c>
    </row>
    <row r="12453" spans="1:24">
      <c r="A12453">
        <f>HYPERLINK("https://www.philgeps.gov.ph/GEPSNONPILOT/Tender/SplashBidNoticeAbstractUI.aspx?menuIndex=3&amp;refID=7044109&amp;Result=3","7044109")</f>
        <v>0</v>
      </c>
      <c r="B12453" t="s">
        <v>1055</v>
      </c>
      <c r="C12453" t="s">
        <v>15347</v>
      </c>
      <c r="D12453" t="s">
        <v>18784</v>
      </c>
      <c r="E12453" t="s">
        <v>29594</v>
      </c>
      <c r="F12453" t="s">
        <v>32664</v>
      </c>
      <c r="G12453" t="s">
        <v>32672</v>
      </c>
      <c r="H12453" t="s">
        <v>12635</v>
      </c>
      <c r="I12453" t="s">
        <v>32727</v>
      </c>
      <c r="J12453" t="s">
        <v>40175</v>
      </c>
      <c r="K12453" t="s">
        <v>42284</v>
      </c>
      <c r="M12453" t="s">
        <v>44732</v>
      </c>
      <c r="N12453" t="s">
        <v>46569</v>
      </c>
      <c r="O12453" t="s">
        <v>46570</v>
      </c>
      <c r="P12453">
        <v>0</v>
      </c>
      <c r="Q12453">
        <v>18</v>
      </c>
      <c r="R12453" t="s">
        <v>46581</v>
      </c>
      <c r="S12453" t="s">
        <v>47012</v>
      </c>
      <c r="T12453" t="s">
        <v>48384</v>
      </c>
      <c r="U12453" t="s">
        <v>54440</v>
      </c>
      <c r="W12453" t="s">
        <v>44732</v>
      </c>
      <c r="X12453" t="s">
        <v>46582</v>
      </c>
    </row>
    <row r="12454" spans="1:24">
      <c r="A12454">
        <f>HYPERLINK("https://www.philgeps.gov.ph/GEPSNONPILOT/Tender/SplashBidNoticeAbstractUI.aspx?menuIndex=3&amp;refID=7044056&amp;Result=3","7044056")</f>
        <v>0</v>
      </c>
      <c r="B12454" t="s">
        <v>3167</v>
      </c>
      <c r="C12454" t="s">
        <v>15348</v>
      </c>
      <c r="D12454" t="s">
        <v>18796</v>
      </c>
      <c r="E12454" t="s">
        <v>29595</v>
      </c>
      <c r="F12454" t="s">
        <v>32664</v>
      </c>
      <c r="G12454" t="s">
        <v>32672</v>
      </c>
      <c r="H12454" t="s">
        <v>32683</v>
      </c>
      <c r="I12454" t="s">
        <v>6553</v>
      </c>
      <c r="J12454" t="s">
        <v>40176</v>
      </c>
      <c r="K12454" t="s">
        <v>42290</v>
      </c>
      <c r="M12454" t="s">
        <v>46072</v>
      </c>
      <c r="N12454" t="s">
        <v>46569</v>
      </c>
      <c r="O12454" t="s">
        <v>46570</v>
      </c>
      <c r="P12454">
        <v>0</v>
      </c>
      <c r="Q12454">
        <v>1</v>
      </c>
      <c r="R12454" t="s">
        <v>46581</v>
      </c>
      <c r="S12454" t="s">
        <v>47012</v>
      </c>
      <c r="T12454" t="s">
        <v>48303</v>
      </c>
      <c r="U12454" t="s">
        <v>58788</v>
      </c>
      <c r="V12454" t="s">
        <v>62958</v>
      </c>
      <c r="W12454" t="s">
        <v>46072</v>
      </c>
      <c r="X12454" t="s">
        <v>46582</v>
      </c>
    </row>
    <row r="12455" spans="1:24">
      <c r="A12455">
        <f>HYPERLINK("https://www.philgeps.gov.ph/GEPSNONPILOT/Tender/SplashBidNoticeAbstractUI.aspx?menuIndex=3&amp;refID=7044054&amp;Result=3","7044054")</f>
        <v>0</v>
      </c>
      <c r="B12455" t="s">
        <v>3167</v>
      </c>
      <c r="C12455" t="s">
        <v>15349</v>
      </c>
      <c r="D12455" t="s">
        <v>18796</v>
      </c>
      <c r="E12455" t="s">
        <v>29596</v>
      </c>
      <c r="F12455" t="s">
        <v>32664</v>
      </c>
      <c r="G12455" t="s">
        <v>32672</v>
      </c>
      <c r="H12455" t="s">
        <v>32683</v>
      </c>
      <c r="I12455" t="s">
        <v>6553</v>
      </c>
      <c r="J12455" t="s">
        <v>40177</v>
      </c>
      <c r="K12455" t="s">
        <v>42290</v>
      </c>
      <c r="M12455" t="s">
        <v>46072</v>
      </c>
      <c r="N12455" t="s">
        <v>46569</v>
      </c>
      <c r="O12455" t="s">
        <v>46570</v>
      </c>
      <c r="P12455">
        <v>0</v>
      </c>
      <c r="Q12455">
        <v>2</v>
      </c>
      <c r="R12455" t="s">
        <v>46581</v>
      </c>
      <c r="S12455" t="s">
        <v>47012</v>
      </c>
      <c r="T12455" t="s">
        <v>48303</v>
      </c>
      <c r="U12455" t="s">
        <v>58789</v>
      </c>
      <c r="V12455" t="s">
        <v>62958</v>
      </c>
      <c r="W12455" t="s">
        <v>46072</v>
      </c>
      <c r="X12455" t="s">
        <v>46582</v>
      </c>
    </row>
    <row r="12456" spans="1:24">
      <c r="A12456">
        <f>HYPERLINK("https://www.philgeps.gov.ph/GEPSNONPILOT/Tender/SplashBidNoticeAbstractUI.aspx?menuIndex=3&amp;refID=7044016&amp;Result=3","7044016")</f>
        <v>0</v>
      </c>
      <c r="B12456" t="s">
        <v>1911</v>
      </c>
      <c r="C12456" t="s">
        <v>15350</v>
      </c>
      <c r="D12456" t="s">
        <v>18844</v>
      </c>
      <c r="E12456" t="s">
        <v>29597</v>
      </c>
      <c r="F12456" t="s">
        <v>32664</v>
      </c>
      <c r="G12456" t="s">
        <v>32672</v>
      </c>
      <c r="H12456" t="s">
        <v>12635</v>
      </c>
      <c r="I12456" t="s">
        <v>11464</v>
      </c>
      <c r="J12456" t="s">
        <v>33097</v>
      </c>
      <c r="K12456" t="s">
        <v>42309</v>
      </c>
      <c r="M12456" t="s">
        <v>44632</v>
      </c>
      <c r="N12456" t="s">
        <v>46569</v>
      </c>
      <c r="O12456" t="s">
        <v>46570</v>
      </c>
      <c r="P12456">
        <v>0</v>
      </c>
      <c r="Q12456">
        <v>5</v>
      </c>
      <c r="R12456" t="s">
        <v>46581</v>
      </c>
      <c r="S12456" t="s">
        <v>47012</v>
      </c>
      <c r="T12456" t="s">
        <v>48284</v>
      </c>
      <c r="U12456" t="s">
        <v>58790</v>
      </c>
      <c r="W12456" t="s">
        <v>44632</v>
      </c>
      <c r="X12456" t="s">
        <v>46582</v>
      </c>
    </row>
    <row r="12457" spans="1:24">
      <c r="A12457">
        <f>HYPERLINK("https://www.philgeps.gov.ph/GEPSNONPILOT/Tender/SplashBidNoticeAbstractUI.aspx?menuIndex=3&amp;refID=7043844&amp;Result=3","7043844")</f>
        <v>0</v>
      </c>
      <c r="B12457" t="s">
        <v>2213</v>
      </c>
      <c r="C12457" t="s">
        <v>15351</v>
      </c>
      <c r="D12457" t="s">
        <v>18849</v>
      </c>
      <c r="E12457" t="s">
        <v>29598</v>
      </c>
      <c r="F12457" t="s">
        <v>32664</v>
      </c>
      <c r="G12457" t="s">
        <v>32672</v>
      </c>
      <c r="H12457" t="s">
        <v>32683</v>
      </c>
      <c r="I12457" t="s">
        <v>10627</v>
      </c>
      <c r="J12457" t="s">
        <v>33150</v>
      </c>
      <c r="K12457" t="s">
        <v>42298</v>
      </c>
      <c r="M12457" t="s">
        <v>44977</v>
      </c>
      <c r="N12457" t="s">
        <v>46569</v>
      </c>
      <c r="O12457" t="s">
        <v>46570</v>
      </c>
      <c r="P12457">
        <v>0</v>
      </c>
      <c r="Q12457">
        <v>2</v>
      </c>
      <c r="R12457" t="s">
        <v>46581</v>
      </c>
      <c r="S12457" t="s">
        <v>47012</v>
      </c>
      <c r="T12457" t="s">
        <v>48212</v>
      </c>
      <c r="U12457" t="s">
        <v>58791</v>
      </c>
      <c r="W12457" t="s">
        <v>44977</v>
      </c>
      <c r="X12457" t="s">
        <v>46583</v>
      </c>
    </row>
    <row r="12458" spans="1:24">
      <c r="A12458">
        <f>HYPERLINK("https://www.philgeps.gov.ph/GEPSNONPILOT/Tender/SplashBidNoticeAbstractUI.aspx?menuIndex=3&amp;refID=7044272&amp;Result=3","7044272")</f>
        <v>0</v>
      </c>
      <c r="B12458" t="s">
        <v>2380</v>
      </c>
      <c r="C12458" t="s">
        <v>15352</v>
      </c>
      <c r="D12458" t="s">
        <v>18787</v>
      </c>
      <c r="E12458" t="s">
        <v>29599</v>
      </c>
      <c r="F12458" t="s">
        <v>32664</v>
      </c>
      <c r="G12458" t="s">
        <v>32672</v>
      </c>
      <c r="H12458" t="s">
        <v>32683</v>
      </c>
      <c r="I12458" t="s">
        <v>10627</v>
      </c>
      <c r="J12458" t="s">
        <v>40178</v>
      </c>
      <c r="K12458" t="s">
        <v>42283</v>
      </c>
      <c r="M12458" t="s">
        <v>45168</v>
      </c>
      <c r="N12458" t="s">
        <v>46569</v>
      </c>
      <c r="O12458" t="s">
        <v>46570</v>
      </c>
      <c r="P12458">
        <v>0</v>
      </c>
      <c r="Q12458">
        <v>0</v>
      </c>
      <c r="R12458" t="s">
        <v>46581</v>
      </c>
      <c r="S12458" t="s">
        <v>47012</v>
      </c>
      <c r="T12458" t="s">
        <v>48284</v>
      </c>
      <c r="U12458" t="s">
        <v>58792</v>
      </c>
      <c r="W12458" t="s">
        <v>45168</v>
      </c>
      <c r="X12458" t="s">
        <v>46582</v>
      </c>
    </row>
    <row r="12459" spans="1:24">
      <c r="A12459">
        <f>HYPERLINK("https://www.philgeps.gov.ph/GEPSNONPILOT/Tender/SplashBidNoticeAbstractUI.aspx?menuIndex=3&amp;refID=7044267&amp;Result=3","7044267")</f>
        <v>0</v>
      </c>
      <c r="B12459" t="s">
        <v>2380</v>
      </c>
      <c r="C12459" t="s">
        <v>15353</v>
      </c>
      <c r="D12459" t="s">
        <v>18787</v>
      </c>
      <c r="E12459" t="s">
        <v>29600</v>
      </c>
      <c r="F12459" t="s">
        <v>32664</v>
      </c>
      <c r="G12459" t="s">
        <v>32672</v>
      </c>
      <c r="H12459" t="s">
        <v>32683</v>
      </c>
      <c r="I12459" t="s">
        <v>10627</v>
      </c>
      <c r="J12459" t="s">
        <v>35358</v>
      </c>
      <c r="K12459" t="s">
        <v>42283</v>
      </c>
      <c r="M12459" t="s">
        <v>45168</v>
      </c>
      <c r="N12459" t="s">
        <v>46569</v>
      </c>
      <c r="O12459" t="s">
        <v>46570</v>
      </c>
      <c r="P12459">
        <v>0</v>
      </c>
      <c r="Q12459">
        <v>0</v>
      </c>
      <c r="R12459" t="s">
        <v>46581</v>
      </c>
      <c r="S12459" t="s">
        <v>47012</v>
      </c>
      <c r="T12459" t="s">
        <v>48284</v>
      </c>
      <c r="U12459" t="s">
        <v>58793</v>
      </c>
      <c r="W12459" t="s">
        <v>45168</v>
      </c>
      <c r="X12459" t="s">
        <v>46582</v>
      </c>
    </row>
    <row r="12460" spans="1:24">
      <c r="A12460">
        <f>HYPERLINK("https://www.philgeps.gov.ph/GEPSNONPILOT/Tender/SplashBidNoticeAbstractUI.aspx?menuIndex=3&amp;refID=7044099&amp;Result=3","7044099")</f>
        <v>0</v>
      </c>
      <c r="B12460" t="s">
        <v>1055</v>
      </c>
      <c r="C12460" t="s">
        <v>15354</v>
      </c>
      <c r="D12460" t="s">
        <v>18784</v>
      </c>
      <c r="E12460" t="s">
        <v>29601</v>
      </c>
      <c r="F12460" t="s">
        <v>32664</v>
      </c>
      <c r="G12460" t="s">
        <v>32672</v>
      </c>
      <c r="H12460" t="s">
        <v>12635</v>
      </c>
      <c r="I12460" t="s">
        <v>10370</v>
      </c>
      <c r="J12460" t="s">
        <v>40179</v>
      </c>
      <c r="K12460" t="s">
        <v>42284</v>
      </c>
      <c r="M12460" t="s">
        <v>44732</v>
      </c>
      <c r="N12460" t="s">
        <v>46569</v>
      </c>
      <c r="O12460" t="s">
        <v>46570</v>
      </c>
      <c r="P12460">
        <v>0</v>
      </c>
      <c r="Q12460">
        <v>24</v>
      </c>
      <c r="R12460" t="s">
        <v>46581</v>
      </c>
      <c r="S12460" t="s">
        <v>47012</v>
      </c>
      <c r="T12460" t="s">
        <v>48384</v>
      </c>
      <c r="U12460" t="s">
        <v>54440</v>
      </c>
      <c r="W12460" t="s">
        <v>44732</v>
      </c>
      <c r="X12460" t="s">
        <v>46582</v>
      </c>
    </row>
    <row r="12461" spans="1:24">
      <c r="A12461">
        <f>HYPERLINK("https://www.philgeps.gov.ph/GEPSNONPILOT/Tender/SplashBidNoticeAbstractUI.aspx?menuIndex=3&amp;refID=7044269&amp;Result=3","7044269")</f>
        <v>0</v>
      </c>
      <c r="B12461" t="s">
        <v>3191</v>
      </c>
      <c r="C12461" t="s">
        <v>15355</v>
      </c>
      <c r="D12461" t="s">
        <v>18802</v>
      </c>
      <c r="E12461" t="s">
        <v>29602</v>
      </c>
      <c r="F12461" t="s">
        <v>32664</v>
      </c>
      <c r="G12461" t="s">
        <v>32672</v>
      </c>
      <c r="H12461" t="s">
        <v>32683</v>
      </c>
      <c r="I12461" t="s">
        <v>10627</v>
      </c>
      <c r="J12461" t="s">
        <v>40180</v>
      </c>
      <c r="K12461" t="s">
        <v>42481</v>
      </c>
      <c r="M12461" t="s">
        <v>46106</v>
      </c>
      <c r="N12461" t="s">
        <v>46569</v>
      </c>
      <c r="O12461" t="s">
        <v>46570</v>
      </c>
      <c r="P12461">
        <v>0</v>
      </c>
      <c r="Q12461">
        <v>0</v>
      </c>
      <c r="R12461" t="s">
        <v>46581</v>
      </c>
      <c r="S12461" t="s">
        <v>47012</v>
      </c>
      <c r="T12461" t="s">
        <v>48467</v>
      </c>
      <c r="U12461" t="s">
        <v>58794</v>
      </c>
      <c r="W12461" t="s">
        <v>46106</v>
      </c>
      <c r="X12461" t="s">
        <v>46582</v>
      </c>
    </row>
    <row r="12462" spans="1:24">
      <c r="A12462">
        <f>HYPERLINK("https://www.philgeps.gov.ph/GEPSNONPILOT/Tender/SplashBidNoticeAbstractUI.aspx?menuIndex=3&amp;refID=7044059&amp;Result=3","7044059")</f>
        <v>0</v>
      </c>
      <c r="B12462" t="s">
        <v>3167</v>
      </c>
      <c r="C12462" t="s">
        <v>15356</v>
      </c>
      <c r="D12462" t="s">
        <v>18796</v>
      </c>
      <c r="E12462" t="s">
        <v>29603</v>
      </c>
      <c r="F12462" t="s">
        <v>32664</v>
      </c>
      <c r="G12462" t="s">
        <v>32672</v>
      </c>
      <c r="H12462" t="s">
        <v>32683</v>
      </c>
      <c r="I12462" t="s">
        <v>6553</v>
      </c>
      <c r="J12462" t="s">
        <v>40181</v>
      </c>
      <c r="K12462" t="s">
        <v>42290</v>
      </c>
      <c r="M12462" t="s">
        <v>46072</v>
      </c>
      <c r="N12462" t="s">
        <v>46569</v>
      </c>
      <c r="O12462" t="s">
        <v>46570</v>
      </c>
      <c r="P12462">
        <v>0</v>
      </c>
      <c r="Q12462">
        <v>1</v>
      </c>
      <c r="R12462" t="s">
        <v>46581</v>
      </c>
      <c r="S12462" t="s">
        <v>47012</v>
      </c>
      <c r="T12462" t="s">
        <v>48303</v>
      </c>
      <c r="U12462" t="s">
        <v>58795</v>
      </c>
      <c r="V12462" t="s">
        <v>62958</v>
      </c>
      <c r="W12462" t="s">
        <v>46072</v>
      </c>
      <c r="X12462" t="s">
        <v>46582</v>
      </c>
    </row>
    <row r="12463" spans="1:24">
      <c r="A12463">
        <f>HYPERLINK("https://www.philgeps.gov.ph/GEPSNONPILOT/Tender/SplashBidNoticeAbstractUI.aspx?menuIndex=3&amp;refID=7044255&amp;Result=3","7044255")</f>
        <v>0</v>
      </c>
      <c r="B12463" t="s">
        <v>3192</v>
      </c>
      <c r="C12463" t="s">
        <v>15357</v>
      </c>
      <c r="D12463" t="s">
        <v>18790</v>
      </c>
      <c r="E12463" t="s">
        <v>29604</v>
      </c>
      <c r="F12463" t="s">
        <v>32664</v>
      </c>
      <c r="G12463" t="s">
        <v>32672</v>
      </c>
      <c r="H12463" t="s">
        <v>12635</v>
      </c>
      <c r="I12463" t="s">
        <v>6628</v>
      </c>
      <c r="J12463" t="s">
        <v>36770</v>
      </c>
      <c r="K12463" t="s">
        <v>42281</v>
      </c>
      <c r="M12463" t="s">
        <v>46107</v>
      </c>
      <c r="N12463" t="s">
        <v>46569</v>
      </c>
      <c r="O12463" t="s">
        <v>46570</v>
      </c>
      <c r="P12463">
        <v>0</v>
      </c>
      <c r="Q12463">
        <v>0</v>
      </c>
      <c r="R12463" t="s">
        <v>46581</v>
      </c>
      <c r="S12463" t="s">
        <v>47012</v>
      </c>
      <c r="T12463" t="s">
        <v>48452</v>
      </c>
      <c r="U12463" t="s">
        <v>58796</v>
      </c>
      <c r="W12463" t="s">
        <v>46107</v>
      </c>
      <c r="X12463" t="s">
        <v>46582</v>
      </c>
    </row>
    <row r="12464" spans="1:24">
      <c r="A12464">
        <f>HYPERLINK("https://www.philgeps.gov.ph/GEPSNONPILOT/Tender/SplashBidNoticeAbstractUI.aspx?menuIndex=3&amp;refID=7044051&amp;Result=3","7044051")</f>
        <v>0</v>
      </c>
      <c r="B12464" t="s">
        <v>3167</v>
      </c>
      <c r="C12464" t="s">
        <v>15358</v>
      </c>
      <c r="D12464" t="s">
        <v>18796</v>
      </c>
      <c r="E12464" t="s">
        <v>29605</v>
      </c>
      <c r="F12464" t="s">
        <v>32664</v>
      </c>
      <c r="G12464" t="s">
        <v>32672</v>
      </c>
      <c r="H12464" t="s">
        <v>32683</v>
      </c>
      <c r="I12464" t="s">
        <v>6553</v>
      </c>
      <c r="J12464" t="s">
        <v>40182</v>
      </c>
      <c r="K12464" t="s">
        <v>42290</v>
      </c>
      <c r="M12464" t="s">
        <v>46072</v>
      </c>
      <c r="N12464" t="s">
        <v>46569</v>
      </c>
      <c r="O12464" t="s">
        <v>46570</v>
      </c>
      <c r="P12464">
        <v>0</v>
      </c>
      <c r="Q12464">
        <v>1</v>
      </c>
      <c r="R12464" t="s">
        <v>46581</v>
      </c>
      <c r="S12464" t="s">
        <v>47012</v>
      </c>
      <c r="T12464" t="s">
        <v>48303</v>
      </c>
      <c r="U12464" t="s">
        <v>58797</v>
      </c>
      <c r="V12464" t="s">
        <v>62958</v>
      </c>
      <c r="W12464" t="s">
        <v>46072</v>
      </c>
      <c r="X12464" t="s">
        <v>46582</v>
      </c>
    </row>
    <row r="12465" spans="1:24">
      <c r="A12465">
        <f>HYPERLINK("https://www.philgeps.gov.ph/GEPSNONPILOT/Tender/SplashBidNoticeAbstractUI.aspx?menuIndex=3&amp;refID=7044251&amp;Result=3","7044251")</f>
        <v>0</v>
      </c>
      <c r="B12465" t="s">
        <v>2386</v>
      </c>
      <c r="C12465" t="s">
        <v>15359</v>
      </c>
      <c r="D12465" t="s">
        <v>18835</v>
      </c>
      <c r="E12465" t="s">
        <v>29606</v>
      </c>
      <c r="F12465" t="s">
        <v>32664</v>
      </c>
      <c r="G12465" t="s">
        <v>32672</v>
      </c>
      <c r="H12465" t="s">
        <v>12635</v>
      </c>
      <c r="I12465" t="s">
        <v>10370</v>
      </c>
      <c r="J12465" t="s">
        <v>33015</v>
      </c>
      <c r="K12465" t="s">
        <v>42289</v>
      </c>
      <c r="M12465" t="s">
        <v>45176</v>
      </c>
      <c r="N12465" t="s">
        <v>46569</v>
      </c>
      <c r="O12465" t="s">
        <v>46570</v>
      </c>
      <c r="P12465">
        <v>0</v>
      </c>
      <c r="Q12465">
        <v>0</v>
      </c>
      <c r="R12465" t="s">
        <v>46581</v>
      </c>
      <c r="S12465" t="s">
        <v>47012</v>
      </c>
      <c r="T12465" t="s">
        <v>48467</v>
      </c>
      <c r="U12465" t="s">
        <v>58798</v>
      </c>
      <c r="W12465" t="s">
        <v>45176</v>
      </c>
      <c r="X12465" t="s">
        <v>46582</v>
      </c>
    </row>
    <row r="12466" spans="1:24">
      <c r="A12466">
        <f>HYPERLINK("https://www.philgeps.gov.ph/GEPSNONPILOT/Tender/SplashBidNoticeAbstractUI.aspx?menuIndex=3&amp;refID=7044266&amp;Result=3","7044266")</f>
        <v>0</v>
      </c>
      <c r="B12466" t="s">
        <v>2380</v>
      </c>
      <c r="C12466" t="s">
        <v>15360</v>
      </c>
      <c r="D12466" t="s">
        <v>18787</v>
      </c>
      <c r="E12466" t="s">
        <v>29607</v>
      </c>
      <c r="F12466" t="s">
        <v>32664</v>
      </c>
      <c r="G12466" t="s">
        <v>32672</v>
      </c>
      <c r="H12466" t="s">
        <v>32683</v>
      </c>
      <c r="I12466" t="s">
        <v>10627</v>
      </c>
      <c r="J12466" t="s">
        <v>35358</v>
      </c>
      <c r="K12466" t="s">
        <v>42283</v>
      </c>
      <c r="M12466" t="s">
        <v>45168</v>
      </c>
      <c r="N12466" t="s">
        <v>46569</v>
      </c>
      <c r="O12466" t="s">
        <v>46570</v>
      </c>
      <c r="P12466">
        <v>0</v>
      </c>
      <c r="Q12466">
        <v>0</v>
      </c>
      <c r="R12466" t="s">
        <v>46581</v>
      </c>
      <c r="S12466" t="s">
        <v>47012</v>
      </c>
      <c r="T12466" t="s">
        <v>48284</v>
      </c>
      <c r="U12466" t="s">
        <v>58799</v>
      </c>
      <c r="W12466" t="s">
        <v>45168</v>
      </c>
      <c r="X12466" t="s">
        <v>46582</v>
      </c>
    </row>
    <row r="12467" spans="1:24">
      <c r="A12467">
        <f>HYPERLINK("https://www.philgeps.gov.ph/GEPSNONPILOT/Tender/SplashBidNoticeAbstractUI.aspx?menuIndex=3&amp;refID=7044245&amp;Result=3","7044245")</f>
        <v>0</v>
      </c>
      <c r="B12467" t="s">
        <v>3193</v>
      </c>
      <c r="C12467" t="s">
        <v>15361</v>
      </c>
      <c r="D12467" t="s">
        <v>18809</v>
      </c>
      <c r="E12467" t="s">
        <v>21047</v>
      </c>
      <c r="F12467" t="s">
        <v>32665</v>
      </c>
      <c r="G12467" t="s">
        <v>32672</v>
      </c>
      <c r="H12467" t="s">
        <v>12635</v>
      </c>
      <c r="I12467" t="s">
        <v>4439</v>
      </c>
      <c r="J12467" t="s">
        <v>40183</v>
      </c>
      <c r="K12467" t="s">
        <v>42289</v>
      </c>
      <c r="M12467" t="s">
        <v>46108</v>
      </c>
      <c r="N12467" t="s">
        <v>46569</v>
      </c>
      <c r="O12467" t="s">
        <v>46570</v>
      </c>
      <c r="P12467">
        <v>0</v>
      </c>
      <c r="Q12467">
        <v>0</v>
      </c>
      <c r="R12467" t="s">
        <v>46581</v>
      </c>
      <c r="S12467" t="s">
        <v>47012</v>
      </c>
      <c r="T12467" t="s">
        <v>48299</v>
      </c>
      <c r="U12467" t="s">
        <v>58800</v>
      </c>
      <c r="W12467" t="s">
        <v>46108</v>
      </c>
      <c r="X12467" t="s">
        <v>46582</v>
      </c>
    </row>
    <row r="12468" spans="1:24">
      <c r="A12468">
        <f>HYPERLINK("https://www.philgeps.gov.ph/GEPSNONPILOT/Tender/SplashBidNoticeAbstractUI.aspx?menuIndex=3&amp;refID=7044270&amp;Result=3","7044270")</f>
        <v>0</v>
      </c>
      <c r="B12468" t="s">
        <v>2386</v>
      </c>
      <c r="C12468" t="s">
        <v>15362</v>
      </c>
      <c r="D12468" t="s">
        <v>18835</v>
      </c>
      <c r="E12468" t="s">
        <v>29608</v>
      </c>
      <c r="F12468" t="s">
        <v>32664</v>
      </c>
      <c r="G12468" t="s">
        <v>32672</v>
      </c>
      <c r="H12468" t="s">
        <v>12635</v>
      </c>
      <c r="I12468" t="s">
        <v>32716</v>
      </c>
      <c r="J12468" t="s">
        <v>40184</v>
      </c>
      <c r="K12468" t="s">
        <v>42289</v>
      </c>
      <c r="M12468" t="s">
        <v>45176</v>
      </c>
      <c r="N12468" t="s">
        <v>46569</v>
      </c>
      <c r="O12468" t="s">
        <v>46570</v>
      </c>
      <c r="P12468">
        <v>0</v>
      </c>
      <c r="Q12468">
        <v>0</v>
      </c>
      <c r="R12468" t="s">
        <v>46581</v>
      </c>
      <c r="S12468" t="s">
        <v>47012</v>
      </c>
      <c r="T12468" t="s">
        <v>48467</v>
      </c>
      <c r="U12468" t="s">
        <v>58801</v>
      </c>
      <c r="W12468" t="s">
        <v>45176</v>
      </c>
      <c r="X12468" t="s">
        <v>46582</v>
      </c>
    </row>
    <row r="12469" spans="1:24">
      <c r="A12469">
        <f>HYPERLINK("https://www.philgeps.gov.ph/GEPSNONPILOT/Tender/SplashBidNoticeAbstractUI.aspx?menuIndex=3&amp;refID=7044241&amp;Result=3","7044241")</f>
        <v>0</v>
      </c>
      <c r="B12469" t="s">
        <v>3194</v>
      </c>
      <c r="C12469" t="s">
        <v>15363</v>
      </c>
      <c r="D12469" t="s">
        <v>18784</v>
      </c>
      <c r="E12469" t="s">
        <v>19583</v>
      </c>
      <c r="F12469" t="s">
        <v>32664</v>
      </c>
      <c r="G12469" t="s">
        <v>32672</v>
      </c>
      <c r="H12469" t="s">
        <v>32682</v>
      </c>
      <c r="I12469" t="s">
        <v>9946</v>
      </c>
      <c r="J12469" t="s">
        <v>40185</v>
      </c>
      <c r="K12469" t="s">
        <v>42334</v>
      </c>
      <c r="M12469" t="s">
        <v>46109</v>
      </c>
      <c r="N12469" t="s">
        <v>46569</v>
      </c>
      <c r="O12469" t="s">
        <v>46570</v>
      </c>
      <c r="P12469">
        <v>0</v>
      </c>
      <c r="Q12469">
        <v>3</v>
      </c>
      <c r="R12469" t="s">
        <v>46581</v>
      </c>
      <c r="S12469" t="s">
        <v>47012</v>
      </c>
      <c r="T12469" t="s">
        <v>48284</v>
      </c>
      <c r="U12469" t="s">
        <v>58802</v>
      </c>
      <c r="V12469" t="s">
        <v>62983</v>
      </c>
      <c r="W12469" t="s">
        <v>46109</v>
      </c>
      <c r="X12469" t="s">
        <v>46582</v>
      </c>
    </row>
    <row r="12470" spans="1:24">
      <c r="A12470">
        <f>HYPERLINK("https://www.philgeps.gov.ph/GEPSNONPILOT/Tender/SplashBidNoticeAbstractUI.aspx?menuIndex=3&amp;refID=7043743&amp;Result=3","7043743")</f>
        <v>0</v>
      </c>
      <c r="B12470" t="s">
        <v>1400</v>
      </c>
      <c r="C12470" t="s">
        <v>15364</v>
      </c>
      <c r="D12470" t="s">
        <v>18826</v>
      </c>
      <c r="E12470" t="s">
        <v>19650</v>
      </c>
      <c r="F12470" t="s">
        <v>32665</v>
      </c>
      <c r="G12470" t="s">
        <v>32672</v>
      </c>
      <c r="H12470" t="s">
        <v>32683</v>
      </c>
      <c r="I12470" t="s">
        <v>10627</v>
      </c>
      <c r="J12470" t="s">
        <v>40186</v>
      </c>
      <c r="K12470" t="s">
        <v>42298</v>
      </c>
      <c r="M12470" t="s">
        <v>44057</v>
      </c>
      <c r="N12470" t="s">
        <v>46569</v>
      </c>
      <c r="O12470" t="s">
        <v>46570</v>
      </c>
      <c r="P12470">
        <v>0</v>
      </c>
      <c r="Q12470">
        <v>2</v>
      </c>
      <c r="R12470" t="s">
        <v>46582</v>
      </c>
      <c r="S12470" t="s">
        <v>47054</v>
      </c>
      <c r="T12470" t="s">
        <v>48249</v>
      </c>
      <c r="U12470" t="s">
        <v>58803</v>
      </c>
      <c r="W12470" t="s">
        <v>44057</v>
      </c>
      <c r="X12470" t="s">
        <v>46583</v>
      </c>
    </row>
    <row r="12471" spans="1:24">
      <c r="A12471">
        <f>HYPERLINK("https://www.philgeps.gov.ph/GEPSNONPILOT/Tender/SplashBidNoticeAbstractUI.aspx?menuIndex=3&amp;refID=7044098&amp;Result=3","7044098")</f>
        <v>0</v>
      </c>
      <c r="B12471" t="s">
        <v>36</v>
      </c>
      <c r="C12471" t="s">
        <v>15365</v>
      </c>
      <c r="D12471" t="s">
        <v>18790</v>
      </c>
      <c r="E12471" t="s">
        <v>29609</v>
      </c>
      <c r="F12471" t="s">
        <v>32664</v>
      </c>
      <c r="G12471" t="s">
        <v>32672</v>
      </c>
      <c r="H12471" t="s">
        <v>12635</v>
      </c>
      <c r="I12471" t="s">
        <v>4439</v>
      </c>
      <c r="J12471" t="s">
        <v>40187</v>
      </c>
      <c r="K12471" t="s">
        <v>42308</v>
      </c>
      <c r="L12471" t="s">
        <v>36</v>
      </c>
      <c r="M12471" t="s">
        <v>42598</v>
      </c>
      <c r="N12471" t="s">
        <v>46569</v>
      </c>
      <c r="O12471" t="s">
        <v>46570</v>
      </c>
      <c r="P12471">
        <v>0</v>
      </c>
      <c r="Q12471">
        <v>1</v>
      </c>
      <c r="R12471" t="s">
        <v>46581</v>
      </c>
      <c r="S12471" t="s">
        <v>47012</v>
      </c>
      <c r="T12471" t="s">
        <v>48453</v>
      </c>
      <c r="U12471" t="s">
        <v>58804</v>
      </c>
      <c r="V12471" t="s">
        <v>62984</v>
      </c>
      <c r="W12471" t="s">
        <v>42598</v>
      </c>
      <c r="X12471" t="s">
        <v>46582</v>
      </c>
    </row>
    <row r="12472" spans="1:24">
      <c r="A12472">
        <f>HYPERLINK("https://www.philgeps.gov.ph/GEPSNONPILOT/Tender/SplashBidNoticeAbstractUI.aspx?menuIndex=3&amp;refID=7044261&amp;Result=3","7044261")</f>
        <v>0</v>
      </c>
      <c r="B12472" t="s">
        <v>3191</v>
      </c>
      <c r="C12472" t="s">
        <v>15366</v>
      </c>
      <c r="D12472" t="s">
        <v>18802</v>
      </c>
      <c r="E12472" t="s">
        <v>29610</v>
      </c>
      <c r="F12472" t="s">
        <v>32664</v>
      </c>
      <c r="G12472" t="s">
        <v>32672</v>
      </c>
      <c r="H12472" t="s">
        <v>32683</v>
      </c>
      <c r="I12472" t="s">
        <v>10627</v>
      </c>
      <c r="J12472" t="s">
        <v>40188</v>
      </c>
      <c r="K12472" t="s">
        <v>42413</v>
      </c>
      <c r="M12472" t="s">
        <v>46106</v>
      </c>
      <c r="N12472" t="s">
        <v>46569</v>
      </c>
      <c r="O12472" t="s">
        <v>46570</v>
      </c>
      <c r="P12472">
        <v>0</v>
      </c>
      <c r="Q12472">
        <v>0</v>
      </c>
      <c r="R12472" t="s">
        <v>46581</v>
      </c>
      <c r="S12472" t="s">
        <v>47012</v>
      </c>
      <c r="T12472" t="s">
        <v>48467</v>
      </c>
      <c r="U12472" t="s">
        <v>58805</v>
      </c>
      <c r="W12472" t="s">
        <v>46106</v>
      </c>
      <c r="X12472" t="s">
        <v>46582</v>
      </c>
    </row>
    <row r="12473" spans="1:24">
      <c r="A12473">
        <f>HYPERLINK("https://www.philgeps.gov.ph/GEPSNONPILOT/Tender/SplashBidNoticeAbstractUI.aspx?menuIndex=3&amp;refID=7043701&amp;Result=3","7043701")</f>
        <v>0</v>
      </c>
      <c r="B12473" t="s">
        <v>3195</v>
      </c>
      <c r="C12473" t="s">
        <v>15367</v>
      </c>
      <c r="D12473" t="s">
        <v>18822</v>
      </c>
      <c r="E12473" t="s">
        <v>29611</v>
      </c>
      <c r="F12473" t="s">
        <v>32664</v>
      </c>
      <c r="G12473" t="s">
        <v>32672</v>
      </c>
      <c r="H12473" t="s">
        <v>32683</v>
      </c>
      <c r="I12473" t="s">
        <v>10627</v>
      </c>
      <c r="J12473" t="s">
        <v>34487</v>
      </c>
      <c r="K12473" t="s">
        <v>42311</v>
      </c>
      <c r="M12473" t="s">
        <v>46110</v>
      </c>
      <c r="N12473" t="s">
        <v>46569</v>
      </c>
      <c r="O12473" t="s">
        <v>46570</v>
      </c>
      <c r="P12473">
        <v>0</v>
      </c>
      <c r="Q12473">
        <v>0</v>
      </c>
      <c r="R12473" t="s">
        <v>46582</v>
      </c>
      <c r="S12473" t="s">
        <v>47054</v>
      </c>
      <c r="T12473" t="s">
        <v>48284</v>
      </c>
      <c r="U12473" t="s">
        <v>58806</v>
      </c>
      <c r="V12473" t="s">
        <v>62985</v>
      </c>
      <c r="W12473" t="s">
        <v>46110</v>
      </c>
      <c r="X12473" t="s">
        <v>46583</v>
      </c>
    </row>
    <row r="12474" spans="1:24">
      <c r="A12474">
        <f>HYPERLINK("https://www.philgeps.gov.ph/GEPSNONPILOT/Tender/SplashBidNoticeAbstractUI.aspx?menuIndex=3&amp;refID=7036376&amp;Result=3","7036376")</f>
        <v>0</v>
      </c>
      <c r="B12474" t="s">
        <v>32</v>
      </c>
      <c r="C12474" t="s">
        <v>15368</v>
      </c>
      <c r="D12474" t="s">
        <v>18788</v>
      </c>
      <c r="E12474" t="s">
        <v>29612</v>
      </c>
      <c r="F12474" t="s">
        <v>32664</v>
      </c>
      <c r="G12474" t="s">
        <v>32672</v>
      </c>
      <c r="H12474" t="s">
        <v>12635</v>
      </c>
      <c r="I12474" t="s">
        <v>32696</v>
      </c>
      <c r="J12474" t="s">
        <v>40189</v>
      </c>
      <c r="K12474" t="s">
        <v>42281</v>
      </c>
      <c r="M12474" t="s">
        <v>45172</v>
      </c>
      <c r="N12474" t="s">
        <v>46569</v>
      </c>
      <c r="O12474" t="s">
        <v>46570</v>
      </c>
      <c r="Q12474">
        <v>5</v>
      </c>
      <c r="R12474" t="s">
        <v>46582</v>
      </c>
      <c r="S12474" t="s">
        <v>47055</v>
      </c>
      <c r="T12474" t="s">
        <v>48284</v>
      </c>
      <c r="U12474" t="s">
        <v>58807</v>
      </c>
      <c r="V12474" t="s">
        <v>62396</v>
      </c>
      <c r="W12474" t="s">
        <v>45172</v>
      </c>
      <c r="X12474" t="s">
        <v>46587</v>
      </c>
    </row>
    <row r="12475" spans="1:24">
      <c r="A12475">
        <f>HYPERLINK("https://www.philgeps.gov.ph/GEPSNONPILOT/Tender/SplashBidNoticeAbstractUI.aspx?menuIndex=3&amp;refID=7044058&amp;Result=3","7044058")</f>
        <v>0</v>
      </c>
      <c r="B12475" t="s">
        <v>1428</v>
      </c>
      <c r="C12475" t="s">
        <v>15369</v>
      </c>
      <c r="D12475" t="s">
        <v>18841</v>
      </c>
      <c r="E12475" t="s">
        <v>29613</v>
      </c>
      <c r="F12475" t="s">
        <v>32664</v>
      </c>
      <c r="G12475" t="s">
        <v>32672</v>
      </c>
      <c r="H12475" t="s">
        <v>12635</v>
      </c>
      <c r="I12475" t="s">
        <v>32694</v>
      </c>
      <c r="J12475" t="s">
        <v>40190</v>
      </c>
      <c r="K12475" t="s">
        <v>42281</v>
      </c>
      <c r="M12475" t="s">
        <v>44088</v>
      </c>
      <c r="N12475" t="s">
        <v>46569</v>
      </c>
      <c r="O12475" t="s">
        <v>46570</v>
      </c>
      <c r="P12475">
        <v>0</v>
      </c>
      <c r="Q12475">
        <v>1</v>
      </c>
      <c r="R12475" t="s">
        <v>46581</v>
      </c>
      <c r="S12475" t="s">
        <v>47012</v>
      </c>
      <c r="T12475" t="s">
        <v>48303</v>
      </c>
      <c r="U12475" t="s">
        <v>58808</v>
      </c>
      <c r="W12475" t="s">
        <v>44088</v>
      </c>
      <c r="X12475" t="s">
        <v>46582</v>
      </c>
    </row>
    <row r="12476" spans="1:24">
      <c r="A12476">
        <f>HYPERLINK("https://www.philgeps.gov.ph/GEPSNONPILOT/Tender/SplashBidNoticeAbstractUI.aspx?menuIndex=3&amp;refID=7043703&amp;Result=3","7043703")</f>
        <v>0</v>
      </c>
      <c r="B12476" t="s">
        <v>3196</v>
      </c>
      <c r="C12476" t="s">
        <v>15370</v>
      </c>
      <c r="D12476" t="s">
        <v>18798</v>
      </c>
      <c r="E12476" t="s">
        <v>29614</v>
      </c>
      <c r="F12476" t="s">
        <v>32664</v>
      </c>
      <c r="G12476" t="s">
        <v>32672</v>
      </c>
      <c r="H12476" t="s">
        <v>32683</v>
      </c>
      <c r="I12476" t="s">
        <v>10627</v>
      </c>
      <c r="J12476" t="s">
        <v>40191</v>
      </c>
      <c r="K12476" t="s">
        <v>42283</v>
      </c>
      <c r="M12476" t="s">
        <v>46111</v>
      </c>
      <c r="N12476" t="s">
        <v>46569</v>
      </c>
      <c r="O12476" t="s">
        <v>46570</v>
      </c>
      <c r="P12476">
        <v>0</v>
      </c>
      <c r="Q12476">
        <v>12</v>
      </c>
      <c r="R12476" t="s">
        <v>46582</v>
      </c>
      <c r="S12476" t="s">
        <v>47054</v>
      </c>
      <c r="T12476" t="s">
        <v>48283</v>
      </c>
      <c r="U12476" t="s">
        <v>58809</v>
      </c>
      <c r="W12476" t="s">
        <v>46111</v>
      </c>
      <c r="X12476" t="s">
        <v>46583</v>
      </c>
    </row>
    <row r="12477" spans="1:24">
      <c r="A12477">
        <f>HYPERLINK("https://www.philgeps.gov.ph/GEPSNONPILOT/Tender/SplashBidNoticeAbstractUI.aspx?menuIndex=3&amp;refID=7033145&amp;Result=3","7033145")</f>
        <v>0</v>
      </c>
      <c r="B12477" t="s">
        <v>32</v>
      </c>
      <c r="C12477" t="s">
        <v>15371</v>
      </c>
      <c r="D12477" t="s">
        <v>18788</v>
      </c>
      <c r="E12477" t="s">
        <v>29615</v>
      </c>
      <c r="F12477" t="s">
        <v>32664</v>
      </c>
      <c r="G12477" t="s">
        <v>32672</v>
      </c>
      <c r="H12477" t="s">
        <v>12635</v>
      </c>
      <c r="I12477" t="s">
        <v>32694</v>
      </c>
      <c r="J12477" t="s">
        <v>40192</v>
      </c>
      <c r="K12477" t="s">
        <v>42281</v>
      </c>
      <c r="M12477" t="s">
        <v>45172</v>
      </c>
      <c r="N12477" t="s">
        <v>46569</v>
      </c>
      <c r="O12477" t="s">
        <v>46570</v>
      </c>
      <c r="Q12477">
        <v>1</v>
      </c>
      <c r="R12477" t="s">
        <v>46582</v>
      </c>
      <c r="S12477" t="s">
        <v>47056</v>
      </c>
      <c r="T12477" t="s">
        <v>48284</v>
      </c>
      <c r="U12477" t="s">
        <v>58810</v>
      </c>
      <c r="V12477" t="s">
        <v>62396</v>
      </c>
      <c r="W12477" t="s">
        <v>45172</v>
      </c>
      <c r="X12477" t="s">
        <v>46588</v>
      </c>
    </row>
    <row r="12478" spans="1:24">
      <c r="A12478">
        <f>HYPERLINK("https://www.philgeps.gov.ph/GEPSNONPILOT/Tender/SplashBidNoticeAbstractUI.aspx?menuIndex=3&amp;refID=7044340&amp;Result=3","7044340")</f>
        <v>0</v>
      </c>
      <c r="B12478" t="s">
        <v>2275</v>
      </c>
      <c r="C12478" t="s">
        <v>15372</v>
      </c>
      <c r="E12478" t="s">
        <v>29616</v>
      </c>
      <c r="F12478" t="s">
        <v>32664</v>
      </c>
      <c r="G12478" t="s">
        <v>32674</v>
      </c>
      <c r="H12478" t="s">
        <v>12635</v>
      </c>
      <c r="I12478" t="s">
        <v>5589</v>
      </c>
      <c r="J12478" t="s">
        <v>34337</v>
      </c>
      <c r="K12478" t="s">
        <v>42283</v>
      </c>
      <c r="M12478" t="s">
        <v>46112</v>
      </c>
      <c r="N12478" t="s">
        <v>46569</v>
      </c>
      <c r="O12478" t="s">
        <v>46570</v>
      </c>
      <c r="Q12478">
        <v>12</v>
      </c>
      <c r="R12478" t="s">
        <v>46581</v>
      </c>
      <c r="S12478" t="s">
        <v>47057</v>
      </c>
      <c r="T12478" t="s">
        <v>48307</v>
      </c>
      <c r="U12478" t="s">
        <v>58811</v>
      </c>
      <c r="W12478" t="s">
        <v>46112</v>
      </c>
      <c r="X12478" t="s">
        <v>46582</v>
      </c>
    </row>
    <row r="12479" spans="1:24">
      <c r="A12479">
        <f>HYPERLINK("https://www.philgeps.gov.ph/GEPSNONPILOT/Tender/SplashBidNoticeAbstractUI.aspx?menuIndex=3&amp;refID=7044336&amp;Result=3","7044336")</f>
        <v>0</v>
      </c>
      <c r="B12479" t="s">
        <v>2746</v>
      </c>
      <c r="C12479" t="s">
        <v>15373</v>
      </c>
      <c r="D12479" t="s">
        <v>18784</v>
      </c>
      <c r="E12479" t="s">
        <v>25795</v>
      </c>
      <c r="F12479" t="s">
        <v>32664</v>
      </c>
      <c r="G12479" t="s">
        <v>32672</v>
      </c>
      <c r="H12479" t="s">
        <v>12635</v>
      </c>
      <c r="I12479" t="s">
        <v>32801</v>
      </c>
      <c r="J12479" t="s">
        <v>40193</v>
      </c>
      <c r="K12479" t="s">
        <v>42311</v>
      </c>
      <c r="M12479" t="s">
        <v>45580</v>
      </c>
      <c r="N12479" t="s">
        <v>46569</v>
      </c>
      <c r="O12479" t="s">
        <v>46570</v>
      </c>
      <c r="P12479">
        <v>0</v>
      </c>
      <c r="Q12479">
        <v>7</v>
      </c>
      <c r="R12479" t="s">
        <v>46581</v>
      </c>
      <c r="S12479" t="s">
        <v>47012</v>
      </c>
      <c r="T12479" t="s">
        <v>48487</v>
      </c>
      <c r="U12479" t="s">
        <v>58812</v>
      </c>
      <c r="V12479" t="s">
        <v>62986</v>
      </c>
      <c r="W12479" t="s">
        <v>45580</v>
      </c>
      <c r="X12479" t="s">
        <v>46582</v>
      </c>
    </row>
    <row r="12480" spans="1:24">
      <c r="A12480">
        <f>HYPERLINK("https://www.philgeps.gov.ph/GEPSNONPILOT/Tender/SplashBidNoticeAbstractUI.aspx?menuIndex=3&amp;refID=7044276&amp;Result=3","7044276")</f>
        <v>0</v>
      </c>
      <c r="B12480" t="s">
        <v>3197</v>
      </c>
      <c r="C12480" t="s">
        <v>15374</v>
      </c>
      <c r="D12480" t="s">
        <v>18859</v>
      </c>
      <c r="E12480" t="s">
        <v>29617</v>
      </c>
      <c r="F12480" t="s">
        <v>32664</v>
      </c>
      <c r="G12480" t="s">
        <v>32672</v>
      </c>
      <c r="H12480" t="s">
        <v>12635</v>
      </c>
      <c r="I12480" t="s">
        <v>11464</v>
      </c>
      <c r="J12480" t="s">
        <v>40194</v>
      </c>
      <c r="K12480" t="s">
        <v>42281</v>
      </c>
      <c r="M12480" t="s">
        <v>46113</v>
      </c>
      <c r="N12480" t="s">
        <v>46569</v>
      </c>
      <c r="O12480" t="s">
        <v>46570</v>
      </c>
      <c r="P12480">
        <v>0</v>
      </c>
      <c r="Q12480">
        <v>6</v>
      </c>
      <c r="R12480" t="s">
        <v>46581</v>
      </c>
      <c r="S12480" t="s">
        <v>47012</v>
      </c>
      <c r="T12480" t="s">
        <v>48221</v>
      </c>
      <c r="U12480" t="s">
        <v>58813</v>
      </c>
      <c r="W12480" t="s">
        <v>46113</v>
      </c>
      <c r="X12480" t="s">
        <v>46582</v>
      </c>
    </row>
    <row r="12481" spans="1:24">
      <c r="A12481">
        <f>HYPERLINK("https://www.philgeps.gov.ph/GEPSNONPILOT/Tender/SplashBidNoticeAbstractUI.aspx?menuIndex=3&amp;refID=7044313&amp;Result=3","7044313")</f>
        <v>0</v>
      </c>
      <c r="B12481" t="s">
        <v>3198</v>
      </c>
      <c r="C12481" t="s">
        <v>15375</v>
      </c>
      <c r="D12481" t="s">
        <v>18799</v>
      </c>
      <c r="E12481" t="s">
        <v>29618</v>
      </c>
      <c r="F12481" t="s">
        <v>32664</v>
      </c>
      <c r="G12481" t="s">
        <v>32672</v>
      </c>
      <c r="H12481" t="s">
        <v>12635</v>
      </c>
      <c r="I12481" t="s">
        <v>10627</v>
      </c>
      <c r="J12481" t="s">
        <v>40195</v>
      </c>
      <c r="K12481" t="s">
        <v>42298</v>
      </c>
      <c r="M12481" t="s">
        <v>46114</v>
      </c>
      <c r="N12481" t="s">
        <v>46569</v>
      </c>
      <c r="O12481" t="s">
        <v>46570</v>
      </c>
      <c r="Q12481">
        <v>0</v>
      </c>
      <c r="R12481" t="s">
        <v>46581</v>
      </c>
      <c r="S12481" t="s">
        <v>47058</v>
      </c>
      <c r="T12481" t="s">
        <v>48283</v>
      </c>
      <c r="U12481" t="s">
        <v>58814</v>
      </c>
      <c r="W12481" t="s">
        <v>46114</v>
      </c>
      <c r="X12481" t="s">
        <v>46582</v>
      </c>
    </row>
    <row r="12482" spans="1:24">
      <c r="A12482">
        <f>HYPERLINK("https://www.philgeps.gov.ph/GEPSNONPILOT/Tender/SplashBidNoticeAbstractUI.aspx?menuIndex=3&amp;refID=7036388&amp;Result=3","7036388")</f>
        <v>0</v>
      </c>
      <c r="B12482" t="s">
        <v>32</v>
      </c>
      <c r="C12482" t="s">
        <v>15376</v>
      </c>
      <c r="D12482" t="s">
        <v>18788</v>
      </c>
      <c r="E12482" t="s">
        <v>29619</v>
      </c>
      <c r="F12482" t="s">
        <v>32664</v>
      </c>
      <c r="G12482" t="s">
        <v>32672</v>
      </c>
      <c r="H12482" t="s">
        <v>12635</v>
      </c>
      <c r="I12482" t="s">
        <v>32699</v>
      </c>
      <c r="J12482" t="s">
        <v>40196</v>
      </c>
      <c r="K12482" t="s">
        <v>42281</v>
      </c>
      <c r="M12482" t="s">
        <v>45172</v>
      </c>
      <c r="N12482" t="s">
        <v>46569</v>
      </c>
      <c r="O12482" t="s">
        <v>46570</v>
      </c>
      <c r="Q12482">
        <v>2</v>
      </c>
      <c r="R12482" t="s">
        <v>46582</v>
      </c>
      <c r="S12482" t="s">
        <v>47059</v>
      </c>
      <c r="T12482" t="s">
        <v>48284</v>
      </c>
      <c r="U12482" t="s">
        <v>58815</v>
      </c>
      <c r="V12482" t="s">
        <v>62396</v>
      </c>
      <c r="W12482" t="s">
        <v>45172</v>
      </c>
      <c r="X12482" t="s">
        <v>46587</v>
      </c>
    </row>
    <row r="12483" spans="1:24">
      <c r="A12483">
        <f>HYPERLINK("https://www.philgeps.gov.ph/GEPSNONPILOT/Tender/SplashBidNoticeAbstractUI.aspx?menuIndex=3&amp;refID=7044248&amp;Result=3","7044248")</f>
        <v>0</v>
      </c>
      <c r="B12483" t="s">
        <v>3192</v>
      </c>
      <c r="C12483" t="s">
        <v>15377</v>
      </c>
      <c r="D12483" t="s">
        <v>18790</v>
      </c>
      <c r="E12483" t="s">
        <v>29620</v>
      </c>
      <c r="F12483" t="s">
        <v>32664</v>
      </c>
      <c r="G12483" t="s">
        <v>32672</v>
      </c>
      <c r="H12483" t="s">
        <v>12635</v>
      </c>
      <c r="I12483" t="s">
        <v>11464</v>
      </c>
      <c r="J12483" t="s">
        <v>40197</v>
      </c>
      <c r="K12483" t="s">
        <v>42281</v>
      </c>
      <c r="M12483" t="s">
        <v>46107</v>
      </c>
      <c r="N12483" t="s">
        <v>46569</v>
      </c>
      <c r="O12483" t="s">
        <v>46570</v>
      </c>
      <c r="P12483">
        <v>0</v>
      </c>
      <c r="Q12483">
        <v>2</v>
      </c>
      <c r="R12483" t="s">
        <v>46581</v>
      </c>
      <c r="S12483" t="s">
        <v>47012</v>
      </c>
      <c r="T12483" t="s">
        <v>48452</v>
      </c>
      <c r="U12483" t="s">
        <v>58816</v>
      </c>
      <c r="W12483" t="s">
        <v>46107</v>
      </c>
      <c r="X12483" t="s">
        <v>46582</v>
      </c>
    </row>
    <row r="12484" spans="1:24">
      <c r="A12484">
        <f>HYPERLINK("https://www.philgeps.gov.ph/GEPSNONPILOT/Tender/SplashBidNoticeAbstractUI.aspx?menuIndex=3&amp;refID=7019418&amp;Result=3","7019418")</f>
        <v>0</v>
      </c>
      <c r="B12484" t="s">
        <v>3199</v>
      </c>
      <c r="C12484" t="s">
        <v>15378</v>
      </c>
      <c r="D12484" t="s">
        <v>18827</v>
      </c>
      <c r="E12484" t="s">
        <v>29621</v>
      </c>
      <c r="F12484" t="s">
        <v>32664</v>
      </c>
      <c r="G12484" t="s">
        <v>32672</v>
      </c>
      <c r="H12484" t="s">
        <v>32683</v>
      </c>
      <c r="I12484" t="s">
        <v>10627</v>
      </c>
      <c r="J12484" t="s">
        <v>40198</v>
      </c>
      <c r="K12484" t="s">
        <v>42301</v>
      </c>
      <c r="M12484" t="s">
        <v>46115</v>
      </c>
      <c r="N12484" t="s">
        <v>46569</v>
      </c>
      <c r="O12484" t="s">
        <v>46570</v>
      </c>
      <c r="P12484">
        <v>0</v>
      </c>
      <c r="Q12484">
        <v>3</v>
      </c>
      <c r="R12484" t="s">
        <v>46583</v>
      </c>
      <c r="S12484" t="s">
        <v>47060</v>
      </c>
      <c r="T12484" t="s">
        <v>48286</v>
      </c>
      <c r="U12484" t="s">
        <v>58817</v>
      </c>
      <c r="W12484" t="s">
        <v>46115</v>
      </c>
      <c r="X12484" t="s">
        <v>46598</v>
      </c>
    </row>
    <row r="12485" spans="1:24">
      <c r="A12485">
        <f>HYPERLINK("https://www.philgeps.gov.ph/GEPSNONPILOT/Tender/SplashBidNoticeAbstractUI.aspx?menuIndex=3&amp;refID=7043916&amp;Result=3","7043916")</f>
        <v>0</v>
      </c>
      <c r="B12485" t="s">
        <v>3185</v>
      </c>
      <c r="C12485" t="s">
        <v>15379</v>
      </c>
      <c r="D12485" t="s">
        <v>18845</v>
      </c>
      <c r="E12485" t="s">
        <v>29622</v>
      </c>
      <c r="F12485" t="s">
        <v>32664</v>
      </c>
      <c r="G12485" t="s">
        <v>32672</v>
      </c>
      <c r="H12485" t="s">
        <v>32683</v>
      </c>
      <c r="I12485" t="s">
        <v>10627</v>
      </c>
      <c r="J12485" t="s">
        <v>32962</v>
      </c>
      <c r="K12485" t="s">
        <v>42298</v>
      </c>
      <c r="M12485" t="s">
        <v>46098</v>
      </c>
      <c r="N12485" t="s">
        <v>46569</v>
      </c>
      <c r="O12485" t="s">
        <v>46570</v>
      </c>
      <c r="P12485">
        <v>0</v>
      </c>
      <c r="Q12485">
        <v>3</v>
      </c>
      <c r="R12485" t="s">
        <v>46582</v>
      </c>
      <c r="S12485" t="s">
        <v>47054</v>
      </c>
      <c r="T12485" t="s">
        <v>48308</v>
      </c>
      <c r="U12485" t="s">
        <v>58818</v>
      </c>
      <c r="W12485" t="s">
        <v>46098</v>
      </c>
      <c r="X12485" t="s">
        <v>46583</v>
      </c>
    </row>
    <row r="12486" spans="1:24">
      <c r="A12486">
        <f>HYPERLINK("https://www.philgeps.gov.ph/GEPSNONPILOT/Tender/SplashBidNoticeAbstractUI.aspx?menuIndex=3&amp;refID=7043914&amp;Result=3","7043914")</f>
        <v>0</v>
      </c>
      <c r="B12486" t="s">
        <v>3185</v>
      </c>
      <c r="C12486" t="s">
        <v>15380</v>
      </c>
      <c r="D12486" t="s">
        <v>18845</v>
      </c>
      <c r="E12486" t="s">
        <v>29623</v>
      </c>
      <c r="F12486" t="s">
        <v>32664</v>
      </c>
      <c r="G12486" t="s">
        <v>32672</v>
      </c>
      <c r="H12486" t="s">
        <v>32683</v>
      </c>
      <c r="I12486" t="s">
        <v>10627</v>
      </c>
      <c r="J12486" t="s">
        <v>33084</v>
      </c>
      <c r="K12486" t="s">
        <v>42311</v>
      </c>
      <c r="M12486" t="s">
        <v>46098</v>
      </c>
      <c r="N12486" t="s">
        <v>46569</v>
      </c>
      <c r="O12486" t="s">
        <v>46570</v>
      </c>
      <c r="P12486">
        <v>0</v>
      </c>
      <c r="Q12486">
        <v>5</v>
      </c>
      <c r="R12486" t="s">
        <v>46582</v>
      </c>
      <c r="S12486" t="s">
        <v>47054</v>
      </c>
      <c r="T12486" t="s">
        <v>48308</v>
      </c>
      <c r="U12486" t="s">
        <v>58818</v>
      </c>
      <c r="W12486" t="s">
        <v>46098</v>
      </c>
      <c r="X12486" t="s">
        <v>46583</v>
      </c>
    </row>
    <row r="12487" spans="1:24">
      <c r="A12487">
        <f>HYPERLINK("https://www.philgeps.gov.ph/GEPSNONPILOT/Tender/SplashBidNoticeAbstractUI.aspx?menuIndex=3&amp;refID=7044293&amp;Result=3","7044293")</f>
        <v>0</v>
      </c>
      <c r="B12487" t="s">
        <v>2386</v>
      </c>
      <c r="C12487" t="s">
        <v>15381</v>
      </c>
      <c r="D12487" t="s">
        <v>18835</v>
      </c>
      <c r="E12487" t="s">
        <v>29624</v>
      </c>
      <c r="F12487" t="s">
        <v>32664</v>
      </c>
      <c r="G12487" t="s">
        <v>32672</v>
      </c>
      <c r="H12487" t="s">
        <v>12635</v>
      </c>
      <c r="I12487" t="s">
        <v>4439</v>
      </c>
      <c r="J12487" t="s">
        <v>40199</v>
      </c>
      <c r="K12487" t="s">
        <v>42289</v>
      </c>
      <c r="M12487" t="s">
        <v>45176</v>
      </c>
      <c r="N12487" t="s">
        <v>46569</v>
      </c>
      <c r="O12487" t="s">
        <v>46570</v>
      </c>
      <c r="P12487">
        <v>0</v>
      </c>
      <c r="Q12487">
        <v>0</v>
      </c>
      <c r="R12487" t="s">
        <v>46581</v>
      </c>
      <c r="S12487" t="s">
        <v>47012</v>
      </c>
      <c r="T12487" t="s">
        <v>48467</v>
      </c>
      <c r="U12487" t="s">
        <v>58819</v>
      </c>
      <c r="W12487" t="s">
        <v>45176</v>
      </c>
      <c r="X12487" t="s">
        <v>46582</v>
      </c>
    </row>
    <row r="12488" spans="1:24">
      <c r="A12488">
        <f>HYPERLINK("https://www.philgeps.gov.ph/GEPSNONPILOT/Tender/SplashBidNoticeAbstractUI.aspx?menuIndex=3&amp;refID=7043901&amp;Result=3","7043901")</f>
        <v>0</v>
      </c>
      <c r="B12488" t="s">
        <v>2368</v>
      </c>
      <c r="C12488" t="s">
        <v>15382</v>
      </c>
      <c r="D12488" t="s">
        <v>18784</v>
      </c>
      <c r="E12488" t="s">
        <v>25752</v>
      </c>
      <c r="F12488" t="s">
        <v>32664</v>
      </c>
      <c r="G12488" t="s">
        <v>32672</v>
      </c>
      <c r="H12488" t="s">
        <v>32682</v>
      </c>
      <c r="I12488" t="s">
        <v>4205</v>
      </c>
      <c r="J12488" t="s">
        <v>40200</v>
      </c>
      <c r="K12488" t="s">
        <v>42281</v>
      </c>
      <c r="M12488" t="s">
        <v>45155</v>
      </c>
      <c r="N12488" t="s">
        <v>46569</v>
      </c>
      <c r="O12488" t="s">
        <v>46570</v>
      </c>
      <c r="P12488">
        <v>0</v>
      </c>
      <c r="Q12488">
        <v>6</v>
      </c>
      <c r="R12488" t="s">
        <v>46582</v>
      </c>
      <c r="S12488" t="s">
        <v>47054</v>
      </c>
      <c r="T12488" t="s">
        <v>48251</v>
      </c>
      <c r="U12488" t="s">
        <v>50078</v>
      </c>
      <c r="V12488" t="s">
        <v>62987</v>
      </c>
      <c r="W12488" t="s">
        <v>45155</v>
      </c>
      <c r="X12488" t="s">
        <v>46583</v>
      </c>
    </row>
    <row r="12489" spans="1:24">
      <c r="A12489">
        <f>HYPERLINK("https://www.philgeps.gov.ph/GEPSNONPILOT/Tender/SplashBidNoticeAbstractUI.aspx?menuIndex=3&amp;refID=7043895&amp;Result=3","7043895")</f>
        <v>0</v>
      </c>
      <c r="B12489" t="s">
        <v>2368</v>
      </c>
      <c r="C12489" t="s">
        <v>15383</v>
      </c>
      <c r="D12489" t="s">
        <v>18784</v>
      </c>
      <c r="E12489" t="s">
        <v>25752</v>
      </c>
      <c r="F12489" t="s">
        <v>32664</v>
      </c>
      <c r="G12489" t="s">
        <v>32672</v>
      </c>
      <c r="H12489" t="s">
        <v>32682</v>
      </c>
      <c r="I12489" t="s">
        <v>6223</v>
      </c>
      <c r="J12489" t="s">
        <v>32859</v>
      </c>
      <c r="K12489" t="s">
        <v>42281</v>
      </c>
      <c r="M12489" t="s">
        <v>45155</v>
      </c>
      <c r="N12489" t="s">
        <v>46569</v>
      </c>
      <c r="O12489" t="s">
        <v>46570</v>
      </c>
      <c r="P12489">
        <v>0</v>
      </c>
      <c r="Q12489">
        <v>4</v>
      </c>
      <c r="R12489" t="s">
        <v>46582</v>
      </c>
      <c r="S12489" t="s">
        <v>47054</v>
      </c>
      <c r="T12489" t="s">
        <v>48293</v>
      </c>
      <c r="U12489" t="s">
        <v>58820</v>
      </c>
      <c r="V12489" t="s">
        <v>62988</v>
      </c>
      <c r="W12489" t="s">
        <v>45155</v>
      </c>
      <c r="X12489" t="s">
        <v>46583</v>
      </c>
    </row>
    <row r="12490" spans="1:24">
      <c r="A12490">
        <f>HYPERLINK("https://www.philgeps.gov.ph/GEPSNONPILOT/Tender/SplashBidNoticeAbstractUI.aspx?menuIndex=3&amp;refID=7041443&amp;Result=3","7041443")</f>
        <v>0</v>
      </c>
      <c r="B12490" t="s">
        <v>3200</v>
      </c>
      <c r="C12490" t="s">
        <v>15384</v>
      </c>
      <c r="D12490" t="s">
        <v>18804</v>
      </c>
      <c r="E12490" t="s">
        <v>29625</v>
      </c>
      <c r="F12490" t="s">
        <v>32664</v>
      </c>
      <c r="G12490" t="s">
        <v>32672</v>
      </c>
      <c r="H12490" t="s">
        <v>32683</v>
      </c>
      <c r="I12490" t="s">
        <v>10627</v>
      </c>
      <c r="J12490" t="s">
        <v>32865</v>
      </c>
      <c r="K12490" t="s">
        <v>42283</v>
      </c>
      <c r="M12490" t="s">
        <v>46116</v>
      </c>
      <c r="N12490" t="s">
        <v>46569</v>
      </c>
      <c r="O12490" t="s">
        <v>46570</v>
      </c>
      <c r="P12490">
        <v>0</v>
      </c>
      <c r="Q12490">
        <v>1</v>
      </c>
      <c r="R12490" t="s">
        <v>46583</v>
      </c>
      <c r="S12490" t="s">
        <v>47060</v>
      </c>
      <c r="T12490" t="s">
        <v>48226</v>
      </c>
      <c r="U12490" t="s">
        <v>58821</v>
      </c>
      <c r="W12490" t="s">
        <v>46116</v>
      </c>
      <c r="X12490" t="s">
        <v>46585</v>
      </c>
    </row>
    <row r="12491" spans="1:24">
      <c r="A12491">
        <f>HYPERLINK("https://www.philgeps.gov.ph/GEPSNONPILOT/Tender/SplashBidNoticeAbstractUI.aspx?menuIndex=3&amp;refID=7043892&amp;Result=3","7043892")</f>
        <v>0</v>
      </c>
      <c r="B12491" t="s">
        <v>2368</v>
      </c>
      <c r="C12491" t="s">
        <v>15385</v>
      </c>
      <c r="D12491" t="s">
        <v>18784</v>
      </c>
      <c r="E12491" t="s">
        <v>25752</v>
      </c>
      <c r="F12491" t="s">
        <v>32664</v>
      </c>
      <c r="G12491" t="s">
        <v>32672</v>
      </c>
      <c r="H12491" t="s">
        <v>32682</v>
      </c>
      <c r="I12491" t="s">
        <v>6223</v>
      </c>
      <c r="J12491" t="s">
        <v>33632</v>
      </c>
      <c r="K12491" t="s">
        <v>42281</v>
      </c>
      <c r="M12491" t="s">
        <v>45155</v>
      </c>
      <c r="N12491" t="s">
        <v>46569</v>
      </c>
      <c r="O12491" t="s">
        <v>46570</v>
      </c>
      <c r="P12491">
        <v>0</v>
      </c>
      <c r="Q12491">
        <v>3</v>
      </c>
      <c r="R12491" t="s">
        <v>46582</v>
      </c>
      <c r="S12491" t="s">
        <v>47054</v>
      </c>
      <c r="T12491" t="s">
        <v>48246</v>
      </c>
      <c r="U12491" t="s">
        <v>58822</v>
      </c>
      <c r="V12491" t="s">
        <v>62989</v>
      </c>
      <c r="W12491" t="s">
        <v>45155</v>
      </c>
      <c r="X12491" t="s">
        <v>46583</v>
      </c>
    </row>
    <row r="12492" spans="1:24">
      <c r="A12492">
        <f>HYPERLINK("https://www.philgeps.gov.ph/GEPSNONPILOT/Tender/SplashBidNoticeAbstractUI.aspx?menuIndex=3&amp;refID=7043739&amp;Result=3","7043739")</f>
        <v>0</v>
      </c>
      <c r="B12492" t="s">
        <v>1400</v>
      </c>
      <c r="C12492" t="s">
        <v>15386</v>
      </c>
      <c r="D12492" t="s">
        <v>18826</v>
      </c>
      <c r="E12492" t="s">
        <v>21126</v>
      </c>
      <c r="F12492" t="s">
        <v>32665</v>
      </c>
      <c r="G12492" t="s">
        <v>32672</v>
      </c>
      <c r="H12492" t="s">
        <v>32683</v>
      </c>
      <c r="I12492" t="s">
        <v>10627</v>
      </c>
      <c r="J12492" t="s">
        <v>40201</v>
      </c>
      <c r="K12492" t="s">
        <v>42298</v>
      </c>
      <c r="M12492" t="s">
        <v>44057</v>
      </c>
      <c r="N12492" t="s">
        <v>46569</v>
      </c>
      <c r="O12492" t="s">
        <v>46570</v>
      </c>
      <c r="P12492">
        <v>0</v>
      </c>
      <c r="Q12492">
        <v>3</v>
      </c>
      <c r="R12492" t="s">
        <v>46582</v>
      </c>
      <c r="S12492" t="s">
        <v>47054</v>
      </c>
      <c r="T12492" t="s">
        <v>48249</v>
      </c>
      <c r="U12492" t="s">
        <v>58823</v>
      </c>
      <c r="W12492" t="s">
        <v>44057</v>
      </c>
      <c r="X12492" t="s">
        <v>46583</v>
      </c>
    </row>
    <row r="12493" spans="1:24">
      <c r="A12493">
        <f>HYPERLINK("https://www.philgeps.gov.ph/GEPSNONPILOT/Tender/SplashBidNoticeAbstractUI.aspx?menuIndex=3&amp;refID=7043887&amp;Result=3","7043887")</f>
        <v>0</v>
      </c>
      <c r="B12493" t="s">
        <v>2368</v>
      </c>
      <c r="C12493" t="s">
        <v>15387</v>
      </c>
      <c r="D12493" t="s">
        <v>18784</v>
      </c>
      <c r="E12493" t="s">
        <v>25752</v>
      </c>
      <c r="F12493" t="s">
        <v>32664</v>
      </c>
      <c r="G12493" t="s">
        <v>32672</v>
      </c>
      <c r="H12493" t="s">
        <v>32682</v>
      </c>
      <c r="I12493" t="s">
        <v>32708</v>
      </c>
      <c r="J12493" t="s">
        <v>34564</v>
      </c>
      <c r="K12493" t="s">
        <v>42281</v>
      </c>
      <c r="M12493" t="s">
        <v>45155</v>
      </c>
      <c r="N12493" t="s">
        <v>46569</v>
      </c>
      <c r="O12493" t="s">
        <v>46570</v>
      </c>
      <c r="P12493">
        <v>0</v>
      </c>
      <c r="Q12493">
        <v>5</v>
      </c>
      <c r="R12493" t="s">
        <v>46582</v>
      </c>
      <c r="S12493" t="s">
        <v>47054</v>
      </c>
      <c r="T12493" t="s">
        <v>48221</v>
      </c>
      <c r="U12493" t="s">
        <v>58824</v>
      </c>
      <c r="V12493" t="s">
        <v>62990</v>
      </c>
      <c r="W12493" t="s">
        <v>45155</v>
      </c>
      <c r="X12493" t="s">
        <v>46583</v>
      </c>
    </row>
    <row r="12494" spans="1:24">
      <c r="A12494">
        <f>HYPERLINK("https://www.philgeps.gov.ph/GEPSNONPILOT/Tender/SplashBidNoticeAbstractUI.aspx?menuIndex=3&amp;refID=7043915&amp;Result=3","7043915")</f>
        <v>0</v>
      </c>
      <c r="B12494" t="s">
        <v>3185</v>
      </c>
      <c r="C12494" t="s">
        <v>15388</v>
      </c>
      <c r="D12494" t="s">
        <v>18845</v>
      </c>
      <c r="E12494" t="s">
        <v>29626</v>
      </c>
      <c r="F12494" t="s">
        <v>32664</v>
      </c>
      <c r="G12494" t="s">
        <v>32672</v>
      </c>
      <c r="H12494" t="s">
        <v>32683</v>
      </c>
      <c r="I12494" t="s">
        <v>10627</v>
      </c>
      <c r="J12494" t="s">
        <v>32962</v>
      </c>
      <c r="K12494" t="s">
        <v>42298</v>
      </c>
      <c r="M12494" t="s">
        <v>46098</v>
      </c>
      <c r="N12494" t="s">
        <v>46569</v>
      </c>
      <c r="O12494" t="s">
        <v>46570</v>
      </c>
      <c r="P12494">
        <v>0</v>
      </c>
      <c r="Q12494">
        <v>3</v>
      </c>
      <c r="R12494" t="s">
        <v>46582</v>
      </c>
      <c r="S12494" t="s">
        <v>47054</v>
      </c>
      <c r="T12494" t="s">
        <v>48308</v>
      </c>
      <c r="U12494" t="s">
        <v>58818</v>
      </c>
      <c r="W12494" t="s">
        <v>46098</v>
      </c>
      <c r="X12494" t="s">
        <v>46583</v>
      </c>
    </row>
    <row r="12495" spans="1:24">
      <c r="A12495">
        <f>HYPERLINK("https://www.philgeps.gov.ph/GEPSNONPILOT/Tender/SplashBidNoticeAbstractUI.aspx?menuIndex=3&amp;refID=7042529&amp;Result=3","7042529")</f>
        <v>0</v>
      </c>
      <c r="B12495" t="s">
        <v>112</v>
      </c>
      <c r="C12495" t="s">
        <v>15389</v>
      </c>
      <c r="D12495" t="s">
        <v>18813</v>
      </c>
      <c r="E12495" t="s">
        <v>29627</v>
      </c>
      <c r="F12495" t="s">
        <v>32664</v>
      </c>
      <c r="G12495" t="s">
        <v>32672</v>
      </c>
      <c r="H12495" t="s">
        <v>12635</v>
      </c>
      <c r="I12495" t="s">
        <v>4439</v>
      </c>
      <c r="J12495" t="s">
        <v>40202</v>
      </c>
      <c r="K12495" t="s">
        <v>42281</v>
      </c>
      <c r="M12495" t="s">
        <v>42676</v>
      </c>
      <c r="N12495" t="s">
        <v>46569</v>
      </c>
      <c r="O12495" t="s">
        <v>46570</v>
      </c>
      <c r="Q12495">
        <v>0</v>
      </c>
      <c r="R12495" t="s">
        <v>46583</v>
      </c>
      <c r="S12495" t="s">
        <v>47061</v>
      </c>
      <c r="T12495" t="s">
        <v>48284</v>
      </c>
      <c r="U12495" t="s">
        <v>58825</v>
      </c>
      <c r="V12495" t="s">
        <v>62991</v>
      </c>
      <c r="W12495" t="s">
        <v>42676</v>
      </c>
      <c r="X12495" t="s">
        <v>46585</v>
      </c>
    </row>
    <row r="12496" spans="1:24">
      <c r="A12496">
        <f>HYPERLINK("https://www.philgeps.gov.ph/GEPSNONPILOT/Tender/SplashBidNoticeAbstractUI.aspx?menuIndex=3&amp;refID=7043431&amp;Result=3","7043431")</f>
        <v>0</v>
      </c>
      <c r="B12496" t="s">
        <v>2410</v>
      </c>
      <c r="C12496" t="s">
        <v>15390</v>
      </c>
      <c r="D12496" t="s">
        <v>18860</v>
      </c>
      <c r="E12496" t="s">
        <v>29628</v>
      </c>
      <c r="F12496" t="s">
        <v>32664</v>
      </c>
      <c r="G12496" t="s">
        <v>32672</v>
      </c>
      <c r="H12496" t="s">
        <v>32683</v>
      </c>
      <c r="I12496" t="s">
        <v>10627</v>
      </c>
      <c r="J12496" t="s">
        <v>40203</v>
      </c>
      <c r="K12496" t="s">
        <v>42327</v>
      </c>
      <c r="M12496" t="s">
        <v>45201</v>
      </c>
      <c r="N12496" t="s">
        <v>46569</v>
      </c>
      <c r="O12496" t="s">
        <v>46570</v>
      </c>
      <c r="Q12496">
        <v>0</v>
      </c>
      <c r="R12496" t="s">
        <v>46583</v>
      </c>
      <c r="S12496" t="s">
        <v>47062</v>
      </c>
      <c r="T12496" t="s">
        <v>48225</v>
      </c>
      <c r="U12496" t="s">
        <v>55410</v>
      </c>
      <c r="W12496" t="s">
        <v>45201</v>
      </c>
      <c r="X12496" t="s">
        <v>46584</v>
      </c>
    </row>
    <row r="12497" spans="1:24">
      <c r="A12497">
        <f>HYPERLINK("https://www.philgeps.gov.ph/GEPSNONPILOT/Tender/SplashBidNoticeAbstractUI.aspx?menuIndex=3&amp;refID=7043412&amp;Result=3","7043412")</f>
        <v>0</v>
      </c>
      <c r="B12497" t="s">
        <v>535</v>
      </c>
      <c r="C12497" t="s">
        <v>15391</v>
      </c>
      <c r="D12497" t="s">
        <v>18834</v>
      </c>
      <c r="E12497" t="s">
        <v>29629</v>
      </c>
      <c r="F12497" t="s">
        <v>32664</v>
      </c>
      <c r="G12497" t="s">
        <v>32672</v>
      </c>
      <c r="H12497" t="s">
        <v>32683</v>
      </c>
      <c r="I12497" t="s">
        <v>10627</v>
      </c>
      <c r="J12497" t="s">
        <v>40204</v>
      </c>
      <c r="K12497" t="s">
        <v>42290</v>
      </c>
      <c r="M12497" t="s">
        <v>46117</v>
      </c>
      <c r="N12497" t="s">
        <v>46569</v>
      </c>
      <c r="O12497" t="s">
        <v>46570</v>
      </c>
      <c r="P12497">
        <v>0</v>
      </c>
      <c r="Q12497">
        <v>1</v>
      </c>
      <c r="R12497" t="s">
        <v>46583</v>
      </c>
      <c r="S12497" t="s">
        <v>47060</v>
      </c>
      <c r="T12497" t="s">
        <v>48707</v>
      </c>
      <c r="U12497" t="s">
        <v>58826</v>
      </c>
      <c r="W12497" t="s">
        <v>46117</v>
      </c>
      <c r="X12497" t="s">
        <v>46584</v>
      </c>
    </row>
    <row r="12498" spans="1:24">
      <c r="A12498">
        <f>HYPERLINK("https://www.philgeps.gov.ph/GEPSNONPILOT/Tender/SplashBidNoticeAbstractUI.aspx?menuIndex=3&amp;refID=7043899&amp;Result=3","7043899")</f>
        <v>0</v>
      </c>
      <c r="B12498" t="s">
        <v>2368</v>
      </c>
      <c r="C12498" t="s">
        <v>15392</v>
      </c>
      <c r="D12498" t="s">
        <v>18784</v>
      </c>
      <c r="E12498" t="s">
        <v>25752</v>
      </c>
      <c r="F12498" t="s">
        <v>32664</v>
      </c>
      <c r="G12498" t="s">
        <v>32672</v>
      </c>
      <c r="H12498" t="s">
        <v>32682</v>
      </c>
      <c r="I12498" t="s">
        <v>6223</v>
      </c>
      <c r="J12498" t="s">
        <v>33269</v>
      </c>
      <c r="K12498" t="s">
        <v>42281</v>
      </c>
      <c r="M12498" t="s">
        <v>45155</v>
      </c>
      <c r="N12498" t="s">
        <v>46569</v>
      </c>
      <c r="O12498" t="s">
        <v>46570</v>
      </c>
      <c r="P12498">
        <v>0</v>
      </c>
      <c r="Q12498">
        <v>11</v>
      </c>
      <c r="R12498" t="s">
        <v>46582</v>
      </c>
      <c r="S12498" t="s">
        <v>47054</v>
      </c>
      <c r="T12498" t="s">
        <v>48286</v>
      </c>
      <c r="U12498" t="s">
        <v>58827</v>
      </c>
      <c r="V12498" t="s">
        <v>62992</v>
      </c>
      <c r="W12498" t="s">
        <v>45155</v>
      </c>
      <c r="X12498" t="s">
        <v>46583</v>
      </c>
    </row>
    <row r="12499" spans="1:24">
      <c r="A12499">
        <f>HYPERLINK("https://www.philgeps.gov.ph/GEPSNONPILOT/Tender/SplashBidNoticeAbstractUI.aspx?menuIndex=3&amp;refID=7043891&amp;Result=3","7043891")</f>
        <v>0</v>
      </c>
      <c r="B12499" t="s">
        <v>2368</v>
      </c>
      <c r="C12499" t="s">
        <v>15393</v>
      </c>
      <c r="E12499" t="s">
        <v>25752</v>
      </c>
      <c r="F12499" t="s">
        <v>32664</v>
      </c>
      <c r="G12499" t="s">
        <v>32672</v>
      </c>
      <c r="H12499" t="s">
        <v>32682</v>
      </c>
      <c r="I12499" t="s">
        <v>11464</v>
      </c>
      <c r="J12499" t="s">
        <v>33021</v>
      </c>
      <c r="K12499" t="s">
        <v>42281</v>
      </c>
      <c r="M12499" t="s">
        <v>45155</v>
      </c>
      <c r="N12499" t="s">
        <v>46569</v>
      </c>
      <c r="O12499" t="s">
        <v>46570</v>
      </c>
      <c r="P12499">
        <v>0</v>
      </c>
      <c r="Q12499">
        <v>3</v>
      </c>
      <c r="R12499" t="s">
        <v>46582</v>
      </c>
      <c r="S12499" t="s">
        <v>47054</v>
      </c>
      <c r="T12499" t="s">
        <v>48298</v>
      </c>
      <c r="U12499" t="s">
        <v>58828</v>
      </c>
      <c r="V12499" t="s">
        <v>62993</v>
      </c>
      <c r="W12499" t="s">
        <v>45155</v>
      </c>
      <c r="X12499" t="s">
        <v>46583</v>
      </c>
    </row>
    <row r="12500" spans="1:24">
      <c r="A12500">
        <f>HYPERLINK("https://www.philgeps.gov.ph/GEPSNONPILOT/Tender/SplashBidNoticeAbstractUI.aspx?menuIndex=3&amp;refID=7023347&amp;Result=3","7023347")</f>
        <v>0</v>
      </c>
      <c r="B12500" t="s">
        <v>3201</v>
      </c>
      <c r="C12500" t="s">
        <v>15394</v>
      </c>
      <c r="D12500" t="s">
        <v>18785</v>
      </c>
      <c r="E12500" t="s">
        <v>29630</v>
      </c>
      <c r="F12500" t="s">
        <v>32664</v>
      </c>
      <c r="G12500" t="s">
        <v>32672</v>
      </c>
      <c r="H12500" t="s">
        <v>12635</v>
      </c>
      <c r="I12500" t="s">
        <v>9486</v>
      </c>
      <c r="J12500" t="s">
        <v>40205</v>
      </c>
      <c r="K12500" t="s">
        <v>42284</v>
      </c>
      <c r="M12500" t="s">
        <v>46118</v>
      </c>
      <c r="N12500" t="s">
        <v>46569</v>
      </c>
      <c r="O12500" t="s">
        <v>46570</v>
      </c>
      <c r="P12500">
        <v>0</v>
      </c>
      <c r="Q12500">
        <v>11</v>
      </c>
      <c r="R12500" t="s">
        <v>46582</v>
      </c>
      <c r="S12500" t="s">
        <v>47054</v>
      </c>
      <c r="T12500" t="s">
        <v>48415</v>
      </c>
      <c r="U12500" t="s">
        <v>58829</v>
      </c>
      <c r="W12500" t="s">
        <v>46118</v>
      </c>
      <c r="X12500" t="s">
        <v>46594</v>
      </c>
    </row>
    <row r="12501" spans="1:24">
      <c r="A12501">
        <f>HYPERLINK("https://www.philgeps.gov.ph/GEPSNONPILOT/Tender/SplashBidNoticeAbstractUI.aspx?menuIndex=3&amp;refID=7043401&amp;Result=3","7043401")</f>
        <v>0</v>
      </c>
      <c r="B12501" t="s">
        <v>3202</v>
      </c>
      <c r="C12501" t="s">
        <v>15395</v>
      </c>
      <c r="D12501" t="s">
        <v>18783</v>
      </c>
      <c r="E12501" t="s">
        <v>29631</v>
      </c>
      <c r="F12501" t="s">
        <v>32665</v>
      </c>
      <c r="G12501" t="s">
        <v>32672</v>
      </c>
      <c r="H12501" t="s">
        <v>32682</v>
      </c>
      <c r="I12501" t="s">
        <v>32798</v>
      </c>
      <c r="J12501" t="s">
        <v>34529</v>
      </c>
      <c r="K12501" t="s">
        <v>42281</v>
      </c>
      <c r="M12501" t="s">
        <v>46119</v>
      </c>
      <c r="N12501" t="s">
        <v>46569</v>
      </c>
      <c r="O12501" t="s">
        <v>46570</v>
      </c>
      <c r="P12501">
        <v>0</v>
      </c>
      <c r="Q12501">
        <v>1</v>
      </c>
      <c r="R12501" t="s">
        <v>46583</v>
      </c>
      <c r="S12501" t="s">
        <v>47060</v>
      </c>
      <c r="T12501" t="s">
        <v>48315</v>
      </c>
      <c r="U12501" t="s">
        <v>58830</v>
      </c>
      <c r="W12501" t="s">
        <v>46119</v>
      </c>
      <c r="X12501" t="s">
        <v>46584</v>
      </c>
    </row>
    <row r="12502" spans="1:24">
      <c r="A12502">
        <f>HYPERLINK("https://www.philgeps.gov.ph/GEPSNONPILOT/Tender/SplashBidNoticeAbstractUI.aspx?menuIndex=3&amp;refID=7043355&amp;Result=3","7043355")</f>
        <v>0</v>
      </c>
      <c r="B12502" t="s">
        <v>1567</v>
      </c>
      <c r="C12502" t="s">
        <v>15396</v>
      </c>
      <c r="D12502" t="s">
        <v>18817</v>
      </c>
      <c r="E12502" t="s">
        <v>29632</v>
      </c>
      <c r="F12502" t="s">
        <v>32664</v>
      </c>
      <c r="G12502" t="s">
        <v>32672</v>
      </c>
      <c r="H12502" t="s">
        <v>12635</v>
      </c>
      <c r="I12502" t="s">
        <v>5589</v>
      </c>
      <c r="J12502" t="s">
        <v>33304</v>
      </c>
      <c r="K12502" t="s">
        <v>42305</v>
      </c>
      <c r="M12502" t="s">
        <v>44240</v>
      </c>
      <c r="N12502" t="s">
        <v>46569</v>
      </c>
      <c r="O12502" t="s">
        <v>46570</v>
      </c>
      <c r="P12502">
        <v>0</v>
      </c>
      <c r="Q12502">
        <v>4</v>
      </c>
      <c r="R12502" t="s">
        <v>46583</v>
      </c>
      <c r="S12502" t="s">
        <v>47060</v>
      </c>
      <c r="T12502" t="s">
        <v>48226</v>
      </c>
      <c r="U12502" t="s">
        <v>58831</v>
      </c>
      <c r="W12502" t="s">
        <v>44240</v>
      </c>
      <c r="X12502" t="s">
        <v>46584</v>
      </c>
    </row>
    <row r="12503" spans="1:24">
      <c r="A12503">
        <f>HYPERLINK("https://www.philgeps.gov.ph/GEPSNONPILOT/Tender/SplashBidNoticeAbstractUI.aspx?menuIndex=3&amp;refID=7043342&amp;Result=3","7043342")</f>
        <v>0</v>
      </c>
      <c r="B12503" t="s">
        <v>2564</v>
      </c>
      <c r="C12503" t="s">
        <v>15397</v>
      </c>
      <c r="D12503" t="s">
        <v>18820</v>
      </c>
      <c r="E12503" t="s">
        <v>29633</v>
      </c>
      <c r="F12503" t="s">
        <v>32664</v>
      </c>
      <c r="G12503" t="s">
        <v>32672</v>
      </c>
      <c r="H12503" t="s">
        <v>12635</v>
      </c>
      <c r="I12503" t="s">
        <v>32706</v>
      </c>
      <c r="J12503" t="s">
        <v>40206</v>
      </c>
      <c r="K12503" t="s">
        <v>42314</v>
      </c>
      <c r="M12503" t="s">
        <v>45375</v>
      </c>
      <c r="N12503" t="s">
        <v>46569</v>
      </c>
      <c r="O12503" t="s">
        <v>46570</v>
      </c>
      <c r="P12503">
        <v>0</v>
      </c>
      <c r="Q12503">
        <v>0</v>
      </c>
      <c r="R12503" t="s">
        <v>46583</v>
      </c>
      <c r="S12503" t="s">
        <v>47060</v>
      </c>
      <c r="T12503" t="s">
        <v>48237</v>
      </c>
      <c r="U12503" t="s">
        <v>58832</v>
      </c>
      <c r="W12503" t="s">
        <v>45375</v>
      </c>
      <c r="X12503" t="s">
        <v>46584</v>
      </c>
    </row>
    <row r="12504" spans="1:24">
      <c r="A12504">
        <f>HYPERLINK("https://www.philgeps.gov.ph/GEPSNONPILOT/Tender/SplashBidNoticeAbstractUI.aspx?menuIndex=3&amp;refID=7043338&amp;Result=3","7043338")</f>
        <v>0</v>
      </c>
      <c r="B12504" t="s">
        <v>2564</v>
      </c>
      <c r="C12504" t="s">
        <v>15398</v>
      </c>
      <c r="D12504" t="s">
        <v>18820</v>
      </c>
      <c r="E12504" t="s">
        <v>29634</v>
      </c>
      <c r="F12504" t="s">
        <v>32664</v>
      </c>
      <c r="G12504" t="s">
        <v>32672</v>
      </c>
      <c r="H12504" t="s">
        <v>12635</v>
      </c>
      <c r="I12504" t="s">
        <v>4439</v>
      </c>
      <c r="J12504" t="s">
        <v>40207</v>
      </c>
      <c r="K12504" t="s">
        <v>42289</v>
      </c>
      <c r="M12504" t="s">
        <v>45375</v>
      </c>
      <c r="N12504" t="s">
        <v>46569</v>
      </c>
      <c r="O12504" t="s">
        <v>46570</v>
      </c>
      <c r="P12504">
        <v>0</v>
      </c>
      <c r="Q12504">
        <v>0</v>
      </c>
      <c r="R12504" t="s">
        <v>46583</v>
      </c>
      <c r="S12504" t="s">
        <v>47060</v>
      </c>
      <c r="T12504" t="s">
        <v>48237</v>
      </c>
      <c r="U12504" t="s">
        <v>58833</v>
      </c>
      <c r="W12504" t="s">
        <v>45375</v>
      </c>
      <c r="X12504" t="s">
        <v>46584</v>
      </c>
    </row>
    <row r="12505" spans="1:24">
      <c r="A12505">
        <f>HYPERLINK("https://www.philgeps.gov.ph/GEPSNONPILOT/Tender/SplashBidNoticeAbstractUI.aspx?menuIndex=3&amp;refID=7043336&amp;Result=3","7043336")</f>
        <v>0</v>
      </c>
      <c r="B12505" t="s">
        <v>2564</v>
      </c>
      <c r="C12505" t="s">
        <v>15399</v>
      </c>
      <c r="D12505" t="s">
        <v>18820</v>
      </c>
      <c r="E12505" t="s">
        <v>29635</v>
      </c>
      <c r="F12505" t="s">
        <v>32664</v>
      </c>
      <c r="G12505" t="s">
        <v>32672</v>
      </c>
      <c r="H12505" t="s">
        <v>12635</v>
      </c>
      <c r="I12505" t="s">
        <v>32706</v>
      </c>
      <c r="J12505" t="s">
        <v>40208</v>
      </c>
      <c r="K12505" t="s">
        <v>42305</v>
      </c>
      <c r="M12505" t="s">
        <v>45375</v>
      </c>
      <c r="N12505" t="s">
        <v>46569</v>
      </c>
      <c r="O12505" t="s">
        <v>46570</v>
      </c>
      <c r="P12505">
        <v>0</v>
      </c>
      <c r="Q12505">
        <v>0</v>
      </c>
      <c r="R12505" t="s">
        <v>46583</v>
      </c>
      <c r="S12505" t="s">
        <v>47060</v>
      </c>
      <c r="T12505" t="s">
        <v>48237</v>
      </c>
      <c r="U12505" t="s">
        <v>58834</v>
      </c>
      <c r="W12505" t="s">
        <v>45375</v>
      </c>
      <c r="X12505" t="s">
        <v>46584</v>
      </c>
    </row>
    <row r="12506" spans="1:24">
      <c r="A12506">
        <f>HYPERLINK("https://www.philgeps.gov.ph/GEPSNONPILOT/Tender/SplashBidNoticeAbstractUI.aspx?menuIndex=3&amp;refID=7043408&amp;Result=3","7043408")</f>
        <v>0</v>
      </c>
      <c r="B12506" t="s">
        <v>535</v>
      </c>
      <c r="C12506" t="s">
        <v>15400</v>
      </c>
      <c r="D12506" t="s">
        <v>18834</v>
      </c>
      <c r="E12506" t="s">
        <v>29636</v>
      </c>
      <c r="F12506" t="s">
        <v>32664</v>
      </c>
      <c r="G12506" t="s">
        <v>32672</v>
      </c>
      <c r="H12506" t="s">
        <v>32683</v>
      </c>
      <c r="I12506" t="s">
        <v>10627</v>
      </c>
      <c r="J12506" t="s">
        <v>33009</v>
      </c>
      <c r="K12506" t="s">
        <v>42290</v>
      </c>
      <c r="M12506" t="s">
        <v>46117</v>
      </c>
      <c r="N12506" t="s">
        <v>46569</v>
      </c>
      <c r="O12506" t="s">
        <v>46570</v>
      </c>
      <c r="P12506">
        <v>0</v>
      </c>
      <c r="Q12506">
        <v>2</v>
      </c>
      <c r="R12506" t="s">
        <v>46583</v>
      </c>
      <c r="S12506" t="s">
        <v>47060</v>
      </c>
      <c r="T12506" t="s">
        <v>48707</v>
      </c>
      <c r="U12506" t="s">
        <v>58835</v>
      </c>
      <c r="W12506" t="s">
        <v>46117</v>
      </c>
      <c r="X12506" t="s">
        <v>46584</v>
      </c>
    </row>
    <row r="12507" spans="1:24">
      <c r="A12507">
        <f>HYPERLINK("https://www.philgeps.gov.ph/GEPSNONPILOT/Tender/SplashBidNoticeAbstractUI.aspx?menuIndex=3&amp;refID=7044301&amp;Result=3","7044301")</f>
        <v>0</v>
      </c>
      <c r="B12507" t="s">
        <v>940</v>
      </c>
      <c r="C12507" t="s">
        <v>15401</v>
      </c>
      <c r="D12507" t="s">
        <v>18784</v>
      </c>
      <c r="E12507" t="s">
        <v>29637</v>
      </c>
      <c r="F12507" t="s">
        <v>32664</v>
      </c>
      <c r="G12507" t="s">
        <v>32672</v>
      </c>
      <c r="H12507" t="s">
        <v>12635</v>
      </c>
      <c r="I12507" t="s">
        <v>5589</v>
      </c>
      <c r="J12507" t="s">
        <v>40209</v>
      </c>
      <c r="K12507" t="s">
        <v>42285</v>
      </c>
      <c r="M12507" t="s">
        <v>46120</v>
      </c>
      <c r="N12507" t="s">
        <v>46569</v>
      </c>
      <c r="O12507" t="s">
        <v>46570</v>
      </c>
      <c r="P12507">
        <v>0</v>
      </c>
      <c r="Q12507">
        <v>8</v>
      </c>
      <c r="R12507" t="s">
        <v>46581</v>
      </c>
      <c r="S12507" t="s">
        <v>47012</v>
      </c>
      <c r="T12507" t="s">
        <v>48354</v>
      </c>
      <c r="U12507" t="s">
        <v>58836</v>
      </c>
      <c r="W12507" t="s">
        <v>46120</v>
      </c>
      <c r="X12507" t="s">
        <v>46582</v>
      </c>
    </row>
    <row r="12508" spans="1:24">
      <c r="A12508">
        <f>HYPERLINK("https://www.philgeps.gov.ph/GEPSNONPILOT/Tender/SplashBidNoticeAbstractUI.aspx?menuIndex=3&amp;refID=7043316&amp;Result=3","7043316")</f>
        <v>0</v>
      </c>
      <c r="B12508" t="s">
        <v>3203</v>
      </c>
      <c r="C12508" t="s">
        <v>15402</v>
      </c>
      <c r="D12508" t="s">
        <v>18827</v>
      </c>
      <c r="E12508" t="s">
        <v>29638</v>
      </c>
      <c r="F12508" t="s">
        <v>32664</v>
      </c>
      <c r="G12508" t="s">
        <v>32672</v>
      </c>
      <c r="H12508" t="s">
        <v>32683</v>
      </c>
      <c r="I12508" t="s">
        <v>10627</v>
      </c>
      <c r="J12508" t="s">
        <v>40210</v>
      </c>
      <c r="K12508" t="s">
        <v>42423</v>
      </c>
      <c r="M12508" t="s">
        <v>46121</v>
      </c>
      <c r="N12508" t="s">
        <v>46569</v>
      </c>
      <c r="O12508" t="s">
        <v>46570</v>
      </c>
      <c r="P12508">
        <v>0</v>
      </c>
      <c r="Q12508">
        <v>1</v>
      </c>
      <c r="R12508" t="s">
        <v>46583</v>
      </c>
      <c r="S12508" t="s">
        <v>47060</v>
      </c>
      <c r="T12508" t="s">
        <v>48661</v>
      </c>
      <c r="U12508" t="s">
        <v>58837</v>
      </c>
      <c r="V12508" t="s">
        <v>62994</v>
      </c>
      <c r="W12508" t="s">
        <v>46121</v>
      </c>
      <c r="X12508" t="s">
        <v>46584</v>
      </c>
    </row>
    <row r="12509" spans="1:24">
      <c r="A12509">
        <f>HYPERLINK("https://www.philgeps.gov.ph/GEPSNONPILOT/Tender/SplashBidNoticeAbstractUI.aspx?menuIndex=3&amp;refID=7043310&amp;Result=3","7043310")</f>
        <v>0</v>
      </c>
      <c r="B12509" t="s">
        <v>3204</v>
      </c>
      <c r="C12509" t="s">
        <v>15403</v>
      </c>
      <c r="D12509" t="s">
        <v>18827</v>
      </c>
      <c r="E12509" t="s">
        <v>29639</v>
      </c>
      <c r="F12509" t="s">
        <v>32664</v>
      </c>
      <c r="G12509" t="s">
        <v>32672</v>
      </c>
      <c r="H12509" t="s">
        <v>32683</v>
      </c>
      <c r="I12509" t="s">
        <v>10627</v>
      </c>
      <c r="J12509" t="s">
        <v>40211</v>
      </c>
      <c r="K12509" t="s">
        <v>42413</v>
      </c>
      <c r="M12509" t="s">
        <v>46122</v>
      </c>
      <c r="N12509" t="s">
        <v>46569</v>
      </c>
      <c r="O12509" t="s">
        <v>46570</v>
      </c>
      <c r="P12509">
        <v>0</v>
      </c>
      <c r="Q12509">
        <v>1</v>
      </c>
      <c r="R12509" t="s">
        <v>46583</v>
      </c>
      <c r="S12509" t="s">
        <v>47060</v>
      </c>
      <c r="T12509" t="s">
        <v>48279</v>
      </c>
      <c r="U12509" t="s">
        <v>58838</v>
      </c>
      <c r="V12509" t="s">
        <v>62995</v>
      </c>
      <c r="W12509" t="s">
        <v>46122</v>
      </c>
      <c r="X12509" t="s">
        <v>46584</v>
      </c>
    </row>
    <row r="12510" spans="1:24">
      <c r="A12510">
        <f>HYPERLINK("https://www.philgeps.gov.ph/GEPSNONPILOT/Tender/SplashBidNoticeAbstractUI.aspx?menuIndex=3&amp;refID=7043305&amp;Result=3","7043305")</f>
        <v>0</v>
      </c>
      <c r="B12510" t="s">
        <v>3199</v>
      </c>
      <c r="C12510" t="s">
        <v>15404</v>
      </c>
      <c r="D12510" t="s">
        <v>18827</v>
      </c>
      <c r="E12510" t="s">
        <v>29640</v>
      </c>
      <c r="F12510" t="s">
        <v>32664</v>
      </c>
      <c r="G12510" t="s">
        <v>32672</v>
      </c>
      <c r="H12510" t="s">
        <v>32683</v>
      </c>
      <c r="I12510" t="s">
        <v>10627</v>
      </c>
      <c r="J12510" t="s">
        <v>34986</v>
      </c>
      <c r="K12510" t="s">
        <v>42301</v>
      </c>
      <c r="M12510" t="s">
        <v>46115</v>
      </c>
      <c r="N12510" t="s">
        <v>46569</v>
      </c>
      <c r="O12510" t="s">
        <v>46570</v>
      </c>
      <c r="P12510">
        <v>0</v>
      </c>
      <c r="Q12510">
        <v>2</v>
      </c>
      <c r="R12510" t="s">
        <v>46583</v>
      </c>
      <c r="S12510" t="s">
        <v>47060</v>
      </c>
      <c r="T12510" t="s">
        <v>48286</v>
      </c>
      <c r="U12510" t="s">
        <v>58839</v>
      </c>
      <c r="W12510" t="s">
        <v>46115</v>
      </c>
      <c r="X12510" t="s">
        <v>46584</v>
      </c>
    </row>
    <row r="12511" spans="1:24">
      <c r="A12511">
        <f>HYPERLINK("https://www.philgeps.gov.ph/GEPSNONPILOT/Tender/SplashBidNoticeAbstractUI.aspx?menuIndex=3&amp;refID=7043340&amp;Result=3","7043340")</f>
        <v>0</v>
      </c>
      <c r="B12511" t="s">
        <v>2564</v>
      </c>
      <c r="C12511" t="s">
        <v>15405</v>
      </c>
      <c r="D12511" t="s">
        <v>18820</v>
      </c>
      <c r="E12511" t="s">
        <v>29641</v>
      </c>
      <c r="F12511" t="s">
        <v>32664</v>
      </c>
      <c r="G12511" t="s">
        <v>32672</v>
      </c>
      <c r="H12511" t="s">
        <v>12635</v>
      </c>
      <c r="I12511" t="s">
        <v>4439</v>
      </c>
      <c r="J12511" t="s">
        <v>40212</v>
      </c>
      <c r="K12511" t="s">
        <v>42289</v>
      </c>
      <c r="M12511" t="s">
        <v>45375</v>
      </c>
      <c r="N12511" t="s">
        <v>46569</v>
      </c>
      <c r="O12511" t="s">
        <v>46570</v>
      </c>
      <c r="P12511">
        <v>0</v>
      </c>
      <c r="Q12511">
        <v>0</v>
      </c>
      <c r="R12511" t="s">
        <v>46583</v>
      </c>
      <c r="S12511" t="s">
        <v>47060</v>
      </c>
      <c r="T12511" t="s">
        <v>48237</v>
      </c>
      <c r="U12511" t="s">
        <v>58840</v>
      </c>
      <c r="W12511" t="s">
        <v>45375</v>
      </c>
      <c r="X12511" t="s">
        <v>46584</v>
      </c>
    </row>
    <row r="12512" spans="1:24">
      <c r="A12512">
        <f>HYPERLINK("https://www.philgeps.gov.ph/GEPSNONPILOT/Tender/SplashBidNoticeAbstractUI.aspx?menuIndex=3&amp;refID=7044264&amp;Result=3","7044264")</f>
        <v>0</v>
      </c>
      <c r="B12512" t="s">
        <v>3191</v>
      </c>
      <c r="C12512" t="s">
        <v>15406</v>
      </c>
      <c r="D12512" t="s">
        <v>18802</v>
      </c>
      <c r="E12512" t="s">
        <v>29642</v>
      </c>
      <c r="F12512" t="s">
        <v>32664</v>
      </c>
      <c r="G12512" t="s">
        <v>32672</v>
      </c>
      <c r="H12512" t="s">
        <v>32683</v>
      </c>
      <c r="I12512" t="s">
        <v>10627</v>
      </c>
      <c r="J12512" t="s">
        <v>40213</v>
      </c>
      <c r="K12512" t="s">
        <v>42281</v>
      </c>
      <c r="M12512" t="s">
        <v>46106</v>
      </c>
      <c r="N12512" t="s">
        <v>46569</v>
      </c>
      <c r="O12512" t="s">
        <v>46570</v>
      </c>
      <c r="P12512">
        <v>0</v>
      </c>
      <c r="Q12512">
        <v>0</v>
      </c>
      <c r="R12512" t="s">
        <v>46581</v>
      </c>
      <c r="S12512" t="s">
        <v>47012</v>
      </c>
      <c r="T12512" t="s">
        <v>48467</v>
      </c>
      <c r="U12512" t="s">
        <v>58841</v>
      </c>
      <c r="W12512" t="s">
        <v>46106</v>
      </c>
      <c r="X12512" t="s">
        <v>46582</v>
      </c>
    </row>
    <row r="12513" spans="1:24">
      <c r="A12513">
        <f>HYPERLINK("https://www.philgeps.gov.ph/GEPSNONPILOT/Tender/SplashBidNoticeAbstractUI.aspx?menuIndex=3&amp;refID=7041691&amp;Result=3","7041691")</f>
        <v>0</v>
      </c>
      <c r="B12513" t="s">
        <v>3205</v>
      </c>
      <c r="C12513" t="s">
        <v>15407</v>
      </c>
      <c r="D12513" t="s">
        <v>18804</v>
      </c>
      <c r="E12513" t="s">
        <v>29643</v>
      </c>
      <c r="F12513" t="s">
        <v>32664</v>
      </c>
      <c r="G12513" t="s">
        <v>32672</v>
      </c>
      <c r="H12513" t="s">
        <v>32683</v>
      </c>
      <c r="I12513" t="s">
        <v>10627</v>
      </c>
      <c r="J12513" t="s">
        <v>32865</v>
      </c>
      <c r="K12513" t="s">
        <v>42283</v>
      </c>
      <c r="M12513" t="s">
        <v>46123</v>
      </c>
      <c r="N12513" t="s">
        <v>46569</v>
      </c>
      <c r="O12513" t="s">
        <v>46570</v>
      </c>
      <c r="P12513">
        <v>0</v>
      </c>
      <c r="Q12513">
        <v>0</v>
      </c>
      <c r="R12513" t="s">
        <v>46583</v>
      </c>
      <c r="S12513" t="s">
        <v>47060</v>
      </c>
      <c r="T12513" t="s">
        <v>48226</v>
      </c>
      <c r="U12513" t="s">
        <v>58842</v>
      </c>
      <c r="W12513" t="s">
        <v>46123</v>
      </c>
      <c r="X12513" t="s">
        <v>46585</v>
      </c>
    </row>
    <row r="12514" spans="1:24">
      <c r="A12514">
        <f>HYPERLINK("https://www.philgeps.gov.ph/GEPSNONPILOT/Tender/SplashBidNoticeAbstractUI.aspx?menuIndex=3&amp;refID=7043885&amp;Result=3","7043885")</f>
        <v>0</v>
      </c>
      <c r="B12514" t="s">
        <v>2368</v>
      </c>
      <c r="C12514" t="s">
        <v>15408</v>
      </c>
      <c r="D12514" t="s">
        <v>18784</v>
      </c>
      <c r="E12514" t="s">
        <v>25752</v>
      </c>
      <c r="F12514" t="s">
        <v>32664</v>
      </c>
      <c r="G12514" t="s">
        <v>32672</v>
      </c>
      <c r="H12514" t="s">
        <v>32682</v>
      </c>
      <c r="I12514" t="s">
        <v>32784</v>
      </c>
      <c r="J12514" t="s">
        <v>40214</v>
      </c>
      <c r="K12514" t="s">
        <v>42281</v>
      </c>
      <c r="M12514" t="s">
        <v>45155</v>
      </c>
      <c r="N12514" t="s">
        <v>46569</v>
      </c>
      <c r="O12514" t="s">
        <v>46570</v>
      </c>
      <c r="P12514">
        <v>0</v>
      </c>
      <c r="Q12514">
        <v>4</v>
      </c>
      <c r="R12514" t="s">
        <v>46582</v>
      </c>
      <c r="S12514" t="s">
        <v>47054</v>
      </c>
      <c r="T12514" t="s">
        <v>48244</v>
      </c>
      <c r="U12514" t="s">
        <v>58843</v>
      </c>
      <c r="V12514" t="s">
        <v>62996</v>
      </c>
      <c r="W12514" t="s">
        <v>45155</v>
      </c>
      <c r="X12514" t="s">
        <v>46583</v>
      </c>
    </row>
    <row r="12515" spans="1:24">
      <c r="A12515">
        <f>HYPERLINK("https://www.philgeps.gov.ph/GEPSNONPILOT/Tender/SplashBidNoticeAbstractUI.aspx?menuIndex=3&amp;refID=7043422&amp;Result=3","7043422")</f>
        <v>0</v>
      </c>
      <c r="B12515" t="s">
        <v>2410</v>
      </c>
      <c r="C12515" t="s">
        <v>15409</v>
      </c>
      <c r="D12515" t="s">
        <v>18860</v>
      </c>
      <c r="E12515" t="s">
        <v>29644</v>
      </c>
      <c r="F12515" t="s">
        <v>32664</v>
      </c>
      <c r="G12515" t="s">
        <v>32672</v>
      </c>
      <c r="H12515" t="s">
        <v>32683</v>
      </c>
      <c r="I12515" t="s">
        <v>10627</v>
      </c>
      <c r="J12515" t="s">
        <v>40215</v>
      </c>
      <c r="K12515" t="s">
        <v>42285</v>
      </c>
      <c r="M12515" t="s">
        <v>45201</v>
      </c>
      <c r="N12515" t="s">
        <v>46569</v>
      </c>
      <c r="O12515" t="s">
        <v>46570</v>
      </c>
      <c r="P12515">
        <v>0</v>
      </c>
      <c r="Q12515">
        <v>0</v>
      </c>
      <c r="R12515" t="s">
        <v>46583</v>
      </c>
      <c r="S12515" t="s">
        <v>47060</v>
      </c>
      <c r="T12515" t="s">
        <v>48225</v>
      </c>
      <c r="U12515" t="s">
        <v>58844</v>
      </c>
      <c r="W12515" t="s">
        <v>45201</v>
      </c>
      <c r="X12515" t="s">
        <v>46584</v>
      </c>
    </row>
    <row r="12516" spans="1:24">
      <c r="A12516">
        <f>HYPERLINK("https://www.philgeps.gov.ph/GEPSNONPILOT/Tender/SplashBidNoticeAbstractUI.aspx?menuIndex=3&amp;refID=7043859&amp;Result=3","7043859")</f>
        <v>0</v>
      </c>
      <c r="B12516" t="s">
        <v>1645</v>
      </c>
      <c r="C12516" t="s">
        <v>15410</v>
      </c>
      <c r="E12516" t="s">
        <v>29645</v>
      </c>
      <c r="F12516" t="s">
        <v>32664</v>
      </c>
      <c r="G12516" t="s">
        <v>32672</v>
      </c>
      <c r="H12516" t="s">
        <v>32683</v>
      </c>
      <c r="I12516" t="s">
        <v>32758</v>
      </c>
      <c r="J12516" t="s">
        <v>32943</v>
      </c>
      <c r="K12516" t="s">
        <v>42298</v>
      </c>
      <c r="M12516" t="s">
        <v>44329</v>
      </c>
      <c r="N12516" t="s">
        <v>46569</v>
      </c>
      <c r="O12516" t="s">
        <v>46570</v>
      </c>
      <c r="P12516">
        <v>0</v>
      </c>
      <c r="Q12516">
        <v>1</v>
      </c>
      <c r="R12516" t="s">
        <v>46582</v>
      </c>
      <c r="S12516" t="s">
        <v>47054</v>
      </c>
      <c r="T12516" t="s">
        <v>48248</v>
      </c>
      <c r="U12516" t="s">
        <v>52658</v>
      </c>
      <c r="W12516" t="s">
        <v>44329</v>
      </c>
      <c r="X12516" t="s">
        <v>46583</v>
      </c>
    </row>
    <row r="12517" spans="1:24">
      <c r="A12517">
        <f>HYPERLINK("https://www.philgeps.gov.ph/GEPSNONPILOT/Tender/SplashBidNoticeAbstractUI.aspx?menuIndex=3&amp;refID=7043849&amp;Result=3","7043849")</f>
        <v>0</v>
      </c>
      <c r="B12517" t="s">
        <v>3206</v>
      </c>
      <c r="C12517" t="s">
        <v>15411</v>
      </c>
      <c r="E12517" t="s">
        <v>19202</v>
      </c>
      <c r="F12517" t="s">
        <v>32665</v>
      </c>
      <c r="G12517" t="s">
        <v>32672</v>
      </c>
      <c r="H12517" t="s">
        <v>12635</v>
      </c>
      <c r="I12517" t="s">
        <v>32689</v>
      </c>
      <c r="J12517" t="s">
        <v>33959</v>
      </c>
      <c r="K12517" t="s">
        <v>42283</v>
      </c>
      <c r="M12517" t="s">
        <v>46124</v>
      </c>
      <c r="N12517" t="s">
        <v>46569</v>
      </c>
      <c r="O12517" t="s">
        <v>46570</v>
      </c>
      <c r="P12517">
        <v>0</v>
      </c>
      <c r="Q12517">
        <v>0</v>
      </c>
      <c r="R12517" t="s">
        <v>46582</v>
      </c>
      <c r="S12517" t="s">
        <v>47054</v>
      </c>
      <c r="T12517" t="s">
        <v>48293</v>
      </c>
      <c r="U12517" t="s">
        <v>58845</v>
      </c>
      <c r="W12517" t="s">
        <v>46124</v>
      </c>
      <c r="X12517" t="s">
        <v>46583</v>
      </c>
    </row>
    <row r="12518" spans="1:24">
      <c r="A12518">
        <f>HYPERLINK("https://www.philgeps.gov.ph/GEPSNONPILOT/Tender/SplashBidNoticeAbstractUI.aspx?menuIndex=3&amp;refID=7043841&amp;Result=3","7043841")</f>
        <v>0</v>
      </c>
      <c r="B12518" t="s">
        <v>3086</v>
      </c>
      <c r="C12518" t="s">
        <v>15412</v>
      </c>
      <c r="D12518" t="s">
        <v>18788</v>
      </c>
      <c r="E12518" t="s">
        <v>19673</v>
      </c>
      <c r="F12518" t="s">
        <v>32664</v>
      </c>
      <c r="G12518" t="s">
        <v>32672</v>
      </c>
      <c r="H12518" t="s">
        <v>32683</v>
      </c>
      <c r="I12518" t="s">
        <v>10627</v>
      </c>
      <c r="J12518" t="s">
        <v>40216</v>
      </c>
      <c r="K12518" t="s">
        <v>42313</v>
      </c>
      <c r="M12518" t="s">
        <v>45973</v>
      </c>
      <c r="N12518" t="s">
        <v>46569</v>
      </c>
      <c r="O12518" t="s">
        <v>46570</v>
      </c>
      <c r="P12518">
        <v>0</v>
      </c>
      <c r="Q12518">
        <v>2</v>
      </c>
      <c r="R12518" t="s">
        <v>46582</v>
      </c>
      <c r="S12518" t="s">
        <v>47054</v>
      </c>
      <c r="T12518" t="s">
        <v>48293</v>
      </c>
      <c r="U12518" t="s">
        <v>58846</v>
      </c>
      <c r="W12518" t="s">
        <v>45973</v>
      </c>
      <c r="X12518" t="s">
        <v>46583</v>
      </c>
    </row>
    <row r="12519" spans="1:24">
      <c r="A12519">
        <f>HYPERLINK("https://www.philgeps.gov.ph/GEPSNONPILOT/Tender/SplashBidNoticeAbstractUI.aspx?menuIndex=3&amp;refID=7043810&amp;Result=3","7043810")</f>
        <v>0</v>
      </c>
      <c r="B12519" t="s">
        <v>3207</v>
      </c>
      <c r="C12519" t="s">
        <v>15413</v>
      </c>
      <c r="D12519" t="s">
        <v>18802</v>
      </c>
      <c r="E12519" t="s">
        <v>19380</v>
      </c>
      <c r="F12519" t="s">
        <v>32664</v>
      </c>
      <c r="G12519" t="s">
        <v>32672</v>
      </c>
      <c r="H12519" t="s">
        <v>12635</v>
      </c>
      <c r="I12519" t="s">
        <v>32696</v>
      </c>
      <c r="J12519" t="s">
        <v>32984</v>
      </c>
      <c r="K12519" t="s">
        <v>42284</v>
      </c>
      <c r="M12519" t="s">
        <v>46125</v>
      </c>
      <c r="N12519" t="s">
        <v>46569</v>
      </c>
      <c r="O12519" t="s">
        <v>46570</v>
      </c>
      <c r="P12519">
        <v>0</v>
      </c>
      <c r="Q12519">
        <v>2</v>
      </c>
      <c r="R12519" t="s">
        <v>46582</v>
      </c>
      <c r="S12519" t="s">
        <v>47054</v>
      </c>
      <c r="T12519" t="s">
        <v>48321</v>
      </c>
      <c r="U12519" t="s">
        <v>58847</v>
      </c>
      <c r="W12519" t="s">
        <v>46125</v>
      </c>
      <c r="X12519" t="s">
        <v>46583</v>
      </c>
    </row>
    <row r="12520" spans="1:24">
      <c r="A12520">
        <f>HYPERLINK("https://www.philgeps.gov.ph/GEPSNONPILOT/Tender/SplashBidNoticeAbstractUI.aspx?menuIndex=3&amp;refID=7043307&amp;Result=3","7043307")</f>
        <v>0</v>
      </c>
      <c r="B12520" t="s">
        <v>1807</v>
      </c>
      <c r="C12520" t="s">
        <v>15414</v>
      </c>
      <c r="E12520" t="s">
        <v>29646</v>
      </c>
      <c r="F12520" t="s">
        <v>32664</v>
      </c>
      <c r="G12520" t="s">
        <v>32672</v>
      </c>
      <c r="H12520" t="s">
        <v>32683</v>
      </c>
      <c r="I12520" t="s">
        <v>32694</v>
      </c>
      <c r="J12520" t="s">
        <v>40217</v>
      </c>
      <c r="K12520" t="s">
        <v>42283</v>
      </c>
      <c r="M12520" t="s">
        <v>44512</v>
      </c>
      <c r="N12520" t="s">
        <v>46569</v>
      </c>
      <c r="O12520" t="s">
        <v>46570</v>
      </c>
      <c r="P12520">
        <v>0</v>
      </c>
      <c r="Q12520">
        <v>2</v>
      </c>
      <c r="R12520" t="s">
        <v>46583</v>
      </c>
      <c r="S12520" t="s">
        <v>47060</v>
      </c>
      <c r="T12520" t="s">
        <v>48225</v>
      </c>
      <c r="U12520" t="s">
        <v>58848</v>
      </c>
      <c r="W12520" t="s">
        <v>44512</v>
      </c>
      <c r="X12520" t="s">
        <v>46584</v>
      </c>
    </row>
    <row r="12521" spans="1:24">
      <c r="A12521">
        <f>HYPERLINK("https://www.philgeps.gov.ph/GEPSNONPILOT/Tender/SplashBidNoticeAbstractUI.aspx?menuIndex=3&amp;refID=7043750&amp;Result=3","7043750")</f>
        <v>0</v>
      </c>
      <c r="B12521" t="s">
        <v>3208</v>
      </c>
      <c r="C12521" t="s">
        <v>15415</v>
      </c>
      <c r="D12521" t="s">
        <v>18782</v>
      </c>
      <c r="E12521" t="s">
        <v>29647</v>
      </c>
      <c r="F12521" t="s">
        <v>32664</v>
      </c>
      <c r="G12521" t="s">
        <v>32672</v>
      </c>
      <c r="H12521" t="s">
        <v>12635</v>
      </c>
      <c r="I12521" t="s">
        <v>10361</v>
      </c>
      <c r="J12521" t="s">
        <v>40218</v>
      </c>
      <c r="K12521" t="s">
        <v>42283</v>
      </c>
      <c r="M12521" t="s">
        <v>46126</v>
      </c>
      <c r="N12521" t="s">
        <v>46569</v>
      </c>
      <c r="O12521" t="s">
        <v>46570</v>
      </c>
      <c r="P12521">
        <v>0</v>
      </c>
      <c r="Q12521">
        <v>1</v>
      </c>
      <c r="R12521" t="s">
        <v>46582</v>
      </c>
      <c r="S12521" t="s">
        <v>47054</v>
      </c>
      <c r="T12521" t="s">
        <v>48248</v>
      </c>
      <c r="U12521" t="s">
        <v>58849</v>
      </c>
      <c r="W12521" t="s">
        <v>46126</v>
      </c>
      <c r="X12521" t="s">
        <v>46583</v>
      </c>
    </row>
    <row r="12522" spans="1:24">
      <c r="A12522">
        <f>HYPERLINK("https://www.philgeps.gov.ph/GEPSNONPILOT/Tender/SplashBidNoticeAbstractUI.aspx?menuIndex=3&amp;refID=7043882&amp;Result=3","7043882")</f>
        <v>0</v>
      </c>
      <c r="B12522" t="s">
        <v>2368</v>
      </c>
      <c r="C12522" t="s">
        <v>15416</v>
      </c>
      <c r="D12522" t="s">
        <v>18784</v>
      </c>
      <c r="E12522" t="s">
        <v>25752</v>
      </c>
      <c r="F12522" t="s">
        <v>32664</v>
      </c>
      <c r="G12522" t="s">
        <v>32672</v>
      </c>
      <c r="H12522" t="s">
        <v>32682</v>
      </c>
      <c r="I12522" t="s">
        <v>6223</v>
      </c>
      <c r="J12522" t="s">
        <v>33051</v>
      </c>
      <c r="K12522" t="s">
        <v>42281</v>
      </c>
      <c r="M12522" t="s">
        <v>45155</v>
      </c>
      <c r="N12522" t="s">
        <v>46569</v>
      </c>
      <c r="O12522" t="s">
        <v>46570</v>
      </c>
      <c r="P12522">
        <v>0</v>
      </c>
      <c r="Q12522">
        <v>2</v>
      </c>
      <c r="R12522" t="s">
        <v>46582</v>
      </c>
      <c r="S12522" t="s">
        <v>47054</v>
      </c>
      <c r="T12522" t="s">
        <v>48217</v>
      </c>
      <c r="U12522" t="s">
        <v>58850</v>
      </c>
      <c r="V12522" t="s">
        <v>62997</v>
      </c>
      <c r="W12522" t="s">
        <v>45155</v>
      </c>
      <c r="X12522" t="s">
        <v>46583</v>
      </c>
    </row>
    <row r="12523" spans="1:24">
      <c r="A12523">
        <f>HYPERLINK("https://www.philgeps.gov.ph/GEPSNONPILOT/Tender/SplashBidNoticeAbstractUI.aspx?menuIndex=3&amp;refID=7044282&amp;Result=3","7044282")</f>
        <v>0</v>
      </c>
      <c r="B12523" t="s">
        <v>2386</v>
      </c>
      <c r="C12523" t="s">
        <v>15417</v>
      </c>
      <c r="D12523" t="s">
        <v>18835</v>
      </c>
      <c r="E12523" t="s">
        <v>29648</v>
      </c>
      <c r="F12523" t="s">
        <v>32664</v>
      </c>
      <c r="G12523" t="s">
        <v>32672</v>
      </c>
      <c r="H12523" t="s">
        <v>12635</v>
      </c>
      <c r="I12523" t="s">
        <v>32689</v>
      </c>
      <c r="J12523" t="s">
        <v>33223</v>
      </c>
      <c r="K12523" t="s">
        <v>42289</v>
      </c>
      <c r="M12523" t="s">
        <v>45176</v>
      </c>
      <c r="N12523" t="s">
        <v>46569</v>
      </c>
      <c r="O12523" t="s">
        <v>46570</v>
      </c>
      <c r="P12523">
        <v>0</v>
      </c>
      <c r="Q12523">
        <v>1</v>
      </c>
      <c r="R12523" t="s">
        <v>46581</v>
      </c>
      <c r="S12523" t="s">
        <v>47012</v>
      </c>
      <c r="T12523" t="s">
        <v>48467</v>
      </c>
      <c r="U12523" t="s">
        <v>58851</v>
      </c>
      <c r="W12523" t="s">
        <v>45176</v>
      </c>
      <c r="X12523" t="s">
        <v>46582</v>
      </c>
    </row>
    <row r="12524" spans="1:24">
      <c r="A12524">
        <f>HYPERLINK("https://www.philgeps.gov.ph/GEPSNONPILOT/Tender/SplashBidNoticeAbstractUI.aspx?menuIndex=3&amp;refID=7044281&amp;Result=3","7044281")</f>
        <v>0</v>
      </c>
      <c r="B12524" t="s">
        <v>3191</v>
      </c>
      <c r="C12524" t="s">
        <v>15418</v>
      </c>
      <c r="D12524" t="s">
        <v>18802</v>
      </c>
      <c r="E12524" t="s">
        <v>29649</v>
      </c>
      <c r="F12524" t="s">
        <v>32664</v>
      </c>
      <c r="G12524" t="s">
        <v>32672</v>
      </c>
      <c r="H12524" t="s">
        <v>12635</v>
      </c>
      <c r="I12524" t="s">
        <v>32711</v>
      </c>
      <c r="J12524" t="s">
        <v>40219</v>
      </c>
      <c r="K12524" t="s">
        <v>42281</v>
      </c>
      <c r="M12524" t="s">
        <v>46106</v>
      </c>
      <c r="N12524" t="s">
        <v>46569</v>
      </c>
      <c r="O12524" t="s">
        <v>46570</v>
      </c>
      <c r="P12524">
        <v>0</v>
      </c>
      <c r="Q12524">
        <v>6</v>
      </c>
      <c r="R12524" t="s">
        <v>46581</v>
      </c>
      <c r="S12524" t="s">
        <v>47012</v>
      </c>
      <c r="T12524" t="s">
        <v>48467</v>
      </c>
      <c r="U12524" t="s">
        <v>58852</v>
      </c>
      <c r="W12524" t="s">
        <v>46106</v>
      </c>
      <c r="X12524" t="s">
        <v>46582</v>
      </c>
    </row>
    <row r="12525" spans="1:24">
      <c r="A12525">
        <f>HYPERLINK("https://www.philgeps.gov.ph/GEPSNONPILOT/Tender/SplashBidNoticeAbstractUI.aspx?menuIndex=3&amp;refID=7044279&amp;Result=3","7044279")</f>
        <v>0</v>
      </c>
      <c r="B12525" t="s">
        <v>3191</v>
      </c>
      <c r="C12525" t="s">
        <v>15419</v>
      </c>
      <c r="D12525" t="s">
        <v>18802</v>
      </c>
      <c r="E12525" t="s">
        <v>29650</v>
      </c>
      <c r="F12525" t="s">
        <v>32664</v>
      </c>
      <c r="G12525" t="s">
        <v>32672</v>
      </c>
      <c r="H12525" t="s">
        <v>32683</v>
      </c>
      <c r="I12525" t="s">
        <v>10627</v>
      </c>
      <c r="J12525" t="s">
        <v>40220</v>
      </c>
      <c r="K12525" t="s">
        <v>42486</v>
      </c>
      <c r="M12525" t="s">
        <v>46106</v>
      </c>
      <c r="N12525" t="s">
        <v>46569</v>
      </c>
      <c r="O12525" t="s">
        <v>46570</v>
      </c>
      <c r="P12525">
        <v>0</v>
      </c>
      <c r="Q12525">
        <v>0</v>
      </c>
      <c r="R12525" t="s">
        <v>46581</v>
      </c>
      <c r="S12525" t="s">
        <v>47012</v>
      </c>
      <c r="T12525" t="s">
        <v>48467</v>
      </c>
      <c r="U12525" t="s">
        <v>58853</v>
      </c>
      <c r="W12525" t="s">
        <v>46106</v>
      </c>
      <c r="X12525" t="s">
        <v>46582</v>
      </c>
    </row>
    <row r="12526" spans="1:24">
      <c r="A12526">
        <f>HYPERLINK("https://www.philgeps.gov.ph/GEPSNONPILOT/Tender/SplashBidNoticeAbstractUI.aspx?menuIndex=3&amp;refID=7044277&amp;Result=3","7044277")</f>
        <v>0</v>
      </c>
      <c r="B12526" t="s">
        <v>2380</v>
      </c>
      <c r="C12526" t="s">
        <v>15420</v>
      </c>
      <c r="D12526" t="s">
        <v>18787</v>
      </c>
      <c r="E12526" t="s">
        <v>29651</v>
      </c>
      <c r="F12526" t="s">
        <v>32664</v>
      </c>
      <c r="G12526" t="s">
        <v>32672</v>
      </c>
      <c r="H12526" t="s">
        <v>32683</v>
      </c>
      <c r="I12526" t="s">
        <v>10627</v>
      </c>
      <c r="J12526" t="s">
        <v>34022</v>
      </c>
      <c r="K12526" t="s">
        <v>42283</v>
      </c>
      <c r="M12526" t="s">
        <v>45168</v>
      </c>
      <c r="N12526" t="s">
        <v>46569</v>
      </c>
      <c r="O12526" t="s">
        <v>46570</v>
      </c>
      <c r="P12526">
        <v>0</v>
      </c>
      <c r="Q12526">
        <v>2</v>
      </c>
      <c r="R12526" t="s">
        <v>46581</v>
      </c>
      <c r="S12526" t="s">
        <v>47012</v>
      </c>
      <c r="T12526" t="s">
        <v>48284</v>
      </c>
      <c r="U12526" t="s">
        <v>58854</v>
      </c>
      <c r="W12526" t="s">
        <v>45168</v>
      </c>
      <c r="X12526" t="s">
        <v>46582</v>
      </c>
    </row>
    <row r="12527" spans="1:24">
      <c r="A12527">
        <f>HYPERLINK("https://www.philgeps.gov.ph/GEPSNONPILOT/Tender/SplashBidNoticeAbstractUI.aspx?menuIndex=3&amp;refID=7044275&amp;Result=3","7044275")</f>
        <v>0</v>
      </c>
      <c r="B12527" t="s">
        <v>2380</v>
      </c>
      <c r="C12527" t="s">
        <v>15421</v>
      </c>
      <c r="D12527" t="s">
        <v>18787</v>
      </c>
      <c r="E12527" t="s">
        <v>29652</v>
      </c>
      <c r="F12527" t="s">
        <v>32664</v>
      </c>
      <c r="G12527" t="s">
        <v>32672</v>
      </c>
      <c r="H12527" t="s">
        <v>32683</v>
      </c>
      <c r="I12527" t="s">
        <v>10627</v>
      </c>
      <c r="J12527" t="s">
        <v>40221</v>
      </c>
      <c r="K12527" t="s">
        <v>42283</v>
      </c>
      <c r="M12527" t="s">
        <v>45168</v>
      </c>
      <c r="N12527" t="s">
        <v>46569</v>
      </c>
      <c r="O12527" t="s">
        <v>46570</v>
      </c>
      <c r="P12527">
        <v>0</v>
      </c>
      <c r="Q12527">
        <v>0</v>
      </c>
      <c r="R12527" t="s">
        <v>46581</v>
      </c>
      <c r="S12527" t="s">
        <v>47012</v>
      </c>
      <c r="T12527" t="s">
        <v>48284</v>
      </c>
      <c r="U12527" t="s">
        <v>58855</v>
      </c>
      <c r="W12527" t="s">
        <v>45168</v>
      </c>
      <c r="X12527" t="s">
        <v>46582</v>
      </c>
    </row>
    <row r="12528" spans="1:24">
      <c r="A12528">
        <f>HYPERLINK("https://www.philgeps.gov.ph/GEPSNONPILOT/Tender/SplashBidNoticeAbstractUI.aspx?menuIndex=3&amp;refID=7043821&amp;Result=3","7043821")</f>
        <v>0</v>
      </c>
      <c r="B12528" t="s">
        <v>3207</v>
      </c>
      <c r="C12528" t="s">
        <v>12437</v>
      </c>
      <c r="D12528" t="s">
        <v>18802</v>
      </c>
      <c r="E12528" t="s">
        <v>19380</v>
      </c>
      <c r="F12528" t="s">
        <v>32664</v>
      </c>
      <c r="G12528" t="s">
        <v>32672</v>
      </c>
      <c r="H12528" t="s">
        <v>32683</v>
      </c>
      <c r="I12528" t="s">
        <v>4439</v>
      </c>
      <c r="J12528" t="s">
        <v>40222</v>
      </c>
      <c r="K12528" t="s">
        <v>42284</v>
      </c>
      <c r="M12528" t="s">
        <v>46125</v>
      </c>
      <c r="N12528" t="s">
        <v>46569</v>
      </c>
      <c r="O12528" t="s">
        <v>46570</v>
      </c>
      <c r="P12528">
        <v>0</v>
      </c>
      <c r="Q12528">
        <v>0</v>
      </c>
      <c r="R12528" t="s">
        <v>46582</v>
      </c>
      <c r="S12528" t="s">
        <v>47054</v>
      </c>
      <c r="T12528" t="s">
        <v>48285</v>
      </c>
      <c r="U12528" t="s">
        <v>58856</v>
      </c>
      <c r="W12528" t="s">
        <v>46125</v>
      </c>
      <c r="X12528" t="s">
        <v>46583</v>
      </c>
    </row>
    <row r="12529" spans="1:24">
      <c r="A12529">
        <f>HYPERLINK("https://www.philgeps.gov.ph/GEPSNONPILOT/Tender/SplashBidNoticeAbstractUI.aspx?menuIndex=3&amp;refID=7043803&amp;Result=3","7043803")</f>
        <v>0</v>
      </c>
      <c r="B12529" t="s">
        <v>2368</v>
      </c>
      <c r="C12529" t="s">
        <v>15422</v>
      </c>
      <c r="D12529" t="s">
        <v>18784</v>
      </c>
      <c r="E12529" t="s">
        <v>25752</v>
      </c>
      <c r="F12529" t="s">
        <v>32664</v>
      </c>
      <c r="G12529" t="s">
        <v>32672</v>
      </c>
      <c r="H12529" t="s">
        <v>32682</v>
      </c>
      <c r="I12529" t="s">
        <v>9486</v>
      </c>
      <c r="J12529" t="s">
        <v>34776</v>
      </c>
      <c r="K12529" t="s">
        <v>42281</v>
      </c>
      <c r="M12529" t="s">
        <v>45155</v>
      </c>
      <c r="N12529" t="s">
        <v>46569</v>
      </c>
      <c r="O12529" t="s">
        <v>46570</v>
      </c>
      <c r="P12529">
        <v>0</v>
      </c>
      <c r="Q12529">
        <v>5</v>
      </c>
      <c r="R12529" t="s">
        <v>46582</v>
      </c>
      <c r="S12529" t="s">
        <v>47054</v>
      </c>
      <c r="T12529" t="s">
        <v>48287</v>
      </c>
      <c r="U12529" t="s">
        <v>58857</v>
      </c>
      <c r="V12529" t="s">
        <v>62998</v>
      </c>
      <c r="W12529" t="s">
        <v>45155</v>
      </c>
      <c r="X12529" t="s">
        <v>46583</v>
      </c>
    </row>
    <row r="12530" spans="1:24">
      <c r="A12530">
        <f>HYPERLINK("https://www.philgeps.gov.ph/GEPSNONPILOT/Tender/SplashBidNoticeAbstractUI.aspx?menuIndex=3&amp;refID=6999393&amp;Result=3","6999393")</f>
        <v>0</v>
      </c>
      <c r="B12530" t="s">
        <v>256</v>
      </c>
      <c r="C12530" t="s">
        <v>15423</v>
      </c>
      <c r="E12530" t="s">
        <v>29653</v>
      </c>
      <c r="F12530" t="s">
        <v>32664</v>
      </c>
      <c r="G12530" t="s">
        <v>32672</v>
      </c>
      <c r="H12530" t="s">
        <v>12635</v>
      </c>
      <c r="I12530" t="s">
        <v>11464</v>
      </c>
      <c r="J12530" t="s">
        <v>40223</v>
      </c>
      <c r="K12530" t="s">
        <v>42290</v>
      </c>
      <c r="M12530" t="s">
        <v>46127</v>
      </c>
      <c r="N12530" t="s">
        <v>46569</v>
      </c>
      <c r="O12530" t="s">
        <v>46570</v>
      </c>
      <c r="P12530">
        <v>0</v>
      </c>
      <c r="Q12530">
        <v>16</v>
      </c>
      <c r="R12530" t="s">
        <v>46584</v>
      </c>
      <c r="S12530" t="s">
        <v>47063</v>
      </c>
      <c r="T12530" t="s">
        <v>48226</v>
      </c>
      <c r="U12530" t="s">
        <v>58858</v>
      </c>
      <c r="V12530" t="s">
        <v>62999</v>
      </c>
      <c r="W12530" t="s">
        <v>46127</v>
      </c>
      <c r="X12530" t="s">
        <v>63615</v>
      </c>
    </row>
    <row r="12531" spans="1:24">
      <c r="A12531">
        <f>HYPERLINK("https://www.philgeps.gov.ph/GEPSNONPILOT/Tender/SplashBidNoticeAbstractUI.aspx?menuIndex=3&amp;refID=7043246&amp;Result=3","7043246")</f>
        <v>0</v>
      </c>
      <c r="B12531" t="s">
        <v>3209</v>
      </c>
      <c r="C12531" t="s">
        <v>15424</v>
      </c>
      <c r="D12531" t="s">
        <v>18826</v>
      </c>
      <c r="E12531" t="s">
        <v>29654</v>
      </c>
      <c r="F12531" t="s">
        <v>32664</v>
      </c>
      <c r="G12531" t="s">
        <v>32673</v>
      </c>
      <c r="H12531" t="s">
        <v>32683</v>
      </c>
      <c r="I12531" t="s">
        <v>10627</v>
      </c>
      <c r="J12531" t="s">
        <v>38068</v>
      </c>
      <c r="K12531" t="s">
        <v>42311</v>
      </c>
      <c r="M12531" t="s">
        <v>46128</v>
      </c>
      <c r="N12531" t="s">
        <v>46569</v>
      </c>
      <c r="O12531" t="s">
        <v>46570</v>
      </c>
      <c r="P12531">
        <v>0</v>
      </c>
      <c r="Q12531">
        <v>88</v>
      </c>
      <c r="R12531" t="s">
        <v>46583</v>
      </c>
      <c r="S12531" t="s">
        <v>47060</v>
      </c>
      <c r="T12531" t="s">
        <v>48489</v>
      </c>
      <c r="U12531" t="s">
        <v>58859</v>
      </c>
      <c r="V12531" t="s">
        <v>63000</v>
      </c>
      <c r="W12531" t="s">
        <v>46128</v>
      </c>
      <c r="X12531" t="s">
        <v>46585</v>
      </c>
    </row>
    <row r="12532" spans="1:24">
      <c r="A12532">
        <f>HYPERLINK("https://www.philgeps.gov.ph/GEPSNONPILOT/Tender/SplashBidNoticeAbstractUI.aspx?menuIndex=3&amp;refID=7043654&amp;Result=3","7043654")</f>
        <v>0</v>
      </c>
      <c r="B12532" t="s">
        <v>3210</v>
      </c>
      <c r="C12532" t="s">
        <v>15425</v>
      </c>
      <c r="D12532" t="s">
        <v>18804</v>
      </c>
      <c r="E12532" t="s">
        <v>26791</v>
      </c>
      <c r="F12532" t="s">
        <v>32664</v>
      </c>
      <c r="G12532" t="s">
        <v>32672</v>
      </c>
      <c r="H12532" t="s">
        <v>32683</v>
      </c>
      <c r="I12532" t="s">
        <v>10627</v>
      </c>
      <c r="J12532" t="s">
        <v>40224</v>
      </c>
      <c r="K12532" t="s">
        <v>42327</v>
      </c>
      <c r="M12532" t="s">
        <v>46129</v>
      </c>
      <c r="N12532" t="s">
        <v>46569</v>
      </c>
      <c r="O12532" t="s">
        <v>46570</v>
      </c>
      <c r="P12532">
        <v>0</v>
      </c>
      <c r="Q12532">
        <v>1</v>
      </c>
      <c r="R12532" t="s">
        <v>46583</v>
      </c>
      <c r="S12532" t="s">
        <v>47060</v>
      </c>
      <c r="T12532" t="s">
        <v>48303</v>
      </c>
      <c r="U12532" t="s">
        <v>58860</v>
      </c>
      <c r="W12532" t="s">
        <v>46129</v>
      </c>
      <c r="X12532" t="s">
        <v>46584</v>
      </c>
    </row>
    <row r="12533" spans="1:24">
      <c r="A12533">
        <f>HYPERLINK("https://www.philgeps.gov.ph/GEPSNONPILOT/Tender/SplashBidNoticeAbstractUI.aspx?menuIndex=3&amp;refID=7043606&amp;Result=3","7043606")</f>
        <v>0</v>
      </c>
      <c r="B12533" t="s">
        <v>855</v>
      </c>
      <c r="C12533" t="s">
        <v>15426</v>
      </c>
      <c r="D12533" t="s">
        <v>18827</v>
      </c>
      <c r="E12533" t="s">
        <v>24020</v>
      </c>
      <c r="F12533" t="s">
        <v>32664</v>
      </c>
      <c r="G12533" t="s">
        <v>32672</v>
      </c>
      <c r="H12533" t="s">
        <v>32683</v>
      </c>
      <c r="I12533" t="s">
        <v>10627</v>
      </c>
      <c r="J12533" t="s">
        <v>40225</v>
      </c>
      <c r="K12533" t="s">
        <v>42311</v>
      </c>
      <c r="M12533" t="s">
        <v>43452</v>
      </c>
      <c r="N12533" t="s">
        <v>46569</v>
      </c>
      <c r="O12533" t="s">
        <v>46570</v>
      </c>
      <c r="P12533">
        <v>0</v>
      </c>
      <c r="Q12533">
        <v>1</v>
      </c>
      <c r="R12533" t="s">
        <v>46583</v>
      </c>
      <c r="S12533" t="s">
        <v>47060</v>
      </c>
      <c r="T12533" t="s">
        <v>48427</v>
      </c>
      <c r="U12533" t="s">
        <v>58861</v>
      </c>
      <c r="W12533" t="s">
        <v>43452</v>
      </c>
      <c r="X12533" t="s">
        <v>46584</v>
      </c>
    </row>
    <row r="12534" spans="1:24">
      <c r="A12534">
        <f>HYPERLINK("https://www.philgeps.gov.ph/GEPSNONPILOT/Tender/SplashBidNoticeAbstractUI.aspx?menuIndex=3&amp;refID=7043562&amp;Result=3","7043562")</f>
        <v>0</v>
      </c>
      <c r="B12534" t="s">
        <v>2418</v>
      </c>
      <c r="C12534" t="s">
        <v>15427</v>
      </c>
      <c r="D12534" t="s">
        <v>18784</v>
      </c>
      <c r="E12534" t="s">
        <v>29655</v>
      </c>
      <c r="F12534" t="s">
        <v>32664</v>
      </c>
      <c r="G12534" t="s">
        <v>32672</v>
      </c>
      <c r="H12534" t="s">
        <v>12635</v>
      </c>
      <c r="I12534" t="s">
        <v>4439</v>
      </c>
      <c r="J12534" t="s">
        <v>40226</v>
      </c>
      <c r="K12534" t="s">
        <v>42284</v>
      </c>
      <c r="M12534" t="s">
        <v>45209</v>
      </c>
      <c r="N12534" t="s">
        <v>46569</v>
      </c>
      <c r="O12534" t="s">
        <v>46570</v>
      </c>
      <c r="P12534">
        <v>0</v>
      </c>
      <c r="Q12534">
        <v>0</v>
      </c>
      <c r="R12534" t="s">
        <v>46583</v>
      </c>
      <c r="S12534" t="s">
        <v>47060</v>
      </c>
      <c r="T12534" t="s">
        <v>48223</v>
      </c>
      <c r="U12534" t="s">
        <v>55399</v>
      </c>
      <c r="W12534" t="s">
        <v>45209</v>
      </c>
      <c r="X12534" t="s">
        <v>46584</v>
      </c>
    </row>
    <row r="12535" spans="1:24">
      <c r="A12535">
        <f>HYPERLINK("https://www.philgeps.gov.ph/GEPSNONPILOT/Tender/SplashBidNoticeAbstractUI.aspx?menuIndex=3&amp;refID=7043550&amp;Result=3","7043550")</f>
        <v>0</v>
      </c>
      <c r="B12535" t="s">
        <v>2418</v>
      </c>
      <c r="C12535" t="s">
        <v>15428</v>
      </c>
      <c r="D12535" t="s">
        <v>18784</v>
      </c>
      <c r="E12535" t="s">
        <v>29656</v>
      </c>
      <c r="F12535" t="s">
        <v>32664</v>
      </c>
      <c r="G12535" t="s">
        <v>32672</v>
      </c>
      <c r="H12535" t="s">
        <v>12635</v>
      </c>
      <c r="I12535" t="s">
        <v>32690</v>
      </c>
      <c r="J12535" t="s">
        <v>40227</v>
      </c>
      <c r="K12535" t="s">
        <v>42284</v>
      </c>
      <c r="M12535" t="s">
        <v>45209</v>
      </c>
      <c r="N12535" t="s">
        <v>46569</v>
      </c>
      <c r="O12535" t="s">
        <v>46570</v>
      </c>
      <c r="P12535">
        <v>0</v>
      </c>
      <c r="Q12535">
        <v>1</v>
      </c>
      <c r="R12535" t="s">
        <v>46583</v>
      </c>
      <c r="S12535" t="s">
        <v>47060</v>
      </c>
      <c r="T12535" t="s">
        <v>48223</v>
      </c>
      <c r="U12535" t="s">
        <v>55399</v>
      </c>
      <c r="W12535" t="s">
        <v>45209</v>
      </c>
      <c r="X12535" t="s">
        <v>46584</v>
      </c>
    </row>
    <row r="12536" spans="1:24">
      <c r="A12536">
        <f>HYPERLINK("https://www.philgeps.gov.ph/GEPSNONPILOT/Tender/SplashBidNoticeAbstractUI.aspx?menuIndex=3&amp;refID=7043542&amp;Result=3","7043542")</f>
        <v>0</v>
      </c>
      <c r="B12536" t="s">
        <v>3029</v>
      </c>
      <c r="C12536" t="s">
        <v>15429</v>
      </c>
      <c r="D12536" t="s">
        <v>18786</v>
      </c>
      <c r="E12536" t="s">
        <v>29657</v>
      </c>
      <c r="F12536" t="s">
        <v>32664</v>
      </c>
      <c r="G12536" t="s">
        <v>32672</v>
      </c>
      <c r="H12536" t="s">
        <v>32683</v>
      </c>
      <c r="I12536" t="s">
        <v>10627</v>
      </c>
      <c r="J12536" t="s">
        <v>32865</v>
      </c>
      <c r="K12536" t="s">
        <v>42298</v>
      </c>
      <c r="M12536" t="s">
        <v>45902</v>
      </c>
      <c r="N12536" t="s">
        <v>46569</v>
      </c>
      <c r="O12536" t="s">
        <v>46570</v>
      </c>
      <c r="P12536">
        <v>0</v>
      </c>
      <c r="Q12536">
        <v>0</v>
      </c>
      <c r="R12536" t="s">
        <v>46583</v>
      </c>
      <c r="S12536" t="s">
        <v>47060</v>
      </c>
      <c r="T12536" t="s">
        <v>48228</v>
      </c>
      <c r="U12536" t="s">
        <v>58862</v>
      </c>
      <c r="W12536" t="s">
        <v>45902</v>
      </c>
      <c r="X12536" t="s">
        <v>46584</v>
      </c>
    </row>
    <row r="12537" spans="1:24">
      <c r="A12537">
        <f>HYPERLINK("https://www.philgeps.gov.ph/GEPSNONPILOT/Tender/SplashBidNoticeAbstractUI.aspx?menuIndex=3&amp;refID=7043649&amp;Result=3","7043649")</f>
        <v>0</v>
      </c>
      <c r="B12537" t="s">
        <v>3210</v>
      </c>
      <c r="C12537" t="s">
        <v>15430</v>
      </c>
      <c r="D12537" t="s">
        <v>18804</v>
      </c>
      <c r="E12537" t="s">
        <v>29658</v>
      </c>
      <c r="F12537" t="s">
        <v>32664</v>
      </c>
      <c r="G12537" t="s">
        <v>32672</v>
      </c>
      <c r="H12537" t="s">
        <v>32683</v>
      </c>
      <c r="I12537" t="s">
        <v>10627</v>
      </c>
      <c r="J12537" t="s">
        <v>40228</v>
      </c>
      <c r="K12537" t="s">
        <v>42285</v>
      </c>
      <c r="M12537" t="s">
        <v>46129</v>
      </c>
      <c r="N12537" t="s">
        <v>46569</v>
      </c>
      <c r="O12537" t="s">
        <v>46570</v>
      </c>
      <c r="P12537">
        <v>0</v>
      </c>
      <c r="Q12537">
        <v>1</v>
      </c>
      <c r="R12537" t="s">
        <v>46583</v>
      </c>
      <c r="S12537" t="s">
        <v>47060</v>
      </c>
      <c r="T12537" t="s">
        <v>48303</v>
      </c>
      <c r="U12537" t="s">
        <v>58863</v>
      </c>
      <c r="W12537" t="s">
        <v>46129</v>
      </c>
      <c r="X12537" t="s">
        <v>46584</v>
      </c>
    </row>
    <row r="12538" spans="1:24">
      <c r="A12538">
        <f>HYPERLINK("https://www.philgeps.gov.ph/GEPSNONPILOT/Tender/SplashBidNoticeAbstractUI.aspx?menuIndex=3&amp;refID=7043522&amp;Result=3","7043522")</f>
        <v>0</v>
      </c>
      <c r="B12538" t="s">
        <v>2418</v>
      </c>
      <c r="C12538" t="s">
        <v>15431</v>
      </c>
      <c r="D12538" t="s">
        <v>18784</v>
      </c>
      <c r="E12538" t="s">
        <v>29659</v>
      </c>
      <c r="F12538" t="s">
        <v>32664</v>
      </c>
      <c r="G12538" t="s">
        <v>32672</v>
      </c>
      <c r="H12538" t="s">
        <v>12635</v>
      </c>
      <c r="I12538" t="s">
        <v>6223</v>
      </c>
      <c r="J12538" t="s">
        <v>38469</v>
      </c>
      <c r="K12538" t="s">
        <v>42284</v>
      </c>
      <c r="M12538" t="s">
        <v>45209</v>
      </c>
      <c r="N12538" t="s">
        <v>46569</v>
      </c>
      <c r="O12538" t="s">
        <v>46570</v>
      </c>
      <c r="P12538">
        <v>0</v>
      </c>
      <c r="Q12538">
        <v>0</v>
      </c>
      <c r="R12538" t="s">
        <v>46583</v>
      </c>
      <c r="S12538" t="s">
        <v>47060</v>
      </c>
      <c r="T12538" t="s">
        <v>48223</v>
      </c>
      <c r="U12538" t="s">
        <v>58864</v>
      </c>
      <c r="W12538" t="s">
        <v>45209</v>
      </c>
      <c r="X12538" t="s">
        <v>46584</v>
      </c>
    </row>
    <row r="12539" spans="1:24">
      <c r="A12539">
        <f>HYPERLINK("https://www.philgeps.gov.ph/GEPSNONPILOT/Tender/SplashBidNoticeAbstractUI.aspx?menuIndex=3&amp;refID=7043566&amp;Result=3","7043566")</f>
        <v>0</v>
      </c>
      <c r="B12539" t="s">
        <v>2418</v>
      </c>
      <c r="C12539" t="s">
        <v>15432</v>
      </c>
      <c r="D12539" t="s">
        <v>18784</v>
      </c>
      <c r="E12539" t="s">
        <v>29660</v>
      </c>
      <c r="F12539" t="s">
        <v>32664</v>
      </c>
      <c r="G12539" t="s">
        <v>32672</v>
      </c>
      <c r="H12539" t="s">
        <v>12635</v>
      </c>
      <c r="I12539" t="s">
        <v>6223</v>
      </c>
      <c r="J12539" t="s">
        <v>40229</v>
      </c>
      <c r="K12539" t="s">
        <v>42284</v>
      </c>
      <c r="M12539" t="s">
        <v>45209</v>
      </c>
      <c r="N12539" t="s">
        <v>46569</v>
      </c>
      <c r="O12539" t="s">
        <v>46570</v>
      </c>
      <c r="P12539">
        <v>0</v>
      </c>
      <c r="Q12539">
        <v>0</v>
      </c>
      <c r="R12539" t="s">
        <v>46583</v>
      </c>
      <c r="S12539" t="s">
        <v>47060</v>
      </c>
      <c r="T12539" t="s">
        <v>48694</v>
      </c>
      <c r="U12539" t="s">
        <v>58865</v>
      </c>
      <c r="W12539" t="s">
        <v>45209</v>
      </c>
      <c r="X12539" t="s">
        <v>46584</v>
      </c>
    </row>
    <row r="12540" spans="1:24">
      <c r="A12540">
        <f>HYPERLINK("https://www.philgeps.gov.ph/GEPSNONPILOT/Tender/SplashBidNoticeAbstractUI.aspx?menuIndex=3&amp;refID=7043509&amp;Result=3","7043509")</f>
        <v>0</v>
      </c>
      <c r="B12540" t="s">
        <v>592</v>
      </c>
      <c r="C12540" t="s">
        <v>15433</v>
      </c>
      <c r="D12540" t="s">
        <v>18784</v>
      </c>
      <c r="E12540" t="s">
        <v>29661</v>
      </c>
      <c r="F12540" t="s">
        <v>32664</v>
      </c>
      <c r="G12540" t="s">
        <v>32675</v>
      </c>
      <c r="H12540" t="s">
        <v>12635</v>
      </c>
      <c r="I12540" t="s">
        <v>32741</v>
      </c>
      <c r="J12540" t="s">
        <v>33657</v>
      </c>
      <c r="K12540" t="s">
        <v>42303</v>
      </c>
      <c r="M12540" t="s">
        <v>43172</v>
      </c>
      <c r="N12540" t="s">
        <v>46569</v>
      </c>
      <c r="O12540" t="s">
        <v>46570</v>
      </c>
      <c r="Q12540">
        <v>8</v>
      </c>
      <c r="R12540" t="s">
        <v>46583</v>
      </c>
      <c r="S12540" t="s">
        <v>47064</v>
      </c>
      <c r="T12540" t="s">
        <v>48293</v>
      </c>
      <c r="U12540" t="s">
        <v>49886</v>
      </c>
      <c r="V12540" t="s">
        <v>63001</v>
      </c>
      <c r="W12540" t="s">
        <v>43172</v>
      </c>
      <c r="X12540" t="s">
        <v>46584</v>
      </c>
    </row>
    <row r="12541" spans="1:24">
      <c r="A12541">
        <f>HYPERLINK("https://www.philgeps.gov.ph/GEPSNONPILOT/Tender/SplashBidNoticeAbstractUI.aspx?menuIndex=3&amp;refID=7043304&amp;Result=3","7043304")</f>
        <v>0</v>
      </c>
      <c r="B12541" t="s">
        <v>3199</v>
      </c>
      <c r="C12541" t="s">
        <v>15434</v>
      </c>
      <c r="D12541" t="s">
        <v>18827</v>
      </c>
      <c r="E12541" t="s">
        <v>29662</v>
      </c>
      <c r="F12541" t="s">
        <v>32664</v>
      </c>
      <c r="G12541" t="s">
        <v>32678</v>
      </c>
      <c r="H12541" t="s">
        <v>32681</v>
      </c>
      <c r="I12541" t="s">
        <v>32681</v>
      </c>
      <c r="J12541" t="s">
        <v>40230</v>
      </c>
      <c r="K12541" t="s">
        <v>42349</v>
      </c>
      <c r="M12541" t="s">
        <v>46115</v>
      </c>
      <c r="N12541" t="s">
        <v>46569</v>
      </c>
      <c r="O12541" t="s">
        <v>46570</v>
      </c>
      <c r="P12541">
        <v>0</v>
      </c>
      <c r="Q12541">
        <v>8</v>
      </c>
      <c r="R12541" t="s">
        <v>46583</v>
      </c>
      <c r="S12541" t="s">
        <v>47060</v>
      </c>
      <c r="T12541" t="s">
        <v>48299</v>
      </c>
      <c r="U12541" t="s">
        <v>58866</v>
      </c>
      <c r="W12541" t="s">
        <v>46115</v>
      </c>
      <c r="X12541" t="s">
        <v>46584</v>
      </c>
    </row>
    <row r="12542" spans="1:24">
      <c r="A12542">
        <f>HYPERLINK("https://www.philgeps.gov.ph/GEPSNONPILOT/Tender/SplashBidNoticeAbstractUI.aspx?menuIndex=3&amp;refID=7044273&amp;Result=3","7044273")</f>
        <v>0</v>
      </c>
      <c r="B12542" t="s">
        <v>2380</v>
      </c>
      <c r="C12542" t="s">
        <v>15435</v>
      </c>
      <c r="D12542" t="s">
        <v>18787</v>
      </c>
      <c r="E12542" t="s">
        <v>29663</v>
      </c>
      <c r="F12542" t="s">
        <v>32664</v>
      </c>
      <c r="G12542" t="s">
        <v>32672</v>
      </c>
      <c r="H12542" t="s">
        <v>32683</v>
      </c>
      <c r="I12542" t="s">
        <v>10627</v>
      </c>
      <c r="J12542" t="s">
        <v>35358</v>
      </c>
      <c r="K12542" t="s">
        <v>42283</v>
      </c>
      <c r="M12542" t="s">
        <v>45168</v>
      </c>
      <c r="N12542" t="s">
        <v>46569</v>
      </c>
      <c r="O12542" t="s">
        <v>46570</v>
      </c>
      <c r="P12542">
        <v>0</v>
      </c>
      <c r="Q12542">
        <v>0</v>
      </c>
      <c r="R12542" t="s">
        <v>46581</v>
      </c>
      <c r="S12542" t="s">
        <v>47012</v>
      </c>
      <c r="T12542" t="s">
        <v>48284</v>
      </c>
      <c r="U12542" t="s">
        <v>58867</v>
      </c>
      <c r="W12542" t="s">
        <v>45168</v>
      </c>
      <c r="X12542" t="s">
        <v>46582</v>
      </c>
    </row>
    <row r="12543" spans="1:24">
      <c r="A12543">
        <f>HYPERLINK("https://www.philgeps.gov.ph/GEPSNONPILOT/Tender/SplashBidNoticeAbstractUI.aspx?menuIndex=3&amp;refID=7043486&amp;Result=3","7043486")</f>
        <v>0</v>
      </c>
      <c r="B12543" t="s">
        <v>3029</v>
      </c>
      <c r="C12543" t="s">
        <v>15436</v>
      </c>
      <c r="D12543" t="s">
        <v>18786</v>
      </c>
      <c r="E12543" t="s">
        <v>29664</v>
      </c>
      <c r="F12543" t="s">
        <v>32664</v>
      </c>
      <c r="G12543" t="s">
        <v>32672</v>
      </c>
      <c r="H12543" t="s">
        <v>32683</v>
      </c>
      <c r="I12543" t="s">
        <v>10627</v>
      </c>
      <c r="J12543" t="s">
        <v>40231</v>
      </c>
      <c r="K12543" t="s">
        <v>42298</v>
      </c>
      <c r="M12543" t="s">
        <v>45902</v>
      </c>
      <c r="N12543" t="s">
        <v>46569</v>
      </c>
      <c r="O12543" t="s">
        <v>46570</v>
      </c>
      <c r="P12543">
        <v>0</v>
      </c>
      <c r="Q12543">
        <v>0</v>
      </c>
      <c r="R12543" t="s">
        <v>46583</v>
      </c>
      <c r="S12543" t="s">
        <v>47060</v>
      </c>
      <c r="T12543" t="s">
        <v>48228</v>
      </c>
      <c r="U12543" t="s">
        <v>58868</v>
      </c>
      <c r="W12543" t="s">
        <v>45902</v>
      </c>
      <c r="X12543" t="s">
        <v>46584</v>
      </c>
    </row>
    <row r="12544" spans="1:24">
      <c r="A12544">
        <f>HYPERLINK("https://www.philgeps.gov.ph/GEPSNONPILOT/Tender/SplashBidNoticeAbstractUI.aspx?menuIndex=3&amp;refID=7043329&amp;Result=3","7043329")</f>
        <v>0</v>
      </c>
      <c r="B12544" t="s">
        <v>3211</v>
      </c>
      <c r="C12544" t="s">
        <v>15437</v>
      </c>
      <c r="D12544" t="s">
        <v>18784</v>
      </c>
      <c r="E12544" t="s">
        <v>29665</v>
      </c>
      <c r="F12544" t="s">
        <v>32664</v>
      </c>
      <c r="G12544" t="s">
        <v>32672</v>
      </c>
      <c r="H12544" t="s">
        <v>12635</v>
      </c>
      <c r="I12544" t="s">
        <v>6223</v>
      </c>
      <c r="J12544" t="s">
        <v>40232</v>
      </c>
      <c r="K12544" t="s">
        <v>42284</v>
      </c>
      <c r="M12544" t="s">
        <v>46130</v>
      </c>
      <c r="N12544" t="s">
        <v>46569</v>
      </c>
      <c r="O12544" t="s">
        <v>46570</v>
      </c>
      <c r="P12544">
        <v>0</v>
      </c>
      <c r="Q12544">
        <v>1</v>
      </c>
      <c r="R12544" t="s">
        <v>46583</v>
      </c>
      <c r="S12544" t="s">
        <v>47060</v>
      </c>
      <c r="T12544" t="s">
        <v>48244</v>
      </c>
      <c r="U12544" t="s">
        <v>58869</v>
      </c>
      <c r="W12544" t="s">
        <v>46130</v>
      </c>
      <c r="X12544" t="s">
        <v>46584</v>
      </c>
    </row>
    <row r="12545" spans="1:24">
      <c r="A12545">
        <f>HYPERLINK("https://www.philgeps.gov.ph/GEPSNONPILOT/Tender/SplashBidNoticeAbstractUI.aspx?menuIndex=3&amp;refID=7043325&amp;Result=3","7043325")</f>
        <v>0</v>
      </c>
      <c r="B12545" t="s">
        <v>3211</v>
      </c>
      <c r="C12545" t="s">
        <v>15438</v>
      </c>
      <c r="D12545" t="s">
        <v>18784</v>
      </c>
      <c r="E12545" t="s">
        <v>29666</v>
      </c>
      <c r="F12545" t="s">
        <v>32664</v>
      </c>
      <c r="G12545" t="s">
        <v>32672</v>
      </c>
      <c r="H12545" t="s">
        <v>32682</v>
      </c>
      <c r="I12545" t="s">
        <v>4439</v>
      </c>
      <c r="J12545" t="s">
        <v>40233</v>
      </c>
      <c r="K12545" t="s">
        <v>42284</v>
      </c>
      <c r="M12545" t="s">
        <v>46130</v>
      </c>
      <c r="N12545" t="s">
        <v>46569</v>
      </c>
      <c r="O12545" t="s">
        <v>46570</v>
      </c>
      <c r="P12545">
        <v>0</v>
      </c>
      <c r="Q12545">
        <v>1</v>
      </c>
      <c r="R12545" t="s">
        <v>46583</v>
      </c>
      <c r="S12545" t="s">
        <v>47060</v>
      </c>
      <c r="T12545" t="s">
        <v>48244</v>
      </c>
      <c r="U12545" t="s">
        <v>58870</v>
      </c>
      <c r="W12545" t="s">
        <v>46130</v>
      </c>
      <c r="X12545" t="s">
        <v>46584</v>
      </c>
    </row>
    <row r="12546" spans="1:24">
      <c r="A12546">
        <f>HYPERLINK("https://www.philgeps.gov.ph/GEPSNONPILOT/Tender/SplashBidNoticeAbstractUI.aspx?menuIndex=3&amp;refID=7043470&amp;Result=3","7043470")</f>
        <v>0</v>
      </c>
      <c r="B12546" t="s">
        <v>3212</v>
      </c>
      <c r="C12546" t="s">
        <v>15439</v>
      </c>
      <c r="D12546" t="s">
        <v>18834</v>
      </c>
      <c r="E12546" t="s">
        <v>15439</v>
      </c>
      <c r="F12546" t="s">
        <v>32664</v>
      </c>
      <c r="G12546" t="s">
        <v>32672</v>
      </c>
      <c r="H12546" t="s">
        <v>32683</v>
      </c>
      <c r="I12546" t="s">
        <v>10627</v>
      </c>
      <c r="J12546" t="s">
        <v>40234</v>
      </c>
      <c r="K12546" t="s">
        <v>42290</v>
      </c>
      <c r="M12546" t="s">
        <v>46131</v>
      </c>
      <c r="N12546" t="s">
        <v>46569</v>
      </c>
      <c r="O12546" t="s">
        <v>46570</v>
      </c>
      <c r="P12546">
        <v>0</v>
      </c>
      <c r="Q12546">
        <v>4</v>
      </c>
      <c r="R12546" t="s">
        <v>46583</v>
      </c>
      <c r="S12546" t="s">
        <v>47060</v>
      </c>
      <c r="T12546" t="s">
        <v>48303</v>
      </c>
      <c r="U12546" t="s">
        <v>58871</v>
      </c>
      <c r="W12546" t="s">
        <v>46131</v>
      </c>
      <c r="X12546" t="s">
        <v>46584</v>
      </c>
    </row>
    <row r="12547" spans="1:24">
      <c r="A12547">
        <f>HYPERLINK("https://www.philgeps.gov.ph/GEPSNONPILOT/Tender/SplashBidNoticeAbstractUI.aspx?menuIndex=3&amp;refID=7043447&amp;Result=3","7043447")</f>
        <v>0</v>
      </c>
      <c r="B12547" t="s">
        <v>2410</v>
      </c>
      <c r="C12547" t="s">
        <v>15440</v>
      </c>
      <c r="D12547" t="s">
        <v>18860</v>
      </c>
      <c r="E12547" t="s">
        <v>29667</v>
      </c>
      <c r="F12547" t="s">
        <v>32664</v>
      </c>
      <c r="G12547" t="s">
        <v>32672</v>
      </c>
      <c r="H12547" t="s">
        <v>32683</v>
      </c>
      <c r="I12547" t="s">
        <v>10627</v>
      </c>
      <c r="J12547" t="s">
        <v>40235</v>
      </c>
      <c r="K12547" t="s">
        <v>42312</v>
      </c>
      <c r="M12547" t="s">
        <v>45201</v>
      </c>
      <c r="N12547" t="s">
        <v>46569</v>
      </c>
      <c r="O12547" t="s">
        <v>46570</v>
      </c>
      <c r="Q12547">
        <v>0</v>
      </c>
      <c r="R12547" t="s">
        <v>46583</v>
      </c>
      <c r="S12547" t="s">
        <v>47065</v>
      </c>
      <c r="T12547" t="s">
        <v>48225</v>
      </c>
      <c r="U12547" t="s">
        <v>58872</v>
      </c>
      <c r="W12547" t="s">
        <v>45201</v>
      </c>
      <c r="X12547" t="s">
        <v>46584</v>
      </c>
    </row>
    <row r="12548" spans="1:24">
      <c r="A12548">
        <f>HYPERLINK("https://www.philgeps.gov.ph/GEPSNONPILOT/Tender/SplashBidNoticeAbstractUI.aspx?menuIndex=3&amp;refID=7043494&amp;Result=3","7043494")</f>
        <v>0</v>
      </c>
      <c r="B12548" t="s">
        <v>2418</v>
      </c>
      <c r="C12548" t="s">
        <v>9526</v>
      </c>
      <c r="D12548" t="s">
        <v>18784</v>
      </c>
      <c r="E12548" t="s">
        <v>29668</v>
      </c>
      <c r="F12548" t="s">
        <v>32664</v>
      </c>
      <c r="G12548" t="s">
        <v>32672</v>
      </c>
      <c r="H12548" t="s">
        <v>12635</v>
      </c>
      <c r="I12548" t="s">
        <v>7324</v>
      </c>
      <c r="J12548" t="s">
        <v>34439</v>
      </c>
      <c r="K12548" t="s">
        <v>42284</v>
      </c>
      <c r="M12548" t="s">
        <v>45209</v>
      </c>
      <c r="N12548" t="s">
        <v>46569</v>
      </c>
      <c r="O12548" t="s">
        <v>46570</v>
      </c>
      <c r="P12548">
        <v>0</v>
      </c>
      <c r="Q12548">
        <v>1</v>
      </c>
      <c r="R12548" t="s">
        <v>46583</v>
      </c>
      <c r="S12548" t="s">
        <v>47060</v>
      </c>
      <c r="T12548" t="s">
        <v>48223</v>
      </c>
      <c r="U12548" t="s">
        <v>58873</v>
      </c>
      <c r="W12548" t="s">
        <v>45209</v>
      </c>
      <c r="X12548" t="s">
        <v>46584</v>
      </c>
    </row>
    <row r="12549" spans="1:24">
      <c r="A12549">
        <f>HYPERLINK("https://www.philgeps.gov.ph/GEPSNONPILOT/Tender/SplashBidNoticeAbstractUI.aspx?menuIndex=3&amp;refID=7043437&amp;Result=3","7043437")</f>
        <v>0</v>
      </c>
      <c r="B12549" t="s">
        <v>2981</v>
      </c>
      <c r="C12549" t="s">
        <v>15441</v>
      </c>
      <c r="D12549" t="s">
        <v>18808</v>
      </c>
      <c r="E12549" t="s">
        <v>29669</v>
      </c>
      <c r="F12549" t="s">
        <v>32664</v>
      </c>
      <c r="G12549" t="s">
        <v>32672</v>
      </c>
      <c r="H12549" t="s">
        <v>32683</v>
      </c>
      <c r="I12549" t="s">
        <v>10627</v>
      </c>
      <c r="J12549" t="s">
        <v>40236</v>
      </c>
      <c r="K12549" t="s">
        <v>42315</v>
      </c>
      <c r="M12549" t="s">
        <v>45838</v>
      </c>
      <c r="N12549" t="s">
        <v>46569</v>
      </c>
      <c r="O12549" t="s">
        <v>46570</v>
      </c>
      <c r="P12549">
        <v>0</v>
      </c>
      <c r="Q12549">
        <v>0</v>
      </c>
      <c r="R12549" t="s">
        <v>46583</v>
      </c>
      <c r="S12549" t="s">
        <v>47060</v>
      </c>
      <c r="T12549" t="s">
        <v>48225</v>
      </c>
      <c r="U12549" t="s">
        <v>58874</v>
      </c>
      <c r="V12549" t="s">
        <v>63002</v>
      </c>
      <c r="W12549" t="s">
        <v>45838</v>
      </c>
      <c r="X12549" t="s">
        <v>46584</v>
      </c>
    </row>
    <row r="12550" spans="1:24">
      <c r="A12550">
        <f>HYPERLINK("https://www.philgeps.gov.ph/GEPSNONPILOT/Tender/SplashBidNoticeAbstractUI.aspx?menuIndex=3&amp;refID=7044227&amp;Result=3","7044227")</f>
        <v>0</v>
      </c>
      <c r="B12550" t="s">
        <v>2290</v>
      </c>
      <c r="C12550" t="s">
        <v>15442</v>
      </c>
      <c r="D12550" t="s">
        <v>18826</v>
      </c>
      <c r="E12550" t="s">
        <v>29670</v>
      </c>
      <c r="F12550" t="s">
        <v>32664</v>
      </c>
      <c r="G12550" t="s">
        <v>32672</v>
      </c>
      <c r="H12550" t="s">
        <v>12635</v>
      </c>
      <c r="I12550" t="s">
        <v>32699</v>
      </c>
      <c r="J12550" t="s">
        <v>40237</v>
      </c>
      <c r="K12550" t="s">
        <v>42298</v>
      </c>
      <c r="M12550" t="s">
        <v>45061</v>
      </c>
      <c r="N12550" t="s">
        <v>46569</v>
      </c>
      <c r="O12550" t="s">
        <v>46570</v>
      </c>
      <c r="P12550">
        <v>0</v>
      </c>
      <c r="Q12550">
        <v>3</v>
      </c>
      <c r="R12550" t="s">
        <v>46581</v>
      </c>
      <c r="S12550" t="s">
        <v>47012</v>
      </c>
      <c r="T12550" t="s">
        <v>48225</v>
      </c>
      <c r="U12550" t="s">
        <v>55822</v>
      </c>
      <c r="W12550" t="s">
        <v>45061</v>
      </c>
      <c r="X12550" t="s">
        <v>46582</v>
      </c>
    </row>
    <row r="12551" spans="1:24">
      <c r="A12551">
        <f>HYPERLINK("https://www.philgeps.gov.ph/GEPSNONPILOT/Tender/SplashBidNoticeAbstractUI.aspx?menuIndex=3&amp;refID=7043482&amp;Result=3","7043482")</f>
        <v>0</v>
      </c>
      <c r="B12551" t="s">
        <v>2418</v>
      </c>
      <c r="C12551" t="s">
        <v>15443</v>
      </c>
      <c r="D12551" t="s">
        <v>18784</v>
      </c>
      <c r="E12551" t="s">
        <v>29671</v>
      </c>
      <c r="F12551" t="s">
        <v>32664</v>
      </c>
      <c r="G12551" t="s">
        <v>32672</v>
      </c>
      <c r="H12551" t="s">
        <v>12635</v>
      </c>
      <c r="I12551" t="s">
        <v>6118</v>
      </c>
      <c r="J12551" t="s">
        <v>36412</v>
      </c>
      <c r="K12551" t="s">
        <v>42284</v>
      </c>
      <c r="M12551" t="s">
        <v>45209</v>
      </c>
      <c r="N12551" t="s">
        <v>46569</v>
      </c>
      <c r="O12551" t="s">
        <v>46570</v>
      </c>
      <c r="P12551">
        <v>0</v>
      </c>
      <c r="Q12551">
        <v>0</v>
      </c>
      <c r="R12551" t="s">
        <v>46583</v>
      </c>
      <c r="S12551" t="s">
        <v>47060</v>
      </c>
      <c r="T12551" t="s">
        <v>48223</v>
      </c>
      <c r="U12551" t="s">
        <v>58875</v>
      </c>
      <c r="W12551" t="s">
        <v>45209</v>
      </c>
      <c r="X12551" t="s">
        <v>46584</v>
      </c>
    </row>
    <row r="12552" spans="1:24">
      <c r="A12552">
        <f>HYPERLINK("https://www.philgeps.gov.ph/GEPSNONPILOT/Tender/SplashBidNoticeAbstractUI.aspx?menuIndex=3&amp;refID=7044226&amp;Result=3","7044226")</f>
        <v>0</v>
      </c>
      <c r="B12552" t="s">
        <v>2386</v>
      </c>
      <c r="C12552" t="s">
        <v>15444</v>
      </c>
      <c r="D12552" t="s">
        <v>18835</v>
      </c>
      <c r="E12552" t="s">
        <v>29672</v>
      </c>
      <c r="F12552" t="s">
        <v>32664</v>
      </c>
      <c r="G12552" t="s">
        <v>32672</v>
      </c>
      <c r="H12552" t="s">
        <v>12635</v>
      </c>
      <c r="I12552" t="s">
        <v>32688</v>
      </c>
      <c r="J12552" t="s">
        <v>40238</v>
      </c>
      <c r="K12552" t="s">
        <v>42289</v>
      </c>
      <c r="M12552" t="s">
        <v>45176</v>
      </c>
      <c r="N12552" t="s">
        <v>46569</v>
      </c>
      <c r="O12552" t="s">
        <v>46570</v>
      </c>
      <c r="P12552">
        <v>0</v>
      </c>
      <c r="Q12552">
        <v>3</v>
      </c>
      <c r="R12552" t="s">
        <v>46581</v>
      </c>
      <c r="S12552" t="s">
        <v>47012</v>
      </c>
      <c r="T12552" t="s">
        <v>48467</v>
      </c>
      <c r="U12552" t="s">
        <v>58876</v>
      </c>
      <c r="W12552" t="s">
        <v>45176</v>
      </c>
      <c r="X12552" t="s">
        <v>46582</v>
      </c>
    </row>
    <row r="12553" spans="1:24">
      <c r="A12553">
        <f>HYPERLINK("https://www.philgeps.gov.ph/GEPSNONPILOT/Tender/SplashBidNoticeAbstractUI.aspx?menuIndex=3&amp;refID=7044221&amp;Result=3","7044221")</f>
        <v>0</v>
      </c>
      <c r="B12553" t="s">
        <v>940</v>
      </c>
      <c r="C12553" t="s">
        <v>15445</v>
      </c>
      <c r="D12553" t="s">
        <v>18784</v>
      </c>
      <c r="E12553" t="s">
        <v>29673</v>
      </c>
      <c r="F12553" t="s">
        <v>32664</v>
      </c>
      <c r="G12553" t="s">
        <v>32672</v>
      </c>
      <c r="H12553" t="s">
        <v>12635</v>
      </c>
      <c r="I12553" t="s">
        <v>5589</v>
      </c>
      <c r="J12553" t="s">
        <v>38781</v>
      </c>
      <c r="K12553" t="s">
        <v>42283</v>
      </c>
      <c r="M12553" t="s">
        <v>46132</v>
      </c>
      <c r="N12553" t="s">
        <v>46569</v>
      </c>
      <c r="O12553" t="s">
        <v>46570</v>
      </c>
      <c r="P12553">
        <v>0</v>
      </c>
      <c r="Q12553">
        <v>12</v>
      </c>
      <c r="R12553" t="s">
        <v>46581</v>
      </c>
      <c r="S12553" t="s">
        <v>47012</v>
      </c>
      <c r="T12553" t="s">
        <v>48571</v>
      </c>
      <c r="U12553" t="s">
        <v>58836</v>
      </c>
      <c r="V12553" t="s">
        <v>63003</v>
      </c>
      <c r="W12553" t="s">
        <v>46132</v>
      </c>
      <c r="X12553" t="s">
        <v>46582</v>
      </c>
    </row>
    <row r="12554" spans="1:24">
      <c r="A12554">
        <f>HYPERLINK("https://www.philgeps.gov.ph/GEPSNONPILOT/Tender/SplashBidNoticeAbstractUI.aspx?menuIndex=3&amp;refID=7044215&amp;Result=3","7044215")</f>
        <v>0</v>
      </c>
      <c r="B12554" t="s">
        <v>3213</v>
      </c>
      <c r="C12554" t="s">
        <v>15446</v>
      </c>
      <c r="D12554" t="s">
        <v>18844</v>
      </c>
      <c r="E12554" t="s">
        <v>29674</v>
      </c>
      <c r="F12554" t="s">
        <v>32664</v>
      </c>
      <c r="G12554" t="s">
        <v>32672</v>
      </c>
      <c r="H12554" t="s">
        <v>12635</v>
      </c>
      <c r="I12554" t="s">
        <v>32706</v>
      </c>
      <c r="J12554" t="s">
        <v>40239</v>
      </c>
      <c r="K12554" t="s">
        <v>42281</v>
      </c>
      <c r="M12554" t="s">
        <v>46133</v>
      </c>
      <c r="N12554" t="s">
        <v>46569</v>
      </c>
      <c r="O12554" t="s">
        <v>46570</v>
      </c>
      <c r="Q12554">
        <v>0</v>
      </c>
      <c r="R12554" t="s">
        <v>46581</v>
      </c>
      <c r="S12554" t="s">
        <v>47066</v>
      </c>
      <c r="T12554" t="s">
        <v>48501</v>
      </c>
      <c r="U12554" t="s">
        <v>58877</v>
      </c>
      <c r="W12554" t="s">
        <v>46133</v>
      </c>
      <c r="X12554" t="s">
        <v>46582</v>
      </c>
    </row>
    <row r="12555" spans="1:24">
      <c r="A12555">
        <f>HYPERLINK("https://www.philgeps.gov.ph/GEPSNONPILOT/Tender/SplashBidNoticeAbstractUI.aspx?menuIndex=3&amp;refID=7043455&amp;Result=3","7043455")</f>
        <v>0</v>
      </c>
      <c r="B12555" t="s">
        <v>2410</v>
      </c>
      <c r="C12555" t="s">
        <v>15447</v>
      </c>
      <c r="D12555" t="s">
        <v>18860</v>
      </c>
      <c r="E12555" t="s">
        <v>29675</v>
      </c>
      <c r="F12555" t="s">
        <v>32664</v>
      </c>
      <c r="G12555" t="s">
        <v>32672</v>
      </c>
      <c r="H12555" t="s">
        <v>32683</v>
      </c>
      <c r="I12555" t="s">
        <v>10627</v>
      </c>
      <c r="J12555" t="s">
        <v>40240</v>
      </c>
      <c r="K12555" t="s">
        <v>42397</v>
      </c>
      <c r="M12555" t="s">
        <v>45201</v>
      </c>
      <c r="N12555" t="s">
        <v>46569</v>
      </c>
      <c r="O12555" t="s">
        <v>46570</v>
      </c>
      <c r="Q12555">
        <v>0</v>
      </c>
      <c r="R12555" t="s">
        <v>46583</v>
      </c>
      <c r="S12555" t="s">
        <v>47067</v>
      </c>
      <c r="T12555" t="s">
        <v>48245</v>
      </c>
      <c r="U12555" t="s">
        <v>55410</v>
      </c>
      <c r="W12555" t="s">
        <v>45201</v>
      </c>
      <c r="X12555" t="s">
        <v>46584</v>
      </c>
    </row>
    <row r="12556" spans="1:24">
      <c r="A12556">
        <f>HYPERLINK("https://www.philgeps.gov.ph/GEPSNONPILOT/Tender/SplashBidNoticeAbstractUI.aspx?menuIndex=3&amp;refID=7043441&amp;Result=3","7043441")</f>
        <v>0</v>
      </c>
      <c r="B12556" t="s">
        <v>2981</v>
      </c>
      <c r="C12556" t="s">
        <v>15448</v>
      </c>
      <c r="D12556" t="s">
        <v>18808</v>
      </c>
      <c r="E12556" t="s">
        <v>29676</v>
      </c>
      <c r="F12556" t="s">
        <v>32664</v>
      </c>
      <c r="G12556" t="s">
        <v>32672</v>
      </c>
      <c r="H12556" t="s">
        <v>32683</v>
      </c>
      <c r="I12556" t="s">
        <v>10627</v>
      </c>
      <c r="J12556" t="s">
        <v>40241</v>
      </c>
      <c r="K12556" t="s">
        <v>42400</v>
      </c>
      <c r="M12556" t="s">
        <v>45838</v>
      </c>
      <c r="N12556" t="s">
        <v>46569</v>
      </c>
      <c r="O12556" t="s">
        <v>46570</v>
      </c>
      <c r="P12556">
        <v>0</v>
      </c>
      <c r="Q12556">
        <v>0</v>
      </c>
      <c r="R12556" t="s">
        <v>46583</v>
      </c>
      <c r="S12556" t="s">
        <v>47060</v>
      </c>
      <c r="T12556" t="s">
        <v>48225</v>
      </c>
      <c r="U12556" t="s">
        <v>58878</v>
      </c>
      <c r="V12556" t="s">
        <v>63004</v>
      </c>
      <c r="W12556" t="s">
        <v>45838</v>
      </c>
      <c r="X12556" t="s">
        <v>46584</v>
      </c>
    </row>
    <row r="12557" spans="1:24">
      <c r="A12557">
        <f>HYPERLINK("https://www.philgeps.gov.ph/GEPSNONPILOT/Tender/SplashBidNoticeAbstractUI.aspx?menuIndex=3&amp;refID=7043479&amp;Result=3","7043479")</f>
        <v>0</v>
      </c>
      <c r="B12557" t="s">
        <v>3029</v>
      </c>
      <c r="C12557" t="s">
        <v>15449</v>
      </c>
      <c r="D12557" t="s">
        <v>18786</v>
      </c>
      <c r="E12557" t="s">
        <v>29677</v>
      </c>
      <c r="F12557" t="s">
        <v>32664</v>
      </c>
      <c r="G12557" t="s">
        <v>32672</v>
      </c>
      <c r="H12557" t="s">
        <v>32683</v>
      </c>
      <c r="I12557" t="s">
        <v>10627</v>
      </c>
      <c r="J12557" t="s">
        <v>33267</v>
      </c>
      <c r="K12557" t="s">
        <v>42298</v>
      </c>
      <c r="M12557" t="s">
        <v>45902</v>
      </c>
      <c r="N12557" t="s">
        <v>46569</v>
      </c>
      <c r="O12557" t="s">
        <v>46570</v>
      </c>
      <c r="P12557">
        <v>0</v>
      </c>
      <c r="Q12557">
        <v>0</v>
      </c>
      <c r="R12557" t="s">
        <v>46583</v>
      </c>
      <c r="S12557" t="s">
        <v>47060</v>
      </c>
      <c r="T12557" t="s">
        <v>48228</v>
      </c>
      <c r="U12557" t="s">
        <v>58879</v>
      </c>
      <c r="W12557" t="s">
        <v>45902</v>
      </c>
      <c r="X12557" t="s">
        <v>46584</v>
      </c>
    </row>
    <row r="12558" spans="1:24">
      <c r="A12558">
        <f>HYPERLINK("https://www.philgeps.gov.ph/GEPSNONPILOT/Tender/SplashBidNoticeAbstractUI.aspx?menuIndex=3&amp;refID=7044015&amp;Result=3","7044015")</f>
        <v>0</v>
      </c>
      <c r="B12558" t="s">
        <v>3167</v>
      </c>
      <c r="C12558" t="s">
        <v>15450</v>
      </c>
      <c r="D12558" t="s">
        <v>18796</v>
      </c>
      <c r="E12558" t="s">
        <v>29678</v>
      </c>
      <c r="F12558" t="s">
        <v>32664</v>
      </c>
      <c r="G12558" t="s">
        <v>32672</v>
      </c>
      <c r="H12558" t="s">
        <v>32683</v>
      </c>
      <c r="I12558" t="s">
        <v>6553</v>
      </c>
      <c r="J12558" t="s">
        <v>40242</v>
      </c>
      <c r="K12558" t="s">
        <v>42290</v>
      </c>
      <c r="M12558" t="s">
        <v>46072</v>
      </c>
      <c r="N12558" t="s">
        <v>46569</v>
      </c>
      <c r="O12558" t="s">
        <v>46570</v>
      </c>
      <c r="P12558">
        <v>0</v>
      </c>
      <c r="Q12558">
        <v>2</v>
      </c>
      <c r="R12558" t="s">
        <v>46581</v>
      </c>
      <c r="S12558" t="s">
        <v>47012</v>
      </c>
      <c r="T12558" t="s">
        <v>48303</v>
      </c>
      <c r="U12558" t="s">
        <v>58880</v>
      </c>
      <c r="V12558" t="s">
        <v>62958</v>
      </c>
      <c r="W12558" t="s">
        <v>46072</v>
      </c>
      <c r="X12558" t="s">
        <v>46582</v>
      </c>
    </row>
    <row r="12559" spans="1:24">
      <c r="A12559">
        <f>HYPERLINK("https://www.philgeps.gov.ph/GEPSNONPILOT/Tender/SplashBidNoticeAbstractUI.aspx?menuIndex=3&amp;refID=7044234&amp;Result=3","7044234")</f>
        <v>0</v>
      </c>
      <c r="B12559" t="s">
        <v>3194</v>
      </c>
      <c r="C12559" t="s">
        <v>15451</v>
      </c>
      <c r="D12559" t="s">
        <v>18784</v>
      </c>
      <c r="E12559" t="s">
        <v>18889</v>
      </c>
      <c r="F12559" t="s">
        <v>32664</v>
      </c>
      <c r="G12559" t="s">
        <v>32672</v>
      </c>
      <c r="H12559" t="s">
        <v>32682</v>
      </c>
      <c r="I12559" t="s">
        <v>32740</v>
      </c>
      <c r="J12559" t="s">
        <v>40243</v>
      </c>
      <c r="K12559" t="s">
        <v>42334</v>
      </c>
      <c r="M12559" t="s">
        <v>46109</v>
      </c>
      <c r="N12559" t="s">
        <v>46569</v>
      </c>
      <c r="O12559" t="s">
        <v>46570</v>
      </c>
      <c r="P12559">
        <v>0</v>
      </c>
      <c r="Q12559">
        <v>11</v>
      </c>
      <c r="R12559" t="s">
        <v>46581</v>
      </c>
      <c r="S12559" t="s">
        <v>47012</v>
      </c>
      <c r="T12559" t="s">
        <v>48284</v>
      </c>
      <c r="U12559" t="s">
        <v>58881</v>
      </c>
      <c r="V12559" t="s">
        <v>62983</v>
      </c>
      <c r="W12559" t="s">
        <v>46109</v>
      </c>
      <c r="X12559" t="s">
        <v>46582</v>
      </c>
    </row>
    <row r="12560" spans="1:24">
      <c r="A12560">
        <f>HYPERLINK("https://www.philgeps.gov.ph/GEPSNONPILOT/Tender/SplashBidNoticeAbstractUI.aspx?menuIndex=3&amp;refID=7040420&amp;Result=3","7040420")</f>
        <v>0</v>
      </c>
      <c r="B12560" t="s">
        <v>3214</v>
      </c>
      <c r="C12560" t="s">
        <v>15452</v>
      </c>
      <c r="D12560" t="s">
        <v>18827</v>
      </c>
      <c r="E12560" t="s">
        <v>29679</v>
      </c>
      <c r="F12560" t="s">
        <v>32664</v>
      </c>
      <c r="G12560" t="s">
        <v>32672</v>
      </c>
      <c r="H12560" t="s">
        <v>32683</v>
      </c>
      <c r="I12560" t="s">
        <v>10627</v>
      </c>
      <c r="J12560" t="s">
        <v>40244</v>
      </c>
      <c r="K12560" t="s">
        <v>42283</v>
      </c>
      <c r="M12560" t="s">
        <v>46134</v>
      </c>
      <c r="N12560" t="s">
        <v>46569</v>
      </c>
      <c r="O12560" t="s">
        <v>46570</v>
      </c>
      <c r="P12560">
        <v>0</v>
      </c>
      <c r="Q12560">
        <v>1</v>
      </c>
      <c r="R12560" t="s">
        <v>46584</v>
      </c>
      <c r="S12560" t="s">
        <v>47063</v>
      </c>
      <c r="T12560" t="s">
        <v>48248</v>
      </c>
      <c r="U12560" t="s">
        <v>58882</v>
      </c>
      <c r="W12560" t="s">
        <v>46134</v>
      </c>
      <c r="X12560" t="s">
        <v>46586</v>
      </c>
    </row>
    <row r="12561" spans="1:24">
      <c r="A12561">
        <f>HYPERLINK("https://www.philgeps.gov.ph/GEPSNONPILOT/Tender/SplashBidNoticeAbstractUI.aspx?menuIndex=3&amp;refID=7040358&amp;Result=3","7040358")</f>
        <v>0</v>
      </c>
      <c r="B12561" t="s">
        <v>3214</v>
      </c>
      <c r="C12561" t="s">
        <v>15453</v>
      </c>
      <c r="D12561" t="s">
        <v>18827</v>
      </c>
      <c r="E12561" t="s">
        <v>29680</v>
      </c>
      <c r="F12561" t="s">
        <v>32664</v>
      </c>
      <c r="G12561" t="s">
        <v>32672</v>
      </c>
      <c r="H12561" t="s">
        <v>32683</v>
      </c>
      <c r="I12561" t="s">
        <v>10627</v>
      </c>
      <c r="J12561" t="s">
        <v>40245</v>
      </c>
      <c r="K12561" t="s">
        <v>42283</v>
      </c>
      <c r="M12561" t="s">
        <v>46134</v>
      </c>
      <c r="N12561" t="s">
        <v>46569</v>
      </c>
      <c r="O12561" t="s">
        <v>46570</v>
      </c>
      <c r="P12561">
        <v>0</v>
      </c>
      <c r="Q12561">
        <v>2</v>
      </c>
      <c r="R12561" t="s">
        <v>46584</v>
      </c>
      <c r="S12561" t="s">
        <v>47063</v>
      </c>
      <c r="T12561" t="s">
        <v>48248</v>
      </c>
      <c r="U12561" t="s">
        <v>58883</v>
      </c>
      <c r="W12561" t="s">
        <v>46134</v>
      </c>
      <c r="X12561" t="s">
        <v>46586</v>
      </c>
    </row>
    <row r="12562" spans="1:24">
      <c r="A12562">
        <f>HYPERLINK("https://www.philgeps.gov.ph/GEPSNONPILOT/Tender/SplashBidNoticeAbstractUI.aspx?menuIndex=3&amp;refID=7043539&amp;Result=3","7043539")</f>
        <v>0</v>
      </c>
      <c r="B12562" t="s">
        <v>2418</v>
      </c>
      <c r="C12562" t="s">
        <v>15454</v>
      </c>
      <c r="D12562" t="s">
        <v>18784</v>
      </c>
      <c r="E12562" t="s">
        <v>29681</v>
      </c>
      <c r="F12562" t="s">
        <v>32664</v>
      </c>
      <c r="G12562" t="s">
        <v>32672</v>
      </c>
      <c r="H12562" t="s">
        <v>12635</v>
      </c>
      <c r="I12562" t="s">
        <v>32690</v>
      </c>
      <c r="J12562" t="s">
        <v>33334</v>
      </c>
      <c r="K12562" t="s">
        <v>42284</v>
      </c>
      <c r="M12562" t="s">
        <v>45209</v>
      </c>
      <c r="N12562" t="s">
        <v>46569</v>
      </c>
      <c r="O12562" t="s">
        <v>46570</v>
      </c>
      <c r="P12562">
        <v>0</v>
      </c>
      <c r="Q12562">
        <v>0</v>
      </c>
      <c r="R12562" t="s">
        <v>46583</v>
      </c>
      <c r="S12562" t="s">
        <v>47060</v>
      </c>
      <c r="T12562" t="s">
        <v>48694</v>
      </c>
      <c r="U12562" t="s">
        <v>58884</v>
      </c>
      <c r="W12562" t="s">
        <v>45209</v>
      </c>
      <c r="X12562" t="s">
        <v>46584</v>
      </c>
    </row>
    <row r="12563" spans="1:24">
      <c r="A12563">
        <f>HYPERLINK("https://www.philgeps.gov.ph/GEPSNONPILOT/Tender/SplashBidNoticeAbstractUI.aspx?menuIndex=3&amp;refID=7040178&amp;Result=3","7040178")</f>
        <v>0</v>
      </c>
      <c r="B12563" t="s">
        <v>2837</v>
      </c>
      <c r="C12563" t="s">
        <v>15455</v>
      </c>
      <c r="D12563" t="s">
        <v>18824</v>
      </c>
      <c r="E12563" t="s">
        <v>29682</v>
      </c>
      <c r="F12563" t="s">
        <v>32664</v>
      </c>
      <c r="G12563" t="s">
        <v>32672</v>
      </c>
      <c r="H12563" t="s">
        <v>32683</v>
      </c>
      <c r="I12563" t="s">
        <v>14442</v>
      </c>
      <c r="J12563" t="s">
        <v>40246</v>
      </c>
      <c r="K12563" t="s">
        <v>42290</v>
      </c>
      <c r="M12563" t="s">
        <v>45682</v>
      </c>
      <c r="N12563" t="s">
        <v>46569</v>
      </c>
      <c r="O12563" t="s">
        <v>46570</v>
      </c>
      <c r="P12563">
        <v>0</v>
      </c>
      <c r="Q12563">
        <v>4</v>
      </c>
      <c r="R12563" t="s">
        <v>46584</v>
      </c>
      <c r="S12563" t="s">
        <v>47063</v>
      </c>
      <c r="T12563" t="s">
        <v>48267</v>
      </c>
      <c r="U12563" t="s">
        <v>58885</v>
      </c>
      <c r="V12563" t="s">
        <v>63005</v>
      </c>
      <c r="W12563" t="s">
        <v>45682</v>
      </c>
      <c r="X12563" t="s">
        <v>46586</v>
      </c>
    </row>
    <row r="12564" spans="1:24">
      <c r="A12564">
        <f>HYPERLINK("https://www.philgeps.gov.ph/GEPSNONPILOT/Tender/SplashBidNoticeAbstractUI.aspx?menuIndex=3&amp;refID=7040105&amp;Result=3","7040105")</f>
        <v>0</v>
      </c>
      <c r="B12564" t="s">
        <v>244</v>
      </c>
      <c r="C12564" t="s">
        <v>15456</v>
      </c>
      <c r="D12564" t="s">
        <v>18804</v>
      </c>
      <c r="E12564" t="s">
        <v>29683</v>
      </c>
      <c r="F12564" t="s">
        <v>32664</v>
      </c>
      <c r="G12564" t="s">
        <v>32672</v>
      </c>
      <c r="H12564" t="s">
        <v>12635</v>
      </c>
      <c r="I12564" t="s">
        <v>32717</v>
      </c>
      <c r="J12564" t="s">
        <v>33150</v>
      </c>
      <c r="K12564" t="s">
        <v>42281</v>
      </c>
      <c r="M12564" t="s">
        <v>42809</v>
      </c>
      <c r="N12564" t="s">
        <v>46569</v>
      </c>
      <c r="O12564" t="s">
        <v>46570</v>
      </c>
      <c r="Q12564">
        <v>12</v>
      </c>
      <c r="R12564" t="s">
        <v>46584</v>
      </c>
      <c r="S12564" t="s">
        <v>47068</v>
      </c>
      <c r="T12564" t="s">
        <v>48343</v>
      </c>
      <c r="U12564" t="s">
        <v>58297</v>
      </c>
      <c r="W12564" t="s">
        <v>42809</v>
      </c>
      <c r="X12564" t="s">
        <v>46586</v>
      </c>
    </row>
    <row r="12565" spans="1:24">
      <c r="A12565">
        <f>HYPERLINK("https://www.philgeps.gov.ph/GEPSNONPILOT/Tender/SplashBidNoticeAbstractUI.aspx?menuIndex=3&amp;refID=7040033&amp;Result=3","7040033")</f>
        <v>0</v>
      </c>
      <c r="B12565" t="s">
        <v>244</v>
      </c>
      <c r="C12565" t="s">
        <v>15457</v>
      </c>
      <c r="D12565" t="s">
        <v>18804</v>
      </c>
      <c r="E12565" t="s">
        <v>29684</v>
      </c>
      <c r="F12565" t="s">
        <v>32664</v>
      </c>
      <c r="G12565" t="s">
        <v>32672</v>
      </c>
      <c r="H12565" t="s">
        <v>12635</v>
      </c>
      <c r="I12565" t="s">
        <v>32704</v>
      </c>
      <c r="J12565" t="s">
        <v>38235</v>
      </c>
      <c r="K12565" t="s">
        <v>42281</v>
      </c>
      <c r="M12565" t="s">
        <v>42809</v>
      </c>
      <c r="N12565" t="s">
        <v>46569</v>
      </c>
      <c r="O12565" t="s">
        <v>46570</v>
      </c>
      <c r="Q12565">
        <v>27</v>
      </c>
      <c r="R12565" t="s">
        <v>46584</v>
      </c>
      <c r="S12565" t="s">
        <v>47069</v>
      </c>
      <c r="T12565" t="s">
        <v>48343</v>
      </c>
      <c r="U12565" t="s">
        <v>58297</v>
      </c>
      <c r="W12565" t="s">
        <v>42809</v>
      </c>
      <c r="X12565" t="s">
        <v>46586</v>
      </c>
    </row>
    <row r="12566" spans="1:24">
      <c r="A12566">
        <f>HYPERLINK("https://www.philgeps.gov.ph/GEPSNONPILOT/Tender/SplashBidNoticeAbstractUI.aspx?menuIndex=3&amp;refID=7039846&amp;Result=3","7039846")</f>
        <v>0</v>
      </c>
      <c r="B12566" t="s">
        <v>193</v>
      </c>
      <c r="C12566" t="s">
        <v>15458</v>
      </c>
      <c r="D12566" t="s">
        <v>18783</v>
      </c>
      <c r="E12566" t="s">
        <v>29685</v>
      </c>
      <c r="F12566" t="s">
        <v>32664</v>
      </c>
      <c r="G12566" t="s">
        <v>32672</v>
      </c>
      <c r="H12566" t="s">
        <v>12635</v>
      </c>
      <c r="I12566" t="s">
        <v>6628</v>
      </c>
      <c r="J12566" t="s">
        <v>40247</v>
      </c>
      <c r="K12566" t="s">
        <v>42281</v>
      </c>
      <c r="M12566" t="s">
        <v>42757</v>
      </c>
      <c r="N12566" t="s">
        <v>46569</v>
      </c>
      <c r="O12566" t="s">
        <v>46570</v>
      </c>
      <c r="Q12566">
        <v>4</v>
      </c>
      <c r="R12566" t="s">
        <v>46584</v>
      </c>
      <c r="S12566" t="s">
        <v>47070</v>
      </c>
      <c r="T12566" t="s">
        <v>48303</v>
      </c>
      <c r="U12566" t="s">
        <v>58886</v>
      </c>
      <c r="W12566" t="s">
        <v>42757</v>
      </c>
      <c r="X12566" t="s">
        <v>46586</v>
      </c>
    </row>
    <row r="12567" spans="1:24">
      <c r="A12567">
        <f>HYPERLINK("https://www.philgeps.gov.ph/GEPSNONPILOT/Tender/SplashBidNoticeAbstractUI.aspx?menuIndex=3&amp;refID=7039602&amp;Result=3","7039602")</f>
        <v>0</v>
      </c>
      <c r="B12567" t="s">
        <v>193</v>
      </c>
      <c r="C12567" t="s">
        <v>15458</v>
      </c>
      <c r="D12567" t="s">
        <v>18783</v>
      </c>
      <c r="E12567" t="s">
        <v>29686</v>
      </c>
      <c r="F12567" t="s">
        <v>32664</v>
      </c>
      <c r="G12567" t="s">
        <v>32672</v>
      </c>
      <c r="H12567" t="s">
        <v>12635</v>
      </c>
      <c r="I12567" t="s">
        <v>6628</v>
      </c>
      <c r="J12567" t="s">
        <v>40248</v>
      </c>
      <c r="K12567" t="s">
        <v>42281</v>
      </c>
      <c r="M12567" t="s">
        <v>42757</v>
      </c>
      <c r="N12567" t="s">
        <v>46569</v>
      </c>
      <c r="O12567" t="s">
        <v>46570</v>
      </c>
      <c r="P12567">
        <v>0</v>
      </c>
      <c r="Q12567">
        <v>3</v>
      </c>
      <c r="R12567" t="s">
        <v>46584</v>
      </c>
      <c r="S12567" t="s">
        <v>47063</v>
      </c>
      <c r="T12567" t="s">
        <v>48303</v>
      </c>
      <c r="U12567" t="s">
        <v>58887</v>
      </c>
      <c r="W12567" t="s">
        <v>42757</v>
      </c>
      <c r="X12567" t="s">
        <v>46586</v>
      </c>
    </row>
    <row r="12568" spans="1:24">
      <c r="A12568">
        <f>HYPERLINK("https://www.philgeps.gov.ph/GEPSNONPILOT/Tender/SplashBidNoticeAbstractUI.aspx?menuIndex=3&amp;refID=7039183&amp;Result=3","7039183")</f>
        <v>0</v>
      </c>
      <c r="B12568" t="s">
        <v>3003</v>
      </c>
      <c r="C12568" t="s">
        <v>15459</v>
      </c>
      <c r="D12568" t="s">
        <v>18820</v>
      </c>
      <c r="E12568" t="s">
        <v>29687</v>
      </c>
      <c r="F12568" t="s">
        <v>32664</v>
      </c>
      <c r="G12568" t="s">
        <v>32672</v>
      </c>
      <c r="H12568" t="s">
        <v>12635</v>
      </c>
      <c r="I12568" t="s">
        <v>32706</v>
      </c>
      <c r="J12568" t="s">
        <v>40249</v>
      </c>
      <c r="K12568" t="s">
        <v>42303</v>
      </c>
      <c r="M12568" t="s">
        <v>45864</v>
      </c>
      <c r="N12568" t="s">
        <v>46569</v>
      </c>
      <c r="O12568" t="s">
        <v>46570</v>
      </c>
      <c r="P12568">
        <v>0</v>
      </c>
      <c r="Q12568">
        <v>1</v>
      </c>
      <c r="R12568" t="s">
        <v>46584</v>
      </c>
      <c r="S12568" t="s">
        <v>47063</v>
      </c>
      <c r="T12568" t="s">
        <v>48285</v>
      </c>
      <c r="U12568" t="s">
        <v>58888</v>
      </c>
      <c r="W12568" t="s">
        <v>45864</v>
      </c>
      <c r="X12568" t="s">
        <v>46586</v>
      </c>
    </row>
    <row r="12569" spans="1:24">
      <c r="A12569">
        <f>HYPERLINK("https://www.philgeps.gov.ph/GEPSNONPILOT/Tender/SplashBidNoticeAbstractUI.aspx?menuIndex=3&amp;refID=7039112&amp;Result=3","7039112")</f>
        <v>0</v>
      </c>
      <c r="B12569" t="s">
        <v>583</v>
      </c>
      <c r="C12569" t="s">
        <v>15460</v>
      </c>
      <c r="D12569" t="s">
        <v>18821</v>
      </c>
      <c r="E12569" t="s">
        <v>29688</v>
      </c>
      <c r="F12569" t="s">
        <v>32664</v>
      </c>
      <c r="G12569" t="s">
        <v>32672</v>
      </c>
      <c r="H12569" t="s">
        <v>32683</v>
      </c>
      <c r="I12569" t="s">
        <v>10627</v>
      </c>
      <c r="J12569" t="s">
        <v>32981</v>
      </c>
      <c r="K12569" t="s">
        <v>42290</v>
      </c>
      <c r="M12569" t="s">
        <v>43163</v>
      </c>
      <c r="N12569" t="s">
        <v>46569</v>
      </c>
      <c r="O12569" t="s">
        <v>46570</v>
      </c>
      <c r="P12569">
        <v>0</v>
      </c>
      <c r="Q12569">
        <v>6</v>
      </c>
      <c r="R12569" t="s">
        <v>46584</v>
      </c>
      <c r="S12569" t="s">
        <v>47063</v>
      </c>
      <c r="T12569" t="s">
        <v>48284</v>
      </c>
      <c r="U12569" t="s">
        <v>58889</v>
      </c>
      <c r="W12569" t="s">
        <v>63485</v>
      </c>
      <c r="X12569" t="s">
        <v>46586</v>
      </c>
    </row>
    <row r="12570" spans="1:24">
      <c r="A12570">
        <f>HYPERLINK("https://www.philgeps.gov.ph/GEPSNONPILOT/Tender/SplashBidNoticeAbstractUI.aspx?menuIndex=3&amp;refID=7039027&amp;Result=3","7039027")</f>
        <v>0</v>
      </c>
      <c r="B12570" t="s">
        <v>3215</v>
      </c>
      <c r="C12570" t="s">
        <v>15461</v>
      </c>
      <c r="D12570" t="s">
        <v>18832</v>
      </c>
      <c r="E12570" t="s">
        <v>29689</v>
      </c>
      <c r="F12570" t="s">
        <v>32664</v>
      </c>
      <c r="G12570" t="s">
        <v>32672</v>
      </c>
      <c r="H12570" t="s">
        <v>32683</v>
      </c>
      <c r="I12570" t="s">
        <v>10627</v>
      </c>
      <c r="J12570" t="s">
        <v>40250</v>
      </c>
      <c r="K12570" t="s">
        <v>42281</v>
      </c>
      <c r="M12570" t="s">
        <v>46135</v>
      </c>
      <c r="N12570" t="s">
        <v>46569</v>
      </c>
      <c r="O12570" t="s">
        <v>46570</v>
      </c>
      <c r="P12570">
        <v>0</v>
      </c>
      <c r="Q12570">
        <v>1</v>
      </c>
      <c r="R12570" t="s">
        <v>46584</v>
      </c>
      <c r="S12570" t="s">
        <v>47063</v>
      </c>
      <c r="T12570" t="s">
        <v>48225</v>
      </c>
      <c r="U12570" t="s">
        <v>58890</v>
      </c>
      <c r="V12570" t="s">
        <v>63006</v>
      </c>
      <c r="W12570" t="s">
        <v>46135</v>
      </c>
      <c r="X12570" t="s">
        <v>46586</v>
      </c>
    </row>
    <row r="12571" spans="1:24">
      <c r="A12571">
        <f>HYPERLINK("https://www.philgeps.gov.ph/GEPSNONPILOT/Tender/SplashBidNoticeAbstractUI.aspx?menuIndex=3&amp;refID=7034720&amp;Result=3","7034720")</f>
        <v>0</v>
      </c>
      <c r="B12571" t="s">
        <v>3216</v>
      </c>
      <c r="C12571" t="s">
        <v>15462</v>
      </c>
      <c r="D12571" t="s">
        <v>18806</v>
      </c>
      <c r="E12571" t="s">
        <v>19380</v>
      </c>
      <c r="F12571" t="s">
        <v>32664</v>
      </c>
      <c r="G12571" t="s">
        <v>32672</v>
      </c>
      <c r="H12571" t="s">
        <v>32683</v>
      </c>
      <c r="I12571" t="s">
        <v>32716</v>
      </c>
      <c r="J12571" t="s">
        <v>33051</v>
      </c>
      <c r="K12571" t="s">
        <v>42281</v>
      </c>
      <c r="M12571" t="s">
        <v>46136</v>
      </c>
      <c r="N12571" t="s">
        <v>46569</v>
      </c>
      <c r="O12571" t="s">
        <v>46570</v>
      </c>
      <c r="P12571">
        <v>0</v>
      </c>
      <c r="Q12571">
        <v>0</v>
      </c>
      <c r="R12571" t="s">
        <v>46584</v>
      </c>
      <c r="S12571" t="s">
        <v>47063</v>
      </c>
      <c r="T12571" t="s">
        <v>48405</v>
      </c>
      <c r="U12571" t="s">
        <v>58891</v>
      </c>
      <c r="W12571" t="s">
        <v>46136</v>
      </c>
      <c r="X12571" t="s">
        <v>46588</v>
      </c>
    </row>
    <row r="12572" spans="1:24">
      <c r="A12572">
        <f>HYPERLINK("https://www.philgeps.gov.ph/GEPSNONPILOT/Tender/SplashBidNoticeAbstractUI.aspx?menuIndex=3&amp;refID=7044201&amp;Result=3","7044201")</f>
        <v>0</v>
      </c>
      <c r="B12572" t="s">
        <v>3189</v>
      </c>
      <c r="C12572" t="s">
        <v>15463</v>
      </c>
      <c r="D12572" t="s">
        <v>18835</v>
      </c>
      <c r="E12572" t="s">
        <v>29690</v>
      </c>
      <c r="F12572" t="s">
        <v>32664</v>
      </c>
      <c r="G12572" t="s">
        <v>32672</v>
      </c>
      <c r="H12572" t="s">
        <v>12635</v>
      </c>
      <c r="I12572" t="s">
        <v>8730</v>
      </c>
      <c r="J12572" t="s">
        <v>40251</v>
      </c>
      <c r="K12572" t="s">
        <v>42325</v>
      </c>
      <c r="L12572" t="s">
        <v>3189</v>
      </c>
      <c r="M12572" t="s">
        <v>46103</v>
      </c>
      <c r="N12572" t="s">
        <v>46569</v>
      </c>
      <c r="O12572" t="s">
        <v>46570</v>
      </c>
      <c r="P12572">
        <v>0</v>
      </c>
      <c r="Q12572">
        <v>5</v>
      </c>
      <c r="R12572" t="s">
        <v>46581</v>
      </c>
      <c r="S12572" t="s">
        <v>47012</v>
      </c>
      <c r="T12572" t="s">
        <v>48238</v>
      </c>
      <c r="U12572" t="s">
        <v>58892</v>
      </c>
      <c r="V12572" t="s">
        <v>62981</v>
      </c>
      <c r="W12572" t="s">
        <v>46103</v>
      </c>
      <c r="X12572" t="s">
        <v>46582</v>
      </c>
    </row>
    <row r="12573" spans="1:24">
      <c r="A12573">
        <f>HYPERLINK("https://www.philgeps.gov.ph/GEPSNONPILOT/Tender/SplashBidNoticeAbstractUI.aspx?menuIndex=3&amp;refID=7034423&amp;Result=3","7034423")</f>
        <v>0</v>
      </c>
      <c r="B12573" t="s">
        <v>3003</v>
      </c>
      <c r="C12573" t="s">
        <v>15464</v>
      </c>
      <c r="D12573" t="s">
        <v>18820</v>
      </c>
      <c r="E12573" t="s">
        <v>29691</v>
      </c>
      <c r="F12573" t="s">
        <v>32664</v>
      </c>
      <c r="G12573" t="s">
        <v>32672</v>
      </c>
      <c r="H12573" t="s">
        <v>32683</v>
      </c>
      <c r="I12573" t="s">
        <v>10627</v>
      </c>
      <c r="J12573" t="s">
        <v>36065</v>
      </c>
      <c r="K12573" t="s">
        <v>42290</v>
      </c>
      <c r="M12573" t="s">
        <v>45864</v>
      </c>
      <c r="N12573" t="s">
        <v>46569</v>
      </c>
      <c r="O12573" t="s">
        <v>46570</v>
      </c>
      <c r="P12573">
        <v>0</v>
      </c>
      <c r="Q12573">
        <v>0</v>
      </c>
      <c r="R12573" t="s">
        <v>46584</v>
      </c>
      <c r="S12573" t="s">
        <v>47063</v>
      </c>
      <c r="T12573" t="s">
        <v>48285</v>
      </c>
      <c r="U12573" t="s">
        <v>58893</v>
      </c>
      <c r="V12573" t="s">
        <v>63007</v>
      </c>
      <c r="W12573" t="s">
        <v>45864</v>
      </c>
      <c r="X12573" t="s">
        <v>46588</v>
      </c>
    </row>
    <row r="12574" spans="1:24">
      <c r="A12574">
        <f>HYPERLINK("https://www.philgeps.gov.ph/GEPSNONPILOT/Tender/SplashBidNoticeAbstractUI.aspx?menuIndex=3&amp;refID=7040398&amp;Result=3","7040398")</f>
        <v>0</v>
      </c>
      <c r="B12574" t="s">
        <v>3214</v>
      </c>
      <c r="C12574" t="s">
        <v>15465</v>
      </c>
      <c r="D12574" t="s">
        <v>18827</v>
      </c>
      <c r="E12574" t="s">
        <v>29692</v>
      </c>
      <c r="F12574" t="s">
        <v>32664</v>
      </c>
      <c r="G12574" t="s">
        <v>32672</v>
      </c>
      <c r="H12574" t="s">
        <v>32683</v>
      </c>
      <c r="I12574" t="s">
        <v>10627</v>
      </c>
      <c r="J12574" t="s">
        <v>40252</v>
      </c>
      <c r="K12574" t="s">
        <v>42283</v>
      </c>
      <c r="M12574" t="s">
        <v>46134</v>
      </c>
      <c r="N12574" t="s">
        <v>46569</v>
      </c>
      <c r="O12574" t="s">
        <v>46570</v>
      </c>
      <c r="P12574">
        <v>0</v>
      </c>
      <c r="Q12574">
        <v>1</v>
      </c>
      <c r="R12574" t="s">
        <v>46584</v>
      </c>
      <c r="S12574" t="s">
        <v>47063</v>
      </c>
      <c r="T12574" t="s">
        <v>48248</v>
      </c>
      <c r="U12574" t="s">
        <v>58894</v>
      </c>
      <c r="W12574" t="s">
        <v>46134</v>
      </c>
      <c r="X12574" t="s">
        <v>46586</v>
      </c>
    </row>
    <row r="12575" spans="1:24">
      <c r="A12575">
        <f>HYPERLINK("https://www.philgeps.gov.ph/GEPSNONPILOT/Tender/SplashBidNoticeAbstractUI.aspx?menuIndex=3&amp;refID=7021908-2&amp;Result=3","7021908-2")</f>
        <v>0</v>
      </c>
      <c r="B12575" t="s">
        <v>1669</v>
      </c>
      <c r="C12575" t="s">
        <v>15466</v>
      </c>
      <c r="E12575" t="s">
        <v>29693</v>
      </c>
      <c r="F12575" t="s">
        <v>32664</v>
      </c>
      <c r="G12575" t="s">
        <v>32672</v>
      </c>
      <c r="H12575" t="s">
        <v>32681</v>
      </c>
      <c r="I12575" t="s">
        <v>32681</v>
      </c>
      <c r="J12575" t="s">
        <v>40253</v>
      </c>
      <c r="K12575" t="s">
        <v>42283</v>
      </c>
      <c r="M12575" t="s">
        <v>44356</v>
      </c>
      <c r="N12575" t="s">
        <v>46569</v>
      </c>
      <c r="O12575" t="s">
        <v>46570</v>
      </c>
      <c r="Q12575">
        <v>0</v>
      </c>
      <c r="R12575" t="s">
        <v>46584</v>
      </c>
      <c r="S12575" t="s">
        <v>47071</v>
      </c>
      <c r="T12575" t="s">
        <v>48221</v>
      </c>
      <c r="U12575" t="s">
        <v>58895</v>
      </c>
      <c r="V12575" t="s">
        <v>63008</v>
      </c>
      <c r="W12575" t="s">
        <v>44356</v>
      </c>
      <c r="X12575" t="s">
        <v>46585</v>
      </c>
    </row>
    <row r="12576" spans="1:24">
      <c r="A12576">
        <f>HYPERLINK("https://www.philgeps.gov.ph/GEPSNONPILOT/Tender/SplashBidNoticeAbstractUI.aspx?menuIndex=3&amp;refID=7013221-2&amp;Result=3","7013221-2")</f>
        <v>0</v>
      </c>
      <c r="B12576" t="s">
        <v>3037</v>
      </c>
      <c r="C12576" t="s">
        <v>15467</v>
      </c>
      <c r="D12576" t="s">
        <v>18788</v>
      </c>
      <c r="E12576" t="s">
        <v>29694</v>
      </c>
      <c r="F12576" t="s">
        <v>32664</v>
      </c>
      <c r="G12576" t="s">
        <v>32672</v>
      </c>
      <c r="H12576" t="s">
        <v>32681</v>
      </c>
      <c r="I12576" t="s">
        <v>32681</v>
      </c>
      <c r="J12576" t="s">
        <v>32930</v>
      </c>
      <c r="K12576" t="s">
        <v>42297</v>
      </c>
      <c r="M12576" t="s">
        <v>45910</v>
      </c>
      <c r="N12576" t="s">
        <v>46569</v>
      </c>
      <c r="O12576" t="s">
        <v>46570</v>
      </c>
      <c r="P12576">
        <v>0</v>
      </c>
      <c r="Q12576">
        <v>0</v>
      </c>
      <c r="R12576" t="s">
        <v>46584</v>
      </c>
      <c r="S12576" t="s">
        <v>47063</v>
      </c>
      <c r="T12576" t="s">
        <v>48313</v>
      </c>
      <c r="U12576" t="s">
        <v>58896</v>
      </c>
      <c r="W12576" t="s">
        <v>45910</v>
      </c>
      <c r="X12576" t="s">
        <v>46585</v>
      </c>
    </row>
    <row r="12577" spans="1:24">
      <c r="A12577">
        <f>HYPERLINK("https://www.philgeps.gov.ph/GEPSNONPILOT/Tender/SplashBidNoticeAbstractUI.aspx?menuIndex=3&amp;refID=7028954&amp;Result=3","7028954")</f>
        <v>0</v>
      </c>
      <c r="B12577" t="s">
        <v>2872</v>
      </c>
      <c r="C12577" t="s">
        <v>15468</v>
      </c>
      <c r="D12577" t="s">
        <v>18809</v>
      </c>
      <c r="E12577" t="s">
        <v>29695</v>
      </c>
      <c r="F12577" t="s">
        <v>32664</v>
      </c>
      <c r="G12577" t="s">
        <v>32672</v>
      </c>
      <c r="H12577" t="s">
        <v>12635</v>
      </c>
      <c r="I12577" t="s">
        <v>6118</v>
      </c>
      <c r="J12577" t="s">
        <v>40254</v>
      </c>
      <c r="K12577" t="s">
        <v>42289</v>
      </c>
      <c r="M12577" t="s">
        <v>45721</v>
      </c>
      <c r="N12577" t="s">
        <v>46569</v>
      </c>
      <c r="O12577" t="s">
        <v>46570</v>
      </c>
      <c r="P12577">
        <v>0</v>
      </c>
      <c r="Q12577">
        <v>4</v>
      </c>
      <c r="R12577" t="s">
        <v>46584</v>
      </c>
      <c r="S12577" t="s">
        <v>47063</v>
      </c>
      <c r="T12577" t="s">
        <v>48268</v>
      </c>
      <c r="U12577" t="s">
        <v>58897</v>
      </c>
      <c r="W12577" t="s">
        <v>45721</v>
      </c>
      <c r="X12577" t="s">
        <v>46592</v>
      </c>
    </row>
    <row r="12578" spans="1:24">
      <c r="A12578">
        <f>HYPERLINK("https://www.philgeps.gov.ph/GEPSNONPILOT/Tender/SplashBidNoticeAbstractUI.aspx?menuIndex=3&amp;refID=7044220&amp;Result=3","7044220")</f>
        <v>0</v>
      </c>
      <c r="B12578" t="s">
        <v>2386</v>
      </c>
      <c r="C12578" t="s">
        <v>15469</v>
      </c>
      <c r="D12578" t="s">
        <v>18835</v>
      </c>
      <c r="E12578" t="s">
        <v>29696</v>
      </c>
      <c r="F12578" t="s">
        <v>32664</v>
      </c>
      <c r="G12578" t="s">
        <v>32672</v>
      </c>
      <c r="H12578" t="s">
        <v>12635</v>
      </c>
      <c r="I12578" t="s">
        <v>6628</v>
      </c>
      <c r="J12578" t="s">
        <v>40255</v>
      </c>
      <c r="K12578" t="s">
        <v>42289</v>
      </c>
      <c r="M12578" t="s">
        <v>45176</v>
      </c>
      <c r="N12578" t="s">
        <v>46569</v>
      </c>
      <c r="O12578" t="s">
        <v>46570</v>
      </c>
      <c r="P12578">
        <v>0</v>
      </c>
      <c r="Q12578">
        <v>1</v>
      </c>
      <c r="R12578" t="s">
        <v>46581</v>
      </c>
      <c r="S12578" t="s">
        <v>47012</v>
      </c>
      <c r="T12578" t="s">
        <v>48467</v>
      </c>
      <c r="U12578" t="s">
        <v>58898</v>
      </c>
      <c r="W12578" t="s">
        <v>45176</v>
      </c>
      <c r="X12578" t="s">
        <v>46582</v>
      </c>
    </row>
    <row r="12579" spans="1:24">
      <c r="A12579">
        <f>HYPERLINK("https://www.philgeps.gov.ph/GEPSNONPILOT/Tender/SplashBidNoticeAbstractUI.aspx?menuIndex=3&amp;refID=7043963&amp;Result=3","7043963")</f>
        <v>0</v>
      </c>
      <c r="B12579" t="s">
        <v>1902</v>
      </c>
      <c r="C12579" t="s">
        <v>15470</v>
      </c>
      <c r="D12579" t="s">
        <v>18838</v>
      </c>
      <c r="E12579" t="s">
        <v>29697</v>
      </c>
      <c r="F12579" t="s">
        <v>32664</v>
      </c>
      <c r="G12579" t="s">
        <v>32672</v>
      </c>
      <c r="H12579" t="s">
        <v>32683</v>
      </c>
      <c r="I12579" t="s">
        <v>10627</v>
      </c>
      <c r="J12579" t="s">
        <v>40256</v>
      </c>
      <c r="K12579" t="s">
        <v>42283</v>
      </c>
      <c r="M12579" t="s">
        <v>44623</v>
      </c>
      <c r="N12579" t="s">
        <v>46569</v>
      </c>
      <c r="O12579" t="s">
        <v>46570</v>
      </c>
      <c r="P12579">
        <v>0</v>
      </c>
      <c r="Q12579">
        <v>7</v>
      </c>
      <c r="R12579" t="s">
        <v>46581</v>
      </c>
      <c r="S12579" t="s">
        <v>47012</v>
      </c>
      <c r="T12579" t="s">
        <v>48303</v>
      </c>
      <c r="U12579" t="s">
        <v>58899</v>
      </c>
      <c r="W12579" t="s">
        <v>44623</v>
      </c>
      <c r="X12579" t="s">
        <v>46582</v>
      </c>
    </row>
    <row r="12580" spans="1:24">
      <c r="A12580">
        <f>HYPERLINK("https://www.philgeps.gov.ph/GEPSNONPILOT/Tender/SplashBidNoticeAbstractUI.aspx?menuIndex=3&amp;refID=7043939&amp;Result=3","7043939")</f>
        <v>0</v>
      </c>
      <c r="B12580" t="s">
        <v>3217</v>
      </c>
      <c r="C12580" t="s">
        <v>15471</v>
      </c>
      <c r="D12580" t="s">
        <v>18794</v>
      </c>
      <c r="E12580" t="s">
        <v>21301</v>
      </c>
      <c r="F12580" t="s">
        <v>32665</v>
      </c>
      <c r="G12580" t="s">
        <v>32672</v>
      </c>
      <c r="H12580" t="s">
        <v>12635</v>
      </c>
      <c r="I12580" t="s">
        <v>32692</v>
      </c>
      <c r="J12580" t="s">
        <v>32898</v>
      </c>
      <c r="K12580" t="s">
        <v>42295</v>
      </c>
      <c r="M12580" t="s">
        <v>46137</v>
      </c>
      <c r="N12580" t="s">
        <v>46569</v>
      </c>
      <c r="O12580" t="s">
        <v>46570</v>
      </c>
      <c r="P12580">
        <v>0</v>
      </c>
      <c r="Q12580">
        <v>1</v>
      </c>
      <c r="R12580" t="s">
        <v>46581</v>
      </c>
      <c r="S12580" t="s">
        <v>47012</v>
      </c>
      <c r="T12580" t="s">
        <v>48219</v>
      </c>
      <c r="U12580" t="s">
        <v>58900</v>
      </c>
      <c r="W12580" t="s">
        <v>46137</v>
      </c>
      <c r="X12580" t="s">
        <v>46582</v>
      </c>
    </row>
    <row r="12581" spans="1:24">
      <c r="A12581">
        <f>HYPERLINK("https://www.philgeps.gov.ph/GEPSNONPILOT/Tender/SplashBidNoticeAbstractUI.aspx?menuIndex=3&amp;refID=7040131&amp;Result=3","7040131")</f>
        <v>0</v>
      </c>
      <c r="B12581" t="s">
        <v>3218</v>
      </c>
      <c r="C12581" t="s">
        <v>15472</v>
      </c>
      <c r="D12581" t="s">
        <v>18827</v>
      </c>
      <c r="E12581" t="s">
        <v>29698</v>
      </c>
      <c r="F12581" t="s">
        <v>32664</v>
      </c>
      <c r="G12581" t="s">
        <v>32672</v>
      </c>
      <c r="H12581" t="s">
        <v>32683</v>
      </c>
      <c r="I12581" t="s">
        <v>10627</v>
      </c>
      <c r="J12581" t="s">
        <v>40257</v>
      </c>
      <c r="K12581" t="s">
        <v>42365</v>
      </c>
      <c r="M12581" t="s">
        <v>46138</v>
      </c>
      <c r="N12581" t="s">
        <v>46569</v>
      </c>
      <c r="O12581" t="s">
        <v>46570</v>
      </c>
      <c r="P12581">
        <v>0</v>
      </c>
      <c r="Q12581">
        <v>4</v>
      </c>
      <c r="R12581" t="s">
        <v>46584</v>
      </c>
      <c r="S12581" t="s">
        <v>47063</v>
      </c>
      <c r="T12581" t="s">
        <v>48226</v>
      </c>
      <c r="U12581" t="s">
        <v>58901</v>
      </c>
      <c r="V12581" t="s">
        <v>63009</v>
      </c>
      <c r="W12581" t="s">
        <v>46138</v>
      </c>
      <c r="X12581" t="s">
        <v>46586</v>
      </c>
    </row>
    <row r="12582" spans="1:24">
      <c r="A12582">
        <f>HYPERLINK("https://www.philgeps.gov.ph/GEPSNONPILOT/Tender/SplashBidNoticeAbstractUI.aspx?menuIndex=3&amp;refID=7043938&amp;Result=3","7043938")</f>
        <v>0</v>
      </c>
      <c r="B12582" t="s">
        <v>3217</v>
      </c>
      <c r="C12582" t="s">
        <v>15473</v>
      </c>
      <c r="D12582" t="s">
        <v>18794</v>
      </c>
      <c r="E12582" t="s">
        <v>23926</v>
      </c>
      <c r="F12582" t="s">
        <v>32665</v>
      </c>
      <c r="G12582" t="s">
        <v>32672</v>
      </c>
      <c r="H12582" t="s">
        <v>12635</v>
      </c>
      <c r="I12582" t="s">
        <v>32692</v>
      </c>
      <c r="J12582" t="s">
        <v>33051</v>
      </c>
      <c r="K12582" t="s">
        <v>42295</v>
      </c>
      <c r="M12582" t="s">
        <v>46137</v>
      </c>
      <c r="N12582" t="s">
        <v>46569</v>
      </c>
      <c r="O12582" t="s">
        <v>46570</v>
      </c>
      <c r="P12582">
        <v>0</v>
      </c>
      <c r="Q12582">
        <v>3</v>
      </c>
      <c r="R12582" t="s">
        <v>46581</v>
      </c>
      <c r="S12582" t="s">
        <v>47012</v>
      </c>
      <c r="T12582" t="s">
        <v>48219</v>
      </c>
      <c r="U12582" t="s">
        <v>58902</v>
      </c>
      <c r="W12582" t="s">
        <v>46137</v>
      </c>
      <c r="X12582" t="s">
        <v>46582</v>
      </c>
    </row>
    <row r="12583" spans="1:24">
      <c r="A12583">
        <f>HYPERLINK("https://www.philgeps.gov.ph/GEPSNONPILOT/Tender/SplashBidNoticeAbstractUI.aspx?menuIndex=3&amp;refID=7043934&amp;Result=3","7043934")</f>
        <v>0</v>
      </c>
      <c r="B12583" t="s">
        <v>3184</v>
      </c>
      <c r="C12583" t="s">
        <v>15474</v>
      </c>
      <c r="D12583" t="s">
        <v>18793</v>
      </c>
      <c r="E12583" t="s">
        <v>29532</v>
      </c>
      <c r="F12583" t="s">
        <v>32664</v>
      </c>
      <c r="G12583" t="s">
        <v>32672</v>
      </c>
      <c r="H12583" t="s">
        <v>32683</v>
      </c>
      <c r="I12583" t="s">
        <v>10627</v>
      </c>
      <c r="J12583" t="s">
        <v>40258</v>
      </c>
      <c r="K12583" t="s">
        <v>42290</v>
      </c>
      <c r="M12583" t="s">
        <v>46097</v>
      </c>
      <c r="N12583" t="s">
        <v>46569</v>
      </c>
      <c r="O12583" t="s">
        <v>46570</v>
      </c>
      <c r="P12583">
        <v>0</v>
      </c>
      <c r="Q12583">
        <v>26</v>
      </c>
      <c r="R12583" t="s">
        <v>46581</v>
      </c>
      <c r="S12583" t="s">
        <v>47012</v>
      </c>
      <c r="T12583" t="s">
        <v>48284</v>
      </c>
      <c r="U12583" t="s">
        <v>58728</v>
      </c>
      <c r="W12583" t="s">
        <v>46097</v>
      </c>
      <c r="X12583" t="s">
        <v>46582</v>
      </c>
    </row>
    <row r="12584" spans="1:24">
      <c r="A12584">
        <f>HYPERLINK("https://www.philgeps.gov.ph/GEPSNONPILOT/Tender/SplashBidNoticeAbstractUI.aspx?menuIndex=3&amp;refID=7043769&amp;Result=3","7043769")</f>
        <v>0</v>
      </c>
      <c r="B12584" t="s">
        <v>3183</v>
      </c>
      <c r="C12584" t="s">
        <v>15475</v>
      </c>
      <c r="D12584" t="s">
        <v>18815</v>
      </c>
      <c r="E12584" t="s">
        <v>29699</v>
      </c>
      <c r="F12584" t="s">
        <v>32664</v>
      </c>
      <c r="G12584" t="s">
        <v>32672</v>
      </c>
      <c r="H12584" t="s">
        <v>12635</v>
      </c>
      <c r="I12584" t="s">
        <v>32717</v>
      </c>
      <c r="J12584" t="s">
        <v>40259</v>
      </c>
      <c r="K12584" t="s">
        <v>42298</v>
      </c>
      <c r="M12584" t="s">
        <v>46096</v>
      </c>
      <c r="N12584" t="s">
        <v>46569</v>
      </c>
      <c r="O12584" t="s">
        <v>46570</v>
      </c>
      <c r="P12584">
        <v>0</v>
      </c>
      <c r="Q12584">
        <v>2</v>
      </c>
      <c r="R12584" t="s">
        <v>46581</v>
      </c>
      <c r="S12584" t="s">
        <v>47012</v>
      </c>
      <c r="T12584" t="s">
        <v>48308</v>
      </c>
      <c r="U12584" t="s">
        <v>58903</v>
      </c>
      <c r="W12584" t="s">
        <v>46096</v>
      </c>
      <c r="X12584" t="s">
        <v>46583</v>
      </c>
    </row>
    <row r="12585" spans="1:24">
      <c r="A12585">
        <f>HYPERLINK("https://www.philgeps.gov.ph/GEPSNONPILOT/Tender/SplashBidNoticeAbstractUI.aspx?menuIndex=3&amp;refID=7043766&amp;Result=3","7043766")</f>
        <v>0</v>
      </c>
      <c r="B12585" t="s">
        <v>3183</v>
      </c>
      <c r="C12585" t="s">
        <v>15277</v>
      </c>
      <c r="D12585" t="s">
        <v>18815</v>
      </c>
      <c r="E12585" t="s">
        <v>29700</v>
      </c>
      <c r="F12585" t="s">
        <v>32664</v>
      </c>
      <c r="G12585" t="s">
        <v>32672</v>
      </c>
      <c r="H12585" t="s">
        <v>12635</v>
      </c>
      <c r="I12585" t="s">
        <v>32717</v>
      </c>
      <c r="J12585" t="s">
        <v>40260</v>
      </c>
      <c r="K12585" t="s">
        <v>42298</v>
      </c>
      <c r="M12585" t="s">
        <v>46096</v>
      </c>
      <c r="N12585" t="s">
        <v>46569</v>
      </c>
      <c r="O12585" t="s">
        <v>46570</v>
      </c>
      <c r="P12585">
        <v>0</v>
      </c>
      <c r="Q12585">
        <v>2</v>
      </c>
      <c r="R12585" t="s">
        <v>46581</v>
      </c>
      <c r="S12585" t="s">
        <v>47012</v>
      </c>
      <c r="T12585" t="s">
        <v>48308</v>
      </c>
      <c r="U12585" t="s">
        <v>58729</v>
      </c>
      <c r="W12585" t="s">
        <v>46096</v>
      </c>
      <c r="X12585" t="s">
        <v>46583</v>
      </c>
    </row>
    <row r="12586" spans="1:24">
      <c r="A12586">
        <f>HYPERLINK("https://www.philgeps.gov.ph/GEPSNONPILOT/Tender/SplashBidNoticeAbstractUI.aspx?menuIndex=3&amp;refID=7043763&amp;Result=3","7043763")</f>
        <v>0</v>
      </c>
      <c r="B12586" t="s">
        <v>3183</v>
      </c>
      <c r="C12586" t="s">
        <v>15476</v>
      </c>
      <c r="D12586" t="s">
        <v>18815</v>
      </c>
      <c r="E12586" t="s">
        <v>29701</v>
      </c>
      <c r="F12586" t="s">
        <v>32664</v>
      </c>
      <c r="G12586" t="s">
        <v>32672</v>
      </c>
      <c r="H12586" t="s">
        <v>12635</v>
      </c>
      <c r="I12586" t="s">
        <v>32717</v>
      </c>
      <c r="J12586" t="s">
        <v>40261</v>
      </c>
      <c r="K12586" t="s">
        <v>42298</v>
      </c>
      <c r="M12586" t="s">
        <v>46096</v>
      </c>
      <c r="N12586" t="s">
        <v>46569</v>
      </c>
      <c r="O12586" t="s">
        <v>46570</v>
      </c>
      <c r="P12586">
        <v>0</v>
      </c>
      <c r="Q12586">
        <v>3</v>
      </c>
      <c r="R12586" t="s">
        <v>46581</v>
      </c>
      <c r="S12586" t="s">
        <v>47012</v>
      </c>
      <c r="T12586" t="s">
        <v>48308</v>
      </c>
      <c r="U12586" t="s">
        <v>58904</v>
      </c>
      <c r="W12586" t="s">
        <v>46096</v>
      </c>
      <c r="X12586" t="s">
        <v>46583</v>
      </c>
    </row>
    <row r="12587" spans="1:24">
      <c r="A12587">
        <f>HYPERLINK("https://www.philgeps.gov.ph/GEPSNONPILOT/Tender/SplashBidNoticeAbstractUI.aspx?menuIndex=3&amp;refID=7021927-2&amp;Result=3","7021927-2")</f>
        <v>0</v>
      </c>
      <c r="B12587" t="s">
        <v>1669</v>
      </c>
      <c r="C12587" t="s">
        <v>15477</v>
      </c>
      <c r="E12587" t="s">
        <v>29702</v>
      </c>
      <c r="F12587" t="s">
        <v>32664</v>
      </c>
      <c r="G12587" t="s">
        <v>32672</v>
      </c>
      <c r="H12587" t="s">
        <v>32681</v>
      </c>
      <c r="I12587" t="s">
        <v>32681</v>
      </c>
      <c r="J12587" t="s">
        <v>40262</v>
      </c>
      <c r="K12587" t="s">
        <v>42283</v>
      </c>
      <c r="M12587" t="s">
        <v>44356</v>
      </c>
      <c r="N12587" t="s">
        <v>46569</v>
      </c>
      <c r="O12587" t="s">
        <v>46570</v>
      </c>
      <c r="Q12587">
        <v>0</v>
      </c>
      <c r="R12587" t="s">
        <v>46584</v>
      </c>
      <c r="S12587" t="s">
        <v>47072</v>
      </c>
      <c r="T12587" t="s">
        <v>48221</v>
      </c>
      <c r="U12587" t="s">
        <v>58905</v>
      </c>
      <c r="V12587" t="s">
        <v>63010</v>
      </c>
      <c r="W12587" t="s">
        <v>44356</v>
      </c>
      <c r="X12587" t="s">
        <v>46585</v>
      </c>
    </row>
    <row r="12588" spans="1:24">
      <c r="A12588">
        <f>HYPERLINK("https://www.philgeps.gov.ph/GEPSNONPILOT/Tender/SplashBidNoticeAbstractUI.aspx?menuIndex=3&amp;refID=7043759&amp;Result=3","7043759")</f>
        <v>0</v>
      </c>
      <c r="B12588" t="s">
        <v>3219</v>
      </c>
      <c r="C12588" t="s">
        <v>15478</v>
      </c>
      <c r="D12588" t="s">
        <v>18816</v>
      </c>
      <c r="E12588" t="s">
        <v>29703</v>
      </c>
      <c r="F12588" t="s">
        <v>32664</v>
      </c>
      <c r="G12588" t="s">
        <v>32671</v>
      </c>
      <c r="H12588" t="s">
        <v>12635</v>
      </c>
      <c r="I12588" t="s">
        <v>8730</v>
      </c>
      <c r="J12588" t="s">
        <v>37725</v>
      </c>
      <c r="K12588" t="s">
        <v>42283</v>
      </c>
      <c r="M12588" t="s">
        <v>46139</v>
      </c>
      <c r="N12588" t="s">
        <v>46569</v>
      </c>
      <c r="O12588" t="s">
        <v>46570</v>
      </c>
      <c r="P12588">
        <v>0</v>
      </c>
      <c r="Q12588">
        <v>2</v>
      </c>
      <c r="R12588" t="s">
        <v>46581</v>
      </c>
      <c r="S12588" t="s">
        <v>47012</v>
      </c>
      <c r="T12588" t="s">
        <v>48254</v>
      </c>
      <c r="U12588" t="s">
        <v>58906</v>
      </c>
      <c r="W12588" t="s">
        <v>46139</v>
      </c>
      <c r="X12588" t="s">
        <v>46583</v>
      </c>
    </row>
    <row r="12589" spans="1:24">
      <c r="A12589">
        <f>HYPERLINK("https://www.philgeps.gov.ph/GEPSNONPILOT/Tender/SplashBidNoticeAbstractUI.aspx?menuIndex=3&amp;refID=7044205&amp;Result=3","7044205")</f>
        <v>0</v>
      </c>
      <c r="B12589" t="s">
        <v>2431</v>
      </c>
      <c r="C12589" t="s">
        <v>15479</v>
      </c>
      <c r="D12589" t="s">
        <v>18784</v>
      </c>
      <c r="E12589" t="s">
        <v>29704</v>
      </c>
      <c r="F12589" t="s">
        <v>32664</v>
      </c>
      <c r="G12589" t="s">
        <v>32671</v>
      </c>
      <c r="H12589" t="s">
        <v>12635</v>
      </c>
      <c r="I12589" t="s">
        <v>32704</v>
      </c>
      <c r="J12589" t="s">
        <v>36154</v>
      </c>
      <c r="K12589" t="s">
        <v>42305</v>
      </c>
      <c r="M12589" t="s">
        <v>45223</v>
      </c>
      <c r="N12589" t="s">
        <v>46569</v>
      </c>
      <c r="O12589" t="s">
        <v>46570</v>
      </c>
      <c r="Q12589">
        <v>5</v>
      </c>
      <c r="R12589" t="s">
        <v>46581</v>
      </c>
      <c r="S12589" t="s">
        <v>47073</v>
      </c>
      <c r="T12589" t="s">
        <v>48520</v>
      </c>
      <c r="U12589" t="s">
        <v>58907</v>
      </c>
      <c r="W12589" t="s">
        <v>45223</v>
      </c>
      <c r="X12589" t="s">
        <v>46582</v>
      </c>
    </row>
    <row r="12590" spans="1:24">
      <c r="A12590">
        <f>HYPERLINK("https://www.philgeps.gov.ph/GEPSNONPILOT/Tender/SplashBidNoticeAbstractUI.aspx?menuIndex=3&amp;refID=7037598&amp;Result=3","7037598")</f>
        <v>0</v>
      </c>
      <c r="B12590" t="s">
        <v>273</v>
      </c>
      <c r="C12590" t="s">
        <v>15480</v>
      </c>
      <c r="D12590" t="s">
        <v>18812</v>
      </c>
      <c r="E12590" t="s">
        <v>29705</v>
      </c>
      <c r="F12590" t="s">
        <v>32664</v>
      </c>
      <c r="G12590" t="s">
        <v>32672</v>
      </c>
      <c r="H12590" t="s">
        <v>32683</v>
      </c>
      <c r="I12590" t="s">
        <v>10627</v>
      </c>
      <c r="J12590" t="s">
        <v>33761</v>
      </c>
      <c r="K12590" t="s">
        <v>42534</v>
      </c>
      <c r="M12590" t="s">
        <v>42838</v>
      </c>
      <c r="N12590" t="s">
        <v>46569</v>
      </c>
      <c r="O12590" t="s">
        <v>46570</v>
      </c>
      <c r="P12590">
        <v>0</v>
      </c>
      <c r="Q12590">
        <v>1</v>
      </c>
      <c r="R12590" t="s">
        <v>46584</v>
      </c>
      <c r="S12590" t="s">
        <v>47063</v>
      </c>
      <c r="T12590" t="s">
        <v>48380</v>
      </c>
      <c r="U12590" t="s">
        <v>58908</v>
      </c>
      <c r="W12590" t="s">
        <v>42838</v>
      </c>
      <c r="X12590" t="s">
        <v>46587</v>
      </c>
    </row>
    <row r="12591" spans="1:24">
      <c r="A12591">
        <f>HYPERLINK("https://www.philgeps.gov.ph/GEPSNONPILOT/Tender/SplashBidNoticeAbstractUI.aspx?menuIndex=3&amp;refID=7041206&amp;Result=3","7041206")</f>
        <v>0</v>
      </c>
      <c r="B12591" t="s">
        <v>3220</v>
      </c>
      <c r="C12591" t="s">
        <v>15481</v>
      </c>
      <c r="D12591" t="s">
        <v>18792</v>
      </c>
      <c r="E12591" t="s">
        <v>25232</v>
      </c>
      <c r="F12591" t="s">
        <v>32665</v>
      </c>
      <c r="G12591" t="s">
        <v>32672</v>
      </c>
      <c r="H12591" t="s">
        <v>12635</v>
      </c>
      <c r="I12591" t="s">
        <v>4439</v>
      </c>
      <c r="J12591" t="s">
        <v>40263</v>
      </c>
      <c r="K12591" t="s">
        <v>42298</v>
      </c>
      <c r="M12591" t="s">
        <v>46140</v>
      </c>
      <c r="N12591" t="s">
        <v>46569</v>
      </c>
      <c r="O12591" t="s">
        <v>46570</v>
      </c>
      <c r="P12591">
        <v>0</v>
      </c>
      <c r="Q12591">
        <v>0</v>
      </c>
      <c r="R12591" t="s">
        <v>46584</v>
      </c>
      <c r="S12591" t="s">
        <v>47063</v>
      </c>
      <c r="T12591" t="s">
        <v>48307</v>
      </c>
      <c r="U12591" t="s">
        <v>58909</v>
      </c>
      <c r="W12591" t="s">
        <v>46140</v>
      </c>
      <c r="X12591" t="s">
        <v>46585</v>
      </c>
    </row>
    <row r="12592" spans="1:24">
      <c r="A12592">
        <f>HYPERLINK("https://www.philgeps.gov.ph/GEPSNONPILOT/Tender/SplashBidNoticeAbstractUI.aspx?menuIndex=3&amp;refID=7041172&amp;Result=3","7041172")</f>
        <v>0</v>
      </c>
      <c r="B12592" t="s">
        <v>3221</v>
      </c>
      <c r="C12592" t="s">
        <v>4490</v>
      </c>
      <c r="E12592" t="s">
        <v>29706</v>
      </c>
      <c r="F12592" t="s">
        <v>32664</v>
      </c>
      <c r="G12592" t="s">
        <v>32672</v>
      </c>
      <c r="H12592" t="s">
        <v>12635</v>
      </c>
      <c r="I12592" t="s">
        <v>32716</v>
      </c>
      <c r="J12592" t="s">
        <v>40264</v>
      </c>
      <c r="K12592" t="s">
        <v>42283</v>
      </c>
      <c r="M12592" t="s">
        <v>46141</v>
      </c>
      <c r="N12592" t="s">
        <v>46569</v>
      </c>
      <c r="O12592" t="s">
        <v>46570</v>
      </c>
      <c r="P12592">
        <v>0</v>
      </c>
      <c r="Q12592">
        <v>0</v>
      </c>
      <c r="R12592" t="s">
        <v>46584</v>
      </c>
      <c r="S12592" t="s">
        <v>47063</v>
      </c>
      <c r="T12592" t="s">
        <v>48221</v>
      </c>
      <c r="U12592" t="s">
        <v>58910</v>
      </c>
      <c r="W12592" t="s">
        <v>46141</v>
      </c>
      <c r="X12592" t="s">
        <v>46585</v>
      </c>
    </row>
    <row r="12593" spans="1:24">
      <c r="A12593">
        <f>HYPERLINK("https://www.philgeps.gov.ph/GEPSNONPILOT/Tender/SplashBidNoticeAbstractUI.aspx?menuIndex=3&amp;refID=7041041&amp;Result=3","7041041")</f>
        <v>0</v>
      </c>
      <c r="B12593" t="s">
        <v>3021</v>
      </c>
      <c r="C12593" t="s">
        <v>15482</v>
      </c>
      <c r="D12593" t="s">
        <v>18782</v>
      </c>
      <c r="E12593" t="s">
        <v>23465</v>
      </c>
      <c r="F12593" t="s">
        <v>32664</v>
      </c>
      <c r="G12593" t="s">
        <v>32672</v>
      </c>
      <c r="H12593" t="s">
        <v>12635</v>
      </c>
      <c r="I12593" t="s">
        <v>6118</v>
      </c>
      <c r="J12593" t="s">
        <v>40265</v>
      </c>
      <c r="K12593" t="s">
        <v>42305</v>
      </c>
      <c r="M12593" t="s">
        <v>45893</v>
      </c>
      <c r="N12593" t="s">
        <v>46569</v>
      </c>
      <c r="O12593" t="s">
        <v>46570</v>
      </c>
      <c r="P12593">
        <v>0</v>
      </c>
      <c r="Q12593">
        <v>0</v>
      </c>
      <c r="R12593" t="s">
        <v>46584</v>
      </c>
      <c r="S12593" t="s">
        <v>47063</v>
      </c>
      <c r="T12593" t="s">
        <v>48510</v>
      </c>
      <c r="U12593" t="s">
        <v>58911</v>
      </c>
      <c r="W12593" t="s">
        <v>45893</v>
      </c>
      <c r="X12593" t="s">
        <v>46585</v>
      </c>
    </row>
    <row r="12594" spans="1:24">
      <c r="A12594">
        <f>HYPERLINK("https://www.philgeps.gov.ph/GEPSNONPILOT/Tender/SplashBidNoticeAbstractUI.aspx?menuIndex=3&amp;refID=7041071&amp;Result=3","7041071")</f>
        <v>0</v>
      </c>
      <c r="B12594" t="s">
        <v>3021</v>
      </c>
      <c r="C12594" t="s">
        <v>15483</v>
      </c>
      <c r="D12594" t="s">
        <v>18782</v>
      </c>
      <c r="E12594" t="s">
        <v>23509</v>
      </c>
      <c r="F12594" t="s">
        <v>32664</v>
      </c>
      <c r="G12594" t="s">
        <v>32672</v>
      </c>
      <c r="H12594" t="s">
        <v>12635</v>
      </c>
      <c r="I12594" t="s">
        <v>32751</v>
      </c>
      <c r="J12594" t="s">
        <v>33051</v>
      </c>
      <c r="K12594" t="s">
        <v>42305</v>
      </c>
      <c r="M12594" t="s">
        <v>45893</v>
      </c>
      <c r="N12594" t="s">
        <v>46569</v>
      </c>
      <c r="O12594" t="s">
        <v>46570</v>
      </c>
      <c r="P12594">
        <v>0</v>
      </c>
      <c r="Q12594">
        <v>1</v>
      </c>
      <c r="R12594" t="s">
        <v>46584</v>
      </c>
      <c r="S12594" t="s">
        <v>47063</v>
      </c>
      <c r="T12594" t="s">
        <v>48510</v>
      </c>
      <c r="U12594" t="s">
        <v>58912</v>
      </c>
      <c r="W12594" t="s">
        <v>45893</v>
      </c>
      <c r="X12594" t="s">
        <v>46585</v>
      </c>
    </row>
    <row r="12595" spans="1:24">
      <c r="A12595">
        <f>HYPERLINK("https://www.philgeps.gov.ph/GEPSNONPILOT/Tender/SplashBidNoticeAbstractUI.aspx?menuIndex=3&amp;refID=7041131&amp;Result=3","7041131")</f>
        <v>0</v>
      </c>
      <c r="B12595" t="s">
        <v>45</v>
      </c>
      <c r="C12595" t="s">
        <v>15484</v>
      </c>
      <c r="D12595" t="s">
        <v>18789</v>
      </c>
      <c r="E12595" t="s">
        <v>29707</v>
      </c>
      <c r="F12595" t="s">
        <v>32664</v>
      </c>
      <c r="G12595" t="s">
        <v>32672</v>
      </c>
      <c r="H12595" t="s">
        <v>32683</v>
      </c>
      <c r="I12595" t="s">
        <v>10627</v>
      </c>
      <c r="J12595" t="s">
        <v>33858</v>
      </c>
      <c r="K12595" t="s">
        <v>42308</v>
      </c>
      <c r="M12595" t="s">
        <v>42607</v>
      </c>
      <c r="N12595" t="s">
        <v>46569</v>
      </c>
      <c r="O12595" t="s">
        <v>46570</v>
      </c>
      <c r="Q12595">
        <v>5</v>
      </c>
      <c r="R12595" t="s">
        <v>46584</v>
      </c>
      <c r="S12595" t="s">
        <v>47074</v>
      </c>
      <c r="T12595" t="s">
        <v>48230</v>
      </c>
      <c r="U12595" t="s">
        <v>58913</v>
      </c>
      <c r="W12595" t="s">
        <v>42607</v>
      </c>
      <c r="X12595" t="s">
        <v>46585</v>
      </c>
    </row>
    <row r="12596" spans="1:24">
      <c r="A12596">
        <f>HYPERLINK("https://www.philgeps.gov.ph/GEPSNONPILOT/Tender/SplashBidNoticeAbstractUI.aspx?menuIndex=3&amp;refID=7040946&amp;Result=3","7040946")</f>
        <v>0</v>
      </c>
      <c r="B12596" t="s">
        <v>3222</v>
      </c>
      <c r="C12596" t="s">
        <v>15485</v>
      </c>
      <c r="D12596" t="s">
        <v>18782</v>
      </c>
      <c r="E12596" t="s">
        <v>19632</v>
      </c>
      <c r="F12596" t="s">
        <v>32664</v>
      </c>
      <c r="G12596" t="s">
        <v>32672</v>
      </c>
      <c r="H12596" t="s">
        <v>12635</v>
      </c>
      <c r="I12596" t="s">
        <v>11464</v>
      </c>
      <c r="J12596" t="s">
        <v>34041</v>
      </c>
      <c r="K12596" t="s">
        <v>42289</v>
      </c>
      <c r="M12596" t="s">
        <v>46142</v>
      </c>
      <c r="N12596" t="s">
        <v>46569</v>
      </c>
      <c r="O12596" t="s">
        <v>46570</v>
      </c>
      <c r="Q12596">
        <v>3</v>
      </c>
      <c r="R12596" t="s">
        <v>46584</v>
      </c>
      <c r="S12596" t="s">
        <v>47075</v>
      </c>
      <c r="T12596" t="s">
        <v>48706</v>
      </c>
      <c r="U12596" t="s">
        <v>58914</v>
      </c>
      <c r="V12596" t="s">
        <v>63011</v>
      </c>
      <c r="W12596" t="s">
        <v>46142</v>
      </c>
      <c r="X12596" t="s">
        <v>46586</v>
      </c>
    </row>
    <row r="12597" spans="1:24">
      <c r="A12597">
        <f>HYPERLINK("https://www.philgeps.gov.ph/GEPSNONPILOT/Tender/SplashBidNoticeAbstractUI.aspx?menuIndex=3&amp;refID=7040536&amp;Result=3","7040536")</f>
        <v>0</v>
      </c>
      <c r="B12597" t="s">
        <v>798</v>
      </c>
      <c r="C12597" t="s">
        <v>15486</v>
      </c>
      <c r="D12597" t="s">
        <v>18830</v>
      </c>
      <c r="E12597" t="s">
        <v>29708</v>
      </c>
      <c r="F12597" t="s">
        <v>32664</v>
      </c>
      <c r="G12597" t="s">
        <v>32672</v>
      </c>
      <c r="H12597" t="s">
        <v>12635</v>
      </c>
      <c r="I12597" t="s">
        <v>8797</v>
      </c>
      <c r="J12597" t="s">
        <v>32962</v>
      </c>
      <c r="K12597" t="s">
        <v>42289</v>
      </c>
      <c r="M12597" t="s">
        <v>43390</v>
      </c>
      <c r="N12597" t="s">
        <v>46569</v>
      </c>
      <c r="O12597" t="s">
        <v>46570</v>
      </c>
      <c r="P12597">
        <v>0</v>
      </c>
      <c r="Q12597">
        <v>7</v>
      </c>
      <c r="R12597" t="s">
        <v>46584</v>
      </c>
      <c r="S12597" t="s">
        <v>47063</v>
      </c>
      <c r="T12597" t="s">
        <v>48415</v>
      </c>
      <c r="U12597" t="s">
        <v>58915</v>
      </c>
      <c r="W12597" t="s">
        <v>43390</v>
      </c>
      <c r="X12597" t="s">
        <v>46586</v>
      </c>
    </row>
    <row r="12598" spans="1:24">
      <c r="A12598">
        <f>HYPERLINK("https://www.philgeps.gov.ph/GEPSNONPILOT/Tender/SplashBidNoticeAbstractUI.aspx?menuIndex=3&amp;refID=7040507&amp;Result=3","7040507")</f>
        <v>0</v>
      </c>
      <c r="B12598" t="s">
        <v>3223</v>
      </c>
      <c r="C12598" t="s">
        <v>15487</v>
      </c>
      <c r="E12598" t="s">
        <v>29709</v>
      </c>
      <c r="F12598" t="s">
        <v>32664</v>
      </c>
      <c r="G12598" t="s">
        <v>32672</v>
      </c>
      <c r="H12598" t="s">
        <v>12635</v>
      </c>
      <c r="I12598" t="s">
        <v>4439</v>
      </c>
      <c r="J12598" t="s">
        <v>33725</v>
      </c>
      <c r="K12598" t="s">
        <v>42289</v>
      </c>
      <c r="M12598" t="s">
        <v>46143</v>
      </c>
      <c r="N12598" t="s">
        <v>46569</v>
      </c>
      <c r="O12598" t="s">
        <v>46570</v>
      </c>
      <c r="P12598">
        <v>0</v>
      </c>
      <c r="Q12598">
        <v>1</v>
      </c>
      <c r="R12598" t="s">
        <v>46584</v>
      </c>
      <c r="S12598" t="s">
        <v>47063</v>
      </c>
      <c r="T12598" t="s">
        <v>48330</v>
      </c>
      <c r="U12598" t="s">
        <v>58916</v>
      </c>
      <c r="W12598" t="s">
        <v>46143</v>
      </c>
      <c r="X12598" t="s">
        <v>46586</v>
      </c>
    </row>
    <row r="12599" spans="1:24">
      <c r="A12599">
        <f>HYPERLINK("https://www.philgeps.gov.ph/GEPSNONPILOT/Tender/SplashBidNoticeAbstractUI.aspx?menuIndex=3&amp;refID=7041011&amp;Result=3","7041011")</f>
        <v>0</v>
      </c>
      <c r="B12599" t="s">
        <v>3224</v>
      </c>
      <c r="C12599" t="s">
        <v>15488</v>
      </c>
      <c r="D12599" t="s">
        <v>18860</v>
      </c>
      <c r="E12599" t="s">
        <v>15488</v>
      </c>
      <c r="F12599" t="s">
        <v>32664</v>
      </c>
      <c r="G12599" t="s">
        <v>32672</v>
      </c>
      <c r="H12599" t="s">
        <v>12635</v>
      </c>
      <c r="I12599" t="s">
        <v>11464</v>
      </c>
      <c r="J12599" t="s">
        <v>40266</v>
      </c>
      <c r="K12599" t="s">
        <v>42289</v>
      </c>
      <c r="M12599" t="s">
        <v>46144</v>
      </c>
      <c r="N12599" t="s">
        <v>46569</v>
      </c>
      <c r="O12599" t="s">
        <v>46570</v>
      </c>
      <c r="P12599">
        <v>0</v>
      </c>
      <c r="Q12599">
        <v>0</v>
      </c>
      <c r="R12599" t="s">
        <v>46584</v>
      </c>
      <c r="S12599" t="s">
        <v>47063</v>
      </c>
      <c r="T12599" t="s">
        <v>48283</v>
      </c>
      <c r="U12599" t="s">
        <v>58917</v>
      </c>
      <c r="W12599" t="s">
        <v>46144</v>
      </c>
      <c r="X12599" t="s">
        <v>46585</v>
      </c>
    </row>
    <row r="12600" spans="1:24">
      <c r="A12600">
        <f>HYPERLINK("https://www.philgeps.gov.ph/GEPSNONPILOT/Tender/SplashBidNoticeAbstractUI.aspx?menuIndex=3&amp;refID=7040499&amp;Result=3","7040499")</f>
        <v>0</v>
      </c>
      <c r="B12600" t="s">
        <v>3214</v>
      </c>
      <c r="C12600" t="s">
        <v>15489</v>
      </c>
      <c r="D12600" t="s">
        <v>18827</v>
      </c>
      <c r="E12600" t="s">
        <v>29710</v>
      </c>
      <c r="F12600" t="s">
        <v>32664</v>
      </c>
      <c r="G12600" t="s">
        <v>32672</v>
      </c>
      <c r="H12600" t="s">
        <v>12635</v>
      </c>
      <c r="I12600" t="s">
        <v>4439</v>
      </c>
      <c r="J12600" t="s">
        <v>40267</v>
      </c>
      <c r="K12600" t="s">
        <v>42283</v>
      </c>
      <c r="M12600" t="s">
        <v>46134</v>
      </c>
      <c r="N12600" t="s">
        <v>46569</v>
      </c>
      <c r="O12600" t="s">
        <v>46570</v>
      </c>
      <c r="P12600">
        <v>0</v>
      </c>
      <c r="Q12600">
        <v>0</v>
      </c>
      <c r="R12600" t="s">
        <v>46584</v>
      </c>
      <c r="S12600" t="s">
        <v>47063</v>
      </c>
      <c r="T12600" t="s">
        <v>48248</v>
      </c>
      <c r="U12600" t="s">
        <v>58918</v>
      </c>
      <c r="W12600" t="s">
        <v>46134</v>
      </c>
      <c r="X12600" t="s">
        <v>46586</v>
      </c>
    </row>
    <row r="12601" spans="1:24">
      <c r="A12601">
        <f>HYPERLINK("https://www.philgeps.gov.ph/GEPSNONPILOT/Tender/SplashBidNoticeAbstractUI.aspx?menuIndex=3&amp;refID=7040675&amp;Result=3","7040675")</f>
        <v>0</v>
      </c>
      <c r="B12601" t="s">
        <v>3225</v>
      </c>
      <c r="C12601" t="s">
        <v>14014</v>
      </c>
      <c r="D12601" t="s">
        <v>18806</v>
      </c>
      <c r="E12601" t="s">
        <v>29711</v>
      </c>
      <c r="F12601" t="s">
        <v>32664</v>
      </c>
      <c r="G12601" t="s">
        <v>32672</v>
      </c>
      <c r="H12601" t="s">
        <v>12635</v>
      </c>
      <c r="I12601" t="s">
        <v>4439</v>
      </c>
      <c r="J12601" t="s">
        <v>40268</v>
      </c>
      <c r="K12601" t="s">
        <v>42330</v>
      </c>
      <c r="M12601" t="s">
        <v>46145</v>
      </c>
      <c r="N12601" t="s">
        <v>46569</v>
      </c>
      <c r="O12601" t="s">
        <v>46570</v>
      </c>
      <c r="P12601">
        <v>0</v>
      </c>
      <c r="Q12601">
        <v>0</v>
      </c>
      <c r="R12601" t="s">
        <v>46584</v>
      </c>
      <c r="S12601" t="s">
        <v>47063</v>
      </c>
      <c r="T12601" t="s">
        <v>48420</v>
      </c>
      <c r="U12601" t="s">
        <v>58919</v>
      </c>
      <c r="W12601" t="s">
        <v>46145</v>
      </c>
      <c r="X12601" t="s">
        <v>46586</v>
      </c>
    </row>
    <row r="12602" spans="1:24">
      <c r="A12602">
        <f>HYPERLINK("https://www.philgeps.gov.ph/GEPSNONPILOT/Tender/SplashBidNoticeAbstractUI.aspx?menuIndex=3&amp;refID=7041015&amp;Result=3","7041015")</f>
        <v>0</v>
      </c>
      <c r="B12602" t="s">
        <v>3224</v>
      </c>
      <c r="C12602" t="s">
        <v>15488</v>
      </c>
      <c r="D12602" t="s">
        <v>18860</v>
      </c>
      <c r="E12602" t="s">
        <v>15488</v>
      </c>
      <c r="F12602" t="s">
        <v>32664</v>
      </c>
      <c r="G12602" t="s">
        <v>32672</v>
      </c>
      <c r="H12602" t="s">
        <v>12635</v>
      </c>
      <c r="I12602" t="s">
        <v>11464</v>
      </c>
      <c r="J12602" t="s">
        <v>40269</v>
      </c>
      <c r="K12602" t="s">
        <v>42289</v>
      </c>
      <c r="M12602" t="s">
        <v>46144</v>
      </c>
      <c r="N12602" t="s">
        <v>46569</v>
      </c>
      <c r="O12602" t="s">
        <v>46570</v>
      </c>
      <c r="P12602">
        <v>0</v>
      </c>
      <c r="Q12602">
        <v>0</v>
      </c>
      <c r="R12602" t="s">
        <v>46584</v>
      </c>
      <c r="S12602" t="s">
        <v>47063</v>
      </c>
      <c r="T12602" t="s">
        <v>48283</v>
      </c>
      <c r="U12602" t="s">
        <v>58917</v>
      </c>
      <c r="W12602" t="s">
        <v>46144</v>
      </c>
      <c r="X12602" t="s">
        <v>46585</v>
      </c>
    </row>
    <row r="12603" spans="1:24">
      <c r="A12603">
        <f>HYPERLINK("https://www.philgeps.gov.ph/GEPSNONPILOT/Tender/SplashBidNoticeAbstractUI.aspx?menuIndex=3&amp;refID=7040980&amp;Result=3","7040980")</f>
        <v>0</v>
      </c>
      <c r="B12603" t="s">
        <v>1067</v>
      </c>
      <c r="C12603" t="s">
        <v>15490</v>
      </c>
      <c r="D12603" t="s">
        <v>18832</v>
      </c>
      <c r="E12603" t="s">
        <v>25683</v>
      </c>
      <c r="F12603" t="s">
        <v>32664</v>
      </c>
      <c r="G12603" t="s">
        <v>32672</v>
      </c>
      <c r="H12603" t="s">
        <v>12635</v>
      </c>
      <c r="I12603" t="s">
        <v>32692</v>
      </c>
      <c r="J12603" t="s">
        <v>33688</v>
      </c>
      <c r="K12603" t="s">
        <v>42289</v>
      </c>
      <c r="M12603" t="s">
        <v>43685</v>
      </c>
      <c r="N12603" t="s">
        <v>46569</v>
      </c>
      <c r="O12603" t="s">
        <v>46570</v>
      </c>
      <c r="P12603">
        <v>0</v>
      </c>
      <c r="Q12603">
        <v>0</v>
      </c>
      <c r="R12603" t="s">
        <v>46584</v>
      </c>
      <c r="S12603" t="s">
        <v>47063</v>
      </c>
      <c r="T12603" t="s">
        <v>48268</v>
      </c>
      <c r="U12603" t="s">
        <v>58920</v>
      </c>
      <c r="W12603" t="s">
        <v>43685</v>
      </c>
      <c r="X12603" t="s">
        <v>46585</v>
      </c>
    </row>
    <row r="12604" spans="1:24">
      <c r="A12604">
        <f>HYPERLINK("https://www.philgeps.gov.ph/GEPSNONPILOT/Tender/SplashBidNoticeAbstractUI.aspx?menuIndex=3&amp;refID=7040496&amp;Result=3","7040496")</f>
        <v>0</v>
      </c>
      <c r="B12604" t="s">
        <v>798</v>
      </c>
      <c r="C12604" t="s">
        <v>15491</v>
      </c>
      <c r="D12604" t="s">
        <v>18830</v>
      </c>
      <c r="E12604" t="s">
        <v>29712</v>
      </c>
      <c r="F12604" t="s">
        <v>32664</v>
      </c>
      <c r="G12604" t="s">
        <v>32672</v>
      </c>
      <c r="H12604" t="s">
        <v>12635</v>
      </c>
      <c r="I12604" t="s">
        <v>32708</v>
      </c>
      <c r="J12604" t="s">
        <v>32974</v>
      </c>
      <c r="K12604" t="s">
        <v>42289</v>
      </c>
      <c r="M12604" t="s">
        <v>43390</v>
      </c>
      <c r="N12604" t="s">
        <v>46569</v>
      </c>
      <c r="O12604" t="s">
        <v>46570</v>
      </c>
      <c r="P12604">
        <v>0</v>
      </c>
      <c r="Q12604">
        <v>9</v>
      </c>
      <c r="R12604" t="s">
        <v>46584</v>
      </c>
      <c r="S12604" t="s">
        <v>47063</v>
      </c>
      <c r="T12604" t="s">
        <v>48661</v>
      </c>
      <c r="U12604" t="s">
        <v>58921</v>
      </c>
      <c r="W12604" t="s">
        <v>43390</v>
      </c>
      <c r="X12604" t="s">
        <v>46586</v>
      </c>
    </row>
    <row r="12605" spans="1:24">
      <c r="A12605">
        <f>HYPERLINK("https://www.philgeps.gov.ph/GEPSNONPILOT/Tender/SplashBidNoticeAbstractUI.aspx?menuIndex=3&amp;refID=7041189&amp;Result=3","7041189")</f>
        <v>0</v>
      </c>
      <c r="B12605" t="s">
        <v>1920</v>
      </c>
      <c r="C12605" t="s">
        <v>15492</v>
      </c>
      <c r="D12605" t="s">
        <v>18789</v>
      </c>
      <c r="E12605" t="s">
        <v>29713</v>
      </c>
      <c r="F12605" t="s">
        <v>32664</v>
      </c>
      <c r="G12605" t="s">
        <v>32672</v>
      </c>
      <c r="H12605" t="s">
        <v>32683</v>
      </c>
      <c r="I12605" t="s">
        <v>10627</v>
      </c>
      <c r="J12605" t="s">
        <v>32930</v>
      </c>
      <c r="K12605" t="s">
        <v>42290</v>
      </c>
      <c r="M12605" t="s">
        <v>44641</v>
      </c>
      <c r="N12605" t="s">
        <v>46569</v>
      </c>
      <c r="O12605" t="s">
        <v>46570</v>
      </c>
      <c r="P12605">
        <v>0</v>
      </c>
      <c r="Q12605">
        <v>1</v>
      </c>
      <c r="R12605" t="s">
        <v>46584</v>
      </c>
      <c r="S12605" t="s">
        <v>47063</v>
      </c>
      <c r="T12605" t="s">
        <v>48287</v>
      </c>
      <c r="U12605" t="s">
        <v>58922</v>
      </c>
      <c r="V12605" t="s">
        <v>63012</v>
      </c>
      <c r="W12605" t="s">
        <v>44641</v>
      </c>
      <c r="X12605" t="s">
        <v>46585</v>
      </c>
    </row>
    <row r="12606" spans="1:24">
      <c r="A12606">
        <f>HYPERLINK("https://www.philgeps.gov.ph/GEPSNONPILOT/Tender/SplashBidNoticeAbstractUI.aspx?menuIndex=3&amp;refID=7041330&amp;Result=3","7041330")</f>
        <v>0</v>
      </c>
      <c r="B12606" t="s">
        <v>438</v>
      </c>
      <c r="C12606" t="s">
        <v>15493</v>
      </c>
      <c r="D12606" t="s">
        <v>18855</v>
      </c>
      <c r="E12606" t="s">
        <v>29714</v>
      </c>
      <c r="F12606" t="s">
        <v>32664</v>
      </c>
      <c r="G12606" t="s">
        <v>32672</v>
      </c>
      <c r="H12606" t="s">
        <v>32683</v>
      </c>
      <c r="I12606" t="s">
        <v>10627</v>
      </c>
      <c r="J12606" t="s">
        <v>39010</v>
      </c>
      <c r="K12606" t="s">
        <v>42478</v>
      </c>
      <c r="M12606" t="s">
        <v>43010</v>
      </c>
      <c r="N12606" t="s">
        <v>46569</v>
      </c>
      <c r="O12606" t="s">
        <v>46570</v>
      </c>
      <c r="Q12606">
        <v>3</v>
      </c>
      <c r="R12606" t="s">
        <v>46584</v>
      </c>
      <c r="S12606" t="s">
        <v>47076</v>
      </c>
      <c r="T12606" t="s">
        <v>48268</v>
      </c>
      <c r="U12606" t="s">
        <v>58923</v>
      </c>
      <c r="W12606" t="s">
        <v>43010</v>
      </c>
      <c r="X12606" t="s">
        <v>46585</v>
      </c>
    </row>
    <row r="12607" spans="1:24">
      <c r="A12607">
        <f>HYPERLINK("https://www.philgeps.gov.ph/GEPSNONPILOT/Tender/SplashBidNoticeAbstractUI.aspx?menuIndex=3&amp;refID=7041322&amp;Result=3","7041322")</f>
        <v>0</v>
      </c>
      <c r="B12607" t="s">
        <v>3226</v>
      </c>
      <c r="C12607" t="s">
        <v>15494</v>
      </c>
      <c r="D12607" t="s">
        <v>18805</v>
      </c>
      <c r="E12607" t="s">
        <v>29715</v>
      </c>
      <c r="F12607" t="s">
        <v>32664</v>
      </c>
      <c r="G12607" t="s">
        <v>32672</v>
      </c>
      <c r="H12607" t="s">
        <v>12635</v>
      </c>
      <c r="I12607" t="s">
        <v>11464</v>
      </c>
      <c r="J12607" t="s">
        <v>35701</v>
      </c>
      <c r="K12607" t="s">
        <v>42281</v>
      </c>
      <c r="M12607" t="s">
        <v>46146</v>
      </c>
      <c r="N12607" t="s">
        <v>46569</v>
      </c>
      <c r="O12607" t="s">
        <v>46570</v>
      </c>
      <c r="P12607">
        <v>0</v>
      </c>
      <c r="Q12607">
        <v>3</v>
      </c>
      <c r="R12607" t="s">
        <v>46584</v>
      </c>
      <c r="S12607" t="s">
        <v>47063</v>
      </c>
      <c r="T12607" t="s">
        <v>48661</v>
      </c>
      <c r="U12607" t="s">
        <v>58924</v>
      </c>
      <c r="W12607" t="s">
        <v>46146</v>
      </c>
      <c r="X12607" t="s">
        <v>46585</v>
      </c>
    </row>
    <row r="12608" spans="1:24">
      <c r="A12608">
        <f>HYPERLINK("https://www.philgeps.gov.ph/GEPSNONPILOT/Tender/SplashBidNoticeAbstractUI.aspx?menuIndex=3&amp;refID=7009914&amp;Result=3","7009914")</f>
        <v>0</v>
      </c>
      <c r="B12608" t="s">
        <v>2735</v>
      </c>
      <c r="C12608" t="s">
        <v>15495</v>
      </c>
      <c r="D12608" t="s">
        <v>18806</v>
      </c>
      <c r="E12608" t="s">
        <v>27191</v>
      </c>
      <c r="F12608" t="s">
        <v>32664</v>
      </c>
      <c r="G12608" t="s">
        <v>32672</v>
      </c>
      <c r="H12608" t="s">
        <v>12635</v>
      </c>
      <c r="I12608" t="s">
        <v>10370</v>
      </c>
      <c r="J12608" t="s">
        <v>34924</v>
      </c>
      <c r="K12608" t="s">
        <v>42281</v>
      </c>
      <c r="M12608" t="s">
        <v>45569</v>
      </c>
      <c r="N12608" t="s">
        <v>46569</v>
      </c>
      <c r="O12608" t="s">
        <v>46570</v>
      </c>
      <c r="P12608">
        <v>0</v>
      </c>
      <c r="Q12608">
        <v>3</v>
      </c>
      <c r="R12608" t="s">
        <v>46584</v>
      </c>
      <c r="S12608" t="s">
        <v>47063</v>
      </c>
      <c r="T12608" t="s">
        <v>48312</v>
      </c>
      <c r="U12608" t="s">
        <v>58925</v>
      </c>
      <c r="W12608" t="s">
        <v>45569</v>
      </c>
      <c r="X12608" t="s">
        <v>46600</v>
      </c>
    </row>
    <row r="12609" spans="1:24">
      <c r="A12609">
        <f>HYPERLINK("https://www.philgeps.gov.ph/GEPSNONPILOT/Tender/SplashBidNoticeAbstractUI.aspx?menuIndex=3&amp;refID=7041311&amp;Result=3","7041311")</f>
        <v>0</v>
      </c>
      <c r="B12609" t="s">
        <v>679</v>
      </c>
      <c r="C12609" t="s">
        <v>15496</v>
      </c>
      <c r="D12609" t="s">
        <v>18831</v>
      </c>
      <c r="E12609" t="s">
        <v>29716</v>
      </c>
      <c r="F12609" t="s">
        <v>32664</v>
      </c>
      <c r="G12609" t="s">
        <v>32672</v>
      </c>
      <c r="H12609" t="s">
        <v>12635</v>
      </c>
      <c r="I12609" t="s">
        <v>10361</v>
      </c>
      <c r="J12609" t="s">
        <v>32962</v>
      </c>
      <c r="K12609" t="s">
        <v>42281</v>
      </c>
      <c r="M12609" t="s">
        <v>43266</v>
      </c>
      <c r="N12609" t="s">
        <v>46569</v>
      </c>
      <c r="O12609" t="s">
        <v>46570</v>
      </c>
      <c r="P12609">
        <v>0</v>
      </c>
      <c r="Q12609">
        <v>1</v>
      </c>
      <c r="R12609" t="s">
        <v>46584</v>
      </c>
      <c r="S12609" t="s">
        <v>47063</v>
      </c>
      <c r="T12609" t="s">
        <v>48226</v>
      </c>
      <c r="U12609" t="s">
        <v>58926</v>
      </c>
      <c r="W12609" t="s">
        <v>43266</v>
      </c>
      <c r="X12609" t="s">
        <v>46585</v>
      </c>
    </row>
    <row r="12610" spans="1:24">
      <c r="A12610">
        <f>HYPERLINK("https://www.philgeps.gov.ph/GEPSNONPILOT/Tender/SplashBidNoticeAbstractUI.aspx?menuIndex=3&amp;refID=7041326&amp;Result=3","7041326")</f>
        <v>0</v>
      </c>
      <c r="B12610" t="s">
        <v>678</v>
      </c>
      <c r="C12610" t="s">
        <v>15497</v>
      </c>
      <c r="E12610" t="s">
        <v>29717</v>
      </c>
      <c r="F12610" t="s">
        <v>32664</v>
      </c>
      <c r="G12610" t="s">
        <v>32672</v>
      </c>
      <c r="H12610" t="s">
        <v>12635</v>
      </c>
      <c r="I12610" t="s">
        <v>32736</v>
      </c>
      <c r="J12610" t="s">
        <v>33371</v>
      </c>
      <c r="K12610" t="s">
        <v>42283</v>
      </c>
      <c r="M12610" t="s">
        <v>43265</v>
      </c>
      <c r="N12610" t="s">
        <v>46569</v>
      </c>
      <c r="O12610" t="s">
        <v>46570</v>
      </c>
      <c r="P12610">
        <v>0</v>
      </c>
      <c r="Q12610">
        <v>0</v>
      </c>
      <c r="R12610" t="s">
        <v>46584</v>
      </c>
      <c r="S12610" t="s">
        <v>47063</v>
      </c>
      <c r="T12610" t="s">
        <v>48580</v>
      </c>
      <c r="U12610" t="s">
        <v>58927</v>
      </c>
      <c r="W12610" t="s">
        <v>43265</v>
      </c>
      <c r="X12610" t="s">
        <v>46585</v>
      </c>
    </row>
    <row r="12611" spans="1:24">
      <c r="A12611">
        <f>HYPERLINK("https://www.philgeps.gov.ph/GEPSNONPILOT/Tender/SplashBidNoticeAbstractUI.aspx?menuIndex=3&amp;refID=7041341&amp;Result=3","7041341")</f>
        <v>0</v>
      </c>
      <c r="B12611" t="s">
        <v>3227</v>
      </c>
      <c r="C12611" t="s">
        <v>15498</v>
      </c>
      <c r="D12611" t="s">
        <v>18831</v>
      </c>
      <c r="E12611" t="s">
        <v>29718</v>
      </c>
      <c r="F12611" t="s">
        <v>32664</v>
      </c>
      <c r="G12611" t="s">
        <v>32672</v>
      </c>
      <c r="H12611" t="s">
        <v>12635</v>
      </c>
      <c r="I12611" t="s">
        <v>10590</v>
      </c>
      <c r="J12611" t="s">
        <v>40270</v>
      </c>
      <c r="K12611" t="s">
        <v>42289</v>
      </c>
      <c r="M12611" t="s">
        <v>46147</v>
      </c>
      <c r="N12611" t="s">
        <v>46569</v>
      </c>
      <c r="O12611" t="s">
        <v>46570</v>
      </c>
      <c r="P12611">
        <v>0</v>
      </c>
      <c r="Q12611">
        <v>1</v>
      </c>
      <c r="R12611" t="s">
        <v>46584</v>
      </c>
      <c r="S12611" t="s">
        <v>47063</v>
      </c>
      <c r="T12611" t="s">
        <v>48304</v>
      </c>
      <c r="U12611" t="s">
        <v>58928</v>
      </c>
      <c r="V12611" t="s">
        <v>63013</v>
      </c>
      <c r="W12611" t="s">
        <v>46147</v>
      </c>
      <c r="X12611" t="s">
        <v>46585</v>
      </c>
    </row>
    <row r="12612" spans="1:24">
      <c r="A12612">
        <f>HYPERLINK("https://www.philgeps.gov.ph/GEPSNONPILOT/Tender/SplashBidNoticeAbstractUI.aspx?menuIndex=3&amp;refID=7041302&amp;Result=3","7041302")</f>
        <v>0</v>
      </c>
      <c r="B12612" t="s">
        <v>678</v>
      </c>
      <c r="C12612" t="s">
        <v>15499</v>
      </c>
      <c r="E12612" t="s">
        <v>29719</v>
      </c>
      <c r="F12612" t="s">
        <v>32664</v>
      </c>
      <c r="G12612" t="s">
        <v>32672</v>
      </c>
      <c r="H12612" t="s">
        <v>12635</v>
      </c>
      <c r="I12612" t="s">
        <v>7709</v>
      </c>
      <c r="J12612" t="s">
        <v>40271</v>
      </c>
      <c r="K12612" t="s">
        <v>42283</v>
      </c>
      <c r="M12612" t="s">
        <v>43265</v>
      </c>
      <c r="N12612" t="s">
        <v>46569</v>
      </c>
      <c r="O12612" t="s">
        <v>46570</v>
      </c>
      <c r="P12612">
        <v>0</v>
      </c>
      <c r="Q12612">
        <v>0</v>
      </c>
      <c r="R12612" t="s">
        <v>46584</v>
      </c>
      <c r="S12612" t="s">
        <v>47063</v>
      </c>
      <c r="T12612" t="s">
        <v>48580</v>
      </c>
      <c r="U12612" t="s">
        <v>58927</v>
      </c>
      <c r="W12612" t="s">
        <v>43265</v>
      </c>
      <c r="X12612" t="s">
        <v>46585</v>
      </c>
    </row>
    <row r="12613" spans="1:24">
      <c r="A12613">
        <f>HYPERLINK("https://www.philgeps.gov.ph/GEPSNONPILOT/Tender/SplashBidNoticeAbstractUI.aspx?menuIndex=3&amp;refID=7041288&amp;Result=3","7041288")</f>
        <v>0</v>
      </c>
      <c r="B12613" t="s">
        <v>1920</v>
      </c>
      <c r="C12613" t="s">
        <v>15500</v>
      </c>
      <c r="D12613" t="s">
        <v>18789</v>
      </c>
      <c r="E12613" t="s">
        <v>29713</v>
      </c>
      <c r="F12613" t="s">
        <v>32664</v>
      </c>
      <c r="G12613" t="s">
        <v>32672</v>
      </c>
      <c r="H12613" t="s">
        <v>32683</v>
      </c>
      <c r="I12613" t="s">
        <v>10627</v>
      </c>
      <c r="J12613" t="s">
        <v>32859</v>
      </c>
      <c r="K12613" t="s">
        <v>42281</v>
      </c>
      <c r="M12613" t="s">
        <v>44641</v>
      </c>
      <c r="N12613" t="s">
        <v>46569</v>
      </c>
      <c r="O12613" t="s">
        <v>46570</v>
      </c>
      <c r="P12613">
        <v>0</v>
      </c>
      <c r="Q12613">
        <v>0</v>
      </c>
      <c r="R12613" t="s">
        <v>46584</v>
      </c>
      <c r="S12613" t="s">
        <v>47063</v>
      </c>
      <c r="T12613" t="s">
        <v>48287</v>
      </c>
      <c r="U12613" t="s">
        <v>58929</v>
      </c>
      <c r="V12613" t="s">
        <v>63014</v>
      </c>
      <c r="W12613" t="s">
        <v>44641</v>
      </c>
      <c r="X12613" t="s">
        <v>46585</v>
      </c>
    </row>
    <row r="12614" spans="1:24">
      <c r="A12614">
        <f>HYPERLINK("https://www.philgeps.gov.ph/GEPSNONPILOT/Tender/SplashBidNoticeAbstractUI.aspx?menuIndex=3&amp;refID=7041284&amp;Result=3","7041284")</f>
        <v>0</v>
      </c>
      <c r="B12614" t="s">
        <v>678</v>
      </c>
      <c r="C12614" t="s">
        <v>15501</v>
      </c>
      <c r="E12614" t="s">
        <v>29720</v>
      </c>
      <c r="F12614" t="s">
        <v>32664</v>
      </c>
      <c r="G12614" t="s">
        <v>32672</v>
      </c>
      <c r="H12614" t="s">
        <v>32682</v>
      </c>
      <c r="I12614" t="s">
        <v>9946</v>
      </c>
      <c r="J12614" t="s">
        <v>40272</v>
      </c>
      <c r="K12614" t="s">
        <v>42291</v>
      </c>
      <c r="M12614" t="s">
        <v>43265</v>
      </c>
      <c r="N12614" t="s">
        <v>46569</v>
      </c>
      <c r="O12614" t="s">
        <v>46570</v>
      </c>
      <c r="P12614">
        <v>0</v>
      </c>
      <c r="Q12614">
        <v>1</v>
      </c>
      <c r="R12614" t="s">
        <v>46584</v>
      </c>
      <c r="S12614" t="s">
        <v>47063</v>
      </c>
      <c r="T12614" t="s">
        <v>48580</v>
      </c>
      <c r="U12614" t="s">
        <v>58930</v>
      </c>
      <c r="W12614" t="s">
        <v>43265</v>
      </c>
      <c r="X12614" t="s">
        <v>46585</v>
      </c>
    </row>
    <row r="12615" spans="1:24">
      <c r="A12615">
        <f>HYPERLINK("https://www.philgeps.gov.ph/GEPSNONPILOT/Tender/SplashBidNoticeAbstractUI.aspx?menuIndex=3&amp;refID=7041283&amp;Result=3","7041283")</f>
        <v>0</v>
      </c>
      <c r="B12615" t="s">
        <v>2202</v>
      </c>
      <c r="C12615" t="s">
        <v>15502</v>
      </c>
      <c r="D12615" t="s">
        <v>18844</v>
      </c>
      <c r="E12615" t="s">
        <v>29721</v>
      </c>
      <c r="F12615" t="s">
        <v>32664</v>
      </c>
      <c r="G12615" t="s">
        <v>32672</v>
      </c>
      <c r="H12615" t="s">
        <v>12635</v>
      </c>
      <c r="I12615" t="s">
        <v>4439</v>
      </c>
      <c r="J12615" t="s">
        <v>40273</v>
      </c>
      <c r="K12615" t="s">
        <v>42303</v>
      </c>
      <c r="M12615" t="s">
        <v>44966</v>
      </c>
      <c r="N12615" t="s">
        <v>46569</v>
      </c>
      <c r="O12615" t="s">
        <v>46570</v>
      </c>
      <c r="P12615">
        <v>0</v>
      </c>
      <c r="Q12615">
        <v>0</v>
      </c>
      <c r="R12615" t="s">
        <v>46584</v>
      </c>
      <c r="S12615" t="s">
        <v>47063</v>
      </c>
      <c r="T12615" t="s">
        <v>48237</v>
      </c>
      <c r="U12615" t="s">
        <v>58931</v>
      </c>
      <c r="V12615" t="s">
        <v>62566</v>
      </c>
      <c r="W12615" t="s">
        <v>44966</v>
      </c>
      <c r="X12615" t="s">
        <v>46585</v>
      </c>
    </row>
    <row r="12616" spans="1:24">
      <c r="A12616">
        <f>HYPERLINK("https://www.philgeps.gov.ph/GEPSNONPILOT/Tender/SplashBidNoticeAbstractUI.aspx?menuIndex=3&amp;refID=7041279&amp;Result=3","7041279")</f>
        <v>0</v>
      </c>
      <c r="B12616" t="s">
        <v>3077</v>
      </c>
      <c r="C12616" t="s">
        <v>15503</v>
      </c>
      <c r="D12616" t="s">
        <v>18790</v>
      </c>
      <c r="E12616" t="s">
        <v>29722</v>
      </c>
      <c r="F12616" t="s">
        <v>32664</v>
      </c>
      <c r="G12616" t="s">
        <v>32672</v>
      </c>
      <c r="H12616" t="s">
        <v>32683</v>
      </c>
      <c r="I12616" t="s">
        <v>10627</v>
      </c>
      <c r="J12616" t="s">
        <v>32982</v>
      </c>
      <c r="K12616" t="s">
        <v>42311</v>
      </c>
      <c r="M12616" t="s">
        <v>45958</v>
      </c>
      <c r="N12616" t="s">
        <v>46569</v>
      </c>
      <c r="O12616" t="s">
        <v>46570</v>
      </c>
      <c r="P12616">
        <v>0</v>
      </c>
      <c r="Q12616">
        <v>0</v>
      </c>
      <c r="R12616" t="s">
        <v>46584</v>
      </c>
      <c r="S12616" t="s">
        <v>47063</v>
      </c>
      <c r="T12616" t="s">
        <v>48304</v>
      </c>
      <c r="U12616" t="s">
        <v>58932</v>
      </c>
      <c r="V12616" t="s">
        <v>63015</v>
      </c>
      <c r="W12616" t="s">
        <v>45958</v>
      </c>
      <c r="X12616" t="s">
        <v>46585</v>
      </c>
    </row>
    <row r="12617" spans="1:24">
      <c r="A12617">
        <f>HYPERLINK("https://www.philgeps.gov.ph/GEPSNONPILOT/Tender/SplashBidNoticeAbstractUI.aspx?menuIndex=3&amp;refID=7040481&amp;Result=3","7040481")</f>
        <v>0</v>
      </c>
      <c r="B12617" t="s">
        <v>3223</v>
      </c>
      <c r="C12617" t="s">
        <v>15504</v>
      </c>
      <c r="E12617" t="s">
        <v>20711</v>
      </c>
      <c r="F12617" t="s">
        <v>32664</v>
      </c>
      <c r="G12617" t="s">
        <v>32672</v>
      </c>
      <c r="H12617" t="s">
        <v>12635</v>
      </c>
      <c r="I12617" t="s">
        <v>4439</v>
      </c>
      <c r="J12617" t="s">
        <v>40274</v>
      </c>
      <c r="K12617" t="s">
        <v>42289</v>
      </c>
      <c r="M12617" t="s">
        <v>46143</v>
      </c>
      <c r="N12617" t="s">
        <v>46569</v>
      </c>
      <c r="O12617" t="s">
        <v>46570</v>
      </c>
      <c r="P12617">
        <v>0</v>
      </c>
      <c r="Q12617">
        <v>0</v>
      </c>
      <c r="R12617" t="s">
        <v>46584</v>
      </c>
      <c r="S12617" t="s">
        <v>47063</v>
      </c>
      <c r="T12617" t="s">
        <v>48330</v>
      </c>
      <c r="U12617" t="s">
        <v>58916</v>
      </c>
      <c r="W12617" t="s">
        <v>46143</v>
      </c>
      <c r="X12617" t="s">
        <v>46586</v>
      </c>
    </row>
    <row r="12618" spans="1:24">
      <c r="A12618">
        <f>HYPERLINK("https://www.philgeps.gov.ph/GEPSNONPILOT/Tender/SplashBidNoticeAbstractUI.aspx?menuIndex=3&amp;refID=7041264&amp;Result=3","7041264")</f>
        <v>0</v>
      </c>
      <c r="B12618" t="s">
        <v>679</v>
      </c>
      <c r="C12618" t="s">
        <v>15505</v>
      </c>
      <c r="D12618" t="s">
        <v>18831</v>
      </c>
      <c r="E12618" t="s">
        <v>29723</v>
      </c>
      <c r="F12618" t="s">
        <v>32664</v>
      </c>
      <c r="G12618" t="s">
        <v>32672</v>
      </c>
      <c r="H12618" t="s">
        <v>12635</v>
      </c>
      <c r="I12618" t="s">
        <v>32692</v>
      </c>
      <c r="J12618" t="s">
        <v>40275</v>
      </c>
      <c r="K12618" t="s">
        <v>42281</v>
      </c>
      <c r="M12618" t="s">
        <v>43266</v>
      </c>
      <c r="N12618" t="s">
        <v>46569</v>
      </c>
      <c r="O12618" t="s">
        <v>46570</v>
      </c>
      <c r="P12618">
        <v>0</v>
      </c>
      <c r="Q12618">
        <v>4</v>
      </c>
      <c r="R12618" t="s">
        <v>46584</v>
      </c>
      <c r="S12618" t="s">
        <v>47063</v>
      </c>
      <c r="T12618" t="s">
        <v>48226</v>
      </c>
      <c r="U12618" t="s">
        <v>58926</v>
      </c>
      <c r="V12618" t="s">
        <v>63016</v>
      </c>
      <c r="W12618" t="s">
        <v>43266</v>
      </c>
      <c r="X12618" t="s">
        <v>46585</v>
      </c>
    </row>
    <row r="12619" spans="1:24">
      <c r="A12619">
        <f>HYPERLINK("https://www.philgeps.gov.ph/GEPSNONPILOT/Tender/SplashBidNoticeAbstractUI.aspx?menuIndex=3&amp;refID=7041291&amp;Result=3","7041291")</f>
        <v>0</v>
      </c>
      <c r="B12619" t="s">
        <v>3226</v>
      </c>
      <c r="C12619" t="s">
        <v>15506</v>
      </c>
      <c r="D12619" t="s">
        <v>18805</v>
      </c>
      <c r="E12619" t="s">
        <v>29724</v>
      </c>
      <c r="F12619" t="s">
        <v>32664</v>
      </c>
      <c r="G12619" t="s">
        <v>32672</v>
      </c>
      <c r="H12619" t="s">
        <v>12635</v>
      </c>
      <c r="I12619" t="s">
        <v>6628</v>
      </c>
      <c r="J12619" t="s">
        <v>32981</v>
      </c>
      <c r="K12619" t="s">
        <v>42281</v>
      </c>
      <c r="M12619" t="s">
        <v>46146</v>
      </c>
      <c r="N12619" t="s">
        <v>46569</v>
      </c>
      <c r="O12619" t="s">
        <v>46570</v>
      </c>
      <c r="P12619">
        <v>0</v>
      </c>
      <c r="Q12619">
        <v>10</v>
      </c>
      <c r="R12619" t="s">
        <v>46584</v>
      </c>
      <c r="S12619" t="s">
        <v>47063</v>
      </c>
      <c r="T12619" t="s">
        <v>48661</v>
      </c>
      <c r="U12619" t="s">
        <v>58933</v>
      </c>
      <c r="W12619" t="s">
        <v>46146</v>
      </c>
      <c r="X12619" t="s">
        <v>46585</v>
      </c>
    </row>
    <row r="12620" spans="1:24">
      <c r="A12620">
        <f>HYPERLINK("https://www.philgeps.gov.ph/GEPSNONPILOT/Tender/SplashBidNoticeAbstractUI.aspx?menuIndex=3&amp;refID=7044008&amp;Result=3","7044008")</f>
        <v>0</v>
      </c>
      <c r="B12620" t="s">
        <v>3072</v>
      </c>
      <c r="C12620" t="s">
        <v>15507</v>
      </c>
      <c r="D12620" t="s">
        <v>18784</v>
      </c>
      <c r="E12620" t="s">
        <v>29725</v>
      </c>
      <c r="F12620" t="s">
        <v>32664</v>
      </c>
      <c r="G12620" t="s">
        <v>32672</v>
      </c>
      <c r="H12620" t="s">
        <v>32683</v>
      </c>
      <c r="I12620" t="s">
        <v>10374</v>
      </c>
      <c r="J12620" t="s">
        <v>32943</v>
      </c>
      <c r="K12620" t="s">
        <v>42283</v>
      </c>
      <c r="M12620" t="s">
        <v>45952</v>
      </c>
      <c r="N12620" t="s">
        <v>46569</v>
      </c>
      <c r="O12620" t="s">
        <v>46570</v>
      </c>
      <c r="P12620">
        <v>0</v>
      </c>
      <c r="Q12620">
        <v>11</v>
      </c>
      <c r="R12620" t="s">
        <v>46581</v>
      </c>
      <c r="S12620" t="s">
        <v>47012</v>
      </c>
      <c r="T12620" t="s">
        <v>48236</v>
      </c>
      <c r="U12620" t="s">
        <v>58934</v>
      </c>
      <c r="W12620" t="s">
        <v>45952</v>
      </c>
      <c r="X12620" t="s">
        <v>46582</v>
      </c>
    </row>
    <row r="12621" spans="1:24">
      <c r="A12621">
        <f>HYPERLINK("https://www.philgeps.gov.ph/GEPSNONPILOT/Tender/SplashBidNoticeAbstractUI.aspx?menuIndex=3&amp;refID=7041247&amp;Result=3","7041247")</f>
        <v>0</v>
      </c>
      <c r="B12621" t="s">
        <v>2202</v>
      </c>
      <c r="C12621" t="s">
        <v>15508</v>
      </c>
      <c r="D12621" t="s">
        <v>18844</v>
      </c>
      <c r="E12621" t="s">
        <v>29726</v>
      </c>
      <c r="F12621" t="s">
        <v>32664</v>
      </c>
      <c r="G12621" t="s">
        <v>32672</v>
      </c>
      <c r="H12621" t="s">
        <v>12635</v>
      </c>
      <c r="I12621" t="s">
        <v>4439</v>
      </c>
      <c r="J12621" t="s">
        <v>40276</v>
      </c>
      <c r="K12621" t="s">
        <v>42303</v>
      </c>
      <c r="M12621" t="s">
        <v>44966</v>
      </c>
      <c r="N12621" t="s">
        <v>46569</v>
      </c>
      <c r="O12621" t="s">
        <v>46570</v>
      </c>
      <c r="P12621">
        <v>0</v>
      </c>
      <c r="Q12621">
        <v>0</v>
      </c>
      <c r="R12621" t="s">
        <v>46584</v>
      </c>
      <c r="S12621" t="s">
        <v>47063</v>
      </c>
      <c r="T12621" t="s">
        <v>48237</v>
      </c>
      <c r="U12621" t="s">
        <v>58935</v>
      </c>
      <c r="V12621" t="s">
        <v>62566</v>
      </c>
      <c r="W12621" t="s">
        <v>44966</v>
      </c>
      <c r="X12621" t="s">
        <v>46585</v>
      </c>
    </row>
    <row r="12622" spans="1:24">
      <c r="A12622">
        <f>HYPERLINK("https://www.philgeps.gov.ph/GEPSNONPILOT/Tender/SplashBidNoticeAbstractUI.aspx?menuIndex=3&amp;refID=7041454&amp;Result=3","7041454")</f>
        <v>0</v>
      </c>
      <c r="B12622" t="s">
        <v>679</v>
      </c>
      <c r="C12622" t="s">
        <v>15509</v>
      </c>
      <c r="D12622" t="s">
        <v>18831</v>
      </c>
      <c r="E12622" t="s">
        <v>29727</v>
      </c>
      <c r="F12622" t="s">
        <v>32664</v>
      </c>
      <c r="G12622" t="s">
        <v>32672</v>
      </c>
      <c r="H12622" t="s">
        <v>12635</v>
      </c>
      <c r="I12622" t="s">
        <v>32685</v>
      </c>
      <c r="J12622" t="s">
        <v>34041</v>
      </c>
      <c r="K12622" t="s">
        <v>42281</v>
      </c>
      <c r="M12622" t="s">
        <v>43266</v>
      </c>
      <c r="N12622" t="s">
        <v>46569</v>
      </c>
      <c r="O12622" t="s">
        <v>46570</v>
      </c>
      <c r="P12622">
        <v>0</v>
      </c>
      <c r="Q12622">
        <v>7</v>
      </c>
      <c r="R12622" t="s">
        <v>46584</v>
      </c>
      <c r="S12622" t="s">
        <v>47063</v>
      </c>
      <c r="T12622" t="s">
        <v>48226</v>
      </c>
      <c r="U12622" t="s">
        <v>58926</v>
      </c>
      <c r="W12622" t="s">
        <v>43266</v>
      </c>
      <c r="X12622" t="s">
        <v>46585</v>
      </c>
    </row>
    <row r="12623" spans="1:24">
      <c r="A12623">
        <f>HYPERLINK("https://www.philgeps.gov.ph/GEPSNONPILOT/Tender/SplashBidNoticeAbstractUI.aspx?menuIndex=3&amp;refID=7041453&amp;Result=3","7041453")</f>
        <v>0</v>
      </c>
      <c r="B12623" t="s">
        <v>1838</v>
      </c>
      <c r="C12623" t="s">
        <v>15510</v>
      </c>
      <c r="D12623" t="s">
        <v>18799</v>
      </c>
      <c r="E12623" t="s">
        <v>29728</v>
      </c>
      <c r="F12623" t="s">
        <v>32664</v>
      </c>
      <c r="G12623" t="s">
        <v>32674</v>
      </c>
      <c r="H12623" t="s">
        <v>12635</v>
      </c>
      <c r="I12623" t="s">
        <v>8730</v>
      </c>
      <c r="J12623" t="s">
        <v>40277</v>
      </c>
      <c r="K12623" t="s">
        <v>42281</v>
      </c>
      <c r="M12623" t="s">
        <v>44546</v>
      </c>
      <c r="N12623" t="s">
        <v>46569</v>
      </c>
      <c r="O12623" t="s">
        <v>46570</v>
      </c>
      <c r="Q12623">
        <v>6</v>
      </c>
      <c r="R12623" t="s">
        <v>46584</v>
      </c>
      <c r="S12623" t="s">
        <v>46738</v>
      </c>
      <c r="T12623" t="s">
        <v>48473</v>
      </c>
      <c r="U12623" t="s">
        <v>49565</v>
      </c>
      <c r="W12623" t="s">
        <v>44546</v>
      </c>
      <c r="X12623" t="s">
        <v>46585</v>
      </c>
    </row>
    <row r="12624" spans="1:24">
      <c r="A12624">
        <f>HYPERLINK("https://www.philgeps.gov.ph/GEPSNONPILOT/Tender/SplashBidNoticeAbstractUI.aspx?menuIndex=3&amp;refID=7041532&amp;Result=3","7041532")</f>
        <v>0</v>
      </c>
      <c r="B12624" t="s">
        <v>3127</v>
      </c>
      <c r="C12624" t="s">
        <v>15511</v>
      </c>
      <c r="D12624" t="s">
        <v>18792</v>
      </c>
      <c r="E12624" t="s">
        <v>29729</v>
      </c>
      <c r="F12624" t="s">
        <v>32664</v>
      </c>
      <c r="G12624" t="s">
        <v>32672</v>
      </c>
      <c r="H12624" t="s">
        <v>12635</v>
      </c>
      <c r="I12624" t="s">
        <v>11464</v>
      </c>
      <c r="J12624" t="s">
        <v>40278</v>
      </c>
      <c r="K12624" t="s">
        <v>42281</v>
      </c>
      <c r="M12624" t="s">
        <v>46020</v>
      </c>
      <c r="N12624" t="s">
        <v>46569</v>
      </c>
      <c r="O12624" t="s">
        <v>46570</v>
      </c>
      <c r="P12624">
        <v>0</v>
      </c>
      <c r="Q12624">
        <v>3</v>
      </c>
      <c r="R12624" t="s">
        <v>46584</v>
      </c>
      <c r="S12624" t="s">
        <v>47063</v>
      </c>
      <c r="T12624" t="s">
        <v>48225</v>
      </c>
      <c r="U12624" t="s">
        <v>58936</v>
      </c>
      <c r="V12624" t="s">
        <v>61668</v>
      </c>
      <c r="W12624" t="s">
        <v>46020</v>
      </c>
      <c r="X12624" t="s">
        <v>46585</v>
      </c>
    </row>
    <row r="12625" spans="1:24">
      <c r="A12625">
        <f>HYPERLINK("https://www.philgeps.gov.ph/GEPSNONPILOT/Tender/SplashBidNoticeAbstractUI.aspx?menuIndex=3&amp;refID=7041428&amp;Result=3","7041428")</f>
        <v>0</v>
      </c>
      <c r="B12625" t="s">
        <v>1967</v>
      </c>
      <c r="C12625" t="s">
        <v>15512</v>
      </c>
      <c r="D12625" t="s">
        <v>18820</v>
      </c>
      <c r="E12625" t="s">
        <v>29730</v>
      </c>
      <c r="F12625" t="s">
        <v>32664</v>
      </c>
      <c r="G12625" t="s">
        <v>32672</v>
      </c>
      <c r="H12625" t="s">
        <v>32683</v>
      </c>
      <c r="I12625" t="s">
        <v>10627</v>
      </c>
      <c r="J12625" t="s">
        <v>34851</v>
      </c>
      <c r="K12625" t="s">
        <v>42339</v>
      </c>
      <c r="M12625" t="s">
        <v>44700</v>
      </c>
      <c r="N12625" t="s">
        <v>46569</v>
      </c>
      <c r="O12625" t="s">
        <v>46570</v>
      </c>
      <c r="P12625">
        <v>0</v>
      </c>
      <c r="Q12625">
        <v>0</v>
      </c>
      <c r="R12625" t="s">
        <v>46584</v>
      </c>
      <c r="S12625" t="s">
        <v>47063</v>
      </c>
      <c r="T12625" t="s">
        <v>48226</v>
      </c>
      <c r="U12625" t="s">
        <v>58937</v>
      </c>
      <c r="W12625" t="s">
        <v>44700</v>
      </c>
      <c r="X12625" t="s">
        <v>46585</v>
      </c>
    </row>
    <row r="12626" spans="1:24">
      <c r="A12626">
        <f>HYPERLINK("https://www.philgeps.gov.ph/GEPSNONPILOT/Tender/SplashBidNoticeAbstractUI.aspx?menuIndex=3&amp;refID=7041418&amp;Result=3","7041418")</f>
        <v>0</v>
      </c>
      <c r="B12626" t="s">
        <v>679</v>
      </c>
      <c r="C12626" t="s">
        <v>15513</v>
      </c>
      <c r="D12626" t="s">
        <v>18831</v>
      </c>
      <c r="E12626" t="s">
        <v>29731</v>
      </c>
      <c r="F12626" t="s">
        <v>32664</v>
      </c>
      <c r="G12626" t="s">
        <v>32672</v>
      </c>
      <c r="H12626" t="s">
        <v>32683</v>
      </c>
      <c r="I12626" t="s">
        <v>10627</v>
      </c>
      <c r="J12626" t="s">
        <v>40279</v>
      </c>
      <c r="K12626" t="s">
        <v>42281</v>
      </c>
      <c r="M12626" t="s">
        <v>43266</v>
      </c>
      <c r="N12626" t="s">
        <v>46569</v>
      </c>
      <c r="O12626" t="s">
        <v>46570</v>
      </c>
      <c r="P12626">
        <v>0</v>
      </c>
      <c r="Q12626">
        <v>1</v>
      </c>
      <c r="R12626" t="s">
        <v>46584</v>
      </c>
      <c r="S12626" t="s">
        <v>47063</v>
      </c>
      <c r="T12626" t="s">
        <v>48226</v>
      </c>
      <c r="U12626" t="s">
        <v>58926</v>
      </c>
      <c r="W12626" t="s">
        <v>43266</v>
      </c>
      <c r="X12626" t="s">
        <v>46585</v>
      </c>
    </row>
    <row r="12627" spans="1:24">
      <c r="A12627">
        <f>HYPERLINK("https://www.philgeps.gov.ph/GEPSNONPILOT/Tender/SplashBidNoticeAbstractUI.aspx?menuIndex=3&amp;refID=7041398&amp;Result=3","7041398")</f>
        <v>0</v>
      </c>
      <c r="B12627" t="s">
        <v>3228</v>
      </c>
      <c r="C12627" t="s">
        <v>15514</v>
      </c>
      <c r="D12627" t="s">
        <v>18813</v>
      </c>
      <c r="E12627" t="s">
        <v>19928</v>
      </c>
      <c r="F12627" t="s">
        <v>32664</v>
      </c>
      <c r="G12627" t="s">
        <v>32672</v>
      </c>
      <c r="H12627" t="s">
        <v>12635</v>
      </c>
      <c r="I12627" t="s">
        <v>4439</v>
      </c>
      <c r="J12627" t="s">
        <v>40280</v>
      </c>
      <c r="K12627" t="s">
        <v>42289</v>
      </c>
      <c r="M12627" t="s">
        <v>46148</v>
      </c>
      <c r="N12627" t="s">
        <v>46569</v>
      </c>
      <c r="O12627" t="s">
        <v>46570</v>
      </c>
      <c r="P12627">
        <v>0</v>
      </c>
      <c r="Q12627">
        <v>1</v>
      </c>
      <c r="R12627" t="s">
        <v>46584</v>
      </c>
      <c r="S12627" t="s">
        <v>47063</v>
      </c>
      <c r="T12627" t="s">
        <v>48303</v>
      </c>
      <c r="U12627" t="s">
        <v>58938</v>
      </c>
      <c r="W12627" t="s">
        <v>46148</v>
      </c>
      <c r="X12627" t="s">
        <v>46585</v>
      </c>
    </row>
    <row r="12628" spans="1:24">
      <c r="A12628">
        <f>HYPERLINK("https://www.philgeps.gov.ph/GEPSNONPILOT/Tender/SplashBidNoticeAbstractUI.aspx?menuIndex=3&amp;refID=7041258&amp;Result=3","7041258")</f>
        <v>0</v>
      </c>
      <c r="B12628" t="s">
        <v>1638</v>
      </c>
      <c r="C12628" t="s">
        <v>15515</v>
      </c>
      <c r="D12628" t="s">
        <v>18784</v>
      </c>
      <c r="E12628" t="s">
        <v>29732</v>
      </c>
      <c r="F12628" t="s">
        <v>32669</v>
      </c>
      <c r="G12628" t="s">
        <v>32671</v>
      </c>
      <c r="H12628" t="s">
        <v>12635</v>
      </c>
      <c r="I12628" t="s">
        <v>32689</v>
      </c>
      <c r="J12628" t="s">
        <v>33078</v>
      </c>
      <c r="K12628" t="s">
        <v>42284</v>
      </c>
      <c r="M12628" t="s">
        <v>44320</v>
      </c>
      <c r="N12628" t="s">
        <v>46569</v>
      </c>
      <c r="O12628" t="s">
        <v>46570</v>
      </c>
      <c r="P12628">
        <v>0</v>
      </c>
      <c r="Q12628">
        <v>18</v>
      </c>
      <c r="R12628" t="s">
        <v>46584</v>
      </c>
      <c r="S12628" t="s">
        <v>47063</v>
      </c>
      <c r="T12628" t="s">
        <v>48502</v>
      </c>
      <c r="U12628" t="s">
        <v>58939</v>
      </c>
      <c r="V12628" t="s">
        <v>63017</v>
      </c>
      <c r="W12628" t="s">
        <v>44320</v>
      </c>
      <c r="X12628" t="s">
        <v>46585</v>
      </c>
    </row>
    <row r="12629" spans="1:24">
      <c r="A12629">
        <f>HYPERLINK("https://www.philgeps.gov.ph/GEPSNONPILOT/Tender/SplashBidNoticeAbstractUI.aspx?menuIndex=3&amp;refID=7041383&amp;Result=3","7041383")</f>
        <v>0</v>
      </c>
      <c r="B12629" t="s">
        <v>2280</v>
      </c>
      <c r="C12629" t="s">
        <v>15516</v>
      </c>
      <c r="D12629" t="s">
        <v>18812</v>
      </c>
      <c r="E12629" t="s">
        <v>29733</v>
      </c>
      <c r="F12629" t="s">
        <v>32664</v>
      </c>
      <c r="G12629" t="s">
        <v>32672</v>
      </c>
      <c r="H12629" t="s">
        <v>12635</v>
      </c>
      <c r="I12629" t="s">
        <v>4439</v>
      </c>
      <c r="J12629" t="s">
        <v>38070</v>
      </c>
      <c r="K12629" t="s">
        <v>42281</v>
      </c>
      <c r="M12629" t="s">
        <v>45047</v>
      </c>
      <c r="N12629" t="s">
        <v>46569</v>
      </c>
      <c r="O12629" t="s">
        <v>46570</v>
      </c>
      <c r="P12629">
        <v>0</v>
      </c>
      <c r="Q12629">
        <v>1</v>
      </c>
      <c r="R12629" t="s">
        <v>46584</v>
      </c>
      <c r="S12629" t="s">
        <v>47063</v>
      </c>
      <c r="T12629" t="s">
        <v>48268</v>
      </c>
      <c r="U12629" t="s">
        <v>58940</v>
      </c>
      <c r="W12629" t="s">
        <v>45047</v>
      </c>
      <c r="X12629" t="s">
        <v>46585</v>
      </c>
    </row>
    <row r="12630" spans="1:24">
      <c r="A12630">
        <f>HYPERLINK("https://www.philgeps.gov.ph/GEPSNONPILOT/Tender/SplashBidNoticeAbstractUI.aspx?menuIndex=3&amp;refID=7041379&amp;Result=3","7041379")</f>
        <v>0</v>
      </c>
      <c r="B12630" t="s">
        <v>2100</v>
      </c>
      <c r="C12630" t="s">
        <v>15517</v>
      </c>
      <c r="D12630" t="s">
        <v>18818</v>
      </c>
      <c r="E12630" t="s">
        <v>29734</v>
      </c>
      <c r="F12630" t="s">
        <v>32664</v>
      </c>
      <c r="G12630" t="s">
        <v>32672</v>
      </c>
      <c r="H12630" t="s">
        <v>12635</v>
      </c>
      <c r="I12630" t="s">
        <v>11464</v>
      </c>
      <c r="J12630" t="s">
        <v>33273</v>
      </c>
      <c r="K12630" t="s">
        <v>42281</v>
      </c>
      <c r="M12630" t="s">
        <v>44855</v>
      </c>
      <c r="N12630" t="s">
        <v>46569</v>
      </c>
      <c r="O12630" t="s">
        <v>46570</v>
      </c>
      <c r="P12630">
        <v>0</v>
      </c>
      <c r="Q12630">
        <v>7</v>
      </c>
      <c r="R12630" t="s">
        <v>46584</v>
      </c>
      <c r="S12630" t="s">
        <v>47063</v>
      </c>
      <c r="T12630" t="s">
        <v>48383</v>
      </c>
      <c r="U12630" t="s">
        <v>58941</v>
      </c>
      <c r="W12630" t="s">
        <v>44855</v>
      </c>
      <c r="X12630" t="s">
        <v>46585</v>
      </c>
    </row>
    <row r="12631" spans="1:24">
      <c r="A12631">
        <f>HYPERLINK("https://www.philgeps.gov.ph/GEPSNONPILOT/Tender/SplashBidNoticeAbstractUI.aspx?menuIndex=3&amp;refID=7041388&amp;Result=3","7041388")</f>
        <v>0</v>
      </c>
      <c r="B12631" t="s">
        <v>3226</v>
      </c>
      <c r="C12631" t="s">
        <v>15518</v>
      </c>
      <c r="D12631" t="s">
        <v>18805</v>
      </c>
      <c r="E12631" t="s">
        <v>29735</v>
      </c>
      <c r="F12631" t="s">
        <v>32664</v>
      </c>
      <c r="G12631" t="s">
        <v>32672</v>
      </c>
      <c r="H12631" t="s">
        <v>12635</v>
      </c>
      <c r="I12631" t="s">
        <v>11464</v>
      </c>
      <c r="J12631" t="s">
        <v>32943</v>
      </c>
      <c r="K12631" t="s">
        <v>42281</v>
      </c>
      <c r="M12631" t="s">
        <v>46146</v>
      </c>
      <c r="N12631" t="s">
        <v>46569</v>
      </c>
      <c r="O12631" t="s">
        <v>46570</v>
      </c>
      <c r="P12631">
        <v>0</v>
      </c>
      <c r="Q12631">
        <v>6</v>
      </c>
      <c r="R12631" t="s">
        <v>46584</v>
      </c>
      <c r="S12631" t="s">
        <v>47063</v>
      </c>
      <c r="T12631" t="s">
        <v>48661</v>
      </c>
      <c r="U12631" t="s">
        <v>58942</v>
      </c>
      <c r="W12631" t="s">
        <v>46146</v>
      </c>
      <c r="X12631" t="s">
        <v>46585</v>
      </c>
    </row>
    <row r="12632" spans="1:24">
      <c r="A12632">
        <f>HYPERLINK("https://www.philgeps.gov.ph/GEPSNONPILOT/Tender/SplashBidNoticeAbstractUI.aspx?menuIndex=3&amp;refID=7040484&amp;Result=3","7040484")</f>
        <v>0</v>
      </c>
      <c r="B12632" t="s">
        <v>3214</v>
      </c>
      <c r="C12632" t="s">
        <v>15519</v>
      </c>
      <c r="D12632" t="s">
        <v>18827</v>
      </c>
      <c r="E12632" t="s">
        <v>29736</v>
      </c>
      <c r="F12632" t="s">
        <v>32664</v>
      </c>
      <c r="G12632" t="s">
        <v>32672</v>
      </c>
      <c r="H12632" t="s">
        <v>12635</v>
      </c>
      <c r="I12632" t="s">
        <v>4439</v>
      </c>
      <c r="J12632" t="s">
        <v>40281</v>
      </c>
      <c r="K12632" t="s">
        <v>42283</v>
      </c>
      <c r="M12632" t="s">
        <v>46134</v>
      </c>
      <c r="N12632" t="s">
        <v>46569</v>
      </c>
      <c r="O12632" t="s">
        <v>46570</v>
      </c>
      <c r="P12632">
        <v>0</v>
      </c>
      <c r="Q12632">
        <v>0</v>
      </c>
      <c r="R12632" t="s">
        <v>46584</v>
      </c>
      <c r="S12632" t="s">
        <v>47063</v>
      </c>
      <c r="T12632" t="s">
        <v>48248</v>
      </c>
      <c r="U12632" t="s">
        <v>58943</v>
      </c>
      <c r="W12632" t="s">
        <v>46134</v>
      </c>
      <c r="X12632" t="s">
        <v>46586</v>
      </c>
    </row>
    <row r="12633" spans="1:24">
      <c r="A12633">
        <f>HYPERLINK("https://www.philgeps.gov.ph/GEPSNONPILOT/Tender/SplashBidNoticeAbstractUI.aspx?menuIndex=3&amp;refID=7041409&amp;Result=3","7041409")</f>
        <v>0</v>
      </c>
      <c r="B12633" t="s">
        <v>1967</v>
      </c>
      <c r="C12633" t="s">
        <v>15520</v>
      </c>
      <c r="D12633" t="s">
        <v>18820</v>
      </c>
      <c r="E12633" t="s">
        <v>23193</v>
      </c>
      <c r="F12633" t="s">
        <v>32664</v>
      </c>
      <c r="G12633" t="s">
        <v>32672</v>
      </c>
      <c r="H12633" t="s">
        <v>32683</v>
      </c>
      <c r="I12633" t="s">
        <v>9597</v>
      </c>
      <c r="J12633" t="s">
        <v>33150</v>
      </c>
      <c r="K12633" t="s">
        <v>42290</v>
      </c>
      <c r="M12633" t="s">
        <v>44700</v>
      </c>
      <c r="N12633" t="s">
        <v>46569</v>
      </c>
      <c r="O12633" t="s">
        <v>46570</v>
      </c>
      <c r="P12633">
        <v>0</v>
      </c>
      <c r="Q12633">
        <v>3</v>
      </c>
      <c r="R12633" t="s">
        <v>46584</v>
      </c>
      <c r="S12633" t="s">
        <v>47063</v>
      </c>
      <c r="T12633" t="s">
        <v>48245</v>
      </c>
      <c r="U12633" t="s">
        <v>58937</v>
      </c>
      <c r="W12633" t="s">
        <v>44700</v>
      </c>
      <c r="X12633" t="s">
        <v>46585</v>
      </c>
    </row>
    <row r="12634" spans="1:24">
      <c r="A12634">
        <f>HYPERLINK("https://www.philgeps.gov.ph/GEPSNONPILOT/Tender/SplashBidNoticeAbstractUI.aspx?menuIndex=3&amp;refID=7041743&amp;Result=3","7041743")</f>
        <v>0</v>
      </c>
      <c r="B12634" t="s">
        <v>1638</v>
      </c>
      <c r="C12634" t="s">
        <v>15521</v>
      </c>
      <c r="D12634" t="s">
        <v>18784</v>
      </c>
      <c r="E12634" t="s">
        <v>29737</v>
      </c>
      <c r="F12634" t="s">
        <v>32664</v>
      </c>
      <c r="G12634" t="s">
        <v>32671</v>
      </c>
      <c r="H12634" t="s">
        <v>12635</v>
      </c>
      <c r="I12634" t="s">
        <v>6628</v>
      </c>
      <c r="J12634" t="s">
        <v>33177</v>
      </c>
      <c r="K12634" t="s">
        <v>42289</v>
      </c>
      <c r="M12634" t="s">
        <v>44320</v>
      </c>
      <c r="N12634" t="s">
        <v>46569</v>
      </c>
      <c r="O12634" t="s">
        <v>46570</v>
      </c>
      <c r="P12634">
        <v>0</v>
      </c>
      <c r="Q12634">
        <v>12</v>
      </c>
      <c r="R12634" t="s">
        <v>46584</v>
      </c>
      <c r="S12634" t="s">
        <v>47063</v>
      </c>
      <c r="T12634" t="s">
        <v>48502</v>
      </c>
      <c r="U12634" t="s">
        <v>58944</v>
      </c>
      <c r="V12634" t="s">
        <v>63018</v>
      </c>
      <c r="W12634" t="s">
        <v>44320</v>
      </c>
      <c r="X12634" t="s">
        <v>46585</v>
      </c>
    </row>
    <row r="12635" spans="1:24">
      <c r="A12635">
        <f>HYPERLINK("https://www.philgeps.gov.ph/GEPSNONPILOT/Tender/SplashBidNoticeAbstractUI.aspx?menuIndex=3&amp;refID=7041767&amp;Result=3","7041767")</f>
        <v>0</v>
      </c>
      <c r="B12635" t="s">
        <v>1046</v>
      </c>
      <c r="C12635" t="s">
        <v>15522</v>
      </c>
      <c r="D12635" t="s">
        <v>18815</v>
      </c>
      <c r="E12635" t="s">
        <v>29738</v>
      </c>
      <c r="F12635" t="s">
        <v>32664</v>
      </c>
      <c r="G12635" t="s">
        <v>32672</v>
      </c>
      <c r="H12635" t="s">
        <v>32683</v>
      </c>
      <c r="I12635" t="s">
        <v>10627</v>
      </c>
      <c r="J12635" t="s">
        <v>40282</v>
      </c>
      <c r="K12635" t="s">
        <v>42311</v>
      </c>
      <c r="M12635" t="s">
        <v>43661</v>
      </c>
      <c r="N12635" t="s">
        <v>46569</v>
      </c>
      <c r="O12635" t="s">
        <v>46570</v>
      </c>
      <c r="P12635">
        <v>0</v>
      </c>
      <c r="Q12635">
        <v>1</v>
      </c>
      <c r="R12635" t="s">
        <v>46584</v>
      </c>
      <c r="S12635" t="s">
        <v>47063</v>
      </c>
      <c r="T12635" t="s">
        <v>48221</v>
      </c>
      <c r="U12635" t="s">
        <v>58945</v>
      </c>
      <c r="V12635" t="s">
        <v>63019</v>
      </c>
      <c r="W12635" t="s">
        <v>43661</v>
      </c>
      <c r="X12635" t="s">
        <v>46585</v>
      </c>
    </row>
    <row r="12636" spans="1:24">
      <c r="A12636">
        <f>HYPERLINK("https://www.philgeps.gov.ph/GEPSNONPILOT/Tender/SplashBidNoticeAbstractUI.aspx?menuIndex=3&amp;refID=7041726&amp;Result=3","7041726")</f>
        <v>0</v>
      </c>
      <c r="B12636" t="s">
        <v>3218</v>
      </c>
      <c r="C12636" t="s">
        <v>15523</v>
      </c>
      <c r="E12636" t="s">
        <v>29739</v>
      </c>
      <c r="F12636" t="s">
        <v>32664</v>
      </c>
      <c r="G12636" t="s">
        <v>32672</v>
      </c>
      <c r="H12636" t="s">
        <v>12635</v>
      </c>
      <c r="I12636" t="s">
        <v>11464</v>
      </c>
      <c r="J12636" t="s">
        <v>40283</v>
      </c>
      <c r="K12636" t="s">
        <v>42281</v>
      </c>
      <c r="M12636" t="s">
        <v>46149</v>
      </c>
      <c r="N12636" t="s">
        <v>46569</v>
      </c>
      <c r="O12636" t="s">
        <v>46570</v>
      </c>
      <c r="P12636">
        <v>0</v>
      </c>
      <c r="Q12636">
        <v>2</v>
      </c>
      <c r="R12636" t="s">
        <v>46584</v>
      </c>
      <c r="S12636" t="s">
        <v>47063</v>
      </c>
      <c r="T12636" t="s">
        <v>48226</v>
      </c>
      <c r="U12636" t="s">
        <v>58946</v>
      </c>
      <c r="V12636" t="s">
        <v>63020</v>
      </c>
      <c r="W12636" t="s">
        <v>46149</v>
      </c>
      <c r="X12636" t="s">
        <v>46585</v>
      </c>
    </row>
    <row r="12637" spans="1:24">
      <c r="A12637">
        <f>HYPERLINK("https://www.philgeps.gov.ph/GEPSNONPILOT/Tender/SplashBidNoticeAbstractUI.aspx?menuIndex=3&amp;refID=7041713&amp;Result=3","7041713")</f>
        <v>0</v>
      </c>
      <c r="B12637" t="s">
        <v>678</v>
      </c>
      <c r="C12637" t="s">
        <v>15524</v>
      </c>
      <c r="E12637" t="s">
        <v>29740</v>
      </c>
      <c r="F12637" t="s">
        <v>32664</v>
      </c>
      <c r="G12637" t="s">
        <v>32672</v>
      </c>
      <c r="H12637" t="s">
        <v>32681</v>
      </c>
      <c r="I12637" t="s">
        <v>32681</v>
      </c>
      <c r="J12637" t="s">
        <v>40284</v>
      </c>
      <c r="K12637" t="s">
        <v>42283</v>
      </c>
      <c r="M12637" t="s">
        <v>43265</v>
      </c>
      <c r="N12637" t="s">
        <v>46569</v>
      </c>
      <c r="O12637" t="s">
        <v>46570</v>
      </c>
      <c r="P12637">
        <v>0</v>
      </c>
      <c r="Q12637">
        <v>5</v>
      </c>
      <c r="R12637" t="s">
        <v>46584</v>
      </c>
      <c r="S12637" t="s">
        <v>47063</v>
      </c>
      <c r="T12637" t="s">
        <v>48580</v>
      </c>
      <c r="U12637" t="s">
        <v>58947</v>
      </c>
      <c r="W12637" t="s">
        <v>43265</v>
      </c>
      <c r="X12637" t="s">
        <v>46585</v>
      </c>
    </row>
    <row r="12638" spans="1:24">
      <c r="A12638">
        <f>HYPERLINK("https://www.philgeps.gov.ph/GEPSNONPILOT/Tender/SplashBidNoticeAbstractUI.aspx?menuIndex=3&amp;refID=7041292&amp;Result=3","7041292")</f>
        <v>0</v>
      </c>
      <c r="B12638" t="s">
        <v>679</v>
      </c>
      <c r="C12638" t="s">
        <v>15525</v>
      </c>
      <c r="D12638" t="s">
        <v>18831</v>
      </c>
      <c r="E12638" t="s">
        <v>29741</v>
      </c>
      <c r="F12638" t="s">
        <v>32664</v>
      </c>
      <c r="G12638" t="s">
        <v>32672</v>
      </c>
      <c r="H12638" t="s">
        <v>12635</v>
      </c>
      <c r="I12638" t="s">
        <v>10361</v>
      </c>
      <c r="J12638" t="s">
        <v>33084</v>
      </c>
      <c r="K12638" t="s">
        <v>42281</v>
      </c>
      <c r="M12638" t="s">
        <v>43266</v>
      </c>
      <c r="N12638" t="s">
        <v>46569</v>
      </c>
      <c r="O12638" t="s">
        <v>46570</v>
      </c>
      <c r="P12638">
        <v>0</v>
      </c>
      <c r="Q12638">
        <v>1</v>
      </c>
      <c r="R12638" t="s">
        <v>46584</v>
      </c>
      <c r="S12638" t="s">
        <v>47063</v>
      </c>
      <c r="T12638" t="s">
        <v>48226</v>
      </c>
      <c r="U12638" t="s">
        <v>58926</v>
      </c>
      <c r="W12638" t="s">
        <v>43266</v>
      </c>
      <c r="X12638" t="s">
        <v>46585</v>
      </c>
    </row>
    <row r="12639" spans="1:24">
      <c r="A12639">
        <f>HYPERLINK("https://www.philgeps.gov.ph/GEPSNONPILOT/Tender/SplashBidNoticeAbstractUI.aspx?menuIndex=3&amp;refID=7041687&amp;Result=3","7041687")</f>
        <v>0</v>
      </c>
      <c r="B12639" t="s">
        <v>775</v>
      </c>
      <c r="C12639" t="s">
        <v>15526</v>
      </c>
      <c r="E12639" t="s">
        <v>29742</v>
      </c>
      <c r="F12639" t="s">
        <v>32664</v>
      </c>
      <c r="G12639" t="s">
        <v>32672</v>
      </c>
      <c r="H12639" t="s">
        <v>12635</v>
      </c>
      <c r="I12639" t="s">
        <v>32685</v>
      </c>
      <c r="J12639" t="s">
        <v>34253</v>
      </c>
      <c r="K12639" t="s">
        <v>42283</v>
      </c>
      <c r="M12639" t="s">
        <v>43366</v>
      </c>
      <c r="N12639" t="s">
        <v>46569</v>
      </c>
      <c r="O12639" t="s">
        <v>46570</v>
      </c>
      <c r="Q12639">
        <v>17</v>
      </c>
      <c r="R12639" t="s">
        <v>46584</v>
      </c>
      <c r="S12639" t="s">
        <v>47077</v>
      </c>
      <c r="T12639" t="s">
        <v>48343</v>
      </c>
      <c r="U12639" t="s">
        <v>58948</v>
      </c>
      <c r="W12639" t="s">
        <v>63489</v>
      </c>
      <c r="X12639" t="s">
        <v>46585</v>
      </c>
    </row>
    <row r="12640" spans="1:24">
      <c r="A12640">
        <f>HYPERLINK("https://www.philgeps.gov.ph/GEPSNONPILOT/Tender/SplashBidNoticeAbstractUI.aspx?menuIndex=3&amp;refID=7041683&amp;Result=3","7041683")</f>
        <v>0</v>
      </c>
      <c r="B12640" t="s">
        <v>583</v>
      </c>
      <c r="C12640" t="s">
        <v>4419</v>
      </c>
      <c r="D12640" t="s">
        <v>18821</v>
      </c>
      <c r="E12640" t="s">
        <v>29743</v>
      </c>
      <c r="F12640" t="s">
        <v>32664</v>
      </c>
      <c r="G12640" t="s">
        <v>32672</v>
      </c>
      <c r="H12640" t="s">
        <v>12635</v>
      </c>
      <c r="I12640" t="s">
        <v>32708</v>
      </c>
      <c r="J12640" t="s">
        <v>34152</v>
      </c>
      <c r="K12640" t="s">
        <v>42281</v>
      </c>
      <c r="M12640" t="s">
        <v>43163</v>
      </c>
      <c r="N12640" t="s">
        <v>46569</v>
      </c>
      <c r="O12640" t="s">
        <v>46570</v>
      </c>
      <c r="P12640">
        <v>0</v>
      </c>
      <c r="Q12640">
        <v>8</v>
      </c>
      <c r="R12640" t="s">
        <v>46584</v>
      </c>
      <c r="S12640" t="s">
        <v>47063</v>
      </c>
      <c r="T12640" t="s">
        <v>48284</v>
      </c>
      <c r="U12640" t="s">
        <v>58949</v>
      </c>
      <c r="W12640" t="s">
        <v>63485</v>
      </c>
      <c r="X12640" t="s">
        <v>46585</v>
      </c>
    </row>
    <row r="12641" spans="1:24">
      <c r="A12641">
        <f>HYPERLINK("https://www.philgeps.gov.ph/GEPSNONPILOT/Tender/SplashBidNoticeAbstractUI.aspx?menuIndex=3&amp;refID=7041651&amp;Result=3","7041651")</f>
        <v>0</v>
      </c>
      <c r="B12641" t="s">
        <v>1690</v>
      </c>
      <c r="C12641" t="s">
        <v>15527</v>
      </c>
      <c r="D12641" t="s">
        <v>18832</v>
      </c>
      <c r="E12641" t="s">
        <v>29744</v>
      </c>
      <c r="F12641" t="s">
        <v>32664</v>
      </c>
      <c r="G12641" t="s">
        <v>32672</v>
      </c>
      <c r="H12641" t="s">
        <v>12635</v>
      </c>
      <c r="I12641" t="s">
        <v>32735</v>
      </c>
      <c r="J12641" t="s">
        <v>32930</v>
      </c>
      <c r="K12641" t="s">
        <v>42290</v>
      </c>
      <c r="L12641" t="s">
        <v>1690</v>
      </c>
      <c r="M12641" t="s">
        <v>44380</v>
      </c>
      <c r="N12641" t="s">
        <v>46569</v>
      </c>
      <c r="O12641" t="s">
        <v>46570</v>
      </c>
      <c r="P12641">
        <v>0</v>
      </c>
      <c r="Q12641">
        <v>1</v>
      </c>
      <c r="R12641" t="s">
        <v>46584</v>
      </c>
      <c r="S12641" t="s">
        <v>47063</v>
      </c>
      <c r="T12641" t="s">
        <v>48284</v>
      </c>
      <c r="U12641" t="s">
        <v>58950</v>
      </c>
      <c r="W12641" t="s">
        <v>44380</v>
      </c>
      <c r="X12641" t="s">
        <v>46585</v>
      </c>
    </row>
    <row r="12642" spans="1:24">
      <c r="A12642">
        <f>HYPERLINK("https://www.philgeps.gov.ph/GEPSNONPILOT/Tender/SplashBidNoticeAbstractUI.aspx?menuIndex=3&amp;refID=7041636&amp;Result=3","7041636")</f>
        <v>0</v>
      </c>
      <c r="B12642" t="s">
        <v>39</v>
      </c>
      <c r="C12642" t="s">
        <v>15528</v>
      </c>
      <c r="D12642" t="s">
        <v>18788</v>
      </c>
      <c r="E12642" t="s">
        <v>29745</v>
      </c>
      <c r="F12642" t="s">
        <v>32664</v>
      </c>
      <c r="G12642" t="s">
        <v>32672</v>
      </c>
      <c r="H12642" t="s">
        <v>12635</v>
      </c>
      <c r="I12642" t="s">
        <v>10590</v>
      </c>
      <c r="J12642" t="s">
        <v>40285</v>
      </c>
      <c r="K12642" t="s">
        <v>42298</v>
      </c>
      <c r="M12642" t="s">
        <v>42601</v>
      </c>
      <c r="N12642" t="s">
        <v>46569</v>
      </c>
      <c r="O12642" t="s">
        <v>46570</v>
      </c>
      <c r="P12642">
        <v>0</v>
      </c>
      <c r="Q12642">
        <v>1</v>
      </c>
      <c r="R12642" t="s">
        <v>46584</v>
      </c>
      <c r="S12642" t="s">
        <v>47063</v>
      </c>
      <c r="T12642" t="s">
        <v>48336</v>
      </c>
      <c r="U12642" t="s">
        <v>58951</v>
      </c>
      <c r="W12642" t="s">
        <v>42601</v>
      </c>
      <c r="X12642" t="s">
        <v>46585</v>
      </c>
    </row>
    <row r="12643" spans="1:24">
      <c r="A12643">
        <f>HYPERLINK("https://www.philgeps.gov.ph/GEPSNONPILOT/Tender/SplashBidNoticeAbstractUI.aspx?menuIndex=3&amp;refID=7041635&amp;Result=3","7041635")</f>
        <v>0</v>
      </c>
      <c r="B12643" t="s">
        <v>2694</v>
      </c>
      <c r="C12643" t="s">
        <v>15529</v>
      </c>
      <c r="D12643" t="s">
        <v>18792</v>
      </c>
      <c r="E12643" t="s">
        <v>19380</v>
      </c>
      <c r="F12643" t="s">
        <v>32664</v>
      </c>
      <c r="G12643" t="s">
        <v>32672</v>
      </c>
      <c r="H12643" t="s">
        <v>12635</v>
      </c>
      <c r="I12643" t="s">
        <v>9597</v>
      </c>
      <c r="J12643" t="s">
        <v>40286</v>
      </c>
      <c r="K12643" t="s">
        <v>42303</v>
      </c>
      <c r="M12643" t="s">
        <v>45520</v>
      </c>
      <c r="N12643" t="s">
        <v>46569</v>
      </c>
      <c r="O12643" t="s">
        <v>46570</v>
      </c>
      <c r="P12643">
        <v>0</v>
      </c>
      <c r="Q12643">
        <v>5</v>
      </c>
      <c r="R12643" t="s">
        <v>46584</v>
      </c>
      <c r="S12643" t="s">
        <v>47063</v>
      </c>
      <c r="T12643" t="s">
        <v>48293</v>
      </c>
      <c r="U12643" t="s">
        <v>58952</v>
      </c>
      <c r="V12643" t="s">
        <v>63021</v>
      </c>
      <c r="W12643" t="s">
        <v>45520</v>
      </c>
      <c r="X12643" t="s">
        <v>46585</v>
      </c>
    </row>
    <row r="12644" spans="1:24">
      <c r="A12644">
        <f>HYPERLINK("https://www.philgeps.gov.ph/GEPSNONPILOT/Tender/SplashBidNoticeAbstractUI.aspx?menuIndex=3&amp;refID=7041785&amp;Result=3","7041785")</f>
        <v>0</v>
      </c>
      <c r="B12644" t="s">
        <v>3229</v>
      </c>
      <c r="C12644" t="s">
        <v>9787</v>
      </c>
      <c r="D12644" t="s">
        <v>18802</v>
      </c>
      <c r="E12644" t="s">
        <v>29746</v>
      </c>
      <c r="F12644" t="s">
        <v>32664</v>
      </c>
      <c r="G12644" t="s">
        <v>32672</v>
      </c>
      <c r="H12644" t="s">
        <v>12635</v>
      </c>
      <c r="I12644" t="s">
        <v>8797</v>
      </c>
      <c r="J12644" t="s">
        <v>32830</v>
      </c>
      <c r="K12644" t="s">
        <v>42284</v>
      </c>
      <c r="M12644" t="s">
        <v>46150</v>
      </c>
      <c r="N12644" t="s">
        <v>46569</v>
      </c>
      <c r="O12644" t="s">
        <v>46570</v>
      </c>
      <c r="P12644">
        <v>0</v>
      </c>
      <c r="Q12644">
        <v>3</v>
      </c>
      <c r="R12644" t="s">
        <v>46584</v>
      </c>
      <c r="S12644" t="s">
        <v>47063</v>
      </c>
      <c r="T12644" t="s">
        <v>48285</v>
      </c>
      <c r="U12644" t="s">
        <v>58953</v>
      </c>
      <c r="W12644" t="s">
        <v>46150</v>
      </c>
      <c r="X12644" t="s">
        <v>46585</v>
      </c>
    </row>
    <row r="12645" spans="1:24">
      <c r="A12645">
        <f>HYPERLINK("https://www.philgeps.gov.ph/GEPSNONPILOT/Tender/SplashBidNoticeAbstractUI.aspx?menuIndex=3&amp;refID=7041307&amp;Result=3","7041307")</f>
        <v>0</v>
      </c>
      <c r="B12645" t="s">
        <v>2202</v>
      </c>
      <c r="C12645" t="s">
        <v>15530</v>
      </c>
      <c r="D12645" t="s">
        <v>18844</v>
      </c>
      <c r="E12645" t="s">
        <v>29747</v>
      </c>
      <c r="F12645" t="s">
        <v>32664</v>
      </c>
      <c r="G12645" t="s">
        <v>32672</v>
      </c>
      <c r="H12645" t="s">
        <v>12635</v>
      </c>
      <c r="I12645" t="s">
        <v>4439</v>
      </c>
      <c r="J12645" t="s">
        <v>40287</v>
      </c>
      <c r="K12645" t="s">
        <v>42303</v>
      </c>
      <c r="M12645" t="s">
        <v>44966</v>
      </c>
      <c r="N12645" t="s">
        <v>46569</v>
      </c>
      <c r="O12645" t="s">
        <v>46570</v>
      </c>
      <c r="P12645">
        <v>0</v>
      </c>
      <c r="Q12645">
        <v>0</v>
      </c>
      <c r="R12645" t="s">
        <v>46584</v>
      </c>
      <c r="S12645" t="s">
        <v>47063</v>
      </c>
      <c r="T12645" t="s">
        <v>48237</v>
      </c>
      <c r="U12645" t="s">
        <v>58954</v>
      </c>
      <c r="V12645" t="s">
        <v>62566</v>
      </c>
      <c r="W12645" t="s">
        <v>44966</v>
      </c>
      <c r="X12645" t="s">
        <v>46585</v>
      </c>
    </row>
    <row r="12646" spans="1:24">
      <c r="A12646">
        <f>HYPERLINK("https://www.philgeps.gov.ph/GEPSNONPILOT/Tender/SplashBidNoticeAbstractUI.aspx?menuIndex=3&amp;refID=7041736&amp;Result=3","7041736")</f>
        <v>0</v>
      </c>
      <c r="B12646" t="s">
        <v>236</v>
      </c>
      <c r="C12646" t="s">
        <v>15531</v>
      </c>
      <c r="D12646" t="s">
        <v>18789</v>
      </c>
      <c r="E12646" t="s">
        <v>29748</v>
      </c>
      <c r="F12646" t="s">
        <v>32664</v>
      </c>
      <c r="G12646" t="s">
        <v>32672</v>
      </c>
      <c r="H12646" t="s">
        <v>32683</v>
      </c>
      <c r="I12646" t="s">
        <v>10627</v>
      </c>
      <c r="J12646" t="s">
        <v>34321</v>
      </c>
      <c r="K12646" t="s">
        <v>42411</v>
      </c>
      <c r="M12646" t="s">
        <v>42801</v>
      </c>
      <c r="N12646" t="s">
        <v>46569</v>
      </c>
      <c r="O12646" t="s">
        <v>46570</v>
      </c>
      <c r="Q12646">
        <v>2</v>
      </c>
      <c r="R12646" t="s">
        <v>46584</v>
      </c>
      <c r="S12646" t="s">
        <v>47078</v>
      </c>
      <c r="T12646" t="s">
        <v>48228</v>
      </c>
      <c r="U12646" t="s">
        <v>58955</v>
      </c>
      <c r="W12646" t="s">
        <v>42801</v>
      </c>
      <c r="X12646" t="s">
        <v>46585</v>
      </c>
    </row>
    <row r="12647" spans="1:24">
      <c r="A12647">
        <f>HYPERLINK("https://www.philgeps.gov.ph/GEPSNONPILOT/Tender/SplashBidNoticeAbstractUI.aspx?menuIndex=3&amp;refID=7041523&amp;Result=3","7041523")</f>
        <v>0</v>
      </c>
      <c r="B12647" t="s">
        <v>1838</v>
      </c>
      <c r="C12647" t="s">
        <v>15532</v>
      </c>
      <c r="D12647" t="s">
        <v>18799</v>
      </c>
      <c r="E12647" t="s">
        <v>29749</v>
      </c>
      <c r="F12647" t="s">
        <v>32664</v>
      </c>
      <c r="G12647" t="s">
        <v>32674</v>
      </c>
      <c r="H12647" t="s">
        <v>12635</v>
      </c>
      <c r="I12647" t="s">
        <v>8730</v>
      </c>
      <c r="J12647" t="s">
        <v>40288</v>
      </c>
      <c r="K12647" t="s">
        <v>42281</v>
      </c>
      <c r="M12647" t="s">
        <v>44546</v>
      </c>
      <c r="N12647" t="s">
        <v>46569</v>
      </c>
      <c r="O12647" t="s">
        <v>46570</v>
      </c>
      <c r="Q12647">
        <v>5</v>
      </c>
      <c r="R12647" t="s">
        <v>46584</v>
      </c>
      <c r="S12647" t="s">
        <v>47079</v>
      </c>
      <c r="T12647" t="s">
        <v>48473</v>
      </c>
      <c r="U12647" t="s">
        <v>49565</v>
      </c>
      <c r="W12647" t="s">
        <v>44546</v>
      </c>
      <c r="X12647" t="s">
        <v>46585</v>
      </c>
    </row>
    <row r="12648" spans="1:24">
      <c r="A12648">
        <f>HYPERLINK("https://www.philgeps.gov.ph/GEPSNONPILOT/Tender/SplashBidNoticeAbstractUI.aspx?menuIndex=3&amp;refID=7041974&amp;Result=3","7041974")</f>
        <v>0</v>
      </c>
      <c r="B12648" t="s">
        <v>3230</v>
      </c>
      <c r="C12648" t="s">
        <v>15533</v>
      </c>
      <c r="D12648" t="s">
        <v>18784</v>
      </c>
      <c r="E12648" t="s">
        <v>29750</v>
      </c>
      <c r="F12648" t="s">
        <v>32664</v>
      </c>
      <c r="G12648" t="s">
        <v>32672</v>
      </c>
      <c r="H12648" t="s">
        <v>32683</v>
      </c>
      <c r="I12648" t="s">
        <v>10627</v>
      </c>
      <c r="J12648" t="s">
        <v>40289</v>
      </c>
      <c r="K12648" t="s">
        <v>42290</v>
      </c>
      <c r="M12648" t="s">
        <v>46151</v>
      </c>
      <c r="N12648" t="s">
        <v>46569</v>
      </c>
      <c r="O12648" t="s">
        <v>46570</v>
      </c>
      <c r="P12648">
        <v>0</v>
      </c>
      <c r="Q12648">
        <v>8</v>
      </c>
      <c r="R12648" t="s">
        <v>46584</v>
      </c>
      <c r="S12648" t="s">
        <v>47063</v>
      </c>
      <c r="T12648" t="s">
        <v>48285</v>
      </c>
      <c r="U12648" t="s">
        <v>51342</v>
      </c>
      <c r="W12648" t="s">
        <v>46151</v>
      </c>
      <c r="X12648" t="s">
        <v>46585</v>
      </c>
    </row>
    <row r="12649" spans="1:24">
      <c r="A12649">
        <f>HYPERLINK("https://www.philgeps.gov.ph/GEPSNONPILOT/Tender/SplashBidNoticeAbstractUI.aspx?menuIndex=3&amp;refID=7041984&amp;Result=3","7041984")</f>
        <v>0</v>
      </c>
      <c r="B12649" t="s">
        <v>2713</v>
      </c>
      <c r="C12649" t="s">
        <v>15534</v>
      </c>
      <c r="D12649" t="s">
        <v>18816</v>
      </c>
      <c r="E12649" t="s">
        <v>29751</v>
      </c>
      <c r="F12649" t="s">
        <v>32664</v>
      </c>
      <c r="G12649" t="s">
        <v>32672</v>
      </c>
      <c r="H12649" t="s">
        <v>12635</v>
      </c>
      <c r="I12649" t="s">
        <v>11464</v>
      </c>
      <c r="J12649" t="s">
        <v>33261</v>
      </c>
      <c r="K12649" t="s">
        <v>42281</v>
      </c>
      <c r="M12649" t="s">
        <v>45539</v>
      </c>
      <c r="N12649" t="s">
        <v>46569</v>
      </c>
      <c r="O12649" t="s">
        <v>46570</v>
      </c>
      <c r="P12649">
        <v>0</v>
      </c>
      <c r="Q12649">
        <v>7</v>
      </c>
      <c r="R12649" t="s">
        <v>46584</v>
      </c>
      <c r="S12649" t="s">
        <v>47063</v>
      </c>
      <c r="T12649" t="s">
        <v>48223</v>
      </c>
      <c r="U12649" t="s">
        <v>58956</v>
      </c>
      <c r="W12649" t="s">
        <v>45539</v>
      </c>
      <c r="X12649" t="s">
        <v>46585</v>
      </c>
    </row>
    <row r="12650" spans="1:24">
      <c r="A12650">
        <f>HYPERLINK("https://www.philgeps.gov.ph/GEPSNONPILOT/Tender/SplashBidNoticeAbstractUI.aspx?menuIndex=3&amp;refID=7041966&amp;Result=3","7041966")</f>
        <v>0</v>
      </c>
      <c r="B12650" t="s">
        <v>3047</v>
      </c>
      <c r="C12650" t="s">
        <v>15535</v>
      </c>
      <c r="D12650" t="s">
        <v>18786</v>
      </c>
      <c r="E12650" t="s">
        <v>29752</v>
      </c>
      <c r="F12650" t="s">
        <v>32664</v>
      </c>
      <c r="G12650" t="s">
        <v>32672</v>
      </c>
      <c r="H12650" t="s">
        <v>12635</v>
      </c>
      <c r="I12650" t="s">
        <v>5589</v>
      </c>
      <c r="J12650" t="s">
        <v>32929</v>
      </c>
      <c r="K12650" t="s">
        <v>42281</v>
      </c>
      <c r="M12650" t="s">
        <v>45921</v>
      </c>
      <c r="N12650" t="s">
        <v>46569</v>
      </c>
      <c r="O12650" t="s">
        <v>46570</v>
      </c>
      <c r="Q12650">
        <v>5</v>
      </c>
      <c r="R12650" t="s">
        <v>46584</v>
      </c>
      <c r="S12650" t="s">
        <v>47080</v>
      </c>
      <c r="T12650" t="s">
        <v>48354</v>
      </c>
      <c r="U12650" t="s">
        <v>58957</v>
      </c>
      <c r="V12650" t="s">
        <v>63022</v>
      </c>
      <c r="W12650" t="s">
        <v>45921</v>
      </c>
      <c r="X12650" t="s">
        <v>46585</v>
      </c>
    </row>
    <row r="12651" spans="1:24">
      <c r="A12651">
        <f>HYPERLINK("https://www.philgeps.gov.ph/GEPSNONPILOT/Tender/SplashBidNoticeAbstractUI.aspx?menuIndex=3&amp;refID=7041975&amp;Result=3","7041975")</f>
        <v>0</v>
      </c>
      <c r="B12651" t="s">
        <v>678</v>
      </c>
      <c r="C12651" t="s">
        <v>15536</v>
      </c>
      <c r="E12651" t="s">
        <v>29753</v>
      </c>
      <c r="F12651" t="s">
        <v>32664</v>
      </c>
      <c r="G12651" t="s">
        <v>32672</v>
      </c>
      <c r="H12651" t="s">
        <v>32683</v>
      </c>
      <c r="I12651" t="s">
        <v>10627</v>
      </c>
      <c r="J12651" t="s">
        <v>34022</v>
      </c>
      <c r="K12651" t="s">
        <v>42283</v>
      </c>
      <c r="M12651" t="s">
        <v>43265</v>
      </c>
      <c r="N12651" t="s">
        <v>46569</v>
      </c>
      <c r="O12651" t="s">
        <v>46570</v>
      </c>
      <c r="P12651">
        <v>0</v>
      </c>
      <c r="Q12651">
        <v>0</v>
      </c>
      <c r="R12651" t="s">
        <v>46584</v>
      </c>
      <c r="S12651" t="s">
        <v>47063</v>
      </c>
      <c r="T12651" t="s">
        <v>48580</v>
      </c>
      <c r="U12651" t="s">
        <v>58958</v>
      </c>
      <c r="W12651" t="s">
        <v>43265</v>
      </c>
      <c r="X12651" t="s">
        <v>46585</v>
      </c>
    </row>
    <row r="12652" spans="1:24">
      <c r="A12652">
        <f>HYPERLINK("https://www.philgeps.gov.ph/GEPSNONPILOT/Tender/SplashBidNoticeAbstractUI.aspx?menuIndex=3&amp;refID=7041928&amp;Result=3","7041928")</f>
        <v>0</v>
      </c>
      <c r="B12652" t="s">
        <v>678</v>
      </c>
      <c r="C12652" t="s">
        <v>15537</v>
      </c>
      <c r="E12652" t="s">
        <v>29754</v>
      </c>
      <c r="F12652" t="s">
        <v>32664</v>
      </c>
      <c r="G12652" t="s">
        <v>32672</v>
      </c>
      <c r="H12652" t="s">
        <v>32683</v>
      </c>
      <c r="I12652" t="s">
        <v>10627</v>
      </c>
      <c r="J12652" t="s">
        <v>33150</v>
      </c>
      <c r="K12652" t="s">
        <v>42283</v>
      </c>
      <c r="M12652" t="s">
        <v>43265</v>
      </c>
      <c r="N12652" t="s">
        <v>46569</v>
      </c>
      <c r="O12652" t="s">
        <v>46570</v>
      </c>
      <c r="P12652">
        <v>0</v>
      </c>
      <c r="Q12652">
        <v>0</v>
      </c>
      <c r="R12652" t="s">
        <v>46584</v>
      </c>
      <c r="S12652" t="s">
        <v>47063</v>
      </c>
      <c r="T12652" t="s">
        <v>48580</v>
      </c>
      <c r="U12652" t="s">
        <v>58958</v>
      </c>
      <c r="W12652" t="s">
        <v>43265</v>
      </c>
      <c r="X12652" t="s">
        <v>46585</v>
      </c>
    </row>
    <row r="12653" spans="1:24">
      <c r="A12653">
        <f>HYPERLINK("https://www.philgeps.gov.ph/GEPSNONPILOT/Tender/SplashBidNoticeAbstractUI.aspx?menuIndex=3&amp;refID=7041755&amp;Result=3","7041755")</f>
        <v>0</v>
      </c>
      <c r="B12653" t="s">
        <v>3231</v>
      </c>
      <c r="C12653" t="s">
        <v>15538</v>
      </c>
      <c r="D12653" t="s">
        <v>18782</v>
      </c>
      <c r="E12653" t="s">
        <v>21371</v>
      </c>
      <c r="F12653" t="s">
        <v>32664</v>
      </c>
      <c r="G12653" t="s">
        <v>32672</v>
      </c>
      <c r="H12653" t="s">
        <v>32683</v>
      </c>
      <c r="I12653" t="s">
        <v>10627</v>
      </c>
      <c r="J12653" t="s">
        <v>32974</v>
      </c>
      <c r="K12653" t="s">
        <v>42298</v>
      </c>
      <c r="M12653" t="s">
        <v>46152</v>
      </c>
      <c r="N12653" t="s">
        <v>46569</v>
      </c>
      <c r="O12653" t="s">
        <v>46570</v>
      </c>
      <c r="P12653">
        <v>0</v>
      </c>
      <c r="Q12653">
        <v>1</v>
      </c>
      <c r="R12653" t="s">
        <v>46584</v>
      </c>
      <c r="S12653" t="s">
        <v>47063</v>
      </c>
      <c r="T12653" t="s">
        <v>48708</v>
      </c>
      <c r="U12653" t="s">
        <v>51590</v>
      </c>
      <c r="V12653" t="s">
        <v>63023</v>
      </c>
      <c r="W12653" t="s">
        <v>46152</v>
      </c>
      <c r="X12653" t="s">
        <v>46585</v>
      </c>
    </row>
    <row r="12654" spans="1:24">
      <c r="A12654">
        <f>HYPERLINK("https://www.philgeps.gov.ph/GEPSNONPILOT/Tender/SplashBidNoticeAbstractUI.aspx?menuIndex=3&amp;refID=7041882&amp;Result=3","7041882")</f>
        <v>0</v>
      </c>
      <c r="B12654" t="s">
        <v>3232</v>
      </c>
      <c r="C12654" t="s">
        <v>15539</v>
      </c>
      <c r="D12654" t="s">
        <v>18826</v>
      </c>
      <c r="E12654" t="s">
        <v>29755</v>
      </c>
      <c r="F12654" t="s">
        <v>32664</v>
      </c>
      <c r="G12654" t="s">
        <v>32672</v>
      </c>
      <c r="H12654" t="s">
        <v>32683</v>
      </c>
      <c r="I12654" t="s">
        <v>10627</v>
      </c>
      <c r="J12654" t="s">
        <v>32974</v>
      </c>
      <c r="K12654" t="s">
        <v>42298</v>
      </c>
      <c r="M12654" t="s">
        <v>46153</v>
      </c>
      <c r="N12654" t="s">
        <v>46569</v>
      </c>
      <c r="O12654" t="s">
        <v>46570</v>
      </c>
      <c r="P12654">
        <v>0</v>
      </c>
      <c r="Q12654">
        <v>32</v>
      </c>
      <c r="R12654" t="s">
        <v>46584</v>
      </c>
      <c r="S12654" t="s">
        <v>47063</v>
      </c>
      <c r="T12654" t="s">
        <v>48248</v>
      </c>
      <c r="U12654" t="s">
        <v>58959</v>
      </c>
      <c r="V12654" t="s">
        <v>63024</v>
      </c>
      <c r="W12654" t="s">
        <v>46153</v>
      </c>
      <c r="X12654" t="s">
        <v>46585</v>
      </c>
    </row>
    <row r="12655" spans="1:24">
      <c r="A12655">
        <f>HYPERLINK("https://www.philgeps.gov.ph/GEPSNONPILOT/Tender/SplashBidNoticeAbstractUI.aspx?menuIndex=3&amp;refID=7041968&amp;Result=3","7041968")</f>
        <v>0</v>
      </c>
      <c r="B12655" t="s">
        <v>3233</v>
      </c>
      <c r="C12655" t="s">
        <v>15540</v>
      </c>
      <c r="D12655" t="s">
        <v>18812</v>
      </c>
      <c r="E12655" t="s">
        <v>29756</v>
      </c>
      <c r="F12655" t="s">
        <v>32664</v>
      </c>
      <c r="G12655" t="s">
        <v>32672</v>
      </c>
      <c r="H12655" t="s">
        <v>12635</v>
      </c>
      <c r="I12655" t="s">
        <v>4439</v>
      </c>
      <c r="J12655" t="s">
        <v>40290</v>
      </c>
      <c r="K12655" t="s">
        <v>42305</v>
      </c>
      <c r="M12655" t="s">
        <v>46154</v>
      </c>
      <c r="N12655" t="s">
        <v>46569</v>
      </c>
      <c r="O12655" t="s">
        <v>46570</v>
      </c>
      <c r="P12655">
        <v>0</v>
      </c>
      <c r="Q12655">
        <v>1</v>
      </c>
      <c r="R12655" t="s">
        <v>46584</v>
      </c>
      <c r="S12655" t="s">
        <v>47063</v>
      </c>
      <c r="T12655" t="s">
        <v>48268</v>
      </c>
      <c r="U12655" t="s">
        <v>58960</v>
      </c>
      <c r="W12655" t="s">
        <v>46154</v>
      </c>
      <c r="X12655" t="s">
        <v>46585</v>
      </c>
    </row>
    <row r="12656" spans="1:24">
      <c r="A12656">
        <f>HYPERLINK("https://www.philgeps.gov.ph/GEPSNONPILOT/Tender/SplashBidNoticeAbstractUI.aspx?menuIndex=3&amp;refID=7041854&amp;Result=3","7041854")</f>
        <v>0</v>
      </c>
      <c r="B12656" t="s">
        <v>3231</v>
      </c>
      <c r="C12656" t="s">
        <v>15541</v>
      </c>
      <c r="D12656" t="s">
        <v>18782</v>
      </c>
      <c r="E12656" t="s">
        <v>21413</v>
      </c>
      <c r="F12656" t="s">
        <v>32664</v>
      </c>
      <c r="G12656" t="s">
        <v>32672</v>
      </c>
      <c r="H12656" t="s">
        <v>32683</v>
      </c>
      <c r="I12656" t="s">
        <v>10361</v>
      </c>
      <c r="J12656" t="s">
        <v>32859</v>
      </c>
      <c r="K12656" t="s">
        <v>42281</v>
      </c>
      <c r="M12656" t="s">
        <v>46152</v>
      </c>
      <c r="N12656" t="s">
        <v>46569</v>
      </c>
      <c r="O12656" t="s">
        <v>46570</v>
      </c>
      <c r="P12656">
        <v>0</v>
      </c>
      <c r="Q12656">
        <v>0</v>
      </c>
      <c r="R12656" t="s">
        <v>46584</v>
      </c>
      <c r="S12656" t="s">
        <v>47063</v>
      </c>
      <c r="T12656" t="s">
        <v>48370</v>
      </c>
      <c r="U12656" t="s">
        <v>51590</v>
      </c>
      <c r="V12656" t="s">
        <v>63023</v>
      </c>
      <c r="W12656" t="s">
        <v>46152</v>
      </c>
      <c r="X12656" t="s">
        <v>46585</v>
      </c>
    </row>
    <row r="12657" spans="1:24">
      <c r="A12657">
        <f>HYPERLINK("https://www.philgeps.gov.ph/GEPSNONPILOT/Tender/SplashBidNoticeAbstractUI.aspx?menuIndex=3&amp;refID=7041846&amp;Result=3","7041846")</f>
        <v>0</v>
      </c>
      <c r="B12657" t="s">
        <v>3231</v>
      </c>
      <c r="C12657" t="s">
        <v>15542</v>
      </c>
      <c r="D12657" t="s">
        <v>18782</v>
      </c>
      <c r="E12657" t="s">
        <v>24080</v>
      </c>
      <c r="F12657" t="s">
        <v>32664</v>
      </c>
      <c r="G12657" t="s">
        <v>32672</v>
      </c>
      <c r="H12657" t="s">
        <v>12635</v>
      </c>
      <c r="I12657" t="s">
        <v>32717</v>
      </c>
      <c r="J12657" t="s">
        <v>32865</v>
      </c>
      <c r="K12657" t="s">
        <v>42281</v>
      </c>
      <c r="M12657" t="s">
        <v>46152</v>
      </c>
      <c r="N12657" t="s">
        <v>46569</v>
      </c>
      <c r="O12657" t="s">
        <v>46570</v>
      </c>
      <c r="P12657">
        <v>0</v>
      </c>
      <c r="Q12657">
        <v>0</v>
      </c>
      <c r="R12657" t="s">
        <v>46584</v>
      </c>
      <c r="S12657" t="s">
        <v>47063</v>
      </c>
      <c r="T12657" t="s">
        <v>48370</v>
      </c>
      <c r="U12657" t="s">
        <v>51590</v>
      </c>
      <c r="V12657" t="s">
        <v>63023</v>
      </c>
      <c r="W12657" t="s">
        <v>46152</v>
      </c>
      <c r="X12657" t="s">
        <v>46585</v>
      </c>
    </row>
    <row r="12658" spans="1:24">
      <c r="A12658">
        <f>HYPERLINK("https://www.philgeps.gov.ph/GEPSNONPILOT/Tender/SplashBidNoticeAbstractUI.aspx?menuIndex=3&amp;refID=7042161&amp;Result=3","7042161")</f>
        <v>0</v>
      </c>
      <c r="B12658" t="s">
        <v>678</v>
      </c>
      <c r="C12658" t="s">
        <v>15543</v>
      </c>
      <c r="E12658" t="s">
        <v>29757</v>
      </c>
      <c r="F12658" t="s">
        <v>32664</v>
      </c>
      <c r="G12658" t="s">
        <v>32672</v>
      </c>
      <c r="H12658" t="s">
        <v>32683</v>
      </c>
      <c r="I12658" t="s">
        <v>10627</v>
      </c>
      <c r="J12658" t="s">
        <v>40291</v>
      </c>
      <c r="K12658" t="s">
        <v>42283</v>
      </c>
      <c r="M12658" t="s">
        <v>43265</v>
      </c>
      <c r="N12658" t="s">
        <v>46569</v>
      </c>
      <c r="O12658" t="s">
        <v>46570</v>
      </c>
      <c r="P12658">
        <v>0</v>
      </c>
      <c r="Q12658">
        <v>0</v>
      </c>
      <c r="R12658" t="s">
        <v>46584</v>
      </c>
      <c r="S12658" t="s">
        <v>47063</v>
      </c>
      <c r="T12658" t="s">
        <v>48580</v>
      </c>
      <c r="U12658" t="s">
        <v>58958</v>
      </c>
      <c r="W12658" t="s">
        <v>43265</v>
      </c>
      <c r="X12658" t="s">
        <v>46585</v>
      </c>
    </row>
    <row r="12659" spans="1:24">
      <c r="A12659">
        <f>HYPERLINK("https://www.philgeps.gov.ph/GEPSNONPILOT/Tender/SplashBidNoticeAbstractUI.aspx?menuIndex=3&amp;refID=7041255&amp;Result=3","7041255")</f>
        <v>0</v>
      </c>
      <c r="B12659" t="s">
        <v>3234</v>
      </c>
      <c r="C12659" t="s">
        <v>15544</v>
      </c>
      <c r="D12659" t="s">
        <v>18838</v>
      </c>
      <c r="E12659" t="s">
        <v>28845</v>
      </c>
      <c r="F12659" t="s">
        <v>32664</v>
      </c>
      <c r="G12659" t="s">
        <v>32672</v>
      </c>
      <c r="H12659" t="s">
        <v>32683</v>
      </c>
      <c r="I12659" t="s">
        <v>10627</v>
      </c>
      <c r="J12659" t="s">
        <v>33128</v>
      </c>
      <c r="K12659" t="s">
        <v>42305</v>
      </c>
      <c r="M12659" t="s">
        <v>46155</v>
      </c>
      <c r="N12659" t="s">
        <v>46569</v>
      </c>
      <c r="O12659" t="s">
        <v>46570</v>
      </c>
      <c r="P12659">
        <v>0</v>
      </c>
      <c r="Q12659">
        <v>4</v>
      </c>
      <c r="R12659" t="s">
        <v>46584</v>
      </c>
      <c r="S12659" t="s">
        <v>47063</v>
      </c>
      <c r="T12659" t="s">
        <v>48276</v>
      </c>
      <c r="U12659" t="s">
        <v>58961</v>
      </c>
      <c r="W12659" t="s">
        <v>46155</v>
      </c>
      <c r="X12659" t="s">
        <v>46585</v>
      </c>
    </row>
    <row r="12660" spans="1:24">
      <c r="A12660">
        <f>HYPERLINK("https://www.philgeps.gov.ph/GEPSNONPILOT/Tender/SplashBidNoticeAbstractUI.aspx?menuIndex=3&amp;refID=7041907&amp;Result=3","7041907")</f>
        <v>0</v>
      </c>
      <c r="B12660" t="s">
        <v>3235</v>
      </c>
      <c r="C12660" t="s">
        <v>15545</v>
      </c>
      <c r="E12660" t="s">
        <v>18926</v>
      </c>
      <c r="F12660" t="s">
        <v>32664</v>
      </c>
      <c r="G12660" t="s">
        <v>32672</v>
      </c>
      <c r="H12660" t="s">
        <v>32683</v>
      </c>
      <c r="I12660" t="s">
        <v>10627</v>
      </c>
      <c r="J12660" t="s">
        <v>40292</v>
      </c>
      <c r="K12660" t="s">
        <v>42283</v>
      </c>
      <c r="M12660" t="s">
        <v>46156</v>
      </c>
      <c r="N12660" t="s">
        <v>46569</v>
      </c>
      <c r="O12660" t="s">
        <v>46570</v>
      </c>
      <c r="P12660">
        <v>0</v>
      </c>
      <c r="Q12660">
        <v>1</v>
      </c>
      <c r="R12660" t="s">
        <v>46584</v>
      </c>
      <c r="S12660" t="s">
        <v>47063</v>
      </c>
      <c r="T12660" t="s">
        <v>48230</v>
      </c>
      <c r="U12660" t="s">
        <v>58962</v>
      </c>
      <c r="W12660" t="s">
        <v>46156</v>
      </c>
      <c r="X12660" t="s">
        <v>46585</v>
      </c>
    </row>
    <row r="12661" spans="1:24">
      <c r="A12661">
        <f>HYPERLINK("https://www.philgeps.gov.ph/GEPSNONPILOT/Tender/SplashBidNoticeAbstractUI.aspx?menuIndex=3&amp;refID=7042136&amp;Result=3","7042136")</f>
        <v>0</v>
      </c>
      <c r="B12661" t="s">
        <v>1336</v>
      </c>
      <c r="C12661" t="s">
        <v>15546</v>
      </c>
      <c r="D12661" t="s">
        <v>18856</v>
      </c>
      <c r="E12661" t="s">
        <v>29758</v>
      </c>
      <c r="F12661" t="s">
        <v>32664</v>
      </c>
      <c r="G12661" t="s">
        <v>32672</v>
      </c>
      <c r="H12661" t="s">
        <v>32683</v>
      </c>
      <c r="I12661" t="s">
        <v>10627</v>
      </c>
      <c r="J12661" t="s">
        <v>40293</v>
      </c>
      <c r="K12661" t="s">
        <v>42316</v>
      </c>
      <c r="M12661" t="s">
        <v>43986</v>
      </c>
      <c r="N12661" t="s">
        <v>46569</v>
      </c>
      <c r="O12661" t="s">
        <v>46570</v>
      </c>
      <c r="P12661">
        <v>0</v>
      </c>
      <c r="Q12661">
        <v>1</v>
      </c>
      <c r="R12661" t="s">
        <v>46584</v>
      </c>
      <c r="S12661" t="s">
        <v>47063</v>
      </c>
      <c r="T12661" t="s">
        <v>48376</v>
      </c>
      <c r="U12661" t="s">
        <v>58963</v>
      </c>
      <c r="V12661" t="s">
        <v>61974</v>
      </c>
      <c r="W12661" t="s">
        <v>43986</v>
      </c>
      <c r="X12661" t="s">
        <v>46585</v>
      </c>
    </row>
    <row r="12662" spans="1:24">
      <c r="A12662">
        <f>HYPERLINK("https://www.philgeps.gov.ph/GEPSNONPILOT/Tender/SplashBidNoticeAbstractUI.aspx?menuIndex=3&amp;refID=7041952&amp;Result=3","7041952")</f>
        <v>0</v>
      </c>
      <c r="B12662" t="s">
        <v>678</v>
      </c>
      <c r="C12662" t="s">
        <v>15547</v>
      </c>
      <c r="E12662" t="s">
        <v>29759</v>
      </c>
      <c r="F12662" t="s">
        <v>32664</v>
      </c>
      <c r="G12662" t="s">
        <v>32672</v>
      </c>
      <c r="H12662" t="s">
        <v>32683</v>
      </c>
      <c r="I12662" t="s">
        <v>10627</v>
      </c>
      <c r="J12662" t="s">
        <v>34022</v>
      </c>
      <c r="K12662" t="s">
        <v>42283</v>
      </c>
      <c r="M12662" t="s">
        <v>43265</v>
      </c>
      <c r="N12662" t="s">
        <v>46569</v>
      </c>
      <c r="O12662" t="s">
        <v>46570</v>
      </c>
      <c r="P12662">
        <v>0</v>
      </c>
      <c r="Q12662">
        <v>0</v>
      </c>
      <c r="R12662" t="s">
        <v>46584</v>
      </c>
      <c r="S12662" t="s">
        <v>47063</v>
      </c>
      <c r="T12662" t="s">
        <v>48580</v>
      </c>
      <c r="U12662" t="s">
        <v>58958</v>
      </c>
      <c r="W12662" t="s">
        <v>43265</v>
      </c>
      <c r="X12662" t="s">
        <v>46585</v>
      </c>
    </row>
    <row r="12663" spans="1:24">
      <c r="A12663">
        <f>HYPERLINK("https://www.philgeps.gov.ph/GEPSNONPILOT/Tender/SplashBidNoticeAbstractUI.aspx?menuIndex=3&amp;refID=7041985&amp;Result=3","7041985")</f>
        <v>0</v>
      </c>
      <c r="B12663" t="s">
        <v>1388</v>
      </c>
      <c r="C12663" t="s">
        <v>15548</v>
      </c>
      <c r="D12663" t="s">
        <v>18804</v>
      </c>
      <c r="E12663" t="s">
        <v>29760</v>
      </c>
      <c r="F12663" t="s">
        <v>32664</v>
      </c>
      <c r="G12663" t="s">
        <v>32672</v>
      </c>
      <c r="H12663" t="s">
        <v>12635</v>
      </c>
      <c r="I12663" t="s">
        <v>8730</v>
      </c>
      <c r="J12663" t="s">
        <v>32962</v>
      </c>
      <c r="K12663" t="s">
        <v>42281</v>
      </c>
      <c r="M12663" t="s">
        <v>46157</v>
      </c>
      <c r="N12663" t="s">
        <v>46569</v>
      </c>
      <c r="O12663" t="s">
        <v>46570</v>
      </c>
      <c r="P12663">
        <v>0</v>
      </c>
      <c r="Q12663">
        <v>9</v>
      </c>
      <c r="R12663" t="s">
        <v>46584</v>
      </c>
      <c r="S12663" t="s">
        <v>47063</v>
      </c>
      <c r="T12663" t="s">
        <v>48238</v>
      </c>
      <c r="U12663" t="s">
        <v>58964</v>
      </c>
      <c r="W12663" t="s">
        <v>46157</v>
      </c>
      <c r="X12663" t="s">
        <v>46585</v>
      </c>
    </row>
    <row r="12664" spans="1:24">
      <c r="A12664">
        <f>HYPERLINK("https://www.philgeps.gov.ph/GEPSNONPILOT/Tender/SplashBidNoticeAbstractUI.aspx?menuIndex=3&amp;refID=7042160&amp;Result=3","7042160")</f>
        <v>0</v>
      </c>
      <c r="B12664" t="s">
        <v>3236</v>
      </c>
      <c r="C12664" t="s">
        <v>15549</v>
      </c>
      <c r="D12664" t="s">
        <v>18784</v>
      </c>
      <c r="E12664" t="s">
        <v>29761</v>
      </c>
      <c r="F12664" t="s">
        <v>32664</v>
      </c>
      <c r="G12664" t="s">
        <v>32672</v>
      </c>
      <c r="H12664" t="s">
        <v>12635</v>
      </c>
      <c r="I12664" t="s">
        <v>32708</v>
      </c>
      <c r="J12664" t="s">
        <v>40294</v>
      </c>
      <c r="K12664" t="s">
        <v>42283</v>
      </c>
      <c r="L12664" t="s">
        <v>3236</v>
      </c>
      <c r="M12664" t="s">
        <v>46158</v>
      </c>
      <c r="N12664" t="s">
        <v>46569</v>
      </c>
      <c r="O12664" t="s">
        <v>46570</v>
      </c>
      <c r="Q12664">
        <v>40</v>
      </c>
      <c r="R12664" t="s">
        <v>46584</v>
      </c>
      <c r="S12664" t="s">
        <v>47081</v>
      </c>
      <c r="T12664" t="s">
        <v>48226</v>
      </c>
      <c r="U12664" t="s">
        <v>58965</v>
      </c>
      <c r="W12664" t="s">
        <v>46158</v>
      </c>
      <c r="X12664" t="s">
        <v>46585</v>
      </c>
    </row>
    <row r="12665" spans="1:24">
      <c r="A12665">
        <f>HYPERLINK("https://www.philgeps.gov.ph/GEPSNONPILOT/Tender/SplashBidNoticeAbstractUI.aspx?menuIndex=3&amp;refID=7042159&amp;Result=3","7042159")</f>
        <v>0</v>
      </c>
      <c r="B12665" t="s">
        <v>3237</v>
      </c>
      <c r="C12665" t="s">
        <v>15550</v>
      </c>
      <c r="D12665" t="s">
        <v>18824</v>
      </c>
      <c r="E12665" t="s">
        <v>29762</v>
      </c>
      <c r="F12665" t="s">
        <v>32664</v>
      </c>
      <c r="G12665" t="s">
        <v>32672</v>
      </c>
      <c r="H12665" t="s">
        <v>32683</v>
      </c>
      <c r="I12665" t="s">
        <v>10627</v>
      </c>
      <c r="J12665" t="s">
        <v>40295</v>
      </c>
      <c r="K12665" t="s">
        <v>42317</v>
      </c>
      <c r="M12665" t="s">
        <v>46159</v>
      </c>
      <c r="N12665" t="s">
        <v>46569</v>
      </c>
      <c r="O12665" t="s">
        <v>46570</v>
      </c>
      <c r="P12665">
        <v>0</v>
      </c>
      <c r="Q12665">
        <v>1</v>
      </c>
      <c r="R12665" t="s">
        <v>46584</v>
      </c>
      <c r="S12665" t="s">
        <v>47063</v>
      </c>
      <c r="T12665" t="s">
        <v>48420</v>
      </c>
      <c r="U12665" t="s">
        <v>56569</v>
      </c>
      <c r="W12665" t="s">
        <v>46159</v>
      </c>
      <c r="X12665" t="s">
        <v>46585</v>
      </c>
    </row>
    <row r="12666" spans="1:24">
      <c r="A12666">
        <f>HYPERLINK("https://www.philgeps.gov.ph/GEPSNONPILOT/Tender/SplashBidNoticeAbstractUI.aspx?menuIndex=3&amp;refID=7042115&amp;Result=3","7042115")</f>
        <v>0</v>
      </c>
      <c r="B12666" t="s">
        <v>3238</v>
      </c>
      <c r="C12666" t="s">
        <v>15551</v>
      </c>
      <c r="D12666" t="s">
        <v>18800</v>
      </c>
      <c r="E12666" t="s">
        <v>29763</v>
      </c>
      <c r="F12666" t="s">
        <v>32664</v>
      </c>
      <c r="G12666" t="s">
        <v>32672</v>
      </c>
      <c r="H12666" t="s">
        <v>32683</v>
      </c>
      <c r="I12666" t="s">
        <v>32758</v>
      </c>
      <c r="J12666" t="s">
        <v>32837</v>
      </c>
      <c r="K12666" t="s">
        <v>42311</v>
      </c>
      <c r="M12666" t="s">
        <v>46160</v>
      </c>
      <c r="N12666" t="s">
        <v>46569</v>
      </c>
      <c r="O12666" t="s">
        <v>46570</v>
      </c>
      <c r="P12666">
        <v>0</v>
      </c>
      <c r="Q12666">
        <v>0</v>
      </c>
      <c r="R12666" t="s">
        <v>46584</v>
      </c>
      <c r="S12666" t="s">
        <v>47063</v>
      </c>
      <c r="T12666" t="s">
        <v>48225</v>
      </c>
      <c r="U12666" t="s">
        <v>58966</v>
      </c>
      <c r="W12666" t="s">
        <v>46160</v>
      </c>
      <c r="X12666" t="s">
        <v>46585</v>
      </c>
    </row>
    <row r="12667" spans="1:24">
      <c r="A12667">
        <f>HYPERLINK("https://www.philgeps.gov.ph/GEPSNONPILOT/Tender/SplashBidNoticeAbstractUI.aspx?menuIndex=3&amp;refID=7042144&amp;Result=3","7042144")</f>
        <v>0</v>
      </c>
      <c r="B12667" t="s">
        <v>583</v>
      </c>
      <c r="C12667" t="s">
        <v>15552</v>
      </c>
      <c r="D12667" t="s">
        <v>18821</v>
      </c>
      <c r="E12667" t="s">
        <v>29764</v>
      </c>
      <c r="F12667" t="s">
        <v>32664</v>
      </c>
      <c r="G12667" t="s">
        <v>32672</v>
      </c>
      <c r="H12667" t="s">
        <v>12635</v>
      </c>
      <c r="I12667" t="s">
        <v>8730</v>
      </c>
      <c r="J12667" t="s">
        <v>40296</v>
      </c>
      <c r="K12667" t="s">
        <v>42281</v>
      </c>
      <c r="M12667" t="s">
        <v>43163</v>
      </c>
      <c r="N12667" t="s">
        <v>46569</v>
      </c>
      <c r="O12667" t="s">
        <v>46570</v>
      </c>
      <c r="P12667">
        <v>0</v>
      </c>
      <c r="Q12667">
        <v>2</v>
      </c>
      <c r="R12667" t="s">
        <v>46584</v>
      </c>
      <c r="S12667" t="s">
        <v>47063</v>
      </c>
      <c r="T12667" t="s">
        <v>48284</v>
      </c>
      <c r="U12667" t="s">
        <v>58967</v>
      </c>
      <c r="W12667" t="s">
        <v>63485</v>
      </c>
      <c r="X12667" t="s">
        <v>46585</v>
      </c>
    </row>
    <row r="12668" spans="1:24">
      <c r="A12668">
        <f>HYPERLINK("https://www.philgeps.gov.ph/GEPSNONPILOT/Tender/SplashBidNoticeAbstractUI.aspx?menuIndex=3&amp;refID=7042099&amp;Result=3","7042099")</f>
        <v>0</v>
      </c>
      <c r="B12668" t="s">
        <v>678</v>
      </c>
      <c r="C12668" t="s">
        <v>15553</v>
      </c>
      <c r="E12668" t="s">
        <v>29765</v>
      </c>
      <c r="F12668" t="s">
        <v>32664</v>
      </c>
      <c r="G12668" t="s">
        <v>32672</v>
      </c>
      <c r="H12668" t="s">
        <v>32683</v>
      </c>
      <c r="I12668" t="s">
        <v>10627</v>
      </c>
      <c r="J12668" t="s">
        <v>34487</v>
      </c>
      <c r="K12668" t="s">
        <v>42283</v>
      </c>
      <c r="M12668" t="s">
        <v>43265</v>
      </c>
      <c r="N12668" t="s">
        <v>46569</v>
      </c>
      <c r="O12668" t="s">
        <v>46570</v>
      </c>
      <c r="P12668">
        <v>0</v>
      </c>
      <c r="Q12668">
        <v>0</v>
      </c>
      <c r="R12668" t="s">
        <v>46584</v>
      </c>
      <c r="S12668" t="s">
        <v>47063</v>
      </c>
      <c r="T12668" t="s">
        <v>48580</v>
      </c>
      <c r="U12668" t="s">
        <v>58958</v>
      </c>
      <c r="W12668" t="s">
        <v>43265</v>
      </c>
      <c r="X12668" t="s">
        <v>46585</v>
      </c>
    </row>
    <row r="12669" spans="1:24">
      <c r="A12669">
        <f>HYPERLINK("https://www.philgeps.gov.ph/GEPSNONPILOT/Tender/SplashBidNoticeAbstractUI.aspx?menuIndex=3&amp;refID=7042082&amp;Result=3","7042082")</f>
        <v>0</v>
      </c>
      <c r="B12669" t="s">
        <v>2028</v>
      </c>
      <c r="C12669" t="s">
        <v>15554</v>
      </c>
      <c r="D12669" t="s">
        <v>18807</v>
      </c>
      <c r="E12669" t="s">
        <v>22022</v>
      </c>
      <c r="F12669" t="s">
        <v>32664</v>
      </c>
      <c r="G12669" t="s">
        <v>32672</v>
      </c>
      <c r="H12669" t="s">
        <v>32683</v>
      </c>
      <c r="I12669" t="s">
        <v>10627</v>
      </c>
      <c r="J12669" t="s">
        <v>40297</v>
      </c>
      <c r="K12669" t="s">
        <v>42312</v>
      </c>
      <c r="M12669" t="s">
        <v>44770</v>
      </c>
      <c r="N12669" t="s">
        <v>46569</v>
      </c>
      <c r="O12669" t="s">
        <v>46570</v>
      </c>
      <c r="P12669">
        <v>0</v>
      </c>
      <c r="Q12669">
        <v>2</v>
      </c>
      <c r="R12669" t="s">
        <v>46584</v>
      </c>
      <c r="S12669" t="s">
        <v>47063</v>
      </c>
      <c r="T12669" t="s">
        <v>48225</v>
      </c>
      <c r="U12669" t="s">
        <v>58968</v>
      </c>
      <c r="W12669" t="s">
        <v>44770</v>
      </c>
      <c r="X12669" t="s">
        <v>46585</v>
      </c>
    </row>
    <row r="12670" spans="1:24">
      <c r="A12670">
        <f>HYPERLINK("https://www.philgeps.gov.ph/GEPSNONPILOT/Tender/SplashBidNoticeAbstractUI.aspx?menuIndex=3&amp;refID=7042068&amp;Result=3","7042068")</f>
        <v>0</v>
      </c>
      <c r="B12670" t="s">
        <v>678</v>
      </c>
      <c r="C12670" t="s">
        <v>15555</v>
      </c>
      <c r="E12670" t="s">
        <v>29766</v>
      </c>
      <c r="F12670" t="s">
        <v>32664</v>
      </c>
      <c r="G12670" t="s">
        <v>32672</v>
      </c>
      <c r="H12670" t="s">
        <v>32683</v>
      </c>
      <c r="I12670" t="s">
        <v>10627</v>
      </c>
      <c r="J12670" t="s">
        <v>32943</v>
      </c>
      <c r="K12670" t="s">
        <v>42283</v>
      </c>
      <c r="M12670" t="s">
        <v>43265</v>
      </c>
      <c r="N12670" t="s">
        <v>46569</v>
      </c>
      <c r="O12670" t="s">
        <v>46570</v>
      </c>
      <c r="P12670">
        <v>0</v>
      </c>
      <c r="Q12670">
        <v>0</v>
      </c>
      <c r="R12670" t="s">
        <v>46584</v>
      </c>
      <c r="S12670" t="s">
        <v>47063</v>
      </c>
      <c r="T12670" t="s">
        <v>48580</v>
      </c>
      <c r="U12670" t="s">
        <v>58958</v>
      </c>
      <c r="W12670" t="s">
        <v>43265</v>
      </c>
      <c r="X12670" t="s">
        <v>46585</v>
      </c>
    </row>
    <row r="12671" spans="1:24">
      <c r="A12671">
        <f>HYPERLINK("https://www.philgeps.gov.ph/GEPSNONPILOT/Tender/SplashBidNoticeAbstractUI.aspx?menuIndex=3&amp;refID=7042186&amp;Result=3","7042186")</f>
        <v>0</v>
      </c>
      <c r="B12671" t="s">
        <v>514</v>
      </c>
      <c r="C12671" t="s">
        <v>15556</v>
      </c>
      <c r="D12671" t="s">
        <v>18826</v>
      </c>
      <c r="E12671" t="s">
        <v>29767</v>
      </c>
      <c r="F12671" t="s">
        <v>32664</v>
      </c>
      <c r="G12671" t="s">
        <v>32672</v>
      </c>
      <c r="H12671" t="s">
        <v>32683</v>
      </c>
      <c r="I12671" t="s">
        <v>10627</v>
      </c>
      <c r="J12671" t="s">
        <v>40298</v>
      </c>
      <c r="K12671" t="s">
        <v>42327</v>
      </c>
      <c r="M12671" t="s">
        <v>46161</v>
      </c>
      <c r="N12671" t="s">
        <v>46569</v>
      </c>
      <c r="O12671" t="s">
        <v>46570</v>
      </c>
      <c r="P12671">
        <v>0</v>
      </c>
      <c r="Q12671">
        <v>7</v>
      </c>
      <c r="R12671" t="s">
        <v>46584</v>
      </c>
      <c r="S12671" t="s">
        <v>47063</v>
      </c>
      <c r="T12671" t="s">
        <v>48284</v>
      </c>
      <c r="U12671" t="s">
        <v>58969</v>
      </c>
      <c r="W12671" t="s">
        <v>46161</v>
      </c>
      <c r="X12671" t="s">
        <v>46585</v>
      </c>
    </row>
    <row r="12672" spans="1:24">
      <c r="A12672">
        <f>HYPERLINK("https://www.philgeps.gov.ph/GEPSNONPILOT/Tender/SplashBidNoticeAbstractUI.aspx?menuIndex=3&amp;refID=7042128&amp;Result=3","7042128")</f>
        <v>0</v>
      </c>
      <c r="B12672" t="s">
        <v>3096</v>
      </c>
      <c r="C12672" t="s">
        <v>15557</v>
      </c>
      <c r="D12672" t="s">
        <v>18828</v>
      </c>
      <c r="E12672" t="s">
        <v>29768</v>
      </c>
      <c r="F12672" t="s">
        <v>32664</v>
      </c>
      <c r="G12672" t="s">
        <v>32672</v>
      </c>
      <c r="H12672" t="s">
        <v>12635</v>
      </c>
      <c r="I12672" t="s">
        <v>11464</v>
      </c>
      <c r="J12672" t="s">
        <v>34148</v>
      </c>
      <c r="K12672" t="s">
        <v>42311</v>
      </c>
      <c r="M12672" t="s">
        <v>45984</v>
      </c>
      <c r="N12672" t="s">
        <v>46569</v>
      </c>
      <c r="O12672" t="s">
        <v>46570</v>
      </c>
      <c r="P12672">
        <v>0</v>
      </c>
      <c r="Q12672">
        <v>3</v>
      </c>
      <c r="R12672" t="s">
        <v>46584</v>
      </c>
      <c r="S12672" t="s">
        <v>47063</v>
      </c>
      <c r="T12672" t="s">
        <v>48287</v>
      </c>
      <c r="U12672" t="s">
        <v>58970</v>
      </c>
      <c r="W12672" t="s">
        <v>45984</v>
      </c>
      <c r="X12672" t="s">
        <v>46585</v>
      </c>
    </row>
    <row r="12673" spans="1:24">
      <c r="A12673">
        <f>HYPERLINK("https://www.philgeps.gov.ph/GEPSNONPILOT/Tender/SplashBidNoticeAbstractUI.aspx?menuIndex=3&amp;refID=7042100&amp;Result=3","7042100")</f>
        <v>0</v>
      </c>
      <c r="B12673" t="s">
        <v>1337</v>
      </c>
      <c r="C12673" t="s">
        <v>15558</v>
      </c>
      <c r="D12673" t="s">
        <v>18797</v>
      </c>
      <c r="E12673" t="s">
        <v>29769</v>
      </c>
      <c r="F12673" t="s">
        <v>32664</v>
      </c>
      <c r="G12673" t="s">
        <v>32672</v>
      </c>
      <c r="H12673" t="s">
        <v>32683</v>
      </c>
      <c r="I12673" t="s">
        <v>10627</v>
      </c>
      <c r="J12673" t="s">
        <v>40299</v>
      </c>
      <c r="K12673" t="s">
        <v>42535</v>
      </c>
      <c r="M12673" t="s">
        <v>43987</v>
      </c>
      <c r="N12673" t="s">
        <v>46569</v>
      </c>
      <c r="O12673" t="s">
        <v>46570</v>
      </c>
      <c r="P12673">
        <v>0</v>
      </c>
      <c r="Q12673">
        <v>17</v>
      </c>
      <c r="R12673" t="s">
        <v>46584</v>
      </c>
      <c r="S12673" t="s">
        <v>47063</v>
      </c>
      <c r="T12673" t="s">
        <v>48248</v>
      </c>
      <c r="U12673" t="s">
        <v>58971</v>
      </c>
      <c r="W12673" t="s">
        <v>43987</v>
      </c>
      <c r="X12673" t="s">
        <v>46585</v>
      </c>
    </row>
    <row r="12674" spans="1:24">
      <c r="A12674">
        <f>HYPERLINK("https://www.philgeps.gov.ph/GEPSNONPILOT/Tender/SplashBidNoticeAbstractUI.aspx?menuIndex=3&amp;refID=7042331&amp;Result=3","7042331")</f>
        <v>0</v>
      </c>
      <c r="B12674" t="s">
        <v>3239</v>
      </c>
      <c r="C12674" t="s">
        <v>15559</v>
      </c>
      <c r="D12674" t="s">
        <v>18848</v>
      </c>
      <c r="E12674" t="s">
        <v>29770</v>
      </c>
      <c r="F12674" t="s">
        <v>32664</v>
      </c>
      <c r="G12674" t="s">
        <v>32672</v>
      </c>
      <c r="H12674" t="s">
        <v>12635</v>
      </c>
      <c r="I12674" t="s">
        <v>4439</v>
      </c>
      <c r="J12674" t="s">
        <v>40300</v>
      </c>
      <c r="K12674" t="s">
        <v>42303</v>
      </c>
      <c r="M12674" t="s">
        <v>46162</v>
      </c>
      <c r="N12674" t="s">
        <v>46569</v>
      </c>
      <c r="O12674" t="s">
        <v>46570</v>
      </c>
      <c r="P12674">
        <v>0</v>
      </c>
      <c r="Q12674">
        <v>4</v>
      </c>
      <c r="R12674" t="s">
        <v>46584</v>
      </c>
      <c r="S12674" t="s">
        <v>47063</v>
      </c>
      <c r="T12674" t="s">
        <v>48226</v>
      </c>
      <c r="U12674" t="s">
        <v>58972</v>
      </c>
      <c r="V12674" t="s">
        <v>63025</v>
      </c>
      <c r="W12674" t="s">
        <v>46162</v>
      </c>
      <c r="X12674" t="s">
        <v>46585</v>
      </c>
    </row>
    <row r="12675" spans="1:24">
      <c r="A12675">
        <f>HYPERLINK("https://www.philgeps.gov.ph/GEPSNONPILOT/Tender/SplashBidNoticeAbstractUI.aspx?menuIndex=3&amp;refID=7042324&amp;Result=3","7042324")</f>
        <v>0</v>
      </c>
      <c r="B12675" t="s">
        <v>3240</v>
      </c>
      <c r="C12675" t="s">
        <v>15560</v>
      </c>
      <c r="D12675" t="s">
        <v>18802</v>
      </c>
      <c r="E12675" t="s">
        <v>29771</v>
      </c>
      <c r="F12675" t="s">
        <v>32664</v>
      </c>
      <c r="G12675" t="s">
        <v>32672</v>
      </c>
      <c r="H12675" t="s">
        <v>12635</v>
      </c>
      <c r="I12675" t="s">
        <v>6168</v>
      </c>
      <c r="J12675" t="s">
        <v>40301</v>
      </c>
      <c r="K12675" t="s">
        <v>42336</v>
      </c>
      <c r="M12675" t="s">
        <v>46163</v>
      </c>
      <c r="N12675" t="s">
        <v>46569</v>
      </c>
      <c r="O12675" t="s">
        <v>46570</v>
      </c>
      <c r="P12675">
        <v>0</v>
      </c>
      <c r="Q12675">
        <v>2</v>
      </c>
      <c r="R12675" t="s">
        <v>46584</v>
      </c>
      <c r="S12675" t="s">
        <v>47063</v>
      </c>
      <c r="T12675" t="s">
        <v>48709</v>
      </c>
      <c r="U12675" t="s">
        <v>58973</v>
      </c>
      <c r="W12675" t="s">
        <v>46163</v>
      </c>
      <c r="X12675" t="s">
        <v>46585</v>
      </c>
    </row>
    <row r="12676" spans="1:24">
      <c r="A12676">
        <f>HYPERLINK("https://www.philgeps.gov.ph/GEPSNONPILOT/Tender/SplashBidNoticeAbstractUI.aspx?menuIndex=3&amp;refID=7042322&amp;Result=3","7042322")</f>
        <v>0</v>
      </c>
      <c r="B12676" t="s">
        <v>175</v>
      </c>
      <c r="C12676" t="s">
        <v>15561</v>
      </c>
      <c r="D12676" t="s">
        <v>18784</v>
      </c>
      <c r="E12676" t="s">
        <v>29772</v>
      </c>
      <c r="F12676" t="s">
        <v>32664</v>
      </c>
      <c r="G12676" t="s">
        <v>32672</v>
      </c>
      <c r="H12676" t="s">
        <v>12635</v>
      </c>
      <c r="I12676" t="s">
        <v>32772</v>
      </c>
      <c r="J12676" t="s">
        <v>40302</v>
      </c>
      <c r="K12676" t="s">
        <v>42298</v>
      </c>
      <c r="M12676" t="s">
        <v>46164</v>
      </c>
      <c r="N12676" t="s">
        <v>46569</v>
      </c>
      <c r="O12676" t="s">
        <v>46570</v>
      </c>
      <c r="Q12676">
        <v>13</v>
      </c>
      <c r="R12676" t="s">
        <v>46584</v>
      </c>
      <c r="S12676" t="s">
        <v>47082</v>
      </c>
      <c r="T12676" t="s">
        <v>48383</v>
      </c>
      <c r="U12676" t="s">
        <v>58974</v>
      </c>
      <c r="W12676" t="s">
        <v>46164</v>
      </c>
      <c r="X12676" t="s">
        <v>46585</v>
      </c>
    </row>
    <row r="12677" spans="1:24">
      <c r="A12677">
        <f>HYPERLINK("https://www.philgeps.gov.ph/GEPSNONPILOT/Tender/SplashBidNoticeAbstractUI.aspx?menuIndex=3&amp;refID=7041893&amp;Result=3","7041893")</f>
        <v>0</v>
      </c>
      <c r="B12677" t="s">
        <v>3241</v>
      </c>
      <c r="C12677" t="s">
        <v>15562</v>
      </c>
      <c r="D12677" t="s">
        <v>18784</v>
      </c>
      <c r="E12677" t="s">
        <v>29773</v>
      </c>
      <c r="F12677" t="s">
        <v>32664</v>
      </c>
      <c r="G12677" t="s">
        <v>32672</v>
      </c>
      <c r="H12677" t="s">
        <v>12635</v>
      </c>
      <c r="I12677" t="s">
        <v>8797</v>
      </c>
      <c r="J12677" t="s">
        <v>40303</v>
      </c>
      <c r="K12677" t="s">
        <v>42284</v>
      </c>
      <c r="M12677" t="s">
        <v>46165</v>
      </c>
      <c r="N12677" t="s">
        <v>46569</v>
      </c>
      <c r="O12677" t="s">
        <v>46570</v>
      </c>
      <c r="Q12677">
        <v>3</v>
      </c>
      <c r="R12677" t="s">
        <v>46584</v>
      </c>
      <c r="S12677" t="s">
        <v>47008</v>
      </c>
      <c r="T12677" t="s">
        <v>48313</v>
      </c>
      <c r="U12677" t="s">
        <v>58975</v>
      </c>
      <c r="W12677" t="s">
        <v>46165</v>
      </c>
      <c r="X12677" t="s">
        <v>46585</v>
      </c>
    </row>
    <row r="12678" spans="1:24">
      <c r="A12678">
        <f>HYPERLINK("https://www.philgeps.gov.ph/GEPSNONPILOT/Tender/SplashBidNoticeAbstractUI.aspx?menuIndex=3&amp;refID=7042283&amp;Result=3","7042283")</f>
        <v>0</v>
      </c>
      <c r="B12678" t="s">
        <v>2022</v>
      </c>
      <c r="C12678" t="s">
        <v>15563</v>
      </c>
      <c r="D12678" t="s">
        <v>18806</v>
      </c>
      <c r="E12678" t="s">
        <v>29774</v>
      </c>
      <c r="F12678" t="s">
        <v>32664</v>
      </c>
      <c r="G12678" t="s">
        <v>32672</v>
      </c>
      <c r="H12678" t="s">
        <v>12635</v>
      </c>
      <c r="I12678" t="s">
        <v>32698</v>
      </c>
      <c r="J12678" t="s">
        <v>40304</v>
      </c>
      <c r="K12678" t="s">
        <v>42281</v>
      </c>
      <c r="M12678" t="s">
        <v>44764</v>
      </c>
      <c r="N12678" t="s">
        <v>46569</v>
      </c>
      <c r="O12678" t="s">
        <v>46570</v>
      </c>
      <c r="Q12678">
        <v>0</v>
      </c>
      <c r="R12678" t="s">
        <v>46584</v>
      </c>
      <c r="S12678" t="s">
        <v>47083</v>
      </c>
      <c r="T12678" t="s">
        <v>48354</v>
      </c>
      <c r="U12678" t="s">
        <v>58976</v>
      </c>
      <c r="W12678" t="s">
        <v>44764</v>
      </c>
      <c r="X12678" t="s">
        <v>46585</v>
      </c>
    </row>
    <row r="12679" spans="1:24">
      <c r="A12679">
        <f>HYPERLINK("https://www.philgeps.gov.ph/GEPSNONPILOT/Tender/SplashBidNoticeAbstractUI.aspx?menuIndex=3&amp;refID=7042280&amp;Result=3","7042280")</f>
        <v>0</v>
      </c>
      <c r="B12679" t="s">
        <v>175</v>
      </c>
      <c r="C12679" t="s">
        <v>15564</v>
      </c>
      <c r="D12679" t="s">
        <v>18784</v>
      </c>
      <c r="E12679" t="s">
        <v>19771</v>
      </c>
      <c r="F12679" t="s">
        <v>32664</v>
      </c>
      <c r="G12679" t="s">
        <v>32672</v>
      </c>
      <c r="H12679" t="s">
        <v>12635</v>
      </c>
      <c r="I12679" t="s">
        <v>10370</v>
      </c>
      <c r="J12679" t="s">
        <v>37781</v>
      </c>
      <c r="K12679" t="s">
        <v>42298</v>
      </c>
      <c r="M12679" t="s">
        <v>46164</v>
      </c>
      <c r="N12679" t="s">
        <v>46569</v>
      </c>
      <c r="O12679" t="s">
        <v>46570</v>
      </c>
      <c r="Q12679">
        <v>14</v>
      </c>
      <c r="R12679" t="s">
        <v>46584</v>
      </c>
      <c r="S12679" t="s">
        <v>47084</v>
      </c>
      <c r="T12679" t="s">
        <v>48304</v>
      </c>
      <c r="U12679" t="s">
        <v>58977</v>
      </c>
      <c r="W12679" t="s">
        <v>46164</v>
      </c>
      <c r="X12679" t="s">
        <v>46585</v>
      </c>
    </row>
    <row r="12680" spans="1:24">
      <c r="A12680">
        <f>HYPERLINK("https://www.philgeps.gov.ph/GEPSNONPILOT/Tender/SplashBidNoticeAbstractUI.aspx?menuIndex=3&amp;refID=7042287&amp;Result=3","7042287")</f>
        <v>0</v>
      </c>
      <c r="B12680" t="s">
        <v>1786</v>
      </c>
      <c r="C12680" t="s">
        <v>15565</v>
      </c>
      <c r="D12680" t="s">
        <v>18814</v>
      </c>
      <c r="E12680" t="s">
        <v>29775</v>
      </c>
      <c r="F12680" t="s">
        <v>32665</v>
      </c>
      <c r="G12680" t="s">
        <v>32672</v>
      </c>
      <c r="H12680" t="s">
        <v>12635</v>
      </c>
      <c r="I12680" t="s">
        <v>32704</v>
      </c>
      <c r="J12680" t="s">
        <v>40305</v>
      </c>
      <c r="K12680" t="s">
        <v>42311</v>
      </c>
      <c r="M12680" t="s">
        <v>44488</v>
      </c>
      <c r="N12680" t="s">
        <v>46569</v>
      </c>
      <c r="O12680" t="s">
        <v>46570</v>
      </c>
      <c r="Q12680">
        <v>27</v>
      </c>
      <c r="R12680" t="s">
        <v>46584</v>
      </c>
      <c r="S12680" t="s">
        <v>47085</v>
      </c>
      <c r="T12680" t="s">
        <v>48329</v>
      </c>
      <c r="U12680" t="s">
        <v>58978</v>
      </c>
      <c r="W12680" t="s">
        <v>44488</v>
      </c>
      <c r="X12680" t="s">
        <v>46585</v>
      </c>
    </row>
    <row r="12681" spans="1:24">
      <c r="A12681">
        <f>HYPERLINK("https://www.philgeps.gov.ph/GEPSNONPILOT/Tender/SplashBidNoticeAbstractUI.aspx?menuIndex=3&amp;refID=7042273&amp;Result=3","7042273")</f>
        <v>0</v>
      </c>
      <c r="B12681" t="s">
        <v>3242</v>
      </c>
      <c r="C12681" t="s">
        <v>15566</v>
      </c>
      <c r="D12681" t="s">
        <v>18842</v>
      </c>
      <c r="E12681" t="s">
        <v>29776</v>
      </c>
      <c r="F12681" t="s">
        <v>32664</v>
      </c>
      <c r="G12681" t="s">
        <v>32672</v>
      </c>
      <c r="H12681" t="s">
        <v>12635</v>
      </c>
      <c r="I12681" t="s">
        <v>4439</v>
      </c>
      <c r="J12681" t="s">
        <v>40306</v>
      </c>
      <c r="K12681" t="s">
        <v>42284</v>
      </c>
      <c r="M12681" t="s">
        <v>46166</v>
      </c>
      <c r="N12681" t="s">
        <v>46569</v>
      </c>
      <c r="O12681" t="s">
        <v>46570</v>
      </c>
      <c r="P12681">
        <v>0</v>
      </c>
      <c r="Q12681">
        <v>0</v>
      </c>
      <c r="R12681" t="s">
        <v>46584</v>
      </c>
      <c r="S12681" t="s">
        <v>47063</v>
      </c>
      <c r="T12681" t="s">
        <v>48226</v>
      </c>
      <c r="U12681" t="s">
        <v>58979</v>
      </c>
      <c r="W12681" t="s">
        <v>46166</v>
      </c>
      <c r="X12681" t="s">
        <v>46585</v>
      </c>
    </row>
    <row r="12682" spans="1:24">
      <c r="A12682">
        <f>HYPERLINK("https://www.philgeps.gov.ph/GEPSNONPILOT/Tender/SplashBidNoticeAbstractUI.aspx?menuIndex=3&amp;refID=7041637&amp;Result=3","7041637")</f>
        <v>0</v>
      </c>
      <c r="B12682" t="s">
        <v>678</v>
      </c>
      <c r="C12682" t="s">
        <v>15524</v>
      </c>
      <c r="E12682" t="s">
        <v>29777</v>
      </c>
      <c r="F12682" t="s">
        <v>32664</v>
      </c>
      <c r="G12682" t="s">
        <v>32672</v>
      </c>
      <c r="H12682" t="s">
        <v>32681</v>
      </c>
      <c r="I12682" t="s">
        <v>32681</v>
      </c>
      <c r="J12682" t="s">
        <v>40307</v>
      </c>
      <c r="K12682" t="s">
        <v>42283</v>
      </c>
      <c r="M12682" t="s">
        <v>43265</v>
      </c>
      <c r="N12682" t="s">
        <v>46569</v>
      </c>
      <c r="O12682" t="s">
        <v>46570</v>
      </c>
      <c r="P12682">
        <v>0</v>
      </c>
      <c r="Q12682">
        <v>3</v>
      </c>
      <c r="R12682" t="s">
        <v>46584</v>
      </c>
      <c r="S12682" t="s">
        <v>47063</v>
      </c>
      <c r="T12682" t="s">
        <v>48580</v>
      </c>
      <c r="U12682" t="s">
        <v>58980</v>
      </c>
      <c r="W12682" t="s">
        <v>43265</v>
      </c>
      <c r="X12682" t="s">
        <v>46585</v>
      </c>
    </row>
    <row r="12683" spans="1:24">
      <c r="A12683">
        <f>HYPERLINK("https://www.philgeps.gov.ph/GEPSNONPILOT/Tender/SplashBidNoticeAbstractUI.aspx?menuIndex=3&amp;refID=7042300&amp;Result=3","7042300")</f>
        <v>0</v>
      </c>
      <c r="B12683" t="s">
        <v>1396</v>
      </c>
      <c r="C12683" t="s">
        <v>7216</v>
      </c>
      <c r="D12683" t="s">
        <v>18804</v>
      </c>
      <c r="E12683" t="s">
        <v>29778</v>
      </c>
      <c r="F12683" t="s">
        <v>32664</v>
      </c>
      <c r="G12683" t="s">
        <v>32672</v>
      </c>
      <c r="H12683" t="s">
        <v>12635</v>
      </c>
      <c r="I12683" t="s">
        <v>32699</v>
      </c>
      <c r="J12683" t="s">
        <v>40308</v>
      </c>
      <c r="K12683" t="s">
        <v>42281</v>
      </c>
      <c r="M12683" t="s">
        <v>44053</v>
      </c>
      <c r="N12683" t="s">
        <v>46569</v>
      </c>
      <c r="O12683" t="s">
        <v>46570</v>
      </c>
      <c r="P12683">
        <v>0</v>
      </c>
      <c r="Q12683">
        <v>5</v>
      </c>
      <c r="R12683" t="s">
        <v>46584</v>
      </c>
      <c r="S12683" t="s">
        <v>47063</v>
      </c>
      <c r="T12683" t="s">
        <v>48226</v>
      </c>
      <c r="U12683" t="s">
        <v>58981</v>
      </c>
      <c r="W12683" t="s">
        <v>44053</v>
      </c>
      <c r="X12683" t="s">
        <v>46585</v>
      </c>
    </row>
    <row r="12684" spans="1:24">
      <c r="A12684">
        <f>HYPERLINK("https://www.philgeps.gov.ph/GEPSNONPILOT/Tender/SplashBidNoticeAbstractUI.aspx?menuIndex=3&amp;refID=7042289&amp;Result=3","7042289")</f>
        <v>0</v>
      </c>
      <c r="B12684" t="s">
        <v>3239</v>
      </c>
      <c r="C12684" t="s">
        <v>15567</v>
      </c>
      <c r="D12684" t="s">
        <v>18848</v>
      </c>
      <c r="E12684" t="s">
        <v>29779</v>
      </c>
      <c r="F12684" t="s">
        <v>32664</v>
      </c>
      <c r="G12684" t="s">
        <v>32672</v>
      </c>
      <c r="H12684" t="s">
        <v>12635</v>
      </c>
      <c r="I12684" t="s">
        <v>4439</v>
      </c>
      <c r="J12684" t="s">
        <v>40309</v>
      </c>
      <c r="K12684" t="s">
        <v>42303</v>
      </c>
      <c r="M12684" t="s">
        <v>46162</v>
      </c>
      <c r="N12684" t="s">
        <v>46569</v>
      </c>
      <c r="O12684" t="s">
        <v>46570</v>
      </c>
      <c r="Q12684">
        <v>2</v>
      </c>
      <c r="R12684" t="s">
        <v>46584</v>
      </c>
      <c r="S12684" t="s">
        <v>47086</v>
      </c>
      <c r="T12684" t="s">
        <v>48226</v>
      </c>
      <c r="U12684" t="s">
        <v>58972</v>
      </c>
      <c r="V12684" t="s">
        <v>63026</v>
      </c>
      <c r="W12684" t="s">
        <v>46162</v>
      </c>
      <c r="X12684" t="s">
        <v>46585</v>
      </c>
    </row>
    <row r="12685" spans="1:24">
      <c r="A12685">
        <f>HYPERLINK("https://www.philgeps.gov.ph/GEPSNONPILOT/Tender/SplashBidNoticeAbstractUI.aspx?menuIndex=3&amp;refID=7042234&amp;Result=3","7042234")</f>
        <v>0</v>
      </c>
      <c r="B12685" t="s">
        <v>175</v>
      </c>
      <c r="C12685" t="s">
        <v>15568</v>
      </c>
      <c r="D12685" t="s">
        <v>18784</v>
      </c>
      <c r="E12685" t="s">
        <v>19634</v>
      </c>
      <c r="F12685" t="s">
        <v>32664</v>
      </c>
      <c r="G12685" t="s">
        <v>32672</v>
      </c>
      <c r="H12685" t="s">
        <v>12635</v>
      </c>
      <c r="I12685" t="s">
        <v>5589</v>
      </c>
      <c r="J12685" t="s">
        <v>36065</v>
      </c>
      <c r="K12685" t="s">
        <v>42281</v>
      </c>
      <c r="M12685" t="s">
        <v>46164</v>
      </c>
      <c r="N12685" t="s">
        <v>46569</v>
      </c>
      <c r="O12685" t="s">
        <v>46570</v>
      </c>
      <c r="Q12685">
        <v>16</v>
      </c>
      <c r="R12685" t="s">
        <v>46584</v>
      </c>
      <c r="S12685" t="s">
        <v>47087</v>
      </c>
      <c r="T12685" t="s">
        <v>48296</v>
      </c>
      <c r="U12685" t="s">
        <v>58982</v>
      </c>
      <c r="W12685" t="s">
        <v>46164</v>
      </c>
      <c r="X12685" t="s">
        <v>46585</v>
      </c>
    </row>
    <row r="12686" spans="1:24">
      <c r="A12686">
        <f>HYPERLINK("https://www.philgeps.gov.ph/GEPSNONPILOT/Tender/SplashBidNoticeAbstractUI.aspx?menuIndex=3&amp;refID=7042214&amp;Result=3","7042214")</f>
        <v>0</v>
      </c>
      <c r="B12686" t="s">
        <v>3236</v>
      </c>
      <c r="C12686" t="s">
        <v>15569</v>
      </c>
      <c r="D12686" t="s">
        <v>18784</v>
      </c>
      <c r="E12686" t="s">
        <v>29780</v>
      </c>
      <c r="F12686" t="s">
        <v>32664</v>
      </c>
      <c r="G12686" t="s">
        <v>32672</v>
      </c>
      <c r="H12686" t="s">
        <v>12635</v>
      </c>
      <c r="I12686" t="s">
        <v>32708</v>
      </c>
      <c r="J12686" t="s">
        <v>34253</v>
      </c>
      <c r="K12686" t="s">
        <v>42283</v>
      </c>
      <c r="L12686" t="s">
        <v>3236</v>
      </c>
      <c r="M12686" t="s">
        <v>46158</v>
      </c>
      <c r="N12686" t="s">
        <v>46569</v>
      </c>
      <c r="O12686" t="s">
        <v>46570</v>
      </c>
      <c r="Q12686">
        <v>24</v>
      </c>
      <c r="R12686" t="s">
        <v>46584</v>
      </c>
      <c r="S12686" t="s">
        <v>47088</v>
      </c>
      <c r="T12686" t="s">
        <v>48226</v>
      </c>
      <c r="U12686" t="s">
        <v>58965</v>
      </c>
      <c r="W12686" t="s">
        <v>46158</v>
      </c>
      <c r="X12686" t="s">
        <v>46585</v>
      </c>
    </row>
    <row r="12687" spans="1:24">
      <c r="A12687">
        <f>HYPERLINK("https://www.philgeps.gov.ph/GEPSNONPILOT/Tender/SplashBidNoticeAbstractUI.aspx?menuIndex=3&amp;refID=7042212&amp;Result=3","7042212")</f>
        <v>0</v>
      </c>
      <c r="B12687" t="s">
        <v>1396</v>
      </c>
      <c r="C12687" t="s">
        <v>15570</v>
      </c>
      <c r="D12687" t="s">
        <v>18804</v>
      </c>
      <c r="E12687" t="s">
        <v>29781</v>
      </c>
      <c r="F12687" t="s">
        <v>32664</v>
      </c>
      <c r="G12687" t="s">
        <v>32672</v>
      </c>
      <c r="H12687" t="s">
        <v>12635</v>
      </c>
      <c r="I12687" t="s">
        <v>32724</v>
      </c>
      <c r="J12687" t="s">
        <v>33751</v>
      </c>
      <c r="K12687" t="s">
        <v>42289</v>
      </c>
      <c r="M12687" t="s">
        <v>44053</v>
      </c>
      <c r="N12687" t="s">
        <v>46569</v>
      </c>
      <c r="O12687" t="s">
        <v>46570</v>
      </c>
      <c r="Q12687">
        <v>6</v>
      </c>
      <c r="R12687" t="s">
        <v>46584</v>
      </c>
      <c r="S12687" t="s">
        <v>47089</v>
      </c>
      <c r="T12687" t="s">
        <v>48226</v>
      </c>
      <c r="U12687" t="s">
        <v>58983</v>
      </c>
      <c r="W12687" t="s">
        <v>44053</v>
      </c>
      <c r="X12687" t="s">
        <v>46585</v>
      </c>
    </row>
    <row r="12688" spans="1:24">
      <c r="A12688">
        <f>HYPERLINK("https://www.philgeps.gov.ph/GEPSNONPILOT/Tender/SplashBidNoticeAbstractUI.aspx?menuIndex=3&amp;refID=7042236&amp;Result=3","7042236")</f>
        <v>0</v>
      </c>
      <c r="B12688" t="s">
        <v>1336</v>
      </c>
      <c r="C12688" t="s">
        <v>15571</v>
      </c>
      <c r="D12688" t="s">
        <v>18856</v>
      </c>
      <c r="E12688" t="s">
        <v>29782</v>
      </c>
      <c r="F12688" t="s">
        <v>32664</v>
      </c>
      <c r="G12688" t="s">
        <v>32672</v>
      </c>
      <c r="H12688" t="s">
        <v>32683</v>
      </c>
      <c r="I12688" t="s">
        <v>10627</v>
      </c>
      <c r="J12688" t="s">
        <v>40310</v>
      </c>
      <c r="K12688" t="s">
        <v>42325</v>
      </c>
      <c r="M12688" t="s">
        <v>43986</v>
      </c>
      <c r="N12688" t="s">
        <v>46569</v>
      </c>
      <c r="O12688" t="s">
        <v>46570</v>
      </c>
      <c r="P12688">
        <v>0</v>
      </c>
      <c r="Q12688">
        <v>1</v>
      </c>
      <c r="R12688" t="s">
        <v>46584</v>
      </c>
      <c r="S12688" t="s">
        <v>47063</v>
      </c>
      <c r="T12688" t="s">
        <v>48376</v>
      </c>
      <c r="U12688" t="s">
        <v>58984</v>
      </c>
      <c r="V12688" t="s">
        <v>61974</v>
      </c>
      <c r="W12688" t="s">
        <v>43986</v>
      </c>
      <c r="X12688" t="s">
        <v>46585</v>
      </c>
    </row>
    <row r="12689" spans="1:24">
      <c r="A12689">
        <f>HYPERLINK("https://www.philgeps.gov.ph/GEPSNONPILOT/Tender/SplashBidNoticeAbstractUI.aspx?menuIndex=3&amp;refID=7042091&amp;Result=3","7042091")</f>
        <v>0</v>
      </c>
      <c r="B12689" t="s">
        <v>3218</v>
      </c>
      <c r="C12689" t="s">
        <v>15572</v>
      </c>
      <c r="D12689" t="s">
        <v>18827</v>
      </c>
      <c r="E12689" t="s">
        <v>29783</v>
      </c>
      <c r="F12689" t="s">
        <v>32664</v>
      </c>
      <c r="G12689" t="s">
        <v>32672</v>
      </c>
      <c r="H12689" t="s">
        <v>12635</v>
      </c>
      <c r="I12689" t="s">
        <v>11464</v>
      </c>
      <c r="J12689" t="s">
        <v>40311</v>
      </c>
      <c r="K12689" t="s">
        <v>42334</v>
      </c>
      <c r="M12689" t="s">
        <v>46149</v>
      </c>
      <c r="N12689" t="s">
        <v>46569</v>
      </c>
      <c r="O12689" t="s">
        <v>46570</v>
      </c>
      <c r="P12689">
        <v>0</v>
      </c>
      <c r="Q12689">
        <v>14</v>
      </c>
      <c r="R12689" t="s">
        <v>46584</v>
      </c>
      <c r="S12689" t="s">
        <v>47063</v>
      </c>
      <c r="T12689" t="s">
        <v>48226</v>
      </c>
      <c r="U12689" t="s">
        <v>58985</v>
      </c>
      <c r="V12689" t="s">
        <v>63020</v>
      </c>
      <c r="W12689" t="s">
        <v>46149</v>
      </c>
      <c r="X12689" t="s">
        <v>46585</v>
      </c>
    </row>
    <row r="12690" spans="1:24">
      <c r="A12690">
        <f>HYPERLINK("https://www.philgeps.gov.ph/GEPSNONPILOT/Tender/SplashBidNoticeAbstractUI.aspx?menuIndex=3&amp;refID=7042284&amp;Result=3","7042284")</f>
        <v>0</v>
      </c>
      <c r="B12690" t="s">
        <v>988</v>
      </c>
      <c r="C12690" t="s">
        <v>15573</v>
      </c>
      <c r="D12690" t="s">
        <v>18784</v>
      </c>
      <c r="E12690" t="s">
        <v>29784</v>
      </c>
      <c r="F12690" t="s">
        <v>32664</v>
      </c>
      <c r="G12690" t="s">
        <v>32672</v>
      </c>
      <c r="H12690" t="s">
        <v>12635</v>
      </c>
      <c r="I12690" t="s">
        <v>32701</v>
      </c>
      <c r="J12690" t="s">
        <v>40312</v>
      </c>
      <c r="K12690" t="s">
        <v>42283</v>
      </c>
      <c r="M12690" t="s">
        <v>44301</v>
      </c>
      <c r="N12690" t="s">
        <v>46569</v>
      </c>
      <c r="O12690" t="s">
        <v>46570</v>
      </c>
      <c r="P12690">
        <v>0</v>
      </c>
      <c r="Q12690">
        <v>11</v>
      </c>
      <c r="R12690" t="s">
        <v>46584</v>
      </c>
      <c r="S12690" t="s">
        <v>47063</v>
      </c>
      <c r="T12690" t="s">
        <v>48303</v>
      </c>
      <c r="U12690" t="s">
        <v>58986</v>
      </c>
      <c r="V12690" t="s">
        <v>61745</v>
      </c>
      <c r="W12690" t="s">
        <v>44301</v>
      </c>
      <c r="X12690" t="s">
        <v>46585</v>
      </c>
    </row>
    <row r="12691" spans="1:24">
      <c r="A12691">
        <f>HYPERLINK("https://www.philgeps.gov.ph/GEPSNONPILOT/Tender/SplashBidNoticeAbstractUI.aspx?menuIndex=3&amp;refID=7042507&amp;Result=3","7042507")</f>
        <v>0</v>
      </c>
      <c r="B12691" t="s">
        <v>3243</v>
      </c>
      <c r="C12691" t="s">
        <v>15574</v>
      </c>
      <c r="D12691" t="s">
        <v>18828</v>
      </c>
      <c r="E12691" t="s">
        <v>29785</v>
      </c>
      <c r="F12691" t="s">
        <v>32664</v>
      </c>
      <c r="G12691" t="s">
        <v>32672</v>
      </c>
      <c r="H12691" t="s">
        <v>32681</v>
      </c>
      <c r="I12691" t="s">
        <v>32681</v>
      </c>
      <c r="J12691" t="s">
        <v>40313</v>
      </c>
      <c r="K12691" t="s">
        <v>42298</v>
      </c>
      <c r="M12691" t="s">
        <v>46167</v>
      </c>
      <c r="N12691" t="s">
        <v>46569</v>
      </c>
      <c r="O12691" t="s">
        <v>46570</v>
      </c>
      <c r="P12691">
        <v>0</v>
      </c>
      <c r="Q12691">
        <v>3</v>
      </c>
      <c r="R12691" t="s">
        <v>46584</v>
      </c>
      <c r="S12691" t="s">
        <v>47063</v>
      </c>
      <c r="T12691" t="s">
        <v>48268</v>
      </c>
      <c r="U12691" t="s">
        <v>58987</v>
      </c>
      <c r="V12691" t="s">
        <v>63027</v>
      </c>
      <c r="W12691" t="s">
        <v>46167</v>
      </c>
      <c r="X12691" t="s">
        <v>46585</v>
      </c>
    </row>
    <row r="12692" spans="1:24">
      <c r="A12692">
        <f>HYPERLINK("https://www.philgeps.gov.ph/GEPSNONPILOT/Tender/SplashBidNoticeAbstractUI.aspx?menuIndex=3&amp;refID=7042524&amp;Result=3","7042524")</f>
        <v>0</v>
      </c>
      <c r="B12692" t="s">
        <v>1782</v>
      </c>
      <c r="C12692" t="s">
        <v>15575</v>
      </c>
      <c r="D12692" t="s">
        <v>18831</v>
      </c>
      <c r="E12692" t="s">
        <v>29786</v>
      </c>
      <c r="F12692" t="s">
        <v>32664</v>
      </c>
      <c r="G12692" t="s">
        <v>32672</v>
      </c>
      <c r="H12692" t="s">
        <v>32683</v>
      </c>
      <c r="I12692" t="s">
        <v>10627</v>
      </c>
      <c r="J12692" t="s">
        <v>40314</v>
      </c>
      <c r="K12692" t="s">
        <v>42313</v>
      </c>
      <c r="M12692" t="s">
        <v>46168</v>
      </c>
      <c r="N12692" t="s">
        <v>46569</v>
      </c>
      <c r="O12692" t="s">
        <v>46570</v>
      </c>
      <c r="P12692">
        <v>0</v>
      </c>
      <c r="Q12692">
        <v>0</v>
      </c>
      <c r="R12692" t="s">
        <v>46584</v>
      </c>
      <c r="S12692" t="s">
        <v>47063</v>
      </c>
      <c r="T12692" t="s">
        <v>48258</v>
      </c>
      <c r="U12692" t="s">
        <v>58988</v>
      </c>
      <c r="W12692" t="s">
        <v>46168</v>
      </c>
      <c r="X12692" t="s">
        <v>46585</v>
      </c>
    </row>
    <row r="12693" spans="1:24">
      <c r="A12693">
        <f>HYPERLINK("https://www.philgeps.gov.ph/GEPSNONPILOT/Tender/SplashBidNoticeAbstractUI.aspx?menuIndex=3&amp;refID=7042227&amp;Result=3","7042227")</f>
        <v>0</v>
      </c>
      <c r="B12693" t="s">
        <v>570</v>
      </c>
      <c r="C12693" t="s">
        <v>15576</v>
      </c>
      <c r="E12693" t="s">
        <v>29787</v>
      </c>
      <c r="F12693" t="s">
        <v>32664</v>
      </c>
      <c r="G12693" t="s">
        <v>32672</v>
      </c>
      <c r="H12693" t="s">
        <v>32683</v>
      </c>
      <c r="I12693" t="s">
        <v>10627</v>
      </c>
      <c r="J12693" t="s">
        <v>40315</v>
      </c>
      <c r="K12693" t="s">
        <v>42285</v>
      </c>
      <c r="M12693" t="s">
        <v>46169</v>
      </c>
      <c r="N12693" t="s">
        <v>46569</v>
      </c>
      <c r="O12693" t="s">
        <v>46570</v>
      </c>
      <c r="P12693">
        <v>0</v>
      </c>
      <c r="Q12693">
        <v>1</v>
      </c>
      <c r="R12693" t="s">
        <v>46584</v>
      </c>
      <c r="S12693" t="s">
        <v>47063</v>
      </c>
      <c r="T12693" t="s">
        <v>48304</v>
      </c>
      <c r="U12693" t="s">
        <v>58989</v>
      </c>
      <c r="W12693" t="s">
        <v>43150</v>
      </c>
      <c r="X12693" t="s">
        <v>46585</v>
      </c>
    </row>
    <row r="12694" spans="1:24">
      <c r="A12694">
        <f>HYPERLINK("https://www.philgeps.gov.ph/GEPSNONPILOT/Tender/SplashBidNoticeAbstractUI.aspx?menuIndex=3&amp;refID=7042497&amp;Result=3","7042497")</f>
        <v>0</v>
      </c>
      <c r="B12694" t="s">
        <v>3244</v>
      </c>
      <c r="C12694" t="s">
        <v>15577</v>
      </c>
      <c r="D12694" t="s">
        <v>18790</v>
      </c>
      <c r="E12694" t="s">
        <v>29788</v>
      </c>
      <c r="F12694" t="s">
        <v>32664</v>
      </c>
      <c r="G12694" t="s">
        <v>32672</v>
      </c>
      <c r="H12694" t="s">
        <v>32683</v>
      </c>
      <c r="I12694" t="s">
        <v>32733</v>
      </c>
      <c r="J12694" t="s">
        <v>33150</v>
      </c>
      <c r="K12694" t="s">
        <v>42285</v>
      </c>
      <c r="M12694" t="s">
        <v>46170</v>
      </c>
      <c r="N12694" t="s">
        <v>46569</v>
      </c>
      <c r="O12694" t="s">
        <v>46570</v>
      </c>
      <c r="P12694">
        <v>0</v>
      </c>
      <c r="Q12694">
        <v>2</v>
      </c>
      <c r="R12694" t="s">
        <v>46584</v>
      </c>
      <c r="S12694" t="s">
        <v>47063</v>
      </c>
      <c r="T12694" t="s">
        <v>48213</v>
      </c>
      <c r="U12694" t="s">
        <v>58990</v>
      </c>
      <c r="W12694" t="s">
        <v>46170</v>
      </c>
      <c r="X12694" t="s">
        <v>46585</v>
      </c>
    </row>
    <row r="12695" spans="1:24">
      <c r="A12695">
        <f>HYPERLINK("https://www.philgeps.gov.ph/GEPSNONPILOT/Tender/SplashBidNoticeAbstractUI.aspx?menuIndex=3&amp;refID=7042483&amp;Result=3","7042483")</f>
        <v>0</v>
      </c>
      <c r="B12695" t="s">
        <v>2720</v>
      </c>
      <c r="C12695" t="s">
        <v>15578</v>
      </c>
      <c r="D12695" t="s">
        <v>18785</v>
      </c>
      <c r="E12695" t="s">
        <v>29789</v>
      </c>
      <c r="F12695" t="s">
        <v>32664</v>
      </c>
      <c r="G12695" t="s">
        <v>32672</v>
      </c>
      <c r="H12695" t="s">
        <v>32683</v>
      </c>
      <c r="I12695" t="s">
        <v>10627</v>
      </c>
      <c r="J12695" t="s">
        <v>37239</v>
      </c>
      <c r="K12695" t="s">
        <v>42311</v>
      </c>
      <c r="M12695" t="s">
        <v>45547</v>
      </c>
      <c r="N12695" t="s">
        <v>46569</v>
      </c>
      <c r="O12695" t="s">
        <v>46570</v>
      </c>
      <c r="Q12695">
        <v>0</v>
      </c>
      <c r="R12695" t="s">
        <v>46584</v>
      </c>
      <c r="S12695" t="s">
        <v>47090</v>
      </c>
      <c r="T12695" t="s">
        <v>48268</v>
      </c>
      <c r="U12695" t="s">
        <v>58991</v>
      </c>
      <c r="V12695" t="s">
        <v>63028</v>
      </c>
      <c r="W12695" t="s">
        <v>45547</v>
      </c>
      <c r="X12695" t="s">
        <v>46585</v>
      </c>
    </row>
    <row r="12696" spans="1:24">
      <c r="A12696">
        <f>HYPERLINK("https://www.philgeps.gov.ph/GEPSNONPILOT/Tender/SplashBidNoticeAbstractUI.aspx?menuIndex=3&amp;refID=7042519&amp;Result=3","7042519")</f>
        <v>0</v>
      </c>
      <c r="B12696" t="s">
        <v>3244</v>
      </c>
      <c r="C12696" t="s">
        <v>15579</v>
      </c>
      <c r="D12696" t="s">
        <v>18790</v>
      </c>
      <c r="E12696" t="s">
        <v>29790</v>
      </c>
      <c r="F12696" t="s">
        <v>32664</v>
      </c>
      <c r="G12696" t="s">
        <v>32672</v>
      </c>
      <c r="H12696" t="s">
        <v>32683</v>
      </c>
      <c r="I12696" t="s">
        <v>10627</v>
      </c>
      <c r="J12696" t="s">
        <v>40316</v>
      </c>
      <c r="K12696" t="s">
        <v>42321</v>
      </c>
      <c r="M12696" t="s">
        <v>46170</v>
      </c>
      <c r="N12696" t="s">
        <v>46569</v>
      </c>
      <c r="O12696" t="s">
        <v>46570</v>
      </c>
      <c r="P12696">
        <v>0</v>
      </c>
      <c r="Q12696">
        <v>1</v>
      </c>
      <c r="R12696" t="s">
        <v>46584</v>
      </c>
      <c r="S12696" t="s">
        <v>47063</v>
      </c>
      <c r="T12696" t="s">
        <v>48213</v>
      </c>
      <c r="U12696" t="s">
        <v>58992</v>
      </c>
      <c r="W12696" t="s">
        <v>46170</v>
      </c>
      <c r="X12696" t="s">
        <v>46585</v>
      </c>
    </row>
    <row r="12697" spans="1:24">
      <c r="A12697">
        <f>HYPERLINK("https://www.philgeps.gov.ph/GEPSNONPILOT/Tender/SplashBidNoticeAbstractUI.aspx?menuIndex=3&amp;refID=7042210&amp;Result=3","7042210")</f>
        <v>0</v>
      </c>
      <c r="B12697" t="s">
        <v>3218</v>
      </c>
      <c r="C12697" t="s">
        <v>15580</v>
      </c>
      <c r="D12697" t="s">
        <v>18827</v>
      </c>
      <c r="E12697" t="s">
        <v>29791</v>
      </c>
      <c r="F12697" t="s">
        <v>32664</v>
      </c>
      <c r="G12697" t="s">
        <v>32672</v>
      </c>
      <c r="H12697" t="s">
        <v>12635</v>
      </c>
      <c r="I12697" t="s">
        <v>11464</v>
      </c>
      <c r="J12697" t="s">
        <v>33009</v>
      </c>
      <c r="K12697" t="s">
        <v>42347</v>
      </c>
      <c r="M12697" t="s">
        <v>46149</v>
      </c>
      <c r="N12697" t="s">
        <v>46569</v>
      </c>
      <c r="O12697" t="s">
        <v>46570</v>
      </c>
      <c r="P12697">
        <v>0</v>
      </c>
      <c r="Q12697">
        <v>11</v>
      </c>
      <c r="R12697" t="s">
        <v>46584</v>
      </c>
      <c r="S12697" t="s">
        <v>47063</v>
      </c>
      <c r="T12697" t="s">
        <v>48226</v>
      </c>
      <c r="U12697" t="s">
        <v>58993</v>
      </c>
      <c r="V12697" t="s">
        <v>63020</v>
      </c>
      <c r="W12697" t="s">
        <v>46149</v>
      </c>
      <c r="X12697" t="s">
        <v>46585</v>
      </c>
    </row>
    <row r="12698" spans="1:24">
      <c r="A12698">
        <f>HYPERLINK("https://www.philgeps.gov.ph/GEPSNONPILOT/Tender/SplashBidNoticeAbstractUI.aspx?menuIndex=3&amp;refID=7042480&amp;Result=3","7042480")</f>
        <v>0</v>
      </c>
      <c r="B12698" t="s">
        <v>520</v>
      </c>
      <c r="C12698" t="s">
        <v>15581</v>
      </c>
      <c r="D12698" t="s">
        <v>18791</v>
      </c>
      <c r="E12698" t="s">
        <v>29792</v>
      </c>
      <c r="F12698" t="s">
        <v>32664</v>
      </c>
      <c r="G12698" t="s">
        <v>32672</v>
      </c>
      <c r="H12698" t="s">
        <v>12635</v>
      </c>
      <c r="I12698" t="s">
        <v>32708</v>
      </c>
      <c r="J12698" t="s">
        <v>40317</v>
      </c>
      <c r="K12698" t="s">
        <v>42298</v>
      </c>
      <c r="M12698" t="s">
        <v>43097</v>
      </c>
      <c r="N12698" t="s">
        <v>46569</v>
      </c>
      <c r="O12698" t="s">
        <v>46570</v>
      </c>
      <c r="Q12698">
        <v>24</v>
      </c>
      <c r="R12698" t="s">
        <v>46584</v>
      </c>
      <c r="S12698" t="s">
        <v>47091</v>
      </c>
      <c r="T12698" t="s">
        <v>48279</v>
      </c>
      <c r="U12698" t="s">
        <v>58994</v>
      </c>
      <c r="V12698" t="s">
        <v>61745</v>
      </c>
      <c r="W12698" t="s">
        <v>43097</v>
      </c>
      <c r="X12698" t="s">
        <v>46585</v>
      </c>
    </row>
    <row r="12699" spans="1:24">
      <c r="A12699">
        <f>HYPERLINK("https://www.philgeps.gov.ph/GEPSNONPILOT/Tender/SplashBidNoticeAbstractUI.aspx?menuIndex=3&amp;refID=7042466&amp;Result=3","7042466")</f>
        <v>0</v>
      </c>
      <c r="B12699" t="s">
        <v>1141</v>
      </c>
      <c r="C12699" t="s">
        <v>5047</v>
      </c>
      <c r="D12699" t="s">
        <v>18809</v>
      </c>
      <c r="E12699" t="s">
        <v>29793</v>
      </c>
      <c r="F12699" t="s">
        <v>32664</v>
      </c>
      <c r="G12699" t="s">
        <v>32672</v>
      </c>
      <c r="H12699" t="s">
        <v>12635</v>
      </c>
      <c r="I12699" t="s">
        <v>9486</v>
      </c>
      <c r="J12699" t="s">
        <v>40318</v>
      </c>
      <c r="K12699" t="s">
        <v>42289</v>
      </c>
      <c r="M12699" t="s">
        <v>43772</v>
      </c>
      <c r="N12699" t="s">
        <v>46569</v>
      </c>
      <c r="O12699" t="s">
        <v>46570</v>
      </c>
      <c r="P12699">
        <v>0</v>
      </c>
      <c r="Q12699">
        <v>4</v>
      </c>
      <c r="R12699" t="s">
        <v>46584</v>
      </c>
      <c r="S12699" t="s">
        <v>47063</v>
      </c>
      <c r="T12699" t="s">
        <v>48230</v>
      </c>
      <c r="U12699" t="s">
        <v>58995</v>
      </c>
      <c r="W12699" t="s">
        <v>43772</v>
      </c>
      <c r="X12699" t="s">
        <v>46585</v>
      </c>
    </row>
    <row r="12700" spans="1:24">
      <c r="A12700">
        <f>HYPERLINK("https://www.philgeps.gov.ph/GEPSNONPILOT/Tender/SplashBidNoticeAbstractUI.aspx?menuIndex=3&amp;refID=7042451&amp;Result=3","7042451")</f>
        <v>0</v>
      </c>
      <c r="B12700" t="s">
        <v>3202</v>
      </c>
      <c r="C12700" t="s">
        <v>15582</v>
      </c>
      <c r="D12700" t="s">
        <v>18783</v>
      </c>
      <c r="E12700" t="s">
        <v>29794</v>
      </c>
      <c r="F12700" t="s">
        <v>32665</v>
      </c>
      <c r="G12700" t="s">
        <v>32672</v>
      </c>
      <c r="H12700" t="s">
        <v>32682</v>
      </c>
      <c r="I12700" t="s">
        <v>32784</v>
      </c>
      <c r="J12700" t="s">
        <v>40319</v>
      </c>
      <c r="K12700" t="s">
        <v>42298</v>
      </c>
      <c r="M12700" t="s">
        <v>46119</v>
      </c>
      <c r="N12700" t="s">
        <v>46569</v>
      </c>
      <c r="O12700" t="s">
        <v>46570</v>
      </c>
      <c r="Q12700">
        <v>11</v>
      </c>
      <c r="R12700" t="s">
        <v>46584</v>
      </c>
      <c r="S12700" t="s">
        <v>47092</v>
      </c>
      <c r="T12700" t="s">
        <v>48315</v>
      </c>
      <c r="U12700" t="s">
        <v>58996</v>
      </c>
      <c r="W12700" t="s">
        <v>46119</v>
      </c>
      <c r="X12700" t="s">
        <v>46585</v>
      </c>
    </row>
    <row r="12701" spans="1:24">
      <c r="A12701">
        <f>HYPERLINK("https://www.philgeps.gov.ph/GEPSNONPILOT/Tender/SplashBidNoticeAbstractUI.aspx?menuIndex=3&amp;refID=7042645&amp;Result=3","7042645")</f>
        <v>0</v>
      </c>
      <c r="B12701" t="s">
        <v>1396</v>
      </c>
      <c r="C12701" t="s">
        <v>15583</v>
      </c>
      <c r="D12701" t="s">
        <v>18804</v>
      </c>
      <c r="E12701" t="s">
        <v>29795</v>
      </c>
      <c r="F12701" t="s">
        <v>32664</v>
      </c>
      <c r="G12701" t="s">
        <v>32672</v>
      </c>
      <c r="H12701" t="s">
        <v>12635</v>
      </c>
      <c r="I12701" t="s">
        <v>32696</v>
      </c>
      <c r="J12701" t="s">
        <v>33009</v>
      </c>
      <c r="K12701" t="s">
        <v>42281</v>
      </c>
      <c r="M12701" t="s">
        <v>44053</v>
      </c>
      <c r="N12701" t="s">
        <v>46569</v>
      </c>
      <c r="O12701" t="s">
        <v>46570</v>
      </c>
      <c r="P12701">
        <v>0</v>
      </c>
      <c r="Q12701">
        <v>5</v>
      </c>
      <c r="R12701" t="s">
        <v>46584</v>
      </c>
      <c r="S12701" t="s">
        <v>47063</v>
      </c>
      <c r="T12701" t="s">
        <v>48226</v>
      </c>
      <c r="U12701" t="s">
        <v>58997</v>
      </c>
      <c r="W12701" t="s">
        <v>44053</v>
      </c>
      <c r="X12701" t="s">
        <v>46585</v>
      </c>
    </row>
    <row r="12702" spans="1:24">
      <c r="A12702">
        <f>HYPERLINK("https://www.philgeps.gov.ph/GEPSNONPILOT/Tender/SplashBidNoticeAbstractUI.aspx?menuIndex=3&amp;refID=7042505&amp;Result=3","7042505")</f>
        <v>0</v>
      </c>
      <c r="B12702" t="s">
        <v>2720</v>
      </c>
      <c r="C12702" t="s">
        <v>15584</v>
      </c>
      <c r="D12702" t="s">
        <v>18785</v>
      </c>
      <c r="E12702" t="s">
        <v>29796</v>
      </c>
      <c r="F12702" t="s">
        <v>32664</v>
      </c>
      <c r="G12702" t="s">
        <v>32672</v>
      </c>
      <c r="H12702" t="s">
        <v>32683</v>
      </c>
      <c r="I12702" t="s">
        <v>10627</v>
      </c>
      <c r="J12702" t="s">
        <v>37239</v>
      </c>
      <c r="K12702" t="s">
        <v>42298</v>
      </c>
      <c r="M12702" t="s">
        <v>45547</v>
      </c>
      <c r="N12702" t="s">
        <v>46569</v>
      </c>
      <c r="O12702" t="s">
        <v>46570</v>
      </c>
      <c r="Q12702">
        <v>0</v>
      </c>
      <c r="R12702" t="s">
        <v>46584</v>
      </c>
      <c r="S12702" t="s">
        <v>47093</v>
      </c>
      <c r="T12702" t="s">
        <v>48268</v>
      </c>
      <c r="U12702" t="s">
        <v>58991</v>
      </c>
      <c r="V12702" t="s">
        <v>63028</v>
      </c>
      <c r="W12702" t="s">
        <v>45547</v>
      </c>
      <c r="X12702" t="s">
        <v>46585</v>
      </c>
    </row>
    <row r="12703" spans="1:24">
      <c r="A12703">
        <f>HYPERLINK("https://www.philgeps.gov.ph/GEPSNONPILOT/Tender/SplashBidNoticeAbstractUI.aspx?menuIndex=3&amp;refID=7042641&amp;Result=3","7042641")</f>
        <v>0</v>
      </c>
      <c r="B12703" t="s">
        <v>651</v>
      </c>
      <c r="C12703" t="s">
        <v>15585</v>
      </c>
      <c r="D12703" t="s">
        <v>18826</v>
      </c>
      <c r="E12703" t="s">
        <v>20215</v>
      </c>
      <c r="F12703" t="s">
        <v>32664</v>
      </c>
      <c r="G12703" t="s">
        <v>32672</v>
      </c>
      <c r="H12703" t="s">
        <v>32683</v>
      </c>
      <c r="I12703" t="s">
        <v>10627</v>
      </c>
      <c r="J12703" t="s">
        <v>33508</v>
      </c>
      <c r="K12703" t="s">
        <v>42308</v>
      </c>
      <c r="M12703" t="s">
        <v>43237</v>
      </c>
      <c r="N12703" t="s">
        <v>46569</v>
      </c>
      <c r="O12703" t="s">
        <v>46570</v>
      </c>
      <c r="Q12703">
        <v>45</v>
      </c>
      <c r="R12703" t="s">
        <v>46584</v>
      </c>
      <c r="S12703" t="s">
        <v>47094</v>
      </c>
      <c r="T12703" t="s">
        <v>48276</v>
      </c>
      <c r="U12703" t="s">
        <v>58998</v>
      </c>
      <c r="W12703" t="s">
        <v>43237</v>
      </c>
      <c r="X12703" t="s">
        <v>46585</v>
      </c>
    </row>
    <row r="12704" spans="1:24">
      <c r="A12704">
        <f>HYPERLINK("https://www.philgeps.gov.ph/GEPSNONPILOT/Tender/SplashBidNoticeAbstractUI.aspx?menuIndex=3&amp;refID=7042639&amp;Result=3","7042639")</f>
        <v>0</v>
      </c>
      <c r="B12704" t="s">
        <v>2713</v>
      </c>
      <c r="C12704" t="s">
        <v>15586</v>
      </c>
      <c r="D12704" t="s">
        <v>18816</v>
      </c>
      <c r="E12704" t="s">
        <v>29797</v>
      </c>
      <c r="F12704" t="s">
        <v>32664</v>
      </c>
      <c r="G12704" t="s">
        <v>32672</v>
      </c>
      <c r="H12704" t="s">
        <v>32683</v>
      </c>
      <c r="I12704" t="s">
        <v>10627</v>
      </c>
      <c r="J12704" t="s">
        <v>32837</v>
      </c>
      <c r="K12704" t="s">
        <v>42298</v>
      </c>
      <c r="M12704" t="s">
        <v>45539</v>
      </c>
      <c r="N12704" t="s">
        <v>46569</v>
      </c>
      <c r="O12704" t="s">
        <v>46570</v>
      </c>
      <c r="P12704">
        <v>0</v>
      </c>
      <c r="Q12704">
        <v>2</v>
      </c>
      <c r="R12704" t="s">
        <v>46584</v>
      </c>
      <c r="S12704" t="s">
        <v>47063</v>
      </c>
      <c r="T12704" t="s">
        <v>48710</v>
      </c>
      <c r="U12704" t="s">
        <v>58999</v>
      </c>
      <c r="W12704" t="s">
        <v>45539</v>
      </c>
      <c r="X12704" t="s">
        <v>46585</v>
      </c>
    </row>
    <row r="12705" spans="1:24">
      <c r="A12705">
        <f>HYPERLINK("https://www.philgeps.gov.ph/GEPSNONPILOT/Tender/SplashBidNoticeAbstractUI.aspx?menuIndex=3&amp;refID=7042631&amp;Result=3","7042631")</f>
        <v>0</v>
      </c>
      <c r="B12705" t="s">
        <v>3245</v>
      </c>
      <c r="C12705" t="s">
        <v>15587</v>
      </c>
      <c r="D12705" t="s">
        <v>18827</v>
      </c>
      <c r="E12705" t="s">
        <v>29798</v>
      </c>
      <c r="F12705" t="s">
        <v>32664</v>
      </c>
      <c r="G12705" t="s">
        <v>32672</v>
      </c>
      <c r="H12705" t="s">
        <v>12635</v>
      </c>
      <c r="I12705" t="s">
        <v>10627</v>
      </c>
      <c r="J12705" t="s">
        <v>40320</v>
      </c>
      <c r="K12705" t="s">
        <v>42281</v>
      </c>
      <c r="M12705" t="s">
        <v>46171</v>
      </c>
      <c r="N12705" t="s">
        <v>46569</v>
      </c>
      <c r="O12705" t="s">
        <v>46570</v>
      </c>
      <c r="P12705">
        <v>0</v>
      </c>
      <c r="Q12705">
        <v>0</v>
      </c>
      <c r="R12705" t="s">
        <v>46584</v>
      </c>
      <c r="S12705" t="s">
        <v>47063</v>
      </c>
      <c r="T12705" t="s">
        <v>48312</v>
      </c>
      <c r="U12705" t="s">
        <v>59000</v>
      </c>
      <c r="V12705" t="s">
        <v>63029</v>
      </c>
      <c r="W12705" t="s">
        <v>46171</v>
      </c>
      <c r="X12705" t="s">
        <v>46585</v>
      </c>
    </row>
    <row r="12706" spans="1:24">
      <c r="A12706">
        <f>HYPERLINK("https://www.philgeps.gov.ph/GEPSNONPILOT/Tender/SplashBidNoticeAbstractUI.aspx?menuIndex=3&amp;refID=7042626&amp;Result=3","7042626")</f>
        <v>0</v>
      </c>
      <c r="B12706" t="s">
        <v>520</v>
      </c>
      <c r="C12706" t="s">
        <v>15588</v>
      </c>
      <c r="D12706" t="s">
        <v>18791</v>
      </c>
      <c r="E12706" t="s">
        <v>29799</v>
      </c>
      <c r="F12706" t="s">
        <v>32664</v>
      </c>
      <c r="G12706" t="s">
        <v>32672</v>
      </c>
      <c r="H12706" t="s">
        <v>12635</v>
      </c>
      <c r="I12706" t="s">
        <v>32708</v>
      </c>
      <c r="J12706" t="s">
        <v>40321</v>
      </c>
      <c r="K12706" t="s">
        <v>42298</v>
      </c>
      <c r="M12706" t="s">
        <v>43097</v>
      </c>
      <c r="N12706" t="s">
        <v>46569</v>
      </c>
      <c r="O12706" t="s">
        <v>46570</v>
      </c>
      <c r="Q12706">
        <v>22</v>
      </c>
      <c r="R12706" t="s">
        <v>46584</v>
      </c>
      <c r="S12706" t="s">
        <v>47095</v>
      </c>
      <c r="T12706" t="s">
        <v>48279</v>
      </c>
      <c r="U12706" t="s">
        <v>59001</v>
      </c>
      <c r="V12706" t="s">
        <v>61745</v>
      </c>
      <c r="W12706" t="s">
        <v>43097</v>
      </c>
      <c r="X12706" t="s">
        <v>46585</v>
      </c>
    </row>
    <row r="12707" spans="1:24">
      <c r="A12707">
        <f>HYPERLINK("https://www.philgeps.gov.ph/GEPSNONPILOT/Tender/SplashBidNoticeAbstractUI.aspx?menuIndex=3&amp;refID=7042439&amp;Result=3","7042439")</f>
        <v>0</v>
      </c>
      <c r="B12707" t="s">
        <v>3243</v>
      </c>
      <c r="C12707" t="s">
        <v>15589</v>
      </c>
      <c r="D12707" t="s">
        <v>18828</v>
      </c>
      <c r="E12707" t="s">
        <v>29800</v>
      </c>
      <c r="F12707" t="s">
        <v>32664</v>
      </c>
      <c r="G12707" t="s">
        <v>32672</v>
      </c>
      <c r="H12707" t="s">
        <v>32683</v>
      </c>
      <c r="I12707" t="s">
        <v>10627</v>
      </c>
      <c r="J12707" t="s">
        <v>40322</v>
      </c>
      <c r="K12707" t="s">
        <v>42436</v>
      </c>
      <c r="M12707" t="s">
        <v>46167</v>
      </c>
      <c r="N12707" t="s">
        <v>46569</v>
      </c>
      <c r="O12707" t="s">
        <v>46570</v>
      </c>
      <c r="P12707">
        <v>0</v>
      </c>
      <c r="Q12707">
        <v>0</v>
      </c>
      <c r="R12707" t="s">
        <v>46584</v>
      </c>
      <c r="S12707" t="s">
        <v>47063</v>
      </c>
      <c r="T12707" t="s">
        <v>48268</v>
      </c>
      <c r="U12707" t="s">
        <v>59002</v>
      </c>
      <c r="V12707" t="s">
        <v>63030</v>
      </c>
      <c r="W12707" t="s">
        <v>46167</v>
      </c>
      <c r="X12707" t="s">
        <v>46585</v>
      </c>
    </row>
    <row r="12708" spans="1:24">
      <c r="A12708">
        <f>HYPERLINK("https://www.philgeps.gov.ph/GEPSNONPILOT/Tender/SplashBidNoticeAbstractUI.aspx?menuIndex=3&amp;refID=7042256&amp;Result=3","7042256")</f>
        <v>0</v>
      </c>
      <c r="B12708" t="s">
        <v>1337</v>
      </c>
      <c r="C12708" t="s">
        <v>15590</v>
      </c>
      <c r="D12708" t="s">
        <v>18797</v>
      </c>
      <c r="E12708" t="s">
        <v>29801</v>
      </c>
      <c r="F12708" t="s">
        <v>32664</v>
      </c>
      <c r="G12708" t="s">
        <v>32672</v>
      </c>
      <c r="H12708" t="s">
        <v>32683</v>
      </c>
      <c r="I12708" t="s">
        <v>10627</v>
      </c>
      <c r="J12708" t="s">
        <v>40323</v>
      </c>
      <c r="K12708" t="s">
        <v>42510</v>
      </c>
      <c r="M12708" t="s">
        <v>43987</v>
      </c>
      <c r="N12708" t="s">
        <v>46569</v>
      </c>
      <c r="O12708" t="s">
        <v>46570</v>
      </c>
      <c r="P12708">
        <v>0</v>
      </c>
      <c r="Q12708">
        <v>18</v>
      </c>
      <c r="R12708" t="s">
        <v>46584</v>
      </c>
      <c r="S12708" t="s">
        <v>47063</v>
      </c>
      <c r="T12708" t="s">
        <v>48248</v>
      </c>
      <c r="U12708" t="s">
        <v>59003</v>
      </c>
      <c r="W12708" t="s">
        <v>43987</v>
      </c>
      <c r="X12708" t="s">
        <v>46585</v>
      </c>
    </row>
    <row r="12709" spans="1:24">
      <c r="A12709">
        <f>HYPERLINK("https://www.philgeps.gov.ph/GEPSNONPILOT/Tender/SplashBidNoticeAbstractUI.aspx?menuIndex=3&amp;refID=7042615&amp;Result=3","7042615")</f>
        <v>0</v>
      </c>
      <c r="B12709" t="s">
        <v>2022</v>
      </c>
      <c r="C12709" t="s">
        <v>15563</v>
      </c>
      <c r="D12709" t="s">
        <v>18806</v>
      </c>
      <c r="E12709" t="s">
        <v>29802</v>
      </c>
      <c r="F12709" t="s">
        <v>32664</v>
      </c>
      <c r="G12709" t="s">
        <v>32672</v>
      </c>
      <c r="H12709" t="s">
        <v>12635</v>
      </c>
      <c r="I12709" t="s">
        <v>32698</v>
      </c>
      <c r="J12709" t="s">
        <v>40324</v>
      </c>
      <c r="K12709" t="s">
        <v>42281</v>
      </c>
      <c r="M12709" t="s">
        <v>44764</v>
      </c>
      <c r="N12709" t="s">
        <v>46569</v>
      </c>
      <c r="O12709" t="s">
        <v>46570</v>
      </c>
      <c r="Q12709">
        <v>1</v>
      </c>
      <c r="R12709" t="s">
        <v>46584</v>
      </c>
      <c r="S12709" t="s">
        <v>47096</v>
      </c>
      <c r="T12709" t="s">
        <v>48354</v>
      </c>
      <c r="U12709" t="s">
        <v>59004</v>
      </c>
      <c r="W12709" t="s">
        <v>44764</v>
      </c>
      <c r="X12709" t="s">
        <v>46585</v>
      </c>
    </row>
    <row r="12710" spans="1:24">
      <c r="A12710">
        <f>HYPERLINK("https://www.philgeps.gov.ph/GEPSNONPILOT/Tender/SplashBidNoticeAbstractUI.aspx?menuIndex=3&amp;refID=7042629&amp;Result=3","7042629")</f>
        <v>0</v>
      </c>
      <c r="B12710" t="s">
        <v>2641</v>
      </c>
      <c r="C12710" t="s">
        <v>15591</v>
      </c>
      <c r="D12710" t="s">
        <v>18786</v>
      </c>
      <c r="E12710" t="s">
        <v>19193</v>
      </c>
      <c r="F12710" t="s">
        <v>32664</v>
      </c>
      <c r="G12710" t="s">
        <v>32672</v>
      </c>
      <c r="H12710" t="s">
        <v>12635</v>
      </c>
      <c r="I12710" t="s">
        <v>4439</v>
      </c>
      <c r="J12710" t="s">
        <v>40325</v>
      </c>
      <c r="K12710" t="s">
        <v>42290</v>
      </c>
      <c r="M12710" t="s">
        <v>45461</v>
      </c>
      <c r="N12710" t="s">
        <v>46569</v>
      </c>
      <c r="O12710" t="s">
        <v>46570</v>
      </c>
      <c r="P12710">
        <v>0</v>
      </c>
      <c r="Q12710">
        <v>1</v>
      </c>
      <c r="R12710" t="s">
        <v>46584</v>
      </c>
      <c r="S12710" t="s">
        <v>47063</v>
      </c>
      <c r="T12710" t="s">
        <v>48248</v>
      </c>
      <c r="U12710" t="s">
        <v>59005</v>
      </c>
      <c r="W12710" t="s">
        <v>45461</v>
      </c>
      <c r="X12710" t="s">
        <v>46585</v>
      </c>
    </row>
    <row r="12711" spans="1:24">
      <c r="A12711">
        <f>HYPERLINK("https://www.philgeps.gov.ph/GEPSNONPILOT/Tender/SplashBidNoticeAbstractUI.aspx?menuIndex=3&amp;refID=7042602&amp;Result=3","7042602")</f>
        <v>0</v>
      </c>
      <c r="B12711" t="s">
        <v>520</v>
      </c>
      <c r="C12711" t="s">
        <v>15592</v>
      </c>
      <c r="D12711" t="s">
        <v>18791</v>
      </c>
      <c r="E12711" t="s">
        <v>29803</v>
      </c>
      <c r="F12711" t="s">
        <v>32664</v>
      </c>
      <c r="G12711" t="s">
        <v>32672</v>
      </c>
      <c r="H12711" t="s">
        <v>12635</v>
      </c>
      <c r="I12711" t="s">
        <v>32708</v>
      </c>
      <c r="J12711" t="s">
        <v>40326</v>
      </c>
      <c r="K12711" t="s">
        <v>42298</v>
      </c>
      <c r="M12711" t="s">
        <v>43097</v>
      </c>
      <c r="N12711" t="s">
        <v>46569</v>
      </c>
      <c r="O12711" t="s">
        <v>46570</v>
      </c>
      <c r="Q12711">
        <v>38</v>
      </c>
      <c r="R12711" t="s">
        <v>46584</v>
      </c>
      <c r="S12711" t="s">
        <v>47097</v>
      </c>
      <c r="T12711" t="s">
        <v>48279</v>
      </c>
      <c r="U12711" t="s">
        <v>59006</v>
      </c>
      <c r="V12711" t="s">
        <v>61745</v>
      </c>
      <c r="W12711" t="s">
        <v>43097</v>
      </c>
      <c r="X12711" t="s">
        <v>46585</v>
      </c>
    </row>
    <row r="12712" spans="1:24">
      <c r="A12712">
        <f>HYPERLINK("https://www.philgeps.gov.ph/GEPSNONPILOT/Tender/SplashBidNoticeAbstractUI.aspx?menuIndex=3&amp;refID=7042618&amp;Result=3","7042618")</f>
        <v>0</v>
      </c>
      <c r="B12712" t="s">
        <v>1054</v>
      </c>
      <c r="C12712" t="s">
        <v>15593</v>
      </c>
      <c r="D12712" t="s">
        <v>18814</v>
      </c>
      <c r="E12712" t="s">
        <v>29804</v>
      </c>
      <c r="F12712" t="s">
        <v>32664</v>
      </c>
      <c r="G12712" t="s">
        <v>32672</v>
      </c>
      <c r="H12712" t="s">
        <v>12635</v>
      </c>
      <c r="I12712" t="s">
        <v>32694</v>
      </c>
      <c r="J12712" t="s">
        <v>40327</v>
      </c>
      <c r="K12712" t="s">
        <v>42298</v>
      </c>
      <c r="M12712" t="s">
        <v>43672</v>
      </c>
      <c r="N12712" t="s">
        <v>46569</v>
      </c>
      <c r="O12712" t="s">
        <v>46570</v>
      </c>
      <c r="P12712">
        <v>0</v>
      </c>
      <c r="Q12712">
        <v>8</v>
      </c>
      <c r="R12712" t="s">
        <v>46584</v>
      </c>
      <c r="S12712" t="s">
        <v>47063</v>
      </c>
      <c r="T12712" t="s">
        <v>48212</v>
      </c>
      <c r="U12712" t="s">
        <v>59007</v>
      </c>
      <c r="W12712" t="s">
        <v>43672</v>
      </c>
      <c r="X12712" t="s">
        <v>46585</v>
      </c>
    </row>
    <row r="12713" spans="1:24">
      <c r="A12713">
        <f>HYPERLINK("https://www.philgeps.gov.ph/GEPSNONPILOT/Tender/SplashBidNoticeAbstractUI.aspx?menuIndex=3&amp;refID=7042597&amp;Result=3","7042597")</f>
        <v>0</v>
      </c>
      <c r="B12713" t="s">
        <v>651</v>
      </c>
      <c r="C12713" t="s">
        <v>15594</v>
      </c>
      <c r="D12713" t="s">
        <v>18826</v>
      </c>
      <c r="E12713" t="s">
        <v>29805</v>
      </c>
      <c r="F12713" t="s">
        <v>32664</v>
      </c>
      <c r="G12713" t="s">
        <v>32672</v>
      </c>
      <c r="H12713" t="s">
        <v>32683</v>
      </c>
      <c r="I12713" t="s">
        <v>10627</v>
      </c>
      <c r="J12713" t="s">
        <v>34075</v>
      </c>
      <c r="K12713" t="s">
        <v>42364</v>
      </c>
      <c r="M12713" t="s">
        <v>43237</v>
      </c>
      <c r="N12713" t="s">
        <v>46569</v>
      </c>
      <c r="O12713" t="s">
        <v>46570</v>
      </c>
      <c r="Q12713">
        <v>43</v>
      </c>
      <c r="R12713" t="s">
        <v>46584</v>
      </c>
      <c r="S12713" t="s">
        <v>47098</v>
      </c>
      <c r="T12713" t="s">
        <v>48276</v>
      </c>
      <c r="U12713" t="s">
        <v>58998</v>
      </c>
      <c r="W12713" t="s">
        <v>43237</v>
      </c>
      <c r="X12713" t="s">
        <v>46585</v>
      </c>
    </row>
    <row r="12714" spans="1:24">
      <c r="A12714">
        <f>HYPERLINK("https://www.philgeps.gov.ph/GEPSNONPILOT/Tender/SplashBidNoticeAbstractUI.aspx?menuIndex=3&amp;refID=7042589&amp;Result=3","7042589")</f>
        <v>0</v>
      </c>
      <c r="B12714" t="s">
        <v>2872</v>
      </c>
      <c r="C12714" t="s">
        <v>15595</v>
      </c>
      <c r="D12714" t="s">
        <v>18809</v>
      </c>
      <c r="E12714" t="s">
        <v>27990</v>
      </c>
      <c r="F12714" t="s">
        <v>32664</v>
      </c>
      <c r="G12714" t="s">
        <v>32672</v>
      </c>
      <c r="H12714" t="s">
        <v>12635</v>
      </c>
      <c r="I12714" t="s">
        <v>32764</v>
      </c>
      <c r="J12714" t="s">
        <v>40328</v>
      </c>
      <c r="K12714" t="s">
        <v>42281</v>
      </c>
      <c r="M12714" t="s">
        <v>45721</v>
      </c>
      <c r="N12714" t="s">
        <v>46569</v>
      </c>
      <c r="O12714" t="s">
        <v>46570</v>
      </c>
      <c r="P12714">
        <v>0</v>
      </c>
      <c r="Q12714">
        <v>3</v>
      </c>
      <c r="R12714" t="s">
        <v>46584</v>
      </c>
      <c r="S12714" t="s">
        <v>47063</v>
      </c>
      <c r="T12714" t="s">
        <v>48268</v>
      </c>
      <c r="U12714" t="s">
        <v>59008</v>
      </c>
      <c r="W12714" t="s">
        <v>45721</v>
      </c>
      <c r="X12714" t="s">
        <v>46585</v>
      </c>
    </row>
    <row r="12715" spans="1:24">
      <c r="A12715">
        <f>HYPERLINK("https://www.philgeps.gov.ph/GEPSNONPILOT/Tender/SplashBidNoticeAbstractUI.aspx?menuIndex=3&amp;refID=7042570&amp;Result=3","7042570")</f>
        <v>0</v>
      </c>
      <c r="B12715" t="s">
        <v>651</v>
      </c>
      <c r="C12715" t="s">
        <v>15596</v>
      </c>
      <c r="D12715" t="s">
        <v>18826</v>
      </c>
      <c r="E12715" t="s">
        <v>29806</v>
      </c>
      <c r="F12715" t="s">
        <v>32664</v>
      </c>
      <c r="G12715" t="s">
        <v>32672</v>
      </c>
      <c r="H12715" t="s">
        <v>32683</v>
      </c>
      <c r="I12715" t="s">
        <v>10627</v>
      </c>
      <c r="J12715" t="s">
        <v>40329</v>
      </c>
      <c r="K12715" t="s">
        <v>42536</v>
      </c>
      <c r="M12715" t="s">
        <v>43237</v>
      </c>
      <c r="N12715" t="s">
        <v>46569</v>
      </c>
      <c r="O12715" t="s">
        <v>46570</v>
      </c>
      <c r="Q12715">
        <v>30</v>
      </c>
      <c r="R12715" t="s">
        <v>46584</v>
      </c>
      <c r="S12715" t="s">
        <v>47099</v>
      </c>
      <c r="T12715" t="s">
        <v>48276</v>
      </c>
      <c r="U12715" t="s">
        <v>50009</v>
      </c>
      <c r="W12715" t="s">
        <v>43237</v>
      </c>
      <c r="X12715" t="s">
        <v>46585</v>
      </c>
    </row>
    <row r="12716" spans="1:24">
      <c r="A12716">
        <f>HYPERLINK("https://www.philgeps.gov.ph/GEPSNONPILOT/Tender/SplashBidNoticeAbstractUI.aspx?menuIndex=3&amp;refID=7042424&amp;Result=3","7042424")</f>
        <v>0</v>
      </c>
      <c r="B12716" t="s">
        <v>1382</v>
      </c>
      <c r="C12716" t="s">
        <v>15597</v>
      </c>
      <c r="E12716" t="s">
        <v>29807</v>
      </c>
      <c r="F12716" t="s">
        <v>32664</v>
      </c>
      <c r="G12716" t="s">
        <v>32672</v>
      </c>
      <c r="H12716" t="s">
        <v>32683</v>
      </c>
      <c r="I12716" t="s">
        <v>10627</v>
      </c>
      <c r="J12716" t="s">
        <v>40330</v>
      </c>
      <c r="K12716" t="s">
        <v>42283</v>
      </c>
      <c r="M12716" t="s">
        <v>44037</v>
      </c>
      <c r="N12716" t="s">
        <v>46569</v>
      </c>
      <c r="O12716" t="s">
        <v>46570</v>
      </c>
      <c r="P12716">
        <v>0</v>
      </c>
      <c r="Q12716">
        <v>25</v>
      </c>
      <c r="R12716" t="s">
        <v>46584</v>
      </c>
      <c r="S12716" t="s">
        <v>47063</v>
      </c>
      <c r="T12716" t="s">
        <v>48225</v>
      </c>
      <c r="U12716" t="s">
        <v>59009</v>
      </c>
      <c r="W12716" t="s">
        <v>63589</v>
      </c>
      <c r="X12716" t="s">
        <v>46585</v>
      </c>
    </row>
    <row r="12717" spans="1:24">
      <c r="A12717">
        <f>HYPERLINK("https://www.philgeps.gov.ph/GEPSNONPILOT/Tender/SplashBidNoticeAbstractUI.aspx?menuIndex=3&amp;refID=7042569&amp;Result=3","7042569")</f>
        <v>0</v>
      </c>
      <c r="B12717" t="s">
        <v>2720</v>
      </c>
      <c r="C12717" t="s">
        <v>15598</v>
      </c>
      <c r="D12717" t="s">
        <v>18785</v>
      </c>
      <c r="E12717" t="s">
        <v>29808</v>
      </c>
      <c r="F12717" t="s">
        <v>32664</v>
      </c>
      <c r="G12717" t="s">
        <v>32672</v>
      </c>
      <c r="H12717" t="s">
        <v>32683</v>
      </c>
      <c r="I12717" t="s">
        <v>10627</v>
      </c>
      <c r="J12717" t="s">
        <v>35171</v>
      </c>
      <c r="K12717" t="s">
        <v>42290</v>
      </c>
      <c r="M12717" t="s">
        <v>45547</v>
      </c>
      <c r="N12717" t="s">
        <v>46569</v>
      </c>
      <c r="O12717" t="s">
        <v>46570</v>
      </c>
      <c r="Q12717">
        <v>4</v>
      </c>
      <c r="R12717" t="s">
        <v>46584</v>
      </c>
      <c r="S12717" t="s">
        <v>47100</v>
      </c>
      <c r="T12717" t="s">
        <v>48268</v>
      </c>
      <c r="U12717" t="s">
        <v>58991</v>
      </c>
      <c r="V12717" t="s">
        <v>63028</v>
      </c>
      <c r="W12717" t="s">
        <v>45547</v>
      </c>
      <c r="X12717" t="s">
        <v>46585</v>
      </c>
    </row>
    <row r="12718" spans="1:24">
      <c r="A12718">
        <f>HYPERLINK("https://www.philgeps.gov.ph/GEPSNONPILOT/Tender/SplashBidNoticeAbstractUI.aspx?menuIndex=3&amp;refID=7042566&amp;Result=3","7042566")</f>
        <v>0</v>
      </c>
      <c r="B12718" t="s">
        <v>1782</v>
      </c>
      <c r="C12718" t="s">
        <v>15599</v>
      </c>
      <c r="D12718" t="s">
        <v>18831</v>
      </c>
      <c r="E12718" t="s">
        <v>29809</v>
      </c>
      <c r="F12718" t="s">
        <v>32664</v>
      </c>
      <c r="G12718" t="s">
        <v>32672</v>
      </c>
      <c r="H12718" t="s">
        <v>32683</v>
      </c>
      <c r="I12718" t="s">
        <v>10627</v>
      </c>
      <c r="J12718" t="s">
        <v>32943</v>
      </c>
      <c r="K12718" t="s">
        <v>42312</v>
      </c>
      <c r="M12718" t="s">
        <v>46168</v>
      </c>
      <c r="N12718" t="s">
        <v>46569</v>
      </c>
      <c r="O12718" t="s">
        <v>46570</v>
      </c>
      <c r="P12718">
        <v>0</v>
      </c>
      <c r="Q12718">
        <v>1</v>
      </c>
      <c r="R12718" t="s">
        <v>46584</v>
      </c>
      <c r="S12718" t="s">
        <v>47063</v>
      </c>
      <c r="T12718" t="s">
        <v>48258</v>
      </c>
      <c r="U12718" t="s">
        <v>59010</v>
      </c>
      <c r="W12718" t="s">
        <v>46168</v>
      </c>
      <c r="X12718" t="s">
        <v>46585</v>
      </c>
    </row>
    <row r="12719" spans="1:24">
      <c r="A12719">
        <f>HYPERLINK("https://www.philgeps.gov.ph/GEPSNONPILOT/Tender/SplashBidNoticeAbstractUI.aspx?menuIndex=3&amp;refID=7042559&amp;Result=3","7042559")</f>
        <v>0</v>
      </c>
      <c r="B12719" t="s">
        <v>2720</v>
      </c>
      <c r="C12719" t="s">
        <v>15600</v>
      </c>
      <c r="D12719" t="s">
        <v>18785</v>
      </c>
      <c r="E12719" t="s">
        <v>29810</v>
      </c>
      <c r="F12719" t="s">
        <v>32664</v>
      </c>
      <c r="G12719" t="s">
        <v>32672</v>
      </c>
      <c r="H12719" t="s">
        <v>32683</v>
      </c>
      <c r="I12719" t="s">
        <v>10627</v>
      </c>
      <c r="J12719" t="s">
        <v>38920</v>
      </c>
      <c r="K12719" t="s">
        <v>42290</v>
      </c>
      <c r="M12719" t="s">
        <v>45547</v>
      </c>
      <c r="N12719" t="s">
        <v>46569</v>
      </c>
      <c r="O12719" t="s">
        <v>46570</v>
      </c>
      <c r="Q12719">
        <v>2</v>
      </c>
      <c r="R12719" t="s">
        <v>46584</v>
      </c>
      <c r="S12719" t="s">
        <v>47101</v>
      </c>
      <c r="T12719" t="s">
        <v>48268</v>
      </c>
      <c r="U12719" t="s">
        <v>58991</v>
      </c>
      <c r="V12719" t="s">
        <v>63028</v>
      </c>
      <c r="W12719" t="s">
        <v>45547</v>
      </c>
      <c r="X12719" t="s">
        <v>46585</v>
      </c>
    </row>
    <row r="12720" spans="1:24">
      <c r="A12720">
        <f>HYPERLINK("https://www.philgeps.gov.ph/GEPSNONPILOT/Tender/SplashBidNoticeAbstractUI.aspx?menuIndex=3&amp;refID=7042599&amp;Result=3","7042599")</f>
        <v>0</v>
      </c>
      <c r="B12720" t="s">
        <v>502</v>
      </c>
      <c r="C12720" t="s">
        <v>15601</v>
      </c>
      <c r="D12720" t="s">
        <v>18782</v>
      </c>
      <c r="E12720" t="s">
        <v>29811</v>
      </c>
      <c r="F12720" t="s">
        <v>32664</v>
      </c>
      <c r="G12720" t="s">
        <v>32672</v>
      </c>
      <c r="H12720" t="s">
        <v>12635</v>
      </c>
      <c r="I12720" t="s">
        <v>5589</v>
      </c>
      <c r="J12720" t="s">
        <v>40331</v>
      </c>
      <c r="K12720" t="s">
        <v>42281</v>
      </c>
      <c r="M12720" t="s">
        <v>43078</v>
      </c>
      <c r="N12720" t="s">
        <v>46569</v>
      </c>
      <c r="O12720" t="s">
        <v>46570</v>
      </c>
      <c r="P12720">
        <v>0</v>
      </c>
      <c r="Q12720">
        <v>3</v>
      </c>
      <c r="R12720" t="s">
        <v>46584</v>
      </c>
      <c r="S12720" t="s">
        <v>47063</v>
      </c>
      <c r="T12720" t="s">
        <v>48238</v>
      </c>
      <c r="U12720" t="s">
        <v>53174</v>
      </c>
      <c r="W12720" t="s">
        <v>43078</v>
      </c>
      <c r="X12720" t="s">
        <v>46585</v>
      </c>
    </row>
    <row r="12721" spans="1:24">
      <c r="A12721">
        <f>HYPERLINK("https://www.philgeps.gov.ph/GEPSNONPILOT/Tender/SplashBidNoticeAbstractUI.aspx?menuIndex=3&amp;refID=7042550&amp;Result=3","7042550")</f>
        <v>0</v>
      </c>
      <c r="B12721" t="s">
        <v>3246</v>
      </c>
      <c r="C12721" t="s">
        <v>15602</v>
      </c>
      <c r="D12721" t="s">
        <v>18838</v>
      </c>
      <c r="E12721" t="s">
        <v>21673</v>
      </c>
      <c r="F12721" t="s">
        <v>32664</v>
      </c>
      <c r="G12721" t="s">
        <v>32671</v>
      </c>
      <c r="H12721" t="s">
        <v>12635</v>
      </c>
      <c r="I12721" t="s">
        <v>5589</v>
      </c>
      <c r="J12721" t="s">
        <v>40332</v>
      </c>
      <c r="K12721" t="s">
        <v>42298</v>
      </c>
      <c r="M12721" t="s">
        <v>46172</v>
      </c>
      <c r="N12721" t="s">
        <v>46569</v>
      </c>
      <c r="O12721" t="s">
        <v>46570</v>
      </c>
      <c r="P12721">
        <v>0</v>
      </c>
      <c r="Q12721">
        <v>6</v>
      </c>
      <c r="R12721" t="s">
        <v>46584</v>
      </c>
      <c r="S12721" t="s">
        <v>47063</v>
      </c>
      <c r="T12721" t="s">
        <v>48385</v>
      </c>
      <c r="U12721" t="s">
        <v>59011</v>
      </c>
      <c r="W12721" t="s">
        <v>46172</v>
      </c>
      <c r="X12721" t="s">
        <v>46585</v>
      </c>
    </row>
    <row r="12722" spans="1:24">
      <c r="A12722">
        <f>HYPERLINK("https://www.philgeps.gov.ph/GEPSNONPILOT/Tender/SplashBidNoticeAbstractUI.aspx?menuIndex=3&amp;refID=7042423&amp;Result=3","7042423")</f>
        <v>0</v>
      </c>
      <c r="B12722" t="s">
        <v>175</v>
      </c>
      <c r="C12722" t="s">
        <v>15603</v>
      </c>
      <c r="D12722" t="s">
        <v>18784</v>
      </c>
      <c r="E12722" t="s">
        <v>21636</v>
      </c>
      <c r="F12722" t="s">
        <v>32664</v>
      </c>
      <c r="G12722" t="s">
        <v>32672</v>
      </c>
      <c r="H12722" t="s">
        <v>12635</v>
      </c>
      <c r="I12722" t="s">
        <v>32709</v>
      </c>
      <c r="J12722" t="s">
        <v>40333</v>
      </c>
      <c r="K12722" t="s">
        <v>42305</v>
      </c>
      <c r="M12722" t="s">
        <v>46164</v>
      </c>
      <c r="N12722" t="s">
        <v>46569</v>
      </c>
      <c r="O12722" t="s">
        <v>46570</v>
      </c>
      <c r="Q12722">
        <v>9</v>
      </c>
      <c r="R12722" t="s">
        <v>46584</v>
      </c>
      <c r="S12722" t="s">
        <v>47102</v>
      </c>
      <c r="T12722" t="s">
        <v>48319</v>
      </c>
      <c r="U12722" t="s">
        <v>59012</v>
      </c>
      <c r="W12722" t="s">
        <v>46164</v>
      </c>
      <c r="X12722" t="s">
        <v>46585</v>
      </c>
    </row>
    <row r="12723" spans="1:24">
      <c r="A12723">
        <f>HYPERLINK("https://www.philgeps.gov.ph/GEPSNONPILOT/Tender/SplashBidNoticeAbstractUI.aspx?menuIndex=3&amp;refID=7042413&amp;Result=3","7042413")</f>
        <v>0</v>
      </c>
      <c r="B12723" t="s">
        <v>1382</v>
      </c>
      <c r="C12723" t="s">
        <v>15604</v>
      </c>
      <c r="E12723" t="s">
        <v>29812</v>
      </c>
      <c r="F12723" t="s">
        <v>32664</v>
      </c>
      <c r="G12723" t="s">
        <v>32672</v>
      </c>
      <c r="H12723" t="s">
        <v>32683</v>
      </c>
      <c r="I12723" t="s">
        <v>10627</v>
      </c>
      <c r="J12723" t="s">
        <v>40334</v>
      </c>
      <c r="K12723" t="s">
        <v>42283</v>
      </c>
      <c r="M12723" t="s">
        <v>44037</v>
      </c>
      <c r="N12723" t="s">
        <v>46569</v>
      </c>
      <c r="O12723" t="s">
        <v>46570</v>
      </c>
      <c r="P12723">
        <v>0</v>
      </c>
      <c r="Q12723">
        <v>23</v>
      </c>
      <c r="R12723" t="s">
        <v>46584</v>
      </c>
      <c r="S12723" t="s">
        <v>47063</v>
      </c>
      <c r="T12723" t="s">
        <v>48225</v>
      </c>
      <c r="U12723" t="s">
        <v>59009</v>
      </c>
      <c r="W12723" t="s">
        <v>63589</v>
      </c>
      <c r="X12723" t="s">
        <v>46585</v>
      </c>
    </row>
    <row r="12724" spans="1:24">
      <c r="A12724">
        <f>HYPERLINK("https://www.philgeps.gov.ph/GEPSNONPILOT/Tender/SplashBidNoticeAbstractUI.aspx?menuIndex=3&amp;refID=7042124&amp;Result=3","7042124")</f>
        <v>0</v>
      </c>
      <c r="B12724" t="s">
        <v>3237</v>
      </c>
      <c r="C12724" t="s">
        <v>15605</v>
      </c>
      <c r="D12724" t="s">
        <v>18824</v>
      </c>
      <c r="E12724" t="s">
        <v>29813</v>
      </c>
      <c r="F12724" t="s">
        <v>32664</v>
      </c>
      <c r="G12724" t="s">
        <v>32672</v>
      </c>
      <c r="H12724" t="s">
        <v>32683</v>
      </c>
      <c r="I12724" t="s">
        <v>10627</v>
      </c>
      <c r="J12724" t="s">
        <v>40335</v>
      </c>
      <c r="K12724" t="s">
        <v>42317</v>
      </c>
      <c r="M12724" t="s">
        <v>46159</v>
      </c>
      <c r="N12724" t="s">
        <v>46569</v>
      </c>
      <c r="O12724" t="s">
        <v>46570</v>
      </c>
      <c r="P12724">
        <v>0</v>
      </c>
      <c r="Q12724">
        <v>1</v>
      </c>
      <c r="R12724" t="s">
        <v>46584</v>
      </c>
      <c r="S12724" t="s">
        <v>47063</v>
      </c>
      <c r="T12724" t="s">
        <v>48376</v>
      </c>
      <c r="U12724" t="s">
        <v>56569</v>
      </c>
      <c r="W12724" t="s">
        <v>46159</v>
      </c>
      <c r="X12724" t="s">
        <v>46585</v>
      </c>
    </row>
    <row r="12725" spans="1:24">
      <c r="A12725">
        <f>HYPERLINK("https://www.philgeps.gov.ph/GEPSNONPILOT/Tender/SplashBidNoticeAbstractUI.aspx?menuIndex=3&amp;refID=7042387&amp;Result=3","7042387")</f>
        <v>0</v>
      </c>
      <c r="B12725" t="s">
        <v>175</v>
      </c>
      <c r="C12725" t="s">
        <v>15606</v>
      </c>
      <c r="D12725" t="s">
        <v>18784</v>
      </c>
      <c r="E12725" t="s">
        <v>29814</v>
      </c>
      <c r="F12725" t="s">
        <v>32664</v>
      </c>
      <c r="G12725" t="s">
        <v>32672</v>
      </c>
      <c r="H12725" t="s">
        <v>12635</v>
      </c>
      <c r="I12725" t="s">
        <v>32772</v>
      </c>
      <c r="J12725" t="s">
        <v>33117</v>
      </c>
      <c r="K12725" t="s">
        <v>42305</v>
      </c>
      <c r="M12725" t="s">
        <v>46164</v>
      </c>
      <c r="N12725" t="s">
        <v>46569</v>
      </c>
      <c r="O12725" t="s">
        <v>46570</v>
      </c>
      <c r="Q12725">
        <v>3</v>
      </c>
      <c r="R12725" t="s">
        <v>46584</v>
      </c>
      <c r="S12725" t="s">
        <v>47103</v>
      </c>
      <c r="T12725" t="s">
        <v>48383</v>
      </c>
      <c r="U12725" t="s">
        <v>58974</v>
      </c>
      <c r="W12725" t="s">
        <v>46164</v>
      </c>
      <c r="X12725" t="s">
        <v>46585</v>
      </c>
    </row>
    <row r="12726" spans="1:24">
      <c r="A12726">
        <f>HYPERLINK("https://www.philgeps.gov.ph/GEPSNONPILOT/Tender/SplashBidNoticeAbstractUI.aspx?menuIndex=3&amp;refID=7042617&amp;Result=3","7042617")</f>
        <v>0</v>
      </c>
      <c r="B12726" t="s">
        <v>651</v>
      </c>
      <c r="C12726" t="s">
        <v>15607</v>
      </c>
      <c r="D12726" t="s">
        <v>18826</v>
      </c>
      <c r="E12726" t="s">
        <v>29815</v>
      </c>
      <c r="F12726" t="s">
        <v>32664</v>
      </c>
      <c r="G12726" t="s">
        <v>32672</v>
      </c>
      <c r="H12726" t="s">
        <v>32683</v>
      </c>
      <c r="I12726" t="s">
        <v>10627</v>
      </c>
      <c r="J12726" t="s">
        <v>37781</v>
      </c>
      <c r="K12726" t="s">
        <v>42537</v>
      </c>
      <c r="M12726" t="s">
        <v>43237</v>
      </c>
      <c r="N12726" t="s">
        <v>46569</v>
      </c>
      <c r="O12726" t="s">
        <v>46570</v>
      </c>
      <c r="Q12726">
        <v>28</v>
      </c>
      <c r="R12726" t="s">
        <v>46584</v>
      </c>
      <c r="S12726" t="s">
        <v>47104</v>
      </c>
      <c r="T12726" t="s">
        <v>48276</v>
      </c>
      <c r="U12726" t="s">
        <v>58998</v>
      </c>
      <c r="W12726" t="s">
        <v>43237</v>
      </c>
      <c r="X12726" t="s">
        <v>46585</v>
      </c>
    </row>
    <row r="12727" spans="1:24">
      <c r="A12727">
        <f>HYPERLINK("https://www.philgeps.gov.ph/GEPSNONPILOT/Tender/SplashBidNoticeAbstractUI.aspx?menuIndex=3&amp;refID=7042401&amp;Result=3","7042401")</f>
        <v>0</v>
      </c>
      <c r="B12727" t="s">
        <v>1382</v>
      </c>
      <c r="C12727" t="s">
        <v>15608</v>
      </c>
      <c r="E12727" t="s">
        <v>29816</v>
      </c>
      <c r="F12727" t="s">
        <v>32664</v>
      </c>
      <c r="G12727" t="s">
        <v>32672</v>
      </c>
      <c r="H12727" t="s">
        <v>32683</v>
      </c>
      <c r="I12727" t="s">
        <v>10627</v>
      </c>
      <c r="J12727" t="s">
        <v>40336</v>
      </c>
      <c r="K12727" t="s">
        <v>42283</v>
      </c>
      <c r="M12727" t="s">
        <v>44037</v>
      </c>
      <c r="N12727" t="s">
        <v>46569</v>
      </c>
      <c r="O12727" t="s">
        <v>46570</v>
      </c>
      <c r="P12727">
        <v>0</v>
      </c>
      <c r="Q12727">
        <v>22</v>
      </c>
      <c r="R12727" t="s">
        <v>46584</v>
      </c>
      <c r="S12727" t="s">
        <v>47063</v>
      </c>
      <c r="T12727" t="s">
        <v>48225</v>
      </c>
      <c r="U12727" t="s">
        <v>59009</v>
      </c>
      <c r="W12727" t="s">
        <v>63589</v>
      </c>
      <c r="X12727" t="s">
        <v>46585</v>
      </c>
    </row>
    <row r="12728" spans="1:24">
      <c r="A12728">
        <f>HYPERLINK("https://www.philgeps.gov.ph/GEPSNONPILOT/Tender/SplashBidNoticeAbstractUI.aspx?menuIndex=3&amp;refID=7042527&amp;Result=3","7042527")</f>
        <v>0</v>
      </c>
      <c r="B12728" t="s">
        <v>2720</v>
      </c>
      <c r="C12728" t="s">
        <v>15609</v>
      </c>
      <c r="D12728" t="s">
        <v>18785</v>
      </c>
      <c r="E12728" t="s">
        <v>29817</v>
      </c>
      <c r="F12728" t="s">
        <v>32664</v>
      </c>
      <c r="G12728" t="s">
        <v>32672</v>
      </c>
      <c r="H12728" t="s">
        <v>32683</v>
      </c>
      <c r="I12728" t="s">
        <v>10627</v>
      </c>
      <c r="J12728" t="s">
        <v>34379</v>
      </c>
      <c r="K12728" t="s">
        <v>42290</v>
      </c>
      <c r="M12728" t="s">
        <v>45547</v>
      </c>
      <c r="N12728" t="s">
        <v>46569</v>
      </c>
      <c r="O12728" t="s">
        <v>46570</v>
      </c>
      <c r="Q12728">
        <v>0</v>
      </c>
      <c r="R12728" t="s">
        <v>46584</v>
      </c>
      <c r="S12728" t="s">
        <v>47105</v>
      </c>
      <c r="T12728" t="s">
        <v>48268</v>
      </c>
      <c r="U12728" t="s">
        <v>58991</v>
      </c>
      <c r="V12728" t="s">
        <v>63028</v>
      </c>
      <c r="W12728" t="s">
        <v>45547</v>
      </c>
      <c r="X12728" t="s">
        <v>46585</v>
      </c>
    </row>
    <row r="12729" spans="1:24">
      <c r="A12729">
        <f>HYPERLINK("https://www.philgeps.gov.ph/GEPSNONPILOT/Tender/SplashBidNoticeAbstractUI.aspx?menuIndex=3&amp;refID=7042417&amp;Result=3","7042417")</f>
        <v>0</v>
      </c>
      <c r="B12729" t="s">
        <v>520</v>
      </c>
      <c r="C12729" t="s">
        <v>15610</v>
      </c>
      <c r="D12729" t="s">
        <v>18791</v>
      </c>
      <c r="E12729" t="s">
        <v>29818</v>
      </c>
      <c r="F12729" t="s">
        <v>32664</v>
      </c>
      <c r="G12729" t="s">
        <v>32672</v>
      </c>
      <c r="H12729" t="s">
        <v>12635</v>
      </c>
      <c r="I12729" t="s">
        <v>32708</v>
      </c>
      <c r="J12729" t="s">
        <v>40337</v>
      </c>
      <c r="K12729" t="s">
        <v>42298</v>
      </c>
      <c r="M12729" t="s">
        <v>43097</v>
      </c>
      <c r="N12729" t="s">
        <v>46569</v>
      </c>
      <c r="O12729" t="s">
        <v>46570</v>
      </c>
      <c r="Q12729">
        <v>55</v>
      </c>
      <c r="R12729" t="s">
        <v>46584</v>
      </c>
      <c r="S12729" t="s">
        <v>47106</v>
      </c>
      <c r="T12729" t="s">
        <v>48279</v>
      </c>
      <c r="U12729" t="s">
        <v>59013</v>
      </c>
      <c r="V12729" t="s">
        <v>61745</v>
      </c>
      <c r="W12729" t="s">
        <v>43097</v>
      </c>
      <c r="X12729" t="s">
        <v>46585</v>
      </c>
    </row>
    <row r="12730" spans="1:24">
      <c r="A12730">
        <f>HYPERLINK("https://www.philgeps.gov.ph/GEPSNONPILOT/Tender/SplashBidNoticeAbstractUI.aspx?menuIndex=3&amp;refID=7042191&amp;Result=3","7042191")</f>
        <v>0</v>
      </c>
      <c r="B12730" t="s">
        <v>678</v>
      </c>
      <c r="C12730" t="s">
        <v>15611</v>
      </c>
      <c r="E12730" t="s">
        <v>29819</v>
      </c>
      <c r="F12730" t="s">
        <v>32664</v>
      </c>
      <c r="G12730" t="s">
        <v>32672</v>
      </c>
      <c r="H12730" t="s">
        <v>32683</v>
      </c>
      <c r="I12730" t="s">
        <v>10627</v>
      </c>
      <c r="J12730" t="s">
        <v>39152</v>
      </c>
      <c r="K12730" t="s">
        <v>42283</v>
      </c>
      <c r="M12730" t="s">
        <v>43265</v>
      </c>
      <c r="N12730" t="s">
        <v>46569</v>
      </c>
      <c r="O12730" t="s">
        <v>46570</v>
      </c>
      <c r="P12730">
        <v>0</v>
      </c>
      <c r="Q12730">
        <v>1</v>
      </c>
      <c r="R12730" t="s">
        <v>46584</v>
      </c>
      <c r="S12730" t="s">
        <v>47063</v>
      </c>
      <c r="T12730" t="s">
        <v>48580</v>
      </c>
      <c r="U12730" t="s">
        <v>58958</v>
      </c>
      <c r="W12730" t="s">
        <v>43265</v>
      </c>
      <c r="X12730" t="s">
        <v>46585</v>
      </c>
    </row>
    <row r="12731" spans="1:24">
      <c r="A12731">
        <f>HYPERLINK("https://www.philgeps.gov.ph/GEPSNONPILOT/Tender/SplashBidNoticeAbstractUI.aspx?menuIndex=3&amp;refID=7042061&amp;Result=3","7042061")</f>
        <v>0</v>
      </c>
      <c r="B12731" t="s">
        <v>3237</v>
      </c>
      <c r="C12731" t="s">
        <v>15605</v>
      </c>
      <c r="D12731" t="s">
        <v>18824</v>
      </c>
      <c r="E12731" t="s">
        <v>29762</v>
      </c>
      <c r="F12731" t="s">
        <v>32664</v>
      </c>
      <c r="G12731" t="s">
        <v>32672</v>
      </c>
      <c r="H12731" t="s">
        <v>32683</v>
      </c>
      <c r="I12731" t="s">
        <v>10627</v>
      </c>
      <c r="J12731" t="s">
        <v>40295</v>
      </c>
      <c r="K12731" t="s">
        <v>42317</v>
      </c>
      <c r="M12731" t="s">
        <v>46159</v>
      </c>
      <c r="N12731" t="s">
        <v>46569</v>
      </c>
      <c r="O12731" t="s">
        <v>46570</v>
      </c>
      <c r="P12731">
        <v>0</v>
      </c>
      <c r="Q12731">
        <v>1</v>
      </c>
      <c r="R12731" t="s">
        <v>46584</v>
      </c>
      <c r="S12731" t="s">
        <v>47063</v>
      </c>
      <c r="T12731" t="s">
        <v>48420</v>
      </c>
      <c r="U12731" t="s">
        <v>59014</v>
      </c>
      <c r="W12731" t="s">
        <v>46159</v>
      </c>
      <c r="X12731" t="s">
        <v>46585</v>
      </c>
    </row>
    <row r="12732" spans="1:24">
      <c r="A12732">
        <f>HYPERLINK("https://www.philgeps.gov.ph/GEPSNONPILOT/Tender/SplashBidNoticeAbstractUI.aspx?menuIndex=3&amp;refID=7042022&amp;Result=3","7042022")</f>
        <v>0</v>
      </c>
      <c r="B12732" t="s">
        <v>3247</v>
      </c>
      <c r="C12732" t="s">
        <v>3547</v>
      </c>
      <c r="D12732" t="s">
        <v>18842</v>
      </c>
      <c r="E12732" t="s">
        <v>19304</v>
      </c>
      <c r="F12732" t="s">
        <v>32664</v>
      </c>
      <c r="G12732" t="s">
        <v>32672</v>
      </c>
      <c r="H12732" t="s">
        <v>12635</v>
      </c>
      <c r="I12732" t="s">
        <v>9946</v>
      </c>
      <c r="J12732" t="s">
        <v>40338</v>
      </c>
      <c r="K12732" t="s">
        <v>42291</v>
      </c>
      <c r="M12732" t="s">
        <v>46173</v>
      </c>
      <c r="N12732" t="s">
        <v>46569</v>
      </c>
      <c r="O12732" t="s">
        <v>46570</v>
      </c>
      <c r="P12732">
        <v>0</v>
      </c>
      <c r="Q12732">
        <v>5</v>
      </c>
      <c r="R12732" t="s">
        <v>46584</v>
      </c>
      <c r="S12732" t="s">
        <v>47063</v>
      </c>
      <c r="T12732" t="s">
        <v>48225</v>
      </c>
      <c r="U12732" t="s">
        <v>59015</v>
      </c>
      <c r="V12732" t="s">
        <v>63031</v>
      </c>
      <c r="W12732" t="s">
        <v>46173</v>
      </c>
      <c r="X12732" t="s">
        <v>46585</v>
      </c>
    </row>
    <row r="12733" spans="1:24">
      <c r="A12733">
        <f>HYPERLINK("https://www.philgeps.gov.ph/GEPSNONPILOT/Tender/SplashBidNoticeAbstractUI.aspx?menuIndex=3&amp;refID=7042587&amp;Result=3","7042587")</f>
        <v>0</v>
      </c>
      <c r="B12733" t="s">
        <v>651</v>
      </c>
      <c r="C12733" t="s">
        <v>15612</v>
      </c>
      <c r="D12733" t="s">
        <v>18826</v>
      </c>
      <c r="E12733" t="s">
        <v>29820</v>
      </c>
      <c r="F12733" t="s">
        <v>32664</v>
      </c>
      <c r="G12733" t="s">
        <v>32672</v>
      </c>
      <c r="H12733" t="s">
        <v>32683</v>
      </c>
      <c r="I12733" t="s">
        <v>10627</v>
      </c>
      <c r="J12733" t="s">
        <v>38737</v>
      </c>
      <c r="K12733" t="s">
        <v>42536</v>
      </c>
      <c r="M12733" t="s">
        <v>43237</v>
      </c>
      <c r="N12733" t="s">
        <v>46569</v>
      </c>
      <c r="O12733" t="s">
        <v>46570</v>
      </c>
      <c r="Q12733">
        <v>44</v>
      </c>
      <c r="R12733" t="s">
        <v>46584</v>
      </c>
      <c r="S12733" t="s">
        <v>47107</v>
      </c>
      <c r="T12733" t="s">
        <v>48276</v>
      </c>
      <c r="U12733" t="s">
        <v>58998</v>
      </c>
      <c r="W12733" t="s">
        <v>43237</v>
      </c>
      <c r="X12733" t="s">
        <v>46585</v>
      </c>
    </row>
    <row r="12734" spans="1:24">
      <c r="A12734">
        <f>HYPERLINK("https://www.philgeps.gov.ph/GEPSNONPILOT/Tender/SplashBidNoticeAbstractUI.aspx?menuIndex=3&amp;refID=7042020&amp;Result=3","7042020")</f>
        <v>0</v>
      </c>
      <c r="B12734" t="s">
        <v>678</v>
      </c>
      <c r="C12734" t="s">
        <v>15613</v>
      </c>
      <c r="E12734" t="s">
        <v>29821</v>
      </c>
      <c r="F12734" t="s">
        <v>32664</v>
      </c>
      <c r="G12734" t="s">
        <v>32672</v>
      </c>
      <c r="H12734" t="s">
        <v>32683</v>
      </c>
      <c r="I12734" t="s">
        <v>10627</v>
      </c>
      <c r="J12734" t="s">
        <v>34148</v>
      </c>
      <c r="K12734" t="s">
        <v>42283</v>
      </c>
      <c r="M12734" t="s">
        <v>43265</v>
      </c>
      <c r="N12734" t="s">
        <v>46569</v>
      </c>
      <c r="O12734" t="s">
        <v>46570</v>
      </c>
      <c r="P12734">
        <v>0</v>
      </c>
      <c r="Q12734">
        <v>0</v>
      </c>
      <c r="R12734" t="s">
        <v>46584</v>
      </c>
      <c r="S12734" t="s">
        <v>47063</v>
      </c>
      <c r="T12734" t="s">
        <v>48580</v>
      </c>
      <c r="U12734" t="s">
        <v>58958</v>
      </c>
      <c r="W12734" t="s">
        <v>43265</v>
      </c>
      <c r="X12734" t="s">
        <v>46585</v>
      </c>
    </row>
    <row r="12735" spans="1:24">
      <c r="A12735">
        <f>HYPERLINK("https://www.philgeps.gov.ph/GEPSNONPILOT/Tender/SplashBidNoticeAbstractUI.aspx?menuIndex=3&amp;refID=7042346&amp;Result=3","7042346")</f>
        <v>0</v>
      </c>
      <c r="B12735" t="s">
        <v>988</v>
      </c>
      <c r="C12735" t="s">
        <v>15614</v>
      </c>
      <c r="D12735" t="s">
        <v>18784</v>
      </c>
      <c r="E12735" t="s">
        <v>29822</v>
      </c>
      <c r="F12735" t="s">
        <v>32664</v>
      </c>
      <c r="G12735" t="s">
        <v>32672</v>
      </c>
      <c r="H12735" t="s">
        <v>12635</v>
      </c>
      <c r="I12735" t="s">
        <v>6628</v>
      </c>
      <c r="J12735" t="s">
        <v>33150</v>
      </c>
      <c r="K12735" t="s">
        <v>42283</v>
      </c>
      <c r="M12735" t="s">
        <v>44301</v>
      </c>
      <c r="N12735" t="s">
        <v>46569</v>
      </c>
      <c r="O12735" t="s">
        <v>46570</v>
      </c>
      <c r="Q12735">
        <v>9</v>
      </c>
      <c r="R12735" t="s">
        <v>46584</v>
      </c>
      <c r="S12735" t="s">
        <v>47108</v>
      </c>
      <c r="T12735" t="s">
        <v>48284</v>
      </c>
      <c r="U12735" t="s">
        <v>59016</v>
      </c>
      <c r="V12735" t="s">
        <v>61745</v>
      </c>
      <c r="W12735" t="s">
        <v>44301</v>
      </c>
      <c r="X12735" t="s">
        <v>46585</v>
      </c>
    </row>
    <row r="12736" spans="1:24">
      <c r="A12736">
        <f>HYPERLINK("https://www.philgeps.gov.ph/GEPSNONPILOT/Tender/SplashBidNoticeAbstractUI.aspx?menuIndex=3&amp;refID=7042511&amp;Result=3","7042511")</f>
        <v>0</v>
      </c>
      <c r="B12736" t="s">
        <v>2720</v>
      </c>
      <c r="C12736" t="s">
        <v>15615</v>
      </c>
      <c r="D12736" t="s">
        <v>18785</v>
      </c>
      <c r="E12736" t="s">
        <v>29823</v>
      </c>
      <c r="F12736" t="s">
        <v>32664</v>
      </c>
      <c r="G12736" t="s">
        <v>32672</v>
      </c>
      <c r="H12736" t="s">
        <v>32683</v>
      </c>
      <c r="I12736" t="s">
        <v>10627</v>
      </c>
      <c r="J12736" t="s">
        <v>34213</v>
      </c>
      <c r="K12736" t="s">
        <v>42298</v>
      </c>
      <c r="M12736" t="s">
        <v>45547</v>
      </c>
      <c r="N12736" t="s">
        <v>46569</v>
      </c>
      <c r="O12736" t="s">
        <v>46570</v>
      </c>
      <c r="Q12736">
        <v>1</v>
      </c>
      <c r="R12736" t="s">
        <v>46584</v>
      </c>
      <c r="S12736" t="s">
        <v>47109</v>
      </c>
      <c r="T12736" t="s">
        <v>48268</v>
      </c>
      <c r="U12736" t="s">
        <v>58991</v>
      </c>
      <c r="V12736" t="s">
        <v>63028</v>
      </c>
      <c r="W12736" t="s">
        <v>45547</v>
      </c>
      <c r="X12736" t="s">
        <v>46585</v>
      </c>
    </row>
    <row r="12737" spans="1:24">
      <c r="A12737">
        <f>HYPERLINK("https://www.philgeps.gov.ph/GEPSNONPILOT/Tender/SplashBidNoticeAbstractUI.aspx?menuIndex=3&amp;refID=7042043&amp;Result=3","7042043")</f>
        <v>0</v>
      </c>
      <c r="B12737" t="s">
        <v>678</v>
      </c>
      <c r="C12737" t="s">
        <v>15616</v>
      </c>
      <c r="E12737" t="s">
        <v>29824</v>
      </c>
      <c r="F12737" t="s">
        <v>32664</v>
      </c>
      <c r="G12737" t="s">
        <v>32672</v>
      </c>
      <c r="H12737" t="s">
        <v>32683</v>
      </c>
      <c r="I12737" t="s">
        <v>10627</v>
      </c>
      <c r="J12737" t="s">
        <v>34411</v>
      </c>
      <c r="K12737" t="s">
        <v>42283</v>
      </c>
      <c r="M12737" t="s">
        <v>43265</v>
      </c>
      <c r="N12737" t="s">
        <v>46569</v>
      </c>
      <c r="O12737" t="s">
        <v>46570</v>
      </c>
      <c r="P12737">
        <v>0</v>
      </c>
      <c r="Q12737">
        <v>0</v>
      </c>
      <c r="R12737" t="s">
        <v>46584</v>
      </c>
      <c r="S12737" t="s">
        <v>47063</v>
      </c>
      <c r="T12737" t="s">
        <v>48580</v>
      </c>
      <c r="U12737" t="s">
        <v>58958</v>
      </c>
      <c r="W12737" t="s">
        <v>43265</v>
      </c>
      <c r="X12737" t="s">
        <v>46585</v>
      </c>
    </row>
    <row r="12738" spans="1:24">
      <c r="A12738">
        <f>HYPERLINK("https://www.philgeps.gov.ph/GEPSNONPILOT/Tender/SplashBidNoticeAbstractUI.aspx?menuIndex=3&amp;refID=7042372&amp;Result=3","7042372")</f>
        <v>0</v>
      </c>
      <c r="B12738" t="s">
        <v>541</v>
      </c>
      <c r="C12738" t="s">
        <v>15617</v>
      </c>
      <c r="D12738" t="s">
        <v>18805</v>
      </c>
      <c r="E12738" t="s">
        <v>24972</v>
      </c>
      <c r="F12738" t="s">
        <v>32664</v>
      </c>
      <c r="G12738" t="s">
        <v>32672</v>
      </c>
      <c r="H12738" t="s">
        <v>12635</v>
      </c>
      <c r="I12738" t="s">
        <v>11464</v>
      </c>
      <c r="J12738" t="s">
        <v>40339</v>
      </c>
      <c r="K12738" t="s">
        <v>42281</v>
      </c>
      <c r="M12738" t="s">
        <v>43120</v>
      </c>
      <c r="N12738" t="s">
        <v>46569</v>
      </c>
      <c r="O12738" t="s">
        <v>46570</v>
      </c>
      <c r="Q12738">
        <v>11</v>
      </c>
      <c r="R12738" t="s">
        <v>46584</v>
      </c>
      <c r="S12738" t="s">
        <v>47110</v>
      </c>
      <c r="T12738" t="s">
        <v>48245</v>
      </c>
      <c r="U12738" t="s">
        <v>59017</v>
      </c>
      <c r="W12738" t="s">
        <v>43120</v>
      </c>
      <c r="X12738" t="s">
        <v>46585</v>
      </c>
    </row>
    <row r="12739" spans="1:24">
      <c r="A12739">
        <f>HYPERLINK("https://www.philgeps.gov.ph/GEPSNONPILOT/Tender/SplashBidNoticeAbstractUI.aspx?menuIndex=3&amp;refID=7042747&amp;Result=3","7042747")</f>
        <v>0</v>
      </c>
      <c r="B12739" t="s">
        <v>520</v>
      </c>
      <c r="C12739" t="s">
        <v>15618</v>
      </c>
      <c r="D12739" t="s">
        <v>18791</v>
      </c>
      <c r="E12739" t="s">
        <v>29825</v>
      </c>
      <c r="F12739" t="s">
        <v>32664</v>
      </c>
      <c r="G12739" t="s">
        <v>32672</v>
      </c>
      <c r="H12739" t="s">
        <v>12635</v>
      </c>
      <c r="I12739" t="s">
        <v>8797</v>
      </c>
      <c r="J12739" t="s">
        <v>40340</v>
      </c>
      <c r="K12739" t="s">
        <v>42303</v>
      </c>
      <c r="M12739" t="s">
        <v>43097</v>
      </c>
      <c r="N12739" t="s">
        <v>46569</v>
      </c>
      <c r="O12739" t="s">
        <v>46570</v>
      </c>
      <c r="Q12739">
        <v>9</v>
      </c>
      <c r="R12739" t="s">
        <v>46584</v>
      </c>
      <c r="S12739" t="s">
        <v>47111</v>
      </c>
      <c r="T12739" t="s">
        <v>48279</v>
      </c>
      <c r="U12739" t="s">
        <v>59018</v>
      </c>
      <c r="V12739" t="s">
        <v>61745</v>
      </c>
      <c r="W12739" t="s">
        <v>43097</v>
      </c>
      <c r="X12739" t="s">
        <v>46585</v>
      </c>
    </row>
    <row r="12740" spans="1:24">
      <c r="A12740">
        <f>HYPERLINK("https://www.philgeps.gov.ph/GEPSNONPILOT/Tender/SplashBidNoticeAbstractUI.aspx?menuIndex=3&amp;refID=7042735&amp;Result=3","7042735")</f>
        <v>0</v>
      </c>
      <c r="B12740" t="s">
        <v>502</v>
      </c>
      <c r="C12740" t="s">
        <v>15619</v>
      </c>
      <c r="D12740" t="s">
        <v>18782</v>
      </c>
      <c r="E12740" t="s">
        <v>29826</v>
      </c>
      <c r="F12740" t="s">
        <v>32664</v>
      </c>
      <c r="G12740" t="s">
        <v>32672</v>
      </c>
      <c r="H12740" t="s">
        <v>12635</v>
      </c>
      <c r="I12740" t="s">
        <v>32696</v>
      </c>
      <c r="J12740" t="s">
        <v>40341</v>
      </c>
      <c r="K12740" t="s">
        <v>42298</v>
      </c>
      <c r="M12740" t="s">
        <v>43078</v>
      </c>
      <c r="N12740" t="s">
        <v>46569</v>
      </c>
      <c r="O12740" t="s">
        <v>46570</v>
      </c>
      <c r="P12740">
        <v>0</v>
      </c>
      <c r="Q12740">
        <v>4</v>
      </c>
      <c r="R12740" t="s">
        <v>46584</v>
      </c>
      <c r="S12740" t="s">
        <v>47063</v>
      </c>
      <c r="T12740" t="s">
        <v>48238</v>
      </c>
      <c r="U12740" t="s">
        <v>53174</v>
      </c>
      <c r="W12740" t="s">
        <v>43078</v>
      </c>
      <c r="X12740" t="s">
        <v>46585</v>
      </c>
    </row>
    <row r="12741" spans="1:24">
      <c r="A12741">
        <f>HYPERLINK("https://www.philgeps.gov.ph/GEPSNONPILOT/Tender/SplashBidNoticeAbstractUI.aspx?menuIndex=3&amp;refID=7042742&amp;Result=3","7042742")</f>
        <v>0</v>
      </c>
      <c r="B12741" t="s">
        <v>592</v>
      </c>
      <c r="C12741" t="s">
        <v>15620</v>
      </c>
      <c r="D12741" t="s">
        <v>18784</v>
      </c>
      <c r="E12741" t="s">
        <v>29827</v>
      </c>
      <c r="F12741" t="s">
        <v>32664</v>
      </c>
      <c r="G12741" t="s">
        <v>32675</v>
      </c>
      <c r="H12741" t="s">
        <v>12635</v>
      </c>
      <c r="I12741" t="s">
        <v>6628</v>
      </c>
      <c r="J12741" t="s">
        <v>33015</v>
      </c>
      <c r="K12741" t="s">
        <v>42289</v>
      </c>
      <c r="M12741" t="s">
        <v>43172</v>
      </c>
      <c r="N12741" t="s">
        <v>46569</v>
      </c>
      <c r="O12741" t="s">
        <v>46570</v>
      </c>
      <c r="Q12741">
        <v>14</v>
      </c>
      <c r="R12741" t="s">
        <v>46584</v>
      </c>
      <c r="S12741" t="s">
        <v>47112</v>
      </c>
      <c r="T12741" t="s">
        <v>48282</v>
      </c>
      <c r="U12741" t="s">
        <v>49886</v>
      </c>
      <c r="V12741" t="s">
        <v>62175</v>
      </c>
      <c r="W12741" t="s">
        <v>43172</v>
      </c>
      <c r="X12741" t="s">
        <v>46585</v>
      </c>
    </row>
    <row r="12742" spans="1:24">
      <c r="A12742">
        <f>HYPERLINK("https://www.philgeps.gov.ph/GEPSNONPILOT/Tender/SplashBidNoticeAbstractUI.aspx?menuIndex=3&amp;refID=7042731&amp;Result=3","7042731")</f>
        <v>0</v>
      </c>
      <c r="B12742" t="s">
        <v>592</v>
      </c>
      <c r="C12742" t="s">
        <v>15621</v>
      </c>
      <c r="D12742" t="s">
        <v>18784</v>
      </c>
      <c r="E12742" t="s">
        <v>29828</v>
      </c>
      <c r="F12742" t="s">
        <v>32664</v>
      </c>
      <c r="G12742" t="s">
        <v>32675</v>
      </c>
      <c r="H12742" t="s">
        <v>12635</v>
      </c>
      <c r="I12742" t="s">
        <v>6168</v>
      </c>
      <c r="J12742" t="s">
        <v>40342</v>
      </c>
      <c r="K12742" t="s">
        <v>42289</v>
      </c>
      <c r="M12742" t="s">
        <v>43172</v>
      </c>
      <c r="N12742" t="s">
        <v>46569</v>
      </c>
      <c r="O12742" t="s">
        <v>46570</v>
      </c>
      <c r="Q12742">
        <v>10</v>
      </c>
      <c r="R12742" t="s">
        <v>46584</v>
      </c>
      <c r="S12742" t="s">
        <v>47113</v>
      </c>
      <c r="T12742" t="s">
        <v>48282</v>
      </c>
      <c r="U12742" t="s">
        <v>49886</v>
      </c>
      <c r="V12742" t="s">
        <v>62175</v>
      </c>
      <c r="W12742" t="s">
        <v>43172</v>
      </c>
      <c r="X12742" t="s">
        <v>46585</v>
      </c>
    </row>
    <row r="12743" spans="1:24">
      <c r="A12743">
        <f>HYPERLINK("https://www.philgeps.gov.ph/GEPSNONPILOT/Tender/SplashBidNoticeAbstractUI.aspx?menuIndex=3&amp;refID=7042358&amp;Result=3","7042358")</f>
        <v>0</v>
      </c>
      <c r="B12743" t="s">
        <v>520</v>
      </c>
      <c r="C12743" t="s">
        <v>15622</v>
      </c>
      <c r="D12743" t="s">
        <v>18791</v>
      </c>
      <c r="E12743" t="s">
        <v>29829</v>
      </c>
      <c r="F12743" t="s">
        <v>32664</v>
      </c>
      <c r="G12743" t="s">
        <v>32672</v>
      </c>
      <c r="H12743" t="s">
        <v>12635</v>
      </c>
      <c r="I12743" t="s">
        <v>32704</v>
      </c>
      <c r="J12743" t="s">
        <v>40343</v>
      </c>
      <c r="K12743" t="s">
        <v>42298</v>
      </c>
      <c r="M12743" t="s">
        <v>43097</v>
      </c>
      <c r="N12743" t="s">
        <v>46569</v>
      </c>
      <c r="O12743" t="s">
        <v>46570</v>
      </c>
      <c r="Q12743">
        <v>51</v>
      </c>
      <c r="R12743" t="s">
        <v>46584</v>
      </c>
      <c r="S12743" t="s">
        <v>47114</v>
      </c>
      <c r="T12743" t="s">
        <v>48279</v>
      </c>
      <c r="U12743" t="s">
        <v>59019</v>
      </c>
      <c r="V12743" t="s">
        <v>61745</v>
      </c>
      <c r="W12743" t="s">
        <v>43097</v>
      </c>
      <c r="X12743" t="s">
        <v>46585</v>
      </c>
    </row>
    <row r="12744" spans="1:24">
      <c r="A12744">
        <f>HYPERLINK("https://www.philgeps.gov.ph/GEPSNONPILOT/Tender/SplashBidNoticeAbstractUI.aspx?menuIndex=3&amp;refID=7042730&amp;Result=3","7042730")</f>
        <v>0</v>
      </c>
      <c r="B12744" t="s">
        <v>2455</v>
      </c>
      <c r="C12744" t="s">
        <v>15623</v>
      </c>
      <c r="D12744" t="s">
        <v>18801</v>
      </c>
      <c r="E12744" t="s">
        <v>29830</v>
      </c>
      <c r="F12744" t="s">
        <v>32664</v>
      </c>
      <c r="G12744" t="s">
        <v>32672</v>
      </c>
      <c r="H12744" t="s">
        <v>32683</v>
      </c>
      <c r="I12744" t="s">
        <v>10627</v>
      </c>
      <c r="J12744" t="s">
        <v>32930</v>
      </c>
      <c r="K12744" t="s">
        <v>42395</v>
      </c>
      <c r="M12744" t="s">
        <v>45250</v>
      </c>
      <c r="N12744" t="s">
        <v>46569</v>
      </c>
      <c r="O12744" t="s">
        <v>46570</v>
      </c>
      <c r="P12744">
        <v>0</v>
      </c>
      <c r="Q12744">
        <v>8</v>
      </c>
      <c r="R12744" t="s">
        <v>46584</v>
      </c>
      <c r="S12744" t="s">
        <v>47063</v>
      </c>
      <c r="T12744" t="s">
        <v>48284</v>
      </c>
      <c r="U12744" t="s">
        <v>55534</v>
      </c>
      <c r="W12744" t="s">
        <v>45250</v>
      </c>
      <c r="X12744" t="s">
        <v>46585</v>
      </c>
    </row>
    <row r="12745" spans="1:24">
      <c r="A12745">
        <f>HYPERLINK("https://www.philgeps.gov.ph/GEPSNONPILOT/Tender/SplashBidNoticeAbstractUI.aspx?menuIndex=3&amp;refID=7042727&amp;Result=3","7042727")</f>
        <v>0</v>
      </c>
      <c r="B12745" t="s">
        <v>520</v>
      </c>
      <c r="C12745" t="s">
        <v>15624</v>
      </c>
      <c r="D12745" t="s">
        <v>18791</v>
      </c>
      <c r="E12745" t="s">
        <v>29831</v>
      </c>
      <c r="F12745" t="s">
        <v>32664</v>
      </c>
      <c r="G12745" t="s">
        <v>32672</v>
      </c>
      <c r="H12745" t="s">
        <v>12635</v>
      </c>
      <c r="I12745" t="s">
        <v>8797</v>
      </c>
      <c r="J12745" t="s">
        <v>40344</v>
      </c>
      <c r="K12745" t="s">
        <v>42303</v>
      </c>
      <c r="M12745" t="s">
        <v>43097</v>
      </c>
      <c r="N12745" t="s">
        <v>46569</v>
      </c>
      <c r="O12745" t="s">
        <v>46570</v>
      </c>
      <c r="Q12745">
        <v>24</v>
      </c>
      <c r="R12745" t="s">
        <v>46584</v>
      </c>
      <c r="S12745" t="s">
        <v>47115</v>
      </c>
      <c r="T12745" t="s">
        <v>48279</v>
      </c>
      <c r="U12745" t="s">
        <v>59020</v>
      </c>
      <c r="V12745" t="s">
        <v>61745</v>
      </c>
      <c r="W12745" t="s">
        <v>43097</v>
      </c>
      <c r="X12745" t="s">
        <v>46585</v>
      </c>
    </row>
    <row r="12746" spans="1:24">
      <c r="A12746">
        <f>HYPERLINK("https://www.philgeps.gov.ph/GEPSNONPILOT/Tender/SplashBidNoticeAbstractUI.aspx?menuIndex=3&amp;refID=7042739&amp;Result=3","7042739")</f>
        <v>0</v>
      </c>
      <c r="B12746" t="s">
        <v>2720</v>
      </c>
      <c r="C12746" t="s">
        <v>15625</v>
      </c>
      <c r="D12746" t="s">
        <v>18785</v>
      </c>
      <c r="E12746" t="s">
        <v>29832</v>
      </c>
      <c r="F12746" t="s">
        <v>32664</v>
      </c>
      <c r="G12746" t="s">
        <v>32672</v>
      </c>
      <c r="H12746" t="s">
        <v>32683</v>
      </c>
      <c r="I12746" t="s">
        <v>10627</v>
      </c>
      <c r="J12746" t="s">
        <v>37724</v>
      </c>
      <c r="K12746" t="s">
        <v>42327</v>
      </c>
      <c r="M12746" t="s">
        <v>45547</v>
      </c>
      <c r="N12746" t="s">
        <v>46569</v>
      </c>
      <c r="O12746" t="s">
        <v>46570</v>
      </c>
      <c r="Q12746">
        <v>5</v>
      </c>
      <c r="R12746" t="s">
        <v>46584</v>
      </c>
      <c r="S12746" t="s">
        <v>47116</v>
      </c>
      <c r="T12746" t="s">
        <v>48268</v>
      </c>
      <c r="U12746" t="s">
        <v>58991</v>
      </c>
      <c r="V12746" t="s">
        <v>63028</v>
      </c>
      <c r="W12746" t="s">
        <v>45547</v>
      </c>
      <c r="X12746" t="s">
        <v>46585</v>
      </c>
    </row>
    <row r="12747" spans="1:24">
      <c r="A12747">
        <f>HYPERLINK("https://www.philgeps.gov.ph/GEPSNONPILOT/Tender/SplashBidNoticeAbstractUI.aspx?menuIndex=3&amp;refID=7042726&amp;Result=3","7042726")</f>
        <v>0</v>
      </c>
      <c r="B12747" t="s">
        <v>2720</v>
      </c>
      <c r="C12747" t="s">
        <v>15626</v>
      </c>
      <c r="D12747" t="s">
        <v>18785</v>
      </c>
      <c r="E12747" t="s">
        <v>29833</v>
      </c>
      <c r="F12747" t="s">
        <v>32664</v>
      </c>
      <c r="G12747" t="s">
        <v>32672</v>
      </c>
      <c r="H12747" t="s">
        <v>32683</v>
      </c>
      <c r="I12747" t="s">
        <v>10627</v>
      </c>
      <c r="J12747" t="s">
        <v>40345</v>
      </c>
      <c r="K12747" t="s">
        <v>42285</v>
      </c>
      <c r="M12747" t="s">
        <v>45547</v>
      </c>
      <c r="N12747" t="s">
        <v>46569</v>
      </c>
      <c r="O12747" t="s">
        <v>46570</v>
      </c>
      <c r="Q12747">
        <v>6</v>
      </c>
      <c r="R12747" t="s">
        <v>46584</v>
      </c>
      <c r="S12747" t="s">
        <v>47117</v>
      </c>
      <c r="T12747" t="s">
        <v>48268</v>
      </c>
      <c r="U12747" t="s">
        <v>58991</v>
      </c>
      <c r="V12747" t="s">
        <v>63028</v>
      </c>
      <c r="W12747" t="s">
        <v>45547</v>
      </c>
      <c r="X12747" t="s">
        <v>46585</v>
      </c>
    </row>
    <row r="12748" spans="1:24">
      <c r="A12748">
        <f>HYPERLINK("https://www.philgeps.gov.ph/GEPSNONPILOT/Tender/SplashBidNoticeAbstractUI.aspx?menuIndex=3&amp;refID=7042714&amp;Result=3","7042714")</f>
        <v>0</v>
      </c>
      <c r="B12748" t="s">
        <v>1898</v>
      </c>
      <c r="C12748" t="s">
        <v>15627</v>
      </c>
      <c r="D12748" t="s">
        <v>18827</v>
      </c>
      <c r="E12748" t="s">
        <v>29834</v>
      </c>
      <c r="F12748" t="s">
        <v>32664</v>
      </c>
      <c r="G12748" t="s">
        <v>32672</v>
      </c>
      <c r="H12748" t="s">
        <v>32683</v>
      </c>
      <c r="I12748" t="s">
        <v>10627</v>
      </c>
      <c r="J12748" t="s">
        <v>40346</v>
      </c>
      <c r="K12748" t="s">
        <v>42285</v>
      </c>
      <c r="M12748" t="s">
        <v>44618</v>
      </c>
      <c r="N12748" t="s">
        <v>46569</v>
      </c>
      <c r="O12748" t="s">
        <v>46570</v>
      </c>
      <c r="P12748">
        <v>0</v>
      </c>
      <c r="Q12748">
        <v>0</v>
      </c>
      <c r="R12748" t="s">
        <v>46584</v>
      </c>
      <c r="S12748" t="s">
        <v>47063</v>
      </c>
      <c r="T12748" t="s">
        <v>48304</v>
      </c>
      <c r="U12748" t="s">
        <v>59021</v>
      </c>
      <c r="V12748" t="s">
        <v>63032</v>
      </c>
      <c r="W12748" t="s">
        <v>44618</v>
      </c>
      <c r="X12748" t="s">
        <v>46585</v>
      </c>
    </row>
    <row r="12749" spans="1:24">
      <c r="A12749">
        <f>HYPERLINK("https://www.philgeps.gov.ph/GEPSNONPILOT/Tender/SplashBidNoticeAbstractUI.aspx?menuIndex=3&amp;refID=7042732&amp;Result=3","7042732")</f>
        <v>0</v>
      </c>
      <c r="B12749" t="s">
        <v>3026</v>
      </c>
      <c r="C12749" t="s">
        <v>15628</v>
      </c>
      <c r="D12749" t="s">
        <v>18814</v>
      </c>
      <c r="E12749" t="s">
        <v>29835</v>
      </c>
      <c r="F12749" t="s">
        <v>32664</v>
      </c>
      <c r="G12749" t="s">
        <v>32672</v>
      </c>
      <c r="H12749" t="s">
        <v>32683</v>
      </c>
      <c r="I12749" t="s">
        <v>10627</v>
      </c>
      <c r="J12749" t="s">
        <v>40347</v>
      </c>
      <c r="K12749" t="s">
        <v>42281</v>
      </c>
      <c r="M12749" t="s">
        <v>45898</v>
      </c>
      <c r="N12749" t="s">
        <v>46569</v>
      </c>
      <c r="O12749" t="s">
        <v>46570</v>
      </c>
      <c r="P12749">
        <v>0</v>
      </c>
      <c r="Q12749">
        <v>3</v>
      </c>
      <c r="R12749" t="s">
        <v>46584</v>
      </c>
      <c r="S12749" t="s">
        <v>47063</v>
      </c>
      <c r="T12749" t="s">
        <v>48236</v>
      </c>
      <c r="U12749" t="s">
        <v>59022</v>
      </c>
      <c r="W12749" t="s">
        <v>63583</v>
      </c>
      <c r="X12749" t="s">
        <v>46585</v>
      </c>
    </row>
    <row r="12750" spans="1:24">
      <c r="A12750">
        <f>HYPERLINK("https://www.philgeps.gov.ph/GEPSNONPILOT/Tender/SplashBidNoticeAbstractUI.aspx?menuIndex=3&amp;refID=7042845&amp;Result=3","7042845")</f>
        <v>0</v>
      </c>
      <c r="B12750" t="s">
        <v>3248</v>
      </c>
      <c r="C12750" t="s">
        <v>15629</v>
      </c>
      <c r="D12750" t="s">
        <v>18858</v>
      </c>
      <c r="E12750" t="s">
        <v>29836</v>
      </c>
      <c r="F12750" t="s">
        <v>32664</v>
      </c>
      <c r="G12750" t="s">
        <v>32672</v>
      </c>
      <c r="H12750" t="s">
        <v>32683</v>
      </c>
      <c r="I12750" t="s">
        <v>10627</v>
      </c>
      <c r="J12750" t="s">
        <v>40348</v>
      </c>
      <c r="K12750" t="s">
        <v>42308</v>
      </c>
      <c r="M12750" t="s">
        <v>46174</v>
      </c>
      <c r="N12750" t="s">
        <v>46569</v>
      </c>
      <c r="O12750" t="s">
        <v>46570</v>
      </c>
      <c r="P12750">
        <v>0</v>
      </c>
      <c r="Q12750">
        <v>1</v>
      </c>
      <c r="R12750" t="s">
        <v>46584</v>
      </c>
      <c r="S12750" t="s">
        <v>47063</v>
      </c>
      <c r="T12750" t="s">
        <v>48304</v>
      </c>
      <c r="U12750" t="s">
        <v>59023</v>
      </c>
      <c r="W12750" t="s">
        <v>46174</v>
      </c>
      <c r="X12750" t="s">
        <v>46585</v>
      </c>
    </row>
    <row r="12751" spans="1:24">
      <c r="A12751">
        <f>HYPERLINK("https://www.philgeps.gov.ph/GEPSNONPILOT/Tender/SplashBidNoticeAbstractUI.aspx?menuIndex=3&amp;refID=7042759&amp;Result=3","7042759")</f>
        <v>0</v>
      </c>
      <c r="B12751" t="s">
        <v>592</v>
      </c>
      <c r="C12751" t="s">
        <v>15630</v>
      </c>
      <c r="D12751" t="s">
        <v>18784</v>
      </c>
      <c r="E12751" t="s">
        <v>29837</v>
      </c>
      <c r="F12751" t="s">
        <v>32664</v>
      </c>
      <c r="G12751" t="s">
        <v>32675</v>
      </c>
      <c r="H12751" t="s">
        <v>12635</v>
      </c>
      <c r="I12751" t="s">
        <v>6628</v>
      </c>
      <c r="J12751" t="s">
        <v>40349</v>
      </c>
      <c r="K12751" t="s">
        <v>42289</v>
      </c>
      <c r="M12751" t="s">
        <v>43172</v>
      </c>
      <c r="N12751" t="s">
        <v>46569</v>
      </c>
      <c r="O12751" t="s">
        <v>46570</v>
      </c>
      <c r="Q12751">
        <v>7</v>
      </c>
      <c r="R12751" t="s">
        <v>46584</v>
      </c>
      <c r="S12751" t="s">
        <v>47118</v>
      </c>
      <c r="T12751" t="s">
        <v>48282</v>
      </c>
      <c r="U12751" t="s">
        <v>49886</v>
      </c>
      <c r="V12751" t="s">
        <v>62175</v>
      </c>
      <c r="W12751" t="s">
        <v>43172</v>
      </c>
      <c r="X12751" t="s">
        <v>46585</v>
      </c>
    </row>
    <row r="12752" spans="1:24">
      <c r="A12752">
        <f>HYPERLINK("https://www.philgeps.gov.ph/GEPSNONPILOT/Tender/SplashBidNoticeAbstractUI.aspx?menuIndex=3&amp;refID=7042852&amp;Result=3","7042852")</f>
        <v>0</v>
      </c>
      <c r="B12752" t="s">
        <v>1185</v>
      </c>
      <c r="C12752" t="s">
        <v>15631</v>
      </c>
      <c r="D12752" t="s">
        <v>18807</v>
      </c>
      <c r="E12752" t="s">
        <v>29838</v>
      </c>
      <c r="F12752" t="s">
        <v>32664</v>
      </c>
      <c r="G12752" t="s">
        <v>32672</v>
      </c>
      <c r="H12752" t="s">
        <v>32683</v>
      </c>
      <c r="I12752" t="s">
        <v>10627</v>
      </c>
      <c r="J12752" t="s">
        <v>40350</v>
      </c>
      <c r="K12752" t="s">
        <v>42281</v>
      </c>
      <c r="M12752" t="s">
        <v>43821</v>
      </c>
      <c r="N12752" t="s">
        <v>46569</v>
      </c>
      <c r="O12752" t="s">
        <v>46570</v>
      </c>
      <c r="P12752">
        <v>0</v>
      </c>
      <c r="Q12752">
        <v>2</v>
      </c>
      <c r="R12752" t="s">
        <v>46584</v>
      </c>
      <c r="S12752" t="s">
        <v>47063</v>
      </c>
      <c r="T12752" t="s">
        <v>48293</v>
      </c>
      <c r="U12752" t="s">
        <v>51319</v>
      </c>
      <c r="W12752" t="s">
        <v>43821</v>
      </c>
      <c r="X12752" t="s">
        <v>46585</v>
      </c>
    </row>
    <row r="12753" spans="1:24">
      <c r="A12753">
        <f>HYPERLINK("https://www.philgeps.gov.ph/GEPSNONPILOT/Tender/SplashBidNoticeAbstractUI.aspx?menuIndex=3&amp;refID=7042756&amp;Result=3","7042756")</f>
        <v>0</v>
      </c>
      <c r="B12753" t="s">
        <v>817</v>
      </c>
      <c r="C12753" t="s">
        <v>15632</v>
      </c>
      <c r="E12753" t="s">
        <v>29839</v>
      </c>
      <c r="F12753" t="s">
        <v>32664</v>
      </c>
      <c r="G12753" t="s">
        <v>32672</v>
      </c>
      <c r="H12753" t="s">
        <v>12635</v>
      </c>
      <c r="I12753" t="s">
        <v>11464</v>
      </c>
      <c r="J12753" t="s">
        <v>32837</v>
      </c>
      <c r="K12753" t="s">
        <v>42283</v>
      </c>
      <c r="M12753" t="s">
        <v>43412</v>
      </c>
      <c r="N12753" t="s">
        <v>46569</v>
      </c>
      <c r="O12753" t="s">
        <v>46570</v>
      </c>
      <c r="P12753">
        <v>0</v>
      </c>
      <c r="Q12753">
        <v>2</v>
      </c>
      <c r="R12753" t="s">
        <v>46584</v>
      </c>
      <c r="S12753" t="s">
        <v>47063</v>
      </c>
      <c r="T12753" t="s">
        <v>48316</v>
      </c>
      <c r="U12753" t="s">
        <v>59024</v>
      </c>
      <c r="V12753" t="s">
        <v>61668</v>
      </c>
      <c r="W12753" t="s">
        <v>43412</v>
      </c>
      <c r="X12753" t="s">
        <v>46585</v>
      </c>
    </row>
    <row r="12754" spans="1:24">
      <c r="A12754">
        <f>HYPERLINK("https://www.philgeps.gov.ph/GEPSNONPILOT/Tender/SplashBidNoticeAbstractUI.aspx?menuIndex=3&amp;refID=7042194&amp;Result=3","7042194")</f>
        <v>0</v>
      </c>
      <c r="B12754" t="s">
        <v>3236</v>
      </c>
      <c r="C12754" t="s">
        <v>15633</v>
      </c>
      <c r="D12754" t="s">
        <v>18784</v>
      </c>
      <c r="E12754" t="s">
        <v>29840</v>
      </c>
      <c r="F12754" t="s">
        <v>32664</v>
      </c>
      <c r="G12754" t="s">
        <v>32672</v>
      </c>
      <c r="H12754" t="s">
        <v>12635</v>
      </c>
      <c r="I12754" t="s">
        <v>32708</v>
      </c>
      <c r="J12754" t="s">
        <v>40351</v>
      </c>
      <c r="K12754" t="s">
        <v>42283</v>
      </c>
      <c r="L12754" t="s">
        <v>3236</v>
      </c>
      <c r="M12754" t="s">
        <v>46158</v>
      </c>
      <c r="N12754" t="s">
        <v>46569</v>
      </c>
      <c r="O12754" t="s">
        <v>46570</v>
      </c>
      <c r="Q12754">
        <v>18</v>
      </c>
      <c r="R12754" t="s">
        <v>46584</v>
      </c>
      <c r="S12754" t="s">
        <v>47119</v>
      </c>
      <c r="T12754" t="s">
        <v>48226</v>
      </c>
      <c r="U12754" t="s">
        <v>58965</v>
      </c>
      <c r="W12754" t="s">
        <v>46158</v>
      </c>
      <c r="X12754" t="s">
        <v>46585</v>
      </c>
    </row>
    <row r="12755" spans="1:24">
      <c r="A12755">
        <f>HYPERLINK("https://www.philgeps.gov.ph/GEPSNONPILOT/Tender/SplashBidNoticeAbstractUI.aspx?menuIndex=3&amp;refID=7042853&amp;Result=3","7042853")</f>
        <v>0</v>
      </c>
      <c r="B12755" t="s">
        <v>817</v>
      </c>
      <c r="C12755" t="s">
        <v>15634</v>
      </c>
      <c r="D12755" t="s">
        <v>18818</v>
      </c>
      <c r="E12755" t="s">
        <v>29841</v>
      </c>
      <c r="F12755" t="s">
        <v>32664</v>
      </c>
      <c r="G12755" t="s">
        <v>32672</v>
      </c>
      <c r="H12755" t="s">
        <v>32683</v>
      </c>
      <c r="I12755" t="s">
        <v>10627</v>
      </c>
      <c r="J12755" t="s">
        <v>32962</v>
      </c>
      <c r="K12755" t="s">
        <v>42283</v>
      </c>
      <c r="M12755" t="s">
        <v>43412</v>
      </c>
      <c r="N12755" t="s">
        <v>46569</v>
      </c>
      <c r="O12755" t="s">
        <v>46570</v>
      </c>
      <c r="Q12755">
        <v>4</v>
      </c>
      <c r="R12755" t="s">
        <v>46584</v>
      </c>
      <c r="S12755" t="s">
        <v>46789</v>
      </c>
      <c r="T12755" t="s">
        <v>48316</v>
      </c>
      <c r="U12755" t="s">
        <v>59025</v>
      </c>
      <c r="V12755" t="s">
        <v>61668</v>
      </c>
      <c r="W12755" t="s">
        <v>43412</v>
      </c>
      <c r="X12755" t="s">
        <v>46585</v>
      </c>
    </row>
    <row r="12756" spans="1:24">
      <c r="A12756">
        <f>HYPERLINK("https://www.philgeps.gov.ph/GEPSNONPILOT/Tender/SplashBidNoticeAbstractUI.aspx?menuIndex=3&amp;refID=7042829&amp;Result=3","7042829")</f>
        <v>0</v>
      </c>
      <c r="B12756" t="s">
        <v>137</v>
      </c>
      <c r="C12756" t="s">
        <v>15635</v>
      </c>
      <c r="D12756" t="s">
        <v>18797</v>
      </c>
      <c r="E12756" t="s">
        <v>29842</v>
      </c>
      <c r="F12756" t="s">
        <v>32664</v>
      </c>
      <c r="G12756" t="s">
        <v>32671</v>
      </c>
      <c r="H12756" t="s">
        <v>32682</v>
      </c>
      <c r="I12756" t="s">
        <v>32733</v>
      </c>
      <c r="J12756" t="s">
        <v>40352</v>
      </c>
      <c r="K12756" t="s">
        <v>42281</v>
      </c>
      <c r="M12756" t="s">
        <v>42701</v>
      </c>
      <c r="N12756" t="s">
        <v>46569</v>
      </c>
      <c r="O12756" t="s">
        <v>46570</v>
      </c>
      <c r="Q12756">
        <v>0</v>
      </c>
      <c r="R12756" t="s">
        <v>46584</v>
      </c>
      <c r="S12756" t="s">
        <v>47120</v>
      </c>
      <c r="T12756" t="s">
        <v>48221</v>
      </c>
      <c r="U12756" t="s">
        <v>59026</v>
      </c>
      <c r="W12756" t="s">
        <v>42701</v>
      </c>
      <c r="X12756" t="s">
        <v>46585</v>
      </c>
    </row>
    <row r="12757" spans="1:24">
      <c r="A12757">
        <f>HYPERLINK("https://www.philgeps.gov.ph/GEPSNONPILOT/Tender/SplashBidNoticeAbstractUI.aspx?menuIndex=3&amp;refID=7042728&amp;Result=3","7042728")</f>
        <v>0</v>
      </c>
      <c r="B12757" t="s">
        <v>3240</v>
      </c>
      <c r="C12757" t="s">
        <v>15636</v>
      </c>
      <c r="D12757" t="s">
        <v>18802</v>
      </c>
      <c r="E12757" t="s">
        <v>29843</v>
      </c>
      <c r="F12757" t="s">
        <v>32664</v>
      </c>
      <c r="G12757" t="s">
        <v>32672</v>
      </c>
      <c r="H12757" t="s">
        <v>12635</v>
      </c>
      <c r="I12757" t="s">
        <v>10370</v>
      </c>
      <c r="J12757" t="s">
        <v>33210</v>
      </c>
      <c r="K12757" t="s">
        <v>42336</v>
      </c>
      <c r="M12757" t="s">
        <v>46163</v>
      </c>
      <c r="N12757" t="s">
        <v>46569</v>
      </c>
      <c r="O12757" t="s">
        <v>46570</v>
      </c>
      <c r="P12757">
        <v>0</v>
      </c>
      <c r="Q12757">
        <v>4</v>
      </c>
      <c r="R12757" t="s">
        <v>46584</v>
      </c>
      <c r="S12757" t="s">
        <v>47063</v>
      </c>
      <c r="T12757" t="s">
        <v>48709</v>
      </c>
      <c r="U12757" t="s">
        <v>59027</v>
      </c>
      <c r="W12757" t="s">
        <v>46163</v>
      </c>
      <c r="X12757" t="s">
        <v>46585</v>
      </c>
    </row>
    <row r="12758" spans="1:24">
      <c r="A12758">
        <f>HYPERLINK("https://www.philgeps.gov.ph/GEPSNONPILOT/Tender/SplashBidNoticeAbstractUI.aspx?menuIndex=3&amp;refID=7042820&amp;Result=3","7042820")</f>
        <v>0</v>
      </c>
      <c r="B12758" t="s">
        <v>2720</v>
      </c>
      <c r="C12758" t="s">
        <v>15637</v>
      </c>
      <c r="D12758" t="s">
        <v>18785</v>
      </c>
      <c r="E12758" t="s">
        <v>29844</v>
      </c>
      <c r="F12758" t="s">
        <v>32664</v>
      </c>
      <c r="G12758" t="s">
        <v>32672</v>
      </c>
      <c r="H12758" t="s">
        <v>32683</v>
      </c>
      <c r="I12758" t="s">
        <v>10627</v>
      </c>
      <c r="J12758" t="s">
        <v>35044</v>
      </c>
      <c r="K12758" t="s">
        <v>42397</v>
      </c>
      <c r="M12758" t="s">
        <v>45547</v>
      </c>
      <c r="N12758" t="s">
        <v>46569</v>
      </c>
      <c r="O12758" t="s">
        <v>46570</v>
      </c>
      <c r="Q12758">
        <v>6</v>
      </c>
      <c r="R12758" t="s">
        <v>46584</v>
      </c>
      <c r="S12758" t="s">
        <v>47121</v>
      </c>
      <c r="T12758" t="s">
        <v>48268</v>
      </c>
      <c r="U12758" t="s">
        <v>58991</v>
      </c>
      <c r="V12758" t="s">
        <v>63028</v>
      </c>
      <c r="W12758" t="s">
        <v>45547</v>
      </c>
      <c r="X12758" t="s">
        <v>46585</v>
      </c>
    </row>
    <row r="12759" spans="1:24">
      <c r="A12759">
        <f>HYPERLINK("https://www.philgeps.gov.ph/GEPSNONPILOT/Tender/SplashBidNoticeAbstractUI.aspx?menuIndex=3&amp;refID=7042803&amp;Result=3","7042803")</f>
        <v>0</v>
      </c>
      <c r="B12759" t="s">
        <v>1713</v>
      </c>
      <c r="C12759" t="s">
        <v>15638</v>
      </c>
      <c r="D12759" t="s">
        <v>18799</v>
      </c>
      <c r="E12759" t="s">
        <v>29845</v>
      </c>
      <c r="F12759" t="s">
        <v>32664</v>
      </c>
      <c r="G12759" t="s">
        <v>32672</v>
      </c>
      <c r="H12759" t="s">
        <v>32683</v>
      </c>
      <c r="I12759" t="s">
        <v>10627</v>
      </c>
      <c r="J12759" t="s">
        <v>34487</v>
      </c>
      <c r="K12759" t="s">
        <v>42298</v>
      </c>
      <c r="M12759" t="s">
        <v>46175</v>
      </c>
      <c r="N12759" t="s">
        <v>46569</v>
      </c>
      <c r="O12759" t="s">
        <v>46570</v>
      </c>
      <c r="P12759">
        <v>0</v>
      </c>
      <c r="Q12759">
        <v>0</v>
      </c>
      <c r="R12759" t="s">
        <v>46584</v>
      </c>
      <c r="S12759" t="s">
        <v>47063</v>
      </c>
      <c r="T12759" t="s">
        <v>48212</v>
      </c>
      <c r="U12759" t="s">
        <v>59028</v>
      </c>
      <c r="W12759" t="s">
        <v>46175</v>
      </c>
      <c r="X12759" t="s">
        <v>46585</v>
      </c>
    </row>
    <row r="12760" spans="1:24">
      <c r="A12760">
        <f>HYPERLINK("https://www.philgeps.gov.ph/GEPSNONPILOT/Tender/SplashBidNoticeAbstractUI.aspx?menuIndex=3&amp;refID=7042836&amp;Result=3","7042836")</f>
        <v>0</v>
      </c>
      <c r="B12760" t="s">
        <v>2720</v>
      </c>
      <c r="C12760" t="s">
        <v>15639</v>
      </c>
      <c r="D12760" t="s">
        <v>18785</v>
      </c>
      <c r="E12760" t="s">
        <v>29846</v>
      </c>
      <c r="F12760" t="s">
        <v>32664</v>
      </c>
      <c r="G12760" t="s">
        <v>32672</v>
      </c>
      <c r="H12760" t="s">
        <v>32683</v>
      </c>
      <c r="I12760" t="s">
        <v>10627</v>
      </c>
      <c r="J12760" t="s">
        <v>35044</v>
      </c>
      <c r="K12760" t="s">
        <v>42397</v>
      </c>
      <c r="M12760" t="s">
        <v>45547</v>
      </c>
      <c r="N12760" t="s">
        <v>46569</v>
      </c>
      <c r="O12760" t="s">
        <v>46570</v>
      </c>
      <c r="Q12760">
        <v>6</v>
      </c>
      <c r="R12760" t="s">
        <v>46584</v>
      </c>
      <c r="S12760" t="s">
        <v>47122</v>
      </c>
      <c r="T12760" t="s">
        <v>48276</v>
      </c>
      <c r="U12760" t="s">
        <v>58991</v>
      </c>
      <c r="V12760" t="s">
        <v>63028</v>
      </c>
      <c r="W12760" t="s">
        <v>45547</v>
      </c>
      <c r="X12760" t="s">
        <v>46585</v>
      </c>
    </row>
    <row r="12761" spans="1:24">
      <c r="A12761">
        <f>HYPERLINK("https://www.philgeps.gov.ph/GEPSNONPILOT/Tender/SplashBidNoticeAbstractUI.aspx?menuIndex=3&amp;refID=7042711&amp;Result=3","7042711")</f>
        <v>0</v>
      </c>
      <c r="B12761" t="s">
        <v>3249</v>
      </c>
      <c r="C12761" t="s">
        <v>15640</v>
      </c>
      <c r="D12761" t="s">
        <v>18804</v>
      </c>
      <c r="E12761" t="s">
        <v>29847</v>
      </c>
      <c r="F12761" t="s">
        <v>32665</v>
      </c>
      <c r="G12761" t="s">
        <v>32672</v>
      </c>
      <c r="H12761" t="s">
        <v>12635</v>
      </c>
      <c r="I12761" t="s">
        <v>32693</v>
      </c>
      <c r="J12761" t="s">
        <v>37647</v>
      </c>
      <c r="K12761" t="s">
        <v>42281</v>
      </c>
      <c r="M12761" t="s">
        <v>46176</v>
      </c>
      <c r="N12761" t="s">
        <v>46569</v>
      </c>
      <c r="O12761" t="s">
        <v>46570</v>
      </c>
      <c r="P12761">
        <v>0</v>
      </c>
      <c r="Q12761">
        <v>5</v>
      </c>
      <c r="R12761" t="s">
        <v>46584</v>
      </c>
      <c r="S12761" t="s">
        <v>47063</v>
      </c>
      <c r="T12761" t="s">
        <v>48225</v>
      </c>
      <c r="U12761" t="s">
        <v>59029</v>
      </c>
      <c r="V12761" t="s">
        <v>63033</v>
      </c>
      <c r="W12761" t="s">
        <v>46176</v>
      </c>
      <c r="X12761" t="s">
        <v>46585</v>
      </c>
    </row>
    <row r="12762" spans="1:24">
      <c r="A12762">
        <f>HYPERLINK("https://www.philgeps.gov.ph/GEPSNONPILOT/Tender/SplashBidNoticeAbstractUI.aspx?menuIndex=3&amp;refID=7042793&amp;Result=3","7042793")</f>
        <v>0</v>
      </c>
      <c r="B12762" t="s">
        <v>2720</v>
      </c>
      <c r="C12762" t="s">
        <v>15641</v>
      </c>
      <c r="D12762" t="s">
        <v>18785</v>
      </c>
      <c r="E12762" t="s">
        <v>29848</v>
      </c>
      <c r="F12762" t="s">
        <v>32664</v>
      </c>
      <c r="G12762" t="s">
        <v>32672</v>
      </c>
      <c r="H12762" t="s">
        <v>32683</v>
      </c>
      <c r="I12762" t="s">
        <v>10627</v>
      </c>
      <c r="J12762" t="s">
        <v>39660</v>
      </c>
      <c r="K12762" t="s">
        <v>42365</v>
      </c>
      <c r="M12762" t="s">
        <v>45547</v>
      </c>
      <c r="N12762" t="s">
        <v>46569</v>
      </c>
      <c r="O12762" t="s">
        <v>46570</v>
      </c>
      <c r="Q12762">
        <v>5</v>
      </c>
      <c r="R12762" t="s">
        <v>46584</v>
      </c>
      <c r="S12762" t="s">
        <v>47123</v>
      </c>
      <c r="T12762" t="s">
        <v>48268</v>
      </c>
      <c r="U12762" t="s">
        <v>58991</v>
      </c>
      <c r="V12762" t="s">
        <v>63028</v>
      </c>
      <c r="W12762" t="s">
        <v>45547</v>
      </c>
      <c r="X12762" t="s">
        <v>46585</v>
      </c>
    </row>
    <row r="12763" spans="1:24">
      <c r="A12763">
        <f>HYPERLINK("https://www.philgeps.gov.ph/GEPSNONPILOT/Tender/SplashBidNoticeAbstractUI.aspx?menuIndex=3&amp;refID=7042786&amp;Result=3","7042786")</f>
        <v>0</v>
      </c>
      <c r="B12763" t="s">
        <v>2720</v>
      </c>
      <c r="C12763" t="s">
        <v>15642</v>
      </c>
      <c r="D12763" t="s">
        <v>18785</v>
      </c>
      <c r="E12763" t="s">
        <v>29849</v>
      </c>
      <c r="F12763" t="s">
        <v>32664</v>
      </c>
      <c r="G12763" t="s">
        <v>32672</v>
      </c>
      <c r="H12763" t="s">
        <v>32683</v>
      </c>
      <c r="I12763" t="s">
        <v>10627</v>
      </c>
      <c r="J12763" t="s">
        <v>33508</v>
      </c>
      <c r="K12763" t="s">
        <v>42365</v>
      </c>
      <c r="M12763" t="s">
        <v>45547</v>
      </c>
      <c r="N12763" t="s">
        <v>46569</v>
      </c>
      <c r="O12763" t="s">
        <v>46570</v>
      </c>
      <c r="Q12763">
        <v>4</v>
      </c>
      <c r="R12763" t="s">
        <v>46584</v>
      </c>
      <c r="S12763" t="s">
        <v>47124</v>
      </c>
      <c r="T12763" t="s">
        <v>48268</v>
      </c>
      <c r="U12763" t="s">
        <v>58991</v>
      </c>
      <c r="V12763" t="s">
        <v>63028</v>
      </c>
      <c r="W12763" t="s">
        <v>45547</v>
      </c>
      <c r="X12763" t="s">
        <v>46585</v>
      </c>
    </row>
    <row r="12764" spans="1:24">
      <c r="A12764">
        <f>HYPERLINK("https://www.philgeps.gov.ph/GEPSNONPILOT/Tender/SplashBidNoticeAbstractUI.aspx?menuIndex=3&amp;refID=7042784&amp;Result=3","7042784")</f>
        <v>0</v>
      </c>
      <c r="B12764" t="s">
        <v>1227</v>
      </c>
      <c r="C12764" t="s">
        <v>15643</v>
      </c>
      <c r="D12764" t="s">
        <v>18784</v>
      </c>
      <c r="E12764" t="s">
        <v>29850</v>
      </c>
      <c r="F12764" t="s">
        <v>32664</v>
      </c>
      <c r="G12764" t="s">
        <v>32672</v>
      </c>
      <c r="H12764" t="s">
        <v>12635</v>
      </c>
      <c r="I12764" t="s">
        <v>6628</v>
      </c>
      <c r="J12764" t="s">
        <v>40353</v>
      </c>
      <c r="K12764" t="s">
        <v>42311</v>
      </c>
      <c r="M12764" t="s">
        <v>45481</v>
      </c>
      <c r="N12764" t="s">
        <v>46569</v>
      </c>
      <c r="O12764" t="s">
        <v>46570</v>
      </c>
      <c r="Q12764">
        <v>18</v>
      </c>
      <c r="R12764" t="s">
        <v>46584</v>
      </c>
      <c r="S12764" t="s">
        <v>47125</v>
      </c>
      <c r="T12764" t="s">
        <v>48285</v>
      </c>
      <c r="U12764" t="s">
        <v>59030</v>
      </c>
      <c r="V12764" t="s">
        <v>63034</v>
      </c>
      <c r="W12764" t="s">
        <v>45481</v>
      </c>
      <c r="X12764" t="s">
        <v>46585</v>
      </c>
    </row>
    <row r="12765" spans="1:24">
      <c r="A12765">
        <f>HYPERLINK("https://www.philgeps.gov.ph/GEPSNONPILOT/Tender/SplashBidNoticeAbstractUI.aspx?menuIndex=3&amp;refID=7042782&amp;Result=3","7042782")</f>
        <v>0</v>
      </c>
      <c r="B12765" t="s">
        <v>817</v>
      </c>
      <c r="C12765" t="s">
        <v>15644</v>
      </c>
      <c r="E12765" t="s">
        <v>29851</v>
      </c>
      <c r="F12765" t="s">
        <v>32664</v>
      </c>
      <c r="G12765" t="s">
        <v>32672</v>
      </c>
      <c r="H12765" t="s">
        <v>12635</v>
      </c>
      <c r="I12765" t="s">
        <v>32738</v>
      </c>
      <c r="J12765" t="s">
        <v>34487</v>
      </c>
      <c r="K12765" t="s">
        <v>42283</v>
      </c>
      <c r="M12765" t="s">
        <v>43412</v>
      </c>
      <c r="N12765" t="s">
        <v>46569</v>
      </c>
      <c r="O12765" t="s">
        <v>46570</v>
      </c>
      <c r="P12765">
        <v>0</v>
      </c>
      <c r="Q12765">
        <v>3</v>
      </c>
      <c r="R12765" t="s">
        <v>46584</v>
      </c>
      <c r="S12765" t="s">
        <v>47063</v>
      </c>
      <c r="T12765" t="s">
        <v>48316</v>
      </c>
      <c r="U12765" t="s">
        <v>59024</v>
      </c>
      <c r="V12765" t="s">
        <v>61668</v>
      </c>
      <c r="W12765" t="s">
        <v>43412</v>
      </c>
      <c r="X12765" t="s">
        <v>46585</v>
      </c>
    </row>
    <row r="12766" spans="1:24">
      <c r="A12766">
        <f>HYPERLINK("https://www.philgeps.gov.ph/GEPSNONPILOT/Tender/SplashBidNoticeAbstractUI.aspx?menuIndex=3&amp;refID=7042966&amp;Result=3","7042966")</f>
        <v>0</v>
      </c>
      <c r="B12766" t="s">
        <v>418</v>
      </c>
      <c r="C12766" t="s">
        <v>15645</v>
      </c>
      <c r="D12766" t="s">
        <v>18784</v>
      </c>
      <c r="E12766" t="s">
        <v>29852</v>
      </c>
      <c r="F12766" t="s">
        <v>32664</v>
      </c>
      <c r="G12766" t="s">
        <v>32672</v>
      </c>
      <c r="H12766" t="s">
        <v>12635</v>
      </c>
      <c r="I12766" t="s">
        <v>6168</v>
      </c>
      <c r="J12766" t="s">
        <v>40354</v>
      </c>
      <c r="K12766" t="s">
        <v>42289</v>
      </c>
      <c r="M12766" t="s">
        <v>46177</v>
      </c>
      <c r="N12766" t="s">
        <v>46569</v>
      </c>
      <c r="O12766" t="s">
        <v>46570</v>
      </c>
      <c r="P12766">
        <v>0</v>
      </c>
      <c r="Q12766">
        <v>1</v>
      </c>
      <c r="R12766" t="s">
        <v>46584</v>
      </c>
      <c r="S12766" t="s">
        <v>47063</v>
      </c>
      <c r="T12766" t="s">
        <v>48285</v>
      </c>
      <c r="U12766" t="s">
        <v>49404</v>
      </c>
      <c r="W12766" t="s">
        <v>46177</v>
      </c>
      <c r="X12766" t="s">
        <v>46585</v>
      </c>
    </row>
    <row r="12767" spans="1:24">
      <c r="A12767">
        <f>HYPERLINK("https://www.philgeps.gov.ph/GEPSNONPILOT/Tender/SplashBidNoticeAbstractUI.aspx?menuIndex=3&amp;refID=7042840&amp;Result=3","7042840")</f>
        <v>0</v>
      </c>
      <c r="B12767" t="s">
        <v>1713</v>
      </c>
      <c r="C12767" t="s">
        <v>15646</v>
      </c>
      <c r="D12767" t="s">
        <v>18799</v>
      </c>
      <c r="E12767" t="s">
        <v>29853</v>
      </c>
      <c r="F12767" t="s">
        <v>32664</v>
      </c>
      <c r="G12767" t="s">
        <v>32672</v>
      </c>
      <c r="H12767" t="s">
        <v>32683</v>
      </c>
      <c r="I12767" t="s">
        <v>10627</v>
      </c>
      <c r="J12767" t="s">
        <v>32943</v>
      </c>
      <c r="K12767" t="s">
        <v>42303</v>
      </c>
      <c r="M12767" t="s">
        <v>46175</v>
      </c>
      <c r="N12767" t="s">
        <v>46569</v>
      </c>
      <c r="O12767" t="s">
        <v>46570</v>
      </c>
      <c r="P12767">
        <v>0</v>
      </c>
      <c r="Q12767">
        <v>0</v>
      </c>
      <c r="R12767" t="s">
        <v>46584</v>
      </c>
      <c r="S12767" t="s">
        <v>47063</v>
      </c>
      <c r="T12767" t="s">
        <v>48389</v>
      </c>
      <c r="U12767" t="s">
        <v>59028</v>
      </c>
      <c r="W12767" t="s">
        <v>46175</v>
      </c>
      <c r="X12767" t="s">
        <v>46585</v>
      </c>
    </row>
    <row r="12768" spans="1:24">
      <c r="A12768">
        <f>HYPERLINK("https://www.philgeps.gov.ph/GEPSNONPILOT/Tender/SplashBidNoticeAbstractUI.aspx?menuIndex=3&amp;refID=7042802&amp;Result=3","7042802")</f>
        <v>0</v>
      </c>
      <c r="B12768" t="s">
        <v>2720</v>
      </c>
      <c r="C12768" t="s">
        <v>15647</v>
      </c>
      <c r="D12768" t="s">
        <v>18785</v>
      </c>
      <c r="E12768" t="s">
        <v>29854</v>
      </c>
      <c r="F12768" t="s">
        <v>32664</v>
      </c>
      <c r="G12768" t="s">
        <v>32672</v>
      </c>
      <c r="H12768" t="s">
        <v>32683</v>
      </c>
      <c r="I12768" t="s">
        <v>10627</v>
      </c>
      <c r="J12768" t="s">
        <v>40355</v>
      </c>
      <c r="K12768" t="s">
        <v>42365</v>
      </c>
      <c r="M12768" t="s">
        <v>45547</v>
      </c>
      <c r="N12768" t="s">
        <v>46569</v>
      </c>
      <c r="O12768" t="s">
        <v>46570</v>
      </c>
      <c r="Q12768">
        <v>6</v>
      </c>
      <c r="R12768" t="s">
        <v>46584</v>
      </c>
      <c r="S12768" t="s">
        <v>47126</v>
      </c>
      <c r="T12768" t="s">
        <v>48268</v>
      </c>
      <c r="U12768" t="s">
        <v>58991</v>
      </c>
      <c r="V12768" t="s">
        <v>63028</v>
      </c>
      <c r="W12768" t="s">
        <v>45547</v>
      </c>
      <c r="X12768" t="s">
        <v>46585</v>
      </c>
    </row>
    <row r="12769" spans="1:24">
      <c r="A12769">
        <f>HYPERLINK("https://www.philgeps.gov.ph/GEPSNONPILOT/Tender/SplashBidNoticeAbstractUI.aspx?menuIndex=3&amp;refID=7042993&amp;Result=3","7042993")</f>
        <v>0</v>
      </c>
      <c r="B12769" t="s">
        <v>2674</v>
      </c>
      <c r="C12769" t="s">
        <v>15648</v>
      </c>
      <c r="D12769" t="s">
        <v>18856</v>
      </c>
      <c r="E12769" t="s">
        <v>29855</v>
      </c>
      <c r="F12769" t="s">
        <v>32664</v>
      </c>
      <c r="G12769" t="s">
        <v>32672</v>
      </c>
      <c r="H12769" t="s">
        <v>32683</v>
      </c>
      <c r="I12769" t="s">
        <v>10627</v>
      </c>
      <c r="J12769" t="s">
        <v>32859</v>
      </c>
      <c r="K12769" t="s">
        <v>42321</v>
      </c>
      <c r="M12769" t="s">
        <v>45497</v>
      </c>
      <c r="N12769" t="s">
        <v>46569</v>
      </c>
      <c r="O12769" t="s">
        <v>46570</v>
      </c>
      <c r="P12769">
        <v>0</v>
      </c>
      <c r="Q12769">
        <v>0</v>
      </c>
      <c r="R12769" t="s">
        <v>46584</v>
      </c>
      <c r="S12769" t="s">
        <v>47063</v>
      </c>
      <c r="T12769" t="s">
        <v>48245</v>
      </c>
      <c r="U12769" t="s">
        <v>59031</v>
      </c>
      <c r="W12769" t="s">
        <v>45497</v>
      </c>
      <c r="X12769" t="s">
        <v>46585</v>
      </c>
    </row>
    <row r="12770" spans="1:24">
      <c r="A12770">
        <f>HYPERLINK("https://www.philgeps.gov.ph/GEPSNONPILOT/Tender/SplashBidNoticeAbstractUI.aspx?menuIndex=3&amp;refID=7042989&amp;Result=3","7042989")</f>
        <v>0</v>
      </c>
      <c r="B12770" t="s">
        <v>3245</v>
      </c>
      <c r="C12770" t="s">
        <v>15649</v>
      </c>
      <c r="D12770" t="s">
        <v>18827</v>
      </c>
      <c r="E12770" t="s">
        <v>29856</v>
      </c>
      <c r="F12770" t="s">
        <v>32664</v>
      </c>
      <c r="G12770" t="s">
        <v>32672</v>
      </c>
      <c r="H12770" t="s">
        <v>12635</v>
      </c>
      <c r="I12770" t="s">
        <v>10627</v>
      </c>
      <c r="J12770" t="s">
        <v>32898</v>
      </c>
      <c r="K12770" t="s">
        <v>42281</v>
      </c>
      <c r="M12770" t="s">
        <v>46171</v>
      </c>
      <c r="N12770" t="s">
        <v>46569</v>
      </c>
      <c r="O12770" t="s">
        <v>46570</v>
      </c>
      <c r="P12770">
        <v>0</v>
      </c>
      <c r="Q12770">
        <v>0</v>
      </c>
      <c r="R12770" t="s">
        <v>46584</v>
      </c>
      <c r="S12770" t="s">
        <v>47063</v>
      </c>
      <c r="T12770" t="s">
        <v>48312</v>
      </c>
      <c r="U12770" t="s">
        <v>59032</v>
      </c>
      <c r="V12770" t="s">
        <v>63035</v>
      </c>
      <c r="W12770" t="s">
        <v>46171</v>
      </c>
      <c r="X12770" t="s">
        <v>46585</v>
      </c>
    </row>
    <row r="12771" spans="1:24">
      <c r="A12771">
        <f>HYPERLINK("https://www.philgeps.gov.ph/GEPSNONPILOT/Tender/SplashBidNoticeAbstractUI.aspx?menuIndex=3&amp;refID=7042988&amp;Result=3","7042988")</f>
        <v>0</v>
      </c>
      <c r="B12771" t="s">
        <v>1342</v>
      </c>
      <c r="C12771" t="s">
        <v>15650</v>
      </c>
      <c r="D12771" t="s">
        <v>18787</v>
      </c>
      <c r="E12771" t="s">
        <v>29857</v>
      </c>
      <c r="F12771" t="s">
        <v>32664</v>
      </c>
      <c r="G12771" t="s">
        <v>32672</v>
      </c>
      <c r="H12771" t="s">
        <v>12635</v>
      </c>
      <c r="I12771" t="s">
        <v>32704</v>
      </c>
      <c r="J12771" t="s">
        <v>40356</v>
      </c>
      <c r="K12771" t="s">
        <v>42298</v>
      </c>
      <c r="M12771" t="s">
        <v>44796</v>
      </c>
      <c r="N12771" t="s">
        <v>46569</v>
      </c>
      <c r="O12771" t="s">
        <v>46570</v>
      </c>
      <c r="Q12771">
        <v>22</v>
      </c>
      <c r="R12771" t="s">
        <v>46584</v>
      </c>
      <c r="S12771" t="s">
        <v>47127</v>
      </c>
      <c r="T12771" t="s">
        <v>48226</v>
      </c>
      <c r="U12771" t="s">
        <v>59033</v>
      </c>
      <c r="W12771" t="s">
        <v>44796</v>
      </c>
      <c r="X12771" t="s">
        <v>46585</v>
      </c>
    </row>
    <row r="12772" spans="1:24">
      <c r="A12772">
        <f>HYPERLINK("https://www.philgeps.gov.ph/GEPSNONPILOT/Tender/SplashBidNoticeAbstractUI.aspx?menuIndex=3&amp;refID=7042969&amp;Result=3","7042969")</f>
        <v>0</v>
      </c>
      <c r="B12772" t="s">
        <v>174</v>
      </c>
      <c r="C12772" t="s">
        <v>15651</v>
      </c>
      <c r="D12772" t="s">
        <v>18831</v>
      </c>
      <c r="E12772" t="s">
        <v>19673</v>
      </c>
      <c r="F12772" t="s">
        <v>32664</v>
      </c>
      <c r="G12772" t="s">
        <v>32672</v>
      </c>
      <c r="H12772" t="s">
        <v>12635</v>
      </c>
      <c r="I12772" t="s">
        <v>11464</v>
      </c>
      <c r="J12772" t="s">
        <v>39255</v>
      </c>
      <c r="K12772" t="s">
        <v>42281</v>
      </c>
      <c r="M12772" t="s">
        <v>42738</v>
      </c>
      <c r="N12772" t="s">
        <v>46569</v>
      </c>
      <c r="O12772" t="s">
        <v>46570</v>
      </c>
      <c r="P12772">
        <v>0</v>
      </c>
      <c r="Q12772">
        <v>5</v>
      </c>
      <c r="R12772" t="s">
        <v>46584</v>
      </c>
      <c r="S12772" t="s">
        <v>47063</v>
      </c>
      <c r="T12772" t="s">
        <v>48335</v>
      </c>
      <c r="U12772" t="s">
        <v>59034</v>
      </c>
      <c r="W12772" t="s">
        <v>42738</v>
      </c>
      <c r="X12772" t="s">
        <v>46585</v>
      </c>
    </row>
    <row r="12773" spans="1:24">
      <c r="A12773">
        <f>HYPERLINK("https://www.philgeps.gov.ph/GEPSNONPILOT/Tender/SplashBidNoticeAbstractUI.aspx?menuIndex=3&amp;refID=7042713&amp;Result=3","7042713")</f>
        <v>0</v>
      </c>
      <c r="B12773" t="s">
        <v>2720</v>
      </c>
      <c r="C12773" t="s">
        <v>15652</v>
      </c>
      <c r="D12773" t="s">
        <v>18785</v>
      </c>
      <c r="E12773" t="s">
        <v>29858</v>
      </c>
      <c r="F12773" t="s">
        <v>32664</v>
      </c>
      <c r="G12773" t="s">
        <v>32672</v>
      </c>
      <c r="H12773" t="s">
        <v>32683</v>
      </c>
      <c r="I12773" t="s">
        <v>10627</v>
      </c>
      <c r="J12773" t="s">
        <v>40345</v>
      </c>
      <c r="K12773" t="s">
        <v>42285</v>
      </c>
      <c r="M12773" t="s">
        <v>45547</v>
      </c>
      <c r="N12773" t="s">
        <v>46569</v>
      </c>
      <c r="O12773" t="s">
        <v>46570</v>
      </c>
      <c r="Q12773">
        <v>5</v>
      </c>
      <c r="R12773" t="s">
        <v>46584</v>
      </c>
      <c r="S12773" t="s">
        <v>47128</v>
      </c>
      <c r="T12773" t="s">
        <v>48268</v>
      </c>
      <c r="U12773" t="s">
        <v>58991</v>
      </c>
      <c r="V12773" t="s">
        <v>63028</v>
      </c>
      <c r="W12773" t="s">
        <v>45547</v>
      </c>
      <c r="X12773" t="s">
        <v>46585</v>
      </c>
    </row>
    <row r="12774" spans="1:24">
      <c r="A12774">
        <f>HYPERLINK("https://www.philgeps.gov.ph/GEPSNONPILOT/Tender/SplashBidNoticeAbstractUI.aspx?menuIndex=3&amp;refID=7042816&amp;Result=3","7042816")</f>
        <v>0</v>
      </c>
      <c r="B12774" t="s">
        <v>817</v>
      </c>
      <c r="C12774" t="s">
        <v>15653</v>
      </c>
      <c r="E12774" t="s">
        <v>29859</v>
      </c>
      <c r="F12774" t="s">
        <v>32664</v>
      </c>
      <c r="G12774" t="s">
        <v>32672</v>
      </c>
      <c r="H12774" t="s">
        <v>32683</v>
      </c>
      <c r="I12774" t="s">
        <v>10627</v>
      </c>
      <c r="J12774" t="s">
        <v>40357</v>
      </c>
      <c r="K12774" t="s">
        <v>42283</v>
      </c>
      <c r="M12774" t="s">
        <v>43412</v>
      </c>
      <c r="N12774" t="s">
        <v>46569</v>
      </c>
      <c r="O12774" t="s">
        <v>46570</v>
      </c>
      <c r="P12774">
        <v>0</v>
      </c>
      <c r="Q12774">
        <v>3</v>
      </c>
      <c r="R12774" t="s">
        <v>46584</v>
      </c>
      <c r="S12774" t="s">
        <v>47063</v>
      </c>
      <c r="T12774" t="s">
        <v>48316</v>
      </c>
      <c r="U12774" t="s">
        <v>59035</v>
      </c>
      <c r="V12774" t="s">
        <v>61668</v>
      </c>
      <c r="W12774" t="s">
        <v>43412</v>
      </c>
      <c r="X12774" t="s">
        <v>46585</v>
      </c>
    </row>
    <row r="12775" spans="1:24">
      <c r="A12775">
        <f>HYPERLINK("https://www.philgeps.gov.ph/GEPSNONPILOT/Tender/SplashBidNoticeAbstractUI.aspx?menuIndex=3&amp;refID=7042981&amp;Result=3","7042981")</f>
        <v>0</v>
      </c>
      <c r="B12775" t="s">
        <v>418</v>
      </c>
      <c r="C12775" t="s">
        <v>15654</v>
      </c>
      <c r="D12775" t="s">
        <v>18784</v>
      </c>
      <c r="E12775" t="s">
        <v>29860</v>
      </c>
      <c r="F12775" t="s">
        <v>32664</v>
      </c>
      <c r="G12775" t="s">
        <v>32672</v>
      </c>
      <c r="H12775" t="s">
        <v>12635</v>
      </c>
      <c r="I12775" t="s">
        <v>6168</v>
      </c>
      <c r="J12775" t="s">
        <v>40358</v>
      </c>
      <c r="K12775" t="s">
        <v>42289</v>
      </c>
      <c r="M12775" t="s">
        <v>46177</v>
      </c>
      <c r="N12775" t="s">
        <v>46569</v>
      </c>
      <c r="O12775" t="s">
        <v>46570</v>
      </c>
      <c r="P12775">
        <v>0</v>
      </c>
      <c r="Q12775">
        <v>1</v>
      </c>
      <c r="R12775" t="s">
        <v>46584</v>
      </c>
      <c r="S12775" t="s">
        <v>47063</v>
      </c>
      <c r="T12775" t="s">
        <v>48285</v>
      </c>
      <c r="U12775" t="s">
        <v>49404</v>
      </c>
      <c r="W12775" t="s">
        <v>46177</v>
      </c>
      <c r="X12775" t="s">
        <v>46585</v>
      </c>
    </row>
    <row r="12776" spans="1:24">
      <c r="A12776">
        <f>HYPERLINK("https://www.philgeps.gov.ph/GEPSNONPILOT/Tender/SplashBidNoticeAbstractUI.aspx?menuIndex=3&amp;refID=7042953&amp;Result=3","7042953")</f>
        <v>0</v>
      </c>
      <c r="B12776" t="s">
        <v>2088</v>
      </c>
      <c r="C12776" t="s">
        <v>15655</v>
      </c>
      <c r="D12776" t="s">
        <v>18792</v>
      </c>
      <c r="E12776" t="s">
        <v>29861</v>
      </c>
      <c r="F12776" t="s">
        <v>32664</v>
      </c>
      <c r="G12776" t="s">
        <v>32672</v>
      </c>
      <c r="H12776" t="s">
        <v>32683</v>
      </c>
      <c r="I12776" t="s">
        <v>10627</v>
      </c>
      <c r="J12776" t="s">
        <v>34321</v>
      </c>
      <c r="K12776" t="s">
        <v>42399</v>
      </c>
      <c r="M12776" t="s">
        <v>44842</v>
      </c>
      <c r="N12776" t="s">
        <v>46569</v>
      </c>
      <c r="O12776" t="s">
        <v>46570</v>
      </c>
      <c r="P12776">
        <v>0</v>
      </c>
      <c r="Q12776">
        <v>3</v>
      </c>
      <c r="R12776" t="s">
        <v>46584</v>
      </c>
      <c r="S12776" t="s">
        <v>47063</v>
      </c>
      <c r="T12776" t="s">
        <v>48282</v>
      </c>
      <c r="U12776" t="s">
        <v>54182</v>
      </c>
      <c r="W12776" t="s">
        <v>44842</v>
      </c>
      <c r="X12776" t="s">
        <v>46585</v>
      </c>
    </row>
    <row r="12777" spans="1:24">
      <c r="A12777">
        <f>HYPERLINK("https://www.philgeps.gov.ph/GEPSNONPILOT/Tender/SplashBidNoticeAbstractUI.aspx?menuIndex=3&amp;refID=7042971&amp;Result=3","7042971")</f>
        <v>0</v>
      </c>
      <c r="B12777" t="s">
        <v>26</v>
      </c>
      <c r="C12777" t="s">
        <v>15656</v>
      </c>
      <c r="D12777" t="s">
        <v>18783</v>
      </c>
      <c r="E12777" t="s">
        <v>29862</v>
      </c>
      <c r="F12777" t="s">
        <v>32664</v>
      </c>
      <c r="G12777" t="s">
        <v>32672</v>
      </c>
      <c r="H12777" t="s">
        <v>12635</v>
      </c>
      <c r="I12777" t="s">
        <v>8730</v>
      </c>
      <c r="J12777" t="s">
        <v>40359</v>
      </c>
      <c r="K12777" t="s">
        <v>42281</v>
      </c>
      <c r="M12777" t="s">
        <v>42588</v>
      </c>
      <c r="N12777" t="s">
        <v>46569</v>
      </c>
      <c r="O12777" t="s">
        <v>46570</v>
      </c>
      <c r="P12777">
        <v>0</v>
      </c>
      <c r="Q12777">
        <v>2</v>
      </c>
      <c r="R12777" t="s">
        <v>46584</v>
      </c>
      <c r="S12777" t="s">
        <v>47063</v>
      </c>
      <c r="T12777" t="s">
        <v>48366</v>
      </c>
      <c r="U12777" t="s">
        <v>59036</v>
      </c>
      <c r="V12777" t="s">
        <v>63036</v>
      </c>
      <c r="W12777" t="s">
        <v>42588</v>
      </c>
      <c r="X12777" t="s">
        <v>46585</v>
      </c>
    </row>
    <row r="12778" spans="1:24">
      <c r="A12778">
        <f>HYPERLINK("https://www.philgeps.gov.ph/GEPSNONPILOT/Tender/SplashBidNoticeAbstractUI.aspx?menuIndex=3&amp;refID=7042962&amp;Result=3","7042962")</f>
        <v>0</v>
      </c>
      <c r="B12778" t="s">
        <v>1048</v>
      </c>
      <c r="C12778" t="s">
        <v>15657</v>
      </c>
      <c r="D12778" t="s">
        <v>18831</v>
      </c>
      <c r="E12778" t="s">
        <v>29863</v>
      </c>
      <c r="F12778" t="s">
        <v>32664</v>
      </c>
      <c r="G12778" t="s">
        <v>32672</v>
      </c>
      <c r="H12778" t="s">
        <v>32683</v>
      </c>
      <c r="I12778" t="s">
        <v>10627</v>
      </c>
      <c r="J12778" t="s">
        <v>34379</v>
      </c>
      <c r="K12778" t="s">
        <v>42308</v>
      </c>
      <c r="M12778" t="s">
        <v>43664</v>
      </c>
      <c r="N12778" t="s">
        <v>46569</v>
      </c>
      <c r="O12778" t="s">
        <v>46570</v>
      </c>
      <c r="P12778">
        <v>0</v>
      </c>
      <c r="Q12778">
        <v>0</v>
      </c>
      <c r="R12778" t="s">
        <v>46584</v>
      </c>
      <c r="S12778" t="s">
        <v>47063</v>
      </c>
      <c r="T12778" t="s">
        <v>48256</v>
      </c>
      <c r="U12778" t="s">
        <v>59037</v>
      </c>
      <c r="W12778" t="s">
        <v>43664</v>
      </c>
      <c r="X12778" t="s">
        <v>46585</v>
      </c>
    </row>
    <row r="12779" spans="1:24">
      <c r="A12779">
        <f>HYPERLINK("https://www.philgeps.gov.ph/GEPSNONPILOT/Tender/SplashBidNoticeAbstractUI.aspx?menuIndex=3&amp;refID=7042945&amp;Result=3","7042945")</f>
        <v>0</v>
      </c>
      <c r="B12779" t="s">
        <v>683</v>
      </c>
      <c r="C12779" t="s">
        <v>15658</v>
      </c>
      <c r="D12779" t="s">
        <v>18842</v>
      </c>
      <c r="E12779" t="s">
        <v>29864</v>
      </c>
      <c r="F12779" t="s">
        <v>32664</v>
      </c>
      <c r="G12779" t="s">
        <v>32672</v>
      </c>
      <c r="H12779" t="s">
        <v>12635</v>
      </c>
      <c r="I12779" t="s">
        <v>11464</v>
      </c>
      <c r="J12779" t="s">
        <v>35855</v>
      </c>
      <c r="K12779" t="s">
        <v>42298</v>
      </c>
      <c r="M12779" t="s">
        <v>43270</v>
      </c>
      <c r="N12779" t="s">
        <v>46569</v>
      </c>
      <c r="O12779" t="s">
        <v>46570</v>
      </c>
      <c r="P12779">
        <v>0</v>
      </c>
      <c r="Q12779">
        <v>6</v>
      </c>
      <c r="R12779" t="s">
        <v>46584</v>
      </c>
      <c r="S12779" t="s">
        <v>47063</v>
      </c>
      <c r="T12779" t="s">
        <v>48238</v>
      </c>
      <c r="U12779" t="s">
        <v>59038</v>
      </c>
      <c r="W12779" t="s">
        <v>43270</v>
      </c>
      <c r="X12779" t="s">
        <v>46585</v>
      </c>
    </row>
    <row r="12780" spans="1:24">
      <c r="A12780">
        <f>HYPERLINK("https://www.philgeps.gov.ph/GEPSNONPILOT/Tender/SplashBidNoticeAbstractUI.aspx?menuIndex=3&amp;refID=7042955&amp;Result=3","7042955")</f>
        <v>0</v>
      </c>
      <c r="B12780" t="s">
        <v>1105</v>
      </c>
      <c r="C12780" t="s">
        <v>15659</v>
      </c>
      <c r="D12780" t="s">
        <v>18830</v>
      </c>
      <c r="E12780" t="s">
        <v>29865</v>
      </c>
      <c r="F12780" t="s">
        <v>32664</v>
      </c>
      <c r="G12780" t="s">
        <v>32672</v>
      </c>
      <c r="H12780" t="s">
        <v>32683</v>
      </c>
      <c r="I12780" t="s">
        <v>32758</v>
      </c>
      <c r="J12780" t="s">
        <v>40360</v>
      </c>
      <c r="K12780" t="s">
        <v>42308</v>
      </c>
      <c r="M12780" t="s">
        <v>43732</v>
      </c>
      <c r="N12780" t="s">
        <v>46569</v>
      </c>
      <c r="O12780" t="s">
        <v>46570</v>
      </c>
      <c r="Q12780">
        <v>12</v>
      </c>
      <c r="R12780" t="s">
        <v>46584</v>
      </c>
      <c r="S12780" t="s">
        <v>47129</v>
      </c>
      <c r="T12780" t="s">
        <v>48212</v>
      </c>
      <c r="U12780" t="s">
        <v>59039</v>
      </c>
      <c r="W12780" t="s">
        <v>43732</v>
      </c>
      <c r="X12780" t="s">
        <v>46585</v>
      </c>
    </row>
    <row r="12781" spans="1:24">
      <c r="A12781">
        <f>HYPERLINK("https://www.philgeps.gov.ph/GEPSNONPILOT/Tender/SplashBidNoticeAbstractUI.aspx?menuIndex=3&amp;refID=7042982&amp;Result=3","7042982")</f>
        <v>0</v>
      </c>
      <c r="B12781" t="s">
        <v>1342</v>
      </c>
      <c r="C12781" t="s">
        <v>15660</v>
      </c>
      <c r="D12781" t="s">
        <v>18787</v>
      </c>
      <c r="E12781" t="s">
        <v>29866</v>
      </c>
      <c r="F12781" t="s">
        <v>32664</v>
      </c>
      <c r="G12781" t="s">
        <v>32672</v>
      </c>
      <c r="H12781" t="s">
        <v>32683</v>
      </c>
      <c r="I12781" t="s">
        <v>10627</v>
      </c>
      <c r="J12781" t="s">
        <v>32930</v>
      </c>
      <c r="K12781" t="s">
        <v>42311</v>
      </c>
      <c r="M12781" t="s">
        <v>44796</v>
      </c>
      <c r="N12781" t="s">
        <v>46569</v>
      </c>
      <c r="O12781" t="s">
        <v>46570</v>
      </c>
      <c r="P12781">
        <v>0</v>
      </c>
      <c r="Q12781">
        <v>2</v>
      </c>
      <c r="R12781" t="s">
        <v>46584</v>
      </c>
      <c r="S12781" t="s">
        <v>47063</v>
      </c>
      <c r="T12781" t="s">
        <v>48711</v>
      </c>
      <c r="U12781" t="s">
        <v>59033</v>
      </c>
      <c r="W12781" t="s">
        <v>44796</v>
      </c>
      <c r="X12781" t="s">
        <v>46585</v>
      </c>
    </row>
    <row r="12782" spans="1:24">
      <c r="A12782">
        <f>HYPERLINK("https://www.philgeps.gov.ph/GEPSNONPILOT/Tender/SplashBidNoticeAbstractUI.aspx?menuIndex=3&amp;refID=7042911&amp;Result=3","7042911")</f>
        <v>0</v>
      </c>
      <c r="B12782" t="s">
        <v>1185</v>
      </c>
      <c r="C12782" t="s">
        <v>15661</v>
      </c>
      <c r="D12782" t="s">
        <v>18807</v>
      </c>
      <c r="E12782" t="s">
        <v>29867</v>
      </c>
      <c r="F12782" t="s">
        <v>32664</v>
      </c>
      <c r="G12782" t="s">
        <v>32672</v>
      </c>
      <c r="H12782" t="s">
        <v>32683</v>
      </c>
      <c r="I12782" t="s">
        <v>10627</v>
      </c>
      <c r="J12782" t="s">
        <v>40361</v>
      </c>
      <c r="K12782" t="s">
        <v>42281</v>
      </c>
      <c r="M12782" t="s">
        <v>43821</v>
      </c>
      <c r="N12782" t="s">
        <v>46569</v>
      </c>
      <c r="O12782" t="s">
        <v>46570</v>
      </c>
      <c r="P12782">
        <v>0</v>
      </c>
      <c r="Q12782">
        <v>2</v>
      </c>
      <c r="R12782" t="s">
        <v>46584</v>
      </c>
      <c r="S12782" t="s">
        <v>47063</v>
      </c>
      <c r="T12782" t="s">
        <v>48293</v>
      </c>
      <c r="U12782" t="s">
        <v>59040</v>
      </c>
      <c r="W12782" t="s">
        <v>43821</v>
      </c>
      <c r="X12782" t="s">
        <v>46585</v>
      </c>
    </row>
    <row r="12783" spans="1:24">
      <c r="A12783">
        <f>HYPERLINK("https://www.philgeps.gov.ph/GEPSNONPILOT/Tender/SplashBidNoticeAbstractUI.aspx?menuIndex=3&amp;refID=7042888&amp;Result=3","7042888")</f>
        <v>0</v>
      </c>
      <c r="B12783" t="s">
        <v>3250</v>
      </c>
      <c r="C12783" t="s">
        <v>7396</v>
      </c>
      <c r="D12783" t="s">
        <v>18802</v>
      </c>
      <c r="E12783" t="s">
        <v>19380</v>
      </c>
      <c r="F12783" t="s">
        <v>32664</v>
      </c>
      <c r="G12783" t="s">
        <v>32672</v>
      </c>
      <c r="H12783" t="s">
        <v>32683</v>
      </c>
      <c r="I12783" t="s">
        <v>4439</v>
      </c>
      <c r="J12783" t="s">
        <v>40362</v>
      </c>
      <c r="K12783" t="s">
        <v>42284</v>
      </c>
      <c r="M12783" t="s">
        <v>46178</v>
      </c>
      <c r="N12783" t="s">
        <v>46569</v>
      </c>
      <c r="O12783" t="s">
        <v>46570</v>
      </c>
      <c r="P12783">
        <v>0</v>
      </c>
      <c r="Q12783">
        <v>0</v>
      </c>
      <c r="R12783" t="s">
        <v>46584</v>
      </c>
      <c r="S12783" t="s">
        <v>47063</v>
      </c>
      <c r="T12783" t="s">
        <v>48226</v>
      </c>
      <c r="U12783" t="s">
        <v>59041</v>
      </c>
      <c r="W12783" t="s">
        <v>46178</v>
      </c>
      <c r="X12783" t="s">
        <v>46585</v>
      </c>
    </row>
    <row r="12784" spans="1:24">
      <c r="A12784">
        <f>HYPERLINK("https://www.philgeps.gov.ph/GEPSNONPILOT/Tender/SplashBidNoticeAbstractUI.aspx?menuIndex=3&amp;refID=7042882&amp;Result=3","7042882")</f>
        <v>0</v>
      </c>
      <c r="B12784" t="s">
        <v>683</v>
      </c>
      <c r="C12784" t="s">
        <v>15662</v>
      </c>
      <c r="D12784" t="s">
        <v>18842</v>
      </c>
      <c r="E12784" t="s">
        <v>29868</v>
      </c>
      <c r="F12784" t="s">
        <v>32664</v>
      </c>
      <c r="G12784" t="s">
        <v>32672</v>
      </c>
      <c r="H12784" t="s">
        <v>12635</v>
      </c>
      <c r="I12784" t="s">
        <v>6223</v>
      </c>
      <c r="J12784" t="s">
        <v>32943</v>
      </c>
      <c r="K12784" t="s">
        <v>42281</v>
      </c>
      <c r="M12784" t="s">
        <v>43270</v>
      </c>
      <c r="N12784" t="s">
        <v>46569</v>
      </c>
      <c r="O12784" t="s">
        <v>46570</v>
      </c>
      <c r="P12784">
        <v>0</v>
      </c>
      <c r="Q12784">
        <v>5</v>
      </c>
      <c r="R12784" t="s">
        <v>46584</v>
      </c>
      <c r="S12784" t="s">
        <v>47063</v>
      </c>
      <c r="T12784" t="s">
        <v>48238</v>
      </c>
      <c r="U12784" t="s">
        <v>59042</v>
      </c>
      <c r="W12784" t="s">
        <v>43270</v>
      </c>
      <c r="X12784" t="s">
        <v>46585</v>
      </c>
    </row>
    <row r="12785" spans="1:24">
      <c r="A12785">
        <f>HYPERLINK("https://www.philgeps.gov.ph/GEPSNONPILOT/Tender/SplashBidNoticeAbstractUI.aspx?menuIndex=3&amp;refID=7042880&amp;Result=3","7042880")</f>
        <v>0</v>
      </c>
      <c r="B12785" t="s">
        <v>569</v>
      </c>
      <c r="C12785" t="s">
        <v>15663</v>
      </c>
      <c r="D12785" t="s">
        <v>18876</v>
      </c>
      <c r="E12785" t="s">
        <v>18982</v>
      </c>
      <c r="F12785" t="s">
        <v>32664</v>
      </c>
      <c r="G12785" t="s">
        <v>32672</v>
      </c>
      <c r="H12785" t="s">
        <v>12635</v>
      </c>
      <c r="I12785" t="s">
        <v>32696</v>
      </c>
      <c r="J12785" t="s">
        <v>40363</v>
      </c>
      <c r="K12785" t="s">
        <v>42290</v>
      </c>
      <c r="M12785" t="s">
        <v>46179</v>
      </c>
      <c r="N12785" t="s">
        <v>46569</v>
      </c>
      <c r="O12785" t="s">
        <v>46570</v>
      </c>
      <c r="P12785">
        <v>0</v>
      </c>
      <c r="Q12785">
        <v>9</v>
      </c>
      <c r="R12785" t="s">
        <v>46584</v>
      </c>
      <c r="S12785" t="s">
        <v>47063</v>
      </c>
      <c r="T12785" t="s">
        <v>48661</v>
      </c>
      <c r="U12785" t="s">
        <v>59043</v>
      </c>
      <c r="V12785" t="s">
        <v>63037</v>
      </c>
      <c r="W12785" t="s">
        <v>46179</v>
      </c>
      <c r="X12785" t="s">
        <v>46585</v>
      </c>
    </row>
    <row r="12786" spans="1:24">
      <c r="A12786">
        <f>HYPERLINK("https://www.philgeps.gov.ph/GEPSNONPILOT/Tender/SplashBidNoticeAbstractUI.aspx?menuIndex=3&amp;refID=7042773&amp;Result=3","7042773")</f>
        <v>0</v>
      </c>
      <c r="B12786" t="s">
        <v>3248</v>
      </c>
      <c r="C12786" t="s">
        <v>15664</v>
      </c>
      <c r="D12786" t="s">
        <v>18858</v>
      </c>
      <c r="E12786" t="s">
        <v>29869</v>
      </c>
      <c r="F12786" t="s">
        <v>32664</v>
      </c>
      <c r="G12786" t="s">
        <v>32672</v>
      </c>
      <c r="H12786" t="s">
        <v>32683</v>
      </c>
      <c r="I12786" t="s">
        <v>10627</v>
      </c>
      <c r="J12786" t="s">
        <v>40364</v>
      </c>
      <c r="K12786" t="s">
        <v>42311</v>
      </c>
      <c r="M12786" t="s">
        <v>46174</v>
      </c>
      <c r="N12786" t="s">
        <v>46569</v>
      </c>
      <c r="O12786" t="s">
        <v>46570</v>
      </c>
      <c r="P12786">
        <v>0</v>
      </c>
      <c r="Q12786">
        <v>1</v>
      </c>
      <c r="R12786" t="s">
        <v>46584</v>
      </c>
      <c r="S12786" t="s">
        <v>47063</v>
      </c>
      <c r="T12786" t="s">
        <v>48304</v>
      </c>
      <c r="U12786" t="s">
        <v>59044</v>
      </c>
      <c r="W12786" t="s">
        <v>46174</v>
      </c>
      <c r="X12786" t="s">
        <v>46585</v>
      </c>
    </row>
    <row r="12787" spans="1:24">
      <c r="A12787">
        <f>HYPERLINK("https://www.philgeps.gov.ph/GEPSNONPILOT/Tender/SplashBidNoticeAbstractUI.aspx?menuIndex=3&amp;refID=7042922&amp;Result=3","7042922")</f>
        <v>0</v>
      </c>
      <c r="B12787" t="s">
        <v>683</v>
      </c>
      <c r="C12787" t="s">
        <v>15665</v>
      </c>
      <c r="D12787" t="s">
        <v>18842</v>
      </c>
      <c r="E12787" t="s">
        <v>29870</v>
      </c>
      <c r="F12787" t="s">
        <v>32664</v>
      </c>
      <c r="G12787" t="s">
        <v>32672</v>
      </c>
      <c r="H12787" t="s">
        <v>12635</v>
      </c>
      <c r="I12787" t="s">
        <v>11464</v>
      </c>
      <c r="J12787" t="s">
        <v>34293</v>
      </c>
      <c r="K12787" t="s">
        <v>42298</v>
      </c>
      <c r="M12787" t="s">
        <v>43270</v>
      </c>
      <c r="N12787" t="s">
        <v>46569</v>
      </c>
      <c r="O12787" t="s">
        <v>46570</v>
      </c>
      <c r="P12787">
        <v>0</v>
      </c>
      <c r="Q12787">
        <v>9</v>
      </c>
      <c r="R12787" t="s">
        <v>46584</v>
      </c>
      <c r="S12787" t="s">
        <v>47063</v>
      </c>
      <c r="T12787" t="s">
        <v>48238</v>
      </c>
      <c r="U12787" t="s">
        <v>59045</v>
      </c>
      <c r="W12787" t="s">
        <v>43270</v>
      </c>
      <c r="X12787" t="s">
        <v>46585</v>
      </c>
    </row>
    <row r="12788" spans="1:24">
      <c r="A12788">
        <f>HYPERLINK("https://www.philgeps.gov.ph/GEPSNONPILOT/Tender/SplashBidNoticeAbstractUI.aspx?menuIndex=3&amp;refID=7042818&amp;Result=3","7042818")</f>
        <v>0</v>
      </c>
      <c r="B12788" t="s">
        <v>3248</v>
      </c>
      <c r="C12788" t="s">
        <v>15666</v>
      </c>
      <c r="D12788" t="s">
        <v>18858</v>
      </c>
      <c r="E12788" t="s">
        <v>29871</v>
      </c>
      <c r="F12788" t="s">
        <v>32664</v>
      </c>
      <c r="G12788" t="s">
        <v>32672</v>
      </c>
      <c r="H12788" t="s">
        <v>32683</v>
      </c>
      <c r="I12788" t="s">
        <v>10627</v>
      </c>
      <c r="J12788" t="s">
        <v>33150</v>
      </c>
      <c r="K12788" t="s">
        <v>42290</v>
      </c>
      <c r="M12788" t="s">
        <v>46174</v>
      </c>
      <c r="N12788" t="s">
        <v>46569</v>
      </c>
      <c r="O12788" t="s">
        <v>46570</v>
      </c>
      <c r="P12788">
        <v>0</v>
      </c>
      <c r="Q12788">
        <v>1</v>
      </c>
      <c r="R12788" t="s">
        <v>46584</v>
      </c>
      <c r="S12788" t="s">
        <v>47063</v>
      </c>
      <c r="T12788" t="s">
        <v>48304</v>
      </c>
      <c r="U12788" t="s">
        <v>59046</v>
      </c>
      <c r="W12788" t="s">
        <v>46174</v>
      </c>
      <c r="X12788" t="s">
        <v>46585</v>
      </c>
    </row>
    <row r="12789" spans="1:24">
      <c r="A12789">
        <f>HYPERLINK("https://www.philgeps.gov.ph/GEPSNONPILOT/Tender/SplashBidNoticeAbstractUI.aspx?menuIndex=3&amp;refID=7042876&amp;Result=3","7042876")</f>
        <v>0</v>
      </c>
      <c r="B12789" t="s">
        <v>1185</v>
      </c>
      <c r="C12789" t="s">
        <v>15667</v>
      </c>
      <c r="D12789" t="s">
        <v>18807</v>
      </c>
      <c r="E12789" t="s">
        <v>29838</v>
      </c>
      <c r="F12789" t="s">
        <v>32664</v>
      </c>
      <c r="G12789" t="s">
        <v>32672</v>
      </c>
      <c r="H12789" t="s">
        <v>32683</v>
      </c>
      <c r="I12789" t="s">
        <v>10627</v>
      </c>
      <c r="J12789" t="s">
        <v>40365</v>
      </c>
      <c r="K12789" t="s">
        <v>42432</v>
      </c>
      <c r="M12789" t="s">
        <v>43821</v>
      </c>
      <c r="N12789" t="s">
        <v>46569</v>
      </c>
      <c r="O12789" t="s">
        <v>46570</v>
      </c>
      <c r="P12789">
        <v>0</v>
      </c>
      <c r="Q12789">
        <v>2</v>
      </c>
      <c r="R12789" t="s">
        <v>46584</v>
      </c>
      <c r="S12789" t="s">
        <v>47063</v>
      </c>
      <c r="T12789" t="s">
        <v>48293</v>
      </c>
      <c r="U12789" t="s">
        <v>59047</v>
      </c>
      <c r="W12789" t="s">
        <v>43821</v>
      </c>
      <c r="X12789" t="s">
        <v>46585</v>
      </c>
    </row>
    <row r="12790" spans="1:24">
      <c r="A12790">
        <f>HYPERLINK("https://www.philgeps.gov.ph/GEPSNONPILOT/Tender/SplashBidNoticeAbstractUI.aspx?menuIndex=3&amp;refID=7043048&amp;Result=3","7043048")</f>
        <v>0</v>
      </c>
      <c r="B12790" t="s">
        <v>1048</v>
      </c>
      <c r="C12790" t="s">
        <v>15668</v>
      </c>
      <c r="D12790" t="s">
        <v>18831</v>
      </c>
      <c r="E12790" t="s">
        <v>29872</v>
      </c>
      <c r="F12790" t="s">
        <v>32664</v>
      </c>
      <c r="G12790" t="s">
        <v>32672</v>
      </c>
      <c r="H12790" t="s">
        <v>32683</v>
      </c>
      <c r="I12790" t="s">
        <v>10627</v>
      </c>
      <c r="J12790" t="s">
        <v>39276</v>
      </c>
      <c r="K12790" t="s">
        <v>42298</v>
      </c>
      <c r="M12790" t="s">
        <v>43664</v>
      </c>
      <c r="N12790" t="s">
        <v>46569</v>
      </c>
      <c r="O12790" t="s">
        <v>46570</v>
      </c>
      <c r="P12790">
        <v>0</v>
      </c>
      <c r="Q12790">
        <v>1</v>
      </c>
      <c r="R12790" t="s">
        <v>46584</v>
      </c>
      <c r="S12790" t="s">
        <v>47063</v>
      </c>
      <c r="T12790" t="s">
        <v>48256</v>
      </c>
      <c r="U12790" t="s">
        <v>59048</v>
      </c>
      <c r="W12790" t="s">
        <v>43664</v>
      </c>
      <c r="X12790" t="s">
        <v>46585</v>
      </c>
    </row>
    <row r="12791" spans="1:24">
      <c r="A12791">
        <f>HYPERLINK("https://www.philgeps.gov.ph/GEPSNONPILOT/Tender/SplashBidNoticeAbstractUI.aspx?menuIndex=3&amp;refID=7042903&amp;Result=3","7042903")</f>
        <v>0</v>
      </c>
      <c r="B12791" t="s">
        <v>683</v>
      </c>
      <c r="C12791" t="s">
        <v>15669</v>
      </c>
      <c r="D12791" t="s">
        <v>18842</v>
      </c>
      <c r="E12791" t="s">
        <v>29873</v>
      </c>
      <c r="F12791" t="s">
        <v>32664</v>
      </c>
      <c r="G12791" t="s">
        <v>32672</v>
      </c>
      <c r="H12791" t="s">
        <v>12635</v>
      </c>
      <c r="I12791" t="s">
        <v>32706</v>
      </c>
      <c r="J12791" t="s">
        <v>40366</v>
      </c>
      <c r="K12791" t="s">
        <v>42283</v>
      </c>
      <c r="M12791" t="s">
        <v>43270</v>
      </c>
      <c r="N12791" t="s">
        <v>46569</v>
      </c>
      <c r="O12791" t="s">
        <v>46570</v>
      </c>
      <c r="P12791">
        <v>0</v>
      </c>
      <c r="Q12791">
        <v>1</v>
      </c>
      <c r="R12791" t="s">
        <v>46584</v>
      </c>
      <c r="S12791" t="s">
        <v>47063</v>
      </c>
      <c r="T12791" t="s">
        <v>48389</v>
      </c>
      <c r="U12791" t="s">
        <v>59049</v>
      </c>
      <c r="W12791" t="s">
        <v>43270</v>
      </c>
      <c r="X12791" t="s">
        <v>46585</v>
      </c>
    </row>
    <row r="12792" spans="1:24">
      <c r="A12792">
        <f>HYPERLINK("https://www.philgeps.gov.ph/GEPSNONPILOT/Tender/SplashBidNoticeAbstractUI.aspx?menuIndex=3&amp;refID=7043045&amp;Result=3","7043045")</f>
        <v>0</v>
      </c>
      <c r="B12792" t="s">
        <v>26</v>
      </c>
      <c r="C12792" t="s">
        <v>15670</v>
      </c>
      <c r="D12792" t="s">
        <v>18783</v>
      </c>
      <c r="E12792" t="s">
        <v>29874</v>
      </c>
      <c r="F12792" t="s">
        <v>32664</v>
      </c>
      <c r="G12792" t="s">
        <v>32672</v>
      </c>
      <c r="H12792" t="s">
        <v>32683</v>
      </c>
      <c r="I12792" t="s">
        <v>10627</v>
      </c>
      <c r="J12792" t="s">
        <v>40367</v>
      </c>
      <c r="K12792" t="s">
        <v>42369</v>
      </c>
      <c r="M12792" t="s">
        <v>42588</v>
      </c>
      <c r="N12792" t="s">
        <v>46569</v>
      </c>
      <c r="O12792" t="s">
        <v>46570</v>
      </c>
      <c r="P12792">
        <v>0</v>
      </c>
      <c r="Q12792">
        <v>1</v>
      </c>
      <c r="R12792" t="s">
        <v>46584</v>
      </c>
      <c r="S12792" t="s">
        <v>47063</v>
      </c>
      <c r="T12792" t="s">
        <v>48366</v>
      </c>
      <c r="U12792" t="s">
        <v>59050</v>
      </c>
      <c r="V12792" t="s">
        <v>63038</v>
      </c>
      <c r="W12792" t="s">
        <v>42588</v>
      </c>
      <c r="X12792" t="s">
        <v>46585</v>
      </c>
    </row>
    <row r="12793" spans="1:24">
      <c r="A12793">
        <f>HYPERLINK("https://www.philgeps.gov.ph/GEPSNONPILOT/Tender/SplashBidNoticeAbstractUI.aspx?menuIndex=3&amp;refID=7042921&amp;Result=3","7042921")</f>
        <v>0</v>
      </c>
      <c r="B12793" t="s">
        <v>307</v>
      </c>
      <c r="C12793" t="s">
        <v>15671</v>
      </c>
      <c r="D12793" t="s">
        <v>18789</v>
      </c>
      <c r="E12793" t="s">
        <v>29875</v>
      </c>
      <c r="F12793" t="s">
        <v>32664</v>
      </c>
      <c r="G12793" t="s">
        <v>32672</v>
      </c>
      <c r="H12793" t="s">
        <v>32683</v>
      </c>
      <c r="I12793" t="s">
        <v>10627</v>
      </c>
      <c r="J12793" t="s">
        <v>32930</v>
      </c>
      <c r="K12793" t="s">
        <v>42308</v>
      </c>
      <c r="M12793" t="s">
        <v>42874</v>
      </c>
      <c r="N12793" t="s">
        <v>46569</v>
      </c>
      <c r="O12793" t="s">
        <v>46570</v>
      </c>
      <c r="Q12793">
        <v>2</v>
      </c>
      <c r="R12793" t="s">
        <v>46584</v>
      </c>
      <c r="S12793" t="s">
        <v>46806</v>
      </c>
      <c r="T12793" t="s">
        <v>48225</v>
      </c>
      <c r="U12793" t="s">
        <v>59051</v>
      </c>
      <c r="V12793" t="s">
        <v>63039</v>
      </c>
      <c r="W12793" t="s">
        <v>42874</v>
      </c>
      <c r="X12793" t="s">
        <v>46585</v>
      </c>
    </row>
    <row r="12794" spans="1:24">
      <c r="A12794">
        <f>HYPERLINK("https://www.philgeps.gov.ph/GEPSNONPILOT/Tender/SplashBidNoticeAbstractUI.aspx?menuIndex=3&amp;refID=7043034&amp;Result=3","7043034")</f>
        <v>0</v>
      </c>
      <c r="B12794" t="s">
        <v>1048</v>
      </c>
      <c r="C12794" t="s">
        <v>15672</v>
      </c>
      <c r="D12794" t="s">
        <v>18831</v>
      </c>
      <c r="E12794" t="s">
        <v>24955</v>
      </c>
      <c r="F12794" t="s">
        <v>32664</v>
      </c>
      <c r="G12794" t="s">
        <v>32672</v>
      </c>
      <c r="H12794" t="s">
        <v>32683</v>
      </c>
      <c r="I12794" t="s">
        <v>10627</v>
      </c>
      <c r="J12794" t="s">
        <v>32943</v>
      </c>
      <c r="K12794" t="s">
        <v>42290</v>
      </c>
      <c r="M12794" t="s">
        <v>43664</v>
      </c>
      <c r="N12794" t="s">
        <v>46569</v>
      </c>
      <c r="O12794" t="s">
        <v>46570</v>
      </c>
      <c r="Q12794">
        <v>2</v>
      </c>
      <c r="R12794" t="s">
        <v>46584</v>
      </c>
      <c r="S12794" t="s">
        <v>47130</v>
      </c>
      <c r="T12794" t="s">
        <v>48256</v>
      </c>
      <c r="U12794" t="s">
        <v>54447</v>
      </c>
      <c r="W12794" t="s">
        <v>43664</v>
      </c>
      <c r="X12794" t="s">
        <v>46585</v>
      </c>
    </row>
    <row r="12795" spans="1:24">
      <c r="A12795">
        <f>HYPERLINK("https://www.philgeps.gov.ph/GEPSNONPILOT/Tender/SplashBidNoticeAbstractUI.aspx?menuIndex=3&amp;refID=7043051&amp;Result=3","7043051")</f>
        <v>0</v>
      </c>
      <c r="B12795" t="s">
        <v>225</v>
      </c>
      <c r="C12795" t="s">
        <v>15673</v>
      </c>
      <c r="D12795" t="s">
        <v>18784</v>
      </c>
      <c r="E12795" t="s">
        <v>29876</v>
      </c>
      <c r="F12795" t="s">
        <v>32664</v>
      </c>
      <c r="G12795" t="s">
        <v>32672</v>
      </c>
      <c r="H12795" t="s">
        <v>32683</v>
      </c>
      <c r="I12795" t="s">
        <v>10627</v>
      </c>
      <c r="J12795" t="s">
        <v>40368</v>
      </c>
      <c r="K12795" t="s">
        <v>42311</v>
      </c>
      <c r="M12795" t="s">
        <v>43870</v>
      </c>
      <c r="N12795" t="s">
        <v>46569</v>
      </c>
      <c r="O12795" t="s">
        <v>46570</v>
      </c>
      <c r="P12795">
        <v>0</v>
      </c>
      <c r="Q12795">
        <v>47</v>
      </c>
      <c r="R12795" t="s">
        <v>46584</v>
      </c>
      <c r="S12795" t="s">
        <v>47063</v>
      </c>
      <c r="T12795" t="s">
        <v>48276</v>
      </c>
      <c r="U12795" t="s">
        <v>51407</v>
      </c>
      <c r="V12795" t="s">
        <v>63040</v>
      </c>
      <c r="W12795" t="s">
        <v>43870</v>
      </c>
      <c r="X12795" t="s">
        <v>46585</v>
      </c>
    </row>
    <row r="12796" spans="1:24">
      <c r="A12796">
        <f>HYPERLINK("https://www.philgeps.gov.ph/GEPSNONPILOT/Tender/SplashBidNoticeAbstractUI.aspx?menuIndex=3&amp;refID=7043032&amp;Result=3","7043032")</f>
        <v>0</v>
      </c>
      <c r="B12796" t="s">
        <v>2409</v>
      </c>
      <c r="C12796" t="s">
        <v>15674</v>
      </c>
      <c r="D12796" t="s">
        <v>18786</v>
      </c>
      <c r="E12796" t="s">
        <v>29877</v>
      </c>
      <c r="F12796" t="s">
        <v>32664</v>
      </c>
      <c r="G12796" t="s">
        <v>32672</v>
      </c>
      <c r="H12796" t="s">
        <v>32683</v>
      </c>
      <c r="I12796" t="s">
        <v>10627</v>
      </c>
      <c r="J12796" t="s">
        <v>33508</v>
      </c>
      <c r="K12796" t="s">
        <v>42422</v>
      </c>
      <c r="L12796" t="s">
        <v>2409</v>
      </c>
      <c r="M12796" t="s">
        <v>45362</v>
      </c>
      <c r="N12796" t="s">
        <v>46569</v>
      </c>
      <c r="O12796" t="s">
        <v>46570</v>
      </c>
      <c r="P12796">
        <v>0</v>
      </c>
      <c r="Q12796">
        <v>2</v>
      </c>
      <c r="R12796" t="s">
        <v>46584</v>
      </c>
      <c r="S12796" t="s">
        <v>47063</v>
      </c>
      <c r="T12796" t="s">
        <v>48225</v>
      </c>
      <c r="U12796" t="s">
        <v>59052</v>
      </c>
      <c r="W12796" t="s">
        <v>45362</v>
      </c>
      <c r="X12796" t="s">
        <v>46585</v>
      </c>
    </row>
    <row r="12797" spans="1:24">
      <c r="A12797">
        <f>HYPERLINK("https://www.philgeps.gov.ph/GEPSNONPILOT/Tender/SplashBidNoticeAbstractUI.aspx?menuIndex=3&amp;refID=7043029&amp;Result=3","7043029")</f>
        <v>0</v>
      </c>
      <c r="B12797" t="s">
        <v>26</v>
      </c>
      <c r="C12797" t="s">
        <v>15675</v>
      </c>
      <c r="D12797" t="s">
        <v>18783</v>
      </c>
      <c r="E12797" t="s">
        <v>29878</v>
      </c>
      <c r="F12797" t="s">
        <v>32664</v>
      </c>
      <c r="G12797" t="s">
        <v>32672</v>
      </c>
      <c r="H12797" t="s">
        <v>32683</v>
      </c>
      <c r="I12797" t="s">
        <v>10627</v>
      </c>
      <c r="J12797" t="s">
        <v>40369</v>
      </c>
      <c r="K12797" t="s">
        <v>42369</v>
      </c>
      <c r="M12797" t="s">
        <v>42588</v>
      </c>
      <c r="N12797" t="s">
        <v>46569</v>
      </c>
      <c r="O12797" t="s">
        <v>46570</v>
      </c>
      <c r="P12797">
        <v>0</v>
      </c>
      <c r="Q12797">
        <v>3</v>
      </c>
      <c r="R12797" t="s">
        <v>46584</v>
      </c>
      <c r="S12797" t="s">
        <v>47063</v>
      </c>
      <c r="T12797" t="s">
        <v>48366</v>
      </c>
      <c r="U12797" t="s">
        <v>59050</v>
      </c>
      <c r="V12797" t="s">
        <v>63038</v>
      </c>
      <c r="W12797" t="s">
        <v>42588</v>
      </c>
      <c r="X12797" t="s">
        <v>46585</v>
      </c>
    </row>
    <row r="12798" spans="1:24">
      <c r="A12798">
        <f>HYPERLINK("https://www.philgeps.gov.ph/GEPSNONPILOT/Tender/SplashBidNoticeAbstractUI.aspx?menuIndex=3&amp;refID=7043050&amp;Result=3","7043050")</f>
        <v>0</v>
      </c>
      <c r="B12798" t="s">
        <v>418</v>
      </c>
      <c r="C12798" t="s">
        <v>15676</v>
      </c>
      <c r="D12798" t="s">
        <v>18784</v>
      </c>
      <c r="E12798" t="s">
        <v>29879</v>
      </c>
      <c r="F12798" t="s">
        <v>32664</v>
      </c>
      <c r="G12798" t="s">
        <v>32672</v>
      </c>
      <c r="H12798" t="s">
        <v>12635</v>
      </c>
      <c r="I12798" t="s">
        <v>6223</v>
      </c>
      <c r="J12798" t="s">
        <v>40370</v>
      </c>
      <c r="K12798" t="s">
        <v>42289</v>
      </c>
      <c r="M12798" t="s">
        <v>46177</v>
      </c>
      <c r="N12798" t="s">
        <v>46569</v>
      </c>
      <c r="O12798" t="s">
        <v>46570</v>
      </c>
      <c r="P12798">
        <v>0</v>
      </c>
      <c r="Q12798">
        <v>1</v>
      </c>
      <c r="R12798" t="s">
        <v>46584</v>
      </c>
      <c r="S12798" t="s">
        <v>47063</v>
      </c>
      <c r="T12798" t="s">
        <v>48285</v>
      </c>
      <c r="U12798" t="s">
        <v>49872</v>
      </c>
      <c r="W12798" t="s">
        <v>46177</v>
      </c>
      <c r="X12798" t="s">
        <v>46585</v>
      </c>
    </row>
    <row r="12799" spans="1:24">
      <c r="A12799">
        <f>HYPERLINK("https://www.philgeps.gov.ph/GEPSNONPILOT/Tender/SplashBidNoticeAbstractUI.aspx?menuIndex=3&amp;refID=7043024&amp;Result=3","7043024")</f>
        <v>0</v>
      </c>
      <c r="B12799" t="s">
        <v>2674</v>
      </c>
      <c r="C12799" t="s">
        <v>15677</v>
      </c>
      <c r="D12799" t="s">
        <v>18856</v>
      </c>
      <c r="E12799" t="s">
        <v>29880</v>
      </c>
      <c r="F12799" t="s">
        <v>32664</v>
      </c>
      <c r="G12799" t="s">
        <v>32672</v>
      </c>
      <c r="H12799" t="s">
        <v>32683</v>
      </c>
      <c r="I12799" t="s">
        <v>10627</v>
      </c>
      <c r="J12799" t="s">
        <v>40371</v>
      </c>
      <c r="K12799" t="s">
        <v>42305</v>
      </c>
      <c r="M12799" t="s">
        <v>45497</v>
      </c>
      <c r="N12799" t="s">
        <v>46569</v>
      </c>
      <c r="O12799" t="s">
        <v>46570</v>
      </c>
      <c r="P12799">
        <v>0</v>
      </c>
      <c r="Q12799">
        <v>1</v>
      </c>
      <c r="R12799" t="s">
        <v>46584</v>
      </c>
      <c r="S12799" t="s">
        <v>47063</v>
      </c>
      <c r="T12799" t="s">
        <v>48245</v>
      </c>
      <c r="U12799" t="s">
        <v>59053</v>
      </c>
      <c r="W12799" t="s">
        <v>45497</v>
      </c>
      <c r="X12799" t="s">
        <v>46585</v>
      </c>
    </row>
    <row r="12800" spans="1:24">
      <c r="A12800">
        <f>HYPERLINK("https://www.philgeps.gov.ph/GEPSNONPILOT/Tender/SplashBidNoticeAbstractUI.aspx?menuIndex=3&amp;refID=7043015&amp;Result=3","7043015")</f>
        <v>0</v>
      </c>
      <c r="B12800" t="s">
        <v>26</v>
      </c>
      <c r="C12800" t="s">
        <v>15678</v>
      </c>
      <c r="D12800" t="s">
        <v>18783</v>
      </c>
      <c r="E12800" t="s">
        <v>29881</v>
      </c>
      <c r="F12800" t="s">
        <v>32664</v>
      </c>
      <c r="G12800" t="s">
        <v>32672</v>
      </c>
      <c r="H12800" t="s">
        <v>32683</v>
      </c>
      <c r="I12800" t="s">
        <v>10627</v>
      </c>
      <c r="J12800" t="s">
        <v>40372</v>
      </c>
      <c r="K12800" t="s">
        <v>42369</v>
      </c>
      <c r="M12800" t="s">
        <v>42588</v>
      </c>
      <c r="N12800" t="s">
        <v>46569</v>
      </c>
      <c r="O12800" t="s">
        <v>46570</v>
      </c>
      <c r="P12800">
        <v>0</v>
      </c>
      <c r="Q12800">
        <v>4</v>
      </c>
      <c r="R12800" t="s">
        <v>46584</v>
      </c>
      <c r="S12800" t="s">
        <v>47063</v>
      </c>
      <c r="T12800" t="s">
        <v>48366</v>
      </c>
      <c r="U12800" t="s">
        <v>59050</v>
      </c>
      <c r="V12800" t="s">
        <v>63038</v>
      </c>
      <c r="W12800" t="s">
        <v>42588</v>
      </c>
      <c r="X12800" t="s">
        <v>46585</v>
      </c>
    </row>
    <row r="12801" spans="1:24">
      <c r="A12801">
        <f>HYPERLINK("https://www.philgeps.gov.ph/GEPSNONPILOT/Tender/SplashBidNoticeAbstractUI.aspx?menuIndex=3&amp;refID=7043043&amp;Result=3","7043043")</f>
        <v>0</v>
      </c>
      <c r="B12801" t="s">
        <v>3251</v>
      </c>
      <c r="C12801" t="s">
        <v>15679</v>
      </c>
      <c r="D12801" t="s">
        <v>18784</v>
      </c>
      <c r="E12801" t="s">
        <v>29882</v>
      </c>
      <c r="F12801" t="s">
        <v>32666</v>
      </c>
      <c r="G12801" t="s">
        <v>32672</v>
      </c>
      <c r="H12801" t="s">
        <v>12635</v>
      </c>
      <c r="I12801" t="s">
        <v>6223</v>
      </c>
      <c r="J12801" t="s">
        <v>33128</v>
      </c>
      <c r="K12801" t="s">
        <v>42284</v>
      </c>
      <c r="M12801" t="s">
        <v>46180</v>
      </c>
      <c r="N12801" t="s">
        <v>46569</v>
      </c>
      <c r="O12801" t="s">
        <v>46570</v>
      </c>
      <c r="P12801">
        <v>0</v>
      </c>
      <c r="Q12801">
        <v>1</v>
      </c>
      <c r="R12801" t="s">
        <v>46584</v>
      </c>
      <c r="S12801" t="s">
        <v>47063</v>
      </c>
      <c r="T12801" t="s">
        <v>48307</v>
      </c>
      <c r="U12801" t="s">
        <v>59054</v>
      </c>
      <c r="W12801" t="s">
        <v>46180</v>
      </c>
      <c r="X12801" t="s">
        <v>46585</v>
      </c>
    </row>
    <row r="12802" spans="1:24">
      <c r="A12802">
        <f>HYPERLINK("https://www.philgeps.gov.ph/GEPSNONPILOT/Tender/SplashBidNoticeAbstractUI.aspx?menuIndex=3&amp;refID=7043031&amp;Result=3","7043031")</f>
        <v>0</v>
      </c>
      <c r="B12802" t="s">
        <v>418</v>
      </c>
      <c r="C12802" t="s">
        <v>15680</v>
      </c>
      <c r="D12802" t="s">
        <v>18784</v>
      </c>
      <c r="E12802" t="s">
        <v>29883</v>
      </c>
      <c r="F12802" t="s">
        <v>32664</v>
      </c>
      <c r="G12802" t="s">
        <v>32672</v>
      </c>
      <c r="H12802" t="s">
        <v>12635</v>
      </c>
      <c r="I12802" t="s">
        <v>6223</v>
      </c>
      <c r="J12802" t="s">
        <v>40373</v>
      </c>
      <c r="K12802" t="s">
        <v>42289</v>
      </c>
      <c r="M12802" t="s">
        <v>46177</v>
      </c>
      <c r="N12802" t="s">
        <v>46569</v>
      </c>
      <c r="O12802" t="s">
        <v>46570</v>
      </c>
      <c r="P12802">
        <v>0</v>
      </c>
      <c r="Q12802">
        <v>0</v>
      </c>
      <c r="R12802" t="s">
        <v>46584</v>
      </c>
      <c r="S12802" t="s">
        <v>47063</v>
      </c>
      <c r="T12802" t="s">
        <v>48285</v>
      </c>
      <c r="U12802" t="s">
        <v>49872</v>
      </c>
      <c r="W12802" t="s">
        <v>46177</v>
      </c>
      <c r="X12802" t="s">
        <v>46585</v>
      </c>
    </row>
    <row r="12803" spans="1:24">
      <c r="A12803">
        <f>HYPERLINK("https://www.philgeps.gov.ph/GEPSNONPILOT/Tender/SplashBidNoticeAbstractUI.aspx?menuIndex=3&amp;refID=7043008&amp;Result=3","7043008")</f>
        <v>0</v>
      </c>
      <c r="B12803" t="s">
        <v>1342</v>
      </c>
      <c r="C12803" t="s">
        <v>15681</v>
      </c>
      <c r="D12803" t="s">
        <v>18787</v>
      </c>
      <c r="E12803" t="s">
        <v>29884</v>
      </c>
      <c r="F12803" t="s">
        <v>32664</v>
      </c>
      <c r="G12803" t="s">
        <v>32672</v>
      </c>
      <c r="H12803" t="s">
        <v>12635</v>
      </c>
      <c r="I12803" t="s">
        <v>32684</v>
      </c>
      <c r="J12803" t="s">
        <v>40374</v>
      </c>
      <c r="K12803" t="s">
        <v>42281</v>
      </c>
      <c r="M12803" t="s">
        <v>44796</v>
      </c>
      <c r="N12803" t="s">
        <v>46569</v>
      </c>
      <c r="O12803" t="s">
        <v>46570</v>
      </c>
      <c r="Q12803">
        <v>17</v>
      </c>
      <c r="R12803" t="s">
        <v>46584</v>
      </c>
      <c r="S12803" t="s">
        <v>47131</v>
      </c>
      <c r="T12803" t="s">
        <v>48226</v>
      </c>
      <c r="U12803" t="s">
        <v>59033</v>
      </c>
      <c r="W12803" t="s">
        <v>44796</v>
      </c>
      <c r="X12803" t="s">
        <v>46585</v>
      </c>
    </row>
    <row r="12804" spans="1:24">
      <c r="A12804">
        <f>HYPERLINK("https://www.philgeps.gov.ph/GEPSNONPILOT/Tender/SplashBidNoticeAbstractUI.aspx?menuIndex=3&amp;refID=7043027&amp;Result=3","7043027")</f>
        <v>0</v>
      </c>
      <c r="B12804" t="s">
        <v>418</v>
      </c>
      <c r="C12804" t="s">
        <v>15682</v>
      </c>
      <c r="D12804" t="s">
        <v>18784</v>
      </c>
      <c r="E12804" t="s">
        <v>29885</v>
      </c>
      <c r="F12804" t="s">
        <v>32664</v>
      </c>
      <c r="G12804" t="s">
        <v>32672</v>
      </c>
      <c r="H12804" t="s">
        <v>12635</v>
      </c>
      <c r="I12804" t="s">
        <v>6223</v>
      </c>
      <c r="J12804" t="s">
        <v>40375</v>
      </c>
      <c r="K12804" t="s">
        <v>42289</v>
      </c>
      <c r="M12804" t="s">
        <v>46177</v>
      </c>
      <c r="N12804" t="s">
        <v>46569</v>
      </c>
      <c r="O12804" t="s">
        <v>46570</v>
      </c>
      <c r="Q12804">
        <v>1</v>
      </c>
      <c r="R12804" t="s">
        <v>46584</v>
      </c>
      <c r="S12804" t="s">
        <v>47132</v>
      </c>
      <c r="T12804" t="s">
        <v>48285</v>
      </c>
      <c r="U12804" t="s">
        <v>49872</v>
      </c>
      <c r="W12804" t="s">
        <v>46177</v>
      </c>
      <c r="X12804" t="s">
        <v>46585</v>
      </c>
    </row>
    <row r="12805" spans="1:24">
      <c r="A12805">
        <f>HYPERLINK("https://www.philgeps.gov.ph/GEPSNONPILOT/Tender/SplashBidNoticeAbstractUI.aspx?menuIndex=3&amp;refID=7043121&amp;Result=3","7043121")</f>
        <v>0</v>
      </c>
      <c r="B12805" t="s">
        <v>2173</v>
      </c>
      <c r="C12805" t="s">
        <v>15683</v>
      </c>
      <c r="D12805" t="s">
        <v>18816</v>
      </c>
      <c r="E12805" t="s">
        <v>29886</v>
      </c>
      <c r="F12805" t="s">
        <v>32664</v>
      </c>
      <c r="G12805" t="s">
        <v>32672</v>
      </c>
      <c r="H12805" t="s">
        <v>32681</v>
      </c>
      <c r="I12805" t="s">
        <v>32681</v>
      </c>
      <c r="J12805" t="s">
        <v>40376</v>
      </c>
      <c r="K12805" t="s">
        <v>42308</v>
      </c>
      <c r="M12805" t="s">
        <v>46181</v>
      </c>
      <c r="N12805" t="s">
        <v>46569</v>
      </c>
      <c r="O12805" t="s">
        <v>46570</v>
      </c>
      <c r="Q12805">
        <v>4</v>
      </c>
      <c r="R12805" t="s">
        <v>46584</v>
      </c>
      <c r="S12805" t="s">
        <v>47133</v>
      </c>
      <c r="T12805" t="s">
        <v>48220</v>
      </c>
      <c r="U12805" t="s">
        <v>59055</v>
      </c>
      <c r="W12805" t="s">
        <v>46181</v>
      </c>
      <c r="X12805" t="s">
        <v>46585</v>
      </c>
    </row>
    <row r="12806" spans="1:24">
      <c r="A12806">
        <f>HYPERLINK("https://www.philgeps.gov.ph/GEPSNONPILOT/Tender/SplashBidNoticeAbstractUI.aspx?menuIndex=3&amp;refID=7043016&amp;Result=3","7043016")</f>
        <v>0</v>
      </c>
      <c r="B12806" t="s">
        <v>418</v>
      </c>
      <c r="C12806" t="s">
        <v>15684</v>
      </c>
      <c r="D12806" t="s">
        <v>18784</v>
      </c>
      <c r="E12806" t="s">
        <v>29887</v>
      </c>
      <c r="F12806" t="s">
        <v>32664</v>
      </c>
      <c r="G12806" t="s">
        <v>32672</v>
      </c>
      <c r="H12806" t="s">
        <v>12635</v>
      </c>
      <c r="I12806" t="s">
        <v>6168</v>
      </c>
      <c r="J12806" t="s">
        <v>40377</v>
      </c>
      <c r="K12806" t="s">
        <v>42289</v>
      </c>
      <c r="M12806" t="s">
        <v>46177</v>
      </c>
      <c r="N12806" t="s">
        <v>46569</v>
      </c>
      <c r="O12806" t="s">
        <v>46570</v>
      </c>
      <c r="P12806">
        <v>0</v>
      </c>
      <c r="Q12806">
        <v>0</v>
      </c>
      <c r="R12806" t="s">
        <v>46584</v>
      </c>
      <c r="S12806" t="s">
        <v>47063</v>
      </c>
      <c r="T12806" t="s">
        <v>48285</v>
      </c>
      <c r="U12806" t="s">
        <v>49404</v>
      </c>
      <c r="W12806" t="s">
        <v>46177</v>
      </c>
      <c r="X12806" t="s">
        <v>46585</v>
      </c>
    </row>
    <row r="12807" spans="1:24">
      <c r="A12807">
        <f>HYPERLINK("https://www.philgeps.gov.ph/GEPSNONPILOT/Tender/SplashBidNoticeAbstractUI.aspx?menuIndex=3&amp;refID=7043125&amp;Result=3","7043125")</f>
        <v>0</v>
      </c>
      <c r="B12807" t="s">
        <v>418</v>
      </c>
      <c r="C12807" t="s">
        <v>15685</v>
      </c>
      <c r="D12807" t="s">
        <v>18784</v>
      </c>
      <c r="E12807" t="s">
        <v>29888</v>
      </c>
      <c r="F12807" t="s">
        <v>32664</v>
      </c>
      <c r="G12807" t="s">
        <v>32672</v>
      </c>
      <c r="H12807" t="s">
        <v>12635</v>
      </c>
      <c r="I12807" t="s">
        <v>6168</v>
      </c>
      <c r="J12807" t="s">
        <v>40378</v>
      </c>
      <c r="K12807" t="s">
        <v>42289</v>
      </c>
      <c r="M12807" t="s">
        <v>46177</v>
      </c>
      <c r="N12807" t="s">
        <v>46569</v>
      </c>
      <c r="O12807" t="s">
        <v>46570</v>
      </c>
      <c r="P12807">
        <v>0</v>
      </c>
      <c r="Q12807">
        <v>1</v>
      </c>
      <c r="R12807" t="s">
        <v>46584</v>
      </c>
      <c r="S12807" t="s">
        <v>47063</v>
      </c>
      <c r="T12807" t="s">
        <v>48285</v>
      </c>
      <c r="U12807" t="s">
        <v>49404</v>
      </c>
      <c r="W12807" t="s">
        <v>46177</v>
      </c>
      <c r="X12807" t="s">
        <v>46585</v>
      </c>
    </row>
    <row r="12808" spans="1:24">
      <c r="A12808">
        <f>HYPERLINK("https://www.philgeps.gov.ph/GEPSNONPILOT/Tender/SplashBidNoticeAbstractUI.aspx?menuIndex=3&amp;refID=7043014&amp;Result=3","7043014")</f>
        <v>0</v>
      </c>
      <c r="B12808" t="s">
        <v>2674</v>
      </c>
      <c r="C12808" t="s">
        <v>15686</v>
      </c>
      <c r="D12808" t="s">
        <v>18856</v>
      </c>
      <c r="E12808" t="s">
        <v>29889</v>
      </c>
      <c r="F12808" t="s">
        <v>32664</v>
      </c>
      <c r="G12808" t="s">
        <v>32672</v>
      </c>
      <c r="H12808" t="s">
        <v>32683</v>
      </c>
      <c r="I12808" t="s">
        <v>10627</v>
      </c>
      <c r="J12808" t="s">
        <v>32943</v>
      </c>
      <c r="K12808" t="s">
        <v>42305</v>
      </c>
      <c r="M12808" t="s">
        <v>45497</v>
      </c>
      <c r="N12808" t="s">
        <v>46569</v>
      </c>
      <c r="O12808" t="s">
        <v>46570</v>
      </c>
      <c r="P12808">
        <v>0</v>
      </c>
      <c r="Q12808">
        <v>2</v>
      </c>
      <c r="R12808" t="s">
        <v>46584</v>
      </c>
      <c r="S12808" t="s">
        <v>47063</v>
      </c>
      <c r="T12808" t="s">
        <v>48245</v>
      </c>
      <c r="U12808" t="s">
        <v>59056</v>
      </c>
      <c r="W12808" t="s">
        <v>45497</v>
      </c>
      <c r="X12808" t="s">
        <v>46585</v>
      </c>
    </row>
    <row r="12809" spans="1:24">
      <c r="A12809">
        <f>HYPERLINK("https://www.philgeps.gov.ph/GEPSNONPILOT/Tender/SplashBidNoticeAbstractUI.aspx?menuIndex=3&amp;refID=7042777&amp;Result=3","7042777")</f>
        <v>0</v>
      </c>
      <c r="B12809" t="s">
        <v>520</v>
      </c>
      <c r="C12809" t="s">
        <v>15687</v>
      </c>
      <c r="D12809" t="s">
        <v>18791</v>
      </c>
      <c r="E12809" t="s">
        <v>29890</v>
      </c>
      <c r="F12809" t="s">
        <v>32664</v>
      </c>
      <c r="G12809" t="s">
        <v>32672</v>
      </c>
      <c r="H12809" t="s">
        <v>12635</v>
      </c>
      <c r="I12809" t="s">
        <v>9486</v>
      </c>
      <c r="J12809" t="s">
        <v>40379</v>
      </c>
      <c r="K12809" t="s">
        <v>42303</v>
      </c>
      <c r="M12809" t="s">
        <v>43097</v>
      </c>
      <c r="N12809" t="s">
        <v>46569</v>
      </c>
      <c r="O12809" t="s">
        <v>46570</v>
      </c>
      <c r="Q12809">
        <v>10</v>
      </c>
      <c r="R12809" t="s">
        <v>46584</v>
      </c>
      <c r="S12809" t="s">
        <v>47134</v>
      </c>
      <c r="T12809" t="s">
        <v>48279</v>
      </c>
      <c r="U12809" t="s">
        <v>59057</v>
      </c>
      <c r="V12809" t="s">
        <v>61745</v>
      </c>
      <c r="W12809" t="s">
        <v>43097</v>
      </c>
      <c r="X12809" t="s">
        <v>46585</v>
      </c>
    </row>
    <row r="12810" spans="1:24">
      <c r="A12810">
        <f>HYPERLINK("https://www.philgeps.gov.ph/GEPSNONPILOT/Tender/SplashBidNoticeAbstractUI.aspx?menuIndex=3&amp;refID=7043109&amp;Result=3","7043109")</f>
        <v>0</v>
      </c>
      <c r="B12810" t="s">
        <v>418</v>
      </c>
      <c r="C12810" t="s">
        <v>15688</v>
      </c>
      <c r="D12810" t="s">
        <v>18784</v>
      </c>
      <c r="E12810" t="s">
        <v>29891</v>
      </c>
      <c r="F12810" t="s">
        <v>32664</v>
      </c>
      <c r="G12810" t="s">
        <v>32672</v>
      </c>
      <c r="H12810" t="s">
        <v>12635</v>
      </c>
      <c r="I12810" t="s">
        <v>6168</v>
      </c>
      <c r="J12810" t="s">
        <v>40380</v>
      </c>
      <c r="K12810" t="s">
        <v>42289</v>
      </c>
      <c r="M12810" t="s">
        <v>46177</v>
      </c>
      <c r="N12810" t="s">
        <v>46569</v>
      </c>
      <c r="O12810" t="s">
        <v>46570</v>
      </c>
      <c r="P12810">
        <v>0</v>
      </c>
      <c r="Q12810">
        <v>0</v>
      </c>
      <c r="R12810" t="s">
        <v>46584</v>
      </c>
      <c r="S12810" t="s">
        <v>47063</v>
      </c>
      <c r="T12810" t="s">
        <v>48285</v>
      </c>
      <c r="U12810" t="s">
        <v>49404</v>
      </c>
      <c r="W12810" t="s">
        <v>46177</v>
      </c>
      <c r="X12810" t="s">
        <v>46585</v>
      </c>
    </row>
    <row r="12811" spans="1:24">
      <c r="A12811">
        <f>HYPERLINK("https://www.philgeps.gov.ph/GEPSNONPILOT/Tender/SplashBidNoticeAbstractUI.aspx?menuIndex=3&amp;refID=7043040&amp;Result=3","7043040")</f>
        <v>0</v>
      </c>
      <c r="B12811" t="s">
        <v>418</v>
      </c>
      <c r="C12811" t="s">
        <v>15689</v>
      </c>
      <c r="D12811" t="s">
        <v>18784</v>
      </c>
      <c r="E12811" t="s">
        <v>29892</v>
      </c>
      <c r="F12811" t="s">
        <v>32664</v>
      </c>
      <c r="G12811" t="s">
        <v>32672</v>
      </c>
      <c r="H12811" t="s">
        <v>12635</v>
      </c>
      <c r="I12811" t="s">
        <v>6223</v>
      </c>
      <c r="J12811" t="s">
        <v>40381</v>
      </c>
      <c r="K12811" t="s">
        <v>42289</v>
      </c>
      <c r="M12811" t="s">
        <v>46177</v>
      </c>
      <c r="N12811" t="s">
        <v>46569</v>
      </c>
      <c r="O12811" t="s">
        <v>46570</v>
      </c>
      <c r="P12811">
        <v>0</v>
      </c>
      <c r="Q12811">
        <v>0</v>
      </c>
      <c r="R12811" t="s">
        <v>46584</v>
      </c>
      <c r="S12811" t="s">
        <v>47063</v>
      </c>
      <c r="T12811" t="s">
        <v>48285</v>
      </c>
      <c r="U12811" t="s">
        <v>49872</v>
      </c>
      <c r="W12811" t="s">
        <v>46177</v>
      </c>
      <c r="X12811" t="s">
        <v>46585</v>
      </c>
    </row>
    <row r="12812" spans="1:24">
      <c r="A12812">
        <f>HYPERLINK("https://www.philgeps.gov.ph/GEPSNONPILOT/Tender/SplashBidNoticeAbstractUI.aspx?menuIndex=3&amp;refID=7043102&amp;Result=3","7043102")</f>
        <v>0</v>
      </c>
      <c r="B12812" t="s">
        <v>3252</v>
      </c>
      <c r="C12812" t="s">
        <v>15690</v>
      </c>
      <c r="D12812" t="s">
        <v>18800</v>
      </c>
      <c r="E12812" t="s">
        <v>29893</v>
      </c>
      <c r="F12812" t="s">
        <v>32664</v>
      </c>
      <c r="G12812" t="s">
        <v>32672</v>
      </c>
      <c r="H12812" t="s">
        <v>12635</v>
      </c>
      <c r="I12812" t="s">
        <v>4439</v>
      </c>
      <c r="J12812" t="s">
        <v>32898</v>
      </c>
      <c r="K12812" t="s">
        <v>42283</v>
      </c>
      <c r="M12812" t="s">
        <v>46182</v>
      </c>
      <c r="N12812" t="s">
        <v>46569</v>
      </c>
      <c r="O12812" t="s">
        <v>46570</v>
      </c>
      <c r="P12812">
        <v>0</v>
      </c>
      <c r="Q12812">
        <v>0</v>
      </c>
      <c r="R12812" t="s">
        <v>46584</v>
      </c>
      <c r="S12812" t="s">
        <v>47063</v>
      </c>
      <c r="T12812" t="s">
        <v>48287</v>
      </c>
      <c r="U12812" t="s">
        <v>59058</v>
      </c>
      <c r="W12812" t="s">
        <v>46182</v>
      </c>
      <c r="X12812" t="s">
        <v>46585</v>
      </c>
    </row>
    <row r="12813" spans="1:24">
      <c r="A12813">
        <f>HYPERLINK("https://www.philgeps.gov.ph/GEPSNONPILOT/Tender/SplashBidNoticeAbstractUI.aspx?menuIndex=3&amp;refID=7043105&amp;Result=3","7043105")</f>
        <v>0</v>
      </c>
      <c r="B12813" t="s">
        <v>3239</v>
      </c>
      <c r="C12813" t="s">
        <v>15691</v>
      </c>
      <c r="D12813" t="s">
        <v>18848</v>
      </c>
      <c r="E12813" t="s">
        <v>29894</v>
      </c>
      <c r="F12813" t="s">
        <v>32664</v>
      </c>
      <c r="G12813" t="s">
        <v>32672</v>
      </c>
      <c r="H12813" t="s">
        <v>12635</v>
      </c>
      <c r="I12813" t="s">
        <v>4439</v>
      </c>
      <c r="J12813" t="s">
        <v>40382</v>
      </c>
      <c r="K12813" t="s">
        <v>42303</v>
      </c>
      <c r="M12813" t="s">
        <v>46162</v>
      </c>
      <c r="N12813" t="s">
        <v>46569</v>
      </c>
      <c r="O12813" t="s">
        <v>46570</v>
      </c>
      <c r="P12813">
        <v>0</v>
      </c>
      <c r="Q12813">
        <v>1</v>
      </c>
      <c r="R12813" t="s">
        <v>46584</v>
      </c>
      <c r="S12813" t="s">
        <v>47063</v>
      </c>
      <c r="T12813" t="s">
        <v>48226</v>
      </c>
      <c r="U12813" t="s">
        <v>58972</v>
      </c>
      <c r="V12813" t="s">
        <v>63041</v>
      </c>
      <c r="W12813" t="s">
        <v>46162</v>
      </c>
      <c r="X12813" t="s">
        <v>46585</v>
      </c>
    </row>
    <row r="12814" spans="1:24">
      <c r="A12814">
        <f>HYPERLINK("https://www.philgeps.gov.ph/GEPSNONPILOT/Tender/SplashBidNoticeAbstractUI.aspx?menuIndex=3&amp;refID=7043100&amp;Result=3","7043100")</f>
        <v>0</v>
      </c>
      <c r="B12814" t="s">
        <v>3239</v>
      </c>
      <c r="C12814" t="s">
        <v>15692</v>
      </c>
      <c r="D12814" t="s">
        <v>18848</v>
      </c>
      <c r="E12814" t="s">
        <v>29895</v>
      </c>
      <c r="F12814" t="s">
        <v>32664</v>
      </c>
      <c r="G12814" t="s">
        <v>32672</v>
      </c>
      <c r="H12814" t="s">
        <v>12635</v>
      </c>
      <c r="I12814" t="s">
        <v>4439</v>
      </c>
      <c r="J12814" t="s">
        <v>40383</v>
      </c>
      <c r="K12814" t="s">
        <v>42303</v>
      </c>
      <c r="M12814" t="s">
        <v>46162</v>
      </c>
      <c r="N12814" t="s">
        <v>46569</v>
      </c>
      <c r="O12814" t="s">
        <v>46570</v>
      </c>
      <c r="P12814">
        <v>0</v>
      </c>
      <c r="Q12814">
        <v>3</v>
      </c>
      <c r="R12814" t="s">
        <v>46584</v>
      </c>
      <c r="S12814" t="s">
        <v>47063</v>
      </c>
      <c r="T12814" t="s">
        <v>48226</v>
      </c>
      <c r="U12814" t="s">
        <v>58972</v>
      </c>
      <c r="V12814" t="s">
        <v>63042</v>
      </c>
      <c r="W12814" t="s">
        <v>46162</v>
      </c>
      <c r="X12814" t="s">
        <v>46585</v>
      </c>
    </row>
    <row r="12815" spans="1:24">
      <c r="A12815">
        <f>HYPERLINK("https://www.philgeps.gov.ph/GEPSNONPILOT/Tender/SplashBidNoticeAbstractUI.aspx?menuIndex=3&amp;refID=7043099&amp;Result=3","7043099")</f>
        <v>0</v>
      </c>
      <c r="B12815" t="s">
        <v>418</v>
      </c>
      <c r="C12815" t="s">
        <v>15693</v>
      </c>
      <c r="D12815" t="s">
        <v>18784</v>
      </c>
      <c r="E12815" t="s">
        <v>29896</v>
      </c>
      <c r="F12815" t="s">
        <v>32664</v>
      </c>
      <c r="G12815" t="s">
        <v>32672</v>
      </c>
      <c r="H12815" t="s">
        <v>12635</v>
      </c>
      <c r="I12815" t="s">
        <v>6168</v>
      </c>
      <c r="J12815" t="s">
        <v>34487</v>
      </c>
      <c r="K12815" t="s">
        <v>42289</v>
      </c>
      <c r="M12815" t="s">
        <v>46177</v>
      </c>
      <c r="N12815" t="s">
        <v>46569</v>
      </c>
      <c r="O12815" t="s">
        <v>46570</v>
      </c>
      <c r="P12815">
        <v>0</v>
      </c>
      <c r="Q12815">
        <v>1</v>
      </c>
      <c r="R12815" t="s">
        <v>46584</v>
      </c>
      <c r="S12815" t="s">
        <v>47063</v>
      </c>
      <c r="T12815" t="s">
        <v>48285</v>
      </c>
      <c r="U12815" t="s">
        <v>49404</v>
      </c>
      <c r="W12815" t="s">
        <v>46177</v>
      </c>
      <c r="X12815" t="s">
        <v>46585</v>
      </c>
    </row>
    <row r="12816" spans="1:24">
      <c r="A12816">
        <f>HYPERLINK("https://www.philgeps.gov.ph/GEPSNONPILOT/Tender/SplashBidNoticeAbstractUI.aspx?menuIndex=3&amp;refID=7043093&amp;Result=3","7043093")</f>
        <v>0</v>
      </c>
      <c r="B12816" t="s">
        <v>3252</v>
      </c>
      <c r="C12816" t="s">
        <v>15694</v>
      </c>
      <c r="D12816" t="s">
        <v>18800</v>
      </c>
      <c r="E12816" t="s">
        <v>18926</v>
      </c>
      <c r="F12816" t="s">
        <v>32664</v>
      </c>
      <c r="G12816" t="s">
        <v>32672</v>
      </c>
      <c r="H12816" t="s">
        <v>12635</v>
      </c>
      <c r="I12816" t="s">
        <v>4439</v>
      </c>
      <c r="J12816" t="s">
        <v>40384</v>
      </c>
      <c r="K12816" t="s">
        <v>42283</v>
      </c>
      <c r="M12816" t="s">
        <v>46182</v>
      </c>
      <c r="N12816" t="s">
        <v>46569</v>
      </c>
      <c r="O12816" t="s">
        <v>46570</v>
      </c>
      <c r="P12816">
        <v>0</v>
      </c>
      <c r="Q12816">
        <v>0</v>
      </c>
      <c r="R12816" t="s">
        <v>46584</v>
      </c>
      <c r="S12816" t="s">
        <v>47063</v>
      </c>
      <c r="T12816" t="s">
        <v>48287</v>
      </c>
      <c r="U12816" t="s">
        <v>59058</v>
      </c>
      <c r="W12816" t="s">
        <v>46182</v>
      </c>
      <c r="X12816" t="s">
        <v>46585</v>
      </c>
    </row>
    <row r="12817" spans="1:24">
      <c r="A12817">
        <f>HYPERLINK("https://www.philgeps.gov.ph/GEPSNONPILOT/Tender/SplashBidNoticeAbstractUI.aspx?menuIndex=3&amp;refID=7043090&amp;Result=3","7043090")</f>
        <v>0</v>
      </c>
      <c r="B12817" t="s">
        <v>3239</v>
      </c>
      <c r="C12817" t="s">
        <v>15695</v>
      </c>
      <c r="D12817" t="s">
        <v>18848</v>
      </c>
      <c r="E12817" t="s">
        <v>29897</v>
      </c>
      <c r="F12817" t="s">
        <v>32664</v>
      </c>
      <c r="G12817" t="s">
        <v>32672</v>
      </c>
      <c r="H12817" t="s">
        <v>12635</v>
      </c>
      <c r="I12817" t="s">
        <v>8730</v>
      </c>
      <c r="J12817" t="s">
        <v>40385</v>
      </c>
      <c r="K12817" t="s">
        <v>42303</v>
      </c>
      <c r="M12817" t="s">
        <v>46162</v>
      </c>
      <c r="N12817" t="s">
        <v>46569</v>
      </c>
      <c r="O12817" t="s">
        <v>46570</v>
      </c>
      <c r="P12817">
        <v>0</v>
      </c>
      <c r="Q12817">
        <v>3</v>
      </c>
      <c r="R12817" t="s">
        <v>46584</v>
      </c>
      <c r="S12817" t="s">
        <v>47063</v>
      </c>
      <c r="T12817" t="s">
        <v>48226</v>
      </c>
      <c r="U12817" t="s">
        <v>59059</v>
      </c>
      <c r="V12817" t="s">
        <v>63043</v>
      </c>
      <c r="W12817" t="s">
        <v>46162</v>
      </c>
      <c r="X12817" t="s">
        <v>46585</v>
      </c>
    </row>
    <row r="12818" spans="1:24">
      <c r="A12818">
        <f>HYPERLINK("https://www.philgeps.gov.ph/GEPSNONPILOT/Tender/SplashBidNoticeAbstractUI.aspx?menuIndex=3&amp;refID=7043122&amp;Result=3","7043122")</f>
        <v>0</v>
      </c>
      <c r="B12818" t="s">
        <v>2314</v>
      </c>
      <c r="C12818" t="s">
        <v>15696</v>
      </c>
      <c r="D12818" t="s">
        <v>18830</v>
      </c>
      <c r="E12818" t="s">
        <v>29898</v>
      </c>
      <c r="F12818" t="s">
        <v>32664</v>
      </c>
      <c r="G12818" t="s">
        <v>32672</v>
      </c>
      <c r="H12818" t="s">
        <v>12635</v>
      </c>
      <c r="I12818" t="s">
        <v>8797</v>
      </c>
      <c r="J12818" t="s">
        <v>40386</v>
      </c>
      <c r="K12818" t="s">
        <v>42281</v>
      </c>
      <c r="M12818" t="s">
        <v>45088</v>
      </c>
      <c r="N12818" t="s">
        <v>46569</v>
      </c>
      <c r="O12818" t="s">
        <v>46570</v>
      </c>
      <c r="P12818">
        <v>0</v>
      </c>
      <c r="Q12818">
        <v>0</v>
      </c>
      <c r="R12818" t="s">
        <v>46584</v>
      </c>
      <c r="S12818" t="s">
        <v>47063</v>
      </c>
      <c r="T12818" t="s">
        <v>48304</v>
      </c>
      <c r="U12818" t="s">
        <v>59060</v>
      </c>
      <c r="W12818" t="s">
        <v>45088</v>
      </c>
      <c r="X12818" t="s">
        <v>46585</v>
      </c>
    </row>
    <row r="12819" spans="1:24">
      <c r="A12819">
        <f>HYPERLINK("https://www.philgeps.gov.ph/GEPSNONPILOT/Tender/SplashBidNoticeAbstractUI.aspx?menuIndex=3&amp;refID=7042769&amp;Result=3","7042769")</f>
        <v>0</v>
      </c>
      <c r="B12819" t="s">
        <v>2720</v>
      </c>
      <c r="C12819" t="s">
        <v>15697</v>
      </c>
      <c r="D12819" t="s">
        <v>18785</v>
      </c>
      <c r="E12819" t="s">
        <v>29899</v>
      </c>
      <c r="F12819" t="s">
        <v>32664</v>
      </c>
      <c r="G12819" t="s">
        <v>32672</v>
      </c>
      <c r="H12819" t="s">
        <v>32683</v>
      </c>
      <c r="I12819" t="s">
        <v>10627</v>
      </c>
      <c r="J12819" t="s">
        <v>34075</v>
      </c>
      <c r="K12819" t="s">
        <v>42285</v>
      </c>
      <c r="M12819" t="s">
        <v>45547</v>
      </c>
      <c r="N12819" t="s">
        <v>46569</v>
      </c>
      <c r="O12819" t="s">
        <v>46570</v>
      </c>
      <c r="Q12819">
        <v>4</v>
      </c>
      <c r="R12819" t="s">
        <v>46584</v>
      </c>
      <c r="S12819" t="s">
        <v>47135</v>
      </c>
      <c r="T12819" t="s">
        <v>48268</v>
      </c>
      <c r="U12819" t="s">
        <v>58991</v>
      </c>
      <c r="V12819" t="s">
        <v>63028</v>
      </c>
      <c r="W12819" t="s">
        <v>45547</v>
      </c>
      <c r="X12819" t="s">
        <v>46585</v>
      </c>
    </row>
    <row r="12820" spans="1:24">
      <c r="A12820">
        <f>HYPERLINK("https://www.philgeps.gov.ph/GEPSNONPILOT/Tender/SplashBidNoticeAbstractUI.aspx?menuIndex=3&amp;refID=7043067&amp;Result=3","7043067")</f>
        <v>0</v>
      </c>
      <c r="B12820" t="s">
        <v>1048</v>
      </c>
      <c r="C12820" t="s">
        <v>15698</v>
      </c>
      <c r="D12820" t="s">
        <v>18831</v>
      </c>
      <c r="E12820" t="s">
        <v>29900</v>
      </c>
      <c r="F12820" t="s">
        <v>32664</v>
      </c>
      <c r="G12820" t="s">
        <v>32672</v>
      </c>
      <c r="H12820" t="s">
        <v>32683</v>
      </c>
      <c r="I12820" t="s">
        <v>10627</v>
      </c>
      <c r="J12820" t="s">
        <v>40387</v>
      </c>
      <c r="K12820" t="s">
        <v>42311</v>
      </c>
      <c r="M12820" t="s">
        <v>43664</v>
      </c>
      <c r="N12820" t="s">
        <v>46569</v>
      </c>
      <c r="O12820" t="s">
        <v>46570</v>
      </c>
      <c r="P12820">
        <v>0</v>
      </c>
      <c r="Q12820">
        <v>2</v>
      </c>
      <c r="R12820" t="s">
        <v>46584</v>
      </c>
      <c r="S12820" t="s">
        <v>47063</v>
      </c>
      <c r="T12820" t="s">
        <v>48256</v>
      </c>
      <c r="U12820" t="s">
        <v>59048</v>
      </c>
      <c r="W12820" t="s">
        <v>43664</v>
      </c>
      <c r="X12820" t="s">
        <v>46585</v>
      </c>
    </row>
    <row r="12821" spans="1:24">
      <c r="A12821">
        <f>HYPERLINK("https://www.philgeps.gov.ph/GEPSNONPILOT/Tender/SplashBidNoticeAbstractUI.aspx?menuIndex=3&amp;refID=7043006&amp;Result=3","7043006")</f>
        <v>0</v>
      </c>
      <c r="B12821" t="s">
        <v>418</v>
      </c>
      <c r="C12821" t="s">
        <v>15699</v>
      </c>
      <c r="D12821" t="s">
        <v>18784</v>
      </c>
      <c r="E12821" t="s">
        <v>29901</v>
      </c>
      <c r="F12821" t="s">
        <v>32664</v>
      </c>
      <c r="G12821" t="s">
        <v>32672</v>
      </c>
      <c r="H12821" t="s">
        <v>12635</v>
      </c>
      <c r="I12821" t="s">
        <v>6168</v>
      </c>
      <c r="J12821" t="s">
        <v>40388</v>
      </c>
      <c r="K12821" t="s">
        <v>42289</v>
      </c>
      <c r="M12821" t="s">
        <v>46177</v>
      </c>
      <c r="N12821" t="s">
        <v>46569</v>
      </c>
      <c r="O12821" t="s">
        <v>46570</v>
      </c>
      <c r="P12821">
        <v>0</v>
      </c>
      <c r="Q12821">
        <v>1</v>
      </c>
      <c r="R12821" t="s">
        <v>46584</v>
      </c>
      <c r="S12821" t="s">
        <v>47063</v>
      </c>
      <c r="T12821" t="s">
        <v>48285</v>
      </c>
      <c r="U12821" t="s">
        <v>49404</v>
      </c>
      <c r="W12821" t="s">
        <v>46177</v>
      </c>
      <c r="X12821" t="s">
        <v>46585</v>
      </c>
    </row>
    <row r="12822" spans="1:24">
      <c r="A12822">
        <f>HYPERLINK("https://www.philgeps.gov.ph/GEPSNONPILOT/Tender/SplashBidNoticeAbstractUI.aspx?menuIndex=3&amp;refID=7043066&amp;Result=3","7043066")</f>
        <v>0</v>
      </c>
      <c r="B12822" t="s">
        <v>418</v>
      </c>
      <c r="C12822" t="s">
        <v>15700</v>
      </c>
      <c r="D12822" t="s">
        <v>18784</v>
      </c>
      <c r="E12822" t="s">
        <v>29902</v>
      </c>
      <c r="F12822" t="s">
        <v>32664</v>
      </c>
      <c r="G12822" t="s">
        <v>32672</v>
      </c>
      <c r="H12822" t="s">
        <v>12635</v>
      </c>
      <c r="I12822" t="s">
        <v>6118</v>
      </c>
      <c r="J12822" t="s">
        <v>40389</v>
      </c>
      <c r="K12822" t="s">
        <v>42289</v>
      </c>
      <c r="M12822" t="s">
        <v>46177</v>
      </c>
      <c r="N12822" t="s">
        <v>46569</v>
      </c>
      <c r="O12822" t="s">
        <v>46570</v>
      </c>
      <c r="P12822">
        <v>0</v>
      </c>
      <c r="Q12822">
        <v>0</v>
      </c>
      <c r="R12822" t="s">
        <v>46584</v>
      </c>
      <c r="S12822" t="s">
        <v>47063</v>
      </c>
      <c r="T12822" t="s">
        <v>48285</v>
      </c>
      <c r="U12822" t="s">
        <v>49634</v>
      </c>
      <c r="W12822" t="s">
        <v>46177</v>
      </c>
      <c r="X12822" t="s">
        <v>46585</v>
      </c>
    </row>
    <row r="12823" spans="1:24">
      <c r="A12823">
        <f>HYPERLINK("https://www.philgeps.gov.ph/GEPSNONPILOT/Tender/SplashBidNoticeAbstractUI.aspx?menuIndex=3&amp;refID=7043062&amp;Result=3","7043062")</f>
        <v>0</v>
      </c>
      <c r="B12823" t="s">
        <v>418</v>
      </c>
      <c r="C12823" t="s">
        <v>15701</v>
      </c>
      <c r="D12823" t="s">
        <v>18784</v>
      </c>
      <c r="E12823" t="s">
        <v>29903</v>
      </c>
      <c r="F12823" t="s">
        <v>32664</v>
      </c>
      <c r="G12823" t="s">
        <v>32672</v>
      </c>
      <c r="H12823" t="s">
        <v>12635</v>
      </c>
      <c r="I12823" t="s">
        <v>6223</v>
      </c>
      <c r="J12823" t="s">
        <v>40390</v>
      </c>
      <c r="K12823" t="s">
        <v>42289</v>
      </c>
      <c r="M12823" t="s">
        <v>46177</v>
      </c>
      <c r="N12823" t="s">
        <v>46569</v>
      </c>
      <c r="O12823" t="s">
        <v>46570</v>
      </c>
      <c r="P12823">
        <v>0</v>
      </c>
      <c r="Q12823">
        <v>1</v>
      </c>
      <c r="R12823" t="s">
        <v>46584</v>
      </c>
      <c r="S12823" t="s">
        <v>47063</v>
      </c>
      <c r="T12823" t="s">
        <v>48285</v>
      </c>
      <c r="U12823" t="s">
        <v>49872</v>
      </c>
      <c r="W12823" t="s">
        <v>46177</v>
      </c>
      <c r="X12823" t="s">
        <v>46585</v>
      </c>
    </row>
    <row r="12824" spans="1:24">
      <c r="A12824">
        <f>HYPERLINK("https://www.philgeps.gov.ph/GEPSNONPILOT/Tender/SplashBidNoticeAbstractUI.aspx?menuIndex=3&amp;refID=7043185&amp;Result=3","7043185")</f>
        <v>0</v>
      </c>
      <c r="B12824" t="s">
        <v>3253</v>
      </c>
      <c r="C12824" t="s">
        <v>15702</v>
      </c>
      <c r="D12824" t="s">
        <v>18799</v>
      </c>
      <c r="E12824" t="s">
        <v>29904</v>
      </c>
      <c r="F12824" t="s">
        <v>32664</v>
      </c>
      <c r="G12824" t="s">
        <v>32672</v>
      </c>
      <c r="H12824" t="s">
        <v>12635</v>
      </c>
      <c r="I12824" t="s">
        <v>9486</v>
      </c>
      <c r="J12824" t="s">
        <v>40391</v>
      </c>
      <c r="K12824" t="s">
        <v>42309</v>
      </c>
      <c r="M12824" t="s">
        <v>46183</v>
      </c>
      <c r="N12824" t="s">
        <v>46569</v>
      </c>
      <c r="O12824" t="s">
        <v>46570</v>
      </c>
      <c r="P12824">
        <v>0</v>
      </c>
      <c r="Q12824">
        <v>7</v>
      </c>
      <c r="R12824" t="s">
        <v>46584</v>
      </c>
      <c r="S12824" t="s">
        <v>47063</v>
      </c>
      <c r="T12824" t="s">
        <v>48294</v>
      </c>
      <c r="U12824" t="s">
        <v>59061</v>
      </c>
      <c r="V12824" t="s">
        <v>61745</v>
      </c>
      <c r="W12824" t="s">
        <v>46183</v>
      </c>
      <c r="X12824" t="s">
        <v>46585</v>
      </c>
    </row>
    <row r="12825" spans="1:24">
      <c r="A12825">
        <f>HYPERLINK("https://www.philgeps.gov.ph/GEPSNONPILOT/Tender/SplashBidNoticeAbstractUI.aspx?menuIndex=3&amp;refID=7043073&amp;Result=3","7043073")</f>
        <v>0</v>
      </c>
      <c r="B12825" t="s">
        <v>418</v>
      </c>
      <c r="C12825" t="s">
        <v>15703</v>
      </c>
      <c r="D12825" t="s">
        <v>18784</v>
      </c>
      <c r="E12825" t="s">
        <v>29905</v>
      </c>
      <c r="F12825" t="s">
        <v>32664</v>
      </c>
      <c r="G12825" t="s">
        <v>32672</v>
      </c>
      <c r="H12825" t="s">
        <v>12635</v>
      </c>
      <c r="I12825" t="s">
        <v>6118</v>
      </c>
      <c r="J12825" t="s">
        <v>40392</v>
      </c>
      <c r="K12825" t="s">
        <v>42289</v>
      </c>
      <c r="M12825" t="s">
        <v>46177</v>
      </c>
      <c r="N12825" t="s">
        <v>46569</v>
      </c>
      <c r="O12825" t="s">
        <v>46570</v>
      </c>
      <c r="P12825">
        <v>0</v>
      </c>
      <c r="Q12825">
        <v>0</v>
      </c>
      <c r="R12825" t="s">
        <v>46584</v>
      </c>
      <c r="S12825" t="s">
        <v>47063</v>
      </c>
      <c r="T12825" t="s">
        <v>48285</v>
      </c>
      <c r="U12825" t="s">
        <v>49634</v>
      </c>
      <c r="W12825" t="s">
        <v>46177</v>
      </c>
      <c r="X12825" t="s">
        <v>46585</v>
      </c>
    </row>
    <row r="12826" spans="1:24">
      <c r="A12826">
        <f>HYPERLINK("https://www.philgeps.gov.ph/GEPSNONPILOT/Tender/SplashBidNoticeAbstractUI.aspx?menuIndex=3&amp;refID=7043180&amp;Result=3","7043180")</f>
        <v>0</v>
      </c>
      <c r="B12826" t="s">
        <v>418</v>
      </c>
      <c r="C12826" t="s">
        <v>15704</v>
      </c>
      <c r="D12826" t="s">
        <v>18784</v>
      </c>
      <c r="E12826" t="s">
        <v>29906</v>
      </c>
      <c r="F12826" t="s">
        <v>32664</v>
      </c>
      <c r="G12826" t="s">
        <v>32672</v>
      </c>
      <c r="H12826" t="s">
        <v>12635</v>
      </c>
      <c r="I12826" t="s">
        <v>6223</v>
      </c>
      <c r="J12826" t="s">
        <v>40393</v>
      </c>
      <c r="K12826" t="s">
        <v>42289</v>
      </c>
      <c r="M12826" t="s">
        <v>46177</v>
      </c>
      <c r="N12826" t="s">
        <v>46569</v>
      </c>
      <c r="O12826" t="s">
        <v>46570</v>
      </c>
      <c r="P12826">
        <v>0</v>
      </c>
      <c r="Q12826">
        <v>0</v>
      </c>
      <c r="R12826" t="s">
        <v>46584</v>
      </c>
      <c r="S12826" t="s">
        <v>47063</v>
      </c>
      <c r="T12826" t="s">
        <v>48285</v>
      </c>
      <c r="U12826" t="s">
        <v>49872</v>
      </c>
      <c r="W12826" t="s">
        <v>46177</v>
      </c>
      <c r="X12826" t="s">
        <v>46585</v>
      </c>
    </row>
    <row r="12827" spans="1:24">
      <c r="A12827">
        <f>HYPERLINK("https://www.philgeps.gov.ph/GEPSNONPILOT/Tender/SplashBidNoticeAbstractUI.aspx?menuIndex=3&amp;refID=7043091&amp;Result=3","7043091")</f>
        <v>0</v>
      </c>
      <c r="B12827" t="s">
        <v>418</v>
      </c>
      <c r="C12827" t="s">
        <v>15705</v>
      </c>
      <c r="D12827" t="s">
        <v>18784</v>
      </c>
      <c r="E12827" t="s">
        <v>29907</v>
      </c>
      <c r="F12827" t="s">
        <v>32664</v>
      </c>
      <c r="G12827" t="s">
        <v>32672</v>
      </c>
      <c r="H12827" t="s">
        <v>12635</v>
      </c>
      <c r="I12827" t="s">
        <v>6168</v>
      </c>
      <c r="J12827" t="s">
        <v>40394</v>
      </c>
      <c r="K12827" t="s">
        <v>42289</v>
      </c>
      <c r="M12827" t="s">
        <v>46177</v>
      </c>
      <c r="N12827" t="s">
        <v>46569</v>
      </c>
      <c r="O12827" t="s">
        <v>46570</v>
      </c>
      <c r="P12827">
        <v>0</v>
      </c>
      <c r="Q12827">
        <v>0</v>
      </c>
      <c r="R12827" t="s">
        <v>46584</v>
      </c>
      <c r="S12827" t="s">
        <v>47063</v>
      </c>
      <c r="T12827" t="s">
        <v>48285</v>
      </c>
      <c r="U12827" t="s">
        <v>49404</v>
      </c>
      <c r="W12827" t="s">
        <v>46177</v>
      </c>
      <c r="X12827" t="s">
        <v>46585</v>
      </c>
    </row>
    <row r="12828" spans="1:24">
      <c r="A12828">
        <f>HYPERLINK("https://www.philgeps.gov.ph/GEPSNONPILOT/Tender/SplashBidNoticeAbstractUI.aspx?menuIndex=3&amp;refID=7043171&amp;Result=3","7043171")</f>
        <v>0</v>
      </c>
      <c r="B12828" t="s">
        <v>3254</v>
      </c>
      <c r="C12828" t="s">
        <v>15706</v>
      </c>
      <c r="D12828" t="s">
        <v>18856</v>
      </c>
      <c r="E12828" t="s">
        <v>21086</v>
      </c>
      <c r="F12828" t="s">
        <v>32668</v>
      </c>
      <c r="G12828" t="s">
        <v>32672</v>
      </c>
      <c r="H12828" t="s">
        <v>12635</v>
      </c>
      <c r="I12828" t="s">
        <v>4439</v>
      </c>
      <c r="J12828" t="s">
        <v>40395</v>
      </c>
      <c r="K12828" t="s">
        <v>42281</v>
      </c>
      <c r="M12828" t="s">
        <v>46184</v>
      </c>
      <c r="N12828" t="s">
        <v>46569</v>
      </c>
      <c r="O12828" t="s">
        <v>46570</v>
      </c>
      <c r="P12828">
        <v>0</v>
      </c>
      <c r="Q12828">
        <v>0</v>
      </c>
      <c r="R12828" t="s">
        <v>46584</v>
      </c>
      <c r="S12828" t="s">
        <v>47063</v>
      </c>
      <c r="T12828" t="s">
        <v>48502</v>
      </c>
      <c r="U12828" t="s">
        <v>59062</v>
      </c>
      <c r="W12828" t="s">
        <v>46184</v>
      </c>
      <c r="X12828" t="s">
        <v>46585</v>
      </c>
    </row>
    <row r="12829" spans="1:24">
      <c r="A12829">
        <f>HYPERLINK("https://www.philgeps.gov.ph/GEPSNONPILOT/Tender/SplashBidNoticeAbstractUI.aspx?menuIndex=3&amp;refID=7043064&amp;Result=3","7043064")</f>
        <v>0</v>
      </c>
      <c r="B12829" t="s">
        <v>138</v>
      </c>
      <c r="C12829" t="s">
        <v>15707</v>
      </c>
      <c r="D12829" t="s">
        <v>18792</v>
      </c>
      <c r="E12829" t="s">
        <v>19304</v>
      </c>
      <c r="F12829" t="s">
        <v>32664</v>
      </c>
      <c r="G12829" t="s">
        <v>32672</v>
      </c>
      <c r="H12829" t="s">
        <v>32681</v>
      </c>
      <c r="I12829" t="s">
        <v>32681</v>
      </c>
      <c r="J12829" t="s">
        <v>39422</v>
      </c>
      <c r="K12829" t="s">
        <v>42290</v>
      </c>
      <c r="M12829" t="s">
        <v>42702</v>
      </c>
      <c r="N12829" t="s">
        <v>46569</v>
      </c>
      <c r="O12829" t="s">
        <v>46570</v>
      </c>
      <c r="Q12829">
        <v>5</v>
      </c>
      <c r="R12829" t="s">
        <v>46584</v>
      </c>
      <c r="S12829" t="s">
        <v>47136</v>
      </c>
      <c r="T12829" t="s">
        <v>48427</v>
      </c>
      <c r="U12829" t="s">
        <v>59063</v>
      </c>
      <c r="V12829" t="s">
        <v>63044</v>
      </c>
      <c r="W12829" t="s">
        <v>42702</v>
      </c>
      <c r="X12829" t="s">
        <v>46585</v>
      </c>
    </row>
    <row r="12830" spans="1:24">
      <c r="A12830">
        <f>HYPERLINK("https://www.philgeps.gov.ph/GEPSNONPILOT/Tender/SplashBidNoticeAbstractUI.aspx?menuIndex=3&amp;refID=7043166&amp;Result=3","7043166")</f>
        <v>0</v>
      </c>
      <c r="B12830" t="s">
        <v>418</v>
      </c>
      <c r="C12830" t="s">
        <v>15708</v>
      </c>
      <c r="D12830" t="s">
        <v>18784</v>
      </c>
      <c r="E12830" t="s">
        <v>29908</v>
      </c>
      <c r="F12830" t="s">
        <v>32664</v>
      </c>
      <c r="G12830" t="s">
        <v>32672</v>
      </c>
      <c r="H12830" t="s">
        <v>12635</v>
      </c>
      <c r="I12830" t="s">
        <v>6118</v>
      </c>
      <c r="J12830" t="s">
        <v>40396</v>
      </c>
      <c r="K12830" t="s">
        <v>42289</v>
      </c>
      <c r="M12830" t="s">
        <v>46177</v>
      </c>
      <c r="N12830" t="s">
        <v>46569</v>
      </c>
      <c r="O12830" t="s">
        <v>46570</v>
      </c>
      <c r="P12830">
        <v>0</v>
      </c>
      <c r="Q12830">
        <v>0</v>
      </c>
      <c r="R12830" t="s">
        <v>46584</v>
      </c>
      <c r="S12830" t="s">
        <v>47063</v>
      </c>
      <c r="T12830" t="s">
        <v>48285</v>
      </c>
      <c r="U12830" t="s">
        <v>49634</v>
      </c>
      <c r="W12830" t="s">
        <v>46177</v>
      </c>
      <c r="X12830" t="s">
        <v>46585</v>
      </c>
    </row>
    <row r="12831" spans="1:24">
      <c r="A12831">
        <f>HYPERLINK("https://www.philgeps.gov.ph/GEPSNONPILOT/Tender/SplashBidNoticeAbstractUI.aspx?menuIndex=3&amp;refID=7043175&amp;Result=3","7043175")</f>
        <v>0</v>
      </c>
      <c r="B12831" t="s">
        <v>418</v>
      </c>
      <c r="C12831" t="s">
        <v>15709</v>
      </c>
      <c r="D12831" t="s">
        <v>18784</v>
      </c>
      <c r="E12831" t="s">
        <v>29909</v>
      </c>
      <c r="F12831" t="s">
        <v>32664</v>
      </c>
      <c r="G12831" t="s">
        <v>32672</v>
      </c>
      <c r="H12831" t="s">
        <v>12635</v>
      </c>
      <c r="I12831" t="s">
        <v>6223</v>
      </c>
      <c r="J12831" t="s">
        <v>40397</v>
      </c>
      <c r="K12831" t="s">
        <v>42289</v>
      </c>
      <c r="M12831" t="s">
        <v>46177</v>
      </c>
      <c r="N12831" t="s">
        <v>46569</v>
      </c>
      <c r="O12831" t="s">
        <v>46570</v>
      </c>
      <c r="P12831">
        <v>0</v>
      </c>
      <c r="Q12831">
        <v>0</v>
      </c>
      <c r="R12831" t="s">
        <v>46584</v>
      </c>
      <c r="S12831" t="s">
        <v>47063</v>
      </c>
      <c r="T12831" t="s">
        <v>48285</v>
      </c>
      <c r="U12831" t="s">
        <v>49872</v>
      </c>
      <c r="W12831" t="s">
        <v>46177</v>
      </c>
      <c r="X12831" t="s">
        <v>46585</v>
      </c>
    </row>
    <row r="12832" spans="1:24">
      <c r="A12832">
        <f>HYPERLINK("https://www.philgeps.gov.ph/GEPSNONPILOT/Tender/SplashBidNoticeAbstractUI.aspx?menuIndex=3&amp;refID=7043163&amp;Result=3","7043163")</f>
        <v>0</v>
      </c>
      <c r="B12832" t="s">
        <v>3255</v>
      </c>
      <c r="C12832" t="s">
        <v>15710</v>
      </c>
      <c r="D12832" t="s">
        <v>18798</v>
      </c>
      <c r="E12832" t="s">
        <v>29910</v>
      </c>
      <c r="F12832" t="s">
        <v>32664</v>
      </c>
      <c r="G12832" t="s">
        <v>32672</v>
      </c>
      <c r="H12832" t="s">
        <v>32683</v>
      </c>
      <c r="I12832" t="s">
        <v>10627</v>
      </c>
      <c r="J12832" t="s">
        <v>40398</v>
      </c>
      <c r="K12832" t="s">
        <v>42397</v>
      </c>
      <c r="M12832" t="s">
        <v>46185</v>
      </c>
      <c r="N12832" t="s">
        <v>46569</v>
      </c>
      <c r="O12832" t="s">
        <v>46570</v>
      </c>
      <c r="P12832">
        <v>0</v>
      </c>
      <c r="Q12832">
        <v>35</v>
      </c>
      <c r="R12832" t="s">
        <v>46584</v>
      </c>
      <c r="S12832" t="s">
        <v>47063</v>
      </c>
      <c r="T12832" t="s">
        <v>48283</v>
      </c>
      <c r="U12832" t="s">
        <v>59064</v>
      </c>
      <c r="V12832" t="s">
        <v>63045</v>
      </c>
      <c r="W12832" t="s">
        <v>46185</v>
      </c>
      <c r="X12832" t="s">
        <v>46585</v>
      </c>
    </row>
    <row r="12833" spans="1:24">
      <c r="A12833">
        <f>HYPERLINK("https://www.philgeps.gov.ph/GEPSNONPILOT/Tender/SplashBidNoticeAbstractUI.aspx?menuIndex=3&amp;refID=7043157&amp;Result=3","7043157")</f>
        <v>0</v>
      </c>
      <c r="B12833" t="s">
        <v>3253</v>
      </c>
      <c r="C12833" t="s">
        <v>15711</v>
      </c>
      <c r="D12833" t="s">
        <v>18799</v>
      </c>
      <c r="E12833" t="s">
        <v>29911</v>
      </c>
      <c r="F12833" t="s">
        <v>32664</v>
      </c>
      <c r="G12833" t="s">
        <v>32672</v>
      </c>
      <c r="H12833" t="s">
        <v>12635</v>
      </c>
      <c r="I12833" t="s">
        <v>32706</v>
      </c>
      <c r="J12833" t="s">
        <v>40399</v>
      </c>
      <c r="K12833" t="s">
        <v>42309</v>
      </c>
      <c r="M12833" t="s">
        <v>46183</v>
      </c>
      <c r="N12833" t="s">
        <v>46569</v>
      </c>
      <c r="O12833" t="s">
        <v>46570</v>
      </c>
      <c r="P12833">
        <v>0</v>
      </c>
      <c r="Q12833">
        <v>0</v>
      </c>
      <c r="R12833" t="s">
        <v>46584</v>
      </c>
      <c r="S12833" t="s">
        <v>47063</v>
      </c>
      <c r="T12833" t="s">
        <v>48294</v>
      </c>
      <c r="U12833" t="s">
        <v>59065</v>
      </c>
      <c r="V12833" t="s">
        <v>61745</v>
      </c>
      <c r="W12833" t="s">
        <v>46183</v>
      </c>
      <c r="X12833" t="s">
        <v>46585</v>
      </c>
    </row>
    <row r="12834" spans="1:24">
      <c r="A12834">
        <f>HYPERLINK("https://www.philgeps.gov.ph/GEPSNONPILOT/Tender/SplashBidNoticeAbstractUI.aspx?menuIndex=3&amp;refID=7043173&amp;Result=3","7043173")</f>
        <v>0</v>
      </c>
      <c r="B12834" t="s">
        <v>3253</v>
      </c>
      <c r="C12834" t="s">
        <v>15712</v>
      </c>
      <c r="D12834" t="s">
        <v>18799</v>
      </c>
      <c r="E12834" t="s">
        <v>29912</v>
      </c>
      <c r="F12834" t="s">
        <v>32664</v>
      </c>
      <c r="G12834" t="s">
        <v>32672</v>
      </c>
      <c r="H12834" t="s">
        <v>12635</v>
      </c>
      <c r="I12834" t="s">
        <v>6223</v>
      </c>
      <c r="J12834" t="s">
        <v>40400</v>
      </c>
      <c r="K12834" t="s">
        <v>42309</v>
      </c>
      <c r="M12834" t="s">
        <v>46183</v>
      </c>
      <c r="N12834" t="s">
        <v>46569</v>
      </c>
      <c r="O12834" t="s">
        <v>46570</v>
      </c>
      <c r="P12834">
        <v>0</v>
      </c>
      <c r="Q12834">
        <v>2</v>
      </c>
      <c r="R12834" t="s">
        <v>46584</v>
      </c>
      <c r="S12834" t="s">
        <v>47063</v>
      </c>
      <c r="T12834" t="s">
        <v>48294</v>
      </c>
      <c r="U12834" t="s">
        <v>59066</v>
      </c>
      <c r="V12834" t="s">
        <v>61745</v>
      </c>
      <c r="W12834" t="s">
        <v>46183</v>
      </c>
      <c r="X12834" t="s">
        <v>46585</v>
      </c>
    </row>
    <row r="12835" spans="1:24">
      <c r="A12835">
        <f>HYPERLINK("https://www.philgeps.gov.ph/GEPSNONPILOT/Tender/SplashBidNoticeAbstractUI.aspx?menuIndex=3&amp;refID=7043096&amp;Result=3","7043096")</f>
        <v>0</v>
      </c>
      <c r="B12835" t="s">
        <v>418</v>
      </c>
      <c r="C12835" t="s">
        <v>15713</v>
      </c>
      <c r="D12835" t="s">
        <v>18784</v>
      </c>
      <c r="E12835" t="s">
        <v>29913</v>
      </c>
      <c r="F12835" t="s">
        <v>32664</v>
      </c>
      <c r="G12835" t="s">
        <v>32672</v>
      </c>
      <c r="H12835" t="s">
        <v>12635</v>
      </c>
      <c r="I12835" t="s">
        <v>6168</v>
      </c>
      <c r="J12835" t="s">
        <v>40401</v>
      </c>
      <c r="K12835" t="s">
        <v>42289</v>
      </c>
      <c r="M12835" t="s">
        <v>46177</v>
      </c>
      <c r="N12835" t="s">
        <v>46569</v>
      </c>
      <c r="O12835" t="s">
        <v>46570</v>
      </c>
      <c r="P12835">
        <v>0</v>
      </c>
      <c r="Q12835">
        <v>0</v>
      </c>
      <c r="R12835" t="s">
        <v>46584</v>
      </c>
      <c r="S12835" t="s">
        <v>47063</v>
      </c>
      <c r="T12835" t="s">
        <v>48285</v>
      </c>
      <c r="U12835" t="s">
        <v>49404</v>
      </c>
      <c r="W12835" t="s">
        <v>46177</v>
      </c>
      <c r="X12835" t="s">
        <v>46585</v>
      </c>
    </row>
    <row r="12836" spans="1:24">
      <c r="A12836">
        <f>HYPERLINK("https://www.philgeps.gov.ph/GEPSNONPILOT/Tender/SplashBidNoticeAbstractUI.aspx?menuIndex=3&amp;refID=7043149&amp;Result=3","7043149")</f>
        <v>0</v>
      </c>
      <c r="B12836" t="s">
        <v>3255</v>
      </c>
      <c r="C12836" t="s">
        <v>15714</v>
      </c>
      <c r="D12836" t="s">
        <v>18798</v>
      </c>
      <c r="E12836" t="s">
        <v>29914</v>
      </c>
      <c r="F12836" t="s">
        <v>32664</v>
      </c>
      <c r="G12836" t="s">
        <v>32672</v>
      </c>
      <c r="H12836" t="s">
        <v>32683</v>
      </c>
      <c r="I12836" t="s">
        <v>10627</v>
      </c>
      <c r="J12836" t="s">
        <v>40402</v>
      </c>
      <c r="K12836" t="s">
        <v>42290</v>
      </c>
      <c r="M12836" t="s">
        <v>46185</v>
      </c>
      <c r="N12836" t="s">
        <v>46569</v>
      </c>
      <c r="O12836" t="s">
        <v>46570</v>
      </c>
      <c r="P12836">
        <v>0</v>
      </c>
      <c r="Q12836">
        <v>34</v>
      </c>
      <c r="R12836" t="s">
        <v>46584</v>
      </c>
      <c r="S12836" t="s">
        <v>47063</v>
      </c>
      <c r="T12836" t="s">
        <v>48283</v>
      </c>
      <c r="U12836" t="s">
        <v>59067</v>
      </c>
      <c r="V12836" t="s">
        <v>63045</v>
      </c>
      <c r="W12836" t="s">
        <v>46185</v>
      </c>
      <c r="X12836" t="s">
        <v>46585</v>
      </c>
    </row>
    <row r="12837" spans="1:24">
      <c r="A12837">
        <f>HYPERLINK("https://www.philgeps.gov.ph/GEPSNONPILOT/Tender/SplashBidNoticeAbstractUI.aspx?menuIndex=3&amp;refID=7043174&amp;Result=3","7043174")</f>
        <v>0</v>
      </c>
      <c r="B12837" t="s">
        <v>2314</v>
      </c>
      <c r="C12837" t="s">
        <v>15715</v>
      </c>
      <c r="D12837" t="s">
        <v>18781</v>
      </c>
      <c r="E12837" t="s">
        <v>29915</v>
      </c>
      <c r="F12837" t="s">
        <v>32664</v>
      </c>
      <c r="G12837" t="s">
        <v>32672</v>
      </c>
      <c r="H12837" t="s">
        <v>12635</v>
      </c>
      <c r="I12837" t="s">
        <v>8797</v>
      </c>
      <c r="J12837" t="s">
        <v>40403</v>
      </c>
      <c r="K12837" t="s">
        <v>42314</v>
      </c>
      <c r="M12837" t="s">
        <v>45088</v>
      </c>
      <c r="N12837" t="s">
        <v>46569</v>
      </c>
      <c r="O12837" t="s">
        <v>46570</v>
      </c>
      <c r="P12837">
        <v>0</v>
      </c>
      <c r="Q12837">
        <v>2</v>
      </c>
      <c r="R12837" t="s">
        <v>46584</v>
      </c>
      <c r="S12837" t="s">
        <v>47063</v>
      </c>
      <c r="T12837" t="s">
        <v>48304</v>
      </c>
      <c r="U12837" t="s">
        <v>59068</v>
      </c>
      <c r="W12837" t="s">
        <v>45088</v>
      </c>
      <c r="X12837" t="s">
        <v>46585</v>
      </c>
    </row>
    <row r="12838" spans="1:24">
      <c r="A12838">
        <f>HYPERLINK("https://www.philgeps.gov.ph/GEPSNONPILOT/Tender/SplashBidNoticeAbstractUI.aspx?menuIndex=3&amp;refID=7043160&amp;Result=3","7043160")</f>
        <v>0</v>
      </c>
      <c r="B12838" t="s">
        <v>418</v>
      </c>
      <c r="C12838" t="s">
        <v>15716</v>
      </c>
      <c r="D12838" t="s">
        <v>18784</v>
      </c>
      <c r="E12838" t="s">
        <v>29916</v>
      </c>
      <c r="F12838" t="s">
        <v>32664</v>
      </c>
      <c r="G12838" t="s">
        <v>32672</v>
      </c>
      <c r="H12838" t="s">
        <v>12635</v>
      </c>
      <c r="I12838" t="s">
        <v>6118</v>
      </c>
      <c r="J12838" t="s">
        <v>40404</v>
      </c>
      <c r="K12838" t="s">
        <v>42289</v>
      </c>
      <c r="M12838" t="s">
        <v>46177</v>
      </c>
      <c r="N12838" t="s">
        <v>46569</v>
      </c>
      <c r="O12838" t="s">
        <v>46570</v>
      </c>
      <c r="P12838">
        <v>0</v>
      </c>
      <c r="Q12838">
        <v>0</v>
      </c>
      <c r="R12838" t="s">
        <v>46584</v>
      </c>
      <c r="S12838" t="s">
        <v>47063</v>
      </c>
      <c r="T12838" t="s">
        <v>48285</v>
      </c>
      <c r="U12838" t="s">
        <v>49634</v>
      </c>
      <c r="W12838" t="s">
        <v>46177</v>
      </c>
      <c r="X12838" t="s">
        <v>46585</v>
      </c>
    </row>
    <row r="12839" spans="1:24">
      <c r="A12839">
        <f>HYPERLINK("https://www.philgeps.gov.ph/GEPSNONPILOT/Tender/SplashBidNoticeAbstractUI.aspx?menuIndex=3&amp;refID=7043273&amp;Result=3","7043273")</f>
        <v>0</v>
      </c>
      <c r="B12839" t="s">
        <v>1008</v>
      </c>
      <c r="C12839" t="s">
        <v>15717</v>
      </c>
      <c r="D12839" t="s">
        <v>18786</v>
      </c>
      <c r="E12839" t="s">
        <v>29917</v>
      </c>
      <c r="F12839" t="s">
        <v>32664</v>
      </c>
      <c r="G12839" t="s">
        <v>32672</v>
      </c>
      <c r="H12839" t="s">
        <v>32683</v>
      </c>
      <c r="I12839" t="s">
        <v>10627</v>
      </c>
      <c r="J12839" t="s">
        <v>34075</v>
      </c>
      <c r="K12839" t="s">
        <v>42308</v>
      </c>
      <c r="L12839" t="s">
        <v>1008</v>
      </c>
      <c r="M12839" t="s">
        <v>43620</v>
      </c>
      <c r="N12839" t="s">
        <v>46569</v>
      </c>
      <c r="O12839" t="s">
        <v>46570</v>
      </c>
      <c r="P12839">
        <v>0</v>
      </c>
      <c r="Q12839">
        <v>3</v>
      </c>
      <c r="R12839" t="s">
        <v>46584</v>
      </c>
      <c r="S12839" t="s">
        <v>47063</v>
      </c>
      <c r="T12839" t="s">
        <v>48225</v>
      </c>
      <c r="U12839" t="s">
        <v>59069</v>
      </c>
      <c r="W12839" t="s">
        <v>43620</v>
      </c>
      <c r="X12839" t="s">
        <v>46585</v>
      </c>
    </row>
    <row r="12840" spans="1:24">
      <c r="A12840">
        <f>HYPERLINK("https://www.philgeps.gov.ph/GEPSNONPILOT/Tender/SplashBidNoticeAbstractUI.aspx?menuIndex=3&amp;refID=7043154&amp;Result=3","7043154")</f>
        <v>0</v>
      </c>
      <c r="B12840" t="s">
        <v>2173</v>
      </c>
      <c r="C12840" t="s">
        <v>15718</v>
      </c>
      <c r="D12840" t="s">
        <v>18816</v>
      </c>
      <c r="E12840" t="s">
        <v>29918</v>
      </c>
      <c r="F12840" t="s">
        <v>32664</v>
      </c>
      <c r="G12840" t="s">
        <v>32672</v>
      </c>
      <c r="H12840" t="s">
        <v>32683</v>
      </c>
      <c r="I12840" t="s">
        <v>10627</v>
      </c>
      <c r="J12840" t="s">
        <v>40405</v>
      </c>
      <c r="K12840" t="s">
        <v>42290</v>
      </c>
      <c r="M12840" t="s">
        <v>46181</v>
      </c>
      <c r="N12840" t="s">
        <v>46569</v>
      </c>
      <c r="O12840" t="s">
        <v>46570</v>
      </c>
      <c r="P12840">
        <v>0</v>
      </c>
      <c r="Q12840">
        <v>0</v>
      </c>
      <c r="R12840" t="s">
        <v>46584</v>
      </c>
      <c r="S12840" t="s">
        <v>47063</v>
      </c>
      <c r="T12840" t="s">
        <v>48268</v>
      </c>
      <c r="U12840" t="s">
        <v>59070</v>
      </c>
      <c r="W12840" t="s">
        <v>46181</v>
      </c>
      <c r="X12840" t="s">
        <v>46585</v>
      </c>
    </row>
    <row r="12841" spans="1:24">
      <c r="A12841">
        <f>HYPERLINK("https://www.philgeps.gov.ph/GEPSNONPILOT/Tender/SplashBidNoticeAbstractUI.aspx?menuIndex=3&amp;refID=7043262&amp;Result=3","7043262")</f>
        <v>0</v>
      </c>
      <c r="B12841" t="s">
        <v>3169</v>
      </c>
      <c r="C12841" t="s">
        <v>15719</v>
      </c>
      <c r="D12841" t="s">
        <v>18827</v>
      </c>
      <c r="E12841" t="s">
        <v>29919</v>
      </c>
      <c r="F12841" t="s">
        <v>32664</v>
      </c>
      <c r="G12841" t="s">
        <v>32672</v>
      </c>
      <c r="H12841" t="s">
        <v>12635</v>
      </c>
      <c r="I12841" t="s">
        <v>5589</v>
      </c>
      <c r="J12841" t="s">
        <v>33150</v>
      </c>
      <c r="K12841" t="s">
        <v>42289</v>
      </c>
      <c r="M12841" t="s">
        <v>46075</v>
      </c>
      <c r="N12841" t="s">
        <v>46569</v>
      </c>
      <c r="O12841" t="s">
        <v>46570</v>
      </c>
      <c r="Q12841">
        <v>3</v>
      </c>
      <c r="R12841" t="s">
        <v>46584</v>
      </c>
      <c r="S12841" t="s">
        <v>47137</v>
      </c>
      <c r="T12841" t="s">
        <v>48225</v>
      </c>
      <c r="U12841" t="s">
        <v>59071</v>
      </c>
      <c r="V12841" t="s">
        <v>63046</v>
      </c>
      <c r="W12841" t="s">
        <v>46075</v>
      </c>
      <c r="X12841" t="s">
        <v>46585</v>
      </c>
    </row>
    <row r="12842" spans="1:24">
      <c r="A12842">
        <f>HYPERLINK("https://www.philgeps.gov.ph/GEPSNONPILOT/Tender/SplashBidNoticeAbstractUI.aspx?menuIndex=3&amp;refID=7043260&amp;Result=3","7043260")</f>
        <v>0</v>
      </c>
      <c r="B12842" t="s">
        <v>3169</v>
      </c>
      <c r="C12842" t="s">
        <v>15720</v>
      </c>
      <c r="D12842" t="s">
        <v>18827</v>
      </c>
      <c r="E12842" t="s">
        <v>29920</v>
      </c>
      <c r="F12842" t="s">
        <v>32664</v>
      </c>
      <c r="G12842" t="s">
        <v>32672</v>
      </c>
      <c r="H12842" t="s">
        <v>12635</v>
      </c>
      <c r="I12842" t="s">
        <v>32689</v>
      </c>
      <c r="J12842" t="s">
        <v>37027</v>
      </c>
      <c r="K12842" t="s">
        <v>42289</v>
      </c>
      <c r="M12842" t="s">
        <v>46075</v>
      </c>
      <c r="N12842" t="s">
        <v>46569</v>
      </c>
      <c r="O12842" t="s">
        <v>46570</v>
      </c>
      <c r="Q12842">
        <v>12</v>
      </c>
      <c r="R12842" t="s">
        <v>46584</v>
      </c>
      <c r="S12842" t="s">
        <v>47138</v>
      </c>
      <c r="T12842" t="s">
        <v>48225</v>
      </c>
      <c r="U12842" t="s">
        <v>59072</v>
      </c>
      <c r="W12842" t="s">
        <v>46075</v>
      </c>
      <c r="X12842" t="s">
        <v>46585</v>
      </c>
    </row>
    <row r="12843" spans="1:24">
      <c r="A12843">
        <f>HYPERLINK("https://www.philgeps.gov.ph/GEPSNONPILOT/Tender/SplashBidNoticeAbstractUI.aspx?menuIndex=3&amp;refID=7043257&amp;Result=3","7043257")</f>
        <v>0</v>
      </c>
      <c r="B12843" t="s">
        <v>3169</v>
      </c>
      <c r="C12843" t="s">
        <v>15721</v>
      </c>
      <c r="D12843" t="s">
        <v>18827</v>
      </c>
      <c r="E12843" t="s">
        <v>29921</v>
      </c>
      <c r="F12843" t="s">
        <v>32664</v>
      </c>
      <c r="G12843" t="s">
        <v>32672</v>
      </c>
      <c r="H12843" t="s">
        <v>12635</v>
      </c>
      <c r="I12843" t="s">
        <v>7324</v>
      </c>
      <c r="J12843" t="s">
        <v>32981</v>
      </c>
      <c r="K12843" t="s">
        <v>42289</v>
      </c>
      <c r="M12843" t="s">
        <v>46075</v>
      </c>
      <c r="N12843" t="s">
        <v>46569</v>
      </c>
      <c r="O12843" t="s">
        <v>46570</v>
      </c>
      <c r="P12843">
        <v>0</v>
      </c>
      <c r="Q12843">
        <v>6</v>
      </c>
      <c r="R12843" t="s">
        <v>46584</v>
      </c>
      <c r="S12843" t="s">
        <v>47063</v>
      </c>
      <c r="T12843" t="s">
        <v>48225</v>
      </c>
      <c r="U12843" t="s">
        <v>59073</v>
      </c>
      <c r="W12843" t="s">
        <v>46075</v>
      </c>
      <c r="X12843" t="s">
        <v>46585</v>
      </c>
    </row>
    <row r="12844" spans="1:24">
      <c r="A12844">
        <f>HYPERLINK("https://www.philgeps.gov.ph/GEPSNONPILOT/Tender/SplashBidNoticeAbstractUI.aspx?menuIndex=3&amp;refID=7043249&amp;Result=3","7043249")</f>
        <v>0</v>
      </c>
      <c r="B12844" t="s">
        <v>1197</v>
      </c>
      <c r="C12844" t="s">
        <v>15722</v>
      </c>
      <c r="D12844" t="s">
        <v>18784</v>
      </c>
      <c r="E12844" t="s">
        <v>29922</v>
      </c>
      <c r="F12844" t="s">
        <v>32664</v>
      </c>
      <c r="G12844" t="s">
        <v>32672</v>
      </c>
      <c r="H12844" t="s">
        <v>12635</v>
      </c>
      <c r="I12844" t="s">
        <v>32722</v>
      </c>
      <c r="J12844" t="s">
        <v>40406</v>
      </c>
      <c r="K12844" t="s">
        <v>42538</v>
      </c>
      <c r="M12844" t="s">
        <v>46186</v>
      </c>
      <c r="N12844" t="s">
        <v>46569</v>
      </c>
      <c r="O12844" t="s">
        <v>46570</v>
      </c>
      <c r="Q12844">
        <v>17</v>
      </c>
      <c r="R12844" t="s">
        <v>46584</v>
      </c>
      <c r="S12844" t="s">
        <v>47139</v>
      </c>
      <c r="T12844" t="s">
        <v>48296</v>
      </c>
      <c r="U12844" t="s">
        <v>59074</v>
      </c>
      <c r="W12844" t="s">
        <v>46186</v>
      </c>
      <c r="X12844" t="s">
        <v>46585</v>
      </c>
    </row>
    <row r="12845" spans="1:24">
      <c r="A12845">
        <f>HYPERLINK("https://www.philgeps.gov.ph/GEPSNONPILOT/Tender/SplashBidNoticeAbstractUI.aspx?menuIndex=3&amp;refID=7043240&amp;Result=3","7043240")</f>
        <v>0</v>
      </c>
      <c r="B12845" t="s">
        <v>2551</v>
      </c>
      <c r="C12845" t="s">
        <v>15723</v>
      </c>
      <c r="D12845" t="s">
        <v>18784</v>
      </c>
      <c r="E12845" t="s">
        <v>29923</v>
      </c>
      <c r="F12845" t="s">
        <v>32664</v>
      </c>
      <c r="G12845" t="s">
        <v>32672</v>
      </c>
      <c r="H12845" t="s">
        <v>12635</v>
      </c>
      <c r="I12845" t="s">
        <v>32704</v>
      </c>
      <c r="J12845" t="s">
        <v>34148</v>
      </c>
      <c r="K12845" t="s">
        <v>42298</v>
      </c>
      <c r="M12845" t="s">
        <v>45361</v>
      </c>
      <c r="N12845" t="s">
        <v>46569</v>
      </c>
      <c r="O12845" t="s">
        <v>46570</v>
      </c>
      <c r="P12845">
        <v>0</v>
      </c>
      <c r="Q12845">
        <v>11</v>
      </c>
      <c r="R12845" t="s">
        <v>46584</v>
      </c>
      <c r="S12845" t="s">
        <v>47063</v>
      </c>
      <c r="T12845" t="s">
        <v>48284</v>
      </c>
      <c r="U12845" t="s">
        <v>59075</v>
      </c>
      <c r="W12845" t="s">
        <v>45361</v>
      </c>
      <c r="X12845" t="s">
        <v>46585</v>
      </c>
    </row>
    <row r="12846" spans="1:24">
      <c r="A12846">
        <f>HYPERLINK("https://www.philgeps.gov.ph/GEPSNONPILOT/Tender/SplashBidNoticeAbstractUI.aspx?menuIndex=3&amp;refID=7043239&amp;Result=3","7043239")</f>
        <v>0</v>
      </c>
      <c r="B12846" t="s">
        <v>673</v>
      </c>
      <c r="C12846" t="s">
        <v>15724</v>
      </c>
      <c r="D12846" t="s">
        <v>18799</v>
      </c>
      <c r="E12846" t="s">
        <v>21732</v>
      </c>
      <c r="F12846" t="s">
        <v>32664</v>
      </c>
      <c r="G12846" t="s">
        <v>32672</v>
      </c>
      <c r="H12846" t="s">
        <v>12635</v>
      </c>
      <c r="I12846" t="s">
        <v>32716</v>
      </c>
      <c r="J12846" t="s">
        <v>40407</v>
      </c>
      <c r="K12846" t="s">
        <v>42283</v>
      </c>
      <c r="M12846" t="s">
        <v>43260</v>
      </c>
      <c r="N12846" t="s">
        <v>46569</v>
      </c>
      <c r="O12846" t="s">
        <v>46570</v>
      </c>
      <c r="P12846">
        <v>0</v>
      </c>
      <c r="Q12846">
        <v>1</v>
      </c>
      <c r="R12846" t="s">
        <v>46584</v>
      </c>
      <c r="S12846" t="s">
        <v>47063</v>
      </c>
      <c r="T12846" t="s">
        <v>48330</v>
      </c>
      <c r="U12846" t="s">
        <v>59076</v>
      </c>
      <c r="W12846" t="s">
        <v>43260</v>
      </c>
      <c r="X12846" t="s">
        <v>46585</v>
      </c>
    </row>
    <row r="12847" spans="1:24">
      <c r="A12847">
        <f>HYPERLINK("https://www.philgeps.gov.ph/GEPSNONPILOT/Tender/SplashBidNoticeAbstractUI.aspx?menuIndex=3&amp;refID=7043233&amp;Result=3","7043233")</f>
        <v>0</v>
      </c>
      <c r="B12847" t="s">
        <v>673</v>
      </c>
      <c r="C12847" t="s">
        <v>15725</v>
      </c>
      <c r="D12847" t="s">
        <v>18799</v>
      </c>
      <c r="E12847" t="s">
        <v>21625</v>
      </c>
      <c r="F12847" t="s">
        <v>32664</v>
      </c>
      <c r="G12847" t="s">
        <v>32672</v>
      </c>
      <c r="H12847" t="s">
        <v>12635</v>
      </c>
      <c r="I12847" t="s">
        <v>32716</v>
      </c>
      <c r="J12847" t="s">
        <v>40408</v>
      </c>
      <c r="K12847" t="s">
        <v>42283</v>
      </c>
      <c r="M12847" t="s">
        <v>43260</v>
      </c>
      <c r="N12847" t="s">
        <v>46569</v>
      </c>
      <c r="O12847" t="s">
        <v>46570</v>
      </c>
      <c r="P12847">
        <v>0</v>
      </c>
      <c r="Q12847">
        <v>4</v>
      </c>
      <c r="R12847" t="s">
        <v>46584</v>
      </c>
      <c r="S12847" t="s">
        <v>47063</v>
      </c>
      <c r="T12847" t="s">
        <v>48330</v>
      </c>
      <c r="U12847" t="s">
        <v>59076</v>
      </c>
      <c r="W12847" t="s">
        <v>43260</v>
      </c>
      <c r="X12847" t="s">
        <v>46585</v>
      </c>
    </row>
    <row r="12848" spans="1:24">
      <c r="A12848">
        <f>HYPERLINK("https://www.philgeps.gov.ph/GEPSNONPILOT/Tender/SplashBidNoticeAbstractUI.aspx?menuIndex=3&amp;refID=7043225&amp;Result=3","7043225")</f>
        <v>0</v>
      </c>
      <c r="B12848" t="s">
        <v>3256</v>
      </c>
      <c r="C12848" t="s">
        <v>15726</v>
      </c>
      <c r="D12848" t="s">
        <v>18782</v>
      </c>
      <c r="E12848" t="s">
        <v>29924</v>
      </c>
      <c r="F12848" t="s">
        <v>32664</v>
      </c>
      <c r="G12848" t="s">
        <v>32672</v>
      </c>
      <c r="H12848" t="s">
        <v>32683</v>
      </c>
      <c r="I12848" t="s">
        <v>10627</v>
      </c>
      <c r="J12848" t="s">
        <v>40409</v>
      </c>
      <c r="K12848" t="s">
        <v>42381</v>
      </c>
      <c r="M12848" t="s">
        <v>46187</v>
      </c>
      <c r="N12848" t="s">
        <v>46569</v>
      </c>
      <c r="O12848" t="s">
        <v>46570</v>
      </c>
      <c r="Q12848">
        <v>5</v>
      </c>
      <c r="R12848" t="s">
        <v>46584</v>
      </c>
      <c r="S12848" t="s">
        <v>47140</v>
      </c>
      <c r="T12848" t="s">
        <v>48285</v>
      </c>
      <c r="U12848" t="s">
        <v>59077</v>
      </c>
      <c r="W12848" t="s">
        <v>46187</v>
      </c>
      <c r="X12848" t="s">
        <v>46585</v>
      </c>
    </row>
    <row r="12849" spans="1:24">
      <c r="A12849">
        <f>HYPERLINK("https://www.philgeps.gov.ph/GEPSNONPILOT/Tender/SplashBidNoticeAbstractUI.aspx?menuIndex=3&amp;refID=7043270&amp;Result=3","7043270")</f>
        <v>0</v>
      </c>
      <c r="B12849" t="s">
        <v>1008</v>
      </c>
      <c r="C12849" t="s">
        <v>15727</v>
      </c>
      <c r="D12849" t="s">
        <v>18786</v>
      </c>
      <c r="E12849" t="s">
        <v>29925</v>
      </c>
      <c r="F12849" t="s">
        <v>32664</v>
      </c>
      <c r="G12849" t="s">
        <v>32672</v>
      </c>
      <c r="H12849" t="s">
        <v>32683</v>
      </c>
      <c r="I12849" t="s">
        <v>10627</v>
      </c>
      <c r="J12849" t="s">
        <v>34405</v>
      </c>
      <c r="K12849" t="s">
        <v>42311</v>
      </c>
      <c r="L12849" t="s">
        <v>1008</v>
      </c>
      <c r="M12849" t="s">
        <v>43620</v>
      </c>
      <c r="N12849" t="s">
        <v>46569</v>
      </c>
      <c r="O12849" t="s">
        <v>46570</v>
      </c>
      <c r="P12849">
        <v>0</v>
      </c>
      <c r="Q12849">
        <v>1</v>
      </c>
      <c r="R12849" t="s">
        <v>46584</v>
      </c>
      <c r="S12849" t="s">
        <v>47063</v>
      </c>
      <c r="T12849" t="s">
        <v>48225</v>
      </c>
      <c r="U12849" t="s">
        <v>59078</v>
      </c>
      <c r="W12849" t="s">
        <v>43620</v>
      </c>
      <c r="X12849" t="s">
        <v>46585</v>
      </c>
    </row>
    <row r="12850" spans="1:24">
      <c r="A12850">
        <f>HYPERLINK("https://www.philgeps.gov.ph/GEPSNONPILOT/Tender/SplashBidNoticeAbstractUI.aspx?menuIndex=3&amp;refID=7043277&amp;Result=3","7043277")</f>
        <v>0</v>
      </c>
      <c r="B12850" t="s">
        <v>1008</v>
      </c>
      <c r="C12850" t="s">
        <v>15728</v>
      </c>
      <c r="D12850" t="s">
        <v>18786</v>
      </c>
      <c r="E12850" t="s">
        <v>29926</v>
      </c>
      <c r="F12850" t="s">
        <v>32664</v>
      </c>
      <c r="G12850" t="s">
        <v>32672</v>
      </c>
      <c r="H12850" t="s">
        <v>32683</v>
      </c>
      <c r="I12850" t="s">
        <v>10627</v>
      </c>
      <c r="J12850" t="s">
        <v>34379</v>
      </c>
      <c r="K12850" t="s">
        <v>42311</v>
      </c>
      <c r="L12850" t="s">
        <v>1008</v>
      </c>
      <c r="M12850" t="s">
        <v>43620</v>
      </c>
      <c r="N12850" t="s">
        <v>46569</v>
      </c>
      <c r="O12850" t="s">
        <v>46570</v>
      </c>
      <c r="P12850">
        <v>0</v>
      </c>
      <c r="Q12850">
        <v>2</v>
      </c>
      <c r="R12850" t="s">
        <v>46584</v>
      </c>
      <c r="S12850" t="s">
        <v>47063</v>
      </c>
      <c r="T12850" t="s">
        <v>48225</v>
      </c>
      <c r="U12850" t="s">
        <v>59079</v>
      </c>
      <c r="W12850" t="s">
        <v>43620</v>
      </c>
      <c r="X12850" t="s">
        <v>46585</v>
      </c>
    </row>
    <row r="12851" spans="1:24">
      <c r="A12851">
        <f>HYPERLINK("https://www.philgeps.gov.ph/GEPSNONPILOT/Tender/SplashBidNoticeAbstractUI.aspx?menuIndex=3&amp;refID=7043206&amp;Result=3","7043206")</f>
        <v>0</v>
      </c>
      <c r="B12851" t="s">
        <v>3256</v>
      </c>
      <c r="C12851" t="s">
        <v>15729</v>
      </c>
      <c r="D12851" t="s">
        <v>18782</v>
      </c>
      <c r="E12851" t="s">
        <v>29927</v>
      </c>
      <c r="F12851" t="s">
        <v>32664</v>
      </c>
      <c r="G12851" t="s">
        <v>32672</v>
      </c>
      <c r="H12851" t="s">
        <v>12635</v>
      </c>
      <c r="I12851" t="s">
        <v>4439</v>
      </c>
      <c r="J12851" t="s">
        <v>40410</v>
      </c>
      <c r="K12851" t="s">
        <v>42285</v>
      </c>
      <c r="M12851" t="s">
        <v>46187</v>
      </c>
      <c r="N12851" t="s">
        <v>46569</v>
      </c>
      <c r="O12851" t="s">
        <v>46570</v>
      </c>
      <c r="Q12851">
        <v>0</v>
      </c>
      <c r="R12851" t="s">
        <v>46584</v>
      </c>
      <c r="S12851" t="s">
        <v>47141</v>
      </c>
      <c r="T12851" t="s">
        <v>48285</v>
      </c>
      <c r="U12851" t="s">
        <v>59080</v>
      </c>
      <c r="W12851" t="s">
        <v>46187</v>
      </c>
      <c r="X12851" t="s">
        <v>46585</v>
      </c>
    </row>
    <row r="12852" spans="1:24">
      <c r="A12852">
        <f>HYPERLINK("https://www.philgeps.gov.ph/GEPSNONPILOT/Tender/SplashBidNoticeAbstractUI.aspx?menuIndex=3&amp;refID=7043196&amp;Result=3","7043196")</f>
        <v>0</v>
      </c>
      <c r="B12852" t="s">
        <v>3253</v>
      </c>
      <c r="C12852" t="s">
        <v>15730</v>
      </c>
      <c r="D12852" t="s">
        <v>18799</v>
      </c>
      <c r="E12852" t="s">
        <v>29928</v>
      </c>
      <c r="F12852" t="s">
        <v>32664</v>
      </c>
      <c r="G12852" t="s">
        <v>32672</v>
      </c>
      <c r="H12852" t="s">
        <v>12635</v>
      </c>
      <c r="I12852" t="s">
        <v>32765</v>
      </c>
      <c r="J12852" t="s">
        <v>38526</v>
      </c>
      <c r="K12852" t="s">
        <v>42309</v>
      </c>
      <c r="M12852" t="s">
        <v>46183</v>
      </c>
      <c r="N12852" t="s">
        <v>46569</v>
      </c>
      <c r="O12852" t="s">
        <v>46570</v>
      </c>
      <c r="P12852">
        <v>0</v>
      </c>
      <c r="Q12852">
        <v>3</v>
      </c>
      <c r="R12852" t="s">
        <v>46584</v>
      </c>
      <c r="S12852" t="s">
        <v>47063</v>
      </c>
      <c r="T12852" t="s">
        <v>48294</v>
      </c>
      <c r="U12852" t="s">
        <v>59081</v>
      </c>
      <c r="V12852" t="s">
        <v>61745</v>
      </c>
      <c r="W12852" t="s">
        <v>46183</v>
      </c>
      <c r="X12852" t="s">
        <v>46585</v>
      </c>
    </row>
    <row r="12853" spans="1:24">
      <c r="A12853">
        <f>HYPERLINK("https://www.philgeps.gov.ph/GEPSNONPILOT/Tender/SplashBidNoticeAbstractUI.aspx?menuIndex=3&amp;refID=7043098&amp;Result=3","7043098")</f>
        <v>0</v>
      </c>
      <c r="B12853" t="s">
        <v>138</v>
      </c>
      <c r="C12853" t="s">
        <v>15731</v>
      </c>
      <c r="D12853" t="s">
        <v>18792</v>
      </c>
      <c r="E12853" t="s">
        <v>19110</v>
      </c>
      <c r="F12853" t="s">
        <v>32664</v>
      </c>
      <c r="G12853" t="s">
        <v>32672</v>
      </c>
      <c r="H12853" t="s">
        <v>32681</v>
      </c>
      <c r="I12853" t="s">
        <v>32681</v>
      </c>
      <c r="J12853" t="s">
        <v>40377</v>
      </c>
      <c r="K12853" t="s">
        <v>42311</v>
      </c>
      <c r="M12853" t="s">
        <v>42702</v>
      </c>
      <c r="N12853" t="s">
        <v>46569</v>
      </c>
      <c r="O12853" t="s">
        <v>46570</v>
      </c>
      <c r="Q12853">
        <v>3</v>
      </c>
      <c r="R12853" t="s">
        <v>46584</v>
      </c>
      <c r="S12853" t="s">
        <v>47142</v>
      </c>
      <c r="T12853" t="s">
        <v>48217</v>
      </c>
      <c r="U12853" t="s">
        <v>59082</v>
      </c>
      <c r="V12853" t="s">
        <v>63047</v>
      </c>
      <c r="W12853" t="s">
        <v>42702</v>
      </c>
      <c r="X12853" t="s">
        <v>46585</v>
      </c>
    </row>
    <row r="12854" spans="1:24">
      <c r="A12854">
        <f>HYPERLINK("https://www.philgeps.gov.ph/GEPSNONPILOT/Tender/SplashBidNoticeAbstractUI.aspx?menuIndex=3&amp;refID=7043192&amp;Result=3","7043192")</f>
        <v>0</v>
      </c>
      <c r="B12854" t="s">
        <v>3253</v>
      </c>
      <c r="C12854" t="s">
        <v>15732</v>
      </c>
      <c r="D12854" t="s">
        <v>18799</v>
      </c>
      <c r="E12854" t="s">
        <v>29929</v>
      </c>
      <c r="F12854" t="s">
        <v>32664</v>
      </c>
      <c r="G12854" t="s">
        <v>32672</v>
      </c>
      <c r="H12854" t="s">
        <v>12635</v>
      </c>
      <c r="I12854" t="s">
        <v>5501</v>
      </c>
      <c r="J12854" t="s">
        <v>40411</v>
      </c>
      <c r="K12854" t="s">
        <v>42309</v>
      </c>
      <c r="M12854" t="s">
        <v>46183</v>
      </c>
      <c r="N12854" t="s">
        <v>46569</v>
      </c>
      <c r="O12854" t="s">
        <v>46570</v>
      </c>
      <c r="P12854">
        <v>0</v>
      </c>
      <c r="Q12854">
        <v>5</v>
      </c>
      <c r="R12854" t="s">
        <v>46584</v>
      </c>
      <c r="S12854" t="s">
        <v>47063</v>
      </c>
      <c r="T12854" t="s">
        <v>48294</v>
      </c>
      <c r="U12854" t="s">
        <v>59083</v>
      </c>
      <c r="V12854" t="s">
        <v>61745</v>
      </c>
      <c r="W12854" t="s">
        <v>46183</v>
      </c>
      <c r="X12854" t="s">
        <v>46585</v>
      </c>
    </row>
    <row r="12855" spans="1:24">
      <c r="A12855">
        <f>HYPERLINK("https://www.philgeps.gov.ph/GEPSNONPILOT/Tender/SplashBidNoticeAbstractUI.aspx?menuIndex=3&amp;refID=7043213&amp;Result=3","7043213")</f>
        <v>0</v>
      </c>
      <c r="B12855" t="s">
        <v>3256</v>
      </c>
      <c r="C12855" t="s">
        <v>15733</v>
      </c>
      <c r="D12855" t="s">
        <v>18782</v>
      </c>
      <c r="E12855" t="s">
        <v>29930</v>
      </c>
      <c r="F12855" t="s">
        <v>32664</v>
      </c>
      <c r="G12855" t="s">
        <v>32672</v>
      </c>
      <c r="H12855" t="s">
        <v>32683</v>
      </c>
      <c r="I12855" t="s">
        <v>10627</v>
      </c>
      <c r="J12855" t="s">
        <v>40412</v>
      </c>
      <c r="K12855" t="s">
        <v>42381</v>
      </c>
      <c r="M12855" t="s">
        <v>46187</v>
      </c>
      <c r="N12855" t="s">
        <v>46569</v>
      </c>
      <c r="O12855" t="s">
        <v>46570</v>
      </c>
      <c r="Q12855">
        <v>5</v>
      </c>
      <c r="R12855" t="s">
        <v>46584</v>
      </c>
      <c r="S12855" t="s">
        <v>47143</v>
      </c>
      <c r="T12855" t="s">
        <v>48285</v>
      </c>
      <c r="U12855" t="s">
        <v>59084</v>
      </c>
      <c r="W12855" t="s">
        <v>46187</v>
      </c>
      <c r="X12855" t="s">
        <v>46585</v>
      </c>
    </row>
    <row r="12856" spans="1:24">
      <c r="A12856">
        <f>HYPERLINK("https://www.philgeps.gov.ph/GEPSNONPILOT/Tender/SplashBidNoticeAbstractUI.aspx?menuIndex=3&amp;refID=7043212&amp;Result=3","7043212")</f>
        <v>0</v>
      </c>
      <c r="B12856" t="s">
        <v>2806</v>
      </c>
      <c r="C12856" t="s">
        <v>15734</v>
      </c>
      <c r="D12856" t="s">
        <v>18784</v>
      </c>
      <c r="E12856" t="s">
        <v>29931</v>
      </c>
      <c r="F12856" t="s">
        <v>32664</v>
      </c>
      <c r="G12856" t="s">
        <v>32672</v>
      </c>
      <c r="H12856" t="s">
        <v>32681</v>
      </c>
      <c r="I12856" t="s">
        <v>32681</v>
      </c>
      <c r="J12856" t="s">
        <v>34148</v>
      </c>
      <c r="K12856" t="s">
        <v>42311</v>
      </c>
      <c r="M12856" t="s">
        <v>45650</v>
      </c>
      <c r="N12856" t="s">
        <v>46569</v>
      </c>
      <c r="O12856" t="s">
        <v>46570</v>
      </c>
      <c r="Q12856">
        <v>5</v>
      </c>
      <c r="R12856" t="s">
        <v>46584</v>
      </c>
      <c r="S12856" t="s">
        <v>47144</v>
      </c>
      <c r="T12856" t="s">
        <v>48238</v>
      </c>
      <c r="U12856" t="s">
        <v>59085</v>
      </c>
      <c r="W12856" t="s">
        <v>45650</v>
      </c>
      <c r="X12856" t="s">
        <v>46585</v>
      </c>
    </row>
    <row r="12857" spans="1:24">
      <c r="A12857">
        <f>HYPERLINK("https://www.philgeps.gov.ph/GEPSNONPILOT/Tender/SplashBidNoticeAbstractUI.aspx?menuIndex=3&amp;refID=7043193&amp;Result=3","7043193")</f>
        <v>0</v>
      </c>
      <c r="B12857" t="s">
        <v>418</v>
      </c>
      <c r="C12857" t="s">
        <v>15735</v>
      </c>
      <c r="D12857" t="s">
        <v>18784</v>
      </c>
      <c r="E12857" t="s">
        <v>29932</v>
      </c>
      <c r="F12857" t="s">
        <v>32664</v>
      </c>
      <c r="G12857" t="s">
        <v>32672</v>
      </c>
      <c r="H12857" t="s">
        <v>12635</v>
      </c>
      <c r="I12857" t="s">
        <v>6223</v>
      </c>
      <c r="J12857" t="s">
        <v>32962</v>
      </c>
      <c r="K12857" t="s">
        <v>42289</v>
      </c>
      <c r="M12857" t="s">
        <v>46177</v>
      </c>
      <c r="N12857" t="s">
        <v>46569</v>
      </c>
      <c r="O12857" t="s">
        <v>46570</v>
      </c>
      <c r="P12857">
        <v>0</v>
      </c>
      <c r="Q12857">
        <v>0</v>
      </c>
      <c r="R12857" t="s">
        <v>46584</v>
      </c>
      <c r="S12857" t="s">
        <v>47063</v>
      </c>
      <c r="T12857" t="s">
        <v>48285</v>
      </c>
      <c r="U12857" t="s">
        <v>49872</v>
      </c>
      <c r="W12857" t="s">
        <v>46177</v>
      </c>
      <c r="X12857" t="s">
        <v>46585</v>
      </c>
    </row>
    <row r="12858" spans="1:24">
      <c r="A12858">
        <f>HYPERLINK("https://www.philgeps.gov.ph/GEPSNONPILOT/Tender/SplashBidNoticeAbstractUI.aspx?menuIndex=3&amp;refID=7043143&amp;Result=3","7043143")</f>
        <v>0</v>
      </c>
      <c r="B12858" t="s">
        <v>2173</v>
      </c>
      <c r="C12858" t="s">
        <v>15736</v>
      </c>
      <c r="D12858" t="s">
        <v>18816</v>
      </c>
      <c r="E12858" t="s">
        <v>29933</v>
      </c>
      <c r="F12858" t="s">
        <v>32664</v>
      </c>
      <c r="G12858" t="s">
        <v>32672</v>
      </c>
      <c r="H12858" t="s">
        <v>32681</v>
      </c>
      <c r="I12858" t="s">
        <v>32681</v>
      </c>
      <c r="J12858" t="s">
        <v>40413</v>
      </c>
      <c r="K12858" t="s">
        <v>42281</v>
      </c>
      <c r="M12858" t="s">
        <v>46181</v>
      </c>
      <c r="N12858" t="s">
        <v>46569</v>
      </c>
      <c r="O12858" t="s">
        <v>46570</v>
      </c>
      <c r="Q12858">
        <v>4</v>
      </c>
      <c r="R12858" t="s">
        <v>46584</v>
      </c>
      <c r="S12858" t="s">
        <v>47145</v>
      </c>
      <c r="T12858" t="s">
        <v>48220</v>
      </c>
      <c r="U12858" t="s">
        <v>59086</v>
      </c>
      <c r="W12858" t="s">
        <v>46181</v>
      </c>
      <c r="X12858" t="s">
        <v>46585</v>
      </c>
    </row>
    <row r="12859" spans="1:24">
      <c r="A12859">
        <f>HYPERLINK("https://www.philgeps.gov.ph/GEPSNONPILOT/Tender/SplashBidNoticeAbstractUI.aspx?menuIndex=3&amp;refID=7043191&amp;Result=3","7043191")</f>
        <v>0</v>
      </c>
      <c r="B12859" t="s">
        <v>3257</v>
      </c>
      <c r="C12859" t="s">
        <v>15737</v>
      </c>
      <c r="D12859" t="s">
        <v>18810</v>
      </c>
      <c r="E12859" t="s">
        <v>29934</v>
      </c>
      <c r="F12859" t="s">
        <v>32665</v>
      </c>
      <c r="G12859" t="s">
        <v>32672</v>
      </c>
      <c r="H12859" t="s">
        <v>32682</v>
      </c>
      <c r="I12859" t="s">
        <v>32716</v>
      </c>
      <c r="J12859" t="s">
        <v>40414</v>
      </c>
      <c r="K12859" t="s">
        <v>42289</v>
      </c>
      <c r="M12859" t="s">
        <v>46188</v>
      </c>
      <c r="N12859" t="s">
        <v>46569</v>
      </c>
      <c r="O12859" t="s">
        <v>46570</v>
      </c>
      <c r="P12859">
        <v>0</v>
      </c>
      <c r="Q12859">
        <v>1</v>
      </c>
      <c r="R12859" t="s">
        <v>46584</v>
      </c>
      <c r="S12859" t="s">
        <v>47063</v>
      </c>
      <c r="T12859" t="s">
        <v>48305</v>
      </c>
      <c r="U12859" t="s">
        <v>59087</v>
      </c>
      <c r="W12859" t="s">
        <v>63590</v>
      </c>
      <c r="X12859" t="s">
        <v>46585</v>
      </c>
    </row>
    <row r="12860" spans="1:24">
      <c r="A12860">
        <f>HYPERLINK("https://www.philgeps.gov.ph/GEPSNONPILOT/Tender/SplashBidNoticeAbstractUI.aspx?menuIndex=3&amp;refID=7043221&amp;Result=3","7043221")</f>
        <v>0</v>
      </c>
      <c r="B12860" t="s">
        <v>673</v>
      </c>
      <c r="C12860" t="s">
        <v>15738</v>
      </c>
      <c r="D12860" t="s">
        <v>18799</v>
      </c>
      <c r="E12860" t="s">
        <v>21510</v>
      </c>
      <c r="F12860" t="s">
        <v>32664</v>
      </c>
      <c r="G12860" t="s">
        <v>32672</v>
      </c>
      <c r="H12860" t="s">
        <v>12635</v>
      </c>
      <c r="I12860" t="s">
        <v>32716</v>
      </c>
      <c r="J12860" t="s">
        <v>40415</v>
      </c>
      <c r="K12860" t="s">
        <v>42283</v>
      </c>
      <c r="M12860" t="s">
        <v>43260</v>
      </c>
      <c r="N12860" t="s">
        <v>46569</v>
      </c>
      <c r="O12860" t="s">
        <v>46570</v>
      </c>
      <c r="P12860">
        <v>0</v>
      </c>
      <c r="Q12860">
        <v>4</v>
      </c>
      <c r="R12860" t="s">
        <v>46584</v>
      </c>
      <c r="S12860" t="s">
        <v>47063</v>
      </c>
      <c r="T12860" t="s">
        <v>48330</v>
      </c>
      <c r="U12860" t="s">
        <v>59076</v>
      </c>
      <c r="W12860" t="s">
        <v>43260</v>
      </c>
      <c r="X12860" t="s">
        <v>46585</v>
      </c>
    </row>
    <row r="12861" spans="1:24">
      <c r="A12861">
        <f>HYPERLINK("https://www.philgeps.gov.ph/GEPSNONPILOT/Tender/SplashBidNoticeAbstractUI.aspx?menuIndex=3&amp;refID=7043118&amp;Result=3","7043118")</f>
        <v>0</v>
      </c>
      <c r="B12861" t="s">
        <v>418</v>
      </c>
      <c r="C12861" t="s">
        <v>15739</v>
      </c>
      <c r="D12861" t="s">
        <v>18784</v>
      </c>
      <c r="E12861" t="s">
        <v>29935</v>
      </c>
      <c r="F12861" t="s">
        <v>32664</v>
      </c>
      <c r="G12861" t="s">
        <v>32672</v>
      </c>
      <c r="H12861" t="s">
        <v>12635</v>
      </c>
      <c r="I12861" t="s">
        <v>6168</v>
      </c>
      <c r="J12861" t="s">
        <v>40416</v>
      </c>
      <c r="K12861" t="s">
        <v>42289</v>
      </c>
      <c r="M12861" t="s">
        <v>46177</v>
      </c>
      <c r="N12861" t="s">
        <v>46569</v>
      </c>
      <c r="O12861" t="s">
        <v>46570</v>
      </c>
      <c r="P12861">
        <v>0</v>
      </c>
      <c r="Q12861">
        <v>0</v>
      </c>
      <c r="R12861" t="s">
        <v>46584</v>
      </c>
      <c r="S12861" t="s">
        <v>47063</v>
      </c>
      <c r="T12861" t="s">
        <v>48285</v>
      </c>
      <c r="U12861" t="s">
        <v>49404</v>
      </c>
      <c r="W12861" t="s">
        <v>46177</v>
      </c>
      <c r="X12861" t="s">
        <v>46585</v>
      </c>
    </row>
    <row r="12862" spans="1:24">
      <c r="A12862">
        <f>HYPERLINK("https://www.philgeps.gov.ph/GEPSNONPILOT/Tender/SplashBidNoticeAbstractUI.aspx?menuIndex=3&amp;refID=7034166&amp;Result=3","7034166")</f>
        <v>0</v>
      </c>
      <c r="B12862" t="s">
        <v>802</v>
      </c>
      <c r="C12862" t="s">
        <v>15740</v>
      </c>
      <c r="D12862" t="s">
        <v>18798</v>
      </c>
      <c r="E12862" t="s">
        <v>29936</v>
      </c>
      <c r="F12862" t="s">
        <v>32664</v>
      </c>
      <c r="G12862" t="s">
        <v>32672</v>
      </c>
      <c r="H12862" t="s">
        <v>32683</v>
      </c>
      <c r="I12862" t="s">
        <v>10627</v>
      </c>
      <c r="J12862" t="s">
        <v>34293</v>
      </c>
      <c r="K12862" t="s">
        <v>42285</v>
      </c>
      <c r="M12862" t="s">
        <v>46189</v>
      </c>
      <c r="N12862" t="s">
        <v>46569</v>
      </c>
      <c r="O12862" t="s">
        <v>46570</v>
      </c>
      <c r="P12862">
        <v>0</v>
      </c>
      <c r="Q12862">
        <v>3</v>
      </c>
      <c r="R12862" t="s">
        <v>46585</v>
      </c>
      <c r="S12862" t="s">
        <v>47146</v>
      </c>
      <c r="T12862" t="s">
        <v>48306</v>
      </c>
      <c r="U12862" t="s">
        <v>59088</v>
      </c>
      <c r="W12862" t="s">
        <v>46189</v>
      </c>
      <c r="X12862" t="s">
        <v>46588</v>
      </c>
    </row>
    <row r="12863" spans="1:24">
      <c r="A12863">
        <f>HYPERLINK("https://www.philgeps.gov.ph/GEPSNONPILOT/Tender/SplashBidNoticeAbstractUI.aspx?menuIndex=3&amp;refID=7033810&amp;Result=3","7033810")</f>
        <v>0</v>
      </c>
      <c r="B12863" t="s">
        <v>3258</v>
      </c>
      <c r="C12863" t="s">
        <v>15741</v>
      </c>
      <c r="D12863" t="s">
        <v>18842</v>
      </c>
      <c r="E12863" t="s">
        <v>29937</v>
      </c>
      <c r="F12863" t="s">
        <v>32664</v>
      </c>
      <c r="G12863" t="s">
        <v>32672</v>
      </c>
      <c r="H12863" t="s">
        <v>12635</v>
      </c>
      <c r="I12863" t="s">
        <v>32694</v>
      </c>
      <c r="J12863" t="s">
        <v>40417</v>
      </c>
      <c r="K12863" t="s">
        <v>42289</v>
      </c>
      <c r="M12863" t="s">
        <v>46190</v>
      </c>
      <c r="N12863" t="s">
        <v>46569</v>
      </c>
      <c r="O12863" t="s">
        <v>46570</v>
      </c>
      <c r="P12863">
        <v>0</v>
      </c>
      <c r="Q12863">
        <v>2</v>
      </c>
      <c r="R12863" t="s">
        <v>46585</v>
      </c>
      <c r="S12863" t="s">
        <v>47146</v>
      </c>
      <c r="T12863" t="s">
        <v>48285</v>
      </c>
      <c r="U12863" t="s">
        <v>59089</v>
      </c>
      <c r="W12863" t="s">
        <v>46190</v>
      </c>
      <c r="X12863" t="s">
        <v>46588</v>
      </c>
    </row>
    <row r="12864" spans="1:24">
      <c r="A12864">
        <f>HYPERLINK("https://www.philgeps.gov.ph/GEPSNONPILOT/Tender/SplashBidNoticeAbstractUI.aspx?menuIndex=3&amp;refID=7032843&amp;Result=3","7032843")</f>
        <v>0</v>
      </c>
      <c r="B12864" t="s">
        <v>3259</v>
      </c>
      <c r="C12864" t="s">
        <v>15742</v>
      </c>
      <c r="D12864" t="s">
        <v>18856</v>
      </c>
      <c r="E12864" t="s">
        <v>29938</v>
      </c>
      <c r="F12864" t="s">
        <v>32664</v>
      </c>
      <c r="G12864" t="s">
        <v>32672</v>
      </c>
      <c r="H12864" t="s">
        <v>12635</v>
      </c>
      <c r="I12864" t="s">
        <v>11464</v>
      </c>
      <c r="J12864" t="s">
        <v>39489</v>
      </c>
      <c r="K12864" t="s">
        <v>42311</v>
      </c>
      <c r="M12864" t="s">
        <v>46191</v>
      </c>
      <c r="N12864" t="s">
        <v>46569</v>
      </c>
      <c r="O12864" t="s">
        <v>46570</v>
      </c>
      <c r="Q12864">
        <v>7</v>
      </c>
      <c r="R12864" t="s">
        <v>46585</v>
      </c>
      <c r="S12864" t="s">
        <v>47147</v>
      </c>
      <c r="T12864" t="s">
        <v>48370</v>
      </c>
      <c r="U12864" t="s">
        <v>59090</v>
      </c>
      <c r="V12864" t="s">
        <v>63048</v>
      </c>
      <c r="W12864" t="s">
        <v>46191</v>
      </c>
      <c r="X12864" t="s">
        <v>46588</v>
      </c>
    </row>
    <row r="12865" spans="1:24">
      <c r="A12865">
        <f>HYPERLINK("https://www.philgeps.gov.ph/GEPSNONPILOT/Tender/SplashBidNoticeAbstractUI.aspx?menuIndex=3&amp;refID=7032605&amp;Result=3","7032605")</f>
        <v>0</v>
      </c>
      <c r="B12865" t="s">
        <v>83</v>
      </c>
      <c r="C12865" t="s">
        <v>15743</v>
      </c>
      <c r="D12865" t="s">
        <v>18784</v>
      </c>
      <c r="E12865" t="s">
        <v>29939</v>
      </c>
      <c r="F12865" t="s">
        <v>32664</v>
      </c>
      <c r="G12865" t="s">
        <v>32672</v>
      </c>
      <c r="H12865" t="s">
        <v>12635</v>
      </c>
      <c r="I12865" t="s">
        <v>8797</v>
      </c>
      <c r="J12865" t="s">
        <v>38036</v>
      </c>
      <c r="K12865" t="s">
        <v>42283</v>
      </c>
      <c r="M12865" t="s">
        <v>44363</v>
      </c>
      <c r="N12865" t="s">
        <v>46569</v>
      </c>
      <c r="O12865" t="s">
        <v>46570</v>
      </c>
      <c r="P12865">
        <v>0</v>
      </c>
      <c r="Q12865">
        <v>4</v>
      </c>
      <c r="R12865" t="s">
        <v>46585</v>
      </c>
      <c r="S12865" t="s">
        <v>47146</v>
      </c>
      <c r="T12865" t="s">
        <v>48285</v>
      </c>
      <c r="U12865" t="s">
        <v>59091</v>
      </c>
      <c r="W12865" t="s">
        <v>44363</v>
      </c>
      <c r="X12865" t="s">
        <v>46589</v>
      </c>
    </row>
    <row r="12866" spans="1:24">
      <c r="A12866">
        <f>HYPERLINK("https://www.philgeps.gov.ph/GEPSNONPILOT/Tender/SplashBidNoticeAbstractUI.aspx?menuIndex=3&amp;refID=7043136&amp;Result=3","7043136")</f>
        <v>0</v>
      </c>
      <c r="B12866" t="s">
        <v>418</v>
      </c>
      <c r="C12866" t="s">
        <v>15744</v>
      </c>
      <c r="D12866" t="s">
        <v>18784</v>
      </c>
      <c r="E12866" t="s">
        <v>29940</v>
      </c>
      <c r="F12866" t="s">
        <v>32664</v>
      </c>
      <c r="G12866" t="s">
        <v>32672</v>
      </c>
      <c r="H12866" t="s">
        <v>12635</v>
      </c>
      <c r="I12866" t="s">
        <v>6118</v>
      </c>
      <c r="J12866" t="s">
        <v>40418</v>
      </c>
      <c r="K12866" t="s">
        <v>42289</v>
      </c>
      <c r="M12866" t="s">
        <v>46177</v>
      </c>
      <c r="N12866" t="s">
        <v>46569</v>
      </c>
      <c r="O12866" t="s">
        <v>46570</v>
      </c>
      <c r="P12866">
        <v>0</v>
      </c>
      <c r="Q12866">
        <v>0</v>
      </c>
      <c r="R12866" t="s">
        <v>46584</v>
      </c>
      <c r="S12866" t="s">
        <v>47063</v>
      </c>
      <c r="T12866" t="s">
        <v>48285</v>
      </c>
      <c r="U12866" t="s">
        <v>49634</v>
      </c>
      <c r="W12866" t="s">
        <v>46177</v>
      </c>
      <c r="X12866" t="s">
        <v>46585</v>
      </c>
    </row>
    <row r="12867" spans="1:24">
      <c r="A12867">
        <f>HYPERLINK("https://www.philgeps.gov.ph/GEPSNONPILOT/Tender/SplashBidNoticeAbstractUI.aspx?menuIndex=3&amp;refID=7031453&amp;Result=3","7031453")</f>
        <v>0</v>
      </c>
      <c r="B12867" t="s">
        <v>3260</v>
      </c>
      <c r="C12867" t="s">
        <v>15745</v>
      </c>
      <c r="D12867" t="s">
        <v>18832</v>
      </c>
      <c r="E12867" t="s">
        <v>29941</v>
      </c>
      <c r="F12867" t="s">
        <v>32664</v>
      </c>
      <c r="G12867" t="s">
        <v>32677</v>
      </c>
      <c r="H12867" t="s">
        <v>12635</v>
      </c>
      <c r="I12867" t="s">
        <v>32694</v>
      </c>
      <c r="J12867" t="s">
        <v>40419</v>
      </c>
      <c r="K12867" t="s">
        <v>42289</v>
      </c>
      <c r="M12867" t="s">
        <v>46192</v>
      </c>
      <c r="N12867" t="s">
        <v>46569</v>
      </c>
      <c r="O12867" t="s">
        <v>46570</v>
      </c>
      <c r="P12867">
        <v>0</v>
      </c>
      <c r="Q12867">
        <v>1</v>
      </c>
      <c r="R12867" t="s">
        <v>46585</v>
      </c>
      <c r="S12867" t="s">
        <v>47146</v>
      </c>
      <c r="T12867" t="s">
        <v>48448</v>
      </c>
      <c r="U12867" t="s">
        <v>59092</v>
      </c>
      <c r="W12867" t="s">
        <v>46192</v>
      </c>
      <c r="X12867" t="s">
        <v>46591</v>
      </c>
    </row>
    <row r="12868" spans="1:24">
      <c r="A12868">
        <f>HYPERLINK("https://www.philgeps.gov.ph/GEPSNONPILOT/Tender/SplashBidNoticeAbstractUI.aspx?menuIndex=3&amp;refID=7031018&amp;Result=3","7031018")</f>
        <v>0</v>
      </c>
      <c r="B12868" t="s">
        <v>1347</v>
      </c>
      <c r="C12868" t="s">
        <v>15746</v>
      </c>
      <c r="D12868" t="s">
        <v>18827</v>
      </c>
      <c r="E12868" t="s">
        <v>29942</v>
      </c>
      <c r="F12868" t="s">
        <v>32664</v>
      </c>
      <c r="G12868" t="s">
        <v>32672</v>
      </c>
      <c r="H12868" t="s">
        <v>12635</v>
      </c>
      <c r="I12868" t="s">
        <v>8797</v>
      </c>
      <c r="J12868" t="s">
        <v>40420</v>
      </c>
      <c r="K12868" t="s">
        <v>42283</v>
      </c>
      <c r="M12868" t="s">
        <v>43999</v>
      </c>
      <c r="N12868" t="s">
        <v>46569</v>
      </c>
      <c r="O12868" t="s">
        <v>46570</v>
      </c>
      <c r="P12868">
        <v>0</v>
      </c>
      <c r="Q12868">
        <v>3</v>
      </c>
      <c r="R12868" t="s">
        <v>46585</v>
      </c>
      <c r="S12868" t="s">
        <v>47146</v>
      </c>
      <c r="T12868" t="s">
        <v>48304</v>
      </c>
      <c r="U12868" t="s">
        <v>59093</v>
      </c>
      <c r="W12868" t="s">
        <v>43999</v>
      </c>
      <c r="X12868" t="s">
        <v>46591</v>
      </c>
    </row>
    <row r="12869" spans="1:24">
      <c r="A12869">
        <f>HYPERLINK("https://www.philgeps.gov.ph/GEPSNONPILOT/Tender/SplashBidNoticeAbstractUI.aspx?menuIndex=3&amp;refID=6999268&amp;Result=3","6999268")</f>
        <v>0</v>
      </c>
      <c r="B12869" t="s">
        <v>3261</v>
      </c>
      <c r="C12869" t="s">
        <v>15747</v>
      </c>
      <c r="D12869" t="s">
        <v>18802</v>
      </c>
      <c r="E12869" t="s">
        <v>29943</v>
      </c>
      <c r="F12869" t="s">
        <v>32664</v>
      </c>
      <c r="G12869" t="s">
        <v>32672</v>
      </c>
      <c r="H12869" t="s">
        <v>32683</v>
      </c>
      <c r="I12869" t="s">
        <v>32723</v>
      </c>
      <c r="J12869" t="s">
        <v>33118</v>
      </c>
      <c r="K12869" t="s">
        <v>42359</v>
      </c>
      <c r="M12869" t="s">
        <v>46193</v>
      </c>
      <c r="N12869" t="s">
        <v>46569</v>
      </c>
      <c r="O12869" t="s">
        <v>46570</v>
      </c>
      <c r="P12869">
        <v>0</v>
      </c>
      <c r="Q12869">
        <v>0</v>
      </c>
      <c r="R12869" t="s">
        <v>46585</v>
      </c>
      <c r="S12869" t="s">
        <v>47146</v>
      </c>
      <c r="T12869" t="s">
        <v>48385</v>
      </c>
      <c r="U12869" t="s">
        <v>59094</v>
      </c>
      <c r="W12869" t="s">
        <v>46193</v>
      </c>
      <c r="X12869" t="s">
        <v>63615</v>
      </c>
    </row>
    <row r="12870" spans="1:24">
      <c r="A12870">
        <f>HYPERLINK("https://www.philgeps.gov.ph/GEPSNONPILOT/Tender/SplashBidNoticeAbstractUI.aspx?menuIndex=3&amp;refID=6947170&amp;Result=3","6947170")</f>
        <v>0</v>
      </c>
      <c r="B12870" t="s">
        <v>3262</v>
      </c>
      <c r="C12870" t="s">
        <v>5801</v>
      </c>
      <c r="D12870" t="s">
        <v>18831</v>
      </c>
      <c r="E12870" t="s">
        <v>29944</v>
      </c>
      <c r="F12870" t="s">
        <v>32664</v>
      </c>
      <c r="G12870" t="s">
        <v>32672</v>
      </c>
      <c r="H12870" t="s">
        <v>12635</v>
      </c>
      <c r="I12870" t="s">
        <v>8797</v>
      </c>
      <c r="J12870" t="s">
        <v>40421</v>
      </c>
      <c r="K12870" t="s">
        <v>42334</v>
      </c>
      <c r="M12870" t="s">
        <v>46194</v>
      </c>
      <c r="N12870" t="s">
        <v>46569</v>
      </c>
      <c r="O12870" t="s">
        <v>46570</v>
      </c>
      <c r="P12870">
        <v>0</v>
      </c>
      <c r="Q12870">
        <v>5</v>
      </c>
      <c r="R12870" t="s">
        <v>46585</v>
      </c>
      <c r="S12870" t="s">
        <v>47146</v>
      </c>
      <c r="T12870" t="s">
        <v>48296</v>
      </c>
      <c r="U12870" t="s">
        <v>59095</v>
      </c>
      <c r="V12870" t="s">
        <v>63049</v>
      </c>
      <c r="W12870" t="s">
        <v>46194</v>
      </c>
      <c r="X12870" t="s">
        <v>46686</v>
      </c>
    </row>
    <row r="12871" spans="1:24">
      <c r="A12871">
        <f>HYPERLINK("https://www.philgeps.gov.ph/GEPSNONPILOT/Tender/SplashBidNoticeAbstractUI.aspx?menuIndex=3&amp;refID=7043138&amp;Result=3","7043138")</f>
        <v>0</v>
      </c>
      <c r="B12871" t="s">
        <v>2173</v>
      </c>
      <c r="C12871" t="s">
        <v>15748</v>
      </c>
      <c r="D12871" t="s">
        <v>18816</v>
      </c>
      <c r="E12871" t="s">
        <v>29945</v>
      </c>
      <c r="F12871" t="s">
        <v>32664</v>
      </c>
      <c r="G12871" t="s">
        <v>32672</v>
      </c>
      <c r="H12871" t="s">
        <v>32681</v>
      </c>
      <c r="I12871" t="s">
        <v>32681</v>
      </c>
      <c r="J12871" t="s">
        <v>40413</v>
      </c>
      <c r="K12871" t="s">
        <v>42281</v>
      </c>
      <c r="M12871" t="s">
        <v>46181</v>
      </c>
      <c r="N12871" t="s">
        <v>46569</v>
      </c>
      <c r="O12871" t="s">
        <v>46570</v>
      </c>
      <c r="Q12871">
        <v>5</v>
      </c>
      <c r="R12871" t="s">
        <v>46584</v>
      </c>
      <c r="S12871" t="s">
        <v>47148</v>
      </c>
      <c r="T12871" t="s">
        <v>48220</v>
      </c>
      <c r="U12871" t="s">
        <v>59096</v>
      </c>
      <c r="W12871" t="s">
        <v>46181</v>
      </c>
      <c r="X12871" t="s">
        <v>46585</v>
      </c>
    </row>
    <row r="12872" spans="1:24">
      <c r="A12872">
        <f>HYPERLINK("https://www.philgeps.gov.ph/GEPSNONPILOT/Tender/SplashBidNoticeAbstractUI.aspx?menuIndex=3&amp;refID=7043188&amp;Result=3","7043188")</f>
        <v>0</v>
      </c>
      <c r="B12872" t="s">
        <v>3263</v>
      </c>
      <c r="C12872" t="s">
        <v>15749</v>
      </c>
      <c r="E12872" t="s">
        <v>29946</v>
      </c>
      <c r="F12872" t="s">
        <v>32664</v>
      </c>
      <c r="G12872" t="s">
        <v>32672</v>
      </c>
      <c r="H12872" t="s">
        <v>32683</v>
      </c>
      <c r="I12872" t="s">
        <v>10627</v>
      </c>
      <c r="J12872" t="s">
        <v>40422</v>
      </c>
      <c r="K12872" t="s">
        <v>42283</v>
      </c>
      <c r="M12872" t="s">
        <v>46195</v>
      </c>
      <c r="N12872" t="s">
        <v>46569</v>
      </c>
      <c r="O12872" t="s">
        <v>46570</v>
      </c>
      <c r="Q12872">
        <v>2</v>
      </c>
      <c r="R12872" t="s">
        <v>46584</v>
      </c>
      <c r="S12872" t="s">
        <v>47149</v>
      </c>
      <c r="T12872" t="s">
        <v>48226</v>
      </c>
      <c r="U12872" t="s">
        <v>59097</v>
      </c>
      <c r="W12872" t="s">
        <v>46195</v>
      </c>
      <c r="X12872" t="s">
        <v>46585</v>
      </c>
    </row>
    <row r="12873" spans="1:24">
      <c r="A12873">
        <f>HYPERLINK("https://www.philgeps.gov.ph/GEPSNONPILOT/Tender/SplashBidNoticeAbstractUI.aspx?menuIndex=3&amp;refID=6807454&amp;Result=3","6807454")</f>
        <v>0</v>
      </c>
      <c r="B12873" t="s">
        <v>2592</v>
      </c>
      <c r="C12873" t="s">
        <v>15750</v>
      </c>
      <c r="D12873" t="s">
        <v>18806</v>
      </c>
      <c r="E12873" t="s">
        <v>29947</v>
      </c>
      <c r="F12873" t="s">
        <v>32664</v>
      </c>
      <c r="G12873" t="s">
        <v>32672</v>
      </c>
      <c r="H12873" t="s">
        <v>12635</v>
      </c>
      <c r="I12873" t="s">
        <v>11464</v>
      </c>
      <c r="J12873" t="s">
        <v>39778</v>
      </c>
      <c r="K12873" t="s">
        <v>42298</v>
      </c>
      <c r="M12873" t="s">
        <v>45407</v>
      </c>
      <c r="N12873" t="s">
        <v>46569</v>
      </c>
      <c r="O12873" t="s">
        <v>46570</v>
      </c>
      <c r="P12873">
        <v>0</v>
      </c>
      <c r="Q12873">
        <v>5</v>
      </c>
      <c r="R12873" t="s">
        <v>46585</v>
      </c>
      <c r="S12873" t="s">
        <v>47146</v>
      </c>
      <c r="T12873" t="s">
        <v>48285</v>
      </c>
      <c r="U12873" t="s">
        <v>59098</v>
      </c>
      <c r="W12873" t="s">
        <v>45407</v>
      </c>
      <c r="X12873" t="s">
        <v>63616</v>
      </c>
    </row>
    <row r="12874" spans="1:24">
      <c r="A12874">
        <f>HYPERLINK("https://www.philgeps.gov.ph/GEPSNONPILOT/Tender/SplashBidNoticeAbstractUI.aspx?menuIndex=3&amp;refID=7018107&amp;Result=3","7018107")</f>
        <v>0</v>
      </c>
      <c r="B12874" t="s">
        <v>365</v>
      </c>
      <c r="C12874" t="s">
        <v>15751</v>
      </c>
      <c r="D12874" t="s">
        <v>18816</v>
      </c>
      <c r="E12874" t="s">
        <v>24366</v>
      </c>
      <c r="F12874" t="s">
        <v>32664</v>
      </c>
      <c r="G12874" t="s">
        <v>32672</v>
      </c>
      <c r="H12874" t="s">
        <v>32683</v>
      </c>
      <c r="I12874" t="s">
        <v>10627</v>
      </c>
      <c r="J12874" t="s">
        <v>37953</v>
      </c>
      <c r="K12874" t="s">
        <v>42305</v>
      </c>
      <c r="M12874" t="s">
        <v>42934</v>
      </c>
      <c r="N12874" t="s">
        <v>46569</v>
      </c>
      <c r="O12874" t="s">
        <v>46570</v>
      </c>
      <c r="P12874">
        <v>0</v>
      </c>
      <c r="Q12874">
        <v>2</v>
      </c>
      <c r="R12874" t="s">
        <v>46585</v>
      </c>
      <c r="S12874" t="s">
        <v>47146</v>
      </c>
      <c r="T12874" t="s">
        <v>48226</v>
      </c>
      <c r="U12874" t="s">
        <v>59099</v>
      </c>
      <c r="V12874" t="s">
        <v>63050</v>
      </c>
      <c r="W12874" t="s">
        <v>42934</v>
      </c>
      <c r="X12874" t="s">
        <v>46596</v>
      </c>
    </row>
    <row r="12875" spans="1:24">
      <c r="A12875">
        <f>HYPERLINK("https://www.philgeps.gov.ph/GEPSNONPILOT/Tender/SplashBidNoticeAbstractUI.aspx?menuIndex=3&amp;refID=7034276&amp;Result=3","7034276")</f>
        <v>0</v>
      </c>
      <c r="B12875" t="s">
        <v>45</v>
      </c>
      <c r="C12875" t="s">
        <v>15752</v>
      </c>
      <c r="D12875" t="s">
        <v>18789</v>
      </c>
      <c r="E12875" t="s">
        <v>29948</v>
      </c>
      <c r="F12875" t="s">
        <v>32664</v>
      </c>
      <c r="G12875" t="s">
        <v>32672</v>
      </c>
      <c r="H12875" t="s">
        <v>32683</v>
      </c>
      <c r="I12875" t="s">
        <v>10627</v>
      </c>
      <c r="J12875" t="s">
        <v>40423</v>
      </c>
      <c r="K12875" t="s">
        <v>42308</v>
      </c>
      <c r="M12875" t="s">
        <v>42607</v>
      </c>
      <c r="N12875" t="s">
        <v>46569</v>
      </c>
      <c r="O12875" t="s">
        <v>46570</v>
      </c>
      <c r="Q12875">
        <v>6</v>
      </c>
      <c r="R12875" t="s">
        <v>46585</v>
      </c>
      <c r="S12875" t="s">
        <v>47150</v>
      </c>
      <c r="T12875" t="s">
        <v>48230</v>
      </c>
      <c r="U12875" t="s">
        <v>59100</v>
      </c>
      <c r="W12875" t="s">
        <v>42607</v>
      </c>
      <c r="X12875" t="s">
        <v>46588</v>
      </c>
    </row>
    <row r="12876" spans="1:24">
      <c r="A12876">
        <f>HYPERLINK("https://www.philgeps.gov.ph/GEPSNONPILOT/Tender/SplashBidNoticeAbstractUI.aspx?menuIndex=3&amp;refID=6947611&amp;Result=3","6947611")</f>
        <v>0</v>
      </c>
      <c r="B12876" t="s">
        <v>3262</v>
      </c>
      <c r="C12876" t="s">
        <v>15753</v>
      </c>
      <c r="D12876" t="s">
        <v>18831</v>
      </c>
      <c r="E12876" t="s">
        <v>29949</v>
      </c>
      <c r="F12876" t="s">
        <v>32664</v>
      </c>
      <c r="G12876" t="s">
        <v>32672</v>
      </c>
      <c r="H12876" t="s">
        <v>12635</v>
      </c>
      <c r="I12876" t="s">
        <v>9486</v>
      </c>
      <c r="J12876" t="s">
        <v>33021</v>
      </c>
      <c r="K12876" t="s">
        <v>42281</v>
      </c>
      <c r="M12876" t="s">
        <v>46194</v>
      </c>
      <c r="N12876" t="s">
        <v>46569</v>
      </c>
      <c r="O12876" t="s">
        <v>46570</v>
      </c>
      <c r="P12876">
        <v>0</v>
      </c>
      <c r="Q12876">
        <v>6</v>
      </c>
      <c r="R12876" t="s">
        <v>46585</v>
      </c>
      <c r="S12876" t="s">
        <v>47146</v>
      </c>
      <c r="T12876" t="s">
        <v>48296</v>
      </c>
      <c r="U12876" t="s">
        <v>59101</v>
      </c>
      <c r="V12876" t="s">
        <v>63049</v>
      </c>
      <c r="W12876" t="s">
        <v>46194</v>
      </c>
      <c r="X12876" t="s">
        <v>46686</v>
      </c>
    </row>
    <row r="12877" spans="1:24">
      <c r="A12877">
        <f>HYPERLINK("https://www.philgeps.gov.ph/GEPSNONPILOT/Tender/SplashBidNoticeAbstractUI.aspx?menuIndex=3&amp;refID=7035790&amp;Result=3","7035790")</f>
        <v>0</v>
      </c>
      <c r="B12877" t="s">
        <v>3264</v>
      </c>
      <c r="C12877" t="s">
        <v>15754</v>
      </c>
      <c r="D12877" t="s">
        <v>18837</v>
      </c>
      <c r="E12877" t="s">
        <v>29950</v>
      </c>
      <c r="F12877" t="s">
        <v>32664</v>
      </c>
      <c r="G12877" t="s">
        <v>32672</v>
      </c>
      <c r="H12877" t="s">
        <v>12635</v>
      </c>
      <c r="I12877" t="s">
        <v>4439</v>
      </c>
      <c r="J12877" t="s">
        <v>40424</v>
      </c>
      <c r="K12877" t="s">
        <v>42309</v>
      </c>
      <c r="M12877" t="s">
        <v>46196</v>
      </c>
      <c r="N12877" t="s">
        <v>46569</v>
      </c>
      <c r="O12877" t="s">
        <v>46570</v>
      </c>
      <c r="P12877">
        <v>0</v>
      </c>
      <c r="Q12877">
        <v>1</v>
      </c>
      <c r="R12877" t="s">
        <v>46585</v>
      </c>
      <c r="S12877" t="s">
        <v>47146</v>
      </c>
      <c r="T12877" t="s">
        <v>48290</v>
      </c>
      <c r="U12877" t="s">
        <v>59102</v>
      </c>
      <c r="W12877" t="s">
        <v>46196</v>
      </c>
      <c r="X12877" t="s">
        <v>46587</v>
      </c>
    </row>
    <row r="12878" spans="1:24">
      <c r="A12878">
        <f>HYPERLINK("https://www.philgeps.gov.ph/GEPSNONPILOT/Tender/SplashBidNoticeAbstractUI.aspx?menuIndex=3&amp;refID=7035788&amp;Result=3","7035788")</f>
        <v>0</v>
      </c>
      <c r="B12878" t="s">
        <v>57</v>
      </c>
      <c r="C12878" t="s">
        <v>15755</v>
      </c>
      <c r="D12878" t="s">
        <v>18806</v>
      </c>
      <c r="E12878" t="s">
        <v>29951</v>
      </c>
      <c r="F12878" t="s">
        <v>32664</v>
      </c>
      <c r="G12878" t="s">
        <v>32672</v>
      </c>
      <c r="H12878" t="s">
        <v>32683</v>
      </c>
      <c r="I12878" t="s">
        <v>10627</v>
      </c>
      <c r="J12878" t="s">
        <v>33009</v>
      </c>
      <c r="K12878" t="s">
        <v>42440</v>
      </c>
      <c r="M12878" t="s">
        <v>42619</v>
      </c>
      <c r="N12878" t="s">
        <v>46569</v>
      </c>
      <c r="O12878" t="s">
        <v>46570</v>
      </c>
      <c r="P12878">
        <v>0</v>
      </c>
      <c r="Q12878">
        <v>0</v>
      </c>
      <c r="R12878" t="s">
        <v>46585</v>
      </c>
      <c r="S12878" t="s">
        <v>47146</v>
      </c>
      <c r="T12878" t="s">
        <v>48226</v>
      </c>
      <c r="U12878" t="s">
        <v>59103</v>
      </c>
      <c r="W12878" t="s">
        <v>42619</v>
      </c>
      <c r="X12878" t="s">
        <v>46587</v>
      </c>
    </row>
    <row r="12879" spans="1:24">
      <c r="A12879">
        <f>HYPERLINK("https://www.philgeps.gov.ph/GEPSNONPILOT/Tender/SplashBidNoticeAbstractUI.aspx?menuIndex=3&amp;refID=7035726&amp;Result=3","7035726")</f>
        <v>0</v>
      </c>
      <c r="B12879" t="s">
        <v>57</v>
      </c>
      <c r="C12879" t="s">
        <v>15756</v>
      </c>
      <c r="D12879" t="s">
        <v>18806</v>
      </c>
      <c r="E12879" t="s">
        <v>29952</v>
      </c>
      <c r="F12879" t="s">
        <v>32664</v>
      </c>
      <c r="G12879" t="s">
        <v>32672</v>
      </c>
      <c r="H12879" t="s">
        <v>32683</v>
      </c>
      <c r="I12879" t="s">
        <v>10627</v>
      </c>
      <c r="J12879" t="s">
        <v>32930</v>
      </c>
      <c r="K12879" t="s">
        <v>42311</v>
      </c>
      <c r="M12879" t="s">
        <v>42619</v>
      </c>
      <c r="N12879" t="s">
        <v>46569</v>
      </c>
      <c r="O12879" t="s">
        <v>46570</v>
      </c>
      <c r="P12879">
        <v>0</v>
      </c>
      <c r="Q12879">
        <v>0</v>
      </c>
      <c r="R12879" t="s">
        <v>46585</v>
      </c>
      <c r="S12879" t="s">
        <v>47146</v>
      </c>
      <c r="T12879" t="s">
        <v>48226</v>
      </c>
      <c r="U12879" t="s">
        <v>59104</v>
      </c>
      <c r="W12879" t="s">
        <v>42619</v>
      </c>
      <c r="X12879" t="s">
        <v>46587</v>
      </c>
    </row>
    <row r="12880" spans="1:24">
      <c r="A12880">
        <f>HYPERLINK("https://www.philgeps.gov.ph/GEPSNONPILOT/Tender/SplashBidNoticeAbstractUI.aspx?menuIndex=3&amp;refID=7017985&amp;Result=3","7017985")</f>
        <v>0</v>
      </c>
      <c r="B12880" t="s">
        <v>365</v>
      </c>
      <c r="C12880" t="s">
        <v>15757</v>
      </c>
      <c r="D12880" t="s">
        <v>18816</v>
      </c>
      <c r="E12880" t="s">
        <v>24343</v>
      </c>
      <c r="F12880" t="s">
        <v>32664</v>
      </c>
      <c r="G12880" t="s">
        <v>32672</v>
      </c>
      <c r="H12880" t="s">
        <v>32683</v>
      </c>
      <c r="I12880" t="s">
        <v>10627</v>
      </c>
      <c r="J12880" t="s">
        <v>33150</v>
      </c>
      <c r="K12880" t="s">
        <v>42290</v>
      </c>
      <c r="M12880" t="s">
        <v>42934</v>
      </c>
      <c r="N12880" t="s">
        <v>46569</v>
      </c>
      <c r="O12880" t="s">
        <v>46570</v>
      </c>
      <c r="P12880">
        <v>0</v>
      </c>
      <c r="Q12880">
        <v>0</v>
      </c>
      <c r="R12880" t="s">
        <v>46585</v>
      </c>
      <c r="S12880" t="s">
        <v>47146</v>
      </c>
      <c r="T12880" t="s">
        <v>48226</v>
      </c>
      <c r="U12880" t="s">
        <v>59105</v>
      </c>
      <c r="V12880" t="s">
        <v>63050</v>
      </c>
      <c r="W12880" t="s">
        <v>42934</v>
      </c>
      <c r="X12880" t="s">
        <v>46596</v>
      </c>
    </row>
    <row r="12881" spans="1:24">
      <c r="A12881">
        <f>HYPERLINK("https://www.philgeps.gov.ph/GEPSNONPILOT/Tender/SplashBidNoticeAbstractUI.aspx?menuIndex=3&amp;refID=7035688&amp;Result=3","7035688")</f>
        <v>0</v>
      </c>
      <c r="B12881" t="s">
        <v>57</v>
      </c>
      <c r="C12881" t="s">
        <v>15758</v>
      </c>
      <c r="D12881" t="s">
        <v>18806</v>
      </c>
      <c r="E12881" t="s">
        <v>29953</v>
      </c>
      <c r="F12881" t="s">
        <v>32664</v>
      </c>
      <c r="G12881" t="s">
        <v>32672</v>
      </c>
      <c r="H12881" t="s">
        <v>32683</v>
      </c>
      <c r="I12881" t="s">
        <v>10627</v>
      </c>
      <c r="J12881" t="s">
        <v>33084</v>
      </c>
      <c r="K12881" t="s">
        <v>42440</v>
      </c>
      <c r="M12881" t="s">
        <v>42619</v>
      </c>
      <c r="N12881" t="s">
        <v>46569</v>
      </c>
      <c r="O12881" t="s">
        <v>46570</v>
      </c>
      <c r="P12881">
        <v>0</v>
      </c>
      <c r="Q12881">
        <v>1</v>
      </c>
      <c r="R12881" t="s">
        <v>46585</v>
      </c>
      <c r="S12881" t="s">
        <v>47146</v>
      </c>
      <c r="T12881" t="s">
        <v>48226</v>
      </c>
      <c r="U12881" t="s">
        <v>59106</v>
      </c>
      <c r="W12881" t="s">
        <v>42619</v>
      </c>
      <c r="X12881" t="s">
        <v>46587</v>
      </c>
    </row>
    <row r="12882" spans="1:24">
      <c r="A12882">
        <f>HYPERLINK("https://www.philgeps.gov.ph/GEPSNONPILOT/Tender/SplashBidNoticeAbstractUI.aspx?menuIndex=3&amp;refID=7035849&amp;Result=3","7035849")</f>
        <v>0</v>
      </c>
      <c r="B12882" t="s">
        <v>57</v>
      </c>
      <c r="C12882" t="s">
        <v>15759</v>
      </c>
      <c r="D12882" t="s">
        <v>18806</v>
      </c>
      <c r="E12882" t="s">
        <v>29954</v>
      </c>
      <c r="F12882" t="s">
        <v>32664</v>
      </c>
      <c r="G12882" t="s">
        <v>32672</v>
      </c>
      <c r="H12882" t="s">
        <v>32683</v>
      </c>
      <c r="I12882" t="s">
        <v>10627</v>
      </c>
      <c r="J12882" t="s">
        <v>32943</v>
      </c>
      <c r="K12882" t="s">
        <v>42298</v>
      </c>
      <c r="M12882" t="s">
        <v>42619</v>
      </c>
      <c r="N12882" t="s">
        <v>46569</v>
      </c>
      <c r="O12882" t="s">
        <v>46570</v>
      </c>
      <c r="P12882">
        <v>0</v>
      </c>
      <c r="Q12882">
        <v>0</v>
      </c>
      <c r="R12882" t="s">
        <v>46585</v>
      </c>
      <c r="S12882" t="s">
        <v>47146</v>
      </c>
      <c r="T12882" t="s">
        <v>48226</v>
      </c>
      <c r="U12882" t="s">
        <v>59107</v>
      </c>
      <c r="W12882" t="s">
        <v>42619</v>
      </c>
      <c r="X12882" t="s">
        <v>46587</v>
      </c>
    </row>
    <row r="12883" spans="1:24">
      <c r="A12883">
        <f>HYPERLINK("https://www.philgeps.gov.ph/GEPSNONPILOT/Tender/SplashBidNoticeAbstractUI.aspx?menuIndex=3&amp;refID=7035759&amp;Result=3","7035759")</f>
        <v>0</v>
      </c>
      <c r="B12883" t="s">
        <v>57</v>
      </c>
      <c r="C12883" t="s">
        <v>15760</v>
      </c>
      <c r="D12883" t="s">
        <v>18806</v>
      </c>
      <c r="E12883" t="s">
        <v>29955</v>
      </c>
      <c r="F12883" t="s">
        <v>32664</v>
      </c>
      <c r="G12883" t="s">
        <v>32672</v>
      </c>
      <c r="H12883" t="s">
        <v>32683</v>
      </c>
      <c r="I12883" t="s">
        <v>10627</v>
      </c>
      <c r="J12883" t="s">
        <v>32962</v>
      </c>
      <c r="K12883" t="s">
        <v>42305</v>
      </c>
      <c r="M12883" t="s">
        <v>42619</v>
      </c>
      <c r="N12883" t="s">
        <v>46569</v>
      </c>
      <c r="O12883" t="s">
        <v>46570</v>
      </c>
      <c r="P12883">
        <v>0</v>
      </c>
      <c r="Q12883">
        <v>0</v>
      </c>
      <c r="R12883" t="s">
        <v>46585</v>
      </c>
      <c r="S12883" t="s">
        <v>47146</v>
      </c>
      <c r="T12883" t="s">
        <v>48226</v>
      </c>
      <c r="U12883" t="s">
        <v>59108</v>
      </c>
      <c r="W12883" t="s">
        <v>42619</v>
      </c>
      <c r="X12883" t="s">
        <v>46587</v>
      </c>
    </row>
    <row r="12884" spans="1:24">
      <c r="A12884">
        <f>HYPERLINK("https://www.philgeps.gov.ph/GEPSNONPILOT/Tender/SplashBidNoticeAbstractUI.aspx?menuIndex=3&amp;refID=7034111&amp;Result=3","7034111")</f>
        <v>0</v>
      </c>
      <c r="B12884" t="s">
        <v>3265</v>
      </c>
      <c r="C12884" t="s">
        <v>15761</v>
      </c>
      <c r="D12884" t="s">
        <v>18842</v>
      </c>
      <c r="E12884" t="s">
        <v>29956</v>
      </c>
      <c r="F12884" t="s">
        <v>32664</v>
      </c>
      <c r="G12884" t="s">
        <v>32672</v>
      </c>
      <c r="H12884" t="s">
        <v>12635</v>
      </c>
      <c r="I12884" t="s">
        <v>32694</v>
      </c>
      <c r="J12884" t="s">
        <v>40425</v>
      </c>
      <c r="K12884" t="s">
        <v>42289</v>
      </c>
      <c r="M12884" t="s">
        <v>46197</v>
      </c>
      <c r="N12884" t="s">
        <v>46569</v>
      </c>
      <c r="O12884" t="s">
        <v>46570</v>
      </c>
      <c r="P12884">
        <v>0</v>
      </c>
      <c r="Q12884">
        <v>0</v>
      </c>
      <c r="R12884" t="s">
        <v>46585</v>
      </c>
      <c r="S12884" t="s">
        <v>47146</v>
      </c>
      <c r="T12884" t="s">
        <v>48285</v>
      </c>
      <c r="U12884" t="s">
        <v>59109</v>
      </c>
      <c r="W12884" t="s">
        <v>46197</v>
      </c>
      <c r="X12884" t="s">
        <v>46588</v>
      </c>
    </row>
    <row r="12885" spans="1:24">
      <c r="A12885">
        <f>HYPERLINK("https://www.philgeps.gov.ph/GEPSNONPILOT/Tender/SplashBidNoticeAbstractUI.aspx?menuIndex=3&amp;refID=7035659&amp;Result=3","7035659")</f>
        <v>0</v>
      </c>
      <c r="B12885" t="s">
        <v>57</v>
      </c>
      <c r="C12885" t="s">
        <v>15762</v>
      </c>
      <c r="D12885" t="s">
        <v>18806</v>
      </c>
      <c r="E12885" t="s">
        <v>23022</v>
      </c>
      <c r="F12885" t="s">
        <v>32664</v>
      </c>
      <c r="G12885" t="s">
        <v>32672</v>
      </c>
      <c r="H12885" t="s">
        <v>32683</v>
      </c>
      <c r="I12885" t="s">
        <v>10627</v>
      </c>
      <c r="J12885" t="s">
        <v>36071</v>
      </c>
      <c r="K12885" t="s">
        <v>42440</v>
      </c>
      <c r="M12885" t="s">
        <v>42619</v>
      </c>
      <c r="N12885" t="s">
        <v>46569</v>
      </c>
      <c r="O12885" t="s">
        <v>46570</v>
      </c>
      <c r="P12885">
        <v>0</v>
      </c>
      <c r="Q12885">
        <v>0</v>
      </c>
      <c r="R12885" t="s">
        <v>46585</v>
      </c>
      <c r="S12885" t="s">
        <v>47146</v>
      </c>
      <c r="T12885" t="s">
        <v>48226</v>
      </c>
      <c r="U12885" t="s">
        <v>59110</v>
      </c>
      <c r="W12885" t="s">
        <v>42619</v>
      </c>
      <c r="X12885" t="s">
        <v>46587</v>
      </c>
    </row>
    <row r="12886" spans="1:24">
      <c r="A12886">
        <f>HYPERLINK("https://www.philgeps.gov.ph/GEPSNONPILOT/Tender/SplashBidNoticeAbstractUI.aspx?menuIndex=3&amp;refID=7043168&amp;Result=3","7043168")</f>
        <v>0</v>
      </c>
      <c r="B12886" t="s">
        <v>3253</v>
      </c>
      <c r="C12886" t="s">
        <v>15763</v>
      </c>
      <c r="D12886" t="s">
        <v>18799</v>
      </c>
      <c r="E12886" t="s">
        <v>29957</v>
      </c>
      <c r="F12886" t="s">
        <v>32664</v>
      </c>
      <c r="G12886" t="s">
        <v>32672</v>
      </c>
      <c r="H12886" t="s">
        <v>12635</v>
      </c>
      <c r="I12886" t="s">
        <v>6168</v>
      </c>
      <c r="J12886" t="s">
        <v>40426</v>
      </c>
      <c r="K12886" t="s">
        <v>42309</v>
      </c>
      <c r="M12886" t="s">
        <v>46183</v>
      </c>
      <c r="N12886" t="s">
        <v>46569</v>
      </c>
      <c r="O12886" t="s">
        <v>46570</v>
      </c>
      <c r="P12886">
        <v>0</v>
      </c>
      <c r="Q12886">
        <v>5</v>
      </c>
      <c r="R12886" t="s">
        <v>46584</v>
      </c>
      <c r="S12886" t="s">
        <v>47063</v>
      </c>
      <c r="T12886" t="s">
        <v>48294</v>
      </c>
      <c r="U12886" t="s">
        <v>59111</v>
      </c>
      <c r="V12886" t="s">
        <v>61745</v>
      </c>
      <c r="W12886" t="s">
        <v>46183</v>
      </c>
      <c r="X12886" t="s">
        <v>46585</v>
      </c>
    </row>
    <row r="12887" spans="1:24">
      <c r="A12887">
        <f>HYPERLINK("https://www.philgeps.gov.ph/GEPSNONPILOT/Tender/SplashBidNoticeAbstractUI.aspx?menuIndex=3&amp;refID=7035371&amp;Result=3","7035371")</f>
        <v>0</v>
      </c>
      <c r="B12887" t="s">
        <v>460</v>
      </c>
      <c r="C12887" t="s">
        <v>15764</v>
      </c>
      <c r="D12887" t="s">
        <v>18806</v>
      </c>
      <c r="E12887" t="s">
        <v>29958</v>
      </c>
      <c r="F12887" t="s">
        <v>32664</v>
      </c>
      <c r="G12887" t="s">
        <v>32672</v>
      </c>
      <c r="H12887" t="s">
        <v>32683</v>
      </c>
      <c r="I12887" t="s">
        <v>10627</v>
      </c>
      <c r="J12887" t="s">
        <v>36127</v>
      </c>
      <c r="K12887" t="s">
        <v>42363</v>
      </c>
      <c r="M12887" t="s">
        <v>45683</v>
      </c>
      <c r="N12887" t="s">
        <v>46569</v>
      </c>
      <c r="O12887" t="s">
        <v>46570</v>
      </c>
      <c r="Q12887">
        <v>2</v>
      </c>
      <c r="R12887" t="s">
        <v>46585</v>
      </c>
      <c r="S12887" t="s">
        <v>47151</v>
      </c>
      <c r="T12887" t="s">
        <v>48321</v>
      </c>
      <c r="U12887" t="s">
        <v>57088</v>
      </c>
      <c r="V12887" t="s">
        <v>61668</v>
      </c>
      <c r="W12887" t="s">
        <v>45683</v>
      </c>
      <c r="X12887" t="s">
        <v>46587</v>
      </c>
    </row>
    <row r="12888" spans="1:24">
      <c r="A12888">
        <f>HYPERLINK("https://www.philgeps.gov.ph/GEPSNONPILOT/Tender/SplashBidNoticeAbstractUI.aspx?menuIndex=3&amp;refID=7034819&amp;Result=3","7034819")</f>
        <v>0</v>
      </c>
      <c r="B12888" t="s">
        <v>3266</v>
      </c>
      <c r="C12888" t="s">
        <v>7052</v>
      </c>
      <c r="E12888" t="s">
        <v>29959</v>
      </c>
      <c r="F12888" t="s">
        <v>32664</v>
      </c>
      <c r="G12888" t="s">
        <v>32672</v>
      </c>
      <c r="H12888" t="s">
        <v>12635</v>
      </c>
      <c r="I12888" t="s">
        <v>5589</v>
      </c>
      <c r="J12888" t="s">
        <v>33128</v>
      </c>
      <c r="K12888" t="s">
        <v>42297</v>
      </c>
      <c r="M12888" t="s">
        <v>46198</v>
      </c>
      <c r="N12888" t="s">
        <v>46569</v>
      </c>
      <c r="O12888" t="s">
        <v>46570</v>
      </c>
      <c r="P12888">
        <v>0</v>
      </c>
      <c r="Q12888">
        <v>6</v>
      </c>
      <c r="R12888" t="s">
        <v>46585</v>
      </c>
      <c r="S12888" t="s">
        <v>47146</v>
      </c>
      <c r="T12888" t="s">
        <v>48279</v>
      </c>
      <c r="U12888" t="s">
        <v>59112</v>
      </c>
      <c r="W12888" t="s">
        <v>46198</v>
      </c>
      <c r="X12888" t="s">
        <v>46588</v>
      </c>
    </row>
    <row r="12889" spans="1:24">
      <c r="A12889">
        <f>HYPERLINK("https://www.philgeps.gov.ph/GEPSNONPILOT/Tender/SplashBidNoticeAbstractUI.aspx?menuIndex=3&amp;refID=7035351&amp;Result=3","7035351")</f>
        <v>0</v>
      </c>
      <c r="B12889" t="s">
        <v>53</v>
      </c>
      <c r="C12889" t="s">
        <v>15765</v>
      </c>
      <c r="E12889" t="s">
        <v>29960</v>
      </c>
      <c r="F12889" t="s">
        <v>32664</v>
      </c>
      <c r="G12889" t="s">
        <v>32672</v>
      </c>
      <c r="H12889" t="s">
        <v>12635</v>
      </c>
      <c r="I12889" t="s">
        <v>11464</v>
      </c>
      <c r="J12889" t="s">
        <v>40427</v>
      </c>
      <c r="K12889" t="s">
        <v>42281</v>
      </c>
      <c r="M12889" t="s">
        <v>42624</v>
      </c>
      <c r="N12889" t="s">
        <v>46569</v>
      </c>
      <c r="O12889" t="s">
        <v>46570</v>
      </c>
      <c r="P12889">
        <v>0</v>
      </c>
      <c r="Q12889">
        <v>5</v>
      </c>
      <c r="R12889" t="s">
        <v>46585</v>
      </c>
      <c r="S12889" t="s">
        <v>47146</v>
      </c>
      <c r="T12889" t="s">
        <v>48230</v>
      </c>
      <c r="U12889" t="s">
        <v>59113</v>
      </c>
      <c r="W12889" t="s">
        <v>42624</v>
      </c>
      <c r="X12889" t="s">
        <v>46587</v>
      </c>
    </row>
    <row r="12890" spans="1:24">
      <c r="A12890">
        <f>HYPERLINK("https://www.philgeps.gov.ph/GEPSNONPILOT/Tender/SplashBidNoticeAbstractUI.aspx?menuIndex=3&amp;refID=7035635&amp;Result=3","7035635")</f>
        <v>0</v>
      </c>
      <c r="B12890" t="s">
        <v>57</v>
      </c>
      <c r="C12890" t="s">
        <v>15766</v>
      </c>
      <c r="D12890" t="s">
        <v>18806</v>
      </c>
      <c r="E12890" t="s">
        <v>29961</v>
      </c>
      <c r="F12890" t="s">
        <v>32664</v>
      </c>
      <c r="G12890" t="s">
        <v>32672</v>
      </c>
      <c r="H12890" t="s">
        <v>32683</v>
      </c>
      <c r="I12890" t="s">
        <v>10627</v>
      </c>
      <c r="J12890" t="s">
        <v>32962</v>
      </c>
      <c r="K12890" t="s">
        <v>42305</v>
      </c>
      <c r="M12890" t="s">
        <v>42619</v>
      </c>
      <c r="N12890" t="s">
        <v>46569</v>
      </c>
      <c r="O12890" t="s">
        <v>46570</v>
      </c>
      <c r="P12890">
        <v>0</v>
      </c>
      <c r="Q12890">
        <v>0</v>
      </c>
      <c r="R12890" t="s">
        <v>46585</v>
      </c>
      <c r="S12890" t="s">
        <v>47146</v>
      </c>
      <c r="T12890" t="s">
        <v>48226</v>
      </c>
      <c r="U12890" t="s">
        <v>59114</v>
      </c>
      <c r="W12890" t="s">
        <v>42619</v>
      </c>
      <c r="X12890" t="s">
        <v>46587</v>
      </c>
    </row>
    <row r="12891" spans="1:24">
      <c r="A12891">
        <f>HYPERLINK("https://www.philgeps.gov.ph/GEPSNONPILOT/Tender/SplashBidNoticeAbstractUI.aspx?menuIndex=3&amp;refID=7034513&amp;Result=3","7034513")</f>
        <v>0</v>
      </c>
      <c r="B12891" t="s">
        <v>3258</v>
      </c>
      <c r="C12891" t="s">
        <v>15767</v>
      </c>
      <c r="D12891" t="s">
        <v>18842</v>
      </c>
      <c r="E12891" t="s">
        <v>29962</v>
      </c>
      <c r="F12891" t="s">
        <v>32664</v>
      </c>
      <c r="G12891" t="s">
        <v>32672</v>
      </c>
      <c r="H12891" t="s">
        <v>12635</v>
      </c>
      <c r="I12891" t="s">
        <v>32694</v>
      </c>
      <c r="J12891" t="s">
        <v>40428</v>
      </c>
      <c r="K12891" t="s">
        <v>42289</v>
      </c>
      <c r="M12891" t="s">
        <v>46190</v>
      </c>
      <c r="N12891" t="s">
        <v>46569</v>
      </c>
      <c r="O12891" t="s">
        <v>46570</v>
      </c>
      <c r="P12891">
        <v>0</v>
      </c>
      <c r="Q12891">
        <v>0</v>
      </c>
      <c r="R12891" t="s">
        <v>46585</v>
      </c>
      <c r="S12891" t="s">
        <v>47146</v>
      </c>
      <c r="T12891" t="s">
        <v>48285</v>
      </c>
      <c r="U12891" t="s">
        <v>59115</v>
      </c>
      <c r="W12891" t="s">
        <v>46190</v>
      </c>
      <c r="X12891" t="s">
        <v>46588</v>
      </c>
    </row>
    <row r="12892" spans="1:24">
      <c r="A12892">
        <f>HYPERLINK("https://www.philgeps.gov.ph/GEPSNONPILOT/Tender/SplashBidNoticeAbstractUI.aspx?menuIndex=3&amp;refID=7034267&amp;Result=3","7034267")</f>
        <v>0</v>
      </c>
      <c r="B12892" t="s">
        <v>802</v>
      </c>
      <c r="C12892" t="s">
        <v>15768</v>
      </c>
      <c r="D12892" t="s">
        <v>18798</v>
      </c>
      <c r="E12892" t="s">
        <v>29963</v>
      </c>
      <c r="F12892" t="s">
        <v>32664</v>
      </c>
      <c r="G12892" t="s">
        <v>32672</v>
      </c>
      <c r="H12892" t="s">
        <v>32683</v>
      </c>
      <c r="I12892" t="s">
        <v>10627</v>
      </c>
      <c r="J12892" t="s">
        <v>34487</v>
      </c>
      <c r="K12892" t="s">
        <v>42314</v>
      </c>
      <c r="M12892" t="s">
        <v>46189</v>
      </c>
      <c r="N12892" t="s">
        <v>46569</v>
      </c>
      <c r="O12892" t="s">
        <v>46570</v>
      </c>
      <c r="P12892">
        <v>0</v>
      </c>
      <c r="Q12892">
        <v>2</v>
      </c>
      <c r="R12892" t="s">
        <v>46585</v>
      </c>
      <c r="S12892" t="s">
        <v>47146</v>
      </c>
      <c r="T12892" t="s">
        <v>48306</v>
      </c>
      <c r="U12892" t="s">
        <v>59116</v>
      </c>
      <c r="W12892" t="s">
        <v>46189</v>
      </c>
      <c r="X12892" t="s">
        <v>46588</v>
      </c>
    </row>
    <row r="12893" spans="1:24">
      <c r="A12893">
        <f>HYPERLINK("https://www.philgeps.gov.ph/GEPSNONPILOT/Tender/SplashBidNoticeAbstractUI.aspx?menuIndex=3&amp;refID=7034236&amp;Result=3","7034236")</f>
        <v>0</v>
      </c>
      <c r="B12893" t="s">
        <v>802</v>
      </c>
      <c r="C12893" t="s">
        <v>15769</v>
      </c>
      <c r="D12893" t="s">
        <v>18798</v>
      </c>
      <c r="E12893" t="s">
        <v>29964</v>
      </c>
      <c r="F12893" t="s">
        <v>32664</v>
      </c>
      <c r="G12893" t="s">
        <v>32672</v>
      </c>
      <c r="H12893" t="s">
        <v>32683</v>
      </c>
      <c r="I12893" t="s">
        <v>10627</v>
      </c>
      <c r="J12893" t="s">
        <v>40429</v>
      </c>
      <c r="K12893" t="s">
        <v>42285</v>
      </c>
      <c r="M12893" t="s">
        <v>46189</v>
      </c>
      <c r="N12893" t="s">
        <v>46569</v>
      </c>
      <c r="O12893" t="s">
        <v>46570</v>
      </c>
      <c r="P12893">
        <v>0</v>
      </c>
      <c r="Q12893">
        <v>3</v>
      </c>
      <c r="R12893" t="s">
        <v>46585</v>
      </c>
      <c r="S12893" t="s">
        <v>47146</v>
      </c>
      <c r="T12893" t="s">
        <v>48306</v>
      </c>
      <c r="U12893" t="s">
        <v>59117</v>
      </c>
      <c r="W12893" t="s">
        <v>46189</v>
      </c>
      <c r="X12893" t="s">
        <v>46588</v>
      </c>
    </row>
    <row r="12894" spans="1:24">
      <c r="A12894">
        <f>HYPERLINK("https://www.philgeps.gov.ph/GEPSNONPILOT/Tender/SplashBidNoticeAbstractUI.aspx?menuIndex=3&amp;refID=7043299&amp;Result=3","7043299")</f>
        <v>0</v>
      </c>
      <c r="B12894" t="s">
        <v>2326</v>
      </c>
      <c r="C12894" t="s">
        <v>15164</v>
      </c>
      <c r="D12894" t="s">
        <v>18804</v>
      </c>
      <c r="E12894" t="s">
        <v>29965</v>
      </c>
      <c r="F12894" t="s">
        <v>32664</v>
      </c>
      <c r="G12894" t="s">
        <v>32672</v>
      </c>
      <c r="H12894" t="s">
        <v>32683</v>
      </c>
      <c r="I12894" t="s">
        <v>10627</v>
      </c>
      <c r="J12894" t="s">
        <v>40430</v>
      </c>
      <c r="K12894" t="s">
        <v>42326</v>
      </c>
      <c r="M12894" t="s">
        <v>45102</v>
      </c>
      <c r="N12894" t="s">
        <v>46569</v>
      </c>
      <c r="O12894" t="s">
        <v>46570</v>
      </c>
      <c r="P12894">
        <v>0</v>
      </c>
      <c r="Q12894">
        <v>0</v>
      </c>
      <c r="R12894" t="s">
        <v>46584</v>
      </c>
      <c r="S12894" t="s">
        <v>47063</v>
      </c>
      <c r="T12894" t="s">
        <v>48212</v>
      </c>
      <c r="U12894" t="s">
        <v>59118</v>
      </c>
      <c r="W12894" t="s">
        <v>45102</v>
      </c>
      <c r="X12894" t="s">
        <v>46585</v>
      </c>
    </row>
    <row r="12895" spans="1:24">
      <c r="A12895">
        <f>HYPERLINK("https://www.philgeps.gov.ph/GEPSNONPILOT/Tender/SplashBidNoticeAbstractUI.aspx?menuIndex=3&amp;refID=7034648&amp;Result=3","7034648")</f>
        <v>0</v>
      </c>
      <c r="B12895" t="s">
        <v>3112</v>
      </c>
      <c r="C12895" t="s">
        <v>15770</v>
      </c>
      <c r="D12895" t="s">
        <v>18781</v>
      </c>
      <c r="E12895" t="s">
        <v>29966</v>
      </c>
      <c r="F12895" t="s">
        <v>32664</v>
      </c>
      <c r="G12895" t="s">
        <v>32672</v>
      </c>
      <c r="H12895" t="s">
        <v>12635</v>
      </c>
      <c r="I12895" t="s">
        <v>10627</v>
      </c>
      <c r="J12895" t="s">
        <v>40431</v>
      </c>
      <c r="K12895" t="s">
        <v>42311</v>
      </c>
      <c r="M12895" t="s">
        <v>46199</v>
      </c>
      <c r="N12895" t="s">
        <v>46569</v>
      </c>
      <c r="O12895" t="s">
        <v>46570</v>
      </c>
      <c r="P12895">
        <v>0</v>
      </c>
      <c r="Q12895">
        <v>2</v>
      </c>
      <c r="R12895" t="s">
        <v>46585</v>
      </c>
      <c r="S12895" t="s">
        <v>47146</v>
      </c>
      <c r="T12895" t="s">
        <v>48245</v>
      </c>
      <c r="U12895" t="s">
        <v>59119</v>
      </c>
      <c r="W12895" t="s">
        <v>46199</v>
      </c>
      <c r="X12895" t="s">
        <v>46588</v>
      </c>
    </row>
    <row r="12896" spans="1:24">
      <c r="A12896">
        <f>HYPERLINK("https://www.philgeps.gov.ph/GEPSNONPILOT/Tender/SplashBidNoticeAbstractUI.aspx?menuIndex=3&amp;refID=6858289&amp;Result=3","6858289")</f>
        <v>0</v>
      </c>
      <c r="B12896" t="s">
        <v>3262</v>
      </c>
      <c r="C12896" t="s">
        <v>15771</v>
      </c>
      <c r="D12896" t="s">
        <v>18831</v>
      </c>
      <c r="E12896" t="s">
        <v>29967</v>
      </c>
      <c r="F12896" t="s">
        <v>32664</v>
      </c>
      <c r="G12896" t="s">
        <v>32672</v>
      </c>
      <c r="H12896" t="s">
        <v>12635</v>
      </c>
      <c r="I12896" t="s">
        <v>9486</v>
      </c>
      <c r="J12896" t="s">
        <v>40432</v>
      </c>
      <c r="K12896" t="s">
        <v>42334</v>
      </c>
      <c r="M12896" t="s">
        <v>46194</v>
      </c>
      <c r="N12896" t="s">
        <v>46569</v>
      </c>
      <c r="O12896" t="s">
        <v>46570</v>
      </c>
      <c r="P12896">
        <v>0</v>
      </c>
      <c r="Q12896">
        <v>5</v>
      </c>
      <c r="R12896" t="s">
        <v>46585</v>
      </c>
      <c r="S12896" t="s">
        <v>47146</v>
      </c>
      <c r="T12896" t="s">
        <v>48268</v>
      </c>
      <c r="U12896" t="s">
        <v>59120</v>
      </c>
      <c r="V12896" t="s">
        <v>63051</v>
      </c>
      <c r="W12896" t="s">
        <v>46194</v>
      </c>
      <c r="X12896" t="s">
        <v>46663</v>
      </c>
    </row>
    <row r="12897" spans="1:24">
      <c r="A12897">
        <f>HYPERLINK("https://www.philgeps.gov.ph/GEPSNONPILOT/Tender/SplashBidNoticeAbstractUI.aspx?menuIndex=3&amp;refID=7035367&amp;Result=3","7035367")</f>
        <v>0</v>
      </c>
      <c r="B12897" t="s">
        <v>3267</v>
      </c>
      <c r="C12897" t="s">
        <v>15772</v>
      </c>
      <c r="D12897" t="s">
        <v>18842</v>
      </c>
      <c r="E12897" t="s">
        <v>29968</v>
      </c>
      <c r="F12897" t="s">
        <v>32664</v>
      </c>
      <c r="G12897" t="s">
        <v>32672</v>
      </c>
      <c r="H12897" t="s">
        <v>12635</v>
      </c>
      <c r="I12897" t="s">
        <v>32694</v>
      </c>
      <c r="J12897" t="s">
        <v>40433</v>
      </c>
      <c r="K12897" t="s">
        <v>42289</v>
      </c>
      <c r="M12897" t="s">
        <v>46200</v>
      </c>
      <c r="N12897" t="s">
        <v>46569</v>
      </c>
      <c r="O12897" t="s">
        <v>46570</v>
      </c>
      <c r="P12897">
        <v>0</v>
      </c>
      <c r="Q12897">
        <v>2</v>
      </c>
      <c r="R12897" t="s">
        <v>46585</v>
      </c>
      <c r="S12897" t="s">
        <v>47146</v>
      </c>
      <c r="T12897" t="s">
        <v>48285</v>
      </c>
      <c r="U12897" t="s">
        <v>59121</v>
      </c>
      <c r="W12897" t="s">
        <v>46200</v>
      </c>
      <c r="X12897" t="s">
        <v>46587</v>
      </c>
    </row>
    <row r="12898" spans="1:24">
      <c r="A12898">
        <f>HYPERLINK("https://www.philgeps.gov.ph/GEPSNONPILOT/Tender/SplashBidNoticeAbstractUI.aspx?menuIndex=3&amp;refID=7035390&amp;Result=3","7035390")</f>
        <v>0</v>
      </c>
      <c r="B12898" t="s">
        <v>3015</v>
      </c>
      <c r="C12898" t="s">
        <v>10728</v>
      </c>
      <c r="D12898" t="s">
        <v>18788</v>
      </c>
      <c r="E12898" t="s">
        <v>19380</v>
      </c>
      <c r="F12898" t="s">
        <v>32665</v>
      </c>
      <c r="G12898" t="s">
        <v>32672</v>
      </c>
      <c r="H12898" t="s">
        <v>32683</v>
      </c>
      <c r="I12898" t="s">
        <v>10627</v>
      </c>
      <c r="J12898" t="s">
        <v>32898</v>
      </c>
      <c r="K12898" t="s">
        <v>42289</v>
      </c>
      <c r="M12898" t="s">
        <v>45887</v>
      </c>
      <c r="N12898" t="s">
        <v>46569</v>
      </c>
      <c r="O12898" t="s">
        <v>46570</v>
      </c>
      <c r="P12898">
        <v>0</v>
      </c>
      <c r="Q12898">
        <v>1</v>
      </c>
      <c r="R12898" t="s">
        <v>46585</v>
      </c>
      <c r="S12898" t="s">
        <v>47146</v>
      </c>
      <c r="T12898" t="s">
        <v>48448</v>
      </c>
      <c r="U12898" t="s">
        <v>59122</v>
      </c>
      <c r="W12898" t="s">
        <v>45887</v>
      </c>
      <c r="X12898" t="s">
        <v>46587</v>
      </c>
    </row>
    <row r="12899" spans="1:24">
      <c r="A12899">
        <f>HYPERLINK("https://www.philgeps.gov.ph/GEPSNONPILOT/Tender/SplashBidNoticeAbstractUI.aspx?menuIndex=3&amp;refID=7043282&amp;Result=3","7043282")</f>
        <v>0</v>
      </c>
      <c r="B12899" t="s">
        <v>900</v>
      </c>
      <c r="C12899" t="s">
        <v>15773</v>
      </c>
      <c r="E12899" t="s">
        <v>29969</v>
      </c>
      <c r="F12899" t="s">
        <v>32664</v>
      </c>
      <c r="G12899" t="s">
        <v>32677</v>
      </c>
      <c r="H12899" t="s">
        <v>12635</v>
      </c>
      <c r="I12899" t="s">
        <v>32754</v>
      </c>
      <c r="J12899" t="s">
        <v>40434</v>
      </c>
      <c r="K12899" t="s">
        <v>42283</v>
      </c>
      <c r="M12899" t="s">
        <v>43504</v>
      </c>
      <c r="N12899" t="s">
        <v>46569</v>
      </c>
      <c r="O12899" t="s">
        <v>46570</v>
      </c>
      <c r="Q12899">
        <v>2</v>
      </c>
      <c r="R12899" t="s">
        <v>46584</v>
      </c>
      <c r="S12899" t="s">
        <v>47152</v>
      </c>
      <c r="T12899" t="s">
        <v>48268</v>
      </c>
      <c r="U12899" t="s">
        <v>59123</v>
      </c>
      <c r="V12899" t="s">
        <v>62286</v>
      </c>
      <c r="W12899" t="s">
        <v>43504</v>
      </c>
      <c r="X12899" t="s">
        <v>46585</v>
      </c>
    </row>
    <row r="12900" spans="1:24">
      <c r="A12900">
        <f>HYPERLINK("https://www.philgeps.gov.ph/GEPSNONPILOT/Tender/SplashBidNoticeAbstractUI.aspx?menuIndex=3&amp;refID=7037568&amp;Result=3","7037568")</f>
        <v>0</v>
      </c>
      <c r="B12900" t="s">
        <v>2772</v>
      </c>
      <c r="C12900" t="s">
        <v>15774</v>
      </c>
      <c r="D12900" t="s">
        <v>18804</v>
      </c>
      <c r="E12900" t="s">
        <v>29970</v>
      </c>
      <c r="F12900" t="s">
        <v>32664</v>
      </c>
      <c r="G12900" t="s">
        <v>32672</v>
      </c>
      <c r="H12900" t="s">
        <v>32683</v>
      </c>
      <c r="I12900" t="s">
        <v>10627</v>
      </c>
      <c r="J12900" t="s">
        <v>40435</v>
      </c>
      <c r="K12900" t="s">
        <v>42298</v>
      </c>
      <c r="M12900" t="s">
        <v>45610</v>
      </c>
      <c r="N12900" t="s">
        <v>46569</v>
      </c>
      <c r="O12900" t="s">
        <v>46570</v>
      </c>
      <c r="P12900">
        <v>0</v>
      </c>
      <c r="Q12900">
        <v>0</v>
      </c>
      <c r="R12900" t="s">
        <v>46585</v>
      </c>
      <c r="S12900" t="s">
        <v>47146</v>
      </c>
      <c r="T12900" t="s">
        <v>48298</v>
      </c>
      <c r="U12900" t="s">
        <v>59124</v>
      </c>
      <c r="W12900" t="s">
        <v>45610</v>
      </c>
      <c r="X12900" t="s">
        <v>46587</v>
      </c>
    </row>
    <row r="12901" spans="1:24">
      <c r="A12901">
        <f>HYPERLINK("https://www.philgeps.gov.ph/GEPSNONPILOT/Tender/SplashBidNoticeAbstractUI.aspx?menuIndex=3&amp;refID=7043293&amp;Result=3","7043293")</f>
        <v>0</v>
      </c>
      <c r="B12901" t="s">
        <v>2326</v>
      </c>
      <c r="C12901" t="s">
        <v>15775</v>
      </c>
      <c r="D12901" t="s">
        <v>18804</v>
      </c>
      <c r="E12901" t="s">
        <v>29971</v>
      </c>
      <c r="F12901" t="s">
        <v>32664</v>
      </c>
      <c r="G12901" t="s">
        <v>32672</v>
      </c>
      <c r="H12901" t="s">
        <v>32683</v>
      </c>
      <c r="I12901" t="s">
        <v>10627</v>
      </c>
      <c r="J12901" t="s">
        <v>40436</v>
      </c>
      <c r="K12901" t="s">
        <v>42327</v>
      </c>
      <c r="M12901" t="s">
        <v>45102</v>
      </c>
      <c r="N12901" t="s">
        <v>46569</v>
      </c>
      <c r="O12901" t="s">
        <v>46570</v>
      </c>
      <c r="P12901">
        <v>0</v>
      </c>
      <c r="Q12901">
        <v>0</v>
      </c>
      <c r="R12901" t="s">
        <v>46584</v>
      </c>
      <c r="S12901" t="s">
        <v>47063</v>
      </c>
      <c r="T12901" t="s">
        <v>48212</v>
      </c>
      <c r="U12901" t="s">
        <v>59125</v>
      </c>
      <c r="W12901" t="s">
        <v>45102</v>
      </c>
      <c r="X12901" t="s">
        <v>46585</v>
      </c>
    </row>
    <row r="12902" spans="1:24">
      <c r="A12902">
        <f>HYPERLINK("https://www.philgeps.gov.ph/GEPSNONPILOT/Tender/SplashBidNoticeAbstractUI.aspx?menuIndex=3&amp;refID=7043285&amp;Result=3","7043285")</f>
        <v>0</v>
      </c>
      <c r="B12902" t="s">
        <v>175</v>
      </c>
      <c r="C12902" t="s">
        <v>15776</v>
      </c>
      <c r="D12902" t="s">
        <v>18798</v>
      </c>
      <c r="E12902" t="s">
        <v>19688</v>
      </c>
      <c r="F12902" t="s">
        <v>32664</v>
      </c>
      <c r="G12902" t="s">
        <v>32672</v>
      </c>
      <c r="H12902" t="s">
        <v>12635</v>
      </c>
      <c r="I12902" t="s">
        <v>32776</v>
      </c>
      <c r="J12902" t="s">
        <v>40437</v>
      </c>
      <c r="K12902" t="s">
        <v>42281</v>
      </c>
      <c r="M12902" t="s">
        <v>46201</v>
      </c>
      <c r="N12902" t="s">
        <v>46569</v>
      </c>
      <c r="O12902" t="s">
        <v>46570</v>
      </c>
      <c r="Q12902">
        <v>9</v>
      </c>
      <c r="R12902" t="s">
        <v>46584</v>
      </c>
      <c r="S12902" t="s">
        <v>47153</v>
      </c>
      <c r="T12902" t="s">
        <v>48661</v>
      </c>
      <c r="U12902" t="s">
        <v>59126</v>
      </c>
      <c r="W12902" t="s">
        <v>46201</v>
      </c>
      <c r="X12902" t="s">
        <v>46585</v>
      </c>
    </row>
    <row r="12903" spans="1:24">
      <c r="A12903">
        <f>HYPERLINK("https://www.philgeps.gov.ph/GEPSNONPILOT/Tender/SplashBidNoticeAbstractUI.aspx?menuIndex=3&amp;refID=7037382&amp;Result=3","7037382")</f>
        <v>0</v>
      </c>
      <c r="B12903" t="s">
        <v>516</v>
      </c>
      <c r="C12903" t="s">
        <v>15777</v>
      </c>
      <c r="D12903" t="s">
        <v>18804</v>
      </c>
      <c r="E12903" t="s">
        <v>29972</v>
      </c>
      <c r="F12903" t="s">
        <v>32664</v>
      </c>
      <c r="G12903" t="s">
        <v>32672</v>
      </c>
      <c r="H12903" t="s">
        <v>32683</v>
      </c>
      <c r="I12903" t="s">
        <v>10627</v>
      </c>
      <c r="J12903" t="s">
        <v>32981</v>
      </c>
      <c r="K12903" t="s">
        <v>42298</v>
      </c>
      <c r="M12903" t="s">
        <v>43092</v>
      </c>
      <c r="N12903" t="s">
        <v>46569</v>
      </c>
      <c r="O12903" t="s">
        <v>46570</v>
      </c>
      <c r="P12903">
        <v>0</v>
      </c>
      <c r="Q12903">
        <v>2</v>
      </c>
      <c r="R12903" t="s">
        <v>46585</v>
      </c>
      <c r="S12903" t="s">
        <v>47146</v>
      </c>
      <c r="T12903" t="s">
        <v>48283</v>
      </c>
      <c r="U12903" t="s">
        <v>59127</v>
      </c>
      <c r="W12903" t="s">
        <v>43092</v>
      </c>
      <c r="X12903" t="s">
        <v>46587</v>
      </c>
    </row>
    <row r="12904" spans="1:24">
      <c r="A12904">
        <f>HYPERLINK("https://www.philgeps.gov.ph/GEPSNONPILOT/Tender/SplashBidNoticeAbstractUI.aspx?menuIndex=3&amp;refID=7037487&amp;Result=3","7037487")</f>
        <v>0</v>
      </c>
      <c r="B12904" t="s">
        <v>1288</v>
      </c>
      <c r="C12904" t="s">
        <v>15778</v>
      </c>
      <c r="D12904" t="s">
        <v>18824</v>
      </c>
      <c r="E12904" t="s">
        <v>25313</v>
      </c>
      <c r="F12904" t="s">
        <v>32664</v>
      </c>
      <c r="G12904" t="s">
        <v>32672</v>
      </c>
      <c r="H12904" t="s">
        <v>32683</v>
      </c>
      <c r="I12904" t="s">
        <v>10627</v>
      </c>
      <c r="J12904" t="s">
        <v>40438</v>
      </c>
      <c r="K12904" t="s">
        <v>42290</v>
      </c>
      <c r="M12904" t="s">
        <v>43931</v>
      </c>
      <c r="N12904" t="s">
        <v>46569</v>
      </c>
      <c r="O12904" t="s">
        <v>46570</v>
      </c>
      <c r="P12904">
        <v>0</v>
      </c>
      <c r="Q12904">
        <v>1</v>
      </c>
      <c r="R12904" t="s">
        <v>46585</v>
      </c>
      <c r="S12904" t="s">
        <v>47146</v>
      </c>
      <c r="T12904" t="s">
        <v>48712</v>
      </c>
      <c r="U12904" t="s">
        <v>59128</v>
      </c>
      <c r="V12904" t="s">
        <v>61745</v>
      </c>
      <c r="W12904" t="s">
        <v>43931</v>
      </c>
      <c r="X12904" t="s">
        <v>46587</v>
      </c>
    </row>
    <row r="12905" spans="1:24">
      <c r="A12905">
        <f>HYPERLINK("https://www.philgeps.gov.ph/GEPSNONPILOT/Tender/SplashBidNoticeAbstractUI.aspx?menuIndex=3&amp;refID=7037066&amp;Result=3","7037066")</f>
        <v>0</v>
      </c>
      <c r="B12905" t="s">
        <v>495</v>
      </c>
      <c r="C12905" t="s">
        <v>15779</v>
      </c>
      <c r="D12905" t="s">
        <v>18791</v>
      </c>
      <c r="E12905" t="s">
        <v>29973</v>
      </c>
      <c r="F12905" t="s">
        <v>32664</v>
      </c>
      <c r="G12905" t="s">
        <v>32672</v>
      </c>
      <c r="H12905" t="s">
        <v>32681</v>
      </c>
      <c r="I12905" t="s">
        <v>32681</v>
      </c>
      <c r="J12905" t="s">
        <v>40439</v>
      </c>
      <c r="K12905" t="s">
        <v>42298</v>
      </c>
      <c r="M12905" t="s">
        <v>43071</v>
      </c>
      <c r="N12905" t="s">
        <v>46569</v>
      </c>
      <c r="O12905" t="s">
        <v>46570</v>
      </c>
      <c r="P12905">
        <v>0</v>
      </c>
      <c r="Q12905">
        <v>3</v>
      </c>
      <c r="R12905" t="s">
        <v>46585</v>
      </c>
      <c r="S12905" t="s">
        <v>47146</v>
      </c>
      <c r="T12905" t="s">
        <v>48381</v>
      </c>
      <c r="U12905" t="s">
        <v>59129</v>
      </c>
      <c r="W12905" t="s">
        <v>43071</v>
      </c>
      <c r="X12905" t="s">
        <v>46587</v>
      </c>
    </row>
    <row r="12906" spans="1:24">
      <c r="A12906">
        <f>HYPERLINK("https://www.philgeps.gov.ph/GEPSNONPILOT/Tender/SplashBidNoticeAbstractUI.aspx?menuIndex=3&amp;refID=7043298&amp;Result=3","7043298")</f>
        <v>0</v>
      </c>
      <c r="B12906" t="s">
        <v>586</v>
      </c>
      <c r="C12906" t="s">
        <v>15780</v>
      </c>
      <c r="D12906" t="s">
        <v>18794</v>
      </c>
      <c r="E12906" t="s">
        <v>29974</v>
      </c>
      <c r="F12906" t="s">
        <v>32664</v>
      </c>
      <c r="G12906" t="s">
        <v>32672</v>
      </c>
      <c r="H12906" t="s">
        <v>32683</v>
      </c>
      <c r="I12906" t="s">
        <v>10627</v>
      </c>
      <c r="J12906" t="s">
        <v>40440</v>
      </c>
      <c r="K12906" t="s">
        <v>42311</v>
      </c>
      <c r="M12906" t="s">
        <v>46202</v>
      </c>
      <c r="N12906" t="s">
        <v>46569</v>
      </c>
      <c r="O12906" t="s">
        <v>46570</v>
      </c>
      <c r="Q12906">
        <v>1</v>
      </c>
      <c r="R12906" t="s">
        <v>46584</v>
      </c>
      <c r="S12906" t="s">
        <v>47154</v>
      </c>
      <c r="T12906" t="s">
        <v>48402</v>
      </c>
      <c r="U12906" t="s">
        <v>59130</v>
      </c>
      <c r="W12906" t="s">
        <v>46202</v>
      </c>
      <c r="X12906" t="s">
        <v>46585</v>
      </c>
    </row>
    <row r="12907" spans="1:24">
      <c r="A12907">
        <f>HYPERLINK("https://www.philgeps.gov.ph/GEPSNONPILOT/Tender/SplashBidNoticeAbstractUI.aspx?menuIndex=3&amp;refID=7037038&amp;Result=3","7037038")</f>
        <v>0</v>
      </c>
      <c r="B12907" t="s">
        <v>83</v>
      </c>
      <c r="C12907" t="s">
        <v>15781</v>
      </c>
      <c r="D12907" t="s">
        <v>18784</v>
      </c>
      <c r="E12907" t="s">
        <v>29975</v>
      </c>
      <c r="F12907" t="s">
        <v>32664</v>
      </c>
      <c r="G12907" t="s">
        <v>32672</v>
      </c>
      <c r="H12907" t="s">
        <v>12635</v>
      </c>
      <c r="I12907" t="s">
        <v>10361</v>
      </c>
      <c r="J12907" t="s">
        <v>32943</v>
      </c>
      <c r="K12907" t="s">
        <v>42283</v>
      </c>
      <c r="M12907" t="s">
        <v>45865</v>
      </c>
      <c r="N12907" t="s">
        <v>46569</v>
      </c>
      <c r="O12907" t="s">
        <v>46570</v>
      </c>
      <c r="P12907">
        <v>0</v>
      </c>
      <c r="Q12907">
        <v>5</v>
      </c>
      <c r="R12907" t="s">
        <v>46585</v>
      </c>
      <c r="S12907" t="s">
        <v>47146</v>
      </c>
      <c r="T12907" t="s">
        <v>48285</v>
      </c>
      <c r="U12907" t="s">
        <v>59131</v>
      </c>
      <c r="V12907" t="s">
        <v>62822</v>
      </c>
      <c r="W12907" t="s">
        <v>45865</v>
      </c>
      <c r="X12907" t="s">
        <v>46587</v>
      </c>
    </row>
    <row r="12908" spans="1:24">
      <c r="A12908">
        <f>HYPERLINK("https://www.philgeps.gov.ph/GEPSNONPILOT/Tender/SplashBidNoticeAbstractUI.aspx?menuIndex=3&amp;refID=7036953&amp;Result=3","7036953")</f>
        <v>0</v>
      </c>
      <c r="B12908" t="s">
        <v>83</v>
      </c>
      <c r="C12908" t="s">
        <v>15782</v>
      </c>
      <c r="D12908" t="s">
        <v>18784</v>
      </c>
      <c r="E12908" t="s">
        <v>29976</v>
      </c>
      <c r="F12908" t="s">
        <v>32664</v>
      </c>
      <c r="G12908" t="s">
        <v>32672</v>
      </c>
      <c r="H12908" t="s">
        <v>12635</v>
      </c>
      <c r="I12908" t="s">
        <v>32689</v>
      </c>
      <c r="J12908" t="s">
        <v>40441</v>
      </c>
      <c r="K12908" t="s">
        <v>42283</v>
      </c>
      <c r="M12908" t="s">
        <v>45865</v>
      </c>
      <c r="N12908" t="s">
        <v>46569</v>
      </c>
      <c r="O12908" t="s">
        <v>46570</v>
      </c>
      <c r="P12908">
        <v>0</v>
      </c>
      <c r="Q12908">
        <v>12</v>
      </c>
      <c r="R12908" t="s">
        <v>46585</v>
      </c>
      <c r="S12908" t="s">
        <v>47146</v>
      </c>
      <c r="T12908" t="s">
        <v>48285</v>
      </c>
      <c r="U12908" t="s">
        <v>59132</v>
      </c>
      <c r="V12908" t="s">
        <v>62822</v>
      </c>
      <c r="W12908" t="s">
        <v>45865</v>
      </c>
      <c r="X12908" t="s">
        <v>46587</v>
      </c>
    </row>
    <row r="12909" spans="1:24">
      <c r="A12909">
        <f>HYPERLINK("https://www.philgeps.gov.ph/GEPSNONPILOT/Tender/SplashBidNoticeAbstractUI.aspx?menuIndex=3&amp;refID=7037076&amp;Result=3","7037076")</f>
        <v>0</v>
      </c>
      <c r="B12909" t="s">
        <v>83</v>
      </c>
      <c r="C12909" t="s">
        <v>15783</v>
      </c>
      <c r="D12909" t="s">
        <v>18784</v>
      </c>
      <c r="E12909" t="s">
        <v>29977</v>
      </c>
      <c r="F12909" t="s">
        <v>32664</v>
      </c>
      <c r="G12909" t="s">
        <v>32672</v>
      </c>
      <c r="H12909" t="s">
        <v>12635</v>
      </c>
      <c r="I12909" t="s">
        <v>6168</v>
      </c>
      <c r="J12909" t="s">
        <v>40442</v>
      </c>
      <c r="K12909" t="s">
        <v>42283</v>
      </c>
      <c r="M12909" t="s">
        <v>45865</v>
      </c>
      <c r="N12909" t="s">
        <v>46569</v>
      </c>
      <c r="O12909" t="s">
        <v>46570</v>
      </c>
      <c r="P12909">
        <v>0</v>
      </c>
      <c r="Q12909">
        <v>6</v>
      </c>
      <c r="R12909" t="s">
        <v>46585</v>
      </c>
      <c r="S12909" t="s">
        <v>47146</v>
      </c>
      <c r="T12909" t="s">
        <v>48285</v>
      </c>
      <c r="U12909" t="s">
        <v>59133</v>
      </c>
      <c r="V12909" t="s">
        <v>62822</v>
      </c>
      <c r="W12909" t="s">
        <v>45865</v>
      </c>
      <c r="X12909" t="s">
        <v>46587</v>
      </c>
    </row>
    <row r="12910" spans="1:24">
      <c r="A12910">
        <f>HYPERLINK("https://www.philgeps.gov.ph/GEPSNONPILOT/Tender/SplashBidNoticeAbstractUI.aspx?menuIndex=3&amp;refID=7036980&amp;Result=3","7036980")</f>
        <v>0</v>
      </c>
      <c r="B12910" t="s">
        <v>83</v>
      </c>
      <c r="C12910" t="s">
        <v>15784</v>
      </c>
      <c r="D12910" t="s">
        <v>18784</v>
      </c>
      <c r="E12910" t="s">
        <v>29978</v>
      </c>
      <c r="F12910" t="s">
        <v>32664</v>
      </c>
      <c r="G12910" t="s">
        <v>32672</v>
      </c>
      <c r="H12910" t="s">
        <v>12635</v>
      </c>
      <c r="I12910" t="s">
        <v>5589</v>
      </c>
      <c r="J12910" t="s">
        <v>40443</v>
      </c>
      <c r="K12910" t="s">
        <v>42283</v>
      </c>
      <c r="M12910" t="s">
        <v>45865</v>
      </c>
      <c r="N12910" t="s">
        <v>46569</v>
      </c>
      <c r="O12910" t="s">
        <v>46570</v>
      </c>
      <c r="P12910">
        <v>0</v>
      </c>
      <c r="Q12910">
        <v>18</v>
      </c>
      <c r="R12910" t="s">
        <v>46585</v>
      </c>
      <c r="S12910" t="s">
        <v>47146</v>
      </c>
      <c r="T12910" t="s">
        <v>48285</v>
      </c>
      <c r="U12910" t="s">
        <v>59134</v>
      </c>
      <c r="V12910" t="s">
        <v>62822</v>
      </c>
      <c r="W12910" t="s">
        <v>45865</v>
      </c>
      <c r="X12910" t="s">
        <v>46587</v>
      </c>
    </row>
    <row r="12911" spans="1:24">
      <c r="A12911">
        <f>HYPERLINK("https://www.philgeps.gov.ph/GEPSNONPILOT/Tender/SplashBidNoticeAbstractUI.aspx?menuIndex=3&amp;refID=7037504&amp;Result=3","7037504")</f>
        <v>0</v>
      </c>
      <c r="B12911" t="s">
        <v>3268</v>
      </c>
      <c r="C12911" t="s">
        <v>15785</v>
      </c>
      <c r="D12911" t="s">
        <v>18832</v>
      </c>
      <c r="E12911" t="s">
        <v>29979</v>
      </c>
      <c r="F12911" t="s">
        <v>32664</v>
      </c>
      <c r="G12911" t="s">
        <v>32672</v>
      </c>
      <c r="H12911" t="s">
        <v>12635</v>
      </c>
      <c r="I12911" t="s">
        <v>11464</v>
      </c>
      <c r="J12911" t="s">
        <v>32930</v>
      </c>
      <c r="K12911" t="s">
        <v>42298</v>
      </c>
      <c r="L12911" t="s">
        <v>3268</v>
      </c>
      <c r="M12911" t="s">
        <v>46203</v>
      </c>
      <c r="N12911" t="s">
        <v>46569</v>
      </c>
      <c r="O12911" t="s">
        <v>46570</v>
      </c>
      <c r="P12911">
        <v>0</v>
      </c>
      <c r="Q12911">
        <v>7</v>
      </c>
      <c r="R12911" t="s">
        <v>46585</v>
      </c>
      <c r="S12911" t="s">
        <v>47146</v>
      </c>
      <c r="T12911" t="s">
        <v>48256</v>
      </c>
      <c r="U12911" t="s">
        <v>59135</v>
      </c>
      <c r="V12911" t="s">
        <v>63052</v>
      </c>
      <c r="W12911" t="s">
        <v>46203</v>
      </c>
      <c r="X12911" t="s">
        <v>46587</v>
      </c>
    </row>
    <row r="12912" spans="1:24">
      <c r="A12912">
        <f>HYPERLINK("https://www.philgeps.gov.ph/GEPSNONPILOT/Tender/SplashBidNoticeAbstractUI.aspx?menuIndex=3&amp;refID=7034681&amp;Result=3","7034681")</f>
        <v>0</v>
      </c>
      <c r="B12912" t="s">
        <v>3112</v>
      </c>
      <c r="C12912" t="s">
        <v>15786</v>
      </c>
      <c r="D12912" t="s">
        <v>18781</v>
      </c>
      <c r="E12912" t="s">
        <v>29980</v>
      </c>
      <c r="F12912" t="s">
        <v>32664</v>
      </c>
      <c r="G12912" t="s">
        <v>32672</v>
      </c>
      <c r="H12912" t="s">
        <v>12635</v>
      </c>
      <c r="I12912" t="s">
        <v>10627</v>
      </c>
      <c r="J12912" t="s">
        <v>40444</v>
      </c>
      <c r="K12912" t="s">
        <v>42311</v>
      </c>
      <c r="M12912" t="s">
        <v>46199</v>
      </c>
      <c r="N12912" t="s">
        <v>46569</v>
      </c>
      <c r="O12912" t="s">
        <v>46570</v>
      </c>
      <c r="P12912">
        <v>0</v>
      </c>
      <c r="Q12912">
        <v>2</v>
      </c>
      <c r="R12912" t="s">
        <v>46585</v>
      </c>
      <c r="S12912" t="s">
        <v>47146</v>
      </c>
      <c r="T12912" t="s">
        <v>48245</v>
      </c>
      <c r="U12912" t="s">
        <v>59119</v>
      </c>
      <c r="W12912" t="s">
        <v>46199</v>
      </c>
      <c r="X12912" t="s">
        <v>46588</v>
      </c>
    </row>
    <row r="12913" spans="1:24">
      <c r="A12913">
        <f>HYPERLINK("https://www.philgeps.gov.ph/GEPSNONPILOT/Tender/SplashBidNoticeAbstractUI.aspx?menuIndex=3&amp;refID=7036290&amp;Result=3","7036290")</f>
        <v>0</v>
      </c>
      <c r="B12913" t="s">
        <v>2717</v>
      </c>
      <c r="C12913" t="s">
        <v>15787</v>
      </c>
      <c r="D12913" t="s">
        <v>18823</v>
      </c>
      <c r="E12913" t="s">
        <v>29981</v>
      </c>
      <c r="F12913" t="s">
        <v>32664</v>
      </c>
      <c r="G12913" t="s">
        <v>32672</v>
      </c>
      <c r="H12913" t="s">
        <v>12635</v>
      </c>
      <c r="I12913" t="s">
        <v>4439</v>
      </c>
      <c r="J12913" t="s">
        <v>40445</v>
      </c>
      <c r="K12913" t="s">
        <v>42283</v>
      </c>
      <c r="M12913" t="s">
        <v>45544</v>
      </c>
      <c r="N12913" t="s">
        <v>46569</v>
      </c>
      <c r="O12913" t="s">
        <v>46570</v>
      </c>
      <c r="P12913">
        <v>0</v>
      </c>
      <c r="Q12913">
        <v>6</v>
      </c>
      <c r="R12913" t="s">
        <v>46585</v>
      </c>
      <c r="S12913" t="s">
        <v>47146</v>
      </c>
      <c r="T12913" t="s">
        <v>48227</v>
      </c>
      <c r="U12913" t="s">
        <v>58002</v>
      </c>
      <c r="W12913" t="s">
        <v>45544</v>
      </c>
      <c r="X12913" t="s">
        <v>46587</v>
      </c>
    </row>
    <row r="12914" spans="1:24">
      <c r="A12914">
        <f>HYPERLINK("https://www.philgeps.gov.ph/GEPSNONPILOT/Tender/SplashBidNoticeAbstractUI.aspx?menuIndex=3&amp;refID=7036419&amp;Result=3","7036419")</f>
        <v>0</v>
      </c>
      <c r="B12914" t="s">
        <v>758</v>
      </c>
      <c r="C12914" t="s">
        <v>15788</v>
      </c>
      <c r="D12914" t="s">
        <v>18838</v>
      </c>
      <c r="E12914" t="s">
        <v>29982</v>
      </c>
      <c r="F12914" t="s">
        <v>32664</v>
      </c>
      <c r="G12914" t="s">
        <v>32672</v>
      </c>
      <c r="H12914" t="s">
        <v>32683</v>
      </c>
      <c r="I12914" t="s">
        <v>10627</v>
      </c>
      <c r="J12914" t="s">
        <v>33946</v>
      </c>
      <c r="K12914" t="s">
        <v>42311</v>
      </c>
      <c r="M12914" t="s">
        <v>43348</v>
      </c>
      <c r="N12914" t="s">
        <v>46569</v>
      </c>
      <c r="O12914" t="s">
        <v>46570</v>
      </c>
      <c r="Q12914">
        <v>21</v>
      </c>
      <c r="R12914" t="s">
        <v>46585</v>
      </c>
      <c r="S12914" t="s">
        <v>47155</v>
      </c>
      <c r="T12914" t="s">
        <v>48268</v>
      </c>
      <c r="U12914" t="s">
        <v>54240</v>
      </c>
      <c r="V12914" t="s">
        <v>61806</v>
      </c>
      <c r="W12914" t="s">
        <v>43348</v>
      </c>
      <c r="X12914" t="s">
        <v>46587</v>
      </c>
    </row>
    <row r="12915" spans="1:24">
      <c r="A12915">
        <f>HYPERLINK("https://www.philgeps.gov.ph/GEPSNONPILOT/Tender/SplashBidNoticeAbstractUI.aspx?menuIndex=3&amp;refID=7036436&amp;Result=3","7036436")</f>
        <v>0</v>
      </c>
      <c r="B12915" t="s">
        <v>3269</v>
      </c>
      <c r="C12915" t="s">
        <v>15789</v>
      </c>
      <c r="D12915" t="s">
        <v>18816</v>
      </c>
      <c r="E12915" t="s">
        <v>29983</v>
      </c>
      <c r="F12915" t="s">
        <v>32664</v>
      </c>
      <c r="G12915" t="s">
        <v>32672</v>
      </c>
      <c r="H12915" t="s">
        <v>32683</v>
      </c>
      <c r="I12915" t="s">
        <v>10627</v>
      </c>
      <c r="J12915" t="s">
        <v>40446</v>
      </c>
      <c r="K12915" t="s">
        <v>42311</v>
      </c>
      <c r="M12915" t="s">
        <v>46204</v>
      </c>
      <c r="N12915" t="s">
        <v>46569</v>
      </c>
      <c r="O12915" t="s">
        <v>46570</v>
      </c>
      <c r="Q12915">
        <v>2</v>
      </c>
      <c r="R12915" t="s">
        <v>46585</v>
      </c>
      <c r="S12915" t="s">
        <v>47156</v>
      </c>
      <c r="T12915" t="s">
        <v>48256</v>
      </c>
      <c r="U12915" t="s">
        <v>59136</v>
      </c>
      <c r="W12915" t="s">
        <v>46204</v>
      </c>
      <c r="X12915" t="s">
        <v>46587</v>
      </c>
    </row>
    <row r="12916" spans="1:24">
      <c r="A12916">
        <f>HYPERLINK("https://www.philgeps.gov.ph/GEPSNONPILOT/Tender/SplashBidNoticeAbstractUI.aspx?menuIndex=3&amp;refID=7035979&amp;Result=3","7035979")</f>
        <v>0</v>
      </c>
      <c r="B12916" t="s">
        <v>57</v>
      </c>
      <c r="C12916" t="s">
        <v>15790</v>
      </c>
      <c r="D12916" t="s">
        <v>18806</v>
      </c>
      <c r="E12916" t="s">
        <v>29984</v>
      </c>
      <c r="F12916" t="s">
        <v>32664</v>
      </c>
      <c r="G12916" t="s">
        <v>32672</v>
      </c>
      <c r="H12916" t="s">
        <v>32683</v>
      </c>
      <c r="I12916" t="s">
        <v>10627</v>
      </c>
      <c r="J12916" t="s">
        <v>40447</v>
      </c>
      <c r="K12916" t="s">
        <v>42349</v>
      </c>
      <c r="M12916" t="s">
        <v>42619</v>
      </c>
      <c r="N12916" t="s">
        <v>46569</v>
      </c>
      <c r="O12916" t="s">
        <v>46570</v>
      </c>
      <c r="P12916">
        <v>0</v>
      </c>
      <c r="Q12916">
        <v>2</v>
      </c>
      <c r="R12916" t="s">
        <v>46585</v>
      </c>
      <c r="S12916" t="s">
        <v>47146</v>
      </c>
      <c r="T12916" t="s">
        <v>48226</v>
      </c>
      <c r="U12916" t="s">
        <v>59137</v>
      </c>
      <c r="W12916" t="s">
        <v>42619</v>
      </c>
      <c r="X12916" t="s">
        <v>46587</v>
      </c>
    </row>
    <row r="12917" spans="1:24">
      <c r="A12917">
        <f>HYPERLINK("https://www.philgeps.gov.ph/GEPSNONPILOT/Tender/SplashBidNoticeAbstractUI.aspx?menuIndex=3&amp;refID=7035534&amp;Result=3","7035534")</f>
        <v>0</v>
      </c>
      <c r="B12917" t="s">
        <v>57</v>
      </c>
      <c r="C12917" t="s">
        <v>15791</v>
      </c>
      <c r="D12917" t="s">
        <v>18806</v>
      </c>
      <c r="E12917" t="s">
        <v>29985</v>
      </c>
      <c r="F12917" t="s">
        <v>32664</v>
      </c>
      <c r="G12917" t="s">
        <v>32672</v>
      </c>
      <c r="H12917" t="s">
        <v>32683</v>
      </c>
      <c r="I12917" t="s">
        <v>10627</v>
      </c>
      <c r="J12917" t="s">
        <v>40448</v>
      </c>
      <c r="K12917" t="s">
        <v>42539</v>
      </c>
      <c r="M12917" t="s">
        <v>42619</v>
      </c>
      <c r="N12917" t="s">
        <v>46569</v>
      </c>
      <c r="O12917" t="s">
        <v>46570</v>
      </c>
      <c r="P12917">
        <v>0</v>
      </c>
      <c r="Q12917">
        <v>3</v>
      </c>
      <c r="R12917" t="s">
        <v>46585</v>
      </c>
      <c r="S12917" t="s">
        <v>47146</v>
      </c>
      <c r="T12917" t="s">
        <v>48226</v>
      </c>
      <c r="U12917" t="s">
        <v>59138</v>
      </c>
      <c r="W12917" t="s">
        <v>42619</v>
      </c>
      <c r="X12917" t="s">
        <v>46587</v>
      </c>
    </row>
    <row r="12918" spans="1:24">
      <c r="A12918">
        <f>HYPERLINK("https://www.philgeps.gov.ph/GEPSNONPILOT/Tender/SplashBidNoticeAbstractUI.aspx?menuIndex=3&amp;refID=7036100&amp;Result=3","7036100")</f>
        <v>0</v>
      </c>
      <c r="B12918" t="s">
        <v>471</v>
      </c>
      <c r="C12918" t="s">
        <v>15792</v>
      </c>
      <c r="D12918" t="s">
        <v>18785</v>
      </c>
      <c r="E12918" t="s">
        <v>29986</v>
      </c>
      <c r="F12918" t="s">
        <v>32664</v>
      </c>
      <c r="G12918" t="s">
        <v>32672</v>
      </c>
      <c r="H12918" t="s">
        <v>32683</v>
      </c>
      <c r="I12918" t="s">
        <v>10627</v>
      </c>
      <c r="J12918" t="s">
        <v>40447</v>
      </c>
      <c r="K12918" t="s">
        <v>42349</v>
      </c>
      <c r="M12918" t="s">
        <v>43046</v>
      </c>
      <c r="N12918" t="s">
        <v>46569</v>
      </c>
      <c r="O12918" t="s">
        <v>46570</v>
      </c>
      <c r="P12918">
        <v>0</v>
      </c>
      <c r="Q12918">
        <v>4</v>
      </c>
      <c r="R12918" t="s">
        <v>46585</v>
      </c>
      <c r="S12918" t="s">
        <v>47146</v>
      </c>
      <c r="T12918" t="s">
        <v>48268</v>
      </c>
      <c r="U12918" t="s">
        <v>59139</v>
      </c>
      <c r="W12918" t="s">
        <v>43046</v>
      </c>
      <c r="X12918" t="s">
        <v>46587</v>
      </c>
    </row>
    <row r="12919" spans="1:24">
      <c r="A12919">
        <f>HYPERLINK("https://www.philgeps.gov.ph/GEPSNONPILOT/Tender/SplashBidNoticeAbstractUI.aspx?menuIndex=3&amp;refID=7037500&amp;Result=3","7037500")</f>
        <v>0</v>
      </c>
      <c r="B12919" t="s">
        <v>1028</v>
      </c>
      <c r="C12919" t="s">
        <v>15793</v>
      </c>
      <c r="D12919" t="s">
        <v>18805</v>
      </c>
      <c r="E12919" t="s">
        <v>29987</v>
      </c>
      <c r="F12919" t="s">
        <v>32664</v>
      </c>
      <c r="G12919" t="s">
        <v>32672</v>
      </c>
      <c r="H12919" t="s">
        <v>12635</v>
      </c>
      <c r="I12919" t="s">
        <v>32802</v>
      </c>
      <c r="J12919" t="s">
        <v>40449</v>
      </c>
      <c r="K12919" t="s">
        <v>42303</v>
      </c>
      <c r="M12919" t="s">
        <v>43640</v>
      </c>
      <c r="N12919" t="s">
        <v>46569</v>
      </c>
      <c r="O12919" t="s">
        <v>46570</v>
      </c>
      <c r="Q12919">
        <v>4</v>
      </c>
      <c r="R12919" t="s">
        <v>46585</v>
      </c>
      <c r="S12919" t="s">
        <v>47157</v>
      </c>
      <c r="T12919" t="s">
        <v>48334</v>
      </c>
      <c r="U12919" t="s">
        <v>56138</v>
      </c>
      <c r="W12919" t="s">
        <v>63503</v>
      </c>
      <c r="X12919" t="s">
        <v>46587</v>
      </c>
    </row>
    <row r="12920" spans="1:24">
      <c r="A12920">
        <f>HYPERLINK("https://www.philgeps.gov.ph/GEPSNONPILOT/Tender/SplashBidNoticeAbstractUI.aspx?menuIndex=3&amp;refID=7035954&amp;Result=3","7035954")</f>
        <v>0</v>
      </c>
      <c r="B12920" t="s">
        <v>57</v>
      </c>
      <c r="C12920" t="s">
        <v>15794</v>
      </c>
      <c r="D12920" t="s">
        <v>18806</v>
      </c>
      <c r="E12920" t="s">
        <v>29988</v>
      </c>
      <c r="F12920" t="s">
        <v>32664</v>
      </c>
      <c r="G12920" t="s">
        <v>32672</v>
      </c>
      <c r="H12920" t="s">
        <v>32683</v>
      </c>
      <c r="I12920" t="s">
        <v>10627</v>
      </c>
      <c r="J12920" t="s">
        <v>33858</v>
      </c>
      <c r="K12920" t="s">
        <v>42285</v>
      </c>
      <c r="M12920" t="s">
        <v>42619</v>
      </c>
      <c r="N12920" t="s">
        <v>46569</v>
      </c>
      <c r="O12920" t="s">
        <v>46570</v>
      </c>
      <c r="P12920">
        <v>0</v>
      </c>
      <c r="Q12920">
        <v>1</v>
      </c>
      <c r="R12920" t="s">
        <v>46585</v>
      </c>
      <c r="S12920" t="s">
        <v>47146</v>
      </c>
      <c r="T12920" t="s">
        <v>48226</v>
      </c>
      <c r="U12920" t="s">
        <v>59140</v>
      </c>
      <c r="W12920" t="s">
        <v>42619</v>
      </c>
      <c r="X12920" t="s">
        <v>46587</v>
      </c>
    </row>
    <row r="12921" spans="1:24">
      <c r="A12921">
        <f>HYPERLINK("https://www.philgeps.gov.ph/GEPSNONPILOT/Tender/SplashBidNoticeAbstractUI.aspx?menuIndex=3&amp;refID=7043131&amp;Result=3","7043131")</f>
        <v>0</v>
      </c>
      <c r="B12921" t="s">
        <v>418</v>
      </c>
      <c r="C12921" t="s">
        <v>15795</v>
      </c>
      <c r="D12921" t="s">
        <v>18784</v>
      </c>
      <c r="E12921" t="s">
        <v>29989</v>
      </c>
      <c r="F12921" t="s">
        <v>32664</v>
      </c>
      <c r="G12921" t="s">
        <v>32672</v>
      </c>
      <c r="H12921" t="s">
        <v>12635</v>
      </c>
      <c r="I12921" t="s">
        <v>6118</v>
      </c>
      <c r="J12921" t="s">
        <v>34487</v>
      </c>
      <c r="K12921" t="s">
        <v>42289</v>
      </c>
      <c r="M12921" t="s">
        <v>46177</v>
      </c>
      <c r="N12921" t="s">
        <v>46569</v>
      </c>
      <c r="O12921" t="s">
        <v>46570</v>
      </c>
      <c r="P12921">
        <v>0</v>
      </c>
      <c r="Q12921">
        <v>1</v>
      </c>
      <c r="R12921" t="s">
        <v>46584</v>
      </c>
      <c r="S12921" t="s">
        <v>47063</v>
      </c>
      <c r="T12921" t="s">
        <v>48285</v>
      </c>
      <c r="U12921" t="s">
        <v>49634</v>
      </c>
      <c r="W12921" t="s">
        <v>46177</v>
      </c>
      <c r="X12921" t="s">
        <v>46585</v>
      </c>
    </row>
    <row r="12922" spans="1:24">
      <c r="A12922">
        <f>HYPERLINK("https://www.philgeps.gov.ph/GEPSNONPILOT/Tender/SplashBidNoticeAbstractUI.aspx?menuIndex=3&amp;refID=7036636&amp;Result=3","7036636")</f>
        <v>0</v>
      </c>
      <c r="B12922" t="s">
        <v>3269</v>
      </c>
      <c r="C12922" t="s">
        <v>15796</v>
      </c>
      <c r="D12922" t="s">
        <v>18816</v>
      </c>
      <c r="E12922" t="s">
        <v>29990</v>
      </c>
      <c r="F12922" t="s">
        <v>32664</v>
      </c>
      <c r="G12922" t="s">
        <v>32672</v>
      </c>
      <c r="H12922" t="s">
        <v>32683</v>
      </c>
      <c r="I12922" t="s">
        <v>10627</v>
      </c>
      <c r="J12922" t="s">
        <v>40450</v>
      </c>
      <c r="K12922" t="s">
        <v>42311</v>
      </c>
      <c r="M12922" t="s">
        <v>46204</v>
      </c>
      <c r="N12922" t="s">
        <v>46569</v>
      </c>
      <c r="O12922" t="s">
        <v>46570</v>
      </c>
      <c r="Q12922">
        <v>2</v>
      </c>
      <c r="R12922" t="s">
        <v>46585</v>
      </c>
      <c r="S12922" t="s">
        <v>47158</v>
      </c>
      <c r="T12922" t="s">
        <v>48256</v>
      </c>
      <c r="U12922" t="s">
        <v>59141</v>
      </c>
      <c r="W12922" t="s">
        <v>46204</v>
      </c>
      <c r="X12922" t="s">
        <v>46587</v>
      </c>
    </row>
    <row r="12923" spans="1:24">
      <c r="A12923">
        <f>HYPERLINK("https://www.philgeps.gov.ph/GEPSNONPILOT/Tender/SplashBidNoticeAbstractUI.aspx?menuIndex=3&amp;refID=7043130&amp;Result=3","7043130")</f>
        <v>0</v>
      </c>
      <c r="B12923" t="s">
        <v>3255</v>
      </c>
      <c r="C12923" t="s">
        <v>15797</v>
      </c>
      <c r="D12923" t="s">
        <v>18798</v>
      </c>
      <c r="E12923" t="s">
        <v>29991</v>
      </c>
      <c r="F12923" t="s">
        <v>32664</v>
      </c>
      <c r="G12923" t="s">
        <v>32672</v>
      </c>
      <c r="H12923" t="s">
        <v>32683</v>
      </c>
      <c r="I12923" t="s">
        <v>10627</v>
      </c>
      <c r="J12923" t="s">
        <v>40451</v>
      </c>
      <c r="K12923" t="s">
        <v>42290</v>
      </c>
      <c r="M12923" t="s">
        <v>46185</v>
      </c>
      <c r="N12923" t="s">
        <v>46569</v>
      </c>
      <c r="O12923" t="s">
        <v>46570</v>
      </c>
      <c r="P12923">
        <v>0</v>
      </c>
      <c r="Q12923">
        <v>34</v>
      </c>
      <c r="R12923" t="s">
        <v>46584</v>
      </c>
      <c r="S12923" t="s">
        <v>47063</v>
      </c>
      <c r="T12923" t="s">
        <v>48283</v>
      </c>
      <c r="U12923" t="s">
        <v>59142</v>
      </c>
      <c r="V12923" t="s">
        <v>63045</v>
      </c>
      <c r="W12923" t="s">
        <v>46185</v>
      </c>
      <c r="X12923" t="s">
        <v>46585</v>
      </c>
    </row>
    <row r="12924" spans="1:24">
      <c r="A12924">
        <f>HYPERLINK("https://www.philgeps.gov.ph/GEPSNONPILOT/Tender/SplashBidNoticeAbstractUI.aspx?menuIndex=3&amp;refID=7035888&amp;Result=3","7035888")</f>
        <v>0</v>
      </c>
      <c r="B12924" t="s">
        <v>57</v>
      </c>
      <c r="C12924" t="s">
        <v>15798</v>
      </c>
      <c r="D12924" t="s">
        <v>18806</v>
      </c>
      <c r="E12924" t="s">
        <v>29992</v>
      </c>
      <c r="F12924" t="s">
        <v>32664</v>
      </c>
      <c r="G12924" t="s">
        <v>32672</v>
      </c>
      <c r="H12924" t="s">
        <v>32683</v>
      </c>
      <c r="I12924" t="s">
        <v>10627</v>
      </c>
      <c r="J12924" t="s">
        <v>39030</v>
      </c>
      <c r="K12924" t="s">
        <v>42298</v>
      </c>
      <c r="M12924" t="s">
        <v>42619</v>
      </c>
      <c r="N12924" t="s">
        <v>46569</v>
      </c>
      <c r="O12924" t="s">
        <v>46570</v>
      </c>
      <c r="P12924">
        <v>0</v>
      </c>
      <c r="Q12924">
        <v>0</v>
      </c>
      <c r="R12924" t="s">
        <v>46585</v>
      </c>
      <c r="S12924" t="s">
        <v>47146</v>
      </c>
      <c r="T12924" t="s">
        <v>48226</v>
      </c>
      <c r="U12924" t="s">
        <v>59143</v>
      </c>
      <c r="W12924" t="s">
        <v>42619</v>
      </c>
      <c r="X12924" t="s">
        <v>46587</v>
      </c>
    </row>
    <row r="12925" spans="1:24">
      <c r="A12925">
        <f>HYPERLINK("https://www.philgeps.gov.ph/GEPSNONPILOT/Tender/SplashBidNoticeAbstractUI.aspx?menuIndex=3&amp;refID=7043058&amp;Result=3","7043058")</f>
        <v>0</v>
      </c>
      <c r="B12925" t="s">
        <v>418</v>
      </c>
      <c r="C12925" t="s">
        <v>15799</v>
      </c>
      <c r="D12925" t="s">
        <v>18784</v>
      </c>
      <c r="E12925" t="s">
        <v>29993</v>
      </c>
      <c r="F12925" t="s">
        <v>32664</v>
      </c>
      <c r="G12925" t="s">
        <v>32672</v>
      </c>
      <c r="H12925" t="s">
        <v>12635</v>
      </c>
      <c r="I12925" t="s">
        <v>6223</v>
      </c>
      <c r="J12925" t="s">
        <v>40452</v>
      </c>
      <c r="K12925" t="s">
        <v>42289</v>
      </c>
      <c r="M12925" t="s">
        <v>46177</v>
      </c>
      <c r="N12925" t="s">
        <v>46569</v>
      </c>
      <c r="O12925" t="s">
        <v>46570</v>
      </c>
      <c r="P12925">
        <v>0</v>
      </c>
      <c r="Q12925">
        <v>1</v>
      </c>
      <c r="R12925" t="s">
        <v>46584</v>
      </c>
      <c r="S12925" t="s">
        <v>47063</v>
      </c>
      <c r="T12925" t="s">
        <v>48285</v>
      </c>
      <c r="U12925" t="s">
        <v>49872</v>
      </c>
      <c r="W12925" t="s">
        <v>46177</v>
      </c>
      <c r="X12925" t="s">
        <v>46585</v>
      </c>
    </row>
    <row r="12926" spans="1:24">
      <c r="A12926">
        <f>HYPERLINK("https://www.philgeps.gov.ph/GEPSNONPILOT/Tender/SplashBidNoticeAbstractUI.aspx?menuIndex=3&amp;refID=7043278&amp;Result=3","7043278")</f>
        <v>0</v>
      </c>
      <c r="B12926" t="s">
        <v>1008</v>
      </c>
      <c r="C12926" t="s">
        <v>15800</v>
      </c>
      <c r="D12926" t="s">
        <v>18786</v>
      </c>
      <c r="E12926" t="s">
        <v>29994</v>
      </c>
      <c r="F12926" t="s">
        <v>32664</v>
      </c>
      <c r="G12926" t="s">
        <v>32672</v>
      </c>
      <c r="H12926" t="s">
        <v>32683</v>
      </c>
      <c r="I12926" t="s">
        <v>10627</v>
      </c>
      <c r="J12926" t="s">
        <v>34033</v>
      </c>
      <c r="K12926" t="s">
        <v>42540</v>
      </c>
      <c r="L12926" t="s">
        <v>1008</v>
      </c>
      <c r="M12926" t="s">
        <v>43620</v>
      </c>
      <c r="N12926" t="s">
        <v>46569</v>
      </c>
      <c r="O12926" t="s">
        <v>46570</v>
      </c>
      <c r="P12926">
        <v>0</v>
      </c>
      <c r="Q12926">
        <v>2</v>
      </c>
      <c r="R12926" t="s">
        <v>46584</v>
      </c>
      <c r="S12926" t="s">
        <v>47063</v>
      </c>
      <c r="T12926" t="s">
        <v>48225</v>
      </c>
      <c r="U12926" t="s">
        <v>59144</v>
      </c>
      <c r="W12926" t="s">
        <v>43620</v>
      </c>
      <c r="X12926" t="s">
        <v>46585</v>
      </c>
    </row>
    <row r="12927" spans="1:24">
      <c r="A12927">
        <f>HYPERLINK("https://www.philgeps.gov.ph/GEPSNONPILOT/Tender/SplashBidNoticeAbstractUI.aspx?menuIndex=3&amp;refID=7043000&amp;Result=3","7043000")</f>
        <v>0</v>
      </c>
      <c r="B12927" t="s">
        <v>1048</v>
      </c>
      <c r="C12927" t="s">
        <v>15801</v>
      </c>
      <c r="D12927" t="s">
        <v>18831</v>
      </c>
      <c r="E12927" t="s">
        <v>29995</v>
      </c>
      <c r="F12927" t="s">
        <v>32664</v>
      </c>
      <c r="G12927" t="s">
        <v>32672</v>
      </c>
      <c r="H12927" t="s">
        <v>32683</v>
      </c>
      <c r="I12927" t="s">
        <v>10627</v>
      </c>
      <c r="J12927" t="s">
        <v>37781</v>
      </c>
      <c r="K12927" t="s">
        <v>42349</v>
      </c>
      <c r="M12927" t="s">
        <v>43664</v>
      </c>
      <c r="N12927" t="s">
        <v>46569</v>
      </c>
      <c r="O12927" t="s">
        <v>46570</v>
      </c>
      <c r="Q12927">
        <v>6</v>
      </c>
      <c r="R12927" t="s">
        <v>46584</v>
      </c>
      <c r="S12927" t="s">
        <v>47159</v>
      </c>
      <c r="T12927" t="s">
        <v>48390</v>
      </c>
      <c r="U12927" t="s">
        <v>59145</v>
      </c>
      <c r="W12927" t="s">
        <v>43664</v>
      </c>
      <c r="X12927" t="s">
        <v>46585</v>
      </c>
    </row>
    <row r="12928" spans="1:24">
      <c r="A12928">
        <f>HYPERLINK("https://www.philgeps.gov.ph/GEPSNONPILOT/Tender/SplashBidNoticeAbstractUI.aspx?menuIndex=3&amp;refID=7035919&amp;Result=3","7035919")</f>
        <v>0</v>
      </c>
      <c r="B12928" t="s">
        <v>57</v>
      </c>
      <c r="C12928" t="s">
        <v>15802</v>
      </c>
      <c r="D12928" t="s">
        <v>18806</v>
      </c>
      <c r="E12928" t="s">
        <v>29996</v>
      </c>
      <c r="F12928" t="s">
        <v>32664</v>
      </c>
      <c r="G12928" t="s">
        <v>32672</v>
      </c>
      <c r="H12928" t="s">
        <v>32683</v>
      </c>
      <c r="I12928" t="s">
        <v>10627</v>
      </c>
      <c r="J12928" t="s">
        <v>38770</v>
      </c>
      <c r="K12928" t="s">
        <v>42300</v>
      </c>
      <c r="M12928" t="s">
        <v>42619</v>
      </c>
      <c r="N12928" t="s">
        <v>46569</v>
      </c>
      <c r="O12928" t="s">
        <v>46570</v>
      </c>
      <c r="P12928">
        <v>0</v>
      </c>
      <c r="Q12928">
        <v>2</v>
      </c>
      <c r="R12928" t="s">
        <v>46585</v>
      </c>
      <c r="S12928" t="s">
        <v>47146</v>
      </c>
      <c r="T12928" t="s">
        <v>48226</v>
      </c>
      <c r="U12928" t="s">
        <v>59146</v>
      </c>
      <c r="W12928" t="s">
        <v>42619</v>
      </c>
      <c r="X12928" t="s">
        <v>46587</v>
      </c>
    </row>
    <row r="12929" spans="1:24">
      <c r="A12929">
        <f>HYPERLINK("https://www.philgeps.gov.ph/GEPSNONPILOT/Tender/SplashBidNoticeAbstractUI.aspx?menuIndex=3&amp;refID=7042999&amp;Result=3","7042999")</f>
        <v>0</v>
      </c>
      <c r="B12929" t="s">
        <v>1342</v>
      </c>
      <c r="C12929" t="s">
        <v>15803</v>
      </c>
      <c r="D12929" t="s">
        <v>18787</v>
      </c>
      <c r="E12929" t="s">
        <v>29997</v>
      </c>
      <c r="F12929" t="s">
        <v>32664</v>
      </c>
      <c r="G12929" t="s">
        <v>32672</v>
      </c>
      <c r="H12929" t="s">
        <v>12635</v>
      </c>
      <c r="I12929" t="s">
        <v>5589</v>
      </c>
      <c r="J12929" t="s">
        <v>40453</v>
      </c>
      <c r="K12929" t="s">
        <v>42281</v>
      </c>
      <c r="M12929" t="s">
        <v>44796</v>
      </c>
      <c r="N12929" t="s">
        <v>46569</v>
      </c>
      <c r="O12929" t="s">
        <v>46570</v>
      </c>
      <c r="Q12929">
        <v>11</v>
      </c>
      <c r="R12929" t="s">
        <v>46584</v>
      </c>
      <c r="S12929" t="s">
        <v>47160</v>
      </c>
      <c r="T12929" t="s">
        <v>48226</v>
      </c>
      <c r="U12929" t="s">
        <v>59033</v>
      </c>
      <c r="W12929" t="s">
        <v>44796</v>
      </c>
      <c r="X12929" t="s">
        <v>46585</v>
      </c>
    </row>
    <row r="12930" spans="1:24">
      <c r="A12930">
        <f>HYPERLINK("https://www.philgeps.gov.ph/GEPSNONPILOT/Tender/SplashBidNoticeAbstractUI.aspx?menuIndex=3&amp;refID=7042764&amp;Result=3","7042764")</f>
        <v>0</v>
      </c>
      <c r="B12930" t="s">
        <v>1666</v>
      </c>
      <c r="C12930" t="s">
        <v>15804</v>
      </c>
      <c r="D12930" t="s">
        <v>18841</v>
      </c>
      <c r="E12930" t="s">
        <v>29998</v>
      </c>
      <c r="F12930" t="s">
        <v>32664</v>
      </c>
      <c r="G12930" t="s">
        <v>32672</v>
      </c>
      <c r="H12930" t="s">
        <v>32683</v>
      </c>
      <c r="I12930" t="s">
        <v>10627</v>
      </c>
      <c r="J12930" t="s">
        <v>33127</v>
      </c>
      <c r="K12930" t="s">
        <v>42305</v>
      </c>
      <c r="M12930" t="s">
        <v>44352</v>
      </c>
      <c r="N12930" t="s">
        <v>46569</v>
      </c>
      <c r="O12930" t="s">
        <v>46570</v>
      </c>
      <c r="P12930">
        <v>0</v>
      </c>
      <c r="Q12930">
        <v>0</v>
      </c>
      <c r="R12930" t="s">
        <v>46584</v>
      </c>
      <c r="S12930" t="s">
        <v>47063</v>
      </c>
      <c r="T12930" t="s">
        <v>48304</v>
      </c>
      <c r="U12930" t="s">
        <v>59147</v>
      </c>
      <c r="V12930" t="s">
        <v>54604</v>
      </c>
      <c r="W12930" t="s">
        <v>44352</v>
      </c>
      <c r="X12930" t="s">
        <v>46585</v>
      </c>
    </row>
    <row r="12931" spans="1:24">
      <c r="A12931">
        <f>HYPERLINK("https://www.philgeps.gov.ph/GEPSNONPILOT/Tender/SplashBidNoticeAbstractUI.aspx?menuIndex=3&amp;refID=7043133&amp;Result=3","7043133")</f>
        <v>0</v>
      </c>
      <c r="B12931" t="s">
        <v>2314</v>
      </c>
      <c r="C12931" t="s">
        <v>15805</v>
      </c>
      <c r="D12931" t="s">
        <v>18781</v>
      </c>
      <c r="E12931" t="s">
        <v>29999</v>
      </c>
      <c r="F12931" t="s">
        <v>32664</v>
      </c>
      <c r="G12931" t="s">
        <v>32672</v>
      </c>
      <c r="H12931" t="s">
        <v>12635</v>
      </c>
      <c r="I12931" t="s">
        <v>9486</v>
      </c>
      <c r="J12931" t="s">
        <v>40454</v>
      </c>
      <c r="K12931" t="s">
        <v>42314</v>
      </c>
      <c r="M12931" t="s">
        <v>45088</v>
      </c>
      <c r="N12931" t="s">
        <v>46569</v>
      </c>
      <c r="O12931" t="s">
        <v>46570</v>
      </c>
      <c r="P12931">
        <v>0</v>
      </c>
      <c r="Q12931">
        <v>3</v>
      </c>
      <c r="R12931" t="s">
        <v>46584</v>
      </c>
      <c r="S12931" t="s">
        <v>47063</v>
      </c>
      <c r="T12931" t="s">
        <v>48304</v>
      </c>
      <c r="U12931" t="s">
        <v>59148</v>
      </c>
      <c r="W12931" t="s">
        <v>45088</v>
      </c>
      <c r="X12931" t="s">
        <v>46585</v>
      </c>
    </row>
    <row r="12932" spans="1:24">
      <c r="A12932">
        <f>HYPERLINK("https://www.philgeps.gov.ph/GEPSNONPILOT/Tender/SplashBidNoticeAbstractUI.aspx?menuIndex=3&amp;refID=7042708&amp;Result=3","7042708")</f>
        <v>0</v>
      </c>
      <c r="B12932" t="s">
        <v>520</v>
      </c>
      <c r="C12932" t="s">
        <v>15806</v>
      </c>
      <c r="D12932" t="s">
        <v>18791</v>
      </c>
      <c r="E12932" t="s">
        <v>30000</v>
      </c>
      <c r="F12932" t="s">
        <v>32664</v>
      </c>
      <c r="G12932" t="s">
        <v>32672</v>
      </c>
      <c r="H12932" t="s">
        <v>12635</v>
      </c>
      <c r="I12932" t="s">
        <v>8797</v>
      </c>
      <c r="J12932" t="s">
        <v>40455</v>
      </c>
      <c r="K12932" t="s">
        <v>42303</v>
      </c>
      <c r="M12932" t="s">
        <v>43097</v>
      </c>
      <c r="N12932" t="s">
        <v>46569</v>
      </c>
      <c r="O12932" t="s">
        <v>46570</v>
      </c>
      <c r="Q12932">
        <v>32</v>
      </c>
      <c r="R12932" t="s">
        <v>46584</v>
      </c>
      <c r="S12932" t="s">
        <v>47161</v>
      </c>
      <c r="T12932" t="s">
        <v>48279</v>
      </c>
      <c r="U12932" t="s">
        <v>59149</v>
      </c>
      <c r="V12932" t="s">
        <v>61745</v>
      </c>
      <c r="W12932" t="s">
        <v>43097</v>
      </c>
      <c r="X12932" t="s">
        <v>46585</v>
      </c>
    </row>
    <row r="12933" spans="1:24">
      <c r="A12933">
        <f>HYPERLINK("https://www.philgeps.gov.ph/GEPSNONPILOT/Tender/SplashBidNoticeAbstractUI.aspx?menuIndex=3&amp;refID=7042995&amp;Result=3","7042995")</f>
        <v>0</v>
      </c>
      <c r="B12933" t="s">
        <v>26</v>
      </c>
      <c r="C12933" t="s">
        <v>15807</v>
      </c>
      <c r="D12933" t="s">
        <v>18783</v>
      </c>
      <c r="E12933" t="s">
        <v>30001</v>
      </c>
      <c r="F12933" t="s">
        <v>32664</v>
      </c>
      <c r="G12933" t="s">
        <v>32672</v>
      </c>
      <c r="H12933" t="s">
        <v>32683</v>
      </c>
      <c r="I12933" t="s">
        <v>10627</v>
      </c>
      <c r="J12933" t="s">
        <v>40456</v>
      </c>
      <c r="K12933" t="s">
        <v>42369</v>
      </c>
      <c r="M12933" t="s">
        <v>42588</v>
      </c>
      <c r="N12933" t="s">
        <v>46569</v>
      </c>
      <c r="O12933" t="s">
        <v>46570</v>
      </c>
      <c r="P12933">
        <v>0</v>
      </c>
      <c r="Q12933">
        <v>5</v>
      </c>
      <c r="R12933" t="s">
        <v>46584</v>
      </c>
      <c r="S12933" t="s">
        <v>47063</v>
      </c>
      <c r="T12933" t="s">
        <v>48366</v>
      </c>
      <c r="U12933" t="s">
        <v>59050</v>
      </c>
      <c r="V12933" t="s">
        <v>63038</v>
      </c>
      <c r="W12933" t="s">
        <v>42588</v>
      </c>
      <c r="X12933" t="s">
        <v>46585</v>
      </c>
    </row>
    <row r="12934" spans="1:24">
      <c r="A12934">
        <f>HYPERLINK("https://www.philgeps.gov.ph/GEPSNONPILOT/Tender/SplashBidNoticeAbstractUI.aspx?menuIndex=3&amp;refID=7042674&amp;Result=3","7042674")</f>
        <v>0</v>
      </c>
      <c r="B12934" t="s">
        <v>520</v>
      </c>
      <c r="C12934" t="s">
        <v>15808</v>
      </c>
      <c r="D12934" t="s">
        <v>18791</v>
      </c>
      <c r="E12934" t="s">
        <v>30002</v>
      </c>
      <c r="F12934" t="s">
        <v>32664</v>
      </c>
      <c r="G12934" t="s">
        <v>32672</v>
      </c>
      <c r="H12934" t="s">
        <v>12635</v>
      </c>
      <c r="I12934" t="s">
        <v>32708</v>
      </c>
      <c r="J12934" t="s">
        <v>33077</v>
      </c>
      <c r="K12934" t="s">
        <v>42298</v>
      </c>
      <c r="M12934" t="s">
        <v>43097</v>
      </c>
      <c r="N12934" t="s">
        <v>46569</v>
      </c>
      <c r="O12934" t="s">
        <v>46570</v>
      </c>
      <c r="Q12934">
        <v>15</v>
      </c>
      <c r="R12934" t="s">
        <v>46584</v>
      </c>
      <c r="S12934" t="s">
        <v>47162</v>
      </c>
      <c r="T12934" t="s">
        <v>48279</v>
      </c>
      <c r="U12934" t="s">
        <v>59150</v>
      </c>
      <c r="V12934" t="s">
        <v>61745</v>
      </c>
      <c r="W12934" t="s">
        <v>43097</v>
      </c>
      <c r="X12934" t="s">
        <v>46585</v>
      </c>
    </row>
    <row r="12935" spans="1:24">
      <c r="A12935">
        <f>HYPERLINK("https://www.philgeps.gov.ph/GEPSNONPILOT/Tender/SplashBidNoticeAbstractUI.aspx?menuIndex=3&amp;refID=7042667&amp;Result=3","7042667")</f>
        <v>0</v>
      </c>
      <c r="B12935" t="s">
        <v>3240</v>
      </c>
      <c r="C12935" t="s">
        <v>15809</v>
      </c>
      <c r="D12935" t="s">
        <v>18802</v>
      </c>
      <c r="E12935" t="s">
        <v>30003</v>
      </c>
      <c r="F12935" t="s">
        <v>32664</v>
      </c>
      <c r="G12935" t="s">
        <v>32672</v>
      </c>
      <c r="H12935" t="s">
        <v>12635</v>
      </c>
      <c r="I12935" t="s">
        <v>32684</v>
      </c>
      <c r="J12935" t="s">
        <v>40457</v>
      </c>
      <c r="K12935" t="s">
        <v>42336</v>
      </c>
      <c r="M12935" t="s">
        <v>46163</v>
      </c>
      <c r="N12935" t="s">
        <v>46569</v>
      </c>
      <c r="O12935" t="s">
        <v>46570</v>
      </c>
      <c r="P12935">
        <v>0</v>
      </c>
      <c r="Q12935">
        <v>5</v>
      </c>
      <c r="R12935" t="s">
        <v>46584</v>
      </c>
      <c r="S12935" t="s">
        <v>47063</v>
      </c>
      <c r="T12935" t="s">
        <v>48709</v>
      </c>
      <c r="U12935" t="s">
        <v>59151</v>
      </c>
      <c r="W12935" t="s">
        <v>46163</v>
      </c>
      <c r="X12935" t="s">
        <v>46585</v>
      </c>
    </row>
    <row r="12936" spans="1:24">
      <c r="A12936">
        <f>HYPERLINK("https://www.philgeps.gov.ph/GEPSNONPILOT/Tender/SplashBidNoticeAbstractUI.aspx?menuIndex=3&amp;refID=7036110&amp;Result=3","7036110")</f>
        <v>0</v>
      </c>
      <c r="B12936" t="s">
        <v>53</v>
      </c>
      <c r="C12936" t="s">
        <v>15810</v>
      </c>
      <c r="E12936" t="s">
        <v>30004</v>
      </c>
      <c r="F12936" t="s">
        <v>32664</v>
      </c>
      <c r="G12936" t="s">
        <v>32672</v>
      </c>
      <c r="H12936" t="s">
        <v>32683</v>
      </c>
      <c r="I12936" t="s">
        <v>10627</v>
      </c>
      <c r="J12936" t="s">
        <v>40458</v>
      </c>
      <c r="K12936" t="s">
        <v>42301</v>
      </c>
      <c r="M12936" t="s">
        <v>42624</v>
      </c>
      <c r="N12936" t="s">
        <v>46569</v>
      </c>
      <c r="O12936" t="s">
        <v>46570</v>
      </c>
      <c r="P12936">
        <v>0</v>
      </c>
      <c r="Q12936">
        <v>1</v>
      </c>
      <c r="R12936" t="s">
        <v>46585</v>
      </c>
      <c r="S12936" t="s">
        <v>47146</v>
      </c>
      <c r="T12936" t="s">
        <v>48230</v>
      </c>
      <c r="U12936" t="s">
        <v>59152</v>
      </c>
      <c r="W12936" t="s">
        <v>42624</v>
      </c>
      <c r="X12936" t="s">
        <v>46587</v>
      </c>
    </row>
    <row r="12937" spans="1:24">
      <c r="A12937">
        <f>HYPERLINK("https://www.philgeps.gov.ph/GEPSNONPILOT/Tender/SplashBidNoticeAbstractUI.aspx?menuIndex=3&amp;refID=7041997&amp;Result=3","7041997")</f>
        <v>0</v>
      </c>
      <c r="B12937" t="s">
        <v>678</v>
      </c>
      <c r="C12937" t="s">
        <v>15811</v>
      </c>
      <c r="E12937" t="s">
        <v>30005</v>
      </c>
      <c r="F12937" t="s">
        <v>32664</v>
      </c>
      <c r="G12937" t="s">
        <v>32672</v>
      </c>
      <c r="H12937" t="s">
        <v>32683</v>
      </c>
      <c r="I12937" t="s">
        <v>10627</v>
      </c>
      <c r="J12937" t="s">
        <v>34148</v>
      </c>
      <c r="K12937" t="s">
        <v>42283</v>
      </c>
      <c r="M12937" t="s">
        <v>43265</v>
      </c>
      <c r="N12937" t="s">
        <v>46569</v>
      </c>
      <c r="O12937" t="s">
        <v>46570</v>
      </c>
      <c r="P12937">
        <v>0</v>
      </c>
      <c r="Q12937">
        <v>0</v>
      </c>
      <c r="R12937" t="s">
        <v>46584</v>
      </c>
      <c r="S12937" t="s">
        <v>47063</v>
      </c>
      <c r="T12937" t="s">
        <v>48580</v>
      </c>
      <c r="U12937" t="s">
        <v>58958</v>
      </c>
      <c r="W12937" t="s">
        <v>43265</v>
      </c>
      <c r="X12937" t="s">
        <v>46585</v>
      </c>
    </row>
    <row r="12938" spans="1:24">
      <c r="A12938">
        <f>HYPERLINK("https://www.philgeps.gov.ph/GEPSNONPILOT/Tender/SplashBidNoticeAbstractUI.aspx?menuIndex=3&amp;refID=7041990&amp;Result=3","7041990")</f>
        <v>0</v>
      </c>
      <c r="B12938" t="s">
        <v>3047</v>
      </c>
      <c r="C12938" t="s">
        <v>15812</v>
      </c>
      <c r="D12938" t="s">
        <v>18786</v>
      </c>
      <c r="E12938" t="s">
        <v>30006</v>
      </c>
      <c r="F12938" t="s">
        <v>32664</v>
      </c>
      <c r="G12938" t="s">
        <v>32672</v>
      </c>
      <c r="H12938" t="s">
        <v>12635</v>
      </c>
      <c r="I12938" t="s">
        <v>5589</v>
      </c>
      <c r="J12938" t="s">
        <v>40459</v>
      </c>
      <c r="K12938" t="s">
        <v>42281</v>
      </c>
      <c r="M12938" t="s">
        <v>45921</v>
      </c>
      <c r="N12938" t="s">
        <v>46569</v>
      </c>
      <c r="O12938" t="s">
        <v>46570</v>
      </c>
      <c r="P12938">
        <v>0</v>
      </c>
      <c r="Q12938">
        <v>8</v>
      </c>
      <c r="R12938" t="s">
        <v>46584</v>
      </c>
      <c r="S12938" t="s">
        <v>47063</v>
      </c>
      <c r="T12938" t="s">
        <v>48354</v>
      </c>
      <c r="U12938" t="s">
        <v>57910</v>
      </c>
      <c r="V12938" t="s">
        <v>63053</v>
      </c>
      <c r="W12938" t="s">
        <v>45921</v>
      </c>
      <c r="X12938" t="s">
        <v>46585</v>
      </c>
    </row>
    <row r="12939" spans="1:24">
      <c r="A12939">
        <f>HYPERLINK("https://www.philgeps.gov.ph/GEPSNONPILOT/Tender/SplashBidNoticeAbstractUI.aspx?menuIndex=3&amp;refID=7041833&amp;Result=3","7041833")</f>
        <v>0</v>
      </c>
      <c r="B12939" t="s">
        <v>3232</v>
      </c>
      <c r="C12939" t="s">
        <v>15539</v>
      </c>
      <c r="D12939" t="s">
        <v>18826</v>
      </c>
      <c r="E12939" t="s">
        <v>30007</v>
      </c>
      <c r="F12939" t="s">
        <v>32664</v>
      </c>
      <c r="G12939" t="s">
        <v>32672</v>
      </c>
      <c r="H12939" t="s">
        <v>32683</v>
      </c>
      <c r="I12939" t="s">
        <v>10627</v>
      </c>
      <c r="J12939" t="s">
        <v>40460</v>
      </c>
      <c r="K12939" t="s">
        <v>42539</v>
      </c>
      <c r="M12939" t="s">
        <v>46153</v>
      </c>
      <c r="N12939" t="s">
        <v>46569</v>
      </c>
      <c r="O12939" t="s">
        <v>46570</v>
      </c>
      <c r="P12939">
        <v>0</v>
      </c>
      <c r="Q12939">
        <v>69</v>
      </c>
      <c r="R12939" t="s">
        <v>46584</v>
      </c>
      <c r="S12939" t="s">
        <v>47063</v>
      </c>
      <c r="T12939" t="s">
        <v>48248</v>
      </c>
      <c r="U12939" t="s">
        <v>59153</v>
      </c>
      <c r="V12939" t="s">
        <v>63024</v>
      </c>
      <c r="W12939" t="s">
        <v>46153</v>
      </c>
      <c r="X12939" t="s">
        <v>46585</v>
      </c>
    </row>
    <row r="12940" spans="1:24">
      <c r="A12940">
        <f>HYPERLINK("https://www.philgeps.gov.ph/GEPSNONPILOT/Tender/SplashBidNoticeAbstractUI.aspx?menuIndex=3&amp;refID=7042760&amp;Result=3","7042760")</f>
        <v>0</v>
      </c>
      <c r="B12940" t="s">
        <v>2720</v>
      </c>
      <c r="C12940" t="s">
        <v>15813</v>
      </c>
      <c r="D12940" t="s">
        <v>18785</v>
      </c>
      <c r="E12940" t="s">
        <v>30008</v>
      </c>
      <c r="F12940" t="s">
        <v>32664</v>
      </c>
      <c r="G12940" t="s">
        <v>32672</v>
      </c>
      <c r="H12940" t="s">
        <v>32683</v>
      </c>
      <c r="I12940" t="s">
        <v>10627</v>
      </c>
      <c r="J12940" t="s">
        <v>34075</v>
      </c>
      <c r="K12940" t="s">
        <v>42467</v>
      </c>
      <c r="M12940" t="s">
        <v>45547</v>
      </c>
      <c r="N12940" t="s">
        <v>46569</v>
      </c>
      <c r="O12940" t="s">
        <v>46570</v>
      </c>
      <c r="Q12940">
        <v>6</v>
      </c>
      <c r="R12940" t="s">
        <v>46584</v>
      </c>
      <c r="S12940" t="s">
        <v>47163</v>
      </c>
      <c r="T12940" t="s">
        <v>48268</v>
      </c>
      <c r="U12940" t="s">
        <v>58991</v>
      </c>
      <c r="V12940" t="s">
        <v>63028</v>
      </c>
      <c r="W12940" t="s">
        <v>45547</v>
      </c>
      <c r="X12940" t="s">
        <v>46585</v>
      </c>
    </row>
    <row r="12941" spans="1:24">
      <c r="A12941">
        <f>HYPERLINK("https://www.philgeps.gov.ph/GEPSNONPILOT/Tender/SplashBidNoticeAbstractUI.aspx?menuIndex=3&amp;refID=7042704&amp;Result=3","7042704")</f>
        <v>0</v>
      </c>
      <c r="B12941" t="s">
        <v>592</v>
      </c>
      <c r="C12941" t="s">
        <v>15814</v>
      </c>
      <c r="D12941" t="s">
        <v>18784</v>
      </c>
      <c r="E12941" t="s">
        <v>30009</v>
      </c>
      <c r="F12941" t="s">
        <v>32664</v>
      </c>
      <c r="G12941" t="s">
        <v>32675</v>
      </c>
      <c r="H12941" t="s">
        <v>12635</v>
      </c>
      <c r="I12941" t="s">
        <v>6223</v>
      </c>
      <c r="J12941" t="s">
        <v>33147</v>
      </c>
      <c r="K12941" t="s">
        <v>42289</v>
      </c>
      <c r="M12941" t="s">
        <v>43172</v>
      </c>
      <c r="N12941" t="s">
        <v>46569</v>
      </c>
      <c r="O12941" t="s">
        <v>46570</v>
      </c>
      <c r="Q12941">
        <v>5</v>
      </c>
      <c r="R12941" t="s">
        <v>46584</v>
      </c>
      <c r="S12941" t="s">
        <v>47164</v>
      </c>
      <c r="T12941" t="s">
        <v>48282</v>
      </c>
      <c r="U12941" t="s">
        <v>49886</v>
      </c>
      <c r="V12941" t="s">
        <v>62175</v>
      </c>
      <c r="W12941" t="s">
        <v>43172</v>
      </c>
      <c r="X12941" t="s">
        <v>46585</v>
      </c>
    </row>
    <row r="12942" spans="1:24">
      <c r="A12942">
        <f>HYPERLINK("https://www.philgeps.gov.ph/GEPSNONPILOT/Tender/SplashBidNoticeAbstractUI.aspx?menuIndex=3&amp;refID=7042694&amp;Result=3","7042694")</f>
        <v>0</v>
      </c>
      <c r="B12942" t="s">
        <v>2720</v>
      </c>
      <c r="C12942" t="s">
        <v>15815</v>
      </c>
      <c r="D12942" t="s">
        <v>18785</v>
      </c>
      <c r="E12942" t="s">
        <v>30010</v>
      </c>
      <c r="F12942" t="s">
        <v>32664</v>
      </c>
      <c r="G12942" t="s">
        <v>32672</v>
      </c>
      <c r="H12942" t="s">
        <v>32683</v>
      </c>
      <c r="I12942" t="s">
        <v>10627</v>
      </c>
      <c r="J12942" t="s">
        <v>35171</v>
      </c>
      <c r="K12942" t="s">
        <v>42290</v>
      </c>
      <c r="M12942" t="s">
        <v>45547</v>
      </c>
      <c r="N12942" t="s">
        <v>46569</v>
      </c>
      <c r="O12942" t="s">
        <v>46570</v>
      </c>
      <c r="Q12942">
        <v>3</v>
      </c>
      <c r="R12942" t="s">
        <v>46584</v>
      </c>
      <c r="S12942" t="s">
        <v>47165</v>
      </c>
      <c r="T12942" t="s">
        <v>48268</v>
      </c>
      <c r="U12942" t="s">
        <v>58991</v>
      </c>
      <c r="V12942" t="s">
        <v>63028</v>
      </c>
      <c r="W12942" t="s">
        <v>45547</v>
      </c>
      <c r="X12942" t="s">
        <v>46585</v>
      </c>
    </row>
    <row r="12943" spans="1:24">
      <c r="A12943">
        <f>HYPERLINK("https://www.philgeps.gov.ph/GEPSNONPILOT/Tender/SplashBidNoticeAbstractUI.aspx?menuIndex=3&amp;refID=7042019&amp;Result=3","7042019")</f>
        <v>0</v>
      </c>
      <c r="B12943" t="s">
        <v>3047</v>
      </c>
      <c r="C12943" t="s">
        <v>15816</v>
      </c>
      <c r="D12943" t="s">
        <v>18786</v>
      </c>
      <c r="E12943" t="s">
        <v>30011</v>
      </c>
      <c r="F12943" t="s">
        <v>32664</v>
      </c>
      <c r="G12943" t="s">
        <v>32672</v>
      </c>
      <c r="H12943" t="s">
        <v>32683</v>
      </c>
      <c r="I12943" t="s">
        <v>10627</v>
      </c>
      <c r="J12943" t="s">
        <v>40461</v>
      </c>
      <c r="K12943" t="s">
        <v>42290</v>
      </c>
      <c r="M12943" t="s">
        <v>45921</v>
      </c>
      <c r="N12943" t="s">
        <v>46569</v>
      </c>
      <c r="O12943" t="s">
        <v>46570</v>
      </c>
      <c r="P12943">
        <v>0</v>
      </c>
      <c r="Q12943">
        <v>1</v>
      </c>
      <c r="R12943" t="s">
        <v>46584</v>
      </c>
      <c r="S12943" t="s">
        <v>47063</v>
      </c>
      <c r="T12943" t="s">
        <v>48246</v>
      </c>
      <c r="U12943" t="s">
        <v>57910</v>
      </c>
      <c r="V12943" t="s">
        <v>63054</v>
      </c>
      <c r="W12943" t="s">
        <v>45921</v>
      </c>
      <c r="X12943" t="s">
        <v>46585</v>
      </c>
    </row>
    <row r="12944" spans="1:24">
      <c r="A12944">
        <f>HYPERLINK("https://www.philgeps.gov.ph/GEPSNONPILOT/Tender/SplashBidNoticeAbstractUI.aspx?menuIndex=3&amp;refID=7038235&amp;Result=3","7038235")</f>
        <v>0</v>
      </c>
      <c r="B12944" t="s">
        <v>2881</v>
      </c>
      <c r="C12944" t="s">
        <v>15817</v>
      </c>
      <c r="D12944" t="s">
        <v>18820</v>
      </c>
      <c r="E12944" t="s">
        <v>27773</v>
      </c>
      <c r="F12944" t="s">
        <v>32664</v>
      </c>
      <c r="G12944" t="s">
        <v>32672</v>
      </c>
      <c r="H12944" t="s">
        <v>32683</v>
      </c>
      <c r="I12944" t="s">
        <v>10627</v>
      </c>
      <c r="J12944" t="s">
        <v>32998</v>
      </c>
      <c r="K12944" t="s">
        <v>42298</v>
      </c>
      <c r="M12944" t="s">
        <v>45730</v>
      </c>
      <c r="N12944" t="s">
        <v>46569</v>
      </c>
      <c r="O12944" t="s">
        <v>46570</v>
      </c>
      <c r="P12944">
        <v>0</v>
      </c>
      <c r="Q12944">
        <v>2</v>
      </c>
      <c r="R12944" t="s">
        <v>46585</v>
      </c>
      <c r="S12944" t="s">
        <v>47146</v>
      </c>
      <c r="T12944" t="s">
        <v>48590</v>
      </c>
      <c r="U12944" t="s">
        <v>59154</v>
      </c>
      <c r="V12944" t="s">
        <v>63055</v>
      </c>
      <c r="W12944" t="s">
        <v>45730</v>
      </c>
      <c r="X12944" t="s">
        <v>46586</v>
      </c>
    </row>
    <row r="12945" spans="1:24">
      <c r="A12945">
        <f>HYPERLINK("https://www.philgeps.gov.ph/GEPSNONPILOT/Tender/SplashBidNoticeAbstractUI.aspx?menuIndex=3&amp;refID=7038220&amp;Result=3","7038220")</f>
        <v>0</v>
      </c>
      <c r="B12945" t="s">
        <v>2468</v>
      </c>
      <c r="C12945" t="s">
        <v>15818</v>
      </c>
      <c r="E12945" t="s">
        <v>30012</v>
      </c>
      <c r="F12945" t="s">
        <v>32664</v>
      </c>
      <c r="G12945" t="s">
        <v>32672</v>
      </c>
      <c r="H12945" t="s">
        <v>12635</v>
      </c>
      <c r="I12945" t="s">
        <v>9486</v>
      </c>
      <c r="J12945" t="s">
        <v>40462</v>
      </c>
      <c r="K12945" t="s">
        <v>42283</v>
      </c>
      <c r="M12945" t="s">
        <v>46205</v>
      </c>
      <c r="N12945" t="s">
        <v>46569</v>
      </c>
      <c r="O12945" t="s">
        <v>46570</v>
      </c>
      <c r="P12945">
        <v>0</v>
      </c>
      <c r="Q12945">
        <v>5</v>
      </c>
      <c r="R12945" t="s">
        <v>46585</v>
      </c>
      <c r="S12945" t="s">
        <v>47146</v>
      </c>
      <c r="T12945" t="s">
        <v>48279</v>
      </c>
      <c r="U12945" t="s">
        <v>59155</v>
      </c>
      <c r="W12945" t="s">
        <v>46205</v>
      </c>
      <c r="X12945" t="s">
        <v>46586</v>
      </c>
    </row>
    <row r="12946" spans="1:24">
      <c r="A12946">
        <f>HYPERLINK("https://www.philgeps.gov.ph/GEPSNONPILOT/Tender/SplashBidNoticeAbstractUI.aspx?menuIndex=3&amp;refID=7038222&amp;Result=3","7038222")</f>
        <v>0</v>
      </c>
      <c r="B12946" t="s">
        <v>1027</v>
      </c>
      <c r="C12946" t="s">
        <v>15819</v>
      </c>
      <c r="D12946" t="s">
        <v>18790</v>
      </c>
      <c r="E12946" t="s">
        <v>30013</v>
      </c>
      <c r="F12946" t="s">
        <v>32664</v>
      </c>
      <c r="G12946" t="s">
        <v>32672</v>
      </c>
      <c r="H12946" t="s">
        <v>12635</v>
      </c>
      <c r="I12946" t="s">
        <v>9486</v>
      </c>
      <c r="J12946" t="s">
        <v>32930</v>
      </c>
      <c r="K12946" t="s">
        <v>42283</v>
      </c>
      <c r="M12946" t="s">
        <v>43639</v>
      </c>
      <c r="N12946" t="s">
        <v>46569</v>
      </c>
      <c r="O12946" t="s">
        <v>46570</v>
      </c>
      <c r="P12946">
        <v>0</v>
      </c>
      <c r="Q12946">
        <v>6</v>
      </c>
      <c r="R12946" t="s">
        <v>46585</v>
      </c>
      <c r="S12946" t="s">
        <v>47146</v>
      </c>
      <c r="T12946" t="s">
        <v>48263</v>
      </c>
      <c r="U12946" t="s">
        <v>59156</v>
      </c>
      <c r="W12946" t="s">
        <v>43639</v>
      </c>
      <c r="X12946" t="s">
        <v>46586</v>
      </c>
    </row>
    <row r="12947" spans="1:24">
      <c r="A12947">
        <f>HYPERLINK("https://www.philgeps.gov.ph/GEPSNONPILOT/Tender/SplashBidNoticeAbstractUI.aspx?menuIndex=3&amp;refID=7043126&amp;Result=3","7043126")</f>
        <v>0</v>
      </c>
      <c r="B12947" t="s">
        <v>131</v>
      </c>
      <c r="C12947" t="s">
        <v>15820</v>
      </c>
      <c r="D12947" t="s">
        <v>18829</v>
      </c>
      <c r="E12947" t="s">
        <v>30014</v>
      </c>
      <c r="F12947" t="s">
        <v>32666</v>
      </c>
      <c r="G12947" t="s">
        <v>32672</v>
      </c>
      <c r="H12947" t="s">
        <v>12635</v>
      </c>
      <c r="I12947" t="s">
        <v>4439</v>
      </c>
      <c r="J12947" t="s">
        <v>40463</v>
      </c>
      <c r="K12947" t="s">
        <v>42297</v>
      </c>
      <c r="M12947" t="s">
        <v>42695</v>
      </c>
      <c r="N12947" t="s">
        <v>46569</v>
      </c>
      <c r="O12947" t="s">
        <v>46570</v>
      </c>
      <c r="P12947">
        <v>0</v>
      </c>
      <c r="Q12947">
        <v>0</v>
      </c>
      <c r="R12947" t="s">
        <v>46584</v>
      </c>
      <c r="S12947" t="s">
        <v>47063</v>
      </c>
      <c r="T12947" t="s">
        <v>48307</v>
      </c>
      <c r="U12947" t="s">
        <v>59157</v>
      </c>
      <c r="W12947" t="s">
        <v>42695</v>
      </c>
      <c r="X12947" t="s">
        <v>46585</v>
      </c>
    </row>
    <row r="12948" spans="1:24">
      <c r="A12948">
        <f>HYPERLINK("https://www.philgeps.gov.ph/GEPSNONPILOT/Tender/SplashBidNoticeAbstractUI.aspx?menuIndex=3&amp;refID=7038199&amp;Result=3","7038199")</f>
        <v>0</v>
      </c>
      <c r="B12948" t="s">
        <v>2468</v>
      </c>
      <c r="C12948" t="s">
        <v>15821</v>
      </c>
      <c r="E12948" t="s">
        <v>30015</v>
      </c>
      <c r="F12948" t="s">
        <v>32664</v>
      </c>
      <c r="G12948" t="s">
        <v>32672</v>
      </c>
      <c r="H12948" t="s">
        <v>12635</v>
      </c>
      <c r="I12948" t="s">
        <v>11464</v>
      </c>
      <c r="J12948" t="s">
        <v>40464</v>
      </c>
      <c r="K12948" t="s">
        <v>42283</v>
      </c>
      <c r="M12948" t="s">
        <v>46205</v>
      </c>
      <c r="N12948" t="s">
        <v>46569</v>
      </c>
      <c r="O12948" t="s">
        <v>46570</v>
      </c>
      <c r="P12948">
        <v>0</v>
      </c>
      <c r="Q12948">
        <v>5</v>
      </c>
      <c r="R12948" t="s">
        <v>46585</v>
      </c>
      <c r="S12948" t="s">
        <v>47146</v>
      </c>
      <c r="T12948" t="s">
        <v>48279</v>
      </c>
      <c r="U12948" t="s">
        <v>59158</v>
      </c>
      <c r="W12948" t="s">
        <v>46205</v>
      </c>
      <c r="X12948" t="s">
        <v>46586</v>
      </c>
    </row>
    <row r="12949" spans="1:24">
      <c r="A12949">
        <f>HYPERLINK("https://www.philgeps.gov.ph/GEPSNONPILOT/Tender/SplashBidNoticeAbstractUI.aspx?menuIndex=3&amp;refID=7041822&amp;Result=3","7041822")</f>
        <v>0</v>
      </c>
      <c r="B12949" t="s">
        <v>3229</v>
      </c>
      <c r="C12949" t="s">
        <v>5193</v>
      </c>
      <c r="D12949" t="s">
        <v>18802</v>
      </c>
      <c r="E12949" t="s">
        <v>29746</v>
      </c>
      <c r="F12949" t="s">
        <v>32664</v>
      </c>
      <c r="G12949" t="s">
        <v>32672</v>
      </c>
      <c r="H12949" t="s">
        <v>12635</v>
      </c>
      <c r="I12949" t="s">
        <v>6168</v>
      </c>
      <c r="J12949" t="s">
        <v>40465</v>
      </c>
      <c r="K12949" t="s">
        <v>42284</v>
      </c>
      <c r="M12949" t="s">
        <v>46150</v>
      </c>
      <c r="N12949" t="s">
        <v>46569</v>
      </c>
      <c r="O12949" t="s">
        <v>46570</v>
      </c>
      <c r="P12949">
        <v>0</v>
      </c>
      <c r="Q12949">
        <v>3</v>
      </c>
      <c r="R12949" t="s">
        <v>46584</v>
      </c>
      <c r="S12949" t="s">
        <v>47063</v>
      </c>
      <c r="T12949" t="s">
        <v>48268</v>
      </c>
      <c r="U12949" t="s">
        <v>59159</v>
      </c>
      <c r="W12949" t="s">
        <v>46150</v>
      </c>
      <c r="X12949" t="s">
        <v>46585</v>
      </c>
    </row>
    <row r="12950" spans="1:24">
      <c r="A12950">
        <f>HYPERLINK("https://www.philgeps.gov.ph/GEPSNONPILOT/Tender/SplashBidNoticeAbstractUI.aspx?menuIndex=3&amp;refID=7038171&amp;Result=3","7038171")</f>
        <v>0</v>
      </c>
      <c r="B12950" t="s">
        <v>2449</v>
      </c>
      <c r="C12950" t="s">
        <v>15822</v>
      </c>
      <c r="D12950" t="s">
        <v>18806</v>
      </c>
      <c r="E12950" t="s">
        <v>21424</v>
      </c>
      <c r="F12950" t="s">
        <v>32664</v>
      </c>
      <c r="G12950" t="s">
        <v>32672</v>
      </c>
      <c r="H12950" t="s">
        <v>12635</v>
      </c>
      <c r="I12950" t="s">
        <v>10370</v>
      </c>
      <c r="J12950" t="s">
        <v>40466</v>
      </c>
      <c r="K12950" t="s">
        <v>42289</v>
      </c>
      <c r="M12950" t="s">
        <v>45243</v>
      </c>
      <c r="N12950" t="s">
        <v>46569</v>
      </c>
      <c r="O12950" t="s">
        <v>46570</v>
      </c>
      <c r="Q12950">
        <v>8</v>
      </c>
      <c r="R12950" t="s">
        <v>46585</v>
      </c>
      <c r="S12950" t="s">
        <v>47166</v>
      </c>
      <c r="T12950" t="s">
        <v>48456</v>
      </c>
      <c r="U12950" t="s">
        <v>59160</v>
      </c>
      <c r="W12950" t="s">
        <v>45243</v>
      </c>
      <c r="X12950" t="s">
        <v>46586</v>
      </c>
    </row>
    <row r="12951" spans="1:24">
      <c r="A12951">
        <f>HYPERLINK("https://www.philgeps.gov.ph/GEPSNONPILOT/Tender/SplashBidNoticeAbstractUI.aspx?menuIndex=3&amp;refID=7038168&amp;Result=3","7038168")</f>
        <v>0</v>
      </c>
      <c r="B12951" t="s">
        <v>3270</v>
      </c>
      <c r="C12951" t="s">
        <v>15823</v>
      </c>
      <c r="D12951" t="s">
        <v>18822</v>
      </c>
      <c r="E12951" t="s">
        <v>19380</v>
      </c>
      <c r="F12951" t="s">
        <v>32664</v>
      </c>
      <c r="G12951" t="s">
        <v>32672</v>
      </c>
      <c r="H12951" t="s">
        <v>12635</v>
      </c>
      <c r="I12951" t="s">
        <v>4439</v>
      </c>
      <c r="J12951" t="s">
        <v>40467</v>
      </c>
      <c r="K12951" t="s">
        <v>42281</v>
      </c>
      <c r="M12951" t="s">
        <v>46206</v>
      </c>
      <c r="N12951" t="s">
        <v>46569</v>
      </c>
      <c r="O12951" t="s">
        <v>46570</v>
      </c>
      <c r="P12951">
        <v>0</v>
      </c>
      <c r="Q12951">
        <v>6</v>
      </c>
      <c r="R12951" t="s">
        <v>46585</v>
      </c>
      <c r="S12951" t="s">
        <v>47146</v>
      </c>
      <c r="T12951" t="s">
        <v>48249</v>
      </c>
      <c r="U12951" t="s">
        <v>59161</v>
      </c>
      <c r="W12951" t="s">
        <v>46206</v>
      </c>
      <c r="X12951" t="s">
        <v>46586</v>
      </c>
    </row>
    <row r="12952" spans="1:24">
      <c r="A12952">
        <f>HYPERLINK("https://www.philgeps.gov.ph/GEPSNONPILOT/Tender/SplashBidNoticeAbstractUI.aspx?menuIndex=3&amp;refID=7038067&amp;Result=3","7038067")</f>
        <v>0</v>
      </c>
      <c r="B12952" t="s">
        <v>3271</v>
      </c>
      <c r="C12952" t="s">
        <v>15824</v>
      </c>
      <c r="D12952" t="s">
        <v>18797</v>
      </c>
      <c r="E12952" t="s">
        <v>21047</v>
      </c>
      <c r="F12952" t="s">
        <v>32665</v>
      </c>
      <c r="G12952" t="s">
        <v>32672</v>
      </c>
      <c r="H12952" t="s">
        <v>12635</v>
      </c>
      <c r="I12952" t="s">
        <v>4439</v>
      </c>
      <c r="J12952" t="s">
        <v>40468</v>
      </c>
      <c r="K12952" t="s">
        <v>42284</v>
      </c>
      <c r="M12952" t="s">
        <v>46207</v>
      </c>
      <c r="N12952" t="s">
        <v>46569</v>
      </c>
      <c r="O12952" t="s">
        <v>46570</v>
      </c>
      <c r="P12952">
        <v>0</v>
      </c>
      <c r="Q12952">
        <v>8</v>
      </c>
      <c r="R12952" t="s">
        <v>46585</v>
      </c>
      <c r="S12952" t="s">
        <v>47146</v>
      </c>
      <c r="T12952" t="s">
        <v>48278</v>
      </c>
      <c r="U12952" t="s">
        <v>59162</v>
      </c>
      <c r="V12952" t="s">
        <v>50671</v>
      </c>
      <c r="W12952" t="s">
        <v>46207</v>
      </c>
      <c r="X12952" t="s">
        <v>46587</v>
      </c>
    </row>
    <row r="12953" spans="1:24">
      <c r="A12953">
        <f>HYPERLINK("https://www.philgeps.gov.ph/GEPSNONPILOT/Tender/SplashBidNoticeAbstractUI.aspx?menuIndex=3&amp;refID=7037940&amp;Result=3","7037940")</f>
        <v>0</v>
      </c>
      <c r="B12953" t="s">
        <v>3172</v>
      </c>
      <c r="C12953" t="s">
        <v>15825</v>
      </c>
      <c r="D12953" t="s">
        <v>18816</v>
      </c>
      <c r="E12953" t="s">
        <v>30016</v>
      </c>
      <c r="F12953" t="s">
        <v>32664</v>
      </c>
      <c r="G12953" t="s">
        <v>32672</v>
      </c>
      <c r="H12953" t="s">
        <v>32683</v>
      </c>
      <c r="I12953" t="s">
        <v>10627</v>
      </c>
      <c r="J12953" t="s">
        <v>40469</v>
      </c>
      <c r="K12953" t="s">
        <v>42281</v>
      </c>
      <c r="M12953" t="s">
        <v>46080</v>
      </c>
      <c r="N12953" t="s">
        <v>46569</v>
      </c>
      <c r="O12953" t="s">
        <v>46570</v>
      </c>
      <c r="Q12953">
        <v>0</v>
      </c>
      <c r="R12953" t="s">
        <v>46585</v>
      </c>
      <c r="S12953" t="s">
        <v>47167</v>
      </c>
      <c r="T12953" t="s">
        <v>48283</v>
      </c>
      <c r="U12953" t="s">
        <v>58628</v>
      </c>
      <c r="W12953" t="s">
        <v>46080</v>
      </c>
      <c r="X12953" t="s">
        <v>46587</v>
      </c>
    </row>
    <row r="12954" spans="1:24">
      <c r="A12954">
        <f>HYPERLINK("https://www.philgeps.gov.ph/GEPSNONPILOT/Tender/SplashBidNoticeAbstractUI.aspx?menuIndex=3&amp;refID=7038205&amp;Result=3","7038205")</f>
        <v>0</v>
      </c>
      <c r="B12954" t="s">
        <v>1134</v>
      </c>
      <c r="C12954" t="s">
        <v>15826</v>
      </c>
      <c r="D12954" t="s">
        <v>18844</v>
      </c>
      <c r="E12954" t="s">
        <v>30017</v>
      </c>
      <c r="F12954" t="s">
        <v>32664</v>
      </c>
      <c r="G12954" t="s">
        <v>32672</v>
      </c>
      <c r="H12954" t="s">
        <v>32683</v>
      </c>
      <c r="I12954" t="s">
        <v>10627</v>
      </c>
      <c r="J12954" t="s">
        <v>40470</v>
      </c>
      <c r="K12954" t="s">
        <v>42285</v>
      </c>
      <c r="M12954" t="s">
        <v>43763</v>
      </c>
      <c r="N12954" t="s">
        <v>46569</v>
      </c>
      <c r="O12954" t="s">
        <v>46570</v>
      </c>
      <c r="P12954">
        <v>0</v>
      </c>
      <c r="Q12954">
        <v>1</v>
      </c>
      <c r="R12954" t="s">
        <v>46585</v>
      </c>
      <c r="S12954" t="s">
        <v>47146</v>
      </c>
      <c r="T12954" t="s">
        <v>48244</v>
      </c>
      <c r="U12954" t="s">
        <v>59163</v>
      </c>
      <c r="W12954" t="s">
        <v>43763</v>
      </c>
      <c r="X12954" t="s">
        <v>46586</v>
      </c>
    </row>
    <row r="12955" spans="1:24">
      <c r="A12955">
        <f>HYPERLINK("https://www.philgeps.gov.ph/GEPSNONPILOT/Tender/SplashBidNoticeAbstractUI.aspx?menuIndex=3&amp;refID=7038208&amp;Result=3","7038208")</f>
        <v>0</v>
      </c>
      <c r="B12955" t="s">
        <v>2468</v>
      </c>
      <c r="C12955" t="s">
        <v>15827</v>
      </c>
      <c r="E12955" t="s">
        <v>30018</v>
      </c>
      <c r="F12955" t="s">
        <v>32664</v>
      </c>
      <c r="G12955" t="s">
        <v>32672</v>
      </c>
      <c r="H12955" t="s">
        <v>12635</v>
      </c>
      <c r="I12955" t="s">
        <v>11464</v>
      </c>
      <c r="J12955" t="s">
        <v>40471</v>
      </c>
      <c r="K12955" t="s">
        <v>42283</v>
      </c>
      <c r="M12955" t="s">
        <v>46205</v>
      </c>
      <c r="N12955" t="s">
        <v>46569</v>
      </c>
      <c r="O12955" t="s">
        <v>46570</v>
      </c>
      <c r="P12955">
        <v>0</v>
      </c>
      <c r="Q12955">
        <v>4</v>
      </c>
      <c r="R12955" t="s">
        <v>46585</v>
      </c>
      <c r="S12955" t="s">
        <v>47146</v>
      </c>
      <c r="T12955" t="s">
        <v>48279</v>
      </c>
      <c r="U12955" t="s">
        <v>59164</v>
      </c>
      <c r="W12955" t="s">
        <v>46205</v>
      </c>
      <c r="X12955" t="s">
        <v>46586</v>
      </c>
    </row>
    <row r="12956" spans="1:24">
      <c r="A12956">
        <f>HYPERLINK("https://www.philgeps.gov.ph/GEPSNONPILOT/Tender/SplashBidNoticeAbstractUI.aspx?menuIndex=3&amp;refID=7038152&amp;Result=3","7038152")</f>
        <v>0</v>
      </c>
      <c r="B12956" t="s">
        <v>3272</v>
      </c>
      <c r="C12956" t="s">
        <v>15828</v>
      </c>
      <c r="D12956" t="s">
        <v>18793</v>
      </c>
      <c r="E12956" t="s">
        <v>30019</v>
      </c>
      <c r="F12956" t="s">
        <v>32664</v>
      </c>
      <c r="G12956" t="s">
        <v>32672</v>
      </c>
      <c r="H12956" t="s">
        <v>32683</v>
      </c>
      <c r="I12956" t="s">
        <v>10627</v>
      </c>
      <c r="J12956" t="s">
        <v>33051</v>
      </c>
      <c r="K12956" t="s">
        <v>42281</v>
      </c>
      <c r="M12956" t="s">
        <v>46208</v>
      </c>
      <c r="N12956" t="s">
        <v>46569</v>
      </c>
      <c r="O12956" t="s">
        <v>46570</v>
      </c>
      <c r="P12956">
        <v>0</v>
      </c>
      <c r="Q12956">
        <v>1</v>
      </c>
      <c r="R12956" t="s">
        <v>46585</v>
      </c>
      <c r="S12956" t="s">
        <v>47146</v>
      </c>
      <c r="T12956" t="s">
        <v>48305</v>
      </c>
      <c r="U12956" t="s">
        <v>59165</v>
      </c>
      <c r="W12956" t="s">
        <v>46208</v>
      </c>
      <c r="X12956" t="s">
        <v>46587</v>
      </c>
    </row>
    <row r="12957" spans="1:24">
      <c r="A12957">
        <f>HYPERLINK("https://www.philgeps.gov.ph/GEPSNONPILOT/Tender/SplashBidNoticeAbstractUI.aspx?menuIndex=3&amp;refID=7038001&amp;Result=3","7038001")</f>
        <v>0</v>
      </c>
      <c r="B12957" t="s">
        <v>3271</v>
      </c>
      <c r="C12957" t="s">
        <v>15829</v>
      </c>
      <c r="D12957" t="s">
        <v>18797</v>
      </c>
      <c r="E12957" t="s">
        <v>19681</v>
      </c>
      <c r="F12957" t="s">
        <v>32667</v>
      </c>
      <c r="G12957" t="s">
        <v>32672</v>
      </c>
      <c r="H12957" t="s">
        <v>12635</v>
      </c>
      <c r="I12957" t="s">
        <v>4439</v>
      </c>
      <c r="J12957" t="s">
        <v>40472</v>
      </c>
      <c r="K12957" t="s">
        <v>42284</v>
      </c>
      <c r="M12957" t="s">
        <v>46207</v>
      </c>
      <c r="N12957" t="s">
        <v>46569</v>
      </c>
      <c r="O12957" t="s">
        <v>46570</v>
      </c>
      <c r="P12957">
        <v>0</v>
      </c>
      <c r="Q12957">
        <v>2</v>
      </c>
      <c r="R12957" t="s">
        <v>46585</v>
      </c>
      <c r="S12957" t="s">
        <v>47146</v>
      </c>
      <c r="T12957" t="s">
        <v>48449</v>
      </c>
      <c r="U12957" t="s">
        <v>59162</v>
      </c>
      <c r="W12957" t="s">
        <v>46207</v>
      </c>
      <c r="X12957" t="s">
        <v>46587</v>
      </c>
    </row>
    <row r="12958" spans="1:24">
      <c r="A12958">
        <f>HYPERLINK("https://www.philgeps.gov.ph/GEPSNONPILOT/Tender/SplashBidNoticeAbstractUI.aspx?menuIndex=3&amp;refID=7037685&amp;Result=3","7037685")</f>
        <v>0</v>
      </c>
      <c r="B12958" t="s">
        <v>1028</v>
      </c>
      <c r="C12958" t="s">
        <v>15830</v>
      </c>
      <c r="D12958" t="s">
        <v>18805</v>
      </c>
      <c r="E12958" t="s">
        <v>30020</v>
      </c>
      <c r="F12958" t="s">
        <v>32664</v>
      </c>
      <c r="G12958" t="s">
        <v>32672</v>
      </c>
      <c r="H12958" t="s">
        <v>12635</v>
      </c>
      <c r="I12958" t="s">
        <v>32717</v>
      </c>
      <c r="J12958" t="s">
        <v>34487</v>
      </c>
      <c r="K12958" t="s">
        <v>42303</v>
      </c>
      <c r="M12958" t="s">
        <v>43640</v>
      </c>
      <c r="N12958" t="s">
        <v>46569</v>
      </c>
      <c r="O12958" t="s">
        <v>46570</v>
      </c>
      <c r="Q12958">
        <v>7</v>
      </c>
      <c r="R12958" t="s">
        <v>46585</v>
      </c>
      <c r="S12958" t="s">
        <v>47168</v>
      </c>
      <c r="T12958" t="s">
        <v>48334</v>
      </c>
      <c r="U12958" t="s">
        <v>56138</v>
      </c>
      <c r="W12958" t="s">
        <v>63503</v>
      </c>
      <c r="X12958" t="s">
        <v>46587</v>
      </c>
    </row>
    <row r="12959" spans="1:24">
      <c r="A12959">
        <f>HYPERLINK("https://www.philgeps.gov.ph/GEPSNONPILOT/Tender/SplashBidNoticeAbstractUI.aspx?menuIndex=3&amp;refID=7037727&amp;Result=3","7037727")</f>
        <v>0</v>
      </c>
      <c r="B12959" t="s">
        <v>1028</v>
      </c>
      <c r="C12959" t="s">
        <v>15831</v>
      </c>
      <c r="D12959" t="s">
        <v>18805</v>
      </c>
      <c r="E12959" t="s">
        <v>30021</v>
      </c>
      <c r="F12959" t="s">
        <v>32664</v>
      </c>
      <c r="G12959" t="s">
        <v>32672</v>
      </c>
      <c r="H12959" t="s">
        <v>12635</v>
      </c>
      <c r="I12959" t="s">
        <v>32689</v>
      </c>
      <c r="J12959" t="s">
        <v>40473</v>
      </c>
      <c r="K12959" t="s">
        <v>42298</v>
      </c>
      <c r="M12959" t="s">
        <v>43640</v>
      </c>
      <c r="N12959" t="s">
        <v>46569</v>
      </c>
      <c r="O12959" t="s">
        <v>46570</v>
      </c>
      <c r="Q12959">
        <v>5</v>
      </c>
      <c r="R12959" t="s">
        <v>46585</v>
      </c>
      <c r="S12959" t="s">
        <v>47169</v>
      </c>
      <c r="T12959" t="s">
        <v>48334</v>
      </c>
      <c r="U12959" t="s">
        <v>56138</v>
      </c>
      <c r="W12959" t="s">
        <v>63503</v>
      </c>
      <c r="X12959" t="s">
        <v>46587</v>
      </c>
    </row>
    <row r="12960" spans="1:24">
      <c r="A12960">
        <f>HYPERLINK("https://www.philgeps.gov.ph/GEPSNONPILOT/Tender/SplashBidNoticeAbstractUI.aspx?menuIndex=3&amp;refID=7037745&amp;Result=3","7037745")</f>
        <v>0</v>
      </c>
      <c r="B12960" t="s">
        <v>1028</v>
      </c>
      <c r="C12960" t="s">
        <v>15832</v>
      </c>
      <c r="D12960" t="s">
        <v>18805</v>
      </c>
      <c r="E12960" t="s">
        <v>30022</v>
      </c>
      <c r="F12960" t="s">
        <v>32664</v>
      </c>
      <c r="G12960" t="s">
        <v>32672</v>
      </c>
      <c r="H12960" t="s">
        <v>12635</v>
      </c>
      <c r="I12960" t="s">
        <v>32686</v>
      </c>
      <c r="J12960" t="s">
        <v>40474</v>
      </c>
      <c r="K12960" t="s">
        <v>42303</v>
      </c>
      <c r="M12960" t="s">
        <v>43640</v>
      </c>
      <c r="N12960" t="s">
        <v>46569</v>
      </c>
      <c r="O12960" t="s">
        <v>46570</v>
      </c>
      <c r="Q12960">
        <v>3</v>
      </c>
      <c r="R12960" t="s">
        <v>46585</v>
      </c>
      <c r="S12960" t="s">
        <v>47170</v>
      </c>
      <c r="T12960" t="s">
        <v>48334</v>
      </c>
      <c r="U12960" t="s">
        <v>56138</v>
      </c>
      <c r="W12960" t="s">
        <v>63503</v>
      </c>
      <c r="X12960" t="s">
        <v>46587</v>
      </c>
    </row>
    <row r="12961" spans="1:24">
      <c r="A12961">
        <f>HYPERLINK("https://www.philgeps.gov.ph/GEPSNONPILOT/Tender/SplashBidNoticeAbstractUI.aspx?menuIndex=3&amp;refID=7038355&amp;Result=3","7038355")</f>
        <v>0</v>
      </c>
      <c r="B12961" t="s">
        <v>76</v>
      </c>
      <c r="C12961" t="s">
        <v>15833</v>
      </c>
      <c r="D12961" t="s">
        <v>18781</v>
      </c>
      <c r="E12961" t="s">
        <v>30023</v>
      </c>
      <c r="F12961" t="s">
        <v>32664</v>
      </c>
      <c r="G12961" t="s">
        <v>32672</v>
      </c>
      <c r="H12961" t="s">
        <v>32683</v>
      </c>
      <c r="I12961" t="s">
        <v>10627</v>
      </c>
      <c r="J12961" t="s">
        <v>40475</v>
      </c>
      <c r="K12961" t="s">
        <v>42298</v>
      </c>
      <c r="M12961" t="s">
        <v>42639</v>
      </c>
      <c r="N12961" t="s">
        <v>46569</v>
      </c>
      <c r="O12961" t="s">
        <v>46570</v>
      </c>
      <c r="P12961">
        <v>0</v>
      </c>
      <c r="Q12961">
        <v>0</v>
      </c>
      <c r="R12961" t="s">
        <v>46585</v>
      </c>
      <c r="S12961" t="s">
        <v>47146</v>
      </c>
      <c r="T12961" t="s">
        <v>48296</v>
      </c>
      <c r="U12961" t="s">
        <v>59166</v>
      </c>
      <c r="W12961" t="s">
        <v>42639</v>
      </c>
      <c r="X12961" t="s">
        <v>46586</v>
      </c>
    </row>
    <row r="12962" spans="1:24">
      <c r="A12962">
        <f>HYPERLINK("https://www.philgeps.gov.ph/GEPSNONPILOT/Tender/SplashBidNoticeAbstractUI.aspx?menuIndex=3&amp;refID=7038230&amp;Result=3","7038230")</f>
        <v>0</v>
      </c>
      <c r="B12962" t="s">
        <v>2468</v>
      </c>
      <c r="C12962" t="s">
        <v>15834</v>
      </c>
      <c r="E12962" t="s">
        <v>30024</v>
      </c>
      <c r="F12962" t="s">
        <v>32664</v>
      </c>
      <c r="G12962" t="s">
        <v>32672</v>
      </c>
      <c r="H12962" t="s">
        <v>12635</v>
      </c>
      <c r="I12962" t="s">
        <v>6628</v>
      </c>
      <c r="J12962" t="s">
        <v>40476</v>
      </c>
      <c r="K12962" t="s">
        <v>42283</v>
      </c>
      <c r="M12962" t="s">
        <v>46205</v>
      </c>
      <c r="N12962" t="s">
        <v>46569</v>
      </c>
      <c r="O12962" t="s">
        <v>46570</v>
      </c>
      <c r="P12962">
        <v>0</v>
      </c>
      <c r="Q12962">
        <v>4</v>
      </c>
      <c r="R12962" t="s">
        <v>46585</v>
      </c>
      <c r="S12962" t="s">
        <v>47146</v>
      </c>
      <c r="T12962" t="s">
        <v>48279</v>
      </c>
      <c r="U12962" t="s">
        <v>59167</v>
      </c>
      <c r="W12962" t="s">
        <v>46205</v>
      </c>
      <c r="X12962" t="s">
        <v>46586</v>
      </c>
    </row>
    <row r="12963" spans="1:24">
      <c r="A12963">
        <f>HYPERLINK("https://www.philgeps.gov.ph/GEPSNONPILOT/Tender/SplashBidNoticeAbstractUI.aspx?menuIndex=3&amp;refID=7037931&amp;Result=3","7037931")</f>
        <v>0</v>
      </c>
      <c r="B12963" t="s">
        <v>3172</v>
      </c>
      <c r="C12963" t="s">
        <v>15835</v>
      </c>
      <c r="D12963" t="s">
        <v>18816</v>
      </c>
      <c r="E12963" t="s">
        <v>30025</v>
      </c>
      <c r="F12963" t="s">
        <v>32664</v>
      </c>
      <c r="G12963" t="s">
        <v>32672</v>
      </c>
      <c r="H12963" t="s">
        <v>32683</v>
      </c>
      <c r="I12963" t="s">
        <v>10627</v>
      </c>
      <c r="J12963" t="s">
        <v>32930</v>
      </c>
      <c r="K12963" t="s">
        <v>42337</v>
      </c>
      <c r="M12963" t="s">
        <v>46080</v>
      </c>
      <c r="N12963" t="s">
        <v>46569</v>
      </c>
      <c r="O12963" t="s">
        <v>46570</v>
      </c>
      <c r="P12963">
        <v>0</v>
      </c>
      <c r="Q12963">
        <v>0</v>
      </c>
      <c r="R12963" t="s">
        <v>46585</v>
      </c>
      <c r="S12963" t="s">
        <v>47146</v>
      </c>
      <c r="T12963" t="s">
        <v>48283</v>
      </c>
      <c r="U12963" t="s">
        <v>58628</v>
      </c>
      <c r="W12963" t="s">
        <v>46080</v>
      </c>
      <c r="X12963" t="s">
        <v>46587</v>
      </c>
    </row>
    <row r="12964" spans="1:24">
      <c r="A12964">
        <f>HYPERLINK("https://www.philgeps.gov.ph/GEPSNONPILOT/Tender/SplashBidNoticeAbstractUI.aspx?menuIndex=3&amp;refID=7038335&amp;Result=3","7038335")</f>
        <v>0</v>
      </c>
      <c r="B12964" t="s">
        <v>76</v>
      </c>
      <c r="C12964" t="s">
        <v>15836</v>
      </c>
      <c r="D12964" t="s">
        <v>18781</v>
      </c>
      <c r="E12964" t="s">
        <v>30026</v>
      </c>
      <c r="F12964" t="s">
        <v>32664</v>
      </c>
      <c r="G12964" t="s">
        <v>32672</v>
      </c>
      <c r="H12964" t="s">
        <v>32683</v>
      </c>
      <c r="I12964" t="s">
        <v>10627</v>
      </c>
      <c r="J12964" t="s">
        <v>40477</v>
      </c>
      <c r="K12964" t="s">
        <v>42290</v>
      </c>
      <c r="M12964" t="s">
        <v>42639</v>
      </c>
      <c r="N12964" t="s">
        <v>46569</v>
      </c>
      <c r="O12964" t="s">
        <v>46570</v>
      </c>
      <c r="Q12964">
        <v>2</v>
      </c>
      <c r="R12964" t="s">
        <v>46585</v>
      </c>
      <c r="S12964" t="s">
        <v>46863</v>
      </c>
      <c r="T12964" t="s">
        <v>48296</v>
      </c>
      <c r="U12964" t="s">
        <v>59168</v>
      </c>
      <c r="W12964" t="s">
        <v>42639</v>
      </c>
      <c r="X12964" t="s">
        <v>46586</v>
      </c>
    </row>
    <row r="12965" spans="1:24">
      <c r="A12965">
        <f>HYPERLINK("https://www.philgeps.gov.ph/GEPSNONPILOT/Tender/SplashBidNoticeAbstractUI.aspx?menuIndex=3&amp;refID=7038331&amp;Result=3","7038331")</f>
        <v>0</v>
      </c>
      <c r="B12965" t="s">
        <v>3273</v>
      </c>
      <c r="C12965" t="s">
        <v>15837</v>
      </c>
      <c r="D12965" t="s">
        <v>18782</v>
      </c>
      <c r="E12965" t="s">
        <v>30027</v>
      </c>
      <c r="F12965" t="s">
        <v>32664</v>
      </c>
      <c r="G12965" t="s">
        <v>32672</v>
      </c>
      <c r="H12965" t="s">
        <v>12635</v>
      </c>
      <c r="I12965" t="s">
        <v>11464</v>
      </c>
      <c r="J12965" t="s">
        <v>32974</v>
      </c>
      <c r="K12965" t="s">
        <v>42298</v>
      </c>
      <c r="M12965" t="s">
        <v>46209</v>
      </c>
      <c r="N12965" t="s">
        <v>46569</v>
      </c>
      <c r="O12965" t="s">
        <v>46570</v>
      </c>
      <c r="P12965">
        <v>0</v>
      </c>
      <c r="Q12965">
        <v>1</v>
      </c>
      <c r="R12965" t="s">
        <v>46585</v>
      </c>
      <c r="S12965" t="s">
        <v>47146</v>
      </c>
      <c r="T12965" t="s">
        <v>48598</v>
      </c>
      <c r="U12965" t="s">
        <v>59169</v>
      </c>
      <c r="W12965" t="s">
        <v>46209</v>
      </c>
      <c r="X12965" t="s">
        <v>46586</v>
      </c>
    </row>
    <row r="12966" spans="1:24">
      <c r="A12966">
        <f>HYPERLINK("https://www.philgeps.gov.ph/GEPSNONPILOT/Tender/SplashBidNoticeAbstractUI.aspx?menuIndex=3&amp;refID=7038342&amp;Result=3","7038342")</f>
        <v>0</v>
      </c>
      <c r="B12966" t="s">
        <v>2202</v>
      </c>
      <c r="C12966" t="s">
        <v>15838</v>
      </c>
      <c r="D12966" t="s">
        <v>18844</v>
      </c>
      <c r="E12966" t="s">
        <v>30028</v>
      </c>
      <c r="F12966" t="s">
        <v>32664</v>
      </c>
      <c r="G12966" t="s">
        <v>32672</v>
      </c>
      <c r="H12966" t="s">
        <v>12635</v>
      </c>
      <c r="I12966" t="s">
        <v>8730</v>
      </c>
      <c r="J12966" t="s">
        <v>40478</v>
      </c>
      <c r="K12966" t="s">
        <v>42303</v>
      </c>
      <c r="M12966" t="s">
        <v>44966</v>
      </c>
      <c r="N12966" t="s">
        <v>46569</v>
      </c>
      <c r="O12966" t="s">
        <v>46570</v>
      </c>
      <c r="P12966">
        <v>0</v>
      </c>
      <c r="Q12966">
        <v>3</v>
      </c>
      <c r="R12966" t="s">
        <v>46585</v>
      </c>
      <c r="S12966" t="s">
        <v>47146</v>
      </c>
      <c r="T12966" t="s">
        <v>48237</v>
      </c>
      <c r="U12966" t="s">
        <v>59170</v>
      </c>
      <c r="V12966" t="s">
        <v>62566</v>
      </c>
      <c r="W12966" t="s">
        <v>44966</v>
      </c>
      <c r="X12966" t="s">
        <v>46586</v>
      </c>
    </row>
    <row r="12967" spans="1:24">
      <c r="A12967">
        <f>HYPERLINK("https://www.philgeps.gov.ph/GEPSNONPILOT/Tender/SplashBidNoticeAbstractUI.aspx?menuIndex=3&amp;refID=7038354&amp;Result=3","7038354")</f>
        <v>0</v>
      </c>
      <c r="B12967" t="s">
        <v>2293</v>
      </c>
      <c r="C12967" t="s">
        <v>15839</v>
      </c>
      <c r="D12967" t="s">
        <v>18802</v>
      </c>
      <c r="E12967" t="s">
        <v>15839</v>
      </c>
      <c r="F12967" t="s">
        <v>32664</v>
      </c>
      <c r="G12967" t="s">
        <v>32672</v>
      </c>
      <c r="H12967" t="s">
        <v>32683</v>
      </c>
      <c r="I12967" t="s">
        <v>10627</v>
      </c>
      <c r="J12967" t="s">
        <v>40479</v>
      </c>
      <c r="K12967" t="s">
        <v>42349</v>
      </c>
      <c r="M12967" t="s">
        <v>45064</v>
      </c>
      <c r="N12967" t="s">
        <v>46569</v>
      </c>
      <c r="O12967" t="s">
        <v>46570</v>
      </c>
      <c r="P12967">
        <v>0</v>
      </c>
      <c r="Q12967">
        <v>0</v>
      </c>
      <c r="R12967" t="s">
        <v>46585</v>
      </c>
      <c r="S12967" t="s">
        <v>47146</v>
      </c>
      <c r="T12967" t="s">
        <v>48268</v>
      </c>
      <c r="U12967" t="s">
        <v>59171</v>
      </c>
      <c r="W12967" t="s">
        <v>45064</v>
      </c>
      <c r="X12967" t="s">
        <v>46586</v>
      </c>
    </row>
    <row r="12968" spans="1:24">
      <c r="A12968">
        <f>HYPERLINK("https://www.philgeps.gov.ph/GEPSNONPILOT/Tender/SplashBidNoticeAbstractUI.aspx?menuIndex=3&amp;refID=7038312&amp;Result=3","7038312")</f>
        <v>0</v>
      </c>
      <c r="B12968" t="s">
        <v>76</v>
      </c>
      <c r="C12968" t="s">
        <v>15840</v>
      </c>
      <c r="D12968" t="s">
        <v>18781</v>
      </c>
      <c r="E12968" t="s">
        <v>30029</v>
      </c>
      <c r="F12968" t="s">
        <v>32664</v>
      </c>
      <c r="G12968" t="s">
        <v>32672</v>
      </c>
      <c r="H12968" t="s">
        <v>32683</v>
      </c>
      <c r="I12968" t="s">
        <v>10627</v>
      </c>
      <c r="J12968" t="s">
        <v>40480</v>
      </c>
      <c r="K12968" t="s">
        <v>42298</v>
      </c>
      <c r="M12968" t="s">
        <v>42639</v>
      </c>
      <c r="N12968" t="s">
        <v>46569</v>
      </c>
      <c r="O12968" t="s">
        <v>46570</v>
      </c>
      <c r="P12968">
        <v>0</v>
      </c>
      <c r="Q12968">
        <v>0</v>
      </c>
      <c r="R12968" t="s">
        <v>46585</v>
      </c>
      <c r="S12968" t="s">
        <v>47146</v>
      </c>
      <c r="T12968" t="s">
        <v>48296</v>
      </c>
      <c r="U12968" t="s">
        <v>59172</v>
      </c>
      <c r="W12968" t="s">
        <v>42639</v>
      </c>
      <c r="X12968" t="s">
        <v>46586</v>
      </c>
    </row>
    <row r="12969" spans="1:24">
      <c r="A12969">
        <f>HYPERLINK("https://www.philgeps.gov.ph/GEPSNONPILOT/Tender/SplashBidNoticeAbstractUI.aspx?menuIndex=3&amp;refID=7038247&amp;Result=3","7038247")</f>
        <v>0</v>
      </c>
      <c r="B12969" t="s">
        <v>2468</v>
      </c>
      <c r="C12969" t="s">
        <v>15841</v>
      </c>
      <c r="E12969" t="s">
        <v>30030</v>
      </c>
      <c r="F12969" t="s">
        <v>32664</v>
      </c>
      <c r="G12969" t="s">
        <v>32672</v>
      </c>
      <c r="H12969" t="s">
        <v>12635</v>
      </c>
      <c r="I12969" t="s">
        <v>6628</v>
      </c>
      <c r="J12969" t="s">
        <v>40481</v>
      </c>
      <c r="K12969" t="s">
        <v>42283</v>
      </c>
      <c r="M12969" t="s">
        <v>46205</v>
      </c>
      <c r="N12969" t="s">
        <v>46569</v>
      </c>
      <c r="O12969" t="s">
        <v>46570</v>
      </c>
      <c r="P12969">
        <v>0</v>
      </c>
      <c r="Q12969">
        <v>12</v>
      </c>
      <c r="R12969" t="s">
        <v>46585</v>
      </c>
      <c r="S12969" t="s">
        <v>47146</v>
      </c>
      <c r="T12969" t="s">
        <v>48279</v>
      </c>
      <c r="U12969" t="s">
        <v>59173</v>
      </c>
      <c r="W12969" t="s">
        <v>46205</v>
      </c>
      <c r="X12969" t="s">
        <v>46586</v>
      </c>
    </row>
    <row r="12970" spans="1:24">
      <c r="A12970">
        <f>HYPERLINK("https://www.philgeps.gov.ph/GEPSNONPILOT/Tender/SplashBidNoticeAbstractUI.aspx?menuIndex=3&amp;refID=7038318&amp;Result=3","7038318")</f>
        <v>0</v>
      </c>
      <c r="B12970" t="s">
        <v>530</v>
      </c>
      <c r="C12970" t="s">
        <v>15842</v>
      </c>
      <c r="D12970" t="s">
        <v>18802</v>
      </c>
      <c r="E12970" t="s">
        <v>30031</v>
      </c>
      <c r="F12970" t="s">
        <v>32664</v>
      </c>
      <c r="G12970" t="s">
        <v>32672</v>
      </c>
      <c r="H12970" t="s">
        <v>32683</v>
      </c>
      <c r="I12970" t="s">
        <v>10627</v>
      </c>
      <c r="J12970" t="s">
        <v>40482</v>
      </c>
      <c r="K12970" t="s">
        <v>42343</v>
      </c>
      <c r="M12970" t="s">
        <v>43108</v>
      </c>
      <c r="N12970" t="s">
        <v>46569</v>
      </c>
      <c r="O12970" t="s">
        <v>46570</v>
      </c>
      <c r="P12970">
        <v>0</v>
      </c>
      <c r="Q12970">
        <v>1</v>
      </c>
      <c r="R12970" t="s">
        <v>46585</v>
      </c>
      <c r="S12970" t="s">
        <v>47146</v>
      </c>
      <c r="T12970" t="s">
        <v>48293</v>
      </c>
      <c r="U12970" t="s">
        <v>57746</v>
      </c>
      <c r="W12970" t="s">
        <v>43108</v>
      </c>
      <c r="X12970" t="s">
        <v>46586</v>
      </c>
    </row>
    <row r="12971" spans="1:24">
      <c r="A12971">
        <f>HYPERLINK("https://www.philgeps.gov.ph/GEPSNONPILOT/Tender/SplashBidNoticeAbstractUI.aspx?menuIndex=3&amp;refID=7038291&amp;Result=3","7038291")</f>
        <v>0</v>
      </c>
      <c r="B12971" t="s">
        <v>516</v>
      </c>
      <c r="C12971" t="s">
        <v>15843</v>
      </c>
      <c r="D12971" t="s">
        <v>18804</v>
      </c>
      <c r="E12971" t="s">
        <v>30032</v>
      </c>
      <c r="F12971" t="s">
        <v>32664</v>
      </c>
      <c r="G12971" t="s">
        <v>32672</v>
      </c>
      <c r="H12971" t="s">
        <v>32683</v>
      </c>
      <c r="I12971" t="s">
        <v>10627</v>
      </c>
      <c r="J12971" t="s">
        <v>33267</v>
      </c>
      <c r="K12971" t="s">
        <v>42298</v>
      </c>
      <c r="M12971" t="s">
        <v>43092</v>
      </c>
      <c r="N12971" t="s">
        <v>46569</v>
      </c>
      <c r="O12971" t="s">
        <v>46570</v>
      </c>
      <c r="P12971">
        <v>0</v>
      </c>
      <c r="Q12971">
        <v>0</v>
      </c>
      <c r="R12971" t="s">
        <v>46585</v>
      </c>
      <c r="S12971" t="s">
        <v>47146</v>
      </c>
      <c r="T12971" t="s">
        <v>48283</v>
      </c>
      <c r="U12971" t="s">
        <v>59174</v>
      </c>
      <c r="W12971" t="s">
        <v>43092</v>
      </c>
      <c r="X12971" t="s">
        <v>46586</v>
      </c>
    </row>
    <row r="12972" spans="1:24">
      <c r="A12972">
        <f>HYPERLINK("https://www.philgeps.gov.ph/GEPSNONPILOT/Tender/SplashBidNoticeAbstractUI.aspx?menuIndex=3&amp;refID=7038315&amp;Result=3","7038315")</f>
        <v>0</v>
      </c>
      <c r="B12972" t="s">
        <v>516</v>
      </c>
      <c r="C12972" t="s">
        <v>15844</v>
      </c>
      <c r="D12972" t="s">
        <v>18804</v>
      </c>
      <c r="E12972" t="s">
        <v>30033</v>
      </c>
      <c r="F12972" t="s">
        <v>32664</v>
      </c>
      <c r="G12972" t="s">
        <v>32672</v>
      </c>
      <c r="H12972" t="s">
        <v>12635</v>
      </c>
      <c r="I12972" t="s">
        <v>32699</v>
      </c>
      <c r="J12972" t="s">
        <v>32859</v>
      </c>
      <c r="K12972" t="s">
        <v>42281</v>
      </c>
      <c r="M12972" t="s">
        <v>43092</v>
      </c>
      <c r="N12972" t="s">
        <v>46569</v>
      </c>
      <c r="O12972" t="s">
        <v>46570</v>
      </c>
      <c r="P12972">
        <v>0</v>
      </c>
      <c r="Q12972">
        <v>1</v>
      </c>
      <c r="R12972" t="s">
        <v>46585</v>
      </c>
      <c r="S12972" t="s">
        <v>47146</v>
      </c>
      <c r="T12972" t="s">
        <v>48283</v>
      </c>
      <c r="U12972" t="s">
        <v>59175</v>
      </c>
      <c r="W12972" t="s">
        <v>43092</v>
      </c>
      <c r="X12972" t="s">
        <v>46586</v>
      </c>
    </row>
    <row r="12973" spans="1:24">
      <c r="A12973">
        <f>HYPERLINK("https://www.philgeps.gov.ph/GEPSNONPILOT/Tender/SplashBidNoticeAbstractUI.aspx?menuIndex=3&amp;refID=7038286&amp;Result=3","7038286")</f>
        <v>0</v>
      </c>
      <c r="B12973" t="s">
        <v>2468</v>
      </c>
      <c r="C12973" t="s">
        <v>15845</v>
      </c>
      <c r="E12973" t="s">
        <v>30034</v>
      </c>
      <c r="F12973" t="s">
        <v>32664</v>
      </c>
      <c r="G12973" t="s">
        <v>32672</v>
      </c>
      <c r="H12973" t="s">
        <v>12635</v>
      </c>
      <c r="I12973" t="s">
        <v>32695</v>
      </c>
      <c r="J12973" t="s">
        <v>40483</v>
      </c>
      <c r="K12973" t="s">
        <v>42283</v>
      </c>
      <c r="M12973" t="s">
        <v>46205</v>
      </c>
      <c r="N12973" t="s">
        <v>46569</v>
      </c>
      <c r="O12973" t="s">
        <v>46570</v>
      </c>
      <c r="P12973">
        <v>0</v>
      </c>
      <c r="Q12973">
        <v>11</v>
      </c>
      <c r="R12973" t="s">
        <v>46585</v>
      </c>
      <c r="S12973" t="s">
        <v>47146</v>
      </c>
      <c r="T12973" t="s">
        <v>48279</v>
      </c>
      <c r="U12973" t="s">
        <v>59176</v>
      </c>
      <c r="W12973" t="s">
        <v>46205</v>
      </c>
      <c r="X12973" t="s">
        <v>46586</v>
      </c>
    </row>
    <row r="12974" spans="1:24">
      <c r="A12974">
        <f>HYPERLINK("https://www.philgeps.gov.ph/GEPSNONPILOT/Tender/SplashBidNoticeAbstractUI.aspx?menuIndex=3&amp;refID=7038311&amp;Result=3","7038311")</f>
        <v>0</v>
      </c>
      <c r="B12974" t="s">
        <v>2881</v>
      </c>
      <c r="C12974" t="s">
        <v>15846</v>
      </c>
      <c r="D12974" t="s">
        <v>18820</v>
      </c>
      <c r="E12974" t="s">
        <v>30035</v>
      </c>
      <c r="F12974" t="s">
        <v>32664</v>
      </c>
      <c r="G12974" t="s">
        <v>32672</v>
      </c>
      <c r="H12974" t="s">
        <v>32683</v>
      </c>
      <c r="I12974" t="s">
        <v>10627</v>
      </c>
      <c r="J12974" t="s">
        <v>32982</v>
      </c>
      <c r="K12974" t="s">
        <v>42369</v>
      </c>
      <c r="M12974" t="s">
        <v>45730</v>
      </c>
      <c r="N12974" t="s">
        <v>46569</v>
      </c>
      <c r="O12974" t="s">
        <v>46570</v>
      </c>
      <c r="P12974">
        <v>0</v>
      </c>
      <c r="Q12974">
        <v>2</v>
      </c>
      <c r="R12974" t="s">
        <v>46585</v>
      </c>
      <c r="S12974" t="s">
        <v>47146</v>
      </c>
      <c r="T12974" t="s">
        <v>48590</v>
      </c>
      <c r="U12974" t="s">
        <v>59177</v>
      </c>
      <c r="V12974" t="s">
        <v>63055</v>
      </c>
      <c r="W12974" t="s">
        <v>45730</v>
      </c>
      <c r="X12974" t="s">
        <v>46586</v>
      </c>
    </row>
    <row r="12975" spans="1:24">
      <c r="A12975">
        <f>HYPERLINK("https://www.philgeps.gov.ph/GEPSNONPILOT/Tender/SplashBidNoticeAbstractUI.aspx?menuIndex=3&amp;refID=7038295&amp;Result=3","7038295")</f>
        <v>0</v>
      </c>
      <c r="B12975" t="s">
        <v>76</v>
      </c>
      <c r="C12975" t="s">
        <v>15847</v>
      </c>
      <c r="D12975" t="s">
        <v>18781</v>
      </c>
      <c r="E12975" t="s">
        <v>30036</v>
      </c>
      <c r="F12975" t="s">
        <v>32664</v>
      </c>
      <c r="G12975" t="s">
        <v>32672</v>
      </c>
      <c r="H12975" t="s">
        <v>32683</v>
      </c>
      <c r="I12975" t="s">
        <v>10627</v>
      </c>
      <c r="J12975" t="s">
        <v>40484</v>
      </c>
      <c r="K12975" t="s">
        <v>42298</v>
      </c>
      <c r="M12975" t="s">
        <v>42639</v>
      </c>
      <c r="N12975" t="s">
        <v>46569</v>
      </c>
      <c r="O12975" t="s">
        <v>46570</v>
      </c>
      <c r="P12975">
        <v>0</v>
      </c>
      <c r="Q12975">
        <v>0</v>
      </c>
      <c r="R12975" t="s">
        <v>46585</v>
      </c>
      <c r="S12975" t="s">
        <v>47146</v>
      </c>
      <c r="T12975" t="s">
        <v>48296</v>
      </c>
      <c r="U12975" t="s">
        <v>59178</v>
      </c>
      <c r="W12975" t="s">
        <v>42639</v>
      </c>
      <c r="X12975" t="s">
        <v>46586</v>
      </c>
    </row>
    <row r="12976" spans="1:24">
      <c r="A12976">
        <f>HYPERLINK("https://www.philgeps.gov.ph/GEPSNONPILOT/Tender/SplashBidNoticeAbstractUI.aspx?menuIndex=3&amp;refID=7038265&amp;Result=3","7038265")</f>
        <v>0</v>
      </c>
      <c r="B12976" t="s">
        <v>438</v>
      </c>
      <c r="C12976" t="s">
        <v>15848</v>
      </c>
      <c r="D12976" t="s">
        <v>18855</v>
      </c>
      <c r="E12976" t="s">
        <v>30037</v>
      </c>
      <c r="F12976" t="s">
        <v>32664</v>
      </c>
      <c r="G12976" t="s">
        <v>32672</v>
      </c>
      <c r="H12976" t="s">
        <v>32683</v>
      </c>
      <c r="I12976" t="s">
        <v>10627</v>
      </c>
      <c r="J12976" t="s">
        <v>40485</v>
      </c>
      <c r="K12976" t="s">
        <v>42372</v>
      </c>
      <c r="M12976" t="s">
        <v>43010</v>
      </c>
      <c r="N12976" t="s">
        <v>46569</v>
      </c>
      <c r="O12976" t="s">
        <v>46570</v>
      </c>
      <c r="Q12976">
        <v>2</v>
      </c>
      <c r="R12976" t="s">
        <v>46585</v>
      </c>
      <c r="S12976" t="s">
        <v>47171</v>
      </c>
      <c r="T12976" t="s">
        <v>48283</v>
      </c>
      <c r="U12976" t="s">
        <v>59179</v>
      </c>
      <c r="V12976" t="s">
        <v>63056</v>
      </c>
      <c r="W12976" t="s">
        <v>43010</v>
      </c>
      <c r="X12976" t="s">
        <v>46586</v>
      </c>
    </row>
    <row r="12977" spans="1:24">
      <c r="A12977">
        <f>HYPERLINK("https://www.philgeps.gov.ph/GEPSNONPILOT/Tender/SplashBidNoticeAbstractUI.aspx?menuIndex=3&amp;refID=7038258&amp;Result=3","7038258")</f>
        <v>0</v>
      </c>
      <c r="B12977" t="s">
        <v>438</v>
      </c>
      <c r="C12977" t="s">
        <v>15849</v>
      </c>
      <c r="D12977" t="s">
        <v>18855</v>
      </c>
      <c r="E12977" t="s">
        <v>30038</v>
      </c>
      <c r="F12977" t="s">
        <v>32664</v>
      </c>
      <c r="G12977" t="s">
        <v>32672</v>
      </c>
      <c r="H12977" t="s">
        <v>32683</v>
      </c>
      <c r="I12977" t="s">
        <v>10627</v>
      </c>
      <c r="J12977" t="s">
        <v>34147</v>
      </c>
      <c r="K12977" t="s">
        <v>42311</v>
      </c>
      <c r="M12977" t="s">
        <v>43010</v>
      </c>
      <c r="N12977" t="s">
        <v>46569</v>
      </c>
      <c r="O12977" t="s">
        <v>46570</v>
      </c>
      <c r="Q12977">
        <v>1</v>
      </c>
      <c r="R12977" t="s">
        <v>46585</v>
      </c>
      <c r="S12977" t="s">
        <v>47172</v>
      </c>
      <c r="T12977" t="s">
        <v>48283</v>
      </c>
      <c r="U12977" t="s">
        <v>59180</v>
      </c>
      <c r="V12977" t="s">
        <v>63057</v>
      </c>
      <c r="W12977" t="s">
        <v>43010</v>
      </c>
      <c r="X12977" t="s">
        <v>46586</v>
      </c>
    </row>
    <row r="12978" spans="1:24">
      <c r="A12978">
        <f>HYPERLINK("https://www.philgeps.gov.ph/GEPSNONPILOT/Tender/SplashBidNoticeAbstractUI.aspx?menuIndex=3&amp;refID=7037645&amp;Result=3","7037645")</f>
        <v>0</v>
      </c>
      <c r="B12978" t="s">
        <v>1288</v>
      </c>
      <c r="C12978" t="s">
        <v>15850</v>
      </c>
      <c r="D12978" t="s">
        <v>18824</v>
      </c>
      <c r="E12978" t="s">
        <v>29485</v>
      </c>
      <c r="F12978" t="s">
        <v>32664</v>
      </c>
      <c r="G12978" t="s">
        <v>32672</v>
      </c>
      <c r="H12978" t="s">
        <v>12635</v>
      </c>
      <c r="I12978" t="s">
        <v>8730</v>
      </c>
      <c r="J12978" t="s">
        <v>40486</v>
      </c>
      <c r="K12978" t="s">
        <v>42284</v>
      </c>
      <c r="M12978" t="s">
        <v>43931</v>
      </c>
      <c r="N12978" t="s">
        <v>46569</v>
      </c>
      <c r="O12978" t="s">
        <v>46570</v>
      </c>
      <c r="P12978">
        <v>0</v>
      </c>
      <c r="Q12978">
        <v>5</v>
      </c>
      <c r="R12978" t="s">
        <v>46585</v>
      </c>
      <c r="S12978" t="s">
        <v>47146</v>
      </c>
      <c r="T12978" t="s">
        <v>48713</v>
      </c>
      <c r="U12978" t="s">
        <v>59181</v>
      </c>
      <c r="V12978" t="s">
        <v>63058</v>
      </c>
      <c r="W12978" t="s">
        <v>43931</v>
      </c>
      <c r="X12978" t="s">
        <v>46587</v>
      </c>
    </row>
    <row r="12979" spans="1:24">
      <c r="A12979">
        <f>HYPERLINK("https://www.philgeps.gov.ph/GEPSNONPILOT/Tender/SplashBidNoticeAbstractUI.aspx?menuIndex=3&amp;refID=7038289&amp;Result=3","7038289")</f>
        <v>0</v>
      </c>
      <c r="B12979" t="s">
        <v>2772</v>
      </c>
      <c r="C12979" t="s">
        <v>15851</v>
      </c>
      <c r="D12979" t="s">
        <v>18804</v>
      </c>
      <c r="E12979" t="s">
        <v>30039</v>
      </c>
      <c r="F12979" t="s">
        <v>32664</v>
      </c>
      <c r="G12979" t="s">
        <v>32672</v>
      </c>
      <c r="H12979" t="s">
        <v>32683</v>
      </c>
      <c r="I12979" t="s">
        <v>10627</v>
      </c>
      <c r="J12979" t="s">
        <v>40487</v>
      </c>
      <c r="K12979" t="s">
        <v>42308</v>
      </c>
      <c r="M12979" t="s">
        <v>45610</v>
      </c>
      <c r="N12979" t="s">
        <v>46569</v>
      </c>
      <c r="O12979" t="s">
        <v>46570</v>
      </c>
      <c r="P12979">
        <v>0</v>
      </c>
      <c r="Q12979">
        <v>2</v>
      </c>
      <c r="R12979" t="s">
        <v>46585</v>
      </c>
      <c r="S12979" t="s">
        <v>47146</v>
      </c>
      <c r="T12979" t="s">
        <v>48520</v>
      </c>
      <c r="U12979" t="s">
        <v>59182</v>
      </c>
      <c r="W12979" t="s">
        <v>45610</v>
      </c>
      <c r="X12979" t="s">
        <v>46586</v>
      </c>
    </row>
    <row r="12980" spans="1:24">
      <c r="A12980">
        <f>HYPERLINK("https://www.philgeps.gov.ph/GEPSNONPILOT/Tender/SplashBidNoticeAbstractUI.aspx?menuIndex=3&amp;refID=7038280&amp;Result=3","7038280")</f>
        <v>0</v>
      </c>
      <c r="B12980" t="s">
        <v>438</v>
      </c>
      <c r="C12980" t="s">
        <v>15852</v>
      </c>
      <c r="D12980" t="s">
        <v>18855</v>
      </c>
      <c r="E12980" t="s">
        <v>30040</v>
      </c>
      <c r="F12980" t="s">
        <v>32664</v>
      </c>
      <c r="G12980" t="s">
        <v>32672</v>
      </c>
      <c r="H12980" t="s">
        <v>32683</v>
      </c>
      <c r="I12980" t="s">
        <v>10627</v>
      </c>
      <c r="J12980" t="s">
        <v>32962</v>
      </c>
      <c r="K12980" t="s">
        <v>42383</v>
      </c>
      <c r="M12980" t="s">
        <v>43010</v>
      </c>
      <c r="N12980" t="s">
        <v>46569</v>
      </c>
      <c r="O12980" t="s">
        <v>46570</v>
      </c>
      <c r="Q12980">
        <v>1</v>
      </c>
      <c r="R12980" t="s">
        <v>46585</v>
      </c>
      <c r="S12980" t="s">
        <v>47173</v>
      </c>
      <c r="T12980" t="s">
        <v>48283</v>
      </c>
      <c r="U12980" t="s">
        <v>59183</v>
      </c>
      <c r="V12980" t="s">
        <v>63059</v>
      </c>
      <c r="W12980" t="s">
        <v>43010</v>
      </c>
      <c r="X12980" t="s">
        <v>46586</v>
      </c>
    </row>
    <row r="12981" spans="1:24">
      <c r="A12981">
        <f>HYPERLINK("https://www.philgeps.gov.ph/GEPSNONPILOT/Tender/SplashBidNoticeAbstractUI.aspx?menuIndex=3&amp;refID=7041809&amp;Result=3","7041809")</f>
        <v>0</v>
      </c>
      <c r="B12981" t="s">
        <v>236</v>
      </c>
      <c r="C12981" t="s">
        <v>15853</v>
      </c>
      <c r="D12981" t="s">
        <v>18789</v>
      </c>
      <c r="E12981" t="s">
        <v>30041</v>
      </c>
      <c r="F12981" t="s">
        <v>32664</v>
      </c>
      <c r="G12981" t="s">
        <v>32672</v>
      </c>
      <c r="H12981" t="s">
        <v>32683</v>
      </c>
      <c r="I12981" t="s">
        <v>10627</v>
      </c>
      <c r="J12981" t="s">
        <v>39010</v>
      </c>
      <c r="K12981" t="s">
        <v>42285</v>
      </c>
      <c r="M12981" t="s">
        <v>42801</v>
      </c>
      <c r="N12981" t="s">
        <v>46569</v>
      </c>
      <c r="O12981" t="s">
        <v>46570</v>
      </c>
      <c r="Q12981">
        <v>2</v>
      </c>
      <c r="R12981" t="s">
        <v>46584</v>
      </c>
      <c r="S12981" t="s">
        <v>47174</v>
      </c>
      <c r="T12981" t="s">
        <v>48228</v>
      </c>
      <c r="U12981" t="s">
        <v>58955</v>
      </c>
      <c r="W12981" t="s">
        <v>42801</v>
      </c>
      <c r="X12981" t="s">
        <v>46585</v>
      </c>
    </row>
    <row r="12982" spans="1:24">
      <c r="A12982">
        <f>HYPERLINK("https://www.philgeps.gov.ph/GEPSNONPILOT/Tender/SplashBidNoticeAbstractUI.aspx?menuIndex=3&amp;refID=7041798&amp;Result=3","7041798")</f>
        <v>0</v>
      </c>
      <c r="B12982" t="s">
        <v>3232</v>
      </c>
      <c r="C12982" t="s">
        <v>15539</v>
      </c>
      <c r="D12982" t="s">
        <v>18826</v>
      </c>
      <c r="E12982" t="s">
        <v>30042</v>
      </c>
      <c r="F12982" t="s">
        <v>32664</v>
      </c>
      <c r="G12982" t="s">
        <v>32672</v>
      </c>
      <c r="H12982" t="s">
        <v>32683</v>
      </c>
      <c r="I12982" t="s">
        <v>10627</v>
      </c>
      <c r="J12982" t="s">
        <v>32859</v>
      </c>
      <c r="K12982" t="s">
        <v>42281</v>
      </c>
      <c r="M12982" t="s">
        <v>46153</v>
      </c>
      <c r="N12982" t="s">
        <v>46569</v>
      </c>
      <c r="O12982" t="s">
        <v>46570</v>
      </c>
      <c r="P12982">
        <v>0</v>
      </c>
      <c r="Q12982">
        <v>31</v>
      </c>
      <c r="R12982" t="s">
        <v>46584</v>
      </c>
      <c r="S12982" t="s">
        <v>47063</v>
      </c>
      <c r="T12982" t="s">
        <v>48248</v>
      </c>
      <c r="U12982" t="s">
        <v>59184</v>
      </c>
      <c r="V12982" t="s">
        <v>63024</v>
      </c>
      <c r="W12982" t="s">
        <v>46153</v>
      </c>
      <c r="X12982" t="s">
        <v>46585</v>
      </c>
    </row>
    <row r="12983" spans="1:24">
      <c r="A12983">
        <f>HYPERLINK("https://www.philgeps.gov.ph/GEPSNONPILOT/Tender/SplashBidNoticeAbstractUI.aspx?menuIndex=3&amp;refID=7041795&amp;Result=3","7041795")</f>
        <v>0</v>
      </c>
      <c r="B12983" t="s">
        <v>2713</v>
      </c>
      <c r="C12983" t="s">
        <v>15854</v>
      </c>
      <c r="D12983" t="s">
        <v>18816</v>
      </c>
      <c r="E12983" t="s">
        <v>30043</v>
      </c>
      <c r="F12983" t="s">
        <v>32664</v>
      </c>
      <c r="G12983" t="s">
        <v>32672</v>
      </c>
      <c r="H12983" t="s">
        <v>32683</v>
      </c>
      <c r="I12983" t="s">
        <v>10627</v>
      </c>
      <c r="J12983" t="s">
        <v>32981</v>
      </c>
      <c r="K12983" t="s">
        <v>42311</v>
      </c>
      <c r="M12983" t="s">
        <v>45539</v>
      </c>
      <c r="N12983" t="s">
        <v>46569</v>
      </c>
      <c r="O12983" t="s">
        <v>46570</v>
      </c>
      <c r="P12983">
        <v>0</v>
      </c>
      <c r="Q12983">
        <v>2</v>
      </c>
      <c r="R12983" t="s">
        <v>46584</v>
      </c>
      <c r="S12983" t="s">
        <v>47063</v>
      </c>
      <c r="T12983" t="s">
        <v>48480</v>
      </c>
      <c r="U12983" t="s">
        <v>59185</v>
      </c>
      <c r="W12983" t="s">
        <v>45539</v>
      </c>
      <c r="X12983" t="s">
        <v>46585</v>
      </c>
    </row>
    <row r="12984" spans="1:24">
      <c r="A12984">
        <f>HYPERLINK("https://www.philgeps.gov.ph/GEPSNONPILOT/Tender/SplashBidNoticeAbstractUI.aspx?menuIndex=3&amp;refID=7038562&amp;Result=3","7038562")</f>
        <v>0</v>
      </c>
      <c r="B12984" t="s">
        <v>885</v>
      </c>
      <c r="C12984" t="s">
        <v>15855</v>
      </c>
      <c r="D12984" t="s">
        <v>18819</v>
      </c>
      <c r="E12984" t="s">
        <v>30044</v>
      </c>
      <c r="F12984" t="s">
        <v>32664</v>
      </c>
      <c r="G12984" t="s">
        <v>32672</v>
      </c>
      <c r="H12984" t="s">
        <v>32683</v>
      </c>
      <c r="I12984" t="s">
        <v>10627</v>
      </c>
      <c r="J12984" t="s">
        <v>40488</v>
      </c>
      <c r="K12984" t="s">
        <v>42290</v>
      </c>
      <c r="M12984" t="s">
        <v>46210</v>
      </c>
      <c r="N12984" t="s">
        <v>46569</v>
      </c>
      <c r="O12984" t="s">
        <v>46570</v>
      </c>
      <c r="P12984">
        <v>0</v>
      </c>
      <c r="Q12984">
        <v>0</v>
      </c>
      <c r="R12984" t="s">
        <v>46585</v>
      </c>
      <c r="S12984" t="s">
        <v>47146</v>
      </c>
      <c r="T12984" t="s">
        <v>48370</v>
      </c>
      <c r="U12984" t="s">
        <v>59186</v>
      </c>
      <c r="W12984" t="s">
        <v>46210</v>
      </c>
      <c r="X12984" t="s">
        <v>46586</v>
      </c>
    </row>
    <row r="12985" spans="1:24">
      <c r="A12985">
        <f>HYPERLINK("https://www.philgeps.gov.ph/GEPSNONPILOT/Tender/SplashBidNoticeAbstractUI.aspx?menuIndex=3&amp;refID=7041777&amp;Result=3","7041777")</f>
        <v>0</v>
      </c>
      <c r="B12985" t="s">
        <v>2713</v>
      </c>
      <c r="C12985" t="s">
        <v>15856</v>
      </c>
      <c r="D12985" t="s">
        <v>18816</v>
      </c>
      <c r="E12985" t="s">
        <v>30045</v>
      </c>
      <c r="F12985" t="s">
        <v>32664</v>
      </c>
      <c r="G12985" t="s">
        <v>32672</v>
      </c>
      <c r="H12985" t="s">
        <v>32683</v>
      </c>
      <c r="I12985" t="s">
        <v>10627</v>
      </c>
      <c r="J12985" t="s">
        <v>32930</v>
      </c>
      <c r="K12985" t="s">
        <v>42311</v>
      </c>
      <c r="M12985" t="s">
        <v>45539</v>
      </c>
      <c r="N12985" t="s">
        <v>46569</v>
      </c>
      <c r="O12985" t="s">
        <v>46570</v>
      </c>
      <c r="P12985">
        <v>0</v>
      </c>
      <c r="Q12985">
        <v>2</v>
      </c>
      <c r="R12985" t="s">
        <v>46584</v>
      </c>
      <c r="S12985" t="s">
        <v>47063</v>
      </c>
      <c r="T12985" t="s">
        <v>48447</v>
      </c>
      <c r="U12985" t="s">
        <v>59187</v>
      </c>
      <c r="W12985" t="s">
        <v>45539</v>
      </c>
      <c r="X12985" t="s">
        <v>46585</v>
      </c>
    </row>
    <row r="12986" spans="1:24">
      <c r="A12986">
        <f>HYPERLINK("https://www.philgeps.gov.ph/GEPSNONPILOT/Tender/SplashBidNoticeAbstractUI.aspx?menuIndex=3&amp;refID=7038550&amp;Result=3","7038550")</f>
        <v>0</v>
      </c>
      <c r="B12986" t="s">
        <v>2852</v>
      </c>
      <c r="C12986" t="s">
        <v>15857</v>
      </c>
      <c r="D12986" t="s">
        <v>18794</v>
      </c>
      <c r="E12986" t="s">
        <v>30046</v>
      </c>
      <c r="F12986" t="s">
        <v>32664</v>
      </c>
      <c r="G12986" t="s">
        <v>32672</v>
      </c>
      <c r="H12986" t="s">
        <v>32683</v>
      </c>
      <c r="I12986" t="s">
        <v>10627</v>
      </c>
      <c r="J12986" t="s">
        <v>40489</v>
      </c>
      <c r="K12986" t="s">
        <v>42290</v>
      </c>
      <c r="M12986" t="s">
        <v>45700</v>
      </c>
      <c r="N12986" t="s">
        <v>46569</v>
      </c>
      <c r="O12986" t="s">
        <v>46570</v>
      </c>
      <c r="P12986">
        <v>0</v>
      </c>
      <c r="Q12986">
        <v>0</v>
      </c>
      <c r="R12986" t="s">
        <v>46585</v>
      </c>
      <c r="S12986" t="s">
        <v>47146</v>
      </c>
      <c r="T12986" t="s">
        <v>48306</v>
      </c>
      <c r="U12986" t="s">
        <v>59188</v>
      </c>
      <c r="W12986" t="s">
        <v>45700</v>
      </c>
      <c r="X12986" t="s">
        <v>46586</v>
      </c>
    </row>
    <row r="12987" spans="1:24">
      <c r="A12987">
        <f>HYPERLINK("https://www.philgeps.gov.ph/GEPSNONPILOT/Tender/SplashBidNoticeAbstractUI.aspx?menuIndex=3&amp;refID=7038544&amp;Result=3","7038544")</f>
        <v>0</v>
      </c>
      <c r="B12987" t="s">
        <v>885</v>
      </c>
      <c r="C12987" t="s">
        <v>15858</v>
      </c>
      <c r="D12987" t="s">
        <v>18819</v>
      </c>
      <c r="E12987" t="s">
        <v>30047</v>
      </c>
      <c r="F12987" t="s">
        <v>32664</v>
      </c>
      <c r="G12987" t="s">
        <v>32672</v>
      </c>
      <c r="H12987" t="s">
        <v>32683</v>
      </c>
      <c r="I12987" t="s">
        <v>10627</v>
      </c>
      <c r="J12987" t="s">
        <v>40490</v>
      </c>
      <c r="K12987" t="s">
        <v>42290</v>
      </c>
      <c r="M12987" t="s">
        <v>46210</v>
      </c>
      <c r="N12987" t="s">
        <v>46569</v>
      </c>
      <c r="O12987" t="s">
        <v>46570</v>
      </c>
      <c r="P12987">
        <v>0</v>
      </c>
      <c r="Q12987">
        <v>0</v>
      </c>
      <c r="R12987" t="s">
        <v>46585</v>
      </c>
      <c r="S12987" t="s">
        <v>47146</v>
      </c>
      <c r="T12987" t="s">
        <v>48370</v>
      </c>
      <c r="U12987" t="s">
        <v>59189</v>
      </c>
      <c r="W12987" t="s">
        <v>46210</v>
      </c>
      <c r="X12987" t="s">
        <v>46586</v>
      </c>
    </row>
    <row r="12988" spans="1:24">
      <c r="A12988">
        <f>HYPERLINK("https://www.philgeps.gov.ph/GEPSNONPILOT/Tender/SplashBidNoticeAbstractUI.aspx?menuIndex=3&amp;refID=7038543&amp;Result=3","7038543")</f>
        <v>0</v>
      </c>
      <c r="B12988" t="s">
        <v>1467</v>
      </c>
      <c r="C12988" t="s">
        <v>15859</v>
      </c>
      <c r="D12988" t="s">
        <v>18809</v>
      </c>
      <c r="E12988" t="s">
        <v>23337</v>
      </c>
      <c r="F12988" t="s">
        <v>32664</v>
      </c>
      <c r="G12988" t="s">
        <v>32672</v>
      </c>
      <c r="H12988" t="s">
        <v>12635</v>
      </c>
      <c r="I12988" t="s">
        <v>6118</v>
      </c>
      <c r="J12988" t="s">
        <v>40491</v>
      </c>
      <c r="K12988" t="s">
        <v>42295</v>
      </c>
      <c r="M12988" t="s">
        <v>44129</v>
      </c>
      <c r="N12988" t="s">
        <v>46569</v>
      </c>
      <c r="O12988" t="s">
        <v>46570</v>
      </c>
      <c r="Q12988">
        <v>3</v>
      </c>
      <c r="R12988" t="s">
        <v>46585</v>
      </c>
      <c r="S12988" t="s">
        <v>47175</v>
      </c>
      <c r="T12988" t="s">
        <v>48226</v>
      </c>
      <c r="U12988" t="s">
        <v>59190</v>
      </c>
      <c r="W12988" t="s">
        <v>44129</v>
      </c>
      <c r="X12988" t="s">
        <v>46586</v>
      </c>
    </row>
    <row r="12989" spans="1:24">
      <c r="A12989">
        <f>HYPERLINK("https://www.philgeps.gov.ph/GEPSNONPILOT/Tender/SplashBidNoticeAbstractUI.aspx?menuIndex=3&amp;refID=7038553&amp;Result=3","7038553")</f>
        <v>0</v>
      </c>
      <c r="B12989" t="s">
        <v>600</v>
      </c>
      <c r="C12989" t="s">
        <v>15860</v>
      </c>
      <c r="D12989" t="s">
        <v>18802</v>
      </c>
      <c r="E12989" t="s">
        <v>25564</v>
      </c>
      <c r="F12989" t="s">
        <v>32664</v>
      </c>
      <c r="G12989" t="s">
        <v>32672</v>
      </c>
      <c r="H12989" t="s">
        <v>12635</v>
      </c>
      <c r="I12989" t="s">
        <v>6628</v>
      </c>
      <c r="J12989" t="s">
        <v>40492</v>
      </c>
      <c r="K12989" t="s">
        <v>42284</v>
      </c>
      <c r="M12989" t="s">
        <v>43180</v>
      </c>
      <c r="N12989" t="s">
        <v>46569</v>
      </c>
      <c r="O12989" t="s">
        <v>46570</v>
      </c>
      <c r="P12989">
        <v>0</v>
      </c>
      <c r="Q12989">
        <v>6</v>
      </c>
      <c r="R12989" t="s">
        <v>46585</v>
      </c>
      <c r="S12989" t="s">
        <v>47146</v>
      </c>
      <c r="T12989" t="s">
        <v>48283</v>
      </c>
      <c r="U12989" t="s">
        <v>59191</v>
      </c>
      <c r="W12989" t="s">
        <v>43180</v>
      </c>
      <c r="X12989" t="s">
        <v>46586</v>
      </c>
    </row>
    <row r="12990" spans="1:24">
      <c r="A12990">
        <f>HYPERLINK("https://www.philgeps.gov.ph/GEPSNONPILOT/Tender/SplashBidNoticeAbstractUI.aspx?menuIndex=3&amp;refID=7038236&amp;Result=3","7038236")</f>
        <v>0</v>
      </c>
      <c r="B12990" t="s">
        <v>2468</v>
      </c>
      <c r="C12990" t="s">
        <v>15861</v>
      </c>
      <c r="E12990" t="s">
        <v>30048</v>
      </c>
      <c r="F12990" t="s">
        <v>32664</v>
      </c>
      <c r="G12990" t="s">
        <v>32672</v>
      </c>
      <c r="H12990" t="s">
        <v>12635</v>
      </c>
      <c r="I12990" t="s">
        <v>7429</v>
      </c>
      <c r="J12990" t="s">
        <v>40493</v>
      </c>
      <c r="K12990" t="s">
        <v>42283</v>
      </c>
      <c r="M12990" t="s">
        <v>46205</v>
      </c>
      <c r="N12990" t="s">
        <v>46569</v>
      </c>
      <c r="O12990" t="s">
        <v>46570</v>
      </c>
      <c r="P12990">
        <v>0</v>
      </c>
      <c r="Q12990">
        <v>2</v>
      </c>
      <c r="R12990" t="s">
        <v>46585</v>
      </c>
      <c r="S12990" t="s">
        <v>47146</v>
      </c>
      <c r="T12990" t="s">
        <v>48279</v>
      </c>
      <c r="U12990" t="s">
        <v>59192</v>
      </c>
      <c r="W12990" t="s">
        <v>46205</v>
      </c>
      <c r="X12990" t="s">
        <v>46586</v>
      </c>
    </row>
    <row r="12991" spans="1:24">
      <c r="A12991">
        <f>HYPERLINK("https://www.philgeps.gov.ph/GEPSNONPILOT/Tender/SplashBidNoticeAbstractUI.aspx?menuIndex=3&amp;refID=7038268&amp;Result=3","7038268")</f>
        <v>0</v>
      </c>
      <c r="B12991" t="s">
        <v>2468</v>
      </c>
      <c r="C12991" t="s">
        <v>15862</v>
      </c>
      <c r="E12991" t="s">
        <v>30049</v>
      </c>
      <c r="F12991" t="s">
        <v>32664</v>
      </c>
      <c r="G12991" t="s">
        <v>32672</v>
      </c>
      <c r="H12991" t="s">
        <v>12635</v>
      </c>
      <c r="I12991" t="s">
        <v>32695</v>
      </c>
      <c r="J12991" t="s">
        <v>33142</v>
      </c>
      <c r="K12991" t="s">
        <v>42283</v>
      </c>
      <c r="M12991" t="s">
        <v>46205</v>
      </c>
      <c r="N12991" t="s">
        <v>46569</v>
      </c>
      <c r="O12991" t="s">
        <v>46570</v>
      </c>
      <c r="P12991">
        <v>0</v>
      </c>
      <c r="Q12991">
        <v>3</v>
      </c>
      <c r="R12991" t="s">
        <v>46585</v>
      </c>
      <c r="S12991" t="s">
        <v>47146</v>
      </c>
      <c r="T12991" t="s">
        <v>48279</v>
      </c>
      <c r="U12991" t="s">
        <v>59193</v>
      </c>
      <c r="W12991" t="s">
        <v>46205</v>
      </c>
      <c r="X12991" t="s">
        <v>46586</v>
      </c>
    </row>
    <row r="12992" spans="1:24">
      <c r="A12992">
        <f>HYPERLINK("https://www.philgeps.gov.ph/GEPSNONPILOT/Tender/SplashBidNoticeAbstractUI.aspx?menuIndex=3&amp;refID=7038492&amp;Result=3","7038492")</f>
        <v>0</v>
      </c>
      <c r="B12992" t="s">
        <v>1044</v>
      </c>
      <c r="C12992" t="s">
        <v>15863</v>
      </c>
      <c r="D12992" t="s">
        <v>18826</v>
      </c>
      <c r="E12992" t="s">
        <v>30050</v>
      </c>
      <c r="F12992" t="s">
        <v>32664</v>
      </c>
      <c r="G12992" t="s">
        <v>32672</v>
      </c>
      <c r="H12992" t="s">
        <v>12635</v>
      </c>
      <c r="I12992" t="s">
        <v>4439</v>
      </c>
      <c r="J12992" t="s">
        <v>40494</v>
      </c>
      <c r="K12992" t="s">
        <v>42305</v>
      </c>
      <c r="L12992" t="s">
        <v>1044</v>
      </c>
      <c r="M12992" t="s">
        <v>43658</v>
      </c>
      <c r="N12992" t="s">
        <v>46569</v>
      </c>
      <c r="O12992" t="s">
        <v>46570</v>
      </c>
      <c r="P12992">
        <v>0</v>
      </c>
      <c r="Q12992">
        <v>8</v>
      </c>
      <c r="R12992" t="s">
        <v>46585</v>
      </c>
      <c r="S12992" t="s">
        <v>47146</v>
      </c>
      <c r="T12992" t="s">
        <v>48311</v>
      </c>
      <c r="U12992" t="s">
        <v>59194</v>
      </c>
      <c r="W12992" t="s">
        <v>43658</v>
      </c>
      <c r="X12992" t="s">
        <v>46586</v>
      </c>
    </row>
    <row r="12993" spans="1:24">
      <c r="A12993">
        <f>HYPERLINK("https://www.philgeps.gov.ph/GEPSNONPILOT/Tender/SplashBidNoticeAbstractUI.aspx?menuIndex=3&amp;refID=7038486&amp;Result=3","7038486")</f>
        <v>0</v>
      </c>
      <c r="B12993" t="s">
        <v>55</v>
      </c>
      <c r="C12993" t="s">
        <v>15864</v>
      </c>
      <c r="D12993" t="s">
        <v>18804</v>
      </c>
      <c r="E12993" t="s">
        <v>30051</v>
      </c>
      <c r="F12993" t="s">
        <v>32664</v>
      </c>
      <c r="G12993" t="s">
        <v>32672</v>
      </c>
      <c r="H12993" t="s">
        <v>12635</v>
      </c>
      <c r="I12993" t="s">
        <v>32789</v>
      </c>
      <c r="J12993" t="s">
        <v>40495</v>
      </c>
      <c r="K12993" t="s">
        <v>42281</v>
      </c>
      <c r="M12993" t="s">
        <v>42617</v>
      </c>
      <c r="N12993" t="s">
        <v>46569</v>
      </c>
      <c r="O12993" t="s">
        <v>46570</v>
      </c>
      <c r="P12993">
        <v>0</v>
      </c>
      <c r="Q12993">
        <v>3</v>
      </c>
      <c r="R12993" t="s">
        <v>46585</v>
      </c>
      <c r="S12993" t="s">
        <v>47146</v>
      </c>
      <c r="T12993" t="s">
        <v>48230</v>
      </c>
      <c r="U12993" t="s">
        <v>59195</v>
      </c>
      <c r="W12993" t="s">
        <v>42617</v>
      </c>
      <c r="X12993" t="s">
        <v>46586</v>
      </c>
    </row>
    <row r="12994" spans="1:24">
      <c r="A12994">
        <f>HYPERLINK("https://www.philgeps.gov.ph/GEPSNONPILOT/Tender/SplashBidNoticeAbstractUI.aspx?menuIndex=3&amp;refID=7038483&amp;Result=3","7038483")</f>
        <v>0</v>
      </c>
      <c r="B12994" t="s">
        <v>3270</v>
      </c>
      <c r="C12994" t="s">
        <v>15865</v>
      </c>
      <c r="D12994" t="s">
        <v>18822</v>
      </c>
      <c r="E12994" t="s">
        <v>19010</v>
      </c>
      <c r="F12994" t="s">
        <v>32664</v>
      </c>
      <c r="G12994" t="s">
        <v>32672</v>
      </c>
      <c r="H12994" t="s">
        <v>12635</v>
      </c>
      <c r="I12994" t="s">
        <v>4439</v>
      </c>
      <c r="J12994" t="s">
        <v>40496</v>
      </c>
      <c r="K12994" t="s">
        <v>42311</v>
      </c>
      <c r="M12994" t="s">
        <v>46206</v>
      </c>
      <c r="N12994" t="s">
        <v>46569</v>
      </c>
      <c r="O12994" t="s">
        <v>46570</v>
      </c>
      <c r="P12994">
        <v>0</v>
      </c>
      <c r="Q12994">
        <v>7</v>
      </c>
      <c r="R12994" t="s">
        <v>46585</v>
      </c>
      <c r="S12994" t="s">
        <v>47146</v>
      </c>
      <c r="T12994" t="s">
        <v>48249</v>
      </c>
      <c r="U12994" t="s">
        <v>59196</v>
      </c>
      <c r="W12994" t="s">
        <v>46206</v>
      </c>
      <c r="X12994" t="s">
        <v>46586</v>
      </c>
    </row>
    <row r="12995" spans="1:24">
      <c r="A12995">
        <f>HYPERLINK("https://www.philgeps.gov.ph/GEPSNONPILOT/Tender/SplashBidNoticeAbstractUI.aspx?menuIndex=3&amp;refID=7038210&amp;Result=3","7038210")</f>
        <v>0</v>
      </c>
      <c r="B12995" t="s">
        <v>2468</v>
      </c>
      <c r="C12995" t="s">
        <v>15866</v>
      </c>
      <c r="E12995" t="s">
        <v>30052</v>
      </c>
      <c r="F12995" t="s">
        <v>32664</v>
      </c>
      <c r="G12995" t="s">
        <v>32672</v>
      </c>
      <c r="H12995" t="s">
        <v>12635</v>
      </c>
      <c r="I12995" t="s">
        <v>4205</v>
      </c>
      <c r="J12995" t="s">
        <v>40497</v>
      </c>
      <c r="K12995" t="s">
        <v>42283</v>
      </c>
      <c r="M12995" t="s">
        <v>46205</v>
      </c>
      <c r="N12995" t="s">
        <v>46569</v>
      </c>
      <c r="O12995" t="s">
        <v>46570</v>
      </c>
      <c r="P12995">
        <v>0</v>
      </c>
      <c r="Q12995">
        <v>3</v>
      </c>
      <c r="R12995" t="s">
        <v>46585</v>
      </c>
      <c r="S12995" t="s">
        <v>47146</v>
      </c>
      <c r="T12995" t="s">
        <v>48279</v>
      </c>
      <c r="U12995" t="s">
        <v>59197</v>
      </c>
      <c r="W12995" t="s">
        <v>46205</v>
      </c>
      <c r="X12995" t="s">
        <v>46586</v>
      </c>
    </row>
    <row r="12996" spans="1:24">
      <c r="A12996">
        <f>HYPERLINK("https://www.philgeps.gov.ph/GEPSNONPILOT/Tender/SplashBidNoticeAbstractUI.aspx?menuIndex=3&amp;refID=7038535&amp;Result=3","7038535")</f>
        <v>0</v>
      </c>
      <c r="B12996" t="s">
        <v>808</v>
      </c>
      <c r="C12996" t="s">
        <v>15867</v>
      </c>
      <c r="D12996" t="s">
        <v>18846</v>
      </c>
      <c r="E12996" t="s">
        <v>30053</v>
      </c>
      <c r="F12996" t="s">
        <v>32664</v>
      </c>
      <c r="G12996" t="s">
        <v>32672</v>
      </c>
      <c r="H12996" t="s">
        <v>32683</v>
      </c>
      <c r="I12996" t="s">
        <v>10627</v>
      </c>
      <c r="J12996" t="s">
        <v>40498</v>
      </c>
      <c r="K12996" t="s">
        <v>42290</v>
      </c>
      <c r="M12996" t="s">
        <v>45260</v>
      </c>
      <c r="N12996" t="s">
        <v>46569</v>
      </c>
      <c r="O12996" t="s">
        <v>46570</v>
      </c>
      <c r="P12996">
        <v>0</v>
      </c>
      <c r="Q12996">
        <v>0</v>
      </c>
      <c r="R12996" t="s">
        <v>46585</v>
      </c>
      <c r="S12996" t="s">
        <v>47146</v>
      </c>
      <c r="T12996" t="s">
        <v>48230</v>
      </c>
      <c r="U12996" t="s">
        <v>59198</v>
      </c>
      <c r="W12996" t="s">
        <v>45260</v>
      </c>
      <c r="X12996" t="s">
        <v>46586</v>
      </c>
    </row>
    <row r="12997" spans="1:24">
      <c r="A12997">
        <f>HYPERLINK("https://www.philgeps.gov.ph/GEPSNONPILOT/Tender/SplashBidNoticeAbstractUI.aspx?menuIndex=3&amp;refID=7038527&amp;Result=3","7038527")</f>
        <v>0</v>
      </c>
      <c r="B12997" t="s">
        <v>885</v>
      </c>
      <c r="C12997" t="s">
        <v>15868</v>
      </c>
      <c r="D12997" t="s">
        <v>18819</v>
      </c>
      <c r="E12997" t="s">
        <v>30054</v>
      </c>
      <c r="F12997" t="s">
        <v>32664</v>
      </c>
      <c r="G12997" t="s">
        <v>32672</v>
      </c>
      <c r="H12997" t="s">
        <v>32683</v>
      </c>
      <c r="I12997" t="s">
        <v>10627</v>
      </c>
      <c r="J12997" t="s">
        <v>40499</v>
      </c>
      <c r="K12997" t="s">
        <v>42290</v>
      </c>
      <c r="M12997" t="s">
        <v>46210</v>
      </c>
      <c r="N12997" t="s">
        <v>46569</v>
      </c>
      <c r="O12997" t="s">
        <v>46570</v>
      </c>
      <c r="P12997">
        <v>0</v>
      </c>
      <c r="Q12997">
        <v>0</v>
      </c>
      <c r="R12997" t="s">
        <v>46585</v>
      </c>
      <c r="S12997" t="s">
        <v>47146</v>
      </c>
      <c r="T12997" t="s">
        <v>48370</v>
      </c>
      <c r="U12997" t="s">
        <v>59199</v>
      </c>
      <c r="W12997" t="s">
        <v>46210</v>
      </c>
      <c r="X12997" t="s">
        <v>46586</v>
      </c>
    </row>
    <row r="12998" spans="1:24">
      <c r="A12998">
        <f>HYPERLINK("https://www.philgeps.gov.ph/GEPSNONPILOT/Tender/SplashBidNoticeAbstractUI.aspx?menuIndex=3&amp;refID=7038679&amp;Result=3","7038679")</f>
        <v>0</v>
      </c>
      <c r="B12998" t="s">
        <v>1699</v>
      </c>
      <c r="C12998" t="s">
        <v>15869</v>
      </c>
      <c r="D12998" t="s">
        <v>18791</v>
      </c>
      <c r="E12998" t="s">
        <v>30055</v>
      </c>
      <c r="F12998" t="s">
        <v>32664</v>
      </c>
      <c r="G12998" t="s">
        <v>32673</v>
      </c>
      <c r="H12998" t="s">
        <v>32683</v>
      </c>
      <c r="I12998" t="s">
        <v>10627</v>
      </c>
      <c r="J12998" t="s">
        <v>32922</v>
      </c>
      <c r="K12998" t="s">
        <v>42283</v>
      </c>
      <c r="L12998" t="s">
        <v>1699</v>
      </c>
      <c r="M12998" t="s">
        <v>44393</v>
      </c>
      <c r="N12998" t="s">
        <v>46569</v>
      </c>
      <c r="O12998" t="s">
        <v>46570</v>
      </c>
      <c r="Q12998">
        <v>4</v>
      </c>
      <c r="R12998" t="s">
        <v>46585</v>
      </c>
      <c r="S12998" t="s">
        <v>47176</v>
      </c>
      <c r="T12998" t="s">
        <v>48282</v>
      </c>
      <c r="U12998" t="s">
        <v>59200</v>
      </c>
      <c r="W12998" t="s">
        <v>44393</v>
      </c>
      <c r="X12998" t="s">
        <v>46586</v>
      </c>
    </row>
    <row r="12999" spans="1:24">
      <c r="A12999">
        <f>HYPERLINK("https://www.philgeps.gov.ph/GEPSNONPILOT/Tender/SplashBidNoticeAbstractUI.aspx?menuIndex=3&amp;refID=7038677&amp;Result=3","7038677")</f>
        <v>0</v>
      </c>
      <c r="B12999" t="s">
        <v>600</v>
      </c>
      <c r="C12999" t="s">
        <v>15870</v>
      </c>
      <c r="D12999" t="s">
        <v>18802</v>
      </c>
      <c r="E12999" t="s">
        <v>30056</v>
      </c>
      <c r="F12999" t="s">
        <v>32664</v>
      </c>
      <c r="G12999" t="s">
        <v>32672</v>
      </c>
      <c r="H12999" t="s">
        <v>12635</v>
      </c>
      <c r="I12999" t="s">
        <v>32696</v>
      </c>
      <c r="J12999" t="s">
        <v>39901</v>
      </c>
      <c r="K12999" t="s">
        <v>42303</v>
      </c>
      <c r="M12999" t="s">
        <v>43180</v>
      </c>
      <c r="N12999" t="s">
        <v>46569</v>
      </c>
      <c r="O12999" t="s">
        <v>46570</v>
      </c>
      <c r="P12999">
        <v>0</v>
      </c>
      <c r="Q12999">
        <v>10</v>
      </c>
      <c r="R12999" t="s">
        <v>46585</v>
      </c>
      <c r="S12999" t="s">
        <v>47146</v>
      </c>
      <c r="T12999" t="s">
        <v>48283</v>
      </c>
      <c r="U12999" t="s">
        <v>59191</v>
      </c>
      <c r="W12999" t="s">
        <v>43180</v>
      </c>
      <c r="X12999" t="s">
        <v>46586</v>
      </c>
    </row>
    <row r="13000" spans="1:24">
      <c r="A13000">
        <f>HYPERLINK("https://www.philgeps.gov.ph/GEPSNONPILOT/Tender/SplashBidNoticeAbstractUI.aspx?menuIndex=3&amp;refID=7038674&amp;Result=3","7038674")</f>
        <v>0</v>
      </c>
      <c r="B13000" t="s">
        <v>1836</v>
      </c>
      <c r="C13000" t="s">
        <v>15871</v>
      </c>
      <c r="D13000" t="s">
        <v>18813</v>
      </c>
      <c r="E13000" t="s">
        <v>30057</v>
      </c>
      <c r="F13000" t="s">
        <v>32664</v>
      </c>
      <c r="G13000" t="s">
        <v>32672</v>
      </c>
      <c r="H13000" t="s">
        <v>12635</v>
      </c>
      <c r="I13000" t="s">
        <v>6168</v>
      </c>
      <c r="J13000" t="s">
        <v>40500</v>
      </c>
      <c r="K13000" t="s">
        <v>42281</v>
      </c>
      <c r="M13000" t="s">
        <v>44544</v>
      </c>
      <c r="N13000" t="s">
        <v>46569</v>
      </c>
      <c r="O13000" t="s">
        <v>46570</v>
      </c>
      <c r="Q13000">
        <v>5</v>
      </c>
      <c r="R13000" t="s">
        <v>46585</v>
      </c>
      <c r="S13000" t="s">
        <v>47177</v>
      </c>
      <c r="T13000" t="s">
        <v>48283</v>
      </c>
      <c r="U13000" t="s">
        <v>59201</v>
      </c>
      <c r="W13000" t="s">
        <v>44544</v>
      </c>
      <c r="X13000" t="s">
        <v>46586</v>
      </c>
    </row>
    <row r="13001" spans="1:24">
      <c r="A13001">
        <f>HYPERLINK("https://www.philgeps.gov.ph/GEPSNONPILOT/Tender/SplashBidNoticeAbstractUI.aspx?menuIndex=3&amp;refID=7038664&amp;Result=3","7038664")</f>
        <v>0</v>
      </c>
      <c r="B13001" t="s">
        <v>1257</v>
      </c>
      <c r="C13001" t="s">
        <v>15872</v>
      </c>
      <c r="E13001" t="s">
        <v>30058</v>
      </c>
      <c r="F13001" t="s">
        <v>32664</v>
      </c>
      <c r="G13001" t="s">
        <v>32672</v>
      </c>
      <c r="H13001" t="s">
        <v>12635</v>
      </c>
      <c r="I13001" t="s">
        <v>14442</v>
      </c>
      <c r="J13001" t="s">
        <v>40501</v>
      </c>
      <c r="K13001" t="s">
        <v>42283</v>
      </c>
      <c r="M13001" t="s">
        <v>43899</v>
      </c>
      <c r="N13001" t="s">
        <v>46569</v>
      </c>
      <c r="O13001" t="s">
        <v>46570</v>
      </c>
      <c r="P13001">
        <v>0</v>
      </c>
      <c r="Q13001">
        <v>0</v>
      </c>
      <c r="R13001" t="s">
        <v>46585</v>
      </c>
      <c r="S13001" t="s">
        <v>47146</v>
      </c>
      <c r="T13001" t="s">
        <v>48250</v>
      </c>
      <c r="U13001" t="s">
        <v>59202</v>
      </c>
      <c r="W13001" t="s">
        <v>43899</v>
      </c>
      <c r="X13001" t="s">
        <v>46586</v>
      </c>
    </row>
    <row r="13002" spans="1:24">
      <c r="A13002">
        <f>HYPERLINK("https://www.philgeps.gov.ph/GEPSNONPILOT/Tender/SplashBidNoticeAbstractUI.aspx?menuIndex=3&amp;refID=7038482&amp;Result=3","7038482")</f>
        <v>0</v>
      </c>
      <c r="B13002" t="s">
        <v>1922</v>
      </c>
      <c r="C13002" t="s">
        <v>15873</v>
      </c>
      <c r="D13002" t="s">
        <v>18827</v>
      </c>
      <c r="E13002" t="s">
        <v>30059</v>
      </c>
      <c r="F13002" t="s">
        <v>32664</v>
      </c>
      <c r="G13002" t="s">
        <v>32672</v>
      </c>
      <c r="H13002" t="s">
        <v>32681</v>
      </c>
      <c r="I13002" t="s">
        <v>32681</v>
      </c>
      <c r="J13002" t="s">
        <v>40502</v>
      </c>
      <c r="K13002" t="s">
        <v>42281</v>
      </c>
      <c r="M13002" t="s">
        <v>44782</v>
      </c>
      <c r="N13002" t="s">
        <v>46569</v>
      </c>
      <c r="O13002" t="s">
        <v>46570</v>
      </c>
      <c r="P13002">
        <v>0</v>
      </c>
      <c r="Q13002">
        <v>5</v>
      </c>
      <c r="R13002" t="s">
        <v>46585</v>
      </c>
      <c r="S13002" t="s">
        <v>47146</v>
      </c>
      <c r="T13002" t="s">
        <v>48552</v>
      </c>
      <c r="U13002" t="s">
        <v>59203</v>
      </c>
      <c r="W13002" t="s">
        <v>44782</v>
      </c>
      <c r="X13002" t="s">
        <v>46586</v>
      </c>
    </row>
    <row r="13003" spans="1:24">
      <c r="A13003">
        <f>HYPERLINK("https://www.philgeps.gov.ph/GEPSNONPILOT/Tender/SplashBidNoticeAbstractUI.aspx?menuIndex=3&amp;refID=7038271&amp;Result=3","7038271")</f>
        <v>0</v>
      </c>
      <c r="B13003" t="s">
        <v>76</v>
      </c>
      <c r="C13003" t="s">
        <v>15874</v>
      </c>
      <c r="D13003" t="s">
        <v>18781</v>
      </c>
      <c r="E13003" t="s">
        <v>30060</v>
      </c>
      <c r="F13003" t="s">
        <v>32664</v>
      </c>
      <c r="G13003" t="s">
        <v>32672</v>
      </c>
      <c r="H13003" t="s">
        <v>12635</v>
      </c>
      <c r="I13003" t="s">
        <v>32690</v>
      </c>
      <c r="J13003" t="s">
        <v>40503</v>
      </c>
      <c r="K13003" t="s">
        <v>42285</v>
      </c>
      <c r="M13003" t="s">
        <v>42639</v>
      </c>
      <c r="N13003" t="s">
        <v>46569</v>
      </c>
      <c r="O13003" t="s">
        <v>46570</v>
      </c>
      <c r="P13003">
        <v>0</v>
      </c>
      <c r="Q13003">
        <v>0</v>
      </c>
      <c r="R13003" t="s">
        <v>46585</v>
      </c>
      <c r="S13003" t="s">
        <v>47146</v>
      </c>
      <c r="T13003" t="s">
        <v>48296</v>
      </c>
      <c r="U13003" t="s">
        <v>59204</v>
      </c>
      <c r="W13003" t="s">
        <v>42639</v>
      </c>
      <c r="X13003" t="s">
        <v>46586</v>
      </c>
    </row>
    <row r="13004" spans="1:24">
      <c r="A13004">
        <f>HYPERLINK("https://www.philgeps.gov.ph/GEPSNONPILOT/Tender/SplashBidNoticeAbstractUI.aspx?menuIndex=3&amp;refID=7038563&amp;Result=3","7038563")</f>
        <v>0</v>
      </c>
      <c r="B13004" t="s">
        <v>3274</v>
      </c>
      <c r="C13004" t="s">
        <v>15875</v>
      </c>
      <c r="D13004" t="s">
        <v>18826</v>
      </c>
      <c r="E13004" t="s">
        <v>22020</v>
      </c>
      <c r="F13004" t="s">
        <v>32664</v>
      </c>
      <c r="G13004" t="s">
        <v>32672</v>
      </c>
      <c r="H13004" t="s">
        <v>12635</v>
      </c>
      <c r="I13004" t="s">
        <v>32716</v>
      </c>
      <c r="J13004" t="s">
        <v>33199</v>
      </c>
      <c r="K13004" t="s">
        <v>42298</v>
      </c>
      <c r="M13004" t="s">
        <v>46211</v>
      </c>
      <c r="N13004" t="s">
        <v>46569</v>
      </c>
      <c r="O13004" t="s">
        <v>46570</v>
      </c>
      <c r="P13004">
        <v>0</v>
      </c>
      <c r="Q13004">
        <v>4</v>
      </c>
      <c r="R13004" t="s">
        <v>46585</v>
      </c>
      <c r="S13004" t="s">
        <v>47146</v>
      </c>
      <c r="T13004" t="s">
        <v>48221</v>
      </c>
      <c r="U13004" t="s">
        <v>59205</v>
      </c>
      <c r="V13004" t="s">
        <v>63060</v>
      </c>
      <c r="W13004" t="s">
        <v>46211</v>
      </c>
      <c r="X13004" t="s">
        <v>46586</v>
      </c>
    </row>
    <row r="13005" spans="1:24">
      <c r="A13005">
        <f>HYPERLINK("https://www.philgeps.gov.ph/GEPSNONPILOT/Tender/SplashBidNoticeAbstractUI.aspx?menuIndex=3&amp;refID=7038642&amp;Result=3","7038642")</f>
        <v>0</v>
      </c>
      <c r="B13005" t="s">
        <v>885</v>
      </c>
      <c r="C13005" t="s">
        <v>15876</v>
      </c>
      <c r="D13005" t="s">
        <v>18819</v>
      </c>
      <c r="E13005" t="s">
        <v>30061</v>
      </c>
      <c r="F13005" t="s">
        <v>32664</v>
      </c>
      <c r="G13005" t="s">
        <v>32672</v>
      </c>
      <c r="H13005" t="s">
        <v>32683</v>
      </c>
      <c r="I13005" t="s">
        <v>10627</v>
      </c>
      <c r="J13005" t="s">
        <v>40504</v>
      </c>
      <c r="K13005" t="s">
        <v>42308</v>
      </c>
      <c r="M13005" t="s">
        <v>46210</v>
      </c>
      <c r="N13005" t="s">
        <v>46569</v>
      </c>
      <c r="O13005" t="s">
        <v>46570</v>
      </c>
      <c r="P13005">
        <v>0</v>
      </c>
      <c r="Q13005">
        <v>0</v>
      </c>
      <c r="R13005" t="s">
        <v>46585</v>
      </c>
      <c r="S13005" t="s">
        <v>47146</v>
      </c>
      <c r="T13005" t="s">
        <v>48370</v>
      </c>
      <c r="U13005" t="s">
        <v>59206</v>
      </c>
      <c r="W13005" t="s">
        <v>46210</v>
      </c>
      <c r="X13005" t="s">
        <v>46586</v>
      </c>
    </row>
    <row r="13006" spans="1:24">
      <c r="A13006">
        <f>HYPERLINK("https://www.philgeps.gov.ph/GEPSNONPILOT/Tender/SplashBidNoticeAbstractUI.aspx?menuIndex=3&amp;refID=7038636&amp;Result=3","7038636")</f>
        <v>0</v>
      </c>
      <c r="B13006" t="s">
        <v>3270</v>
      </c>
      <c r="C13006" t="s">
        <v>15877</v>
      </c>
      <c r="D13006" t="s">
        <v>18822</v>
      </c>
      <c r="E13006" t="s">
        <v>30062</v>
      </c>
      <c r="F13006" t="s">
        <v>32664</v>
      </c>
      <c r="G13006" t="s">
        <v>32672</v>
      </c>
      <c r="H13006" t="s">
        <v>12635</v>
      </c>
      <c r="I13006" t="s">
        <v>4439</v>
      </c>
      <c r="J13006" t="s">
        <v>40505</v>
      </c>
      <c r="K13006" t="s">
        <v>42311</v>
      </c>
      <c r="M13006" t="s">
        <v>46206</v>
      </c>
      <c r="N13006" t="s">
        <v>46569</v>
      </c>
      <c r="O13006" t="s">
        <v>46570</v>
      </c>
      <c r="P13006">
        <v>0</v>
      </c>
      <c r="Q13006">
        <v>5</v>
      </c>
      <c r="R13006" t="s">
        <v>46585</v>
      </c>
      <c r="S13006" t="s">
        <v>47146</v>
      </c>
      <c r="T13006" t="s">
        <v>48249</v>
      </c>
      <c r="U13006" t="s">
        <v>59207</v>
      </c>
      <c r="W13006" t="s">
        <v>46206</v>
      </c>
      <c r="X13006" t="s">
        <v>46586</v>
      </c>
    </row>
    <row r="13007" spans="1:24">
      <c r="A13007">
        <f>HYPERLINK("https://www.philgeps.gov.ph/GEPSNONPILOT/Tender/SplashBidNoticeAbstractUI.aspx?menuIndex=3&amp;refID=7038632&amp;Result=3","7038632")</f>
        <v>0</v>
      </c>
      <c r="B13007" t="s">
        <v>885</v>
      </c>
      <c r="C13007" t="s">
        <v>15878</v>
      </c>
      <c r="D13007" t="s">
        <v>18819</v>
      </c>
      <c r="E13007" t="s">
        <v>30063</v>
      </c>
      <c r="F13007" t="s">
        <v>32664</v>
      </c>
      <c r="G13007" t="s">
        <v>32672</v>
      </c>
      <c r="H13007" t="s">
        <v>32683</v>
      </c>
      <c r="I13007" t="s">
        <v>10627</v>
      </c>
      <c r="J13007" t="s">
        <v>40506</v>
      </c>
      <c r="K13007" t="s">
        <v>42290</v>
      </c>
      <c r="M13007" t="s">
        <v>46210</v>
      </c>
      <c r="N13007" t="s">
        <v>46569</v>
      </c>
      <c r="O13007" t="s">
        <v>46570</v>
      </c>
      <c r="P13007">
        <v>0</v>
      </c>
      <c r="Q13007">
        <v>0</v>
      </c>
      <c r="R13007" t="s">
        <v>46585</v>
      </c>
      <c r="S13007" t="s">
        <v>47146</v>
      </c>
      <c r="T13007" t="s">
        <v>48370</v>
      </c>
      <c r="U13007" t="s">
        <v>59208</v>
      </c>
      <c r="W13007" t="s">
        <v>46210</v>
      </c>
      <c r="X13007" t="s">
        <v>46586</v>
      </c>
    </row>
    <row r="13008" spans="1:24">
      <c r="A13008">
        <f>HYPERLINK("https://www.philgeps.gov.ph/GEPSNONPILOT/Tender/SplashBidNoticeAbstractUI.aspx?menuIndex=3&amp;refID=7038606&amp;Result=3","7038606")</f>
        <v>0</v>
      </c>
      <c r="B13008" t="s">
        <v>500</v>
      </c>
      <c r="C13008" t="s">
        <v>15879</v>
      </c>
      <c r="D13008" t="s">
        <v>18805</v>
      </c>
      <c r="E13008" t="s">
        <v>30064</v>
      </c>
      <c r="F13008" t="s">
        <v>32664</v>
      </c>
      <c r="G13008" t="s">
        <v>32672</v>
      </c>
      <c r="H13008" t="s">
        <v>32683</v>
      </c>
      <c r="I13008" t="s">
        <v>10627</v>
      </c>
      <c r="J13008" t="s">
        <v>40507</v>
      </c>
      <c r="K13008" t="s">
        <v>42283</v>
      </c>
      <c r="M13008" t="s">
        <v>43076</v>
      </c>
      <c r="N13008" t="s">
        <v>46569</v>
      </c>
      <c r="O13008" t="s">
        <v>46570</v>
      </c>
      <c r="P13008">
        <v>0</v>
      </c>
      <c r="Q13008">
        <v>7</v>
      </c>
      <c r="R13008" t="s">
        <v>46585</v>
      </c>
      <c r="S13008" t="s">
        <v>47146</v>
      </c>
      <c r="T13008" t="s">
        <v>48304</v>
      </c>
      <c r="U13008" t="s">
        <v>52807</v>
      </c>
      <c r="W13008" t="s">
        <v>43076</v>
      </c>
      <c r="X13008" t="s">
        <v>46586</v>
      </c>
    </row>
    <row r="13009" spans="1:24">
      <c r="A13009">
        <f>HYPERLINK("https://www.philgeps.gov.ph/GEPSNONPILOT/Tender/SplashBidNoticeAbstractUI.aspx?menuIndex=3&amp;refID=7038214&amp;Result=3","7038214")</f>
        <v>0</v>
      </c>
      <c r="B13009" t="s">
        <v>2468</v>
      </c>
      <c r="C13009" t="s">
        <v>15880</v>
      </c>
      <c r="E13009" t="s">
        <v>30065</v>
      </c>
      <c r="F13009" t="s">
        <v>32664</v>
      </c>
      <c r="G13009" t="s">
        <v>32672</v>
      </c>
      <c r="H13009" t="s">
        <v>12635</v>
      </c>
      <c r="I13009" t="s">
        <v>7759</v>
      </c>
      <c r="J13009" t="s">
        <v>40508</v>
      </c>
      <c r="K13009" t="s">
        <v>42283</v>
      </c>
      <c r="M13009" t="s">
        <v>46205</v>
      </c>
      <c r="N13009" t="s">
        <v>46569</v>
      </c>
      <c r="O13009" t="s">
        <v>46570</v>
      </c>
      <c r="P13009">
        <v>0</v>
      </c>
      <c r="Q13009">
        <v>2</v>
      </c>
      <c r="R13009" t="s">
        <v>46585</v>
      </c>
      <c r="S13009" t="s">
        <v>47146</v>
      </c>
      <c r="T13009" t="s">
        <v>48279</v>
      </c>
      <c r="U13009" t="s">
        <v>59209</v>
      </c>
      <c r="W13009" t="s">
        <v>46205</v>
      </c>
      <c r="X13009" t="s">
        <v>46586</v>
      </c>
    </row>
    <row r="13010" spans="1:24">
      <c r="A13010">
        <f>HYPERLINK("https://www.philgeps.gov.ph/GEPSNONPILOT/Tender/SplashBidNoticeAbstractUI.aspx?menuIndex=3&amp;refID=7038661&amp;Result=3","7038661")</f>
        <v>0</v>
      </c>
      <c r="B13010" t="s">
        <v>788</v>
      </c>
      <c r="C13010" t="s">
        <v>15881</v>
      </c>
      <c r="D13010" t="s">
        <v>18798</v>
      </c>
      <c r="E13010" t="s">
        <v>22719</v>
      </c>
      <c r="F13010" t="s">
        <v>32664</v>
      </c>
      <c r="G13010" t="s">
        <v>32672</v>
      </c>
      <c r="H13010" t="s">
        <v>12635</v>
      </c>
      <c r="I13010" t="s">
        <v>32721</v>
      </c>
      <c r="J13010" t="s">
        <v>34253</v>
      </c>
      <c r="K13010" t="s">
        <v>42283</v>
      </c>
      <c r="M13010" t="s">
        <v>43380</v>
      </c>
      <c r="N13010" t="s">
        <v>46569</v>
      </c>
      <c r="O13010" t="s">
        <v>46570</v>
      </c>
      <c r="P13010">
        <v>0</v>
      </c>
      <c r="Q13010">
        <v>10</v>
      </c>
      <c r="R13010" t="s">
        <v>46585</v>
      </c>
      <c r="S13010" t="s">
        <v>47146</v>
      </c>
      <c r="T13010" t="s">
        <v>48304</v>
      </c>
      <c r="U13010" t="s">
        <v>50283</v>
      </c>
      <c r="W13010" t="s">
        <v>43380</v>
      </c>
      <c r="X13010" t="s">
        <v>46586</v>
      </c>
    </row>
    <row r="13011" spans="1:24">
      <c r="A13011">
        <f>HYPERLINK("https://www.philgeps.gov.ph/GEPSNONPILOT/Tender/SplashBidNoticeAbstractUI.aspx?menuIndex=3&amp;refID=7038602&amp;Result=3","7038602")</f>
        <v>0</v>
      </c>
      <c r="B13011" t="s">
        <v>1257</v>
      </c>
      <c r="C13011" t="s">
        <v>6628</v>
      </c>
      <c r="E13011" t="s">
        <v>30066</v>
      </c>
      <c r="F13011" t="s">
        <v>32664</v>
      </c>
      <c r="G13011" t="s">
        <v>32672</v>
      </c>
      <c r="H13011" t="s">
        <v>12635</v>
      </c>
      <c r="I13011" t="s">
        <v>6628</v>
      </c>
      <c r="J13011" t="s">
        <v>40509</v>
      </c>
      <c r="K13011" t="s">
        <v>42283</v>
      </c>
      <c r="M13011" t="s">
        <v>43899</v>
      </c>
      <c r="N13011" t="s">
        <v>46569</v>
      </c>
      <c r="O13011" t="s">
        <v>46570</v>
      </c>
      <c r="P13011">
        <v>0</v>
      </c>
      <c r="Q13011">
        <v>0</v>
      </c>
      <c r="R13011" t="s">
        <v>46585</v>
      </c>
      <c r="S13011" t="s">
        <v>47146</v>
      </c>
      <c r="T13011" t="s">
        <v>48250</v>
      </c>
      <c r="U13011" t="s">
        <v>59210</v>
      </c>
      <c r="W13011" t="s">
        <v>43899</v>
      </c>
      <c r="X13011" t="s">
        <v>46586</v>
      </c>
    </row>
    <row r="13012" spans="1:24">
      <c r="A13012">
        <f>HYPERLINK("https://www.philgeps.gov.ph/GEPSNONPILOT/Tender/SplashBidNoticeAbstractUI.aspx?menuIndex=3&amp;refID=7038490&amp;Result=3","7038490")</f>
        <v>0</v>
      </c>
      <c r="B13012" t="s">
        <v>2804</v>
      </c>
      <c r="C13012" t="s">
        <v>15882</v>
      </c>
      <c r="D13012" t="s">
        <v>18783</v>
      </c>
      <c r="E13012" t="s">
        <v>30067</v>
      </c>
      <c r="F13012" t="s">
        <v>32664</v>
      </c>
      <c r="G13012" t="s">
        <v>32672</v>
      </c>
      <c r="H13012" t="s">
        <v>12635</v>
      </c>
      <c r="I13012" t="s">
        <v>9486</v>
      </c>
      <c r="J13012" t="s">
        <v>40510</v>
      </c>
      <c r="K13012" t="s">
        <v>42281</v>
      </c>
      <c r="M13012" t="s">
        <v>45648</v>
      </c>
      <c r="N13012" t="s">
        <v>46569</v>
      </c>
      <c r="O13012" t="s">
        <v>46570</v>
      </c>
      <c r="Q13012">
        <v>16</v>
      </c>
      <c r="R13012" t="s">
        <v>46585</v>
      </c>
      <c r="S13012" t="s">
        <v>47178</v>
      </c>
      <c r="T13012" t="s">
        <v>48276</v>
      </c>
      <c r="U13012" t="s">
        <v>59211</v>
      </c>
      <c r="W13012" t="s">
        <v>45648</v>
      </c>
      <c r="X13012" t="s">
        <v>46586</v>
      </c>
    </row>
    <row r="13013" spans="1:24">
      <c r="A13013">
        <f>HYPERLINK("https://www.philgeps.gov.ph/GEPSNONPILOT/Tender/SplashBidNoticeAbstractUI.aspx?menuIndex=3&amp;refID=7038589&amp;Result=3","7038589")</f>
        <v>0</v>
      </c>
      <c r="B13013" t="s">
        <v>3275</v>
      </c>
      <c r="C13013" t="s">
        <v>15883</v>
      </c>
      <c r="D13013" t="s">
        <v>18832</v>
      </c>
      <c r="E13013" t="s">
        <v>30068</v>
      </c>
      <c r="F13013" t="s">
        <v>32664</v>
      </c>
      <c r="G13013" t="s">
        <v>32672</v>
      </c>
      <c r="H13013" t="s">
        <v>12635</v>
      </c>
      <c r="I13013" t="s">
        <v>8958</v>
      </c>
      <c r="J13013" t="s">
        <v>40511</v>
      </c>
      <c r="K13013" t="s">
        <v>42289</v>
      </c>
      <c r="M13013" t="s">
        <v>46212</v>
      </c>
      <c r="N13013" t="s">
        <v>46569</v>
      </c>
      <c r="O13013" t="s">
        <v>46570</v>
      </c>
      <c r="Q13013">
        <v>3</v>
      </c>
      <c r="R13013" t="s">
        <v>46585</v>
      </c>
      <c r="S13013" t="s">
        <v>47179</v>
      </c>
      <c r="T13013" t="s">
        <v>48285</v>
      </c>
      <c r="U13013" t="s">
        <v>59212</v>
      </c>
      <c r="W13013" t="s">
        <v>46212</v>
      </c>
      <c r="X13013" t="s">
        <v>46586</v>
      </c>
    </row>
    <row r="13014" spans="1:24">
      <c r="A13014">
        <f>HYPERLINK("https://www.philgeps.gov.ph/GEPSNONPILOT/Tender/SplashBidNoticeAbstractUI.aspx?menuIndex=3&amp;refID=7038579&amp;Result=3","7038579")</f>
        <v>0</v>
      </c>
      <c r="B13014" t="s">
        <v>271</v>
      </c>
      <c r="C13014" t="s">
        <v>15884</v>
      </c>
      <c r="D13014" t="s">
        <v>18830</v>
      </c>
      <c r="E13014" t="s">
        <v>30069</v>
      </c>
      <c r="F13014" t="s">
        <v>32664</v>
      </c>
      <c r="G13014" t="s">
        <v>32672</v>
      </c>
      <c r="H13014" t="s">
        <v>12635</v>
      </c>
      <c r="I13014" t="s">
        <v>6223</v>
      </c>
      <c r="J13014" t="s">
        <v>40512</v>
      </c>
      <c r="K13014" t="s">
        <v>42311</v>
      </c>
      <c r="M13014" t="s">
        <v>42836</v>
      </c>
      <c r="N13014" t="s">
        <v>46569</v>
      </c>
      <c r="O13014" t="s">
        <v>46570</v>
      </c>
      <c r="P13014">
        <v>0</v>
      </c>
      <c r="Q13014">
        <v>8</v>
      </c>
      <c r="R13014" t="s">
        <v>46585</v>
      </c>
      <c r="S13014" t="s">
        <v>47146</v>
      </c>
      <c r="T13014" t="s">
        <v>48296</v>
      </c>
      <c r="U13014" t="s">
        <v>59213</v>
      </c>
      <c r="W13014" t="s">
        <v>42836</v>
      </c>
      <c r="X13014" t="s">
        <v>46586</v>
      </c>
    </row>
    <row r="13015" spans="1:24">
      <c r="A13015">
        <f>HYPERLINK("https://www.philgeps.gov.ph/GEPSNONPILOT/Tender/SplashBidNoticeAbstractUI.aspx?menuIndex=3&amp;refID=7038630&amp;Result=3","7038630")</f>
        <v>0</v>
      </c>
      <c r="B13015" t="s">
        <v>788</v>
      </c>
      <c r="C13015" t="s">
        <v>15885</v>
      </c>
      <c r="D13015" t="s">
        <v>18798</v>
      </c>
      <c r="E13015" t="s">
        <v>22613</v>
      </c>
      <c r="F13015" t="s">
        <v>32664</v>
      </c>
      <c r="G13015" t="s">
        <v>32672</v>
      </c>
      <c r="H13015" t="s">
        <v>12635</v>
      </c>
      <c r="I13015" t="s">
        <v>11464</v>
      </c>
      <c r="J13015" t="s">
        <v>33751</v>
      </c>
      <c r="K13015" t="s">
        <v>42283</v>
      </c>
      <c r="M13015" t="s">
        <v>43380</v>
      </c>
      <c r="N13015" t="s">
        <v>46569</v>
      </c>
      <c r="O13015" t="s">
        <v>46570</v>
      </c>
      <c r="P13015">
        <v>0</v>
      </c>
      <c r="Q13015">
        <v>7</v>
      </c>
      <c r="R13015" t="s">
        <v>46585</v>
      </c>
      <c r="S13015" t="s">
        <v>47146</v>
      </c>
      <c r="T13015" t="s">
        <v>48304</v>
      </c>
      <c r="U13015" t="s">
        <v>50283</v>
      </c>
      <c r="W13015" t="s">
        <v>43380</v>
      </c>
      <c r="X13015" t="s">
        <v>46586</v>
      </c>
    </row>
    <row r="13016" spans="1:24">
      <c r="A13016">
        <f>HYPERLINK("https://www.philgeps.gov.ph/GEPSNONPILOT/Tender/SplashBidNoticeAbstractUI.aspx?menuIndex=3&amp;refID=7038464&amp;Result=3","7038464")</f>
        <v>0</v>
      </c>
      <c r="B13016" t="s">
        <v>1044</v>
      </c>
      <c r="C13016" t="s">
        <v>15886</v>
      </c>
      <c r="D13016" t="s">
        <v>18826</v>
      </c>
      <c r="E13016" t="s">
        <v>30070</v>
      </c>
      <c r="F13016" t="s">
        <v>32664</v>
      </c>
      <c r="G13016" t="s">
        <v>32672</v>
      </c>
      <c r="H13016" t="s">
        <v>12635</v>
      </c>
      <c r="I13016" t="s">
        <v>4439</v>
      </c>
      <c r="J13016" t="s">
        <v>40513</v>
      </c>
      <c r="K13016" t="s">
        <v>42298</v>
      </c>
      <c r="L13016" t="s">
        <v>1044</v>
      </c>
      <c r="M13016" t="s">
        <v>43658</v>
      </c>
      <c r="N13016" t="s">
        <v>46569</v>
      </c>
      <c r="O13016" t="s">
        <v>46570</v>
      </c>
      <c r="P13016">
        <v>0</v>
      </c>
      <c r="Q13016">
        <v>6</v>
      </c>
      <c r="R13016" t="s">
        <v>46585</v>
      </c>
      <c r="S13016" t="s">
        <v>47146</v>
      </c>
      <c r="T13016" t="s">
        <v>48305</v>
      </c>
      <c r="U13016" t="s">
        <v>59214</v>
      </c>
      <c r="W13016" t="s">
        <v>43658</v>
      </c>
      <c r="X13016" t="s">
        <v>46586</v>
      </c>
    </row>
    <row r="13017" spans="1:24">
      <c r="A13017">
        <f>HYPERLINK("https://www.philgeps.gov.ph/GEPSNONPILOT/Tender/SplashBidNoticeAbstractUI.aspx?menuIndex=3&amp;refID=7038419&amp;Result=3","7038419")</f>
        <v>0</v>
      </c>
      <c r="B13017" t="s">
        <v>2202</v>
      </c>
      <c r="C13017" t="s">
        <v>15887</v>
      </c>
      <c r="D13017" t="s">
        <v>18844</v>
      </c>
      <c r="E13017" t="s">
        <v>30071</v>
      </c>
      <c r="F13017" t="s">
        <v>32664</v>
      </c>
      <c r="G13017" t="s">
        <v>32672</v>
      </c>
      <c r="H13017" t="s">
        <v>12635</v>
      </c>
      <c r="I13017" t="s">
        <v>8797</v>
      </c>
      <c r="J13017" t="s">
        <v>33021</v>
      </c>
      <c r="K13017" t="s">
        <v>42303</v>
      </c>
      <c r="M13017" t="s">
        <v>44966</v>
      </c>
      <c r="N13017" t="s">
        <v>46569</v>
      </c>
      <c r="O13017" t="s">
        <v>46570</v>
      </c>
      <c r="P13017">
        <v>0</v>
      </c>
      <c r="Q13017">
        <v>5</v>
      </c>
      <c r="R13017" t="s">
        <v>46585</v>
      </c>
      <c r="S13017" t="s">
        <v>47146</v>
      </c>
      <c r="T13017" t="s">
        <v>48237</v>
      </c>
      <c r="U13017" t="s">
        <v>59215</v>
      </c>
      <c r="V13017" t="s">
        <v>62566</v>
      </c>
      <c r="W13017" t="s">
        <v>44966</v>
      </c>
      <c r="X13017" t="s">
        <v>46586</v>
      </c>
    </row>
    <row r="13018" spans="1:24">
      <c r="A13018">
        <f>HYPERLINK("https://www.philgeps.gov.ph/GEPSNONPILOT/Tender/SplashBidNoticeAbstractUI.aspx?menuIndex=3&amp;refID=7038580&amp;Result=3","7038580")</f>
        <v>0</v>
      </c>
      <c r="B13018" t="s">
        <v>885</v>
      </c>
      <c r="C13018" t="s">
        <v>15888</v>
      </c>
      <c r="D13018" t="s">
        <v>18819</v>
      </c>
      <c r="E13018" t="s">
        <v>30072</v>
      </c>
      <c r="F13018" t="s">
        <v>32664</v>
      </c>
      <c r="G13018" t="s">
        <v>32672</v>
      </c>
      <c r="H13018" t="s">
        <v>32683</v>
      </c>
      <c r="I13018" t="s">
        <v>10627</v>
      </c>
      <c r="J13018" t="s">
        <v>40514</v>
      </c>
      <c r="K13018" t="s">
        <v>42290</v>
      </c>
      <c r="M13018" t="s">
        <v>46210</v>
      </c>
      <c r="N13018" t="s">
        <v>46569</v>
      </c>
      <c r="O13018" t="s">
        <v>46570</v>
      </c>
      <c r="P13018">
        <v>0</v>
      </c>
      <c r="Q13018">
        <v>0</v>
      </c>
      <c r="R13018" t="s">
        <v>46585</v>
      </c>
      <c r="S13018" t="s">
        <v>47146</v>
      </c>
      <c r="T13018" t="s">
        <v>48370</v>
      </c>
      <c r="U13018" t="s">
        <v>59216</v>
      </c>
      <c r="W13018" t="s">
        <v>46210</v>
      </c>
      <c r="X13018" t="s">
        <v>46586</v>
      </c>
    </row>
    <row r="13019" spans="1:24">
      <c r="A13019">
        <f>HYPERLINK("https://www.philgeps.gov.ph/GEPSNONPILOT/Tender/SplashBidNoticeAbstractUI.aspx?menuIndex=3&amp;refID=7038658&amp;Result=3","7038658")</f>
        <v>0</v>
      </c>
      <c r="B13019" t="s">
        <v>885</v>
      </c>
      <c r="C13019" t="s">
        <v>15889</v>
      </c>
      <c r="D13019" t="s">
        <v>18819</v>
      </c>
      <c r="E13019" t="s">
        <v>30073</v>
      </c>
      <c r="F13019" t="s">
        <v>32664</v>
      </c>
      <c r="G13019" t="s">
        <v>32672</v>
      </c>
      <c r="H13019" t="s">
        <v>32683</v>
      </c>
      <c r="I13019" t="s">
        <v>10627</v>
      </c>
      <c r="J13019" t="s">
        <v>40515</v>
      </c>
      <c r="K13019" t="s">
        <v>42290</v>
      </c>
      <c r="M13019" t="s">
        <v>46210</v>
      </c>
      <c r="N13019" t="s">
        <v>46569</v>
      </c>
      <c r="O13019" t="s">
        <v>46570</v>
      </c>
      <c r="P13019">
        <v>0</v>
      </c>
      <c r="Q13019">
        <v>0</v>
      </c>
      <c r="R13019" t="s">
        <v>46585</v>
      </c>
      <c r="S13019" t="s">
        <v>47146</v>
      </c>
      <c r="T13019" t="s">
        <v>48370</v>
      </c>
      <c r="U13019" t="s">
        <v>59217</v>
      </c>
      <c r="W13019" t="s">
        <v>46210</v>
      </c>
      <c r="X13019" t="s">
        <v>46586</v>
      </c>
    </row>
    <row r="13020" spans="1:24">
      <c r="A13020">
        <f>HYPERLINK("https://www.philgeps.gov.ph/GEPSNONPILOT/Tender/SplashBidNoticeAbstractUI.aspx?menuIndex=3&amp;refID=7038416&amp;Result=3","7038416")</f>
        <v>0</v>
      </c>
      <c r="B13020" t="s">
        <v>3276</v>
      </c>
      <c r="C13020" t="s">
        <v>15890</v>
      </c>
      <c r="D13020" t="s">
        <v>18784</v>
      </c>
      <c r="E13020" t="s">
        <v>30074</v>
      </c>
      <c r="F13020" t="s">
        <v>32664</v>
      </c>
      <c r="G13020" t="s">
        <v>32672</v>
      </c>
      <c r="H13020" t="s">
        <v>12635</v>
      </c>
      <c r="I13020" t="s">
        <v>11464</v>
      </c>
      <c r="J13020" t="s">
        <v>40516</v>
      </c>
      <c r="K13020" t="s">
        <v>42283</v>
      </c>
      <c r="M13020" t="s">
        <v>46213</v>
      </c>
      <c r="N13020" t="s">
        <v>46569</v>
      </c>
      <c r="O13020" t="s">
        <v>46570</v>
      </c>
      <c r="P13020">
        <v>0</v>
      </c>
      <c r="Q13020">
        <v>17</v>
      </c>
      <c r="R13020" t="s">
        <v>46585</v>
      </c>
      <c r="S13020" t="s">
        <v>47146</v>
      </c>
      <c r="T13020" t="s">
        <v>48238</v>
      </c>
      <c r="U13020" t="s">
        <v>56481</v>
      </c>
      <c r="V13020" t="s">
        <v>63061</v>
      </c>
      <c r="W13020" t="s">
        <v>46213</v>
      </c>
      <c r="X13020" t="s">
        <v>46586</v>
      </c>
    </row>
    <row r="13021" spans="1:24">
      <c r="A13021">
        <f>HYPERLINK("https://www.philgeps.gov.ph/GEPSNONPILOT/Tender/SplashBidNoticeAbstractUI.aspx?menuIndex=3&amp;refID=7038411&amp;Result=3","7038411")</f>
        <v>0</v>
      </c>
      <c r="B13021" t="s">
        <v>1641</v>
      </c>
      <c r="C13021" t="s">
        <v>15891</v>
      </c>
      <c r="D13021" t="s">
        <v>18783</v>
      </c>
      <c r="E13021" t="s">
        <v>22208</v>
      </c>
      <c r="F13021" t="s">
        <v>32664</v>
      </c>
      <c r="G13021" t="s">
        <v>32672</v>
      </c>
      <c r="H13021" t="s">
        <v>12635</v>
      </c>
      <c r="I13021" t="s">
        <v>32706</v>
      </c>
      <c r="J13021" t="s">
        <v>40517</v>
      </c>
      <c r="K13021" t="s">
        <v>42298</v>
      </c>
      <c r="M13021" t="s">
        <v>44324</v>
      </c>
      <c r="N13021" t="s">
        <v>46569</v>
      </c>
      <c r="O13021" t="s">
        <v>46570</v>
      </c>
      <c r="P13021">
        <v>0</v>
      </c>
      <c r="Q13021">
        <v>0</v>
      </c>
      <c r="R13021" t="s">
        <v>46585</v>
      </c>
      <c r="S13021" t="s">
        <v>47146</v>
      </c>
      <c r="T13021" t="s">
        <v>48468</v>
      </c>
      <c r="U13021" t="s">
        <v>59218</v>
      </c>
      <c r="V13021" t="s">
        <v>63062</v>
      </c>
      <c r="W13021" t="s">
        <v>44324</v>
      </c>
      <c r="X13021" t="s">
        <v>46586</v>
      </c>
    </row>
    <row r="13022" spans="1:24">
      <c r="A13022">
        <f>HYPERLINK("https://www.philgeps.gov.ph/GEPSNONPILOT/Tender/SplashBidNoticeAbstractUI.aspx?menuIndex=3&amp;refID=7038378&amp;Result=3","7038378")</f>
        <v>0</v>
      </c>
      <c r="B13022" t="s">
        <v>3277</v>
      </c>
      <c r="C13022" t="s">
        <v>15892</v>
      </c>
      <c r="D13022" t="s">
        <v>18848</v>
      </c>
      <c r="E13022" t="s">
        <v>30075</v>
      </c>
      <c r="F13022" t="s">
        <v>32664</v>
      </c>
      <c r="G13022" t="s">
        <v>32672</v>
      </c>
      <c r="H13022" t="s">
        <v>12635</v>
      </c>
      <c r="I13022" t="s">
        <v>11464</v>
      </c>
      <c r="J13022" t="s">
        <v>32837</v>
      </c>
      <c r="K13022" t="s">
        <v>42281</v>
      </c>
      <c r="M13022" t="s">
        <v>46214</v>
      </c>
      <c r="N13022" t="s">
        <v>46569</v>
      </c>
      <c r="O13022" t="s">
        <v>46570</v>
      </c>
      <c r="Q13022">
        <v>6</v>
      </c>
      <c r="R13022" t="s">
        <v>46585</v>
      </c>
      <c r="S13022" t="s">
        <v>47180</v>
      </c>
      <c r="T13022" t="s">
        <v>48714</v>
      </c>
      <c r="U13022" t="s">
        <v>59219</v>
      </c>
      <c r="W13022" t="s">
        <v>46214</v>
      </c>
      <c r="X13022" t="s">
        <v>46586</v>
      </c>
    </row>
    <row r="13023" spans="1:24">
      <c r="A13023">
        <f>HYPERLINK("https://www.philgeps.gov.ph/GEPSNONPILOT/Tender/SplashBidNoticeAbstractUI.aspx?menuIndex=3&amp;refID=7038597&amp;Result=3","7038597")</f>
        <v>0</v>
      </c>
      <c r="B13023" t="s">
        <v>885</v>
      </c>
      <c r="C13023" t="s">
        <v>15893</v>
      </c>
      <c r="D13023" t="s">
        <v>18819</v>
      </c>
      <c r="E13023" t="s">
        <v>30076</v>
      </c>
      <c r="F13023" t="s">
        <v>32664</v>
      </c>
      <c r="G13023" t="s">
        <v>32672</v>
      </c>
      <c r="H13023" t="s">
        <v>32683</v>
      </c>
      <c r="I13023" t="s">
        <v>10627</v>
      </c>
      <c r="J13023" t="s">
        <v>40518</v>
      </c>
      <c r="K13023" t="s">
        <v>42290</v>
      </c>
      <c r="M13023" t="s">
        <v>46210</v>
      </c>
      <c r="N13023" t="s">
        <v>46569</v>
      </c>
      <c r="O13023" t="s">
        <v>46570</v>
      </c>
      <c r="P13023">
        <v>0</v>
      </c>
      <c r="Q13023">
        <v>0</v>
      </c>
      <c r="R13023" t="s">
        <v>46585</v>
      </c>
      <c r="S13023" t="s">
        <v>47146</v>
      </c>
      <c r="T13023" t="s">
        <v>48370</v>
      </c>
      <c r="U13023" t="s">
        <v>59220</v>
      </c>
      <c r="W13023" t="s">
        <v>46210</v>
      </c>
      <c r="X13023" t="s">
        <v>46586</v>
      </c>
    </row>
    <row r="13024" spans="1:24">
      <c r="A13024">
        <f>HYPERLINK("https://www.philgeps.gov.ph/GEPSNONPILOT/Tender/SplashBidNoticeAbstractUI.aspx?menuIndex=3&amp;refID=7038372&amp;Result=3","7038372")</f>
        <v>0</v>
      </c>
      <c r="B13024" t="s">
        <v>3051</v>
      </c>
      <c r="C13024" t="s">
        <v>4511</v>
      </c>
      <c r="D13024" t="s">
        <v>18813</v>
      </c>
      <c r="E13024" t="s">
        <v>30077</v>
      </c>
      <c r="F13024" t="s">
        <v>32664</v>
      </c>
      <c r="G13024" t="s">
        <v>32672</v>
      </c>
      <c r="H13024" t="s">
        <v>32683</v>
      </c>
      <c r="I13024" t="s">
        <v>10627</v>
      </c>
      <c r="J13024" t="s">
        <v>32981</v>
      </c>
      <c r="K13024" t="s">
        <v>42285</v>
      </c>
      <c r="M13024" t="s">
        <v>45926</v>
      </c>
      <c r="N13024" t="s">
        <v>46569</v>
      </c>
      <c r="O13024" t="s">
        <v>46570</v>
      </c>
      <c r="P13024">
        <v>0</v>
      </c>
      <c r="Q13024">
        <v>10</v>
      </c>
      <c r="R13024" t="s">
        <v>46585</v>
      </c>
      <c r="S13024" t="s">
        <v>47146</v>
      </c>
      <c r="T13024" t="s">
        <v>48268</v>
      </c>
      <c r="U13024" t="s">
        <v>59221</v>
      </c>
      <c r="W13024" t="s">
        <v>45926</v>
      </c>
      <c r="X13024" t="s">
        <v>46586</v>
      </c>
    </row>
    <row r="13025" spans="1:24">
      <c r="A13025">
        <f>HYPERLINK("https://www.philgeps.gov.ph/GEPSNONPILOT/Tender/SplashBidNoticeAbstractUI.aspx?menuIndex=3&amp;refID=7038681&amp;Result=3","7038681")</f>
        <v>0</v>
      </c>
      <c r="B13025" t="s">
        <v>885</v>
      </c>
      <c r="C13025" t="s">
        <v>15894</v>
      </c>
      <c r="D13025" t="s">
        <v>18819</v>
      </c>
      <c r="E13025" t="s">
        <v>30078</v>
      </c>
      <c r="F13025" t="s">
        <v>32664</v>
      </c>
      <c r="G13025" t="s">
        <v>32672</v>
      </c>
      <c r="H13025" t="s">
        <v>32683</v>
      </c>
      <c r="I13025" t="s">
        <v>10627</v>
      </c>
      <c r="J13025" t="s">
        <v>40519</v>
      </c>
      <c r="K13025" t="s">
        <v>42308</v>
      </c>
      <c r="M13025" t="s">
        <v>46210</v>
      </c>
      <c r="N13025" t="s">
        <v>46569</v>
      </c>
      <c r="O13025" t="s">
        <v>46570</v>
      </c>
      <c r="P13025">
        <v>0</v>
      </c>
      <c r="Q13025">
        <v>0</v>
      </c>
      <c r="R13025" t="s">
        <v>46585</v>
      </c>
      <c r="S13025" t="s">
        <v>47146</v>
      </c>
      <c r="T13025" t="s">
        <v>48370</v>
      </c>
      <c r="U13025" t="s">
        <v>59222</v>
      </c>
      <c r="W13025" t="s">
        <v>46210</v>
      </c>
      <c r="X13025" t="s">
        <v>46586</v>
      </c>
    </row>
    <row r="13026" spans="1:24">
      <c r="A13026">
        <f>HYPERLINK("https://www.philgeps.gov.ph/GEPSNONPILOT/Tender/SplashBidNoticeAbstractUI.aspx?menuIndex=3&amp;refID=7038581&amp;Result=3","7038581")</f>
        <v>0</v>
      </c>
      <c r="B13026" t="s">
        <v>1257</v>
      </c>
      <c r="C13026" t="s">
        <v>9486</v>
      </c>
      <c r="E13026" t="s">
        <v>30079</v>
      </c>
      <c r="F13026" t="s">
        <v>32664</v>
      </c>
      <c r="G13026" t="s">
        <v>32672</v>
      </c>
      <c r="H13026" t="s">
        <v>12635</v>
      </c>
      <c r="I13026" t="s">
        <v>9486</v>
      </c>
      <c r="J13026" t="s">
        <v>40520</v>
      </c>
      <c r="K13026" t="s">
        <v>42283</v>
      </c>
      <c r="M13026" t="s">
        <v>43899</v>
      </c>
      <c r="N13026" t="s">
        <v>46569</v>
      </c>
      <c r="O13026" t="s">
        <v>46570</v>
      </c>
      <c r="P13026">
        <v>0</v>
      </c>
      <c r="Q13026">
        <v>3</v>
      </c>
      <c r="R13026" t="s">
        <v>46585</v>
      </c>
      <c r="S13026" t="s">
        <v>47146</v>
      </c>
      <c r="T13026" t="s">
        <v>48250</v>
      </c>
      <c r="U13026" t="s">
        <v>53962</v>
      </c>
      <c r="W13026" t="s">
        <v>43899</v>
      </c>
      <c r="X13026" t="s">
        <v>46586</v>
      </c>
    </row>
    <row r="13027" spans="1:24">
      <c r="A13027">
        <f>HYPERLINK("https://www.philgeps.gov.ph/GEPSNONPILOT/Tender/SplashBidNoticeAbstractUI.aspx?menuIndex=3&amp;refID=7038737&amp;Result=3","7038737")</f>
        <v>0</v>
      </c>
      <c r="B13027" t="s">
        <v>1257</v>
      </c>
      <c r="C13027" t="s">
        <v>15895</v>
      </c>
      <c r="E13027" t="s">
        <v>30080</v>
      </c>
      <c r="F13027" t="s">
        <v>32664</v>
      </c>
      <c r="G13027" t="s">
        <v>32672</v>
      </c>
      <c r="H13027" t="s">
        <v>12635</v>
      </c>
      <c r="I13027" t="s">
        <v>32736</v>
      </c>
      <c r="J13027" t="s">
        <v>40521</v>
      </c>
      <c r="K13027" t="s">
        <v>42283</v>
      </c>
      <c r="M13027" t="s">
        <v>43899</v>
      </c>
      <c r="N13027" t="s">
        <v>46569</v>
      </c>
      <c r="O13027" t="s">
        <v>46570</v>
      </c>
      <c r="P13027">
        <v>0</v>
      </c>
      <c r="Q13027">
        <v>0</v>
      </c>
      <c r="R13027" t="s">
        <v>46585</v>
      </c>
      <c r="S13027" t="s">
        <v>47146</v>
      </c>
      <c r="T13027" t="s">
        <v>48250</v>
      </c>
      <c r="U13027" t="s">
        <v>59223</v>
      </c>
      <c r="W13027" t="s">
        <v>43899</v>
      </c>
      <c r="X13027" t="s">
        <v>46586</v>
      </c>
    </row>
    <row r="13028" spans="1:24">
      <c r="A13028">
        <f>HYPERLINK("https://www.philgeps.gov.ph/GEPSNONPILOT/Tender/SplashBidNoticeAbstractUI.aspx?menuIndex=3&amp;refID=7038764&amp;Result=3","7038764")</f>
        <v>0</v>
      </c>
      <c r="B13028" t="s">
        <v>3278</v>
      </c>
      <c r="C13028" t="s">
        <v>15896</v>
      </c>
      <c r="D13028" t="s">
        <v>18805</v>
      </c>
      <c r="E13028" t="s">
        <v>19299</v>
      </c>
      <c r="F13028" t="s">
        <v>32664</v>
      </c>
      <c r="G13028" t="s">
        <v>32672</v>
      </c>
      <c r="H13028" t="s">
        <v>12635</v>
      </c>
      <c r="I13028" t="s">
        <v>11464</v>
      </c>
      <c r="J13028" t="s">
        <v>34587</v>
      </c>
      <c r="K13028" t="s">
        <v>42321</v>
      </c>
      <c r="M13028" t="s">
        <v>46215</v>
      </c>
      <c r="N13028" t="s">
        <v>46569</v>
      </c>
      <c r="O13028" t="s">
        <v>46570</v>
      </c>
      <c r="P13028">
        <v>0</v>
      </c>
      <c r="Q13028">
        <v>2</v>
      </c>
      <c r="R13028" t="s">
        <v>46585</v>
      </c>
      <c r="S13028" t="s">
        <v>47146</v>
      </c>
      <c r="T13028" t="s">
        <v>48282</v>
      </c>
      <c r="U13028" t="s">
        <v>59224</v>
      </c>
      <c r="W13028" t="s">
        <v>46215</v>
      </c>
      <c r="X13028" t="s">
        <v>46586</v>
      </c>
    </row>
    <row r="13029" spans="1:24">
      <c r="A13029">
        <f>HYPERLINK("https://www.philgeps.gov.ph/GEPSNONPILOT/Tender/SplashBidNoticeAbstractUI.aspx?menuIndex=3&amp;refID=7038763&amp;Result=3","7038763")</f>
        <v>0</v>
      </c>
      <c r="B13029" t="s">
        <v>885</v>
      </c>
      <c r="C13029" t="s">
        <v>15897</v>
      </c>
      <c r="D13029" t="s">
        <v>18819</v>
      </c>
      <c r="E13029" t="s">
        <v>30081</v>
      </c>
      <c r="F13029" t="s">
        <v>32664</v>
      </c>
      <c r="G13029" t="s">
        <v>32672</v>
      </c>
      <c r="H13029" t="s">
        <v>32683</v>
      </c>
      <c r="I13029" t="s">
        <v>10627</v>
      </c>
      <c r="J13029" t="s">
        <v>36065</v>
      </c>
      <c r="K13029" t="s">
        <v>42308</v>
      </c>
      <c r="M13029" t="s">
        <v>46210</v>
      </c>
      <c r="N13029" t="s">
        <v>46569</v>
      </c>
      <c r="O13029" t="s">
        <v>46570</v>
      </c>
      <c r="P13029">
        <v>0</v>
      </c>
      <c r="Q13029">
        <v>0</v>
      </c>
      <c r="R13029" t="s">
        <v>46585</v>
      </c>
      <c r="S13029" t="s">
        <v>47146</v>
      </c>
      <c r="T13029" t="s">
        <v>48370</v>
      </c>
      <c r="U13029" t="s">
        <v>59225</v>
      </c>
      <c r="W13029" t="s">
        <v>46210</v>
      </c>
      <c r="X13029" t="s">
        <v>46586</v>
      </c>
    </row>
    <row r="13030" spans="1:24">
      <c r="A13030">
        <f>HYPERLINK("https://www.philgeps.gov.ph/GEPSNONPILOT/Tender/SplashBidNoticeAbstractUI.aspx?menuIndex=3&amp;refID=7038743&amp;Result=3","7038743")</f>
        <v>0</v>
      </c>
      <c r="B13030" t="s">
        <v>3013</v>
      </c>
      <c r="C13030" t="s">
        <v>15898</v>
      </c>
      <c r="D13030" t="s">
        <v>18810</v>
      </c>
      <c r="E13030" t="s">
        <v>30082</v>
      </c>
      <c r="F13030" t="s">
        <v>32664</v>
      </c>
      <c r="G13030" t="s">
        <v>32672</v>
      </c>
      <c r="H13030" t="s">
        <v>12635</v>
      </c>
      <c r="I13030" t="s">
        <v>11464</v>
      </c>
      <c r="J13030" t="s">
        <v>32859</v>
      </c>
      <c r="K13030" t="s">
        <v>42289</v>
      </c>
      <c r="M13030" t="s">
        <v>45885</v>
      </c>
      <c r="N13030" t="s">
        <v>46569</v>
      </c>
      <c r="O13030" t="s">
        <v>46570</v>
      </c>
      <c r="P13030">
        <v>0</v>
      </c>
      <c r="Q13030">
        <v>1</v>
      </c>
      <c r="R13030" t="s">
        <v>46585</v>
      </c>
      <c r="S13030" t="s">
        <v>47146</v>
      </c>
      <c r="T13030" t="s">
        <v>48278</v>
      </c>
      <c r="U13030" t="s">
        <v>59226</v>
      </c>
      <c r="W13030" t="s">
        <v>45885</v>
      </c>
      <c r="X13030" t="s">
        <v>46586</v>
      </c>
    </row>
    <row r="13031" spans="1:24">
      <c r="A13031">
        <f>HYPERLINK("https://www.philgeps.gov.ph/GEPSNONPILOT/Tender/SplashBidNoticeAbstractUI.aspx?menuIndex=3&amp;refID=7038356&amp;Result=3","7038356")</f>
        <v>0</v>
      </c>
      <c r="B13031" t="s">
        <v>516</v>
      </c>
      <c r="C13031" t="s">
        <v>15899</v>
      </c>
      <c r="D13031" t="s">
        <v>18804</v>
      </c>
      <c r="E13031" t="s">
        <v>30083</v>
      </c>
      <c r="F13031" t="s">
        <v>32664</v>
      </c>
      <c r="G13031" t="s">
        <v>32672</v>
      </c>
      <c r="H13031" t="s">
        <v>32683</v>
      </c>
      <c r="I13031" t="s">
        <v>10627</v>
      </c>
      <c r="J13031" t="s">
        <v>33387</v>
      </c>
      <c r="K13031" t="s">
        <v>42298</v>
      </c>
      <c r="M13031" t="s">
        <v>43092</v>
      </c>
      <c r="N13031" t="s">
        <v>46569</v>
      </c>
      <c r="O13031" t="s">
        <v>46570</v>
      </c>
      <c r="P13031">
        <v>0</v>
      </c>
      <c r="Q13031">
        <v>0</v>
      </c>
      <c r="R13031" t="s">
        <v>46585</v>
      </c>
      <c r="S13031" t="s">
        <v>47146</v>
      </c>
      <c r="T13031" t="s">
        <v>48283</v>
      </c>
      <c r="U13031" t="s">
        <v>59227</v>
      </c>
      <c r="W13031" t="s">
        <v>43092</v>
      </c>
      <c r="X13031" t="s">
        <v>46586</v>
      </c>
    </row>
    <row r="13032" spans="1:24">
      <c r="A13032">
        <f>HYPERLINK("https://www.philgeps.gov.ph/GEPSNONPILOT/Tender/SplashBidNoticeAbstractUI.aspx?menuIndex=3&amp;refID=7038756&amp;Result=3","7038756")</f>
        <v>0</v>
      </c>
      <c r="B13032" t="s">
        <v>1699</v>
      </c>
      <c r="C13032" t="s">
        <v>15900</v>
      </c>
      <c r="D13032" t="s">
        <v>18791</v>
      </c>
      <c r="E13032" t="s">
        <v>30084</v>
      </c>
      <c r="F13032" t="s">
        <v>32664</v>
      </c>
      <c r="G13032" t="s">
        <v>32673</v>
      </c>
      <c r="H13032" t="s">
        <v>32683</v>
      </c>
      <c r="I13032" t="s">
        <v>10627</v>
      </c>
      <c r="J13032" t="s">
        <v>40522</v>
      </c>
      <c r="K13032" t="s">
        <v>42283</v>
      </c>
      <c r="L13032" t="s">
        <v>1699</v>
      </c>
      <c r="M13032" t="s">
        <v>44393</v>
      </c>
      <c r="N13032" t="s">
        <v>46569</v>
      </c>
      <c r="O13032" t="s">
        <v>46570</v>
      </c>
      <c r="Q13032">
        <v>4</v>
      </c>
      <c r="R13032" t="s">
        <v>46585</v>
      </c>
      <c r="S13032" t="s">
        <v>47127</v>
      </c>
      <c r="T13032" t="s">
        <v>48282</v>
      </c>
      <c r="U13032" t="s">
        <v>59228</v>
      </c>
      <c r="W13032" t="s">
        <v>44393</v>
      </c>
      <c r="X13032" t="s">
        <v>46586</v>
      </c>
    </row>
    <row r="13033" spans="1:24">
      <c r="A13033">
        <f>HYPERLINK("https://www.philgeps.gov.ph/GEPSNONPILOT/Tender/SplashBidNoticeAbstractUI.aspx?menuIndex=3&amp;refID=7038748&amp;Result=3","7038748")</f>
        <v>0</v>
      </c>
      <c r="B13033" t="s">
        <v>167</v>
      </c>
      <c r="C13033" t="s">
        <v>15901</v>
      </c>
      <c r="E13033" t="s">
        <v>30085</v>
      </c>
      <c r="F13033" t="s">
        <v>32664</v>
      </c>
      <c r="G13033" t="s">
        <v>32672</v>
      </c>
      <c r="H13033" t="s">
        <v>12635</v>
      </c>
      <c r="I13033" t="s">
        <v>6223</v>
      </c>
      <c r="J13033" t="s">
        <v>32853</v>
      </c>
      <c r="K13033" t="s">
        <v>42297</v>
      </c>
      <c r="M13033" t="s">
        <v>42731</v>
      </c>
      <c r="N13033" t="s">
        <v>46569</v>
      </c>
      <c r="O13033" t="s">
        <v>46570</v>
      </c>
      <c r="P13033">
        <v>0</v>
      </c>
      <c r="Q13033">
        <v>1</v>
      </c>
      <c r="R13033" t="s">
        <v>46585</v>
      </c>
      <c r="S13033" t="s">
        <v>47146</v>
      </c>
      <c r="T13033" t="s">
        <v>48305</v>
      </c>
      <c r="U13033" t="s">
        <v>59229</v>
      </c>
      <c r="W13033" t="s">
        <v>42731</v>
      </c>
      <c r="X13033" t="s">
        <v>46586</v>
      </c>
    </row>
    <row r="13034" spans="1:24">
      <c r="A13034">
        <f>HYPERLINK("https://www.philgeps.gov.ph/GEPSNONPILOT/Tender/SplashBidNoticeAbstractUI.aspx?menuIndex=3&amp;refID=7038726&amp;Result=3","7038726")</f>
        <v>0</v>
      </c>
      <c r="B13034" t="s">
        <v>3278</v>
      </c>
      <c r="C13034" t="s">
        <v>15902</v>
      </c>
      <c r="D13034" t="s">
        <v>18805</v>
      </c>
      <c r="E13034" t="s">
        <v>19259</v>
      </c>
      <c r="F13034" t="s">
        <v>32664</v>
      </c>
      <c r="G13034" t="s">
        <v>32672</v>
      </c>
      <c r="H13034" t="s">
        <v>12635</v>
      </c>
      <c r="I13034" t="s">
        <v>4439</v>
      </c>
      <c r="J13034" t="s">
        <v>40523</v>
      </c>
      <c r="K13034" t="s">
        <v>42309</v>
      </c>
      <c r="M13034" t="s">
        <v>46215</v>
      </c>
      <c r="N13034" t="s">
        <v>46569</v>
      </c>
      <c r="O13034" t="s">
        <v>46570</v>
      </c>
      <c r="P13034">
        <v>0</v>
      </c>
      <c r="Q13034">
        <v>1</v>
      </c>
      <c r="R13034" t="s">
        <v>46585</v>
      </c>
      <c r="S13034" t="s">
        <v>47146</v>
      </c>
      <c r="T13034" t="s">
        <v>48282</v>
      </c>
      <c r="U13034" t="s">
        <v>59230</v>
      </c>
      <c r="W13034" t="s">
        <v>46215</v>
      </c>
      <c r="X13034" t="s">
        <v>46586</v>
      </c>
    </row>
    <row r="13035" spans="1:24">
      <c r="A13035">
        <f>HYPERLINK("https://www.philgeps.gov.ph/GEPSNONPILOT/Tender/SplashBidNoticeAbstractUI.aspx?menuIndex=3&amp;refID=7038725&amp;Result=3","7038725")</f>
        <v>0</v>
      </c>
      <c r="B13035" t="s">
        <v>885</v>
      </c>
      <c r="C13035" t="s">
        <v>15903</v>
      </c>
      <c r="D13035" t="s">
        <v>18819</v>
      </c>
      <c r="E13035" t="s">
        <v>30086</v>
      </c>
      <c r="F13035" t="s">
        <v>32664</v>
      </c>
      <c r="G13035" t="s">
        <v>32672</v>
      </c>
      <c r="H13035" t="s">
        <v>32683</v>
      </c>
      <c r="I13035" t="s">
        <v>10627</v>
      </c>
      <c r="J13035" t="s">
        <v>32837</v>
      </c>
      <c r="K13035" t="s">
        <v>42290</v>
      </c>
      <c r="M13035" t="s">
        <v>46210</v>
      </c>
      <c r="N13035" t="s">
        <v>46569</v>
      </c>
      <c r="O13035" t="s">
        <v>46570</v>
      </c>
      <c r="P13035">
        <v>0</v>
      </c>
      <c r="Q13035">
        <v>0</v>
      </c>
      <c r="R13035" t="s">
        <v>46585</v>
      </c>
      <c r="S13035" t="s">
        <v>47146</v>
      </c>
      <c r="T13035" t="s">
        <v>48370</v>
      </c>
      <c r="U13035" t="s">
        <v>59231</v>
      </c>
      <c r="W13035" t="s">
        <v>46210</v>
      </c>
      <c r="X13035" t="s">
        <v>46586</v>
      </c>
    </row>
    <row r="13036" spans="1:24">
      <c r="A13036">
        <f>HYPERLINK("https://www.philgeps.gov.ph/GEPSNONPILOT/Tender/SplashBidNoticeAbstractUI.aspx?menuIndex=3&amp;refID=7038712&amp;Result=3","7038712")</f>
        <v>0</v>
      </c>
      <c r="B13036" t="s">
        <v>3013</v>
      </c>
      <c r="C13036" t="s">
        <v>15904</v>
      </c>
      <c r="D13036" t="s">
        <v>18810</v>
      </c>
      <c r="E13036" t="s">
        <v>30087</v>
      </c>
      <c r="F13036" t="s">
        <v>32664</v>
      </c>
      <c r="G13036" t="s">
        <v>32672</v>
      </c>
      <c r="H13036" t="s">
        <v>32683</v>
      </c>
      <c r="I13036" t="s">
        <v>10627</v>
      </c>
      <c r="J13036" t="s">
        <v>40524</v>
      </c>
      <c r="K13036" t="s">
        <v>42433</v>
      </c>
      <c r="M13036" t="s">
        <v>45885</v>
      </c>
      <c r="N13036" t="s">
        <v>46569</v>
      </c>
      <c r="O13036" t="s">
        <v>46570</v>
      </c>
      <c r="P13036">
        <v>0</v>
      </c>
      <c r="Q13036">
        <v>0</v>
      </c>
      <c r="R13036" t="s">
        <v>46585</v>
      </c>
      <c r="S13036" t="s">
        <v>47146</v>
      </c>
      <c r="T13036" t="s">
        <v>48323</v>
      </c>
      <c r="U13036" t="s">
        <v>59232</v>
      </c>
      <c r="W13036" t="s">
        <v>45885</v>
      </c>
      <c r="X13036" t="s">
        <v>46586</v>
      </c>
    </row>
    <row r="13037" spans="1:24">
      <c r="A13037">
        <f>HYPERLINK("https://www.philgeps.gov.ph/GEPSNONPILOT/Tender/SplashBidNoticeAbstractUI.aspx?menuIndex=3&amp;refID=7038707&amp;Result=3","7038707")</f>
        <v>0</v>
      </c>
      <c r="B13037" t="s">
        <v>808</v>
      </c>
      <c r="C13037" t="s">
        <v>15905</v>
      </c>
      <c r="D13037" t="s">
        <v>18846</v>
      </c>
      <c r="E13037" t="s">
        <v>30088</v>
      </c>
      <c r="F13037" t="s">
        <v>32664</v>
      </c>
      <c r="G13037" t="s">
        <v>32672</v>
      </c>
      <c r="H13037" t="s">
        <v>32683</v>
      </c>
      <c r="I13037" t="s">
        <v>10627</v>
      </c>
      <c r="J13037" t="s">
        <v>40525</v>
      </c>
      <c r="K13037" t="s">
        <v>42290</v>
      </c>
      <c r="M13037" t="s">
        <v>45260</v>
      </c>
      <c r="N13037" t="s">
        <v>46569</v>
      </c>
      <c r="O13037" t="s">
        <v>46570</v>
      </c>
      <c r="P13037">
        <v>0</v>
      </c>
      <c r="Q13037">
        <v>0</v>
      </c>
      <c r="R13037" t="s">
        <v>46585</v>
      </c>
      <c r="S13037" t="s">
        <v>47146</v>
      </c>
      <c r="T13037" t="s">
        <v>48230</v>
      </c>
      <c r="U13037" t="s">
        <v>59233</v>
      </c>
      <c r="W13037" t="s">
        <v>45260</v>
      </c>
      <c r="X13037" t="s">
        <v>46586</v>
      </c>
    </row>
    <row r="13038" spans="1:24">
      <c r="A13038">
        <f>HYPERLINK("https://www.philgeps.gov.ph/GEPSNONPILOT/Tender/SplashBidNoticeAbstractUI.aspx?menuIndex=3&amp;refID=7038874&amp;Result=3","7038874")</f>
        <v>0</v>
      </c>
      <c r="B13038" t="s">
        <v>351</v>
      </c>
      <c r="C13038" t="s">
        <v>15906</v>
      </c>
      <c r="D13038" t="s">
        <v>18831</v>
      </c>
      <c r="E13038" t="s">
        <v>30089</v>
      </c>
      <c r="F13038" t="s">
        <v>32664</v>
      </c>
      <c r="G13038" t="s">
        <v>32672</v>
      </c>
      <c r="H13038" t="s">
        <v>32683</v>
      </c>
      <c r="I13038" t="s">
        <v>10627</v>
      </c>
      <c r="J13038" t="s">
        <v>32974</v>
      </c>
      <c r="K13038" t="s">
        <v>42325</v>
      </c>
      <c r="M13038" t="s">
        <v>42920</v>
      </c>
      <c r="N13038" t="s">
        <v>46569</v>
      </c>
      <c r="O13038" t="s">
        <v>46570</v>
      </c>
      <c r="P13038">
        <v>0</v>
      </c>
      <c r="Q13038">
        <v>1</v>
      </c>
      <c r="R13038" t="s">
        <v>46585</v>
      </c>
      <c r="S13038" t="s">
        <v>47146</v>
      </c>
      <c r="T13038" t="s">
        <v>48283</v>
      </c>
      <c r="U13038" t="s">
        <v>59234</v>
      </c>
      <c r="W13038" t="s">
        <v>42920</v>
      </c>
      <c r="X13038" t="s">
        <v>46586</v>
      </c>
    </row>
    <row r="13039" spans="1:24">
      <c r="A13039">
        <f>HYPERLINK("https://www.philgeps.gov.ph/GEPSNONPILOT/Tender/SplashBidNoticeAbstractUI.aspx?menuIndex=3&amp;refID=7038730&amp;Result=3","7038730")</f>
        <v>0</v>
      </c>
      <c r="B13039" t="s">
        <v>1699</v>
      </c>
      <c r="C13039" t="s">
        <v>15907</v>
      </c>
      <c r="D13039" t="s">
        <v>18791</v>
      </c>
      <c r="E13039" t="s">
        <v>30090</v>
      </c>
      <c r="F13039" t="s">
        <v>32664</v>
      </c>
      <c r="G13039" t="s">
        <v>32673</v>
      </c>
      <c r="H13039" t="s">
        <v>32683</v>
      </c>
      <c r="I13039" t="s">
        <v>10627</v>
      </c>
      <c r="J13039" t="s">
        <v>40526</v>
      </c>
      <c r="K13039" t="s">
        <v>42283</v>
      </c>
      <c r="L13039" t="s">
        <v>1699</v>
      </c>
      <c r="M13039" t="s">
        <v>44393</v>
      </c>
      <c r="N13039" t="s">
        <v>46569</v>
      </c>
      <c r="O13039" t="s">
        <v>46570</v>
      </c>
      <c r="Q13039">
        <v>5</v>
      </c>
      <c r="R13039" t="s">
        <v>46585</v>
      </c>
      <c r="S13039" t="s">
        <v>47181</v>
      </c>
      <c r="T13039" t="s">
        <v>48282</v>
      </c>
      <c r="U13039" t="s">
        <v>59235</v>
      </c>
      <c r="W13039" t="s">
        <v>44393</v>
      </c>
      <c r="X13039" t="s">
        <v>46586</v>
      </c>
    </row>
    <row r="13040" spans="1:24">
      <c r="A13040">
        <f>HYPERLINK("https://www.philgeps.gov.ph/GEPSNONPILOT/Tender/SplashBidNoticeAbstractUI.aspx?menuIndex=3&amp;refID=7038872&amp;Result=3","7038872")</f>
        <v>0</v>
      </c>
      <c r="B13040" t="s">
        <v>885</v>
      </c>
      <c r="C13040" t="s">
        <v>15908</v>
      </c>
      <c r="D13040" t="s">
        <v>18819</v>
      </c>
      <c r="E13040" t="s">
        <v>30091</v>
      </c>
      <c r="F13040" t="s">
        <v>32664</v>
      </c>
      <c r="G13040" t="s">
        <v>32672</v>
      </c>
      <c r="H13040" t="s">
        <v>32683</v>
      </c>
      <c r="I13040" t="s">
        <v>10627</v>
      </c>
      <c r="J13040" t="s">
        <v>40527</v>
      </c>
      <c r="K13040" t="s">
        <v>42290</v>
      </c>
      <c r="M13040" t="s">
        <v>46210</v>
      </c>
      <c r="N13040" t="s">
        <v>46569</v>
      </c>
      <c r="O13040" t="s">
        <v>46570</v>
      </c>
      <c r="P13040">
        <v>0</v>
      </c>
      <c r="Q13040">
        <v>0</v>
      </c>
      <c r="R13040" t="s">
        <v>46585</v>
      </c>
      <c r="S13040" t="s">
        <v>47146</v>
      </c>
      <c r="T13040" t="s">
        <v>48370</v>
      </c>
      <c r="U13040" t="s">
        <v>59236</v>
      </c>
      <c r="W13040" t="s">
        <v>46210</v>
      </c>
      <c r="X13040" t="s">
        <v>46586</v>
      </c>
    </row>
    <row r="13041" spans="1:24">
      <c r="A13041">
        <f>HYPERLINK("https://www.philgeps.gov.ph/GEPSNONPILOT/Tender/SplashBidNoticeAbstractUI.aspx?menuIndex=3&amp;refID=7038864&amp;Result=3","7038864")</f>
        <v>0</v>
      </c>
      <c r="B13041" t="s">
        <v>3013</v>
      </c>
      <c r="C13041" t="s">
        <v>15909</v>
      </c>
      <c r="D13041" t="s">
        <v>18810</v>
      </c>
      <c r="E13041" t="s">
        <v>30092</v>
      </c>
      <c r="F13041" t="s">
        <v>32664</v>
      </c>
      <c r="G13041" t="s">
        <v>32672</v>
      </c>
      <c r="H13041" t="s">
        <v>32683</v>
      </c>
      <c r="I13041" t="s">
        <v>10627</v>
      </c>
      <c r="J13041" t="s">
        <v>34148</v>
      </c>
      <c r="K13041" t="s">
        <v>42421</v>
      </c>
      <c r="M13041" t="s">
        <v>45885</v>
      </c>
      <c r="N13041" t="s">
        <v>46569</v>
      </c>
      <c r="O13041" t="s">
        <v>46570</v>
      </c>
      <c r="P13041">
        <v>0</v>
      </c>
      <c r="Q13041">
        <v>0</v>
      </c>
      <c r="R13041" t="s">
        <v>46585</v>
      </c>
      <c r="S13041" t="s">
        <v>47146</v>
      </c>
      <c r="T13041" t="s">
        <v>48453</v>
      </c>
      <c r="U13041" t="s">
        <v>59237</v>
      </c>
      <c r="W13041" t="s">
        <v>45885</v>
      </c>
      <c r="X13041" t="s">
        <v>46586</v>
      </c>
    </row>
    <row r="13042" spans="1:24">
      <c r="A13042">
        <f>HYPERLINK("https://www.philgeps.gov.ph/GEPSNONPILOT/Tender/SplashBidNoticeAbstractUI.aspx?menuIndex=3&amp;refID=7038855&amp;Result=3","7038855")</f>
        <v>0</v>
      </c>
      <c r="B13042" t="s">
        <v>3279</v>
      </c>
      <c r="C13042" t="s">
        <v>15910</v>
      </c>
      <c r="D13042" t="s">
        <v>18797</v>
      </c>
      <c r="E13042" t="s">
        <v>30093</v>
      </c>
      <c r="F13042" t="s">
        <v>32664</v>
      </c>
      <c r="G13042" t="s">
        <v>32672</v>
      </c>
      <c r="H13042" t="s">
        <v>32683</v>
      </c>
      <c r="I13042" t="s">
        <v>10627</v>
      </c>
      <c r="J13042" t="s">
        <v>33128</v>
      </c>
      <c r="K13042" t="s">
        <v>42298</v>
      </c>
      <c r="M13042" t="s">
        <v>46216</v>
      </c>
      <c r="N13042" t="s">
        <v>46569</v>
      </c>
      <c r="O13042" t="s">
        <v>46570</v>
      </c>
      <c r="P13042">
        <v>0</v>
      </c>
      <c r="Q13042">
        <v>5</v>
      </c>
      <c r="R13042" t="s">
        <v>46585</v>
      </c>
      <c r="S13042" t="s">
        <v>47146</v>
      </c>
      <c r="T13042" t="s">
        <v>48245</v>
      </c>
      <c r="U13042" t="s">
        <v>59238</v>
      </c>
      <c r="W13042" t="s">
        <v>46216</v>
      </c>
      <c r="X13042" t="s">
        <v>46586</v>
      </c>
    </row>
    <row r="13043" spans="1:24">
      <c r="A13043">
        <f>HYPERLINK("https://www.philgeps.gov.ph/GEPSNONPILOT/Tender/SplashBidNoticeAbstractUI.aspx?menuIndex=3&amp;refID=7038573&amp;Result=3","7038573")</f>
        <v>0</v>
      </c>
      <c r="B13043" t="s">
        <v>885</v>
      </c>
      <c r="C13043" t="s">
        <v>15911</v>
      </c>
      <c r="D13043" t="s">
        <v>18819</v>
      </c>
      <c r="E13043" t="s">
        <v>30094</v>
      </c>
      <c r="F13043" t="s">
        <v>32664</v>
      </c>
      <c r="G13043" t="s">
        <v>32672</v>
      </c>
      <c r="H13043" t="s">
        <v>32683</v>
      </c>
      <c r="I13043" t="s">
        <v>10627</v>
      </c>
      <c r="J13043" t="s">
        <v>40528</v>
      </c>
      <c r="K13043" t="s">
        <v>42290</v>
      </c>
      <c r="M13043" t="s">
        <v>46210</v>
      </c>
      <c r="N13043" t="s">
        <v>46569</v>
      </c>
      <c r="O13043" t="s">
        <v>46570</v>
      </c>
      <c r="P13043">
        <v>0</v>
      </c>
      <c r="Q13043">
        <v>0</v>
      </c>
      <c r="R13043" t="s">
        <v>46585</v>
      </c>
      <c r="S13043" t="s">
        <v>47146</v>
      </c>
      <c r="T13043" t="s">
        <v>48370</v>
      </c>
      <c r="U13043" t="s">
        <v>59239</v>
      </c>
      <c r="W13043" t="s">
        <v>46210</v>
      </c>
      <c r="X13043" t="s">
        <v>46586</v>
      </c>
    </row>
    <row r="13044" spans="1:24">
      <c r="A13044">
        <f>HYPERLINK("https://www.philgeps.gov.ph/GEPSNONPILOT/Tender/SplashBidNoticeAbstractUI.aspx?menuIndex=3&amp;refID=7038851&amp;Result=3","7038851")</f>
        <v>0</v>
      </c>
      <c r="B13044" t="s">
        <v>3278</v>
      </c>
      <c r="C13044" t="s">
        <v>15912</v>
      </c>
      <c r="D13044" t="s">
        <v>18805</v>
      </c>
      <c r="E13044" t="s">
        <v>19338</v>
      </c>
      <c r="F13044" t="s">
        <v>32664</v>
      </c>
      <c r="G13044" t="s">
        <v>32672</v>
      </c>
      <c r="H13044" t="s">
        <v>12635</v>
      </c>
      <c r="I13044" t="s">
        <v>4439</v>
      </c>
      <c r="J13044" t="s">
        <v>40529</v>
      </c>
      <c r="K13044" t="s">
        <v>42289</v>
      </c>
      <c r="M13044" t="s">
        <v>46215</v>
      </c>
      <c r="N13044" t="s">
        <v>46569</v>
      </c>
      <c r="O13044" t="s">
        <v>46570</v>
      </c>
      <c r="P13044">
        <v>0</v>
      </c>
      <c r="Q13044">
        <v>1</v>
      </c>
      <c r="R13044" t="s">
        <v>46585</v>
      </c>
      <c r="S13044" t="s">
        <v>47146</v>
      </c>
      <c r="T13044" t="s">
        <v>48282</v>
      </c>
      <c r="U13044" t="s">
        <v>59240</v>
      </c>
      <c r="W13044" t="s">
        <v>46215</v>
      </c>
      <c r="X13044" t="s">
        <v>46586</v>
      </c>
    </row>
    <row r="13045" spans="1:24">
      <c r="A13045">
        <f>HYPERLINK("https://www.philgeps.gov.ph/GEPSNONPILOT/Tender/SplashBidNoticeAbstractUI.aspx?menuIndex=3&amp;refID=7038841&amp;Result=3","7038841")</f>
        <v>0</v>
      </c>
      <c r="B13045" t="s">
        <v>885</v>
      </c>
      <c r="C13045" t="s">
        <v>15913</v>
      </c>
      <c r="D13045" t="s">
        <v>18819</v>
      </c>
      <c r="E13045" t="s">
        <v>30095</v>
      </c>
      <c r="F13045" t="s">
        <v>32664</v>
      </c>
      <c r="G13045" t="s">
        <v>32672</v>
      </c>
      <c r="H13045" t="s">
        <v>32683</v>
      </c>
      <c r="I13045" t="s">
        <v>10627</v>
      </c>
      <c r="J13045" t="s">
        <v>40530</v>
      </c>
      <c r="K13045" t="s">
        <v>42290</v>
      </c>
      <c r="M13045" t="s">
        <v>46210</v>
      </c>
      <c r="N13045" t="s">
        <v>46569</v>
      </c>
      <c r="O13045" t="s">
        <v>46570</v>
      </c>
      <c r="P13045">
        <v>0</v>
      </c>
      <c r="Q13045">
        <v>0</v>
      </c>
      <c r="R13045" t="s">
        <v>46585</v>
      </c>
      <c r="S13045" t="s">
        <v>47146</v>
      </c>
      <c r="T13045" t="s">
        <v>48370</v>
      </c>
      <c r="U13045" t="s">
        <v>59241</v>
      </c>
      <c r="W13045" t="s">
        <v>46210</v>
      </c>
      <c r="X13045" t="s">
        <v>46586</v>
      </c>
    </row>
    <row r="13046" spans="1:24">
      <c r="A13046">
        <f>HYPERLINK("https://www.philgeps.gov.ph/GEPSNONPILOT/Tender/SplashBidNoticeAbstractUI.aspx?menuIndex=3&amp;refID=7038839&amp;Result=3","7038839")</f>
        <v>0</v>
      </c>
      <c r="B13046" t="s">
        <v>1341</v>
      </c>
      <c r="C13046" t="s">
        <v>15914</v>
      </c>
      <c r="D13046" t="s">
        <v>18842</v>
      </c>
      <c r="E13046" t="s">
        <v>30096</v>
      </c>
      <c r="F13046" t="s">
        <v>32664</v>
      </c>
      <c r="G13046" t="s">
        <v>32672</v>
      </c>
      <c r="H13046" t="s">
        <v>32683</v>
      </c>
      <c r="I13046" t="s">
        <v>10627</v>
      </c>
      <c r="J13046" t="s">
        <v>40531</v>
      </c>
      <c r="K13046" t="s">
        <v>42283</v>
      </c>
      <c r="M13046" t="s">
        <v>43991</v>
      </c>
      <c r="N13046" t="s">
        <v>46569</v>
      </c>
      <c r="O13046" t="s">
        <v>46570</v>
      </c>
      <c r="P13046">
        <v>0</v>
      </c>
      <c r="Q13046">
        <v>0</v>
      </c>
      <c r="R13046" t="s">
        <v>46585</v>
      </c>
      <c r="S13046" t="s">
        <v>47146</v>
      </c>
      <c r="T13046" t="s">
        <v>48226</v>
      </c>
      <c r="U13046" t="s">
        <v>59242</v>
      </c>
      <c r="W13046" t="s">
        <v>43991</v>
      </c>
      <c r="X13046" t="s">
        <v>46586</v>
      </c>
    </row>
    <row r="13047" spans="1:24">
      <c r="A13047">
        <f>HYPERLINK("https://www.philgeps.gov.ph/GEPSNONPILOT/Tender/SplashBidNoticeAbstractUI.aspx?menuIndex=3&amp;refID=7038821&amp;Result=3","7038821")</f>
        <v>0</v>
      </c>
      <c r="B13047" t="s">
        <v>3278</v>
      </c>
      <c r="C13047" t="s">
        <v>15915</v>
      </c>
      <c r="D13047" t="s">
        <v>18805</v>
      </c>
      <c r="E13047" t="s">
        <v>19282</v>
      </c>
      <c r="F13047" t="s">
        <v>32664</v>
      </c>
      <c r="G13047" t="s">
        <v>32672</v>
      </c>
      <c r="H13047" t="s">
        <v>12635</v>
      </c>
      <c r="I13047" t="s">
        <v>4439</v>
      </c>
      <c r="J13047" t="s">
        <v>33008</v>
      </c>
      <c r="K13047" t="s">
        <v>42289</v>
      </c>
      <c r="M13047" t="s">
        <v>46215</v>
      </c>
      <c r="N13047" t="s">
        <v>46569</v>
      </c>
      <c r="O13047" t="s">
        <v>46570</v>
      </c>
      <c r="P13047">
        <v>0</v>
      </c>
      <c r="Q13047">
        <v>1</v>
      </c>
      <c r="R13047" t="s">
        <v>46585</v>
      </c>
      <c r="S13047" t="s">
        <v>47146</v>
      </c>
      <c r="T13047" t="s">
        <v>48282</v>
      </c>
      <c r="U13047" t="s">
        <v>59243</v>
      </c>
      <c r="W13047" t="s">
        <v>46215</v>
      </c>
      <c r="X13047" t="s">
        <v>46586</v>
      </c>
    </row>
    <row r="13048" spans="1:24">
      <c r="A13048">
        <f>HYPERLINK("https://www.philgeps.gov.ph/GEPSNONPILOT/Tender/SplashBidNoticeAbstractUI.aspx?menuIndex=3&amp;refID=7038871&amp;Result=3","7038871")</f>
        <v>0</v>
      </c>
      <c r="B13048" t="s">
        <v>3278</v>
      </c>
      <c r="C13048" t="s">
        <v>15916</v>
      </c>
      <c r="D13048" t="s">
        <v>18805</v>
      </c>
      <c r="E13048" t="s">
        <v>19601</v>
      </c>
      <c r="F13048" t="s">
        <v>32664</v>
      </c>
      <c r="G13048" t="s">
        <v>32672</v>
      </c>
      <c r="H13048" t="s">
        <v>12635</v>
      </c>
      <c r="I13048" t="s">
        <v>4439</v>
      </c>
      <c r="J13048" t="s">
        <v>40532</v>
      </c>
      <c r="K13048" t="s">
        <v>42289</v>
      </c>
      <c r="M13048" t="s">
        <v>46215</v>
      </c>
      <c r="N13048" t="s">
        <v>46569</v>
      </c>
      <c r="O13048" t="s">
        <v>46570</v>
      </c>
      <c r="P13048">
        <v>0</v>
      </c>
      <c r="Q13048">
        <v>1</v>
      </c>
      <c r="R13048" t="s">
        <v>46585</v>
      </c>
      <c r="S13048" t="s">
        <v>47146</v>
      </c>
      <c r="T13048" t="s">
        <v>48282</v>
      </c>
      <c r="U13048" t="s">
        <v>59244</v>
      </c>
      <c r="W13048" t="s">
        <v>46215</v>
      </c>
      <c r="X13048" t="s">
        <v>46586</v>
      </c>
    </row>
    <row r="13049" spans="1:24">
      <c r="A13049">
        <f>HYPERLINK("https://www.philgeps.gov.ph/GEPSNONPILOT/Tender/SplashBidNoticeAbstractUI.aspx?menuIndex=3&amp;refID=7038831&amp;Result=3","7038831")</f>
        <v>0</v>
      </c>
      <c r="B13049" t="s">
        <v>3013</v>
      </c>
      <c r="C13049" t="s">
        <v>15917</v>
      </c>
      <c r="D13049" t="s">
        <v>18810</v>
      </c>
      <c r="E13049" t="s">
        <v>30097</v>
      </c>
      <c r="F13049" t="s">
        <v>32664</v>
      </c>
      <c r="G13049" t="s">
        <v>32672</v>
      </c>
      <c r="H13049" t="s">
        <v>12635</v>
      </c>
      <c r="I13049" t="s">
        <v>32725</v>
      </c>
      <c r="J13049" t="s">
        <v>33396</v>
      </c>
      <c r="K13049" t="s">
        <v>42289</v>
      </c>
      <c r="M13049" t="s">
        <v>45885</v>
      </c>
      <c r="N13049" t="s">
        <v>46569</v>
      </c>
      <c r="O13049" t="s">
        <v>46570</v>
      </c>
      <c r="P13049">
        <v>0</v>
      </c>
      <c r="Q13049">
        <v>1</v>
      </c>
      <c r="R13049" t="s">
        <v>46585</v>
      </c>
      <c r="S13049" t="s">
        <v>47146</v>
      </c>
      <c r="T13049" t="s">
        <v>48657</v>
      </c>
      <c r="U13049" t="s">
        <v>59245</v>
      </c>
      <c r="W13049" t="s">
        <v>45885</v>
      </c>
      <c r="X13049" t="s">
        <v>46586</v>
      </c>
    </row>
    <row r="13050" spans="1:24">
      <c r="A13050">
        <f>HYPERLINK("https://www.philgeps.gov.ph/GEPSNONPILOT/Tender/SplashBidNoticeAbstractUI.aspx?menuIndex=3&amp;refID=7038857&amp;Result=3","7038857")</f>
        <v>0</v>
      </c>
      <c r="B13050" t="s">
        <v>885</v>
      </c>
      <c r="C13050" t="s">
        <v>15918</v>
      </c>
      <c r="D13050" t="s">
        <v>18819</v>
      </c>
      <c r="E13050" t="s">
        <v>30098</v>
      </c>
      <c r="F13050" t="s">
        <v>32664</v>
      </c>
      <c r="G13050" t="s">
        <v>32672</v>
      </c>
      <c r="H13050" t="s">
        <v>32683</v>
      </c>
      <c r="I13050" t="s">
        <v>10627</v>
      </c>
      <c r="J13050" t="s">
        <v>34932</v>
      </c>
      <c r="K13050" t="s">
        <v>42290</v>
      </c>
      <c r="M13050" t="s">
        <v>46210</v>
      </c>
      <c r="N13050" t="s">
        <v>46569</v>
      </c>
      <c r="O13050" t="s">
        <v>46570</v>
      </c>
      <c r="P13050">
        <v>0</v>
      </c>
      <c r="Q13050">
        <v>0</v>
      </c>
      <c r="R13050" t="s">
        <v>46585</v>
      </c>
      <c r="S13050" t="s">
        <v>47146</v>
      </c>
      <c r="T13050" t="s">
        <v>48370</v>
      </c>
      <c r="U13050" t="s">
        <v>59246</v>
      </c>
      <c r="W13050" t="s">
        <v>46210</v>
      </c>
      <c r="X13050" t="s">
        <v>46586</v>
      </c>
    </row>
    <row r="13051" spans="1:24">
      <c r="A13051">
        <f>HYPERLINK("https://www.philgeps.gov.ph/GEPSNONPILOT/Tender/SplashBidNoticeAbstractUI.aspx?menuIndex=3&amp;refID=7038975&amp;Result=3","7038975")</f>
        <v>0</v>
      </c>
      <c r="B13051" t="s">
        <v>2527</v>
      </c>
      <c r="C13051" t="s">
        <v>15919</v>
      </c>
      <c r="D13051" t="s">
        <v>18856</v>
      </c>
      <c r="E13051" t="s">
        <v>30099</v>
      </c>
      <c r="F13051" t="s">
        <v>32664</v>
      </c>
      <c r="G13051" t="s">
        <v>32672</v>
      </c>
      <c r="H13051" t="s">
        <v>12635</v>
      </c>
      <c r="I13051" t="s">
        <v>10627</v>
      </c>
      <c r="J13051" t="s">
        <v>40533</v>
      </c>
      <c r="K13051" t="s">
        <v>42305</v>
      </c>
      <c r="M13051" t="s">
        <v>45334</v>
      </c>
      <c r="N13051" t="s">
        <v>46569</v>
      </c>
      <c r="O13051" t="s">
        <v>46570</v>
      </c>
      <c r="P13051">
        <v>0</v>
      </c>
      <c r="Q13051">
        <v>3</v>
      </c>
      <c r="R13051" t="s">
        <v>46585</v>
      </c>
      <c r="S13051" t="s">
        <v>47146</v>
      </c>
      <c r="T13051" t="s">
        <v>48282</v>
      </c>
      <c r="U13051" t="s">
        <v>59247</v>
      </c>
      <c r="V13051" t="s">
        <v>63063</v>
      </c>
      <c r="W13051" t="s">
        <v>45334</v>
      </c>
      <c r="X13051" t="s">
        <v>46586</v>
      </c>
    </row>
    <row r="13052" spans="1:24">
      <c r="A13052">
        <f>HYPERLINK("https://www.philgeps.gov.ph/GEPSNONPILOT/Tender/SplashBidNoticeAbstractUI.aspx?menuIndex=3&amp;refID=7038747&amp;Result=3","7038747")</f>
        <v>0</v>
      </c>
      <c r="B13052" t="s">
        <v>885</v>
      </c>
      <c r="C13052" t="s">
        <v>15920</v>
      </c>
      <c r="D13052" t="s">
        <v>18819</v>
      </c>
      <c r="E13052" t="s">
        <v>30100</v>
      </c>
      <c r="F13052" t="s">
        <v>32664</v>
      </c>
      <c r="G13052" t="s">
        <v>32672</v>
      </c>
      <c r="H13052" t="s">
        <v>32683</v>
      </c>
      <c r="I13052" t="s">
        <v>10627</v>
      </c>
      <c r="J13052" t="s">
        <v>36065</v>
      </c>
      <c r="K13052" t="s">
        <v>42308</v>
      </c>
      <c r="M13052" t="s">
        <v>46210</v>
      </c>
      <c r="N13052" t="s">
        <v>46569</v>
      </c>
      <c r="O13052" t="s">
        <v>46570</v>
      </c>
      <c r="P13052">
        <v>0</v>
      </c>
      <c r="Q13052">
        <v>0</v>
      </c>
      <c r="R13052" t="s">
        <v>46585</v>
      </c>
      <c r="S13052" t="s">
        <v>47146</v>
      </c>
      <c r="T13052" t="s">
        <v>48370</v>
      </c>
      <c r="U13052" t="s">
        <v>59248</v>
      </c>
      <c r="W13052" t="s">
        <v>46210</v>
      </c>
      <c r="X13052" t="s">
        <v>46586</v>
      </c>
    </row>
    <row r="13053" spans="1:24">
      <c r="A13053">
        <f>HYPERLINK("https://www.philgeps.gov.ph/GEPSNONPILOT/Tender/SplashBidNoticeAbstractUI.aspx?menuIndex=3&amp;refID=7038974&amp;Result=3","7038974")</f>
        <v>0</v>
      </c>
      <c r="B13053" t="s">
        <v>2108</v>
      </c>
      <c r="C13053" t="s">
        <v>15921</v>
      </c>
      <c r="D13053" t="s">
        <v>18806</v>
      </c>
      <c r="E13053" t="s">
        <v>30101</v>
      </c>
      <c r="F13053" t="s">
        <v>32664</v>
      </c>
      <c r="G13053" t="s">
        <v>32672</v>
      </c>
      <c r="H13053" t="s">
        <v>12635</v>
      </c>
      <c r="I13053" t="s">
        <v>11464</v>
      </c>
      <c r="J13053" t="s">
        <v>32943</v>
      </c>
      <c r="K13053" t="s">
        <v>42297</v>
      </c>
      <c r="M13053" t="s">
        <v>44863</v>
      </c>
      <c r="N13053" t="s">
        <v>46569</v>
      </c>
      <c r="O13053" t="s">
        <v>46570</v>
      </c>
      <c r="P13053">
        <v>0</v>
      </c>
      <c r="Q13053">
        <v>3</v>
      </c>
      <c r="R13053" t="s">
        <v>46585</v>
      </c>
      <c r="S13053" t="s">
        <v>47146</v>
      </c>
      <c r="T13053" t="s">
        <v>48715</v>
      </c>
      <c r="U13053" t="s">
        <v>59249</v>
      </c>
      <c r="W13053" t="s">
        <v>63550</v>
      </c>
      <c r="X13053" t="s">
        <v>46586</v>
      </c>
    </row>
    <row r="13054" spans="1:24">
      <c r="A13054">
        <f>HYPERLINK("https://www.philgeps.gov.ph/GEPSNONPILOT/Tender/SplashBidNoticeAbstractUI.aspx?menuIndex=3&amp;refID=7038962&amp;Result=3","7038962")</f>
        <v>0</v>
      </c>
      <c r="B13054" t="s">
        <v>163</v>
      </c>
      <c r="C13054" t="s">
        <v>15922</v>
      </c>
      <c r="D13054" t="s">
        <v>18822</v>
      </c>
      <c r="E13054" t="s">
        <v>27694</v>
      </c>
      <c r="F13054" t="s">
        <v>32664</v>
      </c>
      <c r="G13054" t="s">
        <v>32671</v>
      </c>
      <c r="H13054" t="s">
        <v>12635</v>
      </c>
      <c r="I13054" t="s">
        <v>32764</v>
      </c>
      <c r="J13054" t="s">
        <v>38168</v>
      </c>
      <c r="K13054" t="s">
        <v>42281</v>
      </c>
      <c r="M13054" t="s">
        <v>45400</v>
      </c>
      <c r="N13054" t="s">
        <v>46569</v>
      </c>
      <c r="O13054" t="s">
        <v>46570</v>
      </c>
      <c r="Q13054">
        <v>5</v>
      </c>
      <c r="R13054" t="s">
        <v>46585</v>
      </c>
      <c r="S13054" t="s">
        <v>47182</v>
      </c>
      <c r="T13054" t="s">
        <v>48316</v>
      </c>
      <c r="U13054" t="s">
        <v>59250</v>
      </c>
      <c r="W13054" t="s">
        <v>45400</v>
      </c>
      <c r="X13054" t="s">
        <v>46586</v>
      </c>
    </row>
    <row r="13055" spans="1:24">
      <c r="A13055">
        <f>HYPERLINK("https://www.philgeps.gov.ph/GEPSNONPILOT/Tender/SplashBidNoticeAbstractUI.aspx?menuIndex=3&amp;refID=7038609&amp;Result=3","7038609")</f>
        <v>0</v>
      </c>
      <c r="B13055" t="s">
        <v>885</v>
      </c>
      <c r="C13055" t="s">
        <v>15923</v>
      </c>
      <c r="D13055" t="s">
        <v>18819</v>
      </c>
      <c r="E13055" t="s">
        <v>30102</v>
      </c>
      <c r="F13055" t="s">
        <v>32664</v>
      </c>
      <c r="G13055" t="s">
        <v>32672</v>
      </c>
      <c r="H13055" t="s">
        <v>32683</v>
      </c>
      <c r="I13055" t="s">
        <v>10627</v>
      </c>
      <c r="J13055" t="s">
        <v>40534</v>
      </c>
      <c r="K13055" t="s">
        <v>42308</v>
      </c>
      <c r="M13055" t="s">
        <v>46210</v>
      </c>
      <c r="N13055" t="s">
        <v>46569</v>
      </c>
      <c r="O13055" t="s">
        <v>46570</v>
      </c>
      <c r="P13055">
        <v>0</v>
      </c>
      <c r="Q13055">
        <v>0</v>
      </c>
      <c r="R13055" t="s">
        <v>46585</v>
      </c>
      <c r="S13055" t="s">
        <v>47146</v>
      </c>
      <c r="T13055" t="s">
        <v>48370</v>
      </c>
      <c r="U13055" t="s">
        <v>59251</v>
      </c>
      <c r="W13055" t="s">
        <v>46210</v>
      </c>
      <c r="X13055" t="s">
        <v>46586</v>
      </c>
    </row>
    <row r="13056" spans="1:24">
      <c r="A13056">
        <f>HYPERLINK("https://www.philgeps.gov.ph/GEPSNONPILOT/Tender/SplashBidNoticeAbstractUI.aspx?menuIndex=3&amp;refID=7038979&amp;Result=3","7038979")</f>
        <v>0</v>
      </c>
      <c r="B13056" t="s">
        <v>3280</v>
      </c>
      <c r="C13056" t="s">
        <v>15924</v>
      </c>
      <c r="D13056" t="s">
        <v>18859</v>
      </c>
      <c r="E13056" t="s">
        <v>27390</v>
      </c>
      <c r="F13056" t="s">
        <v>32664</v>
      </c>
      <c r="G13056" t="s">
        <v>32672</v>
      </c>
      <c r="H13056" t="s">
        <v>32683</v>
      </c>
      <c r="I13056" t="s">
        <v>10627</v>
      </c>
      <c r="J13056" t="s">
        <v>32853</v>
      </c>
      <c r="K13056" t="s">
        <v>42281</v>
      </c>
      <c r="M13056" t="s">
        <v>46217</v>
      </c>
      <c r="N13056" t="s">
        <v>46569</v>
      </c>
      <c r="O13056" t="s">
        <v>46570</v>
      </c>
      <c r="P13056">
        <v>0</v>
      </c>
      <c r="Q13056">
        <v>0</v>
      </c>
      <c r="R13056" t="s">
        <v>46585</v>
      </c>
      <c r="S13056" t="s">
        <v>47146</v>
      </c>
      <c r="T13056" t="s">
        <v>48330</v>
      </c>
      <c r="U13056" t="s">
        <v>59252</v>
      </c>
      <c r="W13056" t="s">
        <v>46217</v>
      </c>
      <c r="X13056" t="s">
        <v>46586</v>
      </c>
    </row>
    <row r="13057" spans="1:24">
      <c r="A13057">
        <f>HYPERLINK("https://www.philgeps.gov.ph/GEPSNONPILOT/Tender/SplashBidNoticeAbstractUI.aspx?menuIndex=3&amp;refID=7038945&amp;Result=3","7038945")</f>
        <v>0</v>
      </c>
      <c r="B13057" t="s">
        <v>2378</v>
      </c>
      <c r="C13057" t="s">
        <v>15925</v>
      </c>
      <c r="D13057" t="s">
        <v>18831</v>
      </c>
      <c r="E13057" t="s">
        <v>30103</v>
      </c>
      <c r="F13057" t="s">
        <v>32664</v>
      </c>
      <c r="G13057" t="s">
        <v>32672</v>
      </c>
      <c r="H13057" t="s">
        <v>32681</v>
      </c>
      <c r="I13057" t="s">
        <v>32681</v>
      </c>
      <c r="J13057" t="s">
        <v>40535</v>
      </c>
      <c r="K13057" t="s">
        <v>42317</v>
      </c>
      <c r="M13057" t="s">
        <v>46013</v>
      </c>
      <c r="N13057" t="s">
        <v>46569</v>
      </c>
      <c r="O13057" t="s">
        <v>46570</v>
      </c>
      <c r="P13057">
        <v>0</v>
      </c>
      <c r="Q13057">
        <v>1</v>
      </c>
      <c r="R13057" t="s">
        <v>46585</v>
      </c>
      <c r="S13057" t="s">
        <v>47146</v>
      </c>
      <c r="T13057" t="s">
        <v>48696</v>
      </c>
      <c r="U13057" t="s">
        <v>59253</v>
      </c>
      <c r="V13057" t="s">
        <v>63064</v>
      </c>
      <c r="W13057" t="s">
        <v>46013</v>
      </c>
      <c r="X13057" t="s">
        <v>46586</v>
      </c>
    </row>
    <row r="13058" spans="1:24">
      <c r="A13058">
        <f>HYPERLINK("https://www.philgeps.gov.ph/GEPSNONPILOT/Tender/SplashBidNoticeAbstractUI.aspx?menuIndex=3&amp;refID=7038405&amp;Result=3","7038405")</f>
        <v>0</v>
      </c>
      <c r="B13058" t="s">
        <v>601</v>
      </c>
      <c r="C13058" t="s">
        <v>15926</v>
      </c>
      <c r="D13058" t="s">
        <v>18848</v>
      </c>
      <c r="E13058" t="s">
        <v>27369</v>
      </c>
      <c r="F13058" t="s">
        <v>32664</v>
      </c>
      <c r="G13058" t="s">
        <v>32672</v>
      </c>
      <c r="H13058" t="s">
        <v>12635</v>
      </c>
      <c r="I13058" t="s">
        <v>6628</v>
      </c>
      <c r="J13058" t="s">
        <v>40536</v>
      </c>
      <c r="K13058" t="s">
        <v>42283</v>
      </c>
      <c r="M13058" t="s">
        <v>43181</v>
      </c>
      <c r="N13058" t="s">
        <v>46569</v>
      </c>
      <c r="O13058" t="s">
        <v>46570</v>
      </c>
      <c r="P13058">
        <v>0</v>
      </c>
      <c r="Q13058">
        <v>3</v>
      </c>
      <c r="R13058" t="s">
        <v>46585</v>
      </c>
      <c r="S13058" t="s">
        <v>47146</v>
      </c>
      <c r="T13058" t="s">
        <v>48246</v>
      </c>
      <c r="U13058" t="s">
        <v>59254</v>
      </c>
      <c r="W13058" t="s">
        <v>43181</v>
      </c>
      <c r="X13058" t="s">
        <v>46586</v>
      </c>
    </row>
    <row r="13059" spans="1:24">
      <c r="A13059">
        <f>HYPERLINK("https://www.philgeps.gov.ph/GEPSNONPILOT/Tender/SplashBidNoticeAbstractUI.aspx?menuIndex=3&amp;refID=7038943&amp;Result=3","7038943")</f>
        <v>0</v>
      </c>
      <c r="B13059" t="s">
        <v>1467</v>
      </c>
      <c r="C13059" t="s">
        <v>15927</v>
      </c>
      <c r="D13059" t="s">
        <v>18809</v>
      </c>
      <c r="E13059" t="s">
        <v>23387</v>
      </c>
      <c r="F13059" t="s">
        <v>32664</v>
      </c>
      <c r="G13059" t="s">
        <v>32672</v>
      </c>
      <c r="H13059" t="s">
        <v>12635</v>
      </c>
      <c r="I13059" t="s">
        <v>5589</v>
      </c>
      <c r="J13059" t="s">
        <v>34518</v>
      </c>
      <c r="K13059" t="s">
        <v>42289</v>
      </c>
      <c r="M13059" t="s">
        <v>44129</v>
      </c>
      <c r="N13059" t="s">
        <v>46569</v>
      </c>
      <c r="O13059" t="s">
        <v>46570</v>
      </c>
      <c r="Q13059">
        <v>3</v>
      </c>
      <c r="R13059" t="s">
        <v>46585</v>
      </c>
      <c r="S13059" t="s">
        <v>47183</v>
      </c>
      <c r="T13059" t="s">
        <v>48226</v>
      </c>
      <c r="U13059" t="s">
        <v>59255</v>
      </c>
      <c r="W13059" t="s">
        <v>44129</v>
      </c>
      <c r="X13059" t="s">
        <v>46586</v>
      </c>
    </row>
    <row r="13060" spans="1:24">
      <c r="A13060">
        <f>HYPERLINK("https://www.philgeps.gov.ph/GEPSNONPILOT/Tender/SplashBidNoticeAbstractUI.aspx?menuIndex=3&amp;refID=7038728&amp;Result=3","7038728")</f>
        <v>0</v>
      </c>
      <c r="B13060" t="s">
        <v>3281</v>
      </c>
      <c r="C13060" t="s">
        <v>15928</v>
      </c>
      <c r="D13060" t="s">
        <v>18785</v>
      </c>
      <c r="E13060" t="s">
        <v>30104</v>
      </c>
      <c r="F13060" t="s">
        <v>32664</v>
      </c>
      <c r="G13060" t="s">
        <v>32672</v>
      </c>
      <c r="H13060" t="s">
        <v>32682</v>
      </c>
      <c r="I13060" t="s">
        <v>32701</v>
      </c>
      <c r="J13060" t="s">
        <v>40537</v>
      </c>
      <c r="K13060" t="s">
        <v>42291</v>
      </c>
      <c r="M13060" t="s">
        <v>46218</v>
      </c>
      <c r="N13060" t="s">
        <v>46569</v>
      </c>
      <c r="O13060" t="s">
        <v>46570</v>
      </c>
      <c r="Q13060">
        <v>0</v>
      </c>
      <c r="R13060" t="s">
        <v>46585</v>
      </c>
      <c r="S13060" t="s">
        <v>47184</v>
      </c>
      <c r="T13060" t="s">
        <v>48258</v>
      </c>
      <c r="U13060" t="s">
        <v>59256</v>
      </c>
      <c r="V13060" t="s">
        <v>63065</v>
      </c>
      <c r="W13060" t="s">
        <v>46218</v>
      </c>
      <c r="X13060" t="s">
        <v>46586</v>
      </c>
    </row>
    <row r="13061" spans="1:24">
      <c r="A13061">
        <f>HYPERLINK("https://www.philgeps.gov.ph/GEPSNONPILOT/Tender/SplashBidNoticeAbstractUI.aspx?menuIndex=3&amp;refID=7038947&amp;Result=3","7038947")</f>
        <v>0</v>
      </c>
      <c r="B13061" t="s">
        <v>3282</v>
      </c>
      <c r="C13061" t="s">
        <v>15929</v>
      </c>
      <c r="D13061" t="s">
        <v>18784</v>
      </c>
      <c r="E13061" t="s">
        <v>30105</v>
      </c>
      <c r="F13061" t="s">
        <v>32664</v>
      </c>
      <c r="G13061" t="s">
        <v>32671</v>
      </c>
      <c r="H13061" t="s">
        <v>12635</v>
      </c>
      <c r="I13061" t="s">
        <v>5589</v>
      </c>
      <c r="J13061" t="s">
        <v>33043</v>
      </c>
      <c r="K13061" t="s">
        <v>42297</v>
      </c>
      <c r="M13061" t="s">
        <v>46219</v>
      </c>
      <c r="N13061" t="s">
        <v>46569</v>
      </c>
      <c r="O13061" t="s">
        <v>46570</v>
      </c>
      <c r="Q13061">
        <v>5</v>
      </c>
      <c r="R13061" t="s">
        <v>46585</v>
      </c>
      <c r="S13061" t="s">
        <v>47185</v>
      </c>
      <c r="T13061" t="s">
        <v>48287</v>
      </c>
      <c r="U13061" t="s">
        <v>59257</v>
      </c>
      <c r="W13061" t="s">
        <v>46219</v>
      </c>
      <c r="X13061" t="s">
        <v>46586</v>
      </c>
    </row>
    <row r="13062" spans="1:24">
      <c r="A13062">
        <f>HYPERLINK("https://www.philgeps.gov.ph/GEPSNONPILOT/Tender/SplashBidNoticeAbstractUI.aspx?menuIndex=3&amp;refID=7038913&amp;Result=3","7038913")</f>
        <v>0</v>
      </c>
      <c r="B13062" t="s">
        <v>2514</v>
      </c>
      <c r="C13062" t="s">
        <v>15930</v>
      </c>
      <c r="D13062" t="s">
        <v>18783</v>
      </c>
      <c r="E13062" t="s">
        <v>30106</v>
      </c>
      <c r="F13062" t="s">
        <v>32664</v>
      </c>
      <c r="G13062" t="s">
        <v>32672</v>
      </c>
      <c r="H13062" t="s">
        <v>32683</v>
      </c>
      <c r="I13062" t="s">
        <v>10627</v>
      </c>
      <c r="J13062" t="s">
        <v>40538</v>
      </c>
      <c r="K13062" t="s">
        <v>42311</v>
      </c>
      <c r="M13062" t="s">
        <v>45319</v>
      </c>
      <c r="N13062" t="s">
        <v>46569</v>
      </c>
      <c r="O13062" t="s">
        <v>46570</v>
      </c>
      <c r="P13062">
        <v>0</v>
      </c>
      <c r="Q13062">
        <v>4</v>
      </c>
      <c r="R13062" t="s">
        <v>46585</v>
      </c>
      <c r="S13062" t="s">
        <v>47146</v>
      </c>
      <c r="T13062" t="s">
        <v>48212</v>
      </c>
      <c r="U13062" t="s">
        <v>59258</v>
      </c>
      <c r="W13062" t="s">
        <v>45319</v>
      </c>
      <c r="X13062" t="s">
        <v>46586</v>
      </c>
    </row>
    <row r="13063" spans="1:24">
      <c r="A13063">
        <f>HYPERLINK("https://www.philgeps.gov.ph/GEPSNONPILOT/Tender/SplashBidNoticeAbstractUI.aspx?menuIndex=3&amp;refID=7038909&amp;Result=3","7038909")</f>
        <v>0</v>
      </c>
      <c r="B13063" t="s">
        <v>2852</v>
      </c>
      <c r="C13063" t="s">
        <v>15931</v>
      </c>
      <c r="D13063" t="s">
        <v>18794</v>
      </c>
      <c r="E13063" t="s">
        <v>30107</v>
      </c>
      <c r="F13063" t="s">
        <v>32664</v>
      </c>
      <c r="G13063" t="s">
        <v>32672</v>
      </c>
      <c r="H13063" t="s">
        <v>32683</v>
      </c>
      <c r="I13063" t="s">
        <v>10627</v>
      </c>
      <c r="J13063" t="s">
        <v>40539</v>
      </c>
      <c r="K13063" t="s">
        <v>42541</v>
      </c>
      <c r="M13063" t="s">
        <v>45700</v>
      </c>
      <c r="N13063" t="s">
        <v>46569</v>
      </c>
      <c r="O13063" t="s">
        <v>46570</v>
      </c>
      <c r="P13063">
        <v>0</v>
      </c>
      <c r="Q13063">
        <v>0</v>
      </c>
      <c r="R13063" t="s">
        <v>46585</v>
      </c>
      <c r="S13063" t="s">
        <v>47146</v>
      </c>
      <c r="T13063" t="s">
        <v>48306</v>
      </c>
      <c r="U13063" t="s">
        <v>59259</v>
      </c>
      <c r="W13063" t="s">
        <v>45700</v>
      </c>
      <c r="X13063" t="s">
        <v>46586</v>
      </c>
    </row>
    <row r="13064" spans="1:24">
      <c r="A13064">
        <f>HYPERLINK("https://www.philgeps.gov.ph/GEPSNONPILOT/Tender/SplashBidNoticeAbstractUI.aspx?menuIndex=3&amp;refID=7038940&amp;Result=3","7038940")</f>
        <v>0</v>
      </c>
      <c r="B13064" t="s">
        <v>2108</v>
      </c>
      <c r="C13064" t="s">
        <v>15932</v>
      </c>
      <c r="D13064" t="s">
        <v>18806</v>
      </c>
      <c r="E13064" t="s">
        <v>30108</v>
      </c>
      <c r="F13064" t="s">
        <v>32664</v>
      </c>
      <c r="G13064" t="s">
        <v>32672</v>
      </c>
      <c r="H13064" t="s">
        <v>12635</v>
      </c>
      <c r="I13064" t="s">
        <v>11464</v>
      </c>
      <c r="J13064" t="s">
        <v>33273</v>
      </c>
      <c r="K13064" t="s">
        <v>42297</v>
      </c>
      <c r="M13064" t="s">
        <v>44863</v>
      </c>
      <c r="N13064" t="s">
        <v>46569</v>
      </c>
      <c r="O13064" t="s">
        <v>46570</v>
      </c>
      <c r="P13064">
        <v>0</v>
      </c>
      <c r="Q13064">
        <v>6</v>
      </c>
      <c r="R13064" t="s">
        <v>46585</v>
      </c>
      <c r="S13064" t="s">
        <v>47146</v>
      </c>
      <c r="T13064" t="s">
        <v>48715</v>
      </c>
      <c r="U13064" t="s">
        <v>59249</v>
      </c>
      <c r="W13064" t="s">
        <v>63550</v>
      </c>
      <c r="X13064" t="s">
        <v>46586</v>
      </c>
    </row>
    <row r="13065" spans="1:24">
      <c r="A13065">
        <f>HYPERLINK("https://www.philgeps.gov.ph/GEPSNONPILOT/Tender/SplashBidNoticeAbstractUI.aspx?menuIndex=3&amp;refID=7038957&amp;Result=3","7038957")</f>
        <v>0</v>
      </c>
      <c r="B13065" t="s">
        <v>2852</v>
      </c>
      <c r="C13065" t="s">
        <v>15933</v>
      </c>
      <c r="D13065" t="s">
        <v>18794</v>
      </c>
      <c r="E13065" t="s">
        <v>30109</v>
      </c>
      <c r="F13065" t="s">
        <v>32664</v>
      </c>
      <c r="G13065" t="s">
        <v>32672</v>
      </c>
      <c r="H13065" t="s">
        <v>32683</v>
      </c>
      <c r="I13065" t="s">
        <v>10627</v>
      </c>
      <c r="J13065" t="s">
        <v>40540</v>
      </c>
      <c r="K13065" t="s">
        <v>42312</v>
      </c>
      <c r="M13065" t="s">
        <v>45700</v>
      </c>
      <c r="N13065" t="s">
        <v>46569</v>
      </c>
      <c r="O13065" t="s">
        <v>46570</v>
      </c>
      <c r="Q13065">
        <v>1</v>
      </c>
      <c r="R13065" t="s">
        <v>46585</v>
      </c>
      <c r="S13065" t="s">
        <v>47186</v>
      </c>
      <c r="T13065" t="s">
        <v>48306</v>
      </c>
      <c r="U13065" t="s">
        <v>59260</v>
      </c>
      <c r="W13065" t="s">
        <v>45700</v>
      </c>
      <c r="X13065" t="s">
        <v>46586</v>
      </c>
    </row>
    <row r="13066" spans="1:24">
      <c r="A13066">
        <f>HYPERLINK("https://www.philgeps.gov.ph/GEPSNONPILOT/Tender/SplashBidNoticeAbstractUI.aspx?menuIndex=3&amp;refID=7038907&amp;Result=3","7038907")</f>
        <v>0</v>
      </c>
      <c r="B13066" t="s">
        <v>351</v>
      </c>
      <c r="C13066" t="s">
        <v>15934</v>
      </c>
      <c r="D13066" t="s">
        <v>18831</v>
      </c>
      <c r="E13066" t="s">
        <v>30110</v>
      </c>
      <c r="F13066" t="s">
        <v>32664</v>
      </c>
      <c r="G13066" t="s">
        <v>32672</v>
      </c>
      <c r="H13066" t="s">
        <v>32683</v>
      </c>
      <c r="I13066" t="s">
        <v>10627</v>
      </c>
      <c r="J13066" t="s">
        <v>40541</v>
      </c>
      <c r="K13066" t="s">
        <v>42369</v>
      </c>
      <c r="M13066" t="s">
        <v>42920</v>
      </c>
      <c r="N13066" t="s">
        <v>46569</v>
      </c>
      <c r="O13066" t="s">
        <v>46570</v>
      </c>
      <c r="P13066">
        <v>0</v>
      </c>
      <c r="Q13066">
        <v>2</v>
      </c>
      <c r="R13066" t="s">
        <v>46585</v>
      </c>
      <c r="S13066" t="s">
        <v>47146</v>
      </c>
      <c r="T13066" t="s">
        <v>48283</v>
      </c>
      <c r="U13066" t="s">
        <v>59261</v>
      </c>
      <c r="W13066" t="s">
        <v>42920</v>
      </c>
      <c r="X13066" t="s">
        <v>46586</v>
      </c>
    </row>
    <row r="13067" spans="1:24">
      <c r="A13067">
        <f>HYPERLINK("https://www.philgeps.gov.ph/GEPSNONPILOT/Tender/SplashBidNoticeAbstractUI.aspx?menuIndex=3&amp;refID=7038886&amp;Result=3","7038886")</f>
        <v>0</v>
      </c>
      <c r="B13067" t="s">
        <v>885</v>
      </c>
      <c r="C13067" t="s">
        <v>15935</v>
      </c>
      <c r="D13067" t="s">
        <v>18819</v>
      </c>
      <c r="E13067" t="s">
        <v>30111</v>
      </c>
      <c r="F13067" t="s">
        <v>32664</v>
      </c>
      <c r="G13067" t="s">
        <v>32672</v>
      </c>
      <c r="H13067" t="s">
        <v>32683</v>
      </c>
      <c r="I13067" t="s">
        <v>10627</v>
      </c>
      <c r="J13067" t="s">
        <v>40542</v>
      </c>
      <c r="K13067" t="s">
        <v>42290</v>
      </c>
      <c r="M13067" t="s">
        <v>46210</v>
      </c>
      <c r="N13067" t="s">
        <v>46569</v>
      </c>
      <c r="O13067" t="s">
        <v>46570</v>
      </c>
      <c r="P13067">
        <v>0</v>
      </c>
      <c r="Q13067">
        <v>0</v>
      </c>
      <c r="R13067" t="s">
        <v>46585</v>
      </c>
      <c r="S13067" t="s">
        <v>47146</v>
      </c>
      <c r="T13067" t="s">
        <v>48370</v>
      </c>
      <c r="U13067" t="s">
        <v>59262</v>
      </c>
      <c r="W13067" t="s">
        <v>46210</v>
      </c>
      <c r="X13067" t="s">
        <v>46586</v>
      </c>
    </row>
    <row r="13068" spans="1:24">
      <c r="A13068">
        <f>HYPERLINK("https://www.philgeps.gov.ph/GEPSNONPILOT/Tender/SplashBidNoticeAbstractUI.aspx?menuIndex=3&amp;refID=7038932&amp;Result=3","7038932")</f>
        <v>0</v>
      </c>
      <c r="B13068" t="s">
        <v>3283</v>
      </c>
      <c r="C13068" t="s">
        <v>15936</v>
      </c>
      <c r="D13068" t="s">
        <v>18781</v>
      </c>
      <c r="E13068" t="s">
        <v>30112</v>
      </c>
      <c r="F13068" t="s">
        <v>32664</v>
      </c>
      <c r="G13068" t="s">
        <v>32672</v>
      </c>
      <c r="H13068" t="s">
        <v>32683</v>
      </c>
      <c r="I13068" t="s">
        <v>10627</v>
      </c>
      <c r="J13068" t="s">
        <v>33111</v>
      </c>
      <c r="K13068" t="s">
        <v>42305</v>
      </c>
      <c r="M13068" t="s">
        <v>46220</v>
      </c>
      <c r="N13068" t="s">
        <v>46569</v>
      </c>
      <c r="O13068" t="s">
        <v>46570</v>
      </c>
      <c r="P13068">
        <v>0</v>
      </c>
      <c r="Q13068">
        <v>0</v>
      </c>
      <c r="R13068" t="s">
        <v>46585</v>
      </c>
      <c r="S13068" t="s">
        <v>47146</v>
      </c>
      <c r="T13068" t="s">
        <v>48221</v>
      </c>
      <c r="U13068" t="s">
        <v>59263</v>
      </c>
      <c r="V13068" t="s">
        <v>63066</v>
      </c>
      <c r="W13068" t="s">
        <v>46220</v>
      </c>
      <c r="X13068" t="s">
        <v>46586</v>
      </c>
    </row>
    <row r="13069" spans="1:24">
      <c r="A13069">
        <f>HYPERLINK("https://www.philgeps.gov.ph/GEPSNONPILOT/Tender/SplashBidNoticeAbstractUI.aspx?menuIndex=3&amp;refID=7038897&amp;Result=3","7038897")</f>
        <v>0</v>
      </c>
      <c r="B13069" t="s">
        <v>133</v>
      </c>
      <c r="C13069" t="s">
        <v>15937</v>
      </c>
      <c r="D13069" t="s">
        <v>18832</v>
      </c>
      <c r="E13069" t="s">
        <v>30113</v>
      </c>
      <c r="F13069" t="s">
        <v>32664</v>
      </c>
      <c r="G13069" t="s">
        <v>32672</v>
      </c>
      <c r="H13069" t="s">
        <v>12635</v>
      </c>
      <c r="I13069" t="s">
        <v>11464</v>
      </c>
      <c r="J13069" t="s">
        <v>40543</v>
      </c>
      <c r="K13069" t="s">
        <v>42311</v>
      </c>
      <c r="M13069" t="s">
        <v>42697</v>
      </c>
      <c r="N13069" t="s">
        <v>46569</v>
      </c>
      <c r="O13069" t="s">
        <v>46570</v>
      </c>
      <c r="P13069">
        <v>0</v>
      </c>
      <c r="Q13069">
        <v>3</v>
      </c>
      <c r="R13069" t="s">
        <v>46585</v>
      </c>
      <c r="S13069" t="s">
        <v>47146</v>
      </c>
      <c r="T13069" t="s">
        <v>48236</v>
      </c>
      <c r="U13069" t="s">
        <v>59264</v>
      </c>
      <c r="W13069" t="s">
        <v>42697</v>
      </c>
      <c r="X13069" t="s">
        <v>46586</v>
      </c>
    </row>
    <row r="13070" spans="1:24">
      <c r="A13070">
        <f>HYPERLINK("https://www.philgeps.gov.ph/GEPSNONPILOT/Tender/SplashBidNoticeAbstractUI.aspx?menuIndex=3&amp;refID=7038985&amp;Result=3","7038985")</f>
        <v>0</v>
      </c>
      <c r="B13070" t="s">
        <v>3013</v>
      </c>
      <c r="C13070" t="s">
        <v>15938</v>
      </c>
      <c r="D13070" t="s">
        <v>18810</v>
      </c>
      <c r="E13070" t="s">
        <v>30114</v>
      </c>
      <c r="F13070" t="s">
        <v>32664</v>
      </c>
      <c r="G13070" t="s">
        <v>32672</v>
      </c>
      <c r="H13070" t="s">
        <v>32683</v>
      </c>
      <c r="I13070" t="s">
        <v>10627</v>
      </c>
      <c r="J13070" t="s">
        <v>32943</v>
      </c>
      <c r="K13070" t="s">
        <v>42298</v>
      </c>
      <c r="M13070" t="s">
        <v>45885</v>
      </c>
      <c r="N13070" t="s">
        <v>46569</v>
      </c>
      <c r="O13070" t="s">
        <v>46570</v>
      </c>
      <c r="P13070">
        <v>0</v>
      </c>
      <c r="Q13070">
        <v>0</v>
      </c>
      <c r="R13070" t="s">
        <v>46585</v>
      </c>
      <c r="S13070" t="s">
        <v>47146</v>
      </c>
      <c r="T13070" t="s">
        <v>48469</v>
      </c>
      <c r="U13070" t="s">
        <v>59265</v>
      </c>
      <c r="W13070" t="s">
        <v>45885</v>
      </c>
      <c r="X13070" t="s">
        <v>46586</v>
      </c>
    </row>
    <row r="13071" spans="1:24">
      <c r="A13071">
        <f>HYPERLINK("https://www.philgeps.gov.ph/GEPSNONPILOT/Tender/SplashBidNoticeAbstractUI.aspx?menuIndex=3&amp;refID=7039141&amp;Result=3","7039141")</f>
        <v>0</v>
      </c>
      <c r="B13071" t="s">
        <v>99</v>
      </c>
      <c r="C13071" t="s">
        <v>15939</v>
      </c>
      <c r="D13071" t="s">
        <v>18814</v>
      </c>
      <c r="E13071" t="s">
        <v>30115</v>
      </c>
      <c r="F13071" t="s">
        <v>32664</v>
      </c>
      <c r="G13071" t="s">
        <v>32672</v>
      </c>
      <c r="H13071" t="s">
        <v>32683</v>
      </c>
      <c r="I13071" t="s">
        <v>10627</v>
      </c>
      <c r="J13071" t="s">
        <v>35338</v>
      </c>
      <c r="K13071" t="s">
        <v>42311</v>
      </c>
      <c r="M13071" t="s">
        <v>46221</v>
      </c>
      <c r="N13071" t="s">
        <v>46569</v>
      </c>
      <c r="O13071" t="s">
        <v>46570</v>
      </c>
      <c r="P13071">
        <v>0</v>
      </c>
      <c r="Q13071">
        <v>1</v>
      </c>
      <c r="R13071" t="s">
        <v>46585</v>
      </c>
      <c r="S13071" t="s">
        <v>47146</v>
      </c>
      <c r="T13071" t="s">
        <v>48356</v>
      </c>
      <c r="U13071" t="s">
        <v>59266</v>
      </c>
      <c r="W13071" t="s">
        <v>46221</v>
      </c>
      <c r="X13071" t="s">
        <v>46586</v>
      </c>
    </row>
    <row r="13072" spans="1:24">
      <c r="A13072">
        <f>HYPERLINK("https://www.philgeps.gov.ph/GEPSNONPILOT/Tender/SplashBidNoticeAbstractUI.aspx?menuIndex=3&amp;refID=7038905&amp;Result=3","7038905")</f>
        <v>0</v>
      </c>
      <c r="B13072" t="s">
        <v>3275</v>
      </c>
      <c r="C13072" t="s">
        <v>5354</v>
      </c>
      <c r="D13072" t="s">
        <v>18832</v>
      </c>
      <c r="E13072" t="s">
        <v>30116</v>
      </c>
      <c r="F13072" t="s">
        <v>32664</v>
      </c>
      <c r="G13072" t="s">
        <v>32677</v>
      </c>
      <c r="H13072" t="s">
        <v>12635</v>
      </c>
      <c r="I13072" t="s">
        <v>4439</v>
      </c>
      <c r="J13072" t="s">
        <v>40544</v>
      </c>
      <c r="K13072" t="s">
        <v>42289</v>
      </c>
      <c r="M13072" t="s">
        <v>46212</v>
      </c>
      <c r="N13072" t="s">
        <v>46569</v>
      </c>
      <c r="O13072" t="s">
        <v>46570</v>
      </c>
      <c r="Q13072">
        <v>0</v>
      </c>
      <c r="R13072" t="s">
        <v>46585</v>
      </c>
      <c r="S13072" t="s">
        <v>47187</v>
      </c>
      <c r="T13072" t="s">
        <v>48431</v>
      </c>
      <c r="U13072" t="s">
        <v>59267</v>
      </c>
      <c r="W13072" t="s">
        <v>46212</v>
      </c>
      <c r="X13072" t="s">
        <v>46586</v>
      </c>
    </row>
    <row r="13073" spans="1:24">
      <c r="A13073">
        <f>HYPERLINK("https://www.philgeps.gov.ph/GEPSNONPILOT/Tender/SplashBidNoticeAbstractUI.aspx?menuIndex=3&amp;refID=7038820&amp;Result=3","7038820")</f>
        <v>0</v>
      </c>
      <c r="B13073" t="s">
        <v>885</v>
      </c>
      <c r="C13073" t="s">
        <v>15940</v>
      </c>
      <c r="D13073" t="s">
        <v>18819</v>
      </c>
      <c r="E13073" t="s">
        <v>30117</v>
      </c>
      <c r="F13073" t="s">
        <v>32664</v>
      </c>
      <c r="G13073" t="s">
        <v>32672</v>
      </c>
      <c r="H13073" t="s">
        <v>32683</v>
      </c>
      <c r="I13073" t="s">
        <v>10627</v>
      </c>
      <c r="J13073" t="s">
        <v>40545</v>
      </c>
      <c r="K13073" t="s">
        <v>42290</v>
      </c>
      <c r="M13073" t="s">
        <v>46210</v>
      </c>
      <c r="N13073" t="s">
        <v>46569</v>
      </c>
      <c r="O13073" t="s">
        <v>46570</v>
      </c>
      <c r="P13073">
        <v>0</v>
      </c>
      <c r="Q13073">
        <v>0</v>
      </c>
      <c r="R13073" t="s">
        <v>46585</v>
      </c>
      <c r="S13073" t="s">
        <v>47146</v>
      </c>
      <c r="T13073" t="s">
        <v>48370</v>
      </c>
      <c r="U13073" t="s">
        <v>59268</v>
      </c>
      <c r="W13073" t="s">
        <v>46210</v>
      </c>
      <c r="X13073" t="s">
        <v>46586</v>
      </c>
    </row>
    <row r="13074" spans="1:24">
      <c r="A13074">
        <f>HYPERLINK("https://www.philgeps.gov.ph/GEPSNONPILOT/Tender/SplashBidNoticeAbstractUI.aspx?menuIndex=3&amp;refID=7039129&amp;Result=3","7039129")</f>
        <v>0</v>
      </c>
      <c r="B13074" t="s">
        <v>252</v>
      </c>
      <c r="C13074" t="s">
        <v>15941</v>
      </c>
      <c r="D13074" t="s">
        <v>18802</v>
      </c>
      <c r="E13074" t="s">
        <v>30118</v>
      </c>
      <c r="F13074" t="s">
        <v>32664</v>
      </c>
      <c r="G13074" t="s">
        <v>32672</v>
      </c>
      <c r="H13074" t="s">
        <v>12635</v>
      </c>
      <c r="I13074" t="s">
        <v>32696</v>
      </c>
      <c r="J13074" t="s">
        <v>40546</v>
      </c>
      <c r="K13074" t="s">
        <v>42298</v>
      </c>
      <c r="L13074" t="s">
        <v>252</v>
      </c>
      <c r="M13074" t="s">
        <v>42817</v>
      </c>
      <c r="N13074" t="s">
        <v>46569</v>
      </c>
      <c r="O13074" t="s">
        <v>46570</v>
      </c>
      <c r="P13074">
        <v>0</v>
      </c>
      <c r="Q13074">
        <v>7</v>
      </c>
      <c r="R13074" t="s">
        <v>46585</v>
      </c>
      <c r="S13074" t="s">
        <v>47146</v>
      </c>
      <c r="T13074" t="s">
        <v>48228</v>
      </c>
      <c r="U13074" t="s">
        <v>59269</v>
      </c>
      <c r="V13074" t="s">
        <v>61740</v>
      </c>
      <c r="W13074" t="s">
        <v>42817</v>
      </c>
      <c r="X13074" t="s">
        <v>46586</v>
      </c>
    </row>
    <row r="13075" spans="1:24">
      <c r="A13075">
        <f>HYPERLINK("https://www.philgeps.gov.ph/GEPSNONPILOT/Tender/SplashBidNoticeAbstractUI.aspx?menuIndex=3&amp;refID=7039118&amp;Result=3","7039118")</f>
        <v>0</v>
      </c>
      <c r="B13075" t="s">
        <v>3284</v>
      </c>
      <c r="C13075" t="s">
        <v>15942</v>
      </c>
      <c r="D13075" t="s">
        <v>18793</v>
      </c>
      <c r="E13075" t="s">
        <v>19193</v>
      </c>
      <c r="F13075" t="s">
        <v>32664</v>
      </c>
      <c r="G13075" t="s">
        <v>32672</v>
      </c>
      <c r="H13075" t="s">
        <v>32683</v>
      </c>
      <c r="I13075" t="s">
        <v>10627</v>
      </c>
      <c r="J13075" t="s">
        <v>40547</v>
      </c>
      <c r="K13075" t="s">
        <v>42329</v>
      </c>
      <c r="M13075" t="s">
        <v>46222</v>
      </c>
      <c r="N13075" t="s">
        <v>46569</v>
      </c>
      <c r="O13075" t="s">
        <v>46570</v>
      </c>
      <c r="P13075">
        <v>0</v>
      </c>
      <c r="Q13075">
        <v>0</v>
      </c>
      <c r="R13075" t="s">
        <v>46585</v>
      </c>
      <c r="S13075" t="s">
        <v>47146</v>
      </c>
      <c r="T13075" t="s">
        <v>48285</v>
      </c>
      <c r="U13075" t="s">
        <v>59270</v>
      </c>
      <c r="W13075" t="s">
        <v>46222</v>
      </c>
      <c r="X13075" t="s">
        <v>46586</v>
      </c>
    </row>
    <row r="13076" spans="1:24">
      <c r="A13076">
        <f>HYPERLINK("https://www.philgeps.gov.ph/GEPSNONPILOT/Tender/SplashBidNoticeAbstractUI.aspx?menuIndex=3&amp;refID=7039114&amp;Result=3","7039114")</f>
        <v>0</v>
      </c>
      <c r="B13076" t="s">
        <v>1337</v>
      </c>
      <c r="C13076" t="s">
        <v>15943</v>
      </c>
      <c r="D13076" t="s">
        <v>18797</v>
      </c>
      <c r="E13076" t="s">
        <v>30119</v>
      </c>
      <c r="F13076" t="s">
        <v>32664</v>
      </c>
      <c r="G13076" t="s">
        <v>32672</v>
      </c>
      <c r="H13076" t="s">
        <v>32683</v>
      </c>
      <c r="I13076" t="s">
        <v>10627</v>
      </c>
      <c r="J13076" t="s">
        <v>40548</v>
      </c>
      <c r="K13076" t="s">
        <v>42314</v>
      </c>
      <c r="M13076" t="s">
        <v>43987</v>
      </c>
      <c r="N13076" t="s">
        <v>46569</v>
      </c>
      <c r="O13076" t="s">
        <v>46570</v>
      </c>
      <c r="P13076">
        <v>0</v>
      </c>
      <c r="Q13076">
        <v>10</v>
      </c>
      <c r="R13076" t="s">
        <v>46585</v>
      </c>
      <c r="S13076" t="s">
        <v>47146</v>
      </c>
      <c r="T13076" t="s">
        <v>48268</v>
      </c>
      <c r="U13076" t="s">
        <v>59271</v>
      </c>
      <c r="W13076" t="s">
        <v>43987</v>
      </c>
      <c r="X13076" t="s">
        <v>46586</v>
      </c>
    </row>
    <row r="13077" spans="1:24">
      <c r="A13077">
        <f>HYPERLINK("https://www.philgeps.gov.ph/GEPSNONPILOT/Tender/SplashBidNoticeAbstractUI.aspx?menuIndex=3&amp;refID=7039098&amp;Result=3","7039098")</f>
        <v>0</v>
      </c>
      <c r="B13077" t="s">
        <v>1916</v>
      </c>
      <c r="C13077" t="s">
        <v>15944</v>
      </c>
      <c r="D13077" t="s">
        <v>18853</v>
      </c>
      <c r="E13077" t="s">
        <v>30120</v>
      </c>
      <c r="F13077" t="s">
        <v>32664</v>
      </c>
      <c r="G13077" t="s">
        <v>32672</v>
      </c>
      <c r="H13077" t="s">
        <v>32683</v>
      </c>
      <c r="I13077" t="s">
        <v>10627</v>
      </c>
      <c r="J13077" t="s">
        <v>33267</v>
      </c>
      <c r="K13077" t="s">
        <v>42298</v>
      </c>
      <c r="M13077" t="s">
        <v>44637</v>
      </c>
      <c r="N13077" t="s">
        <v>46569</v>
      </c>
      <c r="O13077" t="s">
        <v>46570</v>
      </c>
      <c r="Q13077">
        <v>1</v>
      </c>
      <c r="R13077" t="s">
        <v>46585</v>
      </c>
      <c r="S13077" t="s">
        <v>47188</v>
      </c>
      <c r="T13077" t="s">
        <v>48258</v>
      </c>
      <c r="U13077" t="s">
        <v>59272</v>
      </c>
      <c r="W13077" t="s">
        <v>44637</v>
      </c>
      <c r="X13077" t="s">
        <v>46586</v>
      </c>
    </row>
    <row r="13078" spans="1:24">
      <c r="A13078">
        <f>HYPERLINK("https://www.philgeps.gov.ph/GEPSNONPILOT/Tender/SplashBidNoticeAbstractUI.aspx?menuIndex=3&amp;refID=7039085&amp;Result=3","7039085")</f>
        <v>0</v>
      </c>
      <c r="B13078" t="s">
        <v>3285</v>
      </c>
      <c r="C13078" t="s">
        <v>15945</v>
      </c>
      <c r="D13078" t="s">
        <v>18852</v>
      </c>
      <c r="E13078" t="s">
        <v>30121</v>
      </c>
      <c r="F13078" t="s">
        <v>32664</v>
      </c>
      <c r="G13078" t="s">
        <v>32672</v>
      </c>
      <c r="H13078" t="s">
        <v>12635</v>
      </c>
      <c r="I13078" t="s">
        <v>32716</v>
      </c>
      <c r="J13078" t="s">
        <v>40549</v>
      </c>
      <c r="K13078" t="s">
        <v>42290</v>
      </c>
      <c r="M13078" t="s">
        <v>46223</v>
      </c>
      <c r="N13078" t="s">
        <v>46569</v>
      </c>
      <c r="O13078" t="s">
        <v>46570</v>
      </c>
      <c r="P13078">
        <v>0</v>
      </c>
      <c r="Q13078">
        <v>1</v>
      </c>
      <c r="R13078" t="s">
        <v>46585</v>
      </c>
      <c r="S13078" t="s">
        <v>47146</v>
      </c>
      <c r="T13078" t="s">
        <v>48287</v>
      </c>
      <c r="U13078" t="s">
        <v>59273</v>
      </c>
      <c r="V13078" t="s">
        <v>63067</v>
      </c>
      <c r="W13078" t="s">
        <v>46223</v>
      </c>
      <c r="X13078" t="s">
        <v>46586</v>
      </c>
    </row>
    <row r="13079" spans="1:24">
      <c r="A13079">
        <f>HYPERLINK("https://www.philgeps.gov.ph/GEPSNONPILOT/Tender/SplashBidNoticeAbstractUI.aspx?menuIndex=3&amp;refID=7039074&amp;Result=3","7039074")</f>
        <v>0</v>
      </c>
      <c r="B13079" t="s">
        <v>2527</v>
      </c>
      <c r="C13079" t="s">
        <v>15946</v>
      </c>
      <c r="D13079" t="s">
        <v>18856</v>
      </c>
      <c r="E13079" t="s">
        <v>30122</v>
      </c>
      <c r="F13079" t="s">
        <v>32664</v>
      </c>
      <c r="G13079" t="s">
        <v>32672</v>
      </c>
      <c r="H13079" t="s">
        <v>32683</v>
      </c>
      <c r="I13079" t="s">
        <v>10627</v>
      </c>
      <c r="J13079" t="s">
        <v>40550</v>
      </c>
      <c r="K13079" t="s">
        <v>42305</v>
      </c>
      <c r="M13079" t="s">
        <v>45334</v>
      </c>
      <c r="N13079" t="s">
        <v>46569</v>
      </c>
      <c r="O13079" t="s">
        <v>46570</v>
      </c>
      <c r="P13079">
        <v>0</v>
      </c>
      <c r="Q13079">
        <v>4</v>
      </c>
      <c r="R13079" t="s">
        <v>46585</v>
      </c>
      <c r="S13079" t="s">
        <v>47146</v>
      </c>
      <c r="T13079" t="s">
        <v>48282</v>
      </c>
      <c r="U13079" t="s">
        <v>59274</v>
      </c>
      <c r="V13079" t="s">
        <v>63068</v>
      </c>
      <c r="W13079" t="s">
        <v>45334</v>
      </c>
      <c r="X13079" t="s">
        <v>46586</v>
      </c>
    </row>
    <row r="13080" spans="1:24">
      <c r="A13080">
        <f>HYPERLINK("https://www.philgeps.gov.ph/GEPSNONPILOT/Tender/SplashBidNoticeAbstractUI.aspx?menuIndex=3&amp;refID=7038914&amp;Result=3","7038914")</f>
        <v>0</v>
      </c>
      <c r="B13080" t="s">
        <v>3013</v>
      </c>
      <c r="C13080" t="s">
        <v>15947</v>
      </c>
      <c r="D13080" t="s">
        <v>18810</v>
      </c>
      <c r="E13080" t="s">
        <v>30123</v>
      </c>
      <c r="F13080" t="s">
        <v>32664</v>
      </c>
      <c r="G13080" t="s">
        <v>32672</v>
      </c>
      <c r="H13080" t="s">
        <v>32683</v>
      </c>
      <c r="I13080" t="s">
        <v>10627</v>
      </c>
      <c r="J13080" t="s">
        <v>32981</v>
      </c>
      <c r="K13080" t="s">
        <v>42296</v>
      </c>
      <c r="M13080" t="s">
        <v>45885</v>
      </c>
      <c r="N13080" t="s">
        <v>46569</v>
      </c>
      <c r="O13080" t="s">
        <v>46570</v>
      </c>
      <c r="P13080">
        <v>0</v>
      </c>
      <c r="Q13080">
        <v>0</v>
      </c>
      <c r="R13080" t="s">
        <v>46585</v>
      </c>
      <c r="S13080" t="s">
        <v>47146</v>
      </c>
      <c r="T13080" t="s">
        <v>48631</v>
      </c>
      <c r="U13080" t="s">
        <v>59275</v>
      </c>
      <c r="W13080" t="s">
        <v>45885</v>
      </c>
      <c r="X13080" t="s">
        <v>46586</v>
      </c>
    </row>
    <row r="13081" spans="1:24">
      <c r="A13081">
        <f>HYPERLINK("https://www.philgeps.gov.ph/GEPSNONPILOT/Tender/SplashBidNoticeAbstractUI.aspx?menuIndex=3&amp;refID=7039059&amp;Result=3","7039059")</f>
        <v>0</v>
      </c>
      <c r="B13081" t="s">
        <v>3280</v>
      </c>
      <c r="C13081" t="s">
        <v>15924</v>
      </c>
      <c r="D13081" t="s">
        <v>18859</v>
      </c>
      <c r="E13081" t="s">
        <v>19105</v>
      </c>
      <c r="F13081" t="s">
        <v>32664</v>
      </c>
      <c r="G13081" t="s">
        <v>32672</v>
      </c>
      <c r="H13081" t="s">
        <v>32683</v>
      </c>
      <c r="I13081" t="s">
        <v>10627</v>
      </c>
      <c r="J13081" t="s">
        <v>32853</v>
      </c>
      <c r="K13081" t="s">
        <v>42281</v>
      </c>
      <c r="M13081" t="s">
        <v>46217</v>
      </c>
      <c r="N13081" t="s">
        <v>46569</v>
      </c>
      <c r="O13081" t="s">
        <v>46570</v>
      </c>
      <c r="P13081">
        <v>0</v>
      </c>
      <c r="Q13081">
        <v>0</v>
      </c>
      <c r="R13081" t="s">
        <v>46585</v>
      </c>
      <c r="S13081" t="s">
        <v>47146</v>
      </c>
      <c r="T13081" t="s">
        <v>48225</v>
      </c>
      <c r="U13081" t="s">
        <v>59276</v>
      </c>
      <c r="W13081" t="s">
        <v>46217</v>
      </c>
      <c r="X13081" t="s">
        <v>46586</v>
      </c>
    </row>
    <row r="13082" spans="1:24">
      <c r="A13082">
        <f>HYPERLINK("https://www.philgeps.gov.ph/GEPSNONPILOT/Tender/SplashBidNoticeAbstractUI.aspx?menuIndex=3&amp;refID=7039056&amp;Result=3","7039056")</f>
        <v>0</v>
      </c>
      <c r="B13082" t="s">
        <v>3286</v>
      </c>
      <c r="C13082" t="s">
        <v>15948</v>
      </c>
      <c r="D13082" t="s">
        <v>18810</v>
      </c>
      <c r="E13082" t="s">
        <v>27974</v>
      </c>
      <c r="F13082" t="s">
        <v>32664</v>
      </c>
      <c r="G13082" t="s">
        <v>32672</v>
      </c>
      <c r="H13082" t="s">
        <v>32683</v>
      </c>
      <c r="I13082" t="s">
        <v>10627</v>
      </c>
      <c r="J13082" t="s">
        <v>32842</v>
      </c>
      <c r="K13082" t="s">
        <v>42283</v>
      </c>
      <c r="M13082" t="s">
        <v>46224</v>
      </c>
      <c r="N13082" t="s">
        <v>46569</v>
      </c>
      <c r="O13082" t="s">
        <v>46570</v>
      </c>
      <c r="P13082">
        <v>0</v>
      </c>
      <c r="Q13082">
        <v>0</v>
      </c>
      <c r="R13082" t="s">
        <v>46585</v>
      </c>
      <c r="S13082" t="s">
        <v>47146</v>
      </c>
      <c r="T13082" t="s">
        <v>48225</v>
      </c>
      <c r="U13082" t="s">
        <v>59277</v>
      </c>
      <c r="W13082" t="s">
        <v>46224</v>
      </c>
      <c r="X13082" t="s">
        <v>46586</v>
      </c>
    </row>
    <row r="13083" spans="1:24">
      <c r="A13083">
        <f>HYPERLINK("https://www.philgeps.gov.ph/GEPSNONPILOT/Tender/SplashBidNoticeAbstractUI.aspx?menuIndex=3&amp;refID=7039111&amp;Result=3","7039111")</f>
        <v>0</v>
      </c>
      <c r="B13083" t="s">
        <v>3287</v>
      </c>
      <c r="C13083" t="s">
        <v>15949</v>
      </c>
      <c r="D13083" t="s">
        <v>18789</v>
      </c>
      <c r="E13083" t="s">
        <v>30124</v>
      </c>
      <c r="F13083" t="s">
        <v>32664</v>
      </c>
      <c r="G13083" t="s">
        <v>32672</v>
      </c>
      <c r="H13083" t="s">
        <v>32683</v>
      </c>
      <c r="I13083" t="s">
        <v>4439</v>
      </c>
      <c r="J13083" t="s">
        <v>40551</v>
      </c>
      <c r="K13083" t="s">
        <v>42330</v>
      </c>
      <c r="M13083" t="s">
        <v>46225</v>
      </c>
      <c r="N13083" t="s">
        <v>46569</v>
      </c>
      <c r="O13083" t="s">
        <v>46570</v>
      </c>
      <c r="P13083">
        <v>0</v>
      </c>
      <c r="Q13083">
        <v>0</v>
      </c>
      <c r="R13083" t="s">
        <v>46585</v>
      </c>
      <c r="S13083" t="s">
        <v>47146</v>
      </c>
      <c r="T13083" t="s">
        <v>48304</v>
      </c>
      <c r="U13083" t="s">
        <v>59278</v>
      </c>
      <c r="W13083" t="s">
        <v>46225</v>
      </c>
      <c r="X13083" t="s">
        <v>46586</v>
      </c>
    </row>
    <row r="13084" spans="1:24">
      <c r="A13084">
        <f>HYPERLINK("https://www.philgeps.gov.ph/GEPSNONPILOT/Tender/SplashBidNoticeAbstractUI.aspx?menuIndex=3&amp;refID=7039048&amp;Result=3","7039048")</f>
        <v>0</v>
      </c>
      <c r="B13084" t="s">
        <v>3275</v>
      </c>
      <c r="C13084" t="s">
        <v>15950</v>
      </c>
      <c r="D13084" t="s">
        <v>18832</v>
      </c>
      <c r="E13084" t="s">
        <v>30125</v>
      </c>
      <c r="F13084" t="s">
        <v>32664</v>
      </c>
      <c r="G13084" t="s">
        <v>32672</v>
      </c>
      <c r="H13084" t="s">
        <v>32683</v>
      </c>
      <c r="I13084" t="s">
        <v>10627</v>
      </c>
      <c r="J13084" t="s">
        <v>40552</v>
      </c>
      <c r="K13084" t="s">
        <v>42419</v>
      </c>
      <c r="M13084" t="s">
        <v>46212</v>
      </c>
      <c r="N13084" t="s">
        <v>46569</v>
      </c>
      <c r="O13084" t="s">
        <v>46570</v>
      </c>
      <c r="Q13084">
        <v>0</v>
      </c>
      <c r="R13084" t="s">
        <v>46585</v>
      </c>
      <c r="S13084" t="s">
        <v>47189</v>
      </c>
      <c r="T13084" t="s">
        <v>48285</v>
      </c>
      <c r="U13084" t="s">
        <v>59279</v>
      </c>
      <c r="W13084" t="s">
        <v>46212</v>
      </c>
      <c r="X13084" t="s">
        <v>46586</v>
      </c>
    </row>
    <row r="13085" spans="1:24">
      <c r="A13085">
        <f>HYPERLINK("https://www.philgeps.gov.ph/GEPSNONPILOT/Tender/SplashBidNoticeAbstractUI.aspx?menuIndex=3&amp;refID=7038882&amp;Result=3","7038882")</f>
        <v>0</v>
      </c>
      <c r="B13085" t="s">
        <v>1341</v>
      </c>
      <c r="C13085" t="s">
        <v>15951</v>
      </c>
      <c r="D13085" t="s">
        <v>18842</v>
      </c>
      <c r="E13085" t="s">
        <v>30126</v>
      </c>
      <c r="F13085" t="s">
        <v>32664</v>
      </c>
      <c r="G13085" t="s">
        <v>32672</v>
      </c>
      <c r="H13085" t="s">
        <v>32683</v>
      </c>
      <c r="I13085" t="s">
        <v>10627</v>
      </c>
      <c r="J13085" t="s">
        <v>40553</v>
      </c>
      <c r="K13085" t="s">
        <v>42283</v>
      </c>
      <c r="M13085" t="s">
        <v>43991</v>
      </c>
      <c r="N13085" t="s">
        <v>46569</v>
      </c>
      <c r="O13085" t="s">
        <v>46570</v>
      </c>
      <c r="P13085">
        <v>0</v>
      </c>
      <c r="Q13085">
        <v>0</v>
      </c>
      <c r="R13085" t="s">
        <v>46585</v>
      </c>
      <c r="S13085" t="s">
        <v>47146</v>
      </c>
      <c r="T13085" t="s">
        <v>48226</v>
      </c>
      <c r="U13085" t="s">
        <v>59280</v>
      </c>
      <c r="W13085" t="s">
        <v>43991</v>
      </c>
      <c r="X13085" t="s">
        <v>46586</v>
      </c>
    </row>
    <row r="13086" spans="1:24">
      <c r="A13086">
        <f>HYPERLINK("https://www.philgeps.gov.ph/GEPSNONPILOT/Tender/SplashBidNoticeAbstractUI.aspx?menuIndex=3&amp;refID=7039063&amp;Result=3","7039063")</f>
        <v>0</v>
      </c>
      <c r="B13086" t="s">
        <v>1337</v>
      </c>
      <c r="C13086" t="s">
        <v>15952</v>
      </c>
      <c r="D13086" t="s">
        <v>18797</v>
      </c>
      <c r="E13086" t="s">
        <v>30127</v>
      </c>
      <c r="F13086" t="s">
        <v>32664</v>
      </c>
      <c r="G13086" t="s">
        <v>32672</v>
      </c>
      <c r="H13086" t="s">
        <v>32683</v>
      </c>
      <c r="I13086" t="s">
        <v>10627</v>
      </c>
      <c r="J13086" t="s">
        <v>40554</v>
      </c>
      <c r="K13086" t="s">
        <v>42449</v>
      </c>
      <c r="M13086" t="s">
        <v>43987</v>
      </c>
      <c r="N13086" t="s">
        <v>46569</v>
      </c>
      <c r="O13086" t="s">
        <v>46570</v>
      </c>
      <c r="P13086">
        <v>0</v>
      </c>
      <c r="Q13086">
        <v>15</v>
      </c>
      <c r="R13086" t="s">
        <v>46585</v>
      </c>
      <c r="S13086" t="s">
        <v>47146</v>
      </c>
      <c r="T13086" t="s">
        <v>48268</v>
      </c>
      <c r="U13086" t="s">
        <v>59281</v>
      </c>
      <c r="W13086" t="s">
        <v>43987</v>
      </c>
      <c r="X13086" t="s">
        <v>46586</v>
      </c>
    </row>
    <row r="13087" spans="1:24">
      <c r="A13087">
        <f>HYPERLINK("https://www.philgeps.gov.ph/GEPSNONPILOT/Tender/SplashBidNoticeAbstractUI.aspx?menuIndex=3&amp;refID=7039021&amp;Result=3","7039021")</f>
        <v>0</v>
      </c>
      <c r="B13087" t="s">
        <v>3288</v>
      </c>
      <c r="C13087" t="s">
        <v>15948</v>
      </c>
      <c r="D13087" t="s">
        <v>18810</v>
      </c>
      <c r="E13087" t="s">
        <v>27974</v>
      </c>
      <c r="F13087" t="s">
        <v>32664</v>
      </c>
      <c r="G13087" t="s">
        <v>32672</v>
      </c>
      <c r="H13087" t="s">
        <v>32683</v>
      </c>
      <c r="I13087" t="s">
        <v>10627</v>
      </c>
      <c r="J13087" t="s">
        <v>32842</v>
      </c>
      <c r="K13087" t="s">
        <v>42283</v>
      </c>
      <c r="M13087" t="s">
        <v>46226</v>
      </c>
      <c r="N13087" t="s">
        <v>46569</v>
      </c>
      <c r="O13087" t="s">
        <v>46570</v>
      </c>
      <c r="P13087">
        <v>0</v>
      </c>
      <c r="Q13087">
        <v>0</v>
      </c>
      <c r="R13087" t="s">
        <v>46585</v>
      </c>
      <c r="S13087" t="s">
        <v>47146</v>
      </c>
      <c r="T13087" t="s">
        <v>48226</v>
      </c>
      <c r="U13087" t="s">
        <v>59282</v>
      </c>
      <c r="W13087" t="s">
        <v>46226</v>
      </c>
      <c r="X13087" t="s">
        <v>46586</v>
      </c>
    </row>
    <row r="13088" spans="1:24">
      <c r="A13088">
        <f>HYPERLINK("https://www.philgeps.gov.ph/GEPSNONPILOT/Tender/SplashBidNoticeAbstractUI.aspx?menuIndex=3&amp;refID=7039055&amp;Result=3","7039055")</f>
        <v>0</v>
      </c>
      <c r="B13088" t="s">
        <v>3013</v>
      </c>
      <c r="C13088" t="s">
        <v>15953</v>
      </c>
      <c r="D13088" t="s">
        <v>18810</v>
      </c>
      <c r="E13088" t="s">
        <v>30128</v>
      </c>
      <c r="F13088" t="s">
        <v>32664</v>
      </c>
      <c r="G13088" t="s">
        <v>32672</v>
      </c>
      <c r="H13088" t="s">
        <v>32683</v>
      </c>
      <c r="I13088" t="s">
        <v>10627</v>
      </c>
      <c r="J13088" t="s">
        <v>32943</v>
      </c>
      <c r="K13088" t="s">
        <v>42426</v>
      </c>
      <c r="M13088" t="s">
        <v>45885</v>
      </c>
      <c r="N13088" t="s">
        <v>46569</v>
      </c>
      <c r="O13088" t="s">
        <v>46570</v>
      </c>
      <c r="P13088">
        <v>0</v>
      </c>
      <c r="Q13088">
        <v>0</v>
      </c>
      <c r="R13088" t="s">
        <v>46585</v>
      </c>
      <c r="S13088" t="s">
        <v>47146</v>
      </c>
      <c r="T13088" t="s">
        <v>48478</v>
      </c>
      <c r="U13088" t="s">
        <v>59283</v>
      </c>
      <c r="W13088" t="s">
        <v>45885</v>
      </c>
      <c r="X13088" t="s">
        <v>46586</v>
      </c>
    </row>
    <row r="13089" spans="1:24">
      <c r="A13089">
        <f>HYPERLINK("https://www.philgeps.gov.ph/GEPSNONPILOT/Tender/SplashBidNoticeAbstractUI.aspx?menuIndex=3&amp;refID=7039005&amp;Result=3","7039005")</f>
        <v>0</v>
      </c>
      <c r="B13089" t="s">
        <v>3035</v>
      </c>
      <c r="C13089" t="s">
        <v>15954</v>
      </c>
      <c r="D13089" t="s">
        <v>18804</v>
      </c>
      <c r="E13089" t="s">
        <v>30129</v>
      </c>
      <c r="F13089" t="s">
        <v>32664</v>
      </c>
      <c r="G13089" t="s">
        <v>32672</v>
      </c>
      <c r="H13089" t="s">
        <v>12635</v>
      </c>
      <c r="I13089" t="s">
        <v>32700</v>
      </c>
      <c r="J13089" t="s">
        <v>33128</v>
      </c>
      <c r="K13089" t="s">
        <v>42283</v>
      </c>
      <c r="M13089" t="s">
        <v>45908</v>
      </c>
      <c r="N13089" t="s">
        <v>46569</v>
      </c>
      <c r="O13089" t="s">
        <v>46570</v>
      </c>
      <c r="P13089">
        <v>0</v>
      </c>
      <c r="Q13089">
        <v>1</v>
      </c>
      <c r="R13089" t="s">
        <v>46585</v>
      </c>
      <c r="S13089" t="s">
        <v>47146</v>
      </c>
      <c r="T13089" t="s">
        <v>48228</v>
      </c>
      <c r="U13089" t="s">
        <v>59284</v>
      </c>
      <c r="W13089" t="s">
        <v>45908</v>
      </c>
      <c r="X13089" t="s">
        <v>46586</v>
      </c>
    </row>
    <row r="13090" spans="1:24">
      <c r="A13090">
        <f>HYPERLINK("https://www.philgeps.gov.ph/GEPSNONPILOT/Tender/SplashBidNoticeAbstractUI.aspx?menuIndex=3&amp;refID=7039046&amp;Result=3","7039046")</f>
        <v>0</v>
      </c>
      <c r="B13090" t="s">
        <v>817</v>
      </c>
      <c r="C13090" t="s">
        <v>15955</v>
      </c>
      <c r="E13090" t="s">
        <v>30130</v>
      </c>
      <c r="F13090" t="s">
        <v>32664</v>
      </c>
      <c r="G13090" t="s">
        <v>32672</v>
      </c>
      <c r="H13090" t="s">
        <v>32683</v>
      </c>
      <c r="I13090" t="s">
        <v>10627</v>
      </c>
      <c r="J13090" t="s">
        <v>40555</v>
      </c>
      <c r="K13090" t="s">
        <v>42283</v>
      </c>
      <c r="M13090" t="s">
        <v>43412</v>
      </c>
      <c r="N13090" t="s">
        <v>46569</v>
      </c>
      <c r="O13090" t="s">
        <v>46570</v>
      </c>
      <c r="Q13090">
        <v>8</v>
      </c>
      <c r="R13090" t="s">
        <v>46585</v>
      </c>
      <c r="S13090" t="s">
        <v>47190</v>
      </c>
      <c r="T13090" t="s">
        <v>48244</v>
      </c>
      <c r="U13090" t="s">
        <v>59285</v>
      </c>
      <c r="V13090" t="s">
        <v>61668</v>
      </c>
      <c r="W13090" t="s">
        <v>43412</v>
      </c>
      <c r="X13090" t="s">
        <v>46586</v>
      </c>
    </row>
    <row r="13091" spans="1:24">
      <c r="A13091">
        <f>HYPERLINK("https://www.philgeps.gov.ph/GEPSNONPILOT/Tender/SplashBidNoticeAbstractUI.aspx?menuIndex=3&amp;refID=7039016&amp;Result=3","7039016")</f>
        <v>0</v>
      </c>
      <c r="B13091" t="s">
        <v>3013</v>
      </c>
      <c r="C13091" t="s">
        <v>15956</v>
      </c>
      <c r="D13091" t="s">
        <v>18810</v>
      </c>
      <c r="E13091" t="s">
        <v>30131</v>
      </c>
      <c r="F13091" t="s">
        <v>32664</v>
      </c>
      <c r="G13091" t="s">
        <v>32672</v>
      </c>
      <c r="H13091" t="s">
        <v>32683</v>
      </c>
      <c r="I13091" t="s">
        <v>10627</v>
      </c>
      <c r="J13091" t="s">
        <v>32943</v>
      </c>
      <c r="K13091" t="s">
        <v>42489</v>
      </c>
      <c r="M13091" t="s">
        <v>45885</v>
      </c>
      <c r="N13091" t="s">
        <v>46569</v>
      </c>
      <c r="O13091" t="s">
        <v>46570</v>
      </c>
      <c r="P13091">
        <v>0</v>
      </c>
      <c r="Q13091">
        <v>0</v>
      </c>
      <c r="R13091" t="s">
        <v>46585</v>
      </c>
      <c r="S13091" t="s">
        <v>47146</v>
      </c>
      <c r="T13091" t="s">
        <v>48642</v>
      </c>
      <c r="U13091" t="s">
        <v>59286</v>
      </c>
      <c r="W13091" t="s">
        <v>45885</v>
      </c>
      <c r="X13091" t="s">
        <v>46586</v>
      </c>
    </row>
    <row r="13092" spans="1:24">
      <c r="A13092">
        <f>HYPERLINK("https://www.philgeps.gov.ph/GEPSNONPILOT/Tender/SplashBidNoticeAbstractUI.aspx?menuIndex=3&amp;refID=7038993&amp;Result=3","7038993")</f>
        <v>0</v>
      </c>
      <c r="B13092" t="s">
        <v>3110</v>
      </c>
      <c r="C13092" t="s">
        <v>15957</v>
      </c>
      <c r="D13092" t="s">
        <v>18810</v>
      </c>
      <c r="E13092" t="s">
        <v>19771</v>
      </c>
      <c r="F13092" t="s">
        <v>32664</v>
      </c>
      <c r="G13092" t="s">
        <v>32672</v>
      </c>
      <c r="H13092" t="s">
        <v>32683</v>
      </c>
      <c r="I13092" t="s">
        <v>10627</v>
      </c>
      <c r="J13092" t="s">
        <v>32853</v>
      </c>
      <c r="K13092" t="s">
        <v>42281</v>
      </c>
      <c r="M13092" t="s">
        <v>46000</v>
      </c>
      <c r="N13092" t="s">
        <v>46569</v>
      </c>
      <c r="O13092" t="s">
        <v>46570</v>
      </c>
      <c r="P13092">
        <v>0</v>
      </c>
      <c r="Q13092">
        <v>0</v>
      </c>
      <c r="R13092" t="s">
        <v>46585</v>
      </c>
      <c r="S13092" t="s">
        <v>47146</v>
      </c>
      <c r="T13092" t="s">
        <v>48268</v>
      </c>
      <c r="U13092" t="s">
        <v>59287</v>
      </c>
      <c r="V13092" t="s">
        <v>61668</v>
      </c>
      <c r="W13092" t="s">
        <v>46000</v>
      </c>
      <c r="X13092" t="s">
        <v>46586</v>
      </c>
    </row>
    <row r="13093" spans="1:24">
      <c r="A13093">
        <f>HYPERLINK("https://www.philgeps.gov.ph/GEPSNONPILOT/Tender/SplashBidNoticeAbstractUI.aspx?menuIndex=3&amp;refID=7038793&amp;Result=3","7038793")</f>
        <v>0</v>
      </c>
      <c r="B13093" t="s">
        <v>3013</v>
      </c>
      <c r="C13093" t="s">
        <v>15958</v>
      </c>
      <c r="D13093" t="s">
        <v>18810</v>
      </c>
      <c r="E13093" t="s">
        <v>30132</v>
      </c>
      <c r="F13093" t="s">
        <v>32664</v>
      </c>
      <c r="G13093" t="s">
        <v>32672</v>
      </c>
      <c r="H13093" t="s">
        <v>12635</v>
      </c>
      <c r="I13093" t="s">
        <v>4439</v>
      </c>
      <c r="J13093" t="s">
        <v>40556</v>
      </c>
      <c r="K13093" t="s">
        <v>42289</v>
      </c>
      <c r="M13093" t="s">
        <v>45885</v>
      </c>
      <c r="N13093" t="s">
        <v>46569</v>
      </c>
      <c r="O13093" t="s">
        <v>46570</v>
      </c>
      <c r="P13093">
        <v>0</v>
      </c>
      <c r="Q13093">
        <v>0</v>
      </c>
      <c r="R13093" t="s">
        <v>46585</v>
      </c>
      <c r="S13093" t="s">
        <v>47146</v>
      </c>
      <c r="T13093" t="s">
        <v>48238</v>
      </c>
      <c r="U13093" t="s">
        <v>59288</v>
      </c>
      <c r="W13093" t="s">
        <v>45885</v>
      </c>
      <c r="X13093" t="s">
        <v>46586</v>
      </c>
    </row>
    <row r="13094" spans="1:24">
      <c r="A13094">
        <f>HYPERLINK("https://www.philgeps.gov.ph/GEPSNONPILOT/Tender/SplashBidNoticeAbstractUI.aspx?menuIndex=3&amp;refID=7038783&amp;Result=3","7038783")</f>
        <v>0</v>
      </c>
      <c r="B13094" t="s">
        <v>3275</v>
      </c>
      <c r="C13094" t="s">
        <v>15959</v>
      </c>
      <c r="D13094" t="s">
        <v>18832</v>
      </c>
      <c r="E13094" t="s">
        <v>30133</v>
      </c>
      <c r="F13094" t="s">
        <v>32664</v>
      </c>
      <c r="G13094" t="s">
        <v>32672</v>
      </c>
      <c r="H13094" t="s">
        <v>12635</v>
      </c>
      <c r="I13094" t="s">
        <v>32764</v>
      </c>
      <c r="J13094" t="s">
        <v>40557</v>
      </c>
      <c r="K13094" t="s">
        <v>42289</v>
      </c>
      <c r="M13094" t="s">
        <v>46212</v>
      </c>
      <c r="N13094" t="s">
        <v>46569</v>
      </c>
      <c r="O13094" t="s">
        <v>46570</v>
      </c>
      <c r="Q13094">
        <v>3</v>
      </c>
      <c r="R13094" t="s">
        <v>46585</v>
      </c>
      <c r="S13094" t="s">
        <v>47191</v>
      </c>
      <c r="T13094" t="s">
        <v>48285</v>
      </c>
      <c r="U13094" t="s">
        <v>59289</v>
      </c>
      <c r="W13094" t="s">
        <v>46212</v>
      </c>
      <c r="X13094" t="s">
        <v>46586</v>
      </c>
    </row>
    <row r="13095" spans="1:24">
      <c r="A13095">
        <f>HYPERLINK("https://www.philgeps.gov.ph/GEPSNONPILOT/Tender/SplashBidNoticeAbstractUI.aspx?menuIndex=3&amp;refID=7038802&amp;Result=3","7038802")</f>
        <v>0</v>
      </c>
      <c r="B13095" t="s">
        <v>885</v>
      </c>
      <c r="C13095" t="s">
        <v>15960</v>
      </c>
      <c r="D13095" t="s">
        <v>18819</v>
      </c>
      <c r="E13095" t="s">
        <v>30134</v>
      </c>
      <c r="F13095" t="s">
        <v>32664</v>
      </c>
      <c r="G13095" t="s">
        <v>32672</v>
      </c>
      <c r="H13095" t="s">
        <v>32683</v>
      </c>
      <c r="I13095" t="s">
        <v>10627</v>
      </c>
      <c r="J13095" t="s">
        <v>40558</v>
      </c>
      <c r="K13095" t="s">
        <v>42308</v>
      </c>
      <c r="M13095" t="s">
        <v>46210</v>
      </c>
      <c r="N13095" t="s">
        <v>46569</v>
      </c>
      <c r="O13095" t="s">
        <v>46570</v>
      </c>
      <c r="P13095">
        <v>0</v>
      </c>
      <c r="Q13095">
        <v>0</v>
      </c>
      <c r="R13095" t="s">
        <v>46585</v>
      </c>
      <c r="S13095" t="s">
        <v>47146</v>
      </c>
      <c r="T13095" t="s">
        <v>48370</v>
      </c>
      <c r="U13095" t="s">
        <v>59290</v>
      </c>
      <c r="W13095" t="s">
        <v>46210</v>
      </c>
      <c r="X13095" t="s">
        <v>46586</v>
      </c>
    </row>
    <row r="13096" spans="1:24">
      <c r="A13096">
        <f>HYPERLINK("https://www.philgeps.gov.ph/GEPSNONPILOT/Tender/SplashBidNoticeAbstractUI.aspx?menuIndex=3&amp;refID=7039165&amp;Result=3","7039165")</f>
        <v>0</v>
      </c>
      <c r="B13096" t="s">
        <v>1916</v>
      </c>
      <c r="C13096" t="s">
        <v>15961</v>
      </c>
      <c r="D13096" t="s">
        <v>18853</v>
      </c>
      <c r="E13096" t="s">
        <v>30135</v>
      </c>
      <c r="F13096" t="s">
        <v>32664</v>
      </c>
      <c r="G13096" t="s">
        <v>32672</v>
      </c>
      <c r="H13096" t="s">
        <v>32683</v>
      </c>
      <c r="I13096" t="s">
        <v>10627</v>
      </c>
      <c r="J13096" t="s">
        <v>33051</v>
      </c>
      <c r="K13096" t="s">
        <v>42311</v>
      </c>
      <c r="M13096" t="s">
        <v>44637</v>
      </c>
      <c r="N13096" t="s">
        <v>46569</v>
      </c>
      <c r="O13096" t="s">
        <v>46570</v>
      </c>
      <c r="Q13096">
        <v>1</v>
      </c>
      <c r="R13096" t="s">
        <v>46585</v>
      </c>
      <c r="S13096" t="s">
        <v>46880</v>
      </c>
      <c r="T13096" t="s">
        <v>48258</v>
      </c>
      <c r="U13096" t="s">
        <v>59272</v>
      </c>
      <c r="W13096" t="s">
        <v>44637</v>
      </c>
      <c r="X13096" t="s">
        <v>46586</v>
      </c>
    </row>
    <row r="13097" spans="1:24">
      <c r="A13097">
        <f>HYPERLINK("https://www.philgeps.gov.ph/GEPSNONPILOT/Tender/SplashBidNoticeAbstractUI.aspx?menuIndex=3&amp;refID=7038801&amp;Result=3","7038801")</f>
        <v>0</v>
      </c>
      <c r="B13097" t="s">
        <v>3278</v>
      </c>
      <c r="C13097" t="s">
        <v>15962</v>
      </c>
      <c r="D13097" t="s">
        <v>18805</v>
      </c>
      <c r="E13097" t="s">
        <v>21002</v>
      </c>
      <c r="F13097" t="s">
        <v>32664</v>
      </c>
      <c r="G13097" t="s">
        <v>32672</v>
      </c>
      <c r="H13097" t="s">
        <v>12635</v>
      </c>
      <c r="I13097" t="s">
        <v>4439</v>
      </c>
      <c r="J13097" t="s">
        <v>40559</v>
      </c>
      <c r="K13097" t="s">
        <v>42289</v>
      </c>
      <c r="M13097" t="s">
        <v>46215</v>
      </c>
      <c r="N13097" t="s">
        <v>46569</v>
      </c>
      <c r="O13097" t="s">
        <v>46570</v>
      </c>
      <c r="P13097">
        <v>0</v>
      </c>
      <c r="Q13097">
        <v>1</v>
      </c>
      <c r="R13097" t="s">
        <v>46585</v>
      </c>
      <c r="S13097" t="s">
        <v>47146</v>
      </c>
      <c r="T13097" t="s">
        <v>48282</v>
      </c>
      <c r="U13097" t="s">
        <v>59291</v>
      </c>
      <c r="W13097" t="s">
        <v>46215</v>
      </c>
      <c r="X13097" t="s">
        <v>46586</v>
      </c>
    </row>
    <row r="13098" spans="1:24">
      <c r="A13098">
        <f>HYPERLINK("https://www.philgeps.gov.ph/GEPSNONPILOT/Tender/SplashBidNoticeAbstractUI.aspx?menuIndex=3&amp;refID=7038807&amp;Result=3","7038807")</f>
        <v>0</v>
      </c>
      <c r="B13098" t="s">
        <v>3289</v>
      </c>
      <c r="C13098" t="s">
        <v>15963</v>
      </c>
      <c r="D13098" t="s">
        <v>18791</v>
      </c>
      <c r="E13098" t="s">
        <v>30136</v>
      </c>
      <c r="F13098" t="s">
        <v>32664</v>
      </c>
      <c r="G13098" t="s">
        <v>32672</v>
      </c>
      <c r="H13098" t="s">
        <v>12635</v>
      </c>
      <c r="I13098" t="s">
        <v>9486</v>
      </c>
      <c r="J13098" t="s">
        <v>40560</v>
      </c>
      <c r="K13098" t="s">
        <v>42281</v>
      </c>
      <c r="M13098" t="s">
        <v>46227</v>
      </c>
      <c r="N13098" t="s">
        <v>46569</v>
      </c>
      <c r="O13098" t="s">
        <v>46570</v>
      </c>
      <c r="P13098">
        <v>0</v>
      </c>
      <c r="Q13098">
        <v>4</v>
      </c>
      <c r="R13098" t="s">
        <v>46585</v>
      </c>
      <c r="S13098" t="s">
        <v>47146</v>
      </c>
      <c r="T13098" t="s">
        <v>48242</v>
      </c>
      <c r="U13098" t="s">
        <v>59292</v>
      </c>
      <c r="W13098" t="s">
        <v>46227</v>
      </c>
      <c r="X13098" t="s">
        <v>46586</v>
      </c>
    </row>
    <row r="13099" spans="1:24">
      <c r="A13099">
        <f>HYPERLINK("https://www.philgeps.gov.ph/GEPSNONPILOT/Tender/SplashBidNoticeAbstractUI.aspx?menuIndex=3&amp;refID=7039038&amp;Result=3","7039038")</f>
        <v>0</v>
      </c>
      <c r="B13099" t="s">
        <v>3013</v>
      </c>
      <c r="C13099" t="s">
        <v>15964</v>
      </c>
      <c r="D13099" t="s">
        <v>18810</v>
      </c>
      <c r="E13099" t="s">
        <v>30137</v>
      </c>
      <c r="F13099" t="s">
        <v>32664</v>
      </c>
      <c r="G13099" t="s">
        <v>32672</v>
      </c>
      <c r="H13099" t="s">
        <v>32683</v>
      </c>
      <c r="I13099" t="s">
        <v>10627</v>
      </c>
      <c r="J13099" t="s">
        <v>32962</v>
      </c>
      <c r="K13099" t="s">
        <v>42423</v>
      </c>
      <c r="M13099" t="s">
        <v>45885</v>
      </c>
      <c r="N13099" t="s">
        <v>46569</v>
      </c>
      <c r="O13099" t="s">
        <v>46570</v>
      </c>
      <c r="P13099">
        <v>0</v>
      </c>
      <c r="Q13099">
        <v>0</v>
      </c>
      <c r="R13099" t="s">
        <v>46585</v>
      </c>
      <c r="S13099" t="s">
        <v>47146</v>
      </c>
      <c r="T13099" t="s">
        <v>48394</v>
      </c>
      <c r="U13099" t="s">
        <v>59293</v>
      </c>
      <c r="W13099" t="s">
        <v>45885</v>
      </c>
      <c r="X13099" t="s">
        <v>46586</v>
      </c>
    </row>
    <row r="13100" spans="1:24">
      <c r="A13100">
        <f>HYPERLINK("https://www.philgeps.gov.ph/GEPSNONPILOT/Tender/SplashBidNoticeAbstractUI.aspx?menuIndex=3&amp;refID=7039238&amp;Result=3","7039238")</f>
        <v>0</v>
      </c>
      <c r="B13100" t="s">
        <v>690</v>
      </c>
      <c r="C13100" t="s">
        <v>15965</v>
      </c>
      <c r="D13100" t="s">
        <v>18781</v>
      </c>
      <c r="E13100" t="s">
        <v>30138</v>
      </c>
      <c r="F13100" t="s">
        <v>32664</v>
      </c>
      <c r="G13100" t="s">
        <v>32672</v>
      </c>
      <c r="H13100" t="s">
        <v>32683</v>
      </c>
      <c r="I13100" t="s">
        <v>10627</v>
      </c>
      <c r="J13100" t="s">
        <v>40241</v>
      </c>
      <c r="K13100" t="s">
        <v>42305</v>
      </c>
      <c r="L13100" t="s">
        <v>690</v>
      </c>
      <c r="M13100" t="s">
        <v>45601</v>
      </c>
      <c r="N13100" t="s">
        <v>46569</v>
      </c>
      <c r="O13100" t="s">
        <v>46570</v>
      </c>
      <c r="P13100">
        <v>0</v>
      </c>
      <c r="Q13100">
        <v>1</v>
      </c>
      <c r="R13100" t="s">
        <v>46585</v>
      </c>
      <c r="S13100" t="s">
        <v>47146</v>
      </c>
      <c r="T13100" t="s">
        <v>48330</v>
      </c>
      <c r="U13100" t="s">
        <v>59294</v>
      </c>
      <c r="W13100" t="s">
        <v>45601</v>
      </c>
      <c r="X13100" t="s">
        <v>46586</v>
      </c>
    </row>
    <row r="13101" spans="1:24">
      <c r="A13101">
        <f>HYPERLINK("https://www.philgeps.gov.ph/GEPSNONPILOT/Tender/SplashBidNoticeAbstractUI.aspx?menuIndex=3&amp;refID=7039210&amp;Result=3","7039210")</f>
        <v>0</v>
      </c>
      <c r="B13101" t="s">
        <v>3290</v>
      </c>
      <c r="C13101" t="s">
        <v>15966</v>
      </c>
      <c r="D13101" t="s">
        <v>18822</v>
      </c>
      <c r="E13101" t="s">
        <v>30139</v>
      </c>
      <c r="F13101" t="s">
        <v>32664</v>
      </c>
      <c r="G13101" t="s">
        <v>32672</v>
      </c>
      <c r="H13101" t="s">
        <v>12635</v>
      </c>
      <c r="I13101" t="s">
        <v>32760</v>
      </c>
      <c r="J13101" t="s">
        <v>40561</v>
      </c>
      <c r="K13101" t="s">
        <v>42289</v>
      </c>
      <c r="M13101" t="s">
        <v>46228</v>
      </c>
      <c r="N13101" t="s">
        <v>46569</v>
      </c>
      <c r="O13101" t="s">
        <v>46570</v>
      </c>
      <c r="P13101">
        <v>0</v>
      </c>
      <c r="Q13101">
        <v>1</v>
      </c>
      <c r="R13101" t="s">
        <v>46585</v>
      </c>
      <c r="S13101" t="s">
        <v>47146</v>
      </c>
      <c r="T13101" t="s">
        <v>48453</v>
      </c>
      <c r="U13101" t="s">
        <v>59295</v>
      </c>
      <c r="W13101" t="s">
        <v>46228</v>
      </c>
      <c r="X13101" t="s">
        <v>46586</v>
      </c>
    </row>
    <row r="13102" spans="1:24">
      <c r="A13102">
        <f>HYPERLINK("https://www.philgeps.gov.ph/GEPSNONPILOT/Tender/SplashBidNoticeAbstractUI.aspx?menuIndex=3&amp;refID=7039202&amp;Result=3","7039202")</f>
        <v>0</v>
      </c>
      <c r="B13102" t="s">
        <v>2449</v>
      </c>
      <c r="C13102" t="s">
        <v>15967</v>
      </c>
      <c r="D13102" t="s">
        <v>18806</v>
      </c>
      <c r="E13102" t="s">
        <v>20566</v>
      </c>
      <c r="F13102" t="s">
        <v>32664</v>
      </c>
      <c r="G13102" t="s">
        <v>32672</v>
      </c>
      <c r="H13102" t="s">
        <v>12635</v>
      </c>
      <c r="I13102" t="s">
        <v>4439</v>
      </c>
      <c r="J13102" t="s">
        <v>36871</v>
      </c>
      <c r="K13102" t="s">
        <v>42289</v>
      </c>
      <c r="M13102" t="s">
        <v>45243</v>
      </c>
      <c r="N13102" t="s">
        <v>46569</v>
      </c>
      <c r="O13102" t="s">
        <v>46570</v>
      </c>
      <c r="P13102">
        <v>0</v>
      </c>
      <c r="Q13102">
        <v>1</v>
      </c>
      <c r="R13102" t="s">
        <v>46585</v>
      </c>
      <c r="S13102" t="s">
        <v>47146</v>
      </c>
      <c r="T13102" t="s">
        <v>48456</v>
      </c>
      <c r="U13102" t="s">
        <v>49848</v>
      </c>
      <c r="W13102" t="s">
        <v>45243</v>
      </c>
      <c r="X13102" t="s">
        <v>46586</v>
      </c>
    </row>
    <row r="13103" spans="1:24">
      <c r="A13103">
        <f>HYPERLINK("https://www.philgeps.gov.ph/GEPSNONPILOT/Tender/SplashBidNoticeAbstractUI.aspx?menuIndex=3&amp;refID=7039196&amp;Result=3","7039196")</f>
        <v>0</v>
      </c>
      <c r="B13103" t="s">
        <v>690</v>
      </c>
      <c r="C13103" t="s">
        <v>15968</v>
      </c>
      <c r="D13103" t="s">
        <v>18781</v>
      </c>
      <c r="E13103" t="s">
        <v>30140</v>
      </c>
      <c r="F13103" t="s">
        <v>32664</v>
      </c>
      <c r="G13103" t="s">
        <v>32672</v>
      </c>
      <c r="H13103" t="s">
        <v>32683</v>
      </c>
      <c r="I13103" t="s">
        <v>10627</v>
      </c>
      <c r="J13103" t="s">
        <v>40562</v>
      </c>
      <c r="K13103" t="s">
        <v>42285</v>
      </c>
      <c r="L13103" t="s">
        <v>690</v>
      </c>
      <c r="M13103" t="s">
        <v>45601</v>
      </c>
      <c r="N13103" t="s">
        <v>46569</v>
      </c>
      <c r="O13103" t="s">
        <v>46570</v>
      </c>
      <c r="P13103">
        <v>0</v>
      </c>
      <c r="Q13103">
        <v>6</v>
      </c>
      <c r="R13103" t="s">
        <v>46585</v>
      </c>
      <c r="S13103" t="s">
        <v>47146</v>
      </c>
      <c r="T13103" t="s">
        <v>48330</v>
      </c>
      <c r="U13103" t="s">
        <v>59294</v>
      </c>
      <c r="W13103" t="s">
        <v>45601</v>
      </c>
      <c r="X13103" t="s">
        <v>46586</v>
      </c>
    </row>
    <row r="13104" spans="1:24">
      <c r="A13104">
        <f>HYPERLINK("https://www.philgeps.gov.ph/GEPSNONPILOT/Tender/SplashBidNoticeAbstractUI.aspx?menuIndex=3&amp;refID=7039195&amp;Result=3","7039195")</f>
        <v>0</v>
      </c>
      <c r="B13104" t="s">
        <v>81</v>
      </c>
      <c r="C13104" t="s">
        <v>15969</v>
      </c>
      <c r="D13104" t="s">
        <v>18818</v>
      </c>
      <c r="E13104" t="s">
        <v>30141</v>
      </c>
      <c r="F13104" t="s">
        <v>32664</v>
      </c>
      <c r="G13104" t="s">
        <v>32672</v>
      </c>
      <c r="H13104" t="s">
        <v>32683</v>
      </c>
      <c r="I13104" t="s">
        <v>10627</v>
      </c>
      <c r="J13104" t="s">
        <v>33743</v>
      </c>
      <c r="K13104" t="s">
        <v>42369</v>
      </c>
      <c r="M13104" t="s">
        <v>42644</v>
      </c>
      <c r="N13104" t="s">
        <v>46569</v>
      </c>
      <c r="O13104" t="s">
        <v>46570</v>
      </c>
      <c r="P13104">
        <v>0</v>
      </c>
      <c r="Q13104">
        <v>0</v>
      </c>
      <c r="R13104" t="s">
        <v>46585</v>
      </c>
      <c r="S13104" t="s">
        <v>47146</v>
      </c>
      <c r="T13104" t="s">
        <v>48283</v>
      </c>
      <c r="U13104" t="s">
        <v>59296</v>
      </c>
      <c r="W13104" t="s">
        <v>42644</v>
      </c>
      <c r="X13104" t="s">
        <v>46586</v>
      </c>
    </row>
    <row r="13105" spans="1:24">
      <c r="A13105">
        <f>HYPERLINK("https://www.philgeps.gov.ph/GEPSNONPILOT/Tender/SplashBidNoticeAbstractUI.aspx?menuIndex=3&amp;refID=7039192&amp;Result=3","7039192")</f>
        <v>0</v>
      </c>
      <c r="B13105" t="s">
        <v>690</v>
      </c>
      <c r="C13105" t="s">
        <v>15970</v>
      </c>
      <c r="D13105" t="s">
        <v>18781</v>
      </c>
      <c r="E13105" t="s">
        <v>30142</v>
      </c>
      <c r="F13105" t="s">
        <v>32664</v>
      </c>
      <c r="G13105" t="s">
        <v>32672</v>
      </c>
      <c r="H13105" t="s">
        <v>32683</v>
      </c>
      <c r="I13105" t="s">
        <v>10627</v>
      </c>
      <c r="J13105" t="s">
        <v>38599</v>
      </c>
      <c r="K13105" t="s">
        <v>42311</v>
      </c>
      <c r="L13105" t="s">
        <v>690</v>
      </c>
      <c r="M13105" t="s">
        <v>45601</v>
      </c>
      <c r="N13105" t="s">
        <v>46569</v>
      </c>
      <c r="O13105" t="s">
        <v>46570</v>
      </c>
      <c r="P13105">
        <v>0</v>
      </c>
      <c r="Q13105">
        <v>6</v>
      </c>
      <c r="R13105" t="s">
        <v>46585</v>
      </c>
      <c r="S13105" t="s">
        <v>47146</v>
      </c>
      <c r="T13105" t="s">
        <v>48330</v>
      </c>
      <c r="U13105" t="s">
        <v>59294</v>
      </c>
      <c r="W13105" t="s">
        <v>45601</v>
      </c>
      <c r="X13105" t="s">
        <v>46586</v>
      </c>
    </row>
    <row r="13106" spans="1:24">
      <c r="A13106">
        <f>HYPERLINK("https://www.philgeps.gov.ph/GEPSNONPILOT/Tender/SplashBidNoticeAbstractUI.aspx?menuIndex=3&amp;refID=7039186&amp;Result=3","7039186")</f>
        <v>0</v>
      </c>
      <c r="B13106" t="s">
        <v>690</v>
      </c>
      <c r="C13106" t="s">
        <v>15971</v>
      </c>
      <c r="D13106" t="s">
        <v>18781</v>
      </c>
      <c r="E13106" t="s">
        <v>30143</v>
      </c>
      <c r="F13106" t="s">
        <v>32664</v>
      </c>
      <c r="G13106" t="s">
        <v>32672</v>
      </c>
      <c r="H13106" t="s">
        <v>32683</v>
      </c>
      <c r="I13106" t="s">
        <v>10627</v>
      </c>
      <c r="J13106" t="s">
        <v>39010</v>
      </c>
      <c r="K13106" t="s">
        <v>42477</v>
      </c>
      <c r="L13106" t="s">
        <v>690</v>
      </c>
      <c r="M13106" t="s">
        <v>45601</v>
      </c>
      <c r="N13106" t="s">
        <v>46569</v>
      </c>
      <c r="O13106" t="s">
        <v>46570</v>
      </c>
      <c r="P13106">
        <v>0</v>
      </c>
      <c r="Q13106">
        <v>5</v>
      </c>
      <c r="R13106" t="s">
        <v>46585</v>
      </c>
      <c r="S13106" t="s">
        <v>47146</v>
      </c>
      <c r="T13106" t="s">
        <v>48330</v>
      </c>
      <c r="U13106" t="s">
        <v>59294</v>
      </c>
      <c r="W13106" t="s">
        <v>45601</v>
      </c>
      <c r="X13106" t="s">
        <v>46586</v>
      </c>
    </row>
    <row r="13107" spans="1:24">
      <c r="A13107">
        <f>HYPERLINK("https://www.philgeps.gov.ph/GEPSNONPILOT/Tender/SplashBidNoticeAbstractUI.aspx?menuIndex=3&amp;refID=7039216&amp;Result=3","7039216")</f>
        <v>0</v>
      </c>
      <c r="B13107" t="s">
        <v>690</v>
      </c>
      <c r="C13107" t="s">
        <v>15972</v>
      </c>
      <c r="D13107" t="s">
        <v>18781</v>
      </c>
      <c r="E13107" t="s">
        <v>30144</v>
      </c>
      <c r="F13107" t="s">
        <v>32664</v>
      </c>
      <c r="G13107" t="s">
        <v>32672</v>
      </c>
      <c r="H13107" t="s">
        <v>32683</v>
      </c>
      <c r="I13107" t="s">
        <v>10627</v>
      </c>
      <c r="J13107" t="s">
        <v>40563</v>
      </c>
      <c r="K13107" t="s">
        <v>42290</v>
      </c>
      <c r="L13107" t="s">
        <v>690</v>
      </c>
      <c r="M13107" t="s">
        <v>45601</v>
      </c>
      <c r="N13107" t="s">
        <v>46569</v>
      </c>
      <c r="O13107" t="s">
        <v>46570</v>
      </c>
      <c r="P13107">
        <v>0</v>
      </c>
      <c r="Q13107">
        <v>3</v>
      </c>
      <c r="R13107" t="s">
        <v>46585</v>
      </c>
      <c r="S13107" t="s">
        <v>47146</v>
      </c>
      <c r="T13107" t="s">
        <v>48330</v>
      </c>
      <c r="U13107" t="s">
        <v>59294</v>
      </c>
      <c r="W13107" t="s">
        <v>45601</v>
      </c>
      <c r="X13107" t="s">
        <v>46586</v>
      </c>
    </row>
    <row r="13108" spans="1:24">
      <c r="A13108">
        <f>HYPERLINK("https://www.philgeps.gov.ph/GEPSNONPILOT/Tender/SplashBidNoticeAbstractUI.aspx?menuIndex=3&amp;refID=7039181&amp;Result=3","7039181")</f>
        <v>0</v>
      </c>
      <c r="B13108" t="s">
        <v>81</v>
      </c>
      <c r="C13108" t="s">
        <v>15973</v>
      </c>
      <c r="D13108" t="s">
        <v>18818</v>
      </c>
      <c r="E13108" t="s">
        <v>30145</v>
      </c>
      <c r="F13108" t="s">
        <v>32664</v>
      </c>
      <c r="G13108" t="s">
        <v>32672</v>
      </c>
      <c r="H13108" t="s">
        <v>32683</v>
      </c>
      <c r="I13108" t="s">
        <v>10627</v>
      </c>
      <c r="J13108" t="s">
        <v>32981</v>
      </c>
      <c r="K13108" t="s">
        <v>42411</v>
      </c>
      <c r="M13108" t="s">
        <v>42644</v>
      </c>
      <c r="N13108" t="s">
        <v>46569</v>
      </c>
      <c r="O13108" t="s">
        <v>46570</v>
      </c>
      <c r="P13108">
        <v>0</v>
      </c>
      <c r="Q13108">
        <v>0</v>
      </c>
      <c r="R13108" t="s">
        <v>46585</v>
      </c>
      <c r="S13108" t="s">
        <v>47146</v>
      </c>
      <c r="T13108" t="s">
        <v>48283</v>
      </c>
      <c r="U13108" t="s">
        <v>59297</v>
      </c>
      <c r="W13108" t="s">
        <v>42644</v>
      </c>
      <c r="X13108" t="s">
        <v>46586</v>
      </c>
    </row>
    <row r="13109" spans="1:24">
      <c r="A13109">
        <f>HYPERLINK("https://www.philgeps.gov.ph/GEPSNONPILOT/Tender/SplashBidNoticeAbstractUI.aspx?menuIndex=3&amp;refID=7039245&amp;Result=3","7039245")</f>
        <v>0</v>
      </c>
      <c r="B13109" t="s">
        <v>1836</v>
      </c>
      <c r="C13109" t="s">
        <v>15974</v>
      </c>
      <c r="D13109" t="s">
        <v>18813</v>
      </c>
      <c r="E13109" t="s">
        <v>30146</v>
      </c>
      <c r="F13109" t="s">
        <v>32664</v>
      </c>
      <c r="G13109" t="s">
        <v>32672</v>
      </c>
      <c r="H13109" t="s">
        <v>12635</v>
      </c>
      <c r="I13109" t="s">
        <v>8797</v>
      </c>
      <c r="J13109" t="s">
        <v>40564</v>
      </c>
      <c r="K13109" t="s">
        <v>42281</v>
      </c>
      <c r="M13109" t="s">
        <v>44544</v>
      </c>
      <c r="N13109" t="s">
        <v>46569</v>
      </c>
      <c r="O13109" t="s">
        <v>46570</v>
      </c>
      <c r="Q13109">
        <v>4</v>
      </c>
      <c r="R13109" t="s">
        <v>46585</v>
      </c>
      <c r="S13109" t="s">
        <v>47192</v>
      </c>
      <c r="T13109" t="s">
        <v>48283</v>
      </c>
      <c r="U13109" t="s">
        <v>59298</v>
      </c>
      <c r="W13109" t="s">
        <v>44544</v>
      </c>
      <c r="X13109" t="s">
        <v>46586</v>
      </c>
    </row>
    <row r="13110" spans="1:24">
      <c r="A13110">
        <f>HYPERLINK("https://www.philgeps.gov.ph/GEPSNONPILOT/Tender/SplashBidNoticeAbstractUI.aspx?menuIndex=3&amp;refID=7039359&amp;Result=3","7039359")</f>
        <v>0</v>
      </c>
      <c r="B13110" t="s">
        <v>3290</v>
      </c>
      <c r="C13110" t="s">
        <v>15975</v>
      </c>
      <c r="D13110" t="s">
        <v>18848</v>
      </c>
      <c r="E13110" t="s">
        <v>30147</v>
      </c>
      <c r="F13110" t="s">
        <v>32664</v>
      </c>
      <c r="G13110" t="s">
        <v>32672</v>
      </c>
      <c r="H13110" t="s">
        <v>12635</v>
      </c>
      <c r="I13110" t="s">
        <v>32760</v>
      </c>
      <c r="J13110" t="s">
        <v>40565</v>
      </c>
      <c r="K13110" t="s">
        <v>42289</v>
      </c>
      <c r="M13110" t="s">
        <v>46228</v>
      </c>
      <c r="N13110" t="s">
        <v>46569</v>
      </c>
      <c r="O13110" t="s">
        <v>46570</v>
      </c>
      <c r="P13110">
        <v>0</v>
      </c>
      <c r="Q13110">
        <v>1</v>
      </c>
      <c r="R13110" t="s">
        <v>46585</v>
      </c>
      <c r="S13110" t="s">
        <v>47146</v>
      </c>
      <c r="T13110" t="s">
        <v>48453</v>
      </c>
      <c r="U13110" t="s">
        <v>59295</v>
      </c>
      <c r="W13110" t="s">
        <v>46228</v>
      </c>
      <c r="X13110" t="s">
        <v>46586</v>
      </c>
    </row>
    <row r="13111" spans="1:24">
      <c r="A13111">
        <f>HYPERLINK("https://www.philgeps.gov.ph/GEPSNONPILOT/Tender/SplashBidNoticeAbstractUI.aspx?menuIndex=3&amp;refID=7038778&amp;Result=3","7038778")</f>
        <v>0</v>
      </c>
      <c r="B13111" t="s">
        <v>2527</v>
      </c>
      <c r="C13111" t="s">
        <v>15976</v>
      </c>
      <c r="D13111" t="s">
        <v>18856</v>
      </c>
      <c r="E13111" t="s">
        <v>30148</v>
      </c>
      <c r="F13111" t="s">
        <v>32664</v>
      </c>
      <c r="G13111" t="s">
        <v>32672</v>
      </c>
      <c r="H13111" t="s">
        <v>32683</v>
      </c>
      <c r="I13111" t="s">
        <v>10627</v>
      </c>
      <c r="J13111" t="s">
        <v>40566</v>
      </c>
      <c r="K13111" t="s">
        <v>42369</v>
      </c>
      <c r="M13111" t="s">
        <v>45334</v>
      </c>
      <c r="N13111" t="s">
        <v>46569</v>
      </c>
      <c r="O13111" t="s">
        <v>46570</v>
      </c>
      <c r="P13111">
        <v>0</v>
      </c>
      <c r="Q13111">
        <v>5</v>
      </c>
      <c r="R13111" t="s">
        <v>46585</v>
      </c>
      <c r="S13111" t="s">
        <v>47146</v>
      </c>
      <c r="T13111" t="s">
        <v>48282</v>
      </c>
      <c r="U13111" t="s">
        <v>59299</v>
      </c>
      <c r="V13111" t="s">
        <v>63069</v>
      </c>
      <c r="W13111" t="s">
        <v>45334</v>
      </c>
      <c r="X13111" t="s">
        <v>46586</v>
      </c>
    </row>
    <row r="13112" spans="1:24">
      <c r="A13112">
        <f>HYPERLINK("https://www.philgeps.gov.ph/GEPSNONPILOT/Tender/SplashBidNoticeAbstractUI.aspx?menuIndex=3&amp;refID=7039178&amp;Result=3","7039178")</f>
        <v>0</v>
      </c>
      <c r="B13112" t="s">
        <v>1544</v>
      </c>
      <c r="C13112" t="s">
        <v>15977</v>
      </c>
      <c r="D13112" t="s">
        <v>18845</v>
      </c>
      <c r="E13112" t="s">
        <v>30149</v>
      </c>
      <c r="F13112" t="s">
        <v>32664</v>
      </c>
      <c r="G13112" t="s">
        <v>32672</v>
      </c>
      <c r="H13112" t="s">
        <v>32683</v>
      </c>
      <c r="I13112" t="s">
        <v>10627</v>
      </c>
      <c r="J13112" t="s">
        <v>34293</v>
      </c>
      <c r="K13112" t="s">
        <v>42290</v>
      </c>
      <c r="M13112" t="s">
        <v>44213</v>
      </c>
      <c r="N13112" t="s">
        <v>46569</v>
      </c>
      <c r="O13112" t="s">
        <v>46570</v>
      </c>
      <c r="P13112">
        <v>0</v>
      </c>
      <c r="Q13112">
        <v>3</v>
      </c>
      <c r="R13112" t="s">
        <v>46585</v>
      </c>
      <c r="S13112" t="s">
        <v>47146</v>
      </c>
      <c r="T13112" t="s">
        <v>48258</v>
      </c>
      <c r="U13112" t="s">
        <v>59300</v>
      </c>
      <c r="W13112" t="s">
        <v>44213</v>
      </c>
      <c r="X13112" t="s">
        <v>46586</v>
      </c>
    </row>
    <row r="13113" spans="1:24">
      <c r="A13113">
        <f>HYPERLINK("https://www.philgeps.gov.ph/GEPSNONPILOT/Tender/SplashBidNoticeAbstractUI.aspx?menuIndex=3&amp;refID=7039360&amp;Result=3","7039360")</f>
        <v>0</v>
      </c>
      <c r="B13113" t="s">
        <v>1734</v>
      </c>
      <c r="C13113" t="s">
        <v>15978</v>
      </c>
      <c r="D13113" t="s">
        <v>18789</v>
      </c>
      <c r="E13113" t="s">
        <v>30150</v>
      </c>
      <c r="F13113" t="s">
        <v>32664</v>
      </c>
      <c r="G13113" t="s">
        <v>32672</v>
      </c>
      <c r="H13113" t="s">
        <v>12635</v>
      </c>
      <c r="I13113" t="s">
        <v>4439</v>
      </c>
      <c r="J13113" t="s">
        <v>40567</v>
      </c>
      <c r="K13113" t="s">
        <v>42283</v>
      </c>
      <c r="M13113" t="s">
        <v>46229</v>
      </c>
      <c r="N13113" t="s">
        <v>46569</v>
      </c>
      <c r="O13113" t="s">
        <v>46570</v>
      </c>
      <c r="P13113">
        <v>0</v>
      </c>
      <c r="Q13113">
        <v>1</v>
      </c>
      <c r="R13113" t="s">
        <v>46585</v>
      </c>
      <c r="S13113" t="s">
        <v>47146</v>
      </c>
      <c r="T13113" t="s">
        <v>48373</v>
      </c>
      <c r="U13113" t="s">
        <v>59301</v>
      </c>
      <c r="W13113" t="s">
        <v>46229</v>
      </c>
      <c r="X13113" t="s">
        <v>46586</v>
      </c>
    </row>
    <row r="13114" spans="1:24">
      <c r="A13114">
        <f>HYPERLINK("https://www.philgeps.gov.ph/GEPSNONPILOT/Tender/SplashBidNoticeAbstractUI.aspx?menuIndex=3&amp;refID=7039352&amp;Result=3","7039352")</f>
        <v>0</v>
      </c>
      <c r="B13114" t="s">
        <v>1028</v>
      </c>
      <c r="C13114" t="s">
        <v>15979</v>
      </c>
      <c r="D13114" t="s">
        <v>18805</v>
      </c>
      <c r="E13114" t="s">
        <v>30151</v>
      </c>
      <c r="F13114" t="s">
        <v>32664</v>
      </c>
      <c r="G13114" t="s">
        <v>32672</v>
      </c>
      <c r="H13114" t="s">
        <v>12635</v>
      </c>
      <c r="I13114" t="s">
        <v>6168</v>
      </c>
      <c r="J13114" t="s">
        <v>40568</v>
      </c>
      <c r="K13114" t="s">
        <v>42303</v>
      </c>
      <c r="M13114" t="s">
        <v>43640</v>
      </c>
      <c r="N13114" t="s">
        <v>46569</v>
      </c>
      <c r="O13114" t="s">
        <v>46570</v>
      </c>
      <c r="Q13114">
        <v>7</v>
      </c>
      <c r="R13114" t="s">
        <v>46585</v>
      </c>
      <c r="S13114" t="s">
        <v>47193</v>
      </c>
      <c r="T13114" t="s">
        <v>48334</v>
      </c>
      <c r="U13114" t="s">
        <v>56138</v>
      </c>
      <c r="W13114" t="s">
        <v>63503</v>
      </c>
      <c r="X13114" t="s">
        <v>46586</v>
      </c>
    </row>
    <row r="13115" spans="1:24">
      <c r="A13115">
        <f>HYPERLINK("https://www.philgeps.gov.ph/GEPSNONPILOT/Tender/SplashBidNoticeAbstractUI.aspx?menuIndex=3&amp;refID=7039333&amp;Result=3","7039333")</f>
        <v>0</v>
      </c>
      <c r="B13115" t="s">
        <v>1811</v>
      </c>
      <c r="C13115" t="s">
        <v>15980</v>
      </c>
      <c r="D13115" t="s">
        <v>18805</v>
      </c>
      <c r="E13115" t="s">
        <v>30152</v>
      </c>
      <c r="F13115" t="s">
        <v>32664</v>
      </c>
      <c r="G13115" t="s">
        <v>32672</v>
      </c>
      <c r="H13115" t="s">
        <v>12635</v>
      </c>
      <c r="I13115" t="s">
        <v>9486</v>
      </c>
      <c r="J13115" t="s">
        <v>40569</v>
      </c>
      <c r="K13115" t="s">
        <v>42283</v>
      </c>
      <c r="M13115" t="s">
        <v>44517</v>
      </c>
      <c r="N13115" t="s">
        <v>46569</v>
      </c>
      <c r="O13115" t="s">
        <v>46570</v>
      </c>
      <c r="Q13115">
        <v>2</v>
      </c>
      <c r="R13115" t="s">
        <v>46585</v>
      </c>
      <c r="S13115" t="s">
        <v>47194</v>
      </c>
      <c r="T13115" t="s">
        <v>48411</v>
      </c>
      <c r="U13115" t="s">
        <v>59302</v>
      </c>
      <c r="V13115" t="s">
        <v>62197</v>
      </c>
      <c r="W13115" t="s">
        <v>44517</v>
      </c>
      <c r="X13115" t="s">
        <v>46586</v>
      </c>
    </row>
    <row r="13116" spans="1:24">
      <c r="A13116">
        <f>HYPERLINK("https://www.philgeps.gov.ph/GEPSNONPILOT/Tender/SplashBidNoticeAbstractUI.aspx?menuIndex=3&amp;refID=7039318&amp;Result=3","7039318")</f>
        <v>0</v>
      </c>
      <c r="B13116" t="s">
        <v>99</v>
      </c>
      <c r="C13116" t="s">
        <v>15981</v>
      </c>
      <c r="D13116" t="s">
        <v>18814</v>
      </c>
      <c r="E13116" t="s">
        <v>30153</v>
      </c>
      <c r="F13116" t="s">
        <v>32664</v>
      </c>
      <c r="G13116" t="s">
        <v>32672</v>
      </c>
      <c r="H13116" t="s">
        <v>32683</v>
      </c>
      <c r="I13116" t="s">
        <v>10627</v>
      </c>
      <c r="J13116" t="s">
        <v>40570</v>
      </c>
      <c r="K13116" t="s">
        <v>42369</v>
      </c>
      <c r="M13116" t="s">
        <v>46221</v>
      </c>
      <c r="N13116" t="s">
        <v>46569</v>
      </c>
      <c r="O13116" t="s">
        <v>46570</v>
      </c>
      <c r="P13116">
        <v>0</v>
      </c>
      <c r="Q13116">
        <v>0</v>
      </c>
      <c r="R13116" t="s">
        <v>46585</v>
      </c>
      <c r="S13116" t="s">
        <v>47146</v>
      </c>
      <c r="T13116" t="s">
        <v>48356</v>
      </c>
      <c r="U13116" t="s">
        <v>59303</v>
      </c>
      <c r="W13116" t="s">
        <v>46221</v>
      </c>
      <c r="X13116" t="s">
        <v>46586</v>
      </c>
    </row>
    <row r="13117" spans="1:24">
      <c r="A13117">
        <f>HYPERLINK("https://www.philgeps.gov.ph/GEPSNONPILOT/Tender/SplashBidNoticeAbstractUI.aspx?menuIndex=3&amp;refID=7039217&amp;Result=3","7039217")</f>
        <v>0</v>
      </c>
      <c r="B13117" t="s">
        <v>3291</v>
      </c>
      <c r="C13117" t="s">
        <v>5093</v>
      </c>
      <c r="D13117" t="s">
        <v>18796</v>
      </c>
      <c r="E13117" t="s">
        <v>30154</v>
      </c>
      <c r="F13117" t="s">
        <v>32664</v>
      </c>
      <c r="G13117" t="s">
        <v>32672</v>
      </c>
      <c r="H13117" t="s">
        <v>32683</v>
      </c>
      <c r="I13117" t="s">
        <v>10627</v>
      </c>
      <c r="J13117" t="s">
        <v>33688</v>
      </c>
      <c r="K13117" t="s">
        <v>42281</v>
      </c>
      <c r="M13117" t="s">
        <v>46230</v>
      </c>
      <c r="N13117" t="s">
        <v>46569</v>
      </c>
      <c r="O13117" t="s">
        <v>46570</v>
      </c>
      <c r="P13117">
        <v>0</v>
      </c>
      <c r="Q13117">
        <v>0</v>
      </c>
      <c r="R13117" t="s">
        <v>46585</v>
      </c>
      <c r="S13117" t="s">
        <v>47146</v>
      </c>
      <c r="T13117" t="s">
        <v>48225</v>
      </c>
      <c r="U13117" t="s">
        <v>59304</v>
      </c>
      <c r="W13117" t="s">
        <v>46230</v>
      </c>
      <c r="X13117" t="s">
        <v>46586</v>
      </c>
    </row>
    <row r="13118" spans="1:24">
      <c r="A13118">
        <f>HYPERLINK("https://www.philgeps.gov.ph/GEPSNONPILOT/Tender/SplashBidNoticeAbstractUI.aspx?menuIndex=3&amp;refID=7039316&amp;Result=3","7039316")</f>
        <v>0</v>
      </c>
      <c r="B13118" t="s">
        <v>502</v>
      </c>
      <c r="C13118" t="s">
        <v>15982</v>
      </c>
      <c r="D13118" t="s">
        <v>18782</v>
      </c>
      <c r="E13118" t="s">
        <v>30155</v>
      </c>
      <c r="F13118" t="s">
        <v>32664</v>
      </c>
      <c r="G13118" t="s">
        <v>32672</v>
      </c>
      <c r="H13118" t="s">
        <v>32683</v>
      </c>
      <c r="I13118" t="s">
        <v>10627</v>
      </c>
      <c r="J13118" t="s">
        <v>40571</v>
      </c>
      <c r="K13118" t="s">
        <v>42388</v>
      </c>
      <c r="M13118" t="s">
        <v>43078</v>
      </c>
      <c r="N13118" t="s">
        <v>46569</v>
      </c>
      <c r="O13118" t="s">
        <v>46570</v>
      </c>
      <c r="P13118">
        <v>0</v>
      </c>
      <c r="Q13118">
        <v>4</v>
      </c>
      <c r="R13118" t="s">
        <v>46585</v>
      </c>
      <c r="S13118" t="s">
        <v>47146</v>
      </c>
      <c r="T13118" t="s">
        <v>48580</v>
      </c>
      <c r="U13118" t="s">
        <v>59305</v>
      </c>
      <c r="W13118" t="s">
        <v>43078</v>
      </c>
      <c r="X13118" t="s">
        <v>46586</v>
      </c>
    </row>
    <row r="13119" spans="1:24">
      <c r="A13119">
        <f>HYPERLINK("https://www.philgeps.gov.ph/GEPSNONPILOT/Tender/SplashBidNoticeAbstractUI.aspx?menuIndex=3&amp;refID=7039131&amp;Result=3","7039131")</f>
        <v>0</v>
      </c>
      <c r="B13119" t="s">
        <v>81</v>
      </c>
      <c r="C13119" t="s">
        <v>15983</v>
      </c>
      <c r="D13119" t="s">
        <v>18818</v>
      </c>
      <c r="E13119" t="s">
        <v>30156</v>
      </c>
      <c r="F13119" t="s">
        <v>32664</v>
      </c>
      <c r="G13119" t="s">
        <v>32672</v>
      </c>
      <c r="H13119" t="s">
        <v>32683</v>
      </c>
      <c r="I13119" t="s">
        <v>10627</v>
      </c>
      <c r="J13119" t="s">
        <v>40572</v>
      </c>
      <c r="K13119" t="s">
        <v>42495</v>
      </c>
      <c r="M13119" t="s">
        <v>42644</v>
      </c>
      <c r="N13119" t="s">
        <v>46569</v>
      </c>
      <c r="O13119" t="s">
        <v>46570</v>
      </c>
      <c r="P13119">
        <v>0</v>
      </c>
      <c r="Q13119">
        <v>0</v>
      </c>
      <c r="R13119" t="s">
        <v>46585</v>
      </c>
      <c r="S13119" t="s">
        <v>47146</v>
      </c>
      <c r="T13119" t="s">
        <v>48283</v>
      </c>
      <c r="U13119" t="s">
        <v>59306</v>
      </c>
      <c r="W13119" t="s">
        <v>42644</v>
      </c>
      <c r="X13119" t="s">
        <v>46586</v>
      </c>
    </row>
    <row r="13120" spans="1:24">
      <c r="A13120">
        <f>HYPERLINK("https://www.philgeps.gov.ph/GEPSNONPILOT/Tender/SplashBidNoticeAbstractUI.aspx?menuIndex=3&amp;refID=7039332&amp;Result=3","7039332")</f>
        <v>0</v>
      </c>
      <c r="B13120" t="s">
        <v>182</v>
      </c>
      <c r="C13120" t="s">
        <v>15984</v>
      </c>
      <c r="D13120" t="s">
        <v>18818</v>
      </c>
      <c r="E13120" t="s">
        <v>30157</v>
      </c>
      <c r="F13120" t="s">
        <v>32664</v>
      </c>
      <c r="G13120" t="s">
        <v>32672</v>
      </c>
      <c r="H13120" t="s">
        <v>12635</v>
      </c>
      <c r="I13120" t="s">
        <v>7759</v>
      </c>
      <c r="J13120" t="s">
        <v>32998</v>
      </c>
      <c r="K13120" t="s">
        <v>42281</v>
      </c>
      <c r="M13120" t="s">
        <v>42746</v>
      </c>
      <c r="N13120" t="s">
        <v>46569</v>
      </c>
      <c r="O13120" t="s">
        <v>46570</v>
      </c>
      <c r="P13120">
        <v>0</v>
      </c>
      <c r="Q13120">
        <v>1</v>
      </c>
      <c r="R13120" t="s">
        <v>46585</v>
      </c>
      <c r="S13120" t="s">
        <v>47146</v>
      </c>
      <c r="T13120" t="s">
        <v>48238</v>
      </c>
      <c r="U13120" t="s">
        <v>59307</v>
      </c>
      <c r="W13120" t="s">
        <v>42746</v>
      </c>
      <c r="X13120" t="s">
        <v>46586</v>
      </c>
    </row>
    <row r="13121" spans="1:24">
      <c r="A13121">
        <f>HYPERLINK("https://www.philgeps.gov.ph/GEPSNONPILOT/Tender/SplashBidNoticeAbstractUI.aspx?menuIndex=3&amp;refID=7039357&amp;Result=3","7039357")</f>
        <v>0</v>
      </c>
      <c r="B13121" t="s">
        <v>3098</v>
      </c>
      <c r="C13121" t="s">
        <v>15985</v>
      </c>
      <c r="D13121" t="s">
        <v>18788</v>
      </c>
      <c r="E13121" t="s">
        <v>30158</v>
      </c>
      <c r="F13121" t="s">
        <v>32664</v>
      </c>
      <c r="G13121" t="s">
        <v>32672</v>
      </c>
      <c r="H13121" t="s">
        <v>12635</v>
      </c>
      <c r="I13121" t="s">
        <v>6223</v>
      </c>
      <c r="J13121" t="s">
        <v>40573</v>
      </c>
      <c r="K13121" t="s">
        <v>42283</v>
      </c>
      <c r="M13121" t="s">
        <v>45986</v>
      </c>
      <c r="N13121" t="s">
        <v>46569</v>
      </c>
      <c r="O13121" t="s">
        <v>46570</v>
      </c>
      <c r="P13121">
        <v>0</v>
      </c>
      <c r="Q13121">
        <v>2</v>
      </c>
      <c r="R13121" t="s">
        <v>46585</v>
      </c>
      <c r="S13121" t="s">
        <v>47146</v>
      </c>
      <c r="T13121" t="s">
        <v>48258</v>
      </c>
      <c r="U13121" t="s">
        <v>59308</v>
      </c>
      <c r="W13121" t="s">
        <v>63587</v>
      </c>
      <c r="X13121" t="s">
        <v>46586</v>
      </c>
    </row>
    <row r="13122" spans="1:24">
      <c r="A13122">
        <f>HYPERLINK("https://www.philgeps.gov.ph/GEPSNONPILOT/Tender/SplashBidNoticeAbstractUI.aspx?menuIndex=3&amp;refID=7038946&amp;Result=3","7038946")</f>
        <v>0</v>
      </c>
      <c r="B13122" t="s">
        <v>1344</v>
      </c>
      <c r="C13122" t="s">
        <v>15986</v>
      </c>
      <c r="D13122" t="s">
        <v>18835</v>
      </c>
      <c r="E13122" t="s">
        <v>30159</v>
      </c>
      <c r="F13122" t="s">
        <v>32664</v>
      </c>
      <c r="G13122" t="s">
        <v>32672</v>
      </c>
      <c r="H13122" t="s">
        <v>12635</v>
      </c>
      <c r="I13122" t="s">
        <v>6168</v>
      </c>
      <c r="J13122" t="s">
        <v>40574</v>
      </c>
      <c r="K13122" t="s">
        <v>42297</v>
      </c>
      <c r="M13122" t="s">
        <v>43995</v>
      </c>
      <c r="N13122" t="s">
        <v>46569</v>
      </c>
      <c r="O13122" t="s">
        <v>46570</v>
      </c>
      <c r="P13122">
        <v>0</v>
      </c>
      <c r="Q13122">
        <v>2</v>
      </c>
      <c r="R13122" t="s">
        <v>46585</v>
      </c>
      <c r="S13122" t="s">
        <v>47146</v>
      </c>
      <c r="T13122" t="s">
        <v>48304</v>
      </c>
      <c r="U13122" t="s">
        <v>51694</v>
      </c>
      <c r="W13122" t="s">
        <v>43995</v>
      </c>
      <c r="X13122" t="s">
        <v>46586</v>
      </c>
    </row>
    <row r="13123" spans="1:24">
      <c r="A13123">
        <f>HYPERLINK("https://www.philgeps.gov.ph/GEPSNONPILOT/Tender/SplashBidNoticeAbstractUI.aspx?menuIndex=3&amp;refID=7039230&amp;Result=3","7039230")</f>
        <v>0</v>
      </c>
      <c r="B13123" t="s">
        <v>690</v>
      </c>
      <c r="C13123" t="s">
        <v>15987</v>
      </c>
      <c r="D13123" t="s">
        <v>18781</v>
      </c>
      <c r="E13123" t="s">
        <v>30160</v>
      </c>
      <c r="F13123" t="s">
        <v>32664</v>
      </c>
      <c r="G13123" t="s">
        <v>32672</v>
      </c>
      <c r="H13123" t="s">
        <v>32683</v>
      </c>
      <c r="I13123" t="s">
        <v>10627</v>
      </c>
      <c r="J13123" t="s">
        <v>37724</v>
      </c>
      <c r="K13123" t="s">
        <v>42313</v>
      </c>
      <c r="L13123" t="s">
        <v>690</v>
      </c>
      <c r="M13123" t="s">
        <v>45601</v>
      </c>
      <c r="N13123" t="s">
        <v>46569</v>
      </c>
      <c r="O13123" t="s">
        <v>46570</v>
      </c>
      <c r="P13123">
        <v>0</v>
      </c>
      <c r="Q13123">
        <v>3</v>
      </c>
      <c r="R13123" t="s">
        <v>46585</v>
      </c>
      <c r="S13123" t="s">
        <v>47146</v>
      </c>
      <c r="T13123" t="s">
        <v>48330</v>
      </c>
      <c r="U13123" t="s">
        <v>59294</v>
      </c>
      <c r="W13123" t="s">
        <v>45601</v>
      </c>
      <c r="X13123" t="s">
        <v>46586</v>
      </c>
    </row>
    <row r="13124" spans="1:24">
      <c r="A13124">
        <f>HYPERLINK("https://www.philgeps.gov.ph/GEPSNONPILOT/Tender/SplashBidNoticeAbstractUI.aspx?menuIndex=3&amp;refID=7039432&amp;Result=3","7039432")</f>
        <v>0</v>
      </c>
      <c r="B13124" t="s">
        <v>3098</v>
      </c>
      <c r="C13124" t="s">
        <v>15988</v>
      </c>
      <c r="D13124" t="s">
        <v>18788</v>
      </c>
      <c r="E13124" t="s">
        <v>20149</v>
      </c>
      <c r="F13124" t="s">
        <v>32664</v>
      </c>
      <c r="G13124" t="s">
        <v>32672</v>
      </c>
      <c r="H13124" t="s">
        <v>12635</v>
      </c>
      <c r="I13124" t="s">
        <v>6223</v>
      </c>
      <c r="J13124" t="s">
        <v>40575</v>
      </c>
      <c r="K13124" t="s">
        <v>42283</v>
      </c>
      <c r="M13124" t="s">
        <v>45986</v>
      </c>
      <c r="N13124" t="s">
        <v>46569</v>
      </c>
      <c r="O13124" t="s">
        <v>46570</v>
      </c>
      <c r="P13124">
        <v>0</v>
      </c>
      <c r="Q13124">
        <v>1</v>
      </c>
      <c r="R13124" t="s">
        <v>46585</v>
      </c>
      <c r="S13124" t="s">
        <v>47146</v>
      </c>
      <c r="T13124" t="s">
        <v>48258</v>
      </c>
      <c r="U13124" t="s">
        <v>59309</v>
      </c>
      <c r="W13124" t="s">
        <v>63587</v>
      </c>
      <c r="X13124" t="s">
        <v>46586</v>
      </c>
    </row>
    <row r="13125" spans="1:24">
      <c r="A13125">
        <f>HYPERLINK("https://www.philgeps.gov.ph/GEPSNONPILOT/Tender/SplashBidNoticeAbstractUI.aspx?menuIndex=3&amp;refID=7039355&amp;Result=3","7039355")</f>
        <v>0</v>
      </c>
      <c r="B13125" t="s">
        <v>690</v>
      </c>
      <c r="C13125" t="s">
        <v>15989</v>
      </c>
      <c r="D13125" t="s">
        <v>18781</v>
      </c>
      <c r="E13125" t="s">
        <v>30161</v>
      </c>
      <c r="F13125" t="s">
        <v>32664</v>
      </c>
      <c r="G13125" t="s">
        <v>32672</v>
      </c>
      <c r="H13125" t="s">
        <v>32683</v>
      </c>
      <c r="I13125" t="s">
        <v>10627</v>
      </c>
      <c r="J13125" t="s">
        <v>32962</v>
      </c>
      <c r="K13125" t="s">
        <v>42281</v>
      </c>
      <c r="L13125" t="s">
        <v>690</v>
      </c>
      <c r="M13125" t="s">
        <v>45601</v>
      </c>
      <c r="N13125" t="s">
        <v>46569</v>
      </c>
      <c r="O13125" t="s">
        <v>46570</v>
      </c>
      <c r="P13125">
        <v>0</v>
      </c>
      <c r="Q13125">
        <v>1</v>
      </c>
      <c r="R13125" t="s">
        <v>46585</v>
      </c>
      <c r="S13125" t="s">
        <v>47146</v>
      </c>
      <c r="T13125" t="s">
        <v>48330</v>
      </c>
      <c r="U13125" t="s">
        <v>59294</v>
      </c>
      <c r="W13125" t="s">
        <v>45601</v>
      </c>
      <c r="X13125" t="s">
        <v>46586</v>
      </c>
    </row>
    <row r="13126" spans="1:24">
      <c r="A13126">
        <f>HYPERLINK("https://www.philgeps.gov.ph/GEPSNONPILOT/Tender/SplashBidNoticeAbstractUI.aspx?menuIndex=3&amp;refID=7039418&amp;Result=3","7039418")</f>
        <v>0</v>
      </c>
      <c r="B13126" t="s">
        <v>3098</v>
      </c>
      <c r="C13126" t="s">
        <v>15990</v>
      </c>
      <c r="D13126" t="s">
        <v>18788</v>
      </c>
      <c r="E13126" t="s">
        <v>30162</v>
      </c>
      <c r="F13126" t="s">
        <v>32664</v>
      </c>
      <c r="G13126" t="s">
        <v>32672</v>
      </c>
      <c r="H13126" t="s">
        <v>12635</v>
      </c>
      <c r="I13126" t="s">
        <v>6223</v>
      </c>
      <c r="J13126" t="s">
        <v>40576</v>
      </c>
      <c r="K13126" t="s">
        <v>42283</v>
      </c>
      <c r="M13126" t="s">
        <v>45986</v>
      </c>
      <c r="N13126" t="s">
        <v>46569</v>
      </c>
      <c r="O13126" t="s">
        <v>46570</v>
      </c>
      <c r="P13126">
        <v>0</v>
      </c>
      <c r="Q13126">
        <v>0</v>
      </c>
      <c r="R13126" t="s">
        <v>46585</v>
      </c>
      <c r="S13126" t="s">
        <v>47146</v>
      </c>
      <c r="T13126" t="s">
        <v>48258</v>
      </c>
      <c r="U13126" t="s">
        <v>59310</v>
      </c>
      <c r="W13126" t="s">
        <v>63587</v>
      </c>
      <c r="X13126" t="s">
        <v>46586</v>
      </c>
    </row>
    <row r="13127" spans="1:24">
      <c r="A13127">
        <f>HYPERLINK("https://www.philgeps.gov.ph/GEPSNONPILOT/Tender/SplashBidNoticeAbstractUI.aspx?menuIndex=3&amp;refID=7039409&amp;Result=3","7039409")</f>
        <v>0</v>
      </c>
      <c r="B13127" t="s">
        <v>1786</v>
      </c>
      <c r="C13127" t="s">
        <v>15991</v>
      </c>
      <c r="D13127" t="s">
        <v>18814</v>
      </c>
      <c r="E13127" t="s">
        <v>30163</v>
      </c>
      <c r="F13127" t="s">
        <v>32665</v>
      </c>
      <c r="G13127" t="s">
        <v>32672</v>
      </c>
      <c r="H13127" t="s">
        <v>12635</v>
      </c>
      <c r="I13127" t="s">
        <v>32696</v>
      </c>
      <c r="J13127" t="s">
        <v>34148</v>
      </c>
      <c r="K13127" t="s">
        <v>42311</v>
      </c>
      <c r="M13127" t="s">
        <v>44488</v>
      </c>
      <c r="N13127" t="s">
        <v>46569</v>
      </c>
      <c r="O13127" t="s">
        <v>46570</v>
      </c>
      <c r="Q13127">
        <v>3</v>
      </c>
      <c r="R13127" t="s">
        <v>46585</v>
      </c>
      <c r="S13127" t="s">
        <v>47195</v>
      </c>
      <c r="T13127" t="s">
        <v>48329</v>
      </c>
      <c r="U13127" t="s">
        <v>59311</v>
      </c>
      <c r="W13127" t="s">
        <v>44488</v>
      </c>
      <c r="X13127" t="s">
        <v>46586</v>
      </c>
    </row>
    <row r="13128" spans="1:24">
      <c r="A13128">
        <f>HYPERLINK("https://www.philgeps.gov.ph/GEPSNONPILOT/Tender/SplashBidNoticeAbstractUI.aspx?menuIndex=3&amp;refID=7039431&amp;Result=3","7039431")</f>
        <v>0</v>
      </c>
      <c r="B13128" t="s">
        <v>553</v>
      </c>
      <c r="C13128" t="s">
        <v>15992</v>
      </c>
      <c r="D13128" t="s">
        <v>18828</v>
      </c>
      <c r="E13128" t="s">
        <v>19701</v>
      </c>
      <c r="F13128" t="s">
        <v>32664</v>
      </c>
      <c r="G13128" t="s">
        <v>32672</v>
      </c>
      <c r="H13128" t="s">
        <v>32683</v>
      </c>
      <c r="I13128" t="s">
        <v>10627</v>
      </c>
      <c r="J13128" t="s">
        <v>32837</v>
      </c>
      <c r="K13128" t="s">
        <v>42283</v>
      </c>
      <c r="M13128" t="s">
        <v>43133</v>
      </c>
      <c r="N13128" t="s">
        <v>46569</v>
      </c>
      <c r="O13128" t="s">
        <v>46570</v>
      </c>
      <c r="P13128">
        <v>0</v>
      </c>
      <c r="Q13128">
        <v>0</v>
      </c>
      <c r="R13128" t="s">
        <v>46585</v>
      </c>
      <c r="S13128" t="s">
        <v>47146</v>
      </c>
      <c r="T13128" t="s">
        <v>48304</v>
      </c>
      <c r="U13128" t="s">
        <v>59312</v>
      </c>
      <c r="W13128" t="s">
        <v>63482</v>
      </c>
      <c r="X13128" t="s">
        <v>46586</v>
      </c>
    </row>
    <row r="13129" spans="1:24">
      <c r="A13129">
        <f>HYPERLINK("https://www.philgeps.gov.ph/GEPSNONPILOT/Tender/SplashBidNoticeAbstractUI.aspx?menuIndex=3&amp;refID=7039403&amp;Result=3","7039403")</f>
        <v>0</v>
      </c>
      <c r="B13129" t="s">
        <v>99</v>
      </c>
      <c r="C13129" t="s">
        <v>15993</v>
      </c>
      <c r="D13129" t="s">
        <v>18814</v>
      </c>
      <c r="E13129" t="s">
        <v>30164</v>
      </c>
      <c r="F13129" t="s">
        <v>32664</v>
      </c>
      <c r="G13129" t="s">
        <v>32672</v>
      </c>
      <c r="H13129" t="s">
        <v>32683</v>
      </c>
      <c r="I13129" t="s">
        <v>10627</v>
      </c>
      <c r="J13129" t="s">
        <v>35338</v>
      </c>
      <c r="K13129" t="s">
        <v>42298</v>
      </c>
      <c r="M13129" t="s">
        <v>46221</v>
      </c>
      <c r="N13129" t="s">
        <v>46569</v>
      </c>
      <c r="O13129" t="s">
        <v>46570</v>
      </c>
      <c r="P13129">
        <v>0</v>
      </c>
      <c r="Q13129">
        <v>0</v>
      </c>
      <c r="R13129" t="s">
        <v>46585</v>
      </c>
      <c r="S13129" t="s">
        <v>47146</v>
      </c>
      <c r="T13129" t="s">
        <v>48356</v>
      </c>
      <c r="U13129" t="s">
        <v>59313</v>
      </c>
      <c r="W13129" t="s">
        <v>46221</v>
      </c>
      <c r="X13129" t="s">
        <v>46586</v>
      </c>
    </row>
    <row r="13130" spans="1:24">
      <c r="A13130">
        <f>HYPERLINK("https://www.philgeps.gov.ph/GEPSNONPILOT/Tender/SplashBidNoticeAbstractUI.aspx?menuIndex=3&amp;refID=7039397&amp;Result=3","7039397")</f>
        <v>0</v>
      </c>
      <c r="B13130" t="s">
        <v>3098</v>
      </c>
      <c r="C13130" t="s">
        <v>15994</v>
      </c>
      <c r="D13130" t="s">
        <v>18788</v>
      </c>
      <c r="E13130" t="s">
        <v>30165</v>
      </c>
      <c r="F13130" t="s">
        <v>32664</v>
      </c>
      <c r="G13130" t="s">
        <v>32672</v>
      </c>
      <c r="H13130" t="s">
        <v>12635</v>
      </c>
      <c r="I13130" t="s">
        <v>6223</v>
      </c>
      <c r="J13130" t="s">
        <v>40577</v>
      </c>
      <c r="K13130" t="s">
        <v>42283</v>
      </c>
      <c r="M13130" t="s">
        <v>45986</v>
      </c>
      <c r="N13130" t="s">
        <v>46569</v>
      </c>
      <c r="O13130" t="s">
        <v>46570</v>
      </c>
      <c r="P13130">
        <v>0</v>
      </c>
      <c r="Q13130">
        <v>0</v>
      </c>
      <c r="R13130" t="s">
        <v>46585</v>
      </c>
      <c r="S13130" t="s">
        <v>47146</v>
      </c>
      <c r="T13130" t="s">
        <v>48258</v>
      </c>
      <c r="U13130" t="s">
        <v>59314</v>
      </c>
      <c r="W13130" t="s">
        <v>63587</v>
      </c>
      <c r="X13130" t="s">
        <v>46586</v>
      </c>
    </row>
    <row r="13131" spans="1:24">
      <c r="A13131">
        <f>HYPERLINK("https://www.philgeps.gov.ph/GEPSNONPILOT/Tender/SplashBidNoticeAbstractUI.aspx?menuIndex=3&amp;refID=7039395&amp;Result=3","7039395")</f>
        <v>0</v>
      </c>
      <c r="B13131" t="s">
        <v>3292</v>
      </c>
      <c r="C13131" t="s">
        <v>15995</v>
      </c>
      <c r="D13131" t="s">
        <v>18804</v>
      </c>
      <c r="E13131" t="s">
        <v>30166</v>
      </c>
      <c r="F13131" t="s">
        <v>32664</v>
      </c>
      <c r="G13131" t="s">
        <v>32672</v>
      </c>
      <c r="H13131" t="s">
        <v>32683</v>
      </c>
      <c r="I13131" t="s">
        <v>10627</v>
      </c>
      <c r="J13131" t="s">
        <v>32898</v>
      </c>
      <c r="K13131" t="s">
        <v>42289</v>
      </c>
      <c r="M13131" t="s">
        <v>46231</v>
      </c>
      <c r="N13131" t="s">
        <v>46569</v>
      </c>
      <c r="O13131" t="s">
        <v>46570</v>
      </c>
      <c r="P13131">
        <v>0</v>
      </c>
      <c r="Q13131">
        <v>0</v>
      </c>
      <c r="R13131" t="s">
        <v>46585</v>
      </c>
      <c r="S13131" t="s">
        <v>47146</v>
      </c>
      <c r="T13131" t="s">
        <v>48230</v>
      </c>
      <c r="U13131" t="s">
        <v>59315</v>
      </c>
      <c r="V13131" t="s">
        <v>62933</v>
      </c>
      <c r="W13131" t="s">
        <v>46231</v>
      </c>
      <c r="X13131" t="s">
        <v>46586</v>
      </c>
    </row>
    <row r="13132" spans="1:24">
      <c r="A13132">
        <f>HYPERLINK("https://www.philgeps.gov.ph/GEPSNONPILOT/Tender/SplashBidNoticeAbstractUI.aspx?menuIndex=3&amp;refID=7039417&amp;Result=3","7039417")</f>
        <v>0</v>
      </c>
      <c r="B13132" t="s">
        <v>3290</v>
      </c>
      <c r="C13132" t="s">
        <v>15996</v>
      </c>
      <c r="D13132" t="s">
        <v>18799</v>
      </c>
      <c r="E13132" t="s">
        <v>30167</v>
      </c>
      <c r="F13132" t="s">
        <v>32664</v>
      </c>
      <c r="G13132" t="s">
        <v>32672</v>
      </c>
      <c r="H13132" t="s">
        <v>12635</v>
      </c>
      <c r="I13132" t="s">
        <v>32760</v>
      </c>
      <c r="J13132" t="s">
        <v>40578</v>
      </c>
      <c r="K13132" t="s">
        <v>42289</v>
      </c>
      <c r="M13132" t="s">
        <v>46228</v>
      </c>
      <c r="N13132" t="s">
        <v>46569</v>
      </c>
      <c r="O13132" t="s">
        <v>46570</v>
      </c>
      <c r="P13132">
        <v>0</v>
      </c>
      <c r="Q13132">
        <v>1</v>
      </c>
      <c r="R13132" t="s">
        <v>46585</v>
      </c>
      <c r="S13132" t="s">
        <v>47146</v>
      </c>
      <c r="T13132" t="s">
        <v>48453</v>
      </c>
      <c r="U13132" t="s">
        <v>59316</v>
      </c>
      <c r="W13132" t="s">
        <v>46228</v>
      </c>
      <c r="X13132" t="s">
        <v>46586</v>
      </c>
    </row>
    <row r="13133" spans="1:24">
      <c r="A13133">
        <f>HYPERLINK("https://www.philgeps.gov.ph/GEPSNONPILOT/Tender/SplashBidNoticeAbstractUI.aspx?menuIndex=3&amp;refID=7039413&amp;Result=3","7039413")</f>
        <v>0</v>
      </c>
      <c r="B13133" t="s">
        <v>3211</v>
      </c>
      <c r="C13133" t="s">
        <v>15997</v>
      </c>
      <c r="D13133" t="s">
        <v>18784</v>
      </c>
      <c r="E13133" t="s">
        <v>30168</v>
      </c>
      <c r="F13133" t="s">
        <v>32664</v>
      </c>
      <c r="G13133" t="s">
        <v>32672</v>
      </c>
      <c r="H13133" t="s">
        <v>12635</v>
      </c>
      <c r="I13133" t="s">
        <v>6168</v>
      </c>
      <c r="J13133" t="s">
        <v>40579</v>
      </c>
      <c r="K13133" t="s">
        <v>42284</v>
      </c>
      <c r="M13133" t="s">
        <v>46130</v>
      </c>
      <c r="N13133" t="s">
        <v>46569</v>
      </c>
      <c r="O13133" t="s">
        <v>46570</v>
      </c>
      <c r="P13133">
        <v>0</v>
      </c>
      <c r="Q13133">
        <v>2</v>
      </c>
      <c r="R13133" t="s">
        <v>46585</v>
      </c>
      <c r="S13133" t="s">
        <v>47146</v>
      </c>
      <c r="T13133" t="s">
        <v>48244</v>
      </c>
      <c r="U13133" t="s">
        <v>50718</v>
      </c>
      <c r="W13133" t="s">
        <v>46130</v>
      </c>
      <c r="X13133" t="s">
        <v>46586</v>
      </c>
    </row>
    <row r="13134" spans="1:24">
      <c r="A13134">
        <f>HYPERLINK("https://www.philgeps.gov.ph/GEPSNONPILOT/Tender/SplashBidNoticeAbstractUI.aspx?menuIndex=3&amp;refID=7039564&amp;Result=3","7039564")</f>
        <v>0</v>
      </c>
      <c r="B13134" t="s">
        <v>3211</v>
      </c>
      <c r="C13134" t="s">
        <v>15998</v>
      </c>
      <c r="D13134" t="s">
        <v>18784</v>
      </c>
      <c r="E13134" t="s">
        <v>30169</v>
      </c>
      <c r="F13134" t="s">
        <v>32664</v>
      </c>
      <c r="G13134" t="s">
        <v>32672</v>
      </c>
      <c r="H13134" t="s">
        <v>12635</v>
      </c>
      <c r="I13134" t="s">
        <v>6168</v>
      </c>
      <c r="J13134" t="s">
        <v>40580</v>
      </c>
      <c r="K13134" t="s">
        <v>42284</v>
      </c>
      <c r="M13134" t="s">
        <v>46130</v>
      </c>
      <c r="N13134" t="s">
        <v>46569</v>
      </c>
      <c r="O13134" t="s">
        <v>46570</v>
      </c>
      <c r="P13134">
        <v>0</v>
      </c>
      <c r="Q13134">
        <v>0</v>
      </c>
      <c r="R13134" t="s">
        <v>46585</v>
      </c>
      <c r="S13134" t="s">
        <v>47146</v>
      </c>
      <c r="T13134" t="s">
        <v>48244</v>
      </c>
      <c r="U13134" t="s">
        <v>50718</v>
      </c>
      <c r="W13134" t="s">
        <v>46130</v>
      </c>
      <c r="X13134" t="s">
        <v>46586</v>
      </c>
    </row>
    <row r="13135" spans="1:24">
      <c r="A13135">
        <f>HYPERLINK("https://www.philgeps.gov.ph/GEPSNONPILOT/Tender/SplashBidNoticeAbstractUI.aspx?menuIndex=3&amp;refID=7039552&amp;Result=3","7039552")</f>
        <v>0</v>
      </c>
      <c r="B13135" t="s">
        <v>592</v>
      </c>
      <c r="C13135" t="s">
        <v>15999</v>
      </c>
      <c r="D13135" t="s">
        <v>18784</v>
      </c>
      <c r="E13135" t="s">
        <v>30170</v>
      </c>
      <c r="F13135" t="s">
        <v>32664</v>
      </c>
      <c r="G13135" t="s">
        <v>32675</v>
      </c>
      <c r="H13135" t="s">
        <v>12635</v>
      </c>
      <c r="I13135" t="s">
        <v>13883</v>
      </c>
      <c r="J13135" t="s">
        <v>40581</v>
      </c>
      <c r="K13135" t="s">
        <v>42297</v>
      </c>
      <c r="M13135" t="s">
        <v>43172</v>
      </c>
      <c r="N13135" t="s">
        <v>46569</v>
      </c>
      <c r="O13135" t="s">
        <v>46570</v>
      </c>
      <c r="Q13135">
        <v>7</v>
      </c>
      <c r="R13135" t="s">
        <v>46585</v>
      </c>
      <c r="S13135" t="s">
        <v>46909</v>
      </c>
      <c r="T13135" t="s">
        <v>48230</v>
      </c>
      <c r="U13135" t="s">
        <v>49886</v>
      </c>
      <c r="V13135" t="s">
        <v>61771</v>
      </c>
      <c r="W13135" t="s">
        <v>43172</v>
      </c>
      <c r="X13135" t="s">
        <v>46586</v>
      </c>
    </row>
    <row r="13136" spans="1:24">
      <c r="A13136">
        <f>HYPERLINK("https://www.philgeps.gov.ph/GEPSNONPILOT/Tender/SplashBidNoticeAbstractUI.aspx?menuIndex=3&amp;refID=7039546&amp;Result=3","7039546")</f>
        <v>0</v>
      </c>
      <c r="B13136" t="s">
        <v>1734</v>
      </c>
      <c r="C13136" t="s">
        <v>11089</v>
      </c>
      <c r="D13136" t="s">
        <v>18789</v>
      </c>
      <c r="E13136" t="s">
        <v>30171</v>
      </c>
      <c r="F13136" t="s">
        <v>32664</v>
      </c>
      <c r="G13136" t="s">
        <v>32672</v>
      </c>
      <c r="H13136" t="s">
        <v>12635</v>
      </c>
      <c r="I13136" t="s">
        <v>32704</v>
      </c>
      <c r="J13136" t="s">
        <v>40582</v>
      </c>
      <c r="K13136" t="s">
        <v>42283</v>
      </c>
      <c r="M13136" t="s">
        <v>46229</v>
      </c>
      <c r="N13136" t="s">
        <v>46569</v>
      </c>
      <c r="O13136" t="s">
        <v>46570</v>
      </c>
      <c r="P13136">
        <v>0</v>
      </c>
      <c r="Q13136">
        <v>22</v>
      </c>
      <c r="R13136" t="s">
        <v>46585</v>
      </c>
      <c r="S13136" t="s">
        <v>47146</v>
      </c>
      <c r="T13136" t="s">
        <v>48268</v>
      </c>
      <c r="U13136" t="s">
        <v>59317</v>
      </c>
      <c r="W13136" t="s">
        <v>46229</v>
      </c>
      <c r="X13136" t="s">
        <v>46586</v>
      </c>
    </row>
    <row r="13137" spans="1:24">
      <c r="A13137">
        <f>HYPERLINK("https://www.philgeps.gov.ph/GEPSNONPILOT/Tender/SplashBidNoticeAbstractUI.aspx?menuIndex=3&amp;refID=7039538&amp;Result=3","7039538")</f>
        <v>0</v>
      </c>
      <c r="B13137" t="s">
        <v>2706</v>
      </c>
      <c r="C13137" t="s">
        <v>16000</v>
      </c>
      <c r="D13137" t="s">
        <v>18781</v>
      </c>
      <c r="E13137" t="s">
        <v>30172</v>
      </c>
      <c r="F13137" t="s">
        <v>32664</v>
      </c>
      <c r="G13137" t="s">
        <v>32672</v>
      </c>
      <c r="H13137" t="s">
        <v>32683</v>
      </c>
      <c r="I13137" t="s">
        <v>10627</v>
      </c>
      <c r="J13137" t="s">
        <v>32930</v>
      </c>
      <c r="K13137" t="s">
        <v>42298</v>
      </c>
      <c r="L13137" t="s">
        <v>2706</v>
      </c>
      <c r="M13137" t="s">
        <v>45532</v>
      </c>
      <c r="N13137" t="s">
        <v>46569</v>
      </c>
      <c r="O13137" t="s">
        <v>46570</v>
      </c>
      <c r="P13137">
        <v>0</v>
      </c>
      <c r="Q13137">
        <v>1</v>
      </c>
      <c r="R13137" t="s">
        <v>46585</v>
      </c>
      <c r="S13137" t="s">
        <v>47146</v>
      </c>
      <c r="T13137" t="s">
        <v>48283</v>
      </c>
      <c r="U13137" t="s">
        <v>59318</v>
      </c>
      <c r="V13137" t="s">
        <v>63070</v>
      </c>
      <c r="W13137" t="s">
        <v>45532</v>
      </c>
      <c r="X13137" t="s">
        <v>46586</v>
      </c>
    </row>
    <row r="13138" spans="1:24">
      <c r="A13138">
        <f>HYPERLINK("https://www.philgeps.gov.ph/GEPSNONPILOT/Tender/SplashBidNoticeAbstractUI.aspx?menuIndex=3&amp;refID=7039532&amp;Result=3","7039532")</f>
        <v>0</v>
      </c>
      <c r="B13138" t="s">
        <v>1836</v>
      </c>
      <c r="C13138" t="s">
        <v>16001</v>
      </c>
      <c r="D13138" t="s">
        <v>18813</v>
      </c>
      <c r="E13138" t="s">
        <v>30173</v>
      </c>
      <c r="F13138" t="s">
        <v>32664</v>
      </c>
      <c r="G13138" t="s">
        <v>32672</v>
      </c>
      <c r="H13138" t="s">
        <v>12635</v>
      </c>
      <c r="I13138" t="s">
        <v>6628</v>
      </c>
      <c r="J13138" t="s">
        <v>32984</v>
      </c>
      <c r="K13138" t="s">
        <v>42281</v>
      </c>
      <c r="M13138" t="s">
        <v>44544</v>
      </c>
      <c r="N13138" t="s">
        <v>46569</v>
      </c>
      <c r="O13138" t="s">
        <v>46570</v>
      </c>
      <c r="P13138">
        <v>0</v>
      </c>
      <c r="Q13138">
        <v>2</v>
      </c>
      <c r="R13138" t="s">
        <v>46585</v>
      </c>
      <c r="S13138" t="s">
        <v>47146</v>
      </c>
      <c r="T13138" t="s">
        <v>48283</v>
      </c>
      <c r="U13138" t="s">
        <v>59319</v>
      </c>
      <c r="W13138" t="s">
        <v>44544</v>
      </c>
      <c r="X13138" t="s">
        <v>46586</v>
      </c>
    </row>
    <row r="13139" spans="1:24">
      <c r="A13139">
        <f>HYPERLINK("https://www.philgeps.gov.ph/GEPSNONPILOT/Tender/SplashBidNoticeAbstractUI.aspx?menuIndex=3&amp;refID=7039384&amp;Result=3","7039384")</f>
        <v>0</v>
      </c>
      <c r="B13139" t="s">
        <v>1836</v>
      </c>
      <c r="C13139" t="s">
        <v>16002</v>
      </c>
      <c r="D13139" t="s">
        <v>18813</v>
      </c>
      <c r="E13139" t="s">
        <v>30174</v>
      </c>
      <c r="F13139" t="s">
        <v>32664</v>
      </c>
      <c r="G13139" t="s">
        <v>32672</v>
      </c>
      <c r="H13139" t="s">
        <v>12635</v>
      </c>
      <c r="I13139" t="s">
        <v>4439</v>
      </c>
      <c r="J13139" t="s">
        <v>40583</v>
      </c>
      <c r="K13139" t="s">
        <v>42281</v>
      </c>
      <c r="M13139" t="s">
        <v>44544</v>
      </c>
      <c r="N13139" t="s">
        <v>46569</v>
      </c>
      <c r="O13139" t="s">
        <v>46570</v>
      </c>
      <c r="P13139">
        <v>0</v>
      </c>
      <c r="Q13139">
        <v>0</v>
      </c>
      <c r="R13139" t="s">
        <v>46585</v>
      </c>
      <c r="S13139" t="s">
        <v>47146</v>
      </c>
      <c r="T13139" t="s">
        <v>48283</v>
      </c>
      <c r="U13139" t="s">
        <v>59320</v>
      </c>
      <c r="W13139" t="s">
        <v>44544</v>
      </c>
      <c r="X13139" t="s">
        <v>46586</v>
      </c>
    </row>
    <row r="13140" spans="1:24">
      <c r="A13140">
        <f>HYPERLINK("https://www.philgeps.gov.ph/GEPSNONPILOT/Tender/SplashBidNoticeAbstractUI.aspx?menuIndex=3&amp;refID=7039507&amp;Result=3","7039507")</f>
        <v>0</v>
      </c>
      <c r="B13140" t="s">
        <v>3293</v>
      </c>
      <c r="C13140" t="s">
        <v>16003</v>
      </c>
      <c r="D13140" t="s">
        <v>18806</v>
      </c>
      <c r="E13140" t="s">
        <v>19815</v>
      </c>
      <c r="F13140" t="s">
        <v>32664</v>
      </c>
      <c r="G13140" t="s">
        <v>32672</v>
      </c>
      <c r="H13140" t="s">
        <v>32683</v>
      </c>
      <c r="I13140" t="s">
        <v>10627</v>
      </c>
      <c r="J13140" t="s">
        <v>40584</v>
      </c>
      <c r="K13140" t="s">
        <v>42297</v>
      </c>
      <c r="M13140" t="s">
        <v>46232</v>
      </c>
      <c r="N13140" t="s">
        <v>46569</v>
      </c>
      <c r="O13140" t="s">
        <v>46570</v>
      </c>
      <c r="P13140">
        <v>0</v>
      </c>
      <c r="Q13140">
        <v>1</v>
      </c>
      <c r="R13140" t="s">
        <v>46585</v>
      </c>
      <c r="S13140" t="s">
        <v>47146</v>
      </c>
      <c r="T13140" t="s">
        <v>48373</v>
      </c>
      <c r="U13140" t="s">
        <v>59321</v>
      </c>
      <c r="V13140" t="s">
        <v>63071</v>
      </c>
      <c r="W13140" t="s">
        <v>46232</v>
      </c>
      <c r="X13140" t="s">
        <v>46586</v>
      </c>
    </row>
    <row r="13141" spans="1:24">
      <c r="A13141">
        <f>HYPERLINK("https://www.philgeps.gov.ph/GEPSNONPILOT/Tender/SplashBidNoticeAbstractUI.aspx?menuIndex=3&amp;refID=7039407&amp;Result=3","7039407")</f>
        <v>0</v>
      </c>
      <c r="B13141" t="s">
        <v>3098</v>
      </c>
      <c r="C13141" t="s">
        <v>16004</v>
      </c>
      <c r="D13141" t="s">
        <v>18788</v>
      </c>
      <c r="E13141" t="s">
        <v>26389</v>
      </c>
      <c r="F13141" t="s">
        <v>32664</v>
      </c>
      <c r="G13141" t="s">
        <v>32672</v>
      </c>
      <c r="H13141" t="s">
        <v>12635</v>
      </c>
      <c r="I13141" t="s">
        <v>6223</v>
      </c>
      <c r="J13141" t="s">
        <v>40585</v>
      </c>
      <c r="K13141" t="s">
        <v>42283</v>
      </c>
      <c r="M13141" t="s">
        <v>45986</v>
      </c>
      <c r="N13141" t="s">
        <v>46569</v>
      </c>
      <c r="O13141" t="s">
        <v>46570</v>
      </c>
      <c r="P13141">
        <v>0</v>
      </c>
      <c r="Q13141">
        <v>1</v>
      </c>
      <c r="R13141" t="s">
        <v>46585</v>
      </c>
      <c r="S13141" t="s">
        <v>47146</v>
      </c>
      <c r="T13141" t="s">
        <v>48258</v>
      </c>
      <c r="U13141" t="s">
        <v>59322</v>
      </c>
      <c r="W13141" t="s">
        <v>63587</v>
      </c>
      <c r="X13141" t="s">
        <v>46586</v>
      </c>
    </row>
    <row r="13142" spans="1:24">
      <c r="A13142">
        <f>HYPERLINK("https://www.philgeps.gov.ph/GEPSNONPILOT/Tender/SplashBidNoticeAbstractUI.aspx?menuIndex=3&amp;refID=7039494&amp;Result=3","7039494")</f>
        <v>0</v>
      </c>
      <c r="B13142" t="s">
        <v>553</v>
      </c>
      <c r="C13142" t="s">
        <v>16005</v>
      </c>
      <c r="D13142" t="s">
        <v>18828</v>
      </c>
      <c r="E13142" t="s">
        <v>19419</v>
      </c>
      <c r="F13142" t="s">
        <v>32664</v>
      </c>
      <c r="G13142" t="s">
        <v>32672</v>
      </c>
      <c r="H13142" t="s">
        <v>32683</v>
      </c>
      <c r="I13142" t="s">
        <v>10627</v>
      </c>
      <c r="J13142" t="s">
        <v>34487</v>
      </c>
      <c r="K13142" t="s">
        <v>42283</v>
      </c>
      <c r="M13142" t="s">
        <v>43133</v>
      </c>
      <c r="N13142" t="s">
        <v>46569</v>
      </c>
      <c r="O13142" t="s">
        <v>46570</v>
      </c>
      <c r="P13142">
        <v>0</v>
      </c>
      <c r="Q13142">
        <v>1</v>
      </c>
      <c r="R13142" t="s">
        <v>46585</v>
      </c>
      <c r="S13142" t="s">
        <v>47146</v>
      </c>
      <c r="T13142" t="s">
        <v>48383</v>
      </c>
      <c r="U13142" t="s">
        <v>59323</v>
      </c>
      <c r="W13142" t="s">
        <v>63482</v>
      </c>
      <c r="X13142" t="s">
        <v>46586</v>
      </c>
    </row>
    <row r="13143" spans="1:24">
      <c r="A13143">
        <f>HYPERLINK("https://www.philgeps.gov.ph/GEPSNONPILOT/Tender/SplashBidNoticeAbstractUI.aspx?menuIndex=3&amp;refID=7039493&amp;Result=3","7039493")</f>
        <v>0</v>
      </c>
      <c r="B13143" t="s">
        <v>1393</v>
      </c>
      <c r="C13143" t="s">
        <v>16006</v>
      </c>
      <c r="D13143" t="s">
        <v>18831</v>
      </c>
      <c r="E13143" t="s">
        <v>30175</v>
      </c>
      <c r="F13143" t="s">
        <v>32664</v>
      </c>
      <c r="G13143" t="s">
        <v>32672</v>
      </c>
      <c r="H13143" t="s">
        <v>12635</v>
      </c>
      <c r="I13143" t="s">
        <v>4439</v>
      </c>
      <c r="J13143" t="s">
        <v>40586</v>
      </c>
      <c r="K13143" t="s">
        <v>42306</v>
      </c>
      <c r="M13143" t="s">
        <v>44049</v>
      </c>
      <c r="N13143" t="s">
        <v>46569</v>
      </c>
      <c r="O13143" t="s">
        <v>46570</v>
      </c>
      <c r="Q13143">
        <v>3</v>
      </c>
      <c r="R13143" t="s">
        <v>46585</v>
      </c>
      <c r="S13143" t="s">
        <v>46831</v>
      </c>
      <c r="T13143" t="s">
        <v>48225</v>
      </c>
      <c r="U13143" t="s">
        <v>59324</v>
      </c>
      <c r="W13143" t="s">
        <v>44049</v>
      </c>
      <c r="X13143" t="s">
        <v>46586</v>
      </c>
    </row>
    <row r="13144" spans="1:24">
      <c r="A13144">
        <f>HYPERLINK("https://www.philgeps.gov.ph/GEPSNONPILOT/Tender/SplashBidNoticeAbstractUI.aspx?menuIndex=3&amp;refID=7039390&amp;Result=3","7039390")</f>
        <v>0</v>
      </c>
      <c r="B13144" t="s">
        <v>3098</v>
      </c>
      <c r="C13144" t="s">
        <v>16007</v>
      </c>
      <c r="D13144" t="s">
        <v>18788</v>
      </c>
      <c r="E13144" t="s">
        <v>30176</v>
      </c>
      <c r="F13144" t="s">
        <v>32664</v>
      </c>
      <c r="G13144" t="s">
        <v>32672</v>
      </c>
      <c r="H13144" t="s">
        <v>12635</v>
      </c>
      <c r="I13144" t="s">
        <v>6223</v>
      </c>
      <c r="J13144" t="s">
        <v>40587</v>
      </c>
      <c r="K13144" t="s">
        <v>42283</v>
      </c>
      <c r="M13144" t="s">
        <v>45986</v>
      </c>
      <c r="N13144" t="s">
        <v>46569</v>
      </c>
      <c r="O13144" t="s">
        <v>46570</v>
      </c>
      <c r="P13144">
        <v>0</v>
      </c>
      <c r="Q13144">
        <v>1</v>
      </c>
      <c r="R13144" t="s">
        <v>46585</v>
      </c>
      <c r="S13144" t="s">
        <v>47146</v>
      </c>
      <c r="T13144" t="s">
        <v>48258</v>
      </c>
      <c r="U13144" t="s">
        <v>59325</v>
      </c>
      <c r="W13144" t="s">
        <v>63587</v>
      </c>
      <c r="X13144" t="s">
        <v>46586</v>
      </c>
    </row>
    <row r="13145" spans="1:24">
      <c r="A13145">
        <f>HYPERLINK("https://www.philgeps.gov.ph/GEPSNONPILOT/Tender/SplashBidNoticeAbstractUI.aspx?menuIndex=3&amp;refID=7039480&amp;Result=3","7039480")</f>
        <v>0</v>
      </c>
      <c r="B13145" t="s">
        <v>3290</v>
      </c>
      <c r="C13145" t="s">
        <v>16008</v>
      </c>
      <c r="D13145" t="s">
        <v>18799</v>
      </c>
      <c r="E13145" t="s">
        <v>30177</v>
      </c>
      <c r="F13145" t="s">
        <v>32664</v>
      </c>
      <c r="G13145" t="s">
        <v>32672</v>
      </c>
      <c r="H13145" t="s">
        <v>12635</v>
      </c>
      <c r="I13145" t="s">
        <v>32684</v>
      </c>
      <c r="J13145" t="s">
        <v>40588</v>
      </c>
      <c r="K13145" t="s">
        <v>42281</v>
      </c>
      <c r="M13145" t="s">
        <v>46228</v>
      </c>
      <c r="N13145" t="s">
        <v>46569</v>
      </c>
      <c r="O13145" t="s">
        <v>46570</v>
      </c>
      <c r="P13145">
        <v>0</v>
      </c>
      <c r="Q13145">
        <v>11</v>
      </c>
      <c r="R13145" t="s">
        <v>46585</v>
      </c>
      <c r="S13145" t="s">
        <v>47146</v>
      </c>
      <c r="T13145" t="s">
        <v>48453</v>
      </c>
      <c r="U13145" t="s">
        <v>59326</v>
      </c>
      <c r="W13145" t="s">
        <v>46228</v>
      </c>
      <c r="X13145" t="s">
        <v>46586</v>
      </c>
    </row>
    <row r="13146" spans="1:24">
      <c r="A13146">
        <f>HYPERLINK("https://www.philgeps.gov.ph/GEPSNONPILOT/Tender/SplashBidNoticeAbstractUI.aspx?menuIndex=3&amp;refID=7039509&amp;Result=3","7039509")</f>
        <v>0</v>
      </c>
      <c r="B13146" t="s">
        <v>3211</v>
      </c>
      <c r="C13146" t="s">
        <v>16009</v>
      </c>
      <c r="D13146" t="s">
        <v>18784</v>
      </c>
      <c r="E13146" t="s">
        <v>30178</v>
      </c>
      <c r="F13146" t="s">
        <v>32664</v>
      </c>
      <c r="G13146" t="s">
        <v>32672</v>
      </c>
      <c r="H13146" t="s">
        <v>12635</v>
      </c>
      <c r="I13146" t="s">
        <v>6223</v>
      </c>
      <c r="J13146" t="s">
        <v>40589</v>
      </c>
      <c r="K13146" t="s">
        <v>42284</v>
      </c>
      <c r="M13146" t="s">
        <v>46130</v>
      </c>
      <c r="N13146" t="s">
        <v>46569</v>
      </c>
      <c r="O13146" t="s">
        <v>46570</v>
      </c>
      <c r="P13146">
        <v>0</v>
      </c>
      <c r="Q13146">
        <v>1</v>
      </c>
      <c r="R13146" t="s">
        <v>46585</v>
      </c>
      <c r="S13146" t="s">
        <v>47146</v>
      </c>
      <c r="T13146" t="s">
        <v>48217</v>
      </c>
      <c r="U13146" t="s">
        <v>58869</v>
      </c>
      <c r="W13146" t="s">
        <v>46130</v>
      </c>
      <c r="X13146" t="s">
        <v>46586</v>
      </c>
    </row>
    <row r="13147" spans="1:24">
      <c r="A13147">
        <f>HYPERLINK("https://www.philgeps.gov.ph/GEPSNONPILOT/Tender/SplashBidNoticeAbstractUI.aspx?menuIndex=3&amp;refID=7039478&amp;Result=3","7039478")</f>
        <v>0</v>
      </c>
      <c r="B13147" t="s">
        <v>3211</v>
      </c>
      <c r="C13147" t="s">
        <v>16010</v>
      </c>
      <c r="D13147" t="s">
        <v>18784</v>
      </c>
      <c r="E13147" t="s">
        <v>30179</v>
      </c>
      <c r="F13147" t="s">
        <v>32664</v>
      </c>
      <c r="G13147" t="s">
        <v>32672</v>
      </c>
      <c r="H13147" t="s">
        <v>12635</v>
      </c>
      <c r="I13147" t="s">
        <v>6168</v>
      </c>
      <c r="J13147" t="s">
        <v>33196</v>
      </c>
      <c r="K13147" t="s">
        <v>42284</v>
      </c>
      <c r="M13147" t="s">
        <v>46130</v>
      </c>
      <c r="N13147" t="s">
        <v>46569</v>
      </c>
      <c r="O13147" t="s">
        <v>46570</v>
      </c>
      <c r="P13147">
        <v>0</v>
      </c>
      <c r="Q13147">
        <v>1</v>
      </c>
      <c r="R13147" t="s">
        <v>46585</v>
      </c>
      <c r="S13147" t="s">
        <v>47146</v>
      </c>
      <c r="T13147" t="s">
        <v>48244</v>
      </c>
      <c r="U13147" t="s">
        <v>50718</v>
      </c>
      <c r="W13147" t="s">
        <v>46130</v>
      </c>
      <c r="X13147" t="s">
        <v>46586</v>
      </c>
    </row>
    <row r="13148" spans="1:24">
      <c r="A13148">
        <f>HYPERLINK("https://www.philgeps.gov.ph/GEPSNONPILOT/Tender/SplashBidNoticeAbstractUI.aspx?menuIndex=3&amp;refID=7039449&amp;Result=3","7039449")</f>
        <v>0</v>
      </c>
      <c r="B13148" t="s">
        <v>1734</v>
      </c>
      <c r="C13148" t="s">
        <v>16011</v>
      </c>
      <c r="D13148" t="s">
        <v>18789</v>
      </c>
      <c r="E13148" t="s">
        <v>30180</v>
      </c>
      <c r="F13148" t="s">
        <v>32664</v>
      </c>
      <c r="G13148" t="s">
        <v>32672</v>
      </c>
      <c r="H13148" t="s">
        <v>12635</v>
      </c>
      <c r="I13148" t="s">
        <v>7759</v>
      </c>
      <c r="J13148" t="s">
        <v>40590</v>
      </c>
      <c r="K13148" t="s">
        <v>42283</v>
      </c>
      <c r="M13148" t="s">
        <v>46229</v>
      </c>
      <c r="N13148" t="s">
        <v>46569</v>
      </c>
      <c r="O13148" t="s">
        <v>46570</v>
      </c>
      <c r="P13148">
        <v>0</v>
      </c>
      <c r="Q13148">
        <v>1</v>
      </c>
      <c r="R13148" t="s">
        <v>46585</v>
      </c>
      <c r="S13148" t="s">
        <v>47146</v>
      </c>
      <c r="T13148" t="s">
        <v>48285</v>
      </c>
      <c r="U13148" t="s">
        <v>59327</v>
      </c>
      <c r="W13148" t="s">
        <v>46229</v>
      </c>
      <c r="X13148" t="s">
        <v>46586</v>
      </c>
    </row>
    <row r="13149" spans="1:24">
      <c r="A13149">
        <f>HYPERLINK("https://www.philgeps.gov.ph/GEPSNONPILOT/Tender/SplashBidNoticeAbstractUI.aspx?menuIndex=3&amp;refID=7039298&amp;Result=3","7039298")</f>
        <v>0</v>
      </c>
      <c r="B13149" t="s">
        <v>690</v>
      </c>
      <c r="C13149" t="s">
        <v>16012</v>
      </c>
      <c r="D13149" t="s">
        <v>18781</v>
      </c>
      <c r="E13149" t="s">
        <v>30181</v>
      </c>
      <c r="F13149" t="s">
        <v>32664</v>
      </c>
      <c r="G13149" t="s">
        <v>32672</v>
      </c>
      <c r="H13149" t="s">
        <v>32683</v>
      </c>
      <c r="I13149" t="s">
        <v>10627</v>
      </c>
      <c r="J13149" t="s">
        <v>34405</v>
      </c>
      <c r="K13149" t="s">
        <v>42298</v>
      </c>
      <c r="L13149" t="s">
        <v>690</v>
      </c>
      <c r="M13149" t="s">
        <v>45601</v>
      </c>
      <c r="N13149" t="s">
        <v>46569</v>
      </c>
      <c r="O13149" t="s">
        <v>46570</v>
      </c>
      <c r="P13149">
        <v>0</v>
      </c>
      <c r="Q13149">
        <v>1</v>
      </c>
      <c r="R13149" t="s">
        <v>46585</v>
      </c>
      <c r="S13149" t="s">
        <v>47146</v>
      </c>
      <c r="T13149" t="s">
        <v>48330</v>
      </c>
      <c r="U13149" t="s">
        <v>59294</v>
      </c>
      <c r="W13149" t="s">
        <v>45601</v>
      </c>
      <c r="X13149" t="s">
        <v>46586</v>
      </c>
    </row>
    <row r="13150" spans="1:24">
      <c r="A13150">
        <f>HYPERLINK("https://www.philgeps.gov.ph/GEPSNONPILOT/Tender/SplashBidNoticeAbstractUI.aspx?menuIndex=3&amp;refID=7039400&amp;Result=3","7039400")</f>
        <v>0</v>
      </c>
      <c r="B13150" t="s">
        <v>3287</v>
      </c>
      <c r="C13150" t="s">
        <v>16013</v>
      </c>
      <c r="D13150" t="s">
        <v>18789</v>
      </c>
      <c r="E13150" t="s">
        <v>19985</v>
      </c>
      <c r="F13150" t="s">
        <v>32664</v>
      </c>
      <c r="G13150" t="s">
        <v>32672</v>
      </c>
      <c r="H13150" t="s">
        <v>12635</v>
      </c>
      <c r="I13150" t="s">
        <v>7429</v>
      </c>
      <c r="J13150" t="s">
        <v>33334</v>
      </c>
      <c r="K13150" t="s">
        <v>42330</v>
      </c>
      <c r="M13150" t="s">
        <v>46225</v>
      </c>
      <c r="N13150" t="s">
        <v>46569</v>
      </c>
      <c r="O13150" t="s">
        <v>46570</v>
      </c>
      <c r="P13150">
        <v>0</v>
      </c>
      <c r="Q13150">
        <v>0</v>
      </c>
      <c r="R13150" t="s">
        <v>46585</v>
      </c>
      <c r="S13150" t="s">
        <v>47146</v>
      </c>
      <c r="T13150" t="s">
        <v>48304</v>
      </c>
      <c r="U13150" t="s">
        <v>59328</v>
      </c>
      <c r="W13150" t="s">
        <v>46225</v>
      </c>
      <c r="X13150" t="s">
        <v>46586</v>
      </c>
    </row>
    <row r="13151" spans="1:24">
      <c r="A13151">
        <f>HYPERLINK("https://www.philgeps.gov.ph/GEPSNONPILOT/Tender/SplashBidNoticeAbstractUI.aspx?menuIndex=3&amp;refID=7039441&amp;Result=3","7039441")</f>
        <v>0</v>
      </c>
      <c r="B13151" t="s">
        <v>3098</v>
      </c>
      <c r="C13151" t="s">
        <v>16014</v>
      </c>
      <c r="D13151" t="s">
        <v>18788</v>
      </c>
      <c r="E13151" t="s">
        <v>30182</v>
      </c>
      <c r="F13151" t="s">
        <v>32664</v>
      </c>
      <c r="G13151" t="s">
        <v>32672</v>
      </c>
      <c r="H13151" t="s">
        <v>12635</v>
      </c>
      <c r="I13151" t="s">
        <v>6223</v>
      </c>
      <c r="J13151" t="s">
        <v>40591</v>
      </c>
      <c r="K13151" t="s">
        <v>42283</v>
      </c>
      <c r="M13151" t="s">
        <v>45986</v>
      </c>
      <c r="N13151" t="s">
        <v>46569</v>
      </c>
      <c r="O13151" t="s">
        <v>46570</v>
      </c>
      <c r="P13151">
        <v>0</v>
      </c>
      <c r="Q13151">
        <v>3</v>
      </c>
      <c r="R13151" t="s">
        <v>46585</v>
      </c>
      <c r="S13151" t="s">
        <v>47146</v>
      </c>
      <c r="T13151" t="s">
        <v>48258</v>
      </c>
      <c r="U13151" t="s">
        <v>59329</v>
      </c>
      <c r="W13151" t="s">
        <v>63587</v>
      </c>
      <c r="X13151" t="s">
        <v>46586</v>
      </c>
    </row>
    <row r="13152" spans="1:24">
      <c r="A13152">
        <f>HYPERLINK("https://www.philgeps.gov.ph/GEPSNONPILOT/Tender/SplashBidNoticeAbstractUI.aspx?menuIndex=3&amp;refID=7039433&amp;Result=3","7039433")</f>
        <v>0</v>
      </c>
      <c r="B13152" t="s">
        <v>1836</v>
      </c>
      <c r="C13152" t="s">
        <v>16015</v>
      </c>
      <c r="D13152" t="s">
        <v>18813</v>
      </c>
      <c r="E13152" t="s">
        <v>30183</v>
      </c>
      <c r="F13152" t="s">
        <v>32664</v>
      </c>
      <c r="G13152" t="s">
        <v>32672</v>
      </c>
      <c r="H13152" t="s">
        <v>12635</v>
      </c>
      <c r="I13152" t="s">
        <v>32706</v>
      </c>
      <c r="J13152" t="s">
        <v>38983</v>
      </c>
      <c r="K13152" t="s">
        <v>42312</v>
      </c>
      <c r="M13152" t="s">
        <v>44544</v>
      </c>
      <c r="N13152" t="s">
        <v>46569</v>
      </c>
      <c r="O13152" t="s">
        <v>46570</v>
      </c>
      <c r="P13152">
        <v>0</v>
      </c>
      <c r="Q13152">
        <v>0</v>
      </c>
      <c r="R13152" t="s">
        <v>46585</v>
      </c>
      <c r="S13152" t="s">
        <v>47146</v>
      </c>
      <c r="T13152" t="s">
        <v>48283</v>
      </c>
      <c r="U13152" t="s">
        <v>59330</v>
      </c>
      <c r="W13152" t="s">
        <v>44544</v>
      </c>
      <c r="X13152" t="s">
        <v>46586</v>
      </c>
    </row>
    <row r="13153" spans="1:24">
      <c r="A13153">
        <f>HYPERLINK("https://www.philgeps.gov.ph/GEPSNONPILOT/Tender/SplashBidNoticeAbstractUI.aspx?menuIndex=3&amp;refID=7039485&amp;Result=3","7039485")</f>
        <v>0</v>
      </c>
      <c r="B13153" t="s">
        <v>3294</v>
      </c>
      <c r="C13153" t="s">
        <v>16016</v>
      </c>
      <c r="D13153" t="s">
        <v>18828</v>
      </c>
      <c r="E13153" t="s">
        <v>30184</v>
      </c>
      <c r="F13153" t="s">
        <v>32664</v>
      </c>
      <c r="G13153" t="s">
        <v>32672</v>
      </c>
      <c r="H13153" t="s">
        <v>12635</v>
      </c>
      <c r="I13153" t="s">
        <v>6168</v>
      </c>
      <c r="J13153" t="s">
        <v>33320</v>
      </c>
      <c r="K13153" t="s">
        <v>42289</v>
      </c>
      <c r="M13153" t="s">
        <v>46233</v>
      </c>
      <c r="N13153" t="s">
        <v>46569</v>
      </c>
      <c r="O13153" t="s">
        <v>46570</v>
      </c>
      <c r="P13153">
        <v>0</v>
      </c>
      <c r="Q13153">
        <v>0</v>
      </c>
      <c r="R13153" t="s">
        <v>46585</v>
      </c>
      <c r="S13153" t="s">
        <v>47146</v>
      </c>
      <c r="T13153" t="s">
        <v>48282</v>
      </c>
      <c r="U13153" t="s">
        <v>59331</v>
      </c>
      <c r="W13153" t="s">
        <v>46233</v>
      </c>
      <c r="X13153" t="s">
        <v>46586</v>
      </c>
    </row>
    <row r="13154" spans="1:24">
      <c r="A13154">
        <f>HYPERLINK("https://www.philgeps.gov.ph/GEPSNONPILOT/Tender/SplashBidNoticeAbstractUI.aspx?menuIndex=3&amp;refID=7039380&amp;Result=3","7039380")</f>
        <v>0</v>
      </c>
      <c r="B13154" t="s">
        <v>3098</v>
      </c>
      <c r="C13154" t="s">
        <v>16017</v>
      </c>
      <c r="D13154" t="s">
        <v>18788</v>
      </c>
      <c r="E13154" t="s">
        <v>30185</v>
      </c>
      <c r="F13154" t="s">
        <v>32664</v>
      </c>
      <c r="G13154" t="s">
        <v>32672</v>
      </c>
      <c r="H13154" t="s">
        <v>12635</v>
      </c>
      <c r="I13154" t="s">
        <v>6223</v>
      </c>
      <c r="J13154" t="s">
        <v>40592</v>
      </c>
      <c r="K13154" t="s">
        <v>42283</v>
      </c>
      <c r="M13154" t="s">
        <v>45986</v>
      </c>
      <c r="N13154" t="s">
        <v>46569</v>
      </c>
      <c r="O13154" t="s">
        <v>46570</v>
      </c>
      <c r="P13154">
        <v>0</v>
      </c>
      <c r="Q13154">
        <v>0</v>
      </c>
      <c r="R13154" t="s">
        <v>46585</v>
      </c>
      <c r="S13154" t="s">
        <v>47146</v>
      </c>
      <c r="T13154" t="s">
        <v>48258</v>
      </c>
      <c r="U13154" t="s">
        <v>59332</v>
      </c>
      <c r="W13154" t="s">
        <v>63587</v>
      </c>
      <c r="X13154" t="s">
        <v>46586</v>
      </c>
    </row>
    <row r="13155" spans="1:24">
      <c r="A13155">
        <f>HYPERLINK("https://www.philgeps.gov.ph/GEPSNONPILOT/Tender/SplashBidNoticeAbstractUI.aspx?menuIndex=3&amp;refID=7039445&amp;Result=3","7039445")</f>
        <v>0</v>
      </c>
      <c r="B13155" t="s">
        <v>3211</v>
      </c>
      <c r="C13155" t="s">
        <v>16018</v>
      </c>
      <c r="D13155" t="s">
        <v>18784</v>
      </c>
      <c r="E13155" t="s">
        <v>30186</v>
      </c>
      <c r="F13155" t="s">
        <v>32664</v>
      </c>
      <c r="G13155" t="s">
        <v>32672</v>
      </c>
      <c r="H13155" t="s">
        <v>12635</v>
      </c>
      <c r="I13155" t="s">
        <v>6223</v>
      </c>
      <c r="J13155" t="s">
        <v>40593</v>
      </c>
      <c r="K13155" t="s">
        <v>42284</v>
      </c>
      <c r="M13155" t="s">
        <v>46130</v>
      </c>
      <c r="N13155" t="s">
        <v>46569</v>
      </c>
      <c r="O13155" t="s">
        <v>46570</v>
      </c>
      <c r="P13155">
        <v>0</v>
      </c>
      <c r="Q13155">
        <v>2</v>
      </c>
      <c r="R13155" t="s">
        <v>46585</v>
      </c>
      <c r="S13155" t="s">
        <v>47146</v>
      </c>
      <c r="T13155" t="s">
        <v>48244</v>
      </c>
      <c r="U13155" t="s">
        <v>58869</v>
      </c>
      <c r="W13155" t="s">
        <v>46130</v>
      </c>
      <c r="X13155" t="s">
        <v>46586</v>
      </c>
    </row>
    <row r="13156" spans="1:24">
      <c r="A13156">
        <f>HYPERLINK("https://www.philgeps.gov.ph/GEPSNONPILOT/Tender/SplashBidNoticeAbstractUI.aspx?menuIndex=3&amp;refID=7039456&amp;Result=3","7039456")</f>
        <v>0</v>
      </c>
      <c r="B13156" t="s">
        <v>3295</v>
      </c>
      <c r="C13156" t="s">
        <v>16019</v>
      </c>
      <c r="D13156" t="s">
        <v>18804</v>
      </c>
      <c r="E13156" t="s">
        <v>30187</v>
      </c>
      <c r="F13156" t="s">
        <v>32664</v>
      </c>
      <c r="G13156" t="s">
        <v>32672</v>
      </c>
      <c r="H13156" t="s">
        <v>32683</v>
      </c>
      <c r="I13156" t="s">
        <v>10627</v>
      </c>
      <c r="J13156" t="s">
        <v>40594</v>
      </c>
      <c r="K13156" t="s">
        <v>42311</v>
      </c>
      <c r="M13156" t="s">
        <v>46234</v>
      </c>
      <c r="N13156" t="s">
        <v>46569</v>
      </c>
      <c r="O13156" t="s">
        <v>46570</v>
      </c>
      <c r="P13156">
        <v>0</v>
      </c>
      <c r="Q13156">
        <v>4</v>
      </c>
      <c r="R13156" t="s">
        <v>46585</v>
      </c>
      <c r="S13156" t="s">
        <v>47146</v>
      </c>
      <c r="T13156" t="s">
        <v>48228</v>
      </c>
      <c r="U13156" t="s">
        <v>59333</v>
      </c>
      <c r="V13156" t="s">
        <v>63072</v>
      </c>
      <c r="W13156" t="s">
        <v>46234</v>
      </c>
      <c r="X13156" t="s">
        <v>46586</v>
      </c>
    </row>
    <row r="13157" spans="1:24">
      <c r="A13157">
        <f>HYPERLINK("https://www.philgeps.gov.ph/GEPSNONPILOT/Tender/SplashBidNoticeAbstractUI.aspx?menuIndex=3&amp;refID=7039370&amp;Result=3","7039370")</f>
        <v>0</v>
      </c>
      <c r="B13157" t="s">
        <v>2523</v>
      </c>
      <c r="C13157" t="s">
        <v>16020</v>
      </c>
      <c r="D13157" t="s">
        <v>18789</v>
      </c>
      <c r="E13157" t="s">
        <v>30188</v>
      </c>
      <c r="F13157" t="s">
        <v>32664</v>
      </c>
      <c r="G13157" t="s">
        <v>32672</v>
      </c>
      <c r="H13157" t="s">
        <v>12635</v>
      </c>
      <c r="I13157" t="s">
        <v>32738</v>
      </c>
      <c r="J13157" t="s">
        <v>40595</v>
      </c>
      <c r="K13157" t="s">
        <v>42281</v>
      </c>
      <c r="M13157" t="s">
        <v>45899</v>
      </c>
      <c r="N13157" t="s">
        <v>46569</v>
      </c>
      <c r="O13157" t="s">
        <v>46570</v>
      </c>
      <c r="P13157">
        <v>0</v>
      </c>
      <c r="Q13157">
        <v>5</v>
      </c>
      <c r="R13157" t="s">
        <v>46585</v>
      </c>
      <c r="S13157" t="s">
        <v>47146</v>
      </c>
      <c r="T13157" t="s">
        <v>48283</v>
      </c>
      <c r="U13157" t="s">
        <v>59334</v>
      </c>
      <c r="W13157" t="s">
        <v>45899</v>
      </c>
      <c r="X13157" t="s">
        <v>46586</v>
      </c>
    </row>
    <row r="13158" spans="1:24">
      <c r="A13158">
        <f>HYPERLINK("https://www.philgeps.gov.ph/GEPSNONPILOT/Tender/SplashBidNoticeAbstractUI.aspx?menuIndex=3&amp;refID=7039368&amp;Result=3","7039368")</f>
        <v>0</v>
      </c>
      <c r="B13158" t="s">
        <v>3098</v>
      </c>
      <c r="C13158" t="s">
        <v>16021</v>
      </c>
      <c r="D13158" t="s">
        <v>18788</v>
      </c>
      <c r="E13158" t="s">
        <v>30189</v>
      </c>
      <c r="F13158" t="s">
        <v>32664</v>
      </c>
      <c r="G13158" t="s">
        <v>32672</v>
      </c>
      <c r="H13158" t="s">
        <v>12635</v>
      </c>
      <c r="I13158" t="s">
        <v>6223</v>
      </c>
      <c r="J13158" t="s">
        <v>40596</v>
      </c>
      <c r="K13158" t="s">
        <v>42283</v>
      </c>
      <c r="M13158" t="s">
        <v>45986</v>
      </c>
      <c r="N13158" t="s">
        <v>46569</v>
      </c>
      <c r="O13158" t="s">
        <v>46570</v>
      </c>
      <c r="P13158">
        <v>0</v>
      </c>
      <c r="Q13158">
        <v>0</v>
      </c>
      <c r="R13158" t="s">
        <v>46585</v>
      </c>
      <c r="S13158" t="s">
        <v>47146</v>
      </c>
      <c r="T13158" t="s">
        <v>48258</v>
      </c>
      <c r="U13158" t="s">
        <v>59335</v>
      </c>
      <c r="W13158" t="s">
        <v>63587</v>
      </c>
      <c r="X13158" t="s">
        <v>46586</v>
      </c>
    </row>
    <row r="13159" spans="1:24">
      <c r="A13159">
        <f>HYPERLINK("https://www.philgeps.gov.ph/GEPSNONPILOT/Tender/SplashBidNoticeAbstractUI.aspx?menuIndex=3&amp;refID=7039436&amp;Result=3","7039436")</f>
        <v>0</v>
      </c>
      <c r="B13159" t="s">
        <v>867</v>
      </c>
      <c r="C13159" t="s">
        <v>16022</v>
      </c>
      <c r="D13159" t="s">
        <v>18834</v>
      </c>
      <c r="E13159" t="s">
        <v>30190</v>
      </c>
      <c r="F13159" t="s">
        <v>32664</v>
      </c>
      <c r="G13159" t="s">
        <v>32672</v>
      </c>
      <c r="H13159" t="s">
        <v>32683</v>
      </c>
      <c r="I13159" t="s">
        <v>10627</v>
      </c>
      <c r="J13159" t="s">
        <v>40597</v>
      </c>
      <c r="K13159" t="s">
        <v>42308</v>
      </c>
      <c r="M13159" t="s">
        <v>43467</v>
      </c>
      <c r="N13159" t="s">
        <v>46569</v>
      </c>
      <c r="O13159" t="s">
        <v>46570</v>
      </c>
      <c r="P13159">
        <v>0</v>
      </c>
      <c r="Q13159">
        <v>5</v>
      </c>
      <c r="R13159" t="s">
        <v>46585</v>
      </c>
      <c r="S13159" t="s">
        <v>47146</v>
      </c>
      <c r="T13159" t="s">
        <v>48225</v>
      </c>
      <c r="U13159" t="s">
        <v>59336</v>
      </c>
      <c r="W13159" t="s">
        <v>43467</v>
      </c>
      <c r="X13159" t="s">
        <v>46586</v>
      </c>
    </row>
    <row r="13160" spans="1:24">
      <c r="A13160">
        <f>HYPERLINK("https://www.philgeps.gov.ph/GEPSNONPILOT/Tender/SplashBidNoticeAbstractUI.aspx?menuIndex=3&amp;refID=7039726&amp;Result=3","7039726")</f>
        <v>0</v>
      </c>
      <c r="B13160" t="s">
        <v>1411</v>
      </c>
      <c r="C13160" t="s">
        <v>16023</v>
      </c>
      <c r="D13160" t="s">
        <v>18790</v>
      </c>
      <c r="E13160" t="s">
        <v>30191</v>
      </c>
      <c r="F13160" t="s">
        <v>32664</v>
      </c>
      <c r="G13160" t="s">
        <v>32672</v>
      </c>
      <c r="H13160" t="s">
        <v>12635</v>
      </c>
      <c r="I13160" t="s">
        <v>14442</v>
      </c>
      <c r="J13160" t="s">
        <v>32963</v>
      </c>
      <c r="K13160" t="s">
        <v>42281</v>
      </c>
      <c r="M13160" t="s">
        <v>45443</v>
      </c>
      <c r="N13160" t="s">
        <v>46569</v>
      </c>
      <c r="O13160" t="s">
        <v>46570</v>
      </c>
      <c r="P13160">
        <v>0</v>
      </c>
      <c r="Q13160">
        <v>5</v>
      </c>
      <c r="R13160" t="s">
        <v>46585</v>
      </c>
      <c r="S13160" t="s">
        <v>47146</v>
      </c>
      <c r="T13160" t="s">
        <v>48283</v>
      </c>
      <c r="U13160" t="s">
        <v>59337</v>
      </c>
      <c r="W13160" t="s">
        <v>45443</v>
      </c>
      <c r="X13160" t="s">
        <v>46586</v>
      </c>
    </row>
    <row r="13161" spans="1:24">
      <c r="A13161">
        <f>HYPERLINK("https://www.philgeps.gov.ph/GEPSNONPILOT/Tender/SplashBidNoticeAbstractUI.aspx?menuIndex=3&amp;refID=7039460&amp;Result=3","7039460")</f>
        <v>0</v>
      </c>
      <c r="B13161" t="s">
        <v>3211</v>
      </c>
      <c r="C13161" t="s">
        <v>16024</v>
      </c>
      <c r="D13161" t="s">
        <v>18784</v>
      </c>
      <c r="E13161" t="s">
        <v>30192</v>
      </c>
      <c r="F13161" t="s">
        <v>32664</v>
      </c>
      <c r="G13161" t="s">
        <v>32672</v>
      </c>
      <c r="H13161" t="s">
        <v>12635</v>
      </c>
      <c r="I13161" t="s">
        <v>6118</v>
      </c>
      <c r="J13161" t="s">
        <v>33320</v>
      </c>
      <c r="K13161" t="s">
        <v>42284</v>
      </c>
      <c r="M13161" t="s">
        <v>46130</v>
      </c>
      <c r="N13161" t="s">
        <v>46569</v>
      </c>
      <c r="O13161" t="s">
        <v>46570</v>
      </c>
      <c r="P13161">
        <v>0</v>
      </c>
      <c r="Q13161">
        <v>2</v>
      </c>
      <c r="R13161" t="s">
        <v>46585</v>
      </c>
      <c r="S13161" t="s">
        <v>47146</v>
      </c>
      <c r="T13161" t="s">
        <v>48221</v>
      </c>
      <c r="U13161" t="s">
        <v>59338</v>
      </c>
      <c r="W13161" t="s">
        <v>46130</v>
      </c>
      <c r="X13161" t="s">
        <v>46586</v>
      </c>
    </row>
    <row r="13162" spans="1:24">
      <c r="A13162">
        <f>HYPERLINK("https://www.philgeps.gov.ph/GEPSNONPILOT/Tender/SplashBidNoticeAbstractUI.aspx?menuIndex=3&amp;refID=7039721&amp;Result=3","7039721")</f>
        <v>0</v>
      </c>
      <c r="B13162" t="s">
        <v>2108</v>
      </c>
      <c r="C13162" t="s">
        <v>16025</v>
      </c>
      <c r="D13162" t="s">
        <v>18806</v>
      </c>
      <c r="E13162" t="s">
        <v>30193</v>
      </c>
      <c r="F13162" t="s">
        <v>32664</v>
      </c>
      <c r="G13162" t="s">
        <v>32672</v>
      </c>
      <c r="H13162" t="s">
        <v>12635</v>
      </c>
      <c r="I13162" t="s">
        <v>8958</v>
      </c>
      <c r="J13162" t="s">
        <v>32865</v>
      </c>
      <c r="K13162" t="s">
        <v>42297</v>
      </c>
      <c r="M13162" t="s">
        <v>44863</v>
      </c>
      <c r="N13162" t="s">
        <v>46569</v>
      </c>
      <c r="O13162" t="s">
        <v>46570</v>
      </c>
      <c r="P13162">
        <v>0</v>
      </c>
      <c r="Q13162">
        <v>3</v>
      </c>
      <c r="R13162" t="s">
        <v>46585</v>
      </c>
      <c r="S13162" t="s">
        <v>47146</v>
      </c>
      <c r="T13162" t="s">
        <v>48715</v>
      </c>
      <c r="U13162" t="s">
        <v>59249</v>
      </c>
      <c r="W13162" t="s">
        <v>63550</v>
      </c>
      <c r="X13162" t="s">
        <v>46586</v>
      </c>
    </row>
    <row r="13163" spans="1:24">
      <c r="A13163">
        <f>HYPERLINK("https://www.philgeps.gov.ph/GEPSNONPILOT/Tender/SplashBidNoticeAbstractUI.aspx?menuIndex=3&amp;refID=7039379&amp;Result=3","7039379")</f>
        <v>0</v>
      </c>
      <c r="B13163" t="s">
        <v>958</v>
      </c>
      <c r="C13163" t="s">
        <v>16026</v>
      </c>
      <c r="D13163" t="s">
        <v>18864</v>
      </c>
      <c r="E13163" t="s">
        <v>30194</v>
      </c>
      <c r="F13163" t="s">
        <v>32664</v>
      </c>
      <c r="G13163" t="s">
        <v>32672</v>
      </c>
      <c r="H13163" t="s">
        <v>12635</v>
      </c>
      <c r="I13163" t="s">
        <v>6118</v>
      </c>
      <c r="J13163" t="s">
        <v>40598</v>
      </c>
      <c r="K13163" t="s">
        <v>42284</v>
      </c>
      <c r="M13163" t="s">
        <v>43565</v>
      </c>
      <c r="N13163" t="s">
        <v>46569</v>
      </c>
      <c r="O13163" t="s">
        <v>46570</v>
      </c>
      <c r="Q13163">
        <v>10</v>
      </c>
      <c r="R13163" t="s">
        <v>46585</v>
      </c>
      <c r="S13163" t="s">
        <v>47196</v>
      </c>
      <c r="T13163" t="s">
        <v>48451</v>
      </c>
      <c r="U13163" t="s">
        <v>59339</v>
      </c>
      <c r="V13163" t="s">
        <v>63073</v>
      </c>
      <c r="W13163" t="s">
        <v>43565</v>
      </c>
      <c r="X13163" t="s">
        <v>46586</v>
      </c>
    </row>
    <row r="13164" spans="1:24">
      <c r="A13164">
        <f>HYPERLINK("https://www.philgeps.gov.ph/GEPSNONPILOT/Tender/SplashBidNoticeAbstractUI.aspx?menuIndex=3&amp;refID=7039719&amp;Result=3","7039719")</f>
        <v>0</v>
      </c>
      <c r="B13164" t="s">
        <v>2586</v>
      </c>
      <c r="C13164" t="s">
        <v>16027</v>
      </c>
      <c r="D13164" t="s">
        <v>18796</v>
      </c>
      <c r="E13164" t="s">
        <v>30195</v>
      </c>
      <c r="F13164" t="s">
        <v>32664</v>
      </c>
      <c r="G13164" t="s">
        <v>32672</v>
      </c>
      <c r="H13164" t="s">
        <v>12635</v>
      </c>
      <c r="I13164" t="s">
        <v>5589</v>
      </c>
      <c r="J13164" t="s">
        <v>40599</v>
      </c>
      <c r="K13164" t="s">
        <v>42303</v>
      </c>
      <c r="M13164" t="s">
        <v>45401</v>
      </c>
      <c r="N13164" t="s">
        <v>46569</v>
      </c>
      <c r="O13164" t="s">
        <v>46570</v>
      </c>
      <c r="P13164">
        <v>0</v>
      </c>
      <c r="Q13164">
        <v>3</v>
      </c>
      <c r="R13164" t="s">
        <v>46585</v>
      </c>
      <c r="S13164" t="s">
        <v>47146</v>
      </c>
      <c r="T13164" t="s">
        <v>48223</v>
      </c>
      <c r="U13164" t="s">
        <v>59340</v>
      </c>
      <c r="W13164" t="s">
        <v>45401</v>
      </c>
      <c r="X13164" t="s">
        <v>46586</v>
      </c>
    </row>
    <row r="13165" spans="1:24">
      <c r="A13165">
        <f>HYPERLINK("https://www.philgeps.gov.ph/GEPSNONPILOT/Tender/SplashBidNoticeAbstractUI.aspx?menuIndex=3&amp;refID=7039714&amp;Result=3","7039714")</f>
        <v>0</v>
      </c>
      <c r="B13165" t="s">
        <v>2032</v>
      </c>
      <c r="C13165" t="s">
        <v>16028</v>
      </c>
      <c r="D13165" t="s">
        <v>18845</v>
      </c>
      <c r="E13165" t="s">
        <v>30196</v>
      </c>
      <c r="F13165" t="s">
        <v>32664</v>
      </c>
      <c r="G13165" t="s">
        <v>32672</v>
      </c>
      <c r="H13165" t="s">
        <v>12635</v>
      </c>
      <c r="I13165" t="s">
        <v>4439</v>
      </c>
      <c r="J13165" t="s">
        <v>40600</v>
      </c>
      <c r="K13165" t="s">
        <v>42283</v>
      </c>
      <c r="M13165" t="s">
        <v>44776</v>
      </c>
      <c r="N13165" t="s">
        <v>46569</v>
      </c>
      <c r="O13165" t="s">
        <v>46570</v>
      </c>
      <c r="P13165">
        <v>0</v>
      </c>
      <c r="Q13165">
        <v>2</v>
      </c>
      <c r="R13165" t="s">
        <v>46585</v>
      </c>
      <c r="S13165" t="s">
        <v>47146</v>
      </c>
      <c r="T13165" t="s">
        <v>48716</v>
      </c>
      <c r="U13165" t="s">
        <v>53915</v>
      </c>
      <c r="V13165" t="s">
        <v>63074</v>
      </c>
      <c r="W13165" t="s">
        <v>44776</v>
      </c>
      <c r="X13165" t="s">
        <v>46586</v>
      </c>
    </row>
    <row r="13166" spans="1:24">
      <c r="A13166">
        <f>HYPERLINK("https://www.philgeps.gov.ph/GEPSNONPILOT/Tender/SplashBidNoticeAbstractUI.aspx?menuIndex=3&amp;refID=7039712&amp;Result=3","7039712")</f>
        <v>0</v>
      </c>
      <c r="B13166" t="s">
        <v>1341</v>
      </c>
      <c r="C13166" t="s">
        <v>16029</v>
      </c>
      <c r="D13166" t="s">
        <v>18842</v>
      </c>
      <c r="E13166" t="s">
        <v>23155</v>
      </c>
      <c r="F13166" t="s">
        <v>32664</v>
      </c>
      <c r="G13166" t="s">
        <v>32672</v>
      </c>
      <c r="H13166" t="s">
        <v>32683</v>
      </c>
      <c r="I13166" t="s">
        <v>10627</v>
      </c>
      <c r="J13166" t="s">
        <v>40601</v>
      </c>
      <c r="K13166" t="s">
        <v>42283</v>
      </c>
      <c r="M13166" t="s">
        <v>43991</v>
      </c>
      <c r="N13166" t="s">
        <v>46569</v>
      </c>
      <c r="O13166" t="s">
        <v>46570</v>
      </c>
      <c r="P13166">
        <v>0</v>
      </c>
      <c r="Q13166">
        <v>0</v>
      </c>
      <c r="R13166" t="s">
        <v>46585</v>
      </c>
      <c r="S13166" t="s">
        <v>47146</v>
      </c>
      <c r="T13166" t="s">
        <v>48226</v>
      </c>
      <c r="U13166" t="s">
        <v>59341</v>
      </c>
      <c r="W13166" t="s">
        <v>43991</v>
      </c>
      <c r="X13166" t="s">
        <v>46586</v>
      </c>
    </row>
    <row r="13167" spans="1:24">
      <c r="A13167">
        <f>HYPERLINK("https://www.philgeps.gov.ph/GEPSNONPILOT/Tender/SplashBidNoticeAbstractUI.aspx?menuIndex=3&amp;refID=7039697&amp;Result=3","7039697")</f>
        <v>0</v>
      </c>
      <c r="B13167" t="s">
        <v>2132</v>
      </c>
      <c r="C13167" t="s">
        <v>16030</v>
      </c>
      <c r="D13167" t="s">
        <v>18831</v>
      </c>
      <c r="E13167" t="s">
        <v>30197</v>
      </c>
      <c r="F13167" t="s">
        <v>32664</v>
      </c>
      <c r="G13167" t="s">
        <v>32672</v>
      </c>
      <c r="H13167" t="s">
        <v>12635</v>
      </c>
      <c r="I13167" t="s">
        <v>9486</v>
      </c>
      <c r="J13167" t="s">
        <v>40602</v>
      </c>
      <c r="K13167" t="s">
        <v>42281</v>
      </c>
      <c r="M13167" t="s">
        <v>44887</v>
      </c>
      <c r="N13167" t="s">
        <v>46569</v>
      </c>
      <c r="O13167" t="s">
        <v>46570</v>
      </c>
      <c r="P13167">
        <v>0</v>
      </c>
      <c r="Q13167">
        <v>3</v>
      </c>
      <c r="R13167" t="s">
        <v>46585</v>
      </c>
      <c r="S13167" t="s">
        <v>47146</v>
      </c>
      <c r="T13167" t="s">
        <v>48293</v>
      </c>
      <c r="U13167" t="s">
        <v>59342</v>
      </c>
      <c r="W13167" t="s">
        <v>44887</v>
      </c>
      <c r="X13167" t="s">
        <v>46586</v>
      </c>
    </row>
    <row r="13168" spans="1:24">
      <c r="A13168">
        <f>HYPERLINK("https://www.philgeps.gov.ph/GEPSNONPILOT/Tender/SplashBidNoticeAbstractUI.aspx?menuIndex=3&amp;refID=7039738&amp;Result=3","7039738")</f>
        <v>0</v>
      </c>
      <c r="B13168" t="s">
        <v>1734</v>
      </c>
      <c r="C13168" t="s">
        <v>16031</v>
      </c>
      <c r="D13168" t="s">
        <v>18789</v>
      </c>
      <c r="E13168" t="s">
        <v>30198</v>
      </c>
      <c r="F13168" t="s">
        <v>32664</v>
      </c>
      <c r="G13168" t="s">
        <v>32672</v>
      </c>
      <c r="H13168" t="s">
        <v>12635</v>
      </c>
      <c r="I13168" t="s">
        <v>11464</v>
      </c>
      <c r="J13168" t="s">
        <v>40603</v>
      </c>
      <c r="K13168" t="s">
        <v>42283</v>
      </c>
      <c r="M13168" t="s">
        <v>46229</v>
      </c>
      <c r="N13168" t="s">
        <v>46569</v>
      </c>
      <c r="O13168" t="s">
        <v>46570</v>
      </c>
      <c r="P13168">
        <v>0</v>
      </c>
      <c r="Q13168">
        <v>2</v>
      </c>
      <c r="R13168" t="s">
        <v>46585</v>
      </c>
      <c r="S13168" t="s">
        <v>47146</v>
      </c>
      <c r="T13168" t="s">
        <v>48304</v>
      </c>
      <c r="U13168" t="s">
        <v>59343</v>
      </c>
      <c r="W13168" t="s">
        <v>46229</v>
      </c>
      <c r="X13168" t="s">
        <v>46586</v>
      </c>
    </row>
    <row r="13169" spans="1:24">
      <c r="A13169">
        <f>HYPERLINK("https://www.philgeps.gov.ph/GEPSNONPILOT/Tender/SplashBidNoticeAbstractUI.aspx?menuIndex=3&amp;refID=7039381&amp;Result=3","7039381")</f>
        <v>0</v>
      </c>
      <c r="B13169" t="s">
        <v>99</v>
      </c>
      <c r="C13169" t="s">
        <v>16032</v>
      </c>
      <c r="D13169" t="s">
        <v>18814</v>
      </c>
      <c r="E13169" t="s">
        <v>30199</v>
      </c>
      <c r="F13169" t="s">
        <v>32664</v>
      </c>
      <c r="G13169" t="s">
        <v>32672</v>
      </c>
      <c r="H13169" t="s">
        <v>32683</v>
      </c>
      <c r="I13169" t="s">
        <v>10627</v>
      </c>
      <c r="J13169" t="s">
        <v>40604</v>
      </c>
      <c r="K13169" t="s">
        <v>42311</v>
      </c>
      <c r="M13169" t="s">
        <v>46221</v>
      </c>
      <c r="N13169" t="s">
        <v>46569</v>
      </c>
      <c r="O13169" t="s">
        <v>46570</v>
      </c>
      <c r="P13169">
        <v>0</v>
      </c>
      <c r="Q13169">
        <v>0</v>
      </c>
      <c r="R13169" t="s">
        <v>46585</v>
      </c>
      <c r="S13169" t="s">
        <v>47146</v>
      </c>
      <c r="T13169" t="s">
        <v>48356</v>
      </c>
      <c r="U13169" t="s">
        <v>59344</v>
      </c>
      <c r="W13169" t="s">
        <v>46221</v>
      </c>
      <c r="X13169" t="s">
        <v>46586</v>
      </c>
    </row>
    <row r="13170" spans="1:24">
      <c r="A13170">
        <f>HYPERLINK("https://www.philgeps.gov.ph/GEPSNONPILOT/Tender/SplashBidNoticeAbstractUI.aspx?menuIndex=3&amp;refID=7039634&amp;Result=3","7039634")</f>
        <v>0</v>
      </c>
      <c r="B13170" t="s">
        <v>592</v>
      </c>
      <c r="C13170" t="s">
        <v>16033</v>
      </c>
      <c r="D13170" t="s">
        <v>18858</v>
      </c>
      <c r="E13170" t="s">
        <v>30200</v>
      </c>
      <c r="F13170" t="s">
        <v>32664</v>
      </c>
      <c r="G13170" t="s">
        <v>32672</v>
      </c>
      <c r="H13170" t="s">
        <v>12635</v>
      </c>
      <c r="I13170" t="s">
        <v>32738</v>
      </c>
      <c r="J13170" t="s">
        <v>40605</v>
      </c>
      <c r="K13170" t="s">
        <v>42283</v>
      </c>
      <c r="M13170" t="s">
        <v>43411</v>
      </c>
      <c r="N13170" t="s">
        <v>46569</v>
      </c>
      <c r="O13170" t="s">
        <v>46570</v>
      </c>
      <c r="Q13170">
        <v>5</v>
      </c>
      <c r="R13170" t="s">
        <v>46585</v>
      </c>
      <c r="S13170" t="s">
        <v>47197</v>
      </c>
      <c r="T13170" t="s">
        <v>48279</v>
      </c>
      <c r="U13170" t="s">
        <v>59345</v>
      </c>
      <c r="V13170" t="s">
        <v>63075</v>
      </c>
      <c r="W13170" t="s">
        <v>43411</v>
      </c>
      <c r="X13170" t="s">
        <v>46586</v>
      </c>
    </row>
    <row r="13171" spans="1:24">
      <c r="A13171">
        <f>HYPERLINK("https://www.philgeps.gov.ph/GEPSNONPILOT/Tender/SplashBidNoticeAbstractUI.aspx?menuIndex=3&amp;refID=7039692&amp;Result=3","7039692")</f>
        <v>0</v>
      </c>
      <c r="B13171" t="s">
        <v>3243</v>
      </c>
      <c r="C13171" t="s">
        <v>16034</v>
      </c>
      <c r="D13171" t="s">
        <v>18828</v>
      </c>
      <c r="E13171" t="s">
        <v>30201</v>
      </c>
      <c r="F13171" t="s">
        <v>32664</v>
      </c>
      <c r="G13171" t="s">
        <v>32672</v>
      </c>
      <c r="H13171" t="s">
        <v>32683</v>
      </c>
      <c r="I13171" t="s">
        <v>10627</v>
      </c>
      <c r="J13171" t="s">
        <v>40606</v>
      </c>
      <c r="K13171" t="s">
        <v>42289</v>
      </c>
      <c r="M13171" t="s">
        <v>46167</v>
      </c>
      <c r="N13171" t="s">
        <v>46569</v>
      </c>
      <c r="O13171" t="s">
        <v>46570</v>
      </c>
      <c r="P13171">
        <v>0</v>
      </c>
      <c r="Q13171">
        <v>0</v>
      </c>
      <c r="R13171" t="s">
        <v>46585</v>
      </c>
      <c r="S13171" t="s">
        <v>47146</v>
      </c>
      <c r="T13171" t="s">
        <v>48283</v>
      </c>
      <c r="U13171" t="s">
        <v>59346</v>
      </c>
      <c r="V13171" t="s">
        <v>63076</v>
      </c>
      <c r="W13171" t="s">
        <v>46167</v>
      </c>
      <c r="X13171" t="s">
        <v>46586</v>
      </c>
    </row>
    <row r="13172" spans="1:24">
      <c r="A13172">
        <f>HYPERLINK("https://www.philgeps.gov.ph/GEPSNONPILOT/Tender/SplashBidNoticeAbstractUI.aspx?menuIndex=3&amp;refID=7039621&amp;Result=3","7039621")</f>
        <v>0</v>
      </c>
      <c r="B13172" t="s">
        <v>2586</v>
      </c>
      <c r="C13172" t="s">
        <v>16035</v>
      </c>
      <c r="D13172" t="s">
        <v>18796</v>
      </c>
      <c r="E13172" t="s">
        <v>30202</v>
      </c>
      <c r="F13172" t="s">
        <v>32664</v>
      </c>
      <c r="G13172" t="s">
        <v>32672</v>
      </c>
      <c r="H13172" t="s">
        <v>12635</v>
      </c>
      <c r="I13172" t="s">
        <v>32689</v>
      </c>
      <c r="J13172" t="s">
        <v>40607</v>
      </c>
      <c r="K13172" t="s">
        <v>42303</v>
      </c>
      <c r="M13172" t="s">
        <v>45401</v>
      </c>
      <c r="N13172" t="s">
        <v>46569</v>
      </c>
      <c r="O13172" t="s">
        <v>46570</v>
      </c>
      <c r="P13172">
        <v>0</v>
      </c>
      <c r="Q13172">
        <v>4</v>
      </c>
      <c r="R13172" t="s">
        <v>46585</v>
      </c>
      <c r="S13172" t="s">
        <v>47146</v>
      </c>
      <c r="T13172" t="s">
        <v>48223</v>
      </c>
      <c r="U13172" t="s">
        <v>59347</v>
      </c>
      <c r="W13172" t="s">
        <v>45401</v>
      </c>
      <c r="X13172" t="s">
        <v>46586</v>
      </c>
    </row>
    <row r="13173" spans="1:24">
      <c r="A13173">
        <f>HYPERLINK("https://www.philgeps.gov.ph/GEPSNONPILOT/Tender/SplashBidNoticeAbstractUI.aspx?menuIndex=3&amp;refID=7039378&amp;Result=3","7039378")</f>
        <v>0</v>
      </c>
      <c r="B13173" t="s">
        <v>1028</v>
      </c>
      <c r="C13173" t="s">
        <v>16036</v>
      </c>
      <c r="D13173" t="s">
        <v>18805</v>
      </c>
      <c r="E13173" t="s">
        <v>30203</v>
      </c>
      <c r="F13173" t="s">
        <v>32664</v>
      </c>
      <c r="G13173" t="s">
        <v>32672</v>
      </c>
      <c r="H13173" t="s">
        <v>12635</v>
      </c>
      <c r="I13173" t="s">
        <v>9486</v>
      </c>
      <c r="J13173" t="s">
        <v>40608</v>
      </c>
      <c r="K13173" t="s">
        <v>42303</v>
      </c>
      <c r="M13173" t="s">
        <v>43640</v>
      </c>
      <c r="N13173" t="s">
        <v>46569</v>
      </c>
      <c r="O13173" t="s">
        <v>46570</v>
      </c>
      <c r="Q13173">
        <v>20</v>
      </c>
      <c r="R13173" t="s">
        <v>46585</v>
      </c>
      <c r="S13173" t="s">
        <v>47198</v>
      </c>
      <c r="T13173" t="s">
        <v>48334</v>
      </c>
      <c r="U13173" t="s">
        <v>56138</v>
      </c>
      <c r="W13173" t="s">
        <v>63503</v>
      </c>
      <c r="X13173" t="s">
        <v>46586</v>
      </c>
    </row>
    <row r="13174" spans="1:24">
      <c r="A13174">
        <f>HYPERLINK("https://www.philgeps.gov.ph/GEPSNONPILOT/Tender/SplashBidNoticeAbstractUI.aspx?menuIndex=3&amp;refID=7039600&amp;Result=3","7039600")</f>
        <v>0</v>
      </c>
      <c r="B13174" t="s">
        <v>3280</v>
      </c>
      <c r="C13174" t="s">
        <v>16037</v>
      </c>
      <c r="D13174" t="s">
        <v>18859</v>
      </c>
      <c r="E13174" t="s">
        <v>19612</v>
      </c>
      <c r="F13174" t="s">
        <v>32664</v>
      </c>
      <c r="G13174" t="s">
        <v>32672</v>
      </c>
      <c r="H13174" t="s">
        <v>32683</v>
      </c>
      <c r="I13174" t="s">
        <v>10627</v>
      </c>
      <c r="J13174" t="s">
        <v>32943</v>
      </c>
      <c r="K13174" t="s">
        <v>42308</v>
      </c>
      <c r="M13174" t="s">
        <v>46217</v>
      </c>
      <c r="N13174" t="s">
        <v>46569</v>
      </c>
      <c r="O13174" t="s">
        <v>46570</v>
      </c>
      <c r="P13174">
        <v>0</v>
      </c>
      <c r="Q13174">
        <v>1</v>
      </c>
      <c r="R13174" t="s">
        <v>46585</v>
      </c>
      <c r="S13174" t="s">
        <v>47146</v>
      </c>
      <c r="T13174" t="s">
        <v>48481</v>
      </c>
      <c r="U13174" t="s">
        <v>59348</v>
      </c>
      <c r="W13174" t="s">
        <v>46217</v>
      </c>
      <c r="X13174" t="s">
        <v>46586</v>
      </c>
    </row>
    <row r="13175" spans="1:24">
      <c r="A13175">
        <f>HYPERLINK("https://www.philgeps.gov.ph/GEPSNONPILOT/Tender/SplashBidNoticeAbstractUI.aspx?menuIndex=3&amp;refID=7039718&amp;Result=3","7039718")</f>
        <v>0</v>
      </c>
      <c r="B13175" t="s">
        <v>3239</v>
      </c>
      <c r="C13175" t="s">
        <v>16038</v>
      </c>
      <c r="D13175" t="s">
        <v>18848</v>
      </c>
      <c r="E13175" t="s">
        <v>30204</v>
      </c>
      <c r="F13175" t="s">
        <v>32664</v>
      </c>
      <c r="G13175" t="s">
        <v>32672</v>
      </c>
      <c r="H13175" t="s">
        <v>32683</v>
      </c>
      <c r="I13175" t="s">
        <v>10627</v>
      </c>
      <c r="J13175" t="s">
        <v>40609</v>
      </c>
      <c r="K13175" t="s">
        <v>42313</v>
      </c>
      <c r="M13175" t="s">
        <v>46235</v>
      </c>
      <c r="N13175" t="s">
        <v>46569</v>
      </c>
      <c r="O13175" t="s">
        <v>46570</v>
      </c>
      <c r="P13175">
        <v>0</v>
      </c>
      <c r="Q13175">
        <v>0</v>
      </c>
      <c r="R13175" t="s">
        <v>46585</v>
      </c>
      <c r="S13175" t="s">
        <v>47146</v>
      </c>
      <c r="T13175" t="s">
        <v>48300</v>
      </c>
      <c r="U13175" t="s">
        <v>59349</v>
      </c>
      <c r="V13175" t="s">
        <v>63077</v>
      </c>
      <c r="W13175" t="s">
        <v>46235</v>
      </c>
      <c r="X13175" t="s">
        <v>46586</v>
      </c>
    </row>
    <row r="13176" spans="1:24">
      <c r="A13176">
        <f>HYPERLINK("https://www.philgeps.gov.ph/GEPSNONPILOT/Tender/SplashBidNoticeAbstractUI.aspx?menuIndex=3&amp;refID=7039505&amp;Result=3","7039505")</f>
        <v>0</v>
      </c>
      <c r="B13176" t="s">
        <v>502</v>
      </c>
      <c r="C13176" t="s">
        <v>16039</v>
      </c>
      <c r="D13176" t="s">
        <v>18782</v>
      </c>
      <c r="E13176" t="s">
        <v>30205</v>
      </c>
      <c r="F13176" t="s">
        <v>32664</v>
      </c>
      <c r="G13176" t="s">
        <v>32672</v>
      </c>
      <c r="H13176" t="s">
        <v>32683</v>
      </c>
      <c r="I13176" t="s">
        <v>10627</v>
      </c>
      <c r="J13176" t="s">
        <v>40610</v>
      </c>
      <c r="K13176" t="s">
        <v>42308</v>
      </c>
      <c r="M13176" t="s">
        <v>43078</v>
      </c>
      <c r="N13176" t="s">
        <v>46569</v>
      </c>
      <c r="O13176" t="s">
        <v>46570</v>
      </c>
      <c r="P13176">
        <v>0</v>
      </c>
      <c r="Q13176">
        <v>5</v>
      </c>
      <c r="R13176" t="s">
        <v>46585</v>
      </c>
      <c r="S13176" t="s">
        <v>47146</v>
      </c>
      <c r="T13176" t="s">
        <v>48580</v>
      </c>
      <c r="U13176" t="s">
        <v>59350</v>
      </c>
      <c r="W13176" t="s">
        <v>43078</v>
      </c>
      <c r="X13176" t="s">
        <v>46586</v>
      </c>
    </row>
    <row r="13177" spans="1:24">
      <c r="A13177">
        <f>HYPERLINK("https://www.philgeps.gov.ph/GEPSNONPILOT/Tender/SplashBidNoticeAbstractUI.aspx?menuIndex=3&amp;refID=7039601&amp;Result=3","7039601")</f>
        <v>0</v>
      </c>
      <c r="B13177" t="s">
        <v>3211</v>
      </c>
      <c r="C13177" t="s">
        <v>16040</v>
      </c>
      <c r="D13177" t="s">
        <v>18784</v>
      </c>
      <c r="E13177" t="s">
        <v>30206</v>
      </c>
      <c r="F13177" t="s">
        <v>32664</v>
      </c>
      <c r="G13177" t="s">
        <v>32672</v>
      </c>
      <c r="H13177" t="s">
        <v>12635</v>
      </c>
      <c r="I13177" t="s">
        <v>6118</v>
      </c>
      <c r="J13177" t="s">
        <v>33267</v>
      </c>
      <c r="K13177" t="s">
        <v>42284</v>
      </c>
      <c r="M13177" t="s">
        <v>46130</v>
      </c>
      <c r="N13177" t="s">
        <v>46569</v>
      </c>
      <c r="O13177" t="s">
        <v>46570</v>
      </c>
      <c r="P13177">
        <v>0</v>
      </c>
      <c r="Q13177">
        <v>0</v>
      </c>
      <c r="R13177" t="s">
        <v>46585</v>
      </c>
      <c r="S13177" t="s">
        <v>47146</v>
      </c>
      <c r="T13177" t="s">
        <v>48244</v>
      </c>
      <c r="U13177" t="s">
        <v>59338</v>
      </c>
      <c r="W13177" t="s">
        <v>46130</v>
      </c>
      <c r="X13177" t="s">
        <v>46586</v>
      </c>
    </row>
    <row r="13178" spans="1:24">
      <c r="A13178">
        <f>HYPERLINK("https://www.philgeps.gov.ph/GEPSNONPILOT/Tender/SplashBidNoticeAbstractUI.aspx?menuIndex=3&amp;refID=7039584&amp;Result=3","7039584")</f>
        <v>0</v>
      </c>
      <c r="B13178" t="s">
        <v>3211</v>
      </c>
      <c r="C13178" t="s">
        <v>16041</v>
      </c>
      <c r="D13178" t="s">
        <v>18784</v>
      </c>
      <c r="E13178" t="s">
        <v>30207</v>
      </c>
      <c r="F13178" t="s">
        <v>32664</v>
      </c>
      <c r="G13178" t="s">
        <v>32672</v>
      </c>
      <c r="H13178" t="s">
        <v>12635</v>
      </c>
      <c r="I13178" t="s">
        <v>6223</v>
      </c>
      <c r="J13178" t="s">
        <v>40611</v>
      </c>
      <c r="K13178" t="s">
        <v>42284</v>
      </c>
      <c r="M13178" t="s">
        <v>46130</v>
      </c>
      <c r="N13178" t="s">
        <v>46569</v>
      </c>
      <c r="O13178" t="s">
        <v>46570</v>
      </c>
      <c r="P13178">
        <v>0</v>
      </c>
      <c r="Q13178">
        <v>2</v>
      </c>
      <c r="R13178" t="s">
        <v>46585</v>
      </c>
      <c r="S13178" t="s">
        <v>47146</v>
      </c>
      <c r="T13178" t="s">
        <v>48219</v>
      </c>
      <c r="U13178" t="s">
        <v>58869</v>
      </c>
      <c r="W13178" t="s">
        <v>46130</v>
      </c>
      <c r="X13178" t="s">
        <v>46586</v>
      </c>
    </row>
    <row r="13179" spans="1:24">
      <c r="A13179">
        <f>HYPERLINK("https://www.philgeps.gov.ph/GEPSNONPILOT/Tender/SplashBidNoticeAbstractUI.aspx?menuIndex=3&amp;refID=7039673&amp;Result=3","7039673")</f>
        <v>0</v>
      </c>
      <c r="B13179" t="s">
        <v>942</v>
      </c>
      <c r="C13179" t="s">
        <v>10361</v>
      </c>
      <c r="D13179" t="s">
        <v>18793</v>
      </c>
      <c r="E13179" t="s">
        <v>21803</v>
      </c>
      <c r="F13179" t="s">
        <v>32664</v>
      </c>
      <c r="G13179" t="s">
        <v>32672</v>
      </c>
      <c r="H13179" t="s">
        <v>12635</v>
      </c>
      <c r="I13179" t="s">
        <v>10361</v>
      </c>
      <c r="J13179" t="s">
        <v>40612</v>
      </c>
      <c r="K13179" t="s">
        <v>42289</v>
      </c>
      <c r="M13179" t="s">
        <v>43548</v>
      </c>
      <c r="N13179" t="s">
        <v>46569</v>
      </c>
      <c r="O13179" t="s">
        <v>46570</v>
      </c>
      <c r="P13179">
        <v>0</v>
      </c>
      <c r="Q13179">
        <v>0</v>
      </c>
      <c r="R13179" t="s">
        <v>46585</v>
      </c>
      <c r="S13179" t="s">
        <v>47146</v>
      </c>
      <c r="T13179" t="s">
        <v>48283</v>
      </c>
      <c r="U13179" t="s">
        <v>59351</v>
      </c>
      <c r="V13179" t="s">
        <v>63078</v>
      </c>
      <c r="W13179" t="s">
        <v>43548</v>
      </c>
      <c r="X13179" t="s">
        <v>46586</v>
      </c>
    </row>
    <row r="13180" spans="1:24">
      <c r="A13180">
        <f>HYPERLINK("https://www.philgeps.gov.ph/GEPSNONPILOT/Tender/SplashBidNoticeAbstractUI.aspx?menuIndex=3&amp;refID=7039289&amp;Result=3","7039289")</f>
        <v>0</v>
      </c>
      <c r="B13180" t="s">
        <v>690</v>
      </c>
      <c r="C13180" t="s">
        <v>16042</v>
      </c>
      <c r="D13180" t="s">
        <v>18781</v>
      </c>
      <c r="E13180" t="s">
        <v>30208</v>
      </c>
      <c r="F13180" t="s">
        <v>32664</v>
      </c>
      <c r="G13180" t="s">
        <v>32672</v>
      </c>
      <c r="H13180" t="s">
        <v>32683</v>
      </c>
      <c r="I13180" t="s">
        <v>10627</v>
      </c>
      <c r="J13180" t="s">
        <v>38920</v>
      </c>
      <c r="K13180" t="s">
        <v>42369</v>
      </c>
      <c r="L13180" t="s">
        <v>690</v>
      </c>
      <c r="M13180" t="s">
        <v>45601</v>
      </c>
      <c r="N13180" t="s">
        <v>46569</v>
      </c>
      <c r="O13180" t="s">
        <v>46570</v>
      </c>
      <c r="P13180">
        <v>0</v>
      </c>
      <c r="Q13180">
        <v>1</v>
      </c>
      <c r="R13180" t="s">
        <v>46585</v>
      </c>
      <c r="S13180" t="s">
        <v>47146</v>
      </c>
      <c r="T13180" t="s">
        <v>48330</v>
      </c>
      <c r="U13180" t="s">
        <v>59294</v>
      </c>
      <c r="W13180" t="s">
        <v>45601</v>
      </c>
      <c r="X13180" t="s">
        <v>46586</v>
      </c>
    </row>
    <row r="13181" spans="1:24">
      <c r="A13181">
        <f>HYPERLINK("https://www.philgeps.gov.ph/GEPSNONPILOT/Tender/SplashBidNoticeAbstractUI.aspx?menuIndex=3&amp;refID=7039593&amp;Result=3","7039593")</f>
        <v>0</v>
      </c>
      <c r="B13181" t="s">
        <v>2132</v>
      </c>
      <c r="C13181" t="s">
        <v>16043</v>
      </c>
      <c r="D13181" t="s">
        <v>18831</v>
      </c>
      <c r="E13181" t="s">
        <v>30209</v>
      </c>
      <c r="F13181" t="s">
        <v>32664</v>
      </c>
      <c r="G13181" t="s">
        <v>32672</v>
      </c>
      <c r="H13181" t="s">
        <v>12635</v>
      </c>
      <c r="I13181" t="s">
        <v>32699</v>
      </c>
      <c r="J13181" t="s">
        <v>32859</v>
      </c>
      <c r="K13181" t="s">
        <v>42281</v>
      </c>
      <c r="M13181" t="s">
        <v>44887</v>
      </c>
      <c r="N13181" t="s">
        <v>46569</v>
      </c>
      <c r="O13181" t="s">
        <v>46570</v>
      </c>
      <c r="P13181">
        <v>0</v>
      </c>
      <c r="Q13181">
        <v>0</v>
      </c>
      <c r="R13181" t="s">
        <v>46585</v>
      </c>
      <c r="S13181" t="s">
        <v>47146</v>
      </c>
      <c r="T13181" t="s">
        <v>48293</v>
      </c>
      <c r="U13181" t="s">
        <v>59352</v>
      </c>
      <c r="W13181" t="s">
        <v>44887</v>
      </c>
      <c r="X13181" t="s">
        <v>46586</v>
      </c>
    </row>
    <row r="13182" spans="1:24">
      <c r="A13182">
        <f>HYPERLINK("https://www.philgeps.gov.ph/GEPSNONPILOT/Tender/SplashBidNoticeAbstractUI.aspx?menuIndex=3&amp;refID=7039591&amp;Result=3","7039591")</f>
        <v>0</v>
      </c>
      <c r="B13182" t="s">
        <v>525</v>
      </c>
      <c r="C13182" t="s">
        <v>16044</v>
      </c>
      <c r="E13182" t="s">
        <v>20822</v>
      </c>
      <c r="F13182" t="s">
        <v>32664</v>
      </c>
      <c r="G13182" t="s">
        <v>32673</v>
      </c>
      <c r="H13182" t="s">
        <v>12635</v>
      </c>
      <c r="I13182" t="s">
        <v>9946</v>
      </c>
      <c r="J13182" t="s">
        <v>40613</v>
      </c>
      <c r="K13182" t="s">
        <v>42283</v>
      </c>
      <c r="M13182" t="s">
        <v>43102</v>
      </c>
      <c r="N13182" t="s">
        <v>46569</v>
      </c>
      <c r="O13182" t="s">
        <v>46570</v>
      </c>
      <c r="Q13182">
        <v>5</v>
      </c>
      <c r="R13182" t="s">
        <v>46585</v>
      </c>
      <c r="S13182" t="s">
        <v>47199</v>
      </c>
      <c r="T13182" t="s">
        <v>48219</v>
      </c>
      <c r="U13182" t="s">
        <v>59353</v>
      </c>
      <c r="W13182" t="s">
        <v>43102</v>
      </c>
      <c r="X13182" t="s">
        <v>46586</v>
      </c>
    </row>
    <row r="13183" spans="1:24">
      <c r="A13183">
        <f>HYPERLINK("https://www.philgeps.gov.ph/GEPSNONPILOT/Tender/SplashBidNoticeAbstractUI.aspx?menuIndex=3&amp;refID=7039661&amp;Result=3","7039661")</f>
        <v>0</v>
      </c>
      <c r="B13183" t="s">
        <v>1502</v>
      </c>
      <c r="C13183" t="s">
        <v>16045</v>
      </c>
      <c r="D13183" t="s">
        <v>18829</v>
      </c>
      <c r="E13183" t="s">
        <v>30210</v>
      </c>
      <c r="F13183" t="s">
        <v>32664</v>
      </c>
      <c r="G13183" t="s">
        <v>32672</v>
      </c>
      <c r="H13183" t="s">
        <v>12635</v>
      </c>
      <c r="I13183" t="s">
        <v>11464</v>
      </c>
      <c r="J13183" t="s">
        <v>38968</v>
      </c>
      <c r="K13183" t="s">
        <v>42281</v>
      </c>
      <c r="M13183" t="s">
        <v>46236</v>
      </c>
      <c r="N13183" t="s">
        <v>46569</v>
      </c>
      <c r="O13183" t="s">
        <v>46570</v>
      </c>
      <c r="P13183">
        <v>0</v>
      </c>
      <c r="Q13183">
        <v>9</v>
      </c>
      <c r="R13183" t="s">
        <v>46585</v>
      </c>
      <c r="S13183" t="s">
        <v>47146</v>
      </c>
      <c r="T13183" t="s">
        <v>48467</v>
      </c>
      <c r="U13183" t="s">
        <v>59354</v>
      </c>
      <c r="W13183" t="s">
        <v>46236</v>
      </c>
      <c r="X13183" t="s">
        <v>46586</v>
      </c>
    </row>
    <row r="13184" spans="1:24">
      <c r="A13184">
        <f>HYPERLINK("https://www.philgeps.gov.ph/GEPSNONPILOT/Tender/SplashBidNoticeAbstractUI.aspx?menuIndex=3&amp;refID=7039862&amp;Result=3","7039862")</f>
        <v>0</v>
      </c>
      <c r="B13184" t="s">
        <v>592</v>
      </c>
      <c r="C13184" t="s">
        <v>16046</v>
      </c>
      <c r="D13184" t="s">
        <v>18783</v>
      </c>
      <c r="E13184" t="s">
        <v>30211</v>
      </c>
      <c r="F13184" t="s">
        <v>32664</v>
      </c>
      <c r="G13184" t="s">
        <v>32672</v>
      </c>
      <c r="H13184" t="s">
        <v>12635</v>
      </c>
      <c r="I13184" t="s">
        <v>32738</v>
      </c>
      <c r="J13184" t="s">
        <v>40614</v>
      </c>
      <c r="K13184" t="s">
        <v>42283</v>
      </c>
      <c r="M13184" t="s">
        <v>43411</v>
      </c>
      <c r="N13184" t="s">
        <v>46569</v>
      </c>
      <c r="O13184" t="s">
        <v>46570</v>
      </c>
      <c r="Q13184">
        <v>2</v>
      </c>
      <c r="R13184" t="s">
        <v>46585</v>
      </c>
      <c r="S13184" t="s">
        <v>47200</v>
      </c>
      <c r="T13184" t="s">
        <v>48279</v>
      </c>
      <c r="U13184" t="s">
        <v>59355</v>
      </c>
      <c r="V13184" t="s">
        <v>63079</v>
      </c>
      <c r="W13184" t="s">
        <v>43411</v>
      </c>
      <c r="X13184" t="s">
        <v>46586</v>
      </c>
    </row>
    <row r="13185" spans="1:24">
      <c r="A13185">
        <f>HYPERLINK("https://www.philgeps.gov.ph/GEPSNONPILOT/Tender/SplashBidNoticeAbstractUI.aspx?menuIndex=3&amp;refID=7039876&amp;Result=3","7039876")</f>
        <v>0</v>
      </c>
      <c r="B13185" t="s">
        <v>3280</v>
      </c>
      <c r="C13185" t="s">
        <v>13129</v>
      </c>
      <c r="D13185" t="s">
        <v>18859</v>
      </c>
      <c r="E13185" t="s">
        <v>30212</v>
      </c>
      <c r="F13185" t="s">
        <v>32664</v>
      </c>
      <c r="G13185" t="s">
        <v>32672</v>
      </c>
      <c r="H13185" t="s">
        <v>12635</v>
      </c>
      <c r="I13185" t="s">
        <v>8797</v>
      </c>
      <c r="J13185" t="s">
        <v>40615</v>
      </c>
      <c r="K13185" t="s">
        <v>42281</v>
      </c>
      <c r="M13185" t="s">
        <v>46217</v>
      </c>
      <c r="N13185" t="s">
        <v>46569</v>
      </c>
      <c r="O13185" t="s">
        <v>46570</v>
      </c>
      <c r="P13185">
        <v>0</v>
      </c>
      <c r="Q13185">
        <v>5</v>
      </c>
      <c r="R13185" t="s">
        <v>46585</v>
      </c>
      <c r="S13185" t="s">
        <v>47146</v>
      </c>
      <c r="T13185" t="s">
        <v>48229</v>
      </c>
      <c r="U13185" t="s">
        <v>59356</v>
      </c>
      <c r="W13185" t="s">
        <v>46217</v>
      </c>
      <c r="X13185" t="s">
        <v>46586</v>
      </c>
    </row>
    <row r="13186" spans="1:24">
      <c r="A13186">
        <f>HYPERLINK("https://www.philgeps.gov.ph/GEPSNONPILOT/Tender/SplashBidNoticeAbstractUI.aspx?menuIndex=3&amp;refID=7039828&amp;Result=3","7039828")</f>
        <v>0</v>
      </c>
      <c r="B13186" t="s">
        <v>3239</v>
      </c>
      <c r="C13186" t="s">
        <v>16047</v>
      </c>
      <c r="D13186" t="s">
        <v>18848</v>
      </c>
      <c r="E13186" t="s">
        <v>30213</v>
      </c>
      <c r="F13186" t="s">
        <v>32664</v>
      </c>
      <c r="G13186" t="s">
        <v>32672</v>
      </c>
      <c r="H13186" t="s">
        <v>32683</v>
      </c>
      <c r="I13186" t="s">
        <v>10627</v>
      </c>
      <c r="J13186" t="s">
        <v>40616</v>
      </c>
      <c r="K13186" t="s">
        <v>42310</v>
      </c>
      <c r="M13186" t="s">
        <v>46235</v>
      </c>
      <c r="N13186" t="s">
        <v>46569</v>
      </c>
      <c r="O13186" t="s">
        <v>46570</v>
      </c>
      <c r="P13186">
        <v>0</v>
      </c>
      <c r="Q13186">
        <v>2</v>
      </c>
      <c r="R13186" t="s">
        <v>46585</v>
      </c>
      <c r="S13186" t="s">
        <v>47146</v>
      </c>
      <c r="T13186" t="s">
        <v>48300</v>
      </c>
      <c r="U13186" t="s">
        <v>59357</v>
      </c>
      <c r="V13186" t="s">
        <v>63077</v>
      </c>
      <c r="W13186" t="s">
        <v>46235</v>
      </c>
      <c r="X13186" t="s">
        <v>46586</v>
      </c>
    </row>
    <row r="13187" spans="1:24">
      <c r="A13187">
        <f>HYPERLINK("https://www.philgeps.gov.ph/GEPSNONPILOT/Tender/SplashBidNoticeAbstractUI.aspx?menuIndex=3&amp;refID=7039617&amp;Result=3","7039617")</f>
        <v>0</v>
      </c>
      <c r="B13187" t="s">
        <v>3211</v>
      </c>
      <c r="C13187" t="s">
        <v>16048</v>
      </c>
      <c r="D13187" t="s">
        <v>18784</v>
      </c>
      <c r="E13187" t="s">
        <v>30214</v>
      </c>
      <c r="F13187" t="s">
        <v>32664</v>
      </c>
      <c r="G13187" t="s">
        <v>32672</v>
      </c>
      <c r="H13187" t="s">
        <v>12635</v>
      </c>
      <c r="I13187" t="s">
        <v>6223</v>
      </c>
      <c r="J13187" t="s">
        <v>40617</v>
      </c>
      <c r="K13187" t="s">
        <v>42284</v>
      </c>
      <c r="M13187" t="s">
        <v>46130</v>
      </c>
      <c r="N13187" t="s">
        <v>46569</v>
      </c>
      <c r="O13187" t="s">
        <v>46570</v>
      </c>
      <c r="P13187">
        <v>0</v>
      </c>
      <c r="Q13187">
        <v>0</v>
      </c>
      <c r="R13187" t="s">
        <v>46585</v>
      </c>
      <c r="S13187" t="s">
        <v>47146</v>
      </c>
      <c r="T13187" t="s">
        <v>48244</v>
      </c>
      <c r="U13187" t="s">
        <v>58869</v>
      </c>
      <c r="W13187" t="s">
        <v>46130</v>
      </c>
      <c r="X13187" t="s">
        <v>46586</v>
      </c>
    </row>
    <row r="13188" spans="1:24">
      <c r="A13188">
        <f>HYPERLINK("https://www.philgeps.gov.ph/GEPSNONPILOT/Tender/SplashBidNoticeAbstractUI.aspx?menuIndex=3&amp;refID=7039825&amp;Result=3","7039825")</f>
        <v>0</v>
      </c>
      <c r="B13188" t="s">
        <v>2132</v>
      </c>
      <c r="C13188" t="s">
        <v>16049</v>
      </c>
      <c r="D13188" t="s">
        <v>18831</v>
      </c>
      <c r="E13188" t="s">
        <v>30215</v>
      </c>
      <c r="F13188" t="s">
        <v>32664</v>
      </c>
      <c r="G13188" t="s">
        <v>32672</v>
      </c>
      <c r="H13188" t="s">
        <v>12635</v>
      </c>
      <c r="I13188" t="s">
        <v>9486</v>
      </c>
      <c r="J13188" t="s">
        <v>40618</v>
      </c>
      <c r="K13188" t="s">
        <v>42281</v>
      </c>
      <c r="M13188" t="s">
        <v>44887</v>
      </c>
      <c r="N13188" t="s">
        <v>46569</v>
      </c>
      <c r="O13188" t="s">
        <v>46570</v>
      </c>
      <c r="P13188">
        <v>0</v>
      </c>
      <c r="Q13188">
        <v>3</v>
      </c>
      <c r="R13188" t="s">
        <v>46585</v>
      </c>
      <c r="S13188" t="s">
        <v>47146</v>
      </c>
      <c r="T13188" t="s">
        <v>48293</v>
      </c>
      <c r="U13188" t="s">
        <v>59358</v>
      </c>
      <c r="W13188" t="s">
        <v>44887</v>
      </c>
      <c r="X13188" t="s">
        <v>46586</v>
      </c>
    </row>
    <row r="13189" spans="1:24">
      <c r="A13189">
        <f>HYPERLINK("https://www.philgeps.gov.ph/GEPSNONPILOT/Tender/SplashBidNoticeAbstractUI.aspx?menuIndex=3&amp;refID=7039361&amp;Result=3","7039361")</f>
        <v>0</v>
      </c>
      <c r="B13189" t="s">
        <v>99</v>
      </c>
      <c r="C13189" t="s">
        <v>16050</v>
      </c>
      <c r="D13189" t="s">
        <v>18814</v>
      </c>
      <c r="E13189" t="s">
        <v>30216</v>
      </c>
      <c r="F13189" t="s">
        <v>32664</v>
      </c>
      <c r="G13189" t="s">
        <v>32672</v>
      </c>
      <c r="H13189" t="s">
        <v>32683</v>
      </c>
      <c r="I13189" t="s">
        <v>10627</v>
      </c>
      <c r="J13189" t="s">
        <v>35338</v>
      </c>
      <c r="K13189" t="s">
        <v>42311</v>
      </c>
      <c r="M13189" t="s">
        <v>46221</v>
      </c>
      <c r="N13189" t="s">
        <v>46569</v>
      </c>
      <c r="O13189" t="s">
        <v>46570</v>
      </c>
      <c r="P13189">
        <v>0</v>
      </c>
      <c r="Q13189">
        <v>0</v>
      </c>
      <c r="R13189" t="s">
        <v>46585</v>
      </c>
      <c r="S13189" t="s">
        <v>47146</v>
      </c>
      <c r="T13189" t="s">
        <v>48356</v>
      </c>
      <c r="U13189" t="s">
        <v>59359</v>
      </c>
      <c r="W13189" t="s">
        <v>46221</v>
      </c>
      <c r="X13189" t="s">
        <v>46586</v>
      </c>
    </row>
    <row r="13190" spans="1:24">
      <c r="A13190">
        <f>HYPERLINK("https://www.philgeps.gov.ph/GEPSNONPILOT/Tender/SplashBidNoticeAbstractUI.aspx?menuIndex=3&amp;refID=7039811&amp;Result=3","7039811")</f>
        <v>0</v>
      </c>
      <c r="B13190" t="s">
        <v>3296</v>
      </c>
      <c r="C13190" t="s">
        <v>16051</v>
      </c>
      <c r="D13190" t="s">
        <v>18804</v>
      </c>
      <c r="E13190" t="s">
        <v>30217</v>
      </c>
      <c r="F13190" t="s">
        <v>32664</v>
      </c>
      <c r="G13190" t="s">
        <v>32672</v>
      </c>
      <c r="H13190" t="s">
        <v>12635</v>
      </c>
      <c r="I13190" t="s">
        <v>10627</v>
      </c>
      <c r="J13190" t="s">
        <v>40619</v>
      </c>
      <c r="K13190" t="s">
        <v>42281</v>
      </c>
      <c r="L13190" t="s">
        <v>3296</v>
      </c>
      <c r="M13190" t="s">
        <v>46237</v>
      </c>
      <c r="N13190" t="s">
        <v>46569</v>
      </c>
      <c r="O13190" t="s">
        <v>46570</v>
      </c>
      <c r="P13190">
        <v>0</v>
      </c>
      <c r="Q13190">
        <v>3</v>
      </c>
      <c r="R13190" t="s">
        <v>46585</v>
      </c>
      <c r="S13190" t="s">
        <v>47146</v>
      </c>
      <c r="T13190" t="s">
        <v>48226</v>
      </c>
      <c r="U13190" t="s">
        <v>59360</v>
      </c>
      <c r="W13190" t="s">
        <v>46237</v>
      </c>
      <c r="X13190" t="s">
        <v>46586</v>
      </c>
    </row>
    <row r="13191" spans="1:24">
      <c r="A13191">
        <f>HYPERLINK("https://www.philgeps.gov.ph/GEPSNONPILOT/Tender/SplashBidNoticeAbstractUI.aspx?menuIndex=3&amp;refID=7039590&amp;Result=3","7039590")</f>
        <v>0</v>
      </c>
      <c r="B13191" t="s">
        <v>3294</v>
      </c>
      <c r="C13191" t="s">
        <v>16052</v>
      </c>
      <c r="D13191" t="s">
        <v>18828</v>
      </c>
      <c r="E13191" t="s">
        <v>30218</v>
      </c>
      <c r="F13191" t="s">
        <v>32664</v>
      </c>
      <c r="G13191" t="s">
        <v>32672</v>
      </c>
      <c r="H13191" t="s">
        <v>12635</v>
      </c>
      <c r="I13191" t="s">
        <v>6628</v>
      </c>
      <c r="J13191" t="s">
        <v>33177</v>
      </c>
      <c r="K13191" t="s">
        <v>42289</v>
      </c>
      <c r="M13191" t="s">
        <v>46233</v>
      </c>
      <c r="N13191" t="s">
        <v>46569</v>
      </c>
      <c r="O13191" t="s">
        <v>46570</v>
      </c>
      <c r="P13191">
        <v>0</v>
      </c>
      <c r="Q13191">
        <v>1</v>
      </c>
      <c r="R13191" t="s">
        <v>46585</v>
      </c>
      <c r="S13191" t="s">
        <v>47146</v>
      </c>
      <c r="T13191" t="s">
        <v>48282</v>
      </c>
      <c r="U13191" t="s">
        <v>59361</v>
      </c>
      <c r="W13191" t="s">
        <v>46233</v>
      </c>
      <c r="X13191" t="s">
        <v>46586</v>
      </c>
    </row>
    <row r="13192" spans="1:24">
      <c r="A13192">
        <f>HYPERLINK("https://www.philgeps.gov.ph/GEPSNONPILOT/Tender/SplashBidNoticeAbstractUI.aspx?menuIndex=3&amp;refID=7039842&amp;Result=3","7039842")</f>
        <v>0</v>
      </c>
      <c r="B13192" t="s">
        <v>1836</v>
      </c>
      <c r="C13192" t="s">
        <v>16053</v>
      </c>
      <c r="D13192" t="s">
        <v>18813</v>
      </c>
      <c r="E13192" t="s">
        <v>30219</v>
      </c>
      <c r="F13192" t="s">
        <v>32664</v>
      </c>
      <c r="G13192" t="s">
        <v>32672</v>
      </c>
      <c r="H13192" t="s">
        <v>12635</v>
      </c>
      <c r="I13192" t="s">
        <v>11464</v>
      </c>
      <c r="J13192" t="s">
        <v>34882</v>
      </c>
      <c r="K13192" t="s">
        <v>42281</v>
      </c>
      <c r="M13192" t="s">
        <v>44544</v>
      </c>
      <c r="N13192" t="s">
        <v>46569</v>
      </c>
      <c r="O13192" t="s">
        <v>46570</v>
      </c>
      <c r="Q13192">
        <v>2</v>
      </c>
      <c r="R13192" t="s">
        <v>46585</v>
      </c>
      <c r="S13192" t="s">
        <v>47201</v>
      </c>
      <c r="T13192" t="s">
        <v>48283</v>
      </c>
      <c r="U13192" t="s">
        <v>59362</v>
      </c>
      <c r="W13192" t="s">
        <v>44544</v>
      </c>
      <c r="X13192" t="s">
        <v>46586</v>
      </c>
    </row>
    <row r="13193" spans="1:24">
      <c r="A13193">
        <f>HYPERLINK("https://www.philgeps.gov.ph/GEPSNONPILOT/Tender/SplashBidNoticeAbstractUI.aspx?menuIndex=3&amp;refID=7039796&amp;Result=3","7039796")</f>
        <v>0</v>
      </c>
      <c r="B13193" t="s">
        <v>3239</v>
      </c>
      <c r="C13193" t="s">
        <v>16054</v>
      </c>
      <c r="D13193" t="s">
        <v>18848</v>
      </c>
      <c r="E13193" t="s">
        <v>30220</v>
      </c>
      <c r="F13193" t="s">
        <v>32664</v>
      </c>
      <c r="G13193" t="s">
        <v>32672</v>
      </c>
      <c r="H13193" t="s">
        <v>32683</v>
      </c>
      <c r="I13193" t="s">
        <v>10627</v>
      </c>
      <c r="J13193" t="s">
        <v>40620</v>
      </c>
      <c r="K13193" t="s">
        <v>42311</v>
      </c>
      <c r="M13193" t="s">
        <v>46235</v>
      </c>
      <c r="N13193" t="s">
        <v>46569</v>
      </c>
      <c r="O13193" t="s">
        <v>46570</v>
      </c>
      <c r="P13193">
        <v>0</v>
      </c>
      <c r="Q13193">
        <v>0</v>
      </c>
      <c r="R13193" t="s">
        <v>46585</v>
      </c>
      <c r="S13193" t="s">
        <v>47146</v>
      </c>
      <c r="T13193" t="s">
        <v>48300</v>
      </c>
      <c r="U13193" t="s">
        <v>59363</v>
      </c>
      <c r="V13193" t="s">
        <v>63077</v>
      </c>
      <c r="W13193" t="s">
        <v>46235</v>
      </c>
      <c r="X13193" t="s">
        <v>46586</v>
      </c>
    </row>
    <row r="13194" spans="1:24">
      <c r="A13194">
        <f>HYPERLINK("https://www.philgeps.gov.ph/GEPSNONPILOT/Tender/SplashBidNoticeAbstractUI.aspx?menuIndex=3&amp;refID=7039875&amp;Result=3","7039875")</f>
        <v>0</v>
      </c>
      <c r="B13194" t="s">
        <v>492</v>
      </c>
      <c r="C13194" t="s">
        <v>16055</v>
      </c>
      <c r="D13194" t="s">
        <v>18809</v>
      </c>
      <c r="E13194" t="s">
        <v>30221</v>
      </c>
      <c r="F13194" t="s">
        <v>32664</v>
      </c>
      <c r="G13194" t="s">
        <v>32672</v>
      </c>
      <c r="H13194" t="s">
        <v>32683</v>
      </c>
      <c r="I13194" t="s">
        <v>10627</v>
      </c>
      <c r="J13194" t="s">
        <v>33127</v>
      </c>
      <c r="K13194" t="s">
        <v>42281</v>
      </c>
      <c r="M13194" t="s">
        <v>43068</v>
      </c>
      <c r="N13194" t="s">
        <v>46569</v>
      </c>
      <c r="O13194" t="s">
        <v>46570</v>
      </c>
      <c r="P13194">
        <v>0</v>
      </c>
      <c r="Q13194">
        <v>1</v>
      </c>
      <c r="R13194" t="s">
        <v>46585</v>
      </c>
      <c r="S13194" t="s">
        <v>47146</v>
      </c>
      <c r="T13194" t="s">
        <v>48221</v>
      </c>
      <c r="U13194" t="s">
        <v>59364</v>
      </c>
      <c r="W13194" t="s">
        <v>43068</v>
      </c>
      <c r="X13194" t="s">
        <v>46586</v>
      </c>
    </row>
    <row r="13195" spans="1:24">
      <c r="A13195">
        <f>HYPERLINK("https://www.philgeps.gov.ph/GEPSNONPILOT/Tender/SplashBidNoticeAbstractUI.aspx?menuIndex=3&amp;refID=7039286&amp;Result=3","7039286")</f>
        <v>0</v>
      </c>
      <c r="B13195" t="s">
        <v>1775</v>
      </c>
      <c r="C13195" t="s">
        <v>16056</v>
      </c>
      <c r="D13195" t="s">
        <v>18792</v>
      </c>
      <c r="E13195" t="s">
        <v>30222</v>
      </c>
      <c r="F13195" t="s">
        <v>32664</v>
      </c>
      <c r="G13195" t="s">
        <v>32672</v>
      </c>
      <c r="H13195" t="s">
        <v>12635</v>
      </c>
      <c r="I13195" t="s">
        <v>14442</v>
      </c>
      <c r="J13195" t="s">
        <v>40621</v>
      </c>
      <c r="K13195" t="s">
        <v>42297</v>
      </c>
      <c r="L13195" t="s">
        <v>1775</v>
      </c>
      <c r="M13195" t="s">
        <v>44477</v>
      </c>
      <c r="N13195" t="s">
        <v>46569</v>
      </c>
      <c r="O13195" t="s">
        <v>46570</v>
      </c>
      <c r="P13195">
        <v>0</v>
      </c>
      <c r="Q13195">
        <v>1</v>
      </c>
      <c r="R13195" t="s">
        <v>46585</v>
      </c>
      <c r="S13195" t="s">
        <v>47146</v>
      </c>
      <c r="T13195" t="s">
        <v>48448</v>
      </c>
      <c r="U13195" t="s">
        <v>50281</v>
      </c>
      <c r="V13195" t="s">
        <v>63080</v>
      </c>
      <c r="W13195" t="s">
        <v>44477</v>
      </c>
      <c r="X13195" t="s">
        <v>46586</v>
      </c>
    </row>
    <row r="13196" spans="1:24">
      <c r="A13196">
        <f>HYPERLINK("https://www.philgeps.gov.ph/GEPSNONPILOT/Tender/SplashBidNoticeAbstractUI.aspx?menuIndex=3&amp;refID=7039818&amp;Result=3","7039818")</f>
        <v>0</v>
      </c>
      <c r="B13196" t="s">
        <v>1093</v>
      </c>
      <c r="C13196" t="s">
        <v>16057</v>
      </c>
      <c r="D13196" t="s">
        <v>18784</v>
      </c>
      <c r="E13196" t="s">
        <v>30223</v>
      </c>
      <c r="F13196" t="s">
        <v>32664</v>
      </c>
      <c r="G13196" t="s">
        <v>32671</v>
      </c>
      <c r="H13196" t="s">
        <v>12635</v>
      </c>
      <c r="I13196" t="s">
        <v>6118</v>
      </c>
      <c r="J13196" t="s">
        <v>40622</v>
      </c>
      <c r="K13196" t="s">
        <v>42281</v>
      </c>
      <c r="M13196" t="s">
        <v>43720</v>
      </c>
      <c r="N13196" t="s">
        <v>46569</v>
      </c>
      <c r="O13196" t="s">
        <v>46570</v>
      </c>
      <c r="Q13196">
        <v>0</v>
      </c>
      <c r="R13196" t="s">
        <v>46585</v>
      </c>
      <c r="S13196" t="s">
        <v>47202</v>
      </c>
      <c r="T13196" t="s">
        <v>48307</v>
      </c>
      <c r="U13196" t="s">
        <v>59365</v>
      </c>
      <c r="V13196" t="s">
        <v>61652</v>
      </c>
      <c r="W13196" t="s">
        <v>43720</v>
      </c>
      <c r="X13196" t="s">
        <v>46586</v>
      </c>
    </row>
    <row r="13197" spans="1:24">
      <c r="A13197">
        <f>HYPERLINK("https://www.philgeps.gov.ph/GEPSNONPILOT/Tender/SplashBidNoticeAbstractUI.aspx?menuIndex=3&amp;refID=7039819&amp;Result=3","7039819")</f>
        <v>0</v>
      </c>
      <c r="B13197" t="s">
        <v>592</v>
      </c>
      <c r="C13197" t="s">
        <v>16058</v>
      </c>
      <c r="D13197" t="s">
        <v>18820</v>
      </c>
      <c r="E13197" t="s">
        <v>30224</v>
      </c>
      <c r="F13197" t="s">
        <v>32664</v>
      </c>
      <c r="G13197" t="s">
        <v>32672</v>
      </c>
      <c r="H13197" t="s">
        <v>12635</v>
      </c>
      <c r="I13197" t="s">
        <v>32738</v>
      </c>
      <c r="J13197" t="s">
        <v>40623</v>
      </c>
      <c r="K13197" t="s">
        <v>42283</v>
      </c>
      <c r="M13197" t="s">
        <v>43411</v>
      </c>
      <c r="N13197" t="s">
        <v>46569</v>
      </c>
      <c r="O13197" t="s">
        <v>46570</v>
      </c>
      <c r="Q13197">
        <v>3</v>
      </c>
      <c r="R13197" t="s">
        <v>46585</v>
      </c>
      <c r="S13197" t="s">
        <v>47203</v>
      </c>
      <c r="T13197" t="s">
        <v>48279</v>
      </c>
      <c r="U13197" t="s">
        <v>59355</v>
      </c>
      <c r="V13197" t="s">
        <v>63079</v>
      </c>
      <c r="W13197" t="s">
        <v>43411</v>
      </c>
      <c r="X13197" t="s">
        <v>46586</v>
      </c>
    </row>
    <row r="13198" spans="1:24">
      <c r="A13198">
        <f>HYPERLINK("https://www.philgeps.gov.ph/GEPSNONPILOT/Tender/SplashBidNoticeAbstractUI.aspx?menuIndex=3&amp;refID=7040041&amp;Result=3","7040041")</f>
        <v>0</v>
      </c>
      <c r="B13198" t="s">
        <v>797</v>
      </c>
      <c r="C13198" t="s">
        <v>16059</v>
      </c>
      <c r="D13198" t="s">
        <v>18792</v>
      </c>
      <c r="E13198" t="s">
        <v>30225</v>
      </c>
      <c r="F13198" t="s">
        <v>32664</v>
      </c>
      <c r="G13198" t="s">
        <v>32672</v>
      </c>
      <c r="H13198" t="s">
        <v>12635</v>
      </c>
      <c r="I13198" t="s">
        <v>32704</v>
      </c>
      <c r="J13198" t="s">
        <v>40624</v>
      </c>
      <c r="K13198" t="s">
        <v>42298</v>
      </c>
      <c r="M13198" t="s">
        <v>43389</v>
      </c>
      <c r="N13198" t="s">
        <v>46569</v>
      </c>
      <c r="O13198" t="s">
        <v>46570</v>
      </c>
      <c r="Q13198">
        <v>13</v>
      </c>
      <c r="R13198" t="s">
        <v>46585</v>
      </c>
      <c r="S13198" t="s">
        <v>46821</v>
      </c>
      <c r="T13198" t="s">
        <v>48717</v>
      </c>
      <c r="U13198" t="s">
        <v>59366</v>
      </c>
      <c r="V13198" t="s">
        <v>63081</v>
      </c>
      <c r="W13198" t="s">
        <v>43389</v>
      </c>
      <c r="X13198" t="s">
        <v>46586</v>
      </c>
    </row>
    <row r="13199" spans="1:24">
      <c r="A13199">
        <f>HYPERLINK("https://www.philgeps.gov.ph/GEPSNONPILOT/Tender/SplashBidNoticeAbstractUI.aspx?menuIndex=3&amp;refID=7040034&amp;Result=3","7040034")</f>
        <v>0</v>
      </c>
      <c r="B13199" t="s">
        <v>502</v>
      </c>
      <c r="C13199" t="s">
        <v>16060</v>
      </c>
      <c r="D13199" t="s">
        <v>18782</v>
      </c>
      <c r="E13199" t="s">
        <v>30226</v>
      </c>
      <c r="F13199" t="s">
        <v>32664</v>
      </c>
      <c r="G13199" t="s">
        <v>32672</v>
      </c>
      <c r="H13199" t="s">
        <v>32683</v>
      </c>
      <c r="I13199" t="s">
        <v>10627</v>
      </c>
      <c r="J13199" t="s">
        <v>40625</v>
      </c>
      <c r="K13199" t="s">
        <v>42327</v>
      </c>
      <c r="M13199" t="s">
        <v>43078</v>
      </c>
      <c r="N13199" t="s">
        <v>46569</v>
      </c>
      <c r="O13199" t="s">
        <v>46570</v>
      </c>
      <c r="P13199">
        <v>0</v>
      </c>
      <c r="Q13199">
        <v>3</v>
      </c>
      <c r="R13199" t="s">
        <v>46585</v>
      </c>
      <c r="S13199" t="s">
        <v>47146</v>
      </c>
      <c r="T13199" t="s">
        <v>48580</v>
      </c>
      <c r="U13199" t="s">
        <v>59367</v>
      </c>
      <c r="W13199" t="s">
        <v>43078</v>
      </c>
      <c r="X13199" t="s">
        <v>46586</v>
      </c>
    </row>
    <row r="13200" spans="1:24">
      <c r="A13200">
        <f>HYPERLINK("https://www.philgeps.gov.ph/GEPSNONPILOT/Tender/SplashBidNoticeAbstractUI.aspx?menuIndex=3&amp;refID=7040028&amp;Result=3","7040028")</f>
        <v>0</v>
      </c>
      <c r="B13200" t="s">
        <v>3029</v>
      </c>
      <c r="C13200" t="s">
        <v>16061</v>
      </c>
      <c r="D13200" t="s">
        <v>18786</v>
      </c>
      <c r="E13200" t="s">
        <v>30227</v>
      </c>
      <c r="F13200" t="s">
        <v>32664</v>
      </c>
      <c r="G13200" t="s">
        <v>32672</v>
      </c>
      <c r="H13200" t="s">
        <v>32683</v>
      </c>
      <c r="I13200" t="s">
        <v>10627</v>
      </c>
      <c r="J13200" t="s">
        <v>40626</v>
      </c>
      <c r="K13200" t="s">
        <v>42298</v>
      </c>
      <c r="M13200" t="s">
        <v>45902</v>
      </c>
      <c r="N13200" t="s">
        <v>46569</v>
      </c>
      <c r="O13200" t="s">
        <v>46570</v>
      </c>
      <c r="P13200">
        <v>0</v>
      </c>
      <c r="Q13200">
        <v>0</v>
      </c>
      <c r="R13200" t="s">
        <v>46585</v>
      </c>
      <c r="S13200" t="s">
        <v>47146</v>
      </c>
      <c r="T13200" t="s">
        <v>48228</v>
      </c>
      <c r="U13200" t="s">
        <v>59368</v>
      </c>
      <c r="W13200" t="s">
        <v>45902</v>
      </c>
      <c r="X13200" t="s">
        <v>46586</v>
      </c>
    </row>
    <row r="13201" spans="1:24">
      <c r="A13201">
        <f>HYPERLINK("https://www.philgeps.gov.ph/GEPSNONPILOT/Tender/SplashBidNoticeAbstractUI.aspx?menuIndex=3&amp;refID=7039807&amp;Result=3","7039807")</f>
        <v>0</v>
      </c>
      <c r="B13201" t="s">
        <v>2917</v>
      </c>
      <c r="C13201" t="s">
        <v>16062</v>
      </c>
      <c r="D13201" t="s">
        <v>18781</v>
      </c>
      <c r="E13201" t="s">
        <v>30228</v>
      </c>
      <c r="F13201" t="s">
        <v>32664</v>
      </c>
      <c r="G13201" t="s">
        <v>32672</v>
      </c>
      <c r="H13201" t="s">
        <v>12635</v>
      </c>
      <c r="I13201" t="s">
        <v>11464</v>
      </c>
      <c r="J13201" t="s">
        <v>34487</v>
      </c>
      <c r="K13201" t="s">
        <v>42289</v>
      </c>
      <c r="M13201" t="s">
        <v>45770</v>
      </c>
      <c r="N13201" t="s">
        <v>46569</v>
      </c>
      <c r="O13201" t="s">
        <v>46570</v>
      </c>
      <c r="P13201">
        <v>0</v>
      </c>
      <c r="Q13201">
        <v>2</v>
      </c>
      <c r="R13201" t="s">
        <v>46585</v>
      </c>
      <c r="S13201" t="s">
        <v>47146</v>
      </c>
      <c r="T13201" t="s">
        <v>48276</v>
      </c>
      <c r="U13201" t="s">
        <v>59369</v>
      </c>
      <c r="W13201" t="s">
        <v>45770</v>
      </c>
      <c r="X13201" t="s">
        <v>46586</v>
      </c>
    </row>
    <row r="13202" spans="1:24">
      <c r="A13202">
        <f>HYPERLINK("https://www.philgeps.gov.ph/GEPSNONPILOT/Tender/SplashBidNoticeAbstractUI.aspx?menuIndex=3&amp;refID=7039958&amp;Result=3","7039958")</f>
        <v>0</v>
      </c>
      <c r="B13202" t="s">
        <v>2032</v>
      </c>
      <c r="C13202" t="s">
        <v>16063</v>
      </c>
      <c r="D13202" t="s">
        <v>18845</v>
      </c>
      <c r="E13202" t="s">
        <v>30229</v>
      </c>
      <c r="F13202" t="s">
        <v>32664</v>
      </c>
      <c r="G13202" t="s">
        <v>32672</v>
      </c>
      <c r="H13202" t="s">
        <v>12635</v>
      </c>
      <c r="I13202" t="s">
        <v>4439</v>
      </c>
      <c r="J13202" t="s">
        <v>40627</v>
      </c>
      <c r="K13202" t="s">
        <v>42283</v>
      </c>
      <c r="M13202" t="s">
        <v>44776</v>
      </c>
      <c r="N13202" t="s">
        <v>46569</v>
      </c>
      <c r="O13202" t="s">
        <v>46570</v>
      </c>
      <c r="P13202">
        <v>0</v>
      </c>
      <c r="Q13202">
        <v>0</v>
      </c>
      <c r="R13202" t="s">
        <v>46585</v>
      </c>
      <c r="S13202" t="s">
        <v>47146</v>
      </c>
      <c r="T13202" t="s">
        <v>48716</v>
      </c>
      <c r="U13202" t="s">
        <v>53915</v>
      </c>
      <c r="V13202" t="s">
        <v>63082</v>
      </c>
      <c r="W13202" t="s">
        <v>44776</v>
      </c>
      <c r="X13202" t="s">
        <v>46586</v>
      </c>
    </row>
    <row r="13203" spans="1:24">
      <c r="A13203">
        <f>HYPERLINK("https://www.philgeps.gov.ph/GEPSNONPILOT/Tender/SplashBidNoticeAbstractUI.aspx?menuIndex=3&amp;refID=7040008&amp;Result=3","7040008")</f>
        <v>0</v>
      </c>
      <c r="B13203" t="s">
        <v>797</v>
      </c>
      <c r="C13203" t="s">
        <v>16064</v>
      </c>
      <c r="D13203" t="s">
        <v>18792</v>
      </c>
      <c r="E13203" t="s">
        <v>30230</v>
      </c>
      <c r="F13203" t="s">
        <v>32664</v>
      </c>
      <c r="G13203" t="s">
        <v>32672</v>
      </c>
      <c r="H13203" t="s">
        <v>12635</v>
      </c>
      <c r="I13203" t="s">
        <v>6168</v>
      </c>
      <c r="J13203" t="s">
        <v>34329</v>
      </c>
      <c r="K13203" t="s">
        <v>42281</v>
      </c>
      <c r="M13203" t="s">
        <v>43389</v>
      </c>
      <c r="N13203" t="s">
        <v>46569</v>
      </c>
      <c r="O13203" t="s">
        <v>46570</v>
      </c>
      <c r="Q13203">
        <v>0</v>
      </c>
      <c r="R13203" t="s">
        <v>46585</v>
      </c>
      <c r="S13203" t="s">
        <v>47204</v>
      </c>
      <c r="T13203" t="s">
        <v>48718</v>
      </c>
      <c r="U13203" t="s">
        <v>59370</v>
      </c>
      <c r="V13203" t="s">
        <v>63083</v>
      </c>
      <c r="W13203" t="s">
        <v>43389</v>
      </c>
      <c r="X13203" t="s">
        <v>46586</v>
      </c>
    </row>
    <row r="13204" spans="1:24">
      <c r="A13204">
        <f>HYPERLINK("https://www.philgeps.gov.ph/GEPSNONPILOT/Tender/SplashBidNoticeAbstractUI.aspx?menuIndex=3&amp;refID=7039940&amp;Result=3","7039940")</f>
        <v>0</v>
      </c>
      <c r="B13204" t="s">
        <v>3280</v>
      </c>
      <c r="C13204" t="s">
        <v>13823</v>
      </c>
      <c r="D13204" t="s">
        <v>18859</v>
      </c>
      <c r="E13204" t="s">
        <v>30231</v>
      </c>
      <c r="F13204" t="s">
        <v>32664</v>
      </c>
      <c r="G13204" t="s">
        <v>32672</v>
      </c>
      <c r="H13204" t="s">
        <v>12635</v>
      </c>
      <c r="I13204" t="s">
        <v>7759</v>
      </c>
      <c r="J13204" t="s">
        <v>40628</v>
      </c>
      <c r="K13204" t="s">
        <v>42305</v>
      </c>
      <c r="M13204" t="s">
        <v>46217</v>
      </c>
      <c r="N13204" t="s">
        <v>46569</v>
      </c>
      <c r="O13204" t="s">
        <v>46570</v>
      </c>
      <c r="P13204">
        <v>0</v>
      </c>
      <c r="Q13204">
        <v>0</v>
      </c>
      <c r="R13204" t="s">
        <v>46585</v>
      </c>
      <c r="S13204" t="s">
        <v>47146</v>
      </c>
      <c r="T13204" t="s">
        <v>48237</v>
      </c>
      <c r="U13204" t="s">
        <v>59371</v>
      </c>
      <c r="W13204" t="s">
        <v>46217</v>
      </c>
      <c r="X13204" t="s">
        <v>46586</v>
      </c>
    </row>
    <row r="13205" spans="1:24">
      <c r="A13205">
        <f>HYPERLINK("https://www.philgeps.gov.ph/GEPSNONPILOT/Tender/SplashBidNoticeAbstractUI.aspx?menuIndex=3&amp;refID=7040003&amp;Result=3","7040003")</f>
        <v>0</v>
      </c>
      <c r="B13205" t="s">
        <v>1734</v>
      </c>
      <c r="C13205" t="s">
        <v>16065</v>
      </c>
      <c r="D13205" t="s">
        <v>18789</v>
      </c>
      <c r="E13205" t="s">
        <v>30232</v>
      </c>
      <c r="F13205" t="s">
        <v>32664</v>
      </c>
      <c r="G13205" t="s">
        <v>32672</v>
      </c>
      <c r="H13205" t="s">
        <v>12635</v>
      </c>
      <c r="I13205" t="s">
        <v>7429</v>
      </c>
      <c r="J13205" t="s">
        <v>40629</v>
      </c>
      <c r="K13205" t="s">
        <v>42283</v>
      </c>
      <c r="M13205" t="s">
        <v>46229</v>
      </c>
      <c r="N13205" t="s">
        <v>46569</v>
      </c>
      <c r="O13205" t="s">
        <v>46570</v>
      </c>
      <c r="P13205">
        <v>0</v>
      </c>
      <c r="Q13205">
        <v>2</v>
      </c>
      <c r="R13205" t="s">
        <v>46585</v>
      </c>
      <c r="S13205" t="s">
        <v>47146</v>
      </c>
      <c r="T13205" t="s">
        <v>48383</v>
      </c>
      <c r="U13205" t="s">
        <v>59372</v>
      </c>
      <c r="W13205" t="s">
        <v>46229</v>
      </c>
      <c r="X13205" t="s">
        <v>46586</v>
      </c>
    </row>
    <row r="13206" spans="1:24">
      <c r="A13206">
        <f>HYPERLINK("https://www.philgeps.gov.ph/GEPSNONPILOT/Tender/SplashBidNoticeAbstractUI.aspx?menuIndex=3&amp;refID=7039928&amp;Result=3","7039928")</f>
        <v>0</v>
      </c>
      <c r="B13206" t="s">
        <v>1970</v>
      </c>
      <c r="C13206" t="s">
        <v>16066</v>
      </c>
      <c r="D13206" t="s">
        <v>18816</v>
      </c>
      <c r="E13206" t="s">
        <v>19536</v>
      </c>
      <c r="F13206" t="s">
        <v>32664</v>
      </c>
      <c r="G13206" t="s">
        <v>32672</v>
      </c>
      <c r="H13206" t="s">
        <v>32683</v>
      </c>
      <c r="I13206" t="s">
        <v>10627</v>
      </c>
      <c r="J13206" t="s">
        <v>40630</v>
      </c>
      <c r="K13206" t="s">
        <v>42327</v>
      </c>
      <c r="M13206" t="s">
        <v>44704</v>
      </c>
      <c r="N13206" t="s">
        <v>46569</v>
      </c>
      <c r="O13206" t="s">
        <v>46570</v>
      </c>
      <c r="P13206">
        <v>0</v>
      </c>
      <c r="Q13206">
        <v>5</v>
      </c>
      <c r="R13206" t="s">
        <v>46585</v>
      </c>
      <c r="S13206" t="s">
        <v>47146</v>
      </c>
      <c r="T13206" t="s">
        <v>48284</v>
      </c>
      <c r="U13206" t="s">
        <v>59373</v>
      </c>
      <c r="W13206" t="s">
        <v>44704</v>
      </c>
      <c r="X13206" t="s">
        <v>46586</v>
      </c>
    </row>
    <row r="13207" spans="1:24">
      <c r="A13207">
        <f>HYPERLINK("https://www.philgeps.gov.ph/GEPSNONPILOT/Tender/SplashBidNoticeAbstractUI.aspx?menuIndex=3&amp;refID=7039915&amp;Result=3","7039915")</f>
        <v>0</v>
      </c>
      <c r="B13207" t="s">
        <v>592</v>
      </c>
      <c r="C13207" t="s">
        <v>16067</v>
      </c>
      <c r="D13207" t="s">
        <v>18846</v>
      </c>
      <c r="E13207" t="s">
        <v>30233</v>
      </c>
      <c r="F13207" t="s">
        <v>32664</v>
      </c>
      <c r="G13207" t="s">
        <v>32672</v>
      </c>
      <c r="H13207" t="s">
        <v>12635</v>
      </c>
      <c r="I13207" t="s">
        <v>32738</v>
      </c>
      <c r="J13207" t="s">
        <v>40631</v>
      </c>
      <c r="K13207" t="s">
        <v>42283</v>
      </c>
      <c r="M13207" t="s">
        <v>43411</v>
      </c>
      <c r="N13207" t="s">
        <v>46569</v>
      </c>
      <c r="O13207" t="s">
        <v>46570</v>
      </c>
      <c r="Q13207">
        <v>2</v>
      </c>
      <c r="R13207" t="s">
        <v>46585</v>
      </c>
      <c r="S13207" t="s">
        <v>47205</v>
      </c>
      <c r="T13207" t="s">
        <v>48279</v>
      </c>
      <c r="U13207" t="s">
        <v>59355</v>
      </c>
      <c r="V13207" t="s">
        <v>63079</v>
      </c>
      <c r="W13207" t="s">
        <v>43411</v>
      </c>
      <c r="X13207" t="s">
        <v>46586</v>
      </c>
    </row>
    <row r="13208" spans="1:24">
      <c r="A13208">
        <f>HYPERLINK("https://www.philgeps.gov.ph/GEPSNONPILOT/Tender/SplashBidNoticeAbstractUI.aspx?menuIndex=3&amp;refID=7040199&amp;Result=3","7040199")</f>
        <v>0</v>
      </c>
      <c r="B13208" t="s">
        <v>638</v>
      </c>
      <c r="C13208" t="s">
        <v>16068</v>
      </c>
      <c r="E13208" t="s">
        <v>30234</v>
      </c>
      <c r="F13208" t="s">
        <v>32664</v>
      </c>
      <c r="G13208" t="s">
        <v>32672</v>
      </c>
      <c r="H13208" t="s">
        <v>12635</v>
      </c>
      <c r="I13208" t="s">
        <v>10627</v>
      </c>
      <c r="J13208" t="s">
        <v>32943</v>
      </c>
      <c r="K13208" t="s">
        <v>42345</v>
      </c>
      <c r="M13208" t="s">
        <v>43221</v>
      </c>
      <c r="N13208" t="s">
        <v>46569</v>
      </c>
      <c r="O13208" t="s">
        <v>46570</v>
      </c>
      <c r="P13208">
        <v>0</v>
      </c>
      <c r="Q13208">
        <v>3</v>
      </c>
      <c r="R13208" t="s">
        <v>46585</v>
      </c>
      <c r="S13208" t="s">
        <v>47146</v>
      </c>
      <c r="T13208" t="s">
        <v>48282</v>
      </c>
      <c r="U13208" t="s">
        <v>59374</v>
      </c>
      <c r="W13208" t="s">
        <v>43221</v>
      </c>
      <c r="X13208" t="s">
        <v>46586</v>
      </c>
    </row>
    <row r="13209" spans="1:24">
      <c r="A13209">
        <f>HYPERLINK("https://www.philgeps.gov.ph/GEPSNONPILOT/Tender/SplashBidNoticeAbstractUI.aspx?menuIndex=3&amp;refID=7039959&amp;Result=3","7039959")</f>
        <v>0</v>
      </c>
      <c r="B13209" t="s">
        <v>2794</v>
      </c>
      <c r="C13209" t="s">
        <v>16069</v>
      </c>
      <c r="D13209" t="s">
        <v>18797</v>
      </c>
      <c r="E13209" t="s">
        <v>30235</v>
      </c>
      <c r="F13209" t="s">
        <v>32664</v>
      </c>
      <c r="G13209" t="s">
        <v>32672</v>
      </c>
      <c r="H13209" t="s">
        <v>12635</v>
      </c>
      <c r="I13209" t="s">
        <v>32699</v>
      </c>
      <c r="J13209" t="s">
        <v>40632</v>
      </c>
      <c r="K13209" t="s">
        <v>42281</v>
      </c>
      <c r="M13209" t="s">
        <v>46238</v>
      </c>
      <c r="N13209" t="s">
        <v>46569</v>
      </c>
      <c r="O13209" t="s">
        <v>46570</v>
      </c>
      <c r="P13209">
        <v>0</v>
      </c>
      <c r="Q13209">
        <v>7</v>
      </c>
      <c r="R13209" t="s">
        <v>46585</v>
      </c>
      <c r="S13209" t="s">
        <v>47146</v>
      </c>
      <c r="T13209" t="s">
        <v>48282</v>
      </c>
      <c r="U13209" t="s">
        <v>59375</v>
      </c>
      <c r="W13209" t="s">
        <v>63591</v>
      </c>
      <c r="X13209" t="s">
        <v>46586</v>
      </c>
    </row>
    <row r="13210" spans="1:24">
      <c r="A13210">
        <f>HYPERLINK("https://www.philgeps.gov.ph/GEPSNONPILOT/Tender/SplashBidNoticeAbstractUI.aspx?menuIndex=3&amp;refID=7039935&amp;Result=3","7039935")</f>
        <v>0</v>
      </c>
      <c r="B13210" t="s">
        <v>988</v>
      </c>
      <c r="C13210" t="s">
        <v>16070</v>
      </c>
      <c r="D13210" t="s">
        <v>18784</v>
      </c>
      <c r="E13210" t="s">
        <v>30236</v>
      </c>
      <c r="F13210" t="s">
        <v>32664</v>
      </c>
      <c r="G13210" t="s">
        <v>32672</v>
      </c>
      <c r="H13210" t="s">
        <v>12635</v>
      </c>
      <c r="I13210" t="s">
        <v>32701</v>
      </c>
      <c r="J13210" t="s">
        <v>39750</v>
      </c>
      <c r="K13210" t="s">
        <v>42283</v>
      </c>
      <c r="M13210" t="s">
        <v>44301</v>
      </c>
      <c r="N13210" t="s">
        <v>46569</v>
      </c>
      <c r="O13210" t="s">
        <v>46570</v>
      </c>
      <c r="Q13210">
        <v>1</v>
      </c>
      <c r="R13210" t="s">
        <v>46585</v>
      </c>
      <c r="S13210" t="s">
        <v>47206</v>
      </c>
      <c r="T13210" t="s">
        <v>48312</v>
      </c>
      <c r="U13210" t="s">
        <v>59376</v>
      </c>
      <c r="W13210" t="s">
        <v>44301</v>
      </c>
      <c r="X13210" t="s">
        <v>46586</v>
      </c>
    </row>
    <row r="13211" spans="1:24">
      <c r="A13211">
        <f>HYPERLINK("https://www.philgeps.gov.ph/GEPSNONPILOT/Tender/SplashBidNoticeAbstractUI.aspx?menuIndex=3&amp;refID=7039931&amp;Result=3","7039931")</f>
        <v>0</v>
      </c>
      <c r="B13211" t="s">
        <v>247</v>
      </c>
      <c r="C13211" t="s">
        <v>16071</v>
      </c>
      <c r="D13211" t="s">
        <v>18786</v>
      </c>
      <c r="E13211" t="s">
        <v>30237</v>
      </c>
      <c r="F13211" t="s">
        <v>32664</v>
      </c>
      <c r="G13211" t="s">
        <v>32671</v>
      </c>
      <c r="H13211" t="s">
        <v>12635</v>
      </c>
      <c r="I13211" t="s">
        <v>32706</v>
      </c>
      <c r="J13211" t="s">
        <v>40633</v>
      </c>
      <c r="K13211" t="s">
        <v>42289</v>
      </c>
      <c r="M13211" t="s">
        <v>42812</v>
      </c>
      <c r="N13211" t="s">
        <v>46569</v>
      </c>
      <c r="O13211" t="s">
        <v>46570</v>
      </c>
      <c r="Q13211">
        <v>0</v>
      </c>
      <c r="R13211" t="s">
        <v>46585</v>
      </c>
      <c r="S13211" t="s">
        <v>47207</v>
      </c>
      <c r="T13211" t="s">
        <v>48254</v>
      </c>
      <c r="U13211" t="s">
        <v>59377</v>
      </c>
      <c r="V13211" t="s">
        <v>63084</v>
      </c>
      <c r="W13211" t="s">
        <v>42812</v>
      </c>
      <c r="X13211" t="s">
        <v>46586</v>
      </c>
    </row>
    <row r="13212" spans="1:24">
      <c r="A13212">
        <f>HYPERLINK("https://www.philgeps.gov.ph/GEPSNONPILOT/Tender/SplashBidNoticeAbstractUI.aspx?menuIndex=3&amp;refID=7040159&amp;Result=3","7040159")</f>
        <v>0</v>
      </c>
      <c r="B13212" t="s">
        <v>638</v>
      </c>
      <c r="C13212" t="s">
        <v>16072</v>
      </c>
      <c r="E13212" t="s">
        <v>30238</v>
      </c>
      <c r="F13212" t="s">
        <v>32664</v>
      </c>
      <c r="G13212" t="s">
        <v>32672</v>
      </c>
      <c r="H13212" t="s">
        <v>12635</v>
      </c>
      <c r="I13212" t="s">
        <v>10627</v>
      </c>
      <c r="J13212" t="s">
        <v>32943</v>
      </c>
      <c r="K13212" t="s">
        <v>42345</v>
      </c>
      <c r="M13212" t="s">
        <v>43221</v>
      </c>
      <c r="N13212" t="s">
        <v>46569</v>
      </c>
      <c r="O13212" t="s">
        <v>46570</v>
      </c>
      <c r="P13212">
        <v>0</v>
      </c>
      <c r="Q13212">
        <v>1</v>
      </c>
      <c r="R13212" t="s">
        <v>46585</v>
      </c>
      <c r="S13212" t="s">
        <v>47146</v>
      </c>
      <c r="T13212" t="s">
        <v>48282</v>
      </c>
      <c r="U13212" t="s">
        <v>59378</v>
      </c>
      <c r="W13212" t="s">
        <v>43221</v>
      </c>
      <c r="X13212" t="s">
        <v>46586</v>
      </c>
    </row>
    <row r="13213" spans="1:24">
      <c r="A13213">
        <f>HYPERLINK("https://www.philgeps.gov.ph/GEPSNONPILOT/Tender/SplashBidNoticeAbstractUI.aspx?menuIndex=3&amp;refID=7040157&amp;Result=3","7040157")</f>
        <v>0</v>
      </c>
      <c r="B13213" t="s">
        <v>287</v>
      </c>
      <c r="C13213" t="s">
        <v>16073</v>
      </c>
      <c r="D13213" t="s">
        <v>18847</v>
      </c>
      <c r="E13213" t="s">
        <v>30239</v>
      </c>
      <c r="F13213" t="s">
        <v>32664</v>
      </c>
      <c r="G13213" t="s">
        <v>32672</v>
      </c>
      <c r="H13213" t="s">
        <v>32683</v>
      </c>
      <c r="I13213" t="s">
        <v>10627</v>
      </c>
      <c r="J13213" t="s">
        <v>40634</v>
      </c>
      <c r="K13213" t="s">
        <v>42508</v>
      </c>
      <c r="M13213" t="s">
        <v>42854</v>
      </c>
      <c r="N13213" t="s">
        <v>46569</v>
      </c>
      <c r="O13213" t="s">
        <v>46570</v>
      </c>
      <c r="Q13213">
        <v>0</v>
      </c>
      <c r="R13213" t="s">
        <v>46585</v>
      </c>
      <c r="S13213" t="s">
        <v>46848</v>
      </c>
      <c r="T13213" t="s">
        <v>48283</v>
      </c>
      <c r="U13213" t="s">
        <v>59379</v>
      </c>
      <c r="V13213" t="s">
        <v>63085</v>
      </c>
      <c r="W13213" t="s">
        <v>42854</v>
      </c>
      <c r="X13213" t="s">
        <v>46586</v>
      </c>
    </row>
    <row r="13214" spans="1:24">
      <c r="A13214">
        <f>HYPERLINK("https://www.philgeps.gov.ph/GEPSNONPILOT/Tender/SplashBidNoticeAbstractUI.aspx?menuIndex=3&amp;refID=7040151&amp;Result=3","7040151")</f>
        <v>0</v>
      </c>
      <c r="B13214" t="s">
        <v>1411</v>
      </c>
      <c r="C13214" t="s">
        <v>16074</v>
      </c>
      <c r="D13214" t="s">
        <v>18790</v>
      </c>
      <c r="E13214" t="s">
        <v>30240</v>
      </c>
      <c r="F13214" t="s">
        <v>32664</v>
      </c>
      <c r="G13214" t="s">
        <v>32672</v>
      </c>
      <c r="H13214" t="s">
        <v>12635</v>
      </c>
      <c r="I13214" t="s">
        <v>4439</v>
      </c>
      <c r="J13214" t="s">
        <v>40635</v>
      </c>
      <c r="K13214" t="s">
        <v>42281</v>
      </c>
      <c r="M13214" t="s">
        <v>45443</v>
      </c>
      <c r="N13214" t="s">
        <v>46569</v>
      </c>
      <c r="O13214" t="s">
        <v>46570</v>
      </c>
      <c r="P13214">
        <v>0</v>
      </c>
      <c r="Q13214">
        <v>2</v>
      </c>
      <c r="R13214" t="s">
        <v>46585</v>
      </c>
      <c r="S13214" t="s">
        <v>47146</v>
      </c>
      <c r="T13214" t="s">
        <v>48283</v>
      </c>
      <c r="U13214" t="s">
        <v>59380</v>
      </c>
      <c r="W13214" t="s">
        <v>45443</v>
      </c>
      <c r="X13214" t="s">
        <v>46586</v>
      </c>
    </row>
    <row r="13215" spans="1:24">
      <c r="A13215">
        <f>HYPERLINK("https://www.philgeps.gov.ph/GEPSNONPILOT/Tender/SplashBidNoticeAbstractUI.aspx?menuIndex=3&amp;refID=7040145&amp;Result=3","7040145")</f>
        <v>0</v>
      </c>
      <c r="B13215" t="s">
        <v>492</v>
      </c>
      <c r="C13215" t="s">
        <v>16075</v>
      </c>
      <c r="D13215" t="s">
        <v>18809</v>
      </c>
      <c r="E13215" t="s">
        <v>30241</v>
      </c>
      <c r="F13215" t="s">
        <v>32664</v>
      </c>
      <c r="G13215" t="s">
        <v>32672</v>
      </c>
      <c r="H13215" t="s">
        <v>32683</v>
      </c>
      <c r="I13215" t="s">
        <v>10627</v>
      </c>
      <c r="J13215" t="s">
        <v>34379</v>
      </c>
      <c r="K13215" t="s">
        <v>42311</v>
      </c>
      <c r="M13215" t="s">
        <v>43068</v>
      </c>
      <c r="N13215" t="s">
        <v>46569</v>
      </c>
      <c r="O13215" t="s">
        <v>46570</v>
      </c>
      <c r="P13215">
        <v>0</v>
      </c>
      <c r="Q13215">
        <v>0</v>
      </c>
      <c r="R13215" t="s">
        <v>46585</v>
      </c>
      <c r="S13215" t="s">
        <v>47146</v>
      </c>
      <c r="T13215" t="s">
        <v>48221</v>
      </c>
      <c r="U13215" t="s">
        <v>59364</v>
      </c>
      <c r="W13215" t="s">
        <v>43068</v>
      </c>
      <c r="X13215" t="s">
        <v>46586</v>
      </c>
    </row>
    <row r="13216" spans="1:24">
      <c r="A13216">
        <f>HYPERLINK("https://www.philgeps.gov.ph/GEPSNONPILOT/Tender/SplashBidNoticeAbstractUI.aspx?menuIndex=3&amp;refID=7040129&amp;Result=3","7040129")</f>
        <v>0</v>
      </c>
      <c r="B13216" t="s">
        <v>502</v>
      </c>
      <c r="C13216" t="s">
        <v>16076</v>
      </c>
      <c r="D13216" t="s">
        <v>18782</v>
      </c>
      <c r="E13216" t="s">
        <v>30242</v>
      </c>
      <c r="F13216" t="s">
        <v>32664</v>
      </c>
      <c r="G13216" t="s">
        <v>32672</v>
      </c>
      <c r="H13216" t="s">
        <v>32683</v>
      </c>
      <c r="I13216" t="s">
        <v>10627</v>
      </c>
      <c r="J13216" t="s">
        <v>40636</v>
      </c>
      <c r="K13216" t="s">
        <v>42327</v>
      </c>
      <c r="M13216" t="s">
        <v>43078</v>
      </c>
      <c r="N13216" t="s">
        <v>46569</v>
      </c>
      <c r="O13216" t="s">
        <v>46570</v>
      </c>
      <c r="P13216">
        <v>0</v>
      </c>
      <c r="Q13216">
        <v>5</v>
      </c>
      <c r="R13216" t="s">
        <v>46585</v>
      </c>
      <c r="S13216" t="s">
        <v>47146</v>
      </c>
      <c r="T13216" t="s">
        <v>48580</v>
      </c>
      <c r="U13216" t="s">
        <v>59381</v>
      </c>
      <c r="W13216" t="s">
        <v>43078</v>
      </c>
      <c r="X13216" t="s">
        <v>46586</v>
      </c>
    </row>
    <row r="13217" spans="1:24">
      <c r="A13217">
        <f>HYPERLINK("https://www.philgeps.gov.ph/GEPSNONPILOT/Tender/SplashBidNoticeAbstractUI.aspx?menuIndex=3&amp;refID=7039925&amp;Result=3","7039925")</f>
        <v>0</v>
      </c>
      <c r="B13217" t="s">
        <v>3029</v>
      </c>
      <c r="C13217" t="s">
        <v>16077</v>
      </c>
      <c r="D13217" t="s">
        <v>18786</v>
      </c>
      <c r="E13217" t="s">
        <v>30243</v>
      </c>
      <c r="F13217" t="s">
        <v>32664</v>
      </c>
      <c r="G13217" t="s">
        <v>32672</v>
      </c>
      <c r="H13217" t="s">
        <v>32683</v>
      </c>
      <c r="I13217" t="s">
        <v>10627</v>
      </c>
      <c r="J13217" t="s">
        <v>40637</v>
      </c>
      <c r="K13217" t="s">
        <v>42311</v>
      </c>
      <c r="M13217" t="s">
        <v>45902</v>
      </c>
      <c r="N13217" t="s">
        <v>46569</v>
      </c>
      <c r="O13217" t="s">
        <v>46570</v>
      </c>
      <c r="P13217">
        <v>0</v>
      </c>
      <c r="Q13217">
        <v>0</v>
      </c>
      <c r="R13217" t="s">
        <v>46585</v>
      </c>
      <c r="S13217" t="s">
        <v>47146</v>
      </c>
      <c r="T13217" t="s">
        <v>48228</v>
      </c>
      <c r="U13217" t="s">
        <v>59382</v>
      </c>
      <c r="W13217" t="s">
        <v>45902</v>
      </c>
      <c r="X13217" t="s">
        <v>46586</v>
      </c>
    </row>
    <row r="13218" spans="1:24">
      <c r="A13218">
        <f>HYPERLINK("https://www.philgeps.gov.ph/GEPSNONPILOT/Tender/SplashBidNoticeAbstractUI.aspx?menuIndex=3&amp;refID=7040137&amp;Result=3","7040137")</f>
        <v>0</v>
      </c>
      <c r="B13218" t="s">
        <v>797</v>
      </c>
      <c r="C13218" t="s">
        <v>16078</v>
      </c>
      <c r="D13218" t="s">
        <v>18792</v>
      </c>
      <c r="E13218" t="s">
        <v>30244</v>
      </c>
      <c r="F13218" t="s">
        <v>32664</v>
      </c>
      <c r="G13218" t="s">
        <v>32672</v>
      </c>
      <c r="H13218" t="s">
        <v>12635</v>
      </c>
      <c r="I13218" t="s">
        <v>32704</v>
      </c>
      <c r="J13218" t="s">
        <v>40638</v>
      </c>
      <c r="K13218" t="s">
        <v>42298</v>
      </c>
      <c r="M13218" t="s">
        <v>43389</v>
      </c>
      <c r="N13218" t="s">
        <v>46569</v>
      </c>
      <c r="O13218" t="s">
        <v>46570</v>
      </c>
      <c r="Q13218">
        <v>7</v>
      </c>
      <c r="R13218" t="s">
        <v>46585</v>
      </c>
      <c r="S13218" t="s">
        <v>47208</v>
      </c>
      <c r="T13218" t="s">
        <v>48635</v>
      </c>
      <c r="U13218" t="s">
        <v>59383</v>
      </c>
      <c r="V13218" t="s">
        <v>63086</v>
      </c>
      <c r="W13218" t="s">
        <v>43389</v>
      </c>
      <c r="X13218" t="s">
        <v>46586</v>
      </c>
    </row>
    <row r="13219" spans="1:24">
      <c r="A13219">
        <f>HYPERLINK("https://www.philgeps.gov.ph/GEPSNONPILOT/Tender/SplashBidNoticeAbstractUI.aspx?menuIndex=3&amp;refID=7040194&amp;Result=3","7040194")</f>
        <v>0</v>
      </c>
      <c r="B13219" t="s">
        <v>2029</v>
      </c>
      <c r="C13219" t="s">
        <v>16079</v>
      </c>
      <c r="D13219" t="s">
        <v>18784</v>
      </c>
      <c r="E13219" t="s">
        <v>30245</v>
      </c>
      <c r="F13219" t="s">
        <v>32664</v>
      </c>
      <c r="G13219" t="s">
        <v>32672</v>
      </c>
      <c r="H13219" t="s">
        <v>32683</v>
      </c>
      <c r="I13219" t="s">
        <v>10627</v>
      </c>
      <c r="J13219" t="s">
        <v>40639</v>
      </c>
      <c r="K13219" t="s">
        <v>42285</v>
      </c>
      <c r="M13219" t="s">
        <v>45251</v>
      </c>
      <c r="N13219" t="s">
        <v>46569</v>
      </c>
      <c r="O13219" t="s">
        <v>46570</v>
      </c>
      <c r="P13219">
        <v>0</v>
      </c>
      <c r="Q13219">
        <v>4</v>
      </c>
      <c r="R13219" t="s">
        <v>46585</v>
      </c>
      <c r="S13219" t="s">
        <v>47146</v>
      </c>
      <c r="T13219" t="s">
        <v>48321</v>
      </c>
      <c r="U13219" t="s">
        <v>59384</v>
      </c>
      <c r="V13219" t="s">
        <v>63087</v>
      </c>
      <c r="W13219" t="s">
        <v>45251</v>
      </c>
      <c r="X13219" t="s">
        <v>46586</v>
      </c>
    </row>
    <row r="13220" spans="1:24">
      <c r="A13220">
        <f>HYPERLINK("https://www.philgeps.gov.ph/GEPSNONPILOT/Tender/SplashBidNoticeAbstractUI.aspx?menuIndex=3&amp;refID=7040123&amp;Result=3","7040123")</f>
        <v>0</v>
      </c>
      <c r="B13220" t="s">
        <v>638</v>
      </c>
      <c r="C13220" t="s">
        <v>16080</v>
      </c>
      <c r="E13220" t="s">
        <v>30246</v>
      </c>
      <c r="F13220" t="s">
        <v>32664</v>
      </c>
      <c r="G13220" t="s">
        <v>32672</v>
      </c>
      <c r="H13220" t="s">
        <v>12635</v>
      </c>
      <c r="I13220" t="s">
        <v>6168</v>
      </c>
      <c r="J13220" t="s">
        <v>40640</v>
      </c>
      <c r="K13220" t="s">
        <v>42289</v>
      </c>
      <c r="M13220" t="s">
        <v>43221</v>
      </c>
      <c r="N13220" t="s">
        <v>46569</v>
      </c>
      <c r="O13220" t="s">
        <v>46570</v>
      </c>
      <c r="Q13220">
        <v>1</v>
      </c>
      <c r="R13220" t="s">
        <v>46585</v>
      </c>
      <c r="S13220" t="s">
        <v>47209</v>
      </c>
      <c r="T13220" t="s">
        <v>48282</v>
      </c>
      <c r="U13220" t="s">
        <v>59385</v>
      </c>
      <c r="W13220" t="s">
        <v>43221</v>
      </c>
      <c r="X13220" t="s">
        <v>46586</v>
      </c>
    </row>
    <row r="13221" spans="1:24">
      <c r="A13221">
        <f>HYPERLINK("https://www.philgeps.gov.ph/GEPSNONPILOT/Tender/SplashBidNoticeAbstractUI.aspx?menuIndex=3&amp;refID=7040113&amp;Result=3","7040113")</f>
        <v>0</v>
      </c>
      <c r="B13221" t="s">
        <v>312</v>
      </c>
      <c r="C13221" t="s">
        <v>16081</v>
      </c>
      <c r="D13221" t="s">
        <v>18805</v>
      </c>
      <c r="E13221" t="s">
        <v>22068</v>
      </c>
      <c r="F13221" t="s">
        <v>32664</v>
      </c>
      <c r="G13221" t="s">
        <v>32672</v>
      </c>
      <c r="H13221" t="s">
        <v>32683</v>
      </c>
      <c r="I13221" t="s">
        <v>4439</v>
      </c>
      <c r="J13221" t="s">
        <v>32930</v>
      </c>
      <c r="K13221" t="s">
        <v>42283</v>
      </c>
      <c r="M13221" t="s">
        <v>42879</v>
      </c>
      <c r="N13221" t="s">
        <v>46569</v>
      </c>
      <c r="O13221" t="s">
        <v>46570</v>
      </c>
      <c r="P13221">
        <v>0</v>
      </c>
      <c r="Q13221">
        <v>0</v>
      </c>
      <c r="R13221" t="s">
        <v>46585</v>
      </c>
      <c r="S13221" t="s">
        <v>47146</v>
      </c>
      <c r="T13221" t="s">
        <v>48221</v>
      </c>
      <c r="U13221" t="s">
        <v>59386</v>
      </c>
      <c r="W13221" t="s">
        <v>42879</v>
      </c>
      <c r="X13221" t="s">
        <v>46586</v>
      </c>
    </row>
    <row r="13222" spans="1:24">
      <c r="A13222">
        <f>HYPERLINK("https://www.philgeps.gov.ph/GEPSNONPILOT/Tender/SplashBidNoticeAbstractUI.aspx?menuIndex=3&amp;refID=7039835&amp;Result=3","7039835")</f>
        <v>0</v>
      </c>
      <c r="B13222" t="s">
        <v>1359</v>
      </c>
      <c r="C13222" t="s">
        <v>16082</v>
      </c>
      <c r="D13222" t="s">
        <v>18830</v>
      </c>
      <c r="E13222" t="s">
        <v>30247</v>
      </c>
      <c r="F13222" t="s">
        <v>32664</v>
      </c>
      <c r="G13222" t="s">
        <v>32672</v>
      </c>
      <c r="H13222" t="s">
        <v>12635</v>
      </c>
      <c r="I13222" t="s">
        <v>11464</v>
      </c>
      <c r="J13222" t="s">
        <v>35617</v>
      </c>
      <c r="K13222" t="s">
        <v>42281</v>
      </c>
      <c r="M13222" t="s">
        <v>46239</v>
      </c>
      <c r="N13222" t="s">
        <v>46569</v>
      </c>
      <c r="O13222" t="s">
        <v>46570</v>
      </c>
      <c r="P13222">
        <v>0</v>
      </c>
      <c r="Q13222">
        <v>3</v>
      </c>
      <c r="R13222" t="s">
        <v>46585</v>
      </c>
      <c r="S13222" t="s">
        <v>47146</v>
      </c>
      <c r="T13222" t="s">
        <v>48268</v>
      </c>
      <c r="U13222" t="s">
        <v>59387</v>
      </c>
      <c r="V13222" t="s">
        <v>62655</v>
      </c>
      <c r="W13222" t="s">
        <v>46239</v>
      </c>
      <c r="X13222" t="s">
        <v>46586</v>
      </c>
    </row>
    <row r="13223" spans="1:24">
      <c r="A13223">
        <f>HYPERLINK("https://www.philgeps.gov.ph/GEPSNONPILOT/Tender/SplashBidNoticeAbstractUI.aspx?menuIndex=3&amp;refID=7040095&amp;Result=3","7040095")</f>
        <v>0</v>
      </c>
      <c r="B13223" t="s">
        <v>797</v>
      </c>
      <c r="C13223" t="s">
        <v>16083</v>
      </c>
      <c r="D13223" t="s">
        <v>18792</v>
      </c>
      <c r="E13223" t="s">
        <v>30248</v>
      </c>
      <c r="F13223" t="s">
        <v>32664</v>
      </c>
      <c r="G13223" t="s">
        <v>32672</v>
      </c>
      <c r="H13223" t="s">
        <v>12635</v>
      </c>
      <c r="I13223" t="s">
        <v>32710</v>
      </c>
      <c r="J13223" t="s">
        <v>34346</v>
      </c>
      <c r="K13223" t="s">
        <v>42281</v>
      </c>
      <c r="M13223" t="s">
        <v>43389</v>
      </c>
      <c r="N13223" t="s">
        <v>46569</v>
      </c>
      <c r="O13223" t="s">
        <v>46570</v>
      </c>
      <c r="Q13223">
        <v>6</v>
      </c>
      <c r="R13223" t="s">
        <v>46585</v>
      </c>
      <c r="S13223" t="s">
        <v>47210</v>
      </c>
      <c r="T13223" t="s">
        <v>48719</v>
      </c>
      <c r="U13223" t="s">
        <v>59388</v>
      </c>
      <c r="V13223" t="s">
        <v>63088</v>
      </c>
      <c r="W13223" t="s">
        <v>43389</v>
      </c>
      <c r="X13223" t="s">
        <v>46586</v>
      </c>
    </row>
    <row r="13224" spans="1:24">
      <c r="A13224">
        <f>HYPERLINK("https://www.philgeps.gov.ph/GEPSNONPILOT/Tender/SplashBidNoticeAbstractUI.aspx?menuIndex=3&amp;refID=7040125&amp;Result=3","7040125")</f>
        <v>0</v>
      </c>
      <c r="B13224" t="s">
        <v>1524</v>
      </c>
      <c r="C13224" t="s">
        <v>16084</v>
      </c>
      <c r="D13224" t="s">
        <v>18804</v>
      </c>
      <c r="E13224" t="s">
        <v>30249</v>
      </c>
      <c r="F13224" t="s">
        <v>32664</v>
      </c>
      <c r="G13224" t="s">
        <v>32672</v>
      </c>
      <c r="H13224" t="s">
        <v>12635</v>
      </c>
      <c r="I13224" t="s">
        <v>32685</v>
      </c>
      <c r="J13224" t="s">
        <v>40641</v>
      </c>
      <c r="K13224" t="s">
        <v>42298</v>
      </c>
      <c r="M13224" t="s">
        <v>44191</v>
      </c>
      <c r="N13224" t="s">
        <v>46569</v>
      </c>
      <c r="O13224" t="s">
        <v>46570</v>
      </c>
      <c r="Q13224">
        <v>3</v>
      </c>
      <c r="R13224" t="s">
        <v>46585</v>
      </c>
      <c r="S13224" t="s">
        <v>47211</v>
      </c>
      <c r="T13224" t="s">
        <v>48720</v>
      </c>
      <c r="U13224" t="s">
        <v>52220</v>
      </c>
      <c r="V13224" t="s">
        <v>62052</v>
      </c>
      <c r="W13224" t="s">
        <v>44191</v>
      </c>
      <c r="X13224" t="s">
        <v>46586</v>
      </c>
    </row>
    <row r="13225" spans="1:24">
      <c r="A13225">
        <f>HYPERLINK("https://www.philgeps.gov.ph/GEPSNONPILOT/Tender/SplashBidNoticeAbstractUI.aspx?menuIndex=3&amp;refID=7040065&amp;Result=3","7040065")</f>
        <v>0</v>
      </c>
      <c r="B13225" t="s">
        <v>638</v>
      </c>
      <c r="C13225" t="s">
        <v>16085</v>
      </c>
      <c r="E13225" t="s">
        <v>30250</v>
      </c>
      <c r="F13225" t="s">
        <v>32664</v>
      </c>
      <c r="G13225" t="s">
        <v>32672</v>
      </c>
      <c r="H13225" t="s">
        <v>12635</v>
      </c>
      <c r="I13225" t="s">
        <v>4439</v>
      </c>
      <c r="J13225" t="s">
        <v>40642</v>
      </c>
      <c r="K13225" t="s">
        <v>42297</v>
      </c>
      <c r="M13225" t="s">
        <v>43221</v>
      </c>
      <c r="N13225" t="s">
        <v>46569</v>
      </c>
      <c r="O13225" t="s">
        <v>46570</v>
      </c>
      <c r="P13225">
        <v>0</v>
      </c>
      <c r="Q13225">
        <v>2</v>
      </c>
      <c r="R13225" t="s">
        <v>46585</v>
      </c>
      <c r="S13225" t="s">
        <v>47146</v>
      </c>
      <c r="T13225" t="s">
        <v>48282</v>
      </c>
      <c r="U13225" t="s">
        <v>59389</v>
      </c>
      <c r="W13225" t="s">
        <v>43221</v>
      </c>
      <c r="X13225" t="s">
        <v>46586</v>
      </c>
    </row>
    <row r="13226" spans="1:24">
      <c r="A13226">
        <f>HYPERLINK("https://www.philgeps.gov.ph/GEPSNONPILOT/Tender/SplashBidNoticeAbstractUI.aspx?menuIndex=3&amp;refID=7040148&amp;Result=3","7040148")</f>
        <v>0</v>
      </c>
      <c r="B13226" t="s">
        <v>1197</v>
      </c>
      <c r="C13226" t="s">
        <v>16086</v>
      </c>
      <c r="D13226" t="s">
        <v>18784</v>
      </c>
      <c r="E13226" t="s">
        <v>30251</v>
      </c>
      <c r="F13226" t="s">
        <v>32664</v>
      </c>
      <c r="G13226" t="s">
        <v>32672</v>
      </c>
      <c r="H13226" t="s">
        <v>12635</v>
      </c>
      <c r="I13226" t="s">
        <v>32722</v>
      </c>
      <c r="J13226" t="s">
        <v>40643</v>
      </c>
      <c r="K13226" t="s">
        <v>42298</v>
      </c>
      <c r="M13226" t="s">
        <v>46186</v>
      </c>
      <c r="N13226" t="s">
        <v>46569</v>
      </c>
      <c r="O13226" t="s">
        <v>46570</v>
      </c>
      <c r="P13226">
        <v>0</v>
      </c>
      <c r="Q13226">
        <v>7</v>
      </c>
      <c r="R13226" t="s">
        <v>46585</v>
      </c>
      <c r="S13226" t="s">
        <v>47146</v>
      </c>
      <c r="T13226" t="s">
        <v>48268</v>
      </c>
      <c r="U13226" t="s">
        <v>59390</v>
      </c>
      <c r="W13226" t="s">
        <v>46186</v>
      </c>
      <c r="X13226" t="s">
        <v>46586</v>
      </c>
    </row>
    <row r="13227" spans="1:24">
      <c r="A13227">
        <f>HYPERLINK("https://www.philgeps.gov.ph/GEPSNONPILOT/Tender/SplashBidNoticeAbstractUI.aspx?menuIndex=3&amp;refID=7040064&amp;Result=3","7040064")</f>
        <v>0</v>
      </c>
      <c r="B13227" t="s">
        <v>2275</v>
      </c>
      <c r="C13227" t="s">
        <v>16087</v>
      </c>
      <c r="D13227" t="s">
        <v>18784</v>
      </c>
      <c r="E13227" t="s">
        <v>30252</v>
      </c>
      <c r="F13227" t="s">
        <v>32664</v>
      </c>
      <c r="G13227" t="s">
        <v>32672</v>
      </c>
      <c r="H13227" t="s">
        <v>32682</v>
      </c>
      <c r="I13227" t="s">
        <v>5589</v>
      </c>
      <c r="J13227" t="s">
        <v>33320</v>
      </c>
      <c r="K13227" t="s">
        <v>42334</v>
      </c>
      <c r="M13227" t="s">
        <v>46240</v>
      </c>
      <c r="N13227" t="s">
        <v>46569</v>
      </c>
      <c r="O13227" t="s">
        <v>46570</v>
      </c>
      <c r="P13227">
        <v>0</v>
      </c>
      <c r="Q13227">
        <v>1</v>
      </c>
      <c r="R13227" t="s">
        <v>46585</v>
      </c>
      <c r="S13227" t="s">
        <v>47146</v>
      </c>
      <c r="T13227" t="s">
        <v>48285</v>
      </c>
      <c r="U13227" t="s">
        <v>59391</v>
      </c>
      <c r="W13227" t="s">
        <v>46240</v>
      </c>
      <c r="X13227" t="s">
        <v>46586</v>
      </c>
    </row>
    <row r="13228" spans="1:24">
      <c r="A13228">
        <f>HYPERLINK("https://www.philgeps.gov.ph/GEPSNONPILOT/Tender/SplashBidNoticeAbstractUI.aspx?menuIndex=3&amp;refID=7040100&amp;Result=3","7040100")</f>
        <v>0</v>
      </c>
      <c r="B13228" t="s">
        <v>638</v>
      </c>
      <c r="C13228" t="s">
        <v>16088</v>
      </c>
      <c r="E13228" t="s">
        <v>16088</v>
      </c>
      <c r="F13228" t="s">
        <v>32664</v>
      </c>
      <c r="G13228" t="s">
        <v>32672</v>
      </c>
      <c r="H13228" t="s">
        <v>12635</v>
      </c>
      <c r="I13228" t="s">
        <v>10627</v>
      </c>
      <c r="J13228" t="s">
        <v>40644</v>
      </c>
      <c r="K13228" t="s">
        <v>42297</v>
      </c>
      <c r="M13228" t="s">
        <v>43221</v>
      </c>
      <c r="N13228" t="s">
        <v>46569</v>
      </c>
      <c r="O13228" t="s">
        <v>46570</v>
      </c>
      <c r="P13228">
        <v>0</v>
      </c>
      <c r="Q13228">
        <v>1</v>
      </c>
      <c r="R13228" t="s">
        <v>46585</v>
      </c>
      <c r="S13228" t="s">
        <v>47146</v>
      </c>
      <c r="T13228" t="s">
        <v>48282</v>
      </c>
      <c r="U13228" t="s">
        <v>59392</v>
      </c>
      <c r="W13228" t="s">
        <v>43221</v>
      </c>
      <c r="X13228" t="s">
        <v>46586</v>
      </c>
    </row>
    <row r="13229" spans="1:24">
      <c r="A13229">
        <f>HYPERLINK("https://www.philgeps.gov.ph/GEPSNONPILOT/Tender/SplashBidNoticeAbstractUI.aspx?menuIndex=3&amp;refID=7040055&amp;Result=3","7040055")</f>
        <v>0</v>
      </c>
      <c r="B13229" t="s">
        <v>2794</v>
      </c>
      <c r="C13229" t="s">
        <v>16089</v>
      </c>
      <c r="D13229" t="s">
        <v>18797</v>
      </c>
      <c r="E13229" t="s">
        <v>30253</v>
      </c>
      <c r="F13229" t="s">
        <v>32664</v>
      </c>
      <c r="G13229" t="s">
        <v>32672</v>
      </c>
      <c r="H13229" t="s">
        <v>12635</v>
      </c>
      <c r="I13229" t="s">
        <v>6223</v>
      </c>
      <c r="J13229" t="s">
        <v>32981</v>
      </c>
      <c r="K13229" t="s">
        <v>42281</v>
      </c>
      <c r="M13229" t="s">
        <v>46238</v>
      </c>
      <c r="N13229" t="s">
        <v>46569</v>
      </c>
      <c r="O13229" t="s">
        <v>46570</v>
      </c>
      <c r="P13229">
        <v>0</v>
      </c>
      <c r="Q13229">
        <v>20</v>
      </c>
      <c r="R13229" t="s">
        <v>46585</v>
      </c>
      <c r="S13229" t="s">
        <v>47146</v>
      </c>
      <c r="T13229" t="s">
        <v>48282</v>
      </c>
      <c r="U13229" t="s">
        <v>59393</v>
      </c>
      <c r="W13229" t="s">
        <v>63591</v>
      </c>
      <c r="X13229" t="s">
        <v>46586</v>
      </c>
    </row>
    <row r="13230" spans="1:24">
      <c r="A13230">
        <f>HYPERLINK("https://www.philgeps.gov.ph/GEPSNONPILOT/Tender/SplashBidNoticeAbstractUI.aspx?menuIndex=3&amp;refID=7039894&amp;Result=3","7039894")</f>
        <v>0</v>
      </c>
      <c r="B13230" t="s">
        <v>2794</v>
      </c>
      <c r="C13230" t="s">
        <v>16090</v>
      </c>
      <c r="D13230" t="s">
        <v>18797</v>
      </c>
      <c r="E13230" t="s">
        <v>30254</v>
      </c>
      <c r="F13230" t="s">
        <v>32664</v>
      </c>
      <c r="G13230" t="s">
        <v>32672</v>
      </c>
      <c r="H13230" t="s">
        <v>12635</v>
      </c>
      <c r="I13230" t="s">
        <v>32698</v>
      </c>
      <c r="J13230" t="s">
        <v>40645</v>
      </c>
      <c r="K13230" t="s">
        <v>42281</v>
      </c>
      <c r="M13230" t="s">
        <v>46238</v>
      </c>
      <c r="N13230" t="s">
        <v>46569</v>
      </c>
      <c r="O13230" t="s">
        <v>46570</v>
      </c>
      <c r="P13230">
        <v>0</v>
      </c>
      <c r="Q13230">
        <v>5</v>
      </c>
      <c r="R13230" t="s">
        <v>46585</v>
      </c>
      <c r="S13230" t="s">
        <v>47146</v>
      </c>
      <c r="T13230" t="s">
        <v>48282</v>
      </c>
      <c r="U13230" t="s">
        <v>59394</v>
      </c>
      <c r="W13230" t="s">
        <v>63591</v>
      </c>
      <c r="X13230" t="s">
        <v>46586</v>
      </c>
    </row>
    <row r="13231" spans="1:24">
      <c r="A13231">
        <f>HYPERLINK("https://www.philgeps.gov.ph/GEPSNONPILOT/Tender/SplashBidNoticeAbstractUI.aspx?menuIndex=3&amp;refID=7040051&amp;Result=3","7040051")</f>
        <v>0</v>
      </c>
      <c r="B13231" t="s">
        <v>1734</v>
      </c>
      <c r="C13231" t="s">
        <v>16091</v>
      </c>
      <c r="D13231" t="s">
        <v>18789</v>
      </c>
      <c r="E13231" t="s">
        <v>30255</v>
      </c>
      <c r="F13231" t="s">
        <v>32664</v>
      </c>
      <c r="G13231" t="s">
        <v>32672</v>
      </c>
      <c r="H13231" t="s">
        <v>12635</v>
      </c>
      <c r="I13231" t="s">
        <v>32738</v>
      </c>
      <c r="J13231" t="s">
        <v>33345</v>
      </c>
      <c r="K13231" t="s">
        <v>42283</v>
      </c>
      <c r="M13231" t="s">
        <v>46229</v>
      </c>
      <c r="N13231" t="s">
        <v>46569</v>
      </c>
      <c r="O13231" t="s">
        <v>46570</v>
      </c>
      <c r="P13231">
        <v>0</v>
      </c>
      <c r="Q13231">
        <v>5</v>
      </c>
      <c r="R13231" t="s">
        <v>46585</v>
      </c>
      <c r="S13231" t="s">
        <v>47146</v>
      </c>
      <c r="T13231" t="s">
        <v>48319</v>
      </c>
      <c r="U13231" t="s">
        <v>59395</v>
      </c>
      <c r="W13231" t="s">
        <v>46229</v>
      </c>
      <c r="X13231" t="s">
        <v>46586</v>
      </c>
    </row>
    <row r="13232" spans="1:24">
      <c r="A13232">
        <f>HYPERLINK("https://www.philgeps.gov.ph/GEPSNONPILOT/Tender/SplashBidNoticeAbstractUI.aspx?menuIndex=3&amp;refID=7039889&amp;Result=3","7039889")</f>
        <v>0</v>
      </c>
      <c r="B13232" t="s">
        <v>592</v>
      </c>
      <c r="C13232" t="s">
        <v>16092</v>
      </c>
      <c r="D13232" t="s">
        <v>18863</v>
      </c>
      <c r="E13232" t="s">
        <v>30256</v>
      </c>
      <c r="F13232" t="s">
        <v>32664</v>
      </c>
      <c r="G13232" t="s">
        <v>32672</v>
      </c>
      <c r="H13232" t="s">
        <v>12635</v>
      </c>
      <c r="I13232" t="s">
        <v>32738</v>
      </c>
      <c r="J13232" t="s">
        <v>35119</v>
      </c>
      <c r="K13232" t="s">
        <v>42283</v>
      </c>
      <c r="M13232" t="s">
        <v>43411</v>
      </c>
      <c r="N13232" t="s">
        <v>46569</v>
      </c>
      <c r="O13232" t="s">
        <v>46570</v>
      </c>
      <c r="Q13232">
        <v>2</v>
      </c>
      <c r="R13232" t="s">
        <v>46585</v>
      </c>
      <c r="S13232" t="s">
        <v>47212</v>
      </c>
      <c r="T13232" t="s">
        <v>48279</v>
      </c>
      <c r="U13232" t="s">
        <v>59355</v>
      </c>
      <c r="V13232" t="s">
        <v>63079</v>
      </c>
      <c r="W13232" t="s">
        <v>43411</v>
      </c>
      <c r="X13232" t="s">
        <v>46586</v>
      </c>
    </row>
    <row r="13233" spans="1:24">
      <c r="A13233">
        <f>HYPERLINK("https://www.philgeps.gov.ph/GEPSNONPILOT/Tender/SplashBidNoticeAbstractUI.aspx?menuIndex=3&amp;refID=7039797&amp;Result=3","7039797")</f>
        <v>0</v>
      </c>
      <c r="B13233" t="s">
        <v>3280</v>
      </c>
      <c r="C13233" t="s">
        <v>16093</v>
      </c>
      <c r="D13233" t="s">
        <v>18859</v>
      </c>
      <c r="E13233" t="s">
        <v>30257</v>
      </c>
      <c r="F13233" t="s">
        <v>32664</v>
      </c>
      <c r="G13233" t="s">
        <v>32672</v>
      </c>
      <c r="H13233" t="s">
        <v>12635</v>
      </c>
      <c r="I13233" t="s">
        <v>8797</v>
      </c>
      <c r="J13233" t="s">
        <v>40646</v>
      </c>
      <c r="K13233" t="s">
        <v>42281</v>
      </c>
      <c r="M13233" t="s">
        <v>46217</v>
      </c>
      <c r="N13233" t="s">
        <v>46569</v>
      </c>
      <c r="O13233" t="s">
        <v>46570</v>
      </c>
      <c r="P13233">
        <v>0</v>
      </c>
      <c r="Q13233">
        <v>1</v>
      </c>
      <c r="R13233" t="s">
        <v>46585</v>
      </c>
      <c r="S13233" t="s">
        <v>47146</v>
      </c>
      <c r="T13233" t="s">
        <v>48230</v>
      </c>
      <c r="U13233" t="s">
        <v>59396</v>
      </c>
      <c r="W13233" t="s">
        <v>46217</v>
      </c>
      <c r="X13233" t="s">
        <v>46586</v>
      </c>
    </row>
    <row r="13234" spans="1:24">
      <c r="A13234">
        <f>HYPERLINK("https://www.philgeps.gov.ph/GEPSNONPILOT/Tender/SplashBidNoticeAbstractUI.aspx?menuIndex=3&amp;refID=7039913&amp;Result=3","7039913")</f>
        <v>0</v>
      </c>
      <c r="B13234" t="s">
        <v>1093</v>
      </c>
      <c r="C13234" t="s">
        <v>16094</v>
      </c>
      <c r="D13234" t="s">
        <v>18784</v>
      </c>
      <c r="E13234" t="s">
        <v>30258</v>
      </c>
      <c r="F13234" t="s">
        <v>32664</v>
      </c>
      <c r="G13234" t="s">
        <v>32671</v>
      </c>
      <c r="H13234" t="s">
        <v>12635</v>
      </c>
      <c r="I13234" t="s">
        <v>32756</v>
      </c>
      <c r="J13234" t="s">
        <v>33147</v>
      </c>
      <c r="K13234" t="s">
        <v>42289</v>
      </c>
      <c r="M13234" t="s">
        <v>43720</v>
      </c>
      <c r="N13234" t="s">
        <v>46569</v>
      </c>
      <c r="O13234" t="s">
        <v>46570</v>
      </c>
      <c r="Q13234">
        <v>0</v>
      </c>
      <c r="R13234" t="s">
        <v>46585</v>
      </c>
      <c r="S13234" t="s">
        <v>47213</v>
      </c>
      <c r="T13234" t="s">
        <v>48307</v>
      </c>
      <c r="U13234" t="s">
        <v>59397</v>
      </c>
      <c r="V13234" t="s">
        <v>61652</v>
      </c>
      <c r="W13234" t="s">
        <v>43720</v>
      </c>
      <c r="X13234" t="s">
        <v>46586</v>
      </c>
    </row>
    <row r="13235" spans="1:24">
      <c r="A13235">
        <f>HYPERLINK("https://www.philgeps.gov.ph/GEPSNONPILOT/Tender/SplashBidNoticeAbstractUI.aspx?menuIndex=3&amp;refID=7039896&amp;Result=3","7039896")</f>
        <v>0</v>
      </c>
      <c r="B13235" t="s">
        <v>694</v>
      </c>
      <c r="C13235" t="s">
        <v>16095</v>
      </c>
      <c r="D13235" t="s">
        <v>18798</v>
      </c>
      <c r="E13235" t="s">
        <v>19701</v>
      </c>
      <c r="F13235" t="s">
        <v>32664</v>
      </c>
      <c r="G13235" t="s">
        <v>32672</v>
      </c>
      <c r="H13235" t="s">
        <v>12635</v>
      </c>
      <c r="I13235" t="s">
        <v>10361</v>
      </c>
      <c r="J13235" t="s">
        <v>40647</v>
      </c>
      <c r="K13235" t="s">
        <v>42390</v>
      </c>
      <c r="M13235" t="s">
        <v>43281</v>
      </c>
      <c r="N13235" t="s">
        <v>46569</v>
      </c>
      <c r="O13235" t="s">
        <v>46570</v>
      </c>
      <c r="Q13235">
        <v>2</v>
      </c>
      <c r="R13235" t="s">
        <v>46585</v>
      </c>
      <c r="S13235" t="s">
        <v>47214</v>
      </c>
      <c r="T13235" t="s">
        <v>48228</v>
      </c>
      <c r="U13235" t="s">
        <v>59398</v>
      </c>
      <c r="W13235" t="s">
        <v>43281</v>
      </c>
      <c r="X13235" t="s">
        <v>46586</v>
      </c>
    </row>
    <row r="13236" spans="1:24">
      <c r="A13236">
        <f>HYPERLINK("https://www.philgeps.gov.ph/GEPSNONPILOT/Tender/SplashBidNoticeAbstractUI.aspx?menuIndex=3&amp;refID=7039784&amp;Result=3","7039784")</f>
        <v>0</v>
      </c>
      <c r="B13236" t="s">
        <v>988</v>
      </c>
      <c r="C13236" t="s">
        <v>16096</v>
      </c>
      <c r="D13236" t="s">
        <v>18784</v>
      </c>
      <c r="E13236" t="s">
        <v>30259</v>
      </c>
      <c r="F13236" t="s">
        <v>32664</v>
      </c>
      <c r="G13236" t="s">
        <v>32672</v>
      </c>
      <c r="H13236" t="s">
        <v>12635</v>
      </c>
      <c r="I13236" t="s">
        <v>32701</v>
      </c>
      <c r="J13236" t="s">
        <v>34481</v>
      </c>
      <c r="K13236" t="s">
        <v>42283</v>
      </c>
      <c r="M13236" t="s">
        <v>44301</v>
      </c>
      <c r="N13236" t="s">
        <v>46569</v>
      </c>
      <c r="O13236" t="s">
        <v>46570</v>
      </c>
      <c r="Q13236">
        <v>14</v>
      </c>
      <c r="R13236" t="s">
        <v>46585</v>
      </c>
      <c r="S13236" t="s">
        <v>47215</v>
      </c>
      <c r="T13236" t="s">
        <v>48312</v>
      </c>
      <c r="U13236" t="s">
        <v>59399</v>
      </c>
      <c r="W13236" t="s">
        <v>44301</v>
      </c>
      <c r="X13236" t="s">
        <v>46586</v>
      </c>
    </row>
    <row r="13237" spans="1:24">
      <c r="A13237">
        <f>HYPERLINK("https://www.philgeps.gov.ph/GEPSNONPILOT/Tender/SplashBidNoticeAbstractUI.aspx?menuIndex=3&amp;refID=7039883&amp;Result=3","7039883")</f>
        <v>0</v>
      </c>
      <c r="B13237" t="s">
        <v>194</v>
      </c>
      <c r="C13237" t="s">
        <v>16097</v>
      </c>
      <c r="E13237" t="s">
        <v>30260</v>
      </c>
      <c r="F13237" t="s">
        <v>32664</v>
      </c>
      <c r="G13237" t="s">
        <v>32672</v>
      </c>
      <c r="H13237" t="s">
        <v>12635</v>
      </c>
      <c r="I13237" t="s">
        <v>32684</v>
      </c>
      <c r="J13237" t="s">
        <v>40648</v>
      </c>
      <c r="K13237" t="s">
        <v>42303</v>
      </c>
      <c r="M13237" t="s">
        <v>43016</v>
      </c>
      <c r="N13237" t="s">
        <v>46569</v>
      </c>
      <c r="O13237" t="s">
        <v>46570</v>
      </c>
      <c r="P13237">
        <v>0</v>
      </c>
      <c r="Q13237">
        <v>7</v>
      </c>
      <c r="R13237" t="s">
        <v>46585</v>
      </c>
      <c r="S13237" t="s">
        <v>47146</v>
      </c>
      <c r="T13237" t="s">
        <v>48306</v>
      </c>
      <c r="U13237" t="s">
        <v>49564</v>
      </c>
      <c r="W13237" t="s">
        <v>43016</v>
      </c>
      <c r="X13237" t="s">
        <v>46586</v>
      </c>
    </row>
    <row r="13238" spans="1:24">
      <c r="A13238">
        <f>HYPERLINK("https://www.philgeps.gov.ph/GEPSNONPILOT/Tender/SplashBidNoticeAbstractUI.aspx?menuIndex=3&amp;refID=7039879&amp;Result=3","7039879")</f>
        <v>0</v>
      </c>
      <c r="B13238" t="s">
        <v>592</v>
      </c>
      <c r="C13238" t="s">
        <v>16098</v>
      </c>
      <c r="D13238" t="s">
        <v>18781</v>
      </c>
      <c r="E13238" t="s">
        <v>30261</v>
      </c>
      <c r="F13238" t="s">
        <v>32664</v>
      </c>
      <c r="G13238" t="s">
        <v>32672</v>
      </c>
      <c r="H13238" t="s">
        <v>12635</v>
      </c>
      <c r="I13238" t="s">
        <v>32738</v>
      </c>
      <c r="J13238" t="s">
        <v>40649</v>
      </c>
      <c r="K13238" t="s">
        <v>42283</v>
      </c>
      <c r="M13238" t="s">
        <v>43411</v>
      </c>
      <c r="N13238" t="s">
        <v>46569</v>
      </c>
      <c r="O13238" t="s">
        <v>46570</v>
      </c>
      <c r="Q13238">
        <v>5</v>
      </c>
      <c r="R13238" t="s">
        <v>46585</v>
      </c>
      <c r="S13238" t="s">
        <v>47216</v>
      </c>
      <c r="T13238" t="s">
        <v>48279</v>
      </c>
      <c r="U13238" t="s">
        <v>59355</v>
      </c>
      <c r="V13238" t="s">
        <v>63079</v>
      </c>
      <c r="W13238" t="s">
        <v>43411</v>
      </c>
      <c r="X13238" t="s">
        <v>46586</v>
      </c>
    </row>
    <row r="13239" spans="1:24">
      <c r="A13239">
        <f>HYPERLINK("https://www.philgeps.gov.ph/GEPSNONPILOT/Tender/SplashBidNoticeAbstractUI.aspx?menuIndex=3&amp;refID=7039764&amp;Result=3","7039764")</f>
        <v>0</v>
      </c>
      <c r="B13239" t="s">
        <v>592</v>
      </c>
      <c r="C13239" t="s">
        <v>16099</v>
      </c>
      <c r="D13239" t="s">
        <v>18783</v>
      </c>
      <c r="E13239" t="s">
        <v>30262</v>
      </c>
      <c r="F13239" t="s">
        <v>32664</v>
      </c>
      <c r="G13239" t="s">
        <v>32672</v>
      </c>
      <c r="H13239" t="s">
        <v>12635</v>
      </c>
      <c r="I13239" t="s">
        <v>32738</v>
      </c>
      <c r="J13239" t="s">
        <v>40650</v>
      </c>
      <c r="K13239" t="s">
        <v>42283</v>
      </c>
      <c r="M13239" t="s">
        <v>43411</v>
      </c>
      <c r="N13239" t="s">
        <v>46569</v>
      </c>
      <c r="O13239" t="s">
        <v>46570</v>
      </c>
      <c r="Q13239">
        <v>7</v>
      </c>
      <c r="R13239" t="s">
        <v>46585</v>
      </c>
      <c r="S13239" t="s">
        <v>47217</v>
      </c>
      <c r="T13239" t="s">
        <v>48279</v>
      </c>
      <c r="U13239" t="s">
        <v>59355</v>
      </c>
      <c r="V13239" t="s">
        <v>63079</v>
      </c>
      <c r="W13239" t="s">
        <v>43411</v>
      </c>
      <c r="X13239" t="s">
        <v>46586</v>
      </c>
    </row>
    <row r="13240" spans="1:24">
      <c r="A13240">
        <f>HYPERLINK("https://www.philgeps.gov.ph/GEPSNONPILOT/Tender/SplashBidNoticeAbstractUI.aspx?menuIndex=3&amp;refID=7039742&amp;Result=3","7039742")</f>
        <v>0</v>
      </c>
      <c r="B13240" t="s">
        <v>3280</v>
      </c>
      <c r="C13240" t="s">
        <v>16100</v>
      </c>
      <c r="D13240" t="s">
        <v>18859</v>
      </c>
      <c r="E13240" t="s">
        <v>19629</v>
      </c>
      <c r="F13240" t="s">
        <v>32664</v>
      </c>
      <c r="G13240" t="s">
        <v>32672</v>
      </c>
      <c r="H13240" t="s">
        <v>32683</v>
      </c>
      <c r="I13240" t="s">
        <v>10627</v>
      </c>
      <c r="J13240" t="s">
        <v>33657</v>
      </c>
      <c r="K13240" t="s">
        <v>42305</v>
      </c>
      <c r="M13240" t="s">
        <v>46217</v>
      </c>
      <c r="N13240" t="s">
        <v>46569</v>
      </c>
      <c r="O13240" t="s">
        <v>46570</v>
      </c>
      <c r="P13240">
        <v>0</v>
      </c>
      <c r="Q13240">
        <v>0</v>
      </c>
      <c r="R13240" t="s">
        <v>46585</v>
      </c>
      <c r="S13240" t="s">
        <v>47146</v>
      </c>
      <c r="T13240" t="s">
        <v>48368</v>
      </c>
      <c r="U13240" t="s">
        <v>59400</v>
      </c>
      <c r="W13240" t="s">
        <v>46217</v>
      </c>
      <c r="X13240" t="s">
        <v>46586</v>
      </c>
    </row>
    <row r="13241" spans="1:24">
      <c r="A13241">
        <f>HYPERLINK("https://www.philgeps.gov.ph/GEPSNONPILOT/Tender/SplashBidNoticeAbstractUI.aspx?menuIndex=3&amp;refID=7039739&amp;Result=3","7039739")</f>
        <v>0</v>
      </c>
      <c r="B13241" t="s">
        <v>3239</v>
      </c>
      <c r="C13241" t="s">
        <v>16101</v>
      </c>
      <c r="D13241" t="s">
        <v>18848</v>
      </c>
      <c r="E13241" t="s">
        <v>30263</v>
      </c>
      <c r="F13241" t="s">
        <v>32664</v>
      </c>
      <c r="G13241" t="s">
        <v>32672</v>
      </c>
      <c r="H13241" t="s">
        <v>32683</v>
      </c>
      <c r="I13241" t="s">
        <v>10627</v>
      </c>
      <c r="J13241" t="s">
        <v>40651</v>
      </c>
      <c r="K13241" t="s">
        <v>42290</v>
      </c>
      <c r="M13241" t="s">
        <v>46235</v>
      </c>
      <c r="N13241" t="s">
        <v>46569</v>
      </c>
      <c r="O13241" t="s">
        <v>46570</v>
      </c>
      <c r="P13241">
        <v>0</v>
      </c>
      <c r="Q13241">
        <v>0</v>
      </c>
      <c r="R13241" t="s">
        <v>46585</v>
      </c>
      <c r="S13241" t="s">
        <v>47146</v>
      </c>
      <c r="T13241" t="s">
        <v>48300</v>
      </c>
      <c r="U13241" t="s">
        <v>59401</v>
      </c>
      <c r="V13241" t="s">
        <v>63077</v>
      </c>
      <c r="W13241" t="s">
        <v>46235</v>
      </c>
      <c r="X13241" t="s">
        <v>46586</v>
      </c>
    </row>
    <row r="13242" spans="1:24">
      <c r="A13242">
        <f>HYPERLINK("https://www.philgeps.gov.ph/GEPSNONPILOT/Tender/SplashBidNoticeAbstractUI.aspx?menuIndex=3&amp;refID=7040352&amp;Result=3","7040352")</f>
        <v>0</v>
      </c>
      <c r="B13242" t="s">
        <v>812</v>
      </c>
      <c r="C13242" t="s">
        <v>16102</v>
      </c>
      <c r="D13242" t="s">
        <v>18782</v>
      </c>
      <c r="E13242" t="s">
        <v>30264</v>
      </c>
      <c r="F13242" t="s">
        <v>32664</v>
      </c>
      <c r="G13242" t="s">
        <v>32672</v>
      </c>
      <c r="H13242" t="s">
        <v>12635</v>
      </c>
      <c r="I13242" t="s">
        <v>10590</v>
      </c>
      <c r="J13242" t="s">
        <v>40652</v>
      </c>
      <c r="K13242" t="s">
        <v>42281</v>
      </c>
      <c r="M13242" t="s">
        <v>43406</v>
      </c>
      <c r="N13242" t="s">
        <v>46569</v>
      </c>
      <c r="O13242" t="s">
        <v>46570</v>
      </c>
      <c r="P13242">
        <v>0</v>
      </c>
      <c r="Q13242">
        <v>0</v>
      </c>
      <c r="R13242" t="s">
        <v>46585</v>
      </c>
      <c r="S13242" t="s">
        <v>47146</v>
      </c>
      <c r="T13242" t="s">
        <v>48271</v>
      </c>
      <c r="U13242" t="s">
        <v>56646</v>
      </c>
      <c r="W13242" t="s">
        <v>43406</v>
      </c>
      <c r="X13242" t="s">
        <v>46586</v>
      </c>
    </row>
    <row r="13243" spans="1:24">
      <c r="A13243">
        <f>HYPERLINK("https://www.philgeps.gov.ph/GEPSNONPILOT/Tender/SplashBidNoticeAbstractUI.aspx?menuIndex=3&amp;refID=7039885&amp;Result=3","7039885")</f>
        <v>0</v>
      </c>
      <c r="B13243" t="s">
        <v>253</v>
      </c>
      <c r="C13243" t="s">
        <v>16103</v>
      </c>
      <c r="D13243" t="s">
        <v>18790</v>
      </c>
      <c r="E13243" t="s">
        <v>30265</v>
      </c>
      <c r="F13243" t="s">
        <v>32664</v>
      </c>
      <c r="G13243" t="s">
        <v>32672</v>
      </c>
      <c r="H13243" t="s">
        <v>12635</v>
      </c>
      <c r="I13243" t="s">
        <v>4439</v>
      </c>
      <c r="J13243" t="s">
        <v>40653</v>
      </c>
      <c r="K13243" t="s">
        <v>42283</v>
      </c>
      <c r="M13243" t="s">
        <v>42851</v>
      </c>
      <c r="N13243" t="s">
        <v>46569</v>
      </c>
      <c r="O13243" t="s">
        <v>46570</v>
      </c>
      <c r="P13243">
        <v>0</v>
      </c>
      <c r="Q13243">
        <v>0</v>
      </c>
      <c r="R13243" t="s">
        <v>46585</v>
      </c>
      <c r="S13243" t="s">
        <v>47146</v>
      </c>
      <c r="T13243" t="s">
        <v>48212</v>
      </c>
      <c r="U13243" t="s">
        <v>59402</v>
      </c>
      <c r="W13243" t="s">
        <v>42851</v>
      </c>
      <c r="X13243" t="s">
        <v>46586</v>
      </c>
    </row>
    <row r="13244" spans="1:24">
      <c r="A13244">
        <f>HYPERLINK("https://www.philgeps.gov.ph/GEPSNONPILOT/Tender/SplashBidNoticeAbstractUI.aspx?menuIndex=3&amp;refID=7040347&amp;Result=3","7040347")</f>
        <v>0</v>
      </c>
      <c r="B13244" t="s">
        <v>1103</v>
      </c>
      <c r="C13244" t="s">
        <v>16104</v>
      </c>
      <c r="D13244" t="s">
        <v>18790</v>
      </c>
      <c r="E13244" t="s">
        <v>30266</v>
      </c>
      <c r="F13244" t="s">
        <v>32664</v>
      </c>
      <c r="G13244" t="s">
        <v>32672</v>
      </c>
      <c r="H13244" t="s">
        <v>32683</v>
      </c>
      <c r="I13244" t="s">
        <v>10627</v>
      </c>
      <c r="J13244" t="s">
        <v>33150</v>
      </c>
      <c r="K13244" t="s">
        <v>42311</v>
      </c>
      <c r="M13244" t="s">
        <v>43730</v>
      </c>
      <c r="N13244" t="s">
        <v>46569</v>
      </c>
      <c r="O13244" t="s">
        <v>46570</v>
      </c>
      <c r="P13244">
        <v>0</v>
      </c>
      <c r="Q13244">
        <v>1</v>
      </c>
      <c r="R13244" t="s">
        <v>46585</v>
      </c>
      <c r="S13244" t="s">
        <v>47146</v>
      </c>
      <c r="T13244" t="s">
        <v>48285</v>
      </c>
      <c r="U13244" t="s">
        <v>59403</v>
      </c>
      <c r="W13244" t="s">
        <v>43730</v>
      </c>
      <c r="X13244" t="s">
        <v>46586</v>
      </c>
    </row>
    <row r="13245" spans="1:24">
      <c r="A13245">
        <f>HYPERLINK("https://www.philgeps.gov.ph/GEPSNONPILOT/Tender/SplashBidNoticeAbstractUI.aspx?menuIndex=3&amp;refID=7039774&amp;Result=3","7039774")</f>
        <v>0</v>
      </c>
      <c r="B13245" t="s">
        <v>3239</v>
      </c>
      <c r="C13245" t="s">
        <v>16105</v>
      </c>
      <c r="D13245" t="s">
        <v>18848</v>
      </c>
      <c r="E13245" t="s">
        <v>30267</v>
      </c>
      <c r="F13245" t="s">
        <v>32664</v>
      </c>
      <c r="G13245" t="s">
        <v>32672</v>
      </c>
      <c r="H13245" t="s">
        <v>32683</v>
      </c>
      <c r="I13245" t="s">
        <v>10627</v>
      </c>
      <c r="J13245" t="s">
        <v>40654</v>
      </c>
      <c r="K13245" t="s">
        <v>42311</v>
      </c>
      <c r="M13245" t="s">
        <v>46235</v>
      </c>
      <c r="N13245" t="s">
        <v>46569</v>
      </c>
      <c r="O13245" t="s">
        <v>46570</v>
      </c>
      <c r="P13245">
        <v>0</v>
      </c>
      <c r="Q13245">
        <v>0</v>
      </c>
      <c r="R13245" t="s">
        <v>46585</v>
      </c>
      <c r="S13245" t="s">
        <v>47146</v>
      </c>
      <c r="T13245" t="s">
        <v>48300</v>
      </c>
      <c r="U13245" t="s">
        <v>59404</v>
      </c>
      <c r="V13245" t="s">
        <v>63077</v>
      </c>
      <c r="W13245" t="s">
        <v>46235</v>
      </c>
      <c r="X13245" t="s">
        <v>46586</v>
      </c>
    </row>
    <row r="13246" spans="1:24">
      <c r="A13246">
        <f>HYPERLINK("https://www.philgeps.gov.ph/GEPSNONPILOT/Tender/SplashBidNoticeAbstractUI.aspx?menuIndex=3&amp;refID=7039755&amp;Result=3","7039755")</f>
        <v>0</v>
      </c>
      <c r="B13246" t="s">
        <v>1093</v>
      </c>
      <c r="C13246" t="s">
        <v>16106</v>
      </c>
      <c r="D13246" t="s">
        <v>18784</v>
      </c>
      <c r="E13246" t="s">
        <v>30268</v>
      </c>
      <c r="F13246" t="s">
        <v>32664</v>
      </c>
      <c r="G13246" t="s">
        <v>32671</v>
      </c>
      <c r="H13246" t="s">
        <v>12635</v>
      </c>
      <c r="I13246" t="s">
        <v>32685</v>
      </c>
      <c r="J13246" t="s">
        <v>32984</v>
      </c>
      <c r="K13246" t="s">
        <v>42289</v>
      </c>
      <c r="M13246" t="s">
        <v>43720</v>
      </c>
      <c r="N13246" t="s">
        <v>46569</v>
      </c>
      <c r="O13246" t="s">
        <v>46570</v>
      </c>
      <c r="Q13246">
        <v>0</v>
      </c>
      <c r="R13246" t="s">
        <v>46585</v>
      </c>
      <c r="S13246" t="s">
        <v>47142</v>
      </c>
      <c r="T13246" t="s">
        <v>48307</v>
      </c>
      <c r="U13246" t="s">
        <v>59405</v>
      </c>
      <c r="V13246" t="s">
        <v>61652</v>
      </c>
      <c r="W13246" t="s">
        <v>43720</v>
      </c>
      <c r="X13246" t="s">
        <v>46586</v>
      </c>
    </row>
    <row r="13247" spans="1:24">
      <c r="A13247">
        <f>HYPERLINK("https://www.philgeps.gov.ph/GEPSNONPILOT/Tender/SplashBidNoticeAbstractUI.aspx?menuIndex=3&amp;refID=7040309&amp;Result=3","7040309")</f>
        <v>0</v>
      </c>
      <c r="B13247" t="s">
        <v>812</v>
      </c>
      <c r="C13247" t="s">
        <v>16107</v>
      </c>
      <c r="D13247" t="s">
        <v>18782</v>
      </c>
      <c r="E13247" t="s">
        <v>30269</v>
      </c>
      <c r="F13247" t="s">
        <v>32664</v>
      </c>
      <c r="G13247" t="s">
        <v>32672</v>
      </c>
      <c r="H13247" t="s">
        <v>12635</v>
      </c>
      <c r="I13247" t="s">
        <v>8797</v>
      </c>
      <c r="J13247" t="s">
        <v>40655</v>
      </c>
      <c r="K13247" t="s">
        <v>42281</v>
      </c>
      <c r="M13247" t="s">
        <v>43406</v>
      </c>
      <c r="N13247" t="s">
        <v>46569</v>
      </c>
      <c r="O13247" t="s">
        <v>46570</v>
      </c>
      <c r="P13247">
        <v>0</v>
      </c>
      <c r="Q13247">
        <v>5</v>
      </c>
      <c r="R13247" t="s">
        <v>46585</v>
      </c>
      <c r="S13247" t="s">
        <v>47146</v>
      </c>
      <c r="T13247" t="s">
        <v>48271</v>
      </c>
      <c r="U13247" t="s">
        <v>56646</v>
      </c>
      <c r="W13247" t="s">
        <v>43406</v>
      </c>
      <c r="X13247" t="s">
        <v>46586</v>
      </c>
    </row>
    <row r="13248" spans="1:24">
      <c r="A13248">
        <f>HYPERLINK("https://www.philgeps.gov.ph/GEPSNONPILOT/Tender/SplashBidNoticeAbstractUI.aspx?menuIndex=3&amp;refID=7040348&amp;Result=3","7040348")</f>
        <v>0</v>
      </c>
      <c r="B13248" t="s">
        <v>2947</v>
      </c>
      <c r="C13248" t="s">
        <v>16108</v>
      </c>
      <c r="D13248" t="s">
        <v>18784</v>
      </c>
      <c r="E13248" t="s">
        <v>30270</v>
      </c>
      <c r="F13248" t="s">
        <v>32664</v>
      </c>
      <c r="G13248" t="s">
        <v>32672</v>
      </c>
      <c r="H13248" t="s">
        <v>32683</v>
      </c>
      <c r="I13248" t="s">
        <v>10627</v>
      </c>
      <c r="J13248" t="s">
        <v>40656</v>
      </c>
      <c r="K13248" t="s">
        <v>42283</v>
      </c>
      <c r="M13248" t="s">
        <v>45801</v>
      </c>
      <c r="N13248" t="s">
        <v>46569</v>
      </c>
      <c r="O13248" t="s">
        <v>46570</v>
      </c>
      <c r="P13248">
        <v>0</v>
      </c>
      <c r="Q13248">
        <v>13</v>
      </c>
      <c r="R13248" t="s">
        <v>46585</v>
      </c>
      <c r="S13248" t="s">
        <v>47146</v>
      </c>
      <c r="T13248" t="s">
        <v>48225</v>
      </c>
      <c r="U13248" t="s">
        <v>59406</v>
      </c>
      <c r="V13248" t="s">
        <v>62790</v>
      </c>
      <c r="W13248" t="s">
        <v>45801</v>
      </c>
      <c r="X13248" t="s">
        <v>46586</v>
      </c>
    </row>
    <row r="13249" spans="1:24">
      <c r="A13249">
        <f>HYPERLINK("https://www.philgeps.gov.ph/GEPSNONPILOT/Tender/SplashBidNoticeAbstractUI.aspx?menuIndex=3&amp;refID=7039794&amp;Result=3","7039794")</f>
        <v>0</v>
      </c>
      <c r="B13249" t="s">
        <v>592</v>
      </c>
      <c r="C13249" t="s">
        <v>16109</v>
      </c>
      <c r="D13249" t="s">
        <v>18820</v>
      </c>
      <c r="E13249" t="s">
        <v>30271</v>
      </c>
      <c r="F13249" t="s">
        <v>32664</v>
      </c>
      <c r="G13249" t="s">
        <v>32672</v>
      </c>
      <c r="H13249" t="s">
        <v>12635</v>
      </c>
      <c r="I13249" t="s">
        <v>32738</v>
      </c>
      <c r="J13249" t="s">
        <v>40657</v>
      </c>
      <c r="K13249" t="s">
        <v>42283</v>
      </c>
      <c r="M13249" t="s">
        <v>43411</v>
      </c>
      <c r="N13249" t="s">
        <v>46569</v>
      </c>
      <c r="O13249" t="s">
        <v>46570</v>
      </c>
      <c r="Q13249">
        <v>3</v>
      </c>
      <c r="R13249" t="s">
        <v>46585</v>
      </c>
      <c r="S13249" t="s">
        <v>47218</v>
      </c>
      <c r="T13249" t="s">
        <v>48279</v>
      </c>
      <c r="U13249" t="s">
        <v>59355</v>
      </c>
      <c r="V13249" t="s">
        <v>63079</v>
      </c>
      <c r="W13249" t="s">
        <v>43411</v>
      </c>
      <c r="X13249" t="s">
        <v>46586</v>
      </c>
    </row>
    <row r="13250" spans="1:24">
      <c r="A13250">
        <f>HYPERLINK("https://www.philgeps.gov.ph/GEPSNONPILOT/Tender/SplashBidNoticeAbstractUI.aspx?menuIndex=3&amp;refID=7040307&amp;Result=3","7040307")</f>
        <v>0</v>
      </c>
      <c r="B13250" t="s">
        <v>3297</v>
      </c>
      <c r="C13250" t="s">
        <v>16110</v>
      </c>
      <c r="D13250" t="s">
        <v>18832</v>
      </c>
      <c r="E13250" t="s">
        <v>30272</v>
      </c>
      <c r="F13250" t="s">
        <v>32664</v>
      </c>
      <c r="G13250" t="s">
        <v>32672</v>
      </c>
      <c r="H13250" t="s">
        <v>32683</v>
      </c>
      <c r="I13250" t="s">
        <v>10627</v>
      </c>
      <c r="J13250" t="s">
        <v>40658</v>
      </c>
      <c r="K13250" t="s">
        <v>42521</v>
      </c>
      <c r="L13250" t="s">
        <v>3297</v>
      </c>
      <c r="M13250" t="s">
        <v>46241</v>
      </c>
      <c r="N13250" t="s">
        <v>46569</v>
      </c>
      <c r="O13250" t="s">
        <v>46570</v>
      </c>
      <c r="P13250">
        <v>0</v>
      </c>
      <c r="Q13250">
        <v>1</v>
      </c>
      <c r="R13250" t="s">
        <v>46585</v>
      </c>
      <c r="S13250" t="s">
        <v>47146</v>
      </c>
      <c r="T13250" t="s">
        <v>48228</v>
      </c>
      <c r="U13250" t="s">
        <v>59407</v>
      </c>
      <c r="W13250" t="s">
        <v>46241</v>
      </c>
      <c r="X13250" t="s">
        <v>46586</v>
      </c>
    </row>
    <row r="13251" spans="1:24">
      <c r="A13251">
        <f>HYPERLINK("https://www.philgeps.gov.ph/GEPSNONPILOT/Tender/SplashBidNoticeAbstractUI.aspx?menuIndex=3&amp;refID=7040088&amp;Result=3","7040088")</f>
        <v>0</v>
      </c>
      <c r="B13251" t="s">
        <v>3298</v>
      </c>
      <c r="C13251" t="s">
        <v>16111</v>
      </c>
      <c r="D13251" t="s">
        <v>18784</v>
      </c>
      <c r="E13251" t="s">
        <v>30273</v>
      </c>
      <c r="F13251" t="s">
        <v>32664</v>
      </c>
      <c r="G13251" t="s">
        <v>32672</v>
      </c>
      <c r="H13251" t="s">
        <v>12635</v>
      </c>
      <c r="I13251" t="s">
        <v>5589</v>
      </c>
      <c r="J13251" t="s">
        <v>40659</v>
      </c>
      <c r="K13251" t="s">
        <v>42305</v>
      </c>
      <c r="M13251" t="s">
        <v>46242</v>
      </c>
      <c r="N13251" t="s">
        <v>46569</v>
      </c>
      <c r="O13251" t="s">
        <v>46570</v>
      </c>
      <c r="P13251">
        <v>0</v>
      </c>
      <c r="Q13251">
        <v>9</v>
      </c>
      <c r="R13251" t="s">
        <v>46585</v>
      </c>
      <c r="S13251" t="s">
        <v>47146</v>
      </c>
      <c r="T13251" t="s">
        <v>48334</v>
      </c>
      <c r="U13251" t="s">
        <v>59408</v>
      </c>
      <c r="W13251" t="s">
        <v>46242</v>
      </c>
      <c r="X13251" t="s">
        <v>46586</v>
      </c>
    </row>
    <row r="13252" spans="1:24">
      <c r="A13252">
        <f>HYPERLINK("https://www.philgeps.gov.ph/GEPSNONPILOT/Tender/SplashBidNoticeAbstractUI.aspx?menuIndex=3&amp;refID=7040291&amp;Result=3","7040291")</f>
        <v>0</v>
      </c>
      <c r="B13252" t="s">
        <v>1544</v>
      </c>
      <c r="C13252" t="s">
        <v>16112</v>
      </c>
      <c r="D13252" t="s">
        <v>18845</v>
      </c>
      <c r="E13252" t="s">
        <v>30274</v>
      </c>
      <c r="F13252" t="s">
        <v>32664</v>
      </c>
      <c r="G13252" t="s">
        <v>32672</v>
      </c>
      <c r="H13252" t="s">
        <v>32683</v>
      </c>
      <c r="I13252" t="s">
        <v>10627</v>
      </c>
      <c r="J13252" t="s">
        <v>40660</v>
      </c>
      <c r="K13252" t="s">
        <v>42315</v>
      </c>
      <c r="M13252" t="s">
        <v>44213</v>
      </c>
      <c r="N13252" t="s">
        <v>46569</v>
      </c>
      <c r="O13252" t="s">
        <v>46570</v>
      </c>
      <c r="P13252">
        <v>0</v>
      </c>
      <c r="Q13252">
        <v>1</v>
      </c>
      <c r="R13252" t="s">
        <v>46585</v>
      </c>
      <c r="S13252" t="s">
        <v>47146</v>
      </c>
      <c r="T13252" t="s">
        <v>48258</v>
      </c>
      <c r="U13252" t="s">
        <v>59409</v>
      </c>
      <c r="W13252" t="s">
        <v>44213</v>
      </c>
      <c r="X13252" t="s">
        <v>46586</v>
      </c>
    </row>
    <row r="13253" spans="1:24">
      <c r="A13253">
        <f>HYPERLINK("https://www.philgeps.gov.ph/GEPSNONPILOT/Tender/SplashBidNoticeAbstractUI.aspx?menuIndex=3&amp;refID=7040285&amp;Result=3","7040285")</f>
        <v>0</v>
      </c>
      <c r="B13253" t="s">
        <v>812</v>
      </c>
      <c r="C13253" t="s">
        <v>16113</v>
      </c>
      <c r="D13253" t="s">
        <v>18782</v>
      </c>
      <c r="E13253" t="s">
        <v>30275</v>
      </c>
      <c r="F13253" t="s">
        <v>32664</v>
      </c>
      <c r="G13253" t="s">
        <v>32672</v>
      </c>
      <c r="H13253" t="s">
        <v>12635</v>
      </c>
      <c r="I13253" t="s">
        <v>9486</v>
      </c>
      <c r="J13253" t="s">
        <v>40661</v>
      </c>
      <c r="K13253" t="s">
        <v>42281</v>
      </c>
      <c r="M13253" t="s">
        <v>43406</v>
      </c>
      <c r="N13253" t="s">
        <v>46569</v>
      </c>
      <c r="O13253" t="s">
        <v>46570</v>
      </c>
      <c r="P13253">
        <v>0</v>
      </c>
      <c r="Q13253">
        <v>3</v>
      </c>
      <c r="R13253" t="s">
        <v>46585</v>
      </c>
      <c r="S13253" t="s">
        <v>47146</v>
      </c>
      <c r="T13253" t="s">
        <v>48271</v>
      </c>
      <c r="U13253" t="s">
        <v>56646</v>
      </c>
      <c r="W13253" t="s">
        <v>43406</v>
      </c>
      <c r="X13253" t="s">
        <v>46586</v>
      </c>
    </row>
    <row r="13254" spans="1:24">
      <c r="A13254">
        <f>HYPERLINK("https://www.philgeps.gov.ph/GEPSNONPILOT/Tender/SplashBidNoticeAbstractUI.aspx?menuIndex=3&amp;refID=7040262&amp;Result=3","7040262")</f>
        <v>0</v>
      </c>
      <c r="B13254" t="s">
        <v>173</v>
      </c>
      <c r="C13254" t="s">
        <v>16114</v>
      </c>
      <c r="E13254" t="s">
        <v>30276</v>
      </c>
      <c r="F13254" t="s">
        <v>32664</v>
      </c>
      <c r="G13254" t="s">
        <v>32672</v>
      </c>
      <c r="H13254" t="s">
        <v>12635</v>
      </c>
      <c r="I13254" t="s">
        <v>32703</v>
      </c>
      <c r="J13254" t="s">
        <v>40662</v>
      </c>
      <c r="K13254" t="s">
        <v>42281</v>
      </c>
      <c r="M13254" t="s">
        <v>46243</v>
      </c>
      <c r="N13254" t="s">
        <v>46569</v>
      </c>
      <c r="O13254" t="s">
        <v>46570</v>
      </c>
      <c r="Q13254">
        <v>11</v>
      </c>
      <c r="R13254" t="s">
        <v>46585</v>
      </c>
      <c r="S13254" t="s">
        <v>47219</v>
      </c>
      <c r="T13254" t="s">
        <v>48230</v>
      </c>
      <c r="U13254" t="s">
        <v>59410</v>
      </c>
      <c r="W13254" t="s">
        <v>46243</v>
      </c>
      <c r="X13254" t="s">
        <v>46586</v>
      </c>
    </row>
    <row r="13255" spans="1:24">
      <c r="A13255">
        <f>HYPERLINK("https://www.philgeps.gov.ph/GEPSNONPILOT/Tender/SplashBidNoticeAbstractUI.aspx?menuIndex=3&amp;refID=7040245&amp;Result=3","7040245")</f>
        <v>0</v>
      </c>
      <c r="B13255" t="s">
        <v>638</v>
      </c>
      <c r="C13255" t="s">
        <v>16115</v>
      </c>
      <c r="E13255" t="s">
        <v>30277</v>
      </c>
      <c r="F13255" t="s">
        <v>32664</v>
      </c>
      <c r="G13255" t="s">
        <v>32672</v>
      </c>
      <c r="H13255" t="s">
        <v>12635</v>
      </c>
      <c r="I13255" t="s">
        <v>10627</v>
      </c>
      <c r="J13255" t="s">
        <v>32943</v>
      </c>
      <c r="K13255" t="s">
        <v>42345</v>
      </c>
      <c r="M13255" t="s">
        <v>43221</v>
      </c>
      <c r="N13255" t="s">
        <v>46569</v>
      </c>
      <c r="O13255" t="s">
        <v>46570</v>
      </c>
      <c r="P13255">
        <v>0</v>
      </c>
      <c r="Q13255">
        <v>2</v>
      </c>
      <c r="R13255" t="s">
        <v>46585</v>
      </c>
      <c r="S13255" t="s">
        <v>47146</v>
      </c>
      <c r="T13255" t="s">
        <v>48282</v>
      </c>
      <c r="U13255" t="s">
        <v>59411</v>
      </c>
      <c r="W13255" t="s">
        <v>43221</v>
      </c>
      <c r="X13255" t="s">
        <v>46586</v>
      </c>
    </row>
    <row r="13256" spans="1:24">
      <c r="A13256">
        <f>HYPERLINK("https://www.philgeps.gov.ph/GEPSNONPILOT/Tender/SplashBidNoticeAbstractUI.aspx?menuIndex=3&amp;refID=7040382&amp;Result=3","7040382")</f>
        <v>0</v>
      </c>
      <c r="B13256" t="s">
        <v>2947</v>
      </c>
      <c r="C13256" t="s">
        <v>16116</v>
      </c>
      <c r="D13256" t="s">
        <v>18784</v>
      </c>
      <c r="E13256" t="s">
        <v>30278</v>
      </c>
      <c r="F13256" t="s">
        <v>32664</v>
      </c>
      <c r="G13256" t="s">
        <v>32672</v>
      </c>
      <c r="H13256" t="s">
        <v>12635</v>
      </c>
      <c r="I13256" t="s">
        <v>6628</v>
      </c>
      <c r="J13256" t="s">
        <v>40663</v>
      </c>
      <c r="K13256" t="s">
        <v>42283</v>
      </c>
      <c r="M13256" t="s">
        <v>45801</v>
      </c>
      <c r="N13256" t="s">
        <v>46569</v>
      </c>
      <c r="O13256" t="s">
        <v>46570</v>
      </c>
      <c r="Q13256">
        <v>27</v>
      </c>
      <c r="R13256" t="s">
        <v>46585</v>
      </c>
      <c r="S13256" t="s">
        <v>47220</v>
      </c>
      <c r="T13256" t="s">
        <v>48225</v>
      </c>
      <c r="U13256" t="s">
        <v>59412</v>
      </c>
      <c r="V13256" t="s">
        <v>62790</v>
      </c>
      <c r="W13256" t="s">
        <v>45801</v>
      </c>
      <c r="X13256" t="s">
        <v>46586</v>
      </c>
    </row>
    <row r="13257" spans="1:24">
      <c r="A13257">
        <f>HYPERLINK("https://www.philgeps.gov.ph/GEPSNONPILOT/Tender/SplashBidNoticeAbstractUI.aspx?menuIndex=3&amp;refID=7040494&amp;Result=3","7040494")</f>
        <v>0</v>
      </c>
      <c r="B13257" t="s">
        <v>1797</v>
      </c>
      <c r="C13257" t="s">
        <v>16117</v>
      </c>
      <c r="D13257" t="s">
        <v>18831</v>
      </c>
      <c r="E13257" t="s">
        <v>30279</v>
      </c>
      <c r="F13257" t="s">
        <v>32664</v>
      </c>
      <c r="G13257" t="s">
        <v>32672</v>
      </c>
      <c r="H13257" t="s">
        <v>12635</v>
      </c>
      <c r="I13257" t="s">
        <v>5589</v>
      </c>
      <c r="J13257" t="s">
        <v>37655</v>
      </c>
      <c r="K13257" t="s">
        <v>42281</v>
      </c>
      <c r="M13257" t="s">
        <v>44500</v>
      </c>
      <c r="N13257" t="s">
        <v>46569</v>
      </c>
      <c r="O13257" t="s">
        <v>46570</v>
      </c>
      <c r="P13257">
        <v>0</v>
      </c>
      <c r="Q13257">
        <v>6</v>
      </c>
      <c r="R13257" t="s">
        <v>46585</v>
      </c>
      <c r="S13257" t="s">
        <v>47146</v>
      </c>
      <c r="T13257" t="s">
        <v>48248</v>
      </c>
      <c r="U13257" t="s">
        <v>59413</v>
      </c>
      <c r="V13257" t="s">
        <v>62172</v>
      </c>
      <c r="W13257" t="s">
        <v>44500</v>
      </c>
      <c r="X13257" t="s">
        <v>46586</v>
      </c>
    </row>
    <row r="13258" spans="1:24">
      <c r="A13258">
        <f>HYPERLINK("https://www.philgeps.gov.ph/GEPSNONPILOT/Tender/SplashBidNoticeAbstractUI.aspx?menuIndex=3&amp;refID=7040329&amp;Result=3","7040329")</f>
        <v>0</v>
      </c>
      <c r="B13258" t="s">
        <v>638</v>
      </c>
      <c r="C13258" t="s">
        <v>16118</v>
      </c>
      <c r="E13258" t="s">
        <v>30280</v>
      </c>
      <c r="F13258" t="s">
        <v>32664</v>
      </c>
      <c r="G13258" t="s">
        <v>32672</v>
      </c>
      <c r="H13258" t="s">
        <v>12635</v>
      </c>
      <c r="I13258" t="s">
        <v>10627</v>
      </c>
      <c r="J13258" t="s">
        <v>34379</v>
      </c>
      <c r="K13258" t="s">
        <v>42308</v>
      </c>
      <c r="M13258" t="s">
        <v>43221</v>
      </c>
      <c r="N13258" t="s">
        <v>46569</v>
      </c>
      <c r="O13258" t="s">
        <v>46570</v>
      </c>
      <c r="P13258">
        <v>0</v>
      </c>
      <c r="Q13258">
        <v>1</v>
      </c>
      <c r="R13258" t="s">
        <v>46585</v>
      </c>
      <c r="S13258" t="s">
        <v>47146</v>
      </c>
      <c r="T13258" t="s">
        <v>48282</v>
      </c>
      <c r="U13258" t="s">
        <v>59414</v>
      </c>
      <c r="W13258" t="s">
        <v>43221</v>
      </c>
      <c r="X13258" t="s">
        <v>46586</v>
      </c>
    </row>
    <row r="13259" spans="1:24">
      <c r="A13259">
        <f>HYPERLINK("https://www.philgeps.gov.ph/GEPSNONPILOT/Tender/SplashBidNoticeAbstractUI.aspx?menuIndex=3&amp;refID=7040322&amp;Result=3","7040322")</f>
        <v>0</v>
      </c>
      <c r="B13259" t="s">
        <v>3299</v>
      </c>
      <c r="C13259" t="s">
        <v>16119</v>
      </c>
      <c r="D13259" t="s">
        <v>18791</v>
      </c>
      <c r="E13259" t="s">
        <v>30281</v>
      </c>
      <c r="F13259" t="s">
        <v>32664</v>
      </c>
      <c r="G13259" t="s">
        <v>32672</v>
      </c>
      <c r="H13259" t="s">
        <v>12635</v>
      </c>
      <c r="I13259" t="s">
        <v>11464</v>
      </c>
      <c r="J13259" t="s">
        <v>32981</v>
      </c>
      <c r="K13259" t="s">
        <v>42325</v>
      </c>
      <c r="M13259" t="s">
        <v>46244</v>
      </c>
      <c r="N13259" t="s">
        <v>46569</v>
      </c>
      <c r="O13259" t="s">
        <v>46570</v>
      </c>
      <c r="P13259">
        <v>0</v>
      </c>
      <c r="Q13259">
        <v>5</v>
      </c>
      <c r="R13259" t="s">
        <v>46585</v>
      </c>
      <c r="S13259" t="s">
        <v>47146</v>
      </c>
      <c r="T13259" t="s">
        <v>48304</v>
      </c>
      <c r="U13259" t="s">
        <v>59415</v>
      </c>
      <c r="W13259" t="s">
        <v>46244</v>
      </c>
      <c r="X13259" t="s">
        <v>46586</v>
      </c>
    </row>
    <row r="13260" spans="1:24">
      <c r="A13260">
        <f>HYPERLINK("https://www.philgeps.gov.ph/GEPSNONPILOT/Tender/SplashBidNoticeAbstractUI.aspx?menuIndex=3&amp;refID=7040094&amp;Result=3","7040094")</f>
        <v>0</v>
      </c>
      <c r="B13260" t="s">
        <v>3300</v>
      </c>
      <c r="C13260" t="s">
        <v>16120</v>
      </c>
      <c r="D13260" t="s">
        <v>18851</v>
      </c>
      <c r="E13260" t="s">
        <v>19010</v>
      </c>
      <c r="F13260" t="s">
        <v>32664</v>
      </c>
      <c r="G13260" t="s">
        <v>32672</v>
      </c>
      <c r="H13260" t="s">
        <v>12635</v>
      </c>
      <c r="I13260" t="s">
        <v>4439</v>
      </c>
      <c r="J13260" t="s">
        <v>40664</v>
      </c>
      <c r="K13260" t="s">
        <v>42297</v>
      </c>
      <c r="M13260" t="s">
        <v>46245</v>
      </c>
      <c r="N13260" t="s">
        <v>46569</v>
      </c>
      <c r="O13260" t="s">
        <v>46570</v>
      </c>
      <c r="P13260">
        <v>0</v>
      </c>
      <c r="Q13260">
        <v>0</v>
      </c>
      <c r="R13260" t="s">
        <v>46585</v>
      </c>
      <c r="S13260" t="s">
        <v>47146</v>
      </c>
      <c r="T13260" t="s">
        <v>48268</v>
      </c>
      <c r="U13260" t="s">
        <v>59416</v>
      </c>
      <c r="W13260" t="s">
        <v>46245</v>
      </c>
      <c r="X13260" t="s">
        <v>46586</v>
      </c>
    </row>
    <row r="13261" spans="1:24">
      <c r="A13261">
        <f>HYPERLINK("https://www.philgeps.gov.ph/GEPSNONPILOT/Tender/SplashBidNoticeAbstractUI.aspx?menuIndex=3&amp;refID=7040464&amp;Result=3","7040464")</f>
        <v>0</v>
      </c>
      <c r="B13261" t="s">
        <v>3301</v>
      </c>
      <c r="C13261" t="s">
        <v>16121</v>
      </c>
      <c r="D13261" t="s">
        <v>18850</v>
      </c>
      <c r="E13261" t="s">
        <v>30282</v>
      </c>
      <c r="F13261" t="s">
        <v>32664</v>
      </c>
      <c r="G13261" t="s">
        <v>32672</v>
      </c>
      <c r="H13261" t="s">
        <v>12635</v>
      </c>
      <c r="I13261" t="s">
        <v>9486</v>
      </c>
      <c r="J13261" t="s">
        <v>40665</v>
      </c>
      <c r="K13261" t="s">
        <v>42311</v>
      </c>
      <c r="M13261" t="s">
        <v>46246</v>
      </c>
      <c r="N13261" t="s">
        <v>46569</v>
      </c>
      <c r="O13261" t="s">
        <v>46570</v>
      </c>
      <c r="P13261">
        <v>0</v>
      </c>
      <c r="Q13261">
        <v>5</v>
      </c>
      <c r="R13261" t="s">
        <v>46585</v>
      </c>
      <c r="S13261" t="s">
        <v>47146</v>
      </c>
      <c r="T13261" t="s">
        <v>48226</v>
      </c>
      <c r="U13261" t="s">
        <v>59417</v>
      </c>
      <c r="W13261" t="s">
        <v>46246</v>
      </c>
      <c r="X13261" t="s">
        <v>46586</v>
      </c>
    </row>
    <row r="13262" spans="1:24">
      <c r="A13262">
        <f>HYPERLINK("https://www.philgeps.gov.ph/GEPSNONPILOT/Tender/SplashBidNoticeAbstractUI.aspx?menuIndex=3&amp;refID=7040458&amp;Result=3","7040458")</f>
        <v>0</v>
      </c>
      <c r="B13262" t="s">
        <v>3302</v>
      </c>
      <c r="C13262" t="s">
        <v>16122</v>
      </c>
      <c r="D13262" t="s">
        <v>18806</v>
      </c>
      <c r="E13262" t="s">
        <v>30283</v>
      </c>
      <c r="F13262" t="s">
        <v>32664</v>
      </c>
      <c r="G13262" t="s">
        <v>32672</v>
      </c>
      <c r="H13262" t="s">
        <v>32683</v>
      </c>
      <c r="I13262" t="s">
        <v>6553</v>
      </c>
      <c r="J13262" t="s">
        <v>40666</v>
      </c>
      <c r="K13262" t="s">
        <v>42290</v>
      </c>
      <c r="M13262" t="s">
        <v>46247</v>
      </c>
      <c r="N13262" t="s">
        <v>46569</v>
      </c>
      <c r="O13262" t="s">
        <v>46570</v>
      </c>
      <c r="P13262">
        <v>0</v>
      </c>
      <c r="Q13262">
        <v>13</v>
      </c>
      <c r="R13262" t="s">
        <v>46585</v>
      </c>
      <c r="S13262" t="s">
        <v>47146</v>
      </c>
      <c r="T13262" t="s">
        <v>48285</v>
      </c>
      <c r="U13262" t="s">
        <v>59418</v>
      </c>
      <c r="V13262" t="s">
        <v>63089</v>
      </c>
      <c r="W13262" t="s">
        <v>46247</v>
      </c>
      <c r="X13262" t="s">
        <v>46586</v>
      </c>
    </row>
    <row r="13263" spans="1:24">
      <c r="A13263">
        <f>HYPERLINK("https://www.philgeps.gov.ph/GEPSNONPILOT/Tender/SplashBidNoticeAbstractUI.aspx?menuIndex=3&amp;refID=7040479&amp;Result=3","7040479")</f>
        <v>0</v>
      </c>
      <c r="B13263" t="s">
        <v>611</v>
      </c>
      <c r="C13263" t="s">
        <v>16123</v>
      </c>
      <c r="E13263" t="s">
        <v>30284</v>
      </c>
      <c r="F13263" t="s">
        <v>32664</v>
      </c>
      <c r="G13263" t="s">
        <v>32672</v>
      </c>
      <c r="H13263" t="s">
        <v>12635</v>
      </c>
      <c r="I13263" t="s">
        <v>32704</v>
      </c>
      <c r="J13263" t="s">
        <v>36071</v>
      </c>
      <c r="K13263" t="s">
        <v>42298</v>
      </c>
      <c r="M13263" t="s">
        <v>45121</v>
      </c>
      <c r="N13263" t="s">
        <v>46569</v>
      </c>
      <c r="O13263" t="s">
        <v>46570</v>
      </c>
      <c r="P13263">
        <v>0</v>
      </c>
      <c r="Q13263">
        <v>43</v>
      </c>
      <c r="R13263" t="s">
        <v>46585</v>
      </c>
      <c r="S13263" t="s">
        <v>47146</v>
      </c>
      <c r="T13263" t="s">
        <v>48369</v>
      </c>
      <c r="U13263" t="s">
        <v>58638</v>
      </c>
      <c r="W13263" t="s">
        <v>45121</v>
      </c>
      <c r="X13263" t="s">
        <v>46586</v>
      </c>
    </row>
    <row r="13264" spans="1:24">
      <c r="A13264">
        <f>HYPERLINK("https://www.philgeps.gov.ph/GEPSNONPILOT/Tender/SplashBidNoticeAbstractUI.aspx?menuIndex=3&amp;refID=7040246&amp;Result=3","7040246")</f>
        <v>0</v>
      </c>
      <c r="B13264" t="s">
        <v>3303</v>
      </c>
      <c r="C13264" t="s">
        <v>16124</v>
      </c>
      <c r="D13264" t="s">
        <v>18783</v>
      </c>
      <c r="E13264" t="s">
        <v>30285</v>
      </c>
      <c r="F13264" t="s">
        <v>32664</v>
      </c>
      <c r="G13264" t="s">
        <v>32672</v>
      </c>
      <c r="H13264" t="s">
        <v>12635</v>
      </c>
      <c r="I13264" t="s">
        <v>5589</v>
      </c>
      <c r="J13264" t="s">
        <v>33001</v>
      </c>
      <c r="K13264" t="s">
        <v>42298</v>
      </c>
      <c r="M13264" t="s">
        <v>46248</v>
      </c>
      <c r="N13264" t="s">
        <v>46569</v>
      </c>
      <c r="O13264" t="s">
        <v>46570</v>
      </c>
      <c r="Q13264">
        <v>11</v>
      </c>
      <c r="R13264" t="s">
        <v>46585</v>
      </c>
      <c r="S13264" t="s">
        <v>47221</v>
      </c>
      <c r="T13264" t="s">
        <v>48221</v>
      </c>
      <c r="U13264" t="s">
        <v>59419</v>
      </c>
      <c r="W13264" t="s">
        <v>46248</v>
      </c>
      <c r="X13264" t="s">
        <v>46586</v>
      </c>
    </row>
    <row r="13265" spans="1:24">
      <c r="A13265">
        <f>HYPERLINK("https://www.philgeps.gov.ph/GEPSNONPILOT/Tender/SplashBidNoticeAbstractUI.aspx?menuIndex=3&amp;refID=7040455&amp;Result=3","7040455")</f>
        <v>0</v>
      </c>
      <c r="B13265" t="s">
        <v>3243</v>
      </c>
      <c r="C13265" t="s">
        <v>16125</v>
      </c>
      <c r="D13265" t="s">
        <v>18828</v>
      </c>
      <c r="E13265" t="s">
        <v>30286</v>
      </c>
      <c r="F13265" t="s">
        <v>32664</v>
      </c>
      <c r="G13265" t="s">
        <v>32672</v>
      </c>
      <c r="H13265" t="s">
        <v>32683</v>
      </c>
      <c r="I13265" t="s">
        <v>10627</v>
      </c>
      <c r="J13265" t="s">
        <v>40667</v>
      </c>
      <c r="K13265" t="s">
        <v>42513</v>
      </c>
      <c r="M13265" t="s">
        <v>46167</v>
      </c>
      <c r="N13265" t="s">
        <v>46569</v>
      </c>
      <c r="O13265" t="s">
        <v>46570</v>
      </c>
      <c r="P13265">
        <v>0</v>
      </c>
      <c r="Q13265">
        <v>0</v>
      </c>
      <c r="R13265" t="s">
        <v>46585</v>
      </c>
      <c r="S13265" t="s">
        <v>47146</v>
      </c>
      <c r="T13265" t="s">
        <v>48283</v>
      </c>
      <c r="U13265" t="s">
        <v>59420</v>
      </c>
      <c r="V13265" t="s">
        <v>63090</v>
      </c>
      <c r="W13265" t="s">
        <v>46167</v>
      </c>
      <c r="X13265" t="s">
        <v>46586</v>
      </c>
    </row>
    <row r="13266" spans="1:24">
      <c r="A13266">
        <f>HYPERLINK("https://www.philgeps.gov.ph/GEPSNONPILOT/Tender/SplashBidNoticeAbstractUI.aspx?menuIndex=3&amp;refID=7040423&amp;Result=3","7040423")</f>
        <v>0</v>
      </c>
      <c r="B13266" t="s">
        <v>3304</v>
      </c>
      <c r="C13266" t="s">
        <v>16126</v>
      </c>
      <c r="D13266" t="s">
        <v>18789</v>
      </c>
      <c r="E13266" t="s">
        <v>21565</v>
      </c>
      <c r="F13266" t="s">
        <v>32664</v>
      </c>
      <c r="G13266" t="s">
        <v>32672</v>
      </c>
      <c r="H13266" t="s">
        <v>12635</v>
      </c>
      <c r="I13266" t="s">
        <v>4439</v>
      </c>
      <c r="J13266" t="s">
        <v>40668</v>
      </c>
      <c r="K13266" t="s">
        <v>42289</v>
      </c>
      <c r="M13266" t="s">
        <v>46249</v>
      </c>
      <c r="N13266" t="s">
        <v>46569</v>
      </c>
      <c r="O13266" t="s">
        <v>46570</v>
      </c>
      <c r="P13266">
        <v>0</v>
      </c>
      <c r="Q13266">
        <v>0</v>
      </c>
      <c r="R13266" t="s">
        <v>46585</v>
      </c>
      <c r="S13266" t="s">
        <v>47146</v>
      </c>
      <c r="T13266" t="s">
        <v>48290</v>
      </c>
      <c r="U13266" t="s">
        <v>59421</v>
      </c>
      <c r="W13266" t="s">
        <v>46249</v>
      </c>
      <c r="X13266" t="s">
        <v>46586</v>
      </c>
    </row>
    <row r="13267" spans="1:24">
      <c r="A13267">
        <f>HYPERLINK("https://www.philgeps.gov.ph/GEPSNONPILOT/Tender/SplashBidNoticeAbstractUI.aspx?menuIndex=3&amp;refID=7040412&amp;Result=3","7040412")</f>
        <v>0</v>
      </c>
      <c r="B13267" t="s">
        <v>426</v>
      </c>
      <c r="C13267" t="s">
        <v>16127</v>
      </c>
      <c r="D13267" t="s">
        <v>18841</v>
      </c>
      <c r="E13267" t="s">
        <v>30287</v>
      </c>
      <c r="F13267" t="s">
        <v>32664</v>
      </c>
      <c r="G13267" t="s">
        <v>32671</v>
      </c>
      <c r="H13267" t="s">
        <v>12635</v>
      </c>
      <c r="I13267" t="s">
        <v>14442</v>
      </c>
      <c r="J13267" t="s">
        <v>32984</v>
      </c>
      <c r="K13267" t="s">
        <v>42289</v>
      </c>
      <c r="M13267" t="s">
        <v>42997</v>
      </c>
      <c r="N13267" t="s">
        <v>46569</v>
      </c>
      <c r="O13267" t="s">
        <v>46570</v>
      </c>
      <c r="Q13267">
        <v>3</v>
      </c>
      <c r="R13267" t="s">
        <v>46585</v>
      </c>
      <c r="S13267" t="s">
        <v>47222</v>
      </c>
      <c r="T13267" t="s">
        <v>48448</v>
      </c>
      <c r="U13267" t="s">
        <v>59422</v>
      </c>
      <c r="W13267" t="s">
        <v>42997</v>
      </c>
      <c r="X13267" t="s">
        <v>46586</v>
      </c>
    </row>
    <row r="13268" spans="1:24">
      <c r="A13268">
        <f>HYPERLINK("https://www.philgeps.gov.ph/GEPSNONPILOT/Tender/SplashBidNoticeAbstractUI.aspx?menuIndex=3&amp;refID=7040402&amp;Result=3","7040402")</f>
        <v>0</v>
      </c>
      <c r="B13268" t="s">
        <v>1706</v>
      </c>
      <c r="C13268" t="s">
        <v>16128</v>
      </c>
      <c r="D13268" t="s">
        <v>18793</v>
      </c>
      <c r="E13268" t="s">
        <v>30288</v>
      </c>
      <c r="F13268" t="s">
        <v>32664</v>
      </c>
      <c r="G13268" t="s">
        <v>32672</v>
      </c>
      <c r="H13268" t="s">
        <v>32683</v>
      </c>
      <c r="I13268" t="s">
        <v>10627</v>
      </c>
      <c r="J13268" t="s">
        <v>32962</v>
      </c>
      <c r="K13268" t="s">
        <v>42311</v>
      </c>
      <c r="M13268" t="s">
        <v>44400</v>
      </c>
      <c r="N13268" t="s">
        <v>46569</v>
      </c>
      <c r="O13268" t="s">
        <v>46570</v>
      </c>
      <c r="P13268">
        <v>0</v>
      </c>
      <c r="Q13268">
        <v>7</v>
      </c>
      <c r="R13268" t="s">
        <v>46585</v>
      </c>
      <c r="S13268" t="s">
        <v>47146</v>
      </c>
      <c r="T13268" t="s">
        <v>48304</v>
      </c>
      <c r="U13268" t="s">
        <v>59423</v>
      </c>
      <c r="W13268" t="s">
        <v>44400</v>
      </c>
      <c r="X13268" t="s">
        <v>46586</v>
      </c>
    </row>
    <row r="13269" spans="1:24">
      <c r="A13269">
        <f>HYPERLINK("https://www.philgeps.gov.ph/GEPSNONPILOT/Tender/SplashBidNoticeAbstractUI.aspx?menuIndex=3&amp;refID=7040442&amp;Result=3","7040442")</f>
        <v>0</v>
      </c>
      <c r="B13269" t="s">
        <v>1958</v>
      </c>
      <c r="C13269" t="s">
        <v>16129</v>
      </c>
      <c r="D13269" t="s">
        <v>18841</v>
      </c>
      <c r="E13269" t="s">
        <v>30289</v>
      </c>
      <c r="F13269" t="s">
        <v>32665</v>
      </c>
      <c r="G13269" t="s">
        <v>32672</v>
      </c>
      <c r="H13269" t="s">
        <v>12635</v>
      </c>
      <c r="I13269" t="s">
        <v>4439</v>
      </c>
      <c r="J13269" t="s">
        <v>40669</v>
      </c>
      <c r="K13269" t="s">
        <v>42289</v>
      </c>
      <c r="M13269" t="s">
        <v>44687</v>
      </c>
      <c r="N13269" t="s">
        <v>46569</v>
      </c>
      <c r="O13269" t="s">
        <v>46570</v>
      </c>
      <c r="P13269">
        <v>0</v>
      </c>
      <c r="Q13269">
        <v>0</v>
      </c>
      <c r="R13269" t="s">
        <v>46585</v>
      </c>
      <c r="S13269" t="s">
        <v>47146</v>
      </c>
      <c r="T13269" t="s">
        <v>48448</v>
      </c>
      <c r="U13269" t="s">
        <v>53650</v>
      </c>
      <c r="W13269" t="s">
        <v>44687</v>
      </c>
      <c r="X13269" t="s">
        <v>46586</v>
      </c>
    </row>
    <row r="13270" spans="1:24">
      <c r="A13270">
        <f>HYPERLINK("https://www.philgeps.gov.ph/GEPSNONPILOT/Tender/SplashBidNoticeAbstractUI.aspx?menuIndex=3&amp;refID=7040395&amp;Result=3","7040395")</f>
        <v>0</v>
      </c>
      <c r="B13270" t="s">
        <v>638</v>
      </c>
      <c r="C13270" t="s">
        <v>16130</v>
      </c>
      <c r="E13270" t="s">
        <v>30290</v>
      </c>
      <c r="F13270" t="s">
        <v>32664</v>
      </c>
      <c r="G13270" t="s">
        <v>32672</v>
      </c>
      <c r="H13270" t="s">
        <v>12635</v>
      </c>
      <c r="I13270" t="s">
        <v>4439</v>
      </c>
      <c r="J13270" t="s">
        <v>40670</v>
      </c>
      <c r="K13270" t="s">
        <v>42297</v>
      </c>
      <c r="M13270" t="s">
        <v>43221</v>
      </c>
      <c r="N13270" t="s">
        <v>46569</v>
      </c>
      <c r="O13270" t="s">
        <v>46570</v>
      </c>
      <c r="P13270">
        <v>0</v>
      </c>
      <c r="Q13270">
        <v>1</v>
      </c>
      <c r="R13270" t="s">
        <v>46585</v>
      </c>
      <c r="S13270" t="s">
        <v>47146</v>
      </c>
      <c r="T13270" t="s">
        <v>48282</v>
      </c>
      <c r="U13270" t="s">
        <v>59424</v>
      </c>
      <c r="W13270" t="s">
        <v>43221</v>
      </c>
      <c r="X13270" t="s">
        <v>46586</v>
      </c>
    </row>
    <row r="13271" spans="1:24">
      <c r="A13271">
        <f>HYPERLINK("https://www.philgeps.gov.ph/GEPSNONPILOT/Tender/SplashBidNoticeAbstractUI.aspx?menuIndex=3&amp;refID=7040385&amp;Result=3","7040385")</f>
        <v>0</v>
      </c>
      <c r="B13271" t="s">
        <v>3297</v>
      </c>
      <c r="C13271" t="s">
        <v>16131</v>
      </c>
      <c r="D13271" t="s">
        <v>18832</v>
      </c>
      <c r="E13271" t="s">
        <v>30291</v>
      </c>
      <c r="F13271" t="s">
        <v>32664</v>
      </c>
      <c r="G13271" t="s">
        <v>32672</v>
      </c>
      <c r="H13271" t="s">
        <v>32683</v>
      </c>
      <c r="I13271" t="s">
        <v>10627</v>
      </c>
      <c r="J13271" t="s">
        <v>40671</v>
      </c>
      <c r="K13271" t="s">
        <v>42444</v>
      </c>
      <c r="L13271" t="s">
        <v>3297</v>
      </c>
      <c r="M13271" t="s">
        <v>46241</v>
      </c>
      <c r="N13271" t="s">
        <v>46569</v>
      </c>
      <c r="O13271" t="s">
        <v>46570</v>
      </c>
      <c r="P13271">
        <v>0</v>
      </c>
      <c r="Q13271">
        <v>1</v>
      </c>
      <c r="R13271" t="s">
        <v>46585</v>
      </c>
      <c r="S13271" t="s">
        <v>47146</v>
      </c>
      <c r="T13271" t="s">
        <v>48228</v>
      </c>
      <c r="U13271" t="s">
        <v>59425</v>
      </c>
      <c r="W13271" t="s">
        <v>46241</v>
      </c>
      <c r="X13271" t="s">
        <v>46586</v>
      </c>
    </row>
    <row r="13272" spans="1:24">
      <c r="A13272">
        <f>HYPERLINK("https://www.philgeps.gov.ph/GEPSNONPILOT/Tender/SplashBidNoticeAbstractUI.aspx?menuIndex=3&amp;refID=7040447&amp;Result=3","7040447")</f>
        <v>0</v>
      </c>
      <c r="B13272" t="s">
        <v>3305</v>
      </c>
      <c r="C13272" t="s">
        <v>16132</v>
      </c>
      <c r="D13272" t="s">
        <v>18783</v>
      </c>
      <c r="E13272" t="s">
        <v>30292</v>
      </c>
      <c r="F13272" t="s">
        <v>32664</v>
      </c>
      <c r="G13272" t="s">
        <v>32672</v>
      </c>
      <c r="H13272" t="s">
        <v>32683</v>
      </c>
      <c r="I13272" t="s">
        <v>32716</v>
      </c>
      <c r="J13272" t="s">
        <v>40672</v>
      </c>
      <c r="K13272" t="s">
        <v>42290</v>
      </c>
      <c r="M13272" t="s">
        <v>46250</v>
      </c>
      <c r="N13272" t="s">
        <v>46569</v>
      </c>
      <c r="O13272" t="s">
        <v>46570</v>
      </c>
      <c r="P13272">
        <v>0</v>
      </c>
      <c r="Q13272">
        <v>2</v>
      </c>
      <c r="R13272" t="s">
        <v>46585</v>
      </c>
      <c r="S13272" t="s">
        <v>47146</v>
      </c>
      <c r="T13272" t="s">
        <v>48356</v>
      </c>
      <c r="U13272" t="s">
        <v>59426</v>
      </c>
      <c r="W13272" t="s">
        <v>46250</v>
      </c>
      <c r="X13272" t="s">
        <v>46586</v>
      </c>
    </row>
    <row r="13273" spans="1:24">
      <c r="A13273">
        <f>HYPERLINK("https://www.philgeps.gov.ph/GEPSNONPILOT/Tender/SplashBidNoticeAbstractUI.aspx?menuIndex=3&amp;refID=7040466&amp;Result=3","7040466")</f>
        <v>0</v>
      </c>
      <c r="B13273" t="s">
        <v>3306</v>
      </c>
      <c r="C13273" t="s">
        <v>16133</v>
      </c>
      <c r="D13273" t="s">
        <v>18781</v>
      </c>
      <c r="E13273" t="s">
        <v>30293</v>
      </c>
      <c r="F13273" t="s">
        <v>32664</v>
      </c>
      <c r="G13273" t="s">
        <v>32672</v>
      </c>
      <c r="H13273" t="s">
        <v>12635</v>
      </c>
      <c r="I13273" t="s">
        <v>32699</v>
      </c>
      <c r="J13273" t="s">
        <v>40673</v>
      </c>
      <c r="K13273" t="s">
        <v>42330</v>
      </c>
      <c r="M13273" t="s">
        <v>46251</v>
      </c>
      <c r="N13273" t="s">
        <v>46569</v>
      </c>
      <c r="O13273" t="s">
        <v>46570</v>
      </c>
      <c r="P13273">
        <v>0</v>
      </c>
      <c r="Q13273">
        <v>5</v>
      </c>
      <c r="R13273" t="s">
        <v>46585</v>
      </c>
      <c r="S13273" t="s">
        <v>47146</v>
      </c>
      <c r="T13273" t="s">
        <v>48225</v>
      </c>
      <c r="U13273" t="s">
        <v>59427</v>
      </c>
      <c r="W13273" t="s">
        <v>46251</v>
      </c>
      <c r="X13273" t="s">
        <v>46586</v>
      </c>
    </row>
    <row r="13274" spans="1:24">
      <c r="A13274">
        <f>HYPERLINK("https://www.philgeps.gov.ph/GEPSNONPILOT/Tender/SplashBidNoticeAbstractUI.aspx?menuIndex=3&amp;refID=7040411&amp;Result=3","7040411")</f>
        <v>0</v>
      </c>
      <c r="B13274" t="s">
        <v>1103</v>
      </c>
      <c r="C13274" t="s">
        <v>16134</v>
      </c>
      <c r="D13274" t="s">
        <v>18790</v>
      </c>
      <c r="E13274" t="s">
        <v>30294</v>
      </c>
      <c r="F13274" t="s">
        <v>32664</v>
      </c>
      <c r="G13274" t="s">
        <v>32672</v>
      </c>
      <c r="H13274" t="s">
        <v>32683</v>
      </c>
      <c r="I13274" t="s">
        <v>10627</v>
      </c>
      <c r="J13274" t="s">
        <v>33150</v>
      </c>
      <c r="K13274" t="s">
        <v>42311</v>
      </c>
      <c r="M13274" t="s">
        <v>43730</v>
      </c>
      <c r="N13274" t="s">
        <v>46569</v>
      </c>
      <c r="O13274" t="s">
        <v>46570</v>
      </c>
      <c r="P13274">
        <v>0</v>
      </c>
      <c r="Q13274">
        <v>0</v>
      </c>
      <c r="R13274" t="s">
        <v>46585</v>
      </c>
      <c r="S13274" t="s">
        <v>47146</v>
      </c>
      <c r="T13274" t="s">
        <v>48285</v>
      </c>
      <c r="U13274" t="s">
        <v>59428</v>
      </c>
      <c r="W13274" t="s">
        <v>43730</v>
      </c>
      <c r="X13274" t="s">
        <v>46586</v>
      </c>
    </row>
    <row r="13275" spans="1:24">
      <c r="A13275">
        <f>HYPERLINK("https://www.philgeps.gov.ph/GEPSNONPILOT/Tender/SplashBidNoticeAbstractUI.aspx?menuIndex=3&amp;refID=7040359&amp;Result=3","7040359")</f>
        <v>0</v>
      </c>
      <c r="B13275" t="s">
        <v>426</v>
      </c>
      <c r="C13275" t="s">
        <v>16135</v>
      </c>
      <c r="D13275" t="s">
        <v>18841</v>
      </c>
      <c r="E13275" t="s">
        <v>30295</v>
      </c>
      <c r="F13275" t="s">
        <v>32664</v>
      </c>
      <c r="G13275" t="s">
        <v>32672</v>
      </c>
      <c r="H13275" t="s">
        <v>12635</v>
      </c>
      <c r="I13275" t="s">
        <v>7324</v>
      </c>
      <c r="J13275" t="s">
        <v>32853</v>
      </c>
      <c r="K13275" t="s">
        <v>42289</v>
      </c>
      <c r="M13275" t="s">
        <v>42997</v>
      </c>
      <c r="N13275" t="s">
        <v>46569</v>
      </c>
      <c r="O13275" t="s">
        <v>46570</v>
      </c>
      <c r="Q13275">
        <v>2</v>
      </c>
      <c r="R13275" t="s">
        <v>46585</v>
      </c>
      <c r="S13275" t="s">
        <v>47223</v>
      </c>
      <c r="T13275" t="s">
        <v>48448</v>
      </c>
      <c r="U13275" t="s">
        <v>59429</v>
      </c>
      <c r="W13275" t="s">
        <v>42997</v>
      </c>
      <c r="X13275" t="s">
        <v>46586</v>
      </c>
    </row>
    <row r="13276" spans="1:24">
      <c r="A13276">
        <f>HYPERLINK("https://www.philgeps.gov.ph/GEPSNONPILOT/Tender/SplashBidNoticeAbstractUI.aspx?menuIndex=3&amp;refID=7040236&amp;Result=3","7040236")</f>
        <v>0</v>
      </c>
      <c r="B13276" t="s">
        <v>502</v>
      </c>
      <c r="C13276" t="s">
        <v>16136</v>
      </c>
      <c r="D13276" t="s">
        <v>18782</v>
      </c>
      <c r="E13276" t="s">
        <v>30296</v>
      </c>
      <c r="F13276" t="s">
        <v>32664</v>
      </c>
      <c r="G13276" t="s">
        <v>32672</v>
      </c>
      <c r="H13276" t="s">
        <v>32683</v>
      </c>
      <c r="I13276" t="s">
        <v>10627</v>
      </c>
      <c r="J13276" t="s">
        <v>40674</v>
      </c>
      <c r="K13276" t="s">
        <v>42327</v>
      </c>
      <c r="M13276" t="s">
        <v>43078</v>
      </c>
      <c r="N13276" t="s">
        <v>46569</v>
      </c>
      <c r="O13276" t="s">
        <v>46570</v>
      </c>
      <c r="P13276">
        <v>0</v>
      </c>
      <c r="Q13276">
        <v>6</v>
      </c>
      <c r="R13276" t="s">
        <v>46585</v>
      </c>
      <c r="S13276" t="s">
        <v>47146</v>
      </c>
      <c r="T13276" t="s">
        <v>48580</v>
      </c>
      <c r="U13276" t="s">
        <v>59430</v>
      </c>
      <c r="W13276" t="s">
        <v>43078</v>
      </c>
      <c r="X13276" t="s">
        <v>46586</v>
      </c>
    </row>
    <row r="13277" spans="1:24">
      <c r="A13277">
        <f>HYPERLINK("https://www.philgeps.gov.ph/GEPSNONPILOT/Tender/SplashBidNoticeAbstractUI.aspx?menuIndex=3&amp;refID=7040391&amp;Result=3","7040391")</f>
        <v>0</v>
      </c>
      <c r="B13277" t="s">
        <v>3299</v>
      </c>
      <c r="C13277" t="s">
        <v>16137</v>
      </c>
      <c r="D13277" t="s">
        <v>18791</v>
      </c>
      <c r="E13277" t="s">
        <v>30297</v>
      </c>
      <c r="F13277" t="s">
        <v>32664</v>
      </c>
      <c r="G13277" t="s">
        <v>32672</v>
      </c>
      <c r="H13277" t="s">
        <v>12635</v>
      </c>
      <c r="I13277" t="s">
        <v>32756</v>
      </c>
      <c r="J13277" t="s">
        <v>40675</v>
      </c>
      <c r="K13277" t="s">
        <v>42325</v>
      </c>
      <c r="M13277" t="s">
        <v>46244</v>
      </c>
      <c r="N13277" t="s">
        <v>46569</v>
      </c>
      <c r="O13277" t="s">
        <v>46570</v>
      </c>
      <c r="P13277">
        <v>0</v>
      </c>
      <c r="Q13277">
        <v>7</v>
      </c>
      <c r="R13277" t="s">
        <v>46585</v>
      </c>
      <c r="S13277" t="s">
        <v>47146</v>
      </c>
      <c r="T13277" t="s">
        <v>48304</v>
      </c>
      <c r="U13277" t="s">
        <v>59431</v>
      </c>
      <c r="W13277" t="s">
        <v>46244</v>
      </c>
      <c r="X13277" t="s">
        <v>46586</v>
      </c>
    </row>
    <row r="13278" spans="1:24">
      <c r="A13278">
        <f>HYPERLINK("https://www.philgeps.gov.ph/GEPSNONPILOT/Tender/SplashBidNoticeAbstractUI.aspx?menuIndex=3&amp;refID=7040550&amp;Result=3","7040550")</f>
        <v>0</v>
      </c>
      <c r="B13278" t="s">
        <v>1988</v>
      </c>
      <c r="C13278" t="s">
        <v>7216</v>
      </c>
      <c r="E13278" t="s">
        <v>30298</v>
      </c>
      <c r="F13278" t="s">
        <v>32664</v>
      </c>
      <c r="G13278" t="s">
        <v>32672</v>
      </c>
      <c r="H13278" t="s">
        <v>12635</v>
      </c>
      <c r="I13278" t="s">
        <v>32699</v>
      </c>
      <c r="J13278" t="s">
        <v>40676</v>
      </c>
      <c r="K13278" t="s">
        <v>42283</v>
      </c>
      <c r="M13278" t="s">
        <v>46002</v>
      </c>
      <c r="N13278" t="s">
        <v>46569</v>
      </c>
      <c r="O13278" t="s">
        <v>46570</v>
      </c>
      <c r="P13278">
        <v>0</v>
      </c>
      <c r="Q13278">
        <v>4</v>
      </c>
      <c r="R13278" t="s">
        <v>46585</v>
      </c>
      <c r="S13278" t="s">
        <v>47146</v>
      </c>
      <c r="T13278" t="s">
        <v>48256</v>
      </c>
      <c r="U13278" t="s">
        <v>59432</v>
      </c>
      <c r="V13278" t="s">
        <v>63091</v>
      </c>
      <c r="W13278" t="s">
        <v>46002</v>
      </c>
      <c r="X13278" t="s">
        <v>46586</v>
      </c>
    </row>
    <row r="13279" spans="1:24">
      <c r="A13279">
        <f>HYPERLINK("https://www.philgeps.gov.ph/GEPSNONPILOT/Tender/SplashBidNoticeAbstractUI.aspx?menuIndex=3&amp;refID=7040548&amp;Result=3","7040548")</f>
        <v>0</v>
      </c>
      <c r="B13279" t="s">
        <v>3302</v>
      </c>
      <c r="C13279" t="s">
        <v>16138</v>
      </c>
      <c r="D13279" t="s">
        <v>18806</v>
      </c>
      <c r="E13279" t="s">
        <v>30299</v>
      </c>
      <c r="F13279" t="s">
        <v>32664</v>
      </c>
      <c r="G13279" t="s">
        <v>32672</v>
      </c>
      <c r="H13279" t="s">
        <v>32683</v>
      </c>
      <c r="I13279" t="s">
        <v>6553</v>
      </c>
      <c r="J13279" t="s">
        <v>40677</v>
      </c>
      <c r="K13279" t="s">
        <v>42290</v>
      </c>
      <c r="M13279" t="s">
        <v>46247</v>
      </c>
      <c r="N13279" t="s">
        <v>46569</v>
      </c>
      <c r="O13279" t="s">
        <v>46570</v>
      </c>
      <c r="P13279">
        <v>0</v>
      </c>
      <c r="Q13279">
        <v>12</v>
      </c>
      <c r="R13279" t="s">
        <v>46585</v>
      </c>
      <c r="S13279" t="s">
        <v>47146</v>
      </c>
      <c r="T13279" t="s">
        <v>48285</v>
      </c>
      <c r="U13279" t="s">
        <v>59433</v>
      </c>
      <c r="V13279" t="s">
        <v>63089</v>
      </c>
      <c r="W13279" t="s">
        <v>46247</v>
      </c>
      <c r="X13279" t="s">
        <v>46586</v>
      </c>
    </row>
    <row r="13280" spans="1:24">
      <c r="A13280">
        <f>HYPERLINK("https://www.philgeps.gov.ph/GEPSNONPILOT/Tender/SplashBidNoticeAbstractUI.aspx?menuIndex=3&amp;refID=7040557&amp;Result=3","7040557")</f>
        <v>0</v>
      </c>
      <c r="B13280" t="s">
        <v>765</v>
      </c>
      <c r="C13280" t="s">
        <v>16139</v>
      </c>
      <c r="D13280" t="s">
        <v>18831</v>
      </c>
      <c r="E13280" t="s">
        <v>30300</v>
      </c>
      <c r="F13280" t="s">
        <v>32664</v>
      </c>
      <c r="G13280" t="s">
        <v>32672</v>
      </c>
      <c r="H13280" t="s">
        <v>12635</v>
      </c>
      <c r="I13280" t="s">
        <v>4439</v>
      </c>
      <c r="J13280" t="s">
        <v>40678</v>
      </c>
      <c r="K13280" t="s">
        <v>42281</v>
      </c>
      <c r="M13280" t="s">
        <v>43356</v>
      </c>
      <c r="N13280" t="s">
        <v>46569</v>
      </c>
      <c r="O13280" t="s">
        <v>46570</v>
      </c>
      <c r="Q13280">
        <v>4</v>
      </c>
      <c r="R13280" t="s">
        <v>46585</v>
      </c>
      <c r="S13280" t="s">
        <v>47191</v>
      </c>
      <c r="T13280" t="s">
        <v>48283</v>
      </c>
      <c r="U13280" t="s">
        <v>59434</v>
      </c>
      <c r="W13280" t="s">
        <v>43356</v>
      </c>
      <c r="X13280" t="s">
        <v>46586</v>
      </c>
    </row>
    <row r="13281" spans="1:24">
      <c r="A13281">
        <f>HYPERLINK("https://www.philgeps.gov.ph/GEPSNONPILOT/Tender/SplashBidNoticeAbstractUI.aspx?menuIndex=3&amp;refID=7040547&amp;Result=3","7040547")</f>
        <v>0</v>
      </c>
      <c r="B13281" t="s">
        <v>2913</v>
      </c>
      <c r="C13281" t="s">
        <v>16140</v>
      </c>
      <c r="D13281" t="s">
        <v>18847</v>
      </c>
      <c r="E13281" t="s">
        <v>30301</v>
      </c>
      <c r="F13281" t="s">
        <v>32664</v>
      </c>
      <c r="G13281" t="s">
        <v>32672</v>
      </c>
      <c r="H13281" t="s">
        <v>12635</v>
      </c>
      <c r="I13281" t="s">
        <v>5589</v>
      </c>
      <c r="J13281" t="s">
        <v>40679</v>
      </c>
      <c r="K13281" t="s">
        <v>42297</v>
      </c>
      <c r="M13281" t="s">
        <v>45765</v>
      </c>
      <c r="N13281" t="s">
        <v>46569</v>
      </c>
      <c r="O13281" t="s">
        <v>46570</v>
      </c>
      <c r="Q13281">
        <v>2</v>
      </c>
      <c r="R13281" t="s">
        <v>46585</v>
      </c>
      <c r="S13281" t="s">
        <v>47224</v>
      </c>
      <c r="T13281" t="s">
        <v>48229</v>
      </c>
      <c r="U13281" t="s">
        <v>57400</v>
      </c>
      <c r="W13281" t="s">
        <v>45765</v>
      </c>
      <c r="X13281" t="s">
        <v>46586</v>
      </c>
    </row>
    <row r="13282" spans="1:24">
      <c r="A13282">
        <f>HYPERLINK("https://www.philgeps.gov.ph/GEPSNONPILOT/Tender/SplashBidNoticeAbstractUI.aspx?menuIndex=3&amp;refID=7040543&amp;Result=3","7040543")</f>
        <v>0</v>
      </c>
      <c r="B13282" t="s">
        <v>902</v>
      </c>
      <c r="C13282" t="s">
        <v>16141</v>
      </c>
      <c r="D13282" t="s">
        <v>18785</v>
      </c>
      <c r="E13282" t="s">
        <v>30302</v>
      </c>
      <c r="F13282" t="s">
        <v>32664</v>
      </c>
      <c r="G13282" t="s">
        <v>32672</v>
      </c>
      <c r="H13282" t="s">
        <v>32682</v>
      </c>
      <c r="I13282" t="s">
        <v>9946</v>
      </c>
      <c r="J13282" t="s">
        <v>40680</v>
      </c>
      <c r="K13282" t="s">
        <v>42379</v>
      </c>
      <c r="M13282" t="s">
        <v>43506</v>
      </c>
      <c r="N13282" t="s">
        <v>46569</v>
      </c>
      <c r="O13282" t="s">
        <v>46570</v>
      </c>
      <c r="P13282">
        <v>0</v>
      </c>
      <c r="Q13282">
        <v>3</v>
      </c>
      <c r="R13282" t="s">
        <v>46585</v>
      </c>
      <c r="S13282" t="s">
        <v>47146</v>
      </c>
      <c r="T13282" t="s">
        <v>48268</v>
      </c>
      <c r="U13282" t="s">
        <v>59435</v>
      </c>
      <c r="W13282" t="s">
        <v>63494</v>
      </c>
      <c r="X13282" t="s">
        <v>46586</v>
      </c>
    </row>
    <row r="13283" spans="1:24">
      <c r="A13283">
        <f>HYPERLINK("https://www.philgeps.gov.ph/GEPSNONPILOT/Tender/SplashBidNoticeAbstractUI.aspx?menuIndex=3&amp;refID=7040413&amp;Result=3","7040413")</f>
        <v>0</v>
      </c>
      <c r="B13283" t="s">
        <v>3302</v>
      </c>
      <c r="C13283" t="s">
        <v>16142</v>
      </c>
      <c r="D13283" t="s">
        <v>18806</v>
      </c>
      <c r="E13283" t="s">
        <v>30303</v>
      </c>
      <c r="F13283" t="s">
        <v>32664</v>
      </c>
      <c r="G13283" t="s">
        <v>32672</v>
      </c>
      <c r="H13283" t="s">
        <v>32683</v>
      </c>
      <c r="I13283" t="s">
        <v>6553</v>
      </c>
      <c r="J13283" t="s">
        <v>40681</v>
      </c>
      <c r="K13283" t="s">
        <v>42290</v>
      </c>
      <c r="M13283" t="s">
        <v>46247</v>
      </c>
      <c r="N13283" t="s">
        <v>46569</v>
      </c>
      <c r="O13283" t="s">
        <v>46570</v>
      </c>
      <c r="P13283">
        <v>0</v>
      </c>
      <c r="Q13283">
        <v>15</v>
      </c>
      <c r="R13283" t="s">
        <v>46585</v>
      </c>
      <c r="S13283" t="s">
        <v>47146</v>
      </c>
      <c r="T13283" t="s">
        <v>48285</v>
      </c>
      <c r="U13283" t="s">
        <v>59436</v>
      </c>
      <c r="V13283" t="s">
        <v>63089</v>
      </c>
      <c r="W13283" t="s">
        <v>46247</v>
      </c>
      <c r="X13283" t="s">
        <v>46586</v>
      </c>
    </row>
    <row r="13284" spans="1:24">
      <c r="A13284">
        <f>HYPERLINK("https://www.philgeps.gov.ph/GEPSNONPILOT/Tender/SplashBidNoticeAbstractUI.aspx?menuIndex=3&amp;refID=7040364&amp;Result=3","7040364")</f>
        <v>0</v>
      </c>
      <c r="B13284" t="s">
        <v>1566</v>
      </c>
      <c r="C13284" t="s">
        <v>16143</v>
      </c>
      <c r="E13284" t="s">
        <v>30304</v>
      </c>
      <c r="F13284" t="s">
        <v>32664</v>
      </c>
      <c r="G13284" t="s">
        <v>32672</v>
      </c>
      <c r="H13284" t="s">
        <v>12635</v>
      </c>
      <c r="I13284" t="s">
        <v>32696</v>
      </c>
      <c r="J13284" t="s">
        <v>32943</v>
      </c>
      <c r="K13284" t="s">
        <v>42283</v>
      </c>
      <c r="M13284" t="s">
        <v>44239</v>
      </c>
      <c r="N13284" t="s">
        <v>46569</v>
      </c>
      <c r="O13284" t="s">
        <v>46570</v>
      </c>
      <c r="P13284">
        <v>0</v>
      </c>
      <c r="Q13284">
        <v>3</v>
      </c>
      <c r="R13284" t="s">
        <v>46585</v>
      </c>
      <c r="S13284" t="s">
        <v>47146</v>
      </c>
      <c r="T13284" t="s">
        <v>48226</v>
      </c>
      <c r="U13284" t="s">
        <v>59437</v>
      </c>
      <c r="W13284" t="s">
        <v>44239</v>
      </c>
      <c r="X13284" t="s">
        <v>46586</v>
      </c>
    </row>
    <row r="13285" spans="1:24">
      <c r="A13285">
        <f>HYPERLINK("https://www.philgeps.gov.ph/GEPSNONPILOT/Tender/SplashBidNoticeAbstractUI.aspx?menuIndex=3&amp;refID=7040530&amp;Result=3","7040530")</f>
        <v>0</v>
      </c>
      <c r="B13285" t="s">
        <v>2913</v>
      </c>
      <c r="C13285" t="s">
        <v>16144</v>
      </c>
      <c r="D13285" t="s">
        <v>18847</v>
      </c>
      <c r="E13285" t="s">
        <v>30305</v>
      </c>
      <c r="F13285" t="s">
        <v>32664</v>
      </c>
      <c r="G13285" t="s">
        <v>32672</v>
      </c>
      <c r="H13285" t="s">
        <v>12635</v>
      </c>
      <c r="I13285" t="s">
        <v>6628</v>
      </c>
      <c r="J13285" t="s">
        <v>40682</v>
      </c>
      <c r="K13285" t="s">
        <v>42297</v>
      </c>
      <c r="M13285" t="s">
        <v>45765</v>
      </c>
      <c r="N13285" t="s">
        <v>46569</v>
      </c>
      <c r="O13285" t="s">
        <v>46570</v>
      </c>
      <c r="Q13285">
        <v>1</v>
      </c>
      <c r="R13285" t="s">
        <v>46585</v>
      </c>
      <c r="S13285" t="s">
        <v>47225</v>
      </c>
      <c r="T13285" t="s">
        <v>48229</v>
      </c>
      <c r="U13285" t="s">
        <v>59438</v>
      </c>
      <c r="W13285" t="s">
        <v>45765</v>
      </c>
      <c r="X13285" t="s">
        <v>46586</v>
      </c>
    </row>
    <row r="13286" spans="1:24">
      <c r="A13286">
        <f>HYPERLINK("https://www.philgeps.gov.ph/GEPSNONPILOT/Tender/SplashBidNoticeAbstractUI.aspx?menuIndex=3&amp;refID=7040529&amp;Result=3","7040529")</f>
        <v>0</v>
      </c>
      <c r="B13286" t="s">
        <v>611</v>
      </c>
      <c r="C13286" t="s">
        <v>16123</v>
      </c>
      <c r="E13286" t="s">
        <v>30306</v>
      </c>
      <c r="F13286" t="s">
        <v>32664</v>
      </c>
      <c r="G13286" t="s">
        <v>32672</v>
      </c>
      <c r="H13286" t="s">
        <v>12635</v>
      </c>
      <c r="I13286" t="s">
        <v>32704</v>
      </c>
      <c r="J13286" t="s">
        <v>38036</v>
      </c>
      <c r="K13286" t="s">
        <v>42298</v>
      </c>
      <c r="M13286" t="s">
        <v>45121</v>
      </c>
      <c r="N13286" t="s">
        <v>46569</v>
      </c>
      <c r="O13286" t="s">
        <v>46570</v>
      </c>
      <c r="P13286">
        <v>0</v>
      </c>
      <c r="Q13286">
        <v>40</v>
      </c>
      <c r="R13286" t="s">
        <v>46585</v>
      </c>
      <c r="S13286" t="s">
        <v>47146</v>
      </c>
      <c r="T13286" t="s">
        <v>48518</v>
      </c>
      <c r="U13286" t="s">
        <v>58638</v>
      </c>
      <c r="W13286" t="s">
        <v>45121</v>
      </c>
      <c r="X13286" t="s">
        <v>46586</v>
      </c>
    </row>
    <row r="13287" spans="1:24">
      <c r="A13287">
        <f>HYPERLINK("https://www.philgeps.gov.ph/GEPSNONPILOT/Tender/SplashBidNoticeAbstractUI.aspx?menuIndex=3&amp;refID=7040544&amp;Result=3","7040544")</f>
        <v>0</v>
      </c>
      <c r="B13287" t="s">
        <v>611</v>
      </c>
      <c r="C13287" t="s">
        <v>16123</v>
      </c>
      <c r="E13287" t="s">
        <v>30307</v>
      </c>
      <c r="F13287" t="s">
        <v>32664</v>
      </c>
      <c r="G13287" t="s">
        <v>32672</v>
      </c>
      <c r="H13287" t="s">
        <v>12635</v>
      </c>
      <c r="I13287" t="s">
        <v>32704</v>
      </c>
      <c r="J13287" t="s">
        <v>37504</v>
      </c>
      <c r="K13287" t="s">
        <v>42298</v>
      </c>
      <c r="M13287" t="s">
        <v>45121</v>
      </c>
      <c r="N13287" t="s">
        <v>46569</v>
      </c>
      <c r="O13287" t="s">
        <v>46570</v>
      </c>
      <c r="P13287">
        <v>0</v>
      </c>
      <c r="Q13287">
        <v>43</v>
      </c>
      <c r="R13287" t="s">
        <v>46585</v>
      </c>
      <c r="S13287" t="s">
        <v>47146</v>
      </c>
      <c r="T13287" t="s">
        <v>48457</v>
      </c>
      <c r="U13287" t="s">
        <v>58638</v>
      </c>
      <c r="W13287" t="s">
        <v>45121</v>
      </c>
      <c r="X13287" t="s">
        <v>46586</v>
      </c>
    </row>
    <row r="13288" spans="1:24">
      <c r="A13288">
        <f>HYPERLINK("https://www.philgeps.gov.ph/GEPSNONPILOT/Tender/SplashBidNoticeAbstractUI.aspx?menuIndex=3&amp;refID=7040525&amp;Result=3","7040525")</f>
        <v>0</v>
      </c>
      <c r="B13288" t="s">
        <v>1797</v>
      </c>
      <c r="C13288" t="s">
        <v>16145</v>
      </c>
      <c r="D13288" t="s">
        <v>18831</v>
      </c>
      <c r="E13288" t="s">
        <v>30308</v>
      </c>
      <c r="F13288" t="s">
        <v>32664</v>
      </c>
      <c r="G13288" t="s">
        <v>32672</v>
      </c>
      <c r="H13288" t="s">
        <v>12635</v>
      </c>
      <c r="I13288" t="s">
        <v>32708</v>
      </c>
      <c r="J13288" t="s">
        <v>40683</v>
      </c>
      <c r="K13288" t="s">
        <v>42281</v>
      </c>
      <c r="M13288" t="s">
        <v>44500</v>
      </c>
      <c r="N13288" t="s">
        <v>46569</v>
      </c>
      <c r="O13288" t="s">
        <v>46570</v>
      </c>
      <c r="P13288">
        <v>0</v>
      </c>
      <c r="Q13288">
        <v>4</v>
      </c>
      <c r="R13288" t="s">
        <v>46585</v>
      </c>
      <c r="S13288" t="s">
        <v>47146</v>
      </c>
      <c r="T13288" t="s">
        <v>48248</v>
      </c>
      <c r="U13288" t="s">
        <v>59439</v>
      </c>
      <c r="V13288" t="s">
        <v>62172</v>
      </c>
      <c r="W13288" t="s">
        <v>44500</v>
      </c>
      <c r="X13288" t="s">
        <v>46586</v>
      </c>
    </row>
    <row r="13289" spans="1:24">
      <c r="A13289">
        <f>HYPERLINK("https://www.philgeps.gov.ph/GEPSNONPILOT/Tender/SplashBidNoticeAbstractUI.aspx?menuIndex=3&amp;refID=7040598&amp;Result=3","7040598")</f>
        <v>0</v>
      </c>
      <c r="B13289" t="s">
        <v>3302</v>
      </c>
      <c r="C13289" t="s">
        <v>16146</v>
      </c>
      <c r="D13289" t="s">
        <v>18806</v>
      </c>
      <c r="E13289" t="s">
        <v>30309</v>
      </c>
      <c r="F13289" t="s">
        <v>32664</v>
      </c>
      <c r="G13289" t="s">
        <v>32672</v>
      </c>
      <c r="H13289" t="s">
        <v>32683</v>
      </c>
      <c r="I13289" t="s">
        <v>6553</v>
      </c>
      <c r="J13289" t="s">
        <v>40684</v>
      </c>
      <c r="K13289" t="s">
        <v>42290</v>
      </c>
      <c r="M13289" t="s">
        <v>46247</v>
      </c>
      <c r="N13289" t="s">
        <v>46569</v>
      </c>
      <c r="O13289" t="s">
        <v>46570</v>
      </c>
      <c r="P13289">
        <v>0</v>
      </c>
      <c r="Q13289">
        <v>9</v>
      </c>
      <c r="R13289" t="s">
        <v>46585</v>
      </c>
      <c r="S13289" t="s">
        <v>47146</v>
      </c>
      <c r="T13289" t="s">
        <v>48285</v>
      </c>
      <c r="U13289" t="s">
        <v>59440</v>
      </c>
      <c r="V13289" t="s">
        <v>63089</v>
      </c>
      <c r="W13289" t="s">
        <v>46247</v>
      </c>
      <c r="X13289" t="s">
        <v>46586</v>
      </c>
    </row>
    <row r="13290" spans="1:24">
      <c r="A13290">
        <f>HYPERLINK("https://www.philgeps.gov.ph/GEPSNONPILOT/Tender/SplashBidNoticeAbstractUI.aspx?menuIndex=3&amp;refID=7040595&amp;Result=3","7040595")</f>
        <v>0</v>
      </c>
      <c r="B13290" t="s">
        <v>3302</v>
      </c>
      <c r="C13290" t="s">
        <v>16147</v>
      </c>
      <c r="D13290" t="s">
        <v>18806</v>
      </c>
      <c r="E13290" t="s">
        <v>30310</v>
      </c>
      <c r="F13290" t="s">
        <v>32664</v>
      </c>
      <c r="G13290" t="s">
        <v>32672</v>
      </c>
      <c r="H13290" t="s">
        <v>32683</v>
      </c>
      <c r="I13290" t="s">
        <v>6553</v>
      </c>
      <c r="J13290" t="s">
        <v>40685</v>
      </c>
      <c r="K13290" t="s">
        <v>42290</v>
      </c>
      <c r="M13290" t="s">
        <v>46247</v>
      </c>
      <c r="N13290" t="s">
        <v>46569</v>
      </c>
      <c r="O13290" t="s">
        <v>46570</v>
      </c>
      <c r="P13290">
        <v>0</v>
      </c>
      <c r="Q13290">
        <v>11</v>
      </c>
      <c r="R13290" t="s">
        <v>46585</v>
      </c>
      <c r="S13290" t="s">
        <v>47146</v>
      </c>
      <c r="T13290" t="s">
        <v>48285</v>
      </c>
      <c r="U13290" t="s">
        <v>59441</v>
      </c>
      <c r="V13290" t="s">
        <v>63089</v>
      </c>
      <c r="W13290" t="s">
        <v>46247</v>
      </c>
      <c r="X13290" t="s">
        <v>46586</v>
      </c>
    </row>
    <row r="13291" spans="1:24">
      <c r="A13291">
        <f>HYPERLINK("https://www.philgeps.gov.ph/GEPSNONPILOT/Tender/SplashBidNoticeAbstractUI.aspx?menuIndex=3&amp;refID=7040556&amp;Result=3","7040556")</f>
        <v>0</v>
      </c>
      <c r="B13291" t="s">
        <v>815</v>
      </c>
      <c r="C13291" t="s">
        <v>16148</v>
      </c>
      <c r="D13291" t="s">
        <v>18794</v>
      </c>
      <c r="E13291" t="s">
        <v>30311</v>
      </c>
      <c r="F13291" t="s">
        <v>32664</v>
      </c>
      <c r="G13291" t="s">
        <v>32672</v>
      </c>
      <c r="H13291" t="s">
        <v>12635</v>
      </c>
      <c r="I13291" t="s">
        <v>11464</v>
      </c>
      <c r="J13291" t="s">
        <v>32982</v>
      </c>
      <c r="K13291" t="s">
        <v>42305</v>
      </c>
      <c r="M13291" t="s">
        <v>43409</v>
      </c>
      <c r="N13291" t="s">
        <v>46569</v>
      </c>
      <c r="O13291" t="s">
        <v>46570</v>
      </c>
      <c r="P13291">
        <v>0</v>
      </c>
      <c r="Q13291">
        <v>3</v>
      </c>
      <c r="R13291" t="s">
        <v>46585</v>
      </c>
      <c r="S13291" t="s">
        <v>47146</v>
      </c>
      <c r="T13291" t="s">
        <v>48356</v>
      </c>
      <c r="U13291" t="s">
        <v>59442</v>
      </c>
      <c r="V13291" t="s">
        <v>62377</v>
      </c>
      <c r="W13291" t="s">
        <v>43409</v>
      </c>
      <c r="X13291" t="s">
        <v>46586</v>
      </c>
    </row>
    <row r="13292" spans="1:24">
      <c r="A13292">
        <f>HYPERLINK("https://www.philgeps.gov.ph/GEPSNONPILOT/Tender/SplashBidNoticeAbstractUI.aspx?menuIndex=3&amp;refID=7040591&amp;Result=3","7040591")</f>
        <v>0</v>
      </c>
      <c r="B13292" t="s">
        <v>1988</v>
      </c>
      <c r="C13292" t="s">
        <v>16149</v>
      </c>
      <c r="E13292" t="s">
        <v>30312</v>
      </c>
      <c r="F13292" t="s">
        <v>32664</v>
      </c>
      <c r="G13292" t="s">
        <v>32672</v>
      </c>
      <c r="H13292" t="s">
        <v>12635</v>
      </c>
      <c r="I13292" t="s">
        <v>32696</v>
      </c>
      <c r="J13292" t="s">
        <v>40686</v>
      </c>
      <c r="K13292" t="s">
        <v>42283</v>
      </c>
      <c r="M13292" t="s">
        <v>46002</v>
      </c>
      <c r="N13292" t="s">
        <v>46569</v>
      </c>
      <c r="O13292" t="s">
        <v>46570</v>
      </c>
      <c r="P13292">
        <v>0</v>
      </c>
      <c r="Q13292">
        <v>7</v>
      </c>
      <c r="R13292" t="s">
        <v>46585</v>
      </c>
      <c r="S13292" t="s">
        <v>47146</v>
      </c>
      <c r="T13292" t="s">
        <v>48256</v>
      </c>
      <c r="U13292" t="s">
        <v>59443</v>
      </c>
      <c r="V13292" t="s">
        <v>63092</v>
      </c>
      <c r="W13292" t="s">
        <v>46002</v>
      </c>
      <c r="X13292" t="s">
        <v>46586</v>
      </c>
    </row>
    <row r="13293" spans="1:24">
      <c r="A13293">
        <f>HYPERLINK("https://www.philgeps.gov.ph/GEPSNONPILOT/Tender/SplashBidNoticeAbstractUI.aspx?menuIndex=3&amp;refID=7040590&amp;Result=3","7040590")</f>
        <v>0</v>
      </c>
      <c r="B13293" t="s">
        <v>3302</v>
      </c>
      <c r="C13293" t="s">
        <v>16150</v>
      </c>
      <c r="D13293" t="s">
        <v>18806</v>
      </c>
      <c r="E13293" t="s">
        <v>30313</v>
      </c>
      <c r="F13293" t="s">
        <v>32664</v>
      </c>
      <c r="G13293" t="s">
        <v>32672</v>
      </c>
      <c r="H13293" t="s">
        <v>32683</v>
      </c>
      <c r="I13293" t="s">
        <v>6553</v>
      </c>
      <c r="J13293" t="s">
        <v>40687</v>
      </c>
      <c r="K13293" t="s">
        <v>42290</v>
      </c>
      <c r="M13293" t="s">
        <v>46247</v>
      </c>
      <c r="N13293" t="s">
        <v>46569</v>
      </c>
      <c r="O13293" t="s">
        <v>46570</v>
      </c>
      <c r="P13293">
        <v>0</v>
      </c>
      <c r="Q13293">
        <v>12</v>
      </c>
      <c r="R13293" t="s">
        <v>46585</v>
      </c>
      <c r="S13293" t="s">
        <v>47146</v>
      </c>
      <c r="T13293" t="s">
        <v>48285</v>
      </c>
      <c r="U13293" t="s">
        <v>59444</v>
      </c>
      <c r="V13293" t="s">
        <v>63089</v>
      </c>
      <c r="W13293" t="s">
        <v>46247</v>
      </c>
      <c r="X13293" t="s">
        <v>46586</v>
      </c>
    </row>
    <row r="13294" spans="1:24">
      <c r="A13294">
        <f>HYPERLINK("https://www.philgeps.gov.ph/GEPSNONPILOT/Tender/SplashBidNoticeAbstractUI.aspx?menuIndex=3&amp;refID=7040244&amp;Result=3","7040244")</f>
        <v>0</v>
      </c>
      <c r="B13294" t="s">
        <v>287</v>
      </c>
      <c r="C13294" t="s">
        <v>16151</v>
      </c>
      <c r="D13294" t="s">
        <v>18847</v>
      </c>
      <c r="E13294" t="s">
        <v>30314</v>
      </c>
      <c r="F13294" t="s">
        <v>32664</v>
      </c>
      <c r="G13294" t="s">
        <v>32672</v>
      </c>
      <c r="H13294" t="s">
        <v>32683</v>
      </c>
      <c r="I13294" t="s">
        <v>10627</v>
      </c>
      <c r="J13294" t="s">
        <v>40688</v>
      </c>
      <c r="K13294" t="s">
        <v>42542</v>
      </c>
      <c r="M13294" t="s">
        <v>42854</v>
      </c>
      <c r="N13294" t="s">
        <v>46569</v>
      </c>
      <c r="O13294" t="s">
        <v>46570</v>
      </c>
      <c r="Q13294">
        <v>0</v>
      </c>
      <c r="R13294" t="s">
        <v>46585</v>
      </c>
      <c r="S13294" t="s">
        <v>46974</v>
      </c>
      <c r="T13294" t="s">
        <v>48283</v>
      </c>
      <c r="U13294" t="s">
        <v>59445</v>
      </c>
      <c r="V13294" t="s">
        <v>63093</v>
      </c>
      <c r="W13294" t="s">
        <v>42854</v>
      </c>
      <c r="X13294" t="s">
        <v>46586</v>
      </c>
    </row>
    <row r="13295" spans="1:24">
      <c r="A13295">
        <f>HYPERLINK("https://www.philgeps.gov.ph/GEPSNONPILOT/Tender/SplashBidNoticeAbstractUI.aspx?menuIndex=3&amp;refID=7040586&amp;Result=3","7040586")</f>
        <v>0</v>
      </c>
      <c r="B13295" t="s">
        <v>815</v>
      </c>
      <c r="C13295" t="s">
        <v>16152</v>
      </c>
      <c r="D13295" t="s">
        <v>18794</v>
      </c>
      <c r="E13295" t="s">
        <v>30315</v>
      </c>
      <c r="F13295" t="s">
        <v>32664</v>
      </c>
      <c r="G13295" t="s">
        <v>32672</v>
      </c>
      <c r="H13295" t="s">
        <v>12635</v>
      </c>
      <c r="I13295" t="s">
        <v>11464</v>
      </c>
      <c r="J13295" t="s">
        <v>32962</v>
      </c>
      <c r="K13295" t="s">
        <v>42305</v>
      </c>
      <c r="M13295" t="s">
        <v>43409</v>
      </c>
      <c r="N13295" t="s">
        <v>46569</v>
      </c>
      <c r="O13295" t="s">
        <v>46570</v>
      </c>
      <c r="Q13295">
        <v>1</v>
      </c>
      <c r="R13295" t="s">
        <v>46585</v>
      </c>
      <c r="S13295" t="s">
        <v>47226</v>
      </c>
      <c r="T13295" t="s">
        <v>48356</v>
      </c>
      <c r="U13295" t="s">
        <v>59446</v>
      </c>
      <c r="V13295" t="s">
        <v>62377</v>
      </c>
      <c r="W13295" t="s">
        <v>43409</v>
      </c>
      <c r="X13295" t="s">
        <v>46586</v>
      </c>
    </row>
    <row r="13296" spans="1:24">
      <c r="A13296">
        <f>HYPERLINK("https://www.philgeps.gov.ph/GEPSNONPILOT/Tender/SplashBidNoticeAbstractUI.aspx?menuIndex=3&amp;refID=7040584&amp;Result=3","7040584")</f>
        <v>0</v>
      </c>
      <c r="B13296" t="s">
        <v>1988</v>
      </c>
      <c r="C13296" t="s">
        <v>16153</v>
      </c>
      <c r="E13296" t="s">
        <v>30316</v>
      </c>
      <c r="F13296" t="s">
        <v>32664</v>
      </c>
      <c r="G13296" t="s">
        <v>32672</v>
      </c>
      <c r="H13296" t="s">
        <v>12635</v>
      </c>
      <c r="I13296" t="s">
        <v>32699</v>
      </c>
      <c r="J13296" t="s">
        <v>40689</v>
      </c>
      <c r="K13296" t="s">
        <v>42283</v>
      </c>
      <c r="M13296" t="s">
        <v>46002</v>
      </c>
      <c r="N13296" t="s">
        <v>46569</v>
      </c>
      <c r="O13296" t="s">
        <v>46570</v>
      </c>
      <c r="P13296">
        <v>0</v>
      </c>
      <c r="Q13296">
        <v>5</v>
      </c>
      <c r="R13296" t="s">
        <v>46585</v>
      </c>
      <c r="S13296" t="s">
        <v>47146</v>
      </c>
      <c r="T13296" t="s">
        <v>48256</v>
      </c>
      <c r="U13296" t="s">
        <v>59447</v>
      </c>
      <c r="V13296" t="s">
        <v>63091</v>
      </c>
      <c r="W13296" t="s">
        <v>46002</v>
      </c>
      <c r="X13296" t="s">
        <v>46586</v>
      </c>
    </row>
    <row r="13297" spans="1:24">
      <c r="A13297">
        <f>HYPERLINK("https://www.philgeps.gov.ph/GEPSNONPILOT/Tender/SplashBidNoticeAbstractUI.aspx?menuIndex=3&amp;refID=7040580&amp;Result=3","7040580")</f>
        <v>0</v>
      </c>
      <c r="B13297" t="s">
        <v>3306</v>
      </c>
      <c r="C13297" t="s">
        <v>16154</v>
      </c>
      <c r="D13297" t="s">
        <v>18781</v>
      </c>
      <c r="E13297" t="s">
        <v>30317</v>
      </c>
      <c r="F13297" t="s">
        <v>32664</v>
      </c>
      <c r="G13297" t="s">
        <v>32672</v>
      </c>
      <c r="H13297" t="s">
        <v>12635</v>
      </c>
      <c r="I13297" t="s">
        <v>32692</v>
      </c>
      <c r="J13297" t="s">
        <v>40690</v>
      </c>
      <c r="K13297" t="s">
        <v>42311</v>
      </c>
      <c r="M13297" t="s">
        <v>46251</v>
      </c>
      <c r="N13297" t="s">
        <v>46569</v>
      </c>
      <c r="O13297" t="s">
        <v>46570</v>
      </c>
      <c r="P13297">
        <v>0</v>
      </c>
      <c r="Q13297">
        <v>5</v>
      </c>
      <c r="R13297" t="s">
        <v>46585</v>
      </c>
      <c r="S13297" t="s">
        <v>47146</v>
      </c>
      <c r="T13297" t="s">
        <v>48225</v>
      </c>
      <c r="U13297" t="s">
        <v>59448</v>
      </c>
      <c r="W13297" t="s">
        <v>46251</v>
      </c>
      <c r="X13297" t="s">
        <v>46586</v>
      </c>
    </row>
    <row r="13298" spans="1:24">
      <c r="A13298">
        <f>HYPERLINK("https://www.philgeps.gov.ph/GEPSNONPILOT/Tender/SplashBidNoticeAbstractUI.aspx?menuIndex=3&amp;refID=7040532&amp;Result=3","7040532")</f>
        <v>0</v>
      </c>
      <c r="B13298" t="s">
        <v>815</v>
      </c>
      <c r="C13298" t="s">
        <v>16155</v>
      </c>
      <c r="D13298" t="s">
        <v>18794</v>
      </c>
      <c r="E13298" t="s">
        <v>30318</v>
      </c>
      <c r="F13298" t="s">
        <v>32664</v>
      </c>
      <c r="G13298" t="s">
        <v>32672</v>
      </c>
      <c r="H13298" t="s">
        <v>12635</v>
      </c>
      <c r="I13298" t="s">
        <v>32692</v>
      </c>
      <c r="J13298" t="s">
        <v>39468</v>
      </c>
      <c r="K13298" t="s">
        <v>42330</v>
      </c>
      <c r="M13298" t="s">
        <v>43409</v>
      </c>
      <c r="N13298" t="s">
        <v>46569</v>
      </c>
      <c r="O13298" t="s">
        <v>46570</v>
      </c>
      <c r="P13298">
        <v>0</v>
      </c>
      <c r="Q13298">
        <v>4</v>
      </c>
      <c r="R13298" t="s">
        <v>46585</v>
      </c>
      <c r="S13298" t="s">
        <v>47146</v>
      </c>
      <c r="T13298" t="s">
        <v>48356</v>
      </c>
      <c r="U13298" t="s">
        <v>59449</v>
      </c>
      <c r="V13298" t="s">
        <v>62377</v>
      </c>
      <c r="W13298" t="s">
        <v>43409</v>
      </c>
      <c r="X13298" t="s">
        <v>46586</v>
      </c>
    </row>
    <row r="13299" spans="1:24">
      <c r="A13299">
        <f>HYPERLINK("https://www.philgeps.gov.ph/GEPSNONPILOT/Tender/SplashBidNoticeAbstractUI.aspx?menuIndex=3&amp;refID=7040597&amp;Result=3","7040597")</f>
        <v>0</v>
      </c>
      <c r="B13299" t="s">
        <v>2012</v>
      </c>
      <c r="C13299" t="s">
        <v>16156</v>
      </c>
      <c r="D13299" t="s">
        <v>18785</v>
      </c>
      <c r="E13299" t="s">
        <v>30319</v>
      </c>
      <c r="F13299" t="s">
        <v>32664</v>
      </c>
      <c r="G13299" t="s">
        <v>32672</v>
      </c>
      <c r="H13299" t="s">
        <v>32683</v>
      </c>
      <c r="I13299" t="s">
        <v>10627</v>
      </c>
      <c r="J13299" t="s">
        <v>40691</v>
      </c>
      <c r="K13299" t="s">
        <v>42326</v>
      </c>
      <c r="M13299" t="s">
        <v>46252</v>
      </c>
      <c r="N13299" t="s">
        <v>46569</v>
      </c>
      <c r="O13299" t="s">
        <v>46570</v>
      </c>
      <c r="P13299">
        <v>0</v>
      </c>
      <c r="Q13299">
        <v>6</v>
      </c>
      <c r="R13299" t="s">
        <v>46585</v>
      </c>
      <c r="S13299" t="s">
        <v>47146</v>
      </c>
      <c r="T13299" t="s">
        <v>48283</v>
      </c>
      <c r="U13299" t="s">
        <v>53842</v>
      </c>
      <c r="V13299" t="s">
        <v>63094</v>
      </c>
      <c r="W13299" t="s">
        <v>46252</v>
      </c>
      <c r="X13299" t="s">
        <v>46586</v>
      </c>
    </row>
    <row r="13300" spans="1:24">
      <c r="A13300">
        <f>HYPERLINK("https://www.philgeps.gov.ph/GEPSNONPILOT/Tender/SplashBidNoticeAbstractUI.aspx?menuIndex=3&amp;refID=7040578&amp;Result=3","7040578")</f>
        <v>0</v>
      </c>
      <c r="B13300" t="s">
        <v>1481</v>
      </c>
      <c r="C13300" t="s">
        <v>16157</v>
      </c>
      <c r="D13300" t="s">
        <v>18784</v>
      </c>
      <c r="E13300" t="s">
        <v>30320</v>
      </c>
      <c r="F13300" t="s">
        <v>32664</v>
      </c>
      <c r="G13300" t="s">
        <v>32672</v>
      </c>
      <c r="H13300" t="s">
        <v>12635</v>
      </c>
      <c r="I13300" t="s">
        <v>32708</v>
      </c>
      <c r="J13300" t="s">
        <v>40692</v>
      </c>
      <c r="K13300" t="s">
        <v>42311</v>
      </c>
      <c r="M13300" t="s">
        <v>46062</v>
      </c>
      <c r="N13300" t="s">
        <v>46569</v>
      </c>
      <c r="O13300" t="s">
        <v>46570</v>
      </c>
      <c r="Q13300">
        <v>62</v>
      </c>
      <c r="R13300" t="s">
        <v>46585</v>
      </c>
      <c r="S13300" t="s">
        <v>47227</v>
      </c>
      <c r="T13300" t="s">
        <v>48268</v>
      </c>
      <c r="U13300" t="s">
        <v>59450</v>
      </c>
      <c r="W13300" t="s">
        <v>46062</v>
      </c>
      <c r="X13300" t="s">
        <v>46586</v>
      </c>
    </row>
    <row r="13301" spans="1:24">
      <c r="A13301">
        <f>HYPERLINK("https://www.philgeps.gov.ph/GEPSNONPILOT/Tender/SplashBidNoticeAbstractUI.aspx?menuIndex=3&amp;refID=7040588&amp;Result=3","7040588")</f>
        <v>0</v>
      </c>
      <c r="B13301" t="s">
        <v>1481</v>
      </c>
      <c r="C13301" t="s">
        <v>16158</v>
      </c>
      <c r="D13301" t="s">
        <v>18784</v>
      </c>
      <c r="E13301" t="s">
        <v>30321</v>
      </c>
      <c r="F13301" t="s">
        <v>32664</v>
      </c>
      <c r="G13301" t="s">
        <v>32672</v>
      </c>
      <c r="H13301" t="s">
        <v>12635</v>
      </c>
      <c r="I13301" t="s">
        <v>32708</v>
      </c>
      <c r="J13301" t="s">
        <v>33216</v>
      </c>
      <c r="K13301" t="s">
        <v>42311</v>
      </c>
      <c r="M13301" t="s">
        <v>46062</v>
      </c>
      <c r="N13301" t="s">
        <v>46569</v>
      </c>
      <c r="O13301" t="s">
        <v>46570</v>
      </c>
      <c r="Q13301">
        <v>20</v>
      </c>
      <c r="R13301" t="s">
        <v>46585</v>
      </c>
      <c r="S13301" t="s">
        <v>47228</v>
      </c>
      <c r="T13301" t="s">
        <v>48370</v>
      </c>
      <c r="U13301" t="s">
        <v>59451</v>
      </c>
      <c r="W13301" t="s">
        <v>46062</v>
      </c>
      <c r="X13301" t="s">
        <v>46586</v>
      </c>
    </row>
    <row r="13302" spans="1:24">
      <c r="A13302">
        <f>HYPERLINK("https://www.philgeps.gov.ph/GEPSNONPILOT/Tender/SplashBidNoticeAbstractUI.aspx?menuIndex=3&amp;refID=7040645&amp;Result=3","7040645")</f>
        <v>0</v>
      </c>
      <c r="B13302" t="s">
        <v>3307</v>
      </c>
      <c r="C13302" t="s">
        <v>16159</v>
      </c>
      <c r="D13302" t="s">
        <v>18784</v>
      </c>
      <c r="E13302" t="s">
        <v>30322</v>
      </c>
      <c r="F13302" t="s">
        <v>32664</v>
      </c>
      <c r="G13302" t="s">
        <v>32672</v>
      </c>
      <c r="H13302" t="s">
        <v>12635</v>
      </c>
      <c r="I13302" t="s">
        <v>8797</v>
      </c>
      <c r="J13302" t="s">
        <v>40693</v>
      </c>
      <c r="K13302" t="s">
        <v>42289</v>
      </c>
      <c r="M13302" t="s">
        <v>46253</v>
      </c>
      <c r="N13302" t="s">
        <v>46569</v>
      </c>
      <c r="O13302" t="s">
        <v>46570</v>
      </c>
      <c r="P13302">
        <v>0</v>
      </c>
      <c r="Q13302">
        <v>12</v>
      </c>
      <c r="R13302" t="s">
        <v>46585</v>
      </c>
      <c r="S13302" t="s">
        <v>47146</v>
      </c>
      <c r="T13302" t="s">
        <v>48304</v>
      </c>
      <c r="U13302" t="s">
        <v>59452</v>
      </c>
      <c r="W13302" t="s">
        <v>46253</v>
      </c>
      <c r="X13302" t="s">
        <v>46586</v>
      </c>
    </row>
    <row r="13303" spans="1:24">
      <c r="A13303">
        <f>HYPERLINK("https://www.philgeps.gov.ph/GEPSNONPILOT/Tender/SplashBidNoticeAbstractUI.aspx?menuIndex=3&amp;refID=7040643&amp;Result=3","7040643")</f>
        <v>0</v>
      </c>
      <c r="B13303" t="s">
        <v>3302</v>
      </c>
      <c r="C13303" t="s">
        <v>16160</v>
      </c>
      <c r="D13303" t="s">
        <v>18806</v>
      </c>
      <c r="E13303" t="s">
        <v>30323</v>
      </c>
      <c r="F13303" t="s">
        <v>32664</v>
      </c>
      <c r="G13303" t="s">
        <v>32672</v>
      </c>
      <c r="H13303" t="s">
        <v>32683</v>
      </c>
      <c r="I13303" t="s">
        <v>6553</v>
      </c>
      <c r="J13303" t="s">
        <v>40694</v>
      </c>
      <c r="K13303" t="s">
        <v>42290</v>
      </c>
      <c r="M13303" t="s">
        <v>46247</v>
      </c>
      <c r="N13303" t="s">
        <v>46569</v>
      </c>
      <c r="O13303" t="s">
        <v>46570</v>
      </c>
      <c r="P13303">
        <v>0</v>
      </c>
      <c r="Q13303">
        <v>7</v>
      </c>
      <c r="R13303" t="s">
        <v>46585</v>
      </c>
      <c r="S13303" t="s">
        <v>47146</v>
      </c>
      <c r="T13303" t="s">
        <v>48285</v>
      </c>
      <c r="U13303" t="s">
        <v>59453</v>
      </c>
      <c r="V13303" t="s">
        <v>63089</v>
      </c>
      <c r="W13303" t="s">
        <v>46247</v>
      </c>
      <c r="X13303" t="s">
        <v>46586</v>
      </c>
    </row>
    <row r="13304" spans="1:24">
      <c r="A13304">
        <f>HYPERLINK("https://www.philgeps.gov.ph/GEPSNONPILOT/Tender/SplashBidNoticeAbstractUI.aspx?menuIndex=3&amp;refID=7040582&amp;Result=3","7040582")</f>
        <v>0</v>
      </c>
      <c r="B13304" t="s">
        <v>3302</v>
      </c>
      <c r="C13304" t="s">
        <v>16161</v>
      </c>
      <c r="D13304" t="s">
        <v>18806</v>
      </c>
      <c r="E13304" t="s">
        <v>30324</v>
      </c>
      <c r="F13304" t="s">
        <v>32664</v>
      </c>
      <c r="G13304" t="s">
        <v>32672</v>
      </c>
      <c r="H13304" t="s">
        <v>32683</v>
      </c>
      <c r="I13304" t="s">
        <v>6553</v>
      </c>
      <c r="J13304" t="s">
        <v>40695</v>
      </c>
      <c r="K13304" t="s">
        <v>42290</v>
      </c>
      <c r="M13304" t="s">
        <v>46247</v>
      </c>
      <c r="N13304" t="s">
        <v>46569</v>
      </c>
      <c r="O13304" t="s">
        <v>46570</v>
      </c>
      <c r="P13304">
        <v>0</v>
      </c>
      <c r="Q13304">
        <v>9</v>
      </c>
      <c r="R13304" t="s">
        <v>46585</v>
      </c>
      <c r="S13304" t="s">
        <v>47146</v>
      </c>
      <c r="T13304" t="s">
        <v>48285</v>
      </c>
      <c r="U13304" t="s">
        <v>59454</v>
      </c>
      <c r="V13304" t="s">
        <v>63089</v>
      </c>
      <c r="W13304" t="s">
        <v>46247</v>
      </c>
      <c r="X13304" t="s">
        <v>46586</v>
      </c>
    </row>
    <row r="13305" spans="1:24">
      <c r="A13305">
        <f>HYPERLINK("https://www.philgeps.gov.ph/GEPSNONPILOT/Tender/SplashBidNoticeAbstractUI.aspx?menuIndex=3&amp;refID=7040581&amp;Result=3","7040581")</f>
        <v>0</v>
      </c>
      <c r="B13305" t="s">
        <v>2913</v>
      </c>
      <c r="C13305" t="s">
        <v>16162</v>
      </c>
      <c r="D13305" t="s">
        <v>18847</v>
      </c>
      <c r="E13305" t="s">
        <v>30325</v>
      </c>
      <c r="F13305" t="s">
        <v>32664</v>
      </c>
      <c r="G13305" t="s">
        <v>32672</v>
      </c>
      <c r="H13305" t="s">
        <v>12635</v>
      </c>
      <c r="I13305" t="s">
        <v>5589</v>
      </c>
      <c r="J13305" t="s">
        <v>40696</v>
      </c>
      <c r="K13305" t="s">
        <v>42297</v>
      </c>
      <c r="M13305" t="s">
        <v>45765</v>
      </c>
      <c r="N13305" t="s">
        <v>46569</v>
      </c>
      <c r="O13305" t="s">
        <v>46570</v>
      </c>
      <c r="Q13305">
        <v>3</v>
      </c>
      <c r="R13305" t="s">
        <v>46585</v>
      </c>
      <c r="S13305" t="s">
        <v>47229</v>
      </c>
      <c r="T13305" t="s">
        <v>48229</v>
      </c>
      <c r="U13305" t="s">
        <v>59455</v>
      </c>
      <c r="W13305" t="s">
        <v>45765</v>
      </c>
      <c r="X13305" t="s">
        <v>46586</v>
      </c>
    </row>
    <row r="13306" spans="1:24">
      <c r="A13306">
        <f>HYPERLINK("https://www.philgeps.gov.ph/GEPSNONPILOT/Tender/SplashBidNoticeAbstractUI.aspx?menuIndex=3&amp;refID=7040635&amp;Result=3","7040635")</f>
        <v>0</v>
      </c>
      <c r="B13306" t="s">
        <v>3302</v>
      </c>
      <c r="C13306" t="s">
        <v>16163</v>
      </c>
      <c r="D13306" t="s">
        <v>18806</v>
      </c>
      <c r="E13306" t="s">
        <v>30326</v>
      </c>
      <c r="F13306" t="s">
        <v>32664</v>
      </c>
      <c r="G13306" t="s">
        <v>32672</v>
      </c>
      <c r="H13306" t="s">
        <v>32683</v>
      </c>
      <c r="I13306" t="s">
        <v>6553</v>
      </c>
      <c r="J13306" t="s">
        <v>40697</v>
      </c>
      <c r="K13306" t="s">
        <v>42290</v>
      </c>
      <c r="M13306" t="s">
        <v>46247</v>
      </c>
      <c r="N13306" t="s">
        <v>46569</v>
      </c>
      <c r="O13306" t="s">
        <v>46570</v>
      </c>
      <c r="P13306">
        <v>0</v>
      </c>
      <c r="Q13306">
        <v>11</v>
      </c>
      <c r="R13306" t="s">
        <v>46585</v>
      </c>
      <c r="S13306" t="s">
        <v>47146</v>
      </c>
      <c r="T13306" t="s">
        <v>48285</v>
      </c>
      <c r="U13306" t="s">
        <v>59456</v>
      </c>
      <c r="V13306" t="s">
        <v>63089</v>
      </c>
      <c r="W13306" t="s">
        <v>46247</v>
      </c>
      <c r="X13306" t="s">
        <v>46586</v>
      </c>
    </row>
    <row r="13307" spans="1:24">
      <c r="A13307">
        <f>HYPERLINK("https://www.philgeps.gov.ph/GEPSNONPILOT/Tender/SplashBidNoticeAbstractUI.aspx?menuIndex=3&amp;refID=7040633&amp;Result=3","7040633")</f>
        <v>0</v>
      </c>
      <c r="B13307" t="s">
        <v>3302</v>
      </c>
      <c r="C13307" t="s">
        <v>16164</v>
      </c>
      <c r="D13307" t="s">
        <v>18806</v>
      </c>
      <c r="E13307" t="s">
        <v>30327</v>
      </c>
      <c r="F13307" t="s">
        <v>32664</v>
      </c>
      <c r="G13307" t="s">
        <v>32672</v>
      </c>
      <c r="H13307" t="s">
        <v>32683</v>
      </c>
      <c r="I13307" t="s">
        <v>6553</v>
      </c>
      <c r="J13307" t="s">
        <v>40698</v>
      </c>
      <c r="K13307" t="s">
        <v>42290</v>
      </c>
      <c r="M13307" t="s">
        <v>46247</v>
      </c>
      <c r="N13307" t="s">
        <v>46569</v>
      </c>
      <c r="O13307" t="s">
        <v>46570</v>
      </c>
      <c r="Q13307">
        <v>15</v>
      </c>
      <c r="R13307" t="s">
        <v>46585</v>
      </c>
      <c r="S13307" t="s">
        <v>47230</v>
      </c>
      <c r="T13307" t="s">
        <v>48285</v>
      </c>
      <c r="U13307" t="s">
        <v>59457</v>
      </c>
      <c r="V13307" t="s">
        <v>63089</v>
      </c>
      <c r="W13307" t="s">
        <v>46247</v>
      </c>
      <c r="X13307" t="s">
        <v>46586</v>
      </c>
    </row>
    <row r="13308" spans="1:24">
      <c r="A13308">
        <f>HYPERLINK("https://www.philgeps.gov.ph/GEPSNONPILOT/Tender/SplashBidNoticeAbstractUI.aspx?menuIndex=3&amp;refID=7040626&amp;Result=3","7040626")</f>
        <v>0</v>
      </c>
      <c r="B13308" t="s">
        <v>1988</v>
      </c>
      <c r="C13308" t="s">
        <v>15202</v>
      </c>
      <c r="E13308" t="s">
        <v>20499</v>
      </c>
      <c r="F13308" t="s">
        <v>32664</v>
      </c>
      <c r="G13308" t="s">
        <v>32672</v>
      </c>
      <c r="H13308" t="s">
        <v>12635</v>
      </c>
      <c r="I13308" t="s">
        <v>4439</v>
      </c>
      <c r="J13308" t="s">
        <v>40699</v>
      </c>
      <c r="K13308" t="s">
        <v>42283</v>
      </c>
      <c r="M13308" t="s">
        <v>46002</v>
      </c>
      <c r="N13308" t="s">
        <v>46569</v>
      </c>
      <c r="O13308" t="s">
        <v>46570</v>
      </c>
      <c r="Q13308">
        <v>4</v>
      </c>
      <c r="R13308" t="s">
        <v>46585</v>
      </c>
      <c r="S13308" t="s">
        <v>47231</v>
      </c>
      <c r="T13308" t="s">
        <v>48256</v>
      </c>
      <c r="U13308" t="s">
        <v>59458</v>
      </c>
      <c r="V13308" t="s">
        <v>63091</v>
      </c>
      <c r="W13308" t="s">
        <v>46002</v>
      </c>
      <c r="X13308" t="s">
        <v>46586</v>
      </c>
    </row>
    <row r="13309" spans="1:24">
      <c r="A13309">
        <f>HYPERLINK("https://www.philgeps.gov.ph/GEPSNONPILOT/Tender/SplashBidNoticeAbstractUI.aspx?menuIndex=3&amp;refID=7040622&amp;Result=3","7040622")</f>
        <v>0</v>
      </c>
      <c r="B13309" t="s">
        <v>3302</v>
      </c>
      <c r="C13309" t="s">
        <v>16165</v>
      </c>
      <c r="D13309" t="s">
        <v>18806</v>
      </c>
      <c r="E13309" t="s">
        <v>30328</v>
      </c>
      <c r="F13309" t="s">
        <v>32664</v>
      </c>
      <c r="G13309" t="s">
        <v>32672</v>
      </c>
      <c r="H13309" t="s">
        <v>32683</v>
      </c>
      <c r="I13309" t="s">
        <v>6553</v>
      </c>
      <c r="J13309" t="s">
        <v>40700</v>
      </c>
      <c r="K13309" t="s">
        <v>42290</v>
      </c>
      <c r="M13309" t="s">
        <v>46247</v>
      </c>
      <c r="N13309" t="s">
        <v>46569</v>
      </c>
      <c r="O13309" t="s">
        <v>46570</v>
      </c>
      <c r="P13309">
        <v>0</v>
      </c>
      <c r="Q13309">
        <v>9</v>
      </c>
      <c r="R13309" t="s">
        <v>46585</v>
      </c>
      <c r="S13309" t="s">
        <v>47146</v>
      </c>
      <c r="T13309" t="s">
        <v>48285</v>
      </c>
      <c r="U13309" t="s">
        <v>59459</v>
      </c>
      <c r="V13309" t="s">
        <v>63089</v>
      </c>
      <c r="W13309" t="s">
        <v>46247</v>
      </c>
      <c r="X13309" t="s">
        <v>46586</v>
      </c>
    </row>
    <row r="13310" spans="1:24">
      <c r="A13310">
        <f>HYPERLINK("https://www.philgeps.gov.ph/GEPSNONPILOT/Tender/SplashBidNoticeAbstractUI.aspx?menuIndex=3&amp;refID=7040618&amp;Result=3","7040618")</f>
        <v>0</v>
      </c>
      <c r="B13310" t="s">
        <v>2012</v>
      </c>
      <c r="C13310" t="s">
        <v>16166</v>
      </c>
      <c r="D13310" t="s">
        <v>18785</v>
      </c>
      <c r="E13310" t="s">
        <v>30329</v>
      </c>
      <c r="F13310" t="s">
        <v>32664</v>
      </c>
      <c r="G13310" t="s">
        <v>32672</v>
      </c>
      <c r="H13310" t="s">
        <v>12635</v>
      </c>
      <c r="I13310" t="s">
        <v>5589</v>
      </c>
      <c r="J13310" t="s">
        <v>40701</v>
      </c>
      <c r="K13310" t="s">
        <v>42311</v>
      </c>
      <c r="M13310" t="s">
        <v>46252</v>
      </c>
      <c r="N13310" t="s">
        <v>46569</v>
      </c>
      <c r="O13310" t="s">
        <v>46570</v>
      </c>
      <c r="P13310">
        <v>0</v>
      </c>
      <c r="Q13310">
        <v>19</v>
      </c>
      <c r="R13310" t="s">
        <v>46585</v>
      </c>
      <c r="S13310" t="s">
        <v>47146</v>
      </c>
      <c r="T13310" t="s">
        <v>48283</v>
      </c>
      <c r="U13310" t="s">
        <v>53842</v>
      </c>
      <c r="V13310" t="s">
        <v>63095</v>
      </c>
      <c r="W13310" t="s">
        <v>46252</v>
      </c>
      <c r="X13310" t="s">
        <v>46586</v>
      </c>
    </row>
    <row r="13311" spans="1:24">
      <c r="A13311">
        <f>HYPERLINK("https://www.philgeps.gov.ph/GEPSNONPILOT/Tender/SplashBidNoticeAbstractUI.aspx?menuIndex=3&amp;refID=7040478&amp;Result=3","7040478")</f>
        <v>0</v>
      </c>
      <c r="B13311" t="s">
        <v>3302</v>
      </c>
      <c r="C13311" t="s">
        <v>16167</v>
      </c>
      <c r="D13311" t="s">
        <v>18806</v>
      </c>
      <c r="E13311" t="s">
        <v>30330</v>
      </c>
      <c r="F13311" t="s">
        <v>32664</v>
      </c>
      <c r="G13311" t="s">
        <v>32672</v>
      </c>
      <c r="H13311" t="s">
        <v>32683</v>
      </c>
      <c r="I13311" t="s">
        <v>6553</v>
      </c>
      <c r="J13311" t="s">
        <v>40702</v>
      </c>
      <c r="K13311" t="s">
        <v>42290</v>
      </c>
      <c r="M13311" t="s">
        <v>46247</v>
      </c>
      <c r="N13311" t="s">
        <v>46569</v>
      </c>
      <c r="O13311" t="s">
        <v>46570</v>
      </c>
      <c r="P13311">
        <v>0</v>
      </c>
      <c r="Q13311">
        <v>12</v>
      </c>
      <c r="R13311" t="s">
        <v>46585</v>
      </c>
      <c r="S13311" t="s">
        <v>47146</v>
      </c>
      <c r="T13311" t="s">
        <v>48285</v>
      </c>
      <c r="U13311" t="s">
        <v>59460</v>
      </c>
      <c r="V13311" t="s">
        <v>63089</v>
      </c>
      <c r="W13311" t="s">
        <v>46247</v>
      </c>
      <c r="X13311" t="s">
        <v>46586</v>
      </c>
    </row>
    <row r="13312" spans="1:24">
      <c r="A13312">
        <f>HYPERLINK("https://www.philgeps.gov.ph/GEPSNONPILOT/Tender/SplashBidNoticeAbstractUI.aspx?menuIndex=3&amp;refID=7040619&amp;Result=3","7040619")</f>
        <v>0</v>
      </c>
      <c r="B13312" t="s">
        <v>3302</v>
      </c>
      <c r="C13312" t="s">
        <v>16168</v>
      </c>
      <c r="D13312" t="s">
        <v>18806</v>
      </c>
      <c r="E13312" t="s">
        <v>30331</v>
      </c>
      <c r="F13312" t="s">
        <v>32664</v>
      </c>
      <c r="G13312" t="s">
        <v>32672</v>
      </c>
      <c r="H13312" t="s">
        <v>32683</v>
      </c>
      <c r="I13312" t="s">
        <v>6553</v>
      </c>
      <c r="J13312" t="s">
        <v>40703</v>
      </c>
      <c r="K13312" t="s">
        <v>42290</v>
      </c>
      <c r="M13312" t="s">
        <v>46247</v>
      </c>
      <c r="N13312" t="s">
        <v>46569</v>
      </c>
      <c r="O13312" t="s">
        <v>46570</v>
      </c>
      <c r="P13312">
        <v>0</v>
      </c>
      <c r="Q13312">
        <v>11</v>
      </c>
      <c r="R13312" t="s">
        <v>46585</v>
      </c>
      <c r="S13312" t="s">
        <v>47146</v>
      </c>
      <c r="T13312" t="s">
        <v>48285</v>
      </c>
      <c r="U13312" t="s">
        <v>59461</v>
      </c>
      <c r="V13312" t="s">
        <v>63089</v>
      </c>
      <c r="W13312" t="s">
        <v>46247</v>
      </c>
      <c r="X13312" t="s">
        <v>46586</v>
      </c>
    </row>
    <row r="13313" spans="1:24">
      <c r="A13313">
        <f>HYPERLINK("https://www.philgeps.gov.ph/GEPSNONPILOT/Tender/SplashBidNoticeAbstractUI.aspx?menuIndex=3&amp;refID=7040628&amp;Result=3","7040628")</f>
        <v>0</v>
      </c>
      <c r="B13313" t="s">
        <v>3302</v>
      </c>
      <c r="C13313" t="s">
        <v>16169</v>
      </c>
      <c r="D13313" t="s">
        <v>18806</v>
      </c>
      <c r="E13313" t="s">
        <v>30332</v>
      </c>
      <c r="F13313" t="s">
        <v>32664</v>
      </c>
      <c r="G13313" t="s">
        <v>32672</v>
      </c>
      <c r="H13313" t="s">
        <v>32683</v>
      </c>
      <c r="I13313" t="s">
        <v>6553</v>
      </c>
      <c r="J13313" t="s">
        <v>40704</v>
      </c>
      <c r="K13313" t="s">
        <v>42290</v>
      </c>
      <c r="M13313" t="s">
        <v>46247</v>
      </c>
      <c r="N13313" t="s">
        <v>46569</v>
      </c>
      <c r="O13313" t="s">
        <v>46570</v>
      </c>
      <c r="P13313">
        <v>0</v>
      </c>
      <c r="Q13313">
        <v>10</v>
      </c>
      <c r="R13313" t="s">
        <v>46585</v>
      </c>
      <c r="S13313" t="s">
        <v>47146</v>
      </c>
      <c r="T13313" t="s">
        <v>48285</v>
      </c>
      <c r="U13313" t="s">
        <v>59462</v>
      </c>
      <c r="V13313" t="s">
        <v>63089</v>
      </c>
      <c r="W13313" t="s">
        <v>46247</v>
      </c>
      <c r="X13313" t="s">
        <v>46586</v>
      </c>
    </row>
    <row r="13314" spans="1:24">
      <c r="A13314">
        <f>HYPERLINK("https://www.philgeps.gov.ph/GEPSNONPILOT/Tender/SplashBidNoticeAbstractUI.aspx?menuIndex=3&amp;refID=7040296&amp;Result=3","7040296")</f>
        <v>0</v>
      </c>
      <c r="B13314" t="s">
        <v>3304</v>
      </c>
      <c r="C13314" t="s">
        <v>16170</v>
      </c>
      <c r="D13314" t="s">
        <v>18789</v>
      </c>
      <c r="E13314" t="s">
        <v>19280</v>
      </c>
      <c r="F13314" t="s">
        <v>32665</v>
      </c>
      <c r="G13314" t="s">
        <v>32672</v>
      </c>
      <c r="H13314" t="s">
        <v>12635</v>
      </c>
      <c r="I13314" t="s">
        <v>4439</v>
      </c>
      <c r="J13314" t="s">
        <v>40705</v>
      </c>
      <c r="K13314" t="s">
        <v>42289</v>
      </c>
      <c r="M13314" t="s">
        <v>46249</v>
      </c>
      <c r="N13314" t="s">
        <v>46569</v>
      </c>
      <c r="O13314" t="s">
        <v>46570</v>
      </c>
      <c r="P13314">
        <v>0</v>
      </c>
      <c r="Q13314">
        <v>0</v>
      </c>
      <c r="R13314" t="s">
        <v>46585</v>
      </c>
      <c r="S13314" t="s">
        <v>47146</v>
      </c>
      <c r="T13314" t="s">
        <v>48290</v>
      </c>
      <c r="U13314" t="s">
        <v>59463</v>
      </c>
      <c r="W13314" t="s">
        <v>46249</v>
      </c>
      <c r="X13314" t="s">
        <v>46586</v>
      </c>
    </row>
    <row r="13315" spans="1:24">
      <c r="A13315">
        <f>HYPERLINK("https://www.philgeps.gov.ph/GEPSNONPILOT/Tender/SplashBidNoticeAbstractUI.aspx?menuIndex=3&amp;refID=7040616&amp;Result=3","7040616")</f>
        <v>0</v>
      </c>
      <c r="B13315" t="s">
        <v>1988</v>
      </c>
      <c r="C13315" t="s">
        <v>16171</v>
      </c>
      <c r="E13315" t="s">
        <v>20332</v>
      </c>
      <c r="F13315" t="s">
        <v>32664</v>
      </c>
      <c r="G13315" t="s">
        <v>32672</v>
      </c>
      <c r="H13315" t="s">
        <v>12635</v>
      </c>
      <c r="I13315" t="s">
        <v>32736</v>
      </c>
      <c r="J13315" t="s">
        <v>40706</v>
      </c>
      <c r="K13315" t="s">
        <v>42283</v>
      </c>
      <c r="M13315" t="s">
        <v>46002</v>
      </c>
      <c r="N13315" t="s">
        <v>46569</v>
      </c>
      <c r="O13315" t="s">
        <v>46570</v>
      </c>
      <c r="Q13315">
        <v>3</v>
      </c>
      <c r="R13315" t="s">
        <v>46585</v>
      </c>
      <c r="S13315" t="s">
        <v>47232</v>
      </c>
      <c r="T13315" t="s">
        <v>48256</v>
      </c>
      <c r="U13315" t="s">
        <v>59464</v>
      </c>
      <c r="V13315" t="s">
        <v>63091</v>
      </c>
      <c r="W13315" t="s">
        <v>46002</v>
      </c>
      <c r="X13315" t="s">
        <v>46586</v>
      </c>
    </row>
    <row r="13316" spans="1:24">
      <c r="A13316">
        <f>HYPERLINK("https://www.philgeps.gov.ph/GEPSNONPILOT/Tender/SplashBidNoticeAbstractUI.aspx?menuIndex=3&amp;refID=7040621&amp;Result=3","7040621")</f>
        <v>0</v>
      </c>
      <c r="B13316" t="s">
        <v>1988</v>
      </c>
      <c r="C13316" t="s">
        <v>16172</v>
      </c>
      <c r="E13316" t="s">
        <v>20408</v>
      </c>
      <c r="F13316" t="s">
        <v>32664</v>
      </c>
      <c r="G13316" t="s">
        <v>32672</v>
      </c>
      <c r="H13316" t="s">
        <v>12635</v>
      </c>
      <c r="I13316" t="s">
        <v>32699</v>
      </c>
      <c r="J13316" t="s">
        <v>40707</v>
      </c>
      <c r="K13316" t="s">
        <v>42283</v>
      </c>
      <c r="M13316" t="s">
        <v>46002</v>
      </c>
      <c r="N13316" t="s">
        <v>46569</v>
      </c>
      <c r="O13316" t="s">
        <v>46570</v>
      </c>
      <c r="P13316">
        <v>0</v>
      </c>
      <c r="Q13316">
        <v>4</v>
      </c>
      <c r="R13316" t="s">
        <v>46585</v>
      </c>
      <c r="S13316" t="s">
        <v>47146</v>
      </c>
      <c r="T13316" t="s">
        <v>48256</v>
      </c>
      <c r="U13316" t="s">
        <v>59465</v>
      </c>
      <c r="V13316" t="s">
        <v>63091</v>
      </c>
      <c r="W13316" t="s">
        <v>46002</v>
      </c>
      <c r="X13316" t="s">
        <v>46586</v>
      </c>
    </row>
    <row r="13317" spans="1:24">
      <c r="A13317">
        <f>HYPERLINK("https://www.philgeps.gov.ph/GEPSNONPILOT/Tender/SplashBidNoticeAbstractUI.aspx?menuIndex=3&amp;refID=7040610&amp;Result=3","7040610")</f>
        <v>0</v>
      </c>
      <c r="B13317" t="s">
        <v>1988</v>
      </c>
      <c r="C13317" t="s">
        <v>7498</v>
      </c>
      <c r="E13317" t="s">
        <v>30333</v>
      </c>
      <c r="F13317" t="s">
        <v>32664</v>
      </c>
      <c r="G13317" t="s">
        <v>32672</v>
      </c>
      <c r="H13317" t="s">
        <v>12635</v>
      </c>
      <c r="I13317" t="s">
        <v>7709</v>
      </c>
      <c r="J13317" t="s">
        <v>40708</v>
      </c>
      <c r="K13317" t="s">
        <v>42283</v>
      </c>
      <c r="M13317" t="s">
        <v>46002</v>
      </c>
      <c r="N13317" t="s">
        <v>46569</v>
      </c>
      <c r="O13317" t="s">
        <v>46570</v>
      </c>
      <c r="Q13317">
        <v>0</v>
      </c>
      <c r="R13317" t="s">
        <v>46585</v>
      </c>
      <c r="S13317" t="s">
        <v>47233</v>
      </c>
      <c r="T13317" t="s">
        <v>48256</v>
      </c>
      <c r="U13317" t="s">
        <v>59466</v>
      </c>
      <c r="V13317" t="s">
        <v>63091</v>
      </c>
      <c r="W13317" t="s">
        <v>46002</v>
      </c>
      <c r="X13317" t="s">
        <v>46586</v>
      </c>
    </row>
    <row r="13318" spans="1:24">
      <c r="A13318">
        <f>HYPERLINK("https://www.philgeps.gov.ph/GEPSNONPILOT/Tender/SplashBidNoticeAbstractUI.aspx?menuIndex=3&amp;refID=7040640&amp;Result=3","7040640")</f>
        <v>0</v>
      </c>
      <c r="B13318" t="s">
        <v>3302</v>
      </c>
      <c r="C13318" t="s">
        <v>16173</v>
      </c>
      <c r="D13318" t="s">
        <v>18806</v>
      </c>
      <c r="E13318" t="s">
        <v>30334</v>
      </c>
      <c r="F13318" t="s">
        <v>32664</v>
      </c>
      <c r="G13318" t="s">
        <v>32672</v>
      </c>
      <c r="H13318" t="s">
        <v>32683</v>
      </c>
      <c r="I13318" t="s">
        <v>6553</v>
      </c>
      <c r="J13318" t="s">
        <v>40709</v>
      </c>
      <c r="K13318" t="s">
        <v>42290</v>
      </c>
      <c r="M13318" t="s">
        <v>46247</v>
      </c>
      <c r="N13318" t="s">
        <v>46569</v>
      </c>
      <c r="O13318" t="s">
        <v>46570</v>
      </c>
      <c r="P13318">
        <v>0</v>
      </c>
      <c r="Q13318">
        <v>11</v>
      </c>
      <c r="R13318" t="s">
        <v>46585</v>
      </c>
      <c r="S13318" t="s">
        <v>47146</v>
      </c>
      <c r="T13318" t="s">
        <v>48285</v>
      </c>
      <c r="U13318" t="s">
        <v>59467</v>
      </c>
      <c r="V13318" t="s">
        <v>63089</v>
      </c>
      <c r="W13318" t="s">
        <v>46247</v>
      </c>
      <c r="X13318" t="s">
        <v>46586</v>
      </c>
    </row>
    <row r="13319" spans="1:24">
      <c r="A13319">
        <f>HYPERLINK("https://www.philgeps.gov.ph/GEPSNONPILOT/Tender/SplashBidNoticeAbstractUI.aspx?menuIndex=3&amp;refID=7040603&amp;Result=3","7040603")</f>
        <v>0</v>
      </c>
      <c r="B13319" t="s">
        <v>3302</v>
      </c>
      <c r="C13319" t="s">
        <v>16174</v>
      </c>
      <c r="D13319" t="s">
        <v>18806</v>
      </c>
      <c r="E13319" t="s">
        <v>30335</v>
      </c>
      <c r="F13319" t="s">
        <v>32664</v>
      </c>
      <c r="G13319" t="s">
        <v>32672</v>
      </c>
      <c r="H13319" t="s">
        <v>32683</v>
      </c>
      <c r="I13319" t="s">
        <v>6553</v>
      </c>
      <c r="J13319" t="s">
        <v>40710</v>
      </c>
      <c r="K13319" t="s">
        <v>42290</v>
      </c>
      <c r="M13319" t="s">
        <v>46247</v>
      </c>
      <c r="N13319" t="s">
        <v>46569</v>
      </c>
      <c r="O13319" t="s">
        <v>46570</v>
      </c>
      <c r="P13319">
        <v>0</v>
      </c>
      <c r="Q13319">
        <v>9</v>
      </c>
      <c r="R13319" t="s">
        <v>46585</v>
      </c>
      <c r="S13319" t="s">
        <v>47146</v>
      </c>
      <c r="T13319" t="s">
        <v>48285</v>
      </c>
      <c r="U13319" t="s">
        <v>59468</v>
      </c>
      <c r="V13319" t="s">
        <v>63089</v>
      </c>
      <c r="W13319" t="s">
        <v>46247</v>
      </c>
      <c r="X13319" t="s">
        <v>46586</v>
      </c>
    </row>
    <row r="13320" spans="1:24">
      <c r="A13320">
        <f>HYPERLINK("https://www.philgeps.gov.ph/GEPSNONPILOT/Tender/SplashBidNoticeAbstractUI.aspx?menuIndex=3&amp;refID=7040615&amp;Result=3","7040615")</f>
        <v>0</v>
      </c>
      <c r="B13320" t="s">
        <v>3302</v>
      </c>
      <c r="C13320" t="s">
        <v>16175</v>
      </c>
      <c r="D13320" t="s">
        <v>18806</v>
      </c>
      <c r="E13320" t="s">
        <v>30336</v>
      </c>
      <c r="F13320" t="s">
        <v>32664</v>
      </c>
      <c r="G13320" t="s">
        <v>32672</v>
      </c>
      <c r="H13320" t="s">
        <v>32683</v>
      </c>
      <c r="I13320" t="s">
        <v>6553</v>
      </c>
      <c r="J13320" t="s">
        <v>40711</v>
      </c>
      <c r="K13320" t="s">
        <v>42290</v>
      </c>
      <c r="M13320" t="s">
        <v>46247</v>
      </c>
      <c r="N13320" t="s">
        <v>46569</v>
      </c>
      <c r="O13320" t="s">
        <v>46570</v>
      </c>
      <c r="Q13320">
        <v>12</v>
      </c>
      <c r="R13320" t="s">
        <v>46585</v>
      </c>
      <c r="S13320" t="s">
        <v>46834</v>
      </c>
      <c r="T13320" t="s">
        <v>48285</v>
      </c>
      <c r="U13320" t="s">
        <v>59469</v>
      </c>
      <c r="V13320" t="s">
        <v>63089</v>
      </c>
      <c r="W13320" t="s">
        <v>46247</v>
      </c>
      <c r="X13320" t="s">
        <v>46586</v>
      </c>
    </row>
    <row r="13321" spans="1:24">
      <c r="A13321">
        <f>HYPERLINK("https://www.philgeps.gov.ph/GEPSNONPILOT/Tender/SplashBidNoticeAbstractUI.aspx?menuIndex=3&amp;refID=7040612&amp;Result=3","7040612")</f>
        <v>0</v>
      </c>
      <c r="B13321" t="s">
        <v>3306</v>
      </c>
      <c r="C13321" t="s">
        <v>16176</v>
      </c>
      <c r="D13321" t="s">
        <v>18781</v>
      </c>
      <c r="E13321" t="s">
        <v>30337</v>
      </c>
      <c r="F13321" t="s">
        <v>32664</v>
      </c>
      <c r="G13321" t="s">
        <v>32672</v>
      </c>
      <c r="H13321" t="s">
        <v>12635</v>
      </c>
      <c r="I13321" t="s">
        <v>32692</v>
      </c>
      <c r="J13321" t="s">
        <v>40712</v>
      </c>
      <c r="K13321" t="s">
        <v>42311</v>
      </c>
      <c r="M13321" t="s">
        <v>46251</v>
      </c>
      <c r="N13321" t="s">
        <v>46569</v>
      </c>
      <c r="O13321" t="s">
        <v>46570</v>
      </c>
      <c r="Q13321">
        <v>4</v>
      </c>
      <c r="R13321" t="s">
        <v>46585</v>
      </c>
      <c r="S13321" t="s">
        <v>47234</v>
      </c>
      <c r="T13321" t="s">
        <v>48225</v>
      </c>
      <c r="U13321" t="s">
        <v>59470</v>
      </c>
      <c r="W13321" t="s">
        <v>46251</v>
      </c>
      <c r="X13321" t="s">
        <v>46586</v>
      </c>
    </row>
    <row r="13322" spans="1:24">
      <c r="A13322">
        <f>HYPERLINK("https://www.philgeps.gov.ph/GEPSNONPILOT/Tender/SplashBidNoticeAbstractUI.aspx?menuIndex=3&amp;refID=7040764&amp;Result=3","7040764")</f>
        <v>0</v>
      </c>
      <c r="B13322" t="s">
        <v>2100</v>
      </c>
      <c r="C13322" t="s">
        <v>16177</v>
      </c>
      <c r="D13322" t="s">
        <v>18818</v>
      </c>
      <c r="E13322" t="s">
        <v>30338</v>
      </c>
      <c r="F13322" t="s">
        <v>32664</v>
      </c>
      <c r="G13322" t="s">
        <v>32672</v>
      </c>
      <c r="H13322" t="s">
        <v>32683</v>
      </c>
      <c r="I13322" t="s">
        <v>10627</v>
      </c>
      <c r="J13322" t="s">
        <v>32943</v>
      </c>
      <c r="K13322" t="s">
        <v>42290</v>
      </c>
      <c r="M13322" t="s">
        <v>44855</v>
      </c>
      <c r="N13322" t="s">
        <v>46569</v>
      </c>
      <c r="O13322" t="s">
        <v>46570</v>
      </c>
      <c r="P13322">
        <v>0</v>
      </c>
      <c r="Q13322">
        <v>0</v>
      </c>
      <c r="R13322" t="s">
        <v>46585</v>
      </c>
      <c r="S13322" t="s">
        <v>47146</v>
      </c>
      <c r="T13322" t="s">
        <v>48304</v>
      </c>
      <c r="U13322" t="s">
        <v>59471</v>
      </c>
      <c r="W13322" t="s">
        <v>44855</v>
      </c>
      <c r="X13322" t="s">
        <v>46586</v>
      </c>
    </row>
    <row r="13323" spans="1:24">
      <c r="A13323">
        <f>HYPERLINK("https://www.philgeps.gov.ph/GEPSNONPILOT/Tender/SplashBidNoticeAbstractUI.aspx?menuIndex=3&amp;refID=7040762&amp;Result=3","7040762")</f>
        <v>0</v>
      </c>
      <c r="B13323" t="s">
        <v>475</v>
      </c>
      <c r="C13323" t="s">
        <v>16178</v>
      </c>
      <c r="D13323" t="s">
        <v>18796</v>
      </c>
      <c r="E13323" t="s">
        <v>30339</v>
      </c>
      <c r="F13323" t="s">
        <v>32664</v>
      </c>
      <c r="G13323" t="s">
        <v>32671</v>
      </c>
      <c r="H13323" t="s">
        <v>12635</v>
      </c>
      <c r="I13323" t="s">
        <v>14442</v>
      </c>
      <c r="J13323" t="s">
        <v>40713</v>
      </c>
      <c r="K13323" t="s">
        <v>42281</v>
      </c>
      <c r="M13323" t="s">
        <v>43050</v>
      </c>
      <c r="N13323" t="s">
        <v>46569</v>
      </c>
      <c r="O13323" t="s">
        <v>46570</v>
      </c>
      <c r="P13323">
        <v>0</v>
      </c>
      <c r="Q13323">
        <v>6</v>
      </c>
      <c r="R13323" t="s">
        <v>46585</v>
      </c>
      <c r="S13323" t="s">
        <v>47146</v>
      </c>
      <c r="T13323" t="s">
        <v>48282</v>
      </c>
      <c r="U13323" t="s">
        <v>59472</v>
      </c>
      <c r="W13323" t="s">
        <v>43050</v>
      </c>
      <c r="X13323" t="s">
        <v>46586</v>
      </c>
    </row>
    <row r="13324" spans="1:24">
      <c r="A13324">
        <f>HYPERLINK("https://www.philgeps.gov.ph/GEPSNONPILOT/Tender/SplashBidNoticeAbstractUI.aspx?menuIndex=3&amp;refID=7040770&amp;Result=3","7040770")</f>
        <v>0</v>
      </c>
      <c r="B13324" t="s">
        <v>1608</v>
      </c>
      <c r="C13324" t="s">
        <v>16179</v>
      </c>
      <c r="D13324" t="s">
        <v>18804</v>
      </c>
      <c r="E13324" t="s">
        <v>30340</v>
      </c>
      <c r="F13324" t="s">
        <v>32664</v>
      </c>
      <c r="G13324" t="s">
        <v>32672</v>
      </c>
      <c r="H13324" t="s">
        <v>12635</v>
      </c>
      <c r="I13324" t="s">
        <v>10370</v>
      </c>
      <c r="J13324" t="s">
        <v>40714</v>
      </c>
      <c r="K13324" t="s">
        <v>42303</v>
      </c>
      <c r="M13324" t="s">
        <v>44287</v>
      </c>
      <c r="N13324" t="s">
        <v>46569</v>
      </c>
      <c r="O13324" t="s">
        <v>46570</v>
      </c>
      <c r="P13324">
        <v>0</v>
      </c>
      <c r="Q13324">
        <v>4</v>
      </c>
      <c r="R13324" t="s">
        <v>46585</v>
      </c>
      <c r="S13324" t="s">
        <v>47146</v>
      </c>
      <c r="T13324" t="s">
        <v>48305</v>
      </c>
      <c r="U13324" t="s">
        <v>59473</v>
      </c>
      <c r="V13324" t="s">
        <v>62716</v>
      </c>
      <c r="W13324" t="s">
        <v>44287</v>
      </c>
      <c r="X13324" t="s">
        <v>46586</v>
      </c>
    </row>
    <row r="13325" spans="1:24">
      <c r="A13325">
        <f>HYPERLINK("https://www.philgeps.gov.ph/GEPSNONPILOT/Tender/SplashBidNoticeAbstractUI.aspx?menuIndex=3&amp;refID=7040739&amp;Result=3","7040739")</f>
        <v>0</v>
      </c>
      <c r="B13325" t="s">
        <v>2409</v>
      </c>
      <c r="C13325" t="s">
        <v>16180</v>
      </c>
      <c r="D13325" t="s">
        <v>18786</v>
      </c>
      <c r="E13325" t="s">
        <v>30341</v>
      </c>
      <c r="F13325" t="s">
        <v>32664</v>
      </c>
      <c r="G13325" t="s">
        <v>32672</v>
      </c>
      <c r="H13325" t="s">
        <v>32683</v>
      </c>
      <c r="I13325" t="s">
        <v>10627</v>
      </c>
      <c r="J13325" t="s">
        <v>33150</v>
      </c>
      <c r="K13325" t="s">
        <v>42345</v>
      </c>
      <c r="L13325" t="s">
        <v>2409</v>
      </c>
      <c r="M13325" t="s">
        <v>45362</v>
      </c>
      <c r="N13325" t="s">
        <v>46569</v>
      </c>
      <c r="O13325" t="s">
        <v>46570</v>
      </c>
      <c r="Q13325">
        <v>2</v>
      </c>
      <c r="R13325" t="s">
        <v>46585</v>
      </c>
      <c r="S13325" t="s">
        <v>47235</v>
      </c>
      <c r="T13325" t="s">
        <v>48503</v>
      </c>
      <c r="U13325" t="s">
        <v>59474</v>
      </c>
      <c r="W13325" t="s">
        <v>45362</v>
      </c>
      <c r="X13325" t="s">
        <v>46586</v>
      </c>
    </row>
    <row r="13326" spans="1:24">
      <c r="A13326">
        <f>HYPERLINK("https://www.philgeps.gov.ph/GEPSNONPILOT/Tender/SplashBidNoticeAbstractUI.aspx?menuIndex=3&amp;refID=7040735&amp;Result=3","7040735")</f>
        <v>0</v>
      </c>
      <c r="B13326" t="s">
        <v>592</v>
      </c>
      <c r="C13326" t="s">
        <v>16181</v>
      </c>
      <c r="D13326" t="s">
        <v>18854</v>
      </c>
      <c r="E13326" t="s">
        <v>30342</v>
      </c>
      <c r="F13326" t="s">
        <v>32664</v>
      </c>
      <c r="G13326" t="s">
        <v>32672</v>
      </c>
      <c r="H13326" t="s">
        <v>12635</v>
      </c>
      <c r="I13326" t="s">
        <v>32776</v>
      </c>
      <c r="J13326" t="s">
        <v>40715</v>
      </c>
      <c r="K13326" t="s">
        <v>42305</v>
      </c>
      <c r="M13326" t="s">
        <v>43411</v>
      </c>
      <c r="N13326" t="s">
        <v>46569</v>
      </c>
      <c r="O13326" t="s">
        <v>46570</v>
      </c>
      <c r="Q13326">
        <v>5</v>
      </c>
      <c r="R13326" t="s">
        <v>46585</v>
      </c>
      <c r="S13326" t="s">
        <v>47236</v>
      </c>
      <c r="T13326" t="s">
        <v>48456</v>
      </c>
      <c r="U13326" t="s">
        <v>59475</v>
      </c>
      <c r="V13326" t="s">
        <v>63096</v>
      </c>
      <c r="W13326" t="s">
        <v>43411</v>
      </c>
      <c r="X13326" t="s">
        <v>46586</v>
      </c>
    </row>
    <row r="13327" spans="1:24">
      <c r="A13327">
        <f>HYPERLINK("https://www.philgeps.gov.ph/GEPSNONPILOT/Tender/SplashBidNoticeAbstractUI.aspx?menuIndex=3&amp;refID=7040608&amp;Result=3","7040608")</f>
        <v>0</v>
      </c>
      <c r="B13327" t="s">
        <v>3302</v>
      </c>
      <c r="C13327" t="s">
        <v>16182</v>
      </c>
      <c r="D13327" t="s">
        <v>18806</v>
      </c>
      <c r="E13327" t="s">
        <v>30343</v>
      </c>
      <c r="F13327" t="s">
        <v>32664</v>
      </c>
      <c r="G13327" t="s">
        <v>32672</v>
      </c>
      <c r="H13327" t="s">
        <v>32683</v>
      </c>
      <c r="I13327" t="s">
        <v>6553</v>
      </c>
      <c r="J13327" t="s">
        <v>40716</v>
      </c>
      <c r="K13327" t="s">
        <v>42290</v>
      </c>
      <c r="M13327" t="s">
        <v>46247</v>
      </c>
      <c r="N13327" t="s">
        <v>46569</v>
      </c>
      <c r="O13327" t="s">
        <v>46570</v>
      </c>
      <c r="P13327">
        <v>0</v>
      </c>
      <c r="Q13327">
        <v>10</v>
      </c>
      <c r="R13327" t="s">
        <v>46585</v>
      </c>
      <c r="S13327" t="s">
        <v>47146</v>
      </c>
      <c r="T13327" t="s">
        <v>48285</v>
      </c>
      <c r="U13327" t="s">
        <v>59476</v>
      </c>
      <c r="V13327" t="s">
        <v>63089</v>
      </c>
      <c r="W13327" t="s">
        <v>46247</v>
      </c>
      <c r="X13327" t="s">
        <v>46586</v>
      </c>
    </row>
    <row r="13328" spans="1:24">
      <c r="A13328">
        <f>HYPERLINK("https://www.philgeps.gov.ph/GEPSNONPILOT/Tender/SplashBidNoticeAbstractUI.aspx?menuIndex=3&amp;refID=7040768&amp;Result=3","7040768")</f>
        <v>0</v>
      </c>
      <c r="B13328" t="s">
        <v>2752</v>
      </c>
      <c r="C13328" t="s">
        <v>16183</v>
      </c>
      <c r="D13328" t="s">
        <v>18786</v>
      </c>
      <c r="E13328" t="s">
        <v>19552</v>
      </c>
      <c r="F13328" t="s">
        <v>32664</v>
      </c>
      <c r="G13328" t="s">
        <v>32672</v>
      </c>
      <c r="H13328" t="s">
        <v>12635</v>
      </c>
      <c r="I13328" t="s">
        <v>9486</v>
      </c>
      <c r="J13328" t="s">
        <v>40717</v>
      </c>
      <c r="K13328" t="s">
        <v>42289</v>
      </c>
      <c r="M13328" t="s">
        <v>45586</v>
      </c>
      <c r="N13328" t="s">
        <v>46569</v>
      </c>
      <c r="O13328" t="s">
        <v>46570</v>
      </c>
      <c r="P13328">
        <v>0</v>
      </c>
      <c r="Q13328">
        <v>8</v>
      </c>
      <c r="R13328" t="s">
        <v>46585</v>
      </c>
      <c r="S13328" t="s">
        <v>47146</v>
      </c>
      <c r="T13328" t="s">
        <v>48246</v>
      </c>
      <c r="U13328" t="s">
        <v>59477</v>
      </c>
      <c r="W13328" t="s">
        <v>45586</v>
      </c>
      <c r="X13328" t="s">
        <v>46586</v>
      </c>
    </row>
    <row r="13329" spans="1:24">
      <c r="A13329">
        <f>HYPERLINK("https://www.philgeps.gov.ph/GEPSNONPILOT/Tender/SplashBidNoticeAbstractUI.aspx?menuIndex=3&amp;refID=7040727&amp;Result=3","7040727")</f>
        <v>0</v>
      </c>
      <c r="B13329" t="s">
        <v>1988</v>
      </c>
      <c r="C13329" t="s">
        <v>4018</v>
      </c>
      <c r="E13329" t="s">
        <v>20520</v>
      </c>
      <c r="F13329" t="s">
        <v>32664</v>
      </c>
      <c r="G13329" t="s">
        <v>32672</v>
      </c>
      <c r="H13329" t="s">
        <v>12635</v>
      </c>
      <c r="I13329" t="s">
        <v>32704</v>
      </c>
      <c r="J13329" t="s">
        <v>40718</v>
      </c>
      <c r="K13329" t="s">
        <v>42283</v>
      </c>
      <c r="M13329" t="s">
        <v>46002</v>
      </c>
      <c r="N13329" t="s">
        <v>46569</v>
      </c>
      <c r="O13329" t="s">
        <v>46570</v>
      </c>
      <c r="P13329">
        <v>0</v>
      </c>
      <c r="Q13329">
        <v>11</v>
      </c>
      <c r="R13329" t="s">
        <v>46585</v>
      </c>
      <c r="S13329" t="s">
        <v>47146</v>
      </c>
      <c r="T13329" t="s">
        <v>48256</v>
      </c>
      <c r="U13329" t="s">
        <v>59478</v>
      </c>
      <c r="V13329" t="s">
        <v>63091</v>
      </c>
      <c r="W13329" t="s">
        <v>46002</v>
      </c>
      <c r="X13329" t="s">
        <v>46586</v>
      </c>
    </row>
    <row r="13330" spans="1:24">
      <c r="A13330">
        <f>HYPERLINK("https://www.philgeps.gov.ph/GEPSNONPILOT/Tender/SplashBidNoticeAbstractUI.aspx?menuIndex=3&amp;refID=7040650&amp;Result=3","7040650")</f>
        <v>0</v>
      </c>
      <c r="B13330" t="s">
        <v>3302</v>
      </c>
      <c r="C13330" t="s">
        <v>16184</v>
      </c>
      <c r="D13330" t="s">
        <v>18806</v>
      </c>
      <c r="E13330" t="s">
        <v>30344</v>
      </c>
      <c r="F13330" t="s">
        <v>32664</v>
      </c>
      <c r="G13330" t="s">
        <v>32672</v>
      </c>
      <c r="H13330" t="s">
        <v>32683</v>
      </c>
      <c r="I13330" t="s">
        <v>6553</v>
      </c>
      <c r="J13330" t="s">
        <v>40719</v>
      </c>
      <c r="K13330" t="s">
        <v>42290</v>
      </c>
      <c r="M13330" t="s">
        <v>46247</v>
      </c>
      <c r="N13330" t="s">
        <v>46569</v>
      </c>
      <c r="O13330" t="s">
        <v>46570</v>
      </c>
      <c r="P13330">
        <v>0</v>
      </c>
      <c r="Q13330">
        <v>9</v>
      </c>
      <c r="R13330" t="s">
        <v>46585</v>
      </c>
      <c r="S13330" t="s">
        <v>47146</v>
      </c>
      <c r="T13330" t="s">
        <v>48285</v>
      </c>
      <c r="U13330" t="s">
        <v>59479</v>
      </c>
      <c r="V13330" t="s">
        <v>63089</v>
      </c>
      <c r="W13330" t="s">
        <v>46247</v>
      </c>
      <c r="X13330" t="s">
        <v>46586</v>
      </c>
    </row>
    <row r="13331" spans="1:24">
      <c r="A13331">
        <f>HYPERLINK("https://www.philgeps.gov.ph/GEPSNONPILOT/Tender/SplashBidNoticeAbstractUI.aspx?menuIndex=3&amp;refID=7040695&amp;Result=3","7040695")</f>
        <v>0</v>
      </c>
      <c r="B13331" t="s">
        <v>100</v>
      </c>
      <c r="C13331" t="s">
        <v>16185</v>
      </c>
      <c r="D13331" t="s">
        <v>18784</v>
      </c>
      <c r="E13331" t="s">
        <v>30345</v>
      </c>
      <c r="F13331" t="s">
        <v>32664</v>
      </c>
      <c r="G13331" t="s">
        <v>32672</v>
      </c>
      <c r="H13331" t="s">
        <v>32681</v>
      </c>
      <c r="I13331" t="s">
        <v>32681</v>
      </c>
      <c r="J13331" t="s">
        <v>32930</v>
      </c>
      <c r="K13331" t="s">
        <v>42482</v>
      </c>
      <c r="M13331" t="s">
        <v>42663</v>
      </c>
      <c r="N13331" t="s">
        <v>46569</v>
      </c>
      <c r="O13331" t="s">
        <v>46570</v>
      </c>
      <c r="Q13331">
        <v>5</v>
      </c>
      <c r="R13331" t="s">
        <v>46585</v>
      </c>
      <c r="S13331" t="s">
        <v>47237</v>
      </c>
      <c r="T13331" t="s">
        <v>48721</v>
      </c>
      <c r="U13331" t="s">
        <v>59480</v>
      </c>
      <c r="W13331" t="s">
        <v>42663</v>
      </c>
      <c r="X13331" t="s">
        <v>46586</v>
      </c>
    </row>
    <row r="13332" spans="1:24">
      <c r="A13332">
        <f>HYPERLINK("https://www.philgeps.gov.ph/GEPSNONPILOT/Tender/SplashBidNoticeAbstractUI.aspx?menuIndex=3&amp;refID=7040869&amp;Result=3","7040869")</f>
        <v>0</v>
      </c>
      <c r="B13332" t="s">
        <v>2567</v>
      </c>
      <c r="C13332" t="s">
        <v>16186</v>
      </c>
      <c r="D13332" t="s">
        <v>18784</v>
      </c>
      <c r="E13332" t="s">
        <v>30346</v>
      </c>
      <c r="F13332" t="s">
        <v>32664</v>
      </c>
      <c r="G13332" t="s">
        <v>32672</v>
      </c>
      <c r="H13332" t="s">
        <v>32683</v>
      </c>
      <c r="I13332" t="s">
        <v>10627</v>
      </c>
      <c r="J13332" t="s">
        <v>40720</v>
      </c>
      <c r="K13332" t="s">
        <v>42397</v>
      </c>
      <c r="M13332" t="s">
        <v>45378</v>
      </c>
      <c r="N13332" t="s">
        <v>46569</v>
      </c>
      <c r="O13332" t="s">
        <v>46570</v>
      </c>
      <c r="Q13332">
        <v>39</v>
      </c>
      <c r="R13332" t="s">
        <v>46585</v>
      </c>
      <c r="S13332" t="s">
        <v>47238</v>
      </c>
      <c r="T13332" t="s">
        <v>48283</v>
      </c>
      <c r="U13332" t="s">
        <v>55954</v>
      </c>
      <c r="W13332" t="s">
        <v>45378</v>
      </c>
      <c r="X13332" t="s">
        <v>46586</v>
      </c>
    </row>
    <row r="13333" spans="1:24">
      <c r="A13333">
        <f>HYPERLINK("https://www.philgeps.gov.ph/GEPSNONPILOT/Tender/SplashBidNoticeAbstractUI.aspx?menuIndex=3&amp;refID=7040606&amp;Result=3","7040606")</f>
        <v>0</v>
      </c>
      <c r="B13333" t="s">
        <v>2012</v>
      </c>
      <c r="C13333" t="s">
        <v>16187</v>
      </c>
      <c r="D13333" t="s">
        <v>18785</v>
      </c>
      <c r="E13333" t="s">
        <v>30347</v>
      </c>
      <c r="F13333" t="s">
        <v>32664</v>
      </c>
      <c r="G13333" t="s">
        <v>32672</v>
      </c>
      <c r="H13333" t="s">
        <v>32683</v>
      </c>
      <c r="I13333" t="s">
        <v>10627</v>
      </c>
      <c r="J13333" t="s">
        <v>40721</v>
      </c>
      <c r="K13333" t="s">
        <v>42290</v>
      </c>
      <c r="M13333" t="s">
        <v>46252</v>
      </c>
      <c r="N13333" t="s">
        <v>46569</v>
      </c>
      <c r="O13333" t="s">
        <v>46570</v>
      </c>
      <c r="P13333">
        <v>0</v>
      </c>
      <c r="Q13333">
        <v>5</v>
      </c>
      <c r="R13333" t="s">
        <v>46585</v>
      </c>
      <c r="S13333" t="s">
        <v>47146</v>
      </c>
      <c r="T13333" t="s">
        <v>48283</v>
      </c>
      <c r="U13333" t="s">
        <v>53842</v>
      </c>
      <c r="V13333" t="s">
        <v>63097</v>
      </c>
      <c r="W13333" t="s">
        <v>46252</v>
      </c>
      <c r="X13333" t="s">
        <v>46586</v>
      </c>
    </row>
    <row r="13334" spans="1:24">
      <c r="A13334">
        <f>HYPERLINK("https://www.philgeps.gov.ph/GEPSNONPILOT/Tender/SplashBidNoticeAbstractUI.aspx?menuIndex=3&amp;refID=7040862&amp;Result=3","7040862")</f>
        <v>0</v>
      </c>
      <c r="B13334" t="s">
        <v>3308</v>
      </c>
      <c r="C13334" t="s">
        <v>16188</v>
      </c>
      <c r="D13334" t="s">
        <v>18784</v>
      </c>
      <c r="E13334" t="s">
        <v>30348</v>
      </c>
      <c r="F13334" t="s">
        <v>32664</v>
      </c>
      <c r="G13334" t="s">
        <v>32672</v>
      </c>
      <c r="H13334" t="s">
        <v>32681</v>
      </c>
      <c r="I13334" t="s">
        <v>32681</v>
      </c>
      <c r="J13334" t="s">
        <v>33969</v>
      </c>
      <c r="K13334" t="s">
        <v>42290</v>
      </c>
      <c r="M13334" t="s">
        <v>46254</v>
      </c>
      <c r="N13334" t="s">
        <v>46569</v>
      </c>
      <c r="O13334" t="s">
        <v>46570</v>
      </c>
      <c r="P13334">
        <v>0</v>
      </c>
      <c r="Q13334">
        <v>8</v>
      </c>
      <c r="R13334" t="s">
        <v>46585</v>
      </c>
      <c r="S13334" t="s">
        <v>47146</v>
      </c>
      <c r="T13334" t="s">
        <v>48444</v>
      </c>
      <c r="U13334" t="s">
        <v>59481</v>
      </c>
      <c r="W13334" t="s">
        <v>46254</v>
      </c>
      <c r="X13334" t="s">
        <v>46586</v>
      </c>
    </row>
    <row r="13335" spans="1:24">
      <c r="A13335">
        <f>HYPERLINK("https://www.philgeps.gov.ph/GEPSNONPILOT/Tender/SplashBidNoticeAbstractUI.aspx?menuIndex=3&amp;refID=7040716&amp;Result=3","7040716")</f>
        <v>0</v>
      </c>
      <c r="B13335" t="s">
        <v>1508</v>
      </c>
      <c r="C13335" t="s">
        <v>16189</v>
      </c>
      <c r="D13335" t="s">
        <v>18826</v>
      </c>
      <c r="E13335" t="s">
        <v>30349</v>
      </c>
      <c r="F13335" t="s">
        <v>32664</v>
      </c>
      <c r="G13335" t="s">
        <v>32673</v>
      </c>
      <c r="H13335" t="s">
        <v>12635</v>
      </c>
      <c r="I13335" t="s">
        <v>4439</v>
      </c>
      <c r="J13335" t="s">
        <v>40722</v>
      </c>
      <c r="K13335" t="s">
        <v>42289</v>
      </c>
      <c r="M13335" t="s">
        <v>44174</v>
      </c>
      <c r="N13335" t="s">
        <v>46569</v>
      </c>
      <c r="O13335" t="s">
        <v>46570</v>
      </c>
      <c r="P13335">
        <v>0</v>
      </c>
      <c r="Q13335">
        <v>5</v>
      </c>
      <c r="R13335" t="s">
        <v>46585</v>
      </c>
      <c r="S13335" t="s">
        <v>47146</v>
      </c>
      <c r="T13335" t="s">
        <v>48602</v>
      </c>
      <c r="U13335" t="s">
        <v>59482</v>
      </c>
      <c r="V13335" t="s">
        <v>63098</v>
      </c>
      <c r="W13335" t="s">
        <v>44174</v>
      </c>
      <c r="X13335" t="s">
        <v>46586</v>
      </c>
    </row>
    <row r="13336" spans="1:24">
      <c r="A13336">
        <f>HYPERLINK("https://www.philgeps.gov.ph/GEPSNONPILOT/Tender/SplashBidNoticeAbstractUI.aspx?menuIndex=3&amp;refID=7040854&amp;Result=3","7040854")</f>
        <v>0</v>
      </c>
      <c r="B13336" t="s">
        <v>1240</v>
      </c>
      <c r="C13336" t="s">
        <v>16190</v>
      </c>
      <c r="D13336" t="s">
        <v>18786</v>
      </c>
      <c r="E13336" t="s">
        <v>30350</v>
      </c>
      <c r="F13336" t="s">
        <v>32664</v>
      </c>
      <c r="G13336" t="s">
        <v>32672</v>
      </c>
      <c r="H13336" t="s">
        <v>12635</v>
      </c>
      <c r="I13336" t="s">
        <v>32736</v>
      </c>
      <c r="J13336" t="s">
        <v>33128</v>
      </c>
      <c r="K13336" t="s">
        <v>42281</v>
      </c>
      <c r="M13336" t="s">
        <v>43882</v>
      </c>
      <c r="N13336" t="s">
        <v>46569</v>
      </c>
      <c r="O13336" t="s">
        <v>46570</v>
      </c>
      <c r="P13336">
        <v>0</v>
      </c>
      <c r="Q13336">
        <v>0</v>
      </c>
      <c r="R13336" t="s">
        <v>46585</v>
      </c>
      <c r="S13336" t="s">
        <v>47146</v>
      </c>
      <c r="T13336" t="s">
        <v>48722</v>
      </c>
      <c r="U13336" t="s">
        <v>49667</v>
      </c>
      <c r="V13336" t="s">
        <v>63099</v>
      </c>
      <c r="W13336" t="s">
        <v>43882</v>
      </c>
      <c r="X13336" t="s">
        <v>46586</v>
      </c>
    </row>
    <row r="13337" spans="1:24">
      <c r="A13337">
        <f>HYPERLINK("https://www.philgeps.gov.ph/GEPSNONPILOT/Tender/SplashBidNoticeAbstractUI.aspx?menuIndex=3&amp;refID=7040851&amp;Result=3","7040851")</f>
        <v>0</v>
      </c>
      <c r="B13337" t="s">
        <v>2573</v>
      </c>
      <c r="C13337" t="s">
        <v>16191</v>
      </c>
      <c r="E13337" t="s">
        <v>30351</v>
      </c>
      <c r="F13337" t="s">
        <v>32664</v>
      </c>
      <c r="G13337" t="s">
        <v>32672</v>
      </c>
      <c r="H13337" t="s">
        <v>12635</v>
      </c>
      <c r="I13337" t="s">
        <v>32699</v>
      </c>
      <c r="J13337" t="s">
        <v>40723</v>
      </c>
      <c r="K13337" t="s">
        <v>42283</v>
      </c>
      <c r="M13337" t="s">
        <v>45385</v>
      </c>
      <c r="N13337" t="s">
        <v>46569</v>
      </c>
      <c r="O13337" t="s">
        <v>46570</v>
      </c>
      <c r="Q13337">
        <v>1</v>
      </c>
      <c r="R13337" t="s">
        <v>46585</v>
      </c>
      <c r="S13337" t="s">
        <v>47239</v>
      </c>
      <c r="T13337" t="s">
        <v>48228</v>
      </c>
      <c r="U13337" t="s">
        <v>59483</v>
      </c>
      <c r="W13337" t="s">
        <v>45385</v>
      </c>
      <c r="X13337" t="s">
        <v>46586</v>
      </c>
    </row>
    <row r="13338" spans="1:24">
      <c r="A13338">
        <f>HYPERLINK("https://www.philgeps.gov.ph/GEPSNONPILOT/Tender/SplashBidNoticeAbstractUI.aspx?menuIndex=3&amp;refID=7040849&amp;Result=3","7040849")</f>
        <v>0</v>
      </c>
      <c r="B13338" t="s">
        <v>2567</v>
      </c>
      <c r="C13338" t="s">
        <v>16192</v>
      </c>
      <c r="D13338" t="s">
        <v>18784</v>
      </c>
      <c r="E13338" t="s">
        <v>22515</v>
      </c>
      <c r="F13338" t="s">
        <v>32664</v>
      </c>
      <c r="G13338" t="s">
        <v>32672</v>
      </c>
      <c r="H13338" t="s">
        <v>32683</v>
      </c>
      <c r="I13338" t="s">
        <v>10627</v>
      </c>
      <c r="J13338" t="s">
        <v>40724</v>
      </c>
      <c r="K13338" t="s">
        <v>42285</v>
      </c>
      <c r="M13338" t="s">
        <v>45378</v>
      </c>
      <c r="N13338" t="s">
        <v>46569</v>
      </c>
      <c r="O13338" t="s">
        <v>46570</v>
      </c>
      <c r="Q13338">
        <v>44</v>
      </c>
      <c r="R13338" t="s">
        <v>46585</v>
      </c>
      <c r="S13338" t="s">
        <v>47240</v>
      </c>
      <c r="T13338" t="s">
        <v>48283</v>
      </c>
      <c r="U13338" t="s">
        <v>55954</v>
      </c>
      <c r="W13338" t="s">
        <v>45378</v>
      </c>
      <c r="X13338" t="s">
        <v>46586</v>
      </c>
    </row>
    <row r="13339" spans="1:24">
      <c r="A13339">
        <f>HYPERLINK("https://www.philgeps.gov.ph/GEPSNONPILOT/Tender/SplashBidNoticeAbstractUI.aspx?menuIndex=3&amp;refID=7040846&amp;Result=3","7040846")</f>
        <v>0</v>
      </c>
      <c r="B13339" t="s">
        <v>3309</v>
      </c>
      <c r="C13339" t="s">
        <v>16193</v>
      </c>
      <c r="D13339" t="s">
        <v>18819</v>
      </c>
      <c r="E13339" t="s">
        <v>30352</v>
      </c>
      <c r="F13339" t="s">
        <v>32664</v>
      </c>
      <c r="G13339" t="s">
        <v>32672</v>
      </c>
      <c r="H13339" t="s">
        <v>32683</v>
      </c>
      <c r="I13339" t="s">
        <v>10627</v>
      </c>
      <c r="J13339" t="s">
        <v>39501</v>
      </c>
      <c r="K13339" t="s">
        <v>42436</v>
      </c>
      <c r="M13339" t="s">
        <v>46255</v>
      </c>
      <c r="N13339" t="s">
        <v>46569</v>
      </c>
      <c r="O13339" t="s">
        <v>46570</v>
      </c>
      <c r="Q13339">
        <v>8</v>
      </c>
      <c r="R13339" t="s">
        <v>46585</v>
      </c>
      <c r="S13339" t="s">
        <v>47241</v>
      </c>
      <c r="T13339" t="s">
        <v>48228</v>
      </c>
      <c r="U13339" t="s">
        <v>59484</v>
      </c>
      <c r="V13339" t="s">
        <v>63100</v>
      </c>
      <c r="W13339" t="s">
        <v>46255</v>
      </c>
      <c r="X13339" t="s">
        <v>46586</v>
      </c>
    </row>
    <row r="13340" spans="1:24">
      <c r="A13340">
        <f>HYPERLINK("https://www.philgeps.gov.ph/GEPSNONPILOT/Tender/SplashBidNoticeAbstractUI.aspx?menuIndex=3&amp;refID=7040847&amp;Result=3","7040847")</f>
        <v>0</v>
      </c>
      <c r="B13340" t="s">
        <v>3310</v>
      </c>
      <c r="C13340" t="s">
        <v>16194</v>
      </c>
      <c r="D13340" t="s">
        <v>18831</v>
      </c>
      <c r="E13340" t="s">
        <v>30353</v>
      </c>
      <c r="F13340" t="s">
        <v>32664</v>
      </c>
      <c r="G13340" t="s">
        <v>32672</v>
      </c>
      <c r="H13340" t="s">
        <v>32683</v>
      </c>
      <c r="I13340" t="s">
        <v>10627</v>
      </c>
      <c r="J13340" t="s">
        <v>34131</v>
      </c>
      <c r="K13340" t="s">
        <v>42290</v>
      </c>
      <c r="M13340" t="s">
        <v>46256</v>
      </c>
      <c r="N13340" t="s">
        <v>46569</v>
      </c>
      <c r="O13340" t="s">
        <v>46570</v>
      </c>
      <c r="P13340">
        <v>0</v>
      </c>
      <c r="Q13340">
        <v>0</v>
      </c>
      <c r="R13340" t="s">
        <v>46585</v>
      </c>
      <c r="S13340" t="s">
        <v>47146</v>
      </c>
      <c r="T13340" t="s">
        <v>48283</v>
      </c>
      <c r="U13340" t="s">
        <v>59485</v>
      </c>
      <c r="V13340" t="s">
        <v>63101</v>
      </c>
      <c r="W13340" t="s">
        <v>46256</v>
      </c>
      <c r="X13340" t="s">
        <v>46586</v>
      </c>
    </row>
    <row r="13341" spans="1:24">
      <c r="A13341">
        <f>HYPERLINK("https://www.philgeps.gov.ph/GEPSNONPILOT/Tender/SplashBidNoticeAbstractUI.aspx?menuIndex=3&amp;refID=7040842&amp;Result=3","7040842")</f>
        <v>0</v>
      </c>
      <c r="B13341" t="s">
        <v>3310</v>
      </c>
      <c r="C13341" t="s">
        <v>16195</v>
      </c>
      <c r="D13341" t="s">
        <v>18831</v>
      </c>
      <c r="E13341" t="s">
        <v>30354</v>
      </c>
      <c r="F13341" t="s">
        <v>32664</v>
      </c>
      <c r="G13341" t="s">
        <v>32672</v>
      </c>
      <c r="H13341" t="s">
        <v>32683</v>
      </c>
      <c r="I13341" t="s">
        <v>10627</v>
      </c>
      <c r="J13341" t="s">
        <v>34131</v>
      </c>
      <c r="K13341" t="s">
        <v>42290</v>
      </c>
      <c r="M13341" t="s">
        <v>46256</v>
      </c>
      <c r="N13341" t="s">
        <v>46569</v>
      </c>
      <c r="O13341" t="s">
        <v>46570</v>
      </c>
      <c r="P13341">
        <v>0</v>
      </c>
      <c r="Q13341">
        <v>1</v>
      </c>
      <c r="R13341" t="s">
        <v>46585</v>
      </c>
      <c r="S13341" t="s">
        <v>47146</v>
      </c>
      <c r="T13341" t="s">
        <v>48283</v>
      </c>
      <c r="U13341" t="s">
        <v>59485</v>
      </c>
      <c r="V13341" t="s">
        <v>63101</v>
      </c>
      <c r="W13341" t="s">
        <v>46256</v>
      </c>
      <c r="X13341" t="s">
        <v>46586</v>
      </c>
    </row>
    <row r="13342" spans="1:24">
      <c r="A13342">
        <f>HYPERLINK("https://www.philgeps.gov.ph/GEPSNONPILOT/Tender/SplashBidNoticeAbstractUI.aspx?menuIndex=3&amp;refID=7040700&amp;Result=3","7040700")</f>
        <v>0</v>
      </c>
      <c r="B13342" t="s">
        <v>1608</v>
      </c>
      <c r="C13342" t="s">
        <v>16196</v>
      </c>
      <c r="D13342" t="s">
        <v>18804</v>
      </c>
      <c r="E13342" t="s">
        <v>27843</v>
      </c>
      <c r="F13342" t="s">
        <v>32664</v>
      </c>
      <c r="G13342" t="s">
        <v>32672</v>
      </c>
      <c r="H13342" t="s">
        <v>32683</v>
      </c>
      <c r="I13342" t="s">
        <v>4439</v>
      </c>
      <c r="J13342" t="s">
        <v>40725</v>
      </c>
      <c r="K13342" t="s">
        <v>42418</v>
      </c>
      <c r="M13342" t="s">
        <v>44287</v>
      </c>
      <c r="N13342" t="s">
        <v>46569</v>
      </c>
      <c r="O13342" t="s">
        <v>46570</v>
      </c>
      <c r="P13342">
        <v>0</v>
      </c>
      <c r="Q13342">
        <v>8</v>
      </c>
      <c r="R13342" t="s">
        <v>46585</v>
      </c>
      <c r="S13342" t="s">
        <v>47146</v>
      </c>
      <c r="T13342" t="s">
        <v>48305</v>
      </c>
      <c r="U13342" t="s">
        <v>59486</v>
      </c>
      <c r="V13342" t="s">
        <v>62716</v>
      </c>
      <c r="W13342" t="s">
        <v>44287</v>
      </c>
      <c r="X13342" t="s">
        <v>46586</v>
      </c>
    </row>
    <row r="13343" spans="1:24">
      <c r="A13343">
        <f>HYPERLINK("https://www.philgeps.gov.ph/GEPSNONPILOT/Tender/SplashBidNoticeAbstractUI.aspx?menuIndex=3&amp;refID=7040828&amp;Result=3","7040828")</f>
        <v>0</v>
      </c>
      <c r="B13343" t="s">
        <v>1240</v>
      </c>
      <c r="C13343" t="s">
        <v>16197</v>
      </c>
      <c r="D13343" t="s">
        <v>18786</v>
      </c>
      <c r="E13343" t="s">
        <v>30355</v>
      </c>
      <c r="F13343" t="s">
        <v>32664</v>
      </c>
      <c r="G13343" t="s">
        <v>32672</v>
      </c>
      <c r="H13343" t="s">
        <v>32683</v>
      </c>
      <c r="I13343" t="s">
        <v>10627</v>
      </c>
      <c r="J13343" t="s">
        <v>40726</v>
      </c>
      <c r="K13343" t="s">
        <v>42298</v>
      </c>
      <c r="M13343" t="s">
        <v>43882</v>
      </c>
      <c r="N13343" t="s">
        <v>46569</v>
      </c>
      <c r="O13343" t="s">
        <v>46570</v>
      </c>
      <c r="P13343">
        <v>0</v>
      </c>
      <c r="Q13343">
        <v>1</v>
      </c>
      <c r="R13343" t="s">
        <v>46585</v>
      </c>
      <c r="S13343" t="s">
        <v>47146</v>
      </c>
      <c r="T13343" t="s">
        <v>48723</v>
      </c>
      <c r="U13343" t="s">
        <v>49667</v>
      </c>
      <c r="V13343" t="s">
        <v>63099</v>
      </c>
      <c r="W13343" t="s">
        <v>43882</v>
      </c>
      <c r="X13343" t="s">
        <v>46586</v>
      </c>
    </row>
    <row r="13344" spans="1:24">
      <c r="A13344">
        <f>HYPERLINK("https://www.philgeps.gov.ph/GEPSNONPILOT/Tender/SplashBidNoticeAbstractUI.aspx?menuIndex=3&amp;refID=7040813&amp;Result=3","7040813")</f>
        <v>0</v>
      </c>
      <c r="B13344" t="s">
        <v>2573</v>
      </c>
      <c r="C13344" t="s">
        <v>16198</v>
      </c>
      <c r="E13344" t="s">
        <v>30356</v>
      </c>
      <c r="F13344" t="s">
        <v>32664</v>
      </c>
      <c r="G13344" t="s">
        <v>32672</v>
      </c>
      <c r="H13344" t="s">
        <v>12635</v>
      </c>
      <c r="I13344" t="s">
        <v>32699</v>
      </c>
      <c r="J13344" t="s">
        <v>40727</v>
      </c>
      <c r="K13344" t="s">
        <v>42283</v>
      </c>
      <c r="M13344" t="s">
        <v>45385</v>
      </c>
      <c r="N13344" t="s">
        <v>46569</v>
      </c>
      <c r="O13344" t="s">
        <v>46570</v>
      </c>
      <c r="Q13344">
        <v>1</v>
      </c>
      <c r="R13344" t="s">
        <v>46585</v>
      </c>
      <c r="S13344" t="s">
        <v>47242</v>
      </c>
      <c r="T13344" t="s">
        <v>48228</v>
      </c>
      <c r="U13344" t="s">
        <v>59487</v>
      </c>
      <c r="W13344" t="s">
        <v>45385</v>
      </c>
      <c r="X13344" t="s">
        <v>46586</v>
      </c>
    </row>
    <row r="13345" spans="1:24">
      <c r="A13345">
        <f>HYPERLINK("https://www.philgeps.gov.ph/GEPSNONPILOT/Tender/SplashBidNoticeAbstractUI.aspx?menuIndex=3&amp;refID=7040810&amp;Result=3","7040810")</f>
        <v>0</v>
      </c>
      <c r="B13345" t="s">
        <v>1908</v>
      </c>
      <c r="C13345" t="s">
        <v>16199</v>
      </c>
      <c r="D13345" t="s">
        <v>18784</v>
      </c>
      <c r="E13345" t="s">
        <v>21371</v>
      </c>
      <c r="F13345" t="s">
        <v>32664</v>
      </c>
      <c r="G13345" t="s">
        <v>32672</v>
      </c>
      <c r="H13345" t="s">
        <v>12635</v>
      </c>
      <c r="I13345" t="s">
        <v>32705</v>
      </c>
      <c r="J13345" t="s">
        <v>32943</v>
      </c>
      <c r="K13345" t="s">
        <v>42297</v>
      </c>
      <c r="M13345" t="s">
        <v>44629</v>
      </c>
      <c r="N13345" t="s">
        <v>46569</v>
      </c>
      <c r="O13345" t="s">
        <v>46570</v>
      </c>
      <c r="P13345">
        <v>0</v>
      </c>
      <c r="Q13345">
        <v>2</v>
      </c>
      <c r="R13345" t="s">
        <v>46585</v>
      </c>
      <c r="S13345" t="s">
        <v>47146</v>
      </c>
      <c r="T13345" t="s">
        <v>48452</v>
      </c>
      <c r="U13345" t="s">
        <v>59488</v>
      </c>
      <c r="W13345" t="s">
        <v>44629</v>
      </c>
      <c r="X13345" t="s">
        <v>46586</v>
      </c>
    </row>
    <row r="13346" spans="1:24">
      <c r="A13346">
        <f>HYPERLINK("https://www.philgeps.gov.ph/GEPSNONPILOT/Tender/SplashBidNoticeAbstractUI.aspx?menuIndex=3&amp;refID=7040800&amp;Result=3","7040800")</f>
        <v>0</v>
      </c>
      <c r="B13346" t="s">
        <v>104</v>
      </c>
      <c r="C13346" t="s">
        <v>16200</v>
      </c>
      <c r="E13346" t="s">
        <v>30357</v>
      </c>
      <c r="F13346" t="s">
        <v>32664</v>
      </c>
      <c r="G13346" t="s">
        <v>32672</v>
      </c>
      <c r="H13346" t="s">
        <v>12635</v>
      </c>
      <c r="I13346" t="s">
        <v>32701</v>
      </c>
      <c r="J13346" t="s">
        <v>34148</v>
      </c>
      <c r="K13346" t="s">
        <v>42283</v>
      </c>
      <c r="M13346" t="s">
        <v>42668</v>
      </c>
      <c r="N13346" t="s">
        <v>46569</v>
      </c>
      <c r="O13346" t="s">
        <v>46570</v>
      </c>
      <c r="P13346">
        <v>0</v>
      </c>
      <c r="Q13346">
        <v>1</v>
      </c>
      <c r="R13346" t="s">
        <v>46585</v>
      </c>
      <c r="S13346" t="s">
        <v>47146</v>
      </c>
      <c r="T13346" t="s">
        <v>48306</v>
      </c>
      <c r="U13346" t="s">
        <v>48990</v>
      </c>
      <c r="W13346" t="s">
        <v>42668</v>
      </c>
      <c r="X13346" t="s">
        <v>46586</v>
      </c>
    </row>
    <row r="13347" spans="1:24">
      <c r="A13347">
        <f>HYPERLINK("https://www.philgeps.gov.ph/GEPSNONPILOT/Tender/SplashBidNoticeAbstractUI.aspx?menuIndex=3&amp;refID=7040844&amp;Result=3","7040844")</f>
        <v>0</v>
      </c>
      <c r="B13347" t="s">
        <v>3310</v>
      </c>
      <c r="C13347" t="s">
        <v>16201</v>
      </c>
      <c r="D13347" t="s">
        <v>18831</v>
      </c>
      <c r="E13347" t="s">
        <v>30358</v>
      </c>
      <c r="F13347" t="s">
        <v>32664</v>
      </c>
      <c r="G13347" t="s">
        <v>32672</v>
      </c>
      <c r="H13347" t="s">
        <v>32683</v>
      </c>
      <c r="I13347" t="s">
        <v>10627</v>
      </c>
      <c r="J13347" t="s">
        <v>34075</v>
      </c>
      <c r="K13347" t="s">
        <v>42285</v>
      </c>
      <c r="M13347" t="s">
        <v>46256</v>
      </c>
      <c r="N13347" t="s">
        <v>46569</v>
      </c>
      <c r="O13347" t="s">
        <v>46570</v>
      </c>
      <c r="P13347">
        <v>0</v>
      </c>
      <c r="Q13347">
        <v>1</v>
      </c>
      <c r="R13347" t="s">
        <v>46585</v>
      </c>
      <c r="S13347" t="s">
        <v>47146</v>
      </c>
      <c r="T13347" t="s">
        <v>48283</v>
      </c>
      <c r="U13347" t="s">
        <v>59489</v>
      </c>
      <c r="V13347" t="s">
        <v>63101</v>
      </c>
      <c r="W13347" t="s">
        <v>46256</v>
      </c>
      <c r="X13347" t="s">
        <v>46586</v>
      </c>
    </row>
    <row r="13348" spans="1:24">
      <c r="A13348">
        <f>HYPERLINK("https://www.philgeps.gov.ph/GEPSNONPILOT/Tender/SplashBidNoticeAbstractUI.aspx?menuIndex=3&amp;refID=7040781&amp;Result=3","7040781")</f>
        <v>0</v>
      </c>
      <c r="B13348" t="s">
        <v>1608</v>
      </c>
      <c r="C13348" t="s">
        <v>16202</v>
      </c>
      <c r="D13348" t="s">
        <v>18804</v>
      </c>
      <c r="E13348" t="s">
        <v>30359</v>
      </c>
      <c r="F13348" t="s">
        <v>32664</v>
      </c>
      <c r="G13348" t="s">
        <v>32677</v>
      </c>
      <c r="H13348" t="s">
        <v>12635</v>
      </c>
      <c r="I13348" t="s">
        <v>32698</v>
      </c>
      <c r="J13348" t="s">
        <v>35541</v>
      </c>
      <c r="K13348" t="s">
        <v>42289</v>
      </c>
      <c r="M13348" t="s">
        <v>44287</v>
      </c>
      <c r="N13348" t="s">
        <v>46569</v>
      </c>
      <c r="O13348" t="s">
        <v>46570</v>
      </c>
      <c r="P13348">
        <v>0</v>
      </c>
      <c r="Q13348">
        <v>1</v>
      </c>
      <c r="R13348" t="s">
        <v>46585</v>
      </c>
      <c r="S13348" t="s">
        <v>47146</v>
      </c>
      <c r="T13348" t="s">
        <v>48305</v>
      </c>
      <c r="U13348" t="s">
        <v>59490</v>
      </c>
      <c r="V13348" t="s">
        <v>62716</v>
      </c>
      <c r="W13348" t="s">
        <v>44287</v>
      </c>
      <c r="X13348" t="s">
        <v>46586</v>
      </c>
    </row>
    <row r="13349" spans="1:24">
      <c r="A13349">
        <f>HYPERLINK("https://www.philgeps.gov.ph/GEPSNONPILOT/Tender/SplashBidNoticeAbstractUI.aspx?menuIndex=3&amp;refID=7040711&amp;Result=3","7040711")</f>
        <v>0</v>
      </c>
      <c r="B13349" t="s">
        <v>592</v>
      </c>
      <c r="C13349" t="s">
        <v>16203</v>
      </c>
      <c r="D13349" t="s">
        <v>18854</v>
      </c>
      <c r="E13349" t="s">
        <v>30360</v>
      </c>
      <c r="F13349" t="s">
        <v>32664</v>
      </c>
      <c r="G13349" t="s">
        <v>32672</v>
      </c>
      <c r="H13349" t="s">
        <v>12635</v>
      </c>
      <c r="I13349" t="s">
        <v>32741</v>
      </c>
      <c r="J13349" t="s">
        <v>40728</v>
      </c>
      <c r="K13349" t="s">
        <v>42298</v>
      </c>
      <c r="M13349" t="s">
        <v>43411</v>
      </c>
      <c r="N13349" t="s">
        <v>46569</v>
      </c>
      <c r="O13349" t="s">
        <v>46570</v>
      </c>
      <c r="P13349">
        <v>0</v>
      </c>
      <c r="Q13349">
        <v>4</v>
      </c>
      <c r="R13349" t="s">
        <v>46585</v>
      </c>
      <c r="S13349" t="s">
        <v>47146</v>
      </c>
      <c r="T13349" t="s">
        <v>48456</v>
      </c>
      <c r="U13349" t="s">
        <v>59475</v>
      </c>
      <c r="V13349" t="s">
        <v>63102</v>
      </c>
      <c r="W13349" t="s">
        <v>43411</v>
      </c>
      <c r="X13349" t="s">
        <v>46586</v>
      </c>
    </row>
    <row r="13350" spans="1:24">
      <c r="A13350">
        <f>HYPERLINK("https://www.philgeps.gov.ph/GEPSNONPILOT/Tender/SplashBidNoticeAbstractUI.aspx?menuIndex=3&amp;refID=7040837&amp;Result=3","7040837")</f>
        <v>0</v>
      </c>
      <c r="B13350" t="s">
        <v>3310</v>
      </c>
      <c r="C13350" t="s">
        <v>16204</v>
      </c>
      <c r="D13350" t="s">
        <v>18831</v>
      </c>
      <c r="E13350" t="s">
        <v>30361</v>
      </c>
      <c r="F13350" t="s">
        <v>32664</v>
      </c>
      <c r="G13350" t="s">
        <v>32672</v>
      </c>
      <c r="H13350" t="s">
        <v>32683</v>
      </c>
      <c r="I13350" t="s">
        <v>10627</v>
      </c>
      <c r="J13350" t="s">
        <v>34075</v>
      </c>
      <c r="K13350" t="s">
        <v>42285</v>
      </c>
      <c r="M13350" t="s">
        <v>46256</v>
      </c>
      <c r="N13350" t="s">
        <v>46569</v>
      </c>
      <c r="O13350" t="s">
        <v>46570</v>
      </c>
      <c r="P13350">
        <v>0</v>
      </c>
      <c r="Q13350">
        <v>2</v>
      </c>
      <c r="R13350" t="s">
        <v>46585</v>
      </c>
      <c r="S13350" t="s">
        <v>47146</v>
      </c>
      <c r="T13350" t="s">
        <v>48283</v>
      </c>
      <c r="U13350" t="s">
        <v>59491</v>
      </c>
      <c r="V13350" t="s">
        <v>63101</v>
      </c>
      <c r="W13350" t="s">
        <v>46256</v>
      </c>
      <c r="X13350" t="s">
        <v>46586</v>
      </c>
    </row>
    <row r="13351" spans="1:24">
      <c r="A13351">
        <f>HYPERLINK("https://www.philgeps.gov.ph/GEPSNONPILOT/Tender/SplashBidNoticeAbstractUI.aspx?menuIndex=3&amp;refID=7040933&amp;Result=3","7040933")</f>
        <v>0</v>
      </c>
      <c r="B13351" t="s">
        <v>3311</v>
      </c>
      <c r="C13351" t="s">
        <v>16205</v>
      </c>
      <c r="D13351" t="s">
        <v>18797</v>
      </c>
      <c r="E13351" t="s">
        <v>30362</v>
      </c>
      <c r="F13351" t="s">
        <v>32664</v>
      </c>
      <c r="G13351" t="s">
        <v>32672</v>
      </c>
      <c r="H13351" t="s">
        <v>32683</v>
      </c>
      <c r="I13351" t="s">
        <v>10627</v>
      </c>
      <c r="J13351" t="s">
        <v>32837</v>
      </c>
      <c r="K13351" t="s">
        <v>42298</v>
      </c>
      <c r="M13351" t="s">
        <v>46257</v>
      </c>
      <c r="N13351" t="s">
        <v>46569</v>
      </c>
      <c r="O13351" t="s">
        <v>46570</v>
      </c>
      <c r="P13351">
        <v>0</v>
      </c>
      <c r="Q13351">
        <v>39</v>
      </c>
      <c r="R13351" t="s">
        <v>46585</v>
      </c>
      <c r="S13351" t="s">
        <v>47146</v>
      </c>
      <c r="T13351" t="s">
        <v>48291</v>
      </c>
      <c r="U13351" t="s">
        <v>59492</v>
      </c>
      <c r="V13351" t="s">
        <v>61745</v>
      </c>
      <c r="W13351" t="s">
        <v>46257</v>
      </c>
      <c r="X13351" t="s">
        <v>46586</v>
      </c>
    </row>
    <row r="13352" spans="1:24">
      <c r="A13352">
        <f>HYPERLINK("https://www.philgeps.gov.ph/GEPSNONPILOT/Tender/SplashBidNoticeAbstractUI.aspx?menuIndex=3&amp;refID=7040945&amp;Result=3","7040945")</f>
        <v>0</v>
      </c>
      <c r="B13352" t="s">
        <v>3311</v>
      </c>
      <c r="C13352" t="s">
        <v>6405</v>
      </c>
      <c r="D13352" t="s">
        <v>18797</v>
      </c>
      <c r="E13352" t="s">
        <v>30363</v>
      </c>
      <c r="F13352" t="s">
        <v>32664</v>
      </c>
      <c r="G13352" t="s">
        <v>32672</v>
      </c>
      <c r="H13352" t="s">
        <v>32683</v>
      </c>
      <c r="I13352" t="s">
        <v>10627</v>
      </c>
      <c r="J13352" t="s">
        <v>33097</v>
      </c>
      <c r="K13352" t="s">
        <v>42436</v>
      </c>
      <c r="M13352" t="s">
        <v>46257</v>
      </c>
      <c r="N13352" t="s">
        <v>46569</v>
      </c>
      <c r="O13352" t="s">
        <v>46570</v>
      </c>
      <c r="P13352">
        <v>0</v>
      </c>
      <c r="Q13352">
        <v>41</v>
      </c>
      <c r="R13352" t="s">
        <v>46585</v>
      </c>
      <c r="S13352" t="s">
        <v>47146</v>
      </c>
      <c r="T13352" t="s">
        <v>48291</v>
      </c>
      <c r="U13352" t="s">
        <v>59493</v>
      </c>
      <c r="V13352" t="s">
        <v>61745</v>
      </c>
      <c r="W13352" t="s">
        <v>46257</v>
      </c>
      <c r="X13352" t="s">
        <v>46586</v>
      </c>
    </row>
    <row r="13353" spans="1:24">
      <c r="A13353">
        <f>HYPERLINK("https://www.philgeps.gov.ph/GEPSNONPILOT/Tender/SplashBidNoticeAbstractUI.aspx?menuIndex=3&amp;refID=7040963&amp;Result=3","7040963")</f>
        <v>0</v>
      </c>
      <c r="B13353" t="s">
        <v>2275</v>
      </c>
      <c r="C13353" t="s">
        <v>16206</v>
      </c>
      <c r="E13353" t="s">
        <v>30364</v>
      </c>
      <c r="F13353" t="s">
        <v>32664</v>
      </c>
      <c r="G13353" t="s">
        <v>32672</v>
      </c>
      <c r="H13353" t="s">
        <v>32682</v>
      </c>
      <c r="I13353" t="s">
        <v>5589</v>
      </c>
      <c r="J13353" t="s">
        <v>33761</v>
      </c>
      <c r="K13353" t="s">
        <v>42334</v>
      </c>
      <c r="M13353" t="s">
        <v>46112</v>
      </c>
      <c r="N13353" t="s">
        <v>46569</v>
      </c>
      <c r="O13353" t="s">
        <v>46570</v>
      </c>
      <c r="P13353">
        <v>0</v>
      </c>
      <c r="Q13353">
        <v>15</v>
      </c>
      <c r="R13353" t="s">
        <v>46585</v>
      </c>
      <c r="S13353" t="s">
        <v>47146</v>
      </c>
      <c r="T13353" t="s">
        <v>48285</v>
      </c>
      <c r="U13353" t="s">
        <v>59494</v>
      </c>
      <c r="W13353" t="s">
        <v>46112</v>
      </c>
      <c r="X13353" t="s">
        <v>46586</v>
      </c>
    </row>
    <row r="13354" spans="1:24">
      <c r="A13354">
        <f>HYPERLINK("https://www.philgeps.gov.ph/GEPSNONPILOT/Tender/SplashBidNoticeAbstractUI.aspx?menuIndex=3&amp;refID=7040940&amp;Result=3","7040940")</f>
        <v>0</v>
      </c>
      <c r="B13354" t="s">
        <v>3311</v>
      </c>
      <c r="C13354" t="s">
        <v>16207</v>
      </c>
      <c r="D13354" t="s">
        <v>18797</v>
      </c>
      <c r="E13354" t="s">
        <v>30365</v>
      </c>
      <c r="F13354" t="s">
        <v>32664</v>
      </c>
      <c r="G13354" t="s">
        <v>32672</v>
      </c>
      <c r="H13354" t="s">
        <v>32683</v>
      </c>
      <c r="I13354" t="s">
        <v>10627</v>
      </c>
      <c r="J13354" t="s">
        <v>32943</v>
      </c>
      <c r="K13354" t="s">
        <v>42298</v>
      </c>
      <c r="M13354" t="s">
        <v>46257</v>
      </c>
      <c r="N13354" t="s">
        <v>46569</v>
      </c>
      <c r="O13354" t="s">
        <v>46570</v>
      </c>
      <c r="P13354">
        <v>0</v>
      </c>
      <c r="Q13354">
        <v>41</v>
      </c>
      <c r="R13354" t="s">
        <v>46585</v>
      </c>
      <c r="S13354" t="s">
        <v>47146</v>
      </c>
      <c r="T13354" t="s">
        <v>48291</v>
      </c>
      <c r="U13354" t="s">
        <v>59495</v>
      </c>
      <c r="V13354" t="s">
        <v>61745</v>
      </c>
      <c r="W13354" t="s">
        <v>46257</v>
      </c>
      <c r="X13354" t="s">
        <v>46586</v>
      </c>
    </row>
    <row r="13355" spans="1:24">
      <c r="A13355">
        <f>HYPERLINK("https://www.philgeps.gov.ph/GEPSNONPILOT/Tender/SplashBidNoticeAbstractUI.aspx?menuIndex=3&amp;refID=7040922&amp;Result=3","7040922")</f>
        <v>0</v>
      </c>
      <c r="B13355" t="s">
        <v>2567</v>
      </c>
      <c r="C13355" t="s">
        <v>16208</v>
      </c>
      <c r="D13355" t="s">
        <v>18784</v>
      </c>
      <c r="E13355" t="s">
        <v>30366</v>
      </c>
      <c r="F13355" t="s">
        <v>32664</v>
      </c>
      <c r="G13355" t="s">
        <v>32672</v>
      </c>
      <c r="H13355" t="s">
        <v>32683</v>
      </c>
      <c r="I13355" t="s">
        <v>10627</v>
      </c>
      <c r="J13355" t="s">
        <v>40729</v>
      </c>
      <c r="K13355" t="s">
        <v>42281</v>
      </c>
      <c r="M13355" t="s">
        <v>45378</v>
      </c>
      <c r="N13355" t="s">
        <v>46569</v>
      </c>
      <c r="O13355" t="s">
        <v>46570</v>
      </c>
      <c r="Q13355">
        <v>21</v>
      </c>
      <c r="R13355" t="s">
        <v>46585</v>
      </c>
      <c r="S13355" t="s">
        <v>47243</v>
      </c>
      <c r="T13355" t="s">
        <v>48283</v>
      </c>
      <c r="U13355" t="s">
        <v>55954</v>
      </c>
      <c r="W13355" t="s">
        <v>45378</v>
      </c>
      <c r="X13355" t="s">
        <v>46586</v>
      </c>
    </row>
    <row r="13356" spans="1:24">
      <c r="A13356">
        <f>HYPERLINK("https://www.philgeps.gov.ph/GEPSNONPILOT/Tender/SplashBidNoticeAbstractUI.aspx?menuIndex=3&amp;refID=7040861&amp;Result=3","7040861")</f>
        <v>0</v>
      </c>
      <c r="B13356" t="s">
        <v>2567</v>
      </c>
      <c r="C13356" t="s">
        <v>16209</v>
      </c>
      <c r="D13356" t="s">
        <v>18784</v>
      </c>
      <c r="E13356" t="s">
        <v>30367</v>
      </c>
      <c r="F13356" t="s">
        <v>32664</v>
      </c>
      <c r="G13356" t="s">
        <v>32672</v>
      </c>
      <c r="H13356" t="s">
        <v>32683</v>
      </c>
      <c r="I13356" t="s">
        <v>10627</v>
      </c>
      <c r="J13356" t="s">
        <v>40730</v>
      </c>
      <c r="K13356" t="s">
        <v>42285</v>
      </c>
      <c r="M13356" t="s">
        <v>45378</v>
      </c>
      <c r="N13356" t="s">
        <v>46569</v>
      </c>
      <c r="O13356" t="s">
        <v>46570</v>
      </c>
      <c r="Q13356">
        <v>27</v>
      </c>
      <c r="R13356" t="s">
        <v>46585</v>
      </c>
      <c r="S13356" t="s">
        <v>47244</v>
      </c>
      <c r="T13356" t="s">
        <v>48283</v>
      </c>
      <c r="U13356" t="s">
        <v>55954</v>
      </c>
      <c r="W13356" t="s">
        <v>45378</v>
      </c>
      <c r="X13356" t="s">
        <v>46586</v>
      </c>
    </row>
    <row r="13357" spans="1:24">
      <c r="A13357">
        <f>HYPERLINK("https://www.philgeps.gov.ph/GEPSNONPILOT/Tender/SplashBidNoticeAbstractUI.aspx?menuIndex=3&amp;refID=7040921&amp;Result=3","7040921")</f>
        <v>0</v>
      </c>
      <c r="B13357" t="s">
        <v>940</v>
      </c>
      <c r="C13357" t="s">
        <v>16210</v>
      </c>
      <c r="D13357" t="s">
        <v>18784</v>
      </c>
      <c r="E13357" t="s">
        <v>30368</v>
      </c>
      <c r="F13357" t="s">
        <v>32664</v>
      </c>
      <c r="G13357" t="s">
        <v>32672</v>
      </c>
      <c r="H13357" t="s">
        <v>12635</v>
      </c>
      <c r="I13357" t="s">
        <v>9597</v>
      </c>
      <c r="J13357" t="s">
        <v>40731</v>
      </c>
      <c r="K13357" t="s">
        <v>42348</v>
      </c>
      <c r="M13357" t="s">
        <v>46258</v>
      </c>
      <c r="N13357" t="s">
        <v>46569</v>
      </c>
      <c r="O13357" t="s">
        <v>46570</v>
      </c>
      <c r="Q13357">
        <v>3</v>
      </c>
      <c r="R13357" t="s">
        <v>46585</v>
      </c>
      <c r="S13357" t="s">
        <v>47245</v>
      </c>
      <c r="T13357" t="s">
        <v>48269</v>
      </c>
      <c r="U13357" t="s">
        <v>59496</v>
      </c>
      <c r="W13357" t="s">
        <v>46258</v>
      </c>
      <c r="X13357" t="s">
        <v>46586</v>
      </c>
    </row>
    <row r="13358" spans="1:24">
      <c r="A13358">
        <f>HYPERLINK("https://www.philgeps.gov.ph/GEPSNONPILOT/Tender/SplashBidNoticeAbstractUI.aspx?menuIndex=3&amp;refID=7040613&amp;Result=3","7040613")</f>
        <v>0</v>
      </c>
      <c r="B13358" t="s">
        <v>2012</v>
      </c>
      <c r="C13358" t="s">
        <v>16211</v>
      </c>
      <c r="D13358" t="s">
        <v>18785</v>
      </c>
      <c r="E13358" t="s">
        <v>30369</v>
      </c>
      <c r="F13358" t="s">
        <v>32664</v>
      </c>
      <c r="G13358" t="s">
        <v>32672</v>
      </c>
      <c r="H13358" t="s">
        <v>32683</v>
      </c>
      <c r="I13358" t="s">
        <v>10627</v>
      </c>
      <c r="J13358" t="s">
        <v>40732</v>
      </c>
      <c r="K13358" t="s">
        <v>42433</v>
      </c>
      <c r="M13358" t="s">
        <v>46252</v>
      </c>
      <c r="N13358" t="s">
        <v>46569</v>
      </c>
      <c r="O13358" t="s">
        <v>46570</v>
      </c>
      <c r="P13358">
        <v>0</v>
      </c>
      <c r="Q13358">
        <v>7</v>
      </c>
      <c r="R13358" t="s">
        <v>46585</v>
      </c>
      <c r="S13358" t="s">
        <v>47146</v>
      </c>
      <c r="T13358" t="s">
        <v>48283</v>
      </c>
      <c r="U13358" t="s">
        <v>53842</v>
      </c>
      <c r="V13358" t="s">
        <v>63103</v>
      </c>
      <c r="W13358" t="s">
        <v>46252</v>
      </c>
      <c r="X13358" t="s">
        <v>46586</v>
      </c>
    </row>
    <row r="13359" spans="1:24">
      <c r="A13359">
        <f>HYPERLINK("https://www.philgeps.gov.ph/GEPSNONPILOT/Tender/SplashBidNoticeAbstractUI.aspx?menuIndex=3&amp;refID=7040807&amp;Result=3","7040807")</f>
        <v>0</v>
      </c>
      <c r="B13359" t="s">
        <v>1240</v>
      </c>
      <c r="C13359" t="s">
        <v>16212</v>
      </c>
      <c r="D13359" t="s">
        <v>18786</v>
      </c>
      <c r="E13359" t="s">
        <v>30370</v>
      </c>
      <c r="F13359" t="s">
        <v>32664</v>
      </c>
      <c r="G13359" t="s">
        <v>32672</v>
      </c>
      <c r="H13359" t="s">
        <v>32683</v>
      </c>
      <c r="I13359" t="s">
        <v>10627</v>
      </c>
      <c r="J13359" t="s">
        <v>40733</v>
      </c>
      <c r="K13359" t="s">
        <v>42298</v>
      </c>
      <c r="M13359" t="s">
        <v>43882</v>
      </c>
      <c r="N13359" t="s">
        <v>46569</v>
      </c>
      <c r="O13359" t="s">
        <v>46570</v>
      </c>
      <c r="P13359">
        <v>0</v>
      </c>
      <c r="Q13359">
        <v>0</v>
      </c>
      <c r="R13359" t="s">
        <v>46585</v>
      </c>
      <c r="S13359" t="s">
        <v>47146</v>
      </c>
      <c r="T13359" t="s">
        <v>48724</v>
      </c>
      <c r="U13359" t="s">
        <v>49667</v>
      </c>
      <c r="V13359" t="s">
        <v>63099</v>
      </c>
      <c r="W13359" t="s">
        <v>43882</v>
      </c>
      <c r="X13359" t="s">
        <v>46586</v>
      </c>
    </row>
    <row r="13360" spans="1:24">
      <c r="A13360">
        <f>HYPERLINK("https://www.philgeps.gov.ph/GEPSNONPILOT/Tender/SplashBidNoticeAbstractUI.aspx?menuIndex=3&amp;refID=7040918&amp;Result=3","7040918")</f>
        <v>0</v>
      </c>
      <c r="B13360" t="s">
        <v>2567</v>
      </c>
      <c r="C13360" t="s">
        <v>16213</v>
      </c>
      <c r="D13360" t="s">
        <v>18784</v>
      </c>
      <c r="E13360" t="s">
        <v>30371</v>
      </c>
      <c r="F13360" t="s">
        <v>32664</v>
      </c>
      <c r="G13360" t="s">
        <v>32672</v>
      </c>
      <c r="H13360" t="s">
        <v>32683</v>
      </c>
      <c r="I13360" t="s">
        <v>10627</v>
      </c>
      <c r="J13360" t="s">
        <v>40734</v>
      </c>
      <c r="K13360" t="s">
        <v>42308</v>
      </c>
      <c r="M13360" t="s">
        <v>45378</v>
      </c>
      <c r="N13360" t="s">
        <v>46569</v>
      </c>
      <c r="O13360" t="s">
        <v>46570</v>
      </c>
      <c r="Q13360">
        <v>35</v>
      </c>
      <c r="R13360" t="s">
        <v>46585</v>
      </c>
      <c r="S13360" t="s">
        <v>47246</v>
      </c>
      <c r="T13360" t="s">
        <v>48283</v>
      </c>
      <c r="U13360" t="s">
        <v>55954</v>
      </c>
      <c r="W13360" t="s">
        <v>45378</v>
      </c>
      <c r="X13360" t="s">
        <v>46586</v>
      </c>
    </row>
    <row r="13361" spans="1:24">
      <c r="A13361">
        <f>HYPERLINK("https://www.philgeps.gov.ph/GEPSNONPILOT/Tender/SplashBidNoticeAbstractUI.aspx?menuIndex=3&amp;refID=7040906&amp;Result=3","7040906")</f>
        <v>0</v>
      </c>
      <c r="B13361" t="s">
        <v>3312</v>
      </c>
      <c r="C13361" t="s">
        <v>16214</v>
      </c>
      <c r="D13361" t="s">
        <v>18785</v>
      </c>
      <c r="E13361" t="s">
        <v>30372</v>
      </c>
      <c r="F13361" t="s">
        <v>32664</v>
      </c>
      <c r="G13361" t="s">
        <v>32672</v>
      </c>
      <c r="H13361" t="s">
        <v>32683</v>
      </c>
      <c r="I13361" t="s">
        <v>10627</v>
      </c>
      <c r="J13361" t="s">
        <v>33261</v>
      </c>
      <c r="K13361" t="s">
        <v>42290</v>
      </c>
      <c r="M13361" t="s">
        <v>46259</v>
      </c>
      <c r="N13361" t="s">
        <v>46569</v>
      </c>
      <c r="O13361" t="s">
        <v>46570</v>
      </c>
      <c r="P13361">
        <v>0</v>
      </c>
      <c r="Q13361">
        <v>3</v>
      </c>
      <c r="R13361" t="s">
        <v>46585</v>
      </c>
      <c r="S13361" t="s">
        <v>47146</v>
      </c>
      <c r="T13361" t="s">
        <v>48725</v>
      </c>
      <c r="U13361" t="s">
        <v>59497</v>
      </c>
      <c r="W13361" t="s">
        <v>46259</v>
      </c>
      <c r="X13361" t="s">
        <v>46586</v>
      </c>
    </row>
    <row r="13362" spans="1:24">
      <c r="A13362">
        <f>HYPERLINK("https://www.philgeps.gov.ph/GEPSNONPILOT/Tender/SplashBidNoticeAbstractUI.aspx?menuIndex=3&amp;refID=7040925&amp;Result=3","7040925")</f>
        <v>0</v>
      </c>
      <c r="B13362" t="s">
        <v>3311</v>
      </c>
      <c r="C13362" t="s">
        <v>16215</v>
      </c>
      <c r="D13362" t="s">
        <v>18797</v>
      </c>
      <c r="E13362" t="s">
        <v>30373</v>
      </c>
      <c r="F13362" t="s">
        <v>32664</v>
      </c>
      <c r="G13362" t="s">
        <v>32672</v>
      </c>
      <c r="H13362" t="s">
        <v>32683</v>
      </c>
      <c r="I13362" t="s">
        <v>10627</v>
      </c>
      <c r="J13362" t="s">
        <v>32962</v>
      </c>
      <c r="K13362" t="s">
        <v>42533</v>
      </c>
      <c r="M13362" t="s">
        <v>46257</v>
      </c>
      <c r="N13362" t="s">
        <v>46569</v>
      </c>
      <c r="O13362" t="s">
        <v>46570</v>
      </c>
      <c r="P13362">
        <v>0</v>
      </c>
      <c r="Q13362">
        <v>43</v>
      </c>
      <c r="R13362" t="s">
        <v>46585</v>
      </c>
      <c r="S13362" t="s">
        <v>47146</v>
      </c>
      <c r="T13362" t="s">
        <v>48291</v>
      </c>
      <c r="U13362" t="s">
        <v>59498</v>
      </c>
      <c r="V13362" t="s">
        <v>61745</v>
      </c>
      <c r="W13362" t="s">
        <v>46257</v>
      </c>
      <c r="X13362" t="s">
        <v>46586</v>
      </c>
    </row>
    <row r="13363" spans="1:24">
      <c r="A13363">
        <f>HYPERLINK("https://www.philgeps.gov.ph/GEPSNONPILOT/Tender/SplashBidNoticeAbstractUI.aspx?menuIndex=3&amp;refID=7040888&amp;Result=3","7040888")</f>
        <v>0</v>
      </c>
      <c r="B13363" t="s">
        <v>2567</v>
      </c>
      <c r="C13363" t="s">
        <v>16216</v>
      </c>
      <c r="D13363" t="s">
        <v>18784</v>
      </c>
      <c r="E13363" t="s">
        <v>30374</v>
      </c>
      <c r="F13363" t="s">
        <v>32664</v>
      </c>
      <c r="G13363" t="s">
        <v>32672</v>
      </c>
      <c r="H13363" t="s">
        <v>32683</v>
      </c>
      <c r="I13363" t="s">
        <v>10627</v>
      </c>
      <c r="J13363" t="s">
        <v>40735</v>
      </c>
      <c r="K13363" t="s">
        <v>42290</v>
      </c>
      <c r="M13363" t="s">
        <v>45378</v>
      </c>
      <c r="N13363" t="s">
        <v>46569</v>
      </c>
      <c r="O13363" t="s">
        <v>46570</v>
      </c>
      <c r="Q13363">
        <v>24</v>
      </c>
      <c r="R13363" t="s">
        <v>46585</v>
      </c>
      <c r="S13363" t="s">
        <v>47247</v>
      </c>
      <c r="T13363" t="s">
        <v>48283</v>
      </c>
      <c r="U13363" t="s">
        <v>55954</v>
      </c>
      <c r="W13363" t="s">
        <v>45378</v>
      </c>
      <c r="X13363" t="s">
        <v>46586</v>
      </c>
    </row>
    <row r="13364" spans="1:24">
      <c r="A13364">
        <f>HYPERLINK("https://www.philgeps.gov.ph/GEPSNONPILOT/Tender/SplashBidNoticeAbstractUI.aspx?menuIndex=3&amp;refID=7040887&amp;Result=3","7040887")</f>
        <v>0</v>
      </c>
      <c r="B13364" t="s">
        <v>3313</v>
      </c>
      <c r="C13364" t="s">
        <v>16217</v>
      </c>
      <c r="D13364" t="s">
        <v>18853</v>
      </c>
      <c r="E13364" t="s">
        <v>30375</v>
      </c>
      <c r="F13364" t="s">
        <v>32664</v>
      </c>
      <c r="G13364" t="s">
        <v>32672</v>
      </c>
      <c r="H13364" t="s">
        <v>32683</v>
      </c>
      <c r="I13364" t="s">
        <v>10627</v>
      </c>
      <c r="J13364" t="s">
        <v>40736</v>
      </c>
      <c r="K13364" t="s">
        <v>42341</v>
      </c>
      <c r="M13364" t="s">
        <v>46260</v>
      </c>
      <c r="N13364" t="s">
        <v>46569</v>
      </c>
      <c r="O13364" t="s">
        <v>46570</v>
      </c>
      <c r="Q13364">
        <v>1</v>
      </c>
      <c r="R13364" t="s">
        <v>46585</v>
      </c>
      <c r="S13364" t="s">
        <v>47248</v>
      </c>
      <c r="T13364" t="s">
        <v>48268</v>
      </c>
      <c r="U13364" t="s">
        <v>59499</v>
      </c>
      <c r="W13364" t="s">
        <v>46260</v>
      </c>
      <c r="X13364" t="s">
        <v>46586</v>
      </c>
    </row>
    <row r="13365" spans="1:24">
      <c r="A13365">
        <f>HYPERLINK("https://www.philgeps.gov.ph/GEPSNONPILOT/Tender/SplashBidNoticeAbstractUI.aspx?menuIndex=3&amp;refID=7040638&amp;Result=3","7040638")</f>
        <v>0</v>
      </c>
      <c r="B13365" t="s">
        <v>3307</v>
      </c>
      <c r="C13365" t="s">
        <v>16218</v>
      </c>
      <c r="D13365" t="s">
        <v>18784</v>
      </c>
      <c r="E13365" t="s">
        <v>30376</v>
      </c>
      <c r="F13365" t="s">
        <v>32664</v>
      </c>
      <c r="G13365" t="s">
        <v>32672</v>
      </c>
      <c r="H13365" t="s">
        <v>12635</v>
      </c>
      <c r="I13365" t="s">
        <v>4205</v>
      </c>
      <c r="J13365" t="s">
        <v>40737</v>
      </c>
      <c r="K13365" t="s">
        <v>42289</v>
      </c>
      <c r="M13365" t="s">
        <v>46253</v>
      </c>
      <c r="N13365" t="s">
        <v>46569</v>
      </c>
      <c r="O13365" t="s">
        <v>46570</v>
      </c>
      <c r="P13365">
        <v>0</v>
      </c>
      <c r="Q13365">
        <v>3</v>
      </c>
      <c r="R13365" t="s">
        <v>46585</v>
      </c>
      <c r="S13365" t="s">
        <v>47146</v>
      </c>
      <c r="T13365" t="s">
        <v>48304</v>
      </c>
      <c r="U13365" t="s">
        <v>59500</v>
      </c>
      <c r="W13365" t="s">
        <v>46253</v>
      </c>
      <c r="X13365" t="s">
        <v>46586</v>
      </c>
    </row>
    <row r="13366" spans="1:24">
      <c r="A13366">
        <f>HYPERLINK("https://www.philgeps.gov.ph/GEPSNONPILOT/Tender/SplashBidNoticeAbstractUI.aspx?menuIndex=3&amp;refID=7040908&amp;Result=3","7040908")</f>
        <v>0</v>
      </c>
      <c r="B13366" t="s">
        <v>3314</v>
      </c>
      <c r="C13366" t="s">
        <v>16219</v>
      </c>
      <c r="D13366" t="s">
        <v>18822</v>
      </c>
      <c r="E13366" t="s">
        <v>30377</v>
      </c>
      <c r="F13366" t="s">
        <v>32664</v>
      </c>
      <c r="G13366" t="s">
        <v>32672</v>
      </c>
      <c r="H13366" t="s">
        <v>12635</v>
      </c>
      <c r="I13366" t="s">
        <v>11464</v>
      </c>
      <c r="J13366" t="s">
        <v>33150</v>
      </c>
      <c r="K13366" t="s">
        <v>42305</v>
      </c>
      <c r="M13366" t="s">
        <v>46261</v>
      </c>
      <c r="N13366" t="s">
        <v>46569</v>
      </c>
      <c r="O13366" t="s">
        <v>46570</v>
      </c>
      <c r="Q13366">
        <v>6</v>
      </c>
      <c r="R13366" t="s">
        <v>46585</v>
      </c>
      <c r="S13366" t="s">
        <v>47249</v>
      </c>
      <c r="T13366" t="s">
        <v>48240</v>
      </c>
      <c r="U13366" t="s">
        <v>59501</v>
      </c>
      <c r="W13366" t="s">
        <v>46261</v>
      </c>
      <c r="X13366" t="s">
        <v>46586</v>
      </c>
    </row>
    <row r="13367" spans="1:24">
      <c r="A13367">
        <f>HYPERLINK("https://www.philgeps.gov.ph/GEPSNONPILOT/Tender/SplashBidNoticeAbstractUI.aspx?menuIndex=3&amp;refID=7040882&amp;Result=3","7040882")</f>
        <v>0</v>
      </c>
      <c r="B13367" t="s">
        <v>352</v>
      </c>
      <c r="C13367" t="s">
        <v>16220</v>
      </c>
      <c r="E13367" t="s">
        <v>30378</v>
      </c>
      <c r="F13367" t="s">
        <v>32664</v>
      </c>
      <c r="G13367" t="s">
        <v>32672</v>
      </c>
      <c r="H13367" t="s">
        <v>32683</v>
      </c>
      <c r="I13367" t="s">
        <v>10627</v>
      </c>
      <c r="J13367" t="s">
        <v>33150</v>
      </c>
      <c r="K13367" t="s">
        <v>42308</v>
      </c>
      <c r="M13367" t="s">
        <v>45154</v>
      </c>
      <c r="N13367" t="s">
        <v>46569</v>
      </c>
      <c r="O13367" t="s">
        <v>46570</v>
      </c>
      <c r="Q13367">
        <v>6</v>
      </c>
      <c r="R13367" t="s">
        <v>46585</v>
      </c>
      <c r="S13367" t="s">
        <v>47250</v>
      </c>
      <c r="T13367" t="s">
        <v>48321</v>
      </c>
      <c r="U13367" t="s">
        <v>59502</v>
      </c>
      <c r="V13367" t="s">
        <v>63104</v>
      </c>
      <c r="W13367" t="s">
        <v>45154</v>
      </c>
      <c r="X13367" t="s">
        <v>46586</v>
      </c>
    </row>
    <row r="13368" spans="1:24">
      <c r="A13368">
        <f>HYPERLINK("https://www.philgeps.gov.ph/GEPSNONPILOT/Tender/SplashBidNoticeAbstractUI.aspx?menuIndex=3&amp;refID=7040910&amp;Result=3","7040910")</f>
        <v>0</v>
      </c>
      <c r="B13368" t="s">
        <v>2567</v>
      </c>
      <c r="C13368" t="s">
        <v>16221</v>
      </c>
      <c r="D13368" t="s">
        <v>18784</v>
      </c>
      <c r="E13368" t="s">
        <v>30379</v>
      </c>
      <c r="F13368" t="s">
        <v>32664</v>
      </c>
      <c r="G13368" t="s">
        <v>32672</v>
      </c>
      <c r="H13368" t="s">
        <v>32683</v>
      </c>
      <c r="I13368" t="s">
        <v>10627</v>
      </c>
      <c r="J13368" t="s">
        <v>40738</v>
      </c>
      <c r="K13368" t="s">
        <v>42311</v>
      </c>
      <c r="M13368" t="s">
        <v>45378</v>
      </c>
      <c r="N13368" t="s">
        <v>46569</v>
      </c>
      <c r="O13368" t="s">
        <v>46570</v>
      </c>
      <c r="Q13368">
        <v>22</v>
      </c>
      <c r="R13368" t="s">
        <v>46585</v>
      </c>
      <c r="S13368" t="s">
        <v>47251</v>
      </c>
      <c r="T13368" t="s">
        <v>48283</v>
      </c>
      <c r="U13368" t="s">
        <v>55954</v>
      </c>
      <c r="W13368" t="s">
        <v>45378</v>
      </c>
      <c r="X13368" t="s">
        <v>46586</v>
      </c>
    </row>
    <row r="13369" spans="1:24">
      <c r="A13369">
        <f>HYPERLINK("https://www.philgeps.gov.ph/GEPSNONPILOT/Tender/SplashBidNoticeAbstractUI.aspx?menuIndex=3&amp;refID=7040889&amp;Result=3","7040889")</f>
        <v>0</v>
      </c>
      <c r="B13369" t="s">
        <v>980</v>
      </c>
      <c r="C13369" t="s">
        <v>16222</v>
      </c>
      <c r="D13369" t="s">
        <v>18816</v>
      </c>
      <c r="E13369" t="s">
        <v>30380</v>
      </c>
      <c r="F13369" t="s">
        <v>32664</v>
      </c>
      <c r="G13369" t="s">
        <v>32672</v>
      </c>
      <c r="H13369" t="s">
        <v>12635</v>
      </c>
      <c r="I13369" t="s">
        <v>9486</v>
      </c>
      <c r="J13369" t="s">
        <v>40739</v>
      </c>
      <c r="K13369" t="s">
        <v>42297</v>
      </c>
      <c r="M13369" t="s">
        <v>43589</v>
      </c>
      <c r="N13369" t="s">
        <v>46569</v>
      </c>
      <c r="O13369" t="s">
        <v>46570</v>
      </c>
      <c r="P13369">
        <v>0</v>
      </c>
      <c r="Q13369">
        <v>0</v>
      </c>
      <c r="R13369" t="s">
        <v>46585</v>
      </c>
      <c r="S13369" t="s">
        <v>47146</v>
      </c>
      <c r="T13369" t="s">
        <v>48244</v>
      </c>
      <c r="U13369" t="s">
        <v>59503</v>
      </c>
      <c r="W13369" t="s">
        <v>46552</v>
      </c>
      <c r="X13369" t="s">
        <v>46586</v>
      </c>
    </row>
    <row r="13370" spans="1:24">
      <c r="A13370">
        <f>HYPERLINK("https://www.philgeps.gov.ph/GEPSNONPILOT/Tender/SplashBidNoticeAbstractUI.aspx?menuIndex=3&amp;refID=7040870&amp;Result=3","7040870")</f>
        <v>0</v>
      </c>
      <c r="B13370" t="s">
        <v>1240</v>
      </c>
      <c r="C13370" t="s">
        <v>16223</v>
      </c>
      <c r="D13370" t="s">
        <v>18877</v>
      </c>
      <c r="E13370" t="s">
        <v>30381</v>
      </c>
      <c r="F13370" t="s">
        <v>32664</v>
      </c>
      <c r="G13370" t="s">
        <v>32672</v>
      </c>
      <c r="H13370" t="s">
        <v>12635</v>
      </c>
      <c r="I13370" t="s">
        <v>4439</v>
      </c>
      <c r="J13370" t="s">
        <v>35096</v>
      </c>
      <c r="K13370" t="s">
        <v>42281</v>
      </c>
      <c r="M13370" t="s">
        <v>43882</v>
      </c>
      <c r="N13370" t="s">
        <v>46569</v>
      </c>
      <c r="O13370" t="s">
        <v>46570</v>
      </c>
      <c r="P13370">
        <v>0</v>
      </c>
      <c r="Q13370">
        <v>0</v>
      </c>
      <c r="R13370" t="s">
        <v>46585</v>
      </c>
      <c r="S13370" t="s">
        <v>47146</v>
      </c>
      <c r="T13370" t="s">
        <v>48726</v>
      </c>
      <c r="U13370" t="s">
        <v>49667</v>
      </c>
      <c r="V13370" t="s">
        <v>63099</v>
      </c>
      <c r="W13370" t="s">
        <v>43882</v>
      </c>
      <c r="X13370" t="s">
        <v>46586</v>
      </c>
    </row>
    <row r="13371" spans="1:24">
      <c r="A13371">
        <f>HYPERLINK("https://www.philgeps.gov.ph/GEPSNONPILOT/Tender/SplashBidNoticeAbstractUI.aspx?menuIndex=3&amp;refID=7032425&amp;Result=3","7032425")</f>
        <v>0</v>
      </c>
      <c r="B13371" t="s">
        <v>1386</v>
      </c>
      <c r="C13371" t="s">
        <v>16224</v>
      </c>
      <c r="D13371" t="s">
        <v>18819</v>
      </c>
      <c r="E13371" t="s">
        <v>30382</v>
      </c>
      <c r="F13371" t="s">
        <v>32664</v>
      </c>
      <c r="G13371" t="s">
        <v>32672</v>
      </c>
      <c r="H13371" t="s">
        <v>32683</v>
      </c>
      <c r="I13371" t="s">
        <v>10627</v>
      </c>
      <c r="J13371" t="s">
        <v>40740</v>
      </c>
      <c r="K13371" t="s">
        <v>42310</v>
      </c>
      <c r="M13371" t="s">
        <v>46262</v>
      </c>
      <c r="N13371" t="s">
        <v>46569</v>
      </c>
      <c r="O13371" t="s">
        <v>46570</v>
      </c>
      <c r="P13371">
        <v>0</v>
      </c>
      <c r="Q13371">
        <v>1</v>
      </c>
      <c r="R13371" t="s">
        <v>46586</v>
      </c>
      <c r="S13371" t="s">
        <v>47252</v>
      </c>
      <c r="T13371" t="s">
        <v>48283</v>
      </c>
      <c r="U13371" t="s">
        <v>59504</v>
      </c>
      <c r="W13371" t="s">
        <v>46262</v>
      </c>
      <c r="X13371" t="s">
        <v>46589</v>
      </c>
    </row>
    <row r="13372" spans="1:24">
      <c r="A13372">
        <f>HYPERLINK("https://www.philgeps.gov.ph/GEPSNONPILOT/Tender/SplashBidNoticeAbstractUI.aspx?menuIndex=3&amp;refID=7032422&amp;Result=3","7032422")</f>
        <v>0</v>
      </c>
      <c r="B13372" t="s">
        <v>1386</v>
      </c>
      <c r="C13372" t="s">
        <v>16225</v>
      </c>
      <c r="D13372" t="s">
        <v>18819</v>
      </c>
      <c r="E13372" t="s">
        <v>30383</v>
      </c>
      <c r="F13372" t="s">
        <v>32664</v>
      </c>
      <c r="G13372" t="s">
        <v>32672</v>
      </c>
      <c r="H13372" t="s">
        <v>32683</v>
      </c>
      <c r="I13372" t="s">
        <v>10627</v>
      </c>
      <c r="J13372" t="s">
        <v>40741</v>
      </c>
      <c r="K13372" t="s">
        <v>42504</v>
      </c>
      <c r="M13372" t="s">
        <v>46262</v>
      </c>
      <c r="N13372" t="s">
        <v>46569</v>
      </c>
      <c r="O13372" t="s">
        <v>46570</v>
      </c>
      <c r="P13372">
        <v>0</v>
      </c>
      <c r="Q13372">
        <v>2</v>
      </c>
      <c r="R13372" t="s">
        <v>46586</v>
      </c>
      <c r="S13372" t="s">
        <v>47252</v>
      </c>
      <c r="T13372" t="s">
        <v>48283</v>
      </c>
      <c r="U13372" t="s">
        <v>59505</v>
      </c>
      <c r="W13372" t="s">
        <v>46262</v>
      </c>
      <c r="X13372" t="s">
        <v>46589</v>
      </c>
    </row>
    <row r="13373" spans="1:24">
      <c r="A13373">
        <f>HYPERLINK("https://www.philgeps.gov.ph/GEPSNONPILOT/Tender/SplashBidNoticeAbstractUI.aspx?menuIndex=3&amp;refID=7032420&amp;Result=3","7032420")</f>
        <v>0</v>
      </c>
      <c r="B13373" t="s">
        <v>1386</v>
      </c>
      <c r="C13373" t="s">
        <v>16226</v>
      </c>
      <c r="D13373" t="s">
        <v>18819</v>
      </c>
      <c r="E13373" t="s">
        <v>30384</v>
      </c>
      <c r="F13373" t="s">
        <v>32664</v>
      </c>
      <c r="G13373" t="s">
        <v>32672</v>
      </c>
      <c r="H13373" t="s">
        <v>32683</v>
      </c>
      <c r="I13373" t="s">
        <v>10627</v>
      </c>
      <c r="J13373" t="s">
        <v>40742</v>
      </c>
      <c r="K13373" t="s">
        <v>42314</v>
      </c>
      <c r="M13373" t="s">
        <v>46262</v>
      </c>
      <c r="N13373" t="s">
        <v>46569</v>
      </c>
      <c r="O13373" t="s">
        <v>46570</v>
      </c>
      <c r="P13373">
        <v>0</v>
      </c>
      <c r="Q13373">
        <v>0</v>
      </c>
      <c r="R13373" t="s">
        <v>46586</v>
      </c>
      <c r="S13373" t="s">
        <v>47252</v>
      </c>
      <c r="T13373" t="s">
        <v>48283</v>
      </c>
      <c r="U13373" t="s">
        <v>59506</v>
      </c>
      <c r="W13373" t="s">
        <v>46262</v>
      </c>
      <c r="X13373" t="s">
        <v>46589</v>
      </c>
    </row>
    <row r="13374" spans="1:24">
      <c r="A13374">
        <f>HYPERLINK("https://www.philgeps.gov.ph/GEPSNONPILOT/Tender/SplashBidNoticeAbstractUI.aspx?menuIndex=3&amp;refID=7031383&amp;Result=3","7031383")</f>
        <v>0</v>
      </c>
      <c r="B13374" t="s">
        <v>3315</v>
      </c>
      <c r="C13374" t="s">
        <v>16227</v>
      </c>
      <c r="D13374" t="s">
        <v>18851</v>
      </c>
      <c r="E13374" t="s">
        <v>30385</v>
      </c>
      <c r="F13374" t="s">
        <v>32664</v>
      </c>
      <c r="G13374" t="s">
        <v>32672</v>
      </c>
      <c r="H13374" t="s">
        <v>32683</v>
      </c>
      <c r="I13374" t="s">
        <v>10627</v>
      </c>
      <c r="J13374" t="s">
        <v>33150</v>
      </c>
      <c r="K13374" t="s">
        <v>42283</v>
      </c>
      <c r="M13374" t="s">
        <v>46263</v>
      </c>
      <c r="N13374" t="s">
        <v>46569</v>
      </c>
      <c r="O13374" t="s">
        <v>46570</v>
      </c>
      <c r="P13374">
        <v>0</v>
      </c>
      <c r="Q13374">
        <v>1</v>
      </c>
      <c r="R13374" t="s">
        <v>46586</v>
      </c>
      <c r="S13374" t="s">
        <v>47252</v>
      </c>
      <c r="T13374" t="s">
        <v>48283</v>
      </c>
      <c r="U13374" t="s">
        <v>59507</v>
      </c>
      <c r="W13374" t="s">
        <v>46263</v>
      </c>
      <c r="X13374" t="s">
        <v>46591</v>
      </c>
    </row>
    <row r="13375" spans="1:24">
      <c r="A13375">
        <f>HYPERLINK("https://www.philgeps.gov.ph/GEPSNONPILOT/Tender/SplashBidNoticeAbstractUI.aspx?menuIndex=3&amp;refID=7040881&amp;Result=3","7040881")</f>
        <v>0</v>
      </c>
      <c r="B13375" t="s">
        <v>2567</v>
      </c>
      <c r="C13375" t="s">
        <v>16228</v>
      </c>
      <c r="D13375" t="s">
        <v>18784</v>
      </c>
      <c r="E13375" t="s">
        <v>30386</v>
      </c>
      <c r="F13375" t="s">
        <v>32664</v>
      </c>
      <c r="G13375" t="s">
        <v>32672</v>
      </c>
      <c r="H13375" t="s">
        <v>32683</v>
      </c>
      <c r="I13375" t="s">
        <v>10627</v>
      </c>
      <c r="J13375" t="s">
        <v>40743</v>
      </c>
      <c r="K13375" t="s">
        <v>42311</v>
      </c>
      <c r="M13375" t="s">
        <v>45378</v>
      </c>
      <c r="N13375" t="s">
        <v>46569</v>
      </c>
      <c r="O13375" t="s">
        <v>46570</v>
      </c>
      <c r="Q13375">
        <v>24</v>
      </c>
      <c r="R13375" t="s">
        <v>46585</v>
      </c>
      <c r="S13375" t="s">
        <v>47253</v>
      </c>
      <c r="T13375" t="s">
        <v>48283</v>
      </c>
      <c r="U13375" t="s">
        <v>55954</v>
      </c>
      <c r="W13375" t="s">
        <v>45378</v>
      </c>
      <c r="X13375" t="s">
        <v>46586</v>
      </c>
    </row>
    <row r="13376" spans="1:24">
      <c r="A13376">
        <f>HYPERLINK("https://www.philgeps.gov.ph/GEPSNONPILOT/Tender/SplashBidNoticeAbstractUI.aspx?menuIndex=3&amp;refID=7031230&amp;Result=3","7031230")</f>
        <v>0</v>
      </c>
      <c r="B13376" t="s">
        <v>3316</v>
      </c>
      <c r="C13376" t="s">
        <v>16229</v>
      </c>
      <c r="D13376" t="s">
        <v>18785</v>
      </c>
      <c r="E13376" t="s">
        <v>28992</v>
      </c>
      <c r="F13376" t="s">
        <v>32664</v>
      </c>
      <c r="G13376" t="s">
        <v>32672</v>
      </c>
      <c r="H13376" t="s">
        <v>32683</v>
      </c>
      <c r="I13376" t="s">
        <v>10627</v>
      </c>
      <c r="J13376" t="s">
        <v>40744</v>
      </c>
      <c r="K13376" t="s">
        <v>42285</v>
      </c>
      <c r="M13376" t="s">
        <v>46264</v>
      </c>
      <c r="N13376" t="s">
        <v>46569</v>
      </c>
      <c r="O13376" t="s">
        <v>46570</v>
      </c>
      <c r="P13376">
        <v>0</v>
      </c>
      <c r="Q13376">
        <v>3</v>
      </c>
      <c r="R13376" t="s">
        <v>46586</v>
      </c>
      <c r="S13376" t="s">
        <v>47252</v>
      </c>
      <c r="T13376" t="s">
        <v>48244</v>
      </c>
      <c r="U13376" t="s">
        <v>59508</v>
      </c>
      <c r="V13376" t="s">
        <v>63105</v>
      </c>
      <c r="W13376" t="s">
        <v>46264</v>
      </c>
      <c r="X13376" t="s">
        <v>46591</v>
      </c>
    </row>
    <row r="13377" spans="1:24">
      <c r="A13377">
        <f>HYPERLINK("https://www.philgeps.gov.ph/GEPSNONPILOT/Tender/SplashBidNoticeAbstractUI.aspx?menuIndex=3&amp;refID=7029004&amp;Result=3","7029004")</f>
        <v>0</v>
      </c>
      <c r="B13377" t="s">
        <v>1788</v>
      </c>
      <c r="C13377" t="s">
        <v>16230</v>
      </c>
      <c r="D13377" t="s">
        <v>18802</v>
      </c>
      <c r="E13377" t="s">
        <v>30387</v>
      </c>
      <c r="F13377" t="s">
        <v>32664</v>
      </c>
      <c r="G13377" t="s">
        <v>32672</v>
      </c>
      <c r="H13377" t="s">
        <v>32683</v>
      </c>
      <c r="I13377" t="s">
        <v>10627</v>
      </c>
      <c r="J13377" t="s">
        <v>40745</v>
      </c>
      <c r="K13377" t="s">
        <v>42281</v>
      </c>
      <c r="M13377" t="s">
        <v>44490</v>
      </c>
      <c r="N13377" t="s">
        <v>46569</v>
      </c>
      <c r="O13377" t="s">
        <v>46570</v>
      </c>
      <c r="P13377">
        <v>0</v>
      </c>
      <c r="Q13377">
        <v>1</v>
      </c>
      <c r="R13377" t="s">
        <v>46586</v>
      </c>
      <c r="S13377" t="s">
        <v>47252</v>
      </c>
      <c r="T13377" t="s">
        <v>48282</v>
      </c>
      <c r="U13377" t="s">
        <v>59509</v>
      </c>
      <c r="W13377" t="s">
        <v>44490</v>
      </c>
      <c r="X13377" t="s">
        <v>46592</v>
      </c>
    </row>
    <row r="13378" spans="1:24">
      <c r="A13378">
        <f>HYPERLINK("https://www.philgeps.gov.ph/GEPSNONPILOT/Tender/SplashBidNoticeAbstractUI.aspx?menuIndex=3&amp;refID=7027764&amp;Result=3","7027764")</f>
        <v>0</v>
      </c>
      <c r="B13378" t="s">
        <v>1331</v>
      </c>
      <c r="C13378" t="s">
        <v>16231</v>
      </c>
      <c r="D13378" t="s">
        <v>18798</v>
      </c>
      <c r="E13378" t="s">
        <v>30388</v>
      </c>
      <c r="F13378" t="s">
        <v>32664</v>
      </c>
      <c r="G13378" t="s">
        <v>32672</v>
      </c>
      <c r="H13378" t="s">
        <v>12635</v>
      </c>
      <c r="I13378" t="s">
        <v>4439</v>
      </c>
      <c r="J13378" t="s">
        <v>40746</v>
      </c>
      <c r="K13378" t="s">
        <v>42303</v>
      </c>
      <c r="M13378" t="s">
        <v>43980</v>
      </c>
      <c r="N13378" t="s">
        <v>46569</v>
      </c>
      <c r="O13378" t="s">
        <v>46570</v>
      </c>
      <c r="P13378">
        <v>0</v>
      </c>
      <c r="Q13378">
        <v>2</v>
      </c>
      <c r="R13378" t="s">
        <v>46586</v>
      </c>
      <c r="S13378" t="s">
        <v>47252</v>
      </c>
      <c r="T13378" t="s">
        <v>48287</v>
      </c>
      <c r="U13378" t="s">
        <v>59510</v>
      </c>
      <c r="W13378" t="s">
        <v>43980</v>
      </c>
      <c r="X13378" t="s">
        <v>46592</v>
      </c>
    </row>
    <row r="13379" spans="1:24">
      <c r="A13379">
        <f>HYPERLINK("https://www.philgeps.gov.ph/GEPSNONPILOT/Tender/SplashBidNoticeAbstractUI.aspx?menuIndex=3&amp;refID=7027463&amp;Result=3","7027463")</f>
        <v>0</v>
      </c>
      <c r="B13379" t="s">
        <v>1007</v>
      </c>
      <c r="C13379" t="s">
        <v>16232</v>
      </c>
      <c r="D13379" t="s">
        <v>18812</v>
      </c>
      <c r="E13379" t="s">
        <v>30389</v>
      </c>
      <c r="F13379" t="s">
        <v>32664</v>
      </c>
      <c r="G13379" t="s">
        <v>32672</v>
      </c>
      <c r="H13379" t="s">
        <v>12635</v>
      </c>
      <c r="I13379" t="s">
        <v>6168</v>
      </c>
      <c r="J13379" t="s">
        <v>40747</v>
      </c>
      <c r="K13379" t="s">
        <v>42284</v>
      </c>
      <c r="M13379" t="s">
        <v>44391</v>
      </c>
      <c r="N13379" t="s">
        <v>46569</v>
      </c>
      <c r="O13379" t="s">
        <v>46570</v>
      </c>
      <c r="P13379">
        <v>0</v>
      </c>
      <c r="Q13379">
        <v>3</v>
      </c>
      <c r="R13379" t="s">
        <v>46586</v>
      </c>
      <c r="S13379" t="s">
        <v>47252</v>
      </c>
      <c r="T13379" t="s">
        <v>48279</v>
      </c>
      <c r="U13379" t="s">
        <v>59511</v>
      </c>
      <c r="W13379" t="s">
        <v>44391</v>
      </c>
      <c r="X13379" t="s">
        <v>46592</v>
      </c>
    </row>
    <row r="13380" spans="1:24">
      <c r="A13380">
        <f>HYPERLINK("https://www.philgeps.gov.ph/GEPSNONPILOT/Tender/SplashBidNoticeAbstractUI.aspx?menuIndex=3&amp;refID=7032417&amp;Result=3","7032417")</f>
        <v>0</v>
      </c>
      <c r="B13380" t="s">
        <v>1386</v>
      </c>
      <c r="C13380" t="s">
        <v>16233</v>
      </c>
      <c r="D13380" t="s">
        <v>18819</v>
      </c>
      <c r="E13380" t="s">
        <v>30390</v>
      </c>
      <c r="F13380" t="s">
        <v>32664</v>
      </c>
      <c r="G13380" t="s">
        <v>32672</v>
      </c>
      <c r="H13380" t="s">
        <v>32683</v>
      </c>
      <c r="I13380" t="s">
        <v>10627</v>
      </c>
      <c r="J13380" t="s">
        <v>40748</v>
      </c>
      <c r="K13380" t="s">
        <v>42298</v>
      </c>
      <c r="M13380" t="s">
        <v>46262</v>
      </c>
      <c r="N13380" t="s">
        <v>46569</v>
      </c>
      <c r="O13380" t="s">
        <v>46570</v>
      </c>
      <c r="P13380">
        <v>0</v>
      </c>
      <c r="Q13380">
        <v>1</v>
      </c>
      <c r="R13380" t="s">
        <v>46586</v>
      </c>
      <c r="S13380" t="s">
        <v>47252</v>
      </c>
      <c r="T13380" t="s">
        <v>48283</v>
      </c>
      <c r="U13380" t="s">
        <v>59512</v>
      </c>
      <c r="W13380" t="s">
        <v>46262</v>
      </c>
      <c r="X13380" t="s">
        <v>46589</v>
      </c>
    </row>
    <row r="13381" spans="1:24">
      <c r="A13381">
        <f>HYPERLINK("https://www.philgeps.gov.ph/GEPSNONPILOT/Tender/SplashBidNoticeAbstractUI.aspx?menuIndex=3&amp;refID=7032427&amp;Result=3","7032427")</f>
        <v>0</v>
      </c>
      <c r="B13381" t="s">
        <v>1386</v>
      </c>
      <c r="C13381" t="s">
        <v>16234</v>
      </c>
      <c r="D13381" t="s">
        <v>18819</v>
      </c>
      <c r="E13381" t="s">
        <v>30391</v>
      </c>
      <c r="F13381" t="s">
        <v>32664</v>
      </c>
      <c r="G13381" t="s">
        <v>32672</v>
      </c>
      <c r="H13381" t="s">
        <v>32683</v>
      </c>
      <c r="I13381" t="s">
        <v>10627</v>
      </c>
      <c r="J13381" t="s">
        <v>40749</v>
      </c>
      <c r="K13381" t="s">
        <v>42533</v>
      </c>
      <c r="M13381" t="s">
        <v>46262</v>
      </c>
      <c r="N13381" t="s">
        <v>46569</v>
      </c>
      <c r="O13381" t="s">
        <v>46570</v>
      </c>
      <c r="P13381">
        <v>0</v>
      </c>
      <c r="Q13381">
        <v>1</v>
      </c>
      <c r="R13381" t="s">
        <v>46586</v>
      </c>
      <c r="S13381" t="s">
        <v>47252</v>
      </c>
      <c r="T13381" t="s">
        <v>48283</v>
      </c>
      <c r="U13381" t="s">
        <v>59513</v>
      </c>
      <c r="W13381" t="s">
        <v>46262</v>
      </c>
      <c r="X13381" t="s">
        <v>46589</v>
      </c>
    </row>
    <row r="13382" spans="1:24">
      <c r="A13382">
        <f>HYPERLINK("https://www.philgeps.gov.ph/GEPSNONPILOT/Tender/SplashBidNoticeAbstractUI.aspx?menuIndex=3&amp;refID=7032498&amp;Result=3","7032498")</f>
        <v>0</v>
      </c>
      <c r="B13382" t="s">
        <v>1386</v>
      </c>
      <c r="C13382" t="s">
        <v>16235</v>
      </c>
      <c r="D13382" t="s">
        <v>18819</v>
      </c>
      <c r="E13382" t="s">
        <v>30392</v>
      </c>
      <c r="F13382" t="s">
        <v>32664</v>
      </c>
      <c r="G13382" t="s">
        <v>32672</v>
      </c>
      <c r="H13382" t="s">
        <v>32683</v>
      </c>
      <c r="I13382" t="s">
        <v>10627</v>
      </c>
      <c r="J13382" t="s">
        <v>40750</v>
      </c>
      <c r="K13382" t="s">
        <v>42327</v>
      </c>
      <c r="M13382" t="s">
        <v>46262</v>
      </c>
      <c r="N13382" t="s">
        <v>46569</v>
      </c>
      <c r="O13382" t="s">
        <v>46570</v>
      </c>
      <c r="P13382">
        <v>0</v>
      </c>
      <c r="Q13382">
        <v>0</v>
      </c>
      <c r="R13382" t="s">
        <v>46586</v>
      </c>
      <c r="S13382" t="s">
        <v>47252</v>
      </c>
      <c r="T13382" t="s">
        <v>48283</v>
      </c>
      <c r="U13382" t="s">
        <v>59514</v>
      </c>
      <c r="W13382" t="s">
        <v>46262</v>
      </c>
      <c r="X13382" t="s">
        <v>46589</v>
      </c>
    </row>
    <row r="13383" spans="1:24">
      <c r="A13383">
        <f>HYPERLINK("https://www.philgeps.gov.ph/GEPSNONPILOT/Tender/SplashBidNoticeAbstractUI.aspx?menuIndex=3&amp;refID=7032494&amp;Result=3","7032494")</f>
        <v>0</v>
      </c>
      <c r="B13383" t="s">
        <v>1386</v>
      </c>
      <c r="C13383" t="s">
        <v>16236</v>
      </c>
      <c r="D13383" t="s">
        <v>18819</v>
      </c>
      <c r="E13383" t="s">
        <v>30393</v>
      </c>
      <c r="F13383" t="s">
        <v>32664</v>
      </c>
      <c r="G13383" t="s">
        <v>32672</v>
      </c>
      <c r="H13383" t="s">
        <v>32683</v>
      </c>
      <c r="I13383" t="s">
        <v>10627</v>
      </c>
      <c r="J13383" t="s">
        <v>40751</v>
      </c>
      <c r="K13383" t="s">
        <v>42372</v>
      </c>
      <c r="M13383" t="s">
        <v>46262</v>
      </c>
      <c r="N13383" t="s">
        <v>46569</v>
      </c>
      <c r="O13383" t="s">
        <v>46570</v>
      </c>
      <c r="P13383">
        <v>0</v>
      </c>
      <c r="Q13383">
        <v>1</v>
      </c>
      <c r="R13383" t="s">
        <v>46586</v>
      </c>
      <c r="S13383" t="s">
        <v>47252</v>
      </c>
      <c r="T13383" t="s">
        <v>48283</v>
      </c>
      <c r="U13383" t="s">
        <v>59515</v>
      </c>
      <c r="W13383" t="s">
        <v>46262</v>
      </c>
      <c r="X13383" t="s">
        <v>46589</v>
      </c>
    </row>
    <row r="13384" spans="1:24">
      <c r="A13384">
        <f>HYPERLINK("https://www.philgeps.gov.ph/GEPSNONPILOT/Tender/SplashBidNoticeAbstractUI.aspx?menuIndex=3&amp;refID=7032493&amp;Result=3","7032493")</f>
        <v>0</v>
      </c>
      <c r="B13384" t="s">
        <v>1386</v>
      </c>
      <c r="C13384" t="s">
        <v>16237</v>
      </c>
      <c r="D13384" t="s">
        <v>18819</v>
      </c>
      <c r="E13384" t="s">
        <v>30394</v>
      </c>
      <c r="F13384" t="s">
        <v>32664</v>
      </c>
      <c r="G13384" t="s">
        <v>32672</v>
      </c>
      <c r="H13384" t="s">
        <v>32683</v>
      </c>
      <c r="I13384" t="s">
        <v>10627</v>
      </c>
      <c r="J13384" t="s">
        <v>40752</v>
      </c>
      <c r="K13384" t="s">
        <v>42310</v>
      </c>
      <c r="M13384" t="s">
        <v>46262</v>
      </c>
      <c r="N13384" t="s">
        <v>46569</v>
      </c>
      <c r="O13384" t="s">
        <v>46570</v>
      </c>
      <c r="P13384">
        <v>0</v>
      </c>
      <c r="Q13384">
        <v>0</v>
      </c>
      <c r="R13384" t="s">
        <v>46586</v>
      </c>
      <c r="S13384" t="s">
        <v>47252</v>
      </c>
      <c r="T13384" t="s">
        <v>48283</v>
      </c>
      <c r="U13384" t="s">
        <v>59516</v>
      </c>
      <c r="W13384" t="s">
        <v>46262</v>
      </c>
      <c r="X13384" t="s">
        <v>46589</v>
      </c>
    </row>
    <row r="13385" spans="1:24">
      <c r="A13385">
        <f>HYPERLINK("https://www.philgeps.gov.ph/GEPSNONPILOT/Tender/SplashBidNoticeAbstractUI.aspx?menuIndex=3&amp;refID=7032491&amp;Result=3","7032491")</f>
        <v>0</v>
      </c>
      <c r="B13385" t="s">
        <v>1386</v>
      </c>
      <c r="C13385" t="s">
        <v>16238</v>
      </c>
      <c r="D13385" t="s">
        <v>18819</v>
      </c>
      <c r="E13385" t="s">
        <v>30395</v>
      </c>
      <c r="F13385" t="s">
        <v>32664</v>
      </c>
      <c r="G13385" t="s">
        <v>32672</v>
      </c>
      <c r="H13385" t="s">
        <v>32683</v>
      </c>
      <c r="I13385" t="s">
        <v>10627</v>
      </c>
      <c r="J13385" t="s">
        <v>40753</v>
      </c>
      <c r="K13385" t="s">
        <v>42467</v>
      </c>
      <c r="M13385" t="s">
        <v>46262</v>
      </c>
      <c r="N13385" t="s">
        <v>46569</v>
      </c>
      <c r="O13385" t="s">
        <v>46570</v>
      </c>
      <c r="P13385">
        <v>0</v>
      </c>
      <c r="Q13385">
        <v>0</v>
      </c>
      <c r="R13385" t="s">
        <v>46586</v>
      </c>
      <c r="S13385" t="s">
        <v>47252</v>
      </c>
      <c r="T13385" t="s">
        <v>48283</v>
      </c>
      <c r="U13385" t="s">
        <v>59517</v>
      </c>
      <c r="W13385" t="s">
        <v>46262</v>
      </c>
      <c r="X13385" t="s">
        <v>46589</v>
      </c>
    </row>
    <row r="13386" spans="1:24">
      <c r="A13386">
        <f>HYPERLINK("https://www.philgeps.gov.ph/GEPSNONPILOT/Tender/SplashBidNoticeAbstractUI.aspx?menuIndex=3&amp;refID=7032478&amp;Result=3","7032478")</f>
        <v>0</v>
      </c>
      <c r="B13386" t="s">
        <v>1386</v>
      </c>
      <c r="C13386" t="s">
        <v>16239</v>
      </c>
      <c r="D13386" t="s">
        <v>18819</v>
      </c>
      <c r="E13386" t="s">
        <v>30396</v>
      </c>
      <c r="F13386" t="s">
        <v>32664</v>
      </c>
      <c r="G13386" t="s">
        <v>32672</v>
      </c>
      <c r="H13386" t="s">
        <v>32683</v>
      </c>
      <c r="I13386" t="s">
        <v>10627</v>
      </c>
      <c r="J13386" t="s">
        <v>40754</v>
      </c>
      <c r="K13386" t="s">
        <v>42504</v>
      </c>
      <c r="M13386" t="s">
        <v>46262</v>
      </c>
      <c r="N13386" t="s">
        <v>46569</v>
      </c>
      <c r="O13386" t="s">
        <v>46570</v>
      </c>
      <c r="P13386">
        <v>0</v>
      </c>
      <c r="Q13386">
        <v>0</v>
      </c>
      <c r="R13386" t="s">
        <v>46586</v>
      </c>
      <c r="S13386" t="s">
        <v>47252</v>
      </c>
      <c r="T13386" t="s">
        <v>48283</v>
      </c>
      <c r="U13386" t="s">
        <v>59518</v>
      </c>
      <c r="W13386" t="s">
        <v>46262</v>
      </c>
      <c r="X13386" t="s">
        <v>46589</v>
      </c>
    </row>
    <row r="13387" spans="1:24">
      <c r="A13387">
        <f>HYPERLINK("https://www.philgeps.gov.ph/GEPSNONPILOT/Tender/SplashBidNoticeAbstractUI.aspx?menuIndex=3&amp;refID=7032475&amp;Result=3","7032475")</f>
        <v>0</v>
      </c>
      <c r="B13387" t="s">
        <v>1386</v>
      </c>
      <c r="C13387" t="s">
        <v>16240</v>
      </c>
      <c r="D13387" t="s">
        <v>18819</v>
      </c>
      <c r="E13387" t="s">
        <v>30397</v>
      </c>
      <c r="F13387" t="s">
        <v>32664</v>
      </c>
      <c r="G13387" t="s">
        <v>32672</v>
      </c>
      <c r="H13387" t="s">
        <v>32683</v>
      </c>
      <c r="I13387" t="s">
        <v>10627</v>
      </c>
      <c r="J13387" t="s">
        <v>40755</v>
      </c>
      <c r="K13387" t="s">
        <v>42437</v>
      </c>
      <c r="M13387" t="s">
        <v>46262</v>
      </c>
      <c r="N13387" t="s">
        <v>46569</v>
      </c>
      <c r="O13387" t="s">
        <v>46570</v>
      </c>
      <c r="P13387">
        <v>0</v>
      </c>
      <c r="Q13387">
        <v>0</v>
      </c>
      <c r="R13387" t="s">
        <v>46586</v>
      </c>
      <c r="S13387" t="s">
        <v>47252</v>
      </c>
      <c r="T13387" t="s">
        <v>48283</v>
      </c>
      <c r="U13387" t="s">
        <v>59519</v>
      </c>
      <c r="W13387" t="s">
        <v>46262</v>
      </c>
      <c r="X13387" t="s">
        <v>46589</v>
      </c>
    </row>
    <row r="13388" spans="1:24">
      <c r="A13388">
        <f>HYPERLINK("https://www.philgeps.gov.ph/GEPSNONPILOT/Tender/SplashBidNoticeAbstractUI.aspx?menuIndex=3&amp;refID=7032474&amp;Result=3","7032474")</f>
        <v>0</v>
      </c>
      <c r="B13388" t="s">
        <v>1386</v>
      </c>
      <c r="C13388" t="s">
        <v>16241</v>
      </c>
      <c r="D13388" t="s">
        <v>18819</v>
      </c>
      <c r="E13388" t="s">
        <v>30398</v>
      </c>
      <c r="F13388" t="s">
        <v>32664</v>
      </c>
      <c r="G13388" t="s">
        <v>32672</v>
      </c>
      <c r="H13388" t="s">
        <v>32683</v>
      </c>
      <c r="I13388" t="s">
        <v>10627</v>
      </c>
      <c r="J13388" t="s">
        <v>40756</v>
      </c>
      <c r="K13388" t="s">
        <v>42298</v>
      </c>
      <c r="M13388" t="s">
        <v>46262</v>
      </c>
      <c r="N13388" t="s">
        <v>46569</v>
      </c>
      <c r="O13388" t="s">
        <v>46570</v>
      </c>
      <c r="P13388">
        <v>0</v>
      </c>
      <c r="Q13388">
        <v>0</v>
      </c>
      <c r="R13388" t="s">
        <v>46586</v>
      </c>
      <c r="S13388" t="s">
        <v>47252</v>
      </c>
      <c r="T13388" t="s">
        <v>48283</v>
      </c>
      <c r="U13388" t="s">
        <v>59520</v>
      </c>
      <c r="W13388" t="s">
        <v>46262</v>
      </c>
      <c r="X13388" t="s">
        <v>46589</v>
      </c>
    </row>
    <row r="13389" spans="1:24">
      <c r="A13389">
        <f>HYPERLINK("https://www.philgeps.gov.ph/GEPSNONPILOT/Tender/SplashBidNoticeAbstractUI.aspx?menuIndex=3&amp;refID=7032467&amp;Result=3","7032467")</f>
        <v>0</v>
      </c>
      <c r="B13389" t="s">
        <v>1386</v>
      </c>
      <c r="C13389" t="s">
        <v>16242</v>
      </c>
      <c r="D13389" t="s">
        <v>18819</v>
      </c>
      <c r="E13389" t="s">
        <v>30399</v>
      </c>
      <c r="F13389" t="s">
        <v>32664</v>
      </c>
      <c r="G13389" t="s">
        <v>32672</v>
      </c>
      <c r="H13389" t="s">
        <v>32683</v>
      </c>
      <c r="I13389" t="s">
        <v>10627</v>
      </c>
      <c r="J13389" t="s">
        <v>40757</v>
      </c>
      <c r="K13389" t="s">
        <v>42433</v>
      </c>
      <c r="M13389" t="s">
        <v>46262</v>
      </c>
      <c r="N13389" t="s">
        <v>46569</v>
      </c>
      <c r="O13389" t="s">
        <v>46570</v>
      </c>
      <c r="P13389">
        <v>0</v>
      </c>
      <c r="Q13389">
        <v>0</v>
      </c>
      <c r="R13389" t="s">
        <v>46586</v>
      </c>
      <c r="S13389" t="s">
        <v>47252</v>
      </c>
      <c r="T13389" t="s">
        <v>48283</v>
      </c>
      <c r="U13389" t="s">
        <v>59521</v>
      </c>
      <c r="W13389" t="s">
        <v>46262</v>
      </c>
      <c r="X13389" t="s">
        <v>46589</v>
      </c>
    </row>
    <row r="13390" spans="1:24">
      <c r="A13390">
        <f>HYPERLINK("https://www.philgeps.gov.ph/GEPSNONPILOT/Tender/SplashBidNoticeAbstractUI.aspx?menuIndex=3&amp;refID=7032463&amp;Result=3","7032463")</f>
        <v>0</v>
      </c>
      <c r="B13390" t="s">
        <v>1386</v>
      </c>
      <c r="C13390" t="s">
        <v>16243</v>
      </c>
      <c r="D13390" t="s">
        <v>18819</v>
      </c>
      <c r="E13390" t="s">
        <v>30400</v>
      </c>
      <c r="F13390" t="s">
        <v>32664</v>
      </c>
      <c r="G13390" t="s">
        <v>32672</v>
      </c>
      <c r="H13390" t="s">
        <v>32683</v>
      </c>
      <c r="I13390" t="s">
        <v>10627</v>
      </c>
      <c r="J13390" t="s">
        <v>40758</v>
      </c>
      <c r="K13390" t="s">
        <v>42310</v>
      </c>
      <c r="M13390" t="s">
        <v>46262</v>
      </c>
      <c r="N13390" t="s">
        <v>46569</v>
      </c>
      <c r="O13390" t="s">
        <v>46570</v>
      </c>
      <c r="P13390">
        <v>0</v>
      </c>
      <c r="Q13390">
        <v>0</v>
      </c>
      <c r="R13390" t="s">
        <v>46586</v>
      </c>
      <c r="S13390" t="s">
        <v>47252</v>
      </c>
      <c r="T13390" t="s">
        <v>48283</v>
      </c>
      <c r="U13390" t="s">
        <v>59522</v>
      </c>
      <c r="W13390" t="s">
        <v>46262</v>
      </c>
      <c r="X13390" t="s">
        <v>46589</v>
      </c>
    </row>
    <row r="13391" spans="1:24">
      <c r="A13391">
        <f>HYPERLINK("https://www.philgeps.gov.ph/GEPSNONPILOT/Tender/SplashBidNoticeAbstractUI.aspx?menuIndex=3&amp;refID=7040912&amp;Result=3","7040912")</f>
        <v>0</v>
      </c>
      <c r="B13391" t="s">
        <v>3311</v>
      </c>
      <c r="C13391" t="s">
        <v>16244</v>
      </c>
      <c r="D13391" t="s">
        <v>18797</v>
      </c>
      <c r="E13391" t="s">
        <v>30401</v>
      </c>
      <c r="F13391" t="s">
        <v>32664</v>
      </c>
      <c r="G13391" t="s">
        <v>32672</v>
      </c>
      <c r="H13391" t="s">
        <v>32683</v>
      </c>
      <c r="I13391" t="s">
        <v>10627</v>
      </c>
      <c r="J13391" t="s">
        <v>32962</v>
      </c>
      <c r="K13391" t="s">
        <v>42290</v>
      </c>
      <c r="M13391" t="s">
        <v>46257</v>
      </c>
      <c r="N13391" t="s">
        <v>46569</v>
      </c>
      <c r="O13391" t="s">
        <v>46570</v>
      </c>
      <c r="P13391">
        <v>0</v>
      </c>
      <c r="Q13391">
        <v>43</v>
      </c>
      <c r="R13391" t="s">
        <v>46585</v>
      </c>
      <c r="S13391" t="s">
        <v>47146</v>
      </c>
      <c r="T13391" t="s">
        <v>48291</v>
      </c>
      <c r="U13391" t="s">
        <v>59523</v>
      </c>
      <c r="V13391" t="s">
        <v>61745</v>
      </c>
      <c r="W13391" t="s">
        <v>46257</v>
      </c>
      <c r="X13391" t="s">
        <v>46586</v>
      </c>
    </row>
    <row r="13392" spans="1:24">
      <c r="A13392">
        <f>HYPERLINK("https://www.philgeps.gov.ph/GEPSNONPILOT/Tender/SplashBidNoticeAbstractUI.aspx?menuIndex=3&amp;refID=7031350&amp;Result=3","7031350")</f>
        <v>0</v>
      </c>
      <c r="B13392" t="s">
        <v>3316</v>
      </c>
      <c r="C13392" t="s">
        <v>16245</v>
      </c>
      <c r="D13392" t="s">
        <v>18785</v>
      </c>
      <c r="E13392" t="s">
        <v>27160</v>
      </c>
      <c r="F13392" t="s">
        <v>32664</v>
      </c>
      <c r="G13392" t="s">
        <v>32672</v>
      </c>
      <c r="H13392" t="s">
        <v>32683</v>
      </c>
      <c r="I13392" t="s">
        <v>10627</v>
      </c>
      <c r="J13392" t="s">
        <v>40759</v>
      </c>
      <c r="K13392" t="s">
        <v>42290</v>
      </c>
      <c r="M13392" t="s">
        <v>46264</v>
      </c>
      <c r="N13392" t="s">
        <v>46569</v>
      </c>
      <c r="O13392" t="s">
        <v>46570</v>
      </c>
      <c r="P13392">
        <v>0</v>
      </c>
      <c r="Q13392">
        <v>3</v>
      </c>
      <c r="R13392" t="s">
        <v>46586</v>
      </c>
      <c r="S13392" t="s">
        <v>47252</v>
      </c>
      <c r="T13392" t="s">
        <v>48244</v>
      </c>
      <c r="U13392" t="s">
        <v>59524</v>
      </c>
      <c r="V13392" t="s">
        <v>63106</v>
      </c>
      <c r="W13392" t="s">
        <v>46264</v>
      </c>
      <c r="X13392" t="s">
        <v>46591</v>
      </c>
    </row>
    <row r="13393" spans="1:24">
      <c r="A13393">
        <f>HYPERLINK("https://www.philgeps.gov.ph/GEPSNONPILOT/Tender/SplashBidNoticeAbstractUI.aspx?menuIndex=3&amp;refID=7032446&amp;Result=3","7032446")</f>
        <v>0</v>
      </c>
      <c r="B13393" t="s">
        <v>1386</v>
      </c>
      <c r="C13393" t="s">
        <v>16246</v>
      </c>
      <c r="D13393" t="s">
        <v>18819</v>
      </c>
      <c r="E13393" t="s">
        <v>30402</v>
      </c>
      <c r="F13393" t="s">
        <v>32664</v>
      </c>
      <c r="G13393" t="s">
        <v>32672</v>
      </c>
      <c r="H13393" t="s">
        <v>32683</v>
      </c>
      <c r="I13393" t="s">
        <v>10627</v>
      </c>
      <c r="J13393" t="s">
        <v>40760</v>
      </c>
      <c r="K13393" t="s">
        <v>42328</v>
      </c>
      <c r="M13393" t="s">
        <v>46262</v>
      </c>
      <c r="N13393" t="s">
        <v>46569</v>
      </c>
      <c r="O13393" t="s">
        <v>46570</v>
      </c>
      <c r="P13393">
        <v>0</v>
      </c>
      <c r="Q13393">
        <v>0</v>
      </c>
      <c r="R13393" t="s">
        <v>46586</v>
      </c>
      <c r="S13393" t="s">
        <v>47252</v>
      </c>
      <c r="T13393" t="s">
        <v>48283</v>
      </c>
      <c r="U13393" t="s">
        <v>59525</v>
      </c>
      <c r="W13393" t="s">
        <v>46262</v>
      </c>
      <c r="X13393" t="s">
        <v>46589</v>
      </c>
    </row>
    <row r="13394" spans="1:24">
      <c r="A13394">
        <f>HYPERLINK("https://www.philgeps.gov.ph/GEPSNONPILOT/Tender/SplashBidNoticeAbstractUI.aspx?menuIndex=3&amp;refID=7032443&amp;Result=3","7032443")</f>
        <v>0</v>
      </c>
      <c r="B13394" t="s">
        <v>1386</v>
      </c>
      <c r="C13394" t="s">
        <v>16247</v>
      </c>
      <c r="D13394" t="s">
        <v>18819</v>
      </c>
      <c r="E13394" t="s">
        <v>30403</v>
      </c>
      <c r="F13394" t="s">
        <v>32664</v>
      </c>
      <c r="G13394" t="s">
        <v>32672</v>
      </c>
      <c r="H13394" t="s">
        <v>32683</v>
      </c>
      <c r="I13394" t="s">
        <v>10627</v>
      </c>
      <c r="J13394" t="s">
        <v>40761</v>
      </c>
      <c r="K13394" t="s">
        <v>42313</v>
      </c>
      <c r="M13394" t="s">
        <v>46262</v>
      </c>
      <c r="N13394" t="s">
        <v>46569</v>
      </c>
      <c r="O13394" t="s">
        <v>46570</v>
      </c>
      <c r="P13394">
        <v>0</v>
      </c>
      <c r="Q13394">
        <v>1</v>
      </c>
      <c r="R13394" t="s">
        <v>46586</v>
      </c>
      <c r="S13394" t="s">
        <v>47252</v>
      </c>
      <c r="T13394" t="s">
        <v>48283</v>
      </c>
      <c r="U13394" t="s">
        <v>59526</v>
      </c>
      <c r="W13394" t="s">
        <v>46262</v>
      </c>
      <c r="X13394" t="s">
        <v>46589</v>
      </c>
    </row>
    <row r="13395" spans="1:24">
      <c r="A13395">
        <f>HYPERLINK("https://www.philgeps.gov.ph/GEPSNONPILOT/Tender/SplashBidNoticeAbstractUI.aspx?menuIndex=3&amp;refID=7032170&amp;Result=3","7032170")</f>
        <v>0</v>
      </c>
      <c r="B13395" t="s">
        <v>3166</v>
      </c>
      <c r="C13395" t="s">
        <v>16248</v>
      </c>
      <c r="D13395" t="s">
        <v>18788</v>
      </c>
      <c r="E13395" t="s">
        <v>30404</v>
      </c>
      <c r="F13395" t="s">
        <v>32664</v>
      </c>
      <c r="G13395" t="s">
        <v>32672</v>
      </c>
      <c r="H13395" t="s">
        <v>12635</v>
      </c>
      <c r="I13395" t="s">
        <v>4439</v>
      </c>
      <c r="J13395" t="s">
        <v>40762</v>
      </c>
      <c r="K13395" t="s">
        <v>42330</v>
      </c>
      <c r="M13395" t="s">
        <v>46068</v>
      </c>
      <c r="N13395" t="s">
        <v>46569</v>
      </c>
      <c r="O13395" t="s">
        <v>46570</v>
      </c>
      <c r="P13395">
        <v>0</v>
      </c>
      <c r="Q13395">
        <v>3</v>
      </c>
      <c r="R13395" t="s">
        <v>46586</v>
      </c>
      <c r="S13395" t="s">
        <v>47252</v>
      </c>
      <c r="T13395" t="s">
        <v>48282</v>
      </c>
      <c r="U13395" t="s">
        <v>58549</v>
      </c>
      <c r="V13395" t="s">
        <v>63107</v>
      </c>
      <c r="W13395" t="s">
        <v>46068</v>
      </c>
      <c r="X13395" t="s">
        <v>46590</v>
      </c>
    </row>
    <row r="13396" spans="1:24">
      <c r="A13396">
        <f>HYPERLINK("https://www.philgeps.gov.ph/GEPSNONPILOT/Tender/SplashBidNoticeAbstractUI.aspx?menuIndex=3&amp;refID=7032456&amp;Result=3","7032456")</f>
        <v>0</v>
      </c>
      <c r="B13396" t="s">
        <v>1386</v>
      </c>
      <c r="C13396" t="s">
        <v>16249</v>
      </c>
      <c r="D13396" t="s">
        <v>18819</v>
      </c>
      <c r="E13396" t="s">
        <v>30405</v>
      </c>
      <c r="F13396" t="s">
        <v>32664</v>
      </c>
      <c r="G13396" t="s">
        <v>32672</v>
      </c>
      <c r="H13396" t="s">
        <v>32683</v>
      </c>
      <c r="I13396" t="s">
        <v>10627</v>
      </c>
      <c r="J13396" t="s">
        <v>40763</v>
      </c>
      <c r="K13396" t="s">
        <v>42437</v>
      </c>
      <c r="M13396" t="s">
        <v>46262</v>
      </c>
      <c r="N13396" t="s">
        <v>46569</v>
      </c>
      <c r="O13396" t="s">
        <v>46570</v>
      </c>
      <c r="P13396">
        <v>0</v>
      </c>
      <c r="Q13396">
        <v>1</v>
      </c>
      <c r="R13396" t="s">
        <v>46586</v>
      </c>
      <c r="S13396" t="s">
        <v>47252</v>
      </c>
      <c r="T13396" t="s">
        <v>48283</v>
      </c>
      <c r="U13396" t="s">
        <v>59527</v>
      </c>
      <c r="W13396" t="s">
        <v>46262</v>
      </c>
      <c r="X13396" t="s">
        <v>46589</v>
      </c>
    </row>
    <row r="13397" spans="1:24">
      <c r="A13397">
        <f>HYPERLINK("https://www.philgeps.gov.ph/GEPSNONPILOT/Tender/SplashBidNoticeAbstractUI.aspx?menuIndex=3&amp;refID=7032435&amp;Result=3","7032435")</f>
        <v>0</v>
      </c>
      <c r="B13397" t="s">
        <v>1386</v>
      </c>
      <c r="C13397" t="s">
        <v>16250</v>
      </c>
      <c r="D13397" t="s">
        <v>18819</v>
      </c>
      <c r="E13397" t="s">
        <v>30406</v>
      </c>
      <c r="F13397" t="s">
        <v>32664</v>
      </c>
      <c r="G13397" t="s">
        <v>32672</v>
      </c>
      <c r="H13397" t="s">
        <v>32683</v>
      </c>
      <c r="I13397" t="s">
        <v>10627</v>
      </c>
      <c r="J13397" t="s">
        <v>40764</v>
      </c>
      <c r="K13397" t="s">
        <v>42523</v>
      </c>
      <c r="M13397" t="s">
        <v>46262</v>
      </c>
      <c r="N13397" t="s">
        <v>46569</v>
      </c>
      <c r="O13397" t="s">
        <v>46570</v>
      </c>
      <c r="P13397">
        <v>0</v>
      </c>
      <c r="Q13397">
        <v>1</v>
      </c>
      <c r="R13397" t="s">
        <v>46586</v>
      </c>
      <c r="S13397" t="s">
        <v>47252</v>
      </c>
      <c r="T13397" t="s">
        <v>48283</v>
      </c>
      <c r="U13397" t="s">
        <v>59528</v>
      </c>
      <c r="W13397" t="s">
        <v>46262</v>
      </c>
      <c r="X13397" t="s">
        <v>46589</v>
      </c>
    </row>
    <row r="13398" spans="1:24">
      <c r="A13398">
        <f>HYPERLINK("https://www.philgeps.gov.ph/GEPSNONPILOT/Tender/SplashBidNoticeAbstractUI.aspx?menuIndex=3&amp;refID=7032432&amp;Result=3","7032432")</f>
        <v>0</v>
      </c>
      <c r="B13398" t="s">
        <v>1386</v>
      </c>
      <c r="C13398" t="s">
        <v>16251</v>
      </c>
      <c r="D13398" t="s">
        <v>18819</v>
      </c>
      <c r="E13398" t="s">
        <v>30407</v>
      </c>
      <c r="F13398" t="s">
        <v>32664</v>
      </c>
      <c r="G13398" t="s">
        <v>32672</v>
      </c>
      <c r="H13398" t="s">
        <v>32683</v>
      </c>
      <c r="I13398" t="s">
        <v>10627</v>
      </c>
      <c r="J13398" t="s">
        <v>40765</v>
      </c>
      <c r="K13398" t="s">
        <v>42296</v>
      </c>
      <c r="M13398" t="s">
        <v>46262</v>
      </c>
      <c r="N13398" t="s">
        <v>46569</v>
      </c>
      <c r="O13398" t="s">
        <v>46570</v>
      </c>
      <c r="P13398">
        <v>0</v>
      </c>
      <c r="Q13398">
        <v>1</v>
      </c>
      <c r="R13398" t="s">
        <v>46586</v>
      </c>
      <c r="S13398" t="s">
        <v>47252</v>
      </c>
      <c r="T13398" t="s">
        <v>48283</v>
      </c>
      <c r="U13398" t="s">
        <v>59529</v>
      </c>
      <c r="W13398" t="s">
        <v>46262</v>
      </c>
      <c r="X13398" t="s">
        <v>46589</v>
      </c>
    </row>
    <row r="13399" spans="1:24">
      <c r="A13399">
        <f>HYPERLINK("https://www.philgeps.gov.ph/GEPSNONPILOT/Tender/SplashBidNoticeAbstractUI.aspx?menuIndex=3&amp;refID=7032430&amp;Result=3","7032430")</f>
        <v>0</v>
      </c>
      <c r="B13399" t="s">
        <v>1386</v>
      </c>
      <c r="C13399" t="s">
        <v>16252</v>
      </c>
      <c r="D13399" t="s">
        <v>18819</v>
      </c>
      <c r="E13399" t="s">
        <v>30408</v>
      </c>
      <c r="F13399" t="s">
        <v>32664</v>
      </c>
      <c r="G13399" t="s">
        <v>32672</v>
      </c>
      <c r="H13399" t="s">
        <v>32683</v>
      </c>
      <c r="I13399" t="s">
        <v>10627</v>
      </c>
      <c r="J13399" t="s">
        <v>40766</v>
      </c>
      <c r="K13399" t="s">
        <v>42346</v>
      </c>
      <c r="M13399" t="s">
        <v>46262</v>
      </c>
      <c r="N13399" t="s">
        <v>46569</v>
      </c>
      <c r="O13399" t="s">
        <v>46570</v>
      </c>
      <c r="P13399">
        <v>0</v>
      </c>
      <c r="Q13399">
        <v>1</v>
      </c>
      <c r="R13399" t="s">
        <v>46586</v>
      </c>
      <c r="S13399" t="s">
        <v>47252</v>
      </c>
      <c r="T13399" t="s">
        <v>48283</v>
      </c>
      <c r="U13399" t="s">
        <v>59530</v>
      </c>
      <c r="W13399" t="s">
        <v>46262</v>
      </c>
      <c r="X13399" t="s">
        <v>46589</v>
      </c>
    </row>
    <row r="13400" spans="1:24">
      <c r="A13400">
        <f>HYPERLINK("https://www.philgeps.gov.ph/GEPSNONPILOT/Tender/SplashBidNoticeAbstractUI.aspx?menuIndex=3&amp;refID=7032426&amp;Result=3","7032426")</f>
        <v>0</v>
      </c>
      <c r="B13400" t="s">
        <v>1386</v>
      </c>
      <c r="C13400" t="s">
        <v>16253</v>
      </c>
      <c r="D13400" t="s">
        <v>18819</v>
      </c>
      <c r="E13400" t="s">
        <v>30409</v>
      </c>
      <c r="F13400" t="s">
        <v>32664</v>
      </c>
      <c r="G13400" t="s">
        <v>32672</v>
      </c>
      <c r="H13400" t="s">
        <v>32683</v>
      </c>
      <c r="I13400" t="s">
        <v>10627</v>
      </c>
      <c r="J13400" t="s">
        <v>40767</v>
      </c>
      <c r="K13400" t="s">
        <v>42298</v>
      </c>
      <c r="M13400" t="s">
        <v>46262</v>
      </c>
      <c r="N13400" t="s">
        <v>46569</v>
      </c>
      <c r="O13400" t="s">
        <v>46570</v>
      </c>
      <c r="P13400">
        <v>0</v>
      </c>
      <c r="Q13400">
        <v>0</v>
      </c>
      <c r="R13400" t="s">
        <v>46586</v>
      </c>
      <c r="S13400" t="s">
        <v>47252</v>
      </c>
      <c r="T13400" t="s">
        <v>48283</v>
      </c>
      <c r="U13400" t="s">
        <v>59531</v>
      </c>
      <c r="W13400" t="s">
        <v>46262</v>
      </c>
      <c r="X13400" t="s">
        <v>46589</v>
      </c>
    </row>
    <row r="13401" spans="1:24">
      <c r="A13401">
        <f>HYPERLINK("https://www.philgeps.gov.ph/GEPSNONPILOT/Tender/SplashBidNoticeAbstractUI.aspx?menuIndex=3&amp;refID=7024711&amp;Result=3","7024711")</f>
        <v>0</v>
      </c>
      <c r="B13401" t="s">
        <v>1215</v>
      </c>
      <c r="C13401" t="s">
        <v>16254</v>
      </c>
      <c r="D13401" t="s">
        <v>18827</v>
      </c>
      <c r="E13401" t="s">
        <v>30410</v>
      </c>
      <c r="F13401" t="s">
        <v>32664</v>
      </c>
      <c r="G13401" t="s">
        <v>32672</v>
      </c>
      <c r="H13401" t="s">
        <v>32683</v>
      </c>
      <c r="I13401" t="s">
        <v>10627</v>
      </c>
      <c r="J13401" t="s">
        <v>32943</v>
      </c>
      <c r="K13401" t="s">
        <v>42298</v>
      </c>
      <c r="M13401" t="s">
        <v>43853</v>
      </c>
      <c r="N13401" t="s">
        <v>46569</v>
      </c>
      <c r="O13401" t="s">
        <v>46570</v>
      </c>
      <c r="P13401">
        <v>0</v>
      </c>
      <c r="Q13401">
        <v>0</v>
      </c>
      <c r="R13401" t="s">
        <v>46586</v>
      </c>
      <c r="S13401" t="s">
        <v>47252</v>
      </c>
      <c r="T13401" t="s">
        <v>48411</v>
      </c>
      <c r="U13401" t="s">
        <v>59532</v>
      </c>
      <c r="W13401" t="s">
        <v>43853</v>
      </c>
      <c r="X13401" t="s">
        <v>46593</v>
      </c>
    </row>
    <row r="13402" spans="1:24">
      <c r="A13402">
        <f>HYPERLINK("https://www.philgeps.gov.ph/GEPSNONPILOT/Tender/SplashBidNoticeAbstractUI.aspx?menuIndex=3&amp;refID=7032451&amp;Result=3","7032451")</f>
        <v>0</v>
      </c>
      <c r="B13402" t="s">
        <v>1386</v>
      </c>
      <c r="C13402" t="s">
        <v>16255</v>
      </c>
      <c r="D13402" t="s">
        <v>18819</v>
      </c>
      <c r="E13402" t="s">
        <v>30411</v>
      </c>
      <c r="F13402" t="s">
        <v>32664</v>
      </c>
      <c r="G13402" t="s">
        <v>32672</v>
      </c>
      <c r="H13402" t="s">
        <v>32683</v>
      </c>
      <c r="I13402" t="s">
        <v>10627</v>
      </c>
      <c r="J13402" t="s">
        <v>40768</v>
      </c>
      <c r="K13402" t="s">
        <v>42397</v>
      </c>
      <c r="M13402" t="s">
        <v>46262</v>
      </c>
      <c r="N13402" t="s">
        <v>46569</v>
      </c>
      <c r="O13402" t="s">
        <v>46570</v>
      </c>
      <c r="P13402">
        <v>0</v>
      </c>
      <c r="Q13402">
        <v>0</v>
      </c>
      <c r="R13402" t="s">
        <v>46586</v>
      </c>
      <c r="S13402" t="s">
        <v>47252</v>
      </c>
      <c r="T13402" t="s">
        <v>48283</v>
      </c>
      <c r="U13402" t="s">
        <v>59533</v>
      </c>
      <c r="W13402" t="s">
        <v>46262</v>
      </c>
      <c r="X13402" t="s">
        <v>46589</v>
      </c>
    </row>
    <row r="13403" spans="1:24">
      <c r="A13403">
        <f>HYPERLINK("https://www.philgeps.gov.ph/GEPSNONPILOT/Tender/SplashBidNoticeAbstractUI.aspx?menuIndex=3&amp;refID=7032439&amp;Result=3","7032439")</f>
        <v>0</v>
      </c>
      <c r="B13403" t="s">
        <v>1386</v>
      </c>
      <c r="C13403" t="s">
        <v>16256</v>
      </c>
      <c r="D13403" t="s">
        <v>18819</v>
      </c>
      <c r="E13403" t="s">
        <v>30412</v>
      </c>
      <c r="F13403" t="s">
        <v>32664</v>
      </c>
      <c r="G13403" t="s">
        <v>32672</v>
      </c>
      <c r="H13403" t="s">
        <v>32683</v>
      </c>
      <c r="I13403" t="s">
        <v>10627</v>
      </c>
      <c r="J13403" t="s">
        <v>40769</v>
      </c>
      <c r="K13403" t="s">
        <v>42534</v>
      </c>
      <c r="M13403" t="s">
        <v>46262</v>
      </c>
      <c r="N13403" t="s">
        <v>46569</v>
      </c>
      <c r="O13403" t="s">
        <v>46570</v>
      </c>
      <c r="P13403">
        <v>0</v>
      </c>
      <c r="Q13403">
        <v>1</v>
      </c>
      <c r="R13403" t="s">
        <v>46586</v>
      </c>
      <c r="S13403" t="s">
        <v>47252</v>
      </c>
      <c r="T13403" t="s">
        <v>48283</v>
      </c>
      <c r="U13403" t="s">
        <v>59534</v>
      </c>
      <c r="W13403" t="s">
        <v>46262</v>
      </c>
      <c r="X13403" t="s">
        <v>46589</v>
      </c>
    </row>
    <row r="13404" spans="1:24">
      <c r="A13404">
        <f>HYPERLINK("https://www.philgeps.gov.ph/GEPSNONPILOT/Tender/SplashBidNoticeAbstractUI.aspx?menuIndex=3&amp;refID=7032437&amp;Result=3","7032437")</f>
        <v>0</v>
      </c>
      <c r="B13404" t="s">
        <v>1386</v>
      </c>
      <c r="C13404" t="s">
        <v>16257</v>
      </c>
      <c r="D13404" t="s">
        <v>18819</v>
      </c>
      <c r="E13404" t="s">
        <v>30413</v>
      </c>
      <c r="F13404" t="s">
        <v>32664</v>
      </c>
      <c r="G13404" t="s">
        <v>32672</v>
      </c>
      <c r="H13404" t="s">
        <v>32683</v>
      </c>
      <c r="I13404" t="s">
        <v>10627</v>
      </c>
      <c r="J13404" t="s">
        <v>40770</v>
      </c>
      <c r="K13404" t="s">
        <v>42310</v>
      </c>
      <c r="M13404" t="s">
        <v>46262</v>
      </c>
      <c r="N13404" t="s">
        <v>46569</v>
      </c>
      <c r="O13404" t="s">
        <v>46570</v>
      </c>
      <c r="P13404">
        <v>0</v>
      </c>
      <c r="Q13404">
        <v>0</v>
      </c>
      <c r="R13404" t="s">
        <v>46586</v>
      </c>
      <c r="S13404" t="s">
        <v>47252</v>
      </c>
      <c r="T13404" t="s">
        <v>48283</v>
      </c>
      <c r="U13404" t="s">
        <v>59535</v>
      </c>
      <c r="W13404" t="s">
        <v>46262</v>
      </c>
      <c r="X13404" t="s">
        <v>46589</v>
      </c>
    </row>
    <row r="13405" spans="1:24">
      <c r="A13405">
        <f>HYPERLINK("https://www.philgeps.gov.ph/GEPSNONPILOT/Tender/SplashBidNoticeAbstractUI.aspx?menuIndex=3&amp;refID=7027276&amp;Result=3","7027276")</f>
        <v>0</v>
      </c>
      <c r="B13405" t="s">
        <v>721</v>
      </c>
      <c r="C13405" t="s">
        <v>16258</v>
      </c>
      <c r="D13405" t="s">
        <v>18860</v>
      </c>
      <c r="E13405" t="s">
        <v>30414</v>
      </c>
      <c r="F13405" t="s">
        <v>32664</v>
      </c>
      <c r="G13405" t="s">
        <v>32672</v>
      </c>
      <c r="H13405" t="s">
        <v>12635</v>
      </c>
      <c r="I13405" t="s">
        <v>6628</v>
      </c>
      <c r="J13405" t="s">
        <v>40771</v>
      </c>
      <c r="K13405" t="s">
        <v>42281</v>
      </c>
      <c r="M13405" t="s">
        <v>43308</v>
      </c>
      <c r="N13405" t="s">
        <v>46569</v>
      </c>
      <c r="O13405" t="s">
        <v>46570</v>
      </c>
      <c r="Q13405">
        <v>6</v>
      </c>
      <c r="R13405" t="s">
        <v>46586</v>
      </c>
      <c r="S13405" t="s">
        <v>47254</v>
      </c>
      <c r="T13405" t="s">
        <v>48282</v>
      </c>
      <c r="U13405" t="s">
        <v>59536</v>
      </c>
      <c r="W13405" t="s">
        <v>43308</v>
      </c>
      <c r="X13405" t="s">
        <v>46592</v>
      </c>
    </row>
    <row r="13406" spans="1:24">
      <c r="A13406">
        <f>HYPERLINK("https://www.philgeps.gov.ph/GEPSNONPILOT/Tender/SplashBidNoticeAbstractUI.aspx?menuIndex=3&amp;refID=7016854&amp;Result=3","7016854")</f>
        <v>0</v>
      </c>
      <c r="B13406" t="s">
        <v>688</v>
      </c>
      <c r="C13406" t="s">
        <v>16259</v>
      </c>
      <c r="D13406" t="s">
        <v>18785</v>
      </c>
      <c r="E13406" t="s">
        <v>30415</v>
      </c>
      <c r="F13406" t="s">
        <v>32664</v>
      </c>
      <c r="G13406" t="s">
        <v>32672</v>
      </c>
      <c r="H13406" t="s">
        <v>32682</v>
      </c>
      <c r="I13406" t="s">
        <v>6628</v>
      </c>
      <c r="J13406" t="s">
        <v>40772</v>
      </c>
      <c r="K13406" t="s">
        <v>42281</v>
      </c>
      <c r="M13406" t="s">
        <v>43275</v>
      </c>
      <c r="N13406" t="s">
        <v>46569</v>
      </c>
      <c r="O13406" t="s">
        <v>46570</v>
      </c>
      <c r="P13406">
        <v>0</v>
      </c>
      <c r="Q13406">
        <v>8</v>
      </c>
      <c r="R13406" t="s">
        <v>46586</v>
      </c>
      <c r="S13406" t="s">
        <v>47252</v>
      </c>
      <c r="T13406" t="s">
        <v>48334</v>
      </c>
      <c r="U13406" t="s">
        <v>59537</v>
      </c>
      <c r="V13406" t="s">
        <v>61794</v>
      </c>
      <c r="W13406" t="s">
        <v>43275</v>
      </c>
      <c r="X13406" t="s">
        <v>46596</v>
      </c>
    </row>
    <row r="13407" spans="1:24">
      <c r="A13407">
        <f>HYPERLINK("https://www.philgeps.gov.ph/GEPSNONPILOT/Tender/SplashBidNoticeAbstractUI.aspx?menuIndex=3&amp;refID=7013338&amp;Result=3","7013338")</f>
        <v>0</v>
      </c>
      <c r="B13407" t="s">
        <v>3317</v>
      </c>
      <c r="C13407" t="s">
        <v>16260</v>
      </c>
      <c r="D13407" t="s">
        <v>18799</v>
      </c>
      <c r="E13407" t="s">
        <v>19601</v>
      </c>
      <c r="F13407" t="s">
        <v>32664</v>
      </c>
      <c r="G13407" t="s">
        <v>32672</v>
      </c>
      <c r="H13407" t="s">
        <v>32683</v>
      </c>
      <c r="I13407" t="s">
        <v>10627</v>
      </c>
      <c r="J13407" t="s">
        <v>32981</v>
      </c>
      <c r="K13407" t="s">
        <v>42311</v>
      </c>
      <c r="M13407" t="s">
        <v>46265</v>
      </c>
      <c r="N13407" t="s">
        <v>46569</v>
      </c>
      <c r="O13407" t="s">
        <v>46570</v>
      </c>
      <c r="Q13407">
        <v>4</v>
      </c>
      <c r="R13407" t="s">
        <v>46586</v>
      </c>
      <c r="S13407" t="s">
        <v>47255</v>
      </c>
      <c r="T13407" t="s">
        <v>48356</v>
      </c>
      <c r="U13407" t="s">
        <v>59538</v>
      </c>
      <c r="W13407" t="s">
        <v>46265</v>
      </c>
      <c r="X13407" t="s">
        <v>46599</v>
      </c>
    </row>
    <row r="13408" spans="1:24">
      <c r="A13408">
        <f>HYPERLINK("https://www.philgeps.gov.ph/GEPSNONPILOT/Tender/SplashBidNoticeAbstractUI.aspx?menuIndex=3&amp;refID=6972282-2&amp;Result=3","6972282-2")</f>
        <v>0</v>
      </c>
      <c r="B13408" t="s">
        <v>2275</v>
      </c>
      <c r="C13408" t="s">
        <v>16261</v>
      </c>
      <c r="D13408" t="s">
        <v>18784</v>
      </c>
      <c r="E13408" t="s">
        <v>30416</v>
      </c>
      <c r="F13408" t="s">
        <v>32664</v>
      </c>
      <c r="G13408" t="s">
        <v>32672</v>
      </c>
      <c r="H13408" t="s">
        <v>32681</v>
      </c>
      <c r="I13408" t="s">
        <v>32681</v>
      </c>
      <c r="J13408" t="s">
        <v>32943</v>
      </c>
      <c r="K13408" t="s">
        <v>42283</v>
      </c>
      <c r="M13408" t="s">
        <v>46266</v>
      </c>
      <c r="N13408" t="s">
        <v>46569</v>
      </c>
      <c r="O13408" t="s">
        <v>46570</v>
      </c>
      <c r="Q13408">
        <v>1</v>
      </c>
      <c r="R13408" t="s">
        <v>46586</v>
      </c>
      <c r="S13408" t="s">
        <v>47256</v>
      </c>
      <c r="T13408" t="s">
        <v>48285</v>
      </c>
      <c r="U13408" t="s">
        <v>59539</v>
      </c>
      <c r="W13408" t="s">
        <v>46266</v>
      </c>
      <c r="X13408" t="s">
        <v>46587</v>
      </c>
    </row>
    <row r="13409" spans="1:24">
      <c r="A13409">
        <f>HYPERLINK("https://www.philgeps.gov.ph/GEPSNONPILOT/Tender/SplashBidNoticeAbstractUI.aspx?menuIndex=3&amp;refID=7040779&amp;Result=3","7040779")</f>
        <v>0</v>
      </c>
      <c r="B13409" t="s">
        <v>1240</v>
      </c>
      <c r="C13409" t="s">
        <v>16262</v>
      </c>
      <c r="D13409" t="s">
        <v>18786</v>
      </c>
      <c r="E13409" t="s">
        <v>30417</v>
      </c>
      <c r="F13409" t="s">
        <v>32664</v>
      </c>
      <c r="G13409" t="s">
        <v>32672</v>
      </c>
      <c r="H13409" t="s">
        <v>32683</v>
      </c>
      <c r="I13409" t="s">
        <v>10627</v>
      </c>
      <c r="J13409" t="s">
        <v>40773</v>
      </c>
      <c r="K13409" t="s">
        <v>42298</v>
      </c>
      <c r="M13409" t="s">
        <v>43882</v>
      </c>
      <c r="N13409" t="s">
        <v>46569</v>
      </c>
      <c r="O13409" t="s">
        <v>46570</v>
      </c>
      <c r="P13409">
        <v>0</v>
      </c>
      <c r="Q13409">
        <v>0</v>
      </c>
      <c r="R13409" t="s">
        <v>46585</v>
      </c>
      <c r="S13409" t="s">
        <v>47146</v>
      </c>
      <c r="T13409" t="s">
        <v>48727</v>
      </c>
      <c r="U13409" t="s">
        <v>49667</v>
      </c>
      <c r="V13409" t="s">
        <v>63099</v>
      </c>
      <c r="W13409" t="s">
        <v>43882</v>
      </c>
      <c r="X13409" t="s">
        <v>46586</v>
      </c>
    </row>
    <row r="13410" spans="1:24">
      <c r="A13410">
        <f>HYPERLINK("https://www.philgeps.gov.ph/GEPSNONPILOT/Tender/SplashBidNoticeAbstractUI.aspx?menuIndex=3&amp;refID=7040875&amp;Result=3","7040875")</f>
        <v>0</v>
      </c>
      <c r="B13410" t="s">
        <v>2567</v>
      </c>
      <c r="C13410" t="s">
        <v>16263</v>
      </c>
      <c r="D13410" t="s">
        <v>18784</v>
      </c>
      <c r="E13410" t="s">
        <v>30418</v>
      </c>
      <c r="F13410" t="s">
        <v>32664</v>
      </c>
      <c r="G13410" t="s">
        <v>32672</v>
      </c>
      <c r="H13410" t="s">
        <v>32683</v>
      </c>
      <c r="I13410" t="s">
        <v>10627</v>
      </c>
      <c r="J13410" t="s">
        <v>40774</v>
      </c>
      <c r="K13410" t="s">
        <v>42308</v>
      </c>
      <c r="M13410" t="s">
        <v>45378</v>
      </c>
      <c r="N13410" t="s">
        <v>46569</v>
      </c>
      <c r="O13410" t="s">
        <v>46570</v>
      </c>
      <c r="Q13410">
        <v>29</v>
      </c>
      <c r="R13410" t="s">
        <v>46585</v>
      </c>
      <c r="S13410" t="s">
        <v>47257</v>
      </c>
      <c r="T13410" t="s">
        <v>48283</v>
      </c>
      <c r="U13410" t="s">
        <v>55954</v>
      </c>
      <c r="W13410" t="s">
        <v>45378</v>
      </c>
      <c r="X13410" t="s">
        <v>46586</v>
      </c>
    </row>
    <row r="13411" spans="1:24">
      <c r="A13411">
        <f>HYPERLINK("https://www.philgeps.gov.ph/GEPSNONPILOT/Tender/SplashBidNoticeAbstractUI.aspx?menuIndex=3&amp;refID=7020717&amp;Result=3","7020717")</f>
        <v>0</v>
      </c>
      <c r="B13411" t="s">
        <v>3318</v>
      </c>
      <c r="C13411" t="s">
        <v>16264</v>
      </c>
      <c r="D13411" t="s">
        <v>18789</v>
      </c>
      <c r="E13411" t="s">
        <v>19673</v>
      </c>
      <c r="F13411" t="s">
        <v>32664</v>
      </c>
      <c r="G13411" t="s">
        <v>32672</v>
      </c>
      <c r="H13411" t="s">
        <v>32683</v>
      </c>
      <c r="I13411" t="s">
        <v>10627</v>
      </c>
      <c r="J13411" t="s">
        <v>40775</v>
      </c>
      <c r="K13411" t="s">
        <v>42400</v>
      </c>
      <c r="M13411" t="s">
        <v>46267</v>
      </c>
      <c r="N13411" t="s">
        <v>46569</v>
      </c>
      <c r="O13411" t="s">
        <v>46570</v>
      </c>
      <c r="P13411">
        <v>0</v>
      </c>
      <c r="Q13411">
        <v>0</v>
      </c>
      <c r="R13411" t="s">
        <v>46586</v>
      </c>
      <c r="S13411" t="s">
        <v>47252</v>
      </c>
      <c r="T13411" t="s">
        <v>48356</v>
      </c>
      <c r="U13411" t="s">
        <v>59540</v>
      </c>
      <c r="W13411" t="s">
        <v>46267</v>
      </c>
      <c r="X13411" t="s">
        <v>46598</v>
      </c>
    </row>
    <row r="13412" spans="1:24">
      <c r="A13412">
        <f>HYPERLINK("https://www.philgeps.gov.ph/GEPSNONPILOT/Tender/SplashBidNoticeAbstractUI.aspx?menuIndex=3&amp;refID=7040774&amp;Result=3","7040774")</f>
        <v>0</v>
      </c>
      <c r="B13412" t="s">
        <v>83</v>
      </c>
      <c r="C13412" t="s">
        <v>16265</v>
      </c>
      <c r="D13412" t="s">
        <v>18784</v>
      </c>
      <c r="E13412" t="s">
        <v>19247</v>
      </c>
      <c r="F13412" t="s">
        <v>32664</v>
      </c>
      <c r="G13412" t="s">
        <v>32672</v>
      </c>
      <c r="H13412" t="s">
        <v>32683</v>
      </c>
      <c r="I13412" t="s">
        <v>10627</v>
      </c>
      <c r="J13412" t="s">
        <v>40776</v>
      </c>
      <c r="K13412" t="s">
        <v>42285</v>
      </c>
      <c r="M13412" t="s">
        <v>46041</v>
      </c>
      <c r="N13412" t="s">
        <v>46569</v>
      </c>
      <c r="O13412" t="s">
        <v>46570</v>
      </c>
      <c r="P13412">
        <v>0</v>
      </c>
      <c r="Q13412">
        <v>8</v>
      </c>
      <c r="R13412" t="s">
        <v>46585</v>
      </c>
      <c r="S13412" t="s">
        <v>47146</v>
      </c>
      <c r="T13412" t="s">
        <v>48228</v>
      </c>
      <c r="U13412" t="s">
        <v>59541</v>
      </c>
      <c r="W13412" t="s">
        <v>46041</v>
      </c>
      <c r="X13412" t="s">
        <v>46586</v>
      </c>
    </row>
    <row r="13413" spans="1:24">
      <c r="A13413">
        <f>HYPERLINK("https://www.philgeps.gov.ph/GEPSNONPILOT/Tender/SplashBidNoticeAbstractUI.aspx?menuIndex=3&amp;refID=7012626-2&amp;Result=3","7012626-2")</f>
        <v>0</v>
      </c>
      <c r="B13413" t="s">
        <v>1669</v>
      </c>
      <c r="C13413" t="s">
        <v>16266</v>
      </c>
      <c r="E13413" t="s">
        <v>30419</v>
      </c>
      <c r="F13413" t="s">
        <v>32664</v>
      </c>
      <c r="G13413" t="s">
        <v>32672</v>
      </c>
      <c r="H13413" t="s">
        <v>32681</v>
      </c>
      <c r="I13413" t="s">
        <v>32681</v>
      </c>
      <c r="J13413" t="s">
        <v>40777</v>
      </c>
      <c r="K13413" t="s">
        <v>42283</v>
      </c>
      <c r="M13413" t="s">
        <v>44356</v>
      </c>
      <c r="N13413" t="s">
        <v>46569</v>
      </c>
      <c r="O13413" t="s">
        <v>46570</v>
      </c>
      <c r="Q13413">
        <v>1</v>
      </c>
      <c r="R13413" t="s">
        <v>46586</v>
      </c>
      <c r="S13413" t="s">
        <v>47258</v>
      </c>
      <c r="T13413" t="s">
        <v>48221</v>
      </c>
      <c r="U13413" t="s">
        <v>59542</v>
      </c>
      <c r="V13413" t="s">
        <v>63108</v>
      </c>
      <c r="W13413" t="s">
        <v>44356</v>
      </c>
      <c r="X13413" t="s">
        <v>46587</v>
      </c>
    </row>
    <row r="13414" spans="1:24">
      <c r="A13414">
        <f>HYPERLINK("https://www.philgeps.gov.ph/GEPSNONPILOT/Tender/SplashBidNoticeAbstractUI.aspx?menuIndex=3&amp;refID=7040689&amp;Result=3","7040689")</f>
        <v>0</v>
      </c>
      <c r="B13414" t="s">
        <v>1608</v>
      </c>
      <c r="C13414" t="s">
        <v>16267</v>
      </c>
      <c r="D13414" t="s">
        <v>18804</v>
      </c>
      <c r="E13414" t="s">
        <v>30420</v>
      </c>
      <c r="F13414" t="s">
        <v>32664</v>
      </c>
      <c r="G13414" t="s">
        <v>32672</v>
      </c>
      <c r="H13414" t="s">
        <v>12635</v>
      </c>
      <c r="I13414" t="s">
        <v>8797</v>
      </c>
      <c r="J13414" t="s">
        <v>40778</v>
      </c>
      <c r="K13414" t="s">
        <v>42303</v>
      </c>
      <c r="M13414" t="s">
        <v>44287</v>
      </c>
      <c r="N13414" t="s">
        <v>46569</v>
      </c>
      <c r="O13414" t="s">
        <v>46570</v>
      </c>
      <c r="P13414">
        <v>0</v>
      </c>
      <c r="Q13414">
        <v>2</v>
      </c>
      <c r="R13414" t="s">
        <v>46585</v>
      </c>
      <c r="S13414" t="s">
        <v>47146</v>
      </c>
      <c r="T13414" t="s">
        <v>48305</v>
      </c>
      <c r="U13414" t="s">
        <v>59543</v>
      </c>
      <c r="V13414" t="s">
        <v>62716</v>
      </c>
      <c r="W13414" t="s">
        <v>44287</v>
      </c>
      <c r="X13414" t="s">
        <v>46586</v>
      </c>
    </row>
    <row r="13415" spans="1:24">
      <c r="A13415">
        <f>HYPERLINK("https://www.philgeps.gov.ph/GEPSNONPILOT/Tender/SplashBidNoticeAbstractUI.aspx?menuIndex=3&amp;refID=7040662&amp;Result=3","7040662")</f>
        <v>0</v>
      </c>
      <c r="B13415" t="s">
        <v>3307</v>
      </c>
      <c r="C13415" t="s">
        <v>16268</v>
      </c>
      <c r="D13415" t="s">
        <v>18784</v>
      </c>
      <c r="E13415" t="s">
        <v>30421</v>
      </c>
      <c r="F13415" t="s">
        <v>32664</v>
      </c>
      <c r="G13415" t="s">
        <v>32672</v>
      </c>
      <c r="H13415" t="s">
        <v>32682</v>
      </c>
      <c r="I13415" t="s">
        <v>32749</v>
      </c>
      <c r="J13415" t="s">
        <v>40779</v>
      </c>
      <c r="K13415" t="s">
        <v>42281</v>
      </c>
      <c r="M13415" t="s">
        <v>46253</v>
      </c>
      <c r="N13415" t="s">
        <v>46569</v>
      </c>
      <c r="O13415" t="s">
        <v>46570</v>
      </c>
      <c r="P13415">
        <v>0</v>
      </c>
      <c r="Q13415">
        <v>2</v>
      </c>
      <c r="R13415" t="s">
        <v>46585</v>
      </c>
      <c r="S13415" t="s">
        <v>47146</v>
      </c>
      <c r="T13415" t="s">
        <v>48304</v>
      </c>
      <c r="U13415" t="s">
        <v>59544</v>
      </c>
      <c r="W13415" t="s">
        <v>46253</v>
      </c>
      <c r="X13415" t="s">
        <v>46586</v>
      </c>
    </row>
    <row r="13416" spans="1:24">
      <c r="A13416">
        <f>HYPERLINK("https://www.philgeps.gov.ph/GEPSNONPILOT/Tender/SplashBidNoticeAbstractUI.aspx?menuIndex=3&amp;refID=7040935&amp;Result=3","7040935")</f>
        <v>0</v>
      </c>
      <c r="B13416" t="s">
        <v>980</v>
      </c>
      <c r="C13416" t="s">
        <v>16269</v>
      </c>
      <c r="D13416" t="s">
        <v>18816</v>
      </c>
      <c r="E13416" t="s">
        <v>30422</v>
      </c>
      <c r="F13416" t="s">
        <v>32664</v>
      </c>
      <c r="G13416" t="s">
        <v>32672</v>
      </c>
      <c r="H13416" t="s">
        <v>12635</v>
      </c>
      <c r="I13416" t="s">
        <v>9486</v>
      </c>
      <c r="J13416" t="s">
        <v>40780</v>
      </c>
      <c r="K13416" t="s">
        <v>42297</v>
      </c>
      <c r="M13416" t="s">
        <v>43589</v>
      </c>
      <c r="N13416" t="s">
        <v>46569</v>
      </c>
      <c r="O13416" t="s">
        <v>46570</v>
      </c>
      <c r="P13416">
        <v>0</v>
      </c>
      <c r="Q13416">
        <v>0</v>
      </c>
      <c r="R13416" t="s">
        <v>46585</v>
      </c>
      <c r="S13416" t="s">
        <v>47146</v>
      </c>
      <c r="T13416" t="s">
        <v>48244</v>
      </c>
      <c r="U13416" t="s">
        <v>59545</v>
      </c>
      <c r="W13416" t="s">
        <v>46552</v>
      </c>
      <c r="X13416" t="s">
        <v>46586</v>
      </c>
    </row>
    <row r="13417" spans="1:24">
      <c r="A13417">
        <f>HYPERLINK("https://www.philgeps.gov.ph/GEPSNONPILOT/Tender/SplashBidNoticeAbstractUI.aspx?menuIndex=3&amp;refID=7040687&amp;Result=3","7040687")</f>
        <v>0</v>
      </c>
      <c r="B13417" t="s">
        <v>2100</v>
      </c>
      <c r="C13417" t="s">
        <v>16270</v>
      </c>
      <c r="D13417" t="s">
        <v>18818</v>
      </c>
      <c r="E13417" t="s">
        <v>30423</v>
      </c>
      <c r="F13417" t="s">
        <v>32664</v>
      </c>
      <c r="G13417" t="s">
        <v>32672</v>
      </c>
      <c r="H13417" t="s">
        <v>12635</v>
      </c>
      <c r="I13417" t="s">
        <v>32717</v>
      </c>
      <c r="J13417" t="s">
        <v>40781</v>
      </c>
      <c r="K13417" t="s">
        <v>42289</v>
      </c>
      <c r="M13417" t="s">
        <v>44855</v>
      </c>
      <c r="N13417" t="s">
        <v>46569</v>
      </c>
      <c r="O13417" t="s">
        <v>46570</v>
      </c>
      <c r="P13417">
        <v>0</v>
      </c>
      <c r="Q13417">
        <v>5</v>
      </c>
      <c r="R13417" t="s">
        <v>46585</v>
      </c>
      <c r="S13417" t="s">
        <v>47146</v>
      </c>
      <c r="T13417" t="s">
        <v>48370</v>
      </c>
      <c r="U13417" t="s">
        <v>59546</v>
      </c>
      <c r="W13417" t="s">
        <v>44855</v>
      </c>
      <c r="X13417" t="s">
        <v>46586</v>
      </c>
    </row>
    <row r="13418" spans="1:24">
      <c r="A13418">
        <f>HYPERLINK("https://www.philgeps.gov.ph/GEPSNONPILOT/Tender/SplashBidNoticeAbstractUI.aspx?menuIndex=3&amp;refID=7040649&amp;Result=3","7040649")</f>
        <v>0</v>
      </c>
      <c r="B13418" t="s">
        <v>2275</v>
      </c>
      <c r="C13418" t="s">
        <v>16271</v>
      </c>
      <c r="E13418" t="s">
        <v>30424</v>
      </c>
      <c r="F13418" t="s">
        <v>32664</v>
      </c>
      <c r="G13418" t="s">
        <v>32672</v>
      </c>
      <c r="H13418" t="s">
        <v>12635</v>
      </c>
      <c r="I13418" t="s">
        <v>10370</v>
      </c>
      <c r="J13418" t="s">
        <v>40782</v>
      </c>
      <c r="K13418" t="s">
        <v>42283</v>
      </c>
      <c r="M13418" t="s">
        <v>45962</v>
      </c>
      <c r="N13418" t="s">
        <v>46569</v>
      </c>
      <c r="O13418" t="s">
        <v>46570</v>
      </c>
      <c r="Q13418">
        <v>13</v>
      </c>
      <c r="R13418" t="s">
        <v>46585</v>
      </c>
      <c r="S13418" t="s">
        <v>47259</v>
      </c>
      <c r="T13418" t="s">
        <v>48285</v>
      </c>
      <c r="U13418" t="s">
        <v>59547</v>
      </c>
      <c r="W13418" t="s">
        <v>45962</v>
      </c>
      <c r="X13418" t="s">
        <v>46586</v>
      </c>
    </row>
    <row r="13419" spans="1:24">
      <c r="A13419">
        <f>HYPERLINK("https://www.philgeps.gov.ph/GEPSNONPILOT/Tender/SplashBidNoticeAbstractUI.aspx?menuIndex=3&amp;refID=7040771&amp;Result=3","7040771")</f>
        <v>0</v>
      </c>
      <c r="B13419" t="s">
        <v>2100</v>
      </c>
      <c r="C13419" t="s">
        <v>16272</v>
      </c>
      <c r="D13419" t="s">
        <v>18818</v>
      </c>
      <c r="E13419" t="s">
        <v>30425</v>
      </c>
      <c r="F13419" t="s">
        <v>32664</v>
      </c>
      <c r="G13419" t="s">
        <v>32672</v>
      </c>
      <c r="H13419" t="s">
        <v>32683</v>
      </c>
      <c r="I13419" t="s">
        <v>10627</v>
      </c>
      <c r="J13419" t="s">
        <v>32962</v>
      </c>
      <c r="K13419" t="s">
        <v>42305</v>
      </c>
      <c r="M13419" t="s">
        <v>44855</v>
      </c>
      <c r="N13419" t="s">
        <v>46569</v>
      </c>
      <c r="O13419" t="s">
        <v>46570</v>
      </c>
      <c r="P13419">
        <v>0</v>
      </c>
      <c r="Q13419">
        <v>0</v>
      </c>
      <c r="R13419" t="s">
        <v>46585</v>
      </c>
      <c r="S13419" t="s">
        <v>47146</v>
      </c>
      <c r="T13419" t="s">
        <v>48296</v>
      </c>
      <c r="U13419" t="s">
        <v>59548</v>
      </c>
      <c r="W13419" t="s">
        <v>44855</v>
      </c>
      <c r="X13419" t="s">
        <v>46586</v>
      </c>
    </row>
    <row r="13420" spans="1:24">
      <c r="A13420">
        <f>HYPERLINK("https://www.philgeps.gov.ph/GEPSNONPILOT/Tender/SplashBidNoticeAbstractUI.aspx?menuIndex=3&amp;refID=7040572&amp;Result=3","7040572")</f>
        <v>0</v>
      </c>
      <c r="B13420" t="s">
        <v>2913</v>
      </c>
      <c r="C13420" t="s">
        <v>16273</v>
      </c>
      <c r="D13420" t="s">
        <v>18847</v>
      </c>
      <c r="E13420" t="s">
        <v>30426</v>
      </c>
      <c r="F13420" t="s">
        <v>32664</v>
      </c>
      <c r="G13420" t="s">
        <v>32672</v>
      </c>
      <c r="H13420" t="s">
        <v>12635</v>
      </c>
      <c r="I13420" t="s">
        <v>11464</v>
      </c>
      <c r="J13420" t="s">
        <v>34412</v>
      </c>
      <c r="K13420" t="s">
        <v>42281</v>
      </c>
      <c r="M13420" t="s">
        <v>45765</v>
      </c>
      <c r="N13420" t="s">
        <v>46569</v>
      </c>
      <c r="O13420" t="s">
        <v>46570</v>
      </c>
      <c r="Q13420">
        <v>12</v>
      </c>
      <c r="R13420" t="s">
        <v>46585</v>
      </c>
      <c r="S13420" t="s">
        <v>47260</v>
      </c>
      <c r="T13420" t="s">
        <v>48229</v>
      </c>
      <c r="U13420" t="s">
        <v>59549</v>
      </c>
      <c r="W13420" t="s">
        <v>45765</v>
      </c>
      <c r="X13420" t="s">
        <v>46586</v>
      </c>
    </row>
    <row r="13421" spans="1:24">
      <c r="A13421">
        <f>HYPERLINK("https://www.philgeps.gov.ph/GEPSNONPILOT/Tender/SplashBidNoticeAbstractUI.aspx?menuIndex=3&amp;refID=7040576&amp;Result=3","7040576")</f>
        <v>0</v>
      </c>
      <c r="B13421" t="s">
        <v>815</v>
      </c>
      <c r="C13421" t="s">
        <v>16274</v>
      </c>
      <c r="D13421" t="s">
        <v>18794</v>
      </c>
      <c r="E13421" t="s">
        <v>30427</v>
      </c>
      <c r="F13421" t="s">
        <v>32664</v>
      </c>
      <c r="G13421" t="s">
        <v>32672</v>
      </c>
      <c r="H13421" t="s">
        <v>12635</v>
      </c>
      <c r="I13421" t="s">
        <v>11464</v>
      </c>
      <c r="J13421" t="s">
        <v>32962</v>
      </c>
      <c r="K13421" t="s">
        <v>42305</v>
      </c>
      <c r="M13421" t="s">
        <v>43409</v>
      </c>
      <c r="N13421" t="s">
        <v>46569</v>
      </c>
      <c r="O13421" t="s">
        <v>46570</v>
      </c>
      <c r="P13421">
        <v>0</v>
      </c>
      <c r="Q13421">
        <v>2</v>
      </c>
      <c r="R13421" t="s">
        <v>46585</v>
      </c>
      <c r="S13421" t="s">
        <v>47146</v>
      </c>
      <c r="T13421" t="s">
        <v>48356</v>
      </c>
      <c r="U13421" t="s">
        <v>59550</v>
      </c>
      <c r="V13421" t="s">
        <v>62377</v>
      </c>
      <c r="W13421" t="s">
        <v>43409</v>
      </c>
      <c r="X13421" t="s">
        <v>46586</v>
      </c>
    </row>
    <row r="13422" spans="1:24">
      <c r="A13422">
        <f>HYPERLINK("https://www.philgeps.gov.ph/GEPSNONPILOT/Tender/SplashBidNoticeAbstractUI.aspx?menuIndex=3&amp;refID=7040566&amp;Result=3","7040566")</f>
        <v>0</v>
      </c>
      <c r="B13422" t="s">
        <v>611</v>
      </c>
      <c r="C13422" t="s">
        <v>16123</v>
      </c>
      <c r="E13422" t="s">
        <v>30428</v>
      </c>
      <c r="F13422" t="s">
        <v>32664</v>
      </c>
      <c r="G13422" t="s">
        <v>32672</v>
      </c>
      <c r="H13422" t="s">
        <v>12635</v>
      </c>
      <c r="I13422" t="s">
        <v>32704</v>
      </c>
      <c r="J13422" t="s">
        <v>40783</v>
      </c>
      <c r="K13422" t="s">
        <v>42298</v>
      </c>
      <c r="M13422" t="s">
        <v>45121</v>
      </c>
      <c r="N13422" t="s">
        <v>46569</v>
      </c>
      <c r="O13422" t="s">
        <v>46570</v>
      </c>
      <c r="P13422">
        <v>0</v>
      </c>
      <c r="Q13422">
        <v>47</v>
      </c>
      <c r="R13422" t="s">
        <v>46585</v>
      </c>
      <c r="S13422" t="s">
        <v>47146</v>
      </c>
      <c r="T13422" t="s">
        <v>48728</v>
      </c>
      <c r="U13422" t="s">
        <v>58638</v>
      </c>
      <c r="W13422" t="s">
        <v>45121</v>
      </c>
      <c r="X13422" t="s">
        <v>46586</v>
      </c>
    </row>
    <row r="13423" spans="1:24">
      <c r="A13423">
        <f>HYPERLINK("https://www.philgeps.gov.ph/GEPSNONPILOT/Tender/SplashBidNoticeAbstractUI.aspx?menuIndex=3&amp;refID=7040562&amp;Result=3","7040562")</f>
        <v>0</v>
      </c>
      <c r="B13423" t="s">
        <v>2913</v>
      </c>
      <c r="C13423" t="s">
        <v>16275</v>
      </c>
      <c r="D13423" t="s">
        <v>18847</v>
      </c>
      <c r="E13423" t="s">
        <v>30429</v>
      </c>
      <c r="F13423" t="s">
        <v>32664</v>
      </c>
      <c r="G13423" t="s">
        <v>32672</v>
      </c>
      <c r="H13423" t="s">
        <v>12635</v>
      </c>
      <c r="I13423" t="s">
        <v>32721</v>
      </c>
      <c r="J13423" t="s">
        <v>40784</v>
      </c>
      <c r="K13423" t="s">
        <v>42281</v>
      </c>
      <c r="M13423" t="s">
        <v>45765</v>
      </c>
      <c r="N13423" t="s">
        <v>46569</v>
      </c>
      <c r="O13423" t="s">
        <v>46570</v>
      </c>
      <c r="Q13423">
        <v>10</v>
      </c>
      <c r="R13423" t="s">
        <v>46585</v>
      </c>
      <c r="S13423" t="s">
        <v>47261</v>
      </c>
      <c r="T13423" t="s">
        <v>48229</v>
      </c>
      <c r="U13423" t="s">
        <v>59551</v>
      </c>
      <c r="W13423" t="s">
        <v>45765</v>
      </c>
      <c r="X13423" t="s">
        <v>46586</v>
      </c>
    </row>
    <row r="13424" spans="1:24">
      <c r="A13424">
        <f>HYPERLINK("https://www.philgeps.gov.ph/GEPSNONPILOT/Tender/SplashBidNoticeAbstractUI.aspx?menuIndex=3&amp;refID=7040660&amp;Result=3","7040660")</f>
        <v>0</v>
      </c>
      <c r="B13424" t="s">
        <v>3307</v>
      </c>
      <c r="C13424" t="s">
        <v>16268</v>
      </c>
      <c r="D13424" t="s">
        <v>18784</v>
      </c>
      <c r="E13424" t="s">
        <v>30430</v>
      </c>
      <c r="F13424" t="s">
        <v>32664</v>
      </c>
      <c r="G13424" t="s">
        <v>32672</v>
      </c>
      <c r="H13424" t="s">
        <v>32682</v>
      </c>
      <c r="I13424" t="s">
        <v>32749</v>
      </c>
      <c r="J13424" t="s">
        <v>40785</v>
      </c>
      <c r="K13424" t="s">
        <v>42281</v>
      </c>
      <c r="M13424" t="s">
        <v>46253</v>
      </c>
      <c r="N13424" t="s">
        <v>46569</v>
      </c>
      <c r="O13424" t="s">
        <v>46570</v>
      </c>
      <c r="P13424">
        <v>0</v>
      </c>
      <c r="Q13424">
        <v>3</v>
      </c>
      <c r="R13424" t="s">
        <v>46585</v>
      </c>
      <c r="S13424" t="s">
        <v>47146</v>
      </c>
      <c r="T13424" t="s">
        <v>48304</v>
      </c>
      <c r="U13424" t="s">
        <v>59552</v>
      </c>
      <c r="W13424" t="s">
        <v>46253</v>
      </c>
      <c r="X13424" t="s">
        <v>46586</v>
      </c>
    </row>
    <row r="13425" spans="1:24">
      <c r="A13425">
        <f>HYPERLINK("https://www.philgeps.gov.ph/GEPSNONPILOT/Tender/SplashBidNoticeAbstractUI.aspx?menuIndex=3&amp;refID=7040646&amp;Result=3","7040646")</f>
        <v>0</v>
      </c>
      <c r="B13425" t="s">
        <v>3302</v>
      </c>
      <c r="C13425" t="s">
        <v>16276</v>
      </c>
      <c r="D13425" t="s">
        <v>18806</v>
      </c>
      <c r="E13425" t="s">
        <v>30431</v>
      </c>
      <c r="F13425" t="s">
        <v>32664</v>
      </c>
      <c r="G13425" t="s">
        <v>32672</v>
      </c>
      <c r="H13425" t="s">
        <v>32683</v>
      </c>
      <c r="I13425" t="s">
        <v>6553</v>
      </c>
      <c r="J13425" t="s">
        <v>40786</v>
      </c>
      <c r="K13425" t="s">
        <v>42290</v>
      </c>
      <c r="M13425" t="s">
        <v>46247</v>
      </c>
      <c r="N13425" t="s">
        <v>46569</v>
      </c>
      <c r="O13425" t="s">
        <v>46570</v>
      </c>
      <c r="P13425">
        <v>0</v>
      </c>
      <c r="Q13425">
        <v>9</v>
      </c>
      <c r="R13425" t="s">
        <v>46585</v>
      </c>
      <c r="S13425" t="s">
        <v>47146</v>
      </c>
      <c r="T13425" t="s">
        <v>48285</v>
      </c>
      <c r="U13425" t="s">
        <v>59553</v>
      </c>
      <c r="V13425" t="s">
        <v>63089</v>
      </c>
      <c r="W13425" t="s">
        <v>46247</v>
      </c>
      <c r="X13425" t="s">
        <v>46586</v>
      </c>
    </row>
    <row r="13426" spans="1:24">
      <c r="A13426">
        <f>HYPERLINK("https://www.philgeps.gov.ph/GEPSNONPILOT/Tender/SplashBidNoticeAbstractUI.aspx?menuIndex=3&amp;refID=7023504&amp;Result=3","7023504")</f>
        <v>0</v>
      </c>
      <c r="B13426" t="s">
        <v>596</v>
      </c>
      <c r="C13426" t="s">
        <v>16277</v>
      </c>
      <c r="D13426" t="s">
        <v>18837</v>
      </c>
      <c r="E13426" t="s">
        <v>30432</v>
      </c>
      <c r="F13426" t="s">
        <v>32664</v>
      </c>
      <c r="G13426" t="s">
        <v>32672</v>
      </c>
      <c r="H13426" t="s">
        <v>12635</v>
      </c>
      <c r="I13426" t="s">
        <v>11464</v>
      </c>
      <c r="J13426" t="s">
        <v>32930</v>
      </c>
      <c r="K13426" t="s">
        <v>42298</v>
      </c>
      <c r="M13426" t="s">
        <v>43176</v>
      </c>
      <c r="N13426" t="s">
        <v>46569</v>
      </c>
      <c r="O13426" t="s">
        <v>46570</v>
      </c>
      <c r="P13426">
        <v>0</v>
      </c>
      <c r="Q13426">
        <v>12</v>
      </c>
      <c r="R13426" t="s">
        <v>46586</v>
      </c>
      <c r="S13426" t="s">
        <v>47252</v>
      </c>
      <c r="T13426" t="s">
        <v>48602</v>
      </c>
      <c r="U13426" t="s">
        <v>59554</v>
      </c>
      <c r="V13426" t="s">
        <v>63109</v>
      </c>
      <c r="W13426" t="s">
        <v>43176</v>
      </c>
      <c r="X13426" t="s">
        <v>46594</v>
      </c>
    </row>
    <row r="13427" spans="1:24">
      <c r="A13427">
        <f>HYPERLINK("https://www.philgeps.gov.ph/GEPSNONPILOT/Tender/SplashBidNoticeAbstractUI.aspx?menuIndex=3&amp;refID=7040570&amp;Result=3","7040570")</f>
        <v>0</v>
      </c>
      <c r="B13427" t="s">
        <v>1988</v>
      </c>
      <c r="C13427" t="s">
        <v>16278</v>
      </c>
      <c r="E13427" t="s">
        <v>30433</v>
      </c>
      <c r="F13427" t="s">
        <v>32664</v>
      </c>
      <c r="G13427" t="s">
        <v>32672</v>
      </c>
      <c r="H13427" t="s">
        <v>12635</v>
      </c>
      <c r="I13427" t="s">
        <v>32711</v>
      </c>
      <c r="J13427" t="s">
        <v>40787</v>
      </c>
      <c r="K13427" t="s">
        <v>42283</v>
      </c>
      <c r="M13427" t="s">
        <v>46002</v>
      </c>
      <c r="N13427" t="s">
        <v>46569</v>
      </c>
      <c r="O13427" t="s">
        <v>46570</v>
      </c>
      <c r="Q13427">
        <v>5</v>
      </c>
      <c r="R13427" t="s">
        <v>46585</v>
      </c>
      <c r="S13427" t="s">
        <v>47262</v>
      </c>
      <c r="T13427" t="s">
        <v>48256</v>
      </c>
      <c r="U13427" t="s">
        <v>59555</v>
      </c>
      <c r="V13427" t="s">
        <v>63091</v>
      </c>
      <c r="W13427" t="s">
        <v>46002</v>
      </c>
      <c r="X13427" t="s">
        <v>46586</v>
      </c>
    </row>
    <row r="13428" spans="1:24">
      <c r="A13428">
        <f>HYPERLINK("https://www.philgeps.gov.ph/GEPSNONPILOT/Tender/SplashBidNoticeAbstractUI.aspx?menuIndex=3&amp;refID=7040559&amp;Result=3","7040559")</f>
        <v>0</v>
      </c>
      <c r="B13428" t="s">
        <v>1988</v>
      </c>
      <c r="C13428" t="s">
        <v>16279</v>
      </c>
      <c r="E13428" t="s">
        <v>30434</v>
      </c>
      <c r="F13428" t="s">
        <v>32664</v>
      </c>
      <c r="G13428" t="s">
        <v>32672</v>
      </c>
      <c r="H13428" t="s">
        <v>12635</v>
      </c>
      <c r="I13428" t="s">
        <v>32698</v>
      </c>
      <c r="J13428" t="s">
        <v>40788</v>
      </c>
      <c r="K13428" t="s">
        <v>42283</v>
      </c>
      <c r="M13428" t="s">
        <v>46002</v>
      </c>
      <c r="N13428" t="s">
        <v>46569</v>
      </c>
      <c r="O13428" t="s">
        <v>46570</v>
      </c>
      <c r="Q13428">
        <v>5</v>
      </c>
      <c r="R13428" t="s">
        <v>46585</v>
      </c>
      <c r="S13428" t="s">
        <v>47263</v>
      </c>
      <c r="T13428" t="s">
        <v>48256</v>
      </c>
      <c r="U13428" t="s">
        <v>59556</v>
      </c>
      <c r="V13428" t="s">
        <v>63091</v>
      </c>
      <c r="W13428" t="s">
        <v>46002</v>
      </c>
      <c r="X13428" t="s">
        <v>46586</v>
      </c>
    </row>
    <row r="13429" spans="1:24">
      <c r="A13429">
        <f>HYPERLINK("https://www.philgeps.gov.ph/GEPSNONPILOT/Tender/SplashBidNoticeAbstractUI.aspx?menuIndex=3&amp;refID=7040558&amp;Result=3","7040558")</f>
        <v>0</v>
      </c>
      <c r="B13429" t="s">
        <v>3306</v>
      </c>
      <c r="C13429" t="s">
        <v>16280</v>
      </c>
      <c r="D13429" t="s">
        <v>18781</v>
      </c>
      <c r="E13429" t="s">
        <v>30435</v>
      </c>
      <c r="F13429" t="s">
        <v>32664</v>
      </c>
      <c r="G13429" t="s">
        <v>32672</v>
      </c>
      <c r="H13429" t="s">
        <v>12635</v>
      </c>
      <c r="I13429" t="s">
        <v>32692</v>
      </c>
      <c r="J13429" t="s">
        <v>40789</v>
      </c>
      <c r="K13429" t="s">
        <v>42311</v>
      </c>
      <c r="M13429" t="s">
        <v>46251</v>
      </c>
      <c r="N13429" t="s">
        <v>46569</v>
      </c>
      <c r="O13429" t="s">
        <v>46570</v>
      </c>
      <c r="P13429">
        <v>0</v>
      </c>
      <c r="Q13429">
        <v>5</v>
      </c>
      <c r="R13429" t="s">
        <v>46585</v>
      </c>
      <c r="S13429" t="s">
        <v>47146</v>
      </c>
      <c r="T13429" t="s">
        <v>48225</v>
      </c>
      <c r="U13429" t="s">
        <v>59557</v>
      </c>
      <c r="W13429" t="s">
        <v>46251</v>
      </c>
      <c r="X13429" t="s">
        <v>46586</v>
      </c>
    </row>
    <row r="13430" spans="1:24">
      <c r="A13430">
        <f>HYPERLINK("https://www.philgeps.gov.ph/GEPSNONPILOT/Tender/SplashBidNoticeAbstractUI.aspx?menuIndex=3&amp;refID=7034748&amp;Result=3","7034748")</f>
        <v>0</v>
      </c>
      <c r="B13430" t="s">
        <v>747</v>
      </c>
      <c r="C13430" t="s">
        <v>16281</v>
      </c>
      <c r="D13430" t="s">
        <v>18806</v>
      </c>
      <c r="E13430" t="s">
        <v>30436</v>
      </c>
      <c r="F13430" t="s">
        <v>32664</v>
      </c>
      <c r="G13430" t="s">
        <v>32672</v>
      </c>
      <c r="H13430" t="s">
        <v>12635</v>
      </c>
      <c r="I13430" t="s">
        <v>32704</v>
      </c>
      <c r="J13430" t="s">
        <v>40790</v>
      </c>
      <c r="K13430" t="s">
        <v>42281</v>
      </c>
      <c r="M13430" t="s">
        <v>43337</v>
      </c>
      <c r="N13430" t="s">
        <v>46569</v>
      </c>
      <c r="O13430" t="s">
        <v>46570</v>
      </c>
      <c r="P13430">
        <v>0</v>
      </c>
      <c r="Q13430">
        <v>6</v>
      </c>
      <c r="R13430" t="s">
        <v>46586</v>
      </c>
      <c r="S13430" t="s">
        <v>47252</v>
      </c>
      <c r="T13430" t="s">
        <v>48228</v>
      </c>
      <c r="U13430" t="s">
        <v>59558</v>
      </c>
      <c r="V13430" t="s">
        <v>63110</v>
      </c>
      <c r="W13430" t="s">
        <v>43337</v>
      </c>
      <c r="X13430" t="s">
        <v>46588</v>
      </c>
    </row>
    <row r="13431" spans="1:24">
      <c r="A13431">
        <f>HYPERLINK("https://www.philgeps.gov.ph/GEPSNONPILOT/Tender/SplashBidNoticeAbstractUI.aspx?menuIndex=3&amp;refID=7034742&amp;Result=3","7034742")</f>
        <v>0</v>
      </c>
      <c r="B13431" t="s">
        <v>3211</v>
      </c>
      <c r="C13431" t="s">
        <v>16282</v>
      </c>
      <c r="D13431" t="s">
        <v>18784</v>
      </c>
      <c r="E13431" t="s">
        <v>30437</v>
      </c>
      <c r="F13431" t="s">
        <v>32664</v>
      </c>
      <c r="G13431" t="s">
        <v>32672</v>
      </c>
      <c r="H13431" t="s">
        <v>12635</v>
      </c>
      <c r="I13431" t="s">
        <v>6168</v>
      </c>
      <c r="J13431" t="s">
        <v>40791</v>
      </c>
      <c r="K13431" t="s">
        <v>42284</v>
      </c>
      <c r="M13431" t="s">
        <v>46268</v>
      </c>
      <c r="N13431" t="s">
        <v>46569</v>
      </c>
      <c r="O13431" t="s">
        <v>46570</v>
      </c>
      <c r="P13431">
        <v>0</v>
      </c>
      <c r="Q13431">
        <v>3</v>
      </c>
      <c r="R13431" t="s">
        <v>46586</v>
      </c>
      <c r="S13431" t="s">
        <v>47252</v>
      </c>
      <c r="T13431" t="s">
        <v>48244</v>
      </c>
      <c r="U13431" t="s">
        <v>59559</v>
      </c>
      <c r="W13431" t="s">
        <v>46268</v>
      </c>
      <c r="X13431" t="s">
        <v>46588</v>
      </c>
    </row>
    <row r="13432" spans="1:24">
      <c r="A13432">
        <f>HYPERLINK("https://www.philgeps.gov.ph/GEPSNONPILOT/Tender/SplashBidNoticeAbstractUI.aspx?menuIndex=3&amp;refID=7032501&amp;Result=3","7032501")</f>
        <v>0</v>
      </c>
      <c r="B13432" t="s">
        <v>1386</v>
      </c>
      <c r="C13432" t="s">
        <v>16283</v>
      </c>
      <c r="D13432" t="s">
        <v>18819</v>
      </c>
      <c r="E13432" t="s">
        <v>30438</v>
      </c>
      <c r="F13432" t="s">
        <v>32664</v>
      </c>
      <c r="G13432" t="s">
        <v>32672</v>
      </c>
      <c r="H13432" t="s">
        <v>32683</v>
      </c>
      <c r="I13432" t="s">
        <v>10627</v>
      </c>
      <c r="J13432" t="s">
        <v>40792</v>
      </c>
      <c r="K13432" t="s">
        <v>42298</v>
      </c>
      <c r="M13432" t="s">
        <v>46262</v>
      </c>
      <c r="N13432" t="s">
        <v>46569</v>
      </c>
      <c r="O13432" t="s">
        <v>46570</v>
      </c>
      <c r="P13432">
        <v>0</v>
      </c>
      <c r="Q13432">
        <v>1</v>
      </c>
      <c r="R13432" t="s">
        <v>46586</v>
      </c>
      <c r="S13432" t="s">
        <v>47252</v>
      </c>
      <c r="T13432" t="s">
        <v>48283</v>
      </c>
      <c r="U13432" t="s">
        <v>59560</v>
      </c>
      <c r="W13432" t="s">
        <v>46262</v>
      </c>
      <c r="X13432" t="s">
        <v>46589</v>
      </c>
    </row>
    <row r="13433" spans="1:24">
      <c r="A13433">
        <f>HYPERLINK("https://www.philgeps.gov.ph/GEPSNONPILOT/Tender/SplashBidNoticeAbstractUI.aspx?menuIndex=3&amp;refID=7034697&amp;Result=3","7034697")</f>
        <v>0</v>
      </c>
      <c r="B13433" t="s">
        <v>3211</v>
      </c>
      <c r="C13433" t="s">
        <v>16284</v>
      </c>
      <c r="D13433" t="s">
        <v>18784</v>
      </c>
      <c r="E13433" t="s">
        <v>30439</v>
      </c>
      <c r="F13433" t="s">
        <v>32664</v>
      </c>
      <c r="G13433" t="s">
        <v>32672</v>
      </c>
      <c r="H13433" t="s">
        <v>32682</v>
      </c>
      <c r="I13433" t="s">
        <v>32756</v>
      </c>
      <c r="J13433" t="s">
        <v>40793</v>
      </c>
      <c r="K13433" t="s">
        <v>42284</v>
      </c>
      <c r="M13433" t="s">
        <v>46268</v>
      </c>
      <c r="N13433" t="s">
        <v>46569</v>
      </c>
      <c r="O13433" t="s">
        <v>46570</v>
      </c>
      <c r="P13433">
        <v>0</v>
      </c>
      <c r="Q13433">
        <v>6</v>
      </c>
      <c r="R13433" t="s">
        <v>46586</v>
      </c>
      <c r="S13433" t="s">
        <v>47252</v>
      </c>
      <c r="T13433" t="s">
        <v>48244</v>
      </c>
      <c r="U13433" t="s">
        <v>59561</v>
      </c>
      <c r="W13433" t="s">
        <v>46268</v>
      </c>
      <c r="X13433" t="s">
        <v>46588</v>
      </c>
    </row>
    <row r="13434" spans="1:24">
      <c r="A13434">
        <f>HYPERLINK("https://www.philgeps.gov.ph/GEPSNONPILOT/Tender/SplashBidNoticeAbstractUI.aspx?menuIndex=3&amp;refID=7034721&amp;Result=3","7034721")</f>
        <v>0</v>
      </c>
      <c r="B13434" t="s">
        <v>3211</v>
      </c>
      <c r="C13434" t="s">
        <v>16285</v>
      </c>
      <c r="D13434" t="s">
        <v>18784</v>
      </c>
      <c r="E13434" t="s">
        <v>30440</v>
      </c>
      <c r="F13434" t="s">
        <v>32664</v>
      </c>
      <c r="G13434" t="s">
        <v>32672</v>
      </c>
      <c r="H13434" t="s">
        <v>32682</v>
      </c>
      <c r="I13434" t="s">
        <v>8958</v>
      </c>
      <c r="J13434" t="s">
        <v>40794</v>
      </c>
      <c r="K13434" t="s">
        <v>42284</v>
      </c>
      <c r="M13434" t="s">
        <v>46268</v>
      </c>
      <c r="N13434" t="s">
        <v>46569</v>
      </c>
      <c r="O13434" t="s">
        <v>46570</v>
      </c>
      <c r="P13434">
        <v>0</v>
      </c>
      <c r="Q13434">
        <v>1</v>
      </c>
      <c r="R13434" t="s">
        <v>46586</v>
      </c>
      <c r="S13434" t="s">
        <v>47252</v>
      </c>
      <c r="T13434" t="s">
        <v>48244</v>
      </c>
      <c r="U13434" t="s">
        <v>59562</v>
      </c>
      <c r="W13434" t="s">
        <v>46268</v>
      </c>
      <c r="X13434" t="s">
        <v>46588</v>
      </c>
    </row>
    <row r="13435" spans="1:24">
      <c r="A13435">
        <f>HYPERLINK("https://www.philgeps.gov.ph/GEPSNONPILOT/Tender/SplashBidNoticeAbstractUI.aspx?menuIndex=3&amp;refID=7034609&amp;Result=3","7034609")</f>
        <v>0</v>
      </c>
      <c r="B13435" t="s">
        <v>3319</v>
      </c>
      <c r="C13435" t="s">
        <v>16286</v>
      </c>
      <c r="D13435" t="s">
        <v>18819</v>
      </c>
      <c r="E13435" t="s">
        <v>30441</v>
      </c>
      <c r="F13435" t="s">
        <v>32664</v>
      </c>
      <c r="G13435" t="s">
        <v>32672</v>
      </c>
      <c r="H13435" t="s">
        <v>12635</v>
      </c>
      <c r="I13435" t="s">
        <v>9486</v>
      </c>
      <c r="J13435" t="s">
        <v>32962</v>
      </c>
      <c r="K13435" t="s">
        <v>42325</v>
      </c>
      <c r="M13435" t="s">
        <v>46269</v>
      </c>
      <c r="N13435" t="s">
        <v>46569</v>
      </c>
      <c r="O13435" t="s">
        <v>46570</v>
      </c>
      <c r="P13435">
        <v>0</v>
      </c>
      <c r="Q13435">
        <v>16</v>
      </c>
      <c r="R13435" t="s">
        <v>46586</v>
      </c>
      <c r="S13435" t="s">
        <v>47252</v>
      </c>
      <c r="T13435" t="s">
        <v>48283</v>
      </c>
      <c r="U13435" t="s">
        <v>59563</v>
      </c>
      <c r="W13435" t="s">
        <v>46269</v>
      </c>
      <c r="X13435" t="s">
        <v>46588</v>
      </c>
    </row>
    <row r="13436" spans="1:24">
      <c r="A13436">
        <f>HYPERLINK("https://www.philgeps.gov.ph/GEPSNONPILOT/Tender/SplashBidNoticeAbstractUI.aspx?menuIndex=3&amp;refID=7040561&amp;Result=3","7040561")</f>
        <v>0</v>
      </c>
      <c r="B13436" t="s">
        <v>3302</v>
      </c>
      <c r="C13436" t="s">
        <v>16287</v>
      </c>
      <c r="D13436" t="s">
        <v>18806</v>
      </c>
      <c r="E13436" t="s">
        <v>30442</v>
      </c>
      <c r="F13436" t="s">
        <v>32664</v>
      </c>
      <c r="G13436" t="s">
        <v>32672</v>
      </c>
      <c r="H13436" t="s">
        <v>32683</v>
      </c>
      <c r="I13436" t="s">
        <v>6553</v>
      </c>
      <c r="J13436" t="s">
        <v>40795</v>
      </c>
      <c r="K13436" t="s">
        <v>42290</v>
      </c>
      <c r="M13436" t="s">
        <v>46247</v>
      </c>
      <c r="N13436" t="s">
        <v>46569</v>
      </c>
      <c r="O13436" t="s">
        <v>46570</v>
      </c>
      <c r="P13436">
        <v>0</v>
      </c>
      <c r="Q13436">
        <v>11</v>
      </c>
      <c r="R13436" t="s">
        <v>46585</v>
      </c>
      <c r="S13436" t="s">
        <v>47146</v>
      </c>
      <c r="T13436" t="s">
        <v>48285</v>
      </c>
      <c r="U13436" t="s">
        <v>59564</v>
      </c>
      <c r="V13436" t="s">
        <v>63089</v>
      </c>
      <c r="W13436" t="s">
        <v>46247</v>
      </c>
      <c r="X13436" t="s">
        <v>46586</v>
      </c>
    </row>
    <row r="13437" spans="1:24">
      <c r="A13437">
        <f>HYPERLINK("https://www.philgeps.gov.ph/GEPSNONPILOT/Tender/SplashBidNoticeAbstractUI.aspx?menuIndex=3&amp;refID=7034385&amp;Result=3","7034385")</f>
        <v>0</v>
      </c>
      <c r="B13437" t="s">
        <v>67</v>
      </c>
      <c r="C13437" t="s">
        <v>16288</v>
      </c>
      <c r="D13437" t="s">
        <v>18814</v>
      </c>
      <c r="E13437" t="s">
        <v>30443</v>
      </c>
      <c r="F13437" t="s">
        <v>32664</v>
      </c>
      <c r="G13437" t="s">
        <v>32672</v>
      </c>
      <c r="H13437" t="s">
        <v>12635</v>
      </c>
      <c r="I13437" t="s">
        <v>32689</v>
      </c>
      <c r="J13437" t="s">
        <v>40796</v>
      </c>
      <c r="K13437" t="s">
        <v>42281</v>
      </c>
      <c r="M13437" t="s">
        <v>42630</v>
      </c>
      <c r="N13437" t="s">
        <v>46569</v>
      </c>
      <c r="O13437" t="s">
        <v>46570</v>
      </c>
      <c r="P13437">
        <v>0</v>
      </c>
      <c r="Q13437">
        <v>5</v>
      </c>
      <c r="R13437" t="s">
        <v>46586</v>
      </c>
      <c r="S13437" t="s">
        <v>47252</v>
      </c>
      <c r="T13437" t="s">
        <v>48602</v>
      </c>
      <c r="U13437" t="s">
        <v>59565</v>
      </c>
      <c r="V13437" t="s">
        <v>63111</v>
      </c>
      <c r="W13437" t="s">
        <v>42630</v>
      </c>
      <c r="X13437" t="s">
        <v>46588</v>
      </c>
    </row>
    <row r="13438" spans="1:24">
      <c r="A13438">
        <f>HYPERLINK("https://www.philgeps.gov.ph/GEPSNONPILOT/Tender/SplashBidNoticeAbstractUI.aspx?menuIndex=3&amp;refID=7034003&amp;Result=3","7034003")</f>
        <v>0</v>
      </c>
      <c r="B13438" t="s">
        <v>1329</v>
      </c>
      <c r="C13438" t="s">
        <v>16289</v>
      </c>
      <c r="D13438" t="s">
        <v>18788</v>
      </c>
      <c r="E13438" t="s">
        <v>25356</v>
      </c>
      <c r="F13438" t="s">
        <v>32664</v>
      </c>
      <c r="G13438" t="s">
        <v>32672</v>
      </c>
      <c r="H13438" t="s">
        <v>32683</v>
      </c>
      <c r="I13438" t="s">
        <v>10627</v>
      </c>
      <c r="J13438" t="s">
        <v>40797</v>
      </c>
      <c r="K13438" t="s">
        <v>42486</v>
      </c>
      <c r="M13438" t="s">
        <v>43978</v>
      </c>
      <c r="N13438" t="s">
        <v>46569</v>
      </c>
      <c r="O13438" t="s">
        <v>46570</v>
      </c>
      <c r="P13438">
        <v>0</v>
      </c>
      <c r="Q13438">
        <v>0</v>
      </c>
      <c r="R13438" t="s">
        <v>46586</v>
      </c>
      <c r="S13438" t="s">
        <v>47252</v>
      </c>
      <c r="T13438" t="s">
        <v>48221</v>
      </c>
      <c r="U13438" t="s">
        <v>59566</v>
      </c>
      <c r="V13438" t="s">
        <v>63112</v>
      </c>
      <c r="W13438" t="s">
        <v>43978</v>
      </c>
      <c r="X13438" t="s">
        <v>46588</v>
      </c>
    </row>
    <row r="13439" spans="1:24">
      <c r="A13439">
        <f>HYPERLINK("https://www.philgeps.gov.ph/GEPSNONPILOT/Tender/SplashBidNoticeAbstractUI.aspx?menuIndex=3&amp;refID=7033912&amp;Result=3","7033912")</f>
        <v>0</v>
      </c>
      <c r="B13439" t="s">
        <v>1329</v>
      </c>
      <c r="C13439" t="s">
        <v>16290</v>
      </c>
      <c r="D13439" t="s">
        <v>18788</v>
      </c>
      <c r="E13439" t="s">
        <v>30444</v>
      </c>
      <c r="F13439" t="s">
        <v>32664</v>
      </c>
      <c r="G13439" t="s">
        <v>32672</v>
      </c>
      <c r="H13439" t="s">
        <v>32683</v>
      </c>
      <c r="I13439" t="s">
        <v>10627</v>
      </c>
      <c r="J13439" t="s">
        <v>40798</v>
      </c>
      <c r="K13439" t="s">
        <v>42318</v>
      </c>
      <c r="M13439" t="s">
        <v>43978</v>
      </c>
      <c r="N13439" t="s">
        <v>46569</v>
      </c>
      <c r="O13439" t="s">
        <v>46570</v>
      </c>
      <c r="P13439">
        <v>0</v>
      </c>
      <c r="Q13439">
        <v>0</v>
      </c>
      <c r="R13439" t="s">
        <v>46586</v>
      </c>
      <c r="S13439" t="s">
        <v>47252</v>
      </c>
      <c r="T13439" t="s">
        <v>48221</v>
      </c>
      <c r="U13439" t="s">
        <v>59567</v>
      </c>
      <c r="V13439" t="s">
        <v>63113</v>
      </c>
      <c r="W13439" t="s">
        <v>43978</v>
      </c>
      <c r="X13439" t="s">
        <v>46588</v>
      </c>
    </row>
    <row r="13440" spans="1:24">
      <c r="A13440">
        <f>HYPERLINK("https://www.philgeps.gov.ph/GEPSNONPILOT/Tender/SplashBidNoticeAbstractUI.aspx?menuIndex=3&amp;refID=7040654&amp;Result=3","7040654")</f>
        <v>0</v>
      </c>
      <c r="B13440" t="s">
        <v>3307</v>
      </c>
      <c r="C13440" t="s">
        <v>16268</v>
      </c>
      <c r="D13440" t="s">
        <v>18784</v>
      </c>
      <c r="E13440" t="s">
        <v>30445</v>
      </c>
      <c r="F13440" t="s">
        <v>32664</v>
      </c>
      <c r="G13440" t="s">
        <v>32672</v>
      </c>
      <c r="H13440" t="s">
        <v>32682</v>
      </c>
      <c r="I13440" t="s">
        <v>32749</v>
      </c>
      <c r="J13440" t="s">
        <v>40799</v>
      </c>
      <c r="K13440" t="s">
        <v>42281</v>
      </c>
      <c r="M13440" t="s">
        <v>46253</v>
      </c>
      <c r="N13440" t="s">
        <v>46569</v>
      </c>
      <c r="O13440" t="s">
        <v>46570</v>
      </c>
      <c r="P13440">
        <v>0</v>
      </c>
      <c r="Q13440">
        <v>2</v>
      </c>
      <c r="R13440" t="s">
        <v>46585</v>
      </c>
      <c r="S13440" t="s">
        <v>47146</v>
      </c>
      <c r="T13440" t="s">
        <v>48304</v>
      </c>
      <c r="U13440" t="s">
        <v>59568</v>
      </c>
      <c r="W13440" t="s">
        <v>46253</v>
      </c>
      <c r="X13440" t="s">
        <v>46586</v>
      </c>
    </row>
    <row r="13441" spans="1:24">
      <c r="A13441">
        <f>HYPERLINK("https://www.philgeps.gov.ph/GEPSNONPILOT/Tender/SplashBidNoticeAbstractUI.aspx?menuIndex=3&amp;refID=7033583&amp;Result=3","7033583")</f>
        <v>0</v>
      </c>
      <c r="B13441" t="s">
        <v>1329</v>
      </c>
      <c r="C13441" t="s">
        <v>16291</v>
      </c>
      <c r="D13441" t="s">
        <v>18788</v>
      </c>
      <c r="E13441" t="s">
        <v>30446</v>
      </c>
      <c r="F13441" t="s">
        <v>32664</v>
      </c>
      <c r="G13441" t="s">
        <v>32672</v>
      </c>
      <c r="H13441" t="s">
        <v>12635</v>
      </c>
      <c r="I13441" t="s">
        <v>32704</v>
      </c>
      <c r="J13441" t="s">
        <v>40800</v>
      </c>
      <c r="K13441" t="s">
        <v>42281</v>
      </c>
      <c r="M13441" t="s">
        <v>43978</v>
      </c>
      <c r="N13441" t="s">
        <v>46569</v>
      </c>
      <c r="O13441" t="s">
        <v>46570</v>
      </c>
      <c r="P13441">
        <v>0</v>
      </c>
      <c r="Q13441">
        <v>6</v>
      </c>
      <c r="R13441" t="s">
        <v>46586</v>
      </c>
      <c r="S13441" t="s">
        <v>47252</v>
      </c>
      <c r="T13441" t="s">
        <v>48221</v>
      </c>
      <c r="U13441" t="s">
        <v>59569</v>
      </c>
      <c r="V13441" t="s">
        <v>63114</v>
      </c>
      <c r="W13441" t="s">
        <v>43978</v>
      </c>
      <c r="X13441" t="s">
        <v>46588</v>
      </c>
    </row>
    <row r="13442" spans="1:24">
      <c r="A13442">
        <f>HYPERLINK("https://www.philgeps.gov.ph/GEPSNONPILOT/Tender/SplashBidNoticeAbstractUI.aspx?menuIndex=3&amp;refID=7033989&amp;Result=3","7033989")</f>
        <v>0</v>
      </c>
      <c r="B13442" t="s">
        <v>56</v>
      </c>
      <c r="C13442" t="s">
        <v>16292</v>
      </c>
      <c r="D13442" t="s">
        <v>18805</v>
      </c>
      <c r="E13442" t="s">
        <v>30447</v>
      </c>
      <c r="F13442" t="s">
        <v>32664</v>
      </c>
      <c r="G13442" t="s">
        <v>32672</v>
      </c>
      <c r="H13442" t="s">
        <v>12635</v>
      </c>
      <c r="I13442" t="s">
        <v>4439</v>
      </c>
      <c r="J13442" t="s">
        <v>40801</v>
      </c>
      <c r="K13442" t="s">
        <v>42289</v>
      </c>
      <c r="M13442" t="s">
        <v>42618</v>
      </c>
      <c r="N13442" t="s">
        <v>46569</v>
      </c>
      <c r="O13442" t="s">
        <v>46570</v>
      </c>
      <c r="P13442">
        <v>0</v>
      </c>
      <c r="Q13442">
        <v>5</v>
      </c>
      <c r="R13442" t="s">
        <v>46586</v>
      </c>
      <c r="S13442" t="s">
        <v>47252</v>
      </c>
      <c r="T13442" t="s">
        <v>48283</v>
      </c>
      <c r="U13442" t="s">
        <v>59570</v>
      </c>
      <c r="W13442" t="s">
        <v>42618</v>
      </c>
      <c r="X13442" t="s">
        <v>46588</v>
      </c>
    </row>
    <row r="13443" spans="1:24">
      <c r="A13443">
        <f>HYPERLINK("https://www.philgeps.gov.ph/GEPSNONPILOT/Tender/SplashBidNoticeAbstractUI.aspx?menuIndex=3&amp;refID=7034565&amp;Result=3","7034565")</f>
        <v>0</v>
      </c>
      <c r="B13443" t="s">
        <v>747</v>
      </c>
      <c r="C13443" t="s">
        <v>16293</v>
      </c>
      <c r="D13443" t="s">
        <v>18806</v>
      </c>
      <c r="E13443" t="s">
        <v>30448</v>
      </c>
      <c r="F13443" t="s">
        <v>32664</v>
      </c>
      <c r="G13443" t="s">
        <v>32672</v>
      </c>
      <c r="H13443" t="s">
        <v>12635</v>
      </c>
      <c r="I13443" t="s">
        <v>32704</v>
      </c>
      <c r="J13443" t="s">
        <v>33078</v>
      </c>
      <c r="K13443" t="s">
        <v>42281</v>
      </c>
      <c r="M13443" t="s">
        <v>43337</v>
      </c>
      <c r="N13443" t="s">
        <v>46569</v>
      </c>
      <c r="O13443" t="s">
        <v>46570</v>
      </c>
      <c r="Q13443">
        <v>4</v>
      </c>
      <c r="R13443" t="s">
        <v>46586</v>
      </c>
      <c r="S13443" t="s">
        <v>47264</v>
      </c>
      <c r="T13443" t="s">
        <v>48228</v>
      </c>
      <c r="U13443" t="s">
        <v>59571</v>
      </c>
      <c r="V13443" t="s">
        <v>63115</v>
      </c>
      <c r="W13443" t="s">
        <v>43337</v>
      </c>
      <c r="X13443" t="s">
        <v>46588</v>
      </c>
    </row>
    <row r="13444" spans="1:24">
      <c r="A13444">
        <f>HYPERLINK("https://www.philgeps.gov.ph/GEPSNONPILOT/Tender/SplashBidNoticeAbstractUI.aspx?menuIndex=3&amp;refID=7034989&amp;Result=3","7034989")</f>
        <v>0</v>
      </c>
      <c r="B13444" t="s">
        <v>2552</v>
      </c>
      <c r="C13444" t="s">
        <v>16294</v>
      </c>
      <c r="E13444" t="s">
        <v>30449</v>
      </c>
      <c r="F13444" t="s">
        <v>32664</v>
      </c>
      <c r="G13444" t="s">
        <v>32672</v>
      </c>
      <c r="H13444" t="s">
        <v>12635</v>
      </c>
      <c r="I13444" t="s">
        <v>32706</v>
      </c>
      <c r="J13444" t="s">
        <v>40802</v>
      </c>
      <c r="K13444" t="s">
        <v>42283</v>
      </c>
      <c r="M13444" t="s">
        <v>45363</v>
      </c>
      <c r="N13444" t="s">
        <v>46569</v>
      </c>
      <c r="O13444" t="s">
        <v>46570</v>
      </c>
      <c r="Q13444">
        <v>11</v>
      </c>
      <c r="R13444" t="s">
        <v>46586</v>
      </c>
      <c r="S13444" t="s">
        <v>47075</v>
      </c>
      <c r="T13444" t="s">
        <v>48729</v>
      </c>
      <c r="U13444" t="s">
        <v>55914</v>
      </c>
      <c r="W13444" t="s">
        <v>45363</v>
      </c>
      <c r="X13444" t="s">
        <v>46588</v>
      </c>
    </row>
    <row r="13445" spans="1:24">
      <c r="A13445">
        <f>HYPERLINK("https://www.philgeps.gov.ph/GEPSNONPILOT/Tender/SplashBidNoticeAbstractUI.aspx?menuIndex=3&amp;refID=7034676&amp;Result=3","7034676")</f>
        <v>0</v>
      </c>
      <c r="B13445" t="s">
        <v>325</v>
      </c>
      <c r="C13445" t="s">
        <v>16295</v>
      </c>
      <c r="D13445" t="s">
        <v>18848</v>
      </c>
      <c r="E13445" t="s">
        <v>30450</v>
      </c>
      <c r="F13445" t="s">
        <v>32664</v>
      </c>
      <c r="G13445" t="s">
        <v>32672</v>
      </c>
      <c r="H13445" t="s">
        <v>12635</v>
      </c>
      <c r="I13445" t="s">
        <v>32694</v>
      </c>
      <c r="J13445" t="s">
        <v>40803</v>
      </c>
      <c r="K13445" t="s">
        <v>42289</v>
      </c>
      <c r="M13445" t="s">
        <v>42893</v>
      </c>
      <c r="N13445" t="s">
        <v>46569</v>
      </c>
      <c r="O13445" t="s">
        <v>46570</v>
      </c>
      <c r="P13445">
        <v>0</v>
      </c>
      <c r="Q13445">
        <v>2</v>
      </c>
      <c r="R13445" t="s">
        <v>46586</v>
      </c>
      <c r="S13445" t="s">
        <v>47252</v>
      </c>
      <c r="T13445" t="s">
        <v>48410</v>
      </c>
      <c r="U13445" t="s">
        <v>59572</v>
      </c>
      <c r="V13445" t="s">
        <v>61699</v>
      </c>
      <c r="W13445" t="s">
        <v>42893</v>
      </c>
      <c r="X13445" t="s">
        <v>46588</v>
      </c>
    </row>
    <row r="13446" spans="1:24">
      <c r="A13446">
        <f>HYPERLINK("https://www.philgeps.gov.ph/GEPSNONPILOT/Tender/SplashBidNoticeAbstractUI.aspx?menuIndex=3&amp;refID=7034939&amp;Result=3","7034939")</f>
        <v>0</v>
      </c>
      <c r="B13446" t="s">
        <v>3320</v>
      </c>
      <c r="C13446" t="s">
        <v>16296</v>
      </c>
      <c r="D13446" t="s">
        <v>18805</v>
      </c>
      <c r="E13446" t="s">
        <v>19247</v>
      </c>
      <c r="F13446" t="s">
        <v>32664</v>
      </c>
      <c r="G13446" t="s">
        <v>32672</v>
      </c>
      <c r="H13446" t="s">
        <v>12635</v>
      </c>
      <c r="I13446" t="s">
        <v>8730</v>
      </c>
      <c r="J13446" t="s">
        <v>40804</v>
      </c>
      <c r="K13446" t="s">
        <v>42289</v>
      </c>
      <c r="M13446" t="s">
        <v>46270</v>
      </c>
      <c r="N13446" t="s">
        <v>46569</v>
      </c>
      <c r="O13446" t="s">
        <v>46570</v>
      </c>
      <c r="Q13446">
        <v>5</v>
      </c>
      <c r="R13446" t="s">
        <v>46586</v>
      </c>
      <c r="S13446" t="s">
        <v>47265</v>
      </c>
      <c r="T13446" t="s">
        <v>48301</v>
      </c>
      <c r="U13446" t="s">
        <v>59573</v>
      </c>
      <c r="W13446" t="s">
        <v>46270</v>
      </c>
      <c r="X13446" t="s">
        <v>46588</v>
      </c>
    </row>
    <row r="13447" spans="1:24">
      <c r="A13447">
        <f>HYPERLINK("https://www.philgeps.gov.ph/GEPSNONPILOT/Tender/SplashBidNoticeAbstractUI.aspx?menuIndex=3&amp;refID=7034891&amp;Result=3","7034891")</f>
        <v>0</v>
      </c>
      <c r="B13447" t="s">
        <v>3211</v>
      </c>
      <c r="C13447" t="s">
        <v>16297</v>
      </c>
      <c r="D13447" t="s">
        <v>18784</v>
      </c>
      <c r="E13447" t="s">
        <v>30451</v>
      </c>
      <c r="F13447" t="s">
        <v>32664</v>
      </c>
      <c r="G13447" t="s">
        <v>32672</v>
      </c>
      <c r="H13447" t="s">
        <v>12635</v>
      </c>
      <c r="I13447" t="s">
        <v>6168</v>
      </c>
      <c r="J13447" t="s">
        <v>40805</v>
      </c>
      <c r="K13447" t="s">
        <v>42284</v>
      </c>
      <c r="M13447" t="s">
        <v>46268</v>
      </c>
      <c r="N13447" t="s">
        <v>46569</v>
      </c>
      <c r="O13447" t="s">
        <v>46570</v>
      </c>
      <c r="P13447">
        <v>0</v>
      </c>
      <c r="Q13447">
        <v>2</v>
      </c>
      <c r="R13447" t="s">
        <v>46586</v>
      </c>
      <c r="S13447" t="s">
        <v>47252</v>
      </c>
      <c r="T13447" t="s">
        <v>48244</v>
      </c>
      <c r="U13447" t="s">
        <v>59559</v>
      </c>
      <c r="W13447" t="s">
        <v>46268</v>
      </c>
      <c r="X13447" t="s">
        <v>46588</v>
      </c>
    </row>
    <row r="13448" spans="1:24">
      <c r="A13448">
        <f>HYPERLINK("https://www.philgeps.gov.ph/GEPSNONPILOT/Tender/SplashBidNoticeAbstractUI.aspx?menuIndex=3&amp;refID=7034888&amp;Result=3","7034888")</f>
        <v>0</v>
      </c>
      <c r="B13448" t="s">
        <v>3211</v>
      </c>
      <c r="C13448" t="s">
        <v>16298</v>
      </c>
      <c r="D13448" t="s">
        <v>18784</v>
      </c>
      <c r="E13448" t="s">
        <v>30452</v>
      </c>
      <c r="F13448" t="s">
        <v>32664</v>
      </c>
      <c r="G13448" t="s">
        <v>32672</v>
      </c>
      <c r="H13448" t="s">
        <v>12635</v>
      </c>
      <c r="I13448" t="s">
        <v>6168</v>
      </c>
      <c r="J13448" t="s">
        <v>40806</v>
      </c>
      <c r="K13448" t="s">
        <v>42284</v>
      </c>
      <c r="M13448" t="s">
        <v>46268</v>
      </c>
      <c r="N13448" t="s">
        <v>46569</v>
      </c>
      <c r="O13448" t="s">
        <v>46570</v>
      </c>
      <c r="P13448">
        <v>0</v>
      </c>
      <c r="Q13448">
        <v>4</v>
      </c>
      <c r="R13448" t="s">
        <v>46586</v>
      </c>
      <c r="S13448" t="s">
        <v>47252</v>
      </c>
      <c r="T13448" t="s">
        <v>48244</v>
      </c>
      <c r="U13448" t="s">
        <v>59559</v>
      </c>
      <c r="W13448" t="s">
        <v>46268</v>
      </c>
      <c r="X13448" t="s">
        <v>46588</v>
      </c>
    </row>
    <row r="13449" spans="1:24">
      <c r="A13449">
        <f>HYPERLINK("https://www.philgeps.gov.ph/GEPSNONPILOT/Tender/SplashBidNoticeAbstractUI.aspx?menuIndex=3&amp;refID=7034876&amp;Result=3","7034876")</f>
        <v>0</v>
      </c>
      <c r="B13449" t="s">
        <v>3211</v>
      </c>
      <c r="C13449" t="s">
        <v>16299</v>
      </c>
      <c r="D13449" t="s">
        <v>18784</v>
      </c>
      <c r="E13449" t="s">
        <v>30453</v>
      </c>
      <c r="F13449" t="s">
        <v>32664</v>
      </c>
      <c r="G13449" t="s">
        <v>32672</v>
      </c>
      <c r="H13449" t="s">
        <v>12635</v>
      </c>
      <c r="I13449" t="s">
        <v>6223</v>
      </c>
      <c r="J13449" t="s">
        <v>40807</v>
      </c>
      <c r="K13449" t="s">
        <v>42284</v>
      </c>
      <c r="M13449" t="s">
        <v>46268</v>
      </c>
      <c r="N13449" t="s">
        <v>46569</v>
      </c>
      <c r="O13449" t="s">
        <v>46570</v>
      </c>
      <c r="P13449">
        <v>0</v>
      </c>
      <c r="Q13449">
        <v>0</v>
      </c>
      <c r="R13449" t="s">
        <v>46586</v>
      </c>
      <c r="S13449" t="s">
        <v>47252</v>
      </c>
      <c r="T13449" t="s">
        <v>48244</v>
      </c>
      <c r="U13449" t="s">
        <v>59574</v>
      </c>
      <c r="W13449" t="s">
        <v>46268</v>
      </c>
      <c r="X13449" t="s">
        <v>46588</v>
      </c>
    </row>
    <row r="13450" spans="1:24">
      <c r="A13450">
        <f>HYPERLINK("https://www.philgeps.gov.ph/GEPSNONPILOT/Tender/SplashBidNoticeAbstractUI.aspx?menuIndex=3&amp;refID=7034856&amp;Result=3","7034856")</f>
        <v>0</v>
      </c>
      <c r="B13450" t="s">
        <v>3211</v>
      </c>
      <c r="C13450" t="s">
        <v>16300</v>
      </c>
      <c r="D13450" t="s">
        <v>18784</v>
      </c>
      <c r="E13450" t="s">
        <v>30454</v>
      </c>
      <c r="F13450" t="s">
        <v>32664</v>
      </c>
      <c r="G13450" t="s">
        <v>32672</v>
      </c>
      <c r="H13450" t="s">
        <v>32682</v>
      </c>
      <c r="I13450" t="s">
        <v>32731</v>
      </c>
      <c r="J13450" t="s">
        <v>32898</v>
      </c>
      <c r="K13450" t="s">
        <v>42284</v>
      </c>
      <c r="M13450" t="s">
        <v>46268</v>
      </c>
      <c r="N13450" t="s">
        <v>46569</v>
      </c>
      <c r="O13450" t="s">
        <v>46570</v>
      </c>
      <c r="P13450">
        <v>0</v>
      </c>
      <c r="Q13450">
        <v>1</v>
      </c>
      <c r="R13450" t="s">
        <v>46586</v>
      </c>
      <c r="S13450" t="s">
        <v>47252</v>
      </c>
      <c r="T13450" t="s">
        <v>48244</v>
      </c>
      <c r="U13450" t="s">
        <v>59575</v>
      </c>
      <c r="W13450" t="s">
        <v>46268</v>
      </c>
      <c r="X13450" t="s">
        <v>46588</v>
      </c>
    </row>
    <row r="13451" spans="1:24">
      <c r="A13451">
        <f>HYPERLINK("https://www.philgeps.gov.ph/GEPSNONPILOT/Tender/SplashBidNoticeAbstractUI.aspx?menuIndex=3&amp;refID=7034711&amp;Result=3","7034711")</f>
        <v>0</v>
      </c>
      <c r="B13451" t="s">
        <v>747</v>
      </c>
      <c r="C13451" t="s">
        <v>16301</v>
      </c>
      <c r="D13451" t="s">
        <v>18806</v>
      </c>
      <c r="E13451" t="s">
        <v>30455</v>
      </c>
      <c r="F13451" t="s">
        <v>32664</v>
      </c>
      <c r="G13451" t="s">
        <v>32672</v>
      </c>
      <c r="H13451" t="s">
        <v>12635</v>
      </c>
      <c r="I13451" t="s">
        <v>9486</v>
      </c>
      <c r="J13451" t="s">
        <v>40808</v>
      </c>
      <c r="K13451" t="s">
        <v>42281</v>
      </c>
      <c r="M13451" t="s">
        <v>43337</v>
      </c>
      <c r="N13451" t="s">
        <v>46569</v>
      </c>
      <c r="O13451" t="s">
        <v>46570</v>
      </c>
      <c r="Q13451">
        <v>5</v>
      </c>
      <c r="R13451" t="s">
        <v>46586</v>
      </c>
      <c r="S13451" t="s">
        <v>47266</v>
      </c>
      <c r="T13451" t="s">
        <v>48228</v>
      </c>
      <c r="U13451" t="s">
        <v>59576</v>
      </c>
      <c r="V13451" t="s">
        <v>63116</v>
      </c>
      <c r="W13451" t="s">
        <v>43337</v>
      </c>
      <c r="X13451" t="s">
        <v>46588</v>
      </c>
    </row>
    <row r="13452" spans="1:24">
      <c r="A13452">
        <f>HYPERLINK("https://www.philgeps.gov.ph/GEPSNONPILOT/Tender/SplashBidNoticeAbstractUI.aspx?menuIndex=3&amp;refID=7034845&amp;Result=3","7034845")</f>
        <v>0</v>
      </c>
      <c r="B13452" t="s">
        <v>3211</v>
      </c>
      <c r="C13452" t="s">
        <v>16302</v>
      </c>
      <c r="D13452" t="s">
        <v>18784</v>
      </c>
      <c r="E13452" t="s">
        <v>30456</v>
      </c>
      <c r="F13452" t="s">
        <v>32664</v>
      </c>
      <c r="G13452" t="s">
        <v>32672</v>
      </c>
      <c r="H13452" t="s">
        <v>32683</v>
      </c>
      <c r="I13452" t="s">
        <v>10627</v>
      </c>
      <c r="J13452" t="s">
        <v>40809</v>
      </c>
      <c r="K13452" t="s">
        <v>42311</v>
      </c>
      <c r="M13452" t="s">
        <v>46268</v>
      </c>
      <c r="N13452" t="s">
        <v>46569</v>
      </c>
      <c r="O13452" t="s">
        <v>46570</v>
      </c>
      <c r="P13452">
        <v>0</v>
      </c>
      <c r="Q13452">
        <v>2</v>
      </c>
      <c r="R13452" t="s">
        <v>46586</v>
      </c>
      <c r="S13452" t="s">
        <v>47252</v>
      </c>
      <c r="T13452" t="s">
        <v>48244</v>
      </c>
      <c r="U13452" t="s">
        <v>59577</v>
      </c>
      <c r="W13452" t="s">
        <v>46268</v>
      </c>
      <c r="X13452" t="s">
        <v>46588</v>
      </c>
    </row>
    <row r="13453" spans="1:24">
      <c r="A13453">
        <f>HYPERLINK("https://www.philgeps.gov.ph/GEPSNONPILOT/Tender/SplashBidNoticeAbstractUI.aspx?menuIndex=3&amp;refID=7035249&amp;Result=3","7035249")</f>
        <v>0</v>
      </c>
      <c r="B13453" t="s">
        <v>1853</v>
      </c>
      <c r="C13453" t="s">
        <v>16303</v>
      </c>
      <c r="D13453" t="s">
        <v>18785</v>
      </c>
      <c r="E13453" t="s">
        <v>30457</v>
      </c>
      <c r="F13453" t="s">
        <v>32664</v>
      </c>
      <c r="G13453" t="s">
        <v>32672</v>
      </c>
      <c r="H13453" t="s">
        <v>12635</v>
      </c>
      <c r="I13453" t="s">
        <v>9486</v>
      </c>
      <c r="J13453" t="s">
        <v>40810</v>
      </c>
      <c r="K13453" t="s">
        <v>42284</v>
      </c>
      <c r="M13453" t="s">
        <v>44564</v>
      </c>
      <c r="N13453" t="s">
        <v>46569</v>
      </c>
      <c r="O13453" t="s">
        <v>46570</v>
      </c>
      <c r="P13453">
        <v>0</v>
      </c>
      <c r="Q13453">
        <v>6</v>
      </c>
      <c r="R13453" t="s">
        <v>46586</v>
      </c>
      <c r="S13453" t="s">
        <v>47252</v>
      </c>
      <c r="T13453" t="s">
        <v>48293</v>
      </c>
      <c r="U13453" t="s">
        <v>59578</v>
      </c>
      <c r="W13453" t="s">
        <v>44564</v>
      </c>
      <c r="X13453" t="s">
        <v>46588</v>
      </c>
    </row>
    <row r="13454" spans="1:24">
      <c r="A13454">
        <f>HYPERLINK("https://www.philgeps.gov.ph/GEPSNONPILOT/Tender/SplashBidNoticeAbstractUI.aspx?menuIndex=3&amp;refID=7033257&amp;Result=3","7033257")</f>
        <v>0</v>
      </c>
      <c r="B13454" t="s">
        <v>1187</v>
      </c>
      <c r="C13454" t="s">
        <v>16304</v>
      </c>
      <c r="D13454" t="s">
        <v>18831</v>
      </c>
      <c r="E13454" t="s">
        <v>30458</v>
      </c>
      <c r="F13454" t="s">
        <v>32664</v>
      </c>
      <c r="G13454" t="s">
        <v>32672</v>
      </c>
      <c r="H13454" t="s">
        <v>12635</v>
      </c>
      <c r="I13454" t="s">
        <v>7429</v>
      </c>
      <c r="J13454" t="s">
        <v>40811</v>
      </c>
      <c r="K13454" t="s">
        <v>42283</v>
      </c>
      <c r="M13454" t="s">
        <v>43823</v>
      </c>
      <c r="N13454" t="s">
        <v>46569</v>
      </c>
      <c r="O13454" t="s">
        <v>46570</v>
      </c>
      <c r="P13454">
        <v>0</v>
      </c>
      <c r="Q13454">
        <v>8</v>
      </c>
      <c r="R13454" t="s">
        <v>46586</v>
      </c>
      <c r="S13454" t="s">
        <v>47252</v>
      </c>
      <c r="T13454" t="s">
        <v>48228</v>
      </c>
      <c r="U13454" t="s">
        <v>59579</v>
      </c>
      <c r="V13454" t="s">
        <v>61922</v>
      </c>
      <c r="W13454" t="s">
        <v>43823</v>
      </c>
      <c r="X13454" t="s">
        <v>46588</v>
      </c>
    </row>
    <row r="13455" spans="1:24">
      <c r="A13455">
        <f>HYPERLINK("https://www.philgeps.gov.ph/GEPSNONPILOT/Tender/SplashBidNoticeAbstractUI.aspx?menuIndex=3&amp;refID=7035293&amp;Result=3","7035293")</f>
        <v>0</v>
      </c>
      <c r="B13455" t="s">
        <v>2406</v>
      </c>
      <c r="C13455" t="s">
        <v>16305</v>
      </c>
      <c r="D13455" t="s">
        <v>18790</v>
      </c>
      <c r="E13455" t="s">
        <v>19246</v>
      </c>
      <c r="F13455" t="s">
        <v>32664</v>
      </c>
      <c r="G13455" t="s">
        <v>32672</v>
      </c>
      <c r="H13455" t="s">
        <v>12635</v>
      </c>
      <c r="I13455" t="s">
        <v>32689</v>
      </c>
      <c r="J13455" t="s">
        <v>33126</v>
      </c>
      <c r="K13455" t="s">
        <v>42281</v>
      </c>
      <c r="M13455" t="s">
        <v>45197</v>
      </c>
      <c r="N13455" t="s">
        <v>46569</v>
      </c>
      <c r="O13455" t="s">
        <v>46570</v>
      </c>
      <c r="P13455">
        <v>0</v>
      </c>
      <c r="Q13455">
        <v>1</v>
      </c>
      <c r="R13455" t="s">
        <v>46586</v>
      </c>
      <c r="S13455" t="s">
        <v>47252</v>
      </c>
      <c r="T13455" t="s">
        <v>48293</v>
      </c>
      <c r="U13455" t="s">
        <v>59580</v>
      </c>
      <c r="W13455" t="s">
        <v>45197</v>
      </c>
      <c r="X13455" t="s">
        <v>46587</v>
      </c>
    </row>
    <row r="13456" spans="1:24">
      <c r="A13456">
        <f>HYPERLINK("https://www.philgeps.gov.ph/GEPSNONPILOT/Tender/SplashBidNoticeAbstractUI.aspx?menuIndex=3&amp;refID=7040693&amp;Result=3","7040693")</f>
        <v>0</v>
      </c>
      <c r="B13456" t="s">
        <v>1608</v>
      </c>
      <c r="C13456" t="s">
        <v>16306</v>
      </c>
      <c r="D13456" t="s">
        <v>18804</v>
      </c>
      <c r="E13456" t="s">
        <v>30459</v>
      </c>
      <c r="F13456" t="s">
        <v>32664</v>
      </c>
      <c r="G13456" t="s">
        <v>32672</v>
      </c>
      <c r="H13456" t="s">
        <v>12635</v>
      </c>
      <c r="I13456" t="s">
        <v>11464</v>
      </c>
      <c r="J13456" t="s">
        <v>33128</v>
      </c>
      <c r="K13456" t="s">
        <v>42281</v>
      </c>
      <c r="M13456" t="s">
        <v>44287</v>
      </c>
      <c r="N13456" t="s">
        <v>46569</v>
      </c>
      <c r="O13456" t="s">
        <v>46570</v>
      </c>
      <c r="P13456">
        <v>0</v>
      </c>
      <c r="Q13456">
        <v>1</v>
      </c>
      <c r="R13456" t="s">
        <v>46585</v>
      </c>
      <c r="S13456" t="s">
        <v>47146</v>
      </c>
      <c r="T13456" t="s">
        <v>48305</v>
      </c>
      <c r="U13456" t="s">
        <v>59581</v>
      </c>
      <c r="V13456" t="s">
        <v>62716</v>
      </c>
      <c r="W13456" t="s">
        <v>44287</v>
      </c>
      <c r="X13456" t="s">
        <v>46586</v>
      </c>
    </row>
    <row r="13457" spans="1:24">
      <c r="A13457">
        <f>HYPERLINK("https://www.philgeps.gov.ph/GEPSNONPILOT/Tender/SplashBidNoticeAbstractUI.aspx?menuIndex=3&amp;refID=7035257&amp;Result=3","7035257")</f>
        <v>0</v>
      </c>
      <c r="B13457" t="s">
        <v>1853</v>
      </c>
      <c r="C13457" t="s">
        <v>16307</v>
      </c>
      <c r="D13457" t="s">
        <v>18785</v>
      </c>
      <c r="E13457" t="s">
        <v>30460</v>
      </c>
      <c r="F13457" t="s">
        <v>32664</v>
      </c>
      <c r="G13457" t="s">
        <v>32672</v>
      </c>
      <c r="H13457" t="s">
        <v>32683</v>
      </c>
      <c r="I13457" t="s">
        <v>10627</v>
      </c>
      <c r="J13457" t="s">
        <v>40812</v>
      </c>
      <c r="K13457" t="s">
        <v>42308</v>
      </c>
      <c r="M13457" t="s">
        <v>44564</v>
      </c>
      <c r="N13457" t="s">
        <v>46569</v>
      </c>
      <c r="O13457" t="s">
        <v>46570</v>
      </c>
      <c r="P13457">
        <v>0</v>
      </c>
      <c r="Q13457">
        <v>2</v>
      </c>
      <c r="R13457" t="s">
        <v>46586</v>
      </c>
      <c r="S13457" t="s">
        <v>47252</v>
      </c>
      <c r="T13457" t="s">
        <v>48293</v>
      </c>
      <c r="U13457" t="s">
        <v>59582</v>
      </c>
      <c r="W13457" t="s">
        <v>44564</v>
      </c>
      <c r="X13457" t="s">
        <v>46588</v>
      </c>
    </row>
    <row r="13458" spans="1:24">
      <c r="A13458">
        <f>HYPERLINK("https://www.philgeps.gov.ph/GEPSNONPILOT/Tender/SplashBidNoticeAbstractUI.aspx?menuIndex=3&amp;refID=7034867&amp;Result=3","7034867")</f>
        <v>0</v>
      </c>
      <c r="B13458" t="s">
        <v>3211</v>
      </c>
      <c r="C13458" t="s">
        <v>16308</v>
      </c>
      <c r="D13458" t="s">
        <v>18784</v>
      </c>
      <c r="E13458" t="s">
        <v>30461</v>
      </c>
      <c r="F13458" t="s">
        <v>32664</v>
      </c>
      <c r="G13458" t="s">
        <v>32672</v>
      </c>
      <c r="H13458" t="s">
        <v>12635</v>
      </c>
      <c r="I13458" t="s">
        <v>32692</v>
      </c>
      <c r="J13458" t="s">
        <v>34487</v>
      </c>
      <c r="K13458" t="s">
        <v>42284</v>
      </c>
      <c r="M13458" t="s">
        <v>46268</v>
      </c>
      <c r="N13458" t="s">
        <v>46569</v>
      </c>
      <c r="O13458" t="s">
        <v>46570</v>
      </c>
      <c r="P13458">
        <v>0</v>
      </c>
      <c r="Q13458">
        <v>1</v>
      </c>
      <c r="R13458" t="s">
        <v>46586</v>
      </c>
      <c r="S13458" t="s">
        <v>47252</v>
      </c>
      <c r="T13458" t="s">
        <v>48244</v>
      </c>
      <c r="U13458" t="s">
        <v>59583</v>
      </c>
      <c r="W13458" t="s">
        <v>46268</v>
      </c>
      <c r="X13458" t="s">
        <v>46588</v>
      </c>
    </row>
    <row r="13459" spans="1:24">
      <c r="A13459">
        <f>HYPERLINK("https://www.philgeps.gov.ph/GEPSNONPILOT/Tender/SplashBidNoticeAbstractUI.aspx?menuIndex=3&amp;refID=7035253&amp;Result=3","7035253")</f>
        <v>0</v>
      </c>
      <c r="B13459" t="s">
        <v>1853</v>
      </c>
      <c r="C13459" t="s">
        <v>16309</v>
      </c>
      <c r="D13459" t="s">
        <v>18785</v>
      </c>
      <c r="E13459" t="s">
        <v>30462</v>
      </c>
      <c r="F13459" t="s">
        <v>32664</v>
      </c>
      <c r="G13459" t="s">
        <v>32672</v>
      </c>
      <c r="H13459" t="s">
        <v>32683</v>
      </c>
      <c r="I13459" t="s">
        <v>10627</v>
      </c>
      <c r="J13459" t="s">
        <v>40813</v>
      </c>
      <c r="K13459" t="s">
        <v>42281</v>
      </c>
      <c r="M13459" t="s">
        <v>44564</v>
      </c>
      <c r="N13459" t="s">
        <v>46569</v>
      </c>
      <c r="O13459" t="s">
        <v>46570</v>
      </c>
      <c r="P13459">
        <v>0</v>
      </c>
      <c r="Q13459">
        <v>2</v>
      </c>
      <c r="R13459" t="s">
        <v>46586</v>
      </c>
      <c r="S13459" t="s">
        <v>47252</v>
      </c>
      <c r="T13459" t="s">
        <v>48293</v>
      </c>
      <c r="U13459" t="s">
        <v>59584</v>
      </c>
      <c r="W13459" t="s">
        <v>44564</v>
      </c>
      <c r="X13459" t="s">
        <v>46588</v>
      </c>
    </row>
    <row r="13460" spans="1:24">
      <c r="A13460">
        <f>HYPERLINK("https://www.philgeps.gov.ph/GEPSNONPILOT/Tender/SplashBidNoticeAbstractUI.aspx?menuIndex=3&amp;refID=7035054&amp;Result=3","7035054")</f>
        <v>0</v>
      </c>
      <c r="B13460" t="s">
        <v>2917</v>
      </c>
      <c r="C13460" t="s">
        <v>16310</v>
      </c>
      <c r="D13460" t="s">
        <v>18781</v>
      </c>
      <c r="E13460" t="s">
        <v>30463</v>
      </c>
      <c r="F13460" t="s">
        <v>32664</v>
      </c>
      <c r="G13460" t="s">
        <v>32672</v>
      </c>
      <c r="H13460" t="s">
        <v>32683</v>
      </c>
      <c r="I13460" t="s">
        <v>10627</v>
      </c>
      <c r="J13460" t="s">
        <v>32837</v>
      </c>
      <c r="K13460" t="s">
        <v>42311</v>
      </c>
      <c r="M13460" t="s">
        <v>45770</v>
      </c>
      <c r="N13460" t="s">
        <v>46569</v>
      </c>
      <c r="O13460" t="s">
        <v>46570</v>
      </c>
      <c r="P13460">
        <v>0</v>
      </c>
      <c r="Q13460">
        <v>0</v>
      </c>
      <c r="R13460" t="s">
        <v>46586</v>
      </c>
      <c r="S13460" t="s">
        <v>47252</v>
      </c>
      <c r="T13460" t="s">
        <v>48305</v>
      </c>
      <c r="U13460" t="s">
        <v>59585</v>
      </c>
      <c r="W13460" t="s">
        <v>45770</v>
      </c>
      <c r="X13460" t="s">
        <v>46588</v>
      </c>
    </row>
    <row r="13461" spans="1:24">
      <c r="A13461">
        <f>HYPERLINK("https://www.philgeps.gov.ph/GEPSNONPILOT/Tender/SplashBidNoticeAbstractUI.aspx?menuIndex=3&amp;refID=7035239&amp;Result=3","7035239")</f>
        <v>0</v>
      </c>
      <c r="B13461" t="s">
        <v>1853</v>
      </c>
      <c r="C13461" t="s">
        <v>16311</v>
      </c>
      <c r="D13461" t="s">
        <v>18785</v>
      </c>
      <c r="E13461" t="s">
        <v>30464</v>
      </c>
      <c r="F13461" t="s">
        <v>32664</v>
      </c>
      <c r="G13461" t="s">
        <v>32672</v>
      </c>
      <c r="H13461" t="s">
        <v>12635</v>
      </c>
      <c r="I13461" t="s">
        <v>32699</v>
      </c>
      <c r="J13461" t="s">
        <v>40814</v>
      </c>
      <c r="K13461" t="s">
        <v>42330</v>
      </c>
      <c r="M13461" t="s">
        <v>44564</v>
      </c>
      <c r="N13461" t="s">
        <v>46569</v>
      </c>
      <c r="O13461" t="s">
        <v>46570</v>
      </c>
      <c r="P13461">
        <v>0</v>
      </c>
      <c r="Q13461">
        <v>2</v>
      </c>
      <c r="R13461" t="s">
        <v>46586</v>
      </c>
      <c r="S13461" t="s">
        <v>47252</v>
      </c>
      <c r="T13461" t="s">
        <v>48293</v>
      </c>
      <c r="U13461" t="s">
        <v>59586</v>
      </c>
      <c r="W13461" t="s">
        <v>44564</v>
      </c>
      <c r="X13461" t="s">
        <v>46588</v>
      </c>
    </row>
    <row r="13462" spans="1:24">
      <c r="A13462">
        <f>HYPERLINK("https://www.philgeps.gov.ph/GEPSNONPILOT/Tender/SplashBidNoticeAbstractUI.aspx?menuIndex=3&amp;refID=7035228&amp;Result=3","7035228")</f>
        <v>0</v>
      </c>
      <c r="B13462" t="s">
        <v>1853</v>
      </c>
      <c r="C13462" t="s">
        <v>16312</v>
      </c>
      <c r="D13462" t="s">
        <v>18785</v>
      </c>
      <c r="E13462" t="s">
        <v>30465</v>
      </c>
      <c r="F13462" t="s">
        <v>32664</v>
      </c>
      <c r="G13462" t="s">
        <v>32672</v>
      </c>
      <c r="H13462" t="s">
        <v>12635</v>
      </c>
      <c r="I13462" t="s">
        <v>32708</v>
      </c>
      <c r="J13462" t="s">
        <v>40815</v>
      </c>
      <c r="K13462" t="s">
        <v>42284</v>
      </c>
      <c r="M13462" t="s">
        <v>44564</v>
      </c>
      <c r="N13462" t="s">
        <v>46569</v>
      </c>
      <c r="O13462" t="s">
        <v>46570</v>
      </c>
      <c r="P13462">
        <v>0</v>
      </c>
      <c r="Q13462">
        <v>4</v>
      </c>
      <c r="R13462" t="s">
        <v>46586</v>
      </c>
      <c r="S13462" t="s">
        <v>47252</v>
      </c>
      <c r="T13462" t="s">
        <v>48293</v>
      </c>
      <c r="U13462" t="s">
        <v>59587</v>
      </c>
      <c r="W13462" t="s">
        <v>44564</v>
      </c>
      <c r="X13462" t="s">
        <v>46588</v>
      </c>
    </row>
    <row r="13463" spans="1:24">
      <c r="A13463">
        <f>HYPERLINK("https://www.philgeps.gov.ph/GEPSNONPILOT/Tender/SplashBidNoticeAbstractUI.aspx?menuIndex=3&amp;refID=7035270&amp;Result=3","7035270")</f>
        <v>0</v>
      </c>
      <c r="B13463" t="s">
        <v>1853</v>
      </c>
      <c r="C13463" t="s">
        <v>16313</v>
      </c>
      <c r="D13463" t="s">
        <v>18785</v>
      </c>
      <c r="E13463" t="s">
        <v>30369</v>
      </c>
      <c r="F13463" t="s">
        <v>32664</v>
      </c>
      <c r="G13463" t="s">
        <v>32672</v>
      </c>
      <c r="H13463" t="s">
        <v>32683</v>
      </c>
      <c r="I13463" t="s">
        <v>10627</v>
      </c>
      <c r="J13463" t="s">
        <v>40816</v>
      </c>
      <c r="K13463" t="s">
        <v>42311</v>
      </c>
      <c r="M13463" t="s">
        <v>44564</v>
      </c>
      <c r="N13463" t="s">
        <v>46569</v>
      </c>
      <c r="O13463" t="s">
        <v>46570</v>
      </c>
      <c r="P13463">
        <v>0</v>
      </c>
      <c r="Q13463">
        <v>2</v>
      </c>
      <c r="R13463" t="s">
        <v>46586</v>
      </c>
      <c r="S13463" t="s">
        <v>47252</v>
      </c>
      <c r="T13463" t="s">
        <v>48293</v>
      </c>
      <c r="U13463" t="s">
        <v>59588</v>
      </c>
      <c r="W13463" t="s">
        <v>44564</v>
      </c>
      <c r="X13463" t="s">
        <v>46588</v>
      </c>
    </row>
    <row r="13464" spans="1:24">
      <c r="A13464">
        <f>HYPERLINK("https://www.philgeps.gov.ph/GEPSNONPILOT/Tender/SplashBidNoticeAbstractUI.aspx?menuIndex=3&amp;refID=7035216&amp;Result=3","7035216")</f>
        <v>0</v>
      </c>
      <c r="B13464" t="s">
        <v>1853</v>
      </c>
      <c r="C13464" t="s">
        <v>16314</v>
      </c>
      <c r="D13464" t="s">
        <v>18785</v>
      </c>
      <c r="E13464" t="s">
        <v>30466</v>
      </c>
      <c r="F13464" t="s">
        <v>32664</v>
      </c>
      <c r="G13464" t="s">
        <v>32672</v>
      </c>
      <c r="H13464" t="s">
        <v>12635</v>
      </c>
      <c r="I13464" t="s">
        <v>6223</v>
      </c>
      <c r="J13464" t="s">
        <v>40817</v>
      </c>
      <c r="K13464" t="s">
        <v>42325</v>
      </c>
      <c r="M13464" t="s">
        <v>44564</v>
      </c>
      <c r="N13464" t="s">
        <v>46569</v>
      </c>
      <c r="O13464" t="s">
        <v>46570</v>
      </c>
      <c r="P13464">
        <v>0</v>
      </c>
      <c r="Q13464">
        <v>3</v>
      </c>
      <c r="R13464" t="s">
        <v>46586</v>
      </c>
      <c r="S13464" t="s">
        <v>47252</v>
      </c>
      <c r="T13464" t="s">
        <v>48293</v>
      </c>
      <c r="U13464" t="s">
        <v>59589</v>
      </c>
      <c r="W13464" t="s">
        <v>44564</v>
      </c>
      <c r="X13464" t="s">
        <v>46588</v>
      </c>
    </row>
    <row r="13465" spans="1:24">
      <c r="A13465">
        <f>HYPERLINK("https://www.philgeps.gov.ph/GEPSNONPILOT/Tender/SplashBidNoticeAbstractUI.aspx?menuIndex=3&amp;refID=7023579&amp;Result=3","7023579")</f>
        <v>0</v>
      </c>
      <c r="B13465" t="s">
        <v>596</v>
      </c>
      <c r="C13465" t="s">
        <v>16315</v>
      </c>
      <c r="D13465" t="s">
        <v>18837</v>
      </c>
      <c r="E13465" t="s">
        <v>30467</v>
      </c>
      <c r="F13465" t="s">
        <v>32664</v>
      </c>
      <c r="G13465" t="s">
        <v>32672</v>
      </c>
      <c r="H13465" t="s">
        <v>12635</v>
      </c>
      <c r="I13465" t="s">
        <v>32708</v>
      </c>
      <c r="J13465" t="s">
        <v>35119</v>
      </c>
      <c r="K13465" t="s">
        <v>42305</v>
      </c>
      <c r="M13465" t="s">
        <v>43176</v>
      </c>
      <c r="N13465" t="s">
        <v>46569</v>
      </c>
      <c r="O13465" t="s">
        <v>46570</v>
      </c>
      <c r="P13465">
        <v>0</v>
      </c>
      <c r="Q13465">
        <v>16</v>
      </c>
      <c r="R13465" t="s">
        <v>46586</v>
      </c>
      <c r="S13465" t="s">
        <v>47252</v>
      </c>
      <c r="T13465" t="s">
        <v>48602</v>
      </c>
      <c r="U13465" t="s">
        <v>59590</v>
      </c>
      <c r="V13465" t="s">
        <v>63109</v>
      </c>
      <c r="W13465" t="s">
        <v>43176</v>
      </c>
      <c r="X13465" t="s">
        <v>46594</v>
      </c>
    </row>
    <row r="13466" spans="1:24">
      <c r="A13466">
        <f>HYPERLINK("https://www.philgeps.gov.ph/GEPSNONPILOT/Tender/SplashBidNoticeAbstractUI.aspx?menuIndex=3&amp;refID=7035292&amp;Result=3","7035292")</f>
        <v>0</v>
      </c>
      <c r="B13466" t="s">
        <v>2406</v>
      </c>
      <c r="C13466" t="s">
        <v>16316</v>
      </c>
      <c r="D13466" t="s">
        <v>18790</v>
      </c>
      <c r="E13466" t="s">
        <v>19110</v>
      </c>
      <c r="F13466" t="s">
        <v>32664</v>
      </c>
      <c r="G13466" t="s">
        <v>32672</v>
      </c>
      <c r="H13466" t="s">
        <v>12635</v>
      </c>
      <c r="I13466" t="s">
        <v>4439</v>
      </c>
      <c r="J13466" t="s">
        <v>40818</v>
      </c>
      <c r="K13466" t="s">
        <v>42281</v>
      </c>
      <c r="M13466" t="s">
        <v>45197</v>
      </c>
      <c r="N13466" t="s">
        <v>46569</v>
      </c>
      <c r="O13466" t="s">
        <v>46570</v>
      </c>
      <c r="P13466">
        <v>0</v>
      </c>
      <c r="Q13466">
        <v>0</v>
      </c>
      <c r="R13466" t="s">
        <v>46586</v>
      </c>
      <c r="S13466" t="s">
        <v>47252</v>
      </c>
      <c r="T13466" t="s">
        <v>48293</v>
      </c>
      <c r="U13466" t="s">
        <v>59591</v>
      </c>
      <c r="W13466" t="s">
        <v>45197</v>
      </c>
      <c r="X13466" t="s">
        <v>46587</v>
      </c>
    </row>
    <row r="13467" spans="1:24">
      <c r="A13467">
        <f>HYPERLINK("https://www.philgeps.gov.ph/GEPSNONPILOT/Tender/SplashBidNoticeAbstractUI.aspx?menuIndex=3&amp;refID=7035196&amp;Result=3","7035196")</f>
        <v>0</v>
      </c>
      <c r="B13467" t="s">
        <v>3272</v>
      </c>
      <c r="C13467" t="s">
        <v>16317</v>
      </c>
      <c r="D13467" t="s">
        <v>18793</v>
      </c>
      <c r="E13467" t="s">
        <v>30468</v>
      </c>
      <c r="F13467" t="s">
        <v>32664</v>
      </c>
      <c r="G13467" t="s">
        <v>32672</v>
      </c>
      <c r="H13467" t="s">
        <v>32683</v>
      </c>
      <c r="I13467" t="s">
        <v>10627</v>
      </c>
      <c r="J13467" t="s">
        <v>32898</v>
      </c>
      <c r="K13467" t="s">
        <v>42281</v>
      </c>
      <c r="M13467" t="s">
        <v>46208</v>
      </c>
      <c r="N13467" t="s">
        <v>46569</v>
      </c>
      <c r="O13467" t="s">
        <v>46570</v>
      </c>
      <c r="P13467">
        <v>0</v>
      </c>
      <c r="Q13467">
        <v>1</v>
      </c>
      <c r="R13467" t="s">
        <v>46586</v>
      </c>
      <c r="S13467" t="s">
        <v>47252</v>
      </c>
      <c r="T13467" t="s">
        <v>48410</v>
      </c>
      <c r="U13467" t="s">
        <v>59592</v>
      </c>
      <c r="W13467" t="s">
        <v>46208</v>
      </c>
      <c r="X13467" t="s">
        <v>46588</v>
      </c>
    </row>
    <row r="13468" spans="1:24">
      <c r="A13468">
        <f>HYPERLINK("https://www.philgeps.gov.ph/GEPSNONPILOT/Tender/SplashBidNoticeAbstractUI.aspx?menuIndex=3&amp;refID=7035298&amp;Result=3","7035298")</f>
        <v>0</v>
      </c>
      <c r="B13468" t="s">
        <v>3310</v>
      </c>
      <c r="C13468" t="s">
        <v>16318</v>
      </c>
      <c r="D13468" t="s">
        <v>18831</v>
      </c>
      <c r="E13468" t="s">
        <v>30469</v>
      </c>
      <c r="F13468" t="s">
        <v>32664</v>
      </c>
      <c r="G13468" t="s">
        <v>32672</v>
      </c>
      <c r="H13468" t="s">
        <v>32683</v>
      </c>
      <c r="I13468" t="s">
        <v>10627</v>
      </c>
      <c r="J13468" t="s">
        <v>33127</v>
      </c>
      <c r="K13468" t="s">
        <v>42298</v>
      </c>
      <c r="M13468" t="s">
        <v>46256</v>
      </c>
      <c r="N13468" t="s">
        <v>46569</v>
      </c>
      <c r="O13468" t="s">
        <v>46570</v>
      </c>
      <c r="P13468">
        <v>0</v>
      </c>
      <c r="Q13468">
        <v>1</v>
      </c>
      <c r="R13468" t="s">
        <v>46586</v>
      </c>
      <c r="S13468" t="s">
        <v>47252</v>
      </c>
      <c r="T13468" t="s">
        <v>48221</v>
      </c>
      <c r="U13468" t="s">
        <v>59593</v>
      </c>
      <c r="V13468" t="s">
        <v>63101</v>
      </c>
      <c r="W13468" t="s">
        <v>46256</v>
      </c>
      <c r="X13468" t="s">
        <v>46587</v>
      </c>
    </row>
    <row r="13469" spans="1:24">
      <c r="A13469">
        <f>HYPERLINK("https://www.philgeps.gov.ph/GEPSNONPILOT/Tender/SplashBidNoticeAbstractUI.aspx?menuIndex=3&amp;refID=7035406&amp;Result=3","7035406")</f>
        <v>0</v>
      </c>
      <c r="B13469" t="s">
        <v>3211</v>
      </c>
      <c r="C13469" t="s">
        <v>16319</v>
      </c>
      <c r="D13469" t="s">
        <v>18784</v>
      </c>
      <c r="E13469" t="s">
        <v>30470</v>
      </c>
      <c r="F13469" t="s">
        <v>32664</v>
      </c>
      <c r="G13469" t="s">
        <v>32672</v>
      </c>
      <c r="H13469" t="s">
        <v>12635</v>
      </c>
      <c r="I13469" t="s">
        <v>32692</v>
      </c>
      <c r="J13469" t="s">
        <v>34487</v>
      </c>
      <c r="K13469" t="s">
        <v>42284</v>
      </c>
      <c r="M13469" t="s">
        <v>46268</v>
      </c>
      <c r="N13469" t="s">
        <v>46569</v>
      </c>
      <c r="O13469" t="s">
        <v>46570</v>
      </c>
      <c r="P13469">
        <v>0</v>
      </c>
      <c r="Q13469">
        <v>0</v>
      </c>
      <c r="R13469" t="s">
        <v>46586</v>
      </c>
      <c r="S13469" t="s">
        <v>47252</v>
      </c>
      <c r="T13469" t="s">
        <v>48244</v>
      </c>
      <c r="U13469" t="s">
        <v>59594</v>
      </c>
      <c r="W13469" t="s">
        <v>46268</v>
      </c>
      <c r="X13469" t="s">
        <v>46587</v>
      </c>
    </row>
    <row r="13470" spans="1:24">
      <c r="A13470">
        <f>HYPERLINK("https://www.philgeps.gov.ph/GEPSNONPILOT/Tender/SplashBidNoticeAbstractUI.aspx?menuIndex=3&amp;refID=7035225&amp;Result=3","7035225")</f>
        <v>0</v>
      </c>
      <c r="B13470" t="s">
        <v>1853</v>
      </c>
      <c r="C13470" t="s">
        <v>16320</v>
      </c>
      <c r="D13470" t="s">
        <v>18785</v>
      </c>
      <c r="E13470" t="s">
        <v>30471</v>
      </c>
      <c r="F13470" t="s">
        <v>32664</v>
      </c>
      <c r="G13470" t="s">
        <v>32672</v>
      </c>
      <c r="H13470" t="s">
        <v>12635</v>
      </c>
      <c r="I13470" t="s">
        <v>32708</v>
      </c>
      <c r="J13470" t="s">
        <v>32837</v>
      </c>
      <c r="K13470" t="s">
        <v>42284</v>
      </c>
      <c r="M13470" t="s">
        <v>44564</v>
      </c>
      <c r="N13470" t="s">
        <v>46569</v>
      </c>
      <c r="O13470" t="s">
        <v>46570</v>
      </c>
      <c r="P13470">
        <v>0</v>
      </c>
      <c r="Q13470">
        <v>8</v>
      </c>
      <c r="R13470" t="s">
        <v>46586</v>
      </c>
      <c r="S13470" t="s">
        <v>47252</v>
      </c>
      <c r="T13470" t="s">
        <v>48293</v>
      </c>
      <c r="U13470" t="s">
        <v>59595</v>
      </c>
      <c r="W13470" t="s">
        <v>44564</v>
      </c>
      <c r="X13470" t="s">
        <v>46588</v>
      </c>
    </row>
    <row r="13471" spans="1:24">
      <c r="A13471">
        <f>HYPERLINK("https://www.philgeps.gov.ph/GEPSNONPILOT/Tender/SplashBidNoticeAbstractUI.aspx?menuIndex=3&amp;refID=7035398&amp;Result=3","7035398")</f>
        <v>0</v>
      </c>
      <c r="B13471" t="s">
        <v>2465</v>
      </c>
      <c r="C13471" t="s">
        <v>16321</v>
      </c>
      <c r="D13471" t="s">
        <v>18831</v>
      </c>
      <c r="E13471" t="s">
        <v>30472</v>
      </c>
      <c r="F13471" t="s">
        <v>32664</v>
      </c>
      <c r="G13471" t="s">
        <v>32672</v>
      </c>
      <c r="H13471" t="s">
        <v>32683</v>
      </c>
      <c r="I13471" t="s">
        <v>10627</v>
      </c>
      <c r="J13471" t="s">
        <v>40819</v>
      </c>
      <c r="K13471" t="s">
        <v>42316</v>
      </c>
      <c r="M13471" t="s">
        <v>45262</v>
      </c>
      <c r="N13471" t="s">
        <v>46569</v>
      </c>
      <c r="O13471" t="s">
        <v>46570</v>
      </c>
      <c r="P13471">
        <v>0</v>
      </c>
      <c r="Q13471">
        <v>1</v>
      </c>
      <c r="R13471" t="s">
        <v>46586</v>
      </c>
      <c r="S13471" t="s">
        <v>47252</v>
      </c>
      <c r="T13471" t="s">
        <v>48278</v>
      </c>
      <c r="U13471" t="s">
        <v>59596</v>
      </c>
      <c r="W13471" t="s">
        <v>45262</v>
      </c>
      <c r="X13471" t="s">
        <v>46587</v>
      </c>
    </row>
    <row r="13472" spans="1:24">
      <c r="A13472">
        <f>HYPERLINK("https://www.philgeps.gov.ph/GEPSNONPILOT/Tender/SplashBidNoticeAbstractUI.aspx?menuIndex=3&amp;refID=7035223&amp;Result=3","7035223")</f>
        <v>0</v>
      </c>
      <c r="B13472" t="s">
        <v>1853</v>
      </c>
      <c r="C13472" t="s">
        <v>16322</v>
      </c>
      <c r="D13472" t="s">
        <v>18785</v>
      </c>
      <c r="E13472" t="s">
        <v>30473</v>
      </c>
      <c r="F13472" t="s">
        <v>32664</v>
      </c>
      <c r="G13472" t="s">
        <v>32672</v>
      </c>
      <c r="H13472" t="s">
        <v>12635</v>
      </c>
      <c r="I13472" t="s">
        <v>9597</v>
      </c>
      <c r="J13472" t="s">
        <v>40820</v>
      </c>
      <c r="K13472" t="s">
        <v>42281</v>
      </c>
      <c r="M13472" t="s">
        <v>44564</v>
      </c>
      <c r="N13472" t="s">
        <v>46569</v>
      </c>
      <c r="O13472" t="s">
        <v>46570</v>
      </c>
      <c r="P13472">
        <v>0</v>
      </c>
      <c r="Q13472">
        <v>8</v>
      </c>
      <c r="R13472" t="s">
        <v>46586</v>
      </c>
      <c r="S13472" t="s">
        <v>47252</v>
      </c>
      <c r="T13472" t="s">
        <v>48293</v>
      </c>
      <c r="U13472" t="s">
        <v>59597</v>
      </c>
      <c r="W13472" t="s">
        <v>44564</v>
      </c>
      <c r="X13472" t="s">
        <v>46588</v>
      </c>
    </row>
    <row r="13473" spans="1:24">
      <c r="A13473">
        <f>HYPERLINK("https://www.philgeps.gov.ph/GEPSNONPILOT/Tender/SplashBidNoticeAbstractUI.aspx?menuIndex=3&amp;refID=7035391&amp;Result=3","7035391")</f>
        <v>0</v>
      </c>
      <c r="B13473" t="s">
        <v>2849</v>
      </c>
      <c r="C13473" t="s">
        <v>16323</v>
      </c>
      <c r="D13473" t="s">
        <v>18807</v>
      </c>
      <c r="E13473" t="s">
        <v>21636</v>
      </c>
      <c r="F13473" t="s">
        <v>32664</v>
      </c>
      <c r="G13473" t="s">
        <v>32672</v>
      </c>
      <c r="H13473" t="s">
        <v>32683</v>
      </c>
      <c r="I13473" t="s">
        <v>10627</v>
      </c>
      <c r="J13473" t="s">
        <v>34559</v>
      </c>
      <c r="K13473" t="s">
        <v>42308</v>
      </c>
      <c r="M13473" t="s">
        <v>45697</v>
      </c>
      <c r="N13473" t="s">
        <v>46569</v>
      </c>
      <c r="O13473" t="s">
        <v>46570</v>
      </c>
      <c r="P13473">
        <v>0</v>
      </c>
      <c r="Q13473">
        <v>2</v>
      </c>
      <c r="R13473" t="s">
        <v>46586</v>
      </c>
      <c r="S13473" t="s">
        <v>47252</v>
      </c>
      <c r="T13473" t="s">
        <v>48282</v>
      </c>
      <c r="U13473" t="s">
        <v>59598</v>
      </c>
      <c r="V13473" t="s">
        <v>63117</v>
      </c>
      <c r="W13473" t="s">
        <v>45697</v>
      </c>
      <c r="X13473" t="s">
        <v>46587</v>
      </c>
    </row>
    <row r="13474" spans="1:24">
      <c r="A13474">
        <f>HYPERLINK("https://www.philgeps.gov.ph/GEPSNONPILOT/Tender/SplashBidNoticeAbstractUI.aspx?menuIndex=3&amp;refID=7035057&amp;Result=3","7035057")</f>
        <v>0</v>
      </c>
      <c r="B13474" t="s">
        <v>2917</v>
      </c>
      <c r="C13474" t="s">
        <v>16324</v>
      </c>
      <c r="D13474" t="s">
        <v>18781</v>
      </c>
      <c r="E13474" t="s">
        <v>30474</v>
      </c>
      <c r="F13474" t="s">
        <v>32664</v>
      </c>
      <c r="G13474" t="s">
        <v>32672</v>
      </c>
      <c r="H13474" t="s">
        <v>32683</v>
      </c>
      <c r="I13474" t="s">
        <v>10627</v>
      </c>
      <c r="J13474" t="s">
        <v>32837</v>
      </c>
      <c r="K13474" t="s">
        <v>42311</v>
      </c>
      <c r="M13474" t="s">
        <v>45770</v>
      </c>
      <c r="N13474" t="s">
        <v>46569</v>
      </c>
      <c r="O13474" t="s">
        <v>46570</v>
      </c>
      <c r="P13474">
        <v>0</v>
      </c>
      <c r="Q13474">
        <v>1</v>
      </c>
      <c r="R13474" t="s">
        <v>46586</v>
      </c>
      <c r="S13474" t="s">
        <v>47252</v>
      </c>
      <c r="T13474" t="s">
        <v>48305</v>
      </c>
      <c r="U13474" t="s">
        <v>59599</v>
      </c>
      <c r="W13474" t="s">
        <v>45770</v>
      </c>
      <c r="X13474" t="s">
        <v>46588</v>
      </c>
    </row>
    <row r="13475" spans="1:24">
      <c r="A13475">
        <f>HYPERLINK("https://www.philgeps.gov.ph/GEPSNONPILOT/Tender/SplashBidNoticeAbstractUI.aspx?menuIndex=3&amp;refID=7035387&amp;Result=3","7035387")</f>
        <v>0</v>
      </c>
      <c r="B13475" t="s">
        <v>460</v>
      </c>
      <c r="C13475" t="s">
        <v>16325</v>
      </c>
      <c r="D13475" t="s">
        <v>18806</v>
      </c>
      <c r="E13475" t="s">
        <v>30475</v>
      </c>
      <c r="F13475" t="s">
        <v>32664</v>
      </c>
      <c r="G13475" t="s">
        <v>32672</v>
      </c>
      <c r="H13475" t="s">
        <v>12635</v>
      </c>
      <c r="I13475" t="s">
        <v>6628</v>
      </c>
      <c r="J13475" t="s">
        <v>32853</v>
      </c>
      <c r="K13475" t="s">
        <v>42330</v>
      </c>
      <c r="M13475" t="s">
        <v>43035</v>
      </c>
      <c r="N13475" t="s">
        <v>46569</v>
      </c>
      <c r="O13475" t="s">
        <v>46570</v>
      </c>
      <c r="Q13475">
        <v>5</v>
      </c>
      <c r="R13475" t="s">
        <v>46586</v>
      </c>
      <c r="S13475" t="s">
        <v>47267</v>
      </c>
      <c r="T13475" t="s">
        <v>48285</v>
      </c>
      <c r="U13475" t="s">
        <v>59600</v>
      </c>
      <c r="V13475" t="s">
        <v>61876</v>
      </c>
      <c r="W13475" t="s">
        <v>43035</v>
      </c>
      <c r="X13475" t="s">
        <v>46587</v>
      </c>
    </row>
    <row r="13476" spans="1:24">
      <c r="A13476">
        <f>HYPERLINK("https://www.philgeps.gov.ph/GEPSNONPILOT/Tender/SplashBidNoticeAbstractUI.aspx?menuIndex=3&amp;refID=7034833&amp;Result=3","7034833")</f>
        <v>0</v>
      </c>
      <c r="B13476" t="s">
        <v>3211</v>
      </c>
      <c r="C13476" t="s">
        <v>16326</v>
      </c>
      <c r="D13476" t="s">
        <v>18784</v>
      </c>
      <c r="E13476" t="s">
        <v>30476</v>
      </c>
      <c r="F13476" t="s">
        <v>32664</v>
      </c>
      <c r="G13476" t="s">
        <v>32672</v>
      </c>
      <c r="H13476" t="s">
        <v>32683</v>
      </c>
      <c r="I13476" t="s">
        <v>10627</v>
      </c>
      <c r="J13476" t="s">
        <v>40821</v>
      </c>
      <c r="K13476" t="s">
        <v>42311</v>
      </c>
      <c r="M13476" t="s">
        <v>46268</v>
      </c>
      <c r="N13476" t="s">
        <v>46569</v>
      </c>
      <c r="O13476" t="s">
        <v>46570</v>
      </c>
      <c r="P13476">
        <v>0</v>
      </c>
      <c r="Q13476">
        <v>3</v>
      </c>
      <c r="R13476" t="s">
        <v>46586</v>
      </c>
      <c r="S13476" t="s">
        <v>47252</v>
      </c>
      <c r="T13476" t="s">
        <v>48244</v>
      </c>
      <c r="U13476" t="s">
        <v>59601</v>
      </c>
      <c r="W13476" t="s">
        <v>46268</v>
      </c>
      <c r="X13476" t="s">
        <v>46588</v>
      </c>
    </row>
    <row r="13477" spans="1:24">
      <c r="A13477">
        <f>HYPERLINK("https://www.philgeps.gov.ph/GEPSNONPILOT/Tender/SplashBidNoticeAbstractUI.aspx?menuIndex=3&amp;refID=7035399&amp;Result=3","7035399")</f>
        <v>0</v>
      </c>
      <c r="B13477" t="s">
        <v>393</v>
      </c>
      <c r="C13477" t="s">
        <v>16327</v>
      </c>
      <c r="D13477" t="s">
        <v>18853</v>
      </c>
      <c r="E13477" t="s">
        <v>30477</v>
      </c>
      <c r="F13477" t="s">
        <v>32664</v>
      </c>
      <c r="G13477" t="s">
        <v>32672</v>
      </c>
      <c r="H13477" t="s">
        <v>32683</v>
      </c>
      <c r="I13477" t="s">
        <v>10627</v>
      </c>
      <c r="J13477" t="s">
        <v>33084</v>
      </c>
      <c r="K13477" t="s">
        <v>42290</v>
      </c>
      <c r="L13477" t="s">
        <v>393</v>
      </c>
      <c r="M13477" t="s">
        <v>42963</v>
      </c>
      <c r="N13477" t="s">
        <v>46569</v>
      </c>
      <c r="O13477" t="s">
        <v>46570</v>
      </c>
      <c r="P13477">
        <v>0</v>
      </c>
      <c r="Q13477">
        <v>0</v>
      </c>
      <c r="R13477" t="s">
        <v>46586</v>
      </c>
      <c r="S13477" t="s">
        <v>47252</v>
      </c>
      <c r="T13477" t="s">
        <v>48221</v>
      </c>
      <c r="U13477" t="s">
        <v>59602</v>
      </c>
      <c r="V13477" t="s">
        <v>63118</v>
      </c>
      <c r="W13477" t="s">
        <v>42963</v>
      </c>
      <c r="X13477" t="s">
        <v>46587</v>
      </c>
    </row>
    <row r="13478" spans="1:24">
      <c r="A13478">
        <f>HYPERLINK("https://www.philgeps.gov.ph/GEPSNONPILOT/Tender/SplashBidNoticeAbstractUI.aspx?menuIndex=3&amp;refID=7035396&amp;Result=3","7035396")</f>
        <v>0</v>
      </c>
      <c r="B13478" t="s">
        <v>3211</v>
      </c>
      <c r="C13478" t="s">
        <v>16328</v>
      </c>
      <c r="D13478" t="s">
        <v>18784</v>
      </c>
      <c r="E13478" t="s">
        <v>30478</v>
      </c>
      <c r="F13478" t="s">
        <v>32664</v>
      </c>
      <c r="G13478" t="s">
        <v>32672</v>
      </c>
      <c r="H13478" t="s">
        <v>12635</v>
      </c>
      <c r="I13478" t="s">
        <v>6223</v>
      </c>
      <c r="J13478" t="s">
        <v>40807</v>
      </c>
      <c r="K13478" t="s">
        <v>42284</v>
      </c>
      <c r="M13478" t="s">
        <v>46268</v>
      </c>
      <c r="N13478" t="s">
        <v>46569</v>
      </c>
      <c r="O13478" t="s">
        <v>46570</v>
      </c>
      <c r="P13478">
        <v>0</v>
      </c>
      <c r="Q13478">
        <v>0</v>
      </c>
      <c r="R13478" t="s">
        <v>46586</v>
      </c>
      <c r="S13478" t="s">
        <v>47252</v>
      </c>
      <c r="T13478" t="s">
        <v>48244</v>
      </c>
      <c r="U13478" t="s">
        <v>58869</v>
      </c>
      <c r="W13478" t="s">
        <v>46268</v>
      </c>
      <c r="X13478" t="s">
        <v>46587</v>
      </c>
    </row>
    <row r="13479" spans="1:24">
      <c r="A13479">
        <f>HYPERLINK("https://www.philgeps.gov.ph/GEPSNONPILOT/Tender/SplashBidNoticeAbstractUI.aspx?menuIndex=3&amp;refID=7035354&amp;Result=3","7035354")</f>
        <v>0</v>
      </c>
      <c r="B13479" t="s">
        <v>231</v>
      </c>
      <c r="C13479" t="s">
        <v>16329</v>
      </c>
      <c r="D13479" t="s">
        <v>18845</v>
      </c>
      <c r="E13479" t="s">
        <v>30479</v>
      </c>
      <c r="F13479" t="s">
        <v>32664</v>
      </c>
      <c r="G13479" t="s">
        <v>32671</v>
      </c>
      <c r="H13479" t="s">
        <v>12635</v>
      </c>
      <c r="I13479" t="s">
        <v>32701</v>
      </c>
      <c r="J13479" t="s">
        <v>40822</v>
      </c>
      <c r="K13479" t="s">
        <v>42297</v>
      </c>
      <c r="M13479" t="s">
        <v>42795</v>
      </c>
      <c r="N13479" t="s">
        <v>46569</v>
      </c>
      <c r="O13479" t="s">
        <v>46570</v>
      </c>
      <c r="Q13479">
        <v>0</v>
      </c>
      <c r="R13479" t="s">
        <v>46586</v>
      </c>
      <c r="S13479" t="s">
        <v>47268</v>
      </c>
      <c r="T13479" t="s">
        <v>48287</v>
      </c>
      <c r="U13479" t="s">
        <v>59603</v>
      </c>
      <c r="W13479" t="s">
        <v>42795</v>
      </c>
      <c r="X13479" t="s">
        <v>46587</v>
      </c>
    </row>
    <row r="13480" spans="1:24">
      <c r="A13480">
        <f>HYPERLINK("https://www.philgeps.gov.ph/GEPSNONPILOT/Tender/SplashBidNoticeAbstractUI.aspx?menuIndex=3&amp;refID=7035382&amp;Result=3","7035382")</f>
        <v>0</v>
      </c>
      <c r="B13480" t="s">
        <v>290</v>
      </c>
      <c r="C13480" t="s">
        <v>16330</v>
      </c>
      <c r="D13480" t="s">
        <v>18840</v>
      </c>
      <c r="E13480" t="s">
        <v>30480</v>
      </c>
      <c r="F13480" t="s">
        <v>32664</v>
      </c>
      <c r="G13480" t="s">
        <v>32672</v>
      </c>
      <c r="H13480" t="s">
        <v>12635</v>
      </c>
      <c r="I13480" t="s">
        <v>32704</v>
      </c>
      <c r="J13480" t="s">
        <v>40823</v>
      </c>
      <c r="K13480" t="s">
        <v>42298</v>
      </c>
      <c r="M13480" t="s">
        <v>46271</v>
      </c>
      <c r="N13480" t="s">
        <v>46569</v>
      </c>
      <c r="O13480" t="s">
        <v>46570</v>
      </c>
      <c r="Q13480">
        <v>23</v>
      </c>
      <c r="R13480" t="s">
        <v>46586</v>
      </c>
      <c r="S13480" t="s">
        <v>47269</v>
      </c>
      <c r="T13480" t="s">
        <v>48303</v>
      </c>
      <c r="U13480" t="s">
        <v>59604</v>
      </c>
      <c r="V13480" t="s">
        <v>63119</v>
      </c>
      <c r="W13480" t="s">
        <v>46271</v>
      </c>
      <c r="X13480" t="s">
        <v>46587</v>
      </c>
    </row>
    <row r="13481" spans="1:24">
      <c r="A13481">
        <f>HYPERLINK("https://www.philgeps.gov.ph/GEPSNONPILOT/Tender/SplashBidNoticeAbstractUI.aspx?menuIndex=3&amp;refID=7035349&amp;Result=3","7035349")</f>
        <v>0</v>
      </c>
      <c r="B13481" t="s">
        <v>442</v>
      </c>
      <c r="C13481" t="s">
        <v>16331</v>
      </c>
      <c r="D13481" t="s">
        <v>18852</v>
      </c>
      <c r="E13481" t="s">
        <v>30481</v>
      </c>
      <c r="F13481" t="s">
        <v>32664</v>
      </c>
      <c r="G13481" t="s">
        <v>32672</v>
      </c>
      <c r="H13481" t="s">
        <v>32683</v>
      </c>
      <c r="I13481" t="s">
        <v>10627</v>
      </c>
      <c r="J13481" t="s">
        <v>40824</v>
      </c>
      <c r="K13481" t="s">
        <v>42323</v>
      </c>
      <c r="M13481" t="s">
        <v>43014</v>
      </c>
      <c r="N13481" t="s">
        <v>46569</v>
      </c>
      <c r="O13481" t="s">
        <v>46570</v>
      </c>
      <c r="P13481">
        <v>0</v>
      </c>
      <c r="Q13481">
        <v>1</v>
      </c>
      <c r="R13481" t="s">
        <v>46586</v>
      </c>
      <c r="S13481" t="s">
        <v>47252</v>
      </c>
      <c r="T13481" t="s">
        <v>48559</v>
      </c>
      <c r="U13481" t="s">
        <v>59605</v>
      </c>
      <c r="W13481" t="s">
        <v>43014</v>
      </c>
      <c r="X13481" t="s">
        <v>46587</v>
      </c>
    </row>
    <row r="13482" spans="1:24">
      <c r="A13482">
        <f>HYPERLINK("https://www.philgeps.gov.ph/GEPSNONPILOT/Tender/SplashBidNoticeAbstractUI.aspx?menuIndex=3&amp;refID=7035343&amp;Result=3","7035343")</f>
        <v>0</v>
      </c>
      <c r="B13482" t="s">
        <v>3321</v>
      </c>
      <c r="C13482" t="s">
        <v>16332</v>
      </c>
      <c r="D13482" t="s">
        <v>18787</v>
      </c>
      <c r="E13482" t="s">
        <v>30482</v>
      </c>
      <c r="F13482" t="s">
        <v>32664</v>
      </c>
      <c r="G13482" t="s">
        <v>32672</v>
      </c>
      <c r="H13482" t="s">
        <v>12635</v>
      </c>
      <c r="I13482" t="s">
        <v>7324</v>
      </c>
      <c r="J13482" t="s">
        <v>40825</v>
      </c>
      <c r="K13482" t="s">
        <v>42281</v>
      </c>
      <c r="M13482" t="s">
        <v>46272</v>
      </c>
      <c r="N13482" t="s">
        <v>46569</v>
      </c>
      <c r="O13482" t="s">
        <v>46570</v>
      </c>
      <c r="P13482">
        <v>0</v>
      </c>
      <c r="Q13482">
        <v>4</v>
      </c>
      <c r="R13482" t="s">
        <v>46586</v>
      </c>
      <c r="S13482" t="s">
        <v>47252</v>
      </c>
      <c r="T13482" t="s">
        <v>48411</v>
      </c>
      <c r="U13482" t="s">
        <v>59606</v>
      </c>
      <c r="W13482" t="s">
        <v>63592</v>
      </c>
      <c r="X13482" t="s">
        <v>46587</v>
      </c>
    </row>
    <row r="13483" spans="1:24">
      <c r="A13483">
        <f>HYPERLINK("https://www.philgeps.gov.ph/GEPSNONPILOT/Tender/SplashBidNoticeAbstractUI.aspx?menuIndex=3&amp;refID=7035311&amp;Result=3","7035311")</f>
        <v>0</v>
      </c>
      <c r="B13483" t="s">
        <v>3321</v>
      </c>
      <c r="C13483" t="s">
        <v>16333</v>
      </c>
      <c r="D13483" t="s">
        <v>18787</v>
      </c>
      <c r="E13483" t="s">
        <v>30483</v>
      </c>
      <c r="F13483" t="s">
        <v>32664</v>
      </c>
      <c r="G13483" t="s">
        <v>32672</v>
      </c>
      <c r="H13483" t="s">
        <v>12635</v>
      </c>
      <c r="I13483" t="s">
        <v>32684</v>
      </c>
      <c r="J13483" t="s">
        <v>40291</v>
      </c>
      <c r="K13483" t="s">
        <v>42281</v>
      </c>
      <c r="M13483" t="s">
        <v>46272</v>
      </c>
      <c r="N13483" t="s">
        <v>46569</v>
      </c>
      <c r="O13483" t="s">
        <v>46570</v>
      </c>
      <c r="P13483">
        <v>0</v>
      </c>
      <c r="Q13483">
        <v>9</v>
      </c>
      <c r="R13483" t="s">
        <v>46586</v>
      </c>
      <c r="S13483" t="s">
        <v>47252</v>
      </c>
      <c r="T13483" t="s">
        <v>48411</v>
      </c>
      <c r="U13483" t="s">
        <v>59607</v>
      </c>
      <c r="W13483" t="s">
        <v>63592</v>
      </c>
      <c r="X13483" t="s">
        <v>46587</v>
      </c>
    </row>
    <row r="13484" spans="1:24">
      <c r="A13484">
        <f>HYPERLINK("https://www.philgeps.gov.ph/GEPSNONPILOT/Tender/SplashBidNoticeAbstractUI.aspx?menuIndex=3&amp;refID=7035373&amp;Result=3","7035373")</f>
        <v>0</v>
      </c>
      <c r="B13484" t="s">
        <v>460</v>
      </c>
      <c r="C13484" t="s">
        <v>16334</v>
      </c>
      <c r="D13484" t="s">
        <v>18806</v>
      </c>
      <c r="E13484" t="s">
        <v>30484</v>
      </c>
      <c r="F13484" t="s">
        <v>32664</v>
      </c>
      <c r="G13484" t="s">
        <v>32672</v>
      </c>
      <c r="H13484" t="s">
        <v>12635</v>
      </c>
      <c r="I13484" t="s">
        <v>32712</v>
      </c>
      <c r="J13484" t="s">
        <v>32976</v>
      </c>
      <c r="K13484" t="s">
        <v>42330</v>
      </c>
      <c r="M13484" t="s">
        <v>43641</v>
      </c>
      <c r="N13484" t="s">
        <v>46569</v>
      </c>
      <c r="O13484" t="s">
        <v>46570</v>
      </c>
      <c r="Q13484">
        <v>6</v>
      </c>
      <c r="R13484" t="s">
        <v>46586</v>
      </c>
      <c r="S13484" t="s">
        <v>47270</v>
      </c>
      <c r="T13484" t="s">
        <v>48285</v>
      </c>
      <c r="U13484" t="s">
        <v>59608</v>
      </c>
      <c r="V13484" t="s">
        <v>61876</v>
      </c>
      <c r="W13484" t="s">
        <v>43641</v>
      </c>
      <c r="X13484" t="s">
        <v>46587</v>
      </c>
    </row>
    <row r="13485" spans="1:24">
      <c r="A13485">
        <f>HYPERLINK("https://www.philgeps.gov.ph/GEPSNONPILOT/Tender/SplashBidNoticeAbstractUI.aspx?menuIndex=3&amp;refID=7035365&amp;Result=3","7035365")</f>
        <v>0</v>
      </c>
      <c r="B13485" t="s">
        <v>231</v>
      </c>
      <c r="C13485" t="s">
        <v>16335</v>
      </c>
      <c r="D13485" t="s">
        <v>18845</v>
      </c>
      <c r="E13485" t="s">
        <v>30485</v>
      </c>
      <c r="F13485" t="s">
        <v>32664</v>
      </c>
      <c r="G13485" t="s">
        <v>32671</v>
      </c>
      <c r="H13485" t="s">
        <v>12635</v>
      </c>
      <c r="I13485" t="s">
        <v>32701</v>
      </c>
      <c r="J13485" t="s">
        <v>33051</v>
      </c>
      <c r="K13485" t="s">
        <v>42281</v>
      </c>
      <c r="M13485" t="s">
        <v>42795</v>
      </c>
      <c r="N13485" t="s">
        <v>46569</v>
      </c>
      <c r="O13485" t="s">
        <v>46570</v>
      </c>
      <c r="Q13485">
        <v>1</v>
      </c>
      <c r="R13485" t="s">
        <v>46586</v>
      </c>
      <c r="S13485" t="s">
        <v>47268</v>
      </c>
      <c r="T13485" t="s">
        <v>48287</v>
      </c>
      <c r="U13485" t="s">
        <v>59609</v>
      </c>
      <c r="W13485" t="s">
        <v>42795</v>
      </c>
      <c r="X13485" t="s">
        <v>46587</v>
      </c>
    </row>
    <row r="13486" spans="1:24">
      <c r="A13486">
        <f>HYPERLINK("https://www.philgeps.gov.ph/GEPSNONPILOT/Tender/SplashBidNoticeAbstractUI.aspx?menuIndex=3&amp;refID=7035233&amp;Result=3","7035233")</f>
        <v>0</v>
      </c>
      <c r="B13486" t="s">
        <v>1853</v>
      </c>
      <c r="C13486" t="s">
        <v>16336</v>
      </c>
      <c r="D13486" t="s">
        <v>18785</v>
      </c>
      <c r="E13486" t="s">
        <v>30486</v>
      </c>
      <c r="F13486" t="s">
        <v>32664</v>
      </c>
      <c r="G13486" t="s">
        <v>32672</v>
      </c>
      <c r="H13486" t="s">
        <v>12635</v>
      </c>
      <c r="I13486" t="s">
        <v>6223</v>
      </c>
      <c r="J13486" t="s">
        <v>40826</v>
      </c>
      <c r="K13486" t="s">
        <v>42330</v>
      </c>
      <c r="M13486" t="s">
        <v>44564</v>
      </c>
      <c r="N13486" t="s">
        <v>46569</v>
      </c>
      <c r="O13486" t="s">
        <v>46570</v>
      </c>
      <c r="P13486">
        <v>0</v>
      </c>
      <c r="Q13486">
        <v>6</v>
      </c>
      <c r="R13486" t="s">
        <v>46586</v>
      </c>
      <c r="S13486" t="s">
        <v>47252</v>
      </c>
      <c r="T13486" t="s">
        <v>48293</v>
      </c>
      <c r="U13486" t="s">
        <v>59610</v>
      </c>
      <c r="W13486" t="s">
        <v>44564</v>
      </c>
      <c r="X13486" t="s">
        <v>46588</v>
      </c>
    </row>
    <row r="13487" spans="1:24">
      <c r="A13487">
        <f>HYPERLINK("https://www.philgeps.gov.ph/GEPSNONPILOT/Tender/SplashBidNoticeAbstractUI.aspx?menuIndex=3&amp;refID=7035296&amp;Result=3","7035296")</f>
        <v>0</v>
      </c>
      <c r="B13487" t="s">
        <v>3310</v>
      </c>
      <c r="C13487" t="s">
        <v>16337</v>
      </c>
      <c r="D13487" t="s">
        <v>18831</v>
      </c>
      <c r="E13487" t="s">
        <v>30487</v>
      </c>
      <c r="F13487" t="s">
        <v>32664</v>
      </c>
      <c r="G13487" t="s">
        <v>32672</v>
      </c>
      <c r="H13487" t="s">
        <v>32683</v>
      </c>
      <c r="I13487" t="s">
        <v>10627</v>
      </c>
      <c r="J13487" t="s">
        <v>34667</v>
      </c>
      <c r="K13487" t="s">
        <v>42368</v>
      </c>
      <c r="M13487" t="s">
        <v>46256</v>
      </c>
      <c r="N13487" t="s">
        <v>46569</v>
      </c>
      <c r="O13487" t="s">
        <v>46570</v>
      </c>
      <c r="P13487">
        <v>0</v>
      </c>
      <c r="Q13487">
        <v>2</v>
      </c>
      <c r="R13487" t="s">
        <v>46586</v>
      </c>
      <c r="S13487" t="s">
        <v>47252</v>
      </c>
      <c r="T13487" t="s">
        <v>48221</v>
      </c>
      <c r="U13487" t="s">
        <v>59611</v>
      </c>
      <c r="V13487" t="s">
        <v>63101</v>
      </c>
      <c r="W13487" t="s">
        <v>46256</v>
      </c>
      <c r="X13487" t="s">
        <v>46587</v>
      </c>
    </row>
    <row r="13488" spans="1:24">
      <c r="A13488">
        <f>HYPERLINK("https://www.philgeps.gov.ph/GEPSNONPILOT/Tender/SplashBidNoticeAbstractUI.aspx?menuIndex=3&amp;refID=7035381&amp;Result=3","7035381")</f>
        <v>0</v>
      </c>
      <c r="B13488" t="s">
        <v>3211</v>
      </c>
      <c r="C13488" t="s">
        <v>16338</v>
      </c>
      <c r="D13488" t="s">
        <v>18784</v>
      </c>
      <c r="E13488" t="s">
        <v>30488</v>
      </c>
      <c r="F13488" t="s">
        <v>32664</v>
      </c>
      <c r="G13488" t="s">
        <v>32672</v>
      </c>
      <c r="H13488" t="s">
        <v>32682</v>
      </c>
      <c r="I13488" t="s">
        <v>32731</v>
      </c>
      <c r="J13488" t="s">
        <v>32898</v>
      </c>
      <c r="K13488" t="s">
        <v>42284</v>
      </c>
      <c r="M13488" t="s">
        <v>46268</v>
      </c>
      <c r="N13488" t="s">
        <v>46569</v>
      </c>
      <c r="O13488" t="s">
        <v>46570</v>
      </c>
      <c r="P13488">
        <v>0</v>
      </c>
      <c r="Q13488">
        <v>1</v>
      </c>
      <c r="R13488" t="s">
        <v>46586</v>
      </c>
      <c r="S13488" t="s">
        <v>47252</v>
      </c>
      <c r="T13488" t="s">
        <v>48244</v>
      </c>
      <c r="U13488" t="s">
        <v>59612</v>
      </c>
      <c r="W13488" t="s">
        <v>46268</v>
      </c>
      <c r="X13488" t="s">
        <v>46587</v>
      </c>
    </row>
    <row r="13489" spans="1:24">
      <c r="A13489">
        <f>HYPERLINK("https://www.philgeps.gov.ph/GEPSNONPILOT/Tender/SplashBidNoticeAbstractUI.aspx?menuIndex=3&amp;refID=7035079&amp;Result=3","7035079")</f>
        <v>0</v>
      </c>
      <c r="B13489" t="s">
        <v>2917</v>
      </c>
      <c r="C13489" t="s">
        <v>16339</v>
      </c>
      <c r="D13489" t="s">
        <v>18781</v>
      </c>
      <c r="E13489" t="s">
        <v>30489</v>
      </c>
      <c r="F13489" t="s">
        <v>32664</v>
      </c>
      <c r="G13489" t="s">
        <v>32672</v>
      </c>
      <c r="H13489" t="s">
        <v>32683</v>
      </c>
      <c r="I13489" t="s">
        <v>10627</v>
      </c>
      <c r="J13489" t="s">
        <v>32865</v>
      </c>
      <c r="K13489" t="s">
        <v>42298</v>
      </c>
      <c r="M13489" t="s">
        <v>45770</v>
      </c>
      <c r="N13489" t="s">
        <v>46569</v>
      </c>
      <c r="O13489" t="s">
        <v>46570</v>
      </c>
      <c r="P13489">
        <v>0</v>
      </c>
      <c r="Q13489">
        <v>0</v>
      </c>
      <c r="R13489" t="s">
        <v>46586</v>
      </c>
      <c r="S13489" t="s">
        <v>47252</v>
      </c>
      <c r="T13489" t="s">
        <v>48305</v>
      </c>
      <c r="U13489" t="s">
        <v>59613</v>
      </c>
      <c r="W13489" t="s">
        <v>45770</v>
      </c>
      <c r="X13489" t="s">
        <v>46588</v>
      </c>
    </row>
    <row r="13490" spans="1:24">
      <c r="A13490">
        <f>HYPERLINK("https://www.philgeps.gov.ph/GEPSNONPILOT/Tender/SplashBidNoticeAbstractUI.aspx?menuIndex=3&amp;refID=7035374&amp;Result=3","7035374")</f>
        <v>0</v>
      </c>
      <c r="B13490" t="s">
        <v>1189</v>
      </c>
      <c r="C13490" t="s">
        <v>16340</v>
      </c>
      <c r="D13490" t="s">
        <v>18793</v>
      </c>
      <c r="E13490" t="s">
        <v>30490</v>
      </c>
      <c r="F13490" t="s">
        <v>32664</v>
      </c>
      <c r="G13490" t="s">
        <v>32672</v>
      </c>
      <c r="H13490" t="s">
        <v>32683</v>
      </c>
      <c r="I13490" t="s">
        <v>10627</v>
      </c>
      <c r="J13490" t="s">
        <v>40827</v>
      </c>
      <c r="K13490" t="s">
        <v>42308</v>
      </c>
      <c r="M13490" t="s">
        <v>43825</v>
      </c>
      <c r="N13490" t="s">
        <v>46569</v>
      </c>
      <c r="O13490" t="s">
        <v>46570</v>
      </c>
      <c r="P13490">
        <v>0</v>
      </c>
      <c r="Q13490">
        <v>0</v>
      </c>
      <c r="R13490" t="s">
        <v>46586</v>
      </c>
      <c r="S13490" t="s">
        <v>47252</v>
      </c>
      <c r="T13490" t="s">
        <v>48282</v>
      </c>
      <c r="U13490" t="s">
        <v>59614</v>
      </c>
      <c r="W13490" t="s">
        <v>43825</v>
      </c>
      <c r="X13490" t="s">
        <v>46587</v>
      </c>
    </row>
    <row r="13491" spans="1:24">
      <c r="A13491">
        <f>HYPERLINK("https://www.philgeps.gov.ph/GEPSNONPILOT/Tender/SplashBidNoticeAbstractUI.aspx?menuIndex=3&amp;refID=7035509&amp;Result=3","7035509")</f>
        <v>0</v>
      </c>
      <c r="B13491" t="s">
        <v>217</v>
      </c>
      <c r="C13491" t="s">
        <v>16341</v>
      </c>
      <c r="D13491" t="s">
        <v>18817</v>
      </c>
      <c r="E13491" t="s">
        <v>30491</v>
      </c>
      <c r="F13491" t="s">
        <v>32664</v>
      </c>
      <c r="G13491" t="s">
        <v>32672</v>
      </c>
      <c r="H13491" t="s">
        <v>32683</v>
      </c>
      <c r="I13491" t="s">
        <v>10627</v>
      </c>
      <c r="J13491" t="s">
        <v>40828</v>
      </c>
      <c r="K13491" t="s">
        <v>42325</v>
      </c>
      <c r="M13491" t="s">
        <v>46273</v>
      </c>
      <c r="N13491" t="s">
        <v>46569</v>
      </c>
      <c r="O13491" t="s">
        <v>46570</v>
      </c>
      <c r="P13491">
        <v>0</v>
      </c>
      <c r="Q13491">
        <v>1</v>
      </c>
      <c r="R13491" t="s">
        <v>46586</v>
      </c>
      <c r="S13491" t="s">
        <v>47252</v>
      </c>
      <c r="T13491" t="s">
        <v>48282</v>
      </c>
      <c r="U13491" t="s">
        <v>59615</v>
      </c>
      <c r="W13491" t="s">
        <v>46273</v>
      </c>
      <c r="X13491" t="s">
        <v>46587</v>
      </c>
    </row>
    <row r="13492" spans="1:24">
      <c r="A13492">
        <f>HYPERLINK("https://www.philgeps.gov.ph/GEPSNONPILOT/Tender/SplashBidNoticeAbstractUI.aspx?menuIndex=3&amp;refID=7035299&amp;Result=3","7035299")</f>
        <v>0</v>
      </c>
      <c r="B13492" t="s">
        <v>3310</v>
      </c>
      <c r="C13492" t="s">
        <v>16342</v>
      </c>
      <c r="D13492" t="s">
        <v>18831</v>
      </c>
      <c r="E13492" t="s">
        <v>30492</v>
      </c>
      <c r="F13492" t="s">
        <v>32664</v>
      </c>
      <c r="G13492" t="s">
        <v>32672</v>
      </c>
      <c r="H13492" t="s">
        <v>32683</v>
      </c>
      <c r="I13492" t="s">
        <v>10627</v>
      </c>
      <c r="J13492" t="s">
        <v>34131</v>
      </c>
      <c r="K13492" t="s">
        <v>42290</v>
      </c>
      <c r="M13492" t="s">
        <v>46256</v>
      </c>
      <c r="N13492" t="s">
        <v>46569</v>
      </c>
      <c r="O13492" t="s">
        <v>46570</v>
      </c>
      <c r="P13492">
        <v>0</v>
      </c>
      <c r="Q13492">
        <v>1</v>
      </c>
      <c r="R13492" t="s">
        <v>46586</v>
      </c>
      <c r="S13492" t="s">
        <v>47252</v>
      </c>
      <c r="T13492" t="s">
        <v>48221</v>
      </c>
      <c r="U13492" t="s">
        <v>59485</v>
      </c>
      <c r="V13492" t="s">
        <v>63101</v>
      </c>
      <c r="W13492" t="s">
        <v>46256</v>
      </c>
      <c r="X13492" t="s">
        <v>46587</v>
      </c>
    </row>
    <row r="13493" spans="1:24">
      <c r="A13493">
        <f>HYPERLINK("https://www.philgeps.gov.ph/GEPSNONPILOT/Tender/SplashBidNoticeAbstractUI.aspx?menuIndex=3&amp;refID=7035494&amp;Result=3","7035494")</f>
        <v>0</v>
      </c>
      <c r="B13493" t="s">
        <v>3211</v>
      </c>
      <c r="C13493" t="s">
        <v>16343</v>
      </c>
      <c r="D13493" t="s">
        <v>18784</v>
      </c>
      <c r="E13493" t="s">
        <v>30493</v>
      </c>
      <c r="F13493" t="s">
        <v>32664</v>
      </c>
      <c r="G13493" t="s">
        <v>32672</v>
      </c>
      <c r="H13493" t="s">
        <v>32682</v>
      </c>
      <c r="I13493" t="s">
        <v>8958</v>
      </c>
      <c r="J13493" t="s">
        <v>32984</v>
      </c>
      <c r="K13493" t="s">
        <v>42284</v>
      </c>
      <c r="M13493" t="s">
        <v>46268</v>
      </c>
      <c r="N13493" t="s">
        <v>46569</v>
      </c>
      <c r="O13493" t="s">
        <v>46570</v>
      </c>
      <c r="P13493">
        <v>0</v>
      </c>
      <c r="Q13493">
        <v>0</v>
      </c>
      <c r="R13493" t="s">
        <v>46586</v>
      </c>
      <c r="S13493" t="s">
        <v>47252</v>
      </c>
      <c r="T13493" t="s">
        <v>48244</v>
      </c>
      <c r="U13493" t="s">
        <v>59616</v>
      </c>
      <c r="W13493" t="s">
        <v>46268</v>
      </c>
      <c r="X13493" t="s">
        <v>46587</v>
      </c>
    </row>
    <row r="13494" spans="1:24">
      <c r="A13494">
        <f>HYPERLINK("https://www.philgeps.gov.ph/GEPSNONPILOT/Tender/SplashBidNoticeAbstractUI.aspx?menuIndex=3&amp;refID=7035484&amp;Result=3","7035484")</f>
        <v>0</v>
      </c>
      <c r="B13494" t="s">
        <v>3211</v>
      </c>
      <c r="C13494" t="s">
        <v>16344</v>
      </c>
      <c r="D13494" t="s">
        <v>18784</v>
      </c>
      <c r="E13494" t="s">
        <v>30494</v>
      </c>
      <c r="F13494" t="s">
        <v>32664</v>
      </c>
      <c r="G13494" t="s">
        <v>32672</v>
      </c>
      <c r="H13494" t="s">
        <v>32682</v>
      </c>
      <c r="I13494" t="s">
        <v>8958</v>
      </c>
      <c r="J13494" t="s">
        <v>33051</v>
      </c>
      <c r="K13494" t="s">
        <v>42284</v>
      </c>
      <c r="M13494" t="s">
        <v>46268</v>
      </c>
      <c r="N13494" t="s">
        <v>46569</v>
      </c>
      <c r="O13494" t="s">
        <v>46570</v>
      </c>
      <c r="P13494">
        <v>0</v>
      </c>
      <c r="Q13494">
        <v>1</v>
      </c>
      <c r="R13494" t="s">
        <v>46586</v>
      </c>
      <c r="S13494" t="s">
        <v>47252</v>
      </c>
      <c r="T13494" t="s">
        <v>48244</v>
      </c>
      <c r="U13494" t="s">
        <v>59616</v>
      </c>
      <c r="W13494" t="s">
        <v>46268</v>
      </c>
      <c r="X13494" t="s">
        <v>46587</v>
      </c>
    </row>
    <row r="13495" spans="1:24">
      <c r="A13495">
        <f>HYPERLINK("https://www.philgeps.gov.ph/GEPSNONPILOT/Tender/SplashBidNoticeAbstractUI.aspx?menuIndex=3&amp;refID=7035147&amp;Result=3","7035147")</f>
        <v>0</v>
      </c>
      <c r="B13495" t="s">
        <v>1169</v>
      </c>
      <c r="C13495" t="s">
        <v>16345</v>
      </c>
      <c r="D13495" t="s">
        <v>18820</v>
      </c>
      <c r="E13495" t="s">
        <v>30495</v>
      </c>
      <c r="F13495" t="s">
        <v>32664</v>
      </c>
      <c r="G13495" t="s">
        <v>32672</v>
      </c>
      <c r="H13495" t="s">
        <v>32682</v>
      </c>
      <c r="I13495" t="s">
        <v>32684</v>
      </c>
      <c r="J13495" t="s">
        <v>37841</v>
      </c>
      <c r="K13495" t="s">
        <v>42281</v>
      </c>
      <c r="M13495" t="s">
        <v>43803</v>
      </c>
      <c r="N13495" t="s">
        <v>46569</v>
      </c>
      <c r="O13495" t="s">
        <v>46570</v>
      </c>
      <c r="P13495">
        <v>0</v>
      </c>
      <c r="Q13495">
        <v>2</v>
      </c>
      <c r="R13495" t="s">
        <v>46586</v>
      </c>
      <c r="S13495" t="s">
        <v>47252</v>
      </c>
      <c r="T13495" t="s">
        <v>48296</v>
      </c>
      <c r="U13495" t="s">
        <v>59617</v>
      </c>
      <c r="V13495" t="s">
        <v>63120</v>
      </c>
      <c r="W13495" t="s">
        <v>43803</v>
      </c>
      <c r="X13495" t="s">
        <v>46588</v>
      </c>
    </row>
    <row r="13496" spans="1:24">
      <c r="A13496">
        <f>HYPERLINK("https://www.philgeps.gov.ph/GEPSNONPILOT/Tender/SplashBidNoticeAbstractUI.aspx?menuIndex=3&amp;refID=7035094&amp;Result=3","7035094")</f>
        <v>0</v>
      </c>
      <c r="B13496" t="s">
        <v>2917</v>
      </c>
      <c r="C13496" t="s">
        <v>16346</v>
      </c>
      <c r="D13496" t="s">
        <v>18781</v>
      </c>
      <c r="E13496" t="s">
        <v>30496</v>
      </c>
      <c r="F13496" t="s">
        <v>32664</v>
      </c>
      <c r="G13496" t="s">
        <v>32672</v>
      </c>
      <c r="H13496" t="s">
        <v>32683</v>
      </c>
      <c r="I13496" t="s">
        <v>10627</v>
      </c>
      <c r="J13496" t="s">
        <v>32865</v>
      </c>
      <c r="K13496" t="s">
        <v>42298</v>
      </c>
      <c r="M13496" t="s">
        <v>45770</v>
      </c>
      <c r="N13496" t="s">
        <v>46569</v>
      </c>
      <c r="O13496" t="s">
        <v>46570</v>
      </c>
      <c r="P13496">
        <v>0</v>
      </c>
      <c r="Q13496">
        <v>0</v>
      </c>
      <c r="R13496" t="s">
        <v>46586</v>
      </c>
      <c r="S13496" t="s">
        <v>47252</v>
      </c>
      <c r="T13496" t="s">
        <v>48305</v>
      </c>
      <c r="U13496" t="s">
        <v>59618</v>
      </c>
      <c r="W13496" t="s">
        <v>45770</v>
      </c>
      <c r="X13496" t="s">
        <v>46588</v>
      </c>
    </row>
    <row r="13497" spans="1:24">
      <c r="A13497">
        <f>HYPERLINK("https://www.philgeps.gov.ph/GEPSNONPILOT/Tender/SplashBidNoticeAbstractUI.aspx?menuIndex=3&amp;refID=7035471&amp;Result=3","7035471")</f>
        <v>0</v>
      </c>
      <c r="B13497" t="s">
        <v>2836</v>
      </c>
      <c r="C13497" t="s">
        <v>16347</v>
      </c>
      <c r="D13497" t="s">
        <v>18802</v>
      </c>
      <c r="E13497" t="s">
        <v>30497</v>
      </c>
      <c r="F13497" t="s">
        <v>32664</v>
      </c>
      <c r="G13497" t="s">
        <v>32672</v>
      </c>
      <c r="H13497" t="s">
        <v>12635</v>
      </c>
      <c r="I13497" t="s">
        <v>6628</v>
      </c>
      <c r="J13497" t="s">
        <v>40829</v>
      </c>
      <c r="K13497" t="s">
        <v>42281</v>
      </c>
      <c r="M13497" t="s">
        <v>45681</v>
      </c>
      <c r="N13497" t="s">
        <v>46569</v>
      </c>
      <c r="O13497" t="s">
        <v>46570</v>
      </c>
      <c r="Q13497">
        <v>5</v>
      </c>
      <c r="R13497" t="s">
        <v>46586</v>
      </c>
      <c r="S13497" t="s">
        <v>47271</v>
      </c>
      <c r="T13497" t="s">
        <v>48315</v>
      </c>
      <c r="U13497" t="s">
        <v>59619</v>
      </c>
      <c r="V13497" t="s">
        <v>63121</v>
      </c>
      <c r="W13497" t="s">
        <v>45681</v>
      </c>
      <c r="X13497" t="s">
        <v>46587</v>
      </c>
    </row>
    <row r="13498" spans="1:24">
      <c r="A13498">
        <f>HYPERLINK("https://www.philgeps.gov.ph/GEPSNONPILOT/Tender/SplashBidNoticeAbstractUI.aspx?menuIndex=3&amp;refID=7035328&amp;Result=3","7035328")</f>
        <v>0</v>
      </c>
      <c r="B13498" t="s">
        <v>3321</v>
      </c>
      <c r="C13498" t="s">
        <v>16348</v>
      </c>
      <c r="D13498" t="s">
        <v>18787</v>
      </c>
      <c r="E13498" t="s">
        <v>30498</v>
      </c>
      <c r="F13498" t="s">
        <v>32664</v>
      </c>
      <c r="G13498" t="s">
        <v>32672</v>
      </c>
      <c r="H13498" t="s">
        <v>12635</v>
      </c>
      <c r="I13498" t="s">
        <v>9486</v>
      </c>
      <c r="J13498" t="s">
        <v>40830</v>
      </c>
      <c r="K13498" t="s">
        <v>42281</v>
      </c>
      <c r="M13498" t="s">
        <v>46272</v>
      </c>
      <c r="N13498" t="s">
        <v>46569</v>
      </c>
      <c r="O13498" t="s">
        <v>46570</v>
      </c>
      <c r="P13498">
        <v>0</v>
      </c>
      <c r="Q13498">
        <v>7</v>
      </c>
      <c r="R13498" t="s">
        <v>46586</v>
      </c>
      <c r="S13498" t="s">
        <v>47252</v>
      </c>
      <c r="T13498" t="s">
        <v>48411</v>
      </c>
      <c r="U13498" t="s">
        <v>59620</v>
      </c>
      <c r="W13498" t="s">
        <v>63592</v>
      </c>
      <c r="X13498" t="s">
        <v>46587</v>
      </c>
    </row>
    <row r="13499" spans="1:24">
      <c r="A13499">
        <f>HYPERLINK("https://www.philgeps.gov.ph/GEPSNONPILOT/Tender/SplashBidNoticeAbstractUI.aspx?menuIndex=3&amp;refID=7035470&amp;Result=3","7035470")</f>
        <v>0</v>
      </c>
      <c r="B13499" t="s">
        <v>1314</v>
      </c>
      <c r="C13499" t="s">
        <v>16349</v>
      </c>
      <c r="D13499" t="s">
        <v>18798</v>
      </c>
      <c r="E13499" t="s">
        <v>30499</v>
      </c>
      <c r="F13499" t="s">
        <v>32664</v>
      </c>
      <c r="G13499" t="s">
        <v>32672</v>
      </c>
      <c r="H13499" t="s">
        <v>32682</v>
      </c>
      <c r="I13499" t="s">
        <v>6223</v>
      </c>
      <c r="J13499" t="s">
        <v>40831</v>
      </c>
      <c r="K13499" t="s">
        <v>42298</v>
      </c>
      <c r="M13499" t="s">
        <v>43963</v>
      </c>
      <c r="N13499" t="s">
        <v>46569</v>
      </c>
      <c r="O13499" t="s">
        <v>46570</v>
      </c>
      <c r="P13499">
        <v>0</v>
      </c>
      <c r="Q13499">
        <v>3</v>
      </c>
      <c r="R13499" t="s">
        <v>46586</v>
      </c>
      <c r="S13499" t="s">
        <v>47252</v>
      </c>
      <c r="T13499" t="s">
        <v>48285</v>
      </c>
      <c r="U13499" t="s">
        <v>51587</v>
      </c>
      <c r="V13499" t="s">
        <v>61964</v>
      </c>
      <c r="W13499" t="s">
        <v>43963</v>
      </c>
      <c r="X13499" t="s">
        <v>46587</v>
      </c>
    </row>
    <row r="13500" spans="1:24">
      <c r="A13500">
        <f>HYPERLINK("https://www.philgeps.gov.ph/GEPSNONPILOT/Tender/SplashBidNoticeAbstractUI.aspx?menuIndex=3&amp;refID=7035502&amp;Result=3","7035502")</f>
        <v>0</v>
      </c>
      <c r="B13500" t="s">
        <v>3211</v>
      </c>
      <c r="C13500" t="s">
        <v>16350</v>
      </c>
      <c r="D13500" t="s">
        <v>18784</v>
      </c>
      <c r="E13500" t="s">
        <v>30500</v>
      </c>
      <c r="F13500" t="s">
        <v>32664</v>
      </c>
      <c r="G13500" t="s">
        <v>32672</v>
      </c>
      <c r="H13500" t="s">
        <v>32682</v>
      </c>
      <c r="I13500" t="s">
        <v>8958</v>
      </c>
      <c r="J13500" t="s">
        <v>33051</v>
      </c>
      <c r="K13500" t="s">
        <v>42284</v>
      </c>
      <c r="M13500" t="s">
        <v>46268</v>
      </c>
      <c r="N13500" t="s">
        <v>46569</v>
      </c>
      <c r="O13500" t="s">
        <v>46570</v>
      </c>
      <c r="P13500">
        <v>0</v>
      </c>
      <c r="Q13500">
        <v>0</v>
      </c>
      <c r="R13500" t="s">
        <v>46586</v>
      </c>
      <c r="S13500" t="s">
        <v>47252</v>
      </c>
      <c r="T13500" t="s">
        <v>48244</v>
      </c>
      <c r="U13500" t="s">
        <v>59616</v>
      </c>
      <c r="W13500" t="s">
        <v>46268</v>
      </c>
      <c r="X13500" t="s">
        <v>46587</v>
      </c>
    </row>
    <row r="13501" spans="1:24">
      <c r="A13501">
        <f>HYPERLINK("https://www.philgeps.gov.ph/GEPSNONPILOT/Tender/SplashBidNoticeAbstractUI.aspx?menuIndex=3&amp;refID=7035504&amp;Result=3","7035504")</f>
        <v>0</v>
      </c>
      <c r="B13501" t="s">
        <v>1189</v>
      </c>
      <c r="C13501" t="s">
        <v>16351</v>
      </c>
      <c r="D13501" t="s">
        <v>18793</v>
      </c>
      <c r="E13501" t="s">
        <v>30501</v>
      </c>
      <c r="F13501" t="s">
        <v>32664</v>
      </c>
      <c r="G13501" t="s">
        <v>32672</v>
      </c>
      <c r="H13501" t="s">
        <v>12635</v>
      </c>
      <c r="I13501" t="s">
        <v>4439</v>
      </c>
      <c r="J13501" t="s">
        <v>40832</v>
      </c>
      <c r="K13501" t="s">
        <v>42284</v>
      </c>
      <c r="M13501" t="s">
        <v>43825</v>
      </c>
      <c r="N13501" t="s">
        <v>46569</v>
      </c>
      <c r="O13501" t="s">
        <v>46570</v>
      </c>
      <c r="P13501">
        <v>0</v>
      </c>
      <c r="Q13501">
        <v>0</v>
      </c>
      <c r="R13501" t="s">
        <v>46586</v>
      </c>
      <c r="S13501" t="s">
        <v>47252</v>
      </c>
      <c r="T13501" t="s">
        <v>48282</v>
      </c>
      <c r="U13501" t="s">
        <v>59621</v>
      </c>
      <c r="W13501" t="s">
        <v>43825</v>
      </c>
      <c r="X13501" t="s">
        <v>46587</v>
      </c>
    </row>
    <row r="13502" spans="1:24">
      <c r="A13502">
        <f>HYPERLINK("https://www.philgeps.gov.ph/GEPSNONPILOT/Tender/SplashBidNoticeAbstractUI.aspx?menuIndex=3&amp;refID=7035440&amp;Result=3","7035440")</f>
        <v>0</v>
      </c>
      <c r="B13502" t="s">
        <v>1189</v>
      </c>
      <c r="C13502" t="s">
        <v>16352</v>
      </c>
      <c r="D13502" t="s">
        <v>18793</v>
      </c>
      <c r="E13502" t="s">
        <v>30502</v>
      </c>
      <c r="F13502" t="s">
        <v>32664</v>
      </c>
      <c r="G13502" t="s">
        <v>32672</v>
      </c>
      <c r="H13502" t="s">
        <v>32683</v>
      </c>
      <c r="I13502" t="s">
        <v>10627</v>
      </c>
      <c r="J13502" t="s">
        <v>40833</v>
      </c>
      <c r="K13502" t="s">
        <v>42298</v>
      </c>
      <c r="M13502" t="s">
        <v>43825</v>
      </c>
      <c r="N13502" t="s">
        <v>46569</v>
      </c>
      <c r="O13502" t="s">
        <v>46570</v>
      </c>
      <c r="P13502">
        <v>0</v>
      </c>
      <c r="Q13502">
        <v>0</v>
      </c>
      <c r="R13502" t="s">
        <v>46586</v>
      </c>
      <c r="S13502" t="s">
        <v>47252</v>
      </c>
      <c r="T13502" t="s">
        <v>48282</v>
      </c>
      <c r="U13502" t="s">
        <v>59622</v>
      </c>
      <c r="W13502" t="s">
        <v>43825</v>
      </c>
      <c r="X13502" t="s">
        <v>46587</v>
      </c>
    </row>
    <row r="13503" spans="1:24">
      <c r="A13503">
        <f>HYPERLINK("https://www.philgeps.gov.ph/GEPSNONPILOT/Tender/SplashBidNoticeAbstractUI.aspx?menuIndex=3&amp;refID=7035448&amp;Result=3","7035448")</f>
        <v>0</v>
      </c>
      <c r="B13503" t="s">
        <v>3211</v>
      </c>
      <c r="C13503" t="s">
        <v>16353</v>
      </c>
      <c r="D13503" t="s">
        <v>18784</v>
      </c>
      <c r="E13503" t="s">
        <v>30503</v>
      </c>
      <c r="F13503" t="s">
        <v>32664</v>
      </c>
      <c r="G13503" t="s">
        <v>32672</v>
      </c>
      <c r="H13503" t="s">
        <v>32682</v>
      </c>
      <c r="I13503" t="s">
        <v>10590</v>
      </c>
      <c r="J13503" t="s">
        <v>33118</v>
      </c>
      <c r="K13503" t="s">
        <v>42284</v>
      </c>
      <c r="M13503" t="s">
        <v>46268</v>
      </c>
      <c r="N13503" t="s">
        <v>46569</v>
      </c>
      <c r="O13503" t="s">
        <v>46570</v>
      </c>
      <c r="P13503">
        <v>0</v>
      </c>
      <c r="Q13503">
        <v>0</v>
      </c>
      <c r="R13503" t="s">
        <v>46586</v>
      </c>
      <c r="S13503" t="s">
        <v>47252</v>
      </c>
      <c r="T13503" t="s">
        <v>48244</v>
      </c>
      <c r="U13503" t="s">
        <v>59623</v>
      </c>
      <c r="W13503" t="s">
        <v>46268</v>
      </c>
      <c r="X13503" t="s">
        <v>46587</v>
      </c>
    </row>
    <row r="13504" spans="1:24">
      <c r="A13504">
        <f>HYPERLINK("https://www.philgeps.gov.ph/GEPSNONPILOT/Tender/SplashBidNoticeAbstractUI.aspx?menuIndex=3&amp;refID=7035339&amp;Result=3","7035339")</f>
        <v>0</v>
      </c>
      <c r="B13504" t="s">
        <v>460</v>
      </c>
      <c r="C13504" t="s">
        <v>16354</v>
      </c>
      <c r="D13504" t="s">
        <v>18806</v>
      </c>
      <c r="E13504" t="s">
        <v>30504</v>
      </c>
      <c r="F13504" t="s">
        <v>32664</v>
      </c>
      <c r="G13504" t="s">
        <v>32672</v>
      </c>
      <c r="H13504" t="s">
        <v>12635</v>
      </c>
      <c r="I13504" t="s">
        <v>32712</v>
      </c>
      <c r="J13504" t="s">
        <v>32982</v>
      </c>
      <c r="K13504" t="s">
        <v>42330</v>
      </c>
      <c r="M13504" t="s">
        <v>43641</v>
      </c>
      <c r="N13504" t="s">
        <v>46569</v>
      </c>
      <c r="O13504" t="s">
        <v>46570</v>
      </c>
      <c r="Q13504">
        <v>13</v>
      </c>
      <c r="R13504" t="s">
        <v>46586</v>
      </c>
      <c r="S13504" t="s">
        <v>47261</v>
      </c>
      <c r="T13504" t="s">
        <v>48285</v>
      </c>
      <c r="U13504" t="s">
        <v>59624</v>
      </c>
      <c r="V13504" t="s">
        <v>61876</v>
      </c>
      <c r="W13504" t="s">
        <v>43641</v>
      </c>
      <c r="X13504" t="s">
        <v>46587</v>
      </c>
    </row>
    <row r="13505" spans="1:24">
      <c r="A13505">
        <f>HYPERLINK("https://www.philgeps.gov.ph/GEPSNONPILOT/Tender/SplashBidNoticeAbstractUI.aspx?menuIndex=3&amp;refID=7035669&amp;Result=3","7035669")</f>
        <v>0</v>
      </c>
      <c r="B13505" t="s">
        <v>1898</v>
      </c>
      <c r="C13505" t="s">
        <v>16355</v>
      </c>
      <c r="D13505" t="s">
        <v>18827</v>
      </c>
      <c r="E13505" t="s">
        <v>30505</v>
      </c>
      <c r="F13505" t="s">
        <v>32664</v>
      </c>
      <c r="G13505" t="s">
        <v>32672</v>
      </c>
      <c r="H13505" t="s">
        <v>12635</v>
      </c>
      <c r="I13505" t="s">
        <v>11464</v>
      </c>
      <c r="J13505" t="s">
        <v>32837</v>
      </c>
      <c r="K13505" t="s">
        <v>42281</v>
      </c>
      <c r="M13505" t="s">
        <v>44618</v>
      </c>
      <c r="N13505" t="s">
        <v>46569</v>
      </c>
      <c r="O13505" t="s">
        <v>46570</v>
      </c>
      <c r="Q13505">
        <v>3</v>
      </c>
      <c r="R13505" t="s">
        <v>46586</v>
      </c>
      <c r="S13505" t="s">
        <v>47272</v>
      </c>
      <c r="T13505" t="s">
        <v>48293</v>
      </c>
      <c r="U13505" t="s">
        <v>59625</v>
      </c>
      <c r="V13505" t="s">
        <v>62634</v>
      </c>
      <c r="W13505" t="s">
        <v>44618</v>
      </c>
      <c r="X13505" t="s">
        <v>46587</v>
      </c>
    </row>
    <row r="13506" spans="1:24">
      <c r="A13506">
        <f>HYPERLINK("https://www.philgeps.gov.ph/GEPSNONPILOT/Tender/SplashBidNoticeAbstractUI.aspx?menuIndex=3&amp;refID=7035654&amp;Result=3","7035654")</f>
        <v>0</v>
      </c>
      <c r="B13506" t="s">
        <v>3211</v>
      </c>
      <c r="C13506" t="s">
        <v>16356</v>
      </c>
      <c r="D13506" t="s">
        <v>18784</v>
      </c>
      <c r="E13506" t="s">
        <v>30506</v>
      </c>
      <c r="F13506" t="s">
        <v>32664</v>
      </c>
      <c r="G13506" t="s">
        <v>32672</v>
      </c>
      <c r="H13506" t="s">
        <v>32682</v>
      </c>
      <c r="I13506" t="s">
        <v>10370</v>
      </c>
      <c r="J13506" t="s">
        <v>40834</v>
      </c>
      <c r="K13506" t="s">
        <v>42284</v>
      </c>
      <c r="M13506" t="s">
        <v>46268</v>
      </c>
      <c r="N13506" t="s">
        <v>46569</v>
      </c>
      <c r="O13506" t="s">
        <v>46570</v>
      </c>
      <c r="P13506">
        <v>0</v>
      </c>
      <c r="Q13506">
        <v>0</v>
      </c>
      <c r="R13506" t="s">
        <v>46586</v>
      </c>
      <c r="S13506" t="s">
        <v>47252</v>
      </c>
      <c r="T13506" t="s">
        <v>48244</v>
      </c>
      <c r="U13506" t="s">
        <v>59626</v>
      </c>
      <c r="W13506" t="s">
        <v>46268</v>
      </c>
      <c r="X13506" t="s">
        <v>46587</v>
      </c>
    </row>
    <row r="13507" spans="1:24">
      <c r="A13507">
        <f>HYPERLINK("https://www.philgeps.gov.ph/GEPSNONPILOT/Tender/SplashBidNoticeAbstractUI.aspx?menuIndex=3&amp;refID=7035639&amp;Result=3","7035639")</f>
        <v>0</v>
      </c>
      <c r="B13507" t="s">
        <v>3211</v>
      </c>
      <c r="C13507" t="s">
        <v>16357</v>
      </c>
      <c r="D13507" t="s">
        <v>18784</v>
      </c>
      <c r="E13507" t="s">
        <v>30507</v>
      </c>
      <c r="F13507" t="s">
        <v>32664</v>
      </c>
      <c r="G13507" t="s">
        <v>32672</v>
      </c>
      <c r="H13507" t="s">
        <v>32682</v>
      </c>
      <c r="I13507" t="s">
        <v>10370</v>
      </c>
      <c r="J13507" t="s">
        <v>40835</v>
      </c>
      <c r="K13507" t="s">
        <v>42284</v>
      </c>
      <c r="M13507" t="s">
        <v>46268</v>
      </c>
      <c r="N13507" t="s">
        <v>46569</v>
      </c>
      <c r="O13507" t="s">
        <v>46570</v>
      </c>
      <c r="P13507">
        <v>0</v>
      </c>
      <c r="Q13507">
        <v>0</v>
      </c>
      <c r="R13507" t="s">
        <v>46586</v>
      </c>
      <c r="S13507" t="s">
        <v>47252</v>
      </c>
      <c r="T13507" t="s">
        <v>48244</v>
      </c>
      <c r="U13507" t="s">
        <v>59626</v>
      </c>
      <c r="W13507" t="s">
        <v>46268</v>
      </c>
      <c r="X13507" t="s">
        <v>46587</v>
      </c>
    </row>
    <row r="13508" spans="1:24">
      <c r="A13508">
        <f>HYPERLINK("https://www.philgeps.gov.ph/GEPSNONPILOT/Tender/SplashBidNoticeAbstractUI.aspx?menuIndex=3&amp;refID=7035447&amp;Result=3","7035447")</f>
        <v>0</v>
      </c>
      <c r="B13508" t="s">
        <v>393</v>
      </c>
      <c r="C13508" t="s">
        <v>16358</v>
      </c>
      <c r="D13508" t="s">
        <v>18853</v>
      </c>
      <c r="E13508" t="s">
        <v>30508</v>
      </c>
      <c r="F13508" t="s">
        <v>32664</v>
      </c>
      <c r="G13508" t="s">
        <v>32672</v>
      </c>
      <c r="H13508" t="s">
        <v>32683</v>
      </c>
      <c r="I13508" t="s">
        <v>10627</v>
      </c>
      <c r="J13508" t="s">
        <v>40836</v>
      </c>
      <c r="K13508" t="s">
        <v>42310</v>
      </c>
      <c r="L13508" t="s">
        <v>393</v>
      </c>
      <c r="M13508" t="s">
        <v>42963</v>
      </c>
      <c r="N13508" t="s">
        <v>46569</v>
      </c>
      <c r="O13508" t="s">
        <v>46570</v>
      </c>
      <c r="P13508">
        <v>0</v>
      </c>
      <c r="Q13508">
        <v>0</v>
      </c>
      <c r="R13508" t="s">
        <v>46586</v>
      </c>
      <c r="S13508" t="s">
        <v>47252</v>
      </c>
      <c r="T13508" t="s">
        <v>48221</v>
      </c>
      <c r="U13508" t="s">
        <v>59627</v>
      </c>
      <c r="V13508" t="s">
        <v>63122</v>
      </c>
      <c r="W13508" t="s">
        <v>42963</v>
      </c>
      <c r="X13508" t="s">
        <v>46587</v>
      </c>
    </row>
    <row r="13509" spans="1:24">
      <c r="A13509">
        <f>HYPERLINK("https://www.philgeps.gov.ph/GEPSNONPILOT/Tender/SplashBidNoticeAbstractUI.aspx?menuIndex=3&amp;refID=7035622&amp;Result=3","7035622")</f>
        <v>0</v>
      </c>
      <c r="B13509" t="s">
        <v>3211</v>
      </c>
      <c r="C13509" t="s">
        <v>16359</v>
      </c>
      <c r="D13509" t="s">
        <v>18784</v>
      </c>
      <c r="E13509" t="s">
        <v>30509</v>
      </c>
      <c r="F13509" t="s">
        <v>32664</v>
      </c>
      <c r="G13509" t="s">
        <v>32672</v>
      </c>
      <c r="H13509" t="s">
        <v>32682</v>
      </c>
      <c r="I13509" t="s">
        <v>10370</v>
      </c>
      <c r="J13509" t="s">
        <v>40837</v>
      </c>
      <c r="K13509" t="s">
        <v>42284</v>
      </c>
      <c r="M13509" t="s">
        <v>46268</v>
      </c>
      <c r="N13509" t="s">
        <v>46569</v>
      </c>
      <c r="O13509" t="s">
        <v>46570</v>
      </c>
      <c r="P13509">
        <v>0</v>
      </c>
      <c r="Q13509">
        <v>0</v>
      </c>
      <c r="R13509" t="s">
        <v>46586</v>
      </c>
      <c r="S13509" t="s">
        <v>47252</v>
      </c>
      <c r="T13509" t="s">
        <v>48244</v>
      </c>
      <c r="U13509" t="s">
        <v>59626</v>
      </c>
      <c r="W13509" t="s">
        <v>46268</v>
      </c>
      <c r="X13509" t="s">
        <v>46587</v>
      </c>
    </row>
    <row r="13510" spans="1:24">
      <c r="A13510">
        <f>HYPERLINK("https://www.philgeps.gov.ph/GEPSNONPILOT/Tender/SplashBidNoticeAbstractUI.aspx?menuIndex=3&amp;refID=7035473&amp;Result=3","7035473")</f>
        <v>0</v>
      </c>
      <c r="B13510" t="s">
        <v>1189</v>
      </c>
      <c r="C13510" t="s">
        <v>16360</v>
      </c>
      <c r="D13510" t="s">
        <v>18793</v>
      </c>
      <c r="E13510" t="s">
        <v>30510</v>
      </c>
      <c r="F13510" t="s">
        <v>32664</v>
      </c>
      <c r="G13510" t="s">
        <v>32672</v>
      </c>
      <c r="H13510" t="s">
        <v>32683</v>
      </c>
      <c r="I13510" t="s">
        <v>10627</v>
      </c>
      <c r="J13510" t="s">
        <v>38501</v>
      </c>
      <c r="K13510" t="s">
        <v>42297</v>
      </c>
      <c r="M13510" t="s">
        <v>43825</v>
      </c>
      <c r="N13510" t="s">
        <v>46569</v>
      </c>
      <c r="O13510" t="s">
        <v>46570</v>
      </c>
      <c r="P13510">
        <v>0</v>
      </c>
      <c r="Q13510">
        <v>0</v>
      </c>
      <c r="R13510" t="s">
        <v>46586</v>
      </c>
      <c r="S13510" t="s">
        <v>47252</v>
      </c>
      <c r="T13510" t="s">
        <v>48282</v>
      </c>
      <c r="U13510" t="s">
        <v>59628</v>
      </c>
      <c r="W13510" t="s">
        <v>43825</v>
      </c>
      <c r="X13510" t="s">
        <v>46587</v>
      </c>
    </row>
    <row r="13511" spans="1:24">
      <c r="A13511">
        <f>HYPERLINK("https://www.philgeps.gov.ph/GEPSNONPILOT/Tender/SplashBidNoticeAbstractUI.aspx?menuIndex=3&amp;refID=7035594&amp;Result=3","7035594")</f>
        <v>0</v>
      </c>
      <c r="B13511" t="s">
        <v>3211</v>
      </c>
      <c r="C13511" t="s">
        <v>16361</v>
      </c>
      <c r="D13511" t="s">
        <v>18784</v>
      </c>
      <c r="E13511" t="s">
        <v>30511</v>
      </c>
      <c r="F13511" t="s">
        <v>32664</v>
      </c>
      <c r="G13511" t="s">
        <v>32672</v>
      </c>
      <c r="H13511" t="s">
        <v>32682</v>
      </c>
      <c r="I13511" t="s">
        <v>10370</v>
      </c>
      <c r="J13511" t="s">
        <v>33078</v>
      </c>
      <c r="K13511" t="s">
        <v>42284</v>
      </c>
      <c r="M13511" t="s">
        <v>46268</v>
      </c>
      <c r="N13511" t="s">
        <v>46569</v>
      </c>
      <c r="O13511" t="s">
        <v>46570</v>
      </c>
      <c r="P13511">
        <v>0</v>
      </c>
      <c r="Q13511">
        <v>0</v>
      </c>
      <c r="R13511" t="s">
        <v>46586</v>
      </c>
      <c r="S13511" t="s">
        <v>47252</v>
      </c>
      <c r="T13511" t="s">
        <v>48244</v>
      </c>
      <c r="U13511" t="s">
        <v>59626</v>
      </c>
      <c r="W13511" t="s">
        <v>46268</v>
      </c>
      <c r="X13511" t="s">
        <v>46587</v>
      </c>
    </row>
    <row r="13512" spans="1:24">
      <c r="A13512">
        <f>HYPERLINK("https://www.philgeps.gov.ph/GEPSNONPILOT/Tender/SplashBidNoticeAbstractUI.aspx?menuIndex=3&amp;refID=7035591&amp;Result=3","7035591")</f>
        <v>0</v>
      </c>
      <c r="B13512" t="s">
        <v>1314</v>
      </c>
      <c r="C13512" t="s">
        <v>16362</v>
      </c>
      <c r="D13512" t="s">
        <v>18784</v>
      </c>
      <c r="E13512" t="s">
        <v>30512</v>
      </c>
      <c r="F13512" t="s">
        <v>32664</v>
      </c>
      <c r="G13512" t="s">
        <v>32672</v>
      </c>
      <c r="H13512" t="s">
        <v>32682</v>
      </c>
      <c r="I13512" t="s">
        <v>32708</v>
      </c>
      <c r="J13512" t="s">
        <v>40838</v>
      </c>
      <c r="K13512" t="s">
        <v>42305</v>
      </c>
      <c r="M13512" t="s">
        <v>43963</v>
      </c>
      <c r="N13512" t="s">
        <v>46569</v>
      </c>
      <c r="O13512" t="s">
        <v>46570</v>
      </c>
      <c r="P13512">
        <v>0</v>
      </c>
      <c r="Q13512">
        <v>4</v>
      </c>
      <c r="R13512" t="s">
        <v>46586</v>
      </c>
      <c r="S13512" t="s">
        <v>47252</v>
      </c>
      <c r="T13512" t="s">
        <v>48285</v>
      </c>
      <c r="U13512" t="s">
        <v>51587</v>
      </c>
      <c r="V13512" t="s">
        <v>62728</v>
      </c>
      <c r="W13512" t="s">
        <v>43963</v>
      </c>
      <c r="X13512" t="s">
        <v>46587</v>
      </c>
    </row>
    <row r="13513" spans="1:24">
      <c r="A13513">
        <f>HYPERLINK("https://www.philgeps.gov.ph/GEPSNONPILOT/Tender/SplashBidNoticeAbstractUI.aspx?menuIndex=3&amp;refID=7035466&amp;Result=3","7035466")</f>
        <v>0</v>
      </c>
      <c r="B13513" t="s">
        <v>3211</v>
      </c>
      <c r="C13513" t="s">
        <v>16363</v>
      </c>
      <c r="D13513" t="s">
        <v>18784</v>
      </c>
      <c r="E13513" t="s">
        <v>30513</v>
      </c>
      <c r="F13513" t="s">
        <v>32664</v>
      </c>
      <c r="G13513" t="s">
        <v>32672</v>
      </c>
      <c r="H13513" t="s">
        <v>32682</v>
      </c>
      <c r="I13513" t="s">
        <v>10590</v>
      </c>
      <c r="J13513" t="s">
        <v>33311</v>
      </c>
      <c r="K13513" t="s">
        <v>42284</v>
      </c>
      <c r="M13513" t="s">
        <v>46268</v>
      </c>
      <c r="N13513" t="s">
        <v>46569</v>
      </c>
      <c r="O13513" t="s">
        <v>46570</v>
      </c>
      <c r="P13513">
        <v>0</v>
      </c>
      <c r="Q13513">
        <v>0</v>
      </c>
      <c r="R13513" t="s">
        <v>46586</v>
      </c>
      <c r="S13513" t="s">
        <v>47252</v>
      </c>
      <c r="T13513" t="s">
        <v>48244</v>
      </c>
      <c r="U13513" t="s">
        <v>59629</v>
      </c>
      <c r="W13513" t="s">
        <v>46268</v>
      </c>
      <c r="X13513" t="s">
        <v>46587</v>
      </c>
    </row>
    <row r="13514" spans="1:24">
      <c r="A13514">
        <f>HYPERLINK("https://www.philgeps.gov.ph/GEPSNONPILOT/Tender/SplashBidNoticeAbstractUI.aspx?menuIndex=3&amp;refID=7035572&amp;Result=3","7035572")</f>
        <v>0</v>
      </c>
      <c r="B13514" t="s">
        <v>3211</v>
      </c>
      <c r="C13514" t="s">
        <v>16364</v>
      </c>
      <c r="D13514" t="s">
        <v>18784</v>
      </c>
      <c r="E13514" t="s">
        <v>30514</v>
      </c>
      <c r="F13514" t="s">
        <v>32664</v>
      </c>
      <c r="G13514" t="s">
        <v>32672</v>
      </c>
      <c r="H13514" t="s">
        <v>32682</v>
      </c>
      <c r="I13514" t="s">
        <v>8958</v>
      </c>
      <c r="J13514" t="s">
        <v>33395</v>
      </c>
      <c r="K13514" t="s">
        <v>42284</v>
      </c>
      <c r="M13514" t="s">
        <v>46268</v>
      </c>
      <c r="N13514" t="s">
        <v>46569</v>
      </c>
      <c r="O13514" t="s">
        <v>46570</v>
      </c>
      <c r="P13514">
        <v>0</v>
      </c>
      <c r="Q13514">
        <v>0</v>
      </c>
      <c r="R13514" t="s">
        <v>46586</v>
      </c>
      <c r="S13514" t="s">
        <v>47252</v>
      </c>
      <c r="T13514" t="s">
        <v>48244</v>
      </c>
      <c r="U13514" t="s">
        <v>59616</v>
      </c>
      <c r="W13514" t="s">
        <v>46268</v>
      </c>
      <c r="X13514" t="s">
        <v>46587</v>
      </c>
    </row>
    <row r="13515" spans="1:24">
      <c r="A13515">
        <f>HYPERLINK("https://www.philgeps.gov.ph/GEPSNONPILOT/Tender/SplashBidNoticeAbstractUI.aspx?menuIndex=3&amp;refID=7035559&amp;Result=3","7035559")</f>
        <v>0</v>
      </c>
      <c r="B13515" t="s">
        <v>3211</v>
      </c>
      <c r="C13515" t="s">
        <v>16365</v>
      </c>
      <c r="D13515" t="s">
        <v>18784</v>
      </c>
      <c r="E13515" t="s">
        <v>30515</v>
      </c>
      <c r="F13515" t="s">
        <v>32664</v>
      </c>
      <c r="G13515" t="s">
        <v>32672</v>
      </c>
      <c r="H13515" t="s">
        <v>32682</v>
      </c>
      <c r="I13515" t="s">
        <v>8958</v>
      </c>
      <c r="J13515" t="s">
        <v>40839</v>
      </c>
      <c r="K13515" t="s">
        <v>42284</v>
      </c>
      <c r="M13515" t="s">
        <v>46268</v>
      </c>
      <c r="N13515" t="s">
        <v>46569</v>
      </c>
      <c r="O13515" t="s">
        <v>46570</v>
      </c>
      <c r="P13515">
        <v>0</v>
      </c>
      <c r="Q13515">
        <v>0</v>
      </c>
      <c r="R13515" t="s">
        <v>46586</v>
      </c>
      <c r="S13515" t="s">
        <v>47252</v>
      </c>
      <c r="T13515" t="s">
        <v>48244</v>
      </c>
      <c r="U13515" t="s">
        <v>59616</v>
      </c>
      <c r="W13515" t="s">
        <v>46268</v>
      </c>
      <c r="X13515" t="s">
        <v>46587</v>
      </c>
    </row>
    <row r="13516" spans="1:24">
      <c r="A13516">
        <f>HYPERLINK("https://www.philgeps.gov.ph/GEPSNONPILOT/Tender/SplashBidNoticeAbstractUI.aspx?menuIndex=3&amp;refID=7035649&amp;Result=3","7035649")</f>
        <v>0</v>
      </c>
      <c r="B13516" t="s">
        <v>3322</v>
      </c>
      <c r="C13516" t="s">
        <v>16366</v>
      </c>
      <c r="D13516" t="s">
        <v>18856</v>
      </c>
      <c r="E13516" t="s">
        <v>25089</v>
      </c>
      <c r="F13516" t="s">
        <v>32665</v>
      </c>
      <c r="G13516" t="s">
        <v>32672</v>
      </c>
      <c r="H13516" t="s">
        <v>12635</v>
      </c>
      <c r="I13516" t="s">
        <v>4333</v>
      </c>
      <c r="J13516" t="s">
        <v>40840</v>
      </c>
      <c r="K13516" t="s">
        <v>42281</v>
      </c>
      <c r="M13516" t="s">
        <v>46274</v>
      </c>
      <c r="N13516" t="s">
        <v>46569</v>
      </c>
      <c r="O13516" t="s">
        <v>46570</v>
      </c>
      <c r="P13516">
        <v>0</v>
      </c>
      <c r="Q13516">
        <v>4</v>
      </c>
      <c r="R13516" t="s">
        <v>46586</v>
      </c>
      <c r="S13516" t="s">
        <v>47252</v>
      </c>
      <c r="T13516" t="s">
        <v>48304</v>
      </c>
      <c r="U13516" t="s">
        <v>54604</v>
      </c>
      <c r="W13516" t="s">
        <v>46274</v>
      </c>
      <c r="X13516" t="s">
        <v>46587</v>
      </c>
    </row>
    <row r="13517" spans="1:24">
      <c r="A13517">
        <f>HYPERLINK("https://www.philgeps.gov.ph/GEPSNONPILOT/Tender/SplashBidNoticeAbstractUI.aspx?menuIndex=3&amp;refID=7035543&amp;Result=3","7035543")</f>
        <v>0</v>
      </c>
      <c r="B13517" t="s">
        <v>2465</v>
      </c>
      <c r="C13517" t="s">
        <v>16367</v>
      </c>
      <c r="D13517" t="s">
        <v>18831</v>
      </c>
      <c r="E13517" t="s">
        <v>30472</v>
      </c>
      <c r="F13517" t="s">
        <v>32664</v>
      </c>
      <c r="G13517" t="s">
        <v>32672</v>
      </c>
      <c r="H13517" t="s">
        <v>32683</v>
      </c>
      <c r="I13517" t="s">
        <v>10627</v>
      </c>
      <c r="J13517" t="s">
        <v>40819</v>
      </c>
      <c r="K13517" t="s">
        <v>42316</v>
      </c>
      <c r="M13517" t="s">
        <v>45262</v>
      </c>
      <c r="N13517" t="s">
        <v>46569</v>
      </c>
      <c r="O13517" t="s">
        <v>46570</v>
      </c>
      <c r="P13517">
        <v>0</v>
      </c>
      <c r="Q13517">
        <v>1</v>
      </c>
      <c r="R13517" t="s">
        <v>46586</v>
      </c>
      <c r="S13517" t="s">
        <v>47252</v>
      </c>
      <c r="T13517" t="s">
        <v>48278</v>
      </c>
      <c r="U13517" t="s">
        <v>59630</v>
      </c>
      <c r="W13517" t="s">
        <v>45262</v>
      </c>
      <c r="X13517" t="s">
        <v>46587</v>
      </c>
    </row>
    <row r="13518" spans="1:24">
      <c r="A13518">
        <f>HYPERLINK("https://www.philgeps.gov.ph/GEPSNONPILOT/Tender/SplashBidNoticeAbstractUI.aspx?menuIndex=3&amp;refID=7035535&amp;Result=3","7035535")</f>
        <v>0</v>
      </c>
      <c r="B13518" t="s">
        <v>3211</v>
      </c>
      <c r="C13518" t="s">
        <v>16368</v>
      </c>
      <c r="D13518" t="s">
        <v>18784</v>
      </c>
      <c r="E13518" t="s">
        <v>30516</v>
      </c>
      <c r="F13518" t="s">
        <v>32664</v>
      </c>
      <c r="G13518" t="s">
        <v>32672</v>
      </c>
      <c r="H13518" t="s">
        <v>32682</v>
      </c>
      <c r="I13518" t="s">
        <v>8958</v>
      </c>
      <c r="J13518" t="s">
        <v>40841</v>
      </c>
      <c r="K13518" t="s">
        <v>42284</v>
      </c>
      <c r="M13518" t="s">
        <v>46268</v>
      </c>
      <c r="N13518" t="s">
        <v>46569</v>
      </c>
      <c r="O13518" t="s">
        <v>46570</v>
      </c>
      <c r="P13518">
        <v>0</v>
      </c>
      <c r="Q13518">
        <v>0</v>
      </c>
      <c r="R13518" t="s">
        <v>46586</v>
      </c>
      <c r="S13518" t="s">
        <v>47252</v>
      </c>
      <c r="T13518" t="s">
        <v>48244</v>
      </c>
      <c r="U13518" t="s">
        <v>59616</v>
      </c>
      <c r="W13518" t="s">
        <v>46268</v>
      </c>
      <c r="X13518" t="s">
        <v>46587</v>
      </c>
    </row>
    <row r="13519" spans="1:24">
      <c r="A13519">
        <f>HYPERLINK("https://www.philgeps.gov.ph/GEPSNONPILOT/Tender/SplashBidNoticeAbstractUI.aspx?menuIndex=3&amp;refID=7035086&amp;Result=3","7035086")</f>
        <v>0</v>
      </c>
      <c r="B13519" t="s">
        <v>2917</v>
      </c>
      <c r="C13519" t="s">
        <v>16369</v>
      </c>
      <c r="D13519" t="s">
        <v>18781</v>
      </c>
      <c r="E13519" t="s">
        <v>30517</v>
      </c>
      <c r="F13519" t="s">
        <v>32664</v>
      </c>
      <c r="G13519" t="s">
        <v>32672</v>
      </c>
      <c r="H13519" t="s">
        <v>32683</v>
      </c>
      <c r="I13519" t="s">
        <v>10627</v>
      </c>
      <c r="J13519" t="s">
        <v>33167</v>
      </c>
      <c r="K13519" t="s">
        <v>42298</v>
      </c>
      <c r="M13519" t="s">
        <v>45770</v>
      </c>
      <c r="N13519" t="s">
        <v>46569</v>
      </c>
      <c r="O13519" t="s">
        <v>46570</v>
      </c>
      <c r="P13519">
        <v>0</v>
      </c>
      <c r="Q13519">
        <v>1</v>
      </c>
      <c r="R13519" t="s">
        <v>46586</v>
      </c>
      <c r="S13519" t="s">
        <v>47252</v>
      </c>
      <c r="T13519" t="s">
        <v>48305</v>
      </c>
      <c r="U13519" t="s">
        <v>59631</v>
      </c>
      <c r="W13519" t="s">
        <v>45770</v>
      </c>
      <c r="X13519" t="s">
        <v>46588</v>
      </c>
    </row>
    <row r="13520" spans="1:24">
      <c r="A13520">
        <f>HYPERLINK("https://www.philgeps.gov.ph/GEPSNONPILOT/Tender/SplashBidNoticeAbstractUI.aspx?menuIndex=3&amp;refID=7035530&amp;Result=3","7035530")</f>
        <v>0</v>
      </c>
      <c r="B13520" t="s">
        <v>3323</v>
      </c>
      <c r="C13520" t="s">
        <v>16370</v>
      </c>
      <c r="D13520" t="s">
        <v>18798</v>
      </c>
      <c r="E13520" t="s">
        <v>30518</v>
      </c>
      <c r="F13520" t="s">
        <v>32664</v>
      </c>
      <c r="G13520" t="s">
        <v>32672</v>
      </c>
      <c r="H13520" t="s">
        <v>12635</v>
      </c>
      <c r="I13520" t="s">
        <v>32690</v>
      </c>
      <c r="J13520" t="s">
        <v>40842</v>
      </c>
      <c r="K13520" t="s">
        <v>42281</v>
      </c>
      <c r="M13520" t="s">
        <v>45062</v>
      </c>
      <c r="N13520" t="s">
        <v>46569</v>
      </c>
      <c r="O13520" t="s">
        <v>46570</v>
      </c>
      <c r="P13520">
        <v>0</v>
      </c>
      <c r="Q13520">
        <v>6</v>
      </c>
      <c r="R13520" t="s">
        <v>46586</v>
      </c>
      <c r="S13520" t="s">
        <v>47252</v>
      </c>
      <c r="T13520" t="s">
        <v>48283</v>
      </c>
      <c r="U13520" t="s">
        <v>59632</v>
      </c>
      <c r="V13520" t="s">
        <v>63123</v>
      </c>
      <c r="W13520" t="s">
        <v>45062</v>
      </c>
      <c r="X13520" t="s">
        <v>46587</v>
      </c>
    </row>
    <row r="13521" spans="1:24">
      <c r="A13521">
        <f>HYPERLINK("https://www.philgeps.gov.ph/GEPSNONPILOT/Tender/SplashBidNoticeAbstractUI.aspx?menuIndex=3&amp;refID=7035660&amp;Result=3","7035660")</f>
        <v>0</v>
      </c>
      <c r="B13521" t="s">
        <v>3324</v>
      </c>
      <c r="C13521" t="s">
        <v>16371</v>
      </c>
      <c r="D13521" t="s">
        <v>18804</v>
      </c>
      <c r="E13521" t="s">
        <v>18889</v>
      </c>
      <c r="F13521" t="s">
        <v>32664</v>
      </c>
      <c r="G13521" t="s">
        <v>32674</v>
      </c>
      <c r="H13521" t="s">
        <v>12635</v>
      </c>
      <c r="I13521" t="s">
        <v>4439</v>
      </c>
      <c r="J13521" t="s">
        <v>40843</v>
      </c>
      <c r="K13521" t="s">
        <v>42309</v>
      </c>
      <c r="M13521" t="s">
        <v>46275</v>
      </c>
      <c r="N13521" t="s">
        <v>46569</v>
      </c>
      <c r="O13521" t="s">
        <v>46570</v>
      </c>
      <c r="P13521">
        <v>0</v>
      </c>
      <c r="Q13521">
        <v>0</v>
      </c>
      <c r="R13521" t="s">
        <v>46586</v>
      </c>
      <c r="S13521" t="s">
        <v>47252</v>
      </c>
      <c r="T13521" t="s">
        <v>48290</v>
      </c>
      <c r="U13521" t="s">
        <v>59633</v>
      </c>
      <c r="W13521" t="s">
        <v>46275</v>
      </c>
      <c r="X13521" t="s">
        <v>46587</v>
      </c>
    </row>
    <row r="13522" spans="1:24">
      <c r="A13522">
        <f>HYPERLINK("https://www.philgeps.gov.ph/GEPSNONPILOT/Tender/SplashBidNoticeAbstractUI.aspx?menuIndex=3&amp;refID=7035511&amp;Result=3","7035511")</f>
        <v>0</v>
      </c>
      <c r="B13522" t="s">
        <v>2465</v>
      </c>
      <c r="C13522" t="s">
        <v>16372</v>
      </c>
      <c r="D13522" t="s">
        <v>18831</v>
      </c>
      <c r="E13522" t="s">
        <v>30472</v>
      </c>
      <c r="F13522" t="s">
        <v>32664</v>
      </c>
      <c r="G13522" t="s">
        <v>32672</v>
      </c>
      <c r="H13522" t="s">
        <v>32683</v>
      </c>
      <c r="I13522" t="s">
        <v>10627</v>
      </c>
      <c r="J13522" t="s">
        <v>40844</v>
      </c>
      <c r="K13522" t="s">
        <v>42298</v>
      </c>
      <c r="M13522" t="s">
        <v>45262</v>
      </c>
      <c r="N13522" t="s">
        <v>46569</v>
      </c>
      <c r="O13522" t="s">
        <v>46570</v>
      </c>
      <c r="P13522">
        <v>0</v>
      </c>
      <c r="Q13522">
        <v>1</v>
      </c>
      <c r="R13522" t="s">
        <v>46586</v>
      </c>
      <c r="S13522" t="s">
        <v>47252</v>
      </c>
      <c r="T13522" t="s">
        <v>48278</v>
      </c>
      <c r="U13522" t="s">
        <v>59634</v>
      </c>
      <c r="W13522" t="s">
        <v>45262</v>
      </c>
      <c r="X13522" t="s">
        <v>46587</v>
      </c>
    </row>
    <row r="13523" spans="1:24">
      <c r="A13523">
        <f>HYPERLINK("https://www.philgeps.gov.ph/GEPSNONPILOT/Tender/SplashBidNoticeAbstractUI.aspx?menuIndex=3&amp;refID=7035435&amp;Result=3","7035435")</f>
        <v>0</v>
      </c>
      <c r="B13523" t="s">
        <v>3325</v>
      </c>
      <c r="C13523" t="s">
        <v>16373</v>
      </c>
      <c r="D13523" t="s">
        <v>18847</v>
      </c>
      <c r="E13523" t="s">
        <v>30519</v>
      </c>
      <c r="F13523" t="s">
        <v>32664</v>
      </c>
      <c r="G13523" t="s">
        <v>32672</v>
      </c>
      <c r="H13523" t="s">
        <v>32683</v>
      </c>
      <c r="I13523" t="s">
        <v>10627</v>
      </c>
      <c r="J13523" t="s">
        <v>40845</v>
      </c>
      <c r="K13523" t="s">
        <v>42326</v>
      </c>
      <c r="M13523" t="s">
        <v>46276</v>
      </c>
      <c r="N13523" t="s">
        <v>46569</v>
      </c>
      <c r="O13523" t="s">
        <v>46570</v>
      </c>
      <c r="P13523">
        <v>0</v>
      </c>
      <c r="Q13523">
        <v>0</v>
      </c>
      <c r="R13523" t="s">
        <v>46586</v>
      </c>
      <c r="S13523" t="s">
        <v>47252</v>
      </c>
      <c r="T13523" t="s">
        <v>48608</v>
      </c>
      <c r="U13523" t="s">
        <v>59635</v>
      </c>
      <c r="W13523" t="s">
        <v>46276</v>
      </c>
      <c r="X13523" t="s">
        <v>46587</v>
      </c>
    </row>
    <row r="13524" spans="1:24">
      <c r="A13524">
        <f>HYPERLINK("https://www.philgeps.gov.ph/GEPSNONPILOT/Tender/SplashBidNoticeAbstractUI.aspx?menuIndex=3&amp;refID=7035567&amp;Result=3","7035567")</f>
        <v>0</v>
      </c>
      <c r="B13524" t="s">
        <v>3211</v>
      </c>
      <c r="C13524" t="s">
        <v>16374</v>
      </c>
      <c r="D13524" t="s">
        <v>18784</v>
      </c>
      <c r="E13524" t="s">
        <v>30520</v>
      </c>
      <c r="F13524" t="s">
        <v>32664</v>
      </c>
      <c r="G13524" t="s">
        <v>32672</v>
      </c>
      <c r="H13524" t="s">
        <v>32682</v>
      </c>
      <c r="I13524" t="s">
        <v>8958</v>
      </c>
      <c r="J13524" t="s">
        <v>40846</v>
      </c>
      <c r="K13524" t="s">
        <v>42284</v>
      </c>
      <c r="M13524" t="s">
        <v>46268</v>
      </c>
      <c r="N13524" t="s">
        <v>46569</v>
      </c>
      <c r="O13524" t="s">
        <v>46570</v>
      </c>
      <c r="P13524">
        <v>0</v>
      </c>
      <c r="Q13524">
        <v>0</v>
      </c>
      <c r="R13524" t="s">
        <v>46586</v>
      </c>
      <c r="S13524" t="s">
        <v>47252</v>
      </c>
      <c r="T13524" t="s">
        <v>48244</v>
      </c>
      <c r="U13524" t="s">
        <v>59616</v>
      </c>
      <c r="W13524" t="s">
        <v>46268</v>
      </c>
      <c r="X13524" t="s">
        <v>46587</v>
      </c>
    </row>
    <row r="13525" spans="1:24">
      <c r="A13525">
        <f>HYPERLINK("https://www.philgeps.gov.ph/GEPSNONPILOT/Tender/SplashBidNoticeAbstractUI.aspx?menuIndex=3&amp;refID=7035912&amp;Result=3","7035912")</f>
        <v>0</v>
      </c>
      <c r="B13525" t="s">
        <v>3326</v>
      </c>
      <c r="C13525" t="s">
        <v>16375</v>
      </c>
      <c r="D13525" t="s">
        <v>18847</v>
      </c>
      <c r="E13525" t="s">
        <v>30521</v>
      </c>
      <c r="F13525" t="s">
        <v>32664</v>
      </c>
      <c r="G13525" t="s">
        <v>32672</v>
      </c>
      <c r="H13525" t="s">
        <v>12635</v>
      </c>
      <c r="I13525" t="s">
        <v>11464</v>
      </c>
      <c r="J13525" t="s">
        <v>33001</v>
      </c>
      <c r="K13525" t="s">
        <v>42297</v>
      </c>
      <c r="M13525" t="s">
        <v>46277</v>
      </c>
      <c r="N13525" t="s">
        <v>46569</v>
      </c>
      <c r="O13525" t="s">
        <v>46570</v>
      </c>
      <c r="P13525">
        <v>0</v>
      </c>
      <c r="Q13525">
        <v>5</v>
      </c>
      <c r="R13525" t="s">
        <v>46586</v>
      </c>
      <c r="S13525" t="s">
        <v>47252</v>
      </c>
      <c r="T13525" t="s">
        <v>48256</v>
      </c>
      <c r="U13525" t="s">
        <v>59636</v>
      </c>
      <c r="W13525" t="s">
        <v>46277</v>
      </c>
      <c r="X13525" t="s">
        <v>46587</v>
      </c>
    </row>
    <row r="13526" spans="1:24">
      <c r="A13526">
        <f>HYPERLINK("https://www.philgeps.gov.ph/GEPSNONPILOT/Tender/SplashBidNoticeAbstractUI.aspx?menuIndex=3&amp;refID=7035610&amp;Result=3","7035610")</f>
        <v>0</v>
      </c>
      <c r="B13526" t="s">
        <v>3211</v>
      </c>
      <c r="C13526" t="s">
        <v>16376</v>
      </c>
      <c r="D13526" t="s">
        <v>18784</v>
      </c>
      <c r="E13526" t="s">
        <v>30522</v>
      </c>
      <c r="F13526" t="s">
        <v>32664</v>
      </c>
      <c r="G13526" t="s">
        <v>32672</v>
      </c>
      <c r="H13526" t="s">
        <v>32682</v>
      </c>
      <c r="I13526" t="s">
        <v>10370</v>
      </c>
      <c r="J13526" t="s">
        <v>40847</v>
      </c>
      <c r="K13526" t="s">
        <v>42284</v>
      </c>
      <c r="M13526" t="s">
        <v>46268</v>
      </c>
      <c r="N13526" t="s">
        <v>46569</v>
      </c>
      <c r="O13526" t="s">
        <v>46570</v>
      </c>
      <c r="P13526">
        <v>0</v>
      </c>
      <c r="Q13526">
        <v>4</v>
      </c>
      <c r="R13526" t="s">
        <v>46586</v>
      </c>
      <c r="S13526" t="s">
        <v>47252</v>
      </c>
      <c r="T13526" t="s">
        <v>48244</v>
      </c>
      <c r="U13526" t="s">
        <v>59626</v>
      </c>
      <c r="W13526" t="s">
        <v>46268</v>
      </c>
      <c r="X13526" t="s">
        <v>46587</v>
      </c>
    </row>
    <row r="13527" spans="1:24">
      <c r="A13527">
        <f>HYPERLINK("https://www.philgeps.gov.ph/GEPSNONPILOT/Tender/SplashBidNoticeAbstractUI.aspx?menuIndex=3&amp;refID=7035907&amp;Result=3","7035907")</f>
        <v>0</v>
      </c>
      <c r="B13527" t="s">
        <v>1567</v>
      </c>
      <c r="C13527" t="s">
        <v>16377</v>
      </c>
      <c r="D13527" t="s">
        <v>18817</v>
      </c>
      <c r="E13527" t="s">
        <v>30410</v>
      </c>
      <c r="F13527" t="s">
        <v>32664</v>
      </c>
      <c r="G13527" t="s">
        <v>32672</v>
      </c>
      <c r="H13527" t="s">
        <v>32683</v>
      </c>
      <c r="I13527" t="s">
        <v>10627</v>
      </c>
      <c r="J13527" t="s">
        <v>34148</v>
      </c>
      <c r="K13527" t="s">
        <v>42298</v>
      </c>
      <c r="M13527" t="s">
        <v>44240</v>
      </c>
      <c r="N13527" t="s">
        <v>46569</v>
      </c>
      <c r="O13527" t="s">
        <v>46570</v>
      </c>
      <c r="P13527">
        <v>0</v>
      </c>
      <c r="Q13527">
        <v>3</v>
      </c>
      <c r="R13527" t="s">
        <v>46586</v>
      </c>
      <c r="S13527" t="s">
        <v>47252</v>
      </c>
      <c r="T13527" t="s">
        <v>48244</v>
      </c>
      <c r="U13527" t="s">
        <v>59637</v>
      </c>
      <c r="W13527" t="s">
        <v>44240</v>
      </c>
      <c r="X13527" t="s">
        <v>46587</v>
      </c>
    </row>
    <row r="13528" spans="1:24">
      <c r="A13528">
        <f>HYPERLINK("https://www.philgeps.gov.ph/GEPSNONPILOT/Tender/SplashBidNoticeAbstractUI.aspx?menuIndex=3&amp;refID=7035890&amp;Result=3","7035890")</f>
        <v>0</v>
      </c>
      <c r="B13528" t="s">
        <v>3327</v>
      </c>
      <c r="C13528" t="s">
        <v>16378</v>
      </c>
      <c r="D13528" t="s">
        <v>18793</v>
      </c>
      <c r="E13528" t="s">
        <v>18926</v>
      </c>
      <c r="F13528" t="s">
        <v>32664</v>
      </c>
      <c r="G13528" t="s">
        <v>32672</v>
      </c>
      <c r="H13528" t="s">
        <v>32683</v>
      </c>
      <c r="I13528" t="s">
        <v>10627</v>
      </c>
      <c r="J13528" t="s">
        <v>32898</v>
      </c>
      <c r="K13528" t="s">
        <v>42281</v>
      </c>
      <c r="M13528" t="s">
        <v>46278</v>
      </c>
      <c r="N13528" t="s">
        <v>46569</v>
      </c>
      <c r="O13528" t="s">
        <v>46570</v>
      </c>
      <c r="P13528">
        <v>0</v>
      </c>
      <c r="Q13528">
        <v>1</v>
      </c>
      <c r="R13528" t="s">
        <v>46586</v>
      </c>
      <c r="S13528" t="s">
        <v>47252</v>
      </c>
      <c r="T13528" t="s">
        <v>48217</v>
      </c>
      <c r="U13528" t="s">
        <v>59638</v>
      </c>
      <c r="W13528" t="s">
        <v>46278</v>
      </c>
      <c r="X13528" t="s">
        <v>46587</v>
      </c>
    </row>
    <row r="13529" spans="1:24">
      <c r="A13529">
        <f>HYPERLINK("https://www.philgeps.gov.ph/GEPSNONPILOT/Tender/SplashBidNoticeAbstractUI.aspx?menuIndex=3&amp;refID=7035879&amp;Result=3","7035879")</f>
        <v>0</v>
      </c>
      <c r="B13529" t="s">
        <v>3328</v>
      </c>
      <c r="C13529" t="s">
        <v>16379</v>
      </c>
      <c r="D13529" t="s">
        <v>18806</v>
      </c>
      <c r="E13529" t="s">
        <v>19178</v>
      </c>
      <c r="F13529" t="s">
        <v>32664</v>
      </c>
      <c r="G13529" t="s">
        <v>32672</v>
      </c>
      <c r="H13529" t="s">
        <v>32683</v>
      </c>
      <c r="I13529" t="s">
        <v>10627</v>
      </c>
      <c r="J13529" t="s">
        <v>32830</v>
      </c>
      <c r="K13529" t="s">
        <v>42281</v>
      </c>
      <c r="M13529" t="s">
        <v>46279</v>
      </c>
      <c r="N13529" t="s">
        <v>46569</v>
      </c>
      <c r="O13529" t="s">
        <v>46570</v>
      </c>
      <c r="P13529">
        <v>0</v>
      </c>
      <c r="Q13529">
        <v>0</v>
      </c>
      <c r="R13529" t="s">
        <v>46586</v>
      </c>
      <c r="S13529" t="s">
        <v>47252</v>
      </c>
      <c r="T13529" t="s">
        <v>48280</v>
      </c>
      <c r="U13529" t="s">
        <v>59639</v>
      </c>
      <c r="W13529" t="s">
        <v>46279</v>
      </c>
      <c r="X13529" t="s">
        <v>46587</v>
      </c>
    </row>
    <row r="13530" spans="1:24">
      <c r="A13530">
        <f>HYPERLINK("https://www.philgeps.gov.ph/GEPSNONPILOT/Tender/SplashBidNoticeAbstractUI.aspx?menuIndex=3&amp;refID=7035544&amp;Result=3","7035544")</f>
        <v>0</v>
      </c>
      <c r="B13530" t="s">
        <v>3211</v>
      </c>
      <c r="C13530" t="s">
        <v>16380</v>
      </c>
      <c r="D13530" t="s">
        <v>18784</v>
      </c>
      <c r="E13530" t="s">
        <v>30523</v>
      </c>
      <c r="F13530" t="s">
        <v>32664</v>
      </c>
      <c r="G13530" t="s">
        <v>32672</v>
      </c>
      <c r="H13530" t="s">
        <v>32682</v>
      </c>
      <c r="I13530" t="s">
        <v>8958</v>
      </c>
      <c r="J13530" t="s">
        <v>33077</v>
      </c>
      <c r="K13530" t="s">
        <v>42284</v>
      </c>
      <c r="M13530" t="s">
        <v>46268</v>
      </c>
      <c r="N13530" t="s">
        <v>46569</v>
      </c>
      <c r="O13530" t="s">
        <v>46570</v>
      </c>
      <c r="P13530">
        <v>0</v>
      </c>
      <c r="Q13530">
        <v>0</v>
      </c>
      <c r="R13530" t="s">
        <v>46586</v>
      </c>
      <c r="S13530" t="s">
        <v>47252</v>
      </c>
      <c r="T13530" t="s">
        <v>48244</v>
      </c>
      <c r="U13530" t="s">
        <v>59616</v>
      </c>
      <c r="W13530" t="s">
        <v>46268</v>
      </c>
      <c r="X13530" t="s">
        <v>46587</v>
      </c>
    </row>
    <row r="13531" spans="1:24">
      <c r="A13531">
        <f>HYPERLINK("https://www.philgeps.gov.ph/GEPSNONPILOT/Tender/SplashBidNoticeAbstractUI.aspx?menuIndex=3&amp;refID=7035920&amp;Result=3","7035920")</f>
        <v>0</v>
      </c>
      <c r="B13531" t="s">
        <v>576</v>
      </c>
      <c r="C13531" t="s">
        <v>13738</v>
      </c>
      <c r="D13531" t="s">
        <v>18804</v>
      </c>
      <c r="E13531" t="s">
        <v>30524</v>
      </c>
      <c r="F13531" t="s">
        <v>32664</v>
      </c>
      <c r="G13531" t="s">
        <v>32672</v>
      </c>
      <c r="H13531" t="s">
        <v>12635</v>
      </c>
      <c r="I13531" t="s">
        <v>32706</v>
      </c>
      <c r="J13531" t="s">
        <v>40848</v>
      </c>
      <c r="K13531" t="s">
        <v>42313</v>
      </c>
      <c r="M13531" t="s">
        <v>43156</v>
      </c>
      <c r="N13531" t="s">
        <v>46569</v>
      </c>
      <c r="O13531" t="s">
        <v>46570</v>
      </c>
      <c r="P13531">
        <v>0</v>
      </c>
      <c r="Q13531">
        <v>0</v>
      </c>
      <c r="R13531" t="s">
        <v>46586</v>
      </c>
      <c r="S13531" t="s">
        <v>47252</v>
      </c>
      <c r="T13531" t="s">
        <v>48282</v>
      </c>
      <c r="U13531" t="s">
        <v>59640</v>
      </c>
      <c r="W13531" t="s">
        <v>43156</v>
      </c>
      <c r="X13531" t="s">
        <v>46587</v>
      </c>
    </row>
    <row r="13532" spans="1:24">
      <c r="A13532">
        <f>HYPERLINK("https://www.philgeps.gov.ph/GEPSNONPILOT/Tender/SplashBidNoticeAbstractUI.aspx?menuIndex=3&amp;refID=7035870&amp;Result=3","7035870")</f>
        <v>0</v>
      </c>
      <c r="B13532" t="s">
        <v>3329</v>
      </c>
      <c r="C13532" t="s">
        <v>16381</v>
      </c>
      <c r="D13532" t="s">
        <v>18834</v>
      </c>
      <c r="E13532" t="s">
        <v>30525</v>
      </c>
      <c r="F13532" t="s">
        <v>32664</v>
      </c>
      <c r="G13532" t="s">
        <v>32672</v>
      </c>
      <c r="H13532" t="s">
        <v>32683</v>
      </c>
      <c r="I13532" t="s">
        <v>10627</v>
      </c>
      <c r="J13532" t="s">
        <v>38494</v>
      </c>
      <c r="K13532" t="s">
        <v>42285</v>
      </c>
      <c r="M13532" t="s">
        <v>46280</v>
      </c>
      <c r="N13532" t="s">
        <v>46569</v>
      </c>
      <c r="O13532" t="s">
        <v>46570</v>
      </c>
      <c r="P13532">
        <v>0</v>
      </c>
      <c r="Q13532">
        <v>17</v>
      </c>
      <c r="R13532" t="s">
        <v>46586</v>
      </c>
      <c r="S13532" t="s">
        <v>47252</v>
      </c>
      <c r="T13532" t="s">
        <v>48279</v>
      </c>
      <c r="U13532" t="s">
        <v>59641</v>
      </c>
      <c r="W13532" t="s">
        <v>46280</v>
      </c>
      <c r="X13532" t="s">
        <v>46587</v>
      </c>
    </row>
    <row r="13533" spans="1:24">
      <c r="A13533">
        <f>HYPERLINK("https://www.philgeps.gov.ph/GEPSNONPILOT/Tender/SplashBidNoticeAbstractUI.aspx?menuIndex=3&amp;refID=7035843&amp;Result=3","7035843")</f>
        <v>0</v>
      </c>
      <c r="B13533" t="s">
        <v>166</v>
      </c>
      <c r="C13533" t="s">
        <v>16382</v>
      </c>
      <c r="D13533" t="s">
        <v>18792</v>
      </c>
      <c r="E13533" t="s">
        <v>30526</v>
      </c>
      <c r="F13533" t="s">
        <v>32664</v>
      </c>
      <c r="G13533" t="s">
        <v>32672</v>
      </c>
      <c r="H13533" t="s">
        <v>32683</v>
      </c>
      <c r="I13533" t="s">
        <v>10627</v>
      </c>
      <c r="J13533" t="s">
        <v>33021</v>
      </c>
      <c r="K13533" t="s">
        <v>42283</v>
      </c>
      <c r="M13533" t="s">
        <v>42730</v>
      </c>
      <c r="N13533" t="s">
        <v>46569</v>
      </c>
      <c r="O13533" t="s">
        <v>46570</v>
      </c>
      <c r="P13533">
        <v>0</v>
      </c>
      <c r="Q13533">
        <v>0</v>
      </c>
      <c r="R13533" t="s">
        <v>46586</v>
      </c>
      <c r="S13533" t="s">
        <v>47252</v>
      </c>
      <c r="T13533" t="s">
        <v>48221</v>
      </c>
      <c r="U13533" t="s">
        <v>59642</v>
      </c>
      <c r="W13533" t="s">
        <v>42730</v>
      </c>
      <c r="X13533" t="s">
        <v>46587</v>
      </c>
    </row>
    <row r="13534" spans="1:24">
      <c r="A13534">
        <f>HYPERLINK("https://www.philgeps.gov.ph/GEPSNONPILOT/Tender/SplashBidNoticeAbstractUI.aspx?menuIndex=3&amp;refID=7035524&amp;Result=3","7035524")</f>
        <v>0</v>
      </c>
      <c r="B13534" t="s">
        <v>2836</v>
      </c>
      <c r="C13534" t="s">
        <v>16383</v>
      </c>
      <c r="D13534" t="s">
        <v>18802</v>
      </c>
      <c r="E13534" t="s">
        <v>30527</v>
      </c>
      <c r="F13534" t="s">
        <v>32664</v>
      </c>
      <c r="G13534" t="s">
        <v>32672</v>
      </c>
      <c r="H13534" t="s">
        <v>12635</v>
      </c>
      <c r="I13534" t="s">
        <v>5589</v>
      </c>
      <c r="J13534" t="s">
        <v>38793</v>
      </c>
      <c r="K13534" t="s">
        <v>42281</v>
      </c>
      <c r="M13534" t="s">
        <v>45681</v>
      </c>
      <c r="N13534" t="s">
        <v>46569</v>
      </c>
      <c r="O13534" t="s">
        <v>46570</v>
      </c>
      <c r="P13534">
        <v>0</v>
      </c>
      <c r="Q13534">
        <v>4</v>
      </c>
      <c r="R13534" t="s">
        <v>46586</v>
      </c>
      <c r="S13534" t="s">
        <v>47252</v>
      </c>
      <c r="T13534" t="s">
        <v>48315</v>
      </c>
      <c r="U13534" t="s">
        <v>59643</v>
      </c>
      <c r="V13534" t="s">
        <v>63121</v>
      </c>
      <c r="W13534" t="s">
        <v>45681</v>
      </c>
      <c r="X13534" t="s">
        <v>46587</v>
      </c>
    </row>
    <row r="13535" spans="1:24">
      <c r="A13535">
        <f>HYPERLINK("https://www.philgeps.gov.ph/GEPSNONPILOT/Tender/SplashBidNoticeAbstractUI.aspx?menuIndex=3&amp;refID=7035768&amp;Result=3","7035768")</f>
        <v>0</v>
      </c>
      <c r="B13535" t="s">
        <v>1732</v>
      </c>
      <c r="C13535" t="s">
        <v>16384</v>
      </c>
      <c r="D13535" t="s">
        <v>18784</v>
      </c>
      <c r="E13535" t="s">
        <v>30528</v>
      </c>
      <c r="F13535" t="s">
        <v>32664</v>
      </c>
      <c r="G13535" t="s">
        <v>32672</v>
      </c>
      <c r="H13535" t="s">
        <v>12635</v>
      </c>
      <c r="I13535" t="s">
        <v>7759</v>
      </c>
      <c r="J13535" t="s">
        <v>40849</v>
      </c>
      <c r="K13535" t="s">
        <v>42297</v>
      </c>
      <c r="M13535" t="s">
        <v>44431</v>
      </c>
      <c r="N13535" t="s">
        <v>46569</v>
      </c>
      <c r="O13535" t="s">
        <v>46570</v>
      </c>
      <c r="P13535">
        <v>0</v>
      </c>
      <c r="Q13535">
        <v>1</v>
      </c>
      <c r="R13535" t="s">
        <v>46586</v>
      </c>
      <c r="S13535" t="s">
        <v>47252</v>
      </c>
      <c r="T13535" t="s">
        <v>48285</v>
      </c>
      <c r="U13535" t="s">
        <v>59644</v>
      </c>
      <c r="W13535" t="s">
        <v>44431</v>
      </c>
      <c r="X13535" t="s">
        <v>46587</v>
      </c>
    </row>
    <row r="13536" spans="1:24">
      <c r="A13536">
        <f>HYPERLINK("https://www.philgeps.gov.ph/GEPSNONPILOT/Tender/SplashBidNoticeAbstractUI.aspx?menuIndex=3&amp;refID=7035743&amp;Result=3","7035743")</f>
        <v>0</v>
      </c>
      <c r="B13536" t="s">
        <v>3211</v>
      </c>
      <c r="C13536" t="s">
        <v>16385</v>
      </c>
      <c r="D13536" t="s">
        <v>18784</v>
      </c>
      <c r="E13536" t="s">
        <v>30529</v>
      </c>
      <c r="F13536" t="s">
        <v>32664</v>
      </c>
      <c r="G13536" t="s">
        <v>32672</v>
      </c>
      <c r="H13536" t="s">
        <v>32682</v>
      </c>
      <c r="I13536" t="s">
        <v>8958</v>
      </c>
      <c r="J13536" t="s">
        <v>40850</v>
      </c>
      <c r="K13536" t="s">
        <v>42284</v>
      </c>
      <c r="M13536" t="s">
        <v>46268</v>
      </c>
      <c r="N13536" t="s">
        <v>46569</v>
      </c>
      <c r="O13536" t="s">
        <v>46570</v>
      </c>
      <c r="P13536">
        <v>0</v>
      </c>
      <c r="Q13536">
        <v>0</v>
      </c>
      <c r="R13536" t="s">
        <v>46586</v>
      </c>
      <c r="S13536" t="s">
        <v>47252</v>
      </c>
      <c r="T13536" t="s">
        <v>48244</v>
      </c>
      <c r="U13536" t="s">
        <v>59616</v>
      </c>
      <c r="W13536" t="s">
        <v>46268</v>
      </c>
      <c r="X13536" t="s">
        <v>46587</v>
      </c>
    </row>
    <row r="13537" spans="1:24">
      <c r="A13537">
        <f>HYPERLINK("https://www.philgeps.gov.ph/GEPSNONPILOT/Tender/SplashBidNoticeAbstractUI.aspx?menuIndex=3&amp;refID=7035767&amp;Result=3","7035767")</f>
        <v>0</v>
      </c>
      <c r="B13537" t="s">
        <v>2836</v>
      </c>
      <c r="C13537" t="s">
        <v>16386</v>
      </c>
      <c r="D13537" t="s">
        <v>18802</v>
      </c>
      <c r="E13537" t="s">
        <v>30530</v>
      </c>
      <c r="F13537" t="s">
        <v>32664</v>
      </c>
      <c r="G13537" t="s">
        <v>32672</v>
      </c>
      <c r="H13537" t="s">
        <v>12635</v>
      </c>
      <c r="I13537" t="s">
        <v>32684</v>
      </c>
      <c r="J13537" t="s">
        <v>33696</v>
      </c>
      <c r="K13537" t="s">
        <v>42281</v>
      </c>
      <c r="M13537" t="s">
        <v>45681</v>
      </c>
      <c r="N13537" t="s">
        <v>46569</v>
      </c>
      <c r="O13537" t="s">
        <v>46570</v>
      </c>
      <c r="P13537">
        <v>0</v>
      </c>
      <c r="Q13537">
        <v>7</v>
      </c>
      <c r="R13537" t="s">
        <v>46586</v>
      </c>
      <c r="S13537" t="s">
        <v>47252</v>
      </c>
      <c r="T13537" t="s">
        <v>48315</v>
      </c>
      <c r="U13537" t="s">
        <v>59645</v>
      </c>
      <c r="V13537" t="s">
        <v>63121</v>
      </c>
      <c r="W13537" t="s">
        <v>45681</v>
      </c>
      <c r="X13537" t="s">
        <v>46587</v>
      </c>
    </row>
    <row r="13538" spans="1:24">
      <c r="A13538">
        <f>HYPERLINK("https://www.philgeps.gov.ph/GEPSNONPILOT/Tender/SplashBidNoticeAbstractUI.aspx?menuIndex=3&amp;refID=7035538&amp;Result=3","7035538")</f>
        <v>0</v>
      </c>
      <c r="B13538" t="s">
        <v>2123</v>
      </c>
      <c r="C13538" t="s">
        <v>16387</v>
      </c>
      <c r="D13538" t="s">
        <v>18842</v>
      </c>
      <c r="E13538" t="s">
        <v>30531</v>
      </c>
      <c r="F13538" t="s">
        <v>32664</v>
      </c>
      <c r="G13538" t="s">
        <v>32672</v>
      </c>
      <c r="H13538" t="s">
        <v>32683</v>
      </c>
      <c r="I13538" t="s">
        <v>10627</v>
      </c>
      <c r="J13538" t="s">
        <v>40851</v>
      </c>
      <c r="K13538" t="s">
        <v>42543</v>
      </c>
      <c r="M13538" t="s">
        <v>44878</v>
      </c>
      <c r="N13538" t="s">
        <v>46569</v>
      </c>
      <c r="O13538" t="s">
        <v>46570</v>
      </c>
      <c r="Q13538">
        <v>0</v>
      </c>
      <c r="R13538" t="s">
        <v>46586</v>
      </c>
      <c r="S13538" t="s">
        <v>47273</v>
      </c>
      <c r="T13538" t="s">
        <v>48226</v>
      </c>
      <c r="U13538" t="s">
        <v>59646</v>
      </c>
      <c r="W13538" t="s">
        <v>44878</v>
      </c>
      <c r="X13538" t="s">
        <v>46587</v>
      </c>
    </row>
    <row r="13539" spans="1:24">
      <c r="A13539">
        <f>HYPERLINK("https://www.philgeps.gov.ph/GEPSNONPILOT/Tender/SplashBidNoticeAbstractUI.aspx?menuIndex=3&amp;refID=7035859&amp;Result=3","7035859")</f>
        <v>0</v>
      </c>
      <c r="B13539" t="s">
        <v>1732</v>
      </c>
      <c r="C13539" t="s">
        <v>16388</v>
      </c>
      <c r="D13539" t="s">
        <v>18784</v>
      </c>
      <c r="E13539" t="s">
        <v>30528</v>
      </c>
      <c r="F13539" t="s">
        <v>32664</v>
      </c>
      <c r="G13539" t="s">
        <v>32672</v>
      </c>
      <c r="H13539" t="s">
        <v>12635</v>
      </c>
      <c r="I13539" t="s">
        <v>4439</v>
      </c>
      <c r="J13539" t="s">
        <v>40852</v>
      </c>
      <c r="K13539" t="s">
        <v>42305</v>
      </c>
      <c r="M13539" t="s">
        <v>44431</v>
      </c>
      <c r="N13539" t="s">
        <v>46569</v>
      </c>
      <c r="O13539" t="s">
        <v>46570</v>
      </c>
      <c r="P13539">
        <v>0</v>
      </c>
      <c r="Q13539">
        <v>5</v>
      </c>
      <c r="R13539" t="s">
        <v>46586</v>
      </c>
      <c r="S13539" t="s">
        <v>47252</v>
      </c>
      <c r="T13539" t="s">
        <v>48285</v>
      </c>
      <c r="U13539" t="s">
        <v>59644</v>
      </c>
      <c r="W13539" t="s">
        <v>44431</v>
      </c>
      <c r="X13539" t="s">
        <v>46587</v>
      </c>
    </row>
    <row r="13540" spans="1:24">
      <c r="A13540">
        <f>HYPERLINK("https://www.philgeps.gov.ph/GEPSNONPILOT/Tender/SplashBidNoticeAbstractUI.aspx?menuIndex=3&amp;refID=7035697&amp;Result=3","7035697")</f>
        <v>0</v>
      </c>
      <c r="B13540" t="s">
        <v>1994</v>
      </c>
      <c r="C13540" t="s">
        <v>16389</v>
      </c>
      <c r="D13540" t="s">
        <v>18784</v>
      </c>
      <c r="E13540" t="s">
        <v>30532</v>
      </c>
      <c r="F13540" t="s">
        <v>32664</v>
      </c>
      <c r="G13540" t="s">
        <v>32672</v>
      </c>
      <c r="H13540" t="s">
        <v>12635</v>
      </c>
      <c r="I13540" t="s">
        <v>6118</v>
      </c>
      <c r="J13540" t="s">
        <v>40853</v>
      </c>
      <c r="K13540" t="s">
        <v>42283</v>
      </c>
      <c r="M13540" t="s">
        <v>44729</v>
      </c>
      <c r="N13540" t="s">
        <v>46569</v>
      </c>
      <c r="O13540" t="s">
        <v>46570</v>
      </c>
      <c r="Q13540">
        <v>10</v>
      </c>
      <c r="R13540" t="s">
        <v>46586</v>
      </c>
      <c r="S13540" t="s">
        <v>47274</v>
      </c>
      <c r="T13540" t="s">
        <v>48228</v>
      </c>
      <c r="U13540" t="s">
        <v>59647</v>
      </c>
      <c r="W13540" t="s">
        <v>46084</v>
      </c>
      <c r="X13540" t="s">
        <v>46587</v>
      </c>
    </row>
    <row r="13541" spans="1:24">
      <c r="A13541">
        <f>HYPERLINK("https://www.philgeps.gov.ph/GEPSNONPILOT/Tender/SplashBidNoticeAbstractUI.aspx?menuIndex=3&amp;refID=7035905&amp;Result=3","7035905")</f>
        <v>0</v>
      </c>
      <c r="B13541" t="s">
        <v>1732</v>
      </c>
      <c r="C13541" t="s">
        <v>16390</v>
      </c>
      <c r="D13541" t="s">
        <v>18784</v>
      </c>
      <c r="E13541" t="s">
        <v>30528</v>
      </c>
      <c r="F13541" t="s">
        <v>32664</v>
      </c>
      <c r="G13541" t="s">
        <v>32672</v>
      </c>
      <c r="H13541" t="s">
        <v>12635</v>
      </c>
      <c r="I13541" t="s">
        <v>7759</v>
      </c>
      <c r="J13541" t="s">
        <v>40854</v>
      </c>
      <c r="K13541" t="s">
        <v>42297</v>
      </c>
      <c r="M13541" t="s">
        <v>44431</v>
      </c>
      <c r="N13541" t="s">
        <v>46569</v>
      </c>
      <c r="O13541" t="s">
        <v>46570</v>
      </c>
      <c r="P13541">
        <v>0</v>
      </c>
      <c r="Q13541">
        <v>2</v>
      </c>
      <c r="R13541" t="s">
        <v>46586</v>
      </c>
      <c r="S13541" t="s">
        <v>47252</v>
      </c>
      <c r="T13541" t="s">
        <v>48285</v>
      </c>
      <c r="U13541" t="s">
        <v>59644</v>
      </c>
      <c r="W13541" t="s">
        <v>44431</v>
      </c>
      <c r="X13541" t="s">
        <v>46587</v>
      </c>
    </row>
    <row r="13542" spans="1:24">
      <c r="A13542">
        <f>HYPERLINK("https://www.philgeps.gov.ph/GEPSNONPILOT/Tender/SplashBidNoticeAbstractUI.aspx?menuIndex=3&amp;refID=7035696&amp;Result=3","7035696")</f>
        <v>0</v>
      </c>
      <c r="B13542" t="s">
        <v>3211</v>
      </c>
      <c r="C13542" t="s">
        <v>16391</v>
      </c>
      <c r="D13542" t="s">
        <v>18784</v>
      </c>
      <c r="E13542" t="s">
        <v>30533</v>
      </c>
      <c r="F13542" t="s">
        <v>32664</v>
      </c>
      <c r="G13542" t="s">
        <v>32672</v>
      </c>
      <c r="H13542" t="s">
        <v>32682</v>
      </c>
      <c r="I13542" t="s">
        <v>10370</v>
      </c>
      <c r="J13542" t="s">
        <v>40855</v>
      </c>
      <c r="K13542" t="s">
        <v>42284</v>
      </c>
      <c r="M13542" t="s">
        <v>46268</v>
      </c>
      <c r="N13542" t="s">
        <v>46569</v>
      </c>
      <c r="O13542" t="s">
        <v>46570</v>
      </c>
      <c r="P13542">
        <v>0</v>
      </c>
      <c r="Q13542">
        <v>0</v>
      </c>
      <c r="R13542" t="s">
        <v>46586</v>
      </c>
      <c r="S13542" t="s">
        <v>47252</v>
      </c>
      <c r="T13542" t="s">
        <v>48244</v>
      </c>
      <c r="U13542" t="s">
        <v>59626</v>
      </c>
      <c r="W13542" t="s">
        <v>46268</v>
      </c>
      <c r="X13542" t="s">
        <v>46587</v>
      </c>
    </row>
    <row r="13543" spans="1:24">
      <c r="A13543">
        <f>HYPERLINK("https://www.philgeps.gov.ph/GEPSNONPILOT/Tender/SplashBidNoticeAbstractUI.aspx?menuIndex=3&amp;refID=7035673&amp;Result=3","7035673")</f>
        <v>0</v>
      </c>
      <c r="B13543" t="s">
        <v>3211</v>
      </c>
      <c r="C13543" t="s">
        <v>16392</v>
      </c>
      <c r="D13543" t="s">
        <v>18784</v>
      </c>
      <c r="E13543" t="s">
        <v>30534</v>
      </c>
      <c r="F13543" t="s">
        <v>32664</v>
      </c>
      <c r="G13543" t="s">
        <v>32672</v>
      </c>
      <c r="H13543" t="s">
        <v>32682</v>
      </c>
      <c r="I13543" t="s">
        <v>10370</v>
      </c>
      <c r="J13543" t="s">
        <v>40856</v>
      </c>
      <c r="K13543" t="s">
        <v>42284</v>
      </c>
      <c r="M13543" t="s">
        <v>46268</v>
      </c>
      <c r="N13543" t="s">
        <v>46569</v>
      </c>
      <c r="O13543" t="s">
        <v>46570</v>
      </c>
      <c r="P13543">
        <v>0</v>
      </c>
      <c r="Q13543">
        <v>0</v>
      </c>
      <c r="R13543" t="s">
        <v>46586</v>
      </c>
      <c r="S13543" t="s">
        <v>47252</v>
      </c>
      <c r="T13543" t="s">
        <v>48244</v>
      </c>
      <c r="U13543" t="s">
        <v>59626</v>
      </c>
      <c r="W13543" t="s">
        <v>46268</v>
      </c>
      <c r="X13543" t="s">
        <v>46587</v>
      </c>
    </row>
    <row r="13544" spans="1:24">
      <c r="A13544">
        <f>HYPERLINK("https://www.philgeps.gov.ph/GEPSNONPILOT/Tender/SplashBidNoticeAbstractUI.aspx?menuIndex=3&amp;refID=7035432&amp;Result=3","7035432")</f>
        <v>0</v>
      </c>
      <c r="B13544" t="s">
        <v>3211</v>
      </c>
      <c r="C13544" t="s">
        <v>16393</v>
      </c>
      <c r="D13544" t="s">
        <v>18784</v>
      </c>
      <c r="E13544" t="s">
        <v>30535</v>
      </c>
      <c r="F13544" t="s">
        <v>32664</v>
      </c>
      <c r="G13544" t="s">
        <v>32672</v>
      </c>
      <c r="H13544" t="s">
        <v>12635</v>
      </c>
      <c r="I13544" t="s">
        <v>6118</v>
      </c>
      <c r="J13544" t="s">
        <v>40857</v>
      </c>
      <c r="K13544" t="s">
        <v>42284</v>
      </c>
      <c r="M13544" t="s">
        <v>46268</v>
      </c>
      <c r="N13544" t="s">
        <v>46569</v>
      </c>
      <c r="O13544" t="s">
        <v>46570</v>
      </c>
      <c r="P13544">
        <v>0</v>
      </c>
      <c r="Q13544">
        <v>0</v>
      </c>
      <c r="R13544" t="s">
        <v>46586</v>
      </c>
      <c r="S13544" t="s">
        <v>47252</v>
      </c>
      <c r="T13544" t="s">
        <v>48244</v>
      </c>
      <c r="U13544" t="s">
        <v>59338</v>
      </c>
      <c r="W13544" t="s">
        <v>46268</v>
      </c>
      <c r="X13544" t="s">
        <v>46587</v>
      </c>
    </row>
    <row r="13545" spans="1:24">
      <c r="A13545">
        <f>HYPERLINK("https://www.philgeps.gov.ph/GEPSNONPILOT/Tender/SplashBidNoticeAbstractUI.aspx?menuIndex=3&amp;refID=7035426&amp;Result=3","7035426")</f>
        <v>0</v>
      </c>
      <c r="B13545" t="s">
        <v>3330</v>
      </c>
      <c r="C13545" t="s">
        <v>16394</v>
      </c>
      <c r="D13545" t="s">
        <v>18822</v>
      </c>
      <c r="E13545" t="s">
        <v>30536</v>
      </c>
      <c r="F13545" t="s">
        <v>32664</v>
      </c>
      <c r="G13545" t="s">
        <v>32672</v>
      </c>
      <c r="H13545" t="s">
        <v>32683</v>
      </c>
      <c r="I13545" t="s">
        <v>10627</v>
      </c>
      <c r="J13545" t="s">
        <v>40858</v>
      </c>
      <c r="K13545" t="s">
        <v>42283</v>
      </c>
      <c r="M13545" t="s">
        <v>46281</v>
      </c>
      <c r="N13545" t="s">
        <v>46569</v>
      </c>
      <c r="O13545" t="s">
        <v>46570</v>
      </c>
      <c r="Q13545">
        <v>0</v>
      </c>
      <c r="R13545" t="s">
        <v>46586</v>
      </c>
      <c r="S13545" t="s">
        <v>47275</v>
      </c>
      <c r="T13545" t="s">
        <v>48219</v>
      </c>
      <c r="U13545" t="s">
        <v>59648</v>
      </c>
      <c r="W13545" t="s">
        <v>46281</v>
      </c>
      <c r="X13545" t="s">
        <v>46587</v>
      </c>
    </row>
    <row r="13546" spans="1:24">
      <c r="A13546">
        <f>HYPERLINK("https://www.philgeps.gov.ph/GEPSNONPILOT/Tender/SplashBidNoticeAbstractUI.aspx?menuIndex=3&amp;refID=7035721&amp;Result=3","7035721")</f>
        <v>0</v>
      </c>
      <c r="B13546" t="s">
        <v>1314</v>
      </c>
      <c r="C13546" t="s">
        <v>16395</v>
      </c>
      <c r="D13546" t="s">
        <v>18836</v>
      </c>
      <c r="E13546" t="s">
        <v>30537</v>
      </c>
      <c r="F13546" t="s">
        <v>32664</v>
      </c>
      <c r="G13546" t="s">
        <v>32672</v>
      </c>
      <c r="H13546" t="s">
        <v>32682</v>
      </c>
      <c r="I13546" t="s">
        <v>6223</v>
      </c>
      <c r="J13546" t="s">
        <v>40859</v>
      </c>
      <c r="K13546" t="s">
        <v>42281</v>
      </c>
      <c r="M13546" t="s">
        <v>43963</v>
      </c>
      <c r="N13546" t="s">
        <v>46569</v>
      </c>
      <c r="O13546" t="s">
        <v>46570</v>
      </c>
      <c r="Q13546">
        <v>3</v>
      </c>
      <c r="R13546" t="s">
        <v>46586</v>
      </c>
      <c r="S13546" t="s">
        <v>47276</v>
      </c>
      <c r="T13546" t="s">
        <v>48285</v>
      </c>
      <c r="U13546" t="s">
        <v>51587</v>
      </c>
      <c r="V13546" t="s">
        <v>62728</v>
      </c>
      <c r="W13546" t="s">
        <v>43963</v>
      </c>
      <c r="X13546" t="s">
        <v>46587</v>
      </c>
    </row>
    <row r="13547" spans="1:24">
      <c r="A13547">
        <f>HYPERLINK("https://www.philgeps.gov.ph/GEPSNONPILOT/Tender/SplashBidNoticeAbstractUI.aspx?menuIndex=3&amp;refID=7035518&amp;Result=3","7035518")</f>
        <v>0</v>
      </c>
      <c r="B13547" t="s">
        <v>1968</v>
      </c>
      <c r="C13547" t="s">
        <v>16396</v>
      </c>
      <c r="D13547" t="s">
        <v>18791</v>
      </c>
      <c r="E13547" t="s">
        <v>30538</v>
      </c>
      <c r="F13547" t="s">
        <v>32664</v>
      </c>
      <c r="G13547" t="s">
        <v>32672</v>
      </c>
      <c r="H13547" t="s">
        <v>12635</v>
      </c>
      <c r="I13547" t="s">
        <v>4439</v>
      </c>
      <c r="J13547" t="s">
        <v>40860</v>
      </c>
      <c r="K13547" t="s">
        <v>42284</v>
      </c>
      <c r="M13547" t="s">
        <v>44701</v>
      </c>
      <c r="N13547" t="s">
        <v>46569</v>
      </c>
      <c r="O13547" t="s">
        <v>46570</v>
      </c>
      <c r="P13547">
        <v>0</v>
      </c>
      <c r="Q13547">
        <v>0</v>
      </c>
      <c r="R13547" t="s">
        <v>46586</v>
      </c>
      <c r="S13547" t="s">
        <v>47252</v>
      </c>
      <c r="T13547" t="s">
        <v>48452</v>
      </c>
      <c r="U13547" t="s">
        <v>59649</v>
      </c>
      <c r="W13547" t="s">
        <v>44701</v>
      </c>
      <c r="X13547" t="s">
        <v>46587</v>
      </c>
    </row>
    <row r="13548" spans="1:24">
      <c r="A13548">
        <f>HYPERLINK("https://www.philgeps.gov.ph/GEPSNONPILOT/Tender/SplashBidNoticeAbstractUI.aspx?menuIndex=3&amp;refID=7035422&amp;Result=3","7035422")</f>
        <v>0</v>
      </c>
      <c r="B13548" t="s">
        <v>3211</v>
      </c>
      <c r="C13548" t="s">
        <v>16397</v>
      </c>
      <c r="D13548" t="s">
        <v>18784</v>
      </c>
      <c r="E13548" t="s">
        <v>30539</v>
      </c>
      <c r="F13548" t="s">
        <v>32664</v>
      </c>
      <c r="G13548" t="s">
        <v>32672</v>
      </c>
      <c r="H13548" t="s">
        <v>12635</v>
      </c>
      <c r="I13548" t="s">
        <v>6223</v>
      </c>
      <c r="J13548" t="s">
        <v>40861</v>
      </c>
      <c r="K13548" t="s">
        <v>42284</v>
      </c>
      <c r="M13548" t="s">
        <v>46268</v>
      </c>
      <c r="N13548" t="s">
        <v>46569</v>
      </c>
      <c r="O13548" t="s">
        <v>46570</v>
      </c>
      <c r="P13548">
        <v>0</v>
      </c>
      <c r="Q13548">
        <v>1</v>
      </c>
      <c r="R13548" t="s">
        <v>46586</v>
      </c>
      <c r="S13548" t="s">
        <v>47252</v>
      </c>
      <c r="T13548" t="s">
        <v>48244</v>
      </c>
      <c r="U13548" t="s">
        <v>58869</v>
      </c>
      <c r="W13548" t="s">
        <v>46268</v>
      </c>
      <c r="X13548" t="s">
        <v>46587</v>
      </c>
    </row>
    <row r="13549" spans="1:24">
      <c r="A13549">
        <f>HYPERLINK("https://www.philgeps.gov.ph/GEPSNONPILOT/Tender/SplashBidNoticeAbstractUI.aspx?menuIndex=3&amp;refID=7036060&amp;Result=3","7036060")</f>
        <v>0</v>
      </c>
      <c r="B13549" t="s">
        <v>3331</v>
      </c>
      <c r="C13549" t="s">
        <v>9979</v>
      </c>
      <c r="D13549" t="s">
        <v>18806</v>
      </c>
      <c r="E13549" t="s">
        <v>18889</v>
      </c>
      <c r="F13549" t="s">
        <v>32664</v>
      </c>
      <c r="G13549" t="s">
        <v>32672</v>
      </c>
      <c r="H13549" t="s">
        <v>12635</v>
      </c>
      <c r="I13549" t="s">
        <v>4439</v>
      </c>
      <c r="J13549" t="s">
        <v>40862</v>
      </c>
      <c r="K13549" t="s">
        <v>42281</v>
      </c>
      <c r="M13549" t="s">
        <v>46282</v>
      </c>
      <c r="N13549" t="s">
        <v>46569</v>
      </c>
      <c r="O13549" t="s">
        <v>46570</v>
      </c>
      <c r="P13549">
        <v>0</v>
      </c>
      <c r="Q13549">
        <v>0</v>
      </c>
      <c r="R13549" t="s">
        <v>46586</v>
      </c>
      <c r="S13549" t="s">
        <v>47252</v>
      </c>
      <c r="T13549" t="s">
        <v>48283</v>
      </c>
      <c r="U13549" t="s">
        <v>59650</v>
      </c>
      <c r="W13549" t="s">
        <v>46282</v>
      </c>
      <c r="X13549" t="s">
        <v>46587</v>
      </c>
    </row>
    <row r="13550" spans="1:24">
      <c r="A13550">
        <f>HYPERLINK("https://www.philgeps.gov.ph/GEPSNONPILOT/Tender/SplashBidNoticeAbstractUI.aspx?menuIndex=3&amp;refID=7036053&amp;Result=3","7036053")</f>
        <v>0</v>
      </c>
      <c r="B13550" t="s">
        <v>3215</v>
      </c>
      <c r="C13550" t="s">
        <v>16398</v>
      </c>
      <c r="D13550" t="s">
        <v>18832</v>
      </c>
      <c r="E13550" t="s">
        <v>30540</v>
      </c>
      <c r="F13550" t="s">
        <v>32664</v>
      </c>
      <c r="G13550" t="s">
        <v>32672</v>
      </c>
      <c r="H13550" t="s">
        <v>12635</v>
      </c>
      <c r="I13550" t="s">
        <v>4439</v>
      </c>
      <c r="J13550" t="s">
        <v>40863</v>
      </c>
      <c r="K13550" t="s">
        <v>42281</v>
      </c>
      <c r="M13550" t="s">
        <v>46135</v>
      </c>
      <c r="N13550" t="s">
        <v>46569</v>
      </c>
      <c r="O13550" t="s">
        <v>46570</v>
      </c>
      <c r="P13550">
        <v>0</v>
      </c>
      <c r="Q13550">
        <v>1</v>
      </c>
      <c r="R13550" t="s">
        <v>46586</v>
      </c>
      <c r="S13550" t="s">
        <v>47252</v>
      </c>
      <c r="T13550" t="s">
        <v>48283</v>
      </c>
      <c r="U13550" t="s">
        <v>59651</v>
      </c>
      <c r="V13550" t="s">
        <v>63124</v>
      </c>
      <c r="W13550" t="s">
        <v>46135</v>
      </c>
      <c r="X13550" t="s">
        <v>46587</v>
      </c>
    </row>
    <row r="13551" spans="1:24">
      <c r="A13551">
        <f>HYPERLINK("https://www.philgeps.gov.ph/GEPSNONPILOT/Tender/SplashBidNoticeAbstractUI.aspx?menuIndex=3&amp;refID=7035684&amp;Result=3","7035684")</f>
        <v>0</v>
      </c>
      <c r="B13551" t="s">
        <v>3325</v>
      </c>
      <c r="C13551" t="s">
        <v>16399</v>
      </c>
      <c r="D13551" t="s">
        <v>18847</v>
      </c>
      <c r="E13551" t="s">
        <v>24785</v>
      </c>
      <c r="F13551" t="s">
        <v>32664</v>
      </c>
      <c r="G13551" t="s">
        <v>32672</v>
      </c>
      <c r="H13551" t="s">
        <v>32683</v>
      </c>
      <c r="I13551" t="s">
        <v>10627</v>
      </c>
      <c r="J13551" t="s">
        <v>40864</v>
      </c>
      <c r="K13551" t="s">
        <v>42435</v>
      </c>
      <c r="M13551" t="s">
        <v>46276</v>
      </c>
      <c r="N13551" t="s">
        <v>46569</v>
      </c>
      <c r="O13551" t="s">
        <v>46570</v>
      </c>
      <c r="P13551">
        <v>0</v>
      </c>
      <c r="Q13551">
        <v>0</v>
      </c>
      <c r="R13551" t="s">
        <v>46586</v>
      </c>
      <c r="S13551" t="s">
        <v>47252</v>
      </c>
      <c r="T13551" t="s">
        <v>48608</v>
      </c>
      <c r="U13551" t="s">
        <v>59652</v>
      </c>
      <c r="W13551" t="s">
        <v>46276</v>
      </c>
      <c r="X13551" t="s">
        <v>46587</v>
      </c>
    </row>
    <row r="13552" spans="1:24">
      <c r="A13552">
        <f>HYPERLINK("https://www.philgeps.gov.ph/GEPSNONPILOT/Tender/SplashBidNoticeAbstractUI.aspx?menuIndex=3&amp;refID=7036026&amp;Result=3","7036026")</f>
        <v>0</v>
      </c>
      <c r="B13552" t="s">
        <v>3332</v>
      </c>
      <c r="C13552" t="s">
        <v>16400</v>
      </c>
      <c r="D13552" t="s">
        <v>18843</v>
      </c>
      <c r="E13552" t="s">
        <v>30541</v>
      </c>
      <c r="F13552" t="s">
        <v>32664</v>
      </c>
      <c r="G13552" t="s">
        <v>32672</v>
      </c>
      <c r="H13552" t="s">
        <v>32683</v>
      </c>
      <c r="I13552" t="s">
        <v>10627</v>
      </c>
      <c r="J13552" t="s">
        <v>40865</v>
      </c>
      <c r="K13552" t="s">
        <v>42305</v>
      </c>
      <c r="M13552" t="s">
        <v>46283</v>
      </c>
      <c r="N13552" t="s">
        <v>46569</v>
      </c>
      <c r="O13552" t="s">
        <v>46570</v>
      </c>
      <c r="P13552">
        <v>0</v>
      </c>
      <c r="Q13552">
        <v>1</v>
      </c>
      <c r="R13552" t="s">
        <v>46586</v>
      </c>
      <c r="S13552" t="s">
        <v>47252</v>
      </c>
      <c r="T13552" t="s">
        <v>48226</v>
      </c>
      <c r="U13552" t="s">
        <v>59653</v>
      </c>
      <c r="W13552" t="s">
        <v>46283</v>
      </c>
      <c r="X13552" t="s">
        <v>46587</v>
      </c>
    </row>
    <row r="13553" spans="1:24">
      <c r="A13553">
        <f>HYPERLINK("https://www.philgeps.gov.ph/GEPSNONPILOT/Tender/SplashBidNoticeAbstractUI.aspx?menuIndex=3&amp;refID=7036023&amp;Result=3","7036023")</f>
        <v>0</v>
      </c>
      <c r="B13553" t="s">
        <v>3326</v>
      </c>
      <c r="C13553" t="s">
        <v>16401</v>
      </c>
      <c r="D13553" t="s">
        <v>18847</v>
      </c>
      <c r="E13553" t="s">
        <v>30542</v>
      </c>
      <c r="F13553" t="s">
        <v>32664</v>
      </c>
      <c r="G13553" t="s">
        <v>32672</v>
      </c>
      <c r="H13553" t="s">
        <v>12635</v>
      </c>
      <c r="I13553" t="s">
        <v>32721</v>
      </c>
      <c r="J13553" t="s">
        <v>33084</v>
      </c>
      <c r="K13553" t="s">
        <v>42297</v>
      </c>
      <c r="M13553" t="s">
        <v>46277</v>
      </c>
      <c r="N13553" t="s">
        <v>46569</v>
      </c>
      <c r="O13553" t="s">
        <v>46570</v>
      </c>
      <c r="P13553">
        <v>0</v>
      </c>
      <c r="Q13553">
        <v>9</v>
      </c>
      <c r="R13553" t="s">
        <v>46586</v>
      </c>
      <c r="S13553" t="s">
        <v>47252</v>
      </c>
      <c r="T13553" t="s">
        <v>48256</v>
      </c>
      <c r="U13553" t="s">
        <v>59654</v>
      </c>
      <c r="W13553" t="s">
        <v>46277</v>
      </c>
      <c r="X13553" t="s">
        <v>46587</v>
      </c>
    </row>
    <row r="13554" spans="1:24">
      <c r="A13554">
        <f>HYPERLINK("https://www.philgeps.gov.ph/GEPSNONPILOT/Tender/SplashBidNoticeAbstractUI.aspx?menuIndex=3&amp;refID=7035424&amp;Result=3","7035424")</f>
        <v>0</v>
      </c>
      <c r="B13554" t="s">
        <v>393</v>
      </c>
      <c r="C13554" t="s">
        <v>16402</v>
      </c>
      <c r="D13554" t="s">
        <v>18853</v>
      </c>
      <c r="E13554" t="s">
        <v>30543</v>
      </c>
      <c r="F13554" t="s">
        <v>32664</v>
      </c>
      <c r="G13554" t="s">
        <v>32672</v>
      </c>
      <c r="H13554" t="s">
        <v>32683</v>
      </c>
      <c r="I13554" t="s">
        <v>10627</v>
      </c>
      <c r="J13554" t="s">
        <v>40866</v>
      </c>
      <c r="K13554" t="s">
        <v>42326</v>
      </c>
      <c r="L13554" t="s">
        <v>393</v>
      </c>
      <c r="M13554" t="s">
        <v>42963</v>
      </c>
      <c r="N13554" t="s">
        <v>46569</v>
      </c>
      <c r="O13554" t="s">
        <v>46570</v>
      </c>
      <c r="P13554">
        <v>0</v>
      </c>
      <c r="Q13554">
        <v>1</v>
      </c>
      <c r="R13554" t="s">
        <v>46586</v>
      </c>
      <c r="S13554" t="s">
        <v>47252</v>
      </c>
      <c r="T13554" t="s">
        <v>48221</v>
      </c>
      <c r="U13554" t="s">
        <v>59655</v>
      </c>
      <c r="V13554" t="s">
        <v>63125</v>
      </c>
      <c r="W13554" t="s">
        <v>42963</v>
      </c>
      <c r="X13554" t="s">
        <v>46587</v>
      </c>
    </row>
    <row r="13555" spans="1:24">
      <c r="A13555">
        <f>HYPERLINK("https://www.philgeps.gov.ph/GEPSNONPILOT/Tender/SplashBidNoticeAbstractUI.aspx?menuIndex=3&amp;refID=7036022&amp;Result=3","7036022")</f>
        <v>0</v>
      </c>
      <c r="B13555" t="s">
        <v>3211</v>
      </c>
      <c r="C13555" t="s">
        <v>16403</v>
      </c>
      <c r="D13555" t="s">
        <v>18784</v>
      </c>
      <c r="E13555" t="s">
        <v>30544</v>
      </c>
      <c r="F13555" t="s">
        <v>32664</v>
      </c>
      <c r="G13555" t="s">
        <v>32672</v>
      </c>
      <c r="H13555" t="s">
        <v>32682</v>
      </c>
      <c r="I13555" t="s">
        <v>32731</v>
      </c>
      <c r="J13555" t="s">
        <v>40867</v>
      </c>
      <c r="K13555" t="s">
        <v>42284</v>
      </c>
      <c r="M13555" t="s">
        <v>46268</v>
      </c>
      <c r="N13555" t="s">
        <v>46569</v>
      </c>
      <c r="O13555" t="s">
        <v>46570</v>
      </c>
      <c r="P13555">
        <v>0</v>
      </c>
      <c r="Q13555">
        <v>0</v>
      </c>
      <c r="R13555" t="s">
        <v>46586</v>
      </c>
      <c r="S13555" t="s">
        <v>47252</v>
      </c>
      <c r="T13555" t="s">
        <v>48244</v>
      </c>
      <c r="U13555" t="s">
        <v>59612</v>
      </c>
      <c r="W13555" t="s">
        <v>46268</v>
      </c>
      <c r="X13555" t="s">
        <v>46587</v>
      </c>
    </row>
    <row r="13556" spans="1:24">
      <c r="A13556">
        <f>HYPERLINK("https://www.philgeps.gov.ph/GEPSNONPILOT/Tender/SplashBidNoticeAbstractUI.aspx?menuIndex=3&amp;refID=7036012&amp;Result=3","7036012")</f>
        <v>0</v>
      </c>
      <c r="B13556" t="s">
        <v>3211</v>
      </c>
      <c r="C13556" t="s">
        <v>16404</v>
      </c>
      <c r="D13556" t="s">
        <v>18784</v>
      </c>
      <c r="E13556" t="s">
        <v>30545</v>
      </c>
      <c r="F13556" t="s">
        <v>32664</v>
      </c>
      <c r="G13556" t="s">
        <v>32672</v>
      </c>
      <c r="H13556" t="s">
        <v>12635</v>
      </c>
      <c r="I13556" t="s">
        <v>6118</v>
      </c>
      <c r="J13556" t="s">
        <v>40868</v>
      </c>
      <c r="K13556" t="s">
        <v>42284</v>
      </c>
      <c r="M13556" t="s">
        <v>46268</v>
      </c>
      <c r="N13556" t="s">
        <v>46569</v>
      </c>
      <c r="O13556" t="s">
        <v>46570</v>
      </c>
      <c r="P13556">
        <v>0</v>
      </c>
      <c r="Q13556">
        <v>0</v>
      </c>
      <c r="R13556" t="s">
        <v>46586</v>
      </c>
      <c r="S13556" t="s">
        <v>47252</v>
      </c>
      <c r="T13556" t="s">
        <v>48244</v>
      </c>
      <c r="U13556" t="s">
        <v>59338</v>
      </c>
      <c r="W13556" t="s">
        <v>46268</v>
      </c>
      <c r="X13556" t="s">
        <v>46587</v>
      </c>
    </row>
    <row r="13557" spans="1:24">
      <c r="A13557">
        <f>HYPERLINK("https://www.philgeps.gov.ph/GEPSNONPILOT/Tender/SplashBidNoticeAbstractUI.aspx?menuIndex=3&amp;refID=7035993&amp;Result=3","7035993")</f>
        <v>0</v>
      </c>
      <c r="B13557" t="s">
        <v>1017</v>
      </c>
      <c r="C13557" t="s">
        <v>16405</v>
      </c>
      <c r="E13557" t="s">
        <v>30546</v>
      </c>
      <c r="F13557" t="s">
        <v>32664</v>
      </c>
      <c r="G13557" t="s">
        <v>32672</v>
      </c>
      <c r="H13557" t="s">
        <v>32683</v>
      </c>
      <c r="I13557" t="s">
        <v>10627</v>
      </c>
      <c r="J13557" t="s">
        <v>32962</v>
      </c>
      <c r="K13557" t="s">
        <v>42298</v>
      </c>
      <c r="M13557" t="s">
        <v>46284</v>
      </c>
      <c r="N13557" t="s">
        <v>46569</v>
      </c>
      <c r="O13557" t="s">
        <v>46570</v>
      </c>
      <c r="Q13557">
        <v>1</v>
      </c>
      <c r="R13557" t="s">
        <v>46586</v>
      </c>
      <c r="S13557" t="s">
        <v>47277</v>
      </c>
      <c r="T13557" t="s">
        <v>48228</v>
      </c>
      <c r="U13557" t="s">
        <v>59656</v>
      </c>
      <c r="V13557" t="s">
        <v>63126</v>
      </c>
      <c r="W13557" t="s">
        <v>46284</v>
      </c>
      <c r="X13557" t="s">
        <v>46587</v>
      </c>
    </row>
    <row r="13558" spans="1:24">
      <c r="A13558">
        <f>HYPERLINK("https://www.philgeps.gov.ph/GEPSNONPILOT/Tender/SplashBidNoticeAbstractUI.aspx?menuIndex=3&amp;refID=7036070&amp;Result=3","7036070")</f>
        <v>0</v>
      </c>
      <c r="B13558" t="s">
        <v>3333</v>
      </c>
      <c r="C13558" t="s">
        <v>16406</v>
      </c>
      <c r="D13558" t="s">
        <v>18807</v>
      </c>
      <c r="E13558" t="s">
        <v>30547</v>
      </c>
      <c r="F13558" t="s">
        <v>32664</v>
      </c>
      <c r="G13558" t="s">
        <v>32672</v>
      </c>
      <c r="H13558" t="s">
        <v>32683</v>
      </c>
      <c r="I13558" t="s">
        <v>10627</v>
      </c>
      <c r="J13558" t="s">
        <v>40869</v>
      </c>
      <c r="K13558" t="s">
        <v>42315</v>
      </c>
      <c r="M13558" t="s">
        <v>46285</v>
      </c>
      <c r="N13558" t="s">
        <v>46569</v>
      </c>
      <c r="O13558" t="s">
        <v>46570</v>
      </c>
      <c r="P13558">
        <v>0</v>
      </c>
      <c r="Q13558">
        <v>3</v>
      </c>
      <c r="R13558" t="s">
        <v>46586</v>
      </c>
      <c r="S13558" t="s">
        <v>47252</v>
      </c>
      <c r="T13558" t="s">
        <v>48238</v>
      </c>
      <c r="U13558" t="s">
        <v>59657</v>
      </c>
      <c r="W13558" t="s">
        <v>46285</v>
      </c>
      <c r="X13558" t="s">
        <v>46587</v>
      </c>
    </row>
    <row r="13559" spans="1:24">
      <c r="A13559">
        <f>HYPERLINK("https://www.philgeps.gov.ph/GEPSNONPILOT/Tender/SplashBidNoticeAbstractUI.aspx?menuIndex=3&amp;refID=7035705&amp;Result=3","7035705")</f>
        <v>0</v>
      </c>
      <c r="B13559" t="s">
        <v>3321</v>
      </c>
      <c r="C13559" t="s">
        <v>16407</v>
      </c>
      <c r="D13559" t="s">
        <v>18787</v>
      </c>
      <c r="E13559" t="s">
        <v>30548</v>
      </c>
      <c r="F13559" t="s">
        <v>32664</v>
      </c>
      <c r="G13559" t="s">
        <v>32672</v>
      </c>
      <c r="H13559" t="s">
        <v>12635</v>
      </c>
      <c r="I13559" t="s">
        <v>32693</v>
      </c>
      <c r="J13559" t="s">
        <v>32981</v>
      </c>
      <c r="K13559" t="s">
        <v>42285</v>
      </c>
      <c r="M13559" t="s">
        <v>46272</v>
      </c>
      <c r="N13559" t="s">
        <v>46569</v>
      </c>
      <c r="O13559" t="s">
        <v>46570</v>
      </c>
      <c r="P13559">
        <v>0</v>
      </c>
      <c r="Q13559">
        <v>9</v>
      </c>
      <c r="R13559" t="s">
        <v>46586</v>
      </c>
      <c r="S13559" t="s">
        <v>47252</v>
      </c>
      <c r="T13559" t="s">
        <v>48411</v>
      </c>
      <c r="U13559" t="s">
        <v>59658</v>
      </c>
      <c r="W13559" t="s">
        <v>63592</v>
      </c>
      <c r="X13559" t="s">
        <v>46587</v>
      </c>
    </row>
    <row r="13560" spans="1:24">
      <c r="A13560">
        <f>HYPERLINK("https://www.philgeps.gov.ph/GEPSNONPILOT/Tender/SplashBidNoticeAbstractUI.aspx?menuIndex=3&amp;refID=7035820&amp;Result=3","7035820")</f>
        <v>0</v>
      </c>
      <c r="B13560" t="s">
        <v>3325</v>
      </c>
      <c r="C13560" t="s">
        <v>16408</v>
      </c>
      <c r="D13560" t="s">
        <v>18847</v>
      </c>
      <c r="E13560" t="s">
        <v>20957</v>
      </c>
      <c r="F13560" t="s">
        <v>32664</v>
      </c>
      <c r="G13560" t="s">
        <v>32672</v>
      </c>
      <c r="H13560" t="s">
        <v>32683</v>
      </c>
      <c r="I13560" t="s">
        <v>10627</v>
      </c>
      <c r="J13560" t="s">
        <v>40870</v>
      </c>
      <c r="K13560" t="s">
        <v>42344</v>
      </c>
      <c r="M13560" t="s">
        <v>46276</v>
      </c>
      <c r="N13560" t="s">
        <v>46569</v>
      </c>
      <c r="O13560" t="s">
        <v>46570</v>
      </c>
      <c r="P13560">
        <v>0</v>
      </c>
      <c r="Q13560">
        <v>0</v>
      </c>
      <c r="R13560" t="s">
        <v>46586</v>
      </c>
      <c r="S13560" t="s">
        <v>47252</v>
      </c>
      <c r="T13560" t="s">
        <v>48608</v>
      </c>
      <c r="U13560" t="s">
        <v>59659</v>
      </c>
      <c r="W13560" t="s">
        <v>46276</v>
      </c>
      <c r="X13560" t="s">
        <v>46587</v>
      </c>
    </row>
    <row r="13561" spans="1:24">
      <c r="A13561">
        <f>HYPERLINK("https://www.philgeps.gov.ph/GEPSNONPILOT/Tender/SplashBidNoticeAbstractUI.aspx?menuIndex=3&amp;refID=7035727&amp;Result=3","7035727")</f>
        <v>0</v>
      </c>
      <c r="B13561" t="s">
        <v>3211</v>
      </c>
      <c r="C13561" t="s">
        <v>16409</v>
      </c>
      <c r="D13561" t="s">
        <v>18784</v>
      </c>
      <c r="E13561" t="s">
        <v>30549</v>
      </c>
      <c r="F13561" t="s">
        <v>32664</v>
      </c>
      <c r="G13561" t="s">
        <v>32672</v>
      </c>
      <c r="H13561" t="s">
        <v>32682</v>
      </c>
      <c r="I13561" t="s">
        <v>10370</v>
      </c>
      <c r="J13561" t="s">
        <v>40871</v>
      </c>
      <c r="K13561" t="s">
        <v>42284</v>
      </c>
      <c r="M13561" t="s">
        <v>46268</v>
      </c>
      <c r="N13561" t="s">
        <v>46569</v>
      </c>
      <c r="O13561" t="s">
        <v>46570</v>
      </c>
      <c r="P13561">
        <v>0</v>
      </c>
      <c r="Q13561">
        <v>0</v>
      </c>
      <c r="R13561" t="s">
        <v>46586</v>
      </c>
      <c r="S13561" t="s">
        <v>47252</v>
      </c>
      <c r="T13561" t="s">
        <v>48244</v>
      </c>
      <c r="U13561" t="s">
        <v>59626</v>
      </c>
      <c r="W13561" t="s">
        <v>46268</v>
      </c>
      <c r="X13561" t="s">
        <v>46587</v>
      </c>
    </row>
    <row r="13562" spans="1:24">
      <c r="A13562">
        <f>HYPERLINK("https://www.philgeps.gov.ph/GEPSNONPILOT/Tender/SplashBidNoticeAbstractUI.aspx?menuIndex=3&amp;refID=7036201&amp;Result=3","7036201")</f>
        <v>0</v>
      </c>
      <c r="B13562" t="s">
        <v>3332</v>
      </c>
      <c r="C13562" t="s">
        <v>16410</v>
      </c>
      <c r="D13562" t="s">
        <v>18843</v>
      </c>
      <c r="E13562" t="s">
        <v>30550</v>
      </c>
      <c r="F13562" t="s">
        <v>32664</v>
      </c>
      <c r="G13562" t="s">
        <v>32672</v>
      </c>
      <c r="H13562" t="s">
        <v>32683</v>
      </c>
      <c r="I13562" t="s">
        <v>10627</v>
      </c>
      <c r="J13562" t="s">
        <v>40872</v>
      </c>
      <c r="K13562" t="s">
        <v>42316</v>
      </c>
      <c r="M13562" t="s">
        <v>46283</v>
      </c>
      <c r="N13562" t="s">
        <v>46569</v>
      </c>
      <c r="O13562" t="s">
        <v>46570</v>
      </c>
      <c r="P13562">
        <v>0</v>
      </c>
      <c r="Q13562">
        <v>0</v>
      </c>
      <c r="R13562" t="s">
        <v>46586</v>
      </c>
      <c r="S13562" t="s">
        <v>47252</v>
      </c>
      <c r="T13562" t="s">
        <v>48226</v>
      </c>
      <c r="U13562" t="s">
        <v>59660</v>
      </c>
      <c r="W13562" t="s">
        <v>46283</v>
      </c>
      <c r="X13562" t="s">
        <v>46587</v>
      </c>
    </row>
    <row r="13563" spans="1:24">
      <c r="A13563">
        <f>HYPERLINK("https://www.philgeps.gov.ph/GEPSNONPILOT/Tender/SplashBidNoticeAbstractUI.aspx?menuIndex=3&amp;refID=7036233&amp;Result=3","7036233")</f>
        <v>0</v>
      </c>
      <c r="B13563" t="s">
        <v>3334</v>
      </c>
      <c r="C13563" t="s">
        <v>16411</v>
      </c>
      <c r="D13563" t="s">
        <v>18804</v>
      </c>
      <c r="E13563" t="s">
        <v>30551</v>
      </c>
      <c r="F13563" t="s">
        <v>32664</v>
      </c>
      <c r="G13563" t="s">
        <v>32672</v>
      </c>
      <c r="H13563" t="s">
        <v>32683</v>
      </c>
      <c r="I13563" t="s">
        <v>10627</v>
      </c>
      <c r="J13563" t="s">
        <v>32898</v>
      </c>
      <c r="K13563" t="s">
        <v>42283</v>
      </c>
      <c r="M13563" t="s">
        <v>46286</v>
      </c>
      <c r="N13563" t="s">
        <v>46569</v>
      </c>
      <c r="O13563" t="s">
        <v>46570</v>
      </c>
      <c r="P13563">
        <v>0</v>
      </c>
      <c r="Q13563">
        <v>0</v>
      </c>
      <c r="R13563" t="s">
        <v>46586</v>
      </c>
      <c r="S13563" t="s">
        <v>47252</v>
      </c>
      <c r="T13563" t="s">
        <v>48244</v>
      </c>
      <c r="U13563" t="s">
        <v>59661</v>
      </c>
      <c r="W13563" t="s">
        <v>46286</v>
      </c>
      <c r="X13563" t="s">
        <v>46587</v>
      </c>
    </row>
    <row r="13564" spans="1:24">
      <c r="A13564">
        <f>HYPERLINK("https://www.philgeps.gov.ph/GEPSNONPILOT/Tender/SplashBidNoticeAbstractUI.aspx?menuIndex=3&amp;refID=7036193&amp;Result=3","7036193")</f>
        <v>0</v>
      </c>
      <c r="B13564" t="s">
        <v>555</v>
      </c>
      <c r="C13564" t="s">
        <v>16412</v>
      </c>
      <c r="D13564" t="s">
        <v>18841</v>
      </c>
      <c r="E13564" t="s">
        <v>30552</v>
      </c>
      <c r="F13564" t="s">
        <v>32664</v>
      </c>
      <c r="G13564" t="s">
        <v>32672</v>
      </c>
      <c r="H13564" t="s">
        <v>32683</v>
      </c>
      <c r="I13564" t="s">
        <v>10627</v>
      </c>
      <c r="J13564" t="s">
        <v>39901</v>
      </c>
      <c r="K13564" t="s">
        <v>42478</v>
      </c>
      <c r="M13564" t="s">
        <v>43135</v>
      </c>
      <c r="N13564" t="s">
        <v>46569</v>
      </c>
      <c r="O13564" t="s">
        <v>46570</v>
      </c>
      <c r="P13564">
        <v>0</v>
      </c>
      <c r="Q13564">
        <v>0</v>
      </c>
      <c r="R13564" t="s">
        <v>46586</v>
      </c>
      <c r="S13564" t="s">
        <v>47252</v>
      </c>
      <c r="T13564" t="s">
        <v>48282</v>
      </c>
      <c r="U13564" t="s">
        <v>59662</v>
      </c>
      <c r="W13564" t="s">
        <v>43135</v>
      </c>
      <c r="X13564" t="s">
        <v>46587</v>
      </c>
    </row>
    <row r="13565" spans="1:24">
      <c r="A13565">
        <f>HYPERLINK("https://www.philgeps.gov.ph/GEPSNONPILOT/Tender/SplashBidNoticeAbstractUI.aspx?menuIndex=3&amp;refID=7036189&amp;Result=3","7036189")</f>
        <v>0</v>
      </c>
      <c r="B13565" t="s">
        <v>431</v>
      </c>
      <c r="C13565" t="s">
        <v>16413</v>
      </c>
      <c r="D13565" t="s">
        <v>18786</v>
      </c>
      <c r="E13565" t="s">
        <v>30553</v>
      </c>
      <c r="F13565" t="s">
        <v>32664</v>
      </c>
      <c r="G13565" t="s">
        <v>32672</v>
      </c>
      <c r="H13565" t="s">
        <v>12635</v>
      </c>
      <c r="I13565" t="s">
        <v>32716</v>
      </c>
      <c r="J13565" t="s">
        <v>40873</v>
      </c>
      <c r="K13565" t="s">
        <v>42311</v>
      </c>
      <c r="M13565" t="s">
        <v>43002</v>
      </c>
      <c r="N13565" t="s">
        <v>46569</v>
      </c>
      <c r="O13565" t="s">
        <v>46570</v>
      </c>
      <c r="P13565">
        <v>0</v>
      </c>
      <c r="Q13565">
        <v>4</v>
      </c>
      <c r="R13565" t="s">
        <v>46586</v>
      </c>
      <c r="S13565" t="s">
        <v>47252</v>
      </c>
      <c r="T13565" t="s">
        <v>48602</v>
      </c>
      <c r="U13565" t="s">
        <v>59663</v>
      </c>
      <c r="W13565" t="s">
        <v>63476</v>
      </c>
      <c r="X13565" t="s">
        <v>46587</v>
      </c>
    </row>
    <row r="13566" spans="1:24">
      <c r="A13566">
        <f>HYPERLINK("https://www.philgeps.gov.ph/GEPSNONPILOT/Tender/SplashBidNoticeAbstractUI.aspx?menuIndex=3&amp;refID=7036185&amp;Result=3","7036185")</f>
        <v>0</v>
      </c>
      <c r="B13566" t="s">
        <v>231</v>
      </c>
      <c r="C13566" t="s">
        <v>16414</v>
      </c>
      <c r="D13566" t="s">
        <v>18845</v>
      </c>
      <c r="E13566" t="s">
        <v>30554</v>
      </c>
      <c r="F13566" t="s">
        <v>32664</v>
      </c>
      <c r="G13566" t="s">
        <v>32671</v>
      </c>
      <c r="H13566" t="s">
        <v>12635</v>
      </c>
      <c r="I13566" t="s">
        <v>32701</v>
      </c>
      <c r="J13566" t="s">
        <v>33632</v>
      </c>
      <c r="K13566" t="s">
        <v>42297</v>
      </c>
      <c r="M13566" t="s">
        <v>42795</v>
      </c>
      <c r="N13566" t="s">
        <v>46569</v>
      </c>
      <c r="O13566" t="s">
        <v>46570</v>
      </c>
      <c r="Q13566">
        <v>0</v>
      </c>
      <c r="R13566" t="s">
        <v>46586</v>
      </c>
      <c r="S13566" t="s">
        <v>47278</v>
      </c>
      <c r="T13566" t="s">
        <v>48287</v>
      </c>
      <c r="U13566" t="s">
        <v>59664</v>
      </c>
      <c r="W13566" t="s">
        <v>42795</v>
      </c>
      <c r="X13566" t="s">
        <v>46587</v>
      </c>
    </row>
    <row r="13567" spans="1:24">
      <c r="A13567">
        <f>HYPERLINK("https://www.philgeps.gov.ph/GEPSNONPILOT/Tender/SplashBidNoticeAbstractUI.aspx?menuIndex=3&amp;refID=7036181&amp;Result=3","7036181")</f>
        <v>0</v>
      </c>
      <c r="B13567" t="s">
        <v>1562</v>
      </c>
      <c r="C13567" t="s">
        <v>16415</v>
      </c>
      <c r="D13567" t="s">
        <v>18805</v>
      </c>
      <c r="E13567" t="s">
        <v>30555</v>
      </c>
      <c r="F13567" t="s">
        <v>32664</v>
      </c>
      <c r="G13567" t="s">
        <v>32672</v>
      </c>
      <c r="H13567" t="s">
        <v>32683</v>
      </c>
      <c r="I13567" t="s">
        <v>10627</v>
      </c>
      <c r="J13567" t="s">
        <v>33084</v>
      </c>
      <c r="K13567" t="s">
        <v>42311</v>
      </c>
      <c r="M13567" t="s">
        <v>44234</v>
      </c>
      <c r="N13567" t="s">
        <v>46569</v>
      </c>
      <c r="O13567" t="s">
        <v>46570</v>
      </c>
      <c r="P13567">
        <v>0</v>
      </c>
      <c r="Q13567">
        <v>2</v>
      </c>
      <c r="R13567" t="s">
        <v>46586</v>
      </c>
      <c r="S13567" t="s">
        <v>47252</v>
      </c>
      <c r="T13567" t="s">
        <v>48304</v>
      </c>
      <c r="U13567" t="s">
        <v>59665</v>
      </c>
      <c r="W13567" t="s">
        <v>44234</v>
      </c>
      <c r="X13567" t="s">
        <v>46587</v>
      </c>
    </row>
    <row r="13568" spans="1:24">
      <c r="A13568">
        <f>HYPERLINK("https://www.philgeps.gov.ph/GEPSNONPILOT/Tender/SplashBidNoticeAbstractUI.aspx?menuIndex=3&amp;refID=7036173&amp;Result=3","7036173")</f>
        <v>0</v>
      </c>
      <c r="B13568" t="s">
        <v>555</v>
      </c>
      <c r="C13568" t="s">
        <v>16416</v>
      </c>
      <c r="D13568" t="s">
        <v>18841</v>
      </c>
      <c r="E13568" t="s">
        <v>30556</v>
      </c>
      <c r="F13568" t="s">
        <v>32664</v>
      </c>
      <c r="G13568" t="s">
        <v>32672</v>
      </c>
      <c r="H13568" t="s">
        <v>32683</v>
      </c>
      <c r="I13568" t="s">
        <v>10627</v>
      </c>
      <c r="J13568" t="s">
        <v>33150</v>
      </c>
      <c r="K13568" t="s">
        <v>42544</v>
      </c>
      <c r="M13568" t="s">
        <v>43135</v>
      </c>
      <c r="N13568" t="s">
        <v>46569</v>
      </c>
      <c r="O13568" t="s">
        <v>46570</v>
      </c>
      <c r="P13568">
        <v>0</v>
      </c>
      <c r="Q13568">
        <v>0</v>
      </c>
      <c r="R13568" t="s">
        <v>46586</v>
      </c>
      <c r="S13568" t="s">
        <v>47252</v>
      </c>
      <c r="T13568" t="s">
        <v>48282</v>
      </c>
      <c r="U13568" t="s">
        <v>59666</v>
      </c>
      <c r="W13568" t="s">
        <v>43135</v>
      </c>
      <c r="X13568" t="s">
        <v>46587</v>
      </c>
    </row>
    <row r="13569" spans="1:24">
      <c r="A13569">
        <f>HYPERLINK("https://www.philgeps.gov.ph/GEPSNONPILOT/Tender/SplashBidNoticeAbstractUI.aspx?menuIndex=3&amp;refID=7036207&amp;Result=3","7036207")</f>
        <v>0</v>
      </c>
      <c r="B13569" t="s">
        <v>1562</v>
      </c>
      <c r="C13569" t="s">
        <v>16417</v>
      </c>
      <c r="D13569" t="s">
        <v>18805</v>
      </c>
      <c r="E13569" t="s">
        <v>30557</v>
      </c>
      <c r="F13569" t="s">
        <v>32664</v>
      </c>
      <c r="G13569" t="s">
        <v>32672</v>
      </c>
      <c r="H13569" t="s">
        <v>32683</v>
      </c>
      <c r="I13569" t="s">
        <v>10627</v>
      </c>
      <c r="J13569" t="s">
        <v>35617</v>
      </c>
      <c r="K13569" t="s">
        <v>42281</v>
      </c>
      <c r="M13569" t="s">
        <v>44234</v>
      </c>
      <c r="N13569" t="s">
        <v>46569</v>
      </c>
      <c r="O13569" t="s">
        <v>46570</v>
      </c>
      <c r="P13569">
        <v>0</v>
      </c>
      <c r="Q13569">
        <v>4</v>
      </c>
      <c r="R13569" t="s">
        <v>46586</v>
      </c>
      <c r="S13569" t="s">
        <v>47252</v>
      </c>
      <c r="T13569" t="s">
        <v>48304</v>
      </c>
      <c r="U13569" t="s">
        <v>59667</v>
      </c>
      <c r="W13569" t="s">
        <v>44234</v>
      </c>
      <c r="X13569" t="s">
        <v>46587</v>
      </c>
    </row>
    <row r="13570" spans="1:24">
      <c r="A13570">
        <f>HYPERLINK("https://www.philgeps.gov.ph/GEPSNONPILOT/Tender/SplashBidNoticeAbstractUI.aspx?menuIndex=3&amp;refID=7036168&amp;Result=3","7036168")</f>
        <v>0</v>
      </c>
      <c r="B13570" t="s">
        <v>1422</v>
      </c>
      <c r="C13570" t="s">
        <v>16418</v>
      </c>
      <c r="E13570" t="s">
        <v>30558</v>
      </c>
      <c r="F13570" t="s">
        <v>32664</v>
      </c>
      <c r="G13570" t="s">
        <v>32672</v>
      </c>
      <c r="H13570" t="s">
        <v>12635</v>
      </c>
      <c r="I13570" t="s">
        <v>32706</v>
      </c>
      <c r="J13570" t="s">
        <v>40874</v>
      </c>
      <c r="K13570" t="s">
        <v>42283</v>
      </c>
      <c r="M13570" t="s">
        <v>44081</v>
      </c>
      <c r="N13570" t="s">
        <v>46569</v>
      </c>
      <c r="O13570" t="s">
        <v>46570</v>
      </c>
      <c r="P13570">
        <v>0</v>
      </c>
      <c r="Q13570">
        <v>1</v>
      </c>
      <c r="R13570" t="s">
        <v>46586</v>
      </c>
      <c r="S13570" t="s">
        <v>47252</v>
      </c>
      <c r="T13570" t="s">
        <v>48256</v>
      </c>
      <c r="U13570" t="s">
        <v>59668</v>
      </c>
      <c r="W13570" t="s">
        <v>44081</v>
      </c>
      <c r="X13570" t="s">
        <v>46587</v>
      </c>
    </row>
    <row r="13571" spans="1:24">
      <c r="A13571">
        <f>HYPERLINK("https://www.philgeps.gov.ph/GEPSNONPILOT/Tender/SplashBidNoticeAbstractUI.aspx?menuIndex=3&amp;refID=7036151&amp;Result=3","7036151")</f>
        <v>0</v>
      </c>
      <c r="B13571" t="s">
        <v>1562</v>
      </c>
      <c r="C13571" t="s">
        <v>16419</v>
      </c>
      <c r="D13571" t="s">
        <v>18805</v>
      </c>
      <c r="E13571" t="s">
        <v>30559</v>
      </c>
      <c r="F13571" t="s">
        <v>32664</v>
      </c>
      <c r="G13571" t="s">
        <v>32672</v>
      </c>
      <c r="H13571" t="s">
        <v>32683</v>
      </c>
      <c r="I13571" t="s">
        <v>10627</v>
      </c>
      <c r="J13571" t="s">
        <v>32962</v>
      </c>
      <c r="K13571" t="s">
        <v>42281</v>
      </c>
      <c r="M13571" t="s">
        <v>44234</v>
      </c>
      <c r="N13571" t="s">
        <v>46569</v>
      </c>
      <c r="O13571" t="s">
        <v>46570</v>
      </c>
      <c r="P13571">
        <v>0</v>
      </c>
      <c r="Q13571">
        <v>2</v>
      </c>
      <c r="R13571" t="s">
        <v>46586</v>
      </c>
      <c r="S13571" t="s">
        <v>47252</v>
      </c>
      <c r="T13571" t="s">
        <v>48304</v>
      </c>
      <c r="U13571" t="s">
        <v>59669</v>
      </c>
      <c r="W13571" t="s">
        <v>44234</v>
      </c>
      <c r="X13571" t="s">
        <v>46587</v>
      </c>
    </row>
    <row r="13572" spans="1:24">
      <c r="A13572">
        <f>HYPERLINK("https://www.philgeps.gov.ph/GEPSNONPILOT/Tender/SplashBidNoticeAbstractUI.aspx?menuIndex=3&amp;refID=7036261&amp;Result=3","7036261")</f>
        <v>0</v>
      </c>
      <c r="B13572" t="s">
        <v>3335</v>
      </c>
      <c r="C13572" t="s">
        <v>16420</v>
      </c>
      <c r="D13572" t="s">
        <v>18832</v>
      </c>
      <c r="E13572" t="s">
        <v>30560</v>
      </c>
      <c r="F13572" t="s">
        <v>32664</v>
      </c>
      <c r="G13572" t="s">
        <v>32672</v>
      </c>
      <c r="H13572" t="s">
        <v>12635</v>
      </c>
      <c r="I13572" t="s">
        <v>11464</v>
      </c>
      <c r="J13572" t="s">
        <v>33001</v>
      </c>
      <c r="K13572" t="s">
        <v>42298</v>
      </c>
      <c r="M13572" t="s">
        <v>46287</v>
      </c>
      <c r="N13572" t="s">
        <v>46569</v>
      </c>
      <c r="O13572" t="s">
        <v>46570</v>
      </c>
      <c r="P13572">
        <v>0</v>
      </c>
      <c r="Q13572">
        <v>3</v>
      </c>
      <c r="R13572" t="s">
        <v>46586</v>
      </c>
      <c r="S13572" t="s">
        <v>47252</v>
      </c>
      <c r="T13572" t="s">
        <v>48293</v>
      </c>
      <c r="U13572" t="s">
        <v>59670</v>
      </c>
      <c r="W13572" t="s">
        <v>46287</v>
      </c>
      <c r="X13572" t="s">
        <v>46587</v>
      </c>
    </row>
    <row r="13573" spans="1:24">
      <c r="A13573">
        <f>HYPERLINK("https://www.philgeps.gov.ph/GEPSNONPILOT/Tender/SplashBidNoticeAbstractUI.aspx?menuIndex=3&amp;refID=7036219&amp;Result=3","7036219")</f>
        <v>0</v>
      </c>
      <c r="B13573" t="s">
        <v>555</v>
      </c>
      <c r="C13573" t="s">
        <v>16421</v>
      </c>
      <c r="D13573" t="s">
        <v>18841</v>
      </c>
      <c r="E13573" t="s">
        <v>30561</v>
      </c>
      <c r="F13573" t="s">
        <v>32664</v>
      </c>
      <c r="G13573" t="s">
        <v>32672</v>
      </c>
      <c r="H13573" t="s">
        <v>32683</v>
      </c>
      <c r="I13573" t="s">
        <v>10627</v>
      </c>
      <c r="J13573" t="s">
        <v>37270</v>
      </c>
      <c r="K13573" t="s">
        <v>42315</v>
      </c>
      <c r="M13573" t="s">
        <v>43135</v>
      </c>
      <c r="N13573" t="s">
        <v>46569</v>
      </c>
      <c r="O13573" t="s">
        <v>46570</v>
      </c>
      <c r="P13573">
        <v>0</v>
      </c>
      <c r="Q13573">
        <v>0</v>
      </c>
      <c r="R13573" t="s">
        <v>46586</v>
      </c>
      <c r="S13573" t="s">
        <v>47252</v>
      </c>
      <c r="T13573" t="s">
        <v>48282</v>
      </c>
      <c r="U13573" t="s">
        <v>59671</v>
      </c>
      <c r="W13573" t="s">
        <v>43135</v>
      </c>
      <c r="X13573" t="s">
        <v>46587</v>
      </c>
    </row>
    <row r="13574" spans="1:24">
      <c r="A13574">
        <f>HYPERLINK("https://www.philgeps.gov.ph/GEPSNONPILOT/Tender/SplashBidNoticeAbstractUI.aspx?menuIndex=3&amp;refID=7036187&amp;Result=3","7036187")</f>
        <v>0</v>
      </c>
      <c r="B13574" t="s">
        <v>1329</v>
      </c>
      <c r="C13574" t="s">
        <v>16422</v>
      </c>
      <c r="D13574" t="s">
        <v>18788</v>
      </c>
      <c r="E13574" t="s">
        <v>30562</v>
      </c>
      <c r="F13574" t="s">
        <v>32664</v>
      </c>
      <c r="G13574" t="s">
        <v>32672</v>
      </c>
      <c r="H13574" t="s">
        <v>12635</v>
      </c>
      <c r="I13574" t="s">
        <v>32701</v>
      </c>
      <c r="J13574" t="s">
        <v>40875</v>
      </c>
      <c r="K13574" t="s">
        <v>42281</v>
      </c>
      <c r="M13574" t="s">
        <v>43978</v>
      </c>
      <c r="N13574" t="s">
        <v>46569</v>
      </c>
      <c r="O13574" t="s">
        <v>46570</v>
      </c>
      <c r="P13574">
        <v>0</v>
      </c>
      <c r="Q13574">
        <v>1</v>
      </c>
      <c r="R13574" t="s">
        <v>46586</v>
      </c>
      <c r="S13574" t="s">
        <v>47252</v>
      </c>
      <c r="T13574" t="s">
        <v>48221</v>
      </c>
      <c r="U13574" t="s">
        <v>59672</v>
      </c>
      <c r="V13574" t="s">
        <v>63127</v>
      </c>
      <c r="W13574" t="s">
        <v>43978</v>
      </c>
      <c r="X13574" t="s">
        <v>46587</v>
      </c>
    </row>
    <row r="13575" spans="1:24">
      <c r="A13575">
        <f>HYPERLINK("https://www.philgeps.gov.ph/GEPSNONPILOT/Tender/SplashBidNoticeAbstractUI.aspx?menuIndex=3&amp;refID=7036402&amp;Result=3","7036402")</f>
        <v>0</v>
      </c>
      <c r="B13575" t="s">
        <v>721</v>
      </c>
      <c r="C13575" t="s">
        <v>16423</v>
      </c>
      <c r="D13575" t="s">
        <v>18860</v>
      </c>
      <c r="E13575" t="s">
        <v>30563</v>
      </c>
      <c r="F13575" t="s">
        <v>32664</v>
      </c>
      <c r="G13575" t="s">
        <v>32672</v>
      </c>
      <c r="H13575" t="s">
        <v>32683</v>
      </c>
      <c r="I13575" t="s">
        <v>10627</v>
      </c>
      <c r="J13575" t="s">
        <v>34075</v>
      </c>
      <c r="K13575" t="s">
        <v>42545</v>
      </c>
      <c r="M13575" t="s">
        <v>44205</v>
      </c>
      <c r="N13575" t="s">
        <v>46569</v>
      </c>
      <c r="O13575" t="s">
        <v>46570</v>
      </c>
      <c r="Q13575">
        <v>0</v>
      </c>
      <c r="R13575" t="s">
        <v>46586</v>
      </c>
      <c r="S13575" t="s">
        <v>47279</v>
      </c>
      <c r="T13575" t="s">
        <v>48282</v>
      </c>
      <c r="U13575" t="s">
        <v>59673</v>
      </c>
      <c r="W13575" t="s">
        <v>44205</v>
      </c>
      <c r="X13575" t="s">
        <v>46587</v>
      </c>
    </row>
    <row r="13576" spans="1:24">
      <c r="A13576">
        <f>HYPERLINK("https://www.philgeps.gov.ph/GEPSNONPILOT/Tender/SplashBidNoticeAbstractUI.aspx?menuIndex=3&amp;refID=7036018&amp;Result=3","7036018")</f>
        <v>0</v>
      </c>
      <c r="B13576" t="s">
        <v>3329</v>
      </c>
      <c r="C13576" t="s">
        <v>16424</v>
      </c>
      <c r="D13576" t="s">
        <v>18814</v>
      </c>
      <c r="E13576" t="s">
        <v>30564</v>
      </c>
      <c r="F13576" t="s">
        <v>32664</v>
      </c>
      <c r="G13576" t="s">
        <v>32672</v>
      </c>
      <c r="H13576" t="s">
        <v>32683</v>
      </c>
      <c r="I13576" t="s">
        <v>10627</v>
      </c>
      <c r="J13576" t="s">
        <v>38494</v>
      </c>
      <c r="K13576" t="s">
        <v>42285</v>
      </c>
      <c r="M13576" t="s">
        <v>46280</v>
      </c>
      <c r="N13576" t="s">
        <v>46569</v>
      </c>
      <c r="O13576" t="s">
        <v>46570</v>
      </c>
      <c r="P13576">
        <v>0</v>
      </c>
      <c r="Q13576">
        <v>26</v>
      </c>
      <c r="R13576" t="s">
        <v>46586</v>
      </c>
      <c r="S13576" t="s">
        <v>47252</v>
      </c>
      <c r="T13576" t="s">
        <v>48279</v>
      </c>
      <c r="U13576" t="s">
        <v>59641</v>
      </c>
      <c r="W13576" t="s">
        <v>46280</v>
      </c>
      <c r="X13576" t="s">
        <v>46587</v>
      </c>
    </row>
    <row r="13577" spans="1:24">
      <c r="A13577">
        <f>HYPERLINK("https://www.philgeps.gov.ph/GEPSNONPILOT/Tender/SplashBidNoticeAbstractUI.aspx?menuIndex=3&amp;refID=7036006&amp;Result=3","7036006")</f>
        <v>0</v>
      </c>
      <c r="B13577" t="s">
        <v>3332</v>
      </c>
      <c r="C13577" t="s">
        <v>16425</v>
      </c>
      <c r="D13577" t="s">
        <v>18843</v>
      </c>
      <c r="E13577" t="s">
        <v>30565</v>
      </c>
      <c r="F13577" t="s">
        <v>32664</v>
      </c>
      <c r="G13577" t="s">
        <v>32672</v>
      </c>
      <c r="H13577" t="s">
        <v>32683</v>
      </c>
      <c r="I13577" t="s">
        <v>10627</v>
      </c>
      <c r="J13577" t="s">
        <v>33743</v>
      </c>
      <c r="K13577" t="s">
        <v>42444</v>
      </c>
      <c r="M13577" t="s">
        <v>46283</v>
      </c>
      <c r="N13577" t="s">
        <v>46569</v>
      </c>
      <c r="O13577" t="s">
        <v>46570</v>
      </c>
      <c r="P13577">
        <v>0</v>
      </c>
      <c r="Q13577">
        <v>0</v>
      </c>
      <c r="R13577" t="s">
        <v>46586</v>
      </c>
      <c r="S13577" t="s">
        <v>47252</v>
      </c>
      <c r="T13577" t="s">
        <v>48226</v>
      </c>
      <c r="U13577" t="s">
        <v>59674</v>
      </c>
      <c r="W13577" t="s">
        <v>46283</v>
      </c>
      <c r="X13577" t="s">
        <v>46587</v>
      </c>
    </row>
    <row r="13578" spans="1:24">
      <c r="A13578">
        <f>HYPERLINK("https://www.philgeps.gov.ph/GEPSNONPILOT/Tender/SplashBidNoticeAbstractUI.aspx?menuIndex=3&amp;refID=7036379&amp;Result=3","7036379")</f>
        <v>0</v>
      </c>
      <c r="B13578" t="s">
        <v>3176</v>
      </c>
      <c r="C13578" t="s">
        <v>16426</v>
      </c>
      <c r="D13578" t="s">
        <v>18784</v>
      </c>
      <c r="E13578" t="s">
        <v>16426</v>
      </c>
      <c r="F13578" t="s">
        <v>32665</v>
      </c>
      <c r="G13578" t="s">
        <v>32672</v>
      </c>
      <c r="H13578" t="s">
        <v>12635</v>
      </c>
      <c r="I13578" t="s">
        <v>6223</v>
      </c>
      <c r="J13578" t="s">
        <v>32865</v>
      </c>
      <c r="K13578" t="s">
        <v>42281</v>
      </c>
      <c r="M13578" t="s">
        <v>46088</v>
      </c>
      <c r="N13578" t="s">
        <v>46569</v>
      </c>
      <c r="O13578" t="s">
        <v>46570</v>
      </c>
      <c r="P13578">
        <v>0</v>
      </c>
      <c r="Q13578">
        <v>0</v>
      </c>
      <c r="R13578" t="s">
        <v>46586</v>
      </c>
      <c r="S13578" t="s">
        <v>47252</v>
      </c>
      <c r="T13578" t="s">
        <v>48448</v>
      </c>
      <c r="U13578" t="s">
        <v>59675</v>
      </c>
      <c r="V13578" t="s">
        <v>62970</v>
      </c>
      <c r="W13578" t="s">
        <v>46088</v>
      </c>
      <c r="X13578" t="s">
        <v>46587</v>
      </c>
    </row>
    <row r="13579" spans="1:24">
      <c r="A13579">
        <f>HYPERLINK("https://www.philgeps.gov.ph/GEPSNONPILOT/Tender/SplashBidNoticeAbstractUI.aspx?menuIndex=3&amp;refID=7036378&amp;Result=3","7036378")</f>
        <v>0</v>
      </c>
      <c r="B13579" t="s">
        <v>3336</v>
      </c>
      <c r="C13579" t="s">
        <v>4138</v>
      </c>
      <c r="D13579" t="s">
        <v>18854</v>
      </c>
      <c r="E13579" t="s">
        <v>22712</v>
      </c>
      <c r="F13579" t="s">
        <v>32664</v>
      </c>
      <c r="G13579" t="s">
        <v>32672</v>
      </c>
      <c r="H13579" t="s">
        <v>12635</v>
      </c>
      <c r="I13579" t="s">
        <v>8730</v>
      </c>
      <c r="J13579" t="s">
        <v>34487</v>
      </c>
      <c r="K13579" t="s">
        <v>42284</v>
      </c>
      <c r="M13579" t="s">
        <v>46288</v>
      </c>
      <c r="N13579" t="s">
        <v>46569</v>
      </c>
      <c r="O13579" t="s">
        <v>46570</v>
      </c>
      <c r="P13579">
        <v>0</v>
      </c>
      <c r="Q13579">
        <v>4</v>
      </c>
      <c r="R13579" t="s">
        <v>46586</v>
      </c>
      <c r="S13579" t="s">
        <v>47252</v>
      </c>
      <c r="T13579" t="s">
        <v>48228</v>
      </c>
      <c r="U13579" t="s">
        <v>49553</v>
      </c>
      <c r="W13579" t="s">
        <v>46288</v>
      </c>
      <c r="X13579" t="s">
        <v>46587</v>
      </c>
    </row>
    <row r="13580" spans="1:24">
      <c r="A13580">
        <f>HYPERLINK("https://www.philgeps.gov.ph/GEPSNONPILOT/Tender/SplashBidNoticeAbstractUI.aspx?menuIndex=3&amp;refID=7036377&amp;Result=3","7036377")</f>
        <v>0</v>
      </c>
      <c r="B13580" t="s">
        <v>1924</v>
      </c>
      <c r="C13580" t="s">
        <v>16427</v>
      </c>
      <c r="D13580" t="s">
        <v>18830</v>
      </c>
      <c r="E13580" t="s">
        <v>30566</v>
      </c>
      <c r="F13580" t="s">
        <v>32664</v>
      </c>
      <c r="G13580" t="s">
        <v>32672</v>
      </c>
      <c r="H13580" t="s">
        <v>32683</v>
      </c>
      <c r="I13580" t="s">
        <v>10627</v>
      </c>
      <c r="J13580" t="s">
        <v>40876</v>
      </c>
      <c r="K13580" t="s">
        <v>42311</v>
      </c>
      <c r="M13580" t="s">
        <v>44646</v>
      </c>
      <c r="N13580" t="s">
        <v>46569</v>
      </c>
      <c r="O13580" t="s">
        <v>46570</v>
      </c>
      <c r="Q13580">
        <v>2</v>
      </c>
      <c r="R13580" t="s">
        <v>46586</v>
      </c>
      <c r="S13580" t="s">
        <v>47280</v>
      </c>
      <c r="T13580" t="s">
        <v>48283</v>
      </c>
      <c r="U13580" t="s">
        <v>59676</v>
      </c>
      <c r="W13580" t="s">
        <v>44646</v>
      </c>
      <c r="X13580" t="s">
        <v>46587</v>
      </c>
    </row>
    <row r="13581" spans="1:24">
      <c r="A13581">
        <f>HYPERLINK("https://www.philgeps.gov.ph/GEPSNONPILOT/Tender/SplashBidNoticeAbstractUI.aspx?menuIndex=3&amp;refID=7036386&amp;Result=3","7036386")</f>
        <v>0</v>
      </c>
      <c r="B13581" t="s">
        <v>3337</v>
      </c>
      <c r="C13581" t="s">
        <v>16428</v>
      </c>
      <c r="E13581" t="s">
        <v>19451</v>
      </c>
      <c r="F13581" t="s">
        <v>32664</v>
      </c>
      <c r="G13581" t="s">
        <v>32672</v>
      </c>
      <c r="H13581" t="s">
        <v>32683</v>
      </c>
      <c r="I13581" t="s">
        <v>10627</v>
      </c>
      <c r="J13581" t="s">
        <v>40877</v>
      </c>
      <c r="K13581" t="s">
        <v>42308</v>
      </c>
      <c r="M13581" t="s">
        <v>46289</v>
      </c>
      <c r="N13581" t="s">
        <v>46569</v>
      </c>
      <c r="O13581" t="s">
        <v>46570</v>
      </c>
      <c r="P13581">
        <v>0</v>
      </c>
      <c r="Q13581">
        <v>0</v>
      </c>
      <c r="R13581" t="s">
        <v>46586</v>
      </c>
      <c r="S13581" t="s">
        <v>47252</v>
      </c>
      <c r="T13581" t="s">
        <v>48285</v>
      </c>
      <c r="U13581" t="s">
        <v>59677</v>
      </c>
      <c r="W13581" t="s">
        <v>46289</v>
      </c>
      <c r="X13581" t="s">
        <v>46587</v>
      </c>
    </row>
    <row r="13582" spans="1:24">
      <c r="A13582">
        <f>HYPERLINK("https://www.philgeps.gov.ph/GEPSNONPILOT/Tender/SplashBidNoticeAbstractUI.aspx?menuIndex=3&amp;refID=7036362&amp;Result=3","7036362")</f>
        <v>0</v>
      </c>
      <c r="B13582" t="s">
        <v>3338</v>
      </c>
      <c r="C13582" t="s">
        <v>16429</v>
      </c>
      <c r="D13582" t="s">
        <v>18842</v>
      </c>
      <c r="E13582" t="s">
        <v>30567</v>
      </c>
      <c r="F13582" t="s">
        <v>32664</v>
      </c>
      <c r="G13582" t="s">
        <v>32672</v>
      </c>
      <c r="H13582" t="s">
        <v>32683</v>
      </c>
      <c r="I13582" t="s">
        <v>10627</v>
      </c>
      <c r="J13582" t="s">
        <v>40878</v>
      </c>
      <c r="K13582" t="s">
        <v>42311</v>
      </c>
      <c r="M13582" t="s">
        <v>46290</v>
      </c>
      <c r="N13582" t="s">
        <v>46569</v>
      </c>
      <c r="O13582" t="s">
        <v>46570</v>
      </c>
      <c r="P13582">
        <v>0</v>
      </c>
      <c r="Q13582">
        <v>0</v>
      </c>
      <c r="R13582" t="s">
        <v>46586</v>
      </c>
      <c r="S13582" t="s">
        <v>47252</v>
      </c>
      <c r="T13582" t="s">
        <v>48296</v>
      </c>
      <c r="U13582" t="s">
        <v>59678</v>
      </c>
      <c r="W13582" t="s">
        <v>46290</v>
      </c>
      <c r="X13582" t="s">
        <v>46587</v>
      </c>
    </row>
    <row r="13583" spans="1:24">
      <c r="A13583">
        <f>HYPERLINK("https://www.philgeps.gov.ph/GEPSNONPILOT/Tender/SplashBidNoticeAbstractUI.aspx?menuIndex=3&amp;refID=7036382&amp;Result=3","7036382")</f>
        <v>0</v>
      </c>
      <c r="B13583" t="s">
        <v>3336</v>
      </c>
      <c r="C13583" t="s">
        <v>16430</v>
      </c>
      <c r="D13583" t="s">
        <v>18854</v>
      </c>
      <c r="E13583" t="s">
        <v>19766</v>
      </c>
      <c r="F13583" t="s">
        <v>32664</v>
      </c>
      <c r="G13583" t="s">
        <v>32672</v>
      </c>
      <c r="H13583" t="s">
        <v>12635</v>
      </c>
      <c r="I13583" t="s">
        <v>4205</v>
      </c>
      <c r="J13583" t="s">
        <v>40879</v>
      </c>
      <c r="K13583" t="s">
        <v>42284</v>
      </c>
      <c r="M13583" t="s">
        <v>46288</v>
      </c>
      <c r="N13583" t="s">
        <v>46569</v>
      </c>
      <c r="O13583" t="s">
        <v>46570</v>
      </c>
      <c r="P13583">
        <v>0</v>
      </c>
      <c r="Q13583">
        <v>4</v>
      </c>
      <c r="R13583" t="s">
        <v>46586</v>
      </c>
      <c r="S13583" t="s">
        <v>47252</v>
      </c>
      <c r="T13583" t="s">
        <v>48305</v>
      </c>
      <c r="U13583" t="s">
        <v>59679</v>
      </c>
      <c r="W13583" t="s">
        <v>46288</v>
      </c>
      <c r="X13583" t="s">
        <v>46587</v>
      </c>
    </row>
    <row r="13584" spans="1:24">
      <c r="A13584">
        <f>HYPERLINK("https://www.philgeps.gov.ph/GEPSNONPILOT/Tender/SplashBidNoticeAbstractUI.aspx?menuIndex=3&amp;refID=7036413&amp;Result=3","7036413")</f>
        <v>0</v>
      </c>
      <c r="B13584" t="s">
        <v>1469</v>
      </c>
      <c r="C13584" t="s">
        <v>16431</v>
      </c>
      <c r="D13584" t="s">
        <v>18837</v>
      </c>
      <c r="E13584" t="s">
        <v>30568</v>
      </c>
      <c r="F13584" t="s">
        <v>32664</v>
      </c>
      <c r="G13584" t="s">
        <v>32672</v>
      </c>
      <c r="H13584" t="s">
        <v>12635</v>
      </c>
      <c r="I13584" t="s">
        <v>4439</v>
      </c>
      <c r="J13584" t="s">
        <v>40880</v>
      </c>
      <c r="K13584" t="s">
        <v>42289</v>
      </c>
      <c r="M13584" t="s">
        <v>44131</v>
      </c>
      <c r="N13584" t="s">
        <v>46569</v>
      </c>
      <c r="O13584" t="s">
        <v>46570</v>
      </c>
      <c r="P13584">
        <v>0</v>
      </c>
      <c r="Q13584">
        <v>5</v>
      </c>
      <c r="R13584" t="s">
        <v>46586</v>
      </c>
      <c r="S13584" t="s">
        <v>47252</v>
      </c>
      <c r="T13584" t="s">
        <v>48268</v>
      </c>
      <c r="U13584" t="s">
        <v>59680</v>
      </c>
      <c r="W13584" t="s">
        <v>44131</v>
      </c>
      <c r="X13584" t="s">
        <v>46587</v>
      </c>
    </row>
    <row r="13585" spans="1:24">
      <c r="A13585">
        <f>HYPERLINK("https://www.philgeps.gov.ph/GEPSNONPILOT/Tender/SplashBidNoticeAbstractUI.aspx?menuIndex=3&amp;refID=7036395&amp;Result=3","7036395")</f>
        <v>0</v>
      </c>
      <c r="B13585" t="s">
        <v>1924</v>
      </c>
      <c r="C13585" t="s">
        <v>16432</v>
      </c>
      <c r="D13585" t="s">
        <v>18830</v>
      </c>
      <c r="E13585" t="s">
        <v>30569</v>
      </c>
      <c r="F13585" t="s">
        <v>32664</v>
      </c>
      <c r="G13585" t="s">
        <v>32672</v>
      </c>
      <c r="H13585" t="s">
        <v>32683</v>
      </c>
      <c r="I13585" t="s">
        <v>10627</v>
      </c>
      <c r="J13585" t="s">
        <v>40881</v>
      </c>
      <c r="K13585" t="s">
        <v>42421</v>
      </c>
      <c r="M13585" t="s">
        <v>44646</v>
      </c>
      <c r="N13585" t="s">
        <v>46569</v>
      </c>
      <c r="O13585" t="s">
        <v>46570</v>
      </c>
      <c r="Q13585">
        <v>0</v>
      </c>
      <c r="R13585" t="s">
        <v>46586</v>
      </c>
      <c r="S13585" t="s">
        <v>47281</v>
      </c>
      <c r="T13585" t="s">
        <v>48283</v>
      </c>
      <c r="U13585" t="s">
        <v>59676</v>
      </c>
      <c r="W13585" t="s">
        <v>44646</v>
      </c>
      <c r="X13585" t="s">
        <v>46587</v>
      </c>
    </row>
    <row r="13586" spans="1:24">
      <c r="A13586">
        <f>HYPERLINK("https://www.philgeps.gov.ph/GEPSNONPILOT/Tender/SplashBidNoticeAbstractUI.aspx?menuIndex=3&amp;refID=7036367&amp;Result=3","7036367")</f>
        <v>0</v>
      </c>
      <c r="B13586" t="s">
        <v>3336</v>
      </c>
      <c r="C13586" t="s">
        <v>16433</v>
      </c>
      <c r="D13586" t="s">
        <v>18854</v>
      </c>
      <c r="E13586" t="s">
        <v>19137</v>
      </c>
      <c r="F13586" t="s">
        <v>32664</v>
      </c>
      <c r="G13586" t="s">
        <v>32672</v>
      </c>
      <c r="H13586" t="s">
        <v>12635</v>
      </c>
      <c r="I13586" t="s">
        <v>32688</v>
      </c>
      <c r="J13586" t="s">
        <v>40882</v>
      </c>
      <c r="K13586" t="s">
        <v>42284</v>
      </c>
      <c r="M13586" t="s">
        <v>46288</v>
      </c>
      <c r="N13586" t="s">
        <v>46569</v>
      </c>
      <c r="O13586" t="s">
        <v>46570</v>
      </c>
      <c r="P13586">
        <v>0</v>
      </c>
      <c r="Q13586">
        <v>7</v>
      </c>
      <c r="R13586" t="s">
        <v>46586</v>
      </c>
      <c r="S13586" t="s">
        <v>47252</v>
      </c>
      <c r="T13586" t="s">
        <v>48228</v>
      </c>
      <c r="U13586" t="s">
        <v>59681</v>
      </c>
      <c r="W13586" t="s">
        <v>46288</v>
      </c>
      <c r="X13586" t="s">
        <v>46587</v>
      </c>
    </row>
    <row r="13587" spans="1:24">
      <c r="A13587">
        <f>HYPERLINK("https://www.philgeps.gov.ph/GEPSNONPILOT/Tender/SplashBidNoticeAbstractUI.aspx?menuIndex=3&amp;refID=7036572&amp;Result=3","7036572")</f>
        <v>0</v>
      </c>
      <c r="B13587" t="s">
        <v>882</v>
      </c>
      <c r="C13587" t="s">
        <v>16434</v>
      </c>
      <c r="E13587" t="s">
        <v>30570</v>
      </c>
      <c r="F13587" t="s">
        <v>32664</v>
      </c>
      <c r="G13587" t="s">
        <v>32672</v>
      </c>
      <c r="H13587" t="s">
        <v>32683</v>
      </c>
      <c r="I13587" t="s">
        <v>10627</v>
      </c>
      <c r="J13587" t="s">
        <v>40883</v>
      </c>
      <c r="K13587" t="s">
        <v>42369</v>
      </c>
      <c r="M13587" t="s">
        <v>43483</v>
      </c>
      <c r="N13587" t="s">
        <v>46569</v>
      </c>
      <c r="O13587" t="s">
        <v>46570</v>
      </c>
      <c r="P13587">
        <v>0</v>
      </c>
      <c r="Q13587">
        <v>33</v>
      </c>
      <c r="R13587" t="s">
        <v>46586</v>
      </c>
      <c r="S13587" t="s">
        <v>47252</v>
      </c>
      <c r="T13587" t="s">
        <v>48244</v>
      </c>
      <c r="U13587" t="s">
        <v>59682</v>
      </c>
      <c r="W13587" t="s">
        <v>43483</v>
      </c>
      <c r="X13587" t="s">
        <v>46587</v>
      </c>
    </row>
    <row r="13588" spans="1:24">
      <c r="A13588">
        <f>HYPERLINK("https://www.philgeps.gov.ph/GEPSNONPILOT/Tender/SplashBidNoticeAbstractUI.aspx?menuIndex=3&amp;refID=7036556&amp;Result=3","7036556")</f>
        <v>0</v>
      </c>
      <c r="B13588" t="s">
        <v>3325</v>
      </c>
      <c r="C13588" t="s">
        <v>16435</v>
      </c>
      <c r="D13588" t="s">
        <v>18847</v>
      </c>
      <c r="E13588" t="s">
        <v>21126</v>
      </c>
      <c r="F13588" t="s">
        <v>32664</v>
      </c>
      <c r="G13588" t="s">
        <v>32672</v>
      </c>
      <c r="H13588" t="s">
        <v>32683</v>
      </c>
      <c r="I13588" t="s">
        <v>10627</v>
      </c>
      <c r="J13588" t="s">
        <v>40884</v>
      </c>
      <c r="K13588" t="s">
        <v>42437</v>
      </c>
      <c r="M13588" t="s">
        <v>46276</v>
      </c>
      <c r="N13588" t="s">
        <v>46569</v>
      </c>
      <c r="O13588" t="s">
        <v>46570</v>
      </c>
      <c r="P13588">
        <v>0</v>
      </c>
      <c r="Q13588">
        <v>0</v>
      </c>
      <c r="R13588" t="s">
        <v>46586</v>
      </c>
      <c r="S13588" t="s">
        <v>47252</v>
      </c>
      <c r="T13588" t="s">
        <v>48608</v>
      </c>
      <c r="U13588" t="s">
        <v>59683</v>
      </c>
      <c r="W13588" t="s">
        <v>46276</v>
      </c>
      <c r="X13588" t="s">
        <v>46587</v>
      </c>
    </row>
    <row r="13589" spans="1:24">
      <c r="A13589">
        <f>HYPERLINK("https://www.philgeps.gov.ph/GEPSNONPILOT/Tender/SplashBidNoticeAbstractUI.aspx?menuIndex=3&amp;refID=7036539&amp;Result=3","7036539")</f>
        <v>0</v>
      </c>
      <c r="B13589" t="s">
        <v>676</v>
      </c>
      <c r="C13589" t="s">
        <v>16436</v>
      </c>
      <c r="E13589" t="s">
        <v>30571</v>
      </c>
      <c r="F13589" t="s">
        <v>32664</v>
      </c>
      <c r="G13589" t="s">
        <v>32672</v>
      </c>
      <c r="H13589" t="s">
        <v>12635</v>
      </c>
      <c r="I13589" t="s">
        <v>32764</v>
      </c>
      <c r="J13589" t="s">
        <v>40885</v>
      </c>
      <c r="K13589" t="s">
        <v>42283</v>
      </c>
      <c r="M13589" t="s">
        <v>43263</v>
      </c>
      <c r="N13589" t="s">
        <v>46569</v>
      </c>
      <c r="O13589" t="s">
        <v>46570</v>
      </c>
      <c r="P13589">
        <v>0</v>
      </c>
      <c r="Q13589">
        <v>2</v>
      </c>
      <c r="R13589" t="s">
        <v>46586</v>
      </c>
      <c r="S13589" t="s">
        <v>47252</v>
      </c>
      <c r="T13589" t="s">
        <v>48282</v>
      </c>
      <c r="U13589" t="s">
        <v>59684</v>
      </c>
      <c r="W13589" t="s">
        <v>43263</v>
      </c>
      <c r="X13589" t="s">
        <v>46587</v>
      </c>
    </row>
    <row r="13590" spans="1:24">
      <c r="A13590">
        <f>HYPERLINK("https://www.philgeps.gov.ph/GEPSNONPILOT/Tender/SplashBidNoticeAbstractUI.aspx?menuIndex=3&amp;refID=7036371&amp;Result=3","7036371")</f>
        <v>0</v>
      </c>
      <c r="B13590" t="s">
        <v>3338</v>
      </c>
      <c r="C13590" t="s">
        <v>16437</v>
      </c>
      <c r="D13590" t="s">
        <v>18842</v>
      </c>
      <c r="E13590" t="s">
        <v>30572</v>
      </c>
      <c r="F13590" t="s">
        <v>32664</v>
      </c>
      <c r="G13590" t="s">
        <v>32672</v>
      </c>
      <c r="H13590" t="s">
        <v>32683</v>
      </c>
      <c r="I13590" t="s">
        <v>10627</v>
      </c>
      <c r="J13590" t="s">
        <v>40886</v>
      </c>
      <c r="K13590" t="s">
        <v>42311</v>
      </c>
      <c r="M13590" t="s">
        <v>46290</v>
      </c>
      <c r="N13590" t="s">
        <v>46569</v>
      </c>
      <c r="O13590" t="s">
        <v>46570</v>
      </c>
      <c r="P13590">
        <v>0</v>
      </c>
      <c r="Q13590">
        <v>0</v>
      </c>
      <c r="R13590" t="s">
        <v>46586</v>
      </c>
      <c r="S13590" t="s">
        <v>47252</v>
      </c>
      <c r="T13590" t="s">
        <v>48296</v>
      </c>
      <c r="U13590" t="s">
        <v>59685</v>
      </c>
      <c r="W13590" t="s">
        <v>46290</v>
      </c>
      <c r="X13590" t="s">
        <v>46587</v>
      </c>
    </row>
    <row r="13591" spans="1:24">
      <c r="A13591">
        <f>HYPERLINK("https://www.philgeps.gov.ph/GEPSNONPILOT/Tender/SplashBidNoticeAbstractUI.aspx?menuIndex=3&amp;refID=7036152&amp;Result=3","7036152")</f>
        <v>0</v>
      </c>
      <c r="B13591" t="s">
        <v>3329</v>
      </c>
      <c r="C13591" t="s">
        <v>16438</v>
      </c>
      <c r="D13591" t="s">
        <v>18814</v>
      </c>
      <c r="E13591" t="s">
        <v>30573</v>
      </c>
      <c r="F13591" t="s">
        <v>32664</v>
      </c>
      <c r="G13591" t="s">
        <v>32672</v>
      </c>
      <c r="H13591" t="s">
        <v>32683</v>
      </c>
      <c r="I13591" t="s">
        <v>10627</v>
      </c>
      <c r="J13591" t="s">
        <v>38494</v>
      </c>
      <c r="K13591" t="s">
        <v>42285</v>
      </c>
      <c r="M13591" t="s">
        <v>46280</v>
      </c>
      <c r="N13591" t="s">
        <v>46569</v>
      </c>
      <c r="O13591" t="s">
        <v>46570</v>
      </c>
      <c r="P13591">
        <v>0</v>
      </c>
      <c r="Q13591">
        <v>23</v>
      </c>
      <c r="R13591" t="s">
        <v>46586</v>
      </c>
      <c r="S13591" t="s">
        <v>47252</v>
      </c>
      <c r="T13591" t="s">
        <v>48279</v>
      </c>
      <c r="U13591" t="s">
        <v>59686</v>
      </c>
      <c r="W13591" t="s">
        <v>46280</v>
      </c>
      <c r="X13591" t="s">
        <v>46587</v>
      </c>
    </row>
    <row r="13592" spans="1:24">
      <c r="A13592">
        <f>HYPERLINK("https://www.philgeps.gov.ph/GEPSNONPILOT/Tender/SplashBidNoticeAbstractUI.aspx?menuIndex=3&amp;refID=7036517&amp;Result=3","7036517")</f>
        <v>0</v>
      </c>
      <c r="B13592" t="s">
        <v>1371</v>
      </c>
      <c r="C13592" t="s">
        <v>16439</v>
      </c>
      <c r="D13592" t="s">
        <v>18796</v>
      </c>
      <c r="E13592" t="s">
        <v>30574</v>
      </c>
      <c r="F13592" t="s">
        <v>32664</v>
      </c>
      <c r="G13592" t="s">
        <v>32672</v>
      </c>
      <c r="H13592" t="s">
        <v>12635</v>
      </c>
      <c r="I13592" t="s">
        <v>32712</v>
      </c>
      <c r="J13592" t="s">
        <v>33751</v>
      </c>
      <c r="K13592" t="s">
        <v>42311</v>
      </c>
      <c r="M13592" t="s">
        <v>44026</v>
      </c>
      <c r="N13592" t="s">
        <v>46569</v>
      </c>
      <c r="O13592" t="s">
        <v>46570</v>
      </c>
      <c r="P13592">
        <v>0</v>
      </c>
      <c r="Q13592">
        <v>9</v>
      </c>
      <c r="R13592" t="s">
        <v>46586</v>
      </c>
      <c r="S13592" t="s">
        <v>47252</v>
      </c>
      <c r="T13592" t="s">
        <v>48283</v>
      </c>
      <c r="U13592" t="s">
        <v>59687</v>
      </c>
      <c r="W13592" t="s">
        <v>44026</v>
      </c>
      <c r="X13592" t="s">
        <v>46587</v>
      </c>
    </row>
    <row r="13593" spans="1:24">
      <c r="A13593">
        <f>HYPERLINK("https://www.philgeps.gov.ph/GEPSNONPILOT/Tender/SplashBidNoticeAbstractUI.aspx?menuIndex=3&amp;refID=7036511&amp;Result=3","7036511")</f>
        <v>0</v>
      </c>
      <c r="B13593" t="s">
        <v>2448</v>
      </c>
      <c r="C13593" t="s">
        <v>16440</v>
      </c>
      <c r="D13593" t="s">
        <v>18827</v>
      </c>
      <c r="E13593" t="s">
        <v>30575</v>
      </c>
      <c r="F13593" t="s">
        <v>32664</v>
      </c>
      <c r="G13593" t="s">
        <v>32672</v>
      </c>
      <c r="H13593" t="s">
        <v>12635</v>
      </c>
      <c r="I13593" t="s">
        <v>8730</v>
      </c>
      <c r="J13593" t="s">
        <v>35852</v>
      </c>
      <c r="K13593" t="s">
        <v>42289</v>
      </c>
      <c r="M13593" t="s">
        <v>45242</v>
      </c>
      <c r="N13593" t="s">
        <v>46569</v>
      </c>
      <c r="O13593" t="s">
        <v>46570</v>
      </c>
      <c r="P13593">
        <v>0</v>
      </c>
      <c r="Q13593">
        <v>1</v>
      </c>
      <c r="R13593" t="s">
        <v>46586</v>
      </c>
      <c r="S13593" t="s">
        <v>47252</v>
      </c>
      <c r="T13593" t="s">
        <v>48246</v>
      </c>
      <c r="U13593" t="s">
        <v>59688</v>
      </c>
      <c r="W13593" t="s">
        <v>45242</v>
      </c>
      <c r="X13593" t="s">
        <v>46587</v>
      </c>
    </row>
    <row r="13594" spans="1:24">
      <c r="A13594">
        <f>HYPERLINK("https://www.philgeps.gov.ph/GEPSNONPILOT/Tender/SplashBidNoticeAbstractUI.aspx?menuIndex=3&amp;refID=7036490&amp;Result=3","7036490")</f>
        <v>0</v>
      </c>
      <c r="B13594" t="s">
        <v>3325</v>
      </c>
      <c r="C13594" t="s">
        <v>16441</v>
      </c>
      <c r="D13594" t="s">
        <v>18847</v>
      </c>
      <c r="E13594" t="s">
        <v>19247</v>
      </c>
      <c r="F13594" t="s">
        <v>32664</v>
      </c>
      <c r="G13594" t="s">
        <v>32672</v>
      </c>
      <c r="H13594" t="s">
        <v>32683</v>
      </c>
      <c r="I13594" t="s">
        <v>10627</v>
      </c>
      <c r="J13594" t="s">
        <v>40887</v>
      </c>
      <c r="K13594" t="s">
        <v>42426</v>
      </c>
      <c r="M13594" t="s">
        <v>46276</v>
      </c>
      <c r="N13594" t="s">
        <v>46569</v>
      </c>
      <c r="O13594" t="s">
        <v>46570</v>
      </c>
      <c r="P13594">
        <v>0</v>
      </c>
      <c r="Q13594">
        <v>0</v>
      </c>
      <c r="R13594" t="s">
        <v>46586</v>
      </c>
      <c r="S13594" t="s">
        <v>47252</v>
      </c>
      <c r="T13594" t="s">
        <v>48608</v>
      </c>
      <c r="U13594" t="s">
        <v>59689</v>
      </c>
      <c r="W13594" t="s">
        <v>46276</v>
      </c>
      <c r="X13594" t="s">
        <v>46587</v>
      </c>
    </row>
    <row r="13595" spans="1:24">
      <c r="A13595">
        <f>HYPERLINK("https://www.philgeps.gov.ph/GEPSNONPILOT/Tender/SplashBidNoticeAbstractUI.aspx?menuIndex=3&amp;refID=7036469&amp;Result=3","7036469")</f>
        <v>0</v>
      </c>
      <c r="B13595" t="s">
        <v>2448</v>
      </c>
      <c r="C13595" t="s">
        <v>16442</v>
      </c>
      <c r="D13595" t="s">
        <v>18827</v>
      </c>
      <c r="E13595" t="s">
        <v>30576</v>
      </c>
      <c r="F13595" t="s">
        <v>32664</v>
      </c>
      <c r="G13595" t="s">
        <v>32672</v>
      </c>
      <c r="H13595" t="s">
        <v>32683</v>
      </c>
      <c r="I13595" t="s">
        <v>10627</v>
      </c>
      <c r="J13595" t="s">
        <v>32859</v>
      </c>
      <c r="K13595" t="s">
        <v>42281</v>
      </c>
      <c r="M13595" t="s">
        <v>45242</v>
      </c>
      <c r="N13595" t="s">
        <v>46569</v>
      </c>
      <c r="O13595" t="s">
        <v>46570</v>
      </c>
      <c r="P13595">
        <v>0</v>
      </c>
      <c r="Q13595">
        <v>0</v>
      </c>
      <c r="R13595" t="s">
        <v>46586</v>
      </c>
      <c r="S13595" t="s">
        <v>47252</v>
      </c>
      <c r="T13595" t="s">
        <v>48246</v>
      </c>
      <c r="U13595" t="s">
        <v>59688</v>
      </c>
      <c r="W13595" t="s">
        <v>45242</v>
      </c>
      <c r="X13595" t="s">
        <v>46587</v>
      </c>
    </row>
    <row r="13596" spans="1:24">
      <c r="A13596">
        <f>HYPERLINK("https://www.philgeps.gov.ph/GEPSNONPILOT/Tender/SplashBidNoticeAbstractUI.aspx?menuIndex=3&amp;refID=7036446&amp;Result=3","7036446")</f>
        <v>0</v>
      </c>
      <c r="B13596" t="s">
        <v>2275</v>
      </c>
      <c r="C13596" t="s">
        <v>16443</v>
      </c>
      <c r="E13596" t="s">
        <v>30577</v>
      </c>
      <c r="F13596" t="s">
        <v>32664</v>
      </c>
      <c r="G13596" t="s">
        <v>32672</v>
      </c>
      <c r="H13596" t="s">
        <v>12635</v>
      </c>
      <c r="I13596" t="s">
        <v>5589</v>
      </c>
      <c r="J13596" t="s">
        <v>32943</v>
      </c>
      <c r="K13596" t="s">
        <v>42283</v>
      </c>
      <c r="M13596" t="s">
        <v>46112</v>
      </c>
      <c r="N13596" t="s">
        <v>46569</v>
      </c>
      <c r="O13596" t="s">
        <v>46570</v>
      </c>
      <c r="P13596">
        <v>0</v>
      </c>
      <c r="Q13596">
        <v>12</v>
      </c>
      <c r="R13596" t="s">
        <v>46586</v>
      </c>
      <c r="S13596" t="s">
        <v>47252</v>
      </c>
      <c r="T13596" t="s">
        <v>48285</v>
      </c>
      <c r="U13596" t="s">
        <v>59690</v>
      </c>
      <c r="W13596" t="s">
        <v>46112</v>
      </c>
      <c r="X13596" t="s">
        <v>46587</v>
      </c>
    </row>
    <row r="13597" spans="1:24">
      <c r="A13597">
        <f>HYPERLINK("https://www.philgeps.gov.ph/GEPSNONPILOT/Tender/SplashBidNoticeAbstractUI.aspx?menuIndex=3&amp;refID=7036529&amp;Result=3","7036529")</f>
        <v>0</v>
      </c>
      <c r="B13597" t="s">
        <v>1422</v>
      </c>
      <c r="C13597" t="s">
        <v>16444</v>
      </c>
      <c r="E13597" t="s">
        <v>30578</v>
      </c>
      <c r="F13597" t="s">
        <v>32664</v>
      </c>
      <c r="G13597" t="s">
        <v>32672</v>
      </c>
      <c r="H13597" t="s">
        <v>12635</v>
      </c>
      <c r="I13597" t="s">
        <v>11464</v>
      </c>
      <c r="J13597" t="s">
        <v>40888</v>
      </c>
      <c r="K13597" t="s">
        <v>42283</v>
      </c>
      <c r="M13597" t="s">
        <v>44081</v>
      </c>
      <c r="N13597" t="s">
        <v>46569</v>
      </c>
      <c r="O13597" t="s">
        <v>46570</v>
      </c>
      <c r="P13597">
        <v>0</v>
      </c>
      <c r="Q13597">
        <v>0</v>
      </c>
      <c r="R13597" t="s">
        <v>46586</v>
      </c>
      <c r="S13597" t="s">
        <v>47252</v>
      </c>
      <c r="T13597" t="s">
        <v>48334</v>
      </c>
      <c r="U13597" t="s">
        <v>59691</v>
      </c>
      <c r="W13597" t="s">
        <v>44081</v>
      </c>
      <c r="X13597" t="s">
        <v>46587</v>
      </c>
    </row>
    <row r="13598" spans="1:24">
      <c r="A13598">
        <f>HYPERLINK("https://www.philgeps.gov.ph/GEPSNONPILOT/Tender/SplashBidNoticeAbstractUI.aspx?menuIndex=3&amp;refID=7036443&amp;Result=3","7036443")</f>
        <v>0</v>
      </c>
      <c r="B13598" t="s">
        <v>1798</v>
      </c>
      <c r="C13598" t="s">
        <v>16445</v>
      </c>
      <c r="D13598" t="s">
        <v>18858</v>
      </c>
      <c r="E13598" t="s">
        <v>30579</v>
      </c>
      <c r="F13598" t="s">
        <v>32664</v>
      </c>
      <c r="G13598" t="s">
        <v>32672</v>
      </c>
      <c r="H13598" t="s">
        <v>32683</v>
      </c>
      <c r="I13598" t="s">
        <v>10627</v>
      </c>
      <c r="J13598" t="s">
        <v>40889</v>
      </c>
      <c r="K13598" t="s">
        <v>42281</v>
      </c>
      <c r="M13598" t="s">
        <v>44501</v>
      </c>
      <c r="N13598" t="s">
        <v>46569</v>
      </c>
      <c r="O13598" t="s">
        <v>46570</v>
      </c>
      <c r="P13598">
        <v>0</v>
      </c>
      <c r="Q13598">
        <v>1</v>
      </c>
      <c r="R13598" t="s">
        <v>46586</v>
      </c>
      <c r="S13598" t="s">
        <v>47252</v>
      </c>
      <c r="T13598" t="s">
        <v>48283</v>
      </c>
      <c r="U13598" t="s">
        <v>53140</v>
      </c>
      <c r="W13598" t="s">
        <v>44501</v>
      </c>
      <c r="X13598" t="s">
        <v>46587</v>
      </c>
    </row>
    <row r="13599" spans="1:24">
      <c r="A13599">
        <f>HYPERLINK("https://www.philgeps.gov.ph/GEPSNONPILOT/Tender/SplashBidNoticeAbstractUI.aspx?menuIndex=3&amp;refID=7036438&amp;Result=3","7036438")</f>
        <v>0</v>
      </c>
      <c r="B13599" t="s">
        <v>2448</v>
      </c>
      <c r="C13599" t="s">
        <v>16446</v>
      </c>
      <c r="D13599" t="s">
        <v>18827</v>
      </c>
      <c r="E13599" t="s">
        <v>30580</v>
      </c>
      <c r="F13599" t="s">
        <v>32664</v>
      </c>
      <c r="G13599" t="s">
        <v>32672</v>
      </c>
      <c r="H13599" t="s">
        <v>32683</v>
      </c>
      <c r="I13599" t="s">
        <v>10627</v>
      </c>
      <c r="J13599" t="s">
        <v>32962</v>
      </c>
      <c r="K13599" t="s">
        <v>42298</v>
      </c>
      <c r="M13599" t="s">
        <v>45242</v>
      </c>
      <c r="N13599" t="s">
        <v>46569</v>
      </c>
      <c r="O13599" t="s">
        <v>46570</v>
      </c>
      <c r="P13599">
        <v>0</v>
      </c>
      <c r="Q13599">
        <v>0</v>
      </c>
      <c r="R13599" t="s">
        <v>46586</v>
      </c>
      <c r="S13599" t="s">
        <v>47252</v>
      </c>
      <c r="T13599" t="s">
        <v>48246</v>
      </c>
      <c r="U13599" t="s">
        <v>59688</v>
      </c>
      <c r="W13599" t="s">
        <v>45242</v>
      </c>
      <c r="X13599" t="s">
        <v>46587</v>
      </c>
    </row>
    <row r="13600" spans="1:24">
      <c r="A13600">
        <f>HYPERLINK("https://www.philgeps.gov.ph/GEPSNONPILOT/Tender/SplashBidNoticeAbstractUI.aspx?menuIndex=3&amp;refID=7036425&amp;Result=3","7036425")</f>
        <v>0</v>
      </c>
      <c r="B13600" t="s">
        <v>1798</v>
      </c>
      <c r="C13600" t="s">
        <v>16447</v>
      </c>
      <c r="D13600" t="s">
        <v>18858</v>
      </c>
      <c r="E13600" t="s">
        <v>30581</v>
      </c>
      <c r="F13600" t="s">
        <v>32664</v>
      </c>
      <c r="G13600" t="s">
        <v>32672</v>
      </c>
      <c r="H13600" t="s">
        <v>32683</v>
      </c>
      <c r="I13600" t="s">
        <v>10627</v>
      </c>
      <c r="J13600" t="s">
        <v>40890</v>
      </c>
      <c r="K13600" t="s">
        <v>42298</v>
      </c>
      <c r="M13600" t="s">
        <v>44501</v>
      </c>
      <c r="N13600" t="s">
        <v>46569</v>
      </c>
      <c r="O13600" t="s">
        <v>46570</v>
      </c>
      <c r="P13600">
        <v>0</v>
      </c>
      <c r="Q13600">
        <v>1</v>
      </c>
      <c r="R13600" t="s">
        <v>46586</v>
      </c>
      <c r="S13600" t="s">
        <v>47252</v>
      </c>
      <c r="T13600" t="s">
        <v>48283</v>
      </c>
      <c r="U13600" t="s">
        <v>53140</v>
      </c>
      <c r="W13600" t="s">
        <v>44501</v>
      </c>
      <c r="X13600" t="s">
        <v>46587</v>
      </c>
    </row>
    <row r="13601" spans="1:24">
      <c r="A13601">
        <f>HYPERLINK("https://www.philgeps.gov.ph/GEPSNONPILOT/Tender/SplashBidNoticeAbstractUI.aspx?menuIndex=3&amp;refID=7036415&amp;Result=3","7036415")</f>
        <v>0</v>
      </c>
      <c r="B13601" t="s">
        <v>1924</v>
      </c>
      <c r="C13601" t="s">
        <v>16448</v>
      </c>
      <c r="D13601" t="s">
        <v>18830</v>
      </c>
      <c r="E13601" t="s">
        <v>30582</v>
      </c>
      <c r="F13601" t="s">
        <v>32664</v>
      </c>
      <c r="G13601" t="s">
        <v>32672</v>
      </c>
      <c r="H13601" t="s">
        <v>12635</v>
      </c>
      <c r="I13601" t="s">
        <v>10627</v>
      </c>
      <c r="J13601" t="s">
        <v>40891</v>
      </c>
      <c r="K13601" t="s">
        <v>42477</v>
      </c>
      <c r="M13601" t="s">
        <v>44646</v>
      </c>
      <c r="N13601" t="s">
        <v>46569</v>
      </c>
      <c r="O13601" t="s">
        <v>46570</v>
      </c>
      <c r="Q13601">
        <v>0</v>
      </c>
      <c r="R13601" t="s">
        <v>46586</v>
      </c>
      <c r="S13601" t="s">
        <v>46892</v>
      </c>
      <c r="T13601" t="s">
        <v>48283</v>
      </c>
      <c r="U13601" t="s">
        <v>59676</v>
      </c>
      <c r="W13601" t="s">
        <v>44646</v>
      </c>
      <c r="X13601" t="s">
        <v>46587</v>
      </c>
    </row>
    <row r="13602" spans="1:24">
      <c r="A13602">
        <f>HYPERLINK("https://www.philgeps.gov.ph/GEPSNONPILOT/Tender/SplashBidNoticeAbstractUI.aspx?menuIndex=3&amp;refID=7036430&amp;Result=3","7036430")</f>
        <v>0</v>
      </c>
      <c r="B13602" t="s">
        <v>721</v>
      </c>
      <c r="C13602" t="s">
        <v>16449</v>
      </c>
      <c r="D13602" t="s">
        <v>18860</v>
      </c>
      <c r="E13602" t="s">
        <v>30583</v>
      </c>
      <c r="F13602" t="s">
        <v>32664</v>
      </c>
      <c r="G13602" t="s">
        <v>32672</v>
      </c>
      <c r="H13602" t="s">
        <v>32683</v>
      </c>
      <c r="I13602" t="s">
        <v>10627</v>
      </c>
      <c r="J13602" t="s">
        <v>33127</v>
      </c>
      <c r="K13602" t="s">
        <v>42327</v>
      </c>
      <c r="M13602" t="s">
        <v>44205</v>
      </c>
      <c r="N13602" t="s">
        <v>46569</v>
      </c>
      <c r="O13602" t="s">
        <v>46570</v>
      </c>
      <c r="Q13602">
        <v>0</v>
      </c>
      <c r="R13602" t="s">
        <v>46586</v>
      </c>
      <c r="S13602" t="s">
        <v>47282</v>
      </c>
      <c r="T13602" t="s">
        <v>48282</v>
      </c>
      <c r="U13602" t="s">
        <v>59692</v>
      </c>
      <c r="W13602" t="s">
        <v>44205</v>
      </c>
      <c r="X13602" t="s">
        <v>46587</v>
      </c>
    </row>
    <row r="13603" spans="1:24">
      <c r="A13603">
        <f>HYPERLINK("https://www.philgeps.gov.ph/GEPSNONPILOT/Tender/SplashBidNoticeAbstractUI.aspx?menuIndex=3&amp;refID=7036333&amp;Result=3","7036333")</f>
        <v>0</v>
      </c>
      <c r="B13603" t="s">
        <v>2917</v>
      </c>
      <c r="C13603" t="s">
        <v>16450</v>
      </c>
      <c r="D13603" t="s">
        <v>18781</v>
      </c>
      <c r="E13603" t="s">
        <v>30584</v>
      </c>
      <c r="F13603" t="s">
        <v>32664</v>
      </c>
      <c r="G13603" t="s">
        <v>32672</v>
      </c>
      <c r="H13603" t="s">
        <v>12635</v>
      </c>
      <c r="I13603" t="s">
        <v>11464</v>
      </c>
      <c r="J13603" t="s">
        <v>34862</v>
      </c>
      <c r="K13603" t="s">
        <v>42289</v>
      </c>
      <c r="M13603" t="s">
        <v>45770</v>
      </c>
      <c r="N13603" t="s">
        <v>46569</v>
      </c>
      <c r="O13603" t="s">
        <v>46570</v>
      </c>
      <c r="P13603">
        <v>0</v>
      </c>
      <c r="Q13603">
        <v>3</v>
      </c>
      <c r="R13603" t="s">
        <v>46586</v>
      </c>
      <c r="S13603" t="s">
        <v>47252</v>
      </c>
      <c r="T13603" t="s">
        <v>48305</v>
      </c>
      <c r="U13603" t="s">
        <v>59693</v>
      </c>
      <c r="W13603" t="s">
        <v>45770</v>
      </c>
      <c r="X13603" t="s">
        <v>46587</v>
      </c>
    </row>
    <row r="13604" spans="1:24">
      <c r="A13604">
        <f>HYPERLINK("https://www.philgeps.gov.ph/GEPSNONPILOT/Tender/SplashBidNoticeAbstractUI.aspx?menuIndex=3&amp;refID=7036318&amp;Result=3","7036318")</f>
        <v>0</v>
      </c>
      <c r="B13604" t="s">
        <v>3339</v>
      </c>
      <c r="C13604" t="s">
        <v>16451</v>
      </c>
      <c r="D13604" t="s">
        <v>18853</v>
      </c>
      <c r="E13604" t="s">
        <v>19650</v>
      </c>
      <c r="F13604" t="s">
        <v>32664</v>
      </c>
      <c r="G13604" t="s">
        <v>32671</v>
      </c>
      <c r="H13604" t="s">
        <v>12635</v>
      </c>
      <c r="I13604" t="s">
        <v>4333</v>
      </c>
      <c r="J13604" t="s">
        <v>40892</v>
      </c>
      <c r="K13604" t="s">
        <v>42303</v>
      </c>
      <c r="M13604" t="s">
        <v>46291</v>
      </c>
      <c r="N13604" t="s">
        <v>46569</v>
      </c>
      <c r="O13604" t="s">
        <v>46570</v>
      </c>
      <c r="P13604">
        <v>0</v>
      </c>
      <c r="Q13604">
        <v>0</v>
      </c>
      <c r="R13604" t="s">
        <v>46586</v>
      </c>
      <c r="S13604" t="s">
        <v>47252</v>
      </c>
      <c r="T13604" t="s">
        <v>48287</v>
      </c>
      <c r="U13604" t="s">
        <v>59694</v>
      </c>
      <c r="V13604" t="s">
        <v>63128</v>
      </c>
      <c r="W13604" t="s">
        <v>46291</v>
      </c>
      <c r="X13604" t="s">
        <v>46587</v>
      </c>
    </row>
    <row r="13605" spans="1:24">
      <c r="A13605">
        <f>HYPERLINK("https://www.philgeps.gov.ph/GEPSNONPILOT/Tender/SplashBidNoticeAbstractUI.aspx?menuIndex=3&amp;refID=7036422&amp;Result=3","7036422")</f>
        <v>0</v>
      </c>
      <c r="B13605" t="s">
        <v>1924</v>
      </c>
      <c r="C13605" t="s">
        <v>16452</v>
      </c>
      <c r="D13605" t="s">
        <v>18830</v>
      </c>
      <c r="E13605" t="s">
        <v>30585</v>
      </c>
      <c r="F13605" t="s">
        <v>32664</v>
      </c>
      <c r="G13605" t="s">
        <v>32672</v>
      </c>
      <c r="H13605" t="s">
        <v>32683</v>
      </c>
      <c r="I13605" t="s">
        <v>10627</v>
      </c>
      <c r="J13605" t="s">
        <v>40893</v>
      </c>
      <c r="K13605" t="s">
        <v>42384</v>
      </c>
      <c r="M13605" t="s">
        <v>44646</v>
      </c>
      <c r="N13605" t="s">
        <v>46569</v>
      </c>
      <c r="O13605" t="s">
        <v>46570</v>
      </c>
      <c r="P13605">
        <v>0</v>
      </c>
      <c r="Q13605">
        <v>4</v>
      </c>
      <c r="R13605" t="s">
        <v>46586</v>
      </c>
      <c r="S13605" t="s">
        <v>47252</v>
      </c>
      <c r="T13605" t="s">
        <v>48283</v>
      </c>
      <c r="U13605" t="s">
        <v>59676</v>
      </c>
      <c r="W13605" t="s">
        <v>44646</v>
      </c>
      <c r="X13605" t="s">
        <v>46587</v>
      </c>
    </row>
    <row r="13606" spans="1:24">
      <c r="A13606">
        <f>HYPERLINK("https://www.philgeps.gov.ph/GEPSNONPILOT/Tender/SplashBidNoticeAbstractUI.aspx?menuIndex=3&amp;refID=7036313&amp;Result=3","7036313")</f>
        <v>0</v>
      </c>
      <c r="B13606" t="s">
        <v>1807</v>
      </c>
      <c r="C13606" t="s">
        <v>16453</v>
      </c>
      <c r="E13606" t="s">
        <v>30586</v>
      </c>
      <c r="F13606" t="s">
        <v>32664</v>
      </c>
      <c r="G13606" t="s">
        <v>32672</v>
      </c>
      <c r="H13606" t="s">
        <v>32683</v>
      </c>
      <c r="I13606" t="s">
        <v>4439</v>
      </c>
      <c r="J13606" t="s">
        <v>40894</v>
      </c>
      <c r="K13606" t="s">
        <v>42283</v>
      </c>
      <c r="M13606" t="s">
        <v>44512</v>
      </c>
      <c r="N13606" t="s">
        <v>46569</v>
      </c>
      <c r="O13606" t="s">
        <v>46570</v>
      </c>
      <c r="P13606">
        <v>0</v>
      </c>
      <c r="Q13606">
        <v>2</v>
      </c>
      <c r="R13606" t="s">
        <v>46586</v>
      </c>
      <c r="S13606" t="s">
        <v>47252</v>
      </c>
      <c r="T13606" t="s">
        <v>48225</v>
      </c>
      <c r="U13606" t="s">
        <v>59695</v>
      </c>
      <c r="W13606" t="s">
        <v>44512</v>
      </c>
      <c r="X13606" t="s">
        <v>46587</v>
      </c>
    </row>
    <row r="13607" spans="1:24">
      <c r="A13607">
        <f>HYPERLINK("https://www.philgeps.gov.ph/GEPSNONPILOT/Tender/SplashBidNoticeAbstractUI.aspx?menuIndex=3&amp;refID=7036404&amp;Result=3","7036404")</f>
        <v>0</v>
      </c>
      <c r="B13607" t="s">
        <v>1924</v>
      </c>
      <c r="C13607" t="s">
        <v>16454</v>
      </c>
      <c r="D13607" t="s">
        <v>18830</v>
      </c>
      <c r="E13607" t="s">
        <v>30587</v>
      </c>
      <c r="F13607" t="s">
        <v>32664</v>
      </c>
      <c r="G13607" t="s">
        <v>32672</v>
      </c>
      <c r="H13607" t="s">
        <v>32683</v>
      </c>
      <c r="I13607" t="s">
        <v>10627</v>
      </c>
      <c r="J13607" t="s">
        <v>40895</v>
      </c>
      <c r="K13607" t="s">
        <v>42317</v>
      </c>
      <c r="M13607" t="s">
        <v>44646</v>
      </c>
      <c r="N13607" t="s">
        <v>46569</v>
      </c>
      <c r="O13607" t="s">
        <v>46570</v>
      </c>
      <c r="Q13607">
        <v>0</v>
      </c>
      <c r="R13607" t="s">
        <v>46586</v>
      </c>
      <c r="S13607" t="s">
        <v>47283</v>
      </c>
      <c r="T13607" t="s">
        <v>48283</v>
      </c>
      <c r="U13607" t="s">
        <v>59676</v>
      </c>
      <c r="W13607" t="s">
        <v>44646</v>
      </c>
      <c r="X13607" t="s">
        <v>46587</v>
      </c>
    </row>
    <row r="13608" spans="1:24">
      <c r="A13608">
        <f>HYPERLINK("https://www.philgeps.gov.ph/GEPSNONPILOT/Tender/SplashBidNoticeAbstractUI.aspx?menuIndex=3&amp;refID=7036769&amp;Result=3","7036769")</f>
        <v>0</v>
      </c>
      <c r="B13608" t="s">
        <v>1863</v>
      </c>
      <c r="C13608" t="s">
        <v>5829</v>
      </c>
      <c r="D13608" t="s">
        <v>18783</v>
      </c>
      <c r="E13608" t="s">
        <v>30588</v>
      </c>
      <c r="F13608" t="s">
        <v>32664</v>
      </c>
      <c r="G13608" t="s">
        <v>32672</v>
      </c>
      <c r="H13608" t="s">
        <v>12635</v>
      </c>
      <c r="I13608" t="s">
        <v>11464</v>
      </c>
      <c r="J13608" t="s">
        <v>34559</v>
      </c>
      <c r="K13608" t="s">
        <v>42302</v>
      </c>
      <c r="M13608" t="s">
        <v>44576</v>
      </c>
      <c r="N13608" t="s">
        <v>46569</v>
      </c>
      <c r="O13608" t="s">
        <v>46570</v>
      </c>
      <c r="P13608">
        <v>0</v>
      </c>
      <c r="Q13608">
        <v>3</v>
      </c>
      <c r="R13608" t="s">
        <v>46586</v>
      </c>
      <c r="S13608" t="s">
        <v>47252</v>
      </c>
      <c r="T13608" t="s">
        <v>48228</v>
      </c>
      <c r="U13608" t="s">
        <v>59696</v>
      </c>
      <c r="V13608" t="s">
        <v>62203</v>
      </c>
      <c r="W13608" t="s">
        <v>44576</v>
      </c>
      <c r="X13608" t="s">
        <v>46587</v>
      </c>
    </row>
    <row r="13609" spans="1:24">
      <c r="A13609">
        <f>HYPERLINK("https://www.philgeps.gov.ph/GEPSNONPILOT/Tender/SplashBidNoticeAbstractUI.aspx?menuIndex=3&amp;refID=7036738&amp;Result=3","7036738")</f>
        <v>0</v>
      </c>
      <c r="B13609" t="s">
        <v>2720</v>
      </c>
      <c r="C13609" t="s">
        <v>16455</v>
      </c>
      <c r="D13609" t="s">
        <v>18785</v>
      </c>
      <c r="E13609" t="s">
        <v>30589</v>
      </c>
      <c r="F13609" t="s">
        <v>32664</v>
      </c>
      <c r="G13609" t="s">
        <v>32672</v>
      </c>
      <c r="H13609" t="s">
        <v>32683</v>
      </c>
      <c r="I13609" t="s">
        <v>10627</v>
      </c>
      <c r="J13609" t="s">
        <v>34379</v>
      </c>
      <c r="K13609" t="s">
        <v>42290</v>
      </c>
      <c r="M13609" t="s">
        <v>45547</v>
      </c>
      <c r="N13609" t="s">
        <v>46569</v>
      </c>
      <c r="O13609" t="s">
        <v>46570</v>
      </c>
      <c r="P13609">
        <v>0</v>
      </c>
      <c r="Q13609">
        <v>2</v>
      </c>
      <c r="R13609" t="s">
        <v>46586</v>
      </c>
      <c r="S13609" t="s">
        <v>47252</v>
      </c>
      <c r="T13609" t="s">
        <v>48221</v>
      </c>
      <c r="U13609" t="s">
        <v>59697</v>
      </c>
      <c r="W13609" t="s">
        <v>45547</v>
      </c>
      <c r="X13609" t="s">
        <v>46587</v>
      </c>
    </row>
    <row r="13610" spans="1:24">
      <c r="A13610">
        <f>HYPERLINK("https://www.philgeps.gov.ph/GEPSNONPILOT/Tender/SplashBidNoticeAbstractUI.aspx?menuIndex=3&amp;refID=7036403&amp;Result=3","7036403")</f>
        <v>0</v>
      </c>
      <c r="B13610" t="s">
        <v>887</v>
      </c>
      <c r="C13610" t="s">
        <v>16456</v>
      </c>
      <c r="D13610" t="s">
        <v>18821</v>
      </c>
      <c r="E13610" t="s">
        <v>30590</v>
      </c>
      <c r="F13610" t="s">
        <v>32664</v>
      </c>
      <c r="G13610" t="s">
        <v>32672</v>
      </c>
      <c r="H13610" t="s">
        <v>32683</v>
      </c>
      <c r="I13610" t="s">
        <v>10627</v>
      </c>
      <c r="J13610" t="s">
        <v>32943</v>
      </c>
      <c r="K13610" t="s">
        <v>42298</v>
      </c>
      <c r="M13610" t="s">
        <v>43488</v>
      </c>
      <c r="N13610" t="s">
        <v>46569</v>
      </c>
      <c r="O13610" t="s">
        <v>46570</v>
      </c>
      <c r="P13610">
        <v>0</v>
      </c>
      <c r="Q13610">
        <v>6</v>
      </c>
      <c r="R13610" t="s">
        <v>46586</v>
      </c>
      <c r="S13610" t="s">
        <v>47252</v>
      </c>
      <c r="T13610" t="s">
        <v>48221</v>
      </c>
      <c r="U13610" t="s">
        <v>59698</v>
      </c>
      <c r="V13610" t="s">
        <v>61838</v>
      </c>
      <c r="W13610" t="s">
        <v>43488</v>
      </c>
      <c r="X13610" t="s">
        <v>46587</v>
      </c>
    </row>
    <row r="13611" spans="1:24">
      <c r="A13611">
        <f>HYPERLINK("https://www.philgeps.gov.ph/GEPSNONPILOT/Tender/SplashBidNoticeAbstractUI.aspx?menuIndex=3&amp;refID=7036309&amp;Result=3","7036309")</f>
        <v>0</v>
      </c>
      <c r="B13611" t="s">
        <v>3338</v>
      </c>
      <c r="C13611" t="s">
        <v>16457</v>
      </c>
      <c r="D13611" t="s">
        <v>18842</v>
      </c>
      <c r="E13611" t="s">
        <v>19451</v>
      </c>
      <c r="F13611" t="s">
        <v>32664</v>
      </c>
      <c r="G13611" t="s">
        <v>32672</v>
      </c>
      <c r="H13611" t="s">
        <v>32683</v>
      </c>
      <c r="I13611" t="s">
        <v>10627</v>
      </c>
      <c r="J13611" t="s">
        <v>40896</v>
      </c>
      <c r="K13611" t="s">
        <v>42311</v>
      </c>
      <c r="M13611" t="s">
        <v>46290</v>
      </c>
      <c r="N13611" t="s">
        <v>46569</v>
      </c>
      <c r="O13611" t="s">
        <v>46570</v>
      </c>
      <c r="P13611">
        <v>0</v>
      </c>
      <c r="Q13611">
        <v>0</v>
      </c>
      <c r="R13611" t="s">
        <v>46586</v>
      </c>
      <c r="S13611" t="s">
        <v>47252</v>
      </c>
      <c r="T13611" t="s">
        <v>48296</v>
      </c>
      <c r="U13611" t="s">
        <v>59699</v>
      </c>
      <c r="W13611" t="s">
        <v>46290</v>
      </c>
      <c r="X13611" t="s">
        <v>46587</v>
      </c>
    </row>
    <row r="13612" spans="1:24">
      <c r="A13612">
        <f>HYPERLINK("https://www.philgeps.gov.ph/GEPSNONPILOT/Tender/SplashBidNoticeAbstractUI.aspx?menuIndex=3&amp;refID=7036502&amp;Result=3","7036502")</f>
        <v>0</v>
      </c>
      <c r="B13612" t="s">
        <v>1422</v>
      </c>
      <c r="C13612" t="s">
        <v>16458</v>
      </c>
      <c r="E13612" t="s">
        <v>30591</v>
      </c>
      <c r="F13612" t="s">
        <v>32664</v>
      </c>
      <c r="G13612" t="s">
        <v>32672</v>
      </c>
      <c r="H13612" t="s">
        <v>12635</v>
      </c>
      <c r="I13612" t="s">
        <v>4439</v>
      </c>
      <c r="J13612" t="s">
        <v>40897</v>
      </c>
      <c r="K13612" t="s">
        <v>42303</v>
      </c>
      <c r="M13612" t="s">
        <v>44081</v>
      </c>
      <c r="N13612" t="s">
        <v>46569</v>
      </c>
      <c r="O13612" t="s">
        <v>46570</v>
      </c>
      <c r="P13612">
        <v>0</v>
      </c>
      <c r="Q13612">
        <v>2</v>
      </c>
      <c r="R13612" t="s">
        <v>46586</v>
      </c>
      <c r="S13612" t="s">
        <v>47252</v>
      </c>
      <c r="T13612" t="s">
        <v>48334</v>
      </c>
      <c r="U13612" t="s">
        <v>59691</v>
      </c>
      <c r="W13612" t="s">
        <v>44081</v>
      </c>
      <c r="X13612" t="s">
        <v>46587</v>
      </c>
    </row>
    <row r="13613" spans="1:24">
      <c r="A13613">
        <f>HYPERLINK("https://www.philgeps.gov.ph/GEPSNONPILOT/Tender/SplashBidNoticeAbstractUI.aspx?menuIndex=3&amp;refID=7036715&amp;Result=3","7036715")</f>
        <v>0</v>
      </c>
      <c r="B13613" t="s">
        <v>568</v>
      </c>
      <c r="C13613" t="s">
        <v>16459</v>
      </c>
      <c r="D13613" t="s">
        <v>18822</v>
      </c>
      <c r="E13613" t="s">
        <v>30592</v>
      </c>
      <c r="F13613" t="s">
        <v>32664</v>
      </c>
      <c r="G13613" t="s">
        <v>32672</v>
      </c>
      <c r="H13613" t="s">
        <v>32683</v>
      </c>
      <c r="I13613" t="s">
        <v>10627</v>
      </c>
      <c r="J13613" t="s">
        <v>40898</v>
      </c>
      <c r="K13613" t="s">
        <v>42481</v>
      </c>
      <c r="M13613" t="s">
        <v>43148</v>
      </c>
      <c r="N13613" t="s">
        <v>46569</v>
      </c>
      <c r="O13613" t="s">
        <v>46570</v>
      </c>
      <c r="P13613">
        <v>0</v>
      </c>
      <c r="Q13613">
        <v>0</v>
      </c>
      <c r="R13613" t="s">
        <v>46586</v>
      </c>
      <c r="S13613" t="s">
        <v>47252</v>
      </c>
      <c r="T13613" t="s">
        <v>48248</v>
      </c>
      <c r="U13613" t="s">
        <v>59700</v>
      </c>
      <c r="V13613" t="s">
        <v>61801</v>
      </c>
      <c r="W13613" t="s">
        <v>63484</v>
      </c>
      <c r="X13613" t="s">
        <v>46587</v>
      </c>
    </row>
    <row r="13614" spans="1:24">
      <c r="A13614">
        <f>HYPERLINK("https://www.philgeps.gov.ph/GEPSNONPILOT/Tender/SplashBidNoticeAbstractUI.aspx?menuIndex=3&amp;refID=7036698&amp;Result=3","7036698")</f>
        <v>0</v>
      </c>
      <c r="B13614" t="s">
        <v>3325</v>
      </c>
      <c r="C13614" t="s">
        <v>16460</v>
      </c>
      <c r="D13614" t="s">
        <v>18847</v>
      </c>
      <c r="E13614" t="s">
        <v>22186</v>
      </c>
      <c r="F13614" t="s">
        <v>32664</v>
      </c>
      <c r="G13614" t="s">
        <v>32672</v>
      </c>
      <c r="H13614" t="s">
        <v>32683</v>
      </c>
      <c r="I13614" t="s">
        <v>10627</v>
      </c>
      <c r="J13614" t="s">
        <v>40899</v>
      </c>
      <c r="K13614" t="s">
        <v>42316</v>
      </c>
      <c r="M13614" t="s">
        <v>46276</v>
      </c>
      <c r="N13614" t="s">
        <v>46569</v>
      </c>
      <c r="O13614" t="s">
        <v>46570</v>
      </c>
      <c r="P13614">
        <v>0</v>
      </c>
      <c r="Q13614">
        <v>0</v>
      </c>
      <c r="R13614" t="s">
        <v>46586</v>
      </c>
      <c r="S13614" t="s">
        <v>47252</v>
      </c>
      <c r="T13614" t="s">
        <v>48608</v>
      </c>
      <c r="U13614" t="s">
        <v>59701</v>
      </c>
      <c r="W13614" t="s">
        <v>46276</v>
      </c>
      <c r="X13614" t="s">
        <v>46587</v>
      </c>
    </row>
    <row r="13615" spans="1:24">
      <c r="A13615">
        <f>HYPERLINK("https://www.philgeps.gov.ph/GEPSNONPILOT/Tender/SplashBidNoticeAbstractUI.aspx?menuIndex=3&amp;refID=7036695&amp;Result=3","7036695")</f>
        <v>0</v>
      </c>
      <c r="B13615" t="s">
        <v>530</v>
      </c>
      <c r="C13615" t="s">
        <v>16461</v>
      </c>
      <c r="D13615" t="s">
        <v>18802</v>
      </c>
      <c r="E13615" t="s">
        <v>30593</v>
      </c>
      <c r="F13615" t="s">
        <v>32664</v>
      </c>
      <c r="G13615" t="s">
        <v>32672</v>
      </c>
      <c r="H13615" t="s">
        <v>32683</v>
      </c>
      <c r="I13615" t="s">
        <v>10627</v>
      </c>
      <c r="J13615" t="s">
        <v>32898</v>
      </c>
      <c r="K13615" t="s">
        <v>42281</v>
      </c>
      <c r="M13615" t="s">
        <v>43108</v>
      </c>
      <c r="N13615" t="s">
        <v>46569</v>
      </c>
      <c r="O13615" t="s">
        <v>46570</v>
      </c>
      <c r="P13615">
        <v>0</v>
      </c>
      <c r="Q13615">
        <v>0</v>
      </c>
      <c r="R13615" t="s">
        <v>46586</v>
      </c>
      <c r="S13615" t="s">
        <v>47252</v>
      </c>
      <c r="T13615" t="s">
        <v>48244</v>
      </c>
      <c r="U13615" t="s">
        <v>59702</v>
      </c>
      <c r="W13615" t="s">
        <v>43108</v>
      </c>
      <c r="X13615" t="s">
        <v>46587</v>
      </c>
    </row>
    <row r="13616" spans="1:24">
      <c r="A13616">
        <f>HYPERLINK("https://www.philgeps.gov.ph/GEPSNONPILOT/Tender/SplashBidNoticeAbstractUI.aspx?menuIndex=3&amp;refID=7036672&amp;Result=3","7036672")</f>
        <v>0</v>
      </c>
      <c r="B13616" t="s">
        <v>3340</v>
      </c>
      <c r="C13616" t="s">
        <v>16462</v>
      </c>
      <c r="D13616" t="s">
        <v>18806</v>
      </c>
      <c r="E13616" t="s">
        <v>30594</v>
      </c>
      <c r="F13616" t="s">
        <v>32664</v>
      </c>
      <c r="G13616" t="s">
        <v>32672</v>
      </c>
      <c r="H13616" t="s">
        <v>12635</v>
      </c>
      <c r="I13616" t="s">
        <v>11464</v>
      </c>
      <c r="J13616" t="s">
        <v>39811</v>
      </c>
      <c r="K13616" t="s">
        <v>42281</v>
      </c>
      <c r="M13616" t="s">
        <v>46292</v>
      </c>
      <c r="N13616" t="s">
        <v>46569</v>
      </c>
      <c r="O13616" t="s">
        <v>46570</v>
      </c>
      <c r="P13616">
        <v>0</v>
      </c>
      <c r="Q13616">
        <v>3</v>
      </c>
      <c r="R13616" t="s">
        <v>46586</v>
      </c>
      <c r="S13616" t="s">
        <v>47252</v>
      </c>
      <c r="T13616" t="s">
        <v>48282</v>
      </c>
      <c r="U13616" t="s">
        <v>59703</v>
      </c>
      <c r="W13616" t="s">
        <v>46292</v>
      </c>
      <c r="X13616" t="s">
        <v>46587</v>
      </c>
    </row>
    <row r="13617" spans="1:24">
      <c r="A13617">
        <f>HYPERLINK("https://www.philgeps.gov.ph/GEPSNONPILOT/Tender/SplashBidNoticeAbstractUI.aspx?menuIndex=3&amp;refID=7036671&amp;Result=3","7036671")</f>
        <v>0</v>
      </c>
      <c r="B13617" t="s">
        <v>2635</v>
      </c>
      <c r="C13617" t="s">
        <v>16463</v>
      </c>
      <c r="E13617" t="s">
        <v>30595</v>
      </c>
      <c r="F13617" t="s">
        <v>32664</v>
      </c>
      <c r="G13617" t="s">
        <v>32672</v>
      </c>
      <c r="H13617" t="s">
        <v>12635</v>
      </c>
      <c r="I13617" t="s">
        <v>11464</v>
      </c>
      <c r="J13617" t="s">
        <v>34384</v>
      </c>
      <c r="K13617" t="s">
        <v>42283</v>
      </c>
      <c r="M13617" t="s">
        <v>45455</v>
      </c>
      <c r="N13617" t="s">
        <v>46569</v>
      </c>
      <c r="O13617" t="s">
        <v>46570</v>
      </c>
      <c r="P13617">
        <v>0</v>
      </c>
      <c r="Q13617">
        <v>1</v>
      </c>
      <c r="R13617" t="s">
        <v>46586</v>
      </c>
      <c r="S13617" t="s">
        <v>47252</v>
      </c>
      <c r="T13617" t="s">
        <v>48224</v>
      </c>
      <c r="U13617" t="s">
        <v>59704</v>
      </c>
      <c r="W13617" t="s">
        <v>45455</v>
      </c>
      <c r="X13617" t="s">
        <v>46587</v>
      </c>
    </row>
    <row r="13618" spans="1:24">
      <c r="A13618">
        <f>HYPERLINK("https://www.philgeps.gov.ph/GEPSNONPILOT/Tender/SplashBidNoticeAbstractUI.aspx?menuIndex=3&amp;refID=7036689&amp;Result=3","7036689")</f>
        <v>0</v>
      </c>
      <c r="B13618" t="s">
        <v>2501</v>
      </c>
      <c r="C13618" t="s">
        <v>16464</v>
      </c>
      <c r="D13618" t="s">
        <v>18842</v>
      </c>
      <c r="E13618" t="s">
        <v>20077</v>
      </c>
      <c r="F13618" t="s">
        <v>32664</v>
      </c>
      <c r="G13618" t="s">
        <v>32672</v>
      </c>
      <c r="H13618" t="s">
        <v>32683</v>
      </c>
      <c r="I13618" t="s">
        <v>10627</v>
      </c>
      <c r="J13618" t="s">
        <v>33150</v>
      </c>
      <c r="K13618" t="s">
        <v>42298</v>
      </c>
      <c r="M13618" t="s">
        <v>45304</v>
      </c>
      <c r="N13618" t="s">
        <v>46569</v>
      </c>
      <c r="O13618" t="s">
        <v>46570</v>
      </c>
      <c r="P13618">
        <v>0</v>
      </c>
      <c r="Q13618">
        <v>2</v>
      </c>
      <c r="R13618" t="s">
        <v>46586</v>
      </c>
      <c r="S13618" t="s">
        <v>47252</v>
      </c>
      <c r="T13618" t="s">
        <v>48651</v>
      </c>
      <c r="U13618" t="s">
        <v>59705</v>
      </c>
      <c r="W13618" t="s">
        <v>45304</v>
      </c>
      <c r="X13618" t="s">
        <v>46587</v>
      </c>
    </row>
    <row r="13619" spans="1:24">
      <c r="A13619">
        <f>HYPERLINK("https://www.philgeps.gov.ph/GEPSNONPILOT/Tender/SplashBidNoticeAbstractUI.aspx?menuIndex=3&amp;refID=7036645&amp;Result=3","7036645")</f>
        <v>0</v>
      </c>
      <c r="B13619" t="s">
        <v>530</v>
      </c>
      <c r="C13619" t="s">
        <v>16465</v>
      </c>
      <c r="D13619" t="s">
        <v>18802</v>
      </c>
      <c r="E13619" t="s">
        <v>30596</v>
      </c>
      <c r="F13619" t="s">
        <v>32664</v>
      </c>
      <c r="G13619" t="s">
        <v>32672</v>
      </c>
      <c r="H13619" t="s">
        <v>32683</v>
      </c>
      <c r="I13619" t="s">
        <v>10627</v>
      </c>
      <c r="J13619" t="s">
        <v>40900</v>
      </c>
      <c r="K13619" t="s">
        <v>42423</v>
      </c>
      <c r="M13619" t="s">
        <v>43108</v>
      </c>
      <c r="N13619" t="s">
        <v>46569</v>
      </c>
      <c r="O13619" t="s">
        <v>46570</v>
      </c>
      <c r="P13619">
        <v>0</v>
      </c>
      <c r="Q13619">
        <v>1</v>
      </c>
      <c r="R13619" t="s">
        <v>46586</v>
      </c>
      <c r="S13619" t="s">
        <v>47252</v>
      </c>
      <c r="T13619" t="s">
        <v>48293</v>
      </c>
      <c r="U13619" t="s">
        <v>57746</v>
      </c>
      <c r="W13619" t="s">
        <v>43108</v>
      </c>
      <c r="X13619" t="s">
        <v>46587</v>
      </c>
    </row>
    <row r="13620" spans="1:24">
      <c r="A13620">
        <f>HYPERLINK("https://www.philgeps.gov.ph/GEPSNONPILOT/Tender/SplashBidNoticeAbstractUI.aspx?menuIndex=3&amp;refID=7036727&amp;Result=3","7036727")</f>
        <v>0</v>
      </c>
      <c r="B13620" t="s">
        <v>1605</v>
      </c>
      <c r="C13620" t="s">
        <v>16466</v>
      </c>
      <c r="D13620" t="s">
        <v>18818</v>
      </c>
      <c r="E13620" t="s">
        <v>30597</v>
      </c>
      <c r="F13620" t="s">
        <v>32664</v>
      </c>
      <c r="G13620" t="s">
        <v>32672</v>
      </c>
      <c r="H13620" t="s">
        <v>32683</v>
      </c>
      <c r="I13620" t="s">
        <v>10627</v>
      </c>
      <c r="J13620" t="s">
        <v>34148</v>
      </c>
      <c r="K13620" t="s">
        <v>42363</v>
      </c>
      <c r="M13620" t="s">
        <v>44284</v>
      </c>
      <c r="N13620" t="s">
        <v>46569</v>
      </c>
      <c r="O13620" t="s">
        <v>46570</v>
      </c>
      <c r="P13620">
        <v>0</v>
      </c>
      <c r="Q13620">
        <v>1</v>
      </c>
      <c r="R13620" t="s">
        <v>46586</v>
      </c>
      <c r="S13620" t="s">
        <v>47252</v>
      </c>
      <c r="T13620" t="s">
        <v>48258</v>
      </c>
      <c r="U13620" t="s">
        <v>59706</v>
      </c>
      <c r="W13620" t="s">
        <v>44284</v>
      </c>
      <c r="X13620" t="s">
        <v>46587</v>
      </c>
    </row>
    <row r="13621" spans="1:24">
      <c r="A13621">
        <f>HYPERLINK("https://www.philgeps.gov.ph/GEPSNONPILOT/Tender/SplashBidNoticeAbstractUI.aspx?menuIndex=3&amp;refID=7036667&amp;Result=3","7036667")</f>
        <v>0</v>
      </c>
      <c r="B13621" t="s">
        <v>530</v>
      </c>
      <c r="C13621" t="s">
        <v>16467</v>
      </c>
      <c r="D13621" t="s">
        <v>18802</v>
      </c>
      <c r="E13621" t="s">
        <v>30598</v>
      </c>
      <c r="F13621" t="s">
        <v>32664</v>
      </c>
      <c r="G13621" t="s">
        <v>32672</v>
      </c>
      <c r="H13621" t="s">
        <v>32683</v>
      </c>
      <c r="I13621" t="s">
        <v>10627</v>
      </c>
      <c r="J13621" t="s">
        <v>40901</v>
      </c>
      <c r="K13621" t="s">
        <v>42281</v>
      </c>
      <c r="M13621" t="s">
        <v>43108</v>
      </c>
      <c r="N13621" t="s">
        <v>46569</v>
      </c>
      <c r="O13621" t="s">
        <v>46570</v>
      </c>
      <c r="P13621">
        <v>0</v>
      </c>
      <c r="Q13621">
        <v>0</v>
      </c>
      <c r="R13621" t="s">
        <v>46586</v>
      </c>
      <c r="S13621" t="s">
        <v>47252</v>
      </c>
      <c r="T13621" t="s">
        <v>48244</v>
      </c>
      <c r="U13621" t="s">
        <v>59702</v>
      </c>
      <c r="W13621" t="s">
        <v>43108</v>
      </c>
      <c r="X13621" t="s">
        <v>46587</v>
      </c>
    </row>
    <row r="13622" spans="1:24">
      <c r="A13622">
        <f>HYPERLINK("https://www.philgeps.gov.ph/GEPSNONPILOT/Tender/SplashBidNoticeAbstractUI.aspx?menuIndex=3&amp;refID=7036628&amp;Result=3","7036628")</f>
        <v>0</v>
      </c>
      <c r="B13622" t="s">
        <v>530</v>
      </c>
      <c r="C13622" t="s">
        <v>16468</v>
      </c>
      <c r="D13622" t="s">
        <v>18802</v>
      </c>
      <c r="E13622" t="s">
        <v>30599</v>
      </c>
      <c r="F13622" t="s">
        <v>32664</v>
      </c>
      <c r="G13622" t="s">
        <v>32672</v>
      </c>
      <c r="H13622" t="s">
        <v>32683</v>
      </c>
      <c r="I13622" t="s">
        <v>10627</v>
      </c>
      <c r="J13622" t="s">
        <v>40902</v>
      </c>
      <c r="K13622" t="s">
        <v>42363</v>
      </c>
      <c r="M13622" t="s">
        <v>43108</v>
      </c>
      <c r="N13622" t="s">
        <v>46569</v>
      </c>
      <c r="O13622" t="s">
        <v>46570</v>
      </c>
      <c r="P13622">
        <v>0</v>
      </c>
      <c r="Q13622">
        <v>1</v>
      </c>
      <c r="R13622" t="s">
        <v>46586</v>
      </c>
      <c r="S13622" t="s">
        <v>47252</v>
      </c>
      <c r="T13622" t="s">
        <v>48293</v>
      </c>
      <c r="U13622" t="s">
        <v>57746</v>
      </c>
      <c r="W13622" t="s">
        <v>43108</v>
      </c>
      <c r="X13622" t="s">
        <v>46587</v>
      </c>
    </row>
    <row r="13623" spans="1:24">
      <c r="A13623">
        <f>HYPERLINK("https://www.philgeps.gov.ph/GEPSNONPILOT/Tender/SplashBidNoticeAbstractUI.aspx?menuIndex=3&amp;refID=7036340&amp;Result=3","7036340")</f>
        <v>0</v>
      </c>
      <c r="B13623" t="s">
        <v>1116</v>
      </c>
      <c r="C13623" t="s">
        <v>16469</v>
      </c>
      <c r="D13623" t="s">
        <v>18804</v>
      </c>
      <c r="E13623" t="s">
        <v>30600</v>
      </c>
      <c r="F13623" t="s">
        <v>32664</v>
      </c>
      <c r="G13623" t="s">
        <v>32672</v>
      </c>
      <c r="H13623" t="s">
        <v>12635</v>
      </c>
      <c r="I13623" t="s">
        <v>9486</v>
      </c>
      <c r="J13623" t="s">
        <v>40903</v>
      </c>
      <c r="K13623" t="s">
        <v>42289</v>
      </c>
      <c r="M13623" t="s">
        <v>43744</v>
      </c>
      <c r="N13623" t="s">
        <v>46569</v>
      </c>
      <c r="O13623" t="s">
        <v>46570</v>
      </c>
      <c r="P13623">
        <v>0</v>
      </c>
      <c r="Q13623">
        <v>32</v>
      </c>
      <c r="R13623" t="s">
        <v>46586</v>
      </c>
      <c r="S13623" t="s">
        <v>47252</v>
      </c>
      <c r="T13623" t="s">
        <v>48225</v>
      </c>
      <c r="U13623" t="s">
        <v>59707</v>
      </c>
      <c r="W13623" t="s">
        <v>43744</v>
      </c>
      <c r="X13623" t="s">
        <v>46587</v>
      </c>
    </row>
    <row r="13624" spans="1:24">
      <c r="A13624">
        <f>HYPERLINK("https://www.philgeps.gov.ph/GEPSNONPILOT/Tender/SplashBidNoticeAbstractUI.aspx?menuIndex=3&amp;refID=7036627&amp;Result=3","7036627")</f>
        <v>0</v>
      </c>
      <c r="B13624" t="s">
        <v>1422</v>
      </c>
      <c r="C13624" t="s">
        <v>16470</v>
      </c>
      <c r="E13624" t="s">
        <v>30601</v>
      </c>
      <c r="F13624" t="s">
        <v>32664</v>
      </c>
      <c r="G13624" t="s">
        <v>32672</v>
      </c>
      <c r="H13624" t="s">
        <v>12635</v>
      </c>
      <c r="I13624" t="s">
        <v>4439</v>
      </c>
      <c r="J13624" t="s">
        <v>40904</v>
      </c>
      <c r="K13624" t="s">
        <v>42283</v>
      </c>
      <c r="M13624" t="s">
        <v>44081</v>
      </c>
      <c r="N13624" t="s">
        <v>46569</v>
      </c>
      <c r="O13624" t="s">
        <v>46570</v>
      </c>
      <c r="P13624">
        <v>0</v>
      </c>
      <c r="Q13624">
        <v>2</v>
      </c>
      <c r="R13624" t="s">
        <v>46586</v>
      </c>
      <c r="S13624" t="s">
        <v>47252</v>
      </c>
      <c r="T13624" t="s">
        <v>48334</v>
      </c>
      <c r="U13624" t="s">
        <v>59708</v>
      </c>
      <c r="W13624" t="s">
        <v>44081</v>
      </c>
      <c r="X13624" t="s">
        <v>46587</v>
      </c>
    </row>
    <row r="13625" spans="1:24">
      <c r="A13625">
        <f>HYPERLINK("https://www.philgeps.gov.ph/GEPSNONPILOT/Tender/SplashBidNoticeAbstractUI.aspx?menuIndex=3&amp;refID=7036644&amp;Result=3","7036644")</f>
        <v>0</v>
      </c>
      <c r="B13625" t="s">
        <v>2720</v>
      </c>
      <c r="C13625" t="s">
        <v>16471</v>
      </c>
      <c r="D13625" t="s">
        <v>18785</v>
      </c>
      <c r="E13625" t="s">
        <v>30602</v>
      </c>
      <c r="F13625" t="s">
        <v>32664</v>
      </c>
      <c r="G13625" t="s">
        <v>32672</v>
      </c>
      <c r="H13625" t="s">
        <v>32683</v>
      </c>
      <c r="I13625" t="s">
        <v>10627</v>
      </c>
      <c r="J13625" t="s">
        <v>37239</v>
      </c>
      <c r="K13625" t="s">
        <v>42298</v>
      </c>
      <c r="M13625" t="s">
        <v>45547</v>
      </c>
      <c r="N13625" t="s">
        <v>46569</v>
      </c>
      <c r="O13625" t="s">
        <v>46570</v>
      </c>
      <c r="P13625">
        <v>0</v>
      </c>
      <c r="Q13625">
        <v>1</v>
      </c>
      <c r="R13625" t="s">
        <v>46586</v>
      </c>
      <c r="S13625" t="s">
        <v>47252</v>
      </c>
      <c r="T13625" t="s">
        <v>48221</v>
      </c>
      <c r="U13625" t="s">
        <v>59697</v>
      </c>
      <c r="W13625" t="s">
        <v>45547</v>
      </c>
      <c r="X13625" t="s">
        <v>46587</v>
      </c>
    </row>
    <row r="13626" spans="1:24">
      <c r="A13626">
        <f>HYPERLINK("https://www.philgeps.gov.ph/GEPSNONPILOT/Tender/SplashBidNoticeAbstractUI.aspx?menuIndex=3&amp;refID=7036595&amp;Result=3","7036595")</f>
        <v>0</v>
      </c>
      <c r="B13626" t="s">
        <v>1371</v>
      </c>
      <c r="C13626" t="s">
        <v>16472</v>
      </c>
      <c r="D13626" t="s">
        <v>18796</v>
      </c>
      <c r="E13626" t="s">
        <v>30603</v>
      </c>
      <c r="F13626" t="s">
        <v>32664</v>
      </c>
      <c r="G13626" t="s">
        <v>32672</v>
      </c>
      <c r="H13626" t="s">
        <v>12635</v>
      </c>
      <c r="I13626" t="s">
        <v>6168</v>
      </c>
      <c r="J13626" t="s">
        <v>40905</v>
      </c>
      <c r="K13626" t="s">
        <v>42305</v>
      </c>
      <c r="M13626" t="s">
        <v>44026</v>
      </c>
      <c r="N13626" t="s">
        <v>46569</v>
      </c>
      <c r="O13626" t="s">
        <v>46570</v>
      </c>
      <c r="Q13626">
        <v>5</v>
      </c>
      <c r="R13626" t="s">
        <v>46586</v>
      </c>
      <c r="S13626" t="s">
        <v>47284</v>
      </c>
      <c r="T13626" t="s">
        <v>48283</v>
      </c>
      <c r="U13626" t="s">
        <v>59709</v>
      </c>
      <c r="W13626" t="s">
        <v>44026</v>
      </c>
      <c r="X13626" t="s">
        <v>46587</v>
      </c>
    </row>
    <row r="13627" spans="1:24">
      <c r="A13627">
        <f>HYPERLINK("https://www.philgeps.gov.ph/GEPSNONPILOT/Tender/SplashBidNoticeAbstractUI.aspx?menuIndex=3&amp;refID=7036579&amp;Result=3","7036579")</f>
        <v>0</v>
      </c>
      <c r="B13627" t="s">
        <v>1570</v>
      </c>
      <c r="C13627" t="s">
        <v>16473</v>
      </c>
      <c r="D13627" t="s">
        <v>18831</v>
      </c>
      <c r="E13627" t="s">
        <v>30604</v>
      </c>
      <c r="F13627" t="s">
        <v>32664</v>
      </c>
      <c r="G13627" t="s">
        <v>32674</v>
      </c>
      <c r="H13627" t="s">
        <v>12635</v>
      </c>
      <c r="I13627" t="s">
        <v>8730</v>
      </c>
      <c r="J13627" t="s">
        <v>40906</v>
      </c>
      <c r="K13627" t="s">
        <v>42297</v>
      </c>
      <c r="M13627" t="s">
        <v>44245</v>
      </c>
      <c r="N13627" t="s">
        <v>46569</v>
      </c>
      <c r="O13627" t="s">
        <v>46570</v>
      </c>
      <c r="Q13627">
        <v>14</v>
      </c>
      <c r="R13627" t="s">
        <v>46586</v>
      </c>
      <c r="S13627" t="s">
        <v>46714</v>
      </c>
      <c r="T13627" t="s">
        <v>48224</v>
      </c>
      <c r="U13627" t="s">
        <v>59710</v>
      </c>
      <c r="V13627" t="s">
        <v>63129</v>
      </c>
      <c r="W13627" t="s">
        <v>63522</v>
      </c>
      <c r="X13627" t="s">
        <v>46587</v>
      </c>
    </row>
    <row r="13628" spans="1:24">
      <c r="A13628">
        <f>HYPERLINK("https://www.philgeps.gov.ph/GEPSNONPILOT/Tender/SplashBidNoticeAbstractUI.aspx?menuIndex=3&amp;refID=7036728&amp;Result=3","7036728")</f>
        <v>0</v>
      </c>
      <c r="B13628" t="s">
        <v>1314</v>
      </c>
      <c r="C13628" t="s">
        <v>16474</v>
      </c>
      <c r="D13628" t="s">
        <v>18798</v>
      </c>
      <c r="E13628" t="s">
        <v>30605</v>
      </c>
      <c r="F13628" t="s">
        <v>32664</v>
      </c>
      <c r="G13628" t="s">
        <v>32672</v>
      </c>
      <c r="H13628" t="s">
        <v>32682</v>
      </c>
      <c r="I13628" t="s">
        <v>10374</v>
      </c>
      <c r="J13628" t="s">
        <v>40907</v>
      </c>
      <c r="K13628" t="s">
        <v>42311</v>
      </c>
      <c r="M13628" t="s">
        <v>46293</v>
      </c>
      <c r="N13628" t="s">
        <v>46569</v>
      </c>
      <c r="O13628" t="s">
        <v>46570</v>
      </c>
      <c r="Q13628">
        <v>5</v>
      </c>
      <c r="R13628" t="s">
        <v>46586</v>
      </c>
      <c r="S13628" t="s">
        <v>47285</v>
      </c>
      <c r="T13628" t="s">
        <v>48238</v>
      </c>
      <c r="U13628" t="s">
        <v>51587</v>
      </c>
      <c r="V13628" t="s">
        <v>63130</v>
      </c>
      <c r="W13628" t="s">
        <v>46293</v>
      </c>
      <c r="X13628" t="s">
        <v>46587</v>
      </c>
    </row>
    <row r="13629" spans="1:24">
      <c r="A13629">
        <f>HYPERLINK("https://www.philgeps.gov.ph/GEPSNONPILOT/Tender/SplashBidNoticeAbstractUI.aspx?menuIndex=3&amp;refID=7036276&amp;Result=3","7036276")</f>
        <v>0</v>
      </c>
      <c r="B13629" t="s">
        <v>3325</v>
      </c>
      <c r="C13629" t="s">
        <v>16475</v>
      </c>
      <c r="D13629" t="s">
        <v>18847</v>
      </c>
      <c r="E13629" t="s">
        <v>20150</v>
      </c>
      <c r="F13629" t="s">
        <v>32664</v>
      </c>
      <c r="G13629" t="s">
        <v>32672</v>
      </c>
      <c r="H13629" t="s">
        <v>32683</v>
      </c>
      <c r="I13629" t="s">
        <v>10627</v>
      </c>
      <c r="J13629" t="s">
        <v>40908</v>
      </c>
      <c r="K13629" t="s">
        <v>42449</v>
      </c>
      <c r="M13629" t="s">
        <v>46276</v>
      </c>
      <c r="N13629" t="s">
        <v>46569</v>
      </c>
      <c r="O13629" t="s">
        <v>46570</v>
      </c>
      <c r="P13629">
        <v>0</v>
      </c>
      <c r="Q13629">
        <v>0</v>
      </c>
      <c r="R13629" t="s">
        <v>46586</v>
      </c>
      <c r="S13629" t="s">
        <v>47252</v>
      </c>
      <c r="T13629" t="s">
        <v>48608</v>
      </c>
      <c r="U13629" t="s">
        <v>59711</v>
      </c>
      <c r="W13629" t="s">
        <v>46276</v>
      </c>
      <c r="X13629" t="s">
        <v>46587</v>
      </c>
    </row>
    <row r="13630" spans="1:24">
      <c r="A13630">
        <f>HYPERLINK("https://www.philgeps.gov.ph/GEPSNONPILOT/Tender/SplashBidNoticeAbstractUI.aspx?menuIndex=3&amp;refID=7036271&amp;Result=3","7036271")</f>
        <v>0</v>
      </c>
      <c r="B13630" t="s">
        <v>2836</v>
      </c>
      <c r="C13630" t="s">
        <v>16476</v>
      </c>
      <c r="D13630" t="s">
        <v>18802</v>
      </c>
      <c r="E13630" t="s">
        <v>30606</v>
      </c>
      <c r="F13630" t="s">
        <v>32664</v>
      </c>
      <c r="G13630" t="s">
        <v>32672</v>
      </c>
      <c r="H13630" t="s">
        <v>12635</v>
      </c>
      <c r="I13630" t="s">
        <v>6168</v>
      </c>
      <c r="J13630" t="s">
        <v>40909</v>
      </c>
      <c r="K13630" t="s">
        <v>42281</v>
      </c>
      <c r="M13630" t="s">
        <v>45681</v>
      </c>
      <c r="N13630" t="s">
        <v>46569</v>
      </c>
      <c r="O13630" t="s">
        <v>46570</v>
      </c>
      <c r="P13630">
        <v>0</v>
      </c>
      <c r="Q13630">
        <v>2</v>
      </c>
      <c r="R13630" t="s">
        <v>46586</v>
      </c>
      <c r="S13630" t="s">
        <v>47252</v>
      </c>
      <c r="T13630" t="s">
        <v>48315</v>
      </c>
      <c r="U13630" t="s">
        <v>59712</v>
      </c>
      <c r="V13630" t="s">
        <v>63121</v>
      </c>
      <c r="W13630" t="s">
        <v>45681</v>
      </c>
      <c r="X13630" t="s">
        <v>46587</v>
      </c>
    </row>
    <row r="13631" spans="1:24">
      <c r="A13631">
        <f>HYPERLINK("https://www.philgeps.gov.ph/GEPSNONPILOT/Tender/SplashBidNoticeAbstractUI.aspx?menuIndex=3&amp;refID=7036143&amp;Result=3","7036143")</f>
        <v>0</v>
      </c>
      <c r="B13631" t="s">
        <v>3332</v>
      </c>
      <c r="C13631" t="s">
        <v>16477</v>
      </c>
      <c r="D13631" t="s">
        <v>18843</v>
      </c>
      <c r="E13631" t="s">
        <v>30607</v>
      </c>
      <c r="F13631" t="s">
        <v>32664</v>
      </c>
      <c r="G13631" t="s">
        <v>32672</v>
      </c>
      <c r="H13631" t="s">
        <v>32683</v>
      </c>
      <c r="I13631" t="s">
        <v>10627</v>
      </c>
      <c r="J13631" t="s">
        <v>40872</v>
      </c>
      <c r="K13631" t="s">
        <v>42383</v>
      </c>
      <c r="M13631" t="s">
        <v>46283</v>
      </c>
      <c r="N13631" t="s">
        <v>46569</v>
      </c>
      <c r="O13631" t="s">
        <v>46570</v>
      </c>
      <c r="P13631">
        <v>0</v>
      </c>
      <c r="Q13631">
        <v>0</v>
      </c>
      <c r="R13631" t="s">
        <v>46586</v>
      </c>
      <c r="S13631" t="s">
        <v>47252</v>
      </c>
      <c r="T13631" t="s">
        <v>48226</v>
      </c>
      <c r="U13631" t="s">
        <v>59713</v>
      </c>
      <c r="W13631" t="s">
        <v>46283</v>
      </c>
      <c r="X13631" t="s">
        <v>46587</v>
      </c>
    </row>
    <row r="13632" spans="1:24">
      <c r="A13632">
        <f>HYPERLINK("https://www.philgeps.gov.ph/GEPSNONPILOT/Tender/SplashBidNoticeAbstractUI.aspx?menuIndex=3&amp;refID=7036604&amp;Result=3","7036604")</f>
        <v>0</v>
      </c>
      <c r="B13632" t="s">
        <v>1314</v>
      </c>
      <c r="C13632" t="s">
        <v>16478</v>
      </c>
      <c r="D13632" t="s">
        <v>18798</v>
      </c>
      <c r="E13632" t="s">
        <v>30608</v>
      </c>
      <c r="F13632" t="s">
        <v>32664</v>
      </c>
      <c r="G13632" t="s">
        <v>32672</v>
      </c>
      <c r="H13632" t="s">
        <v>32682</v>
      </c>
      <c r="I13632" t="s">
        <v>10374</v>
      </c>
      <c r="J13632" t="s">
        <v>40910</v>
      </c>
      <c r="K13632" t="s">
        <v>42311</v>
      </c>
      <c r="M13632" t="s">
        <v>46293</v>
      </c>
      <c r="N13632" t="s">
        <v>46569</v>
      </c>
      <c r="O13632" t="s">
        <v>46570</v>
      </c>
      <c r="Q13632">
        <v>5</v>
      </c>
      <c r="R13632" t="s">
        <v>46586</v>
      </c>
      <c r="S13632" t="s">
        <v>47286</v>
      </c>
      <c r="T13632" t="s">
        <v>48238</v>
      </c>
      <c r="U13632" t="s">
        <v>51587</v>
      </c>
      <c r="V13632" t="s">
        <v>62728</v>
      </c>
      <c r="W13632" t="s">
        <v>46293</v>
      </c>
      <c r="X13632" t="s">
        <v>46587</v>
      </c>
    </row>
    <row r="13633" spans="1:24">
      <c r="A13633">
        <f>HYPERLINK("https://www.philgeps.gov.ph/GEPSNONPILOT/Tender/SplashBidNoticeAbstractUI.aspx?menuIndex=3&amp;refID=7036294&amp;Result=3","7036294")</f>
        <v>0</v>
      </c>
      <c r="B13633" t="s">
        <v>3341</v>
      </c>
      <c r="C13633" t="s">
        <v>16479</v>
      </c>
      <c r="D13633" t="s">
        <v>18849</v>
      </c>
      <c r="E13633" t="s">
        <v>30609</v>
      </c>
      <c r="F13633" t="s">
        <v>32664</v>
      </c>
      <c r="G13633" t="s">
        <v>32672</v>
      </c>
      <c r="H13633" t="s">
        <v>32682</v>
      </c>
      <c r="I13633" t="s">
        <v>11464</v>
      </c>
      <c r="J13633" t="s">
        <v>37647</v>
      </c>
      <c r="K13633" t="s">
        <v>42281</v>
      </c>
      <c r="M13633" t="s">
        <v>46294</v>
      </c>
      <c r="N13633" t="s">
        <v>46569</v>
      </c>
      <c r="O13633" t="s">
        <v>46570</v>
      </c>
      <c r="P13633">
        <v>0</v>
      </c>
      <c r="Q13633">
        <v>0</v>
      </c>
      <c r="R13633" t="s">
        <v>46586</v>
      </c>
      <c r="S13633" t="s">
        <v>47252</v>
      </c>
      <c r="T13633" t="s">
        <v>48221</v>
      </c>
      <c r="U13633" t="s">
        <v>59714</v>
      </c>
      <c r="W13633" t="s">
        <v>46294</v>
      </c>
      <c r="X13633" t="s">
        <v>46587</v>
      </c>
    </row>
    <row r="13634" spans="1:24">
      <c r="A13634">
        <f>HYPERLINK("https://www.philgeps.gov.ph/GEPSNONPILOT/Tender/SplashBidNoticeAbstractUI.aspx?menuIndex=3&amp;refID=7036607&amp;Result=3","7036607")</f>
        <v>0</v>
      </c>
      <c r="B13634" t="s">
        <v>2275</v>
      </c>
      <c r="C13634" t="s">
        <v>16480</v>
      </c>
      <c r="D13634" t="s">
        <v>18784</v>
      </c>
      <c r="E13634" t="s">
        <v>30610</v>
      </c>
      <c r="F13634" t="s">
        <v>32664</v>
      </c>
      <c r="G13634" t="s">
        <v>32672</v>
      </c>
      <c r="H13634" t="s">
        <v>12635</v>
      </c>
      <c r="I13634" t="s">
        <v>10370</v>
      </c>
      <c r="J13634" t="s">
        <v>40911</v>
      </c>
      <c r="K13634" t="s">
        <v>42281</v>
      </c>
      <c r="M13634" t="s">
        <v>46295</v>
      </c>
      <c r="N13634" t="s">
        <v>46569</v>
      </c>
      <c r="O13634" t="s">
        <v>46570</v>
      </c>
      <c r="Q13634">
        <v>23</v>
      </c>
      <c r="R13634" t="s">
        <v>46586</v>
      </c>
      <c r="S13634" t="s">
        <v>47287</v>
      </c>
      <c r="T13634" t="s">
        <v>48276</v>
      </c>
      <c r="U13634" t="s">
        <v>59715</v>
      </c>
      <c r="W13634" t="s">
        <v>46295</v>
      </c>
      <c r="X13634" t="s">
        <v>46587</v>
      </c>
    </row>
    <row r="13635" spans="1:24">
      <c r="A13635">
        <f>HYPERLINK("https://www.philgeps.gov.ph/GEPSNONPILOT/Tender/SplashBidNoticeAbstractUI.aspx?menuIndex=3&amp;refID=7036900&amp;Result=3","7036900")</f>
        <v>0</v>
      </c>
      <c r="B13635" t="s">
        <v>2238</v>
      </c>
      <c r="C13635" t="s">
        <v>16481</v>
      </c>
      <c r="D13635" t="s">
        <v>18828</v>
      </c>
      <c r="E13635" t="s">
        <v>30611</v>
      </c>
      <c r="F13635" t="s">
        <v>32664</v>
      </c>
      <c r="G13635" t="s">
        <v>32672</v>
      </c>
      <c r="H13635" t="s">
        <v>32683</v>
      </c>
      <c r="I13635" t="s">
        <v>10627</v>
      </c>
      <c r="J13635" t="s">
        <v>32859</v>
      </c>
      <c r="K13635" t="s">
        <v>42284</v>
      </c>
      <c r="M13635" t="s">
        <v>45002</v>
      </c>
      <c r="N13635" t="s">
        <v>46569</v>
      </c>
      <c r="O13635" t="s">
        <v>46570</v>
      </c>
      <c r="P13635">
        <v>0</v>
      </c>
      <c r="Q13635">
        <v>0</v>
      </c>
      <c r="R13635" t="s">
        <v>46586</v>
      </c>
      <c r="S13635" t="s">
        <v>47252</v>
      </c>
      <c r="T13635" t="s">
        <v>48730</v>
      </c>
      <c r="U13635" t="s">
        <v>59716</v>
      </c>
      <c r="V13635" t="s">
        <v>63131</v>
      </c>
      <c r="W13635" t="s">
        <v>45002</v>
      </c>
      <c r="X13635" t="s">
        <v>46587</v>
      </c>
    </row>
    <row r="13636" spans="1:24">
      <c r="A13636">
        <f>HYPERLINK("https://www.philgeps.gov.ph/GEPSNONPILOT/Tender/SplashBidNoticeAbstractUI.aspx?menuIndex=3&amp;refID=7036894&amp;Result=3","7036894")</f>
        <v>0</v>
      </c>
      <c r="B13636" t="s">
        <v>1478</v>
      </c>
      <c r="C13636" t="s">
        <v>16482</v>
      </c>
      <c r="D13636" t="s">
        <v>18853</v>
      </c>
      <c r="E13636" t="s">
        <v>30612</v>
      </c>
      <c r="F13636" t="s">
        <v>32664</v>
      </c>
      <c r="G13636" t="s">
        <v>32672</v>
      </c>
      <c r="H13636" t="s">
        <v>12635</v>
      </c>
      <c r="I13636" t="s">
        <v>8797</v>
      </c>
      <c r="J13636" t="s">
        <v>40912</v>
      </c>
      <c r="K13636" t="s">
        <v>42284</v>
      </c>
      <c r="M13636" t="s">
        <v>46296</v>
      </c>
      <c r="N13636" t="s">
        <v>46569</v>
      </c>
      <c r="O13636" t="s">
        <v>46570</v>
      </c>
      <c r="Q13636">
        <v>8</v>
      </c>
      <c r="R13636" t="s">
        <v>46586</v>
      </c>
      <c r="S13636" t="s">
        <v>46848</v>
      </c>
      <c r="T13636" t="s">
        <v>48418</v>
      </c>
      <c r="U13636" t="s">
        <v>59717</v>
      </c>
      <c r="W13636" t="s">
        <v>46296</v>
      </c>
      <c r="X13636" t="s">
        <v>46587</v>
      </c>
    </row>
    <row r="13637" spans="1:24">
      <c r="A13637">
        <f>HYPERLINK("https://www.philgeps.gov.ph/GEPSNONPILOT/Tender/SplashBidNoticeAbstractUI.aspx?menuIndex=3&amp;refID=7036880&amp;Result=3","7036880")</f>
        <v>0</v>
      </c>
      <c r="B13637" t="s">
        <v>3069</v>
      </c>
      <c r="C13637" t="s">
        <v>16483</v>
      </c>
      <c r="D13637" t="s">
        <v>18820</v>
      </c>
      <c r="E13637" t="s">
        <v>30613</v>
      </c>
      <c r="F13637" t="s">
        <v>32664</v>
      </c>
      <c r="G13637" t="s">
        <v>32672</v>
      </c>
      <c r="H13637" t="s">
        <v>12635</v>
      </c>
      <c r="I13637" t="s">
        <v>4205</v>
      </c>
      <c r="J13637" t="s">
        <v>40913</v>
      </c>
      <c r="K13637" t="s">
        <v>42281</v>
      </c>
      <c r="M13637" t="s">
        <v>46297</v>
      </c>
      <c r="N13637" t="s">
        <v>46569</v>
      </c>
      <c r="O13637" t="s">
        <v>46570</v>
      </c>
      <c r="P13637">
        <v>0</v>
      </c>
      <c r="Q13637">
        <v>2</v>
      </c>
      <c r="R13637" t="s">
        <v>46586</v>
      </c>
      <c r="S13637" t="s">
        <v>47252</v>
      </c>
      <c r="T13637" t="s">
        <v>48221</v>
      </c>
      <c r="U13637" t="s">
        <v>59718</v>
      </c>
      <c r="W13637" t="s">
        <v>46297</v>
      </c>
      <c r="X13637" t="s">
        <v>46587</v>
      </c>
    </row>
    <row r="13638" spans="1:24">
      <c r="A13638">
        <f>HYPERLINK("https://www.philgeps.gov.ph/GEPSNONPILOT/Tender/SplashBidNoticeAbstractUI.aspx?menuIndex=3&amp;refID=7036544&amp;Result=3","7036544")</f>
        <v>0</v>
      </c>
      <c r="B13638" t="s">
        <v>1422</v>
      </c>
      <c r="C13638" t="s">
        <v>16484</v>
      </c>
      <c r="E13638" t="s">
        <v>30614</v>
      </c>
      <c r="F13638" t="s">
        <v>32664</v>
      </c>
      <c r="G13638" t="s">
        <v>32672</v>
      </c>
      <c r="H13638" t="s">
        <v>12635</v>
      </c>
      <c r="I13638" t="s">
        <v>11464</v>
      </c>
      <c r="J13638" t="s">
        <v>33021</v>
      </c>
      <c r="K13638" t="s">
        <v>42283</v>
      </c>
      <c r="M13638" t="s">
        <v>44081</v>
      </c>
      <c r="N13638" t="s">
        <v>46569</v>
      </c>
      <c r="O13638" t="s">
        <v>46570</v>
      </c>
      <c r="P13638">
        <v>0</v>
      </c>
      <c r="Q13638">
        <v>0</v>
      </c>
      <c r="R13638" t="s">
        <v>46586</v>
      </c>
      <c r="S13638" t="s">
        <v>47252</v>
      </c>
      <c r="T13638" t="s">
        <v>48334</v>
      </c>
      <c r="U13638" t="s">
        <v>59691</v>
      </c>
      <c r="W13638" t="s">
        <v>44081</v>
      </c>
      <c r="X13638" t="s">
        <v>46587</v>
      </c>
    </row>
    <row r="13639" spans="1:24">
      <c r="A13639">
        <f>HYPERLINK("https://www.philgeps.gov.ph/GEPSNONPILOT/Tender/SplashBidNoticeAbstractUI.aspx?menuIndex=3&amp;refID=7036885&amp;Result=3","7036885")</f>
        <v>0</v>
      </c>
      <c r="B13639" t="s">
        <v>2720</v>
      </c>
      <c r="C13639" t="s">
        <v>16485</v>
      </c>
      <c r="D13639" t="s">
        <v>18785</v>
      </c>
      <c r="E13639" t="s">
        <v>30615</v>
      </c>
      <c r="F13639" t="s">
        <v>32664</v>
      </c>
      <c r="G13639" t="s">
        <v>32672</v>
      </c>
      <c r="H13639" t="s">
        <v>32683</v>
      </c>
      <c r="I13639" t="s">
        <v>10627</v>
      </c>
      <c r="J13639" t="s">
        <v>33508</v>
      </c>
      <c r="K13639" t="s">
        <v>42285</v>
      </c>
      <c r="M13639" t="s">
        <v>45547</v>
      </c>
      <c r="N13639" t="s">
        <v>46569</v>
      </c>
      <c r="O13639" t="s">
        <v>46570</v>
      </c>
      <c r="P13639">
        <v>0</v>
      </c>
      <c r="Q13639">
        <v>5</v>
      </c>
      <c r="R13639" t="s">
        <v>46586</v>
      </c>
      <c r="S13639" t="s">
        <v>47252</v>
      </c>
      <c r="T13639" t="s">
        <v>48221</v>
      </c>
      <c r="U13639" t="s">
        <v>59697</v>
      </c>
      <c r="W13639" t="s">
        <v>45547</v>
      </c>
      <c r="X13639" t="s">
        <v>46587</v>
      </c>
    </row>
    <row r="13640" spans="1:24">
      <c r="A13640">
        <f>HYPERLINK("https://www.philgeps.gov.ph/GEPSNONPILOT/Tender/SplashBidNoticeAbstractUI.aspx?menuIndex=3&amp;refID=7036130&amp;Result=3","7036130")</f>
        <v>0</v>
      </c>
      <c r="B13640" t="s">
        <v>1562</v>
      </c>
      <c r="C13640" t="s">
        <v>16486</v>
      </c>
      <c r="D13640" t="s">
        <v>18805</v>
      </c>
      <c r="E13640" t="s">
        <v>30616</v>
      </c>
      <c r="F13640" t="s">
        <v>32664</v>
      </c>
      <c r="G13640" t="s">
        <v>32672</v>
      </c>
      <c r="H13640" t="s">
        <v>32683</v>
      </c>
      <c r="I13640" t="s">
        <v>10627</v>
      </c>
      <c r="J13640" t="s">
        <v>32982</v>
      </c>
      <c r="K13640" t="s">
        <v>42298</v>
      </c>
      <c r="M13640" t="s">
        <v>44234</v>
      </c>
      <c r="N13640" t="s">
        <v>46569</v>
      </c>
      <c r="O13640" t="s">
        <v>46570</v>
      </c>
      <c r="P13640">
        <v>0</v>
      </c>
      <c r="Q13640">
        <v>4</v>
      </c>
      <c r="R13640" t="s">
        <v>46586</v>
      </c>
      <c r="S13640" t="s">
        <v>47252</v>
      </c>
      <c r="T13640" t="s">
        <v>48304</v>
      </c>
      <c r="U13640" t="s">
        <v>59719</v>
      </c>
      <c r="W13640" t="s">
        <v>44234</v>
      </c>
      <c r="X13640" t="s">
        <v>46587</v>
      </c>
    </row>
    <row r="13641" spans="1:24">
      <c r="A13641">
        <f>HYPERLINK("https://www.philgeps.gov.ph/GEPSNONPILOT/Tender/SplashBidNoticeAbstractUI.aspx?menuIndex=3&amp;refID=7036874&amp;Result=3","7036874")</f>
        <v>0</v>
      </c>
      <c r="B13641" t="s">
        <v>3095</v>
      </c>
      <c r="C13641" t="s">
        <v>16487</v>
      </c>
      <c r="D13641" t="s">
        <v>18817</v>
      </c>
      <c r="E13641" t="s">
        <v>20195</v>
      </c>
      <c r="F13641" t="s">
        <v>32664</v>
      </c>
      <c r="G13641" t="s">
        <v>32672</v>
      </c>
      <c r="H13641" t="s">
        <v>32683</v>
      </c>
      <c r="I13641" t="s">
        <v>10627</v>
      </c>
      <c r="J13641" t="s">
        <v>40914</v>
      </c>
      <c r="K13641" t="s">
        <v>42301</v>
      </c>
      <c r="M13641" t="s">
        <v>45983</v>
      </c>
      <c r="N13641" t="s">
        <v>46569</v>
      </c>
      <c r="O13641" t="s">
        <v>46570</v>
      </c>
      <c r="Q13641">
        <v>23</v>
      </c>
      <c r="R13641" t="s">
        <v>46586</v>
      </c>
      <c r="S13641" t="s">
        <v>47288</v>
      </c>
      <c r="T13641" t="s">
        <v>48228</v>
      </c>
      <c r="U13641" t="s">
        <v>59720</v>
      </c>
      <c r="V13641" t="s">
        <v>63132</v>
      </c>
      <c r="W13641" t="s">
        <v>45983</v>
      </c>
      <c r="X13641" t="s">
        <v>46587</v>
      </c>
    </row>
    <row r="13642" spans="1:24">
      <c r="A13642">
        <f>HYPERLINK("https://www.philgeps.gov.ph/GEPSNONPILOT/Tender/SplashBidNoticeAbstractUI.aspx?menuIndex=3&amp;refID=7036863&amp;Result=3","7036863")</f>
        <v>0</v>
      </c>
      <c r="B13642" t="s">
        <v>3322</v>
      </c>
      <c r="C13642" t="s">
        <v>16488</v>
      </c>
      <c r="D13642" t="s">
        <v>18856</v>
      </c>
      <c r="E13642" t="s">
        <v>30617</v>
      </c>
      <c r="F13642" t="s">
        <v>32665</v>
      </c>
      <c r="G13642" t="s">
        <v>32672</v>
      </c>
      <c r="H13642" t="s">
        <v>12635</v>
      </c>
      <c r="I13642" t="s">
        <v>10370</v>
      </c>
      <c r="J13642" t="s">
        <v>40915</v>
      </c>
      <c r="K13642" t="s">
        <v>42305</v>
      </c>
      <c r="M13642" t="s">
        <v>46274</v>
      </c>
      <c r="N13642" t="s">
        <v>46569</v>
      </c>
      <c r="O13642" t="s">
        <v>46570</v>
      </c>
      <c r="P13642">
        <v>0</v>
      </c>
      <c r="Q13642">
        <v>11</v>
      </c>
      <c r="R13642" t="s">
        <v>46586</v>
      </c>
      <c r="S13642" t="s">
        <v>47252</v>
      </c>
      <c r="T13642" t="s">
        <v>48304</v>
      </c>
      <c r="U13642" t="s">
        <v>54604</v>
      </c>
      <c r="W13642" t="s">
        <v>46274</v>
      </c>
      <c r="X13642" t="s">
        <v>46587</v>
      </c>
    </row>
    <row r="13643" spans="1:24">
      <c r="A13643">
        <f>HYPERLINK("https://www.philgeps.gov.ph/GEPSNONPILOT/Tender/SplashBidNoticeAbstractUI.aspx?menuIndex=3&amp;refID=7036861&amp;Result=3","7036861")</f>
        <v>0</v>
      </c>
      <c r="B13643" t="s">
        <v>2238</v>
      </c>
      <c r="C13643" t="s">
        <v>16489</v>
      </c>
      <c r="D13643" t="s">
        <v>18828</v>
      </c>
      <c r="E13643" t="s">
        <v>19785</v>
      </c>
      <c r="F13643" t="s">
        <v>32664</v>
      </c>
      <c r="G13643" t="s">
        <v>32672</v>
      </c>
      <c r="H13643" t="s">
        <v>32683</v>
      </c>
      <c r="I13643" t="s">
        <v>10627</v>
      </c>
      <c r="J13643" t="s">
        <v>32859</v>
      </c>
      <c r="K13643" t="s">
        <v>42284</v>
      </c>
      <c r="M13643" t="s">
        <v>45002</v>
      </c>
      <c r="N13643" t="s">
        <v>46569</v>
      </c>
      <c r="O13643" t="s">
        <v>46570</v>
      </c>
      <c r="P13643">
        <v>0</v>
      </c>
      <c r="Q13643">
        <v>0</v>
      </c>
      <c r="R13643" t="s">
        <v>46586</v>
      </c>
      <c r="S13643" t="s">
        <v>47252</v>
      </c>
      <c r="T13643" t="s">
        <v>48221</v>
      </c>
      <c r="U13643" t="s">
        <v>59721</v>
      </c>
      <c r="V13643" t="s">
        <v>63133</v>
      </c>
      <c r="W13643" t="s">
        <v>45002</v>
      </c>
      <c r="X13643" t="s">
        <v>46587</v>
      </c>
    </row>
    <row r="13644" spans="1:24">
      <c r="A13644">
        <f>HYPERLINK("https://www.philgeps.gov.ph/GEPSNONPILOT/Tender/SplashBidNoticeAbstractUI.aspx?menuIndex=3&amp;refID=7036855&amp;Result=3","7036855")</f>
        <v>0</v>
      </c>
      <c r="B13644" t="s">
        <v>1863</v>
      </c>
      <c r="C13644" t="s">
        <v>12497</v>
      </c>
      <c r="D13644" t="s">
        <v>18783</v>
      </c>
      <c r="E13644" t="s">
        <v>30618</v>
      </c>
      <c r="F13644" t="s">
        <v>32664</v>
      </c>
      <c r="G13644" t="s">
        <v>32672</v>
      </c>
      <c r="H13644" t="s">
        <v>12635</v>
      </c>
      <c r="I13644" t="s">
        <v>4439</v>
      </c>
      <c r="J13644" t="s">
        <v>40916</v>
      </c>
      <c r="K13644" t="s">
        <v>42378</v>
      </c>
      <c r="M13644" t="s">
        <v>44576</v>
      </c>
      <c r="N13644" t="s">
        <v>46569</v>
      </c>
      <c r="O13644" t="s">
        <v>46570</v>
      </c>
      <c r="P13644">
        <v>0</v>
      </c>
      <c r="Q13644">
        <v>1</v>
      </c>
      <c r="R13644" t="s">
        <v>46586</v>
      </c>
      <c r="S13644" t="s">
        <v>47252</v>
      </c>
      <c r="T13644" t="s">
        <v>48228</v>
      </c>
      <c r="U13644" t="s">
        <v>56439</v>
      </c>
      <c r="V13644" t="s">
        <v>62203</v>
      </c>
      <c r="W13644" t="s">
        <v>44576</v>
      </c>
      <c r="X13644" t="s">
        <v>46587</v>
      </c>
    </row>
    <row r="13645" spans="1:24">
      <c r="A13645">
        <f>HYPERLINK("https://www.philgeps.gov.ph/GEPSNONPILOT/Tender/SplashBidNoticeAbstractUI.aspx?menuIndex=3&amp;refID=7036852&amp;Result=3","7036852")</f>
        <v>0</v>
      </c>
      <c r="B13645" t="s">
        <v>2922</v>
      </c>
      <c r="C13645" t="s">
        <v>16490</v>
      </c>
      <c r="D13645" t="s">
        <v>18831</v>
      </c>
      <c r="E13645" t="s">
        <v>30619</v>
      </c>
      <c r="F13645" t="s">
        <v>32664</v>
      </c>
      <c r="G13645" t="s">
        <v>32672</v>
      </c>
      <c r="H13645" t="s">
        <v>32683</v>
      </c>
      <c r="I13645" t="s">
        <v>10627</v>
      </c>
      <c r="J13645" t="s">
        <v>40917</v>
      </c>
      <c r="K13645" t="s">
        <v>42290</v>
      </c>
      <c r="L13645" t="s">
        <v>2922</v>
      </c>
      <c r="M13645" t="s">
        <v>45775</v>
      </c>
      <c r="N13645" t="s">
        <v>46569</v>
      </c>
      <c r="O13645" t="s">
        <v>46570</v>
      </c>
      <c r="Q13645">
        <v>2</v>
      </c>
      <c r="R13645" t="s">
        <v>46586</v>
      </c>
      <c r="S13645" t="s">
        <v>47289</v>
      </c>
      <c r="T13645" t="s">
        <v>48221</v>
      </c>
      <c r="U13645" t="s">
        <v>59722</v>
      </c>
      <c r="W13645" t="s">
        <v>45775</v>
      </c>
      <c r="X13645" t="s">
        <v>46587</v>
      </c>
    </row>
    <row r="13646" spans="1:24">
      <c r="A13646">
        <f>HYPERLINK("https://www.philgeps.gov.ph/GEPSNONPILOT/Tender/SplashBidNoticeAbstractUI.aspx?menuIndex=3&amp;refID=7036055&amp;Result=3","7036055")</f>
        <v>0</v>
      </c>
      <c r="B13646" t="s">
        <v>3332</v>
      </c>
      <c r="C13646" t="s">
        <v>16491</v>
      </c>
      <c r="D13646" t="s">
        <v>18843</v>
      </c>
      <c r="E13646" t="s">
        <v>30620</v>
      </c>
      <c r="F13646" t="s">
        <v>32664</v>
      </c>
      <c r="G13646" t="s">
        <v>32672</v>
      </c>
      <c r="H13646" t="s">
        <v>32683</v>
      </c>
      <c r="I13646" t="s">
        <v>10627</v>
      </c>
      <c r="J13646" t="s">
        <v>32943</v>
      </c>
      <c r="K13646" t="s">
        <v>42318</v>
      </c>
      <c r="M13646" t="s">
        <v>46283</v>
      </c>
      <c r="N13646" t="s">
        <v>46569</v>
      </c>
      <c r="O13646" t="s">
        <v>46570</v>
      </c>
      <c r="P13646">
        <v>0</v>
      </c>
      <c r="Q13646">
        <v>0</v>
      </c>
      <c r="R13646" t="s">
        <v>46586</v>
      </c>
      <c r="S13646" t="s">
        <v>47252</v>
      </c>
      <c r="T13646" t="s">
        <v>48226</v>
      </c>
      <c r="U13646" t="s">
        <v>59723</v>
      </c>
      <c r="W13646" t="s">
        <v>46283</v>
      </c>
      <c r="X13646" t="s">
        <v>46587</v>
      </c>
    </row>
    <row r="13647" spans="1:24">
      <c r="A13647">
        <f>HYPERLINK("https://www.philgeps.gov.ph/GEPSNONPILOT/Tender/SplashBidNoticeAbstractUI.aspx?menuIndex=3&amp;refID=7036864&amp;Result=3","7036864")</f>
        <v>0</v>
      </c>
      <c r="B13647" t="s">
        <v>3321</v>
      </c>
      <c r="C13647" t="s">
        <v>16492</v>
      </c>
      <c r="D13647" t="s">
        <v>18787</v>
      </c>
      <c r="E13647" t="s">
        <v>30621</v>
      </c>
      <c r="F13647" t="s">
        <v>32664</v>
      </c>
      <c r="G13647" t="s">
        <v>32672</v>
      </c>
      <c r="H13647" t="s">
        <v>32683</v>
      </c>
      <c r="I13647" t="s">
        <v>10627</v>
      </c>
      <c r="J13647" t="s">
        <v>32962</v>
      </c>
      <c r="K13647" t="s">
        <v>42317</v>
      </c>
      <c r="M13647" t="s">
        <v>46272</v>
      </c>
      <c r="N13647" t="s">
        <v>46569</v>
      </c>
      <c r="O13647" t="s">
        <v>46570</v>
      </c>
      <c r="P13647">
        <v>0</v>
      </c>
      <c r="Q13647">
        <v>0</v>
      </c>
      <c r="R13647" t="s">
        <v>46586</v>
      </c>
      <c r="S13647" t="s">
        <v>47252</v>
      </c>
      <c r="T13647" t="s">
        <v>48411</v>
      </c>
      <c r="U13647" t="s">
        <v>59724</v>
      </c>
      <c r="W13647" t="s">
        <v>63592</v>
      </c>
      <c r="X13647" t="s">
        <v>46587</v>
      </c>
    </row>
    <row r="13648" spans="1:24">
      <c r="A13648">
        <f>HYPERLINK("https://www.philgeps.gov.ph/GEPSNONPILOT/Tender/SplashBidNoticeAbstractUI.aspx?menuIndex=3&amp;refID=7037021&amp;Result=3","7037021")</f>
        <v>0</v>
      </c>
      <c r="B13648" t="s">
        <v>385</v>
      </c>
      <c r="C13648" t="s">
        <v>16493</v>
      </c>
      <c r="D13648" t="s">
        <v>18801</v>
      </c>
      <c r="E13648" t="s">
        <v>30622</v>
      </c>
      <c r="F13648" t="s">
        <v>32664</v>
      </c>
      <c r="G13648" t="s">
        <v>32672</v>
      </c>
      <c r="H13648" t="s">
        <v>12635</v>
      </c>
      <c r="I13648" t="s">
        <v>6628</v>
      </c>
      <c r="J13648" t="s">
        <v>40918</v>
      </c>
      <c r="K13648" t="s">
        <v>42281</v>
      </c>
      <c r="M13648" t="s">
        <v>42955</v>
      </c>
      <c r="N13648" t="s">
        <v>46569</v>
      </c>
      <c r="O13648" t="s">
        <v>46570</v>
      </c>
      <c r="Q13648">
        <v>11</v>
      </c>
      <c r="R13648" t="s">
        <v>46586</v>
      </c>
      <c r="S13648" t="s">
        <v>47153</v>
      </c>
      <c r="T13648" t="s">
        <v>48219</v>
      </c>
      <c r="U13648" t="s">
        <v>59725</v>
      </c>
      <c r="W13648" t="s">
        <v>42955</v>
      </c>
      <c r="X13648" t="s">
        <v>46587</v>
      </c>
    </row>
    <row r="13649" spans="1:24">
      <c r="A13649">
        <f>HYPERLINK("https://www.philgeps.gov.ph/GEPSNONPILOT/Tender/SplashBidNoticeAbstractUI.aspx?menuIndex=3&amp;refID=7037037&amp;Result=3","7037037")</f>
        <v>0</v>
      </c>
      <c r="B13649" t="s">
        <v>2513</v>
      </c>
      <c r="C13649" t="s">
        <v>16494</v>
      </c>
      <c r="D13649" t="s">
        <v>18835</v>
      </c>
      <c r="E13649" t="s">
        <v>30623</v>
      </c>
      <c r="F13649" t="s">
        <v>32664</v>
      </c>
      <c r="G13649" t="s">
        <v>32672</v>
      </c>
      <c r="H13649" t="s">
        <v>32683</v>
      </c>
      <c r="I13649" t="s">
        <v>10627</v>
      </c>
      <c r="J13649" t="s">
        <v>40919</v>
      </c>
      <c r="K13649" t="s">
        <v>42298</v>
      </c>
      <c r="M13649" t="s">
        <v>45318</v>
      </c>
      <c r="N13649" t="s">
        <v>46569</v>
      </c>
      <c r="O13649" t="s">
        <v>46570</v>
      </c>
      <c r="P13649">
        <v>0</v>
      </c>
      <c r="Q13649">
        <v>0</v>
      </c>
      <c r="R13649" t="s">
        <v>46586</v>
      </c>
      <c r="S13649" t="s">
        <v>47252</v>
      </c>
      <c r="T13649" t="s">
        <v>48248</v>
      </c>
      <c r="U13649" t="s">
        <v>59726</v>
      </c>
      <c r="V13649" t="s">
        <v>63134</v>
      </c>
      <c r="W13649" t="s">
        <v>45318</v>
      </c>
      <c r="X13649" t="s">
        <v>46587</v>
      </c>
    </row>
    <row r="13650" spans="1:24">
      <c r="A13650">
        <f>HYPERLINK("https://www.philgeps.gov.ph/GEPSNONPILOT/Tender/SplashBidNoticeAbstractUI.aspx?menuIndex=3&amp;refID=7037020&amp;Result=3","7037020")</f>
        <v>0</v>
      </c>
      <c r="B13650" t="s">
        <v>2782</v>
      </c>
      <c r="C13650" t="s">
        <v>16495</v>
      </c>
      <c r="E13650" t="s">
        <v>30624</v>
      </c>
      <c r="F13650" t="s">
        <v>32664</v>
      </c>
      <c r="G13650" t="s">
        <v>32672</v>
      </c>
      <c r="H13650" t="s">
        <v>12635</v>
      </c>
      <c r="I13650" t="s">
        <v>4439</v>
      </c>
      <c r="J13650" t="s">
        <v>40920</v>
      </c>
      <c r="K13650" t="s">
        <v>42281</v>
      </c>
      <c r="M13650" t="s">
        <v>45624</v>
      </c>
      <c r="N13650" t="s">
        <v>46569</v>
      </c>
      <c r="O13650" t="s">
        <v>46570</v>
      </c>
      <c r="P13650">
        <v>0</v>
      </c>
      <c r="Q13650">
        <v>0</v>
      </c>
      <c r="R13650" t="s">
        <v>46586</v>
      </c>
      <c r="S13650" t="s">
        <v>47252</v>
      </c>
      <c r="T13650" t="s">
        <v>48228</v>
      </c>
      <c r="U13650" t="s">
        <v>56841</v>
      </c>
      <c r="W13650" t="s">
        <v>45624</v>
      </c>
      <c r="X13650" t="s">
        <v>46587</v>
      </c>
    </row>
    <row r="13651" spans="1:24">
      <c r="A13651">
        <f>HYPERLINK("https://www.philgeps.gov.ph/GEPSNONPILOT/Tender/SplashBidNoticeAbstractUI.aspx?menuIndex=3&amp;refID=7037014&amp;Result=3","7037014")</f>
        <v>0</v>
      </c>
      <c r="B13651" t="s">
        <v>1835</v>
      </c>
      <c r="C13651" t="s">
        <v>16496</v>
      </c>
      <c r="D13651" t="s">
        <v>18806</v>
      </c>
      <c r="E13651" t="s">
        <v>30625</v>
      </c>
      <c r="F13651" t="s">
        <v>32664</v>
      </c>
      <c r="G13651" t="s">
        <v>32672</v>
      </c>
      <c r="H13651" t="s">
        <v>32683</v>
      </c>
      <c r="I13651" t="s">
        <v>10627</v>
      </c>
      <c r="J13651" t="s">
        <v>40921</v>
      </c>
      <c r="K13651" t="s">
        <v>42397</v>
      </c>
      <c r="M13651" t="s">
        <v>44542</v>
      </c>
      <c r="N13651" t="s">
        <v>46569</v>
      </c>
      <c r="O13651" t="s">
        <v>46570</v>
      </c>
      <c r="P13651">
        <v>0</v>
      </c>
      <c r="Q13651">
        <v>10</v>
      </c>
      <c r="R13651" t="s">
        <v>46586</v>
      </c>
      <c r="S13651" t="s">
        <v>47252</v>
      </c>
      <c r="T13651" t="s">
        <v>48228</v>
      </c>
      <c r="U13651" t="s">
        <v>59727</v>
      </c>
      <c r="W13651" t="s">
        <v>44542</v>
      </c>
      <c r="X13651" t="s">
        <v>46587</v>
      </c>
    </row>
    <row r="13652" spans="1:24">
      <c r="A13652">
        <f>HYPERLINK("https://www.philgeps.gov.ph/GEPSNONPILOT/Tender/SplashBidNoticeAbstractUI.aspx?menuIndex=3&amp;refID=7037035&amp;Result=3","7037035")</f>
        <v>0</v>
      </c>
      <c r="B13652" t="s">
        <v>747</v>
      </c>
      <c r="C13652" t="s">
        <v>16497</v>
      </c>
      <c r="D13652" t="s">
        <v>18806</v>
      </c>
      <c r="E13652" t="s">
        <v>30626</v>
      </c>
      <c r="F13652" t="s">
        <v>32664</v>
      </c>
      <c r="G13652" t="s">
        <v>32672</v>
      </c>
      <c r="H13652" t="s">
        <v>12635</v>
      </c>
      <c r="I13652" t="s">
        <v>32704</v>
      </c>
      <c r="J13652" t="s">
        <v>33460</v>
      </c>
      <c r="K13652" t="s">
        <v>42281</v>
      </c>
      <c r="M13652" t="s">
        <v>43337</v>
      </c>
      <c r="N13652" t="s">
        <v>46569</v>
      </c>
      <c r="O13652" t="s">
        <v>46570</v>
      </c>
      <c r="Q13652">
        <v>13</v>
      </c>
      <c r="R13652" t="s">
        <v>46586</v>
      </c>
      <c r="S13652" t="s">
        <v>47290</v>
      </c>
      <c r="T13652" t="s">
        <v>48228</v>
      </c>
      <c r="U13652" t="s">
        <v>59728</v>
      </c>
      <c r="V13652" t="s">
        <v>63135</v>
      </c>
      <c r="W13652" t="s">
        <v>43337</v>
      </c>
      <c r="X13652" t="s">
        <v>46587</v>
      </c>
    </row>
    <row r="13653" spans="1:24">
      <c r="A13653">
        <f>HYPERLINK("https://www.philgeps.gov.ph/GEPSNONPILOT/Tender/SplashBidNoticeAbstractUI.aspx?menuIndex=3&amp;refID=7037030&amp;Result=3","7037030")</f>
        <v>0</v>
      </c>
      <c r="B13653" t="s">
        <v>3342</v>
      </c>
      <c r="C13653" t="s">
        <v>16498</v>
      </c>
      <c r="D13653" t="s">
        <v>18787</v>
      </c>
      <c r="E13653" t="s">
        <v>30627</v>
      </c>
      <c r="F13653" t="s">
        <v>32664</v>
      </c>
      <c r="G13653" t="s">
        <v>32672</v>
      </c>
      <c r="H13653" t="s">
        <v>32683</v>
      </c>
      <c r="I13653" t="s">
        <v>10627</v>
      </c>
      <c r="J13653" t="s">
        <v>34038</v>
      </c>
      <c r="K13653" t="s">
        <v>42419</v>
      </c>
      <c r="M13653" t="s">
        <v>46298</v>
      </c>
      <c r="N13653" t="s">
        <v>46569</v>
      </c>
      <c r="O13653" t="s">
        <v>46570</v>
      </c>
      <c r="P13653">
        <v>0</v>
      </c>
      <c r="Q13653">
        <v>3</v>
      </c>
      <c r="R13653" t="s">
        <v>46586</v>
      </c>
      <c r="S13653" t="s">
        <v>47252</v>
      </c>
      <c r="T13653" t="s">
        <v>48228</v>
      </c>
      <c r="U13653" t="s">
        <v>59729</v>
      </c>
      <c r="W13653" t="s">
        <v>46298</v>
      </c>
      <c r="X13653" t="s">
        <v>46587</v>
      </c>
    </row>
    <row r="13654" spans="1:24">
      <c r="A13654">
        <f>HYPERLINK("https://www.philgeps.gov.ph/GEPSNONPILOT/Tender/SplashBidNoticeAbstractUI.aspx?menuIndex=3&amp;refID=7037011&amp;Result=3","7037011")</f>
        <v>0</v>
      </c>
      <c r="B13654" t="s">
        <v>3342</v>
      </c>
      <c r="C13654" t="s">
        <v>16499</v>
      </c>
      <c r="D13654" t="s">
        <v>18787</v>
      </c>
      <c r="E13654" t="s">
        <v>30628</v>
      </c>
      <c r="F13654" t="s">
        <v>32664</v>
      </c>
      <c r="G13654" t="s">
        <v>32672</v>
      </c>
      <c r="H13654" t="s">
        <v>32683</v>
      </c>
      <c r="I13654" t="s">
        <v>10627</v>
      </c>
      <c r="J13654" t="s">
        <v>34038</v>
      </c>
      <c r="K13654" t="s">
        <v>42419</v>
      </c>
      <c r="M13654" t="s">
        <v>46298</v>
      </c>
      <c r="N13654" t="s">
        <v>46569</v>
      </c>
      <c r="O13654" t="s">
        <v>46570</v>
      </c>
      <c r="P13654">
        <v>0</v>
      </c>
      <c r="Q13654">
        <v>3</v>
      </c>
      <c r="R13654" t="s">
        <v>46586</v>
      </c>
      <c r="S13654" t="s">
        <v>47252</v>
      </c>
      <c r="T13654" t="s">
        <v>48228</v>
      </c>
      <c r="U13654" t="s">
        <v>59730</v>
      </c>
      <c r="W13654" t="s">
        <v>46298</v>
      </c>
      <c r="X13654" t="s">
        <v>46587</v>
      </c>
    </row>
    <row r="13655" spans="1:24">
      <c r="A13655">
        <f>HYPERLINK("https://www.philgeps.gov.ph/GEPSNONPILOT/Tender/SplashBidNoticeAbstractUI.aspx?menuIndex=3&amp;refID=7036989&amp;Result=3","7036989")</f>
        <v>0</v>
      </c>
      <c r="B13655" t="s">
        <v>3342</v>
      </c>
      <c r="C13655" t="s">
        <v>16500</v>
      </c>
      <c r="D13655" t="s">
        <v>18787</v>
      </c>
      <c r="E13655" t="s">
        <v>30629</v>
      </c>
      <c r="F13655" t="s">
        <v>32664</v>
      </c>
      <c r="G13655" t="s">
        <v>32672</v>
      </c>
      <c r="H13655" t="s">
        <v>32683</v>
      </c>
      <c r="I13655" t="s">
        <v>10627</v>
      </c>
      <c r="J13655" t="s">
        <v>37540</v>
      </c>
      <c r="K13655" t="s">
        <v>42400</v>
      </c>
      <c r="M13655" t="s">
        <v>46298</v>
      </c>
      <c r="N13655" t="s">
        <v>46569</v>
      </c>
      <c r="O13655" t="s">
        <v>46570</v>
      </c>
      <c r="P13655">
        <v>0</v>
      </c>
      <c r="Q13655">
        <v>3</v>
      </c>
      <c r="R13655" t="s">
        <v>46586</v>
      </c>
      <c r="S13655" t="s">
        <v>47252</v>
      </c>
      <c r="T13655" t="s">
        <v>48228</v>
      </c>
      <c r="U13655" t="s">
        <v>59731</v>
      </c>
      <c r="W13655" t="s">
        <v>46298</v>
      </c>
      <c r="X13655" t="s">
        <v>46587</v>
      </c>
    </row>
    <row r="13656" spans="1:24">
      <c r="A13656">
        <f>HYPERLINK("https://www.philgeps.gov.ph/GEPSNONPILOT/Tender/SplashBidNoticeAbstractUI.aspx?menuIndex=3&amp;refID=7036979&amp;Result=3","7036979")</f>
        <v>0</v>
      </c>
      <c r="B13656" t="s">
        <v>3159</v>
      </c>
      <c r="C13656" t="s">
        <v>16501</v>
      </c>
      <c r="D13656" t="s">
        <v>18804</v>
      </c>
      <c r="E13656" t="s">
        <v>19581</v>
      </c>
      <c r="F13656" t="s">
        <v>32664</v>
      </c>
      <c r="G13656" t="s">
        <v>32672</v>
      </c>
      <c r="H13656" t="s">
        <v>12635</v>
      </c>
      <c r="I13656" t="s">
        <v>11464</v>
      </c>
      <c r="J13656" t="s">
        <v>40922</v>
      </c>
      <c r="K13656" t="s">
        <v>42281</v>
      </c>
      <c r="M13656" t="s">
        <v>46058</v>
      </c>
      <c r="N13656" t="s">
        <v>46569</v>
      </c>
      <c r="O13656" t="s">
        <v>46570</v>
      </c>
      <c r="P13656">
        <v>0</v>
      </c>
      <c r="Q13656">
        <v>1</v>
      </c>
      <c r="R13656" t="s">
        <v>46586</v>
      </c>
      <c r="S13656" t="s">
        <v>47252</v>
      </c>
      <c r="T13656" t="s">
        <v>48221</v>
      </c>
      <c r="U13656" t="s">
        <v>59732</v>
      </c>
      <c r="W13656" t="s">
        <v>46058</v>
      </c>
      <c r="X13656" t="s">
        <v>46587</v>
      </c>
    </row>
    <row r="13657" spans="1:24">
      <c r="A13657">
        <f>HYPERLINK("https://www.philgeps.gov.ph/GEPSNONPILOT/Tender/SplashBidNoticeAbstractUI.aspx?menuIndex=3&amp;refID=7037013&amp;Result=3","7037013")</f>
        <v>0</v>
      </c>
      <c r="B13657" t="s">
        <v>2300</v>
      </c>
      <c r="C13657" t="s">
        <v>16502</v>
      </c>
      <c r="D13657" t="s">
        <v>18784</v>
      </c>
      <c r="E13657" t="s">
        <v>22416</v>
      </c>
      <c r="F13657" t="s">
        <v>32664</v>
      </c>
      <c r="G13657" t="s">
        <v>32672</v>
      </c>
      <c r="H13657" t="s">
        <v>32683</v>
      </c>
      <c r="I13657" t="s">
        <v>10627</v>
      </c>
      <c r="J13657" t="s">
        <v>40923</v>
      </c>
      <c r="K13657" t="s">
        <v>42285</v>
      </c>
      <c r="M13657" t="s">
        <v>45071</v>
      </c>
      <c r="N13657" t="s">
        <v>46569</v>
      </c>
      <c r="O13657" t="s">
        <v>46570</v>
      </c>
      <c r="P13657">
        <v>0</v>
      </c>
      <c r="Q13657">
        <v>8</v>
      </c>
      <c r="R13657" t="s">
        <v>46586</v>
      </c>
      <c r="S13657" t="s">
        <v>47252</v>
      </c>
      <c r="T13657" t="s">
        <v>48226</v>
      </c>
      <c r="U13657" t="s">
        <v>59733</v>
      </c>
      <c r="W13657" t="s">
        <v>45071</v>
      </c>
      <c r="X13657" t="s">
        <v>46587</v>
      </c>
    </row>
    <row r="13658" spans="1:24">
      <c r="A13658">
        <f>HYPERLINK("https://www.philgeps.gov.ph/GEPSNONPILOT/Tender/SplashBidNoticeAbstractUI.aspx?menuIndex=3&amp;refID=7036868&amp;Result=3","7036868")</f>
        <v>0</v>
      </c>
      <c r="B13658" t="s">
        <v>3342</v>
      </c>
      <c r="C13658" t="s">
        <v>16503</v>
      </c>
      <c r="D13658" t="s">
        <v>18787</v>
      </c>
      <c r="E13658" t="s">
        <v>30630</v>
      </c>
      <c r="F13658" t="s">
        <v>32664</v>
      </c>
      <c r="G13658" t="s">
        <v>32672</v>
      </c>
      <c r="H13658" t="s">
        <v>32683</v>
      </c>
      <c r="I13658" t="s">
        <v>10627</v>
      </c>
      <c r="J13658" t="s">
        <v>35852</v>
      </c>
      <c r="K13658" t="s">
        <v>42343</v>
      </c>
      <c r="M13658" t="s">
        <v>46298</v>
      </c>
      <c r="N13658" t="s">
        <v>46569</v>
      </c>
      <c r="O13658" t="s">
        <v>46570</v>
      </c>
      <c r="P13658">
        <v>0</v>
      </c>
      <c r="Q13658">
        <v>3</v>
      </c>
      <c r="R13658" t="s">
        <v>46586</v>
      </c>
      <c r="S13658" t="s">
        <v>47252</v>
      </c>
      <c r="T13658" t="s">
        <v>48228</v>
      </c>
      <c r="U13658" t="s">
        <v>59734</v>
      </c>
      <c r="W13658" t="s">
        <v>46298</v>
      </c>
      <c r="X13658" t="s">
        <v>46587</v>
      </c>
    </row>
    <row r="13659" spans="1:24">
      <c r="A13659">
        <f>HYPERLINK("https://www.philgeps.gov.ph/GEPSNONPILOT/Tender/SplashBidNoticeAbstractUI.aspx?menuIndex=3&amp;refID=7036993&amp;Result=3","7036993")</f>
        <v>0</v>
      </c>
      <c r="B13659" t="s">
        <v>3321</v>
      </c>
      <c r="C13659" t="s">
        <v>16504</v>
      </c>
      <c r="D13659" t="s">
        <v>18787</v>
      </c>
      <c r="E13659" t="s">
        <v>30631</v>
      </c>
      <c r="F13659" t="s">
        <v>32664</v>
      </c>
      <c r="G13659" t="s">
        <v>32672</v>
      </c>
      <c r="H13659" t="s">
        <v>32683</v>
      </c>
      <c r="I13659" t="s">
        <v>10627</v>
      </c>
      <c r="J13659" t="s">
        <v>32962</v>
      </c>
      <c r="K13659" t="s">
        <v>42317</v>
      </c>
      <c r="M13659" t="s">
        <v>46272</v>
      </c>
      <c r="N13659" t="s">
        <v>46569</v>
      </c>
      <c r="O13659" t="s">
        <v>46570</v>
      </c>
      <c r="P13659">
        <v>0</v>
      </c>
      <c r="Q13659">
        <v>0</v>
      </c>
      <c r="R13659" t="s">
        <v>46586</v>
      </c>
      <c r="S13659" t="s">
        <v>47252</v>
      </c>
      <c r="T13659" t="s">
        <v>48411</v>
      </c>
      <c r="U13659" t="s">
        <v>59735</v>
      </c>
      <c r="W13659" t="s">
        <v>63592</v>
      </c>
      <c r="X13659" t="s">
        <v>46587</v>
      </c>
    </row>
    <row r="13660" spans="1:24">
      <c r="A13660">
        <f>HYPERLINK("https://www.philgeps.gov.ph/GEPSNONPILOT/Tender/SplashBidNoticeAbstractUI.aspx?menuIndex=3&amp;refID=7037143&amp;Result=3","7037143")</f>
        <v>0</v>
      </c>
      <c r="B13660" t="s">
        <v>2720</v>
      </c>
      <c r="C13660" t="s">
        <v>16505</v>
      </c>
      <c r="D13660" t="s">
        <v>18785</v>
      </c>
      <c r="E13660" t="s">
        <v>30632</v>
      </c>
      <c r="F13660" t="s">
        <v>32664</v>
      </c>
      <c r="G13660" t="s">
        <v>32672</v>
      </c>
      <c r="H13660" t="s">
        <v>32683</v>
      </c>
      <c r="I13660" t="s">
        <v>10627</v>
      </c>
      <c r="J13660" t="s">
        <v>33946</v>
      </c>
      <c r="K13660" t="s">
        <v>42397</v>
      </c>
      <c r="M13660" t="s">
        <v>45547</v>
      </c>
      <c r="N13660" t="s">
        <v>46569</v>
      </c>
      <c r="O13660" t="s">
        <v>46570</v>
      </c>
      <c r="P13660">
        <v>0</v>
      </c>
      <c r="Q13660">
        <v>9</v>
      </c>
      <c r="R13660" t="s">
        <v>46586</v>
      </c>
      <c r="S13660" t="s">
        <v>47252</v>
      </c>
      <c r="T13660" t="s">
        <v>48221</v>
      </c>
      <c r="U13660" t="s">
        <v>59697</v>
      </c>
      <c r="W13660" t="s">
        <v>45547</v>
      </c>
      <c r="X13660" t="s">
        <v>46587</v>
      </c>
    </row>
    <row r="13661" spans="1:24">
      <c r="A13661">
        <f>HYPERLINK("https://www.philgeps.gov.ph/GEPSNONPILOT/Tender/SplashBidNoticeAbstractUI.aspx?menuIndex=3&amp;refID=7036884&amp;Result=3","7036884")</f>
        <v>0</v>
      </c>
      <c r="B13661" t="s">
        <v>3342</v>
      </c>
      <c r="C13661" t="s">
        <v>16506</v>
      </c>
      <c r="D13661" t="s">
        <v>18787</v>
      </c>
      <c r="E13661" t="s">
        <v>30633</v>
      </c>
      <c r="F13661" t="s">
        <v>32664</v>
      </c>
      <c r="G13661" t="s">
        <v>32672</v>
      </c>
      <c r="H13661" t="s">
        <v>32683</v>
      </c>
      <c r="I13661" t="s">
        <v>10627</v>
      </c>
      <c r="J13661" t="s">
        <v>40823</v>
      </c>
      <c r="K13661" t="s">
        <v>42400</v>
      </c>
      <c r="M13661" t="s">
        <v>46298</v>
      </c>
      <c r="N13661" t="s">
        <v>46569</v>
      </c>
      <c r="O13661" t="s">
        <v>46570</v>
      </c>
      <c r="P13661">
        <v>0</v>
      </c>
      <c r="Q13661">
        <v>3</v>
      </c>
      <c r="R13661" t="s">
        <v>46586</v>
      </c>
      <c r="S13661" t="s">
        <v>47252</v>
      </c>
      <c r="T13661" t="s">
        <v>48228</v>
      </c>
      <c r="U13661" t="s">
        <v>59736</v>
      </c>
      <c r="W13661" t="s">
        <v>46298</v>
      </c>
      <c r="X13661" t="s">
        <v>46587</v>
      </c>
    </row>
    <row r="13662" spans="1:24">
      <c r="A13662">
        <f>HYPERLINK("https://www.philgeps.gov.ph/GEPSNONPILOT/Tender/SplashBidNoticeAbstractUI.aspx?menuIndex=3&amp;refID=7037051&amp;Result=3","7037051")</f>
        <v>0</v>
      </c>
      <c r="B13662" t="s">
        <v>346</v>
      </c>
      <c r="C13662" t="s">
        <v>16507</v>
      </c>
      <c r="D13662" t="s">
        <v>18817</v>
      </c>
      <c r="E13662" t="s">
        <v>30634</v>
      </c>
      <c r="F13662" t="s">
        <v>32664</v>
      </c>
      <c r="G13662" t="s">
        <v>32672</v>
      </c>
      <c r="H13662" t="s">
        <v>32683</v>
      </c>
      <c r="I13662" t="s">
        <v>10627</v>
      </c>
      <c r="J13662" t="s">
        <v>40924</v>
      </c>
      <c r="K13662" t="s">
        <v>42432</v>
      </c>
      <c r="M13662" t="s">
        <v>42915</v>
      </c>
      <c r="N13662" t="s">
        <v>46569</v>
      </c>
      <c r="O13662" t="s">
        <v>46570</v>
      </c>
      <c r="P13662">
        <v>0</v>
      </c>
      <c r="Q13662">
        <v>0</v>
      </c>
      <c r="R13662" t="s">
        <v>46586</v>
      </c>
      <c r="S13662" t="s">
        <v>47252</v>
      </c>
      <c r="T13662" t="s">
        <v>48225</v>
      </c>
      <c r="U13662" t="s">
        <v>59737</v>
      </c>
      <c r="W13662" t="s">
        <v>42915</v>
      </c>
      <c r="X13662" t="s">
        <v>46587</v>
      </c>
    </row>
    <row r="13663" spans="1:24">
      <c r="A13663">
        <f>HYPERLINK("https://www.philgeps.gov.ph/GEPSNONPILOT/Tender/SplashBidNoticeAbstractUI.aspx?menuIndex=3&amp;refID=7037137&amp;Result=3","7037137")</f>
        <v>0</v>
      </c>
      <c r="B13663" t="s">
        <v>882</v>
      </c>
      <c r="C13663" t="s">
        <v>16508</v>
      </c>
      <c r="D13663" t="s">
        <v>18804</v>
      </c>
      <c r="E13663" t="s">
        <v>30635</v>
      </c>
      <c r="F13663" t="s">
        <v>32664</v>
      </c>
      <c r="G13663" t="s">
        <v>32672</v>
      </c>
      <c r="H13663" t="s">
        <v>32683</v>
      </c>
      <c r="I13663" t="s">
        <v>10627</v>
      </c>
      <c r="J13663" t="s">
        <v>40925</v>
      </c>
      <c r="K13663" t="s">
        <v>42311</v>
      </c>
      <c r="M13663" t="s">
        <v>43483</v>
      </c>
      <c r="N13663" t="s">
        <v>46569</v>
      </c>
      <c r="O13663" t="s">
        <v>46570</v>
      </c>
      <c r="P13663">
        <v>0</v>
      </c>
      <c r="Q13663">
        <v>34</v>
      </c>
      <c r="R13663" t="s">
        <v>46586</v>
      </c>
      <c r="S13663" t="s">
        <v>47252</v>
      </c>
      <c r="T13663" t="s">
        <v>48244</v>
      </c>
      <c r="U13663" t="s">
        <v>59738</v>
      </c>
      <c r="W13663" t="s">
        <v>43483</v>
      </c>
      <c r="X13663" t="s">
        <v>46587</v>
      </c>
    </row>
    <row r="13664" spans="1:24">
      <c r="A13664">
        <f>HYPERLINK("https://www.philgeps.gov.ph/GEPSNONPILOT/Tender/SplashBidNoticeAbstractUI.aspx?menuIndex=3&amp;refID=7036976&amp;Result=3","7036976")</f>
        <v>0</v>
      </c>
      <c r="B13664" t="s">
        <v>554</v>
      </c>
      <c r="C13664" t="s">
        <v>16509</v>
      </c>
      <c r="D13664" t="s">
        <v>18789</v>
      </c>
      <c r="E13664" t="s">
        <v>30636</v>
      </c>
      <c r="F13664" t="s">
        <v>32664</v>
      </c>
      <c r="G13664" t="s">
        <v>32672</v>
      </c>
      <c r="H13664" t="s">
        <v>12635</v>
      </c>
      <c r="I13664" t="s">
        <v>11464</v>
      </c>
      <c r="J13664" t="s">
        <v>40926</v>
      </c>
      <c r="K13664" t="s">
        <v>42289</v>
      </c>
      <c r="M13664" t="s">
        <v>43134</v>
      </c>
      <c r="N13664" t="s">
        <v>46569</v>
      </c>
      <c r="O13664" t="s">
        <v>46570</v>
      </c>
      <c r="P13664">
        <v>0</v>
      </c>
      <c r="Q13664">
        <v>3</v>
      </c>
      <c r="R13664" t="s">
        <v>46586</v>
      </c>
      <c r="S13664" t="s">
        <v>47252</v>
      </c>
      <c r="T13664" t="s">
        <v>48237</v>
      </c>
      <c r="U13664" t="s">
        <v>59739</v>
      </c>
      <c r="W13664" t="s">
        <v>43134</v>
      </c>
      <c r="X13664" t="s">
        <v>46587</v>
      </c>
    </row>
    <row r="13665" spans="1:24">
      <c r="A13665">
        <f>HYPERLINK("https://www.philgeps.gov.ph/GEPSNONPILOT/Tender/SplashBidNoticeAbstractUI.aspx?menuIndex=3&amp;refID=7037133&amp;Result=3","7037133")</f>
        <v>0</v>
      </c>
      <c r="B13665" t="s">
        <v>516</v>
      </c>
      <c r="C13665" t="s">
        <v>16510</v>
      </c>
      <c r="D13665" t="s">
        <v>18804</v>
      </c>
      <c r="E13665" t="s">
        <v>30637</v>
      </c>
      <c r="F13665" t="s">
        <v>32664</v>
      </c>
      <c r="G13665" t="s">
        <v>32672</v>
      </c>
      <c r="H13665" t="s">
        <v>32683</v>
      </c>
      <c r="I13665" t="s">
        <v>10627</v>
      </c>
      <c r="J13665" t="s">
        <v>33097</v>
      </c>
      <c r="K13665" t="s">
        <v>42281</v>
      </c>
      <c r="M13665" t="s">
        <v>43092</v>
      </c>
      <c r="N13665" t="s">
        <v>46569</v>
      </c>
      <c r="O13665" t="s">
        <v>46570</v>
      </c>
      <c r="P13665">
        <v>0</v>
      </c>
      <c r="Q13665">
        <v>2</v>
      </c>
      <c r="R13665" t="s">
        <v>46586</v>
      </c>
      <c r="S13665" t="s">
        <v>47252</v>
      </c>
      <c r="T13665" t="s">
        <v>48283</v>
      </c>
      <c r="U13665" t="s">
        <v>59740</v>
      </c>
      <c r="W13665" t="s">
        <v>43092</v>
      </c>
      <c r="X13665" t="s">
        <v>46587</v>
      </c>
    </row>
    <row r="13666" spans="1:24">
      <c r="A13666">
        <f>HYPERLINK("https://www.philgeps.gov.ph/GEPSNONPILOT/Tender/SplashBidNoticeAbstractUI.aspx?menuIndex=3&amp;refID=7037128&amp;Result=3","7037128")</f>
        <v>0</v>
      </c>
      <c r="B13666" t="s">
        <v>1713</v>
      </c>
      <c r="C13666" t="s">
        <v>16511</v>
      </c>
      <c r="D13666" t="s">
        <v>18799</v>
      </c>
      <c r="E13666" t="s">
        <v>30638</v>
      </c>
      <c r="F13666" t="s">
        <v>32664</v>
      </c>
      <c r="G13666" t="s">
        <v>32672</v>
      </c>
      <c r="H13666" t="s">
        <v>32683</v>
      </c>
      <c r="I13666" t="s">
        <v>10627</v>
      </c>
      <c r="J13666" t="s">
        <v>40927</v>
      </c>
      <c r="K13666" t="s">
        <v>42546</v>
      </c>
      <c r="M13666" t="s">
        <v>46175</v>
      </c>
      <c r="N13666" t="s">
        <v>46569</v>
      </c>
      <c r="O13666" t="s">
        <v>46570</v>
      </c>
      <c r="P13666">
        <v>0</v>
      </c>
      <c r="Q13666">
        <v>2</v>
      </c>
      <c r="R13666" t="s">
        <v>46586</v>
      </c>
      <c r="S13666" t="s">
        <v>47252</v>
      </c>
      <c r="T13666" t="s">
        <v>48283</v>
      </c>
      <c r="U13666" t="s">
        <v>59741</v>
      </c>
      <c r="W13666" t="s">
        <v>46175</v>
      </c>
      <c r="X13666" t="s">
        <v>46587</v>
      </c>
    </row>
    <row r="13667" spans="1:24">
      <c r="A13667">
        <f>HYPERLINK("https://www.philgeps.gov.ph/GEPSNONPILOT/Tender/SplashBidNoticeAbstractUI.aspx?menuIndex=3&amp;refID=7037103&amp;Result=3","7037103")</f>
        <v>0</v>
      </c>
      <c r="B13667" t="s">
        <v>3343</v>
      </c>
      <c r="C13667" t="s">
        <v>16512</v>
      </c>
      <c r="D13667" t="s">
        <v>18785</v>
      </c>
      <c r="E13667" t="s">
        <v>20150</v>
      </c>
      <c r="F13667" t="s">
        <v>32664</v>
      </c>
      <c r="G13667" t="s">
        <v>32672</v>
      </c>
      <c r="H13667" t="s">
        <v>32683</v>
      </c>
      <c r="I13667" t="s">
        <v>10627</v>
      </c>
      <c r="J13667" t="s">
        <v>40928</v>
      </c>
      <c r="K13667" t="s">
        <v>42281</v>
      </c>
      <c r="M13667" t="s">
        <v>46299</v>
      </c>
      <c r="N13667" t="s">
        <v>46569</v>
      </c>
      <c r="O13667" t="s">
        <v>46570</v>
      </c>
      <c r="P13667">
        <v>0</v>
      </c>
      <c r="Q13667">
        <v>0</v>
      </c>
      <c r="R13667" t="s">
        <v>46586</v>
      </c>
      <c r="S13667" t="s">
        <v>47252</v>
      </c>
      <c r="T13667" t="s">
        <v>48282</v>
      </c>
      <c r="U13667" t="s">
        <v>59742</v>
      </c>
      <c r="W13667" t="s">
        <v>46299</v>
      </c>
      <c r="X13667" t="s">
        <v>46587</v>
      </c>
    </row>
    <row r="13668" spans="1:24">
      <c r="A13668">
        <f>HYPERLINK("https://www.philgeps.gov.ph/GEPSNONPILOT/Tender/SplashBidNoticeAbstractUI.aspx?menuIndex=3&amp;refID=7037112&amp;Result=3","7037112")</f>
        <v>0</v>
      </c>
      <c r="B13668" t="s">
        <v>900</v>
      </c>
      <c r="C13668" t="s">
        <v>16513</v>
      </c>
      <c r="E13668" t="s">
        <v>30639</v>
      </c>
      <c r="F13668" t="s">
        <v>32664</v>
      </c>
      <c r="G13668" t="s">
        <v>32672</v>
      </c>
      <c r="H13668" t="s">
        <v>32683</v>
      </c>
      <c r="I13668" t="s">
        <v>10627</v>
      </c>
      <c r="J13668" t="s">
        <v>40929</v>
      </c>
      <c r="K13668" t="s">
        <v>42283</v>
      </c>
      <c r="M13668" t="s">
        <v>43504</v>
      </c>
      <c r="N13668" t="s">
        <v>46569</v>
      </c>
      <c r="O13668" t="s">
        <v>46570</v>
      </c>
      <c r="Q13668">
        <v>2</v>
      </c>
      <c r="R13668" t="s">
        <v>46586</v>
      </c>
      <c r="S13668" t="s">
        <v>47291</v>
      </c>
      <c r="T13668" t="s">
        <v>48258</v>
      </c>
      <c r="U13668" t="s">
        <v>59743</v>
      </c>
      <c r="W13668" t="s">
        <v>43504</v>
      </c>
      <c r="X13668" t="s">
        <v>46587</v>
      </c>
    </row>
    <row r="13669" spans="1:24">
      <c r="A13669">
        <f>HYPERLINK("https://www.philgeps.gov.ph/GEPSNONPILOT/Tender/SplashBidNoticeAbstractUI.aspx?menuIndex=3&amp;refID=7037078&amp;Result=3","7037078")</f>
        <v>0</v>
      </c>
      <c r="B13669" t="s">
        <v>2089</v>
      </c>
      <c r="C13669" t="s">
        <v>16514</v>
      </c>
      <c r="D13669" t="s">
        <v>18834</v>
      </c>
      <c r="E13669" t="s">
        <v>30640</v>
      </c>
      <c r="F13669" t="s">
        <v>32664</v>
      </c>
      <c r="G13669" t="s">
        <v>32677</v>
      </c>
      <c r="H13669" t="s">
        <v>12635</v>
      </c>
      <c r="I13669" t="s">
        <v>9486</v>
      </c>
      <c r="J13669" t="s">
        <v>40930</v>
      </c>
      <c r="K13669" t="s">
        <v>42283</v>
      </c>
      <c r="M13669" t="s">
        <v>44843</v>
      </c>
      <c r="N13669" t="s">
        <v>46569</v>
      </c>
      <c r="O13669" t="s">
        <v>46570</v>
      </c>
      <c r="Q13669">
        <v>19</v>
      </c>
      <c r="R13669" t="s">
        <v>46586</v>
      </c>
      <c r="S13669" t="s">
        <v>47292</v>
      </c>
      <c r="T13669" t="s">
        <v>48228</v>
      </c>
      <c r="U13669" t="s">
        <v>59744</v>
      </c>
      <c r="W13669" t="s">
        <v>44843</v>
      </c>
      <c r="X13669" t="s">
        <v>46587</v>
      </c>
    </row>
    <row r="13670" spans="1:24">
      <c r="A13670">
        <f>HYPERLINK("https://www.philgeps.gov.ph/GEPSNONPILOT/Tender/SplashBidNoticeAbstractUI.aspx?menuIndex=3&amp;refID=7037134&amp;Result=3","7037134")</f>
        <v>0</v>
      </c>
      <c r="B13670" t="s">
        <v>3344</v>
      </c>
      <c r="C13670" t="s">
        <v>16515</v>
      </c>
      <c r="D13670" t="s">
        <v>18798</v>
      </c>
      <c r="E13670" t="s">
        <v>30641</v>
      </c>
      <c r="F13670" t="s">
        <v>32664</v>
      </c>
      <c r="G13670" t="s">
        <v>32672</v>
      </c>
      <c r="H13670" t="s">
        <v>32683</v>
      </c>
      <c r="I13670" t="s">
        <v>10627</v>
      </c>
      <c r="J13670" t="s">
        <v>40931</v>
      </c>
      <c r="K13670" t="s">
        <v>42303</v>
      </c>
      <c r="M13670" t="s">
        <v>46300</v>
      </c>
      <c r="N13670" t="s">
        <v>46569</v>
      </c>
      <c r="O13670" t="s">
        <v>46570</v>
      </c>
      <c r="P13670">
        <v>0</v>
      </c>
      <c r="Q13670">
        <v>1</v>
      </c>
      <c r="R13670" t="s">
        <v>46586</v>
      </c>
      <c r="S13670" t="s">
        <v>47252</v>
      </c>
      <c r="T13670" t="s">
        <v>48283</v>
      </c>
      <c r="U13670" t="s">
        <v>59745</v>
      </c>
      <c r="V13670" t="s">
        <v>62834</v>
      </c>
      <c r="W13670" t="s">
        <v>46300</v>
      </c>
      <c r="X13670" t="s">
        <v>46587</v>
      </c>
    </row>
    <row r="13671" spans="1:24">
      <c r="A13671">
        <f>HYPERLINK("https://www.philgeps.gov.ph/GEPSNONPILOT/Tender/SplashBidNoticeAbstractUI.aspx?menuIndex=3&amp;refID=7037130&amp;Result=3","7037130")</f>
        <v>0</v>
      </c>
      <c r="B13671" t="s">
        <v>3029</v>
      </c>
      <c r="C13671" t="s">
        <v>16516</v>
      </c>
      <c r="D13671" t="s">
        <v>18786</v>
      </c>
      <c r="E13671" t="s">
        <v>30642</v>
      </c>
      <c r="F13671" t="s">
        <v>32664</v>
      </c>
      <c r="G13671" t="s">
        <v>32672</v>
      </c>
      <c r="H13671" t="s">
        <v>32683</v>
      </c>
      <c r="I13671" t="s">
        <v>10627</v>
      </c>
      <c r="J13671" t="s">
        <v>40932</v>
      </c>
      <c r="K13671" t="s">
        <v>42369</v>
      </c>
      <c r="M13671" t="s">
        <v>45902</v>
      </c>
      <c r="N13671" t="s">
        <v>46569</v>
      </c>
      <c r="O13671" t="s">
        <v>46570</v>
      </c>
      <c r="Q13671">
        <v>0</v>
      </c>
      <c r="R13671" t="s">
        <v>46586</v>
      </c>
      <c r="S13671" t="s">
        <v>47293</v>
      </c>
      <c r="T13671" t="s">
        <v>48228</v>
      </c>
      <c r="U13671" t="s">
        <v>59746</v>
      </c>
      <c r="W13671" t="s">
        <v>45902</v>
      </c>
      <c r="X13671" t="s">
        <v>46587</v>
      </c>
    </row>
    <row r="13672" spans="1:24">
      <c r="A13672">
        <f>HYPERLINK("https://www.philgeps.gov.ph/GEPSNONPILOT/Tender/SplashBidNoticeAbstractUI.aspx?menuIndex=3&amp;refID=7037070&amp;Result=3","7037070")</f>
        <v>0</v>
      </c>
      <c r="B13672" t="s">
        <v>747</v>
      </c>
      <c r="C13672" t="s">
        <v>16517</v>
      </c>
      <c r="D13672" t="s">
        <v>18806</v>
      </c>
      <c r="E13672" t="s">
        <v>30643</v>
      </c>
      <c r="F13672" t="s">
        <v>32664</v>
      </c>
      <c r="G13672" t="s">
        <v>32672</v>
      </c>
      <c r="H13672" t="s">
        <v>12635</v>
      </c>
      <c r="I13672" t="s">
        <v>8797</v>
      </c>
      <c r="J13672" t="s">
        <v>40933</v>
      </c>
      <c r="K13672" t="s">
        <v>42281</v>
      </c>
      <c r="M13672" t="s">
        <v>43337</v>
      </c>
      <c r="N13672" t="s">
        <v>46569</v>
      </c>
      <c r="O13672" t="s">
        <v>46570</v>
      </c>
      <c r="P13672">
        <v>0</v>
      </c>
      <c r="Q13672">
        <v>17</v>
      </c>
      <c r="R13672" t="s">
        <v>46586</v>
      </c>
      <c r="S13672" t="s">
        <v>47252</v>
      </c>
      <c r="T13672" t="s">
        <v>48228</v>
      </c>
      <c r="U13672" t="s">
        <v>59747</v>
      </c>
      <c r="V13672" t="s">
        <v>63136</v>
      </c>
      <c r="W13672" t="s">
        <v>43337</v>
      </c>
      <c r="X13672" t="s">
        <v>46587</v>
      </c>
    </row>
    <row r="13673" spans="1:24">
      <c r="A13673">
        <f>HYPERLINK("https://www.philgeps.gov.ph/GEPSNONPILOT/Tender/SplashBidNoticeAbstractUI.aspx?menuIndex=3&amp;refID=7037122&amp;Result=3","7037122")</f>
        <v>0</v>
      </c>
      <c r="B13673" t="s">
        <v>382</v>
      </c>
      <c r="C13673" t="s">
        <v>16518</v>
      </c>
      <c r="D13673" t="s">
        <v>18852</v>
      </c>
      <c r="E13673" t="s">
        <v>30644</v>
      </c>
      <c r="F13673" t="s">
        <v>32664</v>
      </c>
      <c r="G13673" t="s">
        <v>32672</v>
      </c>
      <c r="H13673" t="s">
        <v>12635</v>
      </c>
      <c r="I13673" t="s">
        <v>32710</v>
      </c>
      <c r="J13673" t="s">
        <v>32974</v>
      </c>
      <c r="K13673" t="s">
        <v>42281</v>
      </c>
      <c r="M13673" t="s">
        <v>42952</v>
      </c>
      <c r="N13673" t="s">
        <v>46569</v>
      </c>
      <c r="O13673" t="s">
        <v>46570</v>
      </c>
      <c r="P13673">
        <v>0</v>
      </c>
      <c r="Q13673">
        <v>2</v>
      </c>
      <c r="R13673" t="s">
        <v>46586</v>
      </c>
      <c r="S13673" t="s">
        <v>47252</v>
      </c>
      <c r="T13673" t="s">
        <v>48250</v>
      </c>
      <c r="U13673" t="s">
        <v>59748</v>
      </c>
      <c r="W13673" t="s">
        <v>42952</v>
      </c>
      <c r="X13673" t="s">
        <v>46587</v>
      </c>
    </row>
    <row r="13674" spans="1:24">
      <c r="A13674">
        <f>HYPERLINK("https://www.philgeps.gov.ph/GEPSNONPILOT/Tender/SplashBidNoticeAbstractUI.aspx?menuIndex=3&amp;refID=7037075&amp;Result=3","7037075")</f>
        <v>0</v>
      </c>
      <c r="B13674" t="s">
        <v>2720</v>
      </c>
      <c r="C13674" t="s">
        <v>16519</v>
      </c>
      <c r="D13674" t="s">
        <v>18785</v>
      </c>
      <c r="E13674" t="s">
        <v>30645</v>
      </c>
      <c r="F13674" t="s">
        <v>32664</v>
      </c>
      <c r="G13674" t="s">
        <v>32672</v>
      </c>
      <c r="H13674" t="s">
        <v>32683</v>
      </c>
      <c r="I13674" t="s">
        <v>10627</v>
      </c>
      <c r="J13674" t="s">
        <v>34033</v>
      </c>
      <c r="K13674" t="s">
        <v>42476</v>
      </c>
      <c r="M13674" t="s">
        <v>45547</v>
      </c>
      <c r="N13674" t="s">
        <v>46569</v>
      </c>
      <c r="O13674" t="s">
        <v>46570</v>
      </c>
      <c r="P13674">
        <v>0</v>
      </c>
      <c r="Q13674">
        <v>8</v>
      </c>
      <c r="R13674" t="s">
        <v>46586</v>
      </c>
      <c r="S13674" t="s">
        <v>47252</v>
      </c>
      <c r="T13674" t="s">
        <v>48221</v>
      </c>
      <c r="U13674" t="s">
        <v>59697</v>
      </c>
      <c r="W13674" t="s">
        <v>45547</v>
      </c>
      <c r="X13674" t="s">
        <v>46587</v>
      </c>
    </row>
    <row r="13675" spans="1:24">
      <c r="A13675">
        <f>HYPERLINK("https://www.philgeps.gov.ph/GEPSNONPILOT/Tender/SplashBidNoticeAbstractUI.aspx?menuIndex=3&amp;refID=7037057&amp;Result=3","7037057")</f>
        <v>0</v>
      </c>
      <c r="B13675" t="s">
        <v>900</v>
      </c>
      <c r="C13675" t="s">
        <v>16520</v>
      </c>
      <c r="E13675" t="s">
        <v>30646</v>
      </c>
      <c r="F13675" t="s">
        <v>32664</v>
      </c>
      <c r="G13675" t="s">
        <v>32672</v>
      </c>
      <c r="H13675" t="s">
        <v>32683</v>
      </c>
      <c r="I13675" t="s">
        <v>10627</v>
      </c>
      <c r="J13675" t="s">
        <v>40934</v>
      </c>
      <c r="K13675" t="s">
        <v>42283</v>
      </c>
      <c r="M13675" t="s">
        <v>43504</v>
      </c>
      <c r="N13675" t="s">
        <v>46569</v>
      </c>
      <c r="O13675" t="s">
        <v>46570</v>
      </c>
      <c r="Q13675">
        <v>2</v>
      </c>
      <c r="R13675" t="s">
        <v>46586</v>
      </c>
      <c r="S13675" t="s">
        <v>47294</v>
      </c>
      <c r="T13675" t="s">
        <v>48283</v>
      </c>
      <c r="U13675" t="s">
        <v>59749</v>
      </c>
      <c r="W13675" t="s">
        <v>43504</v>
      </c>
      <c r="X13675" t="s">
        <v>46587</v>
      </c>
    </row>
    <row r="13676" spans="1:24">
      <c r="A13676">
        <f>HYPERLINK("https://www.philgeps.gov.ph/GEPSNONPILOT/Tender/SplashBidNoticeAbstractUI.aspx?menuIndex=3&amp;refID=7037045&amp;Result=3","7037045")</f>
        <v>0</v>
      </c>
      <c r="B13676" t="s">
        <v>1669</v>
      </c>
      <c r="C13676" t="s">
        <v>16521</v>
      </c>
      <c r="E13676" t="s">
        <v>30647</v>
      </c>
      <c r="F13676" t="s">
        <v>32664</v>
      </c>
      <c r="G13676" t="s">
        <v>32672</v>
      </c>
      <c r="H13676" t="s">
        <v>32681</v>
      </c>
      <c r="I13676" t="s">
        <v>32681</v>
      </c>
      <c r="J13676" t="s">
        <v>40935</v>
      </c>
      <c r="K13676" t="s">
        <v>42283</v>
      </c>
      <c r="M13676" t="s">
        <v>44356</v>
      </c>
      <c r="N13676" t="s">
        <v>46569</v>
      </c>
      <c r="O13676" t="s">
        <v>46570</v>
      </c>
      <c r="Q13676">
        <v>3</v>
      </c>
      <c r="R13676" t="s">
        <v>46586</v>
      </c>
      <c r="S13676" t="s">
        <v>47295</v>
      </c>
      <c r="T13676" t="s">
        <v>48221</v>
      </c>
      <c r="U13676" t="s">
        <v>59750</v>
      </c>
      <c r="V13676" t="s">
        <v>63137</v>
      </c>
      <c r="W13676" t="s">
        <v>44356</v>
      </c>
      <c r="X13676" t="s">
        <v>46587</v>
      </c>
    </row>
    <row r="13677" spans="1:24">
      <c r="A13677">
        <f>HYPERLINK("https://www.philgeps.gov.ph/GEPSNONPILOT/Tender/SplashBidNoticeAbstractUI.aspx?menuIndex=3&amp;refID=7037074&amp;Result=3","7037074")</f>
        <v>0</v>
      </c>
      <c r="B13677" t="s">
        <v>900</v>
      </c>
      <c r="C13677" t="s">
        <v>16522</v>
      </c>
      <c r="E13677" t="s">
        <v>30648</v>
      </c>
      <c r="F13677" t="s">
        <v>32664</v>
      </c>
      <c r="G13677" t="s">
        <v>32672</v>
      </c>
      <c r="H13677" t="s">
        <v>32683</v>
      </c>
      <c r="I13677" t="s">
        <v>10627</v>
      </c>
      <c r="J13677" t="s">
        <v>40936</v>
      </c>
      <c r="K13677" t="s">
        <v>42283</v>
      </c>
      <c r="M13677" t="s">
        <v>43504</v>
      </c>
      <c r="N13677" t="s">
        <v>46569</v>
      </c>
      <c r="O13677" t="s">
        <v>46570</v>
      </c>
      <c r="Q13677">
        <v>2</v>
      </c>
      <c r="R13677" t="s">
        <v>46586</v>
      </c>
      <c r="S13677" t="s">
        <v>47296</v>
      </c>
      <c r="T13677" t="s">
        <v>48267</v>
      </c>
      <c r="U13677" t="s">
        <v>59751</v>
      </c>
      <c r="W13677" t="s">
        <v>43504</v>
      </c>
      <c r="X13677" t="s">
        <v>46587</v>
      </c>
    </row>
    <row r="13678" spans="1:24">
      <c r="A13678">
        <f>HYPERLINK("https://www.philgeps.gov.ph/GEPSNONPILOT/Tender/SplashBidNoticeAbstractUI.aspx?menuIndex=3&amp;refID=7037043&amp;Result=3","7037043")</f>
        <v>0</v>
      </c>
      <c r="B13678" t="s">
        <v>900</v>
      </c>
      <c r="C13678" t="s">
        <v>16523</v>
      </c>
      <c r="E13678" t="s">
        <v>30649</v>
      </c>
      <c r="F13678" t="s">
        <v>32664</v>
      </c>
      <c r="G13678" t="s">
        <v>32672</v>
      </c>
      <c r="H13678" t="s">
        <v>32683</v>
      </c>
      <c r="I13678" t="s">
        <v>10627</v>
      </c>
      <c r="J13678" t="s">
        <v>40937</v>
      </c>
      <c r="K13678" t="s">
        <v>42283</v>
      </c>
      <c r="M13678" t="s">
        <v>43504</v>
      </c>
      <c r="N13678" t="s">
        <v>46569</v>
      </c>
      <c r="O13678" t="s">
        <v>46570</v>
      </c>
      <c r="Q13678">
        <v>3</v>
      </c>
      <c r="R13678" t="s">
        <v>46586</v>
      </c>
      <c r="S13678" t="s">
        <v>47297</v>
      </c>
      <c r="T13678" t="s">
        <v>48228</v>
      </c>
      <c r="U13678" t="s">
        <v>59752</v>
      </c>
      <c r="W13678" t="s">
        <v>43504</v>
      </c>
      <c r="X13678" t="s">
        <v>46587</v>
      </c>
    </row>
    <row r="13679" spans="1:24">
      <c r="A13679">
        <f>HYPERLINK("https://www.philgeps.gov.ph/GEPSNONPILOT/Tender/SplashBidNoticeAbstractUI.aspx?menuIndex=3&amp;refID=7037247&amp;Result=3","7037247")</f>
        <v>0</v>
      </c>
      <c r="B13679" t="s">
        <v>2275</v>
      </c>
      <c r="C13679" t="s">
        <v>16524</v>
      </c>
      <c r="D13679" t="s">
        <v>18784</v>
      </c>
      <c r="E13679" t="s">
        <v>30650</v>
      </c>
      <c r="F13679" t="s">
        <v>32664</v>
      </c>
      <c r="G13679" t="s">
        <v>32672</v>
      </c>
      <c r="H13679" t="s">
        <v>12635</v>
      </c>
      <c r="I13679" t="s">
        <v>5589</v>
      </c>
      <c r="J13679" t="s">
        <v>34481</v>
      </c>
      <c r="K13679" t="s">
        <v>42311</v>
      </c>
      <c r="M13679" t="s">
        <v>46266</v>
      </c>
      <c r="N13679" t="s">
        <v>46569</v>
      </c>
      <c r="O13679" t="s">
        <v>46570</v>
      </c>
      <c r="Q13679">
        <v>16</v>
      </c>
      <c r="R13679" t="s">
        <v>46586</v>
      </c>
      <c r="S13679" t="s">
        <v>47298</v>
      </c>
      <c r="T13679" t="s">
        <v>48285</v>
      </c>
      <c r="U13679" t="s">
        <v>59753</v>
      </c>
      <c r="W13679" t="s">
        <v>46266</v>
      </c>
      <c r="X13679" t="s">
        <v>46587</v>
      </c>
    </row>
    <row r="13680" spans="1:24">
      <c r="A13680">
        <f>HYPERLINK("https://www.philgeps.gov.ph/GEPSNONPILOT/Tender/SplashBidNoticeAbstractUI.aspx?menuIndex=3&amp;refID=7036239&amp;Result=3","7036239")</f>
        <v>0</v>
      </c>
      <c r="B13680" t="s">
        <v>1329</v>
      </c>
      <c r="C13680" t="s">
        <v>16525</v>
      </c>
      <c r="D13680" t="s">
        <v>18788</v>
      </c>
      <c r="E13680" t="s">
        <v>30651</v>
      </c>
      <c r="F13680" t="s">
        <v>32664</v>
      </c>
      <c r="G13680" t="s">
        <v>32672</v>
      </c>
      <c r="H13680" t="s">
        <v>12635</v>
      </c>
      <c r="I13680" t="s">
        <v>4439</v>
      </c>
      <c r="J13680" t="s">
        <v>40938</v>
      </c>
      <c r="K13680" t="s">
        <v>42433</v>
      </c>
      <c r="M13680" t="s">
        <v>43978</v>
      </c>
      <c r="N13680" t="s">
        <v>46569</v>
      </c>
      <c r="O13680" t="s">
        <v>46570</v>
      </c>
      <c r="P13680">
        <v>0</v>
      </c>
      <c r="Q13680">
        <v>0</v>
      </c>
      <c r="R13680" t="s">
        <v>46586</v>
      </c>
      <c r="S13680" t="s">
        <v>47252</v>
      </c>
      <c r="T13680" t="s">
        <v>48221</v>
      </c>
      <c r="U13680" t="s">
        <v>59754</v>
      </c>
      <c r="V13680" t="s">
        <v>63138</v>
      </c>
      <c r="W13680" t="s">
        <v>43978</v>
      </c>
      <c r="X13680" t="s">
        <v>46587</v>
      </c>
    </row>
    <row r="13681" spans="1:24">
      <c r="A13681">
        <f>HYPERLINK("https://www.philgeps.gov.ph/GEPSNONPILOT/Tender/SplashBidNoticeAbstractUI.aspx?menuIndex=3&amp;refID=7036974&amp;Result=3","7036974")</f>
        <v>0</v>
      </c>
      <c r="B13681" t="s">
        <v>2720</v>
      </c>
      <c r="C13681" t="s">
        <v>16526</v>
      </c>
      <c r="D13681" t="s">
        <v>18785</v>
      </c>
      <c r="E13681" t="s">
        <v>30652</v>
      </c>
      <c r="F13681" t="s">
        <v>32664</v>
      </c>
      <c r="G13681" t="s">
        <v>32672</v>
      </c>
      <c r="H13681" t="s">
        <v>32683</v>
      </c>
      <c r="I13681" t="s">
        <v>10627</v>
      </c>
      <c r="J13681" t="s">
        <v>40562</v>
      </c>
      <c r="K13681" t="s">
        <v>42497</v>
      </c>
      <c r="M13681" t="s">
        <v>45547</v>
      </c>
      <c r="N13681" t="s">
        <v>46569</v>
      </c>
      <c r="O13681" t="s">
        <v>46570</v>
      </c>
      <c r="P13681">
        <v>0</v>
      </c>
      <c r="Q13681">
        <v>7</v>
      </c>
      <c r="R13681" t="s">
        <v>46586</v>
      </c>
      <c r="S13681" t="s">
        <v>47252</v>
      </c>
      <c r="T13681" t="s">
        <v>48219</v>
      </c>
      <c r="U13681" t="s">
        <v>59697</v>
      </c>
      <c r="W13681" t="s">
        <v>45547</v>
      </c>
      <c r="X13681" t="s">
        <v>46587</v>
      </c>
    </row>
    <row r="13682" spans="1:24">
      <c r="A13682">
        <f>HYPERLINK("https://www.philgeps.gov.ph/GEPSNONPILOT/Tender/SplashBidNoticeAbstractUI.aspx?menuIndex=3&amp;refID=7037241&amp;Result=3","7037241")</f>
        <v>0</v>
      </c>
      <c r="B13682" t="s">
        <v>393</v>
      </c>
      <c r="C13682" t="s">
        <v>16527</v>
      </c>
      <c r="D13682" t="s">
        <v>18853</v>
      </c>
      <c r="E13682" t="s">
        <v>30653</v>
      </c>
      <c r="F13682" t="s">
        <v>32664</v>
      </c>
      <c r="G13682" t="s">
        <v>32672</v>
      </c>
      <c r="H13682" t="s">
        <v>32683</v>
      </c>
      <c r="I13682" t="s">
        <v>10627</v>
      </c>
      <c r="J13682" t="s">
        <v>40939</v>
      </c>
      <c r="K13682" t="s">
        <v>42310</v>
      </c>
      <c r="L13682" t="s">
        <v>393</v>
      </c>
      <c r="M13682" t="s">
        <v>42963</v>
      </c>
      <c r="N13682" t="s">
        <v>46569</v>
      </c>
      <c r="O13682" t="s">
        <v>46570</v>
      </c>
      <c r="P13682">
        <v>0</v>
      </c>
      <c r="Q13682">
        <v>0</v>
      </c>
      <c r="R13682" t="s">
        <v>46586</v>
      </c>
      <c r="S13682" t="s">
        <v>47252</v>
      </c>
      <c r="T13682" t="s">
        <v>48221</v>
      </c>
      <c r="U13682" t="s">
        <v>59755</v>
      </c>
      <c r="V13682" t="s">
        <v>63139</v>
      </c>
      <c r="W13682" t="s">
        <v>42963</v>
      </c>
      <c r="X13682" t="s">
        <v>46587</v>
      </c>
    </row>
    <row r="13683" spans="1:24">
      <c r="A13683">
        <f>HYPERLINK("https://www.philgeps.gov.ph/GEPSNONPILOT/Tender/SplashBidNoticeAbstractUI.aspx?menuIndex=3&amp;refID=7037237&amp;Result=3","7037237")</f>
        <v>0</v>
      </c>
      <c r="B13683" t="s">
        <v>3345</v>
      </c>
      <c r="C13683" t="s">
        <v>16379</v>
      </c>
      <c r="D13683" t="s">
        <v>18806</v>
      </c>
      <c r="E13683" t="s">
        <v>20253</v>
      </c>
      <c r="F13683" t="s">
        <v>32664</v>
      </c>
      <c r="G13683" t="s">
        <v>32672</v>
      </c>
      <c r="H13683" t="s">
        <v>32683</v>
      </c>
      <c r="I13683" t="s">
        <v>10627</v>
      </c>
      <c r="J13683" t="s">
        <v>40940</v>
      </c>
      <c r="K13683" t="s">
        <v>42281</v>
      </c>
      <c r="M13683" t="s">
        <v>46301</v>
      </c>
      <c r="N13683" t="s">
        <v>46569</v>
      </c>
      <c r="O13683" t="s">
        <v>46570</v>
      </c>
      <c r="P13683">
        <v>0</v>
      </c>
      <c r="Q13683">
        <v>0</v>
      </c>
      <c r="R13683" t="s">
        <v>46586</v>
      </c>
      <c r="S13683" t="s">
        <v>47252</v>
      </c>
      <c r="T13683" t="s">
        <v>48312</v>
      </c>
      <c r="U13683" t="s">
        <v>59756</v>
      </c>
      <c r="W13683" t="s">
        <v>46301</v>
      </c>
      <c r="X13683" t="s">
        <v>46587</v>
      </c>
    </row>
    <row r="13684" spans="1:24">
      <c r="A13684">
        <f>HYPERLINK("https://www.philgeps.gov.ph/GEPSNONPILOT/Tender/SplashBidNoticeAbstractUI.aspx?menuIndex=3&amp;refID=7036635&amp;Result=3","7036635")</f>
        <v>0</v>
      </c>
      <c r="B13684" t="s">
        <v>3325</v>
      </c>
      <c r="C13684" t="s">
        <v>16528</v>
      </c>
      <c r="D13684" t="s">
        <v>18847</v>
      </c>
      <c r="E13684" t="s">
        <v>19650</v>
      </c>
      <c r="F13684" t="s">
        <v>32664</v>
      </c>
      <c r="G13684" t="s">
        <v>32672</v>
      </c>
      <c r="H13684" t="s">
        <v>32683</v>
      </c>
      <c r="I13684" t="s">
        <v>10627</v>
      </c>
      <c r="J13684" t="s">
        <v>40941</v>
      </c>
      <c r="K13684" t="s">
        <v>42437</v>
      </c>
      <c r="M13684" t="s">
        <v>46276</v>
      </c>
      <c r="N13684" t="s">
        <v>46569</v>
      </c>
      <c r="O13684" t="s">
        <v>46570</v>
      </c>
      <c r="P13684">
        <v>0</v>
      </c>
      <c r="Q13684">
        <v>0</v>
      </c>
      <c r="R13684" t="s">
        <v>46586</v>
      </c>
      <c r="S13684" t="s">
        <v>47252</v>
      </c>
      <c r="T13684" t="s">
        <v>48608</v>
      </c>
      <c r="U13684" t="s">
        <v>59757</v>
      </c>
      <c r="W13684" t="s">
        <v>46276</v>
      </c>
      <c r="X13684" t="s">
        <v>46587</v>
      </c>
    </row>
    <row r="13685" spans="1:24">
      <c r="A13685">
        <f>HYPERLINK("https://www.philgeps.gov.ph/GEPSNONPILOT/Tender/SplashBidNoticeAbstractUI.aspx?menuIndex=3&amp;refID=7037221&amp;Result=3","7037221")</f>
        <v>0</v>
      </c>
      <c r="B13685" t="s">
        <v>2720</v>
      </c>
      <c r="C13685" t="s">
        <v>16529</v>
      </c>
      <c r="D13685" t="s">
        <v>18785</v>
      </c>
      <c r="E13685" t="s">
        <v>30654</v>
      </c>
      <c r="F13685" t="s">
        <v>32664</v>
      </c>
      <c r="G13685" t="s">
        <v>32672</v>
      </c>
      <c r="H13685" t="s">
        <v>32683</v>
      </c>
      <c r="I13685" t="s">
        <v>10627</v>
      </c>
      <c r="J13685" t="s">
        <v>40942</v>
      </c>
      <c r="K13685" t="s">
        <v>42547</v>
      </c>
      <c r="M13685" t="s">
        <v>45547</v>
      </c>
      <c r="N13685" t="s">
        <v>46569</v>
      </c>
      <c r="O13685" t="s">
        <v>46570</v>
      </c>
      <c r="P13685">
        <v>0</v>
      </c>
      <c r="Q13685">
        <v>10</v>
      </c>
      <c r="R13685" t="s">
        <v>46586</v>
      </c>
      <c r="S13685" t="s">
        <v>47252</v>
      </c>
      <c r="T13685" t="s">
        <v>48221</v>
      </c>
      <c r="U13685" t="s">
        <v>59697</v>
      </c>
      <c r="W13685" t="s">
        <v>45547</v>
      </c>
      <c r="X13685" t="s">
        <v>46587</v>
      </c>
    </row>
    <row r="13686" spans="1:24">
      <c r="A13686">
        <f>HYPERLINK("https://www.philgeps.gov.ph/GEPSNONPILOT/Tender/SplashBidNoticeAbstractUI.aspx?menuIndex=3&amp;refID=7037243&amp;Result=3","7037243")</f>
        <v>0</v>
      </c>
      <c r="B13686" t="s">
        <v>2720</v>
      </c>
      <c r="C13686" t="s">
        <v>16530</v>
      </c>
      <c r="D13686" t="s">
        <v>18785</v>
      </c>
      <c r="E13686" t="s">
        <v>30655</v>
      </c>
      <c r="F13686" t="s">
        <v>32664</v>
      </c>
      <c r="G13686" t="s">
        <v>32672</v>
      </c>
      <c r="H13686" t="s">
        <v>32683</v>
      </c>
      <c r="I13686" t="s">
        <v>10627</v>
      </c>
      <c r="J13686" t="s">
        <v>35171</v>
      </c>
      <c r="K13686" t="s">
        <v>42290</v>
      </c>
      <c r="M13686" t="s">
        <v>45547</v>
      </c>
      <c r="N13686" t="s">
        <v>46569</v>
      </c>
      <c r="O13686" t="s">
        <v>46570</v>
      </c>
      <c r="P13686">
        <v>0</v>
      </c>
      <c r="Q13686">
        <v>3</v>
      </c>
      <c r="R13686" t="s">
        <v>46586</v>
      </c>
      <c r="S13686" t="s">
        <v>47252</v>
      </c>
      <c r="T13686" t="s">
        <v>48221</v>
      </c>
      <c r="U13686" t="s">
        <v>59697</v>
      </c>
      <c r="W13686" t="s">
        <v>45547</v>
      </c>
      <c r="X13686" t="s">
        <v>46587</v>
      </c>
    </row>
    <row r="13687" spans="1:24">
      <c r="A13687">
        <f>HYPERLINK("https://www.philgeps.gov.ph/GEPSNONPILOT/Tender/SplashBidNoticeAbstractUI.aspx?menuIndex=3&amp;refID=7037218&amp;Result=3","7037218")</f>
        <v>0</v>
      </c>
      <c r="B13687" t="s">
        <v>1524</v>
      </c>
      <c r="C13687" t="s">
        <v>16531</v>
      </c>
      <c r="E13687" t="s">
        <v>30656</v>
      </c>
      <c r="F13687" t="s">
        <v>32664</v>
      </c>
      <c r="G13687" t="s">
        <v>32672</v>
      </c>
      <c r="H13687" t="s">
        <v>32683</v>
      </c>
      <c r="I13687" t="s">
        <v>10627</v>
      </c>
      <c r="J13687" t="s">
        <v>34293</v>
      </c>
      <c r="K13687" t="s">
        <v>42285</v>
      </c>
      <c r="M13687" t="s">
        <v>44191</v>
      </c>
      <c r="N13687" t="s">
        <v>46569</v>
      </c>
      <c r="O13687" t="s">
        <v>46570</v>
      </c>
      <c r="Q13687">
        <v>11</v>
      </c>
      <c r="R13687" t="s">
        <v>46586</v>
      </c>
      <c r="S13687" t="s">
        <v>47299</v>
      </c>
      <c r="T13687" t="s">
        <v>48529</v>
      </c>
      <c r="U13687" t="s">
        <v>59758</v>
      </c>
      <c r="V13687" t="s">
        <v>62052</v>
      </c>
      <c r="W13687" t="s">
        <v>44191</v>
      </c>
      <c r="X13687" t="s">
        <v>46587</v>
      </c>
    </row>
    <row r="13688" spans="1:24">
      <c r="A13688">
        <f>HYPERLINK("https://www.philgeps.gov.ph/GEPSNONPILOT/Tender/SplashBidNoticeAbstractUI.aspx?menuIndex=3&amp;refID=7037206&amp;Result=3","7037206")</f>
        <v>0</v>
      </c>
      <c r="B13688" t="s">
        <v>3029</v>
      </c>
      <c r="C13688" t="s">
        <v>16532</v>
      </c>
      <c r="D13688" t="s">
        <v>18786</v>
      </c>
      <c r="E13688" t="s">
        <v>30657</v>
      </c>
      <c r="F13688" t="s">
        <v>32664</v>
      </c>
      <c r="G13688" t="s">
        <v>32672</v>
      </c>
      <c r="H13688" t="s">
        <v>32683</v>
      </c>
      <c r="I13688" t="s">
        <v>10627</v>
      </c>
      <c r="J13688" t="s">
        <v>40943</v>
      </c>
      <c r="K13688" t="s">
        <v>42369</v>
      </c>
      <c r="M13688" t="s">
        <v>45902</v>
      </c>
      <c r="N13688" t="s">
        <v>46569</v>
      </c>
      <c r="O13688" t="s">
        <v>46570</v>
      </c>
      <c r="Q13688">
        <v>0</v>
      </c>
      <c r="R13688" t="s">
        <v>46586</v>
      </c>
      <c r="S13688" t="s">
        <v>47300</v>
      </c>
      <c r="T13688" t="s">
        <v>48228</v>
      </c>
      <c r="U13688" t="s">
        <v>59759</v>
      </c>
      <c r="W13688" t="s">
        <v>45902</v>
      </c>
      <c r="X13688" t="s">
        <v>46587</v>
      </c>
    </row>
    <row r="13689" spans="1:24">
      <c r="A13689">
        <f>HYPERLINK("https://www.philgeps.gov.ph/GEPSNONPILOT/Tender/SplashBidNoticeAbstractUI.aspx?menuIndex=3&amp;refID=7037060&amp;Result=3","7037060")</f>
        <v>0</v>
      </c>
      <c r="B13689" t="s">
        <v>3321</v>
      </c>
      <c r="C13689" t="s">
        <v>16533</v>
      </c>
      <c r="D13689" t="s">
        <v>18787</v>
      </c>
      <c r="E13689" t="s">
        <v>30658</v>
      </c>
      <c r="F13689" t="s">
        <v>32664</v>
      </c>
      <c r="G13689" t="s">
        <v>32672</v>
      </c>
      <c r="H13689" t="s">
        <v>32683</v>
      </c>
      <c r="I13689" t="s">
        <v>10627</v>
      </c>
      <c r="J13689" t="s">
        <v>32962</v>
      </c>
      <c r="K13689" t="s">
        <v>42317</v>
      </c>
      <c r="M13689" t="s">
        <v>46272</v>
      </c>
      <c r="N13689" t="s">
        <v>46569</v>
      </c>
      <c r="O13689" t="s">
        <v>46570</v>
      </c>
      <c r="P13689">
        <v>0</v>
      </c>
      <c r="Q13689">
        <v>0</v>
      </c>
      <c r="R13689" t="s">
        <v>46586</v>
      </c>
      <c r="S13689" t="s">
        <v>47252</v>
      </c>
      <c r="T13689" t="s">
        <v>48411</v>
      </c>
      <c r="U13689" t="s">
        <v>59760</v>
      </c>
      <c r="W13689" t="s">
        <v>63592</v>
      </c>
      <c r="X13689" t="s">
        <v>46587</v>
      </c>
    </row>
    <row r="13690" spans="1:24">
      <c r="A13690">
        <f>HYPERLINK("https://www.philgeps.gov.ph/GEPSNONPILOT/Tender/SplashBidNoticeAbstractUI.aspx?menuIndex=3&amp;refID=7037196&amp;Result=3","7037196")</f>
        <v>0</v>
      </c>
      <c r="B13690" t="s">
        <v>2960</v>
      </c>
      <c r="C13690" t="s">
        <v>16534</v>
      </c>
      <c r="D13690" t="s">
        <v>18804</v>
      </c>
      <c r="E13690" t="s">
        <v>28286</v>
      </c>
      <c r="F13690" t="s">
        <v>32664</v>
      </c>
      <c r="G13690" t="s">
        <v>32672</v>
      </c>
      <c r="H13690" t="s">
        <v>32683</v>
      </c>
      <c r="I13690" t="s">
        <v>10627</v>
      </c>
      <c r="J13690" t="s">
        <v>40944</v>
      </c>
      <c r="K13690" t="s">
        <v>42298</v>
      </c>
      <c r="M13690" t="s">
        <v>45814</v>
      </c>
      <c r="N13690" t="s">
        <v>46569</v>
      </c>
      <c r="O13690" t="s">
        <v>46570</v>
      </c>
      <c r="P13690">
        <v>0</v>
      </c>
      <c r="Q13690">
        <v>1</v>
      </c>
      <c r="R13690" t="s">
        <v>46586</v>
      </c>
      <c r="S13690" t="s">
        <v>47252</v>
      </c>
      <c r="T13690" t="s">
        <v>48283</v>
      </c>
      <c r="U13690" t="s">
        <v>59761</v>
      </c>
      <c r="V13690" t="s">
        <v>62794</v>
      </c>
      <c r="W13690" t="s">
        <v>45814</v>
      </c>
      <c r="X13690" t="s">
        <v>46587</v>
      </c>
    </row>
    <row r="13691" spans="1:24">
      <c r="A13691">
        <f>HYPERLINK("https://www.philgeps.gov.ph/GEPSNONPILOT/Tender/SplashBidNoticeAbstractUI.aspx?menuIndex=3&amp;refID=7037058&amp;Result=3","7037058")</f>
        <v>0</v>
      </c>
      <c r="B13691" t="s">
        <v>2720</v>
      </c>
      <c r="C13691" t="s">
        <v>16535</v>
      </c>
      <c r="D13691" t="s">
        <v>18785</v>
      </c>
      <c r="E13691" t="s">
        <v>30659</v>
      </c>
      <c r="F13691" t="s">
        <v>32664</v>
      </c>
      <c r="G13691" t="s">
        <v>32672</v>
      </c>
      <c r="H13691" t="s">
        <v>32683</v>
      </c>
      <c r="I13691" t="s">
        <v>10627</v>
      </c>
      <c r="J13691" t="s">
        <v>40945</v>
      </c>
      <c r="K13691" t="s">
        <v>42367</v>
      </c>
      <c r="M13691" t="s">
        <v>45547</v>
      </c>
      <c r="N13691" t="s">
        <v>46569</v>
      </c>
      <c r="O13691" t="s">
        <v>46570</v>
      </c>
      <c r="P13691">
        <v>0</v>
      </c>
      <c r="Q13691">
        <v>8</v>
      </c>
      <c r="R13691" t="s">
        <v>46586</v>
      </c>
      <c r="S13691" t="s">
        <v>47252</v>
      </c>
      <c r="T13691" t="s">
        <v>48221</v>
      </c>
      <c r="U13691" t="s">
        <v>59697</v>
      </c>
      <c r="W13691" t="s">
        <v>45547</v>
      </c>
      <c r="X13691" t="s">
        <v>46587</v>
      </c>
    </row>
    <row r="13692" spans="1:24">
      <c r="A13692">
        <f>HYPERLINK("https://www.philgeps.gov.ph/GEPSNONPILOT/Tender/SplashBidNoticeAbstractUI.aspx?menuIndex=3&amp;refID=7037190&amp;Result=3","7037190")</f>
        <v>0</v>
      </c>
      <c r="B13692" t="s">
        <v>2739</v>
      </c>
      <c r="C13692" t="s">
        <v>16536</v>
      </c>
      <c r="E13692" t="s">
        <v>30660</v>
      </c>
      <c r="F13692" t="s">
        <v>32664</v>
      </c>
      <c r="G13692" t="s">
        <v>32672</v>
      </c>
      <c r="H13692" t="s">
        <v>12635</v>
      </c>
      <c r="I13692" t="s">
        <v>6168</v>
      </c>
      <c r="J13692" t="s">
        <v>40946</v>
      </c>
      <c r="K13692" t="s">
        <v>42283</v>
      </c>
      <c r="M13692" t="s">
        <v>45573</v>
      </c>
      <c r="N13692" t="s">
        <v>46569</v>
      </c>
      <c r="O13692" t="s">
        <v>46570</v>
      </c>
      <c r="P13692">
        <v>0</v>
      </c>
      <c r="Q13692">
        <v>5</v>
      </c>
      <c r="R13692" t="s">
        <v>46586</v>
      </c>
      <c r="S13692" t="s">
        <v>47252</v>
      </c>
      <c r="T13692" t="s">
        <v>48446</v>
      </c>
      <c r="U13692" t="s">
        <v>59762</v>
      </c>
      <c r="W13692" t="s">
        <v>45573</v>
      </c>
      <c r="X13692" t="s">
        <v>46587</v>
      </c>
    </row>
    <row r="13693" spans="1:24">
      <c r="A13693">
        <f>HYPERLINK("https://www.philgeps.gov.ph/GEPSNONPILOT/Tender/SplashBidNoticeAbstractUI.aspx?menuIndex=3&amp;refID=7037184&amp;Result=3","7037184")</f>
        <v>0</v>
      </c>
      <c r="B13693" t="s">
        <v>2720</v>
      </c>
      <c r="C13693" t="s">
        <v>16537</v>
      </c>
      <c r="D13693" t="s">
        <v>18785</v>
      </c>
      <c r="E13693" t="s">
        <v>30661</v>
      </c>
      <c r="F13693" t="s">
        <v>32664</v>
      </c>
      <c r="G13693" t="s">
        <v>32672</v>
      </c>
      <c r="H13693" t="s">
        <v>32683</v>
      </c>
      <c r="I13693" t="s">
        <v>10627</v>
      </c>
      <c r="J13693" t="s">
        <v>35044</v>
      </c>
      <c r="K13693" t="s">
        <v>42454</v>
      </c>
      <c r="M13693" t="s">
        <v>45547</v>
      </c>
      <c r="N13693" t="s">
        <v>46569</v>
      </c>
      <c r="O13693" t="s">
        <v>46570</v>
      </c>
      <c r="P13693">
        <v>0</v>
      </c>
      <c r="Q13693">
        <v>6</v>
      </c>
      <c r="R13693" t="s">
        <v>46586</v>
      </c>
      <c r="S13693" t="s">
        <v>47252</v>
      </c>
      <c r="T13693" t="s">
        <v>48221</v>
      </c>
      <c r="U13693" t="s">
        <v>59697</v>
      </c>
      <c r="W13693" t="s">
        <v>45547</v>
      </c>
      <c r="X13693" t="s">
        <v>46587</v>
      </c>
    </row>
    <row r="13694" spans="1:24">
      <c r="A13694">
        <f>HYPERLINK("https://www.philgeps.gov.ph/GEPSNONPILOT/Tender/SplashBidNoticeAbstractUI.aspx?menuIndex=3&amp;refID=7037211&amp;Result=3","7037211")</f>
        <v>0</v>
      </c>
      <c r="B13694" t="s">
        <v>882</v>
      </c>
      <c r="C13694" t="s">
        <v>16538</v>
      </c>
      <c r="D13694" t="s">
        <v>18804</v>
      </c>
      <c r="E13694" t="s">
        <v>30662</v>
      </c>
      <c r="F13694" t="s">
        <v>32664</v>
      </c>
      <c r="G13694" t="s">
        <v>32672</v>
      </c>
      <c r="H13694" t="s">
        <v>32683</v>
      </c>
      <c r="I13694" t="s">
        <v>10627</v>
      </c>
      <c r="J13694" t="s">
        <v>40947</v>
      </c>
      <c r="K13694" t="s">
        <v>42369</v>
      </c>
      <c r="M13694" t="s">
        <v>43483</v>
      </c>
      <c r="N13694" t="s">
        <v>46569</v>
      </c>
      <c r="O13694" t="s">
        <v>46570</v>
      </c>
      <c r="P13694">
        <v>0</v>
      </c>
      <c r="Q13694">
        <v>35</v>
      </c>
      <c r="R13694" t="s">
        <v>46586</v>
      </c>
      <c r="S13694" t="s">
        <v>47252</v>
      </c>
      <c r="T13694" t="s">
        <v>48244</v>
      </c>
      <c r="U13694" t="s">
        <v>59763</v>
      </c>
      <c r="W13694" t="s">
        <v>43483</v>
      </c>
      <c r="X13694" t="s">
        <v>46587</v>
      </c>
    </row>
    <row r="13695" spans="1:24">
      <c r="A13695">
        <f>HYPERLINK("https://www.philgeps.gov.ph/GEPSNONPILOT/Tender/SplashBidNoticeAbstractUI.aspx?menuIndex=3&amp;refID=7037203&amp;Result=3","7037203")</f>
        <v>0</v>
      </c>
      <c r="B13695" t="s">
        <v>530</v>
      </c>
      <c r="C13695" t="s">
        <v>16539</v>
      </c>
      <c r="D13695" t="s">
        <v>18802</v>
      </c>
      <c r="E13695" t="s">
        <v>30663</v>
      </c>
      <c r="F13695" t="s">
        <v>32664</v>
      </c>
      <c r="G13695" t="s">
        <v>32672</v>
      </c>
      <c r="H13695" t="s">
        <v>32683</v>
      </c>
      <c r="I13695" t="s">
        <v>10627</v>
      </c>
      <c r="J13695" t="s">
        <v>40948</v>
      </c>
      <c r="K13695" t="s">
        <v>42281</v>
      </c>
      <c r="M13695" t="s">
        <v>43108</v>
      </c>
      <c r="N13695" t="s">
        <v>46569</v>
      </c>
      <c r="O13695" t="s">
        <v>46570</v>
      </c>
      <c r="P13695">
        <v>0</v>
      </c>
      <c r="Q13695">
        <v>0</v>
      </c>
      <c r="R13695" t="s">
        <v>46586</v>
      </c>
      <c r="S13695" t="s">
        <v>47252</v>
      </c>
      <c r="T13695" t="s">
        <v>48244</v>
      </c>
      <c r="U13695" t="s">
        <v>59764</v>
      </c>
      <c r="W13695" t="s">
        <v>43108</v>
      </c>
      <c r="X13695" t="s">
        <v>46587</v>
      </c>
    </row>
    <row r="13696" spans="1:24">
      <c r="A13696">
        <f>HYPERLINK("https://www.philgeps.gov.ph/GEPSNONPILOT/Tender/SplashBidNoticeAbstractUI.aspx?menuIndex=3&amp;refID=7037089&amp;Result=3","7037089")</f>
        <v>0</v>
      </c>
      <c r="B13696" t="s">
        <v>3321</v>
      </c>
      <c r="C13696" t="s">
        <v>16540</v>
      </c>
      <c r="D13696" t="s">
        <v>18787</v>
      </c>
      <c r="E13696" t="s">
        <v>30664</v>
      </c>
      <c r="F13696" t="s">
        <v>32664</v>
      </c>
      <c r="G13696" t="s">
        <v>32672</v>
      </c>
      <c r="H13696" t="s">
        <v>32683</v>
      </c>
      <c r="I13696" t="s">
        <v>10627</v>
      </c>
      <c r="J13696" t="s">
        <v>34481</v>
      </c>
      <c r="K13696" t="s">
        <v>42308</v>
      </c>
      <c r="M13696" t="s">
        <v>46272</v>
      </c>
      <c r="N13696" t="s">
        <v>46569</v>
      </c>
      <c r="O13696" t="s">
        <v>46570</v>
      </c>
      <c r="P13696">
        <v>0</v>
      </c>
      <c r="Q13696">
        <v>0</v>
      </c>
      <c r="R13696" t="s">
        <v>46586</v>
      </c>
      <c r="S13696" t="s">
        <v>47252</v>
      </c>
      <c r="T13696" t="s">
        <v>48411</v>
      </c>
      <c r="U13696" t="s">
        <v>59765</v>
      </c>
      <c r="W13696" t="s">
        <v>63592</v>
      </c>
      <c r="X13696" t="s">
        <v>46587</v>
      </c>
    </row>
    <row r="13697" spans="1:24">
      <c r="A13697">
        <f>HYPERLINK("https://www.philgeps.gov.ph/GEPSNONPILOT/Tender/SplashBidNoticeAbstractUI.aspx?menuIndex=3&amp;refID=7037175&amp;Result=3","7037175")</f>
        <v>0</v>
      </c>
      <c r="B13697" t="s">
        <v>346</v>
      </c>
      <c r="C13697" t="s">
        <v>16541</v>
      </c>
      <c r="D13697" t="s">
        <v>18817</v>
      </c>
      <c r="E13697" t="s">
        <v>30665</v>
      </c>
      <c r="F13697" t="s">
        <v>32664</v>
      </c>
      <c r="G13697" t="s">
        <v>32672</v>
      </c>
      <c r="H13697" t="s">
        <v>32683</v>
      </c>
      <c r="I13697" t="s">
        <v>10627</v>
      </c>
      <c r="J13697" t="s">
        <v>40949</v>
      </c>
      <c r="K13697" t="s">
        <v>42297</v>
      </c>
      <c r="M13697" t="s">
        <v>42915</v>
      </c>
      <c r="N13697" t="s">
        <v>46569</v>
      </c>
      <c r="O13697" t="s">
        <v>46570</v>
      </c>
      <c r="P13697">
        <v>0</v>
      </c>
      <c r="Q13697">
        <v>0</v>
      </c>
      <c r="R13697" t="s">
        <v>46586</v>
      </c>
      <c r="S13697" t="s">
        <v>47252</v>
      </c>
      <c r="T13697" t="s">
        <v>48368</v>
      </c>
      <c r="U13697" t="s">
        <v>59766</v>
      </c>
      <c r="W13697" t="s">
        <v>42915</v>
      </c>
      <c r="X13697" t="s">
        <v>46587</v>
      </c>
    </row>
    <row r="13698" spans="1:24">
      <c r="A13698">
        <f>HYPERLINK("https://www.philgeps.gov.ph/GEPSNONPILOT/Tender/SplashBidNoticeAbstractUI.aspx?menuIndex=3&amp;refID=7037379&amp;Result=3","7037379")</f>
        <v>0</v>
      </c>
      <c r="B13698" t="s">
        <v>3243</v>
      </c>
      <c r="C13698" t="s">
        <v>16542</v>
      </c>
      <c r="D13698" t="s">
        <v>18828</v>
      </c>
      <c r="E13698" t="s">
        <v>30666</v>
      </c>
      <c r="F13698" t="s">
        <v>32664</v>
      </c>
      <c r="G13698" t="s">
        <v>32672</v>
      </c>
      <c r="H13698" t="s">
        <v>32683</v>
      </c>
      <c r="I13698" t="s">
        <v>10627</v>
      </c>
      <c r="J13698" t="s">
        <v>40950</v>
      </c>
      <c r="K13698" t="s">
        <v>42436</v>
      </c>
      <c r="M13698" t="s">
        <v>46167</v>
      </c>
      <c r="N13698" t="s">
        <v>46569</v>
      </c>
      <c r="O13698" t="s">
        <v>46570</v>
      </c>
      <c r="P13698">
        <v>0</v>
      </c>
      <c r="Q13698">
        <v>0</v>
      </c>
      <c r="R13698" t="s">
        <v>46586</v>
      </c>
      <c r="S13698" t="s">
        <v>47252</v>
      </c>
      <c r="T13698" t="s">
        <v>48221</v>
      </c>
      <c r="U13698" t="s">
        <v>59767</v>
      </c>
      <c r="V13698" t="s">
        <v>63140</v>
      </c>
      <c r="W13698" t="s">
        <v>46167</v>
      </c>
      <c r="X13698" t="s">
        <v>46587</v>
      </c>
    </row>
    <row r="13699" spans="1:24">
      <c r="A13699">
        <f>HYPERLINK("https://www.philgeps.gov.ph/GEPSNONPILOT/Tender/SplashBidNoticeAbstractUI.aspx?menuIndex=3&amp;refID=7037189&amp;Result=3","7037189")</f>
        <v>0</v>
      </c>
      <c r="B13699" t="s">
        <v>500</v>
      </c>
      <c r="C13699" t="s">
        <v>16543</v>
      </c>
      <c r="D13699" t="s">
        <v>18805</v>
      </c>
      <c r="E13699" t="s">
        <v>30667</v>
      </c>
      <c r="F13699" t="s">
        <v>32664</v>
      </c>
      <c r="G13699" t="s">
        <v>32672</v>
      </c>
      <c r="H13699" t="s">
        <v>12635</v>
      </c>
      <c r="I13699" t="s">
        <v>32698</v>
      </c>
      <c r="J13699" t="s">
        <v>40951</v>
      </c>
      <c r="K13699" t="s">
        <v>42281</v>
      </c>
      <c r="M13699" t="s">
        <v>43831</v>
      </c>
      <c r="N13699" t="s">
        <v>46569</v>
      </c>
      <c r="O13699" t="s">
        <v>46570</v>
      </c>
      <c r="Q13699">
        <v>2</v>
      </c>
      <c r="R13699" t="s">
        <v>46586</v>
      </c>
      <c r="S13699" t="s">
        <v>47295</v>
      </c>
      <c r="T13699" t="s">
        <v>48293</v>
      </c>
      <c r="U13699" t="s">
        <v>59768</v>
      </c>
      <c r="W13699" t="s">
        <v>43831</v>
      </c>
      <c r="X13699" t="s">
        <v>46587</v>
      </c>
    </row>
    <row r="13700" spans="1:24">
      <c r="A13700">
        <f>HYPERLINK("https://www.philgeps.gov.ph/GEPSNONPILOT/Tender/SplashBidNoticeAbstractUI.aspx?menuIndex=3&amp;refID=7037399&amp;Result=3","7037399")</f>
        <v>0</v>
      </c>
      <c r="B13700" t="s">
        <v>3332</v>
      </c>
      <c r="C13700" t="s">
        <v>16544</v>
      </c>
      <c r="D13700" t="s">
        <v>18843</v>
      </c>
      <c r="E13700" t="s">
        <v>30668</v>
      </c>
      <c r="F13700" t="s">
        <v>32664</v>
      </c>
      <c r="G13700" t="s">
        <v>32672</v>
      </c>
      <c r="H13700" t="s">
        <v>32683</v>
      </c>
      <c r="I13700" t="s">
        <v>10627</v>
      </c>
      <c r="J13700" t="s">
        <v>33097</v>
      </c>
      <c r="K13700" t="s">
        <v>42305</v>
      </c>
      <c r="M13700" t="s">
        <v>46283</v>
      </c>
      <c r="N13700" t="s">
        <v>46569</v>
      </c>
      <c r="O13700" t="s">
        <v>46570</v>
      </c>
      <c r="P13700">
        <v>0</v>
      </c>
      <c r="Q13700">
        <v>0</v>
      </c>
      <c r="R13700" t="s">
        <v>46586</v>
      </c>
      <c r="S13700" t="s">
        <v>47252</v>
      </c>
      <c r="T13700" t="s">
        <v>48226</v>
      </c>
      <c r="U13700" t="s">
        <v>59769</v>
      </c>
      <c r="W13700" t="s">
        <v>46283</v>
      </c>
      <c r="X13700" t="s">
        <v>46587</v>
      </c>
    </row>
    <row r="13701" spans="1:24">
      <c r="A13701">
        <f>HYPERLINK("https://www.philgeps.gov.ph/GEPSNONPILOT/Tender/SplashBidNoticeAbstractUI.aspx?menuIndex=3&amp;refID=7037380&amp;Result=3","7037380")</f>
        <v>0</v>
      </c>
      <c r="B13701" t="s">
        <v>3332</v>
      </c>
      <c r="C13701" t="s">
        <v>16545</v>
      </c>
      <c r="D13701" t="s">
        <v>18843</v>
      </c>
      <c r="E13701" t="s">
        <v>30669</v>
      </c>
      <c r="F13701" t="s">
        <v>32664</v>
      </c>
      <c r="G13701" t="s">
        <v>32672</v>
      </c>
      <c r="H13701" t="s">
        <v>32683</v>
      </c>
      <c r="I13701" t="s">
        <v>10627</v>
      </c>
      <c r="J13701" t="s">
        <v>40952</v>
      </c>
      <c r="K13701" t="s">
        <v>42321</v>
      </c>
      <c r="M13701" t="s">
        <v>46283</v>
      </c>
      <c r="N13701" t="s">
        <v>46569</v>
      </c>
      <c r="O13701" t="s">
        <v>46570</v>
      </c>
      <c r="P13701">
        <v>0</v>
      </c>
      <c r="Q13701">
        <v>0</v>
      </c>
      <c r="R13701" t="s">
        <v>46586</v>
      </c>
      <c r="S13701" t="s">
        <v>47252</v>
      </c>
      <c r="T13701" t="s">
        <v>48226</v>
      </c>
      <c r="U13701" t="s">
        <v>59770</v>
      </c>
      <c r="W13701" t="s">
        <v>46283</v>
      </c>
      <c r="X13701" t="s">
        <v>46587</v>
      </c>
    </row>
    <row r="13702" spans="1:24">
      <c r="A13702">
        <f>HYPERLINK("https://www.philgeps.gov.ph/GEPSNONPILOT/Tender/SplashBidNoticeAbstractUI.aspx?menuIndex=3&amp;refID=7037367&amp;Result=3","7037367")</f>
        <v>0</v>
      </c>
      <c r="B13702" t="s">
        <v>1104</v>
      </c>
      <c r="C13702" t="s">
        <v>16546</v>
      </c>
      <c r="D13702" t="s">
        <v>18830</v>
      </c>
      <c r="E13702" t="s">
        <v>30670</v>
      </c>
      <c r="F13702" t="s">
        <v>32664</v>
      </c>
      <c r="G13702" t="s">
        <v>32672</v>
      </c>
      <c r="H13702" t="s">
        <v>32683</v>
      </c>
      <c r="I13702" t="s">
        <v>10627</v>
      </c>
      <c r="J13702" t="s">
        <v>40953</v>
      </c>
      <c r="K13702" t="s">
        <v>42283</v>
      </c>
      <c r="M13702" t="s">
        <v>43731</v>
      </c>
      <c r="N13702" t="s">
        <v>46569</v>
      </c>
      <c r="O13702" t="s">
        <v>46570</v>
      </c>
      <c r="P13702">
        <v>0</v>
      </c>
      <c r="Q13702">
        <v>1</v>
      </c>
      <c r="R13702" t="s">
        <v>46586</v>
      </c>
      <c r="S13702" t="s">
        <v>47252</v>
      </c>
      <c r="T13702" t="s">
        <v>48285</v>
      </c>
      <c r="U13702" t="s">
        <v>59771</v>
      </c>
      <c r="W13702" t="s">
        <v>43731</v>
      </c>
      <c r="X13702" t="s">
        <v>46587</v>
      </c>
    </row>
    <row r="13703" spans="1:24">
      <c r="A13703">
        <f>HYPERLINK("https://www.philgeps.gov.ph/GEPSNONPILOT/Tender/SplashBidNoticeAbstractUI.aspx?menuIndex=3&amp;refID=7037174&amp;Result=3","7037174")</f>
        <v>0</v>
      </c>
      <c r="B13703" t="s">
        <v>3029</v>
      </c>
      <c r="C13703" t="s">
        <v>16547</v>
      </c>
      <c r="D13703" t="s">
        <v>18786</v>
      </c>
      <c r="E13703" t="s">
        <v>30671</v>
      </c>
      <c r="F13703" t="s">
        <v>32664</v>
      </c>
      <c r="G13703" t="s">
        <v>32672</v>
      </c>
      <c r="H13703" t="s">
        <v>32683</v>
      </c>
      <c r="I13703" t="s">
        <v>10627</v>
      </c>
      <c r="J13703" t="s">
        <v>40954</v>
      </c>
      <c r="K13703" t="s">
        <v>42369</v>
      </c>
      <c r="M13703" t="s">
        <v>45902</v>
      </c>
      <c r="N13703" t="s">
        <v>46569</v>
      </c>
      <c r="O13703" t="s">
        <v>46570</v>
      </c>
      <c r="Q13703">
        <v>0</v>
      </c>
      <c r="R13703" t="s">
        <v>46586</v>
      </c>
      <c r="S13703" t="s">
        <v>47301</v>
      </c>
      <c r="T13703" t="s">
        <v>48228</v>
      </c>
      <c r="U13703" t="s">
        <v>59772</v>
      </c>
      <c r="W13703" t="s">
        <v>45902</v>
      </c>
      <c r="X13703" t="s">
        <v>46587</v>
      </c>
    </row>
    <row r="13704" spans="1:24">
      <c r="A13704">
        <f>HYPERLINK("https://www.philgeps.gov.ph/GEPSNONPILOT/Tender/SplashBidNoticeAbstractUI.aspx?menuIndex=3&amp;refID=7037351&amp;Result=3","7037351")</f>
        <v>0</v>
      </c>
      <c r="B13704" t="s">
        <v>3332</v>
      </c>
      <c r="C13704" t="s">
        <v>16548</v>
      </c>
      <c r="D13704" t="s">
        <v>18843</v>
      </c>
      <c r="E13704" t="s">
        <v>30672</v>
      </c>
      <c r="F13704" t="s">
        <v>32664</v>
      </c>
      <c r="G13704" t="s">
        <v>32672</v>
      </c>
      <c r="H13704" t="s">
        <v>32683</v>
      </c>
      <c r="I13704" t="s">
        <v>10627</v>
      </c>
      <c r="J13704" t="s">
        <v>33021</v>
      </c>
      <c r="K13704" t="s">
        <v>42305</v>
      </c>
      <c r="M13704" t="s">
        <v>46283</v>
      </c>
      <c r="N13704" t="s">
        <v>46569</v>
      </c>
      <c r="O13704" t="s">
        <v>46570</v>
      </c>
      <c r="P13704">
        <v>0</v>
      </c>
      <c r="Q13704">
        <v>0</v>
      </c>
      <c r="R13704" t="s">
        <v>46586</v>
      </c>
      <c r="S13704" t="s">
        <v>47252</v>
      </c>
      <c r="T13704" t="s">
        <v>48226</v>
      </c>
      <c r="U13704" t="s">
        <v>59773</v>
      </c>
      <c r="W13704" t="s">
        <v>46283</v>
      </c>
      <c r="X13704" t="s">
        <v>46587</v>
      </c>
    </row>
    <row r="13705" spans="1:24">
      <c r="A13705">
        <f>HYPERLINK("https://www.philgeps.gov.ph/GEPSNONPILOT/Tender/SplashBidNoticeAbstractUI.aspx?menuIndex=3&amp;refID=7037350&amp;Result=3","7037350")</f>
        <v>0</v>
      </c>
      <c r="B13705" t="s">
        <v>237</v>
      </c>
      <c r="C13705" t="s">
        <v>16549</v>
      </c>
      <c r="D13705" t="s">
        <v>18794</v>
      </c>
      <c r="E13705" t="s">
        <v>30673</v>
      </c>
      <c r="F13705" t="s">
        <v>32664</v>
      </c>
      <c r="G13705" t="s">
        <v>32672</v>
      </c>
      <c r="H13705" t="s">
        <v>12635</v>
      </c>
      <c r="I13705" t="s">
        <v>11464</v>
      </c>
      <c r="J13705" t="s">
        <v>40955</v>
      </c>
      <c r="K13705" t="s">
        <v>42284</v>
      </c>
      <c r="M13705" t="s">
        <v>42802</v>
      </c>
      <c r="N13705" t="s">
        <v>46569</v>
      </c>
      <c r="O13705" t="s">
        <v>46570</v>
      </c>
      <c r="P13705">
        <v>0</v>
      </c>
      <c r="Q13705">
        <v>2</v>
      </c>
      <c r="R13705" t="s">
        <v>46586</v>
      </c>
      <c r="S13705" t="s">
        <v>47252</v>
      </c>
      <c r="T13705" t="s">
        <v>48230</v>
      </c>
      <c r="U13705" t="s">
        <v>59774</v>
      </c>
      <c r="W13705" t="s">
        <v>42802</v>
      </c>
      <c r="X13705" t="s">
        <v>46587</v>
      </c>
    </row>
    <row r="13706" spans="1:24">
      <c r="A13706">
        <f>HYPERLINK("https://www.philgeps.gov.ph/GEPSNONPILOT/Tender/SplashBidNoticeAbstractUI.aspx?menuIndex=3&amp;refID=7037204&amp;Result=3","7037204")</f>
        <v>0</v>
      </c>
      <c r="B13706" t="s">
        <v>2720</v>
      </c>
      <c r="C13706" t="s">
        <v>16550</v>
      </c>
      <c r="D13706" t="s">
        <v>18785</v>
      </c>
      <c r="E13706" t="s">
        <v>30674</v>
      </c>
      <c r="F13706" t="s">
        <v>32664</v>
      </c>
      <c r="G13706" t="s">
        <v>32672</v>
      </c>
      <c r="H13706" t="s">
        <v>32683</v>
      </c>
      <c r="I13706" t="s">
        <v>10627</v>
      </c>
      <c r="J13706" t="s">
        <v>37781</v>
      </c>
      <c r="K13706" t="s">
        <v>42397</v>
      </c>
      <c r="M13706" t="s">
        <v>45547</v>
      </c>
      <c r="N13706" t="s">
        <v>46569</v>
      </c>
      <c r="O13706" t="s">
        <v>46570</v>
      </c>
      <c r="P13706">
        <v>0</v>
      </c>
      <c r="Q13706">
        <v>6</v>
      </c>
      <c r="R13706" t="s">
        <v>46586</v>
      </c>
      <c r="S13706" t="s">
        <v>47252</v>
      </c>
      <c r="T13706" t="s">
        <v>48221</v>
      </c>
      <c r="U13706" t="s">
        <v>59697</v>
      </c>
      <c r="W13706" t="s">
        <v>45547</v>
      </c>
      <c r="X13706" t="s">
        <v>46587</v>
      </c>
    </row>
    <row r="13707" spans="1:24">
      <c r="A13707">
        <f>HYPERLINK("https://www.philgeps.gov.ph/GEPSNONPILOT/Tender/SplashBidNoticeAbstractUI.aspx?menuIndex=3&amp;refID=7037194&amp;Result=3","7037194")</f>
        <v>0</v>
      </c>
      <c r="B13707" t="s">
        <v>2200</v>
      </c>
      <c r="C13707" t="s">
        <v>16551</v>
      </c>
      <c r="D13707" t="s">
        <v>18812</v>
      </c>
      <c r="E13707" t="s">
        <v>30675</v>
      </c>
      <c r="F13707" t="s">
        <v>32664</v>
      </c>
      <c r="G13707" t="s">
        <v>32672</v>
      </c>
      <c r="H13707" t="s">
        <v>32683</v>
      </c>
      <c r="I13707" t="s">
        <v>10627</v>
      </c>
      <c r="J13707" t="s">
        <v>40956</v>
      </c>
      <c r="K13707" t="s">
        <v>42305</v>
      </c>
      <c r="M13707" t="s">
        <v>44964</v>
      </c>
      <c r="N13707" t="s">
        <v>46569</v>
      </c>
      <c r="O13707" t="s">
        <v>46570</v>
      </c>
      <c r="P13707">
        <v>0</v>
      </c>
      <c r="Q13707">
        <v>1</v>
      </c>
      <c r="R13707" t="s">
        <v>46586</v>
      </c>
      <c r="S13707" t="s">
        <v>47252</v>
      </c>
      <c r="T13707" t="s">
        <v>48228</v>
      </c>
      <c r="U13707" t="s">
        <v>59775</v>
      </c>
      <c r="W13707" t="s">
        <v>44964</v>
      </c>
      <c r="X13707" t="s">
        <v>46587</v>
      </c>
    </row>
    <row r="13708" spans="1:24">
      <c r="A13708">
        <f>HYPERLINK("https://www.philgeps.gov.ph/GEPSNONPILOT/Tender/SplashBidNoticeAbstractUI.aspx?menuIndex=3&amp;refID=7037358&amp;Result=3","7037358")</f>
        <v>0</v>
      </c>
      <c r="B13708" t="s">
        <v>1004</v>
      </c>
      <c r="C13708" t="s">
        <v>16552</v>
      </c>
      <c r="D13708" t="s">
        <v>18832</v>
      </c>
      <c r="E13708" t="s">
        <v>21636</v>
      </c>
      <c r="F13708" t="s">
        <v>32664</v>
      </c>
      <c r="G13708" t="s">
        <v>32672</v>
      </c>
      <c r="H13708" t="s">
        <v>32683</v>
      </c>
      <c r="I13708" t="s">
        <v>10627</v>
      </c>
      <c r="J13708" t="s">
        <v>33267</v>
      </c>
      <c r="K13708" t="s">
        <v>42281</v>
      </c>
      <c r="M13708" t="s">
        <v>43616</v>
      </c>
      <c r="N13708" t="s">
        <v>46569</v>
      </c>
      <c r="O13708" t="s">
        <v>46570</v>
      </c>
      <c r="P13708">
        <v>0</v>
      </c>
      <c r="Q13708">
        <v>1</v>
      </c>
      <c r="R13708" t="s">
        <v>46586</v>
      </c>
      <c r="S13708" t="s">
        <v>47252</v>
      </c>
      <c r="T13708" t="s">
        <v>48228</v>
      </c>
      <c r="U13708" t="s">
        <v>59776</v>
      </c>
      <c r="W13708" t="s">
        <v>43616</v>
      </c>
      <c r="X13708" t="s">
        <v>46587</v>
      </c>
    </row>
    <row r="13709" spans="1:24">
      <c r="A13709">
        <f>HYPERLINK("https://www.philgeps.gov.ph/GEPSNONPILOT/Tender/SplashBidNoticeAbstractUI.aspx?menuIndex=3&amp;refID=7037324&amp;Result=3","7037324")</f>
        <v>0</v>
      </c>
      <c r="B13709" t="s">
        <v>3346</v>
      </c>
      <c r="C13709" t="s">
        <v>16553</v>
      </c>
      <c r="D13709" t="s">
        <v>18800</v>
      </c>
      <c r="E13709" t="s">
        <v>30676</v>
      </c>
      <c r="F13709" t="s">
        <v>32664</v>
      </c>
      <c r="G13709" t="s">
        <v>32672</v>
      </c>
      <c r="H13709" t="s">
        <v>32683</v>
      </c>
      <c r="I13709" t="s">
        <v>10627</v>
      </c>
      <c r="J13709" t="s">
        <v>40917</v>
      </c>
      <c r="K13709" t="s">
        <v>42311</v>
      </c>
      <c r="M13709" t="s">
        <v>46302</v>
      </c>
      <c r="N13709" t="s">
        <v>46569</v>
      </c>
      <c r="O13709" t="s">
        <v>46570</v>
      </c>
      <c r="P13709">
        <v>0</v>
      </c>
      <c r="Q13709">
        <v>1</v>
      </c>
      <c r="R13709" t="s">
        <v>46586</v>
      </c>
      <c r="S13709" t="s">
        <v>47252</v>
      </c>
      <c r="T13709" t="s">
        <v>48511</v>
      </c>
      <c r="U13709" t="s">
        <v>59777</v>
      </c>
      <c r="W13709" t="s">
        <v>46302</v>
      </c>
      <c r="X13709" t="s">
        <v>46587</v>
      </c>
    </row>
    <row r="13710" spans="1:24">
      <c r="A13710">
        <f>HYPERLINK("https://www.philgeps.gov.ph/GEPSNONPILOT/Tender/SplashBidNoticeAbstractUI.aspx?menuIndex=3&amp;refID=7037363&amp;Result=3","7037363")</f>
        <v>0</v>
      </c>
      <c r="B13710" t="s">
        <v>3243</v>
      </c>
      <c r="C13710" t="s">
        <v>16554</v>
      </c>
      <c r="D13710" t="s">
        <v>18828</v>
      </c>
      <c r="E13710" t="s">
        <v>30677</v>
      </c>
      <c r="F13710" t="s">
        <v>32664</v>
      </c>
      <c r="G13710" t="s">
        <v>32672</v>
      </c>
      <c r="H13710" t="s">
        <v>32683</v>
      </c>
      <c r="I13710" t="s">
        <v>10627</v>
      </c>
      <c r="J13710" t="s">
        <v>40957</v>
      </c>
      <c r="K13710" t="s">
        <v>42436</v>
      </c>
      <c r="M13710" t="s">
        <v>46167</v>
      </c>
      <c r="N13710" t="s">
        <v>46569</v>
      </c>
      <c r="O13710" t="s">
        <v>46570</v>
      </c>
      <c r="P13710">
        <v>0</v>
      </c>
      <c r="Q13710">
        <v>0</v>
      </c>
      <c r="R13710" t="s">
        <v>46586</v>
      </c>
      <c r="S13710" t="s">
        <v>47252</v>
      </c>
      <c r="T13710" t="s">
        <v>48221</v>
      </c>
      <c r="U13710" t="s">
        <v>59778</v>
      </c>
      <c r="V13710" t="s">
        <v>63141</v>
      </c>
      <c r="W13710" t="s">
        <v>46167</v>
      </c>
      <c r="X13710" t="s">
        <v>46587</v>
      </c>
    </row>
    <row r="13711" spans="1:24">
      <c r="A13711">
        <f>HYPERLINK("https://www.philgeps.gov.ph/GEPSNONPILOT/Tender/SplashBidNoticeAbstractUI.aspx?menuIndex=3&amp;refID=7037348&amp;Result=3","7037348")</f>
        <v>0</v>
      </c>
      <c r="B13711" t="s">
        <v>3347</v>
      </c>
      <c r="C13711" t="s">
        <v>16555</v>
      </c>
      <c r="D13711" t="s">
        <v>18791</v>
      </c>
      <c r="E13711" t="s">
        <v>16555</v>
      </c>
      <c r="F13711" t="s">
        <v>32664</v>
      </c>
      <c r="G13711" t="s">
        <v>32672</v>
      </c>
      <c r="H13711" t="s">
        <v>12635</v>
      </c>
      <c r="I13711" t="s">
        <v>7429</v>
      </c>
      <c r="J13711" t="s">
        <v>40958</v>
      </c>
      <c r="K13711" t="s">
        <v>42298</v>
      </c>
      <c r="M13711" t="s">
        <v>46303</v>
      </c>
      <c r="N13711" t="s">
        <v>46569</v>
      </c>
      <c r="O13711" t="s">
        <v>46570</v>
      </c>
      <c r="P13711">
        <v>0</v>
      </c>
      <c r="Q13711">
        <v>5</v>
      </c>
      <c r="R13711" t="s">
        <v>46586</v>
      </c>
      <c r="S13711" t="s">
        <v>47252</v>
      </c>
      <c r="T13711" t="s">
        <v>48246</v>
      </c>
      <c r="U13711" t="s">
        <v>59779</v>
      </c>
      <c r="V13711" t="s">
        <v>61795</v>
      </c>
      <c r="W13711" t="s">
        <v>46303</v>
      </c>
      <c r="X13711" t="s">
        <v>46587</v>
      </c>
    </row>
    <row r="13712" spans="1:24">
      <c r="A13712">
        <f>HYPERLINK("https://www.philgeps.gov.ph/GEPSNONPILOT/Tender/SplashBidNoticeAbstractUI.aspx?menuIndex=3&amp;refID=7037549&amp;Result=3","7037549")</f>
        <v>0</v>
      </c>
      <c r="B13712" t="s">
        <v>3348</v>
      </c>
      <c r="C13712" t="s">
        <v>16556</v>
      </c>
      <c r="D13712" t="s">
        <v>18836</v>
      </c>
      <c r="E13712" t="s">
        <v>21608</v>
      </c>
      <c r="F13712" t="s">
        <v>32664</v>
      </c>
      <c r="G13712" t="s">
        <v>32672</v>
      </c>
      <c r="H13712" t="s">
        <v>12635</v>
      </c>
      <c r="I13712" t="s">
        <v>11464</v>
      </c>
      <c r="J13712" t="s">
        <v>32962</v>
      </c>
      <c r="K13712" t="s">
        <v>42281</v>
      </c>
      <c r="M13712" t="s">
        <v>46304</v>
      </c>
      <c r="N13712" t="s">
        <v>46569</v>
      </c>
      <c r="O13712" t="s">
        <v>46570</v>
      </c>
      <c r="P13712">
        <v>0</v>
      </c>
      <c r="Q13712">
        <v>0</v>
      </c>
      <c r="R13712" t="s">
        <v>46586</v>
      </c>
      <c r="S13712" t="s">
        <v>47252</v>
      </c>
      <c r="T13712" t="s">
        <v>48228</v>
      </c>
      <c r="U13712" t="s">
        <v>59780</v>
      </c>
      <c r="W13712" t="s">
        <v>46304</v>
      </c>
      <c r="X13712" t="s">
        <v>46587</v>
      </c>
    </row>
    <row r="13713" spans="1:24">
      <c r="A13713">
        <f>HYPERLINK("https://www.philgeps.gov.ph/GEPSNONPILOT/Tender/SplashBidNoticeAbstractUI.aspx?menuIndex=3&amp;refID=7037530&amp;Result=3","7037530")</f>
        <v>0</v>
      </c>
      <c r="B13713" t="s">
        <v>3349</v>
      </c>
      <c r="C13713" t="s">
        <v>16557</v>
      </c>
      <c r="D13713" t="s">
        <v>18842</v>
      </c>
      <c r="E13713" t="s">
        <v>19451</v>
      </c>
      <c r="F13713" t="s">
        <v>32664</v>
      </c>
      <c r="G13713" t="s">
        <v>32672</v>
      </c>
      <c r="H13713" t="s">
        <v>32683</v>
      </c>
      <c r="I13713" t="s">
        <v>10627</v>
      </c>
      <c r="J13713" t="s">
        <v>40959</v>
      </c>
      <c r="K13713" t="s">
        <v>42311</v>
      </c>
      <c r="M13713" t="s">
        <v>46305</v>
      </c>
      <c r="N13713" t="s">
        <v>46569</v>
      </c>
      <c r="O13713" t="s">
        <v>46570</v>
      </c>
      <c r="P13713">
        <v>0</v>
      </c>
      <c r="Q13713">
        <v>0</v>
      </c>
      <c r="R13713" t="s">
        <v>46586</v>
      </c>
      <c r="S13713" t="s">
        <v>47252</v>
      </c>
      <c r="T13713" t="s">
        <v>48285</v>
      </c>
      <c r="U13713" t="s">
        <v>59781</v>
      </c>
      <c r="W13713" t="s">
        <v>46305</v>
      </c>
      <c r="X13713" t="s">
        <v>46587</v>
      </c>
    </row>
    <row r="13714" spans="1:24">
      <c r="A13714">
        <f>HYPERLINK("https://www.philgeps.gov.ph/GEPSNONPILOT/Tender/SplashBidNoticeAbstractUI.aspx?menuIndex=3&amp;refID=7037383&amp;Result=3","7037383")</f>
        <v>0</v>
      </c>
      <c r="B13714" t="s">
        <v>3350</v>
      </c>
      <c r="C13714" t="s">
        <v>16558</v>
      </c>
      <c r="D13714" t="s">
        <v>18809</v>
      </c>
      <c r="E13714" t="s">
        <v>30678</v>
      </c>
      <c r="F13714" t="s">
        <v>32664</v>
      </c>
      <c r="G13714" t="s">
        <v>32672</v>
      </c>
      <c r="H13714" t="s">
        <v>32683</v>
      </c>
      <c r="I13714" t="s">
        <v>10627</v>
      </c>
      <c r="J13714" t="s">
        <v>40960</v>
      </c>
      <c r="K13714" t="s">
        <v>42411</v>
      </c>
      <c r="M13714" t="s">
        <v>46306</v>
      </c>
      <c r="N13714" t="s">
        <v>46569</v>
      </c>
      <c r="O13714" t="s">
        <v>46570</v>
      </c>
      <c r="P13714">
        <v>0</v>
      </c>
      <c r="Q13714">
        <v>0</v>
      </c>
      <c r="R13714" t="s">
        <v>46586</v>
      </c>
      <c r="S13714" t="s">
        <v>47252</v>
      </c>
      <c r="T13714" t="s">
        <v>48731</v>
      </c>
      <c r="U13714" t="s">
        <v>59782</v>
      </c>
      <c r="W13714" t="s">
        <v>46306</v>
      </c>
      <c r="X13714" t="s">
        <v>46587</v>
      </c>
    </row>
    <row r="13715" spans="1:24">
      <c r="A13715">
        <f>HYPERLINK("https://www.philgeps.gov.ph/GEPSNONPILOT/Tender/SplashBidNoticeAbstractUI.aspx?menuIndex=3&amp;refID=7037514&amp;Result=3","7037514")</f>
        <v>0</v>
      </c>
      <c r="B13715" t="s">
        <v>2772</v>
      </c>
      <c r="C13715" t="s">
        <v>16559</v>
      </c>
      <c r="D13715" t="s">
        <v>18804</v>
      </c>
      <c r="E13715" t="s">
        <v>30679</v>
      </c>
      <c r="F13715" t="s">
        <v>32664</v>
      </c>
      <c r="G13715" t="s">
        <v>32672</v>
      </c>
      <c r="H13715" t="s">
        <v>32683</v>
      </c>
      <c r="I13715" t="s">
        <v>10627</v>
      </c>
      <c r="J13715" t="s">
        <v>40961</v>
      </c>
      <c r="K13715" t="s">
        <v>42285</v>
      </c>
      <c r="M13715" t="s">
        <v>45610</v>
      </c>
      <c r="N13715" t="s">
        <v>46569</v>
      </c>
      <c r="O13715" t="s">
        <v>46570</v>
      </c>
      <c r="P13715">
        <v>0</v>
      </c>
      <c r="Q13715">
        <v>5</v>
      </c>
      <c r="R13715" t="s">
        <v>46586</v>
      </c>
      <c r="S13715" t="s">
        <v>47252</v>
      </c>
      <c r="T13715" t="s">
        <v>48244</v>
      </c>
      <c r="U13715" t="s">
        <v>59783</v>
      </c>
      <c r="W13715" t="s">
        <v>45610</v>
      </c>
      <c r="X13715" t="s">
        <v>46587</v>
      </c>
    </row>
    <row r="13716" spans="1:24">
      <c r="A13716">
        <f>HYPERLINK("https://www.philgeps.gov.ph/GEPSNONPILOT/Tender/SplashBidNoticeAbstractUI.aspx?menuIndex=3&amp;refID=7037336&amp;Result=3","7037336")</f>
        <v>0</v>
      </c>
      <c r="B13716" t="s">
        <v>3347</v>
      </c>
      <c r="C13716" t="s">
        <v>16560</v>
      </c>
      <c r="D13716" t="s">
        <v>18791</v>
      </c>
      <c r="E13716" t="s">
        <v>16560</v>
      </c>
      <c r="F13716" t="s">
        <v>32664</v>
      </c>
      <c r="G13716" t="s">
        <v>32672</v>
      </c>
      <c r="H13716" t="s">
        <v>12635</v>
      </c>
      <c r="I13716" t="s">
        <v>7429</v>
      </c>
      <c r="J13716" t="s">
        <v>34101</v>
      </c>
      <c r="K13716" t="s">
        <v>42298</v>
      </c>
      <c r="M13716" t="s">
        <v>46303</v>
      </c>
      <c r="N13716" t="s">
        <v>46569</v>
      </c>
      <c r="O13716" t="s">
        <v>46570</v>
      </c>
      <c r="P13716">
        <v>0</v>
      </c>
      <c r="Q13716">
        <v>4</v>
      </c>
      <c r="R13716" t="s">
        <v>46586</v>
      </c>
      <c r="S13716" t="s">
        <v>47252</v>
      </c>
      <c r="T13716" t="s">
        <v>48246</v>
      </c>
      <c r="U13716" t="s">
        <v>59779</v>
      </c>
      <c r="V13716" t="s">
        <v>61795</v>
      </c>
      <c r="W13716" t="s">
        <v>46303</v>
      </c>
      <c r="X13716" t="s">
        <v>46587</v>
      </c>
    </row>
    <row r="13717" spans="1:24">
      <c r="A13717">
        <f>HYPERLINK("https://www.philgeps.gov.ph/GEPSNONPILOT/Tender/SplashBidNoticeAbstractUI.aspx?menuIndex=3&amp;refID=7037512&amp;Result=3","7037512")</f>
        <v>0</v>
      </c>
      <c r="B13717" t="s">
        <v>3332</v>
      </c>
      <c r="C13717" t="s">
        <v>16561</v>
      </c>
      <c r="D13717" t="s">
        <v>18843</v>
      </c>
      <c r="E13717" t="s">
        <v>30680</v>
      </c>
      <c r="F13717" t="s">
        <v>32664</v>
      </c>
      <c r="G13717" t="s">
        <v>32672</v>
      </c>
      <c r="H13717" t="s">
        <v>32683</v>
      </c>
      <c r="I13717" t="s">
        <v>10627</v>
      </c>
      <c r="J13717" t="s">
        <v>40962</v>
      </c>
      <c r="K13717" t="s">
        <v>42311</v>
      </c>
      <c r="M13717" t="s">
        <v>46283</v>
      </c>
      <c r="N13717" t="s">
        <v>46569</v>
      </c>
      <c r="O13717" t="s">
        <v>46570</v>
      </c>
      <c r="P13717">
        <v>0</v>
      </c>
      <c r="Q13717">
        <v>0</v>
      </c>
      <c r="R13717" t="s">
        <v>46586</v>
      </c>
      <c r="S13717" t="s">
        <v>47252</v>
      </c>
      <c r="T13717" t="s">
        <v>48226</v>
      </c>
      <c r="U13717" t="s">
        <v>59784</v>
      </c>
      <c r="W13717" t="s">
        <v>46283</v>
      </c>
      <c r="X13717" t="s">
        <v>46587</v>
      </c>
    </row>
    <row r="13718" spans="1:24">
      <c r="A13718">
        <f>HYPERLINK("https://www.philgeps.gov.ph/GEPSNONPILOT/Tender/SplashBidNoticeAbstractUI.aspx?menuIndex=3&amp;refID=7037537&amp;Result=3","7037537")</f>
        <v>0</v>
      </c>
      <c r="B13718" t="s">
        <v>543</v>
      </c>
      <c r="C13718" t="s">
        <v>16562</v>
      </c>
      <c r="D13718" t="s">
        <v>18790</v>
      </c>
      <c r="E13718" t="s">
        <v>30681</v>
      </c>
      <c r="F13718" t="s">
        <v>32664</v>
      </c>
      <c r="G13718" t="s">
        <v>32672</v>
      </c>
      <c r="H13718" t="s">
        <v>12635</v>
      </c>
      <c r="I13718" t="s">
        <v>9946</v>
      </c>
      <c r="J13718" t="s">
        <v>40963</v>
      </c>
      <c r="K13718" t="s">
        <v>42283</v>
      </c>
      <c r="M13718" t="s">
        <v>43747</v>
      </c>
      <c r="N13718" t="s">
        <v>46569</v>
      </c>
      <c r="O13718" t="s">
        <v>46570</v>
      </c>
      <c r="Q13718">
        <v>2</v>
      </c>
      <c r="R13718" t="s">
        <v>46586</v>
      </c>
      <c r="S13718" t="s">
        <v>47302</v>
      </c>
      <c r="T13718" t="s">
        <v>48221</v>
      </c>
      <c r="U13718" t="s">
        <v>59785</v>
      </c>
      <c r="W13718" t="s">
        <v>43747</v>
      </c>
      <c r="X13718" t="s">
        <v>46587</v>
      </c>
    </row>
    <row r="13719" spans="1:24">
      <c r="A13719">
        <f>HYPERLINK("https://www.philgeps.gov.ph/GEPSNONPILOT/Tender/SplashBidNoticeAbstractUI.aspx?menuIndex=3&amp;refID=7037478&amp;Result=3","7037478")</f>
        <v>0</v>
      </c>
      <c r="B13719" t="s">
        <v>2772</v>
      </c>
      <c r="C13719" t="s">
        <v>16563</v>
      </c>
      <c r="D13719" t="s">
        <v>18804</v>
      </c>
      <c r="E13719" t="s">
        <v>30682</v>
      </c>
      <c r="F13719" t="s">
        <v>32664</v>
      </c>
      <c r="G13719" t="s">
        <v>32672</v>
      </c>
      <c r="H13719" t="s">
        <v>32683</v>
      </c>
      <c r="I13719" t="s">
        <v>10627</v>
      </c>
      <c r="J13719" t="s">
        <v>40964</v>
      </c>
      <c r="K13719" t="s">
        <v>42349</v>
      </c>
      <c r="M13719" t="s">
        <v>45610</v>
      </c>
      <c r="N13719" t="s">
        <v>46569</v>
      </c>
      <c r="O13719" t="s">
        <v>46570</v>
      </c>
      <c r="P13719">
        <v>0</v>
      </c>
      <c r="Q13719">
        <v>2</v>
      </c>
      <c r="R13719" t="s">
        <v>46586</v>
      </c>
      <c r="S13719" t="s">
        <v>47252</v>
      </c>
      <c r="T13719" t="s">
        <v>48244</v>
      </c>
      <c r="U13719" t="s">
        <v>59786</v>
      </c>
      <c r="W13719" t="s">
        <v>45610</v>
      </c>
      <c r="X13719" t="s">
        <v>46587</v>
      </c>
    </row>
    <row r="13720" spans="1:24">
      <c r="A13720">
        <f>HYPERLINK("https://www.philgeps.gov.ph/GEPSNONPILOT/Tender/SplashBidNoticeAbstractUI.aspx?menuIndex=3&amp;refID=7037239&amp;Result=3","7037239")</f>
        <v>0</v>
      </c>
      <c r="B13720" t="s">
        <v>530</v>
      </c>
      <c r="C13720" t="s">
        <v>16539</v>
      </c>
      <c r="D13720" t="s">
        <v>18802</v>
      </c>
      <c r="E13720" t="s">
        <v>30683</v>
      </c>
      <c r="F13720" t="s">
        <v>32664</v>
      </c>
      <c r="G13720" t="s">
        <v>32672</v>
      </c>
      <c r="H13720" t="s">
        <v>32683</v>
      </c>
      <c r="I13720" t="s">
        <v>10627</v>
      </c>
      <c r="J13720" t="s">
        <v>40965</v>
      </c>
      <c r="K13720" t="s">
        <v>42281</v>
      </c>
      <c r="M13720" t="s">
        <v>43108</v>
      </c>
      <c r="N13720" t="s">
        <v>46569</v>
      </c>
      <c r="O13720" t="s">
        <v>46570</v>
      </c>
      <c r="P13720">
        <v>0</v>
      </c>
      <c r="Q13720">
        <v>0</v>
      </c>
      <c r="R13720" t="s">
        <v>46586</v>
      </c>
      <c r="S13720" t="s">
        <v>47252</v>
      </c>
      <c r="T13720" t="s">
        <v>48244</v>
      </c>
      <c r="U13720" t="s">
        <v>59764</v>
      </c>
      <c r="W13720" t="s">
        <v>43108</v>
      </c>
      <c r="X13720" t="s">
        <v>46587</v>
      </c>
    </row>
    <row r="13721" spans="1:24">
      <c r="A13721">
        <f>HYPERLINK("https://www.philgeps.gov.ph/GEPSNONPILOT/Tender/SplashBidNoticeAbstractUI.aspx?menuIndex=3&amp;refID=7037518&amp;Result=3","7037518")</f>
        <v>0</v>
      </c>
      <c r="B13721" t="s">
        <v>1210</v>
      </c>
      <c r="C13721" t="s">
        <v>16564</v>
      </c>
      <c r="D13721" t="s">
        <v>18788</v>
      </c>
      <c r="E13721" t="s">
        <v>30684</v>
      </c>
      <c r="F13721" t="s">
        <v>32664</v>
      </c>
      <c r="G13721" t="s">
        <v>32672</v>
      </c>
      <c r="H13721" t="s">
        <v>12635</v>
      </c>
      <c r="I13721" t="s">
        <v>11464</v>
      </c>
      <c r="J13721" t="s">
        <v>32837</v>
      </c>
      <c r="K13721" t="s">
        <v>42283</v>
      </c>
      <c r="M13721" t="s">
        <v>43848</v>
      </c>
      <c r="N13721" t="s">
        <v>46569</v>
      </c>
      <c r="O13721" t="s">
        <v>46570</v>
      </c>
      <c r="P13721">
        <v>0</v>
      </c>
      <c r="Q13721">
        <v>3</v>
      </c>
      <c r="R13721" t="s">
        <v>46586</v>
      </c>
      <c r="S13721" t="s">
        <v>47252</v>
      </c>
      <c r="T13721" t="s">
        <v>48410</v>
      </c>
      <c r="U13721" t="s">
        <v>51362</v>
      </c>
      <c r="W13721" t="s">
        <v>43848</v>
      </c>
      <c r="X13721" t="s">
        <v>46587</v>
      </c>
    </row>
    <row r="13722" spans="1:24">
      <c r="A13722">
        <f>HYPERLINK("https://www.philgeps.gov.ph/GEPSNONPILOT/Tender/SplashBidNoticeAbstractUI.aspx?menuIndex=3&amp;refID=7037472&amp;Result=3","7037472")</f>
        <v>0</v>
      </c>
      <c r="B13722" t="s">
        <v>882</v>
      </c>
      <c r="C13722" t="s">
        <v>16565</v>
      </c>
      <c r="D13722" t="s">
        <v>18804</v>
      </c>
      <c r="E13722" t="s">
        <v>30685</v>
      </c>
      <c r="F13722" t="s">
        <v>32664</v>
      </c>
      <c r="G13722" t="s">
        <v>32672</v>
      </c>
      <c r="H13722" t="s">
        <v>32683</v>
      </c>
      <c r="I13722" t="s">
        <v>10627</v>
      </c>
      <c r="J13722" t="s">
        <v>40966</v>
      </c>
      <c r="K13722" t="s">
        <v>42290</v>
      </c>
      <c r="M13722" t="s">
        <v>43483</v>
      </c>
      <c r="N13722" t="s">
        <v>46569</v>
      </c>
      <c r="O13722" t="s">
        <v>46570</v>
      </c>
      <c r="P13722">
        <v>0</v>
      </c>
      <c r="Q13722">
        <v>35</v>
      </c>
      <c r="R13722" t="s">
        <v>46586</v>
      </c>
      <c r="S13722" t="s">
        <v>47252</v>
      </c>
      <c r="T13722" t="s">
        <v>48244</v>
      </c>
      <c r="U13722" t="s">
        <v>59787</v>
      </c>
      <c r="W13722" t="s">
        <v>43483</v>
      </c>
      <c r="X13722" t="s">
        <v>46587</v>
      </c>
    </row>
    <row r="13723" spans="1:24">
      <c r="A13723">
        <f>HYPERLINK("https://www.philgeps.gov.ph/GEPSNONPILOT/Tender/SplashBidNoticeAbstractUI.aspx?menuIndex=3&amp;refID=7037465&amp;Result=3","7037465")</f>
        <v>0</v>
      </c>
      <c r="B13723" t="s">
        <v>870</v>
      </c>
      <c r="C13723" t="s">
        <v>16566</v>
      </c>
      <c r="D13723" t="s">
        <v>18844</v>
      </c>
      <c r="E13723" t="s">
        <v>30686</v>
      </c>
      <c r="F13723" t="s">
        <v>32664</v>
      </c>
      <c r="G13723" t="s">
        <v>32672</v>
      </c>
      <c r="H13723" t="s">
        <v>12635</v>
      </c>
      <c r="I13723" t="s">
        <v>11464</v>
      </c>
      <c r="J13723" t="s">
        <v>33302</v>
      </c>
      <c r="K13723" t="s">
        <v>42281</v>
      </c>
      <c r="M13723" t="s">
        <v>43470</v>
      </c>
      <c r="N13723" t="s">
        <v>46569</v>
      </c>
      <c r="O13723" t="s">
        <v>46570</v>
      </c>
      <c r="P13723">
        <v>0</v>
      </c>
      <c r="Q13723">
        <v>5</v>
      </c>
      <c r="R13723" t="s">
        <v>46586</v>
      </c>
      <c r="S13723" t="s">
        <v>47252</v>
      </c>
      <c r="T13723" t="s">
        <v>48228</v>
      </c>
      <c r="U13723" t="s">
        <v>59788</v>
      </c>
      <c r="V13723" t="s">
        <v>63142</v>
      </c>
      <c r="W13723" t="s">
        <v>43470</v>
      </c>
      <c r="X13723" t="s">
        <v>46587</v>
      </c>
    </row>
    <row r="13724" spans="1:24">
      <c r="A13724">
        <f>HYPERLINK("https://www.philgeps.gov.ph/GEPSNONPILOT/Tender/SplashBidNoticeAbstractUI.aspx?menuIndex=3&amp;refID=7037396&amp;Result=3","7037396")</f>
        <v>0</v>
      </c>
      <c r="B13724" t="s">
        <v>1004</v>
      </c>
      <c r="C13724" t="s">
        <v>16567</v>
      </c>
      <c r="D13724" t="s">
        <v>18832</v>
      </c>
      <c r="E13724" t="s">
        <v>21636</v>
      </c>
      <c r="F13724" t="s">
        <v>32664</v>
      </c>
      <c r="G13724" t="s">
        <v>32672</v>
      </c>
      <c r="H13724" t="s">
        <v>32683</v>
      </c>
      <c r="I13724" t="s">
        <v>10627</v>
      </c>
      <c r="J13724" t="s">
        <v>33888</v>
      </c>
      <c r="K13724" t="s">
        <v>42303</v>
      </c>
      <c r="M13724" t="s">
        <v>43616</v>
      </c>
      <c r="N13724" t="s">
        <v>46569</v>
      </c>
      <c r="O13724" t="s">
        <v>46570</v>
      </c>
      <c r="P13724">
        <v>0</v>
      </c>
      <c r="Q13724">
        <v>0</v>
      </c>
      <c r="R13724" t="s">
        <v>46586</v>
      </c>
      <c r="S13724" t="s">
        <v>47252</v>
      </c>
      <c r="T13724" t="s">
        <v>48228</v>
      </c>
      <c r="U13724" t="s">
        <v>59789</v>
      </c>
      <c r="W13724" t="s">
        <v>43616</v>
      </c>
      <c r="X13724" t="s">
        <v>46587</v>
      </c>
    </row>
    <row r="13725" spans="1:24">
      <c r="A13725">
        <f>HYPERLINK("https://www.philgeps.gov.ph/GEPSNONPILOT/Tender/SplashBidNoticeAbstractUI.aspx?menuIndex=3&amp;refID=7037674&amp;Result=3","7037674")</f>
        <v>0</v>
      </c>
      <c r="B13725" t="s">
        <v>1734</v>
      </c>
      <c r="C13725" t="s">
        <v>16568</v>
      </c>
      <c r="D13725" t="s">
        <v>18789</v>
      </c>
      <c r="E13725" t="s">
        <v>30687</v>
      </c>
      <c r="F13725" t="s">
        <v>32664</v>
      </c>
      <c r="G13725" t="s">
        <v>32672</v>
      </c>
      <c r="H13725" t="s">
        <v>12635</v>
      </c>
      <c r="I13725" t="s">
        <v>7759</v>
      </c>
      <c r="J13725" t="s">
        <v>40967</v>
      </c>
      <c r="K13725" t="s">
        <v>42283</v>
      </c>
      <c r="M13725" t="s">
        <v>46229</v>
      </c>
      <c r="N13725" t="s">
        <v>46569</v>
      </c>
      <c r="O13725" t="s">
        <v>46570</v>
      </c>
      <c r="P13725">
        <v>0</v>
      </c>
      <c r="Q13725">
        <v>1</v>
      </c>
      <c r="R13725" t="s">
        <v>46586</v>
      </c>
      <c r="S13725" t="s">
        <v>47252</v>
      </c>
      <c r="T13725" t="s">
        <v>48282</v>
      </c>
      <c r="U13725" t="s">
        <v>59790</v>
      </c>
      <c r="W13725" t="s">
        <v>46229</v>
      </c>
      <c r="X13725" t="s">
        <v>46587</v>
      </c>
    </row>
    <row r="13726" spans="1:24">
      <c r="A13726">
        <f>HYPERLINK("https://www.philgeps.gov.ph/GEPSNONPILOT/Tender/SplashBidNoticeAbstractUI.aspx?menuIndex=3&amp;refID=7037667&amp;Result=3","7037667")</f>
        <v>0</v>
      </c>
      <c r="B13726" t="s">
        <v>3351</v>
      </c>
      <c r="C13726" t="s">
        <v>16569</v>
      </c>
      <c r="D13726" t="s">
        <v>18827</v>
      </c>
      <c r="E13726" t="s">
        <v>25253</v>
      </c>
      <c r="F13726" t="s">
        <v>32664</v>
      </c>
      <c r="G13726" t="s">
        <v>32672</v>
      </c>
      <c r="H13726" t="s">
        <v>32683</v>
      </c>
      <c r="I13726" t="s">
        <v>10627</v>
      </c>
      <c r="J13726" t="s">
        <v>40968</v>
      </c>
      <c r="K13726" t="s">
        <v>42298</v>
      </c>
      <c r="M13726" t="s">
        <v>46307</v>
      </c>
      <c r="N13726" t="s">
        <v>46569</v>
      </c>
      <c r="O13726" t="s">
        <v>46570</v>
      </c>
      <c r="Q13726">
        <v>2</v>
      </c>
      <c r="R13726" t="s">
        <v>46586</v>
      </c>
      <c r="S13726" t="s">
        <v>47303</v>
      </c>
      <c r="T13726" t="s">
        <v>48244</v>
      </c>
      <c r="U13726" t="s">
        <v>59791</v>
      </c>
      <c r="W13726" t="s">
        <v>46307</v>
      </c>
      <c r="X13726" t="s">
        <v>46587</v>
      </c>
    </row>
    <row r="13727" spans="1:24">
      <c r="A13727">
        <f>HYPERLINK("https://www.philgeps.gov.ph/GEPSNONPILOT/Tender/SplashBidNoticeAbstractUI.aspx?menuIndex=3&amp;refID=7037482&amp;Result=3","7037482")</f>
        <v>0</v>
      </c>
      <c r="B13727" t="s">
        <v>1978</v>
      </c>
      <c r="C13727" t="s">
        <v>16570</v>
      </c>
      <c r="D13727" t="s">
        <v>18807</v>
      </c>
      <c r="E13727" t="s">
        <v>18926</v>
      </c>
      <c r="F13727" t="s">
        <v>32664</v>
      </c>
      <c r="G13727" t="s">
        <v>32672</v>
      </c>
      <c r="H13727" t="s">
        <v>32683</v>
      </c>
      <c r="I13727" t="s">
        <v>10627</v>
      </c>
      <c r="J13727" t="s">
        <v>34958</v>
      </c>
      <c r="K13727" t="s">
        <v>42297</v>
      </c>
      <c r="M13727" t="s">
        <v>44712</v>
      </c>
      <c r="N13727" t="s">
        <v>46569</v>
      </c>
      <c r="O13727" t="s">
        <v>46570</v>
      </c>
      <c r="P13727">
        <v>0</v>
      </c>
      <c r="Q13727">
        <v>1</v>
      </c>
      <c r="R13727" t="s">
        <v>46586</v>
      </c>
      <c r="S13727" t="s">
        <v>47252</v>
      </c>
      <c r="T13727" t="s">
        <v>48246</v>
      </c>
      <c r="U13727" t="s">
        <v>59792</v>
      </c>
      <c r="W13727" t="s">
        <v>44712</v>
      </c>
      <c r="X13727" t="s">
        <v>46587</v>
      </c>
    </row>
    <row r="13728" spans="1:24">
      <c r="A13728">
        <f>HYPERLINK("https://www.philgeps.gov.ph/GEPSNONPILOT/Tender/SplashBidNoticeAbstractUI.aspx?menuIndex=3&amp;refID=7037663&amp;Result=3","7037663")</f>
        <v>0</v>
      </c>
      <c r="B13728" t="s">
        <v>543</v>
      </c>
      <c r="C13728" t="s">
        <v>16571</v>
      </c>
      <c r="D13728" t="s">
        <v>18790</v>
      </c>
      <c r="E13728" t="s">
        <v>30688</v>
      </c>
      <c r="F13728" t="s">
        <v>32664</v>
      </c>
      <c r="G13728" t="s">
        <v>32672</v>
      </c>
      <c r="H13728" t="s">
        <v>32683</v>
      </c>
      <c r="I13728" t="s">
        <v>10627</v>
      </c>
      <c r="J13728" t="s">
        <v>32930</v>
      </c>
      <c r="K13728" t="s">
        <v>42283</v>
      </c>
      <c r="M13728" t="s">
        <v>43747</v>
      </c>
      <c r="N13728" t="s">
        <v>46569</v>
      </c>
      <c r="O13728" t="s">
        <v>46570</v>
      </c>
      <c r="Q13728">
        <v>2</v>
      </c>
      <c r="R13728" t="s">
        <v>46586</v>
      </c>
      <c r="S13728" t="s">
        <v>47304</v>
      </c>
      <c r="T13728" t="s">
        <v>48298</v>
      </c>
      <c r="U13728" t="s">
        <v>59793</v>
      </c>
      <c r="W13728" t="s">
        <v>43747</v>
      </c>
      <c r="X13728" t="s">
        <v>46587</v>
      </c>
    </row>
    <row r="13729" spans="1:24">
      <c r="A13729">
        <f>HYPERLINK("https://www.philgeps.gov.ph/GEPSNONPILOT/Tender/SplashBidNoticeAbstractUI.aspx?menuIndex=3&amp;refID=7037670&amp;Result=3","7037670")</f>
        <v>0</v>
      </c>
      <c r="B13729" t="s">
        <v>1210</v>
      </c>
      <c r="C13729" t="s">
        <v>16572</v>
      </c>
      <c r="D13729" t="s">
        <v>18788</v>
      </c>
      <c r="E13729" t="s">
        <v>30689</v>
      </c>
      <c r="F13729" t="s">
        <v>32664</v>
      </c>
      <c r="G13729" t="s">
        <v>32672</v>
      </c>
      <c r="H13729" t="s">
        <v>12635</v>
      </c>
      <c r="I13729" t="s">
        <v>6223</v>
      </c>
      <c r="J13729" t="s">
        <v>40969</v>
      </c>
      <c r="K13729" t="s">
        <v>42283</v>
      </c>
      <c r="M13729" t="s">
        <v>43848</v>
      </c>
      <c r="N13729" t="s">
        <v>46569</v>
      </c>
      <c r="O13729" t="s">
        <v>46570</v>
      </c>
      <c r="P13729">
        <v>0</v>
      </c>
      <c r="Q13729">
        <v>5</v>
      </c>
      <c r="R13729" t="s">
        <v>46586</v>
      </c>
      <c r="S13729" t="s">
        <v>47252</v>
      </c>
      <c r="T13729" t="s">
        <v>48228</v>
      </c>
      <c r="U13729" t="s">
        <v>51362</v>
      </c>
      <c r="W13729" t="s">
        <v>43848</v>
      </c>
      <c r="X13729" t="s">
        <v>46587</v>
      </c>
    </row>
    <row r="13730" spans="1:24">
      <c r="A13730">
        <f>HYPERLINK("https://www.philgeps.gov.ph/GEPSNONPILOT/Tender/SplashBidNoticeAbstractUI.aspx?menuIndex=3&amp;refID=7037660&amp;Result=3","7037660")</f>
        <v>0</v>
      </c>
      <c r="B13730" t="s">
        <v>1807</v>
      </c>
      <c r="C13730" t="s">
        <v>16573</v>
      </c>
      <c r="E13730" t="s">
        <v>26315</v>
      </c>
      <c r="F13730" t="s">
        <v>32664</v>
      </c>
      <c r="G13730" t="s">
        <v>32672</v>
      </c>
      <c r="H13730" t="s">
        <v>32683</v>
      </c>
      <c r="I13730" t="s">
        <v>4439</v>
      </c>
      <c r="J13730" t="s">
        <v>40970</v>
      </c>
      <c r="K13730" t="s">
        <v>42283</v>
      </c>
      <c r="M13730" t="s">
        <v>44512</v>
      </c>
      <c r="N13730" t="s">
        <v>46569</v>
      </c>
      <c r="O13730" t="s">
        <v>46570</v>
      </c>
      <c r="P13730">
        <v>0</v>
      </c>
      <c r="Q13730">
        <v>0</v>
      </c>
      <c r="R13730" t="s">
        <v>46586</v>
      </c>
      <c r="S13730" t="s">
        <v>47252</v>
      </c>
      <c r="T13730" t="s">
        <v>48225</v>
      </c>
      <c r="U13730" t="s">
        <v>59794</v>
      </c>
      <c r="W13730" t="s">
        <v>44512</v>
      </c>
      <c r="X13730" t="s">
        <v>46587</v>
      </c>
    </row>
    <row r="13731" spans="1:24">
      <c r="A13731">
        <f>HYPERLINK("https://www.philgeps.gov.ph/GEPSNONPILOT/Tender/SplashBidNoticeAbstractUI.aspx?menuIndex=3&amp;refID=7037653&amp;Result=3","7037653")</f>
        <v>0</v>
      </c>
      <c r="B13731" t="s">
        <v>2106</v>
      </c>
      <c r="C13731" t="s">
        <v>16574</v>
      </c>
      <c r="D13731" t="s">
        <v>18839</v>
      </c>
      <c r="E13731" t="s">
        <v>30690</v>
      </c>
      <c r="F13731" t="s">
        <v>32664</v>
      </c>
      <c r="G13731" t="s">
        <v>32672</v>
      </c>
      <c r="H13731" t="s">
        <v>32683</v>
      </c>
      <c r="I13731" t="s">
        <v>10627</v>
      </c>
      <c r="J13731" t="s">
        <v>32865</v>
      </c>
      <c r="K13731" t="s">
        <v>42420</v>
      </c>
      <c r="M13731" t="s">
        <v>44861</v>
      </c>
      <c r="N13731" t="s">
        <v>46569</v>
      </c>
      <c r="O13731" t="s">
        <v>46570</v>
      </c>
      <c r="P13731">
        <v>0</v>
      </c>
      <c r="Q13731">
        <v>0</v>
      </c>
      <c r="R13731" t="s">
        <v>46586</v>
      </c>
      <c r="S13731" t="s">
        <v>47252</v>
      </c>
      <c r="T13731" t="s">
        <v>48282</v>
      </c>
      <c r="U13731" t="s">
        <v>59795</v>
      </c>
      <c r="W13731" t="s">
        <v>46359</v>
      </c>
      <c r="X13731" t="s">
        <v>46587</v>
      </c>
    </row>
    <row r="13732" spans="1:24">
      <c r="A13732">
        <f>HYPERLINK("https://www.philgeps.gov.ph/GEPSNONPILOT/Tender/SplashBidNoticeAbstractUI.aspx?menuIndex=3&amp;refID=7037536&amp;Result=3","7037536")</f>
        <v>0</v>
      </c>
      <c r="B13732" t="s">
        <v>3352</v>
      </c>
      <c r="C13732" t="s">
        <v>16575</v>
      </c>
      <c r="D13732" t="s">
        <v>18791</v>
      </c>
      <c r="E13732" t="s">
        <v>30691</v>
      </c>
      <c r="F13732" t="s">
        <v>32664</v>
      </c>
      <c r="G13732" t="s">
        <v>32672</v>
      </c>
      <c r="H13732" t="s">
        <v>12635</v>
      </c>
      <c r="I13732" t="s">
        <v>9486</v>
      </c>
      <c r="J13732" t="s">
        <v>40971</v>
      </c>
      <c r="K13732" t="s">
        <v>42289</v>
      </c>
      <c r="M13732" t="s">
        <v>46308</v>
      </c>
      <c r="N13732" t="s">
        <v>46569</v>
      </c>
      <c r="O13732" t="s">
        <v>46570</v>
      </c>
      <c r="Q13732">
        <v>5</v>
      </c>
      <c r="R13732" t="s">
        <v>46586</v>
      </c>
      <c r="S13732" t="s">
        <v>47305</v>
      </c>
      <c r="T13732" t="s">
        <v>48293</v>
      </c>
      <c r="U13732" t="s">
        <v>59796</v>
      </c>
      <c r="W13732" t="s">
        <v>46308</v>
      </c>
      <c r="X13732" t="s">
        <v>46587</v>
      </c>
    </row>
    <row r="13733" spans="1:24">
      <c r="A13733">
        <f>HYPERLINK("https://www.philgeps.gov.ph/GEPSNONPILOT/Tender/SplashBidNoticeAbstractUI.aspx?menuIndex=3&amp;refID=7037639&amp;Result=3","7037639")</f>
        <v>0</v>
      </c>
      <c r="B13733" t="s">
        <v>592</v>
      </c>
      <c r="C13733" t="s">
        <v>16576</v>
      </c>
      <c r="D13733" t="s">
        <v>18784</v>
      </c>
      <c r="E13733" t="s">
        <v>30692</v>
      </c>
      <c r="F13733" t="s">
        <v>32664</v>
      </c>
      <c r="G13733" t="s">
        <v>32675</v>
      </c>
      <c r="H13733" t="s">
        <v>12635</v>
      </c>
      <c r="I13733" t="s">
        <v>6168</v>
      </c>
      <c r="J13733" t="s">
        <v>34247</v>
      </c>
      <c r="K13733" t="s">
        <v>42289</v>
      </c>
      <c r="M13733" t="s">
        <v>43172</v>
      </c>
      <c r="N13733" t="s">
        <v>46569</v>
      </c>
      <c r="O13733" t="s">
        <v>46570</v>
      </c>
      <c r="Q13733">
        <v>9</v>
      </c>
      <c r="R13733" t="s">
        <v>46586</v>
      </c>
      <c r="S13733" t="s">
        <v>47306</v>
      </c>
      <c r="T13733" t="s">
        <v>48293</v>
      </c>
      <c r="U13733" t="s">
        <v>49886</v>
      </c>
      <c r="V13733" t="s">
        <v>63001</v>
      </c>
      <c r="W13733" t="s">
        <v>43172</v>
      </c>
      <c r="X13733" t="s">
        <v>46587</v>
      </c>
    </row>
    <row r="13734" spans="1:24">
      <c r="A13734">
        <f>HYPERLINK("https://www.philgeps.gov.ph/GEPSNONPILOT/Tender/SplashBidNoticeAbstractUI.aspx?menuIndex=3&amp;refID=7037637&amp;Result=3","7037637")</f>
        <v>0</v>
      </c>
      <c r="B13734" t="s">
        <v>683</v>
      </c>
      <c r="C13734" t="s">
        <v>16577</v>
      </c>
      <c r="D13734" t="s">
        <v>18842</v>
      </c>
      <c r="E13734" t="s">
        <v>30693</v>
      </c>
      <c r="F13734" t="s">
        <v>32664</v>
      </c>
      <c r="G13734" t="s">
        <v>32672</v>
      </c>
      <c r="H13734" t="s">
        <v>12635</v>
      </c>
      <c r="I13734" t="s">
        <v>11464</v>
      </c>
      <c r="J13734" t="s">
        <v>40972</v>
      </c>
      <c r="K13734" t="s">
        <v>42290</v>
      </c>
      <c r="M13734" t="s">
        <v>43270</v>
      </c>
      <c r="N13734" t="s">
        <v>46569</v>
      </c>
      <c r="O13734" t="s">
        <v>46570</v>
      </c>
      <c r="P13734">
        <v>0</v>
      </c>
      <c r="Q13734">
        <v>17</v>
      </c>
      <c r="R13734" t="s">
        <v>46586</v>
      </c>
      <c r="S13734" t="s">
        <v>47252</v>
      </c>
      <c r="T13734" t="s">
        <v>48238</v>
      </c>
      <c r="U13734" t="s">
        <v>59797</v>
      </c>
      <c r="W13734" t="s">
        <v>43270</v>
      </c>
      <c r="X13734" t="s">
        <v>46587</v>
      </c>
    </row>
    <row r="13735" spans="1:24">
      <c r="A13735">
        <f>HYPERLINK("https://www.philgeps.gov.ph/GEPSNONPILOT/Tender/SplashBidNoticeAbstractUI.aspx?menuIndex=3&amp;refID=7037513&amp;Result=3","7037513")</f>
        <v>0</v>
      </c>
      <c r="B13735" t="s">
        <v>750</v>
      </c>
      <c r="C13735" t="s">
        <v>16578</v>
      </c>
      <c r="E13735" t="s">
        <v>30694</v>
      </c>
      <c r="F13735" t="s">
        <v>32664</v>
      </c>
      <c r="G13735" t="s">
        <v>32680</v>
      </c>
      <c r="H13735" t="s">
        <v>32683</v>
      </c>
      <c r="I13735" t="s">
        <v>10627</v>
      </c>
      <c r="J13735" t="s">
        <v>40973</v>
      </c>
      <c r="K13735" t="s">
        <v>42283</v>
      </c>
      <c r="M13735" t="s">
        <v>43340</v>
      </c>
      <c r="N13735" t="s">
        <v>46569</v>
      </c>
      <c r="O13735" t="s">
        <v>46570</v>
      </c>
      <c r="P13735">
        <v>0</v>
      </c>
      <c r="Q13735">
        <v>4</v>
      </c>
      <c r="R13735" t="s">
        <v>46586</v>
      </c>
      <c r="S13735" t="s">
        <v>47252</v>
      </c>
      <c r="T13735" t="s">
        <v>48221</v>
      </c>
      <c r="U13735" t="s">
        <v>59798</v>
      </c>
      <c r="W13735" t="s">
        <v>63488</v>
      </c>
      <c r="X13735" t="s">
        <v>46587</v>
      </c>
    </row>
    <row r="13736" spans="1:24">
      <c r="A13736">
        <f>HYPERLINK("https://www.philgeps.gov.ph/GEPSNONPILOT/Tender/SplashBidNoticeAbstractUI.aspx?menuIndex=3&amp;refID=7037661&amp;Result=3","7037661")</f>
        <v>0</v>
      </c>
      <c r="B13736" t="s">
        <v>407</v>
      </c>
      <c r="C13736" t="s">
        <v>16579</v>
      </c>
      <c r="D13736" t="s">
        <v>18830</v>
      </c>
      <c r="E13736" t="s">
        <v>30695</v>
      </c>
      <c r="F13736" t="s">
        <v>32664</v>
      </c>
      <c r="G13736" t="s">
        <v>32672</v>
      </c>
      <c r="H13736" t="s">
        <v>32683</v>
      </c>
      <c r="I13736" t="s">
        <v>10627</v>
      </c>
      <c r="J13736" t="s">
        <v>40974</v>
      </c>
      <c r="K13736" t="s">
        <v>42308</v>
      </c>
      <c r="M13736" t="s">
        <v>42977</v>
      </c>
      <c r="N13736" t="s">
        <v>46569</v>
      </c>
      <c r="O13736" t="s">
        <v>46570</v>
      </c>
      <c r="P13736">
        <v>0</v>
      </c>
      <c r="Q13736">
        <v>0</v>
      </c>
      <c r="R13736" t="s">
        <v>46586</v>
      </c>
      <c r="S13736" t="s">
        <v>47252</v>
      </c>
      <c r="T13736" t="s">
        <v>48283</v>
      </c>
      <c r="U13736" t="s">
        <v>59799</v>
      </c>
      <c r="V13736" t="s">
        <v>62274</v>
      </c>
      <c r="W13736" t="s">
        <v>42977</v>
      </c>
      <c r="X13736" t="s">
        <v>46587</v>
      </c>
    </row>
    <row r="13737" spans="1:24">
      <c r="A13737">
        <f>HYPERLINK("https://www.philgeps.gov.ph/GEPSNONPILOT/Tender/SplashBidNoticeAbstractUI.aspx?menuIndex=3&amp;refID=7037638&amp;Result=3","7037638")</f>
        <v>0</v>
      </c>
      <c r="B13737" t="s">
        <v>1055</v>
      </c>
      <c r="C13737" t="s">
        <v>16580</v>
      </c>
      <c r="D13737" t="s">
        <v>18784</v>
      </c>
      <c r="E13737" t="s">
        <v>30696</v>
      </c>
      <c r="F13737" t="s">
        <v>32664</v>
      </c>
      <c r="G13737" t="s">
        <v>32672</v>
      </c>
      <c r="H13737" t="s">
        <v>32683</v>
      </c>
      <c r="I13737" t="s">
        <v>10627</v>
      </c>
      <c r="J13737" t="s">
        <v>40975</v>
      </c>
      <c r="K13737" t="s">
        <v>42298</v>
      </c>
      <c r="M13737" t="s">
        <v>43998</v>
      </c>
      <c r="N13737" t="s">
        <v>46569</v>
      </c>
      <c r="O13737" t="s">
        <v>46570</v>
      </c>
      <c r="P13737">
        <v>0</v>
      </c>
      <c r="Q13737">
        <v>16</v>
      </c>
      <c r="R13737" t="s">
        <v>46586</v>
      </c>
      <c r="S13737" t="s">
        <v>47252</v>
      </c>
      <c r="T13737" t="s">
        <v>48258</v>
      </c>
      <c r="U13737" t="s">
        <v>59800</v>
      </c>
      <c r="V13737" t="s">
        <v>62093</v>
      </c>
      <c r="W13737" t="s">
        <v>43998</v>
      </c>
      <c r="X13737" t="s">
        <v>46587</v>
      </c>
    </row>
    <row r="13738" spans="1:24">
      <c r="A13738">
        <f>HYPERLINK("https://www.philgeps.gov.ph/GEPSNONPILOT/Tender/SplashBidNoticeAbstractUI.aspx?menuIndex=3&amp;refID=7037632&amp;Result=3","7037632")</f>
        <v>0</v>
      </c>
      <c r="B13738" t="s">
        <v>1210</v>
      </c>
      <c r="C13738" t="s">
        <v>16581</v>
      </c>
      <c r="D13738" t="s">
        <v>18788</v>
      </c>
      <c r="E13738" t="s">
        <v>30697</v>
      </c>
      <c r="F13738" t="s">
        <v>32664</v>
      </c>
      <c r="G13738" t="s">
        <v>32672</v>
      </c>
      <c r="H13738" t="s">
        <v>12635</v>
      </c>
      <c r="I13738" t="s">
        <v>6168</v>
      </c>
      <c r="J13738" t="s">
        <v>40976</v>
      </c>
      <c r="K13738" t="s">
        <v>42283</v>
      </c>
      <c r="M13738" t="s">
        <v>43848</v>
      </c>
      <c r="N13738" t="s">
        <v>46569</v>
      </c>
      <c r="O13738" t="s">
        <v>46570</v>
      </c>
      <c r="P13738">
        <v>0</v>
      </c>
      <c r="Q13738">
        <v>4</v>
      </c>
      <c r="R13738" t="s">
        <v>46586</v>
      </c>
      <c r="S13738" t="s">
        <v>47252</v>
      </c>
      <c r="T13738" t="s">
        <v>48410</v>
      </c>
      <c r="U13738" t="s">
        <v>51362</v>
      </c>
      <c r="W13738" t="s">
        <v>43848</v>
      </c>
      <c r="X13738" t="s">
        <v>46587</v>
      </c>
    </row>
    <row r="13739" spans="1:24">
      <c r="A13739">
        <f>HYPERLINK("https://www.philgeps.gov.ph/GEPSNONPILOT/Tender/SplashBidNoticeAbstractUI.aspx?menuIndex=3&amp;refID=7037760&amp;Result=3","7037760")</f>
        <v>0</v>
      </c>
      <c r="B13739" t="s">
        <v>3353</v>
      </c>
      <c r="C13739" t="s">
        <v>16582</v>
      </c>
      <c r="E13739" t="s">
        <v>30698</v>
      </c>
      <c r="F13739" t="s">
        <v>32664</v>
      </c>
      <c r="G13739" t="s">
        <v>32672</v>
      </c>
      <c r="H13739" t="s">
        <v>12635</v>
      </c>
      <c r="I13739" t="s">
        <v>32689</v>
      </c>
      <c r="J13739" t="s">
        <v>40977</v>
      </c>
      <c r="K13739" t="s">
        <v>42283</v>
      </c>
      <c r="M13739" t="s">
        <v>46309</v>
      </c>
      <c r="N13739" t="s">
        <v>46569</v>
      </c>
      <c r="O13739" t="s">
        <v>46570</v>
      </c>
      <c r="Q13739">
        <v>9</v>
      </c>
      <c r="R13739" t="s">
        <v>46586</v>
      </c>
      <c r="S13739" t="s">
        <v>47307</v>
      </c>
      <c r="T13739" t="s">
        <v>48625</v>
      </c>
      <c r="U13739" t="s">
        <v>59801</v>
      </c>
      <c r="W13739" t="s">
        <v>46309</v>
      </c>
      <c r="X13739" t="s">
        <v>46587</v>
      </c>
    </row>
    <row r="13740" spans="1:24">
      <c r="A13740">
        <f>HYPERLINK("https://www.philgeps.gov.ph/GEPSNONPILOT/Tender/SplashBidNoticeAbstractUI.aspx?menuIndex=3&amp;refID=7037445&amp;Result=3","7037445")</f>
        <v>0</v>
      </c>
      <c r="B13740" t="s">
        <v>2772</v>
      </c>
      <c r="C13740" t="s">
        <v>16583</v>
      </c>
      <c r="D13740" t="s">
        <v>18804</v>
      </c>
      <c r="E13740" t="s">
        <v>30699</v>
      </c>
      <c r="F13740" t="s">
        <v>32664</v>
      </c>
      <c r="G13740" t="s">
        <v>32672</v>
      </c>
      <c r="H13740" t="s">
        <v>32683</v>
      </c>
      <c r="I13740" t="s">
        <v>10627</v>
      </c>
      <c r="J13740" t="s">
        <v>40978</v>
      </c>
      <c r="K13740" t="s">
        <v>42349</v>
      </c>
      <c r="M13740" t="s">
        <v>45610</v>
      </c>
      <c r="N13740" t="s">
        <v>46569</v>
      </c>
      <c r="O13740" t="s">
        <v>46570</v>
      </c>
      <c r="P13740">
        <v>0</v>
      </c>
      <c r="Q13740">
        <v>2</v>
      </c>
      <c r="R13740" t="s">
        <v>46586</v>
      </c>
      <c r="S13740" t="s">
        <v>47252</v>
      </c>
      <c r="T13740" t="s">
        <v>48244</v>
      </c>
      <c r="U13740" t="s">
        <v>59802</v>
      </c>
      <c r="W13740" t="s">
        <v>45610</v>
      </c>
      <c r="X13740" t="s">
        <v>46587</v>
      </c>
    </row>
    <row r="13741" spans="1:24">
      <c r="A13741">
        <f>HYPERLINK("https://www.philgeps.gov.ph/GEPSNONPILOT/Tender/SplashBidNoticeAbstractUI.aspx?menuIndex=3&amp;refID=7037758&amp;Result=3","7037758")</f>
        <v>0</v>
      </c>
      <c r="B13741" t="s">
        <v>2173</v>
      </c>
      <c r="C13741" t="s">
        <v>16584</v>
      </c>
      <c r="D13741" t="s">
        <v>18816</v>
      </c>
      <c r="E13741" t="s">
        <v>30700</v>
      </c>
      <c r="F13741" t="s">
        <v>32664</v>
      </c>
      <c r="G13741" t="s">
        <v>32672</v>
      </c>
      <c r="H13741" t="s">
        <v>32681</v>
      </c>
      <c r="I13741" t="s">
        <v>32681</v>
      </c>
      <c r="J13741" t="s">
        <v>40979</v>
      </c>
      <c r="K13741" t="s">
        <v>42305</v>
      </c>
      <c r="M13741" t="s">
        <v>46181</v>
      </c>
      <c r="N13741" t="s">
        <v>46569</v>
      </c>
      <c r="O13741" t="s">
        <v>46570</v>
      </c>
      <c r="Q13741">
        <v>3</v>
      </c>
      <c r="R13741" t="s">
        <v>46586</v>
      </c>
      <c r="S13741" t="s">
        <v>47308</v>
      </c>
      <c r="T13741" t="s">
        <v>48212</v>
      </c>
      <c r="U13741" t="s">
        <v>59803</v>
      </c>
      <c r="W13741" t="s">
        <v>46181</v>
      </c>
      <c r="X13741" t="s">
        <v>46587</v>
      </c>
    </row>
    <row r="13742" spans="1:24">
      <c r="A13742">
        <f>HYPERLINK("https://www.philgeps.gov.ph/GEPSNONPILOT/Tender/SplashBidNoticeAbstractUI.aspx?menuIndex=3&amp;refID=7037769&amp;Result=3","7037769")</f>
        <v>0</v>
      </c>
      <c r="B13742" t="s">
        <v>1605</v>
      </c>
      <c r="C13742" t="s">
        <v>16585</v>
      </c>
      <c r="D13742" t="s">
        <v>18818</v>
      </c>
      <c r="E13742" t="s">
        <v>30701</v>
      </c>
      <c r="F13742" t="s">
        <v>32664</v>
      </c>
      <c r="G13742" t="s">
        <v>32672</v>
      </c>
      <c r="H13742" t="s">
        <v>32683</v>
      </c>
      <c r="I13742" t="s">
        <v>10627</v>
      </c>
      <c r="J13742" t="s">
        <v>33009</v>
      </c>
      <c r="K13742" t="s">
        <v>42521</v>
      </c>
      <c r="M13742" t="s">
        <v>44284</v>
      </c>
      <c r="N13742" t="s">
        <v>46569</v>
      </c>
      <c r="O13742" t="s">
        <v>46570</v>
      </c>
      <c r="P13742">
        <v>0</v>
      </c>
      <c r="Q13742">
        <v>0</v>
      </c>
      <c r="R13742" t="s">
        <v>46586</v>
      </c>
      <c r="S13742" t="s">
        <v>47252</v>
      </c>
      <c r="T13742" t="s">
        <v>48258</v>
      </c>
      <c r="U13742" t="s">
        <v>59706</v>
      </c>
      <c r="W13742" t="s">
        <v>44284</v>
      </c>
      <c r="X13742" t="s">
        <v>46587</v>
      </c>
    </row>
    <row r="13743" spans="1:24">
      <c r="A13743">
        <f>HYPERLINK("https://www.philgeps.gov.ph/GEPSNONPILOT/Tender/SplashBidNoticeAbstractUI.aspx?menuIndex=3&amp;refID=7037767&amp;Result=3","7037767")</f>
        <v>0</v>
      </c>
      <c r="B13743" t="s">
        <v>3354</v>
      </c>
      <c r="C13743" t="s">
        <v>16586</v>
      </c>
      <c r="D13743" t="s">
        <v>18855</v>
      </c>
      <c r="E13743" t="s">
        <v>30702</v>
      </c>
      <c r="F13743" t="s">
        <v>32664</v>
      </c>
      <c r="G13743" t="s">
        <v>32672</v>
      </c>
      <c r="H13743" t="s">
        <v>32683</v>
      </c>
      <c r="I13743" t="s">
        <v>10627</v>
      </c>
      <c r="J13743" t="s">
        <v>40980</v>
      </c>
      <c r="K13743" t="s">
        <v>42327</v>
      </c>
      <c r="M13743" t="s">
        <v>46310</v>
      </c>
      <c r="N13743" t="s">
        <v>46569</v>
      </c>
      <c r="O13743" t="s">
        <v>46570</v>
      </c>
      <c r="P13743">
        <v>0</v>
      </c>
      <c r="Q13743">
        <v>1</v>
      </c>
      <c r="R13743" t="s">
        <v>46586</v>
      </c>
      <c r="S13743" t="s">
        <v>47252</v>
      </c>
      <c r="T13743" t="s">
        <v>48230</v>
      </c>
      <c r="U13743" t="s">
        <v>59804</v>
      </c>
      <c r="W13743" t="s">
        <v>46310</v>
      </c>
      <c r="X13743" t="s">
        <v>46587</v>
      </c>
    </row>
    <row r="13744" spans="1:24">
      <c r="A13744">
        <f>HYPERLINK("https://www.philgeps.gov.ph/GEPSNONPILOT/Tender/SplashBidNoticeAbstractUI.aspx?menuIndex=3&amp;refID=7037743&amp;Result=3","7037743")</f>
        <v>0</v>
      </c>
      <c r="B13744" t="s">
        <v>590</v>
      </c>
      <c r="C13744" t="s">
        <v>16587</v>
      </c>
      <c r="D13744" t="s">
        <v>18809</v>
      </c>
      <c r="E13744" t="s">
        <v>28531</v>
      </c>
      <c r="F13744" t="s">
        <v>32664</v>
      </c>
      <c r="G13744" t="s">
        <v>32672</v>
      </c>
      <c r="H13744" t="s">
        <v>12635</v>
      </c>
      <c r="I13744" t="s">
        <v>11464</v>
      </c>
      <c r="J13744" t="s">
        <v>32930</v>
      </c>
      <c r="K13744" t="s">
        <v>42321</v>
      </c>
      <c r="M13744" t="s">
        <v>43170</v>
      </c>
      <c r="N13744" t="s">
        <v>46569</v>
      </c>
      <c r="O13744" t="s">
        <v>46570</v>
      </c>
      <c r="Q13744">
        <v>5</v>
      </c>
      <c r="R13744" t="s">
        <v>46586</v>
      </c>
      <c r="S13744" t="s">
        <v>47309</v>
      </c>
      <c r="T13744" t="s">
        <v>48283</v>
      </c>
      <c r="U13744" t="s">
        <v>59805</v>
      </c>
      <c r="V13744" t="s">
        <v>63143</v>
      </c>
      <c r="W13744" t="s">
        <v>43170</v>
      </c>
      <c r="X13744" t="s">
        <v>46587</v>
      </c>
    </row>
    <row r="13745" spans="1:24">
      <c r="A13745">
        <f>HYPERLINK("https://www.philgeps.gov.ph/GEPSNONPILOT/Tender/SplashBidNoticeAbstractUI.aspx?menuIndex=3&amp;refID=7037469&amp;Result=3","7037469")</f>
        <v>0</v>
      </c>
      <c r="B13745" t="s">
        <v>1210</v>
      </c>
      <c r="C13745" t="s">
        <v>16588</v>
      </c>
      <c r="D13745" t="s">
        <v>18788</v>
      </c>
      <c r="E13745" t="s">
        <v>30703</v>
      </c>
      <c r="F13745" t="s">
        <v>32664</v>
      </c>
      <c r="G13745" t="s">
        <v>32672</v>
      </c>
      <c r="H13745" t="s">
        <v>12635</v>
      </c>
      <c r="I13745" t="s">
        <v>11464</v>
      </c>
      <c r="J13745" t="s">
        <v>33150</v>
      </c>
      <c r="K13745" t="s">
        <v>42283</v>
      </c>
      <c r="M13745" t="s">
        <v>43848</v>
      </c>
      <c r="N13745" t="s">
        <v>46569</v>
      </c>
      <c r="O13745" t="s">
        <v>46570</v>
      </c>
      <c r="P13745">
        <v>0</v>
      </c>
      <c r="Q13745">
        <v>11</v>
      </c>
      <c r="R13745" t="s">
        <v>46586</v>
      </c>
      <c r="S13745" t="s">
        <v>47252</v>
      </c>
      <c r="T13745" t="s">
        <v>48228</v>
      </c>
      <c r="U13745" t="s">
        <v>51362</v>
      </c>
      <c r="W13745" t="s">
        <v>43848</v>
      </c>
      <c r="X13745" t="s">
        <v>46587</v>
      </c>
    </row>
    <row r="13746" spans="1:24">
      <c r="A13746">
        <f>HYPERLINK("https://www.philgeps.gov.ph/GEPSNONPILOT/Tender/SplashBidNoticeAbstractUI.aspx?menuIndex=3&amp;refID=7037752&amp;Result=3","7037752")</f>
        <v>0</v>
      </c>
      <c r="B13746" t="s">
        <v>1863</v>
      </c>
      <c r="C13746" t="s">
        <v>16589</v>
      </c>
      <c r="D13746" t="s">
        <v>18783</v>
      </c>
      <c r="E13746" t="s">
        <v>30704</v>
      </c>
      <c r="F13746" t="s">
        <v>32664</v>
      </c>
      <c r="G13746" t="s">
        <v>32672</v>
      </c>
      <c r="H13746" t="s">
        <v>32683</v>
      </c>
      <c r="I13746" t="s">
        <v>10627</v>
      </c>
      <c r="J13746" t="s">
        <v>35617</v>
      </c>
      <c r="K13746" t="s">
        <v>42413</v>
      </c>
      <c r="M13746" t="s">
        <v>44576</v>
      </c>
      <c r="N13746" t="s">
        <v>46569</v>
      </c>
      <c r="O13746" t="s">
        <v>46570</v>
      </c>
      <c r="P13746">
        <v>0</v>
      </c>
      <c r="Q13746">
        <v>0</v>
      </c>
      <c r="R13746" t="s">
        <v>46586</v>
      </c>
      <c r="S13746" t="s">
        <v>47252</v>
      </c>
      <c r="T13746" t="s">
        <v>48228</v>
      </c>
      <c r="U13746" t="s">
        <v>59806</v>
      </c>
      <c r="V13746" t="s">
        <v>62203</v>
      </c>
      <c r="W13746" t="s">
        <v>44576</v>
      </c>
      <c r="X13746" t="s">
        <v>46587</v>
      </c>
    </row>
    <row r="13747" spans="1:24">
      <c r="A13747">
        <f>HYPERLINK("https://www.philgeps.gov.ph/GEPSNONPILOT/Tender/SplashBidNoticeAbstractUI.aspx?menuIndex=3&amp;refID=7037746&amp;Result=3","7037746")</f>
        <v>0</v>
      </c>
      <c r="B13747" t="s">
        <v>1734</v>
      </c>
      <c r="C13747" t="s">
        <v>16590</v>
      </c>
      <c r="D13747" t="s">
        <v>18789</v>
      </c>
      <c r="E13747" t="s">
        <v>30705</v>
      </c>
      <c r="F13747" t="s">
        <v>32664</v>
      </c>
      <c r="G13747" t="s">
        <v>32672</v>
      </c>
      <c r="H13747" t="s">
        <v>12635</v>
      </c>
      <c r="I13747" t="s">
        <v>32717</v>
      </c>
      <c r="J13747" t="s">
        <v>40981</v>
      </c>
      <c r="K13747" t="s">
        <v>42283</v>
      </c>
      <c r="M13747" t="s">
        <v>46229</v>
      </c>
      <c r="N13747" t="s">
        <v>46569</v>
      </c>
      <c r="O13747" t="s">
        <v>46570</v>
      </c>
      <c r="P13747">
        <v>0</v>
      </c>
      <c r="Q13747">
        <v>3</v>
      </c>
      <c r="R13747" t="s">
        <v>46586</v>
      </c>
      <c r="S13747" t="s">
        <v>47252</v>
      </c>
      <c r="T13747" t="s">
        <v>48331</v>
      </c>
      <c r="U13747" t="s">
        <v>59807</v>
      </c>
      <c r="W13747" t="s">
        <v>46229</v>
      </c>
      <c r="X13747" t="s">
        <v>46587</v>
      </c>
    </row>
    <row r="13748" spans="1:24">
      <c r="A13748">
        <f>HYPERLINK("https://www.philgeps.gov.ph/GEPSNONPILOT/Tender/SplashBidNoticeAbstractUI.aspx?menuIndex=3&amp;refID=7037732&amp;Result=3","7037732")</f>
        <v>0</v>
      </c>
      <c r="B13748" t="s">
        <v>3355</v>
      </c>
      <c r="C13748" t="s">
        <v>16591</v>
      </c>
      <c r="D13748" t="s">
        <v>18837</v>
      </c>
      <c r="E13748" t="s">
        <v>30706</v>
      </c>
      <c r="F13748" t="s">
        <v>32664</v>
      </c>
      <c r="G13748" t="s">
        <v>32672</v>
      </c>
      <c r="H13748" t="s">
        <v>12635</v>
      </c>
      <c r="I13748" t="s">
        <v>32752</v>
      </c>
      <c r="J13748" t="s">
        <v>40982</v>
      </c>
      <c r="K13748" t="s">
        <v>42281</v>
      </c>
      <c r="M13748" t="s">
        <v>46311</v>
      </c>
      <c r="N13748" t="s">
        <v>46569</v>
      </c>
      <c r="O13748" t="s">
        <v>46570</v>
      </c>
      <c r="P13748">
        <v>0</v>
      </c>
      <c r="Q13748">
        <v>1</v>
      </c>
      <c r="R13748" t="s">
        <v>46586</v>
      </c>
      <c r="S13748" t="s">
        <v>47252</v>
      </c>
      <c r="T13748" t="s">
        <v>48282</v>
      </c>
      <c r="U13748" t="s">
        <v>59808</v>
      </c>
      <c r="W13748" t="s">
        <v>46311</v>
      </c>
      <c r="X13748" t="s">
        <v>46587</v>
      </c>
    </row>
    <row r="13749" spans="1:24">
      <c r="A13749">
        <f>HYPERLINK("https://www.philgeps.gov.ph/GEPSNONPILOT/Tender/SplashBidNoticeAbstractUI.aspx?menuIndex=3&amp;refID=7037739&amp;Result=3","7037739")</f>
        <v>0</v>
      </c>
      <c r="B13749" t="s">
        <v>1210</v>
      </c>
      <c r="C13749" t="s">
        <v>16592</v>
      </c>
      <c r="D13749" t="s">
        <v>18788</v>
      </c>
      <c r="E13749" t="s">
        <v>30707</v>
      </c>
      <c r="F13749" t="s">
        <v>32664</v>
      </c>
      <c r="G13749" t="s">
        <v>32672</v>
      </c>
      <c r="H13749" t="s">
        <v>32683</v>
      </c>
      <c r="I13749" t="s">
        <v>10627</v>
      </c>
      <c r="J13749" t="s">
        <v>40983</v>
      </c>
      <c r="K13749" t="s">
        <v>42283</v>
      </c>
      <c r="M13749" t="s">
        <v>43848</v>
      </c>
      <c r="N13749" t="s">
        <v>46569</v>
      </c>
      <c r="O13749" t="s">
        <v>46570</v>
      </c>
      <c r="P13749">
        <v>0</v>
      </c>
      <c r="Q13749">
        <v>0</v>
      </c>
      <c r="R13749" t="s">
        <v>46586</v>
      </c>
      <c r="S13749" t="s">
        <v>47252</v>
      </c>
      <c r="T13749" t="s">
        <v>48228</v>
      </c>
      <c r="U13749" t="s">
        <v>51362</v>
      </c>
      <c r="W13749" t="s">
        <v>43848</v>
      </c>
      <c r="X13749" t="s">
        <v>46587</v>
      </c>
    </row>
    <row r="13750" spans="1:24">
      <c r="A13750">
        <f>HYPERLINK("https://www.philgeps.gov.ph/GEPSNONPILOT/Tender/SplashBidNoticeAbstractUI.aspx?menuIndex=3&amp;refID=7037718&amp;Result=3","7037718")</f>
        <v>0</v>
      </c>
      <c r="B13750" t="s">
        <v>189</v>
      </c>
      <c r="C13750" t="s">
        <v>16593</v>
      </c>
      <c r="E13750" t="s">
        <v>30708</v>
      </c>
      <c r="F13750" t="s">
        <v>32664</v>
      </c>
      <c r="G13750" t="s">
        <v>32672</v>
      </c>
      <c r="H13750" t="s">
        <v>12635</v>
      </c>
      <c r="I13750" t="s">
        <v>32685</v>
      </c>
      <c r="J13750" t="s">
        <v>40984</v>
      </c>
      <c r="K13750" t="s">
        <v>42281</v>
      </c>
      <c r="M13750" t="s">
        <v>42753</v>
      </c>
      <c r="N13750" t="s">
        <v>46569</v>
      </c>
      <c r="O13750" t="s">
        <v>46570</v>
      </c>
      <c r="P13750">
        <v>0</v>
      </c>
      <c r="Q13750">
        <v>6</v>
      </c>
      <c r="R13750" t="s">
        <v>46586</v>
      </c>
      <c r="S13750" t="s">
        <v>47252</v>
      </c>
      <c r="T13750" t="s">
        <v>48282</v>
      </c>
      <c r="U13750" t="s">
        <v>59809</v>
      </c>
      <c r="W13750" t="s">
        <v>42753</v>
      </c>
      <c r="X13750" t="s">
        <v>46587</v>
      </c>
    </row>
    <row r="13751" spans="1:24">
      <c r="A13751">
        <f>HYPERLINK("https://www.philgeps.gov.ph/GEPSNONPILOT/Tender/SplashBidNoticeAbstractUI.aspx?menuIndex=3&amp;refID=7037737&amp;Result=3","7037737")</f>
        <v>0</v>
      </c>
      <c r="B13751" t="s">
        <v>1605</v>
      </c>
      <c r="C13751" t="s">
        <v>16594</v>
      </c>
      <c r="D13751" t="s">
        <v>18818</v>
      </c>
      <c r="E13751" t="s">
        <v>30709</v>
      </c>
      <c r="F13751" t="s">
        <v>32664</v>
      </c>
      <c r="G13751" t="s">
        <v>32672</v>
      </c>
      <c r="H13751" t="s">
        <v>32683</v>
      </c>
      <c r="I13751" t="s">
        <v>10627</v>
      </c>
      <c r="J13751" t="s">
        <v>33009</v>
      </c>
      <c r="K13751" t="s">
        <v>42521</v>
      </c>
      <c r="M13751" t="s">
        <v>44284</v>
      </c>
      <c r="N13751" t="s">
        <v>46569</v>
      </c>
      <c r="O13751" t="s">
        <v>46570</v>
      </c>
      <c r="P13751">
        <v>0</v>
      </c>
      <c r="Q13751">
        <v>0</v>
      </c>
      <c r="R13751" t="s">
        <v>46586</v>
      </c>
      <c r="S13751" t="s">
        <v>47252</v>
      </c>
      <c r="T13751" t="s">
        <v>48258</v>
      </c>
      <c r="U13751" t="s">
        <v>59706</v>
      </c>
      <c r="W13751" t="s">
        <v>44284</v>
      </c>
      <c r="X13751" t="s">
        <v>46587</v>
      </c>
    </row>
    <row r="13752" spans="1:24">
      <c r="A13752">
        <f>HYPERLINK("https://www.philgeps.gov.ph/GEPSNONPILOT/Tender/SplashBidNoticeAbstractUI.aspx?menuIndex=3&amp;refID=7037761&amp;Result=3","7037761")</f>
        <v>0</v>
      </c>
      <c r="B13752" t="s">
        <v>3356</v>
      </c>
      <c r="C13752" t="s">
        <v>16595</v>
      </c>
      <c r="D13752" t="s">
        <v>18820</v>
      </c>
      <c r="E13752" t="s">
        <v>24242</v>
      </c>
      <c r="F13752" t="s">
        <v>32664</v>
      </c>
      <c r="G13752" t="s">
        <v>32672</v>
      </c>
      <c r="H13752" t="s">
        <v>32683</v>
      </c>
      <c r="I13752" t="s">
        <v>10627</v>
      </c>
      <c r="J13752" t="s">
        <v>32943</v>
      </c>
      <c r="K13752" t="s">
        <v>42437</v>
      </c>
      <c r="M13752" t="s">
        <v>46312</v>
      </c>
      <c r="N13752" t="s">
        <v>46569</v>
      </c>
      <c r="O13752" t="s">
        <v>46570</v>
      </c>
      <c r="P13752">
        <v>0</v>
      </c>
      <c r="Q13752">
        <v>1</v>
      </c>
      <c r="R13752" t="s">
        <v>46586</v>
      </c>
      <c r="S13752" t="s">
        <v>47252</v>
      </c>
      <c r="T13752" t="s">
        <v>48221</v>
      </c>
      <c r="U13752" t="s">
        <v>59810</v>
      </c>
      <c r="V13752" t="s">
        <v>63144</v>
      </c>
      <c r="W13752" t="s">
        <v>46312</v>
      </c>
      <c r="X13752" t="s">
        <v>46587</v>
      </c>
    </row>
    <row r="13753" spans="1:24">
      <c r="A13753">
        <f>HYPERLINK("https://www.philgeps.gov.ph/GEPSNONPILOT/Tender/SplashBidNoticeAbstractUI.aspx?menuIndex=3&amp;refID=7037697&amp;Result=3","7037697")</f>
        <v>0</v>
      </c>
      <c r="B13753" t="s">
        <v>401</v>
      </c>
      <c r="C13753" t="s">
        <v>16596</v>
      </c>
      <c r="E13753" t="s">
        <v>30710</v>
      </c>
      <c r="F13753" t="s">
        <v>32664</v>
      </c>
      <c r="G13753" t="s">
        <v>32672</v>
      </c>
      <c r="H13753" t="s">
        <v>32683</v>
      </c>
      <c r="I13753" t="s">
        <v>10627</v>
      </c>
      <c r="J13753" t="s">
        <v>40985</v>
      </c>
      <c r="K13753" t="s">
        <v>42327</v>
      </c>
      <c r="M13753" t="s">
        <v>42971</v>
      </c>
      <c r="N13753" t="s">
        <v>46569</v>
      </c>
      <c r="O13753" t="s">
        <v>46570</v>
      </c>
      <c r="P13753">
        <v>0</v>
      </c>
      <c r="Q13753">
        <v>1</v>
      </c>
      <c r="R13753" t="s">
        <v>46586</v>
      </c>
      <c r="S13753" t="s">
        <v>47252</v>
      </c>
      <c r="T13753" t="s">
        <v>48283</v>
      </c>
      <c r="U13753" t="s">
        <v>58014</v>
      </c>
      <c r="V13753" t="s">
        <v>63145</v>
      </c>
      <c r="W13753" t="s">
        <v>42971</v>
      </c>
      <c r="X13753" t="s">
        <v>46587</v>
      </c>
    </row>
    <row r="13754" spans="1:24">
      <c r="A13754">
        <f>HYPERLINK("https://www.philgeps.gov.ph/GEPSNONPILOT/Tender/SplashBidNoticeAbstractUI.aspx?menuIndex=3&amp;refID=7037705&amp;Result=3","7037705")</f>
        <v>0</v>
      </c>
      <c r="B13754" t="s">
        <v>1210</v>
      </c>
      <c r="C13754" t="s">
        <v>16597</v>
      </c>
      <c r="D13754" t="s">
        <v>18788</v>
      </c>
      <c r="E13754" t="s">
        <v>30711</v>
      </c>
      <c r="F13754" t="s">
        <v>32664</v>
      </c>
      <c r="G13754" t="s">
        <v>32672</v>
      </c>
      <c r="H13754" t="s">
        <v>12635</v>
      </c>
      <c r="I13754" t="s">
        <v>9486</v>
      </c>
      <c r="J13754" t="s">
        <v>40986</v>
      </c>
      <c r="K13754" t="s">
        <v>42283</v>
      </c>
      <c r="M13754" t="s">
        <v>43848</v>
      </c>
      <c r="N13754" t="s">
        <v>46569</v>
      </c>
      <c r="O13754" t="s">
        <v>46570</v>
      </c>
      <c r="P13754">
        <v>0</v>
      </c>
      <c r="Q13754">
        <v>14</v>
      </c>
      <c r="R13754" t="s">
        <v>46586</v>
      </c>
      <c r="S13754" t="s">
        <v>47252</v>
      </c>
      <c r="T13754" t="s">
        <v>48228</v>
      </c>
      <c r="U13754" t="s">
        <v>51362</v>
      </c>
      <c r="W13754" t="s">
        <v>43848</v>
      </c>
      <c r="X13754" t="s">
        <v>46587</v>
      </c>
    </row>
    <row r="13755" spans="1:24">
      <c r="A13755">
        <f>HYPERLINK("https://www.philgeps.gov.ph/GEPSNONPILOT/Tender/SplashBidNoticeAbstractUI.aspx?menuIndex=3&amp;refID=7037729&amp;Result=3","7037729")</f>
        <v>0</v>
      </c>
      <c r="B13755" t="s">
        <v>1863</v>
      </c>
      <c r="C13755" t="s">
        <v>16598</v>
      </c>
      <c r="D13755" t="s">
        <v>18783</v>
      </c>
      <c r="E13755" t="s">
        <v>30712</v>
      </c>
      <c r="F13755" t="s">
        <v>32664</v>
      </c>
      <c r="G13755" t="s">
        <v>32672</v>
      </c>
      <c r="H13755" t="s">
        <v>32683</v>
      </c>
      <c r="I13755" t="s">
        <v>10627</v>
      </c>
      <c r="J13755" t="s">
        <v>35617</v>
      </c>
      <c r="K13755" t="s">
        <v>42413</v>
      </c>
      <c r="M13755" t="s">
        <v>44576</v>
      </c>
      <c r="N13755" t="s">
        <v>46569</v>
      </c>
      <c r="O13755" t="s">
        <v>46570</v>
      </c>
      <c r="P13755">
        <v>0</v>
      </c>
      <c r="Q13755">
        <v>0</v>
      </c>
      <c r="R13755" t="s">
        <v>46586</v>
      </c>
      <c r="S13755" t="s">
        <v>47252</v>
      </c>
      <c r="T13755" t="s">
        <v>48228</v>
      </c>
      <c r="U13755" t="s">
        <v>59811</v>
      </c>
      <c r="V13755" t="s">
        <v>62203</v>
      </c>
      <c r="W13755" t="s">
        <v>44576</v>
      </c>
      <c r="X13755" t="s">
        <v>46587</v>
      </c>
    </row>
    <row r="13756" spans="1:24">
      <c r="A13756">
        <f>HYPERLINK("https://www.philgeps.gov.ph/GEPSNONPILOT/Tender/SplashBidNoticeAbstractUI.aspx?menuIndex=3&amp;refID=7037809&amp;Result=3","7037809")</f>
        <v>0</v>
      </c>
      <c r="B13756" t="s">
        <v>2773</v>
      </c>
      <c r="C13756" t="s">
        <v>16599</v>
      </c>
      <c r="D13756" t="s">
        <v>18814</v>
      </c>
      <c r="E13756" t="s">
        <v>30713</v>
      </c>
      <c r="F13756" t="s">
        <v>32664</v>
      </c>
      <c r="G13756" t="s">
        <v>32672</v>
      </c>
      <c r="H13756" t="s">
        <v>32683</v>
      </c>
      <c r="I13756" t="s">
        <v>10627</v>
      </c>
      <c r="J13756" t="s">
        <v>40987</v>
      </c>
      <c r="K13756" t="s">
        <v>42311</v>
      </c>
      <c r="M13756" t="s">
        <v>45613</v>
      </c>
      <c r="N13756" t="s">
        <v>46569</v>
      </c>
      <c r="O13756" t="s">
        <v>46570</v>
      </c>
      <c r="Q13756">
        <v>43</v>
      </c>
      <c r="R13756" t="s">
        <v>46586</v>
      </c>
      <c r="S13756" t="s">
        <v>47310</v>
      </c>
      <c r="T13756" t="s">
        <v>48283</v>
      </c>
      <c r="U13756" t="s">
        <v>59812</v>
      </c>
      <c r="V13756" t="s">
        <v>62673</v>
      </c>
      <c r="W13756" t="s">
        <v>45613</v>
      </c>
      <c r="X13756" t="s">
        <v>46587</v>
      </c>
    </row>
    <row r="13757" spans="1:24">
      <c r="A13757">
        <f>HYPERLINK("https://www.philgeps.gov.ph/GEPSNONPILOT/Tender/SplashBidNoticeAbstractUI.aspx?menuIndex=3&amp;refID=7037730&amp;Result=3","7037730")</f>
        <v>0</v>
      </c>
      <c r="B13757" t="s">
        <v>145</v>
      </c>
      <c r="C13757" t="s">
        <v>16600</v>
      </c>
      <c r="D13757" t="s">
        <v>18784</v>
      </c>
      <c r="E13757" t="s">
        <v>30714</v>
      </c>
      <c r="F13757" t="s">
        <v>32664</v>
      </c>
      <c r="G13757" t="s">
        <v>32672</v>
      </c>
      <c r="H13757" t="s">
        <v>12635</v>
      </c>
      <c r="I13757" t="s">
        <v>6628</v>
      </c>
      <c r="J13757" t="s">
        <v>40988</v>
      </c>
      <c r="K13757" t="s">
        <v>42283</v>
      </c>
      <c r="M13757" t="s">
        <v>46313</v>
      </c>
      <c r="N13757" t="s">
        <v>46569</v>
      </c>
      <c r="O13757" t="s">
        <v>46570</v>
      </c>
      <c r="Q13757">
        <v>27</v>
      </c>
      <c r="R13757" t="s">
        <v>46586</v>
      </c>
      <c r="S13757" t="s">
        <v>47311</v>
      </c>
      <c r="T13757" t="s">
        <v>48285</v>
      </c>
      <c r="U13757" t="s">
        <v>59813</v>
      </c>
      <c r="V13757" t="s">
        <v>63146</v>
      </c>
      <c r="W13757" t="s">
        <v>46313</v>
      </c>
      <c r="X13757" t="s">
        <v>46587</v>
      </c>
    </row>
    <row r="13758" spans="1:24">
      <c r="A13758">
        <f>HYPERLINK("https://www.philgeps.gov.ph/GEPSNONPILOT/Tender/SplashBidNoticeAbstractUI.aspx?menuIndex=3&amp;refID=7037814&amp;Result=3","7037814")</f>
        <v>0</v>
      </c>
      <c r="B13758" t="s">
        <v>2776</v>
      </c>
      <c r="C13758" t="s">
        <v>16601</v>
      </c>
      <c r="D13758" t="s">
        <v>18842</v>
      </c>
      <c r="E13758" t="s">
        <v>30715</v>
      </c>
      <c r="F13758" t="s">
        <v>32664</v>
      </c>
      <c r="G13758" t="s">
        <v>32672</v>
      </c>
      <c r="H13758" t="s">
        <v>32683</v>
      </c>
      <c r="I13758" t="s">
        <v>10627</v>
      </c>
      <c r="J13758" t="s">
        <v>32865</v>
      </c>
      <c r="K13758" t="s">
        <v>42305</v>
      </c>
      <c r="M13758" t="s">
        <v>45883</v>
      </c>
      <c r="N13758" t="s">
        <v>46569</v>
      </c>
      <c r="O13758" t="s">
        <v>46570</v>
      </c>
      <c r="P13758">
        <v>0</v>
      </c>
      <c r="Q13758">
        <v>0</v>
      </c>
      <c r="R13758" t="s">
        <v>46586</v>
      </c>
      <c r="S13758" t="s">
        <v>47252</v>
      </c>
      <c r="T13758" t="s">
        <v>48283</v>
      </c>
      <c r="U13758" t="s">
        <v>59814</v>
      </c>
      <c r="W13758" t="s">
        <v>45883</v>
      </c>
      <c r="X13758" t="s">
        <v>46587</v>
      </c>
    </row>
    <row r="13759" spans="1:24">
      <c r="A13759">
        <f>HYPERLINK("https://www.philgeps.gov.ph/GEPSNONPILOT/Tender/SplashBidNoticeAbstractUI.aspx?menuIndex=3&amp;refID=7037749&amp;Result=3","7037749")</f>
        <v>0</v>
      </c>
      <c r="B13759" t="s">
        <v>401</v>
      </c>
      <c r="C13759" t="s">
        <v>16602</v>
      </c>
      <c r="E13759" t="s">
        <v>30716</v>
      </c>
      <c r="F13759" t="s">
        <v>32664</v>
      </c>
      <c r="G13759" t="s">
        <v>32672</v>
      </c>
      <c r="H13759" t="s">
        <v>32683</v>
      </c>
      <c r="I13759" t="s">
        <v>10627</v>
      </c>
      <c r="J13759" t="s">
        <v>40989</v>
      </c>
      <c r="K13759" t="s">
        <v>42285</v>
      </c>
      <c r="M13759" t="s">
        <v>42971</v>
      </c>
      <c r="N13759" t="s">
        <v>46569</v>
      </c>
      <c r="O13759" t="s">
        <v>46570</v>
      </c>
      <c r="P13759">
        <v>0</v>
      </c>
      <c r="Q13759">
        <v>2</v>
      </c>
      <c r="R13759" t="s">
        <v>46586</v>
      </c>
      <c r="S13759" t="s">
        <v>47252</v>
      </c>
      <c r="T13759" t="s">
        <v>48283</v>
      </c>
      <c r="U13759" t="s">
        <v>58014</v>
      </c>
      <c r="V13759" t="s">
        <v>63147</v>
      </c>
      <c r="W13759" t="s">
        <v>42971</v>
      </c>
      <c r="X13759" t="s">
        <v>46587</v>
      </c>
    </row>
    <row r="13760" spans="1:24">
      <c r="A13760">
        <f>HYPERLINK("https://www.philgeps.gov.ph/GEPSNONPILOT/Tender/SplashBidNoticeAbstractUI.aspx?menuIndex=3&amp;refID=7037713&amp;Result=3","7037713")</f>
        <v>0</v>
      </c>
      <c r="B13760" t="s">
        <v>1734</v>
      </c>
      <c r="C13760" t="s">
        <v>16603</v>
      </c>
      <c r="D13760" t="s">
        <v>18789</v>
      </c>
      <c r="E13760" t="s">
        <v>30717</v>
      </c>
      <c r="F13760" t="s">
        <v>32664</v>
      </c>
      <c r="G13760" t="s">
        <v>32672</v>
      </c>
      <c r="H13760" t="s">
        <v>12635</v>
      </c>
      <c r="I13760" t="s">
        <v>32696</v>
      </c>
      <c r="J13760" t="s">
        <v>40990</v>
      </c>
      <c r="K13760" t="s">
        <v>42283</v>
      </c>
      <c r="M13760" t="s">
        <v>46229</v>
      </c>
      <c r="N13760" t="s">
        <v>46569</v>
      </c>
      <c r="O13760" t="s">
        <v>46570</v>
      </c>
      <c r="P13760">
        <v>0</v>
      </c>
      <c r="Q13760">
        <v>0</v>
      </c>
      <c r="R13760" t="s">
        <v>46586</v>
      </c>
      <c r="S13760" t="s">
        <v>47252</v>
      </c>
      <c r="T13760" t="s">
        <v>48271</v>
      </c>
      <c r="U13760" t="s">
        <v>59815</v>
      </c>
      <c r="W13760" t="s">
        <v>46229</v>
      </c>
      <c r="X13760" t="s">
        <v>46587</v>
      </c>
    </row>
    <row r="13761" spans="1:24">
      <c r="A13761">
        <f>HYPERLINK("https://www.philgeps.gov.ph/GEPSNONPILOT/Tender/SplashBidNoticeAbstractUI.aspx?menuIndex=3&amp;refID=7037799&amp;Result=3","7037799")</f>
        <v>0</v>
      </c>
      <c r="B13761" t="s">
        <v>3357</v>
      </c>
      <c r="C13761" t="s">
        <v>16604</v>
      </c>
      <c r="D13761" t="s">
        <v>18799</v>
      </c>
      <c r="E13761" t="s">
        <v>19673</v>
      </c>
      <c r="F13761" t="s">
        <v>32664</v>
      </c>
      <c r="G13761" t="s">
        <v>32677</v>
      </c>
      <c r="H13761" t="s">
        <v>12635</v>
      </c>
      <c r="I13761" t="s">
        <v>32704</v>
      </c>
      <c r="J13761" t="s">
        <v>40991</v>
      </c>
      <c r="K13761" t="s">
        <v>42290</v>
      </c>
      <c r="M13761" t="s">
        <v>46314</v>
      </c>
      <c r="N13761" t="s">
        <v>46569</v>
      </c>
      <c r="O13761" t="s">
        <v>46570</v>
      </c>
      <c r="Q13761">
        <v>35</v>
      </c>
      <c r="R13761" t="s">
        <v>46586</v>
      </c>
      <c r="S13761" t="s">
        <v>47312</v>
      </c>
      <c r="T13761" t="s">
        <v>48213</v>
      </c>
      <c r="U13761" t="s">
        <v>59816</v>
      </c>
      <c r="W13761" t="s">
        <v>63593</v>
      </c>
      <c r="X13761" t="s">
        <v>46587</v>
      </c>
    </row>
    <row r="13762" spans="1:24">
      <c r="A13762">
        <f>HYPERLINK("https://www.philgeps.gov.ph/GEPSNONPILOT/Tender/SplashBidNoticeAbstractUI.aspx?menuIndex=3&amp;refID=7037806&amp;Result=3","7037806")</f>
        <v>0</v>
      </c>
      <c r="B13762" t="s">
        <v>870</v>
      </c>
      <c r="C13762" t="s">
        <v>16605</v>
      </c>
      <c r="D13762" t="s">
        <v>18844</v>
      </c>
      <c r="E13762" t="s">
        <v>30718</v>
      </c>
      <c r="F13762" t="s">
        <v>32664</v>
      </c>
      <c r="G13762" t="s">
        <v>32672</v>
      </c>
      <c r="H13762" t="s">
        <v>12635</v>
      </c>
      <c r="I13762" t="s">
        <v>32716</v>
      </c>
      <c r="J13762" t="s">
        <v>38135</v>
      </c>
      <c r="K13762" t="s">
        <v>42281</v>
      </c>
      <c r="M13762" t="s">
        <v>43470</v>
      </c>
      <c r="N13762" t="s">
        <v>46569</v>
      </c>
      <c r="O13762" t="s">
        <v>46570</v>
      </c>
      <c r="Q13762">
        <v>2</v>
      </c>
      <c r="R13762" t="s">
        <v>46586</v>
      </c>
      <c r="S13762" t="s">
        <v>47313</v>
      </c>
      <c r="T13762" t="s">
        <v>48283</v>
      </c>
      <c r="U13762" t="s">
        <v>59817</v>
      </c>
      <c r="V13762" t="s">
        <v>63148</v>
      </c>
      <c r="W13762" t="s">
        <v>43470</v>
      </c>
      <c r="X13762" t="s">
        <v>46587</v>
      </c>
    </row>
    <row r="13763" spans="1:24">
      <c r="A13763">
        <f>HYPERLINK("https://www.philgeps.gov.ph/GEPSNONPILOT/Tender/SplashBidNoticeAbstractUI.aspx?menuIndex=3&amp;refID=7037794&amp;Result=3","7037794")</f>
        <v>0</v>
      </c>
      <c r="B13763" t="s">
        <v>1004</v>
      </c>
      <c r="C13763" t="s">
        <v>16606</v>
      </c>
      <c r="D13763" t="s">
        <v>18832</v>
      </c>
      <c r="E13763" t="s">
        <v>19688</v>
      </c>
      <c r="F13763" t="s">
        <v>32664</v>
      </c>
      <c r="G13763" t="s">
        <v>32672</v>
      </c>
      <c r="H13763" t="s">
        <v>12635</v>
      </c>
      <c r="I13763" t="s">
        <v>32743</v>
      </c>
      <c r="J13763" t="s">
        <v>32865</v>
      </c>
      <c r="K13763" t="s">
        <v>42289</v>
      </c>
      <c r="M13763" t="s">
        <v>43616</v>
      </c>
      <c r="N13763" t="s">
        <v>46569</v>
      </c>
      <c r="O13763" t="s">
        <v>46570</v>
      </c>
      <c r="P13763">
        <v>0</v>
      </c>
      <c r="Q13763">
        <v>7</v>
      </c>
      <c r="R13763" t="s">
        <v>46586</v>
      </c>
      <c r="S13763" t="s">
        <v>47252</v>
      </c>
      <c r="T13763" t="s">
        <v>48228</v>
      </c>
      <c r="U13763" t="s">
        <v>59818</v>
      </c>
      <c r="W13763" t="s">
        <v>43616</v>
      </c>
      <c r="X13763" t="s">
        <v>46587</v>
      </c>
    </row>
    <row r="13764" spans="1:24">
      <c r="A13764">
        <f>HYPERLINK("https://www.philgeps.gov.ph/GEPSNONPILOT/Tender/SplashBidNoticeAbstractUI.aspx?menuIndex=3&amp;refID=7037486&amp;Result=3","7037486")</f>
        <v>0</v>
      </c>
      <c r="B13764" t="s">
        <v>2089</v>
      </c>
      <c r="C13764" t="s">
        <v>16607</v>
      </c>
      <c r="D13764" t="s">
        <v>18834</v>
      </c>
      <c r="E13764" t="s">
        <v>30719</v>
      </c>
      <c r="F13764" t="s">
        <v>32664</v>
      </c>
      <c r="G13764" t="s">
        <v>32672</v>
      </c>
      <c r="H13764" t="s">
        <v>12635</v>
      </c>
      <c r="I13764" t="s">
        <v>5589</v>
      </c>
      <c r="J13764" t="s">
        <v>40953</v>
      </c>
      <c r="K13764" t="s">
        <v>42283</v>
      </c>
      <c r="M13764" t="s">
        <v>44843</v>
      </c>
      <c r="N13764" t="s">
        <v>46569</v>
      </c>
      <c r="O13764" t="s">
        <v>46570</v>
      </c>
      <c r="Q13764">
        <v>14</v>
      </c>
      <c r="R13764" t="s">
        <v>46586</v>
      </c>
      <c r="S13764" t="s">
        <v>47314</v>
      </c>
      <c r="T13764" t="s">
        <v>48282</v>
      </c>
      <c r="U13764" t="s">
        <v>59819</v>
      </c>
      <c r="W13764" t="s">
        <v>44843</v>
      </c>
      <c r="X13764" t="s">
        <v>46587</v>
      </c>
    </row>
    <row r="13765" spans="1:24">
      <c r="A13765">
        <f>HYPERLINK("https://www.philgeps.gov.ph/GEPSNONPILOT/Tender/SplashBidNoticeAbstractUI.aspx?menuIndex=3&amp;refID=7037808&amp;Result=3","7037808")</f>
        <v>0</v>
      </c>
      <c r="B13765" t="s">
        <v>1605</v>
      </c>
      <c r="C13765" t="s">
        <v>16608</v>
      </c>
      <c r="D13765" t="s">
        <v>18818</v>
      </c>
      <c r="E13765" t="s">
        <v>30720</v>
      </c>
      <c r="F13765" t="s">
        <v>32664</v>
      </c>
      <c r="G13765" t="s">
        <v>32672</v>
      </c>
      <c r="H13765" t="s">
        <v>32683</v>
      </c>
      <c r="I13765" t="s">
        <v>10627</v>
      </c>
      <c r="J13765" t="s">
        <v>33508</v>
      </c>
      <c r="K13765" t="s">
        <v>42323</v>
      </c>
      <c r="M13765" t="s">
        <v>44284</v>
      </c>
      <c r="N13765" t="s">
        <v>46569</v>
      </c>
      <c r="O13765" t="s">
        <v>46570</v>
      </c>
      <c r="Q13765">
        <v>0</v>
      </c>
      <c r="R13765" t="s">
        <v>46586</v>
      </c>
      <c r="S13765" t="s">
        <v>47315</v>
      </c>
      <c r="T13765" t="s">
        <v>48273</v>
      </c>
      <c r="U13765" t="s">
        <v>59706</v>
      </c>
      <c r="W13765" t="s">
        <v>44284</v>
      </c>
      <c r="X13765" t="s">
        <v>46587</v>
      </c>
    </row>
    <row r="13766" spans="1:24">
      <c r="A13766">
        <f>HYPERLINK("https://www.philgeps.gov.ph/GEPSNONPILOT/Tender/SplashBidNoticeAbstractUI.aspx?menuIndex=3&amp;refID=7037792&amp;Result=3","7037792")</f>
        <v>0</v>
      </c>
      <c r="B13766" t="s">
        <v>1605</v>
      </c>
      <c r="C13766" t="s">
        <v>16609</v>
      </c>
      <c r="D13766" t="s">
        <v>18818</v>
      </c>
      <c r="E13766" t="s">
        <v>30721</v>
      </c>
      <c r="F13766" t="s">
        <v>32664</v>
      </c>
      <c r="G13766" t="s">
        <v>32672</v>
      </c>
      <c r="H13766" t="s">
        <v>32683</v>
      </c>
      <c r="I13766" t="s">
        <v>10627</v>
      </c>
      <c r="J13766" t="s">
        <v>33508</v>
      </c>
      <c r="K13766" t="s">
        <v>42323</v>
      </c>
      <c r="M13766" t="s">
        <v>44284</v>
      </c>
      <c r="N13766" t="s">
        <v>46569</v>
      </c>
      <c r="O13766" t="s">
        <v>46570</v>
      </c>
      <c r="Q13766">
        <v>0</v>
      </c>
      <c r="R13766" t="s">
        <v>46586</v>
      </c>
      <c r="S13766" t="s">
        <v>47316</v>
      </c>
      <c r="T13766" t="s">
        <v>48273</v>
      </c>
      <c r="U13766" t="s">
        <v>59706</v>
      </c>
      <c r="W13766" t="s">
        <v>44284</v>
      </c>
      <c r="X13766" t="s">
        <v>46587</v>
      </c>
    </row>
    <row r="13767" spans="1:24">
      <c r="A13767">
        <f>HYPERLINK("https://www.philgeps.gov.ph/GEPSNONPILOT/Tender/SplashBidNoticeAbstractUI.aspx?menuIndex=3&amp;refID=7037804&amp;Result=3","7037804")</f>
        <v>0</v>
      </c>
      <c r="B13767" t="s">
        <v>2776</v>
      </c>
      <c r="C13767" t="s">
        <v>16610</v>
      </c>
      <c r="D13767" t="s">
        <v>18842</v>
      </c>
      <c r="E13767" t="s">
        <v>30722</v>
      </c>
      <c r="F13767" t="s">
        <v>32664</v>
      </c>
      <c r="G13767" t="s">
        <v>32672</v>
      </c>
      <c r="H13767" t="s">
        <v>32683</v>
      </c>
      <c r="I13767" t="s">
        <v>10627</v>
      </c>
      <c r="J13767" t="s">
        <v>33267</v>
      </c>
      <c r="K13767" t="s">
        <v>42305</v>
      </c>
      <c r="M13767" t="s">
        <v>45883</v>
      </c>
      <c r="N13767" t="s">
        <v>46569</v>
      </c>
      <c r="O13767" t="s">
        <v>46570</v>
      </c>
      <c r="P13767">
        <v>0</v>
      </c>
      <c r="Q13767">
        <v>0</v>
      </c>
      <c r="R13767" t="s">
        <v>46586</v>
      </c>
      <c r="S13767" t="s">
        <v>47252</v>
      </c>
      <c r="T13767" t="s">
        <v>48283</v>
      </c>
      <c r="U13767" t="s">
        <v>59814</v>
      </c>
      <c r="W13767" t="s">
        <v>45883</v>
      </c>
      <c r="X13767" t="s">
        <v>46587</v>
      </c>
    </row>
    <row r="13768" spans="1:24">
      <c r="A13768">
        <f>HYPERLINK("https://www.philgeps.gov.ph/GEPSNONPILOT/Tender/SplashBidNoticeAbstractUI.aspx?menuIndex=3&amp;refID=7037783&amp;Result=3","7037783")</f>
        <v>0</v>
      </c>
      <c r="B13768" t="s">
        <v>870</v>
      </c>
      <c r="C13768" t="s">
        <v>16611</v>
      </c>
      <c r="D13768" t="s">
        <v>18844</v>
      </c>
      <c r="E13768" t="s">
        <v>30723</v>
      </c>
      <c r="F13768" t="s">
        <v>32664</v>
      </c>
      <c r="G13768" t="s">
        <v>32672</v>
      </c>
      <c r="H13768" t="s">
        <v>12635</v>
      </c>
      <c r="I13768" t="s">
        <v>32712</v>
      </c>
      <c r="J13768" t="s">
        <v>40958</v>
      </c>
      <c r="K13768" t="s">
        <v>42297</v>
      </c>
      <c r="M13768" t="s">
        <v>43470</v>
      </c>
      <c r="N13768" t="s">
        <v>46569</v>
      </c>
      <c r="O13768" t="s">
        <v>46570</v>
      </c>
      <c r="Q13768">
        <v>9</v>
      </c>
      <c r="R13768" t="s">
        <v>46586</v>
      </c>
      <c r="S13768" t="s">
        <v>47317</v>
      </c>
      <c r="T13768" t="s">
        <v>48244</v>
      </c>
      <c r="U13768" t="s">
        <v>59820</v>
      </c>
      <c r="V13768" t="s">
        <v>63142</v>
      </c>
      <c r="W13768" t="s">
        <v>43470</v>
      </c>
      <c r="X13768" t="s">
        <v>46587</v>
      </c>
    </row>
    <row r="13769" spans="1:24">
      <c r="A13769">
        <f>HYPERLINK("https://www.philgeps.gov.ph/GEPSNONPILOT/Tender/SplashBidNoticeAbstractUI.aspx?menuIndex=3&amp;refID=7037803&amp;Result=3","7037803")</f>
        <v>0</v>
      </c>
      <c r="B13769" t="s">
        <v>2773</v>
      </c>
      <c r="C13769" t="s">
        <v>16612</v>
      </c>
      <c r="D13769" t="s">
        <v>18814</v>
      </c>
      <c r="E13769" t="s">
        <v>30724</v>
      </c>
      <c r="F13769" t="s">
        <v>32664</v>
      </c>
      <c r="G13769" t="s">
        <v>32672</v>
      </c>
      <c r="H13769" t="s">
        <v>32683</v>
      </c>
      <c r="I13769" t="s">
        <v>10627</v>
      </c>
      <c r="J13769" t="s">
        <v>40992</v>
      </c>
      <c r="K13769" t="s">
        <v>42311</v>
      </c>
      <c r="M13769" t="s">
        <v>45613</v>
      </c>
      <c r="N13769" t="s">
        <v>46569</v>
      </c>
      <c r="O13769" t="s">
        <v>46570</v>
      </c>
      <c r="Q13769">
        <v>46</v>
      </c>
      <c r="R13769" t="s">
        <v>46586</v>
      </c>
      <c r="S13769" t="s">
        <v>47318</v>
      </c>
      <c r="T13769" t="s">
        <v>48283</v>
      </c>
      <c r="U13769" t="s">
        <v>59821</v>
      </c>
      <c r="V13769" t="s">
        <v>62673</v>
      </c>
      <c r="W13769" t="s">
        <v>45613</v>
      </c>
      <c r="X13769" t="s">
        <v>46587</v>
      </c>
    </row>
    <row r="13770" spans="1:24">
      <c r="A13770">
        <f>HYPERLINK("https://www.philgeps.gov.ph/GEPSNONPILOT/Tender/SplashBidNoticeAbstractUI.aspx?menuIndex=3&amp;refID=7037793&amp;Result=3","7037793")</f>
        <v>0</v>
      </c>
      <c r="B13770" t="s">
        <v>1863</v>
      </c>
      <c r="C13770" t="s">
        <v>12403</v>
      </c>
      <c r="D13770" t="s">
        <v>18783</v>
      </c>
      <c r="E13770" t="s">
        <v>30725</v>
      </c>
      <c r="F13770" t="s">
        <v>32664</v>
      </c>
      <c r="G13770" t="s">
        <v>32672</v>
      </c>
      <c r="H13770" t="s">
        <v>12635</v>
      </c>
      <c r="I13770" t="s">
        <v>10590</v>
      </c>
      <c r="J13770" t="s">
        <v>40993</v>
      </c>
      <c r="K13770" t="s">
        <v>42378</v>
      </c>
      <c r="M13770" t="s">
        <v>44576</v>
      </c>
      <c r="N13770" t="s">
        <v>46569</v>
      </c>
      <c r="O13770" t="s">
        <v>46570</v>
      </c>
      <c r="Q13770">
        <v>0</v>
      </c>
      <c r="R13770" t="s">
        <v>46586</v>
      </c>
      <c r="S13770" t="s">
        <v>47319</v>
      </c>
      <c r="T13770" t="s">
        <v>48228</v>
      </c>
      <c r="U13770" t="s">
        <v>59822</v>
      </c>
      <c r="V13770" t="s">
        <v>62203</v>
      </c>
      <c r="W13770" t="s">
        <v>44576</v>
      </c>
      <c r="X13770" t="s">
        <v>46587</v>
      </c>
    </row>
    <row r="13771" spans="1:24">
      <c r="A13771">
        <f>HYPERLINK("https://www.philgeps.gov.ph/GEPSNONPILOT/Tender/SplashBidNoticeAbstractUI.aspx?menuIndex=3&amp;refID=7037772&amp;Result=3","7037772")</f>
        <v>0</v>
      </c>
      <c r="B13771" t="s">
        <v>590</v>
      </c>
      <c r="C13771" t="s">
        <v>16613</v>
      </c>
      <c r="D13771" t="s">
        <v>18809</v>
      </c>
      <c r="E13771" t="s">
        <v>19670</v>
      </c>
      <c r="F13771" t="s">
        <v>32664</v>
      </c>
      <c r="G13771" t="s">
        <v>32672</v>
      </c>
      <c r="H13771" t="s">
        <v>12635</v>
      </c>
      <c r="I13771" t="s">
        <v>11464</v>
      </c>
      <c r="J13771" t="s">
        <v>33273</v>
      </c>
      <c r="K13771" t="s">
        <v>42321</v>
      </c>
      <c r="M13771" t="s">
        <v>43170</v>
      </c>
      <c r="N13771" t="s">
        <v>46569</v>
      </c>
      <c r="O13771" t="s">
        <v>46570</v>
      </c>
      <c r="P13771">
        <v>0</v>
      </c>
      <c r="Q13771">
        <v>5</v>
      </c>
      <c r="R13771" t="s">
        <v>46586</v>
      </c>
      <c r="S13771" t="s">
        <v>47252</v>
      </c>
      <c r="T13771" t="s">
        <v>48283</v>
      </c>
      <c r="U13771" t="s">
        <v>59823</v>
      </c>
      <c r="V13771" t="s">
        <v>63149</v>
      </c>
      <c r="W13771" t="s">
        <v>43170</v>
      </c>
      <c r="X13771" t="s">
        <v>46587</v>
      </c>
    </row>
    <row r="13772" spans="1:24">
      <c r="A13772">
        <f>HYPERLINK("https://www.philgeps.gov.ph/GEPSNONPILOT/Tender/SplashBidNoticeAbstractUI.aspx?menuIndex=3&amp;refID=7037771&amp;Result=3","7037771")</f>
        <v>0</v>
      </c>
      <c r="B13772" t="s">
        <v>2523</v>
      </c>
      <c r="C13772" t="s">
        <v>16614</v>
      </c>
      <c r="D13772" t="s">
        <v>18789</v>
      </c>
      <c r="E13772" t="s">
        <v>25683</v>
      </c>
      <c r="F13772" t="s">
        <v>32664</v>
      </c>
      <c r="G13772" t="s">
        <v>32672</v>
      </c>
      <c r="H13772" t="s">
        <v>12635</v>
      </c>
      <c r="I13772" t="s">
        <v>4205</v>
      </c>
      <c r="J13772" t="s">
        <v>40994</v>
      </c>
      <c r="K13772" t="s">
        <v>42289</v>
      </c>
      <c r="M13772" t="s">
        <v>46315</v>
      </c>
      <c r="N13772" t="s">
        <v>46569</v>
      </c>
      <c r="O13772" t="s">
        <v>46570</v>
      </c>
      <c r="Q13772">
        <v>6</v>
      </c>
      <c r="R13772" t="s">
        <v>46586</v>
      </c>
      <c r="S13772" t="s">
        <v>47320</v>
      </c>
      <c r="T13772" t="s">
        <v>48330</v>
      </c>
      <c r="U13772" t="s">
        <v>59824</v>
      </c>
      <c r="W13772" t="s">
        <v>46315</v>
      </c>
      <c r="X13772" t="s">
        <v>46587</v>
      </c>
    </row>
    <row r="13773" spans="1:24">
      <c r="A13773">
        <f>HYPERLINK("https://www.philgeps.gov.ph/GEPSNONPILOT/Tender/SplashBidNoticeAbstractUI.aspx?menuIndex=3&amp;refID=7037689&amp;Result=3","7037689")</f>
        <v>0</v>
      </c>
      <c r="B13773" t="s">
        <v>189</v>
      </c>
      <c r="C13773" t="s">
        <v>16615</v>
      </c>
      <c r="E13773" t="s">
        <v>30726</v>
      </c>
      <c r="F13773" t="s">
        <v>32664</v>
      </c>
      <c r="G13773" t="s">
        <v>32672</v>
      </c>
      <c r="H13773" t="s">
        <v>12635</v>
      </c>
      <c r="I13773" t="s">
        <v>10374</v>
      </c>
      <c r="J13773" t="s">
        <v>37841</v>
      </c>
      <c r="K13773" t="s">
        <v>42281</v>
      </c>
      <c r="M13773" t="s">
        <v>42753</v>
      </c>
      <c r="N13773" t="s">
        <v>46569</v>
      </c>
      <c r="O13773" t="s">
        <v>46570</v>
      </c>
      <c r="P13773">
        <v>0</v>
      </c>
      <c r="Q13773">
        <v>2</v>
      </c>
      <c r="R13773" t="s">
        <v>46586</v>
      </c>
      <c r="S13773" t="s">
        <v>47252</v>
      </c>
      <c r="T13773" t="s">
        <v>48282</v>
      </c>
      <c r="U13773" t="s">
        <v>59809</v>
      </c>
      <c r="W13773" t="s">
        <v>42753</v>
      </c>
      <c r="X13773" t="s">
        <v>46587</v>
      </c>
    </row>
    <row r="13774" spans="1:24">
      <c r="A13774">
        <f>HYPERLINK("https://www.philgeps.gov.ph/GEPSNONPILOT/Tender/SplashBidNoticeAbstractUI.aspx?menuIndex=3&amp;refID=7037687&amp;Result=3","7037687")</f>
        <v>0</v>
      </c>
      <c r="B13774" t="s">
        <v>3358</v>
      </c>
      <c r="C13774" t="s">
        <v>16616</v>
      </c>
      <c r="D13774" t="s">
        <v>18831</v>
      </c>
      <c r="E13774" t="s">
        <v>30727</v>
      </c>
      <c r="F13774" t="s">
        <v>32664</v>
      </c>
      <c r="G13774" t="s">
        <v>32672</v>
      </c>
      <c r="H13774" t="s">
        <v>32683</v>
      </c>
      <c r="I13774" t="s">
        <v>10627</v>
      </c>
      <c r="J13774" t="s">
        <v>34487</v>
      </c>
      <c r="K13774" t="s">
        <v>42281</v>
      </c>
      <c r="M13774" t="s">
        <v>46316</v>
      </c>
      <c r="N13774" t="s">
        <v>46569</v>
      </c>
      <c r="O13774" t="s">
        <v>46570</v>
      </c>
      <c r="Q13774">
        <v>1</v>
      </c>
      <c r="R13774" t="s">
        <v>46586</v>
      </c>
      <c r="S13774" t="s">
        <v>47321</v>
      </c>
      <c r="T13774" t="s">
        <v>48221</v>
      </c>
      <c r="U13774" t="s">
        <v>59825</v>
      </c>
      <c r="W13774" t="s">
        <v>46316</v>
      </c>
      <c r="X13774" t="s">
        <v>46587</v>
      </c>
    </row>
    <row r="13775" spans="1:24">
      <c r="A13775">
        <f>HYPERLINK("https://www.philgeps.gov.ph/GEPSNONPILOT/Tender/SplashBidNoticeAbstractUI.aspx?menuIndex=3&amp;refID=7037628&amp;Result=3","7037628")</f>
        <v>0</v>
      </c>
      <c r="B13775" t="s">
        <v>1524</v>
      </c>
      <c r="C13775" t="s">
        <v>16617</v>
      </c>
      <c r="D13775" t="s">
        <v>18804</v>
      </c>
      <c r="E13775" t="s">
        <v>30728</v>
      </c>
      <c r="F13775" t="s">
        <v>32664</v>
      </c>
      <c r="G13775" t="s">
        <v>32672</v>
      </c>
      <c r="H13775" t="s">
        <v>32683</v>
      </c>
      <c r="I13775" t="s">
        <v>10627</v>
      </c>
      <c r="J13775" t="s">
        <v>34293</v>
      </c>
      <c r="K13775" t="s">
        <v>42285</v>
      </c>
      <c r="M13775" t="s">
        <v>44191</v>
      </c>
      <c r="N13775" t="s">
        <v>46569</v>
      </c>
      <c r="O13775" t="s">
        <v>46570</v>
      </c>
      <c r="Q13775">
        <v>10</v>
      </c>
      <c r="R13775" t="s">
        <v>46586</v>
      </c>
      <c r="S13775" t="s">
        <v>47322</v>
      </c>
      <c r="T13775" t="s">
        <v>48732</v>
      </c>
      <c r="U13775" t="s">
        <v>59826</v>
      </c>
      <c r="V13775" t="s">
        <v>62052</v>
      </c>
      <c r="W13775" t="s">
        <v>44191</v>
      </c>
      <c r="X13775" t="s">
        <v>46587</v>
      </c>
    </row>
    <row r="13776" spans="1:24">
      <c r="A13776">
        <f>HYPERLINK("https://www.philgeps.gov.ph/GEPSNONPILOT/Tender/SplashBidNoticeAbstractUI.aspx?menuIndex=3&amp;refID=7037795&amp;Result=3","7037795")</f>
        <v>0</v>
      </c>
      <c r="B13776" t="s">
        <v>1571</v>
      </c>
      <c r="C13776" t="s">
        <v>16618</v>
      </c>
      <c r="D13776" t="s">
        <v>18832</v>
      </c>
      <c r="E13776" t="s">
        <v>30729</v>
      </c>
      <c r="F13776" t="s">
        <v>32664</v>
      </c>
      <c r="G13776" t="s">
        <v>32672</v>
      </c>
      <c r="H13776" t="s">
        <v>32683</v>
      </c>
      <c r="I13776" t="s">
        <v>10627</v>
      </c>
      <c r="J13776" t="s">
        <v>40995</v>
      </c>
      <c r="K13776" t="s">
        <v>42311</v>
      </c>
      <c r="M13776" t="s">
        <v>44246</v>
      </c>
      <c r="N13776" t="s">
        <v>46569</v>
      </c>
      <c r="O13776" t="s">
        <v>46570</v>
      </c>
      <c r="Q13776">
        <v>16</v>
      </c>
      <c r="R13776" t="s">
        <v>46586</v>
      </c>
      <c r="S13776" t="s">
        <v>47323</v>
      </c>
      <c r="T13776" t="s">
        <v>48228</v>
      </c>
      <c r="U13776" t="s">
        <v>59827</v>
      </c>
      <c r="W13776" t="s">
        <v>44246</v>
      </c>
      <c r="X13776" t="s">
        <v>46587</v>
      </c>
    </row>
    <row r="13777" spans="1:24">
      <c r="A13777">
        <f>HYPERLINK("https://www.philgeps.gov.ph/GEPSNONPILOT/Tender/SplashBidNoticeAbstractUI.aspx?menuIndex=3&amp;refID=7037612&amp;Result=3","7037612")</f>
        <v>0</v>
      </c>
      <c r="B13777" t="s">
        <v>1210</v>
      </c>
      <c r="C13777" t="s">
        <v>16619</v>
      </c>
      <c r="D13777" t="s">
        <v>18788</v>
      </c>
      <c r="E13777" t="s">
        <v>30730</v>
      </c>
      <c r="F13777" t="s">
        <v>32664</v>
      </c>
      <c r="G13777" t="s">
        <v>32672</v>
      </c>
      <c r="H13777" t="s">
        <v>12635</v>
      </c>
      <c r="I13777" t="s">
        <v>11464</v>
      </c>
      <c r="J13777" t="s">
        <v>40324</v>
      </c>
      <c r="K13777" t="s">
        <v>42283</v>
      </c>
      <c r="M13777" t="s">
        <v>43848</v>
      </c>
      <c r="N13777" t="s">
        <v>46569</v>
      </c>
      <c r="O13777" t="s">
        <v>46570</v>
      </c>
      <c r="P13777">
        <v>0</v>
      </c>
      <c r="Q13777">
        <v>3</v>
      </c>
      <c r="R13777" t="s">
        <v>46586</v>
      </c>
      <c r="S13777" t="s">
        <v>47252</v>
      </c>
      <c r="T13777" t="s">
        <v>48228</v>
      </c>
      <c r="U13777" t="s">
        <v>51362</v>
      </c>
      <c r="W13777" t="s">
        <v>43848</v>
      </c>
      <c r="X13777" t="s">
        <v>46587</v>
      </c>
    </row>
    <row r="13778" spans="1:24">
      <c r="A13778">
        <f>HYPERLINK("https://www.philgeps.gov.ph/GEPSNONPILOT/Tender/SplashBidNoticeAbstractUI.aspx?menuIndex=3&amp;refID=7037879&amp;Result=3","7037879")</f>
        <v>0</v>
      </c>
      <c r="B13778" t="s">
        <v>1571</v>
      </c>
      <c r="C13778" t="s">
        <v>16620</v>
      </c>
      <c r="D13778" t="s">
        <v>18832</v>
      </c>
      <c r="E13778" t="s">
        <v>30731</v>
      </c>
      <c r="F13778" t="s">
        <v>32664</v>
      </c>
      <c r="G13778" t="s">
        <v>32672</v>
      </c>
      <c r="H13778" t="s">
        <v>32683</v>
      </c>
      <c r="I13778" t="s">
        <v>10627</v>
      </c>
      <c r="J13778" t="s">
        <v>40996</v>
      </c>
      <c r="K13778" t="s">
        <v>42298</v>
      </c>
      <c r="M13778" t="s">
        <v>44246</v>
      </c>
      <c r="N13778" t="s">
        <v>46569</v>
      </c>
      <c r="O13778" t="s">
        <v>46570</v>
      </c>
      <c r="Q13778">
        <v>15</v>
      </c>
      <c r="R13778" t="s">
        <v>46586</v>
      </c>
      <c r="S13778" t="s">
        <v>47324</v>
      </c>
      <c r="T13778" t="s">
        <v>48228</v>
      </c>
      <c r="U13778" t="s">
        <v>59828</v>
      </c>
      <c r="W13778" t="s">
        <v>44246</v>
      </c>
      <c r="X13778" t="s">
        <v>46587</v>
      </c>
    </row>
    <row r="13779" spans="1:24">
      <c r="A13779">
        <f>HYPERLINK("https://www.philgeps.gov.ph/GEPSNONPILOT/Tender/SplashBidNoticeAbstractUI.aspx?menuIndex=3&amp;refID=7037798&amp;Result=3","7037798")</f>
        <v>0</v>
      </c>
      <c r="B13779" t="s">
        <v>1988</v>
      </c>
      <c r="C13779" t="s">
        <v>16278</v>
      </c>
      <c r="D13779" t="s">
        <v>18830</v>
      </c>
      <c r="E13779" t="s">
        <v>22025</v>
      </c>
      <c r="F13779" t="s">
        <v>32664</v>
      </c>
      <c r="G13779" t="s">
        <v>32672</v>
      </c>
      <c r="H13779" t="s">
        <v>12635</v>
      </c>
      <c r="I13779" t="s">
        <v>32711</v>
      </c>
      <c r="J13779" t="s">
        <v>40997</v>
      </c>
      <c r="K13779" t="s">
        <v>42283</v>
      </c>
      <c r="M13779" t="s">
        <v>46002</v>
      </c>
      <c r="N13779" t="s">
        <v>46569</v>
      </c>
      <c r="O13779" t="s">
        <v>46570</v>
      </c>
      <c r="Q13779">
        <v>5</v>
      </c>
      <c r="R13779" t="s">
        <v>46586</v>
      </c>
      <c r="S13779" t="s">
        <v>47325</v>
      </c>
      <c r="T13779" t="s">
        <v>48550</v>
      </c>
      <c r="U13779" t="s">
        <v>59829</v>
      </c>
      <c r="V13779" t="s">
        <v>63091</v>
      </c>
      <c r="W13779" t="s">
        <v>46002</v>
      </c>
      <c r="X13779" t="s">
        <v>46587</v>
      </c>
    </row>
    <row r="13780" spans="1:24">
      <c r="A13780">
        <f>HYPERLINK("https://www.philgeps.gov.ph/GEPSNONPILOT/Tender/SplashBidNoticeAbstractUI.aspx?menuIndex=3&amp;refID=7037790&amp;Result=3","7037790")</f>
        <v>0</v>
      </c>
      <c r="B13780" t="s">
        <v>3359</v>
      </c>
      <c r="C13780" t="s">
        <v>16621</v>
      </c>
      <c r="E13780" t="s">
        <v>30732</v>
      </c>
      <c r="F13780" t="s">
        <v>32664</v>
      </c>
      <c r="G13780" t="s">
        <v>32672</v>
      </c>
      <c r="H13780" t="s">
        <v>12635</v>
      </c>
      <c r="I13780" t="s">
        <v>4439</v>
      </c>
      <c r="J13780" t="s">
        <v>40998</v>
      </c>
      <c r="K13780" t="s">
        <v>42283</v>
      </c>
      <c r="M13780" t="s">
        <v>46317</v>
      </c>
      <c r="N13780" t="s">
        <v>46569</v>
      </c>
      <c r="O13780" t="s">
        <v>46570</v>
      </c>
      <c r="P13780">
        <v>0</v>
      </c>
      <c r="Q13780">
        <v>1</v>
      </c>
      <c r="R13780" t="s">
        <v>46586</v>
      </c>
      <c r="S13780" t="s">
        <v>47252</v>
      </c>
      <c r="T13780" t="s">
        <v>48254</v>
      </c>
      <c r="U13780" t="s">
        <v>59830</v>
      </c>
      <c r="W13780" t="s">
        <v>46317</v>
      </c>
      <c r="X13780" t="s">
        <v>46587</v>
      </c>
    </row>
    <row r="13781" spans="1:24">
      <c r="A13781">
        <f>HYPERLINK("https://www.philgeps.gov.ph/GEPSNONPILOT/Tender/SplashBidNoticeAbstractUI.aspx?menuIndex=3&amp;refID=7037776&amp;Result=3","7037776")</f>
        <v>0</v>
      </c>
      <c r="B13781" t="s">
        <v>1004</v>
      </c>
      <c r="C13781" t="s">
        <v>16622</v>
      </c>
      <c r="D13781" t="s">
        <v>18832</v>
      </c>
      <c r="E13781" t="s">
        <v>19688</v>
      </c>
      <c r="F13781" t="s">
        <v>32664</v>
      </c>
      <c r="G13781" t="s">
        <v>32672</v>
      </c>
      <c r="H13781" t="s">
        <v>12635</v>
      </c>
      <c r="I13781" t="s">
        <v>32743</v>
      </c>
      <c r="J13781" t="s">
        <v>32865</v>
      </c>
      <c r="K13781" t="s">
        <v>42289</v>
      </c>
      <c r="M13781" t="s">
        <v>43616</v>
      </c>
      <c r="N13781" t="s">
        <v>46569</v>
      </c>
      <c r="O13781" t="s">
        <v>46570</v>
      </c>
      <c r="P13781">
        <v>0</v>
      </c>
      <c r="Q13781">
        <v>7</v>
      </c>
      <c r="R13781" t="s">
        <v>46586</v>
      </c>
      <c r="S13781" t="s">
        <v>47252</v>
      </c>
      <c r="T13781" t="s">
        <v>48228</v>
      </c>
      <c r="U13781" t="s">
        <v>59831</v>
      </c>
      <c r="W13781" t="s">
        <v>43616</v>
      </c>
      <c r="X13781" t="s">
        <v>46587</v>
      </c>
    </row>
    <row r="13782" spans="1:24">
      <c r="A13782">
        <f>HYPERLINK("https://www.philgeps.gov.ph/GEPSNONPILOT/Tender/SplashBidNoticeAbstractUI.aspx?menuIndex=3&amp;refID=7037874&amp;Result=3","7037874")</f>
        <v>0</v>
      </c>
      <c r="B13782" t="s">
        <v>1709</v>
      </c>
      <c r="C13782" t="s">
        <v>16623</v>
      </c>
      <c r="D13782" t="s">
        <v>18834</v>
      </c>
      <c r="E13782" t="s">
        <v>30733</v>
      </c>
      <c r="F13782" t="s">
        <v>32664</v>
      </c>
      <c r="G13782" t="s">
        <v>32672</v>
      </c>
      <c r="H13782" t="s">
        <v>12635</v>
      </c>
      <c r="I13782" t="s">
        <v>6628</v>
      </c>
      <c r="J13782" t="s">
        <v>40999</v>
      </c>
      <c r="K13782" t="s">
        <v>42305</v>
      </c>
      <c r="M13782" t="s">
        <v>46318</v>
      </c>
      <c r="N13782" t="s">
        <v>46569</v>
      </c>
      <c r="O13782" t="s">
        <v>46570</v>
      </c>
      <c r="Q13782">
        <v>10</v>
      </c>
      <c r="R13782" t="s">
        <v>46586</v>
      </c>
      <c r="S13782" t="s">
        <v>47326</v>
      </c>
      <c r="T13782" t="s">
        <v>48282</v>
      </c>
      <c r="U13782" t="s">
        <v>59832</v>
      </c>
      <c r="V13782" t="s">
        <v>63150</v>
      </c>
      <c r="W13782" t="s">
        <v>46318</v>
      </c>
      <c r="X13782" t="s">
        <v>46587</v>
      </c>
    </row>
    <row r="13783" spans="1:24">
      <c r="A13783">
        <f>HYPERLINK("https://www.philgeps.gov.ph/GEPSNONPILOT/Tender/SplashBidNoticeAbstractUI.aspx?menuIndex=3&amp;refID=7037870&amp;Result=3","7037870")</f>
        <v>0</v>
      </c>
      <c r="B13783" t="s">
        <v>3360</v>
      </c>
      <c r="C13783" t="s">
        <v>16624</v>
      </c>
      <c r="D13783" t="s">
        <v>18786</v>
      </c>
      <c r="E13783" t="s">
        <v>20949</v>
      </c>
      <c r="F13783" t="s">
        <v>32664</v>
      </c>
      <c r="G13783" t="s">
        <v>32672</v>
      </c>
      <c r="H13783" t="s">
        <v>12635</v>
      </c>
      <c r="I13783" t="s">
        <v>32743</v>
      </c>
      <c r="J13783" t="s">
        <v>34293</v>
      </c>
      <c r="K13783" t="s">
        <v>42281</v>
      </c>
      <c r="M13783" t="s">
        <v>46319</v>
      </c>
      <c r="N13783" t="s">
        <v>46569</v>
      </c>
      <c r="O13783" t="s">
        <v>46570</v>
      </c>
      <c r="Q13783">
        <v>8</v>
      </c>
      <c r="R13783" t="s">
        <v>46586</v>
      </c>
      <c r="S13783" t="s">
        <v>47327</v>
      </c>
      <c r="T13783" t="s">
        <v>48283</v>
      </c>
      <c r="U13783" t="s">
        <v>59833</v>
      </c>
      <c r="V13783" t="s">
        <v>63151</v>
      </c>
      <c r="W13783" t="s">
        <v>46319</v>
      </c>
      <c r="X13783" t="s">
        <v>46587</v>
      </c>
    </row>
    <row r="13784" spans="1:24">
      <c r="A13784">
        <f>HYPERLINK("https://www.philgeps.gov.ph/GEPSNONPILOT/Tender/SplashBidNoticeAbstractUI.aspx?menuIndex=3&amp;refID=7037862&amp;Result=3","7037862")</f>
        <v>0</v>
      </c>
      <c r="B13784" t="s">
        <v>3303</v>
      </c>
      <c r="C13784" t="s">
        <v>16625</v>
      </c>
      <c r="D13784" t="s">
        <v>18783</v>
      </c>
      <c r="E13784" t="s">
        <v>30734</v>
      </c>
      <c r="F13784" t="s">
        <v>32664</v>
      </c>
      <c r="G13784" t="s">
        <v>32672</v>
      </c>
      <c r="H13784" t="s">
        <v>12635</v>
      </c>
      <c r="I13784" t="s">
        <v>32764</v>
      </c>
      <c r="J13784" t="s">
        <v>33150</v>
      </c>
      <c r="K13784" t="s">
        <v>42298</v>
      </c>
      <c r="M13784" t="s">
        <v>46248</v>
      </c>
      <c r="N13784" t="s">
        <v>46569</v>
      </c>
      <c r="O13784" t="s">
        <v>46570</v>
      </c>
      <c r="Q13784">
        <v>10</v>
      </c>
      <c r="R13784" t="s">
        <v>46586</v>
      </c>
      <c r="S13784" t="s">
        <v>47328</v>
      </c>
      <c r="T13784" t="s">
        <v>48221</v>
      </c>
      <c r="U13784" t="s">
        <v>59834</v>
      </c>
      <c r="W13784" t="s">
        <v>46248</v>
      </c>
      <c r="X13784" t="s">
        <v>46587</v>
      </c>
    </row>
    <row r="13785" spans="1:24">
      <c r="A13785">
        <f>HYPERLINK("https://www.philgeps.gov.ph/GEPSNONPILOT/Tender/SplashBidNoticeAbstractUI.aspx?menuIndex=3&amp;refID=7037778&amp;Result=3","7037778")</f>
        <v>0</v>
      </c>
      <c r="B13785" t="s">
        <v>1863</v>
      </c>
      <c r="C13785" t="s">
        <v>16626</v>
      </c>
      <c r="D13785" t="s">
        <v>18783</v>
      </c>
      <c r="E13785" t="s">
        <v>30735</v>
      </c>
      <c r="F13785" t="s">
        <v>32664</v>
      </c>
      <c r="G13785" t="s">
        <v>32672</v>
      </c>
      <c r="H13785" t="s">
        <v>32683</v>
      </c>
      <c r="I13785" t="s">
        <v>10627</v>
      </c>
      <c r="J13785" t="s">
        <v>35617</v>
      </c>
      <c r="K13785" t="s">
        <v>42413</v>
      </c>
      <c r="M13785" t="s">
        <v>44576</v>
      </c>
      <c r="N13785" t="s">
        <v>46569</v>
      </c>
      <c r="O13785" t="s">
        <v>46570</v>
      </c>
      <c r="P13785">
        <v>0</v>
      </c>
      <c r="Q13785">
        <v>0</v>
      </c>
      <c r="R13785" t="s">
        <v>46586</v>
      </c>
      <c r="S13785" t="s">
        <v>47252</v>
      </c>
      <c r="T13785" t="s">
        <v>48228</v>
      </c>
      <c r="U13785" t="s">
        <v>59806</v>
      </c>
      <c r="V13785" t="s">
        <v>62203</v>
      </c>
      <c r="W13785" t="s">
        <v>44576</v>
      </c>
      <c r="X13785" t="s">
        <v>46587</v>
      </c>
    </row>
    <row r="13786" spans="1:24">
      <c r="A13786">
        <f>HYPERLINK("https://www.philgeps.gov.ph/GEPSNONPILOT/Tender/SplashBidNoticeAbstractUI.aspx?menuIndex=3&amp;refID=7037863&amp;Result=3","7037863")</f>
        <v>0</v>
      </c>
      <c r="B13786" t="s">
        <v>1571</v>
      </c>
      <c r="C13786" t="s">
        <v>16627</v>
      </c>
      <c r="D13786" t="s">
        <v>18832</v>
      </c>
      <c r="E13786" t="s">
        <v>30736</v>
      </c>
      <c r="F13786" t="s">
        <v>32664</v>
      </c>
      <c r="G13786" t="s">
        <v>32672</v>
      </c>
      <c r="H13786" t="s">
        <v>32683</v>
      </c>
      <c r="I13786" t="s">
        <v>10627</v>
      </c>
      <c r="J13786" t="s">
        <v>41000</v>
      </c>
      <c r="K13786" t="s">
        <v>42311</v>
      </c>
      <c r="M13786" t="s">
        <v>44246</v>
      </c>
      <c r="N13786" t="s">
        <v>46569</v>
      </c>
      <c r="O13786" t="s">
        <v>46570</v>
      </c>
      <c r="Q13786">
        <v>15</v>
      </c>
      <c r="R13786" t="s">
        <v>46586</v>
      </c>
      <c r="S13786" t="s">
        <v>47329</v>
      </c>
      <c r="T13786" t="s">
        <v>48228</v>
      </c>
      <c r="U13786" t="s">
        <v>59835</v>
      </c>
      <c r="W13786" t="s">
        <v>44246</v>
      </c>
      <c r="X13786" t="s">
        <v>46587</v>
      </c>
    </row>
    <row r="13787" spans="1:24">
      <c r="A13787">
        <f>HYPERLINK("https://www.philgeps.gov.ph/GEPSNONPILOT/Tender/SplashBidNoticeAbstractUI.aspx?menuIndex=3&amp;refID=7037851&amp;Result=3","7037851")</f>
        <v>0</v>
      </c>
      <c r="B13787" t="s">
        <v>1571</v>
      </c>
      <c r="C13787" t="s">
        <v>16628</v>
      </c>
      <c r="D13787" t="s">
        <v>18832</v>
      </c>
      <c r="E13787" t="s">
        <v>30737</v>
      </c>
      <c r="F13787" t="s">
        <v>32664</v>
      </c>
      <c r="G13787" t="s">
        <v>32672</v>
      </c>
      <c r="H13787" t="s">
        <v>32683</v>
      </c>
      <c r="I13787" t="s">
        <v>10627</v>
      </c>
      <c r="J13787" t="s">
        <v>41001</v>
      </c>
      <c r="K13787" t="s">
        <v>42369</v>
      </c>
      <c r="M13787" t="s">
        <v>44246</v>
      </c>
      <c r="N13787" t="s">
        <v>46569</v>
      </c>
      <c r="O13787" t="s">
        <v>46570</v>
      </c>
      <c r="Q13787">
        <v>17</v>
      </c>
      <c r="R13787" t="s">
        <v>46586</v>
      </c>
      <c r="S13787" t="s">
        <v>47330</v>
      </c>
      <c r="T13787" t="s">
        <v>48228</v>
      </c>
      <c r="U13787" t="s">
        <v>59836</v>
      </c>
      <c r="W13787" t="s">
        <v>44246</v>
      </c>
      <c r="X13787" t="s">
        <v>46587</v>
      </c>
    </row>
    <row r="13788" spans="1:24">
      <c r="A13788">
        <f>HYPERLINK("https://www.philgeps.gov.ph/GEPSNONPILOT/Tender/SplashBidNoticeAbstractUI.aspx?menuIndex=3&amp;refID=7037858&amp;Result=3","7037858")</f>
        <v>0</v>
      </c>
      <c r="B13788" t="s">
        <v>2941</v>
      </c>
      <c r="C13788" t="s">
        <v>16629</v>
      </c>
      <c r="D13788" t="s">
        <v>18831</v>
      </c>
      <c r="E13788" t="s">
        <v>30738</v>
      </c>
      <c r="F13788" t="s">
        <v>32664</v>
      </c>
      <c r="G13788" t="s">
        <v>32672</v>
      </c>
      <c r="H13788" t="s">
        <v>12635</v>
      </c>
      <c r="I13788" t="s">
        <v>32708</v>
      </c>
      <c r="J13788" t="s">
        <v>32982</v>
      </c>
      <c r="K13788" t="s">
        <v>42281</v>
      </c>
      <c r="M13788" t="s">
        <v>45795</v>
      </c>
      <c r="N13788" t="s">
        <v>46569</v>
      </c>
      <c r="O13788" t="s">
        <v>46570</v>
      </c>
      <c r="P13788">
        <v>0</v>
      </c>
      <c r="Q13788">
        <v>6</v>
      </c>
      <c r="R13788" t="s">
        <v>46586</v>
      </c>
      <c r="S13788" t="s">
        <v>47252</v>
      </c>
      <c r="T13788" t="s">
        <v>48304</v>
      </c>
      <c r="U13788" t="s">
        <v>57444</v>
      </c>
      <c r="W13788" t="s">
        <v>45795</v>
      </c>
      <c r="X13788" t="s">
        <v>46587</v>
      </c>
    </row>
    <row r="13789" spans="1:24">
      <c r="A13789">
        <f>HYPERLINK("https://www.philgeps.gov.ph/GEPSNONPILOT/Tender/SplashBidNoticeAbstractUI.aspx?menuIndex=3&amp;refID=7037842&amp;Result=3","7037842")</f>
        <v>0</v>
      </c>
      <c r="B13789" t="s">
        <v>2776</v>
      </c>
      <c r="C13789" t="s">
        <v>16630</v>
      </c>
      <c r="D13789" t="s">
        <v>18842</v>
      </c>
      <c r="E13789" t="s">
        <v>30739</v>
      </c>
      <c r="F13789" t="s">
        <v>32664</v>
      </c>
      <c r="G13789" t="s">
        <v>32672</v>
      </c>
      <c r="H13789" t="s">
        <v>32683</v>
      </c>
      <c r="I13789" t="s">
        <v>10627</v>
      </c>
      <c r="J13789" t="s">
        <v>32859</v>
      </c>
      <c r="K13789" t="s">
        <v>42305</v>
      </c>
      <c r="M13789" t="s">
        <v>45883</v>
      </c>
      <c r="N13789" t="s">
        <v>46569</v>
      </c>
      <c r="O13789" t="s">
        <v>46570</v>
      </c>
      <c r="P13789">
        <v>0</v>
      </c>
      <c r="Q13789">
        <v>0</v>
      </c>
      <c r="R13789" t="s">
        <v>46586</v>
      </c>
      <c r="S13789" t="s">
        <v>47252</v>
      </c>
      <c r="T13789" t="s">
        <v>48283</v>
      </c>
      <c r="U13789" t="s">
        <v>59814</v>
      </c>
      <c r="W13789" t="s">
        <v>45883</v>
      </c>
      <c r="X13789" t="s">
        <v>46587</v>
      </c>
    </row>
    <row r="13790" spans="1:24">
      <c r="A13790">
        <f>HYPERLINK("https://www.philgeps.gov.ph/GEPSNONPILOT/Tender/SplashBidNoticeAbstractUI.aspx?menuIndex=3&amp;refID=7037875&amp;Result=3","7037875")</f>
        <v>0</v>
      </c>
      <c r="B13790" t="s">
        <v>189</v>
      </c>
      <c r="C13790" t="s">
        <v>16631</v>
      </c>
      <c r="E13790" t="s">
        <v>30740</v>
      </c>
      <c r="F13790" t="s">
        <v>32664</v>
      </c>
      <c r="G13790" t="s">
        <v>32672</v>
      </c>
      <c r="H13790" t="s">
        <v>12635</v>
      </c>
      <c r="I13790" t="s">
        <v>32706</v>
      </c>
      <c r="J13790" t="s">
        <v>41002</v>
      </c>
      <c r="K13790" t="s">
        <v>42311</v>
      </c>
      <c r="M13790" t="s">
        <v>42753</v>
      </c>
      <c r="N13790" t="s">
        <v>46569</v>
      </c>
      <c r="O13790" t="s">
        <v>46570</v>
      </c>
      <c r="P13790">
        <v>0</v>
      </c>
      <c r="Q13790">
        <v>0</v>
      </c>
      <c r="R13790" t="s">
        <v>46586</v>
      </c>
      <c r="S13790" t="s">
        <v>47252</v>
      </c>
      <c r="T13790" t="s">
        <v>48282</v>
      </c>
      <c r="U13790" t="s">
        <v>59837</v>
      </c>
      <c r="W13790" t="s">
        <v>42753</v>
      </c>
      <c r="X13790" t="s">
        <v>46587</v>
      </c>
    </row>
    <row r="13791" spans="1:24">
      <c r="A13791">
        <f>HYPERLINK("https://www.philgeps.gov.ph/GEPSNONPILOT/Tender/SplashBidNoticeAbstractUI.aspx?menuIndex=3&amp;refID=7037835&amp;Result=3","7037835")</f>
        <v>0</v>
      </c>
      <c r="B13791" t="s">
        <v>2776</v>
      </c>
      <c r="C13791" t="s">
        <v>16632</v>
      </c>
      <c r="D13791" t="s">
        <v>18842</v>
      </c>
      <c r="E13791" t="s">
        <v>30741</v>
      </c>
      <c r="F13791" t="s">
        <v>32664</v>
      </c>
      <c r="G13791" t="s">
        <v>32672</v>
      </c>
      <c r="H13791" t="s">
        <v>32683</v>
      </c>
      <c r="I13791" t="s">
        <v>10627</v>
      </c>
      <c r="J13791" t="s">
        <v>32859</v>
      </c>
      <c r="K13791" t="s">
        <v>42305</v>
      </c>
      <c r="M13791" t="s">
        <v>45883</v>
      </c>
      <c r="N13791" t="s">
        <v>46569</v>
      </c>
      <c r="O13791" t="s">
        <v>46570</v>
      </c>
      <c r="P13791">
        <v>0</v>
      </c>
      <c r="Q13791">
        <v>0</v>
      </c>
      <c r="R13791" t="s">
        <v>46586</v>
      </c>
      <c r="S13791" t="s">
        <v>47252</v>
      </c>
      <c r="T13791" t="s">
        <v>48283</v>
      </c>
      <c r="U13791" t="s">
        <v>59814</v>
      </c>
      <c r="W13791" t="s">
        <v>45883</v>
      </c>
      <c r="X13791" t="s">
        <v>46587</v>
      </c>
    </row>
    <row r="13792" spans="1:24">
      <c r="A13792">
        <f>HYPERLINK("https://www.philgeps.gov.ph/GEPSNONPILOT/Tender/SplashBidNoticeAbstractUI.aspx?menuIndex=3&amp;refID=7037770&amp;Result=3","7037770")</f>
        <v>0</v>
      </c>
      <c r="B13792" t="s">
        <v>1571</v>
      </c>
      <c r="C13792" t="s">
        <v>16633</v>
      </c>
      <c r="D13792" t="s">
        <v>18832</v>
      </c>
      <c r="E13792" t="s">
        <v>30742</v>
      </c>
      <c r="F13792" t="s">
        <v>32664</v>
      </c>
      <c r="G13792" t="s">
        <v>32672</v>
      </c>
      <c r="H13792" t="s">
        <v>32683</v>
      </c>
      <c r="I13792" t="s">
        <v>10627</v>
      </c>
      <c r="J13792" t="s">
        <v>41003</v>
      </c>
      <c r="K13792" t="s">
        <v>42311</v>
      </c>
      <c r="M13792" t="s">
        <v>44246</v>
      </c>
      <c r="N13792" t="s">
        <v>46569</v>
      </c>
      <c r="O13792" t="s">
        <v>46570</v>
      </c>
      <c r="Q13792">
        <v>21</v>
      </c>
      <c r="R13792" t="s">
        <v>46586</v>
      </c>
      <c r="S13792" t="s">
        <v>47331</v>
      </c>
      <c r="T13792" t="s">
        <v>48228</v>
      </c>
      <c r="U13792" t="s">
        <v>59838</v>
      </c>
      <c r="W13792" t="s">
        <v>44246</v>
      </c>
      <c r="X13792" t="s">
        <v>46587</v>
      </c>
    </row>
    <row r="13793" spans="1:24">
      <c r="A13793">
        <f>HYPERLINK("https://www.philgeps.gov.ph/GEPSNONPILOT/Tender/SplashBidNoticeAbstractUI.aspx?menuIndex=3&amp;refID=7037829&amp;Result=3","7037829")</f>
        <v>0</v>
      </c>
      <c r="B13793" t="s">
        <v>3361</v>
      </c>
      <c r="C13793" t="s">
        <v>16634</v>
      </c>
      <c r="D13793" t="s">
        <v>18819</v>
      </c>
      <c r="E13793" t="s">
        <v>30743</v>
      </c>
      <c r="F13793" t="s">
        <v>32664</v>
      </c>
      <c r="G13793" t="s">
        <v>32672</v>
      </c>
      <c r="H13793" t="s">
        <v>12635</v>
      </c>
      <c r="I13793" t="s">
        <v>14442</v>
      </c>
      <c r="J13793" t="s">
        <v>41004</v>
      </c>
      <c r="K13793" t="s">
        <v>42305</v>
      </c>
      <c r="M13793" t="s">
        <v>46320</v>
      </c>
      <c r="N13793" t="s">
        <v>46569</v>
      </c>
      <c r="O13793" t="s">
        <v>46570</v>
      </c>
      <c r="Q13793">
        <v>12</v>
      </c>
      <c r="R13793" t="s">
        <v>46586</v>
      </c>
      <c r="S13793" t="s">
        <v>47332</v>
      </c>
      <c r="T13793" t="s">
        <v>48248</v>
      </c>
      <c r="U13793" t="s">
        <v>59839</v>
      </c>
      <c r="W13793" t="s">
        <v>46320</v>
      </c>
      <c r="X13793" t="s">
        <v>46587</v>
      </c>
    </row>
    <row r="13794" spans="1:24">
      <c r="A13794">
        <f>HYPERLINK("https://www.philgeps.gov.ph/GEPSNONPILOT/Tender/SplashBidNoticeAbstractUI.aspx?menuIndex=3&amp;refID=7037824&amp;Result=3","7037824")</f>
        <v>0</v>
      </c>
      <c r="B13794" t="s">
        <v>2776</v>
      </c>
      <c r="C13794" t="s">
        <v>16635</v>
      </c>
      <c r="D13794" t="s">
        <v>18842</v>
      </c>
      <c r="E13794" t="s">
        <v>30744</v>
      </c>
      <c r="F13794" t="s">
        <v>32664</v>
      </c>
      <c r="G13794" t="s">
        <v>32672</v>
      </c>
      <c r="H13794" t="s">
        <v>32683</v>
      </c>
      <c r="I13794" t="s">
        <v>10627</v>
      </c>
      <c r="J13794" t="s">
        <v>33051</v>
      </c>
      <c r="K13794" t="s">
        <v>42305</v>
      </c>
      <c r="M13794" t="s">
        <v>45883</v>
      </c>
      <c r="N13794" t="s">
        <v>46569</v>
      </c>
      <c r="O13794" t="s">
        <v>46570</v>
      </c>
      <c r="P13794">
        <v>0</v>
      </c>
      <c r="Q13794">
        <v>0</v>
      </c>
      <c r="R13794" t="s">
        <v>46586</v>
      </c>
      <c r="S13794" t="s">
        <v>47252</v>
      </c>
      <c r="T13794" t="s">
        <v>48283</v>
      </c>
      <c r="U13794" t="s">
        <v>59814</v>
      </c>
      <c r="W13794" t="s">
        <v>45883</v>
      </c>
      <c r="X13794" t="s">
        <v>46587</v>
      </c>
    </row>
    <row r="13795" spans="1:24">
      <c r="A13795">
        <f>HYPERLINK("https://www.philgeps.gov.ph/GEPSNONPILOT/Tender/SplashBidNoticeAbstractUI.aspx?menuIndex=3&amp;refID=7037821&amp;Result=3","7037821")</f>
        <v>0</v>
      </c>
      <c r="B13795" t="s">
        <v>1571</v>
      </c>
      <c r="C13795" t="s">
        <v>16636</v>
      </c>
      <c r="D13795" t="s">
        <v>18832</v>
      </c>
      <c r="E13795" t="s">
        <v>30745</v>
      </c>
      <c r="F13795" t="s">
        <v>32664</v>
      </c>
      <c r="G13795" t="s">
        <v>32672</v>
      </c>
      <c r="H13795" t="s">
        <v>32683</v>
      </c>
      <c r="I13795" t="s">
        <v>10627</v>
      </c>
      <c r="J13795" t="s">
        <v>41005</v>
      </c>
      <c r="K13795" t="s">
        <v>42311</v>
      </c>
      <c r="M13795" t="s">
        <v>44246</v>
      </c>
      <c r="N13795" t="s">
        <v>46569</v>
      </c>
      <c r="O13795" t="s">
        <v>46570</v>
      </c>
      <c r="Q13795">
        <v>15</v>
      </c>
      <c r="R13795" t="s">
        <v>46586</v>
      </c>
      <c r="S13795" t="s">
        <v>47333</v>
      </c>
      <c r="T13795" t="s">
        <v>48228</v>
      </c>
      <c r="U13795" t="s">
        <v>59840</v>
      </c>
      <c r="W13795" t="s">
        <v>44246</v>
      </c>
      <c r="X13795" t="s">
        <v>46587</v>
      </c>
    </row>
    <row r="13796" spans="1:24">
      <c r="A13796">
        <f>HYPERLINK("https://www.philgeps.gov.ph/GEPSNONPILOT/Tender/SplashBidNoticeAbstractUI.aspx?menuIndex=3&amp;refID=7037847&amp;Result=3","7037847")</f>
        <v>0</v>
      </c>
      <c r="B13796" t="s">
        <v>3356</v>
      </c>
      <c r="C13796" t="s">
        <v>16637</v>
      </c>
      <c r="D13796" t="s">
        <v>18820</v>
      </c>
      <c r="E13796" t="s">
        <v>30746</v>
      </c>
      <c r="F13796" t="s">
        <v>32664</v>
      </c>
      <c r="G13796" t="s">
        <v>32672</v>
      </c>
      <c r="H13796" t="s">
        <v>12635</v>
      </c>
      <c r="I13796" t="s">
        <v>32721</v>
      </c>
      <c r="J13796" t="s">
        <v>33142</v>
      </c>
      <c r="K13796" t="s">
        <v>42289</v>
      </c>
      <c r="M13796" t="s">
        <v>46312</v>
      </c>
      <c r="N13796" t="s">
        <v>46569</v>
      </c>
      <c r="O13796" t="s">
        <v>46570</v>
      </c>
      <c r="P13796">
        <v>0</v>
      </c>
      <c r="Q13796">
        <v>4</v>
      </c>
      <c r="R13796" t="s">
        <v>46586</v>
      </c>
      <c r="S13796" t="s">
        <v>47252</v>
      </c>
      <c r="T13796" t="s">
        <v>48293</v>
      </c>
      <c r="U13796" t="s">
        <v>59841</v>
      </c>
      <c r="V13796" t="s">
        <v>63144</v>
      </c>
      <c r="W13796" t="s">
        <v>46312</v>
      </c>
      <c r="X13796" t="s">
        <v>46587</v>
      </c>
    </row>
    <row r="13797" spans="1:24">
      <c r="A13797">
        <f>HYPERLINK("https://www.philgeps.gov.ph/GEPSNONPILOT/Tender/SplashBidNoticeAbstractUI.aspx?menuIndex=3&amp;refID=7037791&amp;Result=3","7037791")</f>
        <v>0</v>
      </c>
      <c r="B13797" t="s">
        <v>590</v>
      </c>
      <c r="C13797" t="s">
        <v>16638</v>
      </c>
      <c r="D13797" t="s">
        <v>18809</v>
      </c>
      <c r="E13797" t="s">
        <v>20429</v>
      </c>
      <c r="F13797" t="s">
        <v>32664</v>
      </c>
      <c r="G13797" t="s">
        <v>32672</v>
      </c>
      <c r="H13797" t="s">
        <v>32683</v>
      </c>
      <c r="I13797" t="s">
        <v>10627</v>
      </c>
      <c r="J13797" t="s">
        <v>32837</v>
      </c>
      <c r="K13797" t="s">
        <v>42342</v>
      </c>
      <c r="M13797" t="s">
        <v>43170</v>
      </c>
      <c r="N13797" t="s">
        <v>46569</v>
      </c>
      <c r="O13797" t="s">
        <v>46570</v>
      </c>
      <c r="P13797">
        <v>0</v>
      </c>
      <c r="Q13797">
        <v>0</v>
      </c>
      <c r="R13797" t="s">
        <v>46586</v>
      </c>
      <c r="S13797" t="s">
        <v>47252</v>
      </c>
      <c r="T13797" t="s">
        <v>48283</v>
      </c>
      <c r="U13797" t="s">
        <v>59842</v>
      </c>
      <c r="V13797" t="s">
        <v>63152</v>
      </c>
      <c r="W13797" t="s">
        <v>43170</v>
      </c>
      <c r="X13797" t="s">
        <v>46587</v>
      </c>
    </row>
    <row r="13798" spans="1:24">
      <c r="A13798">
        <f>HYPERLINK("https://www.philgeps.gov.ph/GEPSNONPILOT/Tender/SplashBidNoticeAbstractUI.aspx?menuIndex=3&amp;refID=7037833&amp;Result=3","7037833")</f>
        <v>0</v>
      </c>
      <c r="B13798" t="s">
        <v>2773</v>
      </c>
      <c r="C13798" t="s">
        <v>16639</v>
      </c>
      <c r="D13798" t="s">
        <v>18814</v>
      </c>
      <c r="E13798" t="s">
        <v>30747</v>
      </c>
      <c r="F13798" t="s">
        <v>32664</v>
      </c>
      <c r="G13798" t="s">
        <v>32672</v>
      </c>
      <c r="H13798" t="s">
        <v>32683</v>
      </c>
      <c r="I13798" t="s">
        <v>10627</v>
      </c>
      <c r="J13798" t="s">
        <v>41006</v>
      </c>
      <c r="K13798" t="s">
        <v>42311</v>
      </c>
      <c r="M13798" t="s">
        <v>45613</v>
      </c>
      <c r="N13798" t="s">
        <v>46569</v>
      </c>
      <c r="O13798" t="s">
        <v>46570</v>
      </c>
      <c r="Q13798">
        <v>31</v>
      </c>
      <c r="R13798" t="s">
        <v>46586</v>
      </c>
      <c r="S13798" t="s">
        <v>47334</v>
      </c>
      <c r="T13798" t="s">
        <v>48283</v>
      </c>
      <c r="U13798" t="s">
        <v>59843</v>
      </c>
      <c r="V13798" t="s">
        <v>62673</v>
      </c>
      <c r="W13798" t="s">
        <v>45613</v>
      </c>
      <c r="X13798" t="s">
        <v>46587</v>
      </c>
    </row>
    <row r="13799" spans="1:24">
      <c r="A13799">
        <f>HYPERLINK("https://www.philgeps.gov.ph/GEPSNONPILOT/Tender/SplashBidNoticeAbstractUI.aspx?menuIndex=3&amp;refID=7037951&amp;Result=3","7037951")</f>
        <v>0</v>
      </c>
      <c r="B13799" t="s">
        <v>1571</v>
      </c>
      <c r="C13799" t="s">
        <v>16640</v>
      </c>
      <c r="D13799" t="s">
        <v>18832</v>
      </c>
      <c r="E13799" t="s">
        <v>30748</v>
      </c>
      <c r="F13799" t="s">
        <v>32664</v>
      </c>
      <c r="G13799" t="s">
        <v>32672</v>
      </c>
      <c r="H13799" t="s">
        <v>32683</v>
      </c>
      <c r="I13799" t="s">
        <v>10627</v>
      </c>
      <c r="J13799" t="s">
        <v>41007</v>
      </c>
      <c r="K13799" t="s">
        <v>42369</v>
      </c>
      <c r="M13799" t="s">
        <v>44246</v>
      </c>
      <c r="N13799" t="s">
        <v>46569</v>
      </c>
      <c r="O13799" t="s">
        <v>46570</v>
      </c>
      <c r="Q13799">
        <v>15</v>
      </c>
      <c r="R13799" t="s">
        <v>46586</v>
      </c>
      <c r="S13799" t="s">
        <v>47335</v>
      </c>
      <c r="T13799" t="s">
        <v>48228</v>
      </c>
      <c r="U13799" t="s">
        <v>59844</v>
      </c>
      <c r="W13799" t="s">
        <v>44246</v>
      </c>
      <c r="X13799" t="s">
        <v>46587</v>
      </c>
    </row>
    <row r="13800" spans="1:24">
      <c r="A13800">
        <f>HYPERLINK("https://www.philgeps.gov.ph/GEPSNONPILOT/Tender/SplashBidNoticeAbstractUI.aspx?menuIndex=3&amp;refID=7037947&amp;Result=3","7037947")</f>
        <v>0</v>
      </c>
      <c r="B13800" t="s">
        <v>714</v>
      </c>
      <c r="C13800" t="s">
        <v>16641</v>
      </c>
      <c r="D13800" t="s">
        <v>18846</v>
      </c>
      <c r="E13800" t="s">
        <v>30749</v>
      </c>
      <c r="F13800" t="s">
        <v>32664</v>
      </c>
      <c r="G13800" t="s">
        <v>32672</v>
      </c>
      <c r="H13800" t="s">
        <v>32683</v>
      </c>
      <c r="I13800" t="s">
        <v>10627</v>
      </c>
      <c r="J13800" t="s">
        <v>41008</v>
      </c>
      <c r="K13800" t="s">
        <v>42323</v>
      </c>
      <c r="M13800" t="s">
        <v>45966</v>
      </c>
      <c r="N13800" t="s">
        <v>46569</v>
      </c>
      <c r="O13800" t="s">
        <v>46570</v>
      </c>
      <c r="Q13800">
        <v>1</v>
      </c>
      <c r="R13800" t="s">
        <v>46586</v>
      </c>
      <c r="S13800" t="s">
        <v>47336</v>
      </c>
      <c r="T13800" t="s">
        <v>48221</v>
      </c>
      <c r="U13800" t="s">
        <v>59845</v>
      </c>
      <c r="W13800" t="s">
        <v>45966</v>
      </c>
      <c r="X13800" t="s">
        <v>46587</v>
      </c>
    </row>
    <row r="13801" spans="1:24">
      <c r="A13801">
        <f>HYPERLINK("https://www.philgeps.gov.ph/GEPSNONPILOT/Tender/SplashBidNoticeAbstractUI.aspx?menuIndex=3&amp;refID=7037827&amp;Result=3","7037827")</f>
        <v>0</v>
      </c>
      <c r="B13801" t="s">
        <v>2773</v>
      </c>
      <c r="C13801" t="s">
        <v>16642</v>
      </c>
      <c r="D13801" t="s">
        <v>18814</v>
      </c>
      <c r="E13801" t="s">
        <v>30750</v>
      </c>
      <c r="F13801" t="s">
        <v>32664</v>
      </c>
      <c r="G13801" t="s">
        <v>32672</v>
      </c>
      <c r="H13801" t="s">
        <v>32683</v>
      </c>
      <c r="I13801" t="s">
        <v>10627</v>
      </c>
      <c r="J13801" t="s">
        <v>41009</v>
      </c>
      <c r="K13801" t="s">
        <v>42311</v>
      </c>
      <c r="M13801" t="s">
        <v>45613</v>
      </c>
      <c r="N13801" t="s">
        <v>46569</v>
      </c>
      <c r="O13801" t="s">
        <v>46570</v>
      </c>
      <c r="Q13801">
        <v>40</v>
      </c>
      <c r="R13801" t="s">
        <v>46586</v>
      </c>
      <c r="S13801" t="s">
        <v>47337</v>
      </c>
      <c r="T13801" t="s">
        <v>48283</v>
      </c>
      <c r="U13801" t="s">
        <v>59846</v>
      </c>
      <c r="V13801" t="s">
        <v>62673</v>
      </c>
      <c r="W13801" t="s">
        <v>45613</v>
      </c>
      <c r="X13801" t="s">
        <v>46587</v>
      </c>
    </row>
    <row r="13802" spans="1:24">
      <c r="A13802">
        <f>HYPERLINK("https://www.philgeps.gov.ph/GEPSNONPILOT/Tender/SplashBidNoticeAbstractUI.aspx?menuIndex=3&amp;refID=7037857&amp;Result=3","7037857")</f>
        <v>0</v>
      </c>
      <c r="B13802" t="s">
        <v>1709</v>
      </c>
      <c r="C13802" t="s">
        <v>16643</v>
      </c>
      <c r="D13802" t="s">
        <v>18834</v>
      </c>
      <c r="E13802" t="s">
        <v>30751</v>
      </c>
      <c r="F13802" t="s">
        <v>32664</v>
      </c>
      <c r="G13802" t="s">
        <v>32672</v>
      </c>
      <c r="H13802" t="s">
        <v>12635</v>
      </c>
      <c r="I13802" t="s">
        <v>6628</v>
      </c>
      <c r="J13802" t="s">
        <v>38754</v>
      </c>
      <c r="K13802" t="s">
        <v>42305</v>
      </c>
      <c r="M13802" t="s">
        <v>46318</v>
      </c>
      <c r="N13802" t="s">
        <v>46569</v>
      </c>
      <c r="O13802" t="s">
        <v>46570</v>
      </c>
      <c r="Q13802">
        <v>13</v>
      </c>
      <c r="R13802" t="s">
        <v>46586</v>
      </c>
      <c r="S13802" t="s">
        <v>47338</v>
      </c>
      <c r="T13802" t="s">
        <v>48282</v>
      </c>
      <c r="U13802" t="s">
        <v>59847</v>
      </c>
      <c r="V13802" t="s">
        <v>63153</v>
      </c>
      <c r="W13802" t="s">
        <v>46318</v>
      </c>
      <c r="X13802" t="s">
        <v>46587</v>
      </c>
    </row>
    <row r="13803" spans="1:24">
      <c r="A13803">
        <f>HYPERLINK("https://www.philgeps.gov.ph/GEPSNONPILOT/Tender/SplashBidNoticeAbstractUI.aspx?menuIndex=3&amp;refID=7037867&amp;Result=3","7037867")</f>
        <v>0</v>
      </c>
      <c r="B13803" t="s">
        <v>1571</v>
      </c>
      <c r="C13803" t="s">
        <v>16644</v>
      </c>
      <c r="D13803" t="s">
        <v>18832</v>
      </c>
      <c r="E13803" t="s">
        <v>30752</v>
      </c>
      <c r="F13803" t="s">
        <v>32664</v>
      </c>
      <c r="G13803" t="s">
        <v>32672</v>
      </c>
      <c r="H13803" t="s">
        <v>32683</v>
      </c>
      <c r="I13803" t="s">
        <v>10627</v>
      </c>
      <c r="J13803" t="s">
        <v>41010</v>
      </c>
      <c r="K13803" t="s">
        <v>42298</v>
      </c>
      <c r="M13803" t="s">
        <v>44246</v>
      </c>
      <c r="N13803" t="s">
        <v>46569</v>
      </c>
      <c r="O13803" t="s">
        <v>46570</v>
      </c>
      <c r="Q13803">
        <v>15</v>
      </c>
      <c r="R13803" t="s">
        <v>46586</v>
      </c>
      <c r="S13803" t="s">
        <v>47339</v>
      </c>
      <c r="T13803" t="s">
        <v>48228</v>
      </c>
      <c r="U13803" t="s">
        <v>59848</v>
      </c>
      <c r="W13803" t="s">
        <v>44246</v>
      </c>
      <c r="X13803" t="s">
        <v>46587</v>
      </c>
    </row>
    <row r="13804" spans="1:24">
      <c r="A13804">
        <f>HYPERLINK("https://www.philgeps.gov.ph/GEPSNONPILOT/Tender/SplashBidNoticeAbstractUI.aspx?menuIndex=3&amp;refID=7037928&amp;Result=3","7037928")</f>
        <v>0</v>
      </c>
      <c r="B13804" t="s">
        <v>1038</v>
      </c>
      <c r="C13804" t="s">
        <v>16645</v>
      </c>
      <c r="D13804" t="s">
        <v>18788</v>
      </c>
      <c r="E13804" t="s">
        <v>30753</v>
      </c>
      <c r="F13804" t="s">
        <v>32664</v>
      </c>
      <c r="G13804" t="s">
        <v>32672</v>
      </c>
      <c r="H13804" t="s">
        <v>32683</v>
      </c>
      <c r="I13804" t="s">
        <v>10627</v>
      </c>
      <c r="J13804" t="s">
        <v>33127</v>
      </c>
      <c r="K13804" t="s">
        <v>42311</v>
      </c>
      <c r="M13804" t="s">
        <v>43652</v>
      </c>
      <c r="N13804" t="s">
        <v>46569</v>
      </c>
      <c r="O13804" t="s">
        <v>46570</v>
      </c>
      <c r="Q13804">
        <v>4</v>
      </c>
      <c r="R13804" t="s">
        <v>46586</v>
      </c>
      <c r="S13804" t="s">
        <v>47340</v>
      </c>
      <c r="T13804" t="s">
        <v>48221</v>
      </c>
      <c r="U13804" t="s">
        <v>59849</v>
      </c>
      <c r="W13804" t="s">
        <v>43652</v>
      </c>
      <c r="X13804" t="s">
        <v>46587</v>
      </c>
    </row>
    <row r="13805" spans="1:24">
      <c r="A13805">
        <f>HYPERLINK("https://www.philgeps.gov.ph/GEPSNONPILOT/Tender/SplashBidNoticeAbstractUI.aspx?menuIndex=3&amp;refID=7037936&amp;Result=3","7037936")</f>
        <v>0</v>
      </c>
      <c r="B13805" t="s">
        <v>1571</v>
      </c>
      <c r="C13805" t="s">
        <v>16646</v>
      </c>
      <c r="D13805" t="s">
        <v>18832</v>
      </c>
      <c r="E13805" t="s">
        <v>30754</v>
      </c>
      <c r="F13805" t="s">
        <v>32664</v>
      </c>
      <c r="G13805" t="s">
        <v>32672</v>
      </c>
      <c r="H13805" t="s">
        <v>32683</v>
      </c>
      <c r="I13805" t="s">
        <v>10627</v>
      </c>
      <c r="J13805" t="s">
        <v>41011</v>
      </c>
      <c r="K13805" t="s">
        <v>42363</v>
      </c>
      <c r="M13805" t="s">
        <v>44246</v>
      </c>
      <c r="N13805" t="s">
        <v>46569</v>
      </c>
      <c r="O13805" t="s">
        <v>46570</v>
      </c>
      <c r="Q13805">
        <v>16</v>
      </c>
      <c r="R13805" t="s">
        <v>46586</v>
      </c>
      <c r="S13805" t="s">
        <v>47341</v>
      </c>
      <c r="T13805" t="s">
        <v>48228</v>
      </c>
      <c r="U13805" t="s">
        <v>59850</v>
      </c>
      <c r="W13805" t="s">
        <v>44246</v>
      </c>
      <c r="X13805" t="s">
        <v>46587</v>
      </c>
    </row>
    <row r="13806" spans="1:24">
      <c r="A13806">
        <f>HYPERLINK("https://www.philgeps.gov.ph/GEPSNONPILOT/Tender/SplashBidNoticeAbstractUI.aspx?menuIndex=3&amp;refID=7037822&amp;Result=3","7037822")</f>
        <v>0</v>
      </c>
      <c r="B13806" t="s">
        <v>2773</v>
      </c>
      <c r="C13806" t="s">
        <v>16647</v>
      </c>
      <c r="D13806" t="s">
        <v>18814</v>
      </c>
      <c r="E13806" t="s">
        <v>30755</v>
      </c>
      <c r="F13806" t="s">
        <v>32664</v>
      </c>
      <c r="G13806" t="s">
        <v>32672</v>
      </c>
      <c r="H13806" t="s">
        <v>32683</v>
      </c>
      <c r="I13806" t="s">
        <v>10627</v>
      </c>
      <c r="J13806" t="s">
        <v>41012</v>
      </c>
      <c r="K13806" t="s">
        <v>42311</v>
      </c>
      <c r="M13806" t="s">
        <v>45613</v>
      </c>
      <c r="N13806" t="s">
        <v>46569</v>
      </c>
      <c r="O13806" t="s">
        <v>46570</v>
      </c>
      <c r="Q13806">
        <v>47</v>
      </c>
      <c r="R13806" t="s">
        <v>46586</v>
      </c>
      <c r="S13806" t="s">
        <v>47342</v>
      </c>
      <c r="T13806" t="s">
        <v>48283</v>
      </c>
      <c r="U13806" t="s">
        <v>59851</v>
      </c>
      <c r="V13806" t="s">
        <v>62673</v>
      </c>
      <c r="W13806" t="s">
        <v>45613</v>
      </c>
      <c r="X13806" t="s">
        <v>46587</v>
      </c>
    </row>
    <row r="13807" spans="1:24">
      <c r="A13807">
        <f>HYPERLINK("https://www.philgeps.gov.ph/GEPSNONPILOT/Tender/SplashBidNoticeAbstractUI.aspx?menuIndex=3&amp;refID=7037923&amp;Result=3","7037923")</f>
        <v>0</v>
      </c>
      <c r="B13807" t="s">
        <v>1038</v>
      </c>
      <c r="C13807" t="s">
        <v>16648</v>
      </c>
      <c r="D13807" t="s">
        <v>18788</v>
      </c>
      <c r="E13807" t="s">
        <v>30756</v>
      </c>
      <c r="F13807" t="s">
        <v>32664</v>
      </c>
      <c r="G13807" t="s">
        <v>32672</v>
      </c>
      <c r="H13807" t="s">
        <v>32683</v>
      </c>
      <c r="I13807" t="s">
        <v>10627</v>
      </c>
      <c r="J13807" t="s">
        <v>41013</v>
      </c>
      <c r="K13807" t="s">
        <v>42311</v>
      </c>
      <c r="M13807" t="s">
        <v>43652</v>
      </c>
      <c r="N13807" t="s">
        <v>46569</v>
      </c>
      <c r="O13807" t="s">
        <v>46570</v>
      </c>
      <c r="Q13807">
        <v>2</v>
      </c>
      <c r="R13807" t="s">
        <v>46586</v>
      </c>
      <c r="S13807" t="s">
        <v>47264</v>
      </c>
      <c r="T13807" t="s">
        <v>48221</v>
      </c>
      <c r="U13807" t="s">
        <v>59852</v>
      </c>
      <c r="W13807" t="s">
        <v>43652</v>
      </c>
      <c r="X13807" t="s">
        <v>46587</v>
      </c>
    </row>
    <row r="13808" spans="1:24">
      <c r="A13808">
        <f>HYPERLINK("https://www.philgeps.gov.ph/GEPSNONPILOT/Tender/SplashBidNoticeAbstractUI.aspx?menuIndex=3&amp;refID=7037815&amp;Result=3","7037815")</f>
        <v>0</v>
      </c>
      <c r="B13808" t="s">
        <v>2773</v>
      </c>
      <c r="C13808" t="s">
        <v>16649</v>
      </c>
      <c r="D13808" t="s">
        <v>18814</v>
      </c>
      <c r="E13808" t="s">
        <v>30757</v>
      </c>
      <c r="F13808" t="s">
        <v>32664</v>
      </c>
      <c r="G13808" t="s">
        <v>32672</v>
      </c>
      <c r="H13808" t="s">
        <v>32683</v>
      </c>
      <c r="I13808" t="s">
        <v>10627</v>
      </c>
      <c r="J13808" t="s">
        <v>34635</v>
      </c>
      <c r="K13808" t="s">
        <v>42311</v>
      </c>
      <c r="M13808" t="s">
        <v>45613</v>
      </c>
      <c r="N13808" t="s">
        <v>46569</v>
      </c>
      <c r="O13808" t="s">
        <v>46570</v>
      </c>
      <c r="Q13808">
        <v>42</v>
      </c>
      <c r="R13808" t="s">
        <v>46586</v>
      </c>
      <c r="S13808" t="s">
        <v>47343</v>
      </c>
      <c r="T13808" t="s">
        <v>48283</v>
      </c>
      <c r="U13808" t="s">
        <v>59853</v>
      </c>
      <c r="V13808" t="s">
        <v>62673</v>
      </c>
      <c r="W13808" t="s">
        <v>45613</v>
      </c>
      <c r="X13808" t="s">
        <v>46587</v>
      </c>
    </row>
    <row r="13809" spans="1:24">
      <c r="A13809">
        <f>HYPERLINK("https://www.philgeps.gov.ph/GEPSNONPILOT/Tender/SplashBidNoticeAbstractUI.aspx?menuIndex=3&amp;refID=7037930&amp;Result=3","7037930")</f>
        <v>0</v>
      </c>
      <c r="B13809" t="s">
        <v>714</v>
      </c>
      <c r="C13809" t="s">
        <v>16650</v>
      </c>
      <c r="D13809" t="s">
        <v>18846</v>
      </c>
      <c r="E13809" t="s">
        <v>30758</v>
      </c>
      <c r="F13809" t="s">
        <v>32664</v>
      </c>
      <c r="G13809" t="s">
        <v>32672</v>
      </c>
      <c r="H13809" t="s">
        <v>32683</v>
      </c>
      <c r="I13809" t="s">
        <v>10627</v>
      </c>
      <c r="J13809" t="s">
        <v>41014</v>
      </c>
      <c r="K13809" t="s">
        <v>42285</v>
      </c>
      <c r="M13809" t="s">
        <v>45966</v>
      </c>
      <c r="N13809" t="s">
        <v>46569</v>
      </c>
      <c r="O13809" t="s">
        <v>46570</v>
      </c>
      <c r="Q13809">
        <v>0</v>
      </c>
      <c r="R13809" t="s">
        <v>46586</v>
      </c>
      <c r="S13809" t="s">
        <v>47186</v>
      </c>
      <c r="T13809" t="s">
        <v>48221</v>
      </c>
      <c r="U13809" t="s">
        <v>59845</v>
      </c>
      <c r="W13809" t="s">
        <v>45966</v>
      </c>
      <c r="X13809" t="s">
        <v>46587</v>
      </c>
    </row>
    <row r="13810" spans="1:24">
      <c r="A13810">
        <f>HYPERLINK("https://www.philgeps.gov.ph/GEPSNONPILOT/Tender/SplashBidNoticeAbstractUI.aspx?menuIndex=3&amp;refID=7037911&amp;Result=3","7037911")</f>
        <v>0</v>
      </c>
      <c r="B13810" t="s">
        <v>1038</v>
      </c>
      <c r="C13810" t="s">
        <v>16651</v>
      </c>
      <c r="D13810" t="s">
        <v>18788</v>
      </c>
      <c r="E13810" t="s">
        <v>30759</v>
      </c>
      <c r="F13810" t="s">
        <v>32664</v>
      </c>
      <c r="G13810" t="s">
        <v>32672</v>
      </c>
      <c r="H13810" t="s">
        <v>32683</v>
      </c>
      <c r="I13810" t="s">
        <v>10627</v>
      </c>
      <c r="J13810" t="s">
        <v>41015</v>
      </c>
      <c r="K13810" t="s">
        <v>42281</v>
      </c>
      <c r="M13810" t="s">
        <v>43652</v>
      </c>
      <c r="N13810" t="s">
        <v>46569</v>
      </c>
      <c r="O13810" t="s">
        <v>46570</v>
      </c>
      <c r="Q13810">
        <v>4</v>
      </c>
      <c r="R13810" t="s">
        <v>46586</v>
      </c>
      <c r="S13810" t="s">
        <v>47344</v>
      </c>
      <c r="T13810" t="s">
        <v>48221</v>
      </c>
      <c r="U13810" t="s">
        <v>59854</v>
      </c>
      <c r="W13810" t="s">
        <v>43652</v>
      </c>
      <c r="X13810" t="s">
        <v>46587</v>
      </c>
    </row>
    <row r="13811" spans="1:24">
      <c r="A13811">
        <f>HYPERLINK("https://www.philgeps.gov.ph/GEPSNONPILOT/Tender/SplashBidNoticeAbstractUI.aspx?menuIndex=3&amp;refID=7037921&amp;Result=3","7037921")</f>
        <v>0</v>
      </c>
      <c r="B13811" t="s">
        <v>1038</v>
      </c>
      <c r="C13811" t="s">
        <v>16652</v>
      </c>
      <c r="D13811" t="s">
        <v>18788</v>
      </c>
      <c r="E13811" t="s">
        <v>30760</v>
      </c>
      <c r="F13811" t="s">
        <v>32664</v>
      </c>
      <c r="G13811" t="s">
        <v>32672</v>
      </c>
      <c r="H13811" t="s">
        <v>32683</v>
      </c>
      <c r="I13811" t="s">
        <v>10627</v>
      </c>
      <c r="J13811" t="s">
        <v>41016</v>
      </c>
      <c r="K13811" t="s">
        <v>42311</v>
      </c>
      <c r="M13811" t="s">
        <v>43652</v>
      </c>
      <c r="N13811" t="s">
        <v>46569</v>
      </c>
      <c r="O13811" t="s">
        <v>46570</v>
      </c>
      <c r="Q13811">
        <v>2</v>
      </c>
      <c r="R13811" t="s">
        <v>46586</v>
      </c>
      <c r="S13811" t="s">
        <v>47345</v>
      </c>
      <c r="T13811" t="s">
        <v>48221</v>
      </c>
      <c r="U13811" t="s">
        <v>59855</v>
      </c>
      <c r="W13811" t="s">
        <v>43652</v>
      </c>
      <c r="X13811" t="s">
        <v>46587</v>
      </c>
    </row>
    <row r="13812" spans="1:24">
      <c r="A13812">
        <f>HYPERLINK("https://www.philgeps.gov.ph/GEPSNONPILOT/Tender/SplashBidNoticeAbstractUI.aspx?menuIndex=3&amp;refID=7037909&amp;Result=3","7037909")</f>
        <v>0</v>
      </c>
      <c r="B13812" t="s">
        <v>714</v>
      </c>
      <c r="C13812" t="s">
        <v>16653</v>
      </c>
      <c r="D13812" t="s">
        <v>18846</v>
      </c>
      <c r="E13812" t="s">
        <v>30761</v>
      </c>
      <c r="F13812" t="s">
        <v>32664</v>
      </c>
      <c r="G13812" t="s">
        <v>32672</v>
      </c>
      <c r="H13812" t="s">
        <v>32683</v>
      </c>
      <c r="I13812" t="s">
        <v>10627</v>
      </c>
      <c r="J13812" t="s">
        <v>41017</v>
      </c>
      <c r="K13812" t="s">
        <v>42495</v>
      </c>
      <c r="M13812" t="s">
        <v>45966</v>
      </c>
      <c r="N13812" t="s">
        <v>46569</v>
      </c>
      <c r="O13812" t="s">
        <v>46570</v>
      </c>
      <c r="Q13812">
        <v>0</v>
      </c>
      <c r="R13812" t="s">
        <v>46586</v>
      </c>
      <c r="S13812" t="s">
        <v>47346</v>
      </c>
      <c r="T13812" t="s">
        <v>48221</v>
      </c>
      <c r="U13812" t="s">
        <v>59845</v>
      </c>
      <c r="W13812" t="s">
        <v>45966</v>
      </c>
      <c r="X13812" t="s">
        <v>46587</v>
      </c>
    </row>
    <row r="13813" spans="1:24">
      <c r="A13813">
        <f>HYPERLINK("https://www.philgeps.gov.ph/GEPSNONPILOT/Tender/SplashBidNoticeAbstractUI.aspx?menuIndex=3&amp;refID=7037920&amp;Result=3","7037920")</f>
        <v>0</v>
      </c>
      <c r="B13813" t="s">
        <v>1571</v>
      </c>
      <c r="C13813" t="s">
        <v>16654</v>
      </c>
      <c r="D13813" t="s">
        <v>18832</v>
      </c>
      <c r="E13813" t="s">
        <v>30762</v>
      </c>
      <c r="F13813" t="s">
        <v>32664</v>
      </c>
      <c r="G13813" t="s">
        <v>32672</v>
      </c>
      <c r="H13813" t="s">
        <v>32683</v>
      </c>
      <c r="I13813" t="s">
        <v>10627</v>
      </c>
      <c r="J13813" t="s">
        <v>41018</v>
      </c>
      <c r="K13813" t="s">
        <v>42326</v>
      </c>
      <c r="M13813" t="s">
        <v>44246</v>
      </c>
      <c r="N13813" t="s">
        <v>46569</v>
      </c>
      <c r="O13813" t="s">
        <v>46570</v>
      </c>
      <c r="Q13813">
        <v>13</v>
      </c>
      <c r="R13813" t="s">
        <v>46586</v>
      </c>
      <c r="S13813" t="s">
        <v>46744</v>
      </c>
      <c r="T13813" t="s">
        <v>48228</v>
      </c>
      <c r="U13813" t="s">
        <v>59856</v>
      </c>
      <c r="W13813" t="s">
        <v>44246</v>
      </c>
      <c r="X13813" t="s">
        <v>46587</v>
      </c>
    </row>
    <row r="13814" spans="1:24">
      <c r="A13814">
        <f>HYPERLINK("https://www.philgeps.gov.ph/GEPSNONPILOT/Tender/SplashBidNoticeAbstractUI.aspx?menuIndex=3&amp;refID=7037904&amp;Result=3","7037904")</f>
        <v>0</v>
      </c>
      <c r="B13814" t="s">
        <v>714</v>
      </c>
      <c r="C13814" t="s">
        <v>16655</v>
      </c>
      <c r="D13814" t="s">
        <v>18846</v>
      </c>
      <c r="E13814" t="s">
        <v>30763</v>
      </c>
      <c r="F13814" t="s">
        <v>32664</v>
      </c>
      <c r="G13814" t="s">
        <v>32672</v>
      </c>
      <c r="H13814" t="s">
        <v>32683</v>
      </c>
      <c r="I13814" t="s">
        <v>10627</v>
      </c>
      <c r="J13814" t="s">
        <v>41019</v>
      </c>
      <c r="K13814" t="s">
        <v>42495</v>
      </c>
      <c r="M13814" t="s">
        <v>45966</v>
      </c>
      <c r="N13814" t="s">
        <v>46569</v>
      </c>
      <c r="O13814" t="s">
        <v>46570</v>
      </c>
      <c r="Q13814">
        <v>0</v>
      </c>
      <c r="R13814" t="s">
        <v>46586</v>
      </c>
      <c r="S13814" t="s">
        <v>47347</v>
      </c>
      <c r="T13814" t="s">
        <v>48221</v>
      </c>
      <c r="U13814" t="s">
        <v>59845</v>
      </c>
      <c r="W13814" t="s">
        <v>45966</v>
      </c>
      <c r="X13814" t="s">
        <v>46587</v>
      </c>
    </row>
    <row r="13815" spans="1:24">
      <c r="A13815">
        <f>HYPERLINK("https://www.philgeps.gov.ph/GEPSNONPILOT/Tender/SplashBidNoticeAbstractUI.aspx?menuIndex=3&amp;refID=7037899&amp;Result=3","7037899")</f>
        <v>0</v>
      </c>
      <c r="B13815" t="s">
        <v>3303</v>
      </c>
      <c r="C13815" t="s">
        <v>16656</v>
      </c>
      <c r="D13815" t="s">
        <v>18783</v>
      </c>
      <c r="E13815" t="s">
        <v>30764</v>
      </c>
      <c r="F13815" t="s">
        <v>32664</v>
      </c>
      <c r="G13815" t="s">
        <v>32672</v>
      </c>
      <c r="H13815" t="s">
        <v>12635</v>
      </c>
      <c r="I13815" t="s">
        <v>4997</v>
      </c>
      <c r="J13815" t="s">
        <v>41020</v>
      </c>
      <c r="K13815" t="s">
        <v>42298</v>
      </c>
      <c r="M13815" t="s">
        <v>46248</v>
      </c>
      <c r="N13815" t="s">
        <v>46569</v>
      </c>
      <c r="O13815" t="s">
        <v>46570</v>
      </c>
      <c r="P13815">
        <v>0</v>
      </c>
      <c r="Q13815">
        <v>14</v>
      </c>
      <c r="R13815" t="s">
        <v>46586</v>
      </c>
      <c r="S13815" t="s">
        <v>47252</v>
      </c>
      <c r="T13815" t="s">
        <v>48219</v>
      </c>
      <c r="U13815" t="s">
        <v>59857</v>
      </c>
      <c r="W13815" t="s">
        <v>46248</v>
      </c>
      <c r="X13815" t="s">
        <v>46587</v>
      </c>
    </row>
    <row r="13816" spans="1:24">
      <c r="A13816">
        <f>HYPERLINK("https://www.philgeps.gov.ph/GEPSNONPILOT/Tender/SplashBidNoticeAbstractUI.aspx?menuIndex=3&amp;refID=7037916&amp;Result=3","7037916")</f>
        <v>0</v>
      </c>
      <c r="B13816" t="s">
        <v>714</v>
      </c>
      <c r="C13816" t="s">
        <v>16657</v>
      </c>
      <c r="D13816" t="s">
        <v>18846</v>
      </c>
      <c r="E13816" t="s">
        <v>30765</v>
      </c>
      <c r="F13816" t="s">
        <v>32664</v>
      </c>
      <c r="G13816" t="s">
        <v>32672</v>
      </c>
      <c r="H13816" t="s">
        <v>32683</v>
      </c>
      <c r="I13816" t="s">
        <v>10627</v>
      </c>
      <c r="J13816" t="s">
        <v>41021</v>
      </c>
      <c r="K13816" t="s">
        <v>42495</v>
      </c>
      <c r="M13816" t="s">
        <v>45966</v>
      </c>
      <c r="N13816" t="s">
        <v>46569</v>
      </c>
      <c r="O13816" t="s">
        <v>46570</v>
      </c>
      <c r="Q13816">
        <v>0</v>
      </c>
      <c r="R13816" t="s">
        <v>46586</v>
      </c>
      <c r="S13816" t="s">
        <v>46763</v>
      </c>
      <c r="T13816" t="s">
        <v>48221</v>
      </c>
      <c r="U13816" t="s">
        <v>59845</v>
      </c>
      <c r="W13816" t="s">
        <v>45966</v>
      </c>
      <c r="X13816" t="s">
        <v>46587</v>
      </c>
    </row>
    <row r="13817" spans="1:24">
      <c r="A13817">
        <f>HYPERLINK("https://www.philgeps.gov.ph/GEPSNONPILOT/Tender/SplashBidNoticeAbstractUI.aspx?menuIndex=3&amp;refID=7037924&amp;Result=3","7037924")</f>
        <v>0</v>
      </c>
      <c r="B13817" t="s">
        <v>714</v>
      </c>
      <c r="C13817" t="s">
        <v>16658</v>
      </c>
      <c r="D13817" t="s">
        <v>18846</v>
      </c>
      <c r="E13817" t="s">
        <v>30766</v>
      </c>
      <c r="F13817" t="s">
        <v>32664</v>
      </c>
      <c r="G13817" t="s">
        <v>32672</v>
      </c>
      <c r="H13817" t="s">
        <v>32683</v>
      </c>
      <c r="I13817" t="s">
        <v>10627</v>
      </c>
      <c r="J13817" t="s">
        <v>41022</v>
      </c>
      <c r="K13817" t="s">
        <v>42388</v>
      </c>
      <c r="M13817" t="s">
        <v>45966</v>
      </c>
      <c r="N13817" t="s">
        <v>46569</v>
      </c>
      <c r="O13817" t="s">
        <v>46570</v>
      </c>
      <c r="Q13817">
        <v>0</v>
      </c>
      <c r="R13817" t="s">
        <v>46586</v>
      </c>
      <c r="S13817" t="s">
        <v>46765</v>
      </c>
      <c r="T13817" t="s">
        <v>48221</v>
      </c>
      <c r="U13817" t="s">
        <v>59845</v>
      </c>
      <c r="W13817" t="s">
        <v>45966</v>
      </c>
      <c r="X13817" t="s">
        <v>46587</v>
      </c>
    </row>
    <row r="13818" spans="1:24">
      <c r="A13818">
        <f>HYPERLINK("https://www.philgeps.gov.ph/GEPSNONPILOT/Tender/SplashBidNoticeAbstractUI.aspx?menuIndex=3&amp;refID=7037894&amp;Result=3","7037894")</f>
        <v>0</v>
      </c>
      <c r="B13818" t="s">
        <v>714</v>
      </c>
      <c r="C13818" t="s">
        <v>16659</v>
      </c>
      <c r="D13818" t="s">
        <v>18846</v>
      </c>
      <c r="E13818" t="s">
        <v>30767</v>
      </c>
      <c r="F13818" t="s">
        <v>32664</v>
      </c>
      <c r="G13818" t="s">
        <v>32672</v>
      </c>
      <c r="H13818" t="s">
        <v>32683</v>
      </c>
      <c r="I13818" t="s">
        <v>10627</v>
      </c>
      <c r="J13818" t="s">
        <v>41023</v>
      </c>
      <c r="K13818" t="s">
        <v>42509</v>
      </c>
      <c r="M13818" t="s">
        <v>45966</v>
      </c>
      <c r="N13818" t="s">
        <v>46569</v>
      </c>
      <c r="O13818" t="s">
        <v>46570</v>
      </c>
      <c r="Q13818">
        <v>1</v>
      </c>
      <c r="R13818" t="s">
        <v>46586</v>
      </c>
      <c r="S13818" t="s">
        <v>47348</v>
      </c>
      <c r="T13818" t="s">
        <v>48221</v>
      </c>
      <c r="U13818" t="s">
        <v>59845</v>
      </c>
      <c r="W13818" t="s">
        <v>45966</v>
      </c>
      <c r="X13818" t="s">
        <v>46587</v>
      </c>
    </row>
    <row r="13819" spans="1:24">
      <c r="A13819">
        <f>HYPERLINK("https://www.philgeps.gov.ph/GEPSNONPILOT/Tender/SplashBidNoticeAbstractUI.aspx?menuIndex=3&amp;refID=7037611&amp;Result=3","7037611")</f>
        <v>0</v>
      </c>
      <c r="B13819" t="s">
        <v>1734</v>
      </c>
      <c r="C13819" t="s">
        <v>16660</v>
      </c>
      <c r="D13819" t="s">
        <v>18789</v>
      </c>
      <c r="E13819" t="s">
        <v>30768</v>
      </c>
      <c r="F13819" t="s">
        <v>32664</v>
      </c>
      <c r="G13819" t="s">
        <v>32672</v>
      </c>
      <c r="H13819" t="s">
        <v>12635</v>
      </c>
      <c r="I13819" t="s">
        <v>32684</v>
      </c>
      <c r="J13819" t="s">
        <v>34038</v>
      </c>
      <c r="K13819" t="s">
        <v>42283</v>
      </c>
      <c r="M13819" t="s">
        <v>46229</v>
      </c>
      <c r="N13819" t="s">
        <v>46569</v>
      </c>
      <c r="O13819" t="s">
        <v>46570</v>
      </c>
      <c r="P13819">
        <v>0</v>
      </c>
      <c r="Q13819">
        <v>5</v>
      </c>
      <c r="R13819" t="s">
        <v>46586</v>
      </c>
      <c r="S13819" t="s">
        <v>47252</v>
      </c>
      <c r="T13819" t="s">
        <v>48283</v>
      </c>
      <c r="U13819" t="s">
        <v>59858</v>
      </c>
      <c r="W13819" t="s">
        <v>46229</v>
      </c>
      <c r="X13819" t="s">
        <v>46587</v>
      </c>
    </row>
    <row r="13820" spans="1:24">
      <c r="A13820">
        <f>HYPERLINK("https://www.philgeps.gov.ph/GEPSNONPILOT/Tender/SplashBidNoticeAbstractUI.aspx?menuIndex=3&amp;refID=7037907&amp;Result=3","7037907")</f>
        <v>0</v>
      </c>
      <c r="B13820" t="s">
        <v>1038</v>
      </c>
      <c r="C13820" t="s">
        <v>16661</v>
      </c>
      <c r="D13820" t="s">
        <v>18788</v>
      </c>
      <c r="E13820" t="s">
        <v>30769</v>
      </c>
      <c r="F13820" t="s">
        <v>32664</v>
      </c>
      <c r="G13820" t="s">
        <v>32672</v>
      </c>
      <c r="H13820" t="s">
        <v>32683</v>
      </c>
      <c r="I13820" t="s">
        <v>10627</v>
      </c>
      <c r="J13820" t="s">
        <v>41024</v>
      </c>
      <c r="K13820" t="s">
        <v>42281</v>
      </c>
      <c r="M13820" t="s">
        <v>43652</v>
      </c>
      <c r="N13820" t="s">
        <v>46569</v>
      </c>
      <c r="O13820" t="s">
        <v>46570</v>
      </c>
      <c r="Q13820">
        <v>4</v>
      </c>
      <c r="R13820" t="s">
        <v>46586</v>
      </c>
      <c r="S13820" t="s">
        <v>47349</v>
      </c>
      <c r="T13820" t="s">
        <v>48221</v>
      </c>
      <c r="U13820" t="s">
        <v>59859</v>
      </c>
      <c r="W13820" t="s">
        <v>43652</v>
      </c>
      <c r="X13820" t="s">
        <v>46587</v>
      </c>
    </row>
    <row r="13821" spans="1:24">
      <c r="A13821">
        <f>HYPERLINK("https://www.philgeps.gov.ph/GEPSNONPILOT/Tender/SplashBidNoticeAbstractUI.aspx?menuIndex=3&amp;refID=7037939&amp;Result=3","7037939")</f>
        <v>0</v>
      </c>
      <c r="B13821" t="s">
        <v>714</v>
      </c>
      <c r="C13821" t="s">
        <v>16662</v>
      </c>
      <c r="D13821" t="s">
        <v>18846</v>
      </c>
      <c r="E13821" t="s">
        <v>30770</v>
      </c>
      <c r="F13821" t="s">
        <v>32664</v>
      </c>
      <c r="G13821" t="s">
        <v>32672</v>
      </c>
      <c r="H13821" t="s">
        <v>32683</v>
      </c>
      <c r="I13821" t="s">
        <v>10627</v>
      </c>
      <c r="J13821" t="s">
        <v>41025</v>
      </c>
      <c r="K13821" t="s">
        <v>42308</v>
      </c>
      <c r="M13821" t="s">
        <v>45966</v>
      </c>
      <c r="N13821" t="s">
        <v>46569</v>
      </c>
      <c r="O13821" t="s">
        <v>46570</v>
      </c>
      <c r="Q13821">
        <v>1</v>
      </c>
      <c r="R13821" t="s">
        <v>46586</v>
      </c>
      <c r="S13821" t="s">
        <v>47350</v>
      </c>
      <c r="T13821" t="s">
        <v>48221</v>
      </c>
      <c r="U13821" t="s">
        <v>59845</v>
      </c>
      <c r="W13821" t="s">
        <v>45966</v>
      </c>
      <c r="X13821" t="s">
        <v>46587</v>
      </c>
    </row>
    <row r="13822" spans="1:24">
      <c r="A13822">
        <f>HYPERLINK("https://www.philgeps.gov.ph/GEPSNONPILOT/Tender/SplashBidNoticeAbstractUI.aspx?menuIndex=3&amp;refID=7037591&amp;Result=3","7037591")</f>
        <v>0</v>
      </c>
      <c r="B13822" t="s">
        <v>2716</v>
      </c>
      <c r="C13822" t="s">
        <v>16663</v>
      </c>
      <c r="D13822" t="s">
        <v>18788</v>
      </c>
      <c r="E13822" t="s">
        <v>30771</v>
      </c>
      <c r="F13822" t="s">
        <v>32664</v>
      </c>
      <c r="G13822" t="s">
        <v>32672</v>
      </c>
      <c r="H13822" t="s">
        <v>32683</v>
      </c>
      <c r="I13822" t="s">
        <v>10627</v>
      </c>
      <c r="J13822" t="s">
        <v>41026</v>
      </c>
      <c r="K13822" t="s">
        <v>42283</v>
      </c>
      <c r="M13822" t="s">
        <v>45542</v>
      </c>
      <c r="N13822" t="s">
        <v>46569</v>
      </c>
      <c r="O13822" t="s">
        <v>46570</v>
      </c>
      <c r="P13822">
        <v>0</v>
      </c>
      <c r="Q13822">
        <v>2</v>
      </c>
      <c r="R13822" t="s">
        <v>46586</v>
      </c>
      <c r="S13822" t="s">
        <v>47252</v>
      </c>
      <c r="T13822" t="s">
        <v>48283</v>
      </c>
      <c r="U13822" t="s">
        <v>59860</v>
      </c>
      <c r="V13822" t="s">
        <v>61668</v>
      </c>
      <c r="W13822" t="s">
        <v>45542</v>
      </c>
      <c r="X13822" t="s">
        <v>46587</v>
      </c>
    </row>
    <row r="13823" spans="1:24">
      <c r="A13823">
        <f>HYPERLINK("https://www.philgeps.gov.ph/GEPSNONPILOT/Tender/SplashBidNoticeAbstractUI.aspx?menuIndex=3&amp;refID=7037963&amp;Result=3","7037963")</f>
        <v>0</v>
      </c>
      <c r="B13823" t="s">
        <v>2347</v>
      </c>
      <c r="C13823" t="s">
        <v>16664</v>
      </c>
      <c r="E13823" t="s">
        <v>30772</v>
      </c>
      <c r="F13823" t="s">
        <v>32664</v>
      </c>
      <c r="G13823" t="s">
        <v>32672</v>
      </c>
      <c r="H13823" t="s">
        <v>32683</v>
      </c>
      <c r="I13823" t="s">
        <v>10627</v>
      </c>
      <c r="J13823" t="s">
        <v>32962</v>
      </c>
      <c r="K13823" t="s">
        <v>42311</v>
      </c>
      <c r="M13823" t="s">
        <v>45129</v>
      </c>
      <c r="N13823" t="s">
        <v>46569</v>
      </c>
      <c r="O13823" t="s">
        <v>46570</v>
      </c>
      <c r="P13823">
        <v>0</v>
      </c>
      <c r="Q13823">
        <v>0</v>
      </c>
      <c r="R13823" t="s">
        <v>46586</v>
      </c>
      <c r="S13823" t="s">
        <v>47252</v>
      </c>
      <c r="T13823" t="s">
        <v>48283</v>
      </c>
      <c r="U13823" t="s">
        <v>59861</v>
      </c>
      <c r="W13823" t="s">
        <v>45129</v>
      </c>
      <c r="X13823" t="s">
        <v>46587</v>
      </c>
    </row>
    <row r="13824" spans="1:24">
      <c r="A13824">
        <f>HYPERLINK("https://www.philgeps.gov.ph/GEPSNONPILOT/Tender/SplashBidNoticeAbstractUI.aspx?menuIndex=3&amp;refID=7038005&amp;Result=3","7038005")</f>
        <v>0</v>
      </c>
      <c r="B13824" t="s">
        <v>475</v>
      </c>
      <c r="C13824" t="s">
        <v>16665</v>
      </c>
      <c r="D13824" t="s">
        <v>18796</v>
      </c>
      <c r="E13824" t="s">
        <v>30773</v>
      </c>
      <c r="F13824" t="s">
        <v>32664</v>
      </c>
      <c r="G13824" t="s">
        <v>32671</v>
      </c>
      <c r="H13824" t="s">
        <v>12635</v>
      </c>
      <c r="I13824" t="s">
        <v>14442</v>
      </c>
      <c r="J13824" t="s">
        <v>33299</v>
      </c>
      <c r="K13824" t="s">
        <v>42281</v>
      </c>
      <c r="M13824" t="s">
        <v>43050</v>
      </c>
      <c r="N13824" t="s">
        <v>46569</v>
      </c>
      <c r="O13824" t="s">
        <v>46570</v>
      </c>
      <c r="P13824">
        <v>0</v>
      </c>
      <c r="Q13824">
        <v>5</v>
      </c>
      <c r="R13824" t="s">
        <v>46586</v>
      </c>
      <c r="S13824" t="s">
        <v>47252</v>
      </c>
      <c r="T13824" t="s">
        <v>48598</v>
      </c>
      <c r="U13824" t="s">
        <v>59862</v>
      </c>
      <c r="W13824" t="s">
        <v>43050</v>
      </c>
      <c r="X13824" t="s">
        <v>46587</v>
      </c>
    </row>
    <row r="13825" spans="1:24">
      <c r="A13825">
        <f>HYPERLINK("https://www.philgeps.gov.ph/GEPSNONPILOT/Tender/SplashBidNoticeAbstractUI.aspx?menuIndex=3&amp;refID=7037927&amp;Result=3","7037927")</f>
        <v>0</v>
      </c>
      <c r="B13825" t="s">
        <v>1571</v>
      </c>
      <c r="C13825" t="s">
        <v>16666</v>
      </c>
      <c r="D13825" t="s">
        <v>18832</v>
      </c>
      <c r="E13825" t="s">
        <v>30774</v>
      </c>
      <c r="F13825" t="s">
        <v>32664</v>
      </c>
      <c r="G13825" t="s">
        <v>32672</v>
      </c>
      <c r="H13825" t="s">
        <v>32683</v>
      </c>
      <c r="I13825" t="s">
        <v>10627</v>
      </c>
      <c r="J13825" t="s">
        <v>41027</v>
      </c>
      <c r="K13825" t="s">
        <v>42369</v>
      </c>
      <c r="M13825" t="s">
        <v>44246</v>
      </c>
      <c r="N13825" t="s">
        <v>46569</v>
      </c>
      <c r="O13825" t="s">
        <v>46570</v>
      </c>
      <c r="Q13825">
        <v>14</v>
      </c>
      <c r="R13825" t="s">
        <v>46586</v>
      </c>
      <c r="S13825" t="s">
        <v>47351</v>
      </c>
      <c r="T13825" t="s">
        <v>48228</v>
      </c>
      <c r="U13825" t="s">
        <v>59863</v>
      </c>
      <c r="W13825" t="s">
        <v>44246</v>
      </c>
      <c r="X13825" t="s">
        <v>46587</v>
      </c>
    </row>
    <row r="13826" spans="1:24">
      <c r="A13826">
        <f>HYPERLINK("https://www.philgeps.gov.ph/GEPSNONPILOT/Tender/SplashBidNoticeAbstractUI.aspx?menuIndex=3&amp;refID=7038003&amp;Result=3","7038003")</f>
        <v>0</v>
      </c>
      <c r="B13826" t="s">
        <v>1571</v>
      </c>
      <c r="C13826" t="s">
        <v>16667</v>
      </c>
      <c r="D13826" t="s">
        <v>18832</v>
      </c>
      <c r="E13826" t="s">
        <v>30775</v>
      </c>
      <c r="F13826" t="s">
        <v>32664</v>
      </c>
      <c r="G13826" t="s">
        <v>32672</v>
      </c>
      <c r="H13826" t="s">
        <v>32683</v>
      </c>
      <c r="I13826" t="s">
        <v>10627</v>
      </c>
      <c r="J13826" t="s">
        <v>41028</v>
      </c>
      <c r="K13826" t="s">
        <v>42305</v>
      </c>
      <c r="M13826" t="s">
        <v>44246</v>
      </c>
      <c r="N13826" t="s">
        <v>46569</v>
      </c>
      <c r="O13826" t="s">
        <v>46570</v>
      </c>
      <c r="Q13826">
        <v>13</v>
      </c>
      <c r="R13826" t="s">
        <v>46586</v>
      </c>
      <c r="S13826" t="s">
        <v>47352</v>
      </c>
      <c r="T13826" t="s">
        <v>48228</v>
      </c>
      <c r="U13826" t="s">
        <v>59864</v>
      </c>
      <c r="W13826" t="s">
        <v>44246</v>
      </c>
      <c r="X13826" t="s">
        <v>46587</v>
      </c>
    </row>
    <row r="13827" spans="1:24">
      <c r="A13827">
        <f>HYPERLINK("https://www.philgeps.gov.ph/GEPSNONPILOT/Tender/SplashBidNoticeAbstractUI.aspx?menuIndex=3&amp;refID=7038014&amp;Result=3","7038014")</f>
        <v>0</v>
      </c>
      <c r="B13827" t="s">
        <v>1993</v>
      </c>
      <c r="C13827" t="s">
        <v>16668</v>
      </c>
      <c r="D13827" t="s">
        <v>18834</v>
      </c>
      <c r="E13827" t="s">
        <v>30776</v>
      </c>
      <c r="F13827" t="s">
        <v>32664</v>
      </c>
      <c r="G13827" t="s">
        <v>32672</v>
      </c>
      <c r="H13827" t="s">
        <v>32683</v>
      </c>
      <c r="I13827" t="s">
        <v>10627</v>
      </c>
      <c r="J13827" t="s">
        <v>34405</v>
      </c>
      <c r="K13827" t="s">
        <v>42290</v>
      </c>
      <c r="M13827" t="s">
        <v>44728</v>
      </c>
      <c r="N13827" t="s">
        <v>46569</v>
      </c>
      <c r="O13827" t="s">
        <v>46570</v>
      </c>
      <c r="Q13827">
        <v>1</v>
      </c>
      <c r="R13827" t="s">
        <v>46586</v>
      </c>
      <c r="S13827" t="s">
        <v>47353</v>
      </c>
      <c r="T13827" t="s">
        <v>48283</v>
      </c>
      <c r="U13827" t="s">
        <v>59865</v>
      </c>
      <c r="V13827" t="s">
        <v>63154</v>
      </c>
      <c r="W13827" t="s">
        <v>63567</v>
      </c>
      <c r="X13827" t="s">
        <v>46587</v>
      </c>
    </row>
    <row r="13828" spans="1:24">
      <c r="A13828">
        <f>HYPERLINK("https://www.philgeps.gov.ph/GEPSNONPILOT/Tender/SplashBidNoticeAbstractUI.aspx?menuIndex=3&amp;refID=7037885&amp;Result=3","7037885")</f>
        <v>0</v>
      </c>
      <c r="B13828" t="s">
        <v>1571</v>
      </c>
      <c r="C13828" t="s">
        <v>16669</v>
      </c>
      <c r="D13828" t="s">
        <v>18832</v>
      </c>
      <c r="E13828" t="s">
        <v>30777</v>
      </c>
      <c r="F13828" t="s">
        <v>32664</v>
      </c>
      <c r="G13828" t="s">
        <v>32672</v>
      </c>
      <c r="H13828" t="s">
        <v>32683</v>
      </c>
      <c r="I13828" t="s">
        <v>10627</v>
      </c>
      <c r="J13828" t="s">
        <v>41029</v>
      </c>
      <c r="K13828" t="s">
        <v>42305</v>
      </c>
      <c r="M13828" t="s">
        <v>44246</v>
      </c>
      <c r="N13828" t="s">
        <v>46569</v>
      </c>
      <c r="O13828" t="s">
        <v>46570</v>
      </c>
      <c r="Q13828">
        <v>15</v>
      </c>
      <c r="R13828" t="s">
        <v>46586</v>
      </c>
      <c r="S13828" t="s">
        <v>47354</v>
      </c>
      <c r="T13828" t="s">
        <v>48228</v>
      </c>
      <c r="U13828" t="s">
        <v>59866</v>
      </c>
      <c r="W13828" t="s">
        <v>44246</v>
      </c>
      <c r="X13828" t="s">
        <v>46587</v>
      </c>
    </row>
    <row r="13829" spans="1:24">
      <c r="A13829">
        <f>HYPERLINK("https://www.philgeps.gov.ph/GEPSNONPILOT/Tender/SplashBidNoticeAbstractUI.aspx?menuIndex=3&amp;refID=7038000&amp;Result=3","7038000")</f>
        <v>0</v>
      </c>
      <c r="B13829" t="s">
        <v>1571</v>
      </c>
      <c r="C13829" t="s">
        <v>16670</v>
      </c>
      <c r="D13829" t="s">
        <v>18832</v>
      </c>
      <c r="E13829" t="s">
        <v>30778</v>
      </c>
      <c r="F13829" t="s">
        <v>32664</v>
      </c>
      <c r="G13829" t="s">
        <v>32672</v>
      </c>
      <c r="H13829" t="s">
        <v>32683</v>
      </c>
      <c r="I13829" t="s">
        <v>10627</v>
      </c>
      <c r="J13829" t="s">
        <v>41030</v>
      </c>
      <c r="K13829" t="s">
        <v>42326</v>
      </c>
      <c r="M13829" t="s">
        <v>44246</v>
      </c>
      <c r="N13829" t="s">
        <v>46569</v>
      </c>
      <c r="O13829" t="s">
        <v>46570</v>
      </c>
      <c r="Q13829">
        <v>15</v>
      </c>
      <c r="R13829" t="s">
        <v>46586</v>
      </c>
      <c r="S13829" t="s">
        <v>47355</v>
      </c>
      <c r="T13829" t="s">
        <v>48228</v>
      </c>
      <c r="U13829" t="s">
        <v>59867</v>
      </c>
      <c r="W13829" t="s">
        <v>44246</v>
      </c>
      <c r="X13829" t="s">
        <v>46587</v>
      </c>
    </row>
    <row r="13830" spans="1:24">
      <c r="A13830">
        <f>HYPERLINK("https://www.philgeps.gov.ph/GEPSNONPILOT/Tender/SplashBidNoticeAbstractUI.aspx?menuIndex=3&amp;refID=7037995&amp;Result=3","7037995")</f>
        <v>0</v>
      </c>
      <c r="B13830" t="s">
        <v>465</v>
      </c>
      <c r="C13830" t="s">
        <v>16671</v>
      </c>
      <c r="D13830" t="s">
        <v>18829</v>
      </c>
      <c r="E13830" t="s">
        <v>30779</v>
      </c>
      <c r="F13830" t="s">
        <v>32664</v>
      </c>
      <c r="G13830" t="s">
        <v>32672</v>
      </c>
      <c r="H13830" t="s">
        <v>32683</v>
      </c>
      <c r="I13830" t="s">
        <v>10627</v>
      </c>
      <c r="J13830" t="s">
        <v>41031</v>
      </c>
      <c r="K13830" t="s">
        <v>42311</v>
      </c>
      <c r="M13830" t="s">
        <v>43040</v>
      </c>
      <c r="N13830" t="s">
        <v>46569</v>
      </c>
      <c r="O13830" t="s">
        <v>46570</v>
      </c>
      <c r="P13830">
        <v>0</v>
      </c>
      <c r="Q13830">
        <v>11</v>
      </c>
      <c r="R13830" t="s">
        <v>46586</v>
      </c>
      <c r="S13830" t="s">
        <v>47252</v>
      </c>
      <c r="T13830" t="s">
        <v>48301</v>
      </c>
      <c r="U13830" t="s">
        <v>59868</v>
      </c>
      <c r="W13830" t="s">
        <v>63478</v>
      </c>
      <c r="X13830" t="s">
        <v>46587</v>
      </c>
    </row>
    <row r="13831" spans="1:24">
      <c r="A13831">
        <f>HYPERLINK("https://www.philgeps.gov.ph/GEPSNONPILOT/Tender/SplashBidNoticeAbstractUI.aspx?menuIndex=3&amp;refID=7037993&amp;Result=3","7037993")</f>
        <v>0</v>
      </c>
      <c r="B13831" t="s">
        <v>2564</v>
      </c>
      <c r="C13831" t="s">
        <v>16672</v>
      </c>
      <c r="D13831" t="s">
        <v>18820</v>
      </c>
      <c r="E13831" t="s">
        <v>30780</v>
      </c>
      <c r="F13831" t="s">
        <v>32664</v>
      </c>
      <c r="G13831" t="s">
        <v>32672</v>
      </c>
      <c r="H13831" t="s">
        <v>12635</v>
      </c>
      <c r="I13831" t="s">
        <v>6118</v>
      </c>
      <c r="J13831" t="s">
        <v>41032</v>
      </c>
      <c r="K13831" t="s">
        <v>42281</v>
      </c>
      <c r="M13831" t="s">
        <v>45375</v>
      </c>
      <c r="N13831" t="s">
        <v>46569</v>
      </c>
      <c r="O13831" t="s">
        <v>46570</v>
      </c>
      <c r="P13831">
        <v>0</v>
      </c>
      <c r="Q13831">
        <v>0</v>
      </c>
      <c r="R13831" t="s">
        <v>46586</v>
      </c>
      <c r="S13831" t="s">
        <v>47252</v>
      </c>
      <c r="T13831" t="s">
        <v>48258</v>
      </c>
      <c r="U13831" t="s">
        <v>59869</v>
      </c>
      <c r="W13831" t="s">
        <v>45375</v>
      </c>
      <c r="X13831" t="s">
        <v>46587</v>
      </c>
    </row>
    <row r="13832" spans="1:24">
      <c r="A13832">
        <f>HYPERLINK("https://www.philgeps.gov.ph/GEPSNONPILOT/Tender/SplashBidNoticeAbstractUI.aspx?menuIndex=3&amp;refID=7037991&amp;Result=3","7037991")</f>
        <v>0</v>
      </c>
      <c r="B13832" t="s">
        <v>1571</v>
      </c>
      <c r="C13832" t="s">
        <v>16673</v>
      </c>
      <c r="D13832" t="s">
        <v>18832</v>
      </c>
      <c r="E13832" t="s">
        <v>30781</v>
      </c>
      <c r="F13832" t="s">
        <v>32664</v>
      </c>
      <c r="G13832" t="s">
        <v>32672</v>
      </c>
      <c r="H13832" t="s">
        <v>32683</v>
      </c>
      <c r="I13832" t="s">
        <v>10627</v>
      </c>
      <c r="J13832" t="s">
        <v>41033</v>
      </c>
      <c r="K13832" t="s">
        <v>42298</v>
      </c>
      <c r="M13832" t="s">
        <v>44246</v>
      </c>
      <c r="N13832" t="s">
        <v>46569</v>
      </c>
      <c r="O13832" t="s">
        <v>46570</v>
      </c>
      <c r="Q13832">
        <v>17</v>
      </c>
      <c r="R13832" t="s">
        <v>46586</v>
      </c>
      <c r="S13832" t="s">
        <v>47356</v>
      </c>
      <c r="T13832" t="s">
        <v>48228</v>
      </c>
      <c r="U13832" t="s">
        <v>59870</v>
      </c>
      <c r="W13832" t="s">
        <v>44246</v>
      </c>
      <c r="X13832" t="s">
        <v>46587</v>
      </c>
    </row>
    <row r="13833" spans="1:24">
      <c r="A13833">
        <f>HYPERLINK("https://www.philgeps.gov.ph/GEPSNONPILOT/Tender/SplashBidNoticeAbstractUI.aspx?menuIndex=3&amp;refID=7038011&amp;Result=3","7038011")</f>
        <v>0</v>
      </c>
      <c r="B13833" t="s">
        <v>1571</v>
      </c>
      <c r="C13833" t="s">
        <v>16674</v>
      </c>
      <c r="D13833" t="s">
        <v>18832</v>
      </c>
      <c r="E13833" t="s">
        <v>30782</v>
      </c>
      <c r="F13833" t="s">
        <v>32664</v>
      </c>
      <c r="G13833" t="s">
        <v>32672</v>
      </c>
      <c r="H13833" t="s">
        <v>32683</v>
      </c>
      <c r="I13833" t="s">
        <v>10627</v>
      </c>
      <c r="J13833" t="s">
        <v>41034</v>
      </c>
      <c r="K13833" t="s">
        <v>42369</v>
      </c>
      <c r="M13833" t="s">
        <v>44246</v>
      </c>
      <c r="N13833" t="s">
        <v>46569</v>
      </c>
      <c r="O13833" t="s">
        <v>46570</v>
      </c>
      <c r="Q13833">
        <v>14</v>
      </c>
      <c r="R13833" t="s">
        <v>46586</v>
      </c>
      <c r="S13833" t="s">
        <v>47357</v>
      </c>
      <c r="T13833" t="s">
        <v>48228</v>
      </c>
      <c r="U13833" t="s">
        <v>59871</v>
      </c>
      <c r="W13833" t="s">
        <v>44246</v>
      </c>
      <c r="X13833" t="s">
        <v>46587</v>
      </c>
    </row>
    <row r="13834" spans="1:24">
      <c r="A13834">
        <f>HYPERLINK("https://www.philgeps.gov.ph/GEPSNONPILOT/Tender/SplashBidNoticeAbstractUI.aspx?menuIndex=3&amp;refID=7037999&amp;Result=3","7037999")</f>
        <v>0</v>
      </c>
      <c r="B13834" t="s">
        <v>2564</v>
      </c>
      <c r="C13834" t="s">
        <v>16675</v>
      </c>
      <c r="D13834" t="s">
        <v>18820</v>
      </c>
      <c r="E13834" t="s">
        <v>30783</v>
      </c>
      <c r="F13834" t="s">
        <v>32664</v>
      </c>
      <c r="G13834" t="s">
        <v>32672</v>
      </c>
      <c r="H13834" t="s">
        <v>12635</v>
      </c>
      <c r="I13834" t="s">
        <v>6628</v>
      </c>
      <c r="J13834" t="s">
        <v>33159</v>
      </c>
      <c r="K13834" t="s">
        <v>42281</v>
      </c>
      <c r="M13834" t="s">
        <v>45375</v>
      </c>
      <c r="N13834" t="s">
        <v>46569</v>
      </c>
      <c r="O13834" t="s">
        <v>46570</v>
      </c>
      <c r="P13834">
        <v>0</v>
      </c>
      <c r="Q13834">
        <v>1</v>
      </c>
      <c r="R13834" t="s">
        <v>46586</v>
      </c>
      <c r="S13834" t="s">
        <v>47252</v>
      </c>
      <c r="T13834" t="s">
        <v>48258</v>
      </c>
      <c r="U13834" t="s">
        <v>59872</v>
      </c>
      <c r="W13834" t="s">
        <v>45375</v>
      </c>
      <c r="X13834" t="s">
        <v>46587</v>
      </c>
    </row>
    <row r="13835" spans="1:24">
      <c r="A13835">
        <f>HYPERLINK("https://www.philgeps.gov.ph/GEPSNONPILOT/Tender/SplashBidNoticeAbstractUI.aspx?menuIndex=3&amp;refID=7038012&amp;Result=3","7038012")</f>
        <v>0</v>
      </c>
      <c r="B13835" t="s">
        <v>465</v>
      </c>
      <c r="C13835" t="s">
        <v>16676</v>
      </c>
      <c r="D13835" t="s">
        <v>18829</v>
      </c>
      <c r="E13835" t="s">
        <v>21080</v>
      </c>
      <c r="F13835" t="s">
        <v>32664</v>
      </c>
      <c r="G13835" t="s">
        <v>32672</v>
      </c>
      <c r="H13835" t="s">
        <v>32683</v>
      </c>
      <c r="I13835" t="s">
        <v>10627</v>
      </c>
      <c r="J13835" t="s">
        <v>41035</v>
      </c>
      <c r="K13835" t="s">
        <v>42290</v>
      </c>
      <c r="M13835" t="s">
        <v>43040</v>
      </c>
      <c r="N13835" t="s">
        <v>46569</v>
      </c>
      <c r="O13835" t="s">
        <v>46570</v>
      </c>
      <c r="P13835">
        <v>0</v>
      </c>
      <c r="Q13835">
        <v>22</v>
      </c>
      <c r="R13835" t="s">
        <v>46586</v>
      </c>
      <c r="S13835" t="s">
        <v>47252</v>
      </c>
      <c r="T13835" t="s">
        <v>48293</v>
      </c>
      <c r="U13835" t="s">
        <v>59873</v>
      </c>
      <c r="W13835" t="s">
        <v>63478</v>
      </c>
      <c r="X13835" t="s">
        <v>46587</v>
      </c>
    </row>
    <row r="13836" spans="1:24">
      <c r="A13836">
        <f>HYPERLINK("https://www.philgeps.gov.ph/GEPSNONPILOT/Tender/SplashBidNoticeAbstractUI.aspx?menuIndex=3&amp;refID=7037989&amp;Result=3","7037989")</f>
        <v>0</v>
      </c>
      <c r="B13836" t="s">
        <v>2247</v>
      </c>
      <c r="C13836" t="s">
        <v>16677</v>
      </c>
      <c r="D13836" t="s">
        <v>18784</v>
      </c>
      <c r="E13836" t="s">
        <v>30784</v>
      </c>
      <c r="F13836" t="s">
        <v>32664</v>
      </c>
      <c r="G13836" t="s">
        <v>32672</v>
      </c>
      <c r="H13836" t="s">
        <v>12635</v>
      </c>
      <c r="I13836" t="s">
        <v>32681</v>
      </c>
      <c r="J13836" t="s">
        <v>33150</v>
      </c>
      <c r="K13836" t="s">
        <v>42379</v>
      </c>
      <c r="M13836" t="s">
        <v>45012</v>
      </c>
      <c r="N13836" t="s">
        <v>46569</v>
      </c>
      <c r="O13836" t="s">
        <v>46570</v>
      </c>
      <c r="Q13836">
        <v>11</v>
      </c>
      <c r="R13836" t="s">
        <v>46586</v>
      </c>
      <c r="S13836" t="s">
        <v>47358</v>
      </c>
      <c r="T13836" t="s">
        <v>48284</v>
      </c>
      <c r="U13836" t="s">
        <v>59874</v>
      </c>
      <c r="V13836" t="s">
        <v>62351</v>
      </c>
      <c r="W13836" t="s">
        <v>45012</v>
      </c>
      <c r="X13836" t="s">
        <v>46587</v>
      </c>
    </row>
    <row r="13837" spans="1:24">
      <c r="A13837">
        <f>HYPERLINK("https://www.philgeps.gov.ph/GEPSNONPILOT/Tender/SplashBidNoticeAbstractUI.aspx?menuIndex=3&amp;refID=7038083&amp;Result=3","7038083")</f>
        <v>0</v>
      </c>
      <c r="B13837" t="s">
        <v>3362</v>
      </c>
      <c r="C13837" t="s">
        <v>16678</v>
      </c>
      <c r="D13837" t="s">
        <v>18845</v>
      </c>
      <c r="E13837" t="s">
        <v>30785</v>
      </c>
      <c r="F13837" t="s">
        <v>32664</v>
      </c>
      <c r="G13837" t="s">
        <v>32672</v>
      </c>
      <c r="H13837" t="s">
        <v>12635</v>
      </c>
      <c r="I13837" t="s">
        <v>4439</v>
      </c>
      <c r="J13837" t="s">
        <v>41036</v>
      </c>
      <c r="K13837" t="s">
        <v>42289</v>
      </c>
      <c r="M13837" t="s">
        <v>46321</v>
      </c>
      <c r="N13837" t="s">
        <v>46569</v>
      </c>
      <c r="O13837" t="s">
        <v>46570</v>
      </c>
      <c r="P13837">
        <v>0</v>
      </c>
      <c r="Q13837">
        <v>0</v>
      </c>
      <c r="R13837" t="s">
        <v>46586</v>
      </c>
      <c r="S13837" t="s">
        <v>47252</v>
      </c>
      <c r="T13837" t="s">
        <v>48246</v>
      </c>
      <c r="U13837" t="s">
        <v>59875</v>
      </c>
      <c r="V13837" t="s">
        <v>63155</v>
      </c>
      <c r="W13837" t="s">
        <v>46321</v>
      </c>
      <c r="X13837" t="s">
        <v>46587</v>
      </c>
    </row>
    <row r="13838" spans="1:24">
      <c r="A13838">
        <f>HYPERLINK("https://www.philgeps.gov.ph/GEPSNONPILOT/Tender/SplashBidNoticeAbstractUI.aspx?menuIndex=3&amp;refID=7038091&amp;Result=3","7038091")</f>
        <v>0</v>
      </c>
      <c r="B13838" t="s">
        <v>3363</v>
      </c>
      <c r="C13838" t="s">
        <v>16679</v>
      </c>
      <c r="D13838" t="s">
        <v>18785</v>
      </c>
      <c r="E13838" t="s">
        <v>30786</v>
      </c>
      <c r="F13838" t="s">
        <v>32664</v>
      </c>
      <c r="G13838" t="s">
        <v>32672</v>
      </c>
      <c r="H13838" t="s">
        <v>12635</v>
      </c>
      <c r="I13838" t="s">
        <v>32771</v>
      </c>
      <c r="J13838" t="s">
        <v>41037</v>
      </c>
      <c r="K13838" t="s">
        <v>42283</v>
      </c>
      <c r="M13838" t="s">
        <v>46322</v>
      </c>
      <c r="N13838" t="s">
        <v>46569</v>
      </c>
      <c r="O13838" t="s">
        <v>46570</v>
      </c>
      <c r="P13838">
        <v>0</v>
      </c>
      <c r="Q13838">
        <v>6</v>
      </c>
      <c r="R13838" t="s">
        <v>46586</v>
      </c>
      <c r="S13838" t="s">
        <v>47252</v>
      </c>
      <c r="T13838" t="s">
        <v>48244</v>
      </c>
      <c r="U13838" t="s">
        <v>59876</v>
      </c>
      <c r="W13838" t="s">
        <v>46322</v>
      </c>
      <c r="X13838" t="s">
        <v>46587</v>
      </c>
    </row>
    <row r="13839" spans="1:24">
      <c r="A13839">
        <f>HYPERLINK("https://www.philgeps.gov.ph/GEPSNONPILOT/Tender/SplashBidNoticeAbstractUI.aspx?menuIndex=3&amp;refID=7038078&amp;Result=3","7038078")</f>
        <v>0</v>
      </c>
      <c r="B13839" t="s">
        <v>3362</v>
      </c>
      <c r="C13839" t="s">
        <v>16680</v>
      </c>
      <c r="D13839" t="s">
        <v>18845</v>
      </c>
      <c r="E13839" t="s">
        <v>30787</v>
      </c>
      <c r="F13839" t="s">
        <v>32664</v>
      </c>
      <c r="G13839" t="s">
        <v>32672</v>
      </c>
      <c r="H13839" t="s">
        <v>12635</v>
      </c>
      <c r="I13839" t="s">
        <v>4439</v>
      </c>
      <c r="J13839" t="s">
        <v>41038</v>
      </c>
      <c r="K13839" t="s">
        <v>42289</v>
      </c>
      <c r="M13839" t="s">
        <v>46321</v>
      </c>
      <c r="N13839" t="s">
        <v>46569</v>
      </c>
      <c r="O13839" t="s">
        <v>46570</v>
      </c>
      <c r="P13839">
        <v>0</v>
      </c>
      <c r="Q13839">
        <v>0</v>
      </c>
      <c r="R13839" t="s">
        <v>46586</v>
      </c>
      <c r="S13839" t="s">
        <v>47252</v>
      </c>
      <c r="T13839" t="s">
        <v>48246</v>
      </c>
      <c r="U13839" t="s">
        <v>59877</v>
      </c>
      <c r="V13839" t="s">
        <v>63156</v>
      </c>
      <c r="W13839" t="s">
        <v>46321</v>
      </c>
      <c r="X13839" t="s">
        <v>46587</v>
      </c>
    </row>
    <row r="13840" spans="1:24">
      <c r="A13840">
        <f>HYPERLINK("https://www.philgeps.gov.ph/GEPSNONPILOT/Tender/SplashBidNoticeAbstractUI.aspx?menuIndex=3&amp;refID=7038086&amp;Result=3","7038086")</f>
        <v>0</v>
      </c>
      <c r="B13840" t="s">
        <v>3364</v>
      </c>
      <c r="C13840" t="s">
        <v>16681</v>
      </c>
      <c r="D13840" t="s">
        <v>18793</v>
      </c>
      <c r="E13840" t="s">
        <v>21045</v>
      </c>
      <c r="F13840" t="s">
        <v>32664</v>
      </c>
      <c r="G13840" t="s">
        <v>32673</v>
      </c>
      <c r="H13840" t="s">
        <v>32683</v>
      </c>
      <c r="I13840" t="s">
        <v>10627</v>
      </c>
      <c r="J13840" t="s">
        <v>41039</v>
      </c>
      <c r="K13840" t="s">
        <v>42311</v>
      </c>
      <c r="M13840" t="s">
        <v>46323</v>
      </c>
      <c r="N13840" t="s">
        <v>46569</v>
      </c>
      <c r="O13840" t="s">
        <v>46570</v>
      </c>
      <c r="P13840">
        <v>0</v>
      </c>
      <c r="Q13840">
        <v>3</v>
      </c>
      <c r="R13840" t="s">
        <v>46586</v>
      </c>
      <c r="S13840" t="s">
        <v>47252</v>
      </c>
      <c r="T13840" t="s">
        <v>48602</v>
      </c>
      <c r="U13840" t="s">
        <v>59878</v>
      </c>
      <c r="W13840" t="s">
        <v>46323</v>
      </c>
      <c r="X13840" t="s">
        <v>46587</v>
      </c>
    </row>
    <row r="13841" spans="1:24">
      <c r="A13841">
        <f>HYPERLINK("https://www.philgeps.gov.ph/GEPSNONPILOT/Tender/SplashBidNoticeAbstractUI.aspx?menuIndex=3&amp;refID=7038004&amp;Result=3","7038004")</f>
        <v>0</v>
      </c>
      <c r="B13841" t="s">
        <v>2564</v>
      </c>
      <c r="C13841" t="s">
        <v>16682</v>
      </c>
      <c r="D13841" t="s">
        <v>18820</v>
      </c>
      <c r="E13841" t="s">
        <v>30788</v>
      </c>
      <c r="F13841" t="s">
        <v>32664</v>
      </c>
      <c r="G13841" t="s">
        <v>32672</v>
      </c>
      <c r="H13841" t="s">
        <v>12635</v>
      </c>
      <c r="I13841" t="s">
        <v>32708</v>
      </c>
      <c r="J13841" t="s">
        <v>33625</v>
      </c>
      <c r="K13841" t="s">
        <v>42281</v>
      </c>
      <c r="M13841" t="s">
        <v>45375</v>
      </c>
      <c r="N13841" t="s">
        <v>46569</v>
      </c>
      <c r="O13841" t="s">
        <v>46570</v>
      </c>
      <c r="P13841">
        <v>0</v>
      </c>
      <c r="Q13841">
        <v>1</v>
      </c>
      <c r="R13841" t="s">
        <v>46586</v>
      </c>
      <c r="S13841" t="s">
        <v>47252</v>
      </c>
      <c r="T13841" t="s">
        <v>48258</v>
      </c>
      <c r="U13841" t="s">
        <v>59879</v>
      </c>
      <c r="W13841" t="s">
        <v>45375</v>
      </c>
      <c r="X13841" t="s">
        <v>46587</v>
      </c>
    </row>
    <row r="13842" spans="1:24">
      <c r="A13842">
        <f>HYPERLINK("https://www.philgeps.gov.ph/GEPSNONPILOT/Tender/SplashBidNoticeAbstractUI.aspx?menuIndex=3&amp;refID=7038082&amp;Result=3","7038082")</f>
        <v>0</v>
      </c>
      <c r="B13842" t="s">
        <v>3362</v>
      </c>
      <c r="C13842" t="s">
        <v>16683</v>
      </c>
      <c r="D13842" t="s">
        <v>18845</v>
      </c>
      <c r="E13842" t="s">
        <v>30789</v>
      </c>
      <c r="F13842" t="s">
        <v>32664</v>
      </c>
      <c r="G13842" t="s">
        <v>32672</v>
      </c>
      <c r="H13842" t="s">
        <v>12635</v>
      </c>
      <c r="I13842" t="s">
        <v>4439</v>
      </c>
      <c r="J13842" t="s">
        <v>41040</v>
      </c>
      <c r="K13842" t="s">
        <v>42289</v>
      </c>
      <c r="M13842" t="s">
        <v>46321</v>
      </c>
      <c r="N13842" t="s">
        <v>46569</v>
      </c>
      <c r="O13842" t="s">
        <v>46570</v>
      </c>
      <c r="P13842">
        <v>0</v>
      </c>
      <c r="Q13842">
        <v>0</v>
      </c>
      <c r="R13842" t="s">
        <v>46586</v>
      </c>
      <c r="S13842" t="s">
        <v>47252</v>
      </c>
      <c r="T13842" t="s">
        <v>48246</v>
      </c>
      <c r="U13842" t="s">
        <v>59880</v>
      </c>
      <c r="V13842" t="s">
        <v>63155</v>
      </c>
      <c r="W13842" t="s">
        <v>46321</v>
      </c>
      <c r="X13842" t="s">
        <v>46587</v>
      </c>
    </row>
    <row r="13843" spans="1:24">
      <c r="A13843">
        <f>HYPERLINK("https://www.philgeps.gov.ph/GEPSNONPILOT/Tender/SplashBidNoticeAbstractUI.aspx?menuIndex=3&amp;refID=7038074&amp;Result=3","7038074")</f>
        <v>0</v>
      </c>
      <c r="B13843" t="s">
        <v>1911</v>
      </c>
      <c r="C13843" t="s">
        <v>16684</v>
      </c>
      <c r="D13843" t="s">
        <v>18844</v>
      </c>
      <c r="E13843" t="s">
        <v>30790</v>
      </c>
      <c r="F13843" t="s">
        <v>32664</v>
      </c>
      <c r="G13843" t="s">
        <v>32672</v>
      </c>
      <c r="H13843" t="s">
        <v>32683</v>
      </c>
      <c r="I13843" t="s">
        <v>10627</v>
      </c>
      <c r="J13843" t="s">
        <v>32865</v>
      </c>
      <c r="K13843" t="s">
        <v>42314</v>
      </c>
      <c r="M13843" t="s">
        <v>44632</v>
      </c>
      <c r="N13843" t="s">
        <v>46569</v>
      </c>
      <c r="O13843" t="s">
        <v>46570</v>
      </c>
      <c r="P13843">
        <v>0</v>
      </c>
      <c r="Q13843">
        <v>0</v>
      </c>
      <c r="R13843" t="s">
        <v>46586</v>
      </c>
      <c r="S13843" t="s">
        <v>47252</v>
      </c>
      <c r="T13843" t="s">
        <v>48219</v>
      </c>
      <c r="U13843" t="s">
        <v>59881</v>
      </c>
      <c r="W13843" t="s">
        <v>44632</v>
      </c>
      <c r="X13843" t="s">
        <v>46587</v>
      </c>
    </row>
    <row r="13844" spans="1:24">
      <c r="A13844">
        <f>HYPERLINK("https://www.philgeps.gov.ph/GEPSNONPILOT/Tender/SplashBidNoticeAbstractUI.aspx?menuIndex=3&amp;refID=7038070&amp;Result=3","7038070")</f>
        <v>0</v>
      </c>
      <c r="B13844" t="s">
        <v>3362</v>
      </c>
      <c r="C13844" t="s">
        <v>16685</v>
      </c>
      <c r="D13844" t="s">
        <v>18845</v>
      </c>
      <c r="E13844" t="s">
        <v>30791</v>
      </c>
      <c r="F13844" t="s">
        <v>32664</v>
      </c>
      <c r="G13844" t="s">
        <v>32672</v>
      </c>
      <c r="H13844" t="s">
        <v>12635</v>
      </c>
      <c r="I13844" t="s">
        <v>6168</v>
      </c>
      <c r="J13844" t="s">
        <v>41041</v>
      </c>
      <c r="K13844" t="s">
        <v>42289</v>
      </c>
      <c r="M13844" t="s">
        <v>46321</v>
      </c>
      <c r="N13844" t="s">
        <v>46569</v>
      </c>
      <c r="O13844" t="s">
        <v>46570</v>
      </c>
      <c r="P13844">
        <v>0</v>
      </c>
      <c r="Q13844">
        <v>1</v>
      </c>
      <c r="R13844" t="s">
        <v>46586</v>
      </c>
      <c r="S13844" t="s">
        <v>47252</v>
      </c>
      <c r="T13844" t="s">
        <v>48246</v>
      </c>
      <c r="U13844" t="s">
        <v>59882</v>
      </c>
      <c r="V13844" t="s">
        <v>63155</v>
      </c>
      <c r="W13844" t="s">
        <v>46321</v>
      </c>
      <c r="X13844" t="s">
        <v>46587</v>
      </c>
    </row>
    <row r="13845" spans="1:24">
      <c r="A13845">
        <f>HYPERLINK("https://www.philgeps.gov.ph/GEPSNONPILOT/Tender/SplashBidNoticeAbstractUI.aspx?menuIndex=3&amp;refID=7038006&amp;Result=3","7038006")</f>
        <v>0</v>
      </c>
      <c r="B13845" t="s">
        <v>465</v>
      </c>
      <c r="C13845" t="s">
        <v>16686</v>
      </c>
      <c r="D13845" t="s">
        <v>18829</v>
      </c>
      <c r="E13845" t="s">
        <v>21122</v>
      </c>
      <c r="F13845" t="s">
        <v>32664</v>
      </c>
      <c r="G13845" t="s">
        <v>32672</v>
      </c>
      <c r="H13845" t="s">
        <v>32683</v>
      </c>
      <c r="I13845" t="s">
        <v>10627</v>
      </c>
      <c r="J13845" t="s">
        <v>41042</v>
      </c>
      <c r="K13845" t="s">
        <v>42290</v>
      </c>
      <c r="M13845" t="s">
        <v>43040</v>
      </c>
      <c r="N13845" t="s">
        <v>46569</v>
      </c>
      <c r="O13845" t="s">
        <v>46570</v>
      </c>
      <c r="Q13845">
        <v>16</v>
      </c>
      <c r="R13845" t="s">
        <v>46586</v>
      </c>
      <c r="S13845" t="s">
        <v>47359</v>
      </c>
      <c r="T13845" t="s">
        <v>48250</v>
      </c>
      <c r="U13845" t="s">
        <v>59883</v>
      </c>
      <c r="W13845" t="s">
        <v>63478</v>
      </c>
      <c r="X13845" t="s">
        <v>46587</v>
      </c>
    </row>
    <row r="13846" spans="1:24">
      <c r="A13846">
        <f>HYPERLINK("https://www.philgeps.gov.ph/GEPSNONPILOT/Tender/SplashBidNoticeAbstractUI.aspx?menuIndex=3&amp;refID=7038066&amp;Result=3","7038066")</f>
        <v>0</v>
      </c>
      <c r="B13846" t="s">
        <v>1911</v>
      </c>
      <c r="C13846" t="s">
        <v>16687</v>
      </c>
      <c r="D13846" t="s">
        <v>18844</v>
      </c>
      <c r="E13846" t="s">
        <v>30792</v>
      </c>
      <c r="F13846" t="s">
        <v>32664</v>
      </c>
      <c r="G13846" t="s">
        <v>32672</v>
      </c>
      <c r="H13846" t="s">
        <v>32683</v>
      </c>
      <c r="I13846" t="s">
        <v>10627</v>
      </c>
      <c r="J13846" t="s">
        <v>33657</v>
      </c>
      <c r="K13846" t="s">
        <v>42314</v>
      </c>
      <c r="M13846" t="s">
        <v>44632</v>
      </c>
      <c r="N13846" t="s">
        <v>46569</v>
      </c>
      <c r="O13846" t="s">
        <v>46570</v>
      </c>
      <c r="P13846">
        <v>0</v>
      </c>
      <c r="Q13846">
        <v>0</v>
      </c>
      <c r="R13846" t="s">
        <v>46586</v>
      </c>
      <c r="S13846" t="s">
        <v>47252</v>
      </c>
      <c r="T13846" t="s">
        <v>48219</v>
      </c>
      <c r="U13846" t="s">
        <v>59884</v>
      </c>
      <c r="W13846" t="s">
        <v>44632</v>
      </c>
      <c r="X13846" t="s">
        <v>46587</v>
      </c>
    </row>
    <row r="13847" spans="1:24">
      <c r="A13847">
        <f>HYPERLINK("https://www.philgeps.gov.ph/GEPSNONPILOT/Tender/SplashBidNoticeAbstractUI.aspx?menuIndex=3&amp;refID=7038146&amp;Result=3","7038146")</f>
        <v>0</v>
      </c>
      <c r="B13847" t="s">
        <v>1083</v>
      </c>
      <c r="C13847" t="s">
        <v>16688</v>
      </c>
      <c r="D13847" t="s">
        <v>18784</v>
      </c>
      <c r="E13847" t="s">
        <v>30793</v>
      </c>
      <c r="F13847" t="s">
        <v>32664</v>
      </c>
      <c r="G13847" t="s">
        <v>32672</v>
      </c>
      <c r="H13847" t="s">
        <v>32683</v>
      </c>
      <c r="I13847" t="s">
        <v>10627</v>
      </c>
      <c r="J13847" t="s">
        <v>41043</v>
      </c>
      <c r="K13847" t="s">
        <v>42298</v>
      </c>
      <c r="M13847" t="s">
        <v>43707</v>
      </c>
      <c r="N13847" t="s">
        <v>46569</v>
      </c>
      <c r="O13847" t="s">
        <v>46570</v>
      </c>
      <c r="Q13847">
        <v>73</v>
      </c>
      <c r="R13847" t="s">
        <v>46586</v>
      </c>
      <c r="S13847" t="s">
        <v>47360</v>
      </c>
      <c r="T13847" t="s">
        <v>48228</v>
      </c>
      <c r="U13847" t="s">
        <v>59885</v>
      </c>
      <c r="W13847" t="s">
        <v>43707</v>
      </c>
      <c r="X13847" t="s">
        <v>46587</v>
      </c>
    </row>
    <row r="13848" spans="1:24">
      <c r="A13848">
        <f>HYPERLINK("https://www.philgeps.gov.ph/GEPSNONPILOT/Tender/SplashBidNoticeAbstractUI.aspx?menuIndex=3&amp;refID=7038149&amp;Result=3","7038149")</f>
        <v>0</v>
      </c>
      <c r="B13848" t="s">
        <v>964</v>
      </c>
      <c r="C13848" t="s">
        <v>16689</v>
      </c>
      <c r="D13848" t="s">
        <v>18786</v>
      </c>
      <c r="E13848" t="s">
        <v>30794</v>
      </c>
      <c r="F13848" t="s">
        <v>32664</v>
      </c>
      <c r="G13848" t="s">
        <v>32672</v>
      </c>
      <c r="H13848" t="s">
        <v>12635</v>
      </c>
      <c r="I13848" t="s">
        <v>32706</v>
      </c>
      <c r="J13848" t="s">
        <v>41044</v>
      </c>
      <c r="K13848" t="s">
        <v>42311</v>
      </c>
      <c r="M13848" t="s">
        <v>43572</v>
      </c>
      <c r="N13848" t="s">
        <v>46569</v>
      </c>
      <c r="O13848" t="s">
        <v>46570</v>
      </c>
      <c r="P13848">
        <v>0</v>
      </c>
      <c r="Q13848">
        <v>0</v>
      </c>
      <c r="R13848" t="s">
        <v>46586</v>
      </c>
      <c r="S13848" t="s">
        <v>47252</v>
      </c>
      <c r="T13848" t="s">
        <v>48285</v>
      </c>
      <c r="U13848" t="s">
        <v>59886</v>
      </c>
      <c r="W13848" t="s">
        <v>63499</v>
      </c>
      <c r="X13848" t="s">
        <v>46587</v>
      </c>
    </row>
    <row r="13849" spans="1:24">
      <c r="A13849">
        <f>HYPERLINK("https://www.philgeps.gov.ph/GEPSNONPILOT/Tender/SplashBidNoticeAbstractUI.aspx?menuIndex=3&amp;refID=7038075&amp;Result=3","7038075")</f>
        <v>0</v>
      </c>
      <c r="B13849" t="s">
        <v>3362</v>
      </c>
      <c r="C13849" t="s">
        <v>16690</v>
      </c>
      <c r="D13849" t="s">
        <v>18845</v>
      </c>
      <c r="E13849" t="s">
        <v>30795</v>
      </c>
      <c r="F13849" t="s">
        <v>32664</v>
      </c>
      <c r="G13849" t="s">
        <v>32672</v>
      </c>
      <c r="H13849" t="s">
        <v>12635</v>
      </c>
      <c r="I13849" t="s">
        <v>4439</v>
      </c>
      <c r="J13849" t="s">
        <v>41038</v>
      </c>
      <c r="K13849" t="s">
        <v>42289</v>
      </c>
      <c r="M13849" t="s">
        <v>46321</v>
      </c>
      <c r="N13849" t="s">
        <v>46569</v>
      </c>
      <c r="O13849" t="s">
        <v>46570</v>
      </c>
      <c r="P13849">
        <v>0</v>
      </c>
      <c r="Q13849">
        <v>0</v>
      </c>
      <c r="R13849" t="s">
        <v>46586</v>
      </c>
      <c r="S13849" t="s">
        <v>47252</v>
      </c>
      <c r="T13849" t="s">
        <v>48246</v>
      </c>
      <c r="U13849" t="s">
        <v>59887</v>
      </c>
      <c r="V13849" t="s">
        <v>63155</v>
      </c>
      <c r="W13849" t="s">
        <v>46321</v>
      </c>
      <c r="X13849" t="s">
        <v>46587</v>
      </c>
    </row>
    <row r="13850" spans="1:24">
      <c r="A13850">
        <f>HYPERLINK("https://www.philgeps.gov.ph/GEPSNONPILOT/Tender/SplashBidNoticeAbstractUI.aspx?menuIndex=3&amp;refID=7038144&amp;Result=3","7038144")</f>
        <v>0</v>
      </c>
      <c r="B13850" t="s">
        <v>1083</v>
      </c>
      <c r="C13850" t="s">
        <v>16691</v>
      </c>
      <c r="D13850" t="s">
        <v>18784</v>
      </c>
      <c r="E13850" t="s">
        <v>30796</v>
      </c>
      <c r="F13850" t="s">
        <v>32664</v>
      </c>
      <c r="G13850" t="s">
        <v>32672</v>
      </c>
      <c r="H13850" t="s">
        <v>32683</v>
      </c>
      <c r="I13850" t="s">
        <v>10627</v>
      </c>
      <c r="J13850" t="s">
        <v>41045</v>
      </c>
      <c r="K13850" t="s">
        <v>42308</v>
      </c>
      <c r="M13850" t="s">
        <v>43707</v>
      </c>
      <c r="N13850" t="s">
        <v>46569</v>
      </c>
      <c r="O13850" t="s">
        <v>46570</v>
      </c>
      <c r="Q13850">
        <v>82</v>
      </c>
      <c r="R13850" t="s">
        <v>46586</v>
      </c>
      <c r="S13850" t="s">
        <v>47361</v>
      </c>
      <c r="T13850" t="s">
        <v>48228</v>
      </c>
      <c r="U13850" t="s">
        <v>59888</v>
      </c>
      <c r="W13850" t="s">
        <v>43707</v>
      </c>
      <c r="X13850" t="s">
        <v>46587</v>
      </c>
    </row>
    <row r="13851" spans="1:24">
      <c r="A13851">
        <f>HYPERLINK("https://www.philgeps.gov.ph/GEPSNONPILOT/Tender/SplashBidNoticeAbstractUI.aspx?menuIndex=3&amp;refID=7038139&amp;Result=3","7038139")</f>
        <v>0</v>
      </c>
      <c r="B13851" t="s">
        <v>1083</v>
      </c>
      <c r="C13851" t="s">
        <v>16692</v>
      </c>
      <c r="D13851" t="s">
        <v>18784</v>
      </c>
      <c r="E13851" t="s">
        <v>30797</v>
      </c>
      <c r="F13851" t="s">
        <v>32664</v>
      </c>
      <c r="G13851" t="s">
        <v>32672</v>
      </c>
      <c r="H13851" t="s">
        <v>32683</v>
      </c>
      <c r="I13851" t="s">
        <v>10627</v>
      </c>
      <c r="J13851" t="s">
        <v>39010</v>
      </c>
      <c r="K13851" t="s">
        <v>42285</v>
      </c>
      <c r="M13851" t="s">
        <v>43707</v>
      </c>
      <c r="N13851" t="s">
        <v>46569</v>
      </c>
      <c r="O13851" t="s">
        <v>46570</v>
      </c>
      <c r="Q13851">
        <v>46</v>
      </c>
      <c r="R13851" t="s">
        <v>46586</v>
      </c>
      <c r="S13851" t="s">
        <v>47362</v>
      </c>
      <c r="T13851" t="s">
        <v>48228</v>
      </c>
      <c r="U13851" t="s">
        <v>59889</v>
      </c>
      <c r="W13851" t="s">
        <v>43707</v>
      </c>
      <c r="X13851" t="s">
        <v>46587</v>
      </c>
    </row>
    <row r="13852" spans="1:24">
      <c r="A13852">
        <f>HYPERLINK("https://www.philgeps.gov.ph/GEPSNONPILOT/Tender/SplashBidNoticeAbstractUI.aspx?menuIndex=3&amp;refID=7038132&amp;Result=3","7038132")</f>
        <v>0</v>
      </c>
      <c r="B13852" t="s">
        <v>2187</v>
      </c>
      <c r="C13852" t="s">
        <v>16693</v>
      </c>
      <c r="D13852" t="s">
        <v>18823</v>
      </c>
      <c r="E13852" t="s">
        <v>27884</v>
      </c>
      <c r="F13852" t="s">
        <v>32664</v>
      </c>
      <c r="G13852" t="s">
        <v>32672</v>
      </c>
      <c r="H13852" t="s">
        <v>32683</v>
      </c>
      <c r="I13852" t="s">
        <v>10627</v>
      </c>
      <c r="J13852" t="s">
        <v>41046</v>
      </c>
      <c r="K13852" t="s">
        <v>42305</v>
      </c>
      <c r="M13852" t="s">
        <v>44948</v>
      </c>
      <c r="N13852" t="s">
        <v>46569</v>
      </c>
      <c r="O13852" t="s">
        <v>46570</v>
      </c>
      <c r="P13852">
        <v>0</v>
      </c>
      <c r="Q13852">
        <v>5</v>
      </c>
      <c r="R13852" t="s">
        <v>46586</v>
      </c>
      <c r="S13852" t="s">
        <v>47252</v>
      </c>
      <c r="T13852" t="s">
        <v>48282</v>
      </c>
      <c r="U13852" t="s">
        <v>59890</v>
      </c>
      <c r="V13852" t="s">
        <v>63157</v>
      </c>
      <c r="W13852" t="s">
        <v>44948</v>
      </c>
      <c r="X13852" t="s">
        <v>46587</v>
      </c>
    </row>
    <row r="13853" spans="1:24">
      <c r="A13853">
        <f>HYPERLINK("https://www.philgeps.gov.ph/GEPSNONPILOT/Tender/SplashBidNoticeAbstractUI.aspx?menuIndex=3&amp;refID=7038080&amp;Result=3","7038080")</f>
        <v>0</v>
      </c>
      <c r="B13853" t="s">
        <v>3362</v>
      </c>
      <c r="C13853" t="s">
        <v>16694</v>
      </c>
      <c r="D13853" t="s">
        <v>18845</v>
      </c>
      <c r="E13853" t="s">
        <v>30798</v>
      </c>
      <c r="F13853" t="s">
        <v>32664</v>
      </c>
      <c r="G13853" t="s">
        <v>32672</v>
      </c>
      <c r="H13853" t="s">
        <v>12635</v>
      </c>
      <c r="I13853" t="s">
        <v>4439</v>
      </c>
      <c r="J13853" t="s">
        <v>41036</v>
      </c>
      <c r="K13853" t="s">
        <v>42289</v>
      </c>
      <c r="M13853" t="s">
        <v>46321</v>
      </c>
      <c r="N13853" t="s">
        <v>46569</v>
      </c>
      <c r="O13853" t="s">
        <v>46570</v>
      </c>
      <c r="P13853">
        <v>0</v>
      </c>
      <c r="Q13853">
        <v>0</v>
      </c>
      <c r="R13853" t="s">
        <v>46586</v>
      </c>
      <c r="S13853" t="s">
        <v>47252</v>
      </c>
      <c r="T13853" t="s">
        <v>48246</v>
      </c>
      <c r="U13853" t="s">
        <v>59891</v>
      </c>
      <c r="V13853" t="s">
        <v>63155</v>
      </c>
      <c r="W13853" t="s">
        <v>46321</v>
      </c>
      <c r="X13853" t="s">
        <v>46587</v>
      </c>
    </row>
    <row r="13854" spans="1:24">
      <c r="A13854">
        <f>HYPERLINK("https://www.philgeps.gov.ph/GEPSNONPILOT/Tender/SplashBidNoticeAbstractUI.aspx?menuIndex=3&amp;refID=7038130&amp;Result=3","7038130")</f>
        <v>0</v>
      </c>
      <c r="B13854" t="s">
        <v>1083</v>
      </c>
      <c r="C13854" t="s">
        <v>16695</v>
      </c>
      <c r="D13854" t="s">
        <v>18784</v>
      </c>
      <c r="E13854" t="s">
        <v>30799</v>
      </c>
      <c r="F13854" t="s">
        <v>32664</v>
      </c>
      <c r="G13854" t="s">
        <v>32672</v>
      </c>
      <c r="H13854" t="s">
        <v>32683</v>
      </c>
      <c r="I13854" t="s">
        <v>10627</v>
      </c>
      <c r="J13854" t="s">
        <v>41047</v>
      </c>
      <c r="K13854" t="s">
        <v>42290</v>
      </c>
      <c r="M13854" t="s">
        <v>43707</v>
      </c>
      <c r="N13854" t="s">
        <v>46569</v>
      </c>
      <c r="O13854" t="s">
        <v>46570</v>
      </c>
      <c r="Q13854">
        <v>36</v>
      </c>
      <c r="R13854" t="s">
        <v>46586</v>
      </c>
      <c r="S13854" t="s">
        <v>47363</v>
      </c>
      <c r="T13854" t="s">
        <v>48228</v>
      </c>
      <c r="U13854" t="s">
        <v>59892</v>
      </c>
      <c r="W13854" t="s">
        <v>43707</v>
      </c>
      <c r="X13854" t="s">
        <v>46587</v>
      </c>
    </row>
    <row r="13855" spans="1:24">
      <c r="A13855">
        <f>HYPERLINK("https://www.philgeps.gov.ph/GEPSNONPILOT/Tender/SplashBidNoticeAbstractUI.aspx?menuIndex=3&amp;refID=7038118&amp;Result=3","7038118")</f>
        <v>0</v>
      </c>
      <c r="B13855" t="s">
        <v>2187</v>
      </c>
      <c r="C13855" t="s">
        <v>16696</v>
      </c>
      <c r="D13855" t="s">
        <v>18823</v>
      </c>
      <c r="E13855" t="s">
        <v>28199</v>
      </c>
      <c r="F13855" t="s">
        <v>32664</v>
      </c>
      <c r="G13855" t="s">
        <v>32672</v>
      </c>
      <c r="H13855" t="s">
        <v>12635</v>
      </c>
      <c r="I13855" t="s">
        <v>4439</v>
      </c>
      <c r="J13855" t="s">
        <v>41048</v>
      </c>
      <c r="K13855" t="s">
        <v>42281</v>
      </c>
      <c r="M13855" t="s">
        <v>44948</v>
      </c>
      <c r="N13855" t="s">
        <v>46569</v>
      </c>
      <c r="O13855" t="s">
        <v>46570</v>
      </c>
      <c r="P13855">
        <v>0</v>
      </c>
      <c r="Q13855">
        <v>6</v>
      </c>
      <c r="R13855" t="s">
        <v>46586</v>
      </c>
      <c r="S13855" t="s">
        <v>47252</v>
      </c>
      <c r="T13855" t="s">
        <v>48282</v>
      </c>
      <c r="U13855" t="s">
        <v>59893</v>
      </c>
      <c r="V13855" t="s">
        <v>63157</v>
      </c>
      <c r="W13855" t="s">
        <v>44948</v>
      </c>
      <c r="X13855" t="s">
        <v>46587</v>
      </c>
    </row>
    <row r="13856" spans="1:24">
      <c r="A13856">
        <f>HYPERLINK("https://www.philgeps.gov.ph/GEPSNONPILOT/Tender/SplashBidNoticeAbstractUI.aspx?menuIndex=3&amp;refID=7037882&amp;Result=3","7037882")</f>
        <v>0</v>
      </c>
      <c r="B13856" t="s">
        <v>3303</v>
      </c>
      <c r="C13856" t="s">
        <v>16697</v>
      </c>
      <c r="D13856" t="s">
        <v>18783</v>
      </c>
      <c r="E13856" t="s">
        <v>30800</v>
      </c>
      <c r="F13856" t="s">
        <v>32664</v>
      </c>
      <c r="G13856" t="s">
        <v>32672</v>
      </c>
      <c r="H13856" t="s">
        <v>12635</v>
      </c>
      <c r="I13856" t="s">
        <v>6223</v>
      </c>
      <c r="J13856" t="s">
        <v>41049</v>
      </c>
      <c r="K13856" t="s">
        <v>42298</v>
      </c>
      <c r="M13856" t="s">
        <v>46248</v>
      </c>
      <c r="N13856" t="s">
        <v>46569</v>
      </c>
      <c r="O13856" t="s">
        <v>46570</v>
      </c>
      <c r="P13856">
        <v>0</v>
      </c>
      <c r="Q13856">
        <v>2</v>
      </c>
      <c r="R13856" t="s">
        <v>46586</v>
      </c>
      <c r="S13856" t="s">
        <v>47252</v>
      </c>
      <c r="T13856" t="s">
        <v>48219</v>
      </c>
      <c r="U13856" t="s">
        <v>59894</v>
      </c>
      <c r="W13856" t="s">
        <v>46248</v>
      </c>
      <c r="X13856" t="s">
        <v>46587</v>
      </c>
    </row>
    <row r="13857" spans="1:24">
      <c r="A13857">
        <f>HYPERLINK("https://www.philgeps.gov.ph/GEPSNONPILOT/Tender/SplashBidNoticeAbstractUI.aspx?menuIndex=3&amp;refID=7038077&amp;Result=3","7038077")</f>
        <v>0</v>
      </c>
      <c r="B13857" t="s">
        <v>3364</v>
      </c>
      <c r="C13857" t="s">
        <v>16698</v>
      </c>
      <c r="D13857" t="s">
        <v>18793</v>
      </c>
      <c r="E13857" t="s">
        <v>19713</v>
      </c>
      <c r="F13857" t="s">
        <v>32664</v>
      </c>
      <c r="G13857" t="s">
        <v>32673</v>
      </c>
      <c r="H13857" t="s">
        <v>32683</v>
      </c>
      <c r="I13857" t="s">
        <v>10627</v>
      </c>
      <c r="J13857" t="s">
        <v>41050</v>
      </c>
      <c r="K13857" t="s">
        <v>42311</v>
      </c>
      <c r="M13857" t="s">
        <v>46323</v>
      </c>
      <c r="N13857" t="s">
        <v>46569</v>
      </c>
      <c r="O13857" t="s">
        <v>46570</v>
      </c>
      <c r="P13857">
        <v>0</v>
      </c>
      <c r="Q13857">
        <v>3</v>
      </c>
      <c r="R13857" t="s">
        <v>46586</v>
      </c>
      <c r="S13857" t="s">
        <v>47252</v>
      </c>
      <c r="T13857" t="s">
        <v>48311</v>
      </c>
      <c r="U13857" t="s">
        <v>59895</v>
      </c>
      <c r="W13857" t="s">
        <v>46323</v>
      </c>
      <c r="X13857" t="s">
        <v>46587</v>
      </c>
    </row>
    <row r="13858" spans="1:24">
      <c r="A13858">
        <f>HYPERLINK("https://www.philgeps.gov.ph/GEPSNONPILOT/Tender/SplashBidNoticeAbstractUI.aspx?menuIndex=3&amp;refID=7038141&amp;Result=3","7038141")</f>
        <v>0</v>
      </c>
      <c r="B13858" t="s">
        <v>1083</v>
      </c>
      <c r="C13858" t="s">
        <v>16699</v>
      </c>
      <c r="D13858" t="s">
        <v>18784</v>
      </c>
      <c r="E13858" t="s">
        <v>30801</v>
      </c>
      <c r="F13858" t="s">
        <v>32664</v>
      </c>
      <c r="G13858" t="s">
        <v>32672</v>
      </c>
      <c r="H13858" t="s">
        <v>32683</v>
      </c>
      <c r="I13858" t="s">
        <v>10627</v>
      </c>
      <c r="J13858" t="s">
        <v>41051</v>
      </c>
      <c r="K13858" t="s">
        <v>42290</v>
      </c>
      <c r="M13858" t="s">
        <v>43707</v>
      </c>
      <c r="N13858" t="s">
        <v>46569</v>
      </c>
      <c r="O13858" t="s">
        <v>46570</v>
      </c>
      <c r="Q13858">
        <v>81</v>
      </c>
      <c r="R13858" t="s">
        <v>46586</v>
      </c>
      <c r="S13858" t="s">
        <v>47364</v>
      </c>
      <c r="T13858" t="s">
        <v>48228</v>
      </c>
      <c r="U13858" t="s">
        <v>59896</v>
      </c>
      <c r="W13858" t="s">
        <v>43707</v>
      </c>
      <c r="X13858" t="s">
        <v>46587</v>
      </c>
    </row>
    <row r="13859" spans="1:24">
      <c r="A13859">
        <f>HYPERLINK("https://www.philgeps.gov.ph/GEPSNONPILOT/Tender/SplashBidNoticeAbstractUI.aspx?menuIndex=3&amp;refID=7038114&amp;Result=3","7038114")</f>
        <v>0</v>
      </c>
      <c r="B13859" t="s">
        <v>3365</v>
      </c>
      <c r="C13859" t="s">
        <v>16700</v>
      </c>
      <c r="D13859" t="s">
        <v>18858</v>
      </c>
      <c r="E13859" t="s">
        <v>30802</v>
      </c>
      <c r="F13859" t="s">
        <v>32665</v>
      </c>
      <c r="G13859" t="s">
        <v>32672</v>
      </c>
      <c r="H13859" t="s">
        <v>12635</v>
      </c>
      <c r="I13859" t="s">
        <v>4439</v>
      </c>
      <c r="J13859" t="s">
        <v>41052</v>
      </c>
      <c r="K13859" t="s">
        <v>42297</v>
      </c>
      <c r="M13859" t="s">
        <v>46324</v>
      </c>
      <c r="N13859" t="s">
        <v>46569</v>
      </c>
      <c r="O13859" t="s">
        <v>46570</v>
      </c>
      <c r="P13859">
        <v>0</v>
      </c>
      <c r="Q13859">
        <v>0</v>
      </c>
      <c r="R13859" t="s">
        <v>46586</v>
      </c>
      <c r="S13859" t="s">
        <v>47252</v>
      </c>
      <c r="T13859" t="s">
        <v>48283</v>
      </c>
      <c r="U13859" t="s">
        <v>59897</v>
      </c>
      <c r="W13859" t="s">
        <v>46324</v>
      </c>
      <c r="X13859" t="s">
        <v>46587</v>
      </c>
    </row>
    <row r="13860" spans="1:24">
      <c r="A13860">
        <f>HYPERLINK("https://www.philgeps.gov.ph/GEPSNONPILOT/Tender/SplashBidNoticeAbstractUI.aspx?menuIndex=3&amp;refID=7038108&amp;Result=3","7038108")</f>
        <v>0</v>
      </c>
      <c r="B13860" t="s">
        <v>3365</v>
      </c>
      <c r="C13860" t="s">
        <v>16701</v>
      </c>
      <c r="D13860" t="s">
        <v>18858</v>
      </c>
      <c r="E13860" t="s">
        <v>30803</v>
      </c>
      <c r="F13860" t="s">
        <v>32665</v>
      </c>
      <c r="G13860" t="s">
        <v>32672</v>
      </c>
      <c r="H13860" t="s">
        <v>12635</v>
      </c>
      <c r="I13860" t="s">
        <v>4439</v>
      </c>
      <c r="J13860" t="s">
        <v>41053</v>
      </c>
      <c r="K13860" t="s">
        <v>42297</v>
      </c>
      <c r="M13860" t="s">
        <v>46324</v>
      </c>
      <c r="N13860" t="s">
        <v>46569</v>
      </c>
      <c r="O13860" t="s">
        <v>46570</v>
      </c>
      <c r="P13860">
        <v>0</v>
      </c>
      <c r="Q13860">
        <v>0</v>
      </c>
      <c r="R13860" t="s">
        <v>46586</v>
      </c>
      <c r="S13860" t="s">
        <v>47252</v>
      </c>
      <c r="T13860" t="s">
        <v>48283</v>
      </c>
      <c r="U13860" t="s">
        <v>59898</v>
      </c>
      <c r="W13860" t="s">
        <v>46324</v>
      </c>
      <c r="X13860" t="s">
        <v>46587</v>
      </c>
    </row>
    <row r="13861" spans="1:24">
      <c r="A13861">
        <f>HYPERLINK("https://www.philgeps.gov.ph/GEPSNONPILOT/Tender/SplashBidNoticeAbstractUI.aspx?menuIndex=3&amp;refID=7038116&amp;Result=3","7038116")</f>
        <v>0</v>
      </c>
      <c r="B13861" t="s">
        <v>3366</v>
      </c>
      <c r="C13861" t="s">
        <v>14997</v>
      </c>
      <c r="D13861" t="s">
        <v>18784</v>
      </c>
      <c r="E13861" t="s">
        <v>30804</v>
      </c>
      <c r="F13861" t="s">
        <v>32664</v>
      </c>
      <c r="G13861" t="s">
        <v>32672</v>
      </c>
      <c r="H13861" t="s">
        <v>12635</v>
      </c>
      <c r="I13861" t="s">
        <v>32708</v>
      </c>
      <c r="J13861" t="s">
        <v>41054</v>
      </c>
      <c r="K13861" t="s">
        <v>42281</v>
      </c>
      <c r="M13861" t="s">
        <v>46325</v>
      </c>
      <c r="N13861" t="s">
        <v>46569</v>
      </c>
      <c r="O13861" t="s">
        <v>46570</v>
      </c>
      <c r="Q13861">
        <v>89</v>
      </c>
      <c r="R13861" t="s">
        <v>46586</v>
      </c>
      <c r="S13861" t="s">
        <v>47365</v>
      </c>
      <c r="T13861" t="s">
        <v>48228</v>
      </c>
      <c r="U13861" t="s">
        <v>59899</v>
      </c>
      <c r="W13861" t="s">
        <v>46325</v>
      </c>
      <c r="X13861" t="s">
        <v>46587</v>
      </c>
    </row>
    <row r="13862" spans="1:24">
      <c r="A13862">
        <f>HYPERLINK("https://www.philgeps.gov.ph/GEPSNONPILOT/Tender/SplashBidNoticeAbstractUI.aspx?menuIndex=3&amp;refID=7038102&amp;Result=3","7038102")</f>
        <v>0</v>
      </c>
      <c r="B13862" t="s">
        <v>940</v>
      </c>
      <c r="C13862" t="s">
        <v>16702</v>
      </c>
      <c r="D13862" t="s">
        <v>18784</v>
      </c>
      <c r="E13862" t="s">
        <v>30805</v>
      </c>
      <c r="F13862" t="s">
        <v>32664</v>
      </c>
      <c r="G13862" t="s">
        <v>32672</v>
      </c>
      <c r="H13862" t="s">
        <v>12635</v>
      </c>
      <c r="I13862" t="s">
        <v>10370</v>
      </c>
      <c r="J13862" t="s">
        <v>41055</v>
      </c>
      <c r="K13862" t="s">
        <v>42298</v>
      </c>
      <c r="M13862" t="s">
        <v>45112</v>
      </c>
      <c r="N13862" t="s">
        <v>46569</v>
      </c>
      <c r="O13862" t="s">
        <v>46570</v>
      </c>
      <c r="Q13862">
        <v>10</v>
      </c>
      <c r="R13862" t="s">
        <v>46586</v>
      </c>
      <c r="S13862" t="s">
        <v>47366</v>
      </c>
      <c r="T13862" t="s">
        <v>48304</v>
      </c>
      <c r="U13862" t="s">
        <v>58540</v>
      </c>
      <c r="V13862" t="s">
        <v>63158</v>
      </c>
      <c r="W13862" t="s">
        <v>45112</v>
      </c>
      <c r="X13862" t="s">
        <v>46587</v>
      </c>
    </row>
    <row r="13863" spans="1:24">
      <c r="A13863">
        <f>HYPERLINK("https://www.philgeps.gov.ph/GEPSNONPILOT/Tender/SplashBidNoticeAbstractUI.aspx?menuIndex=3&amp;refID=7038099&amp;Result=3","7038099")</f>
        <v>0</v>
      </c>
      <c r="B13863" t="s">
        <v>1911</v>
      </c>
      <c r="C13863" t="s">
        <v>16703</v>
      </c>
      <c r="D13863" t="s">
        <v>18844</v>
      </c>
      <c r="E13863" t="s">
        <v>30806</v>
      </c>
      <c r="F13863" t="s">
        <v>32664</v>
      </c>
      <c r="G13863" t="s">
        <v>32672</v>
      </c>
      <c r="H13863" t="s">
        <v>32683</v>
      </c>
      <c r="I13863" t="s">
        <v>10627</v>
      </c>
      <c r="J13863" t="s">
        <v>41056</v>
      </c>
      <c r="K13863" t="s">
        <v>42310</v>
      </c>
      <c r="M13863" t="s">
        <v>44632</v>
      </c>
      <c r="N13863" t="s">
        <v>46569</v>
      </c>
      <c r="O13863" t="s">
        <v>46570</v>
      </c>
      <c r="P13863">
        <v>0</v>
      </c>
      <c r="Q13863">
        <v>0</v>
      </c>
      <c r="R13863" t="s">
        <v>46586</v>
      </c>
      <c r="S13863" t="s">
        <v>47252</v>
      </c>
      <c r="T13863" t="s">
        <v>48221</v>
      </c>
      <c r="U13863" t="s">
        <v>59900</v>
      </c>
      <c r="W13863" t="s">
        <v>44632</v>
      </c>
      <c r="X13863" t="s">
        <v>46587</v>
      </c>
    </row>
    <row r="13864" spans="1:24">
      <c r="A13864">
        <f>HYPERLINK("https://www.philgeps.gov.ph/GEPSNONPILOT/Tender/SplashBidNoticeAbstractUI.aspx?menuIndex=3&amp;refID=7038089&amp;Result=3","7038089")</f>
        <v>0</v>
      </c>
      <c r="B13864" t="s">
        <v>3362</v>
      </c>
      <c r="C13864" t="s">
        <v>16704</v>
      </c>
      <c r="D13864" t="s">
        <v>18845</v>
      </c>
      <c r="E13864" t="s">
        <v>30807</v>
      </c>
      <c r="F13864" t="s">
        <v>32664</v>
      </c>
      <c r="G13864" t="s">
        <v>32672</v>
      </c>
      <c r="H13864" t="s">
        <v>12635</v>
      </c>
      <c r="I13864" t="s">
        <v>4439</v>
      </c>
      <c r="J13864" t="s">
        <v>41038</v>
      </c>
      <c r="K13864" t="s">
        <v>42289</v>
      </c>
      <c r="M13864" t="s">
        <v>46321</v>
      </c>
      <c r="N13864" t="s">
        <v>46569</v>
      </c>
      <c r="O13864" t="s">
        <v>46570</v>
      </c>
      <c r="P13864">
        <v>0</v>
      </c>
      <c r="Q13864">
        <v>0</v>
      </c>
      <c r="R13864" t="s">
        <v>46586</v>
      </c>
      <c r="S13864" t="s">
        <v>47252</v>
      </c>
      <c r="T13864" t="s">
        <v>48278</v>
      </c>
      <c r="U13864" t="s">
        <v>59901</v>
      </c>
      <c r="V13864" t="s">
        <v>63155</v>
      </c>
      <c r="W13864" t="s">
        <v>46321</v>
      </c>
      <c r="X13864" t="s">
        <v>46587</v>
      </c>
    </row>
    <row r="13865" spans="1:24">
      <c r="A13865">
        <f>HYPERLINK("https://www.philgeps.gov.ph/GEPSNONPILOT/Tender/SplashBidNoticeAbstractUI.aspx?menuIndex=3&amp;refID=7038097&amp;Result=3","7038097")</f>
        <v>0</v>
      </c>
      <c r="B13865" t="s">
        <v>3362</v>
      </c>
      <c r="C13865" t="s">
        <v>16705</v>
      </c>
      <c r="D13865" t="s">
        <v>18845</v>
      </c>
      <c r="E13865" t="s">
        <v>30808</v>
      </c>
      <c r="F13865" t="s">
        <v>32664</v>
      </c>
      <c r="G13865" t="s">
        <v>32672</v>
      </c>
      <c r="H13865" t="s">
        <v>12635</v>
      </c>
      <c r="I13865" t="s">
        <v>4439</v>
      </c>
      <c r="J13865" t="s">
        <v>41036</v>
      </c>
      <c r="K13865" t="s">
        <v>42289</v>
      </c>
      <c r="M13865" t="s">
        <v>46321</v>
      </c>
      <c r="N13865" t="s">
        <v>46569</v>
      </c>
      <c r="O13865" t="s">
        <v>46570</v>
      </c>
      <c r="P13865">
        <v>0</v>
      </c>
      <c r="Q13865">
        <v>0</v>
      </c>
      <c r="R13865" t="s">
        <v>46586</v>
      </c>
      <c r="S13865" t="s">
        <v>47252</v>
      </c>
      <c r="T13865" t="s">
        <v>48278</v>
      </c>
      <c r="U13865" t="s">
        <v>59902</v>
      </c>
      <c r="V13865" t="s">
        <v>63155</v>
      </c>
      <c r="W13865" t="s">
        <v>46321</v>
      </c>
      <c r="X13865" t="s">
        <v>46587</v>
      </c>
    </row>
    <row r="13866" spans="1:24">
      <c r="A13866">
        <f>HYPERLINK("https://www.philgeps.gov.ph/GEPSNONPILOT/Tender/SplashBidNoticeAbstractUI.aspx?menuIndex=3&amp;refID=7038103&amp;Result=3","7038103")</f>
        <v>0</v>
      </c>
      <c r="B13866" t="s">
        <v>3362</v>
      </c>
      <c r="C13866" t="s">
        <v>16706</v>
      </c>
      <c r="D13866" t="s">
        <v>18845</v>
      </c>
      <c r="E13866" t="s">
        <v>30809</v>
      </c>
      <c r="F13866" t="s">
        <v>32664</v>
      </c>
      <c r="G13866" t="s">
        <v>32672</v>
      </c>
      <c r="H13866" t="s">
        <v>12635</v>
      </c>
      <c r="I13866" t="s">
        <v>4439</v>
      </c>
      <c r="J13866" t="s">
        <v>41038</v>
      </c>
      <c r="K13866" t="s">
        <v>42289</v>
      </c>
      <c r="M13866" t="s">
        <v>46321</v>
      </c>
      <c r="N13866" t="s">
        <v>46569</v>
      </c>
      <c r="O13866" t="s">
        <v>46570</v>
      </c>
      <c r="P13866">
        <v>0</v>
      </c>
      <c r="Q13866">
        <v>0</v>
      </c>
      <c r="R13866" t="s">
        <v>46586</v>
      </c>
      <c r="S13866" t="s">
        <v>47252</v>
      </c>
      <c r="T13866" t="s">
        <v>48278</v>
      </c>
      <c r="U13866" t="s">
        <v>59903</v>
      </c>
      <c r="V13866" t="s">
        <v>63155</v>
      </c>
      <c r="W13866" t="s">
        <v>46321</v>
      </c>
      <c r="X13866" t="s">
        <v>46587</v>
      </c>
    </row>
    <row r="13867" spans="1:24">
      <c r="A13867">
        <f>HYPERLINK("https://www.philgeps.gov.ph/GEPSNONPILOT/Tender/SplashBidNoticeAbstractUI.aspx?menuIndex=3&amp;refID=7038063&amp;Result=3","7038063")</f>
        <v>0</v>
      </c>
      <c r="B13867" t="s">
        <v>3362</v>
      </c>
      <c r="C13867" t="s">
        <v>16707</v>
      </c>
      <c r="D13867" t="s">
        <v>18845</v>
      </c>
      <c r="E13867" t="s">
        <v>30810</v>
      </c>
      <c r="F13867" t="s">
        <v>32664</v>
      </c>
      <c r="G13867" t="s">
        <v>32672</v>
      </c>
      <c r="H13867" t="s">
        <v>12635</v>
      </c>
      <c r="I13867" t="s">
        <v>6223</v>
      </c>
      <c r="J13867" t="s">
        <v>41057</v>
      </c>
      <c r="K13867" t="s">
        <v>42289</v>
      </c>
      <c r="M13867" t="s">
        <v>46321</v>
      </c>
      <c r="N13867" t="s">
        <v>46569</v>
      </c>
      <c r="O13867" t="s">
        <v>46570</v>
      </c>
      <c r="P13867">
        <v>0</v>
      </c>
      <c r="Q13867">
        <v>0</v>
      </c>
      <c r="R13867" t="s">
        <v>46586</v>
      </c>
      <c r="S13867" t="s">
        <v>47252</v>
      </c>
      <c r="T13867" t="s">
        <v>48246</v>
      </c>
      <c r="U13867" t="s">
        <v>59904</v>
      </c>
      <c r="V13867" t="s">
        <v>63155</v>
      </c>
      <c r="W13867" t="s">
        <v>46321</v>
      </c>
      <c r="X13867" t="s">
        <v>46587</v>
      </c>
    </row>
    <row r="13868" spans="1:24">
      <c r="A13868">
        <f>HYPERLINK("https://www.philgeps.gov.ph/GEPSNONPILOT/Tender/SplashBidNoticeAbstractUI.aspx?menuIndex=3&amp;refID=7038055&amp;Result=3","7038055")</f>
        <v>0</v>
      </c>
      <c r="B13868" t="s">
        <v>1911</v>
      </c>
      <c r="C13868" t="s">
        <v>16708</v>
      </c>
      <c r="D13868" t="s">
        <v>18844</v>
      </c>
      <c r="E13868" t="s">
        <v>30811</v>
      </c>
      <c r="F13868" t="s">
        <v>32664</v>
      </c>
      <c r="G13868" t="s">
        <v>32672</v>
      </c>
      <c r="H13868" t="s">
        <v>32683</v>
      </c>
      <c r="I13868" t="s">
        <v>10627</v>
      </c>
      <c r="J13868" t="s">
        <v>41058</v>
      </c>
      <c r="K13868" t="s">
        <v>42310</v>
      </c>
      <c r="M13868" t="s">
        <v>44632</v>
      </c>
      <c r="N13868" t="s">
        <v>46569</v>
      </c>
      <c r="O13868" t="s">
        <v>46570</v>
      </c>
      <c r="P13868">
        <v>0</v>
      </c>
      <c r="Q13868">
        <v>0</v>
      </c>
      <c r="R13868" t="s">
        <v>46586</v>
      </c>
      <c r="S13868" t="s">
        <v>47252</v>
      </c>
      <c r="T13868" t="s">
        <v>48221</v>
      </c>
      <c r="U13868" t="s">
        <v>59905</v>
      </c>
      <c r="W13868" t="s">
        <v>44632</v>
      </c>
      <c r="X13868" t="s">
        <v>46587</v>
      </c>
    </row>
    <row r="13869" spans="1:24">
      <c r="A13869">
        <f>HYPERLINK("https://www.philgeps.gov.ph/GEPSNONPILOT/Tender/SplashBidNoticeAbstractUI.aspx?menuIndex=3&amp;refID=7038037&amp;Result=3","7038037")</f>
        <v>0</v>
      </c>
      <c r="B13869" t="s">
        <v>1571</v>
      </c>
      <c r="C13869" t="s">
        <v>16709</v>
      </c>
      <c r="D13869" t="s">
        <v>18832</v>
      </c>
      <c r="E13869" t="s">
        <v>30812</v>
      </c>
      <c r="F13869" t="s">
        <v>32664</v>
      </c>
      <c r="G13869" t="s">
        <v>32672</v>
      </c>
      <c r="H13869" t="s">
        <v>32683</v>
      </c>
      <c r="I13869" t="s">
        <v>10627</v>
      </c>
      <c r="J13869" t="s">
        <v>41059</v>
      </c>
      <c r="K13869" t="s">
        <v>42315</v>
      </c>
      <c r="M13869" t="s">
        <v>44246</v>
      </c>
      <c r="N13869" t="s">
        <v>46569</v>
      </c>
      <c r="O13869" t="s">
        <v>46570</v>
      </c>
      <c r="P13869">
        <v>0</v>
      </c>
      <c r="Q13869">
        <v>11</v>
      </c>
      <c r="R13869" t="s">
        <v>46586</v>
      </c>
      <c r="S13869" t="s">
        <v>47252</v>
      </c>
      <c r="T13869" t="s">
        <v>48228</v>
      </c>
      <c r="U13869" t="s">
        <v>59906</v>
      </c>
      <c r="W13869" t="s">
        <v>44246</v>
      </c>
      <c r="X13869" t="s">
        <v>46587</v>
      </c>
    </row>
    <row r="13870" spans="1:24">
      <c r="A13870">
        <f>HYPERLINK("https://www.philgeps.gov.ph/GEPSNONPILOT/Tender/SplashBidNoticeAbstractUI.aspx?menuIndex=3&amp;refID=7038095&amp;Result=3","7038095")</f>
        <v>0</v>
      </c>
      <c r="B13870" t="s">
        <v>3362</v>
      </c>
      <c r="C13870" t="s">
        <v>16710</v>
      </c>
      <c r="D13870" t="s">
        <v>18845</v>
      </c>
      <c r="E13870" t="s">
        <v>30813</v>
      </c>
      <c r="F13870" t="s">
        <v>32664</v>
      </c>
      <c r="G13870" t="s">
        <v>32672</v>
      </c>
      <c r="H13870" t="s">
        <v>12635</v>
      </c>
      <c r="I13870" t="s">
        <v>4439</v>
      </c>
      <c r="J13870" t="s">
        <v>41038</v>
      </c>
      <c r="K13870" t="s">
        <v>42289</v>
      </c>
      <c r="M13870" t="s">
        <v>46321</v>
      </c>
      <c r="N13870" t="s">
        <v>46569</v>
      </c>
      <c r="O13870" t="s">
        <v>46570</v>
      </c>
      <c r="P13870">
        <v>0</v>
      </c>
      <c r="Q13870">
        <v>0</v>
      </c>
      <c r="R13870" t="s">
        <v>46586</v>
      </c>
      <c r="S13870" t="s">
        <v>47252</v>
      </c>
      <c r="T13870" t="s">
        <v>48278</v>
      </c>
      <c r="U13870" t="s">
        <v>59907</v>
      </c>
      <c r="V13870" t="s">
        <v>63155</v>
      </c>
      <c r="W13870" t="s">
        <v>46321</v>
      </c>
      <c r="X13870" t="s">
        <v>46587</v>
      </c>
    </row>
    <row r="13871" spans="1:24">
      <c r="A13871">
        <f>HYPERLINK("https://www.philgeps.gov.ph/GEPSNONPILOT/Tender/SplashBidNoticeAbstractUI.aspx?menuIndex=3&amp;refID=7038115&amp;Result=3","7038115")</f>
        <v>0</v>
      </c>
      <c r="B13871" t="s">
        <v>3367</v>
      </c>
      <c r="C13871" t="s">
        <v>16711</v>
      </c>
      <c r="D13871" t="s">
        <v>18781</v>
      </c>
      <c r="E13871" t="s">
        <v>30814</v>
      </c>
      <c r="F13871" t="s">
        <v>32664</v>
      </c>
      <c r="G13871" t="s">
        <v>32672</v>
      </c>
      <c r="H13871" t="s">
        <v>12635</v>
      </c>
      <c r="I13871" t="s">
        <v>6628</v>
      </c>
      <c r="J13871" t="s">
        <v>34487</v>
      </c>
      <c r="K13871" t="s">
        <v>42297</v>
      </c>
      <c r="M13871" t="s">
        <v>46326</v>
      </c>
      <c r="N13871" t="s">
        <v>46569</v>
      </c>
      <c r="O13871" t="s">
        <v>46570</v>
      </c>
      <c r="P13871">
        <v>0</v>
      </c>
      <c r="Q13871">
        <v>10</v>
      </c>
      <c r="R13871" t="s">
        <v>46586</v>
      </c>
      <c r="S13871" t="s">
        <v>47252</v>
      </c>
      <c r="T13871" t="s">
        <v>48237</v>
      </c>
      <c r="U13871" t="s">
        <v>59908</v>
      </c>
      <c r="W13871" t="s">
        <v>46326</v>
      </c>
      <c r="X13871" t="s">
        <v>46587</v>
      </c>
    </row>
    <row r="13872" spans="1:24">
      <c r="A13872">
        <f>HYPERLINK("https://www.philgeps.gov.ph/GEPSNONPILOT/Tender/SplashBidNoticeAbstractUI.aspx?menuIndex=3&amp;refID=7038027&amp;Result=3","7038027")</f>
        <v>0</v>
      </c>
      <c r="B13872" t="s">
        <v>1571</v>
      </c>
      <c r="C13872" t="s">
        <v>16712</v>
      </c>
      <c r="D13872" t="s">
        <v>18832</v>
      </c>
      <c r="E13872" t="s">
        <v>30815</v>
      </c>
      <c r="F13872" t="s">
        <v>32664</v>
      </c>
      <c r="G13872" t="s">
        <v>32672</v>
      </c>
      <c r="H13872" t="s">
        <v>32683</v>
      </c>
      <c r="I13872" t="s">
        <v>10627</v>
      </c>
      <c r="J13872" t="s">
        <v>41060</v>
      </c>
      <c r="K13872" t="s">
        <v>42305</v>
      </c>
      <c r="M13872" t="s">
        <v>44246</v>
      </c>
      <c r="N13872" t="s">
        <v>46569</v>
      </c>
      <c r="O13872" t="s">
        <v>46570</v>
      </c>
      <c r="P13872">
        <v>0</v>
      </c>
      <c r="Q13872">
        <v>10</v>
      </c>
      <c r="R13872" t="s">
        <v>46586</v>
      </c>
      <c r="S13872" t="s">
        <v>47252</v>
      </c>
      <c r="T13872" t="s">
        <v>48228</v>
      </c>
      <c r="U13872" t="s">
        <v>59909</v>
      </c>
      <c r="W13872" t="s">
        <v>44246</v>
      </c>
      <c r="X13872" t="s">
        <v>46587</v>
      </c>
    </row>
    <row r="13873" spans="1:24">
      <c r="A13873">
        <f>HYPERLINK("https://www.philgeps.gov.ph/GEPSNONPILOT/Tender/SplashBidNoticeAbstractUI.aspx?menuIndex=3&amp;refID=7038015&amp;Result=3","7038015")</f>
        <v>0</v>
      </c>
      <c r="B13873" t="s">
        <v>1571</v>
      </c>
      <c r="C13873" t="s">
        <v>16713</v>
      </c>
      <c r="D13873" t="s">
        <v>18832</v>
      </c>
      <c r="E13873" t="s">
        <v>30816</v>
      </c>
      <c r="F13873" t="s">
        <v>32664</v>
      </c>
      <c r="G13873" t="s">
        <v>32672</v>
      </c>
      <c r="H13873" t="s">
        <v>32683</v>
      </c>
      <c r="I13873" t="s">
        <v>10627</v>
      </c>
      <c r="J13873" t="s">
        <v>41061</v>
      </c>
      <c r="K13873" t="s">
        <v>42298</v>
      </c>
      <c r="M13873" t="s">
        <v>44246</v>
      </c>
      <c r="N13873" t="s">
        <v>46569</v>
      </c>
      <c r="O13873" t="s">
        <v>46570</v>
      </c>
      <c r="Q13873">
        <v>12</v>
      </c>
      <c r="R13873" t="s">
        <v>46586</v>
      </c>
      <c r="S13873" t="s">
        <v>47367</v>
      </c>
      <c r="T13873" t="s">
        <v>48228</v>
      </c>
      <c r="U13873" t="s">
        <v>59910</v>
      </c>
      <c r="W13873" t="s">
        <v>44246</v>
      </c>
      <c r="X13873" t="s">
        <v>46587</v>
      </c>
    </row>
    <row r="13874" spans="1:24">
      <c r="A13874">
        <f>HYPERLINK("https://www.philgeps.gov.ph/GEPSNONPILOT/Tender/SplashBidNoticeAbstractUI.aspx?menuIndex=3&amp;refID=7038113&amp;Result=3","7038113")</f>
        <v>0</v>
      </c>
      <c r="B13874" t="s">
        <v>2187</v>
      </c>
      <c r="C13874" t="s">
        <v>16714</v>
      </c>
      <c r="D13874" t="s">
        <v>18823</v>
      </c>
      <c r="E13874" t="s">
        <v>25434</v>
      </c>
      <c r="F13874" t="s">
        <v>32664</v>
      </c>
      <c r="G13874" t="s">
        <v>32672</v>
      </c>
      <c r="H13874" t="s">
        <v>12635</v>
      </c>
      <c r="I13874" t="s">
        <v>4439</v>
      </c>
      <c r="J13874" t="s">
        <v>41062</v>
      </c>
      <c r="K13874" t="s">
        <v>42289</v>
      </c>
      <c r="M13874" t="s">
        <v>44948</v>
      </c>
      <c r="N13874" t="s">
        <v>46569</v>
      </c>
      <c r="O13874" t="s">
        <v>46570</v>
      </c>
      <c r="P13874">
        <v>0</v>
      </c>
      <c r="Q13874">
        <v>4</v>
      </c>
      <c r="R13874" t="s">
        <v>46586</v>
      </c>
      <c r="S13874" t="s">
        <v>47252</v>
      </c>
      <c r="T13874" t="s">
        <v>48282</v>
      </c>
      <c r="U13874" t="s">
        <v>59911</v>
      </c>
      <c r="V13874" t="s">
        <v>63157</v>
      </c>
      <c r="W13874" t="s">
        <v>44948</v>
      </c>
      <c r="X13874" t="s">
        <v>46587</v>
      </c>
    </row>
    <row r="13875" spans="1:24">
      <c r="A13875">
        <f>HYPERLINK("https://www.philgeps.gov.ph/GEPSNONPILOT/Tender/SplashBidNoticeAbstractUI.aspx?menuIndex=3&amp;refID=7037988&amp;Result=3","7037988")</f>
        <v>0</v>
      </c>
      <c r="B13875" t="s">
        <v>382</v>
      </c>
      <c r="C13875" t="s">
        <v>16715</v>
      </c>
      <c r="D13875" t="s">
        <v>18852</v>
      </c>
      <c r="E13875" t="s">
        <v>30817</v>
      </c>
      <c r="F13875" t="s">
        <v>32664</v>
      </c>
      <c r="G13875" t="s">
        <v>32672</v>
      </c>
      <c r="H13875" t="s">
        <v>12635</v>
      </c>
      <c r="I13875" t="s">
        <v>5589</v>
      </c>
      <c r="J13875" t="s">
        <v>34642</v>
      </c>
      <c r="K13875" t="s">
        <v>42281</v>
      </c>
      <c r="M13875" t="s">
        <v>42952</v>
      </c>
      <c r="N13875" t="s">
        <v>46569</v>
      </c>
      <c r="O13875" t="s">
        <v>46570</v>
      </c>
      <c r="P13875">
        <v>0</v>
      </c>
      <c r="Q13875">
        <v>1</v>
      </c>
      <c r="R13875" t="s">
        <v>46586</v>
      </c>
      <c r="S13875" t="s">
        <v>47252</v>
      </c>
      <c r="T13875" t="s">
        <v>48250</v>
      </c>
      <c r="U13875" t="s">
        <v>59912</v>
      </c>
      <c r="W13875" t="s">
        <v>42952</v>
      </c>
      <c r="X13875" t="s">
        <v>46587</v>
      </c>
    </row>
    <row r="13876" spans="1:24">
      <c r="A13876">
        <f>HYPERLINK("https://www.philgeps.gov.ph/GEPSNONPILOT/Tender/SplashBidNoticeAbstractUI.aspx?menuIndex=3&amp;refID=7038029&amp;Result=3","7038029")</f>
        <v>0</v>
      </c>
      <c r="B13876" t="s">
        <v>1571</v>
      </c>
      <c r="C13876" t="s">
        <v>16716</v>
      </c>
      <c r="D13876" t="s">
        <v>18832</v>
      </c>
      <c r="E13876" t="s">
        <v>30818</v>
      </c>
      <c r="F13876" t="s">
        <v>32664</v>
      </c>
      <c r="G13876" t="s">
        <v>32672</v>
      </c>
      <c r="H13876" t="s">
        <v>32683</v>
      </c>
      <c r="I13876" t="s">
        <v>10627</v>
      </c>
      <c r="J13876" t="s">
        <v>41063</v>
      </c>
      <c r="K13876" t="s">
        <v>42369</v>
      </c>
      <c r="M13876" t="s">
        <v>44246</v>
      </c>
      <c r="N13876" t="s">
        <v>46569</v>
      </c>
      <c r="O13876" t="s">
        <v>46570</v>
      </c>
      <c r="P13876">
        <v>0</v>
      </c>
      <c r="Q13876">
        <v>10</v>
      </c>
      <c r="R13876" t="s">
        <v>46586</v>
      </c>
      <c r="S13876" t="s">
        <v>47252</v>
      </c>
      <c r="T13876" t="s">
        <v>48228</v>
      </c>
      <c r="U13876" t="s">
        <v>59913</v>
      </c>
      <c r="W13876" t="s">
        <v>44246</v>
      </c>
      <c r="X13876" t="s">
        <v>46587</v>
      </c>
    </row>
    <row r="13877" spans="1:24">
      <c r="A13877">
        <f>HYPERLINK("https://www.philgeps.gov.ph/GEPSNONPILOT/Tender/SplashBidNoticeAbstractUI.aspx?menuIndex=3&amp;refID=7037981&amp;Result=3","7037981")</f>
        <v>0</v>
      </c>
      <c r="B13877" t="s">
        <v>1571</v>
      </c>
      <c r="C13877" t="s">
        <v>16717</v>
      </c>
      <c r="D13877" t="s">
        <v>18832</v>
      </c>
      <c r="E13877" t="s">
        <v>30819</v>
      </c>
      <c r="F13877" t="s">
        <v>32664</v>
      </c>
      <c r="G13877" t="s">
        <v>32672</v>
      </c>
      <c r="H13877" t="s">
        <v>32683</v>
      </c>
      <c r="I13877" t="s">
        <v>10627</v>
      </c>
      <c r="J13877" t="s">
        <v>41064</v>
      </c>
      <c r="K13877" t="s">
        <v>42298</v>
      </c>
      <c r="M13877" t="s">
        <v>44246</v>
      </c>
      <c r="N13877" t="s">
        <v>46569</v>
      </c>
      <c r="O13877" t="s">
        <v>46570</v>
      </c>
      <c r="Q13877">
        <v>13</v>
      </c>
      <c r="R13877" t="s">
        <v>46586</v>
      </c>
      <c r="S13877" t="s">
        <v>47368</v>
      </c>
      <c r="T13877" t="s">
        <v>48228</v>
      </c>
      <c r="U13877" t="s">
        <v>59914</v>
      </c>
      <c r="W13877" t="s">
        <v>44246</v>
      </c>
      <c r="X13877" t="s">
        <v>46587</v>
      </c>
    </row>
    <row r="13878" spans="1:24">
      <c r="A13878">
        <f>HYPERLINK("https://www.philgeps.gov.ph/GEPSNONPILOT/Tender/SplashBidNoticeAbstractUI.aspx?menuIndex=3&amp;refID=7038024&amp;Result=3","7038024")</f>
        <v>0</v>
      </c>
      <c r="B13878" t="s">
        <v>1571</v>
      </c>
      <c r="C13878" t="s">
        <v>16718</v>
      </c>
      <c r="D13878" t="s">
        <v>18832</v>
      </c>
      <c r="E13878" t="s">
        <v>30820</v>
      </c>
      <c r="F13878" t="s">
        <v>32664</v>
      </c>
      <c r="G13878" t="s">
        <v>32672</v>
      </c>
      <c r="H13878" t="s">
        <v>32683</v>
      </c>
      <c r="I13878" t="s">
        <v>10627</v>
      </c>
      <c r="J13878" t="s">
        <v>41065</v>
      </c>
      <c r="K13878" t="s">
        <v>42369</v>
      </c>
      <c r="M13878" t="s">
        <v>44246</v>
      </c>
      <c r="N13878" t="s">
        <v>46569</v>
      </c>
      <c r="O13878" t="s">
        <v>46570</v>
      </c>
      <c r="P13878">
        <v>0</v>
      </c>
      <c r="Q13878">
        <v>11</v>
      </c>
      <c r="R13878" t="s">
        <v>46586</v>
      </c>
      <c r="S13878" t="s">
        <v>47252</v>
      </c>
      <c r="T13878" t="s">
        <v>48228</v>
      </c>
      <c r="U13878" t="s">
        <v>59915</v>
      </c>
      <c r="W13878" t="s">
        <v>44246</v>
      </c>
      <c r="X13878" t="s">
        <v>46587</v>
      </c>
    </row>
    <row r="13879" spans="1:24">
      <c r="A13879">
        <f>HYPERLINK("https://www.philgeps.gov.ph/GEPSNONPILOT/Tender/SplashBidNoticeAbstractUI.aspx?menuIndex=3&amp;refID=7038101&amp;Result=3","7038101")</f>
        <v>0</v>
      </c>
      <c r="B13879" t="s">
        <v>3362</v>
      </c>
      <c r="C13879" t="s">
        <v>16719</v>
      </c>
      <c r="D13879" t="s">
        <v>18845</v>
      </c>
      <c r="E13879" t="s">
        <v>30821</v>
      </c>
      <c r="F13879" t="s">
        <v>32664</v>
      </c>
      <c r="G13879" t="s">
        <v>32672</v>
      </c>
      <c r="H13879" t="s">
        <v>12635</v>
      </c>
      <c r="I13879" t="s">
        <v>4439</v>
      </c>
      <c r="J13879" t="s">
        <v>41036</v>
      </c>
      <c r="K13879" t="s">
        <v>42289</v>
      </c>
      <c r="M13879" t="s">
        <v>46321</v>
      </c>
      <c r="N13879" t="s">
        <v>46569</v>
      </c>
      <c r="O13879" t="s">
        <v>46570</v>
      </c>
      <c r="P13879">
        <v>0</v>
      </c>
      <c r="Q13879">
        <v>0</v>
      </c>
      <c r="R13879" t="s">
        <v>46586</v>
      </c>
      <c r="S13879" t="s">
        <v>47252</v>
      </c>
      <c r="T13879" t="s">
        <v>48278</v>
      </c>
      <c r="U13879" t="s">
        <v>59916</v>
      </c>
      <c r="V13879" t="s">
        <v>63155</v>
      </c>
      <c r="W13879" t="s">
        <v>46321</v>
      </c>
      <c r="X13879" t="s">
        <v>46587</v>
      </c>
    </row>
    <row r="13880" spans="1:24">
      <c r="A13880">
        <f>HYPERLINK("https://www.philgeps.gov.ph/GEPSNONPILOT/Tender/SplashBidNoticeAbstractUI.aspx?menuIndex=3&amp;refID=7037969&amp;Result=3","7037969")</f>
        <v>0</v>
      </c>
      <c r="B13880" t="s">
        <v>1571</v>
      </c>
      <c r="C13880" t="s">
        <v>16720</v>
      </c>
      <c r="D13880" t="s">
        <v>18832</v>
      </c>
      <c r="E13880" t="s">
        <v>30822</v>
      </c>
      <c r="F13880" t="s">
        <v>32664</v>
      </c>
      <c r="G13880" t="s">
        <v>32672</v>
      </c>
      <c r="H13880" t="s">
        <v>32683</v>
      </c>
      <c r="I13880" t="s">
        <v>10627</v>
      </c>
      <c r="J13880" t="s">
        <v>41066</v>
      </c>
      <c r="K13880" t="s">
        <v>42305</v>
      </c>
      <c r="M13880" t="s">
        <v>44246</v>
      </c>
      <c r="N13880" t="s">
        <v>46569</v>
      </c>
      <c r="O13880" t="s">
        <v>46570</v>
      </c>
      <c r="Q13880">
        <v>13</v>
      </c>
      <c r="R13880" t="s">
        <v>46586</v>
      </c>
      <c r="S13880" t="s">
        <v>47369</v>
      </c>
      <c r="T13880" t="s">
        <v>48228</v>
      </c>
      <c r="U13880" t="s">
        <v>59917</v>
      </c>
      <c r="W13880" t="s">
        <v>44246</v>
      </c>
      <c r="X13880" t="s">
        <v>46587</v>
      </c>
    </row>
    <row r="13881" spans="1:24">
      <c r="A13881">
        <f>HYPERLINK("https://www.philgeps.gov.ph/GEPSNONPILOT/Tender/SplashBidNoticeAbstractUI.aspx?menuIndex=3&amp;refID=7037578&amp;Result=3","7037578")</f>
        <v>0</v>
      </c>
      <c r="B13881" t="s">
        <v>253</v>
      </c>
      <c r="C13881" t="s">
        <v>16721</v>
      </c>
      <c r="D13881" t="s">
        <v>18790</v>
      </c>
      <c r="E13881" t="s">
        <v>30823</v>
      </c>
      <c r="F13881" t="s">
        <v>32664</v>
      </c>
      <c r="G13881" t="s">
        <v>32672</v>
      </c>
      <c r="H13881" t="s">
        <v>32683</v>
      </c>
      <c r="I13881" t="s">
        <v>10627</v>
      </c>
      <c r="J13881" t="s">
        <v>41067</v>
      </c>
      <c r="K13881" t="s">
        <v>42283</v>
      </c>
      <c r="M13881" t="s">
        <v>42851</v>
      </c>
      <c r="N13881" t="s">
        <v>46569</v>
      </c>
      <c r="O13881" t="s">
        <v>46570</v>
      </c>
      <c r="P13881">
        <v>0</v>
      </c>
      <c r="Q13881">
        <v>0</v>
      </c>
      <c r="R13881" t="s">
        <v>46586</v>
      </c>
      <c r="S13881" t="s">
        <v>47252</v>
      </c>
      <c r="T13881" t="s">
        <v>48283</v>
      </c>
      <c r="U13881" t="s">
        <v>59918</v>
      </c>
      <c r="W13881" t="s">
        <v>42851</v>
      </c>
      <c r="X13881" t="s">
        <v>46587</v>
      </c>
    </row>
    <row r="13882" spans="1:24">
      <c r="A13882">
        <f>HYPERLINK("https://www.philgeps.gov.ph/GEPSNONPILOT/Tender/SplashBidNoticeAbstractUI.aspx?menuIndex=3&amp;refID=7037570&amp;Result=3","7037570")</f>
        <v>0</v>
      </c>
      <c r="B13882" t="s">
        <v>2106</v>
      </c>
      <c r="C13882" t="s">
        <v>16722</v>
      </c>
      <c r="D13882" t="s">
        <v>18839</v>
      </c>
      <c r="E13882" t="s">
        <v>30824</v>
      </c>
      <c r="F13882" t="s">
        <v>32664</v>
      </c>
      <c r="G13882" t="s">
        <v>32672</v>
      </c>
      <c r="H13882" t="s">
        <v>32683</v>
      </c>
      <c r="I13882" t="s">
        <v>10627</v>
      </c>
      <c r="J13882" t="s">
        <v>32865</v>
      </c>
      <c r="K13882" t="s">
        <v>42303</v>
      </c>
      <c r="M13882" t="s">
        <v>44861</v>
      </c>
      <c r="N13882" t="s">
        <v>46569</v>
      </c>
      <c r="O13882" t="s">
        <v>46570</v>
      </c>
      <c r="P13882">
        <v>0</v>
      </c>
      <c r="Q13882">
        <v>0</v>
      </c>
      <c r="R13882" t="s">
        <v>46586</v>
      </c>
      <c r="S13882" t="s">
        <v>47252</v>
      </c>
      <c r="T13882" t="s">
        <v>48282</v>
      </c>
      <c r="U13882" t="s">
        <v>59919</v>
      </c>
      <c r="W13882" t="s">
        <v>46359</v>
      </c>
      <c r="X13882" t="s">
        <v>46587</v>
      </c>
    </row>
    <row r="13883" spans="1:24">
      <c r="A13883">
        <f>HYPERLINK("https://www.philgeps.gov.ph/GEPSNONPILOT/Tender/SplashBidNoticeAbstractUI.aspx?menuIndex=3&amp;refID=7037561&amp;Result=3","7037561")</f>
        <v>0</v>
      </c>
      <c r="B13883" t="s">
        <v>1210</v>
      </c>
      <c r="C13883" t="s">
        <v>16723</v>
      </c>
      <c r="D13883" t="s">
        <v>18788</v>
      </c>
      <c r="E13883" t="s">
        <v>30825</v>
      </c>
      <c r="F13883" t="s">
        <v>32664</v>
      </c>
      <c r="G13883" t="s">
        <v>32672</v>
      </c>
      <c r="H13883" t="s">
        <v>12635</v>
      </c>
      <c r="I13883" t="s">
        <v>11464</v>
      </c>
      <c r="J13883" t="s">
        <v>32930</v>
      </c>
      <c r="K13883" t="s">
        <v>42283</v>
      </c>
      <c r="M13883" t="s">
        <v>43848</v>
      </c>
      <c r="N13883" t="s">
        <v>46569</v>
      </c>
      <c r="O13883" t="s">
        <v>46570</v>
      </c>
      <c r="P13883">
        <v>0</v>
      </c>
      <c r="Q13883">
        <v>5</v>
      </c>
      <c r="R13883" t="s">
        <v>46586</v>
      </c>
      <c r="S13883" t="s">
        <v>47252</v>
      </c>
      <c r="T13883" t="s">
        <v>48228</v>
      </c>
      <c r="U13883" t="s">
        <v>51362</v>
      </c>
      <c r="W13883" t="s">
        <v>43848</v>
      </c>
      <c r="X13883" t="s">
        <v>46587</v>
      </c>
    </row>
    <row r="13884" spans="1:24">
      <c r="A13884">
        <f>HYPERLINK("https://www.philgeps.gov.ph/GEPSNONPILOT/Tender/SplashBidNoticeAbstractUI.aspx?menuIndex=3&amp;refID=7037962&amp;Result=3","7037962")</f>
        <v>0</v>
      </c>
      <c r="B13884" t="s">
        <v>3166</v>
      </c>
      <c r="C13884" t="s">
        <v>16724</v>
      </c>
      <c r="D13884" t="s">
        <v>18788</v>
      </c>
      <c r="E13884" t="s">
        <v>30826</v>
      </c>
      <c r="F13884" t="s">
        <v>32664</v>
      </c>
      <c r="G13884" t="s">
        <v>32672</v>
      </c>
      <c r="H13884" t="s">
        <v>12635</v>
      </c>
      <c r="I13884" t="s">
        <v>4439</v>
      </c>
      <c r="J13884" t="s">
        <v>41068</v>
      </c>
      <c r="K13884" t="s">
        <v>42330</v>
      </c>
      <c r="M13884" t="s">
        <v>46068</v>
      </c>
      <c r="N13884" t="s">
        <v>46569</v>
      </c>
      <c r="O13884" t="s">
        <v>46570</v>
      </c>
      <c r="P13884">
        <v>0</v>
      </c>
      <c r="Q13884">
        <v>3</v>
      </c>
      <c r="R13884" t="s">
        <v>46586</v>
      </c>
      <c r="S13884" t="s">
        <v>47252</v>
      </c>
      <c r="T13884" t="s">
        <v>48305</v>
      </c>
      <c r="U13884" t="s">
        <v>58549</v>
      </c>
      <c r="V13884" t="s">
        <v>63159</v>
      </c>
      <c r="W13884" t="s">
        <v>46068</v>
      </c>
      <c r="X13884" t="s">
        <v>46587</v>
      </c>
    </row>
    <row r="13885" spans="1:24">
      <c r="A13885">
        <f>HYPERLINK("https://www.philgeps.gov.ph/GEPSNONPILOT/Tender/SplashBidNoticeAbstractUI.aspx?menuIndex=3&amp;refID=7037552&amp;Result=3","7037552")</f>
        <v>0</v>
      </c>
      <c r="B13885" t="s">
        <v>1734</v>
      </c>
      <c r="C13885" t="s">
        <v>16725</v>
      </c>
      <c r="D13885" t="s">
        <v>18789</v>
      </c>
      <c r="E13885" t="s">
        <v>30827</v>
      </c>
      <c r="F13885" t="s">
        <v>32664</v>
      </c>
      <c r="G13885" t="s">
        <v>32672</v>
      </c>
      <c r="H13885" t="s">
        <v>12635</v>
      </c>
      <c r="I13885" t="s">
        <v>32717</v>
      </c>
      <c r="J13885" t="s">
        <v>33167</v>
      </c>
      <c r="K13885" t="s">
        <v>42283</v>
      </c>
      <c r="M13885" t="s">
        <v>46229</v>
      </c>
      <c r="N13885" t="s">
        <v>46569</v>
      </c>
      <c r="O13885" t="s">
        <v>46570</v>
      </c>
      <c r="P13885">
        <v>0</v>
      </c>
      <c r="Q13885">
        <v>2</v>
      </c>
      <c r="R13885" t="s">
        <v>46586</v>
      </c>
      <c r="S13885" t="s">
        <v>47252</v>
      </c>
      <c r="T13885" t="s">
        <v>48228</v>
      </c>
      <c r="U13885" t="s">
        <v>59920</v>
      </c>
      <c r="W13885" t="s">
        <v>46229</v>
      </c>
      <c r="X13885" t="s">
        <v>46587</v>
      </c>
    </row>
    <row r="13886" spans="1:24">
      <c r="A13886">
        <f>HYPERLINK("https://www.philgeps.gov.ph/GEPSNONPILOT/Tender/SplashBidNoticeAbstractUI.aspx?menuIndex=3&amp;refID=7037423&amp;Result=3","7037423")</f>
        <v>0</v>
      </c>
      <c r="B13886" t="s">
        <v>1322</v>
      </c>
      <c r="C13886" t="s">
        <v>16726</v>
      </c>
      <c r="D13886" t="s">
        <v>18788</v>
      </c>
      <c r="E13886" t="s">
        <v>27152</v>
      </c>
      <c r="F13886" t="s">
        <v>32664</v>
      </c>
      <c r="G13886" t="s">
        <v>32672</v>
      </c>
      <c r="H13886" t="s">
        <v>32683</v>
      </c>
      <c r="I13886" t="s">
        <v>10627</v>
      </c>
      <c r="J13886" t="s">
        <v>41069</v>
      </c>
      <c r="K13886" t="s">
        <v>42337</v>
      </c>
      <c r="M13886" t="s">
        <v>43971</v>
      </c>
      <c r="N13886" t="s">
        <v>46569</v>
      </c>
      <c r="O13886" t="s">
        <v>46570</v>
      </c>
      <c r="P13886">
        <v>0</v>
      </c>
      <c r="Q13886">
        <v>0</v>
      </c>
      <c r="R13886" t="s">
        <v>46586</v>
      </c>
      <c r="S13886" t="s">
        <v>47252</v>
      </c>
      <c r="T13886" t="s">
        <v>48282</v>
      </c>
      <c r="U13886" t="s">
        <v>59921</v>
      </c>
      <c r="W13886" t="s">
        <v>43971</v>
      </c>
      <c r="X13886" t="s">
        <v>46587</v>
      </c>
    </row>
    <row r="13887" spans="1:24">
      <c r="A13887">
        <f>HYPERLINK("https://www.philgeps.gov.ph/GEPSNONPILOT/Tender/SplashBidNoticeAbstractUI.aspx?menuIndex=3&amp;refID=7038122&amp;Result=3","7038122")</f>
        <v>0</v>
      </c>
      <c r="B13887" t="s">
        <v>2187</v>
      </c>
      <c r="C13887" t="s">
        <v>16727</v>
      </c>
      <c r="D13887" t="s">
        <v>18823</v>
      </c>
      <c r="E13887" t="s">
        <v>30828</v>
      </c>
      <c r="F13887" t="s">
        <v>32664</v>
      </c>
      <c r="G13887" t="s">
        <v>32672</v>
      </c>
      <c r="H13887" t="s">
        <v>12635</v>
      </c>
      <c r="I13887" t="s">
        <v>4439</v>
      </c>
      <c r="J13887" t="s">
        <v>41070</v>
      </c>
      <c r="K13887" t="s">
        <v>42289</v>
      </c>
      <c r="M13887" t="s">
        <v>44948</v>
      </c>
      <c r="N13887" t="s">
        <v>46569</v>
      </c>
      <c r="O13887" t="s">
        <v>46570</v>
      </c>
      <c r="P13887">
        <v>0</v>
      </c>
      <c r="Q13887">
        <v>6</v>
      </c>
      <c r="R13887" t="s">
        <v>46586</v>
      </c>
      <c r="S13887" t="s">
        <v>47252</v>
      </c>
      <c r="T13887" t="s">
        <v>48282</v>
      </c>
      <c r="U13887" t="s">
        <v>59922</v>
      </c>
      <c r="V13887" t="s">
        <v>63157</v>
      </c>
      <c r="W13887" t="s">
        <v>44948</v>
      </c>
      <c r="X13887" t="s">
        <v>46587</v>
      </c>
    </row>
    <row r="13888" spans="1:24">
      <c r="A13888">
        <f>HYPERLINK("https://www.philgeps.gov.ph/GEPSNONPILOT/Tender/SplashBidNoticeAbstractUI.aspx?menuIndex=3&amp;refID=7037986&amp;Result=3","7037986")</f>
        <v>0</v>
      </c>
      <c r="B13888" t="s">
        <v>1571</v>
      </c>
      <c r="C13888" t="s">
        <v>16728</v>
      </c>
      <c r="D13888" t="s">
        <v>18832</v>
      </c>
      <c r="E13888" t="s">
        <v>30829</v>
      </c>
      <c r="F13888" t="s">
        <v>32664</v>
      </c>
      <c r="G13888" t="s">
        <v>32672</v>
      </c>
      <c r="H13888" t="s">
        <v>32683</v>
      </c>
      <c r="I13888" t="s">
        <v>10627</v>
      </c>
      <c r="J13888" t="s">
        <v>41071</v>
      </c>
      <c r="K13888" t="s">
        <v>42305</v>
      </c>
      <c r="M13888" t="s">
        <v>44246</v>
      </c>
      <c r="N13888" t="s">
        <v>46569</v>
      </c>
      <c r="O13888" t="s">
        <v>46570</v>
      </c>
      <c r="Q13888">
        <v>13</v>
      </c>
      <c r="R13888" t="s">
        <v>46586</v>
      </c>
      <c r="S13888" t="s">
        <v>47370</v>
      </c>
      <c r="T13888" t="s">
        <v>48228</v>
      </c>
      <c r="U13888" t="s">
        <v>59923</v>
      </c>
      <c r="W13888" t="s">
        <v>44246</v>
      </c>
      <c r="X13888" t="s">
        <v>46587</v>
      </c>
    </row>
    <row r="13889" spans="1:24">
      <c r="A13889">
        <f>HYPERLINK("https://www.philgeps.gov.ph/GEPSNONPILOT/Tender/SplashBidNoticeAbstractUI.aspx?menuIndex=3&amp;refID=7037407&amp;Result=3","7037407")</f>
        <v>0</v>
      </c>
      <c r="B13889" t="s">
        <v>543</v>
      </c>
      <c r="C13889" t="s">
        <v>16729</v>
      </c>
      <c r="D13889" t="s">
        <v>18790</v>
      </c>
      <c r="E13889" t="s">
        <v>30830</v>
      </c>
      <c r="F13889" t="s">
        <v>32664</v>
      </c>
      <c r="G13889" t="s">
        <v>32672</v>
      </c>
      <c r="H13889" t="s">
        <v>12635</v>
      </c>
      <c r="I13889" t="s">
        <v>32740</v>
      </c>
      <c r="J13889" t="s">
        <v>41072</v>
      </c>
      <c r="K13889" t="s">
        <v>42283</v>
      </c>
      <c r="M13889" t="s">
        <v>43747</v>
      </c>
      <c r="N13889" t="s">
        <v>46569</v>
      </c>
      <c r="O13889" t="s">
        <v>46570</v>
      </c>
      <c r="Q13889">
        <v>4</v>
      </c>
      <c r="R13889" t="s">
        <v>46586</v>
      </c>
      <c r="S13889" t="s">
        <v>47371</v>
      </c>
      <c r="T13889" t="s">
        <v>48244</v>
      </c>
      <c r="U13889" t="s">
        <v>59924</v>
      </c>
      <c r="W13889" t="s">
        <v>43747</v>
      </c>
      <c r="X13889" t="s">
        <v>46587</v>
      </c>
    </row>
    <row r="13890" spans="1:24">
      <c r="A13890">
        <f>HYPERLINK("https://www.philgeps.gov.ph/GEPSNONPILOT/Tender/SplashBidNoticeAbstractUI.aspx?menuIndex=3&amp;refID=7037974&amp;Result=3","7037974")</f>
        <v>0</v>
      </c>
      <c r="B13890" t="s">
        <v>1644</v>
      </c>
      <c r="C13890" t="s">
        <v>16730</v>
      </c>
      <c r="D13890" t="s">
        <v>18820</v>
      </c>
      <c r="E13890" t="s">
        <v>30831</v>
      </c>
      <c r="F13890" t="s">
        <v>32664</v>
      </c>
      <c r="G13890" t="s">
        <v>32672</v>
      </c>
      <c r="H13890" t="s">
        <v>12635</v>
      </c>
      <c r="I13890" t="s">
        <v>6168</v>
      </c>
      <c r="J13890" t="s">
        <v>41073</v>
      </c>
      <c r="K13890" t="s">
        <v>42303</v>
      </c>
      <c r="M13890" t="s">
        <v>44328</v>
      </c>
      <c r="N13890" t="s">
        <v>46569</v>
      </c>
      <c r="O13890" t="s">
        <v>46570</v>
      </c>
      <c r="P13890">
        <v>0</v>
      </c>
      <c r="Q13890">
        <v>1</v>
      </c>
      <c r="R13890" t="s">
        <v>46586</v>
      </c>
      <c r="S13890" t="s">
        <v>47252</v>
      </c>
      <c r="T13890" t="s">
        <v>48311</v>
      </c>
      <c r="U13890" t="s">
        <v>59925</v>
      </c>
      <c r="V13890" t="s">
        <v>62100</v>
      </c>
      <c r="W13890" t="s">
        <v>44328</v>
      </c>
      <c r="X13890" t="s">
        <v>46587</v>
      </c>
    </row>
    <row r="13891" spans="1:24">
      <c r="A13891">
        <f>HYPERLINK("https://www.philgeps.gov.ph/GEPSNONPILOT/Tender/SplashBidNoticeAbstractUI.aspx?menuIndex=3&amp;refID=7038033&amp;Result=3","7038033")</f>
        <v>0</v>
      </c>
      <c r="B13891" t="s">
        <v>1571</v>
      </c>
      <c r="C13891" t="s">
        <v>16731</v>
      </c>
      <c r="D13891" t="s">
        <v>18832</v>
      </c>
      <c r="E13891" t="s">
        <v>30832</v>
      </c>
      <c r="F13891" t="s">
        <v>32664</v>
      </c>
      <c r="G13891" t="s">
        <v>32672</v>
      </c>
      <c r="H13891" t="s">
        <v>32683</v>
      </c>
      <c r="I13891" t="s">
        <v>10627</v>
      </c>
      <c r="J13891" t="s">
        <v>41074</v>
      </c>
      <c r="K13891" t="s">
        <v>42311</v>
      </c>
      <c r="M13891" t="s">
        <v>44246</v>
      </c>
      <c r="N13891" t="s">
        <v>46569</v>
      </c>
      <c r="O13891" t="s">
        <v>46570</v>
      </c>
      <c r="P13891">
        <v>0</v>
      </c>
      <c r="Q13891">
        <v>10</v>
      </c>
      <c r="R13891" t="s">
        <v>46586</v>
      </c>
      <c r="S13891" t="s">
        <v>47252</v>
      </c>
      <c r="T13891" t="s">
        <v>48228</v>
      </c>
      <c r="U13891" t="s">
        <v>59926</v>
      </c>
      <c r="W13891" t="s">
        <v>44246</v>
      </c>
      <c r="X13891" t="s">
        <v>46587</v>
      </c>
    </row>
    <row r="13892" spans="1:24">
      <c r="A13892">
        <f>HYPERLINK("https://www.philgeps.gov.ph/GEPSNONPILOT/Tender/SplashBidNoticeAbstractUI.aspx?menuIndex=3&amp;refID=7037408&amp;Result=3","7037408")</f>
        <v>0</v>
      </c>
      <c r="B13892" t="s">
        <v>882</v>
      </c>
      <c r="C13892" t="s">
        <v>16732</v>
      </c>
      <c r="D13892" t="s">
        <v>18804</v>
      </c>
      <c r="E13892" t="s">
        <v>30833</v>
      </c>
      <c r="F13892" t="s">
        <v>32664</v>
      </c>
      <c r="G13892" t="s">
        <v>32672</v>
      </c>
      <c r="H13892" t="s">
        <v>32683</v>
      </c>
      <c r="I13892" t="s">
        <v>10627</v>
      </c>
      <c r="J13892" t="s">
        <v>41075</v>
      </c>
      <c r="K13892" t="s">
        <v>42369</v>
      </c>
      <c r="M13892" t="s">
        <v>43483</v>
      </c>
      <c r="N13892" t="s">
        <v>46569</v>
      </c>
      <c r="O13892" t="s">
        <v>46570</v>
      </c>
      <c r="P13892">
        <v>0</v>
      </c>
      <c r="Q13892">
        <v>34</v>
      </c>
      <c r="R13892" t="s">
        <v>46586</v>
      </c>
      <c r="S13892" t="s">
        <v>47252</v>
      </c>
      <c r="T13892" t="s">
        <v>48244</v>
      </c>
      <c r="U13892" t="s">
        <v>59927</v>
      </c>
      <c r="W13892" t="s">
        <v>43483</v>
      </c>
      <c r="X13892" t="s">
        <v>46587</v>
      </c>
    </row>
    <row r="13893" spans="1:24">
      <c r="A13893">
        <f>HYPERLINK("https://www.philgeps.gov.ph/GEPSNONPILOT/Tender/SplashBidNoticeAbstractUI.aspx?menuIndex=3&amp;refID=7037557&amp;Result=3","7037557")</f>
        <v>0</v>
      </c>
      <c r="B13893" t="s">
        <v>750</v>
      </c>
      <c r="C13893" t="s">
        <v>16733</v>
      </c>
      <c r="E13893" t="s">
        <v>30834</v>
      </c>
      <c r="F13893" t="s">
        <v>32664</v>
      </c>
      <c r="G13893" t="s">
        <v>32672</v>
      </c>
      <c r="H13893" t="s">
        <v>32683</v>
      </c>
      <c r="I13893" t="s">
        <v>10627</v>
      </c>
      <c r="J13893" t="s">
        <v>41076</v>
      </c>
      <c r="K13893" t="s">
        <v>42283</v>
      </c>
      <c r="M13893" t="s">
        <v>43340</v>
      </c>
      <c r="N13893" t="s">
        <v>46569</v>
      </c>
      <c r="O13893" t="s">
        <v>46570</v>
      </c>
      <c r="Q13893">
        <v>18</v>
      </c>
      <c r="R13893" t="s">
        <v>46586</v>
      </c>
      <c r="S13893" t="s">
        <v>47372</v>
      </c>
      <c r="T13893" t="s">
        <v>48221</v>
      </c>
      <c r="U13893" t="s">
        <v>59928</v>
      </c>
      <c r="W13893" t="s">
        <v>63488</v>
      </c>
      <c r="X13893" t="s">
        <v>46587</v>
      </c>
    </row>
    <row r="13894" spans="1:24">
      <c r="A13894">
        <f>HYPERLINK("https://www.philgeps.gov.ph/GEPSNONPILOT/Tender/SplashBidNoticeAbstractUI.aspx?menuIndex=3&amp;refID=7025586&amp;Result=3","7025586")</f>
        <v>0</v>
      </c>
      <c r="B13894" t="s">
        <v>155</v>
      </c>
      <c r="C13894" t="s">
        <v>16734</v>
      </c>
      <c r="D13894" t="s">
        <v>18814</v>
      </c>
      <c r="E13894" t="s">
        <v>30835</v>
      </c>
      <c r="F13894" t="s">
        <v>32664</v>
      </c>
      <c r="G13894" t="s">
        <v>32672</v>
      </c>
      <c r="H13894" t="s">
        <v>12635</v>
      </c>
      <c r="I13894" t="s">
        <v>11464</v>
      </c>
      <c r="J13894" t="s">
        <v>40429</v>
      </c>
      <c r="K13894" t="s">
        <v>42281</v>
      </c>
      <c r="M13894" t="s">
        <v>42719</v>
      </c>
      <c r="N13894" t="s">
        <v>46569</v>
      </c>
      <c r="O13894" t="s">
        <v>46570</v>
      </c>
      <c r="P13894">
        <v>0</v>
      </c>
      <c r="Q13894">
        <v>13</v>
      </c>
      <c r="R13894" t="s">
        <v>46587</v>
      </c>
      <c r="S13894" t="s">
        <v>47373</v>
      </c>
      <c r="T13894" t="s">
        <v>48256</v>
      </c>
      <c r="U13894" t="s">
        <v>59929</v>
      </c>
      <c r="W13894" t="s">
        <v>42719</v>
      </c>
      <c r="X13894" t="s">
        <v>46593</v>
      </c>
    </row>
    <row r="13895" spans="1:24">
      <c r="A13895">
        <f>HYPERLINK("https://www.philgeps.gov.ph/GEPSNONPILOT/Tender/SplashBidNoticeAbstractUI.aspx?menuIndex=3&amp;refID=7024826&amp;Result=3","7024826")</f>
        <v>0</v>
      </c>
      <c r="B13895" t="s">
        <v>95</v>
      </c>
      <c r="C13895" t="s">
        <v>16735</v>
      </c>
      <c r="D13895" t="s">
        <v>18807</v>
      </c>
      <c r="E13895" t="s">
        <v>30836</v>
      </c>
      <c r="F13895" t="s">
        <v>32664</v>
      </c>
      <c r="G13895" t="s">
        <v>32672</v>
      </c>
      <c r="H13895" t="s">
        <v>12635</v>
      </c>
      <c r="I13895" t="s">
        <v>32706</v>
      </c>
      <c r="J13895" t="s">
        <v>40194</v>
      </c>
      <c r="K13895" t="s">
        <v>42281</v>
      </c>
      <c r="M13895" t="s">
        <v>42658</v>
      </c>
      <c r="N13895" t="s">
        <v>46569</v>
      </c>
      <c r="O13895" t="s">
        <v>46570</v>
      </c>
      <c r="P13895">
        <v>0</v>
      </c>
      <c r="Q13895">
        <v>0</v>
      </c>
      <c r="R13895" t="s">
        <v>46587</v>
      </c>
      <c r="S13895" t="s">
        <v>47373</v>
      </c>
      <c r="T13895" t="s">
        <v>48467</v>
      </c>
      <c r="U13895" t="s">
        <v>59930</v>
      </c>
      <c r="W13895" t="s">
        <v>42658</v>
      </c>
      <c r="X13895" t="s">
        <v>46593</v>
      </c>
    </row>
    <row r="13896" spans="1:24">
      <c r="A13896">
        <f>HYPERLINK("https://www.philgeps.gov.ph/GEPSNONPILOT/Tender/SplashBidNoticeAbstractUI.aspx?menuIndex=3&amp;refID=7024458&amp;Result=3","7024458")</f>
        <v>0</v>
      </c>
      <c r="B13896" t="s">
        <v>684</v>
      </c>
      <c r="C13896" t="s">
        <v>16736</v>
      </c>
      <c r="E13896" t="s">
        <v>30837</v>
      </c>
      <c r="F13896" t="s">
        <v>32664</v>
      </c>
      <c r="G13896" t="s">
        <v>32672</v>
      </c>
      <c r="H13896" t="s">
        <v>12635</v>
      </c>
      <c r="I13896" t="s">
        <v>9486</v>
      </c>
      <c r="J13896" t="s">
        <v>41077</v>
      </c>
      <c r="K13896" t="s">
        <v>42283</v>
      </c>
      <c r="M13896" t="s">
        <v>45394</v>
      </c>
      <c r="N13896" t="s">
        <v>46569</v>
      </c>
      <c r="O13896" t="s">
        <v>46570</v>
      </c>
      <c r="P13896">
        <v>0</v>
      </c>
      <c r="Q13896">
        <v>1</v>
      </c>
      <c r="R13896" t="s">
        <v>46587</v>
      </c>
      <c r="S13896" t="s">
        <v>47373</v>
      </c>
      <c r="T13896" t="s">
        <v>48228</v>
      </c>
      <c r="U13896" t="s">
        <v>59931</v>
      </c>
      <c r="W13896" t="s">
        <v>45394</v>
      </c>
      <c r="X13896" t="s">
        <v>46593</v>
      </c>
    </row>
    <row r="13897" spans="1:24">
      <c r="A13897">
        <f>HYPERLINK("https://www.philgeps.gov.ph/GEPSNONPILOT/Tender/SplashBidNoticeAbstractUI.aspx?menuIndex=3&amp;refID=7025369&amp;Result=3","7025369")</f>
        <v>0</v>
      </c>
      <c r="B13897" t="s">
        <v>837</v>
      </c>
      <c r="C13897" t="s">
        <v>16737</v>
      </c>
      <c r="D13897" t="s">
        <v>18831</v>
      </c>
      <c r="E13897" t="s">
        <v>30838</v>
      </c>
      <c r="F13897" t="s">
        <v>32664</v>
      </c>
      <c r="G13897" t="s">
        <v>32672</v>
      </c>
      <c r="H13897" t="s">
        <v>32683</v>
      </c>
      <c r="I13897" t="s">
        <v>10627</v>
      </c>
      <c r="J13897" t="s">
        <v>41078</v>
      </c>
      <c r="K13897" t="s">
        <v>42512</v>
      </c>
      <c r="M13897" t="s">
        <v>43432</v>
      </c>
      <c r="N13897" t="s">
        <v>46569</v>
      </c>
      <c r="O13897" t="s">
        <v>46570</v>
      </c>
      <c r="P13897">
        <v>0</v>
      </c>
      <c r="Q13897">
        <v>1</v>
      </c>
      <c r="R13897" t="s">
        <v>46587</v>
      </c>
      <c r="S13897" t="s">
        <v>47373</v>
      </c>
      <c r="T13897" t="s">
        <v>48225</v>
      </c>
      <c r="U13897" t="s">
        <v>59932</v>
      </c>
      <c r="W13897" t="s">
        <v>43432</v>
      </c>
      <c r="X13897" t="s">
        <v>46593</v>
      </c>
    </row>
    <row r="13898" spans="1:24">
      <c r="A13898">
        <f>HYPERLINK("https://www.philgeps.gov.ph/GEPSNONPILOT/Tender/SplashBidNoticeAbstractUI.aspx?menuIndex=3&amp;refID=7024421&amp;Result=3","7024421")</f>
        <v>0</v>
      </c>
      <c r="B13898" t="s">
        <v>684</v>
      </c>
      <c r="C13898" t="s">
        <v>16738</v>
      </c>
      <c r="E13898" t="s">
        <v>30839</v>
      </c>
      <c r="F13898" t="s">
        <v>32664</v>
      </c>
      <c r="G13898" t="s">
        <v>32672</v>
      </c>
      <c r="H13898" t="s">
        <v>12635</v>
      </c>
      <c r="I13898" t="s">
        <v>9486</v>
      </c>
      <c r="J13898" t="s">
        <v>41079</v>
      </c>
      <c r="K13898" t="s">
        <v>42283</v>
      </c>
      <c r="M13898" t="s">
        <v>45394</v>
      </c>
      <c r="N13898" t="s">
        <v>46569</v>
      </c>
      <c r="O13898" t="s">
        <v>46570</v>
      </c>
      <c r="P13898">
        <v>0</v>
      </c>
      <c r="Q13898">
        <v>12</v>
      </c>
      <c r="R13898" t="s">
        <v>46587</v>
      </c>
      <c r="S13898" t="s">
        <v>47373</v>
      </c>
      <c r="T13898" t="s">
        <v>48228</v>
      </c>
      <c r="U13898" t="s">
        <v>59933</v>
      </c>
      <c r="W13898" t="s">
        <v>45394</v>
      </c>
      <c r="X13898" t="s">
        <v>46593</v>
      </c>
    </row>
    <row r="13899" spans="1:24">
      <c r="A13899">
        <f>HYPERLINK("https://www.philgeps.gov.ph/GEPSNONPILOT/Tender/SplashBidNoticeAbstractUI.aspx?menuIndex=3&amp;refID=7024029&amp;Result=3","7024029")</f>
        <v>0</v>
      </c>
      <c r="B13899" t="s">
        <v>3368</v>
      </c>
      <c r="C13899" t="s">
        <v>16739</v>
      </c>
      <c r="D13899" t="s">
        <v>18831</v>
      </c>
      <c r="E13899" t="s">
        <v>25047</v>
      </c>
      <c r="F13899" t="s">
        <v>32664</v>
      </c>
      <c r="G13899" t="s">
        <v>32672</v>
      </c>
      <c r="H13899" t="s">
        <v>12635</v>
      </c>
      <c r="I13899" t="s">
        <v>11464</v>
      </c>
      <c r="J13899" t="s">
        <v>34518</v>
      </c>
      <c r="K13899" t="s">
        <v>42281</v>
      </c>
      <c r="M13899" t="s">
        <v>46327</v>
      </c>
      <c r="N13899" t="s">
        <v>46569</v>
      </c>
      <c r="O13899" t="s">
        <v>46570</v>
      </c>
      <c r="P13899">
        <v>0</v>
      </c>
      <c r="Q13899">
        <v>3</v>
      </c>
      <c r="R13899" t="s">
        <v>46587</v>
      </c>
      <c r="S13899" t="s">
        <v>47373</v>
      </c>
      <c r="T13899" t="s">
        <v>48283</v>
      </c>
      <c r="U13899" t="s">
        <v>59934</v>
      </c>
      <c r="V13899" t="s">
        <v>63160</v>
      </c>
      <c r="W13899" t="s">
        <v>46327</v>
      </c>
      <c r="X13899" t="s">
        <v>46594</v>
      </c>
    </row>
    <row r="13900" spans="1:24">
      <c r="A13900">
        <f>HYPERLINK("https://www.philgeps.gov.ph/GEPSNONPILOT/Tender/SplashBidNoticeAbstractUI.aspx?menuIndex=3&amp;refID=7024014&amp;Result=3","7024014")</f>
        <v>0</v>
      </c>
      <c r="B13900" t="s">
        <v>3368</v>
      </c>
      <c r="C13900" t="s">
        <v>16740</v>
      </c>
      <c r="D13900" t="s">
        <v>18792</v>
      </c>
      <c r="E13900" t="s">
        <v>19314</v>
      </c>
      <c r="F13900" t="s">
        <v>32664</v>
      </c>
      <c r="G13900" t="s">
        <v>32672</v>
      </c>
      <c r="H13900" t="s">
        <v>12635</v>
      </c>
      <c r="I13900" t="s">
        <v>32696</v>
      </c>
      <c r="J13900" t="s">
        <v>41080</v>
      </c>
      <c r="K13900" t="s">
        <v>42281</v>
      </c>
      <c r="M13900" t="s">
        <v>46327</v>
      </c>
      <c r="N13900" t="s">
        <v>46569</v>
      </c>
      <c r="O13900" t="s">
        <v>46570</v>
      </c>
      <c r="P13900">
        <v>0</v>
      </c>
      <c r="Q13900">
        <v>0</v>
      </c>
      <c r="R13900" t="s">
        <v>46587</v>
      </c>
      <c r="S13900" t="s">
        <v>47373</v>
      </c>
      <c r="T13900" t="s">
        <v>48283</v>
      </c>
      <c r="U13900" t="s">
        <v>59935</v>
      </c>
      <c r="V13900" t="s">
        <v>63160</v>
      </c>
      <c r="W13900" t="s">
        <v>46327</v>
      </c>
      <c r="X13900" t="s">
        <v>46594</v>
      </c>
    </row>
    <row r="13901" spans="1:24">
      <c r="A13901">
        <f>HYPERLINK("https://www.philgeps.gov.ph/GEPSNONPILOT/Tender/SplashBidNoticeAbstractUI.aspx?menuIndex=3&amp;refID=7024007&amp;Result=3","7024007")</f>
        <v>0</v>
      </c>
      <c r="B13901" t="s">
        <v>3368</v>
      </c>
      <c r="C13901" t="s">
        <v>16741</v>
      </c>
      <c r="D13901" t="s">
        <v>18792</v>
      </c>
      <c r="E13901" t="s">
        <v>19672</v>
      </c>
      <c r="F13901" t="s">
        <v>32664</v>
      </c>
      <c r="G13901" t="s">
        <v>32672</v>
      </c>
      <c r="H13901" t="s">
        <v>12635</v>
      </c>
      <c r="I13901" t="s">
        <v>32696</v>
      </c>
      <c r="J13901" t="s">
        <v>41081</v>
      </c>
      <c r="K13901" t="s">
        <v>42281</v>
      </c>
      <c r="M13901" t="s">
        <v>46327</v>
      </c>
      <c r="N13901" t="s">
        <v>46569</v>
      </c>
      <c r="O13901" t="s">
        <v>46570</v>
      </c>
      <c r="P13901">
        <v>0</v>
      </c>
      <c r="Q13901">
        <v>1</v>
      </c>
      <c r="R13901" t="s">
        <v>46587</v>
      </c>
      <c r="S13901" t="s">
        <v>47373</v>
      </c>
      <c r="T13901" t="s">
        <v>48283</v>
      </c>
      <c r="U13901" t="s">
        <v>59936</v>
      </c>
      <c r="V13901" t="s">
        <v>63160</v>
      </c>
      <c r="W13901" t="s">
        <v>46327</v>
      </c>
      <c r="X13901" t="s">
        <v>46594</v>
      </c>
    </row>
    <row r="13902" spans="1:24">
      <c r="A13902">
        <f>HYPERLINK("https://www.philgeps.gov.ph/GEPSNONPILOT/Tender/SplashBidNoticeAbstractUI.aspx?menuIndex=3&amp;refID=7023992&amp;Result=3","7023992")</f>
        <v>0</v>
      </c>
      <c r="B13902" t="s">
        <v>3368</v>
      </c>
      <c r="C13902" t="s">
        <v>16742</v>
      </c>
      <c r="D13902" t="s">
        <v>18831</v>
      </c>
      <c r="E13902" t="s">
        <v>24366</v>
      </c>
      <c r="F13902" t="s">
        <v>32664</v>
      </c>
      <c r="G13902" t="s">
        <v>32672</v>
      </c>
      <c r="H13902" t="s">
        <v>12635</v>
      </c>
      <c r="I13902" t="s">
        <v>32696</v>
      </c>
      <c r="J13902" t="s">
        <v>33058</v>
      </c>
      <c r="K13902" t="s">
        <v>42281</v>
      </c>
      <c r="M13902" t="s">
        <v>46327</v>
      </c>
      <c r="N13902" t="s">
        <v>46569</v>
      </c>
      <c r="O13902" t="s">
        <v>46570</v>
      </c>
      <c r="P13902">
        <v>0</v>
      </c>
      <c r="Q13902">
        <v>1</v>
      </c>
      <c r="R13902" t="s">
        <v>46587</v>
      </c>
      <c r="S13902" t="s">
        <v>47373</v>
      </c>
      <c r="T13902" t="s">
        <v>48283</v>
      </c>
      <c r="U13902" t="s">
        <v>59937</v>
      </c>
      <c r="V13902" t="s">
        <v>63160</v>
      </c>
      <c r="W13902" t="s">
        <v>46327</v>
      </c>
      <c r="X13902" t="s">
        <v>46594</v>
      </c>
    </row>
    <row r="13903" spans="1:24">
      <c r="A13903">
        <f>HYPERLINK("https://www.philgeps.gov.ph/GEPSNONPILOT/Tender/SplashBidNoticeAbstractUI.aspx?menuIndex=3&amp;refID=7025391&amp;Result=3","7025391")</f>
        <v>0</v>
      </c>
      <c r="B13903" t="s">
        <v>1664</v>
      </c>
      <c r="C13903" t="s">
        <v>16743</v>
      </c>
      <c r="D13903" t="s">
        <v>18838</v>
      </c>
      <c r="E13903" t="s">
        <v>30840</v>
      </c>
      <c r="F13903" t="s">
        <v>32664</v>
      </c>
      <c r="G13903" t="s">
        <v>32672</v>
      </c>
      <c r="H13903" t="s">
        <v>32683</v>
      </c>
      <c r="I13903" t="s">
        <v>10627</v>
      </c>
      <c r="J13903" t="s">
        <v>41082</v>
      </c>
      <c r="K13903" t="s">
        <v>42467</v>
      </c>
      <c r="M13903" t="s">
        <v>44350</v>
      </c>
      <c r="N13903" t="s">
        <v>46569</v>
      </c>
      <c r="O13903" t="s">
        <v>46570</v>
      </c>
      <c r="Q13903">
        <v>11</v>
      </c>
      <c r="R13903" t="s">
        <v>46587</v>
      </c>
      <c r="S13903" t="s">
        <v>47374</v>
      </c>
      <c r="T13903" t="s">
        <v>48283</v>
      </c>
      <c r="U13903" t="s">
        <v>59938</v>
      </c>
      <c r="V13903" t="s">
        <v>63161</v>
      </c>
      <c r="W13903" t="s">
        <v>44350</v>
      </c>
      <c r="X13903" t="s">
        <v>46593</v>
      </c>
    </row>
    <row r="13904" spans="1:24">
      <c r="A13904">
        <f>HYPERLINK("https://www.philgeps.gov.ph/GEPSNONPILOT/Tender/SplashBidNoticeAbstractUI.aspx?menuIndex=3&amp;refID=7025638&amp;Result=3","7025638")</f>
        <v>0</v>
      </c>
      <c r="B13904" t="s">
        <v>3369</v>
      </c>
      <c r="C13904" t="s">
        <v>16744</v>
      </c>
      <c r="D13904" t="s">
        <v>18839</v>
      </c>
      <c r="E13904" t="s">
        <v>30841</v>
      </c>
      <c r="F13904" t="s">
        <v>32664</v>
      </c>
      <c r="G13904" t="s">
        <v>32672</v>
      </c>
      <c r="H13904" t="s">
        <v>12635</v>
      </c>
      <c r="I13904" t="s">
        <v>32694</v>
      </c>
      <c r="J13904" t="s">
        <v>41083</v>
      </c>
      <c r="K13904" t="s">
        <v>42325</v>
      </c>
      <c r="M13904" t="s">
        <v>46328</v>
      </c>
      <c r="N13904" t="s">
        <v>46569</v>
      </c>
      <c r="O13904" t="s">
        <v>46570</v>
      </c>
      <c r="P13904">
        <v>0</v>
      </c>
      <c r="Q13904">
        <v>1</v>
      </c>
      <c r="R13904" t="s">
        <v>46587</v>
      </c>
      <c r="S13904" t="s">
        <v>47373</v>
      </c>
      <c r="T13904" t="s">
        <v>48221</v>
      </c>
      <c r="U13904" t="s">
        <v>59939</v>
      </c>
      <c r="W13904" t="s">
        <v>63594</v>
      </c>
      <c r="X13904" t="s">
        <v>46593</v>
      </c>
    </row>
    <row r="13905" spans="1:24">
      <c r="A13905">
        <f>HYPERLINK("https://www.philgeps.gov.ph/GEPSNONPILOT/Tender/SplashBidNoticeAbstractUI.aspx?menuIndex=3&amp;refID=7028972&amp;Result=3","7028972")</f>
        <v>0</v>
      </c>
      <c r="B13905" t="s">
        <v>3084</v>
      </c>
      <c r="C13905" t="s">
        <v>16745</v>
      </c>
      <c r="E13905" t="s">
        <v>30842</v>
      </c>
      <c r="F13905" t="s">
        <v>32664</v>
      </c>
      <c r="G13905" t="s">
        <v>32672</v>
      </c>
      <c r="H13905" t="s">
        <v>12635</v>
      </c>
      <c r="I13905" t="s">
        <v>10370</v>
      </c>
      <c r="J13905" t="s">
        <v>41084</v>
      </c>
      <c r="K13905" t="s">
        <v>42283</v>
      </c>
      <c r="M13905" t="s">
        <v>45970</v>
      </c>
      <c r="N13905" t="s">
        <v>46569</v>
      </c>
      <c r="O13905" t="s">
        <v>46570</v>
      </c>
      <c r="Q13905">
        <v>18</v>
      </c>
      <c r="R13905" t="s">
        <v>46587</v>
      </c>
      <c r="S13905" t="s">
        <v>47375</v>
      </c>
      <c r="T13905" t="s">
        <v>48283</v>
      </c>
      <c r="U13905" t="s">
        <v>59940</v>
      </c>
      <c r="W13905" t="s">
        <v>63584</v>
      </c>
      <c r="X13905" t="s">
        <v>46592</v>
      </c>
    </row>
    <row r="13906" spans="1:24">
      <c r="A13906">
        <f>HYPERLINK("https://www.philgeps.gov.ph/GEPSNONPILOT/Tender/SplashBidNoticeAbstractUI.aspx?menuIndex=3&amp;refID=7037311&amp;Result=3","7037311")</f>
        <v>0</v>
      </c>
      <c r="B13906" t="s">
        <v>1104</v>
      </c>
      <c r="C13906" t="s">
        <v>16746</v>
      </c>
      <c r="D13906" t="s">
        <v>18830</v>
      </c>
      <c r="E13906" t="s">
        <v>30843</v>
      </c>
      <c r="F13906" t="s">
        <v>32664</v>
      </c>
      <c r="G13906" t="s">
        <v>32672</v>
      </c>
      <c r="H13906" t="s">
        <v>32683</v>
      </c>
      <c r="I13906" t="s">
        <v>10627</v>
      </c>
      <c r="J13906" t="s">
        <v>32981</v>
      </c>
      <c r="K13906" t="s">
        <v>42283</v>
      </c>
      <c r="M13906" t="s">
        <v>43731</v>
      </c>
      <c r="N13906" t="s">
        <v>46569</v>
      </c>
      <c r="O13906" t="s">
        <v>46570</v>
      </c>
      <c r="P13906">
        <v>0</v>
      </c>
      <c r="Q13906">
        <v>0</v>
      </c>
      <c r="R13906" t="s">
        <v>46586</v>
      </c>
      <c r="S13906" t="s">
        <v>47252</v>
      </c>
      <c r="T13906" t="s">
        <v>48285</v>
      </c>
      <c r="U13906" t="s">
        <v>59941</v>
      </c>
      <c r="W13906" t="s">
        <v>43731</v>
      </c>
      <c r="X13906" t="s">
        <v>46587</v>
      </c>
    </row>
    <row r="13907" spans="1:24">
      <c r="A13907">
        <f>HYPERLINK("https://www.philgeps.gov.ph/GEPSNONPILOT/Tender/SplashBidNoticeAbstractUI.aspx?menuIndex=3&amp;refID=7028925&amp;Result=3","7028925")</f>
        <v>0</v>
      </c>
      <c r="B13907" t="s">
        <v>1108</v>
      </c>
      <c r="C13907" t="s">
        <v>16747</v>
      </c>
      <c r="D13907" t="s">
        <v>18796</v>
      </c>
      <c r="E13907" t="s">
        <v>30844</v>
      </c>
      <c r="F13907" t="s">
        <v>32664</v>
      </c>
      <c r="G13907" t="s">
        <v>32672</v>
      </c>
      <c r="H13907" t="s">
        <v>32683</v>
      </c>
      <c r="I13907" t="s">
        <v>10627</v>
      </c>
      <c r="J13907" t="s">
        <v>41085</v>
      </c>
      <c r="K13907" t="s">
        <v>42285</v>
      </c>
      <c r="M13907" t="s">
        <v>43735</v>
      </c>
      <c r="N13907" t="s">
        <v>46569</v>
      </c>
      <c r="O13907" t="s">
        <v>46570</v>
      </c>
      <c r="P13907">
        <v>0</v>
      </c>
      <c r="Q13907">
        <v>6</v>
      </c>
      <c r="R13907" t="s">
        <v>46587</v>
      </c>
      <c r="S13907" t="s">
        <v>47373</v>
      </c>
      <c r="T13907" t="s">
        <v>48221</v>
      </c>
      <c r="U13907" t="s">
        <v>51113</v>
      </c>
      <c r="V13907" t="s">
        <v>63162</v>
      </c>
      <c r="W13907" t="s">
        <v>43735</v>
      </c>
      <c r="X13907" t="s">
        <v>46592</v>
      </c>
    </row>
    <row r="13908" spans="1:24">
      <c r="A13908">
        <f>HYPERLINK("https://www.philgeps.gov.ph/GEPSNONPILOT/Tender/SplashBidNoticeAbstractUI.aspx?menuIndex=3&amp;refID=7037432&amp;Result=3","7037432")</f>
        <v>0</v>
      </c>
      <c r="B13908" t="s">
        <v>1734</v>
      </c>
      <c r="C13908" t="s">
        <v>16748</v>
      </c>
      <c r="D13908" t="s">
        <v>18789</v>
      </c>
      <c r="E13908" t="s">
        <v>30845</v>
      </c>
      <c r="F13908" t="s">
        <v>32664</v>
      </c>
      <c r="G13908" t="s">
        <v>32672</v>
      </c>
      <c r="H13908" t="s">
        <v>12635</v>
      </c>
      <c r="I13908" t="s">
        <v>6628</v>
      </c>
      <c r="J13908" t="s">
        <v>36502</v>
      </c>
      <c r="K13908" t="s">
        <v>42283</v>
      </c>
      <c r="M13908" t="s">
        <v>46229</v>
      </c>
      <c r="N13908" t="s">
        <v>46569</v>
      </c>
      <c r="O13908" t="s">
        <v>46570</v>
      </c>
      <c r="Q13908">
        <v>9</v>
      </c>
      <c r="R13908" t="s">
        <v>46586</v>
      </c>
      <c r="S13908" t="s">
        <v>47376</v>
      </c>
      <c r="T13908" t="s">
        <v>48410</v>
      </c>
      <c r="U13908" t="s">
        <v>59942</v>
      </c>
      <c r="W13908" t="s">
        <v>46229</v>
      </c>
      <c r="X13908" t="s">
        <v>46587</v>
      </c>
    </row>
    <row r="13909" spans="1:24">
      <c r="A13909">
        <f>HYPERLINK("https://www.philgeps.gov.ph/GEPSNONPILOT/Tender/SplashBidNoticeAbstractUI.aspx?menuIndex=3&amp;refID=7028570&amp;Result=3","7028570")</f>
        <v>0</v>
      </c>
      <c r="B13909" t="s">
        <v>117</v>
      </c>
      <c r="C13909" t="s">
        <v>16749</v>
      </c>
      <c r="D13909" t="s">
        <v>18799</v>
      </c>
      <c r="E13909" t="s">
        <v>16749</v>
      </c>
      <c r="F13909" t="s">
        <v>32664</v>
      </c>
      <c r="G13909" t="s">
        <v>32672</v>
      </c>
      <c r="H13909" t="s">
        <v>32683</v>
      </c>
      <c r="I13909" t="s">
        <v>32758</v>
      </c>
      <c r="J13909" t="s">
        <v>41086</v>
      </c>
      <c r="K13909" t="s">
        <v>42283</v>
      </c>
      <c r="M13909" t="s">
        <v>46055</v>
      </c>
      <c r="N13909" t="s">
        <v>46569</v>
      </c>
      <c r="O13909" t="s">
        <v>46570</v>
      </c>
      <c r="P13909">
        <v>0</v>
      </c>
      <c r="Q13909">
        <v>1</v>
      </c>
      <c r="R13909" t="s">
        <v>46587</v>
      </c>
      <c r="S13909" t="s">
        <v>47373</v>
      </c>
      <c r="T13909" t="s">
        <v>48249</v>
      </c>
      <c r="U13909" t="s">
        <v>59943</v>
      </c>
      <c r="W13909" t="s">
        <v>46055</v>
      </c>
      <c r="X13909" t="s">
        <v>46592</v>
      </c>
    </row>
    <row r="13910" spans="1:24">
      <c r="A13910">
        <f>HYPERLINK("https://www.philgeps.gov.ph/GEPSNONPILOT/Tender/SplashBidNoticeAbstractUI.aspx?menuIndex=3&amp;refID=7037410&amp;Result=3","7037410")</f>
        <v>0</v>
      </c>
      <c r="B13910" t="s">
        <v>3110</v>
      </c>
      <c r="C13910" t="s">
        <v>16750</v>
      </c>
      <c r="D13910" t="s">
        <v>18810</v>
      </c>
      <c r="E13910" t="s">
        <v>19581</v>
      </c>
      <c r="F13910" t="s">
        <v>32664</v>
      </c>
      <c r="G13910" t="s">
        <v>32672</v>
      </c>
      <c r="H13910" t="s">
        <v>32683</v>
      </c>
      <c r="I13910" t="s">
        <v>10627</v>
      </c>
      <c r="J13910" t="s">
        <v>33858</v>
      </c>
      <c r="K13910" t="s">
        <v>42290</v>
      </c>
      <c r="M13910" t="s">
        <v>46000</v>
      </c>
      <c r="N13910" t="s">
        <v>46569</v>
      </c>
      <c r="O13910" t="s">
        <v>46570</v>
      </c>
      <c r="P13910">
        <v>0</v>
      </c>
      <c r="Q13910">
        <v>1</v>
      </c>
      <c r="R13910" t="s">
        <v>46586</v>
      </c>
      <c r="S13910" t="s">
        <v>47252</v>
      </c>
      <c r="T13910" t="s">
        <v>48268</v>
      </c>
      <c r="U13910" t="s">
        <v>59944</v>
      </c>
      <c r="V13910" t="s">
        <v>61668</v>
      </c>
      <c r="W13910" t="s">
        <v>46000</v>
      </c>
      <c r="X13910" t="s">
        <v>46587</v>
      </c>
    </row>
    <row r="13911" spans="1:24">
      <c r="A13911">
        <f>HYPERLINK("https://www.philgeps.gov.ph/GEPSNONPILOT/Tender/SplashBidNoticeAbstractUI.aspx?menuIndex=3&amp;refID=7027756&amp;Result=3","7027756")</f>
        <v>0</v>
      </c>
      <c r="B13911" t="s">
        <v>1090</v>
      </c>
      <c r="C13911" t="s">
        <v>16751</v>
      </c>
      <c r="D13911" t="s">
        <v>18860</v>
      </c>
      <c r="E13911" t="s">
        <v>30846</v>
      </c>
      <c r="F13911" t="s">
        <v>32664</v>
      </c>
      <c r="G13911" t="s">
        <v>32672</v>
      </c>
      <c r="H13911" t="s">
        <v>32683</v>
      </c>
      <c r="I13911" t="s">
        <v>10627</v>
      </c>
      <c r="J13911" t="s">
        <v>41087</v>
      </c>
      <c r="K13911" t="s">
        <v>42357</v>
      </c>
      <c r="M13911" t="s">
        <v>46053</v>
      </c>
      <c r="N13911" t="s">
        <v>46569</v>
      </c>
      <c r="O13911" t="s">
        <v>46570</v>
      </c>
      <c r="P13911">
        <v>0</v>
      </c>
      <c r="Q13911">
        <v>0</v>
      </c>
      <c r="R13911" t="s">
        <v>46587</v>
      </c>
      <c r="S13911" t="s">
        <v>47373</v>
      </c>
      <c r="T13911" t="s">
        <v>48285</v>
      </c>
      <c r="U13911" t="s">
        <v>59945</v>
      </c>
      <c r="W13911" t="s">
        <v>46053</v>
      </c>
      <c r="X13911" t="s">
        <v>46592</v>
      </c>
    </row>
    <row r="13912" spans="1:24">
      <c r="A13912">
        <f>HYPERLINK("https://www.philgeps.gov.ph/GEPSNONPILOT/Tender/SplashBidNoticeAbstractUI.aspx?menuIndex=3&amp;refID=7028865&amp;Result=3","7028865")</f>
        <v>0</v>
      </c>
      <c r="B13912" t="s">
        <v>1108</v>
      </c>
      <c r="C13912" t="s">
        <v>16752</v>
      </c>
      <c r="D13912" t="s">
        <v>18796</v>
      </c>
      <c r="E13912" t="s">
        <v>30847</v>
      </c>
      <c r="F13912" t="s">
        <v>32664</v>
      </c>
      <c r="G13912" t="s">
        <v>32672</v>
      </c>
      <c r="H13912" t="s">
        <v>32683</v>
      </c>
      <c r="I13912" t="s">
        <v>10627</v>
      </c>
      <c r="J13912" t="s">
        <v>41088</v>
      </c>
      <c r="K13912" t="s">
        <v>42405</v>
      </c>
      <c r="M13912" t="s">
        <v>43735</v>
      </c>
      <c r="N13912" t="s">
        <v>46569</v>
      </c>
      <c r="O13912" t="s">
        <v>46570</v>
      </c>
      <c r="P13912">
        <v>0</v>
      </c>
      <c r="Q13912">
        <v>3</v>
      </c>
      <c r="R13912" t="s">
        <v>46587</v>
      </c>
      <c r="S13912" t="s">
        <v>47373</v>
      </c>
      <c r="T13912" t="s">
        <v>48221</v>
      </c>
      <c r="U13912" t="s">
        <v>51113</v>
      </c>
      <c r="V13912" t="s">
        <v>63163</v>
      </c>
      <c r="W13912" t="s">
        <v>43735</v>
      </c>
      <c r="X13912" t="s">
        <v>46592</v>
      </c>
    </row>
    <row r="13913" spans="1:24">
      <c r="A13913">
        <f>HYPERLINK("https://www.philgeps.gov.ph/GEPSNONPILOT/Tender/SplashBidNoticeAbstractUI.aspx?menuIndex=3&amp;refID=7028600&amp;Result=3","7028600")</f>
        <v>0</v>
      </c>
      <c r="B13913" t="s">
        <v>117</v>
      </c>
      <c r="C13913" t="s">
        <v>16753</v>
      </c>
      <c r="D13913" t="s">
        <v>18799</v>
      </c>
      <c r="E13913" t="s">
        <v>16753</v>
      </c>
      <c r="F13913" t="s">
        <v>32664</v>
      </c>
      <c r="G13913" t="s">
        <v>32672</v>
      </c>
      <c r="H13913" t="s">
        <v>32683</v>
      </c>
      <c r="I13913" t="s">
        <v>32758</v>
      </c>
      <c r="J13913" t="s">
        <v>41089</v>
      </c>
      <c r="K13913" t="s">
        <v>42283</v>
      </c>
      <c r="M13913" t="s">
        <v>46055</v>
      </c>
      <c r="N13913" t="s">
        <v>46569</v>
      </c>
      <c r="O13913" t="s">
        <v>46570</v>
      </c>
      <c r="P13913">
        <v>0</v>
      </c>
      <c r="Q13913">
        <v>1</v>
      </c>
      <c r="R13913" t="s">
        <v>46587</v>
      </c>
      <c r="S13913" t="s">
        <v>47373</v>
      </c>
      <c r="T13913" t="s">
        <v>48249</v>
      </c>
      <c r="U13913" t="s">
        <v>59943</v>
      </c>
      <c r="W13913" t="s">
        <v>46055</v>
      </c>
      <c r="X13913" t="s">
        <v>46592</v>
      </c>
    </row>
    <row r="13914" spans="1:24">
      <c r="A13914">
        <f>HYPERLINK("https://www.philgeps.gov.ph/GEPSNONPILOT/Tender/SplashBidNoticeAbstractUI.aspx?menuIndex=3&amp;refID=7027579&amp;Result=3","7027579")</f>
        <v>0</v>
      </c>
      <c r="B13914" t="s">
        <v>1090</v>
      </c>
      <c r="C13914" t="s">
        <v>16754</v>
      </c>
      <c r="D13914" t="s">
        <v>18860</v>
      </c>
      <c r="E13914" t="s">
        <v>30848</v>
      </c>
      <c r="F13914" t="s">
        <v>32664</v>
      </c>
      <c r="G13914" t="s">
        <v>32672</v>
      </c>
      <c r="H13914" t="s">
        <v>32683</v>
      </c>
      <c r="I13914" t="s">
        <v>10627</v>
      </c>
      <c r="J13914" t="s">
        <v>41090</v>
      </c>
      <c r="K13914" t="s">
        <v>42337</v>
      </c>
      <c r="M13914" t="s">
        <v>46053</v>
      </c>
      <c r="N13914" t="s">
        <v>46569</v>
      </c>
      <c r="O13914" t="s">
        <v>46570</v>
      </c>
      <c r="P13914">
        <v>0</v>
      </c>
      <c r="Q13914">
        <v>1</v>
      </c>
      <c r="R13914" t="s">
        <v>46587</v>
      </c>
      <c r="S13914" t="s">
        <v>47373</v>
      </c>
      <c r="T13914" t="s">
        <v>48285</v>
      </c>
      <c r="U13914" t="s">
        <v>59946</v>
      </c>
      <c r="W13914" t="s">
        <v>46053</v>
      </c>
      <c r="X13914" t="s">
        <v>46592</v>
      </c>
    </row>
    <row r="13915" spans="1:24">
      <c r="A13915">
        <f>HYPERLINK("https://www.philgeps.gov.ph/GEPSNONPILOT/Tender/SplashBidNoticeAbstractUI.aspx?menuIndex=3&amp;refID=7027399&amp;Result=3","7027399")</f>
        <v>0</v>
      </c>
      <c r="B13915" t="s">
        <v>1664</v>
      </c>
      <c r="C13915" t="s">
        <v>16755</v>
      </c>
      <c r="D13915" t="s">
        <v>18838</v>
      </c>
      <c r="E13915" t="s">
        <v>30849</v>
      </c>
      <c r="F13915" t="s">
        <v>32664</v>
      </c>
      <c r="G13915" t="s">
        <v>32673</v>
      </c>
      <c r="H13915" t="s">
        <v>12635</v>
      </c>
      <c r="I13915" t="s">
        <v>6628</v>
      </c>
      <c r="J13915" t="s">
        <v>41091</v>
      </c>
      <c r="K13915" t="s">
        <v>42281</v>
      </c>
      <c r="M13915" t="s">
        <v>45867</v>
      </c>
      <c r="N13915" t="s">
        <v>46569</v>
      </c>
      <c r="O13915" t="s">
        <v>46570</v>
      </c>
      <c r="P13915">
        <v>0</v>
      </c>
      <c r="Q13915">
        <v>8</v>
      </c>
      <c r="R13915" t="s">
        <v>46587</v>
      </c>
      <c r="S13915" t="s">
        <v>47373</v>
      </c>
      <c r="T13915" t="s">
        <v>48283</v>
      </c>
      <c r="U13915" t="s">
        <v>59947</v>
      </c>
      <c r="V13915" t="s">
        <v>63164</v>
      </c>
      <c r="W13915" t="s">
        <v>45867</v>
      </c>
      <c r="X13915" t="s">
        <v>46592</v>
      </c>
    </row>
    <row r="13916" spans="1:24">
      <c r="A13916">
        <f>HYPERLINK("https://www.philgeps.gov.ph/GEPSNONPILOT/Tender/SplashBidNoticeAbstractUI.aspx?menuIndex=3&amp;refID=7027358&amp;Result=3","7027358")</f>
        <v>0</v>
      </c>
      <c r="B13916" t="s">
        <v>1013</v>
      </c>
      <c r="C13916" t="s">
        <v>16756</v>
      </c>
      <c r="D13916" t="s">
        <v>18786</v>
      </c>
      <c r="E13916" t="s">
        <v>30850</v>
      </c>
      <c r="F13916" t="s">
        <v>32664</v>
      </c>
      <c r="G13916" t="s">
        <v>32672</v>
      </c>
      <c r="H13916" t="s">
        <v>32683</v>
      </c>
      <c r="I13916" t="s">
        <v>10627</v>
      </c>
      <c r="J13916" t="s">
        <v>41092</v>
      </c>
      <c r="K13916" t="s">
        <v>42296</v>
      </c>
      <c r="M13916" t="s">
        <v>43662</v>
      </c>
      <c r="N13916" t="s">
        <v>46569</v>
      </c>
      <c r="O13916" t="s">
        <v>46570</v>
      </c>
      <c r="P13916">
        <v>0</v>
      </c>
      <c r="Q13916">
        <v>0</v>
      </c>
      <c r="R13916" t="s">
        <v>46587</v>
      </c>
      <c r="S13916" t="s">
        <v>47373</v>
      </c>
      <c r="T13916" t="s">
        <v>48226</v>
      </c>
      <c r="U13916" t="s">
        <v>59948</v>
      </c>
      <c r="V13916" t="s">
        <v>61882</v>
      </c>
      <c r="W13916" t="s">
        <v>43662</v>
      </c>
      <c r="X13916" t="s">
        <v>46592</v>
      </c>
    </row>
    <row r="13917" spans="1:24">
      <c r="A13917">
        <f>HYPERLINK("https://www.philgeps.gov.ph/GEPSNONPILOT/Tender/SplashBidNoticeAbstractUI.aspx?menuIndex=3&amp;refID=7024470&amp;Result=3","7024470")</f>
        <v>0</v>
      </c>
      <c r="B13917" t="s">
        <v>684</v>
      </c>
      <c r="C13917" t="s">
        <v>16757</v>
      </c>
      <c r="E13917" t="s">
        <v>30851</v>
      </c>
      <c r="F13917" t="s">
        <v>32664</v>
      </c>
      <c r="G13917" t="s">
        <v>32672</v>
      </c>
      <c r="H13917" t="s">
        <v>12635</v>
      </c>
      <c r="I13917" t="s">
        <v>9486</v>
      </c>
      <c r="J13917" t="s">
        <v>41093</v>
      </c>
      <c r="K13917" t="s">
        <v>42283</v>
      </c>
      <c r="M13917" t="s">
        <v>45394</v>
      </c>
      <c r="N13917" t="s">
        <v>46569</v>
      </c>
      <c r="O13917" t="s">
        <v>46570</v>
      </c>
      <c r="P13917">
        <v>0</v>
      </c>
      <c r="Q13917">
        <v>1</v>
      </c>
      <c r="R13917" t="s">
        <v>46587</v>
      </c>
      <c r="S13917" t="s">
        <v>47373</v>
      </c>
      <c r="T13917" t="s">
        <v>48228</v>
      </c>
      <c r="U13917" t="s">
        <v>59949</v>
      </c>
      <c r="W13917" t="s">
        <v>45394</v>
      </c>
      <c r="X13917" t="s">
        <v>46593</v>
      </c>
    </row>
    <row r="13918" spans="1:24">
      <c r="A13918">
        <f>HYPERLINK("https://www.philgeps.gov.ph/GEPSNONPILOT/Tender/SplashBidNoticeAbstractUI.aspx?menuIndex=3&amp;refID=7027341&amp;Result=3","7027341")</f>
        <v>0</v>
      </c>
      <c r="B13918" t="s">
        <v>1013</v>
      </c>
      <c r="C13918" t="s">
        <v>16758</v>
      </c>
      <c r="D13918" t="s">
        <v>18786</v>
      </c>
      <c r="E13918" t="s">
        <v>30852</v>
      </c>
      <c r="F13918" t="s">
        <v>32664</v>
      </c>
      <c r="G13918" t="s">
        <v>32672</v>
      </c>
      <c r="H13918" t="s">
        <v>32683</v>
      </c>
      <c r="I13918" t="s">
        <v>10627</v>
      </c>
      <c r="J13918" t="s">
        <v>41094</v>
      </c>
      <c r="K13918" t="s">
        <v>42296</v>
      </c>
      <c r="M13918" t="s">
        <v>43662</v>
      </c>
      <c r="N13918" t="s">
        <v>46569</v>
      </c>
      <c r="O13918" t="s">
        <v>46570</v>
      </c>
      <c r="P13918">
        <v>0</v>
      </c>
      <c r="Q13918">
        <v>0</v>
      </c>
      <c r="R13918" t="s">
        <v>46587</v>
      </c>
      <c r="S13918" t="s">
        <v>47373</v>
      </c>
      <c r="T13918" t="s">
        <v>48226</v>
      </c>
      <c r="U13918" t="s">
        <v>59950</v>
      </c>
      <c r="V13918" t="s">
        <v>61882</v>
      </c>
      <c r="W13918" t="s">
        <v>43662</v>
      </c>
      <c r="X13918" t="s">
        <v>46592</v>
      </c>
    </row>
    <row r="13919" spans="1:24">
      <c r="A13919">
        <f>HYPERLINK("https://www.philgeps.gov.ph/GEPSNONPILOT/Tender/SplashBidNoticeAbstractUI.aspx?menuIndex=3&amp;refID=7027266&amp;Result=3","7027266")</f>
        <v>0</v>
      </c>
      <c r="B13919" t="s">
        <v>1664</v>
      </c>
      <c r="C13919" t="s">
        <v>16759</v>
      </c>
      <c r="D13919" t="s">
        <v>18838</v>
      </c>
      <c r="E13919" t="s">
        <v>30853</v>
      </c>
      <c r="F13919" t="s">
        <v>32664</v>
      </c>
      <c r="G13919" t="s">
        <v>32673</v>
      </c>
      <c r="H13919" t="s">
        <v>12635</v>
      </c>
      <c r="I13919" t="s">
        <v>32689</v>
      </c>
      <c r="J13919" t="s">
        <v>41095</v>
      </c>
      <c r="K13919" t="s">
        <v>42281</v>
      </c>
      <c r="M13919" t="s">
        <v>45867</v>
      </c>
      <c r="N13919" t="s">
        <v>46569</v>
      </c>
      <c r="O13919" t="s">
        <v>46570</v>
      </c>
      <c r="P13919">
        <v>0</v>
      </c>
      <c r="Q13919">
        <v>11</v>
      </c>
      <c r="R13919" t="s">
        <v>46587</v>
      </c>
      <c r="S13919" t="s">
        <v>47373</v>
      </c>
      <c r="T13919" t="s">
        <v>48283</v>
      </c>
      <c r="U13919" t="s">
        <v>59951</v>
      </c>
      <c r="V13919" t="s">
        <v>63164</v>
      </c>
      <c r="W13919" t="s">
        <v>45867</v>
      </c>
      <c r="X13919" t="s">
        <v>46592</v>
      </c>
    </row>
    <row r="13920" spans="1:24">
      <c r="A13920">
        <f>HYPERLINK("https://www.philgeps.gov.ph/GEPSNONPILOT/Tender/SplashBidNoticeAbstractUI.aspx?menuIndex=3&amp;refID=7027194&amp;Result=3","7027194")</f>
        <v>0</v>
      </c>
      <c r="B13920" t="s">
        <v>684</v>
      </c>
      <c r="C13920" t="s">
        <v>16760</v>
      </c>
      <c r="E13920" t="s">
        <v>30854</v>
      </c>
      <c r="F13920" t="s">
        <v>32664</v>
      </c>
      <c r="G13920" t="s">
        <v>32672</v>
      </c>
      <c r="H13920" t="s">
        <v>12635</v>
      </c>
      <c r="I13920" t="s">
        <v>32712</v>
      </c>
      <c r="J13920" t="s">
        <v>41096</v>
      </c>
      <c r="K13920" t="s">
        <v>42283</v>
      </c>
      <c r="M13920" t="s">
        <v>45394</v>
      </c>
      <c r="N13920" t="s">
        <v>46569</v>
      </c>
      <c r="O13920" t="s">
        <v>46570</v>
      </c>
      <c r="Q13920">
        <v>3</v>
      </c>
      <c r="R13920" t="s">
        <v>46587</v>
      </c>
      <c r="S13920" t="s">
        <v>47377</v>
      </c>
      <c r="T13920" t="s">
        <v>48228</v>
      </c>
      <c r="U13920" t="s">
        <v>59952</v>
      </c>
      <c r="W13920" t="s">
        <v>45394</v>
      </c>
      <c r="X13920" t="s">
        <v>46592</v>
      </c>
    </row>
    <row r="13921" spans="1:24">
      <c r="A13921">
        <f>HYPERLINK("https://www.philgeps.gov.ph/GEPSNONPILOT/Tender/SplashBidNoticeAbstractUI.aspx?menuIndex=3&amp;refID=7026258&amp;Result=3","7026258")</f>
        <v>0</v>
      </c>
      <c r="B13921" t="s">
        <v>684</v>
      </c>
      <c r="C13921" t="s">
        <v>16761</v>
      </c>
      <c r="E13921" t="s">
        <v>30855</v>
      </c>
      <c r="F13921" t="s">
        <v>32664</v>
      </c>
      <c r="G13921" t="s">
        <v>32672</v>
      </c>
      <c r="H13921" t="s">
        <v>12635</v>
      </c>
      <c r="I13921" t="s">
        <v>9486</v>
      </c>
      <c r="J13921" t="s">
        <v>41097</v>
      </c>
      <c r="K13921" t="s">
        <v>42283</v>
      </c>
      <c r="M13921" t="s">
        <v>45394</v>
      </c>
      <c r="N13921" t="s">
        <v>46569</v>
      </c>
      <c r="O13921" t="s">
        <v>46570</v>
      </c>
      <c r="P13921">
        <v>0</v>
      </c>
      <c r="Q13921">
        <v>0</v>
      </c>
      <c r="R13921" t="s">
        <v>46587</v>
      </c>
      <c r="S13921" t="s">
        <v>47373</v>
      </c>
      <c r="T13921" t="s">
        <v>48228</v>
      </c>
      <c r="U13921" t="s">
        <v>59953</v>
      </c>
      <c r="W13921" t="s">
        <v>45394</v>
      </c>
      <c r="X13921" t="s">
        <v>46593</v>
      </c>
    </row>
    <row r="13922" spans="1:24">
      <c r="A13922">
        <f>HYPERLINK("https://www.philgeps.gov.ph/GEPSNONPILOT/Tender/SplashBidNoticeAbstractUI.aspx?menuIndex=3&amp;refID=7024022&amp;Result=3","7024022")</f>
        <v>0</v>
      </c>
      <c r="B13922" t="s">
        <v>3368</v>
      </c>
      <c r="C13922" t="s">
        <v>16762</v>
      </c>
      <c r="D13922" t="s">
        <v>18792</v>
      </c>
      <c r="E13922" t="s">
        <v>25046</v>
      </c>
      <c r="F13922" t="s">
        <v>32664</v>
      </c>
      <c r="G13922" t="s">
        <v>32672</v>
      </c>
      <c r="H13922" t="s">
        <v>12635</v>
      </c>
      <c r="I13922" t="s">
        <v>6223</v>
      </c>
      <c r="J13922" t="s">
        <v>41098</v>
      </c>
      <c r="K13922" t="s">
        <v>42281</v>
      </c>
      <c r="M13922" t="s">
        <v>46327</v>
      </c>
      <c r="N13922" t="s">
        <v>46569</v>
      </c>
      <c r="O13922" t="s">
        <v>46570</v>
      </c>
      <c r="P13922">
        <v>0</v>
      </c>
      <c r="Q13922">
        <v>0</v>
      </c>
      <c r="R13922" t="s">
        <v>46587</v>
      </c>
      <c r="S13922" t="s">
        <v>47373</v>
      </c>
      <c r="T13922" t="s">
        <v>48283</v>
      </c>
      <c r="U13922" t="s">
        <v>59954</v>
      </c>
      <c r="V13922" t="s">
        <v>63160</v>
      </c>
      <c r="W13922" t="s">
        <v>46327</v>
      </c>
      <c r="X13922" t="s">
        <v>46594</v>
      </c>
    </row>
    <row r="13923" spans="1:24">
      <c r="A13923">
        <f>HYPERLINK("https://www.philgeps.gov.ph/GEPSNONPILOT/Tender/SplashBidNoticeAbstractUI.aspx?menuIndex=3&amp;refID=7026028&amp;Result=3","7026028")</f>
        <v>0</v>
      </c>
      <c r="B13923" t="s">
        <v>684</v>
      </c>
      <c r="C13923" t="s">
        <v>16763</v>
      </c>
      <c r="E13923" t="s">
        <v>30856</v>
      </c>
      <c r="F13923" t="s">
        <v>32664</v>
      </c>
      <c r="G13923" t="s">
        <v>32672</v>
      </c>
      <c r="H13923" t="s">
        <v>12635</v>
      </c>
      <c r="I13923" t="s">
        <v>9486</v>
      </c>
      <c r="J13923" t="s">
        <v>41099</v>
      </c>
      <c r="K13923" t="s">
        <v>42283</v>
      </c>
      <c r="M13923" t="s">
        <v>45394</v>
      </c>
      <c r="N13923" t="s">
        <v>46569</v>
      </c>
      <c r="O13923" t="s">
        <v>46570</v>
      </c>
      <c r="P13923">
        <v>0</v>
      </c>
      <c r="Q13923">
        <v>0</v>
      </c>
      <c r="R13923" t="s">
        <v>46587</v>
      </c>
      <c r="S13923" t="s">
        <v>47373</v>
      </c>
      <c r="T13923" t="s">
        <v>48228</v>
      </c>
      <c r="U13923" t="s">
        <v>59955</v>
      </c>
      <c r="W13923" t="s">
        <v>45394</v>
      </c>
      <c r="X13923" t="s">
        <v>46593</v>
      </c>
    </row>
    <row r="13924" spans="1:24">
      <c r="A13924">
        <f>HYPERLINK("https://www.philgeps.gov.ph/GEPSNONPILOT/Tender/SplashBidNoticeAbstractUI.aspx?menuIndex=3&amp;refID=7026012&amp;Result=3","7026012")</f>
        <v>0</v>
      </c>
      <c r="B13924" t="s">
        <v>684</v>
      </c>
      <c r="C13924" t="s">
        <v>16764</v>
      </c>
      <c r="E13924" t="s">
        <v>30857</v>
      </c>
      <c r="F13924" t="s">
        <v>32664</v>
      </c>
      <c r="G13924" t="s">
        <v>32672</v>
      </c>
      <c r="H13924" t="s">
        <v>12635</v>
      </c>
      <c r="I13924" t="s">
        <v>9486</v>
      </c>
      <c r="J13924" t="s">
        <v>41100</v>
      </c>
      <c r="K13924" t="s">
        <v>42283</v>
      </c>
      <c r="M13924" t="s">
        <v>45394</v>
      </c>
      <c r="N13924" t="s">
        <v>46569</v>
      </c>
      <c r="O13924" t="s">
        <v>46570</v>
      </c>
      <c r="P13924">
        <v>0</v>
      </c>
      <c r="Q13924">
        <v>0</v>
      </c>
      <c r="R13924" t="s">
        <v>46587</v>
      </c>
      <c r="S13924" t="s">
        <v>47373</v>
      </c>
      <c r="T13924" t="s">
        <v>48228</v>
      </c>
      <c r="U13924" t="s">
        <v>59956</v>
      </c>
      <c r="W13924" t="s">
        <v>45394</v>
      </c>
      <c r="X13924" t="s">
        <v>46593</v>
      </c>
    </row>
    <row r="13925" spans="1:24">
      <c r="A13925">
        <f>HYPERLINK("https://www.philgeps.gov.ph/GEPSNONPILOT/Tender/SplashBidNoticeAbstractUI.aspx?menuIndex=3&amp;refID=7037306&amp;Result=3","7037306")</f>
        <v>0</v>
      </c>
      <c r="B13925" t="s">
        <v>3332</v>
      </c>
      <c r="C13925" t="s">
        <v>16765</v>
      </c>
      <c r="D13925" t="s">
        <v>18843</v>
      </c>
      <c r="E13925" t="s">
        <v>30858</v>
      </c>
      <c r="F13925" t="s">
        <v>32664</v>
      </c>
      <c r="G13925" t="s">
        <v>32672</v>
      </c>
      <c r="H13925" t="s">
        <v>32683</v>
      </c>
      <c r="I13925" t="s">
        <v>10627</v>
      </c>
      <c r="J13925" t="s">
        <v>41101</v>
      </c>
      <c r="K13925" t="s">
        <v>42305</v>
      </c>
      <c r="M13925" t="s">
        <v>46283</v>
      </c>
      <c r="N13925" t="s">
        <v>46569</v>
      </c>
      <c r="O13925" t="s">
        <v>46570</v>
      </c>
      <c r="P13925">
        <v>0</v>
      </c>
      <c r="Q13925">
        <v>3</v>
      </c>
      <c r="R13925" t="s">
        <v>46586</v>
      </c>
      <c r="S13925" t="s">
        <v>47252</v>
      </c>
      <c r="T13925" t="s">
        <v>48226</v>
      </c>
      <c r="U13925" t="s">
        <v>59957</v>
      </c>
      <c r="W13925" t="s">
        <v>46283</v>
      </c>
      <c r="X13925" t="s">
        <v>46587</v>
      </c>
    </row>
    <row r="13926" spans="1:24">
      <c r="A13926">
        <f>HYPERLINK("https://www.philgeps.gov.ph/GEPSNONPILOT/Tender/SplashBidNoticeAbstractUI.aspx?menuIndex=3&amp;refID=7023981&amp;Result=3","7023981")</f>
        <v>0</v>
      </c>
      <c r="B13926" t="s">
        <v>3368</v>
      </c>
      <c r="C13926" t="s">
        <v>16766</v>
      </c>
      <c r="D13926" t="s">
        <v>18831</v>
      </c>
      <c r="E13926" t="s">
        <v>24343</v>
      </c>
      <c r="F13926" t="s">
        <v>32664</v>
      </c>
      <c r="G13926" t="s">
        <v>32672</v>
      </c>
      <c r="H13926" t="s">
        <v>12635</v>
      </c>
      <c r="I13926" t="s">
        <v>32696</v>
      </c>
      <c r="J13926" t="s">
        <v>41102</v>
      </c>
      <c r="K13926" t="s">
        <v>42281</v>
      </c>
      <c r="M13926" t="s">
        <v>46327</v>
      </c>
      <c r="N13926" t="s">
        <v>46569</v>
      </c>
      <c r="O13926" t="s">
        <v>46570</v>
      </c>
      <c r="P13926">
        <v>0</v>
      </c>
      <c r="Q13926">
        <v>0</v>
      </c>
      <c r="R13926" t="s">
        <v>46587</v>
      </c>
      <c r="S13926" t="s">
        <v>47373</v>
      </c>
      <c r="T13926" t="s">
        <v>48283</v>
      </c>
      <c r="U13926" t="s">
        <v>59958</v>
      </c>
      <c r="V13926" t="s">
        <v>63160</v>
      </c>
      <c r="W13926" t="s">
        <v>46327</v>
      </c>
      <c r="X13926" t="s">
        <v>46594</v>
      </c>
    </row>
    <row r="13927" spans="1:24">
      <c r="A13927">
        <f>HYPERLINK("https://www.philgeps.gov.ph/GEPSNONPILOT/Tender/SplashBidNoticeAbstractUI.aspx?menuIndex=3&amp;refID=7027242&amp;Result=3","7027242")</f>
        <v>0</v>
      </c>
      <c r="B13927" t="s">
        <v>1090</v>
      </c>
      <c r="C13927" t="s">
        <v>16767</v>
      </c>
      <c r="D13927" t="s">
        <v>18860</v>
      </c>
      <c r="E13927" t="s">
        <v>30859</v>
      </c>
      <c r="F13927" t="s">
        <v>32664</v>
      </c>
      <c r="G13927" t="s">
        <v>32672</v>
      </c>
      <c r="H13927" t="s">
        <v>32683</v>
      </c>
      <c r="I13927" t="s">
        <v>10627</v>
      </c>
      <c r="J13927" t="s">
        <v>41103</v>
      </c>
      <c r="K13927" t="s">
        <v>42400</v>
      </c>
      <c r="M13927" t="s">
        <v>46053</v>
      </c>
      <c r="N13927" t="s">
        <v>46569</v>
      </c>
      <c r="O13927" t="s">
        <v>46570</v>
      </c>
      <c r="P13927">
        <v>0</v>
      </c>
      <c r="Q13927">
        <v>0</v>
      </c>
      <c r="R13927" t="s">
        <v>46587</v>
      </c>
      <c r="S13927" t="s">
        <v>47373</v>
      </c>
      <c r="T13927" t="s">
        <v>48285</v>
      </c>
      <c r="U13927" t="s">
        <v>59959</v>
      </c>
      <c r="W13927" t="s">
        <v>46053</v>
      </c>
      <c r="X13927" t="s">
        <v>46592</v>
      </c>
    </row>
    <row r="13928" spans="1:24">
      <c r="A13928">
        <f>HYPERLINK("https://www.philgeps.gov.ph/GEPSNONPILOT/Tender/SplashBidNoticeAbstractUI.aspx?menuIndex=3&amp;refID=7021705&amp;Result=3","7021705")</f>
        <v>0</v>
      </c>
      <c r="B13928" t="s">
        <v>1013</v>
      </c>
      <c r="C13928" t="s">
        <v>16768</v>
      </c>
      <c r="D13928" t="s">
        <v>18786</v>
      </c>
      <c r="E13928" t="s">
        <v>30860</v>
      </c>
      <c r="F13928" t="s">
        <v>32664</v>
      </c>
      <c r="G13928" t="s">
        <v>32672</v>
      </c>
      <c r="H13928" t="s">
        <v>32683</v>
      </c>
      <c r="I13928" t="s">
        <v>10627</v>
      </c>
      <c r="J13928" t="s">
        <v>41104</v>
      </c>
      <c r="K13928" t="s">
        <v>42349</v>
      </c>
      <c r="M13928" t="s">
        <v>43662</v>
      </c>
      <c r="N13928" t="s">
        <v>46569</v>
      </c>
      <c r="O13928" t="s">
        <v>46570</v>
      </c>
      <c r="Q13928">
        <v>1</v>
      </c>
      <c r="R13928" t="s">
        <v>46587</v>
      </c>
      <c r="S13928" t="s">
        <v>47378</v>
      </c>
      <c r="T13928" t="s">
        <v>48226</v>
      </c>
      <c r="U13928" t="s">
        <v>59960</v>
      </c>
      <c r="V13928" t="s">
        <v>61882</v>
      </c>
      <c r="W13928" t="s">
        <v>43662</v>
      </c>
      <c r="X13928" t="s">
        <v>46594</v>
      </c>
    </row>
    <row r="13929" spans="1:24">
      <c r="A13929">
        <f>HYPERLINK("https://www.philgeps.gov.ph/GEPSNONPILOT/Tender/SplashBidNoticeAbstractUI.aspx?menuIndex=3&amp;refID=7026307&amp;Result=3","7026307")</f>
        <v>0</v>
      </c>
      <c r="B13929" t="s">
        <v>684</v>
      </c>
      <c r="C13929" t="s">
        <v>16769</v>
      </c>
      <c r="E13929" t="s">
        <v>30861</v>
      </c>
      <c r="F13929" t="s">
        <v>32664</v>
      </c>
      <c r="G13929" t="s">
        <v>32672</v>
      </c>
      <c r="H13929" t="s">
        <v>12635</v>
      </c>
      <c r="I13929" t="s">
        <v>9486</v>
      </c>
      <c r="J13929" t="s">
        <v>41105</v>
      </c>
      <c r="K13929" t="s">
        <v>42283</v>
      </c>
      <c r="M13929" t="s">
        <v>45394</v>
      </c>
      <c r="N13929" t="s">
        <v>46569</v>
      </c>
      <c r="O13929" t="s">
        <v>46570</v>
      </c>
      <c r="P13929">
        <v>0</v>
      </c>
      <c r="Q13929">
        <v>0</v>
      </c>
      <c r="R13929" t="s">
        <v>46587</v>
      </c>
      <c r="S13929" t="s">
        <v>47373</v>
      </c>
      <c r="T13929" t="s">
        <v>48228</v>
      </c>
      <c r="U13929" t="s">
        <v>59961</v>
      </c>
      <c r="W13929" t="s">
        <v>45394</v>
      </c>
      <c r="X13929" t="s">
        <v>46593</v>
      </c>
    </row>
    <row r="13930" spans="1:24">
      <c r="A13930">
        <f>HYPERLINK("https://www.philgeps.gov.ph/GEPSNONPILOT/Tender/SplashBidNoticeAbstractUI.aspx?menuIndex=3&amp;refID=7021697&amp;Result=3","7021697")</f>
        <v>0</v>
      </c>
      <c r="B13930" t="s">
        <v>1013</v>
      </c>
      <c r="C13930" t="s">
        <v>16770</v>
      </c>
      <c r="D13930" t="s">
        <v>18786</v>
      </c>
      <c r="E13930" t="s">
        <v>30862</v>
      </c>
      <c r="F13930" t="s">
        <v>32664</v>
      </c>
      <c r="G13930" t="s">
        <v>32672</v>
      </c>
      <c r="H13930" t="s">
        <v>32683</v>
      </c>
      <c r="I13930" t="s">
        <v>10627</v>
      </c>
      <c r="J13930" t="s">
        <v>41106</v>
      </c>
      <c r="K13930" t="s">
        <v>42308</v>
      </c>
      <c r="M13930" t="s">
        <v>43662</v>
      </c>
      <c r="N13930" t="s">
        <v>46569</v>
      </c>
      <c r="O13930" t="s">
        <v>46570</v>
      </c>
      <c r="P13930">
        <v>0</v>
      </c>
      <c r="Q13930">
        <v>0</v>
      </c>
      <c r="R13930" t="s">
        <v>46587</v>
      </c>
      <c r="S13930" t="s">
        <v>47373</v>
      </c>
      <c r="T13930" t="s">
        <v>48226</v>
      </c>
      <c r="U13930" t="s">
        <v>59962</v>
      </c>
      <c r="V13930" t="s">
        <v>61882</v>
      </c>
      <c r="W13930" t="s">
        <v>43662</v>
      </c>
      <c r="X13930" t="s">
        <v>46594</v>
      </c>
    </row>
    <row r="13931" spans="1:24">
      <c r="A13931">
        <f>HYPERLINK("https://www.philgeps.gov.ph/GEPSNONPILOT/Tender/SplashBidNoticeAbstractUI.aspx?menuIndex=3&amp;refID=7038150&amp;Result=3","7038150")</f>
        <v>0</v>
      </c>
      <c r="B13931" t="s">
        <v>3370</v>
      </c>
      <c r="C13931" t="s">
        <v>16771</v>
      </c>
      <c r="D13931" t="s">
        <v>18805</v>
      </c>
      <c r="E13931" t="s">
        <v>30863</v>
      </c>
      <c r="F13931" t="s">
        <v>32664</v>
      </c>
      <c r="G13931" t="s">
        <v>32672</v>
      </c>
      <c r="H13931" t="s">
        <v>12635</v>
      </c>
      <c r="I13931" t="s">
        <v>10361</v>
      </c>
      <c r="J13931" t="s">
        <v>37943</v>
      </c>
      <c r="K13931" t="s">
        <v>42284</v>
      </c>
      <c r="L13931" t="s">
        <v>3370</v>
      </c>
      <c r="M13931" t="s">
        <v>46329</v>
      </c>
      <c r="N13931" t="s">
        <v>46569</v>
      </c>
      <c r="O13931" t="s">
        <v>46570</v>
      </c>
      <c r="P13931">
        <v>0</v>
      </c>
      <c r="Q13931">
        <v>0</v>
      </c>
      <c r="R13931" t="s">
        <v>46586</v>
      </c>
      <c r="S13931" t="s">
        <v>47252</v>
      </c>
      <c r="T13931" t="s">
        <v>48285</v>
      </c>
      <c r="U13931" t="s">
        <v>56389</v>
      </c>
      <c r="V13931" t="s">
        <v>63165</v>
      </c>
      <c r="W13931" t="s">
        <v>46329</v>
      </c>
      <c r="X13931" t="s">
        <v>46587</v>
      </c>
    </row>
    <row r="13932" spans="1:24">
      <c r="A13932">
        <f>HYPERLINK("https://www.philgeps.gov.ph/GEPSNONPILOT/Tender/SplashBidNoticeAbstractUI.aspx?menuIndex=3&amp;refID=7027351&amp;Result=3","7027351")</f>
        <v>0</v>
      </c>
      <c r="B13932" t="s">
        <v>1013</v>
      </c>
      <c r="C13932" t="s">
        <v>16772</v>
      </c>
      <c r="D13932" t="s">
        <v>18786</v>
      </c>
      <c r="E13932" t="s">
        <v>30864</v>
      </c>
      <c r="F13932" t="s">
        <v>32664</v>
      </c>
      <c r="G13932" t="s">
        <v>32672</v>
      </c>
      <c r="H13932" t="s">
        <v>32683</v>
      </c>
      <c r="I13932" t="s">
        <v>10627</v>
      </c>
      <c r="J13932" t="s">
        <v>41107</v>
      </c>
      <c r="K13932" t="s">
        <v>42296</v>
      </c>
      <c r="M13932" t="s">
        <v>43662</v>
      </c>
      <c r="N13932" t="s">
        <v>46569</v>
      </c>
      <c r="O13932" t="s">
        <v>46570</v>
      </c>
      <c r="P13932">
        <v>0</v>
      </c>
      <c r="Q13932">
        <v>0</v>
      </c>
      <c r="R13932" t="s">
        <v>46587</v>
      </c>
      <c r="S13932" t="s">
        <v>47373</v>
      </c>
      <c r="T13932" t="s">
        <v>48226</v>
      </c>
      <c r="U13932" t="s">
        <v>59950</v>
      </c>
      <c r="V13932" t="s">
        <v>61882</v>
      </c>
      <c r="W13932" t="s">
        <v>43662</v>
      </c>
      <c r="X13932" t="s">
        <v>46592</v>
      </c>
    </row>
    <row r="13933" spans="1:24">
      <c r="A13933">
        <f>HYPERLINK("https://www.philgeps.gov.ph/GEPSNONPILOT/Tender/SplashBidNoticeAbstractUI.aspx?menuIndex=3&amp;refID=7037301&amp;Result=3","7037301")</f>
        <v>0</v>
      </c>
      <c r="B13933" t="s">
        <v>882</v>
      </c>
      <c r="C13933" t="s">
        <v>16773</v>
      </c>
      <c r="D13933" t="s">
        <v>18804</v>
      </c>
      <c r="E13933" t="s">
        <v>30865</v>
      </c>
      <c r="F13933" t="s">
        <v>32664</v>
      </c>
      <c r="G13933" t="s">
        <v>32672</v>
      </c>
      <c r="H13933" t="s">
        <v>32683</v>
      </c>
      <c r="I13933" t="s">
        <v>10627</v>
      </c>
      <c r="J13933" t="s">
        <v>41108</v>
      </c>
      <c r="K13933" t="s">
        <v>42369</v>
      </c>
      <c r="M13933" t="s">
        <v>43483</v>
      </c>
      <c r="N13933" t="s">
        <v>46569</v>
      </c>
      <c r="O13933" t="s">
        <v>46570</v>
      </c>
      <c r="P13933">
        <v>0</v>
      </c>
      <c r="Q13933">
        <v>33</v>
      </c>
      <c r="R13933" t="s">
        <v>46586</v>
      </c>
      <c r="S13933" t="s">
        <v>47252</v>
      </c>
      <c r="T13933" t="s">
        <v>48244</v>
      </c>
      <c r="U13933" t="s">
        <v>59963</v>
      </c>
      <c r="W13933" t="s">
        <v>43483</v>
      </c>
      <c r="X13933" t="s">
        <v>46587</v>
      </c>
    </row>
    <row r="13934" spans="1:24">
      <c r="A13934">
        <f>HYPERLINK("https://www.philgeps.gov.ph/GEPSNONPILOT/Tender/SplashBidNoticeAbstractUI.aspx?menuIndex=3&amp;refID=7022615&amp;Result=3","7022615")</f>
        <v>0</v>
      </c>
      <c r="B13934" t="s">
        <v>1167</v>
      </c>
      <c r="C13934" t="s">
        <v>16774</v>
      </c>
      <c r="D13934" t="s">
        <v>18865</v>
      </c>
      <c r="E13934" t="s">
        <v>30866</v>
      </c>
      <c r="F13934" t="s">
        <v>32664</v>
      </c>
      <c r="G13934" t="s">
        <v>32672</v>
      </c>
      <c r="H13934" t="s">
        <v>12635</v>
      </c>
      <c r="I13934" t="s">
        <v>32717</v>
      </c>
      <c r="J13934" t="s">
        <v>32865</v>
      </c>
      <c r="K13934" t="s">
        <v>42281</v>
      </c>
      <c r="M13934" t="s">
        <v>43800</v>
      </c>
      <c r="N13934" t="s">
        <v>46569</v>
      </c>
      <c r="O13934" t="s">
        <v>46570</v>
      </c>
      <c r="P13934">
        <v>0</v>
      </c>
      <c r="Q13934">
        <v>0</v>
      </c>
      <c r="R13934" t="s">
        <v>46587</v>
      </c>
      <c r="S13934" t="s">
        <v>47373</v>
      </c>
      <c r="T13934" t="s">
        <v>48256</v>
      </c>
      <c r="U13934" t="s">
        <v>59964</v>
      </c>
      <c r="W13934" t="s">
        <v>43800</v>
      </c>
      <c r="X13934" t="s">
        <v>46594</v>
      </c>
    </row>
    <row r="13935" spans="1:24">
      <c r="A13935">
        <f>HYPERLINK("https://www.philgeps.gov.ph/GEPSNONPILOT/Tender/SplashBidNoticeAbstractUI.aspx?menuIndex=3&amp;refID=7037289&amp;Result=3","7037289")</f>
        <v>0</v>
      </c>
      <c r="B13935" t="s">
        <v>1004</v>
      </c>
      <c r="C13935" t="s">
        <v>16775</v>
      </c>
      <c r="D13935" t="s">
        <v>18832</v>
      </c>
      <c r="E13935" t="s">
        <v>21652</v>
      </c>
      <c r="F13935" t="s">
        <v>32664</v>
      </c>
      <c r="G13935" t="s">
        <v>32672</v>
      </c>
      <c r="H13935" t="s">
        <v>32683</v>
      </c>
      <c r="I13935" t="s">
        <v>10627</v>
      </c>
      <c r="J13935" t="s">
        <v>32837</v>
      </c>
      <c r="K13935" t="s">
        <v>42281</v>
      </c>
      <c r="M13935" t="s">
        <v>43616</v>
      </c>
      <c r="N13935" t="s">
        <v>46569</v>
      </c>
      <c r="O13935" t="s">
        <v>46570</v>
      </c>
      <c r="P13935">
        <v>0</v>
      </c>
      <c r="Q13935">
        <v>0</v>
      </c>
      <c r="R13935" t="s">
        <v>46586</v>
      </c>
      <c r="S13935" t="s">
        <v>47252</v>
      </c>
      <c r="T13935" t="s">
        <v>48228</v>
      </c>
      <c r="U13935" t="s">
        <v>59965</v>
      </c>
      <c r="W13935" t="s">
        <v>43616</v>
      </c>
      <c r="X13935" t="s">
        <v>46587</v>
      </c>
    </row>
    <row r="13936" spans="1:24">
      <c r="A13936">
        <f>HYPERLINK("https://www.philgeps.gov.ph/GEPSNONPILOT/Tender/SplashBidNoticeAbstractUI.aspx?menuIndex=3&amp;refID=7037265&amp;Result=3","7037265")</f>
        <v>0</v>
      </c>
      <c r="B13936" t="s">
        <v>530</v>
      </c>
      <c r="C13936" t="s">
        <v>16776</v>
      </c>
      <c r="D13936" t="s">
        <v>18802</v>
      </c>
      <c r="E13936" t="s">
        <v>30867</v>
      </c>
      <c r="F13936" t="s">
        <v>32664</v>
      </c>
      <c r="G13936" t="s">
        <v>32672</v>
      </c>
      <c r="H13936" t="s">
        <v>32683</v>
      </c>
      <c r="I13936" t="s">
        <v>10627</v>
      </c>
      <c r="J13936" t="s">
        <v>32898</v>
      </c>
      <c r="K13936" t="s">
        <v>42281</v>
      </c>
      <c r="M13936" t="s">
        <v>43108</v>
      </c>
      <c r="N13936" t="s">
        <v>46569</v>
      </c>
      <c r="O13936" t="s">
        <v>46570</v>
      </c>
      <c r="P13936">
        <v>0</v>
      </c>
      <c r="Q13936">
        <v>0</v>
      </c>
      <c r="R13936" t="s">
        <v>46586</v>
      </c>
      <c r="S13936" t="s">
        <v>47252</v>
      </c>
      <c r="T13936" t="s">
        <v>48244</v>
      </c>
      <c r="U13936" t="s">
        <v>59764</v>
      </c>
      <c r="W13936" t="s">
        <v>43108</v>
      </c>
      <c r="X13936" t="s">
        <v>46587</v>
      </c>
    </row>
    <row r="13937" spans="1:24">
      <c r="A13937">
        <f>HYPERLINK("https://www.philgeps.gov.ph/GEPSNONPILOT/Tender/SplashBidNoticeAbstractUI.aspx?menuIndex=3&amp;refID=7019468&amp;Result=3","7019468")</f>
        <v>0</v>
      </c>
      <c r="B13937" t="s">
        <v>1013</v>
      </c>
      <c r="C13937" t="s">
        <v>16777</v>
      </c>
      <c r="D13937" t="s">
        <v>18786</v>
      </c>
      <c r="E13937" t="s">
        <v>30868</v>
      </c>
      <c r="F13937" t="s">
        <v>32664</v>
      </c>
      <c r="G13937" t="s">
        <v>32672</v>
      </c>
      <c r="H13937" t="s">
        <v>32683</v>
      </c>
      <c r="I13937" t="s">
        <v>10627</v>
      </c>
      <c r="J13937" t="s">
        <v>41109</v>
      </c>
      <c r="K13937" t="s">
        <v>42308</v>
      </c>
      <c r="M13937" t="s">
        <v>43662</v>
      </c>
      <c r="N13937" t="s">
        <v>46569</v>
      </c>
      <c r="O13937" t="s">
        <v>46570</v>
      </c>
      <c r="P13937">
        <v>0</v>
      </c>
      <c r="Q13937">
        <v>1</v>
      </c>
      <c r="R13937" t="s">
        <v>46587</v>
      </c>
      <c r="S13937" t="s">
        <v>47373</v>
      </c>
      <c r="T13937" t="s">
        <v>48226</v>
      </c>
      <c r="U13937" t="s">
        <v>59966</v>
      </c>
      <c r="V13937" t="s">
        <v>61882</v>
      </c>
      <c r="W13937" t="s">
        <v>43662</v>
      </c>
      <c r="X13937" t="s">
        <v>46598</v>
      </c>
    </row>
    <row r="13938" spans="1:24">
      <c r="A13938">
        <f>HYPERLINK("https://www.philgeps.gov.ph/GEPSNONPILOT/Tender/SplashBidNoticeAbstractUI.aspx?menuIndex=3&amp;refID=7037154&amp;Result=3","7037154")</f>
        <v>0</v>
      </c>
      <c r="B13938" t="s">
        <v>1713</v>
      </c>
      <c r="C13938" t="s">
        <v>16778</v>
      </c>
      <c r="D13938" t="s">
        <v>18799</v>
      </c>
      <c r="E13938" t="s">
        <v>30869</v>
      </c>
      <c r="F13938" t="s">
        <v>32664</v>
      </c>
      <c r="G13938" t="s">
        <v>32672</v>
      </c>
      <c r="H13938" t="s">
        <v>32683</v>
      </c>
      <c r="I13938" t="s">
        <v>10627</v>
      </c>
      <c r="J13938" t="s">
        <v>32981</v>
      </c>
      <c r="K13938" t="s">
        <v>42311</v>
      </c>
      <c r="M13938" t="s">
        <v>46175</v>
      </c>
      <c r="N13938" t="s">
        <v>46569</v>
      </c>
      <c r="O13938" t="s">
        <v>46570</v>
      </c>
      <c r="P13938">
        <v>0</v>
      </c>
      <c r="Q13938">
        <v>0</v>
      </c>
      <c r="R13938" t="s">
        <v>46586</v>
      </c>
      <c r="S13938" t="s">
        <v>47252</v>
      </c>
      <c r="T13938" t="s">
        <v>48283</v>
      </c>
      <c r="U13938" t="s">
        <v>59741</v>
      </c>
      <c r="W13938" t="s">
        <v>46175</v>
      </c>
      <c r="X13938" t="s">
        <v>46587</v>
      </c>
    </row>
    <row r="13939" spans="1:24">
      <c r="A13939">
        <f>HYPERLINK("https://www.philgeps.gov.ph/GEPSNONPILOT/Tender/SplashBidNoticeAbstractUI.aspx?menuIndex=3&amp;refID=7038154&amp;Result=3","7038154")</f>
        <v>0</v>
      </c>
      <c r="B13939" t="s">
        <v>3272</v>
      </c>
      <c r="C13939" t="s">
        <v>16779</v>
      </c>
      <c r="D13939" t="s">
        <v>18793</v>
      </c>
      <c r="E13939" t="s">
        <v>30870</v>
      </c>
      <c r="F13939" t="s">
        <v>32664</v>
      </c>
      <c r="G13939" t="s">
        <v>32672</v>
      </c>
      <c r="H13939" t="s">
        <v>32683</v>
      </c>
      <c r="I13939" t="s">
        <v>10627</v>
      </c>
      <c r="J13939" t="s">
        <v>33051</v>
      </c>
      <c r="K13939" t="s">
        <v>42305</v>
      </c>
      <c r="M13939" t="s">
        <v>46208</v>
      </c>
      <c r="N13939" t="s">
        <v>46569</v>
      </c>
      <c r="O13939" t="s">
        <v>46570</v>
      </c>
      <c r="P13939">
        <v>0</v>
      </c>
      <c r="Q13939">
        <v>1</v>
      </c>
      <c r="R13939" t="s">
        <v>46586</v>
      </c>
      <c r="S13939" t="s">
        <v>47252</v>
      </c>
      <c r="T13939" t="s">
        <v>48305</v>
      </c>
      <c r="U13939" t="s">
        <v>59967</v>
      </c>
      <c r="W13939" t="s">
        <v>46208</v>
      </c>
      <c r="X13939" t="s">
        <v>46587</v>
      </c>
    </row>
    <row r="13940" spans="1:24">
      <c r="A13940">
        <f>HYPERLINK("https://www.philgeps.gov.ph/GEPSNONPILOT/Tender/SplashBidNoticeAbstractUI.aspx?menuIndex=3&amp;refID=7028311&amp;Result=3","7028311")</f>
        <v>0</v>
      </c>
      <c r="B13940" t="s">
        <v>3371</v>
      </c>
      <c r="C13940" t="s">
        <v>16780</v>
      </c>
      <c r="D13940" t="s">
        <v>18852</v>
      </c>
      <c r="E13940" t="s">
        <v>30871</v>
      </c>
      <c r="F13940" t="s">
        <v>32664</v>
      </c>
      <c r="G13940" t="s">
        <v>32672</v>
      </c>
      <c r="H13940" t="s">
        <v>32683</v>
      </c>
      <c r="I13940" t="s">
        <v>10627</v>
      </c>
      <c r="J13940" t="s">
        <v>36065</v>
      </c>
      <c r="K13940" t="s">
        <v>42298</v>
      </c>
      <c r="L13940" t="s">
        <v>3371</v>
      </c>
      <c r="M13940" t="s">
        <v>46330</v>
      </c>
      <c r="N13940" t="s">
        <v>46569</v>
      </c>
      <c r="O13940" t="s">
        <v>46570</v>
      </c>
      <c r="Q13940">
        <v>3</v>
      </c>
      <c r="R13940" t="s">
        <v>46587</v>
      </c>
      <c r="S13940" t="s">
        <v>47379</v>
      </c>
      <c r="T13940" t="s">
        <v>48436</v>
      </c>
      <c r="U13940" t="s">
        <v>59968</v>
      </c>
      <c r="V13940" t="s">
        <v>62043</v>
      </c>
      <c r="W13940" t="s">
        <v>46330</v>
      </c>
      <c r="X13940" t="s">
        <v>46592</v>
      </c>
    </row>
    <row r="13941" spans="1:24">
      <c r="A13941">
        <f>HYPERLINK("https://www.philgeps.gov.ph/GEPSNONPILOT/Tender/SplashBidNoticeAbstractUI.aspx?menuIndex=3&amp;refID=7036961&amp;Result=3","7036961")</f>
        <v>0</v>
      </c>
      <c r="B13941" t="s">
        <v>516</v>
      </c>
      <c r="C13941" t="s">
        <v>16781</v>
      </c>
      <c r="D13941" t="s">
        <v>18804</v>
      </c>
      <c r="E13941" t="s">
        <v>30872</v>
      </c>
      <c r="F13941" t="s">
        <v>32664</v>
      </c>
      <c r="G13941" t="s">
        <v>32672</v>
      </c>
      <c r="H13941" t="s">
        <v>32683</v>
      </c>
      <c r="I13941" t="s">
        <v>10627</v>
      </c>
      <c r="J13941" t="s">
        <v>32943</v>
      </c>
      <c r="K13941" t="s">
        <v>42298</v>
      </c>
      <c r="M13941" t="s">
        <v>43092</v>
      </c>
      <c r="N13941" t="s">
        <v>46569</v>
      </c>
      <c r="O13941" t="s">
        <v>46570</v>
      </c>
      <c r="P13941">
        <v>0</v>
      </c>
      <c r="Q13941">
        <v>2</v>
      </c>
      <c r="R13941" t="s">
        <v>46586</v>
      </c>
      <c r="S13941" t="s">
        <v>47252</v>
      </c>
      <c r="T13941" t="s">
        <v>48283</v>
      </c>
      <c r="U13941" t="s">
        <v>59969</v>
      </c>
      <c r="W13941" t="s">
        <v>43092</v>
      </c>
      <c r="X13941" t="s">
        <v>46587</v>
      </c>
    </row>
    <row r="13942" spans="1:24">
      <c r="A13942">
        <f>HYPERLINK("https://www.philgeps.gov.ph/GEPSNONPILOT/Tender/SplashBidNoticeAbstractUI.aspx?menuIndex=3&amp;refID=7022670&amp;Result=3","7022670")</f>
        <v>0</v>
      </c>
      <c r="B13942" t="s">
        <v>1695</v>
      </c>
      <c r="C13942" t="s">
        <v>16782</v>
      </c>
      <c r="D13942" t="s">
        <v>18846</v>
      </c>
      <c r="E13942" t="s">
        <v>30873</v>
      </c>
      <c r="F13942" t="s">
        <v>32664</v>
      </c>
      <c r="G13942" t="s">
        <v>32672</v>
      </c>
      <c r="H13942" t="s">
        <v>32683</v>
      </c>
      <c r="I13942" t="s">
        <v>10627</v>
      </c>
      <c r="J13942" t="s">
        <v>41110</v>
      </c>
      <c r="K13942" t="s">
        <v>42298</v>
      </c>
      <c r="M13942" t="s">
        <v>46331</v>
      </c>
      <c r="N13942" t="s">
        <v>46569</v>
      </c>
      <c r="O13942" t="s">
        <v>46570</v>
      </c>
      <c r="P13942">
        <v>0</v>
      </c>
      <c r="Q13942">
        <v>3</v>
      </c>
      <c r="R13942" t="s">
        <v>46587</v>
      </c>
      <c r="S13942" t="s">
        <v>47373</v>
      </c>
      <c r="T13942" t="s">
        <v>48411</v>
      </c>
      <c r="U13942" t="s">
        <v>59970</v>
      </c>
      <c r="W13942" t="s">
        <v>46331</v>
      </c>
      <c r="X13942" t="s">
        <v>46594</v>
      </c>
    </row>
    <row r="13943" spans="1:24">
      <c r="A13943">
        <f>HYPERLINK("https://www.philgeps.gov.ph/GEPSNONPILOT/Tender/SplashBidNoticeAbstractUI.aspx?menuIndex=3&amp;refID=7036959&amp;Result=3","7036959")</f>
        <v>0</v>
      </c>
      <c r="B13943" t="s">
        <v>3342</v>
      </c>
      <c r="C13943" t="s">
        <v>16783</v>
      </c>
      <c r="D13943" t="s">
        <v>18787</v>
      </c>
      <c r="E13943" t="s">
        <v>30874</v>
      </c>
      <c r="F13943" t="s">
        <v>32664</v>
      </c>
      <c r="G13943" t="s">
        <v>32672</v>
      </c>
      <c r="H13943" t="s">
        <v>32683</v>
      </c>
      <c r="I13943" t="s">
        <v>10627</v>
      </c>
      <c r="J13943" t="s">
        <v>37540</v>
      </c>
      <c r="K13943" t="s">
        <v>42400</v>
      </c>
      <c r="M13943" t="s">
        <v>46298</v>
      </c>
      <c r="N13943" t="s">
        <v>46569</v>
      </c>
      <c r="O13943" t="s">
        <v>46570</v>
      </c>
      <c r="P13943">
        <v>0</v>
      </c>
      <c r="Q13943">
        <v>3</v>
      </c>
      <c r="R13943" t="s">
        <v>46586</v>
      </c>
      <c r="S13943" t="s">
        <v>47252</v>
      </c>
      <c r="T13943" t="s">
        <v>48228</v>
      </c>
      <c r="U13943" t="s">
        <v>59971</v>
      </c>
      <c r="W13943" t="s">
        <v>46298</v>
      </c>
      <c r="X13943" t="s">
        <v>46587</v>
      </c>
    </row>
    <row r="13944" spans="1:24">
      <c r="A13944">
        <f>HYPERLINK("https://www.philgeps.gov.ph/GEPSNONPILOT/Tender/SplashBidNoticeAbstractUI.aspx?menuIndex=3&amp;refID=7036934&amp;Result=3","7036934")</f>
        <v>0</v>
      </c>
      <c r="B13944" t="s">
        <v>3342</v>
      </c>
      <c r="C13944" t="s">
        <v>16784</v>
      </c>
      <c r="D13944" t="s">
        <v>18787</v>
      </c>
      <c r="E13944" t="s">
        <v>30875</v>
      </c>
      <c r="F13944" t="s">
        <v>32664</v>
      </c>
      <c r="G13944" t="s">
        <v>32672</v>
      </c>
      <c r="H13944" t="s">
        <v>32683</v>
      </c>
      <c r="I13944" t="s">
        <v>10627</v>
      </c>
      <c r="J13944" t="s">
        <v>37626</v>
      </c>
      <c r="K13944" t="s">
        <v>42400</v>
      </c>
      <c r="M13944" t="s">
        <v>46298</v>
      </c>
      <c r="N13944" t="s">
        <v>46569</v>
      </c>
      <c r="O13944" t="s">
        <v>46570</v>
      </c>
      <c r="P13944">
        <v>0</v>
      </c>
      <c r="Q13944">
        <v>3</v>
      </c>
      <c r="R13944" t="s">
        <v>46586</v>
      </c>
      <c r="S13944" t="s">
        <v>47252</v>
      </c>
      <c r="T13944" t="s">
        <v>48228</v>
      </c>
      <c r="U13944" t="s">
        <v>59972</v>
      </c>
      <c r="W13944" t="s">
        <v>46298</v>
      </c>
      <c r="X13944" t="s">
        <v>46587</v>
      </c>
    </row>
    <row r="13945" spans="1:24">
      <c r="A13945">
        <f>HYPERLINK("https://www.philgeps.gov.ph/GEPSNONPILOT/Tender/SplashBidNoticeAbstractUI.aspx?menuIndex=3&amp;refID=7037144&amp;Result=3","7037144")</f>
        <v>0</v>
      </c>
      <c r="B13945" t="s">
        <v>900</v>
      </c>
      <c r="C13945" t="s">
        <v>16785</v>
      </c>
      <c r="E13945" t="s">
        <v>30876</v>
      </c>
      <c r="F13945" t="s">
        <v>32664</v>
      </c>
      <c r="G13945" t="s">
        <v>32672</v>
      </c>
      <c r="H13945" t="s">
        <v>32683</v>
      </c>
      <c r="I13945" t="s">
        <v>10627</v>
      </c>
      <c r="J13945" t="s">
        <v>41111</v>
      </c>
      <c r="K13945" t="s">
        <v>42283</v>
      </c>
      <c r="M13945" t="s">
        <v>43504</v>
      </c>
      <c r="N13945" t="s">
        <v>46569</v>
      </c>
      <c r="O13945" t="s">
        <v>46570</v>
      </c>
      <c r="Q13945">
        <v>2</v>
      </c>
      <c r="R13945" t="s">
        <v>46586</v>
      </c>
      <c r="S13945" t="s">
        <v>47380</v>
      </c>
      <c r="T13945" t="s">
        <v>48282</v>
      </c>
      <c r="U13945" t="s">
        <v>59973</v>
      </c>
      <c r="W13945" t="s">
        <v>43504</v>
      </c>
      <c r="X13945" t="s">
        <v>46587</v>
      </c>
    </row>
    <row r="13946" spans="1:24">
      <c r="A13946">
        <f>HYPERLINK("https://www.philgeps.gov.ph/GEPSNONPILOT/Tender/SplashBidNoticeAbstractUI.aspx?menuIndex=3&amp;refID=7036943&amp;Result=3","7036943")</f>
        <v>0</v>
      </c>
      <c r="B13946" t="s">
        <v>1497</v>
      </c>
      <c r="C13946" t="s">
        <v>16786</v>
      </c>
      <c r="D13946" t="s">
        <v>18785</v>
      </c>
      <c r="E13946" t="s">
        <v>30877</v>
      </c>
      <c r="F13946" t="s">
        <v>32664</v>
      </c>
      <c r="G13946" t="s">
        <v>32672</v>
      </c>
      <c r="H13946" t="s">
        <v>32683</v>
      </c>
      <c r="I13946" t="s">
        <v>32716</v>
      </c>
      <c r="J13946" t="s">
        <v>41112</v>
      </c>
      <c r="K13946" t="s">
        <v>42311</v>
      </c>
      <c r="M13946" t="s">
        <v>44161</v>
      </c>
      <c r="N13946" t="s">
        <v>46569</v>
      </c>
      <c r="O13946" t="s">
        <v>46570</v>
      </c>
      <c r="P13946">
        <v>0</v>
      </c>
      <c r="Q13946">
        <v>5</v>
      </c>
      <c r="R13946" t="s">
        <v>46586</v>
      </c>
      <c r="S13946" t="s">
        <v>47252</v>
      </c>
      <c r="T13946" t="s">
        <v>48283</v>
      </c>
      <c r="U13946" t="s">
        <v>52043</v>
      </c>
      <c r="W13946" t="s">
        <v>44161</v>
      </c>
      <c r="X13946" t="s">
        <v>46587</v>
      </c>
    </row>
    <row r="13947" spans="1:24">
      <c r="A13947">
        <f>HYPERLINK("https://www.philgeps.gov.ph/GEPSNONPILOT/Tender/SplashBidNoticeAbstractUI.aspx?menuIndex=3&amp;refID=7036920&amp;Result=3","7036920")</f>
        <v>0</v>
      </c>
      <c r="B13947" t="s">
        <v>1246</v>
      </c>
      <c r="C13947" t="s">
        <v>16787</v>
      </c>
      <c r="D13947" t="s">
        <v>18865</v>
      </c>
      <c r="E13947" t="s">
        <v>28712</v>
      </c>
      <c r="F13947" t="s">
        <v>32664</v>
      </c>
      <c r="G13947" t="s">
        <v>32672</v>
      </c>
      <c r="H13947" t="s">
        <v>32683</v>
      </c>
      <c r="I13947" t="s">
        <v>10627</v>
      </c>
      <c r="J13947" t="s">
        <v>41113</v>
      </c>
      <c r="K13947" t="s">
        <v>42290</v>
      </c>
      <c r="M13947" t="s">
        <v>43888</v>
      </c>
      <c r="N13947" t="s">
        <v>46569</v>
      </c>
      <c r="O13947" t="s">
        <v>46570</v>
      </c>
      <c r="P13947">
        <v>0</v>
      </c>
      <c r="Q13947">
        <v>0</v>
      </c>
      <c r="R13947" t="s">
        <v>46586</v>
      </c>
      <c r="S13947" t="s">
        <v>47252</v>
      </c>
      <c r="T13947" t="s">
        <v>48221</v>
      </c>
      <c r="U13947" t="s">
        <v>59974</v>
      </c>
      <c r="W13947" t="s">
        <v>43888</v>
      </c>
      <c r="X13947" t="s">
        <v>46587</v>
      </c>
    </row>
    <row r="13948" spans="1:24">
      <c r="A13948">
        <f>HYPERLINK("https://www.philgeps.gov.ph/GEPSNONPILOT/Tender/SplashBidNoticeAbstractUI.aspx?menuIndex=3&amp;refID=7036833&amp;Result=3","7036833")</f>
        <v>0</v>
      </c>
      <c r="B13948" t="s">
        <v>2720</v>
      </c>
      <c r="C13948" t="s">
        <v>16788</v>
      </c>
      <c r="D13948" t="s">
        <v>18785</v>
      </c>
      <c r="E13948" t="s">
        <v>30878</v>
      </c>
      <c r="F13948" t="s">
        <v>32664</v>
      </c>
      <c r="G13948" t="s">
        <v>32672</v>
      </c>
      <c r="H13948" t="s">
        <v>32683</v>
      </c>
      <c r="I13948" t="s">
        <v>10627</v>
      </c>
      <c r="J13948" t="s">
        <v>34131</v>
      </c>
      <c r="K13948" t="s">
        <v>42290</v>
      </c>
      <c r="M13948" t="s">
        <v>45547</v>
      </c>
      <c r="N13948" t="s">
        <v>46569</v>
      </c>
      <c r="O13948" t="s">
        <v>46570</v>
      </c>
      <c r="Q13948">
        <v>2</v>
      </c>
      <c r="R13948" t="s">
        <v>46586</v>
      </c>
      <c r="S13948" t="s">
        <v>47381</v>
      </c>
      <c r="T13948" t="s">
        <v>48221</v>
      </c>
      <c r="U13948" t="s">
        <v>59697</v>
      </c>
      <c r="W13948" t="s">
        <v>45547</v>
      </c>
      <c r="X13948" t="s">
        <v>46587</v>
      </c>
    </row>
    <row r="13949" spans="1:24">
      <c r="A13949">
        <f>HYPERLINK("https://www.philgeps.gov.ph/GEPSNONPILOT/Tender/SplashBidNoticeAbstractUI.aspx?menuIndex=3&amp;refID=7036828&amp;Result=3","7036828")</f>
        <v>0</v>
      </c>
      <c r="B13949" t="s">
        <v>3342</v>
      </c>
      <c r="C13949" t="s">
        <v>16789</v>
      </c>
      <c r="D13949" t="s">
        <v>18787</v>
      </c>
      <c r="E13949" t="s">
        <v>30879</v>
      </c>
      <c r="F13949" t="s">
        <v>32664</v>
      </c>
      <c r="G13949" t="s">
        <v>32672</v>
      </c>
      <c r="H13949" t="s">
        <v>32683</v>
      </c>
      <c r="I13949" t="s">
        <v>10627</v>
      </c>
      <c r="J13949" t="s">
        <v>40298</v>
      </c>
      <c r="K13949" t="s">
        <v>42372</v>
      </c>
      <c r="M13949" t="s">
        <v>46298</v>
      </c>
      <c r="N13949" t="s">
        <v>46569</v>
      </c>
      <c r="O13949" t="s">
        <v>46570</v>
      </c>
      <c r="P13949">
        <v>0</v>
      </c>
      <c r="Q13949">
        <v>3</v>
      </c>
      <c r="R13949" t="s">
        <v>46586</v>
      </c>
      <c r="S13949" t="s">
        <v>47252</v>
      </c>
      <c r="T13949" t="s">
        <v>48228</v>
      </c>
      <c r="U13949" t="s">
        <v>59975</v>
      </c>
      <c r="W13949" t="s">
        <v>46298</v>
      </c>
      <c r="X13949" t="s">
        <v>46587</v>
      </c>
    </row>
    <row r="13950" spans="1:24">
      <c r="A13950">
        <f>HYPERLINK("https://www.philgeps.gov.ph/GEPSNONPILOT/Tender/SplashBidNoticeAbstractUI.aspx?menuIndex=3&amp;refID=7036916&amp;Result=3","7036916")</f>
        <v>0</v>
      </c>
      <c r="B13950" t="s">
        <v>3342</v>
      </c>
      <c r="C13950" t="s">
        <v>16790</v>
      </c>
      <c r="D13950" t="s">
        <v>18787</v>
      </c>
      <c r="E13950" t="s">
        <v>30880</v>
      </c>
      <c r="F13950" t="s">
        <v>32664</v>
      </c>
      <c r="G13950" t="s">
        <v>32672</v>
      </c>
      <c r="H13950" t="s">
        <v>32683</v>
      </c>
      <c r="I13950" t="s">
        <v>10627</v>
      </c>
      <c r="J13950" t="s">
        <v>37904</v>
      </c>
      <c r="K13950" t="s">
        <v>42437</v>
      </c>
      <c r="M13950" t="s">
        <v>46298</v>
      </c>
      <c r="N13950" t="s">
        <v>46569</v>
      </c>
      <c r="O13950" t="s">
        <v>46570</v>
      </c>
      <c r="P13950">
        <v>0</v>
      </c>
      <c r="Q13950">
        <v>3</v>
      </c>
      <c r="R13950" t="s">
        <v>46586</v>
      </c>
      <c r="S13950" t="s">
        <v>47252</v>
      </c>
      <c r="T13950" t="s">
        <v>48228</v>
      </c>
      <c r="U13950" t="s">
        <v>59976</v>
      </c>
      <c r="W13950" t="s">
        <v>46298</v>
      </c>
      <c r="X13950" t="s">
        <v>46587</v>
      </c>
    </row>
    <row r="13951" spans="1:24">
      <c r="A13951">
        <f>HYPERLINK("https://www.philgeps.gov.ph/GEPSNONPILOT/Tender/SplashBidNoticeAbstractUI.aspx?menuIndex=3&amp;refID=7036800&amp;Result=3","7036800")</f>
        <v>0</v>
      </c>
      <c r="B13951" t="s">
        <v>409</v>
      </c>
      <c r="C13951" t="s">
        <v>16791</v>
      </c>
      <c r="D13951" t="s">
        <v>18854</v>
      </c>
      <c r="E13951" t="s">
        <v>30881</v>
      </c>
      <c r="F13951" t="s">
        <v>32664</v>
      </c>
      <c r="G13951" t="s">
        <v>32672</v>
      </c>
      <c r="H13951" t="s">
        <v>12635</v>
      </c>
      <c r="I13951" t="s">
        <v>11464</v>
      </c>
      <c r="J13951" t="s">
        <v>35589</v>
      </c>
      <c r="K13951" t="s">
        <v>42298</v>
      </c>
      <c r="M13951" t="s">
        <v>46332</v>
      </c>
      <c r="N13951" t="s">
        <v>46569</v>
      </c>
      <c r="O13951" t="s">
        <v>46570</v>
      </c>
      <c r="P13951">
        <v>0</v>
      </c>
      <c r="Q13951">
        <v>6</v>
      </c>
      <c r="R13951" t="s">
        <v>46586</v>
      </c>
      <c r="S13951" t="s">
        <v>47252</v>
      </c>
      <c r="T13951" t="s">
        <v>48334</v>
      </c>
      <c r="U13951" t="s">
        <v>59977</v>
      </c>
      <c r="W13951" t="s">
        <v>46332</v>
      </c>
      <c r="X13951" t="s">
        <v>46587</v>
      </c>
    </row>
    <row r="13952" spans="1:24">
      <c r="A13952">
        <f>HYPERLINK("https://www.philgeps.gov.ph/GEPSNONPILOT/Tender/SplashBidNoticeAbstractUI.aspx?menuIndex=3&amp;refID=7036971&amp;Result=3","7036971")</f>
        <v>0</v>
      </c>
      <c r="B13952" t="s">
        <v>3343</v>
      </c>
      <c r="C13952" t="s">
        <v>16792</v>
      </c>
      <c r="D13952" t="s">
        <v>18785</v>
      </c>
      <c r="E13952" t="s">
        <v>19583</v>
      </c>
      <c r="F13952" t="s">
        <v>32664</v>
      </c>
      <c r="G13952" t="s">
        <v>32672</v>
      </c>
      <c r="H13952" t="s">
        <v>32683</v>
      </c>
      <c r="I13952" t="s">
        <v>10627</v>
      </c>
      <c r="J13952" t="s">
        <v>41114</v>
      </c>
      <c r="K13952" t="s">
        <v>42281</v>
      </c>
      <c r="M13952" t="s">
        <v>46299</v>
      </c>
      <c r="N13952" t="s">
        <v>46569</v>
      </c>
      <c r="O13952" t="s">
        <v>46570</v>
      </c>
      <c r="P13952">
        <v>0</v>
      </c>
      <c r="Q13952">
        <v>1</v>
      </c>
      <c r="R13952" t="s">
        <v>46586</v>
      </c>
      <c r="S13952" t="s">
        <v>47252</v>
      </c>
      <c r="T13952" t="s">
        <v>48282</v>
      </c>
      <c r="U13952" t="s">
        <v>59978</v>
      </c>
      <c r="W13952" t="s">
        <v>46299</v>
      </c>
      <c r="X13952" t="s">
        <v>46587</v>
      </c>
    </row>
    <row r="13953" spans="1:24">
      <c r="A13953">
        <f>HYPERLINK("https://www.philgeps.gov.ph/GEPSNONPILOT/Tender/SplashBidNoticeAbstractUI.aspx?menuIndex=3&amp;refID=7036773&amp;Result=3","7036773")</f>
        <v>0</v>
      </c>
      <c r="B13953" t="s">
        <v>554</v>
      </c>
      <c r="C13953" t="s">
        <v>16793</v>
      </c>
      <c r="D13953" t="s">
        <v>18789</v>
      </c>
      <c r="E13953" t="s">
        <v>30882</v>
      </c>
      <c r="F13953" t="s">
        <v>32664</v>
      </c>
      <c r="G13953" t="s">
        <v>32672</v>
      </c>
      <c r="H13953" t="s">
        <v>32683</v>
      </c>
      <c r="I13953" t="s">
        <v>10627</v>
      </c>
      <c r="J13953" t="s">
        <v>32837</v>
      </c>
      <c r="K13953" t="s">
        <v>42290</v>
      </c>
      <c r="M13953" t="s">
        <v>43134</v>
      </c>
      <c r="N13953" t="s">
        <v>46569</v>
      </c>
      <c r="O13953" t="s">
        <v>46570</v>
      </c>
      <c r="P13953">
        <v>0</v>
      </c>
      <c r="Q13953">
        <v>0</v>
      </c>
      <c r="R13953" t="s">
        <v>46586</v>
      </c>
      <c r="S13953" t="s">
        <v>47252</v>
      </c>
      <c r="T13953" t="s">
        <v>48237</v>
      </c>
      <c r="U13953" t="s">
        <v>59979</v>
      </c>
      <c r="W13953" t="s">
        <v>43134</v>
      </c>
      <c r="X13953" t="s">
        <v>46587</v>
      </c>
    </row>
    <row r="13954" spans="1:24">
      <c r="A13954">
        <f>HYPERLINK("https://www.philgeps.gov.ph/GEPSNONPILOT/Tender/SplashBidNoticeAbstractUI.aspx?menuIndex=3&amp;refID=7037276&amp;Result=3","7037276")</f>
        <v>0</v>
      </c>
      <c r="B13954" t="s">
        <v>870</v>
      </c>
      <c r="C13954" t="s">
        <v>16794</v>
      </c>
      <c r="D13954" t="s">
        <v>18844</v>
      </c>
      <c r="E13954" t="s">
        <v>30883</v>
      </c>
      <c r="F13954" t="s">
        <v>32664</v>
      </c>
      <c r="G13954" t="s">
        <v>32672</v>
      </c>
      <c r="H13954" t="s">
        <v>12635</v>
      </c>
      <c r="I13954" t="s">
        <v>32712</v>
      </c>
      <c r="J13954" t="s">
        <v>41115</v>
      </c>
      <c r="K13954" t="s">
        <v>42298</v>
      </c>
      <c r="M13954" t="s">
        <v>43470</v>
      </c>
      <c r="N13954" t="s">
        <v>46569</v>
      </c>
      <c r="O13954" t="s">
        <v>46570</v>
      </c>
      <c r="Q13954">
        <v>51</v>
      </c>
      <c r="R13954" t="s">
        <v>46586</v>
      </c>
      <c r="S13954" t="s">
        <v>47382</v>
      </c>
      <c r="T13954" t="s">
        <v>48733</v>
      </c>
      <c r="U13954" t="s">
        <v>59980</v>
      </c>
      <c r="V13954" t="s">
        <v>63142</v>
      </c>
      <c r="W13954" t="s">
        <v>43470</v>
      </c>
      <c r="X13954" t="s">
        <v>46587</v>
      </c>
    </row>
    <row r="13955" spans="1:24">
      <c r="A13955">
        <f>HYPERLINK("https://www.philgeps.gov.ph/GEPSNONPILOT/Tender/SplashBidNoticeAbstractUI.aspx?menuIndex=3&amp;refID=7036782&amp;Result=3","7036782")</f>
        <v>0</v>
      </c>
      <c r="B13955" t="s">
        <v>2720</v>
      </c>
      <c r="C13955" t="s">
        <v>16795</v>
      </c>
      <c r="D13955" t="s">
        <v>18785</v>
      </c>
      <c r="E13955" t="s">
        <v>30884</v>
      </c>
      <c r="F13955" t="s">
        <v>32664</v>
      </c>
      <c r="G13955" t="s">
        <v>32672</v>
      </c>
      <c r="H13955" t="s">
        <v>32683</v>
      </c>
      <c r="I13955" t="s">
        <v>10627</v>
      </c>
      <c r="J13955" t="s">
        <v>34379</v>
      </c>
      <c r="K13955" t="s">
        <v>42290</v>
      </c>
      <c r="M13955" t="s">
        <v>45547</v>
      </c>
      <c r="N13955" t="s">
        <v>46569</v>
      </c>
      <c r="O13955" t="s">
        <v>46570</v>
      </c>
      <c r="P13955">
        <v>0</v>
      </c>
      <c r="Q13955">
        <v>3</v>
      </c>
      <c r="R13955" t="s">
        <v>46586</v>
      </c>
      <c r="S13955" t="s">
        <v>47252</v>
      </c>
      <c r="T13955" t="s">
        <v>48221</v>
      </c>
      <c r="U13955" t="s">
        <v>59697</v>
      </c>
      <c r="W13955" t="s">
        <v>45547</v>
      </c>
      <c r="X13955" t="s">
        <v>46587</v>
      </c>
    </row>
    <row r="13956" spans="1:24">
      <c r="A13956">
        <f>HYPERLINK("https://www.philgeps.gov.ph/GEPSNONPILOT/Tender/SplashBidNoticeAbstractUI.aspx?menuIndex=3&amp;refID=7036085&amp;Result=3","7036085")</f>
        <v>0</v>
      </c>
      <c r="B13956" t="s">
        <v>1329</v>
      </c>
      <c r="C13956" t="s">
        <v>16796</v>
      </c>
      <c r="D13956" t="s">
        <v>18788</v>
      </c>
      <c r="E13956" t="s">
        <v>30885</v>
      </c>
      <c r="F13956" t="s">
        <v>32664</v>
      </c>
      <c r="G13956" t="s">
        <v>32672</v>
      </c>
      <c r="H13956" t="s">
        <v>12635</v>
      </c>
      <c r="I13956" t="s">
        <v>11464</v>
      </c>
      <c r="J13956" t="s">
        <v>41116</v>
      </c>
      <c r="K13956" t="s">
        <v>42281</v>
      </c>
      <c r="M13956" t="s">
        <v>43978</v>
      </c>
      <c r="N13956" t="s">
        <v>46569</v>
      </c>
      <c r="O13956" t="s">
        <v>46570</v>
      </c>
      <c r="P13956">
        <v>0</v>
      </c>
      <c r="Q13956">
        <v>1</v>
      </c>
      <c r="R13956" t="s">
        <v>46586</v>
      </c>
      <c r="S13956" t="s">
        <v>47252</v>
      </c>
      <c r="T13956" t="s">
        <v>48221</v>
      </c>
      <c r="U13956" t="s">
        <v>59981</v>
      </c>
      <c r="V13956" t="s">
        <v>63166</v>
      </c>
      <c r="W13956" t="s">
        <v>43978</v>
      </c>
      <c r="X13956" t="s">
        <v>46587</v>
      </c>
    </row>
    <row r="13957" spans="1:24">
      <c r="A13957">
        <f>HYPERLINK("https://www.philgeps.gov.ph/GEPSNONPILOT/Tender/SplashBidNoticeAbstractUI.aspx?menuIndex=3&amp;refID=7036077&amp;Result=3","7036077")</f>
        <v>0</v>
      </c>
      <c r="B13957" t="s">
        <v>3347</v>
      </c>
      <c r="C13957" t="s">
        <v>16797</v>
      </c>
      <c r="D13957" t="s">
        <v>18791</v>
      </c>
      <c r="E13957" t="s">
        <v>16797</v>
      </c>
      <c r="F13957" t="s">
        <v>32664</v>
      </c>
      <c r="G13957" t="s">
        <v>32672</v>
      </c>
      <c r="H13957" t="s">
        <v>12635</v>
      </c>
      <c r="I13957" t="s">
        <v>7429</v>
      </c>
      <c r="J13957" t="s">
        <v>41117</v>
      </c>
      <c r="K13957" t="s">
        <v>42298</v>
      </c>
      <c r="M13957" t="s">
        <v>46303</v>
      </c>
      <c r="N13957" t="s">
        <v>46569</v>
      </c>
      <c r="O13957" t="s">
        <v>46570</v>
      </c>
      <c r="P13957">
        <v>0</v>
      </c>
      <c r="Q13957">
        <v>8</v>
      </c>
      <c r="R13957" t="s">
        <v>46586</v>
      </c>
      <c r="S13957" t="s">
        <v>47252</v>
      </c>
      <c r="T13957" t="s">
        <v>48246</v>
      </c>
      <c r="U13957" t="s">
        <v>59982</v>
      </c>
      <c r="V13957" t="s">
        <v>61795</v>
      </c>
      <c r="W13957" t="s">
        <v>46303</v>
      </c>
      <c r="X13957" t="s">
        <v>46587</v>
      </c>
    </row>
    <row r="13958" spans="1:24">
      <c r="A13958">
        <f>HYPERLINK("https://www.philgeps.gov.ph/GEPSNONPILOT/Tender/SplashBidNoticeAbstractUI.aspx?menuIndex=3&amp;refID=7036071&amp;Result=3","7036071")</f>
        <v>0</v>
      </c>
      <c r="B13958" t="s">
        <v>3332</v>
      </c>
      <c r="C13958" t="s">
        <v>16798</v>
      </c>
      <c r="D13958" t="s">
        <v>18843</v>
      </c>
      <c r="E13958" t="s">
        <v>30886</v>
      </c>
      <c r="F13958" t="s">
        <v>32664</v>
      </c>
      <c r="G13958" t="s">
        <v>32672</v>
      </c>
      <c r="H13958" t="s">
        <v>32683</v>
      </c>
      <c r="I13958" t="s">
        <v>10627</v>
      </c>
      <c r="J13958" t="s">
        <v>41118</v>
      </c>
      <c r="K13958" t="s">
        <v>42316</v>
      </c>
      <c r="M13958" t="s">
        <v>46283</v>
      </c>
      <c r="N13958" t="s">
        <v>46569</v>
      </c>
      <c r="O13958" t="s">
        <v>46570</v>
      </c>
      <c r="P13958">
        <v>0</v>
      </c>
      <c r="Q13958">
        <v>1</v>
      </c>
      <c r="R13958" t="s">
        <v>46586</v>
      </c>
      <c r="S13958" t="s">
        <v>47252</v>
      </c>
      <c r="T13958" t="s">
        <v>48226</v>
      </c>
      <c r="U13958" t="s">
        <v>59983</v>
      </c>
      <c r="W13958" t="s">
        <v>46283</v>
      </c>
      <c r="X13958" t="s">
        <v>46587</v>
      </c>
    </row>
    <row r="13959" spans="1:24">
      <c r="A13959">
        <f>HYPERLINK("https://www.philgeps.gov.ph/GEPSNONPILOT/Tender/SplashBidNoticeAbstractUI.aspx?menuIndex=3&amp;refID=7029603&amp;Result=3","7029603")</f>
        <v>0</v>
      </c>
      <c r="B13959" t="s">
        <v>2414</v>
      </c>
      <c r="C13959" t="s">
        <v>16799</v>
      </c>
      <c r="D13959" t="s">
        <v>18797</v>
      </c>
      <c r="E13959" t="s">
        <v>30887</v>
      </c>
      <c r="F13959" t="s">
        <v>32664</v>
      </c>
      <c r="G13959" t="s">
        <v>32672</v>
      </c>
      <c r="H13959" t="s">
        <v>12635</v>
      </c>
      <c r="I13959" t="s">
        <v>32696</v>
      </c>
      <c r="J13959" t="s">
        <v>41119</v>
      </c>
      <c r="K13959" t="s">
        <v>42305</v>
      </c>
      <c r="M13959" t="s">
        <v>45205</v>
      </c>
      <c r="N13959" t="s">
        <v>46569</v>
      </c>
      <c r="O13959" t="s">
        <v>46570</v>
      </c>
      <c r="P13959">
        <v>0</v>
      </c>
      <c r="Q13959">
        <v>7</v>
      </c>
      <c r="R13959" t="s">
        <v>46587</v>
      </c>
      <c r="S13959" t="s">
        <v>47373</v>
      </c>
      <c r="T13959" t="s">
        <v>48373</v>
      </c>
      <c r="U13959" t="s">
        <v>59984</v>
      </c>
      <c r="V13959" t="s">
        <v>63167</v>
      </c>
      <c r="W13959" t="s">
        <v>45205</v>
      </c>
      <c r="X13959" t="s">
        <v>46592</v>
      </c>
    </row>
    <row r="13960" spans="1:24">
      <c r="A13960">
        <f>HYPERLINK("https://www.philgeps.gov.ph/GEPSNONPILOT/Tender/SplashBidNoticeAbstractUI.aspx?menuIndex=3&amp;refID=7031485&amp;Result=3","7031485")</f>
        <v>0</v>
      </c>
      <c r="B13960" t="s">
        <v>83</v>
      </c>
      <c r="C13960" t="s">
        <v>16800</v>
      </c>
      <c r="D13960" t="s">
        <v>18784</v>
      </c>
      <c r="E13960" t="s">
        <v>30888</v>
      </c>
      <c r="F13960" t="s">
        <v>32664</v>
      </c>
      <c r="G13960" t="s">
        <v>32672</v>
      </c>
      <c r="H13960" t="s">
        <v>12635</v>
      </c>
      <c r="I13960" t="s">
        <v>6223</v>
      </c>
      <c r="J13960" t="s">
        <v>41120</v>
      </c>
      <c r="K13960" t="s">
        <v>42283</v>
      </c>
      <c r="M13960" t="s">
        <v>42646</v>
      </c>
      <c r="N13960" t="s">
        <v>46569</v>
      </c>
      <c r="O13960" t="s">
        <v>46570</v>
      </c>
      <c r="P13960">
        <v>0</v>
      </c>
      <c r="Q13960">
        <v>6</v>
      </c>
      <c r="R13960" t="s">
        <v>46587</v>
      </c>
      <c r="S13960" t="s">
        <v>47373</v>
      </c>
      <c r="T13960" t="s">
        <v>48734</v>
      </c>
      <c r="U13960" t="s">
        <v>59985</v>
      </c>
      <c r="W13960" t="s">
        <v>42646</v>
      </c>
      <c r="X13960" t="s">
        <v>46591</v>
      </c>
    </row>
    <row r="13961" spans="1:24">
      <c r="A13961">
        <f>HYPERLINK("https://www.philgeps.gov.ph/GEPSNONPILOT/Tender/SplashBidNoticeAbstractUI.aspx?menuIndex=3&amp;refID=7036790&amp;Result=3","7036790")</f>
        <v>0</v>
      </c>
      <c r="B13961" t="s">
        <v>1194</v>
      </c>
      <c r="C13961" t="s">
        <v>16801</v>
      </c>
      <c r="D13961" t="s">
        <v>18782</v>
      </c>
      <c r="E13961" t="s">
        <v>30889</v>
      </c>
      <c r="F13961" t="s">
        <v>32664</v>
      </c>
      <c r="G13961" t="s">
        <v>32672</v>
      </c>
      <c r="H13961" t="s">
        <v>32683</v>
      </c>
      <c r="I13961" t="s">
        <v>10627</v>
      </c>
      <c r="J13961" t="s">
        <v>34046</v>
      </c>
      <c r="K13961" t="s">
        <v>42521</v>
      </c>
      <c r="M13961" t="s">
        <v>45840</v>
      </c>
      <c r="N13961" t="s">
        <v>46569</v>
      </c>
      <c r="O13961" t="s">
        <v>46570</v>
      </c>
      <c r="P13961">
        <v>0</v>
      </c>
      <c r="Q13961">
        <v>2</v>
      </c>
      <c r="R13961" t="s">
        <v>46586</v>
      </c>
      <c r="S13961" t="s">
        <v>47252</v>
      </c>
      <c r="T13961" t="s">
        <v>48221</v>
      </c>
      <c r="U13961" t="s">
        <v>59986</v>
      </c>
      <c r="V13961" t="s">
        <v>63168</v>
      </c>
      <c r="W13961" t="s">
        <v>45840</v>
      </c>
      <c r="X13961" t="s">
        <v>46587</v>
      </c>
    </row>
    <row r="13962" spans="1:24">
      <c r="A13962">
        <f>HYPERLINK("https://www.philgeps.gov.ph/GEPSNONPILOT/Tender/SplashBidNoticeAbstractUI.aspx?menuIndex=3&amp;refID=7031394&amp;Result=3","7031394")</f>
        <v>0</v>
      </c>
      <c r="B13962" t="s">
        <v>798</v>
      </c>
      <c r="C13962" t="s">
        <v>16802</v>
      </c>
      <c r="D13962" t="s">
        <v>18830</v>
      </c>
      <c r="E13962" t="s">
        <v>30890</v>
      </c>
      <c r="F13962" t="s">
        <v>32664</v>
      </c>
      <c r="G13962" t="s">
        <v>32672</v>
      </c>
      <c r="H13962" t="s">
        <v>12635</v>
      </c>
      <c r="I13962" t="s">
        <v>32781</v>
      </c>
      <c r="J13962" t="s">
        <v>36131</v>
      </c>
      <c r="K13962" t="s">
        <v>42289</v>
      </c>
      <c r="M13962" t="s">
        <v>43390</v>
      </c>
      <c r="N13962" t="s">
        <v>46569</v>
      </c>
      <c r="O13962" t="s">
        <v>46570</v>
      </c>
      <c r="P13962">
        <v>0</v>
      </c>
      <c r="Q13962">
        <v>1</v>
      </c>
      <c r="R13962" t="s">
        <v>46587</v>
      </c>
      <c r="S13962" t="s">
        <v>47373</v>
      </c>
      <c r="T13962" t="s">
        <v>48219</v>
      </c>
      <c r="U13962" t="s">
        <v>59987</v>
      </c>
      <c r="V13962" t="s">
        <v>63169</v>
      </c>
      <c r="W13962" t="s">
        <v>43390</v>
      </c>
      <c r="X13962" t="s">
        <v>46591</v>
      </c>
    </row>
    <row r="13963" spans="1:24">
      <c r="A13963">
        <f>HYPERLINK("https://www.philgeps.gov.ph/GEPSNONPILOT/Tender/SplashBidNoticeAbstractUI.aspx?menuIndex=3&amp;refID=7037257&amp;Result=3","7037257")</f>
        <v>0</v>
      </c>
      <c r="B13963" t="s">
        <v>3372</v>
      </c>
      <c r="C13963" t="s">
        <v>16803</v>
      </c>
      <c r="D13963" t="s">
        <v>18784</v>
      </c>
      <c r="E13963" t="s">
        <v>30891</v>
      </c>
      <c r="F13963" t="s">
        <v>32664</v>
      </c>
      <c r="G13963" t="s">
        <v>32672</v>
      </c>
      <c r="H13963" t="s">
        <v>12635</v>
      </c>
      <c r="I13963" t="s">
        <v>11464</v>
      </c>
      <c r="J13963" t="s">
        <v>33009</v>
      </c>
      <c r="K13963" t="s">
        <v>42283</v>
      </c>
      <c r="M13963" t="s">
        <v>46333</v>
      </c>
      <c r="N13963" t="s">
        <v>46569</v>
      </c>
      <c r="O13963" t="s">
        <v>46570</v>
      </c>
      <c r="P13963">
        <v>0</v>
      </c>
      <c r="Q13963">
        <v>5</v>
      </c>
      <c r="R13963" t="s">
        <v>46586</v>
      </c>
      <c r="S13963" t="s">
        <v>47252</v>
      </c>
      <c r="T13963" t="s">
        <v>48501</v>
      </c>
      <c r="U13963" t="s">
        <v>59988</v>
      </c>
      <c r="W13963" t="s">
        <v>46333</v>
      </c>
      <c r="X13963" t="s">
        <v>46587</v>
      </c>
    </row>
    <row r="13964" spans="1:24">
      <c r="A13964">
        <f>HYPERLINK("https://www.philgeps.gov.ph/GEPSNONPILOT/Tender/SplashBidNoticeAbstractUI.aspx?menuIndex=3&amp;refID=7036080&amp;Result=3","7036080")</f>
        <v>0</v>
      </c>
      <c r="B13964" t="s">
        <v>3350</v>
      </c>
      <c r="C13964" t="s">
        <v>16804</v>
      </c>
      <c r="D13964" t="s">
        <v>18809</v>
      </c>
      <c r="E13964" t="s">
        <v>30892</v>
      </c>
      <c r="F13964" t="s">
        <v>32664</v>
      </c>
      <c r="G13964" t="s">
        <v>32672</v>
      </c>
      <c r="H13964" t="s">
        <v>32683</v>
      </c>
      <c r="I13964" t="s">
        <v>10627</v>
      </c>
      <c r="J13964" t="s">
        <v>41121</v>
      </c>
      <c r="K13964" t="s">
        <v>42290</v>
      </c>
      <c r="M13964" t="s">
        <v>46306</v>
      </c>
      <c r="N13964" t="s">
        <v>46569</v>
      </c>
      <c r="O13964" t="s">
        <v>46570</v>
      </c>
      <c r="P13964">
        <v>0</v>
      </c>
      <c r="Q13964">
        <v>0</v>
      </c>
      <c r="R13964" t="s">
        <v>46586</v>
      </c>
      <c r="S13964" t="s">
        <v>47252</v>
      </c>
      <c r="T13964" t="s">
        <v>48411</v>
      </c>
      <c r="U13964" t="s">
        <v>59989</v>
      </c>
      <c r="W13964" t="s">
        <v>46306</v>
      </c>
      <c r="X13964" t="s">
        <v>46587</v>
      </c>
    </row>
    <row r="13965" spans="1:24">
      <c r="A13965">
        <f>HYPERLINK("https://www.philgeps.gov.ph/GEPSNONPILOT/Tender/SplashBidNoticeAbstractUI.aspx?menuIndex=3&amp;refID=7031252&amp;Result=3","7031252")</f>
        <v>0</v>
      </c>
      <c r="B13965" t="s">
        <v>1009</v>
      </c>
      <c r="C13965" t="s">
        <v>16805</v>
      </c>
      <c r="D13965" t="s">
        <v>18783</v>
      </c>
      <c r="E13965" t="s">
        <v>30893</v>
      </c>
      <c r="F13965" t="s">
        <v>32664</v>
      </c>
      <c r="G13965" t="s">
        <v>32672</v>
      </c>
      <c r="H13965" t="s">
        <v>12635</v>
      </c>
      <c r="I13965" t="s">
        <v>8797</v>
      </c>
      <c r="J13965" t="s">
        <v>36923</v>
      </c>
      <c r="K13965" t="s">
        <v>42284</v>
      </c>
      <c r="M13965" t="s">
        <v>43621</v>
      </c>
      <c r="N13965" t="s">
        <v>46569</v>
      </c>
      <c r="O13965" t="s">
        <v>46570</v>
      </c>
      <c r="P13965">
        <v>0</v>
      </c>
      <c r="Q13965">
        <v>1</v>
      </c>
      <c r="R13965" t="s">
        <v>46587</v>
      </c>
      <c r="S13965" t="s">
        <v>47373</v>
      </c>
      <c r="T13965" t="s">
        <v>48279</v>
      </c>
      <c r="U13965" t="s">
        <v>50851</v>
      </c>
      <c r="V13965" t="s">
        <v>63170</v>
      </c>
      <c r="W13965" t="s">
        <v>43621</v>
      </c>
      <c r="X13965" t="s">
        <v>46591</v>
      </c>
    </row>
    <row r="13966" spans="1:24">
      <c r="A13966">
        <f>HYPERLINK("https://www.philgeps.gov.ph/GEPSNONPILOT/Tender/SplashBidNoticeAbstractUI.aspx?menuIndex=3&amp;refID=7030667&amp;Result=3","7030667")</f>
        <v>0</v>
      </c>
      <c r="B13966" t="s">
        <v>2606</v>
      </c>
      <c r="C13966" t="s">
        <v>16806</v>
      </c>
      <c r="D13966" t="s">
        <v>18844</v>
      </c>
      <c r="E13966" t="s">
        <v>30894</v>
      </c>
      <c r="F13966" t="s">
        <v>32664</v>
      </c>
      <c r="G13966" t="s">
        <v>32672</v>
      </c>
      <c r="H13966" t="s">
        <v>32683</v>
      </c>
      <c r="I13966" t="s">
        <v>10627</v>
      </c>
      <c r="J13966" t="s">
        <v>41122</v>
      </c>
      <c r="K13966" t="s">
        <v>42298</v>
      </c>
      <c r="M13966" t="s">
        <v>45423</v>
      </c>
      <c r="N13966" t="s">
        <v>46569</v>
      </c>
      <c r="O13966" t="s">
        <v>46570</v>
      </c>
      <c r="P13966">
        <v>0</v>
      </c>
      <c r="Q13966">
        <v>1</v>
      </c>
      <c r="R13966" t="s">
        <v>46587</v>
      </c>
      <c r="S13966" t="s">
        <v>47373</v>
      </c>
      <c r="T13966" t="s">
        <v>48283</v>
      </c>
      <c r="U13966" t="s">
        <v>59990</v>
      </c>
      <c r="W13966" t="s">
        <v>45423</v>
      </c>
      <c r="X13966" t="s">
        <v>46591</v>
      </c>
    </row>
    <row r="13967" spans="1:24">
      <c r="A13967">
        <f>HYPERLINK("https://www.philgeps.gov.ph/GEPSNONPILOT/Tender/SplashBidNoticeAbstractUI.aspx?menuIndex=3&amp;refID=7030653&amp;Result=3","7030653")</f>
        <v>0</v>
      </c>
      <c r="B13967" t="s">
        <v>1707</v>
      </c>
      <c r="C13967" t="s">
        <v>16807</v>
      </c>
      <c r="E13967" t="s">
        <v>30895</v>
      </c>
      <c r="F13967" t="s">
        <v>32664</v>
      </c>
      <c r="G13967" t="s">
        <v>32672</v>
      </c>
      <c r="H13967" t="s">
        <v>12635</v>
      </c>
      <c r="I13967" t="s">
        <v>10627</v>
      </c>
      <c r="J13967" t="s">
        <v>41123</v>
      </c>
      <c r="K13967" t="s">
        <v>42283</v>
      </c>
      <c r="M13967" t="s">
        <v>44401</v>
      </c>
      <c r="N13967" t="s">
        <v>46569</v>
      </c>
      <c r="O13967" t="s">
        <v>46570</v>
      </c>
      <c r="P13967">
        <v>0</v>
      </c>
      <c r="Q13967">
        <v>1</v>
      </c>
      <c r="R13967" t="s">
        <v>46587</v>
      </c>
      <c r="S13967" t="s">
        <v>47373</v>
      </c>
      <c r="T13967" t="s">
        <v>48283</v>
      </c>
      <c r="U13967" t="s">
        <v>59991</v>
      </c>
      <c r="W13967" t="s">
        <v>44401</v>
      </c>
      <c r="X13967" t="s">
        <v>46591</v>
      </c>
    </row>
    <row r="13968" spans="1:24">
      <c r="A13968">
        <f>HYPERLINK("https://www.philgeps.gov.ph/GEPSNONPILOT/Tender/SplashBidNoticeAbstractUI.aspx?menuIndex=3&amp;refID=7036851&amp;Result=3","7036851")</f>
        <v>0</v>
      </c>
      <c r="B13968" t="s">
        <v>3342</v>
      </c>
      <c r="C13968" t="s">
        <v>16808</v>
      </c>
      <c r="D13968" t="s">
        <v>18787</v>
      </c>
      <c r="E13968" t="s">
        <v>30896</v>
      </c>
      <c r="F13968" t="s">
        <v>32664</v>
      </c>
      <c r="G13968" t="s">
        <v>32672</v>
      </c>
      <c r="H13968" t="s">
        <v>32683</v>
      </c>
      <c r="I13968" t="s">
        <v>10627</v>
      </c>
      <c r="J13968" t="s">
        <v>35852</v>
      </c>
      <c r="K13968" t="s">
        <v>42343</v>
      </c>
      <c r="M13968" t="s">
        <v>46298</v>
      </c>
      <c r="N13968" t="s">
        <v>46569</v>
      </c>
      <c r="O13968" t="s">
        <v>46570</v>
      </c>
      <c r="P13968">
        <v>0</v>
      </c>
      <c r="Q13968">
        <v>3</v>
      </c>
      <c r="R13968" t="s">
        <v>46586</v>
      </c>
      <c r="S13968" t="s">
        <v>47252</v>
      </c>
      <c r="T13968" t="s">
        <v>48228</v>
      </c>
      <c r="U13968" t="s">
        <v>59992</v>
      </c>
      <c r="W13968" t="s">
        <v>46298</v>
      </c>
      <c r="X13968" t="s">
        <v>46587</v>
      </c>
    </row>
    <row r="13969" spans="1:24">
      <c r="A13969">
        <f>HYPERLINK("https://www.philgeps.gov.ph/GEPSNONPILOT/Tender/SplashBidNoticeAbstractUI.aspx?menuIndex=3&amp;refID=7036802&amp;Result=3","7036802")</f>
        <v>0</v>
      </c>
      <c r="B13969" t="s">
        <v>2238</v>
      </c>
      <c r="C13969" t="s">
        <v>16809</v>
      </c>
      <c r="D13969" t="s">
        <v>18828</v>
      </c>
      <c r="E13969" t="s">
        <v>30897</v>
      </c>
      <c r="F13969" t="s">
        <v>32664</v>
      </c>
      <c r="G13969" t="s">
        <v>32672</v>
      </c>
      <c r="H13969" t="s">
        <v>32683</v>
      </c>
      <c r="I13969" t="s">
        <v>10627</v>
      </c>
      <c r="J13969" t="s">
        <v>33267</v>
      </c>
      <c r="K13969" t="s">
        <v>42284</v>
      </c>
      <c r="M13969" t="s">
        <v>45002</v>
      </c>
      <c r="N13969" t="s">
        <v>46569</v>
      </c>
      <c r="O13969" t="s">
        <v>46570</v>
      </c>
      <c r="P13969">
        <v>0</v>
      </c>
      <c r="Q13969">
        <v>0</v>
      </c>
      <c r="R13969" t="s">
        <v>46586</v>
      </c>
      <c r="S13969" t="s">
        <v>47252</v>
      </c>
      <c r="T13969" t="s">
        <v>48494</v>
      </c>
      <c r="U13969" t="s">
        <v>59993</v>
      </c>
      <c r="V13969" t="s">
        <v>63171</v>
      </c>
      <c r="W13969" t="s">
        <v>45002</v>
      </c>
      <c r="X13969" t="s">
        <v>46587</v>
      </c>
    </row>
    <row r="13970" spans="1:24">
      <c r="A13970">
        <f>HYPERLINK("https://www.philgeps.gov.ph/GEPSNONPILOT/Tender/SplashBidNoticeAbstractUI.aspx?menuIndex=3&amp;refID=7036092&amp;Result=3","7036092")</f>
        <v>0</v>
      </c>
      <c r="B13970" t="s">
        <v>3332</v>
      </c>
      <c r="C13970" t="s">
        <v>16810</v>
      </c>
      <c r="D13970" t="s">
        <v>18843</v>
      </c>
      <c r="E13970" t="s">
        <v>30898</v>
      </c>
      <c r="F13970" t="s">
        <v>32664</v>
      </c>
      <c r="G13970" t="s">
        <v>32672</v>
      </c>
      <c r="H13970" t="s">
        <v>32683</v>
      </c>
      <c r="I13970" t="s">
        <v>10627</v>
      </c>
      <c r="J13970" t="s">
        <v>32962</v>
      </c>
      <c r="K13970" t="s">
        <v>42311</v>
      </c>
      <c r="M13970" t="s">
        <v>46283</v>
      </c>
      <c r="N13970" t="s">
        <v>46569</v>
      </c>
      <c r="O13970" t="s">
        <v>46570</v>
      </c>
      <c r="P13970">
        <v>0</v>
      </c>
      <c r="Q13970">
        <v>0</v>
      </c>
      <c r="R13970" t="s">
        <v>46586</v>
      </c>
      <c r="S13970" t="s">
        <v>47252</v>
      </c>
      <c r="T13970" t="s">
        <v>48226</v>
      </c>
      <c r="U13970" t="s">
        <v>59994</v>
      </c>
      <c r="W13970" t="s">
        <v>46283</v>
      </c>
      <c r="X13970" t="s">
        <v>46587</v>
      </c>
    </row>
    <row r="13971" spans="1:24">
      <c r="A13971">
        <f>HYPERLINK("https://www.philgeps.gov.ph/GEPSNONPILOT/Tender/SplashBidNoticeAbstractUI.aspx?menuIndex=3&amp;refID=7030640&amp;Result=3","7030640")</f>
        <v>0</v>
      </c>
      <c r="B13971" t="s">
        <v>2606</v>
      </c>
      <c r="C13971" t="s">
        <v>16811</v>
      </c>
      <c r="D13971" t="s">
        <v>18844</v>
      </c>
      <c r="E13971" t="s">
        <v>30899</v>
      </c>
      <c r="F13971" t="s">
        <v>32664</v>
      </c>
      <c r="G13971" t="s">
        <v>32672</v>
      </c>
      <c r="H13971" t="s">
        <v>32683</v>
      </c>
      <c r="I13971" t="s">
        <v>10627</v>
      </c>
      <c r="J13971" t="s">
        <v>41124</v>
      </c>
      <c r="K13971" t="s">
        <v>42317</v>
      </c>
      <c r="M13971" t="s">
        <v>45423</v>
      </c>
      <c r="N13971" t="s">
        <v>46569</v>
      </c>
      <c r="O13971" t="s">
        <v>46570</v>
      </c>
      <c r="P13971">
        <v>0</v>
      </c>
      <c r="Q13971">
        <v>0</v>
      </c>
      <c r="R13971" t="s">
        <v>46587</v>
      </c>
      <c r="S13971" t="s">
        <v>47373</v>
      </c>
      <c r="T13971" t="s">
        <v>48283</v>
      </c>
      <c r="U13971" t="s">
        <v>59995</v>
      </c>
      <c r="W13971" t="s">
        <v>45423</v>
      </c>
      <c r="X13971" t="s">
        <v>46591</v>
      </c>
    </row>
    <row r="13972" spans="1:24">
      <c r="A13972">
        <f>HYPERLINK("https://www.philgeps.gov.ph/GEPSNONPILOT/Tender/SplashBidNoticeAbstractUI.aspx?menuIndex=3&amp;refID=7030470&amp;Result=3","7030470")</f>
        <v>0</v>
      </c>
      <c r="B13972" t="s">
        <v>1108</v>
      </c>
      <c r="C13972" t="s">
        <v>16812</v>
      </c>
      <c r="D13972" t="s">
        <v>18796</v>
      </c>
      <c r="E13972" t="s">
        <v>30900</v>
      </c>
      <c r="F13972" t="s">
        <v>32664</v>
      </c>
      <c r="G13972" t="s">
        <v>32672</v>
      </c>
      <c r="H13972" t="s">
        <v>32683</v>
      </c>
      <c r="I13972" t="s">
        <v>10627</v>
      </c>
      <c r="J13972" t="s">
        <v>34213</v>
      </c>
      <c r="K13972" t="s">
        <v>42369</v>
      </c>
      <c r="M13972" t="s">
        <v>43735</v>
      </c>
      <c r="N13972" t="s">
        <v>46569</v>
      </c>
      <c r="O13972" t="s">
        <v>46570</v>
      </c>
      <c r="P13972">
        <v>0</v>
      </c>
      <c r="Q13972">
        <v>1</v>
      </c>
      <c r="R13972" t="s">
        <v>46587</v>
      </c>
      <c r="S13972" t="s">
        <v>47373</v>
      </c>
      <c r="T13972" t="s">
        <v>48221</v>
      </c>
      <c r="U13972" t="s">
        <v>51113</v>
      </c>
      <c r="V13972" t="s">
        <v>63172</v>
      </c>
      <c r="W13972" t="s">
        <v>43735</v>
      </c>
      <c r="X13972" t="s">
        <v>46591</v>
      </c>
    </row>
    <row r="13973" spans="1:24">
      <c r="A13973">
        <f>HYPERLINK("https://www.philgeps.gov.ph/GEPSNONPILOT/Tender/SplashBidNoticeAbstractUI.aspx?menuIndex=3&amp;refID=7030617&amp;Result=3","7030617")</f>
        <v>0</v>
      </c>
      <c r="B13973" t="s">
        <v>3373</v>
      </c>
      <c r="C13973" t="s">
        <v>16813</v>
      </c>
      <c r="D13973" t="s">
        <v>18851</v>
      </c>
      <c r="E13973" t="s">
        <v>30901</v>
      </c>
      <c r="F13973" t="s">
        <v>32664</v>
      </c>
      <c r="G13973" t="s">
        <v>32672</v>
      </c>
      <c r="H13973" t="s">
        <v>12635</v>
      </c>
      <c r="I13973" t="s">
        <v>11464</v>
      </c>
      <c r="J13973" t="s">
        <v>33009</v>
      </c>
      <c r="K13973" t="s">
        <v>42305</v>
      </c>
      <c r="M13973" t="s">
        <v>46334</v>
      </c>
      <c r="N13973" t="s">
        <v>46569</v>
      </c>
      <c r="O13973" t="s">
        <v>46570</v>
      </c>
      <c r="P13973">
        <v>0</v>
      </c>
      <c r="Q13973">
        <v>2</v>
      </c>
      <c r="R13973" t="s">
        <v>46587</v>
      </c>
      <c r="S13973" t="s">
        <v>47373</v>
      </c>
      <c r="T13973" t="s">
        <v>48221</v>
      </c>
      <c r="U13973" t="s">
        <v>59996</v>
      </c>
      <c r="V13973" t="s">
        <v>61668</v>
      </c>
      <c r="W13973" t="s">
        <v>46334</v>
      </c>
      <c r="X13973" t="s">
        <v>46591</v>
      </c>
    </row>
    <row r="13974" spans="1:24">
      <c r="A13974">
        <f>HYPERLINK("https://www.philgeps.gov.ph/GEPSNONPILOT/Tender/SplashBidNoticeAbstractUI.aspx?menuIndex=3&amp;refID=7030405&amp;Result=3","7030405")</f>
        <v>0</v>
      </c>
      <c r="B13974" t="s">
        <v>1108</v>
      </c>
      <c r="C13974" t="s">
        <v>16814</v>
      </c>
      <c r="D13974" t="s">
        <v>18796</v>
      </c>
      <c r="E13974" t="s">
        <v>30902</v>
      </c>
      <c r="F13974" t="s">
        <v>32664</v>
      </c>
      <c r="G13974" t="s">
        <v>32672</v>
      </c>
      <c r="H13974" t="s">
        <v>32683</v>
      </c>
      <c r="I13974" t="s">
        <v>10627</v>
      </c>
      <c r="J13974" t="s">
        <v>34213</v>
      </c>
      <c r="K13974" t="s">
        <v>42369</v>
      </c>
      <c r="M13974" t="s">
        <v>43735</v>
      </c>
      <c r="N13974" t="s">
        <v>46569</v>
      </c>
      <c r="O13974" t="s">
        <v>46570</v>
      </c>
      <c r="P13974">
        <v>0</v>
      </c>
      <c r="Q13974">
        <v>1</v>
      </c>
      <c r="R13974" t="s">
        <v>46587</v>
      </c>
      <c r="S13974" t="s">
        <v>47373</v>
      </c>
      <c r="T13974" t="s">
        <v>48221</v>
      </c>
      <c r="U13974" t="s">
        <v>51113</v>
      </c>
      <c r="V13974" t="s">
        <v>63173</v>
      </c>
      <c r="W13974" t="s">
        <v>43735</v>
      </c>
      <c r="X13974" t="s">
        <v>46591</v>
      </c>
    </row>
    <row r="13975" spans="1:24">
      <c r="A13975">
        <f>HYPERLINK("https://www.philgeps.gov.ph/GEPSNONPILOT/Tender/SplashBidNoticeAbstractUI.aspx?menuIndex=3&amp;refID=7031158&amp;Result=3","7031158")</f>
        <v>0</v>
      </c>
      <c r="B13975" t="s">
        <v>1009</v>
      </c>
      <c r="C13975" t="s">
        <v>5747</v>
      </c>
      <c r="D13975" t="s">
        <v>18783</v>
      </c>
      <c r="E13975" t="s">
        <v>30903</v>
      </c>
      <c r="F13975" t="s">
        <v>32664</v>
      </c>
      <c r="G13975" t="s">
        <v>32672</v>
      </c>
      <c r="H13975" t="s">
        <v>12635</v>
      </c>
      <c r="I13975" t="s">
        <v>10370</v>
      </c>
      <c r="J13975" t="s">
        <v>41125</v>
      </c>
      <c r="K13975" t="s">
        <v>42284</v>
      </c>
      <c r="M13975" t="s">
        <v>43621</v>
      </c>
      <c r="N13975" t="s">
        <v>46569</v>
      </c>
      <c r="O13975" t="s">
        <v>46570</v>
      </c>
      <c r="P13975">
        <v>0</v>
      </c>
      <c r="Q13975">
        <v>2</v>
      </c>
      <c r="R13975" t="s">
        <v>46587</v>
      </c>
      <c r="S13975" t="s">
        <v>47373</v>
      </c>
      <c r="T13975" t="s">
        <v>48279</v>
      </c>
      <c r="U13975" t="s">
        <v>50851</v>
      </c>
      <c r="V13975" t="s">
        <v>63174</v>
      </c>
      <c r="W13975" t="s">
        <v>43621</v>
      </c>
      <c r="X13975" t="s">
        <v>46591</v>
      </c>
    </row>
    <row r="13976" spans="1:24">
      <c r="A13976">
        <f>HYPERLINK("https://www.philgeps.gov.ph/GEPSNONPILOT/Tender/SplashBidNoticeAbstractUI.aspx?menuIndex=3&amp;refID=7030122&amp;Result=3","7030122")</f>
        <v>0</v>
      </c>
      <c r="B13976" t="s">
        <v>95</v>
      </c>
      <c r="C13976" t="s">
        <v>16815</v>
      </c>
      <c r="D13976" t="s">
        <v>18807</v>
      </c>
      <c r="E13976" t="s">
        <v>30904</v>
      </c>
      <c r="F13976" t="s">
        <v>32664</v>
      </c>
      <c r="G13976" t="s">
        <v>32672</v>
      </c>
      <c r="H13976" t="s">
        <v>32683</v>
      </c>
      <c r="I13976" t="s">
        <v>10627</v>
      </c>
      <c r="J13976" t="s">
        <v>41126</v>
      </c>
      <c r="K13976" t="s">
        <v>42321</v>
      </c>
      <c r="M13976" t="s">
        <v>42658</v>
      </c>
      <c r="N13976" t="s">
        <v>46569</v>
      </c>
      <c r="O13976" t="s">
        <v>46570</v>
      </c>
      <c r="P13976">
        <v>0</v>
      </c>
      <c r="Q13976">
        <v>1</v>
      </c>
      <c r="R13976" t="s">
        <v>46587</v>
      </c>
      <c r="S13976" t="s">
        <v>47373</v>
      </c>
      <c r="T13976" t="s">
        <v>48467</v>
      </c>
      <c r="U13976" t="s">
        <v>59997</v>
      </c>
      <c r="W13976" t="s">
        <v>42658</v>
      </c>
      <c r="X13976" t="s">
        <v>46591</v>
      </c>
    </row>
    <row r="13977" spans="1:24">
      <c r="A13977">
        <f>HYPERLINK("https://www.philgeps.gov.ph/GEPSNONPILOT/Tender/SplashBidNoticeAbstractUI.aspx?menuIndex=3&amp;refID=7029976&amp;Result=3","7029976")</f>
        <v>0</v>
      </c>
      <c r="B13977" t="s">
        <v>1632</v>
      </c>
      <c r="C13977" t="s">
        <v>16816</v>
      </c>
      <c r="D13977" t="s">
        <v>18841</v>
      </c>
      <c r="E13977" t="s">
        <v>30905</v>
      </c>
      <c r="F13977" t="s">
        <v>32664</v>
      </c>
      <c r="G13977" t="s">
        <v>32672</v>
      </c>
      <c r="H13977" t="s">
        <v>12635</v>
      </c>
      <c r="I13977" t="s">
        <v>32708</v>
      </c>
      <c r="J13977" t="s">
        <v>32943</v>
      </c>
      <c r="K13977" t="s">
        <v>42298</v>
      </c>
      <c r="M13977" t="s">
        <v>44314</v>
      </c>
      <c r="N13977" t="s">
        <v>46569</v>
      </c>
      <c r="O13977" t="s">
        <v>46570</v>
      </c>
      <c r="Q13977">
        <v>13</v>
      </c>
      <c r="R13977" t="s">
        <v>46587</v>
      </c>
      <c r="S13977" t="s">
        <v>47383</v>
      </c>
      <c r="T13977" t="s">
        <v>48212</v>
      </c>
      <c r="U13977" t="s">
        <v>59998</v>
      </c>
      <c r="W13977" t="s">
        <v>44314</v>
      </c>
      <c r="X13977" t="s">
        <v>46591</v>
      </c>
    </row>
    <row r="13978" spans="1:24">
      <c r="A13978">
        <f>HYPERLINK("https://www.philgeps.gov.ph/GEPSNONPILOT/Tender/SplashBidNoticeAbstractUI.aspx?menuIndex=3&amp;refID=7029161&amp;Result=3","7029161")</f>
        <v>0</v>
      </c>
      <c r="B13978" t="s">
        <v>3374</v>
      </c>
      <c r="C13978" t="s">
        <v>16817</v>
      </c>
      <c r="D13978" t="s">
        <v>18831</v>
      </c>
      <c r="E13978" t="s">
        <v>30906</v>
      </c>
      <c r="F13978" t="s">
        <v>32664</v>
      </c>
      <c r="G13978" t="s">
        <v>32672</v>
      </c>
      <c r="H13978" t="s">
        <v>12635</v>
      </c>
      <c r="I13978" t="s">
        <v>11464</v>
      </c>
      <c r="J13978" t="s">
        <v>33150</v>
      </c>
      <c r="K13978" t="s">
        <v>42298</v>
      </c>
      <c r="M13978" t="s">
        <v>46335</v>
      </c>
      <c r="N13978" t="s">
        <v>46569</v>
      </c>
      <c r="O13978" t="s">
        <v>46570</v>
      </c>
      <c r="Q13978">
        <v>12</v>
      </c>
      <c r="R13978" t="s">
        <v>46587</v>
      </c>
      <c r="S13978" t="s">
        <v>47384</v>
      </c>
      <c r="T13978" t="s">
        <v>48334</v>
      </c>
      <c r="U13978" t="s">
        <v>59999</v>
      </c>
      <c r="W13978" t="s">
        <v>46335</v>
      </c>
      <c r="X13978" t="s">
        <v>46592</v>
      </c>
    </row>
    <row r="13979" spans="1:24">
      <c r="A13979">
        <f>HYPERLINK("https://www.philgeps.gov.ph/GEPSNONPILOT/Tender/SplashBidNoticeAbstractUI.aspx?menuIndex=3&amp;refID=7030623&amp;Result=3","7030623")</f>
        <v>0</v>
      </c>
      <c r="B13979" t="s">
        <v>1843</v>
      </c>
      <c r="C13979" t="s">
        <v>16818</v>
      </c>
      <c r="D13979" t="s">
        <v>18842</v>
      </c>
      <c r="E13979" t="s">
        <v>30907</v>
      </c>
      <c r="F13979" t="s">
        <v>32664</v>
      </c>
      <c r="G13979" t="s">
        <v>32672</v>
      </c>
      <c r="H13979" t="s">
        <v>32683</v>
      </c>
      <c r="I13979" t="s">
        <v>10627</v>
      </c>
      <c r="J13979" t="s">
        <v>32962</v>
      </c>
      <c r="K13979" t="s">
        <v>42298</v>
      </c>
      <c r="M13979" t="s">
        <v>44551</v>
      </c>
      <c r="N13979" t="s">
        <v>46569</v>
      </c>
      <c r="O13979" t="s">
        <v>46570</v>
      </c>
      <c r="P13979">
        <v>0</v>
      </c>
      <c r="Q13979">
        <v>0</v>
      </c>
      <c r="R13979" t="s">
        <v>46587</v>
      </c>
      <c r="S13979" t="s">
        <v>47373</v>
      </c>
      <c r="T13979" t="s">
        <v>48311</v>
      </c>
      <c r="U13979" t="s">
        <v>60000</v>
      </c>
      <c r="V13979" t="s">
        <v>60000</v>
      </c>
      <c r="W13979" t="s">
        <v>44551</v>
      </c>
      <c r="X13979" t="s">
        <v>46591</v>
      </c>
    </row>
    <row r="13980" spans="1:24">
      <c r="A13980">
        <f>HYPERLINK("https://www.philgeps.gov.ph/GEPSNONPILOT/Tender/SplashBidNoticeAbstractUI.aspx?menuIndex=3&amp;refID=7035990&amp;Result=3","7035990")</f>
        <v>0</v>
      </c>
      <c r="B13980" t="s">
        <v>3325</v>
      </c>
      <c r="C13980" t="s">
        <v>16819</v>
      </c>
      <c r="D13980" t="s">
        <v>18847</v>
      </c>
      <c r="E13980" t="s">
        <v>25251</v>
      </c>
      <c r="F13980" t="s">
        <v>32664</v>
      </c>
      <c r="G13980" t="s">
        <v>32672</v>
      </c>
      <c r="H13980" t="s">
        <v>32683</v>
      </c>
      <c r="I13980" t="s">
        <v>10627</v>
      </c>
      <c r="J13980" t="s">
        <v>41127</v>
      </c>
      <c r="K13980" t="s">
        <v>42352</v>
      </c>
      <c r="M13980" t="s">
        <v>46276</v>
      </c>
      <c r="N13980" t="s">
        <v>46569</v>
      </c>
      <c r="O13980" t="s">
        <v>46570</v>
      </c>
      <c r="P13980">
        <v>0</v>
      </c>
      <c r="Q13980">
        <v>0</v>
      </c>
      <c r="R13980" t="s">
        <v>46586</v>
      </c>
      <c r="S13980" t="s">
        <v>47252</v>
      </c>
      <c r="T13980" t="s">
        <v>48608</v>
      </c>
      <c r="U13980" t="s">
        <v>60001</v>
      </c>
      <c r="W13980" t="s">
        <v>46276</v>
      </c>
      <c r="X13980" t="s">
        <v>46587</v>
      </c>
    </row>
    <row r="13981" spans="1:24">
      <c r="A13981">
        <f>HYPERLINK("https://www.philgeps.gov.ph/GEPSNONPILOT/Tender/SplashBidNoticeAbstractUI.aspx?menuIndex=3&amp;refID=7030447&amp;Result=3","7030447")</f>
        <v>0</v>
      </c>
      <c r="B13981" t="s">
        <v>2606</v>
      </c>
      <c r="C13981" t="s">
        <v>16820</v>
      </c>
      <c r="D13981" t="s">
        <v>18844</v>
      </c>
      <c r="E13981" t="s">
        <v>30908</v>
      </c>
      <c r="F13981" t="s">
        <v>32664</v>
      </c>
      <c r="G13981" t="s">
        <v>32672</v>
      </c>
      <c r="H13981" t="s">
        <v>32683</v>
      </c>
      <c r="I13981" t="s">
        <v>10627</v>
      </c>
      <c r="J13981" t="s">
        <v>41128</v>
      </c>
      <c r="K13981" t="s">
        <v>42548</v>
      </c>
      <c r="M13981" t="s">
        <v>45423</v>
      </c>
      <c r="N13981" t="s">
        <v>46569</v>
      </c>
      <c r="O13981" t="s">
        <v>46570</v>
      </c>
      <c r="P13981">
        <v>0</v>
      </c>
      <c r="Q13981">
        <v>0</v>
      </c>
      <c r="R13981" t="s">
        <v>46587</v>
      </c>
      <c r="S13981" t="s">
        <v>47373</v>
      </c>
      <c r="T13981" t="s">
        <v>48283</v>
      </c>
      <c r="U13981" t="s">
        <v>60002</v>
      </c>
      <c r="W13981" t="s">
        <v>45423</v>
      </c>
      <c r="X13981" t="s">
        <v>46591</v>
      </c>
    </row>
    <row r="13982" spans="1:24">
      <c r="A13982">
        <f>HYPERLINK("https://www.philgeps.gov.ph/GEPSNONPILOT/Tender/SplashBidNoticeAbstractUI.aspx?menuIndex=3&amp;refID=7030254&amp;Result=3","7030254")</f>
        <v>0</v>
      </c>
      <c r="B13982" t="s">
        <v>1108</v>
      </c>
      <c r="C13982" t="s">
        <v>16821</v>
      </c>
      <c r="D13982" t="s">
        <v>18796</v>
      </c>
      <c r="E13982" t="s">
        <v>30909</v>
      </c>
      <c r="F13982" t="s">
        <v>32664</v>
      </c>
      <c r="G13982" t="s">
        <v>32672</v>
      </c>
      <c r="H13982" t="s">
        <v>32683</v>
      </c>
      <c r="I13982" t="s">
        <v>10627</v>
      </c>
      <c r="J13982" t="s">
        <v>33946</v>
      </c>
      <c r="K13982" t="s">
        <v>42365</v>
      </c>
      <c r="M13982" t="s">
        <v>43735</v>
      </c>
      <c r="N13982" t="s">
        <v>46569</v>
      </c>
      <c r="O13982" t="s">
        <v>46570</v>
      </c>
      <c r="P13982">
        <v>0</v>
      </c>
      <c r="Q13982">
        <v>6</v>
      </c>
      <c r="R13982" t="s">
        <v>46587</v>
      </c>
      <c r="S13982" t="s">
        <v>47373</v>
      </c>
      <c r="T13982" t="s">
        <v>48221</v>
      </c>
      <c r="U13982" t="s">
        <v>51113</v>
      </c>
      <c r="V13982" t="s">
        <v>63175</v>
      </c>
      <c r="W13982" t="s">
        <v>43735</v>
      </c>
      <c r="X13982" t="s">
        <v>46591</v>
      </c>
    </row>
    <row r="13983" spans="1:24">
      <c r="A13983">
        <f>HYPERLINK("https://www.philgeps.gov.ph/GEPSNONPILOT/Tender/SplashBidNoticeAbstractUI.aspx?menuIndex=3&amp;refID=7032369&amp;Result=3","7032369")</f>
        <v>0</v>
      </c>
      <c r="B13983" t="s">
        <v>83</v>
      </c>
      <c r="C13983" t="s">
        <v>16822</v>
      </c>
      <c r="D13983" t="s">
        <v>18784</v>
      </c>
      <c r="E13983" t="s">
        <v>30910</v>
      </c>
      <c r="F13983" t="s">
        <v>32664</v>
      </c>
      <c r="G13983" t="s">
        <v>32672</v>
      </c>
      <c r="H13983" t="s">
        <v>12635</v>
      </c>
      <c r="I13983" t="s">
        <v>4439</v>
      </c>
      <c r="J13983" t="s">
        <v>41129</v>
      </c>
      <c r="K13983" t="s">
        <v>42283</v>
      </c>
      <c r="M13983" t="s">
        <v>45741</v>
      </c>
      <c r="N13983" t="s">
        <v>46569</v>
      </c>
      <c r="O13983" t="s">
        <v>46570</v>
      </c>
      <c r="P13983">
        <v>0</v>
      </c>
      <c r="Q13983">
        <v>2</v>
      </c>
      <c r="R13983" t="s">
        <v>46587</v>
      </c>
      <c r="S13983" t="s">
        <v>47373</v>
      </c>
      <c r="T13983" t="s">
        <v>48244</v>
      </c>
      <c r="U13983" t="s">
        <v>60003</v>
      </c>
      <c r="W13983" t="s">
        <v>45741</v>
      </c>
      <c r="X13983" t="s">
        <v>46589</v>
      </c>
    </row>
    <row r="13984" spans="1:24">
      <c r="A13984">
        <f>HYPERLINK("https://www.philgeps.gov.ph/GEPSNONPILOT/Tender/SplashBidNoticeAbstractUI.aspx?menuIndex=3&amp;refID=7032373&amp;Result=3","7032373")</f>
        <v>0</v>
      </c>
      <c r="B13984" t="s">
        <v>83</v>
      </c>
      <c r="C13984" t="s">
        <v>16823</v>
      </c>
      <c r="D13984" t="s">
        <v>18784</v>
      </c>
      <c r="E13984" t="s">
        <v>30911</v>
      </c>
      <c r="F13984" t="s">
        <v>32664</v>
      </c>
      <c r="G13984" t="s">
        <v>32672</v>
      </c>
      <c r="H13984" t="s">
        <v>12635</v>
      </c>
      <c r="I13984" t="s">
        <v>4333</v>
      </c>
      <c r="J13984" t="s">
        <v>32930</v>
      </c>
      <c r="K13984" t="s">
        <v>42283</v>
      </c>
      <c r="M13984" t="s">
        <v>45741</v>
      </c>
      <c r="N13984" t="s">
        <v>46569</v>
      </c>
      <c r="O13984" t="s">
        <v>46570</v>
      </c>
      <c r="P13984">
        <v>0</v>
      </c>
      <c r="Q13984">
        <v>3</v>
      </c>
      <c r="R13984" t="s">
        <v>46587</v>
      </c>
      <c r="S13984" t="s">
        <v>47373</v>
      </c>
      <c r="T13984" t="s">
        <v>48244</v>
      </c>
      <c r="U13984" t="s">
        <v>60004</v>
      </c>
      <c r="W13984" t="s">
        <v>45741</v>
      </c>
      <c r="X13984" t="s">
        <v>46589</v>
      </c>
    </row>
    <row r="13985" spans="1:24">
      <c r="A13985">
        <f>HYPERLINK("https://www.philgeps.gov.ph/GEPSNONPILOT/Tender/SplashBidNoticeAbstractUI.aspx?menuIndex=3&amp;refID=7032196&amp;Result=3","7032196")</f>
        <v>0</v>
      </c>
      <c r="B13985" t="s">
        <v>460</v>
      </c>
      <c r="C13985" t="s">
        <v>16824</v>
      </c>
      <c r="D13985" t="s">
        <v>18806</v>
      </c>
      <c r="E13985" t="s">
        <v>30912</v>
      </c>
      <c r="F13985" t="s">
        <v>32664</v>
      </c>
      <c r="G13985" t="s">
        <v>32672</v>
      </c>
      <c r="H13985" t="s">
        <v>32683</v>
      </c>
      <c r="I13985" t="s">
        <v>10627</v>
      </c>
      <c r="J13985" t="s">
        <v>33216</v>
      </c>
      <c r="K13985" t="s">
        <v>42467</v>
      </c>
      <c r="M13985" t="s">
        <v>45683</v>
      </c>
      <c r="N13985" t="s">
        <v>46569</v>
      </c>
      <c r="O13985" t="s">
        <v>46570</v>
      </c>
      <c r="Q13985">
        <v>4</v>
      </c>
      <c r="R13985" t="s">
        <v>46587</v>
      </c>
      <c r="S13985" t="s">
        <v>47385</v>
      </c>
      <c r="T13985" t="s">
        <v>48244</v>
      </c>
      <c r="U13985" t="s">
        <v>57088</v>
      </c>
      <c r="V13985" t="s">
        <v>61668</v>
      </c>
      <c r="W13985" t="s">
        <v>45683</v>
      </c>
      <c r="X13985" t="s">
        <v>46590</v>
      </c>
    </row>
    <row r="13986" spans="1:24">
      <c r="A13986">
        <f>HYPERLINK("https://www.philgeps.gov.ph/GEPSNONPILOT/Tender/SplashBidNoticeAbstractUI.aspx?menuIndex=3&amp;refID=7032189&amp;Result=3","7032189")</f>
        <v>0</v>
      </c>
      <c r="B13986" t="s">
        <v>460</v>
      </c>
      <c r="C13986" t="s">
        <v>16825</v>
      </c>
      <c r="D13986" t="s">
        <v>18806</v>
      </c>
      <c r="E13986" t="s">
        <v>30913</v>
      </c>
      <c r="F13986" t="s">
        <v>32664</v>
      </c>
      <c r="G13986" t="s">
        <v>32672</v>
      </c>
      <c r="H13986" t="s">
        <v>32683</v>
      </c>
      <c r="I13986" t="s">
        <v>10627</v>
      </c>
      <c r="J13986" t="s">
        <v>41130</v>
      </c>
      <c r="K13986" t="s">
        <v>42448</v>
      </c>
      <c r="M13986" t="s">
        <v>45683</v>
      </c>
      <c r="N13986" t="s">
        <v>46569</v>
      </c>
      <c r="O13986" t="s">
        <v>46570</v>
      </c>
      <c r="Q13986">
        <v>5</v>
      </c>
      <c r="R13986" t="s">
        <v>46587</v>
      </c>
      <c r="S13986" t="s">
        <v>47386</v>
      </c>
      <c r="T13986" t="s">
        <v>48244</v>
      </c>
      <c r="U13986" t="s">
        <v>57088</v>
      </c>
      <c r="V13986" t="s">
        <v>61668</v>
      </c>
      <c r="W13986" t="s">
        <v>45683</v>
      </c>
      <c r="X13986" t="s">
        <v>46590</v>
      </c>
    </row>
    <row r="13987" spans="1:24">
      <c r="A13987">
        <f>HYPERLINK("https://www.philgeps.gov.ph/GEPSNONPILOT/Tender/SplashBidNoticeAbstractUI.aspx?menuIndex=3&amp;refID=7032187&amp;Result=3","7032187")</f>
        <v>0</v>
      </c>
      <c r="B13987" t="s">
        <v>460</v>
      </c>
      <c r="C13987" t="s">
        <v>16826</v>
      </c>
      <c r="D13987" t="s">
        <v>18806</v>
      </c>
      <c r="E13987" t="s">
        <v>30914</v>
      </c>
      <c r="F13987" t="s">
        <v>32664</v>
      </c>
      <c r="G13987" t="s">
        <v>32672</v>
      </c>
      <c r="H13987" t="s">
        <v>32683</v>
      </c>
      <c r="I13987" t="s">
        <v>10627</v>
      </c>
      <c r="J13987" t="s">
        <v>41131</v>
      </c>
      <c r="K13987" t="s">
        <v>42314</v>
      </c>
      <c r="M13987" t="s">
        <v>45683</v>
      </c>
      <c r="N13987" t="s">
        <v>46569</v>
      </c>
      <c r="O13987" t="s">
        <v>46570</v>
      </c>
      <c r="Q13987">
        <v>2</v>
      </c>
      <c r="R13987" t="s">
        <v>46587</v>
      </c>
      <c r="S13987" t="s">
        <v>47387</v>
      </c>
      <c r="T13987" t="s">
        <v>48244</v>
      </c>
      <c r="U13987" t="s">
        <v>57088</v>
      </c>
      <c r="V13987" t="s">
        <v>61668</v>
      </c>
      <c r="W13987" t="s">
        <v>45683</v>
      </c>
      <c r="X13987" t="s">
        <v>46590</v>
      </c>
    </row>
    <row r="13988" spans="1:24">
      <c r="A13988">
        <f>HYPERLINK("https://www.philgeps.gov.ph/GEPSNONPILOT/Tender/SplashBidNoticeAbstractUI.aspx?menuIndex=3&amp;refID=7032180&amp;Result=3","7032180")</f>
        <v>0</v>
      </c>
      <c r="B13988" t="s">
        <v>460</v>
      </c>
      <c r="C13988" t="s">
        <v>16827</v>
      </c>
      <c r="D13988" t="s">
        <v>18806</v>
      </c>
      <c r="E13988" t="s">
        <v>30915</v>
      </c>
      <c r="F13988" t="s">
        <v>32664</v>
      </c>
      <c r="G13988" t="s">
        <v>32672</v>
      </c>
      <c r="H13988" t="s">
        <v>32683</v>
      </c>
      <c r="I13988" t="s">
        <v>10627</v>
      </c>
      <c r="J13988" t="s">
        <v>39440</v>
      </c>
      <c r="K13988" t="s">
        <v>42327</v>
      </c>
      <c r="M13988" t="s">
        <v>45683</v>
      </c>
      <c r="N13988" t="s">
        <v>46569</v>
      </c>
      <c r="O13988" t="s">
        <v>46570</v>
      </c>
      <c r="Q13988">
        <v>1</v>
      </c>
      <c r="R13988" t="s">
        <v>46587</v>
      </c>
      <c r="S13988" t="s">
        <v>47388</v>
      </c>
      <c r="T13988" t="s">
        <v>48244</v>
      </c>
      <c r="U13988" t="s">
        <v>57088</v>
      </c>
      <c r="V13988" t="s">
        <v>61668</v>
      </c>
      <c r="W13988" t="s">
        <v>45683</v>
      </c>
      <c r="X13988" t="s">
        <v>46590</v>
      </c>
    </row>
    <row r="13989" spans="1:24">
      <c r="A13989">
        <f>HYPERLINK("https://www.philgeps.gov.ph/GEPSNONPILOT/Tender/SplashBidNoticeAbstractUI.aspx?menuIndex=3&amp;refID=7032174&amp;Result=3","7032174")</f>
        <v>0</v>
      </c>
      <c r="B13989" t="s">
        <v>460</v>
      </c>
      <c r="C13989" t="s">
        <v>16828</v>
      </c>
      <c r="D13989" t="s">
        <v>18806</v>
      </c>
      <c r="E13989" t="s">
        <v>30916</v>
      </c>
      <c r="F13989" t="s">
        <v>32664</v>
      </c>
      <c r="G13989" t="s">
        <v>32672</v>
      </c>
      <c r="H13989" t="s">
        <v>32683</v>
      </c>
      <c r="I13989" t="s">
        <v>10627</v>
      </c>
      <c r="J13989" t="s">
        <v>41130</v>
      </c>
      <c r="K13989" t="s">
        <v>42341</v>
      </c>
      <c r="M13989" t="s">
        <v>45683</v>
      </c>
      <c r="N13989" t="s">
        <v>46569</v>
      </c>
      <c r="O13989" t="s">
        <v>46570</v>
      </c>
      <c r="Q13989">
        <v>6</v>
      </c>
      <c r="R13989" t="s">
        <v>46587</v>
      </c>
      <c r="S13989" t="s">
        <v>47389</v>
      </c>
      <c r="T13989" t="s">
        <v>48244</v>
      </c>
      <c r="U13989" t="s">
        <v>57088</v>
      </c>
      <c r="V13989" t="s">
        <v>61668</v>
      </c>
      <c r="W13989" t="s">
        <v>45683</v>
      </c>
      <c r="X13989" t="s">
        <v>46590</v>
      </c>
    </row>
    <row r="13990" spans="1:24">
      <c r="A13990">
        <f>HYPERLINK("https://www.philgeps.gov.ph/GEPSNONPILOT/Tender/SplashBidNoticeAbstractUI.aspx?menuIndex=3&amp;refID=7032171&amp;Result=3","7032171")</f>
        <v>0</v>
      </c>
      <c r="B13990" t="s">
        <v>460</v>
      </c>
      <c r="C13990" t="s">
        <v>16829</v>
      </c>
      <c r="D13990" t="s">
        <v>18806</v>
      </c>
      <c r="E13990" t="s">
        <v>30917</v>
      </c>
      <c r="F13990" t="s">
        <v>32664</v>
      </c>
      <c r="G13990" t="s">
        <v>32672</v>
      </c>
      <c r="H13990" t="s">
        <v>32683</v>
      </c>
      <c r="I13990" t="s">
        <v>10627</v>
      </c>
      <c r="J13990" t="s">
        <v>33001</v>
      </c>
      <c r="K13990" t="s">
        <v>42549</v>
      </c>
      <c r="M13990" t="s">
        <v>45683</v>
      </c>
      <c r="N13990" t="s">
        <v>46569</v>
      </c>
      <c r="O13990" t="s">
        <v>46570</v>
      </c>
      <c r="Q13990">
        <v>0</v>
      </c>
      <c r="R13990" t="s">
        <v>46587</v>
      </c>
      <c r="S13990" t="s">
        <v>47390</v>
      </c>
      <c r="T13990" t="s">
        <v>48244</v>
      </c>
      <c r="U13990" t="s">
        <v>57088</v>
      </c>
      <c r="V13990" t="s">
        <v>61668</v>
      </c>
      <c r="W13990" t="s">
        <v>45683</v>
      </c>
      <c r="X13990" t="s">
        <v>46590</v>
      </c>
    </row>
    <row r="13991" spans="1:24">
      <c r="A13991">
        <f>HYPERLINK("https://www.philgeps.gov.ph/GEPSNONPILOT/Tender/SplashBidNoticeAbstractUI.aspx?menuIndex=3&amp;refID=7032165&amp;Result=3","7032165")</f>
        <v>0</v>
      </c>
      <c r="B13991" t="s">
        <v>460</v>
      </c>
      <c r="C13991" t="s">
        <v>16830</v>
      </c>
      <c r="D13991" t="s">
        <v>18806</v>
      </c>
      <c r="E13991" t="s">
        <v>30918</v>
      </c>
      <c r="F13991" t="s">
        <v>32664</v>
      </c>
      <c r="G13991" t="s">
        <v>32672</v>
      </c>
      <c r="H13991" t="s">
        <v>32683</v>
      </c>
      <c r="I13991" t="s">
        <v>10627</v>
      </c>
      <c r="J13991" t="s">
        <v>33302</v>
      </c>
      <c r="K13991" t="s">
        <v>42317</v>
      </c>
      <c r="M13991" t="s">
        <v>45683</v>
      </c>
      <c r="N13991" t="s">
        <v>46569</v>
      </c>
      <c r="O13991" t="s">
        <v>46570</v>
      </c>
      <c r="Q13991">
        <v>1</v>
      </c>
      <c r="R13991" t="s">
        <v>46587</v>
      </c>
      <c r="S13991" t="s">
        <v>47391</v>
      </c>
      <c r="T13991" t="s">
        <v>48244</v>
      </c>
      <c r="U13991" t="s">
        <v>57088</v>
      </c>
      <c r="V13991" t="s">
        <v>61668</v>
      </c>
      <c r="W13991" t="s">
        <v>45683</v>
      </c>
      <c r="X13991" t="s">
        <v>46590</v>
      </c>
    </row>
    <row r="13992" spans="1:24">
      <c r="A13992">
        <f>HYPERLINK("https://www.philgeps.gov.ph/GEPSNONPILOT/Tender/SplashBidNoticeAbstractUI.aspx?menuIndex=3&amp;refID=7030587&amp;Result=3","7030587")</f>
        <v>0</v>
      </c>
      <c r="B13992" t="s">
        <v>2606</v>
      </c>
      <c r="C13992" t="s">
        <v>16831</v>
      </c>
      <c r="D13992" t="s">
        <v>18844</v>
      </c>
      <c r="E13992" t="s">
        <v>30919</v>
      </c>
      <c r="F13992" t="s">
        <v>32664</v>
      </c>
      <c r="G13992" t="s">
        <v>32672</v>
      </c>
      <c r="H13992" t="s">
        <v>32683</v>
      </c>
      <c r="I13992" t="s">
        <v>10627</v>
      </c>
      <c r="J13992" t="s">
        <v>41132</v>
      </c>
      <c r="K13992" t="s">
        <v>42328</v>
      </c>
      <c r="M13992" t="s">
        <v>45423</v>
      </c>
      <c r="N13992" t="s">
        <v>46569</v>
      </c>
      <c r="O13992" t="s">
        <v>46570</v>
      </c>
      <c r="P13992">
        <v>0</v>
      </c>
      <c r="Q13992">
        <v>1</v>
      </c>
      <c r="R13992" t="s">
        <v>46587</v>
      </c>
      <c r="S13992" t="s">
        <v>47373</v>
      </c>
      <c r="T13992" t="s">
        <v>48283</v>
      </c>
      <c r="U13992" t="s">
        <v>60005</v>
      </c>
      <c r="W13992" t="s">
        <v>45423</v>
      </c>
      <c r="X13992" t="s">
        <v>46591</v>
      </c>
    </row>
    <row r="13993" spans="1:24">
      <c r="A13993">
        <f>HYPERLINK("https://www.philgeps.gov.ph/GEPSNONPILOT/Tender/SplashBidNoticeAbstractUI.aspx?menuIndex=3&amp;refID=7032178&amp;Result=3","7032178")</f>
        <v>0</v>
      </c>
      <c r="B13993" t="s">
        <v>460</v>
      </c>
      <c r="C13993" t="s">
        <v>16832</v>
      </c>
      <c r="D13993" t="s">
        <v>18806</v>
      </c>
      <c r="E13993" t="s">
        <v>30920</v>
      </c>
      <c r="F13993" t="s">
        <v>32664</v>
      </c>
      <c r="G13993" t="s">
        <v>32672</v>
      </c>
      <c r="H13993" t="s">
        <v>32683</v>
      </c>
      <c r="I13993" t="s">
        <v>10627</v>
      </c>
      <c r="J13993" t="s">
        <v>32943</v>
      </c>
      <c r="K13993" t="s">
        <v>42305</v>
      </c>
      <c r="M13993" t="s">
        <v>45683</v>
      </c>
      <c r="N13993" t="s">
        <v>46569</v>
      </c>
      <c r="O13993" t="s">
        <v>46570</v>
      </c>
      <c r="Q13993">
        <v>2</v>
      </c>
      <c r="R13993" t="s">
        <v>46587</v>
      </c>
      <c r="S13993" t="s">
        <v>47392</v>
      </c>
      <c r="T13993" t="s">
        <v>48244</v>
      </c>
      <c r="U13993" t="s">
        <v>57088</v>
      </c>
      <c r="V13993" t="s">
        <v>61668</v>
      </c>
      <c r="W13993" t="s">
        <v>45683</v>
      </c>
      <c r="X13993" t="s">
        <v>46590</v>
      </c>
    </row>
    <row r="13994" spans="1:24">
      <c r="A13994">
        <f>HYPERLINK("https://www.philgeps.gov.ph/GEPSNONPILOT/Tender/SplashBidNoticeAbstractUI.aspx?menuIndex=3&amp;refID=7032368&amp;Result=3","7032368")</f>
        <v>0</v>
      </c>
      <c r="B13994" t="s">
        <v>947</v>
      </c>
      <c r="C13994" t="s">
        <v>16833</v>
      </c>
      <c r="D13994" t="s">
        <v>18787</v>
      </c>
      <c r="E13994" t="s">
        <v>30921</v>
      </c>
      <c r="F13994" t="s">
        <v>32664</v>
      </c>
      <c r="G13994" t="s">
        <v>32672</v>
      </c>
      <c r="H13994" t="s">
        <v>32683</v>
      </c>
      <c r="I13994" t="s">
        <v>10627</v>
      </c>
      <c r="J13994" t="s">
        <v>41133</v>
      </c>
      <c r="K13994" t="s">
        <v>42308</v>
      </c>
      <c r="M13994" t="s">
        <v>43553</v>
      </c>
      <c r="N13994" t="s">
        <v>46569</v>
      </c>
      <c r="O13994" t="s">
        <v>46570</v>
      </c>
      <c r="P13994">
        <v>0</v>
      </c>
      <c r="Q13994">
        <v>6</v>
      </c>
      <c r="R13994" t="s">
        <v>46587</v>
      </c>
      <c r="S13994" t="s">
        <v>47373</v>
      </c>
      <c r="T13994" t="s">
        <v>48246</v>
      </c>
      <c r="U13994" t="s">
        <v>50650</v>
      </c>
      <c r="W13994" t="s">
        <v>63497</v>
      </c>
      <c r="X13994" t="s">
        <v>46589</v>
      </c>
    </row>
    <row r="13995" spans="1:24">
      <c r="A13995">
        <f>HYPERLINK("https://www.philgeps.gov.ph/GEPSNONPILOT/Tender/SplashBidNoticeAbstractUI.aspx?menuIndex=3&amp;refID=7032164&amp;Result=3","7032164")</f>
        <v>0</v>
      </c>
      <c r="B13995" t="s">
        <v>460</v>
      </c>
      <c r="C13995" t="s">
        <v>16834</v>
      </c>
      <c r="D13995" t="s">
        <v>18806</v>
      </c>
      <c r="E13995" t="s">
        <v>30922</v>
      </c>
      <c r="F13995" t="s">
        <v>32664</v>
      </c>
      <c r="G13995" t="s">
        <v>32672</v>
      </c>
      <c r="H13995" t="s">
        <v>32683</v>
      </c>
      <c r="I13995" t="s">
        <v>10627</v>
      </c>
      <c r="J13995" t="s">
        <v>33951</v>
      </c>
      <c r="K13995" t="s">
        <v>42549</v>
      </c>
      <c r="M13995" t="s">
        <v>45683</v>
      </c>
      <c r="N13995" t="s">
        <v>46569</v>
      </c>
      <c r="O13995" t="s">
        <v>46570</v>
      </c>
      <c r="Q13995">
        <v>2</v>
      </c>
      <c r="R13995" t="s">
        <v>46587</v>
      </c>
      <c r="S13995" t="s">
        <v>47393</v>
      </c>
      <c r="T13995" t="s">
        <v>48244</v>
      </c>
      <c r="U13995" t="s">
        <v>57088</v>
      </c>
      <c r="V13995" t="s">
        <v>61668</v>
      </c>
      <c r="W13995" t="s">
        <v>45683</v>
      </c>
      <c r="X13995" t="s">
        <v>46590</v>
      </c>
    </row>
    <row r="13996" spans="1:24">
      <c r="A13996">
        <f>HYPERLINK("https://www.philgeps.gov.ph/GEPSNONPILOT/Tender/SplashBidNoticeAbstractUI.aspx?menuIndex=3&amp;refID=7032861&amp;Result=3","7032861")</f>
        <v>0</v>
      </c>
      <c r="B13996" t="s">
        <v>509</v>
      </c>
      <c r="C13996" t="s">
        <v>16835</v>
      </c>
      <c r="D13996" t="s">
        <v>18803</v>
      </c>
      <c r="E13996" t="s">
        <v>30923</v>
      </c>
      <c r="F13996" t="s">
        <v>32664</v>
      </c>
      <c r="G13996" t="s">
        <v>32672</v>
      </c>
      <c r="H13996" t="s">
        <v>12635</v>
      </c>
      <c r="I13996" t="s">
        <v>32743</v>
      </c>
      <c r="J13996" t="s">
        <v>33097</v>
      </c>
      <c r="K13996" t="s">
        <v>42305</v>
      </c>
      <c r="M13996" t="s">
        <v>45859</v>
      </c>
      <c r="N13996" t="s">
        <v>46569</v>
      </c>
      <c r="O13996" t="s">
        <v>46570</v>
      </c>
      <c r="Q13996">
        <v>11</v>
      </c>
      <c r="R13996" t="s">
        <v>46587</v>
      </c>
      <c r="S13996" t="s">
        <v>47394</v>
      </c>
      <c r="T13996" t="s">
        <v>48283</v>
      </c>
      <c r="U13996" t="s">
        <v>60006</v>
      </c>
      <c r="W13996" t="s">
        <v>45859</v>
      </c>
      <c r="X13996" t="s">
        <v>46588</v>
      </c>
    </row>
    <row r="13997" spans="1:24">
      <c r="A13997">
        <f>HYPERLINK("https://www.philgeps.gov.ph/GEPSNONPILOT/Tender/SplashBidNoticeAbstractUI.aspx?menuIndex=3&amp;refID=7032827&amp;Result=3","7032827")</f>
        <v>0</v>
      </c>
      <c r="B13997" t="s">
        <v>3375</v>
      </c>
      <c r="C13997" t="s">
        <v>16836</v>
      </c>
      <c r="D13997" t="s">
        <v>18815</v>
      </c>
      <c r="E13997" t="s">
        <v>30924</v>
      </c>
      <c r="F13997" t="s">
        <v>32664</v>
      </c>
      <c r="G13997" t="s">
        <v>32672</v>
      </c>
      <c r="H13997" t="s">
        <v>32683</v>
      </c>
      <c r="I13997" t="s">
        <v>14442</v>
      </c>
      <c r="J13997" t="s">
        <v>41134</v>
      </c>
      <c r="K13997" t="s">
        <v>42281</v>
      </c>
      <c r="M13997" t="s">
        <v>46336</v>
      </c>
      <c r="N13997" t="s">
        <v>46569</v>
      </c>
      <c r="O13997" t="s">
        <v>46570</v>
      </c>
      <c r="Q13997">
        <v>1</v>
      </c>
      <c r="R13997" t="s">
        <v>46587</v>
      </c>
      <c r="S13997" t="s">
        <v>47395</v>
      </c>
      <c r="T13997" t="s">
        <v>48735</v>
      </c>
      <c r="U13997" t="s">
        <v>60007</v>
      </c>
      <c r="W13997" t="s">
        <v>46336</v>
      </c>
      <c r="X13997" t="s">
        <v>46588</v>
      </c>
    </row>
    <row r="13998" spans="1:24">
      <c r="A13998">
        <f>HYPERLINK("https://www.philgeps.gov.ph/GEPSNONPILOT/Tender/SplashBidNoticeAbstractUI.aspx?menuIndex=3&amp;refID=7030567&amp;Result=3","7030567")</f>
        <v>0</v>
      </c>
      <c r="B13998" t="s">
        <v>2606</v>
      </c>
      <c r="C13998" t="s">
        <v>16837</v>
      </c>
      <c r="D13998" t="s">
        <v>18844</v>
      </c>
      <c r="E13998" t="s">
        <v>30925</v>
      </c>
      <c r="F13998" t="s">
        <v>32664</v>
      </c>
      <c r="G13998" t="s">
        <v>32672</v>
      </c>
      <c r="H13998" t="s">
        <v>32683</v>
      </c>
      <c r="I13998" t="s">
        <v>10627</v>
      </c>
      <c r="J13998" t="s">
        <v>41135</v>
      </c>
      <c r="K13998" t="s">
        <v>42356</v>
      </c>
      <c r="M13998" t="s">
        <v>45423</v>
      </c>
      <c r="N13998" t="s">
        <v>46569</v>
      </c>
      <c r="O13998" t="s">
        <v>46570</v>
      </c>
      <c r="P13998">
        <v>0</v>
      </c>
      <c r="Q13998">
        <v>0</v>
      </c>
      <c r="R13998" t="s">
        <v>46587</v>
      </c>
      <c r="S13998" t="s">
        <v>47373</v>
      </c>
      <c r="T13998" t="s">
        <v>48283</v>
      </c>
      <c r="U13998" t="s">
        <v>60008</v>
      </c>
      <c r="W13998" t="s">
        <v>45423</v>
      </c>
      <c r="X13998" t="s">
        <v>46591</v>
      </c>
    </row>
    <row r="13999" spans="1:24">
      <c r="A13999">
        <f>HYPERLINK("https://www.philgeps.gov.ph/GEPSNONPILOT/Tender/SplashBidNoticeAbstractUI.aspx?menuIndex=3&amp;refID=7032159&amp;Result=3","7032159")</f>
        <v>0</v>
      </c>
      <c r="B13999" t="s">
        <v>460</v>
      </c>
      <c r="C13999" t="s">
        <v>16838</v>
      </c>
      <c r="D13999" t="s">
        <v>18806</v>
      </c>
      <c r="E13999" t="s">
        <v>30926</v>
      </c>
      <c r="F13999" t="s">
        <v>32664</v>
      </c>
      <c r="G13999" t="s">
        <v>32672</v>
      </c>
      <c r="H13999" t="s">
        <v>32683</v>
      </c>
      <c r="I13999" t="s">
        <v>10627</v>
      </c>
      <c r="J13999" t="s">
        <v>41136</v>
      </c>
      <c r="K13999" t="s">
        <v>42487</v>
      </c>
      <c r="M13999" t="s">
        <v>45683</v>
      </c>
      <c r="N13999" t="s">
        <v>46569</v>
      </c>
      <c r="O13999" t="s">
        <v>46570</v>
      </c>
      <c r="Q13999">
        <v>5</v>
      </c>
      <c r="R13999" t="s">
        <v>46587</v>
      </c>
      <c r="S13999" t="s">
        <v>47396</v>
      </c>
      <c r="T13999" t="s">
        <v>48244</v>
      </c>
      <c r="U13999" t="s">
        <v>57088</v>
      </c>
      <c r="V13999" t="s">
        <v>61668</v>
      </c>
      <c r="W13999" t="s">
        <v>45683</v>
      </c>
      <c r="X13999" t="s">
        <v>46590</v>
      </c>
    </row>
    <row r="14000" spans="1:24">
      <c r="A14000">
        <f>HYPERLINK("https://www.philgeps.gov.ph/GEPSNONPILOT/Tender/SplashBidNoticeAbstractUI.aspx?menuIndex=3&amp;refID=7032845&amp;Result=3","7032845")</f>
        <v>0</v>
      </c>
      <c r="B14000" t="s">
        <v>3376</v>
      </c>
      <c r="C14000" t="s">
        <v>16839</v>
      </c>
      <c r="D14000" t="s">
        <v>18862</v>
      </c>
      <c r="E14000" t="s">
        <v>30927</v>
      </c>
      <c r="F14000" t="s">
        <v>32664</v>
      </c>
      <c r="G14000" t="s">
        <v>32672</v>
      </c>
      <c r="H14000" t="s">
        <v>12635</v>
      </c>
      <c r="I14000" t="s">
        <v>32721</v>
      </c>
      <c r="J14000" t="s">
        <v>41137</v>
      </c>
      <c r="K14000" t="s">
        <v>42285</v>
      </c>
      <c r="M14000" t="s">
        <v>46337</v>
      </c>
      <c r="N14000" t="s">
        <v>46569</v>
      </c>
      <c r="O14000" t="s">
        <v>46570</v>
      </c>
      <c r="P14000">
        <v>0</v>
      </c>
      <c r="Q14000">
        <v>12</v>
      </c>
      <c r="R14000" t="s">
        <v>46587</v>
      </c>
      <c r="S14000" t="s">
        <v>47373</v>
      </c>
      <c r="T14000" t="s">
        <v>48228</v>
      </c>
      <c r="U14000" t="s">
        <v>60009</v>
      </c>
      <c r="W14000" t="s">
        <v>46337</v>
      </c>
      <c r="X14000" t="s">
        <v>46588</v>
      </c>
    </row>
    <row r="14001" spans="1:24">
      <c r="A14001">
        <f>HYPERLINK("https://www.philgeps.gov.ph/GEPSNONPILOT/Tender/SplashBidNoticeAbstractUI.aspx?menuIndex=3&amp;refID=7032633&amp;Result=3","7032633")</f>
        <v>0</v>
      </c>
      <c r="B14001" t="s">
        <v>2693</v>
      </c>
      <c r="C14001" t="s">
        <v>16840</v>
      </c>
      <c r="D14001" t="s">
        <v>18810</v>
      </c>
      <c r="E14001" t="s">
        <v>30928</v>
      </c>
      <c r="F14001" t="s">
        <v>32664</v>
      </c>
      <c r="G14001" t="s">
        <v>32672</v>
      </c>
      <c r="H14001" t="s">
        <v>12635</v>
      </c>
      <c r="I14001" t="s">
        <v>32684</v>
      </c>
      <c r="J14001" t="s">
        <v>41138</v>
      </c>
      <c r="K14001" t="s">
        <v>42281</v>
      </c>
      <c r="M14001" t="s">
        <v>45519</v>
      </c>
      <c r="N14001" t="s">
        <v>46569</v>
      </c>
      <c r="O14001" t="s">
        <v>46570</v>
      </c>
      <c r="P14001">
        <v>0</v>
      </c>
      <c r="Q14001">
        <v>7</v>
      </c>
      <c r="R14001" t="s">
        <v>46587</v>
      </c>
      <c r="S14001" t="s">
        <v>47373</v>
      </c>
      <c r="T14001" t="s">
        <v>48301</v>
      </c>
      <c r="U14001" t="s">
        <v>60010</v>
      </c>
      <c r="W14001" t="s">
        <v>45519</v>
      </c>
      <c r="X14001" t="s">
        <v>46589</v>
      </c>
    </row>
    <row r="14002" spans="1:24">
      <c r="A14002">
        <f>HYPERLINK("https://www.philgeps.gov.ph/GEPSNONPILOT/Tender/SplashBidNoticeAbstractUI.aspx?menuIndex=3&amp;refID=7032182&amp;Result=3","7032182")</f>
        <v>0</v>
      </c>
      <c r="B14002" t="s">
        <v>460</v>
      </c>
      <c r="C14002" t="s">
        <v>16841</v>
      </c>
      <c r="D14002" t="s">
        <v>18806</v>
      </c>
      <c r="E14002" t="s">
        <v>30929</v>
      </c>
      <c r="F14002" t="s">
        <v>32664</v>
      </c>
      <c r="G14002" t="s">
        <v>32672</v>
      </c>
      <c r="H14002" t="s">
        <v>32683</v>
      </c>
      <c r="I14002" t="s">
        <v>10627</v>
      </c>
      <c r="J14002" t="s">
        <v>37009</v>
      </c>
      <c r="K14002" t="s">
        <v>42487</v>
      </c>
      <c r="M14002" t="s">
        <v>45683</v>
      </c>
      <c r="N14002" t="s">
        <v>46569</v>
      </c>
      <c r="O14002" t="s">
        <v>46570</v>
      </c>
      <c r="Q14002">
        <v>0</v>
      </c>
      <c r="R14002" t="s">
        <v>46587</v>
      </c>
      <c r="S14002" t="s">
        <v>47397</v>
      </c>
      <c r="T14002" t="s">
        <v>48244</v>
      </c>
      <c r="U14002" t="s">
        <v>57088</v>
      </c>
      <c r="V14002" t="s">
        <v>61668</v>
      </c>
      <c r="W14002" t="s">
        <v>45683</v>
      </c>
      <c r="X14002" t="s">
        <v>46590</v>
      </c>
    </row>
    <row r="14003" spans="1:24">
      <c r="A14003">
        <f>HYPERLINK("https://www.philgeps.gov.ph/GEPSNONPILOT/Tender/SplashBidNoticeAbstractUI.aspx?menuIndex=3&amp;refID=7032797&amp;Result=3","7032797")</f>
        <v>0</v>
      </c>
      <c r="B14003" t="s">
        <v>3377</v>
      </c>
      <c r="C14003" t="s">
        <v>16842</v>
      </c>
      <c r="D14003" t="s">
        <v>18784</v>
      </c>
      <c r="E14003" t="s">
        <v>30930</v>
      </c>
      <c r="F14003" t="s">
        <v>32664</v>
      </c>
      <c r="G14003" t="s">
        <v>32672</v>
      </c>
      <c r="H14003" t="s">
        <v>12635</v>
      </c>
      <c r="I14003" t="s">
        <v>32704</v>
      </c>
      <c r="J14003" t="s">
        <v>41139</v>
      </c>
      <c r="K14003" t="s">
        <v>42283</v>
      </c>
      <c r="M14003" t="s">
        <v>46338</v>
      </c>
      <c r="N14003" t="s">
        <v>46569</v>
      </c>
      <c r="O14003" t="s">
        <v>46570</v>
      </c>
      <c r="Q14003">
        <v>25</v>
      </c>
      <c r="R14003" t="s">
        <v>46587</v>
      </c>
      <c r="S14003" t="s">
        <v>47020</v>
      </c>
      <c r="T14003" t="s">
        <v>48219</v>
      </c>
      <c r="U14003" t="s">
        <v>60011</v>
      </c>
      <c r="W14003" t="s">
        <v>46338</v>
      </c>
      <c r="X14003" t="s">
        <v>46588</v>
      </c>
    </row>
    <row r="14004" spans="1:24">
      <c r="A14004">
        <f>HYPERLINK("https://www.philgeps.gov.ph/GEPSNONPILOT/Tender/SplashBidNoticeAbstractUI.aspx?menuIndex=3&amp;refID=7032599&amp;Result=3","7032599")</f>
        <v>0</v>
      </c>
      <c r="B14004" t="s">
        <v>83</v>
      </c>
      <c r="C14004" t="s">
        <v>16843</v>
      </c>
      <c r="D14004" t="s">
        <v>18784</v>
      </c>
      <c r="E14004" t="s">
        <v>30931</v>
      </c>
      <c r="F14004" t="s">
        <v>32664</v>
      </c>
      <c r="G14004" t="s">
        <v>32672</v>
      </c>
      <c r="H14004" t="s">
        <v>12635</v>
      </c>
      <c r="I14004" t="s">
        <v>6223</v>
      </c>
      <c r="J14004" t="s">
        <v>41140</v>
      </c>
      <c r="K14004" t="s">
        <v>42283</v>
      </c>
      <c r="M14004" t="s">
        <v>44363</v>
      </c>
      <c r="N14004" t="s">
        <v>46569</v>
      </c>
      <c r="O14004" t="s">
        <v>46570</v>
      </c>
      <c r="P14004">
        <v>0</v>
      </c>
      <c r="Q14004">
        <v>3</v>
      </c>
      <c r="R14004" t="s">
        <v>46587</v>
      </c>
      <c r="S14004" t="s">
        <v>47373</v>
      </c>
      <c r="T14004" t="s">
        <v>48244</v>
      </c>
      <c r="U14004" t="s">
        <v>60012</v>
      </c>
      <c r="W14004" t="s">
        <v>44363</v>
      </c>
      <c r="X14004" t="s">
        <v>46589</v>
      </c>
    </row>
    <row r="14005" spans="1:24">
      <c r="A14005">
        <f>HYPERLINK("https://www.philgeps.gov.ph/GEPSNONPILOT/Tender/SplashBidNoticeAbstractUI.aspx?menuIndex=3&amp;refID=7032598&amp;Result=3","7032598")</f>
        <v>0</v>
      </c>
      <c r="B14005" t="s">
        <v>257</v>
      </c>
      <c r="C14005" t="s">
        <v>16844</v>
      </c>
      <c r="D14005" t="s">
        <v>18803</v>
      </c>
      <c r="E14005" t="s">
        <v>30932</v>
      </c>
      <c r="F14005" t="s">
        <v>32664</v>
      </c>
      <c r="G14005" t="s">
        <v>32672</v>
      </c>
      <c r="H14005" t="s">
        <v>32683</v>
      </c>
      <c r="I14005" t="s">
        <v>10627</v>
      </c>
      <c r="J14005" t="s">
        <v>32930</v>
      </c>
      <c r="K14005" t="s">
        <v>42290</v>
      </c>
      <c r="M14005" t="s">
        <v>42822</v>
      </c>
      <c r="N14005" t="s">
        <v>46569</v>
      </c>
      <c r="O14005" t="s">
        <v>46570</v>
      </c>
      <c r="P14005">
        <v>0</v>
      </c>
      <c r="Q14005">
        <v>4</v>
      </c>
      <c r="R14005" t="s">
        <v>46587</v>
      </c>
      <c r="S14005" t="s">
        <v>47373</v>
      </c>
      <c r="T14005" t="s">
        <v>48316</v>
      </c>
      <c r="U14005" t="s">
        <v>49237</v>
      </c>
      <c r="W14005" t="s">
        <v>42822</v>
      </c>
      <c r="X14005" t="s">
        <v>46589</v>
      </c>
    </row>
    <row r="14006" spans="1:24">
      <c r="A14006">
        <f>HYPERLINK("https://www.philgeps.gov.ph/GEPSNONPILOT/Tender/SplashBidNoticeAbstractUI.aspx?menuIndex=3&amp;refID=7032185&amp;Result=3","7032185")</f>
        <v>0</v>
      </c>
      <c r="B14006" t="s">
        <v>460</v>
      </c>
      <c r="C14006" t="s">
        <v>16845</v>
      </c>
      <c r="D14006" t="s">
        <v>18806</v>
      </c>
      <c r="E14006" t="s">
        <v>30933</v>
      </c>
      <c r="F14006" t="s">
        <v>32664</v>
      </c>
      <c r="G14006" t="s">
        <v>32672</v>
      </c>
      <c r="H14006" t="s">
        <v>32683</v>
      </c>
      <c r="I14006" t="s">
        <v>10627</v>
      </c>
      <c r="J14006" t="s">
        <v>34413</v>
      </c>
      <c r="K14006" t="s">
        <v>42360</v>
      </c>
      <c r="M14006" t="s">
        <v>45683</v>
      </c>
      <c r="N14006" t="s">
        <v>46569</v>
      </c>
      <c r="O14006" t="s">
        <v>46570</v>
      </c>
      <c r="Q14006">
        <v>4</v>
      </c>
      <c r="R14006" t="s">
        <v>46587</v>
      </c>
      <c r="S14006" t="s">
        <v>47398</v>
      </c>
      <c r="T14006" t="s">
        <v>48244</v>
      </c>
      <c r="U14006" t="s">
        <v>57088</v>
      </c>
      <c r="V14006" t="s">
        <v>61668</v>
      </c>
      <c r="W14006" t="s">
        <v>45683</v>
      </c>
      <c r="X14006" t="s">
        <v>46590</v>
      </c>
    </row>
    <row r="14007" spans="1:24">
      <c r="A14007">
        <f>HYPERLINK("https://www.philgeps.gov.ph/GEPSNONPILOT/Tender/SplashBidNoticeAbstractUI.aspx?menuIndex=3&amp;refID=7032624&amp;Result=3","7032624")</f>
        <v>0</v>
      </c>
      <c r="B14007" t="s">
        <v>2693</v>
      </c>
      <c r="C14007" t="s">
        <v>16846</v>
      </c>
      <c r="D14007" t="s">
        <v>18810</v>
      </c>
      <c r="E14007" t="s">
        <v>30934</v>
      </c>
      <c r="F14007" t="s">
        <v>32664</v>
      </c>
      <c r="G14007" t="s">
        <v>32672</v>
      </c>
      <c r="H14007" t="s">
        <v>12635</v>
      </c>
      <c r="I14007" t="s">
        <v>8730</v>
      </c>
      <c r="J14007" t="s">
        <v>41141</v>
      </c>
      <c r="K14007" t="s">
        <v>42281</v>
      </c>
      <c r="M14007" t="s">
        <v>45519</v>
      </c>
      <c r="N14007" t="s">
        <v>46569</v>
      </c>
      <c r="O14007" t="s">
        <v>46570</v>
      </c>
      <c r="P14007">
        <v>0</v>
      </c>
      <c r="Q14007">
        <v>5</v>
      </c>
      <c r="R14007" t="s">
        <v>46587</v>
      </c>
      <c r="S14007" t="s">
        <v>47373</v>
      </c>
      <c r="T14007" t="s">
        <v>48314</v>
      </c>
      <c r="U14007" t="s">
        <v>60013</v>
      </c>
      <c r="W14007" t="s">
        <v>45519</v>
      </c>
      <c r="X14007" t="s">
        <v>46589</v>
      </c>
    </row>
    <row r="14008" spans="1:24">
      <c r="A14008">
        <f>HYPERLINK("https://www.philgeps.gov.ph/GEPSNONPILOT/Tender/SplashBidNoticeAbstractUI.aspx?menuIndex=3&amp;refID=7033165&amp;Result=3","7033165")</f>
        <v>0</v>
      </c>
      <c r="B14008" t="s">
        <v>3378</v>
      </c>
      <c r="C14008" t="s">
        <v>16847</v>
      </c>
      <c r="E14008" t="s">
        <v>30935</v>
      </c>
      <c r="F14008" t="s">
        <v>32664</v>
      </c>
      <c r="G14008" t="s">
        <v>32672</v>
      </c>
      <c r="H14008" t="s">
        <v>12635</v>
      </c>
      <c r="I14008" t="s">
        <v>10627</v>
      </c>
      <c r="J14008" t="s">
        <v>41142</v>
      </c>
      <c r="K14008" t="s">
        <v>42283</v>
      </c>
      <c r="M14008" t="s">
        <v>46339</v>
      </c>
      <c r="N14008" t="s">
        <v>46569</v>
      </c>
      <c r="O14008" t="s">
        <v>46570</v>
      </c>
      <c r="P14008">
        <v>0</v>
      </c>
      <c r="Q14008">
        <v>0</v>
      </c>
      <c r="R14008" t="s">
        <v>46587</v>
      </c>
      <c r="S14008" t="s">
        <v>47373</v>
      </c>
      <c r="T14008" t="s">
        <v>48221</v>
      </c>
      <c r="U14008" t="s">
        <v>60014</v>
      </c>
      <c r="W14008" t="s">
        <v>46339</v>
      </c>
      <c r="X14008" t="s">
        <v>46588</v>
      </c>
    </row>
    <row r="14009" spans="1:24">
      <c r="A14009">
        <f>HYPERLINK("https://www.philgeps.gov.ph/GEPSNONPILOT/Tender/SplashBidNoticeAbstractUI.aspx?menuIndex=3&amp;refID=7032793&amp;Result=3","7032793")</f>
        <v>0</v>
      </c>
      <c r="B14009" t="s">
        <v>3377</v>
      </c>
      <c r="C14009" t="s">
        <v>16848</v>
      </c>
      <c r="D14009" t="s">
        <v>18784</v>
      </c>
      <c r="E14009" t="s">
        <v>30936</v>
      </c>
      <c r="F14009" t="s">
        <v>32664</v>
      </c>
      <c r="G14009" t="s">
        <v>32672</v>
      </c>
      <c r="H14009" t="s">
        <v>12635</v>
      </c>
      <c r="I14009" t="s">
        <v>32704</v>
      </c>
      <c r="J14009" t="s">
        <v>41143</v>
      </c>
      <c r="K14009" t="s">
        <v>42283</v>
      </c>
      <c r="M14009" t="s">
        <v>46338</v>
      </c>
      <c r="N14009" t="s">
        <v>46569</v>
      </c>
      <c r="O14009" t="s">
        <v>46570</v>
      </c>
      <c r="Q14009">
        <v>25</v>
      </c>
      <c r="R14009" t="s">
        <v>46587</v>
      </c>
      <c r="S14009" t="s">
        <v>47399</v>
      </c>
      <c r="T14009" t="s">
        <v>48219</v>
      </c>
      <c r="U14009" t="s">
        <v>60015</v>
      </c>
      <c r="W14009" t="s">
        <v>46338</v>
      </c>
      <c r="X14009" t="s">
        <v>46588</v>
      </c>
    </row>
    <row r="14010" spans="1:24">
      <c r="A14010">
        <f>HYPERLINK("https://www.philgeps.gov.ph/GEPSNONPILOT/Tender/SplashBidNoticeAbstractUI.aspx?menuIndex=3&amp;refID=7033106&amp;Result=3","7033106")</f>
        <v>0</v>
      </c>
      <c r="B14010" t="s">
        <v>2968</v>
      </c>
      <c r="C14010" t="s">
        <v>16849</v>
      </c>
      <c r="D14010" t="s">
        <v>18847</v>
      </c>
      <c r="E14010" t="s">
        <v>30937</v>
      </c>
      <c r="F14010" t="s">
        <v>32664</v>
      </c>
      <c r="G14010" t="s">
        <v>32672</v>
      </c>
      <c r="H14010" t="s">
        <v>32683</v>
      </c>
      <c r="I14010" t="s">
        <v>10627</v>
      </c>
      <c r="J14010" t="s">
        <v>41144</v>
      </c>
      <c r="K14010" t="s">
        <v>42290</v>
      </c>
      <c r="M14010" t="s">
        <v>45822</v>
      </c>
      <c r="N14010" t="s">
        <v>46569</v>
      </c>
      <c r="O14010" t="s">
        <v>46570</v>
      </c>
      <c r="P14010">
        <v>0</v>
      </c>
      <c r="Q14010">
        <v>1</v>
      </c>
      <c r="R14010" t="s">
        <v>46587</v>
      </c>
      <c r="S14010" t="s">
        <v>47373</v>
      </c>
      <c r="T14010" t="s">
        <v>48244</v>
      </c>
      <c r="U14010" t="s">
        <v>60016</v>
      </c>
      <c r="V14010" t="s">
        <v>63176</v>
      </c>
      <c r="W14010" t="s">
        <v>45822</v>
      </c>
      <c r="X14010" t="s">
        <v>46588</v>
      </c>
    </row>
    <row r="14011" spans="1:24">
      <c r="A14011">
        <f>HYPERLINK("https://www.philgeps.gov.ph/GEPSNONPILOT/Tender/SplashBidNoticeAbstractUI.aspx?menuIndex=3&amp;refID=7033091&amp;Result=3","7033091")</f>
        <v>0</v>
      </c>
      <c r="B14011" t="s">
        <v>778</v>
      </c>
      <c r="C14011" t="s">
        <v>16850</v>
      </c>
      <c r="E14011" t="s">
        <v>30938</v>
      </c>
      <c r="F14011" t="s">
        <v>32664</v>
      </c>
      <c r="G14011" t="s">
        <v>32672</v>
      </c>
      <c r="H14011" t="s">
        <v>12635</v>
      </c>
      <c r="I14011" t="s">
        <v>32690</v>
      </c>
      <c r="J14011" t="s">
        <v>41145</v>
      </c>
      <c r="K14011" t="s">
        <v>42298</v>
      </c>
      <c r="M14011" t="s">
        <v>46340</v>
      </c>
      <c r="N14011" t="s">
        <v>46569</v>
      </c>
      <c r="O14011" t="s">
        <v>46570</v>
      </c>
      <c r="P14011">
        <v>0</v>
      </c>
      <c r="Q14011">
        <v>9</v>
      </c>
      <c r="R14011" t="s">
        <v>46587</v>
      </c>
      <c r="S14011" t="s">
        <v>47373</v>
      </c>
      <c r="T14011" t="s">
        <v>48283</v>
      </c>
      <c r="U14011" t="s">
        <v>60017</v>
      </c>
      <c r="V14011" t="s">
        <v>63177</v>
      </c>
      <c r="W14011" t="s">
        <v>46340</v>
      </c>
      <c r="X14011" t="s">
        <v>46588</v>
      </c>
    </row>
    <row r="14012" spans="1:24">
      <c r="A14012">
        <f>HYPERLINK("https://www.philgeps.gov.ph/GEPSNONPILOT/Tender/SplashBidNoticeAbstractUI.aspx?menuIndex=3&amp;refID=7032868&amp;Result=3","7032868")</f>
        <v>0</v>
      </c>
      <c r="B14012" t="s">
        <v>1052</v>
      </c>
      <c r="C14012" t="s">
        <v>16851</v>
      </c>
      <c r="D14012" t="s">
        <v>18850</v>
      </c>
      <c r="E14012" t="s">
        <v>30939</v>
      </c>
      <c r="F14012" t="s">
        <v>32664</v>
      </c>
      <c r="G14012" t="s">
        <v>32672</v>
      </c>
      <c r="H14012" t="s">
        <v>12635</v>
      </c>
      <c r="I14012" t="s">
        <v>6223</v>
      </c>
      <c r="J14012" t="s">
        <v>41146</v>
      </c>
      <c r="K14012" t="s">
        <v>42298</v>
      </c>
      <c r="M14012" t="s">
        <v>43670</v>
      </c>
      <c r="N14012" t="s">
        <v>46569</v>
      </c>
      <c r="O14012" t="s">
        <v>46570</v>
      </c>
      <c r="P14012">
        <v>0</v>
      </c>
      <c r="Q14012">
        <v>4</v>
      </c>
      <c r="R14012" t="s">
        <v>46587</v>
      </c>
      <c r="S14012" t="s">
        <v>47373</v>
      </c>
      <c r="T14012" t="s">
        <v>48221</v>
      </c>
      <c r="U14012" t="s">
        <v>60018</v>
      </c>
      <c r="W14012" t="s">
        <v>43670</v>
      </c>
      <c r="X14012" t="s">
        <v>46588</v>
      </c>
    </row>
    <row r="14013" spans="1:24">
      <c r="A14013">
        <f>HYPERLINK("https://www.philgeps.gov.ph/GEPSNONPILOT/Tender/SplashBidNoticeAbstractUI.aspx?menuIndex=3&amp;refID=7033109&amp;Result=3","7033109")</f>
        <v>0</v>
      </c>
      <c r="B14013" t="s">
        <v>81</v>
      </c>
      <c r="C14013" t="s">
        <v>16852</v>
      </c>
      <c r="D14013" t="s">
        <v>18818</v>
      </c>
      <c r="E14013" t="s">
        <v>30940</v>
      </c>
      <c r="F14013" t="s">
        <v>32664</v>
      </c>
      <c r="G14013" t="s">
        <v>32672</v>
      </c>
      <c r="H14013" t="s">
        <v>12635</v>
      </c>
      <c r="I14013" t="s">
        <v>11464</v>
      </c>
      <c r="J14013" t="s">
        <v>33261</v>
      </c>
      <c r="K14013" t="s">
        <v>42283</v>
      </c>
      <c r="M14013" t="s">
        <v>42665</v>
      </c>
      <c r="N14013" t="s">
        <v>46569</v>
      </c>
      <c r="O14013" t="s">
        <v>46570</v>
      </c>
      <c r="P14013">
        <v>0</v>
      </c>
      <c r="Q14013">
        <v>4</v>
      </c>
      <c r="R14013" t="s">
        <v>46587</v>
      </c>
      <c r="S14013" t="s">
        <v>47373</v>
      </c>
      <c r="T14013" t="s">
        <v>48256</v>
      </c>
      <c r="U14013" t="s">
        <v>60019</v>
      </c>
      <c r="V14013" t="s">
        <v>63178</v>
      </c>
      <c r="W14013" t="s">
        <v>42665</v>
      </c>
      <c r="X14013" t="s">
        <v>46588</v>
      </c>
    </row>
    <row r="14014" spans="1:24">
      <c r="A14014">
        <f>HYPERLINK("https://www.philgeps.gov.ph/GEPSNONPILOT/Tender/SplashBidNoticeAbstractUI.aspx?menuIndex=3&amp;refID=7033062&amp;Result=3","7033062")</f>
        <v>0</v>
      </c>
      <c r="B14014" t="s">
        <v>730</v>
      </c>
      <c r="C14014" t="s">
        <v>16853</v>
      </c>
      <c r="D14014" t="s">
        <v>18822</v>
      </c>
      <c r="E14014" t="s">
        <v>30941</v>
      </c>
      <c r="F14014" t="s">
        <v>32664</v>
      </c>
      <c r="G14014" t="s">
        <v>32672</v>
      </c>
      <c r="H14014" t="s">
        <v>12635</v>
      </c>
      <c r="I14014" t="s">
        <v>4439</v>
      </c>
      <c r="J14014" t="s">
        <v>41147</v>
      </c>
      <c r="K14014" t="s">
        <v>42297</v>
      </c>
      <c r="M14014" t="s">
        <v>43319</v>
      </c>
      <c r="N14014" t="s">
        <v>46569</v>
      </c>
      <c r="O14014" t="s">
        <v>46570</v>
      </c>
      <c r="P14014">
        <v>0</v>
      </c>
      <c r="Q14014">
        <v>2</v>
      </c>
      <c r="R14014" t="s">
        <v>46587</v>
      </c>
      <c r="S14014" t="s">
        <v>47373</v>
      </c>
      <c r="T14014" t="s">
        <v>48225</v>
      </c>
      <c r="U14014" t="s">
        <v>60020</v>
      </c>
      <c r="W14014" t="s">
        <v>43319</v>
      </c>
      <c r="X14014" t="s">
        <v>46588</v>
      </c>
    </row>
    <row r="14015" spans="1:24">
      <c r="A14015">
        <f>HYPERLINK("https://www.philgeps.gov.ph/GEPSNONPILOT/Tender/SplashBidNoticeAbstractUI.aspx?menuIndex=3&amp;refID=7033025&amp;Result=3","7033025")</f>
        <v>0</v>
      </c>
      <c r="B14015" t="s">
        <v>730</v>
      </c>
      <c r="C14015" t="s">
        <v>16854</v>
      </c>
      <c r="D14015" t="s">
        <v>18822</v>
      </c>
      <c r="E14015" t="s">
        <v>30942</v>
      </c>
      <c r="F14015" t="s">
        <v>32664</v>
      </c>
      <c r="G14015" t="s">
        <v>32672</v>
      </c>
      <c r="H14015" t="s">
        <v>12635</v>
      </c>
      <c r="I14015" t="s">
        <v>11464</v>
      </c>
      <c r="J14015" t="s">
        <v>32962</v>
      </c>
      <c r="K14015" t="s">
        <v>42281</v>
      </c>
      <c r="M14015" t="s">
        <v>43319</v>
      </c>
      <c r="N14015" t="s">
        <v>46569</v>
      </c>
      <c r="O14015" t="s">
        <v>46570</v>
      </c>
      <c r="P14015">
        <v>0</v>
      </c>
      <c r="Q14015">
        <v>3</v>
      </c>
      <c r="R14015" t="s">
        <v>46587</v>
      </c>
      <c r="S14015" t="s">
        <v>47373</v>
      </c>
      <c r="T14015" t="s">
        <v>48225</v>
      </c>
      <c r="U14015" t="s">
        <v>60021</v>
      </c>
      <c r="W14015" t="s">
        <v>43319</v>
      </c>
      <c r="X14015" t="s">
        <v>46588</v>
      </c>
    </row>
    <row r="14016" spans="1:24">
      <c r="A14016">
        <f>HYPERLINK("https://www.philgeps.gov.ph/GEPSNONPILOT/Tender/SplashBidNoticeAbstractUI.aspx?menuIndex=3&amp;refID=7033092&amp;Result=3","7033092")</f>
        <v>0</v>
      </c>
      <c r="B14016" t="s">
        <v>541</v>
      </c>
      <c r="C14016" t="s">
        <v>16855</v>
      </c>
      <c r="D14016" t="s">
        <v>18805</v>
      </c>
      <c r="E14016" t="s">
        <v>30943</v>
      </c>
      <c r="F14016" t="s">
        <v>32664</v>
      </c>
      <c r="G14016" t="s">
        <v>32672</v>
      </c>
      <c r="H14016" t="s">
        <v>12635</v>
      </c>
      <c r="I14016" t="s">
        <v>11464</v>
      </c>
      <c r="J14016" t="s">
        <v>36415</v>
      </c>
      <c r="K14016" t="s">
        <v>42281</v>
      </c>
      <c r="M14016" t="s">
        <v>43120</v>
      </c>
      <c r="N14016" t="s">
        <v>46569</v>
      </c>
      <c r="O14016" t="s">
        <v>46570</v>
      </c>
      <c r="Q14016">
        <v>2</v>
      </c>
      <c r="R14016" t="s">
        <v>46587</v>
      </c>
      <c r="S14016" t="s">
        <v>47400</v>
      </c>
      <c r="T14016" t="s">
        <v>48305</v>
      </c>
      <c r="U14016" t="s">
        <v>60022</v>
      </c>
      <c r="W14016" t="s">
        <v>43120</v>
      </c>
      <c r="X14016" t="s">
        <v>46588</v>
      </c>
    </row>
    <row r="14017" spans="1:24">
      <c r="A14017">
        <f>HYPERLINK("https://www.philgeps.gov.ph/GEPSNONPILOT/Tender/SplashBidNoticeAbstractUI.aspx?menuIndex=3&amp;refID=7033111&amp;Result=3","7033111")</f>
        <v>0</v>
      </c>
      <c r="B14017" t="s">
        <v>253</v>
      </c>
      <c r="C14017" t="s">
        <v>16856</v>
      </c>
      <c r="D14017" t="s">
        <v>18790</v>
      </c>
      <c r="E14017" t="s">
        <v>30944</v>
      </c>
      <c r="F14017" t="s">
        <v>32664</v>
      </c>
      <c r="G14017" t="s">
        <v>32672</v>
      </c>
      <c r="H14017" t="s">
        <v>32683</v>
      </c>
      <c r="I14017" t="s">
        <v>10627</v>
      </c>
      <c r="J14017" t="s">
        <v>41148</v>
      </c>
      <c r="K14017" t="s">
        <v>42283</v>
      </c>
      <c r="M14017" t="s">
        <v>42851</v>
      </c>
      <c r="N14017" t="s">
        <v>46569</v>
      </c>
      <c r="O14017" t="s">
        <v>46570</v>
      </c>
      <c r="P14017">
        <v>0</v>
      </c>
      <c r="Q14017">
        <v>0</v>
      </c>
      <c r="R14017" t="s">
        <v>46587</v>
      </c>
      <c r="S14017" t="s">
        <v>47373</v>
      </c>
      <c r="T14017" t="s">
        <v>48283</v>
      </c>
      <c r="U14017" t="s">
        <v>60023</v>
      </c>
      <c r="W14017" t="s">
        <v>42851</v>
      </c>
      <c r="X14017" t="s">
        <v>46588</v>
      </c>
    </row>
    <row r="14018" spans="1:24">
      <c r="A14018">
        <f>HYPERLINK("https://www.philgeps.gov.ph/GEPSNONPILOT/Tender/SplashBidNoticeAbstractUI.aspx?menuIndex=3&amp;refID=7032978&amp;Result=3","7032978")</f>
        <v>0</v>
      </c>
      <c r="B14018" t="s">
        <v>3376</v>
      </c>
      <c r="C14018" t="s">
        <v>16857</v>
      </c>
      <c r="D14018" t="s">
        <v>18784</v>
      </c>
      <c r="E14018" t="s">
        <v>30945</v>
      </c>
      <c r="F14018" t="s">
        <v>32664</v>
      </c>
      <c r="G14018" t="s">
        <v>32672</v>
      </c>
      <c r="H14018" t="s">
        <v>32683</v>
      </c>
      <c r="I14018" t="s">
        <v>4439</v>
      </c>
      <c r="J14018" t="s">
        <v>41149</v>
      </c>
      <c r="K14018" t="s">
        <v>42285</v>
      </c>
      <c r="M14018" t="s">
        <v>46337</v>
      </c>
      <c r="N14018" t="s">
        <v>46569</v>
      </c>
      <c r="O14018" t="s">
        <v>46570</v>
      </c>
      <c r="P14018">
        <v>0</v>
      </c>
      <c r="Q14018">
        <v>4</v>
      </c>
      <c r="R14018" t="s">
        <v>46587</v>
      </c>
      <c r="S14018" t="s">
        <v>47373</v>
      </c>
      <c r="T14018" t="s">
        <v>48228</v>
      </c>
      <c r="U14018" t="s">
        <v>60009</v>
      </c>
      <c r="W14018" t="s">
        <v>46337</v>
      </c>
      <c r="X14018" t="s">
        <v>46588</v>
      </c>
    </row>
    <row r="14019" spans="1:24">
      <c r="A14019">
        <f>HYPERLINK("https://www.philgeps.gov.ph/GEPSNONPILOT/Tender/SplashBidNoticeAbstractUI.aspx?menuIndex=3&amp;refID=7033063&amp;Result=3","7033063")</f>
        <v>0</v>
      </c>
      <c r="B14019" t="s">
        <v>2589</v>
      </c>
      <c r="C14019" t="s">
        <v>16858</v>
      </c>
      <c r="D14019" t="s">
        <v>18851</v>
      </c>
      <c r="E14019" t="s">
        <v>30442</v>
      </c>
      <c r="F14019" t="s">
        <v>32664</v>
      </c>
      <c r="G14019" t="s">
        <v>32672</v>
      </c>
      <c r="H14019" t="s">
        <v>32683</v>
      </c>
      <c r="I14019" t="s">
        <v>10627</v>
      </c>
      <c r="J14019" t="s">
        <v>32962</v>
      </c>
      <c r="K14019" t="s">
        <v>42317</v>
      </c>
      <c r="M14019" t="s">
        <v>45404</v>
      </c>
      <c r="N14019" t="s">
        <v>46569</v>
      </c>
      <c r="O14019" t="s">
        <v>46570</v>
      </c>
      <c r="P14019">
        <v>0</v>
      </c>
      <c r="Q14019">
        <v>0</v>
      </c>
      <c r="R14019" t="s">
        <v>46587</v>
      </c>
      <c r="S14019" t="s">
        <v>47373</v>
      </c>
      <c r="T14019" t="s">
        <v>48221</v>
      </c>
      <c r="U14019" t="s">
        <v>60024</v>
      </c>
      <c r="W14019" t="s">
        <v>45404</v>
      </c>
      <c r="X14019" t="s">
        <v>46588</v>
      </c>
    </row>
    <row r="14020" spans="1:24">
      <c r="A14020">
        <f>HYPERLINK("https://www.philgeps.gov.ph/GEPSNONPILOT/Tender/SplashBidNoticeAbstractUI.aspx?menuIndex=3&amp;refID=7032956&amp;Result=3","7032956")</f>
        <v>0</v>
      </c>
      <c r="B14020" t="s">
        <v>3379</v>
      </c>
      <c r="C14020" t="s">
        <v>16859</v>
      </c>
      <c r="D14020" t="s">
        <v>18831</v>
      </c>
      <c r="E14020" t="s">
        <v>19419</v>
      </c>
      <c r="F14020" t="s">
        <v>32664</v>
      </c>
      <c r="G14020" t="s">
        <v>32672</v>
      </c>
      <c r="H14020" t="s">
        <v>12635</v>
      </c>
      <c r="I14020" t="s">
        <v>32706</v>
      </c>
      <c r="J14020" t="s">
        <v>41150</v>
      </c>
      <c r="K14020" t="s">
        <v>42334</v>
      </c>
      <c r="M14020" t="s">
        <v>46341</v>
      </c>
      <c r="N14020" t="s">
        <v>46569</v>
      </c>
      <c r="O14020" t="s">
        <v>46570</v>
      </c>
      <c r="P14020">
        <v>0</v>
      </c>
      <c r="Q14020">
        <v>0</v>
      </c>
      <c r="R14020" t="s">
        <v>46587</v>
      </c>
      <c r="S14020" t="s">
        <v>47373</v>
      </c>
      <c r="T14020" t="s">
        <v>48296</v>
      </c>
      <c r="U14020" t="s">
        <v>60025</v>
      </c>
      <c r="W14020" t="s">
        <v>46341</v>
      </c>
      <c r="X14020" t="s">
        <v>46588</v>
      </c>
    </row>
    <row r="14021" spans="1:24">
      <c r="A14021">
        <f>HYPERLINK("https://www.philgeps.gov.ph/GEPSNONPILOT/Tender/SplashBidNoticeAbstractUI.aspx?menuIndex=3&amp;refID=7032951&amp;Result=3","7032951")</f>
        <v>0</v>
      </c>
      <c r="B14021" t="s">
        <v>3376</v>
      </c>
      <c r="C14021" t="s">
        <v>16860</v>
      </c>
      <c r="D14021" t="s">
        <v>18784</v>
      </c>
      <c r="E14021" t="s">
        <v>30946</v>
      </c>
      <c r="F14021" t="s">
        <v>32664</v>
      </c>
      <c r="G14021" t="s">
        <v>32672</v>
      </c>
      <c r="H14021" t="s">
        <v>32683</v>
      </c>
      <c r="I14021" t="s">
        <v>4439</v>
      </c>
      <c r="J14021" t="s">
        <v>41151</v>
      </c>
      <c r="K14021" t="s">
        <v>42298</v>
      </c>
      <c r="M14021" t="s">
        <v>46337</v>
      </c>
      <c r="N14021" t="s">
        <v>46569</v>
      </c>
      <c r="O14021" t="s">
        <v>46570</v>
      </c>
      <c r="P14021">
        <v>0</v>
      </c>
      <c r="Q14021">
        <v>2</v>
      </c>
      <c r="R14021" t="s">
        <v>46587</v>
      </c>
      <c r="S14021" t="s">
        <v>47373</v>
      </c>
      <c r="T14021" t="s">
        <v>48228</v>
      </c>
      <c r="U14021" t="s">
        <v>60009</v>
      </c>
      <c r="W14021" t="s">
        <v>46337</v>
      </c>
      <c r="X14021" t="s">
        <v>46588</v>
      </c>
    </row>
    <row r="14022" spans="1:24">
      <c r="A14022">
        <f>HYPERLINK("https://www.philgeps.gov.ph/GEPSNONPILOT/Tender/SplashBidNoticeAbstractUI.aspx?menuIndex=3&amp;refID=7033049&amp;Result=3","7033049")</f>
        <v>0</v>
      </c>
      <c r="B14022" t="s">
        <v>81</v>
      </c>
      <c r="C14022" t="s">
        <v>16852</v>
      </c>
      <c r="D14022" t="s">
        <v>18818</v>
      </c>
      <c r="E14022" t="s">
        <v>30947</v>
      </c>
      <c r="F14022" t="s">
        <v>32664</v>
      </c>
      <c r="G14022" t="s">
        <v>32672</v>
      </c>
      <c r="H14022" t="s">
        <v>12635</v>
      </c>
      <c r="I14022" t="s">
        <v>11464</v>
      </c>
      <c r="J14022" t="s">
        <v>40429</v>
      </c>
      <c r="K14022" t="s">
        <v>42283</v>
      </c>
      <c r="M14022" t="s">
        <v>42665</v>
      </c>
      <c r="N14022" t="s">
        <v>46569</v>
      </c>
      <c r="O14022" t="s">
        <v>46570</v>
      </c>
      <c r="P14022">
        <v>0</v>
      </c>
      <c r="Q14022">
        <v>4</v>
      </c>
      <c r="R14022" t="s">
        <v>46587</v>
      </c>
      <c r="S14022" t="s">
        <v>47373</v>
      </c>
      <c r="T14022" t="s">
        <v>48256</v>
      </c>
      <c r="U14022" t="s">
        <v>60026</v>
      </c>
      <c r="V14022" t="s">
        <v>63179</v>
      </c>
      <c r="W14022" t="s">
        <v>42665</v>
      </c>
      <c r="X14022" t="s">
        <v>46588</v>
      </c>
    </row>
    <row r="14023" spans="1:24">
      <c r="A14023">
        <f>HYPERLINK("https://www.philgeps.gov.ph/GEPSNONPILOT/Tender/SplashBidNoticeAbstractUI.aspx?menuIndex=3&amp;refID=7032928&amp;Result=3","7032928")</f>
        <v>0</v>
      </c>
      <c r="B14023" t="s">
        <v>3104</v>
      </c>
      <c r="C14023" t="s">
        <v>16861</v>
      </c>
      <c r="D14023" t="s">
        <v>18784</v>
      </c>
      <c r="E14023" t="s">
        <v>30948</v>
      </c>
      <c r="F14023" t="s">
        <v>32664</v>
      </c>
      <c r="G14023" t="s">
        <v>32672</v>
      </c>
      <c r="H14023" t="s">
        <v>12635</v>
      </c>
      <c r="I14023" t="s">
        <v>13883</v>
      </c>
      <c r="J14023" t="s">
        <v>41152</v>
      </c>
      <c r="K14023" t="s">
        <v>42281</v>
      </c>
      <c r="M14023" t="s">
        <v>45993</v>
      </c>
      <c r="N14023" t="s">
        <v>46569</v>
      </c>
      <c r="O14023" t="s">
        <v>46570</v>
      </c>
      <c r="Q14023">
        <v>10</v>
      </c>
      <c r="R14023" t="s">
        <v>46587</v>
      </c>
      <c r="S14023" t="s">
        <v>47401</v>
      </c>
      <c r="T14023" t="s">
        <v>48244</v>
      </c>
      <c r="U14023" t="s">
        <v>60027</v>
      </c>
      <c r="V14023" t="s">
        <v>63180</v>
      </c>
      <c r="W14023" t="s">
        <v>45993</v>
      </c>
      <c r="X14023" t="s">
        <v>46588</v>
      </c>
    </row>
    <row r="14024" spans="1:24">
      <c r="A14024">
        <f>HYPERLINK("https://www.philgeps.gov.ph/GEPSNONPILOT/Tender/SplashBidNoticeAbstractUI.aspx?menuIndex=3&amp;refID=7032918&amp;Result=3","7032918")</f>
        <v>0</v>
      </c>
      <c r="B14024" t="s">
        <v>165</v>
      </c>
      <c r="C14024" t="s">
        <v>16862</v>
      </c>
      <c r="D14024" t="s">
        <v>18784</v>
      </c>
      <c r="E14024" t="s">
        <v>30949</v>
      </c>
      <c r="F14024" t="s">
        <v>32664</v>
      </c>
      <c r="G14024" t="s">
        <v>32672</v>
      </c>
      <c r="H14024" t="s">
        <v>12635</v>
      </c>
      <c r="I14024" t="s">
        <v>11464</v>
      </c>
      <c r="J14024" t="s">
        <v>33009</v>
      </c>
      <c r="K14024" t="s">
        <v>42281</v>
      </c>
      <c r="M14024" t="s">
        <v>42729</v>
      </c>
      <c r="N14024" t="s">
        <v>46569</v>
      </c>
      <c r="O14024" t="s">
        <v>46570</v>
      </c>
      <c r="P14024">
        <v>0</v>
      </c>
      <c r="Q14024">
        <v>6</v>
      </c>
      <c r="R14024" t="s">
        <v>46587</v>
      </c>
      <c r="S14024" t="s">
        <v>47373</v>
      </c>
      <c r="T14024" t="s">
        <v>48254</v>
      </c>
      <c r="U14024" t="s">
        <v>60028</v>
      </c>
      <c r="W14024" t="s">
        <v>42729</v>
      </c>
      <c r="X14024" t="s">
        <v>46588</v>
      </c>
    </row>
    <row r="14025" spans="1:24">
      <c r="A14025">
        <f>HYPERLINK("https://www.philgeps.gov.ph/GEPSNONPILOT/Tender/SplashBidNoticeAbstractUI.aspx?menuIndex=3&amp;refID=7033013&amp;Result=3","7033013")</f>
        <v>0</v>
      </c>
      <c r="B14025" t="s">
        <v>1713</v>
      </c>
      <c r="C14025" t="s">
        <v>16863</v>
      </c>
      <c r="D14025" t="s">
        <v>18799</v>
      </c>
      <c r="E14025" t="s">
        <v>30950</v>
      </c>
      <c r="F14025" t="s">
        <v>32664</v>
      </c>
      <c r="G14025" t="s">
        <v>32672</v>
      </c>
      <c r="H14025" t="s">
        <v>12635</v>
      </c>
      <c r="I14025" t="s">
        <v>32716</v>
      </c>
      <c r="J14025" t="s">
        <v>41153</v>
      </c>
      <c r="K14025" t="s">
        <v>42311</v>
      </c>
      <c r="M14025" t="s">
        <v>44408</v>
      </c>
      <c r="N14025" t="s">
        <v>46569</v>
      </c>
      <c r="O14025" t="s">
        <v>46570</v>
      </c>
      <c r="Q14025">
        <v>6</v>
      </c>
      <c r="R14025" t="s">
        <v>46587</v>
      </c>
      <c r="S14025" t="s">
        <v>47402</v>
      </c>
      <c r="T14025" t="s">
        <v>48268</v>
      </c>
      <c r="U14025" t="s">
        <v>60029</v>
      </c>
      <c r="W14025" t="s">
        <v>63529</v>
      </c>
      <c r="X14025" t="s">
        <v>46588</v>
      </c>
    </row>
    <row r="14026" spans="1:24">
      <c r="A14026">
        <f>HYPERLINK("https://www.philgeps.gov.ph/GEPSNONPILOT/Tender/SplashBidNoticeAbstractUI.aspx?menuIndex=3&amp;refID=7032873&amp;Result=3","7032873")</f>
        <v>0</v>
      </c>
      <c r="B14026" t="s">
        <v>3380</v>
      </c>
      <c r="C14026" t="s">
        <v>16864</v>
      </c>
      <c r="D14026" t="s">
        <v>18851</v>
      </c>
      <c r="E14026" t="s">
        <v>20540</v>
      </c>
      <c r="F14026" t="s">
        <v>32664</v>
      </c>
      <c r="G14026" t="s">
        <v>32672</v>
      </c>
      <c r="H14026" t="s">
        <v>12635</v>
      </c>
      <c r="I14026" t="s">
        <v>4439</v>
      </c>
      <c r="J14026" t="s">
        <v>41154</v>
      </c>
      <c r="K14026" t="s">
        <v>42297</v>
      </c>
      <c r="M14026" t="s">
        <v>46342</v>
      </c>
      <c r="N14026" t="s">
        <v>46569</v>
      </c>
      <c r="O14026" t="s">
        <v>46570</v>
      </c>
      <c r="P14026">
        <v>0</v>
      </c>
      <c r="Q14026">
        <v>2</v>
      </c>
      <c r="R14026" t="s">
        <v>46587</v>
      </c>
      <c r="S14026" t="s">
        <v>47373</v>
      </c>
      <c r="T14026" t="s">
        <v>48283</v>
      </c>
      <c r="U14026" t="s">
        <v>60030</v>
      </c>
      <c r="W14026" t="s">
        <v>46342</v>
      </c>
      <c r="X14026" t="s">
        <v>46588</v>
      </c>
    </row>
    <row r="14027" spans="1:24">
      <c r="A14027">
        <f>HYPERLINK("https://www.philgeps.gov.ph/GEPSNONPILOT/Tender/SplashBidNoticeAbstractUI.aspx?menuIndex=3&amp;refID=7032591&amp;Result=3","7032591")</f>
        <v>0</v>
      </c>
      <c r="B14027" t="s">
        <v>83</v>
      </c>
      <c r="C14027" t="s">
        <v>16865</v>
      </c>
      <c r="D14027" t="s">
        <v>18784</v>
      </c>
      <c r="E14027" t="s">
        <v>30951</v>
      </c>
      <c r="F14027" t="s">
        <v>32664</v>
      </c>
      <c r="G14027" t="s">
        <v>32672</v>
      </c>
      <c r="H14027" t="s">
        <v>12635</v>
      </c>
      <c r="I14027" t="s">
        <v>32712</v>
      </c>
      <c r="J14027" t="s">
        <v>41155</v>
      </c>
      <c r="K14027" t="s">
        <v>42283</v>
      </c>
      <c r="M14027" t="s">
        <v>44363</v>
      </c>
      <c r="N14027" t="s">
        <v>46569</v>
      </c>
      <c r="O14027" t="s">
        <v>46570</v>
      </c>
      <c r="P14027">
        <v>0</v>
      </c>
      <c r="Q14027">
        <v>10</v>
      </c>
      <c r="R14027" t="s">
        <v>46587</v>
      </c>
      <c r="S14027" t="s">
        <v>47373</v>
      </c>
      <c r="T14027" t="s">
        <v>48244</v>
      </c>
      <c r="U14027" t="s">
        <v>60031</v>
      </c>
      <c r="W14027" t="s">
        <v>44363</v>
      </c>
      <c r="X14027" t="s">
        <v>46589</v>
      </c>
    </row>
    <row r="14028" spans="1:24">
      <c r="A14028">
        <f>HYPERLINK("https://www.philgeps.gov.ph/GEPSNONPILOT/Tender/SplashBidNoticeAbstractUI.aspx?menuIndex=3&amp;refID=7032936&amp;Result=3","7032936")</f>
        <v>0</v>
      </c>
      <c r="B14028" t="s">
        <v>3381</v>
      </c>
      <c r="C14028" t="s">
        <v>16866</v>
      </c>
      <c r="D14028" t="s">
        <v>18832</v>
      </c>
      <c r="E14028" t="s">
        <v>22064</v>
      </c>
      <c r="F14028" t="s">
        <v>32664</v>
      </c>
      <c r="G14028" t="s">
        <v>32672</v>
      </c>
      <c r="H14028" t="s">
        <v>32683</v>
      </c>
      <c r="I14028" t="s">
        <v>10627</v>
      </c>
      <c r="J14028" t="s">
        <v>32981</v>
      </c>
      <c r="K14028" t="s">
        <v>42369</v>
      </c>
      <c r="M14028" t="s">
        <v>46343</v>
      </c>
      <c r="N14028" t="s">
        <v>46569</v>
      </c>
      <c r="O14028" t="s">
        <v>46570</v>
      </c>
      <c r="P14028">
        <v>0</v>
      </c>
      <c r="Q14028">
        <v>1</v>
      </c>
      <c r="R14028" t="s">
        <v>46587</v>
      </c>
      <c r="S14028" t="s">
        <v>47373</v>
      </c>
      <c r="T14028" t="s">
        <v>48282</v>
      </c>
      <c r="U14028" t="s">
        <v>60032</v>
      </c>
      <c r="W14028" t="s">
        <v>46343</v>
      </c>
      <c r="X14028" t="s">
        <v>46588</v>
      </c>
    </row>
    <row r="14029" spans="1:24">
      <c r="A14029">
        <f>HYPERLINK("https://www.philgeps.gov.ph/GEPSNONPILOT/Tender/SplashBidNoticeAbstractUI.aspx?menuIndex=3&amp;refID=7032590&amp;Result=3","7032590")</f>
        <v>0</v>
      </c>
      <c r="B14029" t="s">
        <v>257</v>
      </c>
      <c r="C14029" t="s">
        <v>16867</v>
      </c>
      <c r="D14029" t="s">
        <v>18803</v>
      </c>
      <c r="E14029" t="s">
        <v>30952</v>
      </c>
      <c r="F14029" t="s">
        <v>32664</v>
      </c>
      <c r="G14029" t="s">
        <v>32672</v>
      </c>
      <c r="H14029" t="s">
        <v>32683</v>
      </c>
      <c r="I14029" t="s">
        <v>10627</v>
      </c>
      <c r="J14029" t="s">
        <v>33167</v>
      </c>
      <c r="K14029" t="s">
        <v>42298</v>
      </c>
      <c r="M14029" t="s">
        <v>42822</v>
      </c>
      <c r="N14029" t="s">
        <v>46569</v>
      </c>
      <c r="O14029" t="s">
        <v>46570</v>
      </c>
      <c r="P14029">
        <v>0</v>
      </c>
      <c r="Q14029">
        <v>4</v>
      </c>
      <c r="R14029" t="s">
        <v>46587</v>
      </c>
      <c r="S14029" t="s">
        <v>47373</v>
      </c>
      <c r="T14029" t="s">
        <v>48316</v>
      </c>
      <c r="U14029" t="s">
        <v>49237</v>
      </c>
      <c r="W14029" t="s">
        <v>42822</v>
      </c>
      <c r="X14029" t="s">
        <v>46589</v>
      </c>
    </row>
    <row r="14030" spans="1:24">
      <c r="A14030">
        <f>HYPERLINK("https://www.philgeps.gov.ph/GEPSNONPILOT/Tender/SplashBidNoticeAbstractUI.aspx?menuIndex=3&amp;refID=7032589&amp;Result=3","7032589")</f>
        <v>0</v>
      </c>
      <c r="B14030" t="s">
        <v>257</v>
      </c>
      <c r="C14030" t="s">
        <v>16868</v>
      </c>
      <c r="D14030" t="s">
        <v>18803</v>
      </c>
      <c r="E14030" t="s">
        <v>30953</v>
      </c>
      <c r="F14030" t="s">
        <v>32664</v>
      </c>
      <c r="G14030" t="s">
        <v>32672</v>
      </c>
      <c r="H14030" t="s">
        <v>32683</v>
      </c>
      <c r="I14030" t="s">
        <v>10627</v>
      </c>
      <c r="J14030" t="s">
        <v>32982</v>
      </c>
      <c r="K14030" t="s">
        <v>42363</v>
      </c>
      <c r="M14030" t="s">
        <v>42822</v>
      </c>
      <c r="N14030" t="s">
        <v>46569</v>
      </c>
      <c r="O14030" t="s">
        <v>46570</v>
      </c>
      <c r="P14030">
        <v>0</v>
      </c>
      <c r="Q14030">
        <v>4</v>
      </c>
      <c r="R14030" t="s">
        <v>46587</v>
      </c>
      <c r="S14030" t="s">
        <v>47373</v>
      </c>
      <c r="T14030" t="s">
        <v>48316</v>
      </c>
      <c r="U14030" t="s">
        <v>49237</v>
      </c>
      <c r="W14030" t="s">
        <v>42822</v>
      </c>
      <c r="X14030" t="s">
        <v>46589</v>
      </c>
    </row>
    <row r="14031" spans="1:24">
      <c r="A14031">
        <f>HYPERLINK("https://www.philgeps.gov.ph/GEPSNONPILOT/Tender/SplashBidNoticeAbstractUI.aspx?menuIndex=3&amp;refID=7032587&amp;Result=3","7032587")</f>
        <v>0</v>
      </c>
      <c r="B14031" t="s">
        <v>257</v>
      </c>
      <c r="C14031" t="s">
        <v>16869</v>
      </c>
      <c r="D14031" t="s">
        <v>18803</v>
      </c>
      <c r="E14031" t="s">
        <v>30954</v>
      </c>
      <c r="F14031" t="s">
        <v>32664</v>
      </c>
      <c r="G14031" t="s">
        <v>32672</v>
      </c>
      <c r="H14031" t="s">
        <v>32683</v>
      </c>
      <c r="I14031" t="s">
        <v>10627</v>
      </c>
      <c r="J14031" t="s">
        <v>32982</v>
      </c>
      <c r="K14031" t="s">
        <v>42363</v>
      </c>
      <c r="M14031" t="s">
        <v>42822</v>
      </c>
      <c r="N14031" t="s">
        <v>46569</v>
      </c>
      <c r="O14031" t="s">
        <v>46570</v>
      </c>
      <c r="P14031">
        <v>0</v>
      </c>
      <c r="Q14031">
        <v>4</v>
      </c>
      <c r="R14031" t="s">
        <v>46587</v>
      </c>
      <c r="S14031" t="s">
        <v>47373</v>
      </c>
      <c r="T14031" t="s">
        <v>48316</v>
      </c>
      <c r="U14031" t="s">
        <v>49237</v>
      </c>
      <c r="W14031" t="s">
        <v>42822</v>
      </c>
      <c r="X14031" t="s">
        <v>46589</v>
      </c>
    </row>
    <row r="14032" spans="1:24">
      <c r="A14032">
        <f>HYPERLINK("https://www.philgeps.gov.ph/GEPSNONPILOT/Tender/SplashBidNoticeAbstractUI.aspx?menuIndex=3&amp;refID=7032902&amp;Result=3","7032902")</f>
        <v>0</v>
      </c>
      <c r="B14032" t="s">
        <v>1199</v>
      </c>
      <c r="C14032" t="s">
        <v>16870</v>
      </c>
      <c r="D14032" t="s">
        <v>18847</v>
      </c>
      <c r="E14032" t="s">
        <v>30955</v>
      </c>
      <c r="F14032" t="s">
        <v>32664</v>
      </c>
      <c r="G14032" t="s">
        <v>32672</v>
      </c>
      <c r="H14032" t="s">
        <v>32683</v>
      </c>
      <c r="I14032" t="s">
        <v>10627</v>
      </c>
      <c r="J14032" t="s">
        <v>41156</v>
      </c>
      <c r="K14032" t="s">
        <v>42308</v>
      </c>
      <c r="M14032" t="s">
        <v>43836</v>
      </c>
      <c r="N14032" t="s">
        <v>46569</v>
      </c>
      <c r="O14032" t="s">
        <v>46570</v>
      </c>
      <c r="P14032">
        <v>0</v>
      </c>
      <c r="Q14032">
        <v>2</v>
      </c>
      <c r="R14032" t="s">
        <v>46587</v>
      </c>
      <c r="S14032" t="s">
        <v>47373</v>
      </c>
      <c r="T14032" t="s">
        <v>48228</v>
      </c>
      <c r="U14032" t="s">
        <v>60033</v>
      </c>
      <c r="W14032" t="s">
        <v>43836</v>
      </c>
      <c r="X14032" t="s">
        <v>46588</v>
      </c>
    </row>
    <row r="14033" spans="1:24">
      <c r="A14033">
        <f>HYPERLINK("https://www.philgeps.gov.ph/GEPSNONPILOT/Tender/SplashBidNoticeAbstractUI.aspx?menuIndex=3&amp;refID=7032395&amp;Result=3","7032395")</f>
        <v>0</v>
      </c>
      <c r="B14033" t="s">
        <v>83</v>
      </c>
      <c r="C14033" t="s">
        <v>16871</v>
      </c>
      <c r="D14033" t="s">
        <v>18784</v>
      </c>
      <c r="E14033" t="s">
        <v>30956</v>
      </c>
      <c r="F14033" t="s">
        <v>32664</v>
      </c>
      <c r="G14033" t="s">
        <v>32672</v>
      </c>
      <c r="H14033" t="s">
        <v>12635</v>
      </c>
      <c r="I14033" t="s">
        <v>32685</v>
      </c>
      <c r="J14033" t="s">
        <v>41157</v>
      </c>
      <c r="K14033" t="s">
        <v>42283</v>
      </c>
      <c r="M14033" t="s">
        <v>45741</v>
      </c>
      <c r="N14033" t="s">
        <v>46569</v>
      </c>
      <c r="O14033" t="s">
        <v>46570</v>
      </c>
      <c r="P14033">
        <v>0</v>
      </c>
      <c r="Q14033">
        <v>1</v>
      </c>
      <c r="R14033" t="s">
        <v>46587</v>
      </c>
      <c r="S14033" t="s">
        <v>47373</v>
      </c>
      <c r="T14033" t="s">
        <v>48244</v>
      </c>
      <c r="U14033" t="s">
        <v>60034</v>
      </c>
      <c r="W14033" t="s">
        <v>45741</v>
      </c>
      <c r="X14033" t="s">
        <v>46589</v>
      </c>
    </row>
    <row r="14034" spans="1:24">
      <c r="A14034">
        <f>HYPERLINK("https://www.philgeps.gov.ph/GEPSNONPILOT/Tender/SplashBidNoticeAbstractUI.aspx?menuIndex=3&amp;refID=7032582&amp;Result=3","7032582")</f>
        <v>0</v>
      </c>
      <c r="B14034" t="s">
        <v>257</v>
      </c>
      <c r="C14034" t="s">
        <v>16872</v>
      </c>
      <c r="D14034" t="s">
        <v>18803</v>
      </c>
      <c r="E14034" t="s">
        <v>30957</v>
      </c>
      <c r="F14034" t="s">
        <v>32664</v>
      </c>
      <c r="G14034" t="s">
        <v>32672</v>
      </c>
      <c r="H14034" t="s">
        <v>32683</v>
      </c>
      <c r="I14034" t="s">
        <v>10627</v>
      </c>
      <c r="J14034" t="s">
        <v>34148</v>
      </c>
      <c r="K14034" t="s">
        <v>42411</v>
      </c>
      <c r="M14034" t="s">
        <v>42822</v>
      </c>
      <c r="N14034" t="s">
        <v>46569</v>
      </c>
      <c r="O14034" t="s">
        <v>46570</v>
      </c>
      <c r="P14034">
        <v>0</v>
      </c>
      <c r="Q14034">
        <v>4</v>
      </c>
      <c r="R14034" t="s">
        <v>46587</v>
      </c>
      <c r="S14034" t="s">
        <v>47373</v>
      </c>
      <c r="T14034" t="s">
        <v>48316</v>
      </c>
      <c r="U14034" t="s">
        <v>49237</v>
      </c>
      <c r="W14034" t="s">
        <v>42822</v>
      </c>
      <c r="X14034" t="s">
        <v>46589</v>
      </c>
    </row>
    <row r="14035" spans="1:24">
      <c r="A14035">
        <f>HYPERLINK("https://www.philgeps.gov.ph/GEPSNONPILOT/Tender/SplashBidNoticeAbstractUI.aspx?menuIndex=3&amp;refID=7032595&amp;Result=3","7032595")</f>
        <v>0</v>
      </c>
      <c r="B14035" t="s">
        <v>257</v>
      </c>
      <c r="C14035" t="s">
        <v>16873</v>
      </c>
      <c r="D14035" t="s">
        <v>18803</v>
      </c>
      <c r="E14035" t="s">
        <v>30958</v>
      </c>
      <c r="F14035" t="s">
        <v>32664</v>
      </c>
      <c r="G14035" t="s">
        <v>32672</v>
      </c>
      <c r="H14035" t="s">
        <v>32683</v>
      </c>
      <c r="I14035" t="s">
        <v>10627</v>
      </c>
      <c r="J14035" t="s">
        <v>32865</v>
      </c>
      <c r="K14035" t="s">
        <v>42305</v>
      </c>
      <c r="M14035" t="s">
        <v>42822</v>
      </c>
      <c r="N14035" t="s">
        <v>46569</v>
      </c>
      <c r="O14035" t="s">
        <v>46570</v>
      </c>
      <c r="P14035">
        <v>0</v>
      </c>
      <c r="Q14035">
        <v>4</v>
      </c>
      <c r="R14035" t="s">
        <v>46587</v>
      </c>
      <c r="S14035" t="s">
        <v>47373</v>
      </c>
      <c r="T14035" t="s">
        <v>48316</v>
      </c>
      <c r="U14035" t="s">
        <v>49237</v>
      </c>
      <c r="W14035" t="s">
        <v>42822</v>
      </c>
      <c r="X14035" t="s">
        <v>46589</v>
      </c>
    </row>
    <row r="14036" spans="1:24">
      <c r="A14036">
        <f>HYPERLINK("https://www.philgeps.gov.ph/GEPSNONPILOT/Tender/SplashBidNoticeAbstractUI.aspx?menuIndex=3&amp;refID=7032125&amp;Result=3","7032125")</f>
        <v>0</v>
      </c>
      <c r="B14036" t="s">
        <v>83</v>
      </c>
      <c r="C14036" t="s">
        <v>16874</v>
      </c>
      <c r="D14036" t="s">
        <v>18784</v>
      </c>
      <c r="E14036" t="s">
        <v>30959</v>
      </c>
      <c r="F14036" t="s">
        <v>32664</v>
      </c>
      <c r="G14036" t="s">
        <v>32672</v>
      </c>
      <c r="H14036" t="s">
        <v>12635</v>
      </c>
      <c r="I14036" t="s">
        <v>32712</v>
      </c>
      <c r="J14036" t="s">
        <v>41158</v>
      </c>
      <c r="K14036" t="s">
        <v>42283</v>
      </c>
      <c r="M14036" t="s">
        <v>45058</v>
      </c>
      <c r="N14036" t="s">
        <v>46569</v>
      </c>
      <c r="O14036" t="s">
        <v>46570</v>
      </c>
      <c r="Q14036">
        <v>7</v>
      </c>
      <c r="R14036" t="s">
        <v>46587</v>
      </c>
      <c r="S14036" t="s">
        <v>47403</v>
      </c>
      <c r="T14036" t="s">
        <v>48244</v>
      </c>
      <c r="U14036" t="s">
        <v>60035</v>
      </c>
      <c r="W14036" t="s">
        <v>45058</v>
      </c>
      <c r="X14036" t="s">
        <v>46590</v>
      </c>
    </row>
    <row r="14037" spans="1:24">
      <c r="A14037">
        <f>HYPERLINK("https://www.philgeps.gov.ph/GEPSNONPILOT/Tender/SplashBidNoticeAbstractUI.aspx?menuIndex=3&amp;refID=7032072&amp;Result=3","7032072")</f>
        <v>0</v>
      </c>
      <c r="B14037" t="s">
        <v>83</v>
      </c>
      <c r="C14037" t="s">
        <v>16875</v>
      </c>
      <c r="D14037" t="s">
        <v>18784</v>
      </c>
      <c r="E14037" t="s">
        <v>30960</v>
      </c>
      <c r="F14037" t="s">
        <v>32664</v>
      </c>
      <c r="G14037" t="s">
        <v>32672</v>
      </c>
      <c r="H14037" t="s">
        <v>12635</v>
      </c>
      <c r="I14037" t="s">
        <v>6628</v>
      </c>
      <c r="J14037" t="s">
        <v>41159</v>
      </c>
      <c r="K14037" t="s">
        <v>42283</v>
      </c>
      <c r="M14037" t="s">
        <v>45058</v>
      </c>
      <c r="N14037" t="s">
        <v>46569</v>
      </c>
      <c r="O14037" t="s">
        <v>46570</v>
      </c>
      <c r="P14037">
        <v>0</v>
      </c>
      <c r="Q14037">
        <v>4</v>
      </c>
      <c r="R14037" t="s">
        <v>46587</v>
      </c>
      <c r="S14037" t="s">
        <v>47373</v>
      </c>
      <c r="T14037" t="s">
        <v>48244</v>
      </c>
      <c r="U14037" t="s">
        <v>60036</v>
      </c>
      <c r="W14037" t="s">
        <v>45058</v>
      </c>
      <c r="X14037" t="s">
        <v>46590</v>
      </c>
    </row>
    <row r="14038" spans="1:24">
      <c r="A14038">
        <f>HYPERLINK("https://www.philgeps.gov.ph/GEPSNONPILOT/Tender/SplashBidNoticeAbstractUI.aspx?menuIndex=3&amp;refID=7031689&amp;Result=3","7031689")</f>
        <v>0</v>
      </c>
      <c r="B14038" t="s">
        <v>2066</v>
      </c>
      <c r="C14038" t="s">
        <v>16876</v>
      </c>
      <c r="D14038" t="s">
        <v>18817</v>
      </c>
      <c r="E14038" t="s">
        <v>30961</v>
      </c>
      <c r="F14038" t="s">
        <v>32664</v>
      </c>
      <c r="G14038" t="s">
        <v>32672</v>
      </c>
      <c r="H14038" t="s">
        <v>32683</v>
      </c>
      <c r="I14038" t="s">
        <v>10627</v>
      </c>
      <c r="J14038" t="s">
        <v>41160</v>
      </c>
      <c r="K14038" t="s">
        <v>42389</v>
      </c>
      <c r="M14038" t="s">
        <v>46344</v>
      </c>
      <c r="N14038" t="s">
        <v>46569</v>
      </c>
      <c r="O14038" t="s">
        <v>46570</v>
      </c>
      <c r="P14038">
        <v>0</v>
      </c>
      <c r="Q14038">
        <v>1</v>
      </c>
      <c r="R14038" t="s">
        <v>46587</v>
      </c>
      <c r="S14038" t="s">
        <v>47373</v>
      </c>
      <c r="T14038" t="s">
        <v>48244</v>
      </c>
      <c r="U14038" t="s">
        <v>60037</v>
      </c>
      <c r="W14038" t="s">
        <v>46344</v>
      </c>
      <c r="X14038" t="s">
        <v>46591</v>
      </c>
    </row>
    <row r="14039" spans="1:24">
      <c r="A14039">
        <f>HYPERLINK("https://www.philgeps.gov.ph/GEPSNONPILOT/Tender/SplashBidNoticeAbstractUI.aspx?menuIndex=3&amp;refID=7032388&amp;Result=3","7032388")</f>
        <v>0</v>
      </c>
      <c r="B14039" t="s">
        <v>83</v>
      </c>
      <c r="C14039" t="s">
        <v>16877</v>
      </c>
      <c r="D14039" t="s">
        <v>18784</v>
      </c>
      <c r="E14039" t="s">
        <v>30962</v>
      </c>
      <c r="F14039" t="s">
        <v>32664</v>
      </c>
      <c r="G14039" t="s">
        <v>32672</v>
      </c>
      <c r="H14039" t="s">
        <v>12635</v>
      </c>
      <c r="I14039" t="s">
        <v>32701</v>
      </c>
      <c r="J14039" t="s">
        <v>32930</v>
      </c>
      <c r="K14039" t="s">
        <v>42283</v>
      </c>
      <c r="M14039" t="s">
        <v>45741</v>
      </c>
      <c r="N14039" t="s">
        <v>46569</v>
      </c>
      <c r="O14039" t="s">
        <v>46570</v>
      </c>
      <c r="P14039">
        <v>0</v>
      </c>
      <c r="Q14039">
        <v>0</v>
      </c>
      <c r="R14039" t="s">
        <v>46587</v>
      </c>
      <c r="S14039" t="s">
        <v>47373</v>
      </c>
      <c r="T14039" t="s">
        <v>48244</v>
      </c>
      <c r="U14039" t="s">
        <v>60038</v>
      </c>
      <c r="W14039" t="s">
        <v>45741</v>
      </c>
      <c r="X14039" t="s">
        <v>46589</v>
      </c>
    </row>
    <row r="14040" spans="1:24">
      <c r="A14040">
        <f>HYPERLINK("https://www.philgeps.gov.ph/GEPSNONPILOT/Tender/SplashBidNoticeAbstractUI.aspx?menuIndex=3&amp;refID=7032139&amp;Result=3","7032139")</f>
        <v>0</v>
      </c>
      <c r="B14040" t="s">
        <v>1632</v>
      </c>
      <c r="C14040" t="s">
        <v>16878</v>
      </c>
      <c r="D14040" t="s">
        <v>18841</v>
      </c>
      <c r="E14040" t="s">
        <v>30963</v>
      </c>
      <c r="F14040" t="s">
        <v>32664</v>
      </c>
      <c r="G14040" t="s">
        <v>32672</v>
      </c>
      <c r="H14040" t="s">
        <v>12635</v>
      </c>
      <c r="I14040" t="s">
        <v>32782</v>
      </c>
      <c r="J14040" t="s">
        <v>39901</v>
      </c>
      <c r="K14040" t="s">
        <v>42298</v>
      </c>
      <c r="M14040" t="s">
        <v>44314</v>
      </c>
      <c r="N14040" t="s">
        <v>46569</v>
      </c>
      <c r="O14040" t="s">
        <v>46570</v>
      </c>
      <c r="Q14040">
        <v>24</v>
      </c>
      <c r="R14040" t="s">
        <v>46587</v>
      </c>
      <c r="S14040" t="s">
        <v>46789</v>
      </c>
      <c r="T14040" t="s">
        <v>48238</v>
      </c>
      <c r="U14040" t="s">
        <v>60039</v>
      </c>
      <c r="W14040" t="s">
        <v>44314</v>
      </c>
      <c r="X14040" t="s">
        <v>46590</v>
      </c>
    </row>
    <row r="14041" spans="1:24">
      <c r="A14041">
        <f>HYPERLINK("https://www.philgeps.gov.ph/GEPSNONPILOT/Tender/SplashBidNoticeAbstractUI.aspx?menuIndex=3&amp;refID=7035985&amp;Result=3","7035985")</f>
        <v>0</v>
      </c>
      <c r="B14041" t="s">
        <v>3224</v>
      </c>
      <c r="C14041" t="s">
        <v>16879</v>
      </c>
      <c r="D14041" t="s">
        <v>18860</v>
      </c>
      <c r="E14041" t="s">
        <v>16879</v>
      </c>
      <c r="F14041" t="s">
        <v>32664</v>
      </c>
      <c r="G14041" t="s">
        <v>32672</v>
      </c>
      <c r="H14041" t="s">
        <v>12635</v>
      </c>
      <c r="I14041" t="s">
        <v>11464</v>
      </c>
      <c r="J14041" t="s">
        <v>39246</v>
      </c>
      <c r="K14041" t="s">
        <v>42289</v>
      </c>
      <c r="M14041" t="s">
        <v>46144</v>
      </c>
      <c r="N14041" t="s">
        <v>46569</v>
      </c>
      <c r="O14041" t="s">
        <v>46570</v>
      </c>
      <c r="Q14041">
        <v>4</v>
      </c>
      <c r="R14041" t="s">
        <v>46586</v>
      </c>
      <c r="S14041" t="s">
        <v>46895</v>
      </c>
      <c r="T14041" t="s">
        <v>48283</v>
      </c>
      <c r="U14041" t="s">
        <v>60040</v>
      </c>
      <c r="W14041" t="s">
        <v>46144</v>
      </c>
      <c r="X14041" t="s">
        <v>46587</v>
      </c>
    </row>
    <row r="14042" spans="1:24">
      <c r="A14042">
        <f>HYPERLINK("https://www.philgeps.gov.ph/GEPSNONPILOT/Tender/SplashBidNoticeAbstractUI.aspx?menuIndex=3&amp;refID=7031537&amp;Result=3","7031537")</f>
        <v>0</v>
      </c>
      <c r="B14042" t="s">
        <v>3208</v>
      </c>
      <c r="C14042" t="s">
        <v>16880</v>
      </c>
      <c r="D14042" t="s">
        <v>18782</v>
      </c>
      <c r="E14042" t="s">
        <v>30964</v>
      </c>
      <c r="F14042" t="s">
        <v>32664</v>
      </c>
      <c r="G14042" t="s">
        <v>32672</v>
      </c>
      <c r="H14042" t="s">
        <v>12635</v>
      </c>
      <c r="I14042" t="s">
        <v>10361</v>
      </c>
      <c r="J14042" t="s">
        <v>41161</v>
      </c>
      <c r="K14042" t="s">
        <v>42283</v>
      </c>
      <c r="M14042" t="s">
        <v>46126</v>
      </c>
      <c r="N14042" t="s">
        <v>46569</v>
      </c>
      <c r="O14042" t="s">
        <v>46570</v>
      </c>
      <c r="P14042">
        <v>0</v>
      </c>
      <c r="Q14042">
        <v>2</v>
      </c>
      <c r="R14042" t="s">
        <v>46587</v>
      </c>
      <c r="S14042" t="s">
        <v>47373</v>
      </c>
      <c r="T14042" t="s">
        <v>48284</v>
      </c>
      <c r="U14042" t="s">
        <v>60041</v>
      </c>
      <c r="W14042" t="s">
        <v>46126</v>
      </c>
      <c r="X14042" t="s">
        <v>46591</v>
      </c>
    </row>
    <row r="14043" spans="1:24">
      <c r="A14043">
        <f>HYPERLINK("https://www.philgeps.gov.ph/GEPSNONPILOT/Tender/SplashBidNoticeAbstractUI.aspx?menuIndex=3&amp;refID=7032407&amp;Result=3","7032407")</f>
        <v>0</v>
      </c>
      <c r="B14043" t="s">
        <v>83</v>
      </c>
      <c r="C14043" t="s">
        <v>16881</v>
      </c>
      <c r="D14043" t="s">
        <v>18784</v>
      </c>
      <c r="E14043" t="s">
        <v>30965</v>
      </c>
      <c r="F14043" t="s">
        <v>32664</v>
      </c>
      <c r="G14043" t="s">
        <v>32672</v>
      </c>
      <c r="H14043" t="s">
        <v>12635</v>
      </c>
      <c r="I14043" t="s">
        <v>6553</v>
      </c>
      <c r="J14043" t="s">
        <v>41162</v>
      </c>
      <c r="K14043" t="s">
        <v>42283</v>
      </c>
      <c r="M14043" t="s">
        <v>45741</v>
      </c>
      <c r="N14043" t="s">
        <v>46569</v>
      </c>
      <c r="O14043" t="s">
        <v>46570</v>
      </c>
      <c r="P14043">
        <v>0</v>
      </c>
      <c r="Q14043">
        <v>2</v>
      </c>
      <c r="R14043" t="s">
        <v>46587</v>
      </c>
      <c r="S14043" t="s">
        <v>47373</v>
      </c>
      <c r="T14043" t="s">
        <v>48244</v>
      </c>
      <c r="U14043" t="s">
        <v>60042</v>
      </c>
      <c r="W14043" t="s">
        <v>45741</v>
      </c>
      <c r="X14043" t="s">
        <v>46589</v>
      </c>
    </row>
    <row r="14044" spans="1:24">
      <c r="A14044">
        <f>HYPERLINK("https://www.philgeps.gov.ph/GEPSNONPILOT/Tender/SplashBidNoticeAbstractUI.aspx?menuIndex=3&amp;refID=7035988&amp;Result=3","7035988")</f>
        <v>0</v>
      </c>
      <c r="B14044" t="s">
        <v>570</v>
      </c>
      <c r="C14044" t="s">
        <v>16882</v>
      </c>
      <c r="E14044" t="s">
        <v>30966</v>
      </c>
      <c r="F14044" t="s">
        <v>32664</v>
      </c>
      <c r="G14044" t="s">
        <v>32672</v>
      </c>
      <c r="H14044" t="s">
        <v>32683</v>
      </c>
      <c r="I14044" t="s">
        <v>10627</v>
      </c>
      <c r="J14044" t="s">
        <v>33969</v>
      </c>
      <c r="K14044" t="s">
        <v>42285</v>
      </c>
      <c r="M14044" t="s">
        <v>46169</v>
      </c>
      <c r="N14044" t="s">
        <v>46569</v>
      </c>
      <c r="O14044" t="s">
        <v>46570</v>
      </c>
      <c r="P14044">
        <v>0</v>
      </c>
      <c r="Q14044">
        <v>1</v>
      </c>
      <c r="R14044" t="s">
        <v>46586</v>
      </c>
      <c r="S14044" t="s">
        <v>47252</v>
      </c>
      <c r="T14044" t="s">
        <v>48293</v>
      </c>
      <c r="U14044" t="s">
        <v>60043</v>
      </c>
      <c r="W14044" t="s">
        <v>43150</v>
      </c>
      <c r="X14044" t="s">
        <v>46587</v>
      </c>
    </row>
    <row r="14045" spans="1:24">
      <c r="A14045">
        <f>HYPERLINK("https://www.philgeps.gov.ph/GEPSNONPILOT/Tender/SplashBidNoticeAbstractUI.aspx?menuIndex=3&amp;refID=7033328&amp;Result=3","7033328")</f>
        <v>0</v>
      </c>
      <c r="B14045" t="s">
        <v>3104</v>
      </c>
      <c r="C14045" t="s">
        <v>16883</v>
      </c>
      <c r="D14045" t="s">
        <v>18784</v>
      </c>
      <c r="E14045" t="s">
        <v>30967</v>
      </c>
      <c r="F14045" t="s">
        <v>32664</v>
      </c>
      <c r="G14045" t="s">
        <v>32672</v>
      </c>
      <c r="H14045" t="s">
        <v>12635</v>
      </c>
      <c r="I14045" t="s">
        <v>32738</v>
      </c>
      <c r="J14045" t="s">
        <v>36071</v>
      </c>
      <c r="K14045" t="s">
        <v>42298</v>
      </c>
      <c r="M14045" t="s">
        <v>45993</v>
      </c>
      <c r="N14045" t="s">
        <v>46569</v>
      </c>
      <c r="O14045" t="s">
        <v>46570</v>
      </c>
      <c r="Q14045">
        <v>16</v>
      </c>
      <c r="R14045" t="s">
        <v>46587</v>
      </c>
      <c r="S14045" t="s">
        <v>47404</v>
      </c>
      <c r="T14045" t="s">
        <v>48244</v>
      </c>
      <c r="U14045" t="s">
        <v>60044</v>
      </c>
      <c r="W14045" t="s">
        <v>45993</v>
      </c>
      <c r="X14045" t="s">
        <v>46588</v>
      </c>
    </row>
    <row r="14046" spans="1:24">
      <c r="A14046">
        <f>HYPERLINK("https://www.philgeps.gov.ph/GEPSNONPILOT/Tender/SplashBidNoticeAbstractUI.aspx?menuIndex=3&amp;refID=7032935&amp;Result=3","7032935")</f>
        <v>0</v>
      </c>
      <c r="B14046" t="s">
        <v>1108</v>
      </c>
      <c r="C14046" t="s">
        <v>16884</v>
      </c>
      <c r="D14046" t="s">
        <v>18796</v>
      </c>
      <c r="E14046" t="s">
        <v>30968</v>
      </c>
      <c r="F14046" t="s">
        <v>32664</v>
      </c>
      <c r="G14046" t="s">
        <v>32672</v>
      </c>
      <c r="H14046" t="s">
        <v>32683</v>
      </c>
      <c r="I14046" t="s">
        <v>10627</v>
      </c>
      <c r="J14046" t="s">
        <v>41163</v>
      </c>
      <c r="K14046" t="s">
        <v>42550</v>
      </c>
      <c r="M14046" t="s">
        <v>43735</v>
      </c>
      <c r="N14046" t="s">
        <v>46569</v>
      </c>
      <c r="O14046" t="s">
        <v>46570</v>
      </c>
      <c r="P14046">
        <v>0</v>
      </c>
      <c r="Q14046">
        <v>7</v>
      </c>
      <c r="R14046" t="s">
        <v>46587</v>
      </c>
      <c r="S14046" t="s">
        <v>47373</v>
      </c>
      <c r="T14046" t="s">
        <v>48221</v>
      </c>
      <c r="U14046" t="s">
        <v>51113</v>
      </c>
      <c r="V14046" t="s">
        <v>63181</v>
      </c>
      <c r="W14046" t="s">
        <v>43735</v>
      </c>
      <c r="X14046" t="s">
        <v>46588</v>
      </c>
    </row>
    <row r="14047" spans="1:24">
      <c r="A14047">
        <f>HYPERLINK("https://www.philgeps.gov.ph/GEPSNONPILOT/Tender/SplashBidNoticeAbstractUI.aspx?menuIndex=3&amp;refID=7033318&amp;Result=3","7033318")</f>
        <v>0</v>
      </c>
      <c r="B14047" t="s">
        <v>1027</v>
      </c>
      <c r="C14047" t="s">
        <v>16885</v>
      </c>
      <c r="D14047" t="s">
        <v>18790</v>
      </c>
      <c r="E14047" t="s">
        <v>30969</v>
      </c>
      <c r="F14047" t="s">
        <v>32664</v>
      </c>
      <c r="G14047" t="s">
        <v>32672</v>
      </c>
      <c r="H14047" t="s">
        <v>12635</v>
      </c>
      <c r="I14047" t="s">
        <v>11464</v>
      </c>
      <c r="J14047" t="s">
        <v>34148</v>
      </c>
      <c r="K14047" t="s">
        <v>42283</v>
      </c>
      <c r="M14047" t="s">
        <v>43639</v>
      </c>
      <c r="N14047" t="s">
        <v>46569</v>
      </c>
      <c r="O14047" t="s">
        <v>46570</v>
      </c>
      <c r="P14047">
        <v>0</v>
      </c>
      <c r="Q14047">
        <v>6</v>
      </c>
      <c r="R14047" t="s">
        <v>46587</v>
      </c>
      <c r="S14047" t="s">
        <v>47373</v>
      </c>
      <c r="T14047" t="s">
        <v>48411</v>
      </c>
      <c r="U14047" t="s">
        <v>60045</v>
      </c>
      <c r="W14047" t="s">
        <v>43639</v>
      </c>
      <c r="X14047" t="s">
        <v>46588</v>
      </c>
    </row>
    <row r="14048" spans="1:24">
      <c r="A14048">
        <f>HYPERLINK("https://www.philgeps.gov.ph/GEPSNONPILOT/Tender/SplashBidNoticeAbstractUI.aspx?menuIndex=3&amp;refID=7035971&amp;Result=3","7035971")</f>
        <v>0</v>
      </c>
      <c r="B14048" t="s">
        <v>3339</v>
      </c>
      <c r="C14048" t="s">
        <v>16886</v>
      </c>
      <c r="D14048" t="s">
        <v>18853</v>
      </c>
      <c r="E14048" t="s">
        <v>21126</v>
      </c>
      <c r="F14048" t="s">
        <v>32664</v>
      </c>
      <c r="G14048" t="s">
        <v>32671</v>
      </c>
      <c r="H14048" t="s">
        <v>12635</v>
      </c>
      <c r="I14048" t="s">
        <v>8730</v>
      </c>
      <c r="J14048" t="s">
        <v>41164</v>
      </c>
      <c r="K14048" t="s">
        <v>42303</v>
      </c>
      <c r="M14048" t="s">
        <v>46291</v>
      </c>
      <c r="N14048" t="s">
        <v>46569</v>
      </c>
      <c r="O14048" t="s">
        <v>46570</v>
      </c>
      <c r="P14048">
        <v>0</v>
      </c>
      <c r="Q14048">
        <v>5</v>
      </c>
      <c r="R14048" t="s">
        <v>46586</v>
      </c>
      <c r="S14048" t="s">
        <v>47252</v>
      </c>
      <c r="T14048" t="s">
        <v>48287</v>
      </c>
      <c r="U14048" t="s">
        <v>60046</v>
      </c>
      <c r="V14048" t="s">
        <v>63182</v>
      </c>
      <c r="W14048" t="s">
        <v>46291</v>
      </c>
      <c r="X14048" t="s">
        <v>46587</v>
      </c>
    </row>
    <row r="14049" spans="1:24">
      <c r="A14049">
        <f>HYPERLINK("https://www.philgeps.gov.ph/GEPSNONPILOT/Tender/SplashBidNoticeAbstractUI.aspx?menuIndex=3&amp;refID=7033296&amp;Result=3","7033296")</f>
        <v>0</v>
      </c>
      <c r="B14049" t="s">
        <v>1459</v>
      </c>
      <c r="C14049" t="s">
        <v>16887</v>
      </c>
      <c r="D14049" t="s">
        <v>18784</v>
      </c>
      <c r="E14049" t="s">
        <v>30970</v>
      </c>
      <c r="F14049" t="s">
        <v>32664</v>
      </c>
      <c r="G14049" t="s">
        <v>32672</v>
      </c>
      <c r="H14049" t="s">
        <v>32683</v>
      </c>
      <c r="I14049" t="s">
        <v>10627</v>
      </c>
      <c r="J14049" t="s">
        <v>41165</v>
      </c>
      <c r="K14049" t="s">
        <v>42290</v>
      </c>
      <c r="M14049" t="s">
        <v>44120</v>
      </c>
      <c r="N14049" t="s">
        <v>46569</v>
      </c>
      <c r="O14049" t="s">
        <v>46570</v>
      </c>
      <c r="Q14049">
        <v>69</v>
      </c>
      <c r="R14049" t="s">
        <v>46587</v>
      </c>
      <c r="S14049" t="s">
        <v>47405</v>
      </c>
      <c r="T14049" t="s">
        <v>48356</v>
      </c>
      <c r="U14049" t="s">
        <v>60047</v>
      </c>
      <c r="V14049" t="s">
        <v>62491</v>
      </c>
      <c r="W14049" t="s">
        <v>44120</v>
      </c>
      <c r="X14049" t="s">
        <v>46588</v>
      </c>
    </row>
    <row r="14050" spans="1:24">
      <c r="A14050">
        <f>HYPERLINK("https://www.philgeps.gov.ph/GEPSNONPILOT/Tender/SplashBidNoticeAbstractUI.aspx?menuIndex=3&amp;refID=7033322&amp;Result=3","7033322")</f>
        <v>0</v>
      </c>
      <c r="B14050" t="s">
        <v>3382</v>
      </c>
      <c r="C14050" t="s">
        <v>16888</v>
      </c>
      <c r="D14050" t="s">
        <v>18790</v>
      </c>
      <c r="E14050" t="s">
        <v>30971</v>
      </c>
      <c r="F14050" t="s">
        <v>32664</v>
      </c>
      <c r="G14050" t="s">
        <v>32672</v>
      </c>
      <c r="H14050" t="s">
        <v>12635</v>
      </c>
      <c r="I14050" t="s">
        <v>4439</v>
      </c>
      <c r="J14050" t="s">
        <v>41166</v>
      </c>
      <c r="K14050" t="s">
        <v>42281</v>
      </c>
      <c r="M14050" t="s">
        <v>46345</v>
      </c>
      <c r="N14050" t="s">
        <v>46569</v>
      </c>
      <c r="O14050" t="s">
        <v>46570</v>
      </c>
      <c r="Q14050">
        <v>0</v>
      </c>
      <c r="R14050" t="s">
        <v>46587</v>
      </c>
      <c r="S14050" t="s">
        <v>47406</v>
      </c>
      <c r="T14050" t="s">
        <v>48223</v>
      </c>
      <c r="U14050" t="s">
        <v>60048</v>
      </c>
      <c r="W14050" t="s">
        <v>46345</v>
      </c>
      <c r="X14050" t="s">
        <v>46588</v>
      </c>
    </row>
    <row r="14051" spans="1:24">
      <c r="A14051">
        <f>HYPERLINK("https://www.philgeps.gov.ph/GEPSNONPILOT/Tender/SplashBidNoticeAbstractUI.aspx?menuIndex=3&amp;refID=7033292&amp;Result=3","7033292")</f>
        <v>0</v>
      </c>
      <c r="B14051" t="s">
        <v>3322</v>
      </c>
      <c r="C14051" t="s">
        <v>16889</v>
      </c>
      <c r="D14051" t="s">
        <v>18856</v>
      </c>
      <c r="E14051" t="s">
        <v>30972</v>
      </c>
      <c r="F14051" t="s">
        <v>32665</v>
      </c>
      <c r="G14051" t="s">
        <v>32672</v>
      </c>
      <c r="H14051" t="s">
        <v>12635</v>
      </c>
      <c r="I14051" t="s">
        <v>32727</v>
      </c>
      <c r="J14051" t="s">
        <v>41167</v>
      </c>
      <c r="K14051" t="s">
        <v>42298</v>
      </c>
      <c r="M14051" t="s">
        <v>46274</v>
      </c>
      <c r="N14051" t="s">
        <v>46569</v>
      </c>
      <c r="O14051" t="s">
        <v>46570</v>
      </c>
      <c r="P14051">
        <v>0</v>
      </c>
      <c r="Q14051">
        <v>10</v>
      </c>
      <c r="R14051" t="s">
        <v>46587</v>
      </c>
      <c r="S14051" t="s">
        <v>47373</v>
      </c>
      <c r="T14051" t="s">
        <v>48304</v>
      </c>
      <c r="U14051" t="s">
        <v>54604</v>
      </c>
      <c r="W14051" t="s">
        <v>46274</v>
      </c>
      <c r="X14051" t="s">
        <v>46588</v>
      </c>
    </row>
    <row r="14052" spans="1:24">
      <c r="A14052">
        <f>HYPERLINK("https://www.philgeps.gov.ph/GEPSNONPILOT/Tender/SplashBidNoticeAbstractUI.aspx?menuIndex=3&amp;refID=7033332&amp;Result=3","7033332")</f>
        <v>0</v>
      </c>
      <c r="B14052" t="s">
        <v>680</v>
      </c>
      <c r="C14052" t="s">
        <v>16890</v>
      </c>
      <c r="D14052" t="s">
        <v>18792</v>
      </c>
      <c r="E14052" t="s">
        <v>30973</v>
      </c>
      <c r="F14052" t="s">
        <v>32664</v>
      </c>
      <c r="G14052" t="s">
        <v>32672</v>
      </c>
      <c r="H14052" t="s">
        <v>32683</v>
      </c>
      <c r="I14052" t="s">
        <v>10627</v>
      </c>
      <c r="J14052" t="s">
        <v>41168</v>
      </c>
      <c r="K14052" t="s">
        <v>42311</v>
      </c>
      <c r="M14052" t="s">
        <v>43267</v>
      </c>
      <c r="N14052" t="s">
        <v>46569</v>
      </c>
      <c r="O14052" t="s">
        <v>46570</v>
      </c>
      <c r="P14052">
        <v>0</v>
      </c>
      <c r="Q14052">
        <v>4</v>
      </c>
      <c r="R14052" t="s">
        <v>46587</v>
      </c>
      <c r="S14052" t="s">
        <v>47373</v>
      </c>
      <c r="T14052" t="s">
        <v>48283</v>
      </c>
      <c r="U14052" t="s">
        <v>60049</v>
      </c>
      <c r="W14052" t="s">
        <v>43267</v>
      </c>
      <c r="X14052" t="s">
        <v>46588</v>
      </c>
    </row>
    <row r="14053" spans="1:24">
      <c r="A14053">
        <f>HYPERLINK("https://www.philgeps.gov.ph/GEPSNONPILOT/Tender/SplashBidNoticeAbstractUI.aspx?menuIndex=3&amp;refID=7033277&amp;Result=3","7033277")</f>
        <v>0</v>
      </c>
      <c r="B14053" t="s">
        <v>1459</v>
      </c>
      <c r="C14053" t="s">
        <v>16891</v>
      </c>
      <c r="D14053" t="s">
        <v>18784</v>
      </c>
      <c r="E14053" t="s">
        <v>30974</v>
      </c>
      <c r="F14053" t="s">
        <v>32664</v>
      </c>
      <c r="G14053" t="s">
        <v>32672</v>
      </c>
      <c r="H14053" t="s">
        <v>32683</v>
      </c>
      <c r="I14053" t="s">
        <v>10627</v>
      </c>
      <c r="J14053" t="s">
        <v>41169</v>
      </c>
      <c r="K14053" t="s">
        <v>42327</v>
      </c>
      <c r="M14053" t="s">
        <v>44120</v>
      </c>
      <c r="N14053" t="s">
        <v>46569</v>
      </c>
      <c r="O14053" t="s">
        <v>46570</v>
      </c>
      <c r="Q14053">
        <v>74</v>
      </c>
      <c r="R14053" t="s">
        <v>46587</v>
      </c>
      <c r="S14053" t="s">
        <v>47407</v>
      </c>
      <c r="T14053" t="s">
        <v>48356</v>
      </c>
      <c r="U14053" t="s">
        <v>60050</v>
      </c>
      <c r="V14053" t="s">
        <v>62491</v>
      </c>
      <c r="W14053" t="s">
        <v>44120</v>
      </c>
      <c r="X14053" t="s">
        <v>46588</v>
      </c>
    </row>
    <row r="14054" spans="1:24">
      <c r="A14054">
        <f>HYPERLINK("https://www.philgeps.gov.ph/GEPSNONPILOT/Tender/SplashBidNoticeAbstractUI.aspx?menuIndex=3&amp;refID=7032698&amp;Result=3","7032698")</f>
        <v>0</v>
      </c>
      <c r="B14054" t="s">
        <v>3383</v>
      </c>
      <c r="C14054" t="s">
        <v>16892</v>
      </c>
      <c r="D14054" t="s">
        <v>18792</v>
      </c>
      <c r="E14054" t="s">
        <v>19137</v>
      </c>
      <c r="F14054" t="s">
        <v>32665</v>
      </c>
      <c r="G14054" t="s">
        <v>32672</v>
      </c>
      <c r="H14054" t="s">
        <v>32683</v>
      </c>
      <c r="I14054" t="s">
        <v>4439</v>
      </c>
      <c r="J14054" t="s">
        <v>33051</v>
      </c>
      <c r="K14054" t="s">
        <v>42378</v>
      </c>
      <c r="M14054" t="s">
        <v>46346</v>
      </c>
      <c r="N14054" t="s">
        <v>46569</v>
      </c>
      <c r="O14054" t="s">
        <v>46570</v>
      </c>
      <c r="P14054">
        <v>0</v>
      </c>
      <c r="Q14054">
        <v>0</v>
      </c>
      <c r="R14054" t="s">
        <v>46587</v>
      </c>
      <c r="S14054" t="s">
        <v>47373</v>
      </c>
      <c r="T14054" t="s">
        <v>48258</v>
      </c>
      <c r="U14054" t="s">
        <v>60051</v>
      </c>
      <c r="W14054" t="s">
        <v>46346</v>
      </c>
      <c r="X14054" t="s">
        <v>46589</v>
      </c>
    </row>
    <row r="14055" spans="1:24">
      <c r="A14055">
        <f>HYPERLINK("https://www.philgeps.gov.ph/GEPSNONPILOT/Tender/SplashBidNoticeAbstractUI.aspx?menuIndex=3&amp;refID=7033310&amp;Result=3","7033310")</f>
        <v>0</v>
      </c>
      <c r="B14055" t="s">
        <v>121</v>
      </c>
      <c r="C14055" t="s">
        <v>16893</v>
      </c>
      <c r="D14055" t="s">
        <v>18828</v>
      </c>
      <c r="E14055" t="s">
        <v>30975</v>
      </c>
      <c r="F14055" t="s">
        <v>32664</v>
      </c>
      <c r="G14055" t="s">
        <v>32672</v>
      </c>
      <c r="H14055" t="s">
        <v>32683</v>
      </c>
      <c r="I14055" t="s">
        <v>10627</v>
      </c>
      <c r="J14055" t="s">
        <v>33150</v>
      </c>
      <c r="K14055" t="s">
        <v>42459</v>
      </c>
      <c r="M14055" t="s">
        <v>42685</v>
      </c>
      <c r="N14055" t="s">
        <v>46569</v>
      </c>
      <c r="O14055" t="s">
        <v>46570</v>
      </c>
      <c r="P14055">
        <v>0</v>
      </c>
      <c r="Q14055">
        <v>0</v>
      </c>
      <c r="R14055" t="s">
        <v>46587</v>
      </c>
      <c r="S14055" t="s">
        <v>47373</v>
      </c>
      <c r="T14055" t="s">
        <v>48736</v>
      </c>
      <c r="U14055" t="s">
        <v>60052</v>
      </c>
      <c r="W14055" t="s">
        <v>42685</v>
      </c>
      <c r="X14055" t="s">
        <v>46588</v>
      </c>
    </row>
    <row r="14056" spans="1:24">
      <c r="A14056">
        <f>HYPERLINK("https://www.philgeps.gov.ph/GEPSNONPILOT/Tender/SplashBidNoticeAbstractUI.aspx?menuIndex=3&amp;refID=7033508&amp;Result=3","7033508")</f>
        <v>0</v>
      </c>
      <c r="B14056" t="s">
        <v>52</v>
      </c>
      <c r="C14056" t="s">
        <v>16894</v>
      </c>
      <c r="D14056" t="s">
        <v>18802</v>
      </c>
      <c r="E14056" t="s">
        <v>30976</v>
      </c>
      <c r="F14056" t="s">
        <v>32664</v>
      </c>
      <c r="G14056" t="s">
        <v>32672</v>
      </c>
      <c r="H14056" t="s">
        <v>12635</v>
      </c>
      <c r="I14056" t="s">
        <v>9597</v>
      </c>
      <c r="J14056" t="s">
        <v>35617</v>
      </c>
      <c r="K14056" t="s">
        <v>42378</v>
      </c>
      <c r="M14056" t="s">
        <v>42614</v>
      </c>
      <c r="N14056" t="s">
        <v>46569</v>
      </c>
      <c r="O14056" t="s">
        <v>46570</v>
      </c>
      <c r="P14056">
        <v>0</v>
      </c>
      <c r="Q14056">
        <v>5</v>
      </c>
      <c r="R14056" t="s">
        <v>46587</v>
      </c>
      <c r="S14056" t="s">
        <v>47373</v>
      </c>
      <c r="T14056" t="s">
        <v>48244</v>
      </c>
      <c r="U14056" t="s">
        <v>60053</v>
      </c>
      <c r="W14056" t="s">
        <v>42614</v>
      </c>
      <c r="X14056" t="s">
        <v>46588</v>
      </c>
    </row>
    <row r="14057" spans="1:24">
      <c r="A14057">
        <f>HYPERLINK("https://www.philgeps.gov.ph/GEPSNONPILOT/Tender/SplashBidNoticeAbstractUI.aspx?menuIndex=3&amp;refID=7033308&amp;Result=3","7033308")</f>
        <v>0</v>
      </c>
      <c r="B14057" t="s">
        <v>83</v>
      </c>
      <c r="C14057" t="s">
        <v>16895</v>
      </c>
      <c r="D14057" t="s">
        <v>18784</v>
      </c>
      <c r="E14057" t="s">
        <v>30977</v>
      </c>
      <c r="F14057" t="s">
        <v>32664</v>
      </c>
      <c r="G14057" t="s">
        <v>32672</v>
      </c>
      <c r="H14057" t="s">
        <v>12635</v>
      </c>
      <c r="I14057" t="s">
        <v>10361</v>
      </c>
      <c r="J14057" t="s">
        <v>38817</v>
      </c>
      <c r="K14057" t="s">
        <v>42283</v>
      </c>
      <c r="M14057" t="s">
        <v>45865</v>
      </c>
      <c r="N14057" t="s">
        <v>46569</v>
      </c>
      <c r="O14057" t="s">
        <v>46570</v>
      </c>
      <c r="P14057">
        <v>0</v>
      </c>
      <c r="Q14057">
        <v>5</v>
      </c>
      <c r="R14057" t="s">
        <v>46587</v>
      </c>
      <c r="S14057" t="s">
        <v>47373</v>
      </c>
      <c r="T14057" t="s">
        <v>48244</v>
      </c>
      <c r="U14057" t="s">
        <v>60054</v>
      </c>
      <c r="V14057" t="s">
        <v>62822</v>
      </c>
      <c r="W14057" t="s">
        <v>45865</v>
      </c>
      <c r="X14057" t="s">
        <v>46588</v>
      </c>
    </row>
    <row r="14058" spans="1:24">
      <c r="A14058">
        <f>HYPERLINK("https://www.philgeps.gov.ph/GEPSNONPILOT/Tender/SplashBidNoticeAbstractUI.aspx?menuIndex=3&amp;refID=7031338&amp;Result=3","7031338")</f>
        <v>0</v>
      </c>
      <c r="B14058" t="s">
        <v>1009</v>
      </c>
      <c r="C14058" t="s">
        <v>16896</v>
      </c>
      <c r="D14058" t="s">
        <v>18783</v>
      </c>
      <c r="E14058" t="s">
        <v>30978</v>
      </c>
      <c r="F14058" t="s">
        <v>32664</v>
      </c>
      <c r="G14058" t="s">
        <v>32672</v>
      </c>
      <c r="H14058" t="s">
        <v>12635</v>
      </c>
      <c r="I14058" t="s">
        <v>32685</v>
      </c>
      <c r="J14058" t="s">
        <v>41170</v>
      </c>
      <c r="K14058" t="s">
        <v>42284</v>
      </c>
      <c r="M14058" t="s">
        <v>43621</v>
      </c>
      <c r="N14058" t="s">
        <v>46569</v>
      </c>
      <c r="O14058" t="s">
        <v>46570</v>
      </c>
      <c r="P14058">
        <v>0</v>
      </c>
      <c r="Q14058">
        <v>0</v>
      </c>
      <c r="R14058" t="s">
        <v>46587</v>
      </c>
      <c r="S14058" t="s">
        <v>47373</v>
      </c>
      <c r="T14058" t="s">
        <v>48279</v>
      </c>
      <c r="U14058" t="s">
        <v>50851</v>
      </c>
      <c r="V14058" t="s">
        <v>63183</v>
      </c>
      <c r="W14058" t="s">
        <v>43621</v>
      </c>
      <c r="X14058" t="s">
        <v>46591</v>
      </c>
    </row>
    <row r="14059" spans="1:24">
      <c r="A14059">
        <f>HYPERLINK("https://www.philgeps.gov.ph/GEPSNONPILOT/Tender/SplashBidNoticeAbstractUI.aspx?menuIndex=3&amp;refID=7033471&amp;Result=3","7033471")</f>
        <v>0</v>
      </c>
      <c r="B14059" t="s">
        <v>494</v>
      </c>
      <c r="C14059" t="s">
        <v>16897</v>
      </c>
      <c r="D14059" t="s">
        <v>18834</v>
      </c>
      <c r="E14059" t="s">
        <v>19484</v>
      </c>
      <c r="F14059" t="s">
        <v>32664</v>
      </c>
      <c r="G14059" t="s">
        <v>32672</v>
      </c>
      <c r="H14059" t="s">
        <v>32683</v>
      </c>
      <c r="I14059" t="s">
        <v>10627</v>
      </c>
      <c r="J14059" t="s">
        <v>33261</v>
      </c>
      <c r="K14059" t="s">
        <v>42290</v>
      </c>
      <c r="M14059" t="s">
        <v>43070</v>
      </c>
      <c r="N14059" t="s">
        <v>46569</v>
      </c>
      <c r="O14059" t="s">
        <v>46570</v>
      </c>
      <c r="P14059">
        <v>0</v>
      </c>
      <c r="Q14059">
        <v>1</v>
      </c>
      <c r="R14059" t="s">
        <v>46587</v>
      </c>
      <c r="S14059" t="s">
        <v>47373</v>
      </c>
      <c r="T14059" t="s">
        <v>48293</v>
      </c>
      <c r="U14059" t="s">
        <v>60055</v>
      </c>
      <c r="V14059" t="s">
        <v>63184</v>
      </c>
      <c r="W14059" t="s">
        <v>43070</v>
      </c>
      <c r="X14059" t="s">
        <v>46588</v>
      </c>
    </row>
    <row r="14060" spans="1:24">
      <c r="A14060">
        <f>HYPERLINK("https://www.philgeps.gov.ph/GEPSNONPILOT/Tender/SplashBidNoticeAbstractUI.aspx?menuIndex=3&amp;refID=7033268&amp;Result=3","7033268")</f>
        <v>0</v>
      </c>
      <c r="B14060" t="s">
        <v>1459</v>
      </c>
      <c r="C14060" t="s">
        <v>16898</v>
      </c>
      <c r="D14060" t="s">
        <v>18784</v>
      </c>
      <c r="E14060" t="s">
        <v>30979</v>
      </c>
      <c r="F14060" t="s">
        <v>32664</v>
      </c>
      <c r="G14060" t="s">
        <v>32672</v>
      </c>
      <c r="H14060" t="s">
        <v>32683</v>
      </c>
      <c r="I14060" t="s">
        <v>10627</v>
      </c>
      <c r="J14060" t="s">
        <v>41171</v>
      </c>
      <c r="K14060" t="s">
        <v>42290</v>
      </c>
      <c r="M14060" t="s">
        <v>44120</v>
      </c>
      <c r="N14060" t="s">
        <v>46569</v>
      </c>
      <c r="O14060" t="s">
        <v>46570</v>
      </c>
      <c r="Q14060">
        <v>70</v>
      </c>
      <c r="R14060" t="s">
        <v>46587</v>
      </c>
      <c r="S14060" t="s">
        <v>47408</v>
      </c>
      <c r="T14060" t="s">
        <v>48356</v>
      </c>
      <c r="U14060" t="s">
        <v>60056</v>
      </c>
      <c r="V14060" t="s">
        <v>62491</v>
      </c>
      <c r="W14060" t="s">
        <v>44120</v>
      </c>
      <c r="X14060" t="s">
        <v>46588</v>
      </c>
    </row>
    <row r="14061" spans="1:24">
      <c r="A14061">
        <f>HYPERLINK("https://www.philgeps.gov.ph/GEPSNONPILOT/Tender/SplashBidNoticeAbstractUI.aspx?menuIndex=3&amp;refID=7033501&amp;Result=3","7033501")</f>
        <v>0</v>
      </c>
      <c r="B14061" t="s">
        <v>1457</v>
      </c>
      <c r="C14061" t="s">
        <v>16899</v>
      </c>
      <c r="D14061" t="s">
        <v>18839</v>
      </c>
      <c r="E14061" t="s">
        <v>30980</v>
      </c>
      <c r="F14061" t="s">
        <v>32664</v>
      </c>
      <c r="G14061" t="s">
        <v>32671</v>
      </c>
      <c r="H14061" t="s">
        <v>12635</v>
      </c>
      <c r="I14061" t="s">
        <v>5589</v>
      </c>
      <c r="J14061" t="s">
        <v>34073</v>
      </c>
      <c r="K14061" t="s">
        <v>42281</v>
      </c>
      <c r="M14061" t="s">
        <v>44118</v>
      </c>
      <c r="N14061" t="s">
        <v>46569</v>
      </c>
      <c r="O14061" t="s">
        <v>46570</v>
      </c>
      <c r="P14061">
        <v>0</v>
      </c>
      <c r="Q14061">
        <v>7</v>
      </c>
      <c r="R14061" t="s">
        <v>46587</v>
      </c>
      <c r="S14061" t="s">
        <v>47373</v>
      </c>
      <c r="T14061" t="s">
        <v>48290</v>
      </c>
      <c r="U14061" t="s">
        <v>60057</v>
      </c>
      <c r="W14061" t="s">
        <v>44118</v>
      </c>
      <c r="X14061" t="s">
        <v>46588</v>
      </c>
    </row>
    <row r="14062" spans="1:24">
      <c r="A14062">
        <f>HYPERLINK("https://www.philgeps.gov.ph/GEPSNONPILOT/Tender/SplashBidNoticeAbstractUI.aspx?menuIndex=3&amp;refID=7033453&amp;Result=3","7033453")</f>
        <v>0</v>
      </c>
      <c r="B14062" t="s">
        <v>3105</v>
      </c>
      <c r="C14062" t="s">
        <v>16900</v>
      </c>
      <c r="D14062" t="s">
        <v>18788</v>
      </c>
      <c r="E14062" t="s">
        <v>29034</v>
      </c>
      <c r="F14062" t="s">
        <v>32665</v>
      </c>
      <c r="G14062" t="s">
        <v>32674</v>
      </c>
      <c r="H14062" t="s">
        <v>32683</v>
      </c>
      <c r="I14062" t="s">
        <v>8958</v>
      </c>
      <c r="J14062" t="s">
        <v>41172</v>
      </c>
      <c r="K14062" t="s">
        <v>42289</v>
      </c>
      <c r="L14062" t="s">
        <v>3105</v>
      </c>
      <c r="M14062" t="s">
        <v>45994</v>
      </c>
      <c r="N14062" t="s">
        <v>46569</v>
      </c>
      <c r="O14062" t="s">
        <v>46570</v>
      </c>
      <c r="P14062">
        <v>0</v>
      </c>
      <c r="Q14062">
        <v>0</v>
      </c>
      <c r="R14062" t="s">
        <v>46587</v>
      </c>
      <c r="S14062" t="s">
        <v>47373</v>
      </c>
      <c r="T14062" t="s">
        <v>48221</v>
      </c>
      <c r="U14062" t="s">
        <v>60058</v>
      </c>
      <c r="W14062" t="s">
        <v>45994</v>
      </c>
      <c r="X14062" t="s">
        <v>46588</v>
      </c>
    </row>
    <row r="14063" spans="1:24">
      <c r="A14063">
        <f>HYPERLINK("https://www.philgeps.gov.ph/GEPSNONPILOT/Tender/SplashBidNoticeAbstractUI.aspx?menuIndex=3&amp;refID=7033439&amp;Result=3","7033439")</f>
        <v>0</v>
      </c>
      <c r="B14063" t="s">
        <v>2968</v>
      </c>
      <c r="C14063" t="s">
        <v>16901</v>
      </c>
      <c r="D14063" t="s">
        <v>18847</v>
      </c>
      <c r="E14063" t="s">
        <v>30981</v>
      </c>
      <c r="F14063" t="s">
        <v>32664</v>
      </c>
      <c r="G14063" t="s">
        <v>32672</v>
      </c>
      <c r="H14063" t="s">
        <v>32683</v>
      </c>
      <c r="I14063" t="s">
        <v>10627</v>
      </c>
      <c r="J14063" t="s">
        <v>34487</v>
      </c>
      <c r="K14063" t="s">
        <v>42290</v>
      </c>
      <c r="M14063" t="s">
        <v>45822</v>
      </c>
      <c r="N14063" t="s">
        <v>46569</v>
      </c>
      <c r="O14063" t="s">
        <v>46570</v>
      </c>
      <c r="P14063">
        <v>0</v>
      </c>
      <c r="Q14063">
        <v>0</v>
      </c>
      <c r="R14063" t="s">
        <v>46587</v>
      </c>
      <c r="S14063" t="s">
        <v>47373</v>
      </c>
      <c r="T14063" t="s">
        <v>48244</v>
      </c>
      <c r="U14063" t="s">
        <v>60059</v>
      </c>
      <c r="V14063" t="s">
        <v>62799</v>
      </c>
      <c r="W14063" t="s">
        <v>45822</v>
      </c>
      <c r="X14063" t="s">
        <v>46588</v>
      </c>
    </row>
    <row r="14064" spans="1:24">
      <c r="A14064">
        <f>HYPERLINK("https://www.philgeps.gov.ph/GEPSNONPILOT/Tender/SplashBidNoticeAbstractUI.aspx?menuIndex=3&amp;refID=7033500&amp;Result=3","7033500")</f>
        <v>0</v>
      </c>
      <c r="B14064" t="s">
        <v>2381</v>
      </c>
      <c r="C14064" t="s">
        <v>16902</v>
      </c>
      <c r="D14064" t="s">
        <v>18787</v>
      </c>
      <c r="E14064" t="s">
        <v>30982</v>
      </c>
      <c r="F14064" t="s">
        <v>32664</v>
      </c>
      <c r="G14064" t="s">
        <v>32672</v>
      </c>
      <c r="H14064" t="s">
        <v>12635</v>
      </c>
      <c r="I14064" t="s">
        <v>11464</v>
      </c>
      <c r="J14064" t="s">
        <v>32930</v>
      </c>
      <c r="K14064" t="s">
        <v>42283</v>
      </c>
      <c r="M14064" t="s">
        <v>45169</v>
      </c>
      <c r="N14064" t="s">
        <v>46569</v>
      </c>
      <c r="O14064" t="s">
        <v>46570</v>
      </c>
      <c r="P14064">
        <v>0</v>
      </c>
      <c r="Q14064">
        <v>5</v>
      </c>
      <c r="R14064" t="s">
        <v>46587</v>
      </c>
      <c r="S14064" t="s">
        <v>47373</v>
      </c>
      <c r="T14064" t="s">
        <v>48334</v>
      </c>
      <c r="U14064" t="s">
        <v>60060</v>
      </c>
      <c r="W14064" t="s">
        <v>45169</v>
      </c>
      <c r="X14064" t="s">
        <v>46588</v>
      </c>
    </row>
    <row r="14065" spans="1:24">
      <c r="A14065">
        <f>HYPERLINK("https://www.philgeps.gov.ph/GEPSNONPILOT/Tender/SplashBidNoticeAbstractUI.aspx?menuIndex=3&amp;refID=7033431&amp;Result=3","7033431")</f>
        <v>0</v>
      </c>
      <c r="B14065" t="s">
        <v>1457</v>
      </c>
      <c r="C14065" t="s">
        <v>16903</v>
      </c>
      <c r="D14065" t="s">
        <v>18839</v>
      </c>
      <c r="E14065" t="s">
        <v>30983</v>
      </c>
      <c r="F14065" t="s">
        <v>32664</v>
      </c>
      <c r="G14065" t="s">
        <v>32671</v>
      </c>
      <c r="H14065" t="s">
        <v>12635</v>
      </c>
      <c r="I14065" t="s">
        <v>5589</v>
      </c>
      <c r="J14065" t="s">
        <v>33051</v>
      </c>
      <c r="K14065" t="s">
        <v>42281</v>
      </c>
      <c r="M14065" t="s">
        <v>44118</v>
      </c>
      <c r="N14065" t="s">
        <v>46569</v>
      </c>
      <c r="O14065" t="s">
        <v>46570</v>
      </c>
      <c r="P14065">
        <v>0</v>
      </c>
      <c r="Q14065">
        <v>4</v>
      </c>
      <c r="R14065" t="s">
        <v>46587</v>
      </c>
      <c r="S14065" t="s">
        <v>47373</v>
      </c>
      <c r="T14065" t="s">
        <v>48448</v>
      </c>
      <c r="U14065" t="s">
        <v>60061</v>
      </c>
      <c r="W14065" t="s">
        <v>44118</v>
      </c>
      <c r="X14065" t="s">
        <v>46588</v>
      </c>
    </row>
    <row r="14066" spans="1:24">
      <c r="A14066">
        <f>HYPERLINK("https://www.philgeps.gov.ph/GEPSNONPILOT/Tender/SplashBidNoticeAbstractUI.aspx?menuIndex=3&amp;refID=7033474&amp;Result=3","7033474")</f>
        <v>0</v>
      </c>
      <c r="B14066" t="s">
        <v>3384</v>
      </c>
      <c r="C14066" t="s">
        <v>16904</v>
      </c>
      <c r="D14066" t="s">
        <v>18852</v>
      </c>
      <c r="E14066" t="s">
        <v>30984</v>
      </c>
      <c r="F14066" t="s">
        <v>32664</v>
      </c>
      <c r="G14066" t="s">
        <v>32672</v>
      </c>
      <c r="H14066" t="s">
        <v>12635</v>
      </c>
      <c r="I14066" t="s">
        <v>4439</v>
      </c>
      <c r="J14066" t="s">
        <v>41173</v>
      </c>
      <c r="K14066" t="s">
        <v>42297</v>
      </c>
      <c r="M14066" t="s">
        <v>46347</v>
      </c>
      <c r="N14066" t="s">
        <v>46569</v>
      </c>
      <c r="O14066" t="s">
        <v>46570</v>
      </c>
      <c r="P14066">
        <v>0</v>
      </c>
      <c r="Q14066">
        <v>1</v>
      </c>
      <c r="R14066" t="s">
        <v>46587</v>
      </c>
      <c r="S14066" t="s">
        <v>47373</v>
      </c>
      <c r="T14066" t="s">
        <v>48275</v>
      </c>
      <c r="U14066" t="s">
        <v>60062</v>
      </c>
      <c r="V14066" t="s">
        <v>62830</v>
      </c>
      <c r="W14066" t="s">
        <v>46347</v>
      </c>
      <c r="X14066" t="s">
        <v>46588</v>
      </c>
    </row>
    <row r="14067" spans="1:24">
      <c r="A14067">
        <f>HYPERLINK("https://www.philgeps.gov.ph/GEPSNONPILOT/Tender/SplashBidNoticeAbstractUI.aspx?menuIndex=3&amp;refID=7033423&amp;Result=3","7033423")</f>
        <v>0</v>
      </c>
      <c r="B14067" t="s">
        <v>1423</v>
      </c>
      <c r="C14067" t="s">
        <v>16905</v>
      </c>
      <c r="E14067" t="s">
        <v>30985</v>
      </c>
      <c r="F14067" t="s">
        <v>32664</v>
      </c>
      <c r="G14067" t="s">
        <v>32672</v>
      </c>
      <c r="H14067" t="s">
        <v>12635</v>
      </c>
      <c r="I14067" t="s">
        <v>5589</v>
      </c>
      <c r="J14067" t="s">
        <v>36350</v>
      </c>
      <c r="K14067" t="s">
        <v>42305</v>
      </c>
      <c r="M14067" t="s">
        <v>46348</v>
      </c>
      <c r="N14067" t="s">
        <v>46569</v>
      </c>
      <c r="O14067" t="s">
        <v>46570</v>
      </c>
      <c r="Q14067">
        <v>2</v>
      </c>
      <c r="R14067" t="s">
        <v>46587</v>
      </c>
      <c r="S14067" t="s">
        <v>47409</v>
      </c>
      <c r="T14067" t="s">
        <v>48221</v>
      </c>
      <c r="U14067" t="s">
        <v>55675</v>
      </c>
      <c r="W14067" t="s">
        <v>46348</v>
      </c>
      <c r="X14067" t="s">
        <v>46588</v>
      </c>
    </row>
    <row r="14068" spans="1:24">
      <c r="A14068">
        <f>HYPERLINK("https://www.philgeps.gov.ph/GEPSNONPILOT/Tender/SplashBidNoticeAbstractUI.aspx?menuIndex=3&amp;refID=7033650&amp;Result=3","7033650")</f>
        <v>0</v>
      </c>
      <c r="B14068" t="s">
        <v>1502</v>
      </c>
      <c r="C14068" t="s">
        <v>16906</v>
      </c>
      <c r="D14068" t="s">
        <v>18829</v>
      </c>
      <c r="E14068" t="s">
        <v>26091</v>
      </c>
      <c r="F14068" t="s">
        <v>32664</v>
      </c>
      <c r="G14068" t="s">
        <v>32672</v>
      </c>
      <c r="H14068" t="s">
        <v>32683</v>
      </c>
      <c r="I14068" t="s">
        <v>10627</v>
      </c>
      <c r="J14068" t="s">
        <v>41174</v>
      </c>
      <c r="K14068" t="s">
        <v>42311</v>
      </c>
      <c r="M14068" t="s">
        <v>46236</v>
      </c>
      <c r="N14068" t="s">
        <v>46569</v>
      </c>
      <c r="O14068" t="s">
        <v>46570</v>
      </c>
      <c r="P14068">
        <v>0</v>
      </c>
      <c r="Q14068">
        <v>1</v>
      </c>
      <c r="R14068" t="s">
        <v>46587</v>
      </c>
      <c r="S14068" t="s">
        <v>47373</v>
      </c>
      <c r="T14068" t="s">
        <v>48282</v>
      </c>
      <c r="U14068" t="s">
        <v>60063</v>
      </c>
      <c r="W14068" t="s">
        <v>46236</v>
      </c>
      <c r="X14068" t="s">
        <v>46588</v>
      </c>
    </row>
    <row r="14069" spans="1:24">
      <c r="A14069">
        <f>HYPERLINK("https://www.philgeps.gov.ph/GEPSNONPILOT/Tender/SplashBidNoticeAbstractUI.aspx?menuIndex=3&amp;refID=7033648&amp;Result=3","7033648")</f>
        <v>0</v>
      </c>
      <c r="B14069" t="s">
        <v>2985</v>
      </c>
      <c r="C14069" t="s">
        <v>16907</v>
      </c>
      <c r="D14069" t="s">
        <v>18857</v>
      </c>
      <c r="E14069" t="s">
        <v>30986</v>
      </c>
      <c r="F14069" t="s">
        <v>32664</v>
      </c>
      <c r="G14069" t="s">
        <v>32672</v>
      </c>
      <c r="H14069" t="s">
        <v>12635</v>
      </c>
      <c r="I14069" t="s">
        <v>32685</v>
      </c>
      <c r="J14069" t="s">
        <v>41175</v>
      </c>
      <c r="K14069" t="s">
        <v>42284</v>
      </c>
      <c r="M14069" t="s">
        <v>45843</v>
      </c>
      <c r="N14069" t="s">
        <v>46569</v>
      </c>
      <c r="O14069" t="s">
        <v>46570</v>
      </c>
      <c r="P14069">
        <v>0</v>
      </c>
      <c r="Q14069">
        <v>0</v>
      </c>
      <c r="R14069" t="s">
        <v>46587</v>
      </c>
      <c r="S14069" t="s">
        <v>47373</v>
      </c>
      <c r="T14069" t="s">
        <v>48256</v>
      </c>
      <c r="U14069" t="s">
        <v>60064</v>
      </c>
      <c r="W14069" t="s">
        <v>45843</v>
      </c>
      <c r="X14069" t="s">
        <v>46588</v>
      </c>
    </row>
    <row r="14070" spans="1:24">
      <c r="A14070">
        <f>HYPERLINK("https://www.philgeps.gov.ph/GEPSNONPILOT/Tender/SplashBidNoticeAbstractUI.aspx?menuIndex=3&amp;refID=7033324&amp;Result=3","7033324")</f>
        <v>0</v>
      </c>
      <c r="B14070" t="s">
        <v>1369</v>
      </c>
      <c r="C14070" t="s">
        <v>16908</v>
      </c>
      <c r="D14070" t="s">
        <v>18816</v>
      </c>
      <c r="E14070" t="s">
        <v>30987</v>
      </c>
      <c r="F14070" t="s">
        <v>32664</v>
      </c>
      <c r="G14070" t="s">
        <v>32672</v>
      </c>
      <c r="H14070" t="s">
        <v>32683</v>
      </c>
      <c r="I14070" t="s">
        <v>10627</v>
      </c>
      <c r="J14070" t="s">
        <v>41176</v>
      </c>
      <c r="K14070" t="s">
        <v>42290</v>
      </c>
      <c r="M14070" t="s">
        <v>44024</v>
      </c>
      <c r="N14070" t="s">
        <v>46569</v>
      </c>
      <c r="O14070" t="s">
        <v>46570</v>
      </c>
      <c r="P14070">
        <v>0</v>
      </c>
      <c r="Q14070">
        <v>0</v>
      </c>
      <c r="R14070" t="s">
        <v>46587</v>
      </c>
      <c r="S14070" t="s">
        <v>47373</v>
      </c>
      <c r="T14070" t="s">
        <v>48336</v>
      </c>
      <c r="U14070" t="s">
        <v>60065</v>
      </c>
      <c r="W14070" t="s">
        <v>44024</v>
      </c>
      <c r="X14070" t="s">
        <v>46588</v>
      </c>
    </row>
    <row r="14071" spans="1:24">
      <c r="A14071">
        <f>HYPERLINK("https://www.philgeps.gov.ph/GEPSNONPILOT/Tender/SplashBidNoticeAbstractUI.aspx?menuIndex=3&amp;refID=7033441&amp;Result=3","7033441")</f>
        <v>0</v>
      </c>
      <c r="B14071" t="s">
        <v>1369</v>
      </c>
      <c r="C14071" t="s">
        <v>16909</v>
      </c>
      <c r="D14071" t="s">
        <v>18816</v>
      </c>
      <c r="E14071" t="s">
        <v>30988</v>
      </c>
      <c r="F14071" t="s">
        <v>32664</v>
      </c>
      <c r="G14071" t="s">
        <v>32672</v>
      </c>
      <c r="H14071" t="s">
        <v>32683</v>
      </c>
      <c r="I14071" t="s">
        <v>10627</v>
      </c>
      <c r="J14071" t="s">
        <v>41177</v>
      </c>
      <c r="K14071" t="s">
        <v>42290</v>
      </c>
      <c r="M14071" t="s">
        <v>44024</v>
      </c>
      <c r="N14071" t="s">
        <v>46569</v>
      </c>
      <c r="O14071" t="s">
        <v>46570</v>
      </c>
      <c r="P14071">
        <v>0</v>
      </c>
      <c r="Q14071">
        <v>0</v>
      </c>
      <c r="R14071" t="s">
        <v>46587</v>
      </c>
      <c r="S14071" t="s">
        <v>47373</v>
      </c>
      <c r="T14071" t="s">
        <v>48282</v>
      </c>
      <c r="U14071" t="s">
        <v>60066</v>
      </c>
      <c r="W14071" t="s">
        <v>44024</v>
      </c>
      <c r="X14071" t="s">
        <v>46588</v>
      </c>
    </row>
    <row r="14072" spans="1:24">
      <c r="A14072">
        <f>HYPERLINK("https://www.philgeps.gov.ph/GEPSNONPILOT/Tender/SplashBidNoticeAbstractUI.aspx?menuIndex=3&amp;refID=7033476&amp;Result=3","7033476")</f>
        <v>0</v>
      </c>
      <c r="B14072" t="s">
        <v>52</v>
      </c>
      <c r="C14072" t="s">
        <v>16910</v>
      </c>
      <c r="D14072" t="s">
        <v>18802</v>
      </c>
      <c r="E14072" t="s">
        <v>30989</v>
      </c>
      <c r="F14072" t="s">
        <v>32664</v>
      </c>
      <c r="G14072" t="s">
        <v>32672</v>
      </c>
      <c r="H14072" t="s">
        <v>12635</v>
      </c>
      <c r="I14072" t="s">
        <v>11464</v>
      </c>
      <c r="J14072" t="s">
        <v>41178</v>
      </c>
      <c r="K14072" t="s">
        <v>42378</v>
      </c>
      <c r="M14072" t="s">
        <v>42614</v>
      </c>
      <c r="N14072" t="s">
        <v>46569</v>
      </c>
      <c r="O14072" t="s">
        <v>46570</v>
      </c>
      <c r="P14072">
        <v>0</v>
      </c>
      <c r="Q14072">
        <v>7</v>
      </c>
      <c r="R14072" t="s">
        <v>46587</v>
      </c>
      <c r="S14072" t="s">
        <v>47373</v>
      </c>
      <c r="T14072" t="s">
        <v>48244</v>
      </c>
      <c r="U14072" t="s">
        <v>60067</v>
      </c>
      <c r="W14072" t="s">
        <v>42614</v>
      </c>
      <c r="X14072" t="s">
        <v>46588</v>
      </c>
    </row>
    <row r="14073" spans="1:24">
      <c r="A14073">
        <f>HYPERLINK("https://www.philgeps.gov.ph/GEPSNONPILOT/Tender/SplashBidNoticeAbstractUI.aspx?menuIndex=3&amp;refID=7033629&amp;Result=3","7033629")</f>
        <v>0</v>
      </c>
      <c r="B14073" t="s">
        <v>3385</v>
      </c>
      <c r="C14073" t="s">
        <v>16911</v>
      </c>
      <c r="D14073" t="s">
        <v>18805</v>
      </c>
      <c r="E14073" t="s">
        <v>30990</v>
      </c>
      <c r="F14073" t="s">
        <v>32664</v>
      </c>
      <c r="G14073" t="s">
        <v>32672</v>
      </c>
      <c r="H14073" t="s">
        <v>12635</v>
      </c>
      <c r="I14073" t="s">
        <v>6223</v>
      </c>
      <c r="J14073" t="s">
        <v>38567</v>
      </c>
      <c r="K14073" t="s">
        <v>42382</v>
      </c>
      <c r="M14073" t="s">
        <v>46349</v>
      </c>
      <c r="N14073" t="s">
        <v>46569</v>
      </c>
      <c r="O14073" t="s">
        <v>46570</v>
      </c>
      <c r="P14073">
        <v>0</v>
      </c>
      <c r="Q14073">
        <v>0</v>
      </c>
      <c r="R14073" t="s">
        <v>46587</v>
      </c>
      <c r="S14073" t="s">
        <v>47373</v>
      </c>
      <c r="T14073" t="s">
        <v>48307</v>
      </c>
      <c r="U14073" t="s">
        <v>60068</v>
      </c>
      <c r="W14073" t="s">
        <v>46349</v>
      </c>
      <c r="X14073" t="s">
        <v>46588</v>
      </c>
    </row>
    <row r="14074" spans="1:24">
      <c r="A14074">
        <f>HYPERLINK("https://www.philgeps.gov.ph/GEPSNONPILOT/Tender/SplashBidNoticeAbstractUI.aspx?menuIndex=3&amp;refID=7033619&amp;Result=3","7033619")</f>
        <v>0</v>
      </c>
      <c r="B14074" t="s">
        <v>1385</v>
      </c>
      <c r="C14074" t="s">
        <v>16912</v>
      </c>
      <c r="D14074" t="s">
        <v>18827</v>
      </c>
      <c r="E14074" t="s">
        <v>30991</v>
      </c>
      <c r="F14074" t="s">
        <v>32664</v>
      </c>
      <c r="G14074" t="s">
        <v>32672</v>
      </c>
      <c r="H14074" t="s">
        <v>12635</v>
      </c>
      <c r="I14074" t="s">
        <v>32684</v>
      </c>
      <c r="J14074" t="s">
        <v>32962</v>
      </c>
      <c r="K14074" t="s">
        <v>42281</v>
      </c>
      <c r="L14074" t="s">
        <v>1385</v>
      </c>
      <c r="M14074" t="s">
        <v>44040</v>
      </c>
      <c r="N14074" t="s">
        <v>46569</v>
      </c>
      <c r="O14074" t="s">
        <v>46570</v>
      </c>
      <c r="P14074">
        <v>0</v>
      </c>
      <c r="Q14074">
        <v>11</v>
      </c>
      <c r="R14074" t="s">
        <v>46587</v>
      </c>
      <c r="S14074" t="s">
        <v>47373</v>
      </c>
      <c r="T14074" t="s">
        <v>48244</v>
      </c>
      <c r="U14074" t="s">
        <v>60069</v>
      </c>
      <c r="W14074" t="s">
        <v>44040</v>
      </c>
      <c r="X14074" t="s">
        <v>46588</v>
      </c>
    </row>
    <row r="14075" spans="1:24">
      <c r="A14075">
        <f>HYPERLINK("https://www.philgeps.gov.ph/GEPSNONPILOT/Tender/SplashBidNoticeAbstractUI.aspx?menuIndex=3&amp;refID=7033585&amp;Result=3","7033585")</f>
        <v>0</v>
      </c>
      <c r="B14075" t="s">
        <v>1369</v>
      </c>
      <c r="C14075" t="s">
        <v>16913</v>
      </c>
      <c r="D14075" t="s">
        <v>18816</v>
      </c>
      <c r="E14075" t="s">
        <v>30992</v>
      </c>
      <c r="F14075" t="s">
        <v>32664</v>
      </c>
      <c r="G14075" t="s">
        <v>32672</v>
      </c>
      <c r="H14075" t="s">
        <v>32683</v>
      </c>
      <c r="I14075" t="s">
        <v>10627</v>
      </c>
      <c r="J14075" t="s">
        <v>41179</v>
      </c>
      <c r="K14075" t="s">
        <v>42290</v>
      </c>
      <c r="M14075" t="s">
        <v>44024</v>
      </c>
      <c r="N14075" t="s">
        <v>46569</v>
      </c>
      <c r="O14075" t="s">
        <v>46570</v>
      </c>
      <c r="P14075">
        <v>0</v>
      </c>
      <c r="Q14075">
        <v>0</v>
      </c>
      <c r="R14075" t="s">
        <v>46587</v>
      </c>
      <c r="S14075" t="s">
        <v>47373</v>
      </c>
      <c r="T14075" t="s">
        <v>48411</v>
      </c>
      <c r="U14075" t="s">
        <v>60070</v>
      </c>
      <c r="W14075" t="s">
        <v>44024</v>
      </c>
      <c r="X14075" t="s">
        <v>46588</v>
      </c>
    </row>
    <row r="14076" spans="1:24">
      <c r="A14076">
        <f>HYPERLINK("https://www.philgeps.gov.ph/GEPSNONPILOT/Tender/SplashBidNoticeAbstractUI.aspx?menuIndex=3&amp;refID=7033579&amp;Result=3","7033579")</f>
        <v>0</v>
      </c>
      <c r="B14076" t="s">
        <v>3386</v>
      </c>
      <c r="C14076" t="s">
        <v>16914</v>
      </c>
      <c r="D14076" t="s">
        <v>18831</v>
      </c>
      <c r="E14076" t="s">
        <v>30993</v>
      </c>
      <c r="F14076" t="s">
        <v>32664</v>
      </c>
      <c r="G14076" t="s">
        <v>32673</v>
      </c>
      <c r="H14076" t="s">
        <v>32683</v>
      </c>
      <c r="I14076" t="s">
        <v>10627</v>
      </c>
      <c r="J14076" t="s">
        <v>33009</v>
      </c>
      <c r="K14076" t="s">
        <v>42290</v>
      </c>
      <c r="M14076" t="s">
        <v>46350</v>
      </c>
      <c r="N14076" t="s">
        <v>46569</v>
      </c>
      <c r="O14076" t="s">
        <v>46570</v>
      </c>
      <c r="P14076">
        <v>0</v>
      </c>
      <c r="Q14076">
        <v>3</v>
      </c>
      <c r="R14076" t="s">
        <v>46587</v>
      </c>
      <c r="S14076" t="s">
        <v>47373</v>
      </c>
      <c r="T14076" t="s">
        <v>48221</v>
      </c>
      <c r="U14076" t="s">
        <v>60071</v>
      </c>
      <c r="W14076" t="s">
        <v>46350</v>
      </c>
      <c r="X14076" t="s">
        <v>46588</v>
      </c>
    </row>
    <row r="14077" spans="1:24">
      <c r="A14077">
        <f>HYPERLINK("https://www.philgeps.gov.ph/GEPSNONPILOT/Tender/SplashBidNoticeAbstractUI.aspx?menuIndex=3&amp;refID=7033643&amp;Result=3","7033643")</f>
        <v>0</v>
      </c>
      <c r="B14077" t="s">
        <v>538</v>
      </c>
      <c r="C14077" t="s">
        <v>16915</v>
      </c>
      <c r="D14077" t="s">
        <v>18794</v>
      </c>
      <c r="E14077" t="s">
        <v>30994</v>
      </c>
      <c r="F14077" t="s">
        <v>32664</v>
      </c>
      <c r="G14077" t="s">
        <v>32672</v>
      </c>
      <c r="H14077" t="s">
        <v>12635</v>
      </c>
      <c r="I14077" t="s">
        <v>6223</v>
      </c>
      <c r="J14077" t="s">
        <v>41180</v>
      </c>
      <c r="K14077" t="s">
        <v>42298</v>
      </c>
      <c r="M14077" t="s">
        <v>43117</v>
      </c>
      <c r="N14077" t="s">
        <v>46569</v>
      </c>
      <c r="O14077" t="s">
        <v>46570</v>
      </c>
      <c r="P14077">
        <v>0</v>
      </c>
      <c r="Q14077">
        <v>2</v>
      </c>
      <c r="R14077" t="s">
        <v>46587</v>
      </c>
      <c r="S14077" t="s">
        <v>47373</v>
      </c>
      <c r="T14077" t="s">
        <v>48219</v>
      </c>
      <c r="U14077" t="s">
        <v>60072</v>
      </c>
      <c r="W14077" t="s">
        <v>43117</v>
      </c>
      <c r="X14077" t="s">
        <v>46588</v>
      </c>
    </row>
    <row r="14078" spans="1:24">
      <c r="A14078">
        <f>HYPERLINK("https://www.philgeps.gov.ph/GEPSNONPILOT/Tender/SplashBidNoticeAbstractUI.aspx?menuIndex=3&amp;refID=7033567&amp;Result=3","7033567")</f>
        <v>0</v>
      </c>
      <c r="B14078" t="s">
        <v>2968</v>
      </c>
      <c r="C14078" t="s">
        <v>16916</v>
      </c>
      <c r="D14078" t="s">
        <v>18847</v>
      </c>
      <c r="E14078" t="s">
        <v>30995</v>
      </c>
      <c r="F14078" t="s">
        <v>32664</v>
      </c>
      <c r="G14078" t="s">
        <v>32672</v>
      </c>
      <c r="H14078" t="s">
        <v>32683</v>
      </c>
      <c r="I14078" t="s">
        <v>10627</v>
      </c>
      <c r="J14078" t="s">
        <v>41181</v>
      </c>
      <c r="K14078" t="s">
        <v>42290</v>
      </c>
      <c r="M14078" t="s">
        <v>45822</v>
      </c>
      <c r="N14078" t="s">
        <v>46569</v>
      </c>
      <c r="O14078" t="s">
        <v>46570</v>
      </c>
      <c r="P14078">
        <v>0</v>
      </c>
      <c r="Q14078">
        <v>0</v>
      </c>
      <c r="R14078" t="s">
        <v>46587</v>
      </c>
      <c r="S14078" t="s">
        <v>47373</v>
      </c>
      <c r="T14078" t="s">
        <v>48244</v>
      </c>
      <c r="U14078" t="s">
        <v>60073</v>
      </c>
      <c r="V14078" t="s">
        <v>62799</v>
      </c>
      <c r="W14078" t="s">
        <v>45822</v>
      </c>
      <c r="X14078" t="s">
        <v>46588</v>
      </c>
    </row>
    <row r="14079" spans="1:24">
      <c r="A14079">
        <f>HYPERLINK("https://www.philgeps.gov.ph/GEPSNONPILOT/Tender/SplashBidNoticeAbstractUI.aspx?menuIndex=3&amp;refID=7033620&amp;Result=3","7033620")</f>
        <v>0</v>
      </c>
      <c r="B14079" t="s">
        <v>3385</v>
      </c>
      <c r="C14079" t="s">
        <v>11629</v>
      </c>
      <c r="D14079" t="s">
        <v>18805</v>
      </c>
      <c r="E14079" t="s">
        <v>21884</v>
      </c>
      <c r="F14079" t="s">
        <v>32664</v>
      </c>
      <c r="G14079" t="s">
        <v>32672</v>
      </c>
      <c r="H14079" t="s">
        <v>12635</v>
      </c>
      <c r="I14079" t="s">
        <v>6223</v>
      </c>
      <c r="J14079" t="s">
        <v>32898</v>
      </c>
      <c r="K14079" t="s">
        <v>42382</v>
      </c>
      <c r="M14079" t="s">
        <v>46349</v>
      </c>
      <c r="N14079" t="s">
        <v>46569</v>
      </c>
      <c r="O14079" t="s">
        <v>46570</v>
      </c>
      <c r="P14079">
        <v>0</v>
      </c>
      <c r="Q14079">
        <v>1</v>
      </c>
      <c r="R14079" t="s">
        <v>46587</v>
      </c>
      <c r="S14079" t="s">
        <v>47373</v>
      </c>
      <c r="T14079" t="s">
        <v>48307</v>
      </c>
      <c r="U14079" t="s">
        <v>60074</v>
      </c>
      <c r="W14079" t="s">
        <v>46349</v>
      </c>
      <c r="X14079" t="s">
        <v>46588</v>
      </c>
    </row>
    <row r="14080" spans="1:24">
      <c r="A14080">
        <f>HYPERLINK("https://www.philgeps.gov.ph/GEPSNONPILOT/Tender/SplashBidNoticeAbstractUI.aspx?menuIndex=3&amp;refID=7033561&amp;Result=3","7033561")</f>
        <v>0</v>
      </c>
      <c r="B14080" t="s">
        <v>3387</v>
      </c>
      <c r="C14080" t="s">
        <v>16917</v>
      </c>
      <c r="D14080" t="s">
        <v>18786</v>
      </c>
      <c r="E14080" t="s">
        <v>30996</v>
      </c>
      <c r="F14080" t="s">
        <v>32664</v>
      </c>
      <c r="G14080" t="s">
        <v>32672</v>
      </c>
      <c r="H14080" t="s">
        <v>32683</v>
      </c>
      <c r="I14080" t="s">
        <v>10627</v>
      </c>
      <c r="J14080" t="s">
        <v>41182</v>
      </c>
      <c r="K14080" t="s">
        <v>42305</v>
      </c>
      <c r="M14080" t="s">
        <v>46351</v>
      </c>
      <c r="N14080" t="s">
        <v>46569</v>
      </c>
      <c r="O14080" t="s">
        <v>46570</v>
      </c>
      <c r="P14080">
        <v>0</v>
      </c>
      <c r="Q14080">
        <v>0</v>
      </c>
      <c r="R14080" t="s">
        <v>46587</v>
      </c>
      <c r="S14080" t="s">
        <v>47373</v>
      </c>
      <c r="T14080" t="s">
        <v>48244</v>
      </c>
      <c r="U14080" t="s">
        <v>60075</v>
      </c>
      <c r="W14080" t="s">
        <v>46351</v>
      </c>
      <c r="X14080" t="s">
        <v>46588</v>
      </c>
    </row>
    <row r="14081" spans="1:24">
      <c r="A14081">
        <f>HYPERLINK("https://www.philgeps.gov.ph/GEPSNONPILOT/Tender/SplashBidNoticeAbstractUI.aspx?menuIndex=3&amp;refID=7033556&amp;Result=3","7033556")</f>
        <v>0</v>
      </c>
      <c r="B14081" t="s">
        <v>1413</v>
      </c>
      <c r="C14081" t="s">
        <v>16918</v>
      </c>
      <c r="D14081" t="s">
        <v>18788</v>
      </c>
      <c r="E14081" t="s">
        <v>30997</v>
      </c>
      <c r="F14081" t="s">
        <v>32664</v>
      </c>
      <c r="G14081" t="s">
        <v>32672</v>
      </c>
      <c r="H14081" t="s">
        <v>12635</v>
      </c>
      <c r="I14081" t="s">
        <v>11464</v>
      </c>
      <c r="J14081" t="s">
        <v>34148</v>
      </c>
      <c r="K14081" t="s">
        <v>42281</v>
      </c>
      <c r="M14081" t="s">
        <v>44070</v>
      </c>
      <c r="N14081" t="s">
        <v>46569</v>
      </c>
      <c r="O14081" t="s">
        <v>46570</v>
      </c>
      <c r="P14081">
        <v>0</v>
      </c>
      <c r="Q14081">
        <v>6</v>
      </c>
      <c r="R14081" t="s">
        <v>46587</v>
      </c>
      <c r="S14081" t="s">
        <v>47373</v>
      </c>
      <c r="T14081" t="s">
        <v>48425</v>
      </c>
      <c r="U14081" t="s">
        <v>60076</v>
      </c>
      <c r="W14081" t="s">
        <v>44070</v>
      </c>
      <c r="X14081" t="s">
        <v>46588</v>
      </c>
    </row>
    <row r="14082" spans="1:24">
      <c r="A14082">
        <f>HYPERLINK("https://www.philgeps.gov.ph/GEPSNONPILOT/Tender/SplashBidNoticeAbstractUI.aspx?menuIndex=3&amp;refID=7033662&amp;Result=3","7033662")</f>
        <v>0</v>
      </c>
      <c r="B14082" t="s">
        <v>3388</v>
      </c>
      <c r="C14082" t="s">
        <v>16919</v>
      </c>
      <c r="D14082" t="s">
        <v>18804</v>
      </c>
      <c r="E14082" t="s">
        <v>19193</v>
      </c>
      <c r="F14082" t="s">
        <v>32664</v>
      </c>
      <c r="G14082" t="s">
        <v>32672</v>
      </c>
      <c r="H14082" t="s">
        <v>12635</v>
      </c>
      <c r="I14082" t="s">
        <v>4439</v>
      </c>
      <c r="J14082" t="s">
        <v>41183</v>
      </c>
      <c r="K14082" t="s">
        <v>42321</v>
      </c>
      <c r="M14082" t="s">
        <v>46352</v>
      </c>
      <c r="N14082" t="s">
        <v>46569</v>
      </c>
      <c r="O14082" t="s">
        <v>46570</v>
      </c>
      <c r="P14082">
        <v>0</v>
      </c>
      <c r="Q14082">
        <v>0</v>
      </c>
      <c r="R14082" t="s">
        <v>46587</v>
      </c>
      <c r="S14082" t="s">
        <v>47373</v>
      </c>
      <c r="T14082" t="s">
        <v>48244</v>
      </c>
      <c r="U14082" t="s">
        <v>60077</v>
      </c>
      <c r="V14082" t="s">
        <v>63185</v>
      </c>
      <c r="W14082" t="s">
        <v>46352</v>
      </c>
      <c r="X14082" t="s">
        <v>46588</v>
      </c>
    </row>
    <row r="14083" spans="1:24">
      <c r="A14083">
        <f>HYPERLINK("https://www.philgeps.gov.ph/GEPSNONPILOT/Tender/SplashBidNoticeAbstractUI.aspx?menuIndex=3&amp;refID=7033792&amp;Result=3","7033792")</f>
        <v>0</v>
      </c>
      <c r="B14083" t="s">
        <v>2242</v>
      </c>
      <c r="C14083" t="s">
        <v>4211</v>
      </c>
      <c r="D14083" t="s">
        <v>18820</v>
      </c>
      <c r="E14083" t="s">
        <v>30998</v>
      </c>
      <c r="F14083" t="s">
        <v>32664</v>
      </c>
      <c r="G14083" t="s">
        <v>32677</v>
      </c>
      <c r="H14083" t="s">
        <v>12635</v>
      </c>
      <c r="I14083" t="s">
        <v>9486</v>
      </c>
      <c r="J14083" t="s">
        <v>41184</v>
      </c>
      <c r="K14083" t="s">
        <v>42281</v>
      </c>
      <c r="M14083" t="s">
        <v>45007</v>
      </c>
      <c r="N14083" t="s">
        <v>46569</v>
      </c>
      <c r="O14083" t="s">
        <v>46570</v>
      </c>
      <c r="P14083">
        <v>0</v>
      </c>
      <c r="Q14083">
        <v>2</v>
      </c>
      <c r="R14083" t="s">
        <v>46587</v>
      </c>
      <c r="S14083" t="s">
        <v>47373</v>
      </c>
      <c r="T14083" t="s">
        <v>48336</v>
      </c>
      <c r="U14083" t="s">
        <v>60078</v>
      </c>
      <c r="V14083" t="s">
        <v>62345</v>
      </c>
      <c r="W14083" t="s">
        <v>45007</v>
      </c>
      <c r="X14083" t="s">
        <v>46588</v>
      </c>
    </row>
    <row r="14084" spans="1:24">
      <c r="A14084">
        <f>HYPERLINK("https://www.philgeps.gov.ph/GEPSNONPILOT/Tender/SplashBidNoticeAbstractUI.aspx?menuIndex=3&amp;refID=7033609&amp;Result=3","7033609")</f>
        <v>0</v>
      </c>
      <c r="B14084" t="s">
        <v>1385</v>
      </c>
      <c r="C14084" t="s">
        <v>16920</v>
      </c>
      <c r="D14084" t="s">
        <v>18827</v>
      </c>
      <c r="E14084" t="s">
        <v>30999</v>
      </c>
      <c r="F14084" t="s">
        <v>32664</v>
      </c>
      <c r="G14084" t="s">
        <v>32672</v>
      </c>
      <c r="H14084" t="s">
        <v>12635</v>
      </c>
      <c r="I14084" t="s">
        <v>8958</v>
      </c>
      <c r="J14084" t="s">
        <v>33084</v>
      </c>
      <c r="K14084" t="s">
        <v>42281</v>
      </c>
      <c r="L14084" t="s">
        <v>1385</v>
      </c>
      <c r="M14084" t="s">
        <v>44040</v>
      </c>
      <c r="N14084" t="s">
        <v>46569</v>
      </c>
      <c r="O14084" t="s">
        <v>46570</v>
      </c>
      <c r="P14084">
        <v>0</v>
      </c>
      <c r="Q14084">
        <v>4</v>
      </c>
      <c r="R14084" t="s">
        <v>46587</v>
      </c>
      <c r="S14084" t="s">
        <v>47373</v>
      </c>
      <c r="T14084" t="s">
        <v>48244</v>
      </c>
      <c r="U14084" t="s">
        <v>60079</v>
      </c>
      <c r="W14084" t="s">
        <v>44040</v>
      </c>
      <c r="X14084" t="s">
        <v>46588</v>
      </c>
    </row>
    <row r="14085" spans="1:24">
      <c r="A14085">
        <f>HYPERLINK("https://www.philgeps.gov.ph/GEPSNONPILOT/Tender/SplashBidNoticeAbstractUI.aspx?menuIndex=3&amp;refID=7033539&amp;Result=3","7033539")</f>
        <v>0</v>
      </c>
      <c r="B14085" t="s">
        <v>1369</v>
      </c>
      <c r="C14085" t="s">
        <v>16921</v>
      </c>
      <c r="D14085" t="s">
        <v>18816</v>
      </c>
      <c r="E14085" t="s">
        <v>31000</v>
      </c>
      <c r="F14085" t="s">
        <v>32664</v>
      </c>
      <c r="G14085" t="s">
        <v>32672</v>
      </c>
      <c r="H14085" t="s">
        <v>32683</v>
      </c>
      <c r="I14085" t="s">
        <v>10627</v>
      </c>
      <c r="J14085" t="s">
        <v>41185</v>
      </c>
      <c r="K14085" t="s">
        <v>42311</v>
      </c>
      <c r="M14085" t="s">
        <v>44024</v>
      </c>
      <c r="N14085" t="s">
        <v>46569</v>
      </c>
      <c r="O14085" t="s">
        <v>46570</v>
      </c>
      <c r="P14085">
        <v>0</v>
      </c>
      <c r="Q14085">
        <v>0</v>
      </c>
      <c r="R14085" t="s">
        <v>46587</v>
      </c>
      <c r="S14085" t="s">
        <v>47373</v>
      </c>
      <c r="T14085" t="s">
        <v>48271</v>
      </c>
      <c r="U14085" t="s">
        <v>60080</v>
      </c>
      <c r="W14085" t="s">
        <v>44024</v>
      </c>
      <c r="X14085" t="s">
        <v>46588</v>
      </c>
    </row>
    <row r="14086" spans="1:24">
      <c r="A14086">
        <f>HYPERLINK("https://www.philgeps.gov.ph/GEPSNONPILOT/Tender/SplashBidNoticeAbstractUI.aspx?menuIndex=3&amp;refID=7033593&amp;Result=3","7033593")</f>
        <v>0</v>
      </c>
      <c r="B14086" t="s">
        <v>1385</v>
      </c>
      <c r="C14086" t="s">
        <v>16922</v>
      </c>
      <c r="D14086" t="s">
        <v>18827</v>
      </c>
      <c r="E14086" t="s">
        <v>31001</v>
      </c>
      <c r="F14086" t="s">
        <v>32664</v>
      </c>
      <c r="G14086" t="s">
        <v>32672</v>
      </c>
      <c r="H14086" t="s">
        <v>12635</v>
      </c>
      <c r="I14086" t="s">
        <v>8958</v>
      </c>
      <c r="J14086" t="s">
        <v>41186</v>
      </c>
      <c r="K14086" t="s">
        <v>42290</v>
      </c>
      <c r="L14086" t="s">
        <v>1385</v>
      </c>
      <c r="M14086" t="s">
        <v>44040</v>
      </c>
      <c r="N14086" t="s">
        <v>46569</v>
      </c>
      <c r="O14086" t="s">
        <v>46570</v>
      </c>
      <c r="P14086">
        <v>0</v>
      </c>
      <c r="Q14086">
        <v>5</v>
      </c>
      <c r="R14086" t="s">
        <v>46587</v>
      </c>
      <c r="S14086" t="s">
        <v>47373</v>
      </c>
      <c r="T14086" t="s">
        <v>48244</v>
      </c>
      <c r="U14086" t="s">
        <v>60081</v>
      </c>
      <c r="W14086" t="s">
        <v>44040</v>
      </c>
      <c r="X14086" t="s">
        <v>46588</v>
      </c>
    </row>
    <row r="14087" spans="1:24">
      <c r="A14087">
        <f>HYPERLINK("https://www.philgeps.gov.ph/GEPSNONPILOT/Tender/SplashBidNoticeAbstractUI.aspx?menuIndex=3&amp;refID=7033788&amp;Result=3","7033788")</f>
        <v>0</v>
      </c>
      <c r="B14087" t="s">
        <v>1442</v>
      </c>
      <c r="C14087" t="s">
        <v>16923</v>
      </c>
      <c r="E14087" t="s">
        <v>31002</v>
      </c>
      <c r="F14087" t="s">
        <v>32664</v>
      </c>
      <c r="G14087" t="s">
        <v>32672</v>
      </c>
      <c r="H14087" t="s">
        <v>12635</v>
      </c>
      <c r="I14087" t="s">
        <v>4439</v>
      </c>
      <c r="J14087" t="s">
        <v>41187</v>
      </c>
      <c r="K14087" t="s">
        <v>42281</v>
      </c>
      <c r="M14087" t="s">
        <v>45920</v>
      </c>
      <c r="N14087" t="s">
        <v>46569</v>
      </c>
      <c r="O14087" t="s">
        <v>46570</v>
      </c>
      <c r="P14087">
        <v>0</v>
      </c>
      <c r="Q14087">
        <v>0</v>
      </c>
      <c r="R14087" t="s">
        <v>46587</v>
      </c>
      <c r="S14087" t="s">
        <v>47373</v>
      </c>
      <c r="T14087" t="s">
        <v>48282</v>
      </c>
      <c r="U14087" t="s">
        <v>56481</v>
      </c>
      <c r="W14087" t="s">
        <v>45920</v>
      </c>
      <c r="X14087" t="s">
        <v>46588</v>
      </c>
    </row>
    <row r="14088" spans="1:24">
      <c r="A14088">
        <f>HYPERLINK("https://www.philgeps.gov.ph/GEPSNONPILOT/Tender/SplashBidNoticeAbstractUI.aspx?menuIndex=3&amp;refID=7033492&amp;Result=3","7033492")</f>
        <v>0</v>
      </c>
      <c r="B14088" t="s">
        <v>3389</v>
      </c>
      <c r="C14088" t="s">
        <v>16924</v>
      </c>
      <c r="D14088" t="s">
        <v>18816</v>
      </c>
      <c r="E14088" t="s">
        <v>19581</v>
      </c>
      <c r="F14088" t="s">
        <v>32664</v>
      </c>
      <c r="G14088" t="s">
        <v>32672</v>
      </c>
      <c r="H14088" t="s">
        <v>12635</v>
      </c>
      <c r="I14088" t="s">
        <v>6223</v>
      </c>
      <c r="J14088" t="s">
        <v>41188</v>
      </c>
      <c r="K14088" t="s">
        <v>42281</v>
      </c>
      <c r="M14088" t="s">
        <v>46353</v>
      </c>
      <c r="N14088" t="s">
        <v>46569</v>
      </c>
      <c r="O14088" t="s">
        <v>46570</v>
      </c>
      <c r="P14088">
        <v>0</v>
      </c>
      <c r="Q14088">
        <v>2</v>
      </c>
      <c r="R14088" t="s">
        <v>46587</v>
      </c>
      <c r="S14088" t="s">
        <v>47373</v>
      </c>
      <c r="T14088" t="s">
        <v>48282</v>
      </c>
      <c r="U14088" t="s">
        <v>60082</v>
      </c>
      <c r="V14088" t="s">
        <v>63186</v>
      </c>
      <c r="W14088" t="s">
        <v>46353</v>
      </c>
      <c r="X14088" t="s">
        <v>46588</v>
      </c>
    </row>
    <row r="14089" spans="1:24">
      <c r="A14089">
        <f>HYPERLINK("https://www.philgeps.gov.ph/GEPSNONPILOT/Tender/SplashBidNoticeAbstractUI.aspx?menuIndex=3&amp;refID=7033776&amp;Result=3","7033776")</f>
        <v>0</v>
      </c>
      <c r="B14089" t="s">
        <v>3218</v>
      </c>
      <c r="C14089" t="s">
        <v>16925</v>
      </c>
      <c r="D14089" t="s">
        <v>18827</v>
      </c>
      <c r="E14089" t="s">
        <v>31003</v>
      </c>
      <c r="F14089" t="s">
        <v>32664</v>
      </c>
      <c r="G14089" t="s">
        <v>32672</v>
      </c>
      <c r="H14089" t="s">
        <v>32683</v>
      </c>
      <c r="I14089" t="s">
        <v>10627</v>
      </c>
      <c r="J14089" t="s">
        <v>41189</v>
      </c>
      <c r="K14089" t="s">
        <v>42298</v>
      </c>
      <c r="M14089" t="s">
        <v>46138</v>
      </c>
      <c r="N14089" t="s">
        <v>46569</v>
      </c>
      <c r="O14089" t="s">
        <v>46570</v>
      </c>
      <c r="P14089">
        <v>0</v>
      </c>
      <c r="Q14089">
        <v>1</v>
      </c>
      <c r="R14089" t="s">
        <v>46587</v>
      </c>
      <c r="S14089" t="s">
        <v>47373</v>
      </c>
      <c r="T14089" t="s">
        <v>48228</v>
      </c>
      <c r="U14089" t="s">
        <v>60083</v>
      </c>
      <c r="V14089" t="s">
        <v>63009</v>
      </c>
      <c r="W14089" t="s">
        <v>46138</v>
      </c>
      <c r="X14089" t="s">
        <v>46588</v>
      </c>
    </row>
    <row r="14090" spans="1:24">
      <c r="A14090">
        <f>HYPERLINK("https://www.philgeps.gov.ph/GEPSNONPILOT/Tender/SplashBidNoticeAbstractUI.aspx?menuIndex=3&amp;refID=7033772&amp;Result=3","7033772")</f>
        <v>0</v>
      </c>
      <c r="B14090" t="s">
        <v>2292</v>
      </c>
      <c r="C14090" t="s">
        <v>16926</v>
      </c>
      <c r="D14090" t="s">
        <v>18789</v>
      </c>
      <c r="E14090" t="s">
        <v>19615</v>
      </c>
      <c r="F14090" t="s">
        <v>32664</v>
      </c>
      <c r="G14090" t="s">
        <v>32672</v>
      </c>
      <c r="H14090" t="s">
        <v>12635</v>
      </c>
      <c r="I14090" t="s">
        <v>4439</v>
      </c>
      <c r="J14090" t="s">
        <v>41190</v>
      </c>
      <c r="K14090" t="s">
        <v>42297</v>
      </c>
      <c r="M14090" t="s">
        <v>45063</v>
      </c>
      <c r="N14090" t="s">
        <v>46569</v>
      </c>
      <c r="O14090" t="s">
        <v>46570</v>
      </c>
      <c r="Q14090">
        <v>0</v>
      </c>
      <c r="R14090" t="s">
        <v>46587</v>
      </c>
      <c r="S14090" t="s">
        <v>47410</v>
      </c>
      <c r="T14090" t="s">
        <v>48228</v>
      </c>
      <c r="U14090" t="s">
        <v>60084</v>
      </c>
      <c r="V14090" t="s">
        <v>63187</v>
      </c>
      <c r="W14090" t="s">
        <v>45063</v>
      </c>
      <c r="X14090" t="s">
        <v>46588</v>
      </c>
    </row>
    <row r="14091" spans="1:24">
      <c r="A14091">
        <f>HYPERLINK("https://www.philgeps.gov.ph/GEPSNONPILOT/Tender/SplashBidNoticeAbstractUI.aspx?menuIndex=3&amp;refID=7033749&amp;Result=3","7033749")</f>
        <v>0</v>
      </c>
      <c r="B14091" t="s">
        <v>1046</v>
      </c>
      <c r="C14091" t="s">
        <v>16927</v>
      </c>
      <c r="D14091" t="s">
        <v>18815</v>
      </c>
      <c r="E14091" t="s">
        <v>31004</v>
      </c>
      <c r="F14091" t="s">
        <v>32664</v>
      </c>
      <c r="G14091" t="s">
        <v>32672</v>
      </c>
      <c r="H14091" t="s">
        <v>32683</v>
      </c>
      <c r="I14091" t="s">
        <v>10627</v>
      </c>
      <c r="J14091" t="s">
        <v>41191</v>
      </c>
      <c r="K14091" t="s">
        <v>42388</v>
      </c>
      <c r="M14091" t="s">
        <v>43661</v>
      </c>
      <c r="N14091" t="s">
        <v>46569</v>
      </c>
      <c r="O14091" t="s">
        <v>46570</v>
      </c>
      <c r="P14091">
        <v>0</v>
      </c>
      <c r="Q14091">
        <v>2</v>
      </c>
      <c r="R14091" t="s">
        <v>46587</v>
      </c>
      <c r="S14091" t="s">
        <v>47373</v>
      </c>
      <c r="T14091" t="s">
        <v>48287</v>
      </c>
      <c r="U14091" t="s">
        <v>60085</v>
      </c>
      <c r="V14091" t="s">
        <v>63019</v>
      </c>
      <c r="W14091" t="s">
        <v>43661</v>
      </c>
      <c r="X14091" t="s">
        <v>46588</v>
      </c>
    </row>
    <row r="14092" spans="1:24">
      <c r="A14092">
        <f>HYPERLINK("https://www.philgeps.gov.ph/GEPSNONPILOT/Tender/SplashBidNoticeAbstractUI.aspx?menuIndex=3&amp;refID=7033746&amp;Result=3","7033746")</f>
        <v>0</v>
      </c>
      <c r="B14092" t="s">
        <v>243</v>
      </c>
      <c r="C14092" t="s">
        <v>16928</v>
      </c>
      <c r="D14092" t="s">
        <v>18841</v>
      </c>
      <c r="E14092" t="s">
        <v>31005</v>
      </c>
      <c r="F14092" t="s">
        <v>32664</v>
      </c>
      <c r="G14092" t="s">
        <v>32672</v>
      </c>
      <c r="H14092" t="s">
        <v>12635</v>
      </c>
      <c r="I14092" t="s">
        <v>32706</v>
      </c>
      <c r="J14092" t="s">
        <v>41192</v>
      </c>
      <c r="K14092" t="s">
        <v>42290</v>
      </c>
      <c r="L14092" t="s">
        <v>243</v>
      </c>
      <c r="M14092" t="s">
        <v>42808</v>
      </c>
      <c r="N14092" t="s">
        <v>46569</v>
      </c>
      <c r="O14092" t="s">
        <v>46570</v>
      </c>
      <c r="P14092">
        <v>0</v>
      </c>
      <c r="Q14092">
        <v>0</v>
      </c>
      <c r="R14092" t="s">
        <v>46587</v>
      </c>
      <c r="S14092" t="s">
        <v>47373</v>
      </c>
      <c r="T14092" t="s">
        <v>48411</v>
      </c>
      <c r="U14092" t="s">
        <v>60086</v>
      </c>
      <c r="V14092" t="s">
        <v>61763</v>
      </c>
      <c r="W14092" t="s">
        <v>42808</v>
      </c>
      <c r="X14092" t="s">
        <v>46588</v>
      </c>
    </row>
    <row r="14093" spans="1:24">
      <c r="A14093">
        <f>HYPERLINK("https://www.philgeps.gov.ph/GEPSNONPILOT/Tender/SplashBidNoticeAbstractUI.aspx?menuIndex=3&amp;refID=7033742&amp;Result=3","7033742")</f>
        <v>0</v>
      </c>
      <c r="B14093" t="s">
        <v>1411</v>
      </c>
      <c r="C14093" t="s">
        <v>16929</v>
      </c>
      <c r="D14093" t="s">
        <v>18790</v>
      </c>
      <c r="E14093" t="s">
        <v>31006</v>
      </c>
      <c r="F14093" t="s">
        <v>32664</v>
      </c>
      <c r="G14093" t="s">
        <v>32677</v>
      </c>
      <c r="H14093" t="s">
        <v>32683</v>
      </c>
      <c r="I14093" t="s">
        <v>32701</v>
      </c>
      <c r="J14093" t="s">
        <v>41193</v>
      </c>
      <c r="K14093" t="s">
        <v>42327</v>
      </c>
      <c r="M14093" t="s">
        <v>45443</v>
      </c>
      <c r="N14093" t="s">
        <v>46569</v>
      </c>
      <c r="O14093" t="s">
        <v>46570</v>
      </c>
      <c r="Q14093">
        <v>1</v>
      </c>
      <c r="R14093" t="s">
        <v>46587</v>
      </c>
      <c r="S14093" t="s">
        <v>47411</v>
      </c>
      <c r="T14093" t="s">
        <v>48293</v>
      </c>
      <c r="U14093" t="s">
        <v>60087</v>
      </c>
      <c r="W14093" t="s">
        <v>45443</v>
      </c>
      <c r="X14093" t="s">
        <v>46588</v>
      </c>
    </row>
    <row r="14094" spans="1:24">
      <c r="A14094">
        <f>HYPERLINK("https://www.philgeps.gov.ph/GEPSNONPILOT/Tender/SplashBidNoticeAbstractUI.aspx?menuIndex=3&amp;refID=7033735&amp;Result=3","7033735")</f>
        <v>0</v>
      </c>
      <c r="B14094" t="s">
        <v>3239</v>
      </c>
      <c r="C14094" t="s">
        <v>16930</v>
      </c>
      <c r="D14094" t="s">
        <v>18848</v>
      </c>
      <c r="E14094" t="s">
        <v>31007</v>
      </c>
      <c r="F14094" t="s">
        <v>32664</v>
      </c>
      <c r="G14094" t="s">
        <v>32672</v>
      </c>
      <c r="H14094" t="s">
        <v>32683</v>
      </c>
      <c r="I14094" t="s">
        <v>10627</v>
      </c>
      <c r="J14094" t="s">
        <v>41194</v>
      </c>
      <c r="K14094" t="s">
        <v>42285</v>
      </c>
      <c r="M14094" t="s">
        <v>46235</v>
      </c>
      <c r="N14094" t="s">
        <v>46569</v>
      </c>
      <c r="O14094" t="s">
        <v>46570</v>
      </c>
      <c r="P14094">
        <v>0</v>
      </c>
      <c r="Q14094">
        <v>0</v>
      </c>
      <c r="R14094" t="s">
        <v>46587</v>
      </c>
      <c r="S14094" t="s">
        <v>47373</v>
      </c>
      <c r="T14094" t="s">
        <v>48520</v>
      </c>
      <c r="U14094" t="s">
        <v>60088</v>
      </c>
      <c r="V14094" t="s">
        <v>63077</v>
      </c>
      <c r="W14094" t="s">
        <v>46235</v>
      </c>
      <c r="X14094" t="s">
        <v>46588</v>
      </c>
    </row>
    <row r="14095" spans="1:24">
      <c r="A14095">
        <f>HYPERLINK("https://www.philgeps.gov.ph/GEPSNONPILOT/Tender/SplashBidNoticeAbstractUI.aspx?menuIndex=3&amp;refID=7033726&amp;Result=3","7033726")</f>
        <v>0</v>
      </c>
      <c r="B14095" t="s">
        <v>203</v>
      </c>
      <c r="C14095" t="s">
        <v>16931</v>
      </c>
      <c r="D14095" t="s">
        <v>18842</v>
      </c>
      <c r="E14095" t="s">
        <v>29316</v>
      </c>
      <c r="F14095" t="s">
        <v>32664</v>
      </c>
      <c r="G14095" t="s">
        <v>32672</v>
      </c>
      <c r="H14095" t="s">
        <v>12635</v>
      </c>
      <c r="I14095" t="s">
        <v>32698</v>
      </c>
      <c r="J14095" t="s">
        <v>41195</v>
      </c>
      <c r="K14095" t="s">
        <v>42404</v>
      </c>
      <c r="M14095" t="s">
        <v>43962</v>
      </c>
      <c r="N14095" t="s">
        <v>46569</v>
      </c>
      <c r="O14095" t="s">
        <v>46570</v>
      </c>
      <c r="Q14095">
        <v>2</v>
      </c>
      <c r="R14095" t="s">
        <v>46587</v>
      </c>
      <c r="S14095" t="s">
        <v>47412</v>
      </c>
      <c r="T14095" t="s">
        <v>48356</v>
      </c>
      <c r="U14095" t="s">
        <v>60089</v>
      </c>
      <c r="V14095" t="s">
        <v>49355</v>
      </c>
      <c r="W14095" t="s">
        <v>43962</v>
      </c>
      <c r="X14095" t="s">
        <v>46588</v>
      </c>
    </row>
    <row r="14096" spans="1:24">
      <c r="A14096">
        <f>HYPERLINK("https://www.philgeps.gov.ph/GEPSNONPILOT/Tender/SplashBidNoticeAbstractUI.aspx?menuIndex=3&amp;refID=7033707&amp;Result=3","7033707")</f>
        <v>0</v>
      </c>
      <c r="B14096" t="s">
        <v>2390</v>
      </c>
      <c r="C14096" t="s">
        <v>16932</v>
      </c>
      <c r="D14096" t="s">
        <v>18856</v>
      </c>
      <c r="E14096" t="s">
        <v>31008</v>
      </c>
      <c r="F14096" t="s">
        <v>32664</v>
      </c>
      <c r="G14096" t="s">
        <v>32672</v>
      </c>
      <c r="H14096" t="s">
        <v>32683</v>
      </c>
      <c r="I14096" t="s">
        <v>4439</v>
      </c>
      <c r="J14096" t="s">
        <v>41196</v>
      </c>
      <c r="K14096" t="s">
        <v>42308</v>
      </c>
      <c r="M14096" t="s">
        <v>45180</v>
      </c>
      <c r="N14096" t="s">
        <v>46569</v>
      </c>
      <c r="O14096" t="s">
        <v>46570</v>
      </c>
      <c r="P14096">
        <v>0</v>
      </c>
      <c r="Q14096">
        <v>10</v>
      </c>
      <c r="R14096" t="s">
        <v>46587</v>
      </c>
      <c r="S14096" t="s">
        <v>47373</v>
      </c>
      <c r="T14096" t="s">
        <v>48293</v>
      </c>
      <c r="U14096" t="s">
        <v>60090</v>
      </c>
      <c r="W14096" t="s">
        <v>45180</v>
      </c>
      <c r="X14096" t="s">
        <v>46588</v>
      </c>
    </row>
    <row r="14097" spans="1:24">
      <c r="A14097">
        <f>HYPERLINK("https://www.philgeps.gov.ph/GEPSNONPILOT/Tender/SplashBidNoticeAbstractUI.aspx?menuIndex=3&amp;refID=7033625&amp;Result=3","7033625")</f>
        <v>0</v>
      </c>
      <c r="B14097" t="s">
        <v>3386</v>
      </c>
      <c r="C14097" t="s">
        <v>16933</v>
      </c>
      <c r="D14097" t="s">
        <v>18831</v>
      </c>
      <c r="E14097" t="s">
        <v>31009</v>
      </c>
      <c r="F14097" t="s">
        <v>32664</v>
      </c>
      <c r="G14097" t="s">
        <v>32673</v>
      </c>
      <c r="H14097" t="s">
        <v>32683</v>
      </c>
      <c r="I14097" t="s">
        <v>10627</v>
      </c>
      <c r="J14097" t="s">
        <v>41197</v>
      </c>
      <c r="K14097" t="s">
        <v>42298</v>
      </c>
      <c r="M14097" t="s">
        <v>46350</v>
      </c>
      <c r="N14097" t="s">
        <v>46569</v>
      </c>
      <c r="O14097" t="s">
        <v>46570</v>
      </c>
      <c r="P14097">
        <v>0</v>
      </c>
      <c r="Q14097">
        <v>1</v>
      </c>
      <c r="R14097" t="s">
        <v>46587</v>
      </c>
      <c r="S14097" t="s">
        <v>47373</v>
      </c>
      <c r="T14097" t="s">
        <v>48221</v>
      </c>
      <c r="U14097" t="s">
        <v>60091</v>
      </c>
      <c r="W14097" t="s">
        <v>46350</v>
      </c>
      <c r="X14097" t="s">
        <v>46588</v>
      </c>
    </row>
    <row r="14098" spans="1:24">
      <c r="A14098">
        <f>HYPERLINK("https://www.philgeps.gov.ph/GEPSNONPILOT/Tender/SplashBidNoticeAbstractUI.aspx?menuIndex=3&amp;refID=7033747&amp;Result=3","7033747")</f>
        <v>0</v>
      </c>
      <c r="B14098" t="s">
        <v>2242</v>
      </c>
      <c r="C14098" t="s">
        <v>16934</v>
      </c>
      <c r="D14098" t="s">
        <v>18820</v>
      </c>
      <c r="E14098" t="s">
        <v>31010</v>
      </c>
      <c r="F14098" t="s">
        <v>32664</v>
      </c>
      <c r="G14098" t="s">
        <v>32677</v>
      </c>
      <c r="H14098" t="s">
        <v>12635</v>
      </c>
      <c r="I14098" t="s">
        <v>4439</v>
      </c>
      <c r="J14098" t="s">
        <v>41198</v>
      </c>
      <c r="K14098" t="s">
        <v>42408</v>
      </c>
      <c r="M14098" t="s">
        <v>45007</v>
      </c>
      <c r="N14098" t="s">
        <v>46569</v>
      </c>
      <c r="O14098" t="s">
        <v>46570</v>
      </c>
      <c r="P14098">
        <v>0</v>
      </c>
      <c r="Q14098">
        <v>0</v>
      </c>
      <c r="R14098" t="s">
        <v>46587</v>
      </c>
      <c r="S14098" t="s">
        <v>47373</v>
      </c>
      <c r="T14098" t="s">
        <v>48336</v>
      </c>
      <c r="U14098" t="s">
        <v>60092</v>
      </c>
      <c r="V14098" t="s">
        <v>62345</v>
      </c>
      <c r="W14098" t="s">
        <v>45007</v>
      </c>
      <c r="X14098" t="s">
        <v>46588</v>
      </c>
    </row>
    <row r="14099" spans="1:24">
      <c r="A14099">
        <f>HYPERLINK("https://www.philgeps.gov.ph/GEPSNONPILOT/Tender/SplashBidNoticeAbstractUI.aspx?menuIndex=3&amp;refID=7033715&amp;Result=3","7033715")</f>
        <v>0</v>
      </c>
      <c r="B14099" t="s">
        <v>3239</v>
      </c>
      <c r="C14099" t="s">
        <v>16935</v>
      </c>
      <c r="D14099" t="s">
        <v>18848</v>
      </c>
      <c r="E14099" t="s">
        <v>31011</v>
      </c>
      <c r="F14099" t="s">
        <v>32664</v>
      </c>
      <c r="G14099" t="s">
        <v>32672</v>
      </c>
      <c r="H14099" t="s">
        <v>32683</v>
      </c>
      <c r="I14099" t="s">
        <v>10627</v>
      </c>
      <c r="J14099" t="s">
        <v>41199</v>
      </c>
      <c r="K14099" t="s">
        <v>42386</v>
      </c>
      <c r="M14099" t="s">
        <v>46235</v>
      </c>
      <c r="N14099" t="s">
        <v>46569</v>
      </c>
      <c r="O14099" t="s">
        <v>46570</v>
      </c>
      <c r="P14099">
        <v>0</v>
      </c>
      <c r="Q14099">
        <v>0</v>
      </c>
      <c r="R14099" t="s">
        <v>46587</v>
      </c>
      <c r="S14099" t="s">
        <v>47373</v>
      </c>
      <c r="T14099" t="s">
        <v>48520</v>
      </c>
      <c r="U14099" t="s">
        <v>60093</v>
      </c>
      <c r="V14099" t="s">
        <v>63077</v>
      </c>
      <c r="W14099" t="s">
        <v>46235</v>
      </c>
      <c r="X14099" t="s">
        <v>46588</v>
      </c>
    </row>
    <row r="14100" spans="1:24">
      <c r="A14100">
        <f>HYPERLINK("https://www.philgeps.gov.ph/GEPSNONPILOT/Tender/SplashBidNoticeAbstractUI.aspx?menuIndex=3&amp;refID=7033769&amp;Result=3","7033769")</f>
        <v>0</v>
      </c>
      <c r="B14100" t="s">
        <v>2241</v>
      </c>
      <c r="C14100" t="s">
        <v>16936</v>
      </c>
      <c r="D14100" t="s">
        <v>18836</v>
      </c>
      <c r="E14100" t="s">
        <v>31012</v>
      </c>
      <c r="F14100" t="s">
        <v>32664</v>
      </c>
      <c r="G14100" t="s">
        <v>32672</v>
      </c>
      <c r="H14100" t="s">
        <v>32683</v>
      </c>
      <c r="I14100" t="s">
        <v>10627</v>
      </c>
      <c r="J14100" t="s">
        <v>32930</v>
      </c>
      <c r="K14100" t="s">
        <v>42308</v>
      </c>
      <c r="L14100" t="s">
        <v>2241</v>
      </c>
      <c r="M14100" t="s">
        <v>45005</v>
      </c>
      <c r="N14100" t="s">
        <v>46569</v>
      </c>
      <c r="O14100" t="s">
        <v>46570</v>
      </c>
      <c r="P14100">
        <v>0</v>
      </c>
      <c r="Q14100">
        <v>3</v>
      </c>
      <c r="R14100" t="s">
        <v>46587</v>
      </c>
      <c r="S14100" t="s">
        <v>47373</v>
      </c>
      <c r="T14100" t="s">
        <v>48221</v>
      </c>
      <c r="U14100" t="s">
        <v>54720</v>
      </c>
      <c r="V14100" t="s">
        <v>62344</v>
      </c>
      <c r="W14100" t="s">
        <v>45005</v>
      </c>
      <c r="X14100" t="s">
        <v>46588</v>
      </c>
    </row>
    <row r="14101" spans="1:24">
      <c r="A14101">
        <f>HYPERLINK("https://www.philgeps.gov.ph/GEPSNONPILOT/Tender/SplashBidNoticeAbstractUI.aspx?menuIndex=3&amp;refID=7033699&amp;Result=3","7033699")</f>
        <v>0</v>
      </c>
      <c r="B14101" t="s">
        <v>600</v>
      </c>
      <c r="C14101" t="s">
        <v>16937</v>
      </c>
      <c r="D14101" t="s">
        <v>18802</v>
      </c>
      <c r="E14101" t="s">
        <v>31013</v>
      </c>
      <c r="F14101" t="s">
        <v>32664</v>
      </c>
      <c r="G14101" t="s">
        <v>32672</v>
      </c>
      <c r="H14101" t="s">
        <v>32683</v>
      </c>
      <c r="I14101" t="s">
        <v>32723</v>
      </c>
      <c r="J14101" t="s">
        <v>41200</v>
      </c>
      <c r="K14101" t="s">
        <v>42290</v>
      </c>
      <c r="M14101" t="s">
        <v>43180</v>
      </c>
      <c r="N14101" t="s">
        <v>46569</v>
      </c>
      <c r="O14101" t="s">
        <v>46570</v>
      </c>
      <c r="P14101">
        <v>0</v>
      </c>
      <c r="Q14101">
        <v>4</v>
      </c>
      <c r="R14101" t="s">
        <v>46587</v>
      </c>
      <c r="S14101" t="s">
        <v>47373</v>
      </c>
      <c r="T14101" t="s">
        <v>48221</v>
      </c>
      <c r="U14101" t="s">
        <v>60094</v>
      </c>
      <c r="W14101" t="s">
        <v>43180</v>
      </c>
      <c r="X14101" t="s">
        <v>46588</v>
      </c>
    </row>
    <row r="14102" spans="1:24">
      <c r="A14102">
        <f>HYPERLINK("https://www.philgeps.gov.ph/GEPSNONPILOT/Tender/SplashBidNoticeAbstractUI.aspx?menuIndex=3&amp;refID=7033791&amp;Result=3","7033791")</f>
        <v>0</v>
      </c>
      <c r="B14102" t="s">
        <v>203</v>
      </c>
      <c r="C14102" t="s">
        <v>16938</v>
      </c>
      <c r="D14102" t="s">
        <v>18842</v>
      </c>
      <c r="E14102" t="s">
        <v>27390</v>
      </c>
      <c r="F14102" t="s">
        <v>32664</v>
      </c>
      <c r="G14102" t="s">
        <v>32672</v>
      </c>
      <c r="H14102" t="s">
        <v>12635</v>
      </c>
      <c r="I14102" t="s">
        <v>32699</v>
      </c>
      <c r="J14102" t="s">
        <v>41201</v>
      </c>
      <c r="K14102" t="s">
        <v>42281</v>
      </c>
      <c r="M14102" t="s">
        <v>43962</v>
      </c>
      <c r="N14102" t="s">
        <v>46569</v>
      </c>
      <c r="O14102" t="s">
        <v>46570</v>
      </c>
      <c r="Q14102">
        <v>5</v>
      </c>
      <c r="R14102" t="s">
        <v>46587</v>
      </c>
      <c r="S14102" t="s">
        <v>47413</v>
      </c>
      <c r="T14102" t="s">
        <v>48356</v>
      </c>
      <c r="U14102" t="s">
        <v>60095</v>
      </c>
      <c r="V14102" t="s">
        <v>49355</v>
      </c>
      <c r="W14102" t="s">
        <v>43962</v>
      </c>
      <c r="X14102" t="s">
        <v>46588</v>
      </c>
    </row>
    <row r="14103" spans="1:24">
      <c r="A14103">
        <f>HYPERLINK("https://www.philgeps.gov.ph/GEPSNONPILOT/Tender/SplashBidNoticeAbstractUI.aspx?menuIndex=3&amp;refID=7033652&amp;Result=3","7033652")</f>
        <v>0</v>
      </c>
      <c r="B14103" t="s">
        <v>1502</v>
      </c>
      <c r="C14103" t="s">
        <v>16939</v>
      </c>
      <c r="D14103" t="s">
        <v>18829</v>
      </c>
      <c r="E14103" t="s">
        <v>31014</v>
      </c>
      <c r="F14103" t="s">
        <v>32664</v>
      </c>
      <c r="G14103" t="s">
        <v>32672</v>
      </c>
      <c r="H14103" t="s">
        <v>32683</v>
      </c>
      <c r="I14103" t="s">
        <v>10627</v>
      </c>
      <c r="J14103" t="s">
        <v>41202</v>
      </c>
      <c r="K14103" t="s">
        <v>42369</v>
      </c>
      <c r="M14103" t="s">
        <v>46236</v>
      </c>
      <c r="N14103" t="s">
        <v>46569</v>
      </c>
      <c r="O14103" t="s">
        <v>46570</v>
      </c>
      <c r="P14103">
        <v>0</v>
      </c>
      <c r="Q14103">
        <v>3</v>
      </c>
      <c r="R14103" t="s">
        <v>46587</v>
      </c>
      <c r="S14103" t="s">
        <v>47373</v>
      </c>
      <c r="T14103" t="s">
        <v>48282</v>
      </c>
      <c r="U14103" t="s">
        <v>60096</v>
      </c>
      <c r="W14103" t="s">
        <v>46236</v>
      </c>
      <c r="X14103" t="s">
        <v>46588</v>
      </c>
    </row>
    <row r="14104" spans="1:24">
      <c r="A14104">
        <f>HYPERLINK("https://www.philgeps.gov.ph/GEPSNONPILOT/Tender/SplashBidNoticeAbstractUI.aspx?menuIndex=3&amp;refID=7033672&amp;Result=3","7033672")</f>
        <v>0</v>
      </c>
      <c r="B14104" t="s">
        <v>2131</v>
      </c>
      <c r="C14104" t="s">
        <v>16940</v>
      </c>
      <c r="D14104" t="s">
        <v>18824</v>
      </c>
      <c r="E14104" t="s">
        <v>31015</v>
      </c>
      <c r="F14104" t="s">
        <v>32664</v>
      </c>
      <c r="G14104" t="s">
        <v>32672</v>
      </c>
      <c r="H14104" t="s">
        <v>32683</v>
      </c>
      <c r="I14104" t="s">
        <v>10627</v>
      </c>
      <c r="J14104" t="s">
        <v>32982</v>
      </c>
      <c r="K14104" t="s">
        <v>42311</v>
      </c>
      <c r="M14104" t="s">
        <v>44886</v>
      </c>
      <c r="N14104" t="s">
        <v>46569</v>
      </c>
      <c r="O14104" t="s">
        <v>46570</v>
      </c>
      <c r="P14104">
        <v>0</v>
      </c>
      <c r="Q14104">
        <v>0</v>
      </c>
      <c r="R14104" t="s">
        <v>46587</v>
      </c>
      <c r="S14104" t="s">
        <v>47373</v>
      </c>
      <c r="T14104" t="s">
        <v>48702</v>
      </c>
      <c r="U14104" t="s">
        <v>60097</v>
      </c>
      <c r="W14104" t="s">
        <v>44886</v>
      </c>
      <c r="X14104" t="s">
        <v>46588</v>
      </c>
    </row>
    <row r="14105" spans="1:24">
      <c r="A14105">
        <f>HYPERLINK("https://www.philgeps.gov.ph/GEPSNONPILOT/Tender/SplashBidNoticeAbstractUI.aspx?menuIndex=3&amp;refID=7033529&amp;Result=3","7033529")</f>
        <v>0</v>
      </c>
      <c r="B14105" t="s">
        <v>680</v>
      </c>
      <c r="C14105" t="s">
        <v>16941</v>
      </c>
      <c r="D14105" t="s">
        <v>18792</v>
      </c>
      <c r="E14105" t="s">
        <v>31016</v>
      </c>
      <c r="F14105" t="s">
        <v>32664</v>
      </c>
      <c r="G14105" t="s">
        <v>32672</v>
      </c>
      <c r="H14105" t="s">
        <v>12635</v>
      </c>
      <c r="I14105" t="s">
        <v>10361</v>
      </c>
      <c r="J14105" t="s">
        <v>32962</v>
      </c>
      <c r="K14105" t="s">
        <v>42365</v>
      </c>
      <c r="M14105" t="s">
        <v>43267</v>
      </c>
      <c r="N14105" t="s">
        <v>46569</v>
      </c>
      <c r="O14105" t="s">
        <v>46570</v>
      </c>
      <c r="P14105">
        <v>0</v>
      </c>
      <c r="Q14105">
        <v>0</v>
      </c>
      <c r="R14105" t="s">
        <v>46587</v>
      </c>
      <c r="S14105" t="s">
        <v>47373</v>
      </c>
      <c r="T14105" t="s">
        <v>48283</v>
      </c>
      <c r="U14105" t="s">
        <v>60098</v>
      </c>
      <c r="W14105" t="s">
        <v>43267</v>
      </c>
      <c r="X14105" t="s">
        <v>46588</v>
      </c>
    </row>
    <row r="14106" spans="1:24">
      <c r="A14106">
        <f>HYPERLINK("https://www.philgeps.gov.ph/GEPSNONPILOT/Tender/SplashBidNoticeAbstractUI.aspx?menuIndex=3&amp;refID=7033435&amp;Result=3","7033435")</f>
        <v>0</v>
      </c>
      <c r="B14106" t="s">
        <v>52</v>
      </c>
      <c r="C14106" t="s">
        <v>16942</v>
      </c>
      <c r="D14106" t="s">
        <v>18802</v>
      </c>
      <c r="E14106" t="s">
        <v>31017</v>
      </c>
      <c r="F14106" t="s">
        <v>32664</v>
      </c>
      <c r="G14106" t="s">
        <v>32672</v>
      </c>
      <c r="H14106" t="s">
        <v>12635</v>
      </c>
      <c r="I14106" t="s">
        <v>5589</v>
      </c>
      <c r="J14106" t="s">
        <v>34487</v>
      </c>
      <c r="K14106" t="s">
        <v>42378</v>
      </c>
      <c r="M14106" t="s">
        <v>42614</v>
      </c>
      <c r="N14106" t="s">
        <v>46569</v>
      </c>
      <c r="O14106" t="s">
        <v>46570</v>
      </c>
      <c r="P14106">
        <v>0</v>
      </c>
      <c r="Q14106">
        <v>7</v>
      </c>
      <c r="R14106" t="s">
        <v>46587</v>
      </c>
      <c r="S14106" t="s">
        <v>47373</v>
      </c>
      <c r="T14106" t="s">
        <v>48244</v>
      </c>
      <c r="U14106" t="s">
        <v>60099</v>
      </c>
      <c r="W14106" t="s">
        <v>42614</v>
      </c>
      <c r="X14106" t="s">
        <v>46588</v>
      </c>
    </row>
    <row r="14107" spans="1:24">
      <c r="A14107">
        <f>HYPERLINK("https://www.philgeps.gov.ph/GEPSNONPILOT/Tender/SplashBidNoticeAbstractUI.aspx?menuIndex=3&amp;refID=7033528&amp;Result=3","7033528")</f>
        <v>0</v>
      </c>
      <c r="B14107" t="s">
        <v>3390</v>
      </c>
      <c r="C14107" t="s">
        <v>16943</v>
      </c>
      <c r="D14107" t="s">
        <v>18806</v>
      </c>
      <c r="E14107" t="s">
        <v>31018</v>
      </c>
      <c r="F14107" t="s">
        <v>32664</v>
      </c>
      <c r="G14107" t="s">
        <v>32672</v>
      </c>
      <c r="H14107" t="s">
        <v>12635</v>
      </c>
      <c r="I14107" t="s">
        <v>4439</v>
      </c>
      <c r="J14107" t="s">
        <v>41203</v>
      </c>
      <c r="K14107" t="s">
        <v>42281</v>
      </c>
      <c r="M14107" t="s">
        <v>46354</v>
      </c>
      <c r="N14107" t="s">
        <v>46569</v>
      </c>
      <c r="O14107" t="s">
        <v>46570</v>
      </c>
      <c r="P14107">
        <v>0</v>
      </c>
      <c r="Q14107">
        <v>0</v>
      </c>
      <c r="R14107" t="s">
        <v>46587</v>
      </c>
      <c r="S14107" t="s">
        <v>47373</v>
      </c>
      <c r="T14107" t="s">
        <v>48395</v>
      </c>
      <c r="U14107" t="s">
        <v>60100</v>
      </c>
      <c r="V14107" t="s">
        <v>63188</v>
      </c>
      <c r="W14107" t="s">
        <v>46354</v>
      </c>
      <c r="X14107" t="s">
        <v>46588</v>
      </c>
    </row>
    <row r="14108" spans="1:24">
      <c r="A14108">
        <f>HYPERLINK("https://www.philgeps.gov.ph/GEPSNONPILOT/Tender/SplashBidNoticeAbstractUI.aspx?menuIndex=3&amp;refID=7033408&amp;Result=3","7033408")</f>
        <v>0</v>
      </c>
      <c r="B14108" t="s">
        <v>884</v>
      </c>
      <c r="C14108" t="s">
        <v>16944</v>
      </c>
      <c r="D14108" t="s">
        <v>18816</v>
      </c>
      <c r="E14108" t="s">
        <v>31019</v>
      </c>
      <c r="F14108" t="s">
        <v>32664</v>
      </c>
      <c r="G14108" t="s">
        <v>32672</v>
      </c>
      <c r="H14108" t="s">
        <v>12635</v>
      </c>
      <c r="I14108" t="s">
        <v>32692</v>
      </c>
      <c r="J14108" t="s">
        <v>34681</v>
      </c>
      <c r="K14108" t="s">
        <v>42281</v>
      </c>
      <c r="M14108" t="s">
        <v>43485</v>
      </c>
      <c r="N14108" t="s">
        <v>46569</v>
      </c>
      <c r="O14108" t="s">
        <v>46570</v>
      </c>
      <c r="P14108">
        <v>0</v>
      </c>
      <c r="Q14108">
        <v>6</v>
      </c>
      <c r="R14108" t="s">
        <v>46587</v>
      </c>
      <c r="S14108" t="s">
        <v>47373</v>
      </c>
      <c r="T14108" t="s">
        <v>48436</v>
      </c>
      <c r="U14108" t="s">
        <v>60101</v>
      </c>
      <c r="W14108" t="s">
        <v>43485</v>
      </c>
      <c r="X14108" t="s">
        <v>46588</v>
      </c>
    </row>
    <row r="14109" spans="1:24">
      <c r="A14109">
        <f>HYPERLINK("https://www.philgeps.gov.ph/GEPSNONPILOT/Tender/SplashBidNoticeAbstractUI.aspx?menuIndex=3&amp;refID=7033397&amp;Result=3","7033397")</f>
        <v>0</v>
      </c>
      <c r="B14109" t="s">
        <v>3272</v>
      </c>
      <c r="C14109" t="s">
        <v>16945</v>
      </c>
      <c r="D14109" t="s">
        <v>18793</v>
      </c>
      <c r="E14109" t="s">
        <v>31020</v>
      </c>
      <c r="F14109" t="s">
        <v>32664</v>
      </c>
      <c r="G14109" t="s">
        <v>32672</v>
      </c>
      <c r="H14109" t="s">
        <v>32683</v>
      </c>
      <c r="I14109" t="s">
        <v>10627</v>
      </c>
      <c r="J14109" t="s">
        <v>33267</v>
      </c>
      <c r="K14109" t="s">
        <v>42298</v>
      </c>
      <c r="M14109" t="s">
        <v>46208</v>
      </c>
      <c r="N14109" t="s">
        <v>46569</v>
      </c>
      <c r="O14109" t="s">
        <v>46570</v>
      </c>
      <c r="P14109">
        <v>0</v>
      </c>
      <c r="Q14109">
        <v>3</v>
      </c>
      <c r="R14109" t="s">
        <v>46587</v>
      </c>
      <c r="S14109" t="s">
        <v>47373</v>
      </c>
      <c r="T14109" t="s">
        <v>48410</v>
      </c>
      <c r="U14109" t="s">
        <v>60102</v>
      </c>
      <c r="W14109" t="s">
        <v>46208</v>
      </c>
      <c r="X14109" t="s">
        <v>46588</v>
      </c>
    </row>
    <row r="14110" spans="1:24">
      <c r="A14110">
        <f>HYPERLINK("https://www.philgeps.gov.ph/GEPSNONPILOT/Tender/SplashBidNoticeAbstractUI.aspx?menuIndex=3&amp;refID=7033389&amp;Result=3","7033389")</f>
        <v>0</v>
      </c>
      <c r="B14110" t="s">
        <v>2725</v>
      </c>
      <c r="C14110" t="s">
        <v>16946</v>
      </c>
      <c r="D14110" t="s">
        <v>18859</v>
      </c>
      <c r="E14110" t="s">
        <v>31021</v>
      </c>
      <c r="F14110" t="s">
        <v>32664</v>
      </c>
      <c r="G14110" t="s">
        <v>32672</v>
      </c>
      <c r="H14110" t="s">
        <v>12635</v>
      </c>
      <c r="I14110" t="s">
        <v>4439</v>
      </c>
      <c r="J14110" t="s">
        <v>41204</v>
      </c>
      <c r="K14110" t="s">
        <v>42281</v>
      </c>
      <c r="M14110" t="s">
        <v>46355</v>
      </c>
      <c r="N14110" t="s">
        <v>46569</v>
      </c>
      <c r="O14110" t="s">
        <v>46570</v>
      </c>
      <c r="P14110">
        <v>0</v>
      </c>
      <c r="Q14110">
        <v>4</v>
      </c>
      <c r="R14110" t="s">
        <v>46587</v>
      </c>
      <c r="S14110" t="s">
        <v>47373</v>
      </c>
      <c r="T14110" t="s">
        <v>48217</v>
      </c>
      <c r="U14110" t="s">
        <v>60103</v>
      </c>
      <c r="W14110" t="s">
        <v>46355</v>
      </c>
      <c r="X14110" t="s">
        <v>46588</v>
      </c>
    </row>
    <row r="14111" spans="1:24">
      <c r="A14111">
        <f>HYPERLINK("https://www.philgeps.gov.ph/GEPSNONPILOT/Tender/SplashBidNoticeAbstractUI.aspx?menuIndex=3&amp;refID=7033364&amp;Result=3","7033364")</f>
        <v>0</v>
      </c>
      <c r="B14111" t="s">
        <v>2968</v>
      </c>
      <c r="C14111" t="s">
        <v>16947</v>
      </c>
      <c r="D14111" t="s">
        <v>18847</v>
      </c>
      <c r="E14111" t="s">
        <v>20325</v>
      </c>
      <c r="F14111" t="s">
        <v>32664</v>
      </c>
      <c r="G14111" t="s">
        <v>32672</v>
      </c>
      <c r="H14111" t="s">
        <v>32683</v>
      </c>
      <c r="I14111" t="s">
        <v>10627</v>
      </c>
      <c r="J14111" t="s">
        <v>33858</v>
      </c>
      <c r="K14111" t="s">
        <v>42290</v>
      </c>
      <c r="M14111" t="s">
        <v>45822</v>
      </c>
      <c r="N14111" t="s">
        <v>46569</v>
      </c>
      <c r="O14111" t="s">
        <v>46570</v>
      </c>
      <c r="P14111">
        <v>0</v>
      </c>
      <c r="Q14111">
        <v>0</v>
      </c>
      <c r="R14111" t="s">
        <v>46587</v>
      </c>
      <c r="S14111" t="s">
        <v>47373</v>
      </c>
      <c r="T14111" t="s">
        <v>48244</v>
      </c>
      <c r="U14111" t="s">
        <v>60104</v>
      </c>
      <c r="V14111" t="s">
        <v>62799</v>
      </c>
      <c r="W14111" t="s">
        <v>45822</v>
      </c>
      <c r="X14111" t="s">
        <v>46588</v>
      </c>
    </row>
    <row r="14112" spans="1:24">
      <c r="A14112">
        <f>HYPERLINK("https://www.philgeps.gov.ph/GEPSNONPILOT/Tender/SplashBidNoticeAbstractUI.aspx?menuIndex=3&amp;refID=7033531&amp;Result=3","7033531")</f>
        <v>0</v>
      </c>
      <c r="B14112" t="s">
        <v>243</v>
      </c>
      <c r="C14112" t="s">
        <v>16948</v>
      </c>
      <c r="D14112" t="s">
        <v>18841</v>
      </c>
      <c r="E14112" t="s">
        <v>31022</v>
      </c>
      <c r="F14112" t="s">
        <v>32664</v>
      </c>
      <c r="G14112" t="s">
        <v>32672</v>
      </c>
      <c r="H14112" t="s">
        <v>12635</v>
      </c>
      <c r="I14112" t="s">
        <v>32685</v>
      </c>
      <c r="J14112" t="s">
        <v>36285</v>
      </c>
      <c r="K14112" t="s">
        <v>42289</v>
      </c>
      <c r="L14112" t="s">
        <v>243</v>
      </c>
      <c r="M14112" t="s">
        <v>42808</v>
      </c>
      <c r="N14112" t="s">
        <v>46569</v>
      </c>
      <c r="O14112" t="s">
        <v>46570</v>
      </c>
      <c r="P14112">
        <v>0</v>
      </c>
      <c r="Q14112">
        <v>3</v>
      </c>
      <c r="R14112" t="s">
        <v>46587</v>
      </c>
      <c r="S14112" t="s">
        <v>47373</v>
      </c>
      <c r="T14112" t="s">
        <v>48411</v>
      </c>
      <c r="U14112" t="s">
        <v>60105</v>
      </c>
      <c r="V14112" t="s">
        <v>61763</v>
      </c>
      <c r="W14112" t="s">
        <v>42808</v>
      </c>
      <c r="X14112" t="s">
        <v>46588</v>
      </c>
    </row>
    <row r="14113" spans="1:24">
      <c r="A14113">
        <f>HYPERLINK("https://www.philgeps.gov.ph/GEPSNONPILOT/Tender/SplashBidNoticeAbstractUI.aspx?menuIndex=3&amp;refID=7033372&amp;Result=3","7033372")</f>
        <v>0</v>
      </c>
      <c r="B14113" t="s">
        <v>3391</v>
      </c>
      <c r="C14113" t="s">
        <v>16949</v>
      </c>
      <c r="D14113" t="s">
        <v>18806</v>
      </c>
      <c r="E14113" t="s">
        <v>31023</v>
      </c>
      <c r="F14113" t="s">
        <v>32664</v>
      </c>
      <c r="G14113" t="s">
        <v>32672</v>
      </c>
      <c r="H14113" t="s">
        <v>32683</v>
      </c>
      <c r="I14113" t="s">
        <v>10627</v>
      </c>
      <c r="J14113" t="s">
        <v>36084</v>
      </c>
      <c r="K14113" t="s">
        <v>42311</v>
      </c>
      <c r="L14113" t="s">
        <v>3391</v>
      </c>
      <c r="M14113" t="s">
        <v>46356</v>
      </c>
      <c r="N14113" t="s">
        <v>46569</v>
      </c>
      <c r="O14113" t="s">
        <v>46570</v>
      </c>
      <c r="P14113">
        <v>0</v>
      </c>
      <c r="Q14113">
        <v>2</v>
      </c>
      <c r="R14113" t="s">
        <v>46587</v>
      </c>
      <c r="S14113" t="s">
        <v>47373</v>
      </c>
      <c r="T14113" t="s">
        <v>48283</v>
      </c>
      <c r="U14113" t="s">
        <v>60106</v>
      </c>
      <c r="W14113" t="s">
        <v>46356</v>
      </c>
      <c r="X14113" t="s">
        <v>46588</v>
      </c>
    </row>
    <row r="14114" spans="1:24">
      <c r="A14114">
        <f>HYPERLINK("https://www.philgeps.gov.ph/GEPSNONPILOT/Tender/SplashBidNoticeAbstractUI.aspx?menuIndex=3&amp;refID=7033532&amp;Result=3","7033532")</f>
        <v>0</v>
      </c>
      <c r="B14114" t="s">
        <v>2968</v>
      </c>
      <c r="C14114" t="s">
        <v>16950</v>
      </c>
      <c r="D14114" t="s">
        <v>18847</v>
      </c>
      <c r="E14114" t="s">
        <v>31024</v>
      </c>
      <c r="F14114" t="s">
        <v>32664</v>
      </c>
      <c r="G14114" t="s">
        <v>32672</v>
      </c>
      <c r="H14114" t="s">
        <v>32683</v>
      </c>
      <c r="I14114" t="s">
        <v>10627</v>
      </c>
      <c r="J14114" t="s">
        <v>32943</v>
      </c>
      <c r="K14114" t="s">
        <v>42290</v>
      </c>
      <c r="M14114" t="s">
        <v>45822</v>
      </c>
      <c r="N14114" t="s">
        <v>46569</v>
      </c>
      <c r="O14114" t="s">
        <v>46570</v>
      </c>
      <c r="P14114">
        <v>0</v>
      </c>
      <c r="Q14114">
        <v>0</v>
      </c>
      <c r="R14114" t="s">
        <v>46587</v>
      </c>
      <c r="S14114" t="s">
        <v>47373</v>
      </c>
      <c r="T14114" t="s">
        <v>48244</v>
      </c>
      <c r="U14114" t="s">
        <v>60107</v>
      </c>
      <c r="V14114" t="s">
        <v>62799</v>
      </c>
      <c r="W14114" t="s">
        <v>45822</v>
      </c>
      <c r="X14114" t="s">
        <v>46588</v>
      </c>
    </row>
    <row r="14115" spans="1:24">
      <c r="A14115">
        <f>HYPERLINK("https://www.philgeps.gov.ph/GEPSNONPILOT/Tender/SplashBidNoticeAbstractUI.aspx?menuIndex=3&amp;refID=7033259&amp;Result=3","7033259")</f>
        <v>0</v>
      </c>
      <c r="B14115" t="s">
        <v>1459</v>
      </c>
      <c r="C14115" t="s">
        <v>16951</v>
      </c>
      <c r="D14115" t="s">
        <v>18784</v>
      </c>
      <c r="E14115" t="s">
        <v>31025</v>
      </c>
      <c r="F14115" t="s">
        <v>32664</v>
      </c>
      <c r="G14115" t="s">
        <v>32672</v>
      </c>
      <c r="H14115" t="s">
        <v>32683</v>
      </c>
      <c r="I14115" t="s">
        <v>10627</v>
      </c>
      <c r="J14115" t="s">
        <v>41205</v>
      </c>
      <c r="K14115" t="s">
        <v>42290</v>
      </c>
      <c r="M14115" t="s">
        <v>44120</v>
      </c>
      <c r="N14115" t="s">
        <v>46569</v>
      </c>
      <c r="O14115" t="s">
        <v>46570</v>
      </c>
      <c r="Q14115">
        <v>62</v>
      </c>
      <c r="R14115" t="s">
        <v>46587</v>
      </c>
      <c r="S14115" t="s">
        <v>47414</v>
      </c>
      <c r="T14115" t="s">
        <v>48356</v>
      </c>
      <c r="U14115" t="s">
        <v>60108</v>
      </c>
      <c r="V14115" t="s">
        <v>62491</v>
      </c>
      <c r="W14115" t="s">
        <v>44120</v>
      </c>
      <c r="X14115" t="s">
        <v>46588</v>
      </c>
    </row>
    <row r="14116" spans="1:24">
      <c r="A14116">
        <f>HYPERLINK("https://www.philgeps.gov.ph/GEPSNONPILOT/Tender/SplashBidNoticeAbstractUI.aspx?menuIndex=3&amp;refID=7033217&amp;Result=3","7033217")</f>
        <v>0</v>
      </c>
      <c r="B14116" t="s">
        <v>167</v>
      </c>
      <c r="C14116" t="s">
        <v>16952</v>
      </c>
      <c r="D14116" t="s">
        <v>18837</v>
      </c>
      <c r="E14116" t="s">
        <v>31026</v>
      </c>
      <c r="F14116" t="s">
        <v>32664</v>
      </c>
      <c r="G14116" t="s">
        <v>32672</v>
      </c>
      <c r="H14116" t="s">
        <v>12635</v>
      </c>
      <c r="I14116" t="s">
        <v>4439</v>
      </c>
      <c r="J14116" t="s">
        <v>38541</v>
      </c>
      <c r="K14116" t="s">
        <v>42297</v>
      </c>
      <c r="M14116" t="s">
        <v>42731</v>
      </c>
      <c r="N14116" t="s">
        <v>46569</v>
      </c>
      <c r="O14116" t="s">
        <v>46570</v>
      </c>
      <c r="P14116">
        <v>0</v>
      </c>
      <c r="Q14116">
        <v>1</v>
      </c>
      <c r="R14116" t="s">
        <v>46587</v>
      </c>
      <c r="S14116" t="s">
        <v>47373</v>
      </c>
      <c r="T14116" t="s">
        <v>48305</v>
      </c>
      <c r="U14116" t="s">
        <v>59229</v>
      </c>
      <c r="W14116" t="s">
        <v>42731</v>
      </c>
      <c r="X14116" t="s">
        <v>46588</v>
      </c>
    </row>
    <row r="14117" spans="1:24">
      <c r="A14117">
        <f>HYPERLINK("https://www.philgeps.gov.ph/GEPSNONPILOT/Tender/SplashBidNoticeAbstractUI.aspx?menuIndex=3&amp;refID=7033524&amp;Result=3","7033524")</f>
        <v>0</v>
      </c>
      <c r="B14117" t="s">
        <v>2292</v>
      </c>
      <c r="C14117" t="s">
        <v>16953</v>
      </c>
      <c r="D14117" t="s">
        <v>18789</v>
      </c>
      <c r="E14117" t="s">
        <v>19615</v>
      </c>
      <c r="F14117" t="s">
        <v>32664</v>
      </c>
      <c r="G14117" t="s">
        <v>32672</v>
      </c>
      <c r="H14117" t="s">
        <v>12635</v>
      </c>
      <c r="I14117" t="s">
        <v>4439</v>
      </c>
      <c r="J14117" t="s">
        <v>41206</v>
      </c>
      <c r="K14117" t="s">
        <v>42297</v>
      </c>
      <c r="M14117" t="s">
        <v>45063</v>
      </c>
      <c r="N14117" t="s">
        <v>46569</v>
      </c>
      <c r="O14117" t="s">
        <v>46570</v>
      </c>
      <c r="Q14117">
        <v>0</v>
      </c>
      <c r="R14117" t="s">
        <v>46587</v>
      </c>
      <c r="S14117" t="s">
        <v>47415</v>
      </c>
      <c r="T14117" t="s">
        <v>48228</v>
      </c>
      <c r="U14117" t="s">
        <v>60109</v>
      </c>
      <c r="V14117" t="s">
        <v>63189</v>
      </c>
      <c r="W14117" t="s">
        <v>45063</v>
      </c>
      <c r="X14117" t="s">
        <v>46588</v>
      </c>
    </row>
    <row r="14118" spans="1:24">
      <c r="A14118">
        <f>HYPERLINK("https://www.philgeps.gov.ph/GEPSNONPILOT/Tender/SplashBidNoticeAbstractUI.aspx?menuIndex=3&amp;refID=7033358&amp;Result=3","7033358")</f>
        <v>0</v>
      </c>
      <c r="B14118" t="s">
        <v>1027</v>
      </c>
      <c r="C14118" t="s">
        <v>16954</v>
      </c>
      <c r="D14118" t="s">
        <v>18790</v>
      </c>
      <c r="E14118" t="s">
        <v>31027</v>
      </c>
      <c r="F14118" t="s">
        <v>32664</v>
      </c>
      <c r="G14118" t="s">
        <v>32672</v>
      </c>
      <c r="H14118" t="s">
        <v>12635</v>
      </c>
      <c r="I14118" t="s">
        <v>11464</v>
      </c>
      <c r="J14118" t="s">
        <v>34148</v>
      </c>
      <c r="K14118" t="s">
        <v>42283</v>
      </c>
      <c r="M14118" t="s">
        <v>43639</v>
      </c>
      <c r="N14118" t="s">
        <v>46569</v>
      </c>
      <c r="O14118" t="s">
        <v>46570</v>
      </c>
      <c r="P14118">
        <v>0</v>
      </c>
      <c r="Q14118">
        <v>5</v>
      </c>
      <c r="R14118" t="s">
        <v>46587</v>
      </c>
      <c r="S14118" t="s">
        <v>47373</v>
      </c>
      <c r="T14118" t="s">
        <v>48411</v>
      </c>
      <c r="U14118" t="s">
        <v>60045</v>
      </c>
      <c r="W14118" t="s">
        <v>43639</v>
      </c>
      <c r="X14118" t="s">
        <v>46588</v>
      </c>
    </row>
    <row r="14119" spans="1:24">
      <c r="A14119">
        <f>HYPERLINK("https://www.philgeps.gov.ph/GEPSNONPILOT/Tender/SplashBidNoticeAbstractUI.aspx?menuIndex=3&amp;refID=7033685&amp;Result=3","7033685")</f>
        <v>0</v>
      </c>
      <c r="B14119" t="s">
        <v>3063</v>
      </c>
      <c r="C14119" t="s">
        <v>16955</v>
      </c>
      <c r="D14119" t="s">
        <v>18826</v>
      </c>
      <c r="E14119" t="s">
        <v>31028</v>
      </c>
      <c r="F14119" t="s">
        <v>32664</v>
      </c>
      <c r="G14119" t="s">
        <v>32672</v>
      </c>
      <c r="H14119" t="s">
        <v>12635</v>
      </c>
      <c r="I14119" t="s">
        <v>32729</v>
      </c>
      <c r="J14119" t="s">
        <v>41207</v>
      </c>
      <c r="K14119" t="s">
        <v>42281</v>
      </c>
      <c r="M14119" t="s">
        <v>45940</v>
      </c>
      <c r="N14119" t="s">
        <v>46569</v>
      </c>
      <c r="O14119" t="s">
        <v>46570</v>
      </c>
      <c r="P14119">
        <v>0</v>
      </c>
      <c r="Q14119">
        <v>2</v>
      </c>
      <c r="R14119" t="s">
        <v>46587</v>
      </c>
      <c r="S14119" t="s">
        <v>47373</v>
      </c>
      <c r="T14119" t="s">
        <v>48303</v>
      </c>
      <c r="U14119" t="s">
        <v>60110</v>
      </c>
      <c r="W14119" t="s">
        <v>45940</v>
      </c>
      <c r="X14119" t="s">
        <v>46588</v>
      </c>
    </row>
    <row r="14120" spans="1:24">
      <c r="A14120">
        <f>HYPERLINK("https://www.philgeps.gov.ph/GEPSNONPILOT/Tender/SplashBidNoticeAbstractUI.aspx?menuIndex=3&amp;refID=7033191&amp;Result=3","7033191")</f>
        <v>0</v>
      </c>
      <c r="B14120" t="s">
        <v>3132</v>
      </c>
      <c r="C14120" t="s">
        <v>16956</v>
      </c>
      <c r="D14120" t="s">
        <v>18809</v>
      </c>
      <c r="E14120" t="s">
        <v>31029</v>
      </c>
      <c r="F14120" t="s">
        <v>32664</v>
      </c>
      <c r="G14120" t="s">
        <v>32672</v>
      </c>
      <c r="H14120" t="s">
        <v>12635</v>
      </c>
      <c r="I14120" t="s">
        <v>32706</v>
      </c>
      <c r="J14120" t="s">
        <v>41208</v>
      </c>
      <c r="K14120" t="s">
        <v>42285</v>
      </c>
      <c r="M14120" t="s">
        <v>46025</v>
      </c>
      <c r="N14120" t="s">
        <v>46569</v>
      </c>
      <c r="O14120" t="s">
        <v>46570</v>
      </c>
      <c r="P14120">
        <v>0</v>
      </c>
      <c r="Q14120">
        <v>2</v>
      </c>
      <c r="R14120" t="s">
        <v>46587</v>
      </c>
      <c r="S14120" t="s">
        <v>47373</v>
      </c>
      <c r="T14120" t="s">
        <v>48283</v>
      </c>
      <c r="U14120" t="s">
        <v>60111</v>
      </c>
      <c r="W14120" t="s">
        <v>46025</v>
      </c>
      <c r="X14120" t="s">
        <v>46588</v>
      </c>
    </row>
    <row r="14121" spans="1:24">
      <c r="A14121">
        <f>HYPERLINK("https://www.philgeps.gov.ph/GEPSNONPILOT/Tender/SplashBidNoticeAbstractUI.aspx?menuIndex=3&amp;refID=7033175&amp;Result=3","7033175")</f>
        <v>0</v>
      </c>
      <c r="B14121" t="s">
        <v>1189</v>
      </c>
      <c r="C14121" t="s">
        <v>16957</v>
      </c>
      <c r="D14121" t="s">
        <v>18793</v>
      </c>
      <c r="E14121" t="s">
        <v>31030</v>
      </c>
      <c r="F14121" t="s">
        <v>32664</v>
      </c>
      <c r="G14121" t="s">
        <v>32672</v>
      </c>
      <c r="H14121" t="s">
        <v>12635</v>
      </c>
      <c r="I14121" t="s">
        <v>32684</v>
      </c>
      <c r="J14121" t="s">
        <v>41209</v>
      </c>
      <c r="K14121" t="s">
        <v>42284</v>
      </c>
      <c r="L14121" t="s">
        <v>1189</v>
      </c>
      <c r="M14121" t="s">
        <v>43825</v>
      </c>
      <c r="N14121" t="s">
        <v>46569</v>
      </c>
      <c r="O14121" t="s">
        <v>46570</v>
      </c>
      <c r="P14121">
        <v>0</v>
      </c>
      <c r="Q14121">
        <v>2</v>
      </c>
      <c r="R14121" t="s">
        <v>46587</v>
      </c>
      <c r="S14121" t="s">
        <v>47373</v>
      </c>
      <c r="T14121" t="s">
        <v>48293</v>
      </c>
      <c r="U14121" t="s">
        <v>60112</v>
      </c>
      <c r="W14121" t="s">
        <v>43825</v>
      </c>
      <c r="X14121" t="s">
        <v>46588</v>
      </c>
    </row>
    <row r="14122" spans="1:24">
      <c r="A14122">
        <f>HYPERLINK("https://www.philgeps.gov.ph/GEPSNONPILOT/Tender/SplashBidNoticeAbstractUI.aspx?menuIndex=3&amp;refID=7033251&amp;Result=3","7033251")</f>
        <v>0</v>
      </c>
      <c r="B14122" t="s">
        <v>680</v>
      </c>
      <c r="C14122" t="s">
        <v>16958</v>
      </c>
      <c r="D14122" t="s">
        <v>18792</v>
      </c>
      <c r="E14122" t="s">
        <v>31031</v>
      </c>
      <c r="F14122" t="s">
        <v>32664</v>
      </c>
      <c r="G14122" t="s">
        <v>32672</v>
      </c>
      <c r="H14122" t="s">
        <v>12635</v>
      </c>
      <c r="I14122" t="s">
        <v>6628</v>
      </c>
      <c r="J14122" t="s">
        <v>41210</v>
      </c>
      <c r="K14122" t="s">
        <v>42281</v>
      </c>
      <c r="M14122" t="s">
        <v>43267</v>
      </c>
      <c r="N14122" t="s">
        <v>46569</v>
      </c>
      <c r="O14122" t="s">
        <v>46570</v>
      </c>
      <c r="P14122">
        <v>0</v>
      </c>
      <c r="Q14122">
        <v>2</v>
      </c>
      <c r="R14122" t="s">
        <v>46587</v>
      </c>
      <c r="S14122" t="s">
        <v>47373</v>
      </c>
      <c r="T14122" t="s">
        <v>48283</v>
      </c>
      <c r="U14122" t="s">
        <v>60113</v>
      </c>
      <c r="W14122" t="s">
        <v>43267</v>
      </c>
      <c r="X14122" t="s">
        <v>46588</v>
      </c>
    </row>
    <row r="14123" spans="1:24">
      <c r="A14123">
        <f>HYPERLINK("https://www.philgeps.gov.ph/GEPSNONPILOT/Tender/SplashBidNoticeAbstractUI.aspx?menuIndex=3&amp;refID=7035952&amp;Result=3","7035952")</f>
        <v>0</v>
      </c>
      <c r="B14123" t="s">
        <v>1732</v>
      </c>
      <c r="C14123" t="s">
        <v>16959</v>
      </c>
      <c r="D14123" t="s">
        <v>18784</v>
      </c>
      <c r="E14123" t="s">
        <v>30528</v>
      </c>
      <c r="F14123" t="s">
        <v>32664</v>
      </c>
      <c r="G14123" t="s">
        <v>32672</v>
      </c>
      <c r="H14123" t="s">
        <v>12635</v>
      </c>
      <c r="I14123" t="s">
        <v>32710</v>
      </c>
      <c r="J14123" t="s">
        <v>41211</v>
      </c>
      <c r="K14123" t="s">
        <v>42297</v>
      </c>
      <c r="M14123" t="s">
        <v>44431</v>
      </c>
      <c r="N14123" t="s">
        <v>46569</v>
      </c>
      <c r="O14123" t="s">
        <v>46570</v>
      </c>
      <c r="P14123">
        <v>0</v>
      </c>
      <c r="Q14123">
        <v>13</v>
      </c>
      <c r="R14123" t="s">
        <v>46586</v>
      </c>
      <c r="S14123" t="s">
        <v>47252</v>
      </c>
      <c r="T14123" t="s">
        <v>48285</v>
      </c>
      <c r="U14123" t="s">
        <v>59644</v>
      </c>
      <c r="W14123" t="s">
        <v>44431</v>
      </c>
      <c r="X14123" t="s">
        <v>46587</v>
      </c>
    </row>
    <row r="14124" spans="1:24">
      <c r="A14124">
        <f>HYPERLINK("https://www.philgeps.gov.ph/GEPSNONPILOT/Tender/SplashBidNoticeAbstractUI.aspx?menuIndex=3&amp;refID=7033653&amp;Result=3","7033653")</f>
        <v>0</v>
      </c>
      <c r="B14124" t="s">
        <v>1502</v>
      </c>
      <c r="C14124" t="s">
        <v>16960</v>
      </c>
      <c r="D14124" t="s">
        <v>18829</v>
      </c>
      <c r="E14124" t="s">
        <v>31032</v>
      </c>
      <c r="F14124" t="s">
        <v>32664</v>
      </c>
      <c r="G14124" t="s">
        <v>32672</v>
      </c>
      <c r="H14124" t="s">
        <v>32683</v>
      </c>
      <c r="I14124" t="s">
        <v>10627</v>
      </c>
      <c r="J14124" t="s">
        <v>33858</v>
      </c>
      <c r="K14124" t="s">
        <v>42400</v>
      </c>
      <c r="M14124" t="s">
        <v>46236</v>
      </c>
      <c r="N14124" t="s">
        <v>46569</v>
      </c>
      <c r="O14124" t="s">
        <v>46570</v>
      </c>
      <c r="P14124">
        <v>0</v>
      </c>
      <c r="Q14124">
        <v>2</v>
      </c>
      <c r="R14124" t="s">
        <v>46587</v>
      </c>
      <c r="S14124" t="s">
        <v>47373</v>
      </c>
      <c r="T14124" t="s">
        <v>48282</v>
      </c>
      <c r="U14124" t="s">
        <v>60114</v>
      </c>
      <c r="W14124" t="s">
        <v>46236</v>
      </c>
      <c r="X14124" t="s">
        <v>46588</v>
      </c>
    </row>
    <row r="14125" spans="1:24">
      <c r="A14125">
        <f>HYPERLINK("https://www.philgeps.gov.ph/GEPSNONPILOT/Tender/SplashBidNoticeAbstractUI.aspx?menuIndex=3&amp;refID=7033179&amp;Result=3","7033179")</f>
        <v>0</v>
      </c>
      <c r="B14125" t="s">
        <v>1082</v>
      </c>
      <c r="C14125" t="s">
        <v>16961</v>
      </c>
      <c r="D14125" t="s">
        <v>18827</v>
      </c>
      <c r="E14125" t="s">
        <v>31033</v>
      </c>
      <c r="F14125" t="s">
        <v>32664</v>
      </c>
      <c r="G14125" t="s">
        <v>32672</v>
      </c>
      <c r="H14125" t="s">
        <v>32683</v>
      </c>
      <c r="I14125" t="s">
        <v>10627</v>
      </c>
      <c r="J14125" t="s">
        <v>32837</v>
      </c>
      <c r="K14125" t="s">
        <v>42488</v>
      </c>
      <c r="M14125" t="s">
        <v>46357</v>
      </c>
      <c r="N14125" t="s">
        <v>46569</v>
      </c>
      <c r="O14125" t="s">
        <v>46570</v>
      </c>
      <c r="P14125">
        <v>0</v>
      </c>
      <c r="Q14125">
        <v>0</v>
      </c>
      <c r="R14125" t="s">
        <v>46587</v>
      </c>
      <c r="S14125" t="s">
        <v>47373</v>
      </c>
      <c r="T14125" t="s">
        <v>48221</v>
      </c>
      <c r="U14125" t="s">
        <v>60115</v>
      </c>
      <c r="W14125" t="s">
        <v>46357</v>
      </c>
      <c r="X14125" t="s">
        <v>46588</v>
      </c>
    </row>
    <row r="14126" spans="1:24">
      <c r="A14126">
        <f>HYPERLINK("https://www.philgeps.gov.ph/GEPSNONPILOT/Tender/SplashBidNoticeAbstractUI.aspx?menuIndex=3&amp;refID=7033974&amp;Result=3","7033974")</f>
        <v>0</v>
      </c>
      <c r="B14126" t="s">
        <v>2765</v>
      </c>
      <c r="C14126" t="s">
        <v>16962</v>
      </c>
      <c r="D14126" t="s">
        <v>18804</v>
      </c>
      <c r="E14126" t="s">
        <v>31034</v>
      </c>
      <c r="F14126" t="s">
        <v>32664</v>
      </c>
      <c r="G14126" t="s">
        <v>32672</v>
      </c>
      <c r="H14126" t="s">
        <v>12635</v>
      </c>
      <c r="I14126" t="s">
        <v>10361</v>
      </c>
      <c r="J14126" t="s">
        <v>33951</v>
      </c>
      <c r="K14126" t="s">
        <v>42298</v>
      </c>
      <c r="M14126" t="s">
        <v>45603</v>
      </c>
      <c r="N14126" t="s">
        <v>46569</v>
      </c>
      <c r="O14126" t="s">
        <v>46570</v>
      </c>
      <c r="Q14126">
        <v>4</v>
      </c>
      <c r="R14126" t="s">
        <v>46587</v>
      </c>
      <c r="S14126" t="s">
        <v>47416</v>
      </c>
      <c r="T14126" t="s">
        <v>48293</v>
      </c>
      <c r="U14126" t="s">
        <v>60116</v>
      </c>
      <c r="W14126" t="s">
        <v>45603</v>
      </c>
      <c r="X14126" t="s">
        <v>46588</v>
      </c>
    </row>
    <row r="14127" spans="1:24">
      <c r="A14127">
        <f>HYPERLINK("https://www.philgeps.gov.ph/GEPSNONPILOT/Tender/SplashBidNoticeAbstractUI.aspx?menuIndex=3&amp;refID=7033183&amp;Result=3","7033183")</f>
        <v>0</v>
      </c>
      <c r="B14127" t="s">
        <v>1459</v>
      </c>
      <c r="C14127" t="s">
        <v>16963</v>
      </c>
      <c r="D14127" t="s">
        <v>18784</v>
      </c>
      <c r="E14127" t="s">
        <v>31035</v>
      </c>
      <c r="F14127" t="s">
        <v>32664</v>
      </c>
      <c r="G14127" t="s">
        <v>32672</v>
      </c>
      <c r="H14127" t="s">
        <v>32683</v>
      </c>
      <c r="I14127" t="s">
        <v>10627</v>
      </c>
      <c r="J14127" t="s">
        <v>41212</v>
      </c>
      <c r="K14127" t="s">
        <v>42290</v>
      </c>
      <c r="M14127" t="s">
        <v>44120</v>
      </c>
      <c r="N14127" t="s">
        <v>46569</v>
      </c>
      <c r="O14127" t="s">
        <v>46570</v>
      </c>
      <c r="Q14127">
        <v>63</v>
      </c>
      <c r="R14127" t="s">
        <v>46587</v>
      </c>
      <c r="S14127" t="s">
        <v>47417</v>
      </c>
      <c r="T14127" t="s">
        <v>48356</v>
      </c>
      <c r="U14127" t="s">
        <v>60117</v>
      </c>
      <c r="V14127" t="s">
        <v>62491</v>
      </c>
      <c r="W14127" t="s">
        <v>44120</v>
      </c>
      <c r="X14127" t="s">
        <v>46588</v>
      </c>
    </row>
    <row r="14128" spans="1:24">
      <c r="A14128">
        <f>HYPERLINK("https://www.philgeps.gov.ph/GEPSNONPILOT/Tender/SplashBidNoticeAbstractUI.aspx?menuIndex=3&amp;refID=7033170&amp;Result=3","7033170")</f>
        <v>0</v>
      </c>
      <c r="B14128" t="s">
        <v>81</v>
      </c>
      <c r="C14128" t="s">
        <v>16964</v>
      </c>
      <c r="D14128" t="s">
        <v>18818</v>
      </c>
      <c r="E14128" t="s">
        <v>31036</v>
      </c>
      <c r="F14128" t="s">
        <v>32664</v>
      </c>
      <c r="G14128" t="s">
        <v>32672</v>
      </c>
      <c r="H14128" t="s">
        <v>12635</v>
      </c>
      <c r="I14128" t="s">
        <v>32696</v>
      </c>
      <c r="J14128" t="s">
        <v>32962</v>
      </c>
      <c r="K14128" t="s">
        <v>42283</v>
      </c>
      <c r="M14128" t="s">
        <v>42665</v>
      </c>
      <c r="N14128" t="s">
        <v>46569</v>
      </c>
      <c r="O14128" t="s">
        <v>46570</v>
      </c>
      <c r="P14128">
        <v>0</v>
      </c>
      <c r="Q14128">
        <v>2</v>
      </c>
      <c r="R14128" t="s">
        <v>46587</v>
      </c>
      <c r="S14128" t="s">
        <v>47373</v>
      </c>
      <c r="T14128" t="s">
        <v>48256</v>
      </c>
      <c r="U14128" t="s">
        <v>60118</v>
      </c>
      <c r="V14128" t="s">
        <v>63190</v>
      </c>
      <c r="W14128" t="s">
        <v>42665</v>
      </c>
      <c r="X14128" t="s">
        <v>46588</v>
      </c>
    </row>
    <row r="14129" spans="1:24">
      <c r="A14129">
        <f>HYPERLINK("https://www.philgeps.gov.ph/GEPSNONPILOT/Tender/SplashBidNoticeAbstractUI.aspx?menuIndex=3&amp;refID=7033910&amp;Result=3","7033910")</f>
        <v>0</v>
      </c>
      <c r="B14129" t="s">
        <v>641</v>
      </c>
      <c r="C14129" t="s">
        <v>16965</v>
      </c>
      <c r="D14129" t="s">
        <v>18802</v>
      </c>
      <c r="E14129" t="s">
        <v>31037</v>
      </c>
      <c r="F14129" t="s">
        <v>32664</v>
      </c>
      <c r="G14129" t="s">
        <v>32672</v>
      </c>
      <c r="H14129" t="s">
        <v>32683</v>
      </c>
      <c r="I14129" t="s">
        <v>10627</v>
      </c>
      <c r="J14129" t="s">
        <v>41213</v>
      </c>
      <c r="K14129" t="s">
        <v>42352</v>
      </c>
      <c r="M14129" t="s">
        <v>43226</v>
      </c>
      <c r="N14129" t="s">
        <v>46569</v>
      </c>
      <c r="O14129" t="s">
        <v>46570</v>
      </c>
      <c r="P14129">
        <v>0</v>
      </c>
      <c r="Q14129">
        <v>0</v>
      </c>
      <c r="R14129" t="s">
        <v>46587</v>
      </c>
      <c r="S14129" t="s">
        <v>47373</v>
      </c>
      <c r="T14129" t="s">
        <v>48246</v>
      </c>
      <c r="U14129" t="s">
        <v>60119</v>
      </c>
      <c r="W14129" t="s">
        <v>43226</v>
      </c>
      <c r="X14129" t="s">
        <v>46588</v>
      </c>
    </row>
    <row r="14130" spans="1:24">
      <c r="A14130">
        <f>HYPERLINK("https://www.philgeps.gov.ph/GEPSNONPILOT/Tender/SplashBidNoticeAbstractUI.aspx?menuIndex=3&amp;refID=7033902&amp;Result=3","7033902")</f>
        <v>0</v>
      </c>
      <c r="B14130" t="s">
        <v>3392</v>
      </c>
      <c r="C14130" t="s">
        <v>16966</v>
      </c>
      <c r="D14130" t="s">
        <v>18851</v>
      </c>
      <c r="E14130" t="s">
        <v>31038</v>
      </c>
      <c r="F14130" t="s">
        <v>32664</v>
      </c>
      <c r="G14130" t="s">
        <v>32672</v>
      </c>
      <c r="H14130" t="s">
        <v>12635</v>
      </c>
      <c r="I14130" t="s">
        <v>32721</v>
      </c>
      <c r="J14130" t="s">
        <v>41214</v>
      </c>
      <c r="K14130" t="s">
        <v>42281</v>
      </c>
      <c r="M14130" t="s">
        <v>46358</v>
      </c>
      <c r="N14130" t="s">
        <v>46569</v>
      </c>
      <c r="O14130" t="s">
        <v>46570</v>
      </c>
      <c r="P14130">
        <v>0</v>
      </c>
      <c r="Q14130">
        <v>2</v>
      </c>
      <c r="R14130" t="s">
        <v>46587</v>
      </c>
      <c r="S14130" t="s">
        <v>47373</v>
      </c>
      <c r="T14130" t="s">
        <v>48228</v>
      </c>
      <c r="U14130" t="s">
        <v>60120</v>
      </c>
      <c r="W14130" t="s">
        <v>46358</v>
      </c>
      <c r="X14130" t="s">
        <v>46588</v>
      </c>
    </row>
    <row r="14131" spans="1:24">
      <c r="A14131">
        <f>HYPERLINK("https://www.philgeps.gov.ph/GEPSNONPILOT/Tender/SplashBidNoticeAbstractUI.aspx?menuIndex=3&amp;refID=7033905&amp;Result=3","7033905")</f>
        <v>0</v>
      </c>
      <c r="B14131" t="s">
        <v>2292</v>
      </c>
      <c r="C14131" t="s">
        <v>16967</v>
      </c>
      <c r="D14131" t="s">
        <v>18789</v>
      </c>
      <c r="E14131" t="s">
        <v>19615</v>
      </c>
      <c r="F14131" t="s">
        <v>32664</v>
      </c>
      <c r="G14131" t="s">
        <v>32672</v>
      </c>
      <c r="H14131" t="s">
        <v>12635</v>
      </c>
      <c r="I14131" t="s">
        <v>32706</v>
      </c>
      <c r="J14131" t="s">
        <v>41215</v>
      </c>
      <c r="K14131" t="s">
        <v>42297</v>
      </c>
      <c r="M14131" t="s">
        <v>45063</v>
      </c>
      <c r="N14131" t="s">
        <v>46569</v>
      </c>
      <c r="O14131" t="s">
        <v>46570</v>
      </c>
      <c r="P14131">
        <v>0</v>
      </c>
      <c r="Q14131">
        <v>0</v>
      </c>
      <c r="R14131" t="s">
        <v>46587</v>
      </c>
      <c r="S14131" t="s">
        <v>47373</v>
      </c>
      <c r="T14131" t="s">
        <v>48228</v>
      </c>
      <c r="U14131" t="s">
        <v>60121</v>
      </c>
      <c r="V14131" t="s">
        <v>63187</v>
      </c>
      <c r="W14131" t="s">
        <v>45063</v>
      </c>
      <c r="X14131" t="s">
        <v>46588</v>
      </c>
    </row>
    <row r="14132" spans="1:24">
      <c r="A14132">
        <f>HYPERLINK("https://www.philgeps.gov.ph/GEPSNONPILOT/Tender/SplashBidNoticeAbstractUI.aspx?menuIndex=3&amp;refID=7033917&amp;Result=3","7033917")</f>
        <v>0</v>
      </c>
      <c r="B14132" t="s">
        <v>1046</v>
      </c>
      <c r="C14132" t="s">
        <v>16968</v>
      </c>
      <c r="D14132" t="s">
        <v>18815</v>
      </c>
      <c r="E14132" t="s">
        <v>31039</v>
      </c>
      <c r="F14132" t="s">
        <v>32664</v>
      </c>
      <c r="G14132" t="s">
        <v>32672</v>
      </c>
      <c r="H14132" t="s">
        <v>32683</v>
      </c>
      <c r="I14132" t="s">
        <v>10627</v>
      </c>
      <c r="J14132" t="s">
        <v>41216</v>
      </c>
      <c r="K14132" t="s">
        <v>42311</v>
      </c>
      <c r="M14132" t="s">
        <v>43661</v>
      </c>
      <c r="N14132" t="s">
        <v>46569</v>
      </c>
      <c r="O14132" t="s">
        <v>46570</v>
      </c>
      <c r="P14132">
        <v>0</v>
      </c>
      <c r="Q14132">
        <v>0</v>
      </c>
      <c r="R14132" t="s">
        <v>46587</v>
      </c>
      <c r="S14132" t="s">
        <v>47373</v>
      </c>
      <c r="T14132" t="s">
        <v>48287</v>
      </c>
      <c r="U14132" t="s">
        <v>60122</v>
      </c>
      <c r="V14132" t="s">
        <v>63019</v>
      </c>
      <c r="W14132" t="s">
        <v>43661</v>
      </c>
      <c r="X14132" t="s">
        <v>46588</v>
      </c>
    </row>
    <row r="14133" spans="1:24">
      <c r="A14133">
        <f>HYPERLINK("https://www.philgeps.gov.ph/GEPSNONPILOT/Tender/SplashBidNoticeAbstractUI.aspx?menuIndex=3&amp;refID=7033863&amp;Result=3","7033863")</f>
        <v>0</v>
      </c>
      <c r="B14133" t="s">
        <v>3386</v>
      </c>
      <c r="C14133" t="s">
        <v>16969</v>
      </c>
      <c r="D14133" t="s">
        <v>18831</v>
      </c>
      <c r="E14133" t="s">
        <v>20326</v>
      </c>
      <c r="F14133" t="s">
        <v>32664</v>
      </c>
      <c r="G14133" t="s">
        <v>32673</v>
      </c>
      <c r="H14133" t="s">
        <v>32683</v>
      </c>
      <c r="I14133" t="s">
        <v>10627</v>
      </c>
      <c r="J14133" t="s">
        <v>41217</v>
      </c>
      <c r="K14133" t="s">
        <v>42311</v>
      </c>
      <c r="M14133" t="s">
        <v>46350</v>
      </c>
      <c r="N14133" t="s">
        <v>46569</v>
      </c>
      <c r="O14133" t="s">
        <v>46570</v>
      </c>
      <c r="P14133">
        <v>0</v>
      </c>
      <c r="Q14133">
        <v>1</v>
      </c>
      <c r="R14133" t="s">
        <v>46587</v>
      </c>
      <c r="S14133" t="s">
        <v>47373</v>
      </c>
      <c r="T14133" t="s">
        <v>48221</v>
      </c>
      <c r="U14133" t="s">
        <v>60123</v>
      </c>
      <c r="W14133" t="s">
        <v>46350</v>
      </c>
      <c r="X14133" t="s">
        <v>46588</v>
      </c>
    </row>
    <row r="14134" spans="1:24">
      <c r="A14134">
        <f>HYPERLINK("https://www.philgeps.gov.ph/GEPSNONPILOT/Tender/SplashBidNoticeAbstractUI.aspx?menuIndex=3&amp;refID=7033962&amp;Result=3","7033962")</f>
        <v>0</v>
      </c>
      <c r="B14134" t="s">
        <v>492</v>
      </c>
      <c r="C14134" t="s">
        <v>16970</v>
      </c>
      <c r="D14134" t="s">
        <v>18809</v>
      </c>
      <c r="E14134" t="s">
        <v>31040</v>
      </c>
      <c r="F14134" t="s">
        <v>32664</v>
      </c>
      <c r="G14134" t="s">
        <v>32672</v>
      </c>
      <c r="H14134" t="s">
        <v>32683</v>
      </c>
      <c r="I14134" t="s">
        <v>10627</v>
      </c>
      <c r="J14134" t="s">
        <v>34635</v>
      </c>
      <c r="K14134" t="s">
        <v>42296</v>
      </c>
      <c r="M14134" t="s">
        <v>43068</v>
      </c>
      <c r="N14134" t="s">
        <v>46569</v>
      </c>
      <c r="O14134" t="s">
        <v>46570</v>
      </c>
      <c r="P14134">
        <v>0</v>
      </c>
      <c r="Q14134">
        <v>2</v>
      </c>
      <c r="R14134" t="s">
        <v>46587</v>
      </c>
      <c r="S14134" t="s">
        <v>47373</v>
      </c>
      <c r="T14134" t="s">
        <v>48221</v>
      </c>
      <c r="U14134" t="s">
        <v>60124</v>
      </c>
      <c r="W14134" t="s">
        <v>43068</v>
      </c>
      <c r="X14134" t="s">
        <v>46588</v>
      </c>
    </row>
    <row r="14135" spans="1:24">
      <c r="A14135">
        <f>HYPERLINK("https://www.philgeps.gov.ph/GEPSNONPILOT/Tender/SplashBidNoticeAbstractUI.aspx?menuIndex=3&amp;refID=7033845&amp;Result=3","7033845")</f>
        <v>0</v>
      </c>
      <c r="B14135" t="s">
        <v>2241</v>
      </c>
      <c r="C14135" t="s">
        <v>16971</v>
      </c>
      <c r="E14135" t="s">
        <v>31041</v>
      </c>
      <c r="F14135" t="s">
        <v>32664</v>
      </c>
      <c r="G14135" t="s">
        <v>32672</v>
      </c>
      <c r="H14135" t="s">
        <v>32683</v>
      </c>
      <c r="I14135" t="s">
        <v>10627</v>
      </c>
      <c r="J14135" t="s">
        <v>32930</v>
      </c>
      <c r="K14135" t="s">
        <v>42308</v>
      </c>
      <c r="L14135" t="s">
        <v>2241</v>
      </c>
      <c r="M14135" t="s">
        <v>45005</v>
      </c>
      <c r="N14135" t="s">
        <v>46569</v>
      </c>
      <c r="O14135" t="s">
        <v>46570</v>
      </c>
      <c r="P14135">
        <v>0</v>
      </c>
      <c r="Q14135">
        <v>2</v>
      </c>
      <c r="R14135" t="s">
        <v>46587</v>
      </c>
      <c r="S14135" t="s">
        <v>47373</v>
      </c>
      <c r="T14135" t="s">
        <v>48221</v>
      </c>
      <c r="U14135" t="s">
        <v>54720</v>
      </c>
      <c r="V14135" t="s">
        <v>62344</v>
      </c>
      <c r="W14135" t="s">
        <v>45005</v>
      </c>
      <c r="X14135" t="s">
        <v>46588</v>
      </c>
    </row>
    <row r="14136" spans="1:24">
      <c r="A14136">
        <f>HYPERLINK("https://www.philgeps.gov.ph/GEPSNONPILOT/Tender/SplashBidNoticeAbstractUI.aspx?menuIndex=3&amp;refID=7033844&amp;Result=3","7033844")</f>
        <v>0</v>
      </c>
      <c r="B14136" t="s">
        <v>2131</v>
      </c>
      <c r="C14136" t="s">
        <v>16972</v>
      </c>
      <c r="D14136" t="s">
        <v>18824</v>
      </c>
      <c r="E14136" t="s">
        <v>31042</v>
      </c>
      <c r="F14136" t="s">
        <v>32664</v>
      </c>
      <c r="G14136" t="s">
        <v>32672</v>
      </c>
      <c r="H14136" t="s">
        <v>32683</v>
      </c>
      <c r="I14136" t="s">
        <v>10627</v>
      </c>
      <c r="J14136" t="s">
        <v>32981</v>
      </c>
      <c r="K14136" t="s">
        <v>42285</v>
      </c>
      <c r="M14136" t="s">
        <v>44886</v>
      </c>
      <c r="N14136" t="s">
        <v>46569</v>
      </c>
      <c r="O14136" t="s">
        <v>46570</v>
      </c>
      <c r="P14136">
        <v>0</v>
      </c>
      <c r="Q14136">
        <v>0</v>
      </c>
      <c r="R14136" t="s">
        <v>46587</v>
      </c>
      <c r="S14136" t="s">
        <v>47373</v>
      </c>
      <c r="T14136" t="s">
        <v>48293</v>
      </c>
      <c r="U14136" t="s">
        <v>60125</v>
      </c>
      <c r="W14136" t="s">
        <v>44886</v>
      </c>
      <c r="X14136" t="s">
        <v>46588</v>
      </c>
    </row>
    <row r="14137" spans="1:24">
      <c r="A14137">
        <f>HYPERLINK("https://www.philgeps.gov.ph/GEPSNONPILOT/Tender/SplashBidNoticeAbstractUI.aspx?menuIndex=3&amp;refID=7033881&amp;Result=3","7033881")</f>
        <v>0</v>
      </c>
      <c r="B14137" t="s">
        <v>2106</v>
      </c>
      <c r="C14137" t="s">
        <v>16973</v>
      </c>
      <c r="D14137" t="s">
        <v>18839</v>
      </c>
      <c r="E14137" t="s">
        <v>31043</v>
      </c>
      <c r="F14137" t="s">
        <v>32664</v>
      </c>
      <c r="G14137" t="s">
        <v>32672</v>
      </c>
      <c r="H14137" t="s">
        <v>12635</v>
      </c>
      <c r="I14137" t="s">
        <v>32716</v>
      </c>
      <c r="J14137" t="s">
        <v>41218</v>
      </c>
      <c r="K14137" t="s">
        <v>42284</v>
      </c>
      <c r="M14137" t="s">
        <v>46359</v>
      </c>
      <c r="N14137" t="s">
        <v>46569</v>
      </c>
      <c r="O14137" t="s">
        <v>46570</v>
      </c>
      <c r="P14137">
        <v>0</v>
      </c>
      <c r="Q14137">
        <v>5</v>
      </c>
      <c r="R14137" t="s">
        <v>46587</v>
      </c>
      <c r="S14137" t="s">
        <v>47373</v>
      </c>
      <c r="T14137" t="s">
        <v>48230</v>
      </c>
      <c r="U14137" t="s">
        <v>60126</v>
      </c>
      <c r="W14137" t="s">
        <v>46359</v>
      </c>
      <c r="X14137" t="s">
        <v>46588</v>
      </c>
    </row>
    <row r="14138" spans="1:24">
      <c r="A14138">
        <f>HYPERLINK("https://www.philgeps.gov.ph/GEPSNONPILOT/Tender/SplashBidNoticeAbstractUI.aspx?menuIndex=3&amp;refID=7033835&amp;Result=3","7033835")</f>
        <v>0</v>
      </c>
      <c r="B14138" t="s">
        <v>1442</v>
      </c>
      <c r="C14138" t="s">
        <v>16974</v>
      </c>
      <c r="E14138" t="s">
        <v>31044</v>
      </c>
      <c r="F14138" t="s">
        <v>32664</v>
      </c>
      <c r="G14138" t="s">
        <v>32672</v>
      </c>
      <c r="H14138" t="s">
        <v>32683</v>
      </c>
      <c r="I14138" t="s">
        <v>10627</v>
      </c>
      <c r="J14138" t="s">
        <v>33508</v>
      </c>
      <c r="K14138" t="s">
        <v>42285</v>
      </c>
      <c r="M14138" t="s">
        <v>45920</v>
      </c>
      <c r="N14138" t="s">
        <v>46569</v>
      </c>
      <c r="O14138" t="s">
        <v>46570</v>
      </c>
      <c r="P14138">
        <v>0</v>
      </c>
      <c r="Q14138">
        <v>2</v>
      </c>
      <c r="R14138" t="s">
        <v>46587</v>
      </c>
      <c r="S14138" t="s">
        <v>47373</v>
      </c>
      <c r="T14138" t="s">
        <v>48282</v>
      </c>
      <c r="U14138" t="s">
        <v>56481</v>
      </c>
      <c r="W14138" t="s">
        <v>45920</v>
      </c>
      <c r="X14138" t="s">
        <v>46588</v>
      </c>
    </row>
    <row r="14139" spans="1:24">
      <c r="A14139">
        <f>HYPERLINK("https://www.philgeps.gov.ph/GEPSNONPILOT/Tender/SplashBidNoticeAbstractUI.aspx?menuIndex=3&amp;refID=7033865&amp;Result=3","7033865")</f>
        <v>0</v>
      </c>
      <c r="B14139" t="s">
        <v>2292</v>
      </c>
      <c r="C14139" t="s">
        <v>16975</v>
      </c>
      <c r="D14139" t="s">
        <v>18789</v>
      </c>
      <c r="E14139" t="s">
        <v>19615</v>
      </c>
      <c r="F14139" t="s">
        <v>32664</v>
      </c>
      <c r="G14139" t="s">
        <v>32672</v>
      </c>
      <c r="H14139" t="s">
        <v>12635</v>
      </c>
      <c r="I14139" t="s">
        <v>32706</v>
      </c>
      <c r="J14139" t="s">
        <v>41219</v>
      </c>
      <c r="K14139" t="s">
        <v>42297</v>
      </c>
      <c r="M14139" t="s">
        <v>45063</v>
      </c>
      <c r="N14139" t="s">
        <v>46569</v>
      </c>
      <c r="O14139" t="s">
        <v>46570</v>
      </c>
      <c r="P14139">
        <v>0</v>
      </c>
      <c r="Q14139">
        <v>0</v>
      </c>
      <c r="R14139" t="s">
        <v>46587</v>
      </c>
      <c r="S14139" t="s">
        <v>47373</v>
      </c>
      <c r="T14139" t="s">
        <v>48228</v>
      </c>
      <c r="U14139" t="s">
        <v>60127</v>
      </c>
      <c r="V14139" t="s">
        <v>63187</v>
      </c>
      <c r="W14139" t="s">
        <v>45063</v>
      </c>
      <c r="X14139" t="s">
        <v>46588</v>
      </c>
    </row>
    <row r="14140" spans="1:24">
      <c r="A14140">
        <f>HYPERLINK("https://www.philgeps.gov.ph/GEPSNONPILOT/Tender/SplashBidNoticeAbstractUI.aspx?menuIndex=3&amp;refID=7035955&amp;Result=3","7035955")</f>
        <v>0</v>
      </c>
      <c r="B14140" t="s">
        <v>3393</v>
      </c>
      <c r="C14140" t="s">
        <v>16976</v>
      </c>
      <c r="E14140" t="s">
        <v>20738</v>
      </c>
      <c r="F14140" t="s">
        <v>32664</v>
      </c>
      <c r="G14140" t="s">
        <v>32672</v>
      </c>
      <c r="H14140" t="s">
        <v>32683</v>
      </c>
      <c r="I14140" t="s">
        <v>10627</v>
      </c>
      <c r="J14140" t="s">
        <v>32974</v>
      </c>
      <c r="K14140" t="s">
        <v>42283</v>
      </c>
      <c r="M14140" t="s">
        <v>46360</v>
      </c>
      <c r="N14140" t="s">
        <v>46569</v>
      </c>
      <c r="O14140" t="s">
        <v>46570</v>
      </c>
      <c r="P14140">
        <v>0</v>
      </c>
      <c r="Q14140">
        <v>1</v>
      </c>
      <c r="R14140" t="s">
        <v>46586</v>
      </c>
      <c r="S14140" t="s">
        <v>47252</v>
      </c>
      <c r="T14140" t="s">
        <v>48282</v>
      </c>
      <c r="U14140" t="s">
        <v>60128</v>
      </c>
      <c r="W14140" t="s">
        <v>46360</v>
      </c>
      <c r="X14140" t="s">
        <v>46587</v>
      </c>
    </row>
    <row r="14141" spans="1:24">
      <c r="A14141">
        <f>HYPERLINK("https://www.philgeps.gov.ph/GEPSNONPILOT/Tender/SplashBidNoticeAbstractUI.aspx?menuIndex=3&amp;refID=7033872&amp;Result=3","7033872")</f>
        <v>0</v>
      </c>
      <c r="B14141" t="s">
        <v>2241</v>
      </c>
      <c r="C14141" t="s">
        <v>16977</v>
      </c>
      <c r="D14141" t="s">
        <v>18836</v>
      </c>
      <c r="E14141" t="s">
        <v>31045</v>
      </c>
      <c r="F14141" t="s">
        <v>32664</v>
      </c>
      <c r="G14141" t="s">
        <v>32672</v>
      </c>
      <c r="H14141" t="s">
        <v>32683</v>
      </c>
      <c r="I14141" t="s">
        <v>10627</v>
      </c>
      <c r="J14141" t="s">
        <v>32930</v>
      </c>
      <c r="K14141" t="s">
        <v>42308</v>
      </c>
      <c r="L14141" t="s">
        <v>2241</v>
      </c>
      <c r="M14141" t="s">
        <v>45005</v>
      </c>
      <c r="N14141" t="s">
        <v>46569</v>
      </c>
      <c r="O14141" t="s">
        <v>46570</v>
      </c>
      <c r="P14141">
        <v>0</v>
      </c>
      <c r="Q14141">
        <v>2</v>
      </c>
      <c r="R14141" t="s">
        <v>46587</v>
      </c>
      <c r="S14141" t="s">
        <v>47373</v>
      </c>
      <c r="T14141" t="s">
        <v>48221</v>
      </c>
      <c r="U14141" t="s">
        <v>54720</v>
      </c>
      <c r="V14141" t="s">
        <v>62344</v>
      </c>
      <c r="W14141" t="s">
        <v>45005</v>
      </c>
      <c r="X14141" t="s">
        <v>46588</v>
      </c>
    </row>
    <row r="14142" spans="1:24">
      <c r="A14142">
        <f>HYPERLINK("https://www.philgeps.gov.ph/GEPSNONPILOT/Tender/SplashBidNoticeAbstractUI.aspx?menuIndex=3&amp;refID=7034101&amp;Result=3","7034101")</f>
        <v>0</v>
      </c>
      <c r="B14142" t="s">
        <v>3047</v>
      </c>
      <c r="C14142" t="s">
        <v>16978</v>
      </c>
      <c r="E14142" t="s">
        <v>31046</v>
      </c>
      <c r="F14142" t="s">
        <v>32664</v>
      </c>
      <c r="G14142" t="s">
        <v>32672</v>
      </c>
      <c r="H14142" t="s">
        <v>12635</v>
      </c>
      <c r="I14142" t="s">
        <v>32684</v>
      </c>
      <c r="J14142" t="s">
        <v>41220</v>
      </c>
      <c r="K14142" t="s">
        <v>42298</v>
      </c>
      <c r="M14142" t="s">
        <v>45921</v>
      </c>
      <c r="N14142" t="s">
        <v>46569</v>
      </c>
      <c r="O14142" t="s">
        <v>46570</v>
      </c>
      <c r="Q14142">
        <v>14</v>
      </c>
      <c r="R14142" t="s">
        <v>46587</v>
      </c>
      <c r="S14142" t="s">
        <v>47161</v>
      </c>
      <c r="T14142" t="s">
        <v>48246</v>
      </c>
      <c r="U14142" t="s">
        <v>57910</v>
      </c>
      <c r="V14142" t="s">
        <v>63054</v>
      </c>
      <c r="W14142" t="s">
        <v>45921</v>
      </c>
      <c r="X14142" t="s">
        <v>46588</v>
      </c>
    </row>
    <row r="14143" spans="1:24">
      <c r="A14143">
        <f>HYPERLINK("https://www.philgeps.gov.ph/GEPSNONPILOT/Tender/SplashBidNoticeAbstractUI.aspx?menuIndex=3&amp;refID=7033824&amp;Result=3","7033824")</f>
        <v>0</v>
      </c>
      <c r="B14143" t="s">
        <v>492</v>
      </c>
      <c r="C14143" t="s">
        <v>16979</v>
      </c>
      <c r="D14143" t="s">
        <v>18809</v>
      </c>
      <c r="E14143" t="s">
        <v>31047</v>
      </c>
      <c r="F14143" t="s">
        <v>32664</v>
      </c>
      <c r="G14143" t="s">
        <v>32672</v>
      </c>
      <c r="H14143" t="s">
        <v>32683</v>
      </c>
      <c r="I14143" t="s">
        <v>10627</v>
      </c>
      <c r="J14143" t="s">
        <v>34635</v>
      </c>
      <c r="K14143" t="s">
        <v>42296</v>
      </c>
      <c r="M14143" t="s">
        <v>43068</v>
      </c>
      <c r="N14143" t="s">
        <v>46569</v>
      </c>
      <c r="O14143" t="s">
        <v>46570</v>
      </c>
      <c r="P14143">
        <v>0</v>
      </c>
      <c r="Q14143">
        <v>2</v>
      </c>
      <c r="R14143" t="s">
        <v>46587</v>
      </c>
      <c r="S14143" t="s">
        <v>47373</v>
      </c>
      <c r="T14143" t="s">
        <v>48221</v>
      </c>
      <c r="U14143" t="s">
        <v>59364</v>
      </c>
      <c r="W14143" t="s">
        <v>43068</v>
      </c>
      <c r="X14143" t="s">
        <v>46588</v>
      </c>
    </row>
    <row r="14144" spans="1:24">
      <c r="A14144">
        <f>HYPERLINK("https://www.philgeps.gov.ph/GEPSNONPILOT/Tender/SplashBidNoticeAbstractUI.aspx?menuIndex=3&amp;refID=7033361&amp;Result=3","7033361")</f>
        <v>0</v>
      </c>
      <c r="B14144" t="s">
        <v>121</v>
      </c>
      <c r="C14144" t="s">
        <v>16980</v>
      </c>
      <c r="D14144" t="s">
        <v>18828</v>
      </c>
      <c r="E14144" t="s">
        <v>31048</v>
      </c>
      <c r="F14144" t="s">
        <v>32664</v>
      </c>
      <c r="G14144" t="s">
        <v>32672</v>
      </c>
      <c r="H14144" t="s">
        <v>32683</v>
      </c>
      <c r="I14144" t="s">
        <v>10627</v>
      </c>
      <c r="J14144" t="s">
        <v>41221</v>
      </c>
      <c r="K14144" t="s">
        <v>42383</v>
      </c>
      <c r="M14144" t="s">
        <v>42685</v>
      </c>
      <c r="N14144" t="s">
        <v>46569</v>
      </c>
      <c r="O14144" t="s">
        <v>46570</v>
      </c>
      <c r="P14144">
        <v>0</v>
      </c>
      <c r="Q14144">
        <v>0</v>
      </c>
      <c r="R14144" t="s">
        <v>46587</v>
      </c>
      <c r="S14144" t="s">
        <v>47373</v>
      </c>
      <c r="T14144" t="s">
        <v>48736</v>
      </c>
      <c r="U14144" t="s">
        <v>60129</v>
      </c>
      <c r="W14144" t="s">
        <v>42685</v>
      </c>
      <c r="X14144" t="s">
        <v>46588</v>
      </c>
    </row>
    <row r="14145" spans="1:24">
      <c r="A14145">
        <f>HYPERLINK("https://www.philgeps.gov.ph/GEPSNONPILOT/Tender/SplashBidNoticeAbstractUI.aspx?menuIndex=3&amp;refID=7034110&amp;Result=3","7034110")</f>
        <v>0</v>
      </c>
      <c r="B14145" t="s">
        <v>3159</v>
      </c>
      <c r="C14145" t="s">
        <v>16981</v>
      </c>
      <c r="D14145" t="s">
        <v>18804</v>
      </c>
      <c r="E14145" t="s">
        <v>20957</v>
      </c>
      <c r="F14145" t="s">
        <v>32664</v>
      </c>
      <c r="G14145" t="s">
        <v>32672</v>
      </c>
      <c r="H14145" t="s">
        <v>32683</v>
      </c>
      <c r="I14145" t="s">
        <v>10627</v>
      </c>
      <c r="J14145" t="s">
        <v>33021</v>
      </c>
      <c r="K14145" t="s">
        <v>42423</v>
      </c>
      <c r="M14145" t="s">
        <v>46058</v>
      </c>
      <c r="N14145" t="s">
        <v>46569</v>
      </c>
      <c r="O14145" t="s">
        <v>46570</v>
      </c>
      <c r="P14145">
        <v>0</v>
      </c>
      <c r="Q14145">
        <v>0</v>
      </c>
      <c r="R14145" t="s">
        <v>46587</v>
      </c>
      <c r="S14145" t="s">
        <v>47373</v>
      </c>
      <c r="T14145" t="s">
        <v>48244</v>
      </c>
      <c r="U14145" t="s">
        <v>60130</v>
      </c>
      <c r="W14145" t="s">
        <v>46058</v>
      </c>
      <c r="X14145" t="s">
        <v>46588</v>
      </c>
    </row>
    <row r="14146" spans="1:24">
      <c r="A14146">
        <f>HYPERLINK("https://www.philgeps.gov.ph/GEPSNONPILOT/Tender/SplashBidNoticeAbstractUI.aspx?menuIndex=3&amp;refID=7034063&amp;Result=3","7034063")</f>
        <v>0</v>
      </c>
      <c r="B14146" t="s">
        <v>3047</v>
      </c>
      <c r="C14146" t="s">
        <v>16982</v>
      </c>
      <c r="E14146" t="s">
        <v>31049</v>
      </c>
      <c r="F14146" t="s">
        <v>32664</v>
      </c>
      <c r="G14146" t="s">
        <v>32672</v>
      </c>
      <c r="H14146" t="s">
        <v>12635</v>
      </c>
      <c r="I14146" t="s">
        <v>6628</v>
      </c>
      <c r="J14146" t="s">
        <v>41222</v>
      </c>
      <c r="K14146" t="s">
        <v>42298</v>
      </c>
      <c r="M14146" t="s">
        <v>45921</v>
      </c>
      <c r="N14146" t="s">
        <v>46569</v>
      </c>
      <c r="O14146" t="s">
        <v>46570</v>
      </c>
      <c r="Q14146">
        <v>4</v>
      </c>
      <c r="R14146" t="s">
        <v>46587</v>
      </c>
      <c r="S14146" t="s">
        <v>47111</v>
      </c>
      <c r="T14146" t="s">
        <v>48246</v>
      </c>
      <c r="U14146" t="s">
        <v>57910</v>
      </c>
      <c r="V14146" t="s">
        <v>63054</v>
      </c>
      <c r="W14146" t="s">
        <v>45921</v>
      </c>
      <c r="X14146" t="s">
        <v>46588</v>
      </c>
    </row>
    <row r="14147" spans="1:24">
      <c r="A14147">
        <f>HYPERLINK("https://www.philgeps.gov.ph/GEPSNONPILOT/Tender/SplashBidNoticeAbstractUI.aspx?menuIndex=3&amp;refID=7034081&amp;Result=3","7034081")</f>
        <v>0</v>
      </c>
      <c r="B14147" t="s">
        <v>2242</v>
      </c>
      <c r="C14147" t="s">
        <v>16983</v>
      </c>
      <c r="D14147" t="s">
        <v>18820</v>
      </c>
      <c r="E14147" t="s">
        <v>19044</v>
      </c>
      <c r="F14147" t="s">
        <v>32664</v>
      </c>
      <c r="G14147" t="s">
        <v>32677</v>
      </c>
      <c r="H14147" t="s">
        <v>32683</v>
      </c>
      <c r="I14147" t="s">
        <v>10627</v>
      </c>
      <c r="J14147" t="s">
        <v>32943</v>
      </c>
      <c r="K14147" t="s">
        <v>42285</v>
      </c>
      <c r="M14147" t="s">
        <v>45007</v>
      </c>
      <c r="N14147" t="s">
        <v>46569</v>
      </c>
      <c r="O14147" t="s">
        <v>46570</v>
      </c>
      <c r="P14147">
        <v>0</v>
      </c>
      <c r="Q14147">
        <v>0</v>
      </c>
      <c r="R14147" t="s">
        <v>46587</v>
      </c>
      <c r="S14147" t="s">
        <v>47373</v>
      </c>
      <c r="T14147" t="s">
        <v>48336</v>
      </c>
      <c r="U14147" t="s">
        <v>60131</v>
      </c>
      <c r="V14147" t="s">
        <v>62345</v>
      </c>
      <c r="W14147" t="s">
        <v>45007</v>
      </c>
      <c r="X14147" t="s">
        <v>46588</v>
      </c>
    </row>
    <row r="14148" spans="1:24">
      <c r="A14148">
        <f>HYPERLINK("https://www.philgeps.gov.ph/GEPSNONPILOT/Tender/SplashBidNoticeAbstractUI.aspx?menuIndex=3&amp;refID=7033242&amp;Result=3","7033242")</f>
        <v>0</v>
      </c>
      <c r="B14148" t="s">
        <v>3322</v>
      </c>
      <c r="C14148" t="s">
        <v>16984</v>
      </c>
      <c r="D14148" t="s">
        <v>18856</v>
      </c>
      <c r="E14148" t="s">
        <v>24001</v>
      </c>
      <c r="F14148" t="s">
        <v>32665</v>
      </c>
      <c r="G14148" t="s">
        <v>32672</v>
      </c>
      <c r="H14148" t="s">
        <v>12635</v>
      </c>
      <c r="I14148" t="s">
        <v>32731</v>
      </c>
      <c r="J14148" t="s">
        <v>33009</v>
      </c>
      <c r="K14148" t="s">
        <v>42298</v>
      </c>
      <c r="M14148" t="s">
        <v>46274</v>
      </c>
      <c r="N14148" t="s">
        <v>46569</v>
      </c>
      <c r="O14148" t="s">
        <v>46570</v>
      </c>
      <c r="P14148">
        <v>0</v>
      </c>
      <c r="Q14148">
        <v>6</v>
      </c>
      <c r="R14148" t="s">
        <v>46587</v>
      </c>
      <c r="S14148" t="s">
        <v>47373</v>
      </c>
      <c r="T14148" t="s">
        <v>48304</v>
      </c>
      <c r="U14148" t="s">
        <v>54604</v>
      </c>
      <c r="W14148" t="s">
        <v>46274</v>
      </c>
      <c r="X14148" t="s">
        <v>46588</v>
      </c>
    </row>
    <row r="14149" spans="1:24">
      <c r="A14149">
        <f>HYPERLINK("https://www.philgeps.gov.ph/GEPSNONPILOT/Tender/SplashBidNoticeAbstractUI.aspx?menuIndex=3&amp;refID=7034059&amp;Result=3","7034059")</f>
        <v>0</v>
      </c>
      <c r="B14149" t="s">
        <v>752</v>
      </c>
      <c r="C14149" t="s">
        <v>16985</v>
      </c>
      <c r="D14149" t="s">
        <v>18842</v>
      </c>
      <c r="E14149" t="s">
        <v>31050</v>
      </c>
      <c r="F14149" t="s">
        <v>32664</v>
      </c>
      <c r="G14149" t="s">
        <v>32672</v>
      </c>
      <c r="H14149" t="s">
        <v>32683</v>
      </c>
      <c r="I14149" t="s">
        <v>10627</v>
      </c>
      <c r="J14149" t="s">
        <v>41223</v>
      </c>
      <c r="K14149" t="s">
        <v>42290</v>
      </c>
      <c r="M14149" t="s">
        <v>43342</v>
      </c>
      <c r="N14149" t="s">
        <v>46569</v>
      </c>
      <c r="O14149" t="s">
        <v>46570</v>
      </c>
      <c r="Q14149">
        <v>6</v>
      </c>
      <c r="R14149" t="s">
        <v>46587</v>
      </c>
      <c r="S14149" t="s">
        <v>47418</v>
      </c>
      <c r="T14149" t="s">
        <v>48244</v>
      </c>
      <c r="U14149" t="s">
        <v>60132</v>
      </c>
      <c r="W14149" t="s">
        <v>43342</v>
      </c>
      <c r="X14149" t="s">
        <v>46588</v>
      </c>
    </row>
    <row r="14150" spans="1:24">
      <c r="A14150">
        <f>HYPERLINK("https://www.philgeps.gov.ph/GEPSNONPILOT/Tender/SplashBidNoticeAbstractUI.aspx?menuIndex=3&amp;refID=7034072&amp;Result=3","7034072")</f>
        <v>0</v>
      </c>
      <c r="B14150" t="s">
        <v>2999</v>
      </c>
      <c r="C14150" t="s">
        <v>16986</v>
      </c>
      <c r="D14150" t="s">
        <v>18831</v>
      </c>
      <c r="E14150" t="s">
        <v>31051</v>
      </c>
      <c r="F14150" t="s">
        <v>32664</v>
      </c>
      <c r="G14150" t="s">
        <v>32672</v>
      </c>
      <c r="H14150" t="s">
        <v>32683</v>
      </c>
      <c r="I14150" t="s">
        <v>10627</v>
      </c>
      <c r="J14150" t="s">
        <v>41224</v>
      </c>
      <c r="K14150" t="s">
        <v>42311</v>
      </c>
      <c r="M14150" t="s">
        <v>45860</v>
      </c>
      <c r="N14150" t="s">
        <v>46569</v>
      </c>
      <c r="O14150" t="s">
        <v>46570</v>
      </c>
      <c r="P14150">
        <v>0</v>
      </c>
      <c r="Q14150">
        <v>2</v>
      </c>
      <c r="R14150" t="s">
        <v>46587</v>
      </c>
      <c r="S14150" t="s">
        <v>47373</v>
      </c>
      <c r="T14150" t="s">
        <v>48258</v>
      </c>
      <c r="U14150" t="s">
        <v>57674</v>
      </c>
      <c r="W14150" t="s">
        <v>45860</v>
      </c>
      <c r="X14150" t="s">
        <v>46588</v>
      </c>
    </row>
    <row r="14151" spans="1:24">
      <c r="A14151">
        <f>HYPERLINK("https://www.philgeps.gov.ph/GEPSNONPILOT/Tender/SplashBidNoticeAbstractUI.aspx?menuIndex=3&amp;refID=7034027&amp;Result=3","7034027")</f>
        <v>0</v>
      </c>
      <c r="B14151" t="s">
        <v>3394</v>
      </c>
      <c r="C14151" t="s">
        <v>16987</v>
      </c>
      <c r="D14151" t="s">
        <v>18795</v>
      </c>
      <c r="E14151" t="s">
        <v>31052</v>
      </c>
      <c r="F14151" t="s">
        <v>32664</v>
      </c>
      <c r="G14151" t="s">
        <v>32672</v>
      </c>
      <c r="H14151" t="s">
        <v>12635</v>
      </c>
      <c r="I14151" t="s">
        <v>10627</v>
      </c>
      <c r="J14151" t="s">
        <v>41225</v>
      </c>
      <c r="K14151" t="s">
        <v>42283</v>
      </c>
      <c r="M14151" t="s">
        <v>46361</v>
      </c>
      <c r="N14151" t="s">
        <v>46569</v>
      </c>
      <c r="O14151" t="s">
        <v>46570</v>
      </c>
      <c r="P14151">
        <v>0</v>
      </c>
      <c r="Q14151">
        <v>2</v>
      </c>
      <c r="R14151" t="s">
        <v>46587</v>
      </c>
      <c r="S14151" t="s">
        <v>47373</v>
      </c>
      <c r="T14151" t="s">
        <v>48283</v>
      </c>
      <c r="U14151" t="s">
        <v>60133</v>
      </c>
      <c r="W14151" t="s">
        <v>46361</v>
      </c>
      <c r="X14151" t="s">
        <v>46588</v>
      </c>
    </row>
    <row r="14152" spans="1:24">
      <c r="A14152">
        <f>HYPERLINK("https://www.philgeps.gov.ph/GEPSNONPILOT/Tender/SplashBidNoticeAbstractUI.aspx?menuIndex=3&amp;refID=7034058&amp;Result=3","7034058")</f>
        <v>0</v>
      </c>
      <c r="B14152" t="s">
        <v>1178</v>
      </c>
      <c r="C14152" t="s">
        <v>16988</v>
      </c>
      <c r="D14152" t="s">
        <v>18827</v>
      </c>
      <c r="E14152" t="s">
        <v>31053</v>
      </c>
      <c r="F14152" t="s">
        <v>32664</v>
      </c>
      <c r="G14152" t="s">
        <v>32672</v>
      </c>
      <c r="H14152" t="s">
        <v>32683</v>
      </c>
      <c r="I14152" t="s">
        <v>10627</v>
      </c>
      <c r="J14152" t="s">
        <v>32962</v>
      </c>
      <c r="K14152" t="s">
        <v>42281</v>
      </c>
      <c r="M14152" t="s">
        <v>43813</v>
      </c>
      <c r="N14152" t="s">
        <v>46569</v>
      </c>
      <c r="O14152" t="s">
        <v>46570</v>
      </c>
      <c r="P14152">
        <v>0</v>
      </c>
      <c r="Q14152">
        <v>0</v>
      </c>
      <c r="R14152" t="s">
        <v>46587</v>
      </c>
      <c r="S14152" t="s">
        <v>47373</v>
      </c>
      <c r="T14152" t="s">
        <v>48283</v>
      </c>
      <c r="U14152" t="s">
        <v>60134</v>
      </c>
      <c r="V14152" t="s">
        <v>61920</v>
      </c>
      <c r="W14152" t="s">
        <v>43813</v>
      </c>
      <c r="X14152" t="s">
        <v>46588</v>
      </c>
    </row>
    <row r="14153" spans="1:24">
      <c r="A14153">
        <f>HYPERLINK("https://www.philgeps.gov.ph/GEPSNONPILOT/Tender/SplashBidNoticeAbstractUI.aspx?menuIndex=3&amp;refID=7034062&amp;Result=3","7034062")</f>
        <v>0</v>
      </c>
      <c r="B14153" t="s">
        <v>3394</v>
      </c>
      <c r="C14153" t="s">
        <v>16989</v>
      </c>
      <c r="D14153" t="s">
        <v>18795</v>
      </c>
      <c r="E14153" t="s">
        <v>31054</v>
      </c>
      <c r="F14153" t="s">
        <v>32664</v>
      </c>
      <c r="G14153" t="s">
        <v>32672</v>
      </c>
      <c r="H14153" t="s">
        <v>12635</v>
      </c>
      <c r="I14153" t="s">
        <v>11464</v>
      </c>
      <c r="J14153" t="s">
        <v>32930</v>
      </c>
      <c r="K14153" t="s">
        <v>42283</v>
      </c>
      <c r="M14153" t="s">
        <v>46361</v>
      </c>
      <c r="N14153" t="s">
        <v>46569</v>
      </c>
      <c r="O14153" t="s">
        <v>46570</v>
      </c>
      <c r="Q14153">
        <v>4</v>
      </c>
      <c r="R14153" t="s">
        <v>46587</v>
      </c>
      <c r="S14153" t="s">
        <v>47419</v>
      </c>
      <c r="T14153" t="s">
        <v>48283</v>
      </c>
      <c r="U14153" t="s">
        <v>60135</v>
      </c>
      <c r="W14153" t="s">
        <v>46361</v>
      </c>
      <c r="X14153" t="s">
        <v>46588</v>
      </c>
    </row>
    <row r="14154" spans="1:24">
      <c r="A14154">
        <f>HYPERLINK("https://www.philgeps.gov.ph/GEPSNONPILOT/Tender/SplashBidNoticeAbstractUI.aspx?menuIndex=3&amp;refID=7034019&amp;Result=3","7034019")</f>
        <v>0</v>
      </c>
      <c r="B14154" t="s">
        <v>166</v>
      </c>
      <c r="C14154" t="s">
        <v>16990</v>
      </c>
      <c r="D14154" t="s">
        <v>18792</v>
      </c>
      <c r="E14154" t="s">
        <v>31055</v>
      </c>
      <c r="F14154" t="s">
        <v>32664</v>
      </c>
      <c r="G14154" t="s">
        <v>32672</v>
      </c>
      <c r="H14154" t="s">
        <v>12635</v>
      </c>
      <c r="I14154" t="s">
        <v>4439</v>
      </c>
      <c r="J14154" t="s">
        <v>41226</v>
      </c>
      <c r="K14154" t="s">
        <v>42283</v>
      </c>
      <c r="M14154" t="s">
        <v>42730</v>
      </c>
      <c r="N14154" t="s">
        <v>46569</v>
      </c>
      <c r="O14154" t="s">
        <v>46570</v>
      </c>
      <c r="P14154">
        <v>0</v>
      </c>
      <c r="Q14154">
        <v>0</v>
      </c>
      <c r="R14154" t="s">
        <v>46587</v>
      </c>
      <c r="S14154" t="s">
        <v>47373</v>
      </c>
      <c r="T14154" t="s">
        <v>48221</v>
      </c>
      <c r="U14154" t="s">
        <v>60136</v>
      </c>
      <c r="W14154" t="s">
        <v>42730</v>
      </c>
      <c r="X14154" t="s">
        <v>46588</v>
      </c>
    </row>
    <row r="14155" spans="1:24">
      <c r="A14155">
        <f>HYPERLINK("https://www.philgeps.gov.ph/GEPSNONPILOT/Tender/SplashBidNoticeAbstractUI.aspx?menuIndex=3&amp;refID=7034076&amp;Result=3","7034076")</f>
        <v>0</v>
      </c>
      <c r="B14155" t="s">
        <v>696</v>
      </c>
      <c r="C14155" t="s">
        <v>16991</v>
      </c>
      <c r="D14155" t="s">
        <v>18839</v>
      </c>
      <c r="E14155" t="s">
        <v>31056</v>
      </c>
      <c r="F14155" t="s">
        <v>32664</v>
      </c>
      <c r="G14155" t="s">
        <v>32672</v>
      </c>
      <c r="H14155" t="s">
        <v>12635</v>
      </c>
      <c r="I14155" t="s">
        <v>11464</v>
      </c>
      <c r="J14155" t="s">
        <v>34518</v>
      </c>
      <c r="K14155" t="s">
        <v>42281</v>
      </c>
      <c r="M14155" t="s">
        <v>43283</v>
      </c>
      <c r="N14155" t="s">
        <v>46569</v>
      </c>
      <c r="O14155" t="s">
        <v>46570</v>
      </c>
      <c r="P14155">
        <v>0</v>
      </c>
      <c r="Q14155">
        <v>5</v>
      </c>
      <c r="R14155" t="s">
        <v>46587</v>
      </c>
      <c r="S14155" t="s">
        <v>47373</v>
      </c>
      <c r="T14155" t="s">
        <v>48256</v>
      </c>
      <c r="U14155" t="s">
        <v>60137</v>
      </c>
      <c r="V14155" t="s">
        <v>62236</v>
      </c>
      <c r="W14155" t="s">
        <v>43283</v>
      </c>
      <c r="X14155" t="s">
        <v>46588</v>
      </c>
    </row>
    <row r="14156" spans="1:24">
      <c r="A14156">
        <f>HYPERLINK("https://www.philgeps.gov.ph/GEPSNONPILOT/Tender/SplashBidNoticeAbstractUI.aspx?menuIndex=3&amp;refID=7033994&amp;Result=3","7033994")</f>
        <v>0</v>
      </c>
      <c r="B14156" t="s">
        <v>1046</v>
      </c>
      <c r="C14156" t="s">
        <v>16992</v>
      </c>
      <c r="D14156" t="s">
        <v>18815</v>
      </c>
      <c r="E14156" t="s">
        <v>31057</v>
      </c>
      <c r="F14156" t="s">
        <v>32664</v>
      </c>
      <c r="G14156" t="s">
        <v>32672</v>
      </c>
      <c r="H14156" t="s">
        <v>32683</v>
      </c>
      <c r="I14156" t="s">
        <v>10627</v>
      </c>
      <c r="J14156" t="s">
        <v>41227</v>
      </c>
      <c r="K14156" t="s">
        <v>42487</v>
      </c>
      <c r="M14156" t="s">
        <v>43661</v>
      </c>
      <c r="N14156" t="s">
        <v>46569</v>
      </c>
      <c r="O14156" t="s">
        <v>46570</v>
      </c>
      <c r="P14156">
        <v>0</v>
      </c>
      <c r="Q14156">
        <v>0</v>
      </c>
      <c r="R14156" t="s">
        <v>46587</v>
      </c>
      <c r="S14156" t="s">
        <v>47373</v>
      </c>
      <c r="T14156" t="s">
        <v>48287</v>
      </c>
      <c r="U14156" t="s">
        <v>60138</v>
      </c>
      <c r="V14156" t="s">
        <v>63019</v>
      </c>
      <c r="W14156" t="s">
        <v>43661</v>
      </c>
      <c r="X14156" t="s">
        <v>46588</v>
      </c>
    </row>
    <row r="14157" spans="1:24">
      <c r="A14157">
        <f>HYPERLINK("https://www.philgeps.gov.ph/GEPSNONPILOT/Tender/SplashBidNoticeAbstractUI.aspx?menuIndex=3&amp;refID=7034039&amp;Result=3","7034039")</f>
        <v>0</v>
      </c>
      <c r="B14157" t="s">
        <v>166</v>
      </c>
      <c r="C14157" t="s">
        <v>16993</v>
      </c>
      <c r="D14157" t="s">
        <v>18792</v>
      </c>
      <c r="E14157" t="s">
        <v>31058</v>
      </c>
      <c r="F14157" t="s">
        <v>32664</v>
      </c>
      <c r="G14157" t="s">
        <v>32672</v>
      </c>
      <c r="H14157" t="s">
        <v>32683</v>
      </c>
      <c r="I14157" t="s">
        <v>32721</v>
      </c>
      <c r="J14157" t="s">
        <v>41228</v>
      </c>
      <c r="K14157" t="s">
        <v>42283</v>
      </c>
      <c r="M14157" t="s">
        <v>42730</v>
      </c>
      <c r="N14157" t="s">
        <v>46569</v>
      </c>
      <c r="O14157" t="s">
        <v>46570</v>
      </c>
      <c r="P14157">
        <v>0</v>
      </c>
      <c r="Q14157">
        <v>0</v>
      </c>
      <c r="R14157" t="s">
        <v>46587</v>
      </c>
      <c r="S14157" t="s">
        <v>47373</v>
      </c>
      <c r="T14157" t="s">
        <v>48221</v>
      </c>
      <c r="U14157" t="s">
        <v>60136</v>
      </c>
      <c r="W14157" t="s">
        <v>42730</v>
      </c>
      <c r="X14157" t="s">
        <v>46588</v>
      </c>
    </row>
    <row r="14158" spans="1:24">
      <c r="A14158">
        <f>HYPERLINK("https://www.philgeps.gov.ph/GEPSNONPILOT/Tender/SplashBidNoticeAbstractUI.aspx?menuIndex=3&amp;refID=7034044&amp;Result=3","7034044")</f>
        <v>0</v>
      </c>
      <c r="B14158" t="s">
        <v>2929</v>
      </c>
      <c r="C14158" t="s">
        <v>16994</v>
      </c>
      <c r="D14158" t="s">
        <v>18813</v>
      </c>
      <c r="E14158" t="s">
        <v>29576</v>
      </c>
      <c r="F14158" t="s">
        <v>32664</v>
      </c>
      <c r="G14158" t="s">
        <v>32672</v>
      </c>
      <c r="H14158" t="s">
        <v>12635</v>
      </c>
      <c r="I14158" t="s">
        <v>32696</v>
      </c>
      <c r="J14158" t="s">
        <v>32962</v>
      </c>
      <c r="K14158" t="s">
        <v>42281</v>
      </c>
      <c r="M14158" t="s">
        <v>45783</v>
      </c>
      <c r="N14158" t="s">
        <v>46569</v>
      </c>
      <c r="O14158" t="s">
        <v>46570</v>
      </c>
      <c r="P14158">
        <v>0</v>
      </c>
      <c r="Q14158">
        <v>6</v>
      </c>
      <c r="R14158" t="s">
        <v>46587</v>
      </c>
      <c r="S14158" t="s">
        <v>47373</v>
      </c>
      <c r="T14158" t="s">
        <v>48244</v>
      </c>
      <c r="U14158" t="s">
        <v>60139</v>
      </c>
      <c r="W14158" t="s">
        <v>45783</v>
      </c>
      <c r="X14158" t="s">
        <v>46588</v>
      </c>
    </row>
    <row r="14159" spans="1:24">
      <c r="A14159">
        <f>HYPERLINK("https://www.philgeps.gov.ph/GEPSNONPILOT/Tender/SplashBidNoticeAbstractUI.aspx?menuIndex=3&amp;refID=7033823&amp;Result=3","7033823")</f>
        <v>0</v>
      </c>
      <c r="B14159" t="s">
        <v>2292</v>
      </c>
      <c r="C14159" t="s">
        <v>16995</v>
      </c>
      <c r="D14159" t="s">
        <v>18789</v>
      </c>
      <c r="E14159" t="s">
        <v>19615</v>
      </c>
      <c r="F14159" t="s">
        <v>32664</v>
      </c>
      <c r="G14159" t="s">
        <v>32672</v>
      </c>
      <c r="H14159" t="s">
        <v>12635</v>
      </c>
      <c r="I14159" t="s">
        <v>4439</v>
      </c>
      <c r="J14159" t="s">
        <v>37643</v>
      </c>
      <c r="K14159" t="s">
        <v>42297</v>
      </c>
      <c r="M14159" t="s">
        <v>45063</v>
      </c>
      <c r="N14159" t="s">
        <v>46569</v>
      </c>
      <c r="O14159" t="s">
        <v>46570</v>
      </c>
      <c r="Q14159">
        <v>0</v>
      </c>
      <c r="R14159" t="s">
        <v>46587</v>
      </c>
      <c r="S14159" t="s">
        <v>47371</v>
      </c>
      <c r="T14159" t="s">
        <v>48228</v>
      </c>
      <c r="U14159" t="s">
        <v>60140</v>
      </c>
      <c r="V14159" t="s">
        <v>63187</v>
      </c>
      <c r="W14159" t="s">
        <v>45063</v>
      </c>
      <c r="X14159" t="s">
        <v>46588</v>
      </c>
    </row>
    <row r="14160" spans="1:24">
      <c r="A14160">
        <f>HYPERLINK("https://www.philgeps.gov.ph/GEPSNONPILOT/Tender/SplashBidNoticeAbstractUI.aspx?menuIndex=3&amp;refID=7034094&amp;Result=3","7034094")</f>
        <v>0</v>
      </c>
      <c r="B14160" t="s">
        <v>492</v>
      </c>
      <c r="C14160" t="s">
        <v>16996</v>
      </c>
      <c r="D14160" t="s">
        <v>18809</v>
      </c>
      <c r="E14160" t="s">
        <v>31059</v>
      </c>
      <c r="F14160" t="s">
        <v>32664</v>
      </c>
      <c r="G14160" t="s">
        <v>32672</v>
      </c>
      <c r="H14160" t="s">
        <v>32683</v>
      </c>
      <c r="I14160" t="s">
        <v>10627</v>
      </c>
      <c r="J14160" t="s">
        <v>34379</v>
      </c>
      <c r="K14160" t="s">
        <v>42311</v>
      </c>
      <c r="M14160" t="s">
        <v>43068</v>
      </c>
      <c r="N14160" t="s">
        <v>46569</v>
      </c>
      <c r="O14160" t="s">
        <v>46570</v>
      </c>
      <c r="P14160">
        <v>0</v>
      </c>
      <c r="Q14160">
        <v>1</v>
      </c>
      <c r="R14160" t="s">
        <v>46587</v>
      </c>
      <c r="S14160" t="s">
        <v>47373</v>
      </c>
      <c r="T14160" t="s">
        <v>48221</v>
      </c>
      <c r="U14160" t="s">
        <v>59364</v>
      </c>
      <c r="W14160" t="s">
        <v>43068</v>
      </c>
      <c r="X14160" t="s">
        <v>46588</v>
      </c>
    </row>
    <row r="14161" spans="1:24">
      <c r="A14161">
        <f>HYPERLINK("https://www.philgeps.gov.ph/GEPSNONPILOT/Tender/SplashBidNoticeAbstractUI.aspx?menuIndex=3&amp;refID=7034356&amp;Result=3","7034356")</f>
        <v>0</v>
      </c>
      <c r="B14161" t="s">
        <v>909</v>
      </c>
      <c r="C14161" t="s">
        <v>16997</v>
      </c>
      <c r="D14161" t="s">
        <v>18838</v>
      </c>
      <c r="E14161" t="s">
        <v>31060</v>
      </c>
      <c r="F14161" t="s">
        <v>32664</v>
      </c>
      <c r="G14161" t="s">
        <v>32672</v>
      </c>
      <c r="H14161" t="s">
        <v>12635</v>
      </c>
      <c r="I14161" t="s">
        <v>32789</v>
      </c>
      <c r="J14161" t="s">
        <v>41229</v>
      </c>
      <c r="K14161" t="s">
        <v>42289</v>
      </c>
      <c r="M14161" t="s">
        <v>43515</v>
      </c>
      <c r="N14161" t="s">
        <v>46569</v>
      </c>
      <c r="O14161" t="s">
        <v>46570</v>
      </c>
      <c r="P14161">
        <v>0</v>
      </c>
      <c r="Q14161">
        <v>3</v>
      </c>
      <c r="R14161" t="s">
        <v>46587</v>
      </c>
      <c r="S14161" t="s">
        <v>47373</v>
      </c>
      <c r="T14161" t="s">
        <v>48221</v>
      </c>
      <c r="U14161" t="s">
        <v>60141</v>
      </c>
      <c r="W14161" t="s">
        <v>63495</v>
      </c>
      <c r="X14161" t="s">
        <v>46588</v>
      </c>
    </row>
    <row r="14162" spans="1:24">
      <c r="A14162">
        <f>HYPERLINK("https://www.philgeps.gov.ph/GEPSNONPILOT/Tender/SplashBidNoticeAbstractUI.aspx?menuIndex=3&amp;refID=7034000&amp;Result=3","7034000")</f>
        <v>0</v>
      </c>
      <c r="B14162" t="s">
        <v>696</v>
      </c>
      <c r="C14162" t="s">
        <v>16998</v>
      </c>
      <c r="D14162" t="s">
        <v>18839</v>
      </c>
      <c r="E14162" t="s">
        <v>31061</v>
      </c>
      <c r="F14162" t="s">
        <v>32664</v>
      </c>
      <c r="G14162" t="s">
        <v>32672</v>
      </c>
      <c r="H14162" t="s">
        <v>12635</v>
      </c>
      <c r="I14162" t="s">
        <v>11464</v>
      </c>
      <c r="J14162" t="s">
        <v>34424</v>
      </c>
      <c r="K14162" t="s">
        <v>42305</v>
      </c>
      <c r="M14162" t="s">
        <v>43283</v>
      </c>
      <c r="N14162" t="s">
        <v>46569</v>
      </c>
      <c r="O14162" t="s">
        <v>46570</v>
      </c>
      <c r="Q14162">
        <v>7</v>
      </c>
      <c r="R14162" t="s">
        <v>46587</v>
      </c>
      <c r="S14162" t="s">
        <v>47420</v>
      </c>
      <c r="T14162" t="s">
        <v>48256</v>
      </c>
      <c r="U14162" t="s">
        <v>60142</v>
      </c>
      <c r="V14162" t="s">
        <v>62236</v>
      </c>
      <c r="W14162" t="s">
        <v>43283</v>
      </c>
      <c r="X14162" t="s">
        <v>46588</v>
      </c>
    </row>
    <row r="14163" spans="1:24">
      <c r="A14163">
        <f>HYPERLINK("https://www.philgeps.gov.ph/GEPSNONPILOT/Tender/SplashBidNoticeAbstractUI.aspx?menuIndex=3&amp;refID=7034013&amp;Result=3","7034013")</f>
        <v>0</v>
      </c>
      <c r="B14163" t="s">
        <v>230</v>
      </c>
      <c r="C14163" t="s">
        <v>16999</v>
      </c>
      <c r="D14163" t="s">
        <v>18827</v>
      </c>
      <c r="E14163" t="s">
        <v>21424</v>
      </c>
      <c r="F14163" t="s">
        <v>32664</v>
      </c>
      <c r="G14163" t="s">
        <v>32672</v>
      </c>
      <c r="H14163" t="s">
        <v>32683</v>
      </c>
      <c r="I14163" t="s">
        <v>10627</v>
      </c>
      <c r="J14163" t="s">
        <v>41230</v>
      </c>
      <c r="K14163" t="s">
        <v>42283</v>
      </c>
      <c r="M14163" t="s">
        <v>42794</v>
      </c>
      <c r="N14163" t="s">
        <v>46569</v>
      </c>
      <c r="O14163" t="s">
        <v>46570</v>
      </c>
      <c r="P14163">
        <v>0</v>
      </c>
      <c r="Q14163">
        <v>0</v>
      </c>
      <c r="R14163" t="s">
        <v>46587</v>
      </c>
      <c r="S14163" t="s">
        <v>47373</v>
      </c>
      <c r="T14163" t="s">
        <v>48221</v>
      </c>
      <c r="U14163" t="s">
        <v>60143</v>
      </c>
      <c r="W14163" t="s">
        <v>42794</v>
      </c>
      <c r="X14163" t="s">
        <v>46588</v>
      </c>
    </row>
    <row r="14164" spans="1:24">
      <c r="A14164">
        <f>HYPERLINK("https://www.philgeps.gov.ph/GEPSNONPILOT/Tender/SplashBidNoticeAbstractUI.aspx?menuIndex=3&amp;refID=7034347&amp;Result=3","7034347")</f>
        <v>0</v>
      </c>
      <c r="B14164" t="s">
        <v>1811</v>
      </c>
      <c r="C14164" t="s">
        <v>17000</v>
      </c>
      <c r="D14164" t="s">
        <v>18805</v>
      </c>
      <c r="E14164" t="s">
        <v>31062</v>
      </c>
      <c r="F14164" t="s">
        <v>32664</v>
      </c>
      <c r="G14164" t="s">
        <v>32672</v>
      </c>
      <c r="H14164" t="s">
        <v>12635</v>
      </c>
      <c r="I14164" t="s">
        <v>9486</v>
      </c>
      <c r="J14164" t="s">
        <v>41231</v>
      </c>
      <c r="K14164" t="s">
        <v>42283</v>
      </c>
      <c r="M14164" t="s">
        <v>44517</v>
      </c>
      <c r="N14164" t="s">
        <v>46569</v>
      </c>
      <c r="O14164" t="s">
        <v>46570</v>
      </c>
      <c r="Q14164">
        <v>3</v>
      </c>
      <c r="R14164" t="s">
        <v>46587</v>
      </c>
      <c r="S14164" t="s">
        <v>47421</v>
      </c>
      <c r="T14164" t="s">
        <v>48411</v>
      </c>
      <c r="U14164" t="s">
        <v>60144</v>
      </c>
      <c r="V14164" t="s">
        <v>62197</v>
      </c>
      <c r="W14164" t="s">
        <v>44517</v>
      </c>
      <c r="X14164" t="s">
        <v>46588</v>
      </c>
    </row>
    <row r="14165" spans="1:24">
      <c r="A14165">
        <f>HYPERLINK("https://www.philgeps.gov.ph/GEPSNONPILOT/Tender/SplashBidNoticeAbstractUI.aspx?menuIndex=3&amp;refID=7033987&amp;Result=3","7033987")</f>
        <v>0</v>
      </c>
      <c r="B14165" t="s">
        <v>3047</v>
      </c>
      <c r="C14165" t="s">
        <v>17001</v>
      </c>
      <c r="D14165" t="s">
        <v>18786</v>
      </c>
      <c r="E14165" t="s">
        <v>31063</v>
      </c>
      <c r="F14165" t="s">
        <v>32664</v>
      </c>
      <c r="G14165" t="s">
        <v>32672</v>
      </c>
      <c r="H14165" t="s">
        <v>32682</v>
      </c>
      <c r="I14165" t="s">
        <v>32684</v>
      </c>
      <c r="J14165" t="s">
        <v>41232</v>
      </c>
      <c r="K14165" t="s">
        <v>42311</v>
      </c>
      <c r="M14165" t="s">
        <v>45921</v>
      </c>
      <c r="N14165" t="s">
        <v>46569</v>
      </c>
      <c r="O14165" t="s">
        <v>46570</v>
      </c>
      <c r="Q14165">
        <v>11</v>
      </c>
      <c r="R14165" t="s">
        <v>46587</v>
      </c>
      <c r="S14165" t="s">
        <v>47422</v>
      </c>
      <c r="T14165" t="s">
        <v>48246</v>
      </c>
      <c r="U14165" t="s">
        <v>57910</v>
      </c>
      <c r="V14165" t="s">
        <v>63191</v>
      </c>
      <c r="W14165" t="s">
        <v>45921</v>
      </c>
      <c r="X14165" t="s">
        <v>46588</v>
      </c>
    </row>
    <row r="14166" spans="1:24">
      <c r="A14166">
        <f>HYPERLINK("https://www.philgeps.gov.ph/GEPSNONPILOT/Tender/SplashBidNoticeAbstractUI.aspx?menuIndex=3&amp;refID=7034265&amp;Result=3","7034265")</f>
        <v>0</v>
      </c>
      <c r="B14166" t="s">
        <v>1699</v>
      </c>
      <c r="C14166" t="s">
        <v>17002</v>
      </c>
      <c r="D14166" t="s">
        <v>18845</v>
      </c>
      <c r="E14166" t="s">
        <v>31064</v>
      </c>
      <c r="F14166" t="s">
        <v>32664</v>
      </c>
      <c r="G14166" t="s">
        <v>32673</v>
      </c>
      <c r="H14166" t="s">
        <v>32681</v>
      </c>
      <c r="I14166" t="s">
        <v>32681</v>
      </c>
      <c r="J14166" t="s">
        <v>41233</v>
      </c>
      <c r="K14166" t="s">
        <v>42283</v>
      </c>
      <c r="L14166" t="s">
        <v>1699</v>
      </c>
      <c r="M14166" t="s">
        <v>44393</v>
      </c>
      <c r="N14166" t="s">
        <v>46569</v>
      </c>
      <c r="O14166" t="s">
        <v>46570</v>
      </c>
      <c r="Q14166">
        <v>6</v>
      </c>
      <c r="R14166" t="s">
        <v>46587</v>
      </c>
      <c r="S14166" t="s">
        <v>47423</v>
      </c>
      <c r="T14166" t="s">
        <v>48236</v>
      </c>
      <c r="U14166" t="s">
        <v>60145</v>
      </c>
      <c r="W14166" t="s">
        <v>44393</v>
      </c>
      <c r="X14166" t="s">
        <v>46588</v>
      </c>
    </row>
    <row r="14167" spans="1:24">
      <c r="A14167">
        <f>HYPERLINK("https://www.philgeps.gov.ph/GEPSNONPILOT/Tender/SplashBidNoticeAbstractUI.aspx?menuIndex=3&amp;refID=7034261&amp;Result=3","7034261")</f>
        <v>0</v>
      </c>
      <c r="B14167" t="s">
        <v>2206</v>
      </c>
      <c r="C14167" t="s">
        <v>17003</v>
      </c>
      <c r="D14167" t="s">
        <v>18845</v>
      </c>
      <c r="E14167" t="s">
        <v>31065</v>
      </c>
      <c r="F14167" t="s">
        <v>32664</v>
      </c>
      <c r="G14167" t="s">
        <v>32672</v>
      </c>
      <c r="H14167" t="s">
        <v>32683</v>
      </c>
      <c r="I14167" t="s">
        <v>4439</v>
      </c>
      <c r="J14167" t="s">
        <v>41234</v>
      </c>
      <c r="K14167" t="s">
        <v>42298</v>
      </c>
      <c r="M14167" t="s">
        <v>44970</v>
      </c>
      <c r="N14167" t="s">
        <v>46569</v>
      </c>
      <c r="O14167" t="s">
        <v>46570</v>
      </c>
      <c r="Q14167">
        <v>0</v>
      </c>
      <c r="R14167" t="s">
        <v>46587</v>
      </c>
      <c r="S14167" t="s">
        <v>47424</v>
      </c>
      <c r="T14167" t="s">
        <v>48323</v>
      </c>
      <c r="U14167" t="s">
        <v>60146</v>
      </c>
      <c r="W14167" t="s">
        <v>44970</v>
      </c>
      <c r="X14167" t="s">
        <v>46588</v>
      </c>
    </row>
    <row r="14168" spans="1:24">
      <c r="A14168">
        <f>HYPERLINK("https://www.philgeps.gov.ph/GEPSNONPILOT/Tender/SplashBidNoticeAbstractUI.aspx?menuIndex=3&amp;refID=7034234&amp;Result=3","7034234")</f>
        <v>0</v>
      </c>
      <c r="B14168" t="s">
        <v>307</v>
      </c>
      <c r="C14168" t="s">
        <v>17004</v>
      </c>
      <c r="D14168" t="s">
        <v>18789</v>
      </c>
      <c r="E14168" t="s">
        <v>31066</v>
      </c>
      <c r="F14168" t="s">
        <v>32664</v>
      </c>
      <c r="G14168" t="s">
        <v>32672</v>
      </c>
      <c r="H14168" t="s">
        <v>12635</v>
      </c>
      <c r="I14168" t="s">
        <v>32698</v>
      </c>
      <c r="J14168" t="s">
        <v>32930</v>
      </c>
      <c r="K14168" t="s">
        <v>42289</v>
      </c>
      <c r="M14168" t="s">
        <v>42874</v>
      </c>
      <c r="N14168" t="s">
        <v>46569</v>
      </c>
      <c r="O14168" t="s">
        <v>46570</v>
      </c>
      <c r="Q14168">
        <v>2</v>
      </c>
      <c r="R14168" t="s">
        <v>46587</v>
      </c>
      <c r="S14168" t="s">
        <v>47425</v>
      </c>
      <c r="T14168" t="s">
        <v>48225</v>
      </c>
      <c r="U14168" t="s">
        <v>60147</v>
      </c>
      <c r="V14168" t="s">
        <v>63192</v>
      </c>
      <c r="W14168" t="s">
        <v>42874</v>
      </c>
      <c r="X14168" t="s">
        <v>46588</v>
      </c>
    </row>
    <row r="14169" spans="1:24">
      <c r="A14169">
        <f>HYPERLINK("https://www.philgeps.gov.ph/GEPSNONPILOT/Tender/SplashBidNoticeAbstractUI.aspx?menuIndex=3&amp;refID=7034194&amp;Result=3","7034194")</f>
        <v>0</v>
      </c>
      <c r="B14169" t="s">
        <v>3047</v>
      </c>
      <c r="C14169" t="s">
        <v>17005</v>
      </c>
      <c r="D14169" t="s">
        <v>18786</v>
      </c>
      <c r="E14169" t="s">
        <v>31067</v>
      </c>
      <c r="F14169" t="s">
        <v>32664</v>
      </c>
      <c r="G14169" t="s">
        <v>32672</v>
      </c>
      <c r="H14169" t="s">
        <v>12635</v>
      </c>
      <c r="I14169" t="s">
        <v>5589</v>
      </c>
      <c r="J14169" t="s">
        <v>32981</v>
      </c>
      <c r="K14169" t="s">
        <v>42281</v>
      </c>
      <c r="M14169" t="s">
        <v>45921</v>
      </c>
      <c r="N14169" t="s">
        <v>46569</v>
      </c>
      <c r="O14169" t="s">
        <v>46570</v>
      </c>
      <c r="Q14169">
        <v>7</v>
      </c>
      <c r="R14169" t="s">
        <v>46587</v>
      </c>
      <c r="S14169" t="s">
        <v>47426</v>
      </c>
      <c r="T14169" t="s">
        <v>48246</v>
      </c>
      <c r="U14169" t="s">
        <v>60148</v>
      </c>
      <c r="V14169" t="s">
        <v>63191</v>
      </c>
      <c r="W14169" t="s">
        <v>45921</v>
      </c>
      <c r="X14169" t="s">
        <v>46588</v>
      </c>
    </row>
    <row r="14170" spans="1:24">
      <c r="A14170">
        <f>HYPERLINK("https://www.philgeps.gov.ph/GEPSNONPILOT/Tender/SplashBidNoticeAbstractUI.aspx?menuIndex=3&amp;refID=7034193&amp;Result=3","7034193")</f>
        <v>0</v>
      </c>
      <c r="B14170" t="s">
        <v>2889</v>
      </c>
      <c r="C14170" t="s">
        <v>17006</v>
      </c>
      <c r="D14170" t="s">
        <v>18842</v>
      </c>
      <c r="E14170" t="s">
        <v>31068</v>
      </c>
      <c r="F14170" t="s">
        <v>32664</v>
      </c>
      <c r="G14170" t="s">
        <v>32672</v>
      </c>
      <c r="H14170" t="s">
        <v>12635</v>
      </c>
      <c r="I14170" t="s">
        <v>8797</v>
      </c>
      <c r="J14170" t="s">
        <v>41235</v>
      </c>
      <c r="K14170" t="s">
        <v>42283</v>
      </c>
      <c r="M14170" t="s">
        <v>45738</v>
      </c>
      <c r="N14170" t="s">
        <v>46569</v>
      </c>
      <c r="O14170" t="s">
        <v>46570</v>
      </c>
      <c r="P14170">
        <v>0</v>
      </c>
      <c r="Q14170">
        <v>5</v>
      </c>
      <c r="R14170" t="s">
        <v>46587</v>
      </c>
      <c r="S14170" t="s">
        <v>47373</v>
      </c>
      <c r="T14170" t="s">
        <v>48228</v>
      </c>
      <c r="U14170" t="s">
        <v>60149</v>
      </c>
      <c r="V14170" t="s">
        <v>62753</v>
      </c>
      <c r="W14170" t="s">
        <v>45738</v>
      </c>
      <c r="X14170" t="s">
        <v>46588</v>
      </c>
    </row>
    <row r="14171" spans="1:24">
      <c r="A14171">
        <f>HYPERLINK("https://www.philgeps.gov.ph/GEPSNONPILOT/Tender/SplashBidNoticeAbstractUI.aspx?menuIndex=3&amp;refID=7034183&amp;Result=3","7034183")</f>
        <v>0</v>
      </c>
      <c r="B14171" t="s">
        <v>165</v>
      </c>
      <c r="C14171" t="s">
        <v>17007</v>
      </c>
      <c r="D14171" t="s">
        <v>18784</v>
      </c>
      <c r="E14171" t="s">
        <v>31069</v>
      </c>
      <c r="F14171" t="s">
        <v>32664</v>
      </c>
      <c r="G14171" t="s">
        <v>32672</v>
      </c>
      <c r="H14171" t="s">
        <v>12635</v>
      </c>
      <c r="I14171" t="s">
        <v>5501</v>
      </c>
      <c r="J14171" t="s">
        <v>41236</v>
      </c>
      <c r="K14171" t="s">
        <v>42281</v>
      </c>
      <c r="M14171" t="s">
        <v>42729</v>
      </c>
      <c r="N14171" t="s">
        <v>46569</v>
      </c>
      <c r="O14171" t="s">
        <v>46570</v>
      </c>
      <c r="P14171">
        <v>0</v>
      </c>
      <c r="Q14171">
        <v>8</v>
      </c>
      <c r="R14171" t="s">
        <v>46587</v>
      </c>
      <c r="S14171" t="s">
        <v>47373</v>
      </c>
      <c r="T14171" t="s">
        <v>48254</v>
      </c>
      <c r="U14171" t="s">
        <v>60150</v>
      </c>
      <c r="W14171" t="s">
        <v>42729</v>
      </c>
      <c r="X14171" t="s">
        <v>46588</v>
      </c>
    </row>
    <row r="14172" spans="1:24">
      <c r="A14172">
        <f>HYPERLINK("https://www.philgeps.gov.ph/GEPSNONPILOT/Tender/SplashBidNoticeAbstractUI.aspx?menuIndex=3&amp;refID=7034164&amp;Result=3","7034164")</f>
        <v>0</v>
      </c>
      <c r="B14172" t="s">
        <v>3047</v>
      </c>
      <c r="C14172" t="s">
        <v>17008</v>
      </c>
      <c r="D14172" t="s">
        <v>18786</v>
      </c>
      <c r="E14172" t="s">
        <v>31070</v>
      </c>
      <c r="F14172" t="s">
        <v>32664</v>
      </c>
      <c r="G14172" t="s">
        <v>32672</v>
      </c>
      <c r="H14172" t="s">
        <v>12635</v>
      </c>
      <c r="I14172" t="s">
        <v>32704</v>
      </c>
      <c r="J14172" t="s">
        <v>41237</v>
      </c>
      <c r="K14172" t="s">
        <v>42298</v>
      </c>
      <c r="M14172" t="s">
        <v>45921</v>
      </c>
      <c r="N14172" t="s">
        <v>46569</v>
      </c>
      <c r="O14172" t="s">
        <v>46570</v>
      </c>
      <c r="Q14172">
        <v>34</v>
      </c>
      <c r="R14172" t="s">
        <v>46587</v>
      </c>
      <c r="S14172" t="s">
        <v>47427</v>
      </c>
      <c r="T14172" t="s">
        <v>48246</v>
      </c>
      <c r="U14172" t="s">
        <v>57910</v>
      </c>
      <c r="V14172" t="s">
        <v>63054</v>
      </c>
      <c r="W14172" t="s">
        <v>45921</v>
      </c>
      <c r="X14172" t="s">
        <v>46588</v>
      </c>
    </row>
    <row r="14173" spans="1:24">
      <c r="A14173">
        <f>HYPERLINK("https://www.philgeps.gov.ph/GEPSNONPILOT/Tender/SplashBidNoticeAbstractUI.aspx?menuIndex=3&amp;refID=7034312&amp;Result=3","7034312")</f>
        <v>0</v>
      </c>
      <c r="B14173" t="s">
        <v>3395</v>
      </c>
      <c r="C14173" t="s">
        <v>17009</v>
      </c>
      <c r="D14173" t="s">
        <v>18805</v>
      </c>
      <c r="E14173" t="s">
        <v>31071</v>
      </c>
      <c r="F14173" t="s">
        <v>32664</v>
      </c>
      <c r="G14173" t="s">
        <v>32671</v>
      </c>
      <c r="H14173" t="s">
        <v>12635</v>
      </c>
      <c r="I14173" t="s">
        <v>4439</v>
      </c>
      <c r="J14173" t="s">
        <v>41238</v>
      </c>
      <c r="K14173" t="s">
        <v>42297</v>
      </c>
      <c r="M14173" t="s">
        <v>46362</v>
      </c>
      <c r="N14173" t="s">
        <v>46569</v>
      </c>
      <c r="O14173" t="s">
        <v>46570</v>
      </c>
      <c r="P14173">
        <v>0</v>
      </c>
      <c r="Q14173">
        <v>0</v>
      </c>
      <c r="R14173" t="s">
        <v>46587</v>
      </c>
      <c r="S14173" t="s">
        <v>47373</v>
      </c>
      <c r="T14173" t="s">
        <v>48283</v>
      </c>
      <c r="U14173" t="s">
        <v>60151</v>
      </c>
      <c r="W14173" t="s">
        <v>46362</v>
      </c>
      <c r="X14173" t="s">
        <v>46588</v>
      </c>
    </row>
    <row r="14174" spans="1:24">
      <c r="A14174">
        <f>HYPERLINK("https://www.philgeps.gov.ph/GEPSNONPILOT/Tender/SplashBidNoticeAbstractUI.aspx?menuIndex=3&amp;refID=7034476&amp;Result=3","7034476")</f>
        <v>0</v>
      </c>
      <c r="B14174" t="s">
        <v>3396</v>
      </c>
      <c r="C14174" t="s">
        <v>17010</v>
      </c>
      <c r="D14174" t="s">
        <v>18791</v>
      </c>
      <c r="E14174" t="s">
        <v>31072</v>
      </c>
      <c r="F14174" t="s">
        <v>32664</v>
      </c>
      <c r="G14174" t="s">
        <v>32672</v>
      </c>
      <c r="H14174" t="s">
        <v>12635</v>
      </c>
      <c r="I14174" t="s">
        <v>9486</v>
      </c>
      <c r="J14174" t="s">
        <v>41239</v>
      </c>
      <c r="K14174" t="s">
        <v>42284</v>
      </c>
      <c r="M14174" t="s">
        <v>46363</v>
      </c>
      <c r="N14174" t="s">
        <v>46569</v>
      </c>
      <c r="O14174" t="s">
        <v>46570</v>
      </c>
      <c r="Q14174">
        <v>36</v>
      </c>
      <c r="R14174" t="s">
        <v>46587</v>
      </c>
      <c r="S14174" t="s">
        <v>47428</v>
      </c>
      <c r="T14174" t="s">
        <v>48244</v>
      </c>
      <c r="U14174" t="s">
        <v>60152</v>
      </c>
      <c r="W14174" t="s">
        <v>46363</v>
      </c>
      <c r="X14174" t="s">
        <v>46588</v>
      </c>
    </row>
    <row r="14175" spans="1:24">
      <c r="A14175">
        <f>HYPERLINK("https://www.philgeps.gov.ph/GEPSNONPILOT/Tender/SplashBidNoticeAbstractUI.aspx?menuIndex=3&amp;refID=7033986&amp;Result=3","7033986")</f>
        <v>0</v>
      </c>
      <c r="B14175" t="s">
        <v>3076</v>
      </c>
      <c r="C14175" t="s">
        <v>17011</v>
      </c>
      <c r="D14175" t="s">
        <v>18816</v>
      </c>
      <c r="E14175" t="s">
        <v>21608</v>
      </c>
      <c r="F14175" t="s">
        <v>32664</v>
      </c>
      <c r="G14175" t="s">
        <v>32672</v>
      </c>
      <c r="H14175" t="s">
        <v>32683</v>
      </c>
      <c r="I14175" t="s">
        <v>10627</v>
      </c>
      <c r="J14175" t="s">
        <v>33761</v>
      </c>
      <c r="K14175" t="s">
        <v>42308</v>
      </c>
      <c r="M14175" t="s">
        <v>45957</v>
      </c>
      <c r="N14175" t="s">
        <v>46569</v>
      </c>
      <c r="O14175" t="s">
        <v>46570</v>
      </c>
      <c r="P14175">
        <v>0</v>
      </c>
      <c r="Q14175">
        <v>0</v>
      </c>
      <c r="R14175" t="s">
        <v>46587</v>
      </c>
      <c r="S14175" t="s">
        <v>47373</v>
      </c>
      <c r="T14175" t="s">
        <v>48282</v>
      </c>
      <c r="U14175" t="s">
        <v>60153</v>
      </c>
      <c r="V14175" t="s">
        <v>62873</v>
      </c>
      <c r="W14175" t="s">
        <v>45957</v>
      </c>
      <c r="X14175" t="s">
        <v>46588</v>
      </c>
    </row>
    <row r="14176" spans="1:24">
      <c r="A14176">
        <f>HYPERLINK("https://www.philgeps.gov.ph/GEPSNONPILOT/Tender/SplashBidNoticeAbstractUI.aspx?menuIndex=3&amp;refID=7034201&amp;Result=3","7034201")</f>
        <v>0</v>
      </c>
      <c r="B14176" t="s">
        <v>3397</v>
      </c>
      <c r="C14176" t="s">
        <v>17012</v>
      </c>
      <c r="D14176" t="s">
        <v>18797</v>
      </c>
      <c r="E14176" t="s">
        <v>31073</v>
      </c>
      <c r="F14176" t="s">
        <v>32664</v>
      </c>
      <c r="G14176" t="s">
        <v>32672</v>
      </c>
      <c r="H14176" t="s">
        <v>32683</v>
      </c>
      <c r="I14176" t="s">
        <v>10627</v>
      </c>
      <c r="J14176" t="s">
        <v>34147</v>
      </c>
      <c r="K14176" t="s">
        <v>42296</v>
      </c>
      <c r="L14176" t="s">
        <v>3397</v>
      </c>
      <c r="M14176" t="s">
        <v>46364</v>
      </c>
      <c r="N14176" t="s">
        <v>46569</v>
      </c>
      <c r="O14176" t="s">
        <v>46570</v>
      </c>
      <c r="P14176">
        <v>0</v>
      </c>
      <c r="Q14176">
        <v>12</v>
      </c>
      <c r="R14176" t="s">
        <v>46587</v>
      </c>
      <c r="S14176" t="s">
        <v>47373</v>
      </c>
      <c r="T14176" t="s">
        <v>48225</v>
      </c>
      <c r="U14176" t="s">
        <v>60154</v>
      </c>
      <c r="W14176" t="s">
        <v>46364</v>
      </c>
      <c r="X14176" t="s">
        <v>46588</v>
      </c>
    </row>
    <row r="14177" spans="1:24">
      <c r="A14177">
        <f>HYPERLINK("https://www.philgeps.gov.ph/GEPSNONPILOT/Tender/SplashBidNoticeAbstractUI.aspx?menuIndex=3&amp;refID=7034455&amp;Result=3","7034455")</f>
        <v>0</v>
      </c>
      <c r="B14177" t="s">
        <v>3397</v>
      </c>
      <c r="C14177" t="s">
        <v>17013</v>
      </c>
      <c r="D14177" t="s">
        <v>18797</v>
      </c>
      <c r="E14177" t="s">
        <v>31074</v>
      </c>
      <c r="F14177" t="s">
        <v>32664</v>
      </c>
      <c r="G14177" t="s">
        <v>32672</v>
      </c>
      <c r="H14177" t="s">
        <v>32683</v>
      </c>
      <c r="I14177" t="s">
        <v>10627</v>
      </c>
      <c r="J14177" t="s">
        <v>39641</v>
      </c>
      <c r="K14177" t="s">
        <v>42290</v>
      </c>
      <c r="L14177" t="s">
        <v>3397</v>
      </c>
      <c r="M14177" t="s">
        <v>46364</v>
      </c>
      <c r="N14177" t="s">
        <v>46569</v>
      </c>
      <c r="O14177" t="s">
        <v>46570</v>
      </c>
      <c r="P14177">
        <v>0</v>
      </c>
      <c r="Q14177">
        <v>17</v>
      </c>
      <c r="R14177" t="s">
        <v>46587</v>
      </c>
      <c r="S14177" t="s">
        <v>47373</v>
      </c>
      <c r="T14177" t="s">
        <v>48248</v>
      </c>
      <c r="U14177" t="s">
        <v>60155</v>
      </c>
      <c r="W14177" t="s">
        <v>46364</v>
      </c>
      <c r="X14177" t="s">
        <v>46588</v>
      </c>
    </row>
    <row r="14178" spans="1:24">
      <c r="A14178">
        <f>HYPERLINK("https://www.philgeps.gov.ph/GEPSNONPILOT/Tender/SplashBidNoticeAbstractUI.aspx?menuIndex=3&amp;refID=7034033&amp;Result=3","7034033")</f>
        <v>0</v>
      </c>
      <c r="B14178" t="s">
        <v>3047</v>
      </c>
      <c r="C14178" t="s">
        <v>17014</v>
      </c>
      <c r="D14178" t="s">
        <v>18786</v>
      </c>
      <c r="E14178" t="s">
        <v>31075</v>
      </c>
      <c r="F14178" t="s">
        <v>32664</v>
      </c>
      <c r="G14178" t="s">
        <v>32672</v>
      </c>
      <c r="H14178" t="s">
        <v>12635</v>
      </c>
      <c r="I14178" t="s">
        <v>32704</v>
      </c>
      <c r="J14178" t="s">
        <v>33150</v>
      </c>
      <c r="K14178" t="s">
        <v>42298</v>
      </c>
      <c r="M14178" t="s">
        <v>45921</v>
      </c>
      <c r="N14178" t="s">
        <v>46569</v>
      </c>
      <c r="O14178" t="s">
        <v>46570</v>
      </c>
      <c r="P14178">
        <v>0</v>
      </c>
      <c r="Q14178">
        <v>33</v>
      </c>
      <c r="R14178" t="s">
        <v>46587</v>
      </c>
      <c r="S14178" t="s">
        <v>47373</v>
      </c>
      <c r="T14178" t="s">
        <v>48246</v>
      </c>
      <c r="U14178" t="s">
        <v>57910</v>
      </c>
      <c r="V14178" t="s">
        <v>63191</v>
      </c>
      <c r="W14178" t="s">
        <v>45921</v>
      </c>
      <c r="X14178" t="s">
        <v>46588</v>
      </c>
    </row>
    <row r="14179" spans="1:24">
      <c r="A14179">
        <f>HYPERLINK("https://www.philgeps.gov.ph/GEPSNONPILOT/Tender/SplashBidNoticeAbstractUI.aspx?menuIndex=3&amp;refID=7034451&amp;Result=3","7034451")</f>
        <v>0</v>
      </c>
      <c r="B14179" t="s">
        <v>83</v>
      </c>
      <c r="C14179" t="s">
        <v>17015</v>
      </c>
      <c r="D14179" t="s">
        <v>18784</v>
      </c>
      <c r="E14179" t="s">
        <v>31076</v>
      </c>
      <c r="F14179" t="s">
        <v>32664</v>
      </c>
      <c r="G14179" t="s">
        <v>32672</v>
      </c>
      <c r="H14179" t="s">
        <v>12635</v>
      </c>
      <c r="I14179" t="s">
        <v>6223</v>
      </c>
      <c r="J14179" t="s">
        <v>41240</v>
      </c>
      <c r="K14179" t="s">
        <v>42283</v>
      </c>
      <c r="M14179" t="s">
        <v>46365</v>
      </c>
      <c r="N14179" t="s">
        <v>46569</v>
      </c>
      <c r="O14179" t="s">
        <v>46570</v>
      </c>
      <c r="P14179">
        <v>0</v>
      </c>
      <c r="Q14179">
        <v>6</v>
      </c>
      <c r="R14179" t="s">
        <v>46587</v>
      </c>
      <c r="S14179" t="s">
        <v>47373</v>
      </c>
      <c r="T14179" t="s">
        <v>48244</v>
      </c>
      <c r="U14179" t="s">
        <v>60156</v>
      </c>
      <c r="W14179" t="s">
        <v>46365</v>
      </c>
      <c r="X14179" t="s">
        <v>46588</v>
      </c>
    </row>
    <row r="14180" spans="1:24">
      <c r="A14180">
        <f>HYPERLINK("https://www.philgeps.gov.ph/GEPSNONPILOT/Tender/SplashBidNoticeAbstractUI.aspx?menuIndex=3&amp;refID=7034452&amp;Result=3","7034452")</f>
        <v>0</v>
      </c>
      <c r="B14180" t="s">
        <v>1237</v>
      </c>
      <c r="C14180" t="s">
        <v>17016</v>
      </c>
      <c r="D14180" t="s">
        <v>18831</v>
      </c>
      <c r="E14180" t="s">
        <v>31077</v>
      </c>
      <c r="F14180" t="s">
        <v>32664</v>
      </c>
      <c r="G14180" t="s">
        <v>32672</v>
      </c>
      <c r="H14180" t="s">
        <v>32683</v>
      </c>
      <c r="I14180" t="s">
        <v>10627</v>
      </c>
      <c r="J14180" t="s">
        <v>41241</v>
      </c>
      <c r="K14180" t="s">
        <v>42308</v>
      </c>
      <c r="M14180" t="s">
        <v>43878</v>
      </c>
      <c r="N14180" t="s">
        <v>46569</v>
      </c>
      <c r="O14180" t="s">
        <v>46570</v>
      </c>
      <c r="P14180">
        <v>0</v>
      </c>
      <c r="Q14180">
        <v>5</v>
      </c>
      <c r="R14180" t="s">
        <v>46587</v>
      </c>
      <c r="S14180" t="s">
        <v>47373</v>
      </c>
      <c r="T14180" t="s">
        <v>48246</v>
      </c>
      <c r="U14180" t="s">
        <v>60157</v>
      </c>
      <c r="V14180" t="s">
        <v>63193</v>
      </c>
      <c r="W14180" t="s">
        <v>43878</v>
      </c>
      <c r="X14180" t="s">
        <v>46588</v>
      </c>
    </row>
    <row r="14181" spans="1:24">
      <c r="A14181">
        <f>HYPERLINK("https://www.philgeps.gov.ph/GEPSNONPILOT/Tender/SplashBidNoticeAbstractUI.aspx?menuIndex=3&amp;refID=7034442&amp;Result=3","7034442")</f>
        <v>0</v>
      </c>
      <c r="B14181" t="s">
        <v>1088</v>
      </c>
      <c r="C14181" t="s">
        <v>17017</v>
      </c>
      <c r="D14181" t="s">
        <v>18804</v>
      </c>
      <c r="E14181" t="s">
        <v>31078</v>
      </c>
      <c r="F14181" t="s">
        <v>32664</v>
      </c>
      <c r="G14181" t="s">
        <v>32672</v>
      </c>
      <c r="H14181" t="s">
        <v>12635</v>
      </c>
      <c r="I14181" t="s">
        <v>7709</v>
      </c>
      <c r="J14181" t="s">
        <v>41242</v>
      </c>
      <c r="K14181" t="s">
        <v>42285</v>
      </c>
      <c r="M14181" t="s">
        <v>43714</v>
      </c>
      <c r="N14181" t="s">
        <v>46569</v>
      </c>
      <c r="O14181" t="s">
        <v>46570</v>
      </c>
      <c r="P14181">
        <v>0</v>
      </c>
      <c r="Q14181">
        <v>2</v>
      </c>
      <c r="R14181" t="s">
        <v>46587</v>
      </c>
      <c r="S14181" t="s">
        <v>47373</v>
      </c>
      <c r="T14181" t="s">
        <v>48221</v>
      </c>
      <c r="U14181" t="s">
        <v>60158</v>
      </c>
      <c r="V14181" t="s">
        <v>63194</v>
      </c>
      <c r="W14181" t="s">
        <v>43714</v>
      </c>
      <c r="X14181" t="s">
        <v>46588</v>
      </c>
    </row>
    <row r="14182" spans="1:24">
      <c r="A14182">
        <f>HYPERLINK("https://www.philgeps.gov.ph/GEPSNONPILOT/Tender/SplashBidNoticeAbstractUI.aspx?menuIndex=3&amp;refID=7034472&amp;Result=3","7034472")</f>
        <v>0</v>
      </c>
      <c r="B14182" t="s">
        <v>3218</v>
      </c>
      <c r="C14182" t="s">
        <v>17018</v>
      </c>
      <c r="D14182" t="s">
        <v>18827</v>
      </c>
      <c r="E14182" t="s">
        <v>31079</v>
      </c>
      <c r="F14182" t="s">
        <v>32664</v>
      </c>
      <c r="G14182" t="s">
        <v>32672</v>
      </c>
      <c r="H14182" t="s">
        <v>12635</v>
      </c>
      <c r="I14182" t="s">
        <v>9486</v>
      </c>
      <c r="J14182" t="s">
        <v>41243</v>
      </c>
      <c r="K14182" t="s">
        <v>42281</v>
      </c>
      <c r="M14182" t="s">
        <v>46149</v>
      </c>
      <c r="N14182" t="s">
        <v>46569</v>
      </c>
      <c r="O14182" t="s">
        <v>46570</v>
      </c>
      <c r="P14182">
        <v>0</v>
      </c>
      <c r="Q14182">
        <v>13</v>
      </c>
      <c r="R14182" t="s">
        <v>46587</v>
      </c>
      <c r="S14182" t="s">
        <v>47373</v>
      </c>
      <c r="T14182" t="s">
        <v>48228</v>
      </c>
      <c r="U14182" t="s">
        <v>60159</v>
      </c>
      <c r="V14182" t="s">
        <v>63020</v>
      </c>
      <c r="W14182" t="s">
        <v>46149</v>
      </c>
      <c r="X14182" t="s">
        <v>46588</v>
      </c>
    </row>
    <row r="14183" spans="1:24">
      <c r="A14183">
        <f>HYPERLINK("https://www.philgeps.gov.ph/GEPSNONPILOT/Tender/SplashBidNoticeAbstractUI.aspx?menuIndex=3&amp;refID=7034411&amp;Result=3","7034411")</f>
        <v>0</v>
      </c>
      <c r="B14183" t="s">
        <v>1811</v>
      </c>
      <c r="C14183" t="s">
        <v>17019</v>
      </c>
      <c r="D14183" t="s">
        <v>18805</v>
      </c>
      <c r="E14183" t="s">
        <v>31080</v>
      </c>
      <c r="F14183" t="s">
        <v>32664</v>
      </c>
      <c r="G14183" t="s">
        <v>32672</v>
      </c>
      <c r="H14183" t="s">
        <v>12635</v>
      </c>
      <c r="I14183" t="s">
        <v>32729</v>
      </c>
      <c r="J14183" t="s">
        <v>41244</v>
      </c>
      <c r="K14183" t="s">
        <v>42283</v>
      </c>
      <c r="M14183" t="s">
        <v>44517</v>
      </c>
      <c r="N14183" t="s">
        <v>46569</v>
      </c>
      <c r="O14183" t="s">
        <v>46570</v>
      </c>
      <c r="Q14183">
        <v>0</v>
      </c>
      <c r="R14183" t="s">
        <v>46587</v>
      </c>
      <c r="S14183" t="s">
        <v>47429</v>
      </c>
      <c r="T14183" t="s">
        <v>48411</v>
      </c>
      <c r="U14183" t="s">
        <v>60160</v>
      </c>
      <c r="V14183" t="s">
        <v>62197</v>
      </c>
      <c r="W14183" t="s">
        <v>44517</v>
      </c>
      <c r="X14183" t="s">
        <v>46588</v>
      </c>
    </row>
    <row r="14184" spans="1:24">
      <c r="A14184">
        <f>HYPERLINK("https://www.philgeps.gov.ph/GEPSNONPILOT/Tender/SplashBidNoticeAbstractUI.aspx?menuIndex=3&amp;refID=7034402&amp;Result=3","7034402")</f>
        <v>0</v>
      </c>
      <c r="B14184" t="s">
        <v>3386</v>
      </c>
      <c r="C14184" t="s">
        <v>17020</v>
      </c>
      <c r="D14184" t="s">
        <v>18831</v>
      </c>
      <c r="E14184" t="s">
        <v>31081</v>
      </c>
      <c r="F14184" t="s">
        <v>32664</v>
      </c>
      <c r="G14184" t="s">
        <v>32673</v>
      </c>
      <c r="H14184" t="s">
        <v>32683</v>
      </c>
      <c r="I14184" t="s">
        <v>10627</v>
      </c>
      <c r="J14184" t="s">
        <v>41245</v>
      </c>
      <c r="K14184" t="s">
        <v>42281</v>
      </c>
      <c r="M14184" t="s">
        <v>46350</v>
      </c>
      <c r="N14184" t="s">
        <v>46569</v>
      </c>
      <c r="O14184" t="s">
        <v>46570</v>
      </c>
      <c r="P14184">
        <v>0</v>
      </c>
      <c r="Q14184">
        <v>1</v>
      </c>
      <c r="R14184" t="s">
        <v>46587</v>
      </c>
      <c r="S14184" t="s">
        <v>47373</v>
      </c>
      <c r="T14184" t="s">
        <v>48221</v>
      </c>
      <c r="U14184" t="s">
        <v>60161</v>
      </c>
      <c r="W14184" t="s">
        <v>46350</v>
      </c>
      <c r="X14184" t="s">
        <v>46588</v>
      </c>
    </row>
    <row r="14185" spans="1:24">
      <c r="A14185">
        <f>HYPERLINK("https://www.philgeps.gov.ph/GEPSNONPILOT/Tender/SplashBidNoticeAbstractUI.aspx?menuIndex=3&amp;refID=7034296&amp;Result=3","7034296")</f>
        <v>0</v>
      </c>
      <c r="B14185" t="s">
        <v>3398</v>
      </c>
      <c r="C14185" t="s">
        <v>17021</v>
      </c>
      <c r="D14185" t="s">
        <v>18816</v>
      </c>
      <c r="E14185" t="s">
        <v>31082</v>
      </c>
      <c r="F14185" t="s">
        <v>32664</v>
      </c>
      <c r="G14185" t="s">
        <v>32672</v>
      </c>
      <c r="H14185" t="s">
        <v>32683</v>
      </c>
      <c r="I14185" t="s">
        <v>10627</v>
      </c>
      <c r="J14185" t="s">
        <v>34559</v>
      </c>
      <c r="K14185" t="s">
        <v>42298</v>
      </c>
      <c r="M14185" t="s">
        <v>46366</v>
      </c>
      <c r="N14185" t="s">
        <v>46569</v>
      </c>
      <c r="O14185" t="s">
        <v>46570</v>
      </c>
      <c r="P14185">
        <v>0</v>
      </c>
      <c r="Q14185">
        <v>0</v>
      </c>
      <c r="R14185" t="s">
        <v>46587</v>
      </c>
      <c r="S14185" t="s">
        <v>47373</v>
      </c>
      <c r="T14185" t="s">
        <v>48221</v>
      </c>
      <c r="U14185" t="s">
        <v>60162</v>
      </c>
      <c r="W14185" t="s">
        <v>46366</v>
      </c>
      <c r="X14185" t="s">
        <v>46588</v>
      </c>
    </row>
    <row r="14186" spans="1:24">
      <c r="A14186">
        <f>HYPERLINK("https://www.philgeps.gov.ph/GEPSNONPILOT/Tender/SplashBidNoticeAbstractUI.aspx?menuIndex=3&amp;refID=7034401&amp;Result=3","7034401")</f>
        <v>0</v>
      </c>
      <c r="B14186" t="s">
        <v>1088</v>
      </c>
      <c r="C14186" t="s">
        <v>17022</v>
      </c>
      <c r="D14186" t="s">
        <v>18804</v>
      </c>
      <c r="E14186" t="s">
        <v>31083</v>
      </c>
      <c r="F14186" t="s">
        <v>32664</v>
      </c>
      <c r="G14186" t="s">
        <v>32672</v>
      </c>
      <c r="H14186" t="s">
        <v>12635</v>
      </c>
      <c r="I14186" t="s">
        <v>32735</v>
      </c>
      <c r="J14186" t="s">
        <v>41246</v>
      </c>
      <c r="K14186" t="s">
        <v>42285</v>
      </c>
      <c r="M14186" t="s">
        <v>43714</v>
      </c>
      <c r="N14186" t="s">
        <v>46569</v>
      </c>
      <c r="O14186" t="s">
        <v>46570</v>
      </c>
      <c r="Q14186">
        <v>0</v>
      </c>
      <c r="R14186" t="s">
        <v>46587</v>
      </c>
      <c r="S14186" t="s">
        <v>47430</v>
      </c>
      <c r="T14186" t="s">
        <v>48221</v>
      </c>
      <c r="U14186" t="s">
        <v>60163</v>
      </c>
      <c r="V14186" t="s">
        <v>63194</v>
      </c>
      <c r="W14186" t="s">
        <v>43714</v>
      </c>
      <c r="X14186" t="s">
        <v>46588</v>
      </c>
    </row>
    <row r="14187" spans="1:24">
      <c r="A14187">
        <f>HYPERLINK("https://www.philgeps.gov.ph/GEPSNONPILOT/Tender/SplashBidNoticeAbstractUI.aspx?menuIndex=3&amp;refID=7034391&amp;Result=3","7034391")</f>
        <v>0</v>
      </c>
      <c r="B14187" t="s">
        <v>1811</v>
      </c>
      <c r="C14187" t="s">
        <v>17023</v>
      </c>
      <c r="D14187" t="s">
        <v>18805</v>
      </c>
      <c r="E14187" t="s">
        <v>31084</v>
      </c>
      <c r="F14187" t="s">
        <v>32664</v>
      </c>
      <c r="G14187" t="s">
        <v>32672</v>
      </c>
      <c r="H14187" t="s">
        <v>12635</v>
      </c>
      <c r="I14187" t="s">
        <v>32798</v>
      </c>
      <c r="J14187" t="s">
        <v>32962</v>
      </c>
      <c r="K14187" t="s">
        <v>42283</v>
      </c>
      <c r="M14187" t="s">
        <v>44517</v>
      </c>
      <c r="N14187" t="s">
        <v>46569</v>
      </c>
      <c r="O14187" t="s">
        <v>46570</v>
      </c>
      <c r="Q14187">
        <v>1</v>
      </c>
      <c r="R14187" t="s">
        <v>46587</v>
      </c>
      <c r="S14187" t="s">
        <v>47431</v>
      </c>
      <c r="T14187" t="s">
        <v>48411</v>
      </c>
      <c r="U14187" t="s">
        <v>60164</v>
      </c>
      <c r="V14187" t="s">
        <v>62197</v>
      </c>
      <c r="W14187" t="s">
        <v>44517</v>
      </c>
      <c r="X14187" t="s">
        <v>46588</v>
      </c>
    </row>
    <row r="14188" spans="1:24">
      <c r="A14188">
        <f>HYPERLINK("https://www.philgeps.gov.ph/GEPSNONPILOT/Tender/SplashBidNoticeAbstractUI.aspx?menuIndex=3&amp;refID=7034382&amp;Result=3","7034382")</f>
        <v>0</v>
      </c>
      <c r="B14188" t="s">
        <v>1699</v>
      </c>
      <c r="C14188" t="s">
        <v>17024</v>
      </c>
      <c r="D14188" t="s">
        <v>18789</v>
      </c>
      <c r="E14188" t="s">
        <v>31085</v>
      </c>
      <c r="F14188" t="s">
        <v>32664</v>
      </c>
      <c r="G14188" t="s">
        <v>32673</v>
      </c>
      <c r="H14188" t="s">
        <v>32681</v>
      </c>
      <c r="I14188" t="s">
        <v>32681</v>
      </c>
      <c r="J14188" t="s">
        <v>41247</v>
      </c>
      <c r="K14188" t="s">
        <v>42283</v>
      </c>
      <c r="L14188" t="s">
        <v>1699</v>
      </c>
      <c r="M14188" t="s">
        <v>44393</v>
      </c>
      <c r="N14188" t="s">
        <v>46569</v>
      </c>
      <c r="O14188" t="s">
        <v>46570</v>
      </c>
      <c r="Q14188">
        <v>5</v>
      </c>
      <c r="R14188" t="s">
        <v>46587</v>
      </c>
      <c r="S14188" t="s">
        <v>47432</v>
      </c>
      <c r="T14188" t="s">
        <v>48349</v>
      </c>
      <c r="U14188" t="s">
        <v>60165</v>
      </c>
      <c r="W14188" t="s">
        <v>44393</v>
      </c>
      <c r="X14188" t="s">
        <v>46588</v>
      </c>
    </row>
    <row r="14189" spans="1:24">
      <c r="A14189">
        <f>HYPERLINK("https://www.philgeps.gov.ph/GEPSNONPILOT/Tender/SplashBidNoticeAbstractUI.aspx?menuIndex=3&amp;refID=7034370&amp;Result=3","7034370")</f>
        <v>0</v>
      </c>
      <c r="B14189" t="s">
        <v>3306</v>
      </c>
      <c r="C14189" t="s">
        <v>17025</v>
      </c>
      <c r="D14189" t="s">
        <v>18781</v>
      </c>
      <c r="E14189" t="s">
        <v>31086</v>
      </c>
      <c r="F14189" t="s">
        <v>32664</v>
      </c>
      <c r="G14189" t="s">
        <v>32672</v>
      </c>
      <c r="H14189" t="s">
        <v>32683</v>
      </c>
      <c r="I14189" t="s">
        <v>10627</v>
      </c>
      <c r="J14189" t="s">
        <v>41248</v>
      </c>
      <c r="K14189" t="s">
        <v>42451</v>
      </c>
      <c r="M14189" t="s">
        <v>46251</v>
      </c>
      <c r="N14189" t="s">
        <v>46569</v>
      </c>
      <c r="O14189" t="s">
        <v>46570</v>
      </c>
      <c r="P14189">
        <v>0</v>
      </c>
      <c r="Q14189">
        <v>2</v>
      </c>
      <c r="R14189" t="s">
        <v>46587</v>
      </c>
      <c r="S14189" t="s">
        <v>47373</v>
      </c>
      <c r="T14189" t="s">
        <v>48283</v>
      </c>
      <c r="U14189" t="s">
        <v>60166</v>
      </c>
      <c r="W14189" t="s">
        <v>46251</v>
      </c>
      <c r="X14189" t="s">
        <v>46588</v>
      </c>
    </row>
    <row r="14190" spans="1:24">
      <c r="A14190">
        <f>HYPERLINK("https://www.philgeps.gov.ph/GEPSNONPILOT/Tender/SplashBidNoticeAbstractUI.aspx?menuIndex=3&amp;refID=7034361&amp;Result=3","7034361")</f>
        <v>0</v>
      </c>
      <c r="B14190" t="s">
        <v>2206</v>
      </c>
      <c r="C14190" t="s">
        <v>17026</v>
      </c>
      <c r="D14190" t="s">
        <v>18845</v>
      </c>
      <c r="E14190" t="s">
        <v>31087</v>
      </c>
      <c r="F14190" t="s">
        <v>32664</v>
      </c>
      <c r="G14190" t="s">
        <v>32672</v>
      </c>
      <c r="H14190" t="s">
        <v>32683</v>
      </c>
      <c r="I14190" t="s">
        <v>4439</v>
      </c>
      <c r="J14190" t="s">
        <v>41249</v>
      </c>
      <c r="K14190" t="s">
        <v>42305</v>
      </c>
      <c r="M14190" t="s">
        <v>44970</v>
      </c>
      <c r="N14190" t="s">
        <v>46569</v>
      </c>
      <c r="O14190" t="s">
        <v>46570</v>
      </c>
      <c r="Q14190">
        <v>0</v>
      </c>
      <c r="R14190" t="s">
        <v>46587</v>
      </c>
      <c r="S14190" t="s">
        <v>47433</v>
      </c>
      <c r="T14190" t="s">
        <v>48248</v>
      </c>
      <c r="U14190" t="s">
        <v>60167</v>
      </c>
      <c r="W14190" t="s">
        <v>44970</v>
      </c>
      <c r="X14190" t="s">
        <v>46588</v>
      </c>
    </row>
    <row r="14191" spans="1:24">
      <c r="A14191">
        <f>HYPERLINK("https://www.philgeps.gov.ph/GEPSNONPILOT/Tender/SplashBidNoticeAbstractUI.aspx?menuIndex=3&amp;refID=7034435&amp;Result=3","7034435")</f>
        <v>0</v>
      </c>
      <c r="B14191" t="s">
        <v>1811</v>
      </c>
      <c r="C14191" t="s">
        <v>17027</v>
      </c>
      <c r="D14191" t="s">
        <v>18805</v>
      </c>
      <c r="E14191" t="s">
        <v>31088</v>
      </c>
      <c r="F14191" t="s">
        <v>32664</v>
      </c>
      <c r="G14191" t="s">
        <v>32672</v>
      </c>
      <c r="H14191" t="s">
        <v>12635</v>
      </c>
      <c r="I14191" t="s">
        <v>4439</v>
      </c>
      <c r="J14191" t="s">
        <v>41250</v>
      </c>
      <c r="K14191" t="s">
        <v>42283</v>
      </c>
      <c r="M14191" t="s">
        <v>44517</v>
      </c>
      <c r="N14191" t="s">
        <v>46569</v>
      </c>
      <c r="O14191" t="s">
        <v>46570</v>
      </c>
      <c r="Q14191">
        <v>2</v>
      </c>
      <c r="R14191" t="s">
        <v>46587</v>
      </c>
      <c r="S14191" t="s">
        <v>47434</v>
      </c>
      <c r="T14191" t="s">
        <v>48411</v>
      </c>
      <c r="U14191" t="s">
        <v>60168</v>
      </c>
      <c r="V14191" t="s">
        <v>62197</v>
      </c>
      <c r="W14191" t="s">
        <v>44517</v>
      </c>
      <c r="X14191" t="s">
        <v>46588</v>
      </c>
    </row>
    <row r="14192" spans="1:24">
      <c r="A14192">
        <f>HYPERLINK("https://www.philgeps.gov.ph/GEPSNONPILOT/Tender/SplashBidNoticeAbstractUI.aspx?menuIndex=3&amp;refID=7034631&amp;Result=3","7034631")</f>
        <v>0</v>
      </c>
      <c r="B14192" t="s">
        <v>81</v>
      </c>
      <c r="C14192" t="s">
        <v>16852</v>
      </c>
      <c r="D14192" t="s">
        <v>18818</v>
      </c>
      <c r="E14192" t="s">
        <v>31089</v>
      </c>
      <c r="F14192" t="s">
        <v>32664</v>
      </c>
      <c r="G14192" t="s">
        <v>32672</v>
      </c>
      <c r="H14192" t="s">
        <v>12635</v>
      </c>
      <c r="I14192" t="s">
        <v>11464</v>
      </c>
      <c r="J14192" t="s">
        <v>33273</v>
      </c>
      <c r="K14192" t="s">
        <v>42283</v>
      </c>
      <c r="M14192" t="s">
        <v>42665</v>
      </c>
      <c r="N14192" t="s">
        <v>46569</v>
      </c>
      <c r="O14192" t="s">
        <v>46570</v>
      </c>
      <c r="P14192">
        <v>0</v>
      </c>
      <c r="Q14192">
        <v>3</v>
      </c>
      <c r="R14192" t="s">
        <v>46587</v>
      </c>
      <c r="S14192" t="s">
        <v>47373</v>
      </c>
      <c r="T14192" t="s">
        <v>48256</v>
      </c>
      <c r="U14192" t="s">
        <v>60169</v>
      </c>
      <c r="V14192" t="s">
        <v>63195</v>
      </c>
      <c r="W14192" t="s">
        <v>42665</v>
      </c>
      <c r="X14192" t="s">
        <v>46588</v>
      </c>
    </row>
    <row r="14193" spans="1:24">
      <c r="A14193">
        <f>HYPERLINK("https://www.philgeps.gov.ph/GEPSNONPILOT/Tender/SplashBidNoticeAbstractUI.aspx?menuIndex=3&amp;refID=7034328&amp;Result=3","7034328")</f>
        <v>0</v>
      </c>
      <c r="B14193" t="s">
        <v>1699</v>
      </c>
      <c r="C14193" t="s">
        <v>17028</v>
      </c>
      <c r="D14193" t="s">
        <v>18791</v>
      </c>
      <c r="E14193" t="s">
        <v>31090</v>
      </c>
      <c r="F14193" t="s">
        <v>32664</v>
      </c>
      <c r="G14193" t="s">
        <v>32673</v>
      </c>
      <c r="H14193" t="s">
        <v>32681</v>
      </c>
      <c r="I14193" t="s">
        <v>32681</v>
      </c>
      <c r="J14193" t="s">
        <v>41251</v>
      </c>
      <c r="K14193" t="s">
        <v>42283</v>
      </c>
      <c r="L14193" t="s">
        <v>1699</v>
      </c>
      <c r="M14193" t="s">
        <v>44393</v>
      </c>
      <c r="N14193" t="s">
        <v>46569</v>
      </c>
      <c r="O14193" t="s">
        <v>46570</v>
      </c>
      <c r="Q14193">
        <v>5</v>
      </c>
      <c r="R14193" t="s">
        <v>46587</v>
      </c>
      <c r="S14193" t="s">
        <v>47435</v>
      </c>
      <c r="T14193" t="s">
        <v>48737</v>
      </c>
      <c r="U14193" t="s">
        <v>60170</v>
      </c>
      <c r="W14193" t="s">
        <v>44393</v>
      </c>
      <c r="X14193" t="s">
        <v>46588</v>
      </c>
    </row>
    <row r="14194" spans="1:24">
      <c r="A14194">
        <f>HYPERLINK("https://www.philgeps.gov.ph/GEPSNONPILOT/Tender/SplashBidNoticeAbstractUI.aspx?menuIndex=3&amp;refID=7034407&amp;Result=3","7034407")</f>
        <v>0</v>
      </c>
      <c r="B14194" t="s">
        <v>1699</v>
      </c>
      <c r="C14194" t="s">
        <v>17029</v>
      </c>
      <c r="D14194" t="s">
        <v>18791</v>
      </c>
      <c r="E14194" t="s">
        <v>31091</v>
      </c>
      <c r="F14194" t="s">
        <v>32664</v>
      </c>
      <c r="G14194" t="s">
        <v>32673</v>
      </c>
      <c r="H14194" t="s">
        <v>32681</v>
      </c>
      <c r="I14194" t="s">
        <v>32681</v>
      </c>
      <c r="J14194" t="s">
        <v>41252</v>
      </c>
      <c r="K14194" t="s">
        <v>42283</v>
      </c>
      <c r="L14194" t="s">
        <v>1699</v>
      </c>
      <c r="M14194" t="s">
        <v>44393</v>
      </c>
      <c r="N14194" t="s">
        <v>46569</v>
      </c>
      <c r="O14194" t="s">
        <v>46570</v>
      </c>
      <c r="Q14194">
        <v>5</v>
      </c>
      <c r="R14194" t="s">
        <v>46587</v>
      </c>
      <c r="S14194" t="s">
        <v>47436</v>
      </c>
      <c r="T14194" t="s">
        <v>48349</v>
      </c>
      <c r="U14194" t="s">
        <v>60171</v>
      </c>
      <c r="W14194" t="s">
        <v>44393</v>
      </c>
      <c r="X14194" t="s">
        <v>46588</v>
      </c>
    </row>
    <row r="14195" spans="1:24">
      <c r="A14195">
        <f>HYPERLINK("https://www.philgeps.gov.ph/GEPSNONPILOT/Tender/SplashBidNoticeAbstractUI.aspx?menuIndex=3&amp;refID=7034409&amp;Result=3","7034409")</f>
        <v>0</v>
      </c>
      <c r="B14195" t="s">
        <v>3097</v>
      </c>
      <c r="C14195" t="s">
        <v>17030</v>
      </c>
      <c r="D14195" t="s">
        <v>18804</v>
      </c>
      <c r="E14195" t="s">
        <v>31092</v>
      </c>
      <c r="F14195" t="s">
        <v>32664</v>
      </c>
      <c r="G14195" t="s">
        <v>32672</v>
      </c>
      <c r="H14195" t="s">
        <v>12635</v>
      </c>
      <c r="I14195" t="s">
        <v>32706</v>
      </c>
      <c r="J14195" t="s">
        <v>41253</v>
      </c>
      <c r="K14195" t="s">
        <v>42289</v>
      </c>
      <c r="M14195" t="s">
        <v>45985</v>
      </c>
      <c r="N14195" t="s">
        <v>46569</v>
      </c>
      <c r="O14195" t="s">
        <v>46570</v>
      </c>
      <c r="P14195">
        <v>0</v>
      </c>
      <c r="Q14195">
        <v>2</v>
      </c>
      <c r="R14195" t="s">
        <v>46587</v>
      </c>
      <c r="S14195" t="s">
        <v>47373</v>
      </c>
      <c r="T14195" t="s">
        <v>48244</v>
      </c>
      <c r="U14195" t="s">
        <v>60172</v>
      </c>
      <c r="W14195" t="s">
        <v>45985</v>
      </c>
      <c r="X14195" t="s">
        <v>46588</v>
      </c>
    </row>
    <row r="14196" spans="1:24">
      <c r="A14196">
        <f>HYPERLINK("https://www.philgeps.gov.ph/GEPSNONPILOT/Tender/SplashBidNoticeAbstractUI.aspx?menuIndex=3&amp;refID=7034613&amp;Result=3","7034613")</f>
        <v>0</v>
      </c>
      <c r="B14196" t="s">
        <v>342</v>
      </c>
      <c r="C14196" t="s">
        <v>17031</v>
      </c>
      <c r="D14196" t="s">
        <v>18782</v>
      </c>
      <c r="E14196" t="s">
        <v>31093</v>
      </c>
      <c r="F14196" t="s">
        <v>32665</v>
      </c>
      <c r="G14196" t="s">
        <v>32671</v>
      </c>
      <c r="H14196" t="s">
        <v>12635</v>
      </c>
      <c r="I14196" t="s">
        <v>32688</v>
      </c>
      <c r="J14196" t="s">
        <v>41254</v>
      </c>
      <c r="K14196" t="s">
        <v>42281</v>
      </c>
      <c r="M14196" t="s">
        <v>42911</v>
      </c>
      <c r="N14196" t="s">
        <v>46569</v>
      </c>
      <c r="O14196" t="s">
        <v>46570</v>
      </c>
      <c r="P14196">
        <v>0</v>
      </c>
      <c r="Q14196">
        <v>2</v>
      </c>
      <c r="R14196" t="s">
        <v>46587</v>
      </c>
      <c r="S14196" t="s">
        <v>47373</v>
      </c>
      <c r="T14196" t="s">
        <v>48449</v>
      </c>
      <c r="U14196" t="s">
        <v>60173</v>
      </c>
      <c r="V14196" t="s">
        <v>63196</v>
      </c>
      <c r="W14196" t="s">
        <v>42911</v>
      </c>
      <c r="X14196" t="s">
        <v>46588</v>
      </c>
    </row>
    <row r="14197" spans="1:24">
      <c r="A14197">
        <f>HYPERLINK("https://www.philgeps.gov.ph/GEPSNONPILOT/Tender/SplashBidNoticeAbstractUI.aspx?menuIndex=3&amp;refID=7034608&amp;Result=3","7034608")</f>
        <v>0</v>
      </c>
      <c r="B14197" t="s">
        <v>884</v>
      </c>
      <c r="C14197" t="s">
        <v>17032</v>
      </c>
      <c r="D14197" t="s">
        <v>18816</v>
      </c>
      <c r="E14197" t="s">
        <v>31094</v>
      </c>
      <c r="F14197" t="s">
        <v>32664</v>
      </c>
      <c r="G14197" t="s">
        <v>32672</v>
      </c>
      <c r="H14197" t="s">
        <v>12635</v>
      </c>
      <c r="I14197" t="s">
        <v>11464</v>
      </c>
      <c r="J14197" t="s">
        <v>33858</v>
      </c>
      <c r="K14197" t="s">
        <v>42281</v>
      </c>
      <c r="M14197" t="s">
        <v>43485</v>
      </c>
      <c r="N14197" t="s">
        <v>46569</v>
      </c>
      <c r="O14197" t="s">
        <v>46570</v>
      </c>
      <c r="P14197">
        <v>0</v>
      </c>
      <c r="Q14197">
        <v>4</v>
      </c>
      <c r="R14197" t="s">
        <v>46587</v>
      </c>
      <c r="S14197" t="s">
        <v>47373</v>
      </c>
      <c r="T14197" t="s">
        <v>48436</v>
      </c>
      <c r="U14197" t="s">
        <v>60174</v>
      </c>
      <c r="W14197" t="s">
        <v>43485</v>
      </c>
      <c r="X14197" t="s">
        <v>46588</v>
      </c>
    </row>
    <row r="14198" spans="1:24">
      <c r="A14198">
        <f>HYPERLINK("https://www.philgeps.gov.ph/GEPSNONPILOT/Tender/SplashBidNoticeAbstractUI.aspx?menuIndex=3&amp;refID=7034622&amp;Result=3","7034622")</f>
        <v>0</v>
      </c>
      <c r="B14198" t="s">
        <v>108</v>
      </c>
      <c r="C14198" t="s">
        <v>17033</v>
      </c>
      <c r="D14198" t="s">
        <v>18824</v>
      </c>
      <c r="E14198" t="s">
        <v>31095</v>
      </c>
      <c r="F14198" t="s">
        <v>32664</v>
      </c>
      <c r="G14198" t="s">
        <v>32672</v>
      </c>
      <c r="H14198" t="s">
        <v>32683</v>
      </c>
      <c r="I14198" t="s">
        <v>10627</v>
      </c>
      <c r="J14198" t="s">
        <v>41255</v>
      </c>
      <c r="K14198" t="s">
        <v>42296</v>
      </c>
      <c r="M14198" t="s">
        <v>42672</v>
      </c>
      <c r="N14198" t="s">
        <v>46569</v>
      </c>
      <c r="O14198" t="s">
        <v>46570</v>
      </c>
      <c r="P14198">
        <v>0</v>
      </c>
      <c r="Q14198">
        <v>0</v>
      </c>
      <c r="R14198" t="s">
        <v>46587</v>
      </c>
      <c r="S14198" t="s">
        <v>47373</v>
      </c>
      <c r="T14198" t="s">
        <v>48282</v>
      </c>
      <c r="U14198" t="s">
        <v>48996</v>
      </c>
      <c r="W14198" t="s">
        <v>42672</v>
      </c>
      <c r="X14198" t="s">
        <v>46588</v>
      </c>
    </row>
    <row r="14199" spans="1:24">
      <c r="A14199">
        <f>HYPERLINK("https://www.philgeps.gov.ph/GEPSNONPILOT/Tender/SplashBidNoticeAbstractUI.aspx?menuIndex=3&amp;refID=7034602&amp;Result=3","7034602")</f>
        <v>0</v>
      </c>
      <c r="B14199" t="s">
        <v>108</v>
      </c>
      <c r="C14199" t="s">
        <v>17034</v>
      </c>
      <c r="D14199" t="s">
        <v>18824</v>
      </c>
      <c r="E14199" t="s">
        <v>31096</v>
      </c>
      <c r="F14199" t="s">
        <v>32664</v>
      </c>
      <c r="G14199" t="s">
        <v>32672</v>
      </c>
      <c r="H14199" t="s">
        <v>32683</v>
      </c>
      <c r="I14199" t="s">
        <v>10627</v>
      </c>
      <c r="J14199" t="s">
        <v>41256</v>
      </c>
      <c r="K14199" t="s">
        <v>42310</v>
      </c>
      <c r="M14199" t="s">
        <v>42672</v>
      </c>
      <c r="N14199" t="s">
        <v>46569</v>
      </c>
      <c r="O14199" t="s">
        <v>46570</v>
      </c>
      <c r="P14199">
        <v>0</v>
      </c>
      <c r="Q14199">
        <v>0</v>
      </c>
      <c r="R14199" t="s">
        <v>46587</v>
      </c>
      <c r="S14199" t="s">
        <v>47373</v>
      </c>
      <c r="T14199" t="s">
        <v>48282</v>
      </c>
      <c r="U14199" t="s">
        <v>48996</v>
      </c>
      <c r="W14199" t="s">
        <v>42672</v>
      </c>
      <c r="X14199" t="s">
        <v>46588</v>
      </c>
    </row>
    <row r="14200" spans="1:24">
      <c r="A14200">
        <f>HYPERLINK("https://www.philgeps.gov.ph/GEPSNONPILOT/Tender/SplashBidNoticeAbstractUI.aspx?menuIndex=3&amp;refID=7034597&amp;Result=3","7034597")</f>
        <v>0</v>
      </c>
      <c r="B14200" t="s">
        <v>555</v>
      </c>
      <c r="C14200" t="s">
        <v>17035</v>
      </c>
      <c r="D14200" t="s">
        <v>18841</v>
      </c>
      <c r="E14200" t="s">
        <v>31097</v>
      </c>
      <c r="F14200" t="s">
        <v>32664</v>
      </c>
      <c r="G14200" t="s">
        <v>32672</v>
      </c>
      <c r="H14200" t="s">
        <v>32683</v>
      </c>
      <c r="I14200" t="s">
        <v>10627</v>
      </c>
      <c r="J14200" t="s">
        <v>41257</v>
      </c>
      <c r="K14200" t="s">
        <v>42369</v>
      </c>
      <c r="M14200" t="s">
        <v>43135</v>
      </c>
      <c r="N14200" t="s">
        <v>46569</v>
      </c>
      <c r="O14200" t="s">
        <v>46570</v>
      </c>
      <c r="P14200">
        <v>0</v>
      </c>
      <c r="Q14200">
        <v>0</v>
      </c>
      <c r="R14200" t="s">
        <v>46587</v>
      </c>
      <c r="S14200" t="s">
        <v>47373</v>
      </c>
      <c r="T14200" t="s">
        <v>48293</v>
      </c>
      <c r="U14200" t="s">
        <v>60175</v>
      </c>
      <c r="W14200" t="s">
        <v>43135</v>
      </c>
      <c r="X14200" t="s">
        <v>46588</v>
      </c>
    </row>
    <row r="14201" spans="1:24">
      <c r="A14201">
        <f>HYPERLINK("https://www.philgeps.gov.ph/GEPSNONPILOT/Tender/SplashBidNoticeAbstractUI.aspx?menuIndex=3&amp;refID=7034579&amp;Result=3","7034579")</f>
        <v>0</v>
      </c>
      <c r="B14201" t="s">
        <v>696</v>
      </c>
      <c r="C14201" t="s">
        <v>17036</v>
      </c>
      <c r="D14201" t="s">
        <v>18839</v>
      </c>
      <c r="E14201" t="s">
        <v>31098</v>
      </c>
      <c r="F14201" t="s">
        <v>32664</v>
      </c>
      <c r="G14201" t="s">
        <v>32672</v>
      </c>
      <c r="H14201" t="s">
        <v>32683</v>
      </c>
      <c r="I14201" t="s">
        <v>10627</v>
      </c>
      <c r="J14201" t="s">
        <v>41258</v>
      </c>
      <c r="K14201" t="s">
        <v>42298</v>
      </c>
      <c r="M14201" t="s">
        <v>43283</v>
      </c>
      <c r="N14201" t="s">
        <v>46569</v>
      </c>
      <c r="O14201" t="s">
        <v>46570</v>
      </c>
      <c r="P14201">
        <v>0</v>
      </c>
      <c r="Q14201">
        <v>4</v>
      </c>
      <c r="R14201" t="s">
        <v>46587</v>
      </c>
      <c r="S14201" t="s">
        <v>47373</v>
      </c>
      <c r="T14201" t="s">
        <v>48256</v>
      </c>
      <c r="U14201" t="s">
        <v>60176</v>
      </c>
      <c r="V14201" t="s">
        <v>61796</v>
      </c>
      <c r="W14201" t="s">
        <v>43283</v>
      </c>
      <c r="X14201" t="s">
        <v>46588</v>
      </c>
    </row>
    <row r="14202" spans="1:24">
      <c r="A14202">
        <f>HYPERLINK("https://www.philgeps.gov.ph/GEPSNONPILOT/Tender/SplashBidNoticeAbstractUI.aspx?menuIndex=3&amp;refID=7034616&amp;Result=3","7034616")</f>
        <v>0</v>
      </c>
      <c r="B14202" t="s">
        <v>758</v>
      </c>
      <c r="C14202" t="s">
        <v>17037</v>
      </c>
      <c r="D14202" t="s">
        <v>18838</v>
      </c>
      <c r="E14202" t="s">
        <v>31099</v>
      </c>
      <c r="F14202" t="s">
        <v>32664</v>
      </c>
      <c r="G14202" t="s">
        <v>32672</v>
      </c>
      <c r="H14202" t="s">
        <v>32683</v>
      </c>
      <c r="I14202" t="s">
        <v>10627</v>
      </c>
      <c r="J14202" t="s">
        <v>34131</v>
      </c>
      <c r="K14202" t="s">
        <v>42285</v>
      </c>
      <c r="M14202" t="s">
        <v>43348</v>
      </c>
      <c r="N14202" t="s">
        <v>46569</v>
      </c>
      <c r="O14202" t="s">
        <v>46570</v>
      </c>
      <c r="P14202">
        <v>0</v>
      </c>
      <c r="Q14202">
        <v>29</v>
      </c>
      <c r="R14202" t="s">
        <v>46587</v>
      </c>
      <c r="S14202" t="s">
        <v>47373</v>
      </c>
      <c r="T14202" t="s">
        <v>48221</v>
      </c>
      <c r="U14202" t="s">
        <v>54240</v>
      </c>
      <c r="V14202" t="s">
        <v>61806</v>
      </c>
      <c r="W14202" t="s">
        <v>43348</v>
      </c>
      <c r="X14202" t="s">
        <v>46588</v>
      </c>
    </row>
    <row r="14203" spans="1:24">
      <c r="A14203">
        <f>HYPERLINK("https://www.philgeps.gov.ph/GEPSNONPILOT/Tender/SplashBidNoticeAbstractUI.aspx?menuIndex=3&amp;refID=7034569&amp;Result=3","7034569")</f>
        <v>0</v>
      </c>
      <c r="B14203" t="s">
        <v>758</v>
      </c>
      <c r="C14203" t="s">
        <v>17038</v>
      </c>
      <c r="D14203" t="s">
        <v>18838</v>
      </c>
      <c r="E14203" t="s">
        <v>31100</v>
      </c>
      <c r="F14203" t="s">
        <v>32664</v>
      </c>
      <c r="G14203" t="s">
        <v>32672</v>
      </c>
      <c r="H14203" t="s">
        <v>32683</v>
      </c>
      <c r="I14203" t="s">
        <v>10627</v>
      </c>
      <c r="J14203" t="s">
        <v>33009</v>
      </c>
      <c r="K14203" t="s">
        <v>42290</v>
      </c>
      <c r="M14203" t="s">
        <v>43348</v>
      </c>
      <c r="N14203" t="s">
        <v>46569</v>
      </c>
      <c r="O14203" t="s">
        <v>46570</v>
      </c>
      <c r="P14203">
        <v>0</v>
      </c>
      <c r="Q14203">
        <v>26</v>
      </c>
      <c r="R14203" t="s">
        <v>46587</v>
      </c>
      <c r="S14203" t="s">
        <v>47373</v>
      </c>
      <c r="T14203" t="s">
        <v>48221</v>
      </c>
      <c r="U14203" t="s">
        <v>60177</v>
      </c>
      <c r="V14203" t="s">
        <v>61806</v>
      </c>
      <c r="W14203" t="s">
        <v>43348</v>
      </c>
      <c r="X14203" t="s">
        <v>46588</v>
      </c>
    </row>
    <row r="14204" spans="1:24">
      <c r="A14204">
        <f>HYPERLINK("https://www.philgeps.gov.ph/GEPSNONPILOT/Tender/SplashBidNoticeAbstractUI.aspx?menuIndex=3&amp;refID=7034531&amp;Result=3","7034531")</f>
        <v>0</v>
      </c>
      <c r="B14204" t="s">
        <v>696</v>
      </c>
      <c r="C14204" t="s">
        <v>17039</v>
      </c>
      <c r="D14204" t="s">
        <v>18839</v>
      </c>
      <c r="E14204" t="s">
        <v>31101</v>
      </c>
      <c r="F14204" t="s">
        <v>32664</v>
      </c>
      <c r="G14204" t="s">
        <v>32672</v>
      </c>
      <c r="H14204" t="s">
        <v>32683</v>
      </c>
      <c r="I14204" t="s">
        <v>10627</v>
      </c>
      <c r="J14204" t="s">
        <v>41259</v>
      </c>
      <c r="K14204" t="s">
        <v>42298</v>
      </c>
      <c r="M14204" t="s">
        <v>43283</v>
      </c>
      <c r="N14204" t="s">
        <v>46569</v>
      </c>
      <c r="O14204" t="s">
        <v>46570</v>
      </c>
      <c r="P14204">
        <v>0</v>
      </c>
      <c r="Q14204">
        <v>3</v>
      </c>
      <c r="R14204" t="s">
        <v>46587</v>
      </c>
      <c r="S14204" t="s">
        <v>47373</v>
      </c>
      <c r="T14204" t="s">
        <v>48256</v>
      </c>
      <c r="U14204" t="s">
        <v>60178</v>
      </c>
      <c r="V14204" t="s">
        <v>61796</v>
      </c>
      <c r="W14204" t="s">
        <v>43283</v>
      </c>
      <c r="X14204" t="s">
        <v>46588</v>
      </c>
    </row>
    <row r="14205" spans="1:24">
      <c r="A14205">
        <f>HYPERLINK("https://www.philgeps.gov.ph/GEPSNONPILOT/Tender/SplashBidNoticeAbstractUI.aspx?menuIndex=3&amp;refID=7034529&amp;Result=3","7034529")</f>
        <v>0</v>
      </c>
      <c r="B14205" t="s">
        <v>758</v>
      </c>
      <c r="C14205" t="s">
        <v>17040</v>
      </c>
      <c r="D14205" t="s">
        <v>18838</v>
      </c>
      <c r="E14205" t="s">
        <v>31102</v>
      </c>
      <c r="F14205" t="s">
        <v>32664</v>
      </c>
      <c r="G14205" t="s">
        <v>32672</v>
      </c>
      <c r="H14205" t="s">
        <v>32683</v>
      </c>
      <c r="I14205" t="s">
        <v>10627</v>
      </c>
      <c r="J14205" t="s">
        <v>32981</v>
      </c>
      <c r="K14205" t="s">
        <v>42298</v>
      </c>
      <c r="M14205" t="s">
        <v>43348</v>
      </c>
      <c r="N14205" t="s">
        <v>46569</v>
      </c>
      <c r="O14205" t="s">
        <v>46570</v>
      </c>
      <c r="Q14205">
        <v>28</v>
      </c>
      <c r="R14205" t="s">
        <v>46587</v>
      </c>
      <c r="S14205" t="s">
        <v>47437</v>
      </c>
      <c r="T14205" t="s">
        <v>48268</v>
      </c>
      <c r="U14205" t="s">
        <v>60179</v>
      </c>
      <c r="V14205" t="s">
        <v>61806</v>
      </c>
      <c r="W14205" t="s">
        <v>43348</v>
      </c>
      <c r="X14205" t="s">
        <v>46588</v>
      </c>
    </row>
    <row r="14206" spans="1:24">
      <c r="A14206">
        <f>HYPERLINK("https://www.philgeps.gov.ph/GEPSNONPILOT/Tender/SplashBidNoticeAbstractUI.aspx?menuIndex=3&amp;refID=7034499&amp;Result=3","7034499")</f>
        <v>0</v>
      </c>
      <c r="B14206" t="s">
        <v>884</v>
      </c>
      <c r="C14206" t="s">
        <v>17041</v>
      </c>
      <c r="D14206" t="s">
        <v>18816</v>
      </c>
      <c r="E14206" t="s">
        <v>31103</v>
      </c>
      <c r="F14206" t="s">
        <v>32664</v>
      </c>
      <c r="G14206" t="s">
        <v>32672</v>
      </c>
      <c r="H14206" t="s">
        <v>12635</v>
      </c>
      <c r="I14206" t="s">
        <v>11464</v>
      </c>
      <c r="J14206" t="s">
        <v>34148</v>
      </c>
      <c r="K14206" t="s">
        <v>42281</v>
      </c>
      <c r="M14206" t="s">
        <v>43485</v>
      </c>
      <c r="N14206" t="s">
        <v>46569</v>
      </c>
      <c r="O14206" t="s">
        <v>46570</v>
      </c>
      <c r="P14206">
        <v>0</v>
      </c>
      <c r="Q14206">
        <v>6</v>
      </c>
      <c r="R14206" t="s">
        <v>46587</v>
      </c>
      <c r="S14206" t="s">
        <v>47373</v>
      </c>
      <c r="T14206" t="s">
        <v>48436</v>
      </c>
      <c r="U14206" t="s">
        <v>60180</v>
      </c>
      <c r="W14206" t="s">
        <v>43485</v>
      </c>
      <c r="X14206" t="s">
        <v>46588</v>
      </c>
    </row>
    <row r="14207" spans="1:24">
      <c r="A14207">
        <f>HYPERLINK("https://www.philgeps.gov.ph/GEPSNONPILOT/Tender/SplashBidNoticeAbstractUI.aspx?menuIndex=3&amp;refID=7034639&amp;Result=3","7034639")</f>
        <v>0</v>
      </c>
      <c r="B14207" t="s">
        <v>696</v>
      </c>
      <c r="C14207" t="s">
        <v>17042</v>
      </c>
      <c r="D14207" t="s">
        <v>18839</v>
      </c>
      <c r="E14207" t="s">
        <v>31104</v>
      </c>
      <c r="F14207" t="s">
        <v>32664</v>
      </c>
      <c r="G14207" t="s">
        <v>32672</v>
      </c>
      <c r="H14207" t="s">
        <v>32683</v>
      </c>
      <c r="I14207" t="s">
        <v>10627</v>
      </c>
      <c r="J14207" t="s">
        <v>41260</v>
      </c>
      <c r="K14207" t="s">
        <v>42298</v>
      </c>
      <c r="M14207" t="s">
        <v>43283</v>
      </c>
      <c r="N14207" t="s">
        <v>46569</v>
      </c>
      <c r="O14207" t="s">
        <v>46570</v>
      </c>
      <c r="P14207">
        <v>0</v>
      </c>
      <c r="Q14207">
        <v>3</v>
      </c>
      <c r="R14207" t="s">
        <v>46587</v>
      </c>
      <c r="S14207" t="s">
        <v>47373</v>
      </c>
      <c r="T14207" t="s">
        <v>48256</v>
      </c>
      <c r="U14207" t="s">
        <v>60181</v>
      </c>
      <c r="V14207" t="s">
        <v>61796</v>
      </c>
      <c r="W14207" t="s">
        <v>43283</v>
      </c>
      <c r="X14207" t="s">
        <v>46588</v>
      </c>
    </row>
    <row r="14208" spans="1:24">
      <c r="A14208">
        <f>HYPERLINK("https://www.philgeps.gov.ph/GEPSNONPILOT/Tender/SplashBidNoticeAbstractUI.aspx?menuIndex=3&amp;refID=7034719&amp;Result=3","7034719")</f>
        <v>0</v>
      </c>
      <c r="B14208" t="s">
        <v>822</v>
      </c>
      <c r="C14208" t="s">
        <v>17043</v>
      </c>
      <c r="E14208" t="s">
        <v>31105</v>
      </c>
      <c r="F14208" t="s">
        <v>32664</v>
      </c>
      <c r="G14208" t="s">
        <v>32672</v>
      </c>
      <c r="H14208" t="s">
        <v>12635</v>
      </c>
      <c r="I14208" t="s">
        <v>11464</v>
      </c>
      <c r="J14208" t="s">
        <v>41261</v>
      </c>
      <c r="K14208" t="s">
        <v>42308</v>
      </c>
      <c r="M14208" t="s">
        <v>44836</v>
      </c>
      <c r="N14208" t="s">
        <v>46569</v>
      </c>
      <c r="O14208" t="s">
        <v>46570</v>
      </c>
      <c r="Q14208">
        <v>12</v>
      </c>
      <c r="R14208" t="s">
        <v>46587</v>
      </c>
      <c r="S14208" t="s">
        <v>47438</v>
      </c>
      <c r="T14208" t="s">
        <v>48369</v>
      </c>
      <c r="U14208" t="s">
        <v>60182</v>
      </c>
      <c r="W14208" t="s">
        <v>44836</v>
      </c>
      <c r="X14208" t="s">
        <v>46588</v>
      </c>
    </row>
    <row r="14209" spans="1:24">
      <c r="A14209">
        <f>HYPERLINK("https://www.philgeps.gov.ph/GEPSNONPILOT/Tender/SplashBidNoticeAbstractUI.aspx?menuIndex=3&amp;refID=7034629&amp;Result=3","7034629")</f>
        <v>0</v>
      </c>
      <c r="B14209" t="s">
        <v>1248</v>
      </c>
      <c r="C14209" t="s">
        <v>17044</v>
      </c>
      <c r="D14209" t="s">
        <v>18858</v>
      </c>
      <c r="E14209" t="s">
        <v>31106</v>
      </c>
      <c r="F14209" t="s">
        <v>32664</v>
      </c>
      <c r="G14209" t="s">
        <v>32672</v>
      </c>
      <c r="H14209" t="s">
        <v>32683</v>
      </c>
      <c r="I14209" t="s">
        <v>4439</v>
      </c>
      <c r="J14209" t="s">
        <v>41262</v>
      </c>
      <c r="K14209" t="s">
        <v>42311</v>
      </c>
      <c r="M14209" t="s">
        <v>43890</v>
      </c>
      <c r="N14209" t="s">
        <v>46569</v>
      </c>
      <c r="O14209" t="s">
        <v>46570</v>
      </c>
      <c r="P14209">
        <v>0</v>
      </c>
      <c r="Q14209">
        <v>1</v>
      </c>
      <c r="R14209" t="s">
        <v>46587</v>
      </c>
      <c r="S14209" t="s">
        <v>47373</v>
      </c>
      <c r="T14209" t="s">
        <v>48293</v>
      </c>
      <c r="U14209" t="s">
        <v>60183</v>
      </c>
      <c r="W14209" t="s">
        <v>43890</v>
      </c>
      <c r="X14209" t="s">
        <v>46588</v>
      </c>
    </row>
    <row r="14210" spans="1:24">
      <c r="A14210">
        <f>HYPERLINK("https://www.philgeps.gov.ph/GEPSNONPILOT/Tender/SplashBidNoticeAbstractUI.aspx?menuIndex=3&amp;refID=7034456&amp;Result=3","7034456")</f>
        <v>0</v>
      </c>
      <c r="B14210" t="s">
        <v>555</v>
      </c>
      <c r="C14210" t="s">
        <v>17045</v>
      </c>
      <c r="D14210" t="s">
        <v>18841</v>
      </c>
      <c r="E14210" t="s">
        <v>31107</v>
      </c>
      <c r="F14210" t="s">
        <v>32664</v>
      </c>
      <c r="G14210" t="s">
        <v>32672</v>
      </c>
      <c r="H14210" t="s">
        <v>32683</v>
      </c>
      <c r="I14210" t="s">
        <v>10627</v>
      </c>
      <c r="J14210" t="s">
        <v>33761</v>
      </c>
      <c r="K14210" t="s">
        <v>42292</v>
      </c>
      <c r="M14210" t="s">
        <v>43135</v>
      </c>
      <c r="N14210" t="s">
        <v>46569</v>
      </c>
      <c r="O14210" t="s">
        <v>46570</v>
      </c>
      <c r="P14210">
        <v>0</v>
      </c>
      <c r="Q14210">
        <v>1</v>
      </c>
      <c r="R14210" t="s">
        <v>46587</v>
      </c>
      <c r="S14210" t="s">
        <v>47373</v>
      </c>
      <c r="T14210" t="s">
        <v>48293</v>
      </c>
      <c r="U14210" t="s">
        <v>60184</v>
      </c>
      <c r="W14210" t="s">
        <v>43135</v>
      </c>
      <c r="X14210" t="s">
        <v>46588</v>
      </c>
    </row>
    <row r="14211" spans="1:24">
      <c r="A14211">
        <f>HYPERLINK("https://www.philgeps.gov.ph/GEPSNONPILOT/Tender/SplashBidNoticeAbstractUI.aspx?menuIndex=3&amp;refID=7034712&amp;Result=3","7034712")</f>
        <v>0</v>
      </c>
      <c r="B14211" t="s">
        <v>362</v>
      </c>
      <c r="C14211" t="s">
        <v>17046</v>
      </c>
      <c r="D14211" t="s">
        <v>18842</v>
      </c>
      <c r="E14211" t="s">
        <v>31108</v>
      </c>
      <c r="F14211" t="s">
        <v>32664</v>
      </c>
      <c r="G14211" t="s">
        <v>32672</v>
      </c>
      <c r="H14211" t="s">
        <v>32683</v>
      </c>
      <c r="I14211" t="s">
        <v>10627</v>
      </c>
      <c r="J14211" t="s">
        <v>41263</v>
      </c>
      <c r="K14211" t="s">
        <v>42298</v>
      </c>
      <c r="M14211" t="s">
        <v>42931</v>
      </c>
      <c r="N14211" t="s">
        <v>46569</v>
      </c>
      <c r="O14211" t="s">
        <v>46570</v>
      </c>
      <c r="P14211">
        <v>0</v>
      </c>
      <c r="Q14211">
        <v>0</v>
      </c>
      <c r="R14211" t="s">
        <v>46587</v>
      </c>
      <c r="S14211" t="s">
        <v>47373</v>
      </c>
      <c r="T14211" t="s">
        <v>48228</v>
      </c>
      <c r="U14211" t="s">
        <v>60185</v>
      </c>
      <c r="W14211" t="s">
        <v>42931</v>
      </c>
      <c r="X14211" t="s">
        <v>46588</v>
      </c>
    </row>
    <row r="14212" spans="1:24">
      <c r="A14212">
        <f>HYPERLINK("https://www.philgeps.gov.ph/GEPSNONPILOT/Tender/SplashBidNoticeAbstractUI.aspx?menuIndex=3&amp;refID=7034699&amp;Result=3","7034699")</f>
        <v>0</v>
      </c>
      <c r="B14212" t="s">
        <v>3399</v>
      </c>
      <c r="C14212" t="s">
        <v>17047</v>
      </c>
      <c r="D14212" t="s">
        <v>18839</v>
      </c>
      <c r="E14212" t="s">
        <v>31109</v>
      </c>
      <c r="F14212" t="s">
        <v>32664</v>
      </c>
      <c r="G14212" t="s">
        <v>32677</v>
      </c>
      <c r="H14212" t="s">
        <v>12635</v>
      </c>
      <c r="I14212" t="s">
        <v>32738</v>
      </c>
      <c r="J14212" t="s">
        <v>34073</v>
      </c>
      <c r="K14212" t="s">
        <v>42281</v>
      </c>
      <c r="M14212" t="s">
        <v>46367</v>
      </c>
      <c r="N14212" t="s">
        <v>46569</v>
      </c>
      <c r="O14212" t="s">
        <v>46570</v>
      </c>
      <c r="P14212">
        <v>0</v>
      </c>
      <c r="Q14212">
        <v>5</v>
      </c>
      <c r="R14212" t="s">
        <v>46587</v>
      </c>
      <c r="S14212" t="s">
        <v>47373</v>
      </c>
      <c r="T14212" t="s">
        <v>48217</v>
      </c>
      <c r="U14212" t="s">
        <v>60186</v>
      </c>
      <c r="V14212" t="s">
        <v>63197</v>
      </c>
      <c r="W14212" t="s">
        <v>46367</v>
      </c>
      <c r="X14212" t="s">
        <v>46588</v>
      </c>
    </row>
    <row r="14213" spans="1:24">
      <c r="A14213">
        <f>HYPERLINK("https://www.philgeps.gov.ph/GEPSNONPILOT/Tender/SplashBidNoticeAbstractUI.aspx?menuIndex=3&amp;refID=7034692&amp;Result=3","7034692")</f>
        <v>0</v>
      </c>
      <c r="B14213" t="s">
        <v>1088</v>
      </c>
      <c r="C14213" t="s">
        <v>17048</v>
      </c>
      <c r="D14213" t="s">
        <v>18804</v>
      </c>
      <c r="E14213" t="s">
        <v>31110</v>
      </c>
      <c r="F14213" t="s">
        <v>32664</v>
      </c>
      <c r="G14213" t="s">
        <v>32672</v>
      </c>
      <c r="H14213" t="s">
        <v>12635</v>
      </c>
      <c r="I14213" t="s">
        <v>9486</v>
      </c>
      <c r="J14213" t="s">
        <v>41264</v>
      </c>
      <c r="K14213" t="s">
        <v>42305</v>
      </c>
      <c r="M14213" t="s">
        <v>43714</v>
      </c>
      <c r="N14213" t="s">
        <v>46569</v>
      </c>
      <c r="O14213" t="s">
        <v>46570</v>
      </c>
      <c r="P14213">
        <v>0</v>
      </c>
      <c r="Q14213">
        <v>2</v>
      </c>
      <c r="R14213" t="s">
        <v>46587</v>
      </c>
      <c r="S14213" t="s">
        <v>47373</v>
      </c>
      <c r="T14213" t="s">
        <v>48221</v>
      </c>
      <c r="U14213" t="s">
        <v>60187</v>
      </c>
      <c r="V14213" t="s">
        <v>63194</v>
      </c>
      <c r="W14213" t="s">
        <v>43714</v>
      </c>
      <c r="X14213" t="s">
        <v>46588</v>
      </c>
    </row>
    <row r="14214" spans="1:24">
      <c r="A14214">
        <f>HYPERLINK("https://www.philgeps.gov.ph/GEPSNONPILOT/Tender/SplashBidNoticeAbstractUI.aspx?menuIndex=3&amp;refID=7034716&amp;Result=3","7034716")</f>
        <v>0</v>
      </c>
      <c r="B14214" t="s">
        <v>849</v>
      </c>
      <c r="C14214" t="s">
        <v>17049</v>
      </c>
      <c r="D14214" t="s">
        <v>18836</v>
      </c>
      <c r="E14214" t="s">
        <v>31111</v>
      </c>
      <c r="F14214" t="s">
        <v>32664</v>
      </c>
      <c r="G14214" t="s">
        <v>32672</v>
      </c>
      <c r="H14214" t="s">
        <v>12635</v>
      </c>
      <c r="I14214" t="s">
        <v>8797</v>
      </c>
      <c r="J14214" t="s">
        <v>36283</v>
      </c>
      <c r="K14214" t="s">
        <v>42281</v>
      </c>
      <c r="M14214" t="s">
        <v>43445</v>
      </c>
      <c r="N14214" t="s">
        <v>46569</v>
      </c>
      <c r="O14214" t="s">
        <v>46570</v>
      </c>
      <c r="P14214">
        <v>0</v>
      </c>
      <c r="Q14214">
        <v>10</v>
      </c>
      <c r="R14214" t="s">
        <v>46587</v>
      </c>
      <c r="S14214" t="s">
        <v>47373</v>
      </c>
      <c r="T14214" t="s">
        <v>48249</v>
      </c>
      <c r="U14214" t="s">
        <v>60188</v>
      </c>
      <c r="V14214" t="s">
        <v>61828</v>
      </c>
      <c r="W14214" t="s">
        <v>63491</v>
      </c>
      <c r="X14214" t="s">
        <v>46588</v>
      </c>
    </row>
    <row r="14215" spans="1:24">
      <c r="A14215">
        <f>HYPERLINK("https://www.philgeps.gov.ph/GEPSNONPILOT/Tender/SplashBidNoticeAbstractUI.aspx?menuIndex=3&amp;refID=7034690&amp;Result=3","7034690")</f>
        <v>0</v>
      </c>
      <c r="B14215" t="s">
        <v>599</v>
      </c>
      <c r="C14215" t="s">
        <v>17050</v>
      </c>
      <c r="D14215" t="s">
        <v>18804</v>
      </c>
      <c r="E14215" t="s">
        <v>31112</v>
      </c>
      <c r="F14215" t="s">
        <v>32664</v>
      </c>
      <c r="G14215" t="s">
        <v>32672</v>
      </c>
      <c r="H14215" t="s">
        <v>12635</v>
      </c>
      <c r="I14215" t="s">
        <v>11464</v>
      </c>
      <c r="J14215" t="s">
        <v>41265</v>
      </c>
      <c r="K14215" t="s">
        <v>42289</v>
      </c>
      <c r="M14215" t="s">
        <v>43179</v>
      </c>
      <c r="N14215" t="s">
        <v>46569</v>
      </c>
      <c r="O14215" t="s">
        <v>46570</v>
      </c>
      <c r="Q14215">
        <v>5</v>
      </c>
      <c r="R14215" t="s">
        <v>46587</v>
      </c>
      <c r="S14215" t="s">
        <v>47439</v>
      </c>
      <c r="T14215" t="s">
        <v>48301</v>
      </c>
      <c r="U14215" t="s">
        <v>60189</v>
      </c>
      <c r="W14215" t="s">
        <v>43179</v>
      </c>
      <c r="X14215" t="s">
        <v>46588</v>
      </c>
    </row>
    <row r="14216" spans="1:24">
      <c r="A14216">
        <f>HYPERLINK("https://www.philgeps.gov.ph/GEPSNONPILOT/Tender/SplashBidNoticeAbstractUI.aspx?menuIndex=3&amp;refID=7034688&amp;Result=3","7034688")</f>
        <v>0</v>
      </c>
      <c r="B14216" t="s">
        <v>2523</v>
      </c>
      <c r="C14216" t="s">
        <v>17051</v>
      </c>
      <c r="D14216" t="s">
        <v>18789</v>
      </c>
      <c r="E14216" t="s">
        <v>31113</v>
      </c>
      <c r="F14216" t="s">
        <v>32664</v>
      </c>
      <c r="G14216" t="s">
        <v>32672</v>
      </c>
      <c r="H14216" t="s">
        <v>12635</v>
      </c>
      <c r="I14216" t="s">
        <v>8730</v>
      </c>
      <c r="J14216" t="s">
        <v>41266</v>
      </c>
      <c r="K14216" t="s">
        <v>42289</v>
      </c>
      <c r="M14216" t="s">
        <v>46315</v>
      </c>
      <c r="N14216" t="s">
        <v>46569</v>
      </c>
      <c r="O14216" t="s">
        <v>46570</v>
      </c>
      <c r="Q14216">
        <v>10</v>
      </c>
      <c r="R14216" t="s">
        <v>46587</v>
      </c>
      <c r="S14216" t="s">
        <v>47440</v>
      </c>
      <c r="T14216" t="s">
        <v>48334</v>
      </c>
      <c r="U14216" t="s">
        <v>60190</v>
      </c>
      <c r="W14216" t="s">
        <v>46315</v>
      </c>
      <c r="X14216" t="s">
        <v>46588</v>
      </c>
    </row>
    <row r="14217" spans="1:24">
      <c r="A14217">
        <f>HYPERLINK("https://www.philgeps.gov.ph/GEPSNONPILOT/Tender/SplashBidNoticeAbstractUI.aspx?menuIndex=3&amp;refID=7034556&amp;Result=3","7034556")</f>
        <v>0</v>
      </c>
      <c r="B14217" t="s">
        <v>1699</v>
      </c>
      <c r="C14217" t="s">
        <v>17052</v>
      </c>
      <c r="D14217" t="s">
        <v>18791</v>
      </c>
      <c r="E14217" t="s">
        <v>31114</v>
      </c>
      <c r="F14217" t="s">
        <v>32664</v>
      </c>
      <c r="G14217" t="s">
        <v>32673</v>
      </c>
      <c r="H14217" t="s">
        <v>12635</v>
      </c>
      <c r="I14217" t="s">
        <v>32725</v>
      </c>
      <c r="J14217" t="s">
        <v>41267</v>
      </c>
      <c r="K14217" t="s">
        <v>42283</v>
      </c>
      <c r="L14217" t="s">
        <v>1699</v>
      </c>
      <c r="M14217" t="s">
        <v>46368</v>
      </c>
      <c r="N14217" t="s">
        <v>46569</v>
      </c>
      <c r="O14217" t="s">
        <v>46570</v>
      </c>
      <c r="Q14217">
        <v>7</v>
      </c>
      <c r="R14217" t="s">
        <v>46587</v>
      </c>
      <c r="S14217" t="s">
        <v>47441</v>
      </c>
      <c r="T14217" t="s">
        <v>48624</v>
      </c>
      <c r="U14217" t="s">
        <v>60191</v>
      </c>
      <c r="W14217" t="s">
        <v>46368</v>
      </c>
      <c r="X14217" t="s">
        <v>46588</v>
      </c>
    </row>
    <row r="14218" spans="1:24">
      <c r="A14218">
        <f>HYPERLINK("https://www.philgeps.gov.ph/GEPSNONPILOT/Tender/SplashBidNoticeAbstractUI.aspx?menuIndex=3&amp;refID=7034682&amp;Result=3","7034682")</f>
        <v>0</v>
      </c>
      <c r="B14218" t="s">
        <v>1088</v>
      </c>
      <c r="C14218" t="s">
        <v>17053</v>
      </c>
      <c r="D14218" t="s">
        <v>18804</v>
      </c>
      <c r="E14218" t="s">
        <v>31115</v>
      </c>
      <c r="F14218" t="s">
        <v>32664</v>
      </c>
      <c r="G14218" t="s">
        <v>32672</v>
      </c>
      <c r="H14218" t="s">
        <v>12635</v>
      </c>
      <c r="I14218" t="s">
        <v>9486</v>
      </c>
      <c r="J14218" t="s">
        <v>41268</v>
      </c>
      <c r="K14218" t="s">
        <v>42305</v>
      </c>
      <c r="M14218" t="s">
        <v>43714</v>
      </c>
      <c r="N14218" t="s">
        <v>46569</v>
      </c>
      <c r="O14218" t="s">
        <v>46570</v>
      </c>
      <c r="P14218">
        <v>0</v>
      </c>
      <c r="Q14218">
        <v>1</v>
      </c>
      <c r="R14218" t="s">
        <v>46587</v>
      </c>
      <c r="S14218" t="s">
        <v>47373</v>
      </c>
      <c r="T14218" t="s">
        <v>48221</v>
      </c>
      <c r="U14218" t="s">
        <v>60192</v>
      </c>
      <c r="V14218" t="s">
        <v>63194</v>
      </c>
      <c r="W14218" t="s">
        <v>43714</v>
      </c>
      <c r="X14218" t="s">
        <v>46588</v>
      </c>
    </row>
    <row r="14219" spans="1:24">
      <c r="A14219">
        <f>HYPERLINK("https://www.philgeps.gov.ph/GEPSNONPILOT/Tender/SplashBidNoticeAbstractUI.aspx?menuIndex=3&amp;refID=7034674&amp;Result=3","7034674")</f>
        <v>0</v>
      </c>
      <c r="B14219" t="s">
        <v>1009</v>
      </c>
      <c r="C14219" t="s">
        <v>17054</v>
      </c>
      <c r="D14219" t="s">
        <v>18783</v>
      </c>
      <c r="E14219" t="s">
        <v>31116</v>
      </c>
      <c r="F14219" t="s">
        <v>32664</v>
      </c>
      <c r="G14219" t="s">
        <v>32672</v>
      </c>
      <c r="H14219" t="s">
        <v>12635</v>
      </c>
      <c r="I14219" t="s">
        <v>32738</v>
      </c>
      <c r="J14219" t="s">
        <v>41269</v>
      </c>
      <c r="K14219" t="s">
        <v>42298</v>
      </c>
      <c r="M14219" t="s">
        <v>43621</v>
      </c>
      <c r="N14219" t="s">
        <v>46569</v>
      </c>
      <c r="O14219" t="s">
        <v>46570</v>
      </c>
      <c r="P14219">
        <v>0</v>
      </c>
      <c r="Q14219">
        <v>2</v>
      </c>
      <c r="R14219" t="s">
        <v>46587</v>
      </c>
      <c r="S14219" t="s">
        <v>47373</v>
      </c>
      <c r="T14219" t="s">
        <v>48279</v>
      </c>
      <c r="U14219" t="s">
        <v>52908</v>
      </c>
      <c r="V14219" t="s">
        <v>63198</v>
      </c>
      <c r="W14219" t="s">
        <v>43621</v>
      </c>
      <c r="X14219" t="s">
        <v>46588</v>
      </c>
    </row>
    <row r="14220" spans="1:24">
      <c r="A14220">
        <f>HYPERLINK("https://www.philgeps.gov.ph/GEPSNONPILOT/Tender/SplashBidNoticeAbstractUI.aspx?menuIndex=3&amp;refID=7034664&amp;Result=3","7034664")</f>
        <v>0</v>
      </c>
      <c r="B14220" t="s">
        <v>1088</v>
      </c>
      <c r="C14220" t="s">
        <v>17055</v>
      </c>
      <c r="D14220" t="s">
        <v>18804</v>
      </c>
      <c r="E14220" t="s">
        <v>31117</v>
      </c>
      <c r="F14220" t="s">
        <v>32664</v>
      </c>
      <c r="G14220" t="s">
        <v>32672</v>
      </c>
      <c r="H14220" t="s">
        <v>12635</v>
      </c>
      <c r="I14220" t="s">
        <v>32736</v>
      </c>
      <c r="J14220" t="s">
        <v>41270</v>
      </c>
      <c r="K14220" t="s">
        <v>42285</v>
      </c>
      <c r="M14220" t="s">
        <v>43714</v>
      </c>
      <c r="N14220" t="s">
        <v>46569</v>
      </c>
      <c r="O14220" t="s">
        <v>46570</v>
      </c>
      <c r="P14220">
        <v>0</v>
      </c>
      <c r="Q14220">
        <v>0</v>
      </c>
      <c r="R14220" t="s">
        <v>46587</v>
      </c>
      <c r="S14220" t="s">
        <v>47373</v>
      </c>
      <c r="T14220" t="s">
        <v>48221</v>
      </c>
      <c r="U14220" t="s">
        <v>60193</v>
      </c>
      <c r="V14220" t="s">
        <v>63194</v>
      </c>
      <c r="W14220" t="s">
        <v>43714</v>
      </c>
      <c r="X14220" t="s">
        <v>46588</v>
      </c>
    </row>
    <row r="14221" spans="1:24">
      <c r="A14221">
        <f>HYPERLINK("https://www.philgeps.gov.ph/GEPSNONPILOT/Tender/SplashBidNoticeAbstractUI.aspx?menuIndex=3&amp;refID=7034647&amp;Result=3","7034647")</f>
        <v>0</v>
      </c>
      <c r="B14221" t="s">
        <v>470</v>
      </c>
      <c r="C14221" t="s">
        <v>17056</v>
      </c>
      <c r="D14221" t="s">
        <v>18816</v>
      </c>
      <c r="E14221" t="s">
        <v>17056</v>
      </c>
      <c r="F14221" t="s">
        <v>32664</v>
      </c>
      <c r="G14221" t="s">
        <v>32672</v>
      </c>
      <c r="H14221" t="s">
        <v>32683</v>
      </c>
      <c r="I14221" t="s">
        <v>10627</v>
      </c>
      <c r="J14221" t="s">
        <v>33150</v>
      </c>
      <c r="K14221" t="s">
        <v>42285</v>
      </c>
      <c r="M14221" t="s">
        <v>43045</v>
      </c>
      <c r="N14221" t="s">
        <v>46569</v>
      </c>
      <c r="O14221" t="s">
        <v>46570</v>
      </c>
      <c r="P14221">
        <v>0</v>
      </c>
      <c r="Q14221">
        <v>2</v>
      </c>
      <c r="R14221" t="s">
        <v>46587</v>
      </c>
      <c r="S14221" t="s">
        <v>47373</v>
      </c>
      <c r="T14221" t="s">
        <v>48532</v>
      </c>
      <c r="U14221" t="s">
        <v>60194</v>
      </c>
      <c r="W14221" t="s">
        <v>43045</v>
      </c>
      <c r="X14221" t="s">
        <v>46588</v>
      </c>
    </row>
    <row r="14222" spans="1:24">
      <c r="A14222">
        <f>HYPERLINK("https://www.philgeps.gov.ph/GEPSNONPILOT/Tender/SplashBidNoticeAbstractUI.aspx?menuIndex=3&amp;refID=7034446&amp;Result=3","7034446")</f>
        <v>0</v>
      </c>
      <c r="B14222" t="s">
        <v>342</v>
      </c>
      <c r="C14222" t="s">
        <v>17057</v>
      </c>
      <c r="D14222" t="s">
        <v>18782</v>
      </c>
      <c r="E14222" t="s">
        <v>31118</v>
      </c>
      <c r="F14222" t="s">
        <v>32665</v>
      </c>
      <c r="G14222" t="s">
        <v>32672</v>
      </c>
      <c r="H14222" t="s">
        <v>12635</v>
      </c>
      <c r="I14222" t="s">
        <v>32688</v>
      </c>
      <c r="J14222" t="s">
        <v>41271</v>
      </c>
      <c r="K14222" t="s">
        <v>42305</v>
      </c>
      <c r="M14222" t="s">
        <v>42911</v>
      </c>
      <c r="N14222" t="s">
        <v>46569</v>
      </c>
      <c r="O14222" t="s">
        <v>46570</v>
      </c>
      <c r="P14222">
        <v>0</v>
      </c>
      <c r="Q14222">
        <v>2</v>
      </c>
      <c r="R14222" t="s">
        <v>46587</v>
      </c>
      <c r="S14222" t="s">
        <v>47373</v>
      </c>
      <c r="T14222" t="s">
        <v>48449</v>
      </c>
      <c r="U14222" t="s">
        <v>60195</v>
      </c>
      <c r="V14222" t="s">
        <v>63199</v>
      </c>
      <c r="W14222" t="s">
        <v>42911</v>
      </c>
      <c r="X14222" t="s">
        <v>46588</v>
      </c>
    </row>
    <row r="14223" spans="1:24">
      <c r="A14223">
        <f>HYPERLINK("https://www.philgeps.gov.ph/GEPSNONPILOT/Tender/SplashBidNoticeAbstractUI.aspx?menuIndex=3&amp;refID=7034713&amp;Result=3","7034713")</f>
        <v>0</v>
      </c>
      <c r="B14223" t="s">
        <v>1088</v>
      </c>
      <c r="C14223" t="s">
        <v>17058</v>
      </c>
      <c r="D14223" t="s">
        <v>18804</v>
      </c>
      <c r="E14223" t="s">
        <v>31119</v>
      </c>
      <c r="F14223" t="s">
        <v>32664</v>
      </c>
      <c r="G14223" t="s">
        <v>32672</v>
      </c>
      <c r="H14223" t="s">
        <v>12635</v>
      </c>
      <c r="I14223" t="s">
        <v>7709</v>
      </c>
      <c r="J14223" t="s">
        <v>41272</v>
      </c>
      <c r="K14223" t="s">
        <v>42285</v>
      </c>
      <c r="M14223" t="s">
        <v>43714</v>
      </c>
      <c r="N14223" t="s">
        <v>46569</v>
      </c>
      <c r="O14223" t="s">
        <v>46570</v>
      </c>
      <c r="P14223">
        <v>0</v>
      </c>
      <c r="Q14223">
        <v>2</v>
      </c>
      <c r="R14223" t="s">
        <v>46587</v>
      </c>
      <c r="S14223" t="s">
        <v>47373</v>
      </c>
      <c r="T14223" t="s">
        <v>48221</v>
      </c>
      <c r="U14223" t="s">
        <v>60196</v>
      </c>
      <c r="V14223" t="s">
        <v>63194</v>
      </c>
      <c r="W14223" t="s">
        <v>43714</v>
      </c>
      <c r="X14223" t="s">
        <v>46588</v>
      </c>
    </row>
    <row r="14224" spans="1:24">
      <c r="A14224">
        <f>HYPERLINK("https://www.philgeps.gov.ph/GEPSNONPILOT/Tender/SplashBidNoticeAbstractUI.aspx?menuIndex=3&amp;refID=7034636&amp;Result=3","7034636")</f>
        <v>0</v>
      </c>
      <c r="B14224" t="s">
        <v>108</v>
      </c>
      <c r="C14224" t="s">
        <v>17059</v>
      </c>
      <c r="D14224" t="s">
        <v>18824</v>
      </c>
      <c r="E14224" t="s">
        <v>31120</v>
      </c>
      <c r="F14224" t="s">
        <v>32664</v>
      </c>
      <c r="G14224" t="s">
        <v>32672</v>
      </c>
      <c r="H14224" t="s">
        <v>32683</v>
      </c>
      <c r="I14224" t="s">
        <v>10627</v>
      </c>
      <c r="J14224" t="s">
        <v>41273</v>
      </c>
      <c r="K14224" t="s">
        <v>42363</v>
      </c>
      <c r="M14224" t="s">
        <v>42672</v>
      </c>
      <c r="N14224" t="s">
        <v>46569</v>
      </c>
      <c r="O14224" t="s">
        <v>46570</v>
      </c>
      <c r="P14224">
        <v>0</v>
      </c>
      <c r="Q14224">
        <v>1</v>
      </c>
      <c r="R14224" t="s">
        <v>46587</v>
      </c>
      <c r="S14224" t="s">
        <v>47373</v>
      </c>
      <c r="T14224" t="s">
        <v>48282</v>
      </c>
      <c r="U14224" t="s">
        <v>48996</v>
      </c>
      <c r="W14224" t="s">
        <v>42672</v>
      </c>
      <c r="X14224" t="s">
        <v>46588</v>
      </c>
    </row>
    <row r="14225" spans="1:24">
      <c r="A14225">
        <f>HYPERLINK("https://www.philgeps.gov.ph/GEPSNONPILOT/Tender/SplashBidNoticeAbstractUI.aspx?menuIndex=3&amp;refID=7034706&amp;Result=3","7034706")</f>
        <v>0</v>
      </c>
      <c r="B14225" t="s">
        <v>1556</v>
      </c>
      <c r="C14225" t="s">
        <v>17060</v>
      </c>
      <c r="D14225" t="s">
        <v>18799</v>
      </c>
      <c r="E14225" t="s">
        <v>25868</v>
      </c>
      <c r="F14225" t="s">
        <v>32664</v>
      </c>
      <c r="G14225" t="s">
        <v>32672</v>
      </c>
      <c r="H14225" t="s">
        <v>12635</v>
      </c>
      <c r="I14225" t="s">
        <v>11464</v>
      </c>
      <c r="J14225" t="s">
        <v>32943</v>
      </c>
      <c r="K14225" t="s">
        <v>42281</v>
      </c>
      <c r="M14225" t="s">
        <v>44225</v>
      </c>
      <c r="N14225" t="s">
        <v>46569</v>
      </c>
      <c r="O14225" t="s">
        <v>46570</v>
      </c>
      <c r="P14225">
        <v>0</v>
      </c>
      <c r="Q14225">
        <v>6</v>
      </c>
      <c r="R14225" t="s">
        <v>46587</v>
      </c>
      <c r="S14225" t="s">
        <v>47373</v>
      </c>
      <c r="T14225" t="s">
        <v>48314</v>
      </c>
      <c r="U14225" t="s">
        <v>60197</v>
      </c>
      <c r="W14225" t="s">
        <v>44225</v>
      </c>
      <c r="X14225" t="s">
        <v>46588</v>
      </c>
    </row>
    <row r="14226" spans="1:24">
      <c r="A14226">
        <f>HYPERLINK("https://www.philgeps.gov.ph/GEPSNONPILOT/Tender/SplashBidNoticeAbstractUI.aspx?menuIndex=3&amp;refID=7034512&amp;Result=3","7034512")</f>
        <v>0</v>
      </c>
      <c r="B14226" t="s">
        <v>3272</v>
      </c>
      <c r="C14226" t="s">
        <v>17061</v>
      </c>
      <c r="D14226" t="s">
        <v>18793</v>
      </c>
      <c r="E14226" t="s">
        <v>31121</v>
      </c>
      <c r="F14226" t="s">
        <v>32664</v>
      </c>
      <c r="G14226" t="s">
        <v>32672</v>
      </c>
      <c r="H14226" t="s">
        <v>32683</v>
      </c>
      <c r="I14226" t="s">
        <v>10627</v>
      </c>
      <c r="J14226" t="s">
        <v>32865</v>
      </c>
      <c r="K14226" t="s">
        <v>42305</v>
      </c>
      <c r="M14226" t="s">
        <v>46208</v>
      </c>
      <c r="N14226" t="s">
        <v>46569</v>
      </c>
      <c r="O14226" t="s">
        <v>46570</v>
      </c>
      <c r="P14226">
        <v>0</v>
      </c>
      <c r="Q14226">
        <v>4</v>
      </c>
      <c r="R14226" t="s">
        <v>46587</v>
      </c>
      <c r="S14226" t="s">
        <v>47373</v>
      </c>
      <c r="T14226" t="s">
        <v>48410</v>
      </c>
      <c r="U14226" t="s">
        <v>60198</v>
      </c>
      <c r="W14226" t="s">
        <v>46208</v>
      </c>
      <c r="X14226" t="s">
        <v>46588</v>
      </c>
    </row>
    <row r="14227" spans="1:24">
      <c r="A14227">
        <f>HYPERLINK("https://www.philgeps.gov.ph/GEPSNONPILOT/Tender/SplashBidNoticeAbstractUI.aspx?menuIndex=3&amp;refID=7034510&amp;Result=3","7034510")</f>
        <v>0</v>
      </c>
      <c r="B14227" t="s">
        <v>555</v>
      </c>
      <c r="C14227" t="s">
        <v>17062</v>
      </c>
      <c r="D14227" t="s">
        <v>18841</v>
      </c>
      <c r="E14227" t="s">
        <v>31122</v>
      </c>
      <c r="F14227" t="s">
        <v>32664</v>
      </c>
      <c r="G14227" t="s">
        <v>32672</v>
      </c>
      <c r="H14227" t="s">
        <v>32683</v>
      </c>
      <c r="I14227" t="s">
        <v>10627</v>
      </c>
      <c r="J14227" t="s">
        <v>41274</v>
      </c>
      <c r="K14227" t="s">
        <v>42311</v>
      </c>
      <c r="M14227" t="s">
        <v>43135</v>
      </c>
      <c r="N14227" t="s">
        <v>46569</v>
      </c>
      <c r="O14227" t="s">
        <v>46570</v>
      </c>
      <c r="P14227">
        <v>0</v>
      </c>
      <c r="Q14227">
        <v>0</v>
      </c>
      <c r="R14227" t="s">
        <v>46587</v>
      </c>
      <c r="S14227" t="s">
        <v>47373</v>
      </c>
      <c r="T14227" t="s">
        <v>48293</v>
      </c>
      <c r="U14227" t="s">
        <v>60199</v>
      </c>
      <c r="W14227" t="s">
        <v>43135</v>
      </c>
      <c r="X14227" t="s">
        <v>46588</v>
      </c>
    </row>
    <row r="14228" spans="1:24">
      <c r="A14228">
        <f>HYPERLINK("https://www.philgeps.gov.ph/GEPSNONPILOT/Tender/SplashBidNoticeAbstractUI.aspx?menuIndex=3&amp;refID=7034509&amp;Result=3","7034509")</f>
        <v>0</v>
      </c>
      <c r="B14228" t="s">
        <v>66</v>
      </c>
      <c r="C14228" t="s">
        <v>17063</v>
      </c>
      <c r="D14228" t="s">
        <v>18813</v>
      </c>
      <c r="E14228" t="s">
        <v>31123</v>
      </c>
      <c r="F14228" t="s">
        <v>32664</v>
      </c>
      <c r="G14228" t="s">
        <v>32672</v>
      </c>
      <c r="H14228" t="s">
        <v>12635</v>
      </c>
      <c r="I14228" t="s">
        <v>32740</v>
      </c>
      <c r="J14228" t="s">
        <v>41275</v>
      </c>
      <c r="K14228" t="s">
        <v>42291</v>
      </c>
      <c r="M14228" t="s">
        <v>42629</v>
      </c>
      <c r="N14228" t="s">
        <v>46569</v>
      </c>
      <c r="O14228" t="s">
        <v>46570</v>
      </c>
      <c r="Q14228">
        <v>2</v>
      </c>
      <c r="R14228" t="s">
        <v>46587</v>
      </c>
      <c r="S14228" t="s">
        <v>47442</v>
      </c>
      <c r="T14228" t="s">
        <v>48244</v>
      </c>
      <c r="U14228" t="s">
        <v>60200</v>
      </c>
      <c r="V14228" t="s">
        <v>63200</v>
      </c>
      <c r="W14228" t="s">
        <v>42629</v>
      </c>
      <c r="X14228" t="s">
        <v>46588</v>
      </c>
    </row>
    <row r="14229" spans="1:24">
      <c r="A14229">
        <f>HYPERLINK("https://www.philgeps.gov.ph/GEPSNONPILOT/Tender/SplashBidNoticeAbstractUI.aspx?menuIndex=3&amp;refID=7034686&amp;Result=3","7034686")</f>
        <v>0</v>
      </c>
      <c r="B14229" t="s">
        <v>362</v>
      </c>
      <c r="C14229" t="s">
        <v>17064</v>
      </c>
      <c r="D14229" t="s">
        <v>18842</v>
      </c>
      <c r="E14229" t="s">
        <v>31124</v>
      </c>
      <c r="F14229" t="s">
        <v>32664</v>
      </c>
      <c r="G14229" t="s">
        <v>32672</v>
      </c>
      <c r="H14229" t="s">
        <v>32683</v>
      </c>
      <c r="I14229" t="s">
        <v>10627</v>
      </c>
      <c r="J14229" t="s">
        <v>37841</v>
      </c>
      <c r="K14229" t="s">
        <v>42285</v>
      </c>
      <c r="M14229" t="s">
        <v>42931</v>
      </c>
      <c r="N14229" t="s">
        <v>46569</v>
      </c>
      <c r="O14229" t="s">
        <v>46570</v>
      </c>
      <c r="P14229">
        <v>0</v>
      </c>
      <c r="Q14229">
        <v>0</v>
      </c>
      <c r="R14229" t="s">
        <v>46587</v>
      </c>
      <c r="S14229" t="s">
        <v>47373</v>
      </c>
      <c r="T14229" t="s">
        <v>48228</v>
      </c>
      <c r="U14229" t="s">
        <v>60201</v>
      </c>
      <c r="W14229" t="s">
        <v>42931</v>
      </c>
      <c r="X14229" t="s">
        <v>46588</v>
      </c>
    </row>
    <row r="14230" spans="1:24">
      <c r="A14230">
        <f>HYPERLINK("https://www.philgeps.gov.ph/GEPSNONPILOT/Tender/SplashBidNoticeAbstractUI.aspx?menuIndex=3&amp;refID=7034504&amp;Result=3","7034504")</f>
        <v>0</v>
      </c>
      <c r="B14230" t="s">
        <v>1699</v>
      </c>
      <c r="C14230" t="s">
        <v>17065</v>
      </c>
      <c r="D14230" t="s">
        <v>18791</v>
      </c>
      <c r="E14230" t="s">
        <v>31125</v>
      </c>
      <c r="F14230" t="s">
        <v>32664</v>
      </c>
      <c r="G14230" t="s">
        <v>32673</v>
      </c>
      <c r="H14230" t="s">
        <v>12635</v>
      </c>
      <c r="I14230" t="s">
        <v>8730</v>
      </c>
      <c r="J14230" t="s">
        <v>41276</v>
      </c>
      <c r="K14230" t="s">
        <v>42283</v>
      </c>
      <c r="L14230" t="s">
        <v>1699</v>
      </c>
      <c r="M14230" t="s">
        <v>46368</v>
      </c>
      <c r="N14230" t="s">
        <v>46569</v>
      </c>
      <c r="O14230" t="s">
        <v>46570</v>
      </c>
      <c r="Q14230">
        <v>8</v>
      </c>
      <c r="R14230" t="s">
        <v>46587</v>
      </c>
      <c r="S14230" t="s">
        <v>47443</v>
      </c>
      <c r="T14230" t="s">
        <v>48293</v>
      </c>
      <c r="U14230" t="s">
        <v>60202</v>
      </c>
      <c r="W14230" t="s">
        <v>46368</v>
      </c>
      <c r="X14230" t="s">
        <v>46588</v>
      </c>
    </row>
    <row r="14231" spans="1:24">
      <c r="A14231">
        <f>HYPERLINK("https://www.philgeps.gov.ph/GEPSNONPILOT/Tender/SplashBidNoticeAbstractUI.aspx?menuIndex=3&amp;refID=7034638&amp;Result=3","7034638")</f>
        <v>0</v>
      </c>
      <c r="B14231" t="s">
        <v>279</v>
      </c>
      <c r="C14231" t="s">
        <v>17066</v>
      </c>
      <c r="D14231" t="s">
        <v>18784</v>
      </c>
      <c r="E14231" t="s">
        <v>24693</v>
      </c>
      <c r="F14231" t="s">
        <v>32664</v>
      </c>
      <c r="G14231" t="s">
        <v>32672</v>
      </c>
      <c r="H14231" t="s">
        <v>32683</v>
      </c>
      <c r="I14231" t="s">
        <v>10627</v>
      </c>
      <c r="J14231" t="s">
        <v>41277</v>
      </c>
      <c r="K14231" t="s">
        <v>42283</v>
      </c>
      <c r="M14231" t="s">
        <v>42844</v>
      </c>
      <c r="N14231" t="s">
        <v>46569</v>
      </c>
      <c r="O14231" t="s">
        <v>46570</v>
      </c>
      <c r="P14231">
        <v>0</v>
      </c>
      <c r="Q14231">
        <v>1</v>
      </c>
      <c r="R14231" t="s">
        <v>46587</v>
      </c>
      <c r="S14231" t="s">
        <v>47373</v>
      </c>
      <c r="T14231" t="s">
        <v>48356</v>
      </c>
      <c r="U14231" t="s">
        <v>60203</v>
      </c>
      <c r="W14231" t="s">
        <v>42844</v>
      </c>
      <c r="X14231" t="s">
        <v>46588</v>
      </c>
    </row>
    <row r="14232" spans="1:24">
      <c r="A14232">
        <f>HYPERLINK("https://www.philgeps.gov.ph/GEPSNONPILOT/Tender/SplashBidNoticeAbstractUI.aspx?menuIndex=3&amp;refID=7034853&amp;Result=3","7034853")</f>
        <v>0</v>
      </c>
      <c r="B14232" t="s">
        <v>2889</v>
      </c>
      <c r="C14232" t="s">
        <v>17067</v>
      </c>
      <c r="D14232" t="s">
        <v>18842</v>
      </c>
      <c r="E14232" t="s">
        <v>31126</v>
      </c>
      <c r="F14232" t="s">
        <v>32664</v>
      </c>
      <c r="G14232" t="s">
        <v>32672</v>
      </c>
      <c r="H14232" t="s">
        <v>12635</v>
      </c>
      <c r="I14232" t="s">
        <v>9486</v>
      </c>
      <c r="J14232" t="s">
        <v>33267</v>
      </c>
      <c r="K14232" t="s">
        <v>42283</v>
      </c>
      <c r="M14232" t="s">
        <v>45738</v>
      </c>
      <c r="N14232" t="s">
        <v>46569</v>
      </c>
      <c r="O14232" t="s">
        <v>46570</v>
      </c>
      <c r="P14232">
        <v>0</v>
      </c>
      <c r="Q14232">
        <v>6</v>
      </c>
      <c r="R14232" t="s">
        <v>46587</v>
      </c>
      <c r="S14232" t="s">
        <v>47373</v>
      </c>
      <c r="T14232" t="s">
        <v>48228</v>
      </c>
      <c r="U14232" t="s">
        <v>60149</v>
      </c>
      <c r="V14232" t="s">
        <v>62753</v>
      </c>
      <c r="W14232" t="s">
        <v>45738</v>
      </c>
      <c r="X14232" t="s">
        <v>46588</v>
      </c>
    </row>
    <row r="14233" spans="1:24">
      <c r="A14233">
        <f>HYPERLINK("https://www.philgeps.gov.ph/GEPSNONPILOT/Tender/SplashBidNoticeAbstractUI.aspx?menuIndex=3&amp;refID=7034859&amp;Result=3","7034859")</f>
        <v>0</v>
      </c>
      <c r="B14233" t="s">
        <v>3400</v>
      </c>
      <c r="C14233" t="s">
        <v>17068</v>
      </c>
      <c r="D14233" t="s">
        <v>18853</v>
      </c>
      <c r="E14233" t="s">
        <v>31127</v>
      </c>
      <c r="F14233" t="s">
        <v>32664</v>
      </c>
      <c r="G14233" t="s">
        <v>32672</v>
      </c>
      <c r="H14233" t="s">
        <v>32683</v>
      </c>
      <c r="I14233" t="s">
        <v>10627</v>
      </c>
      <c r="J14233" t="s">
        <v>41278</v>
      </c>
      <c r="K14233" t="s">
        <v>42481</v>
      </c>
      <c r="M14233" t="s">
        <v>46369</v>
      </c>
      <c r="N14233" t="s">
        <v>46569</v>
      </c>
      <c r="O14233" t="s">
        <v>46570</v>
      </c>
      <c r="P14233">
        <v>0</v>
      </c>
      <c r="Q14233">
        <v>0</v>
      </c>
      <c r="R14233" t="s">
        <v>46587</v>
      </c>
      <c r="S14233" t="s">
        <v>47373</v>
      </c>
      <c r="T14233" t="s">
        <v>48293</v>
      </c>
      <c r="U14233" t="s">
        <v>60204</v>
      </c>
      <c r="V14233" t="s">
        <v>63201</v>
      </c>
      <c r="W14233" t="s">
        <v>46369</v>
      </c>
      <c r="X14233" t="s">
        <v>46588</v>
      </c>
    </row>
    <row r="14234" spans="1:24">
      <c r="A14234">
        <f>HYPERLINK("https://www.philgeps.gov.ph/GEPSNONPILOT/Tender/SplashBidNoticeAbstractUI.aspx?menuIndex=3&amp;refID=7034870&amp;Result=3","7034870")</f>
        <v>0</v>
      </c>
      <c r="B14234" t="s">
        <v>1214</v>
      </c>
      <c r="C14234" t="s">
        <v>17069</v>
      </c>
      <c r="D14234" t="s">
        <v>18839</v>
      </c>
      <c r="E14234" t="s">
        <v>31128</v>
      </c>
      <c r="F14234" t="s">
        <v>32664</v>
      </c>
      <c r="G14234" t="s">
        <v>32672</v>
      </c>
      <c r="H14234" t="s">
        <v>12635</v>
      </c>
      <c r="I14234" t="s">
        <v>32706</v>
      </c>
      <c r="J14234" t="s">
        <v>41279</v>
      </c>
      <c r="K14234" t="s">
        <v>42311</v>
      </c>
      <c r="M14234" t="s">
        <v>44781</v>
      </c>
      <c r="N14234" t="s">
        <v>46569</v>
      </c>
      <c r="O14234" t="s">
        <v>46570</v>
      </c>
      <c r="P14234">
        <v>0</v>
      </c>
      <c r="Q14234">
        <v>2</v>
      </c>
      <c r="R14234" t="s">
        <v>46587</v>
      </c>
      <c r="S14234" t="s">
        <v>47373</v>
      </c>
      <c r="T14234" t="s">
        <v>48282</v>
      </c>
      <c r="U14234" t="s">
        <v>60205</v>
      </c>
      <c r="W14234" t="s">
        <v>44781</v>
      </c>
      <c r="X14234" t="s">
        <v>46588</v>
      </c>
    </row>
    <row r="14235" spans="1:24">
      <c r="A14235">
        <f>HYPERLINK("https://www.philgeps.gov.ph/GEPSNONPILOT/Tender/SplashBidNoticeAbstractUI.aspx?menuIndex=3&amp;refID=7034562&amp;Result=3","7034562")</f>
        <v>0</v>
      </c>
      <c r="B14235" t="s">
        <v>555</v>
      </c>
      <c r="C14235" t="s">
        <v>17070</v>
      </c>
      <c r="D14235" t="s">
        <v>18841</v>
      </c>
      <c r="E14235" t="s">
        <v>31129</v>
      </c>
      <c r="F14235" t="s">
        <v>32664</v>
      </c>
      <c r="G14235" t="s">
        <v>32672</v>
      </c>
      <c r="H14235" t="s">
        <v>32683</v>
      </c>
      <c r="I14235" t="s">
        <v>10627</v>
      </c>
      <c r="J14235" t="s">
        <v>33969</v>
      </c>
      <c r="K14235" t="s">
        <v>42395</v>
      </c>
      <c r="M14235" t="s">
        <v>43135</v>
      </c>
      <c r="N14235" t="s">
        <v>46569</v>
      </c>
      <c r="O14235" t="s">
        <v>46570</v>
      </c>
      <c r="P14235">
        <v>0</v>
      </c>
      <c r="Q14235">
        <v>0</v>
      </c>
      <c r="R14235" t="s">
        <v>46587</v>
      </c>
      <c r="S14235" t="s">
        <v>47373</v>
      </c>
      <c r="T14235" t="s">
        <v>48293</v>
      </c>
      <c r="U14235" t="s">
        <v>60175</v>
      </c>
      <c r="W14235" t="s">
        <v>43135</v>
      </c>
      <c r="X14235" t="s">
        <v>46588</v>
      </c>
    </row>
    <row r="14236" spans="1:24">
      <c r="A14236">
        <f>HYPERLINK("https://www.philgeps.gov.ph/GEPSNONPILOT/Tender/SplashBidNoticeAbstractUI.aspx?menuIndex=3&amp;refID=7034852&amp;Result=3","7034852")</f>
        <v>0</v>
      </c>
      <c r="B14236" t="s">
        <v>1214</v>
      </c>
      <c r="C14236" t="s">
        <v>17071</v>
      </c>
      <c r="D14236" t="s">
        <v>18839</v>
      </c>
      <c r="E14236" t="s">
        <v>31130</v>
      </c>
      <c r="F14236" t="s">
        <v>32664</v>
      </c>
      <c r="G14236" t="s">
        <v>32672</v>
      </c>
      <c r="H14236" t="s">
        <v>12635</v>
      </c>
      <c r="I14236" t="s">
        <v>9486</v>
      </c>
      <c r="J14236" t="s">
        <v>41280</v>
      </c>
      <c r="K14236" t="s">
        <v>42289</v>
      </c>
      <c r="M14236" t="s">
        <v>44781</v>
      </c>
      <c r="N14236" t="s">
        <v>46569</v>
      </c>
      <c r="O14236" t="s">
        <v>46570</v>
      </c>
      <c r="P14236">
        <v>0</v>
      </c>
      <c r="Q14236">
        <v>7</v>
      </c>
      <c r="R14236" t="s">
        <v>46587</v>
      </c>
      <c r="S14236" t="s">
        <v>47373</v>
      </c>
      <c r="T14236" t="s">
        <v>48282</v>
      </c>
      <c r="U14236" t="s">
        <v>60206</v>
      </c>
      <c r="W14236" t="s">
        <v>44781</v>
      </c>
      <c r="X14236" t="s">
        <v>46588</v>
      </c>
    </row>
    <row r="14237" spans="1:24">
      <c r="A14237">
        <f>HYPERLINK("https://www.philgeps.gov.ph/GEPSNONPILOT/Tender/SplashBidNoticeAbstractUI.aspx?menuIndex=3&amp;refID=7034846&amp;Result=3","7034846")</f>
        <v>0</v>
      </c>
      <c r="B14237" t="s">
        <v>848</v>
      </c>
      <c r="C14237" t="s">
        <v>17072</v>
      </c>
      <c r="D14237" t="s">
        <v>18791</v>
      </c>
      <c r="E14237" t="s">
        <v>31131</v>
      </c>
      <c r="F14237" t="s">
        <v>32664</v>
      </c>
      <c r="G14237" t="s">
        <v>32672</v>
      </c>
      <c r="H14237" t="s">
        <v>12635</v>
      </c>
      <c r="I14237" t="s">
        <v>5589</v>
      </c>
      <c r="J14237" t="s">
        <v>41281</v>
      </c>
      <c r="K14237" t="s">
        <v>42290</v>
      </c>
      <c r="M14237" t="s">
        <v>43444</v>
      </c>
      <c r="N14237" t="s">
        <v>46569</v>
      </c>
      <c r="O14237" t="s">
        <v>46570</v>
      </c>
      <c r="P14237">
        <v>0</v>
      </c>
      <c r="Q14237">
        <v>8</v>
      </c>
      <c r="R14237" t="s">
        <v>46587</v>
      </c>
      <c r="S14237" t="s">
        <v>47373</v>
      </c>
      <c r="T14237" t="s">
        <v>48271</v>
      </c>
      <c r="U14237" t="s">
        <v>50421</v>
      </c>
      <c r="W14237" t="s">
        <v>43444</v>
      </c>
      <c r="X14237" t="s">
        <v>46588</v>
      </c>
    </row>
    <row r="14238" spans="1:24">
      <c r="A14238">
        <f>HYPERLINK("https://www.philgeps.gov.ph/GEPSNONPILOT/Tender/SplashBidNoticeAbstractUI.aspx?menuIndex=3&amp;refID=7034842&amp;Result=3","7034842")</f>
        <v>0</v>
      </c>
      <c r="B14238" t="s">
        <v>3401</v>
      </c>
      <c r="C14238" t="s">
        <v>17073</v>
      </c>
      <c r="D14238" t="s">
        <v>18793</v>
      </c>
      <c r="E14238" t="s">
        <v>31132</v>
      </c>
      <c r="F14238" t="s">
        <v>32664</v>
      </c>
      <c r="G14238" t="s">
        <v>32672</v>
      </c>
      <c r="H14238" t="s">
        <v>32683</v>
      </c>
      <c r="I14238" t="s">
        <v>10627</v>
      </c>
      <c r="J14238" t="s">
        <v>38494</v>
      </c>
      <c r="K14238" t="s">
        <v>42285</v>
      </c>
      <c r="M14238" t="s">
        <v>46370</v>
      </c>
      <c r="N14238" t="s">
        <v>46569</v>
      </c>
      <c r="O14238" t="s">
        <v>46570</v>
      </c>
      <c r="Q14238">
        <v>34</v>
      </c>
      <c r="R14238" t="s">
        <v>46587</v>
      </c>
      <c r="S14238" t="s">
        <v>47444</v>
      </c>
      <c r="T14238" t="s">
        <v>48225</v>
      </c>
      <c r="U14238" t="s">
        <v>60207</v>
      </c>
      <c r="W14238" t="s">
        <v>46370</v>
      </c>
      <c r="X14238" t="s">
        <v>46588</v>
      </c>
    </row>
    <row r="14239" spans="1:24">
      <c r="A14239">
        <f>HYPERLINK("https://www.philgeps.gov.ph/GEPSNONPILOT/Tender/SplashBidNoticeAbstractUI.aspx?menuIndex=3&amp;refID=7034866&amp;Result=3","7034866")</f>
        <v>0</v>
      </c>
      <c r="B14239" t="s">
        <v>3306</v>
      </c>
      <c r="C14239" t="s">
        <v>17074</v>
      </c>
      <c r="D14239" t="s">
        <v>18781</v>
      </c>
      <c r="E14239" t="s">
        <v>31133</v>
      </c>
      <c r="F14239" t="s">
        <v>32664</v>
      </c>
      <c r="G14239" t="s">
        <v>32672</v>
      </c>
      <c r="H14239" t="s">
        <v>32683</v>
      </c>
      <c r="I14239" t="s">
        <v>10627</v>
      </c>
      <c r="J14239" t="s">
        <v>41282</v>
      </c>
      <c r="K14239" t="s">
        <v>42376</v>
      </c>
      <c r="M14239" t="s">
        <v>46251</v>
      </c>
      <c r="N14239" t="s">
        <v>46569</v>
      </c>
      <c r="O14239" t="s">
        <v>46570</v>
      </c>
      <c r="P14239">
        <v>0</v>
      </c>
      <c r="Q14239">
        <v>2</v>
      </c>
      <c r="R14239" t="s">
        <v>46587</v>
      </c>
      <c r="S14239" t="s">
        <v>47373</v>
      </c>
      <c r="T14239" t="s">
        <v>48283</v>
      </c>
      <c r="U14239" t="s">
        <v>60208</v>
      </c>
      <c r="W14239" t="s">
        <v>46251</v>
      </c>
      <c r="X14239" t="s">
        <v>46588</v>
      </c>
    </row>
    <row r="14240" spans="1:24">
      <c r="A14240">
        <f>HYPERLINK("https://www.philgeps.gov.ph/GEPSNONPILOT/Tender/SplashBidNoticeAbstractUI.aspx?menuIndex=3&amp;refID=7034823&amp;Result=3","7034823")</f>
        <v>0</v>
      </c>
      <c r="B14240" t="s">
        <v>2465</v>
      </c>
      <c r="C14240" t="s">
        <v>17075</v>
      </c>
      <c r="D14240" t="s">
        <v>18831</v>
      </c>
      <c r="E14240" t="s">
        <v>31134</v>
      </c>
      <c r="F14240" t="s">
        <v>32664</v>
      </c>
      <c r="G14240" t="s">
        <v>32672</v>
      </c>
      <c r="H14240" t="s">
        <v>32683</v>
      </c>
      <c r="I14240" t="s">
        <v>10627</v>
      </c>
      <c r="J14240" t="s">
        <v>41283</v>
      </c>
      <c r="K14240" t="s">
        <v>42281</v>
      </c>
      <c r="M14240" t="s">
        <v>45262</v>
      </c>
      <c r="N14240" t="s">
        <v>46569</v>
      </c>
      <c r="O14240" t="s">
        <v>46570</v>
      </c>
      <c r="P14240">
        <v>0</v>
      </c>
      <c r="Q14240">
        <v>1</v>
      </c>
      <c r="R14240" t="s">
        <v>46587</v>
      </c>
      <c r="S14240" t="s">
        <v>47373</v>
      </c>
      <c r="T14240" t="s">
        <v>48278</v>
      </c>
      <c r="U14240" t="s">
        <v>60209</v>
      </c>
      <c r="W14240" t="s">
        <v>45262</v>
      </c>
      <c r="X14240" t="s">
        <v>46588</v>
      </c>
    </row>
    <row r="14241" spans="1:24">
      <c r="A14241">
        <f>HYPERLINK("https://www.philgeps.gov.ph/GEPSNONPILOT/Tender/SplashBidNoticeAbstractUI.aspx?menuIndex=3&amp;refID=7034490&amp;Result=3","7034490")</f>
        <v>0</v>
      </c>
      <c r="B14241" t="s">
        <v>1699</v>
      </c>
      <c r="C14241" t="s">
        <v>17076</v>
      </c>
      <c r="D14241" t="s">
        <v>18791</v>
      </c>
      <c r="E14241" t="s">
        <v>31135</v>
      </c>
      <c r="F14241" t="s">
        <v>32664</v>
      </c>
      <c r="G14241" t="s">
        <v>32673</v>
      </c>
      <c r="H14241" t="s">
        <v>12635</v>
      </c>
      <c r="I14241" t="s">
        <v>32689</v>
      </c>
      <c r="J14241" t="s">
        <v>41284</v>
      </c>
      <c r="K14241" t="s">
        <v>42283</v>
      </c>
      <c r="L14241" t="s">
        <v>1699</v>
      </c>
      <c r="M14241" t="s">
        <v>46368</v>
      </c>
      <c r="N14241" t="s">
        <v>46569</v>
      </c>
      <c r="O14241" t="s">
        <v>46570</v>
      </c>
      <c r="Q14241">
        <v>5</v>
      </c>
      <c r="R14241" t="s">
        <v>46587</v>
      </c>
      <c r="S14241" t="s">
        <v>47445</v>
      </c>
      <c r="T14241" t="s">
        <v>48293</v>
      </c>
      <c r="U14241" t="s">
        <v>60210</v>
      </c>
      <c r="W14241" t="s">
        <v>46368</v>
      </c>
      <c r="X14241" t="s">
        <v>46588</v>
      </c>
    </row>
    <row r="14242" spans="1:24">
      <c r="A14242">
        <f>HYPERLINK("https://www.philgeps.gov.ph/GEPSNONPILOT/Tender/SplashBidNoticeAbstractUI.aspx?menuIndex=3&amp;refID=7034854&amp;Result=3","7034854")</f>
        <v>0</v>
      </c>
      <c r="B14242" t="s">
        <v>460</v>
      </c>
      <c r="C14242" t="s">
        <v>17077</v>
      </c>
      <c r="D14242" t="s">
        <v>18806</v>
      </c>
      <c r="E14242" t="s">
        <v>31136</v>
      </c>
      <c r="F14242" t="s">
        <v>32664</v>
      </c>
      <c r="G14242" t="s">
        <v>32672</v>
      </c>
      <c r="H14242" t="s">
        <v>32683</v>
      </c>
      <c r="I14242" t="s">
        <v>10627</v>
      </c>
      <c r="J14242" t="s">
        <v>41285</v>
      </c>
      <c r="K14242" t="s">
        <v>42448</v>
      </c>
      <c r="M14242" t="s">
        <v>45683</v>
      </c>
      <c r="N14242" t="s">
        <v>46569</v>
      </c>
      <c r="O14242" t="s">
        <v>46570</v>
      </c>
      <c r="Q14242">
        <v>4</v>
      </c>
      <c r="R14242" t="s">
        <v>46587</v>
      </c>
      <c r="S14242" t="s">
        <v>47446</v>
      </c>
      <c r="T14242" t="s">
        <v>48244</v>
      </c>
      <c r="U14242" t="s">
        <v>57088</v>
      </c>
      <c r="V14242" t="s">
        <v>61668</v>
      </c>
      <c r="W14242" t="s">
        <v>45683</v>
      </c>
      <c r="X14242" t="s">
        <v>46588</v>
      </c>
    </row>
    <row r="14243" spans="1:24">
      <c r="A14243">
        <f>HYPERLINK("https://www.philgeps.gov.ph/GEPSNONPILOT/Tender/SplashBidNoticeAbstractUI.aspx?menuIndex=3&amp;refID=7034652&amp;Result=3","7034652")</f>
        <v>0</v>
      </c>
      <c r="B14243" t="s">
        <v>3138</v>
      </c>
      <c r="C14243" t="s">
        <v>17078</v>
      </c>
      <c r="D14243" t="s">
        <v>18803</v>
      </c>
      <c r="E14243" t="s">
        <v>31137</v>
      </c>
      <c r="F14243" t="s">
        <v>32664</v>
      </c>
      <c r="G14243" t="s">
        <v>32672</v>
      </c>
      <c r="H14243" t="s">
        <v>12635</v>
      </c>
      <c r="I14243" t="s">
        <v>5589</v>
      </c>
      <c r="J14243" t="s">
        <v>34559</v>
      </c>
      <c r="K14243" t="s">
        <v>42305</v>
      </c>
      <c r="M14243" t="s">
        <v>46032</v>
      </c>
      <c r="N14243" t="s">
        <v>46569</v>
      </c>
      <c r="O14243" t="s">
        <v>46570</v>
      </c>
      <c r="P14243">
        <v>0</v>
      </c>
      <c r="Q14243">
        <v>9</v>
      </c>
      <c r="R14243" t="s">
        <v>46587</v>
      </c>
      <c r="S14243" t="s">
        <v>47373</v>
      </c>
      <c r="T14243" t="s">
        <v>48293</v>
      </c>
      <c r="U14243" t="s">
        <v>60211</v>
      </c>
      <c r="V14243" t="s">
        <v>62929</v>
      </c>
      <c r="W14243" t="s">
        <v>46032</v>
      </c>
      <c r="X14243" t="s">
        <v>46588</v>
      </c>
    </row>
    <row r="14244" spans="1:24">
      <c r="A14244">
        <f>HYPERLINK("https://www.philgeps.gov.ph/GEPSNONPILOT/Tender/SplashBidNoticeAbstractUI.aspx?menuIndex=3&amp;refID=7034840&amp;Result=3","7034840")</f>
        <v>0</v>
      </c>
      <c r="B14244" t="s">
        <v>3243</v>
      </c>
      <c r="C14244" t="s">
        <v>17079</v>
      </c>
      <c r="D14244" t="s">
        <v>18828</v>
      </c>
      <c r="E14244" t="s">
        <v>31138</v>
      </c>
      <c r="F14244" t="s">
        <v>32664</v>
      </c>
      <c r="G14244" t="s">
        <v>32672</v>
      </c>
      <c r="H14244" t="s">
        <v>32683</v>
      </c>
      <c r="I14244" t="s">
        <v>10627</v>
      </c>
      <c r="J14244" t="s">
        <v>41286</v>
      </c>
      <c r="K14244" t="s">
        <v>42436</v>
      </c>
      <c r="M14244" t="s">
        <v>46167</v>
      </c>
      <c r="N14244" t="s">
        <v>46569</v>
      </c>
      <c r="O14244" t="s">
        <v>46570</v>
      </c>
      <c r="Q14244">
        <v>0</v>
      </c>
      <c r="R14244" t="s">
        <v>46587</v>
      </c>
      <c r="S14244" t="s">
        <v>47447</v>
      </c>
      <c r="T14244" t="s">
        <v>48221</v>
      </c>
      <c r="U14244" t="s">
        <v>60212</v>
      </c>
      <c r="V14244" t="s">
        <v>63202</v>
      </c>
      <c r="W14244" t="s">
        <v>46167</v>
      </c>
      <c r="X14244" t="s">
        <v>46588</v>
      </c>
    </row>
    <row r="14245" spans="1:24">
      <c r="A14245">
        <f>HYPERLINK("https://www.philgeps.gov.ph/GEPSNONPILOT/Tender/SplashBidNoticeAbstractUI.aspx?menuIndex=3&amp;refID=7034975&amp;Result=3","7034975")</f>
        <v>0</v>
      </c>
      <c r="B14245" t="s">
        <v>2913</v>
      </c>
      <c r="C14245" t="s">
        <v>17080</v>
      </c>
      <c r="D14245" t="s">
        <v>18847</v>
      </c>
      <c r="E14245" t="s">
        <v>31139</v>
      </c>
      <c r="F14245" t="s">
        <v>32664</v>
      </c>
      <c r="G14245" t="s">
        <v>32672</v>
      </c>
      <c r="H14245" t="s">
        <v>32683</v>
      </c>
      <c r="I14245" t="s">
        <v>10627</v>
      </c>
      <c r="J14245" t="s">
        <v>41287</v>
      </c>
      <c r="K14245" t="s">
        <v>42369</v>
      </c>
      <c r="M14245" t="s">
        <v>46371</v>
      </c>
      <c r="N14245" t="s">
        <v>46569</v>
      </c>
      <c r="O14245" t="s">
        <v>46570</v>
      </c>
      <c r="P14245">
        <v>0</v>
      </c>
      <c r="Q14245">
        <v>0</v>
      </c>
      <c r="R14245" t="s">
        <v>46587</v>
      </c>
      <c r="S14245" t="s">
        <v>47373</v>
      </c>
      <c r="T14245" t="s">
        <v>48258</v>
      </c>
      <c r="U14245" t="s">
        <v>60213</v>
      </c>
      <c r="W14245" t="s">
        <v>46371</v>
      </c>
      <c r="X14245" t="s">
        <v>46588</v>
      </c>
    </row>
    <row r="14246" spans="1:24">
      <c r="A14246">
        <f>HYPERLINK("https://www.philgeps.gov.ph/GEPSNONPILOT/Tender/SplashBidNoticeAbstractUI.aspx?menuIndex=3&amp;refID=7034966&amp;Result=3","7034966")</f>
        <v>0</v>
      </c>
      <c r="B14246" t="s">
        <v>2552</v>
      </c>
      <c r="C14246" t="s">
        <v>17081</v>
      </c>
      <c r="E14246" t="s">
        <v>31140</v>
      </c>
      <c r="F14246" t="s">
        <v>32664</v>
      </c>
      <c r="G14246" t="s">
        <v>32672</v>
      </c>
      <c r="H14246" t="s">
        <v>12635</v>
      </c>
      <c r="I14246" t="s">
        <v>32717</v>
      </c>
      <c r="J14246" t="s">
        <v>41288</v>
      </c>
      <c r="K14246" t="s">
        <v>42283</v>
      </c>
      <c r="M14246" t="s">
        <v>45363</v>
      </c>
      <c r="N14246" t="s">
        <v>46569</v>
      </c>
      <c r="O14246" t="s">
        <v>46570</v>
      </c>
      <c r="P14246">
        <v>0</v>
      </c>
      <c r="Q14246">
        <v>1</v>
      </c>
      <c r="R14246" t="s">
        <v>46587</v>
      </c>
      <c r="S14246" t="s">
        <v>47373</v>
      </c>
      <c r="T14246" t="s">
        <v>48729</v>
      </c>
      <c r="U14246" t="s">
        <v>55914</v>
      </c>
      <c r="W14246" t="s">
        <v>45363</v>
      </c>
      <c r="X14246" t="s">
        <v>46588</v>
      </c>
    </row>
    <row r="14247" spans="1:24">
      <c r="A14247">
        <f>HYPERLINK("https://www.philgeps.gov.ph/GEPSNONPILOT/Tender/SplashBidNoticeAbstractUI.aspx?menuIndex=3&amp;refID=7034958&amp;Result=3","7034958")</f>
        <v>0</v>
      </c>
      <c r="B14247" t="s">
        <v>1402</v>
      </c>
      <c r="C14247" t="s">
        <v>17082</v>
      </c>
      <c r="D14247" t="s">
        <v>18789</v>
      </c>
      <c r="E14247" t="s">
        <v>31141</v>
      </c>
      <c r="F14247" t="s">
        <v>32664</v>
      </c>
      <c r="G14247" t="s">
        <v>32672</v>
      </c>
      <c r="H14247" t="s">
        <v>12635</v>
      </c>
      <c r="I14247" t="s">
        <v>8797</v>
      </c>
      <c r="J14247" t="s">
        <v>41289</v>
      </c>
      <c r="K14247" t="s">
        <v>42281</v>
      </c>
      <c r="M14247" t="s">
        <v>45872</v>
      </c>
      <c r="N14247" t="s">
        <v>46569</v>
      </c>
      <c r="O14247" t="s">
        <v>46570</v>
      </c>
      <c r="P14247">
        <v>0</v>
      </c>
      <c r="Q14247">
        <v>7</v>
      </c>
      <c r="R14247" t="s">
        <v>46587</v>
      </c>
      <c r="S14247" t="s">
        <v>47373</v>
      </c>
      <c r="T14247" t="s">
        <v>48283</v>
      </c>
      <c r="U14247" t="s">
        <v>60214</v>
      </c>
      <c r="V14247" t="s">
        <v>63203</v>
      </c>
      <c r="W14247" t="s">
        <v>45872</v>
      </c>
      <c r="X14247" t="s">
        <v>46588</v>
      </c>
    </row>
    <row r="14248" spans="1:24">
      <c r="A14248">
        <f>HYPERLINK("https://www.philgeps.gov.ph/GEPSNONPILOT/Tender/SplashBidNoticeAbstractUI.aspx?menuIndex=3&amp;refID=7034655&amp;Result=3","7034655")</f>
        <v>0</v>
      </c>
      <c r="B14248" t="s">
        <v>758</v>
      </c>
      <c r="C14248" t="s">
        <v>17083</v>
      </c>
      <c r="D14248" t="s">
        <v>18838</v>
      </c>
      <c r="E14248" t="s">
        <v>31142</v>
      </c>
      <c r="F14248" t="s">
        <v>32664</v>
      </c>
      <c r="G14248" t="s">
        <v>32672</v>
      </c>
      <c r="H14248" t="s">
        <v>32683</v>
      </c>
      <c r="I14248" t="s">
        <v>10627</v>
      </c>
      <c r="J14248" t="s">
        <v>34379</v>
      </c>
      <c r="K14248" t="s">
        <v>42290</v>
      </c>
      <c r="M14248" t="s">
        <v>43348</v>
      </c>
      <c r="N14248" t="s">
        <v>46569</v>
      </c>
      <c r="O14248" t="s">
        <v>46570</v>
      </c>
      <c r="P14248">
        <v>0</v>
      </c>
      <c r="Q14248">
        <v>25</v>
      </c>
      <c r="R14248" t="s">
        <v>46587</v>
      </c>
      <c r="S14248" t="s">
        <v>47373</v>
      </c>
      <c r="T14248" t="s">
        <v>48221</v>
      </c>
      <c r="U14248" t="s">
        <v>54240</v>
      </c>
      <c r="V14248" t="s">
        <v>61806</v>
      </c>
      <c r="W14248" t="s">
        <v>43348</v>
      </c>
      <c r="X14248" t="s">
        <v>46588</v>
      </c>
    </row>
    <row r="14249" spans="1:24">
      <c r="A14249">
        <f>HYPERLINK("https://www.philgeps.gov.ph/GEPSNONPILOT/Tender/SplashBidNoticeAbstractUI.aspx?menuIndex=3&amp;refID=7034956&amp;Result=3","7034956")</f>
        <v>0</v>
      </c>
      <c r="B14249" t="s">
        <v>1479</v>
      </c>
      <c r="C14249" t="s">
        <v>17084</v>
      </c>
      <c r="D14249" t="s">
        <v>18788</v>
      </c>
      <c r="E14249" t="s">
        <v>31143</v>
      </c>
      <c r="F14249" t="s">
        <v>32664</v>
      </c>
      <c r="G14249" t="s">
        <v>32672</v>
      </c>
      <c r="H14249" t="s">
        <v>32683</v>
      </c>
      <c r="I14249" t="s">
        <v>10627</v>
      </c>
      <c r="J14249" t="s">
        <v>41290</v>
      </c>
      <c r="K14249" t="s">
        <v>42290</v>
      </c>
      <c r="M14249" t="s">
        <v>44142</v>
      </c>
      <c r="N14249" t="s">
        <v>46569</v>
      </c>
      <c r="O14249" t="s">
        <v>46570</v>
      </c>
      <c r="P14249">
        <v>0</v>
      </c>
      <c r="Q14249">
        <v>0</v>
      </c>
      <c r="R14249" t="s">
        <v>46587</v>
      </c>
      <c r="S14249" t="s">
        <v>47373</v>
      </c>
      <c r="T14249" t="s">
        <v>48528</v>
      </c>
      <c r="U14249" t="s">
        <v>55810</v>
      </c>
      <c r="W14249" t="s">
        <v>44142</v>
      </c>
      <c r="X14249" t="s">
        <v>46588</v>
      </c>
    </row>
    <row r="14250" spans="1:24">
      <c r="A14250">
        <f>HYPERLINK("https://www.philgeps.gov.ph/GEPSNONPILOT/Tender/SplashBidNoticeAbstractUI.aspx?menuIndex=3&amp;refID=7034941&amp;Result=3","7034941")</f>
        <v>0</v>
      </c>
      <c r="B14250" t="s">
        <v>3401</v>
      </c>
      <c r="C14250" t="s">
        <v>17085</v>
      </c>
      <c r="D14250" t="s">
        <v>18793</v>
      </c>
      <c r="E14250" t="s">
        <v>23456</v>
      </c>
      <c r="F14250" t="s">
        <v>32664</v>
      </c>
      <c r="G14250" t="s">
        <v>32672</v>
      </c>
      <c r="H14250" t="s">
        <v>32683</v>
      </c>
      <c r="I14250" t="s">
        <v>10627</v>
      </c>
      <c r="J14250" t="s">
        <v>38494</v>
      </c>
      <c r="K14250" t="s">
        <v>42285</v>
      </c>
      <c r="M14250" t="s">
        <v>46370</v>
      </c>
      <c r="N14250" t="s">
        <v>46569</v>
      </c>
      <c r="O14250" t="s">
        <v>46570</v>
      </c>
      <c r="Q14250">
        <v>33</v>
      </c>
      <c r="R14250" t="s">
        <v>46587</v>
      </c>
      <c r="S14250" t="s">
        <v>47448</v>
      </c>
      <c r="T14250" t="s">
        <v>48225</v>
      </c>
      <c r="U14250" t="s">
        <v>60215</v>
      </c>
      <c r="W14250" t="s">
        <v>46370</v>
      </c>
      <c r="X14250" t="s">
        <v>46588</v>
      </c>
    </row>
    <row r="14251" spans="1:24">
      <c r="A14251">
        <f>HYPERLINK("https://www.philgeps.gov.ph/GEPSNONPILOT/Tender/SplashBidNoticeAbstractUI.aspx?menuIndex=3&amp;refID=7034643&amp;Result=3","7034643")</f>
        <v>0</v>
      </c>
      <c r="B14251" t="s">
        <v>3306</v>
      </c>
      <c r="C14251" t="s">
        <v>17086</v>
      </c>
      <c r="D14251" t="s">
        <v>18781</v>
      </c>
      <c r="E14251" t="s">
        <v>31144</v>
      </c>
      <c r="F14251" t="s">
        <v>32664</v>
      </c>
      <c r="G14251" t="s">
        <v>32672</v>
      </c>
      <c r="H14251" t="s">
        <v>32683</v>
      </c>
      <c r="I14251" t="s">
        <v>10627</v>
      </c>
      <c r="J14251" t="s">
        <v>41291</v>
      </c>
      <c r="K14251" t="s">
        <v>42380</v>
      </c>
      <c r="M14251" t="s">
        <v>46251</v>
      </c>
      <c r="N14251" t="s">
        <v>46569</v>
      </c>
      <c r="O14251" t="s">
        <v>46570</v>
      </c>
      <c r="P14251">
        <v>0</v>
      </c>
      <c r="Q14251">
        <v>1</v>
      </c>
      <c r="R14251" t="s">
        <v>46587</v>
      </c>
      <c r="S14251" t="s">
        <v>47373</v>
      </c>
      <c r="T14251" t="s">
        <v>48283</v>
      </c>
      <c r="U14251" t="s">
        <v>60216</v>
      </c>
      <c r="W14251" t="s">
        <v>46251</v>
      </c>
      <c r="X14251" t="s">
        <v>46588</v>
      </c>
    </row>
    <row r="14252" spans="1:24">
      <c r="A14252">
        <f>HYPERLINK("https://www.philgeps.gov.ph/GEPSNONPILOT/Tender/SplashBidNoticeAbstractUI.aspx?menuIndex=3&amp;refID=7034931&amp;Result=3","7034931")</f>
        <v>0</v>
      </c>
      <c r="B14252" t="s">
        <v>3306</v>
      </c>
      <c r="C14252" t="s">
        <v>17087</v>
      </c>
      <c r="D14252" t="s">
        <v>18781</v>
      </c>
      <c r="E14252" t="s">
        <v>31145</v>
      </c>
      <c r="F14252" t="s">
        <v>32664</v>
      </c>
      <c r="G14252" t="s">
        <v>32672</v>
      </c>
      <c r="H14252" t="s">
        <v>32683</v>
      </c>
      <c r="I14252" t="s">
        <v>10627</v>
      </c>
      <c r="J14252" t="s">
        <v>41292</v>
      </c>
      <c r="K14252" t="s">
        <v>42298</v>
      </c>
      <c r="M14252" t="s">
        <v>46251</v>
      </c>
      <c r="N14252" t="s">
        <v>46569</v>
      </c>
      <c r="O14252" t="s">
        <v>46570</v>
      </c>
      <c r="P14252">
        <v>0</v>
      </c>
      <c r="Q14252">
        <v>2</v>
      </c>
      <c r="R14252" t="s">
        <v>46587</v>
      </c>
      <c r="S14252" t="s">
        <v>47373</v>
      </c>
      <c r="T14252" t="s">
        <v>48283</v>
      </c>
      <c r="U14252" t="s">
        <v>60217</v>
      </c>
      <c r="W14252" t="s">
        <v>46251</v>
      </c>
      <c r="X14252" t="s">
        <v>46588</v>
      </c>
    </row>
    <row r="14253" spans="1:24">
      <c r="A14253">
        <f>HYPERLINK("https://www.philgeps.gov.ph/GEPSNONPILOT/Tender/SplashBidNoticeAbstractUI.aspx?menuIndex=3&amp;refID=7034972&amp;Result=3","7034972")</f>
        <v>0</v>
      </c>
      <c r="B14253" t="s">
        <v>2552</v>
      </c>
      <c r="C14253" t="s">
        <v>17088</v>
      </c>
      <c r="E14253" t="s">
        <v>31146</v>
      </c>
      <c r="F14253" t="s">
        <v>32664</v>
      </c>
      <c r="G14253" t="s">
        <v>32672</v>
      </c>
      <c r="H14253" t="s">
        <v>12635</v>
      </c>
      <c r="I14253" t="s">
        <v>8797</v>
      </c>
      <c r="J14253" t="s">
        <v>41293</v>
      </c>
      <c r="K14253" t="s">
        <v>42283</v>
      </c>
      <c r="M14253" t="s">
        <v>45363</v>
      </c>
      <c r="N14253" t="s">
        <v>46569</v>
      </c>
      <c r="O14253" t="s">
        <v>46570</v>
      </c>
      <c r="P14253">
        <v>0</v>
      </c>
      <c r="Q14253">
        <v>6</v>
      </c>
      <c r="R14253" t="s">
        <v>46587</v>
      </c>
      <c r="S14253" t="s">
        <v>47373</v>
      </c>
      <c r="T14253" t="s">
        <v>48729</v>
      </c>
      <c r="U14253" t="s">
        <v>55914</v>
      </c>
      <c r="W14253" t="s">
        <v>45363</v>
      </c>
      <c r="X14253" t="s">
        <v>46588</v>
      </c>
    </row>
    <row r="14254" spans="1:24">
      <c r="A14254">
        <f>HYPERLINK("https://www.philgeps.gov.ph/GEPSNONPILOT/Tender/SplashBidNoticeAbstractUI.aspx?menuIndex=3&amp;refID=7034909&amp;Result=3","7034909")</f>
        <v>0</v>
      </c>
      <c r="B14254" t="s">
        <v>3402</v>
      </c>
      <c r="C14254" t="s">
        <v>17089</v>
      </c>
      <c r="D14254" t="s">
        <v>18863</v>
      </c>
      <c r="E14254" t="s">
        <v>31147</v>
      </c>
      <c r="F14254" t="s">
        <v>32664</v>
      </c>
      <c r="G14254" t="s">
        <v>32673</v>
      </c>
      <c r="H14254" t="s">
        <v>32683</v>
      </c>
      <c r="I14254" t="s">
        <v>10627</v>
      </c>
      <c r="J14254" t="s">
        <v>37240</v>
      </c>
      <c r="K14254" t="s">
        <v>42327</v>
      </c>
      <c r="M14254" t="s">
        <v>46372</v>
      </c>
      <c r="N14254" t="s">
        <v>46569</v>
      </c>
      <c r="O14254" t="s">
        <v>46570</v>
      </c>
      <c r="P14254">
        <v>0</v>
      </c>
      <c r="Q14254">
        <v>3</v>
      </c>
      <c r="R14254" t="s">
        <v>46587</v>
      </c>
      <c r="S14254" t="s">
        <v>47373</v>
      </c>
      <c r="T14254" t="s">
        <v>48258</v>
      </c>
      <c r="U14254" t="s">
        <v>60218</v>
      </c>
      <c r="W14254" t="s">
        <v>46372</v>
      </c>
      <c r="X14254" t="s">
        <v>46588</v>
      </c>
    </row>
    <row r="14255" spans="1:24">
      <c r="A14255">
        <f>HYPERLINK("https://www.philgeps.gov.ph/GEPSNONPILOT/Tender/SplashBidNoticeAbstractUI.aspx?menuIndex=3&amp;refID=7034980&amp;Result=3","7034980")</f>
        <v>0</v>
      </c>
      <c r="B14255" t="s">
        <v>3120</v>
      </c>
      <c r="C14255" t="s">
        <v>17090</v>
      </c>
      <c r="D14255" t="s">
        <v>18828</v>
      </c>
      <c r="E14255" t="s">
        <v>31148</v>
      </c>
      <c r="F14255" t="s">
        <v>32664</v>
      </c>
      <c r="G14255" t="s">
        <v>32673</v>
      </c>
      <c r="H14255" t="s">
        <v>32683</v>
      </c>
      <c r="I14255" t="s">
        <v>10627</v>
      </c>
      <c r="J14255" t="s">
        <v>41294</v>
      </c>
      <c r="K14255" t="s">
        <v>42408</v>
      </c>
      <c r="M14255" t="s">
        <v>46011</v>
      </c>
      <c r="N14255" t="s">
        <v>46569</v>
      </c>
      <c r="O14255" t="s">
        <v>46570</v>
      </c>
      <c r="P14255">
        <v>0</v>
      </c>
      <c r="Q14255">
        <v>0</v>
      </c>
      <c r="R14255" t="s">
        <v>46587</v>
      </c>
      <c r="S14255" t="s">
        <v>47373</v>
      </c>
      <c r="T14255" t="s">
        <v>48293</v>
      </c>
      <c r="U14255" t="s">
        <v>60219</v>
      </c>
      <c r="W14255" t="s">
        <v>46011</v>
      </c>
      <c r="X14255" t="s">
        <v>46588</v>
      </c>
    </row>
    <row r="14256" spans="1:24">
      <c r="A14256">
        <f>HYPERLINK("https://www.philgeps.gov.ph/GEPSNONPILOT/Tender/SplashBidNoticeAbstractUI.aspx?menuIndex=3&amp;refID=7034906&amp;Result=3","7034906")</f>
        <v>0</v>
      </c>
      <c r="B14256" t="s">
        <v>3306</v>
      </c>
      <c r="C14256" t="s">
        <v>17091</v>
      </c>
      <c r="D14256" t="s">
        <v>18781</v>
      </c>
      <c r="E14256" t="s">
        <v>31149</v>
      </c>
      <c r="F14256" t="s">
        <v>32664</v>
      </c>
      <c r="G14256" t="s">
        <v>32672</v>
      </c>
      <c r="H14256" t="s">
        <v>32683</v>
      </c>
      <c r="I14256" t="s">
        <v>10627</v>
      </c>
      <c r="J14256" t="s">
        <v>41295</v>
      </c>
      <c r="K14256" t="s">
        <v>42517</v>
      </c>
      <c r="M14256" t="s">
        <v>46251</v>
      </c>
      <c r="N14256" t="s">
        <v>46569</v>
      </c>
      <c r="O14256" t="s">
        <v>46570</v>
      </c>
      <c r="P14256">
        <v>0</v>
      </c>
      <c r="Q14256">
        <v>2</v>
      </c>
      <c r="R14256" t="s">
        <v>46587</v>
      </c>
      <c r="S14256" t="s">
        <v>47373</v>
      </c>
      <c r="T14256" t="s">
        <v>48283</v>
      </c>
      <c r="U14256" t="s">
        <v>60220</v>
      </c>
      <c r="W14256" t="s">
        <v>46251</v>
      </c>
      <c r="X14256" t="s">
        <v>46588</v>
      </c>
    </row>
    <row r="14257" spans="1:24">
      <c r="A14257">
        <f>HYPERLINK("https://www.philgeps.gov.ph/GEPSNONPILOT/Tender/SplashBidNoticeAbstractUI.aspx?menuIndex=3&amp;refID=7034908&amp;Result=3","7034908")</f>
        <v>0</v>
      </c>
      <c r="B14257" t="s">
        <v>765</v>
      </c>
      <c r="C14257" t="s">
        <v>17092</v>
      </c>
      <c r="D14257" t="s">
        <v>18831</v>
      </c>
      <c r="E14257" t="s">
        <v>31150</v>
      </c>
      <c r="F14257" t="s">
        <v>32664</v>
      </c>
      <c r="G14257" t="s">
        <v>32672</v>
      </c>
      <c r="H14257" t="s">
        <v>12635</v>
      </c>
      <c r="I14257" t="s">
        <v>32685</v>
      </c>
      <c r="J14257" t="s">
        <v>41296</v>
      </c>
      <c r="K14257" t="s">
        <v>42297</v>
      </c>
      <c r="M14257" t="s">
        <v>43356</v>
      </c>
      <c r="N14257" t="s">
        <v>46569</v>
      </c>
      <c r="O14257" t="s">
        <v>46570</v>
      </c>
      <c r="Q14257">
        <v>2</v>
      </c>
      <c r="R14257" t="s">
        <v>46587</v>
      </c>
      <c r="S14257" t="s">
        <v>47449</v>
      </c>
      <c r="T14257" t="s">
        <v>48221</v>
      </c>
      <c r="U14257" t="s">
        <v>60221</v>
      </c>
      <c r="W14257" t="s">
        <v>43356</v>
      </c>
      <c r="X14257" t="s">
        <v>46588</v>
      </c>
    </row>
    <row r="14258" spans="1:24">
      <c r="A14258">
        <f>HYPERLINK("https://www.philgeps.gov.ph/GEPSNONPILOT/Tender/SplashBidNoticeAbstractUI.aspx?menuIndex=3&amp;refID=7035019&amp;Result=3","7035019")</f>
        <v>0</v>
      </c>
      <c r="B14258" t="s">
        <v>2552</v>
      </c>
      <c r="C14258" t="s">
        <v>17093</v>
      </c>
      <c r="E14258" t="s">
        <v>31151</v>
      </c>
      <c r="F14258" t="s">
        <v>32664</v>
      </c>
      <c r="G14258" t="s">
        <v>32672</v>
      </c>
      <c r="H14258" t="s">
        <v>12635</v>
      </c>
      <c r="I14258" t="s">
        <v>32716</v>
      </c>
      <c r="J14258" t="s">
        <v>41297</v>
      </c>
      <c r="K14258" t="s">
        <v>42283</v>
      </c>
      <c r="M14258" t="s">
        <v>45363</v>
      </c>
      <c r="N14258" t="s">
        <v>46569</v>
      </c>
      <c r="O14258" t="s">
        <v>46570</v>
      </c>
      <c r="Q14258">
        <v>22</v>
      </c>
      <c r="R14258" t="s">
        <v>46587</v>
      </c>
      <c r="S14258" t="s">
        <v>47450</v>
      </c>
      <c r="T14258" t="s">
        <v>48244</v>
      </c>
      <c r="U14258" t="s">
        <v>55914</v>
      </c>
      <c r="W14258" t="s">
        <v>45363</v>
      </c>
      <c r="X14258" t="s">
        <v>46588</v>
      </c>
    </row>
    <row r="14259" spans="1:24">
      <c r="A14259">
        <f>HYPERLINK("https://www.philgeps.gov.ph/GEPSNONPILOT/Tender/SplashBidNoticeAbstractUI.aspx?menuIndex=3&amp;refID=7035015&amp;Result=3","7035015")</f>
        <v>0</v>
      </c>
      <c r="B14259" t="s">
        <v>2552</v>
      </c>
      <c r="C14259" t="s">
        <v>17094</v>
      </c>
      <c r="E14259" t="s">
        <v>31152</v>
      </c>
      <c r="F14259" t="s">
        <v>32664</v>
      </c>
      <c r="G14259" t="s">
        <v>32672</v>
      </c>
      <c r="H14259" t="s">
        <v>12635</v>
      </c>
      <c r="I14259" t="s">
        <v>32794</v>
      </c>
      <c r="J14259" t="s">
        <v>41298</v>
      </c>
      <c r="K14259" t="s">
        <v>42283</v>
      </c>
      <c r="M14259" t="s">
        <v>45363</v>
      </c>
      <c r="N14259" t="s">
        <v>46569</v>
      </c>
      <c r="O14259" t="s">
        <v>46570</v>
      </c>
      <c r="P14259">
        <v>0</v>
      </c>
      <c r="Q14259">
        <v>13</v>
      </c>
      <c r="R14259" t="s">
        <v>46587</v>
      </c>
      <c r="S14259" t="s">
        <v>47373</v>
      </c>
      <c r="T14259" t="s">
        <v>48729</v>
      </c>
      <c r="U14259" t="s">
        <v>55914</v>
      </c>
      <c r="W14259" t="s">
        <v>45363</v>
      </c>
      <c r="X14259" t="s">
        <v>46588</v>
      </c>
    </row>
    <row r="14260" spans="1:24">
      <c r="A14260">
        <f>HYPERLINK("https://www.philgeps.gov.ph/GEPSNONPILOT/Tender/SplashBidNoticeAbstractUI.aspx?menuIndex=3&amp;refID=7035024&amp;Result=3","7035024")</f>
        <v>0</v>
      </c>
      <c r="B14260" t="s">
        <v>2552</v>
      </c>
      <c r="C14260" t="s">
        <v>17095</v>
      </c>
      <c r="E14260" t="s">
        <v>31153</v>
      </c>
      <c r="F14260" t="s">
        <v>32664</v>
      </c>
      <c r="G14260" t="s">
        <v>32672</v>
      </c>
      <c r="H14260" t="s">
        <v>12635</v>
      </c>
      <c r="I14260" t="s">
        <v>32794</v>
      </c>
      <c r="J14260" t="s">
        <v>33216</v>
      </c>
      <c r="K14260" t="s">
        <v>42283</v>
      </c>
      <c r="M14260" t="s">
        <v>45363</v>
      </c>
      <c r="N14260" t="s">
        <v>46569</v>
      </c>
      <c r="O14260" t="s">
        <v>46570</v>
      </c>
      <c r="Q14260">
        <v>14</v>
      </c>
      <c r="R14260" t="s">
        <v>46587</v>
      </c>
      <c r="S14260" t="s">
        <v>47451</v>
      </c>
      <c r="T14260" t="s">
        <v>48729</v>
      </c>
      <c r="U14260" t="s">
        <v>55914</v>
      </c>
      <c r="W14260" t="s">
        <v>45363</v>
      </c>
      <c r="X14260" t="s">
        <v>46588</v>
      </c>
    </row>
    <row r="14261" spans="1:24">
      <c r="A14261">
        <f>HYPERLINK("https://www.philgeps.gov.ph/GEPSNONPILOT/Tender/SplashBidNoticeAbstractUI.aspx?menuIndex=3&amp;refID=7035020&amp;Result=3","7035020")</f>
        <v>0</v>
      </c>
      <c r="B14261" t="s">
        <v>3403</v>
      </c>
      <c r="C14261" t="s">
        <v>17096</v>
      </c>
      <c r="D14261" t="s">
        <v>18788</v>
      </c>
      <c r="E14261" t="s">
        <v>31154</v>
      </c>
      <c r="F14261" t="s">
        <v>32664</v>
      </c>
      <c r="G14261" t="s">
        <v>32672</v>
      </c>
      <c r="H14261" t="s">
        <v>12635</v>
      </c>
      <c r="I14261" t="s">
        <v>32694</v>
      </c>
      <c r="J14261" t="s">
        <v>41299</v>
      </c>
      <c r="K14261" t="s">
        <v>42283</v>
      </c>
      <c r="M14261" t="s">
        <v>46373</v>
      </c>
      <c r="N14261" t="s">
        <v>46569</v>
      </c>
      <c r="O14261" t="s">
        <v>46570</v>
      </c>
      <c r="P14261">
        <v>0</v>
      </c>
      <c r="Q14261">
        <v>3</v>
      </c>
      <c r="R14261" t="s">
        <v>46587</v>
      </c>
      <c r="S14261" t="s">
        <v>47373</v>
      </c>
      <c r="T14261" t="s">
        <v>48282</v>
      </c>
      <c r="U14261" t="s">
        <v>60222</v>
      </c>
      <c r="V14261" t="s">
        <v>63204</v>
      </c>
      <c r="W14261" t="s">
        <v>46373</v>
      </c>
      <c r="X14261" t="s">
        <v>46588</v>
      </c>
    </row>
    <row r="14262" spans="1:24">
      <c r="A14262">
        <f>HYPERLINK("https://www.philgeps.gov.ph/GEPSNONPILOT/Tender/SplashBidNoticeAbstractUI.aspx?menuIndex=3&amp;refID=7034815&amp;Result=3","7034815")</f>
        <v>0</v>
      </c>
      <c r="B14262" t="s">
        <v>460</v>
      </c>
      <c r="C14262" t="s">
        <v>17097</v>
      </c>
      <c r="D14262" t="s">
        <v>18806</v>
      </c>
      <c r="E14262" t="s">
        <v>31155</v>
      </c>
      <c r="F14262" t="s">
        <v>32664</v>
      </c>
      <c r="G14262" t="s">
        <v>32672</v>
      </c>
      <c r="H14262" t="s">
        <v>32683</v>
      </c>
      <c r="I14262" t="s">
        <v>10627</v>
      </c>
      <c r="J14262" t="s">
        <v>38036</v>
      </c>
      <c r="K14262" t="s">
        <v>42484</v>
      </c>
      <c r="M14262" t="s">
        <v>45683</v>
      </c>
      <c r="N14262" t="s">
        <v>46569</v>
      </c>
      <c r="O14262" t="s">
        <v>46570</v>
      </c>
      <c r="Q14262">
        <v>1</v>
      </c>
      <c r="R14262" t="s">
        <v>46587</v>
      </c>
      <c r="S14262" t="s">
        <v>47452</v>
      </c>
      <c r="T14262" t="s">
        <v>48244</v>
      </c>
      <c r="U14262" t="s">
        <v>57088</v>
      </c>
      <c r="V14262" t="s">
        <v>61668</v>
      </c>
      <c r="W14262" t="s">
        <v>45683</v>
      </c>
      <c r="X14262" t="s">
        <v>46588</v>
      </c>
    </row>
    <row r="14263" spans="1:24">
      <c r="A14263">
        <f>HYPERLINK("https://www.philgeps.gov.ph/GEPSNONPILOT/Tender/SplashBidNoticeAbstractUI.aspx?menuIndex=3&amp;refID=7034924&amp;Result=3","7034924")</f>
        <v>0</v>
      </c>
      <c r="B14263" t="s">
        <v>3401</v>
      </c>
      <c r="C14263" t="s">
        <v>17098</v>
      </c>
      <c r="D14263" t="s">
        <v>18851</v>
      </c>
      <c r="E14263" t="s">
        <v>31156</v>
      </c>
      <c r="F14263" t="s">
        <v>32664</v>
      </c>
      <c r="G14263" t="s">
        <v>32672</v>
      </c>
      <c r="H14263" t="s">
        <v>32683</v>
      </c>
      <c r="I14263" t="s">
        <v>10627</v>
      </c>
      <c r="J14263" t="s">
        <v>38494</v>
      </c>
      <c r="K14263" t="s">
        <v>42285</v>
      </c>
      <c r="M14263" t="s">
        <v>46370</v>
      </c>
      <c r="N14263" t="s">
        <v>46569</v>
      </c>
      <c r="O14263" t="s">
        <v>46570</v>
      </c>
      <c r="Q14263">
        <v>29</v>
      </c>
      <c r="R14263" t="s">
        <v>46587</v>
      </c>
      <c r="S14263" t="s">
        <v>47453</v>
      </c>
      <c r="T14263" t="s">
        <v>48225</v>
      </c>
      <c r="U14263" t="s">
        <v>60223</v>
      </c>
      <c r="W14263" t="s">
        <v>46370</v>
      </c>
      <c r="X14263" t="s">
        <v>46588</v>
      </c>
    </row>
    <row r="14264" spans="1:24">
      <c r="A14264">
        <f>HYPERLINK("https://www.philgeps.gov.ph/GEPSNONPILOT/Tender/SplashBidNoticeAbstractUI.aspx?menuIndex=3&amp;refID=7035009&amp;Result=3","7035009")</f>
        <v>0</v>
      </c>
      <c r="B14264" t="s">
        <v>3361</v>
      </c>
      <c r="C14264" t="s">
        <v>17099</v>
      </c>
      <c r="D14264" t="s">
        <v>18819</v>
      </c>
      <c r="E14264" t="s">
        <v>31157</v>
      </c>
      <c r="F14264" t="s">
        <v>32664</v>
      </c>
      <c r="G14264" t="s">
        <v>32672</v>
      </c>
      <c r="H14264" t="s">
        <v>12635</v>
      </c>
      <c r="I14264" t="s">
        <v>14442</v>
      </c>
      <c r="J14264" t="s">
        <v>41300</v>
      </c>
      <c r="K14264" t="s">
        <v>42305</v>
      </c>
      <c r="M14264" t="s">
        <v>46320</v>
      </c>
      <c r="N14264" t="s">
        <v>46569</v>
      </c>
      <c r="O14264" t="s">
        <v>46570</v>
      </c>
      <c r="P14264">
        <v>0</v>
      </c>
      <c r="Q14264">
        <v>14</v>
      </c>
      <c r="R14264" t="s">
        <v>46587</v>
      </c>
      <c r="S14264" t="s">
        <v>47373</v>
      </c>
      <c r="T14264" t="s">
        <v>48268</v>
      </c>
      <c r="U14264" t="s">
        <v>60224</v>
      </c>
      <c r="W14264" t="s">
        <v>46320</v>
      </c>
      <c r="X14264" t="s">
        <v>46588</v>
      </c>
    </row>
    <row r="14265" spans="1:24">
      <c r="A14265">
        <f>HYPERLINK("https://www.philgeps.gov.ph/GEPSNONPILOT/Tender/SplashBidNoticeAbstractUI.aspx?menuIndex=3&amp;refID=7035014&amp;Result=3","7035014")</f>
        <v>0</v>
      </c>
      <c r="B14265" t="s">
        <v>460</v>
      </c>
      <c r="C14265" t="s">
        <v>17100</v>
      </c>
      <c r="D14265" t="s">
        <v>18806</v>
      </c>
      <c r="E14265" t="s">
        <v>31158</v>
      </c>
      <c r="F14265" t="s">
        <v>32664</v>
      </c>
      <c r="G14265" t="s">
        <v>32672</v>
      </c>
      <c r="H14265" t="s">
        <v>32683</v>
      </c>
      <c r="I14265" t="s">
        <v>10627</v>
      </c>
      <c r="J14265" t="s">
        <v>32943</v>
      </c>
      <c r="K14265" t="s">
        <v>42305</v>
      </c>
      <c r="M14265" t="s">
        <v>45683</v>
      </c>
      <c r="N14265" t="s">
        <v>46569</v>
      </c>
      <c r="O14265" t="s">
        <v>46570</v>
      </c>
      <c r="Q14265">
        <v>0</v>
      </c>
      <c r="R14265" t="s">
        <v>46587</v>
      </c>
      <c r="S14265" t="s">
        <v>47454</v>
      </c>
      <c r="T14265" t="s">
        <v>48244</v>
      </c>
      <c r="U14265" t="s">
        <v>57088</v>
      </c>
      <c r="W14265" t="s">
        <v>45683</v>
      </c>
      <c r="X14265" t="s">
        <v>46588</v>
      </c>
    </row>
    <row r="14266" spans="1:24">
      <c r="A14266">
        <f>HYPERLINK("https://www.philgeps.gov.ph/GEPSNONPILOT/Tender/SplashBidNoticeAbstractUI.aspx?menuIndex=3&amp;refID=7034935&amp;Result=3","7034935")</f>
        <v>0</v>
      </c>
      <c r="B14266" t="s">
        <v>2561</v>
      </c>
      <c r="C14266" t="s">
        <v>17101</v>
      </c>
      <c r="D14266" t="s">
        <v>18852</v>
      </c>
      <c r="E14266" t="s">
        <v>31159</v>
      </c>
      <c r="F14266" t="s">
        <v>32664</v>
      </c>
      <c r="G14266" t="s">
        <v>32672</v>
      </c>
      <c r="H14266" t="s">
        <v>32683</v>
      </c>
      <c r="I14266" t="s">
        <v>10627</v>
      </c>
      <c r="J14266" t="s">
        <v>35617</v>
      </c>
      <c r="K14266" t="s">
        <v>42298</v>
      </c>
      <c r="M14266" t="s">
        <v>45372</v>
      </c>
      <c r="N14266" t="s">
        <v>46569</v>
      </c>
      <c r="O14266" t="s">
        <v>46570</v>
      </c>
      <c r="P14266">
        <v>0</v>
      </c>
      <c r="Q14266">
        <v>0</v>
      </c>
      <c r="R14266" t="s">
        <v>46587</v>
      </c>
      <c r="S14266" t="s">
        <v>47373</v>
      </c>
      <c r="T14266" t="s">
        <v>48293</v>
      </c>
      <c r="U14266" t="s">
        <v>60225</v>
      </c>
      <c r="V14266" t="s">
        <v>62532</v>
      </c>
      <c r="W14266" t="s">
        <v>45372</v>
      </c>
      <c r="X14266" t="s">
        <v>46588</v>
      </c>
    </row>
    <row r="14267" spans="1:24">
      <c r="A14267">
        <f>HYPERLINK("https://www.philgeps.gov.ph/GEPSNONPILOT/Tender/SplashBidNoticeAbstractUI.aspx?menuIndex=3&amp;refID=7035008&amp;Result=3","7035008")</f>
        <v>0</v>
      </c>
      <c r="B14267" t="s">
        <v>1479</v>
      </c>
      <c r="C14267" t="s">
        <v>17102</v>
      </c>
      <c r="D14267" t="s">
        <v>18788</v>
      </c>
      <c r="E14267" t="s">
        <v>31160</v>
      </c>
      <c r="F14267" t="s">
        <v>32664</v>
      </c>
      <c r="G14267" t="s">
        <v>32672</v>
      </c>
      <c r="H14267" t="s">
        <v>32683</v>
      </c>
      <c r="I14267" t="s">
        <v>10627</v>
      </c>
      <c r="J14267" t="s">
        <v>41301</v>
      </c>
      <c r="K14267" t="s">
        <v>42290</v>
      </c>
      <c r="M14267" t="s">
        <v>44142</v>
      </c>
      <c r="N14267" t="s">
        <v>46569</v>
      </c>
      <c r="O14267" t="s">
        <v>46570</v>
      </c>
      <c r="P14267">
        <v>0</v>
      </c>
      <c r="Q14267">
        <v>0</v>
      </c>
      <c r="R14267" t="s">
        <v>46587</v>
      </c>
      <c r="S14267" t="s">
        <v>47373</v>
      </c>
      <c r="T14267" t="s">
        <v>48282</v>
      </c>
      <c r="U14267" t="s">
        <v>55810</v>
      </c>
      <c r="W14267" t="s">
        <v>44142</v>
      </c>
      <c r="X14267" t="s">
        <v>46588</v>
      </c>
    </row>
    <row r="14268" spans="1:24">
      <c r="A14268">
        <f>HYPERLINK("https://www.philgeps.gov.ph/GEPSNONPILOT/Tender/SplashBidNoticeAbstractUI.aspx?menuIndex=3&amp;refID=7035007&amp;Result=3","7035007")</f>
        <v>0</v>
      </c>
      <c r="B14268" t="s">
        <v>2082</v>
      </c>
      <c r="C14268" t="s">
        <v>17103</v>
      </c>
      <c r="D14268" t="s">
        <v>18799</v>
      </c>
      <c r="E14268" t="s">
        <v>31161</v>
      </c>
      <c r="F14268" t="s">
        <v>32664</v>
      </c>
      <c r="G14268" t="s">
        <v>32672</v>
      </c>
      <c r="H14268" t="s">
        <v>32683</v>
      </c>
      <c r="I14268" t="s">
        <v>10627</v>
      </c>
      <c r="J14268" t="s">
        <v>32930</v>
      </c>
      <c r="K14268" t="s">
        <v>42311</v>
      </c>
      <c r="L14268" t="s">
        <v>2082</v>
      </c>
      <c r="M14268" t="s">
        <v>46374</v>
      </c>
      <c r="N14268" t="s">
        <v>46569</v>
      </c>
      <c r="O14268" t="s">
        <v>46570</v>
      </c>
      <c r="P14268">
        <v>0</v>
      </c>
      <c r="Q14268">
        <v>1</v>
      </c>
      <c r="R14268" t="s">
        <v>46587</v>
      </c>
      <c r="S14268" t="s">
        <v>47373</v>
      </c>
      <c r="T14268" t="s">
        <v>48283</v>
      </c>
      <c r="U14268" t="s">
        <v>60226</v>
      </c>
      <c r="V14268" t="s">
        <v>63205</v>
      </c>
      <c r="W14268" t="s">
        <v>46374</v>
      </c>
      <c r="X14268" t="s">
        <v>46588</v>
      </c>
    </row>
    <row r="14269" spans="1:24">
      <c r="A14269">
        <f>HYPERLINK("https://www.philgeps.gov.ph/GEPSNONPILOT/Tender/SplashBidNoticeAbstractUI.aspx?menuIndex=3&amp;refID=7035005&amp;Result=3","7035005")</f>
        <v>0</v>
      </c>
      <c r="B14269" t="s">
        <v>3120</v>
      </c>
      <c r="C14269" t="s">
        <v>17090</v>
      </c>
      <c r="D14269" t="s">
        <v>18828</v>
      </c>
      <c r="E14269" t="s">
        <v>31162</v>
      </c>
      <c r="F14269" t="s">
        <v>32664</v>
      </c>
      <c r="G14269" t="s">
        <v>32673</v>
      </c>
      <c r="H14269" t="s">
        <v>32683</v>
      </c>
      <c r="I14269" t="s">
        <v>10627</v>
      </c>
      <c r="J14269" t="s">
        <v>41302</v>
      </c>
      <c r="K14269" t="s">
        <v>42488</v>
      </c>
      <c r="M14269" t="s">
        <v>46011</v>
      </c>
      <c r="N14269" t="s">
        <v>46569</v>
      </c>
      <c r="O14269" t="s">
        <v>46570</v>
      </c>
      <c r="P14269">
        <v>0</v>
      </c>
      <c r="Q14269">
        <v>0</v>
      </c>
      <c r="R14269" t="s">
        <v>46587</v>
      </c>
      <c r="S14269" t="s">
        <v>47373</v>
      </c>
      <c r="T14269" t="s">
        <v>48293</v>
      </c>
      <c r="U14269" t="s">
        <v>60227</v>
      </c>
      <c r="W14269" t="s">
        <v>46011</v>
      </c>
      <c r="X14269" t="s">
        <v>46588</v>
      </c>
    </row>
    <row r="14270" spans="1:24">
      <c r="A14270">
        <f>HYPERLINK("https://www.philgeps.gov.ph/GEPSNONPILOT/Tender/SplashBidNoticeAbstractUI.aspx?menuIndex=3&amp;refID=7035001&amp;Result=3","7035001")</f>
        <v>0</v>
      </c>
      <c r="B14270" t="s">
        <v>3404</v>
      </c>
      <c r="C14270" t="s">
        <v>17104</v>
      </c>
      <c r="D14270" t="s">
        <v>18798</v>
      </c>
      <c r="E14270" t="s">
        <v>31163</v>
      </c>
      <c r="F14270" t="s">
        <v>32664</v>
      </c>
      <c r="G14270" t="s">
        <v>32672</v>
      </c>
      <c r="H14270" t="s">
        <v>32683</v>
      </c>
      <c r="I14270" t="s">
        <v>10627</v>
      </c>
      <c r="J14270" t="s">
        <v>41303</v>
      </c>
      <c r="K14270" t="s">
        <v>42281</v>
      </c>
      <c r="M14270" t="s">
        <v>46375</v>
      </c>
      <c r="N14270" t="s">
        <v>46569</v>
      </c>
      <c r="O14270" t="s">
        <v>46570</v>
      </c>
      <c r="P14270">
        <v>0</v>
      </c>
      <c r="Q14270">
        <v>3</v>
      </c>
      <c r="R14270" t="s">
        <v>46587</v>
      </c>
      <c r="S14270" t="s">
        <v>47373</v>
      </c>
      <c r="T14270" t="s">
        <v>48283</v>
      </c>
      <c r="U14270" t="s">
        <v>60228</v>
      </c>
      <c r="V14270" t="s">
        <v>63206</v>
      </c>
      <c r="W14270" t="s">
        <v>46375</v>
      </c>
      <c r="X14270" t="s">
        <v>46588</v>
      </c>
    </row>
    <row r="14271" spans="1:24">
      <c r="A14271">
        <f>HYPERLINK("https://www.philgeps.gov.ph/GEPSNONPILOT/Tender/SplashBidNoticeAbstractUI.aspx?menuIndex=3&amp;refID=7035002&amp;Result=3","7035002")</f>
        <v>0</v>
      </c>
      <c r="B14271" t="s">
        <v>3403</v>
      </c>
      <c r="C14271" t="s">
        <v>17105</v>
      </c>
      <c r="D14271" t="s">
        <v>18788</v>
      </c>
      <c r="E14271" t="s">
        <v>31164</v>
      </c>
      <c r="F14271" t="s">
        <v>32664</v>
      </c>
      <c r="G14271" t="s">
        <v>32672</v>
      </c>
      <c r="H14271" t="s">
        <v>12635</v>
      </c>
      <c r="I14271" t="s">
        <v>32694</v>
      </c>
      <c r="J14271" t="s">
        <v>41304</v>
      </c>
      <c r="K14271" t="s">
        <v>42283</v>
      </c>
      <c r="M14271" t="s">
        <v>46373</v>
      </c>
      <c r="N14271" t="s">
        <v>46569</v>
      </c>
      <c r="O14271" t="s">
        <v>46570</v>
      </c>
      <c r="P14271">
        <v>0</v>
      </c>
      <c r="Q14271">
        <v>3</v>
      </c>
      <c r="R14271" t="s">
        <v>46587</v>
      </c>
      <c r="S14271" t="s">
        <v>47373</v>
      </c>
      <c r="T14271" t="s">
        <v>48282</v>
      </c>
      <c r="U14271" t="s">
        <v>60222</v>
      </c>
      <c r="V14271" t="s">
        <v>63204</v>
      </c>
      <c r="W14271" t="s">
        <v>46373</v>
      </c>
      <c r="X14271" t="s">
        <v>46588</v>
      </c>
    </row>
    <row r="14272" spans="1:24">
      <c r="A14272">
        <f>HYPERLINK("https://www.philgeps.gov.ph/GEPSNONPILOT/Tender/SplashBidNoticeAbstractUI.aspx?menuIndex=3&amp;refID=7034945&amp;Result=3","7034945")</f>
        <v>0</v>
      </c>
      <c r="B14272" t="s">
        <v>3306</v>
      </c>
      <c r="C14272" t="s">
        <v>17106</v>
      </c>
      <c r="D14272" t="s">
        <v>18781</v>
      </c>
      <c r="E14272" t="s">
        <v>31165</v>
      </c>
      <c r="F14272" t="s">
        <v>32664</v>
      </c>
      <c r="G14272" t="s">
        <v>32672</v>
      </c>
      <c r="H14272" t="s">
        <v>32683</v>
      </c>
      <c r="I14272" t="s">
        <v>10627</v>
      </c>
      <c r="J14272" t="s">
        <v>41305</v>
      </c>
      <c r="K14272" t="s">
        <v>42298</v>
      </c>
      <c r="M14272" t="s">
        <v>46251</v>
      </c>
      <c r="N14272" t="s">
        <v>46569</v>
      </c>
      <c r="O14272" t="s">
        <v>46570</v>
      </c>
      <c r="P14272">
        <v>0</v>
      </c>
      <c r="Q14272">
        <v>2</v>
      </c>
      <c r="R14272" t="s">
        <v>46587</v>
      </c>
      <c r="S14272" t="s">
        <v>47373</v>
      </c>
      <c r="T14272" t="s">
        <v>48283</v>
      </c>
      <c r="U14272" t="s">
        <v>60229</v>
      </c>
      <c r="W14272" t="s">
        <v>46251</v>
      </c>
      <c r="X14272" t="s">
        <v>46588</v>
      </c>
    </row>
    <row r="14273" spans="1:24">
      <c r="A14273">
        <f>HYPERLINK("https://www.philgeps.gov.ph/GEPSNONPILOT/Tender/SplashBidNoticeAbstractUI.aspx?menuIndex=3&amp;refID=7034988&amp;Result=3","7034988")</f>
        <v>0</v>
      </c>
      <c r="B14273" t="s">
        <v>3306</v>
      </c>
      <c r="C14273" t="s">
        <v>17107</v>
      </c>
      <c r="D14273" t="s">
        <v>18781</v>
      </c>
      <c r="E14273" t="s">
        <v>31166</v>
      </c>
      <c r="F14273" t="s">
        <v>32664</v>
      </c>
      <c r="G14273" t="s">
        <v>32672</v>
      </c>
      <c r="H14273" t="s">
        <v>32683</v>
      </c>
      <c r="I14273" t="s">
        <v>10627</v>
      </c>
      <c r="J14273" t="s">
        <v>41306</v>
      </c>
      <c r="K14273" t="s">
        <v>42305</v>
      </c>
      <c r="M14273" t="s">
        <v>46251</v>
      </c>
      <c r="N14273" t="s">
        <v>46569</v>
      </c>
      <c r="O14273" t="s">
        <v>46570</v>
      </c>
      <c r="P14273">
        <v>0</v>
      </c>
      <c r="Q14273">
        <v>2</v>
      </c>
      <c r="R14273" t="s">
        <v>46587</v>
      </c>
      <c r="S14273" t="s">
        <v>47373</v>
      </c>
      <c r="T14273" t="s">
        <v>48283</v>
      </c>
      <c r="U14273" t="s">
        <v>60230</v>
      </c>
      <c r="W14273" t="s">
        <v>46251</v>
      </c>
      <c r="X14273" t="s">
        <v>46588</v>
      </c>
    </row>
    <row r="14274" spans="1:24">
      <c r="A14274">
        <f>HYPERLINK("https://www.philgeps.gov.ph/GEPSNONPILOT/Tender/SplashBidNoticeAbstractUI.aspx?menuIndex=3&amp;refID=7034983&amp;Result=3","7034983")</f>
        <v>0</v>
      </c>
      <c r="B14274" t="s">
        <v>2913</v>
      </c>
      <c r="C14274" t="s">
        <v>17108</v>
      </c>
      <c r="D14274" t="s">
        <v>18847</v>
      </c>
      <c r="E14274" t="s">
        <v>31167</v>
      </c>
      <c r="F14274" t="s">
        <v>32664</v>
      </c>
      <c r="G14274" t="s">
        <v>32672</v>
      </c>
      <c r="H14274" t="s">
        <v>32683</v>
      </c>
      <c r="I14274" t="s">
        <v>10627</v>
      </c>
      <c r="J14274" t="s">
        <v>41307</v>
      </c>
      <c r="K14274" t="s">
        <v>42292</v>
      </c>
      <c r="M14274" t="s">
        <v>46371</v>
      </c>
      <c r="N14274" t="s">
        <v>46569</v>
      </c>
      <c r="O14274" t="s">
        <v>46570</v>
      </c>
      <c r="P14274">
        <v>0</v>
      </c>
      <c r="Q14274">
        <v>0</v>
      </c>
      <c r="R14274" t="s">
        <v>46587</v>
      </c>
      <c r="S14274" t="s">
        <v>47373</v>
      </c>
      <c r="T14274" t="s">
        <v>48258</v>
      </c>
      <c r="U14274" t="s">
        <v>60213</v>
      </c>
      <c r="W14274" t="s">
        <v>46371</v>
      </c>
      <c r="X14274" t="s">
        <v>46588</v>
      </c>
    </row>
    <row r="14275" spans="1:24">
      <c r="A14275">
        <f>HYPERLINK("https://www.philgeps.gov.ph/GEPSNONPILOT/Tender/SplashBidNoticeAbstractUI.aspx?menuIndex=3&amp;refID=7034999&amp;Result=3","7034999")</f>
        <v>0</v>
      </c>
      <c r="B14275" t="s">
        <v>3306</v>
      </c>
      <c r="C14275" t="s">
        <v>17109</v>
      </c>
      <c r="D14275" t="s">
        <v>18781</v>
      </c>
      <c r="E14275" t="s">
        <v>31168</v>
      </c>
      <c r="F14275" t="s">
        <v>32664</v>
      </c>
      <c r="G14275" t="s">
        <v>32672</v>
      </c>
      <c r="H14275" t="s">
        <v>32683</v>
      </c>
      <c r="I14275" t="s">
        <v>10627</v>
      </c>
      <c r="J14275" t="s">
        <v>41308</v>
      </c>
      <c r="K14275" t="s">
        <v>42316</v>
      </c>
      <c r="M14275" t="s">
        <v>46251</v>
      </c>
      <c r="N14275" t="s">
        <v>46569</v>
      </c>
      <c r="O14275" t="s">
        <v>46570</v>
      </c>
      <c r="P14275">
        <v>0</v>
      </c>
      <c r="Q14275">
        <v>2</v>
      </c>
      <c r="R14275" t="s">
        <v>46587</v>
      </c>
      <c r="S14275" t="s">
        <v>47373</v>
      </c>
      <c r="T14275" t="s">
        <v>48283</v>
      </c>
      <c r="U14275" t="s">
        <v>60231</v>
      </c>
      <c r="W14275" t="s">
        <v>46251</v>
      </c>
      <c r="X14275" t="s">
        <v>46588</v>
      </c>
    </row>
    <row r="14276" spans="1:24">
      <c r="A14276">
        <f>HYPERLINK("https://www.philgeps.gov.ph/GEPSNONPILOT/Tender/SplashBidNoticeAbstractUI.aspx?menuIndex=3&amp;refID=7034894&amp;Result=3","7034894")</f>
        <v>0</v>
      </c>
      <c r="B14276" t="s">
        <v>1170</v>
      </c>
      <c r="C14276" t="s">
        <v>17110</v>
      </c>
      <c r="D14276" t="s">
        <v>18830</v>
      </c>
      <c r="E14276" t="s">
        <v>31169</v>
      </c>
      <c r="F14276" t="s">
        <v>32664</v>
      </c>
      <c r="G14276" t="s">
        <v>32672</v>
      </c>
      <c r="H14276" t="s">
        <v>32683</v>
      </c>
      <c r="I14276" t="s">
        <v>10627</v>
      </c>
      <c r="J14276" t="s">
        <v>41309</v>
      </c>
      <c r="K14276" t="s">
        <v>42430</v>
      </c>
      <c r="M14276" t="s">
        <v>43804</v>
      </c>
      <c r="N14276" t="s">
        <v>46569</v>
      </c>
      <c r="O14276" t="s">
        <v>46570</v>
      </c>
      <c r="P14276">
        <v>0</v>
      </c>
      <c r="Q14276">
        <v>1</v>
      </c>
      <c r="R14276" t="s">
        <v>46587</v>
      </c>
      <c r="S14276" t="s">
        <v>47373</v>
      </c>
      <c r="T14276" t="s">
        <v>48244</v>
      </c>
      <c r="U14276" t="s">
        <v>60232</v>
      </c>
      <c r="W14276" t="s">
        <v>43804</v>
      </c>
      <c r="X14276" t="s">
        <v>46588</v>
      </c>
    </row>
    <row r="14277" spans="1:24">
      <c r="A14277">
        <f>HYPERLINK("https://www.philgeps.gov.ph/GEPSNONPILOT/Tender/SplashBidNoticeAbstractUI.aspx?menuIndex=3&amp;refID=7034890&amp;Result=3","7034890")</f>
        <v>0</v>
      </c>
      <c r="B14277" t="s">
        <v>2176</v>
      </c>
      <c r="C14277" t="s">
        <v>17111</v>
      </c>
      <c r="D14277" t="s">
        <v>18806</v>
      </c>
      <c r="E14277" t="s">
        <v>31170</v>
      </c>
      <c r="F14277" t="s">
        <v>32664</v>
      </c>
      <c r="G14277" t="s">
        <v>32672</v>
      </c>
      <c r="H14277" t="s">
        <v>12635</v>
      </c>
      <c r="I14277" t="s">
        <v>4333</v>
      </c>
      <c r="J14277" t="s">
        <v>41310</v>
      </c>
      <c r="K14277" t="s">
        <v>42283</v>
      </c>
      <c r="M14277" t="s">
        <v>44936</v>
      </c>
      <c r="N14277" t="s">
        <v>46569</v>
      </c>
      <c r="O14277" t="s">
        <v>46570</v>
      </c>
      <c r="Q14277">
        <v>7</v>
      </c>
      <c r="R14277" t="s">
        <v>46587</v>
      </c>
      <c r="S14277" t="s">
        <v>47455</v>
      </c>
      <c r="T14277" t="s">
        <v>48221</v>
      </c>
      <c r="U14277" t="s">
        <v>60233</v>
      </c>
      <c r="W14277" t="s">
        <v>44936</v>
      </c>
      <c r="X14277" t="s">
        <v>46588</v>
      </c>
    </row>
    <row r="14278" spans="1:24">
      <c r="A14278">
        <f>HYPERLINK("https://www.philgeps.gov.ph/GEPSNONPILOT/Tender/SplashBidNoticeAbstractUI.aspx?menuIndex=3&amp;refID=7034985&amp;Result=3","7034985")</f>
        <v>0</v>
      </c>
      <c r="B14278" t="s">
        <v>2552</v>
      </c>
      <c r="C14278" t="s">
        <v>17112</v>
      </c>
      <c r="E14278" t="s">
        <v>31171</v>
      </c>
      <c r="F14278" t="s">
        <v>32664</v>
      </c>
      <c r="G14278" t="s">
        <v>32672</v>
      </c>
      <c r="H14278" t="s">
        <v>12635</v>
      </c>
      <c r="I14278" t="s">
        <v>32775</v>
      </c>
      <c r="J14278" t="s">
        <v>41311</v>
      </c>
      <c r="K14278" t="s">
        <v>42283</v>
      </c>
      <c r="M14278" t="s">
        <v>45363</v>
      </c>
      <c r="N14278" t="s">
        <v>46569</v>
      </c>
      <c r="O14278" t="s">
        <v>46570</v>
      </c>
      <c r="P14278">
        <v>0</v>
      </c>
      <c r="Q14278">
        <v>9</v>
      </c>
      <c r="R14278" t="s">
        <v>46587</v>
      </c>
      <c r="S14278" t="s">
        <v>47373</v>
      </c>
      <c r="T14278" t="s">
        <v>48729</v>
      </c>
      <c r="U14278" t="s">
        <v>55914</v>
      </c>
      <c r="W14278" t="s">
        <v>45363</v>
      </c>
      <c r="X14278" t="s">
        <v>46588</v>
      </c>
    </row>
    <row r="14279" spans="1:24">
      <c r="A14279">
        <f>HYPERLINK("https://www.philgeps.gov.ph/GEPSNONPILOT/Tender/SplashBidNoticeAbstractUI.aspx?menuIndex=3&amp;refID=7034889&amp;Result=3","7034889")</f>
        <v>0</v>
      </c>
      <c r="B14279" t="s">
        <v>273</v>
      </c>
      <c r="C14279" t="s">
        <v>17113</v>
      </c>
      <c r="D14279" t="s">
        <v>18812</v>
      </c>
      <c r="E14279" t="s">
        <v>20034</v>
      </c>
      <c r="F14279" t="s">
        <v>32664</v>
      </c>
      <c r="G14279" t="s">
        <v>32672</v>
      </c>
      <c r="H14279" t="s">
        <v>12635</v>
      </c>
      <c r="I14279" t="s">
        <v>32694</v>
      </c>
      <c r="J14279" t="s">
        <v>41312</v>
      </c>
      <c r="K14279" t="s">
        <v>42305</v>
      </c>
      <c r="M14279" t="s">
        <v>42838</v>
      </c>
      <c r="N14279" t="s">
        <v>46569</v>
      </c>
      <c r="O14279" t="s">
        <v>46570</v>
      </c>
      <c r="P14279">
        <v>0</v>
      </c>
      <c r="Q14279">
        <v>0</v>
      </c>
      <c r="R14279" t="s">
        <v>46587</v>
      </c>
      <c r="S14279" t="s">
        <v>47373</v>
      </c>
      <c r="T14279" t="s">
        <v>48314</v>
      </c>
      <c r="U14279" t="s">
        <v>60234</v>
      </c>
      <c r="W14279" t="s">
        <v>42838</v>
      </c>
      <c r="X14279" t="s">
        <v>46588</v>
      </c>
    </row>
    <row r="14280" spans="1:24">
      <c r="A14280">
        <f>HYPERLINK("https://www.philgeps.gov.ph/GEPSNONPILOT/Tender/SplashBidNoticeAbstractUI.aspx?menuIndex=3&amp;refID=7035010&amp;Result=3","7035010")</f>
        <v>0</v>
      </c>
      <c r="B14280" t="s">
        <v>2552</v>
      </c>
      <c r="C14280" t="s">
        <v>17114</v>
      </c>
      <c r="E14280" t="s">
        <v>31172</v>
      </c>
      <c r="F14280" t="s">
        <v>32664</v>
      </c>
      <c r="G14280" t="s">
        <v>32672</v>
      </c>
      <c r="H14280" t="s">
        <v>12635</v>
      </c>
      <c r="I14280" t="s">
        <v>32803</v>
      </c>
      <c r="J14280" t="s">
        <v>41313</v>
      </c>
      <c r="K14280" t="s">
        <v>42283</v>
      </c>
      <c r="M14280" t="s">
        <v>45363</v>
      </c>
      <c r="N14280" t="s">
        <v>46569</v>
      </c>
      <c r="O14280" t="s">
        <v>46570</v>
      </c>
      <c r="P14280">
        <v>0</v>
      </c>
      <c r="Q14280">
        <v>6</v>
      </c>
      <c r="R14280" t="s">
        <v>46587</v>
      </c>
      <c r="S14280" t="s">
        <v>47373</v>
      </c>
      <c r="T14280" t="s">
        <v>48729</v>
      </c>
      <c r="U14280" t="s">
        <v>55914</v>
      </c>
      <c r="W14280" t="s">
        <v>45363</v>
      </c>
      <c r="X14280" t="s">
        <v>46588</v>
      </c>
    </row>
    <row r="14281" spans="1:24">
      <c r="A14281">
        <f>HYPERLINK("https://www.philgeps.gov.ph/GEPSNONPILOT/Tender/SplashBidNoticeAbstractUI.aspx?menuIndex=3&amp;refID=7034981&amp;Result=3","7034981")</f>
        <v>0</v>
      </c>
      <c r="B14281" t="s">
        <v>3306</v>
      </c>
      <c r="C14281" t="s">
        <v>17115</v>
      </c>
      <c r="D14281" t="s">
        <v>18781</v>
      </c>
      <c r="E14281" t="s">
        <v>31173</v>
      </c>
      <c r="F14281" t="s">
        <v>32664</v>
      </c>
      <c r="G14281" t="s">
        <v>32672</v>
      </c>
      <c r="H14281" t="s">
        <v>32683</v>
      </c>
      <c r="I14281" t="s">
        <v>10627</v>
      </c>
      <c r="J14281" t="s">
        <v>41314</v>
      </c>
      <c r="K14281" t="s">
        <v>42363</v>
      </c>
      <c r="M14281" t="s">
        <v>46251</v>
      </c>
      <c r="N14281" t="s">
        <v>46569</v>
      </c>
      <c r="O14281" t="s">
        <v>46570</v>
      </c>
      <c r="P14281">
        <v>0</v>
      </c>
      <c r="Q14281">
        <v>2</v>
      </c>
      <c r="R14281" t="s">
        <v>46587</v>
      </c>
      <c r="S14281" t="s">
        <v>47373</v>
      </c>
      <c r="T14281" t="s">
        <v>48283</v>
      </c>
      <c r="U14281" t="s">
        <v>60235</v>
      </c>
      <c r="W14281" t="s">
        <v>46251</v>
      </c>
      <c r="X14281" t="s">
        <v>46588</v>
      </c>
    </row>
    <row r="14282" spans="1:24">
      <c r="A14282">
        <f>HYPERLINK("https://www.philgeps.gov.ph/GEPSNONPILOT/Tender/SplashBidNoticeAbstractUI.aspx?menuIndex=3&amp;refID=7035084&amp;Result=3","7035084")</f>
        <v>0</v>
      </c>
      <c r="B14282" t="s">
        <v>2398</v>
      </c>
      <c r="C14282" t="s">
        <v>17116</v>
      </c>
      <c r="D14282" t="s">
        <v>18781</v>
      </c>
      <c r="E14282" t="s">
        <v>31174</v>
      </c>
      <c r="F14282" t="s">
        <v>32664</v>
      </c>
      <c r="G14282" t="s">
        <v>32672</v>
      </c>
      <c r="H14282" t="s">
        <v>32683</v>
      </c>
      <c r="I14282" t="s">
        <v>10627</v>
      </c>
      <c r="J14282" t="s">
        <v>33051</v>
      </c>
      <c r="K14282" t="s">
        <v>42305</v>
      </c>
      <c r="M14282" t="s">
        <v>45188</v>
      </c>
      <c r="N14282" t="s">
        <v>46569</v>
      </c>
      <c r="O14282" t="s">
        <v>46570</v>
      </c>
      <c r="P14282">
        <v>0</v>
      </c>
      <c r="Q14282">
        <v>0</v>
      </c>
      <c r="R14282" t="s">
        <v>46587</v>
      </c>
      <c r="S14282" t="s">
        <v>47373</v>
      </c>
      <c r="T14282" t="s">
        <v>48599</v>
      </c>
      <c r="U14282" t="s">
        <v>60236</v>
      </c>
      <c r="W14282" t="s">
        <v>45188</v>
      </c>
      <c r="X14282" t="s">
        <v>46588</v>
      </c>
    </row>
    <row r="14283" spans="1:24">
      <c r="A14283">
        <f>HYPERLINK("https://www.philgeps.gov.ph/GEPSNONPILOT/Tender/SplashBidNoticeAbstractUI.aspx?menuIndex=3&amp;refID=7035083&amp;Result=3","7035083")</f>
        <v>0</v>
      </c>
      <c r="B14283" t="s">
        <v>2652</v>
      </c>
      <c r="C14283" t="s">
        <v>13169</v>
      </c>
      <c r="D14283" t="s">
        <v>18829</v>
      </c>
      <c r="E14283" t="s">
        <v>31175</v>
      </c>
      <c r="F14283" t="s">
        <v>32664</v>
      </c>
      <c r="G14283" t="s">
        <v>32672</v>
      </c>
      <c r="H14283" t="s">
        <v>32683</v>
      </c>
      <c r="I14283" t="s">
        <v>32733</v>
      </c>
      <c r="J14283" t="s">
        <v>32943</v>
      </c>
      <c r="K14283" t="s">
        <v>42308</v>
      </c>
      <c r="M14283" t="s">
        <v>45474</v>
      </c>
      <c r="N14283" t="s">
        <v>46569</v>
      </c>
      <c r="O14283" t="s">
        <v>46570</v>
      </c>
      <c r="P14283">
        <v>0</v>
      </c>
      <c r="Q14283">
        <v>10</v>
      </c>
      <c r="R14283" t="s">
        <v>46587</v>
      </c>
      <c r="S14283" t="s">
        <v>47373</v>
      </c>
      <c r="T14283" t="s">
        <v>48334</v>
      </c>
      <c r="U14283" t="s">
        <v>60237</v>
      </c>
      <c r="W14283" t="s">
        <v>45474</v>
      </c>
      <c r="X14283" t="s">
        <v>46588</v>
      </c>
    </row>
    <row r="14284" spans="1:24">
      <c r="A14284">
        <f>HYPERLINK("https://www.philgeps.gov.ph/GEPSNONPILOT/Tender/SplashBidNoticeAbstractUI.aspx?menuIndex=3&amp;refID=7035077&amp;Result=3","7035077")</f>
        <v>0</v>
      </c>
      <c r="B14284" t="s">
        <v>2398</v>
      </c>
      <c r="C14284" t="s">
        <v>17117</v>
      </c>
      <c r="D14284" t="s">
        <v>18781</v>
      </c>
      <c r="E14284" t="s">
        <v>31176</v>
      </c>
      <c r="F14284" t="s">
        <v>32664</v>
      </c>
      <c r="G14284" t="s">
        <v>32672</v>
      </c>
      <c r="H14284" t="s">
        <v>32683</v>
      </c>
      <c r="I14284" t="s">
        <v>10627</v>
      </c>
      <c r="J14284" t="s">
        <v>33410</v>
      </c>
      <c r="K14284" t="s">
        <v>42298</v>
      </c>
      <c r="M14284" t="s">
        <v>45188</v>
      </c>
      <c r="N14284" t="s">
        <v>46569</v>
      </c>
      <c r="O14284" t="s">
        <v>46570</v>
      </c>
      <c r="P14284">
        <v>0</v>
      </c>
      <c r="Q14284">
        <v>0</v>
      </c>
      <c r="R14284" t="s">
        <v>46587</v>
      </c>
      <c r="S14284" t="s">
        <v>47373</v>
      </c>
      <c r="T14284" t="s">
        <v>48599</v>
      </c>
      <c r="U14284" t="s">
        <v>60238</v>
      </c>
      <c r="W14284" t="s">
        <v>45188</v>
      </c>
      <c r="X14284" t="s">
        <v>46588</v>
      </c>
    </row>
    <row r="14285" spans="1:24">
      <c r="A14285">
        <f>HYPERLINK("https://www.philgeps.gov.ph/GEPSNONPILOT/Tender/SplashBidNoticeAbstractUI.aspx?menuIndex=3&amp;refID=7035072&amp;Result=3","7035072")</f>
        <v>0</v>
      </c>
      <c r="B14285" t="s">
        <v>3029</v>
      </c>
      <c r="C14285" t="s">
        <v>17118</v>
      </c>
      <c r="D14285" t="s">
        <v>18786</v>
      </c>
      <c r="E14285" t="s">
        <v>31177</v>
      </c>
      <c r="F14285" t="s">
        <v>32664</v>
      </c>
      <c r="G14285" t="s">
        <v>32672</v>
      </c>
      <c r="H14285" t="s">
        <v>32683</v>
      </c>
      <c r="I14285" t="s">
        <v>10627</v>
      </c>
      <c r="J14285" t="s">
        <v>32943</v>
      </c>
      <c r="K14285" t="s">
        <v>42311</v>
      </c>
      <c r="M14285" t="s">
        <v>45902</v>
      </c>
      <c r="N14285" t="s">
        <v>46569</v>
      </c>
      <c r="O14285" t="s">
        <v>46570</v>
      </c>
      <c r="Q14285">
        <v>0</v>
      </c>
      <c r="R14285" t="s">
        <v>46587</v>
      </c>
      <c r="S14285" t="s">
        <v>47456</v>
      </c>
      <c r="T14285" t="s">
        <v>48228</v>
      </c>
      <c r="U14285" t="s">
        <v>60239</v>
      </c>
      <c r="W14285" t="s">
        <v>45902</v>
      </c>
      <c r="X14285" t="s">
        <v>46588</v>
      </c>
    </row>
    <row r="14286" spans="1:24">
      <c r="A14286">
        <f>HYPERLINK("https://www.philgeps.gov.ph/GEPSNONPILOT/Tender/SplashBidNoticeAbstractUI.aspx?menuIndex=3&amp;refID=7035067&amp;Result=3","7035067")</f>
        <v>0</v>
      </c>
      <c r="B14286" t="s">
        <v>3403</v>
      </c>
      <c r="C14286" t="s">
        <v>17119</v>
      </c>
      <c r="D14286" t="s">
        <v>18788</v>
      </c>
      <c r="E14286" t="s">
        <v>31178</v>
      </c>
      <c r="F14286" t="s">
        <v>32664</v>
      </c>
      <c r="G14286" t="s">
        <v>32672</v>
      </c>
      <c r="H14286" t="s">
        <v>32683</v>
      </c>
      <c r="I14286" t="s">
        <v>32733</v>
      </c>
      <c r="J14286" t="s">
        <v>41315</v>
      </c>
      <c r="K14286" t="s">
        <v>42365</v>
      </c>
      <c r="M14286" t="s">
        <v>46373</v>
      </c>
      <c r="N14286" t="s">
        <v>46569</v>
      </c>
      <c r="O14286" t="s">
        <v>46570</v>
      </c>
      <c r="P14286">
        <v>0</v>
      </c>
      <c r="Q14286">
        <v>3</v>
      </c>
      <c r="R14286" t="s">
        <v>46587</v>
      </c>
      <c r="S14286" t="s">
        <v>47373</v>
      </c>
      <c r="T14286" t="s">
        <v>48282</v>
      </c>
      <c r="U14286" t="s">
        <v>60240</v>
      </c>
      <c r="V14286" t="s">
        <v>63204</v>
      </c>
      <c r="W14286" t="s">
        <v>46373</v>
      </c>
      <c r="X14286" t="s">
        <v>46588</v>
      </c>
    </row>
    <row r="14287" spans="1:24">
      <c r="A14287">
        <f>HYPERLINK("https://www.philgeps.gov.ph/GEPSNONPILOT/Tender/SplashBidNoticeAbstractUI.aspx?menuIndex=3&amp;refID=7035064&amp;Result=3","7035064")</f>
        <v>0</v>
      </c>
      <c r="B14287" t="s">
        <v>871</v>
      </c>
      <c r="C14287" t="s">
        <v>17120</v>
      </c>
      <c r="D14287" t="s">
        <v>18784</v>
      </c>
      <c r="E14287" t="s">
        <v>31179</v>
      </c>
      <c r="F14287" t="s">
        <v>32664</v>
      </c>
      <c r="G14287" t="s">
        <v>32672</v>
      </c>
      <c r="H14287" t="s">
        <v>12635</v>
      </c>
      <c r="I14287" t="s">
        <v>5589</v>
      </c>
      <c r="J14287" t="s">
        <v>32930</v>
      </c>
      <c r="K14287" t="s">
        <v>42311</v>
      </c>
      <c r="M14287" t="s">
        <v>43471</v>
      </c>
      <c r="N14287" t="s">
        <v>46569</v>
      </c>
      <c r="O14287" t="s">
        <v>46570</v>
      </c>
      <c r="P14287">
        <v>0</v>
      </c>
      <c r="Q14287">
        <v>17</v>
      </c>
      <c r="R14287" t="s">
        <v>46587</v>
      </c>
      <c r="S14287" t="s">
        <v>47373</v>
      </c>
      <c r="T14287" t="s">
        <v>48228</v>
      </c>
      <c r="U14287" t="s">
        <v>50482</v>
      </c>
      <c r="V14287" t="s">
        <v>62881</v>
      </c>
      <c r="W14287" t="s">
        <v>43471</v>
      </c>
      <c r="X14287" t="s">
        <v>46588</v>
      </c>
    </row>
    <row r="14288" spans="1:24">
      <c r="A14288">
        <f>HYPERLINK("https://www.philgeps.gov.ph/GEPSNONPILOT/Tender/SplashBidNoticeAbstractUI.aspx?menuIndex=3&amp;refID=7035055&amp;Result=3","7035055")</f>
        <v>0</v>
      </c>
      <c r="B14288" t="s">
        <v>3403</v>
      </c>
      <c r="C14288" t="s">
        <v>17121</v>
      </c>
      <c r="D14288" t="s">
        <v>18788</v>
      </c>
      <c r="E14288" t="s">
        <v>31180</v>
      </c>
      <c r="F14288" t="s">
        <v>32664</v>
      </c>
      <c r="G14288" t="s">
        <v>32672</v>
      </c>
      <c r="H14288" t="s">
        <v>32683</v>
      </c>
      <c r="I14288" t="s">
        <v>32733</v>
      </c>
      <c r="J14288" t="s">
        <v>41316</v>
      </c>
      <c r="K14288" t="s">
        <v>42308</v>
      </c>
      <c r="M14288" t="s">
        <v>46373</v>
      </c>
      <c r="N14288" t="s">
        <v>46569</v>
      </c>
      <c r="O14288" t="s">
        <v>46570</v>
      </c>
      <c r="P14288">
        <v>0</v>
      </c>
      <c r="Q14288">
        <v>1</v>
      </c>
      <c r="R14288" t="s">
        <v>46587</v>
      </c>
      <c r="S14288" t="s">
        <v>47373</v>
      </c>
      <c r="T14288" t="s">
        <v>48282</v>
      </c>
      <c r="U14288" t="s">
        <v>60240</v>
      </c>
      <c r="V14288" t="s">
        <v>63204</v>
      </c>
      <c r="W14288" t="s">
        <v>46373</v>
      </c>
      <c r="X14288" t="s">
        <v>46588</v>
      </c>
    </row>
    <row r="14289" spans="1:24">
      <c r="A14289">
        <f>HYPERLINK("https://www.philgeps.gov.ph/GEPSNONPILOT/Tender/SplashBidNoticeAbstractUI.aspx?menuIndex=3&amp;refID=7035011&amp;Result=3","7035011")</f>
        <v>0</v>
      </c>
      <c r="B14289" t="s">
        <v>3306</v>
      </c>
      <c r="C14289" t="s">
        <v>17122</v>
      </c>
      <c r="D14289" t="s">
        <v>18781</v>
      </c>
      <c r="E14289" t="s">
        <v>31181</v>
      </c>
      <c r="F14289" t="s">
        <v>32664</v>
      </c>
      <c r="G14289" t="s">
        <v>32672</v>
      </c>
      <c r="H14289" t="s">
        <v>32683</v>
      </c>
      <c r="I14289" t="s">
        <v>10627</v>
      </c>
      <c r="J14289" t="s">
        <v>41317</v>
      </c>
      <c r="K14289" t="s">
        <v>42551</v>
      </c>
      <c r="M14289" t="s">
        <v>46251</v>
      </c>
      <c r="N14289" t="s">
        <v>46569</v>
      </c>
      <c r="O14289" t="s">
        <v>46570</v>
      </c>
      <c r="P14289">
        <v>0</v>
      </c>
      <c r="Q14289">
        <v>2</v>
      </c>
      <c r="R14289" t="s">
        <v>46587</v>
      </c>
      <c r="S14289" t="s">
        <v>47373</v>
      </c>
      <c r="T14289" t="s">
        <v>48268</v>
      </c>
      <c r="U14289" t="s">
        <v>60241</v>
      </c>
      <c r="W14289" t="s">
        <v>46251</v>
      </c>
      <c r="X14289" t="s">
        <v>46588</v>
      </c>
    </row>
    <row r="14290" spans="1:24">
      <c r="A14290">
        <f>HYPERLINK("https://www.philgeps.gov.ph/GEPSNONPILOT/Tender/SplashBidNoticeAbstractUI.aspx?menuIndex=3&amp;refID=7035045&amp;Result=3","7035045")</f>
        <v>0</v>
      </c>
      <c r="B14290" t="s">
        <v>1479</v>
      </c>
      <c r="C14290" t="s">
        <v>17123</v>
      </c>
      <c r="D14290" t="s">
        <v>18788</v>
      </c>
      <c r="E14290" t="s">
        <v>31182</v>
      </c>
      <c r="F14290" t="s">
        <v>32664</v>
      </c>
      <c r="G14290" t="s">
        <v>32672</v>
      </c>
      <c r="H14290" t="s">
        <v>32683</v>
      </c>
      <c r="I14290" t="s">
        <v>10627</v>
      </c>
      <c r="J14290" t="s">
        <v>41318</v>
      </c>
      <c r="K14290" t="s">
        <v>42290</v>
      </c>
      <c r="M14290" t="s">
        <v>44142</v>
      </c>
      <c r="N14290" t="s">
        <v>46569</v>
      </c>
      <c r="O14290" t="s">
        <v>46570</v>
      </c>
      <c r="P14290">
        <v>0</v>
      </c>
      <c r="Q14290">
        <v>0</v>
      </c>
      <c r="R14290" t="s">
        <v>46587</v>
      </c>
      <c r="S14290" t="s">
        <v>47373</v>
      </c>
      <c r="T14290" t="s">
        <v>48282</v>
      </c>
      <c r="U14290" t="s">
        <v>55810</v>
      </c>
      <c r="W14290" t="s">
        <v>44142</v>
      </c>
      <c r="X14290" t="s">
        <v>46588</v>
      </c>
    </row>
    <row r="14291" spans="1:24">
      <c r="A14291">
        <f>HYPERLINK("https://www.philgeps.gov.ph/GEPSNONPILOT/Tender/SplashBidNoticeAbstractUI.aspx?menuIndex=3&amp;refID=7035069&amp;Result=3","7035069")</f>
        <v>0</v>
      </c>
      <c r="B14291" t="s">
        <v>3402</v>
      </c>
      <c r="C14291" t="s">
        <v>17089</v>
      </c>
      <c r="D14291" t="s">
        <v>18863</v>
      </c>
      <c r="E14291" t="s">
        <v>31147</v>
      </c>
      <c r="F14291" t="s">
        <v>32664</v>
      </c>
      <c r="G14291" t="s">
        <v>32672</v>
      </c>
      <c r="H14291" t="s">
        <v>32683</v>
      </c>
      <c r="I14291" t="s">
        <v>10627</v>
      </c>
      <c r="J14291" t="s">
        <v>37240</v>
      </c>
      <c r="K14291" t="s">
        <v>42327</v>
      </c>
      <c r="M14291" t="s">
        <v>46376</v>
      </c>
      <c r="N14291" t="s">
        <v>46569</v>
      </c>
      <c r="O14291" t="s">
        <v>46570</v>
      </c>
      <c r="P14291">
        <v>0</v>
      </c>
      <c r="Q14291">
        <v>2</v>
      </c>
      <c r="R14291" t="s">
        <v>46587</v>
      </c>
      <c r="S14291" t="s">
        <v>47373</v>
      </c>
      <c r="T14291" t="s">
        <v>48568</v>
      </c>
      <c r="U14291" t="s">
        <v>60218</v>
      </c>
      <c r="W14291" t="s">
        <v>46376</v>
      </c>
      <c r="X14291" t="s">
        <v>46588</v>
      </c>
    </row>
    <row r="14292" spans="1:24">
      <c r="A14292">
        <f>HYPERLINK("https://www.philgeps.gov.ph/GEPSNONPILOT/Tender/SplashBidNoticeAbstractUI.aspx?menuIndex=3&amp;refID=7035044&amp;Result=3","7035044")</f>
        <v>0</v>
      </c>
      <c r="B14292" t="s">
        <v>3306</v>
      </c>
      <c r="C14292" t="s">
        <v>17124</v>
      </c>
      <c r="D14292" t="s">
        <v>18781</v>
      </c>
      <c r="E14292" t="s">
        <v>31183</v>
      </c>
      <c r="F14292" t="s">
        <v>32664</v>
      </c>
      <c r="G14292" t="s">
        <v>32672</v>
      </c>
      <c r="H14292" t="s">
        <v>32683</v>
      </c>
      <c r="I14292" t="s">
        <v>10627</v>
      </c>
      <c r="J14292" t="s">
        <v>41319</v>
      </c>
      <c r="K14292" t="s">
        <v>42540</v>
      </c>
      <c r="M14292" t="s">
        <v>46251</v>
      </c>
      <c r="N14292" t="s">
        <v>46569</v>
      </c>
      <c r="O14292" t="s">
        <v>46570</v>
      </c>
      <c r="P14292">
        <v>0</v>
      </c>
      <c r="Q14292">
        <v>4</v>
      </c>
      <c r="R14292" t="s">
        <v>46587</v>
      </c>
      <c r="S14292" t="s">
        <v>47373</v>
      </c>
      <c r="T14292" t="s">
        <v>48268</v>
      </c>
      <c r="U14292" t="s">
        <v>60242</v>
      </c>
      <c r="W14292" t="s">
        <v>46251</v>
      </c>
      <c r="X14292" t="s">
        <v>46588</v>
      </c>
    </row>
    <row r="14293" spans="1:24">
      <c r="A14293">
        <f>HYPERLINK("https://www.philgeps.gov.ph/GEPSNONPILOT/Tender/SplashBidNoticeAbstractUI.aspx?menuIndex=3&amp;refID=7035062&amp;Result=3","7035062")</f>
        <v>0</v>
      </c>
      <c r="B14293" t="s">
        <v>83</v>
      </c>
      <c r="C14293" t="s">
        <v>17125</v>
      </c>
      <c r="D14293" t="s">
        <v>18784</v>
      </c>
      <c r="E14293" t="s">
        <v>31184</v>
      </c>
      <c r="F14293" t="s">
        <v>32664</v>
      </c>
      <c r="G14293" t="s">
        <v>32672</v>
      </c>
      <c r="H14293" t="s">
        <v>12635</v>
      </c>
      <c r="I14293" t="s">
        <v>32689</v>
      </c>
      <c r="J14293" t="s">
        <v>41320</v>
      </c>
      <c r="K14293" t="s">
        <v>42283</v>
      </c>
      <c r="M14293" t="s">
        <v>45741</v>
      </c>
      <c r="N14293" t="s">
        <v>46569</v>
      </c>
      <c r="O14293" t="s">
        <v>46570</v>
      </c>
      <c r="P14293">
        <v>0</v>
      </c>
      <c r="Q14293">
        <v>7</v>
      </c>
      <c r="R14293" t="s">
        <v>46587</v>
      </c>
      <c r="S14293" t="s">
        <v>47373</v>
      </c>
      <c r="T14293" t="s">
        <v>48244</v>
      </c>
      <c r="U14293" t="s">
        <v>60243</v>
      </c>
      <c r="W14293" t="s">
        <v>45741</v>
      </c>
      <c r="X14293" t="s">
        <v>46588</v>
      </c>
    </row>
    <row r="14294" spans="1:24">
      <c r="A14294">
        <f>HYPERLINK("https://www.philgeps.gov.ph/GEPSNONPILOT/Tender/SplashBidNoticeAbstractUI.aspx?menuIndex=3&amp;refID=7035043&amp;Result=3","7035043")</f>
        <v>0</v>
      </c>
      <c r="B14294" t="s">
        <v>460</v>
      </c>
      <c r="C14294" t="s">
        <v>17126</v>
      </c>
      <c r="D14294" t="s">
        <v>18806</v>
      </c>
      <c r="E14294" t="s">
        <v>31185</v>
      </c>
      <c r="F14294" t="s">
        <v>32664</v>
      </c>
      <c r="G14294" t="s">
        <v>32672</v>
      </c>
      <c r="H14294" t="s">
        <v>32683</v>
      </c>
      <c r="I14294" t="s">
        <v>10627</v>
      </c>
      <c r="J14294" t="s">
        <v>39094</v>
      </c>
      <c r="K14294" t="s">
        <v>42521</v>
      </c>
      <c r="M14294" t="s">
        <v>45683</v>
      </c>
      <c r="N14294" t="s">
        <v>46569</v>
      </c>
      <c r="O14294" t="s">
        <v>46570</v>
      </c>
      <c r="Q14294">
        <v>0</v>
      </c>
      <c r="R14294" t="s">
        <v>46587</v>
      </c>
      <c r="S14294" t="s">
        <v>47457</v>
      </c>
      <c r="T14294" t="s">
        <v>48244</v>
      </c>
      <c r="U14294" t="s">
        <v>60244</v>
      </c>
      <c r="W14294" t="s">
        <v>45683</v>
      </c>
      <c r="X14294" t="s">
        <v>46588</v>
      </c>
    </row>
    <row r="14295" spans="1:24">
      <c r="A14295">
        <f>HYPERLINK("https://www.philgeps.gov.ph/GEPSNONPILOT/Tender/SplashBidNoticeAbstractUI.aspx?menuIndex=3&amp;refID=7035040&amp;Result=3","7035040")</f>
        <v>0</v>
      </c>
      <c r="B14295" t="s">
        <v>3306</v>
      </c>
      <c r="C14295" t="s">
        <v>17127</v>
      </c>
      <c r="D14295" t="s">
        <v>18781</v>
      </c>
      <c r="E14295" t="s">
        <v>31186</v>
      </c>
      <c r="F14295" t="s">
        <v>32664</v>
      </c>
      <c r="G14295" t="s">
        <v>32672</v>
      </c>
      <c r="H14295" t="s">
        <v>32683</v>
      </c>
      <c r="I14295" t="s">
        <v>10627</v>
      </c>
      <c r="J14295" t="s">
        <v>41321</v>
      </c>
      <c r="K14295" t="s">
        <v>42451</v>
      </c>
      <c r="M14295" t="s">
        <v>46251</v>
      </c>
      <c r="N14295" t="s">
        <v>46569</v>
      </c>
      <c r="O14295" t="s">
        <v>46570</v>
      </c>
      <c r="P14295">
        <v>0</v>
      </c>
      <c r="Q14295">
        <v>3</v>
      </c>
      <c r="R14295" t="s">
        <v>46587</v>
      </c>
      <c r="S14295" t="s">
        <v>47373</v>
      </c>
      <c r="T14295" t="s">
        <v>48268</v>
      </c>
      <c r="U14295" t="s">
        <v>60245</v>
      </c>
      <c r="W14295" t="s">
        <v>46251</v>
      </c>
      <c r="X14295" t="s">
        <v>46588</v>
      </c>
    </row>
    <row r="14296" spans="1:24">
      <c r="A14296">
        <f>HYPERLINK("https://www.philgeps.gov.ph/GEPSNONPILOT/Tender/SplashBidNoticeAbstractUI.aspx?menuIndex=3&amp;refID=7035038&amp;Result=3","7035038")</f>
        <v>0</v>
      </c>
      <c r="B14296" t="s">
        <v>3306</v>
      </c>
      <c r="C14296" t="s">
        <v>17128</v>
      </c>
      <c r="D14296" t="s">
        <v>18781</v>
      </c>
      <c r="E14296" t="s">
        <v>31187</v>
      </c>
      <c r="F14296" t="s">
        <v>32664</v>
      </c>
      <c r="G14296" t="s">
        <v>32672</v>
      </c>
      <c r="H14296" t="s">
        <v>32683</v>
      </c>
      <c r="I14296" t="s">
        <v>10627</v>
      </c>
      <c r="J14296" t="s">
        <v>41322</v>
      </c>
      <c r="K14296" t="s">
        <v>42451</v>
      </c>
      <c r="M14296" t="s">
        <v>46251</v>
      </c>
      <c r="N14296" t="s">
        <v>46569</v>
      </c>
      <c r="O14296" t="s">
        <v>46570</v>
      </c>
      <c r="P14296">
        <v>0</v>
      </c>
      <c r="Q14296">
        <v>3</v>
      </c>
      <c r="R14296" t="s">
        <v>46587</v>
      </c>
      <c r="S14296" t="s">
        <v>47373</v>
      </c>
      <c r="T14296" t="s">
        <v>48268</v>
      </c>
      <c r="U14296" t="s">
        <v>60246</v>
      </c>
      <c r="W14296" t="s">
        <v>46251</v>
      </c>
      <c r="X14296" t="s">
        <v>46588</v>
      </c>
    </row>
    <row r="14297" spans="1:24">
      <c r="A14297">
        <f>HYPERLINK("https://www.philgeps.gov.ph/GEPSNONPILOT/Tender/SplashBidNoticeAbstractUI.aspx?menuIndex=3&amp;refID=7035034&amp;Result=3","7035034")</f>
        <v>0</v>
      </c>
      <c r="B14297" t="s">
        <v>460</v>
      </c>
      <c r="C14297" t="s">
        <v>17129</v>
      </c>
      <c r="D14297" t="s">
        <v>18806</v>
      </c>
      <c r="E14297" t="s">
        <v>31188</v>
      </c>
      <c r="F14297" t="s">
        <v>32664</v>
      </c>
      <c r="G14297" t="s">
        <v>32672</v>
      </c>
      <c r="H14297" t="s">
        <v>32683</v>
      </c>
      <c r="I14297" t="s">
        <v>10627</v>
      </c>
      <c r="J14297" t="s">
        <v>34595</v>
      </c>
      <c r="K14297" t="s">
        <v>42391</v>
      </c>
      <c r="M14297" t="s">
        <v>45683</v>
      </c>
      <c r="N14297" t="s">
        <v>46569</v>
      </c>
      <c r="O14297" t="s">
        <v>46570</v>
      </c>
      <c r="Q14297">
        <v>6</v>
      </c>
      <c r="R14297" t="s">
        <v>46587</v>
      </c>
      <c r="S14297" t="s">
        <v>47458</v>
      </c>
      <c r="T14297" t="s">
        <v>48244</v>
      </c>
      <c r="U14297" t="s">
        <v>57088</v>
      </c>
      <c r="W14297" t="s">
        <v>45683</v>
      </c>
      <c r="X14297" t="s">
        <v>46588</v>
      </c>
    </row>
    <row r="14298" spans="1:24">
      <c r="A14298">
        <f>HYPERLINK("https://www.philgeps.gov.ph/GEPSNONPILOT/Tender/SplashBidNoticeAbstractUI.aspx?menuIndex=3&amp;refID=7035033&amp;Result=3","7035033")</f>
        <v>0</v>
      </c>
      <c r="B14298" t="s">
        <v>1479</v>
      </c>
      <c r="C14298" t="s">
        <v>17130</v>
      </c>
      <c r="D14298" t="s">
        <v>18788</v>
      </c>
      <c r="E14298" t="s">
        <v>31189</v>
      </c>
      <c r="F14298" t="s">
        <v>32664</v>
      </c>
      <c r="G14298" t="s">
        <v>32672</v>
      </c>
      <c r="H14298" t="s">
        <v>32683</v>
      </c>
      <c r="I14298" t="s">
        <v>10627</v>
      </c>
      <c r="J14298" t="s">
        <v>41301</v>
      </c>
      <c r="K14298" t="s">
        <v>42290</v>
      </c>
      <c r="M14298" t="s">
        <v>44142</v>
      </c>
      <c r="N14298" t="s">
        <v>46569</v>
      </c>
      <c r="O14298" t="s">
        <v>46570</v>
      </c>
      <c r="P14298">
        <v>0</v>
      </c>
      <c r="Q14298">
        <v>0</v>
      </c>
      <c r="R14298" t="s">
        <v>46587</v>
      </c>
      <c r="S14298" t="s">
        <v>47373</v>
      </c>
      <c r="T14298" t="s">
        <v>48282</v>
      </c>
      <c r="U14298" t="s">
        <v>55810</v>
      </c>
      <c r="W14298" t="s">
        <v>44142</v>
      </c>
      <c r="X14298" t="s">
        <v>46588</v>
      </c>
    </row>
    <row r="14299" spans="1:24">
      <c r="A14299">
        <f>HYPERLINK("https://www.philgeps.gov.ph/GEPSNONPILOT/Tender/SplashBidNoticeAbstractUI.aspx?menuIndex=3&amp;refID=7035142&amp;Result=3","7035142")</f>
        <v>0</v>
      </c>
      <c r="B14299" t="s">
        <v>3029</v>
      </c>
      <c r="C14299" t="s">
        <v>17131</v>
      </c>
      <c r="D14299" t="s">
        <v>18786</v>
      </c>
      <c r="E14299" t="s">
        <v>31190</v>
      </c>
      <c r="F14299" t="s">
        <v>32664</v>
      </c>
      <c r="G14299" t="s">
        <v>32672</v>
      </c>
      <c r="H14299" t="s">
        <v>32683</v>
      </c>
      <c r="I14299" t="s">
        <v>10627</v>
      </c>
      <c r="J14299" t="s">
        <v>41323</v>
      </c>
      <c r="K14299" t="s">
        <v>42298</v>
      </c>
      <c r="M14299" t="s">
        <v>45902</v>
      </c>
      <c r="N14299" t="s">
        <v>46569</v>
      </c>
      <c r="O14299" t="s">
        <v>46570</v>
      </c>
      <c r="Q14299">
        <v>0</v>
      </c>
      <c r="R14299" t="s">
        <v>46587</v>
      </c>
      <c r="S14299" t="s">
        <v>47459</v>
      </c>
      <c r="T14299" t="s">
        <v>48228</v>
      </c>
      <c r="U14299" t="s">
        <v>60247</v>
      </c>
      <c r="W14299" t="s">
        <v>45902</v>
      </c>
      <c r="X14299" t="s">
        <v>46588</v>
      </c>
    </row>
    <row r="14300" spans="1:24">
      <c r="A14300">
        <f>HYPERLINK("https://www.philgeps.gov.ph/GEPSNONPILOT/Tender/SplashBidNoticeAbstractUI.aspx?menuIndex=3&amp;refID=7034996&amp;Result=3","7034996")</f>
        <v>0</v>
      </c>
      <c r="B14300" t="s">
        <v>2552</v>
      </c>
      <c r="C14300" t="s">
        <v>17132</v>
      </c>
      <c r="E14300" t="s">
        <v>31191</v>
      </c>
      <c r="F14300" t="s">
        <v>32664</v>
      </c>
      <c r="G14300" t="s">
        <v>32672</v>
      </c>
      <c r="H14300" t="s">
        <v>12635</v>
      </c>
      <c r="I14300" t="s">
        <v>32804</v>
      </c>
      <c r="J14300" t="s">
        <v>34148</v>
      </c>
      <c r="K14300" t="s">
        <v>42283</v>
      </c>
      <c r="M14300" t="s">
        <v>45363</v>
      </c>
      <c r="N14300" t="s">
        <v>46569</v>
      </c>
      <c r="O14300" t="s">
        <v>46570</v>
      </c>
      <c r="Q14300">
        <v>5</v>
      </c>
      <c r="R14300" t="s">
        <v>46587</v>
      </c>
      <c r="S14300" t="s">
        <v>47140</v>
      </c>
      <c r="T14300" t="s">
        <v>48729</v>
      </c>
      <c r="U14300" t="s">
        <v>55914</v>
      </c>
      <c r="W14300" t="s">
        <v>45363</v>
      </c>
      <c r="X14300" t="s">
        <v>46588</v>
      </c>
    </row>
    <row r="14301" spans="1:24">
      <c r="A14301">
        <f>HYPERLINK("https://www.philgeps.gov.ph/GEPSNONPILOT/Tender/SplashBidNoticeAbstractUI.aspx?menuIndex=3&amp;refID=7034874&amp;Result=3","7034874")</f>
        <v>0</v>
      </c>
      <c r="B14301" t="s">
        <v>634</v>
      </c>
      <c r="C14301" t="s">
        <v>17133</v>
      </c>
      <c r="E14301" t="s">
        <v>31192</v>
      </c>
      <c r="F14301" t="s">
        <v>32664</v>
      </c>
      <c r="G14301" t="s">
        <v>32678</v>
      </c>
      <c r="H14301" t="s">
        <v>32681</v>
      </c>
      <c r="I14301" t="s">
        <v>32681</v>
      </c>
      <c r="J14301" t="s">
        <v>41324</v>
      </c>
      <c r="K14301" t="s">
        <v>42283</v>
      </c>
      <c r="M14301" t="s">
        <v>43217</v>
      </c>
      <c r="N14301" t="s">
        <v>46569</v>
      </c>
      <c r="O14301" t="s">
        <v>46570</v>
      </c>
      <c r="Q14301">
        <v>4</v>
      </c>
      <c r="R14301" t="s">
        <v>46587</v>
      </c>
      <c r="S14301" t="s">
        <v>47460</v>
      </c>
      <c r="T14301" t="s">
        <v>48284</v>
      </c>
      <c r="U14301" t="s">
        <v>60248</v>
      </c>
      <c r="W14301" t="s">
        <v>43217</v>
      </c>
      <c r="X14301" t="s">
        <v>46588</v>
      </c>
    </row>
    <row r="14302" spans="1:24">
      <c r="A14302">
        <f>HYPERLINK("https://www.philgeps.gov.ph/GEPSNONPILOT/Tender/SplashBidNoticeAbstractUI.aspx?menuIndex=3&amp;refID=7035148&amp;Result=3","7035148")</f>
        <v>0</v>
      </c>
      <c r="B14302" t="s">
        <v>3029</v>
      </c>
      <c r="C14302" t="s">
        <v>17134</v>
      </c>
      <c r="D14302" t="s">
        <v>18786</v>
      </c>
      <c r="E14302" t="s">
        <v>31193</v>
      </c>
      <c r="F14302" t="s">
        <v>32664</v>
      </c>
      <c r="G14302" t="s">
        <v>32672</v>
      </c>
      <c r="H14302" t="s">
        <v>12635</v>
      </c>
      <c r="I14302" t="s">
        <v>32754</v>
      </c>
      <c r="J14302" t="s">
        <v>41325</v>
      </c>
      <c r="K14302" t="s">
        <v>42281</v>
      </c>
      <c r="M14302" t="s">
        <v>45902</v>
      </c>
      <c r="N14302" t="s">
        <v>46569</v>
      </c>
      <c r="O14302" t="s">
        <v>46570</v>
      </c>
      <c r="Q14302">
        <v>1</v>
      </c>
      <c r="R14302" t="s">
        <v>46587</v>
      </c>
      <c r="S14302" t="s">
        <v>47461</v>
      </c>
      <c r="T14302" t="s">
        <v>48228</v>
      </c>
      <c r="U14302" t="s">
        <v>60249</v>
      </c>
      <c r="W14302" t="s">
        <v>45902</v>
      </c>
      <c r="X14302" t="s">
        <v>46588</v>
      </c>
    </row>
    <row r="14303" spans="1:24">
      <c r="A14303">
        <f>HYPERLINK("https://www.philgeps.gov.ph/GEPSNONPILOT/Tender/SplashBidNoticeAbstractUI.aspx?menuIndex=3&amp;refID=7035132&amp;Result=3","7035132")</f>
        <v>0</v>
      </c>
      <c r="B14303" t="s">
        <v>1620</v>
      </c>
      <c r="C14303" t="s">
        <v>17135</v>
      </c>
      <c r="D14303" t="s">
        <v>18784</v>
      </c>
      <c r="E14303" t="s">
        <v>31194</v>
      </c>
      <c r="F14303" t="s">
        <v>32664</v>
      </c>
      <c r="G14303" t="s">
        <v>32672</v>
      </c>
      <c r="H14303" t="s">
        <v>32683</v>
      </c>
      <c r="I14303" t="s">
        <v>10627</v>
      </c>
      <c r="J14303" t="s">
        <v>41326</v>
      </c>
      <c r="K14303" t="s">
        <v>42311</v>
      </c>
      <c r="M14303" t="s">
        <v>44300</v>
      </c>
      <c r="N14303" t="s">
        <v>46569</v>
      </c>
      <c r="O14303" t="s">
        <v>46570</v>
      </c>
      <c r="Q14303">
        <v>18</v>
      </c>
      <c r="R14303" t="s">
        <v>46587</v>
      </c>
      <c r="S14303" t="s">
        <v>47225</v>
      </c>
      <c r="T14303" t="s">
        <v>48283</v>
      </c>
      <c r="U14303" t="s">
        <v>60250</v>
      </c>
      <c r="W14303" t="s">
        <v>44300</v>
      </c>
      <c r="X14303" t="s">
        <v>46588</v>
      </c>
    </row>
    <row r="14304" spans="1:24">
      <c r="A14304">
        <f>HYPERLINK("https://www.philgeps.gov.ph/GEPSNONPILOT/Tender/SplashBidNoticeAbstractUI.aspx?menuIndex=3&amp;refID=7035131&amp;Result=3","7035131")</f>
        <v>0</v>
      </c>
      <c r="B14304" t="s">
        <v>3029</v>
      </c>
      <c r="C14304" t="s">
        <v>17136</v>
      </c>
      <c r="D14304" t="s">
        <v>18786</v>
      </c>
      <c r="E14304" t="s">
        <v>31195</v>
      </c>
      <c r="F14304" t="s">
        <v>32664</v>
      </c>
      <c r="G14304" t="s">
        <v>32672</v>
      </c>
      <c r="H14304" t="s">
        <v>32683</v>
      </c>
      <c r="I14304" t="s">
        <v>10627</v>
      </c>
      <c r="J14304" t="s">
        <v>41327</v>
      </c>
      <c r="K14304" t="s">
        <v>42298</v>
      </c>
      <c r="M14304" t="s">
        <v>45902</v>
      </c>
      <c r="N14304" t="s">
        <v>46569</v>
      </c>
      <c r="O14304" t="s">
        <v>46570</v>
      </c>
      <c r="Q14304">
        <v>0</v>
      </c>
      <c r="R14304" t="s">
        <v>46587</v>
      </c>
      <c r="S14304" t="s">
        <v>47462</v>
      </c>
      <c r="T14304" t="s">
        <v>48228</v>
      </c>
      <c r="U14304" t="s">
        <v>60251</v>
      </c>
      <c r="W14304" t="s">
        <v>45902</v>
      </c>
      <c r="X14304" t="s">
        <v>46588</v>
      </c>
    </row>
    <row r="14305" spans="1:24">
      <c r="A14305">
        <f>HYPERLINK("https://www.philgeps.gov.ph/GEPSNONPILOT/Tender/SplashBidNoticeAbstractUI.aspx?menuIndex=3&amp;refID=7035129&amp;Result=3","7035129")</f>
        <v>0</v>
      </c>
      <c r="B14305" t="s">
        <v>2652</v>
      </c>
      <c r="C14305" t="s">
        <v>13169</v>
      </c>
      <c r="D14305" t="s">
        <v>18829</v>
      </c>
      <c r="E14305" t="s">
        <v>31196</v>
      </c>
      <c r="F14305" t="s">
        <v>32664</v>
      </c>
      <c r="G14305" t="s">
        <v>32672</v>
      </c>
      <c r="H14305" t="s">
        <v>32683</v>
      </c>
      <c r="I14305" t="s">
        <v>32733</v>
      </c>
      <c r="J14305" t="s">
        <v>32962</v>
      </c>
      <c r="K14305" t="s">
        <v>42311</v>
      </c>
      <c r="M14305" t="s">
        <v>45474</v>
      </c>
      <c r="N14305" t="s">
        <v>46569</v>
      </c>
      <c r="O14305" t="s">
        <v>46570</v>
      </c>
      <c r="P14305">
        <v>0</v>
      </c>
      <c r="Q14305">
        <v>10</v>
      </c>
      <c r="R14305" t="s">
        <v>46587</v>
      </c>
      <c r="S14305" t="s">
        <v>47373</v>
      </c>
      <c r="T14305" t="s">
        <v>48334</v>
      </c>
      <c r="U14305" t="s">
        <v>60252</v>
      </c>
      <c r="W14305" t="s">
        <v>45474</v>
      </c>
      <c r="X14305" t="s">
        <v>46588</v>
      </c>
    </row>
    <row r="14306" spans="1:24">
      <c r="A14306">
        <f>HYPERLINK("https://www.philgeps.gov.ph/GEPSNONPILOT/Tender/SplashBidNoticeAbstractUI.aspx?menuIndex=3&amp;refID=7035127&amp;Result=3","7035127")</f>
        <v>0</v>
      </c>
      <c r="B14306" t="s">
        <v>3310</v>
      </c>
      <c r="C14306" t="s">
        <v>17137</v>
      </c>
      <c r="D14306" t="s">
        <v>18831</v>
      </c>
      <c r="E14306" t="s">
        <v>31197</v>
      </c>
      <c r="F14306" t="s">
        <v>32664</v>
      </c>
      <c r="G14306" t="s">
        <v>32672</v>
      </c>
      <c r="H14306" t="s">
        <v>32683</v>
      </c>
      <c r="I14306" t="s">
        <v>10627</v>
      </c>
      <c r="J14306" t="s">
        <v>37270</v>
      </c>
      <c r="K14306" t="s">
        <v>42290</v>
      </c>
      <c r="M14306" t="s">
        <v>46256</v>
      </c>
      <c r="N14306" t="s">
        <v>46569</v>
      </c>
      <c r="O14306" t="s">
        <v>46570</v>
      </c>
      <c r="P14306">
        <v>0</v>
      </c>
      <c r="Q14306">
        <v>3</v>
      </c>
      <c r="R14306" t="s">
        <v>46587</v>
      </c>
      <c r="S14306" t="s">
        <v>47373</v>
      </c>
      <c r="T14306" t="s">
        <v>48221</v>
      </c>
      <c r="U14306" t="s">
        <v>59485</v>
      </c>
      <c r="V14306" t="s">
        <v>63101</v>
      </c>
      <c r="W14306" t="s">
        <v>46256</v>
      </c>
      <c r="X14306" t="s">
        <v>46588</v>
      </c>
    </row>
    <row r="14307" spans="1:24">
      <c r="A14307">
        <f>HYPERLINK("https://www.philgeps.gov.ph/GEPSNONPILOT/Tender/SplashBidNoticeAbstractUI.aspx?menuIndex=3&amp;refID=7035125&amp;Result=3","7035125")</f>
        <v>0</v>
      </c>
      <c r="B14307" t="s">
        <v>1620</v>
      </c>
      <c r="C14307" t="s">
        <v>17138</v>
      </c>
      <c r="D14307" t="s">
        <v>18784</v>
      </c>
      <c r="E14307" t="s">
        <v>31198</v>
      </c>
      <c r="F14307" t="s">
        <v>32664</v>
      </c>
      <c r="G14307" t="s">
        <v>32672</v>
      </c>
      <c r="H14307" t="s">
        <v>32683</v>
      </c>
      <c r="I14307" t="s">
        <v>10627</v>
      </c>
      <c r="J14307" t="s">
        <v>41328</v>
      </c>
      <c r="K14307" t="s">
        <v>42290</v>
      </c>
      <c r="M14307" t="s">
        <v>44300</v>
      </c>
      <c r="N14307" t="s">
        <v>46569</v>
      </c>
      <c r="O14307" t="s">
        <v>46570</v>
      </c>
      <c r="Q14307">
        <v>17</v>
      </c>
      <c r="R14307" t="s">
        <v>46587</v>
      </c>
      <c r="S14307" t="s">
        <v>47463</v>
      </c>
      <c r="T14307" t="s">
        <v>48283</v>
      </c>
      <c r="U14307" t="s">
        <v>60253</v>
      </c>
      <c r="W14307" t="s">
        <v>44300</v>
      </c>
      <c r="X14307" t="s">
        <v>46588</v>
      </c>
    </row>
    <row r="14308" spans="1:24">
      <c r="A14308">
        <f>HYPERLINK("https://www.philgeps.gov.ph/GEPSNONPILOT/Tender/SplashBidNoticeAbstractUI.aspx?menuIndex=3&amp;refID=7034821&amp;Result=3","7034821")</f>
        <v>0</v>
      </c>
      <c r="B14308" t="s">
        <v>3330</v>
      </c>
      <c r="C14308" t="s">
        <v>17139</v>
      </c>
      <c r="D14308" t="s">
        <v>18822</v>
      </c>
      <c r="E14308" t="s">
        <v>31199</v>
      </c>
      <c r="F14308" t="s">
        <v>32664</v>
      </c>
      <c r="G14308" t="s">
        <v>32672</v>
      </c>
      <c r="H14308" t="s">
        <v>32683</v>
      </c>
      <c r="I14308" t="s">
        <v>10627</v>
      </c>
      <c r="J14308" t="s">
        <v>41329</v>
      </c>
      <c r="K14308" t="s">
        <v>42525</v>
      </c>
      <c r="M14308" t="s">
        <v>46281</v>
      </c>
      <c r="N14308" t="s">
        <v>46569</v>
      </c>
      <c r="O14308" t="s">
        <v>46570</v>
      </c>
      <c r="Q14308">
        <v>0</v>
      </c>
      <c r="R14308" t="s">
        <v>46587</v>
      </c>
      <c r="S14308" t="s">
        <v>47464</v>
      </c>
      <c r="T14308" t="s">
        <v>48221</v>
      </c>
      <c r="U14308" t="s">
        <v>60254</v>
      </c>
      <c r="W14308" t="s">
        <v>46281</v>
      </c>
      <c r="X14308" t="s">
        <v>46588</v>
      </c>
    </row>
    <row r="14309" spans="1:24">
      <c r="A14309">
        <f>HYPERLINK("https://www.philgeps.gov.ph/GEPSNONPILOT/Tender/SplashBidNoticeAbstractUI.aspx?menuIndex=3&amp;refID=7035049&amp;Result=3","7035049")</f>
        <v>0</v>
      </c>
      <c r="B14309" t="s">
        <v>3306</v>
      </c>
      <c r="C14309" t="s">
        <v>17140</v>
      </c>
      <c r="D14309" t="s">
        <v>18781</v>
      </c>
      <c r="E14309" t="s">
        <v>31200</v>
      </c>
      <c r="F14309" t="s">
        <v>32664</v>
      </c>
      <c r="G14309" t="s">
        <v>32672</v>
      </c>
      <c r="H14309" t="s">
        <v>32683</v>
      </c>
      <c r="I14309" t="s">
        <v>10627</v>
      </c>
      <c r="J14309" t="s">
        <v>41330</v>
      </c>
      <c r="K14309" t="s">
        <v>42369</v>
      </c>
      <c r="M14309" t="s">
        <v>46251</v>
      </c>
      <c r="N14309" t="s">
        <v>46569</v>
      </c>
      <c r="O14309" t="s">
        <v>46570</v>
      </c>
      <c r="P14309">
        <v>0</v>
      </c>
      <c r="Q14309">
        <v>1</v>
      </c>
      <c r="R14309" t="s">
        <v>46587</v>
      </c>
      <c r="S14309" t="s">
        <v>47373</v>
      </c>
      <c r="T14309" t="s">
        <v>48268</v>
      </c>
      <c r="U14309" t="s">
        <v>60255</v>
      </c>
      <c r="W14309" t="s">
        <v>46251</v>
      </c>
      <c r="X14309" t="s">
        <v>46588</v>
      </c>
    </row>
    <row r="14310" spans="1:24">
      <c r="A14310">
        <f>HYPERLINK("https://www.philgeps.gov.ph/GEPSNONPILOT/Tender/SplashBidNoticeAbstractUI.aspx?menuIndex=3&amp;refID=7035139&amp;Result=3","7035139")</f>
        <v>0</v>
      </c>
      <c r="B14310" t="s">
        <v>3310</v>
      </c>
      <c r="C14310" t="s">
        <v>17141</v>
      </c>
      <c r="D14310" t="s">
        <v>18831</v>
      </c>
      <c r="E14310" t="s">
        <v>31201</v>
      </c>
      <c r="F14310" t="s">
        <v>32664</v>
      </c>
      <c r="G14310" t="s">
        <v>32672</v>
      </c>
      <c r="H14310" t="s">
        <v>32683</v>
      </c>
      <c r="I14310" t="s">
        <v>10627</v>
      </c>
      <c r="J14310" t="s">
        <v>34131</v>
      </c>
      <c r="K14310" t="s">
        <v>42311</v>
      </c>
      <c r="M14310" t="s">
        <v>46256</v>
      </c>
      <c r="N14310" t="s">
        <v>46569</v>
      </c>
      <c r="O14310" t="s">
        <v>46570</v>
      </c>
      <c r="P14310">
        <v>0</v>
      </c>
      <c r="Q14310">
        <v>4</v>
      </c>
      <c r="R14310" t="s">
        <v>46587</v>
      </c>
      <c r="S14310" t="s">
        <v>47373</v>
      </c>
      <c r="T14310" t="s">
        <v>48221</v>
      </c>
      <c r="U14310" t="s">
        <v>59485</v>
      </c>
      <c r="V14310" t="s">
        <v>63101</v>
      </c>
      <c r="W14310" t="s">
        <v>46256</v>
      </c>
      <c r="X14310" t="s">
        <v>46588</v>
      </c>
    </row>
    <row r="14311" spans="1:24">
      <c r="A14311">
        <f>HYPERLINK("https://www.philgeps.gov.ph/GEPSNONPILOT/Tender/SplashBidNoticeAbstractUI.aspx?menuIndex=3&amp;refID=7035122&amp;Result=3","7035122")</f>
        <v>0</v>
      </c>
      <c r="B14311" t="s">
        <v>3029</v>
      </c>
      <c r="C14311" t="s">
        <v>17142</v>
      </c>
      <c r="D14311" t="s">
        <v>18786</v>
      </c>
      <c r="E14311" t="s">
        <v>31202</v>
      </c>
      <c r="F14311" t="s">
        <v>32664</v>
      </c>
      <c r="G14311" t="s">
        <v>32672</v>
      </c>
      <c r="H14311" t="s">
        <v>32683</v>
      </c>
      <c r="I14311" t="s">
        <v>10627</v>
      </c>
      <c r="J14311" t="s">
        <v>41331</v>
      </c>
      <c r="K14311" t="s">
        <v>42298</v>
      </c>
      <c r="M14311" t="s">
        <v>45902</v>
      </c>
      <c r="N14311" t="s">
        <v>46569</v>
      </c>
      <c r="O14311" t="s">
        <v>46570</v>
      </c>
      <c r="Q14311">
        <v>1</v>
      </c>
      <c r="R14311" t="s">
        <v>46587</v>
      </c>
      <c r="S14311" t="s">
        <v>47465</v>
      </c>
      <c r="T14311" t="s">
        <v>48228</v>
      </c>
      <c r="U14311" t="s">
        <v>60256</v>
      </c>
      <c r="W14311" t="s">
        <v>45902</v>
      </c>
      <c r="X14311" t="s">
        <v>46588</v>
      </c>
    </row>
    <row r="14312" spans="1:24">
      <c r="A14312">
        <f>HYPERLINK("https://www.philgeps.gov.ph/GEPSNONPILOT/Tender/SplashBidNoticeAbstractUI.aspx?menuIndex=3&amp;refID=7035227&amp;Result=3","7035227")</f>
        <v>0</v>
      </c>
      <c r="B14312" t="s">
        <v>54</v>
      </c>
      <c r="C14312" t="s">
        <v>17143</v>
      </c>
      <c r="D14312" t="s">
        <v>18803</v>
      </c>
      <c r="E14312" t="s">
        <v>31203</v>
      </c>
      <c r="F14312" t="s">
        <v>32664</v>
      </c>
      <c r="G14312" t="s">
        <v>32673</v>
      </c>
      <c r="H14312" t="s">
        <v>32683</v>
      </c>
      <c r="I14312" t="s">
        <v>10627</v>
      </c>
      <c r="J14312" t="s">
        <v>41332</v>
      </c>
      <c r="K14312" t="s">
        <v>42397</v>
      </c>
      <c r="M14312" t="s">
        <v>44929</v>
      </c>
      <c r="N14312" t="s">
        <v>46569</v>
      </c>
      <c r="O14312" t="s">
        <v>46570</v>
      </c>
      <c r="P14312">
        <v>0</v>
      </c>
      <c r="Q14312">
        <v>36</v>
      </c>
      <c r="R14312" t="s">
        <v>46587</v>
      </c>
      <c r="S14312" t="s">
        <v>47373</v>
      </c>
      <c r="T14312" t="s">
        <v>48283</v>
      </c>
      <c r="U14312" t="s">
        <v>60257</v>
      </c>
      <c r="V14312" t="s">
        <v>63207</v>
      </c>
      <c r="W14312" t="s">
        <v>44929</v>
      </c>
      <c r="X14312" t="s">
        <v>46588</v>
      </c>
    </row>
    <row r="14313" spans="1:24">
      <c r="A14313">
        <f>HYPERLINK("https://www.philgeps.gov.ph/GEPSNONPILOT/Tender/SplashBidNoticeAbstractUI.aspx?menuIndex=3&amp;refID=7035224&amp;Result=3","7035224")</f>
        <v>0</v>
      </c>
      <c r="B14313" t="s">
        <v>54</v>
      </c>
      <c r="C14313" t="s">
        <v>17144</v>
      </c>
      <c r="D14313" t="s">
        <v>18803</v>
      </c>
      <c r="E14313" t="s">
        <v>31204</v>
      </c>
      <c r="F14313" t="s">
        <v>32664</v>
      </c>
      <c r="G14313" t="s">
        <v>32673</v>
      </c>
      <c r="H14313" t="s">
        <v>32683</v>
      </c>
      <c r="I14313" t="s">
        <v>10627</v>
      </c>
      <c r="J14313" t="s">
        <v>41333</v>
      </c>
      <c r="K14313" t="s">
        <v>42285</v>
      </c>
      <c r="M14313" t="s">
        <v>44929</v>
      </c>
      <c r="N14313" t="s">
        <v>46569</v>
      </c>
      <c r="O14313" t="s">
        <v>46570</v>
      </c>
      <c r="Q14313">
        <v>32</v>
      </c>
      <c r="R14313" t="s">
        <v>46587</v>
      </c>
      <c r="S14313" t="s">
        <v>47466</v>
      </c>
      <c r="T14313" t="s">
        <v>48283</v>
      </c>
      <c r="U14313" t="s">
        <v>60258</v>
      </c>
      <c r="V14313" t="s">
        <v>63208</v>
      </c>
      <c r="W14313" t="s">
        <v>44929</v>
      </c>
      <c r="X14313" t="s">
        <v>46588</v>
      </c>
    </row>
    <row r="14314" spans="1:24">
      <c r="A14314">
        <f>HYPERLINK("https://www.philgeps.gov.ph/GEPSNONPILOT/Tender/SplashBidNoticeAbstractUI.aspx?menuIndex=3&amp;refID=7035222&amp;Result=3","7035222")</f>
        <v>0</v>
      </c>
      <c r="B14314" t="s">
        <v>54</v>
      </c>
      <c r="C14314" t="s">
        <v>17145</v>
      </c>
      <c r="D14314" t="s">
        <v>18803</v>
      </c>
      <c r="E14314" t="s">
        <v>31205</v>
      </c>
      <c r="F14314" t="s">
        <v>32664</v>
      </c>
      <c r="G14314" t="s">
        <v>32673</v>
      </c>
      <c r="H14314" t="s">
        <v>32683</v>
      </c>
      <c r="I14314" t="s">
        <v>10627</v>
      </c>
      <c r="J14314" t="s">
        <v>41334</v>
      </c>
      <c r="K14314" t="s">
        <v>42285</v>
      </c>
      <c r="M14314" t="s">
        <v>44929</v>
      </c>
      <c r="N14314" t="s">
        <v>46569</v>
      </c>
      <c r="O14314" t="s">
        <v>46570</v>
      </c>
      <c r="P14314">
        <v>0</v>
      </c>
      <c r="Q14314">
        <v>33</v>
      </c>
      <c r="R14314" t="s">
        <v>46587</v>
      </c>
      <c r="S14314" t="s">
        <v>47373</v>
      </c>
      <c r="T14314" t="s">
        <v>48283</v>
      </c>
      <c r="U14314" t="s">
        <v>60259</v>
      </c>
      <c r="V14314" t="s">
        <v>63209</v>
      </c>
      <c r="W14314" t="s">
        <v>44929</v>
      </c>
      <c r="X14314" t="s">
        <v>46588</v>
      </c>
    </row>
    <row r="14315" spans="1:24">
      <c r="A14315">
        <f>HYPERLINK("https://www.philgeps.gov.ph/GEPSNONPILOT/Tender/SplashBidNoticeAbstractUI.aspx?menuIndex=3&amp;refID=7035213&amp;Result=3","7035213")</f>
        <v>0</v>
      </c>
      <c r="B14315" t="s">
        <v>3405</v>
      </c>
      <c r="C14315" t="s">
        <v>17146</v>
      </c>
      <c r="D14315" t="s">
        <v>18831</v>
      </c>
      <c r="E14315" t="s">
        <v>31134</v>
      </c>
      <c r="F14315" t="s">
        <v>32664</v>
      </c>
      <c r="G14315" t="s">
        <v>32672</v>
      </c>
      <c r="H14315" t="s">
        <v>32683</v>
      </c>
      <c r="I14315" t="s">
        <v>32716</v>
      </c>
      <c r="J14315" t="s">
        <v>32898</v>
      </c>
      <c r="K14315" t="s">
        <v>42289</v>
      </c>
      <c r="M14315" t="s">
        <v>46377</v>
      </c>
      <c r="N14315" t="s">
        <v>46569</v>
      </c>
      <c r="O14315" t="s">
        <v>46570</v>
      </c>
      <c r="P14315">
        <v>0</v>
      </c>
      <c r="Q14315">
        <v>0</v>
      </c>
      <c r="R14315" t="s">
        <v>46587</v>
      </c>
      <c r="S14315" t="s">
        <v>47373</v>
      </c>
      <c r="T14315" t="s">
        <v>48221</v>
      </c>
      <c r="U14315" t="s">
        <v>60260</v>
      </c>
      <c r="W14315" t="s">
        <v>46377</v>
      </c>
      <c r="X14315" t="s">
        <v>46588</v>
      </c>
    </row>
    <row r="14316" spans="1:24">
      <c r="A14316">
        <f>HYPERLINK("https://www.philgeps.gov.ph/GEPSNONPILOT/Tender/SplashBidNoticeAbstractUI.aspx?menuIndex=3&amp;refID=7035133&amp;Result=3","7035133")</f>
        <v>0</v>
      </c>
      <c r="B14316" t="s">
        <v>3310</v>
      </c>
      <c r="C14316" t="s">
        <v>17147</v>
      </c>
      <c r="D14316" t="s">
        <v>18831</v>
      </c>
      <c r="E14316" t="s">
        <v>31206</v>
      </c>
      <c r="F14316" t="s">
        <v>32664</v>
      </c>
      <c r="G14316" t="s">
        <v>32672</v>
      </c>
      <c r="H14316" t="s">
        <v>32683</v>
      </c>
      <c r="I14316" t="s">
        <v>10627</v>
      </c>
      <c r="J14316" t="s">
        <v>34075</v>
      </c>
      <c r="K14316" t="s">
        <v>42285</v>
      </c>
      <c r="M14316" t="s">
        <v>46256</v>
      </c>
      <c r="N14316" t="s">
        <v>46569</v>
      </c>
      <c r="O14316" t="s">
        <v>46570</v>
      </c>
      <c r="P14316">
        <v>0</v>
      </c>
      <c r="Q14316">
        <v>3</v>
      </c>
      <c r="R14316" t="s">
        <v>46587</v>
      </c>
      <c r="S14316" t="s">
        <v>47373</v>
      </c>
      <c r="T14316" t="s">
        <v>48221</v>
      </c>
      <c r="U14316" t="s">
        <v>59485</v>
      </c>
      <c r="V14316" t="s">
        <v>63101</v>
      </c>
      <c r="W14316" t="s">
        <v>46256</v>
      </c>
      <c r="X14316" t="s">
        <v>46588</v>
      </c>
    </row>
    <row r="14317" spans="1:24">
      <c r="A14317">
        <f>HYPERLINK("https://www.philgeps.gov.ph/GEPSNONPILOT/Tender/SplashBidNoticeAbstractUI.aspx?menuIndex=3&amp;refID=7035206&amp;Result=3","7035206")</f>
        <v>0</v>
      </c>
      <c r="B14317" t="s">
        <v>54</v>
      </c>
      <c r="C14317" t="s">
        <v>17148</v>
      </c>
      <c r="D14317" t="s">
        <v>18803</v>
      </c>
      <c r="E14317" t="s">
        <v>31207</v>
      </c>
      <c r="F14317" t="s">
        <v>32664</v>
      </c>
      <c r="G14317" t="s">
        <v>32673</v>
      </c>
      <c r="H14317" t="s">
        <v>32683</v>
      </c>
      <c r="I14317" t="s">
        <v>10627</v>
      </c>
      <c r="J14317" t="s">
        <v>41335</v>
      </c>
      <c r="K14317" t="s">
        <v>42397</v>
      </c>
      <c r="M14317" t="s">
        <v>44929</v>
      </c>
      <c r="N14317" t="s">
        <v>46569</v>
      </c>
      <c r="O14317" t="s">
        <v>46570</v>
      </c>
      <c r="P14317">
        <v>0</v>
      </c>
      <c r="Q14317">
        <v>39</v>
      </c>
      <c r="R14317" t="s">
        <v>46587</v>
      </c>
      <c r="S14317" t="s">
        <v>47373</v>
      </c>
      <c r="T14317" t="s">
        <v>48283</v>
      </c>
      <c r="U14317" t="s">
        <v>60261</v>
      </c>
      <c r="V14317" t="s">
        <v>63210</v>
      </c>
      <c r="W14317" t="s">
        <v>44929</v>
      </c>
      <c r="X14317" t="s">
        <v>46588</v>
      </c>
    </row>
    <row r="14318" spans="1:24">
      <c r="A14318">
        <f>HYPERLINK("https://www.philgeps.gov.ph/GEPSNONPILOT/Tender/SplashBidNoticeAbstractUI.aspx?menuIndex=3&amp;refID=7035214&amp;Result=3","7035214")</f>
        <v>0</v>
      </c>
      <c r="B14318" t="s">
        <v>54</v>
      </c>
      <c r="C14318" t="s">
        <v>17149</v>
      </c>
      <c r="D14318" t="s">
        <v>18803</v>
      </c>
      <c r="E14318" t="s">
        <v>31208</v>
      </c>
      <c r="F14318" t="s">
        <v>32664</v>
      </c>
      <c r="G14318" t="s">
        <v>32673</v>
      </c>
      <c r="H14318" t="s">
        <v>32683</v>
      </c>
      <c r="I14318" t="s">
        <v>10627</v>
      </c>
      <c r="J14318" t="s">
        <v>41336</v>
      </c>
      <c r="K14318" t="s">
        <v>42534</v>
      </c>
      <c r="M14318" t="s">
        <v>44929</v>
      </c>
      <c r="N14318" t="s">
        <v>46569</v>
      </c>
      <c r="O14318" t="s">
        <v>46570</v>
      </c>
      <c r="P14318">
        <v>0</v>
      </c>
      <c r="Q14318">
        <v>24</v>
      </c>
      <c r="R14318" t="s">
        <v>46587</v>
      </c>
      <c r="S14318" t="s">
        <v>47373</v>
      </c>
      <c r="T14318" t="s">
        <v>48283</v>
      </c>
      <c r="U14318" t="s">
        <v>60262</v>
      </c>
      <c r="V14318" t="s">
        <v>63211</v>
      </c>
      <c r="W14318" t="s">
        <v>44929</v>
      </c>
      <c r="X14318" t="s">
        <v>46588</v>
      </c>
    </row>
    <row r="14319" spans="1:24">
      <c r="A14319">
        <f>HYPERLINK("https://www.philgeps.gov.ph/GEPSNONPILOT/Tender/SplashBidNoticeAbstractUI.aspx?menuIndex=3&amp;refID=7035203&amp;Result=3","7035203")</f>
        <v>0</v>
      </c>
      <c r="B14319" t="s">
        <v>54</v>
      </c>
      <c r="C14319" t="s">
        <v>17150</v>
      </c>
      <c r="D14319" t="s">
        <v>18803</v>
      </c>
      <c r="E14319" t="s">
        <v>31209</v>
      </c>
      <c r="F14319" t="s">
        <v>32664</v>
      </c>
      <c r="G14319" t="s">
        <v>32673</v>
      </c>
      <c r="H14319" t="s">
        <v>32683</v>
      </c>
      <c r="I14319" t="s">
        <v>10627</v>
      </c>
      <c r="J14319" t="s">
        <v>41337</v>
      </c>
      <c r="K14319" t="s">
        <v>42327</v>
      </c>
      <c r="M14319" t="s">
        <v>44929</v>
      </c>
      <c r="N14319" t="s">
        <v>46569</v>
      </c>
      <c r="O14319" t="s">
        <v>46570</v>
      </c>
      <c r="P14319">
        <v>0</v>
      </c>
      <c r="Q14319">
        <v>39</v>
      </c>
      <c r="R14319" t="s">
        <v>46587</v>
      </c>
      <c r="S14319" t="s">
        <v>47373</v>
      </c>
      <c r="T14319" t="s">
        <v>48283</v>
      </c>
      <c r="U14319" t="s">
        <v>60263</v>
      </c>
      <c r="V14319" t="s">
        <v>63212</v>
      </c>
      <c r="W14319" t="s">
        <v>44929</v>
      </c>
      <c r="X14319" t="s">
        <v>46588</v>
      </c>
    </row>
    <row r="14320" spans="1:24">
      <c r="A14320">
        <f>HYPERLINK("https://www.philgeps.gov.ph/GEPSNONPILOT/Tender/SplashBidNoticeAbstractUI.aspx?menuIndex=3&amp;refID=7035208&amp;Result=3","7035208")</f>
        <v>0</v>
      </c>
      <c r="B14320" t="s">
        <v>54</v>
      </c>
      <c r="C14320" t="s">
        <v>17151</v>
      </c>
      <c r="D14320" t="s">
        <v>18803</v>
      </c>
      <c r="E14320" t="s">
        <v>31210</v>
      </c>
      <c r="F14320" t="s">
        <v>32664</v>
      </c>
      <c r="G14320" t="s">
        <v>32673</v>
      </c>
      <c r="H14320" t="s">
        <v>32683</v>
      </c>
      <c r="I14320" t="s">
        <v>10627</v>
      </c>
      <c r="J14320" t="s">
        <v>41338</v>
      </c>
      <c r="K14320" t="s">
        <v>42397</v>
      </c>
      <c r="M14320" t="s">
        <v>44929</v>
      </c>
      <c r="N14320" t="s">
        <v>46569</v>
      </c>
      <c r="O14320" t="s">
        <v>46570</v>
      </c>
      <c r="P14320">
        <v>0</v>
      </c>
      <c r="Q14320">
        <v>39</v>
      </c>
      <c r="R14320" t="s">
        <v>46587</v>
      </c>
      <c r="S14320" t="s">
        <v>47373</v>
      </c>
      <c r="T14320" t="s">
        <v>48283</v>
      </c>
      <c r="U14320" t="s">
        <v>60264</v>
      </c>
      <c r="V14320" t="s">
        <v>63213</v>
      </c>
      <c r="W14320" t="s">
        <v>44929</v>
      </c>
      <c r="X14320" t="s">
        <v>46588</v>
      </c>
    </row>
    <row r="14321" spans="1:24">
      <c r="A14321">
        <f>HYPERLINK("https://www.philgeps.gov.ph/GEPSNONPILOT/Tender/SplashBidNoticeAbstractUI.aspx?menuIndex=3&amp;refID=7035217&amp;Result=3","7035217")</f>
        <v>0</v>
      </c>
      <c r="B14321" t="s">
        <v>54</v>
      </c>
      <c r="C14321" t="s">
        <v>17152</v>
      </c>
      <c r="D14321" t="s">
        <v>18803</v>
      </c>
      <c r="E14321" t="s">
        <v>31211</v>
      </c>
      <c r="F14321" t="s">
        <v>32664</v>
      </c>
      <c r="G14321" t="s">
        <v>32673</v>
      </c>
      <c r="H14321" t="s">
        <v>32683</v>
      </c>
      <c r="I14321" t="s">
        <v>10627</v>
      </c>
      <c r="J14321" t="s">
        <v>41339</v>
      </c>
      <c r="K14321" t="s">
        <v>42327</v>
      </c>
      <c r="M14321" t="s">
        <v>44929</v>
      </c>
      <c r="N14321" t="s">
        <v>46569</v>
      </c>
      <c r="O14321" t="s">
        <v>46570</v>
      </c>
      <c r="P14321">
        <v>0</v>
      </c>
      <c r="Q14321">
        <v>20</v>
      </c>
      <c r="R14321" t="s">
        <v>46587</v>
      </c>
      <c r="S14321" t="s">
        <v>47373</v>
      </c>
      <c r="T14321" t="s">
        <v>48283</v>
      </c>
      <c r="U14321" t="s">
        <v>60265</v>
      </c>
      <c r="V14321" t="s">
        <v>63214</v>
      </c>
      <c r="W14321" t="s">
        <v>44929</v>
      </c>
      <c r="X14321" t="s">
        <v>46588</v>
      </c>
    </row>
    <row r="14322" spans="1:24">
      <c r="A14322">
        <f>HYPERLINK("https://www.philgeps.gov.ph/GEPSNONPILOT/Tender/SplashBidNoticeAbstractUI.aspx?menuIndex=3&amp;refID=7018901&amp;Result=3","7018901")</f>
        <v>0</v>
      </c>
      <c r="B14322" t="s">
        <v>2155</v>
      </c>
      <c r="C14322" t="s">
        <v>17153</v>
      </c>
      <c r="D14322" t="s">
        <v>18832</v>
      </c>
      <c r="E14322" t="s">
        <v>31212</v>
      </c>
      <c r="F14322" t="s">
        <v>32664</v>
      </c>
      <c r="G14322" t="s">
        <v>32672</v>
      </c>
      <c r="H14322" t="s">
        <v>32683</v>
      </c>
      <c r="I14322" t="s">
        <v>10627</v>
      </c>
      <c r="J14322" t="s">
        <v>41340</v>
      </c>
      <c r="K14322" t="s">
        <v>42290</v>
      </c>
      <c r="M14322" t="s">
        <v>44912</v>
      </c>
      <c r="N14322" t="s">
        <v>46569</v>
      </c>
      <c r="O14322" t="s">
        <v>46570</v>
      </c>
      <c r="P14322">
        <v>0</v>
      </c>
      <c r="Q14322">
        <v>2</v>
      </c>
      <c r="R14322" t="s">
        <v>46588</v>
      </c>
      <c r="S14322" t="s">
        <v>47467</v>
      </c>
      <c r="T14322" t="s">
        <v>48249</v>
      </c>
      <c r="U14322" t="s">
        <v>60266</v>
      </c>
      <c r="W14322" t="s">
        <v>44912</v>
      </c>
      <c r="X14322" t="s">
        <v>63617</v>
      </c>
    </row>
    <row r="14323" spans="1:24">
      <c r="A14323">
        <f>HYPERLINK("https://www.philgeps.gov.ph/GEPSNONPILOT/Tender/SplashBidNoticeAbstractUI.aspx?menuIndex=3&amp;refID=7018860&amp;Result=3","7018860")</f>
        <v>0</v>
      </c>
      <c r="B14323" t="s">
        <v>272</v>
      </c>
      <c r="C14323" t="s">
        <v>17154</v>
      </c>
      <c r="D14323" t="s">
        <v>18810</v>
      </c>
      <c r="E14323" t="s">
        <v>31213</v>
      </c>
      <c r="F14323" t="s">
        <v>32664</v>
      </c>
      <c r="G14323" t="s">
        <v>32672</v>
      </c>
      <c r="H14323" t="s">
        <v>32683</v>
      </c>
      <c r="I14323" t="s">
        <v>32716</v>
      </c>
      <c r="J14323" t="s">
        <v>33150</v>
      </c>
      <c r="K14323" t="s">
        <v>42311</v>
      </c>
      <c r="M14323" t="s">
        <v>42837</v>
      </c>
      <c r="N14323" t="s">
        <v>46569</v>
      </c>
      <c r="O14323" t="s">
        <v>46570</v>
      </c>
      <c r="P14323">
        <v>0</v>
      </c>
      <c r="Q14323">
        <v>4</v>
      </c>
      <c r="R14323" t="s">
        <v>46588</v>
      </c>
      <c r="S14323" t="s">
        <v>47467</v>
      </c>
      <c r="T14323" t="s">
        <v>48344</v>
      </c>
      <c r="U14323" t="s">
        <v>60267</v>
      </c>
      <c r="W14323" t="s">
        <v>42837</v>
      </c>
      <c r="X14323" t="s">
        <v>46595</v>
      </c>
    </row>
    <row r="14324" spans="1:24">
      <c r="A14324">
        <f>HYPERLINK("https://www.philgeps.gov.ph/GEPSNONPILOT/Tender/SplashBidNoticeAbstractUI.aspx?menuIndex=3&amp;refID=7018858&amp;Result=3","7018858")</f>
        <v>0</v>
      </c>
      <c r="B14324" t="s">
        <v>272</v>
      </c>
      <c r="C14324" t="s">
        <v>17155</v>
      </c>
      <c r="D14324" t="s">
        <v>18810</v>
      </c>
      <c r="E14324" t="s">
        <v>31214</v>
      </c>
      <c r="F14324" t="s">
        <v>32664</v>
      </c>
      <c r="G14324" t="s">
        <v>32672</v>
      </c>
      <c r="H14324" t="s">
        <v>32683</v>
      </c>
      <c r="I14324" t="s">
        <v>10627</v>
      </c>
      <c r="J14324" t="s">
        <v>39901</v>
      </c>
      <c r="K14324" t="s">
        <v>42552</v>
      </c>
      <c r="M14324" t="s">
        <v>42837</v>
      </c>
      <c r="N14324" t="s">
        <v>46569</v>
      </c>
      <c r="O14324" t="s">
        <v>46570</v>
      </c>
      <c r="P14324">
        <v>0</v>
      </c>
      <c r="Q14324">
        <v>2</v>
      </c>
      <c r="R14324" t="s">
        <v>46588</v>
      </c>
      <c r="S14324" t="s">
        <v>47467</v>
      </c>
      <c r="T14324" t="s">
        <v>48344</v>
      </c>
      <c r="U14324" t="s">
        <v>60268</v>
      </c>
      <c r="W14324" t="s">
        <v>42837</v>
      </c>
      <c r="X14324" t="s">
        <v>46595</v>
      </c>
    </row>
    <row r="14325" spans="1:24">
      <c r="A14325">
        <f>HYPERLINK("https://www.philgeps.gov.ph/GEPSNONPILOT/Tender/SplashBidNoticeAbstractUI.aspx?menuIndex=3&amp;refID=7035219&amp;Result=3","7035219")</f>
        <v>0</v>
      </c>
      <c r="B14325" t="s">
        <v>1574</v>
      </c>
      <c r="C14325" t="s">
        <v>17156</v>
      </c>
      <c r="D14325" t="s">
        <v>18830</v>
      </c>
      <c r="E14325" t="s">
        <v>31215</v>
      </c>
      <c r="F14325" t="s">
        <v>32664</v>
      </c>
      <c r="G14325" t="s">
        <v>32672</v>
      </c>
      <c r="H14325" t="s">
        <v>12635</v>
      </c>
      <c r="I14325" t="s">
        <v>11464</v>
      </c>
      <c r="J14325" t="s">
        <v>33302</v>
      </c>
      <c r="K14325" t="s">
        <v>42289</v>
      </c>
      <c r="M14325" t="s">
        <v>44249</v>
      </c>
      <c r="N14325" t="s">
        <v>46569</v>
      </c>
      <c r="O14325" t="s">
        <v>46570</v>
      </c>
      <c r="P14325">
        <v>0</v>
      </c>
      <c r="Q14325">
        <v>3</v>
      </c>
      <c r="R14325" t="s">
        <v>46587</v>
      </c>
      <c r="S14325" t="s">
        <v>47373</v>
      </c>
      <c r="T14325" t="s">
        <v>48296</v>
      </c>
      <c r="U14325" t="s">
        <v>60269</v>
      </c>
      <c r="V14325" t="s">
        <v>62075</v>
      </c>
      <c r="W14325" t="s">
        <v>44249</v>
      </c>
      <c r="X14325" t="s">
        <v>46588</v>
      </c>
    </row>
    <row r="14326" spans="1:24">
      <c r="A14326">
        <f>HYPERLINK("https://www.philgeps.gov.ph/GEPSNONPILOT/Tender/SplashBidNoticeAbstractUI.aspx?menuIndex=3&amp;refID=7035212&amp;Result=3","7035212")</f>
        <v>0</v>
      </c>
      <c r="B14326" t="s">
        <v>54</v>
      </c>
      <c r="C14326" t="s">
        <v>17157</v>
      </c>
      <c r="D14326" t="s">
        <v>18803</v>
      </c>
      <c r="E14326" t="s">
        <v>31216</v>
      </c>
      <c r="F14326" t="s">
        <v>32664</v>
      </c>
      <c r="G14326" t="s">
        <v>32673</v>
      </c>
      <c r="H14326" t="s">
        <v>32683</v>
      </c>
      <c r="I14326" t="s">
        <v>10627</v>
      </c>
      <c r="J14326" t="s">
        <v>41341</v>
      </c>
      <c r="K14326" t="s">
        <v>42327</v>
      </c>
      <c r="M14326" t="s">
        <v>44929</v>
      </c>
      <c r="N14326" t="s">
        <v>46569</v>
      </c>
      <c r="O14326" t="s">
        <v>46570</v>
      </c>
      <c r="Q14326">
        <v>20</v>
      </c>
      <c r="R14326" t="s">
        <v>46587</v>
      </c>
      <c r="S14326" t="s">
        <v>47468</v>
      </c>
      <c r="T14326" t="s">
        <v>48283</v>
      </c>
      <c r="U14326" t="s">
        <v>60270</v>
      </c>
      <c r="V14326" t="s">
        <v>63215</v>
      </c>
      <c r="W14326" t="s">
        <v>44929</v>
      </c>
      <c r="X14326" t="s">
        <v>46588</v>
      </c>
    </row>
    <row r="14327" spans="1:24">
      <c r="A14327">
        <f>HYPERLINK("https://www.philgeps.gov.ph/GEPSNONPILOT/Tender/SplashBidNoticeAbstractUI.aspx?menuIndex=3&amp;refID=7035195&amp;Result=3","7035195")</f>
        <v>0</v>
      </c>
      <c r="B14327" t="s">
        <v>2326</v>
      </c>
      <c r="C14327" t="s">
        <v>17158</v>
      </c>
      <c r="D14327" t="s">
        <v>18804</v>
      </c>
      <c r="E14327" t="s">
        <v>31217</v>
      </c>
      <c r="F14327" t="s">
        <v>32664</v>
      </c>
      <c r="G14327" t="s">
        <v>32672</v>
      </c>
      <c r="H14327" t="s">
        <v>32683</v>
      </c>
      <c r="I14327" t="s">
        <v>32716</v>
      </c>
      <c r="J14327" t="s">
        <v>41342</v>
      </c>
      <c r="K14327" t="s">
        <v>42311</v>
      </c>
      <c r="M14327" t="s">
        <v>45102</v>
      </c>
      <c r="N14327" t="s">
        <v>46569</v>
      </c>
      <c r="O14327" t="s">
        <v>46570</v>
      </c>
      <c r="P14327">
        <v>0</v>
      </c>
      <c r="Q14327">
        <v>2</v>
      </c>
      <c r="R14327" t="s">
        <v>46587</v>
      </c>
      <c r="S14327" t="s">
        <v>47373</v>
      </c>
      <c r="T14327" t="s">
        <v>48221</v>
      </c>
      <c r="U14327" t="s">
        <v>60271</v>
      </c>
      <c r="W14327" t="s">
        <v>45102</v>
      </c>
      <c r="X14327" t="s">
        <v>46588</v>
      </c>
    </row>
    <row r="14328" spans="1:24">
      <c r="A14328">
        <f>HYPERLINK("https://www.philgeps.gov.ph/GEPSNONPILOT/Tender/SplashBidNoticeAbstractUI.aspx?menuIndex=3&amp;refID=7009153&amp;Result=3","7009153")</f>
        <v>0</v>
      </c>
      <c r="B14328" t="s">
        <v>3406</v>
      </c>
      <c r="C14328" t="s">
        <v>17159</v>
      </c>
      <c r="D14328" t="s">
        <v>18830</v>
      </c>
      <c r="E14328" t="s">
        <v>31218</v>
      </c>
      <c r="F14328" t="s">
        <v>32664</v>
      </c>
      <c r="G14328" t="s">
        <v>32672</v>
      </c>
      <c r="H14328" t="s">
        <v>32683</v>
      </c>
      <c r="I14328" t="s">
        <v>10627</v>
      </c>
      <c r="J14328" t="s">
        <v>32982</v>
      </c>
      <c r="K14328" t="s">
        <v>42437</v>
      </c>
      <c r="M14328" t="s">
        <v>46378</v>
      </c>
      <c r="N14328" t="s">
        <v>46569</v>
      </c>
      <c r="O14328" t="s">
        <v>46570</v>
      </c>
      <c r="P14328">
        <v>0</v>
      </c>
      <c r="Q14328">
        <v>0</v>
      </c>
      <c r="R14328" t="s">
        <v>46588</v>
      </c>
      <c r="S14328" t="s">
        <v>47467</v>
      </c>
      <c r="T14328" t="s">
        <v>48256</v>
      </c>
      <c r="U14328" t="s">
        <v>60272</v>
      </c>
      <c r="V14328" t="s">
        <v>63216</v>
      </c>
      <c r="W14328" t="s">
        <v>46378</v>
      </c>
      <c r="X14328" t="s">
        <v>46608</v>
      </c>
    </row>
    <row r="14329" spans="1:24">
      <c r="A14329">
        <f>HYPERLINK("https://www.philgeps.gov.ph/GEPSNONPILOT/Tender/SplashBidNoticeAbstractUI.aspx?menuIndex=3&amp;refID=6929481&amp;Result=3","6929481")</f>
        <v>0</v>
      </c>
      <c r="B14329" t="s">
        <v>3372</v>
      </c>
      <c r="C14329" t="s">
        <v>17160</v>
      </c>
      <c r="D14329" t="s">
        <v>18784</v>
      </c>
      <c r="E14329" t="s">
        <v>31219</v>
      </c>
      <c r="F14329" t="s">
        <v>32664</v>
      </c>
      <c r="G14329" t="s">
        <v>32672</v>
      </c>
      <c r="H14329" t="s">
        <v>12635</v>
      </c>
      <c r="I14329" t="s">
        <v>6628</v>
      </c>
      <c r="J14329" t="s">
        <v>33853</v>
      </c>
      <c r="K14329" t="s">
        <v>42283</v>
      </c>
      <c r="M14329" t="s">
        <v>46333</v>
      </c>
      <c r="N14329" t="s">
        <v>46569</v>
      </c>
      <c r="O14329" t="s">
        <v>46570</v>
      </c>
      <c r="P14329">
        <v>0</v>
      </c>
      <c r="Q14329">
        <v>21</v>
      </c>
      <c r="R14329" t="s">
        <v>46588</v>
      </c>
      <c r="S14329" t="s">
        <v>47467</v>
      </c>
      <c r="T14329" t="s">
        <v>48402</v>
      </c>
      <c r="U14329" t="s">
        <v>60273</v>
      </c>
      <c r="W14329" t="s">
        <v>46333</v>
      </c>
      <c r="X14329" t="s">
        <v>46636</v>
      </c>
    </row>
    <row r="14330" spans="1:24">
      <c r="A14330">
        <f>HYPERLINK("https://www.philgeps.gov.ph/GEPSNONPILOT/Tender/SplashBidNoticeAbstractUI.aspx?menuIndex=3&amp;refID=7035272&amp;Result=3","7035272")</f>
        <v>0</v>
      </c>
      <c r="B14330" t="s">
        <v>2045</v>
      </c>
      <c r="C14330" t="s">
        <v>17161</v>
      </c>
      <c r="D14330" t="s">
        <v>18818</v>
      </c>
      <c r="E14330" t="s">
        <v>31220</v>
      </c>
      <c r="F14330" t="s">
        <v>32664</v>
      </c>
      <c r="G14330" t="s">
        <v>32672</v>
      </c>
      <c r="H14330" t="s">
        <v>12635</v>
      </c>
      <c r="I14330" t="s">
        <v>32717</v>
      </c>
      <c r="J14330" t="s">
        <v>32943</v>
      </c>
      <c r="K14330" t="s">
        <v>42298</v>
      </c>
      <c r="M14330" t="s">
        <v>44792</v>
      </c>
      <c r="N14330" t="s">
        <v>46569</v>
      </c>
      <c r="O14330" t="s">
        <v>46570</v>
      </c>
      <c r="Q14330">
        <v>7</v>
      </c>
      <c r="R14330" t="s">
        <v>46587</v>
      </c>
      <c r="S14330" t="s">
        <v>47469</v>
      </c>
      <c r="T14330" t="s">
        <v>48285</v>
      </c>
      <c r="U14330" t="s">
        <v>60274</v>
      </c>
      <c r="W14330" t="s">
        <v>44792</v>
      </c>
      <c r="X14330" t="s">
        <v>46588</v>
      </c>
    </row>
    <row r="14331" spans="1:24">
      <c r="A14331">
        <f>HYPERLINK("https://www.philgeps.gov.ph/GEPSNONPILOT/Tender/SplashBidNoticeAbstractUI.aspx?menuIndex=3&amp;refID=7035268&amp;Result=3","7035268")</f>
        <v>0</v>
      </c>
      <c r="B14331" t="s">
        <v>2045</v>
      </c>
      <c r="C14331" t="s">
        <v>17162</v>
      </c>
      <c r="D14331" t="s">
        <v>18818</v>
      </c>
      <c r="E14331" t="s">
        <v>31221</v>
      </c>
      <c r="F14331" t="s">
        <v>32664</v>
      </c>
      <c r="G14331" t="s">
        <v>32672</v>
      </c>
      <c r="H14331" t="s">
        <v>12635</v>
      </c>
      <c r="I14331" t="s">
        <v>32708</v>
      </c>
      <c r="J14331" t="s">
        <v>32962</v>
      </c>
      <c r="K14331" t="s">
        <v>42305</v>
      </c>
      <c r="M14331" t="s">
        <v>44792</v>
      </c>
      <c r="N14331" t="s">
        <v>46569</v>
      </c>
      <c r="O14331" t="s">
        <v>46570</v>
      </c>
      <c r="Q14331">
        <v>18</v>
      </c>
      <c r="R14331" t="s">
        <v>46587</v>
      </c>
      <c r="S14331" t="s">
        <v>47470</v>
      </c>
      <c r="T14331" t="s">
        <v>48285</v>
      </c>
      <c r="U14331" t="s">
        <v>60275</v>
      </c>
      <c r="W14331" t="s">
        <v>44792</v>
      </c>
      <c r="X14331" t="s">
        <v>46588</v>
      </c>
    </row>
    <row r="14332" spans="1:24">
      <c r="A14332">
        <f>HYPERLINK("https://www.philgeps.gov.ph/GEPSNONPILOT/Tender/SplashBidNoticeAbstractUI.aspx?menuIndex=3&amp;refID=7035263&amp;Result=3","7035263")</f>
        <v>0</v>
      </c>
      <c r="B14332" t="s">
        <v>1481</v>
      </c>
      <c r="C14332" t="s">
        <v>17163</v>
      </c>
      <c r="D14332" t="s">
        <v>18784</v>
      </c>
      <c r="E14332" t="s">
        <v>20242</v>
      </c>
      <c r="F14332" t="s">
        <v>32664</v>
      </c>
      <c r="G14332" t="s">
        <v>32672</v>
      </c>
      <c r="H14332" t="s">
        <v>12635</v>
      </c>
      <c r="I14332" t="s">
        <v>32708</v>
      </c>
      <c r="J14332" t="s">
        <v>32981</v>
      </c>
      <c r="K14332" t="s">
        <v>42311</v>
      </c>
      <c r="M14332" t="s">
        <v>46062</v>
      </c>
      <c r="N14332" t="s">
        <v>46569</v>
      </c>
      <c r="O14332" t="s">
        <v>46570</v>
      </c>
      <c r="Q14332">
        <v>20</v>
      </c>
      <c r="R14332" t="s">
        <v>46587</v>
      </c>
      <c r="S14332" t="s">
        <v>47471</v>
      </c>
      <c r="T14332" t="s">
        <v>48267</v>
      </c>
      <c r="U14332" t="s">
        <v>60276</v>
      </c>
      <c r="W14332" t="s">
        <v>46062</v>
      </c>
      <c r="X14332" t="s">
        <v>46588</v>
      </c>
    </row>
    <row r="14333" spans="1:24">
      <c r="A14333">
        <f>HYPERLINK("https://www.philgeps.gov.ph/GEPSNONPILOT/Tender/SplashBidNoticeAbstractUI.aspx?menuIndex=3&amp;refID=7035260&amp;Result=3","7035260")</f>
        <v>0</v>
      </c>
      <c r="B14333" t="s">
        <v>1481</v>
      </c>
      <c r="C14333" t="s">
        <v>17164</v>
      </c>
      <c r="D14333" t="s">
        <v>18784</v>
      </c>
      <c r="E14333" t="s">
        <v>31222</v>
      </c>
      <c r="F14333" t="s">
        <v>32664</v>
      </c>
      <c r="G14333" t="s">
        <v>32672</v>
      </c>
      <c r="H14333" t="s">
        <v>12635</v>
      </c>
      <c r="I14333" t="s">
        <v>32708</v>
      </c>
      <c r="J14333" t="s">
        <v>33009</v>
      </c>
      <c r="K14333" t="s">
        <v>42311</v>
      </c>
      <c r="M14333" t="s">
        <v>46062</v>
      </c>
      <c r="N14333" t="s">
        <v>46569</v>
      </c>
      <c r="O14333" t="s">
        <v>46570</v>
      </c>
      <c r="Q14333">
        <v>27</v>
      </c>
      <c r="R14333" t="s">
        <v>46587</v>
      </c>
      <c r="S14333" t="s">
        <v>47472</v>
      </c>
      <c r="T14333" t="s">
        <v>48283</v>
      </c>
      <c r="U14333" t="s">
        <v>60277</v>
      </c>
      <c r="W14333" t="s">
        <v>46062</v>
      </c>
      <c r="X14333" t="s">
        <v>46588</v>
      </c>
    </row>
    <row r="14334" spans="1:24">
      <c r="A14334">
        <f>HYPERLINK("https://www.philgeps.gov.ph/GEPSNONPILOT/Tender/SplashBidNoticeAbstractUI.aspx?menuIndex=3&amp;refID=7019094&amp;Result=3","7019094")</f>
        <v>0</v>
      </c>
      <c r="B14334" t="s">
        <v>272</v>
      </c>
      <c r="C14334" t="s">
        <v>17165</v>
      </c>
      <c r="D14334" t="s">
        <v>18810</v>
      </c>
      <c r="E14334" t="s">
        <v>31223</v>
      </c>
      <c r="F14334" t="s">
        <v>32664</v>
      </c>
      <c r="G14334" t="s">
        <v>32672</v>
      </c>
      <c r="H14334" t="s">
        <v>12635</v>
      </c>
      <c r="I14334" t="s">
        <v>6628</v>
      </c>
      <c r="J14334" t="s">
        <v>33853</v>
      </c>
      <c r="K14334" t="s">
        <v>42281</v>
      </c>
      <c r="M14334" t="s">
        <v>42837</v>
      </c>
      <c r="N14334" t="s">
        <v>46569</v>
      </c>
      <c r="O14334" t="s">
        <v>46570</v>
      </c>
      <c r="P14334">
        <v>0</v>
      </c>
      <c r="Q14334">
        <v>7</v>
      </c>
      <c r="R14334" t="s">
        <v>46588</v>
      </c>
      <c r="S14334" t="s">
        <v>47467</v>
      </c>
      <c r="T14334" t="s">
        <v>48344</v>
      </c>
      <c r="U14334" t="s">
        <v>60278</v>
      </c>
      <c r="W14334" t="s">
        <v>42837</v>
      </c>
      <c r="X14334" t="s">
        <v>63617</v>
      </c>
    </row>
    <row r="14335" spans="1:24">
      <c r="A14335">
        <f>HYPERLINK("https://www.philgeps.gov.ph/GEPSNONPILOT/Tender/SplashBidNoticeAbstractUI.aspx?menuIndex=3&amp;refID=7035144&amp;Result=3","7035144")</f>
        <v>0</v>
      </c>
      <c r="B14335" t="s">
        <v>592</v>
      </c>
      <c r="C14335" t="s">
        <v>17166</v>
      </c>
      <c r="D14335" t="s">
        <v>18854</v>
      </c>
      <c r="E14335" t="s">
        <v>31224</v>
      </c>
      <c r="F14335" t="s">
        <v>32667</v>
      </c>
      <c r="G14335" t="s">
        <v>32680</v>
      </c>
      <c r="H14335" t="s">
        <v>12635</v>
      </c>
      <c r="I14335" t="s">
        <v>32738</v>
      </c>
      <c r="J14335" t="s">
        <v>38708</v>
      </c>
      <c r="K14335" t="s">
        <v>42283</v>
      </c>
      <c r="M14335" t="s">
        <v>43411</v>
      </c>
      <c r="N14335" t="s">
        <v>46569</v>
      </c>
      <c r="O14335" t="s">
        <v>46570</v>
      </c>
      <c r="Q14335">
        <v>21</v>
      </c>
      <c r="R14335" t="s">
        <v>46587</v>
      </c>
      <c r="S14335" t="s">
        <v>47473</v>
      </c>
      <c r="T14335" t="s">
        <v>48738</v>
      </c>
      <c r="U14335" t="s">
        <v>60279</v>
      </c>
      <c r="W14335" t="s">
        <v>43411</v>
      </c>
      <c r="X14335" t="s">
        <v>46588</v>
      </c>
    </row>
    <row r="14336" spans="1:24">
      <c r="A14336">
        <f>HYPERLINK("https://www.philgeps.gov.ph/GEPSNONPILOT/Tender/SplashBidNoticeAbstractUI.aspx?menuIndex=3&amp;refID=6816667&amp;Result=3","6816667")</f>
        <v>0</v>
      </c>
      <c r="B14336" t="s">
        <v>1127</v>
      </c>
      <c r="C14336" t="s">
        <v>17167</v>
      </c>
      <c r="D14336" t="s">
        <v>18802</v>
      </c>
      <c r="E14336" t="s">
        <v>31225</v>
      </c>
      <c r="F14336" t="s">
        <v>32664</v>
      </c>
      <c r="G14336" t="s">
        <v>32672</v>
      </c>
      <c r="H14336" t="s">
        <v>32683</v>
      </c>
      <c r="I14336" t="s">
        <v>6553</v>
      </c>
      <c r="J14336" t="s">
        <v>33969</v>
      </c>
      <c r="K14336" t="s">
        <v>42397</v>
      </c>
      <c r="M14336" t="s">
        <v>46379</v>
      </c>
      <c r="N14336" t="s">
        <v>46569</v>
      </c>
      <c r="O14336" t="s">
        <v>46570</v>
      </c>
      <c r="Q14336">
        <v>9</v>
      </c>
      <c r="R14336" t="s">
        <v>46588</v>
      </c>
      <c r="S14336" t="s">
        <v>47474</v>
      </c>
      <c r="T14336" t="s">
        <v>48314</v>
      </c>
      <c r="U14336" t="s">
        <v>60280</v>
      </c>
      <c r="V14336" t="s">
        <v>63217</v>
      </c>
      <c r="W14336" t="s">
        <v>46379</v>
      </c>
      <c r="X14336" t="s">
        <v>46666</v>
      </c>
    </row>
    <row r="14337" spans="1:24">
      <c r="A14337">
        <f>HYPERLINK("https://www.philgeps.gov.ph/GEPSNONPILOT/Tender/SplashBidNoticeAbstractUI.aspx?menuIndex=3&amp;refID=7025084&amp;Result=3","7025084")</f>
        <v>0</v>
      </c>
      <c r="B14337" t="s">
        <v>3332</v>
      </c>
      <c r="C14337" t="s">
        <v>17168</v>
      </c>
      <c r="D14337" t="s">
        <v>18843</v>
      </c>
      <c r="E14337" t="s">
        <v>31226</v>
      </c>
      <c r="F14337" t="s">
        <v>32664</v>
      </c>
      <c r="G14337" t="s">
        <v>32672</v>
      </c>
      <c r="H14337" t="s">
        <v>12635</v>
      </c>
      <c r="I14337" t="s">
        <v>9486</v>
      </c>
      <c r="J14337" t="s">
        <v>41343</v>
      </c>
      <c r="K14337" t="s">
        <v>42289</v>
      </c>
      <c r="M14337" t="s">
        <v>46283</v>
      </c>
      <c r="N14337" t="s">
        <v>46569</v>
      </c>
      <c r="O14337" t="s">
        <v>46570</v>
      </c>
      <c r="P14337">
        <v>0</v>
      </c>
      <c r="Q14337">
        <v>3</v>
      </c>
      <c r="R14337" t="s">
        <v>46588</v>
      </c>
      <c r="S14337" t="s">
        <v>47467</v>
      </c>
      <c r="T14337" t="s">
        <v>48244</v>
      </c>
      <c r="U14337" t="s">
        <v>60281</v>
      </c>
      <c r="W14337" t="s">
        <v>46283</v>
      </c>
      <c r="X14337" t="s">
        <v>46593</v>
      </c>
    </row>
    <row r="14338" spans="1:24">
      <c r="A14338">
        <f>HYPERLINK("https://www.philgeps.gov.ph/GEPSNONPILOT/Tender/SplashBidNoticeAbstractUI.aspx?menuIndex=3&amp;refID=7024575&amp;Result=3","7024575")</f>
        <v>0</v>
      </c>
      <c r="B14338" t="s">
        <v>164</v>
      </c>
      <c r="C14338" t="s">
        <v>17169</v>
      </c>
      <c r="D14338" t="s">
        <v>18836</v>
      </c>
      <c r="E14338" t="s">
        <v>31227</v>
      </c>
      <c r="F14338" t="s">
        <v>32664</v>
      </c>
      <c r="G14338" t="s">
        <v>32672</v>
      </c>
      <c r="H14338" t="s">
        <v>12635</v>
      </c>
      <c r="I14338" t="s">
        <v>10370</v>
      </c>
      <c r="J14338" t="s">
        <v>41344</v>
      </c>
      <c r="K14338" t="s">
        <v>42283</v>
      </c>
      <c r="M14338" t="s">
        <v>42728</v>
      </c>
      <c r="N14338" t="s">
        <v>46569</v>
      </c>
      <c r="O14338" t="s">
        <v>46570</v>
      </c>
      <c r="Q14338">
        <v>19</v>
      </c>
      <c r="R14338" t="s">
        <v>46588</v>
      </c>
      <c r="S14338" t="s">
        <v>47475</v>
      </c>
      <c r="T14338" t="s">
        <v>48293</v>
      </c>
      <c r="U14338" t="s">
        <v>60282</v>
      </c>
      <c r="V14338" t="s">
        <v>63218</v>
      </c>
      <c r="W14338" t="s">
        <v>42728</v>
      </c>
      <c r="X14338" t="s">
        <v>46593</v>
      </c>
    </row>
    <row r="14339" spans="1:24">
      <c r="A14339">
        <f>HYPERLINK("https://www.philgeps.gov.ph/GEPSNONPILOT/Tender/SplashBidNoticeAbstractUI.aspx?menuIndex=3&amp;refID=7035199&amp;Result=3","7035199")</f>
        <v>0</v>
      </c>
      <c r="B14339" t="s">
        <v>54</v>
      </c>
      <c r="C14339" t="s">
        <v>17170</v>
      </c>
      <c r="D14339" t="s">
        <v>18803</v>
      </c>
      <c r="E14339" t="s">
        <v>31228</v>
      </c>
      <c r="F14339" t="s">
        <v>32664</v>
      </c>
      <c r="G14339" t="s">
        <v>32673</v>
      </c>
      <c r="H14339" t="s">
        <v>32683</v>
      </c>
      <c r="I14339" t="s">
        <v>10627</v>
      </c>
      <c r="J14339" t="s">
        <v>41345</v>
      </c>
      <c r="K14339" t="s">
        <v>42285</v>
      </c>
      <c r="M14339" t="s">
        <v>44929</v>
      </c>
      <c r="N14339" t="s">
        <v>46569</v>
      </c>
      <c r="O14339" t="s">
        <v>46570</v>
      </c>
      <c r="Q14339">
        <v>38</v>
      </c>
      <c r="R14339" t="s">
        <v>46587</v>
      </c>
      <c r="S14339" t="s">
        <v>47476</v>
      </c>
      <c r="T14339" t="s">
        <v>48283</v>
      </c>
      <c r="U14339" t="s">
        <v>60283</v>
      </c>
      <c r="V14339" t="s">
        <v>63219</v>
      </c>
      <c r="W14339" t="s">
        <v>44929</v>
      </c>
      <c r="X14339" t="s">
        <v>46588</v>
      </c>
    </row>
    <row r="14340" spans="1:24">
      <c r="A14340">
        <f>HYPERLINK("https://www.philgeps.gov.ph/GEPSNONPILOT/Tender/SplashBidNoticeAbstractUI.aspx?menuIndex=3&amp;refID=7024457&amp;Result=3","7024457")</f>
        <v>0</v>
      </c>
      <c r="B14340" t="s">
        <v>164</v>
      </c>
      <c r="C14340" t="s">
        <v>17171</v>
      </c>
      <c r="D14340" t="s">
        <v>18836</v>
      </c>
      <c r="E14340" t="s">
        <v>31229</v>
      </c>
      <c r="F14340" t="s">
        <v>32664</v>
      </c>
      <c r="G14340" t="s">
        <v>32672</v>
      </c>
      <c r="H14340" t="s">
        <v>12635</v>
      </c>
      <c r="I14340" t="s">
        <v>6118</v>
      </c>
      <c r="J14340" t="s">
        <v>41346</v>
      </c>
      <c r="K14340" t="s">
        <v>42283</v>
      </c>
      <c r="M14340" t="s">
        <v>42728</v>
      </c>
      <c r="N14340" t="s">
        <v>46569</v>
      </c>
      <c r="O14340" t="s">
        <v>46570</v>
      </c>
      <c r="Q14340">
        <v>1</v>
      </c>
      <c r="R14340" t="s">
        <v>46588</v>
      </c>
      <c r="S14340" t="s">
        <v>47477</v>
      </c>
      <c r="T14340" t="s">
        <v>48221</v>
      </c>
      <c r="U14340" t="s">
        <v>60284</v>
      </c>
      <c r="V14340" t="s">
        <v>63220</v>
      </c>
      <c r="W14340" t="s">
        <v>42728</v>
      </c>
      <c r="X14340" t="s">
        <v>46593</v>
      </c>
    </row>
    <row r="14341" spans="1:24">
      <c r="A14341">
        <f>HYPERLINK("https://www.philgeps.gov.ph/GEPSNONPILOT/Tender/SplashBidNoticeAbstractUI.aspx?menuIndex=3&amp;refID=7025210&amp;Result=3","7025210")</f>
        <v>0</v>
      </c>
      <c r="B14341" t="s">
        <v>3332</v>
      </c>
      <c r="C14341" t="s">
        <v>17172</v>
      </c>
      <c r="D14341" t="s">
        <v>18843</v>
      </c>
      <c r="E14341" t="s">
        <v>31230</v>
      </c>
      <c r="F14341" t="s">
        <v>32664</v>
      </c>
      <c r="G14341" t="s">
        <v>32672</v>
      </c>
      <c r="H14341" t="s">
        <v>12635</v>
      </c>
      <c r="I14341" t="s">
        <v>32686</v>
      </c>
      <c r="J14341" t="s">
        <v>41347</v>
      </c>
      <c r="K14341" t="s">
        <v>42289</v>
      </c>
      <c r="M14341" t="s">
        <v>46283</v>
      </c>
      <c r="N14341" t="s">
        <v>46569</v>
      </c>
      <c r="O14341" t="s">
        <v>46570</v>
      </c>
      <c r="P14341">
        <v>0</v>
      </c>
      <c r="Q14341">
        <v>2</v>
      </c>
      <c r="R14341" t="s">
        <v>46588</v>
      </c>
      <c r="S14341" t="s">
        <v>47467</v>
      </c>
      <c r="T14341" t="s">
        <v>48244</v>
      </c>
      <c r="U14341" t="s">
        <v>60285</v>
      </c>
      <c r="W14341" t="s">
        <v>46283</v>
      </c>
      <c r="X14341" t="s">
        <v>46593</v>
      </c>
    </row>
    <row r="14342" spans="1:24">
      <c r="A14342">
        <f>HYPERLINK("https://www.philgeps.gov.ph/GEPSNONPILOT/Tender/SplashBidNoticeAbstractUI.aspx?menuIndex=3&amp;refID=7009126&amp;Result=3","7009126")</f>
        <v>0</v>
      </c>
      <c r="B14342" t="s">
        <v>3406</v>
      </c>
      <c r="C14342" t="s">
        <v>17173</v>
      </c>
      <c r="D14342" t="s">
        <v>18830</v>
      </c>
      <c r="E14342" t="s">
        <v>31231</v>
      </c>
      <c r="F14342" t="s">
        <v>32664</v>
      </c>
      <c r="G14342" t="s">
        <v>32672</v>
      </c>
      <c r="H14342" t="s">
        <v>32683</v>
      </c>
      <c r="I14342" t="s">
        <v>10627</v>
      </c>
      <c r="J14342" t="s">
        <v>34766</v>
      </c>
      <c r="K14342" t="s">
        <v>42314</v>
      </c>
      <c r="M14342" t="s">
        <v>46378</v>
      </c>
      <c r="N14342" t="s">
        <v>46569</v>
      </c>
      <c r="O14342" t="s">
        <v>46570</v>
      </c>
      <c r="P14342">
        <v>0</v>
      </c>
      <c r="Q14342">
        <v>0</v>
      </c>
      <c r="R14342" t="s">
        <v>46588</v>
      </c>
      <c r="S14342" t="s">
        <v>47467</v>
      </c>
      <c r="T14342" t="s">
        <v>48256</v>
      </c>
      <c r="U14342" t="s">
        <v>60286</v>
      </c>
      <c r="V14342" t="s">
        <v>63216</v>
      </c>
      <c r="W14342" t="s">
        <v>46378</v>
      </c>
      <c r="X14342" t="s">
        <v>46608</v>
      </c>
    </row>
    <row r="14343" spans="1:24">
      <c r="A14343">
        <f>HYPERLINK("https://www.philgeps.gov.ph/GEPSNONPILOT/Tender/SplashBidNoticeAbstractUI.aspx?menuIndex=3&amp;refID=7024434&amp;Result=3","7024434")</f>
        <v>0</v>
      </c>
      <c r="B14343" t="s">
        <v>164</v>
      </c>
      <c r="C14343" t="s">
        <v>17174</v>
      </c>
      <c r="D14343" t="s">
        <v>18836</v>
      </c>
      <c r="E14343" t="s">
        <v>31232</v>
      </c>
      <c r="F14343" t="s">
        <v>32664</v>
      </c>
      <c r="G14343" t="s">
        <v>32672</v>
      </c>
      <c r="H14343" t="s">
        <v>12635</v>
      </c>
      <c r="I14343" t="s">
        <v>6118</v>
      </c>
      <c r="J14343" t="s">
        <v>41348</v>
      </c>
      <c r="K14343" t="s">
        <v>42283</v>
      </c>
      <c r="M14343" t="s">
        <v>42728</v>
      </c>
      <c r="N14343" t="s">
        <v>46569</v>
      </c>
      <c r="O14343" t="s">
        <v>46570</v>
      </c>
      <c r="Q14343">
        <v>3</v>
      </c>
      <c r="R14343" t="s">
        <v>46588</v>
      </c>
      <c r="S14343" t="s">
        <v>47316</v>
      </c>
      <c r="T14343" t="s">
        <v>48221</v>
      </c>
      <c r="U14343" t="s">
        <v>60287</v>
      </c>
      <c r="V14343" t="s">
        <v>63220</v>
      </c>
      <c r="W14343" t="s">
        <v>42728</v>
      </c>
      <c r="X14343" t="s">
        <v>46593</v>
      </c>
    </row>
    <row r="14344" spans="1:24">
      <c r="A14344">
        <f>HYPERLINK("https://www.philgeps.gov.ph/GEPSNONPILOT/Tender/SplashBidNoticeAbstractUI.aspx?menuIndex=3&amp;refID=7024498&amp;Result=3","7024498")</f>
        <v>0</v>
      </c>
      <c r="B14344" t="s">
        <v>164</v>
      </c>
      <c r="C14344" t="s">
        <v>17175</v>
      </c>
      <c r="D14344" t="s">
        <v>18836</v>
      </c>
      <c r="E14344" t="s">
        <v>31233</v>
      </c>
      <c r="F14344" t="s">
        <v>32664</v>
      </c>
      <c r="G14344" t="s">
        <v>32672</v>
      </c>
      <c r="H14344" t="s">
        <v>12635</v>
      </c>
      <c r="I14344" t="s">
        <v>6118</v>
      </c>
      <c r="J14344" t="s">
        <v>41349</v>
      </c>
      <c r="K14344" t="s">
        <v>42283</v>
      </c>
      <c r="M14344" t="s">
        <v>42728</v>
      </c>
      <c r="N14344" t="s">
        <v>46569</v>
      </c>
      <c r="O14344" t="s">
        <v>46570</v>
      </c>
      <c r="Q14344">
        <v>2</v>
      </c>
      <c r="R14344" t="s">
        <v>46588</v>
      </c>
      <c r="S14344" t="s">
        <v>47315</v>
      </c>
      <c r="T14344" t="s">
        <v>48221</v>
      </c>
      <c r="U14344" t="s">
        <v>60288</v>
      </c>
      <c r="V14344" t="s">
        <v>63220</v>
      </c>
      <c r="W14344" t="s">
        <v>42728</v>
      </c>
      <c r="X14344" t="s">
        <v>46593</v>
      </c>
    </row>
    <row r="14345" spans="1:24">
      <c r="A14345">
        <f>HYPERLINK("https://www.philgeps.gov.ph/GEPSNONPILOT/Tender/SplashBidNoticeAbstractUI.aspx?menuIndex=3&amp;refID=7024400&amp;Result=3","7024400")</f>
        <v>0</v>
      </c>
      <c r="B14345" t="s">
        <v>164</v>
      </c>
      <c r="C14345" t="s">
        <v>17176</v>
      </c>
      <c r="D14345" t="s">
        <v>18836</v>
      </c>
      <c r="E14345" t="s">
        <v>31234</v>
      </c>
      <c r="F14345" t="s">
        <v>32664</v>
      </c>
      <c r="G14345" t="s">
        <v>32672</v>
      </c>
      <c r="H14345" t="s">
        <v>12635</v>
      </c>
      <c r="I14345" t="s">
        <v>6118</v>
      </c>
      <c r="J14345" t="s">
        <v>41350</v>
      </c>
      <c r="K14345" t="s">
        <v>42283</v>
      </c>
      <c r="M14345" t="s">
        <v>42728</v>
      </c>
      <c r="N14345" t="s">
        <v>46569</v>
      </c>
      <c r="O14345" t="s">
        <v>46570</v>
      </c>
      <c r="Q14345">
        <v>3</v>
      </c>
      <c r="R14345" t="s">
        <v>46588</v>
      </c>
      <c r="S14345" t="s">
        <v>47478</v>
      </c>
      <c r="T14345" t="s">
        <v>48221</v>
      </c>
      <c r="U14345" t="s">
        <v>60289</v>
      </c>
      <c r="V14345" t="s">
        <v>63220</v>
      </c>
      <c r="W14345" t="s">
        <v>42728</v>
      </c>
      <c r="X14345" t="s">
        <v>46593</v>
      </c>
    </row>
    <row r="14346" spans="1:24">
      <c r="A14346">
        <f>HYPERLINK("https://www.philgeps.gov.ph/GEPSNONPILOT/Tender/SplashBidNoticeAbstractUI.aspx?menuIndex=3&amp;refID=7016830&amp;Result=3","7016830")</f>
        <v>0</v>
      </c>
      <c r="B14346" t="s">
        <v>2592</v>
      </c>
      <c r="C14346" t="s">
        <v>17177</v>
      </c>
      <c r="D14346" t="s">
        <v>18806</v>
      </c>
      <c r="E14346" t="s">
        <v>31235</v>
      </c>
      <c r="F14346" t="s">
        <v>32664</v>
      </c>
      <c r="G14346" t="s">
        <v>32672</v>
      </c>
      <c r="H14346" t="s">
        <v>12635</v>
      </c>
      <c r="I14346" t="s">
        <v>32712</v>
      </c>
      <c r="J14346" t="s">
        <v>33580</v>
      </c>
      <c r="K14346" t="s">
        <v>42284</v>
      </c>
      <c r="M14346" t="s">
        <v>45407</v>
      </c>
      <c r="N14346" t="s">
        <v>46569</v>
      </c>
      <c r="O14346" t="s">
        <v>46570</v>
      </c>
      <c r="Q14346">
        <v>21</v>
      </c>
      <c r="R14346" t="s">
        <v>46588</v>
      </c>
      <c r="S14346" t="s">
        <v>47479</v>
      </c>
      <c r="T14346" t="s">
        <v>48244</v>
      </c>
      <c r="U14346" t="s">
        <v>60290</v>
      </c>
      <c r="W14346" t="s">
        <v>45407</v>
      </c>
      <c r="X14346" t="s">
        <v>46596</v>
      </c>
    </row>
    <row r="14347" spans="1:24">
      <c r="A14347">
        <f>HYPERLINK("https://www.philgeps.gov.ph/GEPSNONPILOT/Tender/SplashBidNoticeAbstractUI.aspx?menuIndex=3&amp;refID=7028246&amp;Result=3","7028246")</f>
        <v>0</v>
      </c>
      <c r="B14347" t="s">
        <v>2232</v>
      </c>
      <c r="C14347" t="s">
        <v>17178</v>
      </c>
      <c r="D14347" t="s">
        <v>18853</v>
      </c>
      <c r="E14347" t="s">
        <v>31236</v>
      </c>
      <c r="F14347" t="s">
        <v>32664</v>
      </c>
      <c r="G14347" t="s">
        <v>32672</v>
      </c>
      <c r="H14347" t="s">
        <v>32683</v>
      </c>
      <c r="I14347" t="s">
        <v>10627</v>
      </c>
      <c r="J14347" t="s">
        <v>41351</v>
      </c>
      <c r="K14347" t="s">
        <v>42553</v>
      </c>
      <c r="M14347" t="s">
        <v>44996</v>
      </c>
      <c r="N14347" t="s">
        <v>46569</v>
      </c>
      <c r="O14347" t="s">
        <v>46570</v>
      </c>
      <c r="P14347">
        <v>0</v>
      </c>
      <c r="Q14347">
        <v>0</v>
      </c>
      <c r="R14347" t="s">
        <v>46588</v>
      </c>
      <c r="S14347" t="s">
        <v>47467</v>
      </c>
      <c r="T14347" t="s">
        <v>48246</v>
      </c>
      <c r="U14347" t="s">
        <v>58338</v>
      </c>
      <c r="V14347" t="s">
        <v>63221</v>
      </c>
      <c r="W14347" t="s">
        <v>44996</v>
      </c>
      <c r="X14347" t="s">
        <v>46592</v>
      </c>
    </row>
    <row r="14348" spans="1:24">
      <c r="A14348">
        <f>HYPERLINK("https://www.philgeps.gov.ph/GEPSNONPILOT/Tender/SplashBidNoticeAbstractUI.aspx?menuIndex=3&amp;refID=7034990&amp;Result=3","7034990")</f>
        <v>0</v>
      </c>
      <c r="B14348" t="s">
        <v>3088</v>
      </c>
      <c r="C14348" t="s">
        <v>17179</v>
      </c>
      <c r="D14348" t="s">
        <v>18782</v>
      </c>
      <c r="E14348" t="s">
        <v>19380</v>
      </c>
      <c r="F14348" t="s">
        <v>32664</v>
      </c>
      <c r="G14348" t="s">
        <v>32672</v>
      </c>
      <c r="H14348" t="s">
        <v>12635</v>
      </c>
      <c r="I14348" t="s">
        <v>6553</v>
      </c>
      <c r="J14348" t="s">
        <v>41352</v>
      </c>
      <c r="K14348" t="s">
        <v>42297</v>
      </c>
      <c r="L14348" t="s">
        <v>3088</v>
      </c>
      <c r="M14348" t="s">
        <v>45975</v>
      </c>
      <c r="N14348" t="s">
        <v>46569</v>
      </c>
      <c r="O14348" t="s">
        <v>46570</v>
      </c>
      <c r="P14348">
        <v>0</v>
      </c>
      <c r="Q14348">
        <v>1</v>
      </c>
      <c r="R14348" t="s">
        <v>46587</v>
      </c>
      <c r="S14348" t="s">
        <v>47373</v>
      </c>
      <c r="T14348" t="s">
        <v>48267</v>
      </c>
      <c r="U14348" t="s">
        <v>60291</v>
      </c>
      <c r="V14348" t="s">
        <v>63222</v>
      </c>
      <c r="W14348" t="s">
        <v>45975</v>
      </c>
      <c r="X14348" t="s">
        <v>46588</v>
      </c>
    </row>
    <row r="14349" spans="1:24">
      <c r="A14349">
        <f>HYPERLINK("https://www.philgeps.gov.ph/GEPSNONPILOT/Tender/SplashBidNoticeAbstractUI.aspx?menuIndex=3&amp;refID=7028238&amp;Result=3","7028238")</f>
        <v>0</v>
      </c>
      <c r="B14349" t="s">
        <v>1402</v>
      </c>
      <c r="C14349" t="s">
        <v>17180</v>
      </c>
      <c r="D14349" t="s">
        <v>18789</v>
      </c>
      <c r="E14349" t="s">
        <v>31237</v>
      </c>
      <c r="F14349" t="s">
        <v>32664</v>
      </c>
      <c r="G14349" t="s">
        <v>32672</v>
      </c>
      <c r="H14349" t="s">
        <v>32683</v>
      </c>
      <c r="I14349" t="s">
        <v>10627</v>
      </c>
      <c r="J14349" t="s">
        <v>41353</v>
      </c>
      <c r="K14349" t="s">
        <v>42311</v>
      </c>
      <c r="M14349" t="s">
        <v>45872</v>
      </c>
      <c r="N14349" t="s">
        <v>46569</v>
      </c>
      <c r="O14349" t="s">
        <v>46570</v>
      </c>
      <c r="Q14349">
        <v>0</v>
      </c>
      <c r="R14349" t="s">
        <v>46588</v>
      </c>
      <c r="S14349" t="s">
        <v>47480</v>
      </c>
      <c r="T14349" t="s">
        <v>48268</v>
      </c>
      <c r="U14349" t="s">
        <v>60292</v>
      </c>
      <c r="V14349" t="s">
        <v>61995</v>
      </c>
      <c r="W14349" t="s">
        <v>45872</v>
      </c>
      <c r="X14349" t="s">
        <v>46592</v>
      </c>
    </row>
    <row r="14350" spans="1:24">
      <c r="A14350">
        <f>HYPERLINK("https://www.philgeps.gov.ph/GEPSNONPILOT/Tender/SplashBidNoticeAbstractUI.aspx?menuIndex=3&amp;refID=7027920&amp;Result=3","7027920")</f>
        <v>0</v>
      </c>
      <c r="B14350" t="s">
        <v>68</v>
      </c>
      <c r="C14350" t="s">
        <v>17181</v>
      </c>
      <c r="D14350" t="s">
        <v>18815</v>
      </c>
      <c r="E14350" t="s">
        <v>31238</v>
      </c>
      <c r="F14350" t="s">
        <v>32664</v>
      </c>
      <c r="G14350" t="s">
        <v>32672</v>
      </c>
      <c r="H14350" t="s">
        <v>32683</v>
      </c>
      <c r="I14350" t="s">
        <v>10627</v>
      </c>
      <c r="J14350" t="s">
        <v>41354</v>
      </c>
      <c r="K14350" t="s">
        <v>42283</v>
      </c>
      <c r="M14350" t="s">
        <v>42631</v>
      </c>
      <c r="N14350" t="s">
        <v>46569</v>
      </c>
      <c r="O14350" t="s">
        <v>46570</v>
      </c>
      <c r="P14350">
        <v>0</v>
      </c>
      <c r="Q14350">
        <v>0</v>
      </c>
      <c r="R14350" t="s">
        <v>46588</v>
      </c>
      <c r="S14350" t="s">
        <v>47467</v>
      </c>
      <c r="T14350" t="s">
        <v>48221</v>
      </c>
      <c r="U14350" t="s">
        <v>60293</v>
      </c>
      <c r="V14350" t="s">
        <v>63223</v>
      </c>
      <c r="W14350" t="s">
        <v>42631</v>
      </c>
      <c r="X14350" t="s">
        <v>46592</v>
      </c>
    </row>
    <row r="14351" spans="1:24">
      <c r="A14351">
        <f>HYPERLINK("https://www.philgeps.gov.ph/GEPSNONPILOT/Tender/SplashBidNoticeAbstractUI.aspx?menuIndex=3&amp;refID=7025202&amp;Result=3","7025202")</f>
        <v>0</v>
      </c>
      <c r="B14351" t="s">
        <v>3332</v>
      </c>
      <c r="C14351" t="s">
        <v>17168</v>
      </c>
      <c r="D14351" t="s">
        <v>18843</v>
      </c>
      <c r="E14351" t="s">
        <v>31239</v>
      </c>
      <c r="F14351" t="s">
        <v>32664</v>
      </c>
      <c r="G14351" t="s">
        <v>32672</v>
      </c>
      <c r="H14351" t="s">
        <v>12635</v>
      </c>
      <c r="I14351" t="s">
        <v>9486</v>
      </c>
      <c r="J14351" t="s">
        <v>33506</v>
      </c>
      <c r="K14351" t="s">
        <v>42289</v>
      </c>
      <c r="M14351" t="s">
        <v>46283</v>
      </c>
      <c r="N14351" t="s">
        <v>46569</v>
      </c>
      <c r="O14351" t="s">
        <v>46570</v>
      </c>
      <c r="P14351">
        <v>0</v>
      </c>
      <c r="Q14351">
        <v>3</v>
      </c>
      <c r="R14351" t="s">
        <v>46588</v>
      </c>
      <c r="S14351" t="s">
        <v>47467</v>
      </c>
      <c r="T14351" t="s">
        <v>48244</v>
      </c>
      <c r="U14351" t="s">
        <v>60281</v>
      </c>
      <c r="W14351" t="s">
        <v>46283</v>
      </c>
      <c r="X14351" t="s">
        <v>46593</v>
      </c>
    </row>
    <row r="14352" spans="1:24">
      <c r="A14352">
        <f>HYPERLINK("https://www.philgeps.gov.ph/GEPSNONPILOT/Tender/SplashBidNoticeAbstractUI.aspx?menuIndex=3&amp;refID=7027876&amp;Result=3","7027876")</f>
        <v>0</v>
      </c>
      <c r="B14352" t="s">
        <v>68</v>
      </c>
      <c r="C14352" t="s">
        <v>17182</v>
      </c>
      <c r="D14352" t="s">
        <v>18815</v>
      </c>
      <c r="E14352" t="s">
        <v>31238</v>
      </c>
      <c r="F14352" t="s">
        <v>32664</v>
      </c>
      <c r="G14352" t="s">
        <v>32672</v>
      </c>
      <c r="H14352" t="s">
        <v>32683</v>
      </c>
      <c r="I14352" t="s">
        <v>10627</v>
      </c>
      <c r="J14352" t="s">
        <v>41355</v>
      </c>
      <c r="K14352" t="s">
        <v>42283</v>
      </c>
      <c r="M14352" t="s">
        <v>42631</v>
      </c>
      <c r="N14352" t="s">
        <v>46569</v>
      </c>
      <c r="O14352" t="s">
        <v>46570</v>
      </c>
      <c r="P14352">
        <v>0</v>
      </c>
      <c r="Q14352">
        <v>0</v>
      </c>
      <c r="R14352" t="s">
        <v>46588</v>
      </c>
      <c r="S14352" t="s">
        <v>47467</v>
      </c>
      <c r="T14352" t="s">
        <v>48221</v>
      </c>
      <c r="U14352" t="s">
        <v>60294</v>
      </c>
      <c r="V14352" t="s">
        <v>63223</v>
      </c>
      <c r="W14352" t="s">
        <v>42631</v>
      </c>
      <c r="X14352" t="s">
        <v>46592</v>
      </c>
    </row>
    <row r="14353" spans="1:24">
      <c r="A14353">
        <f>HYPERLINK("https://www.philgeps.gov.ph/GEPSNONPILOT/Tender/SplashBidNoticeAbstractUI.aspx?menuIndex=3&amp;refID=7027760&amp;Result=3","7027760")</f>
        <v>0</v>
      </c>
      <c r="B14353" t="s">
        <v>1561</v>
      </c>
      <c r="C14353" t="s">
        <v>17183</v>
      </c>
      <c r="E14353" t="s">
        <v>31240</v>
      </c>
      <c r="F14353" t="s">
        <v>32664</v>
      </c>
      <c r="G14353" t="s">
        <v>32672</v>
      </c>
      <c r="H14353" t="s">
        <v>32683</v>
      </c>
      <c r="I14353" t="s">
        <v>32716</v>
      </c>
      <c r="J14353" t="s">
        <v>34148</v>
      </c>
      <c r="K14353" t="s">
        <v>42368</v>
      </c>
      <c r="M14353" t="s">
        <v>44232</v>
      </c>
      <c r="N14353" t="s">
        <v>46569</v>
      </c>
      <c r="O14353" t="s">
        <v>46570</v>
      </c>
      <c r="Q14353">
        <v>10</v>
      </c>
      <c r="R14353" t="s">
        <v>46588</v>
      </c>
      <c r="S14353" t="s">
        <v>47481</v>
      </c>
      <c r="T14353" t="s">
        <v>48436</v>
      </c>
      <c r="U14353" t="s">
        <v>60295</v>
      </c>
      <c r="W14353" t="s">
        <v>44232</v>
      </c>
      <c r="X14353" t="s">
        <v>46592</v>
      </c>
    </row>
    <row r="14354" spans="1:24">
      <c r="A14354">
        <f>HYPERLINK("https://www.philgeps.gov.ph/GEPSNONPILOT/Tender/SplashBidNoticeAbstractUI.aspx?menuIndex=3&amp;refID=7027680&amp;Result=3","7027680")</f>
        <v>0</v>
      </c>
      <c r="B14354" t="s">
        <v>68</v>
      </c>
      <c r="C14354" t="s">
        <v>17184</v>
      </c>
      <c r="D14354" t="s">
        <v>18815</v>
      </c>
      <c r="E14354" t="s">
        <v>31238</v>
      </c>
      <c r="F14354" t="s">
        <v>32664</v>
      </c>
      <c r="G14354" t="s">
        <v>32672</v>
      </c>
      <c r="H14354" t="s">
        <v>32683</v>
      </c>
      <c r="I14354" t="s">
        <v>10627</v>
      </c>
      <c r="J14354" t="s">
        <v>41356</v>
      </c>
      <c r="K14354" t="s">
        <v>42283</v>
      </c>
      <c r="M14354" t="s">
        <v>42631</v>
      </c>
      <c r="N14354" t="s">
        <v>46569</v>
      </c>
      <c r="O14354" t="s">
        <v>46570</v>
      </c>
      <c r="P14354">
        <v>0</v>
      </c>
      <c r="Q14354">
        <v>0</v>
      </c>
      <c r="R14354" t="s">
        <v>46588</v>
      </c>
      <c r="S14354" t="s">
        <v>47467</v>
      </c>
      <c r="T14354" t="s">
        <v>48221</v>
      </c>
      <c r="U14354" t="s">
        <v>60296</v>
      </c>
      <c r="V14354" t="s">
        <v>63223</v>
      </c>
      <c r="W14354" t="s">
        <v>42631</v>
      </c>
      <c r="X14354" t="s">
        <v>46592</v>
      </c>
    </row>
    <row r="14355" spans="1:24">
      <c r="A14355">
        <f>HYPERLINK("https://www.philgeps.gov.ph/GEPSNONPILOT/Tender/SplashBidNoticeAbstractUI.aspx?menuIndex=3&amp;refID=7027594&amp;Result=3","7027594")</f>
        <v>0</v>
      </c>
      <c r="B14355" t="s">
        <v>1770</v>
      </c>
      <c r="C14355" t="s">
        <v>17185</v>
      </c>
      <c r="D14355" t="s">
        <v>18848</v>
      </c>
      <c r="E14355" t="s">
        <v>31241</v>
      </c>
      <c r="F14355" t="s">
        <v>32664</v>
      </c>
      <c r="G14355" t="s">
        <v>32672</v>
      </c>
      <c r="H14355" t="s">
        <v>12635</v>
      </c>
      <c r="I14355" t="s">
        <v>10361</v>
      </c>
      <c r="J14355" t="s">
        <v>41357</v>
      </c>
      <c r="K14355" t="s">
        <v>42283</v>
      </c>
      <c r="M14355" t="s">
        <v>44472</v>
      </c>
      <c r="N14355" t="s">
        <v>46569</v>
      </c>
      <c r="O14355" t="s">
        <v>46570</v>
      </c>
      <c r="P14355">
        <v>0</v>
      </c>
      <c r="Q14355">
        <v>0</v>
      </c>
      <c r="R14355" t="s">
        <v>46588</v>
      </c>
      <c r="S14355" t="s">
        <v>47467</v>
      </c>
      <c r="T14355" t="s">
        <v>48311</v>
      </c>
      <c r="U14355" t="s">
        <v>60297</v>
      </c>
      <c r="W14355" t="s">
        <v>63533</v>
      </c>
      <c r="X14355" t="s">
        <v>46592</v>
      </c>
    </row>
    <row r="14356" spans="1:24">
      <c r="A14356">
        <f>HYPERLINK("https://www.philgeps.gov.ph/GEPSNONPILOT/Tender/SplashBidNoticeAbstractUI.aspx?menuIndex=3&amp;refID=7027618&amp;Result=3","7027618")</f>
        <v>0</v>
      </c>
      <c r="B14356" t="s">
        <v>1770</v>
      </c>
      <c r="C14356" t="s">
        <v>17186</v>
      </c>
      <c r="D14356" t="s">
        <v>18848</v>
      </c>
      <c r="E14356" t="s">
        <v>31242</v>
      </c>
      <c r="F14356" t="s">
        <v>32664</v>
      </c>
      <c r="G14356" t="s">
        <v>32672</v>
      </c>
      <c r="H14356" t="s">
        <v>12635</v>
      </c>
      <c r="I14356" t="s">
        <v>32685</v>
      </c>
      <c r="J14356" t="s">
        <v>41358</v>
      </c>
      <c r="K14356" t="s">
        <v>42297</v>
      </c>
      <c r="M14356" t="s">
        <v>44472</v>
      </c>
      <c r="N14356" t="s">
        <v>46569</v>
      </c>
      <c r="O14356" t="s">
        <v>46570</v>
      </c>
      <c r="P14356">
        <v>0</v>
      </c>
      <c r="Q14356">
        <v>0</v>
      </c>
      <c r="R14356" t="s">
        <v>46588</v>
      </c>
      <c r="S14356" t="s">
        <v>47467</v>
      </c>
      <c r="T14356" t="s">
        <v>48311</v>
      </c>
      <c r="U14356" t="s">
        <v>60298</v>
      </c>
      <c r="W14356" t="s">
        <v>63533</v>
      </c>
      <c r="X14356" t="s">
        <v>46592</v>
      </c>
    </row>
    <row r="14357" spans="1:24">
      <c r="A14357">
        <f>HYPERLINK("https://www.philgeps.gov.ph/GEPSNONPILOT/Tender/SplashBidNoticeAbstractUI.aspx?menuIndex=3&amp;refID=7024389&amp;Result=3","7024389")</f>
        <v>0</v>
      </c>
      <c r="B14357" t="s">
        <v>164</v>
      </c>
      <c r="C14357" t="s">
        <v>17187</v>
      </c>
      <c r="D14357" t="s">
        <v>18836</v>
      </c>
      <c r="E14357" t="s">
        <v>31243</v>
      </c>
      <c r="F14357" t="s">
        <v>32664</v>
      </c>
      <c r="G14357" t="s">
        <v>32672</v>
      </c>
      <c r="H14357" t="s">
        <v>12635</v>
      </c>
      <c r="I14357" t="s">
        <v>6118</v>
      </c>
      <c r="J14357" t="s">
        <v>41359</v>
      </c>
      <c r="K14357" t="s">
        <v>42283</v>
      </c>
      <c r="M14357" t="s">
        <v>42728</v>
      </c>
      <c r="N14357" t="s">
        <v>46569</v>
      </c>
      <c r="O14357" t="s">
        <v>46570</v>
      </c>
      <c r="Q14357">
        <v>3</v>
      </c>
      <c r="R14357" t="s">
        <v>46588</v>
      </c>
      <c r="S14357" t="s">
        <v>47482</v>
      </c>
      <c r="T14357" t="s">
        <v>48221</v>
      </c>
      <c r="U14357" t="s">
        <v>60299</v>
      </c>
      <c r="V14357" t="s">
        <v>63220</v>
      </c>
      <c r="W14357" t="s">
        <v>42728</v>
      </c>
      <c r="X14357" t="s">
        <v>46593</v>
      </c>
    </row>
    <row r="14358" spans="1:24">
      <c r="A14358">
        <f>HYPERLINK("https://www.philgeps.gov.ph/GEPSNONPILOT/Tender/SplashBidNoticeAbstractUI.aspx?menuIndex=3&amp;refID=7027590&amp;Result=3","7027590")</f>
        <v>0</v>
      </c>
      <c r="B14358" t="s">
        <v>68</v>
      </c>
      <c r="C14358" t="s">
        <v>17188</v>
      </c>
      <c r="D14358" t="s">
        <v>18815</v>
      </c>
      <c r="E14358" t="s">
        <v>31238</v>
      </c>
      <c r="F14358" t="s">
        <v>32664</v>
      </c>
      <c r="G14358" t="s">
        <v>32672</v>
      </c>
      <c r="H14358" t="s">
        <v>32683</v>
      </c>
      <c r="I14358" t="s">
        <v>10627</v>
      </c>
      <c r="J14358" t="s">
        <v>41355</v>
      </c>
      <c r="K14358" t="s">
        <v>42283</v>
      </c>
      <c r="M14358" t="s">
        <v>42631</v>
      </c>
      <c r="N14358" t="s">
        <v>46569</v>
      </c>
      <c r="O14358" t="s">
        <v>46570</v>
      </c>
      <c r="P14358">
        <v>0</v>
      </c>
      <c r="Q14358">
        <v>0</v>
      </c>
      <c r="R14358" t="s">
        <v>46588</v>
      </c>
      <c r="S14358" t="s">
        <v>47467</v>
      </c>
      <c r="T14358" t="s">
        <v>48221</v>
      </c>
      <c r="U14358" t="s">
        <v>60300</v>
      </c>
      <c r="V14358" t="s">
        <v>63223</v>
      </c>
      <c r="W14358" t="s">
        <v>42631</v>
      </c>
      <c r="X14358" t="s">
        <v>46592</v>
      </c>
    </row>
    <row r="14359" spans="1:24">
      <c r="A14359">
        <f>HYPERLINK("https://www.philgeps.gov.ph/GEPSNONPILOT/Tender/SplashBidNoticeAbstractUI.aspx?menuIndex=3&amp;refID=7027214&amp;Result=3","7027214")</f>
        <v>0</v>
      </c>
      <c r="B14359" t="s">
        <v>121</v>
      </c>
      <c r="C14359" t="s">
        <v>17189</v>
      </c>
      <c r="D14359" t="s">
        <v>18828</v>
      </c>
      <c r="E14359" t="s">
        <v>31244</v>
      </c>
      <c r="F14359" t="s">
        <v>32664</v>
      </c>
      <c r="G14359" t="s">
        <v>32672</v>
      </c>
      <c r="H14359" t="s">
        <v>12635</v>
      </c>
      <c r="I14359" t="s">
        <v>32699</v>
      </c>
      <c r="J14359" t="s">
        <v>37270</v>
      </c>
      <c r="K14359" t="s">
        <v>42289</v>
      </c>
      <c r="M14359" t="s">
        <v>42685</v>
      </c>
      <c r="N14359" t="s">
        <v>46569</v>
      </c>
      <c r="O14359" t="s">
        <v>46570</v>
      </c>
      <c r="P14359">
        <v>0</v>
      </c>
      <c r="Q14359">
        <v>3</v>
      </c>
      <c r="R14359" t="s">
        <v>46588</v>
      </c>
      <c r="S14359" t="s">
        <v>47467</v>
      </c>
      <c r="T14359" t="s">
        <v>48736</v>
      </c>
      <c r="U14359" t="s">
        <v>60301</v>
      </c>
      <c r="W14359" t="s">
        <v>42685</v>
      </c>
      <c r="X14359" t="s">
        <v>46592</v>
      </c>
    </row>
    <row r="14360" spans="1:24">
      <c r="A14360">
        <f>HYPERLINK("https://www.philgeps.gov.ph/GEPSNONPILOT/Tender/SplashBidNoticeAbstractUI.aspx?menuIndex=3&amp;refID=7026379&amp;Result=3","7026379")</f>
        <v>0</v>
      </c>
      <c r="B14360" t="s">
        <v>2222</v>
      </c>
      <c r="C14360" t="s">
        <v>17190</v>
      </c>
      <c r="D14360" t="s">
        <v>18796</v>
      </c>
      <c r="E14360" t="s">
        <v>31245</v>
      </c>
      <c r="F14360" t="s">
        <v>32664</v>
      </c>
      <c r="G14360" t="s">
        <v>32672</v>
      </c>
      <c r="H14360" t="s">
        <v>32683</v>
      </c>
      <c r="I14360" t="s">
        <v>10627</v>
      </c>
      <c r="J14360" t="s">
        <v>32981</v>
      </c>
      <c r="K14360" t="s">
        <v>42413</v>
      </c>
      <c r="M14360" t="s">
        <v>44986</v>
      </c>
      <c r="N14360" t="s">
        <v>46569</v>
      </c>
      <c r="O14360" t="s">
        <v>46570</v>
      </c>
      <c r="P14360">
        <v>0</v>
      </c>
      <c r="Q14360">
        <v>3</v>
      </c>
      <c r="R14360" t="s">
        <v>46588</v>
      </c>
      <c r="S14360" t="s">
        <v>47467</v>
      </c>
      <c r="T14360" t="s">
        <v>48256</v>
      </c>
      <c r="U14360" t="s">
        <v>60302</v>
      </c>
      <c r="V14360" t="s">
        <v>62325</v>
      </c>
      <c r="W14360" t="s">
        <v>44986</v>
      </c>
      <c r="X14360" t="s">
        <v>46593</v>
      </c>
    </row>
    <row r="14361" spans="1:24">
      <c r="A14361">
        <f>HYPERLINK("https://www.philgeps.gov.ph/GEPSNONPILOT/Tender/SplashBidNoticeAbstractUI.aspx?menuIndex=3&amp;refID=7025498&amp;Result=3","7025498")</f>
        <v>0</v>
      </c>
      <c r="B14361" t="s">
        <v>1024</v>
      </c>
      <c r="C14361" t="s">
        <v>17191</v>
      </c>
      <c r="D14361" t="s">
        <v>18801</v>
      </c>
      <c r="E14361" t="s">
        <v>31246</v>
      </c>
      <c r="F14361" t="s">
        <v>32664</v>
      </c>
      <c r="G14361" t="s">
        <v>32672</v>
      </c>
      <c r="H14361" t="s">
        <v>32683</v>
      </c>
      <c r="I14361" t="s">
        <v>10627</v>
      </c>
      <c r="J14361" t="s">
        <v>32962</v>
      </c>
      <c r="K14361" t="s">
        <v>42281</v>
      </c>
      <c r="M14361" t="s">
        <v>43636</v>
      </c>
      <c r="N14361" t="s">
        <v>46569</v>
      </c>
      <c r="O14361" t="s">
        <v>46570</v>
      </c>
      <c r="P14361">
        <v>0</v>
      </c>
      <c r="Q14361">
        <v>11</v>
      </c>
      <c r="R14361" t="s">
        <v>46588</v>
      </c>
      <c r="S14361" t="s">
        <v>47467</v>
      </c>
      <c r="T14361" t="s">
        <v>48286</v>
      </c>
      <c r="U14361" t="s">
        <v>60303</v>
      </c>
      <c r="W14361" t="s">
        <v>43636</v>
      </c>
      <c r="X14361" t="s">
        <v>46593</v>
      </c>
    </row>
    <row r="14362" spans="1:24">
      <c r="A14362">
        <f>HYPERLINK("https://www.philgeps.gov.ph/GEPSNONPILOT/Tender/SplashBidNoticeAbstractUI.aspx?menuIndex=3&amp;refID=7025445&amp;Result=3","7025445")</f>
        <v>0</v>
      </c>
      <c r="B14362" t="s">
        <v>3374</v>
      </c>
      <c r="C14362" t="s">
        <v>17192</v>
      </c>
      <c r="D14362" t="s">
        <v>18831</v>
      </c>
      <c r="E14362" t="s">
        <v>31247</v>
      </c>
      <c r="F14362" t="s">
        <v>32664</v>
      </c>
      <c r="G14362" t="s">
        <v>32672</v>
      </c>
      <c r="H14362" t="s">
        <v>32683</v>
      </c>
      <c r="I14362" t="s">
        <v>10627</v>
      </c>
      <c r="J14362" t="s">
        <v>41360</v>
      </c>
      <c r="K14362" t="s">
        <v>42349</v>
      </c>
      <c r="M14362" t="s">
        <v>46335</v>
      </c>
      <c r="N14362" t="s">
        <v>46569</v>
      </c>
      <c r="O14362" t="s">
        <v>46570</v>
      </c>
      <c r="Q14362">
        <v>7</v>
      </c>
      <c r="R14362" t="s">
        <v>46588</v>
      </c>
      <c r="S14362" t="s">
        <v>47483</v>
      </c>
      <c r="T14362" t="s">
        <v>48436</v>
      </c>
      <c r="U14362" t="s">
        <v>60304</v>
      </c>
      <c r="V14362" t="s">
        <v>63224</v>
      </c>
      <c r="W14362" t="s">
        <v>46335</v>
      </c>
      <c r="X14362" t="s">
        <v>46593</v>
      </c>
    </row>
    <row r="14363" spans="1:24">
      <c r="A14363">
        <f>HYPERLINK("https://www.philgeps.gov.ph/GEPSNONPILOT/Tender/SplashBidNoticeAbstractUI.aspx?menuIndex=3&amp;refID=7025393&amp;Result=3","7025393")</f>
        <v>0</v>
      </c>
      <c r="B14363" t="s">
        <v>3350</v>
      </c>
      <c r="C14363" t="s">
        <v>17193</v>
      </c>
      <c r="D14363" t="s">
        <v>18809</v>
      </c>
      <c r="E14363" t="s">
        <v>31248</v>
      </c>
      <c r="F14363" t="s">
        <v>32664</v>
      </c>
      <c r="G14363" t="s">
        <v>32672</v>
      </c>
      <c r="H14363" t="s">
        <v>32683</v>
      </c>
      <c r="I14363" t="s">
        <v>10627</v>
      </c>
      <c r="J14363" t="s">
        <v>33273</v>
      </c>
      <c r="K14363" t="s">
        <v>42298</v>
      </c>
      <c r="M14363" t="s">
        <v>46306</v>
      </c>
      <c r="N14363" t="s">
        <v>46569</v>
      </c>
      <c r="O14363" t="s">
        <v>46570</v>
      </c>
      <c r="Q14363">
        <v>1</v>
      </c>
      <c r="R14363" t="s">
        <v>46588</v>
      </c>
      <c r="S14363" t="s">
        <v>47484</v>
      </c>
      <c r="T14363" t="s">
        <v>48739</v>
      </c>
      <c r="U14363" t="s">
        <v>60305</v>
      </c>
      <c r="W14363" t="s">
        <v>46306</v>
      </c>
      <c r="X14363" t="s">
        <v>46593</v>
      </c>
    </row>
    <row r="14364" spans="1:24">
      <c r="A14364">
        <f>HYPERLINK("https://www.philgeps.gov.ph/GEPSNONPILOT/Tender/SplashBidNoticeAbstractUI.aspx?menuIndex=3&amp;refID=7025240&amp;Result=3","7025240")</f>
        <v>0</v>
      </c>
      <c r="B14364" t="s">
        <v>3332</v>
      </c>
      <c r="C14364" t="s">
        <v>17194</v>
      </c>
      <c r="D14364" t="s">
        <v>18843</v>
      </c>
      <c r="E14364" t="s">
        <v>31249</v>
      </c>
      <c r="F14364" t="s">
        <v>32664</v>
      </c>
      <c r="G14364" t="s">
        <v>32672</v>
      </c>
      <c r="H14364" t="s">
        <v>12635</v>
      </c>
      <c r="I14364" t="s">
        <v>6118</v>
      </c>
      <c r="J14364" t="s">
        <v>41361</v>
      </c>
      <c r="K14364" t="s">
        <v>42289</v>
      </c>
      <c r="M14364" t="s">
        <v>46283</v>
      </c>
      <c r="N14364" t="s">
        <v>46569</v>
      </c>
      <c r="O14364" t="s">
        <v>46570</v>
      </c>
      <c r="P14364">
        <v>0</v>
      </c>
      <c r="Q14364">
        <v>3</v>
      </c>
      <c r="R14364" t="s">
        <v>46588</v>
      </c>
      <c r="S14364" t="s">
        <v>47467</v>
      </c>
      <c r="T14364" t="s">
        <v>48244</v>
      </c>
      <c r="U14364" t="s">
        <v>60306</v>
      </c>
      <c r="W14364" t="s">
        <v>46283</v>
      </c>
      <c r="X14364" t="s">
        <v>46593</v>
      </c>
    </row>
    <row r="14365" spans="1:24">
      <c r="A14365">
        <f>HYPERLINK("https://www.philgeps.gov.ph/GEPSNONPILOT/Tender/SplashBidNoticeAbstractUI.aspx?menuIndex=3&amp;refID=7025228&amp;Result=3","7025228")</f>
        <v>0</v>
      </c>
      <c r="B14365" t="s">
        <v>3332</v>
      </c>
      <c r="C14365" t="s">
        <v>17195</v>
      </c>
      <c r="D14365" t="s">
        <v>18843</v>
      </c>
      <c r="E14365" t="s">
        <v>31250</v>
      </c>
      <c r="F14365" t="s">
        <v>32664</v>
      </c>
      <c r="G14365" t="s">
        <v>32672</v>
      </c>
      <c r="H14365" t="s">
        <v>12635</v>
      </c>
      <c r="I14365" t="s">
        <v>6628</v>
      </c>
      <c r="J14365" t="s">
        <v>41362</v>
      </c>
      <c r="K14365" t="s">
        <v>42289</v>
      </c>
      <c r="M14365" t="s">
        <v>46283</v>
      </c>
      <c r="N14365" t="s">
        <v>46569</v>
      </c>
      <c r="O14365" t="s">
        <v>46570</v>
      </c>
      <c r="P14365">
        <v>0</v>
      </c>
      <c r="Q14365">
        <v>7</v>
      </c>
      <c r="R14365" t="s">
        <v>46588</v>
      </c>
      <c r="S14365" t="s">
        <v>47467</v>
      </c>
      <c r="T14365" t="s">
        <v>48244</v>
      </c>
      <c r="U14365" t="s">
        <v>60281</v>
      </c>
      <c r="W14365" t="s">
        <v>46283</v>
      </c>
      <c r="X14365" t="s">
        <v>46593</v>
      </c>
    </row>
    <row r="14366" spans="1:24">
      <c r="A14366">
        <f>HYPERLINK("https://www.philgeps.gov.ph/GEPSNONPILOT/Tender/SplashBidNoticeAbstractUI.aspx?menuIndex=3&amp;refID=7024140&amp;Result=3","7024140")</f>
        <v>0</v>
      </c>
      <c r="B14366" t="s">
        <v>2155</v>
      </c>
      <c r="C14366" t="s">
        <v>17196</v>
      </c>
      <c r="D14366" t="s">
        <v>18832</v>
      </c>
      <c r="E14366" t="s">
        <v>31251</v>
      </c>
      <c r="F14366" t="s">
        <v>32664</v>
      </c>
      <c r="G14366" t="s">
        <v>32672</v>
      </c>
      <c r="H14366" t="s">
        <v>12635</v>
      </c>
      <c r="I14366" t="s">
        <v>9486</v>
      </c>
      <c r="J14366" t="s">
        <v>41363</v>
      </c>
      <c r="K14366" t="s">
        <v>42281</v>
      </c>
      <c r="M14366" t="s">
        <v>44912</v>
      </c>
      <c r="N14366" t="s">
        <v>46569</v>
      </c>
      <c r="O14366" t="s">
        <v>46570</v>
      </c>
      <c r="P14366">
        <v>0</v>
      </c>
      <c r="Q14366">
        <v>2</v>
      </c>
      <c r="R14366" t="s">
        <v>46588</v>
      </c>
      <c r="S14366" t="s">
        <v>47467</v>
      </c>
      <c r="T14366" t="s">
        <v>48249</v>
      </c>
      <c r="U14366" t="s">
        <v>54483</v>
      </c>
      <c r="W14366" t="s">
        <v>44912</v>
      </c>
      <c r="X14366" t="s">
        <v>46594</v>
      </c>
    </row>
    <row r="14367" spans="1:24">
      <c r="A14367">
        <f>HYPERLINK("https://www.philgeps.gov.ph/GEPSNONPILOT/Tender/SplashBidNoticeAbstractUI.aspx?menuIndex=3&amp;refID=7026455&amp;Result=3","7026455")</f>
        <v>0</v>
      </c>
      <c r="B14367" t="s">
        <v>3315</v>
      </c>
      <c r="C14367" t="s">
        <v>17197</v>
      </c>
      <c r="D14367" t="s">
        <v>18851</v>
      </c>
      <c r="E14367" t="s">
        <v>31252</v>
      </c>
      <c r="F14367" t="s">
        <v>32664</v>
      </c>
      <c r="G14367" t="s">
        <v>32672</v>
      </c>
      <c r="H14367" t="s">
        <v>12635</v>
      </c>
      <c r="I14367" t="s">
        <v>32743</v>
      </c>
      <c r="J14367" t="s">
        <v>33396</v>
      </c>
      <c r="K14367" t="s">
        <v>42283</v>
      </c>
      <c r="M14367" t="s">
        <v>46263</v>
      </c>
      <c r="N14367" t="s">
        <v>46569</v>
      </c>
      <c r="O14367" t="s">
        <v>46570</v>
      </c>
      <c r="P14367">
        <v>0</v>
      </c>
      <c r="Q14367">
        <v>7</v>
      </c>
      <c r="R14367" t="s">
        <v>46588</v>
      </c>
      <c r="S14367" t="s">
        <v>47467</v>
      </c>
      <c r="T14367" t="s">
        <v>48283</v>
      </c>
      <c r="U14367" t="s">
        <v>60307</v>
      </c>
      <c r="W14367" t="s">
        <v>46263</v>
      </c>
      <c r="X14367" t="s">
        <v>46593</v>
      </c>
    </row>
    <row r="14368" spans="1:24">
      <c r="A14368">
        <f>HYPERLINK("https://www.philgeps.gov.ph/GEPSNONPILOT/Tender/SplashBidNoticeAbstractUI.aspx?menuIndex=3&amp;refID=7025185&amp;Result=3","7025185")</f>
        <v>0</v>
      </c>
      <c r="B14368" t="s">
        <v>3350</v>
      </c>
      <c r="C14368" t="s">
        <v>17198</v>
      </c>
      <c r="D14368" t="s">
        <v>18809</v>
      </c>
      <c r="E14368" t="s">
        <v>31253</v>
      </c>
      <c r="F14368" t="s">
        <v>32664</v>
      </c>
      <c r="G14368" t="s">
        <v>32672</v>
      </c>
      <c r="H14368" t="s">
        <v>32683</v>
      </c>
      <c r="I14368" t="s">
        <v>10627</v>
      </c>
      <c r="J14368" t="s">
        <v>41364</v>
      </c>
      <c r="K14368" t="s">
        <v>42290</v>
      </c>
      <c r="M14368" t="s">
        <v>46306</v>
      </c>
      <c r="N14368" t="s">
        <v>46569</v>
      </c>
      <c r="O14368" t="s">
        <v>46570</v>
      </c>
      <c r="P14368">
        <v>0</v>
      </c>
      <c r="Q14368">
        <v>1</v>
      </c>
      <c r="R14368" t="s">
        <v>46588</v>
      </c>
      <c r="S14368" t="s">
        <v>47467</v>
      </c>
      <c r="T14368" t="s">
        <v>48314</v>
      </c>
      <c r="U14368" t="s">
        <v>60308</v>
      </c>
      <c r="W14368" t="s">
        <v>46306</v>
      </c>
      <c r="X14368" t="s">
        <v>46593</v>
      </c>
    </row>
    <row r="14369" spans="1:24">
      <c r="A14369">
        <f>HYPERLINK("https://www.philgeps.gov.ph/GEPSNONPILOT/Tender/SplashBidNoticeAbstractUI.aspx?menuIndex=3&amp;refID=7024379&amp;Result=3","7024379")</f>
        <v>0</v>
      </c>
      <c r="B14369" t="s">
        <v>164</v>
      </c>
      <c r="C14369" t="s">
        <v>17199</v>
      </c>
      <c r="D14369" t="s">
        <v>18836</v>
      </c>
      <c r="E14369" t="s">
        <v>31254</v>
      </c>
      <c r="F14369" t="s">
        <v>32664</v>
      </c>
      <c r="G14369" t="s">
        <v>32672</v>
      </c>
      <c r="H14369" t="s">
        <v>12635</v>
      </c>
      <c r="I14369" t="s">
        <v>6118</v>
      </c>
      <c r="J14369" t="s">
        <v>41365</v>
      </c>
      <c r="K14369" t="s">
        <v>42283</v>
      </c>
      <c r="M14369" t="s">
        <v>42728</v>
      </c>
      <c r="N14369" t="s">
        <v>46569</v>
      </c>
      <c r="O14369" t="s">
        <v>46570</v>
      </c>
      <c r="Q14369">
        <v>5</v>
      </c>
      <c r="R14369" t="s">
        <v>46588</v>
      </c>
      <c r="S14369" t="s">
        <v>47485</v>
      </c>
      <c r="T14369" t="s">
        <v>48221</v>
      </c>
      <c r="U14369" t="s">
        <v>60309</v>
      </c>
      <c r="V14369" t="s">
        <v>63220</v>
      </c>
      <c r="W14369" t="s">
        <v>42728</v>
      </c>
      <c r="X14369" t="s">
        <v>46593</v>
      </c>
    </row>
    <row r="14370" spans="1:24">
      <c r="A14370">
        <f>HYPERLINK("https://www.philgeps.gov.ph/GEPSNONPILOT/Tender/SplashBidNoticeAbstractUI.aspx?menuIndex=3&amp;refID=7025220&amp;Result=3","7025220")</f>
        <v>0</v>
      </c>
      <c r="B14370" t="s">
        <v>3332</v>
      </c>
      <c r="C14370" t="s">
        <v>17200</v>
      </c>
      <c r="D14370" t="s">
        <v>18843</v>
      </c>
      <c r="E14370" t="s">
        <v>31255</v>
      </c>
      <c r="F14370" t="s">
        <v>32664</v>
      </c>
      <c r="G14370" t="s">
        <v>32672</v>
      </c>
      <c r="H14370" t="s">
        <v>12635</v>
      </c>
      <c r="I14370" t="s">
        <v>32685</v>
      </c>
      <c r="J14370" t="s">
        <v>41366</v>
      </c>
      <c r="K14370" t="s">
        <v>42289</v>
      </c>
      <c r="M14370" t="s">
        <v>46283</v>
      </c>
      <c r="N14370" t="s">
        <v>46569</v>
      </c>
      <c r="O14370" t="s">
        <v>46570</v>
      </c>
      <c r="P14370">
        <v>0</v>
      </c>
      <c r="Q14370">
        <v>0</v>
      </c>
      <c r="R14370" t="s">
        <v>46588</v>
      </c>
      <c r="S14370" t="s">
        <v>47467</v>
      </c>
      <c r="T14370" t="s">
        <v>48244</v>
      </c>
      <c r="U14370" t="s">
        <v>60310</v>
      </c>
      <c r="W14370" t="s">
        <v>46283</v>
      </c>
      <c r="X14370" t="s">
        <v>46593</v>
      </c>
    </row>
    <row r="14371" spans="1:24">
      <c r="A14371">
        <f>HYPERLINK("https://www.philgeps.gov.ph/GEPSNONPILOT/Tender/SplashBidNoticeAbstractUI.aspx?menuIndex=3&amp;refID=7029204&amp;Result=3","7029204")</f>
        <v>0</v>
      </c>
      <c r="B14371" t="s">
        <v>2275</v>
      </c>
      <c r="C14371" t="s">
        <v>17201</v>
      </c>
      <c r="D14371" t="s">
        <v>18784</v>
      </c>
      <c r="E14371" t="s">
        <v>31256</v>
      </c>
      <c r="F14371" t="s">
        <v>32664</v>
      </c>
      <c r="G14371" t="s">
        <v>32672</v>
      </c>
      <c r="H14371" t="s">
        <v>12635</v>
      </c>
      <c r="I14371" t="s">
        <v>5501</v>
      </c>
      <c r="J14371" t="s">
        <v>41367</v>
      </c>
      <c r="K14371" t="s">
        <v>42283</v>
      </c>
      <c r="M14371" t="s">
        <v>46380</v>
      </c>
      <c r="N14371" t="s">
        <v>46569</v>
      </c>
      <c r="O14371" t="s">
        <v>46570</v>
      </c>
      <c r="P14371">
        <v>0</v>
      </c>
      <c r="Q14371">
        <v>25</v>
      </c>
      <c r="R14371" t="s">
        <v>46588</v>
      </c>
      <c r="S14371" t="s">
        <v>47467</v>
      </c>
      <c r="T14371" t="s">
        <v>48228</v>
      </c>
      <c r="U14371" t="s">
        <v>60311</v>
      </c>
      <c r="W14371" t="s">
        <v>46380</v>
      </c>
      <c r="X14371" t="s">
        <v>46592</v>
      </c>
    </row>
    <row r="14372" spans="1:24">
      <c r="A14372">
        <f>HYPERLINK("https://www.philgeps.gov.ph/GEPSNONPILOT/Tender/SplashBidNoticeAbstractUI.aspx?menuIndex=3&amp;refID=7029229&amp;Result=3","7029229")</f>
        <v>0</v>
      </c>
      <c r="B14372" t="s">
        <v>2004</v>
      </c>
      <c r="C14372" t="s">
        <v>17202</v>
      </c>
      <c r="D14372" t="s">
        <v>18790</v>
      </c>
      <c r="E14372" t="s">
        <v>22050</v>
      </c>
      <c r="F14372" t="s">
        <v>32664</v>
      </c>
      <c r="G14372" t="s">
        <v>32672</v>
      </c>
      <c r="H14372" t="s">
        <v>32683</v>
      </c>
      <c r="I14372" t="s">
        <v>10627</v>
      </c>
      <c r="J14372" t="s">
        <v>32943</v>
      </c>
      <c r="K14372" t="s">
        <v>42290</v>
      </c>
      <c r="M14372" t="s">
        <v>46381</v>
      </c>
      <c r="N14372" t="s">
        <v>46569</v>
      </c>
      <c r="O14372" t="s">
        <v>46570</v>
      </c>
      <c r="P14372">
        <v>0</v>
      </c>
      <c r="Q14372">
        <v>0</v>
      </c>
      <c r="R14372" t="s">
        <v>46588</v>
      </c>
      <c r="S14372" t="s">
        <v>47467</v>
      </c>
      <c r="T14372" t="s">
        <v>48293</v>
      </c>
      <c r="U14372" t="s">
        <v>60312</v>
      </c>
      <c r="W14372" t="s">
        <v>46381</v>
      </c>
      <c r="X14372" t="s">
        <v>46592</v>
      </c>
    </row>
    <row r="14373" spans="1:24">
      <c r="A14373">
        <f>HYPERLINK("https://www.philgeps.gov.ph/GEPSNONPILOT/Tender/SplashBidNoticeAbstractUI.aspx?menuIndex=3&amp;refID=7029176&amp;Result=3","7029176")</f>
        <v>0</v>
      </c>
      <c r="B14373" t="s">
        <v>2004</v>
      </c>
      <c r="C14373" t="s">
        <v>17203</v>
      </c>
      <c r="D14373" t="s">
        <v>18790</v>
      </c>
      <c r="E14373" t="s">
        <v>19357</v>
      </c>
      <c r="F14373" t="s">
        <v>32664</v>
      </c>
      <c r="G14373" t="s">
        <v>32672</v>
      </c>
      <c r="H14373" t="s">
        <v>32683</v>
      </c>
      <c r="I14373" t="s">
        <v>10627</v>
      </c>
      <c r="J14373" t="s">
        <v>32943</v>
      </c>
      <c r="K14373" t="s">
        <v>42290</v>
      </c>
      <c r="M14373" t="s">
        <v>46381</v>
      </c>
      <c r="N14373" t="s">
        <v>46569</v>
      </c>
      <c r="O14373" t="s">
        <v>46570</v>
      </c>
      <c r="P14373">
        <v>0</v>
      </c>
      <c r="Q14373">
        <v>0</v>
      </c>
      <c r="R14373" t="s">
        <v>46588</v>
      </c>
      <c r="S14373" t="s">
        <v>47467</v>
      </c>
      <c r="T14373" t="s">
        <v>48293</v>
      </c>
      <c r="U14373" t="s">
        <v>60313</v>
      </c>
      <c r="W14373" t="s">
        <v>46381</v>
      </c>
      <c r="X14373" t="s">
        <v>46592</v>
      </c>
    </row>
    <row r="14374" spans="1:24">
      <c r="A14374">
        <f>HYPERLINK("https://www.philgeps.gov.ph/GEPSNONPILOT/Tender/SplashBidNoticeAbstractUI.aspx?menuIndex=3&amp;refID=7029219&amp;Result=3","7029219")</f>
        <v>0</v>
      </c>
      <c r="B14374" t="s">
        <v>1481</v>
      </c>
      <c r="C14374" t="s">
        <v>17204</v>
      </c>
      <c r="D14374" t="s">
        <v>18784</v>
      </c>
      <c r="E14374" t="s">
        <v>31257</v>
      </c>
      <c r="F14374" t="s">
        <v>32664</v>
      </c>
      <c r="G14374" t="s">
        <v>32672</v>
      </c>
      <c r="H14374" t="s">
        <v>12635</v>
      </c>
      <c r="I14374" t="s">
        <v>32708</v>
      </c>
      <c r="J14374" t="s">
        <v>41368</v>
      </c>
      <c r="K14374" t="s">
        <v>42311</v>
      </c>
      <c r="M14374" t="s">
        <v>46062</v>
      </c>
      <c r="N14374" t="s">
        <v>46569</v>
      </c>
      <c r="O14374" t="s">
        <v>46570</v>
      </c>
      <c r="Q14374">
        <v>25</v>
      </c>
      <c r="R14374" t="s">
        <v>46588</v>
      </c>
      <c r="S14374" t="s">
        <v>47486</v>
      </c>
      <c r="T14374" t="s">
        <v>48221</v>
      </c>
      <c r="U14374" t="s">
        <v>60314</v>
      </c>
      <c r="W14374" t="s">
        <v>46062</v>
      </c>
      <c r="X14374" t="s">
        <v>46592</v>
      </c>
    </row>
    <row r="14375" spans="1:24">
      <c r="A14375">
        <f>HYPERLINK("https://www.philgeps.gov.ph/GEPSNONPILOT/Tender/SplashBidNoticeAbstractUI.aspx?menuIndex=3&amp;refID=7028993&amp;Result=3","7028993")</f>
        <v>0</v>
      </c>
      <c r="B14375" t="s">
        <v>1074</v>
      </c>
      <c r="C14375" t="s">
        <v>17205</v>
      </c>
      <c r="D14375" t="s">
        <v>18786</v>
      </c>
      <c r="E14375" t="s">
        <v>31258</v>
      </c>
      <c r="F14375" t="s">
        <v>32664</v>
      </c>
      <c r="G14375" t="s">
        <v>32672</v>
      </c>
      <c r="H14375" t="s">
        <v>32683</v>
      </c>
      <c r="I14375" t="s">
        <v>10627</v>
      </c>
      <c r="J14375" t="s">
        <v>33615</v>
      </c>
      <c r="K14375" t="s">
        <v>42369</v>
      </c>
      <c r="M14375" t="s">
        <v>43694</v>
      </c>
      <c r="N14375" t="s">
        <v>46569</v>
      </c>
      <c r="O14375" t="s">
        <v>46570</v>
      </c>
      <c r="P14375">
        <v>0</v>
      </c>
      <c r="Q14375">
        <v>0</v>
      </c>
      <c r="R14375" t="s">
        <v>46588</v>
      </c>
      <c r="S14375" t="s">
        <v>47467</v>
      </c>
      <c r="T14375" t="s">
        <v>48304</v>
      </c>
      <c r="U14375" t="s">
        <v>60315</v>
      </c>
      <c r="W14375" t="s">
        <v>43694</v>
      </c>
      <c r="X14375" t="s">
        <v>46592</v>
      </c>
    </row>
    <row r="14376" spans="1:24">
      <c r="A14376">
        <f>HYPERLINK("https://www.philgeps.gov.ph/GEPSNONPILOT/Tender/SplashBidNoticeAbstractUI.aspx?menuIndex=3&amp;refID=7028958&amp;Result=3","7028958")</f>
        <v>0</v>
      </c>
      <c r="B14376" t="s">
        <v>667</v>
      </c>
      <c r="C14376" t="s">
        <v>17206</v>
      </c>
      <c r="D14376" t="s">
        <v>18843</v>
      </c>
      <c r="E14376" t="s">
        <v>31259</v>
      </c>
      <c r="F14376" t="s">
        <v>32664</v>
      </c>
      <c r="G14376" t="s">
        <v>32672</v>
      </c>
      <c r="H14376" t="s">
        <v>32683</v>
      </c>
      <c r="I14376" t="s">
        <v>10627</v>
      </c>
      <c r="J14376" t="s">
        <v>34033</v>
      </c>
      <c r="K14376" t="s">
        <v>42469</v>
      </c>
      <c r="M14376" t="s">
        <v>43254</v>
      </c>
      <c r="N14376" t="s">
        <v>46569</v>
      </c>
      <c r="O14376" t="s">
        <v>46570</v>
      </c>
      <c r="Q14376">
        <v>3</v>
      </c>
      <c r="R14376" t="s">
        <v>46588</v>
      </c>
      <c r="S14376" t="s">
        <v>47487</v>
      </c>
      <c r="T14376" t="s">
        <v>48283</v>
      </c>
      <c r="U14376" t="s">
        <v>60316</v>
      </c>
      <c r="W14376" t="s">
        <v>43254</v>
      </c>
      <c r="X14376" t="s">
        <v>46592</v>
      </c>
    </row>
    <row r="14377" spans="1:24">
      <c r="A14377">
        <f>HYPERLINK("https://www.philgeps.gov.ph/GEPSNONPILOT/Tender/SplashBidNoticeAbstractUI.aspx?menuIndex=3&amp;refID=7027265&amp;Result=3","7027265")</f>
        <v>0</v>
      </c>
      <c r="B14377" t="s">
        <v>3407</v>
      </c>
      <c r="C14377" t="s">
        <v>17207</v>
      </c>
      <c r="D14377" t="s">
        <v>18827</v>
      </c>
      <c r="E14377" t="s">
        <v>31260</v>
      </c>
      <c r="F14377" t="s">
        <v>32664</v>
      </c>
      <c r="G14377" t="s">
        <v>32672</v>
      </c>
      <c r="H14377" t="s">
        <v>32683</v>
      </c>
      <c r="I14377" t="s">
        <v>32783</v>
      </c>
      <c r="J14377" t="s">
        <v>41369</v>
      </c>
      <c r="K14377" t="s">
        <v>42311</v>
      </c>
      <c r="M14377" t="s">
        <v>46382</v>
      </c>
      <c r="N14377" t="s">
        <v>46569</v>
      </c>
      <c r="O14377" t="s">
        <v>46570</v>
      </c>
      <c r="Q14377">
        <v>2</v>
      </c>
      <c r="R14377" t="s">
        <v>46588</v>
      </c>
      <c r="S14377" t="s">
        <v>47488</v>
      </c>
      <c r="T14377" t="s">
        <v>48293</v>
      </c>
      <c r="U14377" t="s">
        <v>60317</v>
      </c>
      <c r="W14377" t="s">
        <v>46382</v>
      </c>
      <c r="X14377" t="s">
        <v>46592</v>
      </c>
    </row>
    <row r="14378" spans="1:24">
      <c r="A14378">
        <f>HYPERLINK("https://www.philgeps.gov.ph/GEPSNONPILOT/Tender/SplashBidNoticeAbstractUI.aspx?menuIndex=3&amp;refID=7028844&amp;Result=3","7028844")</f>
        <v>0</v>
      </c>
      <c r="B14378" t="s">
        <v>2004</v>
      </c>
      <c r="C14378" t="s">
        <v>17208</v>
      </c>
      <c r="D14378" t="s">
        <v>18790</v>
      </c>
      <c r="E14378" t="s">
        <v>21371</v>
      </c>
      <c r="F14378" t="s">
        <v>32664</v>
      </c>
      <c r="G14378" t="s">
        <v>32672</v>
      </c>
      <c r="H14378" t="s">
        <v>32683</v>
      </c>
      <c r="I14378" t="s">
        <v>10627</v>
      </c>
      <c r="J14378" t="s">
        <v>32943</v>
      </c>
      <c r="K14378" t="s">
        <v>42290</v>
      </c>
      <c r="M14378" t="s">
        <v>46381</v>
      </c>
      <c r="N14378" t="s">
        <v>46569</v>
      </c>
      <c r="O14378" t="s">
        <v>46570</v>
      </c>
      <c r="P14378">
        <v>0</v>
      </c>
      <c r="Q14378">
        <v>0</v>
      </c>
      <c r="R14378" t="s">
        <v>46588</v>
      </c>
      <c r="S14378" t="s">
        <v>47467</v>
      </c>
      <c r="T14378" t="s">
        <v>48293</v>
      </c>
      <c r="U14378" t="s">
        <v>60318</v>
      </c>
      <c r="W14378" t="s">
        <v>46381</v>
      </c>
      <c r="X14378" t="s">
        <v>46592</v>
      </c>
    </row>
    <row r="14379" spans="1:24">
      <c r="A14379">
        <f>HYPERLINK("https://www.philgeps.gov.ph/GEPSNONPILOT/Tender/SplashBidNoticeAbstractUI.aspx?menuIndex=3&amp;refID=7024077&amp;Result=3","7024077")</f>
        <v>0</v>
      </c>
      <c r="B14379" t="s">
        <v>1127</v>
      </c>
      <c r="C14379" t="s">
        <v>17209</v>
      </c>
      <c r="D14379" t="s">
        <v>18802</v>
      </c>
      <c r="E14379" t="s">
        <v>31261</v>
      </c>
      <c r="F14379" t="s">
        <v>32664</v>
      </c>
      <c r="G14379" t="s">
        <v>32672</v>
      </c>
      <c r="H14379" t="s">
        <v>32683</v>
      </c>
      <c r="I14379" t="s">
        <v>32758</v>
      </c>
      <c r="J14379" t="s">
        <v>41370</v>
      </c>
      <c r="K14379" t="s">
        <v>42308</v>
      </c>
      <c r="M14379" t="s">
        <v>46379</v>
      </c>
      <c r="N14379" t="s">
        <v>46569</v>
      </c>
      <c r="O14379" t="s">
        <v>46570</v>
      </c>
      <c r="Q14379">
        <v>3</v>
      </c>
      <c r="R14379" t="s">
        <v>46588</v>
      </c>
      <c r="S14379" t="s">
        <v>47489</v>
      </c>
      <c r="T14379" t="s">
        <v>48221</v>
      </c>
      <c r="U14379" t="s">
        <v>60319</v>
      </c>
      <c r="V14379" t="s">
        <v>63225</v>
      </c>
      <c r="W14379" t="s">
        <v>46379</v>
      </c>
      <c r="X14379" t="s">
        <v>46594</v>
      </c>
    </row>
    <row r="14380" spans="1:24">
      <c r="A14380">
        <f>HYPERLINK("https://www.philgeps.gov.ph/GEPSNONPILOT/Tender/SplashBidNoticeAbstractUI.aspx?menuIndex=3&amp;refID=7024050&amp;Result=3","7024050")</f>
        <v>0</v>
      </c>
      <c r="B14380" t="s">
        <v>1127</v>
      </c>
      <c r="C14380" t="s">
        <v>17210</v>
      </c>
      <c r="D14380" t="s">
        <v>18802</v>
      </c>
      <c r="E14380" t="s">
        <v>31262</v>
      </c>
      <c r="F14380" t="s">
        <v>32664</v>
      </c>
      <c r="G14380" t="s">
        <v>32672</v>
      </c>
      <c r="H14380" t="s">
        <v>32683</v>
      </c>
      <c r="I14380" t="s">
        <v>6553</v>
      </c>
      <c r="J14380" t="s">
        <v>41371</v>
      </c>
      <c r="K14380" t="s">
        <v>42397</v>
      </c>
      <c r="M14380" t="s">
        <v>46379</v>
      </c>
      <c r="N14380" t="s">
        <v>46569</v>
      </c>
      <c r="O14380" t="s">
        <v>46570</v>
      </c>
      <c r="Q14380">
        <v>8</v>
      </c>
      <c r="R14380" t="s">
        <v>46588</v>
      </c>
      <c r="S14380" t="s">
        <v>47490</v>
      </c>
      <c r="T14380" t="s">
        <v>48286</v>
      </c>
      <c r="U14380" t="s">
        <v>60320</v>
      </c>
      <c r="V14380" t="s">
        <v>63226</v>
      </c>
      <c r="W14380" t="s">
        <v>46379</v>
      </c>
      <c r="X14380" t="s">
        <v>46594</v>
      </c>
    </row>
    <row r="14381" spans="1:24">
      <c r="A14381">
        <f>HYPERLINK("https://www.philgeps.gov.ph/GEPSNONPILOT/Tender/SplashBidNoticeAbstractUI.aspx?menuIndex=3&amp;refID=7028703&amp;Result=3","7028703")</f>
        <v>0</v>
      </c>
      <c r="B14381" t="s">
        <v>667</v>
      </c>
      <c r="C14381" t="s">
        <v>17211</v>
      </c>
      <c r="D14381" t="s">
        <v>18843</v>
      </c>
      <c r="E14381" t="s">
        <v>31263</v>
      </c>
      <c r="F14381" t="s">
        <v>32664</v>
      </c>
      <c r="G14381" t="s">
        <v>32672</v>
      </c>
      <c r="H14381" t="s">
        <v>32683</v>
      </c>
      <c r="I14381" t="s">
        <v>10627</v>
      </c>
      <c r="J14381" t="s">
        <v>39167</v>
      </c>
      <c r="K14381" t="s">
        <v>42554</v>
      </c>
      <c r="M14381" t="s">
        <v>43254</v>
      </c>
      <c r="N14381" t="s">
        <v>46569</v>
      </c>
      <c r="O14381" t="s">
        <v>46570</v>
      </c>
      <c r="Q14381">
        <v>3</v>
      </c>
      <c r="R14381" t="s">
        <v>46588</v>
      </c>
      <c r="S14381" t="s">
        <v>47491</v>
      </c>
      <c r="T14381" t="s">
        <v>48283</v>
      </c>
      <c r="U14381" t="s">
        <v>60316</v>
      </c>
      <c r="W14381" t="s">
        <v>43254</v>
      </c>
      <c r="X14381" t="s">
        <v>46592</v>
      </c>
    </row>
    <row r="14382" spans="1:24">
      <c r="A14382">
        <f>HYPERLINK("https://www.philgeps.gov.ph/GEPSNONPILOT/Tender/SplashBidNoticeAbstractUI.aspx?menuIndex=3&amp;refID=7030193&amp;Result=3","7030193")</f>
        <v>0</v>
      </c>
      <c r="B14382" t="s">
        <v>3408</v>
      </c>
      <c r="C14382" t="s">
        <v>17212</v>
      </c>
      <c r="D14382" t="s">
        <v>18785</v>
      </c>
      <c r="E14382" t="s">
        <v>31264</v>
      </c>
      <c r="F14382" t="s">
        <v>32664</v>
      </c>
      <c r="G14382" t="s">
        <v>32672</v>
      </c>
      <c r="H14382" t="s">
        <v>32683</v>
      </c>
      <c r="I14382" t="s">
        <v>10627</v>
      </c>
      <c r="J14382" t="s">
        <v>41372</v>
      </c>
      <c r="K14382" t="s">
        <v>42369</v>
      </c>
      <c r="M14382" t="s">
        <v>46383</v>
      </c>
      <c r="N14382" t="s">
        <v>46569</v>
      </c>
      <c r="O14382" t="s">
        <v>46570</v>
      </c>
      <c r="P14382">
        <v>0</v>
      </c>
      <c r="Q14382">
        <v>6</v>
      </c>
      <c r="R14382" t="s">
        <v>46588</v>
      </c>
      <c r="S14382" t="s">
        <v>47467</v>
      </c>
      <c r="T14382" t="s">
        <v>48282</v>
      </c>
      <c r="U14382" t="s">
        <v>60321</v>
      </c>
      <c r="W14382" t="s">
        <v>63595</v>
      </c>
      <c r="X14382" t="s">
        <v>46591</v>
      </c>
    </row>
    <row r="14383" spans="1:24">
      <c r="A14383">
        <f>HYPERLINK("https://www.philgeps.gov.ph/GEPSNONPILOT/Tender/SplashBidNoticeAbstractUI.aspx?menuIndex=3&amp;refID=7028991&amp;Result=3","7028991")</f>
        <v>0</v>
      </c>
      <c r="B14383" t="s">
        <v>2004</v>
      </c>
      <c r="C14383" t="s">
        <v>17213</v>
      </c>
      <c r="D14383" t="s">
        <v>18790</v>
      </c>
      <c r="E14383" t="s">
        <v>22020</v>
      </c>
      <c r="F14383" t="s">
        <v>32664</v>
      </c>
      <c r="G14383" t="s">
        <v>32672</v>
      </c>
      <c r="H14383" t="s">
        <v>32683</v>
      </c>
      <c r="I14383" t="s">
        <v>10627</v>
      </c>
      <c r="J14383" t="s">
        <v>32943</v>
      </c>
      <c r="K14383" t="s">
        <v>42290</v>
      </c>
      <c r="M14383" t="s">
        <v>46381</v>
      </c>
      <c r="N14383" t="s">
        <v>46569</v>
      </c>
      <c r="O14383" t="s">
        <v>46570</v>
      </c>
      <c r="P14383">
        <v>0</v>
      </c>
      <c r="Q14383">
        <v>0</v>
      </c>
      <c r="R14383" t="s">
        <v>46588</v>
      </c>
      <c r="S14383" t="s">
        <v>47467</v>
      </c>
      <c r="T14383" t="s">
        <v>48293</v>
      </c>
      <c r="U14383" t="s">
        <v>60322</v>
      </c>
      <c r="W14383" t="s">
        <v>46381</v>
      </c>
      <c r="X14383" t="s">
        <v>46592</v>
      </c>
    </row>
    <row r="14384" spans="1:24">
      <c r="A14384">
        <f>HYPERLINK("https://www.philgeps.gov.ph/GEPSNONPILOT/Tender/SplashBidNoticeAbstractUI.aspx?menuIndex=3&amp;refID=7024422&amp;Result=3","7024422")</f>
        <v>0</v>
      </c>
      <c r="B14384" t="s">
        <v>164</v>
      </c>
      <c r="C14384" t="s">
        <v>17214</v>
      </c>
      <c r="D14384" t="s">
        <v>18836</v>
      </c>
      <c r="E14384" t="s">
        <v>31265</v>
      </c>
      <c r="F14384" t="s">
        <v>32664</v>
      </c>
      <c r="G14384" t="s">
        <v>32672</v>
      </c>
      <c r="H14384" t="s">
        <v>12635</v>
      </c>
      <c r="I14384" t="s">
        <v>6118</v>
      </c>
      <c r="J14384" t="s">
        <v>41373</v>
      </c>
      <c r="K14384" t="s">
        <v>42283</v>
      </c>
      <c r="M14384" t="s">
        <v>42728</v>
      </c>
      <c r="N14384" t="s">
        <v>46569</v>
      </c>
      <c r="O14384" t="s">
        <v>46570</v>
      </c>
      <c r="Q14384">
        <v>1</v>
      </c>
      <c r="R14384" t="s">
        <v>46588</v>
      </c>
      <c r="S14384" t="s">
        <v>47492</v>
      </c>
      <c r="T14384" t="s">
        <v>48221</v>
      </c>
      <c r="U14384" t="s">
        <v>60323</v>
      </c>
      <c r="V14384" t="s">
        <v>63220</v>
      </c>
      <c r="W14384" t="s">
        <v>42728</v>
      </c>
      <c r="X14384" t="s">
        <v>46593</v>
      </c>
    </row>
    <row r="14385" spans="1:24">
      <c r="A14385">
        <f>HYPERLINK("https://www.philgeps.gov.ph/GEPSNONPILOT/Tender/SplashBidNoticeAbstractUI.aspx?menuIndex=3&amp;refID=7030173&amp;Result=3","7030173")</f>
        <v>0</v>
      </c>
      <c r="B14385" t="s">
        <v>1797</v>
      </c>
      <c r="C14385" t="s">
        <v>17215</v>
      </c>
      <c r="D14385" t="s">
        <v>18831</v>
      </c>
      <c r="E14385" t="s">
        <v>31266</v>
      </c>
      <c r="F14385" t="s">
        <v>32664</v>
      </c>
      <c r="G14385" t="s">
        <v>32672</v>
      </c>
      <c r="H14385" t="s">
        <v>32683</v>
      </c>
      <c r="I14385" t="s">
        <v>10627</v>
      </c>
      <c r="J14385" t="s">
        <v>41374</v>
      </c>
      <c r="K14385" t="s">
        <v>42338</v>
      </c>
      <c r="M14385" t="s">
        <v>44500</v>
      </c>
      <c r="N14385" t="s">
        <v>46569</v>
      </c>
      <c r="O14385" t="s">
        <v>46570</v>
      </c>
      <c r="P14385">
        <v>0</v>
      </c>
      <c r="Q14385">
        <v>1</v>
      </c>
      <c r="R14385" t="s">
        <v>46588</v>
      </c>
      <c r="S14385" t="s">
        <v>47467</v>
      </c>
      <c r="T14385" t="s">
        <v>48225</v>
      </c>
      <c r="U14385" t="s">
        <v>60324</v>
      </c>
      <c r="V14385" t="s">
        <v>62172</v>
      </c>
      <c r="W14385" t="s">
        <v>44500</v>
      </c>
      <c r="X14385" t="s">
        <v>46591</v>
      </c>
    </row>
    <row r="14386" spans="1:24">
      <c r="A14386">
        <f>HYPERLINK("https://www.philgeps.gov.ph/GEPSNONPILOT/Tender/SplashBidNoticeAbstractUI.aspx?menuIndex=3&amp;refID=7029077&amp;Result=3","7029077")</f>
        <v>0</v>
      </c>
      <c r="B14386" t="s">
        <v>2004</v>
      </c>
      <c r="C14386" t="s">
        <v>17216</v>
      </c>
      <c r="D14386" t="s">
        <v>18790</v>
      </c>
      <c r="E14386" t="s">
        <v>21413</v>
      </c>
      <c r="F14386" t="s">
        <v>32664</v>
      </c>
      <c r="G14386" t="s">
        <v>32672</v>
      </c>
      <c r="H14386" t="s">
        <v>32683</v>
      </c>
      <c r="I14386" t="s">
        <v>10627</v>
      </c>
      <c r="J14386" t="s">
        <v>32943</v>
      </c>
      <c r="K14386" t="s">
        <v>42290</v>
      </c>
      <c r="M14386" t="s">
        <v>46381</v>
      </c>
      <c r="N14386" t="s">
        <v>46569</v>
      </c>
      <c r="O14386" t="s">
        <v>46570</v>
      </c>
      <c r="P14386">
        <v>0</v>
      </c>
      <c r="Q14386">
        <v>0</v>
      </c>
      <c r="R14386" t="s">
        <v>46588</v>
      </c>
      <c r="S14386" t="s">
        <v>47467</v>
      </c>
      <c r="T14386" t="s">
        <v>48293</v>
      </c>
      <c r="U14386" t="s">
        <v>60325</v>
      </c>
      <c r="W14386" t="s">
        <v>46381</v>
      </c>
      <c r="X14386" t="s">
        <v>46592</v>
      </c>
    </row>
    <row r="14387" spans="1:24">
      <c r="A14387">
        <f>HYPERLINK("https://www.philgeps.gov.ph/GEPSNONPILOT/Tender/SplashBidNoticeAbstractUI.aspx?menuIndex=3&amp;refID=7030007&amp;Result=3","7030007")</f>
        <v>0</v>
      </c>
      <c r="B14387" t="s">
        <v>1743</v>
      </c>
      <c r="C14387" t="s">
        <v>17217</v>
      </c>
      <c r="D14387" t="s">
        <v>18826</v>
      </c>
      <c r="E14387" t="s">
        <v>19193</v>
      </c>
      <c r="F14387" t="s">
        <v>32664</v>
      </c>
      <c r="G14387" t="s">
        <v>32672</v>
      </c>
      <c r="H14387" t="s">
        <v>32683</v>
      </c>
      <c r="I14387" t="s">
        <v>10627</v>
      </c>
      <c r="J14387" t="s">
        <v>41375</v>
      </c>
      <c r="K14387" t="s">
        <v>42290</v>
      </c>
      <c r="M14387" t="s">
        <v>44442</v>
      </c>
      <c r="N14387" t="s">
        <v>46569</v>
      </c>
      <c r="O14387" t="s">
        <v>46570</v>
      </c>
      <c r="P14387">
        <v>0</v>
      </c>
      <c r="Q14387">
        <v>37</v>
      </c>
      <c r="R14387" t="s">
        <v>46588</v>
      </c>
      <c r="S14387" t="s">
        <v>47467</v>
      </c>
      <c r="T14387" t="s">
        <v>48301</v>
      </c>
      <c r="U14387" t="s">
        <v>60326</v>
      </c>
      <c r="W14387" t="s">
        <v>44442</v>
      </c>
      <c r="X14387" t="s">
        <v>46591</v>
      </c>
    </row>
    <row r="14388" spans="1:24">
      <c r="A14388">
        <f>HYPERLINK("https://www.philgeps.gov.ph/GEPSNONPILOT/Tender/SplashBidNoticeAbstractUI.aspx?menuIndex=3&amp;refID=7030197&amp;Result=3","7030197")</f>
        <v>0</v>
      </c>
      <c r="B14388" t="s">
        <v>671</v>
      </c>
      <c r="C14388" t="s">
        <v>17218</v>
      </c>
      <c r="D14388" t="s">
        <v>18836</v>
      </c>
      <c r="E14388" t="s">
        <v>31267</v>
      </c>
      <c r="F14388" t="s">
        <v>32664</v>
      </c>
      <c r="G14388" t="s">
        <v>32674</v>
      </c>
      <c r="H14388" t="s">
        <v>12635</v>
      </c>
      <c r="I14388" t="s">
        <v>4439</v>
      </c>
      <c r="J14388" t="s">
        <v>41376</v>
      </c>
      <c r="K14388" t="s">
        <v>42295</v>
      </c>
      <c r="M14388" t="s">
        <v>43688</v>
      </c>
      <c r="N14388" t="s">
        <v>46569</v>
      </c>
      <c r="O14388" t="s">
        <v>46570</v>
      </c>
      <c r="Q14388">
        <v>2</v>
      </c>
      <c r="R14388" t="s">
        <v>46588</v>
      </c>
      <c r="S14388" t="s">
        <v>47493</v>
      </c>
      <c r="T14388" t="s">
        <v>48290</v>
      </c>
      <c r="U14388" t="s">
        <v>51005</v>
      </c>
      <c r="V14388" t="s">
        <v>61889</v>
      </c>
      <c r="W14388" t="s">
        <v>43688</v>
      </c>
      <c r="X14388" t="s">
        <v>46591</v>
      </c>
    </row>
    <row r="14389" spans="1:24">
      <c r="A14389">
        <f>HYPERLINK("https://www.philgeps.gov.ph/GEPSNONPILOT/Tender/SplashBidNoticeAbstractUI.aspx?menuIndex=3&amp;refID=7026100&amp;Result=3","7026100")</f>
        <v>0</v>
      </c>
      <c r="B14389" t="s">
        <v>329</v>
      </c>
      <c r="C14389" t="s">
        <v>17219</v>
      </c>
      <c r="D14389" t="s">
        <v>18806</v>
      </c>
      <c r="E14389" t="s">
        <v>31268</v>
      </c>
      <c r="F14389" t="s">
        <v>32664</v>
      </c>
      <c r="G14389" t="s">
        <v>32672</v>
      </c>
      <c r="H14389" t="s">
        <v>12635</v>
      </c>
      <c r="I14389" t="s">
        <v>11464</v>
      </c>
      <c r="J14389" t="s">
        <v>34559</v>
      </c>
      <c r="K14389" t="s">
        <v>42281</v>
      </c>
      <c r="M14389" t="s">
        <v>42897</v>
      </c>
      <c r="N14389" t="s">
        <v>46569</v>
      </c>
      <c r="O14389" t="s">
        <v>46570</v>
      </c>
      <c r="Q14389">
        <v>6</v>
      </c>
      <c r="R14389" t="s">
        <v>46588</v>
      </c>
      <c r="S14389" t="s">
        <v>47494</v>
      </c>
      <c r="T14389" t="s">
        <v>48256</v>
      </c>
      <c r="U14389" t="s">
        <v>60327</v>
      </c>
      <c r="W14389" t="s">
        <v>42897</v>
      </c>
      <c r="X14389" t="s">
        <v>46593</v>
      </c>
    </row>
    <row r="14390" spans="1:24">
      <c r="A14390">
        <f>HYPERLINK("https://www.philgeps.gov.ph/GEPSNONPILOT/Tender/SplashBidNoticeAbstractUI.aspx?menuIndex=3&amp;refID=7029992&amp;Result=3","7029992")</f>
        <v>0</v>
      </c>
      <c r="B14390" t="s">
        <v>2716</v>
      </c>
      <c r="C14390" t="s">
        <v>17220</v>
      </c>
      <c r="D14390" t="s">
        <v>18788</v>
      </c>
      <c r="E14390" t="s">
        <v>31269</v>
      </c>
      <c r="F14390" t="s">
        <v>32664</v>
      </c>
      <c r="G14390" t="s">
        <v>32672</v>
      </c>
      <c r="H14390" t="s">
        <v>32683</v>
      </c>
      <c r="I14390" t="s">
        <v>10627</v>
      </c>
      <c r="J14390" t="s">
        <v>32837</v>
      </c>
      <c r="K14390" t="s">
        <v>42283</v>
      </c>
      <c r="M14390" t="s">
        <v>45542</v>
      </c>
      <c r="N14390" t="s">
        <v>46569</v>
      </c>
      <c r="O14390" t="s">
        <v>46570</v>
      </c>
      <c r="P14390">
        <v>0</v>
      </c>
      <c r="Q14390">
        <v>2</v>
      </c>
      <c r="R14390" t="s">
        <v>46588</v>
      </c>
      <c r="S14390" t="s">
        <v>47467</v>
      </c>
      <c r="T14390" t="s">
        <v>48221</v>
      </c>
      <c r="U14390" t="s">
        <v>60328</v>
      </c>
      <c r="V14390" t="s">
        <v>61668</v>
      </c>
      <c r="W14390" t="s">
        <v>45542</v>
      </c>
      <c r="X14390" t="s">
        <v>46591</v>
      </c>
    </row>
    <row r="14391" spans="1:24">
      <c r="A14391">
        <f>HYPERLINK("https://www.philgeps.gov.ph/GEPSNONPILOT/Tender/SplashBidNoticeAbstractUI.aspx?menuIndex=3&amp;refID=7029939&amp;Result=3","7029939")</f>
        <v>0</v>
      </c>
      <c r="B14391" t="s">
        <v>1797</v>
      </c>
      <c r="C14391" t="s">
        <v>17221</v>
      </c>
      <c r="D14391" t="s">
        <v>18831</v>
      </c>
      <c r="E14391" t="s">
        <v>31270</v>
      </c>
      <c r="F14391" t="s">
        <v>32664</v>
      </c>
      <c r="G14391" t="s">
        <v>32672</v>
      </c>
      <c r="H14391" t="s">
        <v>12635</v>
      </c>
      <c r="I14391" t="s">
        <v>9486</v>
      </c>
      <c r="J14391" t="s">
        <v>41377</v>
      </c>
      <c r="K14391" t="s">
        <v>42281</v>
      </c>
      <c r="M14391" t="s">
        <v>44500</v>
      </c>
      <c r="N14391" t="s">
        <v>46569</v>
      </c>
      <c r="O14391" t="s">
        <v>46570</v>
      </c>
      <c r="P14391">
        <v>0</v>
      </c>
      <c r="Q14391">
        <v>4</v>
      </c>
      <c r="R14391" t="s">
        <v>46588</v>
      </c>
      <c r="S14391" t="s">
        <v>47467</v>
      </c>
      <c r="T14391" t="s">
        <v>48283</v>
      </c>
      <c r="U14391" t="s">
        <v>60329</v>
      </c>
      <c r="V14391" t="s">
        <v>62172</v>
      </c>
      <c r="W14391" t="s">
        <v>44500</v>
      </c>
      <c r="X14391" t="s">
        <v>46591</v>
      </c>
    </row>
    <row r="14392" spans="1:24">
      <c r="A14392">
        <f>HYPERLINK("https://www.philgeps.gov.ph/GEPSNONPILOT/Tender/SplashBidNoticeAbstractUI.aspx?menuIndex=3&amp;refID=7029901&amp;Result=3","7029901")</f>
        <v>0</v>
      </c>
      <c r="B14392" t="s">
        <v>1797</v>
      </c>
      <c r="C14392" t="s">
        <v>17222</v>
      </c>
      <c r="D14392" t="s">
        <v>18831</v>
      </c>
      <c r="E14392" t="s">
        <v>31271</v>
      </c>
      <c r="F14392" t="s">
        <v>32664</v>
      </c>
      <c r="G14392" t="s">
        <v>32672</v>
      </c>
      <c r="H14392" t="s">
        <v>12635</v>
      </c>
      <c r="I14392" t="s">
        <v>4439</v>
      </c>
      <c r="J14392" t="s">
        <v>38999</v>
      </c>
      <c r="K14392" t="s">
        <v>42281</v>
      </c>
      <c r="M14392" t="s">
        <v>44500</v>
      </c>
      <c r="N14392" t="s">
        <v>46569</v>
      </c>
      <c r="O14392" t="s">
        <v>46570</v>
      </c>
      <c r="P14392">
        <v>0</v>
      </c>
      <c r="Q14392">
        <v>5</v>
      </c>
      <c r="R14392" t="s">
        <v>46588</v>
      </c>
      <c r="S14392" t="s">
        <v>47467</v>
      </c>
      <c r="T14392" t="s">
        <v>48283</v>
      </c>
      <c r="U14392" t="s">
        <v>60330</v>
      </c>
      <c r="V14392" t="s">
        <v>62172</v>
      </c>
      <c r="W14392" t="s">
        <v>44500</v>
      </c>
      <c r="X14392" t="s">
        <v>46591</v>
      </c>
    </row>
    <row r="14393" spans="1:24">
      <c r="A14393">
        <f>HYPERLINK("https://www.philgeps.gov.ph/GEPSNONPILOT/Tender/SplashBidNoticeAbstractUI.aspx?menuIndex=3&amp;refID=7030120&amp;Result=3","7030120")</f>
        <v>0</v>
      </c>
      <c r="B14393" t="s">
        <v>3409</v>
      </c>
      <c r="C14393" t="s">
        <v>17223</v>
      </c>
      <c r="D14393" t="s">
        <v>18865</v>
      </c>
      <c r="E14393" t="s">
        <v>31272</v>
      </c>
      <c r="F14393" t="s">
        <v>32664</v>
      </c>
      <c r="G14393" t="s">
        <v>32672</v>
      </c>
      <c r="H14393" t="s">
        <v>12635</v>
      </c>
      <c r="I14393" t="s">
        <v>32733</v>
      </c>
      <c r="J14393" t="s">
        <v>33107</v>
      </c>
      <c r="K14393" t="s">
        <v>42281</v>
      </c>
      <c r="M14393" t="s">
        <v>46384</v>
      </c>
      <c r="N14393" t="s">
        <v>46569</v>
      </c>
      <c r="O14393" t="s">
        <v>46570</v>
      </c>
      <c r="P14393">
        <v>0</v>
      </c>
      <c r="Q14393">
        <v>0</v>
      </c>
      <c r="R14393" t="s">
        <v>46588</v>
      </c>
      <c r="S14393" t="s">
        <v>47467</v>
      </c>
      <c r="T14393" t="s">
        <v>48221</v>
      </c>
      <c r="U14393" t="s">
        <v>60331</v>
      </c>
      <c r="W14393" t="s">
        <v>46384</v>
      </c>
      <c r="X14393" t="s">
        <v>46591</v>
      </c>
    </row>
    <row r="14394" spans="1:24">
      <c r="A14394">
        <f>HYPERLINK("https://www.philgeps.gov.ph/GEPSNONPILOT/Tender/SplashBidNoticeAbstractUI.aspx?menuIndex=3&amp;refID=7029865&amp;Result=3","7029865")</f>
        <v>0</v>
      </c>
      <c r="B14394" t="s">
        <v>36</v>
      </c>
      <c r="C14394" t="s">
        <v>17224</v>
      </c>
      <c r="D14394" t="s">
        <v>18792</v>
      </c>
      <c r="E14394" t="s">
        <v>31273</v>
      </c>
      <c r="F14394" t="s">
        <v>32664</v>
      </c>
      <c r="G14394" t="s">
        <v>32672</v>
      </c>
      <c r="H14394" t="s">
        <v>32683</v>
      </c>
      <c r="I14394" t="s">
        <v>10627</v>
      </c>
      <c r="J14394" t="s">
        <v>41378</v>
      </c>
      <c r="K14394" t="s">
        <v>42285</v>
      </c>
      <c r="M14394" t="s">
        <v>42598</v>
      </c>
      <c r="N14394" t="s">
        <v>46569</v>
      </c>
      <c r="O14394" t="s">
        <v>46570</v>
      </c>
      <c r="P14394">
        <v>0</v>
      </c>
      <c r="Q14394">
        <v>8</v>
      </c>
      <c r="R14394" t="s">
        <v>46588</v>
      </c>
      <c r="S14394" t="s">
        <v>47467</v>
      </c>
      <c r="T14394" t="s">
        <v>48283</v>
      </c>
      <c r="U14394" t="s">
        <v>60332</v>
      </c>
      <c r="V14394" t="s">
        <v>63227</v>
      </c>
      <c r="W14394" t="s">
        <v>42598</v>
      </c>
      <c r="X14394" t="s">
        <v>46591</v>
      </c>
    </row>
    <row r="14395" spans="1:24">
      <c r="A14395">
        <f>HYPERLINK("https://www.philgeps.gov.ph/GEPSNONPILOT/Tender/SplashBidNoticeAbstractUI.aspx?menuIndex=3&amp;refID=7030080&amp;Result=3","7030080")</f>
        <v>0</v>
      </c>
      <c r="B14395" t="s">
        <v>3410</v>
      </c>
      <c r="C14395" t="s">
        <v>14968</v>
      </c>
      <c r="D14395" t="s">
        <v>18806</v>
      </c>
      <c r="E14395" t="s">
        <v>20150</v>
      </c>
      <c r="F14395" t="s">
        <v>32664</v>
      </c>
      <c r="G14395" t="s">
        <v>32672</v>
      </c>
      <c r="H14395" t="s">
        <v>12635</v>
      </c>
      <c r="I14395" t="s">
        <v>4439</v>
      </c>
      <c r="J14395" t="s">
        <v>41379</v>
      </c>
      <c r="K14395" t="s">
        <v>42289</v>
      </c>
      <c r="M14395" t="s">
        <v>46385</v>
      </c>
      <c r="N14395" t="s">
        <v>46569</v>
      </c>
      <c r="O14395" t="s">
        <v>46570</v>
      </c>
      <c r="P14395">
        <v>0</v>
      </c>
      <c r="Q14395">
        <v>1</v>
      </c>
      <c r="R14395" t="s">
        <v>46588</v>
      </c>
      <c r="S14395" t="s">
        <v>47467</v>
      </c>
      <c r="T14395" t="s">
        <v>48221</v>
      </c>
      <c r="U14395" t="s">
        <v>60333</v>
      </c>
      <c r="W14395" t="s">
        <v>46385</v>
      </c>
      <c r="X14395" t="s">
        <v>46591</v>
      </c>
    </row>
    <row r="14396" spans="1:24">
      <c r="A14396">
        <f>HYPERLINK("https://www.philgeps.gov.ph/GEPSNONPILOT/Tender/SplashBidNoticeAbstractUI.aspx?menuIndex=3&amp;refID=7029597&amp;Result=3","7029597")</f>
        <v>0</v>
      </c>
      <c r="B14396" t="s">
        <v>2414</v>
      </c>
      <c r="C14396" t="s">
        <v>17225</v>
      </c>
      <c r="D14396" t="s">
        <v>18797</v>
      </c>
      <c r="E14396" t="s">
        <v>31274</v>
      </c>
      <c r="F14396" t="s">
        <v>32664</v>
      </c>
      <c r="G14396" t="s">
        <v>32672</v>
      </c>
      <c r="H14396" t="s">
        <v>12635</v>
      </c>
      <c r="I14396" t="s">
        <v>32698</v>
      </c>
      <c r="J14396" t="s">
        <v>41380</v>
      </c>
      <c r="K14396" t="s">
        <v>42281</v>
      </c>
      <c r="M14396" t="s">
        <v>45205</v>
      </c>
      <c r="N14396" t="s">
        <v>46569</v>
      </c>
      <c r="O14396" t="s">
        <v>46570</v>
      </c>
      <c r="P14396">
        <v>0</v>
      </c>
      <c r="Q14396">
        <v>6</v>
      </c>
      <c r="R14396" t="s">
        <v>46588</v>
      </c>
      <c r="S14396" t="s">
        <v>47467</v>
      </c>
      <c r="T14396" t="s">
        <v>48282</v>
      </c>
      <c r="U14396" t="s">
        <v>60334</v>
      </c>
      <c r="V14396" t="s">
        <v>63228</v>
      </c>
      <c r="W14396" t="s">
        <v>45205</v>
      </c>
      <c r="X14396" t="s">
        <v>46592</v>
      </c>
    </row>
    <row r="14397" spans="1:24">
      <c r="A14397">
        <f>HYPERLINK("https://www.philgeps.gov.ph/GEPSNONPILOT/Tender/SplashBidNoticeAbstractUI.aspx?menuIndex=3&amp;refID=7030770&amp;Result=3","7030770")</f>
        <v>0</v>
      </c>
      <c r="B14397" t="s">
        <v>471</v>
      </c>
      <c r="C14397" t="s">
        <v>17226</v>
      </c>
      <c r="D14397" t="s">
        <v>18785</v>
      </c>
      <c r="E14397" t="s">
        <v>31275</v>
      </c>
      <c r="F14397" t="s">
        <v>32664</v>
      </c>
      <c r="G14397" t="s">
        <v>32672</v>
      </c>
      <c r="H14397" t="s">
        <v>32683</v>
      </c>
      <c r="I14397" t="s">
        <v>10627</v>
      </c>
      <c r="J14397" t="s">
        <v>32943</v>
      </c>
      <c r="K14397" t="s">
        <v>42369</v>
      </c>
      <c r="M14397" t="s">
        <v>43046</v>
      </c>
      <c r="N14397" t="s">
        <v>46569</v>
      </c>
      <c r="O14397" t="s">
        <v>46570</v>
      </c>
      <c r="P14397">
        <v>0</v>
      </c>
      <c r="Q14397">
        <v>0</v>
      </c>
      <c r="R14397" t="s">
        <v>46588</v>
      </c>
      <c r="S14397" t="s">
        <v>47467</v>
      </c>
      <c r="T14397" t="s">
        <v>48246</v>
      </c>
      <c r="U14397" t="s">
        <v>60335</v>
      </c>
      <c r="W14397" t="s">
        <v>43046</v>
      </c>
      <c r="X14397" t="s">
        <v>46591</v>
      </c>
    </row>
    <row r="14398" spans="1:24">
      <c r="A14398">
        <f>HYPERLINK("https://www.philgeps.gov.ph/GEPSNONPILOT/Tender/SplashBidNoticeAbstractUI.aspx?menuIndex=3&amp;refID=7028930&amp;Result=3","7028930")</f>
        <v>0</v>
      </c>
      <c r="B14398" t="s">
        <v>1074</v>
      </c>
      <c r="C14398" t="s">
        <v>17227</v>
      </c>
      <c r="D14398" t="s">
        <v>18786</v>
      </c>
      <c r="E14398" t="s">
        <v>30997</v>
      </c>
      <c r="F14398" t="s">
        <v>32664</v>
      </c>
      <c r="G14398" t="s">
        <v>32672</v>
      </c>
      <c r="H14398" t="s">
        <v>32683</v>
      </c>
      <c r="I14398" t="s">
        <v>10627</v>
      </c>
      <c r="J14398" t="s">
        <v>33615</v>
      </c>
      <c r="K14398" t="s">
        <v>42369</v>
      </c>
      <c r="M14398" t="s">
        <v>43694</v>
      </c>
      <c r="N14398" t="s">
        <v>46569</v>
      </c>
      <c r="O14398" t="s">
        <v>46570</v>
      </c>
      <c r="P14398">
        <v>0</v>
      </c>
      <c r="Q14398">
        <v>2</v>
      </c>
      <c r="R14398" t="s">
        <v>46588</v>
      </c>
      <c r="S14398" t="s">
        <v>47467</v>
      </c>
      <c r="T14398" t="s">
        <v>48304</v>
      </c>
      <c r="U14398" t="s">
        <v>60336</v>
      </c>
      <c r="W14398" t="s">
        <v>43694</v>
      </c>
      <c r="X14398" t="s">
        <v>46592</v>
      </c>
    </row>
    <row r="14399" spans="1:24">
      <c r="A14399">
        <f>HYPERLINK("https://www.philgeps.gov.ph/GEPSNONPILOT/Tender/SplashBidNoticeAbstractUI.aspx?menuIndex=3&amp;refID=7029881&amp;Result=3","7029881")</f>
        <v>0</v>
      </c>
      <c r="B14399" t="s">
        <v>3411</v>
      </c>
      <c r="C14399" t="s">
        <v>17228</v>
      </c>
      <c r="D14399" t="s">
        <v>18816</v>
      </c>
      <c r="E14399" t="s">
        <v>31276</v>
      </c>
      <c r="F14399" t="s">
        <v>32664</v>
      </c>
      <c r="G14399" t="s">
        <v>32672</v>
      </c>
      <c r="H14399" t="s">
        <v>32683</v>
      </c>
      <c r="I14399" t="s">
        <v>10627</v>
      </c>
      <c r="J14399" t="s">
        <v>32837</v>
      </c>
      <c r="K14399" t="s">
        <v>42425</v>
      </c>
      <c r="M14399" t="s">
        <v>46386</v>
      </c>
      <c r="N14399" t="s">
        <v>46569</v>
      </c>
      <c r="O14399" t="s">
        <v>46570</v>
      </c>
      <c r="P14399">
        <v>0</v>
      </c>
      <c r="Q14399">
        <v>0</v>
      </c>
      <c r="R14399" t="s">
        <v>46588</v>
      </c>
      <c r="S14399" t="s">
        <v>47467</v>
      </c>
      <c r="T14399" t="s">
        <v>48228</v>
      </c>
      <c r="U14399" t="s">
        <v>60337</v>
      </c>
      <c r="W14399" t="s">
        <v>46386</v>
      </c>
      <c r="X14399" t="s">
        <v>46591</v>
      </c>
    </row>
    <row r="14400" spans="1:24">
      <c r="A14400">
        <f>HYPERLINK("https://www.philgeps.gov.ph/GEPSNONPILOT/Tender/SplashBidNoticeAbstractUI.aspx?menuIndex=3&amp;refID=7030721&amp;Result=3","7030721")</f>
        <v>0</v>
      </c>
      <c r="B14400" t="s">
        <v>784</v>
      </c>
      <c r="C14400" t="s">
        <v>17229</v>
      </c>
      <c r="D14400" t="s">
        <v>18785</v>
      </c>
      <c r="E14400" t="s">
        <v>31277</v>
      </c>
      <c r="F14400" t="s">
        <v>32664</v>
      </c>
      <c r="G14400" t="s">
        <v>32672</v>
      </c>
      <c r="H14400" t="s">
        <v>32683</v>
      </c>
      <c r="I14400" t="s">
        <v>10627</v>
      </c>
      <c r="J14400" t="s">
        <v>41381</v>
      </c>
      <c r="K14400" t="s">
        <v>42281</v>
      </c>
      <c r="M14400" t="s">
        <v>46387</v>
      </c>
      <c r="N14400" t="s">
        <v>46569</v>
      </c>
      <c r="O14400" t="s">
        <v>46570</v>
      </c>
      <c r="P14400">
        <v>0</v>
      </c>
      <c r="Q14400">
        <v>0</v>
      </c>
      <c r="R14400" t="s">
        <v>46588</v>
      </c>
      <c r="S14400" t="s">
        <v>47467</v>
      </c>
      <c r="T14400" t="s">
        <v>48268</v>
      </c>
      <c r="U14400" t="s">
        <v>60338</v>
      </c>
      <c r="W14400" t="s">
        <v>63528</v>
      </c>
      <c r="X14400" t="s">
        <v>46591</v>
      </c>
    </row>
    <row r="14401" spans="1:24">
      <c r="A14401">
        <f>HYPERLINK("https://www.philgeps.gov.ph/GEPSNONPILOT/Tender/SplashBidNoticeAbstractUI.aspx?menuIndex=3&amp;refID=7030845&amp;Result=3","7030845")</f>
        <v>0</v>
      </c>
      <c r="B14401" t="s">
        <v>3412</v>
      </c>
      <c r="C14401" t="s">
        <v>17230</v>
      </c>
      <c r="D14401" t="s">
        <v>18841</v>
      </c>
      <c r="E14401" t="s">
        <v>21027</v>
      </c>
      <c r="F14401" t="s">
        <v>32664</v>
      </c>
      <c r="G14401" t="s">
        <v>32672</v>
      </c>
      <c r="H14401" t="s">
        <v>12635</v>
      </c>
      <c r="I14401" t="s">
        <v>7429</v>
      </c>
      <c r="J14401" t="s">
        <v>41382</v>
      </c>
      <c r="K14401" t="s">
        <v>42281</v>
      </c>
      <c r="M14401" t="s">
        <v>46388</v>
      </c>
      <c r="N14401" t="s">
        <v>46569</v>
      </c>
      <c r="O14401" t="s">
        <v>46570</v>
      </c>
      <c r="Q14401">
        <v>8</v>
      </c>
      <c r="R14401" t="s">
        <v>46588</v>
      </c>
      <c r="S14401" t="s">
        <v>47495</v>
      </c>
      <c r="T14401" t="s">
        <v>48577</v>
      </c>
      <c r="U14401" t="s">
        <v>60339</v>
      </c>
      <c r="W14401" t="s">
        <v>46388</v>
      </c>
      <c r="X14401" t="s">
        <v>46591</v>
      </c>
    </row>
    <row r="14402" spans="1:24">
      <c r="A14402">
        <f>HYPERLINK("https://www.philgeps.gov.ph/GEPSNONPILOT/Tender/SplashBidNoticeAbstractUI.aspx?menuIndex=3&amp;refID=7030684&amp;Result=3","7030684")</f>
        <v>0</v>
      </c>
      <c r="B14402" t="s">
        <v>784</v>
      </c>
      <c r="C14402" t="s">
        <v>17231</v>
      </c>
      <c r="D14402" t="s">
        <v>18785</v>
      </c>
      <c r="E14402" t="s">
        <v>31278</v>
      </c>
      <c r="F14402" t="s">
        <v>32664</v>
      </c>
      <c r="G14402" t="s">
        <v>32672</v>
      </c>
      <c r="H14402" t="s">
        <v>12635</v>
      </c>
      <c r="I14402" t="s">
        <v>32699</v>
      </c>
      <c r="J14402" t="s">
        <v>37682</v>
      </c>
      <c r="K14402" t="s">
        <v>42297</v>
      </c>
      <c r="M14402" t="s">
        <v>43376</v>
      </c>
      <c r="N14402" t="s">
        <v>46569</v>
      </c>
      <c r="O14402" t="s">
        <v>46570</v>
      </c>
      <c r="P14402">
        <v>0</v>
      </c>
      <c r="Q14402">
        <v>4</v>
      </c>
      <c r="R14402" t="s">
        <v>46588</v>
      </c>
      <c r="S14402" t="s">
        <v>47467</v>
      </c>
      <c r="T14402" t="s">
        <v>48268</v>
      </c>
      <c r="U14402" t="s">
        <v>60340</v>
      </c>
      <c r="W14402" t="s">
        <v>63528</v>
      </c>
      <c r="X14402" t="s">
        <v>46591</v>
      </c>
    </row>
    <row r="14403" spans="1:24">
      <c r="A14403">
        <f>HYPERLINK("https://www.philgeps.gov.ph/GEPSNONPILOT/Tender/SplashBidNoticeAbstractUI.aspx?menuIndex=3&amp;refID=7030696&amp;Result=3","7030696")</f>
        <v>0</v>
      </c>
      <c r="B14403" t="s">
        <v>784</v>
      </c>
      <c r="C14403" t="s">
        <v>17232</v>
      </c>
      <c r="D14403" t="s">
        <v>18785</v>
      </c>
      <c r="E14403" t="s">
        <v>31279</v>
      </c>
      <c r="F14403" t="s">
        <v>32664</v>
      </c>
      <c r="G14403" t="s">
        <v>32672</v>
      </c>
      <c r="H14403" t="s">
        <v>12635</v>
      </c>
      <c r="I14403" t="s">
        <v>32704</v>
      </c>
      <c r="J14403" t="s">
        <v>41383</v>
      </c>
      <c r="K14403" t="s">
        <v>42297</v>
      </c>
      <c r="M14403" t="s">
        <v>43376</v>
      </c>
      <c r="N14403" t="s">
        <v>46569</v>
      </c>
      <c r="O14403" t="s">
        <v>46570</v>
      </c>
      <c r="P14403">
        <v>0</v>
      </c>
      <c r="Q14403">
        <v>12</v>
      </c>
      <c r="R14403" t="s">
        <v>46588</v>
      </c>
      <c r="S14403" t="s">
        <v>47467</v>
      </c>
      <c r="T14403" t="s">
        <v>48268</v>
      </c>
      <c r="U14403" t="s">
        <v>60341</v>
      </c>
      <c r="W14403" t="s">
        <v>63528</v>
      </c>
      <c r="X14403" t="s">
        <v>46591</v>
      </c>
    </row>
    <row r="14404" spans="1:24">
      <c r="A14404">
        <f>HYPERLINK("https://www.philgeps.gov.ph/GEPSNONPILOT/Tender/SplashBidNoticeAbstractUI.aspx?menuIndex=3&amp;refID=7030678&amp;Result=3","7030678")</f>
        <v>0</v>
      </c>
      <c r="B14404" t="s">
        <v>784</v>
      </c>
      <c r="C14404" t="s">
        <v>17233</v>
      </c>
      <c r="D14404" t="s">
        <v>18785</v>
      </c>
      <c r="E14404" t="s">
        <v>31280</v>
      </c>
      <c r="F14404" t="s">
        <v>32664</v>
      </c>
      <c r="G14404" t="s">
        <v>32672</v>
      </c>
      <c r="H14404" t="s">
        <v>12635</v>
      </c>
      <c r="I14404" t="s">
        <v>9486</v>
      </c>
      <c r="J14404" t="s">
        <v>41384</v>
      </c>
      <c r="K14404" t="s">
        <v>42297</v>
      </c>
      <c r="M14404" t="s">
        <v>43376</v>
      </c>
      <c r="N14404" t="s">
        <v>46569</v>
      </c>
      <c r="O14404" t="s">
        <v>46570</v>
      </c>
      <c r="P14404">
        <v>0</v>
      </c>
      <c r="Q14404">
        <v>7</v>
      </c>
      <c r="R14404" t="s">
        <v>46588</v>
      </c>
      <c r="S14404" t="s">
        <v>47467</v>
      </c>
      <c r="T14404" t="s">
        <v>48268</v>
      </c>
      <c r="U14404" t="s">
        <v>60342</v>
      </c>
      <c r="W14404" t="s">
        <v>63528</v>
      </c>
      <c r="X14404" t="s">
        <v>46591</v>
      </c>
    </row>
    <row r="14405" spans="1:24">
      <c r="A14405">
        <f>HYPERLINK("https://www.philgeps.gov.ph/GEPSNONPILOT/Tender/SplashBidNoticeAbstractUI.aspx?menuIndex=3&amp;refID=7030598&amp;Result=3","7030598")</f>
        <v>0</v>
      </c>
      <c r="B14405" t="s">
        <v>3332</v>
      </c>
      <c r="C14405" t="s">
        <v>17195</v>
      </c>
      <c r="D14405" t="s">
        <v>18843</v>
      </c>
      <c r="E14405" t="s">
        <v>31281</v>
      </c>
      <c r="F14405" t="s">
        <v>32664</v>
      </c>
      <c r="G14405" t="s">
        <v>32672</v>
      </c>
      <c r="H14405" t="s">
        <v>12635</v>
      </c>
      <c r="I14405" t="s">
        <v>6628</v>
      </c>
      <c r="J14405" t="s">
        <v>32859</v>
      </c>
      <c r="K14405" t="s">
        <v>42289</v>
      </c>
      <c r="M14405" t="s">
        <v>46283</v>
      </c>
      <c r="N14405" t="s">
        <v>46569</v>
      </c>
      <c r="O14405" t="s">
        <v>46570</v>
      </c>
      <c r="P14405">
        <v>0</v>
      </c>
      <c r="Q14405">
        <v>1</v>
      </c>
      <c r="R14405" t="s">
        <v>46588</v>
      </c>
      <c r="S14405" t="s">
        <v>47467</v>
      </c>
      <c r="T14405" t="s">
        <v>48244</v>
      </c>
      <c r="U14405" t="s">
        <v>60343</v>
      </c>
      <c r="W14405" t="s">
        <v>46283</v>
      </c>
      <c r="X14405" t="s">
        <v>46591</v>
      </c>
    </row>
    <row r="14406" spans="1:24">
      <c r="A14406">
        <f>HYPERLINK("https://www.philgeps.gov.ph/GEPSNONPILOT/Tender/SplashBidNoticeAbstractUI.aspx?menuIndex=3&amp;refID=7029856&amp;Result=3","7029856")</f>
        <v>0</v>
      </c>
      <c r="B14406" t="s">
        <v>36</v>
      </c>
      <c r="C14406" t="s">
        <v>17234</v>
      </c>
      <c r="D14406" t="s">
        <v>18792</v>
      </c>
      <c r="E14406" t="s">
        <v>31282</v>
      </c>
      <c r="F14406" t="s">
        <v>32664</v>
      </c>
      <c r="G14406" t="s">
        <v>32672</v>
      </c>
      <c r="H14406" t="s">
        <v>32683</v>
      </c>
      <c r="I14406" t="s">
        <v>10627</v>
      </c>
      <c r="J14406" t="s">
        <v>41385</v>
      </c>
      <c r="K14406" t="s">
        <v>42367</v>
      </c>
      <c r="M14406" t="s">
        <v>42598</v>
      </c>
      <c r="N14406" t="s">
        <v>46569</v>
      </c>
      <c r="O14406" t="s">
        <v>46570</v>
      </c>
      <c r="P14406">
        <v>0</v>
      </c>
      <c r="Q14406">
        <v>7</v>
      </c>
      <c r="R14406" t="s">
        <v>46588</v>
      </c>
      <c r="S14406" t="s">
        <v>47467</v>
      </c>
      <c r="T14406" t="s">
        <v>48283</v>
      </c>
      <c r="U14406" t="s">
        <v>60344</v>
      </c>
      <c r="V14406" t="s">
        <v>63227</v>
      </c>
      <c r="W14406" t="s">
        <v>42598</v>
      </c>
      <c r="X14406" t="s">
        <v>46591</v>
      </c>
    </row>
    <row r="14407" spans="1:24">
      <c r="A14407">
        <f>HYPERLINK("https://www.philgeps.gov.ph/GEPSNONPILOT/Tender/SplashBidNoticeAbstractUI.aspx?menuIndex=3&amp;refID=7030591&amp;Result=3","7030591")</f>
        <v>0</v>
      </c>
      <c r="B14407" t="s">
        <v>3332</v>
      </c>
      <c r="C14407" t="s">
        <v>17235</v>
      </c>
      <c r="D14407" t="s">
        <v>18843</v>
      </c>
      <c r="E14407" t="s">
        <v>31283</v>
      </c>
      <c r="F14407" t="s">
        <v>32664</v>
      </c>
      <c r="G14407" t="s">
        <v>32672</v>
      </c>
      <c r="H14407" t="s">
        <v>12635</v>
      </c>
      <c r="I14407" t="s">
        <v>8797</v>
      </c>
      <c r="J14407" t="s">
        <v>41386</v>
      </c>
      <c r="K14407" t="s">
        <v>42289</v>
      </c>
      <c r="M14407" t="s">
        <v>46283</v>
      </c>
      <c r="N14407" t="s">
        <v>46569</v>
      </c>
      <c r="O14407" t="s">
        <v>46570</v>
      </c>
      <c r="P14407">
        <v>0</v>
      </c>
      <c r="Q14407">
        <v>6</v>
      </c>
      <c r="R14407" t="s">
        <v>46588</v>
      </c>
      <c r="S14407" t="s">
        <v>47467</v>
      </c>
      <c r="T14407" t="s">
        <v>48244</v>
      </c>
      <c r="U14407" t="s">
        <v>60281</v>
      </c>
      <c r="W14407" t="s">
        <v>46283</v>
      </c>
      <c r="X14407" t="s">
        <v>46591</v>
      </c>
    </row>
    <row r="14408" spans="1:24">
      <c r="A14408">
        <f>HYPERLINK("https://www.philgeps.gov.ph/GEPSNONPILOT/Tender/SplashBidNoticeAbstractUI.aspx?menuIndex=3&amp;refID=7030569&amp;Result=3","7030569")</f>
        <v>0</v>
      </c>
      <c r="B14408" t="s">
        <v>2339</v>
      </c>
      <c r="C14408" t="s">
        <v>17236</v>
      </c>
      <c r="E14408" t="s">
        <v>31284</v>
      </c>
      <c r="F14408" t="s">
        <v>32664</v>
      </c>
      <c r="G14408" t="s">
        <v>32672</v>
      </c>
      <c r="H14408" t="s">
        <v>32683</v>
      </c>
      <c r="I14408" t="s">
        <v>10627</v>
      </c>
      <c r="J14408" t="s">
        <v>41387</v>
      </c>
      <c r="K14408" t="s">
        <v>42283</v>
      </c>
      <c r="M14408" t="s">
        <v>45119</v>
      </c>
      <c r="N14408" t="s">
        <v>46569</v>
      </c>
      <c r="O14408" t="s">
        <v>46570</v>
      </c>
      <c r="P14408">
        <v>0</v>
      </c>
      <c r="Q14408">
        <v>4</v>
      </c>
      <c r="R14408" t="s">
        <v>46588</v>
      </c>
      <c r="S14408" t="s">
        <v>47467</v>
      </c>
      <c r="T14408" t="s">
        <v>48268</v>
      </c>
      <c r="U14408" t="s">
        <v>55464</v>
      </c>
      <c r="V14408" t="s">
        <v>63229</v>
      </c>
      <c r="W14408" t="s">
        <v>45119</v>
      </c>
      <c r="X14408" t="s">
        <v>46591</v>
      </c>
    </row>
    <row r="14409" spans="1:24">
      <c r="A14409">
        <f>HYPERLINK("https://www.philgeps.gov.ph/GEPSNONPILOT/Tender/SplashBidNoticeAbstractUI.aspx?menuIndex=3&amp;refID=7030430&amp;Result=3","7030430")</f>
        <v>0</v>
      </c>
      <c r="B14409" t="s">
        <v>1426</v>
      </c>
      <c r="C14409" t="s">
        <v>17237</v>
      </c>
      <c r="D14409" t="s">
        <v>18821</v>
      </c>
      <c r="E14409" t="s">
        <v>31285</v>
      </c>
      <c r="F14409" t="s">
        <v>32664</v>
      </c>
      <c r="G14409" t="s">
        <v>32671</v>
      </c>
      <c r="H14409" t="s">
        <v>12635</v>
      </c>
      <c r="I14409" t="s">
        <v>6168</v>
      </c>
      <c r="J14409" t="s">
        <v>41388</v>
      </c>
      <c r="K14409" t="s">
        <v>42311</v>
      </c>
      <c r="M14409" t="s">
        <v>44086</v>
      </c>
      <c r="N14409" t="s">
        <v>46569</v>
      </c>
      <c r="O14409" t="s">
        <v>46570</v>
      </c>
      <c r="P14409">
        <v>0</v>
      </c>
      <c r="Q14409">
        <v>0</v>
      </c>
      <c r="R14409" t="s">
        <v>46588</v>
      </c>
      <c r="S14409" t="s">
        <v>47467</v>
      </c>
      <c r="T14409" t="s">
        <v>48268</v>
      </c>
      <c r="U14409" t="s">
        <v>53189</v>
      </c>
      <c r="W14409" t="s">
        <v>44086</v>
      </c>
      <c r="X14409" t="s">
        <v>46591</v>
      </c>
    </row>
    <row r="14410" spans="1:24">
      <c r="A14410">
        <f>HYPERLINK("https://www.philgeps.gov.ph/GEPSNONPILOT/Tender/SplashBidNoticeAbstractUI.aspx?menuIndex=3&amp;refID=7030358&amp;Result=3","7030358")</f>
        <v>0</v>
      </c>
      <c r="B14410" t="s">
        <v>2586</v>
      </c>
      <c r="C14410" t="s">
        <v>17238</v>
      </c>
      <c r="D14410" t="s">
        <v>18796</v>
      </c>
      <c r="E14410" t="s">
        <v>31286</v>
      </c>
      <c r="F14410" t="s">
        <v>32664</v>
      </c>
      <c r="G14410" t="s">
        <v>32672</v>
      </c>
      <c r="H14410" t="s">
        <v>32683</v>
      </c>
      <c r="I14410" t="s">
        <v>10627</v>
      </c>
      <c r="J14410" t="s">
        <v>41389</v>
      </c>
      <c r="K14410" t="s">
        <v>42305</v>
      </c>
      <c r="M14410" t="s">
        <v>45401</v>
      </c>
      <c r="N14410" t="s">
        <v>46569</v>
      </c>
      <c r="O14410" t="s">
        <v>46570</v>
      </c>
      <c r="P14410">
        <v>0</v>
      </c>
      <c r="Q14410">
        <v>1</v>
      </c>
      <c r="R14410" t="s">
        <v>46588</v>
      </c>
      <c r="S14410" t="s">
        <v>47467</v>
      </c>
      <c r="T14410" t="s">
        <v>48282</v>
      </c>
      <c r="U14410" t="s">
        <v>60345</v>
      </c>
      <c r="W14410" t="s">
        <v>45401</v>
      </c>
      <c r="X14410" t="s">
        <v>46591</v>
      </c>
    </row>
    <row r="14411" spans="1:24">
      <c r="A14411">
        <f>HYPERLINK("https://www.philgeps.gov.ph/GEPSNONPILOT/Tender/SplashBidNoticeAbstractUI.aspx?menuIndex=3&amp;refID=7030297&amp;Result=3","7030297")</f>
        <v>0</v>
      </c>
      <c r="B14411" t="s">
        <v>2586</v>
      </c>
      <c r="C14411" t="s">
        <v>17239</v>
      </c>
      <c r="D14411" t="s">
        <v>18796</v>
      </c>
      <c r="E14411" t="s">
        <v>31287</v>
      </c>
      <c r="F14411" t="s">
        <v>32664</v>
      </c>
      <c r="G14411" t="s">
        <v>32672</v>
      </c>
      <c r="H14411" t="s">
        <v>32683</v>
      </c>
      <c r="I14411" t="s">
        <v>32716</v>
      </c>
      <c r="J14411" t="s">
        <v>41390</v>
      </c>
      <c r="K14411" t="s">
        <v>42311</v>
      </c>
      <c r="M14411" t="s">
        <v>45401</v>
      </c>
      <c r="N14411" t="s">
        <v>46569</v>
      </c>
      <c r="O14411" t="s">
        <v>46570</v>
      </c>
      <c r="P14411">
        <v>0</v>
      </c>
      <c r="Q14411">
        <v>1</v>
      </c>
      <c r="R14411" t="s">
        <v>46588</v>
      </c>
      <c r="S14411" t="s">
        <v>47467</v>
      </c>
      <c r="T14411" t="s">
        <v>48282</v>
      </c>
      <c r="U14411" t="s">
        <v>60346</v>
      </c>
      <c r="W14411" t="s">
        <v>45401</v>
      </c>
      <c r="X14411" t="s">
        <v>46591</v>
      </c>
    </row>
    <row r="14412" spans="1:24">
      <c r="A14412">
        <f>HYPERLINK("https://www.philgeps.gov.ph/GEPSNONPILOT/Tender/SplashBidNoticeAbstractUI.aspx?menuIndex=3&amp;refID=7030739&amp;Result=3","7030739")</f>
        <v>0</v>
      </c>
      <c r="B14412" t="s">
        <v>49</v>
      </c>
      <c r="C14412" t="s">
        <v>17240</v>
      </c>
      <c r="D14412" t="s">
        <v>18799</v>
      </c>
      <c r="E14412" t="s">
        <v>31288</v>
      </c>
      <c r="F14412" t="s">
        <v>32664</v>
      </c>
      <c r="G14412" t="s">
        <v>32672</v>
      </c>
      <c r="H14412" t="s">
        <v>32683</v>
      </c>
      <c r="I14412" t="s">
        <v>10627</v>
      </c>
      <c r="J14412" t="s">
        <v>32943</v>
      </c>
      <c r="K14412" t="s">
        <v>42311</v>
      </c>
      <c r="M14412" t="s">
        <v>42611</v>
      </c>
      <c r="N14412" t="s">
        <v>46569</v>
      </c>
      <c r="O14412" t="s">
        <v>46570</v>
      </c>
      <c r="P14412">
        <v>0</v>
      </c>
      <c r="Q14412">
        <v>1</v>
      </c>
      <c r="R14412" t="s">
        <v>46588</v>
      </c>
      <c r="S14412" t="s">
        <v>47467</v>
      </c>
      <c r="T14412" t="s">
        <v>48315</v>
      </c>
      <c r="U14412" t="s">
        <v>60347</v>
      </c>
      <c r="V14412" t="s">
        <v>62429</v>
      </c>
      <c r="W14412" t="s">
        <v>63463</v>
      </c>
      <c r="X14412" t="s">
        <v>46591</v>
      </c>
    </row>
    <row r="14413" spans="1:24">
      <c r="A14413">
        <f>HYPERLINK("https://www.philgeps.gov.ph/GEPSNONPILOT/Tender/SplashBidNoticeAbstractUI.aspx?menuIndex=3&amp;refID=7030155&amp;Result=3","7030155")</f>
        <v>0</v>
      </c>
      <c r="B14413" t="s">
        <v>1797</v>
      </c>
      <c r="C14413" t="s">
        <v>17241</v>
      </c>
      <c r="D14413" t="s">
        <v>18831</v>
      </c>
      <c r="E14413" t="s">
        <v>31289</v>
      </c>
      <c r="F14413" t="s">
        <v>32664</v>
      </c>
      <c r="G14413" t="s">
        <v>32672</v>
      </c>
      <c r="H14413" t="s">
        <v>32683</v>
      </c>
      <c r="I14413" t="s">
        <v>10627</v>
      </c>
      <c r="J14413" t="s">
        <v>41391</v>
      </c>
      <c r="K14413" t="s">
        <v>42305</v>
      </c>
      <c r="M14413" t="s">
        <v>44500</v>
      </c>
      <c r="N14413" t="s">
        <v>46569</v>
      </c>
      <c r="O14413" t="s">
        <v>46570</v>
      </c>
      <c r="P14413">
        <v>0</v>
      </c>
      <c r="Q14413">
        <v>1</v>
      </c>
      <c r="R14413" t="s">
        <v>46588</v>
      </c>
      <c r="S14413" t="s">
        <v>47467</v>
      </c>
      <c r="T14413" t="s">
        <v>48225</v>
      </c>
      <c r="U14413" t="s">
        <v>60348</v>
      </c>
      <c r="V14413" t="s">
        <v>62172</v>
      </c>
      <c r="W14413" t="s">
        <v>44500</v>
      </c>
      <c r="X14413" t="s">
        <v>46591</v>
      </c>
    </row>
    <row r="14414" spans="1:24">
      <c r="A14414">
        <f>HYPERLINK("https://www.philgeps.gov.ph/GEPSNONPILOT/Tender/SplashBidNoticeAbstractUI.aspx?menuIndex=3&amp;refID=7030284&amp;Result=3","7030284")</f>
        <v>0</v>
      </c>
      <c r="B14414" t="s">
        <v>3095</v>
      </c>
      <c r="C14414" t="s">
        <v>17242</v>
      </c>
      <c r="D14414" t="s">
        <v>18817</v>
      </c>
      <c r="E14414" t="s">
        <v>24023</v>
      </c>
      <c r="F14414" t="s">
        <v>32664</v>
      </c>
      <c r="G14414" t="s">
        <v>32672</v>
      </c>
      <c r="H14414" t="s">
        <v>12635</v>
      </c>
      <c r="I14414" t="s">
        <v>32717</v>
      </c>
      <c r="J14414" t="s">
        <v>41392</v>
      </c>
      <c r="K14414" t="s">
        <v>42290</v>
      </c>
      <c r="M14414" t="s">
        <v>45983</v>
      </c>
      <c r="N14414" t="s">
        <v>46569</v>
      </c>
      <c r="O14414" t="s">
        <v>46570</v>
      </c>
      <c r="P14414">
        <v>0</v>
      </c>
      <c r="Q14414">
        <v>19</v>
      </c>
      <c r="R14414" t="s">
        <v>46588</v>
      </c>
      <c r="S14414" t="s">
        <v>47467</v>
      </c>
      <c r="T14414" t="s">
        <v>48244</v>
      </c>
      <c r="U14414" t="s">
        <v>60349</v>
      </c>
      <c r="V14414" t="s">
        <v>63230</v>
      </c>
      <c r="W14414" t="s">
        <v>45983</v>
      </c>
      <c r="X14414" t="s">
        <v>46591</v>
      </c>
    </row>
    <row r="14415" spans="1:24">
      <c r="A14415">
        <f>HYPERLINK("https://www.philgeps.gov.ph/GEPSNONPILOT/Tender/SplashBidNoticeAbstractUI.aspx?menuIndex=3&amp;refID=7030391&amp;Result=3","7030391")</f>
        <v>0</v>
      </c>
      <c r="B14415" t="s">
        <v>2586</v>
      </c>
      <c r="C14415" t="s">
        <v>17243</v>
      </c>
      <c r="D14415" t="s">
        <v>18796</v>
      </c>
      <c r="E14415" t="s">
        <v>31290</v>
      </c>
      <c r="F14415" t="s">
        <v>32664</v>
      </c>
      <c r="G14415" t="s">
        <v>32672</v>
      </c>
      <c r="H14415" t="s">
        <v>32683</v>
      </c>
      <c r="I14415" t="s">
        <v>10627</v>
      </c>
      <c r="J14415" t="s">
        <v>41393</v>
      </c>
      <c r="K14415" t="s">
        <v>42308</v>
      </c>
      <c r="M14415" t="s">
        <v>45401</v>
      </c>
      <c r="N14415" t="s">
        <v>46569</v>
      </c>
      <c r="O14415" t="s">
        <v>46570</v>
      </c>
      <c r="P14415">
        <v>0</v>
      </c>
      <c r="Q14415">
        <v>0</v>
      </c>
      <c r="R14415" t="s">
        <v>46588</v>
      </c>
      <c r="S14415" t="s">
        <v>47467</v>
      </c>
      <c r="T14415" t="s">
        <v>48282</v>
      </c>
      <c r="U14415" t="s">
        <v>60350</v>
      </c>
      <c r="W14415" t="s">
        <v>45401</v>
      </c>
      <c r="X14415" t="s">
        <v>46591</v>
      </c>
    </row>
    <row r="14416" spans="1:24">
      <c r="A14416">
        <f>HYPERLINK("https://www.philgeps.gov.ph/GEPSNONPILOT/Tender/SplashBidNoticeAbstractUI.aspx?menuIndex=3&amp;refID=7030371&amp;Result=3","7030371")</f>
        <v>0</v>
      </c>
      <c r="B14416" t="s">
        <v>1626</v>
      </c>
      <c r="C14416" t="s">
        <v>17244</v>
      </c>
      <c r="D14416" t="s">
        <v>18852</v>
      </c>
      <c r="E14416" t="s">
        <v>31291</v>
      </c>
      <c r="F14416" t="s">
        <v>32664</v>
      </c>
      <c r="G14416" t="s">
        <v>32672</v>
      </c>
      <c r="H14416" t="s">
        <v>32683</v>
      </c>
      <c r="I14416" t="s">
        <v>10627</v>
      </c>
      <c r="J14416" t="s">
        <v>33969</v>
      </c>
      <c r="K14416" t="s">
        <v>42290</v>
      </c>
      <c r="M14416" t="s">
        <v>44308</v>
      </c>
      <c r="N14416" t="s">
        <v>46569</v>
      </c>
      <c r="O14416" t="s">
        <v>46570</v>
      </c>
      <c r="Q14416">
        <v>1</v>
      </c>
      <c r="R14416" t="s">
        <v>46588</v>
      </c>
      <c r="S14416" t="s">
        <v>47496</v>
      </c>
      <c r="T14416" t="s">
        <v>48219</v>
      </c>
      <c r="U14416" t="s">
        <v>60351</v>
      </c>
      <c r="W14416" t="s">
        <v>44308</v>
      </c>
      <c r="X14416" t="s">
        <v>46591</v>
      </c>
    </row>
    <row r="14417" spans="1:24">
      <c r="A14417">
        <f>HYPERLINK("https://www.philgeps.gov.ph/GEPSNONPILOT/Tender/SplashBidNoticeAbstractUI.aspx?menuIndex=3&amp;refID=7030743&amp;Result=3","7030743")</f>
        <v>0</v>
      </c>
      <c r="B14417" t="s">
        <v>471</v>
      </c>
      <c r="C14417" t="s">
        <v>17245</v>
      </c>
      <c r="D14417" t="s">
        <v>18785</v>
      </c>
      <c r="E14417" t="s">
        <v>31292</v>
      </c>
      <c r="F14417" t="s">
        <v>32664</v>
      </c>
      <c r="G14417" t="s">
        <v>32672</v>
      </c>
      <c r="H14417" t="s">
        <v>32683</v>
      </c>
      <c r="I14417" t="s">
        <v>10627</v>
      </c>
      <c r="J14417" t="s">
        <v>32943</v>
      </c>
      <c r="K14417" t="s">
        <v>42311</v>
      </c>
      <c r="M14417" t="s">
        <v>43046</v>
      </c>
      <c r="N14417" t="s">
        <v>46569</v>
      </c>
      <c r="O14417" t="s">
        <v>46570</v>
      </c>
      <c r="P14417">
        <v>0</v>
      </c>
      <c r="Q14417">
        <v>0</v>
      </c>
      <c r="R14417" t="s">
        <v>46588</v>
      </c>
      <c r="S14417" t="s">
        <v>47467</v>
      </c>
      <c r="T14417" t="s">
        <v>48221</v>
      </c>
      <c r="U14417" t="s">
        <v>60352</v>
      </c>
      <c r="W14417" t="s">
        <v>43046</v>
      </c>
      <c r="X14417" t="s">
        <v>46591</v>
      </c>
    </row>
    <row r="14418" spans="1:24">
      <c r="A14418">
        <f>HYPERLINK("https://www.philgeps.gov.ph/GEPSNONPILOT/Tender/SplashBidNoticeAbstractUI.aspx?menuIndex=3&amp;refID=7031474&amp;Result=3","7031474")</f>
        <v>0</v>
      </c>
      <c r="B14418" t="s">
        <v>2297</v>
      </c>
      <c r="C14418" t="s">
        <v>17246</v>
      </c>
      <c r="D14418" t="s">
        <v>18816</v>
      </c>
      <c r="E14418" t="s">
        <v>31293</v>
      </c>
      <c r="F14418" t="s">
        <v>32664</v>
      </c>
      <c r="G14418" t="s">
        <v>32672</v>
      </c>
      <c r="H14418" t="s">
        <v>32683</v>
      </c>
      <c r="I14418" t="s">
        <v>10627</v>
      </c>
      <c r="J14418" t="s">
        <v>32865</v>
      </c>
      <c r="K14418" t="s">
        <v>42331</v>
      </c>
      <c r="M14418" t="s">
        <v>45068</v>
      </c>
      <c r="N14418" t="s">
        <v>46569</v>
      </c>
      <c r="O14418" t="s">
        <v>46570</v>
      </c>
      <c r="P14418">
        <v>0</v>
      </c>
      <c r="Q14418">
        <v>0</v>
      </c>
      <c r="R14418" t="s">
        <v>46588</v>
      </c>
      <c r="S14418" t="s">
        <v>47467</v>
      </c>
      <c r="T14418" t="s">
        <v>48293</v>
      </c>
      <c r="U14418" t="s">
        <v>54960</v>
      </c>
      <c r="W14418" t="s">
        <v>45068</v>
      </c>
      <c r="X14418" t="s">
        <v>46591</v>
      </c>
    </row>
    <row r="14419" spans="1:24">
      <c r="A14419">
        <f>HYPERLINK("https://www.philgeps.gov.ph/GEPSNONPILOT/Tender/SplashBidNoticeAbstractUI.aspx?menuIndex=3&amp;refID=7031442&amp;Result=3","7031442")</f>
        <v>0</v>
      </c>
      <c r="B14419" t="s">
        <v>2041</v>
      </c>
      <c r="C14419" t="s">
        <v>17247</v>
      </c>
      <c r="D14419" t="s">
        <v>18784</v>
      </c>
      <c r="E14419" t="s">
        <v>31294</v>
      </c>
      <c r="F14419" t="s">
        <v>32664</v>
      </c>
      <c r="G14419" t="s">
        <v>32672</v>
      </c>
      <c r="H14419" t="s">
        <v>12635</v>
      </c>
      <c r="I14419" t="s">
        <v>4333</v>
      </c>
      <c r="J14419" t="s">
        <v>41394</v>
      </c>
      <c r="K14419" t="s">
        <v>42311</v>
      </c>
      <c r="M14419" t="s">
        <v>46389</v>
      </c>
      <c r="N14419" t="s">
        <v>46569</v>
      </c>
      <c r="O14419" t="s">
        <v>46570</v>
      </c>
      <c r="P14419">
        <v>0</v>
      </c>
      <c r="Q14419">
        <v>35</v>
      </c>
      <c r="R14419" t="s">
        <v>46588</v>
      </c>
      <c r="S14419" t="s">
        <v>47467</v>
      </c>
      <c r="T14419" t="s">
        <v>48328</v>
      </c>
      <c r="U14419" t="s">
        <v>60353</v>
      </c>
      <c r="W14419" t="s">
        <v>46389</v>
      </c>
      <c r="X14419" t="s">
        <v>46591</v>
      </c>
    </row>
    <row r="14420" spans="1:24">
      <c r="A14420">
        <f>HYPERLINK("https://www.philgeps.gov.ph/GEPSNONPILOT/Tender/SplashBidNoticeAbstractUI.aspx?menuIndex=3&amp;refID=7031437&amp;Result=3","7031437")</f>
        <v>0</v>
      </c>
      <c r="B14420" t="s">
        <v>2297</v>
      </c>
      <c r="C14420" t="s">
        <v>17248</v>
      </c>
      <c r="D14420" t="s">
        <v>18816</v>
      </c>
      <c r="E14420" t="s">
        <v>31295</v>
      </c>
      <c r="F14420" t="s">
        <v>32664</v>
      </c>
      <c r="G14420" t="s">
        <v>32672</v>
      </c>
      <c r="H14420" t="s">
        <v>32683</v>
      </c>
      <c r="I14420" t="s">
        <v>10627</v>
      </c>
      <c r="J14420" t="s">
        <v>37982</v>
      </c>
      <c r="K14420" t="s">
        <v>42484</v>
      </c>
      <c r="M14420" t="s">
        <v>45068</v>
      </c>
      <c r="N14420" t="s">
        <v>46569</v>
      </c>
      <c r="O14420" t="s">
        <v>46570</v>
      </c>
      <c r="P14420">
        <v>0</v>
      </c>
      <c r="Q14420">
        <v>0</v>
      </c>
      <c r="R14420" t="s">
        <v>46588</v>
      </c>
      <c r="S14420" t="s">
        <v>47467</v>
      </c>
      <c r="T14420" t="s">
        <v>48293</v>
      </c>
      <c r="U14420" t="s">
        <v>54960</v>
      </c>
      <c r="W14420" t="s">
        <v>45068</v>
      </c>
      <c r="X14420" t="s">
        <v>46591</v>
      </c>
    </row>
    <row r="14421" spans="1:24">
      <c r="A14421">
        <f>HYPERLINK("https://www.philgeps.gov.ph/GEPSNONPILOT/Tender/SplashBidNoticeAbstractUI.aspx?menuIndex=3&amp;refID=7031388&amp;Result=3","7031388")</f>
        <v>0</v>
      </c>
      <c r="B14421" t="s">
        <v>2275</v>
      </c>
      <c r="C14421" t="s">
        <v>17249</v>
      </c>
      <c r="D14421" t="s">
        <v>18784</v>
      </c>
      <c r="E14421" t="s">
        <v>31296</v>
      </c>
      <c r="F14421" t="s">
        <v>32664</v>
      </c>
      <c r="G14421" t="s">
        <v>32672</v>
      </c>
      <c r="H14421" t="s">
        <v>12635</v>
      </c>
      <c r="I14421" t="s">
        <v>11464</v>
      </c>
      <c r="J14421" t="s">
        <v>41395</v>
      </c>
      <c r="K14421" t="s">
        <v>42290</v>
      </c>
      <c r="M14421" t="s">
        <v>45042</v>
      </c>
      <c r="N14421" t="s">
        <v>46569</v>
      </c>
      <c r="O14421" t="s">
        <v>46570</v>
      </c>
      <c r="Q14421">
        <v>23</v>
      </c>
      <c r="R14421" t="s">
        <v>46588</v>
      </c>
      <c r="S14421" t="s">
        <v>47497</v>
      </c>
      <c r="T14421" t="s">
        <v>48228</v>
      </c>
      <c r="U14421" t="s">
        <v>60354</v>
      </c>
      <c r="W14421" t="s">
        <v>45042</v>
      </c>
      <c r="X14421" t="s">
        <v>46591</v>
      </c>
    </row>
    <row r="14422" spans="1:24">
      <c r="A14422">
        <f>HYPERLINK("https://www.philgeps.gov.ph/GEPSNONPILOT/Tender/SplashBidNoticeAbstractUI.aspx?menuIndex=3&amp;refID=7031521&amp;Result=3","7031521")</f>
        <v>0</v>
      </c>
      <c r="B14422" t="s">
        <v>423</v>
      </c>
      <c r="C14422" t="s">
        <v>14251</v>
      </c>
      <c r="D14422" t="s">
        <v>18852</v>
      </c>
      <c r="E14422" t="s">
        <v>31297</v>
      </c>
      <c r="F14422" t="s">
        <v>32664</v>
      </c>
      <c r="G14422" t="s">
        <v>32672</v>
      </c>
      <c r="H14422" t="s">
        <v>32683</v>
      </c>
      <c r="I14422" t="s">
        <v>10627</v>
      </c>
      <c r="J14422" t="s">
        <v>41396</v>
      </c>
      <c r="K14422" t="s">
        <v>42349</v>
      </c>
      <c r="L14422" t="s">
        <v>423</v>
      </c>
      <c r="M14422" t="s">
        <v>42994</v>
      </c>
      <c r="N14422" t="s">
        <v>46569</v>
      </c>
      <c r="O14422" t="s">
        <v>46570</v>
      </c>
      <c r="P14422">
        <v>0</v>
      </c>
      <c r="Q14422">
        <v>3</v>
      </c>
      <c r="R14422" t="s">
        <v>46588</v>
      </c>
      <c r="S14422" t="s">
        <v>47467</v>
      </c>
      <c r="T14422" t="s">
        <v>48221</v>
      </c>
      <c r="U14422" t="s">
        <v>54958</v>
      </c>
      <c r="W14422" t="s">
        <v>42994</v>
      </c>
      <c r="X14422" t="s">
        <v>46591</v>
      </c>
    </row>
    <row r="14423" spans="1:24">
      <c r="A14423">
        <f>HYPERLINK("https://www.philgeps.gov.ph/GEPSNONPILOT/Tender/SplashBidNoticeAbstractUI.aspx?menuIndex=3&amp;refID=7031378&amp;Result=3","7031378")</f>
        <v>0</v>
      </c>
      <c r="B14423" t="s">
        <v>1612</v>
      </c>
      <c r="C14423" t="s">
        <v>17250</v>
      </c>
      <c r="D14423" t="s">
        <v>18821</v>
      </c>
      <c r="E14423" t="s">
        <v>31298</v>
      </c>
      <c r="F14423" t="s">
        <v>32664</v>
      </c>
      <c r="G14423" t="s">
        <v>32672</v>
      </c>
      <c r="H14423" t="s">
        <v>12635</v>
      </c>
      <c r="I14423" t="s">
        <v>32706</v>
      </c>
      <c r="J14423" t="s">
        <v>41397</v>
      </c>
      <c r="K14423" t="s">
        <v>42311</v>
      </c>
      <c r="M14423" t="s">
        <v>44291</v>
      </c>
      <c r="N14423" t="s">
        <v>46569</v>
      </c>
      <c r="O14423" t="s">
        <v>46570</v>
      </c>
      <c r="P14423">
        <v>0</v>
      </c>
      <c r="Q14423">
        <v>1</v>
      </c>
      <c r="R14423" t="s">
        <v>46588</v>
      </c>
      <c r="S14423" t="s">
        <v>47467</v>
      </c>
      <c r="T14423" t="s">
        <v>48219</v>
      </c>
      <c r="U14423" t="s">
        <v>60355</v>
      </c>
      <c r="W14423" t="s">
        <v>44291</v>
      </c>
      <c r="X14423" t="s">
        <v>46591</v>
      </c>
    </row>
    <row r="14424" spans="1:24">
      <c r="A14424">
        <f>HYPERLINK("https://www.philgeps.gov.ph/GEPSNONPILOT/Tender/SplashBidNoticeAbstractUI.aspx?menuIndex=3&amp;refID=7031352&amp;Result=3","7031352")</f>
        <v>0</v>
      </c>
      <c r="B14424" t="s">
        <v>102</v>
      </c>
      <c r="C14424" t="s">
        <v>17251</v>
      </c>
      <c r="D14424" t="s">
        <v>18788</v>
      </c>
      <c r="E14424" t="s">
        <v>31299</v>
      </c>
      <c r="F14424" t="s">
        <v>32664</v>
      </c>
      <c r="G14424" t="s">
        <v>32672</v>
      </c>
      <c r="H14424" t="s">
        <v>12635</v>
      </c>
      <c r="I14424" t="s">
        <v>11464</v>
      </c>
      <c r="J14424" t="s">
        <v>34148</v>
      </c>
      <c r="K14424" t="s">
        <v>42281</v>
      </c>
      <c r="M14424" t="s">
        <v>42666</v>
      </c>
      <c r="N14424" t="s">
        <v>46569</v>
      </c>
      <c r="O14424" t="s">
        <v>46570</v>
      </c>
      <c r="P14424">
        <v>0</v>
      </c>
      <c r="Q14424">
        <v>9</v>
      </c>
      <c r="R14424" t="s">
        <v>46588</v>
      </c>
      <c r="S14424" t="s">
        <v>47467</v>
      </c>
      <c r="T14424" t="s">
        <v>48221</v>
      </c>
      <c r="U14424" t="s">
        <v>60356</v>
      </c>
      <c r="V14424" t="s">
        <v>62361</v>
      </c>
      <c r="W14424" t="s">
        <v>42666</v>
      </c>
      <c r="X14424" t="s">
        <v>46591</v>
      </c>
    </row>
    <row r="14425" spans="1:24">
      <c r="A14425">
        <f>HYPERLINK("https://www.philgeps.gov.ph/GEPSNONPILOT/Tender/SplashBidNoticeAbstractUI.aspx?menuIndex=3&amp;refID=7031454&amp;Result=3","7031454")</f>
        <v>0</v>
      </c>
      <c r="B14425" t="s">
        <v>2297</v>
      </c>
      <c r="C14425" t="s">
        <v>17252</v>
      </c>
      <c r="D14425" t="s">
        <v>18816</v>
      </c>
      <c r="E14425" t="s">
        <v>31300</v>
      </c>
      <c r="F14425" t="s">
        <v>32664</v>
      </c>
      <c r="G14425" t="s">
        <v>32672</v>
      </c>
      <c r="H14425" t="s">
        <v>32683</v>
      </c>
      <c r="I14425" t="s">
        <v>10627</v>
      </c>
      <c r="J14425" t="s">
        <v>33273</v>
      </c>
      <c r="K14425" t="s">
        <v>42407</v>
      </c>
      <c r="M14425" t="s">
        <v>45068</v>
      </c>
      <c r="N14425" t="s">
        <v>46569</v>
      </c>
      <c r="O14425" t="s">
        <v>46570</v>
      </c>
      <c r="P14425">
        <v>0</v>
      </c>
      <c r="Q14425">
        <v>0</v>
      </c>
      <c r="R14425" t="s">
        <v>46588</v>
      </c>
      <c r="S14425" t="s">
        <v>47467</v>
      </c>
      <c r="T14425" t="s">
        <v>48293</v>
      </c>
      <c r="U14425" t="s">
        <v>54960</v>
      </c>
      <c r="W14425" t="s">
        <v>45068</v>
      </c>
      <c r="X14425" t="s">
        <v>46591</v>
      </c>
    </row>
    <row r="14426" spans="1:24">
      <c r="A14426">
        <f>HYPERLINK("https://www.philgeps.gov.ph/GEPSNONPILOT/Tender/SplashBidNoticeAbstractUI.aspx?menuIndex=3&amp;refID=7031322&amp;Result=3","7031322")</f>
        <v>0</v>
      </c>
      <c r="B14426" t="s">
        <v>2297</v>
      </c>
      <c r="C14426" t="s">
        <v>17253</v>
      </c>
      <c r="D14426" t="s">
        <v>18816</v>
      </c>
      <c r="E14426" t="s">
        <v>31301</v>
      </c>
      <c r="F14426" t="s">
        <v>32664</v>
      </c>
      <c r="G14426" t="s">
        <v>32672</v>
      </c>
      <c r="H14426" t="s">
        <v>32683</v>
      </c>
      <c r="I14426" t="s">
        <v>10627</v>
      </c>
      <c r="J14426" t="s">
        <v>35589</v>
      </c>
      <c r="K14426" t="s">
        <v>42484</v>
      </c>
      <c r="M14426" t="s">
        <v>45068</v>
      </c>
      <c r="N14426" t="s">
        <v>46569</v>
      </c>
      <c r="O14426" t="s">
        <v>46570</v>
      </c>
      <c r="P14426">
        <v>0</v>
      </c>
      <c r="Q14426">
        <v>0</v>
      </c>
      <c r="R14426" t="s">
        <v>46588</v>
      </c>
      <c r="S14426" t="s">
        <v>47467</v>
      </c>
      <c r="T14426" t="s">
        <v>48293</v>
      </c>
      <c r="U14426" t="s">
        <v>54960</v>
      </c>
      <c r="W14426" t="s">
        <v>45068</v>
      </c>
      <c r="X14426" t="s">
        <v>46591</v>
      </c>
    </row>
    <row r="14427" spans="1:24">
      <c r="A14427">
        <f>HYPERLINK("https://www.philgeps.gov.ph/GEPSNONPILOT/Tender/SplashBidNoticeAbstractUI.aspx?menuIndex=3&amp;refID=7031269&amp;Result=3","7031269")</f>
        <v>0</v>
      </c>
      <c r="B14427" t="s">
        <v>2297</v>
      </c>
      <c r="C14427" t="s">
        <v>17254</v>
      </c>
      <c r="D14427" t="s">
        <v>18816</v>
      </c>
      <c r="E14427" t="s">
        <v>31302</v>
      </c>
      <c r="F14427" t="s">
        <v>32664</v>
      </c>
      <c r="G14427" t="s">
        <v>32672</v>
      </c>
      <c r="H14427" t="s">
        <v>32683</v>
      </c>
      <c r="I14427" t="s">
        <v>10627</v>
      </c>
      <c r="J14427" t="s">
        <v>41398</v>
      </c>
      <c r="K14427" t="s">
        <v>42311</v>
      </c>
      <c r="M14427" t="s">
        <v>45068</v>
      </c>
      <c r="N14427" t="s">
        <v>46569</v>
      </c>
      <c r="O14427" t="s">
        <v>46570</v>
      </c>
      <c r="P14427">
        <v>0</v>
      </c>
      <c r="Q14427">
        <v>0</v>
      </c>
      <c r="R14427" t="s">
        <v>46588</v>
      </c>
      <c r="S14427" t="s">
        <v>47467</v>
      </c>
      <c r="T14427" t="s">
        <v>48293</v>
      </c>
      <c r="U14427" t="s">
        <v>54960</v>
      </c>
      <c r="W14427" t="s">
        <v>45068</v>
      </c>
      <c r="X14427" t="s">
        <v>46591</v>
      </c>
    </row>
    <row r="14428" spans="1:24">
      <c r="A14428">
        <f>HYPERLINK("https://www.philgeps.gov.ph/GEPSNONPILOT/Tender/SplashBidNoticeAbstractUI.aspx?menuIndex=3&amp;refID=7031250&amp;Result=3","7031250")</f>
        <v>0</v>
      </c>
      <c r="B14428" t="s">
        <v>1612</v>
      </c>
      <c r="C14428" t="s">
        <v>17255</v>
      </c>
      <c r="D14428" t="s">
        <v>18821</v>
      </c>
      <c r="E14428" t="s">
        <v>31303</v>
      </c>
      <c r="F14428" t="s">
        <v>32664</v>
      </c>
      <c r="G14428" t="s">
        <v>32672</v>
      </c>
      <c r="H14428" t="s">
        <v>12635</v>
      </c>
      <c r="I14428" t="s">
        <v>32712</v>
      </c>
      <c r="J14428" t="s">
        <v>32930</v>
      </c>
      <c r="K14428" t="s">
        <v>42298</v>
      </c>
      <c r="M14428" t="s">
        <v>44291</v>
      </c>
      <c r="N14428" t="s">
        <v>46569</v>
      </c>
      <c r="O14428" t="s">
        <v>46570</v>
      </c>
      <c r="P14428">
        <v>0</v>
      </c>
      <c r="Q14428">
        <v>18</v>
      </c>
      <c r="R14428" t="s">
        <v>46588</v>
      </c>
      <c r="S14428" t="s">
        <v>47467</v>
      </c>
      <c r="T14428" t="s">
        <v>48219</v>
      </c>
      <c r="U14428" t="s">
        <v>60357</v>
      </c>
      <c r="W14428" t="s">
        <v>44291</v>
      </c>
      <c r="X14428" t="s">
        <v>46591</v>
      </c>
    </row>
    <row r="14429" spans="1:24">
      <c r="A14429">
        <f>HYPERLINK("https://www.philgeps.gov.ph/GEPSNONPILOT/Tender/SplashBidNoticeAbstractUI.aspx?menuIndex=3&amp;refID=7031235&amp;Result=3","7031235")</f>
        <v>0</v>
      </c>
      <c r="B14429" t="s">
        <v>1612</v>
      </c>
      <c r="C14429" t="s">
        <v>17256</v>
      </c>
      <c r="D14429" t="s">
        <v>18821</v>
      </c>
      <c r="E14429" t="s">
        <v>31304</v>
      </c>
      <c r="F14429" t="s">
        <v>32664</v>
      </c>
      <c r="G14429" t="s">
        <v>32672</v>
      </c>
      <c r="H14429" t="s">
        <v>12635</v>
      </c>
      <c r="I14429" t="s">
        <v>11464</v>
      </c>
      <c r="J14429" t="s">
        <v>41399</v>
      </c>
      <c r="K14429" t="s">
        <v>42298</v>
      </c>
      <c r="M14429" t="s">
        <v>44291</v>
      </c>
      <c r="N14429" t="s">
        <v>46569</v>
      </c>
      <c r="O14429" t="s">
        <v>46570</v>
      </c>
      <c r="Q14429">
        <v>9</v>
      </c>
      <c r="R14429" t="s">
        <v>46588</v>
      </c>
      <c r="S14429" t="s">
        <v>47498</v>
      </c>
      <c r="T14429" t="s">
        <v>48219</v>
      </c>
      <c r="U14429" t="s">
        <v>60358</v>
      </c>
      <c r="W14429" t="s">
        <v>44291</v>
      </c>
      <c r="X14429" t="s">
        <v>46591</v>
      </c>
    </row>
    <row r="14430" spans="1:24">
      <c r="A14430">
        <f>HYPERLINK("https://www.philgeps.gov.ph/GEPSNONPILOT/Tender/SplashBidNoticeAbstractUI.aspx?menuIndex=3&amp;refID=7031029&amp;Result=3","7031029")</f>
        <v>0</v>
      </c>
      <c r="B14430" t="s">
        <v>2176</v>
      </c>
      <c r="C14430" t="s">
        <v>17257</v>
      </c>
      <c r="E14430" t="s">
        <v>31305</v>
      </c>
      <c r="F14430" t="s">
        <v>32664</v>
      </c>
      <c r="G14430" t="s">
        <v>32672</v>
      </c>
      <c r="H14430" t="s">
        <v>32682</v>
      </c>
      <c r="I14430" t="s">
        <v>32701</v>
      </c>
      <c r="J14430" t="s">
        <v>32837</v>
      </c>
      <c r="K14430" t="s">
        <v>42291</v>
      </c>
      <c r="M14430" t="s">
        <v>45050</v>
      </c>
      <c r="N14430" t="s">
        <v>46569</v>
      </c>
      <c r="O14430" t="s">
        <v>46570</v>
      </c>
      <c r="Q14430">
        <v>7</v>
      </c>
      <c r="R14430" t="s">
        <v>46588</v>
      </c>
      <c r="S14430" t="s">
        <v>47499</v>
      </c>
      <c r="T14430" t="s">
        <v>48244</v>
      </c>
      <c r="U14430" t="s">
        <v>60359</v>
      </c>
      <c r="W14430" t="s">
        <v>45050</v>
      </c>
      <c r="X14430" t="s">
        <v>46591</v>
      </c>
    </row>
    <row r="14431" spans="1:24">
      <c r="A14431">
        <f>HYPERLINK("https://www.philgeps.gov.ph/GEPSNONPILOT/Tender/SplashBidNoticeAbstractUI.aspx?menuIndex=3&amp;refID=7030668&amp;Result=3","7030668")</f>
        <v>0</v>
      </c>
      <c r="B14431" t="s">
        <v>784</v>
      </c>
      <c r="C14431" t="s">
        <v>17258</v>
      </c>
      <c r="D14431" t="s">
        <v>18785</v>
      </c>
      <c r="E14431" t="s">
        <v>31306</v>
      </c>
      <c r="F14431" t="s">
        <v>32664</v>
      </c>
      <c r="G14431" t="s">
        <v>32672</v>
      </c>
      <c r="H14431" t="s">
        <v>12635</v>
      </c>
      <c r="I14431" t="s">
        <v>5460</v>
      </c>
      <c r="J14431" t="s">
        <v>41400</v>
      </c>
      <c r="K14431" t="s">
        <v>42283</v>
      </c>
      <c r="M14431" t="s">
        <v>43376</v>
      </c>
      <c r="N14431" t="s">
        <v>46569</v>
      </c>
      <c r="O14431" t="s">
        <v>46570</v>
      </c>
      <c r="P14431">
        <v>0</v>
      </c>
      <c r="Q14431">
        <v>6</v>
      </c>
      <c r="R14431" t="s">
        <v>46588</v>
      </c>
      <c r="S14431" t="s">
        <v>47467</v>
      </c>
      <c r="T14431" t="s">
        <v>48268</v>
      </c>
      <c r="U14431" t="s">
        <v>60360</v>
      </c>
      <c r="W14431" t="s">
        <v>63528</v>
      </c>
      <c r="X14431" t="s">
        <v>46591</v>
      </c>
    </row>
    <row r="14432" spans="1:24">
      <c r="A14432">
        <f>HYPERLINK("https://www.philgeps.gov.ph/GEPSNONPILOT/Tender/SplashBidNoticeAbstractUI.aspx?menuIndex=3&amp;refID=7030978&amp;Result=3","7030978")</f>
        <v>0</v>
      </c>
      <c r="B14432" t="s">
        <v>1175</v>
      </c>
      <c r="C14432" t="s">
        <v>17259</v>
      </c>
      <c r="D14432" t="s">
        <v>18782</v>
      </c>
      <c r="E14432" t="s">
        <v>21346</v>
      </c>
      <c r="F14432" t="s">
        <v>32665</v>
      </c>
      <c r="G14432" t="s">
        <v>32672</v>
      </c>
      <c r="H14432" t="s">
        <v>12635</v>
      </c>
      <c r="I14432" t="s">
        <v>32698</v>
      </c>
      <c r="J14432" t="s">
        <v>37474</v>
      </c>
      <c r="K14432" t="s">
        <v>42284</v>
      </c>
      <c r="M14432" t="s">
        <v>43809</v>
      </c>
      <c r="N14432" t="s">
        <v>46569</v>
      </c>
      <c r="O14432" t="s">
        <v>46570</v>
      </c>
      <c r="P14432">
        <v>0</v>
      </c>
      <c r="Q14432">
        <v>0</v>
      </c>
      <c r="R14432" t="s">
        <v>46588</v>
      </c>
      <c r="S14432" t="s">
        <v>47467</v>
      </c>
      <c r="T14432" t="s">
        <v>48219</v>
      </c>
      <c r="U14432" t="s">
        <v>60361</v>
      </c>
      <c r="V14432" t="s">
        <v>63231</v>
      </c>
      <c r="W14432" t="s">
        <v>43809</v>
      </c>
      <c r="X14432" t="s">
        <v>46591</v>
      </c>
    </row>
    <row r="14433" spans="1:24">
      <c r="A14433">
        <f>HYPERLINK("https://www.philgeps.gov.ph/GEPSNONPILOT/Tender/SplashBidNoticeAbstractUI.aspx?menuIndex=3&amp;refID=7030942&amp;Result=3","7030942")</f>
        <v>0</v>
      </c>
      <c r="B14433" t="s">
        <v>1175</v>
      </c>
      <c r="C14433" t="s">
        <v>17260</v>
      </c>
      <c r="D14433" t="s">
        <v>18782</v>
      </c>
      <c r="E14433" t="s">
        <v>20015</v>
      </c>
      <c r="F14433" t="s">
        <v>32665</v>
      </c>
      <c r="G14433" t="s">
        <v>32672</v>
      </c>
      <c r="H14433" t="s">
        <v>12635</v>
      </c>
      <c r="I14433" t="s">
        <v>32698</v>
      </c>
      <c r="J14433" t="s">
        <v>40652</v>
      </c>
      <c r="K14433" t="s">
        <v>42284</v>
      </c>
      <c r="M14433" t="s">
        <v>43809</v>
      </c>
      <c r="N14433" t="s">
        <v>46569</v>
      </c>
      <c r="O14433" t="s">
        <v>46570</v>
      </c>
      <c r="P14433">
        <v>0</v>
      </c>
      <c r="Q14433">
        <v>0</v>
      </c>
      <c r="R14433" t="s">
        <v>46588</v>
      </c>
      <c r="S14433" t="s">
        <v>47467</v>
      </c>
      <c r="T14433" t="s">
        <v>48221</v>
      </c>
      <c r="U14433" t="s">
        <v>60362</v>
      </c>
      <c r="V14433" t="s">
        <v>63232</v>
      </c>
      <c r="W14433" t="s">
        <v>43809</v>
      </c>
      <c r="X14433" t="s">
        <v>46591</v>
      </c>
    </row>
    <row r="14434" spans="1:24">
      <c r="A14434">
        <f>HYPERLINK("https://www.philgeps.gov.ph/GEPSNONPILOT/Tender/SplashBidNoticeAbstractUI.aspx?menuIndex=3&amp;refID=7031259&amp;Result=3","7031259")</f>
        <v>0</v>
      </c>
      <c r="B14434" t="s">
        <v>2022</v>
      </c>
      <c r="C14434" t="s">
        <v>17261</v>
      </c>
      <c r="D14434" t="s">
        <v>18878</v>
      </c>
      <c r="E14434" t="s">
        <v>31307</v>
      </c>
      <c r="F14434" t="s">
        <v>32664</v>
      </c>
      <c r="G14434" t="s">
        <v>32672</v>
      </c>
      <c r="H14434" t="s">
        <v>12635</v>
      </c>
      <c r="I14434" t="s">
        <v>32699</v>
      </c>
      <c r="J14434" t="s">
        <v>39576</v>
      </c>
      <c r="K14434" t="s">
        <v>42298</v>
      </c>
      <c r="M14434" t="s">
        <v>44764</v>
      </c>
      <c r="N14434" t="s">
        <v>46569</v>
      </c>
      <c r="O14434" t="s">
        <v>46570</v>
      </c>
      <c r="Q14434">
        <v>1</v>
      </c>
      <c r="R14434" t="s">
        <v>46588</v>
      </c>
      <c r="S14434" t="s">
        <v>47500</v>
      </c>
      <c r="T14434" t="s">
        <v>48246</v>
      </c>
      <c r="U14434" t="s">
        <v>60363</v>
      </c>
      <c r="W14434" t="s">
        <v>44764</v>
      </c>
      <c r="X14434" t="s">
        <v>46591</v>
      </c>
    </row>
    <row r="14435" spans="1:24">
      <c r="A14435">
        <f>HYPERLINK("https://www.philgeps.gov.ph/GEPSNONPILOT/Tender/SplashBidNoticeAbstractUI.aspx?menuIndex=3&amp;refID=7030911&amp;Result=3","7030911")</f>
        <v>0</v>
      </c>
      <c r="B14435" t="s">
        <v>3412</v>
      </c>
      <c r="C14435" t="s">
        <v>17262</v>
      </c>
      <c r="D14435" t="s">
        <v>18841</v>
      </c>
      <c r="E14435" t="s">
        <v>22014</v>
      </c>
      <c r="F14435" t="s">
        <v>32664</v>
      </c>
      <c r="G14435" t="s">
        <v>32672</v>
      </c>
      <c r="H14435" t="s">
        <v>12635</v>
      </c>
      <c r="I14435" t="s">
        <v>32712</v>
      </c>
      <c r="J14435" t="s">
        <v>41401</v>
      </c>
      <c r="K14435" t="s">
        <v>42305</v>
      </c>
      <c r="M14435" t="s">
        <v>46388</v>
      </c>
      <c r="N14435" t="s">
        <v>46569</v>
      </c>
      <c r="O14435" t="s">
        <v>46570</v>
      </c>
      <c r="Q14435">
        <v>13</v>
      </c>
      <c r="R14435" t="s">
        <v>46588</v>
      </c>
      <c r="S14435" t="s">
        <v>47501</v>
      </c>
      <c r="T14435" t="s">
        <v>48620</v>
      </c>
      <c r="U14435" t="s">
        <v>60364</v>
      </c>
      <c r="W14435" t="s">
        <v>46388</v>
      </c>
      <c r="X14435" t="s">
        <v>46591</v>
      </c>
    </row>
    <row r="14436" spans="1:24">
      <c r="A14436">
        <f>HYPERLINK("https://www.philgeps.gov.ph/GEPSNONPILOT/Tender/SplashBidNoticeAbstractUI.aspx?menuIndex=3&amp;refID=7031513&amp;Result=3","7031513")</f>
        <v>0</v>
      </c>
      <c r="B14436" t="s">
        <v>3413</v>
      </c>
      <c r="C14436" t="s">
        <v>17263</v>
      </c>
      <c r="D14436" t="s">
        <v>18865</v>
      </c>
      <c r="E14436" t="s">
        <v>31308</v>
      </c>
      <c r="F14436" t="s">
        <v>32664</v>
      </c>
      <c r="G14436" t="s">
        <v>32672</v>
      </c>
      <c r="H14436" t="s">
        <v>12635</v>
      </c>
      <c r="I14436" t="s">
        <v>32716</v>
      </c>
      <c r="J14436" t="s">
        <v>33015</v>
      </c>
      <c r="K14436" t="s">
        <v>42419</v>
      </c>
      <c r="M14436" t="s">
        <v>46390</v>
      </c>
      <c r="N14436" t="s">
        <v>46569</v>
      </c>
      <c r="O14436" t="s">
        <v>46570</v>
      </c>
      <c r="P14436">
        <v>0</v>
      </c>
      <c r="Q14436">
        <v>1</v>
      </c>
      <c r="R14436" t="s">
        <v>46588</v>
      </c>
      <c r="S14436" t="s">
        <v>47467</v>
      </c>
      <c r="T14436" t="s">
        <v>48221</v>
      </c>
      <c r="U14436" t="s">
        <v>60365</v>
      </c>
      <c r="W14436" t="s">
        <v>46390</v>
      </c>
      <c r="X14436" t="s">
        <v>46591</v>
      </c>
    </row>
    <row r="14437" spans="1:24">
      <c r="A14437">
        <f>HYPERLINK("https://www.philgeps.gov.ph/GEPSNONPILOT/Tender/SplashBidNoticeAbstractUI.aspx?menuIndex=3&amp;refID=7031208&amp;Result=3","7031208")</f>
        <v>0</v>
      </c>
      <c r="B14437" t="s">
        <v>1612</v>
      </c>
      <c r="C14437" t="s">
        <v>17264</v>
      </c>
      <c r="D14437" t="s">
        <v>18821</v>
      </c>
      <c r="E14437" t="s">
        <v>31309</v>
      </c>
      <c r="F14437" t="s">
        <v>32664</v>
      </c>
      <c r="G14437" t="s">
        <v>32672</v>
      </c>
      <c r="H14437" t="s">
        <v>12635</v>
      </c>
      <c r="I14437" t="s">
        <v>32712</v>
      </c>
      <c r="J14437" t="s">
        <v>34391</v>
      </c>
      <c r="K14437" t="s">
        <v>42281</v>
      </c>
      <c r="M14437" t="s">
        <v>44291</v>
      </c>
      <c r="N14437" t="s">
        <v>46569</v>
      </c>
      <c r="O14437" t="s">
        <v>46570</v>
      </c>
      <c r="P14437">
        <v>0</v>
      </c>
      <c r="Q14437">
        <v>11</v>
      </c>
      <c r="R14437" t="s">
        <v>46588</v>
      </c>
      <c r="S14437" t="s">
        <v>47467</v>
      </c>
      <c r="T14437" t="s">
        <v>48219</v>
      </c>
      <c r="U14437" t="s">
        <v>60366</v>
      </c>
      <c r="W14437" t="s">
        <v>44291</v>
      </c>
      <c r="X14437" t="s">
        <v>46591</v>
      </c>
    </row>
    <row r="14438" spans="1:24">
      <c r="A14438">
        <f>HYPERLINK("https://www.philgeps.gov.ph/GEPSNONPILOT/Tender/SplashBidNoticeAbstractUI.aspx?menuIndex=3&amp;refID=7029311&amp;Result=3","7029311")</f>
        <v>0</v>
      </c>
      <c r="B14438" t="s">
        <v>2004</v>
      </c>
      <c r="C14438" t="s">
        <v>17265</v>
      </c>
      <c r="D14438" t="s">
        <v>18790</v>
      </c>
      <c r="E14438" t="s">
        <v>23980</v>
      </c>
      <c r="F14438" t="s">
        <v>32664</v>
      </c>
      <c r="G14438" t="s">
        <v>32672</v>
      </c>
      <c r="H14438" t="s">
        <v>32683</v>
      </c>
      <c r="I14438" t="s">
        <v>10627</v>
      </c>
      <c r="J14438" t="s">
        <v>41402</v>
      </c>
      <c r="K14438" t="s">
        <v>42290</v>
      </c>
      <c r="M14438" t="s">
        <v>46381</v>
      </c>
      <c r="N14438" t="s">
        <v>46569</v>
      </c>
      <c r="O14438" t="s">
        <v>46570</v>
      </c>
      <c r="P14438">
        <v>0</v>
      </c>
      <c r="Q14438">
        <v>0</v>
      </c>
      <c r="R14438" t="s">
        <v>46588</v>
      </c>
      <c r="S14438" t="s">
        <v>47467</v>
      </c>
      <c r="T14438" t="s">
        <v>48293</v>
      </c>
      <c r="U14438" t="s">
        <v>60367</v>
      </c>
      <c r="W14438" t="s">
        <v>46381</v>
      </c>
      <c r="X14438" t="s">
        <v>46592</v>
      </c>
    </row>
    <row r="14439" spans="1:24">
      <c r="A14439">
        <f>HYPERLINK("https://www.philgeps.gov.ph/GEPSNONPILOT/Tender/SplashBidNoticeAbstractUI.aspx?menuIndex=3&amp;refID=7029259&amp;Result=3","7029259")</f>
        <v>0</v>
      </c>
      <c r="B14439" t="s">
        <v>1074</v>
      </c>
      <c r="C14439" t="s">
        <v>17266</v>
      </c>
      <c r="D14439" t="s">
        <v>18786</v>
      </c>
      <c r="E14439" t="s">
        <v>31310</v>
      </c>
      <c r="F14439" t="s">
        <v>32664</v>
      </c>
      <c r="G14439" t="s">
        <v>32672</v>
      </c>
      <c r="H14439" t="s">
        <v>32683</v>
      </c>
      <c r="I14439" t="s">
        <v>10627</v>
      </c>
      <c r="J14439" t="s">
        <v>41403</v>
      </c>
      <c r="K14439" t="s">
        <v>42327</v>
      </c>
      <c r="M14439" t="s">
        <v>43694</v>
      </c>
      <c r="N14439" t="s">
        <v>46569</v>
      </c>
      <c r="O14439" t="s">
        <v>46570</v>
      </c>
      <c r="P14439">
        <v>0</v>
      </c>
      <c r="Q14439">
        <v>2</v>
      </c>
      <c r="R14439" t="s">
        <v>46588</v>
      </c>
      <c r="S14439" t="s">
        <v>47467</v>
      </c>
      <c r="T14439" t="s">
        <v>48304</v>
      </c>
      <c r="U14439" t="s">
        <v>60368</v>
      </c>
      <c r="W14439" t="s">
        <v>43694</v>
      </c>
      <c r="X14439" t="s">
        <v>46592</v>
      </c>
    </row>
    <row r="14440" spans="1:24">
      <c r="A14440">
        <f>HYPERLINK("https://www.philgeps.gov.ph/GEPSNONPILOT/Tender/SplashBidNoticeAbstractUI.aspx?menuIndex=3&amp;refID=7031433&amp;Result=3","7031433")</f>
        <v>0</v>
      </c>
      <c r="B14440" t="s">
        <v>1612</v>
      </c>
      <c r="C14440" t="s">
        <v>17267</v>
      </c>
      <c r="D14440" t="s">
        <v>18821</v>
      </c>
      <c r="E14440" t="s">
        <v>31311</v>
      </c>
      <c r="F14440" t="s">
        <v>32664</v>
      </c>
      <c r="G14440" t="s">
        <v>32672</v>
      </c>
      <c r="H14440" t="s">
        <v>12635</v>
      </c>
      <c r="I14440" t="s">
        <v>9946</v>
      </c>
      <c r="J14440" t="s">
        <v>41404</v>
      </c>
      <c r="K14440" t="s">
        <v>42334</v>
      </c>
      <c r="M14440" t="s">
        <v>44291</v>
      </c>
      <c r="N14440" t="s">
        <v>46569</v>
      </c>
      <c r="O14440" t="s">
        <v>46570</v>
      </c>
      <c r="P14440">
        <v>0</v>
      </c>
      <c r="Q14440">
        <v>3</v>
      </c>
      <c r="R14440" t="s">
        <v>46588</v>
      </c>
      <c r="S14440" t="s">
        <v>47467</v>
      </c>
      <c r="T14440" t="s">
        <v>48219</v>
      </c>
      <c r="U14440" t="s">
        <v>60369</v>
      </c>
      <c r="W14440" t="s">
        <v>44291</v>
      </c>
      <c r="X14440" t="s">
        <v>46591</v>
      </c>
    </row>
    <row r="14441" spans="1:24">
      <c r="A14441">
        <f>HYPERLINK("https://www.philgeps.gov.ph/GEPSNONPILOT/Tender/SplashBidNoticeAbstractUI.aspx?menuIndex=3&amp;refID=7028694&amp;Result=3","7028694")</f>
        <v>0</v>
      </c>
      <c r="B14441" t="s">
        <v>3414</v>
      </c>
      <c r="C14441" t="s">
        <v>17268</v>
      </c>
      <c r="D14441" t="s">
        <v>18813</v>
      </c>
      <c r="E14441" t="s">
        <v>31312</v>
      </c>
      <c r="F14441" t="s">
        <v>32664</v>
      </c>
      <c r="G14441" t="s">
        <v>32672</v>
      </c>
      <c r="H14441" t="s">
        <v>12635</v>
      </c>
      <c r="I14441" t="s">
        <v>4333</v>
      </c>
      <c r="J14441" t="s">
        <v>41405</v>
      </c>
      <c r="K14441" t="s">
        <v>42298</v>
      </c>
      <c r="M14441" t="s">
        <v>46391</v>
      </c>
      <c r="N14441" t="s">
        <v>46569</v>
      </c>
      <c r="O14441" t="s">
        <v>46570</v>
      </c>
      <c r="Q14441">
        <v>5</v>
      </c>
      <c r="R14441" t="s">
        <v>46588</v>
      </c>
      <c r="S14441" t="s">
        <v>47502</v>
      </c>
      <c r="T14441" t="s">
        <v>48740</v>
      </c>
      <c r="U14441" t="s">
        <v>60370</v>
      </c>
      <c r="V14441" t="s">
        <v>63233</v>
      </c>
      <c r="W14441" t="s">
        <v>46391</v>
      </c>
      <c r="X14441" t="s">
        <v>46592</v>
      </c>
    </row>
    <row r="14442" spans="1:24">
      <c r="A14442">
        <f>HYPERLINK("https://www.philgeps.gov.ph/GEPSNONPILOT/Tender/SplashBidNoticeAbstractUI.aspx?menuIndex=3&amp;refID=7030271&amp;Result=3","7030271")</f>
        <v>0</v>
      </c>
      <c r="B14442" t="s">
        <v>1411</v>
      </c>
      <c r="C14442" t="s">
        <v>17269</v>
      </c>
      <c r="D14442" t="s">
        <v>18790</v>
      </c>
      <c r="E14442" t="s">
        <v>31313</v>
      </c>
      <c r="F14442" t="s">
        <v>32664</v>
      </c>
      <c r="G14442" t="s">
        <v>32677</v>
      </c>
      <c r="H14442" t="s">
        <v>12635</v>
      </c>
      <c r="I14442" t="s">
        <v>11464</v>
      </c>
      <c r="J14442" t="s">
        <v>33751</v>
      </c>
      <c r="K14442" t="s">
        <v>42298</v>
      </c>
      <c r="M14442" t="s">
        <v>46392</v>
      </c>
      <c r="N14442" t="s">
        <v>46569</v>
      </c>
      <c r="O14442" t="s">
        <v>46570</v>
      </c>
      <c r="P14442">
        <v>0</v>
      </c>
      <c r="Q14442">
        <v>3</v>
      </c>
      <c r="R14442" t="s">
        <v>46588</v>
      </c>
      <c r="S14442" t="s">
        <v>47467</v>
      </c>
      <c r="T14442" t="s">
        <v>48283</v>
      </c>
      <c r="U14442" t="s">
        <v>60371</v>
      </c>
      <c r="V14442" t="s">
        <v>63234</v>
      </c>
      <c r="W14442" t="s">
        <v>46392</v>
      </c>
      <c r="X14442" t="s">
        <v>46591</v>
      </c>
    </row>
    <row r="14443" spans="1:24">
      <c r="A14443">
        <f>HYPERLINK("https://www.philgeps.gov.ph/GEPSNONPILOT/Tender/SplashBidNoticeAbstractUI.aspx?menuIndex=3&amp;refID=7028601&amp;Result=3","7028601")</f>
        <v>0</v>
      </c>
      <c r="B14443" t="s">
        <v>667</v>
      </c>
      <c r="C14443" t="s">
        <v>17270</v>
      </c>
      <c r="D14443" t="s">
        <v>18843</v>
      </c>
      <c r="E14443" t="s">
        <v>31314</v>
      </c>
      <c r="F14443" t="s">
        <v>32664</v>
      </c>
      <c r="G14443" t="s">
        <v>32672</v>
      </c>
      <c r="H14443" t="s">
        <v>32683</v>
      </c>
      <c r="I14443" t="s">
        <v>10627</v>
      </c>
      <c r="J14443" t="s">
        <v>40562</v>
      </c>
      <c r="K14443" t="s">
        <v>42555</v>
      </c>
      <c r="M14443" t="s">
        <v>43254</v>
      </c>
      <c r="N14443" t="s">
        <v>46569</v>
      </c>
      <c r="O14443" t="s">
        <v>46570</v>
      </c>
      <c r="Q14443">
        <v>2</v>
      </c>
      <c r="R14443" t="s">
        <v>46588</v>
      </c>
      <c r="S14443" t="s">
        <v>47503</v>
      </c>
      <c r="T14443" t="s">
        <v>48283</v>
      </c>
      <c r="U14443" t="s">
        <v>60316</v>
      </c>
      <c r="W14443" t="s">
        <v>43254</v>
      </c>
      <c r="X14443" t="s">
        <v>46592</v>
      </c>
    </row>
    <row r="14444" spans="1:24">
      <c r="A14444">
        <f>HYPERLINK("https://www.philgeps.gov.ph/GEPSNONPILOT/Tender/SplashBidNoticeAbstractUI.aspx?menuIndex=3&amp;refID=7029345&amp;Result=3","7029345")</f>
        <v>0</v>
      </c>
      <c r="B14444" t="s">
        <v>2004</v>
      </c>
      <c r="C14444" t="s">
        <v>17271</v>
      </c>
      <c r="D14444" t="s">
        <v>18790</v>
      </c>
      <c r="E14444" t="s">
        <v>23972</v>
      </c>
      <c r="F14444" t="s">
        <v>32664</v>
      </c>
      <c r="G14444" t="s">
        <v>32672</v>
      </c>
      <c r="H14444" t="s">
        <v>32683</v>
      </c>
      <c r="I14444" t="s">
        <v>10627</v>
      </c>
      <c r="J14444" t="s">
        <v>33150</v>
      </c>
      <c r="K14444" t="s">
        <v>42290</v>
      </c>
      <c r="M14444" t="s">
        <v>46381</v>
      </c>
      <c r="N14444" t="s">
        <v>46569</v>
      </c>
      <c r="O14444" t="s">
        <v>46570</v>
      </c>
      <c r="P14444">
        <v>0</v>
      </c>
      <c r="Q14444">
        <v>0</v>
      </c>
      <c r="R14444" t="s">
        <v>46588</v>
      </c>
      <c r="S14444" t="s">
        <v>47467</v>
      </c>
      <c r="T14444" t="s">
        <v>48293</v>
      </c>
      <c r="U14444" t="s">
        <v>60372</v>
      </c>
      <c r="W14444" t="s">
        <v>46381</v>
      </c>
      <c r="X14444" t="s">
        <v>46592</v>
      </c>
    </row>
    <row r="14445" spans="1:24">
      <c r="A14445">
        <f>HYPERLINK("https://www.philgeps.gov.ph/GEPSNONPILOT/Tender/SplashBidNoticeAbstractUI.aspx?menuIndex=3&amp;refID=7028426&amp;Result=3","7028426")</f>
        <v>0</v>
      </c>
      <c r="B14445" t="s">
        <v>1402</v>
      </c>
      <c r="C14445" t="s">
        <v>17272</v>
      </c>
      <c r="D14445" t="s">
        <v>18789</v>
      </c>
      <c r="E14445" t="s">
        <v>31315</v>
      </c>
      <c r="F14445" t="s">
        <v>32664</v>
      </c>
      <c r="G14445" t="s">
        <v>32672</v>
      </c>
      <c r="H14445" t="s">
        <v>32683</v>
      </c>
      <c r="I14445" t="s">
        <v>10627</v>
      </c>
      <c r="J14445" t="s">
        <v>41406</v>
      </c>
      <c r="K14445" t="s">
        <v>42311</v>
      </c>
      <c r="M14445" t="s">
        <v>45872</v>
      </c>
      <c r="N14445" t="s">
        <v>46569</v>
      </c>
      <c r="O14445" t="s">
        <v>46570</v>
      </c>
      <c r="Q14445">
        <v>0</v>
      </c>
      <c r="R14445" t="s">
        <v>46588</v>
      </c>
      <c r="S14445" t="s">
        <v>46970</v>
      </c>
      <c r="T14445" t="s">
        <v>48268</v>
      </c>
      <c r="U14445" t="s">
        <v>60373</v>
      </c>
      <c r="V14445" t="s">
        <v>61995</v>
      </c>
      <c r="W14445" t="s">
        <v>45872</v>
      </c>
      <c r="X14445" t="s">
        <v>46592</v>
      </c>
    </row>
    <row r="14446" spans="1:24">
      <c r="A14446">
        <f>HYPERLINK("https://www.philgeps.gov.ph/GEPSNONPILOT/Tender/SplashBidNoticeAbstractUI.aspx?menuIndex=3&amp;refID=7029249&amp;Result=3","7029249")</f>
        <v>0</v>
      </c>
      <c r="B14446" t="s">
        <v>1481</v>
      </c>
      <c r="C14446" t="s">
        <v>17273</v>
      </c>
      <c r="D14446" t="s">
        <v>18784</v>
      </c>
      <c r="E14446" t="s">
        <v>31316</v>
      </c>
      <c r="F14446" t="s">
        <v>32664</v>
      </c>
      <c r="G14446" t="s">
        <v>32672</v>
      </c>
      <c r="H14446" t="s">
        <v>12635</v>
      </c>
      <c r="I14446" t="s">
        <v>32708</v>
      </c>
      <c r="J14446" t="s">
        <v>41407</v>
      </c>
      <c r="K14446" t="s">
        <v>42311</v>
      </c>
      <c r="M14446" t="s">
        <v>46062</v>
      </c>
      <c r="N14446" t="s">
        <v>46569</v>
      </c>
      <c r="O14446" t="s">
        <v>46570</v>
      </c>
      <c r="Q14446">
        <v>33</v>
      </c>
      <c r="R14446" t="s">
        <v>46588</v>
      </c>
      <c r="S14446" t="s">
        <v>47504</v>
      </c>
      <c r="T14446" t="s">
        <v>48221</v>
      </c>
      <c r="U14446" t="s">
        <v>60374</v>
      </c>
      <c r="W14446" t="s">
        <v>46062</v>
      </c>
      <c r="X14446" t="s">
        <v>46592</v>
      </c>
    </row>
    <row r="14447" spans="1:24">
      <c r="A14447">
        <f>HYPERLINK("https://www.philgeps.gov.ph/GEPSNONPILOT/Tender/SplashBidNoticeAbstractUI.aspx?menuIndex=3&amp;refID=7029267&amp;Result=3","7029267")</f>
        <v>0</v>
      </c>
      <c r="B14447" t="s">
        <v>2004</v>
      </c>
      <c r="C14447" t="s">
        <v>17274</v>
      </c>
      <c r="D14447" t="s">
        <v>18790</v>
      </c>
      <c r="E14447" t="s">
        <v>20949</v>
      </c>
      <c r="F14447" t="s">
        <v>32664</v>
      </c>
      <c r="G14447" t="s">
        <v>32672</v>
      </c>
      <c r="H14447" t="s">
        <v>32683</v>
      </c>
      <c r="I14447" t="s">
        <v>10627</v>
      </c>
      <c r="J14447" t="s">
        <v>32943</v>
      </c>
      <c r="K14447" t="s">
        <v>42290</v>
      </c>
      <c r="M14447" t="s">
        <v>46381</v>
      </c>
      <c r="N14447" t="s">
        <v>46569</v>
      </c>
      <c r="O14447" t="s">
        <v>46570</v>
      </c>
      <c r="P14447">
        <v>0</v>
      </c>
      <c r="Q14447">
        <v>0</v>
      </c>
      <c r="R14447" t="s">
        <v>46588</v>
      </c>
      <c r="S14447" t="s">
        <v>47467</v>
      </c>
      <c r="T14447" t="s">
        <v>48293</v>
      </c>
      <c r="U14447" t="s">
        <v>60375</v>
      </c>
      <c r="W14447" t="s">
        <v>46381</v>
      </c>
      <c r="X14447" t="s">
        <v>46592</v>
      </c>
    </row>
    <row r="14448" spans="1:24">
      <c r="A14448">
        <f>HYPERLINK("https://www.philgeps.gov.ph/GEPSNONPILOT/Tender/SplashBidNoticeAbstractUI.aspx?menuIndex=3&amp;refID=7032186&amp;Result=3","7032186")</f>
        <v>0</v>
      </c>
      <c r="B14448" t="s">
        <v>749</v>
      </c>
      <c r="C14448" t="s">
        <v>17275</v>
      </c>
      <c r="D14448" t="s">
        <v>18788</v>
      </c>
      <c r="E14448" t="s">
        <v>31317</v>
      </c>
      <c r="F14448" t="s">
        <v>32664</v>
      </c>
      <c r="G14448" t="s">
        <v>32672</v>
      </c>
      <c r="H14448" t="s">
        <v>12635</v>
      </c>
      <c r="I14448" t="s">
        <v>32701</v>
      </c>
      <c r="J14448" t="s">
        <v>41408</v>
      </c>
      <c r="K14448" t="s">
        <v>42283</v>
      </c>
      <c r="M14448" t="s">
        <v>43339</v>
      </c>
      <c r="N14448" t="s">
        <v>46569</v>
      </c>
      <c r="O14448" t="s">
        <v>46570</v>
      </c>
      <c r="P14448">
        <v>0</v>
      </c>
      <c r="Q14448">
        <v>4</v>
      </c>
      <c r="R14448" t="s">
        <v>46588</v>
      </c>
      <c r="S14448" t="s">
        <v>47467</v>
      </c>
      <c r="T14448" t="s">
        <v>48221</v>
      </c>
      <c r="U14448" t="s">
        <v>60376</v>
      </c>
      <c r="W14448" t="s">
        <v>43339</v>
      </c>
      <c r="X14448" t="s">
        <v>46590</v>
      </c>
    </row>
    <row r="14449" spans="1:24">
      <c r="A14449">
        <f>HYPERLINK("https://www.philgeps.gov.ph/GEPSNONPILOT/Tender/SplashBidNoticeAbstractUI.aspx?menuIndex=3&amp;refID=7032070&amp;Result=3","7032070")</f>
        <v>0</v>
      </c>
      <c r="B14449" t="s">
        <v>334</v>
      </c>
      <c r="C14449" t="s">
        <v>17276</v>
      </c>
      <c r="E14449" t="s">
        <v>19419</v>
      </c>
      <c r="F14449" t="s">
        <v>32664</v>
      </c>
      <c r="G14449" t="s">
        <v>32672</v>
      </c>
      <c r="H14449" t="s">
        <v>12635</v>
      </c>
      <c r="I14449" t="s">
        <v>32704</v>
      </c>
      <c r="J14449" t="s">
        <v>41409</v>
      </c>
      <c r="K14449" t="s">
        <v>42283</v>
      </c>
      <c r="M14449" t="s">
        <v>42902</v>
      </c>
      <c r="N14449" t="s">
        <v>46569</v>
      </c>
      <c r="O14449" t="s">
        <v>46570</v>
      </c>
      <c r="Q14449">
        <v>43</v>
      </c>
      <c r="R14449" t="s">
        <v>46588</v>
      </c>
      <c r="S14449" t="s">
        <v>47505</v>
      </c>
      <c r="T14449" t="s">
        <v>48244</v>
      </c>
      <c r="U14449" t="s">
        <v>60377</v>
      </c>
      <c r="W14449" t="s">
        <v>42902</v>
      </c>
      <c r="X14449" t="s">
        <v>46590</v>
      </c>
    </row>
    <row r="14450" spans="1:24">
      <c r="A14450">
        <f>HYPERLINK("https://www.philgeps.gov.ph/GEPSNONPILOT/Tender/SplashBidNoticeAbstractUI.aspx?menuIndex=3&amp;refID=7032069&amp;Result=3","7032069")</f>
        <v>0</v>
      </c>
      <c r="B14450" t="s">
        <v>334</v>
      </c>
      <c r="C14450" t="s">
        <v>17277</v>
      </c>
      <c r="E14450" t="s">
        <v>31318</v>
      </c>
      <c r="F14450" t="s">
        <v>32664</v>
      </c>
      <c r="G14450" t="s">
        <v>32672</v>
      </c>
      <c r="H14450" t="s">
        <v>12635</v>
      </c>
      <c r="I14450" t="s">
        <v>32704</v>
      </c>
      <c r="J14450" t="s">
        <v>33761</v>
      </c>
      <c r="K14450" t="s">
        <v>42283</v>
      </c>
      <c r="M14450" t="s">
        <v>42902</v>
      </c>
      <c r="N14450" t="s">
        <v>46569</v>
      </c>
      <c r="O14450" t="s">
        <v>46570</v>
      </c>
      <c r="Q14450">
        <v>46</v>
      </c>
      <c r="R14450" t="s">
        <v>46588</v>
      </c>
      <c r="S14450" t="s">
        <v>47506</v>
      </c>
      <c r="T14450" t="s">
        <v>48244</v>
      </c>
      <c r="U14450" t="s">
        <v>60378</v>
      </c>
      <c r="W14450" t="s">
        <v>42902</v>
      </c>
      <c r="X14450" t="s">
        <v>46590</v>
      </c>
    </row>
    <row r="14451" spans="1:24">
      <c r="A14451">
        <f>HYPERLINK("https://www.philgeps.gov.ph/GEPSNONPILOT/Tender/SplashBidNoticeAbstractUI.aspx?menuIndex=3&amp;refID=7029376&amp;Result=3","7029376")</f>
        <v>0</v>
      </c>
      <c r="B14451" t="s">
        <v>1074</v>
      </c>
      <c r="C14451" t="s">
        <v>17278</v>
      </c>
      <c r="D14451" t="s">
        <v>18786</v>
      </c>
      <c r="E14451" t="s">
        <v>31319</v>
      </c>
      <c r="F14451" t="s">
        <v>32664</v>
      </c>
      <c r="G14451" t="s">
        <v>32672</v>
      </c>
      <c r="H14451" t="s">
        <v>32683</v>
      </c>
      <c r="I14451" t="s">
        <v>10627</v>
      </c>
      <c r="J14451" t="s">
        <v>32837</v>
      </c>
      <c r="K14451" t="s">
        <v>42311</v>
      </c>
      <c r="M14451" t="s">
        <v>43694</v>
      </c>
      <c r="N14451" t="s">
        <v>46569</v>
      </c>
      <c r="O14451" t="s">
        <v>46570</v>
      </c>
      <c r="P14451">
        <v>0</v>
      </c>
      <c r="Q14451">
        <v>0</v>
      </c>
      <c r="R14451" t="s">
        <v>46588</v>
      </c>
      <c r="S14451" t="s">
        <v>47467</v>
      </c>
      <c r="T14451" t="s">
        <v>48304</v>
      </c>
      <c r="U14451" t="s">
        <v>60379</v>
      </c>
      <c r="W14451" t="s">
        <v>43694</v>
      </c>
      <c r="X14451" t="s">
        <v>46592</v>
      </c>
    </row>
    <row r="14452" spans="1:24">
      <c r="A14452">
        <f>HYPERLINK("https://www.philgeps.gov.ph/GEPSNONPILOT/Tender/SplashBidNoticeAbstractUI.aspx?menuIndex=3&amp;refID=7032025&amp;Result=3","7032025")</f>
        <v>0</v>
      </c>
      <c r="B14452" t="s">
        <v>3130</v>
      </c>
      <c r="C14452" t="s">
        <v>17279</v>
      </c>
      <c r="D14452" t="s">
        <v>18830</v>
      </c>
      <c r="E14452" t="s">
        <v>31320</v>
      </c>
      <c r="F14452" t="s">
        <v>32664</v>
      </c>
      <c r="G14452" t="s">
        <v>32672</v>
      </c>
      <c r="H14452" t="s">
        <v>12635</v>
      </c>
      <c r="I14452" t="s">
        <v>32789</v>
      </c>
      <c r="J14452" t="s">
        <v>41410</v>
      </c>
      <c r="K14452" t="s">
        <v>42289</v>
      </c>
      <c r="M14452" t="s">
        <v>46023</v>
      </c>
      <c r="N14452" t="s">
        <v>46569</v>
      </c>
      <c r="O14452" t="s">
        <v>46570</v>
      </c>
      <c r="P14452">
        <v>0</v>
      </c>
      <c r="Q14452">
        <v>3</v>
      </c>
      <c r="R14452" t="s">
        <v>46588</v>
      </c>
      <c r="S14452" t="s">
        <v>47467</v>
      </c>
      <c r="T14452" t="s">
        <v>48300</v>
      </c>
      <c r="U14452" t="s">
        <v>58348</v>
      </c>
      <c r="W14452" t="s">
        <v>46023</v>
      </c>
      <c r="X14452" t="s">
        <v>46590</v>
      </c>
    </row>
    <row r="14453" spans="1:24">
      <c r="A14453">
        <f>HYPERLINK("https://www.philgeps.gov.ph/GEPSNONPILOT/Tender/SplashBidNoticeAbstractUI.aspx?menuIndex=3&amp;refID=7032076&amp;Result=3","7032076")</f>
        <v>0</v>
      </c>
      <c r="B14453" t="s">
        <v>3415</v>
      </c>
      <c r="C14453" t="s">
        <v>17280</v>
      </c>
      <c r="D14453" t="s">
        <v>18784</v>
      </c>
      <c r="E14453" t="s">
        <v>31321</v>
      </c>
      <c r="F14453" t="s">
        <v>32664</v>
      </c>
      <c r="G14453" t="s">
        <v>32672</v>
      </c>
      <c r="H14453" t="s">
        <v>12635</v>
      </c>
      <c r="I14453" t="s">
        <v>5589</v>
      </c>
      <c r="J14453" t="s">
        <v>41411</v>
      </c>
      <c r="K14453" t="s">
        <v>42281</v>
      </c>
      <c r="M14453" t="s">
        <v>46393</v>
      </c>
      <c r="N14453" t="s">
        <v>46569</v>
      </c>
      <c r="O14453" t="s">
        <v>46570</v>
      </c>
      <c r="Q14453">
        <v>10</v>
      </c>
      <c r="R14453" t="s">
        <v>46588</v>
      </c>
      <c r="S14453" t="s">
        <v>46964</v>
      </c>
      <c r="T14453" t="s">
        <v>48323</v>
      </c>
      <c r="U14453" t="s">
        <v>60380</v>
      </c>
      <c r="V14453" t="s">
        <v>63235</v>
      </c>
      <c r="W14453" t="s">
        <v>46393</v>
      </c>
      <c r="X14453" t="s">
        <v>46590</v>
      </c>
    </row>
    <row r="14454" spans="1:24">
      <c r="A14454">
        <f>HYPERLINK("https://www.philgeps.gov.ph/GEPSNONPILOT/Tender/SplashBidNoticeAbstractUI.aspx?menuIndex=3&amp;refID=7031984&amp;Result=3","7031984")</f>
        <v>0</v>
      </c>
      <c r="B14454" t="s">
        <v>3416</v>
      </c>
      <c r="C14454" t="s">
        <v>17281</v>
      </c>
      <c r="E14454" t="s">
        <v>31322</v>
      </c>
      <c r="F14454" t="s">
        <v>32664</v>
      </c>
      <c r="G14454" t="s">
        <v>32672</v>
      </c>
      <c r="H14454" t="s">
        <v>32682</v>
      </c>
      <c r="I14454" t="s">
        <v>9946</v>
      </c>
      <c r="J14454" t="s">
        <v>41412</v>
      </c>
      <c r="K14454" t="s">
        <v>42348</v>
      </c>
      <c r="M14454" t="s">
        <v>46394</v>
      </c>
      <c r="N14454" t="s">
        <v>46569</v>
      </c>
      <c r="O14454" t="s">
        <v>46570</v>
      </c>
      <c r="Q14454">
        <v>7</v>
      </c>
      <c r="R14454" t="s">
        <v>46588</v>
      </c>
      <c r="S14454" t="s">
        <v>47507</v>
      </c>
      <c r="T14454" t="s">
        <v>48258</v>
      </c>
      <c r="U14454" t="s">
        <v>60381</v>
      </c>
      <c r="V14454" t="s">
        <v>63236</v>
      </c>
      <c r="W14454" t="s">
        <v>63596</v>
      </c>
      <c r="X14454" t="s">
        <v>46590</v>
      </c>
    </row>
    <row r="14455" spans="1:24">
      <c r="A14455">
        <f>HYPERLINK("https://www.philgeps.gov.ph/GEPSNONPILOT/Tender/SplashBidNoticeAbstractUI.aspx?menuIndex=3&amp;refID=7032071&amp;Result=3","7032071")</f>
        <v>0</v>
      </c>
      <c r="B14455" t="s">
        <v>334</v>
      </c>
      <c r="C14455" t="s">
        <v>17282</v>
      </c>
      <c r="E14455" t="s">
        <v>21803</v>
      </c>
      <c r="F14455" t="s">
        <v>32664</v>
      </c>
      <c r="G14455" t="s">
        <v>32672</v>
      </c>
      <c r="H14455" t="s">
        <v>12635</v>
      </c>
      <c r="I14455" t="s">
        <v>8797</v>
      </c>
      <c r="J14455" t="s">
        <v>41413</v>
      </c>
      <c r="K14455" t="s">
        <v>42283</v>
      </c>
      <c r="M14455" t="s">
        <v>42902</v>
      </c>
      <c r="N14455" t="s">
        <v>46569</v>
      </c>
      <c r="O14455" t="s">
        <v>46570</v>
      </c>
      <c r="Q14455">
        <v>10</v>
      </c>
      <c r="R14455" t="s">
        <v>46588</v>
      </c>
      <c r="S14455" t="s">
        <v>47508</v>
      </c>
      <c r="T14455" t="s">
        <v>48244</v>
      </c>
      <c r="U14455" t="s">
        <v>60377</v>
      </c>
      <c r="W14455" t="s">
        <v>42902</v>
      </c>
      <c r="X14455" t="s">
        <v>46590</v>
      </c>
    </row>
    <row r="14456" spans="1:24">
      <c r="A14456">
        <f>HYPERLINK("https://www.philgeps.gov.ph/GEPSNONPILOT/Tender/SplashBidNoticeAbstractUI.aspx?menuIndex=3&amp;refID=7031957&amp;Result=3","7031957")</f>
        <v>0</v>
      </c>
      <c r="B14456" t="s">
        <v>1561</v>
      </c>
      <c r="C14456" t="s">
        <v>17283</v>
      </c>
      <c r="E14456" t="s">
        <v>31323</v>
      </c>
      <c r="F14456" t="s">
        <v>32664</v>
      </c>
      <c r="G14456" t="s">
        <v>32672</v>
      </c>
      <c r="H14456" t="s">
        <v>32683</v>
      </c>
      <c r="I14456" t="s">
        <v>10627</v>
      </c>
      <c r="J14456" t="s">
        <v>41414</v>
      </c>
      <c r="K14456" t="s">
        <v>42467</v>
      </c>
      <c r="M14456" t="s">
        <v>44232</v>
      </c>
      <c r="N14456" t="s">
        <v>46569</v>
      </c>
      <c r="O14456" t="s">
        <v>46570</v>
      </c>
      <c r="P14456">
        <v>0</v>
      </c>
      <c r="Q14456">
        <v>4</v>
      </c>
      <c r="R14456" t="s">
        <v>46588</v>
      </c>
      <c r="S14456" t="s">
        <v>47467</v>
      </c>
      <c r="T14456" t="s">
        <v>48436</v>
      </c>
      <c r="U14456" t="s">
        <v>60382</v>
      </c>
      <c r="W14456" t="s">
        <v>44232</v>
      </c>
      <c r="X14456" t="s">
        <v>46591</v>
      </c>
    </row>
    <row r="14457" spans="1:24">
      <c r="A14457">
        <f>HYPERLINK("https://www.philgeps.gov.ph/GEPSNONPILOT/Tender/SplashBidNoticeAbstractUI.aspx?menuIndex=3&amp;refID=7032215&amp;Result=3","7032215")</f>
        <v>0</v>
      </c>
      <c r="B14457" t="s">
        <v>863</v>
      </c>
      <c r="C14457" t="s">
        <v>17284</v>
      </c>
      <c r="D14457" t="s">
        <v>18782</v>
      </c>
      <c r="E14457" t="s">
        <v>31324</v>
      </c>
      <c r="F14457" t="s">
        <v>32664</v>
      </c>
      <c r="G14457" t="s">
        <v>32672</v>
      </c>
      <c r="H14457" t="s">
        <v>12635</v>
      </c>
      <c r="I14457" t="s">
        <v>9946</v>
      </c>
      <c r="J14457" t="s">
        <v>41415</v>
      </c>
      <c r="K14457" t="s">
        <v>42556</v>
      </c>
      <c r="M14457" t="s">
        <v>43462</v>
      </c>
      <c r="N14457" t="s">
        <v>46569</v>
      </c>
      <c r="O14457" t="s">
        <v>46570</v>
      </c>
      <c r="Q14457">
        <v>3</v>
      </c>
      <c r="R14457" t="s">
        <v>46588</v>
      </c>
      <c r="S14457" t="s">
        <v>47509</v>
      </c>
      <c r="T14457" t="s">
        <v>48436</v>
      </c>
      <c r="U14457" t="s">
        <v>60383</v>
      </c>
      <c r="W14457" t="s">
        <v>43462</v>
      </c>
      <c r="X14457" t="s">
        <v>46590</v>
      </c>
    </row>
    <row r="14458" spans="1:24">
      <c r="A14458">
        <f>HYPERLINK("https://www.philgeps.gov.ph/GEPSNONPILOT/Tender/SplashBidNoticeAbstractUI.aspx?menuIndex=3&amp;refID=7032177&amp;Result=3","7032177")</f>
        <v>0</v>
      </c>
      <c r="B14458" t="s">
        <v>3417</v>
      </c>
      <c r="C14458" t="s">
        <v>17285</v>
      </c>
      <c r="E14458" t="s">
        <v>31325</v>
      </c>
      <c r="F14458" t="s">
        <v>32664</v>
      </c>
      <c r="G14458" t="s">
        <v>32672</v>
      </c>
      <c r="H14458" t="s">
        <v>32683</v>
      </c>
      <c r="I14458" t="s">
        <v>9597</v>
      </c>
      <c r="J14458" t="s">
        <v>41416</v>
      </c>
      <c r="K14458" t="s">
        <v>42289</v>
      </c>
      <c r="M14458" t="s">
        <v>46395</v>
      </c>
      <c r="N14458" t="s">
        <v>46569</v>
      </c>
      <c r="O14458" t="s">
        <v>46570</v>
      </c>
      <c r="P14458">
        <v>0</v>
      </c>
      <c r="Q14458">
        <v>2</v>
      </c>
      <c r="R14458" t="s">
        <v>46588</v>
      </c>
      <c r="S14458" t="s">
        <v>47467</v>
      </c>
      <c r="T14458" t="s">
        <v>48219</v>
      </c>
      <c r="U14458" t="s">
        <v>60384</v>
      </c>
      <c r="W14458" t="s">
        <v>46395</v>
      </c>
      <c r="X14458" t="s">
        <v>46590</v>
      </c>
    </row>
    <row r="14459" spans="1:24">
      <c r="A14459">
        <f>HYPERLINK("https://www.philgeps.gov.ph/GEPSNONPILOT/Tender/SplashBidNoticeAbstractUI.aspx?menuIndex=3&amp;refID=7030670&amp;Result=3","7030670")</f>
        <v>0</v>
      </c>
      <c r="B14459" t="s">
        <v>559</v>
      </c>
      <c r="C14459" t="s">
        <v>17286</v>
      </c>
      <c r="E14459" t="s">
        <v>31326</v>
      </c>
      <c r="F14459" t="s">
        <v>32664</v>
      </c>
      <c r="G14459" t="s">
        <v>32672</v>
      </c>
      <c r="H14459" t="s">
        <v>32681</v>
      </c>
      <c r="I14459" t="s">
        <v>32681</v>
      </c>
      <c r="J14459" t="s">
        <v>33001</v>
      </c>
      <c r="K14459" t="s">
        <v>42334</v>
      </c>
      <c r="M14459" t="s">
        <v>43139</v>
      </c>
      <c r="N14459" t="s">
        <v>46569</v>
      </c>
      <c r="O14459" t="s">
        <v>46570</v>
      </c>
      <c r="P14459">
        <v>0</v>
      </c>
      <c r="Q14459">
        <v>5</v>
      </c>
      <c r="R14459" t="s">
        <v>46588</v>
      </c>
      <c r="S14459" t="s">
        <v>47467</v>
      </c>
      <c r="T14459" t="s">
        <v>48268</v>
      </c>
      <c r="U14459" t="s">
        <v>60385</v>
      </c>
      <c r="V14459" t="s">
        <v>63237</v>
      </c>
      <c r="W14459" t="s">
        <v>43139</v>
      </c>
      <c r="X14459" t="s">
        <v>46591</v>
      </c>
    </row>
    <row r="14460" spans="1:24">
      <c r="A14460">
        <f>HYPERLINK("https://www.philgeps.gov.ph/GEPSNONPILOT/Tender/SplashBidNoticeAbstractUI.aspx?menuIndex=3&amp;refID=7032065&amp;Result=3","7032065")</f>
        <v>0</v>
      </c>
      <c r="B14460" t="s">
        <v>334</v>
      </c>
      <c r="C14460" t="s">
        <v>17287</v>
      </c>
      <c r="E14460" t="s">
        <v>31327</v>
      </c>
      <c r="F14460" t="s">
        <v>32664</v>
      </c>
      <c r="G14460" t="s">
        <v>32672</v>
      </c>
      <c r="H14460" t="s">
        <v>12635</v>
      </c>
      <c r="I14460" t="s">
        <v>11464</v>
      </c>
      <c r="J14460" t="s">
        <v>32837</v>
      </c>
      <c r="K14460" t="s">
        <v>42283</v>
      </c>
      <c r="M14460" t="s">
        <v>42902</v>
      </c>
      <c r="N14460" t="s">
        <v>46569</v>
      </c>
      <c r="O14460" t="s">
        <v>46570</v>
      </c>
      <c r="Q14460">
        <v>4</v>
      </c>
      <c r="R14460" t="s">
        <v>46588</v>
      </c>
      <c r="S14460" t="s">
        <v>47510</v>
      </c>
      <c r="T14460" t="s">
        <v>48244</v>
      </c>
      <c r="U14460" t="s">
        <v>60386</v>
      </c>
      <c r="W14460" t="s">
        <v>42902</v>
      </c>
      <c r="X14460" t="s">
        <v>46590</v>
      </c>
    </row>
    <row r="14461" spans="1:24">
      <c r="A14461">
        <f>HYPERLINK("https://www.philgeps.gov.ph/GEPSNONPILOT/Tender/SplashBidNoticeAbstractUI.aspx?menuIndex=3&amp;refID=7032502&amp;Result=3","7032502")</f>
        <v>0</v>
      </c>
      <c r="B14461" t="s">
        <v>1908</v>
      </c>
      <c r="C14461" t="s">
        <v>17288</v>
      </c>
      <c r="D14461" t="s">
        <v>18784</v>
      </c>
      <c r="E14461" t="s">
        <v>29485</v>
      </c>
      <c r="F14461" t="s">
        <v>32664</v>
      </c>
      <c r="G14461" t="s">
        <v>32672</v>
      </c>
      <c r="H14461" t="s">
        <v>12635</v>
      </c>
      <c r="I14461" t="s">
        <v>11464</v>
      </c>
      <c r="J14461" t="s">
        <v>34293</v>
      </c>
      <c r="K14461" t="s">
        <v>42297</v>
      </c>
      <c r="M14461" t="s">
        <v>44629</v>
      </c>
      <c r="N14461" t="s">
        <v>46569</v>
      </c>
      <c r="O14461" t="s">
        <v>46570</v>
      </c>
      <c r="Q14461">
        <v>12</v>
      </c>
      <c r="R14461" t="s">
        <v>46588</v>
      </c>
      <c r="S14461" t="s">
        <v>47511</v>
      </c>
      <c r="T14461" t="s">
        <v>48334</v>
      </c>
      <c r="U14461" t="s">
        <v>60387</v>
      </c>
      <c r="W14461" t="s">
        <v>44629</v>
      </c>
      <c r="X14461" t="s">
        <v>46589</v>
      </c>
    </row>
    <row r="14462" spans="1:24">
      <c r="A14462">
        <f>HYPERLINK("https://www.philgeps.gov.ph/GEPSNONPILOT/Tender/SplashBidNoticeAbstractUI.aspx?menuIndex=3&amp;refID=7032504&amp;Result=3","7032504")</f>
        <v>0</v>
      </c>
      <c r="B14462" t="s">
        <v>79</v>
      </c>
      <c r="C14462" t="s">
        <v>17289</v>
      </c>
      <c r="E14462" t="s">
        <v>31328</v>
      </c>
      <c r="F14462" t="s">
        <v>32664</v>
      </c>
      <c r="G14462" t="s">
        <v>32672</v>
      </c>
      <c r="H14462" t="s">
        <v>32683</v>
      </c>
      <c r="I14462" t="s">
        <v>10627</v>
      </c>
      <c r="J14462" t="s">
        <v>33858</v>
      </c>
      <c r="K14462" t="s">
        <v>42508</v>
      </c>
      <c r="M14462" t="s">
        <v>42642</v>
      </c>
      <c r="N14462" t="s">
        <v>46569</v>
      </c>
      <c r="O14462" t="s">
        <v>46570</v>
      </c>
      <c r="P14462">
        <v>0</v>
      </c>
      <c r="Q14462">
        <v>0</v>
      </c>
      <c r="R14462" t="s">
        <v>46588</v>
      </c>
      <c r="S14462" t="s">
        <v>47467</v>
      </c>
      <c r="T14462" t="s">
        <v>48276</v>
      </c>
      <c r="U14462" t="s">
        <v>60388</v>
      </c>
      <c r="W14462" t="s">
        <v>42642</v>
      </c>
      <c r="X14462" t="s">
        <v>46589</v>
      </c>
    </row>
    <row r="14463" spans="1:24">
      <c r="A14463">
        <f>HYPERLINK("https://www.philgeps.gov.ph/GEPSNONPILOT/Tender/SplashBidNoticeAbstractUI.aspx?menuIndex=3&amp;refID=7032497&amp;Result=3","7032497")</f>
        <v>0</v>
      </c>
      <c r="B14463" t="s">
        <v>79</v>
      </c>
      <c r="C14463" t="s">
        <v>17290</v>
      </c>
      <c r="D14463" t="s">
        <v>18817</v>
      </c>
      <c r="E14463" t="s">
        <v>31329</v>
      </c>
      <c r="F14463" t="s">
        <v>32664</v>
      </c>
      <c r="G14463" t="s">
        <v>32672</v>
      </c>
      <c r="H14463" t="s">
        <v>12635</v>
      </c>
      <c r="I14463" t="s">
        <v>4439</v>
      </c>
      <c r="J14463" t="s">
        <v>41417</v>
      </c>
      <c r="K14463" t="s">
        <v>42448</v>
      </c>
      <c r="M14463" t="s">
        <v>42642</v>
      </c>
      <c r="N14463" t="s">
        <v>46569</v>
      </c>
      <c r="O14463" t="s">
        <v>46570</v>
      </c>
      <c r="P14463">
        <v>0</v>
      </c>
      <c r="Q14463">
        <v>0</v>
      </c>
      <c r="R14463" t="s">
        <v>46588</v>
      </c>
      <c r="S14463" t="s">
        <v>47467</v>
      </c>
      <c r="T14463" t="s">
        <v>48305</v>
      </c>
      <c r="U14463" t="s">
        <v>60389</v>
      </c>
      <c r="W14463" t="s">
        <v>42642</v>
      </c>
      <c r="X14463" t="s">
        <v>46589</v>
      </c>
    </row>
    <row r="14464" spans="1:24">
      <c r="A14464">
        <f>HYPERLINK("https://www.philgeps.gov.ph/GEPSNONPILOT/Tender/SplashBidNoticeAbstractUI.aspx?menuIndex=3&amp;refID=7032464&amp;Result=3","7032464")</f>
        <v>0</v>
      </c>
      <c r="B14464" t="s">
        <v>79</v>
      </c>
      <c r="C14464" t="s">
        <v>17291</v>
      </c>
      <c r="E14464" t="s">
        <v>31330</v>
      </c>
      <c r="F14464" t="s">
        <v>32664</v>
      </c>
      <c r="G14464" t="s">
        <v>32672</v>
      </c>
      <c r="H14464" t="s">
        <v>32683</v>
      </c>
      <c r="I14464" t="s">
        <v>10627</v>
      </c>
      <c r="J14464" t="s">
        <v>32981</v>
      </c>
      <c r="K14464" t="s">
        <v>42311</v>
      </c>
      <c r="M14464" t="s">
        <v>42642</v>
      </c>
      <c r="N14464" t="s">
        <v>46569</v>
      </c>
      <c r="O14464" t="s">
        <v>46570</v>
      </c>
      <c r="P14464">
        <v>0</v>
      </c>
      <c r="Q14464">
        <v>0</v>
      </c>
      <c r="R14464" t="s">
        <v>46588</v>
      </c>
      <c r="S14464" t="s">
        <v>47467</v>
      </c>
      <c r="T14464" t="s">
        <v>48221</v>
      </c>
      <c r="U14464" t="s">
        <v>60390</v>
      </c>
      <c r="W14464" t="s">
        <v>42642</v>
      </c>
      <c r="X14464" t="s">
        <v>46589</v>
      </c>
    </row>
    <row r="14465" spans="1:24">
      <c r="A14465">
        <f>HYPERLINK("https://www.philgeps.gov.ph/GEPSNONPILOT/Tender/SplashBidNoticeAbstractUI.aspx?menuIndex=3&amp;refID=7032458&amp;Result=3","7032458")</f>
        <v>0</v>
      </c>
      <c r="B14465" t="s">
        <v>79</v>
      </c>
      <c r="C14465" t="s">
        <v>17292</v>
      </c>
      <c r="E14465" t="s">
        <v>31331</v>
      </c>
      <c r="F14465" t="s">
        <v>32664</v>
      </c>
      <c r="G14465" t="s">
        <v>32672</v>
      </c>
      <c r="H14465" t="s">
        <v>32683</v>
      </c>
      <c r="I14465" t="s">
        <v>10627</v>
      </c>
      <c r="J14465" t="s">
        <v>41418</v>
      </c>
      <c r="K14465" t="s">
        <v>42311</v>
      </c>
      <c r="M14465" t="s">
        <v>42642</v>
      </c>
      <c r="N14465" t="s">
        <v>46569</v>
      </c>
      <c r="O14465" t="s">
        <v>46570</v>
      </c>
      <c r="P14465">
        <v>0</v>
      </c>
      <c r="Q14465">
        <v>0</v>
      </c>
      <c r="R14465" t="s">
        <v>46588</v>
      </c>
      <c r="S14465" t="s">
        <v>47467</v>
      </c>
      <c r="T14465" t="s">
        <v>48221</v>
      </c>
      <c r="U14465" t="s">
        <v>60391</v>
      </c>
      <c r="W14465" t="s">
        <v>42642</v>
      </c>
      <c r="X14465" t="s">
        <v>46589</v>
      </c>
    </row>
    <row r="14466" spans="1:24">
      <c r="A14466">
        <f>HYPERLINK("https://www.philgeps.gov.ph/GEPSNONPILOT/Tender/SplashBidNoticeAbstractUI.aspx?menuIndex=3&amp;refID=7032449&amp;Result=3","7032449")</f>
        <v>0</v>
      </c>
      <c r="B14466" t="s">
        <v>79</v>
      </c>
      <c r="C14466" t="s">
        <v>17293</v>
      </c>
      <c r="E14466" t="s">
        <v>31332</v>
      </c>
      <c r="F14466" t="s">
        <v>32664</v>
      </c>
      <c r="G14466" t="s">
        <v>32672</v>
      </c>
      <c r="H14466" t="s">
        <v>32683</v>
      </c>
      <c r="I14466" t="s">
        <v>10627</v>
      </c>
      <c r="J14466" t="s">
        <v>33150</v>
      </c>
      <c r="K14466" t="s">
        <v>42290</v>
      </c>
      <c r="M14466" t="s">
        <v>42642</v>
      </c>
      <c r="N14466" t="s">
        <v>46569</v>
      </c>
      <c r="O14466" t="s">
        <v>46570</v>
      </c>
      <c r="P14466">
        <v>0</v>
      </c>
      <c r="Q14466">
        <v>0</v>
      </c>
      <c r="R14466" t="s">
        <v>46588</v>
      </c>
      <c r="S14466" t="s">
        <v>47467</v>
      </c>
      <c r="T14466" t="s">
        <v>48221</v>
      </c>
      <c r="U14466" t="s">
        <v>60388</v>
      </c>
      <c r="W14466" t="s">
        <v>42642</v>
      </c>
      <c r="X14466" t="s">
        <v>46589</v>
      </c>
    </row>
    <row r="14467" spans="1:24">
      <c r="A14467">
        <f>HYPERLINK("https://www.philgeps.gov.ph/GEPSNONPILOT/Tender/SplashBidNoticeAbstractUI.aspx?menuIndex=3&amp;refID=7028608&amp;Result=3","7028608")</f>
        <v>0</v>
      </c>
      <c r="B14467" t="s">
        <v>1074</v>
      </c>
      <c r="C14467" t="s">
        <v>17294</v>
      </c>
      <c r="D14467" t="s">
        <v>18786</v>
      </c>
      <c r="E14467" t="s">
        <v>22227</v>
      </c>
      <c r="F14467" t="s">
        <v>32664</v>
      </c>
      <c r="G14467" t="s">
        <v>32672</v>
      </c>
      <c r="H14467" t="s">
        <v>12635</v>
      </c>
      <c r="I14467" t="s">
        <v>32706</v>
      </c>
      <c r="J14467" t="s">
        <v>33273</v>
      </c>
      <c r="K14467" t="s">
        <v>42281</v>
      </c>
      <c r="M14467" t="s">
        <v>43694</v>
      </c>
      <c r="N14467" t="s">
        <v>46569</v>
      </c>
      <c r="O14467" t="s">
        <v>46570</v>
      </c>
      <c r="P14467">
        <v>0</v>
      </c>
      <c r="Q14467">
        <v>0</v>
      </c>
      <c r="R14467" t="s">
        <v>46588</v>
      </c>
      <c r="S14467" t="s">
        <v>47467</v>
      </c>
      <c r="T14467" t="s">
        <v>48304</v>
      </c>
      <c r="U14467" t="s">
        <v>60392</v>
      </c>
      <c r="V14467" t="s">
        <v>63238</v>
      </c>
      <c r="W14467" t="s">
        <v>43694</v>
      </c>
      <c r="X14467" t="s">
        <v>46592</v>
      </c>
    </row>
    <row r="14468" spans="1:24">
      <c r="A14468">
        <f>HYPERLINK("https://www.philgeps.gov.ph/GEPSNONPILOT/Tender/SplashBidNoticeAbstractUI.aspx?menuIndex=3&amp;refID=7032454&amp;Result=3","7032454")</f>
        <v>0</v>
      </c>
      <c r="B14468" t="s">
        <v>2414</v>
      </c>
      <c r="C14468" t="s">
        <v>17295</v>
      </c>
      <c r="D14468" t="s">
        <v>18797</v>
      </c>
      <c r="E14468" t="s">
        <v>31333</v>
      </c>
      <c r="F14468" t="s">
        <v>32664</v>
      </c>
      <c r="G14468" t="s">
        <v>32672</v>
      </c>
      <c r="H14468" t="s">
        <v>32683</v>
      </c>
      <c r="I14468" t="s">
        <v>10627</v>
      </c>
      <c r="J14468" t="s">
        <v>33761</v>
      </c>
      <c r="K14468" t="s">
        <v>42397</v>
      </c>
      <c r="M14468" t="s">
        <v>45205</v>
      </c>
      <c r="N14468" t="s">
        <v>46569</v>
      </c>
      <c r="O14468" t="s">
        <v>46570</v>
      </c>
      <c r="P14468">
        <v>0</v>
      </c>
      <c r="Q14468">
        <v>115</v>
      </c>
      <c r="R14468" t="s">
        <v>46588</v>
      </c>
      <c r="S14468" t="s">
        <v>47467</v>
      </c>
      <c r="T14468" t="s">
        <v>48217</v>
      </c>
      <c r="U14468" t="s">
        <v>60393</v>
      </c>
      <c r="V14468" t="s">
        <v>63239</v>
      </c>
      <c r="W14468" t="s">
        <v>45205</v>
      </c>
      <c r="X14468" t="s">
        <v>46589</v>
      </c>
    </row>
    <row r="14469" spans="1:24">
      <c r="A14469">
        <f>HYPERLINK("https://www.philgeps.gov.ph/GEPSNONPILOT/Tender/SplashBidNoticeAbstractUI.aspx?menuIndex=3&amp;refID=7032509&amp;Result=3","7032509")</f>
        <v>0</v>
      </c>
      <c r="B14469" t="s">
        <v>79</v>
      </c>
      <c r="C14469" t="s">
        <v>17296</v>
      </c>
      <c r="E14469" t="s">
        <v>31334</v>
      </c>
      <c r="F14469" t="s">
        <v>32664</v>
      </c>
      <c r="G14469" t="s">
        <v>32672</v>
      </c>
      <c r="H14469" t="s">
        <v>32683</v>
      </c>
      <c r="I14469" t="s">
        <v>10627</v>
      </c>
      <c r="J14469" t="s">
        <v>33150</v>
      </c>
      <c r="K14469" t="s">
        <v>42290</v>
      </c>
      <c r="M14469" t="s">
        <v>42642</v>
      </c>
      <c r="N14469" t="s">
        <v>46569</v>
      </c>
      <c r="O14469" t="s">
        <v>46570</v>
      </c>
      <c r="P14469">
        <v>0</v>
      </c>
      <c r="Q14469">
        <v>0</v>
      </c>
      <c r="R14469" t="s">
        <v>46588</v>
      </c>
      <c r="S14469" t="s">
        <v>47467</v>
      </c>
      <c r="T14469" t="s">
        <v>48268</v>
      </c>
      <c r="U14469" t="s">
        <v>60388</v>
      </c>
      <c r="W14469" t="s">
        <v>42642</v>
      </c>
      <c r="X14469" t="s">
        <v>46589</v>
      </c>
    </row>
    <row r="14470" spans="1:24">
      <c r="A14470">
        <f>HYPERLINK("https://www.philgeps.gov.ph/GEPSNONPILOT/Tender/SplashBidNoticeAbstractUI.aspx?menuIndex=3&amp;refID=7031959&amp;Result=3","7031959")</f>
        <v>0</v>
      </c>
      <c r="B14470" t="s">
        <v>1561</v>
      </c>
      <c r="C14470" t="s">
        <v>17297</v>
      </c>
      <c r="E14470" t="s">
        <v>31335</v>
      </c>
      <c r="F14470" t="s">
        <v>32664</v>
      </c>
      <c r="G14470" t="s">
        <v>32672</v>
      </c>
      <c r="H14470" t="s">
        <v>32683</v>
      </c>
      <c r="I14470" t="s">
        <v>10627</v>
      </c>
      <c r="J14470" t="s">
        <v>37934</v>
      </c>
      <c r="K14470" t="s">
        <v>42352</v>
      </c>
      <c r="M14470" t="s">
        <v>44232</v>
      </c>
      <c r="N14470" t="s">
        <v>46569</v>
      </c>
      <c r="O14470" t="s">
        <v>46570</v>
      </c>
      <c r="P14470">
        <v>0</v>
      </c>
      <c r="Q14470">
        <v>7</v>
      </c>
      <c r="R14470" t="s">
        <v>46588</v>
      </c>
      <c r="S14470" t="s">
        <v>47467</v>
      </c>
      <c r="T14470" t="s">
        <v>48436</v>
      </c>
      <c r="U14470" t="s">
        <v>60394</v>
      </c>
      <c r="W14470" t="s">
        <v>44232</v>
      </c>
      <c r="X14470" t="s">
        <v>46591</v>
      </c>
    </row>
    <row r="14471" spans="1:24">
      <c r="A14471">
        <f>HYPERLINK("https://www.philgeps.gov.ph/GEPSNONPILOT/Tender/SplashBidNoticeAbstractUI.aspx?menuIndex=3&amp;refID=7032352&amp;Result=3","7032352")</f>
        <v>0</v>
      </c>
      <c r="B14471" t="s">
        <v>3418</v>
      </c>
      <c r="C14471" t="s">
        <v>17298</v>
      </c>
      <c r="D14471" t="s">
        <v>18785</v>
      </c>
      <c r="E14471" t="s">
        <v>19380</v>
      </c>
      <c r="F14471" t="s">
        <v>32664</v>
      </c>
      <c r="G14471" t="s">
        <v>32672</v>
      </c>
      <c r="H14471" t="s">
        <v>12635</v>
      </c>
      <c r="I14471" t="s">
        <v>6223</v>
      </c>
      <c r="J14471" t="s">
        <v>41419</v>
      </c>
      <c r="K14471" t="s">
        <v>42284</v>
      </c>
      <c r="M14471" t="s">
        <v>46396</v>
      </c>
      <c r="N14471" t="s">
        <v>46569</v>
      </c>
      <c r="O14471" t="s">
        <v>46570</v>
      </c>
      <c r="P14471">
        <v>0</v>
      </c>
      <c r="Q14471">
        <v>0</v>
      </c>
      <c r="R14471" t="s">
        <v>46588</v>
      </c>
      <c r="S14471" t="s">
        <v>47467</v>
      </c>
      <c r="T14471" t="s">
        <v>48535</v>
      </c>
      <c r="U14471" t="s">
        <v>51035</v>
      </c>
      <c r="V14471" t="s">
        <v>51035</v>
      </c>
      <c r="W14471" t="s">
        <v>46396</v>
      </c>
      <c r="X14471" t="s">
        <v>46589</v>
      </c>
    </row>
    <row r="14472" spans="1:24">
      <c r="A14472">
        <f>HYPERLINK("https://www.philgeps.gov.ph/GEPSNONPILOT/Tender/SplashBidNoticeAbstractUI.aspx?menuIndex=3&amp;refID=7032348&amp;Result=3","7032348")</f>
        <v>0</v>
      </c>
      <c r="B14472" t="s">
        <v>3419</v>
      </c>
      <c r="C14472" t="s">
        <v>17299</v>
      </c>
      <c r="D14472" t="s">
        <v>18832</v>
      </c>
      <c r="E14472" t="s">
        <v>31336</v>
      </c>
      <c r="F14472" t="s">
        <v>32664</v>
      </c>
      <c r="G14472" t="s">
        <v>32672</v>
      </c>
      <c r="H14472" t="s">
        <v>12635</v>
      </c>
      <c r="I14472" t="s">
        <v>32684</v>
      </c>
      <c r="J14472" t="s">
        <v>33425</v>
      </c>
      <c r="K14472" t="s">
        <v>42281</v>
      </c>
      <c r="M14472" t="s">
        <v>46397</v>
      </c>
      <c r="N14472" t="s">
        <v>46569</v>
      </c>
      <c r="O14472" t="s">
        <v>46570</v>
      </c>
      <c r="P14472">
        <v>0</v>
      </c>
      <c r="Q14472">
        <v>6</v>
      </c>
      <c r="R14472" t="s">
        <v>46588</v>
      </c>
      <c r="S14472" t="s">
        <v>47467</v>
      </c>
      <c r="T14472" t="s">
        <v>48735</v>
      </c>
      <c r="U14472" t="s">
        <v>60395</v>
      </c>
      <c r="W14472" t="s">
        <v>46397</v>
      </c>
      <c r="X14472" t="s">
        <v>46589</v>
      </c>
    </row>
    <row r="14473" spans="1:24">
      <c r="A14473">
        <f>HYPERLINK("https://www.philgeps.gov.ph/GEPSNONPILOT/Tender/SplashBidNoticeAbstractUI.aspx?menuIndex=3&amp;refID=7032461&amp;Result=3","7032461")</f>
        <v>0</v>
      </c>
      <c r="B14473" t="s">
        <v>79</v>
      </c>
      <c r="C14473" t="s">
        <v>17300</v>
      </c>
      <c r="E14473" t="s">
        <v>31337</v>
      </c>
      <c r="F14473" t="s">
        <v>32664</v>
      </c>
      <c r="G14473" t="s">
        <v>32672</v>
      </c>
      <c r="H14473" t="s">
        <v>32683</v>
      </c>
      <c r="I14473" t="s">
        <v>10627</v>
      </c>
      <c r="J14473" t="s">
        <v>32943</v>
      </c>
      <c r="K14473" t="s">
        <v>42369</v>
      </c>
      <c r="M14473" t="s">
        <v>42642</v>
      </c>
      <c r="N14473" t="s">
        <v>46569</v>
      </c>
      <c r="O14473" t="s">
        <v>46570</v>
      </c>
      <c r="P14473">
        <v>0</v>
      </c>
      <c r="Q14473">
        <v>0</v>
      </c>
      <c r="R14473" t="s">
        <v>46588</v>
      </c>
      <c r="S14473" t="s">
        <v>47467</v>
      </c>
      <c r="T14473" t="s">
        <v>48221</v>
      </c>
      <c r="U14473" t="s">
        <v>60396</v>
      </c>
      <c r="W14473" t="s">
        <v>42642</v>
      </c>
      <c r="X14473" t="s">
        <v>46589</v>
      </c>
    </row>
    <row r="14474" spans="1:24">
      <c r="A14474">
        <f>HYPERLINK("https://www.philgeps.gov.ph/GEPSNONPILOT/Tender/SplashBidNoticeAbstractUI.aspx?menuIndex=3&amp;refID=7032347&amp;Result=3","7032347")</f>
        <v>0</v>
      </c>
      <c r="B14474" t="s">
        <v>3419</v>
      </c>
      <c r="C14474" t="s">
        <v>17301</v>
      </c>
      <c r="D14474" t="s">
        <v>18832</v>
      </c>
      <c r="E14474" t="s">
        <v>31338</v>
      </c>
      <c r="F14474" t="s">
        <v>32664</v>
      </c>
      <c r="G14474" t="s">
        <v>32672</v>
      </c>
      <c r="H14474" t="s">
        <v>12635</v>
      </c>
      <c r="I14474" t="s">
        <v>11464</v>
      </c>
      <c r="J14474" t="s">
        <v>33051</v>
      </c>
      <c r="K14474" t="s">
        <v>42298</v>
      </c>
      <c r="M14474" t="s">
        <v>46397</v>
      </c>
      <c r="N14474" t="s">
        <v>46569</v>
      </c>
      <c r="O14474" t="s">
        <v>46570</v>
      </c>
      <c r="P14474">
        <v>0</v>
      </c>
      <c r="Q14474">
        <v>2</v>
      </c>
      <c r="R14474" t="s">
        <v>46588</v>
      </c>
      <c r="S14474" t="s">
        <v>47467</v>
      </c>
      <c r="T14474" t="s">
        <v>48735</v>
      </c>
      <c r="U14474" t="s">
        <v>60397</v>
      </c>
      <c r="W14474" t="s">
        <v>46397</v>
      </c>
      <c r="X14474" t="s">
        <v>46589</v>
      </c>
    </row>
    <row r="14475" spans="1:24">
      <c r="A14475">
        <f>HYPERLINK("https://www.philgeps.gov.ph/GEPSNONPILOT/Tender/SplashBidNoticeAbstractUI.aspx?menuIndex=3&amp;refID=7032269&amp;Result=3","7032269")</f>
        <v>0</v>
      </c>
      <c r="B14475" t="s">
        <v>334</v>
      </c>
      <c r="C14475" t="s">
        <v>17302</v>
      </c>
      <c r="E14475" t="s">
        <v>21598</v>
      </c>
      <c r="F14475" t="s">
        <v>32664</v>
      </c>
      <c r="G14475" t="s">
        <v>32672</v>
      </c>
      <c r="H14475" t="s">
        <v>12635</v>
      </c>
      <c r="I14475" t="s">
        <v>32719</v>
      </c>
      <c r="J14475" t="s">
        <v>33009</v>
      </c>
      <c r="K14475" t="s">
        <v>42283</v>
      </c>
      <c r="M14475" t="s">
        <v>42902</v>
      </c>
      <c r="N14475" t="s">
        <v>46569</v>
      </c>
      <c r="O14475" t="s">
        <v>46570</v>
      </c>
      <c r="Q14475">
        <v>3</v>
      </c>
      <c r="R14475" t="s">
        <v>46588</v>
      </c>
      <c r="S14475" t="s">
        <v>47512</v>
      </c>
      <c r="T14475" t="s">
        <v>48244</v>
      </c>
      <c r="U14475" t="s">
        <v>60398</v>
      </c>
      <c r="W14475" t="s">
        <v>42902</v>
      </c>
      <c r="X14475" t="s">
        <v>46590</v>
      </c>
    </row>
    <row r="14476" spans="1:24">
      <c r="A14476">
        <f>HYPERLINK("https://www.philgeps.gov.ph/GEPSNONPILOT/Tender/SplashBidNoticeAbstractUI.aspx?menuIndex=3&amp;refID=7032264&amp;Result=3","7032264")</f>
        <v>0</v>
      </c>
      <c r="B14476" t="s">
        <v>334</v>
      </c>
      <c r="C14476" t="s">
        <v>17303</v>
      </c>
      <c r="E14476" t="s">
        <v>19950</v>
      </c>
      <c r="F14476" t="s">
        <v>32664</v>
      </c>
      <c r="G14476" t="s">
        <v>32672</v>
      </c>
      <c r="H14476" t="s">
        <v>12635</v>
      </c>
      <c r="I14476" t="s">
        <v>32684</v>
      </c>
      <c r="J14476" t="s">
        <v>41420</v>
      </c>
      <c r="K14476" t="s">
        <v>42283</v>
      </c>
      <c r="M14476" t="s">
        <v>42902</v>
      </c>
      <c r="N14476" t="s">
        <v>46569</v>
      </c>
      <c r="O14476" t="s">
        <v>46570</v>
      </c>
      <c r="Q14476">
        <v>25</v>
      </c>
      <c r="R14476" t="s">
        <v>46588</v>
      </c>
      <c r="S14476" t="s">
        <v>47513</v>
      </c>
      <c r="T14476" t="s">
        <v>48244</v>
      </c>
      <c r="U14476" t="s">
        <v>60399</v>
      </c>
      <c r="W14476" t="s">
        <v>42902</v>
      </c>
      <c r="X14476" t="s">
        <v>46590</v>
      </c>
    </row>
    <row r="14477" spans="1:24">
      <c r="A14477">
        <f>HYPERLINK("https://www.philgeps.gov.ph/GEPSNONPILOT/Tender/SplashBidNoticeAbstractUI.aspx?menuIndex=3&amp;refID=7031800&amp;Result=3","7031800")</f>
        <v>0</v>
      </c>
      <c r="B14477" t="s">
        <v>325</v>
      </c>
      <c r="C14477" t="s">
        <v>17304</v>
      </c>
      <c r="D14477" t="s">
        <v>18848</v>
      </c>
      <c r="E14477" t="s">
        <v>31339</v>
      </c>
      <c r="F14477" t="s">
        <v>32664</v>
      </c>
      <c r="G14477" t="s">
        <v>32672</v>
      </c>
      <c r="H14477" t="s">
        <v>32683</v>
      </c>
      <c r="I14477" t="s">
        <v>10627</v>
      </c>
      <c r="J14477" t="s">
        <v>41421</v>
      </c>
      <c r="K14477" t="s">
        <v>42311</v>
      </c>
      <c r="M14477" t="s">
        <v>42893</v>
      </c>
      <c r="N14477" t="s">
        <v>46569</v>
      </c>
      <c r="O14477" t="s">
        <v>46570</v>
      </c>
      <c r="Q14477">
        <v>0</v>
      </c>
      <c r="R14477" t="s">
        <v>46588</v>
      </c>
      <c r="S14477" t="s">
        <v>47514</v>
      </c>
      <c r="T14477" t="s">
        <v>48217</v>
      </c>
      <c r="U14477" t="s">
        <v>60400</v>
      </c>
      <c r="V14477" t="s">
        <v>61699</v>
      </c>
      <c r="W14477" t="s">
        <v>42893</v>
      </c>
      <c r="X14477" t="s">
        <v>46591</v>
      </c>
    </row>
    <row r="14478" spans="1:24">
      <c r="A14478">
        <f>HYPERLINK("https://www.philgeps.gov.ph/GEPSNONPILOT/Tender/SplashBidNoticeAbstractUI.aspx?menuIndex=3&amp;refID=7032396&amp;Result=3","7032396")</f>
        <v>0</v>
      </c>
      <c r="B14478" t="s">
        <v>695</v>
      </c>
      <c r="C14478" t="s">
        <v>17305</v>
      </c>
      <c r="D14478" t="s">
        <v>18816</v>
      </c>
      <c r="E14478" t="s">
        <v>31340</v>
      </c>
      <c r="F14478" t="s">
        <v>32664</v>
      </c>
      <c r="G14478" t="s">
        <v>32672</v>
      </c>
      <c r="H14478" t="s">
        <v>12635</v>
      </c>
      <c r="I14478" t="s">
        <v>10627</v>
      </c>
      <c r="J14478" t="s">
        <v>41422</v>
      </c>
      <c r="K14478" t="s">
        <v>42327</v>
      </c>
      <c r="M14478" t="s">
        <v>43282</v>
      </c>
      <c r="N14478" t="s">
        <v>46569</v>
      </c>
      <c r="O14478" t="s">
        <v>46570</v>
      </c>
      <c r="P14478">
        <v>0</v>
      </c>
      <c r="Q14478">
        <v>6</v>
      </c>
      <c r="R14478" t="s">
        <v>46588</v>
      </c>
      <c r="S14478" t="s">
        <v>47467</v>
      </c>
      <c r="T14478" t="s">
        <v>48282</v>
      </c>
      <c r="U14478" t="s">
        <v>60401</v>
      </c>
      <c r="W14478" t="s">
        <v>43282</v>
      </c>
      <c r="X14478" t="s">
        <v>46589</v>
      </c>
    </row>
    <row r="14479" spans="1:24">
      <c r="A14479">
        <f>HYPERLINK("https://www.philgeps.gov.ph/GEPSNONPILOT/Tender/SplashBidNoticeAbstractUI.aspx?menuIndex=3&amp;refID=7032614&amp;Result=3","7032614")</f>
        <v>0</v>
      </c>
      <c r="B14479" t="s">
        <v>3420</v>
      </c>
      <c r="C14479" t="s">
        <v>17306</v>
      </c>
      <c r="D14479" t="s">
        <v>18791</v>
      </c>
      <c r="E14479" t="s">
        <v>22592</v>
      </c>
      <c r="F14479" t="s">
        <v>32664</v>
      </c>
      <c r="G14479" t="s">
        <v>32672</v>
      </c>
      <c r="H14479" t="s">
        <v>12635</v>
      </c>
      <c r="I14479" t="s">
        <v>32696</v>
      </c>
      <c r="J14479" t="s">
        <v>34481</v>
      </c>
      <c r="K14479" t="s">
        <v>42311</v>
      </c>
      <c r="M14479" t="s">
        <v>46398</v>
      </c>
      <c r="N14479" t="s">
        <v>46569</v>
      </c>
      <c r="O14479" t="s">
        <v>46570</v>
      </c>
      <c r="P14479">
        <v>0</v>
      </c>
      <c r="Q14479">
        <v>6</v>
      </c>
      <c r="R14479" t="s">
        <v>46588</v>
      </c>
      <c r="S14479" t="s">
        <v>47467</v>
      </c>
      <c r="T14479" t="s">
        <v>48256</v>
      </c>
      <c r="U14479" t="s">
        <v>60402</v>
      </c>
      <c r="V14479" t="s">
        <v>63240</v>
      </c>
      <c r="W14479" t="s">
        <v>46398</v>
      </c>
      <c r="X14479" t="s">
        <v>46589</v>
      </c>
    </row>
    <row r="14480" spans="1:24">
      <c r="A14480">
        <f>HYPERLINK("https://www.philgeps.gov.ph/GEPSNONPILOT/Tender/SplashBidNoticeAbstractUI.aspx?menuIndex=3&amp;refID=7032270&amp;Result=3","7032270")</f>
        <v>0</v>
      </c>
      <c r="B14480" t="s">
        <v>1478</v>
      </c>
      <c r="C14480" t="s">
        <v>17307</v>
      </c>
      <c r="D14480" t="s">
        <v>18853</v>
      </c>
      <c r="E14480" t="s">
        <v>31341</v>
      </c>
      <c r="F14480" t="s">
        <v>32664</v>
      </c>
      <c r="G14480" t="s">
        <v>32672</v>
      </c>
      <c r="H14480" t="s">
        <v>12635</v>
      </c>
      <c r="I14480" t="s">
        <v>9486</v>
      </c>
      <c r="J14480" t="s">
        <v>41423</v>
      </c>
      <c r="K14480" t="s">
        <v>42284</v>
      </c>
      <c r="M14480" t="s">
        <v>46296</v>
      </c>
      <c r="N14480" t="s">
        <v>46569</v>
      </c>
      <c r="O14480" t="s">
        <v>46570</v>
      </c>
      <c r="P14480">
        <v>0</v>
      </c>
      <c r="Q14480">
        <v>4</v>
      </c>
      <c r="R14480" t="s">
        <v>46588</v>
      </c>
      <c r="S14480" t="s">
        <v>47467</v>
      </c>
      <c r="T14480" t="s">
        <v>48306</v>
      </c>
      <c r="U14480" t="s">
        <v>60403</v>
      </c>
      <c r="W14480" t="s">
        <v>46296</v>
      </c>
      <c r="X14480" t="s">
        <v>46590</v>
      </c>
    </row>
    <row r="14481" spans="1:24">
      <c r="A14481">
        <f>HYPERLINK("https://www.philgeps.gov.ph/GEPSNONPILOT/Tender/SplashBidNoticeAbstractUI.aspx?menuIndex=3&amp;refID=7032376&amp;Result=3","7032376")</f>
        <v>0</v>
      </c>
      <c r="B14481" t="s">
        <v>3301</v>
      </c>
      <c r="C14481" t="s">
        <v>17308</v>
      </c>
      <c r="D14481" t="s">
        <v>18850</v>
      </c>
      <c r="E14481" t="s">
        <v>31342</v>
      </c>
      <c r="F14481" t="s">
        <v>32664</v>
      </c>
      <c r="G14481" t="s">
        <v>32677</v>
      </c>
      <c r="H14481" t="s">
        <v>12635</v>
      </c>
      <c r="I14481" t="s">
        <v>9486</v>
      </c>
      <c r="J14481" t="s">
        <v>41424</v>
      </c>
      <c r="K14481" t="s">
        <v>42311</v>
      </c>
      <c r="M14481" t="s">
        <v>46246</v>
      </c>
      <c r="N14481" t="s">
        <v>46569</v>
      </c>
      <c r="O14481" t="s">
        <v>46570</v>
      </c>
      <c r="Q14481">
        <v>7</v>
      </c>
      <c r="R14481" t="s">
        <v>46588</v>
      </c>
      <c r="S14481" t="s">
        <v>46851</v>
      </c>
      <c r="T14481" t="s">
        <v>48230</v>
      </c>
      <c r="U14481" t="s">
        <v>60404</v>
      </c>
      <c r="W14481" t="s">
        <v>46246</v>
      </c>
      <c r="X14481" t="s">
        <v>46589</v>
      </c>
    </row>
    <row r="14482" spans="1:24">
      <c r="A14482">
        <f>HYPERLINK("https://www.philgeps.gov.ph/GEPSNONPILOT/Tender/SplashBidNoticeAbstractUI.aspx?menuIndex=3&amp;refID=7031682&amp;Result=3","7031682")</f>
        <v>0</v>
      </c>
      <c r="B14482" t="s">
        <v>3421</v>
      </c>
      <c r="C14482" t="s">
        <v>17309</v>
      </c>
      <c r="E14482" t="s">
        <v>31343</v>
      </c>
      <c r="F14482" t="s">
        <v>32664</v>
      </c>
      <c r="G14482" t="s">
        <v>32672</v>
      </c>
      <c r="H14482" t="s">
        <v>12635</v>
      </c>
      <c r="I14482" t="s">
        <v>32696</v>
      </c>
      <c r="J14482" t="s">
        <v>33858</v>
      </c>
      <c r="K14482" t="s">
        <v>42369</v>
      </c>
      <c r="M14482" t="s">
        <v>46399</v>
      </c>
      <c r="N14482" t="s">
        <v>46569</v>
      </c>
      <c r="O14482" t="s">
        <v>46570</v>
      </c>
      <c r="P14482">
        <v>0</v>
      </c>
      <c r="Q14482">
        <v>6</v>
      </c>
      <c r="R14482" t="s">
        <v>46588</v>
      </c>
      <c r="S14482" t="s">
        <v>47467</v>
      </c>
      <c r="T14482" t="s">
        <v>48314</v>
      </c>
      <c r="U14482" t="s">
        <v>60405</v>
      </c>
      <c r="W14482" t="s">
        <v>46399</v>
      </c>
      <c r="X14482" t="s">
        <v>46591</v>
      </c>
    </row>
    <row r="14483" spans="1:24">
      <c r="A14483">
        <f>HYPERLINK("https://www.philgeps.gov.ph/GEPSNONPILOT/Tender/SplashBidNoticeAbstractUI.aspx?menuIndex=3&amp;refID=7032356&amp;Result=3","7032356")</f>
        <v>0</v>
      </c>
      <c r="B14483" t="s">
        <v>1055</v>
      </c>
      <c r="C14483" t="s">
        <v>17310</v>
      </c>
      <c r="D14483" t="s">
        <v>18804</v>
      </c>
      <c r="E14483" t="s">
        <v>31344</v>
      </c>
      <c r="F14483" t="s">
        <v>32664</v>
      </c>
      <c r="G14483" t="s">
        <v>32672</v>
      </c>
      <c r="H14483" t="s">
        <v>32682</v>
      </c>
      <c r="I14483" t="s">
        <v>9946</v>
      </c>
      <c r="J14483" t="s">
        <v>41425</v>
      </c>
      <c r="K14483" t="s">
        <v>42291</v>
      </c>
      <c r="M14483" t="s">
        <v>43998</v>
      </c>
      <c r="N14483" t="s">
        <v>46569</v>
      </c>
      <c r="O14483" t="s">
        <v>46570</v>
      </c>
      <c r="Q14483">
        <v>2</v>
      </c>
      <c r="R14483" t="s">
        <v>46588</v>
      </c>
      <c r="S14483" t="s">
        <v>47292</v>
      </c>
      <c r="T14483" t="s">
        <v>48219</v>
      </c>
      <c r="U14483" t="s">
        <v>60406</v>
      </c>
      <c r="V14483" t="s">
        <v>63241</v>
      </c>
      <c r="W14483" t="s">
        <v>43998</v>
      </c>
      <c r="X14483" t="s">
        <v>46589</v>
      </c>
    </row>
    <row r="14484" spans="1:24">
      <c r="A14484">
        <f>HYPERLINK("https://www.philgeps.gov.ph/GEPSNONPILOT/Tender/SplashBidNoticeAbstractUI.aspx?menuIndex=3&amp;refID=7032578&amp;Result=3","7032578")</f>
        <v>0</v>
      </c>
      <c r="B14484" t="s">
        <v>732</v>
      </c>
      <c r="C14484" t="s">
        <v>17311</v>
      </c>
      <c r="D14484" t="s">
        <v>18841</v>
      </c>
      <c r="E14484" t="s">
        <v>31345</v>
      </c>
      <c r="F14484" t="s">
        <v>32664</v>
      </c>
      <c r="G14484" t="s">
        <v>32672</v>
      </c>
      <c r="H14484" t="s">
        <v>12635</v>
      </c>
      <c r="I14484" t="s">
        <v>10627</v>
      </c>
      <c r="J14484" t="s">
        <v>41426</v>
      </c>
      <c r="K14484" t="s">
        <v>42365</v>
      </c>
      <c r="M14484" t="s">
        <v>43321</v>
      </c>
      <c r="N14484" t="s">
        <v>46569</v>
      </c>
      <c r="O14484" t="s">
        <v>46570</v>
      </c>
      <c r="P14484">
        <v>0</v>
      </c>
      <c r="Q14484">
        <v>2</v>
      </c>
      <c r="R14484" t="s">
        <v>46588</v>
      </c>
      <c r="S14484" t="s">
        <v>47467</v>
      </c>
      <c r="T14484" t="s">
        <v>48525</v>
      </c>
      <c r="U14484" t="s">
        <v>60407</v>
      </c>
      <c r="W14484" t="s">
        <v>43321</v>
      </c>
      <c r="X14484" t="s">
        <v>46589</v>
      </c>
    </row>
    <row r="14485" spans="1:24">
      <c r="A14485">
        <f>HYPERLINK("https://www.philgeps.gov.ph/GEPSNONPILOT/Tender/SplashBidNoticeAbstractUI.aspx?menuIndex=3&amp;refID=7032573&amp;Result=3","7032573")</f>
        <v>0</v>
      </c>
      <c r="B14485" t="s">
        <v>2414</v>
      </c>
      <c r="C14485" t="s">
        <v>17312</v>
      </c>
      <c r="D14485" t="s">
        <v>18797</v>
      </c>
      <c r="E14485" t="s">
        <v>31346</v>
      </c>
      <c r="F14485" t="s">
        <v>32664</v>
      </c>
      <c r="G14485" t="s">
        <v>32672</v>
      </c>
      <c r="H14485" t="s">
        <v>32683</v>
      </c>
      <c r="I14485" t="s">
        <v>10627</v>
      </c>
      <c r="J14485" t="s">
        <v>33761</v>
      </c>
      <c r="K14485" t="s">
        <v>42381</v>
      </c>
      <c r="M14485" t="s">
        <v>45205</v>
      </c>
      <c r="N14485" t="s">
        <v>46569</v>
      </c>
      <c r="O14485" t="s">
        <v>46570</v>
      </c>
      <c r="P14485">
        <v>0</v>
      </c>
      <c r="Q14485">
        <v>114</v>
      </c>
      <c r="R14485" t="s">
        <v>46588</v>
      </c>
      <c r="S14485" t="s">
        <v>47467</v>
      </c>
      <c r="T14485" t="s">
        <v>48244</v>
      </c>
      <c r="U14485" t="s">
        <v>60408</v>
      </c>
      <c r="V14485" t="s">
        <v>63242</v>
      </c>
      <c r="W14485" t="s">
        <v>45205</v>
      </c>
      <c r="X14485" t="s">
        <v>46589</v>
      </c>
    </row>
    <row r="14486" spans="1:24">
      <c r="A14486">
        <f>HYPERLINK("https://www.philgeps.gov.ph/GEPSNONPILOT/Tender/SplashBidNoticeAbstractUI.aspx?menuIndex=3&amp;refID=7032441&amp;Result=3","7032441")</f>
        <v>0</v>
      </c>
      <c r="B14486" t="s">
        <v>79</v>
      </c>
      <c r="C14486" t="s">
        <v>17313</v>
      </c>
      <c r="D14486" t="s">
        <v>18817</v>
      </c>
      <c r="E14486" t="s">
        <v>31347</v>
      </c>
      <c r="F14486" t="s">
        <v>32664</v>
      </c>
      <c r="G14486" t="s">
        <v>32672</v>
      </c>
      <c r="H14486" t="s">
        <v>32683</v>
      </c>
      <c r="I14486" t="s">
        <v>10627</v>
      </c>
      <c r="J14486" t="s">
        <v>32943</v>
      </c>
      <c r="K14486" t="s">
        <v>42369</v>
      </c>
      <c r="M14486" t="s">
        <v>42642</v>
      </c>
      <c r="N14486" t="s">
        <v>46569</v>
      </c>
      <c r="O14486" t="s">
        <v>46570</v>
      </c>
      <c r="P14486">
        <v>0</v>
      </c>
      <c r="Q14486">
        <v>0</v>
      </c>
      <c r="R14486" t="s">
        <v>46588</v>
      </c>
      <c r="S14486" t="s">
        <v>47467</v>
      </c>
      <c r="T14486" t="s">
        <v>48221</v>
      </c>
      <c r="U14486" t="s">
        <v>60409</v>
      </c>
      <c r="W14486" t="s">
        <v>42642</v>
      </c>
      <c r="X14486" t="s">
        <v>46589</v>
      </c>
    </row>
    <row r="14487" spans="1:24">
      <c r="A14487">
        <f>HYPERLINK("https://www.philgeps.gov.ph/GEPSNONPILOT/Tender/SplashBidNoticeAbstractUI.aspx?menuIndex=3&amp;refID=7032579&amp;Result=3","7032579")</f>
        <v>0</v>
      </c>
      <c r="B14487" t="s">
        <v>1660</v>
      </c>
      <c r="C14487" t="s">
        <v>17314</v>
      </c>
      <c r="D14487" t="s">
        <v>18783</v>
      </c>
      <c r="E14487" t="s">
        <v>31348</v>
      </c>
      <c r="F14487" t="s">
        <v>32664</v>
      </c>
      <c r="G14487" t="s">
        <v>32672</v>
      </c>
      <c r="H14487" t="s">
        <v>12635</v>
      </c>
      <c r="I14487" t="s">
        <v>11464</v>
      </c>
      <c r="J14487" t="s">
        <v>41427</v>
      </c>
      <c r="K14487" t="s">
        <v>42283</v>
      </c>
      <c r="M14487" t="s">
        <v>44345</v>
      </c>
      <c r="N14487" t="s">
        <v>46569</v>
      </c>
      <c r="O14487" t="s">
        <v>46570</v>
      </c>
      <c r="Q14487">
        <v>8</v>
      </c>
      <c r="R14487" t="s">
        <v>46588</v>
      </c>
      <c r="S14487" t="s">
        <v>47515</v>
      </c>
      <c r="T14487" t="s">
        <v>48296</v>
      </c>
      <c r="U14487" t="s">
        <v>60410</v>
      </c>
      <c r="W14487" t="s">
        <v>44347</v>
      </c>
      <c r="X14487" t="s">
        <v>46589</v>
      </c>
    </row>
    <row r="14488" spans="1:24">
      <c r="A14488">
        <f>HYPERLINK("https://www.philgeps.gov.ph/GEPSNONPILOT/Tender/SplashBidNoticeAbstractUI.aspx?menuIndex=3&amp;refID=7032550&amp;Result=3","7032550")</f>
        <v>0</v>
      </c>
      <c r="B14488" t="s">
        <v>949</v>
      </c>
      <c r="C14488" t="s">
        <v>17315</v>
      </c>
      <c r="D14488" t="s">
        <v>18784</v>
      </c>
      <c r="E14488" t="s">
        <v>31349</v>
      </c>
      <c r="F14488" t="s">
        <v>32664</v>
      </c>
      <c r="G14488" t="s">
        <v>32672</v>
      </c>
      <c r="H14488" t="s">
        <v>12635</v>
      </c>
      <c r="I14488" t="s">
        <v>10370</v>
      </c>
      <c r="J14488" t="s">
        <v>41428</v>
      </c>
      <c r="K14488" t="s">
        <v>42308</v>
      </c>
      <c r="M14488" t="s">
        <v>46400</v>
      </c>
      <c r="N14488" t="s">
        <v>46569</v>
      </c>
      <c r="O14488" t="s">
        <v>46570</v>
      </c>
      <c r="Q14488">
        <v>13</v>
      </c>
      <c r="R14488" t="s">
        <v>46588</v>
      </c>
      <c r="S14488" t="s">
        <v>47516</v>
      </c>
      <c r="T14488" t="s">
        <v>48411</v>
      </c>
      <c r="U14488" t="s">
        <v>60411</v>
      </c>
      <c r="W14488" t="s">
        <v>43555</v>
      </c>
      <c r="X14488" t="s">
        <v>46589</v>
      </c>
    </row>
    <row r="14489" spans="1:24">
      <c r="A14489">
        <f>HYPERLINK("https://www.philgeps.gov.ph/GEPSNONPILOT/Tender/SplashBidNoticeAbstractUI.aspx?menuIndex=3&amp;refID=7032570&amp;Result=3","7032570")</f>
        <v>0</v>
      </c>
      <c r="B14489" t="s">
        <v>3422</v>
      </c>
      <c r="C14489" t="s">
        <v>17316</v>
      </c>
      <c r="D14489" t="s">
        <v>18817</v>
      </c>
      <c r="E14489" t="s">
        <v>31350</v>
      </c>
      <c r="F14489" t="s">
        <v>32664</v>
      </c>
      <c r="G14489" t="s">
        <v>32672</v>
      </c>
      <c r="H14489" t="s">
        <v>12635</v>
      </c>
      <c r="I14489" t="s">
        <v>7324</v>
      </c>
      <c r="J14489" t="s">
        <v>32853</v>
      </c>
      <c r="K14489" t="s">
        <v>42297</v>
      </c>
      <c r="M14489" t="s">
        <v>46401</v>
      </c>
      <c r="N14489" t="s">
        <v>46569</v>
      </c>
      <c r="O14489" t="s">
        <v>46570</v>
      </c>
      <c r="P14489">
        <v>0</v>
      </c>
      <c r="Q14489">
        <v>1</v>
      </c>
      <c r="R14489" t="s">
        <v>46588</v>
      </c>
      <c r="S14489" t="s">
        <v>47467</v>
      </c>
      <c r="T14489" t="s">
        <v>48293</v>
      </c>
      <c r="U14489" t="s">
        <v>60412</v>
      </c>
      <c r="W14489" t="s">
        <v>46401</v>
      </c>
      <c r="X14489" t="s">
        <v>46589</v>
      </c>
    </row>
    <row r="14490" spans="1:24">
      <c r="A14490">
        <f>HYPERLINK("https://www.philgeps.gov.ph/GEPSNONPILOT/Tender/SplashBidNoticeAbstractUI.aspx?menuIndex=3&amp;refID=7032563&amp;Result=3","7032563")</f>
        <v>0</v>
      </c>
      <c r="B14490" t="s">
        <v>2414</v>
      </c>
      <c r="C14490" t="s">
        <v>17317</v>
      </c>
      <c r="D14490" t="s">
        <v>18797</v>
      </c>
      <c r="E14490" t="s">
        <v>31351</v>
      </c>
      <c r="F14490" t="s">
        <v>32664</v>
      </c>
      <c r="G14490" t="s">
        <v>32672</v>
      </c>
      <c r="H14490" t="s">
        <v>12635</v>
      </c>
      <c r="I14490" t="s">
        <v>11464</v>
      </c>
      <c r="J14490" t="s">
        <v>36084</v>
      </c>
      <c r="K14490" t="s">
        <v>42281</v>
      </c>
      <c r="M14490" t="s">
        <v>45205</v>
      </c>
      <c r="N14490" t="s">
        <v>46569</v>
      </c>
      <c r="O14490" t="s">
        <v>46570</v>
      </c>
      <c r="P14490">
        <v>0</v>
      </c>
      <c r="Q14490">
        <v>4</v>
      </c>
      <c r="R14490" t="s">
        <v>46588</v>
      </c>
      <c r="S14490" t="s">
        <v>47467</v>
      </c>
      <c r="T14490" t="s">
        <v>48246</v>
      </c>
      <c r="U14490" t="s">
        <v>60413</v>
      </c>
      <c r="V14490" t="s">
        <v>63243</v>
      </c>
      <c r="W14490" t="s">
        <v>45205</v>
      </c>
      <c r="X14490" t="s">
        <v>46589</v>
      </c>
    </row>
    <row r="14491" spans="1:24">
      <c r="A14491">
        <f>HYPERLINK("https://www.philgeps.gov.ph/GEPSNONPILOT/Tender/SplashBidNoticeAbstractUI.aspx?menuIndex=3&amp;refID=7031953&amp;Result=3","7031953")</f>
        <v>0</v>
      </c>
      <c r="B14491" t="s">
        <v>1561</v>
      </c>
      <c r="C14491" t="s">
        <v>17318</v>
      </c>
      <c r="E14491" t="s">
        <v>31352</v>
      </c>
      <c r="F14491" t="s">
        <v>32664</v>
      </c>
      <c r="G14491" t="s">
        <v>32672</v>
      </c>
      <c r="H14491" t="s">
        <v>32683</v>
      </c>
      <c r="I14491" t="s">
        <v>10627</v>
      </c>
      <c r="J14491" t="s">
        <v>35597</v>
      </c>
      <c r="K14491" t="s">
        <v>42298</v>
      </c>
      <c r="M14491" t="s">
        <v>44232</v>
      </c>
      <c r="N14491" t="s">
        <v>46569</v>
      </c>
      <c r="O14491" t="s">
        <v>46570</v>
      </c>
      <c r="P14491">
        <v>0</v>
      </c>
      <c r="Q14491">
        <v>5</v>
      </c>
      <c r="R14491" t="s">
        <v>46588</v>
      </c>
      <c r="S14491" t="s">
        <v>47467</v>
      </c>
      <c r="T14491" t="s">
        <v>48436</v>
      </c>
      <c r="U14491" t="s">
        <v>60414</v>
      </c>
      <c r="W14491" t="s">
        <v>44232</v>
      </c>
      <c r="X14491" t="s">
        <v>46591</v>
      </c>
    </row>
    <row r="14492" spans="1:24">
      <c r="A14492">
        <f>HYPERLINK("https://www.philgeps.gov.ph/GEPSNONPILOT/Tender/SplashBidNoticeAbstractUI.aspx?menuIndex=3&amp;refID=7032531&amp;Result=3","7032531")</f>
        <v>0</v>
      </c>
      <c r="B14492" t="s">
        <v>2275</v>
      </c>
      <c r="C14492" t="s">
        <v>17319</v>
      </c>
      <c r="D14492" t="s">
        <v>18854</v>
      </c>
      <c r="E14492" t="s">
        <v>31353</v>
      </c>
      <c r="F14492" t="s">
        <v>32664</v>
      </c>
      <c r="G14492" t="s">
        <v>32672</v>
      </c>
      <c r="H14492" t="s">
        <v>12635</v>
      </c>
      <c r="I14492" t="s">
        <v>32718</v>
      </c>
      <c r="J14492" t="s">
        <v>41429</v>
      </c>
      <c r="K14492" t="s">
        <v>42334</v>
      </c>
      <c r="M14492" t="s">
        <v>46402</v>
      </c>
      <c r="N14492" t="s">
        <v>46569</v>
      </c>
      <c r="O14492" t="s">
        <v>46570</v>
      </c>
      <c r="Q14492">
        <v>18</v>
      </c>
      <c r="R14492" t="s">
        <v>46588</v>
      </c>
      <c r="S14492" t="s">
        <v>47517</v>
      </c>
      <c r="T14492" t="s">
        <v>48228</v>
      </c>
      <c r="U14492" t="s">
        <v>60415</v>
      </c>
      <c r="W14492" t="s">
        <v>46402</v>
      </c>
      <c r="X14492" t="s">
        <v>46589</v>
      </c>
    </row>
    <row r="14493" spans="1:24">
      <c r="A14493">
        <f>HYPERLINK("https://www.philgeps.gov.ph/GEPSNONPILOT/Tender/SplashBidNoticeAbstractUI.aspx?menuIndex=3&amp;refID=7032547&amp;Result=3","7032547")</f>
        <v>0</v>
      </c>
      <c r="B14493" t="s">
        <v>2414</v>
      </c>
      <c r="C14493" t="s">
        <v>17320</v>
      </c>
      <c r="D14493" t="s">
        <v>18797</v>
      </c>
      <c r="E14493" t="s">
        <v>31354</v>
      </c>
      <c r="F14493" t="s">
        <v>32664</v>
      </c>
      <c r="G14493" t="s">
        <v>32672</v>
      </c>
      <c r="H14493" t="s">
        <v>12635</v>
      </c>
      <c r="I14493" t="s">
        <v>11464</v>
      </c>
      <c r="J14493" t="s">
        <v>41399</v>
      </c>
      <c r="K14493" t="s">
        <v>42281</v>
      </c>
      <c r="M14493" t="s">
        <v>45205</v>
      </c>
      <c r="N14493" t="s">
        <v>46569</v>
      </c>
      <c r="O14493" t="s">
        <v>46570</v>
      </c>
      <c r="P14493">
        <v>0</v>
      </c>
      <c r="Q14493">
        <v>8</v>
      </c>
      <c r="R14493" t="s">
        <v>46588</v>
      </c>
      <c r="S14493" t="s">
        <v>47467</v>
      </c>
      <c r="T14493" t="s">
        <v>48258</v>
      </c>
      <c r="U14493" t="s">
        <v>60416</v>
      </c>
      <c r="V14493" t="s">
        <v>63244</v>
      </c>
      <c r="W14493" t="s">
        <v>45205</v>
      </c>
      <c r="X14493" t="s">
        <v>46589</v>
      </c>
    </row>
    <row r="14494" spans="1:24">
      <c r="A14494">
        <f>HYPERLINK("https://www.philgeps.gov.ph/GEPSNONPILOT/Tender/SplashBidNoticeAbstractUI.aspx?menuIndex=3&amp;refID=7032524&amp;Result=3","7032524")</f>
        <v>0</v>
      </c>
      <c r="B14494" t="s">
        <v>79</v>
      </c>
      <c r="C14494" t="s">
        <v>17321</v>
      </c>
      <c r="E14494" t="s">
        <v>31355</v>
      </c>
      <c r="F14494" t="s">
        <v>32664</v>
      </c>
      <c r="G14494" t="s">
        <v>32672</v>
      </c>
      <c r="H14494" t="s">
        <v>32683</v>
      </c>
      <c r="I14494" t="s">
        <v>10627</v>
      </c>
      <c r="J14494" t="s">
        <v>32981</v>
      </c>
      <c r="K14494" t="s">
        <v>42311</v>
      </c>
      <c r="M14494" t="s">
        <v>42642</v>
      </c>
      <c r="N14494" t="s">
        <v>46569</v>
      </c>
      <c r="O14494" t="s">
        <v>46570</v>
      </c>
      <c r="P14494">
        <v>0</v>
      </c>
      <c r="Q14494">
        <v>0</v>
      </c>
      <c r="R14494" t="s">
        <v>46588</v>
      </c>
      <c r="S14494" t="s">
        <v>47467</v>
      </c>
      <c r="T14494" t="s">
        <v>48248</v>
      </c>
      <c r="U14494" t="s">
        <v>60417</v>
      </c>
      <c r="W14494" t="s">
        <v>42642</v>
      </c>
      <c r="X14494" t="s">
        <v>46589</v>
      </c>
    </row>
    <row r="14495" spans="1:24">
      <c r="A14495">
        <f>HYPERLINK("https://www.philgeps.gov.ph/GEPSNONPILOT/Tender/SplashBidNoticeAbstractUI.aspx?menuIndex=3&amp;refID=7032576&amp;Result=3","7032576")</f>
        <v>0</v>
      </c>
      <c r="B14495" t="s">
        <v>3422</v>
      </c>
      <c r="C14495" t="s">
        <v>17322</v>
      </c>
      <c r="D14495" t="s">
        <v>18817</v>
      </c>
      <c r="E14495" t="s">
        <v>31356</v>
      </c>
      <c r="F14495" t="s">
        <v>32664</v>
      </c>
      <c r="G14495" t="s">
        <v>32672</v>
      </c>
      <c r="H14495" t="s">
        <v>12635</v>
      </c>
      <c r="I14495" t="s">
        <v>32726</v>
      </c>
      <c r="J14495" t="s">
        <v>32859</v>
      </c>
      <c r="K14495" t="s">
        <v>42281</v>
      </c>
      <c r="M14495" t="s">
        <v>46401</v>
      </c>
      <c r="N14495" t="s">
        <v>46569</v>
      </c>
      <c r="O14495" t="s">
        <v>46570</v>
      </c>
      <c r="P14495">
        <v>0</v>
      </c>
      <c r="Q14495">
        <v>3</v>
      </c>
      <c r="R14495" t="s">
        <v>46588</v>
      </c>
      <c r="S14495" t="s">
        <v>47467</v>
      </c>
      <c r="T14495" t="s">
        <v>48293</v>
      </c>
      <c r="U14495" t="s">
        <v>60418</v>
      </c>
      <c r="W14495" t="s">
        <v>46401</v>
      </c>
      <c r="X14495" t="s">
        <v>46589</v>
      </c>
    </row>
    <row r="14496" spans="1:24">
      <c r="A14496">
        <f>HYPERLINK("https://www.philgeps.gov.ph/GEPSNONPILOT/Tender/SplashBidNoticeAbstractUI.aspx?menuIndex=3&amp;refID=7032603&amp;Result=3","7032603")</f>
        <v>0</v>
      </c>
      <c r="B14496" t="s">
        <v>3172</v>
      </c>
      <c r="C14496" t="s">
        <v>17323</v>
      </c>
      <c r="D14496" t="s">
        <v>18816</v>
      </c>
      <c r="E14496" t="s">
        <v>31357</v>
      </c>
      <c r="F14496" t="s">
        <v>32664</v>
      </c>
      <c r="G14496" t="s">
        <v>32672</v>
      </c>
      <c r="H14496" t="s">
        <v>32683</v>
      </c>
      <c r="I14496" t="s">
        <v>10627</v>
      </c>
      <c r="J14496" t="s">
        <v>41430</v>
      </c>
      <c r="K14496" t="s">
        <v>42290</v>
      </c>
      <c r="M14496" t="s">
        <v>46080</v>
      </c>
      <c r="N14496" t="s">
        <v>46569</v>
      </c>
      <c r="O14496" t="s">
        <v>46570</v>
      </c>
      <c r="P14496">
        <v>0</v>
      </c>
      <c r="Q14496">
        <v>0</v>
      </c>
      <c r="R14496" t="s">
        <v>46588</v>
      </c>
      <c r="S14496" t="s">
        <v>47467</v>
      </c>
      <c r="T14496" t="s">
        <v>48287</v>
      </c>
      <c r="U14496" t="s">
        <v>58628</v>
      </c>
      <c r="W14496" t="s">
        <v>46080</v>
      </c>
      <c r="X14496" t="s">
        <v>46589</v>
      </c>
    </row>
    <row r="14497" spans="1:24">
      <c r="A14497">
        <f>HYPERLINK("https://www.philgeps.gov.ph/GEPSNONPILOT/Tender/SplashBidNoticeAbstractUI.aspx?menuIndex=3&amp;refID=7032532&amp;Result=3","7032532")</f>
        <v>0</v>
      </c>
      <c r="B14497" t="s">
        <v>841</v>
      </c>
      <c r="C14497" t="s">
        <v>17324</v>
      </c>
      <c r="D14497" t="s">
        <v>18784</v>
      </c>
      <c r="E14497" t="s">
        <v>31358</v>
      </c>
      <c r="F14497" t="s">
        <v>32664</v>
      </c>
      <c r="G14497" t="s">
        <v>32672</v>
      </c>
      <c r="H14497" t="s">
        <v>32682</v>
      </c>
      <c r="I14497" t="s">
        <v>32745</v>
      </c>
      <c r="J14497" t="s">
        <v>41431</v>
      </c>
      <c r="K14497" t="s">
        <v>42348</v>
      </c>
      <c r="M14497" t="s">
        <v>46403</v>
      </c>
      <c r="N14497" t="s">
        <v>46569</v>
      </c>
      <c r="O14497" t="s">
        <v>46570</v>
      </c>
      <c r="Q14497">
        <v>9</v>
      </c>
      <c r="R14497" t="s">
        <v>46588</v>
      </c>
      <c r="S14497" t="s">
        <v>47518</v>
      </c>
      <c r="T14497" t="s">
        <v>48314</v>
      </c>
      <c r="U14497" t="s">
        <v>60419</v>
      </c>
      <c r="W14497" t="s">
        <v>46403</v>
      </c>
      <c r="X14497" t="s">
        <v>46589</v>
      </c>
    </row>
    <row r="14498" spans="1:24">
      <c r="A14498">
        <f>HYPERLINK("https://www.philgeps.gov.ph/GEPSNONPILOT/Tender/SplashBidNoticeAbstractUI.aspx?menuIndex=3&amp;refID=7032519&amp;Result=3","7032519")</f>
        <v>0</v>
      </c>
      <c r="B14498" t="s">
        <v>79</v>
      </c>
      <c r="C14498" t="s">
        <v>17325</v>
      </c>
      <c r="E14498" t="s">
        <v>31359</v>
      </c>
      <c r="F14498" t="s">
        <v>32664</v>
      </c>
      <c r="G14498" t="s">
        <v>32672</v>
      </c>
      <c r="H14498" t="s">
        <v>32683</v>
      </c>
      <c r="I14498" t="s">
        <v>10627</v>
      </c>
      <c r="J14498" t="s">
        <v>32981</v>
      </c>
      <c r="K14498" t="s">
        <v>42326</v>
      </c>
      <c r="M14498" t="s">
        <v>42642</v>
      </c>
      <c r="N14498" t="s">
        <v>46569</v>
      </c>
      <c r="O14498" t="s">
        <v>46570</v>
      </c>
      <c r="P14498">
        <v>0</v>
      </c>
      <c r="Q14498">
        <v>0</v>
      </c>
      <c r="R14498" t="s">
        <v>46588</v>
      </c>
      <c r="S14498" t="s">
        <v>47467</v>
      </c>
      <c r="T14498" t="s">
        <v>48297</v>
      </c>
      <c r="U14498" t="s">
        <v>60420</v>
      </c>
      <c r="W14498" t="s">
        <v>42642</v>
      </c>
      <c r="X14498" t="s">
        <v>46589</v>
      </c>
    </row>
    <row r="14499" spans="1:24">
      <c r="A14499">
        <f>HYPERLINK("https://www.philgeps.gov.ph/GEPSNONPILOT/Tender/SplashBidNoticeAbstractUI.aspx?menuIndex=3&amp;refID=7032518&amp;Result=3","7032518")</f>
        <v>0</v>
      </c>
      <c r="B14499" t="s">
        <v>1908</v>
      </c>
      <c r="C14499" t="s">
        <v>17326</v>
      </c>
      <c r="D14499" t="s">
        <v>18784</v>
      </c>
      <c r="E14499" t="s">
        <v>19904</v>
      </c>
      <c r="F14499" t="s">
        <v>32664</v>
      </c>
      <c r="G14499" t="s">
        <v>32672</v>
      </c>
      <c r="H14499" t="s">
        <v>12635</v>
      </c>
      <c r="I14499" t="s">
        <v>6628</v>
      </c>
      <c r="J14499" t="s">
        <v>41284</v>
      </c>
      <c r="K14499" t="s">
        <v>42289</v>
      </c>
      <c r="M14499" t="s">
        <v>44629</v>
      </c>
      <c r="N14499" t="s">
        <v>46569</v>
      </c>
      <c r="O14499" t="s">
        <v>46570</v>
      </c>
      <c r="Q14499">
        <v>19</v>
      </c>
      <c r="R14499" t="s">
        <v>46588</v>
      </c>
      <c r="S14499" t="s">
        <v>47519</v>
      </c>
      <c r="T14499" t="s">
        <v>48411</v>
      </c>
      <c r="U14499" t="s">
        <v>60421</v>
      </c>
      <c r="W14499" t="s">
        <v>44629</v>
      </c>
      <c r="X14499" t="s">
        <v>46589</v>
      </c>
    </row>
    <row r="14500" spans="1:24">
      <c r="A14500">
        <f>HYPERLINK("https://www.philgeps.gov.ph/GEPSNONPILOT/Tender/SplashBidNoticeAbstractUI.aspx?menuIndex=3&amp;refID=7031658&amp;Result=3","7031658")</f>
        <v>0</v>
      </c>
      <c r="B14500" t="s">
        <v>1875</v>
      </c>
      <c r="C14500" t="s">
        <v>17327</v>
      </c>
      <c r="D14500" t="s">
        <v>18816</v>
      </c>
      <c r="E14500" t="s">
        <v>21068</v>
      </c>
      <c r="F14500" t="s">
        <v>32664</v>
      </c>
      <c r="G14500" t="s">
        <v>32672</v>
      </c>
      <c r="H14500" t="s">
        <v>12635</v>
      </c>
      <c r="I14500" t="s">
        <v>32685</v>
      </c>
      <c r="J14500" t="s">
        <v>41432</v>
      </c>
      <c r="K14500" t="s">
        <v>42281</v>
      </c>
      <c r="M14500" t="s">
        <v>44592</v>
      </c>
      <c r="N14500" t="s">
        <v>46569</v>
      </c>
      <c r="O14500" t="s">
        <v>46570</v>
      </c>
      <c r="P14500">
        <v>0</v>
      </c>
      <c r="Q14500">
        <v>4</v>
      </c>
      <c r="R14500" t="s">
        <v>46588</v>
      </c>
      <c r="S14500" t="s">
        <v>47467</v>
      </c>
      <c r="T14500" t="s">
        <v>48376</v>
      </c>
      <c r="U14500" t="s">
        <v>60422</v>
      </c>
      <c r="W14500" t="s">
        <v>44592</v>
      </c>
      <c r="X14500" t="s">
        <v>46591</v>
      </c>
    </row>
    <row r="14501" spans="1:24">
      <c r="A14501">
        <f>HYPERLINK("https://www.philgeps.gov.ph/GEPSNONPILOT/Tender/SplashBidNoticeAbstractUI.aspx?menuIndex=3&amp;refID=7031642&amp;Result=3","7031642")</f>
        <v>0</v>
      </c>
      <c r="B14501" t="s">
        <v>273</v>
      </c>
      <c r="C14501" t="s">
        <v>17328</v>
      </c>
      <c r="D14501" t="s">
        <v>18812</v>
      </c>
      <c r="E14501" t="s">
        <v>31360</v>
      </c>
      <c r="F14501" t="s">
        <v>32664</v>
      </c>
      <c r="G14501" t="s">
        <v>32672</v>
      </c>
      <c r="H14501" t="s">
        <v>32683</v>
      </c>
      <c r="I14501" t="s">
        <v>10627</v>
      </c>
      <c r="J14501" t="s">
        <v>41433</v>
      </c>
      <c r="K14501" t="s">
        <v>42290</v>
      </c>
      <c r="M14501" t="s">
        <v>42838</v>
      </c>
      <c r="N14501" t="s">
        <v>46569</v>
      </c>
      <c r="O14501" t="s">
        <v>46570</v>
      </c>
      <c r="P14501">
        <v>0</v>
      </c>
      <c r="Q14501">
        <v>0</v>
      </c>
      <c r="R14501" t="s">
        <v>46588</v>
      </c>
      <c r="S14501" t="s">
        <v>47467</v>
      </c>
      <c r="T14501" t="s">
        <v>48314</v>
      </c>
      <c r="U14501" t="s">
        <v>60423</v>
      </c>
      <c r="W14501" t="s">
        <v>42838</v>
      </c>
      <c r="X14501" t="s">
        <v>46591</v>
      </c>
    </row>
    <row r="14502" spans="1:24">
      <c r="A14502">
        <f>HYPERLINK("https://www.philgeps.gov.ph/GEPSNONPILOT/Tender/SplashBidNoticeAbstractUI.aspx?menuIndex=3&amp;refID=7031637&amp;Result=3","7031637")</f>
        <v>0</v>
      </c>
      <c r="B14502" t="s">
        <v>3423</v>
      </c>
      <c r="C14502" t="s">
        <v>9325</v>
      </c>
      <c r="D14502" t="s">
        <v>18827</v>
      </c>
      <c r="E14502" t="s">
        <v>31361</v>
      </c>
      <c r="F14502" t="s">
        <v>32664</v>
      </c>
      <c r="G14502" t="s">
        <v>32672</v>
      </c>
      <c r="H14502" t="s">
        <v>32683</v>
      </c>
      <c r="I14502" t="s">
        <v>10627</v>
      </c>
      <c r="J14502" t="s">
        <v>32974</v>
      </c>
      <c r="K14502" t="s">
        <v>42427</v>
      </c>
      <c r="M14502" t="s">
        <v>46404</v>
      </c>
      <c r="N14502" t="s">
        <v>46569</v>
      </c>
      <c r="O14502" t="s">
        <v>46570</v>
      </c>
      <c r="P14502">
        <v>0</v>
      </c>
      <c r="Q14502">
        <v>2</v>
      </c>
      <c r="R14502" t="s">
        <v>46588</v>
      </c>
      <c r="S14502" t="s">
        <v>47467</v>
      </c>
      <c r="T14502" t="s">
        <v>48244</v>
      </c>
      <c r="U14502" t="s">
        <v>60424</v>
      </c>
      <c r="W14502" t="s">
        <v>46404</v>
      </c>
      <c r="X14502" t="s">
        <v>46591</v>
      </c>
    </row>
    <row r="14503" spans="1:24">
      <c r="A14503">
        <f>HYPERLINK("https://www.philgeps.gov.ph/GEPSNONPILOT/Tender/SplashBidNoticeAbstractUI.aspx?menuIndex=3&amp;refID=7031596&amp;Result=3","7031596")</f>
        <v>0</v>
      </c>
      <c r="B14503" t="s">
        <v>2319</v>
      </c>
      <c r="C14503" t="s">
        <v>17329</v>
      </c>
      <c r="D14503" t="s">
        <v>18784</v>
      </c>
      <c r="E14503" t="s">
        <v>31362</v>
      </c>
      <c r="F14503" t="s">
        <v>32664</v>
      </c>
      <c r="G14503" t="s">
        <v>32672</v>
      </c>
      <c r="H14503" t="s">
        <v>32683</v>
      </c>
      <c r="I14503" t="s">
        <v>32707</v>
      </c>
      <c r="J14503" t="s">
        <v>41434</v>
      </c>
      <c r="K14503" t="s">
        <v>42369</v>
      </c>
      <c r="M14503" t="s">
        <v>45095</v>
      </c>
      <c r="N14503" t="s">
        <v>46569</v>
      </c>
      <c r="O14503" t="s">
        <v>46570</v>
      </c>
      <c r="Q14503">
        <v>4</v>
      </c>
      <c r="R14503" t="s">
        <v>46588</v>
      </c>
      <c r="S14503" t="s">
        <v>47520</v>
      </c>
      <c r="T14503" t="s">
        <v>48244</v>
      </c>
      <c r="U14503" t="s">
        <v>60425</v>
      </c>
      <c r="W14503" t="s">
        <v>45095</v>
      </c>
      <c r="X14503" t="s">
        <v>46591</v>
      </c>
    </row>
    <row r="14504" spans="1:24">
      <c r="A14504">
        <f>HYPERLINK("https://www.philgeps.gov.ph/GEPSNONPILOT/Tender/SplashBidNoticeAbstractUI.aspx?menuIndex=3&amp;refID=7032525&amp;Result=3","7032525")</f>
        <v>0</v>
      </c>
      <c r="B14504" t="s">
        <v>841</v>
      </c>
      <c r="C14504" t="s">
        <v>17330</v>
      </c>
      <c r="D14504" t="s">
        <v>18784</v>
      </c>
      <c r="E14504" t="s">
        <v>31363</v>
      </c>
      <c r="F14504" t="s">
        <v>32664</v>
      </c>
      <c r="G14504" t="s">
        <v>32672</v>
      </c>
      <c r="H14504" t="s">
        <v>32682</v>
      </c>
      <c r="I14504" t="s">
        <v>9946</v>
      </c>
      <c r="J14504" t="s">
        <v>41435</v>
      </c>
      <c r="K14504" t="s">
        <v>42348</v>
      </c>
      <c r="M14504" t="s">
        <v>46403</v>
      </c>
      <c r="N14504" t="s">
        <v>46569</v>
      </c>
      <c r="O14504" t="s">
        <v>46570</v>
      </c>
      <c r="Q14504">
        <v>11</v>
      </c>
      <c r="R14504" t="s">
        <v>46588</v>
      </c>
      <c r="S14504" t="s">
        <v>47521</v>
      </c>
      <c r="T14504" t="s">
        <v>48250</v>
      </c>
      <c r="U14504" t="s">
        <v>60426</v>
      </c>
      <c r="W14504" t="s">
        <v>46403</v>
      </c>
      <c r="X14504" t="s">
        <v>46589</v>
      </c>
    </row>
    <row r="14505" spans="1:24">
      <c r="A14505">
        <f>HYPERLINK("https://www.philgeps.gov.ph/GEPSNONPILOT/Tender/SplashBidNoticeAbstractUI.aspx?menuIndex=3&amp;refID=7031541&amp;Result=3","7031541")</f>
        <v>0</v>
      </c>
      <c r="B14505" t="s">
        <v>273</v>
      </c>
      <c r="C14505" t="s">
        <v>17331</v>
      </c>
      <c r="D14505" t="s">
        <v>18812</v>
      </c>
      <c r="E14505" t="s">
        <v>31364</v>
      </c>
      <c r="F14505" t="s">
        <v>32664</v>
      </c>
      <c r="G14505" t="s">
        <v>32672</v>
      </c>
      <c r="H14505" t="s">
        <v>12635</v>
      </c>
      <c r="I14505" t="s">
        <v>11464</v>
      </c>
      <c r="J14505" t="s">
        <v>32943</v>
      </c>
      <c r="K14505" t="s">
        <v>42298</v>
      </c>
      <c r="M14505" t="s">
        <v>42838</v>
      </c>
      <c r="N14505" t="s">
        <v>46569</v>
      </c>
      <c r="O14505" t="s">
        <v>46570</v>
      </c>
      <c r="P14505">
        <v>0</v>
      </c>
      <c r="Q14505">
        <v>6</v>
      </c>
      <c r="R14505" t="s">
        <v>46588</v>
      </c>
      <c r="S14505" t="s">
        <v>47467</v>
      </c>
      <c r="T14505" t="s">
        <v>48314</v>
      </c>
      <c r="U14505" t="s">
        <v>60427</v>
      </c>
      <c r="W14505" t="s">
        <v>42838</v>
      </c>
      <c r="X14505" t="s">
        <v>46591</v>
      </c>
    </row>
    <row r="14506" spans="1:24">
      <c r="A14506">
        <f>HYPERLINK("https://www.philgeps.gov.ph/GEPSNONPILOT/Tender/SplashBidNoticeAbstractUI.aspx?menuIndex=3&amp;refID=7028383&amp;Result=3","7028383")</f>
        <v>0</v>
      </c>
      <c r="B14506" t="s">
        <v>3424</v>
      </c>
      <c r="C14506" t="s">
        <v>17332</v>
      </c>
      <c r="D14506" t="s">
        <v>18799</v>
      </c>
      <c r="E14506" t="s">
        <v>31365</v>
      </c>
      <c r="F14506" t="s">
        <v>32664</v>
      </c>
      <c r="G14506" t="s">
        <v>32672</v>
      </c>
      <c r="H14506" t="s">
        <v>12635</v>
      </c>
      <c r="I14506" t="s">
        <v>6553</v>
      </c>
      <c r="J14506" t="s">
        <v>41436</v>
      </c>
      <c r="K14506" t="s">
        <v>42281</v>
      </c>
      <c r="M14506" t="s">
        <v>46405</v>
      </c>
      <c r="N14506" t="s">
        <v>46569</v>
      </c>
      <c r="O14506" t="s">
        <v>46570</v>
      </c>
      <c r="Q14506">
        <v>3</v>
      </c>
      <c r="R14506" t="s">
        <v>46588</v>
      </c>
      <c r="S14506" t="s">
        <v>46931</v>
      </c>
      <c r="T14506" t="s">
        <v>48283</v>
      </c>
      <c r="U14506" t="s">
        <v>60428</v>
      </c>
      <c r="V14506" t="s">
        <v>63245</v>
      </c>
      <c r="W14506" t="s">
        <v>46405</v>
      </c>
      <c r="X14506" t="s">
        <v>46592</v>
      </c>
    </row>
    <row r="14507" spans="1:24">
      <c r="A14507">
        <f>HYPERLINK("https://www.philgeps.gov.ph/GEPSNONPILOT/Tender/SplashBidNoticeAbstractUI.aspx?menuIndex=3&amp;refID=7028390&amp;Result=3","7028390")</f>
        <v>0</v>
      </c>
      <c r="B14507" t="s">
        <v>1402</v>
      </c>
      <c r="C14507" t="s">
        <v>17333</v>
      </c>
      <c r="D14507" t="s">
        <v>18789</v>
      </c>
      <c r="E14507" t="s">
        <v>31366</v>
      </c>
      <c r="F14507" t="s">
        <v>32664</v>
      </c>
      <c r="G14507" t="s">
        <v>32672</v>
      </c>
      <c r="H14507" t="s">
        <v>32683</v>
      </c>
      <c r="I14507" t="s">
        <v>10627</v>
      </c>
      <c r="J14507" t="s">
        <v>39398</v>
      </c>
      <c r="K14507" t="s">
        <v>42311</v>
      </c>
      <c r="M14507" t="s">
        <v>45872</v>
      </c>
      <c r="N14507" t="s">
        <v>46569</v>
      </c>
      <c r="O14507" t="s">
        <v>46570</v>
      </c>
      <c r="Q14507">
        <v>0</v>
      </c>
      <c r="R14507" t="s">
        <v>46588</v>
      </c>
      <c r="S14507" t="s">
        <v>47522</v>
      </c>
      <c r="T14507" t="s">
        <v>48268</v>
      </c>
      <c r="U14507" t="s">
        <v>60429</v>
      </c>
      <c r="V14507" t="s">
        <v>63246</v>
      </c>
      <c r="W14507" t="s">
        <v>45872</v>
      </c>
      <c r="X14507" t="s">
        <v>46592</v>
      </c>
    </row>
    <row r="14508" spans="1:24">
      <c r="A14508">
        <f>HYPERLINK("https://www.philgeps.gov.ph/GEPSNONPILOT/Tender/SplashBidNoticeAbstractUI.aspx?menuIndex=3&amp;refID=7028309&amp;Result=3","7028309")</f>
        <v>0</v>
      </c>
      <c r="B14508" t="s">
        <v>1402</v>
      </c>
      <c r="C14508" t="s">
        <v>17334</v>
      </c>
      <c r="D14508" t="s">
        <v>18789</v>
      </c>
      <c r="E14508" t="s">
        <v>31367</v>
      </c>
      <c r="F14508" t="s">
        <v>32664</v>
      </c>
      <c r="G14508" t="s">
        <v>32672</v>
      </c>
      <c r="H14508" t="s">
        <v>32683</v>
      </c>
      <c r="I14508" t="s">
        <v>10627</v>
      </c>
      <c r="J14508" t="s">
        <v>39398</v>
      </c>
      <c r="K14508" t="s">
        <v>42311</v>
      </c>
      <c r="M14508" t="s">
        <v>45872</v>
      </c>
      <c r="N14508" t="s">
        <v>46569</v>
      </c>
      <c r="O14508" t="s">
        <v>46570</v>
      </c>
      <c r="Q14508">
        <v>0</v>
      </c>
      <c r="R14508" t="s">
        <v>46588</v>
      </c>
      <c r="S14508" t="s">
        <v>47523</v>
      </c>
      <c r="T14508" t="s">
        <v>48268</v>
      </c>
      <c r="U14508" t="s">
        <v>60430</v>
      </c>
      <c r="V14508" t="s">
        <v>61995</v>
      </c>
      <c r="W14508" t="s">
        <v>45872</v>
      </c>
      <c r="X14508" t="s">
        <v>46592</v>
      </c>
    </row>
    <row r="14509" spans="1:24">
      <c r="A14509">
        <f>HYPERLINK("https://www.philgeps.gov.ph/GEPSNONPILOT/Tender/SplashBidNoticeAbstractUI.aspx?menuIndex=3&amp;refID=7032521&amp;Result=3","7032521")</f>
        <v>0</v>
      </c>
      <c r="B14509" t="s">
        <v>841</v>
      </c>
      <c r="C14509" t="s">
        <v>17335</v>
      </c>
      <c r="D14509" t="s">
        <v>18784</v>
      </c>
      <c r="E14509" t="s">
        <v>31368</v>
      </c>
      <c r="F14509" t="s">
        <v>32664</v>
      </c>
      <c r="G14509" t="s">
        <v>32672</v>
      </c>
      <c r="H14509" t="s">
        <v>32682</v>
      </c>
      <c r="I14509" t="s">
        <v>32740</v>
      </c>
      <c r="J14509" t="s">
        <v>41437</v>
      </c>
      <c r="K14509" t="s">
        <v>42348</v>
      </c>
      <c r="M14509" t="s">
        <v>46403</v>
      </c>
      <c r="N14509" t="s">
        <v>46569</v>
      </c>
      <c r="O14509" t="s">
        <v>46570</v>
      </c>
      <c r="P14509">
        <v>0</v>
      </c>
      <c r="Q14509">
        <v>11</v>
      </c>
      <c r="R14509" t="s">
        <v>46588</v>
      </c>
      <c r="S14509" t="s">
        <v>47467</v>
      </c>
      <c r="T14509" t="s">
        <v>48436</v>
      </c>
      <c r="U14509" t="s">
        <v>60431</v>
      </c>
      <c r="W14509" t="s">
        <v>46403</v>
      </c>
      <c r="X14509" t="s">
        <v>46589</v>
      </c>
    </row>
    <row r="14510" spans="1:24">
      <c r="A14510">
        <f>HYPERLINK("https://www.philgeps.gov.ph/GEPSNONPILOT/Tender/SplashBidNoticeAbstractUI.aspx?menuIndex=3&amp;refID=7028279&amp;Result=3","7028279")</f>
        <v>0</v>
      </c>
      <c r="B14510" t="s">
        <v>667</v>
      </c>
      <c r="C14510" t="s">
        <v>17336</v>
      </c>
      <c r="D14510" t="s">
        <v>18843</v>
      </c>
      <c r="E14510" t="s">
        <v>31369</v>
      </c>
      <c r="F14510" t="s">
        <v>32664</v>
      </c>
      <c r="G14510" t="s">
        <v>32672</v>
      </c>
      <c r="H14510" t="s">
        <v>32683</v>
      </c>
      <c r="I14510" t="s">
        <v>10627</v>
      </c>
      <c r="J14510" t="s">
        <v>34046</v>
      </c>
      <c r="K14510" t="s">
        <v>42286</v>
      </c>
      <c r="M14510" t="s">
        <v>43254</v>
      </c>
      <c r="N14510" t="s">
        <v>46569</v>
      </c>
      <c r="O14510" t="s">
        <v>46570</v>
      </c>
      <c r="Q14510">
        <v>3</v>
      </c>
      <c r="R14510" t="s">
        <v>46588</v>
      </c>
      <c r="S14510" t="s">
        <v>47524</v>
      </c>
      <c r="T14510" t="s">
        <v>48283</v>
      </c>
      <c r="U14510" t="s">
        <v>60316</v>
      </c>
      <c r="W14510" t="s">
        <v>43254</v>
      </c>
      <c r="X14510" t="s">
        <v>46592</v>
      </c>
    </row>
    <row r="14511" spans="1:24">
      <c r="A14511">
        <f>HYPERLINK("https://www.philgeps.gov.ph/GEPSNONPILOT/Tender/SplashBidNoticeAbstractUI.aspx?menuIndex=3&amp;refID=7023296&amp;Result=3","7023296")</f>
        <v>0</v>
      </c>
      <c r="B14511" t="s">
        <v>1127</v>
      </c>
      <c r="C14511" t="s">
        <v>17337</v>
      </c>
      <c r="D14511" t="s">
        <v>18802</v>
      </c>
      <c r="E14511" t="s">
        <v>31370</v>
      </c>
      <c r="F14511" t="s">
        <v>32664</v>
      </c>
      <c r="G14511" t="s">
        <v>32672</v>
      </c>
      <c r="H14511" t="s">
        <v>32683</v>
      </c>
      <c r="I14511" t="s">
        <v>10627</v>
      </c>
      <c r="J14511" t="s">
        <v>41438</v>
      </c>
      <c r="K14511" t="s">
        <v>42441</v>
      </c>
      <c r="M14511" t="s">
        <v>46379</v>
      </c>
      <c r="N14511" t="s">
        <v>46569</v>
      </c>
      <c r="O14511" t="s">
        <v>46570</v>
      </c>
      <c r="Q14511">
        <v>5</v>
      </c>
      <c r="R14511" t="s">
        <v>46588</v>
      </c>
      <c r="S14511" t="s">
        <v>47525</v>
      </c>
      <c r="T14511" t="s">
        <v>48244</v>
      </c>
      <c r="U14511" t="s">
        <v>60432</v>
      </c>
      <c r="V14511" t="s">
        <v>63247</v>
      </c>
      <c r="W14511" t="s">
        <v>46379</v>
      </c>
      <c r="X14511" t="s">
        <v>46594</v>
      </c>
    </row>
    <row r="14512" spans="1:24">
      <c r="A14512">
        <f>HYPERLINK("https://www.philgeps.gov.ph/GEPSNONPILOT/Tender/SplashBidNoticeAbstractUI.aspx?menuIndex=3&amp;refID=7020137&amp;Result=3","7020137")</f>
        <v>0</v>
      </c>
      <c r="B14512" t="s">
        <v>2592</v>
      </c>
      <c r="C14512" t="s">
        <v>17338</v>
      </c>
      <c r="D14512" t="s">
        <v>18806</v>
      </c>
      <c r="E14512" t="s">
        <v>31371</v>
      </c>
      <c r="F14512" t="s">
        <v>32664</v>
      </c>
      <c r="G14512" t="s">
        <v>32672</v>
      </c>
      <c r="H14512" t="s">
        <v>12635</v>
      </c>
      <c r="I14512" t="s">
        <v>32712</v>
      </c>
      <c r="J14512" t="s">
        <v>34985</v>
      </c>
      <c r="K14512" t="s">
        <v>42284</v>
      </c>
      <c r="M14512" t="s">
        <v>45407</v>
      </c>
      <c r="N14512" t="s">
        <v>46569</v>
      </c>
      <c r="O14512" t="s">
        <v>46570</v>
      </c>
      <c r="Q14512">
        <v>17</v>
      </c>
      <c r="R14512" t="s">
        <v>46588</v>
      </c>
      <c r="S14512" t="s">
        <v>47404</v>
      </c>
      <c r="T14512" t="s">
        <v>48246</v>
      </c>
      <c r="U14512" t="s">
        <v>60433</v>
      </c>
      <c r="W14512" t="s">
        <v>45407</v>
      </c>
      <c r="X14512" t="s">
        <v>46598</v>
      </c>
    </row>
    <row r="14513" spans="1:24">
      <c r="A14513">
        <f>HYPERLINK("https://www.philgeps.gov.ph/GEPSNONPILOT/Tender/SplashBidNoticeAbstractUI.aspx?menuIndex=3&amp;refID=7018907&amp;Result=3","7018907")</f>
        <v>0</v>
      </c>
      <c r="B14513" t="s">
        <v>2155</v>
      </c>
      <c r="C14513" t="s">
        <v>17339</v>
      </c>
      <c r="D14513" t="s">
        <v>18832</v>
      </c>
      <c r="E14513" t="s">
        <v>31372</v>
      </c>
      <c r="F14513" t="s">
        <v>32664</v>
      </c>
      <c r="G14513" t="s">
        <v>32672</v>
      </c>
      <c r="H14513" t="s">
        <v>32683</v>
      </c>
      <c r="I14513" t="s">
        <v>10627</v>
      </c>
      <c r="J14513" t="s">
        <v>41439</v>
      </c>
      <c r="K14513" t="s">
        <v>42310</v>
      </c>
      <c r="M14513" t="s">
        <v>44912</v>
      </c>
      <c r="N14513" t="s">
        <v>46569</v>
      </c>
      <c r="O14513" t="s">
        <v>46570</v>
      </c>
      <c r="P14513">
        <v>0</v>
      </c>
      <c r="Q14513">
        <v>2</v>
      </c>
      <c r="R14513" t="s">
        <v>46588</v>
      </c>
      <c r="S14513" t="s">
        <v>47467</v>
      </c>
      <c r="T14513" t="s">
        <v>48249</v>
      </c>
      <c r="U14513" t="s">
        <v>60434</v>
      </c>
      <c r="W14513" t="s">
        <v>44912</v>
      </c>
      <c r="X14513" t="s">
        <v>63617</v>
      </c>
    </row>
    <row r="14514" spans="1:24">
      <c r="A14514">
        <f>HYPERLINK("https://www.philgeps.gov.ph/GEPSNONPILOT/Tender/SplashBidNoticeAbstractUI.aspx?menuIndex=3&amp;refID=7032513&amp;Result=3","7032513")</f>
        <v>0</v>
      </c>
      <c r="B14514" t="s">
        <v>79</v>
      </c>
      <c r="C14514" t="s">
        <v>17340</v>
      </c>
      <c r="E14514" t="s">
        <v>31373</v>
      </c>
      <c r="F14514" t="s">
        <v>32664</v>
      </c>
      <c r="G14514" t="s">
        <v>32672</v>
      </c>
      <c r="H14514" t="s">
        <v>32683</v>
      </c>
      <c r="I14514" t="s">
        <v>10627</v>
      </c>
      <c r="J14514" t="s">
        <v>33150</v>
      </c>
      <c r="K14514" t="s">
        <v>42290</v>
      </c>
      <c r="M14514" t="s">
        <v>42642</v>
      </c>
      <c r="N14514" t="s">
        <v>46569</v>
      </c>
      <c r="O14514" t="s">
        <v>46570</v>
      </c>
      <c r="P14514">
        <v>0</v>
      </c>
      <c r="Q14514">
        <v>0</v>
      </c>
      <c r="R14514" t="s">
        <v>46588</v>
      </c>
      <c r="S14514" t="s">
        <v>47467</v>
      </c>
      <c r="T14514" t="s">
        <v>48268</v>
      </c>
      <c r="U14514" t="s">
        <v>60388</v>
      </c>
      <c r="W14514" t="s">
        <v>42642</v>
      </c>
      <c r="X14514" t="s">
        <v>46589</v>
      </c>
    </row>
    <row r="14515" spans="1:24">
      <c r="A14515">
        <f>HYPERLINK("https://www.philgeps.gov.ph/GEPSNONPILOT/Tender/SplashBidNoticeAbstractUI.aspx?menuIndex=3&amp;refID=7028306&amp;Result=3","7028306")</f>
        <v>0</v>
      </c>
      <c r="B14515" t="s">
        <v>3425</v>
      </c>
      <c r="C14515" t="s">
        <v>17341</v>
      </c>
      <c r="D14515" t="s">
        <v>18806</v>
      </c>
      <c r="E14515" t="s">
        <v>31374</v>
      </c>
      <c r="F14515" t="s">
        <v>32664</v>
      </c>
      <c r="G14515" t="s">
        <v>32672</v>
      </c>
      <c r="H14515" t="s">
        <v>32683</v>
      </c>
      <c r="I14515" t="s">
        <v>10627</v>
      </c>
      <c r="J14515" t="s">
        <v>32930</v>
      </c>
      <c r="K14515" t="s">
        <v>42311</v>
      </c>
      <c r="M14515" t="s">
        <v>46406</v>
      </c>
      <c r="N14515" t="s">
        <v>46569</v>
      </c>
      <c r="O14515" t="s">
        <v>46570</v>
      </c>
      <c r="P14515">
        <v>0</v>
      </c>
      <c r="Q14515">
        <v>3</v>
      </c>
      <c r="R14515" t="s">
        <v>46588</v>
      </c>
      <c r="S14515" t="s">
        <v>47467</v>
      </c>
      <c r="T14515" t="s">
        <v>48293</v>
      </c>
      <c r="U14515" t="s">
        <v>60435</v>
      </c>
      <c r="W14515" t="s">
        <v>46406</v>
      </c>
      <c r="X14515" t="s">
        <v>46592</v>
      </c>
    </row>
    <row r="14516" spans="1:24">
      <c r="A14516">
        <f>HYPERLINK("https://www.philgeps.gov.ph/GEPSNONPILOT/Tender/SplashBidNoticeAbstractUI.aspx?menuIndex=3&amp;refID=7035255&amp;Result=3","7035255")</f>
        <v>0</v>
      </c>
      <c r="B14516" t="s">
        <v>1574</v>
      </c>
      <c r="C14516" t="s">
        <v>17342</v>
      </c>
      <c r="D14516" t="s">
        <v>18830</v>
      </c>
      <c r="E14516" t="s">
        <v>31375</v>
      </c>
      <c r="F14516" t="s">
        <v>32664</v>
      </c>
      <c r="G14516" t="s">
        <v>32672</v>
      </c>
      <c r="H14516" t="s">
        <v>12635</v>
      </c>
      <c r="I14516" t="s">
        <v>11464</v>
      </c>
      <c r="J14516" t="s">
        <v>32982</v>
      </c>
      <c r="K14516" t="s">
        <v>42289</v>
      </c>
      <c r="M14516" t="s">
        <v>44249</v>
      </c>
      <c r="N14516" t="s">
        <v>46569</v>
      </c>
      <c r="O14516" t="s">
        <v>46570</v>
      </c>
      <c r="P14516">
        <v>0</v>
      </c>
      <c r="Q14516">
        <v>2</v>
      </c>
      <c r="R14516" t="s">
        <v>46587</v>
      </c>
      <c r="S14516" t="s">
        <v>47373</v>
      </c>
      <c r="T14516" t="s">
        <v>48296</v>
      </c>
      <c r="U14516" t="s">
        <v>60436</v>
      </c>
      <c r="V14516" t="s">
        <v>62075</v>
      </c>
      <c r="W14516" t="s">
        <v>44249</v>
      </c>
      <c r="X14516" t="s">
        <v>46588</v>
      </c>
    </row>
    <row r="14517" spans="1:24">
      <c r="A14517">
        <f>HYPERLINK("https://www.philgeps.gov.ph/GEPSNONPILOT/Tender/SplashBidNoticeAbstractUI.aspx?menuIndex=3&amp;refID=7035254&amp;Result=3","7035254")</f>
        <v>0</v>
      </c>
      <c r="B14517" t="s">
        <v>1017</v>
      </c>
      <c r="C14517" t="s">
        <v>17343</v>
      </c>
      <c r="E14517" t="s">
        <v>31376</v>
      </c>
      <c r="F14517" t="s">
        <v>32664</v>
      </c>
      <c r="G14517" t="s">
        <v>32672</v>
      </c>
      <c r="H14517" t="s">
        <v>32683</v>
      </c>
      <c r="I14517" t="s">
        <v>10627</v>
      </c>
      <c r="J14517" t="s">
        <v>34147</v>
      </c>
      <c r="K14517" t="s">
        <v>42298</v>
      </c>
      <c r="M14517" t="s">
        <v>46284</v>
      </c>
      <c r="N14517" t="s">
        <v>46569</v>
      </c>
      <c r="O14517" t="s">
        <v>46570</v>
      </c>
      <c r="Q14517">
        <v>1</v>
      </c>
      <c r="R14517" t="s">
        <v>46587</v>
      </c>
      <c r="S14517" t="s">
        <v>47526</v>
      </c>
      <c r="T14517" t="s">
        <v>48228</v>
      </c>
      <c r="U14517" t="s">
        <v>60437</v>
      </c>
      <c r="V14517" t="s">
        <v>63126</v>
      </c>
      <c r="W14517" t="s">
        <v>46284</v>
      </c>
      <c r="X14517" t="s">
        <v>46588</v>
      </c>
    </row>
    <row r="14518" spans="1:24">
      <c r="A14518">
        <f>HYPERLINK("https://www.philgeps.gov.ph/GEPSNONPILOT/Tender/SplashBidNoticeAbstractUI.aspx?menuIndex=3&amp;refID=7035247&amp;Result=3","7035247")</f>
        <v>0</v>
      </c>
      <c r="B14518" t="s">
        <v>1017</v>
      </c>
      <c r="C14518" t="s">
        <v>17344</v>
      </c>
      <c r="E14518" t="s">
        <v>31377</v>
      </c>
      <c r="F14518" t="s">
        <v>32664</v>
      </c>
      <c r="G14518" t="s">
        <v>32672</v>
      </c>
      <c r="H14518" t="s">
        <v>32683</v>
      </c>
      <c r="I14518" t="s">
        <v>10627</v>
      </c>
      <c r="J14518" t="s">
        <v>34075</v>
      </c>
      <c r="K14518" t="s">
        <v>42290</v>
      </c>
      <c r="M14518" t="s">
        <v>46284</v>
      </c>
      <c r="N14518" t="s">
        <v>46569</v>
      </c>
      <c r="O14518" t="s">
        <v>46570</v>
      </c>
      <c r="Q14518">
        <v>1</v>
      </c>
      <c r="R14518" t="s">
        <v>46587</v>
      </c>
      <c r="S14518" t="s">
        <v>47008</v>
      </c>
      <c r="T14518" t="s">
        <v>48228</v>
      </c>
      <c r="U14518" t="s">
        <v>60437</v>
      </c>
      <c r="V14518" t="s">
        <v>63126</v>
      </c>
      <c r="W14518" t="s">
        <v>46284</v>
      </c>
      <c r="X14518" t="s">
        <v>46588</v>
      </c>
    </row>
    <row r="14519" spans="1:24">
      <c r="A14519">
        <f>HYPERLINK("https://www.philgeps.gov.ph/GEPSNONPILOT/Tender/SplashBidNoticeAbstractUI.aspx?menuIndex=3&amp;refID=7019084&amp;Result=3","7019084")</f>
        <v>0</v>
      </c>
      <c r="B14519" t="s">
        <v>272</v>
      </c>
      <c r="C14519" t="s">
        <v>17345</v>
      </c>
      <c r="D14519" t="s">
        <v>18810</v>
      </c>
      <c r="E14519" t="s">
        <v>31378</v>
      </c>
      <c r="F14519" t="s">
        <v>32664</v>
      </c>
      <c r="G14519" t="s">
        <v>32672</v>
      </c>
      <c r="H14519" t="s">
        <v>12635</v>
      </c>
      <c r="I14519" t="s">
        <v>5589</v>
      </c>
      <c r="J14519" t="s">
        <v>41440</v>
      </c>
      <c r="K14519" t="s">
        <v>42281</v>
      </c>
      <c r="M14519" t="s">
        <v>42837</v>
      </c>
      <c r="N14519" t="s">
        <v>46569</v>
      </c>
      <c r="O14519" t="s">
        <v>46570</v>
      </c>
      <c r="P14519">
        <v>0</v>
      </c>
      <c r="Q14519">
        <v>8</v>
      </c>
      <c r="R14519" t="s">
        <v>46588</v>
      </c>
      <c r="S14519" t="s">
        <v>47467</v>
      </c>
      <c r="T14519" t="s">
        <v>48344</v>
      </c>
      <c r="U14519" t="s">
        <v>60438</v>
      </c>
      <c r="W14519" t="s">
        <v>42837</v>
      </c>
      <c r="X14519" t="s">
        <v>63617</v>
      </c>
    </row>
    <row r="14520" spans="1:24">
      <c r="A14520">
        <f>HYPERLINK("https://www.philgeps.gov.ph/GEPSNONPILOT/Tender/SplashBidNoticeAbstractUI.aspx?menuIndex=3&amp;refID=7035243&amp;Result=3","7035243")</f>
        <v>0</v>
      </c>
      <c r="B14520" t="s">
        <v>1017</v>
      </c>
      <c r="C14520" t="s">
        <v>17346</v>
      </c>
      <c r="E14520" t="s">
        <v>31379</v>
      </c>
      <c r="F14520" t="s">
        <v>32664</v>
      </c>
      <c r="G14520" t="s">
        <v>32672</v>
      </c>
      <c r="H14520" t="s">
        <v>32683</v>
      </c>
      <c r="I14520" t="s">
        <v>10627</v>
      </c>
      <c r="J14520" t="s">
        <v>37724</v>
      </c>
      <c r="K14520" t="s">
        <v>42308</v>
      </c>
      <c r="M14520" t="s">
        <v>46284</v>
      </c>
      <c r="N14520" t="s">
        <v>46569</v>
      </c>
      <c r="O14520" t="s">
        <v>46570</v>
      </c>
      <c r="Q14520">
        <v>1</v>
      </c>
      <c r="R14520" t="s">
        <v>46587</v>
      </c>
      <c r="S14520" t="s">
        <v>47337</v>
      </c>
      <c r="T14520" t="s">
        <v>48228</v>
      </c>
      <c r="U14520" t="s">
        <v>60437</v>
      </c>
      <c r="V14520" t="s">
        <v>63126</v>
      </c>
      <c r="W14520" t="s">
        <v>46284</v>
      </c>
      <c r="X14520" t="s">
        <v>46588</v>
      </c>
    </row>
    <row r="14521" spans="1:24">
      <c r="A14521">
        <f>HYPERLINK("https://www.philgeps.gov.ph/GEPSNONPILOT/Tender/SplashBidNoticeAbstractUI.aspx?menuIndex=3&amp;refID=7035235&amp;Result=3","7035235")</f>
        <v>0</v>
      </c>
      <c r="B14521" t="s">
        <v>1017</v>
      </c>
      <c r="C14521" t="s">
        <v>17347</v>
      </c>
      <c r="E14521" t="s">
        <v>31380</v>
      </c>
      <c r="F14521" t="s">
        <v>32664</v>
      </c>
      <c r="G14521" t="s">
        <v>32672</v>
      </c>
      <c r="H14521" t="s">
        <v>32683</v>
      </c>
      <c r="I14521" t="s">
        <v>10627</v>
      </c>
      <c r="J14521" t="s">
        <v>37724</v>
      </c>
      <c r="K14521" t="s">
        <v>42290</v>
      </c>
      <c r="M14521" t="s">
        <v>46284</v>
      </c>
      <c r="N14521" t="s">
        <v>46569</v>
      </c>
      <c r="O14521" t="s">
        <v>46570</v>
      </c>
      <c r="Q14521">
        <v>1</v>
      </c>
      <c r="R14521" t="s">
        <v>46587</v>
      </c>
      <c r="S14521" t="s">
        <v>47342</v>
      </c>
      <c r="T14521" t="s">
        <v>48228</v>
      </c>
      <c r="U14521" t="s">
        <v>60437</v>
      </c>
      <c r="V14521" t="s">
        <v>63126</v>
      </c>
      <c r="W14521" t="s">
        <v>46284</v>
      </c>
      <c r="X14521" t="s">
        <v>46588</v>
      </c>
    </row>
    <row r="14522" spans="1:24">
      <c r="A14522">
        <f>HYPERLINK("https://www.philgeps.gov.ph/GEPSNONPILOT/Tender/SplashBidNoticeAbstractUI.aspx?menuIndex=3&amp;refID=7035251&amp;Result=3","7035251")</f>
        <v>0</v>
      </c>
      <c r="B14522" t="s">
        <v>1017</v>
      </c>
      <c r="C14522" t="s">
        <v>17348</v>
      </c>
      <c r="E14522" t="s">
        <v>31381</v>
      </c>
      <c r="F14522" t="s">
        <v>32664</v>
      </c>
      <c r="G14522" t="s">
        <v>32672</v>
      </c>
      <c r="H14522" t="s">
        <v>32683</v>
      </c>
      <c r="I14522" t="s">
        <v>10627</v>
      </c>
      <c r="J14522" t="s">
        <v>37270</v>
      </c>
      <c r="K14522" t="s">
        <v>42290</v>
      </c>
      <c r="M14522" t="s">
        <v>46284</v>
      </c>
      <c r="N14522" t="s">
        <v>46569</v>
      </c>
      <c r="O14522" t="s">
        <v>46570</v>
      </c>
      <c r="Q14522">
        <v>2</v>
      </c>
      <c r="R14522" t="s">
        <v>46587</v>
      </c>
      <c r="S14522" t="s">
        <v>47527</v>
      </c>
      <c r="T14522" t="s">
        <v>48228</v>
      </c>
      <c r="U14522" t="s">
        <v>60437</v>
      </c>
      <c r="V14522" t="s">
        <v>63126</v>
      </c>
      <c r="W14522" t="s">
        <v>46284</v>
      </c>
      <c r="X14522" t="s">
        <v>46588</v>
      </c>
    </row>
    <row r="14523" spans="1:24">
      <c r="A14523">
        <f>HYPERLINK("https://www.philgeps.gov.ph/GEPSNONPILOT/Tender/SplashBidNoticeAbstractUI.aspx?menuIndex=3&amp;refID=7035192&amp;Result=3","7035192")</f>
        <v>0</v>
      </c>
      <c r="B14523" t="s">
        <v>54</v>
      </c>
      <c r="C14523" t="s">
        <v>17349</v>
      </c>
      <c r="D14523" t="s">
        <v>18803</v>
      </c>
      <c r="E14523" t="s">
        <v>31382</v>
      </c>
      <c r="F14523" t="s">
        <v>32664</v>
      </c>
      <c r="G14523" t="s">
        <v>32673</v>
      </c>
      <c r="H14523" t="s">
        <v>32683</v>
      </c>
      <c r="I14523" t="s">
        <v>10627</v>
      </c>
      <c r="J14523" t="s">
        <v>41441</v>
      </c>
      <c r="K14523" t="s">
        <v>42285</v>
      </c>
      <c r="M14523" t="s">
        <v>44929</v>
      </c>
      <c r="N14523" t="s">
        <v>46569</v>
      </c>
      <c r="O14523" t="s">
        <v>46570</v>
      </c>
      <c r="Q14523">
        <v>37</v>
      </c>
      <c r="R14523" t="s">
        <v>46587</v>
      </c>
      <c r="S14523" t="s">
        <v>47528</v>
      </c>
      <c r="T14523" t="s">
        <v>48283</v>
      </c>
      <c r="U14523" t="s">
        <v>60439</v>
      </c>
      <c r="V14523" t="s">
        <v>63248</v>
      </c>
      <c r="W14523" t="s">
        <v>44929</v>
      </c>
      <c r="X14523" t="s">
        <v>46588</v>
      </c>
    </row>
    <row r="14524" spans="1:24">
      <c r="A14524">
        <f>HYPERLINK("https://www.philgeps.gov.ph/GEPSNONPILOT/Tender/SplashBidNoticeAbstractUI.aspx?menuIndex=3&amp;refID=7035191&amp;Result=3","7035191")</f>
        <v>0</v>
      </c>
      <c r="B14524" t="s">
        <v>3263</v>
      </c>
      <c r="C14524" t="s">
        <v>17350</v>
      </c>
      <c r="D14524" t="s">
        <v>18809</v>
      </c>
      <c r="E14524" t="s">
        <v>31383</v>
      </c>
      <c r="F14524" t="s">
        <v>32664</v>
      </c>
      <c r="G14524" t="s">
        <v>32672</v>
      </c>
      <c r="H14524" t="s">
        <v>32683</v>
      </c>
      <c r="I14524" t="s">
        <v>32707</v>
      </c>
      <c r="J14524" t="s">
        <v>41442</v>
      </c>
      <c r="K14524" t="s">
        <v>42349</v>
      </c>
      <c r="M14524" t="s">
        <v>46195</v>
      </c>
      <c r="N14524" t="s">
        <v>46569</v>
      </c>
      <c r="O14524" t="s">
        <v>46570</v>
      </c>
      <c r="Q14524">
        <v>15</v>
      </c>
      <c r="R14524" t="s">
        <v>46587</v>
      </c>
      <c r="S14524" t="s">
        <v>47529</v>
      </c>
      <c r="T14524" t="s">
        <v>48228</v>
      </c>
      <c r="U14524" t="s">
        <v>60440</v>
      </c>
      <c r="W14524" t="s">
        <v>46195</v>
      </c>
      <c r="X14524" t="s">
        <v>46588</v>
      </c>
    </row>
    <row r="14525" spans="1:24">
      <c r="A14525">
        <f>HYPERLINK("https://www.philgeps.gov.ph/GEPSNONPILOT/Tender/SplashBidNoticeAbstractUI.aspx?menuIndex=3&amp;refID=7035156&amp;Result=3","7035156")</f>
        <v>0</v>
      </c>
      <c r="B14525" t="s">
        <v>257</v>
      </c>
      <c r="C14525" t="s">
        <v>17351</v>
      </c>
      <c r="D14525" t="s">
        <v>18803</v>
      </c>
      <c r="E14525" t="s">
        <v>31384</v>
      </c>
      <c r="F14525" t="s">
        <v>32664</v>
      </c>
      <c r="G14525" t="s">
        <v>32672</v>
      </c>
      <c r="H14525" t="s">
        <v>32683</v>
      </c>
      <c r="I14525" t="s">
        <v>10627</v>
      </c>
      <c r="J14525" t="s">
        <v>32930</v>
      </c>
      <c r="K14525" t="s">
        <v>42290</v>
      </c>
      <c r="M14525" t="s">
        <v>42822</v>
      </c>
      <c r="N14525" t="s">
        <v>46569</v>
      </c>
      <c r="O14525" t="s">
        <v>46570</v>
      </c>
      <c r="P14525">
        <v>0</v>
      </c>
      <c r="Q14525">
        <v>4</v>
      </c>
      <c r="R14525" t="s">
        <v>46587</v>
      </c>
      <c r="S14525" t="s">
        <v>47373</v>
      </c>
      <c r="T14525" t="s">
        <v>48316</v>
      </c>
      <c r="U14525" t="s">
        <v>49237</v>
      </c>
      <c r="W14525" t="s">
        <v>42822</v>
      </c>
      <c r="X14525" t="s">
        <v>46588</v>
      </c>
    </row>
    <row r="14526" spans="1:24">
      <c r="A14526">
        <f>HYPERLINK("https://www.philgeps.gov.ph/GEPSNONPILOT/Tender/SplashBidNoticeAbstractUI.aspx?menuIndex=3&amp;refID=7035238&amp;Result=3","7035238")</f>
        <v>0</v>
      </c>
      <c r="B14526" t="s">
        <v>1017</v>
      </c>
      <c r="C14526" t="s">
        <v>17352</v>
      </c>
      <c r="E14526" t="s">
        <v>31385</v>
      </c>
      <c r="F14526" t="s">
        <v>32664</v>
      </c>
      <c r="G14526" t="s">
        <v>32672</v>
      </c>
      <c r="H14526" t="s">
        <v>32683</v>
      </c>
      <c r="I14526" t="s">
        <v>10627</v>
      </c>
      <c r="J14526" t="s">
        <v>37782</v>
      </c>
      <c r="K14526" t="s">
        <v>42285</v>
      </c>
      <c r="M14526" t="s">
        <v>46284</v>
      </c>
      <c r="N14526" t="s">
        <v>46569</v>
      </c>
      <c r="O14526" t="s">
        <v>46570</v>
      </c>
      <c r="Q14526">
        <v>3</v>
      </c>
      <c r="R14526" t="s">
        <v>46587</v>
      </c>
      <c r="S14526" t="s">
        <v>47530</v>
      </c>
      <c r="T14526" t="s">
        <v>48228</v>
      </c>
      <c r="U14526" t="s">
        <v>60437</v>
      </c>
      <c r="V14526" t="s">
        <v>63126</v>
      </c>
      <c r="W14526" t="s">
        <v>46284</v>
      </c>
      <c r="X14526" t="s">
        <v>46588</v>
      </c>
    </row>
    <row r="14527" spans="1:24">
      <c r="A14527">
        <f>HYPERLINK("https://www.philgeps.gov.ph/GEPSNONPILOT/Tender/SplashBidNoticeAbstractUI.aspx?menuIndex=3&amp;refID=7035155&amp;Result=3","7035155")</f>
        <v>0</v>
      </c>
      <c r="B14527" t="s">
        <v>257</v>
      </c>
      <c r="C14527" t="s">
        <v>17353</v>
      </c>
      <c r="D14527" t="s">
        <v>18803</v>
      </c>
      <c r="E14527" t="s">
        <v>31386</v>
      </c>
      <c r="F14527" t="s">
        <v>32664</v>
      </c>
      <c r="G14527" t="s">
        <v>32672</v>
      </c>
      <c r="H14527" t="s">
        <v>32683</v>
      </c>
      <c r="I14527" t="s">
        <v>10627</v>
      </c>
      <c r="J14527" t="s">
        <v>35617</v>
      </c>
      <c r="K14527" t="s">
        <v>42298</v>
      </c>
      <c r="M14527" t="s">
        <v>42822</v>
      </c>
      <c r="N14527" t="s">
        <v>46569</v>
      </c>
      <c r="O14527" t="s">
        <v>46570</v>
      </c>
      <c r="P14527">
        <v>0</v>
      </c>
      <c r="Q14527">
        <v>3</v>
      </c>
      <c r="R14527" t="s">
        <v>46587</v>
      </c>
      <c r="S14527" t="s">
        <v>47373</v>
      </c>
      <c r="T14527" t="s">
        <v>48316</v>
      </c>
      <c r="U14527" t="s">
        <v>49237</v>
      </c>
      <c r="W14527" t="s">
        <v>42822</v>
      </c>
      <c r="X14527" t="s">
        <v>46588</v>
      </c>
    </row>
    <row r="14528" spans="1:24">
      <c r="A14528">
        <f>HYPERLINK("https://www.philgeps.gov.ph/GEPSNONPILOT/Tender/SplashBidNoticeAbstractUI.aspx?menuIndex=3&amp;refID=7035153&amp;Result=3","7035153")</f>
        <v>0</v>
      </c>
      <c r="B14528" t="s">
        <v>3310</v>
      </c>
      <c r="C14528" t="s">
        <v>17354</v>
      </c>
      <c r="D14528" t="s">
        <v>18831</v>
      </c>
      <c r="E14528" t="s">
        <v>31387</v>
      </c>
      <c r="F14528" t="s">
        <v>32664</v>
      </c>
      <c r="G14528" t="s">
        <v>32672</v>
      </c>
      <c r="H14528" t="s">
        <v>32683</v>
      </c>
      <c r="I14528" t="s">
        <v>10627</v>
      </c>
      <c r="J14528" t="s">
        <v>34213</v>
      </c>
      <c r="K14528" t="s">
        <v>42314</v>
      </c>
      <c r="M14528" t="s">
        <v>46256</v>
      </c>
      <c r="N14528" t="s">
        <v>46569</v>
      </c>
      <c r="O14528" t="s">
        <v>46570</v>
      </c>
      <c r="P14528">
        <v>0</v>
      </c>
      <c r="Q14528">
        <v>0</v>
      </c>
      <c r="R14528" t="s">
        <v>46587</v>
      </c>
      <c r="S14528" t="s">
        <v>47373</v>
      </c>
      <c r="T14528" t="s">
        <v>48221</v>
      </c>
      <c r="U14528" t="s">
        <v>60441</v>
      </c>
      <c r="V14528" t="s">
        <v>63101</v>
      </c>
      <c r="W14528" t="s">
        <v>46256</v>
      </c>
      <c r="X14528" t="s">
        <v>46588</v>
      </c>
    </row>
    <row r="14529" spans="1:24">
      <c r="A14529">
        <f>HYPERLINK("https://www.philgeps.gov.ph/GEPSNONPILOT/Tender/SplashBidNoticeAbstractUI.aspx?menuIndex=3&amp;refID=7035152&amp;Result=3","7035152")</f>
        <v>0</v>
      </c>
      <c r="B14529" t="s">
        <v>257</v>
      </c>
      <c r="C14529" t="s">
        <v>17355</v>
      </c>
      <c r="D14529" t="s">
        <v>18803</v>
      </c>
      <c r="E14529" t="s">
        <v>31388</v>
      </c>
      <c r="F14529" t="s">
        <v>32664</v>
      </c>
      <c r="G14529" t="s">
        <v>32672</v>
      </c>
      <c r="H14529" t="s">
        <v>32683</v>
      </c>
      <c r="I14529" t="s">
        <v>10627</v>
      </c>
      <c r="J14529" t="s">
        <v>35617</v>
      </c>
      <c r="K14529" t="s">
        <v>42298</v>
      </c>
      <c r="M14529" t="s">
        <v>42822</v>
      </c>
      <c r="N14529" t="s">
        <v>46569</v>
      </c>
      <c r="O14529" t="s">
        <v>46570</v>
      </c>
      <c r="P14529">
        <v>0</v>
      </c>
      <c r="Q14529">
        <v>3</v>
      </c>
      <c r="R14529" t="s">
        <v>46587</v>
      </c>
      <c r="S14529" t="s">
        <v>47373</v>
      </c>
      <c r="T14529" t="s">
        <v>48316</v>
      </c>
      <c r="U14529" t="s">
        <v>49237</v>
      </c>
      <c r="W14529" t="s">
        <v>42822</v>
      </c>
      <c r="X14529" t="s">
        <v>46588</v>
      </c>
    </row>
    <row r="14530" spans="1:24">
      <c r="A14530">
        <f>HYPERLINK("https://www.philgeps.gov.ph/GEPSNONPILOT/Tender/SplashBidNoticeAbstractUI.aspx?menuIndex=3&amp;refID=7035121&amp;Result=3","7035121")</f>
        <v>0</v>
      </c>
      <c r="B14530" t="s">
        <v>3310</v>
      </c>
      <c r="C14530" t="s">
        <v>17356</v>
      </c>
      <c r="D14530" t="s">
        <v>18831</v>
      </c>
      <c r="E14530" t="s">
        <v>31389</v>
      </c>
      <c r="F14530" t="s">
        <v>32664</v>
      </c>
      <c r="G14530" t="s">
        <v>32672</v>
      </c>
      <c r="H14530" t="s">
        <v>32683</v>
      </c>
      <c r="I14530" t="s">
        <v>10627</v>
      </c>
      <c r="J14530" t="s">
        <v>34147</v>
      </c>
      <c r="K14530" t="s">
        <v>42305</v>
      </c>
      <c r="M14530" t="s">
        <v>46256</v>
      </c>
      <c r="N14530" t="s">
        <v>46569</v>
      </c>
      <c r="O14530" t="s">
        <v>46570</v>
      </c>
      <c r="P14530">
        <v>0</v>
      </c>
      <c r="Q14530">
        <v>2</v>
      </c>
      <c r="R14530" t="s">
        <v>46587</v>
      </c>
      <c r="S14530" t="s">
        <v>47373</v>
      </c>
      <c r="T14530" t="s">
        <v>48221</v>
      </c>
      <c r="U14530" t="s">
        <v>60442</v>
      </c>
      <c r="V14530" t="s">
        <v>63101</v>
      </c>
      <c r="W14530" t="s">
        <v>46256</v>
      </c>
      <c r="X14530" t="s">
        <v>46588</v>
      </c>
    </row>
    <row r="14531" spans="1:24">
      <c r="A14531">
        <f>HYPERLINK("https://www.philgeps.gov.ph/GEPSNONPILOT/Tender/SplashBidNoticeAbstractUI.aspx?menuIndex=3&amp;refID=7035120&amp;Result=3","7035120")</f>
        <v>0</v>
      </c>
      <c r="B14531" t="s">
        <v>1620</v>
      </c>
      <c r="C14531" t="s">
        <v>17357</v>
      </c>
      <c r="D14531" t="s">
        <v>18784</v>
      </c>
      <c r="E14531" t="s">
        <v>31390</v>
      </c>
      <c r="F14531" t="s">
        <v>32664</v>
      </c>
      <c r="G14531" t="s">
        <v>32672</v>
      </c>
      <c r="H14531" t="s">
        <v>32683</v>
      </c>
      <c r="I14531" t="s">
        <v>10627</v>
      </c>
      <c r="J14531" t="s">
        <v>41443</v>
      </c>
      <c r="K14531" t="s">
        <v>42298</v>
      </c>
      <c r="M14531" t="s">
        <v>44300</v>
      </c>
      <c r="N14531" t="s">
        <v>46569</v>
      </c>
      <c r="O14531" t="s">
        <v>46570</v>
      </c>
      <c r="Q14531">
        <v>19</v>
      </c>
      <c r="R14531" t="s">
        <v>46587</v>
      </c>
      <c r="S14531" t="s">
        <v>47531</v>
      </c>
      <c r="T14531" t="s">
        <v>48283</v>
      </c>
      <c r="U14531" t="s">
        <v>60443</v>
      </c>
      <c r="W14531" t="s">
        <v>44300</v>
      </c>
      <c r="X14531" t="s">
        <v>46588</v>
      </c>
    </row>
    <row r="14532" spans="1:24">
      <c r="A14532">
        <f>HYPERLINK("https://www.philgeps.gov.ph/GEPSNONPILOT/Tender/SplashBidNoticeAbstractUI.aspx?menuIndex=3&amp;refID=7035166&amp;Result=3","7035166")</f>
        <v>0</v>
      </c>
      <c r="B14532" t="s">
        <v>1574</v>
      </c>
      <c r="C14532" t="s">
        <v>17358</v>
      </c>
      <c r="D14532" t="s">
        <v>18830</v>
      </c>
      <c r="E14532" t="s">
        <v>31391</v>
      </c>
      <c r="F14532" t="s">
        <v>32664</v>
      </c>
      <c r="G14532" t="s">
        <v>32672</v>
      </c>
      <c r="H14532" t="s">
        <v>12635</v>
      </c>
      <c r="I14532" t="s">
        <v>6168</v>
      </c>
      <c r="J14532" t="s">
        <v>41444</v>
      </c>
      <c r="K14532" t="s">
        <v>42303</v>
      </c>
      <c r="M14532" t="s">
        <v>44249</v>
      </c>
      <c r="N14532" t="s">
        <v>46569</v>
      </c>
      <c r="O14532" t="s">
        <v>46570</v>
      </c>
      <c r="P14532">
        <v>0</v>
      </c>
      <c r="Q14532">
        <v>0</v>
      </c>
      <c r="R14532" t="s">
        <v>46587</v>
      </c>
      <c r="S14532" t="s">
        <v>47373</v>
      </c>
      <c r="T14532" t="s">
        <v>48296</v>
      </c>
      <c r="U14532" t="s">
        <v>60444</v>
      </c>
      <c r="V14532" t="s">
        <v>62075</v>
      </c>
      <c r="W14532" t="s">
        <v>44249</v>
      </c>
      <c r="X14532" t="s">
        <v>46588</v>
      </c>
    </row>
    <row r="14533" spans="1:24">
      <c r="A14533">
        <f>HYPERLINK("https://www.philgeps.gov.ph/GEPSNONPILOT/Tender/SplashBidNoticeAbstractUI.aspx?menuIndex=3&amp;refID=7035114&amp;Result=3","7035114")</f>
        <v>0</v>
      </c>
      <c r="B14533" t="s">
        <v>1620</v>
      </c>
      <c r="C14533" t="s">
        <v>17359</v>
      </c>
      <c r="D14533" t="s">
        <v>18784</v>
      </c>
      <c r="E14533" t="s">
        <v>31392</v>
      </c>
      <c r="F14533" t="s">
        <v>32664</v>
      </c>
      <c r="G14533" t="s">
        <v>32672</v>
      </c>
      <c r="H14533" t="s">
        <v>32683</v>
      </c>
      <c r="I14533" t="s">
        <v>10627</v>
      </c>
      <c r="J14533" t="s">
        <v>41445</v>
      </c>
      <c r="K14533" t="s">
        <v>42311</v>
      </c>
      <c r="M14533" t="s">
        <v>44300</v>
      </c>
      <c r="N14533" t="s">
        <v>46569</v>
      </c>
      <c r="O14533" t="s">
        <v>46570</v>
      </c>
      <c r="Q14533">
        <v>19</v>
      </c>
      <c r="R14533" t="s">
        <v>46587</v>
      </c>
      <c r="S14533" t="s">
        <v>47267</v>
      </c>
      <c r="T14533" t="s">
        <v>48283</v>
      </c>
      <c r="U14533" t="s">
        <v>60445</v>
      </c>
      <c r="W14533" t="s">
        <v>44300</v>
      </c>
      <c r="X14533" t="s">
        <v>46588</v>
      </c>
    </row>
    <row r="14534" spans="1:24">
      <c r="A14534">
        <f>HYPERLINK("https://www.philgeps.gov.ph/GEPSNONPILOT/Tender/SplashBidNoticeAbstractUI.aspx?menuIndex=3&amp;refID=7035113&amp;Result=3","7035113")</f>
        <v>0</v>
      </c>
      <c r="B14534" t="s">
        <v>2652</v>
      </c>
      <c r="C14534" t="s">
        <v>13169</v>
      </c>
      <c r="D14534" t="s">
        <v>18829</v>
      </c>
      <c r="E14534" t="s">
        <v>31393</v>
      </c>
      <c r="F14534" t="s">
        <v>32664</v>
      </c>
      <c r="G14534" t="s">
        <v>32672</v>
      </c>
      <c r="H14534" t="s">
        <v>32683</v>
      </c>
      <c r="I14534" t="s">
        <v>32733</v>
      </c>
      <c r="J14534" t="s">
        <v>33150</v>
      </c>
      <c r="K14534" t="s">
        <v>42285</v>
      </c>
      <c r="M14534" t="s">
        <v>45474</v>
      </c>
      <c r="N14534" t="s">
        <v>46569</v>
      </c>
      <c r="O14534" t="s">
        <v>46570</v>
      </c>
      <c r="P14534">
        <v>0</v>
      </c>
      <c r="Q14534">
        <v>10</v>
      </c>
      <c r="R14534" t="s">
        <v>46587</v>
      </c>
      <c r="S14534" t="s">
        <v>47373</v>
      </c>
      <c r="T14534" t="s">
        <v>48334</v>
      </c>
      <c r="U14534" t="s">
        <v>60446</v>
      </c>
      <c r="W14534" t="s">
        <v>45474</v>
      </c>
      <c r="X14534" t="s">
        <v>46588</v>
      </c>
    </row>
    <row r="14535" spans="1:24">
      <c r="A14535">
        <f>HYPERLINK("https://www.philgeps.gov.ph/GEPSNONPILOT/Tender/SplashBidNoticeAbstractUI.aspx?menuIndex=3&amp;refID=7035096&amp;Result=3","7035096")</f>
        <v>0</v>
      </c>
      <c r="B14535" t="s">
        <v>2652</v>
      </c>
      <c r="C14535" t="s">
        <v>13169</v>
      </c>
      <c r="D14535" t="s">
        <v>18829</v>
      </c>
      <c r="E14535" t="s">
        <v>31394</v>
      </c>
      <c r="F14535" t="s">
        <v>32664</v>
      </c>
      <c r="G14535" t="s">
        <v>32672</v>
      </c>
      <c r="H14535" t="s">
        <v>32683</v>
      </c>
      <c r="I14535" t="s">
        <v>32733</v>
      </c>
      <c r="J14535" t="s">
        <v>33167</v>
      </c>
      <c r="K14535" t="s">
        <v>42298</v>
      </c>
      <c r="M14535" t="s">
        <v>45474</v>
      </c>
      <c r="N14535" t="s">
        <v>46569</v>
      </c>
      <c r="O14535" t="s">
        <v>46570</v>
      </c>
      <c r="P14535">
        <v>0</v>
      </c>
      <c r="Q14535">
        <v>10</v>
      </c>
      <c r="R14535" t="s">
        <v>46587</v>
      </c>
      <c r="S14535" t="s">
        <v>47373</v>
      </c>
      <c r="T14535" t="s">
        <v>48334</v>
      </c>
      <c r="U14535" t="s">
        <v>60447</v>
      </c>
      <c r="W14535" t="s">
        <v>45474</v>
      </c>
      <c r="X14535" t="s">
        <v>46588</v>
      </c>
    </row>
    <row r="14536" spans="1:24">
      <c r="A14536">
        <f>HYPERLINK("https://www.philgeps.gov.ph/GEPSNONPILOT/Tender/SplashBidNoticeAbstractUI.aspx?menuIndex=3&amp;refID=7035118&amp;Result=3","7035118")</f>
        <v>0</v>
      </c>
      <c r="B14536" t="s">
        <v>3310</v>
      </c>
      <c r="C14536" t="s">
        <v>17360</v>
      </c>
      <c r="D14536" t="s">
        <v>18831</v>
      </c>
      <c r="E14536" t="s">
        <v>31395</v>
      </c>
      <c r="F14536" t="s">
        <v>32664</v>
      </c>
      <c r="G14536" t="s">
        <v>32672</v>
      </c>
      <c r="H14536" t="s">
        <v>32683</v>
      </c>
      <c r="I14536" t="s">
        <v>10627</v>
      </c>
      <c r="J14536" t="s">
        <v>34147</v>
      </c>
      <c r="K14536" t="s">
        <v>42428</v>
      </c>
      <c r="M14536" t="s">
        <v>46256</v>
      </c>
      <c r="N14536" t="s">
        <v>46569</v>
      </c>
      <c r="O14536" t="s">
        <v>46570</v>
      </c>
      <c r="P14536">
        <v>0</v>
      </c>
      <c r="Q14536">
        <v>0</v>
      </c>
      <c r="R14536" t="s">
        <v>46587</v>
      </c>
      <c r="S14536" t="s">
        <v>47373</v>
      </c>
      <c r="T14536" t="s">
        <v>48221</v>
      </c>
      <c r="U14536" t="s">
        <v>60448</v>
      </c>
      <c r="V14536" t="s">
        <v>63101</v>
      </c>
      <c r="W14536" t="s">
        <v>46256</v>
      </c>
      <c r="X14536" t="s">
        <v>46588</v>
      </c>
    </row>
    <row r="14537" spans="1:24">
      <c r="A14537">
        <f>HYPERLINK("https://www.philgeps.gov.ph/GEPSNONPILOT/Tender/SplashBidNoticeAbstractUI.aspx?menuIndex=3&amp;refID=7035090&amp;Result=3","7035090")</f>
        <v>0</v>
      </c>
      <c r="B14537" t="s">
        <v>2652</v>
      </c>
      <c r="C14537" t="s">
        <v>13169</v>
      </c>
      <c r="D14537" t="s">
        <v>18829</v>
      </c>
      <c r="E14537" t="s">
        <v>31396</v>
      </c>
      <c r="F14537" t="s">
        <v>32664</v>
      </c>
      <c r="G14537" t="s">
        <v>32672</v>
      </c>
      <c r="H14537" t="s">
        <v>32683</v>
      </c>
      <c r="I14537" t="s">
        <v>32733</v>
      </c>
      <c r="J14537" t="s">
        <v>32837</v>
      </c>
      <c r="K14537" t="s">
        <v>42311</v>
      </c>
      <c r="M14537" t="s">
        <v>45474</v>
      </c>
      <c r="N14537" t="s">
        <v>46569</v>
      </c>
      <c r="O14537" t="s">
        <v>46570</v>
      </c>
      <c r="P14537">
        <v>0</v>
      </c>
      <c r="Q14537">
        <v>10</v>
      </c>
      <c r="R14537" t="s">
        <v>46587</v>
      </c>
      <c r="S14537" t="s">
        <v>47373</v>
      </c>
      <c r="T14537" t="s">
        <v>48334</v>
      </c>
      <c r="U14537" t="s">
        <v>60449</v>
      </c>
      <c r="W14537" t="s">
        <v>45474</v>
      </c>
      <c r="X14537" t="s">
        <v>46588</v>
      </c>
    </row>
    <row r="14538" spans="1:24">
      <c r="A14538">
        <f>HYPERLINK("https://www.philgeps.gov.ph/GEPSNONPILOT/Tender/SplashBidNoticeAbstractUI.aspx?menuIndex=3&amp;refID=7035258&amp;Result=3","7035258")</f>
        <v>0</v>
      </c>
      <c r="B14538" t="s">
        <v>1574</v>
      </c>
      <c r="C14538" t="s">
        <v>17361</v>
      </c>
      <c r="D14538" t="s">
        <v>18830</v>
      </c>
      <c r="E14538" t="s">
        <v>31397</v>
      </c>
      <c r="F14538" t="s">
        <v>32664</v>
      </c>
      <c r="G14538" t="s">
        <v>32672</v>
      </c>
      <c r="H14538" t="s">
        <v>12635</v>
      </c>
      <c r="I14538" t="s">
        <v>11464</v>
      </c>
      <c r="J14538" t="s">
        <v>33273</v>
      </c>
      <c r="K14538" t="s">
        <v>42289</v>
      </c>
      <c r="M14538" t="s">
        <v>44249</v>
      </c>
      <c r="N14538" t="s">
        <v>46569</v>
      </c>
      <c r="O14538" t="s">
        <v>46570</v>
      </c>
      <c r="P14538">
        <v>0</v>
      </c>
      <c r="Q14538">
        <v>4</v>
      </c>
      <c r="R14538" t="s">
        <v>46587</v>
      </c>
      <c r="S14538" t="s">
        <v>47373</v>
      </c>
      <c r="T14538" t="s">
        <v>48296</v>
      </c>
      <c r="U14538" t="s">
        <v>60450</v>
      </c>
      <c r="V14538" t="s">
        <v>62075</v>
      </c>
      <c r="W14538" t="s">
        <v>44249</v>
      </c>
      <c r="X14538" t="s">
        <v>46588</v>
      </c>
    </row>
    <row r="14539" spans="1:24">
      <c r="A14539">
        <f>HYPERLINK("https://www.philgeps.gov.ph/GEPSNONPILOT/Tender/SplashBidNoticeAbstractUI.aspx?menuIndex=3&amp;refID=7035032&amp;Result=3","7035032")</f>
        <v>0</v>
      </c>
      <c r="B14539" t="s">
        <v>913</v>
      </c>
      <c r="C14539" t="s">
        <v>17362</v>
      </c>
      <c r="D14539" t="s">
        <v>18804</v>
      </c>
      <c r="E14539" t="s">
        <v>31398</v>
      </c>
      <c r="F14539" t="s">
        <v>32664</v>
      </c>
      <c r="G14539" t="s">
        <v>32672</v>
      </c>
      <c r="H14539" t="s">
        <v>12635</v>
      </c>
      <c r="I14539" t="s">
        <v>32789</v>
      </c>
      <c r="J14539" t="s">
        <v>33273</v>
      </c>
      <c r="K14539" t="s">
        <v>42298</v>
      </c>
      <c r="M14539" t="s">
        <v>44911</v>
      </c>
      <c r="N14539" t="s">
        <v>46569</v>
      </c>
      <c r="O14539" t="s">
        <v>46570</v>
      </c>
      <c r="Q14539">
        <v>3</v>
      </c>
      <c r="R14539" t="s">
        <v>46587</v>
      </c>
      <c r="S14539" t="s">
        <v>47532</v>
      </c>
      <c r="T14539" t="s">
        <v>48283</v>
      </c>
      <c r="U14539" t="s">
        <v>60451</v>
      </c>
      <c r="W14539" t="s">
        <v>44911</v>
      </c>
      <c r="X14539" t="s">
        <v>46588</v>
      </c>
    </row>
    <row r="14540" spans="1:24">
      <c r="A14540">
        <f>HYPERLINK("https://www.philgeps.gov.ph/GEPSNONPILOT/Tender/SplashBidNoticeAbstractUI.aspx?menuIndex=3&amp;refID=7035115&amp;Result=3","7035115")</f>
        <v>0</v>
      </c>
      <c r="B14540" t="s">
        <v>2398</v>
      </c>
      <c r="C14540" t="s">
        <v>17363</v>
      </c>
      <c r="D14540" t="s">
        <v>18781</v>
      </c>
      <c r="E14540" t="s">
        <v>31399</v>
      </c>
      <c r="F14540" t="s">
        <v>32664</v>
      </c>
      <c r="G14540" t="s">
        <v>32672</v>
      </c>
      <c r="H14540" t="s">
        <v>32683</v>
      </c>
      <c r="I14540" t="s">
        <v>10627</v>
      </c>
      <c r="J14540" t="s">
        <v>41446</v>
      </c>
      <c r="K14540" t="s">
        <v>42311</v>
      </c>
      <c r="M14540" t="s">
        <v>45188</v>
      </c>
      <c r="N14540" t="s">
        <v>46569</v>
      </c>
      <c r="O14540" t="s">
        <v>46570</v>
      </c>
      <c r="P14540">
        <v>0</v>
      </c>
      <c r="Q14540">
        <v>0</v>
      </c>
      <c r="R14540" t="s">
        <v>46587</v>
      </c>
      <c r="S14540" t="s">
        <v>47373</v>
      </c>
      <c r="T14540" t="s">
        <v>48599</v>
      </c>
      <c r="U14540" t="s">
        <v>60452</v>
      </c>
      <c r="W14540" t="s">
        <v>45188</v>
      </c>
      <c r="X14540" t="s">
        <v>46588</v>
      </c>
    </row>
    <row r="14541" spans="1:24">
      <c r="A14541">
        <f>HYPERLINK("https://www.philgeps.gov.ph/GEPSNONPILOT/Tender/SplashBidNoticeAbstractUI.aspx?menuIndex=3&amp;refID=7035028&amp;Result=3","7035028")</f>
        <v>0</v>
      </c>
      <c r="B14541" t="s">
        <v>3306</v>
      </c>
      <c r="C14541" t="s">
        <v>17364</v>
      </c>
      <c r="D14541" t="s">
        <v>18781</v>
      </c>
      <c r="E14541" t="s">
        <v>31400</v>
      </c>
      <c r="F14541" t="s">
        <v>32664</v>
      </c>
      <c r="G14541" t="s">
        <v>32672</v>
      </c>
      <c r="H14541" t="s">
        <v>32683</v>
      </c>
      <c r="I14541" t="s">
        <v>10627</v>
      </c>
      <c r="J14541" t="s">
        <v>41447</v>
      </c>
      <c r="K14541" t="s">
        <v>42541</v>
      </c>
      <c r="M14541" t="s">
        <v>46251</v>
      </c>
      <c r="N14541" t="s">
        <v>46569</v>
      </c>
      <c r="O14541" t="s">
        <v>46570</v>
      </c>
      <c r="P14541">
        <v>0</v>
      </c>
      <c r="Q14541">
        <v>3</v>
      </c>
      <c r="R14541" t="s">
        <v>46587</v>
      </c>
      <c r="S14541" t="s">
        <v>47373</v>
      </c>
      <c r="T14541" t="s">
        <v>48268</v>
      </c>
      <c r="U14541" t="s">
        <v>60453</v>
      </c>
      <c r="W14541" t="s">
        <v>46251</v>
      </c>
      <c r="X14541" t="s">
        <v>46588</v>
      </c>
    </row>
    <row r="14542" spans="1:24">
      <c r="A14542">
        <f>HYPERLINK("https://www.philgeps.gov.ph/GEPSNONPILOT/Tender/SplashBidNoticeAbstractUI.aspx?menuIndex=3&amp;refID=7035089&amp;Result=3","7035089")</f>
        <v>0</v>
      </c>
      <c r="B14542" t="s">
        <v>1744</v>
      </c>
      <c r="C14542" t="s">
        <v>17365</v>
      </c>
      <c r="D14542" t="s">
        <v>18788</v>
      </c>
      <c r="E14542" t="s">
        <v>21069</v>
      </c>
      <c r="F14542" t="s">
        <v>32664</v>
      </c>
      <c r="G14542" t="s">
        <v>32672</v>
      </c>
      <c r="H14542" t="s">
        <v>12635</v>
      </c>
      <c r="I14542" t="s">
        <v>11464</v>
      </c>
      <c r="J14542" t="s">
        <v>32943</v>
      </c>
      <c r="K14542" t="s">
        <v>42283</v>
      </c>
      <c r="M14542" t="s">
        <v>44443</v>
      </c>
      <c r="N14542" t="s">
        <v>46569</v>
      </c>
      <c r="O14542" t="s">
        <v>46570</v>
      </c>
      <c r="P14542">
        <v>0</v>
      </c>
      <c r="Q14542">
        <v>8</v>
      </c>
      <c r="R14542" t="s">
        <v>46587</v>
      </c>
      <c r="S14542" t="s">
        <v>47373</v>
      </c>
      <c r="T14542" t="s">
        <v>48219</v>
      </c>
      <c r="U14542" t="s">
        <v>51540</v>
      </c>
      <c r="W14542" t="s">
        <v>44443</v>
      </c>
      <c r="X14542" t="s">
        <v>46588</v>
      </c>
    </row>
    <row r="14543" spans="1:24">
      <c r="A14543">
        <f>HYPERLINK("https://www.philgeps.gov.ph/GEPSNONPILOT/Tender/SplashBidNoticeAbstractUI.aspx?menuIndex=3&amp;refID=7035026&amp;Result=3","7035026")</f>
        <v>0</v>
      </c>
      <c r="B14543" t="s">
        <v>460</v>
      </c>
      <c r="C14543" t="s">
        <v>17366</v>
      </c>
      <c r="D14543" t="s">
        <v>18806</v>
      </c>
      <c r="E14543" t="s">
        <v>31401</v>
      </c>
      <c r="F14543" t="s">
        <v>32664</v>
      </c>
      <c r="G14543" t="s">
        <v>32672</v>
      </c>
      <c r="H14543" t="s">
        <v>32683</v>
      </c>
      <c r="I14543" t="s">
        <v>10627</v>
      </c>
      <c r="J14543" t="s">
        <v>41130</v>
      </c>
      <c r="K14543" t="s">
        <v>42370</v>
      </c>
      <c r="M14543" t="s">
        <v>45683</v>
      </c>
      <c r="N14543" t="s">
        <v>46569</v>
      </c>
      <c r="O14543" t="s">
        <v>46570</v>
      </c>
      <c r="Q14543">
        <v>5</v>
      </c>
      <c r="R14543" t="s">
        <v>46587</v>
      </c>
      <c r="S14543" t="s">
        <v>47533</v>
      </c>
      <c r="T14543" t="s">
        <v>48244</v>
      </c>
      <c r="U14543" t="s">
        <v>57088</v>
      </c>
      <c r="W14543" t="s">
        <v>45683</v>
      </c>
      <c r="X14543" t="s">
        <v>46588</v>
      </c>
    </row>
    <row r="14544" spans="1:24">
      <c r="A14544">
        <f>HYPERLINK("https://www.philgeps.gov.ph/GEPSNONPILOT/Tender/SplashBidNoticeAbstractUI.aspx?menuIndex=3&amp;refID=7034812&amp;Result=3","7034812")</f>
        <v>0</v>
      </c>
      <c r="B14544" t="s">
        <v>277</v>
      </c>
      <c r="C14544" t="s">
        <v>17367</v>
      </c>
      <c r="E14544" t="s">
        <v>31402</v>
      </c>
      <c r="F14544" t="s">
        <v>32664</v>
      </c>
      <c r="G14544" t="s">
        <v>32671</v>
      </c>
      <c r="H14544" t="s">
        <v>12635</v>
      </c>
      <c r="I14544" t="s">
        <v>32802</v>
      </c>
      <c r="J14544" t="s">
        <v>33160</v>
      </c>
      <c r="K14544" t="s">
        <v>42283</v>
      </c>
      <c r="M14544" t="s">
        <v>42842</v>
      </c>
      <c r="N14544" t="s">
        <v>46569</v>
      </c>
      <c r="O14544" t="s">
        <v>46570</v>
      </c>
      <c r="Q14544">
        <v>4</v>
      </c>
      <c r="R14544" t="s">
        <v>46587</v>
      </c>
      <c r="S14544" t="s">
        <v>46793</v>
      </c>
      <c r="T14544" t="s">
        <v>48473</v>
      </c>
      <c r="U14544" t="s">
        <v>51678</v>
      </c>
      <c r="W14544" t="s">
        <v>42842</v>
      </c>
      <c r="X14544" t="s">
        <v>46588</v>
      </c>
    </row>
    <row r="14545" spans="1:24">
      <c r="A14545">
        <f>HYPERLINK("https://www.philgeps.gov.ph/GEPSNONPILOT/Tender/SplashBidNoticeAbstractUI.aspx?menuIndex=3&amp;refID=7031607&amp;Result=3","7031607")</f>
        <v>0</v>
      </c>
      <c r="B14545" t="s">
        <v>273</v>
      </c>
      <c r="C14545" t="s">
        <v>17368</v>
      </c>
      <c r="D14545" t="s">
        <v>18812</v>
      </c>
      <c r="E14545" t="s">
        <v>31403</v>
      </c>
      <c r="F14545" t="s">
        <v>32664</v>
      </c>
      <c r="G14545" t="s">
        <v>32672</v>
      </c>
      <c r="H14545" t="s">
        <v>32683</v>
      </c>
      <c r="I14545" t="s">
        <v>10627</v>
      </c>
      <c r="J14545" t="s">
        <v>41433</v>
      </c>
      <c r="K14545" t="s">
        <v>42290</v>
      </c>
      <c r="M14545" t="s">
        <v>42838</v>
      </c>
      <c r="N14545" t="s">
        <v>46569</v>
      </c>
      <c r="O14545" t="s">
        <v>46570</v>
      </c>
      <c r="P14545">
        <v>0</v>
      </c>
      <c r="Q14545">
        <v>0</v>
      </c>
      <c r="R14545" t="s">
        <v>46588</v>
      </c>
      <c r="S14545" t="s">
        <v>47467</v>
      </c>
      <c r="T14545" t="s">
        <v>48314</v>
      </c>
      <c r="U14545" t="s">
        <v>60454</v>
      </c>
      <c r="W14545" t="s">
        <v>42838</v>
      </c>
      <c r="X14545" t="s">
        <v>46591</v>
      </c>
    </row>
    <row r="14546" spans="1:24">
      <c r="A14546">
        <f>HYPERLINK("https://www.philgeps.gov.ph/GEPSNONPILOT/Tender/SplashBidNoticeAbstractUI.aspx?menuIndex=3&amp;refID=7034871&amp;Result=3","7034871")</f>
        <v>0</v>
      </c>
      <c r="B14546" t="s">
        <v>460</v>
      </c>
      <c r="C14546" t="s">
        <v>17369</v>
      </c>
      <c r="D14546" t="s">
        <v>18806</v>
      </c>
      <c r="E14546" t="s">
        <v>31404</v>
      </c>
      <c r="F14546" t="s">
        <v>32664</v>
      </c>
      <c r="G14546" t="s">
        <v>32672</v>
      </c>
      <c r="H14546" t="s">
        <v>32683</v>
      </c>
      <c r="I14546" t="s">
        <v>10627</v>
      </c>
      <c r="J14546" t="s">
        <v>33615</v>
      </c>
      <c r="K14546" t="s">
        <v>42326</v>
      </c>
      <c r="M14546" t="s">
        <v>45683</v>
      </c>
      <c r="N14546" t="s">
        <v>46569</v>
      </c>
      <c r="O14546" t="s">
        <v>46570</v>
      </c>
      <c r="Q14546">
        <v>0</v>
      </c>
      <c r="R14546" t="s">
        <v>46587</v>
      </c>
      <c r="S14546" t="s">
        <v>47534</v>
      </c>
      <c r="T14546" t="s">
        <v>48244</v>
      </c>
      <c r="U14546" t="s">
        <v>57088</v>
      </c>
      <c r="W14546" t="s">
        <v>45683</v>
      </c>
      <c r="X14546" t="s">
        <v>46588</v>
      </c>
    </row>
    <row r="14547" spans="1:24">
      <c r="A14547">
        <f>HYPERLINK("https://www.philgeps.gov.ph/GEPSNONPILOT/Tender/SplashBidNoticeAbstractUI.aspx?menuIndex=3&amp;refID=7034761&amp;Result=3","7034761")</f>
        <v>0</v>
      </c>
      <c r="B14547" t="s">
        <v>162</v>
      </c>
      <c r="C14547" t="s">
        <v>17370</v>
      </c>
      <c r="D14547" t="s">
        <v>18788</v>
      </c>
      <c r="E14547" t="s">
        <v>31405</v>
      </c>
      <c r="F14547" t="s">
        <v>32664</v>
      </c>
      <c r="G14547" t="s">
        <v>32672</v>
      </c>
      <c r="H14547" t="s">
        <v>32683</v>
      </c>
      <c r="I14547" t="s">
        <v>10627</v>
      </c>
      <c r="J14547" t="s">
        <v>40854</v>
      </c>
      <c r="K14547" t="s">
        <v>42298</v>
      </c>
      <c r="M14547" t="s">
        <v>42726</v>
      </c>
      <c r="N14547" t="s">
        <v>46569</v>
      </c>
      <c r="O14547" t="s">
        <v>46570</v>
      </c>
      <c r="P14547">
        <v>0</v>
      </c>
      <c r="Q14547">
        <v>2</v>
      </c>
      <c r="R14547" t="s">
        <v>46587</v>
      </c>
      <c r="S14547" t="s">
        <v>47373</v>
      </c>
      <c r="T14547" t="s">
        <v>48293</v>
      </c>
      <c r="U14547" t="s">
        <v>60455</v>
      </c>
      <c r="W14547" t="s">
        <v>42726</v>
      </c>
      <c r="X14547" t="s">
        <v>46588</v>
      </c>
    </row>
    <row r="14548" spans="1:24">
      <c r="A14548">
        <f>HYPERLINK("https://www.philgeps.gov.ph/GEPSNONPILOT/Tender/SplashBidNoticeAbstractUI.aspx?menuIndex=3&amp;refID=7034873&amp;Result=3","7034873")</f>
        <v>0</v>
      </c>
      <c r="B14548" t="s">
        <v>1093</v>
      </c>
      <c r="C14548" t="s">
        <v>17371</v>
      </c>
      <c r="D14548" t="s">
        <v>18784</v>
      </c>
      <c r="E14548" t="s">
        <v>31406</v>
      </c>
      <c r="F14548" t="s">
        <v>32664</v>
      </c>
      <c r="G14548" t="s">
        <v>32671</v>
      </c>
      <c r="H14548" t="s">
        <v>12635</v>
      </c>
      <c r="I14548" t="s">
        <v>10361</v>
      </c>
      <c r="J14548" t="s">
        <v>41448</v>
      </c>
      <c r="K14548" t="s">
        <v>42281</v>
      </c>
      <c r="M14548" t="s">
        <v>43720</v>
      </c>
      <c r="N14548" t="s">
        <v>46569</v>
      </c>
      <c r="O14548" t="s">
        <v>46570</v>
      </c>
      <c r="Q14548">
        <v>1</v>
      </c>
      <c r="R14548" t="s">
        <v>46587</v>
      </c>
      <c r="S14548" t="s">
        <v>47535</v>
      </c>
      <c r="T14548" t="s">
        <v>48307</v>
      </c>
      <c r="U14548" t="s">
        <v>60456</v>
      </c>
      <c r="V14548" t="s">
        <v>61652</v>
      </c>
      <c r="W14548" t="s">
        <v>43720</v>
      </c>
      <c r="X14548" t="s">
        <v>46588</v>
      </c>
    </row>
    <row r="14549" spans="1:24">
      <c r="A14549">
        <f>HYPERLINK("https://www.philgeps.gov.ph/GEPSNONPILOT/Tender/SplashBidNoticeAbstractUI.aspx?menuIndex=3&amp;refID=7034766&amp;Result=3","7034766")</f>
        <v>0</v>
      </c>
      <c r="B14549" t="s">
        <v>3306</v>
      </c>
      <c r="C14549" t="s">
        <v>17372</v>
      </c>
      <c r="D14549" t="s">
        <v>18781</v>
      </c>
      <c r="E14549" t="s">
        <v>31407</v>
      </c>
      <c r="F14549" t="s">
        <v>32664</v>
      </c>
      <c r="G14549" t="s">
        <v>32672</v>
      </c>
      <c r="H14549" t="s">
        <v>32683</v>
      </c>
      <c r="I14549" t="s">
        <v>10627</v>
      </c>
      <c r="J14549" t="s">
        <v>41449</v>
      </c>
      <c r="K14549" t="s">
        <v>42374</v>
      </c>
      <c r="M14549" t="s">
        <v>46251</v>
      </c>
      <c r="N14549" t="s">
        <v>46569</v>
      </c>
      <c r="O14549" t="s">
        <v>46570</v>
      </c>
      <c r="P14549">
        <v>0</v>
      </c>
      <c r="Q14549">
        <v>1</v>
      </c>
      <c r="R14549" t="s">
        <v>46587</v>
      </c>
      <c r="S14549" t="s">
        <v>47373</v>
      </c>
      <c r="T14549" t="s">
        <v>48283</v>
      </c>
      <c r="U14549" t="s">
        <v>60457</v>
      </c>
      <c r="W14549" t="s">
        <v>46251</v>
      </c>
      <c r="X14549" t="s">
        <v>46588</v>
      </c>
    </row>
    <row r="14550" spans="1:24">
      <c r="A14550">
        <f>HYPERLINK("https://www.philgeps.gov.ph/GEPSNONPILOT/Tender/SplashBidNoticeAbstractUI.aspx?menuIndex=3&amp;refID=7034747&amp;Result=3","7034747")</f>
        <v>0</v>
      </c>
      <c r="B14550" t="s">
        <v>884</v>
      </c>
      <c r="C14550" t="s">
        <v>17373</v>
      </c>
      <c r="D14550" t="s">
        <v>18816</v>
      </c>
      <c r="E14550" t="s">
        <v>31408</v>
      </c>
      <c r="F14550" t="s">
        <v>32664</v>
      </c>
      <c r="G14550" t="s">
        <v>32672</v>
      </c>
      <c r="H14550" t="s">
        <v>12635</v>
      </c>
      <c r="I14550" t="s">
        <v>11464</v>
      </c>
      <c r="J14550" t="s">
        <v>39001</v>
      </c>
      <c r="K14550" t="s">
        <v>42281</v>
      </c>
      <c r="M14550" t="s">
        <v>43485</v>
      </c>
      <c r="N14550" t="s">
        <v>46569</v>
      </c>
      <c r="O14550" t="s">
        <v>46570</v>
      </c>
      <c r="P14550">
        <v>0</v>
      </c>
      <c r="Q14550">
        <v>3</v>
      </c>
      <c r="R14550" t="s">
        <v>46587</v>
      </c>
      <c r="S14550" t="s">
        <v>47373</v>
      </c>
      <c r="T14550" t="s">
        <v>48436</v>
      </c>
      <c r="U14550" t="s">
        <v>60458</v>
      </c>
      <c r="W14550" t="s">
        <v>43485</v>
      </c>
      <c r="X14550" t="s">
        <v>46588</v>
      </c>
    </row>
    <row r="14551" spans="1:24">
      <c r="A14551">
        <f>HYPERLINK("https://www.philgeps.gov.ph/GEPSNONPILOT/Tender/SplashBidNoticeAbstractUI.aspx?menuIndex=3&amp;refID=7034743&amp;Result=3","7034743")</f>
        <v>0</v>
      </c>
      <c r="B14551" t="s">
        <v>849</v>
      </c>
      <c r="C14551" t="s">
        <v>17374</v>
      </c>
      <c r="D14551" t="s">
        <v>18836</v>
      </c>
      <c r="E14551" t="s">
        <v>31409</v>
      </c>
      <c r="F14551" t="s">
        <v>32664</v>
      </c>
      <c r="G14551" t="s">
        <v>32672</v>
      </c>
      <c r="H14551" t="s">
        <v>12635</v>
      </c>
      <c r="I14551" t="s">
        <v>32688</v>
      </c>
      <c r="J14551" t="s">
        <v>41450</v>
      </c>
      <c r="K14551" t="s">
        <v>42298</v>
      </c>
      <c r="M14551" t="s">
        <v>43445</v>
      </c>
      <c r="N14551" t="s">
        <v>46569</v>
      </c>
      <c r="O14551" t="s">
        <v>46570</v>
      </c>
      <c r="P14551">
        <v>0</v>
      </c>
      <c r="Q14551">
        <v>1</v>
      </c>
      <c r="R14551" t="s">
        <v>46587</v>
      </c>
      <c r="S14551" t="s">
        <v>47373</v>
      </c>
      <c r="T14551" t="s">
        <v>48249</v>
      </c>
      <c r="U14551" t="s">
        <v>60459</v>
      </c>
      <c r="V14551" t="s">
        <v>63249</v>
      </c>
      <c r="W14551" t="s">
        <v>63491</v>
      </c>
      <c r="X14551" t="s">
        <v>46588</v>
      </c>
    </row>
    <row r="14552" spans="1:24">
      <c r="A14552">
        <f>HYPERLINK("https://www.philgeps.gov.ph/GEPSNONPILOT/Tender/SplashBidNoticeAbstractUI.aspx?menuIndex=3&amp;refID=7032527&amp;Result=3","7032527")</f>
        <v>0</v>
      </c>
      <c r="B14552" t="s">
        <v>841</v>
      </c>
      <c r="C14552" t="s">
        <v>17375</v>
      </c>
      <c r="D14552" t="s">
        <v>18784</v>
      </c>
      <c r="E14552" t="s">
        <v>31410</v>
      </c>
      <c r="F14552" t="s">
        <v>32664</v>
      </c>
      <c r="G14552" t="s">
        <v>32672</v>
      </c>
      <c r="H14552" t="s">
        <v>32682</v>
      </c>
      <c r="I14552" t="s">
        <v>32706</v>
      </c>
      <c r="J14552" t="s">
        <v>41451</v>
      </c>
      <c r="K14552" t="s">
        <v>42348</v>
      </c>
      <c r="M14552" t="s">
        <v>46403</v>
      </c>
      <c r="N14552" t="s">
        <v>46569</v>
      </c>
      <c r="O14552" t="s">
        <v>46570</v>
      </c>
      <c r="Q14552">
        <v>2</v>
      </c>
      <c r="R14552" t="s">
        <v>46588</v>
      </c>
      <c r="S14552" t="s">
        <v>47536</v>
      </c>
      <c r="T14552" t="s">
        <v>48741</v>
      </c>
      <c r="U14552" t="s">
        <v>60460</v>
      </c>
      <c r="W14552" t="s">
        <v>46403</v>
      </c>
      <c r="X14552" t="s">
        <v>46589</v>
      </c>
    </row>
    <row r="14553" spans="1:24">
      <c r="A14553">
        <f>HYPERLINK("https://www.philgeps.gov.ph/GEPSNONPILOT/Tender/SplashBidNoticeAbstractUI.aspx?menuIndex=3&amp;refID=7034358&amp;Result=3","7034358")</f>
        <v>0</v>
      </c>
      <c r="B14553" t="s">
        <v>521</v>
      </c>
      <c r="C14553" t="s">
        <v>17376</v>
      </c>
      <c r="D14553" t="s">
        <v>18782</v>
      </c>
      <c r="E14553" t="s">
        <v>31411</v>
      </c>
      <c r="F14553" t="s">
        <v>32664</v>
      </c>
      <c r="G14553" t="s">
        <v>32672</v>
      </c>
      <c r="H14553" t="s">
        <v>12635</v>
      </c>
      <c r="I14553" t="s">
        <v>6628</v>
      </c>
      <c r="J14553" t="s">
        <v>41452</v>
      </c>
      <c r="K14553" t="s">
        <v>42281</v>
      </c>
      <c r="M14553" t="s">
        <v>43098</v>
      </c>
      <c r="N14553" t="s">
        <v>46569</v>
      </c>
      <c r="O14553" t="s">
        <v>46570</v>
      </c>
      <c r="P14553">
        <v>0</v>
      </c>
      <c r="Q14553">
        <v>1</v>
      </c>
      <c r="R14553" t="s">
        <v>46587</v>
      </c>
      <c r="S14553" t="s">
        <v>47373</v>
      </c>
      <c r="T14553" t="s">
        <v>48244</v>
      </c>
      <c r="U14553" t="s">
        <v>60461</v>
      </c>
      <c r="W14553" t="s">
        <v>43098</v>
      </c>
      <c r="X14553" t="s">
        <v>46588</v>
      </c>
    </row>
    <row r="14554" spans="1:24">
      <c r="A14554">
        <f>HYPERLINK("https://www.philgeps.gov.ph/GEPSNONPILOT/Tender/SplashBidNoticeAbstractUI.aspx?menuIndex=3&amp;refID=7034156&amp;Result=3","7034156")</f>
        <v>0</v>
      </c>
      <c r="B14554" t="s">
        <v>2097</v>
      </c>
      <c r="C14554" t="s">
        <v>17377</v>
      </c>
      <c r="D14554" t="s">
        <v>18818</v>
      </c>
      <c r="E14554" t="s">
        <v>31412</v>
      </c>
      <c r="F14554" t="s">
        <v>32664</v>
      </c>
      <c r="G14554" t="s">
        <v>32672</v>
      </c>
      <c r="H14554" t="s">
        <v>12635</v>
      </c>
      <c r="I14554" t="s">
        <v>32684</v>
      </c>
      <c r="J14554" t="s">
        <v>36415</v>
      </c>
      <c r="K14554" t="s">
        <v>42311</v>
      </c>
      <c r="M14554" t="s">
        <v>44852</v>
      </c>
      <c r="N14554" t="s">
        <v>46569</v>
      </c>
      <c r="O14554" t="s">
        <v>46570</v>
      </c>
      <c r="Q14554">
        <v>10</v>
      </c>
      <c r="R14554" t="s">
        <v>46587</v>
      </c>
      <c r="S14554" t="s">
        <v>47537</v>
      </c>
      <c r="T14554" t="s">
        <v>48244</v>
      </c>
      <c r="U14554" t="s">
        <v>60462</v>
      </c>
      <c r="V14554" t="s">
        <v>63250</v>
      </c>
      <c r="W14554" t="s">
        <v>44852</v>
      </c>
      <c r="X14554" t="s">
        <v>46588</v>
      </c>
    </row>
    <row r="14555" spans="1:24">
      <c r="A14555">
        <f>HYPERLINK("https://www.philgeps.gov.ph/GEPSNONPILOT/Tender/SplashBidNoticeAbstractUI.aspx?menuIndex=3&amp;refID=7034154&amp;Result=3","7034154")</f>
        <v>0</v>
      </c>
      <c r="B14555" t="s">
        <v>796</v>
      </c>
      <c r="C14555" t="s">
        <v>17378</v>
      </c>
      <c r="D14555" t="s">
        <v>18801</v>
      </c>
      <c r="E14555" t="s">
        <v>31413</v>
      </c>
      <c r="F14555" t="s">
        <v>32664</v>
      </c>
      <c r="G14555" t="s">
        <v>32672</v>
      </c>
      <c r="H14555" t="s">
        <v>32683</v>
      </c>
      <c r="I14555" t="s">
        <v>10627</v>
      </c>
      <c r="J14555" t="s">
        <v>41453</v>
      </c>
      <c r="K14555" t="s">
        <v>42298</v>
      </c>
      <c r="M14555" t="s">
        <v>43388</v>
      </c>
      <c r="N14555" t="s">
        <v>46569</v>
      </c>
      <c r="O14555" t="s">
        <v>46570</v>
      </c>
      <c r="P14555">
        <v>0</v>
      </c>
      <c r="Q14555">
        <v>22</v>
      </c>
      <c r="R14555" t="s">
        <v>46587</v>
      </c>
      <c r="S14555" t="s">
        <v>47373</v>
      </c>
      <c r="T14555" t="s">
        <v>48283</v>
      </c>
      <c r="U14555" t="s">
        <v>60463</v>
      </c>
      <c r="W14555" t="s">
        <v>63490</v>
      </c>
      <c r="X14555" t="s">
        <v>46588</v>
      </c>
    </row>
    <row r="14556" spans="1:24">
      <c r="A14556">
        <f>HYPERLINK("https://www.philgeps.gov.ph/GEPSNONPILOT/Tender/SplashBidNoticeAbstractUI.aspx?menuIndex=3&amp;refID=7034136&amp;Result=3","7034136")</f>
        <v>0</v>
      </c>
      <c r="B14556" t="s">
        <v>776</v>
      </c>
      <c r="C14556" t="s">
        <v>17379</v>
      </c>
      <c r="D14556" t="s">
        <v>18788</v>
      </c>
      <c r="E14556" t="s">
        <v>31414</v>
      </c>
      <c r="F14556" t="s">
        <v>32664</v>
      </c>
      <c r="G14556" t="s">
        <v>32672</v>
      </c>
      <c r="H14556" t="s">
        <v>32683</v>
      </c>
      <c r="I14556" t="s">
        <v>10627</v>
      </c>
      <c r="J14556" t="s">
        <v>35589</v>
      </c>
      <c r="K14556" t="s">
        <v>42290</v>
      </c>
      <c r="M14556" t="s">
        <v>43368</v>
      </c>
      <c r="N14556" t="s">
        <v>46569</v>
      </c>
      <c r="O14556" t="s">
        <v>46570</v>
      </c>
      <c r="P14556">
        <v>0</v>
      </c>
      <c r="Q14556">
        <v>1</v>
      </c>
      <c r="R14556" t="s">
        <v>46587</v>
      </c>
      <c r="S14556" t="s">
        <v>47373</v>
      </c>
      <c r="T14556" t="s">
        <v>48314</v>
      </c>
      <c r="U14556" t="s">
        <v>60464</v>
      </c>
      <c r="W14556" t="s">
        <v>43368</v>
      </c>
      <c r="X14556" t="s">
        <v>46588</v>
      </c>
    </row>
    <row r="14557" spans="1:24">
      <c r="A14557">
        <f>HYPERLINK("https://www.philgeps.gov.ph/GEPSNONPILOT/Tender/SplashBidNoticeAbstractUI.aspx?menuIndex=3&amp;refID=7034134&amp;Result=3","7034134")</f>
        <v>0</v>
      </c>
      <c r="B14557" t="s">
        <v>3047</v>
      </c>
      <c r="C14557" t="s">
        <v>17380</v>
      </c>
      <c r="D14557" t="s">
        <v>18786</v>
      </c>
      <c r="E14557" t="s">
        <v>31415</v>
      </c>
      <c r="F14557" t="s">
        <v>32664</v>
      </c>
      <c r="G14557" t="s">
        <v>32672</v>
      </c>
      <c r="H14557" t="s">
        <v>12635</v>
      </c>
      <c r="I14557" t="s">
        <v>32704</v>
      </c>
      <c r="J14557" t="s">
        <v>41454</v>
      </c>
      <c r="K14557" t="s">
        <v>42298</v>
      </c>
      <c r="M14557" t="s">
        <v>45921</v>
      </c>
      <c r="N14557" t="s">
        <v>46569</v>
      </c>
      <c r="O14557" t="s">
        <v>46570</v>
      </c>
      <c r="Q14557">
        <v>36</v>
      </c>
      <c r="R14557" t="s">
        <v>46587</v>
      </c>
      <c r="S14557" t="s">
        <v>47538</v>
      </c>
      <c r="T14557" t="s">
        <v>48246</v>
      </c>
      <c r="U14557" t="s">
        <v>57910</v>
      </c>
      <c r="V14557" t="s">
        <v>63054</v>
      </c>
      <c r="W14557" t="s">
        <v>45921</v>
      </c>
      <c r="X14557" t="s">
        <v>46588</v>
      </c>
    </row>
    <row r="14558" spans="1:24">
      <c r="A14558">
        <f>HYPERLINK("https://www.philgeps.gov.ph/GEPSNONPILOT/Tender/SplashBidNoticeAbstractUI.aspx?menuIndex=3&amp;refID=7034132&amp;Result=3","7034132")</f>
        <v>0</v>
      </c>
      <c r="B14558" t="s">
        <v>884</v>
      </c>
      <c r="C14558" t="s">
        <v>17381</v>
      </c>
      <c r="D14558" t="s">
        <v>18816</v>
      </c>
      <c r="E14558" t="s">
        <v>31416</v>
      </c>
      <c r="F14558" t="s">
        <v>32664</v>
      </c>
      <c r="G14558" t="s">
        <v>32672</v>
      </c>
      <c r="H14558" t="s">
        <v>12635</v>
      </c>
      <c r="I14558" t="s">
        <v>11464</v>
      </c>
      <c r="J14558" t="s">
        <v>32982</v>
      </c>
      <c r="K14558" t="s">
        <v>42281</v>
      </c>
      <c r="M14558" t="s">
        <v>43485</v>
      </c>
      <c r="N14558" t="s">
        <v>46569</v>
      </c>
      <c r="O14558" t="s">
        <v>46570</v>
      </c>
      <c r="P14558">
        <v>0</v>
      </c>
      <c r="Q14558">
        <v>5</v>
      </c>
      <c r="R14558" t="s">
        <v>46587</v>
      </c>
      <c r="S14558" t="s">
        <v>47373</v>
      </c>
      <c r="T14558" t="s">
        <v>48436</v>
      </c>
      <c r="U14558" t="s">
        <v>60465</v>
      </c>
      <c r="W14558" t="s">
        <v>43485</v>
      </c>
      <c r="X14558" t="s">
        <v>46588</v>
      </c>
    </row>
    <row r="14559" spans="1:24">
      <c r="A14559">
        <f>HYPERLINK("https://www.philgeps.gov.ph/GEPSNONPILOT/Tender/SplashBidNoticeAbstractUI.aspx?menuIndex=3&amp;refID=7034117&amp;Result=3","7034117")</f>
        <v>0</v>
      </c>
      <c r="B14559" t="s">
        <v>2242</v>
      </c>
      <c r="C14559" t="s">
        <v>17382</v>
      </c>
      <c r="D14559" t="s">
        <v>18820</v>
      </c>
      <c r="E14559" t="s">
        <v>22226</v>
      </c>
      <c r="F14559" t="s">
        <v>32664</v>
      </c>
      <c r="G14559" t="s">
        <v>32672</v>
      </c>
      <c r="H14559" t="s">
        <v>32683</v>
      </c>
      <c r="I14559" t="s">
        <v>10627</v>
      </c>
      <c r="J14559" t="s">
        <v>41455</v>
      </c>
      <c r="K14559" t="s">
        <v>42285</v>
      </c>
      <c r="M14559" t="s">
        <v>45007</v>
      </c>
      <c r="N14559" t="s">
        <v>46569</v>
      </c>
      <c r="O14559" t="s">
        <v>46570</v>
      </c>
      <c r="P14559">
        <v>0</v>
      </c>
      <c r="Q14559">
        <v>0</v>
      </c>
      <c r="R14559" t="s">
        <v>46587</v>
      </c>
      <c r="S14559" t="s">
        <v>47373</v>
      </c>
      <c r="T14559" t="s">
        <v>48336</v>
      </c>
      <c r="U14559" t="s">
        <v>60466</v>
      </c>
      <c r="V14559" t="s">
        <v>62345</v>
      </c>
      <c r="W14559" t="s">
        <v>45007</v>
      </c>
      <c r="X14559" t="s">
        <v>46588</v>
      </c>
    </row>
    <row r="14560" spans="1:24">
      <c r="A14560">
        <f>HYPERLINK("https://www.philgeps.gov.ph/GEPSNONPILOT/Tender/SplashBidNoticeAbstractUI.aspx?menuIndex=3&amp;refID=7034733&amp;Result=3","7034733")</f>
        <v>0</v>
      </c>
      <c r="B14560" t="s">
        <v>1088</v>
      </c>
      <c r="C14560" t="s">
        <v>17383</v>
      </c>
      <c r="D14560" t="s">
        <v>18804</v>
      </c>
      <c r="E14560" t="s">
        <v>31417</v>
      </c>
      <c r="F14560" t="s">
        <v>32664</v>
      </c>
      <c r="G14560" t="s">
        <v>32672</v>
      </c>
      <c r="H14560" t="s">
        <v>12635</v>
      </c>
      <c r="I14560" t="s">
        <v>32746</v>
      </c>
      <c r="J14560" t="s">
        <v>41456</v>
      </c>
      <c r="K14560" t="s">
        <v>42281</v>
      </c>
      <c r="M14560" t="s">
        <v>43714</v>
      </c>
      <c r="N14560" t="s">
        <v>46569</v>
      </c>
      <c r="O14560" t="s">
        <v>46570</v>
      </c>
      <c r="P14560">
        <v>0</v>
      </c>
      <c r="Q14560">
        <v>4</v>
      </c>
      <c r="R14560" t="s">
        <v>46587</v>
      </c>
      <c r="S14560" t="s">
        <v>47373</v>
      </c>
      <c r="T14560" t="s">
        <v>48221</v>
      </c>
      <c r="U14560" t="s">
        <v>60467</v>
      </c>
      <c r="V14560" t="s">
        <v>63194</v>
      </c>
      <c r="W14560" t="s">
        <v>43714</v>
      </c>
      <c r="X14560" t="s">
        <v>46588</v>
      </c>
    </row>
    <row r="14561" spans="1:24">
      <c r="A14561">
        <f>HYPERLINK("https://www.philgeps.gov.ph/GEPSNONPILOT/Tender/SplashBidNoticeAbstractUI.aspx?menuIndex=3&amp;refID=7034357&amp;Result=3","7034357")</f>
        <v>0</v>
      </c>
      <c r="B14561" t="s">
        <v>3397</v>
      </c>
      <c r="C14561" t="s">
        <v>17384</v>
      </c>
      <c r="D14561" t="s">
        <v>18797</v>
      </c>
      <c r="E14561" t="s">
        <v>31418</v>
      </c>
      <c r="F14561" t="s">
        <v>32664</v>
      </c>
      <c r="G14561" t="s">
        <v>32672</v>
      </c>
      <c r="H14561" t="s">
        <v>32683</v>
      </c>
      <c r="I14561" t="s">
        <v>10627</v>
      </c>
      <c r="J14561" t="s">
        <v>34147</v>
      </c>
      <c r="K14561" t="s">
        <v>42328</v>
      </c>
      <c r="L14561" t="s">
        <v>3397</v>
      </c>
      <c r="M14561" t="s">
        <v>46364</v>
      </c>
      <c r="N14561" t="s">
        <v>46569</v>
      </c>
      <c r="O14561" t="s">
        <v>46570</v>
      </c>
      <c r="P14561">
        <v>0</v>
      </c>
      <c r="Q14561">
        <v>11</v>
      </c>
      <c r="R14561" t="s">
        <v>46587</v>
      </c>
      <c r="S14561" t="s">
        <v>47373</v>
      </c>
      <c r="T14561" t="s">
        <v>48225</v>
      </c>
      <c r="U14561" t="s">
        <v>60468</v>
      </c>
      <c r="W14561" t="s">
        <v>46364</v>
      </c>
      <c r="X14561" t="s">
        <v>46588</v>
      </c>
    </row>
    <row r="14562" spans="1:24">
      <c r="A14562">
        <f>HYPERLINK("https://www.philgeps.gov.ph/GEPSNONPILOT/Tender/SplashBidNoticeAbstractUI.aspx?menuIndex=3&amp;refID=7033820&amp;Result=3","7033820")</f>
        <v>0</v>
      </c>
      <c r="B14562" t="s">
        <v>2242</v>
      </c>
      <c r="C14562" t="s">
        <v>17385</v>
      </c>
      <c r="D14562" t="s">
        <v>18820</v>
      </c>
      <c r="E14562" t="s">
        <v>31419</v>
      </c>
      <c r="F14562" t="s">
        <v>32664</v>
      </c>
      <c r="G14562" t="s">
        <v>32677</v>
      </c>
      <c r="H14562" t="s">
        <v>12635</v>
      </c>
      <c r="I14562" t="s">
        <v>4439</v>
      </c>
      <c r="J14562" t="s">
        <v>41457</v>
      </c>
      <c r="K14562" t="s">
        <v>42511</v>
      </c>
      <c r="M14562" t="s">
        <v>45007</v>
      </c>
      <c r="N14562" t="s">
        <v>46569</v>
      </c>
      <c r="O14562" t="s">
        <v>46570</v>
      </c>
      <c r="P14562">
        <v>0</v>
      </c>
      <c r="Q14562">
        <v>0</v>
      </c>
      <c r="R14562" t="s">
        <v>46587</v>
      </c>
      <c r="S14562" t="s">
        <v>47373</v>
      </c>
      <c r="T14562" t="s">
        <v>48336</v>
      </c>
      <c r="U14562" t="s">
        <v>60469</v>
      </c>
      <c r="V14562" t="s">
        <v>62345</v>
      </c>
      <c r="W14562" t="s">
        <v>45007</v>
      </c>
      <c r="X14562" t="s">
        <v>46588</v>
      </c>
    </row>
    <row r="14563" spans="1:24">
      <c r="A14563">
        <f>HYPERLINK("https://www.philgeps.gov.ph/GEPSNONPILOT/Tender/SplashBidNoticeAbstractUI.aspx?menuIndex=3&amp;refID=7033818&amp;Result=3","7033818")</f>
        <v>0</v>
      </c>
      <c r="B14563" t="s">
        <v>1442</v>
      </c>
      <c r="C14563" t="s">
        <v>17386</v>
      </c>
      <c r="E14563" t="s">
        <v>31420</v>
      </c>
      <c r="F14563" t="s">
        <v>32664</v>
      </c>
      <c r="G14563" t="s">
        <v>32672</v>
      </c>
      <c r="H14563" t="s">
        <v>32683</v>
      </c>
      <c r="I14563" t="s">
        <v>10627</v>
      </c>
      <c r="J14563" t="s">
        <v>37271</v>
      </c>
      <c r="K14563" t="s">
        <v>42311</v>
      </c>
      <c r="M14563" t="s">
        <v>45920</v>
      </c>
      <c r="N14563" t="s">
        <v>46569</v>
      </c>
      <c r="O14563" t="s">
        <v>46570</v>
      </c>
      <c r="P14563">
        <v>0</v>
      </c>
      <c r="Q14563">
        <v>0</v>
      </c>
      <c r="R14563" t="s">
        <v>46587</v>
      </c>
      <c r="S14563" t="s">
        <v>47373</v>
      </c>
      <c r="T14563" t="s">
        <v>48282</v>
      </c>
      <c r="U14563" t="s">
        <v>56481</v>
      </c>
      <c r="W14563" t="s">
        <v>45920</v>
      </c>
      <c r="X14563" t="s">
        <v>46588</v>
      </c>
    </row>
    <row r="14564" spans="1:24">
      <c r="A14564">
        <f>HYPERLINK("https://www.philgeps.gov.ph/GEPSNONPILOT/Tender/SplashBidNoticeAbstractUI.aspx?menuIndex=3&amp;refID=7034770&amp;Result=3","7034770")</f>
        <v>0</v>
      </c>
      <c r="B14564" t="s">
        <v>849</v>
      </c>
      <c r="C14564" t="s">
        <v>17387</v>
      </c>
      <c r="D14564" t="s">
        <v>18836</v>
      </c>
      <c r="E14564" t="s">
        <v>31421</v>
      </c>
      <c r="F14564" t="s">
        <v>32664</v>
      </c>
      <c r="G14564" t="s">
        <v>32672</v>
      </c>
      <c r="H14564" t="s">
        <v>12635</v>
      </c>
      <c r="I14564" t="s">
        <v>32688</v>
      </c>
      <c r="J14564" t="s">
        <v>41458</v>
      </c>
      <c r="K14564" t="s">
        <v>42298</v>
      </c>
      <c r="M14564" t="s">
        <v>43445</v>
      </c>
      <c r="N14564" t="s">
        <v>46569</v>
      </c>
      <c r="O14564" t="s">
        <v>46570</v>
      </c>
      <c r="P14564">
        <v>0</v>
      </c>
      <c r="Q14564">
        <v>6</v>
      </c>
      <c r="R14564" t="s">
        <v>46587</v>
      </c>
      <c r="S14564" t="s">
        <v>47373</v>
      </c>
      <c r="T14564" t="s">
        <v>48249</v>
      </c>
      <c r="U14564" t="s">
        <v>60470</v>
      </c>
      <c r="V14564" t="s">
        <v>61828</v>
      </c>
      <c r="W14564" t="s">
        <v>63491</v>
      </c>
      <c r="X14564" t="s">
        <v>46588</v>
      </c>
    </row>
    <row r="14565" spans="1:24">
      <c r="A14565">
        <f>HYPERLINK("https://www.philgeps.gov.ph/GEPSNONPILOT/Tender/SplashBidNoticeAbstractUI.aspx?menuIndex=3&amp;refID=7032537&amp;Result=3","7032537")</f>
        <v>0</v>
      </c>
      <c r="B14565" t="s">
        <v>973</v>
      </c>
      <c r="C14565" t="s">
        <v>17388</v>
      </c>
      <c r="D14565" t="s">
        <v>18819</v>
      </c>
      <c r="E14565" t="s">
        <v>31422</v>
      </c>
      <c r="F14565" t="s">
        <v>32664</v>
      </c>
      <c r="G14565" t="s">
        <v>32672</v>
      </c>
      <c r="H14565" t="s">
        <v>12635</v>
      </c>
      <c r="I14565" t="s">
        <v>32706</v>
      </c>
      <c r="J14565" t="s">
        <v>41459</v>
      </c>
      <c r="K14565" t="s">
        <v>42379</v>
      </c>
      <c r="M14565" t="s">
        <v>43582</v>
      </c>
      <c r="N14565" t="s">
        <v>46569</v>
      </c>
      <c r="O14565" t="s">
        <v>46570</v>
      </c>
      <c r="P14565">
        <v>0</v>
      </c>
      <c r="Q14565">
        <v>2</v>
      </c>
      <c r="R14565" t="s">
        <v>46588</v>
      </c>
      <c r="S14565" t="s">
        <v>47467</v>
      </c>
      <c r="T14565" t="s">
        <v>48228</v>
      </c>
      <c r="U14565" t="s">
        <v>60471</v>
      </c>
      <c r="W14565" t="s">
        <v>43582</v>
      </c>
      <c r="X14565" t="s">
        <v>46589</v>
      </c>
    </row>
    <row r="14566" spans="1:24">
      <c r="A14566">
        <f>HYPERLINK("https://www.philgeps.gov.ph/GEPSNONPILOT/Tender/SplashBidNoticeAbstractUI.aspx?menuIndex=3&amp;refID=7033800&amp;Result=3","7033800")</f>
        <v>0</v>
      </c>
      <c r="B14566" t="s">
        <v>83</v>
      </c>
      <c r="C14566" t="s">
        <v>17389</v>
      </c>
      <c r="D14566" t="s">
        <v>18784</v>
      </c>
      <c r="E14566" t="s">
        <v>31423</v>
      </c>
      <c r="F14566" t="s">
        <v>32664</v>
      </c>
      <c r="G14566" t="s">
        <v>32672</v>
      </c>
      <c r="H14566" t="s">
        <v>12635</v>
      </c>
      <c r="I14566" t="s">
        <v>6628</v>
      </c>
      <c r="J14566" t="s">
        <v>41460</v>
      </c>
      <c r="K14566" t="s">
        <v>42283</v>
      </c>
      <c r="M14566" t="s">
        <v>46365</v>
      </c>
      <c r="N14566" t="s">
        <v>46569</v>
      </c>
      <c r="O14566" t="s">
        <v>46570</v>
      </c>
      <c r="P14566">
        <v>0</v>
      </c>
      <c r="Q14566">
        <v>8</v>
      </c>
      <c r="R14566" t="s">
        <v>46587</v>
      </c>
      <c r="S14566" t="s">
        <v>47373</v>
      </c>
      <c r="T14566" t="s">
        <v>48219</v>
      </c>
      <c r="U14566" t="s">
        <v>60472</v>
      </c>
      <c r="W14566" t="s">
        <v>46365</v>
      </c>
      <c r="X14566" t="s">
        <v>46588</v>
      </c>
    </row>
    <row r="14567" spans="1:24">
      <c r="A14567">
        <f>HYPERLINK("https://www.philgeps.gov.ph/GEPSNONPILOT/Tender/SplashBidNoticeAbstractUI.aspx?menuIndex=3&amp;refID=7033808&amp;Result=3","7033808")</f>
        <v>0</v>
      </c>
      <c r="B14567" t="s">
        <v>776</v>
      </c>
      <c r="C14567" t="s">
        <v>17390</v>
      </c>
      <c r="D14567" t="s">
        <v>18788</v>
      </c>
      <c r="E14567" t="s">
        <v>31424</v>
      </c>
      <c r="F14567" t="s">
        <v>32664</v>
      </c>
      <c r="G14567" t="s">
        <v>32672</v>
      </c>
      <c r="H14567" t="s">
        <v>32683</v>
      </c>
      <c r="I14567" t="s">
        <v>10627</v>
      </c>
      <c r="J14567" t="s">
        <v>33946</v>
      </c>
      <c r="K14567" t="s">
        <v>42301</v>
      </c>
      <c r="M14567" t="s">
        <v>43368</v>
      </c>
      <c r="N14567" t="s">
        <v>46569</v>
      </c>
      <c r="O14567" t="s">
        <v>46570</v>
      </c>
      <c r="P14567">
        <v>0</v>
      </c>
      <c r="Q14567">
        <v>2</v>
      </c>
      <c r="R14567" t="s">
        <v>46587</v>
      </c>
      <c r="S14567" t="s">
        <v>47373</v>
      </c>
      <c r="T14567" t="s">
        <v>48314</v>
      </c>
      <c r="U14567" t="s">
        <v>60473</v>
      </c>
      <c r="W14567" t="s">
        <v>43368</v>
      </c>
      <c r="X14567" t="s">
        <v>46588</v>
      </c>
    </row>
    <row r="14568" spans="1:24">
      <c r="A14568">
        <f>HYPERLINK("https://www.philgeps.gov.ph/GEPSNONPILOT/Tender/SplashBidNoticeAbstractUI.aspx?menuIndex=3&amp;refID=7035923&amp;Result=3","7035923")</f>
        <v>0</v>
      </c>
      <c r="B14568" t="s">
        <v>3400</v>
      </c>
      <c r="C14568" t="s">
        <v>17391</v>
      </c>
      <c r="D14568" t="s">
        <v>18853</v>
      </c>
      <c r="E14568" t="s">
        <v>31425</v>
      </c>
      <c r="F14568" t="s">
        <v>32664</v>
      </c>
      <c r="G14568" t="s">
        <v>32672</v>
      </c>
      <c r="H14568" t="s">
        <v>32683</v>
      </c>
      <c r="I14568" t="s">
        <v>10627</v>
      </c>
      <c r="J14568" t="s">
        <v>34213</v>
      </c>
      <c r="K14568" t="s">
        <v>42298</v>
      </c>
      <c r="M14568" t="s">
        <v>46369</v>
      </c>
      <c r="N14568" t="s">
        <v>46569</v>
      </c>
      <c r="O14568" t="s">
        <v>46570</v>
      </c>
      <c r="P14568">
        <v>0</v>
      </c>
      <c r="Q14568">
        <v>0</v>
      </c>
      <c r="R14568" t="s">
        <v>46586</v>
      </c>
      <c r="S14568" t="s">
        <v>47252</v>
      </c>
      <c r="T14568" t="s">
        <v>48293</v>
      </c>
      <c r="U14568" t="s">
        <v>60474</v>
      </c>
      <c r="V14568" t="s">
        <v>63251</v>
      </c>
      <c r="W14568" t="s">
        <v>46369</v>
      </c>
      <c r="X14568" t="s">
        <v>46587</v>
      </c>
    </row>
    <row r="14569" spans="1:24">
      <c r="A14569">
        <f>HYPERLINK("https://www.philgeps.gov.ph/GEPSNONPILOT/Tender/SplashBidNoticeAbstractUI.aspx?menuIndex=3&amp;refID=7035413&amp;Result=3","7035413")</f>
        <v>0</v>
      </c>
      <c r="B14569" t="s">
        <v>3330</v>
      </c>
      <c r="C14569" t="s">
        <v>17392</v>
      </c>
      <c r="D14569" t="s">
        <v>18822</v>
      </c>
      <c r="E14569" t="s">
        <v>31426</v>
      </c>
      <c r="F14569" t="s">
        <v>32664</v>
      </c>
      <c r="G14569" t="s">
        <v>32672</v>
      </c>
      <c r="H14569" t="s">
        <v>32683</v>
      </c>
      <c r="I14569" t="s">
        <v>10627</v>
      </c>
      <c r="J14569" t="s">
        <v>40858</v>
      </c>
      <c r="K14569" t="s">
        <v>42283</v>
      </c>
      <c r="M14569" t="s">
        <v>46281</v>
      </c>
      <c r="N14569" t="s">
        <v>46569</v>
      </c>
      <c r="O14569" t="s">
        <v>46570</v>
      </c>
      <c r="Q14569">
        <v>0</v>
      </c>
      <c r="R14569" t="s">
        <v>46586</v>
      </c>
      <c r="S14569" t="s">
        <v>47539</v>
      </c>
      <c r="T14569" t="s">
        <v>48219</v>
      </c>
      <c r="U14569" t="s">
        <v>60475</v>
      </c>
      <c r="W14569" t="s">
        <v>46281</v>
      </c>
      <c r="X14569" t="s">
        <v>46587</v>
      </c>
    </row>
    <row r="14570" spans="1:24">
      <c r="A14570">
        <f>HYPERLINK("https://www.philgeps.gov.ph/GEPSNONPILOT/Tender/SplashBidNoticeAbstractUI.aspx?menuIndex=3&amp;refID=7035941&amp;Result=3","7035941")</f>
        <v>0</v>
      </c>
      <c r="B14570" t="s">
        <v>325</v>
      </c>
      <c r="C14570" t="s">
        <v>17393</v>
      </c>
      <c r="D14570" t="s">
        <v>18848</v>
      </c>
      <c r="E14570" t="s">
        <v>31427</v>
      </c>
      <c r="F14570" t="s">
        <v>32664</v>
      </c>
      <c r="G14570" t="s">
        <v>32672</v>
      </c>
      <c r="H14570" t="s">
        <v>12635</v>
      </c>
      <c r="I14570" t="s">
        <v>32684</v>
      </c>
      <c r="J14570" t="s">
        <v>41461</v>
      </c>
      <c r="K14570" t="s">
        <v>42298</v>
      </c>
      <c r="M14570" t="s">
        <v>42893</v>
      </c>
      <c r="N14570" t="s">
        <v>46569</v>
      </c>
      <c r="O14570" t="s">
        <v>46570</v>
      </c>
      <c r="P14570">
        <v>0</v>
      </c>
      <c r="Q14570">
        <v>15</v>
      </c>
      <c r="R14570" t="s">
        <v>46586</v>
      </c>
      <c r="S14570" t="s">
        <v>47252</v>
      </c>
      <c r="T14570" t="s">
        <v>48410</v>
      </c>
      <c r="U14570" t="s">
        <v>60476</v>
      </c>
      <c r="V14570" t="s">
        <v>61699</v>
      </c>
      <c r="W14570" t="s">
        <v>42893</v>
      </c>
      <c r="X14570" t="s">
        <v>46587</v>
      </c>
    </row>
    <row r="14571" spans="1:24">
      <c r="A14571">
        <f>HYPERLINK("https://www.philgeps.gov.ph/GEPSNONPILOT/Tender/SplashBidNoticeAbstractUI.aspx?menuIndex=3&amp;refID=7035409&amp;Result=3","7035409")</f>
        <v>0</v>
      </c>
      <c r="B14571" t="s">
        <v>290</v>
      </c>
      <c r="C14571" t="s">
        <v>17394</v>
      </c>
      <c r="D14571" t="s">
        <v>18840</v>
      </c>
      <c r="E14571" t="s">
        <v>31428</v>
      </c>
      <c r="F14571" t="s">
        <v>32664</v>
      </c>
      <c r="G14571" t="s">
        <v>32672</v>
      </c>
      <c r="H14571" t="s">
        <v>32683</v>
      </c>
      <c r="I14571" t="s">
        <v>10627</v>
      </c>
      <c r="J14571" t="s">
        <v>41462</v>
      </c>
      <c r="K14571" t="s">
        <v>42311</v>
      </c>
      <c r="M14571" t="s">
        <v>46271</v>
      </c>
      <c r="N14571" t="s">
        <v>46569</v>
      </c>
      <c r="O14571" t="s">
        <v>46570</v>
      </c>
      <c r="P14571">
        <v>0</v>
      </c>
      <c r="Q14571">
        <v>2</v>
      </c>
      <c r="R14571" t="s">
        <v>46586</v>
      </c>
      <c r="S14571" t="s">
        <v>47252</v>
      </c>
      <c r="T14571" t="s">
        <v>48246</v>
      </c>
      <c r="U14571" t="s">
        <v>60477</v>
      </c>
      <c r="V14571" t="s">
        <v>63252</v>
      </c>
      <c r="W14571" t="s">
        <v>46271</v>
      </c>
      <c r="X14571" t="s">
        <v>46587</v>
      </c>
    </row>
    <row r="14572" spans="1:24">
      <c r="A14572">
        <f>HYPERLINK("https://www.philgeps.gov.ph/GEPSNONPILOT/Tender/SplashBidNoticeAbstractUI.aspx?menuIndex=3&amp;refID=7035073&amp;Result=3","7035073")</f>
        <v>0</v>
      </c>
      <c r="B14572" t="s">
        <v>2917</v>
      </c>
      <c r="C14572" t="s">
        <v>17395</v>
      </c>
      <c r="D14572" t="s">
        <v>18781</v>
      </c>
      <c r="E14572" t="s">
        <v>31429</v>
      </c>
      <c r="F14572" t="s">
        <v>32664</v>
      </c>
      <c r="G14572" t="s">
        <v>32672</v>
      </c>
      <c r="H14572" t="s">
        <v>32683</v>
      </c>
      <c r="I14572" t="s">
        <v>10627</v>
      </c>
      <c r="J14572" t="s">
        <v>32962</v>
      </c>
      <c r="K14572" t="s">
        <v>42311</v>
      </c>
      <c r="M14572" t="s">
        <v>45770</v>
      </c>
      <c r="N14572" t="s">
        <v>46569</v>
      </c>
      <c r="O14572" t="s">
        <v>46570</v>
      </c>
      <c r="P14572">
        <v>0</v>
      </c>
      <c r="Q14572">
        <v>0</v>
      </c>
      <c r="R14572" t="s">
        <v>46586</v>
      </c>
      <c r="S14572" t="s">
        <v>47252</v>
      </c>
      <c r="T14572" t="s">
        <v>48305</v>
      </c>
      <c r="U14572" t="s">
        <v>60478</v>
      </c>
      <c r="W14572" t="s">
        <v>45770</v>
      </c>
      <c r="X14572" t="s">
        <v>46588</v>
      </c>
    </row>
    <row r="14573" spans="1:24">
      <c r="A14573">
        <f>HYPERLINK("https://www.philgeps.gov.ph/GEPSNONPILOT/Tender/SplashBidNoticeAbstractUI.aspx?menuIndex=3&amp;refID=7034126&amp;Result=3","7034126")</f>
        <v>0</v>
      </c>
      <c r="B14573" t="s">
        <v>796</v>
      </c>
      <c r="C14573" t="s">
        <v>17396</v>
      </c>
      <c r="D14573" t="s">
        <v>18801</v>
      </c>
      <c r="E14573" t="s">
        <v>31430</v>
      </c>
      <c r="F14573" t="s">
        <v>32664</v>
      </c>
      <c r="G14573" t="s">
        <v>32672</v>
      </c>
      <c r="H14573" t="s">
        <v>32683</v>
      </c>
      <c r="I14573" t="s">
        <v>10627</v>
      </c>
      <c r="J14573" t="s">
        <v>41463</v>
      </c>
      <c r="K14573" t="s">
        <v>42369</v>
      </c>
      <c r="M14573" t="s">
        <v>43388</v>
      </c>
      <c r="N14573" t="s">
        <v>46569</v>
      </c>
      <c r="O14573" t="s">
        <v>46570</v>
      </c>
      <c r="P14573">
        <v>0</v>
      </c>
      <c r="Q14573">
        <v>24</v>
      </c>
      <c r="R14573" t="s">
        <v>46587</v>
      </c>
      <c r="S14573" t="s">
        <v>47373</v>
      </c>
      <c r="T14573" t="s">
        <v>48283</v>
      </c>
      <c r="U14573" t="s">
        <v>60463</v>
      </c>
      <c r="W14573" t="s">
        <v>63490</v>
      </c>
      <c r="X14573" t="s">
        <v>46588</v>
      </c>
    </row>
    <row r="14574" spans="1:24">
      <c r="A14574">
        <f>HYPERLINK("https://www.philgeps.gov.ph/GEPSNONPILOT/Tender/SplashBidNoticeAbstractUI.aspx?menuIndex=3&amp;refID=7033819&amp;Result=3","7033819")</f>
        <v>0</v>
      </c>
      <c r="B14574" t="s">
        <v>1046</v>
      </c>
      <c r="C14574" t="s">
        <v>17397</v>
      </c>
      <c r="D14574" t="s">
        <v>18815</v>
      </c>
      <c r="E14574" t="s">
        <v>31431</v>
      </c>
      <c r="F14574" t="s">
        <v>32664</v>
      </c>
      <c r="G14574" t="s">
        <v>32672</v>
      </c>
      <c r="H14574" t="s">
        <v>32683</v>
      </c>
      <c r="I14574" t="s">
        <v>10627</v>
      </c>
      <c r="J14574" t="s">
        <v>41464</v>
      </c>
      <c r="K14574" t="s">
        <v>42327</v>
      </c>
      <c r="M14574" t="s">
        <v>43661</v>
      </c>
      <c r="N14574" t="s">
        <v>46569</v>
      </c>
      <c r="O14574" t="s">
        <v>46570</v>
      </c>
      <c r="P14574">
        <v>0</v>
      </c>
      <c r="Q14574">
        <v>0</v>
      </c>
      <c r="R14574" t="s">
        <v>46587</v>
      </c>
      <c r="S14574" t="s">
        <v>47373</v>
      </c>
      <c r="T14574" t="s">
        <v>48287</v>
      </c>
      <c r="U14574" t="s">
        <v>60479</v>
      </c>
      <c r="V14574" t="s">
        <v>63019</v>
      </c>
      <c r="W14574" t="s">
        <v>43661</v>
      </c>
      <c r="X14574" t="s">
        <v>46588</v>
      </c>
    </row>
    <row r="14575" spans="1:24">
      <c r="A14575">
        <f>HYPERLINK("https://www.philgeps.gov.ph/GEPSNONPILOT/Tender/SplashBidNoticeAbstractUI.aspx?menuIndex=3&amp;refID=7035068&amp;Result=3","7035068")</f>
        <v>0</v>
      </c>
      <c r="B14575" t="s">
        <v>2917</v>
      </c>
      <c r="C14575" t="s">
        <v>17398</v>
      </c>
      <c r="D14575" t="s">
        <v>18781</v>
      </c>
      <c r="E14575" t="s">
        <v>31432</v>
      </c>
      <c r="F14575" t="s">
        <v>32664</v>
      </c>
      <c r="G14575" t="s">
        <v>32672</v>
      </c>
      <c r="H14575" t="s">
        <v>32683</v>
      </c>
      <c r="I14575" t="s">
        <v>10627</v>
      </c>
      <c r="J14575" t="s">
        <v>32837</v>
      </c>
      <c r="K14575" t="s">
        <v>42311</v>
      </c>
      <c r="M14575" t="s">
        <v>45770</v>
      </c>
      <c r="N14575" t="s">
        <v>46569</v>
      </c>
      <c r="O14575" t="s">
        <v>46570</v>
      </c>
      <c r="P14575">
        <v>0</v>
      </c>
      <c r="Q14575">
        <v>1</v>
      </c>
      <c r="R14575" t="s">
        <v>46586</v>
      </c>
      <c r="S14575" t="s">
        <v>47252</v>
      </c>
      <c r="T14575" t="s">
        <v>48305</v>
      </c>
      <c r="U14575" t="s">
        <v>60480</v>
      </c>
      <c r="W14575" t="s">
        <v>45770</v>
      </c>
      <c r="X14575" t="s">
        <v>46588</v>
      </c>
    </row>
    <row r="14576" spans="1:24">
      <c r="A14576">
        <f>HYPERLINK("https://www.philgeps.gov.ph/GEPSNONPILOT/Tender/SplashBidNoticeAbstractUI.aspx?menuIndex=3&amp;refID=7034820&amp;Result=3","7034820")</f>
        <v>0</v>
      </c>
      <c r="B14576" t="s">
        <v>3211</v>
      </c>
      <c r="C14576" t="s">
        <v>17399</v>
      </c>
      <c r="D14576" t="s">
        <v>18784</v>
      </c>
      <c r="E14576" t="s">
        <v>31433</v>
      </c>
      <c r="F14576" t="s">
        <v>32664</v>
      </c>
      <c r="G14576" t="s">
        <v>32672</v>
      </c>
      <c r="H14576" t="s">
        <v>12635</v>
      </c>
      <c r="I14576" t="s">
        <v>6223</v>
      </c>
      <c r="J14576" t="s">
        <v>34518</v>
      </c>
      <c r="K14576" t="s">
        <v>42284</v>
      </c>
      <c r="M14576" t="s">
        <v>46268</v>
      </c>
      <c r="N14576" t="s">
        <v>46569</v>
      </c>
      <c r="O14576" t="s">
        <v>46570</v>
      </c>
      <c r="P14576">
        <v>0</v>
      </c>
      <c r="Q14576">
        <v>0</v>
      </c>
      <c r="R14576" t="s">
        <v>46586</v>
      </c>
      <c r="S14576" t="s">
        <v>47252</v>
      </c>
      <c r="T14576" t="s">
        <v>48244</v>
      </c>
      <c r="U14576" t="s">
        <v>59574</v>
      </c>
      <c r="W14576" t="s">
        <v>46268</v>
      </c>
      <c r="X14576" t="s">
        <v>46588</v>
      </c>
    </row>
    <row r="14577" spans="1:24">
      <c r="A14577">
        <f>HYPERLINK("https://www.philgeps.gov.ph/GEPSNONPILOT/Tender/SplashBidNoticeAbstractUI.aspx?menuIndex=3&amp;refID=7034754&amp;Result=3","7034754")</f>
        <v>0</v>
      </c>
      <c r="B14577" t="s">
        <v>3330</v>
      </c>
      <c r="C14577" t="s">
        <v>17400</v>
      </c>
      <c r="D14577" t="s">
        <v>18822</v>
      </c>
      <c r="E14577" t="s">
        <v>31434</v>
      </c>
      <c r="F14577" t="s">
        <v>32664</v>
      </c>
      <c r="G14577" t="s">
        <v>32672</v>
      </c>
      <c r="H14577" t="s">
        <v>32683</v>
      </c>
      <c r="I14577" t="s">
        <v>10627</v>
      </c>
      <c r="J14577" t="s">
        <v>35117</v>
      </c>
      <c r="K14577" t="s">
        <v>42311</v>
      </c>
      <c r="M14577" t="s">
        <v>46281</v>
      </c>
      <c r="N14577" t="s">
        <v>46569</v>
      </c>
      <c r="O14577" t="s">
        <v>46570</v>
      </c>
      <c r="Q14577">
        <v>0</v>
      </c>
      <c r="R14577" t="s">
        <v>46587</v>
      </c>
      <c r="S14577" t="s">
        <v>47540</v>
      </c>
      <c r="T14577" t="s">
        <v>48221</v>
      </c>
      <c r="U14577" t="s">
        <v>60254</v>
      </c>
      <c r="W14577" t="s">
        <v>46281</v>
      </c>
      <c r="X14577" t="s">
        <v>46588</v>
      </c>
    </row>
    <row r="14578" spans="1:24">
      <c r="A14578">
        <f>HYPERLINK("https://www.philgeps.gov.ph/GEPSNONPILOT/Tender/SplashBidNoticeAbstractUI.aspx?menuIndex=3&amp;refID=7034772&amp;Result=3","7034772")</f>
        <v>0</v>
      </c>
      <c r="B14578" t="s">
        <v>3211</v>
      </c>
      <c r="C14578" t="s">
        <v>17401</v>
      </c>
      <c r="D14578" t="s">
        <v>18784</v>
      </c>
      <c r="E14578" t="s">
        <v>31435</v>
      </c>
      <c r="F14578" t="s">
        <v>32664</v>
      </c>
      <c r="G14578" t="s">
        <v>32672</v>
      </c>
      <c r="H14578" t="s">
        <v>12635</v>
      </c>
      <c r="I14578" t="s">
        <v>6118</v>
      </c>
      <c r="J14578" t="s">
        <v>41465</v>
      </c>
      <c r="K14578" t="s">
        <v>42284</v>
      </c>
      <c r="M14578" t="s">
        <v>46268</v>
      </c>
      <c r="N14578" t="s">
        <v>46569</v>
      </c>
      <c r="O14578" t="s">
        <v>46570</v>
      </c>
      <c r="P14578">
        <v>0</v>
      </c>
      <c r="Q14578">
        <v>1</v>
      </c>
      <c r="R14578" t="s">
        <v>46586</v>
      </c>
      <c r="S14578" t="s">
        <v>47252</v>
      </c>
      <c r="T14578" t="s">
        <v>48244</v>
      </c>
      <c r="U14578" t="s">
        <v>60481</v>
      </c>
      <c r="W14578" t="s">
        <v>46268</v>
      </c>
      <c r="X14578" t="s">
        <v>46588</v>
      </c>
    </row>
    <row r="14579" spans="1:24">
      <c r="A14579">
        <f>HYPERLINK("https://www.philgeps.gov.ph/GEPSNONPILOT/Tender/SplashBidNoticeAbstractUI.aspx?menuIndex=3&amp;refID=7034831&amp;Result=3","7034831")</f>
        <v>0</v>
      </c>
      <c r="B14579" t="s">
        <v>75</v>
      </c>
      <c r="C14579" t="s">
        <v>17402</v>
      </c>
      <c r="D14579" t="s">
        <v>18806</v>
      </c>
      <c r="E14579" t="s">
        <v>31436</v>
      </c>
      <c r="F14579" t="s">
        <v>32664</v>
      </c>
      <c r="G14579" t="s">
        <v>32672</v>
      </c>
      <c r="H14579" t="s">
        <v>12635</v>
      </c>
      <c r="I14579" t="s">
        <v>6168</v>
      </c>
      <c r="J14579" t="s">
        <v>41466</v>
      </c>
      <c r="K14579" t="s">
        <v>42369</v>
      </c>
      <c r="M14579" t="s">
        <v>44096</v>
      </c>
      <c r="N14579" t="s">
        <v>46569</v>
      </c>
      <c r="O14579" t="s">
        <v>46570</v>
      </c>
      <c r="P14579">
        <v>0</v>
      </c>
      <c r="Q14579">
        <v>8</v>
      </c>
      <c r="R14579" t="s">
        <v>46586</v>
      </c>
      <c r="S14579" t="s">
        <v>47252</v>
      </c>
      <c r="T14579" t="s">
        <v>48334</v>
      </c>
      <c r="U14579" t="s">
        <v>60482</v>
      </c>
      <c r="W14579" t="s">
        <v>44096</v>
      </c>
      <c r="X14579" t="s">
        <v>46588</v>
      </c>
    </row>
    <row r="14580" spans="1:24">
      <c r="A14580">
        <f>HYPERLINK("https://www.philgeps.gov.ph/GEPSNONPILOT/Tender/SplashBidNoticeAbstractUI.aspx?menuIndex=3&amp;refID=7034765&amp;Result=3","7034765")</f>
        <v>0</v>
      </c>
      <c r="B14580" t="s">
        <v>3211</v>
      </c>
      <c r="C14580" t="s">
        <v>17403</v>
      </c>
      <c r="D14580" t="s">
        <v>18784</v>
      </c>
      <c r="E14580" t="s">
        <v>31437</v>
      </c>
      <c r="F14580" t="s">
        <v>32664</v>
      </c>
      <c r="G14580" t="s">
        <v>32672</v>
      </c>
      <c r="H14580" t="s">
        <v>12635</v>
      </c>
      <c r="I14580" t="s">
        <v>6223</v>
      </c>
      <c r="J14580" t="s">
        <v>41467</v>
      </c>
      <c r="K14580" t="s">
        <v>42284</v>
      </c>
      <c r="M14580" t="s">
        <v>46268</v>
      </c>
      <c r="N14580" t="s">
        <v>46569</v>
      </c>
      <c r="O14580" t="s">
        <v>46570</v>
      </c>
      <c r="P14580">
        <v>0</v>
      </c>
      <c r="Q14580">
        <v>0</v>
      </c>
      <c r="R14580" t="s">
        <v>46586</v>
      </c>
      <c r="S14580" t="s">
        <v>47252</v>
      </c>
      <c r="T14580" t="s">
        <v>48244</v>
      </c>
      <c r="U14580" t="s">
        <v>59574</v>
      </c>
      <c r="W14580" t="s">
        <v>46268</v>
      </c>
      <c r="X14580" t="s">
        <v>46588</v>
      </c>
    </row>
    <row r="14581" spans="1:24">
      <c r="A14581">
        <f>HYPERLINK("https://www.philgeps.gov.ph/GEPSNONPILOT/Tender/SplashBidNoticeAbstractUI.aspx?menuIndex=3&amp;refID=7034755&amp;Result=3","7034755")</f>
        <v>0</v>
      </c>
      <c r="B14581" t="s">
        <v>3211</v>
      </c>
      <c r="C14581" t="s">
        <v>17404</v>
      </c>
      <c r="D14581" t="s">
        <v>18784</v>
      </c>
      <c r="E14581" t="s">
        <v>31438</v>
      </c>
      <c r="F14581" t="s">
        <v>32664</v>
      </c>
      <c r="G14581" t="s">
        <v>32672</v>
      </c>
      <c r="H14581" t="s">
        <v>12635</v>
      </c>
      <c r="I14581" t="s">
        <v>6118</v>
      </c>
      <c r="J14581" t="s">
        <v>32943</v>
      </c>
      <c r="K14581" t="s">
        <v>42284</v>
      </c>
      <c r="M14581" t="s">
        <v>46268</v>
      </c>
      <c r="N14581" t="s">
        <v>46569</v>
      </c>
      <c r="O14581" t="s">
        <v>46570</v>
      </c>
      <c r="P14581">
        <v>0</v>
      </c>
      <c r="Q14581">
        <v>2</v>
      </c>
      <c r="R14581" t="s">
        <v>46586</v>
      </c>
      <c r="S14581" t="s">
        <v>47252</v>
      </c>
      <c r="T14581" t="s">
        <v>48244</v>
      </c>
      <c r="U14581" t="s">
        <v>60481</v>
      </c>
      <c r="W14581" t="s">
        <v>46268</v>
      </c>
      <c r="X14581" t="s">
        <v>46588</v>
      </c>
    </row>
    <row r="14582" spans="1:24">
      <c r="A14582">
        <f>HYPERLINK("https://www.philgeps.gov.ph/GEPSNONPILOT/Tender/SplashBidNoticeAbstractUI.aspx?menuIndex=3&amp;refID=7033180&amp;Result=3","7033180")</f>
        <v>0</v>
      </c>
      <c r="B14582" t="s">
        <v>1187</v>
      </c>
      <c r="C14582" t="s">
        <v>17405</v>
      </c>
      <c r="D14582" t="s">
        <v>18831</v>
      </c>
      <c r="E14582" t="s">
        <v>31439</v>
      </c>
      <c r="F14582" t="s">
        <v>32664</v>
      </c>
      <c r="G14582" t="s">
        <v>32672</v>
      </c>
      <c r="H14582" t="s">
        <v>12635</v>
      </c>
      <c r="I14582" t="s">
        <v>32689</v>
      </c>
      <c r="J14582" t="s">
        <v>41468</v>
      </c>
      <c r="K14582" t="s">
        <v>42283</v>
      </c>
      <c r="M14582" t="s">
        <v>43823</v>
      </c>
      <c r="N14582" t="s">
        <v>46569</v>
      </c>
      <c r="O14582" t="s">
        <v>46570</v>
      </c>
      <c r="P14582">
        <v>0</v>
      </c>
      <c r="Q14582">
        <v>9</v>
      </c>
      <c r="R14582" t="s">
        <v>46586</v>
      </c>
      <c r="S14582" t="s">
        <v>47252</v>
      </c>
      <c r="T14582" t="s">
        <v>48228</v>
      </c>
      <c r="U14582" t="s">
        <v>60483</v>
      </c>
      <c r="V14582" t="s">
        <v>61922</v>
      </c>
      <c r="W14582" t="s">
        <v>43823</v>
      </c>
      <c r="X14582" t="s">
        <v>46588</v>
      </c>
    </row>
    <row r="14583" spans="1:24">
      <c r="A14583">
        <f>HYPERLINK("https://www.philgeps.gov.ph/GEPSNONPILOT/Tender/SplashBidNoticeAbstractUI.aspx?menuIndex=3&amp;refID=7034760&amp;Result=3","7034760")</f>
        <v>0</v>
      </c>
      <c r="B14583" t="s">
        <v>1015</v>
      </c>
      <c r="C14583" t="s">
        <v>17406</v>
      </c>
      <c r="D14583" t="s">
        <v>18804</v>
      </c>
      <c r="E14583" t="s">
        <v>31440</v>
      </c>
      <c r="F14583" t="s">
        <v>32664</v>
      </c>
      <c r="G14583" t="s">
        <v>32672</v>
      </c>
      <c r="H14583" t="s">
        <v>32683</v>
      </c>
      <c r="I14583" t="s">
        <v>10627</v>
      </c>
      <c r="J14583" t="s">
        <v>41469</v>
      </c>
      <c r="K14583" t="s">
        <v>42311</v>
      </c>
      <c r="M14583" t="s">
        <v>45881</v>
      </c>
      <c r="N14583" t="s">
        <v>46569</v>
      </c>
      <c r="O14583" t="s">
        <v>46570</v>
      </c>
      <c r="P14583">
        <v>0</v>
      </c>
      <c r="Q14583">
        <v>2</v>
      </c>
      <c r="R14583" t="s">
        <v>46586</v>
      </c>
      <c r="S14583" t="s">
        <v>47252</v>
      </c>
      <c r="T14583" t="s">
        <v>48334</v>
      </c>
      <c r="U14583" t="s">
        <v>60484</v>
      </c>
      <c r="W14583" t="s">
        <v>45881</v>
      </c>
      <c r="X14583" t="s">
        <v>46588</v>
      </c>
    </row>
    <row r="14584" spans="1:24">
      <c r="A14584">
        <f>HYPERLINK("https://www.philgeps.gov.ph/GEPSNONPILOT/Tender/SplashBidNoticeAbstractUI.aspx?menuIndex=3&amp;refID=7034818&amp;Result=3","7034818")</f>
        <v>0</v>
      </c>
      <c r="B14584" t="s">
        <v>1015</v>
      </c>
      <c r="C14584" t="s">
        <v>17407</v>
      </c>
      <c r="D14584" t="s">
        <v>18804</v>
      </c>
      <c r="E14584" t="s">
        <v>31441</v>
      </c>
      <c r="F14584" t="s">
        <v>32664</v>
      </c>
      <c r="G14584" t="s">
        <v>32672</v>
      </c>
      <c r="H14584" t="s">
        <v>32683</v>
      </c>
      <c r="I14584" t="s">
        <v>10627</v>
      </c>
      <c r="J14584" t="s">
        <v>41470</v>
      </c>
      <c r="K14584" t="s">
        <v>42325</v>
      </c>
      <c r="M14584" t="s">
        <v>45881</v>
      </c>
      <c r="N14584" t="s">
        <v>46569</v>
      </c>
      <c r="O14584" t="s">
        <v>46570</v>
      </c>
      <c r="P14584">
        <v>0</v>
      </c>
      <c r="Q14584">
        <v>2</v>
      </c>
      <c r="R14584" t="s">
        <v>46586</v>
      </c>
      <c r="S14584" t="s">
        <v>47252</v>
      </c>
      <c r="T14584" t="s">
        <v>48334</v>
      </c>
      <c r="U14584" t="s">
        <v>60485</v>
      </c>
      <c r="W14584" t="s">
        <v>45881</v>
      </c>
      <c r="X14584" t="s">
        <v>46588</v>
      </c>
    </row>
    <row r="14585" spans="1:24">
      <c r="A14585">
        <f>HYPERLINK("https://www.philgeps.gov.ph/GEPSNONPILOT/Tender/SplashBidNoticeAbstractUI.aspx?menuIndex=3&amp;refID=7035065&amp;Result=3","7035065")</f>
        <v>0</v>
      </c>
      <c r="B14585" t="s">
        <v>2917</v>
      </c>
      <c r="C14585" t="s">
        <v>17408</v>
      </c>
      <c r="D14585" t="s">
        <v>18781</v>
      </c>
      <c r="E14585" t="s">
        <v>31442</v>
      </c>
      <c r="F14585" t="s">
        <v>32664</v>
      </c>
      <c r="G14585" t="s">
        <v>32672</v>
      </c>
      <c r="H14585" t="s">
        <v>32683</v>
      </c>
      <c r="I14585" t="s">
        <v>10627</v>
      </c>
      <c r="J14585" t="s">
        <v>32962</v>
      </c>
      <c r="K14585" t="s">
        <v>42311</v>
      </c>
      <c r="M14585" t="s">
        <v>45770</v>
      </c>
      <c r="N14585" t="s">
        <v>46569</v>
      </c>
      <c r="O14585" t="s">
        <v>46570</v>
      </c>
      <c r="P14585">
        <v>0</v>
      </c>
      <c r="Q14585">
        <v>0</v>
      </c>
      <c r="R14585" t="s">
        <v>46586</v>
      </c>
      <c r="S14585" t="s">
        <v>47252</v>
      </c>
      <c r="T14585" t="s">
        <v>48305</v>
      </c>
      <c r="U14585" t="s">
        <v>60486</v>
      </c>
      <c r="W14585" t="s">
        <v>45770</v>
      </c>
      <c r="X14585" t="s">
        <v>46588</v>
      </c>
    </row>
    <row r="14586" spans="1:24">
      <c r="A14586">
        <f>HYPERLINK("https://www.philgeps.gov.ph/GEPSNONPILOT/Tender/SplashBidNoticeAbstractUI.aspx?menuIndex=3&amp;refID=7034789&amp;Result=3","7034789")</f>
        <v>0</v>
      </c>
      <c r="B14586" t="s">
        <v>1015</v>
      </c>
      <c r="C14586" t="s">
        <v>17409</v>
      </c>
      <c r="D14586" t="s">
        <v>18804</v>
      </c>
      <c r="E14586" t="s">
        <v>31443</v>
      </c>
      <c r="F14586" t="s">
        <v>32664</v>
      </c>
      <c r="G14586" t="s">
        <v>32672</v>
      </c>
      <c r="H14586" t="s">
        <v>32683</v>
      </c>
      <c r="I14586" t="s">
        <v>10627</v>
      </c>
      <c r="J14586" t="s">
        <v>41471</v>
      </c>
      <c r="K14586" t="s">
        <v>42362</v>
      </c>
      <c r="M14586" t="s">
        <v>45881</v>
      </c>
      <c r="N14586" t="s">
        <v>46569</v>
      </c>
      <c r="O14586" t="s">
        <v>46570</v>
      </c>
      <c r="P14586">
        <v>0</v>
      </c>
      <c r="Q14586">
        <v>2</v>
      </c>
      <c r="R14586" t="s">
        <v>46586</v>
      </c>
      <c r="S14586" t="s">
        <v>47252</v>
      </c>
      <c r="T14586" t="s">
        <v>48334</v>
      </c>
      <c r="U14586" t="s">
        <v>60487</v>
      </c>
      <c r="W14586" t="s">
        <v>45881</v>
      </c>
      <c r="X14586" t="s">
        <v>46588</v>
      </c>
    </row>
    <row r="14587" spans="1:24">
      <c r="A14587">
        <f>HYPERLINK("https://www.philgeps.gov.ph/GEPSNONPILOT/Tender/SplashBidNoticeAbstractUI.aspx?menuIndex=3&amp;refID=7032736&amp;Result=3","7032736")</f>
        <v>0</v>
      </c>
      <c r="B14587" t="s">
        <v>1028</v>
      </c>
      <c r="C14587" t="s">
        <v>17410</v>
      </c>
      <c r="D14587" t="s">
        <v>18805</v>
      </c>
      <c r="E14587" t="s">
        <v>31444</v>
      </c>
      <c r="F14587" t="s">
        <v>32664</v>
      </c>
      <c r="G14587" t="s">
        <v>32672</v>
      </c>
      <c r="H14587" t="s">
        <v>32683</v>
      </c>
      <c r="I14587" t="s">
        <v>10627</v>
      </c>
      <c r="J14587" t="s">
        <v>32962</v>
      </c>
      <c r="K14587" t="s">
        <v>42285</v>
      </c>
      <c r="M14587" t="s">
        <v>43640</v>
      </c>
      <c r="N14587" t="s">
        <v>46569</v>
      </c>
      <c r="O14587" t="s">
        <v>46570</v>
      </c>
      <c r="P14587">
        <v>0</v>
      </c>
      <c r="Q14587">
        <v>14</v>
      </c>
      <c r="R14587" t="s">
        <v>46588</v>
      </c>
      <c r="S14587" t="s">
        <v>47467</v>
      </c>
      <c r="T14587" t="s">
        <v>48219</v>
      </c>
      <c r="U14587" t="s">
        <v>60488</v>
      </c>
      <c r="W14587" t="s">
        <v>63539</v>
      </c>
      <c r="X14587" t="s">
        <v>46589</v>
      </c>
    </row>
    <row r="14588" spans="1:24">
      <c r="A14588">
        <f>HYPERLINK("https://www.philgeps.gov.ph/GEPSNONPILOT/Tender/SplashBidNoticeAbstractUI.aspx?menuIndex=3&amp;refID=7032718&amp;Result=3","7032718")</f>
        <v>0</v>
      </c>
      <c r="B14588" t="s">
        <v>3185</v>
      </c>
      <c r="C14588" t="s">
        <v>17411</v>
      </c>
      <c r="D14588" t="s">
        <v>18845</v>
      </c>
      <c r="E14588" t="s">
        <v>31445</v>
      </c>
      <c r="F14588" t="s">
        <v>32664</v>
      </c>
      <c r="G14588" t="s">
        <v>32672</v>
      </c>
      <c r="H14588" t="s">
        <v>32683</v>
      </c>
      <c r="I14588" t="s">
        <v>10627</v>
      </c>
      <c r="J14588" t="s">
        <v>34148</v>
      </c>
      <c r="K14588" t="s">
        <v>42298</v>
      </c>
      <c r="M14588" t="s">
        <v>46098</v>
      </c>
      <c r="N14588" t="s">
        <v>46569</v>
      </c>
      <c r="O14588" t="s">
        <v>46570</v>
      </c>
      <c r="P14588">
        <v>0</v>
      </c>
      <c r="Q14588">
        <v>2</v>
      </c>
      <c r="R14588" t="s">
        <v>46588</v>
      </c>
      <c r="S14588" t="s">
        <v>47467</v>
      </c>
      <c r="T14588" t="s">
        <v>48287</v>
      </c>
      <c r="U14588" t="s">
        <v>58818</v>
      </c>
      <c r="W14588" t="s">
        <v>46098</v>
      </c>
      <c r="X14588" t="s">
        <v>46589</v>
      </c>
    </row>
    <row r="14589" spans="1:24">
      <c r="A14589">
        <f>HYPERLINK("https://www.philgeps.gov.ph/GEPSNONPILOT/Tender/SplashBidNoticeAbstractUI.aspx?menuIndex=3&amp;refID=7032728&amp;Result=3","7032728")</f>
        <v>0</v>
      </c>
      <c r="B14589" t="s">
        <v>1028</v>
      </c>
      <c r="C14589" t="s">
        <v>17412</v>
      </c>
      <c r="D14589" t="s">
        <v>18805</v>
      </c>
      <c r="E14589" t="s">
        <v>31446</v>
      </c>
      <c r="F14589" t="s">
        <v>32664</v>
      </c>
      <c r="G14589" t="s">
        <v>32672</v>
      </c>
      <c r="H14589" t="s">
        <v>32683</v>
      </c>
      <c r="I14589" t="s">
        <v>10627</v>
      </c>
      <c r="J14589" t="s">
        <v>41472</v>
      </c>
      <c r="K14589" t="s">
        <v>42311</v>
      </c>
      <c r="M14589" t="s">
        <v>43640</v>
      </c>
      <c r="N14589" t="s">
        <v>46569</v>
      </c>
      <c r="O14589" t="s">
        <v>46570</v>
      </c>
      <c r="P14589">
        <v>0</v>
      </c>
      <c r="Q14589">
        <v>14</v>
      </c>
      <c r="R14589" t="s">
        <v>46588</v>
      </c>
      <c r="S14589" t="s">
        <v>47467</v>
      </c>
      <c r="T14589" t="s">
        <v>48293</v>
      </c>
      <c r="U14589" t="s">
        <v>60489</v>
      </c>
      <c r="W14589" t="s">
        <v>63539</v>
      </c>
      <c r="X14589" t="s">
        <v>46589</v>
      </c>
    </row>
    <row r="14590" spans="1:24">
      <c r="A14590">
        <f>HYPERLINK("https://www.philgeps.gov.ph/GEPSNONPILOT/Tender/SplashBidNoticeAbstractUI.aspx?menuIndex=3&amp;refID=7032924&amp;Result=3","7032924")</f>
        <v>0</v>
      </c>
      <c r="B14590" t="s">
        <v>3006</v>
      </c>
      <c r="C14590" t="s">
        <v>17413</v>
      </c>
      <c r="D14590" t="s">
        <v>18804</v>
      </c>
      <c r="E14590" t="s">
        <v>31447</v>
      </c>
      <c r="F14590" t="s">
        <v>32664</v>
      </c>
      <c r="G14590" t="s">
        <v>32672</v>
      </c>
      <c r="H14590" t="s">
        <v>12635</v>
      </c>
      <c r="I14590" t="s">
        <v>32716</v>
      </c>
      <c r="J14590" t="s">
        <v>33371</v>
      </c>
      <c r="K14590" t="s">
        <v>42303</v>
      </c>
      <c r="M14590" t="s">
        <v>45869</v>
      </c>
      <c r="N14590" t="s">
        <v>46569</v>
      </c>
      <c r="O14590" t="s">
        <v>46570</v>
      </c>
      <c r="P14590">
        <v>0</v>
      </c>
      <c r="Q14590">
        <v>1</v>
      </c>
      <c r="R14590" t="s">
        <v>46586</v>
      </c>
      <c r="S14590" t="s">
        <v>47252</v>
      </c>
      <c r="T14590" t="s">
        <v>48283</v>
      </c>
      <c r="U14590" t="s">
        <v>60490</v>
      </c>
      <c r="W14590" t="s">
        <v>45869</v>
      </c>
      <c r="X14590" t="s">
        <v>46588</v>
      </c>
    </row>
    <row r="14591" spans="1:24">
      <c r="A14591">
        <f>HYPERLINK("https://www.philgeps.gov.ph/GEPSNONPILOT/Tender/SplashBidNoticeAbstractUI.aspx?menuIndex=3&amp;refID=7032710&amp;Result=3","7032710")</f>
        <v>0</v>
      </c>
      <c r="B14591" t="s">
        <v>3185</v>
      </c>
      <c r="C14591" t="s">
        <v>17414</v>
      </c>
      <c r="D14591" t="s">
        <v>18845</v>
      </c>
      <c r="E14591" t="s">
        <v>31448</v>
      </c>
      <c r="F14591" t="s">
        <v>32664</v>
      </c>
      <c r="G14591" t="s">
        <v>32672</v>
      </c>
      <c r="H14591" t="s">
        <v>32683</v>
      </c>
      <c r="I14591" t="s">
        <v>10627</v>
      </c>
      <c r="J14591" t="s">
        <v>32837</v>
      </c>
      <c r="K14591" t="s">
        <v>42298</v>
      </c>
      <c r="M14591" t="s">
        <v>46098</v>
      </c>
      <c r="N14591" t="s">
        <v>46569</v>
      </c>
      <c r="O14591" t="s">
        <v>46570</v>
      </c>
      <c r="P14591">
        <v>0</v>
      </c>
      <c r="Q14591">
        <v>0</v>
      </c>
      <c r="R14591" t="s">
        <v>46588</v>
      </c>
      <c r="S14591" t="s">
        <v>47467</v>
      </c>
      <c r="T14591" t="s">
        <v>48287</v>
      </c>
      <c r="U14591" t="s">
        <v>58818</v>
      </c>
      <c r="W14591" t="s">
        <v>46098</v>
      </c>
      <c r="X14591" t="s">
        <v>46589</v>
      </c>
    </row>
    <row r="14592" spans="1:24">
      <c r="A14592">
        <f>HYPERLINK("https://www.philgeps.gov.ph/GEPSNONPILOT/Tender/SplashBidNoticeAbstractUI.aspx?menuIndex=3&amp;refID=7032720&amp;Result=3","7032720")</f>
        <v>0</v>
      </c>
      <c r="B14592" t="s">
        <v>980</v>
      </c>
      <c r="C14592" t="s">
        <v>17415</v>
      </c>
      <c r="D14592" t="s">
        <v>18816</v>
      </c>
      <c r="E14592" t="s">
        <v>31449</v>
      </c>
      <c r="F14592" t="s">
        <v>32664</v>
      </c>
      <c r="G14592" t="s">
        <v>32672</v>
      </c>
      <c r="H14592" t="s">
        <v>32683</v>
      </c>
      <c r="I14592" t="s">
        <v>10627</v>
      </c>
      <c r="J14592" t="s">
        <v>32974</v>
      </c>
      <c r="K14592" t="s">
        <v>42281</v>
      </c>
      <c r="M14592" t="s">
        <v>43589</v>
      </c>
      <c r="N14592" t="s">
        <v>46569</v>
      </c>
      <c r="O14592" t="s">
        <v>46570</v>
      </c>
      <c r="P14592">
        <v>0</v>
      </c>
      <c r="Q14592">
        <v>0</v>
      </c>
      <c r="R14592" t="s">
        <v>46588</v>
      </c>
      <c r="S14592" t="s">
        <v>47467</v>
      </c>
      <c r="T14592" t="s">
        <v>48228</v>
      </c>
      <c r="U14592" t="s">
        <v>60491</v>
      </c>
      <c r="W14592" t="s">
        <v>46552</v>
      </c>
      <c r="X14592" t="s">
        <v>46589</v>
      </c>
    </row>
    <row r="14593" spans="1:24">
      <c r="A14593">
        <f>HYPERLINK("https://www.philgeps.gov.ph/GEPSNONPILOT/Tender/SplashBidNoticeAbstractUI.aspx?menuIndex=3&amp;refID=7032695&amp;Result=3","7032695")</f>
        <v>0</v>
      </c>
      <c r="B14593" t="s">
        <v>1028</v>
      </c>
      <c r="C14593" t="s">
        <v>17416</v>
      </c>
      <c r="D14593" t="s">
        <v>18805</v>
      </c>
      <c r="E14593" t="s">
        <v>31450</v>
      </c>
      <c r="F14593" t="s">
        <v>32664</v>
      </c>
      <c r="G14593" t="s">
        <v>32672</v>
      </c>
      <c r="H14593" t="s">
        <v>32683</v>
      </c>
      <c r="I14593" t="s">
        <v>10627</v>
      </c>
      <c r="J14593" t="s">
        <v>41473</v>
      </c>
      <c r="K14593" t="s">
        <v>42447</v>
      </c>
      <c r="M14593" t="s">
        <v>43640</v>
      </c>
      <c r="N14593" t="s">
        <v>46569</v>
      </c>
      <c r="O14593" t="s">
        <v>46570</v>
      </c>
      <c r="P14593">
        <v>0</v>
      </c>
      <c r="Q14593">
        <v>19</v>
      </c>
      <c r="R14593" t="s">
        <v>46588</v>
      </c>
      <c r="S14593" t="s">
        <v>47467</v>
      </c>
      <c r="T14593" t="s">
        <v>48293</v>
      </c>
      <c r="U14593" t="s">
        <v>60492</v>
      </c>
      <c r="W14593" t="s">
        <v>63539</v>
      </c>
      <c r="X14593" t="s">
        <v>46589</v>
      </c>
    </row>
    <row r="14594" spans="1:24">
      <c r="A14594">
        <f>HYPERLINK("https://www.philgeps.gov.ph/GEPSNONPILOT/Tender/SplashBidNoticeAbstractUI.aspx?menuIndex=3&amp;refID=7032682&amp;Result=3","7032682")</f>
        <v>0</v>
      </c>
      <c r="B14594" t="s">
        <v>1028</v>
      </c>
      <c r="C14594" t="s">
        <v>17417</v>
      </c>
      <c r="D14594" t="s">
        <v>18805</v>
      </c>
      <c r="E14594" t="s">
        <v>31451</v>
      </c>
      <c r="F14594" t="s">
        <v>32664</v>
      </c>
      <c r="G14594" t="s">
        <v>32672</v>
      </c>
      <c r="H14594" t="s">
        <v>32683</v>
      </c>
      <c r="I14594" t="s">
        <v>10627</v>
      </c>
      <c r="J14594" t="s">
        <v>41474</v>
      </c>
      <c r="K14594" t="s">
        <v>42407</v>
      </c>
      <c r="M14594" t="s">
        <v>43640</v>
      </c>
      <c r="N14594" t="s">
        <v>46569</v>
      </c>
      <c r="O14594" t="s">
        <v>46570</v>
      </c>
      <c r="P14594">
        <v>0</v>
      </c>
      <c r="Q14594">
        <v>18</v>
      </c>
      <c r="R14594" t="s">
        <v>46588</v>
      </c>
      <c r="S14594" t="s">
        <v>47467</v>
      </c>
      <c r="T14594" t="s">
        <v>48293</v>
      </c>
      <c r="U14594" t="s">
        <v>60492</v>
      </c>
      <c r="W14594" t="s">
        <v>63539</v>
      </c>
      <c r="X14594" t="s">
        <v>46589</v>
      </c>
    </row>
    <row r="14595" spans="1:24">
      <c r="A14595">
        <f>HYPERLINK("https://www.philgeps.gov.ph/GEPSNONPILOT/Tender/SplashBidNoticeAbstractUI.aspx?menuIndex=3&amp;refID=7035410&amp;Result=3","7035410")</f>
        <v>0</v>
      </c>
      <c r="B14595" t="s">
        <v>1150</v>
      </c>
      <c r="C14595" t="s">
        <v>5443</v>
      </c>
      <c r="D14595" t="s">
        <v>18845</v>
      </c>
      <c r="E14595" t="s">
        <v>31452</v>
      </c>
      <c r="F14595" t="s">
        <v>32664</v>
      </c>
      <c r="G14595" t="s">
        <v>32672</v>
      </c>
      <c r="H14595" t="s">
        <v>12635</v>
      </c>
      <c r="I14595" t="s">
        <v>8797</v>
      </c>
      <c r="J14595" t="s">
        <v>41475</v>
      </c>
      <c r="K14595" t="s">
        <v>42297</v>
      </c>
      <c r="M14595" t="s">
        <v>44784</v>
      </c>
      <c r="N14595" t="s">
        <v>46569</v>
      </c>
      <c r="O14595" t="s">
        <v>46570</v>
      </c>
      <c r="P14595">
        <v>0</v>
      </c>
      <c r="Q14595">
        <v>9</v>
      </c>
      <c r="R14595" t="s">
        <v>46586</v>
      </c>
      <c r="S14595" t="s">
        <v>47252</v>
      </c>
      <c r="T14595" t="s">
        <v>48285</v>
      </c>
      <c r="U14595" t="s">
        <v>60493</v>
      </c>
      <c r="W14595" t="s">
        <v>44784</v>
      </c>
      <c r="X14595" t="s">
        <v>46587</v>
      </c>
    </row>
    <row r="14596" spans="1:24">
      <c r="A14596">
        <f>HYPERLINK("https://www.philgeps.gov.ph/GEPSNONPILOT/Tender/SplashBidNoticeAbstractUI.aspx?menuIndex=3&amp;refID=7032045&amp;Result=3","7032045")</f>
        <v>0</v>
      </c>
      <c r="B14596" t="s">
        <v>229</v>
      </c>
      <c r="C14596" t="s">
        <v>17418</v>
      </c>
      <c r="D14596" t="s">
        <v>18838</v>
      </c>
      <c r="E14596" t="s">
        <v>31453</v>
      </c>
      <c r="F14596" t="s">
        <v>32664</v>
      </c>
      <c r="G14596" t="s">
        <v>32672</v>
      </c>
      <c r="H14596" t="s">
        <v>12635</v>
      </c>
      <c r="I14596" t="s">
        <v>32694</v>
      </c>
      <c r="J14596" t="s">
        <v>41476</v>
      </c>
      <c r="K14596" t="s">
        <v>42297</v>
      </c>
      <c r="M14596" t="s">
        <v>42793</v>
      </c>
      <c r="N14596" t="s">
        <v>46569</v>
      </c>
      <c r="O14596" t="s">
        <v>46570</v>
      </c>
      <c r="Q14596">
        <v>12</v>
      </c>
      <c r="R14596" t="s">
        <v>46589</v>
      </c>
      <c r="S14596" t="s">
        <v>47541</v>
      </c>
      <c r="T14596" t="s">
        <v>48221</v>
      </c>
      <c r="U14596" t="s">
        <v>60494</v>
      </c>
      <c r="W14596" t="s">
        <v>42793</v>
      </c>
      <c r="X14596" t="s">
        <v>46590</v>
      </c>
    </row>
    <row r="14597" spans="1:24">
      <c r="A14597">
        <f>HYPERLINK("https://www.philgeps.gov.ph/GEPSNONPILOT/Tender/SplashBidNoticeAbstractUI.aspx?menuIndex=3&amp;refID=7034792&amp;Result=3","7034792")</f>
        <v>0</v>
      </c>
      <c r="B14597" t="s">
        <v>1130</v>
      </c>
      <c r="C14597" t="s">
        <v>17419</v>
      </c>
      <c r="D14597" t="s">
        <v>18826</v>
      </c>
      <c r="E14597" t="s">
        <v>31454</v>
      </c>
      <c r="F14597" t="s">
        <v>32664</v>
      </c>
      <c r="G14597" t="s">
        <v>32672</v>
      </c>
      <c r="H14597" t="s">
        <v>32683</v>
      </c>
      <c r="I14597" t="s">
        <v>32783</v>
      </c>
      <c r="J14597" t="s">
        <v>41477</v>
      </c>
      <c r="K14597" t="s">
        <v>42308</v>
      </c>
      <c r="M14597" t="s">
        <v>46407</v>
      </c>
      <c r="N14597" t="s">
        <v>46569</v>
      </c>
      <c r="O14597" t="s">
        <v>46570</v>
      </c>
      <c r="P14597">
        <v>0</v>
      </c>
      <c r="Q14597">
        <v>5</v>
      </c>
      <c r="R14597" t="s">
        <v>46586</v>
      </c>
      <c r="S14597" t="s">
        <v>47252</v>
      </c>
      <c r="T14597" t="s">
        <v>48314</v>
      </c>
      <c r="U14597" t="s">
        <v>60495</v>
      </c>
      <c r="W14597" t="s">
        <v>46407</v>
      </c>
      <c r="X14597" t="s">
        <v>46588</v>
      </c>
    </row>
    <row r="14598" spans="1:24">
      <c r="A14598">
        <f>HYPERLINK("https://www.philgeps.gov.ph/GEPSNONPILOT/Tender/SplashBidNoticeAbstractUI.aspx?menuIndex=3&amp;refID=7031995&amp;Result=3","7031995")</f>
        <v>0</v>
      </c>
      <c r="B14598" t="s">
        <v>2249</v>
      </c>
      <c r="C14598" t="s">
        <v>17420</v>
      </c>
      <c r="D14598" t="s">
        <v>18805</v>
      </c>
      <c r="E14598" t="s">
        <v>31455</v>
      </c>
      <c r="F14598" t="s">
        <v>32664</v>
      </c>
      <c r="G14598" t="s">
        <v>32672</v>
      </c>
      <c r="H14598" t="s">
        <v>12635</v>
      </c>
      <c r="I14598" t="s">
        <v>32692</v>
      </c>
      <c r="J14598" t="s">
        <v>38671</v>
      </c>
      <c r="K14598" t="s">
        <v>42309</v>
      </c>
      <c r="M14598" t="s">
        <v>45014</v>
      </c>
      <c r="N14598" t="s">
        <v>46569</v>
      </c>
      <c r="O14598" t="s">
        <v>46570</v>
      </c>
      <c r="P14598">
        <v>0</v>
      </c>
      <c r="Q14598">
        <v>0</v>
      </c>
      <c r="R14598" t="s">
        <v>46589</v>
      </c>
      <c r="S14598" t="s">
        <v>47542</v>
      </c>
      <c r="T14598" t="s">
        <v>48244</v>
      </c>
      <c r="U14598" t="s">
        <v>60496</v>
      </c>
      <c r="W14598" t="s">
        <v>45014</v>
      </c>
      <c r="X14598" t="s">
        <v>46590</v>
      </c>
    </row>
    <row r="14599" spans="1:24">
      <c r="A14599">
        <f>HYPERLINK("https://www.philgeps.gov.ph/GEPSNONPILOT/Tender/SplashBidNoticeAbstractUI.aspx?menuIndex=3&amp;refID=7032038&amp;Result=3","7032038")</f>
        <v>0</v>
      </c>
      <c r="B14599" t="s">
        <v>3426</v>
      </c>
      <c r="C14599" t="s">
        <v>17421</v>
      </c>
      <c r="D14599" t="s">
        <v>18797</v>
      </c>
      <c r="E14599" t="s">
        <v>31456</v>
      </c>
      <c r="F14599" t="s">
        <v>32664</v>
      </c>
      <c r="G14599" t="s">
        <v>32672</v>
      </c>
      <c r="H14599" t="s">
        <v>32683</v>
      </c>
      <c r="I14599" t="s">
        <v>10627</v>
      </c>
      <c r="J14599" t="s">
        <v>32853</v>
      </c>
      <c r="K14599" t="s">
        <v>42298</v>
      </c>
      <c r="M14599" t="s">
        <v>46408</v>
      </c>
      <c r="N14599" t="s">
        <v>46569</v>
      </c>
      <c r="O14599" t="s">
        <v>46570</v>
      </c>
      <c r="P14599">
        <v>0</v>
      </c>
      <c r="Q14599">
        <v>3</v>
      </c>
      <c r="R14599" t="s">
        <v>46589</v>
      </c>
      <c r="S14599" t="s">
        <v>47542</v>
      </c>
      <c r="T14599" t="s">
        <v>48271</v>
      </c>
      <c r="U14599" t="s">
        <v>60497</v>
      </c>
      <c r="W14599" t="s">
        <v>46408</v>
      </c>
      <c r="X14599" t="s">
        <v>46590</v>
      </c>
    </row>
    <row r="14600" spans="1:24">
      <c r="A14600">
        <f>HYPERLINK("https://www.philgeps.gov.ph/GEPSNONPILOT/Tender/SplashBidNoticeAbstractUI.aspx?menuIndex=3&amp;refID=7031992&amp;Result=3","7031992")</f>
        <v>0</v>
      </c>
      <c r="B14600" t="s">
        <v>2249</v>
      </c>
      <c r="C14600" t="s">
        <v>17422</v>
      </c>
      <c r="D14600" t="s">
        <v>18805</v>
      </c>
      <c r="E14600" t="s">
        <v>31457</v>
      </c>
      <c r="F14600" t="s">
        <v>32664</v>
      </c>
      <c r="G14600" t="s">
        <v>32672</v>
      </c>
      <c r="H14600" t="s">
        <v>12635</v>
      </c>
      <c r="I14600" t="s">
        <v>4439</v>
      </c>
      <c r="J14600" t="s">
        <v>35542</v>
      </c>
      <c r="K14600" t="s">
        <v>42309</v>
      </c>
      <c r="M14600" t="s">
        <v>45014</v>
      </c>
      <c r="N14600" t="s">
        <v>46569</v>
      </c>
      <c r="O14600" t="s">
        <v>46570</v>
      </c>
      <c r="P14600">
        <v>0</v>
      </c>
      <c r="Q14600">
        <v>0</v>
      </c>
      <c r="R14600" t="s">
        <v>46589</v>
      </c>
      <c r="S14600" t="s">
        <v>47542</v>
      </c>
      <c r="T14600" t="s">
        <v>48244</v>
      </c>
      <c r="U14600" t="s">
        <v>60498</v>
      </c>
      <c r="W14600" t="s">
        <v>45014</v>
      </c>
      <c r="X14600" t="s">
        <v>46590</v>
      </c>
    </row>
    <row r="14601" spans="1:24">
      <c r="A14601">
        <f>HYPERLINK("https://www.philgeps.gov.ph/GEPSNONPILOT/Tender/SplashBidNoticeAbstractUI.aspx?menuIndex=3&amp;refID=7031990&amp;Result=3","7031990")</f>
        <v>0</v>
      </c>
      <c r="B14601" t="s">
        <v>2249</v>
      </c>
      <c r="C14601" t="s">
        <v>17423</v>
      </c>
      <c r="D14601" t="s">
        <v>18805</v>
      </c>
      <c r="E14601" t="s">
        <v>28614</v>
      </c>
      <c r="F14601" t="s">
        <v>32664</v>
      </c>
      <c r="G14601" t="s">
        <v>32672</v>
      </c>
      <c r="H14601" t="s">
        <v>12635</v>
      </c>
      <c r="I14601" t="s">
        <v>4439</v>
      </c>
      <c r="J14601" t="s">
        <v>41478</v>
      </c>
      <c r="K14601" t="s">
        <v>42309</v>
      </c>
      <c r="M14601" t="s">
        <v>45014</v>
      </c>
      <c r="N14601" t="s">
        <v>46569</v>
      </c>
      <c r="O14601" t="s">
        <v>46570</v>
      </c>
      <c r="P14601">
        <v>0</v>
      </c>
      <c r="Q14601">
        <v>0</v>
      </c>
      <c r="R14601" t="s">
        <v>46589</v>
      </c>
      <c r="S14601" t="s">
        <v>47542</v>
      </c>
      <c r="T14601" t="s">
        <v>48244</v>
      </c>
      <c r="U14601" t="s">
        <v>60499</v>
      </c>
      <c r="W14601" t="s">
        <v>45014</v>
      </c>
      <c r="X14601" t="s">
        <v>46590</v>
      </c>
    </row>
    <row r="14602" spans="1:24">
      <c r="A14602">
        <f>HYPERLINK("https://www.philgeps.gov.ph/GEPSNONPILOT/Tender/SplashBidNoticeAbstractUI.aspx?menuIndex=3&amp;refID=7032712&amp;Result=3","7032712")</f>
        <v>0</v>
      </c>
      <c r="B14602" t="s">
        <v>1028</v>
      </c>
      <c r="C14602" t="s">
        <v>17424</v>
      </c>
      <c r="D14602" t="s">
        <v>18805</v>
      </c>
      <c r="E14602" t="s">
        <v>31458</v>
      </c>
      <c r="F14602" t="s">
        <v>32664</v>
      </c>
      <c r="G14602" t="s">
        <v>32672</v>
      </c>
      <c r="H14602" t="s">
        <v>32683</v>
      </c>
      <c r="I14602" t="s">
        <v>10627</v>
      </c>
      <c r="J14602" t="s">
        <v>34481</v>
      </c>
      <c r="K14602" t="s">
        <v>42346</v>
      </c>
      <c r="M14602" t="s">
        <v>43640</v>
      </c>
      <c r="N14602" t="s">
        <v>46569</v>
      </c>
      <c r="O14602" t="s">
        <v>46570</v>
      </c>
      <c r="P14602">
        <v>0</v>
      </c>
      <c r="Q14602">
        <v>19</v>
      </c>
      <c r="R14602" t="s">
        <v>46588</v>
      </c>
      <c r="S14602" t="s">
        <v>47467</v>
      </c>
      <c r="T14602" t="s">
        <v>48293</v>
      </c>
      <c r="U14602" t="s">
        <v>60492</v>
      </c>
      <c r="W14602" t="s">
        <v>63539</v>
      </c>
      <c r="X14602" t="s">
        <v>46589</v>
      </c>
    </row>
    <row r="14603" spans="1:24">
      <c r="A14603">
        <f>HYPERLINK("https://www.philgeps.gov.ph/GEPSNONPILOT/Tender/SplashBidNoticeAbstractUI.aspx?menuIndex=3&amp;refID=7031972&amp;Result=3","7031972")</f>
        <v>0</v>
      </c>
      <c r="B14603" t="s">
        <v>3427</v>
      </c>
      <c r="C14603" t="s">
        <v>17425</v>
      </c>
      <c r="D14603" t="s">
        <v>18830</v>
      </c>
      <c r="E14603" t="s">
        <v>31459</v>
      </c>
      <c r="F14603" t="s">
        <v>32664</v>
      </c>
      <c r="G14603" t="s">
        <v>32672</v>
      </c>
      <c r="H14603" t="s">
        <v>12635</v>
      </c>
      <c r="I14603" t="s">
        <v>5589</v>
      </c>
      <c r="J14603" t="s">
        <v>41479</v>
      </c>
      <c r="K14603" t="s">
        <v>42298</v>
      </c>
      <c r="M14603" t="s">
        <v>46409</v>
      </c>
      <c r="N14603" t="s">
        <v>46569</v>
      </c>
      <c r="O14603" t="s">
        <v>46570</v>
      </c>
      <c r="Q14603">
        <v>11</v>
      </c>
      <c r="R14603" t="s">
        <v>46589</v>
      </c>
      <c r="S14603" t="s">
        <v>47543</v>
      </c>
      <c r="T14603" t="s">
        <v>48244</v>
      </c>
      <c r="U14603" t="s">
        <v>60500</v>
      </c>
      <c r="W14603" t="s">
        <v>46409</v>
      </c>
      <c r="X14603" t="s">
        <v>46590</v>
      </c>
    </row>
    <row r="14604" spans="1:24">
      <c r="A14604">
        <f>HYPERLINK("https://www.philgeps.gov.ph/GEPSNONPILOT/Tender/SplashBidNoticeAbstractUI.aspx?menuIndex=3&amp;refID=7035936&amp;Result=3","7035936")</f>
        <v>0</v>
      </c>
      <c r="B14604" t="s">
        <v>3224</v>
      </c>
      <c r="C14604" t="s">
        <v>17426</v>
      </c>
      <c r="D14604" t="s">
        <v>18860</v>
      </c>
      <c r="E14604" t="s">
        <v>31460</v>
      </c>
      <c r="F14604" t="s">
        <v>32664</v>
      </c>
      <c r="G14604" t="s">
        <v>32672</v>
      </c>
      <c r="H14604" t="s">
        <v>12635</v>
      </c>
      <c r="I14604" t="s">
        <v>11464</v>
      </c>
      <c r="J14604" t="s">
        <v>41480</v>
      </c>
      <c r="K14604" t="s">
        <v>42289</v>
      </c>
      <c r="M14604" t="s">
        <v>46144</v>
      </c>
      <c r="N14604" t="s">
        <v>46569</v>
      </c>
      <c r="O14604" t="s">
        <v>46570</v>
      </c>
      <c r="P14604">
        <v>0</v>
      </c>
      <c r="Q14604">
        <v>5</v>
      </c>
      <c r="R14604" t="s">
        <v>46586</v>
      </c>
      <c r="S14604" t="s">
        <v>47252</v>
      </c>
      <c r="T14604" t="s">
        <v>48283</v>
      </c>
      <c r="U14604" t="s">
        <v>60501</v>
      </c>
      <c r="W14604" t="s">
        <v>46144</v>
      </c>
      <c r="X14604" t="s">
        <v>46587</v>
      </c>
    </row>
    <row r="14605" spans="1:24">
      <c r="A14605">
        <f>HYPERLINK("https://www.philgeps.gov.ph/GEPSNONPILOT/Tender/SplashBidNoticeAbstractUI.aspx?menuIndex=3&amp;refID=7032716&amp;Result=3","7032716")</f>
        <v>0</v>
      </c>
      <c r="B14605" t="s">
        <v>980</v>
      </c>
      <c r="C14605" t="s">
        <v>17427</v>
      </c>
      <c r="D14605" t="s">
        <v>18816</v>
      </c>
      <c r="E14605" t="s">
        <v>31461</v>
      </c>
      <c r="F14605" t="s">
        <v>32664</v>
      </c>
      <c r="G14605" t="s">
        <v>32672</v>
      </c>
      <c r="H14605" t="s">
        <v>32683</v>
      </c>
      <c r="I14605" t="s">
        <v>10627</v>
      </c>
      <c r="J14605" t="s">
        <v>35379</v>
      </c>
      <c r="K14605" t="s">
        <v>42281</v>
      </c>
      <c r="M14605" t="s">
        <v>43589</v>
      </c>
      <c r="N14605" t="s">
        <v>46569</v>
      </c>
      <c r="O14605" t="s">
        <v>46570</v>
      </c>
      <c r="P14605">
        <v>0</v>
      </c>
      <c r="Q14605">
        <v>2</v>
      </c>
      <c r="R14605" t="s">
        <v>46588</v>
      </c>
      <c r="S14605" t="s">
        <v>47467</v>
      </c>
      <c r="T14605" t="s">
        <v>48228</v>
      </c>
      <c r="U14605" t="s">
        <v>60502</v>
      </c>
      <c r="W14605" t="s">
        <v>46552</v>
      </c>
      <c r="X14605" t="s">
        <v>46589</v>
      </c>
    </row>
    <row r="14606" spans="1:24">
      <c r="A14606">
        <f>HYPERLINK("https://www.philgeps.gov.ph/GEPSNONPILOT/Tender/SplashBidNoticeAbstractUI.aspx?menuIndex=3&amp;refID=7030602&amp;Result=3","7030602")</f>
        <v>0</v>
      </c>
      <c r="B14606" t="s">
        <v>2914</v>
      </c>
      <c r="C14606" t="s">
        <v>17428</v>
      </c>
      <c r="D14606" t="s">
        <v>18826</v>
      </c>
      <c r="E14606" t="s">
        <v>31462</v>
      </c>
      <c r="F14606" t="s">
        <v>32664</v>
      </c>
      <c r="G14606" t="s">
        <v>32672</v>
      </c>
      <c r="H14606" t="s">
        <v>32683</v>
      </c>
      <c r="I14606" t="s">
        <v>10627</v>
      </c>
      <c r="J14606" t="s">
        <v>41481</v>
      </c>
      <c r="K14606" t="s">
        <v>42290</v>
      </c>
      <c r="M14606" t="s">
        <v>45766</v>
      </c>
      <c r="N14606" t="s">
        <v>46569</v>
      </c>
      <c r="O14606" t="s">
        <v>46570</v>
      </c>
      <c r="P14606">
        <v>0</v>
      </c>
      <c r="Q14606">
        <v>91</v>
      </c>
      <c r="R14606" t="s">
        <v>46589</v>
      </c>
      <c r="S14606" t="s">
        <v>47542</v>
      </c>
      <c r="T14606" t="s">
        <v>48244</v>
      </c>
      <c r="U14606" t="s">
        <v>60503</v>
      </c>
      <c r="W14606" t="s">
        <v>45766</v>
      </c>
      <c r="X14606" t="s">
        <v>46591</v>
      </c>
    </row>
    <row r="14607" spans="1:24">
      <c r="A14607">
        <f>HYPERLINK("https://www.philgeps.gov.ph/GEPSNONPILOT/Tender/SplashBidNoticeAbstractUI.aspx?menuIndex=3&amp;refID=7029949&amp;Result=3","7029949")</f>
        <v>0</v>
      </c>
      <c r="B14607" t="s">
        <v>231</v>
      </c>
      <c r="C14607" t="s">
        <v>17429</v>
      </c>
      <c r="D14607" t="s">
        <v>18845</v>
      </c>
      <c r="E14607" t="s">
        <v>31463</v>
      </c>
      <c r="F14607" t="s">
        <v>32664</v>
      </c>
      <c r="G14607" t="s">
        <v>32672</v>
      </c>
      <c r="H14607" t="s">
        <v>12635</v>
      </c>
      <c r="I14607" t="s">
        <v>32716</v>
      </c>
      <c r="J14607" t="s">
        <v>32981</v>
      </c>
      <c r="K14607" t="s">
        <v>42416</v>
      </c>
      <c r="M14607" t="s">
        <v>46410</v>
      </c>
      <c r="N14607" t="s">
        <v>46569</v>
      </c>
      <c r="O14607" t="s">
        <v>46570</v>
      </c>
      <c r="Q14607">
        <v>9</v>
      </c>
      <c r="R14607" t="s">
        <v>46589</v>
      </c>
      <c r="S14607" t="s">
        <v>47544</v>
      </c>
      <c r="T14607" t="s">
        <v>48334</v>
      </c>
      <c r="U14607" t="s">
        <v>60504</v>
      </c>
      <c r="W14607" t="s">
        <v>46410</v>
      </c>
      <c r="X14607" t="s">
        <v>46591</v>
      </c>
    </row>
    <row r="14608" spans="1:24">
      <c r="A14608">
        <f>HYPERLINK("https://www.philgeps.gov.ph/GEPSNONPILOT/Tender/SplashBidNoticeAbstractUI.aspx?menuIndex=3&amp;refID=7027642&amp;Result=3","7027642")</f>
        <v>0</v>
      </c>
      <c r="B14608" t="s">
        <v>112</v>
      </c>
      <c r="C14608" t="s">
        <v>17430</v>
      </c>
      <c r="D14608" t="s">
        <v>18813</v>
      </c>
      <c r="E14608" t="s">
        <v>31464</v>
      </c>
      <c r="F14608" t="s">
        <v>32664</v>
      </c>
      <c r="G14608" t="s">
        <v>32672</v>
      </c>
      <c r="H14608" t="s">
        <v>12635</v>
      </c>
      <c r="I14608" t="s">
        <v>6628</v>
      </c>
      <c r="J14608" t="s">
        <v>41482</v>
      </c>
      <c r="K14608" t="s">
        <v>42281</v>
      </c>
      <c r="M14608" t="s">
        <v>42676</v>
      </c>
      <c r="N14608" t="s">
        <v>46569</v>
      </c>
      <c r="O14608" t="s">
        <v>46570</v>
      </c>
      <c r="Q14608">
        <v>3</v>
      </c>
      <c r="R14608" t="s">
        <v>46590</v>
      </c>
      <c r="S14608" t="s">
        <v>47545</v>
      </c>
      <c r="T14608" t="s">
        <v>48221</v>
      </c>
      <c r="U14608" t="s">
        <v>60505</v>
      </c>
      <c r="V14608" t="s">
        <v>63253</v>
      </c>
      <c r="W14608" t="s">
        <v>42676</v>
      </c>
      <c r="X14608" t="s">
        <v>46592</v>
      </c>
    </row>
    <row r="14609" spans="1:24">
      <c r="A14609">
        <f>HYPERLINK("https://www.philgeps.gov.ph/GEPSNONPILOT/Tender/SplashBidNoticeAbstractUI.aspx?menuIndex=3&amp;refID=7032031&amp;Result=3","7032031")</f>
        <v>0</v>
      </c>
      <c r="B14609" t="s">
        <v>3426</v>
      </c>
      <c r="C14609" t="s">
        <v>17431</v>
      </c>
      <c r="D14609" t="s">
        <v>18797</v>
      </c>
      <c r="E14609" t="s">
        <v>31465</v>
      </c>
      <c r="F14609" t="s">
        <v>32664</v>
      </c>
      <c r="G14609" t="s">
        <v>32672</v>
      </c>
      <c r="H14609" t="s">
        <v>32683</v>
      </c>
      <c r="I14609" t="s">
        <v>10627</v>
      </c>
      <c r="J14609" t="s">
        <v>33051</v>
      </c>
      <c r="K14609" t="s">
        <v>42305</v>
      </c>
      <c r="M14609" t="s">
        <v>46408</v>
      </c>
      <c r="N14609" t="s">
        <v>46569</v>
      </c>
      <c r="O14609" t="s">
        <v>46570</v>
      </c>
      <c r="P14609">
        <v>0</v>
      </c>
      <c r="Q14609">
        <v>3</v>
      </c>
      <c r="R14609" t="s">
        <v>46589</v>
      </c>
      <c r="S14609" t="s">
        <v>47542</v>
      </c>
      <c r="T14609" t="s">
        <v>48282</v>
      </c>
      <c r="U14609" t="s">
        <v>60506</v>
      </c>
      <c r="W14609" t="s">
        <v>46408</v>
      </c>
      <c r="X14609" t="s">
        <v>46590</v>
      </c>
    </row>
    <row r="14610" spans="1:24">
      <c r="A14610">
        <f>HYPERLINK("https://www.philgeps.gov.ph/GEPSNONPILOT/Tender/SplashBidNoticeAbstractUI.aspx?menuIndex=3&amp;refID=7031991&amp;Result=3","7031991")</f>
        <v>0</v>
      </c>
      <c r="B14610" t="s">
        <v>2249</v>
      </c>
      <c r="C14610" t="s">
        <v>17432</v>
      </c>
      <c r="D14610" t="s">
        <v>18805</v>
      </c>
      <c r="E14610" t="s">
        <v>24109</v>
      </c>
      <c r="F14610" t="s">
        <v>32664</v>
      </c>
      <c r="G14610" t="s">
        <v>32672</v>
      </c>
      <c r="H14610" t="s">
        <v>12635</v>
      </c>
      <c r="I14610" t="s">
        <v>10361</v>
      </c>
      <c r="J14610" t="s">
        <v>33175</v>
      </c>
      <c r="K14610" t="s">
        <v>42309</v>
      </c>
      <c r="M14610" t="s">
        <v>45014</v>
      </c>
      <c r="N14610" t="s">
        <v>46569</v>
      </c>
      <c r="O14610" t="s">
        <v>46570</v>
      </c>
      <c r="P14610">
        <v>0</v>
      </c>
      <c r="Q14610">
        <v>0</v>
      </c>
      <c r="R14610" t="s">
        <v>46589</v>
      </c>
      <c r="S14610" t="s">
        <v>47542</v>
      </c>
      <c r="T14610" t="s">
        <v>48244</v>
      </c>
      <c r="U14610" t="s">
        <v>60507</v>
      </c>
      <c r="W14610" t="s">
        <v>45014</v>
      </c>
      <c r="X14610" t="s">
        <v>46590</v>
      </c>
    </row>
    <row r="14611" spans="1:24">
      <c r="A14611">
        <f>HYPERLINK("https://www.philgeps.gov.ph/GEPSNONPILOT/Tender/SplashBidNoticeAbstractUI.aspx?menuIndex=3&amp;refID=7028222&amp;Result=3","7028222")</f>
        <v>0</v>
      </c>
      <c r="B14611" t="s">
        <v>1007</v>
      </c>
      <c r="C14611" t="s">
        <v>17433</v>
      </c>
      <c r="D14611" t="s">
        <v>18812</v>
      </c>
      <c r="E14611" t="s">
        <v>31466</v>
      </c>
      <c r="F14611" t="s">
        <v>32664</v>
      </c>
      <c r="G14611" t="s">
        <v>32672</v>
      </c>
      <c r="H14611" t="s">
        <v>32683</v>
      </c>
      <c r="I14611" t="s">
        <v>10627</v>
      </c>
      <c r="J14611" t="s">
        <v>41483</v>
      </c>
      <c r="K14611" t="s">
        <v>42340</v>
      </c>
      <c r="M14611" t="s">
        <v>43619</v>
      </c>
      <c r="N14611" t="s">
        <v>46569</v>
      </c>
      <c r="O14611" t="s">
        <v>46570</v>
      </c>
      <c r="P14611">
        <v>0</v>
      </c>
      <c r="Q14611">
        <v>0</v>
      </c>
      <c r="R14611" t="s">
        <v>46590</v>
      </c>
      <c r="S14611" t="s">
        <v>47546</v>
      </c>
      <c r="T14611" t="s">
        <v>48573</v>
      </c>
      <c r="U14611" t="s">
        <v>60508</v>
      </c>
      <c r="W14611" t="s">
        <v>43619</v>
      </c>
      <c r="X14611" t="s">
        <v>46592</v>
      </c>
    </row>
    <row r="14612" spans="1:24">
      <c r="A14612">
        <f>HYPERLINK("https://www.philgeps.gov.ph/GEPSNONPILOT/Tender/SplashBidNoticeAbstractUI.aspx?menuIndex=3&amp;refID=7031582&amp;Result=3","7031582")</f>
        <v>0</v>
      </c>
      <c r="B14612" t="s">
        <v>32</v>
      </c>
      <c r="C14612" t="s">
        <v>17434</v>
      </c>
      <c r="D14612" t="s">
        <v>18788</v>
      </c>
      <c r="E14612" t="s">
        <v>31467</v>
      </c>
      <c r="F14612" t="s">
        <v>32664</v>
      </c>
      <c r="G14612" t="s">
        <v>32672</v>
      </c>
      <c r="H14612" t="s">
        <v>12635</v>
      </c>
      <c r="I14612" t="s">
        <v>9486</v>
      </c>
      <c r="J14612" t="s">
        <v>37017</v>
      </c>
      <c r="K14612" t="s">
        <v>42281</v>
      </c>
      <c r="M14612" t="s">
        <v>45172</v>
      </c>
      <c r="N14612" t="s">
        <v>46569</v>
      </c>
      <c r="O14612" t="s">
        <v>46570</v>
      </c>
      <c r="Q14612">
        <v>3</v>
      </c>
      <c r="R14612" t="s">
        <v>46589</v>
      </c>
      <c r="S14612" t="s">
        <v>47547</v>
      </c>
      <c r="T14612" t="s">
        <v>48221</v>
      </c>
      <c r="U14612" t="s">
        <v>60509</v>
      </c>
      <c r="V14612" t="s">
        <v>61606</v>
      </c>
      <c r="W14612" t="s">
        <v>45172</v>
      </c>
      <c r="X14612" t="s">
        <v>46591</v>
      </c>
    </row>
    <row r="14613" spans="1:24">
      <c r="A14613">
        <f>HYPERLINK("https://www.philgeps.gov.ph/GEPSNONPILOT/Tender/SplashBidNoticeAbstractUI.aspx?menuIndex=3&amp;refID=7030021&amp;Result=3","7030021")</f>
        <v>0</v>
      </c>
      <c r="B14613" t="s">
        <v>231</v>
      </c>
      <c r="C14613" t="s">
        <v>17435</v>
      </c>
      <c r="D14613" t="s">
        <v>18845</v>
      </c>
      <c r="E14613" t="s">
        <v>31468</v>
      </c>
      <c r="F14613" t="s">
        <v>32664</v>
      </c>
      <c r="G14613" t="s">
        <v>32672</v>
      </c>
      <c r="H14613" t="s">
        <v>12635</v>
      </c>
      <c r="I14613" t="s">
        <v>32717</v>
      </c>
      <c r="J14613" t="s">
        <v>36249</v>
      </c>
      <c r="K14613" t="s">
        <v>42311</v>
      </c>
      <c r="M14613" t="s">
        <v>46410</v>
      </c>
      <c r="N14613" t="s">
        <v>46569</v>
      </c>
      <c r="O14613" t="s">
        <v>46570</v>
      </c>
      <c r="Q14613">
        <v>5</v>
      </c>
      <c r="R14613" t="s">
        <v>46589</v>
      </c>
      <c r="S14613" t="s">
        <v>47548</v>
      </c>
      <c r="T14613" t="s">
        <v>48334</v>
      </c>
      <c r="U14613" t="s">
        <v>60510</v>
      </c>
      <c r="W14613" t="s">
        <v>46410</v>
      </c>
      <c r="X14613" t="s">
        <v>46591</v>
      </c>
    </row>
    <row r="14614" spans="1:24">
      <c r="A14614">
        <f>HYPERLINK("https://www.philgeps.gov.ph/GEPSNONPILOT/Tender/SplashBidNoticeAbstractUI.aspx?menuIndex=3&amp;refID=7026122&amp;Result=3","7026122")</f>
        <v>0</v>
      </c>
      <c r="B14614" t="s">
        <v>653</v>
      </c>
      <c r="C14614" t="s">
        <v>17436</v>
      </c>
      <c r="D14614" t="s">
        <v>18840</v>
      </c>
      <c r="E14614" t="s">
        <v>31469</v>
      </c>
      <c r="F14614" t="s">
        <v>32664</v>
      </c>
      <c r="G14614" t="s">
        <v>32672</v>
      </c>
      <c r="H14614" t="s">
        <v>32683</v>
      </c>
      <c r="I14614" t="s">
        <v>10627</v>
      </c>
      <c r="J14614" t="s">
        <v>41484</v>
      </c>
      <c r="K14614" t="s">
        <v>42305</v>
      </c>
      <c r="M14614" t="s">
        <v>43239</v>
      </c>
      <c r="N14614" t="s">
        <v>46569</v>
      </c>
      <c r="O14614" t="s">
        <v>46570</v>
      </c>
      <c r="P14614">
        <v>0</v>
      </c>
      <c r="Q14614">
        <v>0</v>
      </c>
      <c r="R14614" t="s">
        <v>46590</v>
      </c>
      <c r="S14614" t="s">
        <v>47546</v>
      </c>
      <c r="T14614" t="s">
        <v>48304</v>
      </c>
      <c r="U14614" t="s">
        <v>60511</v>
      </c>
      <c r="W14614" t="s">
        <v>43239</v>
      </c>
      <c r="X14614" t="s">
        <v>46593</v>
      </c>
    </row>
    <row r="14615" spans="1:24">
      <c r="A14615">
        <f>HYPERLINK("https://www.philgeps.gov.ph/GEPSNONPILOT/Tender/SplashBidNoticeAbstractUI.aspx?menuIndex=3&amp;refID=7032704&amp;Result=3","7032704")</f>
        <v>0</v>
      </c>
      <c r="B14615" t="s">
        <v>2437</v>
      </c>
      <c r="C14615" t="s">
        <v>17437</v>
      </c>
      <c r="D14615" t="s">
        <v>18849</v>
      </c>
      <c r="E14615" t="s">
        <v>19771</v>
      </c>
      <c r="F14615" t="s">
        <v>32664</v>
      </c>
      <c r="G14615" t="s">
        <v>32672</v>
      </c>
      <c r="H14615" t="s">
        <v>12635</v>
      </c>
      <c r="I14615" t="s">
        <v>32706</v>
      </c>
      <c r="J14615" t="s">
        <v>32865</v>
      </c>
      <c r="K14615" t="s">
        <v>42284</v>
      </c>
      <c r="M14615" t="s">
        <v>45229</v>
      </c>
      <c r="N14615" t="s">
        <v>46569</v>
      </c>
      <c r="O14615" t="s">
        <v>46570</v>
      </c>
      <c r="P14615">
        <v>0</v>
      </c>
      <c r="Q14615">
        <v>0</v>
      </c>
      <c r="R14615" t="s">
        <v>46588</v>
      </c>
      <c r="S14615" t="s">
        <v>47467</v>
      </c>
      <c r="T14615" t="s">
        <v>48221</v>
      </c>
      <c r="U14615" t="s">
        <v>55466</v>
      </c>
      <c r="W14615" t="s">
        <v>45229</v>
      </c>
      <c r="X14615" t="s">
        <v>46589</v>
      </c>
    </row>
    <row r="14616" spans="1:24">
      <c r="A14616">
        <f>HYPERLINK("https://www.philgeps.gov.ph/GEPSNONPILOT/Tender/SplashBidNoticeAbstractUI.aspx?menuIndex=3&amp;refID=7026083&amp;Result=3","7026083")</f>
        <v>0</v>
      </c>
      <c r="B14616" t="s">
        <v>653</v>
      </c>
      <c r="C14616" t="s">
        <v>17436</v>
      </c>
      <c r="D14616" t="s">
        <v>18840</v>
      </c>
      <c r="E14616" t="s">
        <v>31470</v>
      </c>
      <c r="F14616" t="s">
        <v>32664</v>
      </c>
      <c r="G14616" t="s">
        <v>32672</v>
      </c>
      <c r="H14616" t="s">
        <v>32683</v>
      </c>
      <c r="I14616" t="s">
        <v>10627</v>
      </c>
      <c r="J14616" t="s">
        <v>41485</v>
      </c>
      <c r="K14616" t="s">
        <v>42314</v>
      </c>
      <c r="M14616" t="s">
        <v>43239</v>
      </c>
      <c r="N14616" t="s">
        <v>46569</v>
      </c>
      <c r="O14616" t="s">
        <v>46570</v>
      </c>
      <c r="P14616">
        <v>0</v>
      </c>
      <c r="Q14616">
        <v>0</v>
      </c>
      <c r="R14616" t="s">
        <v>46590</v>
      </c>
      <c r="S14616" t="s">
        <v>47546</v>
      </c>
      <c r="T14616" t="s">
        <v>48304</v>
      </c>
      <c r="U14616" t="s">
        <v>60512</v>
      </c>
      <c r="W14616" t="s">
        <v>43239</v>
      </c>
      <c r="X14616" t="s">
        <v>46593</v>
      </c>
    </row>
    <row r="14617" spans="1:24">
      <c r="A14617">
        <f>HYPERLINK("https://www.philgeps.gov.ph/GEPSNONPILOT/Tender/SplashBidNoticeAbstractUI.aspx?menuIndex=3&amp;refID=7025763&amp;Result=3","7025763")</f>
        <v>0</v>
      </c>
      <c r="B14617" t="s">
        <v>653</v>
      </c>
      <c r="C14617" t="s">
        <v>17436</v>
      </c>
      <c r="D14617" t="s">
        <v>18840</v>
      </c>
      <c r="E14617" t="s">
        <v>31471</v>
      </c>
      <c r="F14617" t="s">
        <v>32664</v>
      </c>
      <c r="G14617" t="s">
        <v>32672</v>
      </c>
      <c r="H14617" t="s">
        <v>32683</v>
      </c>
      <c r="I14617" t="s">
        <v>10627</v>
      </c>
      <c r="J14617" t="s">
        <v>41486</v>
      </c>
      <c r="K14617" t="s">
        <v>42314</v>
      </c>
      <c r="M14617" t="s">
        <v>43239</v>
      </c>
      <c r="N14617" t="s">
        <v>46569</v>
      </c>
      <c r="O14617" t="s">
        <v>46570</v>
      </c>
      <c r="P14617">
        <v>0</v>
      </c>
      <c r="Q14617">
        <v>0</v>
      </c>
      <c r="R14617" t="s">
        <v>46590</v>
      </c>
      <c r="S14617" t="s">
        <v>47546</v>
      </c>
      <c r="T14617" t="s">
        <v>48304</v>
      </c>
      <c r="U14617" t="s">
        <v>60513</v>
      </c>
      <c r="W14617" t="s">
        <v>43239</v>
      </c>
      <c r="X14617" t="s">
        <v>46593</v>
      </c>
    </row>
    <row r="14618" spans="1:24">
      <c r="A14618">
        <f>HYPERLINK("https://www.philgeps.gov.ph/GEPSNONPILOT/Tender/SplashBidNoticeAbstractUI.aspx?menuIndex=3&amp;refID=7032337&amp;Result=3","7032337")</f>
        <v>0</v>
      </c>
      <c r="B14618" t="s">
        <v>2870</v>
      </c>
      <c r="C14618" t="s">
        <v>17438</v>
      </c>
      <c r="E14618" t="s">
        <v>31472</v>
      </c>
      <c r="F14618" t="s">
        <v>32664</v>
      </c>
      <c r="G14618" t="s">
        <v>32672</v>
      </c>
      <c r="H14618" t="s">
        <v>12635</v>
      </c>
      <c r="I14618" t="s">
        <v>32747</v>
      </c>
      <c r="J14618" t="s">
        <v>34481</v>
      </c>
      <c r="K14618" t="s">
        <v>42298</v>
      </c>
      <c r="M14618" t="s">
        <v>46411</v>
      </c>
      <c r="N14618" t="s">
        <v>46569</v>
      </c>
      <c r="O14618" t="s">
        <v>46570</v>
      </c>
      <c r="Q14618">
        <v>10</v>
      </c>
      <c r="R14618" t="s">
        <v>46589</v>
      </c>
      <c r="S14618" t="s">
        <v>47549</v>
      </c>
      <c r="T14618" t="s">
        <v>48742</v>
      </c>
      <c r="U14618" t="s">
        <v>60514</v>
      </c>
      <c r="W14618" t="s">
        <v>46411</v>
      </c>
      <c r="X14618" t="s">
        <v>46590</v>
      </c>
    </row>
    <row r="14619" spans="1:24">
      <c r="A14619">
        <f>HYPERLINK("https://www.philgeps.gov.ph/GEPSNONPILOT/Tender/SplashBidNoticeAbstractUI.aspx?menuIndex=3&amp;refID=7028119&amp;Result=3","7028119")</f>
        <v>0</v>
      </c>
      <c r="B14619" t="s">
        <v>1007</v>
      </c>
      <c r="C14619" t="s">
        <v>17439</v>
      </c>
      <c r="D14619" t="s">
        <v>18812</v>
      </c>
      <c r="E14619" t="s">
        <v>31473</v>
      </c>
      <c r="F14619" t="s">
        <v>32664</v>
      </c>
      <c r="G14619" t="s">
        <v>32672</v>
      </c>
      <c r="H14619" t="s">
        <v>32683</v>
      </c>
      <c r="I14619" t="s">
        <v>10627</v>
      </c>
      <c r="J14619" t="s">
        <v>41487</v>
      </c>
      <c r="K14619" t="s">
        <v>42444</v>
      </c>
      <c r="M14619" t="s">
        <v>43619</v>
      </c>
      <c r="N14619" t="s">
        <v>46569</v>
      </c>
      <c r="O14619" t="s">
        <v>46570</v>
      </c>
      <c r="P14619">
        <v>0</v>
      </c>
      <c r="Q14619">
        <v>0</v>
      </c>
      <c r="R14619" t="s">
        <v>46590</v>
      </c>
      <c r="S14619" t="s">
        <v>47546</v>
      </c>
      <c r="T14619" t="s">
        <v>48573</v>
      </c>
      <c r="U14619" t="s">
        <v>60515</v>
      </c>
      <c r="W14619" t="s">
        <v>43619</v>
      </c>
      <c r="X14619" t="s">
        <v>46592</v>
      </c>
    </row>
    <row r="14620" spans="1:24">
      <c r="A14620">
        <f>HYPERLINK("https://www.philgeps.gov.ph/GEPSNONPILOT/Tender/SplashBidNoticeAbstractUI.aspx?menuIndex=3&amp;refID=7032333&amp;Result=3","7032333")</f>
        <v>0</v>
      </c>
      <c r="B14620" t="s">
        <v>2870</v>
      </c>
      <c r="C14620" t="s">
        <v>17440</v>
      </c>
      <c r="E14620" t="s">
        <v>31474</v>
      </c>
      <c r="F14620" t="s">
        <v>32664</v>
      </c>
      <c r="G14620" t="s">
        <v>32672</v>
      </c>
      <c r="H14620" t="s">
        <v>32682</v>
      </c>
      <c r="I14620" t="s">
        <v>9946</v>
      </c>
      <c r="J14620" t="s">
        <v>41488</v>
      </c>
      <c r="K14620" t="s">
        <v>42291</v>
      </c>
      <c r="M14620" t="s">
        <v>46411</v>
      </c>
      <c r="N14620" t="s">
        <v>46569</v>
      </c>
      <c r="O14620" t="s">
        <v>46570</v>
      </c>
      <c r="Q14620">
        <v>9</v>
      </c>
      <c r="R14620" t="s">
        <v>46589</v>
      </c>
      <c r="S14620" t="s">
        <v>47550</v>
      </c>
      <c r="T14620" t="s">
        <v>48284</v>
      </c>
      <c r="U14620" t="s">
        <v>60516</v>
      </c>
      <c r="W14620" t="s">
        <v>46411</v>
      </c>
      <c r="X14620" t="s">
        <v>46590</v>
      </c>
    </row>
    <row r="14621" spans="1:24">
      <c r="A14621">
        <f>HYPERLINK("https://www.philgeps.gov.ph/GEPSNONPILOT/Tender/SplashBidNoticeAbstractUI.aspx?menuIndex=3&amp;refID=7032090&amp;Result=3","7032090")</f>
        <v>0</v>
      </c>
      <c r="B14621" t="s">
        <v>229</v>
      </c>
      <c r="C14621" t="s">
        <v>17441</v>
      </c>
      <c r="D14621" t="s">
        <v>18838</v>
      </c>
      <c r="E14621" t="s">
        <v>31475</v>
      </c>
      <c r="F14621" t="s">
        <v>32664</v>
      </c>
      <c r="G14621" t="s">
        <v>32672</v>
      </c>
      <c r="H14621" t="s">
        <v>12635</v>
      </c>
      <c r="I14621" t="s">
        <v>11464</v>
      </c>
      <c r="J14621" t="s">
        <v>41489</v>
      </c>
      <c r="K14621" t="s">
        <v>42281</v>
      </c>
      <c r="M14621" t="s">
        <v>42793</v>
      </c>
      <c r="N14621" t="s">
        <v>46569</v>
      </c>
      <c r="O14621" t="s">
        <v>46570</v>
      </c>
      <c r="P14621">
        <v>0</v>
      </c>
      <c r="Q14621">
        <v>6</v>
      </c>
      <c r="R14621" t="s">
        <v>46589</v>
      </c>
      <c r="S14621" t="s">
        <v>47542</v>
      </c>
      <c r="T14621" t="s">
        <v>48221</v>
      </c>
      <c r="U14621" t="s">
        <v>60517</v>
      </c>
      <c r="W14621" t="s">
        <v>42793</v>
      </c>
      <c r="X14621" t="s">
        <v>46590</v>
      </c>
    </row>
    <row r="14622" spans="1:24">
      <c r="A14622">
        <f>HYPERLINK("https://www.philgeps.gov.ph/GEPSNONPILOT/Tender/SplashBidNoticeAbstractUI.aspx?menuIndex=3&amp;refID=7032240&amp;Result=3","7032240")</f>
        <v>0</v>
      </c>
      <c r="B14622" t="s">
        <v>1085</v>
      </c>
      <c r="C14622" t="s">
        <v>17442</v>
      </c>
      <c r="D14622" t="s">
        <v>18851</v>
      </c>
      <c r="E14622" t="s">
        <v>31476</v>
      </c>
      <c r="F14622" t="s">
        <v>32664</v>
      </c>
      <c r="G14622" t="s">
        <v>32672</v>
      </c>
      <c r="H14622" t="s">
        <v>12635</v>
      </c>
      <c r="I14622" t="s">
        <v>32716</v>
      </c>
      <c r="J14622" t="s">
        <v>41490</v>
      </c>
      <c r="K14622" t="s">
        <v>42281</v>
      </c>
      <c r="M14622" t="s">
        <v>43711</v>
      </c>
      <c r="N14622" t="s">
        <v>46569</v>
      </c>
      <c r="O14622" t="s">
        <v>46570</v>
      </c>
      <c r="P14622">
        <v>0</v>
      </c>
      <c r="Q14622">
        <v>0</v>
      </c>
      <c r="R14622" t="s">
        <v>46589</v>
      </c>
      <c r="S14622" t="s">
        <v>47542</v>
      </c>
      <c r="T14622" t="s">
        <v>48293</v>
      </c>
      <c r="U14622" t="s">
        <v>60518</v>
      </c>
      <c r="W14622" t="s">
        <v>43711</v>
      </c>
      <c r="X14622" t="s">
        <v>46590</v>
      </c>
    </row>
    <row r="14623" spans="1:24">
      <c r="A14623">
        <f>HYPERLINK("https://www.philgeps.gov.ph/GEPSNONPILOT/Tender/SplashBidNoticeAbstractUI.aspx?menuIndex=3&amp;refID=7032343&amp;Result=3","7032343")</f>
        <v>0</v>
      </c>
      <c r="B14623" t="s">
        <v>58</v>
      </c>
      <c r="C14623" t="s">
        <v>17443</v>
      </c>
      <c r="D14623" t="s">
        <v>18804</v>
      </c>
      <c r="E14623" t="s">
        <v>31477</v>
      </c>
      <c r="F14623" t="s">
        <v>32664</v>
      </c>
      <c r="G14623" t="s">
        <v>32672</v>
      </c>
      <c r="H14623" t="s">
        <v>12635</v>
      </c>
      <c r="I14623" t="s">
        <v>32696</v>
      </c>
      <c r="J14623" t="s">
        <v>41491</v>
      </c>
      <c r="K14623" t="s">
        <v>42283</v>
      </c>
      <c r="M14623" t="s">
        <v>42620</v>
      </c>
      <c r="N14623" t="s">
        <v>46569</v>
      </c>
      <c r="O14623" t="s">
        <v>46570</v>
      </c>
      <c r="Q14623">
        <v>4</v>
      </c>
      <c r="R14623" t="s">
        <v>46589</v>
      </c>
      <c r="S14623" t="s">
        <v>47551</v>
      </c>
      <c r="T14623" t="s">
        <v>48244</v>
      </c>
      <c r="U14623" t="s">
        <v>60519</v>
      </c>
      <c r="V14623" t="s">
        <v>63254</v>
      </c>
      <c r="W14623" t="s">
        <v>42620</v>
      </c>
      <c r="X14623" t="s">
        <v>46590</v>
      </c>
    </row>
    <row r="14624" spans="1:24">
      <c r="A14624">
        <f>HYPERLINK("https://www.philgeps.gov.ph/GEPSNONPILOT/Tender/SplashBidNoticeAbstractUI.aspx?menuIndex=3&amp;refID=7032163&amp;Result=3","7032163")</f>
        <v>0</v>
      </c>
      <c r="B14624" t="s">
        <v>910</v>
      </c>
      <c r="C14624" t="s">
        <v>17444</v>
      </c>
      <c r="E14624" t="s">
        <v>31478</v>
      </c>
      <c r="F14624" t="s">
        <v>32664</v>
      </c>
      <c r="G14624" t="s">
        <v>32672</v>
      </c>
      <c r="H14624" t="s">
        <v>32683</v>
      </c>
      <c r="I14624" t="s">
        <v>10627</v>
      </c>
      <c r="J14624" t="s">
        <v>41492</v>
      </c>
      <c r="K14624" t="s">
        <v>42283</v>
      </c>
      <c r="M14624" t="s">
        <v>43516</v>
      </c>
      <c r="N14624" t="s">
        <v>46569</v>
      </c>
      <c r="O14624" t="s">
        <v>46570</v>
      </c>
      <c r="P14624">
        <v>0</v>
      </c>
      <c r="Q14624">
        <v>0</v>
      </c>
      <c r="R14624" t="s">
        <v>46589</v>
      </c>
      <c r="S14624" t="s">
        <v>47542</v>
      </c>
      <c r="T14624" t="s">
        <v>48246</v>
      </c>
      <c r="U14624" t="s">
        <v>60520</v>
      </c>
      <c r="W14624" t="s">
        <v>43516</v>
      </c>
      <c r="X14624" t="s">
        <v>46590</v>
      </c>
    </row>
    <row r="14625" spans="1:24">
      <c r="A14625">
        <f>HYPERLINK("https://www.philgeps.gov.ph/GEPSNONPILOT/Tender/SplashBidNoticeAbstractUI.aspx?menuIndex=3&amp;refID=7032108&amp;Result=3","7032108")</f>
        <v>0</v>
      </c>
      <c r="B14625" t="s">
        <v>229</v>
      </c>
      <c r="C14625" t="s">
        <v>17445</v>
      </c>
      <c r="D14625" t="s">
        <v>18838</v>
      </c>
      <c r="E14625" t="s">
        <v>31479</v>
      </c>
      <c r="F14625" t="s">
        <v>32664</v>
      </c>
      <c r="G14625" t="s">
        <v>32672</v>
      </c>
      <c r="H14625" t="s">
        <v>32683</v>
      </c>
      <c r="I14625" t="s">
        <v>10627</v>
      </c>
      <c r="J14625" t="s">
        <v>32943</v>
      </c>
      <c r="K14625" t="s">
        <v>42436</v>
      </c>
      <c r="M14625" t="s">
        <v>42793</v>
      </c>
      <c r="N14625" t="s">
        <v>46569</v>
      </c>
      <c r="O14625" t="s">
        <v>46570</v>
      </c>
      <c r="P14625">
        <v>0</v>
      </c>
      <c r="Q14625">
        <v>55</v>
      </c>
      <c r="R14625" t="s">
        <v>46589</v>
      </c>
      <c r="S14625" t="s">
        <v>47542</v>
      </c>
      <c r="T14625" t="s">
        <v>48221</v>
      </c>
      <c r="U14625" t="s">
        <v>60521</v>
      </c>
      <c r="W14625" t="s">
        <v>42793</v>
      </c>
      <c r="X14625" t="s">
        <v>46590</v>
      </c>
    </row>
    <row r="14626" spans="1:24">
      <c r="A14626">
        <f>HYPERLINK("https://www.philgeps.gov.ph/GEPSNONPILOT/Tender/SplashBidNoticeAbstractUI.aspx?menuIndex=3&amp;refID=7029921&amp;Result=3","7029921")</f>
        <v>0</v>
      </c>
      <c r="B14626" t="s">
        <v>231</v>
      </c>
      <c r="C14626" t="s">
        <v>17446</v>
      </c>
      <c r="D14626" t="s">
        <v>18789</v>
      </c>
      <c r="E14626" t="s">
        <v>31480</v>
      </c>
      <c r="F14626" t="s">
        <v>32664</v>
      </c>
      <c r="G14626" t="s">
        <v>32672</v>
      </c>
      <c r="H14626" t="s">
        <v>12635</v>
      </c>
      <c r="I14626" t="s">
        <v>32717</v>
      </c>
      <c r="J14626" t="s">
        <v>34148</v>
      </c>
      <c r="K14626" t="s">
        <v>42290</v>
      </c>
      <c r="M14626" t="s">
        <v>46410</v>
      </c>
      <c r="N14626" t="s">
        <v>46569</v>
      </c>
      <c r="O14626" t="s">
        <v>46570</v>
      </c>
      <c r="Q14626">
        <v>13</v>
      </c>
      <c r="R14626" t="s">
        <v>46589</v>
      </c>
      <c r="S14626" t="s">
        <v>47552</v>
      </c>
      <c r="T14626" t="s">
        <v>48334</v>
      </c>
      <c r="U14626" t="s">
        <v>60522</v>
      </c>
      <c r="W14626" t="s">
        <v>46410</v>
      </c>
      <c r="X14626" t="s">
        <v>46591</v>
      </c>
    </row>
    <row r="14627" spans="1:24">
      <c r="A14627">
        <f>HYPERLINK("https://www.philgeps.gov.ph/GEPSNONPILOT/Tender/SplashBidNoticeAbstractUI.aspx?menuIndex=3&amp;refID=7025719&amp;Result=3","7025719")</f>
        <v>0</v>
      </c>
      <c r="B14627" t="s">
        <v>653</v>
      </c>
      <c r="C14627" t="s">
        <v>17436</v>
      </c>
      <c r="D14627" t="s">
        <v>18840</v>
      </c>
      <c r="E14627" t="s">
        <v>31481</v>
      </c>
      <c r="F14627" t="s">
        <v>32664</v>
      </c>
      <c r="G14627" t="s">
        <v>32672</v>
      </c>
      <c r="H14627" t="s">
        <v>32683</v>
      </c>
      <c r="I14627" t="s">
        <v>10627</v>
      </c>
      <c r="J14627" t="s">
        <v>41493</v>
      </c>
      <c r="K14627" t="s">
        <v>42407</v>
      </c>
      <c r="M14627" t="s">
        <v>43239</v>
      </c>
      <c r="N14627" t="s">
        <v>46569</v>
      </c>
      <c r="O14627" t="s">
        <v>46570</v>
      </c>
      <c r="P14627">
        <v>0</v>
      </c>
      <c r="Q14627">
        <v>0</v>
      </c>
      <c r="R14627" t="s">
        <v>46590</v>
      </c>
      <c r="S14627" t="s">
        <v>47546</v>
      </c>
      <c r="T14627" t="s">
        <v>48304</v>
      </c>
      <c r="U14627" t="s">
        <v>60523</v>
      </c>
      <c r="W14627" t="s">
        <v>43239</v>
      </c>
      <c r="X14627" t="s">
        <v>46593</v>
      </c>
    </row>
    <row r="14628" spans="1:24">
      <c r="A14628">
        <f>HYPERLINK("https://www.philgeps.gov.ph/GEPSNONPILOT/Tender/SplashBidNoticeAbstractUI.aspx?menuIndex=3&amp;refID=7032056&amp;Result=3","7032056")</f>
        <v>0</v>
      </c>
      <c r="B14628" t="s">
        <v>229</v>
      </c>
      <c r="C14628" t="s">
        <v>17447</v>
      </c>
      <c r="D14628" t="s">
        <v>18838</v>
      </c>
      <c r="E14628" t="s">
        <v>31482</v>
      </c>
      <c r="F14628" t="s">
        <v>32664</v>
      </c>
      <c r="G14628" t="s">
        <v>32672</v>
      </c>
      <c r="H14628" t="s">
        <v>32683</v>
      </c>
      <c r="I14628" t="s">
        <v>10627</v>
      </c>
      <c r="J14628" t="s">
        <v>32962</v>
      </c>
      <c r="K14628" t="s">
        <v>42344</v>
      </c>
      <c r="M14628" t="s">
        <v>42793</v>
      </c>
      <c r="N14628" t="s">
        <v>46569</v>
      </c>
      <c r="O14628" t="s">
        <v>46570</v>
      </c>
      <c r="P14628">
        <v>0</v>
      </c>
      <c r="Q14628">
        <v>56</v>
      </c>
      <c r="R14628" t="s">
        <v>46589</v>
      </c>
      <c r="S14628" t="s">
        <v>47542</v>
      </c>
      <c r="T14628" t="s">
        <v>48221</v>
      </c>
      <c r="U14628" t="s">
        <v>60524</v>
      </c>
      <c r="W14628" t="s">
        <v>42793</v>
      </c>
      <c r="X14628" t="s">
        <v>46590</v>
      </c>
    </row>
    <row r="14629" spans="1:24">
      <c r="A14629">
        <f>HYPERLINK("https://www.philgeps.gov.ph/GEPSNONPILOT/Tender/SplashBidNoticeAbstractUI.aspx?menuIndex=3&amp;refID=7029819&amp;Result=3","7029819")</f>
        <v>0</v>
      </c>
      <c r="B14629" t="s">
        <v>3428</v>
      </c>
      <c r="C14629" t="s">
        <v>17448</v>
      </c>
      <c r="E14629" t="s">
        <v>21803</v>
      </c>
      <c r="F14629" t="s">
        <v>32664</v>
      </c>
      <c r="G14629" t="s">
        <v>32672</v>
      </c>
      <c r="H14629" t="s">
        <v>32683</v>
      </c>
      <c r="I14629" t="s">
        <v>10627</v>
      </c>
      <c r="J14629" t="s">
        <v>41494</v>
      </c>
      <c r="K14629" t="s">
        <v>42311</v>
      </c>
      <c r="M14629" t="s">
        <v>46412</v>
      </c>
      <c r="N14629" t="s">
        <v>46569</v>
      </c>
      <c r="O14629" t="s">
        <v>46570</v>
      </c>
      <c r="P14629">
        <v>0</v>
      </c>
      <c r="Q14629">
        <v>0</v>
      </c>
      <c r="R14629" t="s">
        <v>46590</v>
      </c>
      <c r="S14629" t="s">
        <v>47546</v>
      </c>
      <c r="T14629" t="s">
        <v>48221</v>
      </c>
      <c r="U14629" t="s">
        <v>60525</v>
      </c>
      <c r="W14629" t="s">
        <v>46412</v>
      </c>
      <c r="X14629" t="s">
        <v>46591</v>
      </c>
    </row>
    <row r="14630" spans="1:24">
      <c r="A14630">
        <f>HYPERLINK("https://www.philgeps.gov.ph/GEPSNONPILOT/Tender/SplashBidNoticeAbstractUI.aspx?menuIndex=3&amp;refID=7032238&amp;Result=3","7032238")</f>
        <v>0</v>
      </c>
      <c r="B14630" t="s">
        <v>1085</v>
      </c>
      <c r="C14630" t="s">
        <v>17449</v>
      </c>
      <c r="D14630" t="s">
        <v>18851</v>
      </c>
      <c r="E14630" t="s">
        <v>31483</v>
      </c>
      <c r="F14630" t="s">
        <v>32664</v>
      </c>
      <c r="G14630" t="s">
        <v>32672</v>
      </c>
      <c r="H14630" t="s">
        <v>12635</v>
      </c>
      <c r="I14630" t="s">
        <v>8797</v>
      </c>
      <c r="J14630" t="s">
        <v>41495</v>
      </c>
      <c r="K14630" t="s">
        <v>42281</v>
      </c>
      <c r="M14630" t="s">
        <v>43711</v>
      </c>
      <c r="N14630" t="s">
        <v>46569</v>
      </c>
      <c r="O14630" t="s">
        <v>46570</v>
      </c>
      <c r="Q14630">
        <v>3</v>
      </c>
      <c r="R14630" t="s">
        <v>46589</v>
      </c>
      <c r="S14630" t="s">
        <v>47553</v>
      </c>
      <c r="T14630" t="s">
        <v>48293</v>
      </c>
      <c r="U14630" t="s">
        <v>60526</v>
      </c>
      <c r="W14630" t="s">
        <v>43711</v>
      </c>
      <c r="X14630" t="s">
        <v>46590</v>
      </c>
    </row>
    <row r="14631" spans="1:24">
      <c r="A14631">
        <f>HYPERLINK("https://www.philgeps.gov.ph/GEPSNONPILOT/Tender/SplashBidNoticeAbstractUI.aspx?menuIndex=3&amp;refID=7029816&amp;Result=3","7029816")</f>
        <v>0</v>
      </c>
      <c r="B14631" t="s">
        <v>3428</v>
      </c>
      <c r="C14631" t="s">
        <v>17450</v>
      </c>
      <c r="E14631" t="s">
        <v>19688</v>
      </c>
      <c r="F14631" t="s">
        <v>32664</v>
      </c>
      <c r="G14631" t="s">
        <v>32672</v>
      </c>
      <c r="H14631" t="s">
        <v>32683</v>
      </c>
      <c r="I14631" t="s">
        <v>10627</v>
      </c>
      <c r="J14631" t="s">
        <v>33320</v>
      </c>
      <c r="K14631" t="s">
        <v>42311</v>
      </c>
      <c r="M14631" t="s">
        <v>46412</v>
      </c>
      <c r="N14631" t="s">
        <v>46569</v>
      </c>
      <c r="O14631" t="s">
        <v>46570</v>
      </c>
      <c r="P14631">
        <v>0</v>
      </c>
      <c r="Q14631">
        <v>0</v>
      </c>
      <c r="R14631" t="s">
        <v>46590</v>
      </c>
      <c r="S14631" t="s">
        <v>47546</v>
      </c>
      <c r="T14631" t="s">
        <v>48221</v>
      </c>
      <c r="U14631" t="s">
        <v>60525</v>
      </c>
      <c r="W14631" t="s">
        <v>46412</v>
      </c>
      <c r="X14631" t="s">
        <v>46591</v>
      </c>
    </row>
    <row r="14632" spans="1:24">
      <c r="A14632">
        <f>HYPERLINK("https://www.philgeps.gov.ph/GEPSNONPILOT/Tender/SplashBidNoticeAbstractUI.aspx?menuIndex=3&amp;refID=7029814&amp;Result=3","7029814")</f>
        <v>0</v>
      </c>
      <c r="B14632" t="s">
        <v>3428</v>
      </c>
      <c r="C14632" t="s">
        <v>17451</v>
      </c>
      <c r="E14632" t="s">
        <v>21636</v>
      </c>
      <c r="F14632" t="s">
        <v>32664</v>
      </c>
      <c r="G14632" t="s">
        <v>32672</v>
      </c>
      <c r="H14632" t="s">
        <v>32683</v>
      </c>
      <c r="I14632" t="s">
        <v>10627</v>
      </c>
      <c r="J14632" t="s">
        <v>36320</v>
      </c>
      <c r="K14632" t="s">
        <v>42327</v>
      </c>
      <c r="M14632" t="s">
        <v>46412</v>
      </c>
      <c r="N14632" t="s">
        <v>46569</v>
      </c>
      <c r="O14632" t="s">
        <v>46570</v>
      </c>
      <c r="P14632">
        <v>0</v>
      </c>
      <c r="Q14632">
        <v>0</v>
      </c>
      <c r="R14632" t="s">
        <v>46590</v>
      </c>
      <c r="S14632" t="s">
        <v>47546</v>
      </c>
      <c r="T14632" t="s">
        <v>48221</v>
      </c>
      <c r="U14632" t="s">
        <v>60525</v>
      </c>
      <c r="W14632" t="s">
        <v>46412</v>
      </c>
      <c r="X14632" t="s">
        <v>46591</v>
      </c>
    </row>
    <row r="14633" spans="1:24">
      <c r="A14633">
        <f>HYPERLINK("https://www.philgeps.gov.ph/GEPSNONPILOT/Tender/SplashBidNoticeAbstractUI.aspx?menuIndex=3&amp;refID=7029813&amp;Result=3","7029813")</f>
        <v>0</v>
      </c>
      <c r="B14633" t="s">
        <v>3428</v>
      </c>
      <c r="C14633" t="s">
        <v>17452</v>
      </c>
      <c r="E14633" t="s">
        <v>21652</v>
      </c>
      <c r="F14633" t="s">
        <v>32664</v>
      </c>
      <c r="G14633" t="s">
        <v>32672</v>
      </c>
      <c r="H14633" t="s">
        <v>32683</v>
      </c>
      <c r="I14633" t="s">
        <v>10627</v>
      </c>
      <c r="J14633" t="s">
        <v>36320</v>
      </c>
      <c r="K14633" t="s">
        <v>42327</v>
      </c>
      <c r="M14633" t="s">
        <v>46412</v>
      </c>
      <c r="N14633" t="s">
        <v>46569</v>
      </c>
      <c r="O14633" t="s">
        <v>46570</v>
      </c>
      <c r="P14633">
        <v>0</v>
      </c>
      <c r="Q14633">
        <v>0</v>
      </c>
      <c r="R14633" t="s">
        <v>46590</v>
      </c>
      <c r="S14633" t="s">
        <v>47546</v>
      </c>
      <c r="T14633" t="s">
        <v>48221</v>
      </c>
      <c r="U14633" t="s">
        <v>60525</v>
      </c>
      <c r="W14633" t="s">
        <v>46412</v>
      </c>
      <c r="X14633" t="s">
        <v>46591</v>
      </c>
    </row>
    <row r="14634" spans="1:24">
      <c r="A14634">
        <f>HYPERLINK("https://www.philgeps.gov.ph/GEPSNONPILOT/Tender/SplashBidNoticeAbstractUI.aspx?menuIndex=3&amp;refID=7029811&amp;Result=3","7029811")</f>
        <v>0</v>
      </c>
      <c r="B14634" t="s">
        <v>3428</v>
      </c>
      <c r="C14634" t="s">
        <v>17453</v>
      </c>
      <c r="E14634" t="s">
        <v>19771</v>
      </c>
      <c r="F14634" t="s">
        <v>32664</v>
      </c>
      <c r="G14634" t="s">
        <v>32672</v>
      </c>
      <c r="H14634" t="s">
        <v>32683</v>
      </c>
      <c r="I14634" t="s">
        <v>10627</v>
      </c>
      <c r="J14634" t="s">
        <v>32981</v>
      </c>
      <c r="K14634" t="s">
        <v>42285</v>
      </c>
      <c r="M14634" t="s">
        <v>46412</v>
      </c>
      <c r="N14634" t="s">
        <v>46569</v>
      </c>
      <c r="O14634" t="s">
        <v>46570</v>
      </c>
      <c r="P14634">
        <v>0</v>
      </c>
      <c r="Q14634">
        <v>1</v>
      </c>
      <c r="R14634" t="s">
        <v>46590</v>
      </c>
      <c r="S14634" t="s">
        <v>47546</v>
      </c>
      <c r="T14634" t="s">
        <v>48221</v>
      </c>
      <c r="U14634" t="s">
        <v>60525</v>
      </c>
      <c r="W14634" t="s">
        <v>46412</v>
      </c>
      <c r="X14634" t="s">
        <v>46591</v>
      </c>
    </row>
    <row r="14635" spans="1:24">
      <c r="A14635">
        <f>HYPERLINK("https://www.philgeps.gov.ph/GEPSNONPILOT/Tender/SplashBidNoticeAbstractUI.aspx?menuIndex=3&amp;refID=7029108&amp;Result=3","7029108")</f>
        <v>0</v>
      </c>
      <c r="B14635" t="s">
        <v>2339</v>
      </c>
      <c r="C14635" t="s">
        <v>17454</v>
      </c>
      <c r="E14635" t="s">
        <v>31484</v>
      </c>
      <c r="F14635" t="s">
        <v>32664</v>
      </c>
      <c r="G14635" t="s">
        <v>32672</v>
      </c>
      <c r="H14635" t="s">
        <v>12635</v>
      </c>
      <c r="I14635" t="s">
        <v>32727</v>
      </c>
      <c r="J14635" t="s">
        <v>41496</v>
      </c>
      <c r="K14635" t="s">
        <v>42283</v>
      </c>
      <c r="M14635" t="s">
        <v>45119</v>
      </c>
      <c r="N14635" t="s">
        <v>46569</v>
      </c>
      <c r="O14635" t="s">
        <v>46570</v>
      </c>
      <c r="P14635">
        <v>0</v>
      </c>
      <c r="Q14635">
        <v>1</v>
      </c>
      <c r="R14635" t="s">
        <v>46590</v>
      </c>
      <c r="S14635" t="s">
        <v>47546</v>
      </c>
      <c r="T14635" t="s">
        <v>48221</v>
      </c>
      <c r="U14635" t="s">
        <v>60527</v>
      </c>
      <c r="V14635" t="s">
        <v>63255</v>
      </c>
      <c r="W14635" t="s">
        <v>45119</v>
      </c>
      <c r="X14635" t="s">
        <v>46592</v>
      </c>
    </row>
    <row r="14636" spans="1:24">
      <c r="A14636">
        <f>HYPERLINK("https://www.philgeps.gov.ph/GEPSNONPILOT/Tender/SplashBidNoticeAbstractUI.aspx?menuIndex=3&amp;refID=7029817&amp;Result=3","7029817")</f>
        <v>0</v>
      </c>
      <c r="B14636" t="s">
        <v>3428</v>
      </c>
      <c r="C14636" t="s">
        <v>17455</v>
      </c>
      <c r="E14636" t="s">
        <v>19701</v>
      </c>
      <c r="F14636" t="s">
        <v>32664</v>
      </c>
      <c r="G14636" t="s">
        <v>32672</v>
      </c>
      <c r="H14636" t="s">
        <v>32683</v>
      </c>
      <c r="I14636" t="s">
        <v>10627</v>
      </c>
      <c r="J14636" t="s">
        <v>33320</v>
      </c>
      <c r="K14636" t="s">
        <v>42311</v>
      </c>
      <c r="M14636" t="s">
        <v>46412</v>
      </c>
      <c r="N14636" t="s">
        <v>46569</v>
      </c>
      <c r="O14636" t="s">
        <v>46570</v>
      </c>
      <c r="P14636">
        <v>0</v>
      </c>
      <c r="Q14636">
        <v>0</v>
      </c>
      <c r="R14636" t="s">
        <v>46590</v>
      </c>
      <c r="S14636" t="s">
        <v>47546</v>
      </c>
      <c r="T14636" t="s">
        <v>48221</v>
      </c>
      <c r="U14636" t="s">
        <v>60525</v>
      </c>
      <c r="W14636" t="s">
        <v>46412</v>
      </c>
      <c r="X14636" t="s">
        <v>46591</v>
      </c>
    </row>
    <row r="14637" spans="1:24">
      <c r="A14637">
        <f>HYPERLINK("https://www.philgeps.gov.ph/GEPSNONPILOT/Tender/SplashBidNoticeAbstractUI.aspx?menuIndex=3&amp;refID=7029809&amp;Result=3","7029809")</f>
        <v>0</v>
      </c>
      <c r="B14637" t="s">
        <v>3428</v>
      </c>
      <c r="C14637" t="s">
        <v>17456</v>
      </c>
      <c r="E14637" t="s">
        <v>19634</v>
      </c>
      <c r="F14637" t="s">
        <v>32664</v>
      </c>
      <c r="G14637" t="s">
        <v>32672</v>
      </c>
      <c r="H14637" t="s">
        <v>32683</v>
      </c>
      <c r="I14637" t="s">
        <v>10627</v>
      </c>
      <c r="J14637" t="s">
        <v>41497</v>
      </c>
      <c r="K14637" t="s">
        <v>42285</v>
      </c>
      <c r="M14637" t="s">
        <v>46412</v>
      </c>
      <c r="N14637" t="s">
        <v>46569</v>
      </c>
      <c r="O14637" t="s">
        <v>46570</v>
      </c>
      <c r="P14637">
        <v>0</v>
      </c>
      <c r="Q14637">
        <v>0</v>
      </c>
      <c r="R14637" t="s">
        <v>46590</v>
      </c>
      <c r="S14637" t="s">
        <v>47546</v>
      </c>
      <c r="T14637" t="s">
        <v>48221</v>
      </c>
      <c r="U14637" t="s">
        <v>60528</v>
      </c>
      <c r="W14637" t="s">
        <v>46412</v>
      </c>
      <c r="X14637" t="s">
        <v>46591</v>
      </c>
    </row>
    <row r="14638" spans="1:24">
      <c r="A14638">
        <f>HYPERLINK("https://www.philgeps.gov.ph/GEPSNONPILOT/Tender/SplashBidNoticeAbstractUI.aspx?menuIndex=3&amp;refID=7028934&amp;Result=3","7028934")</f>
        <v>0</v>
      </c>
      <c r="B14638" t="s">
        <v>1007</v>
      </c>
      <c r="C14638" t="s">
        <v>17457</v>
      </c>
      <c r="D14638" t="s">
        <v>18812</v>
      </c>
      <c r="E14638" t="s">
        <v>31485</v>
      </c>
      <c r="F14638" t="s">
        <v>32664</v>
      </c>
      <c r="G14638" t="s">
        <v>32672</v>
      </c>
      <c r="H14638" t="s">
        <v>32683</v>
      </c>
      <c r="I14638" t="s">
        <v>10627</v>
      </c>
      <c r="J14638" t="s">
        <v>32943</v>
      </c>
      <c r="K14638" t="s">
        <v>42431</v>
      </c>
      <c r="M14638" t="s">
        <v>43619</v>
      </c>
      <c r="N14638" t="s">
        <v>46569</v>
      </c>
      <c r="O14638" t="s">
        <v>46570</v>
      </c>
      <c r="P14638">
        <v>0</v>
      </c>
      <c r="Q14638">
        <v>3</v>
      </c>
      <c r="R14638" t="s">
        <v>46590</v>
      </c>
      <c r="S14638" t="s">
        <v>47546</v>
      </c>
      <c r="T14638" t="s">
        <v>48573</v>
      </c>
      <c r="U14638" t="s">
        <v>60529</v>
      </c>
      <c r="W14638" t="s">
        <v>43619</v>
      </c>
      <c r="X14638" t="s">
        <v>46592</v>
      </c>
    </row>
    <row r="14639" spans="1:24">
      <c r="A14639">
        <f>HYPERLINK("https://www.philgeps.gov.ph/GEPSNONPILOT/Tender/SplashBidNoticeAbstractUI.aspx?menuIndex=3&amp;refID=7032257&amp;Result=3","7032257")</f>
        <v>0</v>
      </c>
      <c r="B14639" t="s">
        <v>3429</v>
      </c>
      <c r="C14639" t="s">
        <v>4204</v>
      </c>
      <c r="D14639" t="s">
        <v>18842</v>
      </c>
      <c r="E14639" t="s">
        <v>31486</v>
      </c>
      <c r="F14639" t="s">
        <v>32664</v>
      </c>
      <c r="G14639" t="s">
        <v>32672</v>
      </c>
      <c r="H14639" t="s">
        <v>32683</v>
      </c>
      <c r="I14639" t="s">
        <v>10627</v>
      </c>
      <c r="J14639" t="s">
        <v>33021</v>
      </c>
      <c r="K14639" t="s">
        <v>42305</v>
      </c>
      <c r="M14639" t="s">
        <v>46413</v>
      </c>
      <c r="N14639" t="s">
        <v>46569</v>
      </c>
      <c r="O14639" t="s">
        <v>46570</v>
      </c>
      <c r="P14639">
        <v>0</v>
      </c>
      <c r="Q14639">
        <v>0</v>
      </c>
      <c r="R14639" t="s">
        <v>46589</v>
      </c>
      <c r="S14639" t="s">
        <v>47542</v>
      </c>
      <c r="T14639" t="s">
        <v>48228</v>
      </c>
      <c r="U14639" t="s">
        <v>60530</v>
      </c>
      <c r="V14639" t="s">
        <v>62756</v>
      </c>
      <c r="W14639" t="s">
        <v>46413</v>
      </c>
      <c r="X14639" t="s">
        <v>46590</v>
      </c>
    </row>
    <row r="14640" spans="1:24">
      <c r="A14640">
        <f>HYPERLINK("https://www.philgeps.gov.ph/GEPSNONPILOT/Tender/SplashBidNoticeAbstractUI.aspx?menuIndex=3&amp;refID=7028987&amp;Result=3","7028987")</f>
        <v>0</v>
      </c>
      <c r="B14640" t="s">
        <v>2693</v>
      </c>
      <c r="C14640" t="s">
        <v>17458</v>
      </c>
      <c r="D14640" t="s">
        <v>18810</v>
      </c>
      <c r="E14640" t="s">
        <v>31487</v>
      </c>
      <c r="F14640" t="s">
        <v>32664</v>
      </c>
      <c r="G14640" t="s">
        <v>32672</v>
      </c>
      <c r="H14640" t="s">
        <v>32683</v>
      </c>
      <c r="I14640" t="s">
        <v>10627</v>
      </c>
      <c r="J14640" t="s">
        <v>41498</v>
      </c>
      <c r="K14640" t="s">
        <v>42290</v>
      </c>
      <c r="M14640" t="s">
        <v>45519</v>
      </c>
      <c r="N14640" t="s">
        <v>46569</v>
      </c>
      <c r="O14640" t="s">
        <v>46570</v>
      </c>
      <c r="Q14640">
        <v>4</v>
      </c>
      <c r="R14640" t="s">
        <v>46590</v>
      </c>
      <c r="S14640" t="s">
        <v>47554</v>
      </c>
      <c r="T14640" t="s">
        <v>48221</v>
      </c>
      <c r="U14640" t="s">
        <v>60531</v>
      </c>
      <c r="W14640" t="s">
        <v>45519</v>
      </c>
      <c r="X14640" t="s">
        <v>46592</v>
      </c>
    </row>
    <row r="14641" spans="1:24">
      <c r="A14641">
        <f>HYPERLINK("https://www.philgeps.gov.ph/GEPSNONPILOT/Tender/SplashBidNoticeAbstractUI.aspx?menuIndex=3&amp;refID=7029818&amp;Result=3","7029818")</f>
        <v>0</v>
      </c>
      <c r="B14641" t="s">
        <v>3428</v>
      </c>
      <c r="C14641" t="s">
        <v>17459</v>
      </c>
      <c r="E14641" t="s">
        <v>19419</v>
      </c>
      <c r="F14641" t="s">
        <v>32664</v>
      </c>
      <c r="G14641" t="s">
        <v>32672</v>
      </c>
      <c r="H14641" t="s">
        <v>32683</v>
      </c>
      <c r="I14641" t="s">
        <v>10627</v>
      </c>
      <c r="J14641" t="s">
        <v>33320</v>
      </c>
      <c r="K14641" t="s">
        <v>42311</v>
      </c>
      <c r="M14641" t="s">
        <v>46412</v>
      </c>
      <c r="N14641" t="s">
        <v>46569</v>
      </c>
      <c r="O14641" t="s">
        <v>46570</v>
      </c>
      <c r="P14641">
        <v>0</v>
      </c>
      <c r="Q14641">
        <v>0</v>
      </c>
      <c r="R14641" t="s">
        <v>46590</v>
      </c>
      <c r="S14641" t="s">
        <v>47546</v>
      </c>
      <c r="T14641" t="s">
        <v>48221</v>
      </c>
      <c r="U14641" t="s">
        <v>60525</v>
      </c>
      <c r="W14641" t="s">
        <v>46412</v>
      </c>
      <c r="X14641" t="s">
        <v>46591</v>
      </c>
    </row>
    <row r="14642" spans="1:24">
      <c r="A14642">
        <f>HYPERLINK("https://www.philgeps.gov.ph/GEPSNONPILOT/Tender/SplashBidNoticeAbstractUI.aspx?menuIndex=3&amp;refID=7028806&amp;Result=3","7028806")</f>
        <v>0</v>
      </c>
      <c r="B14642" t="s">
        <v>601</v>
      </c>
      <c r="C14642" t="s">
        <v>17460</v>
      </c>
      <c r="D14642" t="s">
        <v>18848</v>
      </c>
      <c r="E14642" t="s">
        <v>31488</v>
      </c>
      <c r="F14642" t="s">
        <v>32664</v>
      </c>
      <c r="G14642" t="s">
        <v>32672</v>
      </c>
      <c r="H14642" t="s">
        <v>12635</v>
      </c>
      <c r="I14642" t="s">
        <v>11464</v>
      </c>
      <c r="J14642" t="s">
        <v>34253</v>
      </c>
      <c r="K14642" t="s">
        <v>42283</v>
      </c>
      <c r="M14642" t="s">
        <v>43181</v>
      </c>
      <c r="N14642" t="s">
        <v>46569</v>
      </c>
      <c r="O14642" t="s">
        <v>46570</v>
      </c>
      <c r="P14642">
        <v>0</v>
      </c>
      <c r="Q14642">
        <v>9</v>
      </c>
      <c r="R14642" t="s">
        <v>46590</v>
      </c>
      <c r="S14642" t="s">
        <v>47546</v>
      </c>
      <c r="T14642" t="s">
        <v>48246</v>
      </c>
      <c r="U14642" t="s">
        <v>60532</v>
      </c>
      <c r="W14642" t="s">
        <v>43181</v>
      </c>
      <c r="X14642" t="s">
        <v>46592</v>
      </c>
    </row>
    <row r="14643" spans="1:24">
      <c r="A14643">
        <f>HYPERLINK("https://www.philgeps.gov.ph/GEPSNONPILOT/Tender/SplashBidNoticeAbstractUI.aspx?menuIndex=3&amp;refID=7030136&amp;Result=3","7030136")</f>
        <v>0</v>
      </c>
      <c r="B14643" t="s">
        <v>1467</v>
      </c>
      <c r="C14643" t="s">
        <v>17461</v>
      </c>
      <c r="D14643" t="s">
        <v>18809</v>
      </c>
      <c r="E14643" t="s">
        <v>26945</v>
      </c>
      <c r="F14643" t="s">
        <v>32664</v>
      </c>
      <c r="G14643" t="s">
        <v>32672</v>
      </c>
      <c r="H14643" t="s">
        <v>32683</v>
      </c>
      <c r="I14643" t="s">
        <v>10627</v>
      </c>
      <c r="J14643" t="s">
        <v>41499</v>
      </c>
      <c r="K14643" t="s">
        <v>42388</v>
      </c>
      <c r="M14643" t="s">
        <v>45714</v>
      </c>
      <c r="N14643" t="s">
        <v>46569</v>
      </c>
      <c r="O14643" t="s">
        <v>46570</v>
      </c>
      <c r="P14643">
        <v>0</v>
      </c>
      <c r="Q14643">
        <v>2</v>
      </c>
      <c r="R14643" t="s">
        <v>46590</v>
      </c>
      <c r="S14643" t="s">
        <v>47546</v>
      </c>
      <c r="T14643" t="s">
        <v>48228</v>
      </c>
      <c r="U14643" t="s">
        <v>60533</v>
      </c>
      <c r="W14643" t="s">
        <v>45714</v>
      </c>
      <c r="X14643" t="s">
        <v>46591</v>
      </c>
    </row>
    <row r="14644" spans="1:24">
      <c r="A14644">
        <f>HYPERLINK("https://www.philgeps.gov.ph/GEPSNONPILOT/Tender/SplashBidNoticeAbstractUI.aspx?menuIndex=3&amp;refID=7028846&amp;Result=3","7028846")</f>
        <v>0</v>
      </c>
      <c r="B14644" t="s">
        <v>2029</v>
      </c>
      <c r="C14644" t="s">
        <v>17462</v>
      </c>
      <c r="D14644" t="s">
        <v>18784</v>
      </c>
      <c r="E14644" t="s">
        <v>31489</v>
      </c>
      <c r="F14644" t="s">
        <v>32664</v>
      </c>
      <c r="G14644" t="s">
        <v>32672</v>
      </c>
      <c r="H14644" t="s">
        <v>32683</v>
      </c>
      <c r="I14644" t="s">
        <v>10627</v>
      </c>
      <c r="J14644" t="s">
        <v>41500</v>
      </c>
      <c r="K14644" t="s">
        <v>42308</v>
      </c>
      <c r="M14644" t="s">
        <v>45251</v>
      </c>
      <c r="N14644" t="s">
        <v>46569</v>
      </c>
      <c r="O14644" t="s">
        <v>46570</v>
      </c>
      <c r="P14644">
        <v>0</v>
      </c>
      <c r="Q14644">
        <v>4</v>
      </c>
      <c r="R14644" t="s">
        <v>46590</v>
      </c>
      <c r="S14644" t="s">
        <v>47546</v>
      </c>
      <c r="T14644" t="s">
        <v>48307</v>
      </c>
      <c r="U14644" t="s">
        <v>57124</v>
      </c>
      <c r="V14644" t="s">
        <v>63256</v>
      </c>
      <c r="W14644" t="s">
        <v>45251</v>
      </c>
      <c r="X14644" t="s">
        <v>46592</v>
      </c>
    </row>
    <row r="14645" spans="1:24">
      <c r="A14645">
        <f>HYPERLINK("https://www.philgeps.gov.ph/GEPSNONPILOT/Tender/SplashBidNoticeAbstractUI.aspx?menuIndex=3&amp;refID=7030260&amp;Result=3","7030260")</f>
        <v>0</v>
      </c>
      <c r="B14645" t="s">
        <v>3430</v>
      </c>
      <c r="C14645" t="s">
        <v>17463</v>
      </c>
      <c r="D14645" t="s">
        <v>18856</v>
      </c>
      <c r="E14645" t="s">
        <v>31490</v>
      </c>
      <c r="F14645" t="s">
        <v>32664</v>
      </c>
      <c r="G14645" t="s">
        <v>32672</v>
      </c>
      <c r="H14645" t="s">
        <v>32683</v>
      </c>
      <c r="I14645" t="s">
        <v>4439</v>
      </c>
      <c r="J14645" t="s">
        <v>33309</v>
      </c>
      <c r="K14645" t="s">
        <v>42289</v>
      </c>
      <c r="M14645" t="s">
        <v>46414</v>
      </c>
      <c r="N14645" t="s">
        <v>46569</v>
      </c>
      <c r="O14645" t="s">
        <v>46570</v>
      </c>
      <c r="P14645">
        <v>0</v>
      </c>
      <c r="Q14645">
        <v>0</v>
      </c>
      <c r="R14645" t="s">
        <v>46590</v>
      </c>
      <c r="S14645" t="s">
        <v>47546</v>
      </c>
      <c r="T14645" t="s">
        <v>48449</v>
      </c>
      <c r="U14645" t="s">
        <v>60534</v>
      </c>
      <c r="V14645" t="s">
        <v>61934</v>
      </c>
      <c r="W14645" t="s">
        <v>46414</v>
      </c>
      <c r="X14645" t="s">
        <v>46591</v>
      </c>
    </row>
    <row r="14646" spans="1:24">
      <c r="A14646">
        <f>HYPERLINK("https://www.philgeps.gov.ph/GEPSNONPILOT/Tender/SplashBidNoticeAbstractUI.aspx?menuIndex=3&amp;refID=7032346&amp;Result=3","7032346")</f>
        <v>0</v>
      </c>
      <c r="B14646" t="s">
        <v>58</v>
      </c>
      <c r="C14646" t="s">
        <v>17464</v>
      </c>
      <c r="D14646" t="s">
        <v>18804</v>
      </c>
      <c r="E14646" t="s">
        <v>31491</v>
      </c>
      <c r="F14646" t="s">
        <v>32664</v>
      </c>
      <c r="G14646" t="s">
        <v>32672</v>
      </c>
      <c r="H14646" t="s">
        <v>12635</v>
      </c>
      <c r="I14646" t="s">
        <v>32696</v>
      </c>
      <c r="J14646" t="s">
        <v>41501</v>
      </c>
      <c r="K14646" t="s">
        <v>42289</v>
      </c>
      <c r="M14646" t="s">
        <v>42620</v>
      </c>
      <c r="N14646" t="s">
        <v>46569</v>
      </c>
      <c r="O14646" t="s">
        <v>46570</v>
      </c>
      <c r="Q14646">
        <v>3</v>
      </c>
      <c r="R14646" t="s">
        <v>46589</v>
      </c>
      <c r="S14646" t="s">
        <v>47555</v>
      </c>
      <c r="T14646" t="s">
        <v>48219</v>
      </c>
      <c r="U14646" t="s">
        <v>60535</v>
      </c>
      <c r="V14646" t="s">
        <v>63254</v>
      </c>
      <c r="W14646" t="s">
        <v>42620</v>
      </c>
      <c r="X14646" t="s">
        <v>46590</v>
      </c>
    </row>
    <row r="14647" spans="1:24">
      <c r="A14647">
        <f>HYPERLINK("https://www.philgeps.gov.ph/GEPSNONPILOT/Tender/SplashBidNoticeAbstractUI.aspx?menuIndex=3&amp;refID=7030227&amp;Result=3","7030227")</f>
        <v>0</v>
      </c>
      <c r="B14647" t="s">
        <v>663</v>
      </c>
      <c r="C14647" t="s">
        <v>17465</v>
      </c>
      <c r="D14647" t="s">
        <v>18824</v>
      </c>
      <c r="E14647" t="s">
        <v>31316</v>
      </c>
      <c r="F14647" t="s">
        <v>32665</v>
      </c>
      <c r="G14647" t="s">
        <v>32672</v>
      </c>
      <c r="H14647" t="s">
        <v>32683</v>
      </c>
      <c r="I14647" t="s">
        <v>10627</v>
      </c>
      <c r="J14647" t="s">
        <v>34379</v>
      </c>
      <c r="K14647" t="s">
        <v>42532</v>
      </c>
      <c r="M14647" t="s">
        <v>43250</v>
      </c>
      <c r="N14647" t="s">
        <v>46569</v>
      </c>
      <c r="O14647" t="s">
        <v>46570</v>
      </c>
      <c r="P14647">
        <v>0</v>
      </c>
      <c r="Q14647">
        <v>2</v>
      </c>
      <c r="R14647" t="s">
        <v>46590</v>
      </c>
      <c r="S14647" t="s">
        <v>47546</v>
      </c>
      <c r="T14647" t="s">
        <v>48305</v>
      </c>
      <c r="U14647" t="s">
        <v>60536</v>
      </c>
      <c r="V14647" t="s">
        <v>61789</v>
      </c>
      <c r="W14647" t="s">
        <v>43250</v>
      </c>
      <c r="X14647" t="s">
        <v>46591</v>
      </c>
    </row>
    <row r="14648" spans="1:24">
      <c r="A14648">
        <f>HYPERLINK("https://www.philgeps.gov.ph/GEPSNONPILOT/Tender/SplashBidNoticeAbstractUI.aspx?menuIndex=3&amp;refID=7030281&amp;Result=3","7030281")</f>
        <v>0</v>
      </c>
      <c r="B14648" t="s">
        <v>1467</v>
      </c>
      <c r="C14648" t="s">
        <v>17466</v>
      </c>
      <c r="D14648" t="s">
        <v>18809</v>
      </c>
      <c r="E14648" t="s">
        <v>31492</v>
      </c>
      <c r="F14648" t="s">
        <v>32664</v>
      </c>
      <c r="G14648" t="s">
        <v>32672</v>
      </c>
      <c r="H14648" t="s">
        <v>12635</v>
      </c>
      <c r="I14648" t="s">
        <v>9486</v>
      </c>
      <c r="J14648" t="s">
        <v>41502</v>
      </c>
      <c r="K14648" t="s">
        <v>42289</v>
      </c>
      <c r="M14648" t="s">
        <v>44129</v>
      </c>
      <c r="N14648" t="s">
        <v>46569</v>
      </c>
      <c r="O14648" t="s">
        <v>46570</v>
      </c>
      <c r="Q14648">
        <v>5</v>
      </c>
      <c r="R14648" t="s">
        <v>46590</v>
      </c>
      <c r="S14648" t="s">
        <v>47556</v>
      </c>
      <c r="T14648" t="s">
        <v>48226</v>
      </c>
      <c r="U14648" t="s">
        <v>60537</v>
      </c>
      <c r="W14648" t="s">
        <v>44129</v>
      </c>
      <c r="X14648" t="s">
        <v>46591</v>
      </c>
    </row>
    <row r="14649" spans="1:24">
      <c r="A14649">
        <f>HYPERLINK("https://www.philgeps.gov.ph/GEPSNONPILOT/Tender/SplashBidNoticeAbstractUI.aspx?menuIndex=3&amp;refID=7030188&amp;Result=3","7030188")</f>
        <v>0</v>
      </c>
      <c r="B14649" t="s">
        <v>2080</v>
      </c>
      <c r="C14649" t="s">
        <v>17467</v>
      </c>
      <c r="D14649" t="s">
        <v>18848</v>
      </c>
      <c r="E14649" t="s">
        <v>31493</v>
      </c>
      <c r="F14649" t="s">
        <v>32664</v>
      </c>
      <c r="G14649" t="s">
        <v>32672</v>
      </c>
      <c r="H14649" t="s">
        <v>12635</v>
      </c>
      <c r="I14649" t="s">
        <v>9486</v>
      </c>
      <c r="J14649" t="s">
        <v>41503</v>
      </c>
      <c r="K14649" t="s">
        <v>42283</v>
      </c>
      <c r="M14649" t="s">
        <v>44832</v>
      </c>
      <c r="N14649" t="s">
        <v>46569</v>
      </c>
      <c r="O14649" t="s">
        <v>46570</v>
      </c>
      <c r="P14649">
        <v>0</v>
      </c>
      <c r="Q14649">
        <v>4</v>
      </c>
      <c r="R14649" t="s">
        <v>46590</v>
      </c>
      <c r="S14649" t="s">
        <v>47546</v>
      </c>
      <c r="T14649" t="s">
        <v>48293</v>
      </c>
      <c r="U14649" t="s">
        <v>60538</v>
      </c>
      <c r="W14649" t="s">
        <v>44832</v>
      </c>
      <c r="X14649" t="s">
        <v>46591</v>
      </c>
    </row>
    <row r="14650" spans="1:24">
      <c r="A14650">
        <f>HYPERLINK("https://www.philgeps.gov.ph/GEPSNONPILOT/Tender/SplashBidNoticeAbstractUI.aspx?menuIndex=3&amp;refID=7030130&amp;Result=3","7030130")</f>
        <v>0</v>
      </c>
      <c r="B14650" t="s">
        <v>45</v>
      </c>
      <c r="C14650" t="s">
        <v>17468</v>
      </c>
      <c r="D14650" t="s">
        <v>18789</v>
      </c>
      <c r="E14650" t="s">
        <v>31494</v>
      </c>
      <c r="F14650" t="s">
        <v>32664</v>
      </c>
      <c r="G14650" t="s">
        <v>32672</v>
      </c>
      <c r="H14650" t="s">
        <v>32683</v>
      </c>
      <c r="I14650" t="s">
        <v>10627</v>
      </c>
      <c r="J14650" t="s">
        <v>34411</v>
      </c>
      <c r="K14650" t="s">
        <v>42367</v>
      </c>
      <c r="M14650" t="s">
        <v>42607</v>
      </c>
      <c r="N14650" t="s">
        <v>46569</v>
      </c>
      <c r="O14650" t="s">
        <v>46570</v>
      </c>
      <c r="P14650">
        <v>0</v>
      </c>
      <c r="Q14650">
        <v>2</v>
      </c>
      <c r="R14650" t="s">
        <v>46590</v>
      </c>
      <c r="S14650" t="s">
        <v>47546</v>
      </c>
      <c r="T14650" t="s">
        <v>48448</v>
      </c>
      <c r="U14650" t="s">
        <v>60539</v>
      </c>
      <c r="W14650" t="s">
        <v>42607</v>
      </c>
      <c r="X14650" t="s">
        <v>46591</v>
      </c>
    </row>
    <row r="14651" spans="1:24">
      <c r="A14651">
        <f>HYPERLINK("https://www.philgeps.gov.ph/GEPSNONPILOT/Tender/SplashBidNoticeAbstractUI.aspx?menuIndex=3&amp;refID=7027696&amp;Result=3","7027696")</f>
        <v>0</v>
      </c>
      <c r="B14651" t="s">
        <v>112</v>
      </c>
      <c r="C14651" t="s">
        <v>17469</v>
      </c>
      <c r="D14651" t="s">
        <v>18813</v>
      </c>
      <c r="E14651" t="s">
        <v>31495</v>
      </c>
      <c r="F14651" t="s">
        <v>32664</v>
      </c>
      <c r="G14651" t="s">
        <v>32672</v>
      </c>
      <c r="H14651" t="s">
        <v>12635</v>
      </c>
      <c r="I14651" t="s">
        <v>32706</v>
      </c>
      <c r="J14651" t="s">
        <v>41504</v>
      </c>
      <c r="K14651" t="s">
        <v>42281</v>
      </c>
      <c r="M14651" t="s">
        <v>42676</v>
      </c>
      <c r="N14651" t="s">
        <v>46569</v>
      </c>
      <c r="O14651" t="s">
        <v>46570</v>
      </c>
      <c r="P14651">
        <v>0</v>
      </c>
      <c r="Q14651">
        <v>0</v>
      </c>
      <c r="R14651" t="s">
        <v>46590</v>
      </c>
      <c r="S14651" t="s">
        <v>47546</v>
      </c>
      <c r="T14651" t="s">
        <v>48221</v>
      </c>
      <c r="U14651" t="s">
        <v>60540</v>
      </c>
      <c r="V14651" t="s">
        <v>63257</v>
      </c>
      <c r="W14651" t="s">
        <v>42676</v>
      </c>
      <c r="X14651" t="s">
        <v>46592</v>
      </c>
    </row>
    <row r="14652" spans="1:24">
      <c r="A14652">
        <f>HYPERLINK("https://www.philgeps.gov.ph/GEPSNONPILOT/Tender/SplashBidNoticeAbstractUI.aspx?menuIndex=3&amp;refID=7030121&amp;Result=3","7030121")</f>
        <v>0</v>
      </c>
      <c r="B14652" t="s">
        <v>2106</v>
      </c>
      <c r="C14652" t="s">
        <v>17470</v>
      </c>
      <c r="D14652" t="s">
        <v>18839</v>
      </c>
      <c r="E14652" t="s">
        <v>31496</v>
      </c>
      <c r="F14652" t="s">
        <v>32664</v>
      </c>
      <c r="G14652" t="s">
        <v>32672</v>
      </c>
      <c r="H14652" t="s">
        <v>12635</v>
      </c>
      <c r="I14652" t="s">
        <v>14442</v>
      </c>
      <c r="J14652" t="s">
        <v>34851</v>
      </c>
      <c r="K14652" t="s">
        <v>42284</v>
      </c>
      <c r="M14652" t="s">
        <v>44861</v>
      </c>
      <c r="N14652" t="s">
        <v>46569</v>
      </c>
      <c r="O14652" t="s">
        <v>46570</v>
      </c>
      <c r="P14652">
        <v>0</v>
      </c>
      <c r="Q14652">
        <v>1</v>
      </c>
      <c r="R14652" t="s">
        <v>46590</v>
      </c>
      <c r="S14652" t="s">
        <v>47546</v>
      </c>
      <c r="T14652" t="s">
        <v>48293</v>
      </c>
      <c r="U14652" t="s">
        <v>60541</v>
      </c>
      <c r="W14652" t="s">
        <v>46359</v>
      </c>
      <c r="X14652" t="s">
        <v>46591</v>
      </c>
    </row>
    <row r="14653" spans="1:24">
      <c r="A14653">
        <f>HYPERLINK("https://www.philgeps.gov.ph/GEPSNONPILOT/Tender/SplashBidNoticeAbstractUI.aspx?menuIndex=3&amp;refID=7030058&amp;Result=3","7030058")</f>
        <v>0</v>
      </c>
      <c r="B14653" t="s">
        <v>601</v>
      </c>
      <c r="C14653" t="s">
        <v>17471</v>
      </c>
      <c r="D14653" t="s">
        <v>18848</v>
      </c>
      <c r="E14653" t="s">
        <v>31497</v>
      </c>
      <c r="F14653" t="s">
        <v>32664</v>
      </c>
      <c r="G14653" t="s">
        <v>32672</v>
      </c>
      <c r="H14653" t="s">
        <v>32683</v>
      </c>
      <c r="I14653" t="s">
        <v>10627</v>
      </c>
      <c r="J14653" t="s">
        <v>41505</v>
      </c>
      <c r="K14653" t="s">
        <v>42283</v>
      </c>
      <c r="M14653" t="s">
        <v>43181</v>
      </c>
      <c r="N14653" t="s">
        <v>46569</v>
      </c>
      <c r="O14653" t="s">
        <v>46570</v>
      </c>
      <c r="P14653">
        <v>0</v>
      </c>
      <c r="Q14653">
        <v>0</v>
      </c>
      <c r="R14653" t="s">
        <v>46590</v>
      </c>
      <c r="S14653" t="s">
        <v>47546</v>
      </c>
      <c r="T14653" t="s">
        <v>48246</v>
      </c>
      <c r="U14653" t="s">
        <v>60542</v>
      </c>
      <c r="W14653" t="s">
        <v>43181</v>
      </c>
      <c r="X14653" t="s">
        <v>46591</v>
      </c>
    </row>
    <row r="14654" spans="1:24">
      <c r="A14654">
        <f>HYPERLINK("https://www.philgeps.gov.ph/GEPSNONPILOT/Tender/SplashBidNoticeAbstractUI.aspx?menuIndex=3&amp;refID=7030216&amp;Result=3","7030216")</f>
        <v>0</v>
      </c>
      <c r="B14654" t="s">
        <v>3110</v>
      </c>
      <c r="C14654" t="s">
        <v>17472</v>
      </c>
      <c r="D14654" t="s">
        <v>18810</v>
      </c>
      <c r="E14654" t="s">
        <v>24785</v>
      </c>
      <c r="F14654" t="s">
        <v>32664</v>
      </c>
      <c r="G14654" t="s">
        <v>32672</v>
      </c>
      <c r="H14654" t="s">
        <v>32683</v>
      </c>
      <c r="I14654" t="s">
        <v>10627</v>
      </c>
      <c r="J14654" t="s">
        <v>33461</v>
      </c>
      <c r="K14654" t="s">
        <v>42303</v>
      </c>
      <c r="M14654" t="s">
        <v>46000</v>
      </c>
      <c r="N14654" t="s">
        <v>46569</v>
      </c>
      <c r="O14654" t="s">
        <v>46570</v>
      </c>
      <c r="P14654">
        <v>0</v>
      </c>
      <c r="Q14654">
        <v>0</v>
      </c>
      <c r="R14654" t="s">
        <v>46590</v>
      </c>
      <c r="S14654" t="s">
        <v>47546</v>
      </c>
      <c r="T14654" t="s">
        <v>48287</v>
      </c>
      <c r="U14654" t="s">
        <v>60543</v>
      </c>
      <c r="V14654" t="s">
        <v>61668</v>
      </c>
      <c r="W14654" t="s">
        <v>46000</v>
      </c>
      <c r="X14654" t="s">
        <v>46591</v>
      </c>
    </row>
    <row r="14655" spans="1:24">
      <c r="A14655">
        <f>HYPERLINK("https://www.philgeps.gov.ph/GEPSNONPILOT/Tender/SplashBidNoticeAbstractUI.aspx?menuIndex=3&amp;refID=7029947&amp;Result=3","7029947")</f>
        <v>0</v>
      </c>
      <c r="B14655" t="s">
        <v>601</v>
      </c>
      <c r="C14655" t="s">
        <v>17473</v>
      </c>
      <c r="D14655" t="s">
        <v>18848</v>
      </c>
      <c r="E14655" t="s">
        <v>31498</v>
      </c>
      <c r="F14655" t="s">
        <v>32664</v>
      </c>
      <c r="G14655" t="s">
        <v>32672</v>
      </c>
      <c r="H14655" t="s">
        <v>32683</v>
      </c>
      <c r="I14655" t="s">
        <v>10627</v>
      </c>
      <c r="J14655" t="s">
        <v>41506</v>
      </c>
      <c r="K14655" t="s">
        <v>42283</v>
      </c>
      <c r="M14655" t="s">
        <v>43181</v>
      </c>
      <c r="N14655" t="s">
        <v>46569</v>
      </c>
      <c r="O14655" t="s">
        <v>46570</v>
      </c>
      <c r="P14655">
        <v>0</v>
      </c>
      <c r="Q14655">
        <v>0</v>
      </c>
      <c r="R14655" t="s">
        <v>46590</v>
      </c>
      <c r="S14655" t="s">
        <v>47546</v>
      </c>
      <c r="T14655" t="s">
        <v>48219</v>
      </c>
      <c r="U14655" t="s">
        <v>60544</v>
      </c>
      <c r="W14655" t="s">
        <v>43181</v>
      </c>
      <c r="X14655" t="s">
        <v>46591</v>
      </c>
    </row>
    <row r="14656" spans="1:24">
      <c r="A14656">
        <f>HYPERLINK("https://www.philgeps.gov.ph/GEPSNONPILOT/Tender/SplashBidNoticeAbstractUI.aspx?menuIndex=3&amp;refID=7028817&amp;Result=3","7028817")</f>
        <v>0</v>
      </c>
      <c r="B14656" t="s">
        <v>2029</v>
      </c>
      <c r="C14656" t="s">
        <v>17474</v>
      </c>
      <c r="D14656" t="s">
        <v>18784</v>
      </c>
      <c r="E14656" t="s">
        <v>31499</v>
      </c>
      <c r="F14656" t="s">
        <v>32664</v>
      </c>
      <c r="G14656" t="s">
        <v>32672</v>
      </c>
      <c r="H14656" t="s">
        <v>32683</v>
      </c>
      <c r="I14656" t="s">
        <v>10627</v>
      </c>
      <c r="J14656" t="s">
        <v>41507</v>
      </c>
      <c r="K14656" t="s">
        <v>42327</v>
      </c>
      <c r="M14656" t="s">
        <v>45251</v>
      </c>
      <c r="N14656" t="s">
        <v>46569</v>
      </c>
      <c r="O14656" t="s">
        <v>46570</v>
      </c>
      <c r="P14656">
        <v>0</v>
      </c>
      <c r="Q14656">
        <v>4</v>
      </c>
      <c r="R14656" t="s">
        <v>46590</v>
      </c>
      <c r="S14656" t="s">
        <v>47546</v>
      </c>
      <c r="T14656" t="s">
        <v>48307</v>
      </c>
      <c r="U14656" t="s">
        <v>60545</v>
      </c>
      <c r="V14656" t="s">
        <v>63256</v>
      </c>
      <c r="W14656" t="s">
        <v>45251</v>
      </c>
      <c r="X14656" t="s">
        <v>46592</v>
      </c>
    </row>
    <row r="14657" spans="1:24">
      <c r="A14657">
        <f>HYPERLINK("https://www.philgeps.gov.ph/GEPSNONPILOT/Tender/SplashBidNoticeAbstractUI.aspx?menuIndex=3&amp;refID=7029880&amp;Result=3","7029880")</f>
        <v>0</v>
      </c>
      <c r="B14657" t="s">
        <v>2238</v>
      </c>
      <c r="C14657" t="s">
        <v>17475</v>
      </c>
      <c r="D14657" t="s">
        <v>18828</v>
      </c>
      <c r="E14657" t="s">
        <v>31500</v>
      </c>
      <c r="F14657" t="s">
        <v>32664</v>
      </c>
      <c r="G14657" t="s">
        <v>32672</v>
      </c>
      <c r="H14657" t="s">
        <v>12635</v>
      </c>
      <c r="I14657" t="s">
        <v>32716</v>
      </c>
      <c r="J14657" t="s">
        <v>32837</v>
      </c>
      <c r="K14657" t="s">
        <v>42284</v>
      </c>
      <c r="M14657" t="s">
        <v>45002</v>
      </c>
      <c r="N14657" t="s">
        <v>46569</v>
      </c>
      <c r="O14657" t="s">
        <v>46570</v>
      </c>
      <c r="P14657">
        <v>0</v>
      </c>
      <c r="Q14657">
        <v>4</v>
      </c>
      <c r="R14657" t="s">
        <v>46590</v>
      </c>
      <c r="S14657" t="s">
        <v>47546</v>
      </c>
      <c r="T14657" t="s">
        <v>48407</v>
      </c>
      <c r="U14657" t="s">
        <v>60546</v>
      </c>
      <c r="V14657" t="s">
        <v>63258</v>
      </c>
      <c r="W14657" t="s">
        <v>45002</v>
      </c>
      <c r="X14657" t="s">
        <v>46591</v>
      </c>
    </row>
    <row r="14658" spans="1:24">
      <c r="A14658">
        <f>HYPERLINK("https://www.philgeps.gov.ph/GEPSNONPILOT/Tender/SplashBidNoticeAbstractUI.aspx?menuIndex=3&amp;refID=7029823&amp;Result=3","7029823")</f>
        <v>0</v>
      </c>
      <c r="B14658" t="s">
        <v>3428</v>
      </c>
      <c r="C14658" t="s">
        <v>17476</v>
      </c>
      <c r="E14658" t="s">
        <v>21522</v>
      </c>
      <c r="F14658" t="s">
        <v>32664</v>
      </c>
      <c r="G14658" t="s">
        <v>32672</v>
      </c>
      <c r="H14658" t="s">
        <v>32682</v>
      </c>
      <c r="I14658" t="s">
        <v>32700</v>
      </c>
      <c r="J14658" t="s">
        <v>39901</v>
      </c>
      <c r="K14658" t="s">
        <v>42285</v>
      </c>
      <c r="M14658" t="s">
        <v>46412</v>
      </c>
      <c r="N14658" t="s">
        <v>46569</v>
      </c>
      <c r="O14658" t="s">
        <v>46570</v>
      </c>
      <c r="P14658">
        <v>0</v>
      </c>
      <c r="Q14658">
        <v>4</v>
      </c>
      <c r="R14658" t="s">
        <v>46590</v>
      </c>
      <c r="S14658" t="s">
        <v>47546</v>
      </c>
      <c r="T14658" t="s">
        <v>48221</v>
      </c>
      <c r="U14658" t="s">
        <v>60547</v>
      </c>
      <c r="W14658" t="s">
        <v>46412</v>
      </c>
      <c r="X14658" t="s">
        <v>46591</v>
      </c>
    </row>
    <row r="14659" spans="1:24">
      <c r="A14659">
        <f>HYPERLINK("https://www.philgeps.gov.ph/GEPSNONPILOT/Tender/SplashBidNoticeAbstractUI.aspx?menuIndex=3&amp;refID=7030090&amp;Result=3","7030090")</f>
        <v>0</v>
      </c>
      <c r="B14659" t="s">
        <v>2106</v>
      </c>
      <c r="C14659" t="s">
        <v>17477</v>
      </c>
      <c r="D14659" t="s">
        <v>18839</v>
      </c>
      <c r="E14659" t="s">
        <v>31501</v>
      </c>
      <c r="F14659" t="s">
        <v>32664</v>
      </c>
      <c r="G14659" t="s">
        <v>32672</v>
      </c>
      <c r="H14659" t="s">
        <v>12635</v>
      </c>
      <c r="I14659" t="s">
        <v>14442</v>
      </c>
      <c r="J14659" t="s">
        <v>33751</v>
      </c>
      <c r="K14659" t="s">
        <v>42284</v>
      </c>
      <c r="M14659" t="s">
        <v>44861</v>
      </c>
      <c r="N14659" t="s">
        <v>46569</v>
      </c>
      <c r="O14659" t="s">
        <v>46570</v>
      </c>
      <c r="P14659">
        <v>0</v>
      </c>
      <c r="Q14659">
        <v>1</v>
      </c>
      <c r="R14659" t="s">
        <v>46590</v>
      </c>
      <c r="S14659" t="s">
        <v>47546</v>
      </c>
      <c r="T14659" t="s">
        <v>48293</v>
      </c>
      <c r="U14659" t="s">
        <v>60548</v>
      </c>
      <c r="W14659" t="s">
        <v>46359</v>
      </c>
      <c r="X14659" t="s">
        <v>46591</v>
      </c>
    </row>
    <row r="14660" spans="1:24">
      <c r="A14660">
        <f>HYPERLINK("https://www.philgeps.gov.ph/GEPSNONPILOT/Tender/SplashBidNoticeAbstractUI.aspx?menuIndex=3&amp;refID=7029822&amp;Result=3","7029822")</f>
        <v>0</v>
      </c>
      <c r="B14660" t="s">
        <v>3428</v>
      </c>
      <c r="C14660" t="s">
        <v>17478</v>
      </c>
      <c r="E14660" t="s">
        <v>20983</v>
      </c>
      <c r="F14660" t="s">
        <v>32664</v>
      </c>
      <c r="G14660" t="s">
        <v>32672</v>
      </c>
      <c r="H14660" t="s">
        <v>32683</v>
      </c>
      <c r="I14660" t="s">
        <v>10627</v>
      </c>
      <c r="J14660" t="s">
        <v>41508</v>
      </c>
      <c r="K14660" t="s">
        <v>42327</v>
      </c>
      <c r="M14660" t="s">
        <v>46412</v>
      </c>
      <c r="N14660" t="s">
        <v>46569</v>
      </c>
      <c r="O14660" t="s">
        <v>46570</v>
      </c>
      <c r="P14660">
        <v>0</v>
      </c>
      <c r="Q14660">
        <v>0</v>
      </c>
      <c r="R14660" t="s">
        <v>46590</v>
      </c>
      <c r="S14660" t="s">
        <v>47546</v>
      </c>
      <c r="T14660" t="s">
        <v>48221</v>
      </c>
      <c r="U14660" t="s">
        <v>60525</v>
      </c>
      <c r="W14660" t="s">
        <v>46412</v>
      </c>
      <c r="X14660" t="s">
        <v>46591</v>
      </c>
    </row>
    <row r="14661" spans="1:24">
      <c r="A14661">
        <f>HYPERLINK("https://www.philgeps.gov.ph/GEPSNONPILOT/Tender/SplashBidNoticeAbstractUI.aspx?menuIndex=3&amp;refID=7029821&amp;Result=3","7029821")</f>
        <v>0</v>
      </c>
      <c r="B14661" t="s">
        <v>3428</v>
      </c>
      <c r="C14661" t="s">
        <v>17479</v>
      </c>
      <c r="E14661" t="s">
        <v>19950</v>
      </c>
      <c r="F14661" t="s">
        <v>32664</v>
      </c>
      <c r="G14661" t="s">
        <v>32672</v>
      </c>
      <c r="H14661" t="s">
        <v>32683</v>
      </c>
      <c r="I14661" t="s">
        <v>10627</v>
      </c>
      <c r="J14661" t="s">
        <v>33267</v>
      </c>
      <c r="K14661" t="s">
        <v>42311</v>
      </c>
      <c r="M14661" t="s">
        <v>46412</v>
      </c>
      <c r="N14661" t="s">
        <v>46569</v>
      </c>
      <c r="O14661" t="s">
        <v>46570</v>
      </c>
      <c r="P14661">
        <v>0</v>
      </c>
      <c r="Q14661">
        <v>0</v>
      </c>
      <c r="R14661" t="s">
        <v>46590</v>
      </c>
      <c r="S14661" t="s">
        <v>47546</v>
      </c>
      <c r="T14661" t="s">
        <v>48221</v>
      </c>
      <c r="U14661" t="s">
        <v>60525</v>
      </c>
      <c r="W14661" t="s">
        <v>46412</v>
      </c>
      <c r="X14661" t="s">
        <v>46591</v>
      </c>
    </row>
    <row r="14662" spans="1:24">
      <c r="A14662">
        <f>HYPERLINK("https://www.philgeps.gov.ph/GEPSNONPILOT/Tender/SplashBidNoticeAbstractUI.aspx?menuIndex=3&amp;refID=7027998&amp;Result=3","7027998")</f>
        <v>0</v>
      </c>
      <c r="B14662" t="s">
        <v>1007</v>
      </c>
      <c r="C14662" t="s">
        <v>17480</v>
      </c>
      <c r="D14662" t="s">
        <v>18812</v>
      </c>
      <c r="E14662" t="s">
        <v>31502</v>
      </c>
      <c r="F14662" t="s">
        <v>32664</v>
      </c>
      <c r="G14662" t="s">
        <v>32672</v>
      </c>
      <c r="H14662" t="s">
        <v>32683</v>
      </c>
      <c r="I14662" t="s">
        <v>10627</v>
      </c>
      <c r="J14662" t="s">
        <v>41509</v>
      </c>
      <c r="K14662" t="s">
        <v>42368</v>
      </c>
      <c r="M14662" t="s">
        <v>43619</v>
      </c>
      <c r="N14662" t="s">
        <v>46569</v>
      </c>
      <c r="O14662" t="s">
        <v>46570</v>
      </c>
      <c r="P14662">
        <v>0</v>
      </c>
      <c r="Q14662">
        <v>0</v>
      </c>
      <c r="R14662" t="s">
        <v>46590</v>
      </c>
      <c r="S14662" t="s">
        <v>47546</v>
      </c>
      <c r="T14662" t="s">
        <v>48573</v>
      </c>
      <c r="U14662" t="s">
        <v>60549</v>
      </c>
      <c r="W14662" t="s">
        <v>43619</v>
      </c>
      <c r="X14662" t="s">
        <v>46592</v>
      </c>
    </row>
    <row r="14663" spans="1:24">
      <c r="A14663">
        <f>HYPERLINK("https://www.philgeps.gov.ph/GEPSNONPILOT/Tender/SplashBidNoticeAbstractUI.aspx?menuIndex=3&amp;refID=7029854&amp;Result=3","7029854")</f>
        <v>0</v>
      </c>
      <c r="B14663" t="s">
        <v>601</v>
      </c>
      <c r="C14663" t="s">
        <v>17481</v>
      </c>
      <c r="D14663" t="s">
        <v>18848</v>
      </c>
      <c r="E14663" t="s">
        <v>31503</v>
      </c>
      <c r="F14663" t="s">
        <v>32664</v>
      </c>
      <c r="G14663" t="s">
        <v>32672</v>
      </c>
      <c r="H14663" t="s">
        <v>12635</v>
      </c>
      <c r="I14663" t="s">
        <v>11464</v>
      </c>
      <c r="J14663" t="s">
        <v>41510</v>
      </c>
      <c r="K14663" t="s">
        <v>42283</v>
      </c>
      <c r="M14663" t="s">
        <v>43181</v>
      </c>
      <c r="N14663" t="s">
        <v>46569</v>
      </c>
      <c r="O14663" t="s">
        <v>46570</v>
      </c>
      <c r="P14663">
        <v>0</v>
      </c>
      <c r="Q14663">
        <v>8</v>
      </c>
      <c r="R14663" t="s">
        <v>46590</v>
      </c>
      <c r="S14663" t="s">
        <v>47546</v>
      </c>
      <c r="T14663" t="s">
        <v>48246</v>
      </c>
      <c r="U14663" t="s">
        <v>60550</v>
      </c>
      <c r="W14663" t="s">
        <v>43181</v>
      </c>
      <c r="X14663" t="s">
        <v>46591</v>
      </c>
    </row>
    <row r="14664" spans="1:24">
      <c r="A14664">
        <f>HYPERLINK("https://www.philgeps.gov.ph/GEPSNONPILOT/Tender/SplashBidNoticeAbstractUI.aspx?menuIndex=3&amp;refID=7030752&amp;Result=3","7030752")</f>
        <v>0</v>
      </c>
      <c r="B14664" t="s">
        <v>3431</v>
      </c>
      <c r="C14664" t="s">
        <v>17482</v>
      </c>
      <c r="D14664" t="s">
        <v>18831</v>
      </c>
      <c r="E14664" t="s">
        <v>31504</v>
      </c>
      <c r="F14664" t="s">
        <v>32664</v>
      </c>
      <c r="G14664" t="s">
        <v>32672</v>
      </c>
      <c r="H14664" t="s">
        <v>12635</v>
      </c>
      <c r="I14664" t="s">
        <v>32784</v>
      </c>
      <c r="J14664" t="s">
        <v>33371</v>
      </c>
      <c r="K14664" t="s">
        <v>42281</v>
      </c>
      <c r="M14664" t="s">
        <v>46415</v>
      </c>
      <c r="N14664" t="s">
        <v>46569</v>
      </c>
      <c r="O14664" t="s">
        <v>46570</v>
      </c>
      <c r="Q14664">
        <v>2</v>
      </c>
      <c r="R14664" t="s">
        <v>46590</v>
      </c>
      <c r="S14664" t="s">
        <v>47557</v>
      </c>
      <c r="T14664" t="s">
        <v>48253</v>
      </c>
      <c r="U14664" t="s">
        <v>60551</v>
      </c>
      <c r="W14664" t="s">
        <v>46415</v>
      </c>
      <c r="X14664" t="s">
        <v>46591</v>
      </c>
    </row>
    <row r="14665" spans="1:24">
      <c r="A14665">
        <f>HYPERLINK("https://www.philgeps.gov.ph/GEPSNONPILOT/Tender/SplashBidNoticeAbstractUI.aspx?menuIndex=3&amp;refID=7030804&amp;Result=3","7030804")</f>
        <v>0</v>
      </c>
      <c r="B14665" t="s">
        <v>401</v>
      </c>
      <c r="C14665" t="s">
        <v>17483</v>
      </c>
      <c r="E14665" t="s">
        <v>31505</v>
      </c>
      <c r="F14665" t="s">
        <v>32664</v>
      </c>
      <c r="G14665" t="s">
        <v>32672</v>
      </c>
      <c r="H14665" t="s">
        <v>32683</v>
      </c>
      <c r="I14665" t="s">
        <v>10627</v>
      </c>
      <c r="J14665" t="s">
        <v>41511</v>
      </c>
      <c r="K14665" t="s">
        <v>42557</v>
      </c>
      <c r="M14665" t="s">
        <v>42971</v>
      </c>
      <c r="N14665" t="s">
        <v>46569</v>
      </c>
      <c r="O14665" t="s">
        <v>46570</v>
      </c>
      <c r="Q14665">
        <v>4</v>
      </c>
      <c r="R14665" t="s">
        <v>46590</v>
      </c>
      <c r="S14665" t="s">
        <v>47558</v>
      </c>
      <c r="T14665" t="s">
        <v>48283</v>
      </c>
      <c r="U14665" t="s">
        <v>58014</v>
      </c>
      <c r="V14665" t="s">
        <v>63147</v>
      </c>
      <c r="W14665" t="s">
        <v>42971</v>
      </c>
      <c r="X14665" t="s">
        <v>46591</v>
      </c>
    </row>
    <row r="14666" spans="1:24">
      <c r="A14666">
        <f>HYPERLINK("https://www.philgeps.gov.ph/GEPSNONPILOT/Tender/SplashBidNoticeAbstractUI.aspx?menuIndex=3&amp;refID=7030740&amp;Result=3","7030740")</f>
        <v>0</v>
      </c>
      <c r="B14666" t="s">
        <v>3431</v>
      </c>
      <c r="C14666" t="s">
        <v>17484</v>
      </c>
      <c r="D14666" t="s">
        <v>18831</v>
      </c>
      <c r="E14666" t="s">
        <v>31506</v>
      </c>
      <c r="F14666" t="s">
        <v>32664</v>
      </c>
      <c r="G14666" t="s">
        <v>32672</v>
      </c>
      <c r="H14666" t="s">
        <v>12635</v>
      </c>
      <c r="I14666" t="s">
        <v>32688</v>
      </c>
      <c r="J14666" t="s">
        <v>41512</v>
      </c>
      <c r="K14666" t="s">
        <v>42311</v>
      </c>
      <c r="M14666" t="s">
        <v>46415</v>
      </c>
      <c r="N14666" t="s">
        <v>46569</v>
      </c>
      <c r="O14666" t="s">
        <v>46570</v>
      </c>
      <c r="Q14666">
        <v>7</v>
      </c>
      <c r="R14666" t="s">
        <v>46590</v>
      </c>
      <c r="S14666" t="s">
        <v>47559</v>
      </c>
      <c r="T14666" t="s">
        <v>48253</v>
      </c>
      <c r="U14666" t="s">
        <v>60552</v>
      </c>
      <c r="W14666" t="s">
        <v>46415</v>
      </c>
      <c r="X14666" t="s">
        <v>46591</v>
      </c>
    </row>
    <row r="14667" spans="1:24">
      <c r="A14667">
        <f>HYPERLINK("https://www.philgeps.gov.ph/GEPSNONPILOT/Tender/SplashBidNoticeAbstractUI.aspx?menuIndex=3&amp;refID=7030810&amp;Result=3","7030810")</f>
        <v>0</v>
      </c>
      <c r="B14667" t="s">
        <v>1116</v>
      </c>
      <c r="C14667" t="s">
        <v>17485</v>
      </c>
      <c r="D14667" t="s">
        <v>18804</v>
      </c>
      <c r="E14667" t="s">
        <v>31507</v>
      </c>
      <c r="F14667" t="s">
        <v>32664</v>
      </c>
      <c r="G14667" t="s">
        <v>32672</v>
      </c>
      <c r="H14667" t="s">
        <v>12635</v>
      </c>
      <c r="I14667" t="s">
        <v>32708</v>
      </c>
      <c r="J14667" t="s">
        <v>35617</v>
      </c>
      <c r="K14667" t="s">
        <v>42298</v>
      </c>
      <c r="M14667" t="s">
        <v>43744</v>
      </c>
      <c r="N14667" t="s">
        <v>46569</v>
      </c>
      <c r="O14667" t="s">
        <v>46570</v>
      </c>
      <c r="P14667">
        <v>0</v>
      </c>
      <c r="Q14667">
        <v>12</v>
      </c>
      <c r="R14667" t="s">
        <v>46590</v>
      </c>
      <c r="S14667" t="s">
        <v>47546</v>
      </c>
      <c r="T14667" t="s">
        <v>48221</v>
      </c>
      <c r="U14667" t="s">
        <v>60553</v>
      </c>
      <c r="W14667" t="s">
        <v>43744</v>
      </c>
      <c r="X14667" t="s">
        <v>46591</v>
      </c>
    </row>
    <row r="14668" spans="1:24">
      <c r="A14668">
        <f>HYPERLINK("https://www.philgeps.gov.ph/GEPSNONPILOT/Tender/SplashBidNoticeAbstractUI.aspx?menuIndex=3&amp;refID=7030722&amp;Result=3","7030722")</f>
        <v>0</v>
      </c>
      <c r="B14668" t="s">
        <v>3431</v>
      </c>
      <c r="C14668" t="s">
        <v>17486</v>
      </c>
      <c r="D14668" t="s">
        <v>18831</v>
      </c>
      <c r="E14668" t="s">
        <v>31508</v>
      </c>
      <c r="F14668" t="s">
        <v>32664</v>
      </c>
      <c r="G14668" t="s">
        <v>32672</v>
      </c>
      <c r="H14668" t="s">
        <v>12635</v>
      </c>
      <c r="I14668" t="s">
        <v>32784</v>
      </c>
      <c r="J14668" t="s">
        <v>41056</v>
      </c>
      <c r="K14668" t="s">
        <v>42281</v>
      </c>
      <c r="M14668" t="s">
        <v>46415</v>
      </c>
      <c r="N14668" t="s">
        <v>46569</v>
      </c>
      <c r="O14668" t="s">
        <v>46570</v>
      </c>
      <c r="Q14668">
        <v>4</v>
      </c>
      <c r="R14668" t="s">
        <v>46590</v>
      </c>
      <c r="S14668" t="s">
        <v>47560</v>
      </c>
      <c r="T14668" t="s">
        <v>48253</v>
      </c>
      <c r="U14668" t="s">
        <v>60554</v>
      </c>
      <c r="W14668" t="s">
        <v>46415</v>
      </c>
      <c r="X14668" t="s">
        <v>46591</v>
      </c>
    </row>
    <row r="14669" spans="1:24">
      <c r="A14669">
        <f>HYPERLINK("https://www.philgeps.gov.ph/GEPSNONPILOT/Tender/SplashBidNoticeAbstractUI.aspx?menuIndex=3&amp;refID=7030686&amp;Result=3","7030686")</f>
        <v>0</v>
      </c>
      <c r="B14669" t="s">
        <v>789</v>
      </c>
      <c r="C14669" t="s">
        <v>17487</v>
      </c>
      <c r="D14669" t="s">
        <v>18805</v>
      </c>
      <c r="E14669" t="s">
        <v>31509</v>
      </c>
      <c r="F14669" t="s">
        <v>32664</v>
      </c>
      <c r="G14669" t="s">
        <v>32672</v>
      </c>
      <c r="H14669" t="s">
        <v>12635</v>
      </c>
      <c r="I14669" t="s">
        <v>32765</v>
      </c>
      <c r="J14669" t="s">
        <v>34253</v>
      </c>
      <c r="K14669" t="s">
        <v>42298</v>
      </c>
      <c r="M14669" t="s">
        <v>43381</v>
      </c>
      <c r="N14669" t="s">
        <v>46569</v>
      </c>
      <c r="O14669" t="s">
        <v>46570</v>
      </c>
      <c r="P14669">
        <v>0</v>
      </c>
      <c r="Q14669">
        <v>5</v>
      </c>
      <c r="R14669" t="s">
        <v>46590</v>
      </c>
      <c r="S14669" t="s">
        <v>47546</v>
      </c>
      <c r="T14669" t="s">
        <v>48251</v>
      </c>
      <c r="U14669" t="s">
        <v>60555</v>
      </c>
      <c r="V14669" t="s">
        <v>61811</v>
      </c>
      <c r="W14669" t="s">
        <v>43381</v>
      </c>
      <c r="X14669" t="s">
        <v>46591</v>
      </c>
    </row>
    <row r="14670" spans="1:24">
      <c r="A14670">
        <f>HYPERLINK("https://www.philgeps.gov.ph/GEPSNONPILOT/Tender/SplashBidNoticeAbstractUI.aspx?menuIndex=3&amp;refID=7030691&amp;Result=3","7030691")</f>
        <v>0</v>
      </c>
      <c r="B14670" t="s">
        <v>704</v>
      </c>
      <c r="C14670" t="s">
        <v>17488</v>
      </c>
      <c r="D14670" t="s">
        <v>18816</v>
      </c>
      <c r="E14670" t="s">
        <v>31510</v>
      </c>
      <c r="F14670" t="s">
        <v>32664</v>
      </c>
      <c r="G14670" t="s">
        <v>32672</v>
      </c>
      <c r="H14670" t="s">
        <v>32683</v>
      </c>
      <c r="I14670" t="s">
        <v>10627</v>
      </c>
      <c r="J14670" t="s">
        <v>34041</v>
      </c>
      <c r="K14670" t="s">
        <v>42283</v>
      </c>
      <c r="M14670" t="s">
        <v>43291</v>
      </c>
      <c r="N14670" t="s">
        <v>46569</v>
      </c>
      <c r="O14670" t="s">
        <v>46570</v>
      </c>
      <c r="P14670">
        <v>0</v>
      </c>
      <c r="Q14670">
        <v>0</v>
      </c>
      <c r="R14670" t="s">
        <v>46590</v>
      </c>
      <c r="S14670" t="s">
        <v>47546</v>
      </c>
      <c r="T14670" t="s">
        <v>48449</v>
      </c>
      <c r="U14670" t="s">
        <v>50103</v>
      </c>
      <c r="W14670" t="s">
        <v>43291</v>
      </c>
      <c r="X14670" t="s">
        <v>46591</v>
      </c>
    </row>
    <row r="14671" spans="1:24">
      <c r="A14671">
        <f>HYPERLINK("https://www.philgeps.gov.ph/GEPSNONPILOT/Tender/SplashBidNoticeAbstractUI.aspx?menuIndex=3&amp;refID=7030655&amp;Result=3","7030655")</f>
        <v>0</v>
      </c>
      <c r="B14671" t="s">
        <v>3145</v>
      </c>
      <c r="C14671" t="s">
        <v>17489</v>
      </c>
      <c r="D14671" t="s">
        <v>18826</v>
      </c>
      <c r="E14671" t="s">
        <v>31511</v>
      </c>
      <c r="F14671" t="s">
        <v>32664</v>
      </c>
      <c r="G14671" t="s">
        <v>32672</v>
      </c>
      <c r="H14671" t="s">
        <v>12635</v>
      </c>
      <c r="I14671" t="s">
        <v>11464</v>
      </c>
      <c r="J14671" t="s">
        <v>40782</v>
      </c>
      <c r="K14671" t="s">
        <v>42281</v>
      </c>
      <c r="M14671" t="s">
        <v>46040</v>
      </c>
      <c r="N14671" t="s">
        <v>46569</v>
      </c>
      <c r="O14671" t="s">
        <v>46570</v>
      </c>
      <c r="Q14671">
        <v>5</v>
      </c>
      <c r="R14671" t="s">
        <v>46590</v>
      </c>
      <c r="S14671" t="s">
        <v>47561</v>
      </c>
      <c r="T14671" t="s">
        <v>48734</v>
      </c>
      <c r="U14671" t="s">
        <v>60556</v>
      </c>
      <c r="W14671" t="s">
        <v>63588</v>
      </c>
      <c r="X14671" t="s">
        <v>46591</v>
      </c>
    </row>
    <row r="14672" spans="1:24">
      <c r="A14672">
        <f>HYPERLINK("https://www.philgeps.gov.ph/GEPSNONPILOT/Tender/SplashBidNoticeAbstractUI.aspx?menuIndex=3&amp;refID=7030594&amp;Result=3","7030594")</f>
        <v>0</v>
      </c>
      <c r="B14672" t="s">
        <v>3432</v>
      </c>
      <c r="C14672" t="s">
        <v>17490</v>
      </c>
      <c r="D14672" t="s">
        <v>18799</v>
      </c>
      <c r="E14672" t="s">
        <v>31512</v>
      </c>
      <c r="F14672" t="s">
        <v>32664</v>
      </c>
      <c r="G14672" t="s">
        <v>32672</v>
      </c>
      <c r="H14672" t="s">
        <v>32683</v>
      </c>
      <c r="I14672" t="s">
        <v>10627</v>
      </c>
      <c r="J14672" t="s">
        <v>39017</v>
      </c>
      <c r="K14672" t="s">
        <v>42523</v>
      </c>
      <c r="M14672" t="s">
        <v>46416</v>
      </c>
      <c r="N14672" t="s">
        <v>46569</v>
      </c>
      <c r="O14672" t="s">
        <v>46570</v>
      </c>
      <c r="P14672">
        <v>0</v>
      </c>
      <c r="Q14672">
        <v>2</v>
      </c>
      <c r="R14672" t="s">
        <v>46590</v>
      </c>
      <c r="S14672" t="s">
        <v>47546</v>
      </c>
      <c r="T14672" t="s">
        <v>48283</v>
      </c>
      <c r="U14672" t="s">
        <v>60557</v>
      </c>
      <c r="W14672" t="s">
        <v>46416</v>
      </c>
      <c r="X14672" t="s">
        <v>46591</v>
      </c>
    </row>
    <row r="14673" spans="1:24">
      <c r="A14673">
        <f>HYPERLINK("https://www.philgeps.gov.ph/GEPSNONPILOT/Tender/SplashBidNoticeAbstractUI.aspx?menuIndex=3&amp;refID=7030102&amp;Result=3","7030102")</f>
        <v>0</v>
      </c>
      <c r="B14673" t="s">
        <v>601</v>
      </c>
      <c r="C14673" t="s">
        <v>17491</v>
      </c>
      <c r="D14673" t="s">
        <v>18848</v>
      </c>
      <c r="E14673" t="s">
        <v>31513</v>
      </c>
      <c r="F14673" t="s">
        <v>32664</v>
      </c>
      <c r="G14673" t="s">
        <v>32672</v>
      </c>
      <c r="H14673" t="s">
        <v>12635</v>
      </c>
      <c r="I14673" t="s">
        <v>8849</v>
      </c>
      <c r="J14673" t="s">
        <v>34518</v>
      </c>
      <c r="K14673" t="s">
        <v>42283</v>
      </c>
      <c r="M14673" t="s">
        <v>43181</v>
      </c>
      <c r="N14673" t="s">
        <v>46569</v>
      </c>
      <c r="O14673" t="s">
        <v>46570</v>
      </c>
      <c r="P14673">
        <v>0</v>
      </c>
      <c r="Q14673">
        <v>3</v>
      </c>
      <c r="R14673" t="s">
        <v>46590</v>
      </c>
      <c r="S14673" t="s">
        <v>47546</v>
      </c>
      <c r="T14673" t="s">
        <v>48246</v>
      </c>
      <c r="U14673" t="s">
        <v>60558</v>
      </c>
      <c r="W14673" t="s">
        <v>43181</v>
      </c>
      <c r="X14673" t="s">
        <v>46591</v>
      </c>
    </row>
    <row r="14674" spans="1:24">
      <c r="A14674">
        <f>HYPERLINK("https://www.philgeps.gov.ph/GEPSNONPILOT/Tender/SplashBidNoticeAbstractUI.aspx?menuIndex=3&amp;refID=7031041&amp;Result=3","7031041")</f>
        <v>0</v>
      </c>
      <c r="B14674" t="s">
        <v>2468</v>
      </c>
      <c r="C14674" t="s">
        <v>17492</v>
      </c>
      <c r="E14674" t="s">
        <v>31514</v>
      </c>
      <c r="F14674" t="s">
        <v>32664</v>
      </c>
      <c r="G14674" t="s">
        <v>32672</v>
      </c>
      <c r="H14674" t="s">
        <v>12635</v>
      </c>
      <c r="I14674" t="s">
        <v>8797</v>
      </c>
      <c r="J14674" t="s">
        <v>41513</v>
      </c>
      <c r="K14674" t="s">
        <v>42283</v>
      </c>
      <c r="M14674" t="s">
        <v>46205</v>
      </c>
      <c r="N14674" t="s">
        <v>46569</v>
      </c>
      <c r="O14674" t="s">
        <v>46570</v>
      </c>
      <c r="P14674">
        <v>0</v>
      </c>
      <c r="Q14674">
        <v>16</v>
      </c>
      <c r="R14674" t="s">
        <v>46590</v>
      </c>
      <c r="S14674" t="s">
        <v>47546</v>
      </c>
      <c r="T14674" t="s">
        <v>48436</v>
      </c>
      <c r="U14674" t="s">
        <v>60559</v>
      </c>
      <c r="W14674" t="s">
        <v>46205</v>
      </c>
      <c r="X14674" t="s">
        <v>46591</v>
      </c>
    </row>
    <row r="14675" spans="1:24">
      <c r="A14675">
        <f>HYPERLINK("https://www.philgeps.gov.ph/GEPSNONPILOT/Tender/SplashBidNoticeAbstractUI.aspx?menuIndex=3&amp;refID=7029859&amp;Result=3","7029859")</f>
        <v>0</v>
      </c>
      <c r="B14675" t="s">
        <v>601</v>
      </c>
      <c r="C14675" t="s">
        <v>17493</v>
      </c>
      <c r="D14675" t="s">
        <v>18848</v>
      </c>
      <c r="E14675" t="s">
        <v>31515</v>
      </c>
      <c r="F14675" t="s">
        <v>32664</v>
      </c>
      <c r="G14675" t="s">
        <v>32672</v>
      </c>
      <c r="H14675" t="s">
        <v>12635</v>
      </c>
      <c r="I14675" t="s">
        <v>11464</v>
      </c>
      <c r="J14675" t="s">
        <v>35589</v>
      </c>
      <c r="K14675" t="s">
        <v>42283</v>
      </c>
      <c r="M14675" t="s">
        <v>43181</v>
      </c>
      <c r="N14675" t="s">
        <v>46569</v>
      </c>
      <c r="O14675" t="s">
        <v>46570</v>
      </c>
      <c r="P14675">
        <v>0</v>
      </c>
      <c r="Q14675">
        <v>10</v>
      </c>
      <c r="R14675" t="s">
        <v>46590</v>
      </c>
      <c r="S14675" t="s">
        <v>47546</v>
      </c>
      <c r="T14675" t="s">
        <v>48246</v>
      </c>
      <c r="U14675" t="s">
        <v>60560</v>
      </c>
      <c r="W14675" t="s">
        <v>43181</v>
      </c>
      <c r="X14675" t="s">
        <v>46591</v>
      </c>
    </row>
    <row r="14676" spans="1:24">
      <c r="A14676">
        <f>HYPERLINK("https://www.philgeps.gov.ph/GEPSNONPILOT/Tender/SplashBidNoticeAbstractUI.aspx?menuIndex=3&amp;refID=7030618&amp;Result=3","7030618")</f>
        <v>0</v>
      </c>
      <c r="B14676" t="s">
        <v>678</v>
      </c>
      <c r="C14676" t="s">
        <v>17494</v>
      </c>
      <c r="E14676" t="s">
        <v>31516</v>
      </c>
      <c r="F14676" t="s">
        <v>32664</v>
      </c>
      <c r="G14676" t="s">
        <v>32672</v>
      </c>
      <c r="H14676" t="s">
        <v>12635</v>
      </c>
      <c r="I14676" t="s">
        <v>4333</v>
      </c>
      <c r="J14676" t="s">
        <v>41514</v>
      </c>
      <c r="K14676" t="s">
        <v>42283</v>
      </c>
      <c r="M14676" t="s">
        <v>43265</v>
      </c>
      <c r="N14676" t="s">
        <v>46569</v>
      </c>
      <c r="O14676" t="s">
        <v>46570</v>
      </c>
      <c r="P14676">
        <v>0</v>
      </c>
      <c r="Q14676">
        <v>2</v>
      </c>
      <c r="R14676" t="s">
        <v>46590</v>
      </c>
      <c r="S14676" t="s">
        <v>47546</v>
      </c>
      <c r="T14676" t="s">
        <v>48230</v>
      </c>
      <c r="U14676" t="s">
        <v>60561</v>
      </c>
      <c r="W14676" t="s">
        <v>43265</v>
      </c>
      <c r="X14676" t="s">
        <v>46591</v>
      </c>
    </row>
    <row r="14677" spans="1:24">
      <c r="A14677">
        <f>HYPERLINK("https://www.philgeps.gov.ph/GEPSNONPILOT/Tender/SplashBidNoticeAbstractUI.aspx?menuIndex=3&amp;refID=7030383&amp;Result=3","7030383")</f>
        <v>0</v>
      </c>
      <c r="B14677" t="s">
        <v>226</v>
      </c>
      <c r="C14677" t="s">
        <v>17495</v>
      </c>
      <c r="E14677" t="s">
        <v>31517</v>
      </c>
      <c r="F14677" t="s">
        <v>32664</v>
      </c>
      <c r="G14677" t="s">
        <v>32672</v>
      </c>
      <c r="H14677" t="s">
        <v>12635</v>
      </c>
      <c r="I14677" t="s">
        <v>32699</v>
      </c>
      <c r="J14677" t="s">
        <v>33084</v>
      </c>
      <c r="K14677" t="s">
        <v>42283</v>
      </c>
      <c r="M14677" t="s">
        <v>42790</v>
      </c>
      <c r="N14677" t="s">
        <v>46569</v>
      </c>
      <c r="O14677" t="s">
        <v>46570</v>
      </c>
      <c r="Q14677">
        <v>3</v>
      </c>
      <c r="R14677" t="s">
        <v>46590</v>
      </c>
      <c r="S14677" t="s">
        <v>47562</v>
      </c>
      <c r="T14677" t="s">
        <v>48249</v>
      </c>
      <c r="U14677" t="s">
        <v>60562</v>
      </c>
      <c r="V14677" t="s">
        <v>63259</v>
      </c>
      <c r="W14677" t="s">
        <v>42790</v>
      </c>
      <c r="X14677" t="s">
        <v>46591</v>
      </c>
    </row>
    <row r="14678" spans="1:24">
      <c r="A14678">
        <f>HYPERLINK("https://www.philgeps.gov.ph/GEPSNONPILOT/Tender/SplashBidNoticeAbstractUI.aspx?menuIndex=3&amp;refID=7030172&amp;Result=3","7030172")</f>
        <v>0</v>
      </c>
      <c r="B14678" t="s">
        <v>663</v>
      </c>
      <c r="C14678" t="s">
        <v>17496</v>
      </c>
      <c r="D14678" t="s">
        <v>18824</v>
      </c>
      <c r="E14678" t="s">
        <v>31257</v>
      </c>
      <c r="F14678" t="s">
        <v>32665</v>
      </c>
      <c r="G14678" t="s">
        <v>32672</v>
      </c>
      <c r="H14678" t="s">
        <v>32683</v>
      </c>
      <c r="I14678" t="s">
        <v>10627</v>
      </c>
      <c r="J14678" t="s">
        <v>32930</v>
      </c>
      <c r="K14678" t="s">
        <v>42460</v>
      </c>
      <c r="M14678" t="s">
        <v>43250</v>
      </c>
      <c r="N14678" t="s">
        <v>46569</v>
      </c>
      <c r="O14678" t="s">
        <v>46570</v>
      </c>
      <c r="P14678">
        <v>0</v>
      </c>
      <c r="Q14678">
        <v>3</v>
      </c>
      <c r="R14678" t="s">
        <v>46590</v>
      </c>
      <c r="S14678" t="s">
        <v>47546</v>
      </c>
      <c r="T14678" t="s">
        <v>48410</v>
      </c>
      <c r="U14678" t="s">
        <v>60536</v>
      </c>
      <c r="V14678" t="s">
        <v>61789</v>
      </c>
      <c r="W14678" t="s">
        <v>43250</v>
      </c>
      <c r="X14678" t="s">
        <v>46591</v>
      </c>
    </row>
    <row r="14679" spans="1:24">
      <c r="A14679">
        <f>HYPERLINK("https://www.philgeps.gov.ph/GEPSNONPILOT/Tender/SplashBidNoticeAbstractUI.aspx?menuIndex=3&amp;refID=7028907&amp;Result=3","7028907")</f>
        <v>0</v>
      </c>
      <c r="B14679" t="s">
        <v>1455</v>
      </c>
      <c r="C14679" t="s">
        <v>7270</v>
      </c>
      <c r="D14679" t="s">
        <v>18792</v>
      </c>
      <c r="E14679" t="s">
        <v>24785</v>
      </c>
      <c r="F14679" t="s">
        <v>32664</v>
      </c>
      <c r="G14679" t="s">
        <v>32672</v>
      </c>
      <c r="H14679" t="s">
        <v>12635</v>
      </c>
      <c r="I14679" t="s">
        <v>4439</v>
      </c>
      <c r="J14679" t="s">
        <v>35378</v>
      </c>
      <c r="K14679" t="s">
        <v>42281</v>
      </c>
      <c r="M14679" t="s">
        <v>44116</v>
      </c>
      <c r="N14679" t="s">
        <v>46569</v>
      </c>
      <c r="O14679" t="s">
        <v>46570</v>
      </c>
      <c r="P14679">
        <v>0</v>
      </c>
      <c r="Q14679">
        <v>0</v>
      </c>
      <c r="R14679" t="s">
        <v>46590</v>
      </c>
      <c r="S14679" t="s">
        <v>47546</v>
      </c>
      <c r="T14679" t="s">
        <v>48376</v>
      </c>
      <c r="U14679" t="s">
        <v>60563</v>
      </c>
      <c r="W14679" t="s">
        <v>44116</v>
      </c>
      <c r="X14679" t="s">
        <v>46592</v>
      </c>
    </row>
    <row r="14680" spans="1:24">
      <c r="A14680">
        <f>HYPERLINK("https://www.philgeps.gov.ph/GEPSNONPILOT/Tender/SplashBidNoticeAbstractUI.aspx?menuIndex=3&amp;refID=7031031&amp;Result=3","7031031")</f>
        <v>0</v>
      </c>
      <c r="B14680" t="s">
        <v>3433</v>
      </c>
      <c r="C14680" t="s">
        <v>17497</v>
      </c>
      <c r="D14680" t="s">
        <v>18804</v>
      </c>
      <c r="E14680" t="s">
        <v>20822</v>
      </c>
      <c r="F14680" t="s">
        <v>32664</v>
      </c>
      <c r="G14680" t="s">
        <v>32672</v>
      </c>
      <c r="H14680" t="s">
        <v>32683</v>
      </c>
      <c r="I14680" t="s">
        <v>10627</v>
      </c>
      <c r="J14680" t="s">
        <v>41515</v>
      </c>
      <c r="K14680" t="s">
        <v>42283</v>
      </c>
      <c r="M14680" t="s">
        <v>46417</v>
      </c>
      <c r="N14680" t="s">
        <v>46569</v>
      </c>
      <c r="O14680" t="s">
        <v>46570</v>
      </c>
      <c r="P14680">
        <v>0</v>
      </c>
      <c r="Q14680">
        <v>2</v>
      </c>
      <c r="R14680" t="s">
        <v>46590</v>
      </c>
      <c r="S14680" t="s">
        <v>47546</v>
      </c>
      <c r="T14680" t="s">
        <v>48244</v>
      </c>
      <c r="U14680" t="s">
        <v>60564</v>
      </c>
      <c r="W14680" t="s">
        <v>46417</v>
      </c>
      <c r="X14680" t="s">
        <v>46591</v>
      </c>
    </row>
    <row r="14681" spans="1:24">
      <c r="A14681">
        <f>HYPERLINK("https://www.philgeps.gov.ph/GEPSNONPILOT/Tender/SplashBidNoticeAbstractUI.aspx?menuIndex=3&amp;refID=7031006&amp;Result=3","7031006")</f>
        <v>0</v>
      </c>
      <c r="B14681" t="s">
        <v>2468</v>
      </c>
      <c r="C14681" t="s">
        <v>17498</v>
      </c>
      <c r="E14681" t="s">
        <v>31518</v>
      </c>
      <c r="F14681" t="s">
        <v>32664</v>
      </c>
      <c r="G14681" t="s">
        <v>32672</v>
      </c>
      <c r="H14681" t="s">
        <v>12635</v>
      </c>
      <c r="I14681" t="s">
        <v>32712</v>
      </c>
      <c r="J14681" t="s">
        <v>41516</v>
      </c>
      <c r="K14681" t="s">
        <v>42283</v>
      </c>
      <c r="M14681" t="s">
        <v>46205</v>
      </c>
      <c r="N14681" t="s">
        <v>46569</v>
      </c>
      <c r="O14681" t="s">
        <v>46570</v>
      </c>
      <c r="P14681">
        <v>0</v>
      </c>
      <c r="Q14681">
        <v>4</v>
      </c>
      <c r="R14681" t="s">
        <v>46590</v>
      </c>
      <c r="S14681" t="s">
        <v>47546</v>
      </c>
      <c r="T14681" t="s">
        <v>48436</v>
      </c>
      <c r="U14681" t="s">
        <v>60565</v>
      </c>
      <c r="W14681" t="s">
        <v>46205</v>
      </c>
      <c r="X14681" t="s">
        <v>46591</v>
      </c>
    </row>
    <row r="14682" spans="1:24">
      <c r="A14682">
        <f>HYPERLINK("https://www.philgeps.gov.ph/GEPSNONPILOT/Tender/SplashBidNoticeAbstractUI.aspx?menuIndex=3&amp;refID=7030990&amp;Result=3","7030990")</f>
        <v>0</v>
      </c>
      <c r="B14682" t="s">
        <v>3433</v>
      </c>
      <c r="C14682" t="s">
        <v>17499</v>
      </c>
      <c r="D14682" t="s">
        <v>18804</v>
      </c>
      <c r="E14682" t="s">
        <v>20566</v>
      </c>
      <c r="F14682" t="s">
        <v>32664</v>
      </c>
      <c r="G14682" t="s">
        <v>32672</v>
      </c>
      <c r="H14682" t="s">
        <v>32683</v>
      </c>
      <c r="I14682" t="s">
        <v>10627</v>
      </c>
      <c r="J14682" t="s">
        <v>41517</v>
      </c>
      <c r="K14682" t="s">
        <v>42283</v>
      </c>
      <c r="M14682" t="s">
        <v>46417</v>
      </c>
      <c r="N14682" t="s">
        <v>46569</v>
      </c>
      <c r="O14682" t="s">
        <v>46570</v>
      </c>
      <c r="P14682">
        <v>0</v>
      </c>
      <c r="Q14682">
        <v>1</v>
      </c>
      <c r="R14682" t="s">
        <v>46590</v>
      </c>
      <c r="S14682" t="s">
        <v>47546</v>
      </c>
      <c r="T14682" t="s">
        <v>48244</v>
      </c>
      <c r="U14682" t="s">
        <v>60564</v>
      </c>
      <c r="W14682" t="s">
        <v>46417</v>
      </c>
      <c r="X14682" t="s">
        <v>46591</v>
      </c>
    </row>
    <row r="14683" spans="1:24">
      <c r="A14683">
        <f>HYPERLINK("https://www.philgeps.gov.ph/GEPSNONPILOT/Tender/SplashBidNoticeAbstractUI.aspx?menuIndex=3&amp;refID=7030960&amp;Result=3","7030960")</f>
        <v>0</v>
      </c>
      <c r="B14683" t="s">
        <v>1892</v>
      </c>
      <c r="C14683" t="s">
        <v>17500</v>
      </c>
      <c r="D14683" t="s">
        <v>18788</v>
      </c>
      <c r="E14683" t="s">
        <v>31519</v>
      </c>
      <c r="F14683" t="s">
        <v>32665</v>
      </c>
      <c r="G14683" t="s">
        <v>32672</v>
      </c>
      <c r="H14683" t="s">
        <v>32683</v>
      </c>
      <c r="I14683" t="s">
        <v>10627</v>
      </c>
      <c r="J14683" t="s">
        <v>37724</v>
      </c>
      <c r="K14683" t="s">
        <v>42397</v>
      </c>
      <c r="M14683" t="s">
        <v>44611</v>
      </c>
      <c r="N14683" t="s">
        <v>46569</v>
      </c>
      <c r="O14683" t="s">
        <v>46570</v>
      </c>
      <c r="Q14683">
        <v>8</v>
      </c>
      <c r="R14683" t="s">
        <v>46590</v>
      </c>
      <c r="S14683" t="s">
        <v>46697</v>
      </c>
      <c r="T14683" t="s">
        <v>48217</v>
      </c>
      <c r="U14683" t="s">
        <v>60566</v>
      </c>
      <c r="V14683" t="s">
        <v>63260</v>
      </c>
      <c r="W14683" t="s">
        <v>44611</v>
      </c>
      <c r="X14683" t="s">
        <v>46591</v>
      </c>
    </row>
    <row r="14684" spans="1:24">
      <c r="A14684">
        <f>HYPERLINK("https://www.philgeps.gov.ph/GEPSNONPILOT/Tender/SplashBidNoticeAbstractUI.aspx?menuIndex=3&amp;refID=7030959&amp;Result=3","7030959")</f>
        <v>0</v>
      </c>
      <c r="B14684" t="s">
        <v>3432</v>
      </c>
      <c r="C14684" t="s">
        <v>17501</v>
      </c>
      <c r="D14684" t="s">
        <v>18799</v>
      </c>
      <c r="E14684" t="s">
        <v>31520</v>
      </c>
      <c r="F14684" t="s">
        <v>32664</v>
      </c>
      <c r="G14684" t="s">
        <v>32672</v>
      </c>
      <c r="H14684" t="s">
        <v>32683</v>
      </c>
      <c r="I14684" t="s">
        <v>10627</v>
      </c>
      <c r="J14684" t="s">
        <v>35044</v>
      </c>
      <c r="K14684" t="s">
        <v>42399</v>
      </c>
      <c r="M14684" t="s">
        <v>46416</v>
      </c>
      <c r="N14684" t="s">
        <v>46569</v>
      </c>
      <c r="O14684" t="s">
        <v>46570</v>
      </c>
      <c r="P14684">
        <v>0</v>
      </c>
      <c r="Q14684">
        <v>2</v>
      </c>
      <c r="R14684" t="s">
        <v>46590</v>
      </c>
      <c r="S14684" t="s">
        <v>47546</v>
      </c>
      <c r="T14684" t="s">
        <v>48283</v>
      </c>
      <c r="U14684" t="s">
        <v>60567</v>
      </c>
      <c r="W14684" t="s">
        <v>46416</v>
      </c>
      <c r="X14684" t="s">
        <v>46591</v>
      </c>
    </row>
    <row r="14685" spans="1:24">
      <c r="A14685">
        <f>HYPERLINK("https://www.philgeps.gov.ph/GEPSNONPILOT/Tender/SplashBidNoticeAbstractUI.aspx?menuIndex=3&amp;refID=7030993&amp;Result=3","7030993")</f>
        <v>0</v>
      </c>
      <c r="B14685" t="s">
        <v>2468</v>
      </c>
      <c r="C14685" t="s">
        <v>17502</v>
      </c>
      <c r="E14685" t="s">
        <v>31521</v>
      </c>
      <c r="F14685" t="s">
        <v>32664</v>
      </c>
      <c r="G14685" t="s">
        <v>32672</v>
      </c>
      <c r="H14685" t="s">
        <v>12635</v>
      </c>
      <c r="I14685" t="s">
        <v>5589</v>
      </c>
      <c r="J14685" t="s">
        <v>41518</v>
      </c>
      <c r="K14685" t="s">
        <v>42283</v>
      </c>
      <c r="M14685" t="s">
        <v>46205</v>
      </c>
      <c r="N14685" t="s">
        <v>46569</v>
      </c>
      <c r="O14685" t="s">
        <v>46570</v>
      </c>
      <c r="P14685">
        <v>0</v>
      </c>
      <c r="Q14685">
        <v>9</v>
      </c>
      <c r="R14685" t="s">
        <v>46590</v>
      </c>
      <c r="S14685" t="s">
        <v>47546</v>
      </c>
      <c r="T14685" t="s">
        <v>48436</v>
      </c>
      <c r="U14685" t="s">
        <v>60568</v>
      </c>
      <c r="W14685" t="s">
        <v>46205</v>
      </c>
      <c r="X14685" t="s">
        <v>46591</v>
      </c>
    </row>
    <row r="14686" spans="1:24">
      <c r="A14686">
        <f>HYPERLINK("https://www.philgeps.gov.ph/GEPSNONPILOT/Tender/SplashBidNoticeAbstractUI.aspx?menuIndex=3&amp;refID=7030963&amp;Result=3","7030963")</f>
        <v>0</v>
      </c>
      <c r="B14686" t="s">
        <v>2468</v>
      </c>
      <c r="C14686" t="s">
        <v>17503</v>
      </c>
      <c r="E14686" t="s">
        <v>31522</v>
      </c>
      <c r="F14686" t="s">
        <v>32664</v>
      </c>
      <c r="G14686" t="s">
        <v>32672</v>
      </c>
      <c r="H14686" t="s">
        <v>12635</v>
      </c>
      <c r="I14686" t="s">
        <v>32735</v>
      </c>
      <c r="J14686" t="s">
        <v>41519</v>
      </c>
      <c r="K14686" t="s">
        <v>42283</v>
      </c>
      <c r="M14686" t="s">
        <v>46205</v>
      </c>
      <c r="N14686" t="s">
        <v>46569</v>
      </c>
      <c r="O14686" t="s">
        <v>46570</v>
      </c>
      <c r="P14686">
        <v>0</v>
      </c>
      <c r="Q14686">
        <v>11</v>
      </c>
      <c r="R14686" t="s">
        <v>46590</v>
      </c>
      <c r="S14686" t="s">
        <v>47546</v>
      </c>
      <c r="T14686" t="s">
        <v>48436</v>
      </c>
      <c r="U14686" t="s">
        <v>60569</v>
      </c>
      <c r="W14686" t="s">
        <v>46205</v>
      </c>
      <c r="X14686" t="s">
        <v>46591</v>
      </c>
    </row>
    <row r="14687" spans="1:24">
      <c r="A14687">
        <f>HYPERLINK("https://www.philgeps.gov.ph/GEPSNONPILOT/Tender/SplashBidNoticeAbstractUI.aspx?menuIndex=3&amp;refID=7031193&amp;Result=3","7031193")</f>
        <v>0</v>
      </c>
      <c r="B14687" t="s">
        <v>2671</v>
      </c>
      <c r="C14687" t="s">
        <v>17504</v>
      </c>
      <c r="D14687" t="s">
        <v>18792</v>
      </c>
      <c r="E14687" t="s">
        <v>31523</v>
      </c>
      <c r="F14687" t="s">
        <v>32664</v>
      </c>
      <c r="G14687" t="s">
        <v>32672</v>
      </c>
      <c r="H14687" t="s">
        <v>32683</v>
      </c>
      <c r="I14687" t="s">
        <v>10627</v>
      </c>
      <c r="J14687" t="s">
        <v>41520</v>
      </c>
      <c r="K14687" t="s">
        <v>42312</v>
      </c>
      <c r="M14687" t="s">
        <v>45493</v>
      </c>
      <c r="N14687" t="s">
        <v>46569</v>
      </c>
      <c r="O14687" t="s">
        <v>46570</v>
      </c>
      <c r="P14687">
        <v>0</v>
      </c>
      <c r="Q14687">
        <v>1</v>
      </c>
      <c r="R14687" t="s">
        <v>46590</v>
      </c>
      <c r="S14687" t="s">
        <v>47546</v>
      </c>
      <c r="T14687" t="s">
        <v>48246</v>
      </c>
      <c r="U14687" t="s">
        <v>60570</v>
      </c>
      <c r="W14687" t="s">
        <v>45493</v>
      </c>
      <c r="X14687" t="s">
        <v>46591</v>
      </c>
    </row>
    <row r="14688" spans="1:24">
      <c r="A14688">
        <f>HYPERLINK("https://www.philgeps.gov.ph/GEPSNONPILOT/Tender/SplashBidNoticeAbstractUI.aspx?menuIndex=3&amp;refID=7031020&amp;Result=3","7031020")</f>
        <v>0</v>
      </c>
      <c r="B14688" t="s">
        <v>2468</v>
      </c>
      <c r="C14688" t="s">
        <v>17505</v>
      </c>
      <c r="E14688" t="s">
        <v>31524</v>
      </c>
      <c r="F14688" t="s">
        <v>32664</v>
      </c>
      <c r="G14688" t="s">
        <v>32672</v>
      </c>
      <c r="H14688" t="s">
        <v>12635</v>
      </c>
      <c r="I14688" t="s">
        <v>32750</v>
      </c>
      <c r="J14688" t="s">
        <v>38889</v>
      </c>
      <c r="K14688" t="s">
        <v>42283</v>
      </c>
      <c r="M14688" t="s">
        <v>46205</v>
      </c>
      <c r="N14688" t="s">
        <v>46569</v>
      </c>
      <c r="O14688" t="s">
        <v>46570</v>
      </c>
      <c r="P14688">
        <v>0</v>
      </c>
      <c r="Q14688">
        <v>2</v>
      </c>
      <c r="R14688" t="s">
        <v>46590</v>
      </c>
      <c r="S14688" t="s">
        <v>47546</v>
      </c>
      <c r="T14688" t="s">
        <v>48436</v>
      </c>
      <c r="U14688" t="s">
        <v>60571</v>
      </c>
      <c r="W14688" t="s">
        <v>46205</v>
      </c>
      <c r="X14688" t="s">
        <v>46591</v>
      </c>
    </row>
    <row r="14689" spans="1:24">
      <c r="A14689">
        <f>HYPERLINK("https://www.philgeps.gov.ph/GEPSNONPILOT/Tender/SplashBidNoticeAbstractUI.aspx?menuIndex=3&amp;refID=7030979&amp;Result=3","7030979")</f>
        <v>0</v>
      </c>
      <c r="B14689" t="s">
        <v>2468</v>
      </c>
      <c r="C14689" t="s">
        <v>17506</v>
      </c>
      <c r="E14689" t="s">
        <v>31525</v>
      </c>
      <c r="F14689" t="s">
        <v>32664</v>
      </c>
      <c r="G14689" t="s">
        <v>32672</v>
      </c>
      <c r="H14689" t="s">
        <v>12635</v>
      </c>
      <c r="I14689" t="s">
        <v>32684</v>
      </c>
      <c r="J14689" t="s">
        <v>41521</v>
      </c>
      <c r="K14689" t="s">
        <v>42283</v>
      </c>
      <c r="M14689" t="s">
        <v>46205</v>
      </c>
      <c r="N14689" t="s">
        <v>46569</v>
      </c>
      <c r="O14689" t="s">
        <v>46570</v>
      </c>
      <c r="P14689">
        <v>0</v>
      </c>
      <c r="Q14689">
        <v>13</v>
      </c>
      <c r="R14689" t="s">
        <v>46590</v>
      </c>
      <c r="S14689" t="s">
        <v>47546</v>
      </c>
      <c r="T14689" t="s">
        <v>48436</v>
      </c>
      <c r="U14689" t="s">
        <v>60572</v>
      </c>
      <c r="W14689" t="s">
        <v>46205</v>
      </c>
      <c r="X14689" t="s">
        <v>46591</v>
      </c>
    </row>
    <row r="14690" spans="1:24">
      <c r="A14690">
        <f>HYPERLINK("https://www.philgeps.gov.ph/GEPSNONPILOT/Tender/SplashBidNoticeAbstractUI.aspx?menuIndex=3&amp;refID=7031213&amp;Result=3","7031213")</f>
        <v>0</v>
      </c>
      <c r="B14690" t="s">
        <v>3434</v>
      </c>
      <c r="C14690" t="s">
        <v>17507</v>
      </c>
      <c r="D14690" t="s">
        <v>18791</v>
      </c>
      <c r="E14690" t="s">
        <v>31526</v>
      </c>
      <c r="F14690" t="s">
        <v>32664</v>
      </c>
      <c r="G14690" t="s">
        <v>32672</v>
      </c>
      <c r="H14690" t="s">
        <v>12635</v>
      </c>
      <c r="I14690" t="s">
        <v>32736</v>
      </c>
      <c r="J14690" t="s">
        <v>35725</v>
      </c>
      <c r="K14690" t="s">
        <v>42281</v>
      </c>
      <c r="M14690" t="s">
        <v>46418</v>
      </c>
      <c r="N14690" t="s">
        <v>46569</v>
      </c>
      <c r="O14690" t="s">
        <v>46570</v>
      </c>
      <c r="P14690">
        <v>0</v>
      </c>
      <c r="Q14690">
        <v>3</v>
      </c>
      <c r="R14690" t="s">
        <v>46590</v>
      </c>
      <c r="S14690" t="s">
        <v>47546</v>
      </c>
      <c r="T14690" t="s">
        <v>48534</v>
      </c>
      <c r="U14690" t="s">
        <v>60573</v>
      </c>
      <c r="W14690" t="s">
        <v>46418</v>
      </c>
      <c r="X14690" t="s">
        <v>46591</v>
      </c>
    </row>
    <row r="14691" spans="1:24">
      <c r="A14691">
        <f>HYPERLINK("https://www.philgeps.gov.ph/GEPSNONPILOT/Tender/SplashBidNoticeAbstractUI.aspx?menuIndex=3&amp;refID=7031152&amp;Result=3","7031152")</f>
        <v>0</v>
      </c>
      <c r="B14691" t="s">
        <v>2468</v>
      </c>
      <c r="C14691" t="s">
        <v>17508</v>
      </c>
      <c r="E14691" t="s">
        <v>31527</v>
      </c>
      <c r="F14691" t="s">
        <v>32664</v>
      </c>
      <c r="G14691" t="s">
        <v>32672</v>
      </c>
      <c r="H14691" t="s">
        <v>12635</v>
      </c>
      <c r="I14691" t="s">
        <v>5501</v>
      </c>
      <c r="J14691" t="s">
        <v>41522</v>
      </c>
      <c r="K14691" t="s">
        <v>42283</v>
      </c>
      <c r="M14691" t="s">
        <v>46205</v>
      </c>
      <c r="N14691" t="s">
        <v>46569</v>
      </c>
      <c r="O14691" t="s">
        <v>46570</v>
      </c>
      <c r="P14691">
        <v>0</v>
      </c>
      <c r="Q14691">
        <v>11</v>
      </c>
      <c r="R14691" t="s">
        <v>46590</v>
      </c>
      <c r="S14691" t="s">
        <v>47546</v>
      </c>
      <c r="T14691" t="s">
        <v>48436</v>
      </c>
      <c r="U14691" t="s">
        <v>60574</v>
      </c>
      <c r="W14691" t="s">
        <v>46205</v>
      </c>
      <c r="X14691" t="s">
        <v>46591</v>
      </c>
    </row>
    <row r="14692" spans="1:24">
      <c r="A14692">
        <f>HYPERLINK("https://www.philgeps.gov.ph/GEPSNONPILOT/Tender/SplashBidNoticeAbstractUI.aspx?menuIndex=3&amp;refID=7031194&amp;Result=3","7031194")</f>
        <v>0</v>
      </c>
      <c r="B14692" t="s">
        <v>2468</v>
      </c>
      <c r="C14692" t="s">
        <v>17509</v>
      </c>
      <c r="E14692" t="s">
        <v>31528</v>
      </c>
      <c r="F14692" t="s">
        <v>32664</v>
      </c>
      <c r="G14692" t="s">
        <v>32672</v>
      </c>
      <c r="H14692" t="s">
        <v>12635</v>
      </c>
      <c r="I14692" t="s">
        <v>6168</v>
      </c>
      <c r="J14692" t="s">
        <v>41523</v>
      </c>
      <c r="K14692" t="s">
        <v>42283</v>
      </c>
      <c r="M14692" t="s">
        <v>46205</v>
      </c>
      <c r="N14692" t="s">
        <v>46569</v>
      </c>
      <c r="O14692" t="s">
        <v>46570</v>
      </c>
      <c r="P14692">
        <v>0</v>
      </c>
      <c r="Q14692">
        <v>0</v>
      </c>
      <c r="R14692" t="s">
        <v>46590</v>
      </c>
      <c r="S14692" t="s">
        <v>47546</v>
      </c>
      <c r="T14692" t="s">
        <v>48436</v>
      </c>
      <c r="U14692" t="s">
        <v>60575</v>
      </c>
      <c r="W14692" t="s">
        <v>46205</v>
      </c>
      <c r="X14692" t="s">
        <v>46591</v>
      </c>
    </row>
    <row r="14693" spans="1:24">
      <c r="A14693">
        <f>HYPERLINK("https://www.philgeps.gov.ph/GEPSNONPILOT/Tender/SplashBidNoticeAbstractUI.aspx?menuIndex=3&amp;refID=7031151&amp;Result=3","7031151")</f>
        <v>0</v>
      </c>
      <c r="B14693" t="s">
        <v>576</v>
      </c>
      <c r="C14693" t="s">
        <v>17510</v>
      </c>
      <c r="D14693" t="s">
        <v>18804</v>
      </c>
      <c r="E14693" t="s">
        <v>31529</v>
      </c>
      <c r="F14693" t="s">
        <v>32664</v>
      </c>
      <c r="G14693" t="s">
        <v>32672</v>
      </c>
      <c r="H14693" t="s">
        <v>32683</v>
      </c>
      <c r="I14693" t="s">
        <v>10627</v>
      </c>
      <c r="J14693" t="s">
        <v>32837</v>
      </c>
      <c r="K14693" t="s">
        <v>42298</v>
      </c>
      <c r="M14693" t="s">
        <v>43156</v>
      </c>
      <c r="N14693" t="s">
        <v>46569</v>
      </c>
      <c r="O14693" t="s">
        <v>46570</v>
      </c>
      <c r="P14693">
        <v>0</v>
      </c>
      <c r="Q14693">
        <v>0</v>
      </c>
      <c r="R14693" t="s">
        <v>46590</v>
      </c>
      <c r="S14693" t="s">
        <v>47546</v>
      </c>
      <c r="T14693" t="s">
        <v>48293</v>
      </c>
      <c r="U14693" t="s">
        <v>49834</v>
      </c>
      <c r="W14693" t="s">
        <v>43156</v>
      </c>
      <c r="X14693" t="s">
        <v>46591</v>
      </c>
    </row>
    <row r="14694" spans="1:24">
      <c r="A14694">
        <f>HYPERLINK("https://www.philgeps.gov.ph/GEPSNONPILOT/Tender/SplashBidNoticeAbstractUI.aspx?menuIndex=3&amp;refID=7031024&amp;Result=3","7031024")</f>
        <v>0</v>
      </c>
      <c r="B14694" t="s">
        <v>3432</v>
      </c>
      <c r="C14694" t="s">
        <v>17511</v>
      </c>
      <c r="D14694" t="s">
        <v>18799</v>
      </c>
      <c r="E14694" t="s">
        <v>31530</v>
      </c>
      <c r="F14694" t="s">
        <v>32664</v>
      </c>
      <c r="G14694" t="s">
        <v>32672</v>
      </c>
      <c r="H14694" t="s">
        <v>32683</v>
      </c>
      <c r="I14694" t="s">
        <v>10627</v>
      </c>
      <c r="J14694" t="s">
        <v>40562</v>
      </c>
      <c r="K14694" t="s">
        <v>42409</v>
      </c>
      <c r="M14694" t="s">
        <v>46416</v>
      </c>
      <c r="N14694" t="s">
        <v>46569</v>
      </c>
      <c r="O14694" t="s">
        <v>46570</v>
      </c>
      <c r="P14694">
        <v>0</v>
      </c>
      <c r="Q14694">
        <v>3</v>
      </c>
      <c r="R14694" t="s">
        <v>46590</v>
      </c>
      <c r="S14694" t="s">
        <v>47546</v>
      </c>
      <c r="T14694" t="s">
        <v>48283</v>
      </c>
      <c r="U14694" t="s">
        <v>55410</v>
      </c>
      <c r="W14694" t="s">
        <v>46416</v>
      </c>
      <c r="X14694" t="s">
        <v>46591</v>
      </c>
    </row>
    <row r="14695" spans="1:24">
      <c r="A14695">
        <f>HYPERLINK("https://www.philgeps.gov.ph/GEPSNONPILOT/Tender/SplashBidNoticeAbstractUI.aspx?menuIndex=3&amp;refID=7031131&amp;Result=3","7031131")</f>
        <v>0</v>
      </c>
      <c r="B14695" t="s">
        <v>2468</v>
      </c>
      <c r="C14695" t="s">
        <v>17512</v>
      </c>
      <c r="E14695" t="s">
        <v>31531</v>
      </c>
      <c r="F14695" t="s">
        <v>32664</v>
      </c>
      <c r="G14695" t="s">
        <v>32672</v>
      </c>
      <c r="H14695" t="s">
        <v>12635</v>
      </c>
      <c r="I14695" t="s">
        <v>5501</v>
      </c>
      <c r="J14695" t="s">
        <v>34551</v>
      </c>
      <c r="K14695" t="s">
        <v>42283</v>
      </c>
      <c r="M14695" t="s">
        <v>46205</v>
      </c>
      <c r="N14695" t="s">
        <v>46569</v>
      </c>
      <c r="O14695" t="s">
        <v>46570</v>
      </c>
      <c r="P14695">
        <v>0</v>
      </c>
      <c r="Q14695">
        <v>10</v>
      </c>
      <c r="R14695" t="s">
        <v>46590</v>
      </c>
      <c r="S14695" t="s">
        <v>47546</v>
      </c>
      <c r="T14695" t="s">
        <v>48436</v>
      </c>
      <c r="U14695" t="s">
        <v>60576</v>
      </c>
      <c r="W14695" t="s">
        <v>46205</v>
      </c>
      <c r="X14695" t="s">
        <v>46591</v>
      </c>
    </row>
    <row r="14696" spans="1:24">
      <c r="A14696">
        <f>HYPERLINK("https://www.philgeps.gov.ph/GEPSNONPILOT/Tender/SplashBidNoticeAbstractUI.aspx?menuIndex=3&amp;refID=7031130&amp;Result=3","7031130")</f>
        <v>0</v>
      </c>
      <c r="B14696" t="s">
        <v>1786</v>
      </c>
      <c r="C14696" t="s">
        <v>17513</v>
      </c>
      <c r="D14696" t="s">
        <v>18814</v>
      </c>
      <c r="E14696" t="s">
        <v>31532</v>
      </c>
      <c r="F14696" t="s">
        <v>32665</v>
      </c>
      <c r="G14696" t="s">
        <v>32672</v>
      </c>
      <c r="H14696" t="s">
        <v>12635</v>
      </c>
      <c r="I14696" t="s">
        <v>32704</v>
      </c>
      <c r="J14696" t="s">
        <v>34481</v>
      </c>
      <c r="K14696" t="s">
        <v>42311</v>
      </c>
      <c r="M14696" t="s">
        <v>44488</v>
      </c>
      <c r="N14696" t="s">
        <v>46569</v>
      </c>
      <c r="O14696" t="s">
        <v>46570</v>
      </c>
      <c r="Q14696">
        <v>11</v>
      </c>
      <c r="R14696" t="s">
        <v>46590</v>
      </c>
      <c r="S14696" t="s">
        <v>47563</v>
      </c>
      <c r="T14696" t="s">
        <v>48271</v>
      </c>
      <c r="U14696" t="s">
        <v>60577</v>
      </c>
      <c r="W14696" t="s">
        <v>44488</v>
      </c>
      <c r="X14696" t="s">
        <v>46591</v>
      </c>
    </row>
    <row r="14697" spans="1:24">
      <c r="A14697">
        <f>HYPERLINK("https://www.philgeps.gov.ph/GEPSNONPILOT/Tender/SplashBidNoticeAbstractUI.aspx?menuIndex=3&amp;refID=7031342&amp;Result=3","7031342")</f>
        <v>0</v>
      </c>
      <c r="B14697" t="s">
        <v>1892</v>
      </c>
      <c r="C14697" t="s">
        <v>17514</v>
      </c>
      <c r="D14697" t="s">
        <v>18788</v>
      </c>
      <c r="E14697" t="s">
        <v>31533</v>
      </c>
      <c r="F14697" t="s">
        <v>32665</v>
      </c>
      <c r="G14697" t="s">
        <v>32672</v>
      </c>
      <c r="H14697" t="s">
        <v>32683</v>
      </c>
      <c r="I14697" t="s">
        <v>10627</v>
      </c>
      <c r="J14697" t="s">
        <v>34075</v>
      </c>
      <c r="K14697" t="s">
        <v>42495</v>
      </c>
      <c r="M14697" t="s">
        <v>44611</v>
      </c>
      <c r="N14697" t="s">
        <v>46569</v>
      </c>
      <c r="O14697" t="s">
        <v>46570</v>
      </c>
      <c r="Q14697">
        <v>7</v>
      </c>
      <c r="R14697" t="s">
        <v>46590</v>
      </c>
      <c r="S14697" t="s">
        <v>47564</v>
      </c>
      <c r="T14697" t="s">
        <v>48217</v>
      </c>
      <c r="U14697" t="s">
        <v>60566</v>
      </c>
      <c r="V14697" t="s">
        <v>63261</v>
      </c>
      <c r="W14697" t="s">
        <v>44611</v>
      </c>
      <c r="X14697" t="s">
        <v>46591</v>
      </c>
    </row>
    <row r="14698" spans="1:24">
      <c r="A14698">
        <f>HYPERLINK("https://www.philgeps.gov.ph/GEPSNONPILOT/Tender/SplashBidNoticeAbstractUI.aspx?menuIndex=3&amp;refID=7031451&amp;Result=3","7031451")</f>
        <v>0</v>
      </c>
      <c r="B14698" t="s">
        <v>3435</v>
      </c>
      <c r="C14698" t="s">
        <v>17515</v>
      </c>
      <c r="D14698" t="s">
        <v>18782</v>
      </c>
      <c r="E14698" t="s">
        <v>31534</v>
      </c>
      <c r="F14698" t="s">
        <v>32664</v>
      </c>
      <c r="G14698" t="s">
        <v>32672</v>
      </c>
      <c r="H14698" t="s">
        <v>12635</v>
      </c>
      <c r="I14698" t="s">
        <v>32706</v>
      </c>
      <c r="J14698" t="s">
        <v>41524</v>
      </c>
      <c r="K14698" t="s">
        <v>42311</v>
      </c>
      <c r="M14698" t="s">
        <v>46419</v>
      </c>
      <c r="N14698" t="s">
        <v>46569</v>
      </c>
      <c r="O14698" t="s">
        <v>46570</v>
      </c>
      <c r="P14698">
        <v>0</v>
      </c>
      <c r="Q14698">
        <v>0</v>
      </c>
      <c r="R14698" t="s">
        <v>46590</v>
      </c>
      <c r="S14698" t="s">
        <v>47546</v>
      </c>
      <c r="T14698" t="s">
        <v>48293</v>
      </c>
      <c r="U14698" t="s">
        <v>60578</v>
      </c>
      <c r="V14698" t="s">
        <v>63262</v>
      </c>
      <c r="W14698" t="s">
        <v>46419</v>
      </c>
      <c r="X14698" t="s">
        <v>46591</v>
      </c>
    </row>
    <row r="14699" spans="1:24">
      <c r="A14699">
        <f>HYPERLINK("https://www.philgeps.gov.ph/GEPSNONPILOT/Tender/SplashBidNoticeAbstractUI.aspx?menuIndex=3&amp;refID=7031014&amp;Result=3","7031014")</f>
        <v>0</v>
      </c>
      <c r="B14699" t="s">
        <v>1892</v>
      </c>
      <c r="C14699" t="s">
        <v>17516</v>
      </c>
      <c r="D14699" t="s">
        <v>18788</v>
      </c>
      <c r="E14699" t="s">
        <v>31535</v>
      </c>
      <c r="F14699" t="s">
        <v>32665</v>
      </c>
      <c r="G14699" t="s">
        <v>32672</v>
      </c>
      <c r="H14699" t="s">
        <v>32683</v>
      </c>
      <c r="I14699" t="s">
        <v>10627</v>
      </c>
      <c r="J14699" t="s">
        <v>37724</v>
      </c>
      <c r="K14699" t="s">
        <v>42397</v>
      </c>
      <c r="M14699" t="s">
        <v>44611</v>
      </c>
      <c r="N14699" t="s">
        <v>46569</v>
      </c>
      <c r="O14699" t="s">
        <v>46570</v>
      </c>
      <c r="Q14699">
        <v>7</v>
      </c>
      <c r="R14699" t="s">
        <v>46590</v>
      </c>
      <c r="S14699" t="s">
        <v>47565</v>
      </c>
      <c r="T14699" t="s">
        <v>48217</v>
      </c>
      <c r="U14699" t="s">
        <v>60566</v>
      </c>
      <c r="V14699" t="s">
        <v>63261</v>
      </c>
      <c r="W14699" t="s">
        <v>44611</v>
      </c>
      <c r="X14699" t="s">
        <v>46591</v>
      </c>
    </row>
    <row r="14700" spans="1:24">
      <c r="A14700">
        <f>HYPERLINK("https://www.philgeps.gov.ph/GEPSNONPILOT/Tender/SplashBidNoticeAbstractUI.aspx?menuIndex=3&amp;refID=7031407&amp;Result=3","7031407")</f>
        <v>0</v>
      </c>
      <c r="B14700" t="s">
        <v>2758</v>
      </c>
      <c r="C14700" t="s">
        <v>17517</v>
      </c>
      <c r="D14700" t="s">
        <v>18830</v>
      </c>
      <c r="E14700" t="s">
        <v>31536</v>
      </c>
      <c r="F14700" t="s">
        <v>32664</v>
      </c>
      <c r="G14700" t="s">
        <v>32672</v>
      </c>
      <c r="H14700" t="s">
        <v>12635</v>
      </c>
      <c r="I14700" t="s">
        <v>11464</v>
      </c>
      <c r="J14700" t="s">
        <v>41525</v>
      </c>
      <c r="K14700" t="s">
        <v>42290</v>
      </c>
      <c r="M14700" t="s">
        <v>46420</v>
      </c>
      <c r="N14700" t="s">
        <v>46569</v>
      </c>
      <c r="O14700" t="s">
        <v>46570</v>
      </c>
      <c r="Q14700">
        <v>16</v>
      </c>
      <c r="R14700" t="s">
        <v>46590</v>
      </c>
      <c r="S14700" t="s">
        <v>47566</v>
      </c>
      <c r="T14700" t="s">
        <v>48221</v>
      </c>
      <c r="U14700" t="s">
        <v>60579</v>
      </c>
      <c r="V14700" t="s">
        <v>63263</v>
      </c>
      <c r="W14700" t="s">
        <v>63597</v>
      </c>
      <c r="X14700" t="s">
        <v>46591</v>
      </c>
    </row>
    <row r="14701" spans="1:24">
      <c r="A14701">
        <f>HYPERLINK("https://www.philgeps.gov.ph/GEPSNONPILOT/Tender/SplashBidNoticeAbstractUI.aspx?menuIndex=3&amp;refID=7031164&amp;Result=3","7031164")</f>
        <v>0</v>
      </c>
      <c r="B14701" t="s">
        <v>2468</v>
      </c>
      <c r="C14701" t="s">
        <v>17518</v>
      </c>
      <c r="E14701" t="s">
        <v>31537</v>
      </c>
      <c r="F14701" t="s">
        <v>32664</v>
      </c>
      <c r="G14701" t="s">
        <v>32672</v>
      </c>
      <c r="H14701" t="s">
        <v>12635</v>
      </c>
      <c r="I14701" t="s">
        <v>5501</v>
      </c>
      <c r="J14701" t="s">
        <v>41526</v>
      </c>
      <c r="K14701" t="s">
        <v>42283</v>
      </c>
      <c r="M14701" t="s">
        <v>46205</v>
      </c>
      <c r="N14701" t="s">
        <v>46569</v>
      </c>
      <c r="O14701" t="s">
        <v>46570</v>
      </c>
      <c r="P14701">
        <v>0</v>
      </c>
      <c r="Q14701">
        <v>7</v>
      </c>
      <c r="R14701" t="s">
        <v>46590</v>
      </c>
      <c r="S14701" t="s">
        <v>47546</v>
      </c>
      <c r="T14701" t="s">
        <v>48436</v>
      </c>
      <c r="U14701" t="s">
        <v>60580</v>
      </c>
      <c r="W14701" t="s">
        <v>46205</v>
      </c>
      <c r="X14701" t="s">
        <v>46591</v>
      </c>
    </row>
    <row r="14702" spans="1:24">
      <c r="A14702">
        <f>HYPERLINK("https://www.philgeps.gov.ph/GEPSNONPILOT/Tender/SplashBidNoticeAbstractUI.aspx?menuIndex=3&amp;refID=7031424&amp;Result=3","7031424")</f>
        <v>0</v>
      </c>
      <c r="B14702" t="s">
        <v>3389</v>
      </c>
      <c r="C14702" t="s">
        <v>17519</v>
      </c>
      <c r="D14702" t="s">
        <v>18816</v>
      </c>
      <c r="E14702" t="s">
        <v>20957</v>
      </c>
      <c r="F14702" t="s">
        <v>32664</v>
      </c>
      <c r="G14702" t="s">
        <v>32672</v>
      </c>
      <c r="H14702" t="s">
        <v>32683</v>
      </c>
      <c r="I14702" t="s">
        <v>10627</v>
      </c>
      <c r="J14702" t="s">
        <v>33969</v>
      </c>
      <c r="K14702" t="s">
        <v>42301</v>
      </c>
      <c r="M14702" t="s">
        <v>46353</v>
      </c>
      <c r="N14702" t="s">
        <v>46569</v>
      </c>
      <c r="O14702" t="s">
        <v>46570</v>
      </c>
      <c r="P14702">
        <v>0</v>
      </c>
      <c r="Q14702">
        <v>0</v>
      </c>
      <c r="R14702" t="s">
        <v>46590</v>
      </c>
      <c r="S14702" t="s">
        <v>47546</v>
      </c>
      <c r="T14702" t="s">
        <v>48282</v>
      </c>
      <c r="U14702" t="s">
        <v>60581</v>
      </c>
      <c r="V14702" t="s">
        <v>63264</v>
      </c>
      <c r="W14702" t="s">
        <v>46353</v>
      </c>
      <c r="X14702" t="s">
        <v>46591</v>
      </c>
    </row>
    <row r="14703" spans="1:24">
      <c r="A14703">
        <f>HYPERLINK("https://www.philgeps.gov.ph/GEPSNONPILOT/Tender/SplashBidNoticeAbstractUI.aspx?menuIndex=3&amp;refID=7031408&amp;Result=3","7031408")</f>
        <v>0</v>
      </c>
      <c r="B14703" t="s">
        <v>1143</v>
      </c>
      <c r="C14703" t="s">
        <v>17520</v>
      </c>
      <c r="D14703" t="s">
        <v>18831</v>
      </c>
      <c r="E14703" t="s">
        <v>31538</v>
      </c>
      <c r="F14703" t="s">
        <v>32664</v>
      </c>
      <c r="G14703" t="s">
        <v>32672</v>
      </c>
      <c r="H14703" t="s">
        <v>12635</v>
      </c>
      <c r="I14703" t="s">
        <v>32699</v>
      </c>
      <c r="J14703" t="s">
        <v>41527</v>
      </c>
      <c r="K14703" t="s">
        <v>42365</v>
      </c>
      <c r="M14703" t="s">
        <v>43774</v>
      </c>
      <c r="N14703" t="s">
        <v>46569</v>
      </c>
      <c r="O14703" t="s">
        <v>46570</v>
      </c>
      <c r="P14703">
        <v>0</v>
      </c>
      <c r="Q14703">
        <v>0</v>
      </c>
      <c r="R14703" t="s">
        <v>46590</v>
      </c>
      <c r="S14703" t="s">
        <v>47546</v>
      </c>
      <c r="T14703" t="s">
        <v>48244</v>
      </c>
      <c r="U14703" t="s">
        <v>60582</v>
      </c>
      <c r="W14703" t="s">
        <v>43774</v>
      </c>
      <c r="X14703" t="s">
        <v>46591</v>
      </c>
    </row>
    <row r="14704" spans="1:24">
      <c r="A14704">
        <f>HYPERLINK("https://www.philgeps.gov.ph/GEPSNONPILOT/Tender/SplashBidNoticeAbstractUI.aspx?menuIndex=3&amp;refID=7031139&amp;Result=3","7031139")</f>
        <v>0</v>
      </c>
      <c r="B14704" t="s">
        <v>3436</v>
      </c>
      <c r="C14704" t="s">
        <v>17521</v>
      </c>
      <c r="D14704" t="s">
        <v>18806</v>
      </c>
      <c r="E14704" t="s">
        <v>31539</v>
      </c>
      <c r="F14704" t="s">
        <v>32664</v>
      </c>
      <c r="G14704" t="s">
        <v>32672</v>
      </c>
      <c r="H14704" t="s">
        <v>12635</v>
      </c>
      <c r="I14704" t="s">
        <v>11464</v>
      </c>
      <c r="J14704" t="s">
        <v>34384</v>
      </c>
      <c r="K14704" t="s">
        <v>42290</v>
      </c>
      <c r="M14704" t="s">
        <v>46421</v>
      </c>
      <c r="N14704" t="s">
        <v>46569</v>
      </c>
      <c r="O14704" t="s">
        <v>46570</v>
      </c>
      <c r="P14704">
        <v>0</v>
      </c>
      <c r="Q14704">
        <v>6</v>
      </c>
      <c r="R14704" t="s">
        <v>46590</v>
      </c>
      <c r="S14704" t="s">
        <v>47546</v>
      </c>
      <c r="T14704" t="s">
        <v>48221</v>
      </c>
      <c r="U14704" t="s">
        <v>60583</v>
      </c>
      <c r="V14704" t="s">
        <v>63265</v>
      </c>
      <c r="W14704" t="s">
        <v>46421</v>
      </c>
      <c r="X14704" t="s">
        <v>46591</v>
      </c>
    </row>
    <row r="14705" spans="1:24">
      <c r="A14705">
        <f>HYPERLINK("https://www.philgeps.gov.ph/GEPSNONPILOT/Tender/SplashBidNoticeAbstractUI.aspx?menuIndex=3&amp;refID=7031121&amp;Result=3","7031121")</f>
        <v>0</v>
      </c>
      <c r="B14705" t="s">
        <v>3432</v>
      </c>
      <c r="C14705" t="s">
        <v>17522</v>
      </c>
      <c r="D14705" t="s">
        <v>18799</v>
      </c>
      <c r="E14705" t="s">
        <v>31540</v>
      </c>
      <c r="F14705" t="s">
        <v>32664</v>
      </c>
      <c r="G14705" t="s">
        <v>32672</v>
      </c>
      <c r="H14705" t="s">
        <v>32683</v>
      </c>
      <c r="I14705" t="s">
        <v>10627</v>
      </c>
      <c r="J14705" t="s">
        <v>39017</v>
      </c>
      <c r="K14705" t="s">
        <v>42558</v>
      </c>
      <c r="M14705" t="s">
        <v>46416</v>
      </c>
      <c r="N14705" t="s">
        <v>46569</v>
      </c>
      <c r="O14705" t="s">
        <v>46570</v>
      </c>
      <c r="P14705">
        <v>0</v>
      </c>
      <c r="Q14705">
        <v>2</v>
      </c>
      <c r="R14705" t="s">
        <v>46590</v>
      </c>
      <c r="S14705" t="s">
        <v>47546</v>
      </c>
      <c r="T14705" t="s">
        <v>48283</v>
      </c>
      <c r="U14705" t="s">
        <v>60584</v>
      </c>
      <c r="W14705" t="s">
        <v>46416</v>
      </c>
      <c r="X14705" t="s">
        <v>46591</v>
      </c>
    </row>
    <row r="14706" spans="1:24">
      <c r="A14706">
        <f>HYPERLINK("https://www.philgeps.gov.ph/GEPSNONPILOT/Tender/SplashBidNoticeAbstractUI.aspx?menuIndex=3&amp;refID=7031301&amp;Result=3","7031301")</f>
        <v>0</v>
      </c>
      <c r="B14706" t="s">
        <v>2468</v>
      </c>
      <c r="C14706" t="s">
        <v>17523</v>
      </c>
      <c r="E14706" t="s">
        <v>31541</v>
      </c>
      <c r="F14706" t="s">
        <v>32664</v>
      </c>
      <c r="G14706" t="s">
        <v>32672</v>
      </c>
      <c r="H14706" t="s">
        <v>12635</v>
      </c>
      <c r="I14706" t="s">
        <v>6118</v>
      </c>
      <c r="J14706" t="s">
        <v>33009</v>
      </c>
      <c r="K14706" t="s">
        <v>42283</v>
      </c>
      <c r="M14706" t="s">
        <v>46205</v>
      </c>
      <c r="N14706" t="s">
        <v>46569</v>
      </c>
      <c r="O14706" t="s">
        <v>46570</v>
      </c>
      <c r="P14706">
        <v>0</v>
      </c>
      <c r="Q14706">
        <v>0</v>
      </c>
      <c r="R14706" t="s">
        <v>46590</v>
      </c>
      <c r="S14706" t="s">
        <v>47546</v>
      </c>
      <c r="T14706" t="s">
        <v>48436</v>
      </c>
      <c r="U14706" t="s">
        <v>60585</v>
      </c>
      <c r="W14706" t="s">
        <v>46205</v>
      </c>
      <c r="X14706" t="s">
        <v>46591</v>
      </c>
    </row>
    <row r="14707" spans="1:24">
      <c r="A14707">
        <f>HYPERLINK("https://www.philgeps.gov.ph/GEPSNONPILOT/Tender/SplashBidNoticeAbstractUI.aspx?menuIndex=3&amp;refID=7031190&amp;Result=3","7031190")</f>
        <v>0</v>
      </c>
      <c r="B14707" t="s">
        <v>1892</v>
      </c>
      <c r="C14707" t="s">
        <v>17524</v>
      </c>
      <c r="D14707" t="s">
        <v>18788</v>
      </c>
      <c r="E14707" t="s">
        <v>31542</v>
      </c>
      <c r="F14707" t="s">
        <v>32665</v>
      </c>
      <c r="G14707" t="s">
        <v>32672</v>
      </c>
      <c r="H14707" t="s">
        <v>32683</v>
      </c>
      <c r="I14707" t="s">
        <v>10627</v>
      </c>
      <c r="J14707" t="s">
        <v>39010</v>
      </c>
      <c r="K14707" t="s">
        <v>42315</v>
      </c>
      <c r="M14707" t="s">
        <v>44611</v>
      </c>
      <c r="N14707" t="s">
        <v>46569</v>
      </c>
      <c r="O14707" t="s">
        <v>46570</v>
      </c>
      <c r="Q14707">
        <v>9</v>
      </c>
      <c r="R14707" t="s">
        <v>46590</v>
      </c>
      <c r="S14707" t="s">
        <v>47567</v>
      </c>
      <c r="T14707" t="s">
        <v>48217</v>
      </c>
      <c r="U14707" t="s">
        <v>60566</v>
      </c>
      <c r="V14707" t="s">
        <v>63261</v>
      </c>
      <c r="W14707" t="s">
        <v>44611</v>
      </c>
      <c r="X14707" t="s">
        <v>46591</v>
      </c>
    </row>
    <row r="14708" spans="1:24">
      <c r="A14708">
        <f>HYPERLINK("https://www.philgeps.gov.ph/GEPSNONPILOT/Tender/SplashBidNoticeAbstractUI.aspx?menuIndex=3&amp;refID=7031285&amp;Result=3","7031285")</f>
        <v>0</v>
      </c>
      <c r="B14708" t="s">
        <v>1055</v>
      </c>
      <c r="C14708" t="s">
        <v>17525</v>
      </c>
      <c r="D14708" t="s">
        <v>18784</v>
      </c>
      <c r="E14708" t="s">
        <v>31543</v>
      </c>
      <c r="F14708" t="s">
        <v>32664</v>
      </c>
      <c r="G14708" t="s">
        <v>32672</v>
      </c>
      <c r="H14708" t="s">
        <v>32683</v>
      </c>
      <c r="I14708" t="s">
        <v>10627</v>
      </c>
      <c r="J14708" t="s">
        <v>41528</v>
      </c>
      <c r="K14708" t="s">
        <v>42285</v>
      </c>
      <c r="M14708" t="s">
        <v>43998</v>
      </c>
      <c r="N14708" t="s">
        <v>46569</v>
      </c>
      <c r="O14708" t="s">
        <v>46570</v>
      </c>
      <c r="Q14708">
        <v>16</v>
      </c>
      <c r="R14708" t="s">
        <v>46590</v>
      </c>
      <c r="S14708" t="s">
        <v>47568</v>
      </c>
      <c r="T14708" t="s">
        <v>48258</v>
      </c>
      <c r="U14708" t="s">
        <v>60586</v>
      </c>
      <c r="V14708" t="s">
        <v>62093</v>
      </c>
      <c r="W14708" t="s">
        <v>43998</v>
      </c>
      <c r="X14708" t="s">
        <v>46591</v>
      </c>
    </row>
    <row r="14709" spans="1:24">
      <c r="A14709">
        <f>HYPERLINK("https://www.philgeps.gov.ph/GEPSNONPILOT/Tender/SplashBidNoticeAbstractUI.aspx?menuIndex=3&amp;refID=7030732&amp;Result=3","7030732")</f>
        <v>0</v>
      </c>
      <c r="B14709" t="s">
        <v>3431</v>
      </c>
      <c r="C14709" t="s">
        <v>17526</v>
      </c>
      <c r="D14709" t="s">
        <v>18831</v>
      </c>
      <c r="E14709" t="s">
        <v>31544</v>
      </c>
      <c r="F14709" t="s">
        <v>32664</v>
      </c>
      <c r="G14709" t="s">
        <v>32672</v>
      </c>
      <c r="H14709" t="s">
        <v>12635</v>
      </c>
      <c r="I14709" t="s">
        <v>32784</v>
      </c>
      <c r="J14709" t="s">
        <v>41529</v>
      </c>
      <c r="K14709" t="s">
        <v>42298</v>
      </c>
      <c r="M14709" t="s">
        <v>46415</v>
      </c>
      <c r="N14709" t="s">
        <v>46569</v>
      </c>
      <c r="O14709" t="s">
        <v>46570</v>
      </c>
      <c r="Q14709">
        <v>7</v>
      </c>
      <c r="R14709" t="s">
        <v>46590</v>
      </c>
      <c r="S14709" t="s">
        <v>47569</v>
      </c>
      <c r="T14709" t="s">
        <v>48253</v>
      </c>
      <c r="U14709" t="s">
        <v>60587</v>
      </c>
      <c r="W14709" t="s">
        <v>46415</v>
      </c>
      <c r="X14709" t="s">
        <v>46591</v>
      </c>
    </row>
    <row r="14710" spans="1:24">
      <c r="A14710">
        <f>HYPERLINK("https://www.philgeps.gov.ph/GEPSNONPILOT/Tender/SplashBidNoticeAbstractUI.aspx?menuIndex=3&amp;refID=7031374&amp;Result=3","7031374")</f>
        <v>0</v>
      </c>
      <c r="B14710" t="s">
        <v>146</v>
      </c>
      <c r="C14710" t="s">
        <v>17527</v>
      </c>
      <c r="D14710" t="s">
        <v>18826</v>
      </c>
      <c r="E14710" t="s">
        <v>31545</v>
      </c>
      <c r="F14710" t="s">
        <v>32664</v>
      </c>
      <c r="G14710" t="s">
        <v>32672</v>
      </c>
      <c r="H14710" t="s">
        <v>12635</v>
      </c>
      <c r="I14710" t="s">
        <v>32736</v>
      </c>
      <c r="J14710" t="s">
        <v>41530</v>
      </c>
      <c r="K14710" t="s">
        <v>42347</v>
      </c>
      <c r="M14710" t="s">
        <v>42710</v>
      </c>
      <c r="N14710" t="s">
        <v>46569</v>
      </c>
      <c r="O14710" t="s">
        <v>46570</v>
      </c>
      <c r="Q14710">
        <v>1</v>
      </c>
      <c r="R14710" t="s">
        <v>46590</v>
      </c>
      <c r="S14710" t="s">
        <v>47570</v>
      </c>
      <c r="T14710" t="s">
        <v>48244</v>
      </c>
      <c r="U14710" t="s">
        <v>60588</v>
      </c>
      <c r="W14710" t="s">
        <v>42710</v>
      </c>
      <c r="X14710" t="s">
        <v>46591</v>
      </c>
    </row>
    <row r="14711" spans="1:24">
      <c r="A14711">
        <f>HYPERLINK("https://www.philgeps.gov.ph/GEPSNONPILOT/Tender/SplashBidNoticeAbstractUI.aspx?menuIndex=3&amp;refID=7031354&amp;Result=3","7031354")</f>
        <v>0</v>
      </c>
      <c r="B14711" t="s">
        <v>146</v>
      </c>
      <c r="C14711" t="s">
        <v>17528</v>
      </c>
      <c r="D14711" t="s">
        <v>18826</v>
      </c>
      <c r="E14711" t="s">
        <v>31546</v>
      </c>
      <c r="F14711" t="s">
        <v>32664</v>
      </c>
      <c r="G14711" t="s">
        <v>32672</v>
      </c>
      <c r="H14711" t="s">
        <v>12635</v>
      </c>
      <c r="I14711" t="s">
        <v>7709</v>
      </c>
      <c r="J14711" t="s">
        <v>41531</v>
      </c>
      <c r="K14711" t="s">
        <v>42298</v>
      </c>
      <c r="M14711" t="s">
        <v>42710</v>
      </c>
      <c r="N14711" t="s">
        <v>46569</v>
      </c>
      <c r="O14711" t="s">
        <v>46570</v>
      </c>
      <c r="Q14711">
        <v>2</v>
      </c>
      <c r="R14711" t="s">
        <v>46590</v>
      </c>
      <c r="S14711" t="s">
        <v>47571</v>
      </c>
      <c r="T14711" t="s">
        <v>48244</v>
      </c>
      <c r="U14711" t="s">
        <v>60589</v>
      </c>
      <c r="W14711" t="s">
        <v>42710</v>
      </c>
      <c r="X14711" t="s">
        <v>46591</v>
      </c>
    </row>
    <row r="14712" spans="1:24">
      <c r="A14712">
        <f>HYPERLINK("https://www.philgeps.gov.ph/GEPSNONPILOT/Tender/SplashBidNoticeAbstractUI.aspx?menuIndex=3&amp;refID=7031695&amp;Result=3","7031695")</f>
        <v>0</v>
      </c>
      <c r="B14712" t="s">
        <v>1993</v>
      </c>
      <c r="C14712" t="s">
        <v>17529</v>
      </c>
      <c r="D14712" t="s">
        <v>18834</v>
      </c>
      <c r="E14712" t="s">
        <v>31547</v>
      </c>
      <c r="F14712" t="s">
        <v>32664</v>
      </c>
      <c r="G14712" t="s">
        <v>32678</v>
      </c>
      <c r="H14712" t="s">
        <v>32681</v>
      </c>
      <c r="I14712" t="s">
        <v>32785</v>
      </c>
      <c r="J14712" t="s">
        <v>41532</v>
      </c>
      <c r="K14712" t="s">
        <v>42290</v>
      </c>
      <c r="M14712" t="s">
        <v>44728</v>
      </c>
      <c r="N14712" t="s">
        <v>46569</v>
      </c>
      <c r="O14712" t="s">
        <v>46570</v>
      </c>
      <c r="Q14712">
        <v>5</v>
      </c>
      <c r="R14712" t="s">
        <v>46590</v>
      </c>
      <c r="S14712" t="s">
        <v>47572</v>
      </c>
      <c r="T14712" t="s">
        <v>48283</v>
      </c>
      <c r="U14712" t="s">
        <v>60590</v>
      </c>
      <c r="V14712" t="s">
        <v>63266</v>
      </c>
      <c r="W14712" t="s">
        <v>63567</v>
      </c>
      <c r="X14712" t="s">
        <v>46591</v>
      </c>
    </row>
    <row r="14713" spans="1:24">
      <c r="A14713">
        <f>HYPERLINK("https://www.philgeps.gov.ph/GEPSNONPILOT/Tender/SplashBidNoticeAbstractUI.aspx?menuIndex=3&amp;refID=7031730&amp;Result=3","7031730")</f>
        <v>0</v>
      </c>
      <c r="B14713" t="s">
        <v>1993</v>
      </c>
      <c r="C14713" t="s">
        <v>17530</v>
      </c>
      <c r="D14713" t="s">
        <v>18834</v>
      </c>
      <c r="E14713" t="s">
        <v>31548</v>
      </c>
      <c r="F14713" t="s">
        <v>32664</v>
      </c>
      <c r="G14713" t="s">
        <v>32678</v>
      </c>
      <c r="H14713" t="s">
        <v>32681</v>
      </c>
      <c r="I14713" t="s">
        <v>32785</v>
      </c>
      <c r="J14713" t="s">
        <v>41533</v>
      </c>
      <c r="K14713" t="s">
        <v>42369</v>
      </c>
      <c r="M14713" t="s">
        <v>44728</v>
      </c>
      <c r="N14713" t="s">
        <v>46569</v>
      </c>
      <c r="O14713" t="s">
        <v>46570</v>
      </c>
      <c r="Q14713">
        <v>5</v>
      </c>
      <c r="R14713" t="s">
        <v>46590</v>
      </c>
      <c r="S14713" t="s">
        <v>47573</v>
      </c>
      <c r="T14713" t="s">
        <v>48283</v>
      </c>
      <c r="U14713" t="s">
        <v>60591</v>
      </c>
      <c r="V14713" t="s">
        <v>63267</v>
      </c>
      <c r="W14713" t="s">
        <v>63567</v>
      </c>
      <c r="X14713" t="s">
        <v>46591</v>
      </c>
    </row>
    <row r="14714" spans="1:24">
      <c r="A14714">
        <f>HYPERLINK("https://www.philgeps.gov.ph/GEPSNONPILOT/Tender/SplashBidNoticeAbstractUI.aspx?menuIndex=3&amp;refID=7031724&amp;Result=3","7031724")</f>
        <v>0</v>
      </c>
      <c r="B14714" t="s">
        <v>3437</v>
      </c>
      <c r="C14714" t="s">
        <v>17531</v>
      </c>
      <c r="D14714" t="s">
        <v>18792</v>
      </c>
      <c r="E14714" t="s">
        <v>31549</v>
      </c>
      <c r="F14714" t="s">
        <v>32664</v>
      </c>
      <c r="G14714" t="s">
        <v>32672</v>
      </c>
      <c r="H14714" t="s">
        <v>12635</v>
      </c>
      <c r="I14714" t="s">
        <v>10370</v>
      </c>
      <c r="J14714" t="s">
        <v>41534</v>
      </c>
      <c r="K14714" t="s">
        <v>42281</v>
      </c>
      <c r="M14714" t="s">
        <v>46422</v>
      </c>
      <c r="N14714" t="s">
        <v>46569</v>
      </c>
      <c r="O14714" t="s">
        <v>46570</v>
      </c>
      <c r="P14714">
        <v>0</v>
      </c>
      <c r="Q14714">
        <v>6</v>
      </c>
      <c r="R14714" t="s">
        <v>46590</v>
      </c>
      <c r="S14714" t="s">
        <v>47546</v>
      </c>
      <c r="T14714" t="s">
        <v>48334</v>
      </c>
      <c r="U14714" t="s">
        <v>60592</v>
      </c>
      <c r="W14714" t="s">
        <v>46422</v>
      </c>
      <c r="X14714" t="s">
        <v>46591</v>
      </c>
    </row>
    <row r="14715" spans="1:24">
      <c r="A14715">
        <f>HYPERLINK("https://www.philgeps.gov.ph/GEPSNONPILOT/Tender/SplashBidNoticeAbstractUI.aspx?menuIndex=3&amp;refID=7031649&amp;Result=3","7031649")</f>
        <v>0</v>
      </c>
      <c r="B14715" t="s">
        <v>3437</v>
      </c>
      <c r="C14715" t="s">
        <v>17532</v>
      </c>
      <c r="D14715" t="s">
        <v>18792</v>
      </c>
      <c r="E14715" t="s">
        <v>31550</v>
      </c>
      <c r="F14715" t="s">
        <v>32664</v>
      </c>
      <c r="G14715" t="s">
        <v>32672</v>
      </c>
      <c r="H14715" t="s">
        <v>12635</v>
      </c>
      <c r="I14715" t="s">
        <v>10370</v>
      </c>
      <c r="J14715" t="s">
        <v>41535</v>
      </c>
      <c r="K14715" t="s">
        <v>42281</v>
      </c>
      <c r="M14715" t="s">
        <v>46422</v>
      </c>
      <c r="N14715" t="s">
        <v>46569</v>
      </c>
      <c r="O14715" t="s">
        <v>46570</v>
      </c>
      <c r="P14715">
        <v>0</v>
      </c>
      <c r="Q14715">
        <v>5</v>
      </c>
      <c r="R14715" t="s">
        <v>46590</v>
      </c>
      <c r="S14715" t="s">
        <v>47546</v>
      </c>
      <c r="T14715" t="s">
        <v>48330</v>
      </c>
      <c r="U14715" t="s">
        <v>60593</v>
      </c>
      <c r="W14715" t="s">
        <v>46422</v>
      </c>
      <c r="X14715" t="s">
        <v>46591</v>
      </c>
    </row>
    <row r="14716" spans="1:24">
      <c r="A14716">
        <f>HYPERLINK("https://www.philgeps.gov.ph/GEPSNONPILOT/Tender/SplashBidNoticeAbstractUI.aspx?menuIndex=3&amp;refID=7031623&amp;Result=3","7031623")</f>
        <v>0</v>
      </c>
      <c r="B14716" t="s">
        <v>3438</v>
      </c>
      <c r="C14716" t="s">
        <v>17533</v>
      </c>
      <c r="E14716" t="s">
        <v>18926</v>
      </c>
      <c r="F14716" t="s">
        <v>32664</v>
      </c>
      <c r="G14716" t="s">
        <v>32672</v>
      </c>
      <c r="H14716" t="s">
        <v>32683</v>
      </c>
      <c r="I14716" t="s">
        <v>10627</v>
      </c>
      <c r="J14716" t="s">
        <v>41536</v>
      </c>
      <c r="K14716" t="s">
        <v>42283</v>
      </c>
      <c r="M14716" t="s">
        <v>46423</v>
      </c>
      <c r="N14716" t="s">
        <v>46569</v>
      </c>
      <c r="O14716" t="s">
        <v>46570</v>
      </c>
      <c r="P14716">
        <v>0</v>
      </c>
      <c r="Q14716">
        <v>2</v>
      </c>
      <c r="R14716" t="s">
        <v>46590</v>
      </c>
      <c r="S14716" t="s">
        <v>47546</v>
      </c>
      <c r="T14716" t="s">
        <v>48258</v>
      </c>
      <c r="U14716" t="s">
        <v>60594</v>
      </c>
      <c r="W14716" t="s">
        <v>46423</v>
      </c>
      <c r="X14716" t="s">
        <v>46591</v>
      </c>
    </row>
    <row r="14717" spans="1:24">
      <c r="A14717">
        <f>HYPERLINK("https://www.philgeps.gov.ph/GEPSNONPILOT/Tender/SplashBidNoticeAbstractUI.aspx?menuIndex=3&amp;refID=7031324&amp;Result=3","7031324")</f>
        <v>0</v>
      </c>
      <c r="B14717" t="s">
        <v>2468</v>
      </c>
      <c r="C14717" t="s">
        <v>17534</v>
      </c>
      <c r="E14717" t="s">
        <v>31551</v>
      </c>
      <c r="F14717" t="s">
        <v>32664</v>
      </c>
      <c r="G14717" t="s">
        <v>32672</v>
      </c>
      <c r="H14717" t="s">
        <v>32683</v>
      </c>
      <c r="I14717" t="s">
        <v>10627</v>
      </c>
      <c r="J14717" t="s">
        <v>41537</v>
      </c>
      <c r="K14717" t="s">
        <v>42283</v>
      </c>
      <c r="M14717" t="s">
        <v>46205</v>
      </c>
      <c r="N14717" t="s">
        <v>46569</v>
      </c>
      <c r="O14717" t="s">
        <v>46570</v>
      </c>
      <c r="Q14717">
        <v>3</v>
      </c>
      <c r="R14717" t="s">
        <v>46590</v>
      </c>
      <c r="S14717" t="s">
        <v>47574</v>
      </c>
      <c r="T14717" t="s">
        <v>48308</v>
      </c>
      <c r="U14717" t="s">
        <v>60595</v>
      </c>
      <c r="W14717" t="s">
        <v>46205</v>
      </c>
      <c r="X14717" t="s">
        <v>46591</v>
      </c>
    </row>
    <row r="14718" spans="1:24">
      <c r="A14718">
        <f>HYPERLINK("https://www.philgeps.gov.ph/GEPSNONPILOT/Tender/SplashBidNoticeAbstractUI.aspx?menuIndex=3&amp;refID=7031611&amp;Result=3","7031611")</f>
        <v>0</v>
      </c>
      <c r="B14718" t="s">
        <v>907</v>
      </c>
      <c r="C14718" t="s">
        <v>17535</v>
      </c>
      <c r="D14718" t="s">
        <v>18860</v>
      </c>
      <c r="E14718" t="s">
        <v>31552</v>
      </c>
      <c r="F14718" t="s">
        <v>32664</v>
      </c>
      <c r="G14718" t="s">
        <v>32672</v>
      </c>
      <c r="H14718" t="s">
        <v>32683</v>
      </c>
      <c r="I14718" t="s">
        <v>10627</v>
      </c>
      <c r="J14718" t="s">
        <v>41538</v>
      </c>
      <c r="K14718" t="s">
        <v>42365</v>
      </c>
      <c r="M14718" t="s">
        <v>43513</v>
      </c>
      <c r="N14718" t="s">
        <v>46569</v>
      </c>
      <c r="O14718" t="s">
        <v>46570</v>
      </c>
      <c r="P14718">
        <v>0</v>
      </c>
      <c r="Q14718">
        <v>1</v>
      </c>
      <c r="R14718" t="s">
        <v>46590</v>
      </c>
      <c r="S14718" t="s">
        <v>47546</v>
      </c>
      <c r="T14718" t="s">
        <v>48301</v>
      </c>
      <c r="U14718" t="s">
        <v>60596</v>
      </c>
      <c r="W14718" t="s">
        <v>43513</v>
      </c>
      <c r="X14718" t="s">
        <v>46591</v>
      </c>
    </row>
    <row r="14719" spans="1:24">
      <c r="A14719">
        <f>HYPERLINK("https://www.philgeps.gov.ph/GEPSNONPILOT/Tender/SplashBidNoticeAbstractUI.aspx?menuIndex=3&amp;refID=7031297&amp;Result=3","7031297")</f>
        <v>0</v>
      </c>
      <c r="B14719" t="s">
        <v>2922</v>
      </c>
      <c r="C14719" t="s">
        <v>17536</v>
      </c>
      <c r="D14719" t="s">
        <v>18831</v>
      </c>
      <c r="E14719" t="s">
        <v>31553</v>
      </c>
      <c r="F14719" t="s">
        <v>32664</v>
      </c>
      <c r="G14719" t="s">
        <v>32672</v>
      </c>
      <c r="H14719" t="s">
        <v>12635</v>
      </c>
      <c r="I14719" t="s">
        <v>32721</v>
      </c>
      <c r="J14719" t="s">
        <v>41539</v>
      </c>
      <c r="K14719" t="s">
        <v>42308</v>
      </c>
      <c r="L14719" t="s">
        <v>2922</v>
      </c>
      <c r="M14719" t="s">
        <v>45775</v>
      </c>
      <c r="N14719" t="s">
        <v>46569</v>
      </c>
      <c r="O14719" t="s">
        <v>46570</v>
      </c>
      <c r="Q14719">
        <v>12</v>
      </c>
      <c r="R14719" t="s">
        <v>46590</v>
      </c>
      <c r="S14719" t="s">
        <v>47575</v>
      </c>
      <c r="T14719" t="s">
        <v>48221</v>
      </c>
      <c r="U14719" t="s">
        <v>60597</v>
      </c>
      <c r="W14719" t="s">
        <v>45775</v>
      </c>
      <c r="X14719" t="s">
        <v>46591</v>
      </c>
    </row>
    <row r="14720" spans="1:24">
      <c r="A14720">
        <f>HYPERLINK("https://www.philgeps.gov.ph/GEPSNONPILOT/Tender/SplashBidNoticeAbstractUI.aspx?menuIndex=3&amp;refID=7031597&amp;Result=3","7031597")</f>
        <v>0</v>
      </c>
      <c r="B14720" t="s">
        <v>848</v>
      </c>
      <c r="C14720" t="s">
        <v>17537</v>
      </c>
      <c r="D14720" t="s">
        <v>18791</v>
      </c>
      <c r="E14720" t="s">
        <v>31554</v>
      </c>
      <c r="F14720" t="s">
        <v>32664</v>
      </c>
      <c r="G14720" t="s">
        <v>32672</v>
      </c>
      <c r="H14720" t="s">
        <v>12635</v>
      </c>
      <c r="I14720" t="s">
        <v>5589</v>
      </c>
      <c r="J14720" t="s">
        <v>41540</v>
      </c>
      <c r="K14720" t="s">
        <v>42311</v>
      </c>
      <c r="M14720" t="s">
        <v>43444</v>
      </c>
      <c r="N14720" t="s">
        <v>46569</v>
      </c>
      <c r="O14720" t="s">
        <v>46570</v>
      </c>
      <c r="P14720">
        <v>0</v>
      </c>
      <c r="Q14720">
        <v>8</v>
      </c>
      <c r="R14720" t="s">
        <v>46590</v>
      </c>
      <c r="S14720" t="s">
        <v>47546</v>
      </c>
      <c r="T14720" t="s">
        <v>48283</v>
      </c>
      <c r="U14720" t="s">
        <v>50421</v>
      </c>
      <c r="W14720" t="s">
        <v>43444</v>
      </c>
      <c r="X14720" t="s">
        <v>46591</v>
      </c>
    </row>
    <row r="14721" spans="1:24">
      <c r="A14721">
        <f>HYPERLINK("https://www.philgeps.gov.ph/GEPSNONPILOT/Tender/SplashBidNoticeAbstractUI.aspx?menuIndex=3&amp;refID=7031636&amp;Result=3","7031636")</f>
        <v>0</v>
      </c>
      <c r="B14721" t="s">
        <v>902</v>
      </c>
      <c r="C14721" t="s">
        <v>17538</v>
      </c>
      <c r="D14721" t="s">
        <v>18785</v>
      </c>
      <c r="E14721" t="s">
        <v>31555</v>
      </c>
      <c r="F14721" t="s">
        <v>32664</v>
      </c>
      <c r="G14721" t="s">
        <v>32672</v>
      </c>
      <c r="H14721" t="s">
        <v>32682</v>
      </c>
      <c r="I14721" t="s">
        <v>10361</v>
      </c>
      <c r="J14721" t="s">
        <v>41541</v>
      </c>
      <c r="K14721" t="s">
        <v>42334</v>
      </c>
      <c r="M14721" t="s">
        <v>43506</v>
      </c>
      <c r="N14721" t="s">
        <v>46569</v>
      </c>
      <c r="O14721" t="s">
        <v>46570</v>
      </c>
      <c r="P14721">
        <v>0</v>
      </c>
      <c r="Q14721">
        <v>2</v>
      </c>
      <c r="R14721" t="s">
        <v>46590</v>
      </c>
      <c r="S14721" t="s">
        <v>47546</v>
      </c>
      <c r="T14721" t="s">
        <v>48287</v>
      </c>
      <c r="U14721" t="s">
        <v>60598</v>
      </c>
      <c r="W14721" t="s">
        <v>63494</v>
      </c>
      <c r="X14721" t="s">
        <v>46591</v>
      </c>
    </row>
    <row r="14722" spans="1:24">
      <c r="A14722">
        <f>HYPERLINK("https://www.philgeps.gov.ph/GEPSNONPILOT/Tender/SplashBidNoticeAbstractUI.aspx?menuIndex=3&amp;refID=7031615&amp;Result=3","7031615")</f>
        <v>0</v>
      </c>
      <c r="B14722" t="s">
        <v>1455</v>
      </c>
      <c r="C14722" t="s">
        <v>17539</v>
      </c>
      <c r="D14722" t="s">
        <v>18792</v>
      </c>
      <c r="E14722" t="s">
        <v>19634</v>
      </c>
      <c r="F14722" t="s">
        <v>32664</v>
      </c>
      <c r="G14722" t="s">
        <v>32672</v>
      </c>
      <c r="H14722" t="s">
        <v>12635</v>
      </c>
      <c r="I14722" t="s">
        <v>4439</v>
      </c>
      <c r="J14722" t="s">
        <v>41542</v>
      </c>
      <c r="K14722" t="s">
        <v>42281</v>
      </c>
      <c r="M14722" t="s">
        <v>44116</v>
      </c>
      <c r="N14722" t="s">
        <v>46569</v>
      </c>
      <c r="O14722" t="s">
        <v>46570</v>
      </c>
      <c r="P14722">
        <v>0</v>
      </c>
      <c r="Q14722">
        <v>0</v>
      </c>
      <c r="R14722" t="s">
        <v>46590</v>
      </c>
      <c r="S14722" t="s">
        <v>47546</v>
      </c>
      <c r="T14722" t="s">
        <v>48376</v>
      </c>
      <c r="U14722" t="s">
        <v>60599</v>
      </c>
      <c r="W14722" t="s">
        <v>44116</v>
      </c>
      <c r="X14722" t="s">
        <v>46591</v>
      </c>
    </row>
    <row r="14723" spans="1:24">
      <c r="A14723">
        <f>HYPERLINK("https://www.philgeps.gov.ph/GEPSNONPILOT/Tender/SplashBidNoticeAbstractUI.aspx?menuIndex=3&amp;refID=7031385&amp;Result=3","7031385")</f>
        <v>0</v>
      </c>
      <c r="B14723" t="s">
        <v>2088</v>
      </c>
      <c r="C14723" t="s">
        <v>17540</v>
      </c>
      <c r="D14723" t="s">
        <v>18792</v>
      </c>
      <c r="E14723" t="s">
        <v>31556</v>
      </c>
      <c r="F14723" t="s">
        <v>32664</v>
      </c>
      <c r="G14723" t="s">
        <v>32672</v>
      </c>
      <c r="H14723" t="s">
        <v>12635</v>
      </c>
      <c r="I14723" t="s">
        <v>32704</v>
      </c>
      <c r="J14723" t="s">
        <v>41543</v>
      </c>
      <c r="K14723" t="s">
        <v>42281</v>
      </c>
      <c r="M14723" t="s">
        <v>44842</v>
      </c>
      <c r="N14723" t="s">
        <v>46569</v>
      </c>
      <c r="O14723" t="s">
        <v>46570</v>
      </c>
      <c r="P14723">
        <v>0</v>
      </c>
      <c r="Q14723">
        <v>13</v>
      </c>
      <c r="R14723" t="s">
        <v>46590</v>
      </c>
      <c r="S14723" t="s">
        <v>47546</v>
      </c>
      <c r="T14723" t="s">
        <v>48293</v>
      </c>
      <c r="U14723" t="s">
        <v>54182</v>
      </c>
      <c r="W14723" t="s">
        <v>44842</v>
      </c>
      <c r="X14723" t="s">
        <v>46591</v>
      </c>
    </row>
    <row r="14724" spans="1:24">
      <c r="A14724">
        <f>HYPERLINK("https://www.philgeps.gov.ph/GEPSNONPILOT/Tender/SplashBidNoticeAbstractUI.aspx?menuIndex=3&amp;refID=7031858&amp;Result=3","7031858")</f>
        <v>0</v>
      </c>
      <c r="B14724" t="s">
        <v>2045</v>
      </c>
      <c r="C14724" t="s">
        <v>17541</v>
      </c>
      <c r="D14724" t="s">
        <v>18818</v>
      </c>
      <c r="E14724" t="s">
        <v>31557</v>
      </c>
      <c r="F14724" t="s">
        <v>32664</v>
      </c>
      <c r="G14724" t="s">
        <v>32672</v>
      </c>
      <c r="H14724" t="s">
        <v>12635</v>
      </c>
      <c r="I14724" t="s">
        <v>9486</v>
      </c>
      <c r="J14724" t="s">
        <v>32962</v>
      </c>
      <c r="K14724" t="s">
        <v>42281</v>
      </c>
      <c r="M14724" t="s">
        <v>44792</v>
      </c>
      <c r="N14724" t="s">
        <v>46569</v>
      </c>
      <c r="O14724" t="s">
        <v>46570</v>
      </c>
      <c r="Q14724">
        <v>4</v>
      </c>
      <c r="R14724" t="s">
        <v>46590</v>
      </c>
      <c r="S14724" t="s">
        <v>47576</v>
      </c>
      <c r="T14724" t="s">
        <v>48285</v>
      </c>
      <c r="U14724" t="s">
        <v>60600</v>
      </c>
      <c r="W14724" t="s">
        <v>44792</v>
      </c>
      <c r="X14724" t="s">
        <v>46591</v>
      </c>
    </row>
    <row r="14725" spans="1:24">
      <c r="A14725">
        <f>HYPERLINK("https://www.philgeps.gov.ph/GEPSNONPILOT/Tender/SplashBidNoticeAbstractUI.aspx?menuIndex=3&amp;refID=7031856&amp;Result=3","7031856")</f>
        <v>0</v>
      </c>
      <c r="B14725" t="s">
        <v>2573</v>
      </c>
      <c r="C14725" t="s">
        <v>17542</v>
      </c>
      <c r="E14725" t="s">
        <v>31558</v>
      </c>
      <c r="F14725" t="s">
        <v>32664</v>
      </c>
      <c r="G14725" t="s">
        <v>32672</v>
      </c>
      <c r="H14725" t="s">
        <v>32683</v>
      </c>
      <c r="I14725" t="s">
        <v>10627</v>
      </c>
      <c r="J14725" t="s">
        <v>41544</v>
      </c>
      <c r="K14725" t="s">
        <v>42283</v>
      </c>
      <c r="M14725" t="s">
        <v>46424</v>
      </c>
      <c r="N14725" t="s">
        <v>46569</v>
      </c>
      <c r="O14725" t="s">
        <v>46570</v>
      </c>
      <c r="P14725">
        <v>0</v>
      </c>
      <c r="Q14725">
        <v>5</v>
      </c>
      <c r="R14725" t="s">
        <v>46590</v>
      </c>
      <c r="S14725" t="s">
        <v>47546</v>
      </c>
      <c r="T14725" t="s">
        <v>48221</v>
      </c>
      <c r="U14725" t="s">
        <v>60601</v>
      </c>
      <c r="W14725" t="s">
        <v>46424</v>
      </c>
      <c r="X14725" t="s">
        <v>46591</v>
      </c>
    </row>
    <row r="14726" spans="1:24">
      <c r="A14726">
        <f>HYPERLINK("https://www.philgeps.gov.ph/GEPSNONPILOT/Tender/SplashBidNoticeAbstractUI.aspx?menuIndex=3&amp;refID=7031850&amp;Result=3","7031850")</f>
        <v>0</v>
      </c>
      <c r="B14726" t="s">
        <v>2573</v>
      </c>
      <c r="C14726" t="s">
        <v>17543</v>
      </c>
      <c r="E14726" t="s">
        <v>31559</v>
      </c>
      <c r="F14726" t="s">
        <v>32664</v>
      </c>
      <c r="G14726" t="s">
        <v>32672</v>
      </c>
      <c r="H14726" t="s">
        <v>12635</v>
      </c>
      <c r="I14726" t="s">
        <v>32696</v>
      </c>
      <c r="J14726" t="s">
        <v>41129</v>
      </c>
      <c r="K14726" t="s">
        <v>42283</v>
      </c>
      <c r="M14726" t="s">
        <v>46424</v>
      </c>
      <c r="N14726" t="s">
        <v>46569</v>
      </c>
      <c r="O14726" t="s">
        <v>46570</v>
      </c>
      <c r="P14726">
        <v>0</v>
      </c>
      <c r="Q14726">
        <v>2</v>
      </c>
      <c r="R14726" t="s">
        <v>46590</v>
      </c>
      <c r="S14726" t="s">
        <v>47546</v>
      </c>
      <c r="T14726" t="s">
        <v>48221</v>
      </c>
      <c r="U14726" t="s">
        <v>60602</v>
      </c>
      <c r="W14726" t="s">
        <v>46424</v>
      </c>
      <c r="X14726" t="s">
        <v>46591</v>
      </c>
    </row>
    <row r="14727" spans="1:24">
      <c r="A14727">
        <f>HYPERLINK("https://www.philgeps.gov.ph/GEPSNONPILOT/Tender/SplashBidNoticeAbstractUI.aspx?menuIndex=3&amp;refID=7031676&amp;Result=3","7031676")</f>
        <v>0</v>
      </c>
      <c r="B14727" t="s">
        <v>3400</v>
      </c>
      <c r="C14727" t="s">
        <v>17544</v>
      </c>
      <c r="D14727" t="s">
        <v>18853</v>
      </c>
      <c r="E14727" t="s">
        <v>31560</v>
      </c>
      <c r="F14727" t="s">
        <v>32664</v>
      </c>
      <c r="G14727" t="s">
        <v>32672</v>
      </c>
      <c r="H14727" t="s">
        <v>32683</v>
      </c>
      <c r="I14727" t="s">
        <v>10627</v>
      </c>
      <c r="J14727" t="s">
        <v>34213</v>
      </c>
      <c r="K14727" t="s">
        <v>42298</v>
      </c>
      <c r="M14727" t="s">
        <v>46369</v>
      </c>
      <c r="N14727" t="s">
        <v>46569</v>
      </c>
      <c r="O14727" t="s">
        <v>46570</v>
      </c>
      <c r="Q14727">
        <v>0</v>
      </c>
      <c r="R14727" t="s">
        <v>46590</v>
      </c>
      <c r="S14727" t="s">
        <v>47577</v>
      </c>
      <c r="T14727" t="s">
        <v>48448</v>
      </c>
      <c r="U14727" t="s">
        <v>60603</v>
      </c>
      <c r="V14727" t="s">
        <v>63251</v>
      </c>
      <c r="W14727" t="s">
        <v>46369</v>
      </c>
      <c r="X14727" t="s">
        <v>46591</v>
      </c>
    </row>
    <row r="14728" spans="1:24">
      <c r="A14728">
        <f>HYPERLINK("https://www.philgeps.gov.ph/GEPSNONPILOT/Tender/SplashBidNoticeAbstractUI.aspx?menuIndex=3&amp;refID=7031846&amp;Result=3","7031846")</f>
        <v>0</v>
      </c>
      <c r="B14728" t="s">
        <v>2573</v>
      </c>
      <c r="C14728" t="s">
        <v>17545</v>
      </c>
      <c r="E14728" t="s">
        <v>31561</v>
      </c>
      <c r="F14728" t="s">
        <v>32664</v>
      </c>
      <c r="G14728" t="s">
        <v>32672</v>
      </c>
      <c r="H14728" t="s">
        <v>12635</v>
      </c>
      <c r="I14728" t="s">
        <v>32696</v>
      </c>
      <c r="J14728" t="s">
        <v>39468</v>
      </c>
      <c r="K14728" t="s">
        <v>42283</v>
      </c>
      <c r="M14728" t="s">
        <v>46424</v>
      </c>
      <c r="N14728" t="s">
        <v>46569</v>
      </c>
      <c r="O14728" t="s">
        <v>46570</v>
      </c>
      <c r="Q14728">
        <v>2</v>
      </c>
      <c r="R14728" t="s">
        <v>46590</v>
      </c>
      <c r="S14728" t="s">
        <v>47578</v>
      </c>
      <c r="T14728" t="s">
        <v>48221</v>
      </c>
      <c r="U14728" t="s">
        <v>60604</v>
      </c>
      <c r="W14728" t="s">
        <v>46424</v>
      </c>
      <c r="X14728" t="s">
        <v>46591</v>
      </c>
    </row>
    <row r="14729" spans="1:24">
      <c r="A14729">
        <f>HYPERLINK("https://www.philgeps.gov.ph/GEPSNONPILOT/Tender/SplashBidNoticeAbstractUI.aspx?menuIndex=3&amp;refID=7031720&amp;Result=3","7031720")</f>
        <v>0</v>
      </c>
      <c r="B14729" t="s">
        <v>902</v>
      </c>
      <c r="C14729" t="s">
        <v>17546</v>
      </c>
      <c r="D14729" t="s">
        <v>18785</v>
      </c>
      <c r="E14729" t="s">
        <v>31562</v>
      </c>
      <c r="F14729" t="s">
        <v>32664</v>
      </c>
      <c r="G14729" t="s">
        <v>32672</v>
      </c>
      <c r="H14729" t="s">
        <v>32682</v>
      </c>
      <c r="I14729" t="s">
        <v>32740</v>
      </c>
      <c r="J14729" t="s">
        <v>41545</v>
      </c>
      <c r="K14729" t="s">
        <v>42382</v>
      </c>
      <c r="M14729" t="s">
        <v>43506</v>
      </c>
      <c r="N14729" t="s">
        <v>46569</v>
      </c>
      <c r="O14729" t="s">
        <v>46570</v>
      </c>
      <c r="P14729">
        <v>0</v>
      </c>
      <c r="Q14729">
        <v>3</v>
      </c>
      <c r="R14729" t="s">
        <v>46590</v>
      </c>
      <c r="S14729" t="s">
        <v>47546</v>
      </c>
      <c r="T14729" t="s">
        <v>48287</v>
      </c>
      <c r="U14729" t="s">
        <v>60605</v>
      </c>
      <c r="W14729" t="s">
        <v>63494</v>
      </c>
      <c r="X14729" t="s">
        <v>46591</v>
      </c>
    </row>
    <row r="14730" spans="1:24">
      <c r="A14730">
        <f>HYPERLINK("https://www.philgeps.gov.ph/GEPSNONPILOT/Tender/SplashBidNoticeAbstractUI.aspx?menuIndex=3&amp;refID=7031857&amp;Result=3","7031857")</f>
        <v>0</v>
      </c>
      <c r="B14730" t="s">
        <v>2045</v>
      </c>
      <c r="C14730" t="s">
        <v>17547</v>
      </c>
      <c r="D14730" t="s">
        <v>18818</v>
      </c>
      <c r="E14730" t="s">
        <v>31563</v>
      </c>
      <c r="F14730" t="s">
        <v>32664</v>
      </c>
      <c r="G14730" t="s">
        <v>32672</v>
      </c>
      <c r="H14730" t="s">
        <v>12635</v>
      </c>
      <c r="I14730" t="s">
        <v>9486</v>
      </c>
      <c r="J14730" t="s">
        <v>36512</v>
      </c>
      <c r="K14730" t="s">
        <v>42281</v>
      </c>
      <c r="M14730" t="s">
        <v>44792</v>
      </c>
      <c r="N14730" t="s">
        <v>46569</v>
      </c>
      <c r="O14730" t="s">
        <v>46570</v>
      </c>
      <c r="Q14730">
        <v>5</v>
      </c>
      <c r="R14730" t="s">
        <v>46590</v>
      </c>
      <c r="S14730" t="s">
        <v>47579</v>
      </c>
      <c r="T14730" t="s">
        <v>48285</v>
      </c>
      <c r="U14730" t="s">
        <v>60606</v>
      </c>
      <c r="W14730" t="s">
        <v>44792</v>
      </c>
      <c r="X14730" t="s">
        <v>46591</v>
      </c>
    </row>
    <row r="14731" spans="1:24">
      <c r="A14731">
        <f>HYPERLINK("https://www.philgeps.gov.ph/GEPSNONPILOT/Tender/SplashBidNoticeAbstractUI.aspx?menuIndex=3&amp;refID=7031820&amp;Result=3","7031820")</f>
        <v>0</v>
      </c>
      <c r="B14731" t="s">
        <v>3301</v>
      </c>
      <c r="C14731" t="s">
        <v>17548</v>
      </c>
      <c r="D14731" t="s">
        <v>18850</v>
      </c>
      <c r="E14731" t="s">
        <v>31564</v>
      </c>
      <c r="F14731" t="s">
        <v>32664</v>
      </c>
      <c r="G14731" t="s">
        <v>32672</v>
      </c>
      <c r="H14731" t="s">
        <v>32682</v>
      </c>
      <c r="I14731" t="s">
        <v>32750</v>
      </c>
      <c r="J14731" t="s">
        <v>41546</v>
      </c>
      <c r="K14731" t="s">
        <v>42290</v>
      </c>
      <c r="M14731" t="s">
        <v>46246</v>
      </c>
      <c r="N14731" t="s">
        <v>46569</v>
      </c>
      <c r="O14731" t="s">
        <v>46570</v>
      </c>
      <c r="Q14731">
        <v>11</v>
      </c>
      <c r="R14731" t="s">
        <v>46590</v>
      </c>
      <c r="S14731" t="s">
        <v>47580</v>
      </c>
      <c r="T14731" t="s">
        <v>48743</v>
      </c>
      <c r="U14731" t="s">
        <v>60607</v>
      </c>
      <c r="W14731" t="s">
        <v>46246</v>
      </c>
      <c r="X14731" t="s">
        <v>46591</v>
      </c>
    </row>
    <row r="14732" spans="1:24">
      <c r="A14732">
        <f>HYPERLINK("https://www.philgeps.gov.ph/GEPSNONPILOT/Tender/SplashBidNoticeAbstractUI.aspx?menuIndex=3&amp;refID=7031384&amp;Result=3","7031384")</f>
        <v>0</v>
      </c>
      <c r="B14732" t="s">
        <v>3397</v>
      </c>
      <c r="C14732" t="s">
        <v>17549</v>
      </c>
      <c r="D14732" t="s">
        <v>18797</v>
      </c>
      <c r="E14732" t="s">
        <v>31565</v>
      </c>
      <c r="F14732" t="s">
        <v>32664</v>
      </c>
      <c r="G14732" t="s">
        <v>32672</v>
      </c>
      <c r="H14732" t="s">
        <v>32683</v>
      </c>
      <c r="I14732" t="s">
        <v>10627</v>
      </c>
      <c r="J14732" t="s">
        <v>41547</v>
      </c>
      <c r="K14732" t="s">
        <v>42298</v>
      </c>
      <c r="L14732" t="s">
        <v>3397</v>
      </c>
      <c r="M14732" t="s">
        <v>46364</v>
      </c>
      <c r="N14732" t="s">
        <v>46569</v>
      </c>
      <c r="O14732" t="s">
        <v>46570</v>
      </c>
      <c r="P14732">
        <v>0</v>
      </c>
      <c r="Q14732">
        <v>18</v>
      </c>
      <c r="R14732" t="s">
        <v>46590</v>
      </c>
      <c r="S14732" t="s">
        <v>47546</v>
      </c>
      <c r="T14732" t="s">
        <v>48268</v>
      </c>
      <c r="U14732" t="s">
        <v>60608</v>
      </c>
      <c r="W14732" t="s">
        <v>46364</v>
      </c>
      <c r="X14732" t="s">
        <v>46591</v>
      </c>
    </row>
    <row r="14733" spans="1:24">
      <c r="A14733">
        <f>HYPERLINK("https://www.philgeps.gov.ph/GEPSNONPILOT/Tender/SplashBidNoticeAbstractUI.aspx?menuIndex=3&amp;refID=7031782&amp;Result=3","7031782")</f>
        <v>0</v>
      </c>
      <c r="B14733" t="s">
        <v>1054</v>
      </c>
      <c r="C14733" t="s">
        <v>17550</v>
      </c>
      <c r="D14733" t="s">
        <v>18814</v>
      </c>
      <c r="E14733" t="s">
        <v>31566</v>
      </c>
      <c r="F14733" t="s">
        <v>32664</v>
      </c>
      <c r="G14733" t="s">
        <v>32672</v>
      </c>
      <c r="H14733" t="s">
        <v>12635</v>
      </c>
      <c r="I14733" t="s">
        <v>32765</v>
      </c>
      <c r="J14733" t="s">
        <v>41548</v>
      </c>
      <c r="K14733" t="s">
        <v>42290</v>
      </c>
      <c r="M14733" t="s">
        <v>43672</v>
      </c>
      <c r="N14733" t="s">
        <v>46569</v>
      </c>
      <c r="O14733" t="s">
        <v>46570</v>
      </c>
      <c r="Q14733">
        <v>13</v>
      </c>
      <c r="R14733" t="s">
        <v>46590</v>
      </c>
      <c r="S14733" t="s">
        <v>47079</v>
      </c>
      <c r="T14733" t="s">
        <v>48221</v>
      </c>
      <c r="U14733" t="s">
        <v>60609</v>
      </c>
      <c r="W14733" t="s">
        <v>43672</v>
      </c>
      <c r="X14733" t="s">
        <v>46591</v>
      </c>
    </row>
    <row r="14734" spans="1:24">
      <c r="A14734">
        <f>HYPERLINK("https://www.philgeps.gov.ph/GEPSNONPILOT/Tender/SplashBidNoticeAbstractUI.aspx?menuIndex=3&amp;refID=7031808&amp;Result=3","7031808")</f>
        <v>0</v>
      </c>
      <c r="B14734" t="s">
        <v>3439</v>
      </c>
      <c r="C14734" t="s">
        <v>17551</v>
      </c>
      <c r="D14734" t="s">
        <v>18842</v>
      </c>
      <c r="E14734" t="s">
        <v>19312</v>
      </c>
      <c r="F14734" t="s">
        <v>32664</v>
      </c>
      <c r="G14734" t="s">
        <v>32672</v>
      </c>
      <c r="H14734" t="s">
        <v>12635</v>
      </c>
      <c r="I14734" t="s">
        <v>6168</v>
      </c>
      <c r="J14734" t="s">
        <v>41494</v>
      </c>
      <c r="K14734" t="s">
        <v>42281</v>
      </c>
      <c r="M14734" t="s">
        <v>46425</v>
      </c>
      <c r="N14734" t="s">
        <v>46569</v>
      </c>
      <c r="O14734" t="s">
        <v>46570</v>
      </c>
      <c r="Q14734">
        <v>6</v>
      </c>
      <c r="R14734" t="s">
        <v>46590</v>
      </c>
      <c r="S14734" t="s">
        <v>47581</v>
      </c>
      <c r="T14734" t="s">
        <v>48244</v>
      </c>
      <c r="U14734" t="s">
        <v>60610</v>
      </c>
      <c r="W14734" t="s">
        <v>46425</v>
      </c>
      <c r="X14734" t="s">
        <v>46591</v>
      </c>
    </row>
    <row r="14735" spans="1:24">
      <c r="A14735">
        <f>HYPERLINK("https://www.philgeps.gov.ph/GEPSNONPILOT/Tender/SplashBidNoticeAbstractUI.aspx?menuIndex=3&amp;refID=7031774&amp;Result=3","7031774")</f>
        <v>0</v>
      </c>
      <c r="B14735" t="s">
        <v>1054</v>
      </c>
      <c r="C14735" t="s">
        <v>17552</v>
      </c>
      <c r="D14735" t="s">
        <v>18814</v>
      </c>
      <c r="E14735" t="s">
        <v>31567</v>
      </c>
      <c r="F14735" t="s">
        <v>32664</v>
      </c>
      <c r="G14735" t="s">
        <v>32672</v>
      </c>
      <c r="H14735" t="s">
        <v>12635</v>
      </c>
      <c r="I14735" t="s">
        <v>32727</v>
      </c>
      <c r="J14735" t="s">
        <v>41549</v>
      </c>
      <c r="K14735" t="s">
        <v>42281</v>
      </c>
      <c r="M14735" t="s">
        <v>43672</v>
      </c>
      <c r="N14735" t="s">
        <v>46569</v>
      </c>
      <c r="O14735" t="s">
        <v>46570</v>
      </c>
      <c r="Q14735">
        <v>10</v>
      </c>
      <c r="R14735" t="s">
        <v>46590</v>
      </c>
      <c r="S14735" t="s">
        <v>46834</v>
      </c>
      <c r="T14735" t="s">
        <v>48298</v>
      </c>
      <c r="U14735" t="s">
        <v>60611</v>
      </c>
      <c r="W14735" t="s">
        <v>43672</v>
      </c>
      <c r="X14735" t="s">
        <v>46591</v>
      </c>
    </row>
    <row r="14736" spans="1:24">
      <c r="A14736">
        <f>HYPERLINK("https://www.philgeps.gov.ph/GEPSNONPILOT/Tender/SplashBidNoticeAbstractUI.aspx?menuIndex=3&amp;refID=7031769&amp;Result=3","7031769")</f>
        <v>0</v>
      </c>
      <c r="B14736" t="s">
        <v>2114</v>
      </c>
      <c r="C14736" t="s">
        <v>17553</v>
      </c>
      <c r="D14736" t="s">
        <v>18857</v>
      </c>
      <c r="E14736" t="s">
        <v>31568</v>
      </c>
      <c r="F14736" t="s">
        <v>32664</v>
      </c>
      <c r="G14736" t="s">
        <v>32672</v>
      </c>
      <c r="H14736" t="s">
        <v>32683</v>
      </c>
      <c r="I14736" t="s">
        <v>10627</v>
      </c>
      <c r="J14736" t="s">
        <v>41550</v>
      </c>
      <c r="K14736" t="s">
        <v>42369</v>
      </c>
      <c r="L14736" t="s">
        <v>2114</v>
      </c>
      <c r="M14736" t="s">
        <v>44869</v>
      </c>
      <c r="N14736" t="s">
        <v>46569</v>
      </c>
      <c r="O14736" t="s">
        <v>46570</v>
      </c>
      <c r="P14736">
        <v>0</v>
      </c>
      <c r="Q14736">
        <v>6</v>
      </c>
      <c r="R14736" t="s">
        <v>46590</v>
      </c>
      <c r="S14736" t="s">
        <v>47546</v>
      </c>
      <c r="T14736" t="s">
        <v>48411</v>
      </c>
      <c r="U14736" t="s">
        <v>60612</v>
      </c>
      <c r="W14736" t="s">
        <v>44869</v>
      </c>
      <c r="X14736" t="s">
        <v>46591</v>
      </c>
    </row>
    <row r="14737" spans="1:24">
      <c r="A14737">
        <f>HYPERLINK("https://www.philgeps.gov.ph/GEPSNONPILOT/Tender/SplashBidNoticeAbstractUI.aspx?menuIndex=3&amp;refID=7031798&amp;Result=3","7031798")</f>
        <v>0</v>
      </c>
      <c r="B14737" t="s">
        <v>3435</v>
      </c>
      <c r="C14737" t="s">
        <v>17554</v>
      </c>
      <c r="D14737" t="s">
        <v>18782</v>
      </c>
      <c r="E14737" t="s">
        <v>31569</v>
      </c>
      <c r="F14737" t="s">
        <v>32664</v>
      </c>
      <c r="G14737" t="s">
        <v>32672</v>
      </c>
      <c r="H14737" t="s">
        <v>32683</v>
      </c>
      <c r="I14737" t="s">
        <v>10627</v>
      </c>
      <c r="J14737" t="s">
        <v>41551</v>
      </c>
      <c r="K14737" t="s">
        <v>42285</v>
      </c>
      <c r="M14737" t="s">
        <v>46419</v>
      </c>
      <c r="N14737" t="s">
        <v>46569</v>
      </c>
      <c r="O14737" t="s">
        <v>46570</v>
      </c>
      <c r="P14737">
        <v>0</v>
      </c>
      <c r="Q14737">
        <v>2</v>
      </c>
      <c r="R14737" t="s">
        <v>46590</v>
      </c>
      <c r="S14737" t="s">
        <v>47546</v>
      </c>
      <c r="T14737" t="s">
        <v>48293</v>
      </c>
      <c r="U14737" t="s">
        <v>60613</v>
      </c>
      <c r="V14737" t="s">
        <v>63262</v>
      </c>
      <c r="W14737" t="s">
        <v>46419</v>
      </c>
      <c r="X14737" t="s">
        <v>46591</v>
      </c>
    </row>
    <row r="14738" spans="1:24">
      <c r="A14738">
        <f>HYPERLINK("https://www.philgeps.gov.ph/GEPSNONPILOT/Tender/SplashBidNoticeAbstractUI.aspx?menuIndex=3&amp;refID=7031748&amp;Result=3","7031748")</f>
        <v>0</v>
      </c>
      <c r="B14738" t="s">
        <v>3401</v>
      </c>
      <c r="C14738" t="s">
        <v>17555</v>
      </c>
      <c r="D14738" t="s">
        <v>18804</v>
      </c>
      <c r="E14738" t="s">
        <v>31570</v>
      </c>
      <c r="F14738" t="s">
        <v>32664</v>
      </c>
      <c r="G14738" t="s">
        <v>32672</v>
      </c>
      <c r="H14738" t="s">
        <v>32682</v>
      </c>
      <c r="I14738" t="s">
        <v>10590</v>
      </c>
      <c r="J14738" t="s">
        <v>41552</v>
      </c>
      <c r="K14738" t="s">
        <v>42281</v>
      </c>
      <c r="M14738" t="s">
        <v>46370</v>
      </c>
      <c r="N14738" t="s">
        <v>46569</v>
      </c>
      <c r="O14738" t="s">
        <v>46570</v>
      </c>
      <c r="Q14738">
        <v>5</v>
      </c>
      <c r="R14738" t="s">
        <v>46590</v>
      </c>
      <c r="S14738" t="s">
        <v>47582</v>
      </c>
      <c r="T14738" t="s">
        <v>48225</v>
      </c>
      <c r="U14738" t="s">
        <v>60614</v>
      </c>
      <c r="W14738" t="s">
        <v>46370</v>
      </c>
      <c r="X14738" t="s">
        <v>46591</v>
      </c>
    </row>
    <row r="14739" spans="1:24">
      <c r="A14739">
        <f>HYPERLINK("https://www.philgeps.gov.ph/GEPSNONPILOT/Tender/SplashBidNoticeAbstractUI.aspx?menuIndex=3&amp;refID=7031826&amp;Result=3","7031826")</f>
        <v>0</v>
      </c>
      <c r="B14739" t="s">
        <v>3439</v>
      </c>
      <c r="C14739" t="s">
        <v>16847</v>
      </c>
      <c r="D14739" t="s">
        <v>18842</v>
      </c>
      <c r="E14739" t="s">
        <v>19110</v>
      </c>
      <c r="F14739" t="s">
        <v>32664</v>
      </c>
      <c r="G14739" t="s">
        <v>32672</v>
      </c>
      <c r="H14739" t="s">
        <v>32683</v>
      </c>
      <c r="I14739" t="s">
        <v>10627</v>
      </c>
      <c r="J14739" t="s">
        <v>34559</v>
      </c>
      <c r="K14739" t="s">
        <v>42285</v>
      </c>
      <c r="M14739" t="s">
        <v>46425</v>
      </c>
      <c r="N14739" t="s">
        <v>46569</v>
      </c>
      <c r="O14739" t="s">
        <v>46570</v>
      </c>
      <c r="Q14739">
        <v>0</v>
      </c>
      <c r="R14739" t="s">
        <v>46590</v>
      </c>
      <c r="S14739" t="s">
        <v>47583</v>
      </c>
      <c r="T14739" t="s">
        <v>48244</v>
      </c>
      <c r="U14739" t="s">
        <v>60615</v>
      </c>
      <c r="W14739" t="s">
        <v>46425</v>
      </c>
      <c r="X14739" t="s">
        <v>46591</v>
      </c>
    </row>
    <row r="14740" spans="1:24">
      <c r="A14740">
        <f>HYPERLINK("https://www.philgeps.gov.ph/GEPSNONPILOT/Tender/SplashBidNoticeAbstractUI.aspx?menuIndex=3&amp;refID=7031742&amp;Result=3","7031742")</f>
        <v>0</v>
      </c>
      <c r="B14740" t="s">
        <v>812</v>
      </c>
      <c r="C14740" t="s">
        <v>17556</v>
      </c>
      <c r="D14740" t="s">
        <v>18782</v>
      </c>
      <c r="E14740" t="s">
        <v>31571</v>
      </c>
      <c r="F14740" t="s">
        <v>32664</v>
      </c>
      <c r="G14740" t="s">
        <v>32672</v>
      </c>
      <c r="H14740" t="s">
        <v>32683</v>
      </c>
      <c r="I14740" t="s">
        <v>10627</v>
      </c>
      <c r="J14740" t="s">
        <v>33761</v>
      </c>
      <c r="K14740" t="s">
        <v>42505</v>
      </c>
      <c r="M14740" t="s">
        <v>43406</v>
      </c>
      <c r="N14740" t="s">
        <v>46569</v>
      </c>
      <c r="O14740" t="s">
        <v>46570</v>
      </c>
      <c r="Q14740">
        <v>2</v>
      </c>
      <c r="R14740" t="s">
        <v>46590</v>
      </c>
      <c r="S14740" t="s">
        <v>47584</v>
      </c>
      <c r="T14740" t="s">
        <v>48562</v>
      </c>
      <c r="U14740" t="s">
        <v>56646</v>
      </c>
      <c r="W14740" t="s">
        <v>43406</v>
      </c>
      <c r="X14740" t="s">
        <v>46591</v>
      </c>
    </row>
    <row r="14741" spans="1:24">
      <c r="A14741">
        <f>HYPERLINK("https://www.philgeps.gov.ph/GEPSNONPILOT/Tender/SplashBidNoticeAbstractUI.aspx?menuIndex=3&amp;refID=7023422&amp;Result=3","7023422")</f>
        <v>0</v>
      </c>
      <c r="B14741" t="s">
        <v>596</v>
      </c>
      <c r="C14741" t="s">
        <v>17557</v>
      </c>
      <c r="D14741" t="s">
        <v>18837</v>
      </c>
      <c r="E14741" t="s">
        <v>31572</v>
      </c>
      <c r="F14741" t="s">
        <v>32664</v>
      </c>
      <c r="G14741" t="s">
        <v>32672</v>
      </c>
      <c r="H14741" t="s">
        <v>12635</v>
      </c>
      <c r="I14741" t="s">
        <v>32696</v>
      </c>
      <c r="J14741" t="s">
        <v>41553</v>
      </c>
      <c r="K14741" t="s">
        <v>42298</v>
      </c>
      <c r="M14741" t="s">
        <v>43176</v>
      </c>
      <c r="N14741" t="s">
        <v>46569</v>
      </c>
      <c r="O14741" t="s">
        <v>46570</v>
      </c>
      <c r="Q14741">
        <v>8</v>
      </c>
      <c r="R14741" t="s">
        <v>46591</v>
      </c>
      <c r="S14741" t="s">
        <v>47585</v>
      </c>
      <c r="T14741" t="s">
        <v>48250</v>
      </c>
      <c r="U14741" t="s">
        <v>60616</v>
      </c>
      <c r="V14741" t="s">
        <v>63109</v>
      </c>
      <c r="W14741" t="s">
        <v>43176</v>
      </c>
      <c r="X14741" t="s">
        <v>46594</v>
      </c>
    </row>
    <row r="14742" spans="1:24">
      <c r="A14742">
        <f>HYPERLINK("https://www.philgeps.gov.ph/GEPSNONPILOT/Tender/SplashBidNoticeAbstractUI.aspx?menuIndex=3&amp;refID=7023811&amp;Result=3","7023811")</f>
        <v>0</v>
      </c>
      <c r="B14742" t="s">
        <v>899</v>
      </c>
      <c r="C14742" t="s">
        <v>17558</v>
      </c>
      <c r="D14742" t="s">
        <v>18831</v>
      </c>
      <c r="E14742" t="s">
        <v>31573</v>
      </c>
      <c r="F14742" t="s">
        <v>32664</v>
      </c>
      <c r="G14742" t="s">
        <v>32672</v>
      </c>
      <c r="H14742" t="s">
        <v>32683</v>
      </c>
      <c r="I14742" t="s">
        <v>10627</v>
      </c>
      <c r="J14742" t="s">
        <v>32930</v>
      </c>
      <c r="K14742" t="s">
        <v>42308</v>
      </c>
      <c r="M14742" t="s">
        <v>43503</v>
      </c>
      <c r="N14742" t="s">
        <v>46569</v>
      </c>
      <c r="O14742" t="s">
        <v>46570</v>
      </c>
      <c r="P14742">
        <v>0</v>
      </c>
      <c r="Q14742">
        <v>1</v>
      </c>
      <c r="R14742" t="s">
        <v>46591</v>
      </c>
      <c r="S14742" t="s">
        <v>47586</v>
      </c>
      <c r="T14742" t="s">
        <v>48221</v>
      </c>
      <c r="U14742" t="s">
        <v>60617</v>
      </c>
      <c r="W14742" t="s">
        <v>43503</v>
      </c>
      <c r="X14742" t="s">
        <v>46594</v>
      </c>
    </row>
    <row r="14743" spans="1:24">
      <c r="A14743">
        <f>HYPERLINK("https://www.philgeps.gov.ph/GEPSNONPILOT/Tender/SplashBidNoticeAbstractUI.aspx?menuIndex=3&amp;refID=7031816&amp;Result=3","7031816")</f>
        <v>0</v>
      </c>
      <c r="B14743" t="s">
        <v>3439</v>
      </c>
      <c r="C14743" t="s">
        <v>17559</v>
      </c>
      <c r="D14743" t="s">
        <v>18842</v>
      </c>
      <c r="E14743" t="s">
        <v>19304</v>
      </c>
      <c r="F14743" t="s">
        <v>32664</v>
      </c>
      <c r="G14743" t="s">
        <v>32672</v>
      </c>
      <c r="H14743" t="s">
        <v>12635</v>
      </c>
      <c r="I14743" t="s">
        <v>5589</v>
      </c>
      <c r="J14743" t="s">
        <v>33876</v>
      </c>
      <c r="K14743" t="s">
        <v>42281</v>
      </c>
      <c r="M14743" t="s">
        <v>46425</v>
      </c>
      <c r="N14743" t="s">
        <v>46569</v>
      </c>
      <c r="O14743" t="s">
        <v>46570</v>
      </c>
      <c r="Q14743">
        <v>6</v>
      </c>
      <c r="R14743" t="s">
        <v>46590</v>
      </c>
      <c r="S14743" t="s">
        <v>47587</v>
      </c>
      <c r="T14743" t="s">
        <v>48244</v>
      </c>
      <c r="U14743" t="s">
        <v>60618</v>
      </c>
      <c r="W14743" t="s">
        <v>46425</v>
      </c>
      <c r="X14743" t="s">
        <v>46591</v>
      </c>
    </row>
    <row r="14744" spans="1:24">
      <c r="A14744">
        <f>HYPERLINK("https://www.philgeps.gov.ph/GEPSNONPILOT/Tender/SplashBidNoticeAbstractUI.aspx?menuIndex=3&amp;refID=7023323&amp;Result=3","7023323")</f>
        <v>0</v>
      </c>
      <c r="B14744" t="s">
        <v>596</v>
      </c>
      <c r="C14744" t="s">
        <v>17560</v>
      </c>
      <c r="D14744" t="s">
        <v>18837</v>
      </c>
      <c r="E14744" t="s">
        <v>31574</v>
      </c>
      <c r="F14744" t="s">
        <v>32664</v>
      </c>
      <c r="G14744" t="s">
        <v>32672</v>
      </c>
      <c r="H14744" t="s">
        <v>12635</v>
      </c>
      <c r="I14744" t="s">
        <v>32721</v>
      </c>
      <c r="J14744" t="s">
        <v>33969</v>
      </c>
      <c r="K14744" t="s">
        <v>42298</v>
      </c>
      <c r="M14744" t="s">
        <v>43176</v>
      </c>
      <c r="N14744" t="s">
        <v>46569</v>
      </c>
      <c r="O14744" t="s">
        <v>46570</v>
      </c>
      <c r="Q14744">
        <v>11</v>
      </c>
      <c r="R14744" t="s">
        <v>46591</v>
      </c>
      <c r="S14744" t="s">
        <v>47588</v>
      </c>
      <c r="T14744" t="s">
        <v>48250</v>
      </c>
      <c r="U14744" t="s">
        <v>60619</v>
      </c>
      <c r="V14744" t="s">
        <v>63109</v>
      </c>
      <c r="W14744" t="s">
        <v>43176</v>
      </c>
      <c r="X14744" t="s">
        <v>46594</v>
      </c>
    </row>
    <row r="14745" spans="1:24">
      <c r="A14745">
        <f>HYPERLINK("https://www.philgeps.gov.ph/GEPSNONPILOT/Tender/SplashBidNoticeAbstractUI.aspx?menuIndex=3&amp;refID=7022181&amp;Result=3","7022181")</f>
        <v>0</v>
      </c>
      <c r="B14745" t="s">
        <v>2280</v>
      </c>
      <c r="C14745" t="s">
        <v>17561</v>
      </c>
      <c r="D14745" t="s">
        <v>18812</v>
      </c>
      <c r="E14745" t="s">
        <v>31575</v>
      </c>
      <c r="F14745" t="s">
        <v>32664</v>
      </c>
      <c r="G14745" t="s">
        <v>32672</v>
      </c>
      <c r="H14745" t="s">
        <v>32683</v>
      </c>
      <c r="I14745" t="s">
        <v>10627</v>
      </c>
      <c r="J14745" t="s">
        <v>33150</v>
      </c>
      <c r="K14745" t="s">
        <v>42311</v>
      </c>
      <c r="M14745" t="s">
        <v>45047</v>
      </c>
      <c r="N14745" t="s">
        <v>46569</v>
      </c>
      <c r="O14745" t="s">
        <v>46570</v>
      </c>
      <c r="P14745">
        <v>0</v>
      </c>
      <c r="Q14745">
        <v>0</v>
      </c>
      <c r="R14745" t="s">
        <v>46591</v>
      </c>
      <c r="S14745" t="s">
        <v>47586</v>
      </c>
      <c r="T14745" t="s">
        <v>48287</v>
      </c>
      <c r="U14745" t="s">
        <v>60620</v>
      </c>
      <c r="W14745" t="s">
        <v>45047</v>
      </c>
      <c r="X14745" t="s">
        <v>46594</v>
      </c>
    </row>
    <row r="14746" spans="1:24">
      <c r="A14746">
        <f>HYPERLINK("https://www.philgeps.gov.ph/GEPSNONPILOT/Tender/SplashBidNoticeAbstractUI.aspx?menuIndex=3&amp;refID=7031961&amp;Result=3","7031961")</f>
        <v>0</v>
      </c>
      <c r="B14746" t="s">
        <v>3168</v>
      </c>
      <c r="C14746" t="s">
        <v>15121</v>
      </c>
      <c r="D14746" t="s">
        <v>18805</v>
      </c>
      <c r="E14746" t="s">
        <v>19815</v>
      </c>
      <c r="F14746" t="s">
        <v>32666</v>
      </c>
      <c r="G14746" t="s">
        <v>32672</v>
      </c>
      <c r="H14746" t="s">
        <v>12635</v>
      </c>
      <c r="I14746" t="s">
        <v>11464</v>
      </c>
      <c r="J14746" t="s">
        <v>32859</v>
      </c>
      <c r="K14746" t="s">
        <v>42284</v>
      </c>
      <c r="M14746" t="s">
        <v>46074</v>
      </c>
      <c r="N14746" t="s">
        <v>46569</v>
      </c>
      <c r="O14746" t="s">
        <v>46570</v>
      </c>
      <c r="P14746">
        <v>0</v>
      </c>
      <c r="Q14746">
        <v>0</v>
      </c>
      <c r="R14746" t="s">
        <v>46590</v>
      </c>
      <c r="S14746" t="s">
        <v>47546</v>
      </c>
      <c r="T14746" t="s">
        <v>48449</v>
      </c>
      <c r="U14746" t="s">
        <v>60621</v>
      </c>
      <c r="V14746" t="s">
        <v>61795</v>
      </c>
      <c r="W14746" t="s">
        <v>46074</v>
      </c>
      <c r="X14746" t="s">
        <v>46591</v>
      </c>
    </row>
    <row r="14747" spans="1:24">
      <c r="A14747">
        <f>HYPERLINK("https://www.philgeps.gov.ph/GEPSNONPILOT/Tender/SplashBidNoticeAbstractUI.aspx?menuIndex=3&amp;refID=7031797&amp;Result=3","7031797")</f>
        <v>0</v>
      </c>
      <c r="B14747" t="s">
        <v>3439</v>
      </c>
      <c r="C14747" t="s">
        <v>17562</v>
      </c>
      <c r="D14747" t="s">
        <v>18842</v>
      </c>
      <c r="E14747" t="s">
        <v>19226</v>
      </c>
      <c r="F14747" t="s">
        <v>32664</v>
      </c>
      <c r="G14747" t="s">
        <v>32677</v>
      </c>
      <c r="H14747" t="s">
        <v>12635</v>
      </c>
      <c r="I14747" t="s">
        <v>32707</v>
      </c>
      <c r="J14747" t="s">
        <v>34487</v>
      </c>
      <c r="K14747" t="s">
        <v>42281</v>
      </c>
      <c r="M14747" t="s">
        <v>46425</v>
      </c>
      <c r="N14747" t="s">
        <v>46569</v>
      </c>
      <c r="O14747" t="s">
        <v>46570</v>
      </c>
      <c r="Q14747">
        <v>7</v>
      </c>
      <c r="R14747" t="s">
        <v>46590</v>
      </c>
      <c r="S14747" t="s">
        <v>47589</v>
      </c>
      <c r="T14747" t="s">
        <v>48244</v>
      </c>
      <c r="U14747" t="s">
        <v>60622</v>
      </c>
      <c r="W14747" t="s">
        <v>46425</v>
      </c>
      <c r="X14747" t="s">
        <v>46591</v>
      </c>
    </row>
    <row r="14748" spans="1:24">
      <c r="A14748">
        <f>HYPERLINK("https://www.philgeps.gov.ph/GEPSNONPILOT/Tender/SplashBidNoticeAbstractUI.aspx?menuIndex=3&amp;refID=7031958&amp;Result=3","7031958")</f>
        <v>0</v>
      </c>
      <c r="B14748" t="s">
        <v>3440</v>
      </c>
      <c r="C14748" t="s">
        <v>17563</v>
      </c>
      <c r="D14748" t="s">
        <v>18862</v>
      </c>
      <c r="E14748" t="s">
        <v>17563</v>
      </c>
      <c r="F14748" t="s">
        <v>32664</v>
      </c>
      <c r="G14748" t="s">
        <v>32672</v>
      </c>
      <c r="H14748" t="s">
        <v>12635</v>
      </c>
      <c r="I14748" t="s">
        <v>4439</v>
      </c>
      <c r="J14748" t="s">
        <v>41554</v>
      </c>
      <c r="K14748" t="s">
        <v>42281</v>
      </c>
      <c r="M14748" t="s">
        <v>46426</v>
      </c>
      <c r="N14748" t="s">
        <v>46569</v>
      </c>
      <c r="O14748" t="s">
        <v>46570</v>
      </c>
      <c r="P14748">
        <v>0</v>
      </c>
      <c r="Q14748">
        <v>0</v>
      </c>
      <c r="R14748" t="s">
        <v>46590</v>
      </c>
      <c r="S14748" t="s">
        <v>47546</v>
      </c>
      <c r="T14748" t="s">
        <v>48249</v>
      </c>
      <c r="U14748" t="s">
        <v>60623</v>
      </c>
      <c r="W14748" t="s">
        <v>46426</v>
      </c>
      <c r="X14748" t="s">
        <v>46591</v>
      </c>
    </row>
    <row r="14749" spans="1:24">
      <c r="A14749">
        <f>HYPERLINK("https://www.philgeps.gov.ph/GEPSNONPILOT/Tender/SplashBidNoticeAbstractUI.aspx?menuIndex=3&amp;refID=7031954&amp;Result=3","7031954")</f>
        <v>0</v>
      </c>
      <c r="B14749" t="s">
        <v>3441</v>
      </c>
      <c r="C14749" t="s">
        <v>17564</v>
      </c>
      <c r="D14749" t="s">
        <v>18837</v>
      </c>
      <c r="E14749" t="s">
        <v>31576</v>
      </c>
      <c r="F14749" t="s">
        <v>32664</v>
      </c>
      <c r="G14749" t="s">
        <v>32672</v>
      </c>
      <c r="H14749" t="s">
        <v>12635</v>
      </c>
      <c r="I14749" t="s">
        <v>7324</v>
      </c>
      <c r="J14749" t="s">
        <v>33334</v>
      </c>
      <c r="K14749" t="s">
        <v>42283</v>
      </c>
      <c r="M14749" t="s">
        <v>46427</v>
      </c>
      <c r="N14749" t="s">
        <v>46569</v>
      </c>
      <c r="O14749" t="s">
        <v>46570</v>
      </c>
      <c r="P14749">
        <v>0</v>
      </c>
      <c r="Q14749">
        <v>6</v>
      </c>
      <c r="R14749" t="s">
        <v>46590</v>
      </c>
      <c r="S14749" t="s">
        <v>47546</v>
      </c>
      <c r="T14749" t="s">
        <v>48420</v>
      </c>
      <c r="U14749" t="s">
        <v>60624</v>
      </c>
      <c r="W14749" t="s">
        <v>46427</v>
      </c>
      <c r="X14749" t="s">
        <v>46591</v>
      </c>
    </row>
    <row r="14750" spans="1:24">
      <c r="A14750">
        <f>HYPERLINK("https://www.philgeps.gov.ph/GEPSNONPILOT/Tender/SplashBidNoticeAbstractUI.aspx?menuIndex=3&amp;refID=7031868&amp;Result=3","7031868")</f>
        <v>0</v>
      </c>
      <c r="B14750" t="s">
        <v>2045</v>
      </c>
      <c r="C14750" t="s">
        <v>17565</v>
      </c>
      <c r="D14750" t="s">
        <v>18818</v>
      </c>
      <c r="E14750" t="s">
        <v>31577</v>
      </c>
      <c r="F14750" t="s">
        <v>32664</v>
      </c>
      <c r="G14750" t="s">
        <v>32672</v>
      </c>
      <c r="H14750" t="s">
        <v>12635</v>
      </c>
      <c r="I14750" t="s">
        <v>9486</v>
      </c>
      <c r="J14750" t="s">
        <v>32837</v>
      </c>
      <c r="K14750" t="s">
        <v>42281</v>
      </c>
      <c r="M14750" t="s">
        <v>44792</v>
      </c>
      <c r="N14750" t="s">
        <v>46569</v>
      </c>
      <c r="O14750" t="s">
        <v>46570</v>
      </c>
      <c r="Q14750">
        <v>4</v>
      </c>
      <c r="R14750" t="s">
        <v>46590</v>
      </c>
      <c r="S14750" t="s">
        <v>47590</v>
      </c>
      <c r="T14750" t="s">
        <v>48285</v>
      </c>
      <c r="U14750" t="s">
        <v>60625</v>
      </c>
      <c r="W14750" t="s">
        <v>44792</v>
      </c>
      <c r="X14750" t="s">
        <v>46591</v>
      </c>
    </row>
    <row r="14751" spans="1:24">
      <c r="A14751">
        <f>HYPERLINK("https://www.philgeps.gov.ph/GEPSNONPILOT/Tender/SplashBidNoticeAbstractUI.aspx?menuIndex=3&amp;refID=7031942&amp;Result=3","7031942")</f>
        <v>0</v>
      </c>
      <c r="B14751" t="s">
        <v>2432</v>
      </c>
      <c r="C14751" t="s">
        <v>17566</v>
      </c>
      <c r="D14751" t="s">
        <v>18794</v>
      </c>
      <c r="E14751" t="s">
        <v>31578</v>
      </c>
      <c r="F14751" t="s">
        <v>32664</v>
      </c>
      <c r="G14751" t="s">
        <v>32672</v>
      </c>
      <c r="H14751" t="s">
        <v>12635</v>
      </c>
      <c r="I14751" t="s">
        <v>5589</v>
      </c>
      <c r="J14751" t="s">
        <v>32943</v>
      </c>
      <c r="K14751" t="s">
        <v>42298</v>
      </c>
      <c r="M14751" t="s">
        <v>45224</v>
      </c>
      <c r="N14751" t="s">
        <v>46569</v>
      </c>
      <c r="O14751" t="s">
        <v>46570</v>
      </c>
      <c r="Q14751">
        <v>6</v>
      </c>
      <c r="R14751" t="s">
        <v>46590</v>
      </c>
      <c r="S14751" t="s">
        <v>47591</v>
      </c>
      <c r="T14751" t="s">
        <v>48244</v>
      </c>
      <c r="U14751" t="s">
        <v>60626</v>
      </c>
      <c r="W14751" t="s">
        <v>45224</v>
      </c>
      <c r="X14751" t="s">
        <v>46591</v>
      </c>
    </row>
    <row r="14752" spans="1:24">
      <c r="A14752">
        <f>HYPERLINK("https://www.philgeps.gov.ph/GEPSNONPILOT/Tender/SplashBidNoticeAbstractUI.aspx?menuIndex=3&amp;refID=7026403&amp;Result=3","7026403")</f>
        <v>0</v>
      </c>
      <c r="B14752" t="s">
        <v>764</v>
      </c>
      <c r="C14752" t="s">
        <v>17567</v>
      </c>
      <c r="D14752" t="s">
        <v>18791</v>
      </c>
      <c r="E14752" t="s">
        <v>31579</v>
      </c>
      <c r="F14752" t="s">
        <v>32664</v>
      </c>
      <c r="G14752" t="s">
        <v>32672</v>
      </c>
      <c r="H14752" t="s">
        <v>32683</v>
      </c>
      <c r="I14752" t="s">
        <v>10627</v>
      </c>
      <c r="J14752" t="s">
        <v>41555</v>
      </c>
      <c r="K14752" t="s">
        <v>42360</v>
      </c>
      <c r="M14752" t="s">
        <v>46428</v>
      </c>
      <c r="N14752" t="s">
        <v>46569</v>
      </c>
      <c r="O14752" t="s">
        <v>46570</v>
      </c>
      <c r="P14752">
        <v>0</v>
      </c>
      <c r="Q14752">
        <v>8</v>
      </c>
      <c r="R14752" t="s">
        <v>46591</v>
      </c>
      <c r="S14752" t="s">
        <v>47586</v>
      </c>
      <c r="T14752" t="s">
        <v>48448</v>
      </c>
      <c r="U14752" t="s">
        <v>60627</v>
      </c>
      <c r="W14752" t="s">
        <v>46428</v>
      </c>
      <c r="X14752" t="s">
        <v>46593</v>
      </c>
    </row>
    <row r="14753" spans="1:24">
      <c r="A14753">
        <f>HYPERLINK("https://www.philgeps.gov.ph/GEPSNONPILOT/Tender/SplashBidNoticeAbstractUI.aspx?menuIndex=3&amp;refID=7027120&amp;Result=3","7027120")</f>
        <v>0</v>
      </c>
      <c r="B14753" t="s">
        <v>1485</v>
      </c>
      <c r="C14753" t="s">
        <v>17568</v>
      </c>
      <c r="E14753" t="s">
        <v>31580</v>
      </c>
      <c r="F14753" t="s">
        <v>32664</v>
      </c>
      <c r="G14753" t="s">
        <v>32671</v>
      </c>
      <c r="H14753" t="s">
        <v>12635</v>
      </c>
      <c r="I14753" t="s">
        <v>32704</v>
      </c>
      <c r="J14753" t="s">
        <v>41556</v>
      </c>
      <c r="K14753" t="s">
        <v>42283</v>
      </c>
      <c r="M14753" t="s">
        <v>46429</v>
      </c>
      <c r="N14753" t="s">
        <v>46569</v>
      </c>
      <c r="O14753" t="s">
        <v>46570</v>
      </c>
      <c r="Q14753">
        <v>15</v>
      </c>
      <c r="R14753" t="s">
        <v>46591</v>
      </c>
      <c r="S14753" t="s">
        <v>46701</v>
      </c>
      <c r="T14753" t="s">
        <v>48280</v>
      </c>
      <c r="U14753" t="s">
        <v>56376</v>
      </c>
      <c r="W14753" t="s">
        <v>46429</v>
      </c>
      <c r="X14753" t="s">
        <v>46592</v>
      </c>
    </row>
    <row r="14754" spans="1:24">
      <c r="A14754">
        <f>HYPERLINK("https://www.philgeps.gov.ph/GEPSNONPILOT/Tender/SplashBidNoticeAbstractUI.aspx?menuIndex=3&amp;refID=7002927-2&amp;Result=3","7002927-2")</f>
        <v>0</v>
      </c>
      <c r="B14754" t="s">
        <v>3037</v>
      </c>
      <c r="C14754" t="s">
        <v>17569</v>
      </c>
      <c r="D14754" t="s">
        <v>18788</v>
      </c>
      <c r="E14754" t="s">
        <v>31581</v>
      </c>
      <c r="F14754" t="s">
        <v>32664</v>
      </c>
      <c r="G14754" t="s">
        <v>32672</v>
      </c>
      <c r="H14754" t="s">
        <v>32681</v>
      </c>
      <c r="I14754" t="s">
        <v>32681</v>
      </c>
      <c r="J14754" t="s">
        <v>32930</v>
      </c>
      <c r="K14754" t="s">
        <v>42327</v>
      </c>
      <c r="M14754" t="s">
        <v>45910</v>
      </c>
      <c r="N14754" t="s">
        <v>46569</v>
      </c>
      <c r="O14754" t="s">
        <v>46570</v>
      </c>
      <c r="P14754">
        <v>0</v>
      </c>
      <c r="Q14754">
        <v>0</v>
      </c>
      <c r="R14754" t="s">
        <v>46591</v>
      </c>
      <c r="S14754" t="s">
        <v>47586</v>
      </c>
      <c r="T14754" t="s">
        <v>48268</v>
      </c>
      <c r="U14754" t="s">
        <v>60628</v>
      </c>
      <c r="W14754" t="s">
        <v>45910</v>
      </c>
      <c r="X14754" t="s">
        <v>46592</v>
      </c>
    </row>
    <row r="14755" spans="1:24">
      <c r="A14755">
        <f>HYPERLINK("https://www.philgeps.gov.ph/GEPSNONPILOT/Tender/SplashBidNoticeAbstractUI.aspx?menuIndex=3&amp;refID=7031593&amp;Result=3","7031593")</f>
        <v>0</v>
      </c>
      <c r="B14755" t="s">
        <v>3441</v>
      </c>
      <c r="C14755" t="s">
        <v>5089</v>
      </c>
      <c r="D14755" t="s">
        <v>18837</v>
      </c>
      <c r="E14755" t="s">
        <v>31582</v>
      </c>
      <c r="F14755" t="s">
        <v>32664</v>
      </c>
      <c r="G14755" t="s">
        <v>32672</v>
      </c>
      <c r="H14755" t="s">
        <v>12635</v>
      </c>
      <c r="I14755" t="s">
        <v>11464</v>
      </c>
      <c r="J14755" t="s">
        <v>36415</v>
      </c>
      <c r="K14755" t="s">
        <v>42330</v>
      </c>
      <c r="M14755" t="s">
        <v>46427</v>
      </c>
      <c r="N14755" t="s">
        <v>46569</v>
      </c>
      <c r="O14755" t="s">
        <v>46570</v>
      </c>
      <c r="P14755">
        <v>0</v>
      </c>
      <c r="Q14755">
        <v>8</v>
      </c>
      <c r="R14755" t="s">
        <v>46590</v>
      </c>
      <c r="S14755" t="s">
        <v>47546</v>
      </c>
      <c r="T14755" t="s">
        <v>48290</v>
      </c>
      <c r="U14755" t="s">
        <v>60629</v>
      </c>
      <c r="W14755" t="s">
        <v>46427</v>
      </c>
      <c r="X14755" t="s">
        <v>46591</v>
      </c>
    </row>
    <row r="14756" spans="1:24">
      <c r="A14756">
        <f>HYPERLINK("https://www.philgeps.gov.ph/GEPSNONPILOT/Tender/SplashBidNoticeAbstractUI.aspx?menuIndex=3&amp;refID=7026621&amp;Result=3","7026621")</f>
        <v>0</v>
      </c>
      <c r="B14756" t="s">
        <v>3076</v>
      </c>
      <c r="C14756" t="s">
        <v>17168</v>
      </c>
      <c r="D14756" t="s">
        <v>18816</v>
      </c>
      <c r="E14756" t="s">
        <v>19180</v>
      </c>
      <c r="F14756" t="s">
        <v>32664</v>
      </c>
      <c r="G14756" t="s">
        <v>32672</v>
      </c>
      <c r="H14756" t="s">
        <v>12635</v>
      </c>
      <c r="I14756" t="s">
        <v>9486</v>
      </c>
      <c r="J14756" t="s">
        <v>32865</v>
      </c>
      <c r="K14756" t="s">
        <v>42303</v>
      </c>
      <c r="M14756" t="s">
        <v>45957</v>
      </c>
      <c r="N14756" t="s">
        <v>46569</v>
      </c>
      <c r="O14756" t="s">
        <v>46570</v>
      </c>
      <c r="P14756">
        <v>0</v>
      </c>
      <c r="Q14756">
        <v>0</v>
      </c>
      <c r="R14756" t="s">
        <v>46591</v>
      </c>
      <c r="S14756" t="s">
        <v>47586</v>
      </c>
      <c r="T14756" t="s">
        <v>48448</v>
      </c>
      <c r="U14756" t="s">
        <v>60630</v>
      </c>
      <c r="V14756" t="s">
        <v>62873</v>
      </c>
      <c r="W14756" t="s">
        <v>45957</v>
      </c>
      <c r="X14756" t="s">
        <v>46593</v>
      </c>
    </row>
    <row r="14757" spans="1:24">
      <c r="A14757">
        <f>HYPERLINK("https://www.philgeps.gov.ph/GEPSNONPILOT/Tender/SplashBidNoticeAbstractUI.aspx?menuIndex=3&amp;refID=7002935-2&amp;Result=3","7002935-2")</f>
        <v>0</v>
      </c>
      <c r="B14757" t="s">
        <v>3037</v>
      </c>
      <c r="C14757" t="s">
        <v>17570</v>
      </c>
      <c r="E14757" t="s">
        <v>31583</v>
      </c>
      <c r="F14757" t="s">
        <v>32664</v>
      </c>
      <c r="G14757" t="s">
        <v>32672</v>
      </c>
      <c r="H14757" t="s">
        <v>32681</v>
      </c>
      <c r="I14757" t="s">
        <v>32681</v>
      </c>
      <c r="J14757" t="s">
        <v>34481</v>
      </c>
      <c r="K14757" t="s">
        <v>42297</v>
      </c>
      <c r="M14757" t="s">
        <v>45910</v>
      </c>
      <c r="N14757" t="s">
        <v>46569</v>
      </c>
      <c r="O14757" t="s">
        <v>46570</v>
      </c>
      <c r="P14757">
        <v>0</v>
      </c>
      <c r="Q14757">
        <v>1</v>
      </c>
      <c r="R14757" t="s">
        <v>46591</v>
      </c>
      <c r="S14757" t="s">
        <v>47586</v>
      </c>
      <c r="T14757" t="s">
        <v>48268</v>
      </c>
      <c r="U14757" t="s">
        <v>60631</v>
      </c>
      <c r="W14757" t="s">
        <v>45910</v>
      </c>
      <c r="X14757" t="s">
        <v>46592</v>
      </c>
    </row>
    <row r="14758" spans="1:24">
      <c r="A14758">
        <f>HYPERLINK("https://www.philgeps.gov.ph/GEPSNONPILOT/Tender/SplashBidNoticeAbstractUI.aspx?menuIndex=3&amp;refID=7026503&amp;Result=3","7026503")</f>
        <v>0</v>
      </c>
      <c r="B14758" t="s">
        <v>475</v>
      </c>
      <c r="C14758" t="s">
        <v>17571</v>
      </c>
      <c r="D14758" t="s">
        <v>18796</v>
      </c>
      <c r="E14758" t="s">
        <v>31584</v>
      </c>
      <c r="F14758" t="s">
        <v>32664</v>
      </c>
      <c r="G14758" t="s">
        <v>32672</v>
      </c>
      <c r="H14758" t="s">
        <v>12635</v>
      </c>
      <c r="I14758" t="s">
        <v>14442</v>
      </c>
      <c r="J14758" t="s">
        <v>32998</v>
      </c>
      <c r="K14758" t="s">
        <v>42303</v>
      </c>
      <c r="M14758" t="s">
        <v>43050</v>
      </c>
      <c r="N14758" t="s">
        <v>46569</v>
      </c>
      <c r="O14758" t="s">
        <v>46570</v>
      </c>
      <c r="Q14758">
        <v>8</v>
      </c>
      <c r="R14758" t="s">
        <v>46591</v>
      </c>
      <c r="S14758" t="s">
        <v>47592</v>
      </c>
      <c r="T14758" t="s">
        <v>48744</v>
      </c>
      <c r="U14758" t="s">
        <v>60632</v>
      </c>
      <c r="W14758" t="s">
        <v>43050</v>
      </c>
      <c r="X14758" t="s">
        <v>46593</v>
      </c>
    </row>
    <row r="14759" spans="1:24">
      <c r="A14759">
        <f>HYPERLINK("https://www.philgeps.gov.ph/GEPSNONPILOT/Tender/SplashBidNoticeAbstractUI.aspx?menuIndex=3&amp;refID=7025946&amp;Result=3","7025946")</f>
        <v>0</v>
      </c>
      <c r="B14759" t="s">
        <v>3424</v>
      </c>
      <c r="C14759" t="s">
        <v>17572</v>
      </c>
      <c r="D14759" t="s">
        <v>18799</v>
      </c>
      <c r="E14759" t="s">
        <v>31585</v>
      </c>
      <c r="F14759" t="s">
        <v>32664</v>
      </c>
      <c r="G14759" t="s">
        <v>32672</v>
      </c>
      <c r="H14759" t="s">
        <v>12635</v>
      </c>
      <c r="I14759" t="s">
        <v>32738</v>
      </c>
      <c r="J14759" t="s">
        <v>32961</v>
      </c>
      <c r="K14759" t="s">
        <v>42298</v>
      </c>
      <c r="M14759" t="s">
        <v>46405</v>
      </c>
      <c r="N14759" t="s">
        <v>46569</v>
      </c>
      <c r="O14759" t="s">
        <v>46570</v>
      </c>
      <c r="P14759">
        <v>0</v>
      </c>
      <c r="Q14759">
        <v>6</v>
      </c>
      <c r="R14759" t="s">
        <v>46591</v>
      </c>
      <c r="S14759" t="s">
        <v>47586</v>
      </c>
      <c r="T14759" t="s">
        <v>48221</v>
      </c>
      <c r="U14759" t="s">
        <v>60428</v>
      </c>
      <c r="V14759" t="s">
        <v>63268</v>
      </c>
      <c r="W14759" t="s">
        <v>46405</v>
      </c>
      <c r="X14759" t="s">
        <v>46593</v>
      </c>
    </row>
    <row r="14760" spans="1:24">
      <c r="A14760">
        <f>HYPERLINK("https://www.philgeps.gov.ph/GEPSNONPILOT/Tender/SplashBidNoticeAbstractUI.aspx?menuIndex=3&amp;refID=7031919&amp;Result=3","7031919")</f>
        <v>0</v>
      </c>
      <c r="B14760" t="s">
        <v>3442</v>
      </c>
      <c r="C14760" t="s">
        <v>17573</v>
      </c>
      <c r="D14760" t="s">
        <v>18784</v>
      </c>
      <c r="E14760" t="s">
        <v>31586</v>
      </c>
      <c r="F14760" t="s">
        <v>32664</v>
      </c>
      <c r="G14760" t="s">
        <v>32672</v>
      </c>
      <c r="H14760" t="s">
        <v>12635</v>
      </c>
      <c r="I14760" t="s">
        <v>5589</v>
      </c>
      <c r="J14760" t="s">
        <v>33261</v>
      </c>
      <c r="K14760" t="s">
        <v>42298</v>
      </c>
      <c r="M14760" t="s">
        <v>46430</v>
      </c>
      <c r="N14760" t="s">
        <v>46569</v>
      </c>
      <c r="O14760" t="s">
        <v>46570</v>
      </c>
      <c r="Q14760">
        <v>26</v>
      </c>
      <c r="R14760" t="s">
        <v>46590</v>
      </c>
      <c r="S14760" t="s">
        <v>47593</v>
      </c>
      <c r="T14760" t="s">
        <v>48246</v>
      </c>
      <c r="U14760" t="s">
        <v>60633</v>
      </c>
      <c r="W14760" t="s">
        <v>46430</v>
      </c>
      <c r="X14760" t="s">
        <v>46591</v>
      </c>
    </row>
    <row r="14761" spans="1:24">
      <c r="A14761">
        <f>HYPERLINK("https://www.philgeps.gov.ph/GEPSNONPILOT/Tender/SplashBidNoticeAbstractUI.aspx?menuIndex=3&amp;refID=7025645&amp;Result=3","7025645")</f>
        <v>0</v>
      </c>
      <c r="B14761" t="s">
        <v>3424</v>
      </c>
      <c r="C14761" t="s">
        <v>17574</v>
      </c>
      <c r="D14761" t="s">
        <v>18799</v>
      </c>
      <c r="E14761" t="s">
        <v>31587</v>
      </c>
      <c r="F14761" t="s">
        <v>32664</v>
      </c>
      <c r="G14761" t="s">
        <v>32672</v>
      </c>
      <c r="H14761" t="s">
        <v>12635</v>
      </c>
      <c r="I14761" t="s">
        <v>4333</v>
      </c>
      <c r="J14761" t="s">
        <v>41557</v>
      </c>
      <c r="K14761" t="s">
        <v>42298</v>
      </c>
      <c r="M14761" t="s">
        <v>46405</v>
      </c>
      <c r="N14761" t="s">
        <v>46569</v>
      </c>
      <c r="O14761" t="s">
        <v>46570</v>
      </c>
      <c r="Q14761">
        <v>9</v>
      </c>
      <c r="R14761" t="s">
        <v>46591</v>
      </c>
      <c r="S14761" t="s">
        <v>47594</v>
      </c>
      <c r="T14761" t="s">
        <v>48221</v>
      </c>
      <c r="U14761" t="s">
        <v>60428</v>
      </c>
      <c r="V14761" t="s">
        <v>63269</v>
      </c>
      <c r="W14761" t="s">
        <v>46405</v>
      </c>
      <c r="X14761" t="s">
        <v>46593</v>
      </c>
    </row>
    <row r="14762" spans="1:24">
      <c r="A14762">
        <f>HYPERLINK("https://www.philgeps.gov.ph/GEPSNONPILOT/Tender/SplashBidNoticeAbstractUI.aspx?menuIndex=3&amp;refID=7025316&amp;Result=3","7025316")</f>
        <v>0</v>
      </c>
      <c r="B14762" t="s">
        <v>3424</v>
      </c>
      <c r="C14762" t="s">
        <v>17575</v>
      </c>
      <c r="D14762" t="s">
        <v>18799</v>
      </c>
      <c r="E14762" t="s">
        <v>31588</v>
      </c>
      <c r="F14762" t="s">
        <v>32664</v>
      </c>
      <c r="G14762" t="s">
        <v>32672</v>
      </c>
      <c r="H14762" t="s">
        <v>12635</v>
      </c>
      <c r="I14762" t="s">
        <v>32738</v>
      </c>
      <c r="J14762" t="s">
        <v>41558</v>
      </c>
      <c r="K14762" t="s">
        <v>42298</v>
      </c>
      <c r="M14762" t="s">
        <v>46405</v>
      </c>
      <c r="N14762" t="s">
        <v>46569</v>
      </c>
      <c r="O14762" t="s">
        <v>46570</v>
      </c>
      <c r="Q14762">
        <v>8</v>
      </c>
      <c r="R14762" t="s">
        <v>46591</v>
      </c>
      <c r="S14762" t="s">
        <v>46921</v>
      </c>
      <c r="T14762" t="s">
        <v>48221</v>
      </c>
      <c r="U14762" t="s">
        <v>60428</v>
      </c>
      <c r="V14762" t="s">
        <v>63269</v>
      </c>
      <c r="W14762" t="s">
        <v>46405</v>
      </c>
      <c r="X14762" t="s">
        <v>46593</v>
      </c>
    </row>
    <row r="14763" spans="1:24">
      <c r="A14763">
        <f>HYPERLINK("https://www.philgeps.gov.ph/GEPSNONPILOT/Tender/SplashBidNoticeAbstractUI.aspx?menuIndex=3&amp;refID=7031764&amp;Result=3","7031764")</f>
        <v>0</v>
      </c>
      <c r="B14763" t="s">
        <v>3400</v>
      </c>
      <c r="C14763" t="s">
        <v>17576</v>
      </c>
      <c r="D14763" t="s">
        <v>18853</v>
      </c>
      <c r="E14763" t="s">
        <v>31589</v>
      </c>
      <c r="F14763" t="s">
        <v>32664</v>
      </c>
      <c r="G14763" t="s">
        <v>32672</v>
      </c>
      <c r="H14763" t="s">
        <v>32683</v>
      </c>
      <c r="I14763" t="s">
        <v>10627</v>
      </c>
      <c r="J14763" t="s">
        <v>41559</v>
      </c>
      <c r="K14763" t="s">
        <v>42281</v>
      </c>
      <c r="M14763" t="s">
        <v>46369</v>
      </c>
      <c r="N14763" t="s">
        <v>46569</v>
      </c>
      <c r="O14763" t="s">
        <v>46570</v>
      </c>
      <c r="Q14763">
        <v>1</v>
      </c>
      <c r="R14763" t="s">
        <v>46590</v>
      </c>
      <c r="S14763" t="s">
        <v>47595</v>
      </c>
      <c r="T14763" t="s">
        <v>48448</v>
      </c>
      <c r="U14763" t="s">
        <v>60634</v>
      </c>
      <c r="V14763" t="s">
        <v>63270</v>
      </c>
      <c r="W14763" t="s">
        <v>46369</v>
      </c>
      <c r="X14763" t="s">
        <v>46591</v>
      </c>
    </row>
    <row r="14764" spans="1:24">
      <c r="A14764">
        <f>HYPERLINK("https://www.philgeps.gov.ph/GEPSNONPILOT/Tender/SplashBidNoticeAbstractUI.aspx?menuIndex=3&amp;refID=7025095&amp;Result=3","7025095")</f>
        <v>0</v>
      </c>
      <c r="B14764" t="s">
        <v>327</v>
      </c>
      <c r="C14764" t="s">
        <v>17577</v>
      </c>
      <c r="D14764" t="s">
        <v>18826</v>
      </c>
      <c r="E14764" t="s">
        <v>31590</v>
      </c>
      <c r="F14764" t="s">
        <v>32664</v>
      </c>
      <c r="G14764" t="s">
        <v>32672</v>
      </c>
      <c r="H14764" t="s">
        <v>12635</v>
      </c>
      <c r="I14764" t="s">
        <v>32724</v>
      </c>
      <c r="J14764" t="s">
        <v>41560</v>
      </c>
      <c r="K14764" t="s">
        <v>42281</v>
      </c>
      <c r="M14764" t="s">
        <v>42895</v>
      </c>
      <c r="N14764" t="s">
        <v>46569</v>
      </c>
      <c r="O14764" t="s">
        <v>46570</v>
      </c>
      <c r="P14764">
        <v>0</v>
      </c>
      <c r="Q14764">
        <v>13</v>
      </c>
      <c r="R14764" t="s">
        <v>46591</v>
      </c>
      <c r="S14764" t="s">
        <v>47586</v>
      </c>
      <c r="T14764" t="s">
        <v>48286</v>
      </c>
      <c r="U14764" t="s">
        <v>60635</v>
      </c>
      <c r="W14764" t="s">
        <v>42895</v>
      </c>
      <c r="X14764" t="s">
        <v>46593</v>
      </c>
    </row>
    <row r="14765" spans="1:24">
      <c r="A14765">
        <f>HYPERLINK("https://www.philgeps.gov.ph/GEPSNONPILOT/Tender/SplashBidNoticeAbstractUI.aspx?menuIndex=3&amp;refID=7026967&amp;Result=3","7026967")</f>
        <v>0</v>
      </c>
      <c r="B14765" t="s">
        <v>3443</v>
      </c>
      <c r="C14765" t="s">
        <v>17578</v>
      </c>
      <c r="D14765" t="s">
        <v>18807</v>
      </c>
      <c r="E14765" t="s">
        <v>31591</v>
      </c>
      <c r="F14765" t="s">
        <v>32664</v>
      </c>
      <c r="G14765" t="s">
        <v>32672</v>
      </c>
      <c r="H14765" t="s">
        <v>32683</v>
      </c>
      <c r="I14765" t="s">
        <v>10627</v>
      </c>
      <c r="J14765" t="s">
        <v>33969</v>
      </c>
      <c r="K14765" t="s">
        <v>42397</v>
      </c>
      <c r="M14765" t="s">
        <v>46431</v>
      </c>
      <c r="N14765" t="s">
        <v>46569</v>
      </c>
      <c r="O14765" t="s">
        <v>46570</v>
      </c>
      <c r="Q14765">
        <v>3</v>
      </c>
      <c r="R14765" t="s">
        <v>46591</v>
      </c>
      <c r="S14765" t="s">
        <v>47596</v>
      </c>
      <c r="T14765" t="s">
        <v>48246</v>
      </c>
      <c r="U14765" t="s">
        <v>60636</v>
      </c>
      <c r="W14765" t="s">
        <v>46431</v>
      </c>
      <c r="X14765" t="s">
        <v>46593</v>
      </c>
    </row>
    <row r="14766" spans="1:24">
      <c r="A14766">
        <f>HYPERLINK("https://www.philgeps.gov.ph/GEPSNONPILOT/Tender/SplashBidNoticeAbstractUI.aspx?menuIndex=3&amp;refID=7026636&amp;Result=3","7026636")</f>
        <v>0</v>
      </c>
      <c r="B14766" t="s">
        <v>1103</v>
      </c>
      <c r="C14766" t="s">
        <v>17579</v>
      </c>
      <c r="D14766" t="s">
        <v>18790</v>
      </c>
      <c r="E14766" t="s">
        <v>31592</v>
      </c>
      <c r="F14766" t="s">
        <v>32664</v>
      </c>
      <c r="G14766" t="s">
        <v>32672</v>
      </c>
      <c r="H14766" t="s">
        <v>32683</v>
      </c>
      <c r="I14766" t="s">
        <v>10627</v>
      </c>
      <c r="J14766" t="s">
        <v>41561</v>
      </c>
      <c r="K14766" t="s">
        <v>42290</v>
      </c>
      <c r="M14766" t="s">
        <v>43730</v>
      </c>
      <c r="N14766" t="s">
        <v>46569</v>
      </c>
      <c r="O14766" t="s">
        <v>46570</v>
      </c>
      <c r="P14766">
        <v>0</v>
      </c>
      <c r="Q14766">
        <v>0</v>
      </c>
      <c r="R14766" t="s">
        <v>46591</v>
      </c>
      <c r="S14766" t="s">
        <v>47586</v>
      </c>
      <c r="T14766" t="s">
        <v>48228</v>
      </c>
      <c r="U14766" t="s">
        <v>60637</v>
      </c>
      <c r="W14766" t="s">
        <v>43730</v>
      </c>
      <c r="X14766" t="s">
        <v>46593</v>
      </c>
    </row>
    <row r="14767" spans="1:24">
      <c r="A14767">
        <f>HYPERLINK("https://www.philgeps.gov.ph/GEPSNONPILOT/Tender/SplashBidNoticeAbstractUI.aspx?menuIndex=3&amp;refID=7024728&amp;Result=3","7024728")</f>
        <v>0</v>
      </c>
      <c r="B14767" t="s">
        <v>3424</v>
      </c>
      <c r="C14767" t="s">
        <v>17580</v>
      </c>
      <c r="D14767" t="s">
        <v>18799</v>
      </c>
      <c r="E14767" t="s">
        <v>31593</v>
      </c>
      <c r="F14767" t="s">
        <v>32664</v>
      </c>
      <c r="G14767" t="s">
        <v>32672</v>
      </c>
      <c r="H14767" t="s">
        <v>12635</v>
      </c>
      <c r="I14767" t="s">
        <v>4333</v>
      </c>
      <c r="J14767" t="s">
        <v>41562</v>
      </c>
      <c r="K14767" t="s">
        <v>42298</v>
      </c>
      <c r="M14767" t="s">
        <v>46405</v>
      </c>
      <c r="N14767" t="s">
        <v>46569</v>
      </c>
      <c r="O14767" t="s">
        <v>46570</v>
      </c>
      <c r="P14767">
        <v>0</v>
      </c>
      <c r="Q14767">
        <v>8</v>
      </c>
      <c r="R14767" t="s">
        <v>46591</v>
      </c>
      <c r="S14767" t="s">
        <v>47586</v>
      </c>
      <c r="T14767" t="s">
        <v>48221</v>
      </c>
      <c r="U14767" t="s">
        <v>60638</v>
      </c>
      <c r="V14767" t="s">
        <v>63269</v>
      </c>
      <c r="W14767" t="s">
        <v>46405</v>
      </c>
      <c r="X14767" t="s">
        <v>46593</v>
      </c>
    </row>
    <row r="14768" spans="1:24">
      <c r="A14768">
        <f>HYPERLINK("https://www.philgeps.gov.ph/GEPSNONPILOT/Tender/SplashBidNoticeAbstractUI.aspx?menuIndex=3&amp;refID=7024976&amp;Result=3","7024976")</f>
        <v>0</v>
      </c>
      <c r="B14768" t="s">
        <v>3424</v>
      </c>
      <c r="C14768" t="s">
        <v>17581</v>
      </c>
      <c r="D14768" t="s">
        <v>18799</v>
      </c>
      <c r="E14768" t="s">
        <v>31594</v>
      </c>
      <c r="F14768" t="s">
        <v>32664</v>
      </c>
      <c r="G14768" t="s">
        <v>32672</v>
      </c>
      <c r="H14768" t="s">
        <v>12635</v>
      </c>
      <c r="I14768" t="s">
        <v>4333</v>
      </c>
      <c r="J14768" t="s">
        <v>41563</v>
      </c>
      <c r="K14768" t="s">
        <v>42298</v>
      </c>
      <c r="M14768" t="s">
        <v>46405</v>
      </c>
      <c r="N14768" t="s">
        <v>46569</v>
      </c>
      <c r="O14768" t="s">
        <v>46570</v>
      </c>
      <c r="Q14768">
        <v>9</v>
      </c>
      <c r="R14768" t="s">
        <v>46591</v>
      </c>
      <c r="S14768" t="s">
        <v>46912</v>
      </c>
      <c r="T14768" t="s">
        <v>48221</v>
      </c>
      <c r="U14768" t="s">
        <v>60428</v>
      </c>
      <c r="V14768" t="s">
        <v>63269</v>
      </c>
      <c r="W14768" t="s">
        <v>46405</v>
      </c>
      <c r="X14768" t="s">
        <v>46593</v>
      </c>
    </row>
    <row r="14769" spans="1:24">
      <c r="A14769">
        <f>HYPERLINK("https://www.philgeps.gov.ph/GEPSNONPILOT/Tender/SplashBidNoticeAbstractUI.aspx?menuIndex=3&amp;refID=7024572&amp;Result=3","7024572")</f>
        <v>0</v>
      </c>
      <c r="B14769" t="s">
        <v>3424</v>
      </c>
      <c r="C14769" t="s">
        <v>17582</v>
      </c>
      <c r="D14769" t="s">
        <v>18799</v>
      </c>
      <c r="E14769" t="s">
        <v>31595</v>
      </c>
      <c r="F14769" t="s">
        <v>32664</v>
      </c>
      <c r="G14769" t="s">
        <v>32672</v>
      </c>
      <c r="H14769" t="s">
        <v>12635</v>
      </c>
      <c r="I14769" t="s">
        <v>32738</v>
      </c>
      <c r="J14769" t="s">
        <v>41564</v>
      </c>
      <c r="K14769" t="s">
        <v>42298</v>
      </c>
      <c r="M14769" t="s">
        <v>46405</v>
      </c>
      <c r="N14769" t="s">
        <v>46569</v>
      </c>
      <c r="O14769" t="s">
        <v>46570</v>
      </c>
      <c r="Q14769">
        <v>9</v>
      </c>
      <c r="R14769" t="s">
        <v>46591</v>
      </c>
      <c r="S14769" t="s">
        <v>46918</v>
      </c>
      <c r="T14769" t="s">
        <v>48221</v>
      </c>
      <c r="U14769" t="s">
        <v>60428</v>
      </c>
      <c r="V14769" t="s">
        <v>63271</v>
      </c>
      <c r="W14769" t="s">
        <v>46405</v>
      </c>
      <c r="X14769" t="s">
        <v>46593</v>
      </c>
    </row>
    <row r="14770" spans="1:24">
      <c r="A14770">
        <f>HYPERLINK("https://www.philgeps.gov.ph/GEPSNONPILOT/Tender/SplashBidNoticeAbstractUI.aspx?menuIndex=3&amp;refID=7031904&amp;Result=3","7031904")</f>
        <v>0</v>
      </c>
      <c r="B14770" t="s">
        <v>1391</v>
      </c>
      <c r="C14770" t="s">
        <v>17583</v>
      </c>
      <c r="D14770" t="s">
        <v>18827</v>
      </c>
      <c r="E14770" t="s">
        <v>31596</v>
      </c>
      <c r="F14770" t="s">
        <v>32664</v>
      </c>
      <c r="G14770" t="s">
        <v>32672</v>
      </c>
      <c r="H14770" t="s">
        <v>32683</v>
      </c>
      <c r="I14770" t="s">
        <v>10627</v>
      </c>
      <c r="J14770" t="s">
        <v>41565</v>
      </c>
      <c r="K14770" t="s">
        <v>42296</v>
      </c>
      <c r="M14770" t="s">
        <v>44047</v>
      </c>
      <c r="N14770" t="s">
        <v>46569</v>
      </c>
      <c r="O14770" t="s">
        <v>46570</v>
      </c>
      <c r="P14770">
        <v>0</v>
      </c>
      <c r="Q14770">
        <v>1</v>
      </c>
      <c r="R14770" t="s">
        <v>46590</v>
      </c>
      <c r="S14770" t="s">
        <v>47546</v>
      </c>
      <c r="T14770" t="s">
        <v>48290</v>
      </c>
      <c r="U14770" t="s">
        <v>60639</v>
      </c>
      <c r="V14770" t="s">
        <v>63272</v>
      </c>
      <c r="W14770" t="s">
        <v>44047</v>
      </c>
      <c r="X14770" t="s">
        <v>46591</v>
      </c>
    </row>
    <row r="14771" spans="1:24">
      <c r="A14771">
        <f>HYPERLINK("https://www.philgeps.gov.ph/GEPSNONPILOT/Tender/SplashBidNoticeAbstractUI.aspx?menuIndex=3&amp;refID=7024988&amp;Result=3","7024988")</f>
        <v>0</v>
      </c>
      <c r="B14771" t="s">
        <v>2236</v>
      </c>
      <c r="C14771" t="s">
        <v>17584</v>
      </c>
      <c r="D14771" t="s">
        <v>18805</v>
      </c>
      <c r="E14771" t="s">
        <v>31597</v>
      </c>
      <c r="F14771" t="s">
        <v>32664</v>
      </c>
      <c r="G14771" t="s">
        <v>32672</v>
      </c>
      <c r="H14771" t="s">
        <v>12635</v>
      </c>
      <c r="I14771" t="s">
        <v>32686</v>
      </c>
      <c r="J14771" t="s">
        <v>41566</v>
      </c>
      <c r="K14771" t="s">
        <v>42283</v>
      </c>
      <c r="M14771" t="s">
        <v>45000</v>
      </c>
      <c r="N14771" t="s">
        <v>46569</v>
      </c>
      <c r="O14771" t="s">
        <v>46570</v>
      </c>
      <c r="Q14771">
        <v>0</v>
      </c>
      <c r="R14771" t="s">
        <v>46591</v>
      </c>
      <c r="S14771" t="s">
        <v>47597</v>
      </c>
      <c r="T14771" t="s">
        <v>48228</v>
      </c>
      <c r="U14771" t="s">
        <v>54702</v>
      </c>
      <c r="W14771" t="s">
        <v>45000</v>
      </c>
      <c r="X14771" t="s">
        <v>46593</v>
      </c>
    </row>
    <row r="14772" spans="1:24">
      <c r="A14772">
        <f>HYPERLINK("https://www.philgeps.gov.ph/GEPSNONPILOT/Tender/SplashBidNoticeAbstractUI.aspx?menuIndex=3&amp;refID=7031903&amp;Result=3","7031903")</f>
        <v>0</v>
      </c>
      <c r="B14772" t="s">
        <v>3444</v>
      </c>
      <c r="C14772" t="s">
        <v>17585</v>
      </c>
      <c r="D14772" t="s">
        <v>18839</v>
      </c>
      <c r="E14772" t="s">
        <v>31598</v>
      </c>
      <c r="F14772" t="s">
        <v>32664</v>
      </c>
      <c r="G14772" t="s">
        <v>32672</v>
      </c>
      <c r="H14772" t="s">
        <v>32683</v>
      </c>
      <c r="I14772" t="s">
        <v>10627</v>
      </c>
      <c r="J14772" t="s">
        <v>41567</v>
      </c>
      <c r="K14772" t="s">
        <v>42290</v>
      </c>
      <c r="M14772" t="s">
        <v>46432</v>
      </c>
      <c r="N14772" t="s">
        <v>46569</v>
      </c>
      <c r="O14772" t="s">
        <v>46570</v>
      </c>
      <c r="P14772">
        <v>0</v>
      </c>
      <c r="Q14772">
        <v>2</v>
      </c>
      <c r="R14772" t="s">
        <v>46590</v>
      </c>
      <c r="S14772" t="s">
        <v>47546</v>
      </c>
      <c r="T14772" t="s">
        <v>48293</v>
      </c>
      <c r="U14772" t="s">
        <v>60640</v>
      </c>
      <c r="W14772" t="s">
        <v>46432</v>
      </c>
      <c r="X14772" t="s">
        <v>46591</v>
      </c>
    </row>
    <row r="14773" spans="1:24">
      <c r="A14773">
        <f>HYPERLINK("https://www.philgeps.gov.ph/GEPSNONPILOT/Tender/SplashBidNoticeAbstractUI.aspx?menuIndex=3&amp;refID=7024775&amp;Result=3","7024775")</f>
        <v>0</v>
      </c>
      <c r="B14773" t="s">
        <v>3445</v>
      </c>
      <c r="C14773" t="s">
        <v>17586</v>
      </c>
      <c r="D14773" t="s">
        <v>18784</v>
      </c>
      <c r="E14773" t="s">
        <v>31599</v>
      </c>
      <c r="F14773" t="s">
        <v>32664</v>
      </c>
      <c r="G14773" t="s">
        <v>32672</v>
      </c>
      <c r="H14773" t="s">
        <v>32683</v>
      </c>
      <c r="I14773" t="s">
        <v>10627</v>
      </c>
      <c r="J14773" t="s">
        <v>41568</v>
      </c>
      <c r="K14773" t="s">
        <v>42281</v>
      </c>
      <c r="M14773" t="s">
        <v>46433</v>
      </c>
      <c r="N14773" t="s">
        <v>46569</v>
      </c>
      <c r="O14773" t="s">
        <v>46570</v>
      </c>
      <c r="P14773">
        <v>0</v>
      </c>
      <c r="Q14773">
        <v>0</v>
      </c>
      <c r="R14773" t="s">
        <v>46591</v>
      </c>
      <c r="S14773" t="s">
        <v>47586</v>
      </c>
      <c r="T14773" t="s">
        <v>48290</v>
      </c>
      <c r="U14773" t="s">
        <v>60641</v>
      </c>
      <c r="W14773" t="s">
        <v>46433</v>
      </c>
      <c r="X14773" t="s">
        <v>46593</v>
      </c>
    </row>
    <row r="14774" spans="1:24">
      <c r="A14774">
        <f>HYPERLINK("https://www.philgeps.gov.ph/GEPSNONPILOT/Tender/SplashBidNoticeAbstractUI.aspx?menuIndex=3&amp;refID=7024840&amp;Result=3","7024840")</f>
        <v>0</v>
      </c>
      <c r="B14774" t="s">
        <v>3424</v>
      </c>
      <c r="C14774" t="s">
        <v>17587</v>
      </c>
      <c r="D14774" t="s">
        <v>18799</v>
      </c>
      <c r="E14774" t="s">
        <v>31600</v>
      </c>
      <c r="F14774" t="s">
        <v>32664</v>
      </c>
      <c r="G14774" t="s">
        <v>32672</v>
      </c>
      <c r="H14774" t="s">
        <v>12635</v>
      </c>
      <c r="I14774" t="s">
        <v>32738</v>
      </c>
      <c r="J14774" t="s">
        <v>36239</v>
      </c>
      <c r="K14774" t="s">
        <v>42298</v>
      </c>
      <c r="M14774" t="s">
        <v>46405</v>
      </c>
      <c r="N14774" t="s">
        <v>46569</v>
      </c>
      <c r="O14774" t="s">
        <v>46570</v>
      </c>
      <c r="P14774">
        <v>0</v>
      </c>
      <c r="Q14774">
        <v>7</v>
      </c>
      <c r="R14774" t="s">
        <v>46591</v>
      </c>
      <c r="S14774" t="s">
        <v>47586</v>
      </c>
      <c r="T14774" t="s">
        <v>48221</v>
      </c>
      <c r="U14774" t="s">
        <v>60428</v>
      </c>
      <c r="V14774" t="s">
        <v>63269</v>
      </c>
      <c r="W14774" t="s">
        <v>46405</v>
      </c>
      <c r="X14774" t="s">
        <v>46593</v>
      </c>
    </row>
    <row r="14775" spans="1:24">
      <c r="A14775">
        <f>HYPERLINK("https://www.philgeps.gov.ph/GEPSNONPILOT/Tender/SplashBidNoticeAbstractUI.aspx?menuIndex=3&amp;refID=7027129&amp;Result=3","7027129")</f>
        <v>0</v>
      </c>
      <c r="B14775" t="s">
        <v>3446</v>
      </c>
      <c r="C14775" t="s">
        <v>17588</v>
      </c>
      <c r="D14775" t="s">
        <v>18844</v>
      </c>
      <c r="E14775" t="s">
        <v>19597</v>
      </c>
      <c r="F14775" t="s">
        <v>32664</v>
      </c>
      <c r="G14775" t="s">
        <v>32672</v>
      </c>
      <c r="H14775" t="s">
        <v>32683</v>
      </c>
      <c r="I14775" t="s">
        <v>10627</v>
      </c>
      <c r="J14775" t="s">
        <v>41569</v>
      </c>
      <c r="K14775" t="s">
        <v>42290</v>
      </c>
      <c r="M14775" t="s">
        <v>46434</v>
      </c>
      <c r="N14775" t="s">
        <v>46569</v>
      </c>
      <c r="O14775" t="s">
        <v>46570</v>
      </c>
      <c r="P14775">
        <v>0</v>
      </c>
      <c r="Q14775">
        <v>2</v>
      </c>
      <c r="R14775" t="s">
        <v>46591</v>
      </c>
      <c r="S14775" t="s">
        <v>47586</v>
      </c>
      <c r="T14775" t="s">
        <v>48228</v>
      </c>
      <c r="U14775" t="s">
        <v>60642</v>
      </c>
      <c r="W14775" t="s">
        <v>46434</v>
      </c>
      <c r="X14775" t="s">
        <v>46592</v>
      </c>
    </row>
    <row r="14776" spans="1:24">
      <c r="A14776">
        <f>HYPERLINK("https://www.philgeps.gov.ph/GEPSNONPILOT/Tender/SplashBidNoticeAbstractUI.aspx?menuIndex=3&amp;refID=7027387&amp;Result=3","7027387")</f>
        <v>0</v>
      </c>
      <c r="B14776" t="s">
        <v>3424</v>
      </c>
      <c r="C14776" t="s">
        <v>17589</v>
      </c>
      <c r="D14776" t="s">
        <v>18799</v>
      </c>
      <c r="E14776" t="s">
        <v>31601</v>
      </c>
      <c r="F14776" t="s">
        <v>32664</v>
      </c>
      <c r="G14776" t="s">
        <v>32672</v>
      </c>
      <c r="H14776" t="s">
        <v>12635</v>
      </c>
      <c r="I14776" t="s">
        <v>32738</v>
      </c>
      <c r="J14776" t="s">
        <v>41570</v>
      </c>
      <c r="K14776" t="s">
        <v>42298</v>
      </c>
      <c r="M14776" t="s">
        <v>46405</v>
      </c>
      <c r="N14776" t="s">
        <v>46569</v>
      </c>
      <c r="O14776" t="s">
        <v>46570</v>
      </c>
      <c r="P14776">
        <v>0</v>
      </c>
      <c r="Q14776">
        <v>6</v>
      </c>
      <c r="R14776" t="s">
        <v>46591</v>
      </c>
      <c r="S14776" t="s">
        <v>47586</v>
      </c>
      <c r="T14776" t="s">
        <v>48221</v>
      </c>
      <c r="U14776" t="s">
        <v>60428</v>
      </c>
      <c r="V14776" t="s">
        <v>63269</v>
      </c>
      <c r="W14776" t="s">
        <v>46405</v>
      </c>
      <c r="X14776" t="s">
        <v>46592</v>
      </c>
    </row>
    <row r="14777" spans="1:24">
      <c r="A14777">
        <f>HYPERLINK("https://www.philgeps.gov.ph/GEPSNONPILOT/Tender/SplashBidNoticeAbstractUI.aspx?menuIndex=3&amp;refID=7027301&amp;Result=3","7027301")</f>
        <v>0</v>
      </c>
      <c r="B14777" t="s">
        <v>3447</v>
      </c>
      <c r="C14777" t="s">
        <v>17590</v>
      </c>
      <c r="D14777" t="s">
        <v>18826</v>
      </c>
      <c r="E14777" t="s">
        <v>31602</v>
      </c>
      <c r="F14777" t="s">
        <v>32664</v>
      </c>
      <c r="G14777" t="s">
        <v>32672</v>
      </c>
      <c r="H14777" t="s">
        <v>32683</v>
      </c>
      <c r="I14777" t="s">
        <v>10627</v>
      </c>
      <c r="J14777" t="s">
        <v>41571</v>
      </c>
      <c r="K14777" t="s">
        <v>42281</v>
      </c>
      <c r="M14777" t="s">
        <v>46435</v>
      </c>
      <c r="N14777" t="s">
        <v>46569</v>
      </c>
      <c r="O14777" t="s">
        <v>46570</v>
      </c>
      <c r="Q14777">
        <v>0</v>
      </c>
      <c r="R14777" t="s">
        <v>46591</v>
      </c>
      <c r="S14777" t="s">
        <v>47598</v>
      </c>
      <c r="T14777" t="s">
        <v>48254</v>
      </c>
      <c r="U14777" t="s">
        <v>60643</v>
      </c>
      <c r="V14777" t="s">
        <v>63273</v>
      </c>
      <c r="W14777" t="s">
        <v>46435</v>
      </c>
      <c r="X14777" t="s">
        <v>46592</v>
      </c>
    </row>
    <row r="14778" spans="1:24">
      <c r="A14778">
        <f>HYPERLINK("https://www.philgeps.gov.ph/GEPSNONPILOT/Tender/SplashBidNoticeAbstractUI.aspx?menuIndex=3&amp;refID=7027287&amp;Result=3","7027287")</f>
        <v>0</v>
      </c>
      <c r="B14778" t="s">
        <v>242</v>
      </c>
      <c r="C14778" t="s">
        <v>17591</v>
      </c>
      <c r="D14778" t="s">
        <v>18792</v>
      </c>
      <c r="E14778" t="s">
        <v>31603</v>
      </c>
      <c r="F14778" t="s">
        <v>32664</v>
      </c>
      <c r="G14778" t="s">
        <v>32672</v>
      </c>
      <c r="H14778" t="s">
        <v>32683</v>
      </c>
      <c r="I14778" t="s">
        <v>10627</v>
      </c>
      <c r="J14778" t="s">
        <v>40355</v>
      </c>
      <c r="K14778" t="s">
        <v>42327</v>
      </c>
      <c r="M14778" t="s">
        <v>42807</v>
      </c>
      <c r="N14778" t="s">
        <v>46569</v>
      </c>
      <c r="O14778" t="s">
        <v>46570</v>
      </c>
      <c r="Q14778">
        <v>4</v>
      </c>
      <c r="R14778" t="s">
        <v>46591</v>
      </c>
      <c r="S14778" t="s">
        <v>47599</v>
      </c>
      <c r="T14778" t="s">
        <v>48258</v>
      </c>
      <c r="U14778" t="s">
        <v>60644</v>
      </c>
      <c r="W14778" t="s">
        <v>42807</v>
      </c>
      <c r="X14778" t="s">
        <v>46592</v>
      </c>
    </row>
    <row r="14779" spans="1:24">
      <c r="A14779">
        <f>HYPERLINK("https://www.philgeps.gov.ph/GEPSNONPILOT/Tender/SplashBidNoticeAbstractUI.aspx?menuIndex=3&amp;refID=7027281&amp;Result=3","7027281")</f>
        <v>0</v>
      </c>
      <c r="B14779" t="s">
        <v>3446</v>
      </c>
      <c r="C14779" t="s">
        <v>17592</v>
      </c>
      <c r="D14779" t="s">
        <v>18844</v>
      </c>
      <c r="E14779" t="s">
        <v>22399</v>
      </c>
      <c r="F14779" t="s">
        <v>32664</v>
      </c>
      <c r="G14779" t="s">
        <v>32672</v>
      </c>
      <c r="H14779" t="s">
        <v>32683</v>
      </c>
      <c r="I14779" t="s">
        <v>10627</v>
      </c>
      <c r="J14779" t="s">
        <v>41572</v>
      </c>
      <c r="K14779" t="s">
        <v>42290</v>
      </c>
      <c r="M14779" t="s">
        <v>46434</v>
      </c>
      <c r="N14779" t="s">
        <v>46569</v>
      </c>
      <c r="O14779" t="s">
        <v>46570</v>
      </c>
      <c r="P14779">
        <v>0</v>
      </c>
      <c r="Q14779">
        <v>1</v>
      </c>
      <c r="R14779" t="s">
        <v>46591</v>
      </c>
      <c r="S14779" t="s">
        <v>47586</v>
      </c>
      <c r="T14779" t="s">
        <v>48228</v>
      </c>
      <c r="U14779" t="s">
        <v>60645</v>
      </c>
      <c r="W14779" t="s">
        <v>46434</v>
      </c>
      <c r="X14779" t="s">
        <v>46592</v>
      </c>
    </row>
    <row r="14780" spans="1:24">
      <c r="A14780">
        <f>HYPERLINK("https://www.philgeps.gov.ph/GEPSNONPILOT/Tender/SplashBidNoticeAbstractUI.aspx?menuIndex=3&amp;refID=7023830&amp;Result=3","7023830")</f>
        <v>0</v>
      </c>
      <c r="B14780" t="s">
        <v>899</v>
      </c>
      <c r="C14780" t="s">
        <v>17593</v>
      </c>
      <c r="D14780" t="s">
        <v>18831</v>
      </c>
      <c r="E14780" t="s">
        <v>31604</v>
      </c>
      <c r="F14780" t="s">
        <v>32664</v>
      </c>
      <c r="G14780" t="s">
        <v>32672</v>
      </c>
      <c r="H14780" t="s">
        <v>32683</v>
      </c>
      <c r="I14780" t="s">
        <v>10627</v>
      </c>
      <c r="J14780" t="s">
        <v>41573</v>
      </c>
      <c r="K14780" t="s">
        <v>42281</v>
      </c>
      <c r="M14780" t="s">
        <v>43503</v>
      </c>
      <c r="N14780" t="s">
        <v>46569</v>
      </c>
      <c r="O14780" t="s">
        <v>46570</v>
      </c>
      <c r="P14780">
        <v>0</v>
      </c>
      <c r="Q14780">
        <v>1</v>
      </c>
      <c r="R14780" t="s">
        <v>46591</v>
      </c>
      <c r="S14780" t="s">
        <v>47586</v>
      </c>
      <c r="T14780" t="s">
        <v>48221</v>
      </c>
      <c r="U14780" t="s">
        <v>60646</v>
      </c>
      <c r="W14780" t="s">
        <v>43503</v>
      </c>
      <c r="X14780" t="s">
        <v>46594</v>
      </c>
    </row>
    <row r="14781" spans="1:24">
      <c r="A14781">
        <f>HYPERLINK("https://www.philgeps.gov.ph/GEPSNONPILOT/Tender/SplashBidNoticeAbstractUI.aspx?menuIndex=3&amp;refID=7027277&amp;Result=3","7027277")</f>
        <v>0</v>
      </c>
      <c r="B14781" t="s">
        <v>3424</v>
      </c>
      <c r="C14781" t="s">
        <v>17594</v>
      </c>
      <c r="D14781" t="s">
        <v>18799</v>
      </c>
      <c r="E14781" t="s">
        <v>31605</v>
      </c>
      <c r="F14781" t="s">
        <v>32664</v>
      </c>
      <c r="G14781" t="s">
        <v>32672</v>
      </c>
      <c r="H14781" t="s">
        <v>12635</v>
      </c>
      <c r="I14781" t="s">
        <v>4333</v>
      </c>
      <c r="J14781" t="s">
        <v>41574</v>
      </c>
      <c r="K14781" t="s">
        <v>42298</v>
      </c>
      <c r="M14781" t="s">
        <v>46405</v>
      </c>
      <c r="N14781" t="s">
        <v>46569</v>
      </c>
      <c r="O14781" t="s">
        <v>46570</v>
      </c>
      <c r="P14781">
        <v>0</v>
      </c>
      <c r="Q14781">
        <v>12</v>
      </c>
      <c r="R14781" t="s">
        <v>46591</v>
      </c>
      <c r="S14781" t="s">
        <v>47586</v>
      </c>
      <c r="T14781" t="s">
        <v>48221</v>
      </c>
      <c r="U14781" t="s">
        <v>60428</v>
      </c>
      <c r="V14781" t="s">
        <v>63269</v>
      </c>
      <c r="W14781" t="s">
        <v>46405</v>
      </c>
      <c r="X14781" t="s">
        <v>46592</v>
      </c>
    </row>
    <row r="14782" spans="1:24">
      <c r="A14782">
        <f>HYPERLINK("https://www.philgeps.gov.ph/GEPSNONPILOT/Tender/SplashBidNoticeAbstractUI.aspx?menuIndex=3&amp;refID=7027227&amp;Result=3","7027227")</f>
        <v>0</v>
      </c>
      <c r="B14782" t="s">
        <v>780</v>
      </c>
      <c r="C14782" t="s">
        <v>17595</v>
      </c>
      <c r="D14782" t="s">
        <v>18820</v>
      </c>
      <c r="E14782" t="s">
        <v>31606</v>
      </c>
      <c r="F14782" t="s">
        <v>32664</v>
      </c>
      <c r="G14782" t="s">
        <v>32672</v>
      </c>
      <c r="H14782" t="s">
        <v>32683</v>
      </c>
      <c r="I14782" t="s">
        <v>10627</v>
      </c>
      <c r="J14782" t="s">
        <v>41575</v>
      </c>
      <c r="K14782" t="s">
        <v>42285</v>
      </c>
      <c r="M14782" t="s">
        <v>43372</v>
      </c>
      <c r="N14782" t="s">
        <v>46569</v>
      </c>
      <c r="O14782" t="s">
        <v>46570</v>
      </c>
      <c r="P14782">
        <v>0</v>
      </c>
      <c r="Q14782">
        <v>3</v>
      </c>
      <c r="R14782" t="s">
        <v>46591</v>
      </c>
      <c r="S14782" t="s">
        <v>47586</v>
      </c>
      <c r="T14782" t="s">
        <v>48425</v>
      </c>
      <c r="U14782" t="s">
        <v>60647</v>
      </c>
      <c r="W14782" t="s">
        <v>43372</v>
      </c>
      <c r="X14782" t="s">
        <v>46592</v>
      </c>
    </row>
    <row r="14783" spans="1:24">
      <c r="A14783">
        <f>HYPERLINK("https://www.philgeps.gov.ph/GEPSNONPILOT/Tender/SplashBidNoticeAbstractUI.aspx?menuIndex=3&amp;refID=7026359&amp;Result=3","7026359")</f>
        <v>0</v>
      </c>
      <c r="B14783" t="s">
        <v>3315</v>
      </c>
      <c r="C14783" t="s">
        <v>4211</v>
      </c>
      <c r="D14783" t="s">
        <v>18851</v>
      </c>
      <c r="E14783" t="s">
        <v>31607</v>
      </c>
      <c r="F14783" t="s">
        <v>32664</v>
      </c>
      <c r="G14783" t="s">
        <v>32672</v>
      </c>
      <c r="H14783" t="s">
        <v>12635</v>
      </c>
      <c r="I14783" t="s">
        <v>9486</v>
      </c>
      <c r="J14783" t="s">
        <v>41576</v>
      </c>
      <c r="K14783" t="s">
        <v>42283</v>
      </c>
      <c r="M14783" t="s">
        <v>46263</v>
      </c>
      <c r="N14783" t="s">
        <v>46569</v>
      </c>
      <c r="O14783" t="s">
        <v>46570</v>
      </c>
      <c r="P14783">
        <v>0</v>
      </c>
      <c r="Q14783">
        <v>4</v>
      </c>
      <c r="R14783" t="s">
        <v>46591</v>
      </c>
      <c r="S14783" t="s">
        <v>47586</v>
      </c>
      <c r="T14783" t="s">
        <v>48221</v>
      </c>
      <c r="U14783" t="s">
        <v>60648</v>
      </c>
      <c r="W14783" t="s">
        <v>46263</v>
      </c>
      <c r="X14783" t="s">
        <v>46593</v>
      </c>
    </row>
    <row r="14784" spans="1:24">
      <c r="A14784">
        <f>HYPERLINK("https://www.philgeps.gov.ph/GEPSNONPILOT/Tender/SplashBidNoticeAbstractUI.aspx?menuIndex=3&amp;refID=7027222&amp;Result=3","7027222")</f>
        <v>0</v>
      </c>
      <c r="B14784" t="s">
        <v>394</v>
      </c>
      <c r="C14784" t="s">
        <v>17596</v>
      </c>
      <c r="D14784" t="s">
        <v>18826</v>
      </c>
      <c r="E14784" t="s">
        <v>31608</v>
      </c>
      <c r="F14784" t="s">
        <v>32664</v>
      </c>
      <c r="G14784" t="s">
        <v>32672</v>
      </c>
      <c r="H14784" t="s">
        <v>12635</v>
      </c>
      <c r="I14784" t="s">
        <v>9486</v>
      </c>
      <c r="J14784" t="s">
        <v>41577</v>
      </c>
      <c r="K14784" t="s">
        <v>42289</v>
      </c>
      <c r="M14784" t="s">
        <v>42964</v>
      </c>
      <c r="N14784" t="s">
        <v>46569</v>
      </c>
      <c r="O14784" t="s">
        <v>46570</v>
      </c>
      <c r="Q14784">
        <v>16</v>
      </c>
      <c r="R14784" t="s">
        <v>46591</v>
      </c>
      <c r="S14784" t="s">
        <v>47600</v>
      </c>
      <c r="T14784" t="s">
        <v>48293</v>
      </c>
      <c r="U14784" t="s">
        <v>60649</v>
      </c>
      <c r="W14784" t="s">
        <v>42964</v>
      </c>
      <c r="X14784" t="s">
        <v>46592</v>
      </c>
    </row>
    <row r="14785" spans="1:24">
      <c r="A14785">
        <f>HYPERLINK("https://www.philgeps.gov.ph/GEPSNONPILOT/Tender/SplashBidNoticeAbstractUI.aspx?menuIndex=3&amp;refID=7027216&amp;Result=3","7027216")</f>
        <v>0</v>
      </c>
      <c r="B14785" t="s">
        <v>3448</v>
      </c>
      <c r="C14785" t="s">
        <v>17597</v>
      </c>
      <c r="D14785" t="s">
        <v>18816</v>
      </c>
      <c r="E14785" t="s">
        <v>31609</v>
      </c>
      <c r="F14785" t="s">
        <v>32664</v>
      </c>
      <c r="G14785" t="s">
        <v>32672</v>
      </c>
      <c r="H14785" t="s">
        <v>32683</v>
      </c>
      <c r="I14785" t="s">
        <v>32723</v>
      </c>
      <c r="J14785" t="s">
        <v>41578</v>
      </c>
      <c r="K14785" t="s">
        <v>42290</v>
      </c>
      <c r="M14785" t="s">
        <v>46436</v>
      </c>
      <c r="N14785" t="s">
        <v>46569</v>
      </c>
      <c r="O14785" t="s">
        <v>46570</v>
      </c>
      <c r="P14785">
        <v>0</v>
      </c>
      <c r="Q14785">
        <v>2</v>
      </c>
      <c r="R14785" t="s">
        <v>46591</v>
      </c>
      <c r="S14785" t="s">
        <v>47586</v>
      </c>
      <c r="T14785" t="s">
        <v>48290</v>
      </c>
      <c r="U14785" t="s">
        <v>60650</v>
      </c>
      <c r="W14785" t="s">
        <v>46436</v>
      </c>
      <c r="X14785" t="s">
        <v>46592</v>
      </c>
    </row>
    <row r="14786" spans="1:24">
      <c r="A14786">
        <f>HYPERLINK("https://www.philgeps.gov.ph/GEPSNONPILOT/Tender/SplashBidNoticeAbstractUI.aspx?menuIndex=3&amp;refID=7027174&amp;Result=3","7027174")</f>
        <v>0</v>
      </c>
      <c r="B14786" t="s">
        <v>1442</v>
      </c>
      <c r="C14786" t="s">
        <v>17598</v>
      </c>
      <c r="E14786" t="s">
        <v>31610</v>
      </c>
      <c r="F14786" t="s">
        <v>32664</v>
      </c>
      <c r="G14786" t="s">
        <v>32672</v>
      </c>
      <c r="H14786" t="s">
        <v>12635</v>
      </c>
      <c r="I14786" t="s">
        <v>4439</v>
      </c>
      <c r="J14786" t="s">
        <v>41579</v>
      </c>
      <c r="K14786" t="s">
        <v>42281</v>
      </c>
      <c r="M14786" t="s">
        <v>45920</v>
      </c>
      <c r="N14786" t="s">
        <v>46569</v>
      </c>
      <c r="O14786" t="s">
        <v>46570</v>
      </c>
      <c r="P14786">
        <v>0</v>
      </c>
      <c r="Q14786">
        <v>3</v>
      </c>
      <c r="R14786" t="s">
        <v>46591</v>
      </c>
      <c r="S14786" t="s">
        <v>47586</v>
      </c>
      <c r="T14786" t="s">
        <v>48448</v>
      </c>
      <c r="U14786" t="s">
        <v>56481</v>
      </c>
      <c r="W14786" t="s">
        <v>45920</v>
      </c>
      <c r="X14786" t="s">
        <v>46592</v>
      </c>
    </row>
    <row r="14787" spans="1:24">
      <c r="A14787">
        <f>HYPERLINK("https://www.philgeps.gov.ph/GEPSNONPILOT/Tender/SplashBidNoticeAbstractUI.aspx?menuIndex=3&amp;refID=7027354&amp;Result=3","7027354")</f>
        <v>0</v>
      </c>
      <c r="B14787" t="s">
        <v>3446</v>
      </c>
      <c r="C14787" t="s">
        <v>17599</v>
      </c>
      <c r="D14787" t="s">
        <v>18844</v>
      </c>
      <c r="E14787" t="s">
        <v>31510</v>
      </c>
      <c r="F14787" t="s">
        <v>32664</v>
      </c>
      <c r="G14787" t="s">
        <v>32672</v>
      </c>
      <c r="H14787" t="s">
        <v>32683</v>
      </c>
      <c r="I14787" t="s">
        <v>10627</v>
      </c>
      <c r="J14787" t="s">
        <v>41580</v>
      </c>
      <c r="K14787" t="s">
        <v>42290</v>
      </c>
      <c r="M14787" t="s">
        <v>46434</v>
      </c>
      <c r="N14787" t="s">
        <v>46569</v>
      </c>
      <c r="O14787" t="s">
        <v>46570</v>
      </c>
      <c r="P14787">
        <v>0</v>
      </c>
      <c r="Q14787">
        <v>1</v>
      </c>
      <c r="R14787" t="s">
        <v>46591</v>
      </c>
      <c r="S14787" t="s">
        <v>47586</v>
      </c>
      <c r="T14787" t="s">
        <v>48228</v>
      </c>
      <c r="U14787" t="s">
        <v>60651</v>
      </c>
      <c r="W14787" t="s">
        <v>46434</v>
      </c>
      <c r="X14787" t="s">
        <v>46592</v>
      </c>
    </row>
    <row r="14788" spans="1:24">
      <c r="A14788">
        <f>HYPERLINK("https://www.philgeps.gov.ph/GEPSNONPILOT/Tender/SplashBidNoticeAbstractUI.aspx?menuIndex=3&amp;refID=7027199&amp;Result=3","7027199")</f>
        <v>0</v>
      </c>
      <c r="B14788" t="s">
        <v>3446</v>
      </c>
      <c r="C14788" t="s">
        <v>17600</v>
      </c>
      <c r="D14788" t="s">
        <v>18844</v>
      </c>
      <c r="E14788" t="s">
        <v>19699</v>
      </c>
      <c r="F14788" t="s">
        <v>32664</v>
      </c>
      <c r="G14788" t="s">
        <v>32672</v>
      </c>
      <c r="H14788" t="s">
        <v>32683</v>
      </c>
      <c r="I14788" t="s">
        <v>10627</v>
      </c>
      <c r="J14788" t="s">
        <v>41581</v>
      </c>
      <c r="K14788" t="s">
        <v>42290</v>
      </c>
      <c r="M14788" t="s">
        <v>46434</v>
      </c>
      <c r="N14788" t="s">
        <v>46569</v>
      </c>
      <c r="O14788" t="s">
        <v>46570</v>
      </c>
      <c r="P14788">
        <v>0</v>
      </c>
      <c r="Q14788">
        <v>3</v>
      </c>
      <c r="R14788" t="s">
        <v>46591</v>
      </c>
      <c r="S14788" t="s">
        <v>47586</v>
      </c>
      <c r="T14788" t="s">
        <v>48228</v>
      </c>
      <c r="U14788" t="s">
        <v>60652</v>
      </c>
      <c r="W14788" t="s">
        <v>46434</v>
      </c>
      <c r="X14788" t="s">
        <v>46592</v>
      </c>
    </row>
    <row r="14789" spans="1:24">
      <c r="A14789">
        <f>HYPERLINK("https://www.philgeps.gov.ph/GEPSNONPILOT/Tender/SplashBidNoticeAbstractUI.aspx?menuIndex=3&amp;refID=7027147&amp;Result=3","7027147")</f>
        <v>0</v>
      </c>
      <c r="B14789" t="s">
        <v>3446</v>
      </c>
      <c r="C14789" t="s">
        <v>17601</v>
      </c>
      <c r="D14789" t="s">
        <v>18844</v>
      </c>
      <c r="E14789" t="s">
        <v>20732</v>
      </c>
      <c r="F14789" t="s">
        <v>32664</v>
      </c>
      <c r="G14789" t="s">
        <v>32672</v>
      </c>
      <c r="H14789" t="s">
        <v>32683</v>
      </c>
      <c r="I14789" t="s">
        <v>10627</v>
      </c>
      <c r="J14789" t="s">
        <v>41582</v>
      </c>
      <c r="K14789" t="s">
        <v>42290</v>
      </c>
      <c r="M14789" t="s">
        <v>46434</v>
      </c>
      <c r="N14789" t="s">
        <v>46569</v>
      </c>
      <c r="O14789" t="s">
        <v>46570</v>
      </c>
      <c r="P14789">
        <v>0</v>
      </c>
      <c r="Q14789">
        <v>1</v>
      </c>
      <c r="R14789" t="s">
        <v>46591</v>
      </c>
      <c r="S14789" t="s">
        <v>47586</v>
      </c>
      <c r="T14789" t="s">
        <v>48228</v>
      </c>
      <c r="U14789" t="s">
        <v>60653</v>
      </c>
      <c r="W14789" t="s">
        <v>46434</v>
      </c>
      <c r="X14789" t="s">
        <v>46592</v>
      </c>
    </row>
    <row r="14790" spans="1:24">
      <c r="A14790">
        <f>HYPERLINK("https://www.philgeps.gov.ph/GEPSNONPILOT/Tender/SplashBidNoticeAbstractUI.aspx?menuIndex=3&amp;refID=7023821&amp;Result=3","7023821")</f>
        <v>0</v>
      </c>
      <c r="B14790" t="s">
        <v>899</v>
      </c>
      <c r="C14790" t="s">
        <v>17602</v>
      </c>
      <c r="D14790" t="s">
        <v>18831</v>
      </c>
      <c r="E14790" t="s">
        <v>31611</v>
      </c>
      <c r="F14790" t="s">
        <v>32664</v>
      </c>
      <c r="G14790" t="s">
        <v>32672</v>
      </c>
      <c r="H14790" t="s">
        <v>32683</v>
      </c>
      <c r="I14790" t="s">
        <v>10627</v>
      </c>
      <c r="J14790" t="s">
        <v>32837</v>
      </c>
      <c r="K14790" t="s">
        <v>42311</v>
      </c>
      <c r="M14790" t="s">
        <v>43503</v>
      </c>
      <c r="N14790" t="s">
        <v>46569</v>
      </c>
      <c r="O14790" t="s">
        <v>46570</v>
      </c>
      <c r="P14790">
        <v>0</v>
      </c>
      <c r="Q14790">
        <v>2</v>
      </c>
      <c r="R14790" t="s">
        <v>46591</v>
      </c>
      <c r="S14790" t="s">
        <v>47586</v>
      </c>
      <c r="T14790" t="s">
        <v>48221</v>
      </c>
      <c r="U14790" t="s">
        <v>60654</v>
      </c>
      <c r="W14790" t="s">
        <v>43503</v>
      </c>
      <c r="X14790" t="s">
        <v>46594</v>
      </c>
    </row>
    <row r="14791" spans="1:24">
      <c r="A14791">
        <f>HYPERLINK("https://www.philgeps.gov.ph/GEPSNONPILOT/Tender/SplashBidNoticeAbstractUI.aspx?menuIndex=3&amp;refID=7027130&amp;Result=3","7027130")</f>
        <v>0</v>
      </c>
      <c r="B14791" t="s">
        <v>135</v>
      </c>
      <c r="C14791" t="s">
        <v>17603</v>
      </c>
      <c r="D14791" t="s">
        <v>18807</v>
      </c>
      <c r="E14791" t="s">
        <v>31612</v>
      </c>
      <c r="F14791" t="s">
        <v>32664</v>
      </c>
      <c r="G14791" t="s">
        <v>32672</v>
      </c>
      <c r="H14791" t="s">
        <v>12635</v>
      </c>
      <c r="I14791" t="s">
        <v>4439</v>
      </c>
      <c r="J14791" t="s">
        <v>41583</v>
      </c>
      <c r="K14791" t="s">
        <v>42281</v>
      </c>
      <c r="M14791" t="s">
        <v>42699</v>
      </c>
      <c r="N14791" t="s">
        <v>46569</v>
      </c>
      <c r="O14791" t="s">
        <v>46570</v>
      </c>
      <c r="P14791">
        <v>0</v>
      </c>
      <c r="Q14791">
        <v>0</v>
      </c>
      <c r="R14791" t="s">
        <v>46591</v>
      </c>
      <c r="S14791" t="s">
        <v>47586</v>
      </c>
      <c r="T14791" t="s">
        <v>48228</v>
      </c>
      <c r="U14791" t="s">
        <v>49052</v>
      </c>
      <c r="V14791" t="s">
        <v>61650</v>
      </c>
      <c r="W14791" t="s">
        <v>42699</v>
      </c>
      <c r="X14791" t="s">
        <v>46592</v>
      </c>
    </row>
    <row r="14792" spans="1:24">
      <c r="A14792">
        <f>HYPERLINK("https://www.philgeps.gov.ph/GEPSNONPILOT/Tender/SplashBidNoticeAbstractUI.aspx?menuIndex=3&amp;refID=7027162&amp;Result=3","7027162")</f>
        <v>0</v>
      </c>
      <c r="B14792" t="s">
        <v>1442</v>
      </c>
      <c r="C14792" t="s">
        <v>17604</v>
      </c>
      <c r="E14792" t="s">
        <v>31613</v>
      </c>
      <c r="F14792" t="s">
        <v>32664</v>
      </c>
      <c r="G14792" t="s">
        <v>32672</v>
      </c>
      <c r="H14792" t="s">
        <v>12635</v>
      </c>
      <c r="I14792" t="s">
        <v>4439</v>
      </c>
      <c r="J14792" t="s">
        <v>41584</v>
      </c>
      <c r="K14792" t="s">
        <v>42281</v>
      </c>
      <c r="M14792" t="s">
        <v>45920</v>
      </c>
      <c r="N14792" t="s">
        <v>46569</v>
      </c>
      <c r="O14792" t="s">
        <v>46570</v>
      </c>
      <c r="P14792">
        <v>0</v>
      </c>
      <c r="Q14792">
        <v>1</v>
      </c>
      <c r="R14792" t="s">
        <v>46591</v>
      </c>
      <c r="S14792" t="s">
        <v>47586</v>
      </c>
      <c r="T14792" t="s">
        <v>48448</v>
      </c>
      <c r="U14792" t="s">
        <v>56481</v>
      </c>
      <c r="W14792" t="s">
        <v>45920</v>
      </c>
      <c r="X14792" t="s">
        <v>46592</v>
      </c>
    </row>
    <row r="14793" spans="1:24">
      <c r="A14793">
        <f>HYPERLINK("https://www.philgeps.gov.ph/GEPSNONPILOT/Tender/SplashBidNoticeAbstractUI.aspx?menuIndex=3&amp;refID=7027127&amp;Result=3","7027127")</f>
        <v>0</v>
      </c>
      <c r="B14793" t="s">
        <v>231</v>
      </c>
      <c r="C14793" t="s">
        <v>17605</v>
      </c>
      <c r="D14793" t="s">
        <v>18845</v>
      </c>
      <c r="E14793" t="s">
        <v>31614</v>
      </c>
      <c r="F14793" t="s">
        <v>32664</v>
      </c>
      <c r="G14793" t="s">
        <v>32671</v>
      </c>
      <c r="H14793" t="s">
        <v>12635</v>
      </c>
      <c r="I14793" t="s">
        <v>32701</v>
      </c>
      <c r="J14793" t="s">
        <v>41585</v>
      </c>
      <c r="K14793" t="s">
        <v>42281</v>
      </c>
      <c r="M14793" t="s">
        <v>42795</v>
      </c>
      <c r="N14793" t="s">
        <v>46569</v>
      </c>
      <c r="O14793" t="s">
        <v>46570</v>
      </c>
      <c r="Q14793">
        <v>0</v>
      </c>
      <c r="R14793" t="s">
        <v>46591</v>
      </c>
      <c r="S14793" t="s">
        <v>47601</v>
      </c>
      <c r="T14793" t="s">
        <v>48287</v>
      </c>
      <c r="U14793" t="s">
        <v>60655</v>
      </c>
      <c r="W14793" t="s">
        <v>42795</v>
      </c>
      <c r="X14793" t="s">
        <v>46592</v>
      </c>
    </row>
    <row r="14794" spans="1:24">
      <c r="A14794">
        <f>HYPERLINK("https://www.philgeps.gov.ph/GEPSNONPILOT/Tender/SplashBidNoticeAbstractUI.aspx?menuIndex=3&amp;refID=7031881&amp;Result=3","7031881")</f>
        <v>0</v>
      </c>
      <c r="B14794" t="s">
        <v>2045</v>
      </c>
      <c r="C14794" t="s">
        <v>17606</v>
      </c>
      <c r="D14794" t="s">
        <v>18818</v>
      </c>
      <c r="E14794" t="s">
        <v>31615</v>
      </c>
      <c r="F14794" t="s">
        <v>32664</v>
      </c>
      <c r="G14794" t="s">
        <v>32672</v>
      </c>
      <c r="H14794" t="s">
        <v>12635</v>
      </c>
      <c r="I14794" t="s">
        <v>32708</v>
      </c>
      <c r="J14794" t="s">
        <v>34148</v>
      </c>
      <c r="K14794" t="s">
        <v>42369</v>
      </c>
      <c r="M14794" t="s">
        <v>44792</v>
      </c>
      <c r="N14794" t="s">
        <v>46569</v>
      </c>
      <c r="O14794" t="s">
        <v>46570</v>
      </c>
      <c r="Q14794">
        <v>20</v>
      </c>
      <c r="R14794" t="s">
        <v>46590</v>
      </c>
      <c r="S14794" t="s">
        <v>47602</v>
      </c>
      <c r="T14794" t="s">
        <v>48285</v>
      </c>
      <c r="U14794" t="s">
        <v>60656</v>
      </c>
      <c r="W14794" t="s">
        <v>44792</v>
      </c>
      <c r="X14794" t="s">
        <v>46591</v>
      </c>
    </row>
    <row r="14795" spans="1:24">
      <c r="A14795">
        <f>HYPERLINK("https://www.philgeps.gov.ph/GEPSNONPILOT/Tender/SplashBidNoticeAbstractUI.aspx?menuIndex=3&amp;refID=7031877&amp;Result=3","7031877")</f>
        <v>0</v>
      </c>
      <c r="B14795" t="s">
        <v>2045</v>
      </c>
      <c r="C14795" t="s">
        <v>17607</v>
      </c>
      <c r="D14795" t="s">
        <v>18818</v>
      </c>
      <c r="E14795" t="s">
        <v>31616</v>
      </c>
      <c r="F14795" t="s">
        <v>32664</v>
      </c>
      <c r="G14795" t="s">
        <v>32672</v>
      </c>
      <c r="H14795" t="s">
        <v>12635</v>
      </c>
      <c r="I14795" t="s">
        <v>8797</v>
      </c>
      <c r="J14795" t="s">
        <v>32962</v>
      </c>
      <c r="K14795" t="s">
        <v>42281</v>
      </c>
      <c r="M14795" t="s">
        <v>44792</v>
      </c>
      <c r="N14795" t="s">
        <v>46569</v>
      </c>
      <c r="O14795" t="s">
        <v>46570</v>
      </c>
      <c r="Q14795">
        <v>13</v>
      </c>
      <c r="R14795" t="s">
        <v>46590</v>
      </c>
      <c r="S14795" t="s">
        <v>47603</v>
      </c>
      <c r="T14795" t="s">
        <v>48285</v>
      </c>
      <c r="U14795" t="s">
        <v>60657</v>
      </c>
      <c r="W14795" t="s">
        <v>44792</v>
      </c>
      <c r="X14795" t="s">
        <v>46591</v>
      </c>
    </row>
    <row r="14796" spans="1:24">
      <c r="A14796">
        <f>HYPERLINK("https://www.philgeps.gov.ph/GEPSNONPILOT/Tender/SplashBidNoticeAbstractUI.aspx?menuIndex=3&amp;refID=7027193&amp;Result=3","7027193")</f>
        <v>0</v>
      </c>
      <c r="B14796" t="s">
        <v>3449</v>
      </c>
      <c r="C14796" t="s">
        <v>17608</v>
      </c>
      <c r="D14796" t="s">
        <v>18831</v>
      </c>
      <c r="E14796" t="s">
        <v>19581</v>
      </c>
      <c r="F14796" t="s">
        <v>32664</v>
      </c>
      <c r="G14796" t="s">
        <v>32672</v>
      </c>
      <c r="H14796" t="s">
        <v>12635</v>
      </c>
      <c r="I14796" t="s">
        <v>32704</v>
      </c>
      <c r="J14796" t="s">
        <v>36320</v>
      </c>
      <c r="K14796" t="s">
        <v>42290</v>
      </c>
      <c r="M14796" t="s">
        <v>46437</v>
      </c>
      <c r="N14796" t="s">
        <v>46569</v>
      </c>
      <c r="O14796" t="s">
        <v>46570</v>
      </c>
      <c r="Q14796">
        <v>13</v>
      </c>
      <c r="R14796" t="s">
        <v>46591</v>
      </c>
      <c r="S14796" t="s">
        <v>47604</v>
      </c>
      <c r="T14796" t="s">
        <v>48745</v>
      </c>
      <c r="U14796" t="s">
        <v>60658</v>
      </c>
      <c r="W14796" t="s">
        <v>46437</v>
      </c>
      <c r="X14796" t="s">
        <v>46592</v>
      </c>
    </row>
    <row r="14797" spans="1:24">
      <c r="A14797">
        <f>HYPERLINK("https://www.philgeps.gov.ph/GEPSNONPILOT/Tender/SplashBidNoticeAbstractUI.aspx?menuIndex=3&amp;refID=7031875&amp;Result=3","7031875")</f>
        <v>0</v>
      </c>
      <c r="B14797" t="s">
        <v>3450</v>
      </c>
      <c r="C14797" t="s">
        <v>17609</v>
      </c>
      <c r="D14797" t="s">
        <v>18842</v>
      </c>
      <c r="E14797" t="s">
        <v>19247</v>
      </c>
      <c r="F14797" t="s">
        <v>32664</v>
      </c>
      <c r="G14797" t="s">
        <v>32672</v>
      </c>
      <c r="H14797" t="s">
        <v>32683</v>
      </c>
      <c r="I14797" t="s">
        <v>10627</v>
      </c>
      <c r="J14797" t="s">
        <v>32898</v>
      </c>
      <c r="K14797" t="s">
        <v>42281</v>
      </c>
      <c r="M14797" t="s">
        <v>46438</v>
      </c>
      <c r="N14797" t="s">
        <v>46569</v>
      </c>
      <c r="O14797" t="s">
        <v>46570</v>
      </c>
      <c r="P14797">
        <v>0</v>
      </c>
      <c r="Q14797">
        <v>0</v>
      </c>
      <c r="R14797" t="s">
        <v>46590</v>
      </c>
      <c r="S14797" t="s">
        <v>47546</v>
      </c>
      <c r="T14797" t="s">
        <v>48387</v>
      </c>
      <c r="U14797" t="s">
        <v>60659</v>
      </c>
      <c r="V14797" t="s">
        <v>60659</v>
      </c>
      <c r="W14797" t="s">
        <v>46438</v>
      </c>
      <c r="X14797" t="s">
        <v>46591</v>
      </c>
    </row>
    <row r="14798" spans="1:24">
      <c r="A14798">
        <f>HYPERLINK("https://www.philgeps.gov.ph/GEPSNONPILOT/Tender/SplashBidNoticeAbstractUI.aspx?menuIndex=3&amp;refID=7031874&amp;Result=3","7031874")</f>
        <v>0</v>
      </c>
      <c r="B14798" t="s">
        <v>2045</v>
      </c>
      <c r="C14798" t="s">
        <v>17610</v>
      </c>
      <c r="D14798" t="s">
        <v>18818</v>
      </c>
      <c r="E14798" t="s">
        <v>31617</v>
      </c>
      <c r="F14798" t="s">
        <v>32664</v>
      </c>
      <c r="G14798" t="s">
        <v>32672</v>
      </c>
      <c r="H14798" t="s">
        <v>12635</v>
      </c>
      <c r="I14798" t="s">
        <v>32708</v>
      </c>
      <c r="J14798" t="s">
        <v>41586</v>
      </c>
      <c r="K14798" t="s">
        <v>42281</v>
      </c>
      <c r="M14798" t="s">
        <v>44792</v>
      </c>
      <c r="N14798" t="s">
        <v>46569</v>
      </c>
      <c r="O14798" t="s">
        <v>46570</v>
      </c>
      <c r="Q14798">
        <v>12</v>
      </c>
      <c r="R14798" t="s">
        <v>46590</v>
      </c>
      <c r="S14798" t="s">
        <v>47605</v>
      </c>
      <c r="T14798" t="s">
        <v>48285</v>
      </c>
      <c r="U14798" t="s">
        <v>60660</v>
      </c>
      <c r="W14798" t="s">
        <v>44792</v>
      </c>
      <c r="X14798" t="s">
        <v>46591</v>
      </c>
    </row>
    <row r="14799" spans="1:24">
      <c r="A14799">
        <f>HYPERLINK("https://www.philgeps.gov.ph/GEPSNONPILOT/Tender/SplashBidNoticeAbstractUI.aspx?menuIndex=3&amp;refID=7028058&amp;Result=3","7028058")</f>
        <v>0</v>
      </c>
      <c r="B14799" t="s">
        <v>1269</v>
      </c>
      <c r="C14799" t="s">
        <v>17611</v>
      </c>
      <c r="D14799" t="s">
        <v>18851</v>
      </c>
      <c r="E14799" t="s">
        <v>31618</v>
      </c>
      <c r="F14799" t="s">
        <v>32664</v>
      </c>
      <c r="G14799" t="s">
        <v>32672</v>
      </c>
      <c r="H14799" t="s">
        <v>32683</v>
      </c>
      <c r="I14799" t="s">
        <v>10627</v>
      </c>
      <c r="J14799" t="s">
        <v>41587</v>
      </c>
      <c r="K14799" t="s">
        <v>42316</v>
      </c>
      <c r="M14799" t="s">
        <v>43912</v>
      </c>
      <c r="N14799" t="s">
        <v>46569</v>
      </c>
      <c r="O14799" t="s">
        <v>46570</v>
      </c>
      <c r="P14799">
        <v>0</v>
      </c>
      <c r="Q14799">
        <v>0</v>
      </c>
      <c r="R14799" t="s">
        <v>46591</v>
      </c>
      <c r="S14799" t="s">
        <v>47586</v>
      </c>
      <c r="T14799" t="s">
        <v>48244</v>
      </c>
      <c r="U14799" t="s">
        <v>60661</v>
      </c>
      <c r="W14799" t="s">
        <v>43912</v>
      </c>
      <c r="X14799" t="s">
        <v>46592</v>
      </c>
    </row>
    <row r="14800" spans="1:24">
      <c r="A14800">
        <f>HYPERLINK("https://www.philgeps.gov.ph/GEPSNONPILOT/Tender/SplashBidNoticeAbstractUI.aspx?menuIndex=3&amp;refID=7031888&amp;Result=3","7031888")</f>
        <v>0</v>
      </c>
      <c r="B14800" t="s">
        <v>3450</v>
      </c>
      <c r="C14800" t="s">
        <v>17612</v>
      </c>
      <c r="D14800" t="s">
        <v>18842</v>
      </c>
      <c r="E14800" t="s">
        <v>25251</v>
      </c>
      <c r="F14800" t="s">
        <v>32664</v>
      </c>
      <c r="G14800" t="s">
        <v>32672</v>
      </c>
      <c r="H14800" t="s">
        <v>32683</v>
      </c>
      <c r="I14800" t="s">
        <v>10627</v>
      </c>
      <c r="J14800" t="s">
        <v>32898</v>
      </c>
      <c r="K14800" t="s">
        <v>42281</v>
      </c>
      <c r="M14800" t="s">
        <v>46438</v>
      </c>
      <c r="N14800" t="s">
        <v>46569</v>
      </c>
      <c r="O14800" t="s">
        <v>46570</v>
      </c>
      <c r="P14800">
        <v>0</v>
      </c>
      <c r="Q14800">
        <v>0</v>
      </c>
      <c r="R14800" t="s">
        <v>46590</v>
      </c>
      <c r="S14800" t="s">
        <v>47546</v>
      </c>
      <c r="T14800" t="s">
        <v>48387</v>
      </c>
      <c r="U14800" t="s">
        <v>60662</v>
      </c>
      <c r="V14800" t="s">
        <v>63274</v>
      </c>
      <c r="W14800" t="s">
        <v>46438</v>
      </c>
      <c r="X14800" t="s">
        <v>46591</v>
      </c>
    </row>
    <row r="14801" spans="1:24">
      <c r="A14801">
        <f>HYPERLINK("https://www.philgeps.gov.ph/GEPSNONPILOT/Tender/SplashBidNoticeAbstractUI.aspx?menuIndex=3&amp;refID=7028037&amp;Result=3","7028037")</f>
        <v>0</v>
      </c>
      <c r="B14801" t="s">
        <v>56</v>
      </c>
      <c r="C14801" t="s">
        <v>17613</v>
      </c>
      <c r="D14801" t="s">
        <v>18805</v>
      </c>
      <c r="E14801" t="s">
        <v>31619</v>
      </c>
      <c r="F14801" t="s">
        <v>32664</v>
      </c>
      <c r="G14801" t="s">
        <v>32672</v>
      </c>
      <c r="H14801" t="s">
        <v>32683</v>
      </c>
      <c r="I14801" t="s">
        <v>10627</v>
      </c>
      <c r="J14801" t="s">
        <v>34635</v>
      </c>
      <c r="K14801" t="s">
        <v>42484</v>
      </c>
      <c r="M14801" t="s">
        <v>42618</v>
      </c>
      <c r="N14801" t="s">
        <v>46569</v>
      </c>
      <c r="O14801" t="s">
        <v>46570</v>
      </c>
      <c r="Q14801">
        <v>10</v>
      </c>
      <c r="R14801" t="s">
        <v>46591</v>
      </c>
      <c r="S14801" t="s">
        <v>47606</v>
      </c>
      <c r="T14801" t="s">
        <v>48221</v>
      </c>
      <c r="U14801" t="s">
        <v>60663</v>
      </c>
      <c r="W14801" t="s">
        <v>42618</v>
      </c>
      <c r="X14801" t="s">
        <v>46592</v>
      </c>
    </row>
    <row r="14802" spans="1:24">
      <c r="A14802">
        <f>HYPERLINK("https://www.philgeps.gov.ph/GEPSNONPILOT/Tender/SplashBidNoticeAbstractUI.aspx?menuIndex=3&amp;refID=7028013&amp;Result=3","7028013")</f>
        <v>0</v>
      </c>
      <c r="B14802" t="s">
        <v>56</v>
      </c>
      <c r="C14802" t="s">
        <v>17614</v>
      </c>
      <c r="D14802" t="s">
        <v>18805</v>
      </c>
      <c r="E14802" t="s">
        <v>31620</v>
      </c>
      <c r="F14802" t="s">
        <v>32664</v>
      </c>
      <c r="G14802" t="s">
        <v>32672</v>
      </c>
      <c r="H14802" t="s">
        <v>32683</v>
      </c>
      <c r="I14802" t="s">
        <v>10627</v>
      </c>
      <c r="J14802" t="s">
        <v>34635</v>
      </c>
      <c r="K14802" t="s">
        <v>42484</v>
      </c>
      <c r="M14802" t="s">
        <v>42618</v>
      </c>
      <c r="N14802" t="s">
        <v>46569</v>
      </c>
      <c r="O14802" t="s">
        <v>46570</v>
      </c>
      <c r="Q14802">
        <v>15</v>
      </c>
      <c r="R14802" t="s">
        <v>46591</v>
      </c>
      <c r="S14802" t="s">
        <v>47607</v>
      </c>
      <c r="T14802" t="s">
        <v>48221</v>
      </c>
      <c r="U14802" t="s">
        <v>60664</v>
      </c>
      <c r="W14802" t="s">
        <v>42618</v>
      </c>
      <c r="X14802" t="s">
        <v>46592</v>
      </c>
    </row>
    <row r="14803" spans="1:24">
      <c r="A14803">
        <f>HYPERLINK("https://www.philgeps.gov.ph/GEPSNONPILOT/Tender/SplashBidNoticeAbstractUI.aspx?menuIndex=3&amp;refID=7028010&amp;Result=3","7028010")</f>
        <v>0</v>
      </c>
      <c r="B14803" t="s">
        <v>3451</v>
      </c>
      <c r="C14803" t="s">
        <v>17615</v>
      </c>
      <c r="D14803" t="s">
        <v>18827</v>
      </c>
      <c r="E14803" t="s">
        <v>31621</v>
      </c>
      <c r="F14803" t="s">
        <v>32664</v>
      </c>
      <c r="G14803" t="s">
        <v>32672</v>
      </c>
      <c r="H14803" t="s">
        <v>12635</v>
      </c>
      <c r="I14803" t="s">
        <v>32696</v>
      </c>
      <c r="J14803" t="s">
        <v>41588</v>
      </c>
      <c r="K14803" t="s">
        <v>42284</v>
      </c>
      <c r="M14803" t="s">
        <v>46439</v>
      </c>
      <c r="N14803" t="s">
        <v>46569</v>
      </c>
      <c r="O14803" t="s">
        <v>46570</v>
      </c>
      <c r="P14803">
        <v>0</v>
      </c>
      <c r="Q14803">
        <v>3</v>
      </c>
      <c r="R14803" t="s">
        <v>46591</v>
      </c>
      <c r="S14803" t="s">
        <v>47586</v>
      </c>
      <c r="T14803" t="s">
        <v>48246</v>
      </c>
      <c r="U14803" t="s">
        <v>60665</v>
      </c>
      <c r="W14803" t="s">
        <v>46439</v>
      </c>
      <c r="X14803" t="s">
        <v>46592</v>
      </c>
    </row>
    <row r="14804" spans="1:24">
      <c r="A14804">
        <f>HYPERLINK("https://www.philgeps.gov.ph/GEPSNONPILOT/Tender/SplashBidNoticeAbstractUI.aspx?menuIndex=3&amp;refID=7026405&amp;Result=3","7026405")</f>
        <v>0</v>
      </c>
      <c r="B14804" t="s">
        <v>3445</v>
      </c>
      <c r="C14804" t="s">
        <v>17616</v>
      </c>
      <c r="D14804" t="s">
        <v>18784</v>
      </c>
      <c r="E14804" t="s">
        <v>31622</v>
      </c>
      <c r="F14804" t="s">
        <v>32664</v>
      </c>
      <c r="G14804" t="s">
        <v>32672</v>
      </c>
      <c r="H14804" t="s">
        <v>32683</v>
      </c>
      <c r="I14804" t="s">
        <v>10627</v>
      </c>
      <c r="J14804" t="s">
        <v>41589</v>
      </c>
      <c r="K14804" t="s">
        <v>42281</v>
      </c>
      <c r="M14804" t="s">
        <v>46433</v>
      </c>
      <c r="N14804" t="s">
        <v>46569</v>
      </c>
      <c r="O14804" t="s">
        <v>46570</v>
      </c>
      <c r="P14804">
        <v>0</v>
      </c>
      <c r="Q14804">
        <v>0</v>
      </c>
      <c r="R14804" t="s">
        <v>46591</v>
      </c>
      <c r="S14804" t="s">
        <v>47586</v>
      </c>
      <c r="T14804" t="s">
        <v>48532</v>
      </c>
      <c r="U14804" t="s">
        <v>60666</v>
      </c>
      <c r="W14804" t="s">
        <v>46433</v>
      </c>
      <c r="X14804" t="s">
        <v>46593</v>
      </c>
    </row>
    <row r="14805" spans="1:24">
      <c r="A14805">
        <f>HYPERLINK("https://www.philgeps.gov.ph/GEPSNONPILOT/Tender/SplashBidNoticeAbstractUI.aspx?menuIndex=3&amp;refID=7027237&amp;Result=3","7027237")</f>
        <v>0</v>
      </c>
      <c r="B14805" t="s">
        <v>3446</v>
      </c>
      <c r="C14805" t="s">
        <v>17617</v>
      </c>
      <c r="D14805" t="s">
        <v>18844</v>
      </c>
      <c r="E14805" t="s">
        <v>31623</v>
      </c>
      <c r="F14805" t="s">
        <v>32664</v>
      </c>
      <c r="G14805" t="s">
        <v>32672</v>
      </c>
      <c r="H14805" t="s">
        <v>32683</v>
      </c>
      <c r="I14805" t="s">
        <v>10627</v>
      </c>
      <c r="J14805" t="s">
        <v>41590</v>
      </c>
      <c r="K14805" t="s">
        <v>42290</v>
      </c>
      <c r="M14805" t="s">
        <v>46434</v>
      </c>
      <c r="N14805" t="s">
        <v>46569</v>
      </c>
      <c r="O14805" t="s">
        <v>46570</v>
      </c>
      <c r="P14805">
        <v>0</v>
      </c>
      <c r="Q14805">
        <v>1</v>
      </c>
      <c r="R14805" t="s">
        <v>46591</v>
      </c>
      <c r="S14805" t="s">
        <v>47586</v>
      </c>
      <c r="T14805" t="s">
        <v>48228</v>
      </c>
      <c r="U14805" t="s">
        <v>60667</v>
      </c>
      <c r="W14805" t="s">
        <v>46434</v>
      </c>
      <c r="X14805" t="s">
        <v>46592</v>
      </c>
    </row>
    <row r="14806" spans="1:24">
      <c r="A14806">
        <f>HYPERLINK("https://www.philgeps.gov.ph/GEPSNONPILOT/Tender/SplashBidNoticeAbstractUI.aspx?menuIndex=3&amp;refID=7027156&amp;Result=3","7027156")</f>
        <v>0</v>
      </c>
      <c r="B14806" t="s">
        <v>1442</v>
      </c>
      <c r="C14806" t="s">
        <v>17618</v>
      </c>
      <c r="E14806" t="s">
        <v>31624</v>
      </c>
      <c r="F14806" t="s">
        <v>32664</v>
      </c>
      <c r="G14806" t="s">
        <v>32672</v>
      </c>
      <c r="H14806" t="s">
        <v>12635</v>
      </c>
      <c r="I14806" t="s">
        <v>4439</v>
      </c>
      <c r="J14806" t="s">
        <v>41591</v>
      </c>
      <c r="K14806" t="s">
        <v>42281</v>
      </c>
      <c r="M14806" t="s">
        <v>45920</v>
      </c>
      <c r="N14806" t="s">
        <v>46569</v>
      </c>
      <c r="O14806" t="s">
        <v>46570</v>
      </c>
      <c r="P14806">
        <v>0</v>
      </c>
      <c r="Q14806">
        <v>4</v>
      </c>
      <c r="R14806" t="s">
        <v>46591</v>
      </c>
      <c r="S14806" t="s">
        <v>47586</v>
      </c>
      <c r="T14806" t="s">
        <v>48448</v>
      </c>
      <c r="U14806" t="s">
        <v>56481</v>
      </c>
      <c r="W14806" t="s">
        <v>45920</v>
      </c>
      <c r="X14806" t="s">
        <v>46592</v>
      </c>
    </row>
    <row r="14807" spans="1:24">
      <c r="A14807">
        <f>HYPERLINK("https://www.philgeps.gov.ph/GEPSNONPILOT/Tender/SplashBidNoticeAbstractUI.aspx?menuIndex=3&amp;refID=7027992&amp;Result=3","7027992")</f>
        <v>0</v>
      </c>
      <c r="B14807" t="s">
        <v>56</v>
      </c>
      <c r="C14807" t="s">
        <v>17619</v>
      </c>
      <c r="D14807" t="s">
        <v>18805</v>
      </c>
      <c r="E14807" t="s">
        <v>31625</v>
      </c>
      <c r="F14807" t="s">
        <v>32664</v>
      </c>
      <c r="G14807" t="s">
        <v>32672</v>
      </c>
      <c r="H14807" t="s">
        <v>32683</v>
      </c>
      <c r="I14807" t="s">
        <v>10627</v>
      </c>
      <c r="J14807" t="s">
        <v>34635</v>
      </c>
      <c r="K14807" t="s">
        <v>42484</v>
      </c>
      <c r="M14807" t="s">
        <v>42618</v>
      </c>
      <c r="N14807" t="s">
        <v>46569</v>
      </c>
      <c r="O14807" t="s">
        <v>46570</v>
      </c>
      <c r="Q14807">
        <v>8</v>
      </c>
      <c r="R14807" t="s">
        <v>46591</v>
      </c>
      <c r="S14807" t="s">
        <v>47608</v>
      </c>
      <c r="T14807" t="s">
        <v>48221</v>
      </c>
      <c r="U14807" t="s">
        <v>60668</v>
      </c>
      <c r="W14807" t="s">
        <v>42618</v>
      </c>
      <c r="X14807" t="s">
        <v>46592</v>
      </c>
    </row>
    <row r="14808" spans="1:24">
      <c r="A14808">
        <f>HYPERLINK("https://www.philgeps.gov.ph/GEPSNONPILOT/Tender/SplashBidNoticeAbstractUI.aspx?menuIndex=3&amp;refID=7027914&amp;Result=3","7027914")</f>
        <v>0</v>
      </c>
      <c r="B14808" t="s">
        <v>2868</v>
      </c>
      <c r="C14808" t="s">
        <v>17620</v>
      </c>
      <c r="E14808" t="s">
        <v>19193</v>
      </c>
      <c r="F14808" t="s">
        <v>32664</v>
      </c>
      <c r="G14808" t="s">
        <v>32672</v>
      </c>
      <c r="H14808" t="s">
        <v>32683</v>
      </c>
      <c r="I14808" t="s">
        <v>10627</v>
      </c>
      <c r="J14808" t="s">
        <v>33761</v>
      </c>
      <c r="K14808" t="s">
        <v>42315</v>
      </c>
      <c r="M14808" t="s">
        <v>45717</v>
      </c>
      <c r="N14808" t="s">
        <v>46569</v>
      </c>
      <c r="O14808" t="s">
        <v>46570</v>
      </c>
      <c r="P14808">
        <v>0</v>
      </c>
      <c r="Q14808">
        <v>2</v>
      </c>
      <c r="R14808" t="s">
        <v>46591</v>
      </c>
      <c r="S14808" t="s">
        <v>47586</v>
      </c>
      <c r="T14808" t="s">
        <v>48219</v>
      </c>
      <c r="U14808" t="s">
        <v>60669</v>
      </c>
      <c r="W14808" t="s">
        <v>45717</v>
      </c>
      <c r="X14808" t="s">
        <v>46592</v>
      </c>
    </row>
    <row r="14809" spans="1:24">
      <c r="A14809">
        <f>HYPERLINK("https://www.philgeps.gov.ph/GEPSNONPILOT/Tender/SplashBidNoticeAbstractUI.aspx?menuIndex=3&amp;refID=7027962&amp;Result=3","7027962")</f>
        <v>0</v>
      </c>
      <c r="B14809" t="s">
        <v>56</v>
      </c>
      <c r="C14809" t="s">
        <v>17621</v>
      </c>
      <c r="D14809" t="s">
        <v>18805</v>
      </c>
      <c r="E14809" t="s">
        <v>31626</v>
      </c>
      <c r="F14809" t="s">
        <v>32664</v>
      </c>
      <c r="G14809" t="s">
        <v>32672</v>
      </c>
      <c r="H14809" t="s">
        <v>32683</v>
      </c>
      <c r="I14809" t="s">
        <v>10627</v>
      </c>
      <c r="J14809" t="s">
        <v>41592</v>
      </c>
      <c r="K14809" t="s">
        <v>42487</v>
      </c>
      <c r="M14809" t="s">
        <v>42618</v>
      </c>
      <c r="N14809" t="s">
        <v>46569</v>
      </c>
      <c r="O14809" t="s">
        <v>46570</v>
      </c>
      <c r="Q14809">
        <v>15</v>
      </c>
      <c r="R14809" t="s">
        <v>46591</v>
      </c>
      <c r="S14809" t="s">
        <v>47609</v>
      </c>
      <c r="T14809" t="s">
        <v>48221</v>
      </c>
      <c r="U14809" t="s">
        <v>60670</v>
      </c>
      <c r="W14809" t="s">
        <v>42618</v>
      </c>
      <c r="X14809" t="s">
        <v>46592</v>
      </c>
    </row>
    <row r="14810" spans="1:24">
      <c r="A14810">
        <f>HYPERLINK("https://www.philgeps.gov.ph/GEPSNONPILOT/Tender/SplashBidNoticeAbstractUI.aspx?menuIndex=3&amp;refID=7027871&amp;Result=3","7027871")</f>
        <v>0</v>
      </c>
      <c r="B14810" t="s">
        <v>775</v>
      </c>
      <c r="C14810" t="s">
        <v>17622</v>
      </c>
      <c r="E14810" t="s">
        <v>31627</v>
      </c>
      <c r="F14810" t="s">
        <v>32664</v>
      </c>
      <c r="G14810" t="s">
        <v>32672</v>
      </c>
      <c r="H14810" t="s">
        <v>12635</v>
      </c>
      <c r="I14810" t="s">
        <v>5589</v>
      </c>
      <c r="J14810" t="s">
        <v>35701</v>
      </c>
      <c r="K14810" t="s">
        <v>42283</v>
      </c>
      <c r="M14810" t="s">
        <v>43366</v>
      </c>
      <c r="N14810" t="s">
        <v>46569</v>
      </c>
      <c r="O14810" t="s">
        <v>46570</v>
      </c>
      <c r="Q14810">
        <v>21</v>
      </c>
      <c r="R14810" t="s">
        <v>46591</v>
      </c>
      <c r="S14810" t="s">
        <v>47610</v>
      </c>
      <c r="T14810" t="s">
        <v>48314</v>
      </c>
      <c r="U14810" t="s">
        <v>60671</v>
      </c>
      <c r="W14810" t="s">
        <v>63489</v>
      </c>
      <c r="X14810" t="s">
        <v>46592</v>
      </c>
    </row>
    <row r="14811" spans="1:24">
      <c r="A14811">
        <f>HYPERLINK("https://www.philgeps.gov.ph/GEPSNONPILOT/Tender/SplashBidNoticeAbstractUI.aspx?menuIndex=3&amp;refID=7027781&amp;Result=3","7027781")</f>
        <v>0</v>
      </c>
      <c r="B14811" t="s">
        <v>273</v>
      </c>
      <c r="C14811" t="s">
        <v>17623</v>
      </c>
      <c r="D14811" t="s">
        <v>18812</v>
      </c>
      <c r="E14811" t="s">
        <v>31628</v>
      </c>
      <c r="F14811" t="s">
        <v>32664</v>
      </c>
      <c r="G14811" t="s">
        <v>32672</v>
      </c>
      <c r="H14811" t="s">
        <v>32683</v>
      </c>
      <c r="I14811" t="s">
        <v>10627</v>
      </c>
      <c r="J14811" t="s">
        <v>41593</v>
      </c>
      <c r="K14811" t="s">
        <v>42285</v>
      </c>
      <c r="M14811" t="s">
        <v>42838</v>
      </c>
      <c r="N14811" t="s">
        <v>46569</v>
      </c>
      <c r="O14811" t="s">
        <v>46570</v>
      </c>
      <c r="P14811">
        <v>0</v>
      </c>
      <c r="Q14811">
        <v>0</v>
      </c>
      <c r="R14811" t="s">
        <v>46591</v>
      </c>
      <c r="S14811" t="s">
        <v>47586</v>
      </c>
      <c r="T14811" t="s">
        <v>48314</v>
      </c>
      <c r="U14811" t="s">
        <v>60672</v>
      </c>
      <c r="W14811" t="s">
        <v>42838</v>
      </c>
      <c r="X14811" t="s">
        <v>46592</v>
      </c>
    </row>
    <row r="14812" spans="1:24">
      <c r="A14812">
        <f>HYPERLINK("https://www.philgeps.gov.ph/GEPSNONPILOT/Tender/SplashBidNoticeAbstractUI.aspx?menuIndex=3&amp;refID=7027165&amp;Result=3","7027165")</f>
        <v>0</v>
      </c>
      <c r="B14812" t="s">
        <v>1442</v>
      </c>
      <c r="C14812" t="s">
        <v>17624</v>
      </c>
      <c r="E14812" t="s">
        <v>31629</v>
      </c>
      <c r="F14812" t="s">
        <v>32664</v>
      </c>
      <c r="G14812" t="s">
        <v>32672</v>
      </c>
      <c r="H14812" t="s">
        <v>12635</v>
      </c>
      <c r="I14812" t="s">
        <v>4439</v>
      </c>
      <c r="J14812" t="s">
        <v>41594</v>
      </c>
      <c r="K14812" t="s">
        <v>42281</v>
      </c>
      <c r="M14812" t="s">
        <v>45920</v>
      </c>
      <c r="N14812" t="s">
        <v>46569</v>
      </c>
      <c r="O14812" t="s">
        <v>46570</v>
      </c>
      <c r="P14812">
        <v>0</v>
      </c>
      <c r="Q14812">
        <v>1</v>
      </c>
      <c r="R14812" t="s">
        <v>46591</v>
      </c>
      <c r="S14812" t="s">
        <v>47586</v>
      </c>
      <c r="T14812" t="s">
        <v>48448</v>
      </c>
      <c r="U14812" t="s">
        <v>56481</v>
      </c>
      <c r="W14812" t="s">
        <v>45920</v>
      </c>
      <c r="X14812" t="s">
        <v>46592</v>
      </c>
    </row>
    <row r="14813" spans="1:24">
      <c r="A14813">
        <f>HYPERLINK("https://www.philgeps.gov.ph/GEPSNONPILOT/Tender/SplashBidNoticeAbstractUI.aspx?menuIndex=3&amp;refID=7031873&amp;Result=3","7031873")</f>
        <v>0</v>
      </c>
      <c r="B14813" t="s">
        <v>891</v>
      </c>
      <c r="C14813" t="s">
        <v>17625</v>
      </c>
      <c r="D14813" t="s">
        <v>18830</v>
      </c>
      <c r="E14813" t="s">
        <v>31630</v>
      </c>
      <c r="F14813" t="s">
        <v>32664</v>
      </c>
      <c r="G14813" t="s">
        <v>32672</v>
      </c>
      <c r="H14813" t="s">
        <v>32683</v>
      </c>
      <c r="I14813" t="s">
        <v>10627</v>
      </c>
      <c r="J14813" t="s">
        <v>41595</v>
      </c>
      <c r="K14813" t="s">
        <v>42429</v>
      </c>
      <c r="M14813" t="s">
        <v>43494</v>
      </c>
      <c r="N14813" t="s">
        <v>46569</v>
      </c>
      <c r="O14813" t="s">
        <v>46570</v>
      </c>
      <c r="P14813">
        <v>0</v>
      </c>
      <c r="Q14813">
        <v>2</v>
      </c>
      <c r="R14813" t="s">
        <v>46590</v>
      </c>
      <c r="S14813" t="s">
        <v>47546</v>
      </c>
      <c r="T14813" t="s">
        <v>48254</v>
      </c>
      <c r="U14813" t="s">
        <v>60673</v>
      </c>
      <c r="W14813" t="s">
        <v>43494</v>
      </c>
      <c r="X14813" t="s">
        <v>46591</v>
      </c>
    </row>
    <row r="14814" spans="1:24">
      <c r="A14814">
        <f>HYPERLINK("https://www.philgeps.gov.ph/GEPSNONPILOT/Tender/SplashBidNoticeAbstractUI.aspx?menuIndex=3&amp;refID=7027662&amp;Result=3","7027662")</f>
        <v>0</v>
      </c>
      <c r="B14814" t="s">
        <v>1752</v>
      </c>
      <c r="C14814" t="s">
        <v>17626</v>
      </c>
      <c r="D14814" t="s">
        <v>18791</v>
      </c>
      <c r="E14814" t="s">
        <v>31631</v>
      </c>
      <c r="F14814" t="s">
        <v>32664</v>
      </c>
      <c r="G14814" t="s">
        <v>32672</v>
      </c>
      <c r="H14814" t="s">
        <v>32683</v>
      </c>
      <c r="I14814" t="s">
        <v>10627</v>
      </c>
      <c r="J14814" t="s">
        <v>32962</v>
      </c>
      <c r="K14814" t="s">
        <v>42488</v>
      </c>
      <c r="M14814" t="s">
        <v>44452</v>
      </c>
      <c r="N14814" t="s">
        <v>46569</v>
      </c>
      <c r="O14814" t="s">
        <v>46570</v>
      </c>
      <c r="P14814">
        <v>0</v>
      </c>
      <c r="Q14814">
        <v>1</v>
      </c>
      <c r="R14814" t="s">
        <v>46591</v>
      </c>
      <c r="S14814" t="s">
        <v>47586</v>
      </c>
      <c r="T14814" t="s">
        <v>48293</v>
      </c>
      <c r="U14814" t="s">
        <v>60674</v>
      </c>
      <c r="V14814" t="s">
        <v>62434</v>
      </c>
      <c r="W14814" t="s">
        <v>44452</v>
      </c>
      <c r="X14814" t="s">
        <v>46592</v>
      </c>
    </row>
    <row r="14815" spans="1:24">
      <c r="A14815">
        <f>HYPERLINK("https://www.philgeps.gov.ph/GEPSNONPILOT/Tender/SplashBidNoticeAbstractUI.aspx?menuIndex=3&amp;refID=7027602&amp;Result=3","7027602")</f>
        <v>0</v>
      </c>
      <c r="B14815" t="s">
        <v>3452</v>
      </c>
      <c r="C14815" t="s">
        <v>17627</v>
      </c>
      <c r="D14815" t="s">
        <v>18794</v>
      </c>
      <c r="E14815" t="s">
        <v>19044</v>
      </c>
      <c r="F14815" t="s">
        <v>32664</v>
      </c>
      <c r="G14815" t="s">
        <v>32672</v>
      </c>
      <c r="H14815" t="s">
        <v>12635</v>
      </c>
      <c r="I14815" t="s">
        <v>11464</v>
      </c>
      <c r="J14815" t="s">
        <v>41596</v>
      </c>
      <c r="K14815" t="s">
        <v>42281</v>
      </c>
      <c r="M14815" t="s">
        <v>46440</v>
      </c>
      <c r="N14815" t="s">
        <v>46569</v>
      </c>
      <c r="O14815" t="s">
        <v>46570</v>
      </c>
      <c r="P14815">
        <v>0</v>
      </c>
      <c r="Q14815">
        <v>1</v>
      </c>
      <c r="R14815" t="s">
        <v>46591</v>
      </c>
      <c r="S14815" t="s">
        <v>47586</v>
      </c>
      <c r="T14815" t="s">
        <v>48244</v>
      </c>
      <c r="U14815" t="s">
        <v>60675</v>
      </c>
      <c r="W14815" t="s">
        <v>46440</v>
      </c>
      <c r="X14815" t="s">
        <v>46592</v>
      </c>
    </row>
    <row r="14816" spans="1:24">
      <c r="A14816">
        <f>HYPERLINK("https://www.philgeps.gov.ph/GEPSNONPILOT/Tender/SplashBidNoticeAbstractUI.aspx?menuIndex=3&amp;refID=7027812&amp;Result=3","7027812")</f>
        <v>0</v>
      </c>
      <c r="B14816" t="s">
        <v>3005</v>
      </c>
      <c r="C14816" t="s">
        <v>17628</v>
      </c>
      <c r="D14816" t="s">
        <v>18785</v>
      </c>
      <c r="E14816" t="s">
        <v>31632</v>
      </c>
      <c r="F14816" t="s">
        <v>32664</v>
      </c>
      <c r="G14816" t="s">
        <v>32672</v>
      </c>
      <c r="H14816" t="s">
        <v>32683</v>
      </c>
      <c r="I14816" t="s">
        <v>10627</v>
      </c>
      <c r="J14816" t="s">
        <v>41597</v>
      </c>
      <c r="K14816" t="s">
        <v>42311</v>
      </c>
      <c r="M14816" t="s">
        <v>45868</v>
      </c>
      <c r="N14816" t="s">
        <v>46569</v>
      </c>
      <c r="O14816" t="s">
        <v>46570</v>
      </c>
      <c r="P14816">
        <v>0</v>
      </c>
      <c r="Q14816">
        <v>2</v>
      </c>
      <c r="R14816" t="s">
        <v>46591</v>
      </c>
      <c r="S14816" t="s">
        <v>47586</v>
      </c>
      <c r="T14816" t="s">
        <v>48285</v>
      </c>
      <c r="U14816" t="s">
        <v>60676</v>
      </c>
      <c r="W14816" t="s">
        <v>45868</v>
      </c>
      <c r="X14816" t="s">
        <v>46592</v>
      </c>
    </row>
    <row r="14817" spans="1:24">
      <c r="A14817">
        <f>HYPERLINK("https://www.philgeps.gov.ph/GEPSNONPILOT/Tender/SplashBidNoticeAbstractUI.aspx?menuIndex=3&amp;refID=7027455&amp;Result=3","7027455")</f>
        <v>0</v>
      </c>
      <c r="B14817" t="s">
        <v>3424</v>
      </c>
      <c r="C14817" t="s">
        <v>17629</v>
      </c>
      <c r="D14817" t="s">
        <v>18799</v>
      </c>
      <c r="E14817" t="s">
        <v>31633</v>
      </c>
      <c r="F14817" t="s">
        <v>32664</v>
      </c>
      <c r="G14817" t="s">
        <v>32672</v>
      </c>
      <c r="H14817" t="s">
        <v>12635</v>
      </c>
      <c r="I14817" t="s">
        <v>32738</v>
      </c>
      <c r="J14817" t="s">
        <v>32929</v>
      </c>
      <c r="K14817" t="s">
        <v>42298</v>
      </c>
      <c r="M14817" t="s">
        <v>46405</v>
      </c>
      <c r="N14817" t="s">
        <v>46569</v>
      </c>
      <c r="O14817" t="s">
        <v>46570</v>
      </c>
      <c r="P14817">
        <v>0</v>
      </c>
      <c r="Q14817">
        <v>7</v>
      </c>
      <c r="R14817" t="s">
        <v>46591</v>
      </c>
      <c r="S14817" t="s">
        <v>47586</v>
      </c>
      <c r="T14817" t="s">
        <v>48221</v>
      </c>
      <c r="U14817" t="s">
        <v>60428</v>
      </c>
      <c r="V14817" t="s">
        <v>63269</v>
      </c>
      <c r="W14817" t="s">
        <v>46405</v>
      </c>
      <c r="X14817" t="s">
        <v>46592</v>
      </c>
    </row>
    <row r="14818" spans="1:24">
      <c r="A14818">
        <f>HYPERLINK("https://www.philgeps.gov.ph/GEPSNONPILOT/Tender/SplashBidNoticeAbstractUI.aspx?menuIndex=3&amp;refID=7027959&amp;Result=3","7027959")</f>
        <v>0</v>
      </c>
      <c r="B14818" t="s">
        <v>2868</v>
      </c>
      <c r="C14818" t="s">
        <v>17630</v>
      </c>
      <c r="D14818" t="s">
        <v>18802</v>
      </c>
      <c r="E14818" t="s">
        <v>19280</v>
      </c>
      <c r="F14818" t="s">
        <v>32664</v>
      </c>
      <c r="G14818" t="s">
        <v>32672</v>
      </c>
      <c r="H14818" t="s">
        <v>32683</v>
      </c>
      <c r="I14818" t="s">
        <v>10627</v>
      </c>
      <c r="J14818" t="s">
        <v>32943</v>
      </c>
      <c r="K14818" t="s">
        <v>42312</v>
      </c>
      <c r="M14818" t="s">
        <v>45717</v>
      </c>
      <c r="N14818" t="s">
        <v>46569</v>
      </c>
      <c r="O14818" t="s">
        <v>46570</v>
      </c>
      <c r="P14818">
        <v>0</v>
      </c>
      <c r="Q14818">
        <v>2</v>
      </c>
      <c r="R14818" t="s">
        <v>46591</v>
      </c>
      <c r="S14818" t="s">
        <v>47586</v>
      </c>
      <c r="T14818" t="s">
        <v>48221</v>
      </c>
      <c r="U14818" t="s">
        <v>60677</v>
      </c>
      <c r="W14818" t="s">
        <v>45717</v>
      </c>
      <c r="X14818" t="s">
        <v>46592</v>
      </c>
    </row>
    <row r="14819" spans="1:24">
      <c r="A14819">
        <f>HYPERLINK("https://www.philgeps.gov.ph/GEPSNONPILOT/Tender/SplashBidNoticeAbstractUI.aspx?menuIndex=3&amp;refID=7027762&amp;Result=3","7027762")</f>
        <v>0</v>
      </c>
      <c r="B14819" t="s">
        <v>2019</v>
      </c>
      <c r="C14819" t="s">
        <v>17631</v>
      </c>
      <c r="D14819" t="s">
        <v>18797</v>
      </c>
      <c r="E14819" t="s">
        <v>31634</v>
      </c>
      <c r="F14819" t="s">
        <v>32664</v>
      </c>
      <c r="G14819" t="s">
        <v>32672</v>
      </c>
      <c r="H14819" t="s">
        <v>32683</v>
      </c>
      <c r="I14819" t="s">
        <v>10627</v>
      </c>
      <c r="J14819" t="s">
        <v>34559</v>
      </c>
      <c r="K14819" t="s">
        <v>42285</v>
      </c>
      <c r="M14819" t="s">
        <v>44761</v>
      </c>
      <c r="N14819" t="s">
        <v>46569</v>
      </c>
      <c r="O14819" t="s">
        <v>46570</v>
      </c>
      <c r="P14819">
        <v>0</v>
      </c>
      <c r="Q14819">
        <v>51</v>
      </c>
      <c r="R14819" t="s">
        <v>46591</v>
      </c>
      <c r="S14819" t="s">
        <v>47586</v>
      </c>
      <c r="T14819" t="s">
        <v>48228</v>
      </c>
      <c r="U14819" t="s">
        <v>60678</v>
      </c>
      <c r="W14819" t="s">
        <v>44761</v>
      </c>
      <c r="X14819" t="s">
        <v>46592</v>
      </c>
    </row>
    <row r="14820" spans="1:24">
      <c r="A14820">
        <f>HYPERLINK("https://www.philgeps.gov.ph/GEPSNONPILOT/Tender/SplashBidNoticeAbstractUI.aspx?menuIndex=3&amp;refID=7027823&amp;Result=3","7027823")</f>
        <v>0</v>
      </c>
      <c r="B14820" t="s">
        <v>1423</v>
      </c>
      <c r="C14820" t="s">
        <v>17632</v>
      </c>
      <c r="E14820" t="s">
        <v>31635</v>
      </c>
      <c r="F14820" t="s">
        <v>32664</v>
      </c>
      <c r="G14820" t="s">
        <v>32672</v>
      </c>
      <c r="H14820" t="s">
        <v>12635</v>
      </c>
      <c r="I14820" t="s">
        <v>13883</v>
      </c>
      <c r="J14820" t="s">
        <v>41598</v>
      </c>
      <c r="K14820" t="s">
        <v>42281</v>
      </c>
      <c r="M14820" t="s">
        <v>46348</v>
      </c>
      <c r="N14820" t="s">
        <v>46569</v>
      </c>
      <c r="O14820" t="s">
        <v>46570</v>
      </c>
      <c r="Q14820">
        <v>9</v>
      </c>
      <c r="R14820" t="s">
        <v>46591</v>
      </c>
      <c r="S14820" t="s">
        <v>47611</v>
      </c>
      <c r="T14820" t="s">
        <v>48221</v>
      </c>
      <c r="U14820" t="s">
        <v>55675</v>
      </c>
      <c r="W14820" t="s">
        <v>46348</v>
      </c>
      <c r="X14820" t="s">
        <v>46592</v>
      </c>
    </row>
    <row r="14821" spans="1:24">
      <c r="A14821">
        <f>HYPERLINK("https://www.philgeps.gov.ph/GEPSNONPILOT/Tender/SplashBidNoticeAbstractUI.aspx?menuIndex=3&amp;refID=7028405&amp;Result=3","7028405")</f>
        <v>0</v>
      </c>
      <c r="B14821" t="s">
        <v>3434</v>
      </c>
      <c r="C14821" t="s">
        <v>17633</v>
      </c>
      <c r="D14821" t="s">
        <v>18791</v>
      </c>
      <c r="E14821" t="s">
        <v>25181</v>
      </c>
      <c r="F14821" t="s">
        <v>32664</v>
      </c>
      <c r="G14821" t="s">
        <v>32672</v>
      </c>
      <c r="H14821" t="s">
        <v>32683</v>
      </c>
      <c r="I14821" t="s">
        <v>10627</v>
      </c>
      <c r="J14821" t="s">
        <v>41599</v>
      </c>
      <c r="K14821" t="s">
        <v>42393</v>
      </c>
      <c r="M14821" t="s">
        <v>46418</v>
      </c>
      <c r="N14821" t="s">
        <v>46569</v>
      </c>
      <c r="O14821" t="s">
        <v>46570</v>
      </c>
      <c r="P14821">
        <v>0</v>
      </c>
      <c r="Q14821">
        <v>0</v>
      </c>
      <c r="R14821" t="s">
        <v>46591</v>
      </c>
      <c r="S14821" t="s">
        <v>47586</v>
      </c>
      <c r="T14821" t="s">
        <v>48534</v>
      </c>
      <c r="U14821" t="s">
        <v>60679</v>
      </c>
      <c r="W14821" t="s">
        <v>46418</v>
      </c>
      <c r="X14821" t="s">
        <v>46592</v>
      </c>
    </row>
    <row r="14822" spans="1:24">
      <c r="A14822">
        <f>HYPERLINK("https://www.philgeps.gov.ph/GEPSNONPILOT/Tender/SplashBidNoticeAbstractUI.aspx?menuIndex=3&amp;refID=7028073&amp;Result=3","7028073")</f>
        <v>0</v>
      </c>
      <c r="B14822" t="s">
        <v>1269</v>
      </c>
      <c r="C14822" t="s">
        <v>17634</v>
      </c>
      <c r="D14822" t="s">
        <v>18851</v>
      </c>
      <c r="E14822" t="s">
        <v>31636</v>
      </c>
      <c r="F14822" t="s">
        <v>32664</v>
      </c>
      <c r="G14822" t="s">
        <v>32672</v>
      </c>
      <c r="H14822" t="s">
        <v>32683</v>
      </c>
      <c r="I14822" t="s">
        <v>10627</v>
      </c>
      <c r="J14822" t="s">
        <v>32974</v>
      </c>
      <c r="K14822" t="s">
        <v>42325</v>
      </c>
      <c r="M14822" t="s">
        <v>43912</v>
      </c>
      <c r="N14822" t="s">
        <v>46569</v>
      </c>
      <c r="O14822" t="s">
        <v>46570</v>
      </c>
      <c r="P14822">
        <v>0</v>
      </c>
      <c r="Q14822">
        <v>0</v>
      </c>
      <c r="R14822" t="s">
        <v>46591</v>
      </c>
      <c r="S14822" t="s">
        <v>47586</v>
      </c>
      <c r="T14822" t="s">
        <v>48244</v>
      </c>
      <c r="U14822" t="s">
        <v>60680</v>
      </c>
      <c r="W14822" t="s">
        <v>43912</v>
      </c>
      <c r="X14822" t="s">
        <v>46592</v>
      </c>
    </row>
    <row r="14823" spans="1:24">
      <c r="A14823">
        <f>HYPERLINK("https://www.philgeps.gov.ph/GEPSNONPILOT/Tender/SplashBidNoticeAbstractUI.aspx?menuIndex=3&amp;refID=7028501&amp;Result=3","7028501")</f>
        <v>0</v>
      </c>
      <c r="B14823" t="s">
        <v>790</v>
      </c>
      <c r="C14823" t="s">
        <v>17635</v>
      </c>
      <c r="D14823" t="s">
        <v>18809</v>
      </c>
      <c r="E14823" t="s">
        <v>31637</v>
      </c>
      <c r="F14823" t="s">
        <v>32664</v>
      </c>
      <c r="G14823" t="s">
        <v>32672</v>
      </c>
      <c r="H14823" t="s">
        <v>12635</v>
      </c>
      <c r="I14823" t="s">
        <v>10361</v>
      </c>
      <c r="J14823" t="s">
        <v>41600</v>
      </c>
      <c r="K14823" t="s">
        <v>42289</v>
      </c>
      <c r="M14823" t="s">
        <v>43382</v>
      </c>
      <c r="N14823" t="s">
        <v>46569</v>
      </c>
      <c r="O14823" t="s">
        <v>46570</v>
      </c>
      <c r="P14823">
        <v>0</v>
      </c>
      <c r="Q14823">
        <v>1</v>
      </c>
      <c r="R14823" t="s">
        <v>46591</v>
      </c>
      <c r="S14823" t="s">
        <v>47586</v>
      </c>
      <c r="T14823" t="s">
        <v>48376</v>
      </c>
      <c r="U14823" t="s">
        <v>60681</v>
      </c>
      <c r="W14823" t="s">
        <v>43382</v>
      </c>
      <c r="X14823" t="s">
        <v>46592</v>
      </c>
    </row>
    <row r="14824" spans="1:24">
      <c r="A14824">
        <f>HYPERLINK("https://www.philgeps.gov.ph/GEPSNONPILOT/Tender/SplashBidNoticeAbstractUI.aspx?menuIndex=3&amp;refID=7028443&amp;Result=3","7028443")</f>
        <v>0</v>
      </c>
      <c r="B14824" t="s">
        <v>780</v>
      </c>
      <c r="C14824" t="s">
        <v>17636</v>
      </c>
      <c r="D14824" t="s">
        <v>18820</v>
      </c>
      <c r="E14824" t="s">
        <v>31638</v>
      </c>
      <c r="F14824" t="s">
        <v>32664</v>
      </c>
      <c r="G14824" t="s">
        <v>32672</v>
      </c>
      <c r="H14824" t="s">
        <v>32683</v>
      </c>
      <c r="I14824" t="s">
        <v>10627</v>
      </c>
      <c r="J14824" t="s">
        <v>41601</v>
      </c>
      <c r="K14824" t="s">
        <v>42308</v>
      </c>
      <c r="M14824" t="s">
        <v>43372</v>
      </c>
      <c r="N14824" t="s">
        <v>46569</v>
      </c>
      <c r="O14824" t="s">
        <v>46570</v>
      </c>
      <c r="P14824">
        <v>0</v>
      </c>
      <c r="Q14824">
        <v>2</v>
      </c>
      <c r="R14824" t="s">
        <v>46591</v>
      </c>
      <c r="S14824" t="s">
        <v>47586</v>
      </c>
      <c r="T14824" t="s">
        <v>48425</v>
      </c>
      <c r="U14824" t="s">
        <v>60682</v>
      </c>
      <c r="W14824" t="s">
        <v>43372</v>
      </c>
      <c r="X14824" t="s">
        <v>46592</v>
      </c>
    </row>
    <row r="14825" spans="1:24">
      <c r="A14825">
        <f>HYPERLINK("https://www.philgeps.gov.ph/GEPSNONPILOT/Tender/SplashBidNoticeAbstractUI.aspx?menuIndex=3&amp;refID=7031870&amp;Result=3","7031870")</f>
        <v>0</v>
      </c>
      <c r="B14825" t="s">
        <v>2045</v>
      </c>
      <c r="C14825" t="s">
        <v>17637</v>
      </c>
      <c r="D14825" t="s">
        <v>18818</v>
      </c>
      <c r="E14825" t="s">
        <v>31639</v>
      </c>
      <c r="F14825" t="s">
        <v>32664</v>
      </c>
      <c r="G14825" t="s">
        <v>32672</v>
      </c>
      <c r="H14825" t="s">
        <v>12635</v>
      </c>
      <c r="I14825" t="s">
        <v>32708</v>
      </c>
      <c r="J14825" t="s">
        <v>33320</v>
      </c>
      <c r="K14825" t="s">
        <v>42281</v>
      </c>
      <c r="M14825" t="s">
        <v>44792</v>
      </c>
      <c r="N14825" t="s">
        <v>46569</v>
      </c>
      <c r="O14825" t="s">
        <v>46570</v>
      </c>
      <c r="Q14825">
        <v>12</v>
      </c>
      <c r="R14825" t="s">
        <v>46590</v>
      </c>
      <c r="S14825" t="s">
        <v>47612</v>
      </c>
      <c r="T14825" t="s">
        <v>48285</v>
      </c>
      <c r="U14825" t="s">
        <v>60683</v>
      </c>
      <c r="W14825" t="s">
        <v>44792</v>
      </c>
      <c r="X14825" t="s">
        <v>46591</v>
      </c>
    </row>
    <row r="14826" spans="1:24">
      <c r="A14826">
        <f>HYPERLINK("https://www.philgeps.gov.ph/GEPSNONPILOT/Tender/SplashBidNoticeAbstractUI.aspx?menuIndex=3&amp;refID=7028394&amp;Result=3","7028394")</f>
        <v>0</v>
      </c>
      <c r="B14826" t="s">
        <v>678</v>
      </c>
      <c r="C14826" t="s">
        <v>15501</v>
      </c>
      <c r="E14826" t="s">
        <v>31640</v>
      </c>
      <c r="F14826" t="s">
        <v>32664</v>
      </c>
      <c r="G14826" t="s">
        <v>32672</v>
      </c>
      <c r="H14826" t="s">
        <v>32682</v>
      </c>
      <c r="I14826" t="s">
        <v>9946</v>
      </c>
      <c r="J14826" t="s">
        <v>41602</v>
      </c>
      <c r="K14826" t="s">
        <v>42291</v>
      </c>
      <c r="M14826" t="s">
        <v>43265</v>
      </c>
      <c r="N14826" t="s">
        <v>46569</v>
      </c>
      <c r="O14826" t="s">
        <v>46570</v>
      </c>
      <c r="P14826">
        <v>0</v>
      </c>
      <c r="Q14826">
        <v>1</v>
      </c>
      <c r="R14826" t="s">
        <v>46591</v>
      </c>
      <c r="S14826" t="s">
        <v>47586</v>
      </c>
      <c r="T14826" t="s">
        <v>48230</v>
      </c>
      <c r="U14826" t="s">
        <v>58930</v>
      </c>
      <c r="W14826" t="s">
        <v>43265</v>
      </c>
      <c r="X14826" t="s">
        <v>46592</v>
      </c>
    </row>
    <row r="14827" spans="1:24">
      <c r="A14827">
        <f>HYPERLINK("https://www.philgeps.gov.ph/GEPSNONPILOT/Tender/SplashBidNoticeAbstractUI.aspx?menuIndex=3&amp;refID=7028419&amp;Result=3","7028419")</f>
        <v>0</v>
      </c>
      <c r="B14827" t="s">
        <v>783</v>
      </c>
      <c r="C14827" t="s">
        <v>17638</v>
      </c>
      <c r="D14827" t="s">
        <v>18826</v>
      </c>
      <c r="E14827" t="s">
        <v>31641</v>
      </c>
      <c r="F14827" t="s">
        <v>32664</v>
      </c>
      <c r="G14827" t="s">
        <v>32672</v>
      </c>
      <c r="H14827" t="s">
        <v>32683</v>
      </c>
      <c r="I14827" t="s">
        <v>10627</v>
      </c>
      <c r="J14827" t="s">
        <v>41603</v>
      </c>
      <c r="K14827" t="s">
        <v>42283</v>
      </c>
      <c r="M14827" t="s">
        <v>43375</v>
      </c>
      <c r="N14827" t="s">
        <v>46569</v>
      </c>
      <c r="O14827" t="s">
        <v>46570</v>
      </c>
      <c r="Q14827">
        <v>5</v>
      </c>
      <c r="R14827" t="s">
        <v>46591</v>
      </c>
      <c r="S14827" t="s">
        <v>47613</v>
      </c>
      <c r="T14827" t="s">
        <v>48293</v>
      </c>
      <c r="U14827" t="s">
        <v>60684</v>
      </c>
      <c r="W14827" t="s">
        <v>43375</v>
      </c>
      <c r="X14827" t="s">
        <v>46592</v>
      </c>
    </row>
    <row r="14828" spans="1:24">
      <c r="A14828">
        <f>HYPERLINK("https://www.philgeps.gov.ph/GEPSNONPILOT/Tender/SplashBidNoticeAbstractUI.aspx?menuIndex=3&amp;refID=7027936&amp;Result=3","7027936")</f>
        <v>0</v>
      </c>
      <c r="B14828" t="s">
        <v>2868</v>
      </c>
      <c r="C14828" t="s">
        <v>4116</v>
      </c>
      <c r="D14828" t="s">
        <v>18802</v>
      </c>
      <c r="E14828" t="s">
        <v>19928</v>
      </c>
      <c r="F14828" t="s">
        <v>32664</v>
      </c>
      <c r="G14828" t="s">
        <v>32672</v>
      </c>
      <c r="H14828" t="s">
        <v>32683</v>
      </c>
      <c r="I14828" t="s">
        <v>10627</v>
      </c>
      <c r="J14828" t="s">
        <v>32981</v>
      </c>
      <c r="K14828" t="s">
        <v>42528</v>
      </c>
      <c r="M14828" t="s">
        <v>45717</v>
      </c>
      <c r="N14828" t="s">
        <v>46569</v>
      </c>
      <c r="O14828" t="s">
        <v>46570</v>
      </c>
      <c r="P14828">
        <v>0</v>
      </c>
      <c r="Q14828">
        <v>1</v>
      </c>
      <c r="R14828" t="s">
        <v>46591</v>
      </c>
      <c r="S14828" t="s">
        <v>47586</v>
      </c>
      <c r="T14828" t="s">
        <v>48221</v>
      </c>
      <c r="U14828" t="s">
        <v>60685</v>
      </c>
      <c r="W14828" t="s">
        <v>45717</v>
      </c>
      <c r="X14828" t="s">
        <v>46592</v>
      </c>
    </row>
    <row r="14829" spans="1:24">
      <c r="A14829">
        <f>HYPERLINK("https://www.philgeps.gov.ph/GEPSNONPILOT/Tender/SplashBidNoticeAbstractUI.aspx?menuIndex=3&amp;refID=7028323&amp;Result=3","7028323")</f>
        <v>0</v>
      </c>
      <c r="B14829" t="s">
        <v>3434</v>
      </c>
      <c r="C14829" t="s">
        <v>17639</v>
      </c>
      <c r="D14829" t="s">
        <v>18791</v>
      </c>
      <c r="E14829" t="s">
        <v>25183</v>
      </c>
      <c r="F14829" t="s">
        <v>32664</v>
      </c>
      <c r="G14829" t="s">
        <v>32672</v>
      </c>
      <c r="H14829" t="s">
        <v>32683</v>
      </c>
      <c r="I14829" t="s">
        <v>10627</v>
      </c>
      <c r="J14829" t="s">
        <v>41604</v>
      </c>
      <c r="K14829" t="s">
        <v>42414</v>
      </c>
      <c r="M14829" t="s">
        <v>46418</v>
      </c>
      <c r="N14829" t="s">
        <v>46569</v>
      </c>
      <c r="O14829" t="s">
        <v>46570</v>
      </c>
      <c r="P14829">
        <v>0</v>
      </c>
      <c r="Q14829">
        <v>0</v>
      </c>
      <c r="R14829" t="s">
        <v>46591</v>
      </c>
      <c r="S14829" t="s">
        <v>47586</v>
      </c>
      <c r="T14829" t="s">
        <v>48534</v>
      </c>
      <c r="U14829" t="s">
        <v>60679</v>
      </c>
      <c r="W14829" t="s">
        <v>46418</v>
      </c>
      <c r="X14829" t="s">
        <v>46592</v>
      </c>
    </row>
    <row r="14830" spans="1:24">
      <c r="A14830">
        <f>HYPERLINK("https://www.philgeps.gov.ph/GEPSNONPILOT/Tender/SplashBidNoticeAbstractUI.aspx?menuIndex=3&amp;refID=7028395&amp;Result=3","7028395")</f>
        <v>0</v>
      </c>
      <c r="B14830" t="s">
        <v>783</v>
      </c>
      <c r="C14830" t="s">
        <v>17640</v>
      </c>
      <c r="D14830" t="s">
        <v>18826</v>
      </c>
      <c r="E14830" t="s">
        <v>31642</v>
      </c>
      <c r="F14830" t="s">
        <v>32664</v>
      </c>
      <c r="G14830" t="s">
        <v>32672</v>
      </c>
      <c r="H14830" t="s">
        <v>32683</v>
      </c>
      <c r="I14830" t="s">
        <v>10627</v>
      </c>
      <c r="J14830" t="s">
        <v>41605</v>
      </c>
      <c r="K14830" t="s">
        <v>42283</v>
      </c>
      <c r="M14830" t="s">
        <v>43375</v>
      </c>
      <c r="N14830" t="s">
        <v>46569</v>
      </c>
      <c r="O14830" t="s">
        <v>46570</v>
      </c>
      <c r="P14830">
        <v>0</v>
      </c>
      <c r="Q14830">
        <v>4</v>
      </c>
      <c r="R14830" t="s">
        <v>46591</v>
      </c>
      <c r="S14830" t="s">
        <v>47586</v>
      </c>
      <c r="T14830" t="s">
        <v>48293</v>
      </c>
      <c r="U14830" t="s">
        <v>60684</v>
      </c>
      <c r="W14830" t="s">
        <v>43375</v>
      </c>
      <c r="X14830" t="s">
        <v>46592</v>
      </c>
    </row>
    <row r="14831" spans="1:24">
      <c r="A14831">
        <f>HYPERLINK("https://www.philgeps.gov.ph/GEPSNONPILOT/Tender/SplashBidNoticeAbstractUI.aspx?menuIndex=3&amp;refID=7028261&amp;Result=3","7028261")</f>
        <v>0</v>
      </c>
      <c r="B14831" t="s">
        <v>56</v>
      </c>
      <c r="C14831" t="s">
        <v>17641</v>
      </c>
      <c r="D14831" t="s">
        <v>18805</v>
      </c>
      <c r="E14831" t="s">
        <v>31643</v>
      </c>
      <c r="F14831" t="s">
        <v>32664</v>
      </c>
      <c r="G14831" t="s">
        <v>32672</v>
      </c>
      <c r="H14831" t="s">
        <v>32683</v>
      </c>
      <c r="I14831" t="s">
        <v>10627</v>
      </c>
      <c r="J14831" t="s">
        <v>41592</v>
      </c>
      <c r="K14831" t="s">
        <v>42553</v>
      </c>
      <c r="M14831" t="s">
        <v>42618</v>
      </c>
      <c r="N14831" t="s">
        <v>46569</v>
      </c>
      <c r="O14831" t="s">
        <v>46570</v>
      </c>
      <c r="Q14831">
        <v>11</v>
      </c>
      <c r="R14831" t="s">
        <v>46591</v>
      </c>
      <c r="S14831" t="s">
        <v>47614</v>
      </c>
      <c r="T14831" t="s">
        <v>48221</v>
      </c>
      <c r="U14831" t="s">
        <v>60686</v>
      </c>
      <c r="W14831" t="s">
        <v>42618</v>
      </c>
      <c r="X14831" t="s">
        <v>46592</v>
      </c>
    </row>
    <row r="14832" spans="1:24">
      <c r="A14832">
        <f>HYPERLINK("https://www.philgeps.gov.ph/GEPSNONPILOT/Tender/SplashBidNoticeAbstractUI.aspx?menuIndex=3&amp;refID=7027405&amp;Result=3","7027405")</f>
        <v>0</v>
      </c>
      <c r="B14832" t="s">
        <v>3342</v>
      </c>
      <c r="C14832" t="s">
        <v>17642</v>
      </c>
      <c r="D14832" t="s">
        <v>18787</v>
      </c>
      <c r="E14832" t="s">
        <v>31644</v>
      </c>
      <c r="F14832" t="s">
        <v>32664</v>
      </c>
      <c r="G14832" t="s">
        <v>32672</v>
      </c>
      <c r="H14832" t="s">
        <v>12635</v>
      </c>
      <c r="I14832" t="s">
        <v>32696</v>
      </c>
      <c r="J14832" t="s">
        <v>41606</v>
      </c>
      <c r="K14832" t="s">
        <v>42330</v>
      </c>
      <c r="M14832" t="s">
        <v>46298</v>
      </c>
      <c r="N14832" t="s">
        <v>46569</v>
      </c>
      <c r="O14832" t="s">
        <v>46570</v>
      </c>
      <c r="Q14832">
        <v>7</v>
      </c>
      <c r="R14832" t="s">
        <v>46591</v>
      </c>
      <c r="S14832" t="s">
        <v>47615</v>
      </c>
      <c r="T14832" t="s">
        <v>48221</v>
      </c>
      <c r="U14832" t="s">
        <v>51341</v>
      </c>
      <c r="W14832" t="s">
        <v>46298</v>
      </c>
      <c r="X14832" t="s">
        <v>46592</v>
      </c>
    </row>
    <row r="14833" spans="1:24">
      <c r="A14833">
        <f>HYPERLINK("https://www.philgeps.gov.ph/GEPSNONPILOT/Tender/SplashBidNoticeAbstractUI.aspx?menuIndex=3&amp;refID=7028176&amp;Result=3","7028176")</f>
        <v>0</v>
      </c>
      <c r="B14833" t="s">
        <v>1019</v>
      </c>
      <c r="C14833" t="s">
        <v>17643</v>
      </c>
      <c r="E14833" t="s">
        <v>31645</v>
      </c>
      <c r="F14833" t="s">
        <v>32664</v>
      </c>
      <c r="G14833" t="s">
        <v>32672</v>
      </c>
      <c r="H14833" t="s">
        <v>12635</v>
      </c>
      <c r="I14833" t="s">
        <v>8797</v>
      </c>
      <c r="J14833" t="s">
        <v>41607</v>
      </c>
      <c r="K14833" t="s">
        <v>42283</v>
      </c>
      <c r="M14833" t="s">
        <v>45873</v>
      </c>
      <c r="N14833" t="s">
        <v>46569</v>
      </c>
      <c r="O14833" t="s">
        <v>46570</v>
      </c>
      <c r="P14833">
        <v>0</v>
      </c>
      <c r="Q14833">
        <v>24</v>
      </c>
      <c r="R14833" t="s">
        <v>46591</v>
      </c>
      <c r="S14833" t="s">
        <v>47586</v>
      </c>
      <c r="T14833" t="s">
        <v>48244</v>
      </c>
      <c r="U14833" t="s">
        <v>60687</v>
      </c>
      <c r="W14833" t="s">
        <v>63568</v>
      </c>
      <c r="X14833" t="s">
        <v>46592</v>
      </c>
    </row>
    <row r="14834" spans="1:24">
      <c r="A14834">
        <f>HYPERLINK("https://www.philgeps.gov.ph/GEPSNONPILOT/Tender/SplashBidNoticeAbstractUI.aspx?menuIndex=3&amp;refID=7028361&amp;Result=3","7028361")</f>
        <v>0</v>
      </c>
      <c r="B14834" t="s">
        <v>678</v>
      </c>
      <c r="C14834" t="s">
        <v>17644</v>
      </c>
      <c r="E14834" t="s">
        <v>31646</v>
      </c>
      <c r="F14834" t="s">
        <v>32664</v>
      </c>
      <c r="G14834" t="s">
        <v>32672</v>
      </c>
      <c r="H14834" t="s">
        <v>32681</v>
      </c>
      <c r="I14834" t="s">
        <v>32681</v>
      </c>
      <c r="J14834" t="s">
        <v>33150</v>
      </c>
      <c r="K14834" t="s">
        <v>42283</v>
      </c>
      <c r="M14834" t="s">
        <v>43265</v>
      </c>
      <c r="N14834" t="s">
        <v>46569</v>
      </c>
      <c r="O14834" t="s">
        <v>46570</v>
      </c>
      <c r="Q14834">
        <v>14</v>
      </c>
      <c r="R14834" t="s">
        <v>46591</v>
      </c>
      <c r="S14834" t="s">
        <v>46824</v>
      </c>
      <c r="T14834" t="s">
        <v>48467</v>
      </c>
      <c r="U14834" t="s">
        <v>60688</v>
      </c>
      <c r="W14834" t="s">
        <v>43265</v>
      </c>
      <c r="X14834" t="s">
        <v>46592</v>
      </c>
    </row>
    <row r="14835" spans="1:24">
      <c r="A14835">
        <f>HYPERLINK("https://www.philgeps.gov.ph/GEPSNONPILOT/Tender/SplashBidNoticeAbstractUI.aspx?menuIndex=3&amp;refID=7027548&amp;Result=3","7027548")</f>
        <v>0</v>
      </c>
      <c r="B14835" t="s">
        <v>790</v>
      </c>
      <c r="C14835" t="s">
        <v>17645</v>
      </c>
      <c r="D14835" t="s">
        <v>18809</v>
      </c>
      <c r="E14835" t="s">
        <v>31647</v>
      </c>
      <c r="F14835" t="s">
        <v>32664</v>
      </c>
      <c r="G14835" t="s">
        <v>32672</v>
      </c>
      <c r="H14835" t="s">
        <v>12635</v>
      </c>
      <c r="I14835" t="s">
        <v>10627</v>
      </c>
      <c r="J14835" t="s">
        <v>41608</v>
      </c>
      <c r="K14835" t="s">
        <v>42311</v>
      </c>
      <c r="M14835" t="s">
        <v>44818</v>
      </c>
      <c r="N14835" t="s">
        <v>46569</v>
      </c>
      <c r="O14835" t="s">
        <v>46570</v>
      </c>
      <c r="P14835">
        <v>0</v>
      </c>
      <c r="Q14835">
        <v>0</v>
      </c>
      <c r="R14835" t="s">
        <v>46591</v>
      </c>
      <c r="S14835" t="s">
        <v>47586</v>
      </c>
      <c r="T14835" t="s">
        <v>48293</v>
      </c>
      <c r="U14835" t="s">
        <v>60689</v>
      </c>
      <c r="W14835" t="s">
        <v>44818</v>
      </c>
      <c r="X14835" t="s">
        <v>46592</v>
      </c>
    </row>
    <row r="14836" spans="1:24">
      <c r="A14836">
        <f>HYPERLINK("https://www.philgeps.gov.ph/GEPSNONPILOT/Tender/SplashBidNoticeAbstractUI.aspx?menuIndex=3&amp;refID=7027676&amp;Result=3","7027676")</f>
        <v>0</v>
      </c>
      <c r="B14836" t="s">
        <v>2884</v>
      </c>
      <c r="C14836" t="s">
        <v>17646</v>
      </c>
      <c r="D14836" t="s">
        <v>18841</v>
      </c>
      <c r="E14836" t="s">
        <v>31648</v>
      </c>
      <c r="F14836" t="s">
        <v>32664</v>
      </c>
      <c r="G14836" t="s">
        <v>32672</v>
      </c>
      <c r="H14836" t="s">
        <v>32683</v>
      </c>
      <c r="I14836" t="s">
        <v>10627</v>
      </c>
      <c r="J14836" t="s">
        <v>33009</v>
      </c>
      <c r="K14836" t="s">
        <v>42298</v>
      </c>
      <c r="M14836" t="s">
        <v>45733</v>
      </c>
      <c r="N14836" t="s">
        <v>46569</v>
      </c>
      <c r="O14836" t="s">
        <v>46570</v>
      </c>
      <c r="P14836">
        <v>0</v>
      </c>
      <c r="Q14836">
        <v>0</v>
      </c>
      <c r="R14836" t="s">
        <v>46591</v>
      </c>
      <c r="S14836" t="s">
        <v>47586</v>
      </c>
      <c r="T14836" t="s">
        <v>48221</v>
      </c>
      <c r="U14836" t="s">
        <v>60690</v>
      </c>
      <c r="W14836" t="s">
        <v>63576</v>
      </c>
      <c r="X14836" t="s">
        <v>46592</v>
      </c>
    </row>
    <row r="14837" spans="1:24">
      <c r="A14837">
        <f>HYPERLINK("https://www.philgeps.gov.ph/GEPSNONPILOT/Tender/SplashBidNoticeAbstractUI.aspx?menuIndex=3&amp;refID=7028756&amp;Result=3","7028756")</f>
        <v>0</v>
      </c>
      <c r="B14837" t="s">
        <v>631</v>
      </c>
      <c r="C14837" t="s">
        <v>17647</v>
      </c>
      <c r="D14837" t="s">
        <v>18812</v>
      </c>
      <c r="E14837" t="s">
        <v>29241</v>
      </c>
      <c r="F14837" t="s">
        <v>32664</v>
      </c>
      <c r="G14837" t="s">
        <v>32672</v>
      </c>
      <c r="H14837" t="s">
        <v>12635</v>
      </c>
      <c r="I14837" t="s">
        <v>32699</v>
      </c>
      <c r="J14837" t="s">
        <v>41609</v>
      </c>
      <c r="K14837" t="s">
        <v>42305</v>
      </c>
      <c r="L14837" t="s">
        <v>631</v>
      </c>
      <c r="M14837" t="s">
        <v>43213</v>
      </c>
      <c r="N14837" t="s">
        <v>46569</v>
      </c>
      <c r="O14837" t="s">
        <v>46570</v>
      </c>
      <c r="P14837">
        <v>0</v>
      </c>
      <c r="Q14837">
        <v>2</v>
      </c>
      <c r="R14837" t="s">
        <v>46591</v>
      </c>
      <c r="S14837" t="s">
        <v>47586</v>
      </c>
      <c r="T14837" t="s">
        <v>48598</v>
      </c>
      <c r="U14837" t="s">
        <v>60691</v>
      </c>
      <c r="V14837" t="s">
        <v>63275</v>
      </c>
      <c r="W14837" t="s">
        <v>43213</v>
      </c>
      <c r="X14837" t="s">
        <v>46592</v>
      </c>
    </row>
    <row r="14838" spans="1:24">
      <c r="A14838">
        <f>HYPERLINK("https://www.philgeps.gov.ph/GEPSNONPILOT/Tender/SplashBidNoticeAbstractUI.aspx?menuIndex=3&amp;refID=7028805&amp;Result=3","7028805")</f>
        <v>0</v>
      </c>
      <c r="B14838" t="s">
        <v>663</v>
      </c>
      <c r="C14838" t="s">
        <v>17648</v>
      </c>
      <c r="D14838" t="s">
        <v>18824</v>
      </c>
      <c r="E14838" t="s">
        <v>31649</v>
      </c>
      <c r="F14838" t="s">
        <v>32665</v>
      </c>
      <c r="G14838" t="s">
        <v>32672</v>
      </c>
      <c r="H14838" t="s">
        <v>12635</v>
      </c>
      <c r="I14838" t="s">
        <v>5589</v>
      </c>
      <c r="J14838" t="s">
        <v>38535</v>
      </c>
      <c r="K14838" t="s">
        <v>42284</v>
      </c>
      <c r="M14838" t="s">
        <v>43250</v>
      </c>
      <c r="N14838" t="s">
        <v>46569</v>
      </c>
      <c r="O14838" t="s">
        <v>46570</v>
      </c>
      <c r="P14838">
        <v>0</v>
      </c>
      <c r="Q14838">
        <v>7</v>
      </c>
      <c r="R14838" t="s">
        <v>46591</v>
      </c>
      <c r="S14838" t="s">
        <v>47586</v>
      </c>
      <c r="T14838" t="s">
        <v>48217</v>
      </c>
      <c r="U14838" t="s">
        <v>60692</v>
      </c>
      <c r="V14838" t="s">
        <v>61789</v>
      </c>
      <c r="W14838" t="s">
        <v>43250</v>
      </c>
      <c r="X14838" t="s">
        <v>46592</v>
      </c>
    </row>
    <row r="14839" spans="1:24">
      <c r="A14839">
        <f>HYPERLINK("https://www.philgeps.gov.ph/GEPSNONPILOT/Tender/SplashBidNoticeAbstractUI.aspx?menuIndex=3&amp;refID=7028212&amp;Result=3","7028212")</f>
        <v>0</v>
      </c>
      <c r="B14839" t="s">
        <v>56</v>
      </c>
      <c r="C14839" t="s">
        <v>17649</v>
      </c>
      <c r="D14839" t="s">
        <v>18805</v>
      </c>
      <c r="E14839" t="s">
        <v>31650</v>
      </c>
      <c r="F14839" t="s">
        <v>32664</v>
      </c>
      <c r="G14839" t="s">
        <v>32672</v>
      </c>
      <c r="H14839" t="s">
        <v>32683</v>
      </c>
      <c r="I14839" t="s">
        <v>10627</v>
      </c>
      <c r="J14839" t="s">
        <v>41610</v>
      </c>
      <c r="K14839" t="s">
        <v>42411</v>
      </c>
      <c r="M14839" t="s">
        <v>42618</v>
      </c>
      <c r="N14839" t="s">
        <v>46569</v>
      </c>
      <c r="O14839" t="s">
        <v>46570</v>
      </c>
      <c r="Q14839">
        <v>14</v>
      </c>
      <c r="R14839" t="s">
        <v>46591</v>
      </c>
      <c r="S14839" t="s">
        <v>47616</v>
      </c>
      <c r="T14839" t="s">
        <v>48221</v>
      </c>
      <c r="U14839" t="s">
        <v>60693</v>
      </c>
      <c r="W14839" t="s">
        <v>42618</v>
      </c>
      <c r="X14839" t="s">
        <v>46592</v>
      </c>
    </row>
    <row r="14840" spans="1:24">
      <c r="A14840">
        <f>HYPERLINK("https://www.philgeps.gov.ph/GEPSNONPILOT/Tender/SplashBidNoticeAbstractUI.aspx?menuIndex=3&amp;refID=7028145&amp;Result=3","7028145")</f>
        <v>0</v>
      </c>
      <c r="B14840" t="s">
        <v>2493</v>
      </c>
      <c r="C14840" t="s">
        <v>17650</v>
      </c>
      <c r="D14840" t="s">
        <v>18781</v>
      </c>
      <c r="E14840" t="s">
        <v>31651</v>
      </c>
      <c r="F14840" t="s">
        <v>32664</v>
      </c>
      <c r="G14840" t="s">
        <v>32672</v>
      </c>
      <c r="H14840" t="s">
        <v>32683</v>
      </c>
      <c r="I14840" t="s">
        <v>10627</v>
      </c>
      <c r="J14840" t="s">
        <v>37240</v>
      </c>
      <c r="K14840" t="s">
        <v>42380</v>
      </c>
      <c r="M14840" t="s">
        <v>45295</v>
      </c>
      <c r="N14840" t="s">
        <v>46569</v>
      </c>
      <c r="O14840" t="s">
        <v>46570</v>
      </c>
      <c r="P14840">
        <v>0</v>
      </c>
      <c r="Q14840">
        <v>2</v>
      </c>
      <c r="R14840" t="s">
        <v>46591</v>
      </c>
      <c r="S14840" t="s">
        <v>47586</v>
      </c>
      <c r="T14840" t="s">
        <v>48246</v>
      </c>
      <c r="U14840" t="s">
        <v>60694</v>
      </c>
      <c r="W14840" t="s">
        <v>45295</v>
      </c>
      <c r="X14840" t="s">
        <v>46592</v>
      </c>
    </row>
    <row r="14841" spans="1:24">
      <c r="A14841">
        <f>HYPERLINK("https://www.philgeps.gov.ph/GEPSNONPILOT/Tender/SplashBidNoticeAbstractUI.aspx?menuIndex=3&amp;refID=7028729&amp;Result=3","7028729")</f>
        <v>0</v>
      </c>
      <c r="B14841" t="s">
        <v>1455</v>
      </c>
      <c r="C14841" t="s">
        <v>17651</v>
      </c>
      <c r="D14841" t="s">
        <v>18792</v>
      </c>
      <c r="E14841" t="s">
        <v>25251</v>
      </c>
      <c r="F14841" t="s">
        <v>32664</v>
      </c>
      <c r="G14841" t="s">
        <v>32671</v>
      </c>
      <c r="H14841" t="s">
        <v>12635</v>
      </c>
      <c r="I14841" t="s">
        <v>6223</v>
      </c>
      <c r="J14841" t="s">
        <v>41611</v>
      </c>
      <c r="K14841" t="s">
        <v>42281</v>
      </c>
      <c r="M14841" t="s">
        <v>44116</v>
      </c>
      <c r="N14841" t="s">
        <v>46569</v>
      </c>
      <c r="O14841" t="s">
        <v>46570</v>
      </c>
      <c r="P14841">
        <v>0</v>
      </c>
      <c r="Q14841">
        <v>1</v>
      </c>
      <c r="R14841" t="s">
        <v>46591</v>
      </c>
      <c r="S14841" t="s">
        <v>47586</v>
      </c>
      <c r="T14841" t="s">
        <v>48376</v>
      </c>
      <c r="U14841" t="s">
        <v>60695</v>
      </c>
      <c r="W14841" t="s">
        <v>44116</v>
      </c>
      <c r="X14841" t="s">
        <v>46592</v>
      </c>
    </row>
    <row r="14842" spans="1:24">
      <c r="A14842">
        <f>HYPERLINK("https://www.philgeps.gov.ph/GEPSNONPILOT/Tender/SplashBidNoticeAbstractUI.aspx?menuIndex=3&amp;refID=7028711&amp;Result=3","7028711")</f>
        <v>0</v>
      </c>
      <c r="B14842" t="s">
        <v>631</v>
      </c>
      <c r="C14842" t="s">
        <v>17652</v>
      </c>
      <c r="D14842" t="s">
        <v>18812</v>
      </c>
      <c r="E14842" t="s">
        <v>31652</v>
      </c>
      <c r="F14842" t="s">
        <v>32664</v>
      </c>
      <c r="G14842" t="s">
        <v>32672</v>
      </c>
      <c r="H14842" t="s">
        <v>12635</v>
      </c>
      <c r="I14842" t="s">
        <v>11464</v>
      </c>
      <c r="J14842" t="s">
        <v>33150</v>
      </c>
      <c r="K14842" t="s">
        <v>42298</v>
      </c>
      <c r="L14842" t="s">
        <v>631</v>
      </c>
      <c r="M14842" t="s">
        <v>43213</v>
      </c>
      <c r="N14842" t="s">
        <v>46569</v>
      </c>
      <c r="O14842" t="s">
        <v>46570</v>
      </c>
      <c r="P14842">
        <v>0</v>
      </c>
      <c r="Q14842">
        <v>12</v>
      </c>
      <c r="R14842" t="s">
        <v>46591</v>
      </c>
      <c r="S14842" t="s">
        <v>47586</v>
      </c>
      <c r="T14842" t="s">
        <v>48598</v>
      </c>
      <c r="U14842" t="s">
        <v>60696</v>
      </c>
      <c r="V14842" t="s">
        <v>63275</v>
      </c>
      <c r="W14842" t="s">
        <v>43213</v>
      </c>
      <c r="X14842" t="s">
        <v>46592</v>
      </c>
    </row>
    <row r="14843" spans="1:24">
      <c r="A14843">
        <f>HYPERLINK("https://www.philgeps.gov.ph/GEPSNONPILOT/Tender/SplashBidNoticeAbstractUI.aspx?menuIndex=3&amp;refID=7028688&amp;Result=3","7028688")</f>
        <v>0</v>
      </c>
      <c r="B14843" t="s">
        <v>3453</v>
      </c>
      <c r="C14843" t="s">
        <v>17653</v>
      </c>
      <c r="D14843" t="s">
        <v>18816</v>
      </c>
      <c r="E14843" t="s">
        <v>31653</v>
      </c>
      <c r="F14843" t="s">
        <v>32664</v>
      </c>
      <c r="G14843" t="s">
        <v>32672</v>
      </c>
      <c r="H14843" t="s">
        <v>32683</v>
      </c>
      <c r="I14843" t="s">
        <v>10627</v>
      </c>
      <c r="J14843" t="s">
        <v>41612</v>
      </c>
      <c r="K14843" t="s">
        <v>42308</v>
      </c>
      <c r="M14843" t="s">
        <v>46441</v>
      </c>
      <c r="N14843" t="s">
        <v>46569</v>
      </c>
      <c r="O14843" t="s">
        <v>46570</v>
      </c>
      <c r="P14843">
        <v>0</v>
      </c>
      <c r="Q14843">
        <v>0</v>
      </c>
      <c r="R14843" t="s">
        <v>46591</v>
      </c>
      <c r="S14843" t="s">
        <v>47586</v>
      </c>
      <c r="T14843" t="s">
        <v>48221</v>
      </c>
      <c r="U14843" t="s">
        <v>60697</v>
      </c>
      <c r="W14843" t="s">
        <v>46441</v>
      </c>
      <c r="X14843" t="s">
        <v>46592</v>
      </c>
    </row>
    <row r="14844" spans="1:24">
      <c r="A14844">
        <f>HYPERLINK("https://www.philgeps.gov.ph/GEPSNONPILOT/Tender/SplashBidNoticeAbstractUI.aspx?menuIndex=3&amp;refID=7028284&amp;Result=3","7028284")</f>
        <v>0</v>
      </c>
      <c r="B14844" t="s">
        <v>56</v>
      </c>
      <c r="C14844" t="s">
        <v>17654</v>
      </c>
      <c r="D14844" t="s">
        <v>18805</v>
      </c>
      <c r="E14844" t="s">
        <v>31654</v>
      </c>
      <c r="F14844" t="s">
        <v>32664</v>
      </c>
      <c r="G14844" t="s">
        <v>32672</v>
      </c>
      <c r="H14844" t="s">
        <v>32683</v>
      </c>
      <c r="I14844" t="s">
        <v>10627</v>
      </c>
      <c r="J14844" t="s">
        <v>34635</v>
      </c>
      <c r="K14844" t="s">
        <v>42484</v>
      </c>
      <c r="M14844" t="s">
        <v>42618</v>
      </c>
      <c r="N14844" t="s">
        <v>46569</v>
      </c>
      <c r="O14844" t="s">
        <v>46570</v>
      </c>
      <c r="Q14844">
        <v>10</v>
      </c>
      <c r="R14844" t="s">
        <v>46591</v>
      </c>
      <c r="S14844" t="s">
        <v>47127</v>
      </c>
      <c r="T14844" t="s">
        <v>48221</v>
      </c>
      <c r="U14844" t="s">
        <v>60698</v>
      </c>
      <c r="W14844" t="s">
        <v>42618</v>
      </c>
      <c r="X14844" t="s">
        <v>46592</v>
      </c>
    </row>
    <row r="14845" spans="1:24">
      <c r="A14845">
        <f>HYPERLINK("https://www.philgeps.gov.ph/GEPSNONPILOT/Tender/SplashBidNoticeAbstractUI.aspx?menuIndex=3&amp;refID=7028669&amp;Result=3","7028669")</f>
        <v>0</v>
      </c>
      <c r="B14845" t="s">
        <v>1133</v>
      </c>
      <c r="C14845" t="s">
        <v>17655</v>
      </c>
      <c r="D14845" t="s">
        <v>18858</v>
      </c>
      <c r="E14845" t="s">
        <v>31655</v>
      </c>
      <c r="F14845" t="s">
        <v>32664</v>
      </c>
      <c r="G14845" t="s">
        <v>32672</v>
      </c>
      <c r="H14845" t="s">
        <v>32683</v>
      </c>
      <c r="I14845" t="s">
        <v>10627</v>
      </c>
      <c r="J14845" t="s">
        <v>41613</v>
      </c>
      <c r="K14845" t="s">
        <v>42311</v>
      </c>
      <c r="M14845" t="s">
        <v>43762</v>
      </c>
      <c r="N14845" t="s">
        <v>46569</v>
      </c>
      <c r="O14845" t="s">
        <v>46570</v>
      </c>
      <c r="P14845">
        <v>0</v>
      </c>
      <c r="Q14845">
        <v>0</v>
      </c>
      <c r="R14845" t="s">
        <v>46591</v>
      </c>
      <c r="S14845" t="s">
        <v>47586</v>
      </c>
      <c r="T14845" t="s">
        <v>48293</v>
      </c>
      <c r="U14845" t="s">
        <v>60699</v>
      </c>
      <c r="W14845" t="s">
        <v>43762</v>
      </c>
      <c r="X14845" t="s">
        <v>46592</v>
      </c>
    </row>
    <row r="14846" spans="1:24">
      <c r="A14846">
        <f>HYPERLINK("https://www.philgeps.gov.ph/GEPSNONPILOT/Tender/SplashBidNoticeAbstractUI.aspx?menuIndex=3&amp;refID=7028784&amp;Result=3","7028784")</f>
        <v>0</v>
      </c>
      <c r="B14846" t="s">
        <v>3021</v>
      </c>
      <c r="C14846" t="s">
        <v>17656</v>
      </c>
      <c r="D14846" t="s">
        <v>18782</v>
      </c>
      <c r="E14846" t="s">
        <v>23509</v>
      </c>
      <c r="F14846" t="s">
        <v>32664</v>
      </c>
      <c r="G14846" t="s">
        <v>32672</v>
      </c>
      <c r="H14846" t="s">
        <v>12635</v>
      </c>
      <c r="I14846" t="s">
        <v>32736</v>
      </c>
      <c r="J14846" t="s">
        <v>41614</v>
      </c>
      <c r="K14846" t="s">
        <v>42281</v>
      </c>
      <c r="M14846" t="s">
        <v>45893</v>
      </c>
      <c r="N14846" t="s">
        <v>46569</v>
      </c>
      <c r="O14846" t="s">
        <v>46570</v>
      </c>
      <c r="P14846">
        <v>0</v>
      </c>
      <c r="Q14846">
        <v>1</v>
      </c>
      <c r="R14846" t="s">
        <v>46591</v>
      </c>
      <c r="S14846" t="s">
        <v>47586</v>
      </c>
      <c r="T14846" t="s">
        <v>48314</v>
      </c>
      <c r="U14846" t="s">
        <v>60700</v>
      </c>
      <c r="W14846" t="s">
        <v>45893</v>
      </c>
      <c r="X14846" t="s">
        <v>46592</v>
      </c>
    </row>
    <row r="14847" spans="1:24">
      <c r="A14847">
        <f>HYPERLINK("https://www.philgeps.gov.ph/GEPSNONPILOT/Tender/SplashBidNoticeAbstractUI.aspx?menuIndex=3&amp;refID=7028665&amp;Result=3","7028665")</f>
        <v>0</v>
      </c>
      <c r="B14847" t="s">
        <v>3021</v>
      </c>
      <c r="C14847" t="s">
        <v>17657</v>
      </c>
      <c r="D14847" t="s">
        <v>18782</v>
      </c>
      <c r="E14847" t="s">
        <v>23447</v>
      </c>
      <c r="F14847" t="s">
        <v>32664</v>
      </c>
      <c r="G14847" t="s">
        <v>32672</v>
      </c>
      <c r="H14847" t="s">
        <v>12635</v>
      </c>
      <c r="I14847" t="s">
        <v>32699</v>
      </c>
      <c r="J14847" t="s">
        <v>41615</v>
      </c>
      <c r="K14847" t="s">
        <v>42281</v>
      </c>
      <c r="M14847" t="s">
        <v>45893</v>
      </c>
      <c r="N14847" t="s">
        <v>46569</v>
      </c>
      <c r="O14847" t="s">
        <v>46570</v>
      </c>
      <c r="P14847">
        <v>0</v>
      </c>
      <c r="Q14847">
        <v>2</v>
      </c>
      <c r="R14847" t="s">
        <v>46591</v>
      </c>
      <c r="S14847" t="s">
        <v>47586</v>
      </c>
      <c r="T14847" t="s">
        <v>48314</v>
      </c>
      <c r="U14847" t="s">
        <v>60701</v>
      </c>
      <c r="W14847" t="s">
        <v>45893</v>
      </c>
      <c r="X14847" t="s">
        <v>46592</v>
      </c>
    </row>
    <row r="14848" spans="1:24">
      <c r="A14848">
        <f>HYPERLINK("https://www.philgeps.gov.ph/GEPSNONPILOT/Tender/SplashBidNoticeAbstractUI.aspx?menuIndex=3&amp;refID=7028648&amp;Result=3","7028648")</f>
        <v>0</v>
      </c>
      <c r="B14848" t="s">
        <v>3434</v>
      </c>
      <c r="C14848" t="s">
        <v>17658</v>
      </c>
      <c r="D14848" t="s">
        <v>18791</v>
      </c>
      <c r="E14848" t="s">
        <v>25186</v>
      </c>
      <c r="F14848" t="s">
        <v>32664</v>
      </c>
      <c r="G14848" t="s">
        <v>32672</v>
      </c>
      <c r="H14848" t="s">
        <v>32683</v>
      </c>
      <c r="I14848" t="s">
        <v>10627</v>
      </c>
      <c r="J14848" t="s">
        <v>41616</v>
      </c>
      <c r="K14848" t="s">
        <v>42305</v>
      </c>
      <c r="M14848" t="s">
        <v>46418</v>
      </c>
      <c r="N14848" t="s">
        <v>46569</v>
      </c>
      <c r="O14848" t="s">
        <v>46570</v>
      </c>
      <c r="P14848">
        <v>0</v>
      </c>
      <c r="Q14848">
        <v>0</v>
      </c>
      <c r="R14848" t="s">
        <v>46591</v>
      </c>
      <c r="S14848" t="s">
        <v>47586</v>
      </c>
      <c r="T14848" t="s">
        <v>48534</v>
      </c>
      <c r="U14848" t="s">
        <v>60679</v>
      </c>
      <c r="W14848" t="s">
        <v>46418</v>
      </c>
      <c r="X14848" t="s">
        <v>46592</v>
      </c>
    </row>
    <row r="14849" spans="1:24">
      <c r="A14849">
        <f>HYPERLINK("https://www.philgeps.gov.ph/GEPSNONPILOT/Tender/SplashBidNoticeAbstractUI.aspx?menuIndex=3&amp;refID=7028636&amp;Result=3","7028636")</f>
        <v>0</v>
      </c>
      <c r="B14849" t="s">
        <v>1392</v>
      </c>
      <c r="C14849" t="s">
        <v>17659</v>
      </c>
      <c r="D14849" t="s">
        <v>18860</v>
      </c>
      <c r="E14849" t="s">
        <v>31656</v>
      </c>
      <c r="F14849" t="s">
        <v>32664</v>
      </c>
      <c r="G14849" t="s">
        <v>32672</v>
      </c>
      <c r="H14849" t="s">
        <v>32683</v>
      </c>
      <c r="I14849" t="s">
        <v>10627</v>
      </c>
      <c r="J14849" t="s">
        <v>41617</v>
      </c>
      <c r="K14849" t="s">
        <v>42298</v>
      </c>
      <c r="M14849" t="s">
        <v>46442</v>
      </c>
      <c r="N14849" t="s">
        <v>46569</v>
      </c>
      <c r="O14849" t="s">
        <v>46570</v>
      </c>
      <c r="P14849">
        <v>0</v>
      </c>
      <c r="Q14849">
        <v>1</v>
      </c>
      <c r="R14849" t="s">
        <v>46591</v>
      </c>
      <c r="S14849" t="s">
        <v>47586</v>
      </c>
      <c r="T14849" t="s">
        <v>48258</v>
      </c>
      <c r="U14849" t="s">
        <v>60702</v>
      </c>
      <c r="W14849" t="s">
        <v>46442</v>
      </c>
      <c r="X14849" t="s">
        <v>46592</v>
      </c>
    </row>
    <row r="14850" spans="1:24">
      <c r="A14850">
        <f>HYPERLINK("https://www.philgeps.gov.ph/GEPSNONPILOT/Tender/SplashBidNoticeAbstractUI.aspx?menuIndex=3&amp;refID=7028616&amp;Result=3","7028616")</f>
        <v>0</v>
      </c>
      <c r="B14850" t="s">
        <v>631</v>
      </c>
      <c r="C14850" t="s">
        <v>17660</v>
      </c>
      <c r="D14850" t="s">
        <v>18812</v>
      </c>
      <c r="E14850" t="s">
        <v>31657</v>
      </c>
      <c r="F14850" t="s">
        <v>32664</v>
      </c>
      <c r="G14850" t="s">
        <v>32672</v>
      </c>
      <c r="H14850" t="s">
        <v>12635</v>
      </c>
      <c r="I14850" t="s">
        <v>11464</v>
      </c>
      <c r="J14850" t="s">
        <v>32982</v>
      </c>
      <c r="K14850" t="s">
        <v>42298</v>
      </c>
      <c r="L14850" t="s">
        <v>631</v>
      </c>
      <c r="M14850" t="s">
        <v>43213</v>
      </c>
      <c r="N14850" t="s">
        <v>46569</v>
      </c>
      <c r="O14850" t="s">
        <v>46570</v>
      </c>
      <c r="P14850">
        <v>0</v>
      </c>
      <c r="Q14850">
        <v>3</v>
      </c>
      <c r="R14850" t="s">
        <v>46591</v>
      </c>
      <c r="S14850" t="s">
        <v>47586</v>
      </c>
      <c r="T14850" t="s">
        <v>48598</v>
      </c>
      <c r="U14850" t="s">
        <v>60703</v>
      </c>
      <c r="V14850" t="s">
        <v>63275</v>
      </c>
      <c r="W14850" t="s">
        <v>43213</v>
      </c>
      <c r="X14850" t="s">
        <v>46592</v>
      </c>
    </row>
    <row r="14851" spans="1:24">
      <c r="A14851">
        <f>HYPERLINK("https://www.philgeps.gov.ph/GEPSNONPILOT/Tender/SplashBidNoticeAbstractUI.aspx?menuIndex=3&amp;refID=7028705&amp;Result=3","7028705")</f>
        <v>0</v>
      </c>
      <c r="B14851" t="s">
        <v>68</v>
      </c>
      <c r="C14851" t="s">
        <v>17661</v>
      </c>
      <c r="D14851" t="s">
        <v>18815</v>
      </c>
      <c r="E14851" t="s">
        <v>19000</v>
      </c>
      <c r="F14851" t="s">
        <v>32664</v>
      </c>
      <c r="G14851" t="s">
        <v>32672</v>
      </c>
      <c r="H14851" t="s">
        <v>32683</v>
      </c>
      <c r="I14851" t="s">
        <v>10627</v>
      </c>
      <c r="J14851" t="s">
        <v>34487</v>
      </c>
      <c r="K14851" t="s">
        <v>42283</v>
      </c>
      <c r="M14851" t="s">
        <v>42631</v>
      </c>
      <c r="N14851" t="s">
        <v>46569</v>
      </c>
      <c r="O14851" t="s">
        <v>46570</v>
      </c>
      <c r="P14851">
        <v>0</v>
      </c>
      <c r="Q14851">
        <v>0</v>
      </c>
      <c r="R14851" t="s">
        <v>46591</v>
      </c>
      <c r="S14851" t="s">
        <v>47586</v>
      </c>
      <c r="T14851" t="s">
        <v>48221</v>
      </c>
      <c r="U14851" t="s">
        <v>60704</v>
      </c>
      <c r="V14851" t="s">
        <v>63276</v>
      </c>
      <c r="W14851" t="s">
        <v>42631</v>
      </c>
      <c r="X14851" t="s">
        <v>46592</v>
      </c>
    </row>
    <row r="14852" spans="1:24">
      <c r="A14852">
        <f>HYPERLINK("https://www.philgeps.gov.ph/GEPSNONPILOT/Tender/SplashBidNoticeAbstractUI.aspx?menuIndex=3&amp;refID=7028580&amp;Result=3","7028580")</f>
        <v>0</v>
      </c>
      <c r="B14852" t="s">
        <v>3454</v>
      </c>
      <c r="C14852" t="s">
        <v>17662</v>
      </c>
      <c r="D14852" t="s">
        <v>18806</v>
      </c>
      <c r="E14852" t="s">
        <v>31658</v>
      </c>
      <c r="F14852" t="s">
        <v>32664</v>
      </c>
      <c r="G14852" t="s">
        <v>32672</v>
      </c>
      <c r="H14852" t="s">
        <v>32683</v>
      </c>
      <c r="I14852" t="s">
        <v>32716</v>
      </c>
      <c r="J14852" t="s">
        <v>34859</v>
      </c>
      <c r="K14852" t="s">
        <v>42281</v>
      </c>
      <c r="M14852" t="s">
        <v>46443</v>
      </c>
      <c r="N14852" t="s">
        <v>46569</v>
      </c>
      <c r="O14852" t="s">
        <v>46570</v>
      </c>
      <c r="P14852">
        <v>0</v>
      </c>
      <c r="Q14852">
        <v>3</v>
      </c>
      <c r="R14852" t="s">
        <v>46591</v>
      </c>
      <c r="S14852" t="s">
        <v>47586</v>
      </c>
      <c r="T14852" t="s">
        <v>48424</v>
      </c>
      <c r="U14852" t="s">
        <v>60705</v>
      </c>
      <c r="V14852" t="s">
        <v>63188</v>
      </c>
      <c r="W14852" t="s">
        <v>46443</v>
      </c>
      <c r="X14852" t="s">
        <v>46592</v>
      </c>
    </row>
    <row r="14853" spans="1:24">
      <c r="A14853">
        <f>HYPERLINK("https://www.philgeps.gov.ph/GEPSNONPILOT/Tender/SplashBidNoticeAbstractUI.aspx?menuIndex=3&amp;refID=7028574&amp;Result=3","7028574")</f>
        <v>0</v>
      </c>
      <c r="B14853" t="s">
        <v>68</v>
      </c>
      <c r="C14853" t="s">
        <v>17663</v>
      </c>
      <c r="D14853" t="s">
        <v>18815</v>
      </c>
      <c r="E14853" t="s">
        <v>19000</v>
      </c>
      <c r="F14853" t="s">
        <v>32664</v>
      </c>
      <c r="G14853" t="s">
        <v>32672</v>
      </c>
      <c r="H14853" t="s">
        <v>32683</v>
      </c>
      <c r="I14853" t="s">
        <v>10627</v>
      </c>
      <c r="J14853" t="s">
        <v>32837</v>
      </c>
      <c r="K14853" t="s">
        <v>42283</v>
      </c>
      <c r="M14853" t="s">
        <v>42631</v>
      </c>
      <c r="N14853" t="s">
        <v>46569</v>
      </c>
      <c r="O14853" t="s">
        <v>46570</v>
      </c>
      <c r="P14853">
        <v>0</v>
      </c>
      <c r="Q14853">
        <v>0</v>
      </c>
      <c r="R14853" t="s">
        <v>46591</v>
      </c>
      <c r="S14853" t="s">
        <v>47586</v>
      </c>
      <c r="T14853" t="s">
        <v>48221</v>
      </c>
      <c r="U14853" t="s">
        <v>60706</v>
      </c>
      <c r="V14853" t="s">
        <v>63276</v>
      </c>
      <c r="W14853" t="s">
        <v>42631</v>
      </c>
      <c r="X14853" t="s">
        <v>46592</v>
      </c>
    </row>
    <row r="14854" spans="1:24">
      <c r="A14854">
        <f>HYPERLINK("https://www.philgeps.gov.ph/GEPSNONPILOT/Tender/SplashBidNoticeAbstractUI.aspx?menuIndex=3&amp;refID=7028526&amp;Result=3","7028526")</f>
        <v>0</v>
      </c>
      <c r="B14854" t="s">
        <v>3454</v>
      </c>
      <c r="C14854" t="s">
        <v>17664</v>
      </c>
      <c r="D14854" t="s">
        <v>18806</v>
      </c>
      <c r="E14854" t="s">
        <v>31659</v>
      </c>
      <c r="F14854" t="s">
        <v>32664</v>
      </c>
      <c r="G14854" t="s">
        <v>32672</v>
      </c>
      <c r="H14854" t="s">
        <v>12635</v>
      </c>
      <c r="I14854" t="s">
        <v>32736</v>
      </c>
      <c r="J14854" t="s">
        <v>41618</v>
      </c>
      <c r="K14854" t="s">
        <v>42281</v>
      </c>
      <c r="M14854" t="s">
        <v>46443</v>
      </c>
      <c r="N14854" t="s">
        <v>46569</v>
      </c>
      <c r="O14854" t="s">
        <v>46570</v>
      </c>
      <c r="P14854">
        <v>0</v>
      </c>
      <c r="Q14854">
        <v>1</v>
      </c>
      <c r="R14854" t="s">
        <v>46591</v>
      </c>
      <c r="S14854" t="s">
        <v>47586</v>
      </c>
      <c r="T14854" t="s">
        <v>48424</v>
      </c>
      <c r="U14854" t="s">
        <v>60707</v>
      </c>
      <c r="V14854" t="s">
        <v>63188</v>
      </c>
      <c r="W14854" t="s">
        <v>46443</v>
      </c>
      <c r="X14854" t="s">
        <v>46592</v>
      </c>
    </row>
    <row r="14855" spans="1:24">
      <c r="A14855">
        <f>HYPERLINK("https://www.philgeps.gov.ph/GEPSNONPILOT/Tender/SplashBidNoticeAbstractUI.aspx?menuIndex=3&amp;refID=7028750&amp;Result=3","7028750")</f>
        <v>0</v>
      </c>
      <c r="B14855" t="s">
        <v>3021</v>
      </c>
      <c r="C14855" t="s">
        <v>17665</v>
      </c>
      <c r="D14855" t="s">
        <v>18782</v>
      </c>
      <c r="E14855" t="s">
        <v>23465</v>
      </c>
      <c r="F14855" t="s">
        <v>32664</v>
      </c>
      <c r="G14855" t="s">
        <v>32672</v>
      </c>
      <c r="H14855" t="s">
        <v>12635</v>
      </c>
      <c r="I14855" t="s">
        <v>32736</v>
      </c>
      <c r="J14855" t="s">
        <v>33632</v>
      </c>
      <c r="K14855" t="s">
        <v>42281</v>
      </c>
      <c r="M14855" t="s">
        <v>45893</v>
      </c>
      <c r="N14855" t="s">
        <v>46569</v>
      </c>
      <c r="O14855" t="s">
        <v>46570</v>
      </c>
      <c r="P14855">
        <v>0</v>
      </c>
      <c r="Q14855">
        <v>1</v>
      </c>
      <c r="R14855" t="s">
        <v>46591</v>
      </c>
      <c r="S14855" t="s">
        <v>47586</v>
      </c>
      <c r="T14855" t="s">
        <v>48314</v>
      </c>
      <c r="U14855" t="s">
        <v>60708</v>
      </c>
      <c r="W14855" t="s">
        <v>45893</v>
      </c>
      <c r="X14855" t="s">
        <v>46592</v>
      </c>
    </row>
    <row r="14856" spans="1:24">
      <c r="A14856">
        <f>HYPERLINK("https://www.philgeps.gov.ph/GEPSNONPILOT/Tender/SplashBidNoticeAbstractUI.aspx?menuIndex=3&amp;refID=7028507&amp;Result=3","7028507")</f>
        <v>0</v>
      </c>
      <c r="B14856" t="s">
        <v>2071</v>
      </c>
      <c r="C14856" t="s">
        <v>17666</v>
      </c>
      <c r="D14856" t="s">
        <v>18808</v>
      </c>
      <c r="E14856" t="s">
        <v>31660</v>
      </c>
      <c r="F14856" t="s">
        <v>32664</v>
      </c>
      <c r="G14856" t="s">
        <v>32672</v>
      </c>
      <c r="H14856" t="s">
        <v>32683</v>
      </c>
      <c r="I14856" t="s">
        <v>10627</v>
      </c>
      <c r="J14856" t="s">
        <v>37904</v>
      </c>
      <c r="K14856" t="s">
        <v>42290</v>
      </c>
      <c r="M14856" t="s">
        <v>44822</v>
      </c>
      <c r="N14856" t="s">
        <v>46569</v>
      </c>
      <c r="O14856" t="s">
        <v>46570</v>
      </c>
      <c r="P14856">
        <v>0</v>
      </c>
      <c r="Q14856">
        <v>1</v>
      </c>
      <c r="R14856" t="s">
        <v>46591</v>
      </c>
      <c r="S14856" t="s">
        <v>47586</v>
      </c>
      <c r="T14856" t="s">
        <v>48411</v>
      </c>
      <c r="U14856" t="s">
        <v>60709</v>
      </c>
      <c r="W14856" t="s">
        <v>44822</v>
      </c>
      <c r="X14856" t="s">
        <v>46592</v>
      </c>
    </row>
    <row r="14857" spans="1:24">
      <c r="A14857">
        <f>HYPERLINK("https://www.philgeps.gov.ph/GEPSNONPILOT/Tender/SplashBidNoticeAbstractUI.aspx?menuIndex=3&amp;refID=7028626&amp;Result=3","7028626")</f>
        <v>0</v>
      </c>
      <c r="B14857" t="s">
        <v>3455</v>
      </c>
      <c r="C14857" t="s">
        <v>17667</v>
      </c>
      <c r="D14857" t="s">
        <v>18844</v>
      </c>
      <c r="E14857" t="s">
        <v>31661</v>
      </c>
      <c r="F14857" t="s">
        <v>32664</v>
      </c>
      <c r="G14857" t="s">
        <v>32672</v>
      </c>
      <c r="H14857" t="s">
        <v>12635</v>
      </c>
      <c r="I14857" t="s">
        <v>32704</v>
      </c>
      <c r="J14857" t="s">
        <v>41619</v>
      </c>
      <c r="K14857" t="s">
        <v>42321</v>
      </c>
      <c r="M14857" t="s">
        <v>46444</v>
      </c>
      <c r="N14857" t="s">
        <v>46569</v>
      </c>
      <c r="O14857" t="s">
        <v>46570</v>
      </c>
      <c r="P14857">
        <v>0</v>
      </c>
      <c r="Q14857">
        <v>7</v>
      </c>
      <c r="R14857" t="s">
        <v>46591</v>
      </c>
      <c r="S14857" t="s">
        <v>47586</v>
      </c>
      <c r="T14857" t="s">
        <v>48307</v>
      </c>
      <c r="U14857" t="s">
        <v>60710</v>
      </c>
      <c r="W14857" t="s">
        <v>46444</v>
      </c>
      <c r="X14857" t="s">
        <v>46592</v>
      </c>
    </row>
    <row r="14858" spans="1:24">
      <c r="A14858">
        <f>HYPERLINK("https://www.philgeps.gov.ph/GEPSNONPILOT/Tender/SplashBidNoticeAbstractUI.aspx?menuIndex=3&amp;refID=7028107&amp;Result=3","7028107")</f>
        <v>0</v>
      </c>
      <c r="B14858" t="s">
        <v>900</v>
      </c>
      <c r="C14858" t="s">
        <v>17668</v>
      </c>
      <c r="D14858" t="s">
        <v>18787</v>
      </c>
      <c r="E14858" t="s">
        <v>31662</v>
      </c>
      <c r="F14858" t="s">
        <v>32670</v>
      </c>
      <c r="G14858" t="s">
        <v>32673</v>
      </c>
      <c r="H14858" t="s">
        <v>32681</v>
      </c>
      <c r="I14858" t="s">
        <v>32681</v>
      </c>
      <c r="J14858" t="s">
        <v>34390</v>
      </c>
      <c r="K14858" t="s">
        <v>42283</v>
      </c>
      <c r="M14858" t="s">
        <v>43690</v>
      </c>
      <c r="N14858" t="s">
        <v>46569</v>
      </c>
      <c r="O14858" t="s">
        <v>46570</v>
      </c>
      <c r="Q14858">
        <v>3</v>
      </c>
      <c r="R14858" t="s">
        <v>46591</v>
      </c>
      <c r="S14858" t="s">
        <v>46865</v>
      </c>
      <c r="T14858" t="s">
        <v>48307</v>
      </c>
      <c r="U14858" t="s">
        <v>60711</v>
      </c>
      <c r="W14858" t="s">
        <v>43690</v>
      </c>
      <c r="X14858" t="s">
        <v>46592</v>
      </c>
    </row>
    <row r="14859" spans="1:24">
      <c r="A14859">
        <f>HYPERLINK("https://www.philgeps.gov.ph/GEPSNONPILOT/Tender/SplashBidNoticeAbstractUI.aspx?menuIndex=3&amp;refID=7028121&amp;Result=3","7028121")</f>
        <v>0</v>
      </c>
      <c r="B14859" t="s">
        <v>1269</v>
      </c>
      <c r="C14859" t="s">
        <v>17669</v>
      </c>
      <c r="D14859" t="s">
        <v>18851</v>
      </c>
      <c r="E14859" t="s">
        <v>31663</v>
      </c>
      <c r="F14859" t="s">
        <v>32664</v>
      </c>
      <c r="G14859" t="s">
        <v>32672</v>
      </c>
      <c r="H14859" t="s">
        <v>32683</v>
      </c>
      <c r="I14859" t="s">
        <v>10627</v>
      </c>
      <c r="J14859" t="s">
        <v>32962</v>
      </c>
      <c r="K14859" t="s">
        <v>42413</v>
      </c>
      <c r="M14859" t="s">
        <v>43912</v>
      </c>
      <c r="N14859" t="s">
        <v>46569</v>
      </c>
      <c r="O14859" t="s">
        <v>46570</v>
      </c>
      <c r="P14859">
        <v>0</v>
      </c>
      <c r="Q14859">
        <v>0</v>
      </c>
      <c r="R14859" t="s">
        <v>46591</v>
      </c>
      <c r="S14859" t="s">
        <v>47586</v>
      </c>
      <c r="T14859" t="s">
        <v>48244</v>
      </c>
      <c r="U14859" t="s">
        <v>60712</v>
      </c>
      <c r="W14859" t="s">
        <v>43912</v>
      </c>
      <c r="X14859" t="s">
        <v>46592</v>
      </c>
    </row>
    <row r="14860" spans="1:24">
      <c r="A14860">
        <f>HYPERLINK("https://www.philgeps.gov.ph/GEPSNONPILOT/Tender/SplashBidNoticeAbstractUI.aspx?menuIndex=3&amp;refID=7028146&amp;Result=3","7028146")</f>
        <v>0</v>
      </c>
      <c r="B14860" t="s">
        <v>775</v>
      </c>
      <c r="C14860" t="s">
        <v>17670</v>
      </c>
      <c r="E14860" t="s">
        <v>31664</v>
      </c>
      <c r="F14860" t="s">
        <v>32664</v>
      </c>
      <c r="G14860" t="s">
        <v>32672</v>
      </c>
      <c r="H14860" t="s">
        <v>12635</v>
      </c>
      <c r="I14860" t="s">
        <v>5589</v>
      </c>
      <c r="J14860" t="s">
        <v>37305</v>
      </c>
      <c r="K14860" t="s">
        <v>42283</v>
      </c>
      <c r="M14860" t="s">
        <v>43366</v>
      </c>
      <c r="N14860" t="s">
        <v>46569</v>
      </c>
      <c r="O14860" t="s">
        <v>46570</v>
      </c>
      <c r="Q14860">
        <v>9</v>
      </c>
      <c r="R14860" t="s">
        <v>46591</v>
      </c>
      <c r="S14860" t="s">
        <v>47617</v>
      </c>
      <c r="T14860" t="s">
        <v>48314</v>
      </c>
      <c r="U14860" t="s">
        <v>60713</v>
      </c>
      <c r="W14860" t="s">
        <v>63489</v>
      </c>
      <c r="X14860" t="s">
        <v>46592</v>
      </c>
    </row>
    <row r="14861" spans="1:24">
      <c r="A14861">
        <f>HYPERLINK("https://www.philgeps.gov.ph/GEPSNONPILOT/Tender/SplashBidNoticeAbstractUI.aspx?menuIndex=3&amp;refID=7028059&amp;Result=3","7028059")</f>
        <v>0</v>
      </c>
      <c r="B14861" t="s">
        <v>3456</v>
      </c>
      <c r="C14861" t="s">
        <v>17671</v>
      </c>
      <c r="D14861" t="s">
        <v>18852</v>
      </c>
      <c r="E14861" t="s">
        <v>31665</v>
      </c>
      <c r="F14861" t="s">
        <v>32664</v>
      </c>
      <c r="G14861" t="s">
        <v>32672</v>
      </c>
      <c r="H14861" t="s">
        <v>12635</v>
      </c>
      <c r="I14861" t="s">
        <v>10627</v>
      </c>
      <c r="J14861" t="s">
        <v>39346</v>
      </c>
      <c r="K14861" t="s">
        <v>42298</v>
      </c>
      <c r="M14861" t="s">
        <v>46445</v>
      </c>
      <c r="N14861" t="s">
        <v>46569</v>
      </c>
      <c r="O14861" t="s">
        <v>46570</v>
      </c>
      <c r="P14861">
        <v>0</v>
      </c>
      <c r="Q14861">
        <v>1</v>
      </c>
      <c r="R14861" t="s">
        <v>46591</v>
      </c>
      <c r="S14861" t="s">
        <v>47586</v>
      </c>
      <c r="T14861" t="s">
        <v>48293</v>
      </c>
      <c r="U14861" t="s">
        <v>60714</v>
      </c>
      <c r="W14861" t="s">
        <v>46445</v>
      </c>
      <c r="X14861" t="s">
        <v>46592</v>
      </c>
    </row>
    <row r="14862" spans="1:24">
      <c r="A14862">
        <f>HYPERLINK("https://www.philgeps.gov.ph/GEPSNONPILOT/Tender/SplashBidNoticeAbstractUI.aspx?menuIndex=3&amp;refID=7028651&amp;Result=3","7028651")</f>
        <v>0</v>
      </c>
      <c r="B14862" t="s">
        <v>2769</v>
      </c>
      <c r="C14862" t="s">
        <v>17672</v>
      </c>
      <c r="D14862" t="s">
        <v>18831</v>
      </c>
      <c r="E14862" t="s">
        <v>24020</v>
      </c>
      <c r="F14862" t="s">
        <v>32665</v>
      </c>
      <c r="G14862" t="s">
        <v>32672</v>
      </c>
      <c r="H14862" t="s">
        <v>12635</v>
      </c>
      <c r="I14862" t="s">
        <v>6223</v>
      </c>
      <c r="J14862" t="s">
        <v>41620</v>
      </c>
      <c r="K14862" t="s">
        <v>42283</v>
      </c>
      <c r="M14862" t="s">
        <v>45607</v>
      </c>
      <c r="N14862" t="s">
        <v>46569</v>
      </c>
      <c r="O14862" t="s">
        <v>46570</v>
      </c>
      <c r="P14862">
        <v>0</v>
      </c>
      <c r="Q14862">
        <v>0</v>
      </c>
      <c r="R14862" t="s">
        <v>46591</v>
      </c>
      <c r="S14862" t="s">
        <v>47586</v>
      </c>
      <c r="T14862" t="s">
        <v>48246</v>
      </c>
      <c r="U14862" t="s">
        <v>60715</v>
      </c>
      <c r="W14862" t="s">
        <v>45607</v>
      </c>
      <c r="X14862" t="s">
        <v>46592</v>
      </c>
    </row>
    <row r="14863" spans="1:24">
      <c r="A14863">
        <f>HYPERLINK("https://www.philgeps.gov.ph/GEPSNONPILOT/Tender/SplashBidNoticeAbstractUI.aspx?menuIndex=3&amp;refID=7031583&amp;Result=3","7031583")</f>
        <v>0</v>
      </c>
      <c r="B14863" t="s">
        <v>848</v>
      </c>
      <c r="C14863" t="s">
        <v>17673</v>
      </c>
      <c r="D14863" t="s">
        <v>18791</v>
      </c>
      <c r="E14863" t="s">
        <v>31554</v>
      </c>
      <c r="F14863" t="s">
        <v>32664</v>
      </c>
      <c r="G14863" t="s">
        <v>32672</v>
      </c>
      <c r="H14863" t="s">
        <v>12635</v>
      </c>
      <c r="I14863" t="s">
        <v>5589</v>
      </c>
      <c r="J14863" t="s">
        <v>41621</v>
      </c>
      <c r="K14863" t="s">
        <v>42311</v>
      </c>
      <c r="M14863" t="s">
        <v>43444</v>
      </c>
      <c r="N14863" t="s">
        <v>46569</v>
      </c>
      <c r="O14863" t="s">
        <v>46570</v>
      </c>
      <c r="Q14863">
        <v>11</v>
      </c>
      <c r="R14863" t="s">
        <v>46590</v>
      </c>
      <c r="S14863" t="s">
        <v>47618</v>
      </c>
      <c r="T14863" t="s">
        <v>48282</v>
      </c>
      <c r="U14863" t="s">
        <v>50421</v>
      </c>
      <c r="W14863" t="s">
        <v>43444</v>
      </c>
      <c r="X14863" t="s">
        <v>46591</v>
      </c>
    </row>
    <row r="14864" spans="1:24">
      <c r="A14864">
        <f>HYPERLINK("https://www.philgeps.gov.ph/GEPSNONPILOT/Tender/SplashBidNoticeAbstractUI.aspx?menuIndex=3&amp;refID=7031570&amp;Result=3","7031570")</f>
        <v>0</v>
      </c>
      <c r="B14864" t="s">
        <v>3434</v>
      </c>
      <c r="C14864" t="s">
        <v>17674</v>
      </c>
      <c r="D14864" t="s">
        <v>18791</v>
      </c>
      <c r="E14864" t="s">
        <v>25179</v>
      </c>
      <c r="F14864" t="s">
        <v>32664</v>
      </c>
      <c r="G14864" t="s">
        <v>32672</v>
      </c>
      <c r="H14864" t="s">
        <v>32683</v>
      </c>
      <c r="I14864" t="s">
        <v>10627</v>
      </c>
      <c r="J14864" t="s">
        <v>41622</v>
      </c>
      <c r="K14864" t="s">
        <v>42314</v>
      </c>
      <c r="M14864" t="s">
        <v>46418</v>
      </c>
      <c r="N14864" t="s">
        <v>46569</v>
      </c>
      <c r="O14864" t="s">
        <v>46570</v>
      </c>
      <c r="P14864">
        <v>0</v>
      </c>
      <c r="Q14864">
        <v>0</v>
      </c>
      <c r="R14864" t="s">
        <v>46590</v>
      </c>
      <c r="S14864" t="s">
        <v>47546</v>
      </c>
      <c r="T14864" t="s">
        <v>48534</v>
      </c>
      <c r="U14864" t="s">
        <v>60679</v>
      </c>
      <c r="W14864" t="s">
        <v>46418</v>
      </c>
      <c r="X14864" t="s">
        <v>46591</v>
      </c>
    </row>
    <row r="14865" spans="1:24">
      <c r="A14865">
        <f>HYPERLINK("https://www.philgeps.gov.ph/GEPSNONPILOT/Tender/SplashBidNoticeAbstractUI.aspx?menuIndex=3&amp;refID=7028569&amp;Result=3","7028569")</f>
        <v>0</v>
      </c>
      <c r="B14865" t="s">
        <v>3453</v>
      </c>
      <c r="C14865" t="s">
        <v>17675</v>
      </c>
      <c r="D14865" t="s">
        <v>18816</v>
      </c>
      <c r="E14865" t="s">
        <v>22624</v>
      </c>
      <c r="F14865" t="s">
        <v>32664</v>
      </c>
      <c r="G14865" t="s">
        <v>32672</v>
      </c>
      <c r="H14865" t="s">
        <v>32683</v>
      </c>
      <c r="I14865" t="s">
        <v>10627</v>
      </c>
      <c r="J14865" t="s">
        <v>41623</v>
      </c>
      <c r="K14865" t="s">
        <v>42308</v>
      </c>
      <c r="M14865" t="s">
        <v>46441</v>
      </c>
      <c r="N14865" t="s">
        <v>46569</v>
      </c>
      <c r="O14865" t="s">
        <v>46570</v>
      </c>
      <c r="P14865">
        <v>0</v>
      </c>
      <c r="Q14865">
        <v>0</v>
      </c>
      <c r="R14865" t="s">
        <v>46591</v>
      </c>
      <c r="S14865" t="s">
        <v>47586</v>
      </c>
      <c r="T14865" t="s">
        <v>48244</v>
      </c>
      <c r="U14865" t="s">
        <v>60716</v>
      </c>
      <c r="W14865" t="s">
        <v>46441</v>
      </c>
      <c r="X14865" t="s">
        <v>46592</v>
      </c>
    </row>
    <row r="14866" spans="1:24">
      <c r="A14866">
        <f>HYPERLINK("https://www.philgeps.gov.ph/GEPSNONPILOT/Tender/SplashBidNoticeAbstractUI.aspx?menuIndex=3&amp;refID=7031502&amp;Result=3","7031502")</f>
        <v>0</v>
      </c>
      <c r="B14866" t="s">
        <v>1455</v>
      </c>
      <c r="C14866" t="s">
        <v>17676</v>
      </c>
      <c r="D14866" t="s">
        <v>18792</v>
      </c>
      <c r="E14866" t="s">
        <v>19581</v>
      </c>
      <c r="F14866" t="s">
        <v>32664</v>
      </c>
      <c r="G14866" t="s">
        <v>32672</v>
      </c>
      <c r="H14866" t="s">
        <v>12635</v>
      </c>
      <c r="I14866" t="s">
        <v>4439</v>
      </c>
      <c r="J14866" t="s">
        <v>41624</v>
      </c>
      <c r="K14866" t="s">
        <v>42281</v>
      </c>
      <c r="M14866" t="s">
        <v>44116</v>
      </c>
      <c r="N14866" t="s">
        <v>46569</v>
      </c>
      <c r="O14866" t="s">
        <v>46570</v>
      </c>
      <c r="P14866">
        <v>0</v>
      </c>
      <c r="Q14866">
        <v>0</v>
      </c>
      <c r="R14866" t="s">
        <v>46590</v>
      </c>
      <c r="S14866" t="s">
        <v>47546</v>
      </c>
      <c r="T14866" t="s">
        <v>48376</v>
      </c>
      <c r="U14866" t="s">
        <v>60717</v>
      </c>
      <c r="W14866" t="s">
        <v>44116</v>
      </c>
      <c r="X14866" t="s">
        <v>46591</v>
      </c>
    </row>
    <row r="14867" spans="1:24">
      <c r="A14867">
        <f>HYPERLINK("https://www.philgeps.gov.ph/GEPSNONPILOT/Tender/SplashBidNoticeAbstractUI.aspx?menuIndex=3&amp;refID=7031581&amp;Result=3","7031581")</f>
        <v>0</v>
      </c>
      <c r="B14867" t="s">
        <v>2455</v>
      </c>
      <c r="C14867" t="s">
        <v>17677</v>
      </c>
      <c r="D14867" t="s">
        <v>18801</v>
      </c>
      <c r="E14867" t="s">
        <v>31666</v>
      </c>
      <c r="F14867" t="s">
        <v>32664</v>
      </c>
      <c r="G14867" t="s">
        <v>32672</v>
      </c>
      <c r="H14867" t="s">
        <v>12635</v>
      </c>
      <c r="I14867" t="s">
        <v>32729</v>
      </c>
      <c r="J14867" t="s">
        <v>41625</v>
      </c>
      <c r="K14867" t="s">
        <v>42281</v>
      </c>
      <c r="M14867" t="s">
        <v>45250</v>
      </c>
      <c r="N14867" t="s">
        <v>46569</v>
      </c>
      <c r="O14867" t="s">
        <v>46570</v>
      </c>
      <c r="P14867">
        <v>0</v>
      </c>
      <c r="Q14867">
        <v>8</v>
      </c>
      <c r="R14867" t="s">
        <v>46590</v>
      </c>
      <c r="S14867" t="s">
        <v>47546</v>
      </c>
      <c r="T14867" t="s">
        <v>48221</v>
      </c>
      <c r="U14867" t="s">
        <v>60718</v>
      </c>
      <c r="W14867" t="s">
        <v>45250</v>
      </c>
      <c r="X14867" t="s">
        <v>46591</v>
      </c>
    </row>
    <row r="14868" spans="1:24">
      <c r="A14868">
        <f>HYPERLINK("https://www.philgeps.gov.ph/GEPSNONPILOT/Tender/SplashBidNoticeAbstractUI.aspx?menuIndex=3&amp;refID=7031527&amp;Result=3","7031527")</f>
        <v>0</v>
      </c>
      <c r="B14868" t="s">
        <v>907</v>
      </c>
      <c r="C14868" t="s">
        <v>17678</v>
      </c>
      <c r="D14868" t="s">
        <v>18860</v>
      </c>
      <c r="E14868" t="s">
        <v>31667</v>
      </c>
      <c r="F14868" t="s">
        <v>32664</v>
      </c>
      <c r="G14868" t="s">
        <v>32672</v>
      </c>
      <c r="H14868" t="s">
        <v>32683</v>
      </c>
      <c r="I14868" t="s">
        <v>10627</v>
      </c>
      <c r="J14868" t="s">
        <v>41626</v>
      </c>
      <c r="K14868" t="s">
        <v>42365</v>
      </c>
      <c r="M14868" t="s">
        <v>43513</v>
      </c>
      <c r="N14868" t="s">
        <v>46569</v>
      </c>
      <c r="O14868" t="s">
        <v>46570</v>
      </c>
      <c r="P14868">
        <v>0</v>
      </c>
      <c r="Q14868">
        <v>1</v>
      </c>
      <c r="R14868" t="s">
        <v>46590</v>
      </c>
      <c r="S14868" t="s">
        <v>47546</v>
      </c>
      <c r="T14868" t="s">
        <v>48301</v>
      </c>
      <c r="U14868" t="s">
        <v>60719</v>
      </c>
      <c r="W14868" t="s">
        <v>43513</v>
      </c>
      <c r="X14868" t="s">
        <v>46591</v>
      </c>
    </row>
    <row r="14869" spans="1:24">
      <c r="A14869">
        <f>HYPERLINK("https://www.philgeps.gov.ph/GEPSNONPILOT/Tender/SplashBidNoticeAbstractUI.aspx?menuIndex=3&amp;refID=7031469&amp;Result=3","7031469")</f>
        <v>0</v>
      </c>
      <c r="B14869" t="s">
        <v>907</v>
      </c>
      <c r="C14869" t="s">
        <v>17679</v>
      </c>
      <c r="D14869" t="s">
        <v>18853</v>
      </c>
      <c r="E14869" t="s">
        <v>31668</v>
      </c>
      <c r="F14869" t="s">
        <v>32664</v>
      </c>
      <c r="G14869" t="s">
        <v>32672</v>
      </c>
      <c r="H14869" t="s">
        <v>32683</v>
      </c>
      <c r="I14869" t="s">
        <v>10627</v>
      </c>
      <c r="J14869" t="s">
        <v>41627</v>
      </c>
      <c r="K14869" t="s">
        <v>42388</v>
      </c>
      <c r="M14869" t="s">
        <v>43513</v>
      </c>
      <c r="N14869" t="s">
        <v>46569</v>
      </c>
      <c r="O14869" t="s">
        <v>46570</v>
      </c>
      <c r="Q14869">
        <v>5</v>
      </c>
      <c r="R14869" t="s">
        <v>46590</v>
      </c>
      <c r="S14869" t="s">
        <v>47619</v>
      </c>
      <c r="T14869" t="s">
        <v>48298</v>
      </c>
      <c r="U14869" t="s">
        <v>60720</v>
      </c>
      <c r="W14869" t="s">
        <v>43513</v>
      </c>
      <c r="X14869" t="s">
        <v>46591</v>
      </c>
    </row>
    <row r="14870" spans="1:24">
      <c r="A14870">
        <f>HYPERLINK("https://www.philgeps.gov.ph/GEPSNONPILOT/Tender/SplashBidNoticeAbstractUI.aspx?menuIndex=3&amp;refID=7031739&amp;Result=3","7031739")</f>
        <v>0</v>
      </c>
      <c r="B14870" t="s">
        <v>3400</v>
      </c>
      <c r="C14870" t="s">
        <v>17680</v>
      </c>
      <c r="D14870" t="s">
        <v>18853</v>
      </c>
      <c r="E14870" t="s">
        <v>31669</v>
      </c>
      <c r="F14870" t="s">
        <v>32664</v>
      </c>
      <c r="G14870" t="s">
        <v>32672</v>
      </c>
      <c r="H14870" t="s">
        <v>32683</v>
      </c>
      <c r="I14870" t="s">
        <v>10627</v>
      </c>
      <c r="J14870" t="s">
        <v>41628</v>
      </c>
      <c r="K14870" t="s">
        <v>42281</v>
      </c>
      <c r="M14870" t="s">
        <v>46369</v>
      </c>
      <c r="N14870" t="s">
        <v>46569</v>
      </c>
      <c r="O14870" t="s">
        <v>46570</v>
      </c>
      <c r="Q14870">
        <v>0</v>
      </c>
      <c r="R14870" t="s">
        <v>46590</v>
      </c>
      <c r="S14870" t="s">
        <v>47620</v>
      </c>
      <c r="T14870" t="s">
        <v>48448</v>
      </c>
      <c r="U14870" t="s">
        <v>60721</v>
      </c>
      <c r="V14870" t="s">
        <v>63251</v>
      </c>
      <c r="W14870" t="s">
        <v>46369</v>
      </c>
      <c r="X14870" t="s">
        <v>46591</v>
      </c>
    </row>
    <row r="14871" spans="1:24">
      <c r="A14871">
        <f>HYPERLINK("https://www.philgeps.gov.ph/GEPSNONPILOT/Tender/SplashBidNoticeAbstractUI.aspx?menuIndex=3&amp;refID=7031515&amp;Result=3","7031515")</f>
        <v>0</v>
      </c>
      <c r="B14871" t="s">
        <v>3435</v>
      </c>
      <c r="C14871" t="s">
        <v>17681</v>
      </c>
      <c r="D14871" t="s">
        <v>18782</v>
      </c>
      <c r="E14871" t="s">
        <v>31670</v>
      </c>
      <c r="F14871" t="s">
        <v>32664</v>
      </c>
      <c r="G14871" t="s">
        <v>32672</v>
      </c>
      <c r="H14871" t="s">
        <v>12635</v>
      </c>
      <c r="I14871" t="s">
        <v>32706</v>
      </c>
      <c r="J14871" t="s">
        <v>41629</v>
      </c>
      <c r="K14871" t="s">
        <v>42311</v>
      </c>
      <c r="M14871" t="s">
        <v>46419</v>
      </c>
      <c r="N14871" t="s">
        <v>46569</v>
      </c>
      <c r="O14871" t="s">
        <v>46570</v>
      </c>
      <c r="P14871">
        <v>0</v>
      </c>
      <c r="Q14871">
        <v>0</v>
      </c>
      <c r="R14871" t="s">
        <v>46590</v>
      </c>
      <c r="S14871" t="s">
        <v>47546</v>
      </c>
      <c r="T14871" t="s">
        <v>48293</v>
      </c>
      <c r="U14871" t="s">
        <v>60722</v>
      </c>
      <c r="V14871" t="s">
        <v>63262</v>
      </c>
      <c r="W14871" t="s">
        <v>46419</v>
      </c>
      <c r="X14871" t="s">
        <v>46591</v>
      </c>
    </row>
    <row r="14872" spans="1:24">
      <c r="A14872">
        <f>HYPERLINK("https://www.philgeps.gov.ph/GEPSNONPILOT/Tender/SplashBidNoticeAbstractUI.aspx?menuIndex=3&amp;refID=7029046&amp;Result=3","7029046")</f>
        <v>0</v>
      </c>
      <c r="B14872" t="s">
        <v>582</v>
      </c>
      <c r="C14872" t="s">
        <v>17682</v>
      </c>
      <c r="E14872" t="s">
        <v>31671</v>
      </c>
      <c r="F14872" t="s">
        <v>32664</v>
      </c>
      <c r="G14872" t="s">
        <v>32672</v>
      </c>
      <c r="H14872" t="s">
        <v>12635</v>
      </c>
      <c r="I14872" t="s">
        <v>4439</v>
      </c>
      <c r="J14872" t="s">
        <v>41630</v>
      </c>
      <c r="K14872" t="s">
        <v>42303</v>
      </c>
      <c r="M14872" t="s">
        <v>43162</v>
      </c>
      <c r="N14872" t="s">
        <v>46569</v>
      </c>
      <c r="O14872" t="s">
        <v>46570</v>
      </c>
      <c r="P14872">
        <v>0</v>
      </c>
      <c r="Q14872">
        <v>2</v>
      </c>
      <c r="R14872" t="s">
        <v>46591</v>
      </c>
      <c r="S14872" t="s">
        <v>47586</v>
      </c>
      <c r="T14872" t="s">
        <v>48221</v>
      </c>
      <c r="U14872" t="s">
        <v>49848</v>
      </c>
      <c r="V14872" t="s">
        <v>63277</v>
      </c>
      <c r="W14872" t="s">
        <v>43162</v>
      </c>
      <c r="X14872" t="s">
        <v>46592</v>
      </c>
    </row>
    <row r="14873" spans="1:24">
      <c r="A14873">
        <f>HYPERLINK("https://www.philgeps.gov.ph/GEPSNONPILOT/Tender/SplashBidNoticeAbstractUI.aspx?menuIndex=3&amp;refID=7029027&amp;Result=3","7029027")</f>
        <v>0</v>
      </c>
      <c r="B14873" t="s">
        <v>1392</v>
      </c>
      <c r="C14873" t="s">
        <v>10002</v>
      </c>
      <c r="D14873" t="s">
        <v>18860</v>
      </c>
      <c r="E14873" t="s">
        <v>31672</v>
      </c>
      <c r="F14873" t="s">
        <v>32664</v>
      </c>
      <c r="G14873" t="s">
        <v>32672</v>
      </c>
      <c r="H14873" t="s">
        <v>12635</v>
      </c>
      <c r="I14873" t="s">
        <v>10627</v>
      </c>
      <c r="J14873" t="s">
        <v>41631</v>
      </c>
      <c r="K14873" t="s">
        <v>42384</v>
      </c>
      <c r="M14873" t="s">
        <v>46442</v>
      </c>
      <c r="N14873" t="s">
        <v>46569</v>
      </c>
      <c r="O14873" t="s">
        <v>46570</v>
      </c>
      <c r="P14873">
        <v>0</v>
      </c>
      <c r="Q14873">
        <v>1</v>
      </c>
      <c r="R14873" t="s">
        <v>46591</v>
      </c>
      <c r="S14873" t="s">
        <v>47586</v>
      </c>
      <c r="T14873" t="s">
        <v>48258</v>
      </c>
      <c r="U14873" t="s">
        <v>60723</v>
      </c>
      <c r="W14873" t="s">
        <v>46442</v>
      </c>
      <c r="X14873" t="s">
        <v>46592</v>
      </c>
    </row>
    <row r="14874" spans="1:24">
      <c r="A14874">
        <f>HYPERLINK("https://www.philgeps.gov.ph/GEPSNONPILOT/Tender/SplashBidNoticeAbstractUI.aspx?menuIndex=3&amp;refID=7029009&amp;Result=3","7029009")</f>
        <v>0</v>
      </c>
      <c r="B14874" t="s">
        <v>3445</v>
      </c>
      <c r="C14874" t="s">
        <v>17683</v>
      </c>
      <c r="D14874" t="s">
        <v>18784</v>
      </c>
      <c r="E14874" t="s">
        <v>31673</v>
      </c>
      <c r="F14874" t="s">
        <v>32664</v>
      </c>
      <c r="G14874" t="s">
        <v>32672</v>
      </c>
      <c r="H14874" t="s">
        <v>12635</v>
      </c>
      <c r="I14874" t="s">
        <v>6223</v>
      </c>
      <c r="J14874" t="s">
        <v>34624</v>
      </c>
      <c r="K14874" t="s">
        <v>42289</v>
      </c>
      <c r="M14874" t="s">
        <v>46433</v>
      </c>
      <c r="N14874" t="s">
        <v>46569</v>
      </c>
      <c r="O14874" t="s">
        <v>46570</v>
      </c>
      <c r="P14874">
        <v>0</v>
      </c>
      <c r="Q14874">
        <v>1</v>
      </c>
      <c r="R14874" t="s">
        <v>46591</v>
      </c>
      <c r="S14874" t="s">
        <v>47586</v>
      </c>
      <c r="T14874" t="s">
        <v>48640</v>
      </c>
      <c r="U14874" t="s">
        <v>60724</v>
      </c>
      <c r="W14874" t="s">
        <v>46433</v>
      </c>
      <c r="X14874" t="s">
        <v>46592</v>
      </c>
    </row>
    <row r="14875" spans="1:24">
      <c r="A14875">
        <f>HYPERLINK("https://www.philgeps.gov.ph/GEPSNONPILOT/Tender/SplashBidNoticeAbstractUI.aspx?menuIndex=3&amp;refID=7028963&amp;Result=3","7028963")</f>
        <v>0</v>
      </c>
      <c r="B14875" t="s">
        <v>631</v>
      </c>
      <c r="C14875" t="s">
        <v>17684</v>
      </c>
      <c r="D14875" t="s">
        <v>18812</v>
      </c>
      <c r="E14875" t="s">
        <v>29261</v>
      </c>
      <c r="F14875" t="s">
        <v>32664</v>
      </c>
      <c r="G14875" t="s">
        <v>32672</v>
      </c>
      <c r="H14875" t="s">
        <v>12635</v>
      </c>
      <c r="I14875" t="s">
        <v>5589</v>
      </c>
      <c r="J14875" t="s">
        <v>35525</v>
      </c>
      <c r="K14875" t="s">
        <v>42305</v>
      </c>
      <c r="L14875" t="s">
        <v>631</v>
      </c>
      <c r="M14875" t="s">
        <v>43213</v>
      </c>
      <c r="N14875" t="s">
        <v>46569</v>
      </c>
      <c r="O14875" t="s">
        <v>46570</v>
      </c>
      <c r="P14875">
        <v>0</v>
      </c>
      <c r="Q14875">
        <v>4</v>
      </c>
      <c r="R14875" t="s">
        <v>46591</v>
      </c>
      <c r="S14875" t="s">
        <v>47586</v>
      </c>
      <c r="T14875" t="s">
        <v>48598</v>
      </c>
      <c r="U14875" t="s">
        <v>60725</v>
      </c>
      <c r="V14875" t="s">
        <v>63275</v>
      </c>
      <c r="W14875" t="s">
        <v>43213</v>
      </c>
      <c r="X14875" t="s">
        <v>46592</v>
      </c>
    </row>
    <row r="14876" spans="1:24">
      <c r="A14876">
        <f>HYPERLINK("https://www.philgeps.gov.ph/GEPSNONPILOT/Tender/SplashBidNoticeAbstractUI.aspx?menuIndex=3&amp;refID=7028945&amp;Result=3","7028945")</f>
        <v>0</v>
      </c>
      <c r="B14876" t="s">
        <v>631</v>
      </c>
      <c r="C14876" t="s">
        <v>17685</v>
      </c>
      <c r="D14876" t="s">
        <v>18812</v>
      </c>
      <c r="E14876" t="s">
        <v>29262</v>
      </c>
      <c r="F14876" t="s">
        <v>32664</v>
      </c>
      <c r="G14876" t="s">
        <v>32672</v>
      </c>
      <c r="H14876" t="s">
        <v>12635</v>
      </c>
      <c r="I14876" t="s">
        <v>9486</v>
      </c>
      <c r="J14876" t="s">
        <v>41632</v>
      </c>
      <c r="K14876" t="s">
        <v>42305</v>
      </c>
      <c r="L14876" t="s">
        <v>631</v>
      </c>
      <c r="M14876" t="s">
        <v>43213</v>
      </c>
      <c r="N14876" t="s">
        <v>46569</v>
      </c>
      <c r="O14876" t="s">
        <v>46570</v>
      </c>
      <c r="P14876">
        <v>0</v>
      </c>
      <c r="Q14876">
        <v>5</v>
      </c>
      <c r="R14876" t="s">
        <v>46591</v>
      </c>
      <c r="S14876" t="s">
        <v>47586</v>
      </c>
      <c r="T14876" t="s">
        <v>48598</v>
      </c>
      <c r="U14876" t="s">
        <v>60726</v>
      </c>
      <c r="V14876" t="s">
        <v>63275</v>
      </c>
      <c r="W14876" t="s">
        <v>43213</v>
      </c>
      <c r="X14876" t="s">
        <v>46592</v>
      </c>
    </row>
    <row r="14877" spans="1:24">
      <c r="A14877">
        <f>HYPERLINK("https://www.philgeps.gov.ph/GEPSNONPILOT/Tender/SplashBidNoticeAbstractUI.aspx?menuIndex=3&amp;refID=7031471&amp;Result=3","7031471")</f>
        <v>0</v>
      </c>
      <c r="B14877" t="s">
        <v>112</v>
      </c>
      <c r="C14877" t="s">
        <v>17686</v>
      </c>
      <c r="D14877" t="s">
        <v>18813</v>
      </c>
      <c r="E14877" t="s">
        <v>31674</v>
      </c>
      <c r="F14877" t="s">
        <v>32664</v>
      </c>
      <c r="G14877" t="s">
        <v>32672</v>
      </c>
      <c r="H14877" t="s">
        <v>32683</v>
      </c>
      <c r="I14877" t="s">
        <v>10627</v>
      </c>
      <c r="J14877" t="s">
        <v>37724</v>
      </c>
      <c r="K14877" t="s">
        <v>42308</v>
      </c>
      <c r="M14877" t="s">
        <v>42676</v>
      </c>
      <c r="N14877" t="s">
        <v>46569</v>
      </c>
      <c r="O14877" t="s">
        <v>46570</v>
      </c>
      <c r="P14877">
        <v>0</v>
      </c>
      <c r="Q14877">
        <v>6</v>
      </c>
      <c r="R14877" t="s">
        <v>46590</v>
      </c>
      <c r="S14877" t="s">
        <v>47546</v>
      </c>
      <c r="T14877" t="s">
        <v>48221</v>
      </c>
      <c r="U14877" t="s">
        <v>60727</v>
      </c>
      <c r="V14877" t="s">
        <v>63278</v>
      </c>
      <c r="W14877" t="s">
        <v>42676</v>
      </c>
      <c r="X14877" t="s">
        <v>46591</v>
      </c>
    </row>
    <row r="14878" spans="1:24">
      <c r="A14878">
        <f>HYPERLINK("https://www.philgeps.gov.ph/GEPSNONPILOT/Tender/SplashBidNoticeAbstractUI.aspx?menuIndex=3&amp;refID=7028939&amp;Result=3","7028939")</f>
        <v>0</v>
      </c>
      <c r="B14878" t="s">
        <v>1392</v>
      </c>
      <c r="C14878" t="s">
        <v>17687</v>
      </c>
      <c r="D14878" t="s">
        <v>18860</v>
      </c>
      <c r="E14878" t="s">
        <v>31675</v>
      </c>
      <c r="F14878" t="s">
        <v>32664</v>
      </c>
      <c r="G14878" t="s">
        <v>32672</v>
      </c>
      <c r="H14878" t="s">
        <v>32683</v>
      </c>
      <c r="I14878" t="s">
        <v>32716</v>
      </c>
      <c r="J14878" t="s">
        <v>41633</v>
      </c>
      <c r="K14878" t="s">
        <v>42294</v>
      </c>
      <c r="M14878" t="s">
        <v>46442</v>
      </c>
      <c r="N14878" t="s">
        <v>46569</v>
      </c>
      <c r="O14878" t="s">
        <v>46570</v>
      </c>
      <c r="P14878">
        <v>0</v>
      </c>
      <c r="Q14878">
        <v>3</v>
      </c>
      <c r="R14878" t="s">
        <v>46591</v>
      </c>
      <c r="S14878" t="s">
        <v>47586</v>
      </c>
      <c r="T14878" t="s">
        <v>48258</v>
      </c>
      <c r="U14878" t="s">
        <v>60728</v>
      </c>
      <c r="W14878" t="s">
        <v>46442</v>
      </c>
      <c r="X14878" t="s">
        <v>46592</v>
      </c>
    </row>
    <row r="14879" spans="1:24">
      <c r="A14879">
        <f>HYPERLINK("https://www.philgeps.gov.ph/GEPSNONPILOT/Tender/SplashBidNoticeAbstractUI.aspx?menuIndex=3&amp;refID=7028918&amp;Result=3","7028918")</f>
        <v>0</v>
      </c>
      <c r="B14879" t="s">
        <v>663</v>
      </c>
      <c r="C14879" t="s">
        <v>17688</v>
      </c>
      <c r="D14879" t="s">
        <v>18824</v>
      </c>
      <c r="E14879" t="s">
        <v>31676</v>
      </c>
      <c r="F14879" t="s">
        <v>32665</v>
      </c>
      <c r="G14879" t="s">
        <v>32672</v>
      </c>
      <c r="H14879" t="s">
        <v>32683</v>
      </c>
      <c r="I14879" t="s">
        <v>10627</v>
      </c>
      <c r="J14879" t="s">
        <v>34379</v>
      </c>
      <c r="K14879" t="s">
        <v>42559</v>
      </c>
      <c r="M14879" t="s">
        <v>43250</v>
      </c>
      <c r="N14879" t="s">
        <v>46569</v>
      </c>
      <c r="O14879" t="s">
        <v>46570</v>
      </c>
      <c r="P14879">
        <v>0</v>
      </c>
      <c r="Q14879">
        <v>3</v>
      </c>
      <c r="R14879" t="s">
        <v>46591</v>
      </c>
      <c r="S14879" t="s">
        <v>47586</v>
      </c>
      <c r="T14879" t="s">
        <v>48217</v>
      </c>
      <c r="U14879" t="s">
        <v>60536</v>
      </c>
      <c r="V14879" t="s">
        <v>61789</v>
      </c>
      <c r="W14879" t="s">
        <v>43250</v>
      </c>
      <c r="X14879" t="s">
        <v>46592</v>
      </c>
    </row>
    <row r="14880" spans="1:24">
      <c r="A14880">
        <f>HYPERLINK("https://www.philgeps.gov.ph/GEPSNONPILOT/Tender/SplashBidNoticeAbstractUI.aspx?menuIndex=3&amp;refID=7029025&amp;Result=3","7029025")</f>
        <v>0</v>
      </c>
      <c r="B14880" t="s">
        <v>1605</v>
      </c>
      <c r="C14880" t="s">
        <v>17689</v>
      </c>
      <c r="D14880" t="s">
        <v>18818</v>
      </c>
      <c r="E14880" t="s">
        <v>31677</v>
      </c>
      <c r="F14880" t="s">
        <v>32664</v>
      </c>
      <c r="G14880" t="s">
        <v>32672</v>
      </c>
      <c r="H14880" t="s">
        <v>32683</v>
      </c>
      <c r="I14880" t="s">
        <v>10627</v>
      </c>
      <c r="J14880" t="s">
        <v>33508</v>
      </c>
      <c r="K14880" t="s">
        <v>42323</v>
      </c>
      <c r="M14880" t="s">
        <v>44284</v>
      </c>
      <c r="N14880" t="s">
        <v>46569</v>
      </c>
      <c r="O14880" t="s">
        <v>46570</v>
      </c>
      <c r="P14880">
        <v>0</v>
      </c>
      <c r="Q14880">
        <v>0</v>
      </c>
      <c r="R14880" t="s">
        <v>46591</v>
      </c>
      <c r="S14880" t="s">
        <v>47586</v>
      </c>
      <c r="T14880" t="s">
        <v>48449</v>
      </c>
      <c r="U14880" t="s">
        <v>60729</v>
      </c>
      <c r="W14880" t="s">
        <v>44284</v>
      </c>
      <c r="X14880" t="s">
        <v>46592</v>
      </c>
    </row>
    <row r="14881" spans="1:24">
      <c r="A14881">
        <f>HYPERLINK("https://www.philgeps.gov.ph/GEPSNONPILOT/Tender/SplashBidNoticeAbstractUI.aspx?menuIndex=3&amp;refID=7028906&amp;Result=3","7028906")</f>
        <v>0</v>
      </c>
      <c r="B14881" t="s">
        <v>761</v>
      </c>
      <c r="C14881" t="s">
        <v>17690</v>
      </c>
      <c r="D14881" t="s">
        <v>18816</v>
      </c>
      <c r="E14881" t="s">
        <v>31678</v>
      </c>
      <c r="F14881" t="s">
        <v>32664</v>
      </c>
      <c r="G14881" t="s">
        <v>32672</v>
      </c>
      <c r="H14881" t="s">
        <v>32683</v>
      </c>
      <c r="I14881" t="s">
        <v>10627</v>
      </c>
      <c r="J14881" t="s">
        <v>33150</v>
      </c>
      <c r="K14881" t="s">
        <v>42308</v>
      </c>
      <c r="M14881" t="s">
        <v>43352</v>
      </c>
      <c r="N14881" t="s">
        <v>46569</v>
      </c>
      <c r="O14881" t="s">
        <v>46570</v>
      </c>
      <c r="P14881">
        <v>0</v>
      </c>
      <c r="Q14881">
        <v>0</v>
      </c>
      <c r="R14881" t="s">
        <v>46591</v>
      </c>
      <c r="S14881" t="s">
        <v>47586</v>
      </c>
      <c r="T14881" t="s">
        <v>48298</v>
      </c>
      <c r="U14881" t="s">
        <v>60730</v>
      </c>
      <c r="W14881" t="s">
        <v>43352</v>
      </c>
      <c r="X14881" t="s">
        <v>46592</v>
      </c>
    </row>
    <row r="14882" spans="1:24">
      <c r="A14882">
        <f>HYPERLINK("https://www.philgeps.gov.ph/GEPSNONPILOT/Tender/SplashBidNoticeAbstractUI.aspx?menuIndex=3&amp;refID=7028950&amp;Result=3","7028950")</f>
        <v>0</v>
      </c>
      <c r="B14882" t="s">
        <v>1605</v>
      </c>
      <c r="C14882" t="s">
        <v>17691</v>
      </c>
      <c r="D14882" t="s">
        <v>18818</v>
      </c>
      <c r="E14882" t="s">
        <v>31679</v>
      </c>
      <c r="F14882" t="s">
        <v>32664</v>
      </c>
      <c r="G14882" t="s">
        <v>32672</v>
      </c>
      <c r="H14882" t="s">
        <v>32683</v>
      </c>
      <c r="I14882" t="s">
        <v>10627</v>
      </c>
      <c r="J14882" t="s">
        <v>34131</v>
      </c>
      <c r="K14882" t="s">
        <v>42428</v>
      </c>
      <c r="M14882" t="s">
        <v>44284</v>
      </c>
      <c r="N14882" t="s">
        <v>46569</v>
      </c>
      <c r="O14882" t="s">
        <v>46570</v>
      </c>
      <c r="Q14882">
        <v>0</v>
      </c>
      <c r="R14882" t="s">
        <v>46591</v>
      </c>
      <c r="S14882" t="s">
        <v>47621</v>
      </c>
      <c r="T14882" t="s">
        <v>48381</v>
      </c>
      <c r="U14882" t="s">
        <v>60729</v>
      </c>
      <c r="W14882" t="s">
        <v>44284</v>
      </c>
      <c r="X14882" t="s">
        <v>46592</v>
      </c>
    </row>
    <row r="14883" spans="1:24">
      <c r="A14883">
        <f>HYPERLINK("https://www.philgeps.gov.ph/GEPSNONPILOT/Tender/SplashBidNoticeAbstractUI.aspx?menuIndex=3&amp;refID=7028885&amp;Result=3","7028885")</f>
        <v>0</v>
      </c>
      <c r="B14883" t="s">
        <v>808</v>
      </c>
      <c r="C14883" t="s">
        <v>17692</v>
      </c>
      <c r="D14883" t="s">
        <v>18846</v>
      </c>
      <c r="E14883" t="s">
        <v>31680</v>
      </c>
      <c r="F14883" t="s">
        <v>32664</v>
      </c>
      <c r="G14883" t="s">
        <v>32672</v>
      </c>
      <c r="H14883" t="s">
        <v>32683</v>
      </c>
      <c r="I14883" t="s">
        <v>10627</v>
      </c>
      <c r="J14883" t="s">
        <v>41634</v>
      </c>
      <c r="K14883" t="s">
        <v>42290</v>
      </c>
      <c r="M14883" t="s">
        <v>45260</v>
      </c>
      <c r="N14883" t="s">
        <v>46569</v>
      </c>
      <c r="O14883" t="s">
        <v>46570</v>
      </c>
      <c r="P14883">
        <v>0</v>
      </c>
      <c r="Q14883">
        <v>1</v>
      </c>
      <c r="R14883" t="s">
        <v>46591</v>
      </c>
      <c r="S14883" t="s">
        <v>47586</v>
      </c>
      <c r="T14883" t="s">
        <v>48293</v>
      </c>
      <c r="U14883" t="s">
        <v>60731</v>
      </c>
      <c r="W14883" t="s">
        <v>45260</v>
      </c>
      <c r="X14883" t="s">
        <v>46592</v>
      </c>
    </row>
    <row r="14884" spans="1:24">
      <c r="A14884">
        <f>HYPERLINK("https://www.philgeps.gov.ph/GEPSNONPILOT/Tender/SplashBidNoticeAbstractUI.aspx?menuIndex=3&amp;refID=7028860&amp;Result=3","7028860")</f>
        <v>0</v>
      </c>
      <c r="B14884" t="s">
        <v>2107</v>
      </c>
      <c r="C14884" t="s">
        <v>17693</v>
      </c>
      <c r="D14884" t="s">
        <v>18783</v>
      </c>
      <c r="E14884" t="s">
        <v>25434</v>
      </c>
      <c r="F14884" t="s">
        <v>32664</v>
      </c>
      <c r="G14884" t="s">
        <v>32672</v>
      </c>
      <c r="H14884" t="s">
        <v>12635</v>
      </c>
      <c r="I14884" t="s">
        <v>4439</v>
      </c>
      <c r="J14884" t="s">
        <v>41635</v>
      </c>
      <c r="K14884" t="s">
        <v>42303</v>
      </c>
      <c r="M14884" t="s">
        <v>44862</v>
      </c>
      <c r="N14884" t="s">
        <v>46569</v>
      </c>
      <c r="O14884" t="s">
        <v>46570</v>
      </c>
      <c r="P14884">
        <v>0</v>
      </c>
      <c r="Q14884">
        <v>0</v>
      </c>
      <c r="R14884" t="s">
        <v>46591</v>
      </c>
      <c r="S14884" t="s">
        <v>47586</v>
      </c>
      <c r="T14884" t="s">
        <v>48492</v>
      </c>
      <c r="U14884" t="s">
        <v>60732</v>
      </c>
      <c r="V14884" t="s">
        <v>63279</v>
      </c>
      <c r="W14884" t="s">
        <v>44862</v>
      </c>
      <c r="X14884" t="s">
        <v>46592</v>
      </c>
    </row>
    <row r="14885" spans="1:24">
      <c r="A14885">
        <f>HYPERLINK("https://www.philgeps.gov.ph/GEPSNONPILOT/Tender/SplashBidNoticeAbstractUI.aspx?menuIndex=3&amp;refID=7028922&amp;Result=3","7028922")</f>
        <v>0</v>
      </c>
      <c r="B14885" t="s">
        <v>3445</v>
      </c>
      <c r="C14885" t="s">
        <v>17694</v>
      </c>
      <c r="D14885" t="s">
        <v>18784</v>
      </c>
      <c r="E14885" t="s">
        <v>31681</v>
      </c>
      <c r="F14885" t="s">
        <v>32664</v>
      </c>
      <c r="G14885" t="s">
        <v>32672</v>
      </c>
      <c r="H14885" t="s">
        <v>12635</v>
      </c>
      <c r="I14885" t="s">
        <v>6223</v>
      </c>
      <c r="J14885" t="s">
        <v>41636</v>
      </c>
      <c r="K14885" t="s">
        <v>42289</v>
      </c>
      <c r="M14885" t="s">
        <v>46433</v>
      </c>
      <c r="N14885" t="s">
        <v>46569</v>
      </c>
      <c r="O14885" t="s">
        <v>46570</v>
      </c>
      <c r="P14885">
        <v>0</v>
      </c>
      <c r="Q14885">
        <v>0</v>
      </c>
      <c r="R14885" t="s">
        <v>46591</v>
      </c>
      <c r="S14885" t="s">
        <v>47586</v>
      </c>
      <c r="T14885" t="s">
        <v>48376</v>
      </c>
      <c r="U14885" t="s">
        <v>60733</v>
      </c>
      <c r="W14885" t="s">
        <v>46433</v>
      </c>
      <c r="X14885" t="s">
        <v>46592</v>
      </c>
    </row>
    <row r="14886" spans="1:24">
      <c r="A14886">
        <f>HYPERLINK("https://www.philgeps.gov.ph/GEPSNONPILOT/Tender/SplashBidNoticeAbstractUI.aspx?menuIndex=3&amp;refID=7028845&amp;Result=3","7028845")</f>
        <v>0</v>
      </c>
      <c r="B14886" t="s">
        <v>808</v>
      </c>
      <c r="C14886" t="s">
        <v>17695</v>
      </c>
      <c r="D14886" t="s">
        <v>18846</v>
      </c>
      <c r="E14886" t="s">
        <v>31682</v>
      </c>
      <c r="F14886" t="s">
        <v>32664</v>
      </c>
      <c r="G14886" t="s">
        <v>32672</v>
      </c>
      <c r="H14886" t="s">
        <v>12635</v>
      </c>
      <c r="I14886" t="s">
        <v>11464</v>
      </c>
      <c r="J14886" t="s">
        <v>34838</v>
      </c>
      <c r="K14886" t="s">
        <v>42303</v>
      </c>
      <c r="M14886" t="s">
        <v>45260</v>
      </c>
      <c r="N14886" t="s">
        <v>46569</v>
      </c>
      <c r="O14886" t="s">
        <v>46570</v>
      </c>
      <c r="P14886">
        <v>0</v>
      </c>
      <c r="Q14886">
        <v>2</v>
      </c>
      <c r="R14886" t="s">
        <v>46591</v>
      </c>
      <c r="S14886" t="s">
        <v>47586</v>
      </c>
      <c r="T14886" t="s">
        <v>48293</v>
      </c>
      <c r="U14886" t="s">
        <v>60734</v>
      </c>
      <c r="W14886" t="s">
        <v>45260</v>
      </c>
      <c r="X14886" t="s">
        <v>46592</v>
      </c>
    </row>
    <row r="14887" spans="1:24">
      <c r="A14887">
        <f>HYPERLINK("https://www.philgeps.gov.ph/GEPSNONPILOT/Tender/SplashBidNoticeAbstractUI.aspx?menuIndex=3&amp;refID=7028887&amp;Result=3","7028887")</f>
        <v>0</v>
      </c>
      <c r="B14887" t="s">
        <v>2107</v>
      </c>
      <c r="C14887" t="s">
        <v>17696</v>
      </c>
      <c r="D14887" t="s">
        <v>18783</v>
      </c>
      <c r="E14887" t="s">
        <v>23148</v>
      </c>
      <c r="F14887" t="s">
        <v>32664</v>
      </c>
      <c r="G14887" t="s">
        <v>32672</v>
      </c>
      <c r="H14887" t="s">
        <v>12635</v>
      </c>
      <c r="I14887" t="s">
        <v>4439</v>
      </c>
      <c r="J14887" t="s">
        <v>41637</v>
      </c>
      <c r="K14887" t="s">
        <v>42303</v>
      </c>
      <c r="M14887" t="s">
        <v>44862</v>
      </c>
      <c r="N14887" t="s">
        <v>46569</v>
      </c>
      <c r="O14887" t="s">
        <v>46570</v>
      </c>
      <c r="P14887">
        <v>0</v>
      </c>
      <c r="Q14887">
        <v>0</v>
      </c>
      <c r="R14887" t="s">
        <v>46591</v>
      </c>
      <c r="S14887" t="s">
        <v>47586</v>
      </c>
      <c r="T14887" t="s">
        <v>48492</v>
      </c>
      <c r="U14887" t="s">
        <v>60735</v>
      </c>
      <c r="V14887" t="s">
        <v>63279</v>
      </c>
      <c r="W14887" t="s">
        <v>44862</v>
      </c>
      <c r="X14887" t="s">
        <v>46592</v>
      </c>
    </row>
    <row r="14888" spans="1:24">
      <c r="A14888">
        <f>HYPERLINK("https://www.philgeps.gov.ph/GEPSNONPILOT/Tender/SplashBidNoticeAbstractUI.aspx?menuIndex=3&amp;refID=7028089&amp;Result=3","7028089")</f>
        <v>0</v>
      </c>
      <c r="B14888" t="s">
        <v>268</v>
      </c>
      <c r="C14888" t="s">
        <v>17697</v>
      </c>
      <c r="D14888" t="s">
        <v>18839</v>
      </c>
      <c r="E14888" t="s">
        <v>31683</v>
      </c>
      <c r="F14888" t="s">
        <v>32664</v>
      </c>
      <c r="G14888" t="s">
        <v>32672</v>
      </c>
      <c r="H14888" t="s">
        <v>32683</v>
      </c>
      <c r="I14888" t="s">
        <v>10627</v>
      </c>
      <c r="J14888" t="s">
        <v>41638</v>
      </c>
      <c r="K14888" t="s">
        <v>42539</v>
      </c>
      <c r="M14888" t="s">
        <v>42833</v>
      </c>
      <c r="N14888" t="s">
        <v>46569</v>
      </c>
      <c r="O14888" t="s">
        <v>46570</v>
      </c>
      <c r="P14888">
        <v>0</v>
      </c>
      <c r="Q14888">
        <v>5</v>
      </c>
      <c r="R14888" t="s">
        <v>46591</v>
      </c>
      <c r="S14888" t="s">
        <v>47586</v>
      </c>
      <c r="T14888" t="s">
        <v>48287</v>
      </c>
      <c r="U14888" t="s">
        <v>60736</v>
      </c>
      <c r="W14888" t="s">
        <v>42833</v>
      </c>
      <c r="X14888" t="s">
        <v>46592</v>
      </c>
    </row>
    <row r="14889" spans="1:24">
      <c r="A14889">
        <f>HYPERLINK("https://www.philgeps.gov.ph/GEPSNONPILOT/Tender/SplashBidNoticeAbstractUI.aspx?menuIndex=3&amp;refID=7028833&amp;Result=3","7028833")</f>
        <v>0</v>
      </c>
      <c r="B14889" t="s">
        <v>3445</v>
      </c>
      <c r="C14889" t="s">
        <v>14781</v>
      </c>
      <c r="D14889" t="s">
        <v>18784</v>
      </c>
      <c r="E14889" t="s">
        <v>31684</v>
      </c>
      <c r="F14889" t="s">
        <v>32664</v>
      </c>
      <c r="G14889" t="s">
        <v>32672</v>
      </c>
      <c r="H14889" t="s">
        <v>12635</v>
      </c>
      <c r="I14889" t="s">
        <v>6223</v>
      </c>
      <c r="J14889" t="s">
        <v>37368</v>
      </c>
      <c r="K14889" t="s">
        <v>42289</v>
      </c>
      <c r="M14889" t="s">
        <v>46433</v>
      </c>
      <c r="N14889" t="s">
        <v>46569</v>
      </c>
      <c r="O14889" t="s">
        <v>46570</v>
      </c>
      <c r="P14889">
        <v>0</v>
      </c>
      <c r="Q14889">
        <v>2</v>
      </c>
      <c r="R14889" t="s">
        <v>46591</v>
      </c>
      <c r="S14889" t="s">
        <v>47586</v>
      </c>
      <c r="T14889" t="s">
        <v>48376</v>
      </c>
      <c r="U14889" t="s">
        <v>60737</v>
      </c>
      <c r="W14889" t="s">
        <v>46433</v>
      </c>
      <c r="X14889" t="s">
        <v>46592</v>
      </c>
    </row>
    <row r="14890" spans="1:24">
      <c r="A14890">
        <f>HYPERLINK("https://www.philgeps.gov.ph/GEPSNONPILOT/Tender/SplashBidNoticeAbstractUI.aspx?menuIndex=3&amp;refID=7028870&amp;Result=3","7028870")</f>
        <v>0</v>
      </c>
      <c r="B14890" t="s">
        <v>68</v>
      </c>
      <c r="C14890" t="s">
        <v>17698</v>
      </c>
      <c r="D14890" t="s">
        <v>18815</v>
      </c>
      <c r="E14890" t="s">
        <v>19000</v>
      </c>
      <c r="F14890" t="s">
        <v>32664</v>
      </c>
      <c r="G14890" t="s">
        <v>32672</v>
      </c>
      <c r="H14890" t="s">
        <v>32683</v>
      </c>
      <c r="I14890" t="s">
        <v>10627</v>
      </c>
      <c r="J14890" t="s">
        <v>41639</v>
      </c>
      <c r="K14890" t="s">
        <v>42283</v>
      </c>
      <c r="M14890" t="s">
        <v>42631</v>
      </c>
      <c r="N14890" t="s">
        <v>46569</v>
      </c>
      <c r="O14890" t="s">
        <v>46570</v>
      </c>
      <c r="P14890">
        <v>0</v>
      </c>
      <c r="Q14890">
        <v>0</v>
      </c>
      <c r="R14890" t="s">
        <v>46591</v>
      </c>
      <c r="S14890" t="s">
        <v>47586</v>
      </c>
      <c r="T14890" t="s">
        <v>48221</v>
      </c>
      <c r="U14890" t="s">
        <v>60738</v>
      </c>
      <c r="V14890" t="s">
        <v>63276</v>
      </c>
      <c r="W14890" t="s">
        <v>42631</v>
      </c>
      <c r="X14890" t="s">
        <v>46592</v>
      </c>
    </row>
    <row r="14891" spans="1:24">
      <c r="A14891">
        <f>HYPERLINK("https://www.philgeps.gov.ph/GEPSNONPILOT/Tender/SplashBidNoticeAbstractUI.aspx?menuIndex=3&amp;refID=7028840&amp;Result=3","7028840")</f>
        <v>0</v>
      </c>
      <c r="B14891" t="s">
        <v>1133</v>
      </c>
      <c r="C14891" t="s">
        <v>17699</v>
      </c>
      <c r="D14891" t="s">
        <v>18858</v>
      </c>
      <c r="E14891" t="s">
        <v>31685</v>
      </c>
      <c r="F14891" t="s">
        <v>32664</v>
      </c>
      <c r="G14891" t="s">
        <v>32672</v>
      </c>
      <c r="H14891" t="s">
        <v>32683</v>
      </c>
      <c r="I14891" t="s">
        <v>10627</v>
      </c>
      <c r="J14891" t="s">
        <v>41640</v>
      </c>
      <c r="K14891" t="s">
        <v>42298</v>
      </c>
      <c r="M14891" t="s">
        <v>43762</v>
      </c>
      <c r="N14891" t="s">
        <v>46569</v>
      </c>
      <c r="O14891" t="s">
        <v>46570</v>
      </c>
      <c r="P14891">
        <v>0</v>
      </c>
      <c r="Q14891">
        <v>0</v>
      </c>
      <c r="R14891" t="s">
        <v>46591</v>
      </c>
      <c r="S14891" t="s">
        <v>47586</v>
      </c>
      <c r="T14891" t="s">
        <v>48219</v>
      </c>
      <c r="U14891" t="s">
        <v>60739</v>
      </c>
      <c r="W14891" t="s">
        <v>43762</v>
      </c>
      <c r="X14891" t="s">
        <v>46592</v>
      </c>
    </row>
    <row r="14892" spans="1:24">
      <c r="A14892">
        <f>HYPERLINK("https://www.philgeps.gov.ph/GEPSNONPILOT/Tender/SplashBidNoticeAbstractUI.aspx?menuIndex=3&amp;refID=7031257&amp;Result=3","7031257")</f>
        <v>0</v>
      </c>
      <c r="B14892" t="s">
        <v>3397</v>
      </c>
      <c r="C14892" t="s">
        <v>17700</v>
      </c>
      <c r="D14892" t="s">
        <v>18797</v>
      </c>
      <c r="E14892" t="s">
        <v>31686</v>
      </c>
      <c r="F14892" t="s">
        <v>32664</v>
      </c>
      <c r="G14892" t="s">
        <v>32672</v>
      </c>
      <c r="H14892" t="s">
        <v>32683</v>
      </c>
      <c r="I14892" t="s">
        <v>10627</v>
      </c>
      <c r="J14892" t="s">
        <v>37724</v>
      </c>
      <c r="K14892" t="s">
        <v>42285</v>
      </c>
      <c r="L14892" t="s">
        <v>3397</v>
      </c>
      <c r="M14892" t="s">
        <v>46364</v>
      </c>
      <c r="N14892" t="s">
        <v>46569</v>
      </c>
      <c r="O14892" t="s">
        <v>46570</v>
      </c>
      <c r="P14892">
        <v>0</v>
      </c>
      <c r="Q14892">
        <v>24</v>
      </c>
      <c r="R14892" t="s">
        <v>46590</v>
      </c>
      <c r="S14892" t="s">
        <v>47546</v>
      </c>
      <c r="T14892" t="s">
        <v>48268</v>
      </c>
      <c r="U14892" t="s">
        <v>60740</v>
      </c>
      <c r="W14892" t="s">
        <v>46364</v>
      </c>
      <c r="X14892" t="s">
        <v>46591</v>
      </c>
    </row>
    <row r="14893" spans="1:24">
      <c r="A14893">
        <f>HYPERLINK("https://www.philgeps.gov.ph/GEPSNONPILOT/Tender/SplashBidNoticeAbstractUI.aspx?menuIndex=3&amp;refID=7031240&amp;Result=3","7031240")</f>
        <v>0</v>
      </c>
      <c r="B14893" t="s">
        <v>1892</v>
      </c>
      <c r="C14893" t="s">
        <v>17701</v>
      </c>
      <c r="D14893" t="s">
        <v>18788</v>
      </c>
      <c r="E14893" t="s">
        <v>31687</v>
      </c>
      <c r="F14893" t="s">
        <v>32665</v>
      </c>
      <c r="G14893" t="s">
        <v>32672</v>
      </c>
      <c r="H14893" t="s">
        <v>32683</v>
      </c>
      <c r="I14893" t="s">
        <v>10627</v>
      </c>
      <c r="J14893" t="s">
        <v>34384</v>
      </c>
      <c r="K14893" t="s">
        <v>42285</v>
      </c>
      <c r="M14893" t="s">
        <v>44611</v>
      </c>
      <c r="N14893" t="s">
        <v>46569</v>
      </c>
      <c r="O14893" t="s">
        <v>46570</v>
      </c>
      <c r="Q14893">
        <v>5</v>
      </c>
      <c r="R14893" t="s">
        <v>46590</v>
      </c>
      <c r="S14893" t="s">
        <v>47622</v>
      </c>
      <c r="T14893" t="s">
        <v>48217</v>
      </c>
      <c r="U14893" t="s">
        <v>60566</v>
      </c>
      <c r="V14893" t="s">
        <v>63261</v>
      </c>
      <c r="W14893" t="s">
        <v>44611</v>
      </c>
      <c r="X14893" t="s">
        <v>46591</v>
      </c>
    </row>
    <row r="14894" spans="1:24">
      <c r="A14894">
        <f>HYPERLINK("https://www.philgeps.gov.ph/GEPSNONPILOT/Tender/SplashBidNoticeAbstractUI.aspx?menuIndex=3&amp;refID=7028821&amp;Result=3","7028821")</f>
        <v>0</v>
      </c>
      <c r="B14894" t="s">
        <v>2107</v>
      </c>
      <c r="C14894" t="s">
        <v>17702</v>
      </c>
      <c r="D14894" t="s">
        <v>18783</v>
      </c>
      <c r="E14894" t="s">
        <v>24732</v>
      </c>
      <c r="F14894" t="s">
        <v>32664</v>
      </c>
      <c r="G14894" t="s">
        <v>32672</v>
      </c>
      <c r="H14894" t="s">
        <v>12635</v>
      </c>
      <c r="I14894" t="s">
        <v>4439</v>
      </c>
      <c r="J14894" t="s">
        <v>41641</v>
      </c>
      <c r="K14894" t="s">
        <v>42303</v>
      </c>
      <c r="M14894" t="s">
        <v>44862</v>
      </c>
      <c r="N14894" t="s">
        <v>46569</v>
      </c>
      <c r="O14894" t="s">
        <v>46570</v>
      </c>
      <c r="P14894">
        <v>0</v>
      </c>
      <c r="Q14894">
        <v>3</v>
      </c>
      <c r="R14894" t="s">
        <v>46591</v>
      </c>
      <c r="S14894" t="s">
        <v>47586</v>
      </c>
      <c r="T14894" t="s">
        <v>48492</v>
      </c>
      <c r="U14894" t="s">
        <v>60741</v>
      </c>
      <c r="V14894" t="s">
        <v>63279</v>
      </c>
      <c r="W14894" t="s">
        <v>44862</v>
      </c>
      <c r="X14894" t="s">
        <v>46592</v>
      </c>
    </row>
    <row r="14895" spans="1:24">
      <c r="A14895">
        <f>HYPERLINK("https://www.philgeps.gov.ph/GEPSNONPILOT/Tender/SplashBidNoticeAbstractUI.aspx?menuIndex=3&amp;refID=7031260&amp;Result=3","7031260")</f>
        <v>0</v>
      </c>
      <c r="B14895" t="s">
        <v>2468</v>
      </c>
      <c r="C14895" t="s">
        <v>17703</v>
      </c>
      <c r="E14895" t="s">
        <v>31688</v>
      </c>
      <c r="F14895" t="s">
        <v>32664</v>
      </c>
      <c r="G14895" t="s">
        <v>32672</v>
      </c>
      <c r="H14895" t="s">
        <v>12635</v>
      </c>
      <c r="I14895" t="s">
        <v>6118</v>
      </c>
      <c r="J14895" t="s">
        <v>41642</v>
      </c>
      <c r="K14895" t="s">
        <v>42283</v>
      </c>
      <c r="M14895" t="s">
        <v>46205</v>
      </c>
      <c r="N14895" t="s">
        <v>46569</v>
      </c>
      <c r="O14895" t="s">
        <v>46570</v>
      </c>
      <c r="P14895">
        <v>0</v>
      </c>
      <c r="Q14895">
        <v>6</v>
      </c>
      <c r="R14895" t="s">
        <v>46590</v>
      </c>
      <c r="S14895" t="s">
        <v>47546</v>
      </c>
      <c r="T14895" t="s">
        <v>48436</v>
      </c>
      <c r="U14895" t="s">
        <v>60742</v>
      </c>
      <c r="W14895" t="s">
        <v>46205</v>
      </c>
      <c r="X14895" t="s">
        <v>46591</v>
      </c>
    </row>
    <row r="14896" spans="1:24">
      <c r="A14896">
        <f>HYPERLINK("https://www.philgeps.gov.ph/GEPSNONPILOT/Tender/SplashBidNoticeAbstractUI.aspx?menuIndex=3&amp;refID=7031221&amp;Result=3","7031221")</f>
        <v>0</v>
      </c>
      <c r="B14896" t="s">
        <v>2468</v>
      </c>
      <c r="C14896" t="s">
        <v>17704</v>
      </c>
      <c r="E14896" t="s">
        <v>31689</v>
      </c>
      <c r="F14896" t="s">
        <v>32664</v>
      </c>
      <c r="G14896" t="s">
        <v>32672</v>
      </c>
      <c r="H14896" t="s">
        <v>12635</v>
      </c>
      <c r="I14896" t="s">
        <v>10361</v>
      </c>
      <c r="J14896" t="s">
        <v>41643</v>
      </c>
      <c r="K14896" t="s">
        <v>42283</v>
      </c>
      <c r="M14896" t="s">
        <v>46205</v>
      </c>
      <c r="N14896" t="s">
        <v>46569</v>
      </c>
      <c r="O14896" t="s">
        <v>46570</v>
      </c>
      <c r="P14896">
        <v>0</v>
      </c>
      <c r="Q14896">
        <v>2</v>
      </c>
      <c r="R14896" t="s">
        <v>46590</v>
      </c>
      <c r="S14896" t="s">
        <v>47546</v>
      </c>
      <c r="T14896" t="s">
        <v>48436</v>
      </c>
      <c r="U14896" t="s">
        <v>60743</v>
      </c>
      <c r="W14896" t="s">
        <v>46205</v>
      </c>
      <c r="X14896" t="s">
        <v>46591</v>
      </c>
    </row>
    <row r="14897" spans="1:24">
      <c r="A14897">
        <f>HYPERLINK("https://www.philgeps.gov.ph/GEPSNONPILOT/Tender/SplashBidNoticeAbstractUI.aspx?menuIndex=3&amp;refID=7031741&amp;Result=3","7031741")</f>
        <v>0</v>
      </c>
      <c r="B14897" t="s">
        <v>1197</v>
      </c>
      <c r="C14897" t="s">
        <v>17705</v>
      </c>
      <c r="D14897" t="s">
        <v>18784</v>
      </c>
      <c r="E14897" t="s">
        <v>31690</v>
      </c>
      <c r="F14897" t="s">
        <v>32664</v>
      </c>
      <c r="G14897" t="s">
        <v>32672</v>
      </c>
      <c r="H14897" t="s">
        <v>12635</v>
      </c>
      <c r="I14897" t="s">
        <v>32722</v>
      </c>
      <c r="J14897" t="s">
        <v>41644</v>
      </c>
      <c r="K14897" t="s">
        <v>42290</v>
      </c>
      <c r="M14897" t="s">
        <v>46446</v>
      </c>
      <c r="N14897" t="s">
        <v>46569</v>
      </c>
      <c r="O14897" t="s">
        <v>46570</v>
      </c>
      <c r="Q14897">
        <v>3</v>
      </c>
      <c r="R14897" t="s">
        <v>46590</v>
      </c>
      <c r="S14897" t="s">
        <v>47623</v>
      </c>
      <c r="T14897" t="s">
        <v>48221</v>
      </c>
      <c r="U14897" t="s">
        <v>60744</v>
      </c>
      <c r="W14897" t="s">
        <v>46446</v>
      </c>
      <c r="X14897" t="s">
        <v>46591</v>
      </c>
    </row>
    <row r="14898" spans="1:24">
      <c r="A14898">
        <f>HYPERLINK("https://www.philgeps.gov.ph/GEPSNONPILOT/Tender/SplashBidNoticeAbstractUI.aspx?menuIndex=3&amp;refID=7031114&amp;Result=3","7031114")</f>
        <v>0</v>
      </c>
      <c r="B14898" t="s">
        <v>3397</v>
      </c>
      <c r="C14898" t="s">
        <v>17706</v>
      </c>
      <c r="D14898" t="s">
        <v>18797</v>
      </c>
      <c r="E14898" t="s">
        <v>31691</v>
      </c>
      <c r="F14898" t="s">
        <v>32664</v>
      </c>
      <c r="G14898" t="s">
        <v>32672</v>
      </c>
      <c r="H14898" t="s">
        <v>32683</v>
      </c>
      <c r="I14898" t="s">
        <v>10627</v>
      </c>
      <c r="J14898" t="s">
        <v>34046</v>
      </c>
      <c r="K14898" t="s">
        <v>42411</v>
      </c>
      <c r="L14898" t="s">
        <v>3397</v>
      </c>
      <c r="M14898" t="s">
        <v>46364</v>
      </c>
      <c r="N14898" t="s">
        <v>46569</v>
      </c>
      <c r="O14898" t="s">
        <v>46570</v>
      </c>
      <c r="P14898">
        <v>0</v>
      </c>
      <c r="Q14898">
        <v>21</v>
      </c>
      <c r="R14898" t="s">
        <v>46590</v>
      </c>
      <c r="S14898" t="s">
        <v>47546</v>
      </c>
      <c r="T14898" t="s">
        <v>48268</v>
      </c>
      <c r="U14898" t="s">
        <v>60745</v>
      </c>
      <c r="W14898" t="s">
        <v>46364</v>
      </c>
      <c r="X14898" t="s">
        <v>46591</v>
      </c>
    </row>
    <row r="14899" spans="1:24">
      <c r="A14899">
        <f>HYPERLINK("https://www.philgeps.gov.ph/GEPSNONPILOT/Tender/SplashBidNoticeAbstractUI.aspx?menuIndex=3&amp;refID=7031096&amp;Result=3","7031096")</f>
        <v>0</v>
      </c>
      <c r="B14899" t="s">
        <v>2468</v>
      </c>
      <c r="C14899" t="s">
        <v>17707</v>
      </c>
      <c r="E14899" t="s">
        <v>31692</v>
      </c>
      <c r="F14899" t="s">
        <v>32664</v>
      </c>
      <c r="G14899" t="s">
        <v>32672</v>
      </c>
      <c r="H14899" t="s">
        <v>12635</v>
      </c>
      <c r="I14899" t="s">
        <v>11464</v>
      </c>
      <c r="J14899" t="s">
        <v>41645</v>
      </c>
      <c r="K14899" t="s">
        <v>42283</v>
      </c>
      <c r="M14899" t="s">
        <v>46205</v>
      </c>
      <c r="N14899" t="s">
        <v>46569</v>
      </c>
      <c r="O14899" t="s">
        <v>46570</v>
      </c>
      <c r="P14899">
        <v>0</v>
      </c>
      <c r="Q14899">
        <v>15</v>
      </c>
      <c r="R14899" t="s">
        <v>46590</v>
      </c>
      <c r="S14899" t="s">
        <v>47546</v>
      </c>
      <c r="T14899" t="s">
        <v>48436</v>
      </c>
      <c r="U14899" t="s">
        <v>60746</v>
      </c>
      <c r="W14899" t="s">
        <v>46205</v>
      </c>
      <c r="X14899" t="s">
        <v>46591</v>
      </c>
    </row>
    <row r="14900" spans="1:24">
      <c r="A14900">
        <f>HYPERLINK("https://www.philgeps.gov.ph/GEPSNONPILOT/Tender/SplashBidNoticeAbstractUI.aspx?menuIndex=3&amp;refID=7031089&amp;Result=3","7031089")</f>
        <v>0</v>
      </c>
      <c r="B14900" t="s">
        <v>2468</v>
      </c>
      <c r="C14900" t="s">
        <v>17708</v>
      </c>
      <c r="E14900" t="s">
        <v>31693</v>
      </c>
      <c r="F14900" t="s">
        <v>32664</v>
      </c>
      <c r="G14900" t="s">
        <v>32672</v>
      </c>
      <c r="H14900" t="s">
        <v>12635</v>
      </c>
      <c r="I14900" t="s">
        <v>9597</v>
      </c>
      <c r="J14900" t="s">
        <v>41646</v>
      </c>
      <c r="K14900" t="s">
        <v>42283</v>
      </c>
      <c r="M14900" t="s">
        <v>46205</v>
      </c>
      <c r="N14900" t="s">
        <v>46569</v>
      </c>
      <c r="O14900" t="s">
        <v>46570</v>
      </c>
      <c r="Q14900">
        <v>14</v>
      </c>
      <c r="R14900" t="s">
        <v>46590</v>
      </c>
      <c r="S14900" t="s">
        <v>47624</v>
      </c>
      <c r="T14900" t="s">
        <v>48308</v>
      </c>
      <c r="U14900" t="s">
        <v>60747</v>
      </c>
      <c r="W14900" t="s">
        <v>46205</v>
      </c>
      <c r="X14900" t="s">
        <v>46591</v>
      </c>
    </row>
    <row r="14901" spans="1:24">
      <c r="A14901">
        <f>HYPERLINK("https://www.philgeps.gov.ph/GEPSNONPILOT/Tender/SplashBidNoticeAbstractUI.aspx?menuIndex=3&amp;refID=7031078&amp;Result=3","7031078")</f>
        <v>0</v>
      </c>
      <c r="B14901" t="s">
        <v>910</v>
      </c>
      <c r="C14901" t="s">
        <v>17709</v>
      </c>
      <c r="E14901" t="s">
        <v>31694</v>
      </c>
      <c r="F14901" t="s">
        <v>32664</v>
      </c>
      <c r="G14901" t="s">
        <v>32672</v>
      </c>
      <c r="H14901" t="s">
        <v>12635</v>
      </c>
      <c r="I14901" t="s">
        <v>11464</v>
      </c>
      <c r="J14901" t="s">
        <v>35589</v>
      </c>
      <c r="K14901" t="s">
        <v>42283</v>
      </c>
      <c r="M14901" t="s">
        <v>43516</v>
      </c>
      <c r="N14901" t="s">
        <v>46569</v>
      </c>
      <c r="O14901" t="s">
        <v>46570</v>
      </c>
      <c r="P14901">
        <v>0</v>
      </c>
      <c r="Q14901">
        <v>6</v>
      </c>
      <c r="R14901" t="s">
        <v>46590</v>
      </c>
      <c r="S14901" t="s">
        <v>47546</v>
      </c>
      <c r="T14901" t="s">
        <v>48246</v>
      </c>
      <c r="U14901" t="s">
        <v>55407</v>
      </c>
      <c r="W14901" t="s">
        <v>43516</v>
      </c>
      <c r="X14901" t="s">
        <v>46591</v>
      </c>
    </row>
    <row r="14902" spans="1:24">
      <c r="A14902">
        <f>HYPERLINK("https://www.philgeps.gov.ph/GEPSNONPILOT/Tender/SplashBidNoticeAbstractUI.aspx?menuIndex=3&amp;refID=7031077&amp;Result=3","7031077")</f>
        <v>0</v>
      </c>
      <c r="B14902" t="s">
        <v>3282</v>
      </c>
      <c r="C14902" t="s">
        <v>17710</v>
      </c>
      <c r="D14902" t="s">
        <v>18810</v>
      </c>
      <c r="E14902" t="s">
        <v>31695</v>
      </c>
      <c r="F14902" t="s">
        <v>32664</v>
      </c>
      <c r="G14902" t="s">
        <v>32671</v>
      </c>
      <c r="H14902" t="s">
        <v>12635</v>
      </c>
      <c r="I14902" t="s">
        <v>5589</v>
      </c>
      <c r="J14902" t="s">
        <v>41647</v>
      </c>
      <c r="K14902" t="s">
        <v>42297</v>
      </c>
      <c r="M14902" t="s">
        <v>46219</v>
      </c>
      <c r="N14902" t="s">
        <v>46569</v>
      </c>
      <c r="O14902" t="s">
        <v>46570</v>
      </c>
      <c r="Q14902">
        <v>2</v>
      </c>
      <c r="R14902" t="s">
        <v>46590</v>
      </c>
      <c r="S14902" t="s">
        <v>47625</v>
      </c>
      <c r="T14902" t="s">
        <v>48287</v>
      </c>
      <c r="U14902" t="s">
        <v>60748</v>
      </c>
      <c r="W14902" t="s">
        <v>46219</v>
      </c>
      <c r="X14902" t="s">
        <v>46591</v>
      </c>
    </row>
    <row r="14903" spans="1:24">
      <c r="A14903">
        <f>HYPERLINK("https://www.philgeps.gov.ph/GEPSNONPILOT/Tender/SplashBidNoticeAbstractUI.aspx?menuIndex=3&amp;refID=7028841&amp;Result=3","7028841")</f>
        <v>0</v>
      </c>
      <c r="B14903" t="s">
        <v>2107</v>
      </c>
      <c r="C14903" t="s">
        <v>17711</v>
      </c>
      <c r="D14903" t="s">
        <v>18783</v>
      </c>
      <c r="E14903" t="s">
        <v>26976</v>
      </c>
      <c r="F14903" t="s">
        <v>32664</v>
      </c>
      <c r="G14903" t="s">
        <v>32672</v>
      </c>
      <c r="H14903" t="s">
        <v>12635</v>
      </c>
      <c r="I14903" t="s">
        <v>4439</v>
      </c>
      <c r="J14903" t="s">
        <v>41648</v>
      </c>
      <c r="K14903" t="s">
        <v>42303</v>
      </c>
      <c r="M14903" t="s">
        <v>44862</v>
      </c>
      <c r="N14903" t="s">
        <v>46569</v>
      </c>
      <c r="O14903" t="s">
        <v>46570</v>
      </c>
      <c r="P14903">
        <v>0</v>
      </c>
      <c r="Q14903">
        <v>0</v>
      </c>
      <c r="R14903" t="s">
        <v>46591</v>
      </c>
      <c r="S14903" t="s">
        <v>47586</v>
      </c>
      <c r="T14903" t="s">
        <v>48492</v>
      </c>
      <c r="U14903" t="s">
        <v>60749</v>
      </c>
      <c r="V14903" t="s">
        <v>63279</v>
      </c>
      <c r="W14903" t="s">
        <v>44862</v>
      </c>
      <c r="X14903" t="s">
        <v>46592</v>
      </c>
    </row>
    <row r="14904" spans="1:24">
      <c r="A14904">
        <f>HYPERLINK("https://www.philgeps.gov.ph/GEPSNONPILOT/Tender/SplashBidNoticeAbstractUI.aspx?menuIndex=3&amp;refID=7029290&amp;Result=3","7029290")</f>
        <v>0</v>
      </c>
      <c r="B14904" t="s">
        <v>663</v>
      </c>
      <c r="C14904" t="s">
        <v>17712</v>
      </c>
      <c r="D14904" t="s">
        <v>18824</v>
      </c>
      <c r="E14904" t="s">
        <v>31696</v>
      </c>
      <c r="F14904" t="s">
        <v>32665</v>
      </c>
      <c r="G14904" t="s">
        <v>32672</v>
      </c>
      <c r="H14904" t="s">
        <v>32683</v>
      </c>
      <c r="I14904" t="s">
        <v>10627</v>
      </c>
      <c r="J14904" t="s">
        <v>32930</v>
      </c>
      <c r="K14904" t="s">
        <v>42324</v>
      </c>
      <c r="M14904" t="s">
        <v>43250</v>
      </c>
      <c r="N14904" t="s">
        <v>46569</v>
      </c>
      <c r="O14904" t="s">
        <v>46570</v>
      </c>
      <c r="P14904">
        <v>0</v>
      </c>
      <c r="Q14904">
        <v>3</v>
      </c>
      <c r="R14904" t="s">
        <v>46591</v>
      </c>
      <c r="S14904" t="s">
        <v>47586</v>
      </c>
      <c r="T14904" t="s">
        <v>48602</v>
      </c>
      <c r="U14904" t="s">
        <v>60536</v>
      </c>
      <c r="V14904" t="s">
        <v>61789</v>
      </c>
      <c r="W14904" t="s">
        <v>43250</v>
      </c>
      <c r="X14904" t="s">
        <v>46592</v>
      </c>
    </row>
    <row r="14905" spans="1:24">
      <c r="A14905">
        <f>HYPERLINK("https://www.philgeps.gov.ph/GEPSNONPILOT/Tender/SplashBidNoticeAbstractUI.aspx?menuIndex=3&amp;refID=7031113&amp;Result=3","7031113")</f>
        <v>0</v>
      </c>
      <c r="B14905" t="s">
        <v>2468</v>
      </c>
      <c r="C14905" t="s">
        <v>17713</v>
      </c>
      <c r="E14905" t="s">
        <v>31697</v>
      </c>
      <c r="F14905" t="s">
        <v>32664</v>
      </c>
      <c r="G14905" t="s">
        <v>32672</v>
      </c>
      <c r="H14905" t="s">
        <v>12635</v>
      </c>
      <c r="I14905" t="s">
        <v>32694</v>
      </c>
      <c r="J14905" t="s">
        <v>41649</v>
      </c>
      <c r="K14905" t="s">
        <v>42283</v>
      </c>
      <c r="M14905" t="s">
        <v>46205</v>
      </c>
      <c r="N14905" t="s">
        <v>46569</v>
      </c>
      <c r="O14905" t="s">
        <v>46570</v>
      </c>
      <c r="P14905">
        <v>0</v>
      </c>
      <c r="Q14905">
        <v>4</v>
      </c>
      <c r="R14905" t="s">
        <v>46590</v>
      </c>
      <c r="S14905" t="s">
        <v>47546</v>
      </c>
      <c r="T14905" t="s">
        <v>48436</v>
      </c>
      <c r="U14905" t="s">
        <v>60750</v>
      </c>
      <c r="W14905" t="s">
        <v>46205</v>
      </c>
      <c r="X14905" t="s">
        <v>46591</v>
      </c>
    </row>
    <row r="14906" spans="1:24">
      <c r="A14906">
        <f>HYPERLINK("https://www.philgeps.gov.ph/GEPSNONPILOT/Tender/SplashBidNoticeAbstractUI.aspx?menuIndex=3&amp;refID=7029273&amp;Result=3","7029273")</f>
        <v>0</v>
      </c>
      <c r="B14906" t="s">
        <v>3457</v>
      </c>
      <c r="C14906" t="s">
        <v>17714</v>
      </c>
      <c r="D14906" t="s">
        <v>18845</v>
      </c>
      <c r="E14906" t="s">
        <v>31698</v>
      </c>
      <c r="F14906" t="s">
        <v>32664</v>
      </c>
      <c r="G14906" t="s">
        <v>32672</v>
      </c>
      <c r="H14906" t="s">
        <v>12635</v>
      </c>
      <c r="I14906" t="s">
        <v>32738</v>
      </c>
      <c r="J14906" t="s">
        <v>38754</v>
      </c>
      <c r="K14906" t="s">
        <v>42305</v>
      </c>
      <c r="M14906" t="s">
        <v>46447</v>
      </c>
      <c r="N14906" t="s">
        <v>46569</v>
      </c>
      <c r="O14906" t="s">
        <v>46570</v>
      </c>
      <c r="P14906">
        <v>0</v>
      </c>
      <c r="Q14906">
        <v>3</v>
      </c>
      <c r="R14906" t="s">
        <v>46591</v>
      </c>
      <c r="S14906" t="s">
        <v>47586</v>
      </c>
      <c r="T14906" t="s">
        <v>48225</v>
      </c>
      <c r="U14906" t="s">
        <v>60751</v>
      </c>
      <c r="W14906" t="s">
        <v>46447</v>
      </c>
      <c r="X14906" t="s">
        <v>46592</v>
      </c>
    </row>
    <row r="14907" spans="1:24">
      <c r="A14907">
        <f>HYPERLINK("https://www.philgeps.gov.ph/GEPSNONPILOT/Tender/SplashBidNoticeAbstractUI.aspx?menuIndex=3&amp;refID=7031271&amp;Result=3","7031271")</f>
        <v>0</v>
      </c>
      <c r="B14907" t="s">
        <v>1892</v>
      </c>
      <c r="C14907" t="s">
        <v>17715</v>
      </c>
      <c r="D14907" t="s">
        <v>18788</v>
      </c>
      <c r="E14907" t="s">
        <v>31699</v>
      </c>
      <c r="F14907" t="s">
        <v>32665</v>
      </c>
      <c r="G14907" t="s">
        <v>32672</v>
      </c>
      <c r="H14907" t="s">
        <v>32683</v>
      </c>
      <c r="I14907" t="s">
        <v>10627</v>
      </c>
      <c r="J14907" t="s">
        <v>39017</v>
      </c>
      <c r="K14907" t="s">
        <v>42301</v>
      </c>
      <c r="M14907" t="s">
        <v>44611</v>
      </c>
      <c r="N14907" t="s">
        <v>46569</v>
      </c>
      <c r="O14907" t="s">
        <v>46570</v>
      </c>
      <c r="Q14907">
        <v>9</v>
      </c>
      <c r="R14907" t="s">
        <v>46590</v>
      </c>
      <c r="S14907" t="s">
        <v>47626</v>
      </c>
      <c r="T14907" t="s">
        <v>48217</v>
      </c>
      <c r="U14907" t="s">
        <v>60566</v>
      </c>
      <c r="V14907" t="s">
        <v>63261</v>
      </c>
      <c r="W14907" t="s">
        <v>44611</v>
      </c>
      <c r="X14907" t="s">
        <v>46591</v>
      </c>
    </row>
    <row r="14908" spans="1:24">
      <c r="A14908">
        <f>HYPERLINK("https://www.philgeps.gov.ph/GEPSNONPILOT/Tender/SplashBidNoticeAbstractUI.aspx?menuIndex=3&amp;refID=7028393&amp;Result=3","7028393")</f>
        <v>0</v>
      </c>
      <c r="B14908" t="s">
        <v>3458</v>
      </c>
      <c r="C14908" t="s">
        <v>3547</v>
      </c>
      <c r="D14908" t="s">
        <v>18794</v>
      </c>
      <c r="E14908" t="s">
        <v>31700</v>
      </c>
      <c r="F14908" t="s">
        <v>32664</v>
      </c>
      <c r="G14908" t="s">
        <v>32672</v>
      </c>
      <c r="H14908" t="s">
        <v>32682</v>
      </c>
      <c r="I14908" t="s">
        <v>9946</v>
      </c>
      <c r="J14908" t="s">
        <v>34073</v>
      </c>
      <c r="K14908" t="s">
        <v>42306</v>
      </c>
      <c r="M14908" t="s">
        <v>46448</v>
      </c>
      <c r="N14908" t="s">
        <v>46569</v>
      </c>
      <c r="O14908" t="s">
        <v>46570</v>
      </c>
      <c r="Q14908">
        <v>2</v>
      </c>
      <c r="R14908" t="s">
        <v>46591</v>
      </c>
      <c r="S14908" t="s">
        <v>47627</v>
      </c>
      <c r="T14908" t="s">
        <v>48221</v>
      </c>
      <c r="U14908" t="s">
        <v>60752</v>
      </c>
      <c r="W14908" t="s">
        <v>46448</v>
      </c>
      <c r="X14908" t="s">
        <v>46592</v>
      </c>
    </row>
    <row r="14909" spans="1:24">
      <c r="A14909">
        <f>HYPERLINK("https://www.philgeps.gov.ph/GEPSNONPILOT/Tender/SplashBidNoticeAbstractUI.aspx?menuIndex=3&amp;refID=7029261&amp;Result=3","7029261")</f>
        <v>0</v>
      </c>
      <c r="B14909" t="s">
        <v>631</v>
      </c>
      <c r="C14909" t="s">
        <v>17716</v>
      </c>
      <c r="D14909" t="s">
        <v>18812</v>
      </c>
      <c r="E14909" t="s">
        <v>29267</v>
      </c>
      <c r="F14909" t="s">
        <v>32664</v>
      </c>
      <c r="G14909" t="s">
        <v>32672</v>
      </c>
      <c r="H14909" t="s">
        <v>12635</v>
      </c>
      <c r="I14909" t="s">
        <v>4439</v>
      </c>
      <c r="J14909" t="s">
        <v>41650</v>
      </c>
      <c r="K14909" t="s">
        <v>42298</v>
      </c>
      <c r="L14909" t="s">
        <v>631</v>
      </c>
      <c r="M14909" t="s">
        <v>43213</v>
      </c>
      <c r="N14909" t="s">
        <v>46569</v>
      </c>
      <c r="O14909" t="s">
        <v>46570</v>
      </c>
      <c r="P14909">
        <v>0</v>
      </c>
      <c r="Q14909">
        <v>2</v>
      </c>
      <c r="R14909" t="s">
        <v>46591</v>
      </c>
      <c r="S14909" t="s">
        <v>47586</v>
      </c>
      <c r="T14909" t="s">
        <v>48598</v>
      </c>
      <c r="U14909" t="s">
        <v>60753</v>
      </c>
      <c r="V14909" t="s">
        <v>63275</v>
      </c>
      <c r="W14909" t="s">
        <v>43213</v>
      </c>
      <c r="X14909" t="s">
        <v>46592</v>
      </c>
    </row>
    <row r="14910" spans="1:24">
      <c r="A14910">
        <f>HYPERLINK("https://www.philgeps.gov.ph/GEPSNONPILOT/Tender/SplashBidNoticeAbstractUI.aspx?menuIndex=3&amp;refID=7029234&amp;Result=3","7029234")</f>
        <v>0</v>
      </c>
      <c r="B14910" t="s">
        <v>663</v>
      </c>
      <c r="C14910" t="s">
        <v>17717</v>
      </c>
      <c r="D14910" t="s">
        <v>18824</v>
      </c>
      <c r="E14910" t="s">
        <v>31701</v>
      </c>
      <c r="F14910" t="s">
        <v>32665</v>
      </c>
      <c r="G14910" t="s">
        <v>32672</v>
      </c>
      <c r="H14910" t="s">
        <v>32683</v>
      </c>
      <c r="I14910" t="s">
        <v>10627</v>
      </c>
      <c r="J14910" t="s">
        <v>34379</v>
      </c>
      <c r="K14910" t="s">
        <v>42532</v>
      </c>
      <c r="M14910" t="s">
        <v>43250</v>
      </c>
      <c r="N14910" t="s">
        <v>46569</v>
      </c>
      <c r="O14910" t="s">
        <v>46570</v>
      </c>
      <c r="P14910">
        <v>0</v>
      </c>
      <c r="Q14910">
        <v>3</v>
      </c>
      <c r="R14910" t="s">
        <v>46591</v>
      </c>
      <c r="S14910" t="s">
        <v>47586</v>
      </c>
      <c r="T14910" t="s">
        <v>48425</v>
      </c>
      <c r="U14910" t="s">
        <v>60536</v>
      </c>
      <c r="V14910" t="s">
        <v>61789</v>
      </c>
      <c r="W14910" t="s">
        <v>43250</v>
      </c>
      <c r="X14910" t="s">
        <v>46592</v>
      </c>
    </row>
    <row r="14911" spans="1:24">
      <c r="A14911">
        <f>HYPERLINK("https://www.philgeps.gov.ph/GEPSNONPILOT/Tender/SplashBidNoticeAbstractUI.aspx?menuIndex=3&amp;refID=7031223&amp;Result=3","7031223")</f>
        <v>0</v>
      </c>
      <c r="B14911" t="s">
        <v>1423</v>
      </c>
      <c r="C14911" t="s">
        <v>17718</v>
      </c>
      <c r="E14911" t="s">
        <v>31702</v>
      </c>
      <c r="F14911" t="s">
        <v>32664</v>
      </c>
      <c r="G14911" t="s">
        <v>32672</v>
      </c>
      <c r="H14911" t="s">
        <v>32683</v>
      </c>
      <c r="I14911" t="s">
        <v>10627</v>
      </c>
      <c r="J14911" t="s">
        <v>36944</v>
      </c>
      <c r="K14911" t="s">
        <v>42560</v>
      </c>
      <c r="M14911" t="s">
        <v>46348</v>
      </c>
      <c r="N14911" t="s">
        <v>46569</v>
      </c>
      <c r="O14911" t="s">
        <v>46570</v>
      </c>
      <c r="Q14911">
        <v>11</v>
      </c>
      <c r="R14911" t="s">
        <v>46590</v>
      </c>
      <c r="S14911" t="s">
        <v>47628</v>
      </c>
      <c r="T14911" t="s">
        <v>48221</v>
      </c>
      <c r="U14911" t="s">
        <v>60754</v>
      </c>
      <c r="W14911" t="s">
        <v>46348</v>
      </c>
      <c r="X14911" t="s">
        <v>46591</v>
      </c>
    </row>
    <row r="14912" spans="1:24">
      <c r="A14912">
        <f>HYPERLINK("https://www.philgeps.gov.ph/GEPSNONPILOT/Tender/SplashBidNoticeAbstractUI.aspx?menuIndex=3&amp;refID=7029226&amp;Result=3","7029226")</f>
        <v>0</v>
      </c>
      <c r="B14912" t="s">
        <v>68</v>
      </c>
      <c r="C14912" t="s">
        <v>17719</v>
      </c>
      <c r="D14912" t="s">
        <v>18815</v>
      </c>
      <c r="E14912" t="s">
        <v>19000</v>
      </c>
      <c r="F14912" t="s">
        <v>32664</v>
      </c>
      <c r="G14912" t="s">
        <v>32672</v>
      </c>
      <c r="H14912" t="s">
        <v>32683</v>
      </c>
      <c r="I14912" t="s">
        <v>10627</v>
      </c>
      <c r="J14912" t="s">
        <v>40782</v>
      </c>
      <c r="K14912" t="s">
        <v>42283</v>
      </c>
      <c r="M14912" t="s">
        <v>42631</v>
      </c>
      <c r="N14912" t="s">
        <v>46569</v>
      </c>
      <c r="O14912" t="s">
        <v>46570</v>
      </c>
      <c r="P14912">
        <v>0</v>
      </c>
      <c r="Q14912">
        <v>0</v>
      </c>
      <c r="R14912" t="s">
        <v>46591</v>
      </c>
      <c r="S14912" t="s">
        <v>47586</v>
      </c>
      <c r="T14912" t="s">
        <v>48221</v>
      </c>
      <c r="U14912" t="s">
        <v>60755</v>
      </c>
      <c r="V14912" t="s">
        <v>63276</v>
      </c>
      <c r="W14912" t="s">
        <v>42631</v>
      </c>
      <c r="X14912" t="s">
        <v>46592</v>
      </c>
    </row>
    <row r="14913" spans="1:24">
      <c r="A14913">
        <f>HYPERLINK("https://www.philgeps.gov.ph/GEPSNONPILOT/Tender/SplashBidNoticeAbstractUI.aspx?menuIndex=3&amp;refID=7029260&amp;Result=3","7029260")</f>
        <v>0</v>
      </c>
      <c r="B14913" t="s">
        <v>678</v>
      </c>
      <c r="C14913" t="s">
        <v>17720</v>
      </c>
      <c r="E14913" t="s">
        <v>31703</v>
      </c>
      <c r="F14913" t="s">
        <v>32664</v>
      </c>
      <c r="G14913" t="s">
        <v>32672</v>
      </c>
      <c r="H14913" t="s">
        <v>32683</v>
      </c>
      <c r="I14913" t="s">
        <v>10627</v>
      </c>
      <c r="J14913" t="s">
        <v>41651</v>
      </c>
      <c r="K14913" t="s">
        <v>42283</v>
      </c>
      <c r="M14913" t="s">
        <v>43265</v>
      </c>
      <c r="N14913" t="s">
        <v>46569</v>
      </c>
      <c r="O14913" t="s">
        <v>46570</v>
      </c>
      <c r="P14913">
        <v>0</v>
      </c>
      <c r="Q14913">
        <v>0</v>
      </c>
      <c r="R14913" t="s">
        <v>46591</v>
      </c>
      <c r="S14913" t="s">
        <v>47586</v>
      </c>
      <c r="T14913" t="s">
        <v>48230</v>
      </c>
      <c r="U14913" t="s">
        <v>58958</v>
      </c>
      <c r="W14913" t="s">
        <v>43265</v>
      </c>
      <c r="X14913" t="s">
        <v>46592</v>
      </c>
    </row>
    <row r="14914" spans="1:24">
      <c r="A14914">
        <f>HYPERLINK("https://www.philgeps.gov.ph/GEPSNONPILOT/Tender/SplashBidNoticeAbstractUI.aspx?menuIndex=3&amp;refID=7029186&amp;Result=3","7029186")</f>
        <v>0</v>
      </c>
      <c r="B14914" t="s">
        <v>332</v>
      </c>
      <c r="C14914" t="s">
        <v>17721</v>
      </c>
      <c r="D14914" t="s">
        <v>18818</v>
      </c>
      <c r="E14914" t="s">
        <v>19259</v>
      </c>
      <c r="F14914" t="s">
        <v>32664</v>
      </c>
      <c r="G14914" t="s">
        <v>32672</v>
      </c>
      <c r="H14914" t="s">
        <v>32683</v>
      </c>
      <c r="I14914" t="s">
        <v>10627</v>
      </c>
      <c r="J14914" t="s">
        <v>41652</v>
      </c>
      <c r="K14914" t="s">
        <v>42326</v>
      </c>
      <c r="M14914" t="s">
        <v>42900</v>
      </c>
      <c r="N14914" t="s">
        <v>46569</v>
      </c>
      <c r="O14914" t="s">
        <v>46570</v>
      </c>
      <c r="Q14914">
        <v>0</v>
      </c>
      <c r="R14914" t="s">
        <v>46591</v>
      </c>
      <c r="S14914" t="s">
        <v>47629</v>
      </c>
      <c r="T14914" t="s">
        <v>48246</v>
      </c>
      <c r="U14914" t="s">
        <v>60756</v>
      </c>
      <c r="W14914" t="s">
        <v>42900</v>
      </c>
      <c r="X14914" t="s">
        <v>46592</v>
      </c>
    </row>
    <row r="14915" spans="1:24">
      <c r="A14915">
        <f>HYPERLINK("https://www.philgeps.gov.ph/GEPSNONPILOT/Tender/SplashBidNoticeAbstractUI.aspx?menuIndex=3&amp;refID=7029179&amp;Result=3","7029179")</f>
        <v>0</v>
      </c>
      <c r="B14915" t="s">
        <v>631</v>
      </c>
      <c r="C14915" t="s">
        <v>17722</v>
      </c>
      <c r="D14915" t="s">
        <v>18812</v>
      </c>
      <c r="E14915" t="s">
        <v>29293</v>
      </c>
      <c r="F14915" t="s">
        <v>32664</v>
      </c>
      <c r="G14915" t="s">
        <v>32672</v>
      </c>
      <c r="H14915" t="s">
        <v>12635</v>
      </c>
      <c r="I14915" t="s">
        <v>8797</v>
      </c>
      <c r="J14915" t="s">
        <v>41653</v>
      </c>
      <c r="K14915" t="s">
        <v>42305</v>
      </c>
      <c r="L14915" t="s">
        <v>631</v>
      </c>
      <c r="M14915" t="s">
        <v>43213</v>
      </c>
      <c r="N14915" t="s">
        <v>46569</v>
      </c>
      <c r="O14915" t="s">
        <v>46570</v>
      </c>
      <c r="P14915">
        <v>0</v>
      </c>
      <c r="Q14915">
        <v>3</v>
      </c>
      <c r="R14915" t="s">
        <v>46591</v>
      </c>
      <c r="S14915" t="s">
        <v>47586</v>
      </c>
      <c r="T14915" t="s">
        <v>48598</v>
      </c>
      <c r="U14915" t="s">
        <v>60757</v>
      </c>
      <c r="V14915" t="s">
        <v>63275</v>
      </c>
      <c r="W14915" t="s">
        <v>43213</v>
      </c>
      <c r="X14915" t="s">
        <v>46592</v>
      </c>
    </row>
    <row r="14916" spans="1:24">
      <c r="A14916">
        <f>HYPERLINK("https://www.philgeps.gov.ph/GEPSNONPILOT/Tender/SplashBidNoticeAbstractUI.aspx?menuIndex=3&amp;refID=7029151&amp;Result=3","7029151")</f>
        <v>0</v>
      </c>
      <c r="B14916" t="s">
        <v>663</v>
      </c>
      <c r="C14916" t="s">
        <v>17723</v>
      </c>
      <c r="D14916" t="s">
        <v>18824</v>
      </c>
      <c r="E14916" t="s">
        <v>31704</v>
      </c>
      <c r="F14916" t="s">
        <v>32665</v>
      </c>
      <c r="G14916" t="s">
        <v>32672</v>
      </c>
      <c r="H14916" t="s">
        <v>32683</v>
      </c>
      <c r="I14916" t="s">
        <v>10627</v>
      </c>
      <c r="J14916" t="s">
        <v>34379</v>
      </c>
      <c r="K14916" t="s">
        <v>42532</v>
      </c>
      <c r="M14916" t="s">
        <v>43250</v>
      </c>
      <c r="N14916" t="s">
        <v>46569</v>
      </c>
      <c r="O14916" t="s">
        <v>46570</v>
      </c>
      <c r="P14916">
        <v>0</v>
      </c>
      <c r="Q14916">
        <v>3</v>
      </c>
      <c r="R14916" t="s">
        <v>46591</v>
      </c>
      <c r="S14916" t="s">
        <v>47586</v>
      </c>
      <c r="T14916" t="s">
        <v>48293</v>
      </c>
      <c r="U14916" t="s">
        <v>60536</v>
      </c>
      <c r="V14916" t="s">
        <v>61789</v>
      </c>
      <c r="W14916" t="s">
        <v>43250</v>
      </c>
      <c r="X14916" t="s">
        <v>46592</v>
      </c>
    </row>
    <row r="14917" spans="1:24">
      <c r="A14917">
        <f>HYPERLINK("https://www.philgeps.gov.ph/GEPSNONPILOT/Tender/SplashBidNoticeAbstractUI.aspx?menuIndex=3&amp;refID=7029124&amp;Result=3","7029124")</f>
        <v>0</v>
      </c>
      <c r="B14917" t="s">
        <v>3037</v>
      </c>
      <c r="C14917" t="s">
        <v>17724</v>
      </c>
      <c r="D14917" t="s">
        <v>18788</v>
      </c>
      <c r="E14917" t="s">
        <v>31705</v>
      </c>
      <c r="F14917" t="s">
        <v>32664</v>
      </c>
      <c r="G14917" t="s">
        <v>32672</v>
      </c>
      <c r="H14917" t="s">
        <v>32682</v>
      </c>
      <c r="I14917" t="s">
        <v>9946</v>
      </c>
      <c r="J14917" t="s">
        <v>41654</v>
      </c>
      <c r="K14917" t="s">
        <v>42401</v>
      </c>
      <c r="M14917" t="s">
        <v>45910</v>
      </c>
      <c r="N14917" t="s">
        <v>46569</v>
      </c>
      <c r="O14917" t="s">
        <v>46570</v>
      </c>
      <c r="P14917">
        <v>0</v>
      </c>
      <c r="Q14917">
        <v>1</v>
      </c>
      <c r="R14917" t="s">
        <v>46591</v>
      </c>
      <c r="S14917" t="s">
        <v>47586</v>
      </c>
      <c r="T14917" t="s">
        <v>48221</v>
      </c>
      <c r="U14917" t="s">
        <v>60758</v>
      </c>
      <c r="W14917" t="s">
        <v>45910</v>
      </c>
      <c r="X14917" t="s">
        <v>46592</v>
      </c>
    </row>
    <row r="14918" spans="1:24">
      <c r="A14918">
        <f>HYPERLINK("https://www.philgeps.gov.ph/GEPSNONPILOT/Tender/SplashBidNoticeAbstractUI.aspx?menuIndex=3&amp;refID=7029114&amp;Result=3","7029114")</f>
        <v>0</v>
      </c>
      <c r="B14918" t="s">
        <v>3434</v>
      </c>
      <c r="C14918" t="s">
        <v>17725</v>
      </c>
      <c r="D14918" t="s">
        <v>18791</v>
      </c>
      <c r="E14918" t="s">
        <v>25180</v>
      </c>
      <c r="F14918" t="s">
        <v>32664</v>
      </c>
      <c r="G14918" t="s">
        <v>32672</v>
      </c>
      <c r="H14918" t="s">
        <v>32683</v>
      </c>
      <c r="I14918" t="s">
        <v>10627</v>
      </c>
      <c r="J14918" t="s">
        <v>41616</v>
      </c>
      <c r="K14918" t="s">
        <v>42344</v>
      </c>
      <c r="M14918" t="s">
        <v>46418</v>
      </c>
      <c r="N14918" t="s">
        <v>46569</v>
      </c>
      <c r="O14918" t="s">
        <v>46570</v>
      </c>
      <c r="P14918">
        <v>0</v>
      </c>
      <c r="Q14918">
        <v>0</v>
      </c>
      <c r="R14918" t="s">
        <v>46591</v>
      </c>
      <c r="S14918" t="s">
        <v>47586</v>
      </c>
      <c r="T14918" t="s">
        <v>48534</v>
      </c>
      <c r="U14918" t="s">
        <v>60679</v>
      </c>
      <c r="W14918" t="s">
        <v>46418</v>
      </c>
      <c r="X14918" t="s">
        <v>46592</v>
      </c>
    </row>
    <row r="14919" spans="1:24">
      <c r="A14919">
        <f>HYPERLINK("https://www.philgeps.gov.ph/GEPSNONPILOT/Tender/SplashBidNoticeAbstractUI.aspx?menuIndex=3&amp;refID=7029109&amp;Result=3","7029109")</f>
        <v>0</v>
      </c>
      <c r="B14919" t="s">
        <v>68</v>
      </c>
      <c r="C14919" t="s">
        <v>17726</v>
      </c>
      <c r="D14919" t="s">
        <v>18815</v>
      </c>
      <c r="E14919" t="s">
        <v>19000</v>
      </c>
      <c r="F14919" t="s">
        <v>32664</v>
      </c>
      <c r="G14919" t="s">
        <v>32672</v>
      </c>
      <c r="H14919" t="s">
        <v>32683</v>
      </c>
      <c r="I14919" t="s">
        <v>10627</v>
      </c>
      <c r="J14919" t="s">
        <v>32943</v>
      </c>
      <c r="K14919" t="s">
        <v>42283</v>
      </c>
      <c r="M14919" t="s">
        <v>42631</v>
      </c>
      <c r="N14919" t="s">
        <v>46569</v>
      </c>
      <c r="O14919" t="s">
        <v>46570</v>
      </c>
      <c r="P14919">
        <v>0</v>
      </c>
      <c r="Q14919">
        <v>0</v>
      </c>
      <c r="R14919" t="s">
        <v>46591</v>
      </c>
      <c r="S14919" t="s">
        <v>47586</v>
      </c>
      <c r="T14919" t="s">
        <v>48221</v>
      </c>
      <c r="U14919" t="s">
        <v>60759</v>
      </c>
      <c r="V14919" t="s">
        <v>63276</v>
      </c>
      <c r="W14919" t="s">
        <v>42631</v>
      </c>
      <c r="X14919" t="s">
        <v>46592</v>
      </c>
    </row>
    <row r="14920" spans="1:24">
      <c r="A14920">
        <f>HYPERLINK("https://www.philgeps.gov.ph/GEPSNONPILOT/Tender/SplashBidNoticeAbstractUI.aspx?menuIndex=3&amp;refID=7029099&amp;Result=3","7029099")</f>
        <v>0</v>
      </c>
      <c r="B14920" t="s">
        <v>2300</v>
      </c>
      <c r="C14920" t="s">
        <v>17727</v>
      </c>
      <c r="D14920" t="s">
        <v>18862</v>
      </c>
      <c r="E14920" t="s">
        <v>31706</v>
      </c>
      <c r="F14920" t="s">
        <v>32664</v>
      </c>
      <c r="G14920" t="s">
        <v>32672</v>
      </c>
      <c r="H14920" t="s">
        <v>32683</v>
      </c>
      <c r="I14920" t="s">
        <v>10627</v>
      </c>
      <c r="J14920" t="s">
        <v>41655</v>
      </c>
      <c r="K14920" t="s">
        <v>42349</v>
      </c>
      <c r="M14920" t="s">
        <v>45071</v>
      </c>
      <c r="N14920" t="s">
        <v>46569</v>
      </c>
      <c r="O14920" t="s">
        <v>46570</v>
      </c>
      <c r="Q14920">
        <v>12</v>
      </c>
      <c r="R14920" t="s">
        <v>46591</v>
      </c>
      <c r="S14920" t="s">
        <v>47630</v>
      </c>
      <c r="T14920" t="s">
        <v>48226</v>
      </c>
      <c r="U14920" t="s">
        <v>60760</v>
      </c>
      <c r="W14920" t="s">
        <v>45071</v>
      </c>
      <c r="X14920" t="s">
        <v>46592</v>
      </c>
    </row>
    <row r="14921" spans="1:24">
      <c r="A14921">
        <f>HYPERLINK("https://www.philgeps.gov.ph/GEPSNONPILOT/Tender/SplashBidNoticeAbstractUI.aspx?menuIndex=3&amp;refID=7029236&amp;Result=3","7029236")</f>
        <v>0</v>
      </c>
      <c r="B14921" t="s">
        <v>631</v>
      </c>
      <c r="C14921" t="s">
        <v>17728</v>
      </c>
      <c r="D14921" t="s">
        <v>18812</v>
      </c>
      <c r="E14921" t="s">
        <v>29280</v>
      </c>
      <c r="F14921" t="s">
        <v>32664</v>
      </c>
      <c r="G14921" t="s">
        <v>32672</v>
      </c>
      <c r="H14921" t="s">
        <v>12635</v>
      </c>
      <c r="I14921" t="s">
        <v>4439</v>
      </c>
      <c r="J14921" t="s">
        <v>41656</v>
      </c>
      <c r="K14921" t="s">
        <v>42298</v>
      </c>
      <c r="L14921" t="s">
        <v>631</v>
      </c>
      <c r="M14921" t="s">
        <v>43213</v>
      </c>
      <c r="N14921" t="s">
        <v>46569</v>
      </c>
      <c r="O14921" t="s">
        <v>46570</v>
      </c>
      <c r="P14921">
        <v>0</v>
      </c>
      <c r="Q14921">
        <v>2</v>
      </c>
      <c r="R14921" t="s">
        <v>46591</v>
      </c>
      <c r="S14921" t="s">
        <v>47586</v>
      </c>
      <c r="T14921" t="s">
        <v>48598</v>
      </c>
      <c r="U14921" t="s">
        <v>60761</v>
      </c>
      <c r="V14921" t="s">
        <v>63275</v>
      </c>
      <c r="W14921" t="s">
        <v>43213</v>
      </c>
      <c r="X14921" t="s">
        <v>46592</v>
      </c>
    </row>
    <row r="14922" spans="1:24">
      <c r="A14922">
        <f>HYPERLINK("https://www.philgeps.gov.ph/GEPSNONPILOT/Tender/SplashBidNoticeAbstractUI.aspx?menuIndex=3&amp;refID=7029163&amp;Result=3","7029163")</f>
        <v>0</v>
      </c>
      <c r="B14922" t="s">
        <v>2300</v>
      </c>
      <c r="C14922" t="s">
        <v>17729</v>
      </c>
      <c r="D14922" t="s">
        <v>18862</v>
      </c>
      <c r="E14922" t="s">
        <v>31707</v>
      </c>
      <c r="F14922" t="s">
        <v>32664</v>
      </c>
      <c r="G14922" t="s">
        <v>32672</v>
      </c>
      <c r="H14922" t="s">
        <v>32683</v>
      </c>
      <c r="I14922" t="s">
        <v>10627</v>
      </c>
      <c r="J14922" t="s">
        <v>41657</v>
      </c>
      <c r="K14922" t="s">
        <v>42349</v>
      </c>
      <c r="M14922" t="s">
        <v>45071</v>
      </c>
      <c r="N14922" t="s">
        <v>46569</v>
      </c>
      <c r="O14922" t="s">
        <v>46570</v>
      </c>
      <c r="Q14922">
        <v>13</v>
      </c>
      <c r="R14922" t="s">
        <v>46591</v>
      </c>
      <c r="S14922" t="s">
        <v>47631</v>
      </c>
      <c r="T14922" t="s">
        <v>48226</v>
      </c>
      <c r="U14922" t="s">
        <v>60762</v>
      </c>
      <c r="W14922" t="s">
        <v>45071</v>
      </c>
      <c r="X14922" t="s">
        <v>46592</v>
      </c>
    </row>
    <row r="14923" spans="1:24">
      <c r="A14923">
        <f>HYPERLINK("https://www.philgeps.gov.ph/GEPSNONPILOT/Tender/SplashBidNoticeAbstractUI.aspx?menuIndex=3&amp;refID=7029068&amp;Result=3","7029068")</f>
        <v>0</v>
      </c>
      <c r="B14923" t="s">
        <v>663</v>
      </c>
      <c r="C14923" t="s">
        <v>17730</v>
      </c>
      <c r="D14923" t="s">
        <v>18824</v>
      </c>
      <c r="E14923" t="s">
        <v>31708</v>
      </c>
      <c r="F14923" t="s">
        <v>32665</v>
      </c>
      <c r="G14923" t="s">
        <v>32672</v>
      </c>
      <c r="H14923" t="s">
        <v>32683</v>
      </c>
      <c r="I14923" t="s">
        <v>10627</v>
      </c>
      <c r="J14923" t="s">
        <v>34379</v>
      </c>
      <c r="K14923" t="s">
        <v>42342</v>
      </c>
      <c r="M14923" t="s">
        <v>43250</v>
      </c>
      <c r="N14923" t="s">
        <v>46569</v>
      </c>
      <c r="O14923" t="s">
        <v>46570</v>
      </c>
      <c r="P14923">
        <v>0</v>
      </c>
      <c r="Q14923">
        <v>3</v>
      </c>
      <c r="R14923" t="s">
        <v>46591</v>
      </c>
      <c r="S14923" t="s">
        <v>47586</v>
      </c>
      <c r="T14923" t="s">
        <v>48221</v>
      </c>
      <c r="U14923" t="s">
        <v>60536</v>
      </c>
      <c r="V14923" t="s">
        <v>61789</v>
      </c>
      <c r="W14923" t="s">
        <v>43250</v>
      </c>
      <c r="X14923" t="s">
        <v>46592</v>
      </c>
    </row>
    <row r="14924" spans="1:24">
      <c r="A14924">
        <f>HYPERLINK("https://www.philgeps.gov.ph/GEPSNONPILOT/Tender/SplashBidNoticeAbstractUI.aspx?menuIndex=3&amp;refID=7029386&amp;Result=3","7029386")</f>
        <v>0</v>
      </c>
      <c r="B14924" t="s">
        <v>1314</v>
      </c>
      <c r="C14924" t="s">
        <v>17731</v>
      </c>
      <c r="D14924" t="s">
        <v>18798</v>
      </c>
      <c r="E14924" t="s">
        <v>31709</v>
      </c>
      <c r="F14924" t="s">
        <v>32664</v>
      </c>
      <c r="G14924" t="s">
        <v>32672</v>
      </c>
      <c r="H14924" t="s">
        <v>32682</v>
      </c>
      <c r="I14924" t="s">
        <v>10374</v>
      </c>
      <c r="J14924" t="s">
        <v>41658</v>
      </c>
      <c r="K14924" t="s">
        <v>42290</v>
      </c>
      <c r="M14924" t="s">
        <v>46293</v>
      </c>
      <c r="N14924" t="s">
        <v>46569</v>
      </c>
      <c r="O14924" t="s">
        <v>46570</v>
      </c>
      <c r="Q14924">
        <v>6</v>
      </c>
      <c r="R14924" t="s">
        <v>46591</v>
      </c>
      <c r="S14924" t="s">
        <v>47632</v>
      </c>
      <c r="T14924" t="s">
        <v>48228</v>
      </c>
      <c r="U14924" t="s">
        <v>51587</v>
      </c>
      <c r="V14924" t="s">
        <v>61964</v>
      </c>
      <c r="W14924" t="s">
        <v>46293</v>
      </c>
      <c r="X14924" t="s">
        <v>46592</v>
      </c>
    </row>
    <row r="14925" spans="1:24">
      <c r="A14925">
        <f>HYPERLINK("https://www.philgeps.gov.ph/GEPSNONPILOT/Tender/SplashBidNoticeAbstractUI.aspx?menuIndex=3&amp;refID=7029380&amp;Result=3","7029380")</f>
        <v>0</v>
      </c>
      <c r="B14925" t="s">
        <v>678</v>
      </c>
      <c r="C14925" t="s">
        <v>17732</v>
      </c>
      <c r="E14925" t="s">
        <v>31710</v>
      </c>
      <c r="F14925" t="s">
        <v>32664</v>
      </c>
      <c r="G14925" t="s">
        <v>32672</v>
      </c>
      <c r="H14925" t="s">
        <v>32683</v>
      </c>
      <c r="I14925" t="s">
        <v>10627</v>
      </c>
      <c r="J14925" t="s">
        <v>36320</v>
      </c>
      <c r="K14925" t="s">
        <v>42283</v>
      </c>
      <c r="M14925" t="s">
        <v>43265</v>
      </c>
      <c r="N14925" t="s">
        <v>46569</v>
      </c>
      <c r="O14925" t="s">
        <v>46570</v>
      </c>
      <c r="P14925">
        <v>0</v>
      </c>
      <c r="Q14925">
        <v>0</v>
      </c>
      <c r="R14925" t="s">
        <v>46591</v>
      </c>
      <c r="S14925" t="s">
        <v>47586</v>
      </c>
      <c r="T14925" t="s">
        <v>48230</v>
      </c>
      <c r="U14925" t="s">
        <v>58958</v>
      </c>
      <c r="W14925" t="s">
        <v>43265</v>
      </c>
      <c r="X14925" t="s">
        <v>46592</v>
      </c>
    </row>
    <row r="14926" spans="1:24">
      <c r="A14926">
        <f>HYPERLINK("https://www.philgeps.gov.ph/GEPSNONPILOT/Tender/SplashBidNoticeAbstractUI.aspx?menuIndex=3&amp;refID=7029215&amp;Result=3","7029215")</f>
        <v>0</v>
      </c>
      <c r="B14926" t="s">
        <v>631</v>
      </c>
      <c r="C14926" t="s">
        <v>17733</v>
      </c>
      <c r="D14926" t="s">
        <v>18812</v>
      </c>
      <c r="E14926" t="s">
        <v>29253</v>
      </c>
      <c r="F14926" t="s">
        <v>32664</v>
      </c>
      <c r="G14926" t="s">
        <v>32672</v>
      </c>
      <c r="H14926" t="s">
        <v>32683</v>
      </c>
      <c r="I14926" t="s">
        <v>10627</v>
      </c>
      <c r="J14926" t="s">
        <v>41659</v>
      </c>
      <c r="K14926" t="s">
        <v>42303</v>
      </c>
      <c r="L14926" t="s">
        <v>631</v>
      </c>
      <c r="M14926" t="s">
        <v>43213</v>
      </c>
      <c r="N14926" t="s">
        <v>46569</v>
      </c>
      <c r="O14926" t="s">
        <v>46570</v>
      </c>
      <c r="P14926">
        <v>0</v>
      </c>
      <c r="Q14926">
        <v>1</v>
      </c>
      <c r="R14926" t="s">
        <v>46591</v>
      </c>
      <c r="S14926" t="s">
        <v>47586</v>
      </c>
      <c r="T14926" t="s">
        <v>48598</v>
      </c>
      <c r="U14926" t="s">
        <v>60763</v>
      </c>
      <c r="V14926" t="s">
        <v>63275</v>
      </c>
      <c r="W14926" t="s">
        <v>43213</v>
      </c>
      <c r="X14926" t="s">
        <v>46592</v>
      </c>
    </row>
    <row r="14927" spans="1:24">
      <c r="A14927">
        <f>HYPERLINK("https://www.philgeps.gov.ph/GEPSNONPILOT/Tender/SplashBidNoticeAbstractUI.aspx?menuIndex=3&amp;refID=7029366&amp;Result=3","7029366")</f>
        <v>0</v>
      </c>
      <c r="B14927" t="s">
        <v>678</v>
      </c>
      <c r="C14927" t="s">
        <v>17734</v>
      </c>
      <c r="E14927" t="s">
        <v>31711</v>
      </c>
      <c r="F14927" t="s">
        <v>32664</v>
      </c>
      <c r="G14927" t="s">
        <v>32672</v>
      </c>
      <c r="H14927" t="s">
        <v>32683</v>
      </c>
      <c r="I14927" t="s">
        <v>10627</v>
      </c>
      <c r="J14927" t="s">
        <v>36320</v>
      </c>
      <c r="K14927" t="s">
        <v>42283</v>
      </c>
      <c r="M14927" t="s">
        <v>43265</v>
      </c>
      <c r="N14927" t="s">
        <v>46569</v>
      </c>
      <c r="O14927" t="s">
        <v>46570</v>
      </c>
      <c r="P14927">
        <v>0</v>
      </c>
      <c r="Q14927">
        <v>0</v>
      </c>
      <c r="R14927" t="s">
        <v>46591</v>
      </c>
      <c r="S14927" t="s">
        <v>47586</v>
      </c>
      <c r="T14927" t="s">
        <v>48230</v>
      </c>
      <c r="U14927" t="s">
        <v>58958</v>
      </c>
      <c r="W14927" t="s">
        <v>43265</v>
      </c>
      <c r="X14927" t="s">
        <v>46592</v>
      </c>
    </row>
    <row r="14928" spans="1:24">
      <c r="A14928">
        <f>HYPERLINK("https://www.philgeps.gov.ph/GEPSNONPILOT/Tender/SplashBidNoticeAbstractUI.aspx?menuIndex=3&amp;refID=7031233&amp;Result=3","7031233")</f>
        <v>0</v>
      </c>
      <c r="B14928" t="s">
        <v>2468</v>
      </c>
      <c r="C14928" t="s">
        <v>17735</v>
      </c>
      <c r="E14928" t="s">
        <v>31712</v>
      </c>
      <c r="F14928" t="s">
        <v>32664</v>
      </c>
      <c r="G14928" t="s">
        <v>32672</v>
      </c>
      <c r="H14928" t="s">
        <v>12635</v>
      </c>
      <c r="I14928" t="s">
        <v>6118</v>
      </c>
      <c r="J14928" t="s">
        <v>40991</v>
      </c>
      <c r="K14928" t="s">
        <v>42283</v>
      </c>
      <c r="M14928" t="s">
        <v>46205</v>
      </c>
      <c r="N14928" t="s">
        <v>46569</v>
      </c>
      <c r="O14928" t="s">
        <v>46570</v>
      </c>
      <c r="P14928">
        <v>0</v>
      </c>
      <c r="Q14928">
        <v>2</v>
      </c>
      <c r="R14928" t="s">
        <v>46590</v>
      </c>
      <c r="S14928" t="s">
        <v>47546</v>
      </c>
      <c r="T14928" t="s">
        <v>48436</v>
      </c>
      <c r="U14928" t="s">
        <v>60764</v>
      </c>
      <c r="W14928" t="s">
        <v>46205</v>
      </c>
      <c r="X14928" t="s">
        <v>46591</v>
      </c>
    </row>
    <row r="14929" spans="1:24">
      <c r="A14929">
        <f>HYPERLINK("https://www.philgeps.gov.ph/GEPSNONPILOT/Tender/SplashBidNoticeAbstractUI.aspx?menuIndex=3&amp;refID=7029359&amp;Result=3","7029359")</f>
        <v>0</v>
      </c>
      <c r="B14929" t="s">
        <v>718</v>
      </c>
      <c r="C14929" t="s">
        <v>17736</v>
      </c>
      <c r="D14929" t="s">
        <v>18802</v>
      </c>
      <c r="E14929" t="s">
        <v>31713</v>
      </c>
      <c r="F14929" t="s">
        <v>32664</v>
      </c>
      <c r="G14929" t="s">
        <v>32672</v>
      </c>
      <c r="H14929" t="s">
        <v>32683</v>
      </c>
      <c r="I14929" t="s">
        <v>10627</v>
      </c>
      <c r="J14929" t="s">
        <v>41660</v>
      </c>
      <c r="K14929" t="s">
        <v>42349</v>
      </c>
      <c r="M14929" t="s">
        <v>46449</v>
      </c>
      <c r="N14929" t="s">
        <v>46569</v>
      </c>
      <c r="O14929" t="s">
        <v>46570</v>
      </c>
      <c r="Q14929">
        <v>1</v>
      </c>
      <c r="R14929" t="s">
        <v>46591</v>
      </c>
      <c r="S14929" t="s">
        <v>47633</v>
      </c>
      <c r="T14929" t="s">
        <v>48221</v>
      </c>
      <c r="U14929" t="s">
        <v>60765</v>
      </c>
      <c r="W14929" t="s">
        <v>46449</v>
      </c>
      <c r="X14929" t="s">
        <v>46592</v>
      </c>
    </row>
    <row r="14930" spans="1:24">
      <c r="A14930">
        <f>HYPERLINK("https://www.philgeps.gov.ph/GEPSNONPILOT/Tender/SplashBidNoticeAbstractUI.aspx?menuIndex=3&amp;refID=7029396&amp;Result=3","7029396")</f>
        <v>0</v>
      </c>
      <c r="B14930" t="s">
        <v>3434</v>
      </c>
      <c r="C14930" t="s">
        <v>17737</v>
      </c>
      <c r="D14930" t="s">
        <v>18791</v>
      </c>
      <c r="E14930" t="s">
        <v>25178</v>
      </c>
      <c r="F14930" t="s">
        <v>32664</v>
      </c>
      <c r="G14930" t="s">
        <v>32672</v>
      </c>
      <c r="H14930" t="s">
        <v>32683</v>
      </c>
      <c r="I14930" t="s">
        <v>10627</v>
      </c>
      <c r="J14930" t="s">
        <v>32865</v>
      </c>
      <c r="K14930" t="s">
        <v>42305</v>
      </c>
      <c r="M14930" t="s">
        <v>46418</v>
      </c>
      <c r="N14930" t="s">
        <v>46569</v>
      </c>
      <c r="O14930" t="s">
        <v>46570</v>
      </c>
      <c r="P14930">
        <v>0</v>
      </c>
      <c r="Q14930">
        <v>0</v>
      </c>
      <c r="R14930" t="s">
        <v>46591</v>
      </c>
      <c r="S14930" t="s">
        <v>47586</v>
      </c>
      <c r="T14930" t="s">
        <v>48534</v>
      </c>
      <c r="U14930" t="s">
        <v>60679</v>
      </c>
      <c r="W14930" t="s">
        <v>46418</v>
      </c>
      <c r="X14930" t="s">
        <v>46592</v>
      </c>
    </row>
    <row r="14931" spans="1:24">
      <c r="A14931">
        <f>HYPERLINK("https://www.philgeps.gov.ph/GEPSNONPILOT/Tender/SplashBidNoticeAbstractUI.aspx?menuIndex=3&amp;refID=7029353&amp;Result=3","7029353")</f>
        <v>0</v>
      </c>
      <c r="B14931" t="s">
        <v>3459</v>
      </c>
      <c r="C14931" t="s">
        <v>17738</v>
      </c>
      <c r="D14931" t="s">
        <v>18842</v>
      </c>
      <c r="E14931" t="s">
        <v>31714</v>
      </c>
      <c r="F14931" t="s">
        <v>32664</v>
      </c>
      <c r="G14931" t="s">
        <v>32672</v>
      </c>
      <c r="H14931" t="s">
        <v>32683</v>
      </c>
      <c r="I14931" t="s">
        <v>10627</v>
      </c>
      <c r="J14931" t="s">
        <v>41661</v>
      </c>
      <c r="K14931" t="s">
        <v>42298</v>
      </c>
      <c r="M14931" t="s">
        <v>46450</v>
      </c>
      <c r="N14931" t="s">
        <v>46569</v>
      </c>
      <c r="O14931" t="s">
        <v>46570</v>
      </c>
      <c r="P14931">
        <v>0</v>
      </c>
      <c r="Q14931">
        <v>0</v>
      </c>
      <c r="R14931" t="s">
        <v>46591</v>
      </c>
      <c r="S14931" t="s">
        <v>47586</v>
      </c>
      <c r="T14931" t="s">
        <v>48449</v>
      </c>
      <c r="U14931" t="s">
        <v>60766</v>
      </c>
      <c r="W14931" t="s">
        <v>46450</v>
      </c>
      <c r="X14931" t="s">
        <v>46592</v>
      </c>
    </row>
    <row r="14932" spans="1:24">
      <c r="A14932">
        <f>HYPERLINK("https://www.philgeps.gov.ph/GEPSNONPILOT/Tender/SplashBidNoticeAbstractUI.aspx?menuIndex=3&amp;refID=7029384&amp;Result=3","7029384")</f>
        <v>0</v>
      </c>
      <c r="B14932" t="s">
        <v>556</v>
      </c>
      <c r="C14932" t="s">
        <v>17739</v>
      </c>
      <c r="D14932" t="s">
        <v>18843</v>
      </c>
      <c r="E14932" t="s">
        <v>31715</v>
      </c>
      <c r="F14932" t="s">
        <v>32664</v>
      </c>
      <c r="G14932" t="s">
        <v>32673</v>
      </c>
      <c r="H14932" t="s">
        <v>12635</v>
      </c>
      <c r="I14932" t="s">
        <v>32685</v>
      </c>
      <c r="J14932" t="s">
        <v>41662</v>
      </c>
      <c r="K14932" t="s">
        <v>42284</v>
      </c>
      <c r="M14932" t="s">
        <v>43136</v>
      </c>
      <c r="N14932" t="s">
        <v>46569</v>
      </c>
      <c r="O14932" t="s">
        <v>46570</v>
      </c>
      <c r="P14932">
        <v>0</v>
      </c>
      <c r="Q14932">
        <v>0</v>
      </c>
      <c r="R14932" t="s">
        <v>46591</v>
      </c>
      <c r="S14932" t="s">
        <v>47586</v>
      </c>
      <c r="T14932" t="s">
        <v>48293</v>
      </c>
      <c r="U14932" t="s">
        <v>60767</v>
      </c>
      <c r="V14932" t="s">
        <v>63280</v>
      </c>
      <c r="W14932" t="s">
        <v>43136</v>
      </c>
      <c r="X14932" t="s">
        <v>46592</v>
      </c>
    </row>
    <row r="14933" spans="1:24">
      <c r="A14933">
        <f>HYPERLINK("https://www.philgeps.gov.ph/GEPSNONPILOT/Tender/SplashBidNoticeAbstractUI.aspx?menuIndex=3&amp;refID=7029271&amp;Result=3","7029271")</f>
        <v>0</v>
      </c>
      <c r="B14933" t="s">
        <v>332</v>
      </c>
      <c r="C14933" t="s">
        <v>17740</v>
      </c>
      <c r="D14933" t="s">
        <v>18818</v>
      </c>
      <c r="E14933" t="s">
        <v>19299</v>
      </c>
      <c r="F14933" t="s">
        <v>32664</v>
      </c>
      <c r="G14933" t="s">
        <v>32672</v>
      </c>
      <c r="H14933" t="s">
        <v>32683</v>
      </c>
      <c r="I14933" t="s">
        <v>10627</v>
      </c>
      <c r="J14933" t="s">
        <v>41663</v>
      </c>
      <c r="K14933" t="s">
        <v>42281</v>
      </c>
      <c r="M14933" t="s">
        <v>42900</v>
      </c>
      <c r="N14933" t="s">
        <v>46569</v>
      </c>
      <c r="O14933" t="s">
        <v>46570</v>
      </c>
      <c r="Q14933">
        <v>1</v>
      </c>
      <c r="R14933" t="s">
        <v>46591</v>
      </c>
      <c r="S14933" t="s">
        <v>47634</v>
      </c>
      <c r="T14933" t="s">
        <v>48246</v>
      </c>
      <c r="U14933" t="s">
        <v>60768</v>
      </c>
      <c r="W14933" t="s">
        <v>42900</v>
      </c>
      <c r="X14933" t="s">
        <v>46592</v>
      </c>
    </row>
    <row r="14934" spans="1:24">
      <c r="A14934">
        <f>HYPERLINK("https://www.philgeps.gov.ph/GEPSNONPILOT/Tender/SplashBidNoticeAbstractUI.aspx?menuIndex=3&amp;refID=7029373&amp;Result=3","7029373")</f>
        <v>0</v>
      </c>
      <c r="B14934" t="s">
        <v>718</v>
      </c>
      <c r="C14934" t="s">
        <v>17741</v>
      </c>
      <c r="D14934" t="s">
        <v>18802</v>
      </c>
      <c r="E14934" t="s">
        <v>31716</v>
      </c>
      <c r="F14934" t="s">
        <v>32664</v>
      </c>
      <c r="G14934" t="s">
        <v>32672</v>
      </c>
      <c r="H14934" t="s">
        <v>32683</v>
      </c>
      <c r="I14934" t="s">
        <v>10627</v>
      </c>
      <c r="J14934" t="s">
        <v>41664</v>
      </c>
      <c r="K14934" t="s">
        <v>42349</v>
      </c>
      <c r="M14934" t="s">
        <v>46449</v>
      </c>
      <c r="N14934" t="s">
        <v>46569</v>
      </c>
      <c r="O14934" t="s">
        <v>46570</v>
      </c>
      <c r="Q14934">
        <v>2</v>
      </c>
      <c r="R14934" t="s">
        <v>46591</v>
      </c>
      <c r="S14934" t="s">
        <v>47635</v>
      </c>
      <c r="T14934" t="s">
        <v>48221</v>
      </c>
      <c r="U14934" t="s">
        <v>60769</v>
      </c>
      <c r="W14934" t="s">
        <v>46449</v>
      </c>
      <c r="X14934" t="s">
        <v>46592</v>
      </c>
    </row>
    <row r="14935" spans="1:24">
      <c r="A14935">
        <f>HYPERLINK("https://www.philgeps.gov.ph/GEPSNONPILOT/Tender/SplashBidNoticeAbstractUI.aspx?menuIndex=3&amp;refID=7029343&amp;Result=3","7029343")</f>
        <v>0</v>
      </c>
      <c r="B14935" t="s">
        <v>407</v>
      </c>
      <c r="C14935" t="s">
        <v>17742</v>
      </c>
      <c r="D14935" t="s">
        <v>18830</v>
      </c>
      <c r="E14935" t="s">
        <v>31717</v>
      </c>
      <c r="F14935" t="s">
        <v>32664</v>
      </c>
      <c r="G14935" t="s">
        <v>32672</v>
      </c>
      <c r="H14935" t="s">
        <v>32683</v>
      </c>
      <c r="I14935" t="s">
        <v>10627</v>
      </c>
      <c r="J14935" t="s">
        <v>34559</v>
      </c>
      <c r="K14935" t="s">
        <v>42285</v>
      </c>
      <c r="M14935" t="s">
        <v>42977</v>
      </c>
      <c r="N14935" t="s">
        <v>46569</v>
      </c>
      <c r="O14935" t="s">
        <v>46570</v>
      </c>
      <c r="Q14935">
        <v>3</v>
      </c>
      <c r="R14935" t="s">
        <v>46591</v>
      </c>
      <c r="S14935" t="s">
        <v>47636</v>
      </c>
      <c r="T14935" t="s">
        <v>48221</v>
      </c>
      <c r="U14935" t="s">
        <v>60770</v>
      </c>
      <c r="V14935" t="s">
        <v>63281</v>
      </c>
      <c r="W14935" t="s">
        <v>42977</v>
      </c>
      <c r="X14935" t="s">
        <v>46592</v>
      </c>
    </row>
    <row r="14936" spans="1:24">
      <c r="A14936">
        <f>HYPERLINK("https://www.philgeps.gov.ph/GEPSNONPILOT/Tender/SplashBidNoticeAbstractUI.aspx?menuIndex=3&amp;refID=7029336&amp;Result=3","7029336")</f>
        <v>0</v>
      </c>
      <c r="B14936" t="s">
        <v>556</v>
      </c>
      <c r="C14936" t="s">
        <v>17743</v>
      </c>
      <c r="D14936" t="s">
        <v>18843</v>
      </c>
      <c r="E14936" t="s">
        <v>31718</v>
      </c>
      <c r="F14936" t="s">
        <v>32664</v>
      </c>
      <c r="G14936" t="s">
        <v>32673</v>
      </c>
      <c r="H14936" t="s">
        <v>32683</v>
      </c>
      <c r="I14936" t="s">
        <v>10627</v>
      </c>
      <c r="J14936" t="s">
        <v>41665</v>
      </c>
      <c r="K14936" t="s">
        <v>42312</v>
      </c>
      <c r="M14936" t="s">
        <v>43136</v>
      </c>
      <c r="N14936" t="s">
        <v>46569</v>
      </c>
      <c r="O14936" t="s">
        <v>46570</v>
      </c>
      <c r="P14936">
        <v>0</v>
      </c>
      <c r="Q14936">
        <v>0</v>
      </c>
      <c r="R14936" t="s">
        <v>46591</v>
      </c>
      <c r="S14936" t="s">
        <v>47586</v>
      </c>
      <c r="T14936" t="s">
        <v>48293</v>
      </c>
      <c r="U14936" t="s">
        <v>60771</v>
      </c>
      <c r="W14936" t="s">
        <v>43136</v>
      </c>
      <c r="X14936" t="s">
        <v>46592</v>
      </c>
    </row>
    <row r="14937" spans="1:24">
      <c r="A14937">
        <f>HYPERLINK("https://www.philgeps.gov.ph/GEPSNONPILOT/Tender/SplashBidNoticeAbstractUI.aspx?menuIndex=3&amp;refID=7029318&amp;Result=3","7029318")</f>
        <v>0</v>
      </c>
      <c r="B14937" t="s">
        <v>3434</v>
      </c>
      <c r="C14937" t="s">
        <v>17744</v>
      </c>
      <c r="D14937" t="s">
        <v>18791</v>
      </c>
      <c r="E14937" t="s">
        <v>25185</v>
      </c>
      <c r="F14937" t="s">
        <v>32664</v>
      </c>
      <c r="G14937" t="s">
        <v>32672</v>
      </c>
      <c r="H14937" t="s">
        <v>32683</v>
      </c>
      <c r="I14937" t="s">
        <v>10627</v>
      </c>
      <c r="J14937" t="s">
        <v>41666</v>
      </c>
      <c r="K14937" t="s">
        <v>42528</v>
      </c>
      <c r="M14937" t="s">
        <v>46418</v>
      </c>
      <c r="N14937" t="s">
        <v>46569</v>
      </c>
      <c r="O14937" t="s">
        <v>46570</v>
      </c>
      <c r="P14937">
        <v>0</v>
      </c>
      <c r="Q14937">
        <v>0</v>
      </c>
      <c r="R14937" t="s">
        <v>46591</v>
      </c>
      <c r="S14937" t="s">
        <v>47586</v>
      </c>
      <c r="T14937" t="s">
        <v>48534</v>
      </c>
      <c r="U14937" t="s">
        <v>60679</v>
      </c>
      <c r="W14937" t="s">
        <v>46418</v>
      </c>
      <c r="X14937" t="s">
        <v>46592</v>
      </c>
    </row>
    <row r="14938" spans="1:24">
      <c r="A14938">
        <f>HYPERLINK("https://www.philgeps.gov.ph/GEPSNONPILOT/Tender/SplashBidNoticeAbstractUI.aspx?menuIndex=3&amp;refID=7029264&amp;Result=3","7029264")</f>
        <v>0</v>
      </c>
      <c r="B14938" t="s">
        <v>592</v>
      </c>
      <c r="C14938" t="s">
        <v>17745</v>
      </c>
      <c r="D14938" t="s">
        <v>18854</v>
      </c>
      <c r="E14938" t="s">
        <v>31719</v>
      </c>
      <c r="F14938" t="s">
        <v>32664</v>
      </c>
      <c r="G14938" t="s">
        <v>32672</v>
      </c>
      <c r="H14938" t="s">
        <v>12635</v>
      </c>
      <c r="I14938" t="s">
        <v>10627</v>
      </c>
      <c r="J14938" t="s">
        <v>41667</v>
      </c>
      <c r="K14938" t="s">
        <v>42283</v>
      </c>
      <c r="M14938" t="s">
        <v>43411</v>
      </c>
      <c r="N14938" t="s">
        <v>46569</v>
      </c>
      <c r="O14938" t="s">
        <v>46570</v>
      </c>
      <c r="Q14938">
        <v>4</v>
      </c>
      <c r="R14938" t="s">
        <v>46591</v>
      </c>
      <c r="S14938" t="s">
        <v>47637</v>
      </c>
      <c r="T14938" t="s">
        <v>48436</v>
      </c>
      <c r="U14938" t="s">
        <v>60772</v>
      </c>
      <c r="W14938" t="s">
        <v>43411</v>
      </c>
      <c r="X14938" t="s">
        <v>46592</v>
      </c>
    </row>
    <row r="14939" spans="1:24">
      <c r="A14939">
        <f>HYPERLINK("https://www.philgeps.gov.ph/GEPSNONPILOT/Tender/SplashBidNoticeAbstractUI.aspx?menuIndex=3&amp;refID=7029335&amp;Result=3","7029335")</f>
        <v>0</v>
      </c>
      <c r="B14939" t="s">
        <v>718</v>
      </c>
      <c r="C14939" t="s">
        <v>17746</v>
      </c>
      <c r="D14939" t="s">
        <v>18802</v>
      </c>
      <c r="E14939" t="s">
        <v>31720</v>
      </c>
      <c r="F14939" t="s">
        <v>32664</v>
      </c>
      <c r="G14939" t="s">
        <v>32672</v>
      </c>
      <c r="H14939" t="s">
        <v>32683</v>
      </c>
      <c r="I14939" t="s">
        <v>10627</v>
      </c>
      <c r="J14939" t="s">
        <v>41668</v>
      </c>
      <c r="K14939" t="s">
        <v>42349</v>
      </c>
      <c r="M14939" t="s">
        <v>46449</v>
      </c>
      <c r="N14939" t="s">
        <v>46569</v>
      </c>
      <c r="O14939" t="s">
        <v>46570</v>
      </c>
      <c r="Q14939">
        <v>1</v>
      </c>
      <c r="R14939" t="s">
        <v>46591</v>
      </c>
      <c r="S14939" t="s">
        <v>47638</v>
      </c>
      <c r="T14939" t="s">
        <v>48221</v>
      </c>
      <c r="U14939" t="s">
        <v>60769</v>
      </c>
      <c r="W14939" t="s">
        <v>46449</v>
      </c>
      <c r="X14939" t="s">
        <v>46592</v>
      </c>
    </row>
    <row r="14940" spans="1:24">
      <c r="A14940">
        <f>HYPERLINK("https://www.philgeps.gov.ph/GEPSNONPILOT/Tender/SplashBidNoticeAbstractUI.aspx?menuIndex=3&amp;refID=7029296&amp;Result=3","7029296")</f>
        <v>0</v>
      </c>
      <c r="B14940" t="s">
        <v>332</v>
      </c>
      <c r="C14940" t="s">
        <v>17747</v>
      </c>
      <c r="D14940" t="s">
        <v>18818</v>
      </c>
      <c r="E14940" t="s">
        <v>31721</v>
      </c>
      <c r="F14940" t="s">
        <v>32664</v>
      </c>
      <c r="G14940" t="s">
        <v>32672</v>
      </c>
      <c r="H14940" t="s">
        <v>12635</v>
      </c>
      <c r="I14940" t="s">
        <v>11464</v>
      </c>
      <c r="J14940" t="s">
        <v>34148</v>
      </c>
      <c r="K14940" t="s">
        <v>42281</v>
      </c>
      <c r="M14940" t="s">
        <v>42900</v>
      </c>
      <c r="N14940" t="s">
        <v>46569</v>
      </c>
      <c r="O14940" t="s">
        <v>46570</v>
      </c>
      <c r="P14940">
        <v>0</v>
      </c>
      <c r="Q14940">
        <v>5</v>
      </c>
      <c r="R14940" t="s">
        <v>46591</v>
      </c>
      <c r="S14940" t="s">
        <v>47586</v>
      </c>
      <c r="T14940" t="s">
        <v>48246</v>
      </c>
      <c r="U14940" t="s">
        <v>60773</v>
      </c>
      <c r="W14940" t="s">
        <v>42900</v>
      </c>
      <c r="X14940" t="s">
        <v>46592</v>
      </c>
    </row>
    <row r="14941" spans="1:24">
      <c r="A14941">
        <f>HYPERLINK("https://www.philgeps.gov.ph/GEPSNONPILOT/Tender/SplashBidNoticeAbstractUI.aspx?menuIndex=3&amp;refID=7029294&amp;Result=3","7029294")</f>
        <v>0</v>
      </c>
      <c r="B14941" t="s">
        <v>1314</v>
      </c>
      <c r="C14941" t="s">
        <v>17748</v>
      </c>
      <c r="D14941" t="s">
        <v>18798</v>
      </c>
      <c r="E14941" t="s">
        <v>31709</v>
      </c>
      <c r="F14941" t="s">
        <v>32664</v>
      </c>
      <c r="G14941" t="s">
        <v>32672</v>
      </c>
      <c r="H14941" t="s">
        <v>32682</v>
      </c>
      <c r="I14941" t="s">
        <v>10374</v>
      </c>
      <c r="J14941" t="s">
        <v>41669</v>
      </c>
      <c r="K14941" t="s">
        <v>42290</v>
      </c>
      <c r="M14941" t="s">
        <v>46293</v>
      </c>
      <c r="N14941" t="s">
        <v>46569</v>
      </c>
      <c r="O14941" t="s">
        <v>46570</v>
      </c>
      <c r="Q14941">
        <v>9</v>
      </c>
      <c r="R14941" t="s">
        <v>46591</v>
      </c>
      <c r="S14941" t="s">
        <v>47639</v>
      </c>
      <c r="T14941" t="s">
        <v>48228</v>
      </c>
      <c r="U14941" t="s">
        <v>51587</v>
      </c>
      <c r="V14941" t="s">
        <v>62156</v>
      </c>
      <c r="W14941" t="s">
        <v>46293</v>
      </c>
      <c r="X14941" t="s">
        <v>46592</v>
      </c>
    </row>
    <row r="14942" spans="1:24">
      <c r="A14942">
        <f>HYPERLINK("https://www.philgeps.gov.ph/GEPSNONPILOT/Tender/SplashBidNoticeAbstractUI.aspx?menuIndex=3&amp;refID=7029332&amp;Result=3","7029332")</f>
        <v>0</v>
      </c>
      <c r="B14942" t="s">
        <v>3459</v>
      </c>
      <c r="C14942" t="s">
        <v>17749</v>
      </c>
      <c r="D14942" t="s">
        <v>18842</v>
      </c>
      <c r="E14942" t="s">
        <v>31722</v>
      </c>
      <c r="F14942" t="s">
        <v>32664</v>
      </c>
      <c r="G14942" t="s">
        <v>32672</v>
      </c>
      <c r="H14942" t="s">
        <v>32683</v>
      </c>
      <c r="I14942" t="s">
        <v>10627</v>
      </c>
      <c r="J14942" t="s">
        <v>41670</v>
      </c>
      <c r="K14942" t="s">
        <v>42311</v>
      </c>
      <c r="M14942" t="s">
        <v>46450</v>
      </c>
      <c r="N14942" t="s">
        <v>46569</v>
      </c>
      <c r="O14942" t="s">
        <v>46570</v>
      </c>
      <c r="P14942">
        <v>0</v>
      </c>
      <c r="Q14942">
        <v>1</v>
      </c>
      <c r="R14942" t="s">
        <v>46591</v>
      </c>
      <c r="S14942" t="s">
        <v>47586</v>
      </c>
      <c r="T14942" t="s">
        <v>48449</v>
      </c>
      <c r="U14942" t="s">
        <v>60774</v>
      </c>
      <c r="W14942" t="s">
        <v>46450</v>
      </c>
      <c r="X14942" t="s">
        <v>46592</v>
      </c>
    </row>
    <row r="14943" spans="1:24">
      <c r="A14943">
        <f>HYPERLINK("https://www.philgeps.gov.ph/GEPSNONPILOT/Tender/SplashBidNoticeAbstractUI.aspx?menuIndex=3&amp;refID=7029291&amp;Result=3","7029291")</f>
        <v>0</v>
      </c>
      <c r="B14943" t="s">
        <v>678</v>
      </c>
      <c r="C14943" t="s">
        <v>17750</v>
      </c>
      <c r="E14943" t="s">
        <v>31723</v>
      </c>
      <c r="F14943" t="s">
        <v>32664</v>
      </c>
      <c r="G14943" t="s">
        <v>32672</v>
      </c>
      <c r="H14943" t="s">
        <v>32683</v>
      </c>
      <c r="I14943" t="s">
        <v>10627</v>
      </c>
      <c r="J14943" t="s">
        <v>33761</v>
      </c>
      <c r="K14943" t="s">
        <v>42283</v>
      </c>
      <c r="M14943" t="s">
        <v>43265</v>
      </c>
      <c r="N14943" t="s">
        <v>46569</v>
      </c>
      <c r="O14943" t="s">
        <v>46570</v>
      </c>
      <c r="P14943">
        <v>0</v>
      </c>
      <c r="Q14943">
        <v>1</v>
      </c>
      <c r="R14943" t="s">
        <v>46591</v>
      </c>
      <c r="S14943" t="s">
        <v>47586</v>
      </c>
      <c r="T14943" t="s">
        <v>48230</v>
      </c>
      <c r="U14943" t="s">
        <v>58958</v>
      </c>
      <c r="W14943" t="s">
        <v>43265</v>
      </c>
      <c r="X14943" t="s">
        <v>46592</v>
      </c>
    </row>
    <row r="14944" spans="1:24">
      <c r="A14944">
        <f>HYPERLINK("https://www.philgeps.gov.ph/GEPSNONPILOT/Tender/SplashBidNoticeAbstractUI.aspx?menuIndex=3&amp;refID=7029066&amp;Result=3","7029066")</f>
        <v>0</v>
      </c>
      <c r="B14944" t="s">
        <v>3445</v>
      </c>
      <c r="C14944" t="s">
        <v>17751</v>
      </c>
      <c r="D14944" t="s">
        <v>18784</v>
      </c>
      <c r="E14944" t="s">
        <v>31724</v>
      </c>
      <c r="F14944" t="s">
        <v>32664</v>
      </c>
      <c r="G14944" t="s">
        <v>32672</v>
      </c>
      <c r="H14944" t="s">
        <v>12635</v>
      </c>
      <c r="I14944" t="s">
        <v>6223</v>
      </c>
      <c r="J14944" t="s">
        <v>34262</v>
      </c>
      <c r="K14944" t="s">
        <v>42289</v>
      </c>
      <c r="M14944" t="s">
        <v>46433</v>
      </c>
      <c r="N14944" t="s">
        <v>46569</v>
      </c>
      <c r="O14944" t="s">
        <v>46570</v>
      </c>
      <c r="P14944">
        <v>0</v>
      </c>
      <c r="Q14944">
        <v>0</v>
      </c>
      <c r="R14944" t="s">
        <v>46591</v>
      </c>
      <c r="S14944" t="s">
        <v>47586</v>
      </c>
      <c r="T14944" t="s">
        <v>48420</v>
      </c>
      <c r="U14944" t="s">
        <v>60775</v>
      </c>
      <c r="W14944" t="s">
        <v>46433</v>
      </c>
      <c r="X14944" t="s">
        <v>46592</v>
      </c>
    </row>
    <row r="14945" spans="1:24">
      <c r="A14945">
        <f>HYPERLINK("https://www.philgeps.gov.ph/GEPSNONPILOT/Tender/SplashBidNoticeAbstractUI.aspx?menuIndex=3&amp;refID=7031075&amp;Result=3","7031075")</f>
        <v>0</v>
      </c>
      <c r="B14945" t="s">
        <v>2468</v>
      </c>
      <c r="C14945" t="s">
        <v>17752</v>
      </c>
      <c r="E14945" t="s">
        <v>31725</v>
      </c>
      <c r="F14945" t="s">
        <v>32664</v>
      </c>
      <c r="G14945" t="s">
        <v>32672</v>
      </c>
      <c r="H14945" t="s">
        <v>12635</v>
      </c>
      <c r="I14945" t="s">
        <v>6628</v>
      </c>
      <c r="J14945" t="s">
        <v>41671</v>
      </c>
      <c r="K14945" t="s">
        <v>42283</v>
      </c>
      <c r="M14945" t="s">
        <v>46205</v>
      </c>
      <c r="N14945" t="s">
        <v>46569</v>
      </c>
      <c r="O14945" t="s">
        <v>46570</v>
      </c>
      <c r="P14945">
        <v>0</v>
      </c>
      <c r="Q14945">
        <v>14</v>
      </c>
      <c r="R14945" t="s">
        <v>46590</v>
      </c>
      <c r="S14945" t="s">
        <v>47546</v>
      </c>
      <c r="T14945" t="s">
        <v>48436</v>
      </c>
      <c r="U14945" t="s">
        <v>60776</v>
      </c>
      <c r="W14945" t="s">
        <v>46205</v>
      </c>
      <c r="X14945" t="s">
        <v>46591</v>
      </c>
    </row>
    <row r="14946" spans="1:24">
      <c r="A14946">
        <f>HYPERLINK("https://www.philgeps.gov.ph/GEPSNONPILOT/Tender/SplashBidNoticeAbstractUI.aspx?menuIndex=3&amp;refID=7031062&amp;Result=3","7031062")</f>
        <v>0</v>
      </c>
      <c r="B14946" t="s">
        <v>2468</v>
      </c>
      <c r="C14946" t="s">
        <v>17753</v>
      </c>
      <c r="E14946" t="s">
        <v>31726</v>
      </c>
      <c r="F14946" t="s">
        <v>32664</v>
      </c>
      <c r="G14946" t="s">
        <v>32672</v>
      </c>
      <c r="H14946" t="s">
        <v>12635</v>
      </c>
      <c r="I14946" t="s">
        <v>6628</v>
      </c>
      <c r="J14946" t="s">
        <v>41672</v>
      </c>
      <c r="K14946" t="s">
        <v>42283</v>
      </c>
      <c r="M14946" t="s">
        <v>46205</v>
      </c>
      <c r="N14946" t="s">
        <v>46569</v>
      </c>
      <c r="O14946" t="s">
        <v>46570</v>
      </c>
      <c r="P14946">
        <v>0</v>
      </c>
      <c r="Q14946">
        <v>1</v>
      </c>
      <c r="R14946" t="s">
        <v>46590</v>
      </c>
      <c r="S14946" t="s">
        <v>47546</v>
      </c>
      <c r="T14946" t="s">
        <v>48436</v>
      </c>
      <c r="U14946" t="s">
        <v>60777</v>
      </c>
      <c r="W14946" t="s">
        <v>46205</v>
      </c>
      <c r="X14946" t="s">
        <v>46591</v>
      </c>
    </row>
    <row r="14947" spans="1:24">
      <c r="A14947">
        <f>HYPERLINK("https://www.philgeps.gov.ph/GEPSNONPILOT/Tender/SplashBidNoticeAbstractUI.aspx?menuIndex=3&amp;refID=7030923&amp;Result=3","7030923")</f>
        <v>0</v>
      </c>
      <c r="B14947" t="s">
        <v>3432</v>
      </c>
      <c r="C14947" t="s">
        <v>17754</v>
      </c>
      <c r="D14947" t="s">
        <v>18799</v>
      </c>
      <c r="E14947" t="s">
        <v>31727</v>
      </c>
      <c r="F14947" t="s">
        <v>32664</v>
      </c>
      <c r="G14947" t="s">
        <v>32672</v>
      </c>
      <c r="H14947" t="s">
        <v>32683</v>
      </c>
      <c r="I14947" t="s">
        <v>10627</v>
      </c>
      <c r="J14947" t="s">
        <v>35044</v>
      </c>
      <c r="K14947" t="s">
        <v>42447</v>
      </c>
      <c r="M14947" t="s">
        <v>46416</v>
      </c>
      <c r="N14947" t="s">
        <v>46569</v>
      </c>
      <c r="O14947" t="s">
        <v>46570</v>
      </c>
      <c r="P14947">
        <v>0</v>
      </c>
      <c r="Q14947">
        <v>2</v>
      </c>
      <c r="R14947" t="s">
        <v>46590</v>
      </c>
      <c r="S14947" t="s">
        <v>47546</v>
      </c>
      <c r="T14947" t="s">
        <v>48283</v>
      </c>
      <c r="U14947" t="s">
        <v>60778</v>
      </c>
      <c r="W14947" t="s">
        <v>46416</v>
      </c>
      <c r="X14947" t="s">
        <v>46591</v>
      </c>
    </row>
    <row r="14948" spans="1:24">
      <c r="A14948">
        <f>HYPERLINK("https://www.philgeps.gov.ph/GEPSNONPILOT/Tender/SplashBidNoticeAbstractUI.aspx?menuIndex=3&amp;refID=7029316&amp;Result=3","7029316")</f>
        <v>0</v>
      </c>
      <c r="B14948" t="s">
        <v>801</v>
      </c>
      <c r="C14948" t="s">
        <v>17755</v>
      </c>
      <c r="D14948" t="s">
        <v>18802</v>
      </c>
      <c r="E14948" t="s">
        <v>19193</v>
      </c>
      <c r="F14948" t="s">
        <v>32664</v>
      </c>
      <c r="G14948" t="s">
        <v>32672</v>
      </c>
      <c r="H14948" t="s">
        <v>12635</v>
      </c>
      <c r="I14948" t="s">
        <v>32698</v>
      </c>
      <c r="J14948" t="s">
        <v>41673</v>
      </c>
      <c r="K14948" t="s">
        <v>42281</v>
      </c>
      <c r="M14948" t="s">
        <v>43393</v>
      </c>
      <c r="N14948" t="s">
        <v>46569</v>
      </c>
      <c r="O14948" t="s">
        <v>46570</v>
      </c>
      <c r="P14948">
        <v>0</v>
      </c>
      <c r="Q14948">
        <v>4</v>
      </c>
      <c r="R14948" t="s">
        <v>46591</v>
      </c>
      <c r="S14948" t="s">
        <v>47586</v>
      </c>
      <c r="T14948" t="s">
        <v>48436</v>
      </c>
      <c r="U14948" t="s">
        <v>60779</v>
      </c>
      <c r="W14948" t="s">
        <v>43393</v>
      </c>
      <c r="X14948" t="s">
        <v>46592</v>
      </c>
    </row>
    <row r="14949" spans="1:24">
      <c r="A14949">
        <f>HYPERLINK("https://www.philgeps.gov.ph/GEPSNONPILOT/Tender/SplashBidNoticeAbstractUI.aspx?menuIndex=3&amp;refID=7029406&amp;Result=3","7029406")</f>
        <v>0</v>
      </c>
      <c r="B14949" t="s">
        <v>678</v>
      </c>
      <c r="C14949" t="s">
        <v>17756</v>
      </c>
      <c r="E14949" t="s">
        <v>31728</v>
      </c>
      <c r="F14949" t="s">
        <v>32664</v>
      </c>
      <c r="G14949" t="s">
        <v>32672</v>
      </c>
      <c r="H14949" t="s">
        <v>32683</v>
      </c>
      <c r="I14949" t="s">
        <v>10627</v>
      </c>
      <c r="J14949" t="s">
        <v>32943</v>
      </c>
      <c r="K14949" t="s">
        <v>42283</v>
      </c>
      <c r="M14949" t="s">
        <v>43265</v>
      </c>
      <c r="N14949" t="s">
        <v>46569</v>
      </c>
      <c r="O14949" t="s">
        <v>46570</v>
      </c>
      <c r="P14949">
        <v>0</v>
      </c>
      <c r="Q14949">
        <v>0</v>
      </c>
      <c r="R14949" t="s">
        <v>46591</v>
      </c>
      <c r="S14949" t="s">
        <v>47586</v>
      </c>
      <c r="T14949" t="s">
        <v>48230</v>
      </c>
      <c r="U14949" t="s">
        <v>58958</v>
      </c>
      <c r="W14949" t="s">
        <v>43265</v>
      </c>
      <c r="X14949" t="s">
        <v>46592</v>
      </c>
    </row>
    <row r="14950" spans="1:24">
      <c r="A14950">
        <f>HYPERLINK("https://www.philgeps.gov.ph/GEPSNONPILOT/Tender/SplashBidNoticeAbstractUI.aspx?menuIndex=3&amp;refID=7029334&amp;Result=3","7029334")</f>
        <v>0</v>
      </c>
      <c r="B14950" t="s">
        <v>678</v>
      </c>
      <c r="C14950" t="s">
        <v>17757</v>
      </c>
      <c r="E14950" t="s">
        <v>31729</v>
      </c>
      <c r="F14950" t="s">
        <v>32664</v>
      </c>
      <c r="G14950" t="s">
        <v>32672</v>
      </c>
      <c r="H14950" t="s">
        <v>32683</v>
      </c>
      <c r="I14950" t="s">
        <v>10627</v>
      </c>
      <c r="J14950" t="s">
        <v>36320</v>
      </c>
      <c r="K14950" t="s">
        <v>42283</v>
      </c>
      <c r="M14950" t="s">
        <v>43265</v>
      </c>
      <c r="N14950" t="s">
        <v>46569</v>
      </c>
      <c r="O14950" t="s">
        <v>46570</v>
      </c>
      <c r="P14950">
        <v>0</v>
      </c>
      <c r="Q14950">
        <v>0</v>
      </c>
      <c r="R14950" t="s">
        <v>46591</v>
      </c>
      <c r="S14950" t="s">
        <v>47586</v>
      </c>
      <c r="T14950" t="s">
        <v>48230</v>
      </c>
      <c r="U14950" t="s">
        <v>58958</v>
      </c>
      <c r="W14950" t="s">
        <v>43265</v>
      </c>
      <c r="X14950" t="s">
        <v>46592</v>
      </c>
    </row>
    <row r="14951" spans="1:24">
      <c r="A14951">
        <f>HYPERLINK("https://www.philgeps.gov.ph/GEPSNONPILOT/Tender/SplashBidNoticeAbstractUI.aspx?menuIndex=3&amp;refID=7029556&amp;Result=3","7029556")</f>
        <v>0</v>
      </c>
      <c r="B14951" t="s">
        <v>611</v>
      </c>
      <c r="C14951" t="s">
        <v>17758</v>
      </c>
      <c r="E14951" t="s">
        <v>31730</v>
      </c>
      <c r="F14951" t="s">
        <v>32664</v>
      </c>
      <c r="G14951" t="s">
        <v>32672</v>
      </c>
      <c r="H14951" t="s">
        <v>12635</v>
      </c>
      <c r="I14951" t="s">
        <v>32704</v>
      </c>
      <c r="J14951" t="s">
        <v>41674</v>
      </c>
      <c r="K14951" t="s">
        <v>42298</v>
      </c>
      <c r="M14951" t="s">
        <v>45121</v>
      </c>
      <c r="N14951" t="s">
        <v>46569</v>
      </c>
      <c r="O14951" t="s">
        <v>46570</v>
      </c>
      <c r="Q14951">
        <v>24</v>
      </c>
      <c r="R14951" t="s">
        <v>46591</v>
      </c>
      <c r="S14951" t="s">
        <v>47640</v>
      </c>
      <c r="T14951" t="s">
        <v>48244</v>
      </c>
      <c r="U14951" t="s">
        <v>58638</v>
      </c>
      <c r="W14951" t="s">
        <v>45121</v>
      </c>
      <c r="X14951" t="s">
        <v>46592</v>
      </c>
    </row>
    <row r="14952" spans="1:24">
      <c r="A14952">
        <f>HYPERLINK("https://www.philgeps.gov.ph/GEPSNONPILOT/Tender/SplashBidNoticeAbstractUI.aspx?menuIndex=3&amp;refID=7029351&amp;Result=3","7029351")</f>
        <v>0</v>
      </c>
      <c r="B14952" t="s">
        <v>678</v>
      </c>
      <c r="C14952" t="s">
        <v>17759</v>
      </c>
      <c r="E14952" t="s">
        <v>31731</v>
      </c>
      <c r="F14952" t="s">
        <v>32664</v>
      </c>
      <c r="G14952" t="s">
        <v>32672</v>
      </c>
      <c r="H14952" t="s">
        <v>32683</v>
      </c>
      <c r="I14952" t="s">
        <v>10627</v>
      </c>
      <c r="J14952" t="s">
        <v>36320</v>
      </c>
      <c r="K14952" t="s">
        <v>42283</v>
      </c>
      <c r="M14952" t="s">
        <v>43265</v>
      </c>
      <c r="N14952" t="s">
        <v>46569</v>
      </c>
      <c r="O14952" t="s">
        <v>46570</v>
      </c>
      <c r="P14952">
        <v>0</v>
      </c>
      <c r="Q14952">
        <v>0</v>
      </c>
      <c r="R14952" t="s">
        <v>46591</v>
      </c>
      <c r="S14952" t="s">
        <v>47586</v>
      </c>
      <c r="T14952" t="s">
        <v>48230</v>
      </c>
      <c r="U14952" t="s">
        <v>58958</v>
      </c>
      <c r="W14952" t="s">
        <v>43265</v>
      </c>
      <c r="X14952" t="s">
        <v>46592</v>
      </c>
    </row>
    <row r="14953" spans="1:24">
      <c r="A14953">
        <f>HYPERLINK("https://www.philgeps.gov.ph/GEPSNONPILOT/Tender/SplashBidNoticeAbstractUI.aspx?menuIndex=3&amp;refID=7029529&amp;Result=3","7029529")</f>
        <v>0</v>
      </c>
      <c r="B14953" t="s">
        <v>2084</v>
      </c>
      <c r="C14953" t="s">
        <v>17760</v>
      </c>
      <c r="D14953" t="s">
        <v>18781</v>
      </c>
      <c r="E14953" t="s">
        <v>31732</v>
      </c>
      <c r="F14953" t="s">
        <v>32664</v>
      </c>
      <c r="G14953" t="s">
        <v>32672</v>
      </c>
      <c r="H14953" t="s">
        <v>12635</v>
      </c>
      <c r="I14953" t="s">
        <v>32749</v>
      </c>
      <c r="J14953" t="s">
        <v>41675</v>
      </c>
      <c r="K14953" t="s">
        <v>42334</v>
      </c>
      <c r="M14953" t="s">
        <v>44837</v>
      </c>
      <c r="N14953" t="s">
        <v>46569</v>
      </c>
      <c r="O14953" t="s">
        <v>46570</v>
      </c>
      <c r="Q14953">
        <v>1</v>
      </c>
      <c r="R14953" t="s">
        <v>46591</v>
      </c>
      <c r="S14953" t="s">
        <v>47641</v>
      </c>
      <c r="T14953" t="s">
        <v>48301</v>
      </c>
      <c r="U14953" t="s">
        <v>60780</v>
      </c>
      <c r="W14953" t="s">
        <v>44837</v>
      </c>
      <c r="X14953" t="s">
        <v>46592</v>
      </c>
    </row>
    <row r="14954" spans="1:24">
      <c r="A14954">
        <f>HYPERLINK("https://www.philgeps.gov.ph/GEPSNONPILOT/Tender/SplashBidNoticeAbstractUI.aspx?menuIndex=3&amp;refID=7029525&amp;Result=3","7029525")</f>
        <v>0</v>
      </c>
      <c r="B14954" t="s">
        <v>117</v>
      </c>
      <c r="C14954" t="s">
        <v>17761</v>
      </c>
      <c r="D14954" t="s">
        <v>18799</v>
      </c>
      <c r="E14954" t="s">
        <v>31733</v>
      </c>
      <c r="F14954" t="s">
        <v>32667</v>
      </c>
      <c r="G14954" t="s">
        <v>32674</v>
      </c>
      <c r="H14954" t="s">
        <v>32683</v>
      </c>
      <c r="I14954" t="s">
        <v>10627</v>
      </c>
      <c r="J14954" t="s">
        <v>39122</v>
      </c>
      <c r="K14954" t="s">
        <v>42478</v>
      </c>
      <c r="M14954" t="s">
        <v>46055</v>
      </c>
      <c r="N14954" t="s">
        <v>46569</v>
      </c>
      <c r="O14954" t="s">
        <v>46570</v>
      </c>
      <c r="Q14954">
        <v>1</v>
      </c>
      <c r="R14954" t="s">
        <v>46591</v>
      </c>
      <c r="S14954" t="s">
        <v>47642</v>
      </c>
      <c r="T14954" t="s">
        <v>48282</v>
      </c>
      <c r="U14954" t="s">
        <v>60781</v>
      </c>
      <c r="W14954" t="s">
        <v>46055</v>
      </c>
      <c r="X14954" t="s">
        <v>46592</v>
      </c>
    </row>
    <row r="14955" spans="1:24">
      <c r="A14955">
        <f>HYPERLINK("https://www.philgeps.gov.ph/GEPSNONPILOT/Tender/SplashBidNoticeAbstractUI.aspx?menuIndex=3&amp;refID=7031066&amp;Result=3","7031066")</f>
        <v>0</v>
      </c>
      <c r="B14955" t="s">
        <v>3433</v>
      </c>
      <c r="C14955" t="s">
        <v>17762</v>
      </c>
      <c r="D14955" t="s">
        <v>18804</v>
      </c>
      <c r="E14955" t="s">
        <v>19708</v>
      </c>
      <c r="F14955" t="s">
        <v>32664</v>
      </c>
      <c r="G14955" t="s">
        <v>32672</v>
      </c>
      <c r="H14955" t="s">
        <v>32683</v>
      </c>
      <c r="I14955" t="s">
        <v>10627</v>
      </c>
      <c r="J14955" t="s">
        <v>41676</v>
      </c>
      <c r="K14955" t="s">
        <v>42283</v>
      </c>
      <c r="M14955" t="s">
        <v>46417</v>
      </c>
      <c r="N14955" t="s">
        <v>46569</v>
      </c>
      <c r="O14955" t="s">
        <v>46570</v>
      </c>
      <c r="P14955">
        <v>0</v>
      </c>
      <c r="Q14955">
        <v>2</v>
      </c>
      <c r="R14955" t="s">
        <v>46590</v>
      </c>
      <c r="S14955" t="s">
        <v>47546</v>
      </c>
      <c r="T14955" t="s">
        <v>48244</v>
      </c>
      <c r="U14955" t="s">
        <v>60564</v>
      </c>
      <c r="W14955" t="s">
        <v>46417</v>
      </c>
      <c r="X14955" t="s">
        <v>46591</v>
      </c>
    </row>
    <row r="14956" spans="1:24">
      <c r="A14956">
        <f>HYPERLINK("https://www.philgeps.gov.ph/GEPSNONPILOT/Tender/SplashBidNoticeAbstractUI.aspx?menuIndex=3&amp;refID=7029513&amp;Result=3","7029513")</f>
        <v>0</v>
      </c>
      <c r="B14956" t="s">
        <v>2370</v>
      </c>
      <c r="C14956" t="s">
        <v>17763</v>
      </c>
      <c r="D14956" t="s">
        <v>18794</v>
      </c>
      <c r="E14956" t="s">
        <v>31734</v>
      </c>
      <c r="F14956" t="s">
        <v>32664</v>
      </c>
      <c r="G14956" t="s">
        <v>32672</v>
      </c>
      <c r="H14956" t="s">
        <v>32683</v>
      </c>
      <c r="I14956" t="s">
        <v>10627</v>
      </c>
      <c r="J14956" t="s">
        <v>41677</v>
      </c>
      <c r="K14956" t="s">
        <v>42311</v>
      </c>
      <c r="M14956" t="s">
        <v>45158</v>
      </c>
      <c r="N14956" t="s">
        <v>46569</v>
      </c>
      <c r="O14956" t="s">
        <v>46570</v>
      </c>
      <c r="Q14956">
        <v>0</v>
      </c>
      <c r="R14956" t="s">
        <v>46591</v>
      </c>
      <c r="S14956" t="s">
        <v>47643</v>
      </c>
      <c r="T14956" t="s">
        <v>48221</v>
      </c>
      <c r="U14956" t="s">
        <v>60782</v>
      </c>
      <c r="V14956" t="s">
        <v>63282</v>
      </c>
      <c r="W14956" t="s">
        <v>63559</v>
      </c>
      <c r="X14956" t="s">
        <v>46592</v>
      </c>
    </row>
    <row r="14957" spans="1:24">
      <c r="A14957">
        <f>HYPERLINK("https://www.philgeps.gov.ph/GEPSNONPILOT/Tender/SplashBidNoticeAbstractUI.aspx?menuIndex=3&amp;refID=7029487&amp;Result=3","7029487")</f>
        <v>0</v>
      </c>
      <c r="B14957" t="s">
        <v>2573</v>
      </c>
      <c r="C14957" t="s">
        <v>17764</v>
      </c>
      <c r="E14957" t="s">
        <v>31735</v>
      </c>
      <c r="F14957" t="s">
        <v>32664</v>
      </c>
      <c r="G14957" t="s">
        <v>32672</v>
      </c>
      <c r="H14957" t="s">
        <v>12635</v>
      </c>
      <c r="I14957" t="s">
        <v>32699</v>
      </c>
      <c r="J14957" t="s">
        <v>41678</v>
      </c>
      <c r="K14957" t="s">
        <v>42283</v>
      </c>
      <c r="M14957" t="s">
        <v>45385</v>
      </c>
      <c r="N14957" t="s">
        <v>46569</v>
      </c>
      <c r="O14957" t="s">
        <v>46570</v>
      </c>
      <c r="P14957">
        <v>0</v>
      </c>
      <c r="Q14957">
        <v>2</v>
      </c>
      <c r="R14957" t="s">
        <v>46591</v>
      </c>
      <c r="S14957" t="s">
        <v>47586</v>
      </c>
      <c r="T14957" t="s">
        <v>48228</v>
      </c>
      <c r="U14957" t="s">
        <v>60783</v>
      </c>
      <c r="W14957" t="s">
        <v>45385</v>
      </c>
      <c r="X14957" t="s">
        <v>46592</v>
      </c>
    </row>
    <row r="14958" spans="1:24">
      <c r="A14958">
        <f>HYPERLINK("https://www.philgeps.gov.ph/GEPSNONPILOT/Tender/SplashBidNoticeAbstractUI.aspx?menuIndex=3&amp;refID=7029315&amp;Result=3","7029315")</f>
        <v>0</v>
      </c>
      <c r="B14958" t="s">
        <v>678</v>
      </c>
      <c r="C14958" t="s">
        <v>17765</v>
      </c>
      <c r="E14958" t="s">
        <v>31736</v>
      </c>
      <c r="F14958" t="s">
        <v>32664</v>
      </c>
      <c r="G14958" t="s">
        <v>32672</v>
      </c>
      <c r="H14958" t="s">
        <v>32683</v>
      </c>
      <c r="I14958" t="s">
        <v>10627</v>
      </c>
      <c r="J14958" t="s">
        <v>34481</v>
      </c>
      <c r="K14958" t="s">
        <v>42283</v>
      </c>
      <c r="M14958" t="s">
        <v>43265</v>
      </c>
      <c r="N14958" t="s">
        <v>46569</v>
      </c>
      <c r="O14958" t="s">
        <v>46570</v>
      </c>
      <c r="P14958">
        <v>0</v>
      </c>
      <c r="Q14958">
        <v>0</v>
      </c>
      <c r="R14958" t="s">
        <v>46591</v>
      </c>
      <c r="S14958" t="s">
        <v>47586</v>
      </c>
      <c r="T14958" t="s">
        <v>48230</v>
      </c>
      <c r="U14958" t="s">
        <v>58958</v>
      </c>
      <c r="W14958" t="s">
        <v>43265</v>
      </c>
      <c r="X14958" t="s">
        <v>46592</v>
      </c>
    </row>
    <row r="14959" spans="1:24">
      <c r="A14959">
        <f>HYPERLINK("https://www.philgeps.gov.ph/GEPSNONPILOT/Tender/SplashBidNoticeAbstractUI.aspx?menuIndex=3&amp;refID=7029472&amp;Result=3","7029472")</f>
        <v>0</v>
      </c>
      <c r="B14959" t="s">
        <v>2573</v>
      </c>
      <c r="C14959" t="s">
        <v>17766</v>
      </c>
      <c r="E14959" t="s">
        <v>31737</v>
      </c>
      <c r="F14959" t="s">
        <v>32664</v>
      </c>
      <c r="G14959" t="s">
        <v>32672</v>
      </c>
      <c r="H14959" t="s">
        <v>12635</v>
      </c>
      <c r="I14959" t="s">
        <v>32699</v>
      </c>
      <c r="J14959" t="s">
        <v>36084</v>
      </c>
      <c r="K14959" t="s">
        <v>42283</v>
      </c>
      <c r="M14959" t="s">
        <v>45385</v>
      </c>
      <c r="N14959" t="s">
        <v>46569</v>
      </c>
      <c r="O14959" t="s">
        <v>46570</v>
      </c>
      <c r="Q14959">
        <v>2</v>
      </c>
      <c r="R14959" t="s">
        <v>46591</v>
      </c>
      <c r="S14959" t="s">
        <v>47644</v>
      </c>
      <c r="T14959" t="s">
        <v>48228</v>
      </c>
      <c r="U14959" t="s">
        <v>60784</v>
      </c>
      <c r="W14959" t="s">
        <v>45385</v>
      </c>
      <c r="X14959" t="s">
        <v>46592</v>
      </c>
    </row>
    <row r="14960" spans="1:24">
      <c r="A14960">
        <f>HYPERLINK("https://www.philgeps.gov.ph/GEPSNONPILOT/Tender/SplashBidNoticeAbstractUI.aspx?menuIndex=3&amp;refID=7029543&amp;Result=3","7029543")</f>
        <v>0</v>
      </c>
      <c r="B14960" t="s">
        <v>940</v>
      </c>
      <c r="C14960" t="s">
        <v>17767</v>
      </c>
      <c r="D14960" t="s">
        <v>18784</v>
      </c>
      <c r="E14960" t="s">
        <v>31738</v>
      </c>
      <c r="F14960" t="s">
        <v>32664</v>
      </c>
      <c r="G14960" t="s">
        <v>32672</v>
      </c>
      <c r="H14960" t="s">
        <v>12635</v>
      </c>
      <c r="I14960" t="s">
        <v>32769</v>
      </c>
      <c r="J14960" t="s">
        <v>41679</v>
      </c>
      <c r="K14960" t="s">
        <v>42348</v>
      </c>
      <c r="M14960" t="s">
        <v>46258</v>
      </c>
      <c r="N14960" t="s">
        <v>46569</v>
      </c>
      <c r="O14960" t="s">
        <v>46570</v>
      </c>
      <c r="Q14960">
        <v>6</v>
      </c>
      <c r="R14960" t="s">
        <v>46591</v>
      </c>
      <c r="S14960" t="s">
        <v>47645</v>
      </c>
      <c r="T14960" t="s">
        <v>48293</v>
      </c>
      <c r="U14960" t="s">
        <v>60785</v>
      </c>
      <c r="W14960" t="s">
        <v>46258</v>
      </c>
      <c r="X14960" t="s">
        <v>46592</v>
      </c>
    </row>
    <row r="14961" spans="1:24">
      <c r="A14961">
        <f>HYPERLINK("https://www.philgeps.gov.ph/GEPSNONPILOT/Tender/SplashBidNoticeAbstractUI.aspx?menuIndex=3&amp;refID=7029492&amp;Result=3","7029492")</f>
        <v>0</v>
      </c>
      <c r="B14961" t="s">
        <v>2573</v>
      </c>
      <c r="C14961" t="s">
        <v>17768</v>
      </c>
      <c r="E14961" t="s">
        <v>31739</v>
      </c>
      <c r="F14961" t="s">
        <v>32664</v>
      </c>
      <c r="G14961" t="s">
        <v>32672</v>
      </c>
      <c r="H14961" t="s">
        <v>12635</v>
      </c>
      <c r="I14961" t="s">
        <v>32704</v>
      </c>
      <c r="J14961" t="s">
        <v>41680</v>
      </c>
      <c r="K14961" t="s">
        <v>42283</v>
      </c>
      <c r="M14961" t="s">
        <v>45385</v>
      </c>
      <c r="N14961" t="s">
        <v>46569</v>
      </c>
      <c r="O14961" t="s">
        <v>46570</v>
      </c>
      <c r="P14961">
        <v>0</v>
      </c>
      <c r="Q14961">
        <v>8</v>
      </c>
      <c r="R14961" t="s">
        <v>46591</v>
      </c>
      <c r="S14961" t="s">
        <v>47586</v>
      </c>
      <c r="T14961" t="s">
        <v>48228</v>
      </c>
      <c r="U14961" t="s">
        <v>60786</v>
      </c>
      <c r="W14961" t="s">
        <v>45385</v>
      </c>
      <c r="X14961" t="s">
        <v>46592</v>
      </c>
    </row>
    <row r="14962" spans="1:24">
      <c r="A14962">
        <f>HYPERLINK("https://www.philgeps.gov.ph/GEPSNONPILOT/Tender/SplashBidNoticeAbstractUI.aspx?menuIndex=3&amp;refID=7030933&amp;Result=3","7030933")</f>
        <v>0</v>
      </c>
      <c r="B14962" t="s">
        <v>3397</v>
      </c>
      <c r="C14962" t="s">
        <v>17769</v>
      </c>
      <c r="D14962" t="s">
        <v>18797</v>
      </c>
      <c r="E14962" t="s">
        <v>31740</v>
      </c>
      <c r="F14962" t="s">
        <v>32664</v>
      </c>
      <c r="G14962" t="s">
        <v>32672</v>
      </c>
      <c r="H14962" t="s">
        <v>32683</v>
      </c>
      <c r="I14962" t="s">
        <v>10627</v>
      </c>
      <c r="J14962" t="s">
        <v>33946</v>
      </c>
      <c r="K14962" t="s">
        <v>42561</v>
      </c>
      <c r="L14962" t="s">
        <v>3397</v>
      </c>
      <c r="M14962" t="s">
        <v>46364</v>
      </c>
      <c r="N14962" t="s">
        <v>46569</v>
      </c>
      <c r="O14962" t="s">
        <v>46570</v>
      </c>
      <c r="P14962">
        <v>0</v>
      </c>
      <c r="Q14962">
        <v>25</v>
      </c>
      <c r="R14962" t="s">
        <v>46590</v>
      </c>
      <c r="S14962" t="s">
        <v>47546</v>
      </c>
      <c r="T14962" t="s">
        <v>48283</v>
      </c>
      <c r="U14962" t="s">
        <v>60787</v>
      </c>
      <c r="W14962" t="s">
        <v>46364</v>
      </c>
      <c r="X14962" t="s">
        <v>46591</v>
      </c>
    </row>
    <row r="14963" spans="1:24">
      <c r="A14963">
        <f>HYPERLINK("https://www.philgeps.gov.ph/GEPSNONPILOT/Tender/SplashBidNoticeAbstractUI.aspx?menuIndex=3&amp;refID=7030910&amp;Result=3","7030910")</f>
        <v>0</v>
      </c>
      <c r="B14963" t="s">
        <v>3460</v>
      </c>
      <c r="C14963" t="s">
        <v>17770</v>
      </c>
      <c r="D14963" t="s">
        <v>18851</v>
      </c>
      <c r="E14963" t="s">
        <v>27416</v>
      </c>
      <c r="F14963" t="s">
        <v>32664</v>
      </c>
      <c r="G14963" t="s">
        <v>32672</v>
      </c>
      <c r="H14963" t="s">
        <v>12635</v>
      </c>
      <c r="I14963" t="s">
        <v>5589</v>
      </c>
      <c r="J14963" t="s">
        <v>33228</v>
      </c>
      <c r="K14963" t="s">
        <v>42281</v>
      </c>
      <c r="M14963" t="s">
        <v>46451</v>
      </c>
      <c r="N14963" t="s">
        <v>46569</v>
      </c>
      <c r="O14963" t="s">
        <v>46570</v>
      </c>
      <c r="P14963">
        <v>0</v>
      </c>
      <c r="Q14963">
        <v>2</v>
      </c>
      <c r="R14963" t="s">
        <v>46590</v>
      </c>
      <c r="S14963" t="s">
        <v>47546</v>
      </c>
      <c r="T14963" t="s">
        <v>48590</v>
      </c>
      <c r="U14963" t="s">
        <v>60788</v>
      </c>
      <c r="W14963" t="s">
        <v>46451</v>
      </c>
      <c r="X14963" t="s">
        <v>46591</v>
      </c>
    </row>
    <row r="14964" spans="1:24">
      <c r="A14964">
        <f>HYPERLINK("https://www.philgeps.gov.ph/GEPSNONPILOT/Tender/SplashBidNoticeAbstractUI.aspx?menuIndex=3&amp;refID=7029480&amp;Result=3","7029480")</f>
        <v>0</v>
      </c>
      <c r="B14964" t="s">
        <v>3461</v>
      </c>
      <c r="C14964" t="s">
        <v>17771</v>
      </c>
      <c r="D14964" t="s">
        <v>18845</v>
      </c>
      <c r="E14964" t="s">
        <v>31741</v>
      </c>
      <c r="F14964" t="s">
        <v>32664</v>
      </c>
      <c r="G14964" t="s">
        <v>32672</v>
      </c>
      <c r="H14964" t="s">
        <v>32683</v>
      </c>
      <c r="I14964" t="s">
        <v>10627</v>
      </c>
      <c r="J14964" t="s">
        <v>41681</v>
      </c>
      <c r="K14964" t="s">
        <v>42298</v>
      </c>
      <c r="M14964" t="s">
        <v>46452</v>
      </c>
      <c r="N14964" t="s">
        <v>46569</v>
      </c>
      <c r="O14964" t="s">
        <v>46570</v>
      </c>
      <c r="P14964">
        <v>0</v>
      </c>
      <c r="Q14964">
        <v>2</v>
      </c>
      <c r="R14964" t="s">
        <v>46591</v>
      </c>
      <c r="S14964" t="s">
        <v>47586</v>
      </c>
      <c r="T14964" t="s">
        <v>48250</v>
      </c>
      <c r="U14964" t="s">
        <v>60789</v>
      </c>
      <c r="V14964" t="s">
        <v>63283</v>
      </c>
      <c r="W14964" t="s">
        <v>63598</v>
      </c>
      <c r="X14964" t="s">
        <v>46592</v>
      </c>
    </row>
    <row r="14965" spans="1:24">
      <c r="A14965">
        <f>HYPERLINK("https://www.philgeps.gov.ph/GEPSNONPILOT/Tender/SplashBidNoticeAbstractUI.aspx?menuIndex=3&amp;refID=7029429&amp;Result=3","7029429")</f>
        <v>0</v>
      </c>
      <c r="B14965" t="s">
        <v>678</v>
      </c>
      <c r="C14965" t="s">
        <v>8290</v>
      </c>
      <c r="E14965" t="s">
        <v>31742</v>
      </c>
      <c r="F14965" t="s">
        <v>32664</v>
      </c>
      <c r="G14965" t="s">
        <v>32672</v>
      </c>
      <c r="H14965" t="s">
        <v>32683</v>
      </c>
      <c r="I14965" t="s">
        <v>10627</v>
      </c>
      <c r="J14965" t="s">
        <v>32837</v>
      </c>
      <c r="K14965" t="s">
        <v>42283</v>
      </c>
      <c r="M14965" t="s">
        <v>43265</v>
      </c>
      <c r="N14965" t="s">
        <v>46569</v>
      </c>
      <c r="O14965" t="s">
        <v>46570</v>
      </c>
      <c r="P14965">
        <v>0</v>
      </c>
      <c r="Q14965">
        <v>0</v>
      </c>
      <c r="R14965" t="s">
        <v>46591</v>
      </c>
      <c r="S14965" t="s">
        <v>47586</v>
      </c>
      <c r="T14965" t="s">
        <v>48230</v>
      </c>
      <c r="U14965" t="s">
        <v>58958</v>
      </c>
      <c r="W14965" t="s">
        <v>43265</v>
      </c>
      <c r="X14965" t="s">
        <v>46592</v>
      </c>
    </row>
    <row r="14966" spans="1:24">
      <c r="A14966">
        <f>HYPERLINK("https://www.philgeps.gov.ph/GEPSNONPILOT/Tender/SplashBidNoticeAbstractUI.aspx?menuIndex=3&amp;refID=7029416&amp;Result=3","7029416")</f>
        <v>0</v>
      </c>
      <c r="B14966" t="s">
        <v>678</v>
      </c>
      <c r="C14966" t="s">
        <v>17772</v>
      </c>
      <c r="E14966" t="s">
        <v>31743</v>
      </c>
      <c r="F14966" t="s">
        <v>32664</v>
      </c>
      <c r="G14966" t="s">
        <v>32672</v>
      </c>
      <c r="H14966" t="s">
        <v>32683</v>
      </c>
      <c r="I14966" t="s">
        <v>10627</v>
      </c>
      <c r="J14966" t="s">
        <v>34148</v>
      </c>
      <c r="K14966" t="s">
        <v>42283</v>
      </c>
      <c r="M14966" t="s">
        <v>43265</v>
      </c>
      <c r="N14966" t="s">
        <v>46569</v>
      </c>
      <c r="O14966" t="s">
        <v>46570</v>
      </c>
      <c r="P14966">
        <v>0</v>
      </c>
      <c r="Q14966">
        <v>0</v>
      </c>
      <c r="R14966" t="s">
        <v>46591</v>
      </c>
      <c r="S14966" t="s">
        <v>47586</v>
      </c>
      <c r="T14966" t="s">
        <v>48211</v>
      </c>
      <c r="U14966" t="s">
        <v>58958</v>
      </c>
      <c r="W14966" t="s">
        <v>43265</v>
      </c>
      <c r="X14966" t="s">
        <v>46592</v>
      </c>
    </row>
    <row r="14967" spans="1:24">
      <c r="A14967">
        <f>HYPERLINK("https://www.philgeps.gov.ph/GEPSNONPILOT/Tender/SplashBidNoticeAbstractUI.aspx?menuIndex=3&amp;refID=7029411&amp;Result=3","7029411")</f>
        <v>0</v>
      </c>
      <c r="B14967" t="s">
        <v>611</v>
      </c>
      <c r="C14967" t="s">
        <v>17773</v>
      </c>
      <c r="E14967" t="s">
        <v>31744</v>
      </c>
      <c r="F14967" t="s">
        <v>32664</v>
      </c>
      <c r="G14967" t="s">
        <v>32672</v>
      </c>
      <c r="H14967" t="s">
        <v>12635</v>
      </c>
      <c r="I14967" t="s">
        <v>32704</v>
      </c>
      <c r="J14967" t="s">
        <v>41682</v>
      </c>
      <c r="K14967" t="s">
        <v>42298</v>
      </c>
      <c r="M14967" t="s">
        <v>45121</v>
      </c>
      <c r="N14967" t="s">
        <v>46569</v>
      </c>
      <c r="O14967" t="s">
        <v>46570</v>
      </c>
      <c r="Q14967">
        <v>21</v>
      </c>
      <c r="R14967" t="s">
        <v>46591</v>
      </c>
      <c r="S14967" t="s">
        <v>47616</v>
      </c>
      <c r="T14967" t="s">
        <v>48282</v>
      </c>
      <c r="U14967" t="s">
        <v>58638</v>
      </c>
      <c r="W14967" t="s">
        <v>45121</v>
      </c>
      <c r="X14967" t="s">
        <v>46592</v>
      </c>
    </row>
    <row r="14968" spans="1:24">
      <c r="A14968">
        <f>HYPERLINK("https://www.philgeps.gov.ph/GEPSNONPILOT/Tender/SplashBidNoticeAbstractUI.aspx?menuIndex=3&amp;refID=7029399&amp;Result=3","7029399")</f>
        <v>0</v>
      </c>
      <c r="B14968" t="s">
        <v>678</v>
      </c>
      <c r="C14968" t="s">
        <v>17774</v>
      </c>
      <c r="E14968" t="s">
        <v>31745</v>
      </c>
      <c r="F14968" t="s">
        <v>32664</v>
      </c>
      <c r="G14968" t="s">
        <v>32672</v>
      </c>
      <c r="H14968" t="s">
        <v>32683</v>
      </c>
      <c r="I14968" t="s">
        <v>10627</v>
      </c>
      <c r="J14968" t="s">
        <v>32981</v>
      </c>
      <c r="K14968" t="s">
        <v>42283</v>
      </c>
      <c r="M14968" t="s">
        <v>43265</v>
      </c>
      <c r="N14968" t="s">
        <v>46569</v>
      </c>
      <c r="O14968" t="s">
        <v>46570</v>
      </c>
      <c r="P14968">
        <v>0</v>
      </c>
      <c r="Q14968">
        <v>0</v>
      </c>
      <c r="R14968" t="s">
        <v>46591</v>
      </c>
      <c r="S14968" t="s">
        <v>47586</v>
      </c>
      <c r="T14968" t="s">
        <v>48230</v>
      </c>
      <c r="U14968" t="s">
        <v>58958</v>
      </c>
      <c r="W14968" t="s">
        <v>43265</v>
      </c>
      <c r="X14968" t="s">
        <v>46592</v>
      </c>
    </row>
    <row r="14969" spans="1:24">
      <c r="A14969">
        <f>HYPERLINK("https://www.philgeps.gov.ph/GEPSNONPILOT/Tender/SplashBidNoticeAbstractUI.aspx?menuIndex=3&amp;refID=7029440&amp;Result=3","7029440")</f>
        <v>0</v>
      </c>
      <c r="B14969" t="s">
        <v>678</v>
      </c>
      <c r="C14969" t="s">
        <v>17775</v>
      </c>
      <c r="E14969" t="s">
        <v>31746</v>
      </c>
      <c r="F14969" t="s">
        <v>32664</v>
      </c>
      <c r="G14969" t="s">
        <v>32672</v>
      </c>
      <c r="H14969" t="s">
        <v>32683</v>
      </c>
      <c r="I14969" t="s">
        <v>10627</v>
      </c>
      <c r="J14969" t="s">
        <v>41683</v>
      </c>
      <c r="K14969" t="s">
        <v>42283</v>
      </c>
      <c r="M14969" t="s">
        <v>43265</v>
      </c>
      <c r="N14969" t="s">
        <v>46569</v>
      </c>
      <c r="O14969" t="s">
        <v>46570</v>
      </c>
      <c r="P14969">
        <v>0</v>
      </c>
      <c r="Q14969">
        <v>0</v>
      </c>
      <c r="R14969" t="s">
        <v>46591</v>
      </c>
      <c r="S14969" t="s">
        <v>47586</v>
      </c>
      <c r="T14969" t="s">
        <v>48230</v>
      </c>
      <c r="U14969" t="s">
        <v>58958</v>
      </c>
      <c r="W14969" t="s">
        <v>43265</v>
      </c>
      <c r="X14969" t="s">
        <v>46592</v>
      </c>
    </row>
    <row r="14970" spans="1:24">
      <c r="A14970">
        <f>HYPERLINK("https://www.philgeps.gov.ph/GEPSNONPILOT/Tender/SplashBidNoticeAbstractUI.aspx?menuIndex=3&amp;refID=7030872&amp;Result=3","7030872")</f>
        <v>0</v>
      </c>
      <c r="B14970" t="s">
        <v>3460</v>
      </c>
      <c r="C14970" t="s">
        <v>17776</v>
      </c>
      <c r="D14970" t="s">
        <v>18851</v>
      </c>
      <c r="E14970" t="s">
        <v>28685</v>
      </c>
      <c r="F14970" t="s">
        <v>32664</v>
      </c>
      <c r="G14970" t="s">
        <v>32672</v>
      </c>
      <c r="H14970" t="s">
        <v>12635</v>
      </c>
      <c r="I14970" t="s">
        <v>5589</v>
      </c>
      <c r="J14970" t="s">
        <v>33078</v>
      </c>
      <c r="K14970" t="s">
        <v>42281</v>
      </c>
      <c r="M14970" t="s">
        <v>46451</v>
      </c>
      <c r="N14970" t="s">
        <v>46569</v>
      </c>
      <c r="O14970" t="s">
        <v>46570</v>
      </c>
      <c r="P14970">
        <v>0</v>
      </c>
      <c r="Q14970">
        <v>3</v>
      </c>
      <c r="R14970" t="s">
        <v>46590</v>
      </c>
      <c r="S14970" t="s">
        <v>47546</v>
      </c>
      <c r="T14970" t="s">
        <v>48590</v>
      </c>
      <c r="U14970" t="s">
        <v>60790</v>
      </c>
      <c r="W14970" t="s">
        <v>46451</v>
      </c>
      <c r="X14970" t="s">
        <v>46591</v>
      </c>
    </row>
    <row r="14971" spans="1:24">
      <c r="A14971">
        <f>HYPERLINK("https://www.philgeps.gov.ph/GEPSNONPILOT/Tender/SplashBidNoticeAbstractUI.aspx?menuIndex=3&amp;refID=7030842&amp;Result=3","7030842")</f>
        <v>0</v>
      </c>
      <c r="B14971" t="s">
        <v>3432</v>
      </c>
      <c r="C14971" t="s">
        <v>17777</v>
      </c>
      <c r="D14971" t="s">
        <v>18799</v>
      </c>
      <c r="E14971" t="s">
        <v>31747</v>
      </c>
      <c r="F14971" t="s">
        <v>32664</v>
      </c>
      <c r="G14971" t="s">
        <v>32672</v>
      </c>
      <c r="H14971" t="s">
        <v>32683</v>
      </c>
      <c r="I14971" t="s">
        <v>10627</v>
      </c>
      <c r="J14971" t="s">
        <v>34033</v>
      </c>
      <c r="K14971" t="s">
        <v>42562</v>
      </c>
      <c r="M14971" t="s">
        <v>46416</v>
      </c>
      <c r="N14971" t="s">
        <v>46569</v>
      </c>
      <c r="O14971" t="s">
        <v>46570</v>
      </c>
      <c r="P14971">
        <v>0</v>
      </c>
      <c r="Q14971">
        <v>1</v>
      </c>
      <c r="R14971" t="s">
        <v>46590</v>
      </c>
      <c r="S14971" t="s">
        <v>47546</v>
      </c>
      <c r="T14971" t="s">
        <v>48283</v>
      </c>
      <c r="U14971" t="s">
        <v>60791</v>
      </c>
      <c r="W14971" t="s">
        <v>46416</v>
      </c>
      <c r="X14971" t="s">
        <v>46591</v>
      </c>
    </row>
    <row r="14972" spans="1:24">
      <c r="A14972">
        <f>HYPERLINK("https://www.philgeps.gov.ph/GEPSNONPILOT/Tender/SplashBidNoticeAbstractUI.aspx?menuIndex=3&amp;refID=7029410&amp;Result=3","7029410")</f>
        <v>0</v>
      </c>
      <c r="B14972" t="s">
        <v>718</v>
      </c>
      <c r="C14972" t="s">
        <v>17778</v>
      </c>
      <c r="D14972" t="s">
        <v>18802</v>
      </c>
      <c r="E14972" t="s">
        <v>31748</v>
      </c>
      <c r="F14972" t="s">
        <v>32664</v>
      </c>
      <c r="G14972" t="s">
        <v>32672</v>
      </c>
      <c r="H14972" t="s">
        <v>32683</v>
      </c>
      <c r="I14972" t="s">
        <v>10627</v>
      </c>
      <c r="J14972" t="s">
        <v>41684</v>
      </c>
      <c r="K14972" t="s">
        <v>42349</v>
      </c>
      <c r="M14972" t="s">
        <v>46449</v>
      </c>
      <c r="N14972" t="s">
        <v>46569</v>
      </c>
      <c r="O14972" t="s">
        <v>46570</v>
      </c>
      <c r="Q14972">
        <v>2</v>
      </c>
      <c r="R14972" t="s">
        <v>46591</v>
      </c>
      <c r="S14972" t="s">
        <v>47646</v>
      </c>
      <c r="T14972" t="s">
        <v>48221</v>
      </c>
      <c r="U14972" t="s">
        <v>60792</v>
      </c>
      <c r="W14972" t="s">
        <v>46449</v>
      </c>
      <c r="X14972" t="s">
        <v>46592</v>
      </c>
    </row>
    <row r="14973" spans="1:24">
      <c r="A14973">
        <f>HYPERLINK("https://www.philgeps.gov.ph/GEPSNONPILOT/Tender/SplashBidNoticeAbstractUI.aspx?menuIndex=3&amp;refID=7029443&amp;Result=3","7029443")</f>
        <v>0</v>
      </c>
      <c r="B14973" t="s">
        <v>1314</v>
      </c>
      <c r="C14973" t="s">
        <v>17779</v>
      </c>
      <c r="D14973" t="s">
        <v>18798</v>
      </c>
      <c r="E14973" t="s">
        <v>31749</v>
      </c>
      <c r="F14973" t="s">
        <v>32664</v>
      </c>
      <c r="G14973" t="s">
        <v>32672</v>
      </c>
      <c r="H14973" t="s">
        <v>32682</v>
      </c>
      <c r="I14973" t="s">
        <v>10374</v>
      </c>
      <c r="J14973" t="s">
        <v>41685</v>
      </c>
      <c r="K14973" t="s">
        <v>42290</v>
      </c>
      <c r="M14973" t="s">
        <v>46293</v>
      </c>
      <c r="N14973" t="s">
        <v>46569</v>
      </c>
      <c r="O14973" t="s">
        <v>46570</v>
      </c>
      <c r="Q14973">
        <v>9</v>
      </c>
      <c r="R14973" t="s">
        <v>46591</v>
      </c>
      <c r="S14973" t="s">
        <v>47647</v>
      </c>
      <c r="T14973" t="s">
        <v>48228</v>
      </c>
      <c r="U14973" t="s">
        <v>51587</v>
      </c>
      <c r="V14973" t="s">
        <v>62156</v>
      </c>
      <c r="W14973" t="s">
        <v>46293</v>
      </c>
      <c r="X14973" t="s">
        <v>46592</v>
      </c>
    </row>
    <row r="14974" spans="1:24">
      <c r="A14974">
        <f>HYPERLINK("https://www.philgeps.gov.ph/GEPSNONPILOT/Tender/SplashBidNoticeAbstractUI.aspx?menuIndex=3&amp;refID=7030889&amp;Result=3","7030889")</f>
        <v>0</v>
      </c>
      <c r="B14974" t="s">
        <v>1455</v>
      </c>
      <c r="C14974" t="s">
        <v>17780</v>
      </c>
      <c r="D14974" t="s">
        <v>18792</v>
      </c>
      <c r="E14974" t="s">
        <v>19247</v>
      </c>
      <c r="F14974" t="s">
        <v>32664</v>
      </c>
      <c r="G14974" t="s">
        <v>32671</v>
      </c>
      <c r="H14974" t="s">
        <v>12635</v>
      </c>
      <c r="I14974" t="s">
        <v>10374</v>
      </c>
      <c r="J14974" t="s">
        <v>41686</v>
      </c>
      <c r="K14974" t="s">
        <v>42281</v>
      </c>
      <c r="M14974" t="s">
        <v>44116</v>
      </c>
      <c r="N14974" t="s">
        <v>46569</v>
      </c>
      <c r="O14974" t="s">
        <v>46570</v>
      </c>
      <c r="P14974">
        <v>0</v>
      </c>
      <c r="Q14974">
        <v>0</v>
      </c>
      <c r="R14974" t="s">
        <v>46590</v>
      </c>
      <c r="S14974" t="s">
        <v>47546</v>
      </c>
      <c r="T14974" t="s">
        <v>48376</v>
      </c>
      <c r="U14974" t="s">
        <v>60793</v>
      </c>
      <c r="W14974" t="s">
        <v>44116</v>
      </c>
      <c r="X14974" t="s">
        <v>46591</v>
      </c>
    </row>
    <row r="14975" spans="1:24">
      <c r="A14975">
        <f>HYPERLINK("https://www.philgeps.gov.ph/GEPSNONPILOT/Tender/SplashBidNoticeAbstractUI.aspx?menuIndex=3&amp;refID=7030552&amp;Result=3","7030552")</f>
        <v>0</v>
      </c>
      <c r="B14975" t="s">
        <v>3432</v>
      </c>
      <c r="C14975" t="s">
        <v>17781</v>
      </c>
      <c r="D14975" t="s">
        <v>18799</v>
      </c>
      <c r="E14975" t="s">
        <v>31750</v>
      </c>
      <c r="F14975" t="s">
        <v>32664</v>
      </c>
      <c r="G14975" t="s">
        <v>32672</v>
      </c>
      <c r="H14975" t="s">
        <v>32683</v>
      </c>
      <c r="I14975" t="s">
        <v>10627</v>
      </c>
      <c r="J14975" t="s">
        <v>39979</v>
      </c>
      <c r="K14975" t="s">
        <v>42285</v>
      </c>
      <c r="M14975" t="s">
        <v>46416</v>
      </c>
      <c r="N14975" t="s">
        <v>46569</v>
      </c>
      <c r="O14975" t="s">
        <v>46570</v>
      </c>
      <c r="P14975">
        <v>0</v>
      </c>
      <c r="Q14975">
        <v>2</v>
      </c>
      <c r="R14975" t="s">
        <v>46590</v>
      </c>
      <c r="S14975" t="s">
        <v>47546</v>
      </c>
      <c r="T14975" t="s">
        <v>48283</v>
      </c>
      <c r="U14975" t="s">
        <v>60794</v>
      </c>
      <c r="W14975" t="s">
        <v>46416</v>
      </c>
      <c r="X14975" t="s">
        <v>46591</v>
      </c>
    </row>
    <row r="14976" spans="1:24">
      <c r="A14976">
        <f>HYPERLINK("https://www.philgeps.gov.ph/GEPSNONPILOT/Tender/SplashBidNoticeAbstractUI.aspx?menuIndex=3&amp;refID=7029458&amp;Result=3","7029458")</f>
        <v>0</v>
      </c>
      <c r="B14976" t="s">
        <v>1314</v>
      </c>
      <c r="C14976" t="s">
        <v>17782</v>
      </c>
      <c r="D14976" t="s">
        <v>18798</v>
      </c>
      <c r="E14976" t="s">
        <v>31749</v>
      </c>
      <c r="F14976" t="s">
        <v>32664</v>
      </c>
      <c r="G14976" t="s">
        <v>32672</v>
      </c>
      <c r="H14976" t="s">
        <v>32682</v>
      </c>
      <c r="I14976" t="s">
        <v>10374</v>
      </c>
      <c r="J14976" t="s">
        <v>33097</v>
      </c>
      <c r="K14976" t="s">
        <v>42290</v>
      </c>
      <c r="M14976" t="s">
        <v>46293</v>
      </c>
      <c r="N14976" t="s">
        <v>46569</v>
      </c>
      <c r="O14976" t="s">
        <v>46570</v>
      </c>
      <c r="Q14976">
        <v>8</v>
      </c>
      <c r="R14976" t="s">
        <v>46591</v>
      </c>
      <c r="S14976" t="s">
        <v>47648</v>
      </c>
      <c r="T14976" t="s">
        <v>48228</v>
      </c>
      <c r="U14976" t="s">
        <v>51587</v>
      </c>
      <c r="V14976" t="s">
        <v>62728</v>
      </c>
      <c r="W14976" t="s">
        <v>46293</v>
      </c>
      <c r="X14976" t="s">
        <v>46592</v>
      </c>
    </row>
    <row r="14977" spans="1:24">
      <c r="A14977">
        <f>HYPERLINK("https://www.philgeps.gov.ph/GEPSNONPILOT/Tender/SplashBidNoticeAbstractUI.aspx?menuIndex=3&amp;refID=7029687&amp;Result=3","7029687")</f>
        <v>0</v>
      </c>
      <c r="B14977" t="s">
        <v>611</v>
      </c>
      <c r="C14977" t="s">
        <v>17783</v>
      </c>
      <c r="E14977" t="s">
        <v>31751</v>
      </c>
      <c r="F14977" t="s">
        <v>32664</v>
      </c>
      <c r="G14977" t="s">
        <v>32672</v>
      </c>
      <c r="H14977" t="s">
        <v>12635</v>
      </c>
      <c r="I14977" t="s">
        <v>32727</v>
      </c>
      <c r="J14977" t="s">
        <v>36709</v>
      </c>
      <c r="K14977" t="s">
        <v>42298</v>
      </c>
      <c r="M14977" t="s">
        <v>45121</v>
      </c>
      <c r="N14977" t="s">
        <v>46569</v>
      </c>
      <c r="O14977" t="s">
        <v>46570</v>
      </c>
      <c r="Q14977">
        <v>9</v>
      </c>
      <c r="R14977" t="s">
        <v>46591</v>
      </c>
      <c r="S14977" t="s">
        <v>47649</v>
      </c>
      <c r="T14977" t="s">
        <v>48285</v>
      </c>
      <c r="U14977" t="s">
        <v>60795</v>
      </c>
      <c r="W14977" t="s">
        <v>45121</v>
      </c>
      <c r="X14977" t="s">
        <v>46592</v>
      </c>
    </row>
    <row r="14978" spans="1:24">
      <c r="A14978">
        <f>HYPERLINK("https://www.philgeps.gov.ph/GEPSNONPILOT/Tender/SplashBidNoticeAbstractUI.aspx?menuIndex=3&amp;refID=7030890&amp;Result=3","7030890")</f>
        <v>0</v>
      </c>
      <c r="B14978" t="s">
        <v>3432</v>
      </c>
      <c r="C14978" t="s">
        <v>17784</v>
      </c>
      <c r="D14978" t="s">
        <v>18799</v>
      </c>
      <c r="E14978" t="s">
        <v>31752</v>
      </c>
      <c r="F14978" t="s">
        <v>32664</v>
      </c>
      <c r="G14978" t="s">
        <v>32672</v>
      </c>
      <c r="H14978" t="s">
        <v>32683</v>
      </c>
      <c r="I14978" t="s">
        <v>10627</v>
      </c>
      <c r="J14978" t="s">
        <v>34033</v>
      </c>
      <c r="K14978" t="s">
        <v>42563</v>
      </c>
      <c r="M14978" t="s">
        <v>46416</v>
      </c>
      <c r="N14978" t="s">
        <v>46569</v>
      </c>
      <c r="O14978" t="s">
        <v>46570</v>
      </c>
      <c r="P14978">
        <v>0</v>
      </c>
      <c r="Q14978">
        <v>0</v>
      </c>
      <c r="R14978" t="s">
        <v>46590</v>
      </c>
      <c r="S14978" t="s">
        <v>47546</v>
      </c>
      <c r="T14978" t="s">
        <v>48283</v>
      </c>
      <c r="U14978" t="s">
        <v>60796</v>
      </c>
      <c r="W14978" t="s">
        <v>46416</v>
      </c>
      <c r="X14978" t="s">
        <v>46591</v>
      </c>
    </row>
    <row r="14979" spans="1:24">
      <c r="A14979">
        <f>HYPERLINK("https://www.philgeps.gov.ph/GEPSNONPILOT/Tender/SplashBidNoticeAbstractUI.aspx?menuIndex=3&amp;refID=7029682&amp;Result=3","7029682")</f>
        <v>0</v>
      </c>
      <c r="B14979" t="s">
        <v>2093</v>
      </c>
      <c r="C14979" t="s">
        <v>17785</v>
      </c>
      <c r="D14979" t="s">
        <v>18821</v>
      </c>
      <c r="E14979" t="s">
        <v>31753</v>
      </c>
      <c r="F14979" t="s">
        <v>32664</v>
      </c>
      <c r="G14979" t="s">
        <v>32672</v>
      </c>
      <c r="H14979" t="s">
        <v>32683</v>
      </c>
      <c r="I14979" t="s">
        <v>10627</v>
      </c>
      <c r="J14979" t="s">
        <v>41687</v>
      </c>
      <c r="K14979" t="s">
        <v>42285</v>
      </c>
      <c r="M14979" t="s">
        <v>44848</v>
      </c>
      <c r="N14979" t="s">
        <v>46569</v>
      </c>
      <c r="O14979" t="s">
        <v>46570</v>
      </c>
      <c r="P14979">
        <v>0</v>
      </c>
      <c r="Q14979">
        <v>7</v>
      </c>
      <c r="R14979" t="s">
        <v>46591</v>
      </c>
      <c r="S14979" t="s">
        <v>47586</v>
      </c>
      <c r="T14979" t="s">
        <v>48244</v>
      </c>
      <c r="U14979" t="s">
        <v>60797</v>
      </c>
      <c r="W14979" t="s">
        <v>44848</v>
      </c>
      <c r="X14979" t="s">
        <v>46592</v>
      </c>
    </row>
    <row r="14980" spans="1:24">
      <c r="A14980">
        <f>HYPERLINK("https://www.philgeps.gov.ph/GEPSNONPILOT/Tender/SplashBidNoticeAbstractUI.aspx?menuIndex=3&amp;refID=7029644&amp;Result=3","7029644")</f>
        <v>0</v>
      </c>
      <c r="B14980" t="s">
        <v>851</v>
      </c>
      <c r="C14980" t="s">
        <v>17786</v>
      </c>
      <c r="D14980" t="s">
        <v>18829</v>
      </c>
      <c r="E14980" t="s">
        <v>31754</v>
      </c>
      <c r="F14980" t="s">
        <v>32664</v>
      </c>
      <c r="G14980" t="s">
        <v>32672</v>
      </c>
      <c r="H14980" t="s">
        <v>32683</v>
      </c>
      <c r="I14980" t="s">
        <v>10627</v>
      </c>
      <c r="J14980" t="s">
        <v>41688</v>
      </c>
      <c r="K14980" t="s">
        <v>42397</v>
      </c>
      <c r="M14980" t="s">
        <v>46453</v>
      </c>
      <c r="N14980" t="s">
        <v>46569</v>
      </c>
      <c r="O14980" t="s">
        <v>46570</v>
      </c>
      <c r="P14980">
        <v>0</v>
      </c>
      <c r="Q14980">
        <v>10</v>
      </c>
      <c r="R14980" t="s">
        <v>46591</v>
      </c>
      <c r="S14980" t="s">
        <v>47586</v>
      </c>
      <c r="T14980" t="s">
        <v>48221</v>
      </c>
      <c r="U14980" t="s">
        <v>60798</v>
      </c>
      <c r="V14980" t="s">
        <v>63284</v>
      </c>
      <c r="W14980" t="s">
        <v>46453</v>
      </c>
      <c r="X14980" t="s">
        <v>46592</v>
      </c>
    </row>
    <row r="14981" spans="1:24">
      <c r="A14981">
        <f>HYPERLINK("https://www.philgeps.gov.ph/GEPSNONPILOT/Tender/SplashBidNoticeAbstractUI.aspx?menuIndex=3&amp;refID=7029468&amp;Result=3","7029468")</f>
        <v>0</v>
      </c>
      <c r="B14981" t="s">
        <v>3461</v>
      </c>
      <c r="C14981" t="s">
        <v>17787</v>
      </c>
      <c r="D14981" t="s">
        <v>18845</v>
      </c>
      <c r="E14981" t="s">
        <v>31755</v>
      </c>
      <c r="F14981" t="s">
        <v>32664</v>
      </c>
      <c r="G14981" t="s">
        <v>32672</v>
      </c>
      <c r="H14981" t="s">
        <v>32683</v>
      </c>
      <c r="I14981" t="s">
        <v>10627</v>
      </c>
      <c r="J14981" t="s">
        <v>36168</v>
      </c>
      <c r="K14981" t="s">
        <v>42311</v>
      </c>
      <c r="M14981" t="s">
        <v>46452</v>
      </c>
      <c r="N14981" t="s">
        <v>46569</v>
      </c>
      <c r="O14981" t="s">
        <v>46570</v>
      </c>
      <c r="P14981">
        <v>0</v>
      </c>
      <c r="Q14981">
        <v>3</v>
      </c>
      <c r="R14981" t="s">
        <v>46591</v>
      </c>
      <c r="S14981" t="s">
        <v>47586</v>
      </c>
      <c r="T14981" t="s">
        <v>48250</v>
      </c>
      <c r="U14981" t="s">
        <v>60799</v>
      </c>
      <c r="V14981" t="s">
        <v>63285</v>
      </c>
      <c r="W14981" t="s">
        <v>63598</v>
      </c>
      <c r="X14981" t="s">
        <v>46592</v>
      </c>
    </row>
    <row r="14982" spans="1:24">
      <c r="A14982">
        <f>HYPERLINK("https://www.philgeps.gov.ph/GEPSNONPILOT/Tender/SplashBidNoticeAbstractUI.aspx?menuIndex=3&amp;refID=7029637&amp;Result=3","7029637")</f>
        <v>0</v>
      </c>
      <c r="B14982" t="s">
        <v>851</v>
      </c>
      <c r="C14982" t="s">
        <v>17788</v>
      </c>
      <c r="D14982" t="s">
        <v>18829</v>
      </c>
      <c r="E14982" t="s">
        <v>31756</v>
      </c>
      <c r="F14982" t="s">
        <v>32664</v>
      </c>
      <c r="G14982" t="s">
        <v>32672</v>
      </c>
      <c r="H14982" t="s">
        <v>32683</v>
      </c>
      <c r="I14982" t="s">
        <v>10627</v>
      </c>
      <c r="J14982" t="s">
        <v>41689</v>
      </c>
      <c r="K14982" t="s">
        <v>42409</v>
      </c>
      <c r="M14982" t="s">
        <v>46453</v>
      </c>
      <c r="N14982" t="s">
        <v>46569</v>
      </c>
      <c r="O14982" t="s">
        <v>46570</v>
      </c>
      <c r="P14982">
        <v>0</v>
      </c>
      <c r="Q14982">
        <v>7</v>
      </c>
      <c r="R14982" t="s">
        <v>46591</v>
      </c>
      <c r="S14982" t="s">
        <v>47586</v>
      </c>
      <c r="T14982" t="s">
        <v>48221</v>
      </c>
      <c r="U14982" t="s">
        <v>60798</v>
      </c>
      <c r="V14982" t="s">
        <v>63286</v>
      </c>
      <c r="W14982" t="s">
        <v>46453</v>
      </c>
      <c r="X14982" t="s">
        <v>46592</v>
      </c>
    </row>
    <row r="14983" spans="1:24">
      <c r="A14983">
        <f>HYPERLINK("https://www.philgeps.gov.ph/GEPSNONPILOT/Tender/SplashBidNoticeAbstractUI.aspx?menuIndex=3&amp;refID=7029434&amp;Result=3","7029434")</f>
        <v>0</v>
      </c>
      <c r="B14983" t="s">
        <v>611</v>
      </c>
      <c r="C14983" t="s">
        <v>17789</v>
      </c>
      <c r="E14983" t="s">
        <v>31757</v>
      </c>
      <c r="F14983" t="s">
        <v>32664</v>
      </c>
      <c r="G14983" t="s">
        <v>32672</v>
      </c>
      <c r="H14983" t="s">
        <v>12635</v>
      </c>
      <c r="I14983" t="s">
        <v>32704</v>
      </c>
      <c r="J14983" t="s">
        <v>33009</v>
      </c>
      <c r="K14983" t="s">
        <v>42298</v>
      </c>
      <c r="M14983" t="s">
        <v>45121</v>
      </c>
      <c r="N14983" t="s">
        <v>46569</v>
      </c>
      <c r="O14983" t="s">
        <v>46570</v>
      </c>
      <c r="Q14983">
        <v>34</v>
      </c>
      <c r="R14983" t="s">
        <v>46591</v>
      </c>
      <c r="S14983" t="s">
        <v>47650</v>
      </c>
      <c r="T14983" t="s">
        <v>48271</v>
      </c>
      <c r="U14983" t="s">
        <v>58638</v>
      </c>
      <c r="W14983" t="s">
        <v>45121</v>
      </c>
      <c r="X14983" t="s">
        <v>46592</v>
      </c>
    </row>
    <row r="14984" spans="1:24">
      <c r="A14984">
        <f>HYPERLINK("https://www.philgeps.gov.ph/GEPSNONPILOT/Tender/SplashBidNoticeAbstractUI.aspx?menuIndex=3&amp;refID=7030578&amp;Result=3","7030578")</f>
        <v>0</v>
      </c>
      <c r="B14984" t="s">
        <v>3432</v>
      </c>
      <c r="C14984" t="s">
        <v>17790</v>
      </c>
      <c r="D14984" t="s">
        <v>18799</v>
      </c>
      <c r="E14984" t="s">
        <v>31758</v>
      </c>
      <c r="F14984" t="s">
        <v>32664</v>
      </c>
      <c r="G14984" t="s">
        <v>32672</v>
      </c>
      <c r="H14984" t="s">
        <v>32683</v>
      </c>
      <c r="I14984" t="s">
        <v>10627</v>
      </c>
      <c r="J14984" t="s">
        <v>37271</v>
      </c>
      <c r="K14984" t="s">
        <v>42290</v>
      </c>
      <c r="M14984" t="s">
        <v>46416</v>
      </c>
      <c r="N14984" t="s">
        <v>46569</v>
      </c>
      <c r="O14984" t="s">
        <v>46570</v>
      </c>
      <c r="P14984">
        <v>0</v>
      </c>
      <c r="Q14984">
        <v>2</v>
      </c>
      <c r="R14984" t="s">
        <v>46590</v>
      </c>
      <c r="S14984" t="s">
        <v>47546</v>
      </c>
      <c r="T14984" t="s">
        <v>48283</v>
      </c>
      <c r="U14984" t="s">
        <v>60800</v>
      </c>
      <c r="W14984" t="s">
        <v>46416</v>
      </c>
      <c r="X14984" t="s">
        <v>46591</v>
      </c>
    </row>
    <row r="14985" spans="1:24">
      <c r="A14985">
        <f>HYPERLINK("https://www.philgeps.gov.ph/GEPSNONPILOT/Tender/SplashBidNoticeAbstractUI.aspx?menuIndex=3&amp;refID=7029614&amp;Result=3","7029614")</f>
        <v>0</v>
      </c>
      <c r="B14985" t="s">
        <v>2558</v>
      </c>
      <c r="C14985" t="s">
        <v>17791</v>
      </c>
      <c r="D14985" t="s">
        <v>18846</v>
      </c>
      <c r="E14985" t="s">
        <v>31759</v>
      </c>
      <c r="F14985" t="s">
        <v>32664</v>
      </c>
      <c r="G14985" t="s">
        <v>32672</v>
      </c>
      <c r="H14985" t="s">
        <v>12635</v>
      </c>
      <c r="I14985" t="s">
        <v>4439</v>
      </c>
      <c r="J14985" t="s">
        <v>41690</v>
      </c>
      <c r="K14985" t="s">
        <v>42289</v>
      </c>
      <c r="M14985" t="s">
        <v>45369</v>
      </c>
      <c r="N14985" t="s">
        <v>46569</v>
      </c>
      <c r="O14985" t="s">
        <v>46570</v>
      </c>
      <c r="P14985">
        <v>0</v>
      </c>
      <c r="Q14985">
        <v>0</v>
      </c>
      <c r="R14985" t="s">
        <v>46591</v>
      </c>
      <c r="S14985" t="s">
        <v>47586</v>
      </c>
      <c r="T14985" t="s">
        <v>48283</v>
      </c>
      <c r="U14985" t="s">
        <v>60801</v>
      </c>
      <c r="W14985" t="s">
        <v>45369</v>
      </c>
      <c r="X14985" t="s">
        <v>46592</v>
      </c>
    </row>
    <row r="14986" spans="1:24">
      <c r="A14986">
        <f>HYPERLINK("https://www.philgeps.gov.ph/GEPSNONPILOT/Tender/SplashBidNoticeAbstractUI.aspx?menuIndex=3&amp;refID=7029629&amp;Result=3","7029629")</f>
        <v>0</v>
      </c>
      <c r="B14986" t="s">
        <v>851</v>
      </c>
      <c r="C14986" t="s">
        <v>17792</v>
      </c>
      <c r="D14986" t="s">
        <v>18829</v>
      </c>
      <c r="E14986" t="s">
        <v>31760</v>
      </c>
      <c r="F14986" t="s">
        <v>32664</v>
      </c>
      <c r="G14986" t="s">
        <v>32672</v>
      </c>
      <c r="H14986" t="s">
        <v>32683</v>
      </c>
      <c r="I14986" t="s">
        <v>10627</v>
      </c>
      <c r="J14986" t="s">
        <v>41691</v>
      </c>
      <c r="K14986" t="s">
        <v>42477</v>
      </c>
      <c r="M14986" t="s">
        <v>46453</v>
      </c>
      <c r="N14986" t="s">
        <v>46569</v>
      </c>
      <c r="O14986" t="s">
        <v>46570</v>
      </c>
      <c r="P14986">
        <v>0</v>
      </c>
      <c r="Q14986">
        <v>10</v>
      </c>
      <c r="R14986" t="s">
        <v>46591</v>
      </c>
      <c r="S14986" t="s">
        <v>47586</v>
      </c>
      <c r="T14986" t="s">
        <v>48221</v>
      </c>
      <c r="U14986" t="s">
        <v>60798</v>
      </c>
      <c r="V14986" t="s">
        <v>63287</v>
      </c>
      <c r="W14986" t="s">
        <v>46453</v>
      </c>
      <c r="X14986" t="s">
        <v>46592</v>
      </c>
    </row>
    <row r="14987" spans="1:24">
      <c r="A14987">
        <f>HYPERLINK("https://www.philgeps.gov.ph/GEPSNONPILOT/Tender/SplashBidNoticeAbstractUI.aspx?menuIndex=3&amp;refID=7029634&amp;Result=3","7029634")</f>
        <v>0</v>
      </c>
      <c r="B14987" t="s">
        <v>851</v>
      </c>
      <c r="C14987" t="s">
        <v>17793</v>
      </c>
      <c r="D14987" t="s">
        <v>18829</v>
      </c>
      <c r="E14987" t="s">
        <v>31761</v>
      </c>
      <c r="F14987" t="s">
        <v>32664</v>
      </c>
      <c r="G14987" t="s">
        <v>32672</v>
      </c>
      <c r="H14987" t="s">
        <v>32683</v>
      </c>
      <c r="I14987" t="s">
        <v>10627</v>
      </c>
      <c r="J14987" t="s">
        <v>41692</v>
      </c>
      <c r="K14987" t="s">
        <v>42440</v>
      </c>
      <c r="M14987" t="s">
        <v>46453</v>
      </c>
      <c r="N14987" t="s">
        <v>46569</v>
      </c>
      <c r="O14987" t="s">
        <v>46570</v>
      </c>
      <c r="P14987">
        <v>0</v>
      </c>
      <c r="Q14987">
        <v>5</v>
      </c>
      <c r="R14987" t="s">
        <v>46591</v>
      </c>
      <c r="S14987" t="s">
        <v>47586</v>
      </c>
      <c r="T14987" t="s">
        <v>48221</v>
      </c>
      <c r="U14987" t="s">
        <v>60798</v>
      </c>
      <c r="V14987" t="s">
        <v>63288</v>
      </c>
      <c r="W14987" t="s">
        <v>46453</v>
      </c>
      <c r="X14987" t="s">
        <v>46592</v>
      </c>
    </row>
    <row r="14988" spans="1:24">
      <c r="A14988">
        <f>HYPERLINK("https://www.philgeps.gov.ph/GEPSNONPILOT/Tender/SplashBidNoticeAbstractUI.aspx?menuIndex=3&amp;refID=7029604&amp;Result=3","7029604")</f>
        <v>0</v>
      </c>
      <c r="B14988" t="s">
        <v>2558</v>
      </c>
      <c r="C14988" t="s">
        <v>17794</v>
      </c>
      <c r="D14988" t="s">
        <v>18846</v>
      </c>
      <c r="E14988" t="s">
        <v>31762</v>
      </c>
      <c r="F14988" t="s">
        <v>32664</v>
      </c>
      <c r="G14988" t="s">
        <v>32672</v>
      </c>
      <c r="H14988" t="s">
        <v>12635</v>
      </c>
      <c r="I14988" t="s">
        <v>4439</v>
      </c>
      <c r="J14988" t="s">
        <v>41693</v>
      </c>
      <c r="K14988" t="s">
        <v>42289</v>
      </c>
      <c r="M14988" t="s">
        <v>45369</v>
      </c>
      <c r="N14988" t="s">
        <v>46569</v>
      </c>
      <c r="O14988" t="s">
        <v>46570</v>
      </c>
      <c r="P14988">
        <v>0</v>
      </c>
      <c r="Q14988">
        <v>1</v>
      </c>
      <c r="R14988" t="s">
        <v>46591</v>
      </c>
      <c r="S14988" t="s">
        <v>47586</v>
      </c>
      <c r="T14988" t="s">
        <v>48283</v>
      </c>
      <c r="U14988" t="s">
        <v>60802</v>
      </c>
      <c r="W14988" t="s">
        <v>45369</v>
      </c>
      <c r="X14988" t="s">
        <v>46592</v>
      </c>
    </row>
    <row r="14989" spans="1:24">
      <c r="A14989">
        <f>HYPERLINK("https://www.philgeps.gov.ph/GEPSNONPILOT/Tender/SplashBidNoticeAbstractUI.aspx?menuIndex=3&amp;refID=7029686&amp;Result=3","7029686")</f>
        <v>0</v>
      </c>
      <c r="B14989" t="s">
        <v>952</v>
      </c>
      <c r="C14989" t="s">
        <v>17795</v>
      </c>
      <c r="D14989" t="s">
        <v>18786</v>
      </c>
      <c r="E14989" t="s">
        <v>31763</v>
      </c>
      <c r="F14989" t="s">
        <v>32664</v>
      </c>
      <c r="G14989" t="s">
        <v>32672</v>
      </c>
      <c r="H14989" t="s">
        <v>32683</v>
      </c>
      <c r="I14989" t="s">
        <v>10627</v>
      </c>
      <c r="J14989" t="s">
        <v>32837</v>
      </c>
      <c r="K14989" t="s">
        <v>42290</v>
      </c>
      <c r="M14989" t="s">
        <v>43558</v>
      </c>
      <c r="N14989" t="s">
        <v>46569</v>
      </c>
      <c r="O14989" t="s">
        <v>46570</v>
      </c>
      <c r="P14989">
        <v>0</v>
      </c>
      <c r="Q14989">
        <v>1</v>
      </c>
      <c r="R14989" t="s">
        <v>46591</v>
      </c>
      <c r="S14989" t="s">
        <v>47586</v>
      </c>
      <c r="T14989" t="s">
        <v>48221</v>
      </c>
      <c r="U14989" t="s">
        <v>60803</v>
      </c>
      <c r="V14989" t="s">
        <v>63289</v>
      </c>
      <c r="W14989" t="s">
        <v>43558</v>
      </c>
      <c r="X14989" t="s">
        <v>46592</v>
      </c>
    </row>
    <row r="14990" spans="1:24">
      <c r="A14990">
        <f>HYPERLINK("https://www.philgeps.gov.ph/GEPSNONPILOT/Tender/SplashBidNoticeAbstractUI.aspx?menuIndex=3&amp;refID=7029580&amp;Result=3","7029580")</f>
        <v>0</v>
      </c>
      <c r="B14990" t="s">
        <v>3386</v>
      </c>
      <c r="C14990" t="s">
        <v>17796</v>
      </c>
      <c r="D14990" t="s">
        <v>18831</v>
      </c>
      <c r="E14990" t="s">
        <v>31764</v>
      </c>
      <c r="F14990" t="s">
        <v>32664</v>
      </c>
      <c r="G14990" t="s">
        <v>32673</v>
      </c>
      <c r="H14990" t="s">
        <v>12635</v>
      </c>
      <c r="I14990" t="s">
        <v>8797</v>
      </c>
      <c r="J14990" t="s">
        <v>41694</v>
      </c>
      <c r="K14990" t="s">
        <v>42289</v>
      </c>
      <c r="M14990" t="s">
        <v>46350</v>
      </c>
      <c r="N14990" t="s">
        <v>46569</v>
      </c>
      <c r="O14990" t="s">
        <v>46570</v>
      </c>
      <c r="P14990">
        <v>0</v>
      </c>
      <c r="Q14990">
        <v>6</v>
      </c>
      <c r="R14990" t="s">
        <v>46591</v>
      </c>
      <c r="S14990" t="s">
        <v>47586</v>
      </c>
      <c r="T14990" t="s">
        <v>48221</v>
      </c>
      <c r="U14990" t="s">
        <v>60804</v>
      </c>
      <c r="W14990" t="s">
        <v>46350</v>
      </c>
      <c r="X14990" t="s">
        <v>46592</v>
      </c>
    </row>
    <row r="14991" spans="1:24">
      <c r="A14991">
        <f>HYPERLINK("https://www.philgeps.gov.ph/GEPSNONPILOT/Tender/SplashBidNoticeAbstractUI.aspx?menuIndex=3&amp;refID=7029572&amp;Result=3","7029572")</f>
        <v>0</v>
      </c>
      <c r="B14991" t="s">
        <v>3386</v>
      </c>
      <c r="C14991" t="s">
        <v>17797</v>
      </c>
      <c r="D14991" t="s">
        <v>18831</v>
      </c>
      <c r="E14991" t="s">
        <v>31765</v>
      </c>
      <c r="F14991" t="s">
        <v>32664</v>
      </c>
      <c r="G14991" t="s">
        <v>32673</v>
      </c>
      <c r="H14991" t="s">
        <v>32683</v>
      </c>
      <c r="I14991" t="s">
        <v>10627</v>
      </c>
      <c r="J14991" t="s">
        <v>34038</v>
      </c>
      <c r="K14991" t="s">
        <v>42298</v>
      </c>
      <c r="M14991" t="s">
        <v>46350</v>
      </c>
      <c r="N14991" t="s">
        <v>46569</v>
      </c>
      <c r="O14991" t="s">
        <v>46570</v>
      </c>
      <c r="P14991">
        <v>0</v>
      </c>
      <c r="Q14991">
        <v>2</v>
      </c>
      <c r="R14991" t="s">
        <v>46591</v>
      </c>
      <c r="S14991" t="s">
        <v>47586</v>
      </c>
      <c r="T14991" t="s">
        <v>48221</v>
      </c>
      <c r="U14991" t="s">
        <v>60805</v>
      </c>
      <c r="W14991" t="s">
        <v>46350</v>
      </c>
      <c r="X14991" t="s">
        <v>46592</v>
      </c>
    </row>
    <row r="14992" spans="1:24">
      <c r="A14992">
        <f>HYPERLINK("https://www.philgeps.gov.ph/GEPSNONPILOT/Tender/SplashBidNoticeAbstractUI.aspx?menuIndex=3&amp;refID=7030512&amp;Result=3","7030512")</f>
        <v>0</v>
      </c>
      <c r="B14992" t="s">
        <v>3462</v>
      </c>
      <c r="C14992" t="s">
        <v>17798</v>
      </c>
      <c r="E14992" t="s">
        <v>31766</v>
      </c>
      <c r="F14992" t="s">
        <v>32664</v>
      </c>
      <c r="G14992" t="s">
        <v>32673</v>
      </c>
      <c r="H14992" t="s">
        <v>32683</v>
      </c>
      <c r="I14992" t="s">
        <v>10627</v>
      </c>
      <c r="J14992" t="s">
        <v>41695</v>
      </c>
      <c r="K14992" t="s">
        <v>42369</v>
      </c>
      <c r="M14992" t="s">
        <v>46454</v>
      </c>
      <c r="N14992" t="s">
        <v>46569</v>
      </c>
      <c r="O14992" t="s">
        <v>46570</v>
      </c>
      <c r="P14992">
        <v>0</v>
      </c>
      <c r="Q14992">
        <v>1</v>
      </c>
      <c r="R14992" t="s">
        <v>46590</v>
      </c>
      <c r="S14992" t="s">
        <v>47546</v>
      </c>
      <c r="T14992" t="s">
        <v>48293</v>
      </c>
      <c r="U14992" t="s">
        <v>60806</v>
      </c>
      <c r="W14992" t="s">
        <v>46454</v>
      </c>
      <c r="X14992" t="s">
        <v>46591</v>
      </c>
    </row>
    <row r="14993" spans="1:24">
      <c r="A14993">
        <f>HYPERLINK("https://www.philgeps.gov.ph/GEPSNONPILOT/Tender/SplashBidNoticeAbstractUI.aspx?menuIndex=3&amp;refID=7029594&amp;Result=3","7029594")</f>
        <v>0</v>
      </c>
      <c r="B14993" t="s">
        <v>947</v>
      </c>
      <c r="C14993" t="s">
        <v>17799</v>
      </c>
      <c r="D14993" t="s">
        <v>18787</v>
      </c>
      <c r="E14993" t="s">
        <v>31767</v>
      </c>
      <c r="F14993" t="s">
        <v>32664</v>
      </c>
      <c r="G14993" t="s">
        <v>32672</v>
      </c>
      <c r="H14993" t="s">
        <v>32683</v>
      </c>
      <c r="I14993" t="s">
        <v>10627</v>
      </c>
      <c r="J14993" t="s">
        <v>41696</v>
      </c>
      <c r="K14993" t="s">
        <v>42499</v>
      </c>
      <c r="M14993" t="s">
        <v>43553</v>
      </c>
      <c r="N14993" t="s">
        <v>46569</v>
      </c>
      <c r="O14993" t="s">
        <v>46570</v>
      </c>
      <c r="P14993">
        <v>0</v>
      </c>
      <c r="Q14993">
        <v>6</v>
      </c>
      <c r="R14993" t="s">
        <v>46591</v>
      </c>
      <c r="S14993" t="s">
        <v>47586</v>
      </c>
      <c r="T14993" t="s">
        <v>48258</v>
      </c>
      <c r="U14993" t="s">
        <v>50650</v>
      </c>
      <c r="W14993" t="s">
        <v>63497</v>
      </c>
      <c r="X14993" t="s">
        <v>46592</v>
      </c>
    </row>
    <row r="14994" spans="1:24">
      <c r="A14994">
        <f>HYPERLINK("https://www.philgeps.gov.ph/GEPSNONPILOT/Tender/SplashBidNoticeAbstractUI.aspx?menuIndex=3&amp;refID=7029709&amp;Result=3","7029709")</f>
        <v>0</v>
      </c>
      <c r="B14994" t="s">
        <v>952</v>
      </c>
      <c r="C14994" t="s">
        <v>17800</v>
      </c>
      <c r="D14994" t="s">
        <v>18786</v>
      </c>
      <c r="E14994" t="s">
        <v>31768</v>
      </c>
      <c r="F14994" t="s">
        <v>32664</v>
      </c>
      <c r="G14994" t="s">
        <v>32672</v>
      </c>
      <c r="H14994" t="s">
        <v>12635</v>
      </c>
      <c r="I14994" t="s">
        <v>32699</v>
      </c>
      <c r="J14994" t="s">
        <v>41697</v>
      </c>
      <c r="K14994" t="s">
        <v>42289</v>
      </c>
      <c r="M14994" t="s">
        <v>43558</v>
      </c>
      <c r="N14994" t="s">
        <v>46569</v>
      </c>
      <c r="O14994" t="s">
        <v>46570</v>
      </c>
      <c r="P14994">
        <v>0</v>
      </c>
      <c r="Q14994">
        <v>2</v>
      </c>
      <c r="R14994" t="s">
        <v>46591</v>
      </c>
      <c r="S14994" t="s">
        <v>47586</v>
      </c>
      <c r="T14994" t="s">
        <v>48221</v>
      </c>
      <c r="U14994" t="s">
        <v>60807</v>
      </c>
      <c r="V14994" t="s">
        <v>63290</v>
      </c>
      <c r="W14994" t="s">
        <v>43558</v>
      </c>
      <c r="X14994" t="s">
        <v>46592</v>
      </c>
    </row>
    <row r="14995" spans="1:24">
      <c r="A14995">
        <f>HYPERLINK("https://www.philgeps.gov.ph/GEPSNONPILOT/Tender/SplashBidNoticeAbstractUI.aspx?menuIndex=3&amp;refID=7029567&amp;Result=3","7029567")</f>
        <v>0</v>
      </c>
      <c r="B14995" t="s">
        <v>3463</v>
      </c>
      <c r="C14995" t="s">
        <v>17801</v>
      </c>
      <c r="D14995" t="s">
        <v>18826</v>
      </c>
      <c r="E14995" t="s">
        <v>31769</v>
      </c>
      <c r="F14995" t="s">
        <v>32664</v>
      </c>
      <c r="G14995" t="s">
        <v>32672</v>
      </c>
      <c r="H14995" t="s">
        <v>12635</v>
      </c>
      <c r="I14995" t="s">
        <v>11464</v>
      </c>
      <c r="J14995" t="s">
        <v>41698</v>
      </c>
      <c r="K14995" t="s">
        <v>42311</v>
      </c>
      <c r="M14995" t="s">
        <v>46455</v>
      </c>
      <c r="N14995" t="s">
        <v>46569</v>
      </c>
      <c r="O14995" t="s">
        <v>46570</v>
      </c>
      <c r="P14995">
        <v>0</v>
      </c>
      <c r="Q14995">
        <v>13</v>
      </c>
      <c r="R14995" t="s">
        <v>46591</v>
      </c>
      <c r="S14995" t="s">
        <v>47586</v>
      </c>
      <c r="T14995" t="s">
        <v>48305</v>
      </c>
      <c r="U14995" t="s">
        <v>60808</v>
      </c>
      <c r="W14995" t="s">
        <v>46455</v>
      </c>
      <c r="X14995" t="s">
        <v>46592</v>
      </c>
    </row>
    <row r="14996" spans="1:24">
      <c r="A14996">
        <f>HYPERLINK("https://www.philgeps.gov.ph/GEPSNONPILOT/Tender/SplashBidNoticeAbstractUI.aspx?menuIndex=3&amp;refID=7029579&amp;Result=3","7029579")</f>
        <v>0</v>
      </c>
      <c r="B14996" t="s">
        <v>2635</v>
      </c>
      <c r="C14996" t="s">
        <v>17802</v>
      </c>
      <c r="E14996" t="s">
        <v>31770</v>
      </c>
      <c r="F14996" t="s">
        <v>32664</v>
      </c>
      <c r="G14996" t="s">
        <v>32672</v>
      </c>
      <c r="H14996" t="s">
        <v>12635</v>
      </c>
      <c r="I14996" t="s">
        <v>6628</v>
      </c>
      <c r="J14996" t="s">
        <v>32930</v>
      </c>
      <c r="K14996" t="s">
        <v>42283</v>
      </c>
      <c r="M14996" t="s">
        <v>45455</v>
      </c>
      <c r="N14996" t="s">
        <v>46569</v>
      </c>
      <c r="O14996" t="s">
        <v>46570</v>
      </c>
      <c r="P14996">
        <v>0</v>
      </c>
      <c r="Q14996">
        <v>2</v>
      </c>
      <c r="R14996" t="s">
        <v>46591</v>
      </c>
      <c r="S14996" t="s">
        <v>47586</v>
      </c>
      <c r="T14996" t="s">
        <v>48316</v>
      </c>
      <c r="U14996" t="s">
        <v>60809</v>
      </c>
      <c r="W14996" t="s">
        <v>45455</v>
      </c>
      <c r="X14996" t="s">
        <v>46592</v>
      </c>
    </row>
    <row r="14997" spans="1:24">
      <c r="A14997">
        <f>HYPERLINK("https://www.philgeps.gov.ph/GEPSNONPILOT/Tender/SplashBidNoticeAbstractUI.aspx?menuIndex=3&amp;refID=7029568&amp;Result=3","7029568")</f>
        <v>0</v>
      </c>
      <c r="B14997" t="s">
        <v>611</v>
      </c>
      <c r="C14997" t="s">
        <v>17803</v>
      </c>
      <c r="E14997" t="s">
        <v>31771</v>
      </c>
      <c r="F14997" t="s">
        <v>32664</v>
      </c>
      <c r="G14997" t="s">
        <v>32672</v>
      </c>
      <c r="H14997" t="s">
        <v>12635</v>
      </c>
      <c r="I14997" t="s">
        <v>32779</v>
      </c>
      <c r="J14997" t="s">
        <v>41699</v>
      </c>
      <c r="K14997" t="s">
        <v>42305</v>
      </c>
      <c r="M14997" t="s">
        <v>45121</v>
      </c>
      <c r="N14997" t="s">
        <v>46569</v>
      </c>
      <c r="O14997" t="s">
        <v>46570</v>
      </c>
      <c r="Q14997">
        <v>2</v>
      </c>
      <c r="R14997" t="s">
        <v>46591</v>
      </c>
      <c r="S14997" t="s">
        <v>47651</v>
      </c>
      <c r="T14997" t="s">
        <v>48286</v>
      </c>
      <c r="U14997" t="s">
        <v>58638</v>
      </c>
      <c r="W14997" t="s">
        <v>45121</v>
      </c>
      <c r="X14997" t="s">
        <v>46592</v>
      </c>
    </row>
    <row r="14998" spans="1:24">
      <c r="A14998">
        <f>HYPERLINK("https://www.philgeps.gov.ph/GEPSNONPILOT/Tender/SplashBidNoticeAbstractUI.aspx?menuIndex=3&amp;refID=7029608&amp;Result=3","7029608")</f>
        <v>0</v>
      </c>
      <c r="B14998" t="s">
        <v>2558</v>
      </c>
      <c r="C14998" t="s">
        <v>17804</v>
      </c>
      <c r="D14998" t="s">
        <v>18846</v>
      </c>
      <c r="E14998" t="s">
        <v>31772</v>
      </c>
      <c r="F14998" t="s">
        <v>32664</v>
      </c>
      <c r="G14998" t="s">
        <v>32672</v>
      </c>
      <c r="H14998" t="s">
        <v>12635</v>
      </c>
      <c r="I14998" t="s">
        <v>32706</v>
      </c>
      <c r="J14998" t="s">
        <v>41700</v>
      </c>
      <c r="K14998" t="s">
        <v>42289</v>
      </c>
      <c r="M14998" t="s">
        <v>45369</v>
      </c>
      <c r="N14998" t="s">
        <v>46569</v>
      </c>
      <c r="O14998" t="s">
        <v>46570</v>
      </c>
      <c r="P14998">
        <v>0</v>
      </c>
      <c r="Q14998">
        <v>0</v>
      </c>
      <c r="R14998" t="s">
        <v>46591</v>
      </c>
      <c r="S14998" t="s">
        <v>47586</v>
      </c>
      <c r="T14998" t="s">
        <v>48283</v>
      </c>
      <c r="U14998" t="s">
        <v>60802</v>
      </c>
      <c r="W14998" t="s">
        <v>45369</v>
      </c>
      <c r="X14998" t="s">
        <v>46592</v>
      </c>
    </row>
    <row r="14999" spans="1:24">
      <c r="A14999">
        <f>HYPERLINK("https://www.philgeps.gov.ph/GEPSNONPILOT/Tender/SplashBidNoticeAbstractUI.aspx?menuIndex=3&amp;refID=7019500&amp;Result=3","7019500")</f>
        <v>0</v>
      </c>
      <c r="B14999" t="s">
        <v>231</v>
      </c>
      <c r="C14999" t="s">
        <v>17805</v>
      </c>
      <c r="D14999" t="s">
        <v>18845</v>
      </c>
      <c r="E14999" t="s">
        <v>31773</v>
      </c>
      <c r="F14999" t="s">
        <v>32664</v>
      </c>
      <c r="G14999" t="s">
        <v>32671</v>
      </c>
      <c r="H14999" t="s">
        <v>12635</v>
      </c>
      <c r="I14999" t="s">
        <v>32701</v>
      </c>
      <c r="J14999" t="s">
        <v>33309</v>
      </c>
      <c r="K14999" t="s">
        <v>42297</v>
      </c>
      <c r="M14999" t="s">
        <v>42795</v>
      </c>
      <c r="N14999" t="s">
        <v>46569</v>
      </c>
      <c r="O14999" t="s">
        <v>46570</v>
      </c>
      <c r="Q14999">
        <v>1</v>
      </c>
      <c r="R14999" t="s">
        <v>46592</v>
      </c>
      <c r="S14999" t="s">
        <v>47601</v>
      </c>
      <c r="T14999" t="s">
        <v>48287</v>
      </c>
      <c r="U14999" t="s">
        <v>60810</v>
      </c>
      <c r="W14999" t="s">
        <v>42795</v>
      </c>
      <c r="X14999" t="s">
        <v>46598</v>
      </c>
    </row>
    <row r="15000" spans="1:24">
      <c r="A15000">
        <f>HYPERLINK("https://www.philgeps.gov.ph/GEPSNONPILOT/Tender/SplashBidNoticeAbstractUI.aspx?menuIndex=3&amp;refID=7030838&amp;Result=3","7030838")</f>
        <v>0</v>
      </c>
      <c r="B15000" t="s">
        <v>3397</v>
      </c>
      <c r="C15000" t="s">
        <v>17806</v>
      </c>
      <c r="D15000" t="s">
        <v>18797</v>
      </c>
      <c r="E15000" t="s">
        <v>31774</v>
      </c>
      <c r="F15000" t="s">
        <v>32664</v>
      </c>
      <c r="G15000" t="s">
        <v>32672</v>
      </c>
      <c r="H15000" t="s">
        <v>32683</v>
      </c>
      <c r="I15000" t="s">
        <v>10627</v>
      </c>
      <c r="J15000" t="s">
        <v>39010</v>
      </c>
      <c r="K15000" t="s">
        <v>42564</v>
      </c>
      <c r="L15000" t="s">
        <v>3397</v>
      </c>
      <c r="M15000" t="s">
        <v>46364</v>
      </c>
      <c r="N15000" t="s">
        <v>46569</v>
      </c>
      <c r="O15000" t="s">
        <v>46570</v>
      </c>
      <c r="P15000">
        <v>0</v>
      </c>
      <c r="Q15000">
        <v>22</v>
      </c>
      <c r="R15000" t="s">
        <v>46590</v>
      </c>
      <c r="S15000" t="s">
        <v>47546</v>
      </c>
      <c r="T15000" t="s">
        <v>48221</v>
      </c>
      <c r="U15000" t="s">
        <v>60787</v>
      </c>
      <c r="W15000" t="s">
        <v>46364</v>
      </c>
      <c r="X15000" t="s">
        <v>46591</v>
      </c>
    </row>
    <row r="15001" spans="1:24">
      <c r="A15001">
        <f>HYPERLINK("https://www.philgeps.gov.ph/GEPSNONPILOT/Tender/SplashBidNoticeAbstractUI.aspx?menuIndex=3&amp;refID=7016233&amp;Result=3","7016233")</f>
        <v>0</v>
      </c>
      <c r="B15001" t="s">
        <v>1880</v>
      </c>
      <c r="C15001" t="s">
        <v>17807</v>
      </c>
      <c r="D15001" t="s">
        <v>18812</v>
      </c>
      <c r="E15001" t="s">
        <v>31775</v>
      </c>
      <c r="F15001" t="s">
        <v>32664</v>
      </c>
      <c r="G15001" t="s">
        <v>32672</v>
      </c>
      <c r="H15001" t="s">
        <v>32683</v>
      </c>
      <c r="I15001" t="s">
        <v>10627</v>
      </c>
      <c r="J15001" t="s">
        <v>41701</v>
      </c>
      <c r="K15001" t="s">
        <v>42298</v>
      </c>
      <c r="M15001" t="s">
        <v>44598</v>
      </c>
      <c r="N15001" t="s">
        <v>46569</v>
      </c>
      <c r="O15001" t="s">
        <v>46570</v>
      </c>
      <c r="P15001">
        <v>0</v>
      </c>
      <c r="Q15001">
        <v>0</v>
      </c>
      <c r="R15001" t="s">
        <v>46592</v>
      </c>
      <c r="S15001" t="s">
        <v>47652</v>
      </c>
      <c r="T15001" t="s">
        <v>48249</v>
      </c>
      <c r="U15001" t="s">
        <v>60811</v>
      </c>
      <c r="W15001" t="s">
        <v>44598</v>
      </c>
      <c r="X15001" t="s">
        <v>46597</v>
      </c>
    </row>
    <row r="15002" spans="1:24">
      <c r="A15002">
        <f>HYPERLINK("https://www.philgeps.gov.ph/GEPSNONPILOT/Tender/SplashBidNoticeAbstractUI.aspx?menuIndex=3&amp;refID=7029790&amp;Result=3","7029790")</f>
        <v>0</v>
      </c>
      <c r="B15002" t="s">
        <v>611</v>
      </c>
      <c r="C15002" t="s">
        <v>17808</v>
      </c>
      <c r="D15002" t="s">
        <v>18805</v>
      </c>
      <c r="E15002" t="s">
        <v>31776</v>
      </c>
      <c r="F15002" t="s">
        <v>32664</v>
      </c>
      <c r="G15002" t="s">
        <v>32672</v>
      </c>
      <c r="H15002" t="s">
        <v>32683</v>
      </c>
      <c r="I15002" t="s">
        <v>10627</v>
      </c>
      <c r="J15002" t="s">
        <v>32943</v>
      </c>
      <c r="K15002" t="s">
        <v>42290</v>
      </c>
      <c r="M15002" t="s">
        <v>45121</v>
      </c>
      <c r="N15002" t="s">
        <v>46569</v>
      </c>
      <c r="O15002" t="s">
        <v>46570</v>
      </c>
      <c r="Q15002">
        <v>5</v>
      </c>
      <c r="R15002" t="s">
        <v>46591</v>
      </c>
      <c r="S15002" t="s">
        <v>47653</v>
      </c>
      <c r="T15002" t="s">
        <v>48468</v>
      </c>
      <c r="U15002" t="s">
        <v>60812</v>
      </c>
      <c r="W15002" t="s">
        <v>45121</v>
      </c>
      <c r="X15002" t="s">
        <v>46592</v>
      </c>
    </row>
    <row r="15003" spans="1:24">
      <c r="A15003">
        <f>HYPERLINK("https://www.philgeps.gov.ph/GEPSNONPILOT/Tender/SplashBidNoticeAbstractUI.aspx?menuIndex=3&amp;refID=6940397&amp;Result=3","6940397")</f>
        <v>0</v>
      </c>
      <c r="B15003" t="s">
        <v>656</v>
      </c>
      <c r="C15003" t="s">
        <v>17809</v>
      </c>
      <c r="D15003" t="s">
        <v>18801</v>
      </c>
      <c r="E15003" t="s">
        <v>31777</v>
      </c>
      <c r="F15003" t="s">
        <v>32664</v>
      </c>
      <c r="G15003" t="s">
        <v>32672</v>
      </c>
      <c r="H15003" t="s">
        <v>32683</v>
      </c>
      <c r="I15003" t="s">
        <v>10627</v>
      </c>
      <c r="J15003" t="s">
        <v>41702</v>
      </c>
      <c r="K15003" t="s">
        <v>42308</v>
      </c>
      <c r="M15003" t="s">
        <v>43243</v>
      </c>
      <c r="N15003" t="s">
        <v>46569</v>
      </c>
      <c r="O15003" t="s">
        <v>46570</v>
      </c>
      <c r="P15003">
        <v>0</v>
      </c>
      <c r="Q15003">
        <v>2</v>
      </c>
      <c r="R15003" t="s">
        <v>46592</v>
      </c>
      <c r="S15003" t="s">
        <v>47652</v>
      </c>
      <c r="T15003" t="s">
        <v>48373</v>
      </c>
      <c r="U15003" t="s">
        <v>60813</v>
      </c>
      <c r="W15003" t="s">
        <v>43243</v>
      </c>
      <c r="X15003" t="s">
        <v>46682</v>
      </c>
    </row>
    <row r="15004" spans="1:24">
      <c r="A15004">
        <f>HYPERLINK("https://www.philgeps.gov.ph/GEPSNONPILOT/Tender/SplashBidNoticeAbstractUI.aspx?menuIndex=3&amp;refID=7029771&amp;Result=3","7029771")</f>
        <v>0</v>
      </c>
      <c r="B15004" t="s">
        <v>611</v>
      </c>
      <c r="C15004" t="s">
        <v>17810</v>
      </c>
      <c r="D15004" t="s">
        <v>18799</v>
      </c>
      <c r="E15004" t="s">
        <v>31778</v>
      </c>
      <c r="F15004" t="s">
        <v>32664</v>
      </c>
      <c r="G15004" t="s">
        <v>32672</v>
      </c>
      <c r="H15004" t="s">
        <v>32683</v>
      </c>
      <c r="I15004" t="s">
        <v>10627</v>
      </c>
      <c r="J15004" t="s">
        <v>34487</v>
      </c>
      <c r="K15004" t="s">
        <v>42311</v>
      </c>
      <c r="M15004" t="s">
        <v>45121</v>
      </c>
      <c r="N15004" t="s">
        <v>46569</v>
      </c>
      <c r="O15004" t="s">
        <v>46570</v>
      </c>
      <c r="P15004">
        <v>0</v>
      </c>
      <c r="Q15004">
        <v>10</v>
      </c>
      <c r="R15004" t="s">
        <v>46591</v>
      </c>
      <c r="S15004" t="s">
        <v>47586</v>
      </c>
      <c r="T15004" t="s">
        <v>48453</v>
      </c>
      <c r="U15004" t="s">
        <v>60814</v>
      </c>
      <c r="W15004" t="s">
        <v>45121</v>
      </c>
      <c r="X15004" t="s">
        <v>46592</v>
      </c>
    </row>
    <row r="15005" spans="1:24">
      <c r="A15005">
        <f>HYPERLINK("https://www.philgeps.gov.ph/GEPSNONPILOT/Tender/SplashBidNoticeAbstractUI.aspx?menuIndex=3&amp;refID=7029761&amp;Result=3","7029761")</f>
        <v>0</v>
      </c>
      <c r="B15005" t="s">
        <v>611</v>
      </c>
      <c r="C15005" t="s">
        <v>17811</v>
      </c>
      <c r="E15005" t="s">
        <v>31779</v>
      </c>
      <c r="F15005" t="s">
        <v>32664</v>
      </c>
      <c r="G15005" t="s">
        <v>32672</v>
      </c>
      <c r="H15005" t="s">
        <v>12635</v>
      </c>
      <c r="I15005" t="s">
        <v>32704</v>
      </c>
      <c r="J15005" t="s">
        <v>39001</v>
      </c>
      <c r="K15005" t="s">
        <v>42305</v>
      </c>
      <c r="M15005" t="s">
        <v>45121</v>
      </c>
      <c r="N15005" t="s">
        <v>46569</v>
      </c>
      <c r="O15005" t="s">
        <v>46570</v>
      </c>
      <c r="P15005">
        <v>0</v>
      </c>
      <c r="Q15005">
        <v>32</v>
      </c>
      <c r="R15005" t="s">
        <v>46591</v>
      </c>
      <c r="S15005" t="s">
        <v>47586</v>
      </c>
      <c r="T15005" t="s">
        <v>48361</v>
      </c>
      <c r="U15005" t="s">
        <v>60815</v>
      </c>
      <c r="W15005" t="s">
        <v>45121</v>
      </c>
      <c r="X15005" t="s">
        <v>46592</v>
      </c>
    </row>
    <row r="15006" spans="1:24">
      <c r="A15006">
        <f>HYPERLINK("https://www.philgeps.gov.ph/GEPSNONPILOT/Tender/SplashBidNoticeAbstractUI.aspx?menuIndex=3&amp;refID=7029754&amp;Result=3","7029754")</f>
        <v>0</v>
      </c>
      <c r="B15006" t="s">
        <v>611</v>
      </c>
      <c r="C15006" t="s">
        <v>17812</v>
      </c>
      <c r="E15006" t="s">
        <v>31780</v>
      </c>
      <c r="F15006" t="s">
        <v>32664</v>
      </c>
      <c r="G15006" t="s">
        <v>32672</v>
      </c>
      <c r="H15006" t="s">
        <v>12635</v>
      </c>
      <c r="I15006" t="s">
        <v>6628</v>
      </c>
      <c r="J15006" t="s">
        <v>34148</v>
      </c>
      <c r="K15006" t="s">
        <v>42305</v>
      </c>
      <c r="M15006" t="s">
        <v>45121</v>
      </c>
      <c r="N15006" t="s">
        <v>46569</v>
      </c>
      <c r="O15006" t="s">
        <v>46570</v>
      </c>
      <c r="P15006">
        <v>0</v>
      </c>
      <c r="Q15006">
        <v>11</v>
      </c>
      <c r="R15006" t="s">
        <v>46591</v>
      </c>
      <c r="S15006" t="s">
        <v>47586</v>
      </c>
      <c r="T15006" t="s">
        <v>48437</v>
      </c>
      <c r="U15006" t="s">
        <v>60816</v>
      </c>
      <c r="W15006" t="s">
        <v>45121</v>
      </c>
      <c r="X15006" t="s">
        <v>46592</v>
      </c>
    </row>
    <row r="15007" spans="1:24">
      <c r="A15007">
        <f>HYPERLINK("https://www.philgeps.gov.ph/GEPSNONPILOT/Tender/SplashBidNoticeAbstractUI.aspx?menuIndex=3&amp;refID=7029764&amp;Result=3","7029764")</f>
        <v>0</v>
      </c>
      <c r="B15007" t="s">
        <v>611</v>
      </c>
      <c r="C15007" t="s">
        <v>17813</v>
      </c>
      <c r="E15007" t="s">
        <v>31781</v>
      </c>
      <c r="F15007" t="s">
        <v>32664</v>
      </c>
      <c r="G15007" t="s">
        <v>32672</v>
      </c>
      <c r="H15007" t="s">
        <v>12635</v>
      </c>
      <c r="I15007" t="s">
        <v>32704</v>
      </c>
      <c r="J15007" t="s">
        <v>33261</v>
      </c>
      <c r="K15007" t="s">
        <v>42305</v>
      </c>
      <c r="M15007" t="s">
        <v>45121</v>
      </c>
      <c r="N15007" t="s">
        <v>46569</v>
      </c>
      <c r="O15007" t="s">
        <v>46570</v>
      </c>
      <c r="P15007">
        <v>0</v>
      </c>
      <c r="Q15007">
        <v>14</v>
      </c>
      <c r="R15007" t="s">
        <v>46591</v>
      </c>
      <c r="S15007" t="s">
        <v>47586</v>
      </c>
      <c r="T15007" t="s">
        <v>48746</v>
      </c>
      <c r="U15007" t="s">
        <v>60817</v>
      </c>
      <c r="W15007" t="s">
        <v>45121</v>
      </c>
      <c r="X15007" t="s">
        <v>46592</v>
      </c>
    </row>
    <row r="15008" spans="1:24">
      <c r="A15008">
        <f>HYPERLINK("https://www.philgeps.gov.ph/GEPSNONPILOT/Tender/SplashBidNoticeAbstractUI.aspx?menuIndex=3&amp;refID=7024340&amp;Result=3","7024340")</f>
        <v>0</v>
      </c>
      <c r="B15008" t="s">
        <v>49</v>
      </c>
      <c r="C15008" t="s">
        <v>17814</v>
      </c>
      <c r="D15008" t="s">
        <v>18799</v>
      </c>
      <c r="E15008" t="s">
        <v>31782</v>
      </c>
      <c r="F15008" t="s">
        <v>32664</v>
      </c>
      <c r="G15008" t="s">
        <v>32672</v>
      </c>
      <c r="H15008" t="s">
        <v>32683</v>
      </c>
      <c r="I15008" t="s">
        <v>10627</v>
      </c>
      <c r="J15008" t="s">
        <v>32914</v>
      </c>
      <c r="K15008" t="s">
        <v>42301</v>
      </c>
      <c r="M15008" t="s">
        <v>42611</v>
      </c>
      <c r="N15008" t="s">
        <v>46569</v>
      </c>
      <c r="O15008" t="s">
        <v>46570</v>
      </c>
      <c r="P15008">
        <v>0</v>
      </c>
      <c r="Q15008">
        <v>4</v>
      </c>
      <c r="R15008" t="s">
        <v>46592</v>
      </c>
      <c r="S15008" t="s">
        <v>47652</v>
      </c>
      <c r="T15008" t="s">
        <v>48315</v>
      </c>
      <c r="U15008" t="s">
        <v>60818</v>
      </c>
      <c r="V15008" t="s">
        <v>61619</v>
      </c>
      <c r="W15008" t="s">
        <v>63463</v>
      </c>
      <c r="X15008" t="s">
        <v>46593</v>
      </c>
    </row>
    <row r="15009" spans="1:24">
      <c r="A15009">
        <f>HYPERLINK("https://www.philgeps.gov.ph/GEPSNONPILOT/Tender/SplashBidNoticeAbstractUI.aspx?menuIndex=3&amp;refID=7017311&amp;Result=3","7017311")</f>
        <v>0</v>
      </c>
      <c r="B15009" t="s">
        <v>1974</v>
      </c>
      <c r="C15009" t="s">
        <v>17815</v>
      </c>
      <c r="D15009" t="s">
        <v>18857</v>
      </c>
      <c r="E15009" t="s">
        <v>31783</v>
      </c>
      <c r="F15009" t="s">
        <v>32664</v>
      </c>
      <c r="G15009" t="s">
        <v>32672</v>
      </c>
      <c r="H15009" t="s">
        <v>12635</v>
      </c>
      <c r="I15009" t="s">
        <v>32699</v>
      </c>
      <c r="J15009" t="s">
        <v>32859</v>
      </c>
      <c r="K15009" t="s">
        <v>42281</v>
      </c>
      <c r="M15009" t="s">
        <v>44708</v>
      </c>
      <c r="N15009" t="s">
        <v>46569</v>
      </c>
      <c r="O15009" t="s">
        <v>46570</v>
      </c>
      <c r="P15009">
        <v>0</v>
      </c>
      <c r="Q15009">
        <v>2</v>
      </c>
      <c r="R15009" t="s">
        <v>46592</v>
      </c>
      <c r="S15009" t="s">
        <v>47652</v>
      </c>
      <c r="T15009" t="s">
        <v>48228</v>
      </c>
      <c r="U15009" t="s">
        <v>60819</v>
      </c>
      <c r="W15009" t="s">
        <v>44708</v>
      </c>
      <c r="X15009" t="s">
        <v>46596</v>
      </c>
    </row>
    <row r="15010" spans="1:24">
      <c r="A15010">
        <f>HYPERLINK("https://www.philgeps.gov.ph/GEPSNONPILOT/Tender/SplashBidNoticeAbstractUI.aspx?menuIndex=3&amp;refID=7024317&amp;Result=3","7024317")</f>
        <v>0</v>
      </c>
      <c r="B15010" t="s">
        <v>49</v>
      </c>
      <c r="C15010" t="s">
        <v>17816</v>
      </c>
      <c r="D15010" t="s">
        <v>18799</v>
      </c>
      <c r="E15010" t="s">
        <v>31784</v>
      </c>
      <c r="F15010" t="s">
        <v>32664</v>
      </c>
      <c r="G15010" t="s">
        <v>32672</v>
      </c>
      <c r="H15010" t="s">
        <v>32683</v>
      </c>
      <c r="I15010" t="s">
        <v>10627</v>
      </c>
      <c r="J15010" t="s">
        <v>39017</v>
      </c>
      <c r="K15010" t="s">
        <v>42327</v>
      </c>
      <c r="M15010" t="s">
        <v>42611</v>
      </c>
      <c r="N15010" t="s">
        <v>46569</v>
      </c>
      <c r="O15010" t="s">
        <v>46570</v>
      </c>
      <c r="P15010">
        <v>0</v>
      </c>
      <c r="Q15010">
        <v>4</v>
      </c>
      <c r="R15010" t="s">
        <v>46592</v>
      </c>
      <c r="S15010" t="s">
        <v>47652</v>
      </c>
      <c r="T15010" t="s">
        <v>48356</v>
      </c>
      <c r="U15010" t="s">
        <v>60820</v>
      </c>
      <c r="V15010" t="s">
        <v>61619</v>
      </c>
      <c r="W15010" t="s">
        <v>63463</v>
      </c>
      <c r="X15010" t="s">
        <v>46593</v>
      </c>
    </row>
    <row r="15011" spans="1:24">
      <c r="A15011">
        <f>HYPERLINK("https://www.philgeps.gov.ph/GEPSNONPILOT/Tender/SplashBidNoticeAbstractUI.aspx?menuIndex=3&amp;refID=7019908&amp;Result=3","7019908")</f>
        <v>0</v>
      </c>
      <c r="B15011" t="s">
        <v>3464</v>
      </c>
      <c r="C15011" t="s">
        <v>17817</v>
      </c>
      <c r="D15011" t="s">
        <v>18785</v>
      </c>
      <c r="E15011" t="s">
        <v>31785</v>
      </c>
      <c r="F15011" t="s">
        <v>32664</v>
      </c>
      <c r="G15011" t="s">
        <v>32672</v>
      </c>
      <c r="H15011" t="s">
        <v>32683</v>
      </c>
      <c r="I15011" t="s">
        <v>10627</v>
      </c>
      <c r="J15011" t="s">
        <v>33273</v>
      </c>
      <c r="K15011" t="s">
        <v>42311</v>
      </c>
      <c r="M15011" t="s">
        <v>46456</v>
      </c>
      <c r="N15011" t="s">
        <v>46569</v>
      </c>
      <c r="O15011" t="s">
        <v>46570</v>
      </c>
      <c r="P15011">
        <v>0</v>
      </c>
      <c r="Q15011">
        <v>1</v>
      </c>
      <c r="R15011" t="s">
        <v>46592</v>
      </c>
      <c r="S15011" t="s">
        <v>47652</v>
      </c>
      <c r="T15011" t="s">
        <v>48280</v>
      </c>
      <c r="U15011" t="s">
        <v>60821</v>
      </c>
      <c r="W15011" t="s">
        <v>46456</v>
      </c>
      <c r="X15011" t="s">
        <v>46598</v>
      </c>
    </row>
    <row r="15012" spans="1:24">
      <c r="A15012">
        <f>HYPERLINK("https://www.philgeps.gov.ph/GEPSNONPILOT/Tender/SplashBidNoticeAbstractUI.aspx?menuIndex=3&amp;refID=7017400&amp;Result=3","7017400")</f>
        <v>0</v>
      </c>
      <c r="B15012" t="s">
        <v>1974</v>
      </c>
      <c r="C15012" t="s">
        <v>17818</v>
      </c>
      <c r="D15012" t="s">
        <v>18857</v>
      </c>
      <c r="E15012" t="s">
        <v>31786</v>
      </c>
      <c r="F15012" t="s">
        <v>32664</v>
      </c>
      <c r="G15012" t="s">
        <v>32672</v>
      </c>
      <c r="H15012" t="s">
        <v>32683</v>
      </c>
      <c r="I15012" t="s">
        <v>10627</v>
      </c>
      <c r="J15012" t="s">
        <v>34882</v>
      </c>
      <c r="K15012" t="s">
        <v>42311</v>
      </c>
      <c r="M15012" t="s">
        <v>44708</v>
      </c>
      <c r="N15012" t="s">
        <v>46569</v>
      </c>
      <c r="O15012" t="s">
        <v>46570</v>
      </c>
      <c r="P15012">
        <v>0</v>
      </c>
      <c r="Q15012">
        <v>0</v>
      </c>
      <c r="R15012" t="s">
        <v>46592</v>
      </c>
      <c r="S15012" t="s">
        <v>47652</v>
      </c>
      <c r="T15012" t="s">
        <v>48228</v>
      </c>
      <c r="U15012" t="s">
        <v>60822</v>
      </c>
      <c r="V15012" t="s">
        <v>62826</v>
      </c>
      <c r="W15012" t="s">
        <v>44708</v>
      </c>
      <c r="X15012" t="s">
        <v>46596</v>
      </c>
    </row>
    <row r="15013" spans="1:24">
      <c r="A15013">
        <f>HYPERLINK("https://www.philgeps.gov.ph/GEPSNONPILOT/Tender/SplashBidNoticeAbstractUI.aspx?menuIndex=3&amp;refID=7024310&amp;Result=3","7024310")</f>
        <v>0</v>
      </c>
      <c r="B15013" t="s">
        <v>49</v>
      </c>
      <c r="C15013" t="s">
        <v>17819</v>
      </c>
      <c r="D15013" t="s">
        <v>18799</v>
      </c>
      <c r="E15013" t="s">
        <v>31787</v>
      </c>
      <c r="F15013" t="s">
        <v>32664</v>
      </c>
      <c r="G15013" t="s">
        <v>32672</v>
      </c>
      <c r="H15013" t="s">
        <v>32683</v>
      </c>
      <c r="I15013" t="s">
        <v>10627</v>
      </c>
      <c r="J15013" t="s">
        <v>39017</v>
      </c>
      <c r="K15013" t="s">
        <v>42388</v>
      </c>
      <c r="M15013" t="s">
        <v>42611</v>
      </c>
      <c r="N15013" t="s">
        <v>46569</v>
      </c>
      <c r="O15013" t="s">
        <v>46570</v>
      </c>
      <c r="P15013">
        <v>0</v>
      </c>
      <c r="Q15013">
        <v>4</v>
      </c>
      <c r="R15013" t="s">
        <v>46592</v>
      </c>
      <c r="S15013" t="s">
        <v>47652</v>
      </c>
      <c r="T15013" t="s">
        <v>48356</v>
      </c>
      <c r="U15013" t="s">
        <v>60823</v>
      </c>
      <c r="V15013" t="s">
        <v>61619</v>
      </c>
      <c r="W15013" t="s">
        <v>63463</v>
      </c>
      <c r="X15013" t="s">
        <v>46593</v>
      </c>
    </row>
    <row r="15014" spans="1:24">
      <c r="A15014">
        <f>HYPERLINK("https://www.philgeps.gov.ph/GEPSNONPILOT/Tender/SplashBidNoticeAbstractUI.aspx?menuIndex=3&amp;refID=7024304&amp;Result=3","7024304")</f>
        <v>0</v>
      </c>
      <c r="B15014" t="s">
        <v>49</v>
      </c>
      <c r="C15014" t="s">
        <v>17820</v>
      </c>
      <c r="D15014" t="s">
        <v>18799</v>
      </c>
      <c r="E15014" t="s">
        <v>31788</v>
      </c>
      <c r="F15014" t="s">
        <v>32664</v>
      </c>
      <c r="G15014" t="s">
        <v>32672</v>
      </c>
      <c r="H15014" t="s">
        <v>32683</v>
      </c>
      <c r="I15014" t="s">
        <v>10627</v>
      </c>
      <c r="J15014" t="s">
        <v>41703</v>
      </c>
      <c r="K15014" t="s">
        <v>42565</v>
      </c>
      <c r="M15014" t="s">
        <v>42611</v>
      </c>
      <c r="N15014" t="s">
        <v>46569</v>
      </c>
      <c r="O15014" t="s">
        <v>46570</v>
      </c>
      <c r="P15014">
        <v>0</v>
      </c>
      <c r="Q15014">
        <v>5</v>
      </c>
      <c r="R15014" t="s">
        <v>46592</v>
      </c>
      <c r="S15014" t="s">
        <v>47652</v>
      </c>
      <c r="T15014" t="s">
        <v>48356</v>
      </c>
      <c r="U15014" t="s">
        <v>60824</v>
      </c>
      <c r="V15014" t="s">
        <v>61619</v>
      </c>
      <c r="W15014" t="s">
        <v>63463</v>
      </c>
      <c r="X15014" t="s">
        <v>46593</v>
      </c>
    </row>
    <row r="15015" spans="1:24">
      <c r="A15015">
        <f>HYPERLINK("https://www.philgeps.gov.ph/GEPSNONPILOT/Tender/SplashBidNoticeAbstractUI.aspx?menuIndex=3&amp;refID=7029785&amp;Result=3","7029785")</f>
        <v>0</v>
      </c>
      <c r="B15015" t="s">
        <v>611</v>
      </c>
      <c r="C15015" t="s">
        <v>17821</v>
      </c>
      <c r="D15015" t="s">
        <v>18805</v>
      </c>
      <c r="E15015" t="s">
        <v>31789</v>
      </c>
      <c r="F15015" t="s">
        <v>32664</v>
      </c>
      <c r="G15015" t="s">
        <v>32672</v>
      </c>
      <c r="H15015" t="s">
        <v>32683</v>
      </c>
      <c r="I15015" t="s">
        <v>10627</v>
      </c>
      <c r="J15015" t="s">
        <v>33150</v>
      </c>
      <c r="K15015" t="s">
        <v>42308</v>
      </c>
      <c r="M15015" t="s">
        <v>45121</v>
      </c>
      <c r="N15015" t="s">
        <v>46569</v>
      </c>
      <c r="O15015" t="s">
        <v>46570</v>
      </c>
      <c r="Q15015">
        <v>5</v>
      </c>
      <c r="R15015" t="s">
        <v>46591</v>
      </c>
      <c r="S15015" t="s">
        <v>47654</v>
      </c>
      <c r="T15015" t="s">
        <v>48469</v>
      </c>
      <c r="U15015" t="s">
        <v>60825</v>
      </c>
      <c r="W15015" t="s">
        <v>45121</v>
      </c>
      <c r="X15015" t="s">
        <v>46592</v>
      </c>
    </row>
    <row r="15016" spans="1:24">
      <c r="A15016">
        <f>HYPERLINK("https://www.philgeps.gov.ph/GEPSNONPILOT/Tender/SplashBidNoticeAbstractUI.aspx?menuIndex=3&amp;refID=7022780&amp;Result=3","7022780")</f>
        <v>0</v>
      </c>
      <c r="B15016" t="s">
        <v>53</v>
      </c>
      <c r="C15016" t="s">
        <v>17822</v>
      </c>
      <c r="E15016" t="s">
        <v>31790</v>
      </c>
      <c r="F15016" t="s">
        <v>32664</v>
      </c>
      <c r="G15016" t="s">
        <v>32672</v>
      </c>
      <c r="H15016" t="s">
        <v>12635</v>
      </c>
      <c r="I15016" t="s">
        <v>11464</v>
      </c>
      <c r="J15016" t="s">
        <v>32981</v>
      </c>
      <c r="K15016" t="s">
        <v>42311</v>
      </c>
      <c r="M15016" t="s">
        <v>42624</v>
      </c>
      <c r="N15016" t="s">
        <v>46569</v>
      </c>
      <c r="O15016" t="s">
        <v>46570</v>
      </c>
      <c r="P15016">
        <v>0</v>
      </c>
      <c r="Q15016">
        <v>7</v>
      </c>
      <c r="R15016" t="s">
        <v>46592</v>
      </c>
      <c r="S15016" t="s">
        <v>47652</v>
      </c>
      <c r="T15016" t="s">
        <v>48448</v>
      </c>
      <c r="U15016" t="s">
        <v>60826</v>
      </c>
      <c r="W15016" t="s">
        <v>42624</v>
      </c>
      <c r="X15016" t="s">
        <v>46594</v>
      </c>
    </row>
    <row r="15017" spans="1:24">
      <c r="A15017">
        <f>HYPERLINK("https://www.philgeps.gov.ph/GEPSNONPILOT/Tender/SplashBidNoticeAbstractUI.aspx?menuIndex=3&amp;refID=7022640&amp;Result=3","7022640")</f>
        <v>0</v>
      </c>
      <c r="B15017" t="s">
        <v>53</v>
      </c>
      <c r="C15017" t="s">
        <v>17823</v>
      </c>
      <c r="E15017" t="s">
        <v>31791</v>
      </c>
      <c r="F15017" t="s">
        <v>32664</v>
      </c>
      <c r="G15017" t="s">
        <v>32672</v>
      </c>
      <c r="H15017" t="s">
        <v>32683</v>
      </c>
      <c r="I15017" t="s">
        <v>10627</v>
      </c>
      <c r="J15017" t="s">
        <v>41704</v>
      </c>
      <c r="K15017" t="s">
        <v>42566</v>
      </c>
      <c r="M15017" t="s">
        <v>42624</v>
      </c>
      <c r="N15017" t="s">
        <v>46569</v>
      </c>
      <c r="O15017" t="s">
        <v>46570</v>
      </c>
      <c r="P15017">
        <v>0</v>
      </c>
      <c r="Q15017">
        <v>2</v>
      </c>
      <c r="R15017" t="s">
        <v>46592</v>
      </c>
      <c r="S15017" t="s">
        <v>47652</v>
      </c>
      <c r="T15017" t="s">
        <v>48448</v>
      </c>
      <c r="U15017" t="s">
        <v>60827</v>
      </c>
      <c r="W15017" t="s">
        <v>42624</v>
      </c>
      <c r="X15017" t="s">
        <v>46594</v>
      </c>
    </row>
    <row r="15018" spans="1:24">
      <c r="A15018">
        <f>HYPERLINK("https://www.philgeps.gov.ph/GEPSNONPILOT/Tender/SplashBidNoticeAbstractUI.aspx?menuIndex=3&amp;refID=7022837&amp;Result=3","7022837")</f>
        <v>0</v>
      </c>
      <c r="B15018" t="s">
        <v>53</v>
      </c>
      <c r="C15018" t="s">
        <v>17824</v>
      </c>
      <c r="E15018" t="s">
        <v>31792</v>
      </c>
      <c r="F15018" t="s">
        <v>32664</v>
      </c>
      <c r="G15018" t="s">
        <v>32672</v>
      </c>
      <c r="H15018" t="s">
        <v>12635</v>
      </c>
      <c r="I15018" t="s">
        <v>8797</v>
      </c>
      <c r="J15018" t="s">
        <v>41705</v>
      </c>
      <c r="K15018" t="s">
        <v>42284</v>
      </c>
      <c r="M15018" t="s">
        <v>42624</v>
      </c>
      <c r="N15018" t="s">
        <v>46569</v>
      </c>
      <c r="O15018" t="s">
        <v>46570</v>
      </c>
      <c r="P15018">
        <v>0</v>
      </c>
      <c r="Q15018">
        <v>5</v>
      </c>
      <c r="R15018" t="s">
        <v>46592</v>
      </c>
      <c r="S15018" t="s">
        <v>47652</v>
      </c>
      <c r="T15018" t="s">
        <v>48448</v>
      </c>
      <c r="U15018" t="s">
        <v>60828</v>
      </c>
      <c r="W15018" t="s">
        <v>42624</v>
      </c>
      <c r="X15018" t="s">
        <v>46594</v>
      </c>
    </row>
    <row r="15019" spans="1:24">
      <c r="A15019">
        <f>HYPERLINK("https://www.philgeps.gov.ph/GEPSNONPILOT/Tender/SplashBidNoticeAbstractUI.aspx?menuIndex=3&amp;refID=7022575&amp;Result=3","7022575")</f>
        <v>0</v>
      </c>
      <c r="B15019" t="s">
        <v>1974</v>
      </c>
      <c r="C15019" t="s">
        <v>17825</v>
      </c>
      <c r="D15019" t="s">
        <v>18857</v>
      </c>
      <c r="E15019" t="s">
        <v>31793</v>
      </c>
      <c r="F15019" t="s">
        <v>32664</v>
      </c>
      <c r="G15019" t="s">
        <v>32677</v>
      </c>
      <c r="H15019" t="s">
        <v>12635</v>
      </c>
      <c r="I15019" t="s">
        <v>4439</v>
      </c>
      <c r="J15019" t="s">
        <v>41706</v>
      </c>
      <c r="K15019" t="s">
        <v>42281</v>
      </c>
      <c r="M15019" t="s">
        <v>44708</v>
      </c>
      <c r="N15019" t="s">
        <v>46569</v>
      </c>
      <c r="O15019" t="s">
        <v>46570</v>
      </c>
      <c r="Q15019">
        <v>0</v>
      </c>
      <c r="R15019" t="s">
        <v>46592</v>
      </c>
      <c r="S15019" t="s">
        <v>47655</v>
      </c>
      <c r="T15019" t="s">
        <v>48228</v>
      </c>
      <c r="U15019" t="s">
        <v>60829</v>
      </c>
      <c r="V15019" t="s">
        <v>62826</v>
      </c>
      <c r="W15019" t="s">
        <v>44708</v>
      </c>
      <c r="X15019" t="s">
        <v>46594</v>
      </c>
    </row>
    <row r="15020" spans="1:24">
      <c r="A15020">
        <f>HYPERLINK("https://www.philgeps.gov.ph/GEPSNONPILOT/Tender/SplashBidNoticeAbstractUI.aspx?menuIndex=3&amp;refID=7024325&amp;Result=3","7024325")</f>
        <v>0</v>
      </c>
      <c r="B15020" t="s">
        <v>231</v>
      </c>
      <c r="C15020" t="s">
        <v>11756</v>
      </c>
      <c r="D15020" t="s">
        <v>18845</v>
      </c>
      <c r="E15020" t="s">
        <v>31794</v>
      </c>
      <c r="F15020" t="s">
        <v>32664</v>
      </c>
      <c r="G15020" t="s">
        <v>32675</v>
      </c>
      <c r="H15020" t="s">
        <v>12635</v>
      </c>
      <c r="I15020" t="s">
        <v>6223</v>
      </c>
      <c r="J15020" t="s">
        <v>41707</v>
      </c>
      <c r="K15020" t="s">
        <v>42281</v>
      </c>
      <c r="M15020" t="s">
        <v>42795</v>
      </c>
      <c r="N15020" t="s">
        <v>46569</v>
      </c>
      <c r="O15020" t="s">
        <v>46570</v>
      </c>
      <c r="Q15020">
        <v>5</v>
      </c>
      <c r="R15020" t="s">
        <v>46592</v>
      </c>
      <c r="S15020" t="s">
        <v>47656</v>
      </c>
      <c r="T15020" t="s">
        <v>48287</v>
      </c>
      <c r="U15020" t="s">
        <v>60830</v>
      </c>
      <c r="W15020" t="s">
        <v>42795</v>
      </c>
      <c r="X15020" t="s">
        <v>46593</v>
      </c>
    </row>
    <row r="15021" spans="1:24">
      <c r="A15021">
        <f>HYPERLINK("https://www.philgeps.gov.ph/GEPSNONPILOT/Tender/SplashBidNoticeAbstractUI.aspx?menuIndex=3&amp;refID=7029610&amp;Result=3","7029610")</f>
        <v>0</v>
      </c>
      <c r="B15021" t="s">
        <v>2558</v>
      </c>
      <c r="C15021" t="s">
        <v>17826</v>
      </c>
      <c r="D15021" t="s">
        <v>18846</v>
      </c>
      <c r="E15021" t="s">
        <v>31795</v>
      </c>
      <c r="F15021" t="s">
        <v>32664</v>
      </c>
      <c r="G15021" t="s">
        <v>32672</v>
      </c>
      <c r="H15021" t="s">
        <v>12635</v>
      </c>
      <c r="I15021" t="s">
        <v>8730</v>
      </c>
      <c r="J15021" t="s">
        <v>41708</v>
      </c>
      <c r="K15021" t="s">
        <v>42289</v>
      </c>
      <c r="M15021" t="s">
        <v>45369</v>
      </c>
      <c r="N15021" t="s">
        <v>46569</v>
      </c>
      <c r="O15021" t="s">
        <v>46570</v>
      </c>
      <c r="P15021">
        <v>0</v>
      </c>
      <c r="Q15021">
        <v>0</v>
      </c>
      <c r="R15021" t="s">
        <v>46591</v>
      </c>
      <c r="S15021" t="s">
        <v>47586</v>
      </c>
      <c r="T15021" t="s">
        <v>48283</v>
      </c>
      <c r="U15021" t="s">
        <v>60831</v>
      </c>
      <c r="W15021" t="s">
        <v>45369</v>
      </c>
      <c r="X15021" t="s">
        <v>46592</v>
      </c>
    </row>
    <row r="15022" spans="1:24">
      <c r="A15022">
        <f>HYPERLINK("https://www.philgeps.gov.ph/GEPSNONPILOT/Tender/SplashBidNoticeAbstractUI.aspx?menuIndex=3&amp;refID=7022259&amp;Result=3","7022259")</f>
        <v>0</v>
      </c>
      <c r="B15022" t="s">
        <v>53</v>
      </c>
      <c r="C15022" t="s">
        <v>17827</v>
      </c>
      <c r="E15022" t="s">
        <v>31796</v>
      </c>
      <c r="F15022" t="s">
        <v>32664</v>
      </c>
      <c r="G15022" t="s">
        <v>32672</v>
      </c>
      <c r="H15022" t="s">
        <v>12635</v>
      </c>
      <c r="I15022" t="s">
        <v>8797</v>
      </c>
      <c r="J15022" t="s">
        <v>41709</v>
      </c>
      <c r="K15022" t="s">
        <v>42284</v>
      </c>
      <c r="M15022" t="s">
        <v>42624</v>
      </c>
      <c r="N15022" t="s">
        <v>46569</v>
      </c>
      <c r="O15022" t="s">
        <v>46570</v>
      </c>
      <c r="P15022">
        <v>0</v>
      </c>
      <c r="Q15022">
        <v>6</v>
      </c>
      <c r="R15022" t="s">
        <v>46592</v>
      </c>
      <c r="S15022" t="s">
        <v>47652</v>
      </c>
      <c r="T15022" t="s">
        <v>48448</v>
      </c>
      <c r="U15022" t="s">
        <v>60832</v>
      </c>
      <c r="W15022" t="s">
        <v>42624</v>
      </c>
      <c r="X15022" t="s">
        <v>46594</v>
      </c>
    </row>
    <row r="15023" spans="1:24">
      <c r="A15023">
        <f>HYPERLINK("https://www.philgeps.gov.ph/GEPSNONPILOT/Tender/SplashBidNoticeAbstractUI.aspx?menuIndex=3&amp;refID=7022755&amp;Result=3","7022755")</f>
        <v>0</v>
      </c>
      <c r="B15023" t="s">
        <v>53</v>
      </c>
      <c r="C15023" t="s">
        <v>17828</v>
      </c>
      <c r="E15023" t="s">
        <v>31797</v>
      </c>
      <c r="F15023" t="s">
        <v>32664</v>
      </c>
      <c r="G15023" t="s">
        <v>32672</v>
      </c>
      <c r="H15023" t="s">
        <v>12635</v>
      </c>
      <c r="I15023" t="s">
        <v>4333</v>
      </c>
      <c r="J15023" t="s">
        <v>41710</v>
      </c>
      <c r="K15023" t="s">
        <v>42284</v>
      </c>
      <c r="M15023" t="s">
        <v>42624</v>
      </c>
      <c r="N15023" t="s">
        <v>46569</v>
      </c>
      <c r="O15023" t="s">
        <v>46570</v>
      </c>
      <c r="P15023">
        <v>0</v>
      </c>
      <c r="Q15023">
        <v>1</v>
      </c>
      <c r="R15023" t="s">
        <v>46592</v>
      </c>
      <c r="S15023" t="s">
        <v>47652</v>
      </c>
      <c r="T15023" t="s">
        <v>48448</v>
      </c>
      <c r="U15023" t="s">
        <v>60833</v>
      </c>
      <c r="W15023" t="s">
        <v>42624</v>
      </c>
      <c r="X15023" t="s">
        <v>46594</v>
      </c>
    </row>
    <row r="15024" spans="1:24">
      <c r="A15024">
        <f>HYPERLINK("https://www.philgeps.gov.ph/GEPSNONPILOT/Tender/SplashBidNoticeAbstractUI.aspx?menuIndex=3&amp;refID=7020987&amp;Result=3","7020987")</f>
        <v>0</v>
      </c>
      <c r="B15024" t="s">
        <v>1974</v>
      </c>
      <c r="C15024" t="s">
        <v>17829</v>
      </c>
      <c r="D15024" t="s">
        <v>18857</v>
      </c>
      <c r="E15024" t="s">
        <v>31798</v>
      </c>
      <c r="F15024" t="s">
        <v>32664</v>
      </c>
      <c r="G15024" t="s">
        <v>32672</v>
      </c>
      <c r="H15024" t="s">
        <v>12635</v>
      </c>
      <c r="I15024" t="s">
        <v>11464</v>
      </c>
      <c r="J15024" t="s">
        <v>32865</v>
      </c>
      <c r="K15024" t="s">
        <v>42281</v>
      </c>
      <c r="M15024" t="s">
        <v>44708</v>
      </c>
      <c r="N15024" t="s">
        <v>46569</v>
      </c>
      <c r="O15024" t="s">
        <v>46570</v>
      </c>
      <c r="P15024">
        <v>0</v>
      </c>
      <c r="Q15024">
        <v>4</v>
      </c>
      <c r="R15024" t="s">
        <v>46592</v>
      </c>
      <c r="S15024" t="s">
        <v>47652</v>
      </c>
      <c r="T15024" t="s">
        <v>48228</v>
      </c>
      <c r="U15024" t="s">
        <v>60834</v>
      </c>
      <c r="V15024" t="s">
        <v>63291</v>
      </c>
      <c r="W15024" t="s">
        <v>44708</v>
      </c>
      <c r="X15024" t="s">
        <v>46598</v>
      </c>
    </row>
    <row r="15025" spans="1:24">
      <c r="A15025">
        <f>HYPERLINK("https://www.philgeps.gov.ph/GEPSNONPILOT/Tender/SplashBidNoticeAbstractUI.aspx?menuIndex=3&amp;refID=7024528&amp;Result=3","7024528")</f>
        <v>0</v>
      </c>
      <c r="B15025" t="s">
        <v>3465</v>
      </c>
      <c r="C15025" t="s">
        <v>17830</v>
      </c>
      <c r="D15025" t="s">
        <v>18851</v>
      </c>
      <c r="E15025" t="s">
        <v>31799</v>
      </c>
      <c r="F15025" t="s">
        <v>32664</v>
      </c>
      <c r="G15025" t="s">
        <v>32672</v>
      </c>
      <c r="H15025" t="s">
        <v>32683</v>
      </c>
      <c r="I15025" t="s">
        <v>10627</v>
      </c>
      <c r="J15025" t="s">
        <v>41711</v>
      </c>
      <c r="K15025" t="s">
        <v>42369</v>
      </c>
      <c r="M15025" t="s">
        <v>46457</v>
      </c>
      <c r="N15025" t="s">
        <v>46569</v>
      </c>
      <c r="O15025" t="s">
        <v>46570</v>
      </c>
      <c r="P15025">
        <v>0</v>
      </c>
      <c r="Q15025">
        <v>5</v>
      </c>
      <c r="R15025" t="s">
        <v>46592</v>
      </c>
      <c r="S15025" t="s">
        <v>47652</v>
      </c>
      <c r="T15025" t="s">
        <v>48221</v>
      </c>
      <c r="U15025" t="s">
        <v>60835</v>
      </c>
      <c r="W15025" t="s">
        <v>46457</v>
      </c>
      <c r="X15025" t="s">
        <v>46593</v>
      </c>
    </row>
    <row r="15026" spans="1:24">
      <c r="A15026">
        <f>HYPERLINK("https://www.philgeps.gov.ph/GEPSNONPILOT/Tender/SplashBidNoticeAbstractUI.aspx?menuIndex=3&amp;refID=7029620&amp;Result=3","7029620")</f>
        <v>0</v>
      </c>
      <c r="B15026" t="s">
        <v>2558</v>
      </c>
      <c r="C15026" t="s">
        <v>17831</v>
      </c>
      <c r="D15026" t="s">
        <v>18846</v>
      </c>
      <c r="E15026" t="s">
        <v>31800</v>
      </c>
      <c r="F15026" t="s">
        <v>32664</v>
      </c>
      <c r="G15026" t="s">
        <v>32672</v>
      </c>
      <c r="H15026" t="s">
        <v>12635</v>
      </c>
      <c r="I15026" t="s">
        <v>6168</v>
      </c>
      <c r="J15026" t="s">
        <v>41712</v>
      </c>
      <c r="K15026" t="s">
        <v>42289</v>
      </c>
      <c r="M15026" t="s">
        <v>45369</v>
      </c>
      <c r="N15026" t="s">
        <v>46569</v>
      </c>
      <c r="O15026" t="s">
        <v>46570</v>
      </c>
      <c r="P15026">
        <v>0</v>
      </c>
      <c r="Q15026">
        <v>2</v>
      </c>
      <c r="R15026" t="s">
        <v>46591</v>
      </c>
      <c r="S15026" t="s">
        <v>47586</v>
      </c>
      <c r="T15026" t="s">
        <v>48283</v>
      </c>
      <c r="U15026" t="s">
        <v>60836</v>
      </c>
      <c r="W15026" t="s">
        <v>45369</v>
      </c>
      <c r="X15026" t="s">
        <v>46592</v>
      </c>
    </row>
    <row r="15027" spans="1:24">
      <c r="A15027">
        <f>HYPERLINK("https://www.philgeps.gov.ph/GEPSNONPILOT/Tender/SplashBidNoticeAbstractUI.aspx?menuIndex=3&amp;refID=7022239&amp;Result=3","7022239")</f>
        <v>0</v>
      </c>
      <c r="B15027" t="s">
        <v>1974</v>
      </c>
      <c r="C15027" t="s">
        <v>17832</v>
      </c>
      <c r="D15027" t="s">
        <v>18857</v>
      </c>
      <c r="E15027" t="s">
        <v>31801</v>
      </c>
      <c r="F15027" t="s">
        <v>32664</v>
      </c>
      <c r="G15027" t="s">
        <v>32672</v>
      </c>
      <c r="H15027" t="s">
        <v>12635</v>
      </c>
      <c r="I15027" t="s">
        <v>11464</v>
      </c>
      <c r="J15027" t="s">
        <v>32981</v>
      </c>
      <c r="K15027" t="s">
        <v>42281</v>
      </c>
      <c r="M15027" t="s">
        <v>44708</v>
      </c>
      <c r="N15027" t="s">
        <v>46569</v>
      </c>
      <c r="O15027" t="s">
        <v>46570</v>
      </c>
      <c r="Q15027">
        <v>7</v>
      </c>
      <c r="R15027" t="s">
        <v>46592</v>
      </c>
      <c r="S15027" t="s">
        <v>47657</v>
      </c>
      <c r="T15027" t="s">
        <v>48228</v>
      </c>
      <c r="U15027" t="s">
        <v>60837</v>
      </c>
      <c r="V15027" t="s">
        <v>63292</v>
      </c>
      <c r="W15027" t="s">
        <v>44708</v>
      </c>
      <c r="X15027" t="s">
        <v>46594</v>
      </c>
    </row>
    <row r="15028" spans="1:24">
      <c r="A15028">
        <f>HYPERLINK("https://www.philgeps.gov.ph/GEPSNONPILOT/Tender/SplashBidNoticeAbstractUI.aspx?menuIndex=3&amp;refID=7023349&amp;Result=3","7023349")</f>
        <v>0</v>
      </c>
      <c r="B15028" t="s">
        <v>1974</v>
      </c>
      <c r="C15028" t="s">
        <v>17833</v>
      </c>
      <c r="D15028" t="s">
        <v>18857</v>
      </c>
      <c r="E15028" t="s">
        <v>31802</v>
      </c>
      <c r="F15028" t="s">
        <v>32664</v>
      </c>
      <c r="G15028" t="s">
        <v>32672</v>
      </c>
      <c r="H15028" t="s">
        <v>12635</v>
      </c>
      <c r="I15028" t="s">
        <v>32688</v>
      </c>
      <c r="J15028" t="s">
        <v>41713</v>
      </c>
      <c r="K15028" t="s">
        <v>42281</v>
      </c>
      <c r="M15028" t="s">
        <v>44708</v>
      </c>
      <c r="N15028" t="s">
        <v>46569</v>
      </c>
      <c r="O15028" t="s">
        <v>46570</v>
      </c>
      <c r="P15028">
        <v>0</v>
      </c>
      <c r="Q15028">
        <v>2</v>
      </c>
      <c r="R15028" t="s">
        <v>46592</v>
      </c>
      <c r="S15028" t="s">
        <v>47652</v>
      </c>
      <c r="T15028" t="s">
        <v>48228</v>
      </c>
      <c r="U15028" t="s">
        <v>60838</v>
      </c>
      <c r="V15028" t="s">
        <v>63293</v>
      </c>
      <c r="W15028" t="s">
        <v>44708</v>
      </c>
      <c r="X15028" t="s">
        <v>46594</v>
      </c>
    </row>
    <row r="15029" spans="1:24">
      <c r="A15029">
        <f>HYPERLINK("https://www.philgeps.gov.ph/GEPSNONPILOT/Tender/SplashBidNoticeAbstractUI.aspx?menuIndex=3&amp;refID=7024873&amp;Result=3","7024873")</f>
        <v>0</v>
      </c>
      <c r="B15029" t="s">
        <v>1269</v>
      </c>
      <c r="C15029" t="s">
        <v>17834</v>
      </c>
      <c r="D15029" t="s">
        <v>18851</v>
      </c>
      <c r="E15029" t="s">
        <v>31803</v>
      </c>
      <c r="F15029" t="s">
        <v>32664</v>
      </c>
      <c r="G15029" t="s">
        <v>32672</v>
      </c>
      <c r="H15029" t="s">
        <v>12635</v>
      </c>
      <c r="I15029" t="s">
        <v>8797</v>
      </c>
      <c r="J15029" t="s">
        <v>41714</v>
      </c>
      <c r="K15029" t="s">
        <v>42281</v>
      </c>
      <c r="M15029" t="s">
        <v>43912</v>
      </c>
      <c r="N15029" t="s">
        <v>46569</v>
      </c>
      <c r="O15029" t="s">
        <v>46570</v>
      </c>
      <c r="P15029">
        <v>0</v>
      </c>
      <c r="Q15029">
        <v>3</v>
      </c>
      <c r="R15029" t="s">
        <v>46592</v>
      </c>
      <c r="S15029" t="s">
        <v>47652</v>
      </c>
      <c r="T15029" t="s">
        <v>48244</v>
      </c>
      <c r="U15029" t="s">
        <v>60839</v>
      </c>
      <c r="W15029" t="s">
        <v>43912</v>
      </c>
      <c r="X15029" t="s">
        <v>46593</v>
      </c>
    </row>
    <row r="15030" spans="1:24">
      <c r="A15030">
        <f>HYPERLINK("https://www.philgeps.gov.ph/GEPSNONPILOT/Tender/SplashBidNoticeAbstractUI.aspx?menuIndex=3&amp;refID=7020778&amp;Result=3","7020778")</f>
        <v>0</v>
      </c>
      <c r="B15030" t="s">
        <v>1974</v>
      </c>
      <c r="C15030" t="s">
        <v>17835</v>
      </c>
      <c r="D15030" t="s">
        <v>18857</v>
      </c>
      <c r="E15030" t="s">
        <v>31804</v>
      </c>
      <c r="F15030" t="s">
        <v>32664</v>
      </c>
      <c r="G15030" t="s">
        <v>32672</v>
      </c>
      <c r="H15030" t="s">
        <v>12635</v>
      </c>
      <c r="I15030" t="s">
        <v>32698</v>
      </c>
      <c r="J15030" t="s">
        <v>38025</v>
      </c>
      <c r="K15030" t="s">
        <v>42281</v>
      </c>
      <c r="M15030" t="s">
        <v>44708</v>
      </c>
      <c r="N15030" t="s">
        <v>46569</v>
      </c>
      <c r="O15030" t="s">
        <v>46570</v>
      </c>
      <c r="P15030">
        <v>0</v>
      </c>
      <c r="Q15030">
        <v>1</v>
      </c>
      <c r="R15030" t="s">
        <v>46592</v>
      </c>
      <c r="S15030" t="s">
        <v>47652</v>
      </c>
      <c r="T15030" t="s">
        <v>48228</v>
      </c>
      <c r="U15030" t="s">
        <v>60840</v>
      </c>
      <c r="W15030" t="s">
        <v>44708</v>
      </c>
      <c r="X15030" t="s">
        <v>46598</v>
      </c>
    </row>
    <row r="15031" spans="1:24">
      <c r="A15031">
        <f>HYPERLINK("https://www.philgeps.gov.ph/GEPSNONPILOT/Tender/SplashBidNoticeAbstractUI.aspx?menuIndex=3&amp;refID=7024850&amp;Result=3","7024850")</f>
        <v>0</v>
      </c>
      <c r="B15031" t="s">
        <v>3466</v>
      </c>
      <c r="C15031" t="s">
        <v>17836</v>
      </c>
      <c r="D15031" t="s">
        <v>18824</v>
      </c>
      <c r="E15031" t="s">
        <v>31805</v>
      </c>
      <c r="F15031" t="s">
        <v>32664</v>
      </c>
      <c r="G15031" t="s">
        <v>32672</v>
      </c>
      <c r="H15031" t="s">
        <v>32683</v>
      </c>
      <c r="I15031" t="s">
        <v>10627</v>
      </c>
      <c r="J15031" t="s">
        <v>41715</v>
      </c>
      <c r="K15031" t="s">
        <v>42376</v>
      </c>
      <c r="M15031" t="s">
        <v>46458</v>
      </c>
      <c r="N15031" t="s">
        <v>46569</v>
      </c>
      <c r="O15031" t="s">
        <v>46570</v>
      </c>
      <c r="Q15031">
        <v>7</v>
      </c>
      <c r="R15031" t="s">
        <v>46592</v>
      </c>
      <c r="S15031" t="s">
        <v>46866</v>
      </c>
      <c r="T15031" t="s">
        <v>48539</v>
      </c>
      <c r="U15031" t="s">
        <v>60841</v>
      </c>
      <c r="W15031" t="s">
        <v>46458</v>
      </c>
      <c r="X15031" t="s">
        <v>46593</v>
      </c>
    </row>
    <row r="15032" spans="1:24">
      <c r="A15032">
        <f>HYPERLINK("https://www.philgeps.gov.ph/GEPSNONPILOT/Tender/SplashBidNoticeAbstractUI.aspx?menuIndex=3&amp;refID=7024846&amp;Result=3","7024846")</f>
        <v>0</v>
      </c>
      <c r="B15032" t="s">
        <v>3467</v>
      </c>
      <c r="C15032" t="s">
        <v>17837</v>
      </c>
      <c r="D15032" t="s">
        <v>18816</v>
      </c>
      <c r="E15032" t="s">
        <v>31806</v>
      </c>
      <c r="F15032" t="s">
        <v>32664</v>
      </c>
      <c r="G15032" t="s">
        <v>32672</v>
      </c>
      <c r="H15032" t="s">
        <v>32683</v>
      </c>
      <c r="I15032" t="s">
        <v>10627</v>
      </c>
      <c r="J15032" t="s">
        <v>41716</v>
      </c>
      <c r="K15032" t="s">
        <v>42567</v>
      </c>
      <c r="M15032" t="s">
        <v>46459</v>
      </c>
      <c r="N15032" t="s">
        <v>46569</v>
      </c>
      <c r="O15032" t="s">
        <v>46570</v>
      </c>
      <c r="P15032">
        <v>0</v>
      </c>
      <c r="Q15032">
        <v>0</v>
      </c>
      <c r="R15032" t="s">
        <v>46592</v>
      </c>
      <c r="S15032" t="s">
        <v>47652</v>
      </c>
      <c r="T15032" t="s">
        <v>48283</v>
      </c>
      <c r="U15032" t="s">
        <v>60842</v>
      </c>
      <c r="W15032" t="s">
        <v>46459</v>
      </c>
      <c r="X15032" t="s">
        <v>46593</v>
      </c>
    </row>
    <row r="15033" spans="1:24">
      <c r="A15033">
        <f>HYPERLINK("https://www.philgeps.gov.ph/GEPSNONPILOT/Tender/SplashBidNoticeAbstractUI.aspx?menuIndex=3&amp;refID=7023755&amp;Result=3","7023755")</f>
        <v>0</v>
      </c>
      <c r="B15033" t="s">
        <v>1321</v>
      </c>
      <c r="C15033" t="s">
        <v>17838</v>
      </c>
      <c r="D15033" t="s">
        <v>18827</v>
      </c>
      <c r="E15033" t="s">
        <v>31807</v>
      </c>
      <c r="F15033" t="s">
        <v>32664</v>
      </c>
      <c r="G15033" t="s">
        <v>32672</v>
      </c>
      <c r="H15033" t="s">
        <v>32683</v>
      </c>
      <c r="I15033" t="s">
        <v>32783</v>
      </c>
      <c r="J15033" t="s">
        <v>41717</v>
      </c>
      <c r="K15033" t="s">
        <v>42308</v>
      </c>
      <c r="M15033" t="s">
        <v>43970</v>
      </c>
      <c r="N15033" t="s">
        <v>46569</v>
      </c>
      <c r="O15033" t="s">
        <v>46570</v>
      </c>
      <c r="Q15033">
        <v>10</v>
      </c>
      <c r="R15033" t="s">
        <v>46592</v>
      </c>
      <c r="S15033" t="s">
        <v>47658</v>
      </c>
      <c r="T15033" t="s">
        <v>48314</v>
      </c>
      <c r="U15033" t="s">
        <v>60843</v>
      </c>
      <c r="W15033" t="s">
        <v>43970</v>
      </c>
      <c r="X15033" t="s">
        <v>46594</v>
      </c>
    </row>
    <row r="15034" spans="1:24">
      <c r="A15034">
        <f>HYPERLINK("https://www.philgeps.gov.ph/GEPSNONPILOT/Tender/SplashBidNoticeAbstractUI.aspx?menuIndex=3&amp;refID=7024827&amp;Result=3","7024827")</f>
        <v>0</v>
      </c>
      <c r="B15034" t="s">
        <v>3468</v>
      </c>
      <c r="C15034" t="s">
        <v>17839</v>
      </c>
      <c r="D15034" t="s">
        <v>18807</v>
      </c>
      <c r="E15034" t="s">
        <v>31808</v>
      </c>
      <c r="F15034" t="s">
        <v>32664</v>
      </c>
      <c r="G15034" t="s">
        <v>32672</v>
      </c>
      <c r="H15034" t="s">
        <v>12635</v>
      </c>
      <c r="I15034" t="s">
        <v>9946</v>
      </c>
      <c r="J15034" t="s">
        <v>32837</v>
      </c>
      <c r="K15034" t="s">
        <v>42289</v>
      </c>
      <c r="M15034" t="s">
        <v>46460</v>
      </c>
      <c r="N15034" t="s">
        <v>46569</v>
      </c>
      <c r="O15034" t="s">
        <v>46570</v>
      </c>
      <c r="P15034">
        <v>0</v>
      </c>
      <c r="Q15034">
        <v>0</v>
      </c>
      <c r="R15034" t="s">
        <v>46592</v>
      </c>
      <c r="S15034" t="s">
        <v>47652</v>
      </c>
      <c r="T15034" t="s">
        <v>48290</v>
      </c>
      <c r="U15034" t="s">
        <v>60844</v>
      </c>
      <c r="W15034" t="s">
        <v>63599</v>
      </c>
      <c r="X15034" t="s">
        <v>46593</v>
      </c>
    </row>
    <row r="15035" spans="1:24">
      <c r="A15035">
        <f>HYPERLINK("https://www.philgeps.gov.ph/GEPSNONPILOT/Tender/SplashBidNoticeAbstractUI.aspx?menuIndex=3&amp;refID=7024807&amp;Result=3","7024807")</f>
        <v>0</v>
      </c>
      <c r="B15035" t="s">
        <v>773</v>
      </c>
      <c r="C15035" t="s">
        <v>17840</v>
      </c>
      <c r="D15035" t="s">
        <v>18821</v>
      </c>
      <c r="E15035" t="s">
        <v>31809</v>
      </c>
      <c r="F15035" t="s">
        <v>32664</v>
      </c>
      <c r="G15035" t="s">
        <v>32672</v>
      </c>
      <c r="H15035" t="s">
        <v>12635</v>
      </c>
      <c r="I15035" t="s">
        <v>10590</v>
      </c>
      <c r="J15035" t="s">
        <v>41718</v>
      </c>
      <c r="K15035" t="s">
        <v>42284</v>
      </c>
      <c r="M15035" t="s">
        <v>46461</v>
      </c>
      <c r="N15035" t="s">
        <v>46569</v>
      </c>
      <c r="O15035" t="s">
        <v>46570</v>
      </c>
      <c r="P15035">
        <v>0</v>
      </c>
      <c r="Q15035">
        <v>0</v>
      </c>
      <c r="R15035" t="s">
        <v>46592</v>
      </c>
      <c r="S15035" t="s">
        <v>47652</v>
      </c>
      <c r="T15035" t="s">
        <v>48314</v>
      </c>
      <c r="U15035" t="s">
        <v>60845</v>
      </c>
      <c r="W15035" t="s">
        <v>46461</v>
      </c>
      <c r="X15035" t="s">
        <v>46593</v>
      </c>
    </row>
    <row r="15036" spans="1:24">
      <c r="A15036">
        <f>HYPERLINK("https://www.philgeps.gov.ph/GEPSNONPILOT/Tender/SplashBidNoticeAbstractUI.aspx?menuIndex=3&amp;refID=7022393&amp;Result=3","7022393")</f>
        <v>0</v>
      </c>
      <c r="B15036" t="s">
        <v>471</v>
      </c>
      <c r="C15036" t="s">
        <v>17841</v>
      </c>
      <c r="D15036" t="s">
        <v>18785</v>
      </c>
      <c r="E15036" t="s">
        <v>31810</v>
      </c>
      <c r="F15036" t="s">
        <v>32664</v>
      </c>
      <c r="G15036" t="s">
        <v>32672</v>
      </c>
      <c r="H15036" t="s">
        <v>32683</v>
      </c>
      <c r="I15036" t="s">
        <v>10627</v>
      </c>
      <c r="J15036" t="s">
        <v>32981</v>
      </c>
      <c r="K15036" t="s">
        <v>42283</v>
      </c>
      <c r="M15036" t="s">
        <v>43046</v>
      </c>
      <c r="N15036" t="s">
        <v>46569</v>
      </c>
      <c r="O15036" t="s">
        <v>46570</v>
      </c>
      <c r="P15036">
        <v>0</v>
      </c>
      <c r="Q15036">
        <v>1</v>
      </c>
      <c r="R15036" t="s">
        <v>46592</v>
      </c>
      <c r="S15036" t="s">
        <v>47652</v>
      </c>
      <c r="T15036" t="s">
        <v>48449</v>
      </c>
      <c r="U15036" t="s">
        <v>60846</v>
      </c>
      <c r="W15036" t="s">
        <v>43046</v>
      </c>
      <c r="X15036" t="s">
        <v>46594</v>
      </c>
    </row>
    <row r="15037" spans="1:24">
      <c r="A15037">
        <f>HYPERLINK("https://www.philgeps.gov.ph/GEPSNONPILOT/Tender/SplashBidNoticeAbstractUI.aspx?menuIndex=3&amp;refID=7024904&amp;Result=3","7024904")</f>
        <v>0</v>
      </c>
      <c r="B15037" t="s">
        <v>3467</v>
      </c>
      <c r="C15037" t="s">
        <v>17842</v>
      </c>
      <c r="D15037" t="s">
        <v>18816</v>
      </c>
      <c r="E15037" t="s">
        <v>31811</v>
      </c>
      <c r="F15037" t="s">
        <v>32664</v>
      </c>
      <c r="G15037" t="s">
        <v>32672</v>
      </c>
      <c r="H15037" t="s">
        <v>32683</v>
      </c>
      <c r="I15037" t="s">
        <v>10627</v>
      </c>
      <c r="J15037" t="s">
        <v>41719</v>
      </c>
      <c r="K15037" t="s">
        <v>42314</v>
      </c>
      <c r="M15037" t="s">
        <v>46459</v>
      </c>
      <c r="N15037" t="s">
        <v>46569</v>
      </c>
      <c r="O15037" t="s">
        <v>46570</v>
      </c>
      <c r="P15037">
        <v>0</v>
      </c>
      <c r="Q15037">
        <v>0</v>
      </c>
      <c r="R15037" t="s">
        <v>46592</v>
      </c>
      <c r="S15037" t="s">
        <v>47652</v>
      </c>
      <c r="T15037" t="s">
        <v>48283</v>
      </c>
      <c r="U15037" t="s">
        <v>60847</v>
      </c>
      <c r="W15037" t="s">
        <v>46459</v>
      </c>
      <c r="X15037" t="s">
        <v>46593</v>
      </c>
    </row>
    <row r="15038" spans="1:24">
      <c r="A15038">
        <f>HYPERLINK("https://www.philgeps.gov.ph/GEPSNONPILOT/Tender/SplashBidNoticeAbstractUI.aspx?menuIndex=3&amp;refID=7024638&amp;Result=3","7024638")</f>
        <v>0</v>
      </c>
      <c r="B15038" t="s">
        <v>656</v>
      </c>
      <c r="C15038" t="s">
        <v>17843</v>
      </c>
      <c r="D15038" t="s">
        <v>18801</v>
      </c>
      <c r="E15038" t="s">
        <v>31812</v>
      </c>
      <c r="F15038" t="s">
        <v>32664</v>
      </c>
      <c r="G15038" t="s">
        <v>32672</v>
      </c>
      <c r="H15038" t="s">
        <v>12635</v>
      </c>
      <c r="I15038" t="s">
        <v>11464</v>
      </c>
      <c r="J15038" t="s">
        <v>41720</v>
      </c>
      <c r="K15038" t="s">
        <v>42283</v>
      </c>
      <c r="M15038" t="s">
        <v>43243</v>
      </c>
      <c r="N15038" t="s">
        <v>46569</v>
      </c>
      <c r="O15038" t="s">
        <v>46570</v>
      </c>
      <c r="P15038">
        <v>0</v>
      </c>
      <c r="Q15038">
        <v>13</v>
      </c>
      <c r="R15038" t="s">
        <v>46592</v>
      </c>
      <c r="S15038" t="s">
        <v>47652</v>
      </c>
      <c r="T15038" t="s">
        <v>48373</v>
      </c>
      <c r="U15038" t="s">
        <v>60848</v>
      </c>
      <c r="W15038" t="s">
        <v>43243</v>
      </c>
      <c r="X15038" t="s">
        <v>46593</v>
      </c>
    </row>
    <row r="15039" spans="1:24">
      <c r="A15039">
        <f>HYPERLINK("https://www.philgeps.gov.ph/GEPSNONPILOT/Tender/SplashBidNoticeAbstractUI.aspx?menuIndex=3&amp;refID=7022167&amp;Result=3","7022167")</f>
        <v>0</v>
      </c>
      <c r="B15039" t="s">
        <v>732</v>
      </c>
      <c r="C15039" t="s">
        <v>13573</v>
      </c>
      <c r="D15039" t="s">
        <v>18841</v>
      </c>
      <c r="E15039" t="s">
        <v>31813</v>
      </c>
      <c r="F15039" t="s">
        <v>32664</v>
      </c>
      <c r="G15039" t="s">
        <v>32672</v>
      </c>
      <c r="H15039" t="s">
        <v>12635</v>
      </c>
      <c r="I15039" t="s">
        <v>4439</v>
      </c>
      <c r="J15039" t="s">
        <v>41721</v>
      </c>
      <c r="K15039" t="s">
        <v>42284</v>
      </c>
      <c r="M15039" t="s">
        <v>43321</v>
      </c>
      <c r="N15039" t="s">
        <v>46569</v>
      </c>
      <c r="O15039" t="s">
        <v>46570</v>
      </c>
      <c r="P15039">
        <v>0</v>
      </c>
      <c r="Q15039">
        <v>0</v>
      </c>
      <c r="R15039" t="s">
        <v>46592</v>
      </c>
      <c r="S15039" t="s">
        <v>47652</v>
      </c>
      <c r="T15039" t="s">
        <v>48376</v>
      </c>
      <c r="U15039" t="s">
        <v>60849</v>
      </c>
      <c r="W15039" t="s">
        <v>43321</v>
      </c>
      <c r="X15039" t="s">
        <v>46594</v>
      </c>
    </row>
    <row r="15040" spans="1:24">
      <c r="A15040">
        <f>HYPERLINK("https://www.philgeps.gov.ph/GEPSNONPILOT/Tender/SplashBidNoticeAbstractUI.aspx?menuIndex=3&amp;refID=7024611&amp;Result=3","7024611")</f>
        <v>0</v>
      </c>
      <c r="B15040" t="s">
        <v>1609</v>
      </c>
      <c r="C15040" t="s">
        <v>17844</v>
      </c>
      <c r="D15040" t="s">
        <v>18782</v>
      </c>
      <c r="E15040" t="s">
        <v>31814</v>
      </c>
      <c r="F15040" t="s">
        <v>32664</v>
      </c>
      <c r="G15040" t="s">
        <v>32672</v>
      </c>
      <c r="H15040" t="s">
        <v>12635</v>
      </c>
      <c r="I15040" t="s">
        <v>32694</v>
      </c>
      <c r="J15040" t="s">
        <v>41722</v>
      </c>
      <c r="K15040" t="s">
        <v>42281</v>
      </c>
      <c r="M15040" t="s">
        <v>44288</v>
      </c>
      <c r="N15040" t="s">
        <v>46569</v>
      </c>
      <c r="O15040" t="s">
        <v>46570</v>
      </c>
      <c r="Q15040">
        <v>5</v>
      </c>
      <c r="R15040" t="s">
        <v>46592</v>
      </c>
      <c r="S15040" t="s">
        <v>47659</v>
      </c>
      <c r="T15040" t="s">
        <v>48221</v>
      </c>
      <c r="U15040" t="s">
        <v>60850</v>
      </c>
      <c r="V15040" t="s">
        <v>62088</v>
      </c>
      <c r="W15040" t="s">
        <v>44288</v>
      </c>
      <c r="X15040" t="s">
        <v>46593</v>
      </c>
    </row>
    <row r="15041" spans="1:24">
      <c r="A15041">
        <f>HYPERLINK("https://www.philgeps.gov.ph/GEPSNONPILOT/Tender/SplashBidNoticeAbstractUI.aspx?menuIndex=3&amp;refID=7024839&amp;Result=3","7024839")</f>
        <v>0</v>
      </c>
      <c r="B15041" t="s">
        <v>1847</v>
      </c>
      <c r="C15041" t="s">
        <v>17845</v>
      </c>
      <c r="D15041" t="s">
        <v>18837</v>
      </c>
      <c r="E15041" t="s">
        <v>26499</v>
      </c>
      <c r="F15041" t="s">
        <v>32664</v>
      </c>
      <c r="G15041" t="s">
        <v>32672</v>
      </c>
      <c r="H15041" t="s">
        <v>12635</v>
      </c>
      <c r="I15041" t="s">
        <v>9486</v>
      </c>
      <c r="J15041" t="s">
        <v>41723</v>
      </c>
      <c r="K15041" t="s">
        <v>42281</v>
      </c>
      <c r="M15041" t="s">
        <v>44556</v>
      </c>
      <c r="N15041" t="s">
        <v>46569</v>
      </c>
      <c r="O15041" t="s">
        <v>46570</v>
      </c>
      <c r="Q15041">
        <v>3</v>
      </c>
      <c r="R15041" t="s">
        <v>46592</v>
      </c>
      <c r="S15041" t="s">
        <v>47660</v>
      </c>
      <c r="T15041" t="s">
        <v>48448</v>
      </c>
      <c r="U15041" t="s">
        <v>60851</v>
      </c>
      <c r="W15041" t="s">
        <v>44556</v>
      </c>
      <c r="X15041" t="s">
        <v>46593</v>
      </c>
    </row>
    <row r="15042" spans="1:24">
      <c r="A15042">
        <f>HYPERLINK("https://www.philgeps.gov.ph/GEPSNONPILOT/Tender/SplashBidNoticeAbstractUI.aspx?menuIndex=3&amp;refID=7024537&amp;Result=3","7024537")</f>
        <v>0</v>
      </c>
      <c r="B15042" t="s">
        <v>656</v>
      </c>
      <c r="C15042" t="s">
        <v>17846</v>
      </c>
      <c r="D15042" t="s">
        <v>18801</v>
      </c>
      <c r="E15042" t="s">
        <v>31815</v>
      </c>
      <c r="F15042" t="s">
        <v>32664</v>
      </c>
      <c r="G15042" t="s">
        <v>32672</v>
      </c>
      <c r="H15042" t="s">
        <v>12635</v>
      </c>
      <c r="I15042" t="s">
        <v>32689</v>
      </c>
      <c r="J15042" t="s">
        <v>41724</v>
      </c>
      <c r="K15042" t="s">
        <v>42283</v>
      </c>
      <c r="M15042" t="s">
        <v>43243</v>
      </c>
      <c r="N15042" t="s">
        <v>46569</v>
      </c>
      <c r="O15042" t="s">
        <v>46570</v>
      </c>
      <c r="P15042">
        <v>0</v>
      </c>
      <c r="Q15042">
        <v>9</v>
      </c>
      <c r="R15042" t="s">
        <v>46592</v>
      </c>
      <c r="S15042" t="s">
        <v>47652</v>
      </c>
      <c r="T15042" t="s">
        <v>48268</v>
      </c>
      <c r="U15042" t="s">
        <v>60848</v>
      </c>
      <c r="W15042" t="s">
        <v>43243</v>
      </c>
      <c r="X15042" t="s">
        <v>46593</v>
      </c>
    </row>
    <row r="15043" spans="1:24">
      <c r="A15043">
        <f>HYPERLINK("https://www.philgeps.gov.ph/GEPSNONPILOT/Tender/SplashBidNoticeAbstractUI.aspx?menuIndex=3&amp;refID=7024490&amp;Result=3","7024490")</f>
        <v>0</v>
      </c>
      <c r="B15043" t="s">
        <v>656</v>
      </c>
      <c r="C15043" t="s">
        <v>17847</v>
      </c>
      <c r="D15043" t="s">
        <v>18801</v>
      </c>
      <c r="E15043" t="s">
        <v>31816</v>
      </c>
      <c r="F15043" t="s">
        <v>32664</v>
      </c>
      <c r="G15043" t="s">
        <v>32672</v>
      </c>
      <c r="H15043" t="s">
        <v>12635</v>
      </c>
      <c r="I15043" t="s">
        <v>32700</v>
      </c>
      <c r="J15043" t="s">
        <v>32981</v>
      </c>
      <c r="K15043" t="s">
        <v>42283</v>
      </c>
      <c r="M15043" t="s">
        <v>43243</v>
      </c>
      <c r="N15043" t="s">
        <v>46569</v>
      </c>
      <c r="O15043" t="s">
        <v>46570</v>
      </c>
      <c r="P15043">
        <v>0</v>
      </c>
      <c r="Q15043">
        <v>2</v>
      </c>
      <c r="R15043" t="s">
        <v>46592</v>
      </c>
      <c r="S15043" t="s">
        <v>47652</v>
      </c>
      <c r="T15043" t="s">
        <v>48373</v>
      </c>
      <c r="U15043" t="s">
        <v>60848</v>
      </c>
      <c r="W15043" t="s">
        <v>43243</v>
      </c>
      <c r="X15043" t="s">
        <v>46593</v>
      </c>
    </row>
    <row r="15044" spans="1:24">
      <c r="A15044">
        <f>HYPERLINK("https://www.philgeps.gov.ph/GEPSNONPILOT/Tender/SplashBidNoticeAbstractUI.aspx?menuIndex=3&amp;refID=7024878&amp;Result=3","7024878")</f>
        <v>0</v>
      </c>
      <c r="B15044" t="s">
        <v>3467</v>
      </c>
      <c r="C15044" t="s">
        <v>17848</v>
      </c>
      <c r="D15044" t="s">
        <v>18816</v>
      </c>
      <c r="E15044" t="s">
        <v>31817</v>
      </c>
      <c r="F15044" t="s">
        <v>32664</v>
      </c>
      <c r="G15044" t="s">
        <v>32672</v>
      </c>
      <c r="H15044" t="s">
        <v>32683</v>
      </c>
      <c r="I15044" t="s">
        <v>10627</v>
      </c>
      <c r="J15044" t="s">
        <v>41725</v>
      </c>
      <c r="K15044" t="s">
        <v>42315</v>
      </c>
      <c r="M15044" t="s">
        <v>46459</v>
      </c>
      <c r="N15044" t="s">
        <v>46569</v>
      </c>
      <c r="O15044" t="s">
        <v>46570</v>
      </c>
      <c r="P15044">
        <v>0</v>
      </c>
      <c r="Q15044">
        <v>0</v>
      </c>
      <c r="R15044" t="s">
        <v>46592</v>
      </c>
      <c r="S15044" t="s">
        <v>47652</v>
      </c>
      <c r="T15044" t="s">
        <v>48283</v>
      </c>
      <c r="U15044" t="s">
        <v>60852</v>
      </c>
      <c r="W15044" t="s">
        <v>46459</v>
      </c>
      <c r="X15044" t="s">
        <v>46593</v>
      </c>
    </row>
    <row r="15045" spans="1:24">
      <c r="A15045">
        <f>HYPERLINK("https://www.philgeps.gov.ph/GEPSNONPILOT/Tender/SplashBidNoticeAbstractUI.aspx?menuIndex=3&amp;refID=7024397&amp;Result=3","7024397")</f>
        <v>0</v>
      </c>
      <c r="B15045" t="s">
        <v>2001</v>
      </c>
      <c r="C15045" t="s">
        <v>17849</v>
      </c>
      <c r="D15045" t="s">
        <v>18831</v>
      </c>
      <c r="E15045" t="s">
        <v>31818</v>
      </c>
      <c r="F15045" t="s">
        <v>32664</v>
      </c>
      <c r="G15045" t="s">
        <v>32672</v>
      </c>
      <c r="H15045" t="s">
        <v>32683</v>
      </c>
      <c r="I15045" t="s">
        <v>10627</v>
      </c>
      <c r="J15045" t="s">
        <v>41726</v>
      </c>
      <c r="K15045" t="s">
        <v>42283</v>
      </c>
      <c r="M15045" t="s">
        <v>44739</v>
      </c>
      <c r="N15045" t="s">
        <v>46569</v>
      </c>
      <c r="O15045" t="s">
        <v>46570</v>
      </c>
      <c r="P15045">
        <v>0</v>
      </c>
      <c r="Q15045">
        <v>3</v>
      </c>
      <c r="R15045" t="s">
        <v>46592</v>
      </c>
      <c r="S15045" t="s">
        <v>47652</v>
      </c>
      <c r="T15045" t="s">
        <v>48376</v>
      </c>
      <c r="U15045" t="s">
        <v>60853</v>
      </c>
      <c r="W15045" t="s">
        <v>44739</v>
      </c>
      <c r="X15045" t="s">
        <v>46593</v>
      </c>
    </row>
    <row r="15046" spans="1:24">
      <c r="A15046">
        <f>HYPERLINK("https://www.philgeps.gov.ph/GEPSNONPILOT/Tender/SplashBidNoticeAbstractUI.aspx?menuIndex=3&amp;refID=7024390&amp;Result=3","7024390")</f>
        <v>0</v>
      </c>
      <c r="B15046" t="s">
        <v>49</v>
      </c>
      <c r="C15046" t="s">
        <v>17850</v>
      </c>
      <c r="E15046" t="s">
        <v>31819</v>
      </c>
      <c r="F15046" t="s">
        <v>32664</v>
      </c>
      <c r="G15046" t="s">
        <v>32672</v>
      </c>
      <c r="H15046" t="s">
        <v>32683</v>
      </c>
      <c r="I15046" t="s">
        <v>10627</v>
      </c>
      <c r="J15046" t="s">
        <v>41727</v>
      </c>
      <c r="K15046" t="s">
        <v>42300</v>
      </c>
      <c r="M15046" t="s">
        <v>42611</v>
      </c>
      <c r="N15046" t="s">
        <v>46569</v>
      </c>
      <c r="O15046" t="s">
        <v>46570</v>
      </c>
      <c r="Q15046">
        <v>5</v>
      </c>
      <c r="R15046" t="s">
        <v>46592</v>
      </c>
      <c r="S15046" t="s">
        <v>47661</v>
      </c>
      <c r="T15046" t="s">
        <v>48315</v>
      </c>
      <c r="U15046" t="s">
        <v>60854</v>
      </c>
      <c r="V15046" t="s">
        <v>61619</v>
      </c>
      <c r="W15046" t="s">
        <v>63463</v>
      </c>
      <c r="X15046" t="s">
        <v>46593</v>
      </c>
    </row>
    <row r="15047" spans="1:24">
      <c r="A15047">
        <f>HYPERLINK("https://www.philgeps.gov.ph/GEPSNONPILOT/Tender/SplashBidNoticeAbstractUI.aspx?menuIndex=3&amp;refID=7020004&amp;Result=3","7020004")</f>
        <v>0</v>
      </c>
      <c r="B15047" t="s">
        <v>3464</v>
      </c>
      <c r="C15047" t="s">
        <v>17851</v>
      </c>
      <c r="D15047" t="s">
        <v>18785</v>
      </c>
      <c r="E15047" t="s">
        <v>31820</v>
      </c>
      <c r="F15047" t="s">
        <v>32664</v>
      </c>
      <c r="G15047" t="s">
        <v>32672</v>
      </c>
      <c r="H15047" t="s">
        <v>32683</v>
      </c>
      <c r="I15047" t="s">
        <v>10627</v>
      </c>
      <c r="J15047" t="s">
        <v>41728</v>
      </c>
      <c r="K15047" t="s">
        <v>42290</v>
      </c>
      <c r="M15047" t="s">
        <v>46456</v>
      </c>
      <c r="N15047" t="s">
        <v>46569</v>
      </c>
      <c r="O15047" t="s">
        <v>46570</v>
      </c>
      <c r="P15047">
        <v>0</v>
      </c>
      <c r="Q15047">
        <v>1</v>
      </c>
      <c r="R15047" t="s">
        <v>46592</v>
      </c>
      <c r="S15047" t="s">
        <v>47652</v>
      </c>
      <c r="T15047" t="s">
        <v>48280</v>
      </c>
      <c r="U15047" t="s">
        <v>60855</v>
      </c>
      <c r="W15047" t="s">
        <v>46456</v>
      </c>
      <c r="X15047" t="s">
        <v>46598</v>
      </c>
    </row>
    <row r="15048" spans="1:24">
      <c r="A15048">
        <f>HYPERLINK("https://www.philgeps.gov.ph/GEPSNONPILOT/Tender/SplashBidNoticeAbstractUI.aspx?menuIndex=3&amp;refID=7024929&amp;Result=3","7024929")</f>
        <v>0</v>
      </c>
      <c r="B15048" t="s">
        <v>3467</v>
      </c>
      <c r="C15048" t="s">
        <v>17852</v>
      </c>
      <c r="D15048" t="s">
        <v>18816</v>
      </c>
      <c r="E15048" t="s">
        <v>31821</v>
      </c>
      <c r="F15048" t="s">
        <v>32664</v>
      </c>
      <c r="G15048" t="s">
        <v>32672</v>
      </c>
      <c r="H15048" t="s">
        <v>32683</v>
      </c>
      <c r="I15048" t="s">
        <v>10627</v>
      </c>
      <c r="J15048" t="s">
        <v>41729</v>
      </c>
      <c r="K15048" t="s">
        <v>42281</v>
      </c>
      <c r="M15048" t="s">
        <v>46459</v>
      </c>
      <c r="N15048" t="s">
        <v>46569</v>
      </c>
      <c r="O15048" t="s">
        <v>46570</v>
      </c>
      <c r="Q15048">
        <v>1</v>
      </c>
      <c r="R15048" t="s">
        <v>46592</v>
      </c>
      <c r="S15048" t="s">
        <v>47662</v>
      </c>
      <c r="T15048" t="s">
        <v>48283</v>
      </c>
      <c r="U15048" t="s">
        <v>60856</v>
      </c>
      <c r="W15048" t="s">
        <v>46459</v>
      </c>
      <c r="X15048" t="s">
        <v>46593</v>
      </c>
    </row>
    <row r="15049" spans="1:24">
      <c r="A15049">
        <f>HYPERLINK("https://www.philgeps.gov.ph/GEPSNONPILOT/Tender/SplashBidNoticeAbstractUI.aspx?menuIndex=3&amp;refID=7024675&amp;Result=3","7024675")</f>
        <v>0</v>
      </c>
      <c r="B15049" t="s">
        <v>1847</v>
      </c>
      <c r="C15049" t="s">
        <v>17853</v>
      </c>
      <c r="D15049" t="s">
        <v>18837</v>
      </c>
      <c r="E15049" t="s">
        <v>25518</v>
      </c>
      <c r="F15049" t="s">
        <v>32664</v>
      </c>
      <c r="G15049" t="s">
        <v>32672</v>
      </c>
      <c r="H15049" t="s">
        <v>12635</v>
      </c>
      <c r="I15049" t="s">
        <v>8797</v>
      </c>
      <c r="J15049" t="s">
        <v>41730</v>
      </c>
      <c r="K15049" t="s">
        <v>42281</v>
      </c>
      <c r="M15049" t="s">
        <v>44556</v>
      </c>
      <c r="N15049" t="s">
        <v>46569</v>
      </c>
      <c r="O15049" t="s">
        <v>46570</v>
      </c>
      <c r="Q15049">
        <v>6</v>
      </c>
      <c r="R15049" t="s">
        <v>46592</v>
      </c>
      <c r="S15049" t="s">
        <v>47663</v>
      </c>
      <c r="T15049" t="s">
        <v>48448</v>
      </c>
      <c r="U15049" t="s">
        <v>60857</v>
      </c>
      <c r="W15049" t="s">
        <v>44556</v>
      </c>
      <c r="X15049" t="s">
        <v>46593</v>
      </c>
    </row>
    <row r="15050" spans="1:24">
      <c r="A15050">
        <f>HYPERLINK("https://www.philgeps.gov.ph/GEPSNONPILOT/Tender/SplashBidNoticeAbstractUI.aspx?menuIndex=3&amp;refID=7025235&amp;Result=3","7025235")</f>
        <v>0</v>
      </c>
      <c r="B15050" t="s">
        <v>3239</v>
      </c>
      <c r="C15050" t="s">
        <v>17854</v>
      </c>
      <c r="D15050" t="s">
        <v>18848</v>
      </c>
      <c r="E15050" t="s">
        <v>31822</v>
      </c>
      <c r="F15050" t="s">
        <v>32664</v>
      </c>
      <c r="G15050" t="s">
        <v>32672</v>
      </c>
      <c r="H15050" t="s">
        <v>32683</v>
      </c>
      <c r="I15050" t="s">
        <v>10627</v>
      </c>
      <c r="J15050" t="s">
        <v>41731</v>
      </c>
      <c r="K15050" t="s">
        <v>42386</v>
      </c>
      <c r="M15050" t="s">
        <v>46235</v>
      </c>
      <c r="N15050" t="s">
        <v>46569</v>
      </c>
      <c r="O15050" t="s">
        <v>46570</v>
      </c>
      <c r="Q15050">
        <v>1</v>
      </c>
      <c r="R15050" t="s">
        <v>46592</v>
      </c>
      <c r="S15050" t="s">
        <v>47664</v>
      </c>
      <c r="T15050" t="s">
        <v>48520</v>
      </c>
      <c r="U15050" t="s">
        <v>60858</v>
      </c>
      <c r="V15050" t="s">
        <v>63077</v>
      </c>
      <c r="W15050" t="s">
        <v>46235</v>
      </c>
      <c r="X15050" t="s">
        <v>46593</v>
      </c>
    </row>
    <row r="15051" spans="1:24">
      <c r="A15051">
        <f>HYPERLINK("https://www.philgeps.gov.ph/GEPSNONPILOT/Tender/SplashBidNoticeAbstractUI.aspx?menuIndex=3&amp;refID=7025231&amp;Result=3","7025231")</f>
        <v>0</v>
      </c>
      <c r="B15051" t="s">
        <v>1786</v>
      </c>
      <c r="C15051" t="s">
        <v>17855</v>
      </c>
      <c r="D15051" t="s">
        <v>18814</v>
      </c>
      <c r="E15051" t="s">
        <v>31823</v>
      </c>
      <c r="F15051" t="s">
        <v>32665</v>
      </c>
      <c r="G15051" t="s">
        <v>32672</v>
      </c>
      <c r="H15051" t="s">
        <v>12635</v>
      </c>
      <c r="I15051" t="s">
        <v>32704</v>
      </c>
      <c r="J15051" t="s">
        <v>34148</v>
      </c>
      <c r="K15051" t="s">
        <v>42311</v>
      </c>
      <c r="M15051" t="s">
        <v>44488</v>
      </c>
      <c r="N15051" t="s">
        <v>46569</v>
      </c>
      <c r="O15051" t="s">
        <v>46570</v>
      </c>
      <c r="Q15051">
        <v>16</v>
      </c>
      <c r="R15051" t="s">
        <v>46592</v>
      </c>
      <c r="S15051" t="s">
        <v>47665</v>
      </c>
      <c r="T15051" t="s">
        <v>48420</v>
      </c>
      <c r="U15051" t="s">
        <v>60859</v>
      </c>
      <c r="W15051" t="s">
        <v>44488</v>
      </c>
      <c r="X15051" t="s">
        <v>46593</v>
      </c>
    </row>
    <row r="15052" spans="1:24">
      <c r="A15052">
        <f>HYPERLINK("https://www.philgeps.gov.ph/GEPSNONPILOT/Tender/SplashBidNoticeAbstractUI.aspx?menuIndex=3&amp;refID=7024723&amp;Result=3","7024723")</f>
        <v>0</v>
      </c>
      <c r="B15052" t="s">
        <v>3468</v>
      </c>
      <c r="C15052" t="s">
        <v>17856</v>
      </c>
      <c r="D15052" t="s">
        <v>18807</v>
      </c>
      <c r="E15052" t="s">
        <v>31824</v>
      </c>
      <c r="F15052" t="s">
        <v>32664</v>
      </c>
      <c r="G15052" t="s">
        <v>32672</v>
      </c>
      <c r="H15052" t="s">
        <v>12635</v>
      </c>
      <c r="I15052" t="s">
        <v>32694</v>
      </c>
      <c r="J15052" t="s">
        <v>41732</v>
      </c>
      <c r="K15052" t="s">
        <v>42289</v>
      </c>
      <c r="M15052" t="s">
        <v>46460</v>
      </c>
      <c r="N15052" t="s">
        <v>46569</v>
      </c>
      <c r="O15052" t="s">
        <v>46570</v>
      </c>
      <c r="P15052">
        <v>0</v>
      </c>
      <c r="Q15052">
        <v>0</v>
      </c>
      <c r="R15052" t="s">
        <v>46592</v>
      </c>
      <c r="S15052" t="s">
        <v>47652</v>
      </c>
      <c r="T15052" t="s">
        <v>48290</v>
      </c>
      <c r="U15052" t="s">
        <v>60860</v>
      </c>
      <c r="W15052" t="s">
        <v>63599</v>
      </c>
      <c r="X15052" t="s">
        <v>46593</v>
      </c>
    </row>
    <row r="15053" spans="1:24">
      <c r="A15053">
        <f>HYPERLINK("https://www.philgeps.gov.ph/GEPSNONPILOT/Tender/SplashBidNoticeAbstractUI.aspx?menuIndex=3&amp;refID=7025307&amp;Result=3","7025307")</f>
        <v>0</v>
      </c>
      <c r="B15053" t="s">
        <v>3239</v>
      </c>
      <c r="C15053" t="s">
        <v>17857</v>
      </c>
      <c r="D15053" t="s">
        <v>18848</v>
      </c>
      <c r="E15053" t="s">
        <v>31825</v>
      </c>
      <c r="F15053" t="s">
        <v>32664</v>
      </c>
      <c r="G15053" t="s">
        <v>32672</v>
      </c>
      <c r="H15053" t="s">
        <v>32683</v>
      </c>
      <c r="I15053" t="s">
        <v>10627</v>
      </c>
      <c r="J15053" t="s">
        <v>41733</v>
      </c>
      <c r="K15053" t="s">
        <v>42311</v>
      </c>
      <c r="M15053" t="s">
        <v>46235</v>
      </c>
      <c r="N15053" t="s">
        <v>46569</v>
      </c>
      <c r="O15053" t="s">
        <v>46570</v>
      </c>
      <c r="Q15053">
        <v>0</v>
      </c>
      <c r="R15053" t="s">
        <v>46592</v>
      </c>
      <c r="S15053" t="s">
        <v>47666</v>
      </c>
      <c r="T15053" t="s">
        <v>48520</v>
      </c>
      <c r="U15053" t="s">
        <v>60861</v>
      </c>
      <c r="V15053" t="s">
        <v>63077</v>
      </c>
      <c r="W15053" t="s">
        <v>46235</v>
      </c>
      <c r="X15053" t="s">
        <v>46593</v>
      </c>
    </row>
    <row r="15054" spans="1:24">
      <c r="A15054">
        <f>HYPERLINK("https://www.philgeps.gov.ph/GEPSNONPILOT/Tender/SplashBidNoticeAbstractUI.aspx?menuIndex=3&amp;refID=7025172&amp;Result=3","7025172")</f>
        <v>0</v>
      </c>
      <c r="B15054" t="s">
        <v>653</v>
      </c>
      <c r="C15054" t="s">
        <v>17858</v>
      </c>
      <c r="D15054" t="s">
        <v>18840</v>
      </c>
      <c r="E15054" t="s">
        <v>31826</v>
      </c>
      <c r="F15054" t="s">
        <v>32664</v>
      </c>
      <c r="G15054" t="s">
        <v>32672</v>
      </c>
      <c r="H15054" t="s">
        <v>32683</v>
      </c>
      <c r="I15054" t="s">
        <v>10627</v>
      </c>
      <c r="J15054" t="s">
        <v>41734</v>
      </c>
      <c r="K15054" t="s">
        <v>42369</v>
      </c>
      <c r="M15054" t="s">
        <v>43239</v>
      </c>
      <c r="N15054" t="s">
        <v>46569</v>
      </c>
      <c r="O15054" t="s">
        <v>46570</v>
      </c>
      <c r="P15054">
        <v>0</v>
      </c>
      <c r="Q15054">
        <v>0</v>
      </c>
      <c r="R15054" t="s">
        <v>46592</v>
      </c>
      <c r="S15054" t="s">
        <v>47652</v>
      </c>
      <c r="T15054" t="s">
        <v>48293</v>
      </c>
      <c r="U15054" t="s">
        <v>60862</v>
      </c>
      <c r="W15054" t="s">
        <v>43239</v>
      </c>
      <c r="X15054" t="s">
        <v>46593</v>
      </c>
    </row>
    <row r="15055" spans="1:24">
      <c r="A15055">
        <f>HYPERLINK("https://www.philgeps.gov.ph/GEPSNONPILOT/Tender/SplashBidNoticeAbstractUI.aspx?menuIndex=3&amp;refID=7025160&amp;Result=3","7025160")</f>
        <v>0</v>
      </c>
      <c r="B15055" t="s">
        <v>653</v>
      </c>
      <c r="C15055" t="s">
        <v>17859</v>
      </c>
      <c r="D15055" t="s">
        <v>18840</v>
      </c>
      <c r="E15055" t="s">
        <v>31827</v>
      </c>
      <c r="F15055" t="s">
        <v>32664</v>
      </c>
      <c r="G15055" t="s">
        <v>32672</v>
      </c>
      <c r="H15055" t="s">
        <v>32683</v>
      </c>
      <c r="I15055" t="s">
        <v>10627</v>
      </c>
      <c r="J15055" t="s">
        <v>41735</v>
      </c>
      <c r="K15055" t="s">
        <v>42405</v>
      </c>
      <c r="M15055" t="s">
        <v>43239</v>
      </c>
      <c r="N15055" t="s">
        <v>46569</v>
      </c>
      <c r="O15055" t="s">
        <v>46570</v>
      </c>
      <c r="P15055">
        <v>0</v>
      </c>
      <c r="Q15055">
        <v>1</v>
      </c>
      <c r="R15055" t="s">
        <v>46592</v>
      </c>
      <c r="S15055" t="s">
        <v>47652</v>
      </c>
      <c r="T15055" t="s">
        <v>48293</v>
      </c>
      <c r="U15055" t="s">
        <v>60863</v>
      </c>
      <c r="W15055" t="s">
        <v>43239</v>
      </c>
      <c r="X15055" t="s">
        <v>46593</v>
      </c>
    </row>
    <row r="15056" spans="1:24">
      <c r="A15056">
        <f>HYPERLINK("https://www.philgeps.gov.ph/GEPSNONPILOT/Tender/SplashBidNoticeAbstractUI.aspx?menuIndex=3&amp;refID=7025139&amp;Result=3","7025139")</f>
        <v>0</v>
      </c>
      <c r="B15056" t="s">
        <v>653</v>
      </c>
      <c r="C15056" t="s">
        <v>17860</v>
      </c>
      <c r="D15056" t="s">
        <v>18840</v>
      </c>
      <c r="E15056" t="s">
        <v>31828</v>
      </c>
      <c r="F15056" t="s">
        <v>32664</v>
      </c>
      <c r="G15056" t="s">
        <v>32672</v>
      </c>
      <c r="H15056" t="s">
        <v>32683</v>
      </c>
      <c r="I15056" t="s">
        <v>10627</v>
      </c>
      <c r="J15056" t="s">
        <v>33216</v>
      </c>
      <c r="K15056" t="s">
        <v>42481</v>
      </c>
      <c r="M15056" t="s">
        <v>43239</v>
      </c>
      <c r="N15056" t="s">
        <v>46569</v>
      </c>
      <c r="O15056" t="s">
        <v>46570</v>
      </c>
      <c r="Q15056">
        <v>0</v>
      </c>
      <c r="R15056" t="s">
        <v>46592</v>
      </c>
      <c r="S15056" t="s">
        <v>47667</v>
      </c>
      <c r="T15056" t="s">
        <v>48467</v>
      </c>
      <c r="U15056" t="s">
        <v>60864</v>
      </c>
      <c r="W15056" t="s">
        <v>43239</v>
      </c>
      <c r="X15056" t="s">
        <v>46593</v>
      </c>
    </row>
    <row r="15057" spans="1:24">
      <c r="A15057">
        <f>HYPERLINK("https://www.philgeps.gov.ph/GEPSNONPILOT/Tender/SplashBidNoticeAbstractUI.aspx?menuIndex=3&amp;refID=7025126&amp;Result=3","7025126")</f>
        <v>0</v>
      </c>
      <c r="B15057" t="s">
        <v>653</v>
      </c>
      <c r="C15057" t="s">
        <v>17861</v>
      </c>
      <c r="D15057" t="s">
        <v>18840</v>
      </c>
      <c r="E15057" t="s">
        <v>31829</v>
      </c>
      <c r="F15057" t="s">
        <v>32664</v>
      </c>
      <c r="G15057" t="s">
        <v>32672</v>
      </c>
      <c r="H15057" t="s">
        <v>32683</v>
      </c>
      <c r="I15057" t="s">
        <v>10627</v>
      </c>
      <c r="J15057" t="s">
        <v>37816</v>
      </c>
      <c r="K15057" t="s">
        <v>42356</v>
      </c>
      <c r="M15057" t="s">
        <v>43239</v>
      </c>
      <c r="N15057" t="s">
        <v>46569</v>
      </c>
      <c r="O15057" t="s">
        <v>46570</v>
      </c>
      <c r="Q15057">
        <v>0</v>
      </c>
      <c r="R15057" t="s">
        <v>46592</v>
      </c>
      <c r="S15057" t="s">
        <v>47668</v>
      </c>
      <c r="T15057" t="s">
        <v>48467</v>
      </c>
      <c r="U15057" t="s">
        <v>60865</v>
      </c>
      <c r="W15057" t="s">
        <v>43239</v>
      </c>
      <c r="X15057" t="s">
        <v>46593</v>
      </c>
    </row>
    <row r="15058" spans="1:24">
      <c r="A15058">
        <f>HYPERLINK("https://www.philgeps.gov.ph/GEPSNONPILOT/Tender/SplashBidNoticeAbstractUI.aspx?menuIndex=3&amp;refID=7025189&amp;Result=3","7025189")</f>
        <v>0</v>
      </c>
      <c r="B15058" t="s">
        <v>3239</v>
      </c>
      <c r="C15058" t="s">
        <v>17862</v>
      </c>
      <c r="D15058" t="s">
        <v>18848</v>
      </c>
      <c r="E15058" t="s">
        <v>31830</v>
      </c>
      <c r="F15058" t="s">
        <v>32664</v>
      </c>
      <c r="G15058" t="s">
        <v>32672</v>
      </c>
      <c r="H15058" t="s">
        <v>32683</v>
      </c>
      <c r="I15058" t="s">
        <v>10627</v>
      </c>
      <c r="J15058" t="s">
        <v>41736</v>
      </c>
      <c r="K15058" t="s">
        <v>42287</v>
      </c>
      <c r="M15058" t="s">
        <v>46235</v>
      </c>
      <c r="N15058" t="s">
        <v>46569</v>
      </c>
      <c r="O15058" t="s">
        <v>46570</v>
      </c>
      <c r="Q15058">
        <v>0</v>
      </c>
      <c r="R15058" t="s">
        <v>46592</v>
      </c>
      <c r="S15058" t="s">
        <v>47669</v>
      </c>
      <c r="T15058" t="s">
        <v>48300</v>
      </c>
      <c r="U15058" t="s">
        <v>60866</v>
      </c>
      <c r="V15058" t="s">
        <v>63077</v>
      </c>
      <c r="W15058" t="s">
        <v>46235</v>
      </c>
      <c r="X15058" t="s">
        <v>46593</v>
      </c>
    </row>
    <row r="15059" spans="1:24">
      <c r="A15059">
        <f>HYPERLINK("https://www.philgeps.gov.ph/GEPSNONPILOT/Tender/SplashBidNoticeAbstractUI.aspx?menuIndex=3&amp;refID=7024783&amp;Result=3","7024783")</f>
        <v>0</v>
      </c>
      <c r="B15059" t="s">
        <v>2864</v>
      </c>
      <c r="C15059" t="s">
        <v>17863</v>
      </c>
      <c r="D15059" t="s">
        <v>18831</v>
      </c>
      <c r="E15059" t="s">
        <v>31831</v>
      </c>
      <c r="F15059" t="s">
        <v>32664</v>
      </c>
      <c r="G15059" t="s">
        <v>32672</v>
      </c>
      <c r="H15059" t="s">
        <v>32681</v>
      </c>
      <c r="I15059" t="s">
        <v>32681</v>
      </c>
      <c r="J15059" t="s">
        <v>32837</v>
      </c>
      <c r="K15059" t="s">
        <v>42290</v>
      </c>
      <c r="M15059" t="s">
        <v>45712</v>
      </c>
      <c r="N15059" t="s">
        <v>46569</v>
      </c>
      <c r="O15059" t="s">
        <v>46570</v>
      </c>
      <c r="P15059">
        <v>0</v>
      </c>
      <c r="Q15059">
        <v>6</v>
      </c>
      <c r="R15059" t="s">
        <v>46592</v>
      </c>
      <c r="S15059" t="s">
        <v>47652</v>
      </c>
      <c r="T15059" t="s">
        <v>48448</v>
      </c>
      <c r="U15059" t="s">
        <v>60867</v>
      </c>
      <c r="W15059" t="s">
        <v>45712</v>
      </c>
      <c r="X15059" t="s">
        <v>46593</v>
      </c>
    </row>
    <row r="15060" spans="1:24">
      <c r="A15060">
        <f>HYPERLINK("https://www.philgeps.gov.ph/GEPSNONPILOT/Tender/SplashBidNoticeAbstractUI.aspx?menuIndex=3&amp;refID=7025687&amp;Result=3","7025687")</f>
        <v>0</v>
      </c>
      <c r="B15060" t="s">
        <v>721</v>
      </c>
      <c r="C15060" t="s">
        <v>17864</v>
      </c>
      <c r="D15060" t="s">
        <v>18860</v>
      </c>
      <c r="E15060" t="s">
        <v>31832</v>
      </c>
      <c r="F15060" t="s">
        <v>32664</v>
      </c>
      <c r="G15060" t="s">
        <v>32678</v>
      </c>
      <c r="H15060" t="s">
        <v>32681</v>
      </c>
      <c r="I15060" t="s">
        <v>10627</v>
      </c>
      <c r="J15060" t="s">
        <v>34859</v>
      </c>
      <c r="K15060" t="s">
        <v>42298</v>
      </c>
      <c r="M15060" t="s">
        <v>44205</v>
      </c>
      <c r="N15060" t="s">
        <v>46569</v>
      </c>
      <c r="O15060" t="s">
        <v>46570</v>
      </c>
      <c r="Q15060">
        <v>0</v>
      </c>
      <c r="R15060" t="s">
        <v>46592</v>
      </c>
      <c r="S15060" t="s">
        <v>47670</v>
      </c>
      <c r="T15060" t="s">
        <v>48282</v>
      </c>
      <c r="U15060" t="s">
        <v>60868</v>
      </c>
      <c r="W15060" t="s">
        <v>44205</v>
      </c>
      <c r="X15060" t="s">
        <v>46593</v>
      </c>
    </row>
    <row r="15061" spans="1:24">
      <c r="A15061">
        <f>HYPERLINK("https://www.philgeps.gov.ph/GEPSNONPILOT/Tender/SplashBidNoticeAbstractUI.aspx?menuIndex=3&amp;refID=7025815&amp;Result=3","7025815")</f>
        <v>0</v>
      </c>
      <c r="B15061" t="s">
        <v>2041</v>
      </c>
      <c r="C15061" t="s">
        <v>17865</v>
      </c>
      <c r="D15061" t="s">
        <v>18784</v>
      </c>
      <c r="E15061" t="s">
        <v>31833</v>
      </c>
      <c r="F15061" t="s">
        <v>32664</v>
      </c>
      <c r="G15061" t="s">
        <v>32672</v>
      </c>
      <c r="H15061" t="s">
        <v>12635</v>
      </c>
      <c r="I15061" t="s">
        <v>32774</v>
      </c>
      <c r="J15061" t="s">
        <v>41737</v>
      </c>
      <c r="K15061" t="s">
        <v>42349</v>
      </c>
      <c r="M15061" t="s">
        <v>46389</v>
      </c>
      <c r="N15061" t="s">
        <v>46569</v>
      </c>
      <c r="O15061" t="s">
        <v>46570</v>
      </c>
      <c r="Q15061">
        <v>8</v>
      </c>
      <c r="R15061" t="s">
        <v>46592</v>
      </c>
      <c r="S15061" t="s">
        <v>47671</v>
      </c>
      <c r="T15061" t="s">
        <v>48402</v>
      </c>
      <c r="U15061" t="s">
        <v>60869</v>
      </c>
      <c r="W15061" t="s">
        <v>46389</v>
      </c>
      <c r="X15061" t="s">
        <v>46593</v>
      </c>
    </row>
    <row r="15062" spans="1:24">
      <c r="A15062">
        <f>HYPERLINK("https://www.philgeps.gov.ph/GEPSNONPILOT/Tender/SplashBidNoticeAbstractUI.aspx?menuIndex=3&amp;refID=7025340&amp;Result=3","7025340")</f>
        <v>0</v>
      </c>
      <c r="B15062" t="s">
        <v>237</v>
      </c>
      <c r="C15062" t="s">
        <v>17866</v>
      </c>
      <c r="D15062" t="s">
        <v>18794</v>
      </c>
      <c r="E15062" t="s">
        <v>31834</v>
      </c>
      <c r="F15062" t="s">
        <v>32664</v>
      </c>
      <c r="G15062" t="s">
        <v>32672</v>
      </c>
      <c r="H15062" t="s">
        <v>12635</v>
      </c>
      <c r="I15062" t="s">
        <v>11464</v>
      </c>
      <c r="J15062" t="s">
        <v>41738</v>
      </c>
      <c r="K15062" t="s">
        <v>42284</v>
      </c>
      <c r="M15062" t="s">
        <v>42802</v>
      </c>
      <c r="N15062" t="s">
        <v>46569</v>
      </c>
      <c r="O15062" t="s">
        <v>46570</v>
      </c>
      <c r="P15062">
        <v>0</v>
      </c>
      <c r="Q15062">
        <v>5</v>
      </c>
      <c r="R15062" t="s">
        <v>46592</v>
      </c>
      <c r="S15062" t="s">
        <v>47652</v>
      </c>
      <c r="T15062" t="s">
        <v>48448</v>
      </c>
      <c r="U15062" t="s">
        <v>60870</v>
      </c>
      <c r="W15062" t="s">
        <v>42802</v>
      </c>
      <c r="X15062" t="s">
        <v>46593</v>
      </c>
    </row>
    <row r="15063" spans="1:24">
      <c r="A15063">
        <f>HYPERLINK("https://www.philgeps.gov.ph/GEPSNONPILOT/Tender/SplashBidNoticeAbstractUI.aspx?menuIndex=3&amp;refID=7025806&amp;Result=3","7025806")</f>
        <v>0</v>
      </c>
      <c r="B15063" t="s">
        <v>797</v>
      </c>
      <c r="C15063" t="s">
        <v>17867</v>
      </c>
      <c r="D15063" t="s">
        <v>18792</v>
      </c>
      <c r="E15063" t="s">
        <v>31835</v>
      </c>
      <c r="F15063" t="s">
        <v>32664</v>
      </c>
      <c r="G15063" t="s">
        <v>32672</v>
      </c>
      <c r="H15063" t="s">
        <v>12635</v>
      </c>
      <c r="I15063" t="s">
        <v>32704</v>
      </c>
      <c r="J15063" t="s">
        <v>41739</v>
      </c>
      <c r="K15063" t="s">
        <v>42298</v>
      </c>
      <c r="M15063" t="s">
        <v>43389</v>
      </c>
      <c r="N15063" t="s">
        <v>46569</v>
      </c>
      <c r="O15063" t="s">
        <v>46570</v>
      </c>
      <c r="P15063">
        <v>0</v>
      </c>
      <c r="Q15063">
        <v>7</v>
      </c>
      <c r="R15063" t="s">
        <v>46592</v>
      </c>
      <c r="S15063" t="s">
        <v>47652</v>
      </c>
      <c r="T15063" t="s">
        <v>48598</v>
      </c>
      <c r="U15063" t="s">
        <v>60871</v>
      </c>
      <c r="V15063" t="s">
        <v>63294</v>
      </c>
      <c r="W15063" t="s">
        <v>43389</v>
      </c>
      <c r="X15063" t="s">
        <v>46593</v>
      </c>
    </row>
    <row r="15064" spans="1:24">
      <c r="A15064">
        <f>HYPERLINK("https://www.philgeps.gov.ph/GEPSNONPILOT/Tender/SplashBidNoticeAbstractUI.aspx?menuIndex=3&amp;refID=7025119&amp;Result=3","7025119")</f>
        <v>0</v>
      </c>
      <c r="B15064" t="s">
        <v>2073</v>
      </c>
      <c r="C15064" t="s">
        <v>17868</v>
      </c>
      <c r="D15064" t="s">
        <v>18782</v>
      </c>
      <c r="E15064" t="s">
        <v>31836</v>
      </c>
      <c r="F15064" t="s">
        <v>32664</v>
      </c>
      <c r="G15064" t="s">
        <v>32672</v>
      </c>
      <c r="H15064" t="s">
        <v>12635</v>
      </c>
      <c r="I15064" t="s">
        <v>32699</v>
      </c>
      <c r="J15064" t="s">
        <v>36594</v>
      </c>
      <c r="K15064" t="s">
        <v>42289</v>
      </c>
      <c r="M15064" t="s">
        <v>44825</v>
      </c>
      <c r="N15064" t="s">
        <v>46569</v>
      </c>
      <c r="O15064" t="s">
        <v>46570</v>
      </c>
      <c r="P15064">
        <v>0</v>
      </c>
      <c r="Q15064">
        <v>1</v>
      </c>
      <c r="R15064" t="s">
        <v>46592</v>
      </c>
      <c r="S15064" t="s">
        <v>47652</v>
      </c>
      <c r="T15064" t="s">
        <v>48321</v>
      </c>
      <c r="U15064" t="s">
        <v>60872</v>
      </c>
      <c r="V15064" t="s">
        <v>63295</v>
      </c>
      <c r="W15064" t="s">
        <v>44825</v>
      </c>
      <c r="X15064" t="s">
        <v>46593</v>
      </c>
    </row>
    <row r="15065" spans="1:24">
      <c r="A15065">
        <f>HYPERLINK("https://www.philgeps.gov.ph/GEPSNONPILOT/Tender/SplashBidNoticeAbstractUI.aspx?menuIndex=3&amp;refID=7025694&amp;Result=3","7025694")</f>
        <v>0</v>
      </c>
      <c r="B15065" t="s">
        <v>2913</v>
      </c>
      <c r="C15065" t="s">
        <v>17869</v>
      </c>
      <c r="D15065" t="s">
        <v>18847</v>
      </c>
      <c r="E15065" t="s">
        <v>31837</v>
      </c>
      <c r="F15065" t="s">
        <v>32664</v>
      </c>
      <c r="G15065" t="s">
        <v>32672</v>
      </c>
      <c r="H15065" t="s">
        <v>12635</v>
      </c>
      <c r="I15065" t="s">
        <v>6168</v>
      </c>
      <c r="J15065" t="s">
        <v>41740</v>
      </c>
      <c r="K15065" t="s">
        <v>42297</v>
      </c>
      <c r="M15065" t="s">
        <v>45765</v>
      </c>
      <c r="N15065" t="s">
        <v>46569</v>
      </c>
      <c r="O15065" t="s">
        <v>46570</v>
      </c>
      <c r="P15065">
        <v>0</v>
      </c>
      <c r="Q15065">
        <v>2</v>
      </c>
      <c r="R15065" t="s">
        <v>46592</v>
      </c>
      <c r="S15065" t="s">
        <v>47652</v>
      </c>
      <c r="T15065" t="s">
        <v>48598</v>
      </c>
      <c r="U15065" t="s">
        <v>60873</v>
      </c>
      <c r="W15065" t="s">
        <v>45765</v>
      </c>
      <c r="X15065" t="s">
        <v>46593</v>
      </c>
    </row>
    <row r="15066" spans="1:24">
      <c r="A15066">
        <f>HYPERLINK("https://www.philgeps.gov.ph/GEPSNONPILOT/Tender/SplashBidNoticeAbstractUI.aspx?menuIndex=3&amp;refID=7025769&amp;Result=3","7025769")</f>
        <v>0</v>
      </c>
      <c r="B15066" t="s">
        <v>2041</v>
      </c>
      <c r="C15066" t="s">
        <v>17870</v>
      </c>
      <c r="D15066" t="s">
        <v>18784</v>
      </c>
      <c r="E15066" t="s">
        <v>31838</v>
      </c>
      <c r="F15066" t="s">
        <v>32664</v>
      </c>
      <c r="G15066" t="s">
        <v>32672</v>
      </c>
      <c r="H15066" t="s">
        <v>12635</v>
      </c>
      <c r="I15066" t="s">
        <v>32689</v>
      </c>
      <c r="J15066" t="s">
        <v>41741</v>
      </c>
      <c r="K15066" t="s">
        <v>42312</v>
      </c>
      <c r="M15066" t="s">
        <v>46389</v>
      </c>
      <c r="N15066" t="s">
        <v>46569</v>
      </c>
      <c r="O15066" t="s">
        <v>46570</v>
      </c>
      <c r="Q15066">
        <v>16</v>
      </c>
      <c r="R15066" t="s">
        <v>46592</v>
      </c>
      <c r="S15066" t="s">
        <v>47672</v>
      </c>
      <c r="T15066" t="s">
        <v>48402</v>
      </c>
      <c r="U15066" t="s">
        <v>58630</v>
      </c>
      <c r="W15066" t="s">
        <v>46389</v>
      </c>
      <c r="X15066" t="s">
        <v>46593</v>
      </c>
    </row>
    <row r="15067" spans="1:24">
      <c r="A15067">
        <f>HYPERLINK("https://www.philgeps.gov.ph/GEPSNONPILOT/Tender/SplashBidNoticeAbstractUI.aspx?menuIndex=3&amp;refID=7025621&amp;Result=3","7025621")</f>
        <v>0</v>
      </c>
      <c r="B15067" t="s">
        <v>3469</v>
      </c>
      <c r="C15067" t="s">
        <v>17871</v>
      </c>
      <c r="D15067" t="s">
        <v>18784</v>
      </c>
      <c r="E15067" t="s">
        <v>19380</v>
      </c>
      <c r="F15067" t="s">
        <v>32664</v>
      </c>
      <c r="G15067" t="s">
        <v>32672</v>
      </c>
      <c r="H15067" t="s">
        <v>12635</v>
      </c>
      <c r="I15067" t="s">
        <v>32786</v>
      </c>
      <c r="J15067" t="s">
        <v>41742</v>
      </c>
      <c r="K15067" t="s">
        <v>42281</v>
      </c>
      <c r="M15067" t="s">
        <v>46462</v>
      </c>
      <c r="N15067" t="s">
        <v>46569</v>
      </c>
      <c r="O15067" t="s">
        <v>46570</v>
      </c>
      <c r="Q15067">
        <v>16</v>
      </c>
      <c r="R15067" t="s">
        <v>46592</v>
      </c>
      <c r="S15067" t="s">
        <v>47673</v>
      </c>
      <c r="T15067" t="s">
        <v>48221</v>
      </c>
      <c r="U15067" t="s">
        <v>60874</v>
      </c>
      <c r="W15067" t="s">
        <v>46462</v>
      </c>
      <c r="X15067" t="s">
        <v>46593</v>
      </c>
    </row>
    <row r="15068" spans="1:24">
      <c r="A15068">
        <f>HYPERLINK("https://www.philgeps.gov.ph/GEPSNONPILOT/Tender/SplashBidNoticeAbstractUI.aspx?menuIndex=3&amp;refID=7024816&amp;Result=3","7024816")</f>
        <v>0</v>
      </c>
      <c r="B15068" t="s">
        <v>2687</v>
      </c>
      <c r="C15068" t="s">
        <v>9028</v>
      </c>
      <c r="D15068" t="s">
        <v>18789</v>
      </c>
      <c r="E15068" t="s">
        <v>19771</v>
      </c>
      <c r="F15068" t="s">
        <v>32664</v>
      </c>
      <c r="G15068" t="s">
        <v>32672</v>
      </c>
      <c r="H15068" t="s">
        <v>12635</v>
      </c>
      <c r="I15068" t="s">
        <v>4439</v>
      </c>
      <c r="J15068" t="s">
        <v>41743</v>
      </c>
      <c r="K15068" t="s">
        <v>42297</v>
      </c>
      <c r="M15068" t="s">
        <v>45512</v>
      </c>
      <c r="N15068" t="s">
        <v>46569</v>
      </c>
      <c r="O15068" t="s">
        <v>46570</v>
      </c>
      <c r="P15068">
        <v>0</v>
      </c>
      <c r="Q15068">
        <v>0</v>
      </c>
      <c r="R15068" t="s">
        <v>46592</v>
      </c>
      <c r="S15068" t="s">
        <v>47652</v>
      </c>
      <c r="T15068" t="s">
        <v>48448</v>
      </c>
      <c r="U15068" t="s">
        <v>60875</v>
      </c>
      <c r="W15068" t="s">
        <v>45512</v>
      </c>
      <c r="X15068" t="s">
        <v>46593</v>
      </c>
    </row>
    <row r="15069" spans="1:24">
      <c r="A15069">
        <f>HYPERLINK("https://www.philgeps.gov.ph/GEPSNONPILOT/Tender/SplashBidNoticeAbstractUI.aspx?menuIndex=3&amp;refID=7025706&amp;Result=3","7025706")</f>
        <v>0</v>
      </c>
      <c r="B15069" t="s">
        <v>1392</v>
      </c>
      <c r="C15069" t="s">
        <v>17872</v>
      </c>
      <c r="D15069" t="s">
        <v>18860</v>
      </c>
      <c r="E15069" t="s">
        <v>31839</v>
      </c>
      <c r="F15069" t="s">
        <v>32664</v>
      </c>
      <c r="G15069" t="s">
        <v>32672</v>
      </c>
      <c r="H15069" t="s">
        <v>12635</v>
      </c>
      <c r="I15069" t="s">
        <v>9486</v>
      </c>
      <c r="J15069" t="s">
        <v>41744</v>
      </c>
      <c r="K15069" t="s">
        <v>42281</v>
      </c>
      <c r="M15069" t="s">
        <v>46442</v>
      </c>
      <c r="N15069" t="s">
        <v>46569</v>
      </c>
      <c r="O15069" t="s">
        <v>46570</v>
      </c>
      <c r="P15069">
        <v>0</v>
      </c>
      <c r="Q15069">
        <v>6</v>
      </c>
      <c r="R15069" t="s">
        <v>46592</v>
      </c>
      <c r="S15069" t="s">
        <v>47652</v>
      </c>
      <c r="T15069" t="s">
        <v>48290</v>
      </c>
      <c r="U15069" t="s">
        <v>60876</v>
      </c>
      <c r="W15069" t="s">
        <v>46442</v>
      </c>
      <c r="X15069" t="s">
        <v>46593</v>
      </c>
    </row>
    <row r="15070" spans="1:24">
      <c r="A15070">
        <f>HYPERLINK("https://www.philgeps.gov.ph/GEPSNONPILOT/Tender/SplashBidNoticeAbstractUI.aspx?menuIndex=3&amp;refID=7025568&amp;Result=3","7025568")</f>
        <v>0</v>
      </c>
      <c r="B15070" t="s">
        <v>56</v>
      </c>
      <c r="C15070" t="s">
        <v>17873</v>
      </c>
      <c r="D15070" t="s">
        <v>18805</v>
      </c>
      <c r="E15070" t="s">
        <v>31840</v>
      </c>
      <c r="F15070" t="s">
        <v>32664</v>
      </c>
      <c r="G15070" t="s">
        <v>32672</v>
      </c>
      <c r="H15070" t="s">
        <v>32683</v>
      </c>
      <c r="I15070" t="s">
        <v>10627</v>
      </c>
      <c r="J15070" t="s">
        <v>33886</v>
      </c>
      <c r="K15070" t="s">
        <v>42481</v>
      </c>
      <c r="M15070" t="s">
        <v>42618</v>
      </c>
      <c r="N15070" t="s">
        <v>46569</v>
      </c>
      <c r="O15070" t="s">
        <v>46570</v>
      </c>
      <c r="Q15070">
        <v>14</v>
      </c>
      <c r="R15070" t="s">
        <v>46592</v>
      </c>
      <c r="S15070" t="s">
        <v>47674</v>
      </c>
      <c r="T15070" t="s">
        <v>48221</v>
      </c>
      <c r="U15070" t="s">
        <v>60877</v>
      </c>
      <c r="W15070" t="s">
        <v>42618</v>
      </c>
      <c r="X15070" t="s">
        <v>46593</v>
      </c>
    </row>
    <row r="15071" spans="1:24">
      <c r="A15071">
        <f>HYPERLINK("https://www.philgeps.gov.ph/GEPSNONPILOT/Tender/SplashBidNoticeAbstractUI.aspx?menuIndex=3&amp;refID=7024609&amp;Result=3","7024609")</f>
        <v>0</v>
      </c>
      <c r="B15071" t="s">
        <v>656</v>
      </c>
      <c r="C15071" t="s">
        <v>17874</v>
      </c>
      <c r="D15071" t="s">
        <v>18801</v>
      </c>
      <c r="E15071" t="s">
        <v>31841</v>
      </c>
      <c r="F15071" t="s">
        <v>32664</v>
      </c>
      <c r="G15071" t="s">
        <v>32672</v>
      </c>
      <c r="H15071" t="s">
        <v>12635</v>
      </c>
      <c r="I15071" t="s">
        <v>32721</v>
      </c>
      <c r="J15071" t="s">
        <v>36942</v>
      </c>
      <c r="K15071" t="s">
        <v>42283</v>
      </c>
      <c r="M15071" t="s">
        <v>43243</v>
      </c>
      <c r="N15071" t="s">
        <v>46569</v>
      </c>
      <c r="O15071" t="s">
        <v>46570</v>
      </c>
      <c r="P15071">
        <v>0</v>
      </c>
      <c r="Q15071">
        <v>20</v>
      </c>
      <c r="R15071" t="s">
        <v>46592</v>
      </c>
      <c r="S15071" t="s">
        <v>47652</v>
      </c>
      <c r="T15071" t="s">
        <v>48373</v>
      </c>
      <c r="U15071" t="s">
        <v>60848</v>
      </c>
      <c r="W15071" t="s">
        <v>43243</v>
      </c>
      <c r="X15071" t="s">
        <v>46593</v>
      </c>
    </row>
    <row r="15072" spans="1:24">
      <c r="A15072">
        <f>HYPERLINK("https://www.philgeps.gov.ph/GEPSNONPILOT/Tender/SplashBidNoticeAbstractUI.aspx?menuIndex=3&amp;refID=7025631&amp;Result=3","7025631")</f>
        <v>0</v>
      </c>
      <c r="B15072" t="s">
        <v>67</v>
      </c>
      <c r="C15072" t="s">
        <v>17875</v>
      </c>
      <c r="D15072" t="s">
        <v>18814</v>
      </c>
      <c r="E15072" t="s">
        <v>31842</v>
      </c>
      <c r="F15072" t="s">
        <v>32664</v>
      </c>
      <c r="G15072" t="s">
        <v>32672</v>
      </c>
      <c r="H15072" t="s">
        <v>32683</v>
      </c>
      <c r="I15072" t="s">
        <v>10627</v>
      </c>
      <c r="J15072" t="s">
        <v>41745</v>
      </c>
      <c r="K15072" t="s">
        <v>42281</v>
      </c>
      <c r="M15072" t="s">
        <v>42630</v>
      </c>
      <c r="N15072" t="s">
        <v>46569</v>
      </c>
      <c r="O15072" t="s">
        <v>46570</v>
      </c>
      <c r="P15072">
        <v>0</v>
      </c>
      <c r="Q15072">
        <v>2</v>
      </c>
      <c r="R15072" t="s">
        <v>46592</v>
      </c>
      <c r="S15072" t="s">
        <v>47652</v>
      </c>
      <c r="T15072" t="s">
        <v>48534</v>
      </c>
      <c r="U15072" t="s">
        <v>60878</v>
      </c>
      <c r="W15072" t="s">
        <v>42630</v>
      </c>
      <c r="X15072" t="s">
        <v>46593</v>
      </c>
    </row>
    <row r="15073" spans="1:24">
      <c r="A15073">
        <f>HYPERLINK("https://www.philgeps.gov.ph/GEPSNONPILOT/Tender/SplashBidNoticeAbstractUI.aspx?menuIndex=3&amp;refID=7025547&amp;Result=3","7025547")</f>
        <v>0</v>
      </c>
      <c r="B15073" t="s">
        <v>2836</v>
      </c>
      <c r="C15073" t="s">
        <v>17876</v>
      </c>
      <c r="D15073" t="s">
        <v>18802</v>
      </c>
      <c r="E15073" t="s">
        <v>31843</v>
      </c>
      <c r="F15073" t="s">
        <v>32664</v>
      </c>
      <c r="G15073" t="s">
        <v>32672</v>
      </c>
      <c r="H15073" t="s">
        <v>12635</v>
      </c>
      <c r="I15073" t="s">
        <v>32711</v>
      </c>
      <c r="J15073" t="s">
        <v>41746</v>
      </c>
      <c r="K15073" t="s">
        <v>42281</v>
      </c>
      <c r="M15073" t="s">
        <v>45681</v>
      </c>
      <c r="N15073" t="s">
        <v>46569</v>
      </c>
      <c r="O15073" t="s">
        <v>46570</v>
      </c>
      <c r="P15073">
        <v>0</v>
      </c>
      <c r="Q15073">
        <v>3</v>
      </c>
      <c r="R15073" t="s">
        <v>46592</v>
      </c>
      <c r="S15073" t="s">
        <v>47652</v>
      </c>
      <c r="T15073" t="s">
        <v>48249</v>
      </c>
      <c r="U15073" t="s">
        <v>60879</v>
      </c>
      <c r="V15073" t="s">
        <v>63296</v>
      </c>
      <c r="W15073" t="s">
        <v>45681</v>
      </c>
      <c r="X15073" t="s">
        <v>46593</v>
      </c>
    </row>
    <row r="15074" spans="1:24">
      <c r="A15074">
        <f>HYPERLINK("https://www.philgeps.gov.ph/GEPSNONPILOT/Tender/SplashBidNoticeAbstractUI.aspx?menuIndex=3&amp;refID=7026438&amp;Result=3","7026438")</f>
        <v>0</v>
      </c>
      <c r="B15074" t="s">
        <v>495</v>
      </c>
      <c r="C15074" t="s">
        <v>17877</v>
      </c>
      <c r="D15074" t="s">
        <v>18791</v>
      </c>
      <c r="E15074" t="s">
        <v>31844</v>
      </c>
      <c r="F15074" t="s">
        <v>32664</v>
      </c>
      <c r="G15074" t="s">
        <v>32672</v>
      </c>
      <c r="H15074" t="s">
        <v>12635</v>
      </c>
      <c r="I15074" t="s">
        <v>32687</v>
      </c>
      <c r="J15074" t="s">
        <v>41747</v>
      </c>
      <c r="K15074" t="s">
        <v>42289</v>
      </c>
      <c r="M15074" t="s">
        <v>43071</v>
      </c>
      <c r="N15074" t="s">
        <v>46569</v>
      </c>
      <c r="O15074" t="s">
        <v>46570</v>
      </c>
      <c r="Q15074">
        <v>7</v>
      </c>
      <c r="R15074" t="s">
        <v>46592</v>
      </c>
      <c r="S15074" t="s">
        <v>47675</v>
      </c>
      <c r="T15074" t="s">
        <v>48283</v>
      </c>
      <c r="U15074" t="s">
        <v>60880</v>
      </c>
      <c r="W15074" t="s">
        <v>43071</v>
      </c>
      <c r="X15074" t="s">
        <v>46593</v>
      </c>
    </row>
    <row r="15075" spans="1:24">
      <c r="A15075">
        <f>HYPERLINK("https://www.philgeps.gov.ph/GEPSNONPILOT/Tender/SplashBidNoticeAbstractUI.aspx?menuIndex=3&amp;refID=7026425&amp;Result=3","7026425")</f>
        <v>0</v>
      </c>
      <c r="B15075" t="s">
        <v>512</v>
      </c>
      <c r="C15075" t="s">
        <v>17878</v>
      </c>
      <c r="D15075" t="s">
        <v>18831</v>
      </c>
      <c r="E15075" t="s">
        <v>31845</v>
      </c>
      <c r="F15075" t="s">
        <v>32664</v>
      </c>
      <c r="G15075" t="s">
        <v>32672</v>
      </c>
      <c r="H15075" t="s">
        <v>32683</v>
      </c>
      <c r="I15075" t="s">
        <v>10627</v>
      </c>
      <c r="J15075" t="s">
        <v>32962</v>
      </c>
      <c r="K15075" t="s">
        <v>42298</v>
      </c>
      <c r="M15075" t="s">
        <v>43088</v>
      </c>
      <c r="N15075" t="s">
        <v>46569</v>
      </c>
      <c r="O15075" t="s">
        <v>46570</v>
      </c>
      <c r="P15075">
        <v>0</v>
      </c>
      <c r="Q15075">
        <v>0</v>
      </c>
      <c r="R15075" t="s">
        <v>46592</v>
      </c>
      <c r="S15075" t="s">
        <v>47652</v>
      </c>
      <c r="T15075" t="s">
        <v>48283</v>
      </c>
      <c r="U15075" t="s">
        <v>60881</v>
      </c>
      <c r="W15075" t="s">
        <v>43088</v>
      </c>
      <c r="X15075" t="s">
        <v>46593</v>
      </c>
    </row>
    <row r="15076" spans="1:24">
      <c r="A15076">
        <f>HYPERLINK("https://www.philgeps.gov.ph/GEPSNONPILOT/Tender/SplashBidNoticeAbstractUI.aspx?menuIndex=3&amp;refID=7026325&amp;Result=3","7026325")</f>
        <v>0</v>
      </c>
      <c r="B15076" t="s">
        <v>1197</v>
      </c>
      <c r="C15076" t="s">
        <v>17879</v>
      </c>
      <c r="D15076" t="s">
        <v>18784</v>
      </c>
      <c r="E15076" t="s">
        <v>31846</v>
      </c>
      <c r="F15076" t="s">
        <v>32664</v>
      </c>
      <c r="G15076" t="s">
        <v>32672</v>
      </c>
      <c r="H15076" t="s">
        <v>12635</v>
      </c>
      <c r="I15076" t="s">
        <v>32758</v>
      </c>
      <c r="J15076" t="s">
        <v>38535</v>
      </c>
      <c r="K15076" t="s">
        <v>42305</v>
      </c>
      <c r="M15076" t="s">
        <v>46463</v>
      </c>
      <c r="N15076" t="s">
        <v>46569</v>
      </c>
      <c r="O15076" t="s">
        <v>46570</v>
      </c>
      <c r="Q15076">
        <v>5</v>
      </c>
      <c r="R15076" t="s">
        <v>46592</v>
      </c>
      <c r="S15076" t="s">
        <v>47676</v>
      </c>
      <c r="T15076" t="s">
        <v>48246</v>
      </c>
      <c r="U15076" t="s">
        <v>60882</v>
      </c>
      <c r="W15076" t="s">
        <v>46463</v>
      </c>
      <c r="X15076" t="s">
        <v>46593</v>
      </c>
    </row>
    <row r="15077" spans="1:24">
      <c r="A15077">
        <f>HYPERLINK("https://www.philgeps.gov.ph/GEPSNONPILOT/Tender/SplashBidNoticeAbstractUI.aspx?menuIndex=3&amp;refID=7025600&amp;Result=3","7025600")</f>
        <v>0</v>
      </c>
      <c r="B15077" t="s">
        <v>863</v>
      </c>
      <c r="C15077" t="s">
        <v>17880</v>
      </c>
      <c r="D15077" t="s">
        <v>18782</v>
      </c>
      <c r="E15077" t="s">
        <v>31847</v>
      </c>
      <c r="F15077" t="s">
        <v>32664</v>
      </c>
      <c r="G15077" t="s">
        <v>32672</v>
      </c>
      <c r="H15077" t="s">
        <v>12635</v>
      </c>
      <c r="I15077" t="s">
        <v>11464</v>
      </c>
      <c r="J15077" t="s">
        <v>35216</v>
      </c>
      <c r="K15077" t="s">
        <v>42298</v>
      </c>
      <c r="M15077" t="s">
        <v>46464</v>
      </c>
      <c r="N15077" t="s">
        <v>46569</v>
      </c>
      <c r="O15077" t="s">
        <v>46570</v>
      </c>
      <c r="Q15077">
        <v>9</v>
      </c>
      <c r="R15077" t="s">
        <v>46592</v>
      </c>
      <c r="S15077" t="s">
        <v>47677</v>
      </c>
      <c r="T15077" t="s">
        <v>48436</v>
      </c>
      <c r="U15077" t="s">
        <v>60883</v>
      </c>
      <c r="W15077" t="s">
        <v>46464</v>
      </c>
      <c r="X15077" t="s">
        <v>46593</v>
      </c>
    </row>
    <row r="15078" spans="1:24">
      <c r="A15078">
        <f>HYPERLINK("https://www.philgeps.gov.ph/GEPSNONPILOT/Tender/SplashBidNoticeAbstractUI.aspx?menuIndex=3&amp;refID=7026468&amp;Result=3","7026468")</f>
        <v>0</v>
      </c>
      <c r="B15078" t="s">
        <v>495</v>
      </c>
      <c r="C15078" t="s">
        <v>17881</v>
      </c>
      <c r="D15078" t="s">
        <v>18791</v>
      </c>
      <c r="E15078" t="s">
        <v>23879</v>
      </c>
      <c r="F15078" t="s">
        <v>32664</v>
      </c>
      <c r="G15078" t="s">
        <v>32672</v>
      </c>
      <c r="H15078" t="s">
        <v>12635</v>
      </c>
      <c r="I15078" t="s">
        <v>13883</v>
      </c>
      <c r="J15078" t="s">
        <v>41748</v>
      </c>
      <c r="K15078" t="s">
        <v>42289</v>
      </c>
      <c r="M15078" t="s">
        <v>43071</v>
      </c>
      <c r="N15078" t="s">
        <v>46569</v>
      </c>
      <c r="O15078" t="s">
        <v>46570</v>
      </c>
      <c r="Q15078">
        <v>9</v>
      </c>
      <c r="R15078" t="s">
        <v>46592</v>
      </c>
      <c r="S15078" t="s">
        <v>47678</v>
      </c>
      <c r="T15078" t="s">
        <v>48283</v>
      </c>
      <c r="U15078" t="s">
        <v>60884</v>
      </c>
      <c r="W15078" t="s">
        <v>43071</v>
      </c>
      <c r="X15078" t="s">
        <v>46593</v>
      </c>
    </row>
    <row r="15079" spans="1:24">
      <c r="A15079">
        <f>HYPERLINK("https://www.philgeps.gov.ph/GEPSNONPILOT/Tender/SplashBidNoticeAbstractUI.aspx?menuIndex=3&amp;refID=7026321&amp;Result=3","7026321")</f>
        <v>0</v>
      </c>
      <c r="B15079" t="s">
        <v>541</v>
      </c>
      <c r="C15079" t="s">
        <v>17882</v>
      </c>
      <c r="D15079" t="s">
        <v>18805</v>
      </c>
      <c r="E15079" t="s">
        <v>31848</v>
      </c>
      <c r="F15079" t="s">
        <v>32664</v>
      </c>
      <c r="G15079" t="s">
        <v>32672</v>
      </c>
      <c r="H15079" t="s">
        <v>12635</v>
      </c>
      <c r="I15079" t="s">
        <v>11464</v>
      </c>
      <c r="J15079" t="s">
        <v>41749</v>
      </c>
      <c r="K15079" t="s">
        <v>42281</v>
      </c>
      <c r="M15079" t="s">
        <v>43120</v>
      </c>
      <c r="N15079" t="s">
        <v>46569</v>
      </c>
      <c r="O15079" t="s">
        <v>46570</v>
      </c>
      <c r="Q15079">
        <v>9</v>
      </c>
      <c r="R15079" t="s">
        <v>46592</v>
      </c>
      <c r="S15079" t="s">
        <v>47679</v>
      </c>
      <c r="T15079" t="s">
        <v>48297</v>
      </c>
      <c r="U15079" t="s">
        <v>60885</v>
      </c>
      <c r="W15079" t="s">
        <v>43120</v>
      </c>
      <c r="X15079" t="s">
        <v>46593</v>
      </c>
    </row>
    <row r="15080" spans="1:24">
      <c r="A15080">
        <f>HYPERLINK("https://www.philgeps.gov.ph/GEPSNONPILOT/Tender/SplashBidNoticeAbstractUI.aspx?menuIndex=3&amp;refID=7026319&amp;Result=3","7026319")</f>
        <v>0</v>
      </c>
      <c r="B15080" t="s">
        <v>287</v>
      </c>
      <c r="C15080" t="s">
        <v>17883</v>
      </c>
      <c r="D15080" t="s">
        <v>18847</v>
      </c>
      <c r="E15080" t="s">
        <v>31849</v>
      </c>
      <c r="F15080" t="s">
        <v>32664</v>
      </c>
      <c r="G15080" t="s">
        <v>32672</v>
      </c>
      <c r="H15080" t="s">
        <v>32681</v>
      </c>
      <c r="I15080" t="s">
        <v>32681</v>
      </c>
      <c r="J15080" t="s">
        <v>41750</v>
      </c>
      <c r="K15080" t="s">
        <v>42423</v>
      </c>
      <c r="M15080" t="s">
        <v>42854</v>
      </c>
      <c r="N15080" t="s">
        <v>46569</v>
      </c>
      <c r="O15080" t="s">
        <v>46570</v>
      </c>
      <c r="P15080">
        <v>0</v>
      </c>
      <c r="Q15080">
        <v>5</v>
      </c>
      <c r="R15080" t="s">
        <v>46592</v>
      </c>
      <c r="S15080" t="s">
        <v>47652</v>
      </c>
      <c r="T15080" t="s">
        <v>48283</v>
      </c>
      <c r="U15080" t="s">
        <v>60886</v>
      </c>
      <c r="V15080" t="s">
        <v>63085</v>
      </c>
      <c r="W15080" t="s">
        <v>42854</v>
      </c>
      <c r="X15080" t="s">
        <v>46593</v>
      </c>
    </row>
    <row r="15081" spans="1:24">
      <c r="A15081">
        <f>HYPERLINK("https://www.philgeps.gov.ph/GEPSNONPILOT/Tender/SplashBidNoticeAbstractUI.aspx?menuIndex=3&amp;refID=7026303&amp;Result=3","7026303")</f>
        <v>0</v>
      </c>
      <c r="B15081" t="s">
        <v>2073</v>
      </c>
      <c r="C15081" t="s">
        <v>17884</v>
      </c>
      <c r="D15081" t="s">
        <v>18782</v>
      </c>
      <c r="E15081" t="s">
        <v>31850</v>
      </c>
      <c r="F15081" t="s">
        <v>32664</v>
      </c>
      <c r="G15081" t="s">
        <v>32672</v>
      </c>
      <c r="H15081" t="s">
        <v>12635</v>
      </c>
      <c r="I15081" t="s">
        <v>6168</v>
      </c>
      <c r="J15081" t="s">
        <v>41751</v>
      </c>
      <c r="K15081" t="s">
        <v>42289</v>
      </c>
      <c r="M15081" t="s">
        <v>44825</v>
      </c>
      <c r="N15081" t="s">
        <v>46569</v>
      </c>
      <c r="O15081" t="s">
        <v>46570</v>
      </c>
      <c r="P15081">
        <v>0</v>
      </c>
      <c r="Q15081">
        <v>2</v>
      </c>
      <c r="R15081" t="s">
        <v>46592</v>
      </c>
      <c r="S15081" t="s">
        <v>47652</v>
      </c>
      <c r="T15081" t="s">
        <v>48321</v>
      </c>
      <c r="U15081" t="s">
        <v>60887</v>
      </c>
      <c r="V15081" t="s">
        <v>63297</v>
      </c>
      <c r="W15081" t="s">
        <v>44825</v>
      </c>
      <c r="X15081" t="s">
        <v>46593</v>
      </c>
    </row>
    <row r="15082" spans="1:24">
      <c r="A15082">
        <f>HYPERLINK("https://www.philgeps.gov.ph/GEPSNONPILOT/Tender/SplashBidNoticeAbstractUI.aspx?menuIndex=3&amp;refID=7026144&amp;Result=3","7026144")</f>
        <v>0</v>
      </c>
      <c r="B15082" t="s">
        <v>55</v>
      </c>
      <c r="C15082" t="s">
        <v>17885</v>
      </c>
      <c r="D15082" t="s">
        <v>18804</v>
      </c>
      <c r="E15082" t="s">
        <v>31851</v>
      </c>
      <c r="F15082" t="s">
        <v>32664</v>
      </c>
      <c r="G15082" t="s">
        <v>32672</v>
      </c>
      <c r="H15082" t="s">
        <v>12635</v>
      </c>
      <c r="I15082" t="s">
        <v>32706</v>
      </c>
      <c r="J15082" t="s">
        <v>41752</v>
      </c>
      <c r="K15082" t="s">
        <v>42347</v>
      </c>
      <c r="M15082" t="s">
        <v>42617</v>
      </c>
      <c r="N15082" t="s">
        <v>46569</v>
      </c>
      <c r="O15082" t="s">
        <v>46570</v>
      </c>
      <c r="P15082">
        <v>0</v>
      </c>
      <c r="Q15082">
        <v>0</v>
      </c>
      <c r="R15082" t="s">
        <v>46592</v>
      </c>
      <c r="S15082" t="s">
        <v>47652</v>
      </c>
      <c r="T15082" t="s">
        <v>48448</v>
      </c>
      <c r="U15082" t="s">
        <v>60888</v>
      </c>
      <c r="W15082" t="s">
        <v>42617</v>
      </c>
      <c r="X15082" t="s">
        <v>46593</v>
      </c>
    </row>
    <row r="15083" spans="1:24">
      <c r="A15083">
        <f>HYPERLINK("https://www.philgeps.gov.ph/GEPSNONPILOT/Tender/SplashBidNoticeAbstractUI.aspx?menuIndex=3&amp;refID=7026492&amp;Result=3","7026492")</f>
        <v>0</v>
      </c>
      <c r="B15083" t="s">
        <v>3470</v>
      </c>
      <c r="C15083" t="s">
        <v>17886</v>
      </c>
      <c r="D15083" t="s">
        <v>18817</v>
      </c>
      <c r="E15083" t="s">
        <v>31852</v>
      </c>
      <c r="F15083" t="s">
        <v>32664</v>
      </c>
      <c r="G15083" t="s">
        <v>32672</v>
      </c>
      <c r="H15083" t="s">
        <v>32683</v>
      </c>
      <c r="I15083" t="s">
        <v>10627</v>
      </c>
      <c r="J15083" t="s">
        <v>41753</v>
      </c>
      <c r="K15083" t="s">
        <v>42413</v>
      </c>
      <c r="M15083" t="s">
        <v>46465</v>
      </c>
      <c r="N15083" t="s">
        <v>46569</v>
      </c>
      <c r="O15083" t="s">
        <v>46570</v>
      </c>
      <c r="P15083">
        <v>0</v>
      </c>
      <c r="Q15083">
        <v>2</v>
      </c>
      <c r="R15083" t="s">
        <v>46592</v>
      </c>
      <c r="S15083" t="s">
        <v>47652</v>
      </c>
      <c r="T15083" t="s">
        <v>48293</v>
      </c>
      <c r="U15083" t="s">
        <v>60889</v>
      </c>
      <c r="W15083" t="s">
        <v>46465</v>
      </c>
      <c r="X15083" t="s">
        <v>46593</v>
      </c>
    </row>
    <row r="15084" spans="1:24">
      <c r="A15084">
        <f>HYPERLINK("https://www.philgeps.gov.ph/GEPSNONPILOT/Tender/SplashBidNoticeAbstractUI.aspx?menuIndex=3&amp;refID=7026480&amp;Result=3","7026480")</f>
        <v>0</v>
      </c>
      <c r="B15084" t="s">
        <v>802</v>
      </c>
      <c r="C15084" t="s">
        <v>17887</v>
      </c>
      <c r="D15084" t="s">
        <v>18798</v>
      </c>
      <c r="E15084" t="s">
        <v>31853</v>
      </c>
      <c r="F15084" t="s">
        <v>32664</v>
      </c>
      <c r="G15084" t="s">
        <v>32672</v>
      </c>
      <c r="H15084" t="s">
        <v>12635</v>
      </c>
      <c r="I15084" t="s">
        <v>11464</v>
      </c>
      <c r="J15084" t="s">
        <v>35216</v>
      </c>
      <c r="K15084" t="s">
        <v>42281</v>
      </c>
      <c r="M15084" t="s">
        <v>43394</v>
      </c>
      <c r="N15084" t="s">
        <v>46569</v>
      </c>
      <c r="O15084" t="s">
        <v>46570</v>
      </c>
      <c r="P15084">
        <v>0</v>
      </c>
      <c r="Q15084">
        <v>12</v>
      </c>
      <c r="R15084" t="s">
        <v>46592</v>
      </c>
      <c r="S15084" t="s">
        <v>47652</v>
      </c>
      <c r="T15084" t="s">
        <v>48448</v>
      </c>
      <c r="U15084" t="s">
        <v>60890</v>
      </c>
      <c r="W15084" t="s">
        <v>43394</v>
      </c>
      <c r="X15084" t="s">
        <v>46593</v>
      </c>
    </row>
    <row r="15085" spans="1:24">
      <c r="A15085">
        <f>HYPERLINK("https://www.philgeps.gov.ph/GEPSNONPILOT/Tender/SplashBidNoticeAbstractUI.aspx?menuIndex=3&amp;refID=7020397&amp;Result=3","7020397")</f>
        <v>0</v>
      </c>
      <c r="B15085" t="s">
        <v>1974</v>
      </c>
      <c r="C15085" t="s">
        <v>17888</v>
      </c>
      <c r="D15085" t="s">
        <v>18857</v>
      </c>
      <c r="E15085" t="s">
        <v>31854</v>
      </c>
      <c r="F15085" t="s">
        <v>32664</v>
      </c>
      <c r="G15085" t="s">
        <v>32672</v>
      </c>
      <c r="H15085" t="s">
        <v>32683</v>
      </c>
      <c r="I15085" t="s">
        <v>10627</v>
      </c>
      <c r="J15085" t="s">
        <v>32962</v>
      </c>
      <c r="K15085" t="s">
        <v>42298</v>
      </c>
      <c r="M15085" t="s">
        <v>44708</v>
      </c>
      <c r="N15085" t="s">
        <v>46569</v>
      </c>
      <c r="O15085" t="s">
        <v>46570</v>
      </c>
      <c r="P15085">
        <v>0</v>
      </c>
      <c r="Q15085">
        <v>1</v>
      </c>
      <c r="R15085" t="s">
        <v>46592</v>
      </c>
      <c r="S15085" t="s">
        <v>47652</v>
      </c>
      <c r="T15085" t="s">
        <v>48228</v>
      </c>
      <c r="U15085" t="s">
        <v>60891</v>
      </c>
      <c r="V15085" t="s">
        <v>63298</v>
      </c>
      <c r="W15085" t="s">
        <v>44708</v>
      </c>
      <c r="X15085" t="s">
        <v>46598</v>
      </c>
    </row>
    <row r="15086" spans="1:24">
      <c r="A15086">
        <f>HYPERLINK("https://www.philgeps.gov.ph/GEPSNONPILOT/Tender/SplashBidNoticeAbstractUI.aspx?menuIndex=3&amp;refID=7026700&amp;Result=3","7026700")</f>
        <v>0</v>
      </c>
      <c r="B15086" t="s">
        <v>512</v>
      </c>
      <c r="C15086" t="s">
        <v>17889</v>
      </c>
      <c r="D15086" t="s">
        <v>18831</v>
      </c>
      <c r="E15086" t="s">
        <v>31855</v>
      </c>
      <c r="F15086" t="s">
        <v>32664</v>
      </c>
      <c r="G15086" t="s">
        <v>32672</v>
      </c>
      <c r="H15086" t="s">
        <v>12635</v>
      </c>
      <c r="I15086" t="s">
        <v>4333</v>
      </c>
      <c r="J15086" t="s">
        <v>41754</v>
      </c>
      <c r="K15086" t="s">
        <v>42281</v>
      </c>
      <c r="M15086" t="s">
        <v>43088</v>
      </c>
      <c r="N15086" t="s">
        <v>46569</v>
      </c>
      <c r="O15086" t="s">
        <v>46570</v>
      </c>
      <c r="P15086">
        <v>0</v>
      </c>
      <c r="Q15086">
        <v>3</v>
      </c>
      <c r="R15086" t="s">
        <v>46592</v>
      </c>
      <c r="S15086" t="s">
        <v>47652</v>
      </c>
      <c r="T15086" t="s">
        <v>48283</v>
      </c>
      <c r="U15086" t="s">
        <v>60892</v>
      </c>
      <c r="W15086" t="s">
        <v>43088</v>
      </c>
      <c r="X15086" t="s">
        <v>46593</v>
      </c>
    </row>
    <row r="15087" spans="1:24">
      <c r="A15087">
        <f>HYPERLINK("https://www.philgeps.gov.ph/GEPSNONPILOT/Tender/SplashBidNoticeAbstractUI.aspx?menuIndex=3&amp;refID=7026679&amp;Result=3","7026679")</f>
        <v>0</v>
      </c>
      <c r="B15087" t="s">
        <v>69</v>
      </c>
      <c r="C15087" t="s">
        <v>17890</v>
      </c>
      <c r="D15087" t="s">
        <v>18784</v>
      </c>
      <c r="E15087" t="s">
        <v>31856</v>
      </c>
      <c r="F15087" t="s">
        <v>32664</v>
      </c>
      <c r="G15087" t="s">
        <v>32672</v>
      </c>
      <c r="H15087" t="s">
        <v>32683</v>
      </c>
      <c r="I15087" t="s">
        <v>10627</v>
      </c>
      <c r="J15087" t="s">
        <v>41755</v>
      </c>
      <c r="K15087" t="s">
        <v>42308</v>
      </c>
      <c r="M15087" t="s">
        <v>42632</v>
      </c>
      <c r="N15087" t="s">
        <v>46569</v>
      </c>
      <c r="O15087" t="s">
        <v>46570</v>
      </c>
      <c r="P15087">
        <v>0</v>
      </c>
      <c r="Q15087">
        <v>66</v>
      </c>
      <c r="R15087" t="s">
        <v>46592</v>
      </c>
      <c r="S15087" t="s">
        <v>47652</v>
      </c>
      <c r="T15087" t="s">
        <v>48449</v>
      </c>
      <c r="U15087" t="s">
        <v>60893</v>
      </c>
      <c r="W15087" t="s">
        <v>42632</v>
      </c>
      <c r="X15087" t="s">
        <v>46593</v>
      </c>
    </row>
    <row r="15088" spans="1:24">
      <c r="A15088">
        <f>HYPERLINK("https://www.philgeps.gov.ph/GEPSNONPILOT/Tender/SplashBidNoticeAbstractUI.aspx?menuIndex=3&amp;refID=7026231&amp;Result=3","7026231")</f>
        <v>0</v>
      </c>
      <c r="B15088" t="s">
        <v>1901</v>
      </c>
      <c r="C15088" t="s">
        <v>17891</v>
      </c>
      <c r="D15088" t="s">
        <v>18787</v>
      </c>
      <c r="E15088" t="s">
        <v>31857</v>
      </c>
      <c r="F15088" t="s">
        <v>32664</v>
      </c>
      <c r="G15088" t="s">
        <v>32672</v>
      </c>
      <c r="H15088" t="s">
        <v>12635</v>
      </c>
      <c r="I15088" t="s">
        <v>7759</v>
      </c>
      <c r="J15088" t="s">
        <v>41756</v>
      </c>
      <c r="K15088" t="s">
        <v>42289</v>
      </c>
      <c r="L15088" t="s">
        <v>1901</v>
      </c>
      <c r="M15088" t="s">
        <v>44622</v>
      </c>
      <c r="N15088" t="s">
        <v>46569</v>
      </c>
      <c r="O15088" t="s">
        <v>46570</v>
      </c>
      <c r="P15088">
        <v>0</v>
      </c>
      <c r="Q15088">
        <v>6</v>
      </c>
      <c r="R15088" t="s">
        <v>46592</v>
      </c>
      <c r="S15088" t="s">
        <v>47652</v>
      </c>
      <c r="T15088" t="s">
        <v>48286</v>
      </c>
      <c r="U15088" t="s">
        <v>60894</v>
      </c>
      <c r="W15088" t="s">
        <v>44622</v>
      </c>
      <c r="X15088" t="s">
        <v>46593</v>
      </c>
    </row>
    <row r="15089" spans="1:24">
      <c r="A15089">
        <f>HYPERLINK("https://www.philgeps.gov.ph/GEPSNONPILOT/Tender/SplashBidNoticeAbstractUI.aspx?menuIndex=3&amp;refID=7025593&amp;Result=3","7025593")</f>
        <v>0</v>
      </c>
      <c r="B15089" t="s">
        <v>721</v>
      </c>
      <c r="C15089" t="s">
        <v>17892</v>
      </c>
      <c r="D15089" t="s">
        <v>18860</v>
      </c>
      <c r="E15089" t="s">
        <v>31858</v>
      </c>
      <c r="F15089" t="s">
        <v>32664</v>
      </c>
      <c r="G15089" t="s">
        <v>32678</v>
      </c>
      <c r="H15089" t="s">
        <v>32681</v>
      </c>
      <c r="I15089" t="s">
        <v>10627</v>
      </c>
      <c r="J15089" t="s">
        <v>41757</v>
      </c>
      <c r="K15089" t="s">
        <v>42290</v>
      </c>
      <c r="M15089" t="s">
        <v>44205</v>
      </c>
      <c r="N15089" t="s">
        <v>46569</v>
      </c>
      <c r="O15089" t="s">
        <v>46570</v>
      </c>
      <c r="Q15089">
        <v>2</v>
      </c>
      <c r="R15089" t="s">
        <v>46592</v>
      </c>
      <c r="S15089" t="s">
        <v>47680</v>
      </c>
      <c r="T15089" t="s">
        <v>48282</v>
      </c>
      <c r="U15089" t="s">
        <v>60895</v>
      </c>
      <c r="W15089" t="s">
        <v>44205</v>
      </c>
      <c r="X15089" t="s">
        <v>46593</v>
      </c>
    </row>
    <row r="15090" spans="1:24">
      <c r="A15090">
        <f>HYPERLINK("https://www.philgeps.gov.ph/GEPSNONPILOT/Tender/SplashBidNoticeAbstractUI.aspx?menuIndex=3&amp;refID=7026394&amp;Result=3","7026394")</f>
        <v>0</v>
      </c>
      <c r="B15090" t="s">
        <v>495</v>
      </c>
      <c r="C15090" t="s">
        <v>17893</v>
      </c>
      <c r="D15090" t="s">
        <v>18791</v>
      </c>
      <c r="E15090" t="s">
        <v>31859</v>
      </c>
      <c r="F15090" t="s">
        <v>32664</v>
      </c>
      <c r="G15090" t="s">
        <v>32672</v>
      </c>
      <c r="H15090" t="s">
        <v>12635</v>
      </c>
      <c r="I15090" t="s">
        <v>8730</v>
      </c>
      <c r="J15090" t="s">
        <v>41758</v>
      </c>
      <c r="K15090" t="s">
        <v>42289</v>
      </c>
      <c r="M15090" t="s">
        <v>43071</v>
      </c>
      <c r="N15090" t="s">
        <v>46569</v>
      </c>
      <c r="O15090" t="s">
        <v>46570</v>
      </c>
      <c r="Q15090">
        <v>4</v>
      </c>
      <c r="R15090" t="s">
        <v>46592</v>
      </c>
      <c r="S15090" t="s">
        <v>47681</v>
      </c>
      <c r="T15090" t="s">
        <v>48283</v>
      </c>
      <c r="U15090" t="s">
        <v>60896</v>
      </c>
      <c r="W15090" t="s">
        <v>43071</v>
      </c>
      <c r="X15090" t="s">
        <v>46593</v>
      </c>
    </row>
    <row r="15091" spans="1:24">
      <c r="A15091">
        <f>HYPERLINK("https://www.philgeps.gov.ph/GEPSNONPILOT/Tender/SplashBidNoticeAbstractUI.aspx?menuIndex=3&amp;refID=7026107&amp;Result=3","7026107")</f>
        <v>0</v>
      </c>
      <c r="B15091" t="s">
        <v>2946</v>
      </c>
      <c r="C15091" t="s">
        <v>17894</v>
      </c>
      <c r="D15091" t="s">
        <v>18786</v>
      </c>
      <c r="E15091" t="s">
        <v>21732</v>
      </c>
      <c r="F15091" t="s">
        <v>32664</v>
      </c>
      <c r="G15091" t="s">
        <v>32672</v>
      </c>
      <c r="H15091" t="s">
        <v>32683</v>
      </c>
      <c r="I15091" t="s">
        <v>10627</v>
      </c>
      <c r="J15091" t="s">
        <v>41759</v>
      </c>
      <c r="K15091" t="s">
        <v>42298</v>
      </c>
      <c r="M15091" t="s">
        <v>45800</v>
      </c>
      <c r="N15091" t="s">
        <v>46569</v>
      </c>
      <c r="O15091" t="s">
        <v>46570</v>
      </c>
      <c r="P15091">
        <v>0</v>
      </c>
      <c r="Q15091">
        <v>0</v>
      </c>
      <c r="R15091" t="s">
        <v>46592</v>
      </c>
      <c r="S15091" t="s">
        <v>47652</v>
      </c>
      <c r="T15091" t="s">
        <v>48449</v>
      </c>
      <c r="U15091" t="s">
        <v>60897</v>
      </c>
      <c r="W15091" t="s">
        <v>45800</v>
      </c>
      <c r="X15091" t="s">
        <v>46593</v>
      </c>
    </row>
    <row r="15092" spans="1:24">
      <c r="A15092">
        <f>HYPERLINK("https://www.philgeps.gov.ph/GEPSNONPILOT/Tender/SplashBidNoticeAbstractUI.aspx?menuIndex=3&amp;refID=7026611&amp;Result=3","7026611")</f>
        <v>0</v>
      </c>
      <c r="B15092" t="s">
        <v>1103</v>
      </c>
      <c r="C15092" t="s">
        <v>17895</v>
      </c>
      <c r="D15092" t="s">
        <v>18790</v>
      </c>
      <c r="E15092" t="s">
        <v>31860</v>
      </c>
      <c r="F15092" t="s">
        <v>32664</v>
      </c>
      <c r="G15092" t="s">
        <v>32672</v>
      </c>
      <c r="H15092" t="s">
        <v>32683</v>
      </c>
      <c r="I15092" t="s">
        <v>10627</v>
      </c>
      <c r="J15092" t="s">
        <v>32943</v>
      </c>
      <c r="K15092" t="s">
        <v>42311</v>
      </c>
      <c r="M15092" t="s">
        <v>43730</v>
      </c>
      <c r="N15092" t="s">
        <v>46569</v>
      </c>
      <c r="O15092" t="s">
        <v>46570</v>
      </c>
      <c r="P15092">
        <v>0</v>
      </c>
      <c r="Q15092">
        <v>1</v>
      </c>
      <c r="R15092" t="s">
        <v>46592</v>
      </c>
      <c r="S15092" t="s">
        <v>47652</v>
      </c>
      <c r="T15092" t="s">
        <v>48228</v>
      </c>
      <c r="U15092" t="s">
        <v>60898</v>
      </c>
      <c r="W15092" t="s">
        <v>43730</v>
      </c>
      <c r="X15092" t="s">
        <v>46593</v>
      </c>
    </row>
    <row r="15093" spans="1:24">
      <c r="A15093">
        <f>HYPERLINK("https://www.philgeps.gov.ph/GEPSNONPILOT/Tender/SplashBidNoticeAbstractUI.aspx?menuIndex=3&amp;refID=7026696&amp;Result=3","7026696")</f>
        <v>0</v>
      </c>
      <c r="B15093" t="s">
        <v>69</v>
      </c>
      <c r="C15093" t="s">
        <v>17896</v>
      </c>
      <c r="D15093" t="s">
        <v>18784</v>
      </c>
      <c r="E15093" t="s">
        <v>31861</v>
      </c>
      <c r="F15093" t="s">
        <v>32664</v>
      </c>
      <c r="G15093" t="s">
        <v>32672</v>
      </c>
      <c r="H15093" t="s">
        <v>32683</v>
      </c>
      <c r="I15093" t="s">
        <v>10627</v>
      </c>
      <c r="J15093" t="s">
        <v>41760</v>
      </c>
      <c r="K15093" t="s">
        <v>42290</v>
      </c>
      <c r="M15093" t="s">
        <v>42632</v>
      </c>
      <c r="N15093" t="s">
        <v>46569</v>
      </c>
      <c r="O15093" t="s">
        <v>46570</v>
      </c>
      <c r="P15093">
        <v>0</v>
      </c>
      <c r="Q15093">
        <v>65</v>
      </c>
      <c r="R15093" t="s">
        <v>46592</v>
      </c>
      <c r="S15093" t="s">
        <v>47652</v>
      </c>
      <c r="T15093" t="s">
        <v>48449</v>
      </c>
      <c r="U15093" t="s">
        <v>60899</v>
      </c>
      <c r="W15093" t="s">
        <v>42632</v>
      </c>
      <c r="X15093" t="s">
        <v>46593</v>
      </c>
    </row>
    <row r="15094" spans="1:24">
      <c r="A15094">
        <f>HYPERLINK("https://www.philgeps.gov.ph/GEPSNONPILOT/Tender/SplashBidNoticeAbstractUI.aspx?menuIndex=3&amp;refID=7026626&amp;Result=3","7026626")</f>
        <v>0</v>
      </c>
      <c r="B15094" t="s">
        <v>512</v>
      </c>
      <c r="C15094" t="s">
        <v>7955</v>
      </c>
      <c r="D15094" t="s">
        <v>18831</v>
      </c>
      <c r="E15094" t="s">
        <v>31862</v>
      </c>
      <c r="F15094" t="s">
        <v>32664</v>
      </c>
      <c r="G15094" t="s">
        <v>32672</v>
      </c>
      <c r="H15094" t="s">
        <v>32683</v>
      </c>
      <c r="I15094" t="s">
        <v>10627</v>
      </c>
      <c r="J15094" t="s">
        <v>32865</v>
      </c>
      <c r="K15094" t="s">
        <v>42298</v>
      </c>
      <c r="M15094" t="s">
        <v>43088</v>
      </c>
      <c r="N15094" t="s">
        <v>46569</v>
      </c>
      <c r="O15094" t="s">
        <v>46570</v>
      </c>
      <c r="P15094">
        <v>0</v>
      </c>
      <c r="Q15094">
        <v>1</v>
      </c>
      <c r="R15094" t="s">
        <v>46592</v>
      </c>
      <c r="S15094" t="s">
        <v>47652</v>
      </c>
      <c r="T15094" t="s">
        <v>48283</v>
      </c>
      <c r="U15094" t="s">
        <v>60900</v>
      </c>
      <c r="W15094" t="s">
        <v>43088</v>
      </c>
      <c r="X15094" t="s">
        <v>46593</v>
      </c>
    </row>
    <row r="15095" spans="1:24">
      <c r="A15095">
        <f>HYPERLINK("https://www.philgeps.gov.ph/GEPSNONPILOT/Tender/SplashBidNoticeAbstractUI.aspx?menuIndex=3&amp;refID=7026604&amp;Result=3","7026604")</f>
        <v>0</v>
      </c>
      <c r="B15095" t="s">
        <v>3471</v>
      </c>
      <c r="C15095" t="s">
        <v>6628</v>
      </c>
      <c r="E15095" t="s">
        <v>31863</v>
      </c>
      <c r="F15095" t="s">
        <v>32664</v>
      </c>
      <c r="G15095" t="s">
        <v>32672</v>
      </c>
      <c r="H15095" t="s">
        <v>12635</v>
      </c>
      <c r="I15095" t="s">
        <v>6628</v>
      </c>
      <c r="J15095" t="s">
        <v>41761</v>
      </c>
      <c r="K15095" t="s">
        <v>42283</v>
      </c>
      <c r="M15095" t="s">
        <v>46466</v>
      </c>
      <c r="N15095" t="s">
        <v>46569</v>
      </c>
      <c r="O15095" t="s">
        <v>46570</v>
      </c>
      <c r="Q15095">
        <v>7</v>
      </c>
      <c r="R15095" t="s">
        <v>46592</v>
      </c>
      <c r="S15095" t="s">
        <v>47682</v>
      </c>
      <c r="T15095" t="s">
        <v>48244</v>
      </c>
      <c r="U15095" t="s">
        <v>60901</v>
      </c>
      <c r="W15095" t="s">
        <v>46466</v>
      </c>
      <c r="X15095" t="s">
        <v>46593</v>
      </c>
    </row>
    <row r="15096" spans="1:24">
      <c r="A15096">
        <f>HYPERLINK("https://www.philgeps.gov.ph/GEPSNONPILOT/Tender/SplashBidNoticeAbstractUI.aspx?menuIndex=3&amp;refID=7026580&amp;Result=3","7026580")</f>
        <v>0</v>
      </c>
      <c r="B15096" t="s">
        <v>3471</v>
      </c>
      <c r="C15096" t="s">
        <v>17897</v>
      </c>
      <c r="E15096" t="s">
        <v>31863</v>
      </c>
      <c r="F15096" t="s">
        <v>32664</v>
      </c>
      <c r="G15096" t="s">
        <v>32672</v>
      </c>
      <c r="H15096" t="s">
        <v>12635</v>
      </c>
      <c r="I15096" t="s">
        <v>32708</v>
      </c>
      <c r="J15096" t="s">
        <v>41762</v>
      </c>
      <c r="K15096" t="s">
        <v>42283</v>
      </c>
      <c r="M15096" t="s">
        <v>46466</v>
      </c>
      <c r="N15096" t="s">
        <v>46569</v>
      </c>
      <c r="O15096" t="s">
        <v>46570</v>
      </c>
      <c r="Q15096">
        <v>15</v>
      </c>
      <c r="R15096" t="s">
        <v>46592</v>
      </c>
      <c r="S15096" t="s">
        <v>47683</v>
      </c>
      <c r="T15096" t="s">
        <v>48244</v>
      </c>
      <c r="U15096" t="s">
        <v>60902</v>
      </c>
      <c r="W15096" t="s">
        <v>46466</v>
      </c>
      <c r="X15096" t="s">
        <v>46593</v>
      </c>
    </row>
    <row r="15097" spans="1:24">
      <c r="A15097">
        <f>HYPERLINK("https://www.philgeps.gov.ph/GEPSNONPILOT/Tender/SplashBidNoticeAbstractUI.aspx?menuIndex=3&amp;refID=7026566&amp;Result=3","7026566")</f>
        <v>0</v>
      </c>
      <c r="B15097" t="s">
        <v>1103</v>
      </c>
      <c r="C15097" t="s">
        <v>17898</v>
      </c>
      <c r="D15097" t="s">
        <v>18790</v>
      </c>
      <c r="E15097" t="s">
        <v>31864</v>
      </c>
      <c r="F15097" t="s">
        <v>32664</v>
      </c>
      <c r="G15097" t="s">
        <v>32672</v>
      </c>
      <c r="H15097" t="s">
        <v>32683</v>
      </c>
      <c r="I15097" t="s">
        <v>10627</v>
      </c>
      <c r="J15097" t="s">
        <v>33761</v>
      </c>
      <c r="K15097" t="s">
        <v>42365</v>
      </c>
      <c r="M15097" t="s">
        <v>43730</v>
      </c>
      <c r="N15097" t="s">
        <v>46569</v>
      </c>
      <c r="O15097" t="s">
        <v>46570</v>
      </c>
      <c r="Q15097">
        <v>2</v>
      </c>
      <c r="R15097" t="s">
        <v>46592</v>
      </c>
      <c r="S15097" t="s">
        <v>47684</v>
      </c>
      <c r="T15097" t="s">
        <v>48228</v>
      </c>
      <c r="U15097" t="s">
        <v>60903</v>
      </c>
      <c r="W15097" t="s">
        <v>43730</v>
      </c>
      <c r="X15097" t="s">
        <v>46593</v>
      </c>
    </row>
    <row r="15098" spans="1:24">
      <c r="A15098">
        <f>HYPERLINK("https://www.philgeps.gov.ph/GEPSNONPILOT/Tender/SplashBidNoticeAbstractUI.aspx?menuIndex=3&amp;refID=7026589&amp;Result=3","7026589")</f>
        <v>0</v>
      </c>
      <c r="B15098" t="s">
        <v>512</v>
      </c>
      <c r="C15098" t="s">
        <v>17899</v>
      </c>
      <c r="D15098" t="s">
        <v>18831</v>
      </c>
      <c r="E15098" t="s">
        <v>31865</v>
      </c>
      <c r="F15098" t="s">
        <v>32664</v>
      </c>
      <c r="G15098" t="s">
        <v>32672</v>
      </c>
      <c r="H15098" t="s">
        <v>32683</v>
      </c>
      <c r="I15098" t="s">
        <v>10627</v>
      </c>
      <c r="J15098" t="s">
        <v>32943</v>
      </c>
      <c r="K15098" t="s">
        <v>42311</v>
      </c>
      <c r="M15098" t="s">
        <v>43088</v>
      </c>
      <c r="N15098" t="s">
        <v>46569</v>
      </c>
      <c r="O15098" t="s">
        <v>46570</v>
      </c>
      <c r="P15098">
        <v>0</v>
      </c>
      <c r="Q15098">
        <v>2</v>
      </c>
      <c r="R15098" t="s">
        <v>46592</v>
      </c>
      <c r="S15098" t="s">
        <v>47652</v>
      </c>
      <c r="T15098" t="s">
        <v>48283</v>
      </c>
      <c r="U15098" t="s">
        <v>60904</v>
      </c>
      <c r="W15098" t="s">
        <v>43088</v>
      </c>
      <c r="X15098" t="s">
        <v>46593</v>
      </c>
    </row>
    <row r="15099" spans="1:24">
      <c r="A15099">
        <f>HYPERLINK("https://www.philgeps.gov.ph/GEPSNONPILOT/Tender/SplashBidNoticeAbstractUI.aspx?menuIndex=3&amp;refID=7026533&amp;Result=3","7026533")</f>
        <v>0</v>
      </c>
      <c r="B15099" t="s">
        <v>3471</v>
      </c>
      <c r="C15099" t="s">
        <v>17900</v>
      </c>
      <c r="E15099" t="s">
        <v>31863</v>
      </c>
      <c r="F15099" t="s">
        <v>32664</v>
      </c>
      <c r="G15099" t="s">
        <v>32672</v>
      </c>
      <c r="H15099" t="s">
        <v>12635</v>
      </c>
      <c r="I15099" t="s">
        <v>32708</v>
      </c>
      <c r="J15099" t="s">
        <v>32930</v>
      </c>
      <c r="K15099" t="s">
        <v>42283</v>
      </c>
      <c r="M15099" t="s">
        <v>46466</v>
      </c>
      <c r="N15099" t="s">
        <v>46569</v>
      </c>
      <c r="O15099" t="s">
        <v>46570</v>
      </c>
      <c r="Q15099">
        <v>16</v>
      </c>
      <c r="R15099" t="s">
        <v>46592</v>
      </c>
      <c r="S15099" t="s">
        <v>47683</v>
      </c>
      <c r="T15099" t="s">
        <v>48244</v>
      </c>
      <c r="U15099" t="s">
        <v>60905</v>
      </c>
      <c r="W15099" t="s">
        <v>46466</v>
      </c>
      <c r="X15099" t="s">
        <v>46593</v>
      </c>
    </row>
    <row r="15100" spans="1:24">
      <c r="A15100">
        <f>HYPERLINK("https://www.philgeps.gov.ph/GEPSNONPILOT/Tender/SplashBidNoticeAbstractUI.aspx?menuIndex=3&amp;refID=7026525&amp;Result=3","7026525")</f>
        <v>0</v>
      </c>
      <c r="B15100" t="s">
        <v>512</v>
      </c>
      <c r="C15100" t="s">
        <v>17901</v>
      </c>
      <c r="D15100" t="s">
        <v>18831</v>
      </c>
      <c r="E15100" t="s">
        <v>31866</v>
      </c>
      <c r="F15100" t="s">
        <v>32664</v>
      </c>
      <c r="G15100" t="s">
        <v>32672</v>
      </c>
      <c r="H15100" t="s">
        <v>32683</v>
      </c>
      <c r="I15100" t="s">
        <v>10627</v>
      </c>
      <c r="J15100" t="s">
        <v>32981</v>
      </c>
      <c r="K15100" t="s">
        <v>42311</v>
      </c>
      <c r="M15100" t="s">
        <v>43088</v>
      </c>
      <c r="N15100" t="s">
        <v>46569</v>
      </c>
      <c r="O15100" t="s">
        <v>46570</v>
      </c>
      <c r="P15100">
        <v>0</v>
      </c>
      <c r="Q15100">
        <v>2</v>
      </c>
      <c r="R15100" t="s">
        <v>46592</v>
      </c>
      <c r="S15100" t="s">
        <v>47652</v>
      </c>
      <c r="T15100" t="s">
        <v>48283</v>
      </c>
      <c r="U15100" t="s">
        <v>60906</v>
      </c>
      <c r="W15100" t="s">
        <v>43088</v>
      </c>
      <c r="X15100" t="s">
        <v>46593</v>
      </c>
    </row>
    <row r="15101" spans="1:24">
      <c r="A15101">
        <f>HYPERLINK("https://www.philgeps.gov.ph/GEPSNONPILOT/Tender/SplashBidNoticeAbstractUI.aspx?menuIndex=3&amp;refID=7026591&amp;Result=3","7026591")</f>
        <v>0</v>
      </c>
      <c r="B15101" t="s">
        <v>495</v>
      </c>
      <c r="C15101" t="s">
        <v>17902</v>
      </c>
      <c r="D15101" t="s">
        <v>18791</v>
      </c>
      <c r="E15101" t="s">
        <v>27654</v>
      </c>
      <c r="F15101" t="s">
        <v>32664</v>
      </c>
      <c r="G15101" t="s">
        <v>32672</v>
      </c>
      <c r="H15101" t="s">
        <v>12635</v>
      </c>
      <c r="I15101" t="s">
        <v>6223</v>
      </c>
      <c r="J15101" t="s">
        <v>35821</v>
      </c>
      <c r="K15101" t="s">
        <v>42289</v>
      </c>
      <c r="M15101" t="s">
        <v>43071</v>
      </c>
      <c r="N15101" t="s">
        <v>46569</v>
      </c>
      <c r="O15101" t="s">
        <v>46570</v>
      </c>
      <c r="Q15101">
        <v>5</v>
      </c>
      <c r="R15101" t="s">
        <v>46592</v>
      </c>
      <c r="S15101" t="s">
        <v>47685</v>
      </c>
      <c r="T15101" t="s">
        <v>48283</v>
      </c>
      <c r="U15101" t="s">
        <v>60907</v>
      </c>
      <c r="W15101" t="s">
        <v>43071</v>
      </c>
      <c r="X15101" t="s">
        <v>46593</v>
      </c>
    </row>
    <row r="15102" spans="1:24">
      <c r="A15102">
        <f>HYPERLINK("https://www.philgeps.gov.ph/GEPSNONPILOT/Tender/SplashBidNoticeAbstractUI.aspx?menuIndex=3&amp;refID=7026540&amp;Result=3","7026540")</f>
        <v>0</v>
      </c>
      <c r="B15102" t="s">
        <v>495</v>
      </c>
      <c r="C15102" t="s">
        <v>17903</v>
      </c>
      <c r="D15102" t="s">
        <v>18791</v>
      </c>
      <c r="E15102" t="s">
        <v>31867</v>
      </c>
      <c r="F15102" t="s">
        <v>32664</v>
      </c>
      <c r="G15102" t="s">
        <v>32672</v>
      </c>
      <c r="H15102" t="s">
        <v>12635</v>
      </c>
      <c r="I15102" t="s">
        <v>4439</v>
      </c>
      <c r="J15102" t="s">
        <v>32976</v>
      </c>
      <c r="K15102" t="s">
        <v>42289</v>
      </c>
      <c r="M15102" t="s">
        <v>43071</v>
      </c>
      <c r="N15102" t="s">
        <v>46569</v>
      </c>
      <c r="O15102" t="s">
        <v>46570</v>
      </c>
      <c r="Q15102">
        <v>1</v>
      </c>
      <c r="R15102" t="s">
        <v>46592</v>
      </c>
      <c r="S15102" t="s">
        <v>47686</v>
      </c>
      <c r="T15102" t="s">
        <v>48283</v>
      </c>
      <c r="U15102" t="s">
        <v>60908</v>
      </c>
      <c r="W15102" t="s">
        <v>43071</v>
      </c>
      <c r="X15102" t="s">
        <v>46593</v>
      </c>
    </row>
    <row r="15103" spans="1:24">
      <c r="A15103">
        <f>HYPERLINK("https://www.philgeps.gov.ph/GEPSNONPILOT/Tender/SplashBidNoticeAbstractUI.aspx?menuIndex=3&amp;refID=7026105&amp;Result=3","7026105")</f>
        <v>0</v>
      </c>
      <c r="B15103" t="s">
        <v>1534</v>
      </c>
      <c r="C15103" t="s">
        <v>17904</v>
      </c>
      <c r="D15103" t="s">
        <v>18853</v>
      </c>
      <c r="E15103" t="s">
        <v>31868</v>
      </c>
      <c r="F15103" t="s">
        <v>32664</v>
      </c>
      <c r="G15103" t="s">
        <v>32672</v>
      </c>
      <c r="H15103" t="s">
        <v>32683</v>
      </c>
      <c r="I15103" t="s">
        <v>10627</v>
      </c>
      <c r="J15103" t="s">
        <v>32837</v>
      </c>
      <c r="K15103" t="s">
        <v>42568</v>
      </c>
      <c r="M15103" t="s">
        <v>44201</v>
      </c>
      <c r="N15103" t="s">
        <v>46569</v>
      </c>
      <c r="O15103" t="s">
        <v>46570</v>
      </c>
      <c r="Q15103">
        <v>0</v>
      </c>
      <c r="R15103" t="s">
        <v>46592</v>
      </c>
      <c r="S15103" t="s">
        <v>47687</v>
      </c>
      <c r="T15103" t="s">
        <v>48747</v>
      </c>
      <c r="U15103" t="s">
        <v>60909</v>
      </c>
      <c r="W15103" t="s">
        <v>44201</v>
      </c>
      <c r="X15103" t="s">
        <v>46593</v>
      </c>
    </row>
    <row r="15104" spans="1:24">
      <c r="A15104">
        <f>HYPERLINK("https://www.philgeps.gov.ph/GEPSNONPILOT/Tender/SplashBidNoticeAbstractUI.aspx?menuIndex=3&amp;refID=7026487&amp;Result=3","7026487")</f>
        <v>0</v>
      </c>
      <c r="B15104" t="s">
        <v>495</v>
      </c>
      <c r="C15104" t="s">
        <v>17905</v>
      </c>
      <c r="D15104" t="s">
        <v>18791</v>
      </c>
      <c r="E15104" t="s">
        <v>31869</v>
      </c>
      <c r="F15104" t="s">
        <v>32664</v>
      </c>
      <c r="G15104" t="s">
        <v>32672</v>
      </c>
      <c r="H15104" t="s">
        <v>12635</v>
      </c>
      <c r="I15104" t="s">
        <v>6628</v>
      </c>
      <c r="J15104" t="s">
        <v>32859</v>
      </c>
      <c r="K15104" t="s">
        <v>42289</v>
      </c>
      <c r="M15104" t="s">
        <v>43071</v>
      </c>
      <c r="N15104" t="s">
        <v>46569</v>
      </c>
      <c r="O15104" t="s">
        <v>46570</v>
      </c>
      <c r="Q15104">
        <v>6</v>
      </c>
      <c r="R15104" t="s">
        <v>46592</v>
      </c>
      <c r="S15104" t="s">
        <v>47688</v>
      </c>
      <c r="T15104" t="s">
        <v>48283</v>
      </c>
      <c r="U15104" t="s">
        <v>60910</v>
      </c>
      <c r="W15104" t="s">
        <v>43071</v>
      </c>
      <c r="X15104" t="s">
        <v>46593</v>
      </c>
    </row>
    <row r="15105" spans="1:24">
      <c r="A15105">
        <f>HYPERLINK("https://www.philgeps.gov.ph/GEPSNONPILOT/Tender/SplashBidNoticeAbstractUI.aspx?menuIndex=3&amp;refID=7026665&amp;Result=3","7026665")</f>
        <v>0</v>
      </c>
      <c r="B15105" t="s">
        <v>512</v>
      </c>
      <c r="C15105" t="s">
        <v>17906</v>
      </c>
      <c r="D15105" t="s">
        <v>18831</v>
      </c>
      <c r="E15105" t="s">
        <v>31870</v>
      </c>
      <c r="F15105" t="s">
        <v>32664</v>
      </c>
      <c r="G15105" t="s">
        <v>32672</v>
      </c>
      <c r="H15105" t="s">
        <v>32683</v>
      </c>
      <c r="I15105" t="s">
        <v>10627</v>
      </c>
      <c r="J15105" t="s">
        <v>32962</v>
      </c>
      <c r="K15105" t="s">
        <v>42369</v>
      </c>
      <c r="M15105" t="s">
        <v>43088</v>
      </c>
      <c r="N15105" t="s">
        <v>46569</v>
      </c>
      <c r="O15105" t="s">
        <v>46570</v>
      </c>
      <c r="P15105">
        <v>0</v>
      </c>
      <c r="Q15105">
        <v>1</v>
      </c>
      <c r="R15105" t="s">
        <v>46592</v>
      </c>
      <c r="S15105" t="s">
        <v>47652</v>
      </c>
      <c r="T15105" t="s">
        <v>48283</v>
      </c>
      <c r="U15105" t="s">
        <v>60911</v>
      </c>
      <c r="W15105" t="s">
        <v>43088</v>
      </c>
      <c r="X15105" t="s">
        <v>46593</v>
      </c>
    </row>
    <row r="15106" spans="1:24">
      <c r="A15106">
        <f>HYPERLINK("https://www.philgeps.gov.ph/GEPSNONPILOT/Tender/SplashBidNoticeAbstractUI.aspx?menuIndex=3&amp;refID=7026048&amp;Result=3","7026048")</f>
        <v>0</v>
      </c>
      <c r="B15106" t="s">
        <v>656</v>
      </c>
      <c r="C15106" t="s">
        <v>17907</v>
      </c>
      <c r="D15106" t="s">
        <v>18801</v>
      </c>
      <c r="E15106" t="s">
        <v>31871</v>
      </c>
      <c r="F15106" t="s">
        <v>32664</v>
      </c>
      <c r="G15106" t="s">
        <v>32672</v>
      </c>
      <c r="H15106" t="s">
        <v>12635</v>
      </c>
      <c r="I15106" t="s">
        <v>9486</v>
      </c>
      <c r="J15106" t="s">
        <v>41763</v>
      </c>
      <c r="K15106" t="s">
        <v>42283</v>
      </c>
      <c r="M15106" t="s">
        <v>43243</v>
      </c>
      <c r="N15106" t="s">
        <v>46569</v>
      </c>
      <c r="O15106" t="s">
        <v>46570</v>
      </c>
      <c r="Q15106">
        <v>8</v>
      </c>
      <c r="R15106" t="s">
        <v>46592</v>
      </c>
      <c r="S15106" t="s">
        <v>47689</v>
      </c>
      <c r="T15106" t="s">
        <v>48648</v>
      </c>
      <c r="U15106" t="s">
        <v>60912</v>
      </c>
      <c r="W15106" t="s">
        <v>43243</v>
      </c>
      <c r="X15106" t="s">
        <v>46593</v>
      </c>
    </row>
    <row r="15107" spans="1:24">
      <c r="A15107">
        <f>HYPERLINK("https://www.philgeps.gov.ph/GEPSNONPILOT/Tender/SplashBidNoticeAbstractUI.aspx?menuIndex=3&amp;refID=7026512&amp;Result=3","7026512")</f>
        <v>0</v>
      </c>
      <c r="B15107" t="s">
        <v>495</v>
      </c>
      <c r="C15107" t="s">
        <v>17908</v>
      </c>
      <c r="D15107" t="s">
        <v>18791</v>
      </c>
      <c r="E15107" t="s">
        <v>31872</v>
      </c>
      <c r="F15107" t="s">
        <v>32664</v>
      </c>
      <c r="G15107" t="s">
        <v>32672</v>
      </c>
      <c r="H15107" t="s">
        <v>12635</v>
      </c>
      <c r="I15107" t="s">
        <v>4439</v>
      </c>
      <c r="J15107" t="s">
        <v>41764</v>
      </c>
      <c r="K15107" t="s">
        <v>42289</v>
      </c>
      <c r="M15107" t="s">
        <v>43071</v>
      </c>
      <c r="N15107" t="s">
        <v>46569</v>
      </c>
      <c r="O15107" t="s">
        <v>46570</v>
      </c>
      <c r="Q15107">
        <v>6</v>
      </c>
      <c r="R15107" t="s">
        <v>46592</v>
      </c>
      <c r="S15107" t="s">
        <v>47690</v>
      </c>
      <c r="T15107" t="s">
        <v>48283</v>
      </c>
      <c r="U15107" t="s">
        <v>60913</v>
      </c>
      <c r="W15107" t="s">
        <v>43071</v>
      </c>
      <c r="X15107" t="s">
        <v>46593</v>
      </c>
    </row>
    <row r="15108" spans="1:24">
      <c r="A15108">
        <f>HYPERLINK("https://www.philgeps.gov.ph/GEPSNONPILOT/Tender/SplashBidNoticeAbstractUI.aspx?menuIndex=3&amp;refID=7026862&amp;Result=3","7026862")</f>
        <v>0</v>
      </c>
      <c r="B15108" t="s">
        <v>2794</v>
      </c>
      <c r="C15108" t="s">
        <v>17909</v>
      </c>
      <c r="D15108" t="s">
        <v>18797</v>
      </c>
      <c r="E15108" t="s">
        <v>31873</v>
      </c>
      <c r="F15108" t="s">
        <v>32664</v>
      </c>
      <c r="G15108" t="s">
        <v>32672</v>
      </c>
      <c r="H15108" t="s">
        <v>32683</v>
      </c>
      <c r="I15108" t="s">
        <v>10627</v>
      </c>
      <c r="J15108" t="s">
        <v>33952</v>
      </c>
      <c r="K15108" t="s">
        <v>42298</v>
      </c>
      <c r="M15108" t="s">
        <v>45638</v>
      </c>
      <c r="N15108" t="s">
        <v>46569</v>
      </c>
      <c r="O15108" t="s">
        <v>46570</v>
      </c>
      <c r="Q15108">
        <v>110</v>
      </c>
      <c r="R15108" t="s">
        <v>46592</v>
      </c>
      <c r="S15108" t="s">
        <v>47691</v>
      </c>
      <c r="T15108" t="s">
        <v>48244</v>
      </c>
      <c r="U15108" t="s">
        <v>56905</v>
      </c>
      <c r="V15108" t="s">
        <v>63299</v>
      </c>
      <c r="W15108" t="s">
        <v>63572</v>
      </c>
      <c r="X15108" t="s">
        <v>46593</v>
      </c>
    </row>
    <row r="15109" spans="1:24">
      <c r="A15109">
        <f>HYPERLINK("https://www.philgeps.gov.ph/GEPSNONPILOT/Tender/SplashBidNoticeAbstractUI.aspx?menuIndex=3&amp;refID=7026073&amp;Result=3","7026073")</f>
        <v>0</v>
      </c>
      <c r="B15109" t="s">
        <v>2946</v>
      </c>
      <c r="C15109" t="s">
        <v>17910</v>
      </c>
      <c r="D15109" t="s">
        <v>18786</v>
      </c>
      <c r="E15109" t="s">
        <v>21625</v>
      </c>
      <c r="F15109" t="s">
        <v>32664</v>
      </c>
      <c r="G15109" t="s">
        <v>32672</v>
      </c>
      <c r="H15109" t="s">
        <v>32683</v>
      </c>
      <c r="I15109" t="s">
        <v>10627</v>
      </c>
      <c r="J15109" t="s">
        <v>41765</v>
      </c>
      <c r="K15109" t="s">
        <v>42532</v>
      </c>
      <c r="M15109" t="s">
        <v>45800</v>
      </c>
      <c r="N15109" t="s">
        <v>46569</v>
      </c>
      <c r="O15109" t="s">
        <v>46570</v>
      </c>
      <c r="P15109">
        <v>0</v>
      </c>
      <c r="Q15109">
        <v>0</v>
      </c>
      <c r="R15109" t="s">
        <v>46592</v>
      </c>
      <c r="S15109" t="s">
        <v>47652</v>
      </c>
      <c r="T15109" t="s">
        <v>48449</v>
      </c>
      <c r="U15109" t="s">
        <v>60914</v>
      </c>
      <c r="W15109" t="s">
        <v>45800</v>
      </c>
      <c r="X15109" t="s">
        <v>46593</v>
      </c>
    </row>
    <row r="15110" spans="1:24">
      <c r="A15110">
        <f>HYPERLINK("https://www.philgeps.gov.ph/GEPSNONPILOT/Tender/SplashBidNoticeAbstractUI.aspx?menuIndex=3&amp;refID=7026852&amp;Result=3","7026852")</f>
        <v>0</v>
      </c>
      <c r="B15110" t="s">
        <v>2794</v>
      </c>
      <c r="C15110" t="s">
        <v>17911</v>
      </c>
      <c r="D15110" t="s">
        <v>18797</v>
      </c>
      <c r="E15110" t="s">
        <v>31874</v>
      </c>
      <c r="F15110" t="s">
        <v>32664</v>
      </c>
      <c r="G15110" t="s">
        <v>32672</v>
      </c>
      <c r="H15110" t="s">
        <v>32683</v>
      </c>
      <c r="I15110" t="s">
        <v>10627</v>
      </c>
      <c r="J15110" t="s">
        <v>37018</v>
      </c>
      <c r="K15110" t="s">
        <v>42308</v>
      </c>
      <c r="M15110" t="s">
        <v>45638</v>
      </c>
      <c r="N15110" t="s">
        <v>46569</v>
      </c>
      <c r="O15110" t="s">
        <v>46570</v>
      </c>
      <c r="Q15110">
        <v>119</v>
      </c>
      <c r="R15110" t="s">
        <v>46592</v>
      </c>
      <c r="S15110" t="s">
        <v>47692</v>
      </c>
      <c r="T15110" t="s">
        <v>48244</v>
      </c>
      <c r="U15110" t="s">
        <v>56905</v>
      </c>
      <c r="V15110" t="s">
        <v>62684</v>
      </c>
      <c r="W15110" t="s">
        <v>63572</v>
      </c>
      <c r="X15110" t="s">
        <v>46593</v>
      </c>
    </row>
    <row r="15111" spans="1:24">
      <c r="A15111">
        <f>HYPERLINK("https://www.philgeps.gov.ph/GEPSNONPILOT/Tender/SplashBidNoticeAbstractUI.aspx?menuIndex=3&amp;refID=7026847&amp;Result=3","7026847")</f>
        <v>0</v>
      </c>
      <c r="B15111" t="s">
        <v>2794</v>
      </c>
      <c r="C15111" t="s">
        <v>17912</v>
      </c>
      <c r="D15111" t="s">
        <v>18797</v>
      </c>
      <c r="E15111" t="s">
        <v>31875</v>
      </c>
      <c r="F15111" t="s">
        <v>32664</v>
      </c>
      <c r="G15111" t="s">
        <v>32672</v>
      </c>
      <c r="H15111" t="s">
        <v>32683</v>
      </c>
      <c r="I15111" t="s">
        <v>10627</v>
      </c>
      <c r="J15111" t="s">
        <v>32943</v>
      </c>
      <c r="K15111" t="s">
        <v>42342</v>
      </c>
      <c r="M15111" t="s">
        <v>45638</v>
      </c>
      <c r="N15111" t="s">
        <v>46569</v>
      </c>
      <c r="O15111" t="s">
        <v>46570</v>
      </c>
      <c r="Q15111">
        <v>118</v>
      </c>
      <c r="R15111" t="s">
        <v>46592</v>
      </c>
      <c r="S15111" t="s">
        <v>47693</v>
      </c>
      <c r="T15111" t="s">
        <v>48244</v>
      </c>
      <c r="U15111" t="s">
        <v>56905</v>
      </c>
      <c r="V15111" t="s">
        <v>63300</v>
      </c>
      <c r="W15111" t="s">
        <v>63572</v>
      </c>
      <c r="X15111" t="s">
        <v>46593</v>
      </c>
    </row>
    <row r="15112" spans="1:24">
      <c r="A15112">
        <f>HYPERLINK("https://www.philgeps.gov.ph/GEPSNONPILOT/Tender/SplashBidNoticeAbstractUI.aspx?menuIndex=3&amp;refID=7026484&amp;Result=3","7026484")</f>
        <v>0</v>
      </c>
      <c r="B15112" t="s">
        <v>885</v>
      </c>
      <c r="C15112" t="s">
        <v>9819</v>
      </c>
      <c r="D15112" t="s">
        <v>18819</v>
      </c>
      <c r="E15112" t="s">
        <v>26278</v>
      </c>
      <c r="F15112" t="s">
        <v>32664</v>
      </c>
      <c r="G15112" t="s">
        <v>32672</v>
      </c>
      <c r="H15112" t="s">
        <v>12635</v>
      </c>
      <c r="I15112" t="s">
        <v>4439</v>
      </c>
      <c r="J15112" t="s">
        <v>41766</v>
      </c>
      <c r="K15112" t="s">
        <v>42283</v>
      </c>
      <c r="M15112" t="s">
        <v>43486</v>
      </c>
      <c r="N15112" t="s">
        <v>46569</v>
      </c>
      <c r="O15112" t="s">
        <v>46570</v>
      </c>
      <c r="P15112">
        <v>0</v>
      </c>
      <c r="Q15112">
        <v>1</v>
      </c>
      <c r="R15112" t="s">
        <v>46592</v>
      </c>
      <c r="S15112" t="s">
        <v>47652</v>
      </c>
      <c r="T15112" t="s">
        <v>48293</v>
      </c>
      <c r="U15112" t="s">
        <v>60915</v>
      </c>
      <c r="V15112" t="s">
        <v>63301</v>
      </c>
      <c r="W15112" t="s">
        <v>43486</v>
      </c>
      <c r="X15112" t="s">
        <v>46593</v>
      </c>
    </row>
    <row r="15113" spans="1:24">
      <c r="A15113">
        <f>HYPERLINK("https://www.philgeps.gov.ph/GEPSNONPILOT/Tender/SplashBidNoticeAbstractUI.aspx?menuIndex=3&amp;refID=7026837&amp;Result=3","7026837")</f>
        <v>0</v>
      </c>
      <c r="B15113" t="s">
        <v>2794</v>
      </c>
      <c r="C15113" t="s">
        <v>17913</v>
      </c>
      <c r="D15113" t="s">
        <v>18797</v>
      </c>
      <c r="E15113" t="s">
        <v>31876</v>
      </c>
      <c r="F15113" t="s">
        <v>32664</v>
      </c>
      <c r="G15113" t="s">
        <v>32672</v>
      </c>
      <c r="H15113" t="s">
        <v>32683</v>
      </c>
      <c r="I15113" t="s">
        <v>10627</v>
      </c>
      <c r="J15113" t="s">
        <v>32962</v>
      </c>
      <c r="K15113" t="s">
        <v>42311</v>
      </c>
      <c r="M15113" t="s">
        <v>45638</v>
      </c>
      <c r="N15113" t="s">
        <v>46569</v>
      </c>
      <c r="O15113" t="s">
        <v>46570</v>
      </c>
      <c r="Q15113">
        <v>118</v>
      </c>
      <c r="R15113" t="s">
        <v>46592</v>
      </c>
      <c r="S15113" t="s">
        <v>47694</v>
      </c>
      <c r="T15113" t="s">
        <v>48244</v>
      </c>
      <c r="U15113" t="s">
        <v>56905</v>
      </c>
      <c r="V15113" t="s">
        <v>62684</v>
      </c>
      <c r="W15113" t="s">
        <v>63572</v>
      </c>
      <c r="X15113" t="s">
        <v>46593</v>
      </c>
    </row>
    <row r="15114" spans="1:24">
      <c r="A15114">
        <f>HYPERLINK("https://www.philgeps.gov.ph/GEPSNONPILOT/Tender/SplashBidNoticeAbstractUI.aspx?menuIndex=3&amp;refID=7026855&amp;Result=3","7026855")</f>
        <v>0</v>
      </c>
      <c r="B15114" t="s">
        <v>960</v>
      </c>
      <c r="C15114" t="s">
        <v>17914</v>
      </c>
      <c r="D15114" t="s">
        <v>18799</v>
      </c>
      <c r="E15114" t="s">
        <v>31877</v>
      </c>
      <c r="F15114" t="s">
        <v>32664</v>
      </c>
      <c r="G15114" t="s">
        <v>32672</v>
      </c>
      <c r="H15114" t="s">
        <v>12635</v>
      </c>
      <c r="I15114" t="s">
        <v>32717</v>
      </c>
      <c r="J15114" t="s">
        <v>32974</v>
      </c>
      <c r="K15114" t="s">
        <v>42281</v>
      </c>
      <c r="M15114" t="s">
        <v>43567</v>
      </c>
      <c r="N15114" t="s">
        <v>46569</v>
      </c>
      <c r="O15114" t="s">
        <v>46570</v>
      </c>
      <c r="Q15114">
        <v>5</v>
      </c>
      <c r="R15114" t="s">
        <v>46592</v>
      </c>
      <c r="S15114" t="s">
        <v>47695</v>
      </c>
      <c r="T15114" t="s">
        <v>48282</v>
      </c>
      <c r="U15114" t="s">
        <v>60916</v>
      </c>
      <c r="W15114" t="s">
        <v>43567</v>
      </c>
      <c r="X15114" t="s">
        <v>46593</v>
      </c>
    </row>
    <row r="15115" spans="1:24">
      <c r="A15115">
        <f>HYPERLINK("https://www.philgeps.gov.ph/GEPSNONPILOT/Tender/SplashBidNoticeAbstractUI.aspx?menuIndex=3&amp;refID=7026666&amp;Result=3","7026666")</f>
        <v>0</v>
      </c>
      <c r="B15115" t="s">
        <v>1103</v>
      </c>
      <c r="C15115" t="s">
        <v>17915</v>
      </c>
      <c r="D15115" t="s">
        <v>18790</v>
      </c>
      <c r="E15115" t="s">
        <v>31878</v>
      </c>
      <c r="F15115" t="s">
        <v>32664</v>
      </c>
      <c r="G15115" t="s">
        <v>32672</v>
      </c>
      <c r="H15115" t="s">
        <v>32683</v>
      </c>
      <c r="I15115" t="s">
        <v>10627</v>
      </c>
      <c r="J15115" t="s">
        <v>32962</v>
      </c>
      <c r="K15115" t="s">
        <v>42290</v>
      </c>
      <c r="M15115" t="s">
        <v>43730</v>
      </c>
      <c r="N15115" t="s">
        <v>46569</v>
      </c>
      <c r="O15115" t="s">
        <v>46570</v>
      </c>
      <c r="P15115">
        <v>0</v>
      </c>
      <c r="Q15115">
        <v>0</v>
      </c>
      <c r="R15115" t="s">
        <v>46592</v>
      </c>
      <c r="S15115" t="s">
        <v>47652</v>
      </c>
      <c r="T15115" t="s">
        <v>48228</v>
      </c>
      <c r="U15115" t="s">
        <v>60917</v>
      </c>
      <c r="W15115" t="s">
        <v>43730</v>
      </c>
      <c r="X15115" t="s">
        <v>46593</v>
      </c>
    </row>
    <row r="15116" spans="1:24">
      <c r="A15116">
        <f>HYPERLINK("https://www.philgeps.gov.ph/GEPSNONPILOT/Tender/SplashBidNoticeAbstractUI.aspx?menuIndex=3&amp;refID=7026821&amp;Result=3","7026821")</f>
        <v>0</v>
      </c>
      <c r="B15116" t="s">
        <v>2794</v>
      </c>
      <c r="C15116" t="s">
        <v>17916</v>
      </c>
      <c r="D15116" t="s">
        <v>18797</v>
      </c>
      <c r="E15116" t="s">
        <v>31879</v>
      </c>
      <c r="F15116" t="s">
        <v>32664</v>
      </c>
      <c r="G15116" t="s">
        <v>32672</v>
      </c>
      <c r="H15116" t="s">
        <v>32683</v>
      </c>
      <c r="I15116" t="s">
        <v>10627</v>
      </c>
      <c r="J15116" t="s">
        <v>32943</v>
      </c>
      <c r="K15116" t="s">
        <v>42290</v>
      </c>
      <c r="M15116" t="s">
        <v>45638</v>
      </c>
      <c r="N15116" t="s">
        <v>46569</v>
      </c>
      <c r="O15116" t="s">
        <v>46570</v>
      </c>
      <c r="Q15116">
        <v>120</v>
      </c>
      <c r="R15116" t="s">
        <v>46592</v>
      </c>
      <c r="S15116" t="s">
        <v>47696</v>
      </c>
      <c r="T15116" t="s">
        <v>48244</v>
      </c>
      <c r="U15116" t="s">
        <v>56905</v>
      </c>
      <c r="V15116" t="s">
        <v>63302</v>
      </c>
      <c r="W15116" t="s">
        <v>63572</v>
      </c>
      <c r="X15116" t="s">
        <v>46593</v>
      </c>
    </row>
    <row r="15117" spans="1:24">
      <c r="A15117">
        <f>HYPERLINK("https://www.philgeps.gov.ph/GEPSNONPILOT/Tender/SplashBidNoticeAbstractUI.aspx?menuIndex=3&amp;refID=7026856&amp;Result=3","7026856")</f>
        <v>0</v>
      </c>
      <c r="B15117" t="s">
        <v>2794</v>
      </c>
      <c r="C15117" t="s">
        <v>17917</v>
      </c>
      <c r="D15117" t="s">
        <v>18797</v>
      </c>
      <c r="E15117" t="s">
        <v>31880</v>
      </c>
      <c r="F15117" t="s">
        <v>32664</v>
      </c>
      <c r="G15117" t="s">
        <v>32672</v>
      </c>
      <c r="H15117" t="s">
        <v>32683</v>
      </c>
      <c r="I15117" t="s">
        <v>10627</v>
      </c>
      <c r="J15117" t="s">
        <v>32981</v>
      </c>
      <c r="K15117" t="s">
        <v>42290</v>
      </c>
      <c r="M15117" t="s">
        <v>45638</v>
      </c>
      <c r="N15117" t="s">
        <v>46569</v>
      </c>
      <c r="O15117" t="s">
        <v>46570</v>
      </c>
      <c r="Q15117">
        <v>118</v>
      </c>
      <c r="R15117" t="s">
        <v>46592</v>
      </c>
      <c r="S15117" t="s">
        <v>47697</v>
      </c>
      <c r="T15117" t="s">
        <v>48244</v>
      </c>
      <c r="U15117" t="s">
        <v>56905</v>
      </c>
      <c r="V15117" t="s">
        <v>62684</v>
      </c>
      <c r="W15117" t="s">
        <v>63572</v>
      </c>
      <c r="X15117" t="s">
        <v>46593</v>
      </c>
    </row>
    <row r="15118" spans="1:24">
      <c r="A15118">
        <f>HYPERLINK("https://www.philgeps.gov.ph/GEPSNONPILOT/Tender/SplashBidNoticeAbstractUI.aspx?menuIndex=3&amp;refID=7026801&amp;Result=3","7026801")</f>
        <v>0</v>
      </c>
      <c r="B15118" t="s">
        <v>2794</v>
      </c>
      <c r="C15118" t="s">
        <v>17918</v>
      </c>
      <c r="D15118" t="s">
        <v>18797</v>
      </c>
      <c r="E15118" t="s">
        <v>31881</v>
      </c>
      <c r="F15118" t="s">
        <v>32664</v>
      </c>
      <c r="G15118" t="s">
        <v>32672</v>
      </c>
      <c r="H15118" t="s">
        <v>32683</v>
      </c>
      <c r="I15118" t="s">
        <v>10627</v>
      </c>
      <c r="J15118" t="s">
        <v>32943</v>
      </c>
      <c r="K15118" t="s">
        <v>42311</v>
      </c>
      <c r="M15118" t="s">
        <v>45638</v>
      </c>
      <c r="N15118" t="s">
        <v>46569</v>
      </c>
      <c r="O15118" t="s">
        <v>46570</v>
      </c>
      <c r="Q15118">
        <v>124</v>
      </c>
      <c r="R15118" t="s">
        <v>46592</v>
      </c>
      <c r="S15118" t="s">
        <v>47698</v>
      </c>
      <c r="T15118" t="s">
        <v>48244</v>
      </c>
      <c r="U15118" t="s">
        <v>56905</v>
      </c>
      <c r="V15118" t="s">
        <v>63303</v>
      </c>
      <c r="W15118" t="s">
        <v>63572</v>
      </c>
      <c r="X15118" t="s">
        <v>46593</v>
      </c>
    </row>
    <row r="15119" spans="1:24">
      <c r="A15119">
        <f>HYPERLINK("https://www.philgeps.gov.ph/GEPSNONPILOT/Tender/SplashBidNoticeAbstractUI.aspx?menuIndex=3&amp;refID=7026829&amp;Result=3","7026829")</f>
        <v>0</v>
      </c>
      <c r="B15119" t="s">
        <v>2794</v>
      </c>
      <c r="C15119" t="s">
        <v>17919</v>
      </c>
      <c r="D15119" t="s">
        <v>18797</v>
      </c>
      <c r="E15119" t="s">
        <v>31882</v>
      </c>
      <c r="F15119" t="s">
        <v>32664</v>
      </c>
      <c r="G15119" t="s">
        <v>32672</v>
      </c>
      <c r="H15119" t="s">
        <v>32683</v>
      </c>
      <c r="I15119" t="s">
        <v>10627</v>
      </c>
      <c r="J15119" t="s">
        <v>32943</v>
      </c>
      <c r="K15119" t="s">
        <v>42308</v>
      </c>
      <c r="M15119" t="s">
        <v>45638</v>
      </c>
      <c r="N15119" t="s">
        <v>46569</v>
      </c>
      <c r="O15119" t="s">
        <v>46570</v>
      </c>
      <c r="Q15119">
        <v>118</v>
      </c>
      <c r="R15119" t="s">
        <v>46592</v>
      </c>
      <c r="S15119" t="s">
        <v>47699</v>
      </c>
      <c r="T15119" t="s">
        <v>48244</v>
      </c>
      <c r="U15119" t="s">
        <v>56905</v>
      </c>
      <c r="V15119" t="s">
        <v>62684</v>
      </c>
      <c r="W15119" t="s">
        <v>63572</v>
      </c>
      <c r="X15119" t="s">
        <v>46593</v>
      </c>
    </row>
    <row r="15120" spans="1:24">
      <c r="A15120">
        <f>HYPERLINK("https://www.philgeps.gov.ph/GEPSNONPILOT/Tender/SplashBidNoticeAbstractUI.aspx?menuIndex=3&amp;refID=7018820&amp;Result=3","7018820")</f>
        <v>0</v>
      </c>
      <c r="B15120" t="s">
        <v>3003</v>
      </c>
      <c r="C15120" t="s">
        <v>17920</v>
      </c>
      <c r="D15120" t="s">
        <v>18820</v>
      </c>
      <c r="E15120" t="s">
        <v>31883</v>
      </c>
      <c r="F15120" t="s">
        <v>32664</v>
      </c>
      <c r="G15120" t="s">
        <v>32672</v>
      </c>
      <c r="H15120" t="s">
        <v>32683</v>
      </c>
      <c r="I15120" t="s">
        <v>10627</v>
      </c>
      <c r="J15120" t="s">
        <v>41767</v>
      </c>
      <c r="K15120" t="s">
        <v>42298</v>
      </c>
      <c r="M15120" t="s">
        <v>45864</v>
      </c>
      <c r="N15120" t="s">
        <v>46569</v>
      </c>
      <c r="O15120" t="s">
        <v>46570</v>
      </c>
      <c r="Q15120">
        <v>0</v>
      </c>
      <c r="R15120" t="s">
        <v>46593</v>
      </c>
      <c r="S15120" t="s">
        <v>47700</v>
      </c>
      <c r="T15120" t="s">
        <v>48228</v>
      </c>
      <c r="U15120" t="s">
        <v>60918</v>
      </c>
      <c r="V15120" t="s">
        <v>63304</v>
      </c>
      <c r="W15120" t="s">
        <v>45864</v>
      </c>
      <c r="X15120" t="s">
        <v>46595</v>
      </c>
    </row>
    <row r="15121" spans="1:24">
      <c r="A15121">
        <f>HYPERLINK("https://www.philgeps.gov.ph/GEPSNONPILOT/Tender/SplashBidNoticeAbstractUI.aspx?menuIndex=3&amp;refID=7017188&amp;Result=3","7017188")</f>
        <v>0</v>
      </c>
      <c r="B15121" t="s">
        <v>510</v>
      </c>
      <c r="C15121" t="s">
        <v>17921</v>
      </c>
      <c r="D15121" t="s">
        <v>18792</v>
      </c>
      <c r="E15121" t="s">
        <v>31884</v>
      </c>
      <c r="F15121" t="s">
        <v>32664</v>
      </c>
      <c r="G15121" t="s">
        <v>32672</v>
      </c>
      <c r="H15121" t="s">
        <v>32681</v>
      </c>
      <c r="I15121" t="s">
        <v>32681</v>
      </c>
      <c r="J15121" t="s">
        <v>33273</v>
      </c>
      <c r="K15121" t="s">
        <v>42305</v>
      </c>
      <c r="M15121" t="s">
        <v>43086</v>
      </c>
      <c r="N15121" t="s">
        <v>46569</v>
      </c>
      <c r="O15121" t="s">
        <v>46570</v>
      </c>
      <c r="P15121">
        <v>0</v>
      </c>
      <c r="Q15121">
        <v>6</v>
      </c>
      <c r="R15121" t="s">
        <v>46593</v>
      </c>
      <c r="S15121" t="s">
        <v>47701</v>
      </c>
      <c r="T15121" t="s">
        <v>48573</v>
      </c>
      <c r="U15121" t="s">
        <v>60919</v>
      </c>
      <c r="W15121" t="s">
        <v>43086</v>
      </c>
      <c r="X15121" t="s">
        <v>46596</v>
      </c>
    </row>
    <row r="15122" spans="1:24">
      <c r="A15122">
        <f>HYPERLINK("https://www.philgeps.gov.ph/GEPSNONPILOT/Tender/SplashBidNoticeAbstractUI.aspx?menuIndex=3&amp;refID=7026844&amp;Result=3","7026844")</f>
        <v>0</v>
      </c>
      <c r="B15122" t="s">
        <v>2794</v>
      </c>
      <c r="C15122" t="s">
        <v>17922</v>
      </c>
      <c r="D15122" t="s">
        <v>18797</v>
      </c>
      <c r="E15122" t="s">
        <v>31885</v>
      </c>
      <c r="F15122" t="s">
        <v>32664</v>
      </c>
      <c r="G15122" t="s">
        <v>32672</v>
      </c>
      <c r="H15122" t="s">
        <v>32683</v>
      </c>
      <c r="I15122" t="s">
        <v>10627</v>
      </c>
      <c r="J15122" t="s">
        <v>32981</v>
      </c>
      <c r="K15122" t="s">
        <v>42308</v>
      </c>
      <c r="M15122" t="s">
        <v>45638</v>
      </c>
      <c r="N15122" t="s">
        <v>46569</v>
      </c>
      <c r="O15122" t="s">
        <v>46570</v>
      </c>
      <c r="Q15122">
        <v>119</v>
      </c>
      <c r="R15122" t="s">
        <v>46592</v>
      </c>
      <c r="S15122" t="s">
        <v>47702</v>
      </c>
      <c r="T15122" t="s">
        <v>48244</v>
      </c>
      <c r="U15122" t="s">
        <v>56905</v>
      </c>
      <c r="V15122" t="s">
        <v>62684</v>
      </c>
      <c r="W15122" t="s">
        <v>63572</v>
      </c>
      <c r="X15122" t="s">
        <v>46593</v>
      </c>
    </row>
    <row r="15123" spans="1:24">
      <c r="A15123">
        <f>HYPERLINK("https://www.philgeps.gov.ph/GEPSNONPILOT/Tender/SplashBidNoticeAbstractUI.aspx?menuIndex=3&amp;refID=7026800&amp;Result=3","7026800")</f>
        <v>0</v>
      </c>
      <c r="B15123" t="s">
        <v>3443</v>
      </c>
      <c r="C15123" t="s">
        <v>17923</v>
      </c>
      <c r="D15123" t="s">
        <v>18807</v>
      </c>
      <c r="E15123" t="s">
        <v>31886</v>
      </c>
      <c r="F15123" t="s">
        <v>32664</v>
      </c>
      <c r="G15123" t="s">
        <v>32672</v>
      </c>
      <c r="H15123" t="s">
        <v>32683</v>
      </c>
      <c r="I15123" t="s">
        <v>10627</v>
      </c>
      <c r="J15123" t="s">
        <v>33761</v>
      </c>
      <c r="K15123" t="s">
        <v>42283</v>
      </c>
      <c r="M15123" t="s">
        <v>46431</v>
      </c>
      <c r="N15123" t="s">
        <v>46569</v>
      </c>
      <c r="O15123" t="s">
        <v>46570</v>
      </c>
      <c r="Q15123">
        <v>5</v>
      </c>
      <c r="R15123" t="s">
        <v>46592</v>
      </c>
      <c r="S15123" t="s">
        <v>47703</v>
      </c>
      <c r="T15123" t="s">
        <v>48244</v>
      </c>
      <c r="U15123" t="s">
        <v>60920</v>
      </c>
      <c r="W15123" t="s">
        <v>46431</v>
      </c>
      <c r="X15123" t="s">
        <v>46593</v>
      </c>
    </row>
    <row r="15124" spans="1:24">
      <c r="A15124">
        <f>HYPERLINK("https://www.philgeps.gov.ph/GEPSNONPILOT/Tender/SplashBidNoticeAbstractUI.aspx?menuIndex=3&amp;refID=7026570&amp;Result=3","7026570")</f>
        <v>0</v>
      </c>
      <c r="B15124" t="s">
        <v>495</v>
      </c>
      <c r="C15124" t="s">
        <v>17924</v>
      </c>
      <c r="D15124" t="s">
        <v>18791</v>
      </c>
      <c r="E15124" t="s">
        <v>27694</v>
      </c>
      <c r="F15124" t="s">
        <v>32664</v>
      </c>
      <c r="G15124" t="s">
        <v>32672</v>
      </c>
      <c r="H15124" t="s">
        <v>12635</v>
      </c>
      <c r="I15124" t="s">
        <v>4439</v>
      </c>
      <c r="J15124" t="s">
        <v>34006</v>
      </c>
      <c r="K15124" t="s">
        <v>42289</v>
      </c>
      <c r="M15124" t="s">
        <v>43071</v>
      </c>
      <c r="N15124" t="s">
        <v>46569</v>
      </c>
      <c r="O15124" t="s">
        <v>46570</v>
      </c>
      <c r="Q15124">
        <v>4</v>
      </c>
      <c r="R15124" t="s">
        <v>46592</v>
      </c>
      <c r="S15124" t="s">
        <v>47685</v>
      </c>
      <c r="T15124" t="s">
        <v>48283</v>
      </c>
      <c r="U15124" t="s">
        <v>60921</v>
      </c>
      <c r="W15124" t="s">
        <v>43071</v>
      </c>
      <c r="X15124" t="s">
        <v>46593</v>
      </c>
    </row>
    <row r="15125" spans="1:24">
      <c r="A15125">
        <f>HYPERLINK("https://www.philgeps.gov.ph/GEPSNONPILOT/Tender/SplashBidNoticeAbstractUI.aspx?menuIndex=3&amp;refID=7026951&amp;Result=3","7026951")</f>
        <v>0</v>
      </c>
      <c r="B15125" t="s">
        <v>2794</v>
      </c>
      <c r="C15125" t="s">
        <v>17925</v>
      </c>
      <c r="D15125" t="s">
        <v>18797</v>
      </c>
      <c r="E15125" t="s">
        <v>31887</v>
      </c>
      <c r="F15125" t="s">
        <v>32664</v>
      </c>
      <c r="G15125" t="s">
        <v>32672</v>
      </c>
      <c r="H15125" t="s">
        <v>32683</v>
      </c>
      <c r="I15125" t="s">
        <v>10627</v>
      </c>
      <c r="J15125" t="s">
        <v>32981</v>
      </c>
      <c r="K15125" t="s">
        <v>42285</v>
      </c>
      <c r="M15125" t="s">
        <v>45638</v>
      </c>
      <c r="N15125" t="s">
        <v>46569</v>
      </c>
      <c r="O15125" t="s">
        <v>46570</v>
      </c>
      <c r="Q15125">
        <v>99</v>
      </c>
      <c r="R15125" t="s">
        <v>46592</v>
      </c>
      <c r="S15125" t="s">
        <v>47704</v>
      </c>
      <c r="T15125" t="s">
        <v>48244</v>
      </c>
      <c r="U15125" t="s">
        <v>56905</v>
      </c>
      <c r="V15125" t="s">
        <v>63305</v>
      </c>
      <c r="W15125" t="s">
        <v>63572</v>
      </c>
      <c r="X15125" t="s">
        <v>46593</v>
      </c>
    </row>
    <row r="15126" spans="1:24">
      <c r="A15126">
        <f>HYPERLINK("https://www.philgeps.gov.ph/GEPSNONPILOT/Tender/SplashBidNoticeAbstractUI.aspx?menuIndex=3&amp;refID=7026954&amp;Result=3","7026954")</f>
        <v>0</v>
      </c>
      <c r="B15126" t="s">
        <v>69</v>
      </c>
      <c r="C15126" t="s">
        <v>17926</v>
      </c>
      <c r="D15126" t="s">
        <v>18784</v>
      </c>
      <c r="E15126" t="s">
        <v>31888</v>
      </c>
      <c r="F15126" t="s">
        <v>32664</v>
      </c>
      <c r="G15126" t="s">
        <v>32672</v>
      </c>
      <c r="H15126" t="s">
        <v>32683</v>
      </c>
      <c r="I15126" t="s">
        <v>10627</v>
      </c>
      <c r="J15126" t="s">
        <v>41768</v>
      </c>
      <c r="K15126" t="s">
        <v>42308</v>
      </c>
      <c r="M15126" t="s">
        <v>42632</v>
      </c>
      <c r="N15126" t="s">
        <v>46569</v>
      </c>
      <c r="O15126" t="s">
        <v>46570</v>
      </c>
      <c r="P15126">
        <v>0</v>
      </c>
      <c r="Q15126">
        <v>69</v>
      </c>
      <c r="R15126" t="s">
        <v>46592</v>
      </c>
      <c r="S15126" t="s">
        <v>47652</v>
      </c>
      <c r="T15126" t="s">
        <v>48449</v>
      </c>
      <c r="U15126" t="s">
        <v>60922</v>
      </c>
      <c r="W15126" t="s">
        <v>42632</v>
      </c>
      <c r="X15126" t="s">
        <v>46593</v>
      </c>
    </row>
    <row r="15127" spans="1:24">
      <c r="A15127">
        <f>HYPERLINK("https://www.philgeps.gov.ph/GEPSNONPILOT/Tender/SplashBidNoticeAbstractUI.aspx?menuIndex=3&amp;refID=7026944&amp;Result=3","7026944")</f>
        <v>0</v>
      </c>
      <c r="B15127" t="s">
        <v>2794</v>
      </c>
      <c r="C15127" t="s">
        <v>17927</v>
      </c>
      <c r="D15127" t="s">
        <v>18797</v>
      </c>
      <c r="E15127" t="s">
        <v>31889</v>
      </c>
      <c r="F15127" t="s">
        <v>32664</v>
      </c>
      <c r="G15127" t="s">
        <v>32672</v>
      </c>
      <c r="H15127" t="s">
        <v>32683</v>
      </c>
      <c r="I15127" t="s">
        <v>10627</v>
      </c>
      <c r="J15127" t="s">
        <v>32981</v>
      </c>
      <c r="K15127" t="s">
        <v>42327</v>
      </c>
      <c r="M15127" t="s">
        <v>45638</v>
      </c>
      <c r="N15127" t="s">
        <v>46569</v>
      </c>
      <c r="O15127" t="s">
        <v>46570</v>
      </c>
      <c r="Q15127">
        <v>97</v>
      </c>
      <c r="R15127" t="s">
        <v>46592</v>
      </c>
      <c r="S15127" t="s">
        <v>47705</v>
      </c>
      <c r="T15127" t="s">
        <v>48244</v>
      </c>
      <c r="U15127" t="s">
        <v>56905</v>
      </c>
      <c r="V15127" t="s">
        <v>63306</v>
      </c>
      <c r="W15127" t="s">
        <v>63572</v>
      </c>
      <c r="X15127" t="s">
        <v>46593</v>
      </c>
    </row>
    <row r="15128" spans="1:24">
      <c r="A15128">
        <f>HYPERLINK("https://www.philgeps.gov.ph/GEPSNONPILOT/Tender/SplashBidNoticeAbstractUI.aspx?menuIndex=3&amp;refID=7026935&amp;Result=3","7026935")</f>
        <v>0</v>
      </c>
      <c r="B15128" t="s">
        <v>69</v>
      </c>
      <c r="C15128" t="s">
        <v>17928</v>
      </c>
      <c r="D15128" t="s">
        <v>18784</v>
      </c>
      <c r="E15128" t="s">
        <v>31890</v>
      </c>
      <c r="F15128" t="s">
        <v>32664</v>
      </c>
      <c r="G15128" t="s">
        <v>32672</v>
      </c>
      <c r="H15128" t="s">
        <v>32683</v>
      </c>
      <c r="I15128" t="s">
        <v>10627</v>
      </c>
      <c r="J15128" t="s">
        <v>41769</v>
      </c>
      <c r="K15128" t="s">
        <v>42298</v>
      </c>
      <c r="M15128" t="s">
        <v>42632</v>
      </c>
      <c r="N15128" t="s">
        <v>46569</v>
      </c>
      <c r="O15128" t="s">
        <v>46570</v>
      </c>
      <c r="P15128">
        <v>0</v>
      </c>
      <c r="Q15128">
        <v>66</v>
      </c>
      <c r="R15128" t="s">
        <v>46592</v>
      </c>
      <c r="S15128" t="s">
        <v>47652</v>
      </c>
      <c r="T15128" t="s">
        <v>48449</v>
      </c>
      <c r="U15128" t="s">
        <v>60923</v>
      </c>
      <c r="W15128" t="s">
        <v>42632</v>
      </c>
      <c r="X15128" t="s">
        <v>46593</v>
      </c>
    </row>
    <row r="15129" spans="1:24">
      <c r="A15129">
        <f>HYPERLINK("https://www.philgeps.gov.ph/GEPSNONPILOT/Tender/SplashBidNoticeAbstractUI.aspx?menuIndex=3&amp;refID=7026824&amp;Result=3","7026824")</f>
        <v>0</v>
      </c>
      <c r="B15129" t="s">
        <v>2794</v>
      </c>
      <c r="C15129" t="s">
        <v>17929</v>
      </c>
      <c r="D15129" t="s">
        <v>18797</v>
      </c>
      <c r="E15129" t="s">
        <v>31891</v>
      </c>
      <c r="F15129" t="s">
        <v>32664</v>
      </c>
      <c r="G15129" t="s">
        <v>32672</v>
      </c>
      <c r="H15129" t="s">
        <v>32683</v>
      </c>
      <c r="I15129" t="s">
        <v>10627</v>
      </c>
      <c r="J15129" t="s">
        <v>32943</v>
      </c>
      <c r="K15129" t="s">
        <v>42290</v>
      </c>
      <c r="M15129" t="s">
        <v>45638</v>
      </c>
      <c r="N15129" t="s">
        <v>46569</v>
      </c>
      <c r="O15129" t="s">
        <v>46570</v>
      </c>
      <c r="Q15129">
        <v>119</v>
      </c>
      <c r="R15129" t="s">
        <v>46592</v>
      </c>
      <c r="S15129" t="s">
        <v>47706</v>
      </c>
      <c r="T15129" t="s">
        <v>48244</v>
      </c>
      <c r="U15129" t="s">
        <v>56905</v>
      </c>
      <c r="V15129" t="s">
        <v>62684</v>
      </c>
      <c r="W15129" t="s">
        <v>63572</v>
      </c>
      <c r="X15129" t="s">
        <v>46593</v>
      </c>
    </row>
    <row r="15130" spans="1:24">
      <c r="A15130">
        <f>HYPERLINK("https://www.philgeps.gov.ph/GEPSNONPILOT/Tender/SplashBidNoticeAbstractUI.aspx?menuIndex=3&amp;refID=7016786&amp;Result=3","7016786")</f>
        <v>0</v>
      </c>
      <c r="B15130" t="s">
        <v>1488</v>
      </c>
      <c r="C15130" t="s">
        <v>17930</v>
      </c>
      <c r="D15130" t="s">
        <v>18822</v>
      </c>
      <c r="E15130" t="s">
        <v>31892</v>
      </c>
      <c r="F15130" t="s">
        <v>32664</v>
      </c>
      <c r="G15130" t="s">
        <v>32671</v>
      </c>
      <c r="H15130" t="s">
        <v>12635</v>
      </c>
      <c r="I15130" t="s">
        <v>32699</v>
      </c>
      <c r="J15130" t="s">
        <v>41770</v>
      </c>
      <c r="K15130" t="s">
        <v>42283</v>
      </c>
      <c r="M15130" t="s">
        <v>44152</v>
      </c>
      <c r="N15130" t="s">
        <v>46569</v>
      </c>
      <c r="O15130" t="s">
        <v>46570</v>
      </c>
      <c r="P15130">
        <v>0</v>
      </c>
      <c r="Q15130">
        <v>1</v>
      </c>
      <c r="R15130" t="s">
        <v>46593</v>
      </c>
      <c r="S15130" t="s">
        <v>47701</v>
      </c>
      <c r="T15130" t="s">
        <v>48415</v>
      </c>
      <c r="U15130" t="s">
        <v>60924</v>
      </c>
      <c r="W15130" t="s">
        <v>44152</v>
      </c>
      <c r="X15130" t="s">
        <v>46596</v>
      </c>
    </row>
    <row r="15131" spans="1:24">
      <c r="A15131">
        <f>HYPERLINK("https://www.philgeps.gov.ph/GEPSNONPILOT/Tender/SplashBidNoticeAbstractUI.aspx?menuIndex=3&amp;refID=7026948&amp;Result=3","7026948")</f>
        <v>0</v>
      </c>
      <c r="B15131" t="s">
        <v>69</v>
      </c>
      <c r="C15131" t="s">
        <v>17931</v>
      </c>
      <c r="D15131" t="s">
        <v>18784</v>
      </c>
      <c r="E15131" t="s">
        <v>31893</v>
      </c>
      <c r="F15131" t="s">
        <v>32664</v>
      </c>
      <c r="G15131" t="s">
        <v>32672</v>
      </c>
      <c r="H15131" t="s">
        <v>32683</v>
      </c>
      <c r="I15131" t="s">
        <v>10627</v>
      </c>
      <c r="J15131" t="s">
        <v>41771</v>
      </c>
      <c r="K15131" t="s">
        <v>42308</v>
      </c>
      <c r="M15131" t="s">
        <v>42632</v>
      </c>
      <c r="N15131" t="s">
        <v>46569</v>
      </c>
      <c r="O15131" t="s">
        <v>46570</v>
      </c>
      <c r="P15131">
        <v>0</v>
      </c>
      <c r="Q15131">
        <v>66</v>
      </c>
      <c r="R15131" t="s">
        <v>46592</v>
      </c>
      <c r="S15131" t="s">
        <v>47652</v>
      </c>
      <c r="T15131" t="s">
        <v>48449</v>
      </c>
      <c r="U15131" t="s">
        <v>60925</v>
      </c>
      <c r="W15131" t="s">
        <v>42632</v>
      </c>
      <c r="X15131" t="s">
        <v>46593</v>
      </c>
    </row>
    <row r="15132" spans="1:24">
      <c r="A15132">
        <f>HYPERLINK("https://www.philgeps.gov.ph/GEPSNONPILOT/Tender/SplashBidNoticeAbstractUI.aspx?menuIndex=3&amp;refID=7026921&amp;Result=3","7026921")</f>
        <v>0</v>
      </c>
      <c r="B15132" t="s">
        <v>2794</v>
      </c>
      <c r="C15132" t="s">
        <v>17932</v>
      </c>
      <c r="D15132" t="s">
        <v>18797</v>
      </c>
      <c r="E15132" t="s">
        <v>31894</v>
      </c>
      <c r="F15132" t="s">
        <v>32664</v>
      </c>
      <c r="G15132" t="s">
        <v>32672</v>
      </c>
      <c r="H15132" t="s">
        <v>32683</v>
      </c>
      <c r="I15132" t="s">
        <v>10627</v>
      </c>
      <c r="J15132" t="s">
        <v>34148</v>
      </c>
      <c r="K15132" t="s">
        <v>42327</v>
      </c>
      <c r="M15132" t="s">
        <v>45638</v>
      </c>
      <c r="N15132" t="s">
        <v>46569</v>
      </c>
      <c r="O15132" t="s">
        <v>46570</v>
      </c>
      <c r="Q15132">
        <v>106</v>
      </c>
      <c r="R15132" t="s">
        <v>46592</v>
      </c>
      <c r="S15132" t="s">
        <v>47707</v>
      </c>
      <c r="T15132" t="s">
        <v>48244</v>
      </c>
      <c r="U15132" t="s">
        <v>56905</v>
      </c>
      <c r="V15132" t="s">
        <v>63307</v>
      </c>
      <c r="W15132" t="s">
        <v>63572</v>
      </c>
      <c r="X15132" t="s">
        <v>46593</v>
      </c>
    </row>
    <row r="15133" spans="1:24">
      <c r="A15133">
        <f>HYPERLINK("https://www.philgeps.gov.ph/GEPSNONPILOT/Tender/SplashBidNoticeAbstractUI.aspx?menuIndex=3&amp;refID=7027005&amp;Result=3","7027005")</f>
        <v>0</v>
      </c>
      <c r="B15133" t="s">
        <v>2117</v>
      </c>
      <c r="C15133" t="s">
        <v>17933</v>
      </c>
      <c r="E15133" t="s">
        <v>31895</v>
      </c>
      <c r="F15133" t="s">
        <v>32664</v>
      </c>
      <c r="G15133" t="s">
        <v>32672</v>
      </c>
      <c r="H15133" t="s">
        <v>12635</v>
      </c>
      <c r="I15133" t="s">
        <v>32699</v>
      </c>
      <c r="J15133" t="s">
        <v>32981</v>
      </c>
      <c r="K15133" t="s">
        <v>42283</v>
      </c>
      <c r="M15133" t="s">
        <v>45247</v>
      </c>
      <c r="N15133" t="s">
        <v>46569</v>
      </c>
      <c r="O15133" t="s">
        <v>46570</v>
      </c>
      <c r="P15133">
        <v>0</v>
      </c>
      <c r="Q15133">
        <v>1</v>
      </c>
      <c r="R15133" t="s">
        <v>46592</v>
      </c>
      <c r="S15133" t="s">
        <v>47652</v>
      </c>
      <c r="T15133" t="s">
        <v>48221</v>
      </c>
      <c r="U15133" t="s">
        <v>57973</v>
      </c>
      <c r="W15133" t="s">
        <v>45247</v>
      </c>
      <c r="X15133" t="s">
        <v>46593</v>
      </c>
    </row>
    <row r="15134" spans="1:24">
      <c r="A15134">
        <f>HYPERLINK("https://www.philgeps.gov.ph/GEPSNONPILOT/Tender/SplashBidNoticeAbstractUI.aspx?menuIndex=3&amp;refID=7025125&amp;Result=3","7025125")</f>
        <v>0</v>
      </c>
      <c r="B15134" t="s">
        <v>3468</v>
      </c>
      <c r="C15134" t="s">
        <v>17934</v>
      </c>
      <c r="D15134" t="s">
        <v>18807</v>
      </c>
      <c r="E15134" t="s">
        <v>31896</v>
      </c>
      <c r="F15134" t="s">
        <v>32664</v>
      </c>
      <c r="G15134" t="s">
        <v>32672</v>
      </c>
      <c r="H15134" t="s">
        <v>12635</v>
      </c>
      <c r="I15134" t="s">
        <v>9486</v>
      </c>
      <c r="J15134" t="s">
        <v>41772</v>
      </c>
      <c r="K15134" t="s">
        <v>42289</v>
      </c>
      <c r="M15134" t="s">
        <v>46460</v>
      </c>
      <c r="N15134" t="s">
        <v>46569</v>
      </c>
      <c r="O15134" t="s">
        <v>46570</v>
      </c>
      <c r="P15134">
        <v>0</v>
      </c>
      <c r="Q15134">
        <v>2</v>
      </c>
      <c r="R15134" t="s">
        <v>46592</v>
      </c>
      <c r="S15134" t="s">
        <v>47652</v>
      </c>
      <c r="T15134" t="s">
        <v>48290</v>
      </c>
      <c r="U15134" t="s">
        <v>60926</v>
      </c>
      <c r="W15134" t="s">
        <v>63599</v>
      </c>
      <c r="X15134" t="s">
        <v>46593</v>
      </c>
    </row>
    <row r="15135" spans="1:24">
      <c r="A15135">
        <f>HYPERLINK("https://www.philgeps.gov.ph/GEPSNONPILOT/Tender/SplashBidNoticeAbstractUI.aspx?menuIndex=3&amp;refID=7026926&amp;Result=3","7026926")</f>
        <v>0</v>
      </c>
      <c r="B15135" t="s">
        <v>69</v>
      </c>
      <c r="C15135" t="s">
        <v>17935</v>
      </c>
      <c r="D15135" t="s">
        <v>18784</v>
      </c>
      <c r="E15135" t="s">
        <v>31897</v>
      </c>
      <c r="F15135" t="s">
        <v>32664</v>
      </c>
      <c r="G15135" t="s">
        <v>32672</v>
      </c>
      <c r="H15135" t="s">
        <v>32683</v>
      </c>
      <c r="I15135" t="s">
        <v>10627</v>
      </c>
      <c r="J15135" t="s">
        <v>41773</v>
      </c>
      <c r="K15135" t="s">
        <v>42285</v>
      </c>
      <c r="M15135" t="s">
        <v>42632</v>
      </c>
      <c r="N15135" t="s">
        <v>46569</v>
      </c>
      <c r="O15135" t="s">
        <v>46570</v>
      </c>
      <c r="P15135">
        <v>0</v>
      </c>
      <c r="Q15135">
        <v>69</v>
      </c>
      <c r="R15135" t="s">
        <v>46592</v>
      </c>
      <c r="S15135" t="s">
        <v>47652</v>
      </c>
      <c r="T15135" t="s">
        <v>48449</v>
      </c>
      <c r="U15135" t="s">
        <v>60927</v>
      </c>
      <c r="W15135" t="s">
        <v>42632</v>
      </c>
      <c r="X15135" t="s">
        <v>46593</v>
      </c>
    </row>
    <row r="15136" spans="1:24">
      <c r="A15136">
        <f>HYPERLINK("https://www.philgeps.gov.ph/GEPSNONPILOT/Tender/SplashBidNoticeAbstractUI.aspx?menuIndex=3&amp;refID=7026923&amp;Result=3","7026923")</f>
        <v>0</v>
      </c>
      <c r="B15136" t="s">
        <v>1169</v>
      </c>
      <c r="C15136" t="s">
        <v>17936</v>
      </c>
      <c r="D15136" t="s">
        <v>18820</v>
      </c>
      <c r="E15136" t="s">
        <v>31898</v>
      </c>
      <c r="F15136" t="s">
        <v>32664</v>
      </c>
      <c r="G15136" t="s">
        <v>32672</v>
      </c>
      <c r="H15136" t="s">
        <v>32683</v>
      </c>
      <c r="I15136" t="s">
        <v>10627</v>
      </c>
      <c r="J15136" t="s">
        <v>35518</v>
      </c>
      <c r="K15136" t="s">
        <v>42290</v>
      </c>
      <c r="M15136" t="s">
        <v>43803</v>
      </c>
      <c r="N15136" t="s">
        <v>46569</v>
      </c>
      <c r="O15136" t="s">
        <v>46570</v>
      </c>
      <c r="P15136">
        <v>0</v>
      </c>
      <c r="Q15136">
        <v>0</v>
      </c>
      <c r="R15136" t="s">
        <v>46592</v>
      </c>
      <c r="S15136" t="s">
        <v>47652</v>
      </c>
      <c r="T15136" t="s">
        <v>48449</v>
      </c>
      <c r="U15136" t="s">
        <v>60928</v>
      </c>
      <c r="W15136" t="s">
        <v>43803</v>
      </c>
      <c r="X15136" t="s">
        <v>46593</v>
      </c>
    </row>
    <row r="15137" spans="1:24">
      <c r="A15137">
        <f>HYPERLINK("https://www.philgeps.gov.ph/GEPSNONPILOT/Tender/SplashBidNoticeAbstractUI.aspx?menuIndex=3&amp;refID=7026941&amp;Result=3","7026941")</f>
        <v>0</v>
      </c>
      <c r="B15137" t="s">
        <v>69</v>
      </c>
      <c r="C15137" t="s">
        <v>17937</v>
      </c>
      <c r="D15137" t="s">
        <v>18784</v>
      </c>
      <c r="E15137" t="s">
        <v>31899</v>
      </c>
      <c r="F15137" t="s">
        <v>32664</v>
      </c>
      <c r="G15137" t="s">
        <v>32672</v>
      </c>
      <c r="H15137" t="s">
        <v>32683</v>
      </c>
      <c r="I15137" t="s">
        <v>10627</v>
      </c>
      <c r="J15137" t="s">
        <v>41774</v>
      </c>
      <c r="K15137" t="s">
        <v>42285</v>
      </c>
      <c r="M15137" t="s">
        <v>42632</v>
      </c>
      <c r="N15137" t="s">
        <v>46569</v>
      </c>
      <c r="O15137" t="s">
        <v>46570</v>
      </c>
      <c r="P15137">
        <v>0</v>
      </c>
      <c r="Q15137">
        <v>68</v>
      </c>
      <c r="R15137" t="s">
        <v>46592</v>
      </c>
      <c r="S15137" t="s">
        <v>47652</v>
      </c>
      <c r="T15137" t="s">
        <v>48449</v>
      </c>
      <c r="U15137" t="s">
        <v>60929</v>
      </c>
      <c r="W15137" t="s">
        <v>42632</v>
      </c>
      <c r="X15137" t="s">
        <v>46593</v>
      </c>
    </row>
    <row r="15138" spans="1:24">
      <c r="A15138">
        <f>HYPERLINK("https://www.philgeps.gov.ph/GEPSNONPILOT/Tender/SplashBidNoticeAbstractUI.aspx?menuIndex=3&amp;refID=7026915&amp;Result=3","7026915")</f>
        <v>0</v>
      </c>
      <c r="B15138" t="s">
        <v>69</v>
      </c>
      <c r="C15138" t="s">
        <v>17938</v>
      </c>
      <c r="D15138" t="s">
        <v>18784</v>
      </c>
      <c r="E15138" t="s">
        <v>31900</v>
      </c>
      <c r="F15138" t="s">
        <v>32664</v>
      </c>
      <c r="G15138" t="s">
        <v>32672</v>
      </c>
      <c r="H15138" t="s">
        <v>32683</v>
      </c>
      <c r="I15138" t="s">
        <v>10627</v>
      </c>
      <c r="J15138" t="s">
        <v>41775</v>
      </c>
      <c r="K15138" t="s">
        <v>42285</v>
      </c>
      <c r="M15138" t="s">
        <v>42632</v>
      </c>
      <c r="N15138" t="s">
        <v>46569</v>
      </c>
      <c r="O15138" t="s">
        <v>46570</v>
      </c>
      <c r="P15138">
        <v>0</v>
      </c>
      <c r="Q15138">
        <v>70</v>
      </c>
      <c r="R15138" t="s">
        <v>46592</v>
      </c>
      <c r="S15138" t="s">
        <v>47652</v>
      </c>
      <c r="T15138" t="s">
        <v>48449</v>
      </c>
      <c r="U15138" t="s">
        <v>60930</v>
      </c>
      <c r="W15138" t="s">
        <v>42632</v>
      </c>
      <c r="X15138" t="s">
        <v>46593</v>
      </c>
    </row>
    <row r="15139" spans="1:24">
      <c r="A15139">
        <f>HYPERLINK("https://www.philgeps.gov.ph/GEPSNONPILOT/Tender/SplashBidNoticeAbstractUI.aspx?menuIndex=3&amp;refID=7027017&amp;Result=3","7027017")</f>
        <v>0</v>
      </c>
      <c r="B15139" t="s">
        <v>771</v>
      </c>
      <c r="C15139" t="s">
        <v>17939</v>
      </c>
      <c r="D15139" t="s">
        <v>18831</v>
      </c>
      <c r="E15139" t="s">
        <v>31901</v>
      </c>
      <c r="F15139" t="s">
        <v>32664</v>
      </c>
      <c r="G15139" t="s">
        <v>32672</v>
      </c>
      <c r="H15139" t="s">
        <v>12635</v>
      </c>
      <c r="I15139" t="s">
        <v>14442</v>
      </c>
      <c r="J15139" t="s">
        <v>41776</v>
      </c>
      <c r="K15139" t="s">
        <v>42281</v>
      </c>
      <c r="M15139" t="s">
        <v>43362</v>
      </c>
      <c r="N15139" t="s">
        <v>46569</v>
      </c>
      <c r="O15139" t="s">
        <v>46570</v>
      </c>
      <c r="P15139">
        <v>0</v>
      </c>
      <c r="Q15139">
        <v>10</v>
      </c>
      <c r="R15139" t="s">
        <v>46592</v>
      </c>
      <c r="S15139" t="s">
        <v>47652</v>
      </c>
      <c r="T15139" t="s">
        <v>48249</v>
      </c>
      <c r="U15139" t="s">
        <v>60931</v>
      </c>
      <c r="W15139" t="s">
        <v>43362</v>
      </c>
      <c r="X15139" t="s">
        <v>46593</v>
      </c>
    </row>
    <row r="15140" spans="1:24">
      <c r="A15140">
        <f>HYPERLINK("https://www.philgeps.gov.ph/GEPSNONPILOT/Tender/SplashBidNoticeAbstractUI.aspx?menuIndex=3&amp;refID=7022213&amp;Result=3","7022213")</f>
        <v>0</v>
      </c>
      <c r="B15140" t="s">
        <v>2595</v>
      </c>
      <c r="C15140" t="s">
        <v>17940</v>
      </c>
      <c r="D15140" t="s">
        <v>18850</v>
      </c>
      <c r="E15140" t="s">
        <v>31902</v>
      </c>
      <c r="F15140" t="s">
        <v>32664</v>
      </c>
      <c r="G15140" t="s">
        <v>32672</v>
      </c>
      <c r="H15140" t="s">
        <v>32683</v>
      </c>
      <c r="I15140" t="s">
        <v>10627</v>
      </c>
      <c r="J15140" t="s">
        <v>41777</v>
      </c>
      <c r="K15140" t="s">
        <v>42311</v>
      </c>
      <c r="M15140" t="s">
        <v>45410</v>
      </c>
      <c r="N15140" t="s">
        <v>46569</v>
      </c>
      <c r="O15140" t="s">
        <v>46570</v>
      </c>
      <c r="Q15140">
        <v>0</v>
      </c>
      <c r="R15140" t="s">
        <v>46593</v>
      </c>
      <c r="S15140" t="s">
        <v>47708</v>
      </c>
      <c r="T15140" t="s">
        <v>48219</v>
      </c>
      <c r="U15140" t="s">
        <v>60932</v>
      </c>
      <c r="V15140" t="s">
        <v>63308</v>
      </c>
      <c r="W15140" t="s">
        <v>45410</v>
      </c>
      <c r="X15140" t="s">
        <v>46594</v>
      </c>
    </row>
    <row r="15141" spans="1:24">
      <c r="A15141">
        <f>HYPERLINK("https://www.philgeps.gov.ph/GEPSNONPILOT/Tender/SplashBidNoticeAbstractUI.aspx?menuIndex=3&amp;refID=7026920&amp;Result=3","7026920")</f>
        <v>0</v>
      </c>
      <c r="B15141" t="s">
        <v>69</v>
      </c>
      <c r="C15141" t="s">
        <v>17941</v>
      </c>
      <c r="D15141" t="s">
        <v>18784</v>
      </c>
      <c r="E15141" t="s">
        <v>31903</v>
      </c>
      <c r="F15141" t="s">
        <v>32664</v>
      </c>
      <c r="G15141" t="s">
        <v>32672</v>
      </c>
      <c r="H15141" t="s">
        <v>32683</v>
      </c>
      <c r="I15141" t="s">
        <v>10627</v>
      </c>
      <c r="J15141" t="s">
        <v>41778</v>
      </c>
      <c r="K15141" t="s">
        <v>42298</v>
      </c>
      <c r="M15141" t="s">
        <v>42632</v>
      </c>
      <c r="N15141" t="s">
        <v>46569</v>
      </c>
      <c r="O15141" t="s">
        <v>46570</v>
      </c>
      <c r="P15141">
        <v>0</v>
      </c>
      <c r="Q15141">
        <v>66</v>
      </c>
      <c r="R15141" t="s">
        <v>46592</v>
      </c>
      <c r="S15141" t="s">
        <v>47652</v>
      </c>
      <c r="T15141" t="s">
        <v>48449</v>
      </c>
      <c r="U15141" t="s">
        <v>60933</v>
      </c>
      <c r="W15141" t="s">
        <v>42632</v>
      </c>
      <c r="X15141" t="s">
        <v>46593</v>
      </c>
    </row>
    <row r="15142" spans="1:24">
      <c r="A15142">
        <f>HYPERLINK("https://www.philgeps.gov.ph/GEPSNONPILOT/Tender/SplashBidNoticeAbstractUI.aspx?menuIndex=3&amp;refID=7021983&amp;Result=3","7021983")</f>
        <v>0</v>
      </c>
      <c r="B15142" t="s">
        <v>568</v>
      </c>
      <c r="C15142" t="s">
        <v>17942</v>
      </c>
      <c r="D15142" t="s">
        <v>18822</v>
      </c>
      <c r="E15142" t="s">
        <v>31904</v>
      </c>
      <c r="F15142" t="s">
        <v>32664</v>
      </c>
      <c r="G15142" t="s">
        <v>32672</v>
      </c>
      <c r="H15142" t="s">
        <v>32683</v>
      </c>
      <c r="I15142" t="s">
        <v>10627</v>
      </c>
      <c r="J15142" t="s">
        <v>41779</v>
      </c>
      <c r="K15142" t="s">
        <v>42303</v>
      </c>
      <c r="M15142" t="s">
        <v>43148</v>
      </c>
      <c r="N15142" t="s">
        <v>46569</v>
      </c>
      <c r="O15142" t="s">
        <v>46570</v>
      </c>
      <c r="P15142">
        <v>0</v>
      </c>
      <c r="Q15142">
        <v>1</v>
      </c>
      <c r="R15142" t="s">
        <v>46593</v>
      </c>
      <c r="S15142" t="s">
        <v>47701</v>
      </c>
      <c r="T15142" t="s">
        <v>48283</v>
      </c>
      <c r="U15142" t="s">
        <v>60934</v>
      </c>
      <c r="V15142" t="s">
        <v>61801</v>
      </c>
      <c r="W15142" t="s">
        <v>63484</v>
      </c>
      <c r="X15142" t="s">
        <v>46594</v>
      </c>
    </row>
    <row r="15143" spans="1:24">
      <c r="A15143">
        <f>HYPERLINK("https://www.philgeps.gov.ph/GEPSNONPILOT/Tender/SplashBidNoticeAbstractUI.aspx?menuIndex=3&amp;refID=7022022&amp;Result=3","7022022")</f>
        <v>0</v>
      </c>
      <c r="B15143" t="s">
        <v>568</v>
      </c>
      <c r="C15143" t="s">
        <v>17943</v>
      </c>
      <c r="D15143" t="s">
        <v>18822</v>
      </c>
      <c r="E15143" t="s">
        <v>31905</v>
      </c>
      <c r="F15143" t="s">
        <v>32664</v>
      </c>
      <c r="G15143" t="s">
        <v>32672</v>
      </c>
      <c r="H15143" t="s">
        <v>32683</v>
      </c>
      <c r="I15143" t="s">
        <v>10627</v>
      </c>
      <c r="J15143" t="s">
        <v>41780</v>
      </c>
      <c r="K15143" t="s">
        <v>42303</v>
      </c>
      <c r="M15143" t="s">
        <v>43148</v>
      </c>
      <c r="N15143" t="s">
        <v>46569</v>
      </c>
      <c r="O15143" t="s">
        <v>46570</v>
      </c>
      <c r="P15143">
        <v>0</v>
      </c>
      <c r="Q15143">
        <v>1</v>
      </c>
      <c r="R15143" t="s">
        <v>46593</v>
      </c>
      <c r="S15143" t="s">
        <v>47701</v>
      </c>
      <c r="T15143" t="s">
        <v>48283</v>
      </c>
      <c r="U15143" t="s">
        <v>60934</v>
      </c>
      <c r="V15143" t="s">
        <v>61801</v>
      </c>
      <c r="W15143" t="s">
        <v>63484</v>
      </c>
      <c r="X15143" t="s">
        <v>46594</v>
      </c>
    </row>
    <row r="15144" spans="1:24">
      <c r="A15144">
        <f>HYPERLINK("https://www.philgeps.gov.ph/GEPSNONPILOT/Tender/SplashBidNoticeAbstractUI.aspx?menuIndex=3&amp;refID=7021979&amp;Result=3","7021979")</f>
        <v>0</v>
      </c>
      <c r="B15144" t="s">
        <v>3472</v>
      </c>
      <c r="C15144" t="s">
        <v>17944</v>
      </c>
      <c r="D15144" t="s">
        <v>18804</v>
      </c>
      <c r="E15144" t="s">
        <v>31906</v>
      </c>
      <c r="F15144" t="s">
        <v>32664</v>
      </c>
      <c r="G15144" t="s">
        <v>32672</v>
      </c>
      <c r="H15144" t="s">
        <v>32683</v>
      </c>
      <c r="I15144" t="s">
        <v>10627</v>
      </c>
      <c r="J15144" t="s">
        <v>41781</v>
      </c>
      <c r="K15144" t="s">
        <v>42317</v>
      </c>
      <c r="M15144" t="s">
        <v>46467</v>
      </c>
      <c r="N15144" t="s">
        <v>46569</v>
      </c>
      <c r="O15144" t="s">
        <v>46570</v>
      </c>
      <c r="Q15144">
        <v>33</v>
      </c>
      <c r="R15144" t="s">
        <v>46593</v>
      </c>
      <c r="S15144" t="s">
        <v>47709</v>
      </c>
      <c r="T15144" t="s">
        <v>48283</v>
      </c>
      <c r="U15144" t="s">
        <v>60935</v>
      </c>
      <c r="W15144" t="s">
        <v>46467</v>
      </c>
      <c r="X15144" t="s">
        <v>46594</v>
      </c>
    </row>
    <row r="15145" spans="1:24">
      <c r="A15145">
        <f>HYPERLINK("https://www.philgeps.gov.ph/GEPSNONPILOT/Tender/SplashBidNoticeAbstractUI.aspx?menuIndex=3&amp;refID=7021956&amp;Result=3","7021956")</f>
        <v>0</v>
      </c>
      <c r="B15145" t="s">
        <v>568</v>
      </c>
      <c r="C15145" t="s">
        <v>17945</v>
      </c>
      <c r="D15145" t="s">
        <v>18822</v>
      </c>
      <c r="E15145" t="s">
        <v>31907</v>
      </c>
      <c r="F15145" t="s">
        <v>32664</v>
      </c>
      <c r="G15145" t="s">
        <v>32672</v>
      </c>
      <c r="H15145" t="s">
        <v>32683</v>
      </c>
      <c r="I15145" t="s">
        <v>10627</v>
      </c>
      <c r="J15145" t="s">
        <v>41782</v>
      </c>
      <c r="K15145" t="s">
        <v>42310</v>
      </c>
      <c r="M15145" t="s">
        <v>43148</v>
      </c>
      <c r="N15145" t="s">
        <v>46569</v>
      </c>
      <c r="O15145" t="s">
        <v>46570</v>
      </c>
      <c r="P15145">
        <v>0</v>
      </c>
      <c r="Q15145">
        <v>2</v>
      </c>
      <c r="R15145" t="s">
        <v>46593</v>
      </c>
      <c r="S15145" t="s">
        <v>47701</v>
      </c>
      <c r="T15145" t="s">
        <v>48283</v>
      </c>
      <c r="U15145" t="s">
        <v>60934</v>
      </c>
      <c r="V15145" t="s">
        <v>61801</v>
      </c>
      <c r="W15145" t="s">
        <v>63484</v>
      </c>
      <c r="X15145" t="s">
        <v>46594</v>
      </c>
    </row>
    <row r="15146" spans="1:24">
      <c r="A15146">
        <f>HYPERLINK("https://www.philgeps.gov.ph/GEPSNONPILOT/Tender/SplashBidNoticeAbstractUI.aspx?menuIndex=3&amp;refID=7021987&amp;Result=3","7021987")</f>
        <v>0</v>
      </c>
      <c r="B15146" t="s">
        <v>3026</v>
      </c>
      <c r="C15146" t="s">
        <v>17946</v>
      </c>
      <c r="D15146" t="s">
        <v>18814</v>
      </c>
      <c r="E15146" t="s">
        <v>31908</v>
      </c>
      <c r="F15146" t="s">
        <v>32664</v>
      </c>
      <c r="G15146" t="s">
        <v>32672</v>
      </c>
      <c r="H15146" t="s">
        <v>32683</v>
      </c>
      <c r="I15146" t="s">
        <v>10627</v>
      </c>
      <c r="J15146" t="s">
        <v>32943</v>
      </c>
      <c r="K15146" t="s">
        <v>42298</v>
      </c>
      <c r="M15146" t="s">
        <v>45898</v>
      </c>
      <c r="N15146" t="s">
        <v>46569</v>
      </c>
      <c r="O15146" t="s">
        <v>46570</v>
      </c>
      <c r="P15146">
        <v>0</v>
      </c>
      <c r="Q15146">
        <v>1</v>
      </c>
      <c r="R15146" t="s">
        <v>46593</v>
      </c>
      <c r="S15146" t="s">
        <v>47701</v>
      </c>
      <c r="T15146" t="s">
        <v>48448</v>
      </c>
      <c r="U15146" t="s">
        <v>60936</v>
      </c>
      <c r="W15146" t="s">
        <v>63583</v>
      </c>
      <c r="X15146" t="s">
        <v>46594</v>
      </c>
    </row>
    <row r="15147" spans="1:24">
      <c r="A15147">
        <f>HYPERLINK("https://www.philgeps.gov.ph/GEPSNONPILOT/Tender/SplashBidNoticeAbstractUI.aspx?menuIndex=3&amp;refID=7021921&amp;Result=3","7021921")</f>
        <v>0</v>
      </c>
      <c r="B15147" t="s">
        <v>3472</v>
      </c>
      <c r="C15147" t="s">
        <v>17947</v>
      </c>
      <c r="D15147" t="s">
        <v>18804</v>
      </c>
      <c r="E15147" t="s">
        <v>31909</v>
      </c>
      <c r="F15147" t="s">
        <v>32664</v>
      </c>
      <c r="G15147" t="s">
        <v>32672</v>
      </c>
      <c r="H15147" t="s">
        <v>32683</v>
      </c>
      <c r="I15147" t="s">
        <v>10627</v>
      </c>
      <c r="J15147" t="s">
        <v>41783</v>
      </c>
      <c r="K15147" t="s">
        <v>42290</v>
      </c>
      <c r="M15147" t="s">
        <v>46467</v>
      </c>
      <c r="N15147" t="s">
        <v>46569</v>
      </c>
      <c r="O15147" t="s">
        <v>46570</v>
      </c>
      <c r="Q15147">
        <v>30</v>
      </c>
      <c r="R15147" t="s">
        <v>46593</v>
      </c>
      <c r="S15147" t="s">
        <v>47710</v>
      </c>
      <c r="T15147" t="s">
        <v>48228</v>
      </c>
      <c r="U15147" t="s">
        <v>60935</v>
      </c>
      <c r="W15147" t="s">
        <v>46467</v>
      </c>
      <c r="X15147" t="s">
        <v>46594</v>
      </c>
    </row>
    <row r="15148" spans="1:24">
      <c r="A15148">
        <f>HYPERLINK("https://www.philgeps.gov.ph/GEPSNONPILOT/Tender/SplashBidNoticeAbstractUI.aspx?menuIndex=3&amp;refID=7021904&amp;Result=3","7021904")</f>
        <v>0</v>
      </c>
      <c r="B15148" t="s">
        <v>1088</v>
      </c>
      <c r="C15148" t="s">
        <v>17948</v>
      </c>
      <c r="D15148" t="s">
        <v>18804</v>
      </c>
      <c r="E15148" t="s">
        <v>31910</v>
      </c>
      <c r="F15148" t="s">
        <v>32664</v>
      </c>
      <c r="G15148" t="s">
        <v>32672</v>
      </c>
      <c r="H15148" t="s">
        <v>32683</v>
      </c>
      <c r="I15148" t="s">
        <v>10627</v>
      </c>
      <c r="J15148" t="s">
        <v>41784</v>
      </c>
      <c r="K15148" t="s">
        <v>42413</v>
      </c>
      <c r="M15148" t="s">
        <v>43714</v>
      </c>
      <c r="N15148" t="s">
        <v>46569</v>
      </c>
      <c r="O15148" t="s">
        <v>46570</v>
      </c>
      <c r="P15148">
        <v>0</v>
      </c>
      <c r="Q15148">
        <v>1</v>
      </c>
      <c r="R15148" t="s">
        <v>46593</v>
      </c>
      <c r="S15148" t="s">
        <v>47701</v>
      </c>
      <c r="T15148" t="s">
        <v>48577</v>
      </c>
      <c r="U15148" t="s">
        <v>60937</v>
      </c>
      <c r="V15148" t="s">
        <v>61896</v>
      </c>
      <c r="W15148" t="s">
        <v>43714</v>
      </c>
      <c r="X15148" t="s">
        <v>46594</v>
      </c>
    </row>
    <row r="15149" spans="1:24">
      <c r="A15149">
        <f>HYPERLINK("https://www.philgeps.gov.ph/GEPSNONPILOT/Tender/SplashBidNoticeAbstractUI.aspx?menuIndex=3&amp;refID=7022054&amp;Result=3","7022054")</f>
        <v>0</v>
      </c>
      <c r="B15149" t="s">
        <v>568</v>
      </c>
      <c r="C15149" t="s">
        <v>17949</v>
      </c>
      <c r="D15149" t="s">
        <v>18822</v>
      </c>
      <c r="E15149" t="s">
        <v>31911</v>
      </c>
      <c r="F15149" t="s">
        <v>32664</v>
      </c>
      <c r="G15149" t="s">
        <v>32672</v>
      </c>
      <c r="H15149" t="s">
        <v>32683</v>
      </c>
      <c r="I15149" t="s">
        <v>10627</v>
      </c>
      <c r="J15149" t="s">
        <v>41785</v>
      </c>
      <c r="K15149" t="s">
        <v>42290</v>
      </c>
      <c r="M15149" t="s">
        <v>43148</v>
      </c>
      <c r="N15149" t="s">
        <v>46569</v>
      </c>
      <c r="O15149" t="s">
        <v>46570</v>
      </c>
      <c r="P15149">
        <v>0</v>
      </c>
      <c r="Q15149">
        <v>1</v>
      </c>
      <c r="R15149" t="s">
        <v>46593</v>
      </c>
      <c r="S15149" t="s">
        <v>47701</v>
      </c>
      <c r="T15149" t="s">
        <v>48283</v>
      </c>
      <c r="U15149" t="s">
        <v>60934</v>
      </c>
      <c r="V15149" t="s">
        <v>61801</v>
      </c>
      <c r="W15149" t="s">
        <v>63484</v>
      </c>
      <c r="X15149" t="s">
        <v>46594</v>
      </c>
    </row>
    <row r="15150" spans="1:24">
      <c r="A15150">
        <f>HYPERLINK("https://www.philgeps.gov.ph/GEPSNONPILOT/Tender/SplashBidNoticeAbstractUI.aspx?menuIndex=3&amp;refID=7021896&amp;Result=3","7021896")</f>
        <v>0</v>
      </c>
      <c r="B15150" t="s">
        <v>830</v>
      </c>
      <c r="C15150" t="s">
        <v>17950</v>
      </c>
      <c r="D15150" t="s">
        <v>18834</v>
      </c>
      <c r="E15150" t="s">
        <v>31912</v>
      </c>
      <c r="F15150" t="s">
        <v>32664</v>
      </c>
      <c r="G15150" t="s">
        <v>32672</v>
      </c>
      <c r="H15150" t="s">
        <v>32683</v>
      </c>
      <c r="I15150" t="s">
        <v>10627</v>
      </c>
      <c r="J15150" t="s">
        <v>34293</v>
      </c>
      <c r="K15150" t="s">
        <v>42397</v>
      </c>
      <c r="M15150" t="s">
        <v>43425</v>
      </c>
      <c r="N15150" t="s">
        <v>46569</v>
      </c>
      <c r="O15150" t="s">
        <v>46570</v>
      </c>
      <c r="P15150">
        <v>0</v>
      </c>
      <c r="Q15150">
        <v>2</v>
      </c>
      <c r="R15150" t="s">
        <v>46593</v>
      </c>
      <c r="S15150" t="s">
        <v>47701</v>
      </c>
      <c r="T15150" t="s">
        <v>48268</v>
      </c>
      <c r="U15150" t="s">
        <v>60938</v>
      </c>
      <c r="W15150" t="s">
        <v>43425</v>
      </c>
      <c r="X15150" t="s">
        <v>46594</v>
      </c>
    </row>
    <row r="15151" spans="1:24">
      <c r="A15151">
        <f>HYPERLINK("https://www.philgeps.gov.ph/GEPSNONPILOT/Tender/SplashBidNoticeAbstractUI.aspx?menuIndex=3&amp;refID=7021997&amp;Result=3","7021997")</f>
        <v>0</v>
      </c>
      <c r="B15151" t="s">
        <v>568</v>
      </c>
      <c r="C15151" t="s">
        <v>17951</v>
      </c>
      <c r="D15151" t="s">
        <v>18822</v>
      </c>
      <c r="E15151" t="s">
        <v>31913</v>
      </c>
      <c r="F15151" t="s">
        <v>32664</v>
      </c>
      <c r="G15151" t="s">
        <v>32672</v>
      </c>
      <c r="H15151" t="s">
        <v>32683</v>
      </c>
      <c r="I15151" t="s">
        <v>10627</v>
      </c>
      <c r="J15151" t="s">
        <v>41786</v>
      </c>
      <c r="K15151" t="s">
        <v>42381</v>
      </c>
      <c r="M15151" t="s">
        <v>43148</v>
      </c>
      <c r="N15151" t="s">
        <v>46569</v>
      </c>
      <c r="O15151" t="s">
        <v>46570</v>
      </c>
      <c r="P15151">
        <v>0</v>
      </c>
      <c r="Q15151">
        <v>4</v>
      </c>
      <c r="R15151" t="s">
        <v>46593</v>
      </c>
      <c r="S15151" t="s">
        <v>47701</v>
      </c>
      <c r="T15151" t="s">
        <v>48283</v>
      </c>
      <c r="U15151" t="s">
        <v>60934</v>
      </c>
      <c r="V15151" t="s">
        <v>61801</v>
      </c>
      <c r="W15151" t="s">
        <v>63484</v>
      </c>
      <c r="X15151" t="s">
        <v>46594</v>
      </c>
    </row>
    <row r="15152" spans="1:24">
      <c r="A15152">
        <f>HYPERLINK("https://www.philgeps.gov.ph/GEPSNONPILOT/Tender/SplashBidNoticeAbstractUI.aspx?menuIndex=3&amp;refID=7021846&amp;Result=3","7021846")</f>
        <v>0</v>
      </c>
      <c r="B15152" t="s">
        <v>830</v>
      </c>
      <c r="C15152" t="s">
        <v>17952</v>
      </c>
      <c r="D15152" t="s">
        <v>18834</v>
      </c>
      <c r="E15152" t="s">
        <v>31914</v>
      </c>
      <c r="F15152" t="s">
        <v>32664</v>
      </c>
      <c r="G15152" t="s">
        <v>32672</v>
      </c>
      <c r="H15152" t="s">
        <v>32683</v>
      </c>
      <c r="I15152" t="s">
        <v>10627</v>
      </c>
      <c r="J15152" t="s">
        <v>34293</v>
      </c>
      <c r="K15152" t="s">
        <v>42397</v>
      </c>
      <c r="M15152" t="s">
        <v>43425</v>
      </c>
      <c r="N15152" t="s">
        <v>46569</v>
      </c>
      <c r="O15152" t="s">
        <v>46570</v>
      </c>
      <c r="P15152">
        <v>0</v>
      </c>
      <c r="Q15152">
        <v>1</v>
      </c>
      <c r="R15152" t="s">
        <v>46593</v>
      </c>
      <c r="S15152" t="s">
        <v>47701</v>
      </c>
      <c r="T15152" t="s">
        <v>48268</v>
      </c>
      <c r="U15152" t="s">
        <v>60939</v>
      </c>
      <c r="W15152" t="s">
        <v>43425</v>
      </c>
      <c r="X15152" t="s">
        <v>46594</v>
      </c>
    </row>
    <row r="15153" spans="1:24">
      <c r="A15153">
        <f>HYPERLINK("https://www.philgeps.gov.ph/GEPSNONPILOT/Tender/SplashBidNoticeAbstractUI.aspx?menuIndex=3&amp;refID=7021836&amp;Result=3","7021836")</f>
        <v>0</v>
      </c>
      <c r="B15153" t="s">
        <v>830</v>
      </c>
      <c r="C15153" t="s">
        <v>17953</v>
      </c>
      <c r="D15153" t="s">
        <v>18834</v>
      </c>
      <c r="E15153" t="s">
        <v>31915</v>
      </c>
      <c r="F15153" t="s">
        <v>32664</v>
      </c>
      <c r="G15153" t="s">
        <v>32672</v>
      </c>
      <c r="H15153" t="s">
        <v>32683</v>
      </c>
      <c r="I15153" t="s">
        <v>10627</v>
      </c>
      <c r="J15153" t="s">
        <v>34806</v>
      </c>
      <c r="K15153" t="s">
        <v>42298</v>
      </c>
      <c r="M15153" t="s">
        <v>43425</v>
      </c>
      <c r="N15153" t="s">
        <v>46569</v>
      </c>
      <c r="O15153" t="s">
        <v>46570</v>
      </c>
      <c r="P15153">
        <v>0</v>
      </c>
      <c r="Q15153">
        <v>1</v>
      </c>
      <c r="R15153" t="s">
        <v>46593</v>
      </c>
      <c r="S15153" t="s">
        <v>47701</v>
      </c>
      <c r="T15153" t="s">
        <v>48268</v>
      </c>
      <c r="U15153" t="s">
        <v>60940</v>
      </c>
      <c r="W15153" t="s">
        <v>43425</v>
      </c>
      <c r="X15153" t="s">
        <v>46594</v>
      </c>
    </row>
    <row r="15154" spans="1:24">
      <c r="A15154">
        <f>HYPERLINK("https://www.philgeps.gov.ph/GEPSNONPILOT/Tender/SplashBidNoticeAbstractUI.aspx?menuIndex=3&amp;refID=7021828&amp;Result=3","7021828")</f>
        <v>0</v>
      </c>
      <c r="B15154" t="s">
        <v>830</v>
      </c>
      <c r="C15154" t="s">
        <v>17954</v>
      </c>
      <c r="D15154" t="s">
        <v>18834</v>
      </c>
      <c r="E15154" t="s">
        <v>31916</v>
      </c>
      <c r="F15154" t="s">
        <v>32664</v>
      </c>
      <c r="G15154" t="s">
        <v>32672</v>
      </c>
      <c r="H15154" t="s">
        <v>32683</v>
      </c>
      <c r="I15154" t="s">
        <v>10627</v>
      </c>
      <c r="J15154" t="s">
        <v>34148</v>
      </c>
      <c r="K15154" t="s">
        <v>42298</v>
      </c>
      <c r="M15154" t="s">
        <v>43425</v>
      </c>
      <c r="N15154" t="s">
        <v>46569</v>
      </c>
      <c r="O15154" t="s">
        <v>46570</v>
      </c>
      <c r="P15154">
        <v>0</v>
      </c>
      <c r="Q15154">
        <v>1</v>
      </c>
      <c r="R15154" t="s">
        <v>46593</v>
      </c>
      <c r="S15154" t="s">
        <v>47701</v>
      </c>
      <c r="T15154" t="s">
        <v>48268</v>
      </c>
      <c r="U15154" t="s">
        <v>60941</v>
      </c>
      <c r="W15154" t="s">
        <v>43425</v>
      </c>
      <c r="X15154" t="s">
        <v>46594</v>
      </c>
    </row>
    <row r="15155" spans="1:24">
      <c r="A15155">
        <f>HYPERLINK("https://www.philgeps.gov.ph/GEPSNONPILOT/Tender/SplashBidNoticeAbstractUI.aspx?menuIndex=3&amp;refID=7021702&amp;Result=3","7021702")</f>
        <v>0</v>
      </c>
      <c r="B15155" t="s">
        <v>144</v>
      </c>
      <c r="C15155" t="s">
        <v>17955</v>
      </c>
      <c r="E15155" t="s">
        <v>19597</v>
      </c>
      <c r="F15155" t="s">
        <v>32664</v>
      </c>
      <c r="G15155" t="s">
        <v>32672</v>
      </c>
      <c r="H15155" t="s">
        <v>12635</v>
      </c>
      <c r="I15155" t="s">
        <v>32681</v>
      </c>
      <c r="J15155" t="s">
        <v>32859</v>
      </c>
      <c r="K15155" t="s">
        <v>42348</v>
      </c>
      <c r="M15155" t="s">
        <v>42708</v>
      </c>
      <c r="N15155" t="s">
        <v>46569</v>
      </c>
      <c r="O15155" t="s">
        <v>46570</v>
      </c>
      <c r="P15155">
        <v>0</v>
      </c>
      <c r="Q15155">
        <v>3</v>
      </c>
      <c r="R15155" t="s">
        <v>46593</v>
      </c>
      <c r="S15155" t="s">
        <v>47701</v>
      </c>
      <c r="T15155" t="s">
        <v>48254</v>
      </c>
      <c r="U15155" t="s">
        <v>60942</v>
      </c>
      <c r="W15155" t="s">
        <v>42708</v>
      </c>
      <c r="X15155" t="s">
        <v>46594</v>
      </c>
    </row>
    <row r="15156" spans="1:24">
      <c r="A15156">
        <f>HYPERLINK("https://www.philgeps.gov.ph/GEPSNONPILOT/Tender/SplashBidNoticeAbstractUI.aspx?menuIndex=3&amp;refID=7026914&amp;Result=3","7026914")</f>
        <v>0</v>
      </c>
      <c r="B15156" t="s">
        <v>2794</v>
      </c>
      <c r="C15156" t="s">
        <v>17956</v>
      </c>
      <c r="D15156" t="s">
        <v>18797</v>
      </c>
      <c r="E15156" t="s">
        <v>31917</v>
      </c>
      <c r="F15156" t="s">
        <v>32664</v>
      </c>
      <c r="G15156" t="s">
        <v>32672</v>
      </c>
      <c r="H15156" t="s">
        <v>32683</v>
      </c>
      <c r="I15156" t="s">
        <v>10627</v>
      </c>
      <c r="J15156" t="s">
        <v>34148</v>
      </c>
      <c r="K15156" t="s">
        <v>42327</v>
      </c>
      <c r="M15156" t="s">
        <v>45638</v>
      </c>
      <c r="N15156" t="s">
        <v>46569</v>
      </c>
      <c r="O15156" t="s">
        <v>46570</v>
      </c>
      <c r="Q15156">
        <v>108</v>
      </c>
      <c r="R15156" t="s">
        <v>46592</v>
      </c>
      <c r="S15156" t="s">
        <v>47711</v>
      </c>
      <c r="T15156" t="s">
        <v>48244</v>
      </c>
      <c r="U15156" t="s">
        <v>56905</v>
      </c>
      <c r="V15156" t="s">
        <v>63309</v>
      </c>
      <c r="W15156" t="s">
        <v>63572</v>
      </c>
      <c r="X15156" t="s">
        <v>46593</v>
      </c>
    </row>
    <row r="15157" spans="1:24">
      <c r="A15157">
        <f>HYPERLINK("https://www.philgeps.gov.ph/GEPSNONPILOT/Tender/SplashBidNoticeAbstractUI.aspx?menuIndex=3&amp;refID=7026895&amp;Result=3","7026895")</f>
        <v>0</v>
      </c>
      <c r="B15157" t="s">
        <v>2794</v>
      </c>
      <c r="C15157" t="s">
        <v>17957</v>
      </c>
      <c r="D15157" t="s">
        <v>18797</v>
      </c>
      <c r="E15157" t="s">
        <v>31918</v>
      </c>
      <c r="F15157" t="s">
        <v>32664</v>
      </c>
      <c r="G15157" t="s">
        <v>32672</v>
      </c>
      <c r="H15157" t="s">
        <v>32683</v>
      </c>
      <c r="I15157" t="s">
        <v>10627</v>
      </c>
      <c r="J15157" t="s">
        <v>33858</v>
      </c>
      <c r="K15157" t="s">
        <v>42285</v>
      </c>
      <c r="M15157" t="s">
        <v>45638</v>
      </c>
      <c r="N15157" t="s">
        <v>46569</v>
      </c>
      <c r="O15157" t="s">
        <v>46570</v>
      </c>
      <c r="Q15157">
        <v>112</v>
      </c>
      <c r="R15157" t="s">
        <v>46592</v>
      </c>
      <c r="S15157" t="s">
        <v>47712</v>
      </c>
      <c r="T15157" t="s">
        <v>48244</v>
      </c>
      <c r="U15157" t="s">
        <v>56905</v>
      </c>
      <c r="V15157" t="s">
        <v>63310</v>
      </c>
      <c r="W15157" t="s">
        <v>63572</v>
      </c>
      <c r="X15157" t="s">
        <v>46593</v>
      </c>
    </row>
    <row r="15158" spans="1:24">
      <c r="A15158">
        <f>HYPERLINK("https://www.philgeps.gov.ph/GEPSNONPILOT/Tender/SplashBidNoticeAbstractUI.aspx?menuIndex=3&amp;refID=7026867&amp;Result=3","7026867")</f>
        <v>0</v>
      </c>
      <c r="B15158" t="s">
        <v>2794</v>
      </c>
      <c r="C15158" t="s">
        <v>17958</v>
      </c>
      <c r="D15158" t="s">
        <v>18797</v>
      </c>
      <c r="E15158" t="s">
        <v>31919</v>
      </c>
      <c r="F15158" t="s">
        <v>32664</v>
      </c>
      <c r="G15158" t="s">
        <v>32672</v>
      </c>
      <c r="H15158" t="s">
        <v>32683</v>
      </c>
      <c r="I15158" t="s">
        <v>10627</v>
      </c>
      <c r="J15158" t="s">
        <v>41787</v>
      </c>
      <c r="K15158" t="s">
        <v>42397</v>
      </c>
      <c r="M15158" t="s">
        <v>45638</v>
      </c>
      <c r="N15158" t="s">
        <v>46569</v>
      </c>
      <c r="O15158" t="s">
        <v>46570</v>
      </c>
      <c r="Q15158">
        <v>122</v>
      </c>
      <c r="R15158" t="s">
        <v>46592</v>
      </c>
      <c r="S15158" t="s">
        <v>47713</v>
      </c>
      <c r="T15158" t="s">
        <v>48244</v>
      </c>
      <c r="U15158" t="s">
        <v>56905</v>
      </c>
      <c r="V15158" t="s">
        <v>63311</v>
      </c>
      <c r="W15158" t="s">
        <v>63572</v>
      </c>
      <c r="X15158" t="s">
        <v>46593</v>
      </c>
    </row>
    <row r="15159" spans="1:24">
      <c r="A15159">
        <f>HYPERLINK("https://www.philgeps.gov.ph/GEPSNONPILOT/Tender/SplashBidNoticeAbstractUI.aspx?menuIndex=3&amp;refID=7021977&amp;Result=3","7021977")</f>
        <v>0</v>
      </c>
      <c r="B15159" t="s">
        <v>3473</v>
      </c>
      <c r="C15159" t="s">
        <v>17959</v>
      </c>
      <c r="D15159" t="s">
        <v>18807</v>
      </c>
      <c r="E15159" t="s">
        <v>31920</v>
      </c>
      <c r="F15159" t="s">
        <v>32665</v>
      </c>
      <c r="G15159" t="s">
        <v>32672</v>
      </c>
      <c r="H15159" t="s">
        <v>32683</v>
      </c>
      <c r="I15159" t="s">
        <v>10627</v>
      </c>
      <c r="J15159" t="s">
        <v>33302</v>
      </c>
      <c r="K15159" t="s">
        <v>42528</v>
      </c>
      <c r="M15159" t="s">
        <v>46468</v>
      </c>
      <c r="N15159" t="s">
        <v>46569</v>
      </c>
      <c r="O15159" t="s">
        <v>46570</v>
      </c>
      <c r="P15159">
        <v>0</v>
      </c>
      <c r="Q15159">
        <v>1</v>
      </c>
      <c r="R15159" t="s">
        <v>46593</v>
      </c>
      <c r="S15159" t="s">
        <v>47701</v>
      </c>
      <c r="T15159" t="s">
        <v>48246</v>
      </c>
      <c r="U15159" t="s">
        <v>60943</v>
      </c>
      <c r="V15159" t="s">
        <v>63312</v>
      </c>
      <c r="W15159" t="s">
        <v>46468</v>
      </c>
      <c r="X15159" t="s">
        <v>46594</v>
      </c>
    </row>
    <row r="15160" spans="1:24">
      <c r="A15160">
        <f>HYPERLINK("https://www.philgeps.gov.ph/GEPSNONPILOT/Tender/SplashBidNoticeAbstractUI.aspx?menuIndex=3&amp;refID=7021742&amp;Result=3","7021742")</f>
        <v>0</v>
      </c>
      <c r="B15160" t="s">
        <v>3473</v>
      </c>
      <c r="C15160" t="s">
        <v>17960</v>
      </c>
      <c r="D15160" t="s">
        <v>18807</v>
      </c>
      <c r="E15160" t="s">
        <v>31921</v>
      </c>
      <c r="F15160" t="s">
        <v>32665</v>
      </c>
      <c r="G15160" t="s">
        <v>32672</v>
      </c>
      <c r="H15160" t="s">
        <v>32683</v>
      </c>
      <c r="I15160" t="s">
        <v>10627</v>
      </c>
      <c r="J15160" t="s">
        <v>33001</v>
      </c>
      <c r="K15160" t="s">
        <v>42383</v>
      </c>
      <c r="M15160" t="s">
        <v>46468</v>
      </c>
      <c r="N15160" t="s">
        <v>46569</v>
      </c>
      <c r="O15160" t="s">
        <v>46570</v>
      </c>
      <c r="P15160">
        <v>0</v>
      </c>
      <c r="Q15160">
        <v>1</v>
      </c>
      <c r="R15160" t="s">
        <v>46593</v>
      </c>
      <c r="S15160" t="s">
        <v>47701</v>
      </c>
      <c r="T15160" t="s">
        <v>48246</v>
      </c>
      <c r="U15160" t="s">
        <v>60944</v>
      </c>
      <c r="V15160" t="s">
        <v>63313</v>
      </c>
      <c r="W15160" t="s">
        <v>46468</v>
      </c>
      <c r="X15160" t="s">
        <v>46594</v>
      </c>
    </row>
    <row r="15161" spans="1:24">
      <c r="A15161">
        <f>HYPERLINK("https://www.philgeps.gov.ph/GEPSNONPILOT/Tender/SplashBidNoticeAbstractUI.aspx?menuIndex=3&amp;refID=7026796&amp;Result=3","7026796")</f>
        <v>0</v>
      </c>
      <c r="B15161" t="s">
        <v>2794</v>
      </c>
      <c r="C15161" t="s">
        <v>17961</v>
      </c>
      <c r="D15161" t="s">
        <v>18797</v>
      </c>
      <c r="E15161" t="s">
        <v>31922</v>
      </c>
      <c r="F15161" t="s">
        <v>32664</v>
      </c>
      <c r="G15161" t="s">
        <v>32672</v>
      </c>
      <c r="H15161" t="s">
        <v>32683</v>
      </c>
      <c r="I15161" t="s">
        <v>10627</v>
      </c>
      <c r="J15161" t="s">
        <v>33009</v>
      </c>
      <c r="K15161" t="s">
        <v>42342</v>
      </c>
      <c r="M15161" t="s">
        <v>45638</v>
      </c>
      <c r="N15161" t="s">
        <v>46569</v>
      </c>
      <c r="O15161" t="s">
        <v>46570</v>
      </c>
      <c r="Q15161">
        <v>121</v>
      </c>
      <c r="R15161" t="s">
        <v>46592</v>
      </c>
      <c r="S15161" t="s">
        <v>47714</v>
      </c>
      <c r="T15161" t="s">
        <v>48244</v>
      </c>
      <c r="U15161" t="s">
        <v>56905</v>
      </c>
      <c r="V15161" t="s">
        <v>63314</v>
      </c>
      <c r="W15161" t="s">
        <v>63572</v>
      </c>
      <c r="X15161" t="s">
        <v>46593</v>
      </c>
    </row>
    <row r="15162" spans="1:24">
      <c r="A15162">
        <f>HYPERLINK("https://www.philgeps.gov.ph/GEPSNONPILOT/Tender/SplashBidNoticeAbstractUI.aspx?menuIndex=3&amp;refID=7022169&amp;Result=3","7022169")</f>
        <v>0</v>
      </c>
      <c r="B15162" t="s">
        <v>3473</v>
      </c>
      <c r="C15162" t="s">
        <v>12286</v>
      </c>
      <c r="D15162" t="s">
        <v>18807</v>
      </c>
      <c r="E15162" t="s">
        <v>31923</v>
      </c>
      <c r="F15162" t="s">
        <v>32665</v>
      </c>
      <c r="G15162" t="s">
        <v>32672</v>
      </c>
      <c r="H15162" t="s">
        <v>32683</v>
      </c>
      <c r="I15162" t="s">
        <v>10627</v>
      </c>
      <c r="J15162" t="s">
        <v>33008</v>
      </c>
      <c r="K15162" t="s">
        <v>42321</v>
      </c>
      <c r="M15162" t="s">
        <v>46468</v>
      </c>
      <c r="N15162" t="s">
        <v>46569</v>
      </c>
      <c r="O15162" t="s">
        <v>46570</v>
      </c>
      <c r="P15162">
        <v>0</v>
      </c>
      <c r="Q15162">
        <v>1</v>
      </c>
      <c r="R15162" t="s">
        <v>46593</v>
      </c>
      <c r="S15162" t="s">
        <v>47701</v>
      </c>
      <c r="T15162" t="s">
        <v>48246</v>
      </c>
      <c r="U15162" t="s">
        <v>60945</v>
      </c>
      <c r="V15162" t="s">
        <v>63312</v>
      </c>
      <c r="W15162" t="s">
        <v>46468</v>
      </c>
      <c r="X15162" t="s">
        <v>46594</v>
      </c>
    </row>
    <row r="15163" spans="1:24">
      <c r="A15163">
        <f>HYPERLINK("https://www.philgeps.gov.ph/GEPSNONPILOT/Tender/SplashBidNoticeAbstractUI.aspx?menuIndex=3&amp;refID=7026723&amp;Result=3","7026723")</f>
        <v>0</v>
      </c>
      <c r="B15163" t="s">
        <v>69</v>
      </c>
      <c r="C15163" t="s">
        <v>17962</v>
      </c>
      <c r="D15163" t="s">
        <v>18784</v>
      </c>
      <c r="E15163" t="s">
        <v>31924</v>
      </c>
      <c r="F15163" t="s">
        <v>32664</v>
      </c>
      <c r="G15163" t="s">
        <v>32672</v>
      </c>
      <c r="H15163" t="s">
        <v>32683</v>
      </c>
      <c r="I15163" t="s">
        <v>10627</v>
      </c>
      <c r="J15163" t="s">
        <v>41788</v>
      </c>
      <c r="K15163" t="s">
        <v>42285</v>
      </c>
      <c r="M15163" t="s">
        <v>42632</v>
      </c>
      <c r="N15163" t="s">
        <v>46569</v>
      </c>
      <c r="O15163" t="s">
        <v>46570</v>
      </c>
      <c r="P15163">
        <v>0</v>
      </c>
      <c r="Q15163">
        <v>71</v>
      </c>
      <c r="R15163" t="s">
        <v>46592</v>
      </c>
      <c r="S15163" t="s">
        <v>47652</v>
      </c>
      <c r="T15163" t="s">
        <v>48449</v>
      </c>
      <c r="U15163" t="s">
        <v>60946</v>
      </c>
      <c r="W15163" t="s">
        <v>42632</v>
      </c>
      <c r="X15163" t="s">
        <v>46593</v>
      </c>
    </row>
    <row r="15164" spans="1:24">
      <c r="A15164">
        <f>HYPERLINK("https://www.philgeps.gov.ph/GEPSNONPILOT/Tender/SplashBidNoticeAbstractUI.aspx?menuIndex=3&amp;refID=7026788&amp;Result=3","7026788")</f>
        <v>0</v>
      </c>
      <c r="B15164" t="s">
        <v>2794</v>
      </c>
      <c r="C15164" t="s">
        <v>17963</v>
      </c>
      <c r="D15164" t="s">
        <v>18797</v>
      </c>
      <c r="E15164" t="s">
        <v>31925</v>
      </c>
      <c r="F15164" t="s">
        <v>32664</v>
      </c>
      <c r="G15164" t="s">
        <v>32672</v>
      </c>
      <c r="H15164" t="s">
        <v>32683</v>
      </c>
      <c r="I15164" t="s">
        <v>10627</v>
      </c>
      <c r="J15164" t="s">
        <v>33084</v>
      </c>
      <c r="K15164" t="s">
        <v>42342</v>
      </c>
      <c r="M15164" t="s">
        <v>45638</v>
      </c>
      <c r="N15164" t="s">
        <v>46569</v>
      </c>
      <c r="O15164" t="s">
        <v>46570</v>
      </c>
      <c r="Q15164">
        <v>124</v>
      </c>
      <c r="R15164" t="s">
        <v>46592</v>
      </c>
      <c r="S15164" t="s">
        <v>47715</v>
      </c>
      <c r="T15164" t="s">
        <v>48244</v>
      </c>
      <c r="U15164" t="s">
        <v>56905</v>
      </c>
      <c r="V15164" t="s">
        <v>63315</v>
      </c>
      <c r="W15164" t="s">
        <v>63572</v>
      </c>
      <c r="X15164" t="s">
        <v>46593</v>
      </c>
    </row>
    <row r="15165" spans="1:24">
      <c r="A15165">
        <f>HYPERLINK("https://www.philgeps.gov.ph/GEPSNONPILOT/Tender/SplashBidNoticeAbstractUI.aspx?menuIndex=3&amp;refID=7026715&amp;Result=3","7026715")</f>
        <v>0</v>
      </c>
      <c r="B15165" t="s">
        <v>1865</v>
      </c>
      <c r="C15165" t="s">
        <v>17964</v>
      </c>
      <c r="D15165" t="s">
        <v>18841</v>
      </c>
      <c r="E15165" t="s">
        <v>31926</v>
      </c>
      <c r="F15165" t="s">
        <v>32664</v>
      </c>
      <c r="G15165" t="s">
        <v>32672</v>
      </c>
      <c r="H15165" t="s">
        <v>12635</v>
      </c>
      <c r="I15165" t="s">
        <v>11464</v>
      </c>
      <c r="J15165" t="s">
        <v>33084</v>
      </c>
      <c r="K15165" t="s">
        <v>42298</v>
      </c>
      <c r="M15165" t="s">
        <v>44578</v>
      </c>
      <c r="N15165" t="s">
        <v>46569</v>
      </c>
      <c r="O15165" t="s">
        <v>46570</v>
      </c>
      <c r="Q15165">
        <v>5</v>
      </c>
      <c r="R15165" t="s">
        <v>46592</v>
      </c>
      <c r="S15165" t="s">
        <v>47716</v>
      </c>
      <c r="T15165" t="s">
        <v>48448</v>
      </c>
      <c r="U15165" t="s">
        <v>60947</v>
      </c>
      <c r="W15165" t="s">
        <v>44578</v>
      </c>
      <c r="X15165" t="s">
        <v>46593</v>
      </c>
    </row>
    <row r="15166" spans="1:24">
      <c r="A15166">
        <f>HYPERLINK("https://www.philgeps.gov.ph/GEPSNONPILOT/Tender/SplashBidNoticeAbstractUI.aspx?menuIndex=3&amp;refID=7026030&amp;Result=3","7026030")</f>
        <v>0</v>
      </c>
      <c r="B15166" t="s">
        <v>2946</v>
      </c>
      <c r="C15166" t="s">
        <v>17965</v>
      </c>
      <c r="D15166" t="s">
        <v>18786</v>
      </c>
      <c r="E15166" t="s">
        <v>21510</v>
      </c>
      <c r="F15166" t="s">
        <v>32664</v>
      </c>
      <c r="G15166" t="s">
        <v>32672</v>
      </c>
      <c r="H15166" t="s">
        <v>32683</v>
      </c>
      <c r="I15166" t="s">
        <v>10627</v>
      </c>
      <c r="J15166" t="s">
        <v>41789</v>
      </c>
      <c r="K15166" t="s">
        <v>42569</v>
      </c>
      <c r="M15166" t="s">
        <v>45800</v>
      </c>
      <c r="N15166" t="s">
        <v>46569</v>
      </c>
      <c r="O15166" t="s">
        <v>46570</v>
      </c>
      <c r="P15166">
        <v>0</v>
      </c>
      <c r="Q15166">
        <v>0</v>
      </c>
      <c r="R15166" t="s">
        <v>46592</v>
      </c>
      <c r="S15166" t="s">
        <v>47652</v>
      </c>
      <c r="T15166" t="s">
        <v>48449</v>
      </c>
      <c r="U15166" t="s">
        <v>60948</v>
      </c>
      <c r="W15166" t="s">
        <v>45800</v>
      </c>
      <c r="X15166" t="s">
        <v>46593</v>
      </c>
    </row>
    <row r="15167" spans="1:24">
      <c r="A15167">
        <f>HYPERLINK("https://www.philgeps.gov.ph/GEPSNONPILOT/Tender/SplashBidNoticeAbstractUI.aspx?menuIndex=3&amp;refID=7026763&amp;Result=3","7026763")</f>
        <v>0</v>
      </c>
      <c r="B15167" t="s">
        <v>3298</v>
      </c>
      <c r="C15167" t="s">
        <v>17966</v>
      </c>
      <c r="D15167" t="s">
        <v>18784</v>
      </c>
      <c r="E15167" t="s">
        <v>31927</v>
      </c>
      <c r="F15167" t="s">
        <v>32664</v>
      </c>
      <c r="G15167" t="s">
        <v>32672</v>
      </c>
      <c r="H15167" t="s">
        <v>12635</v>
      </c>
      <c r="I15167" t="s">
        <v>32730</v>
      </c>
      <c r="J15167" t="s">
        <v>41790</v>
      </c>
      <c r="K15167" t="s">
        <v>42305</v>
      </c>
      <c r="M15167" t="s">
        <v>46242</v>
      </c>
      <c r="N15167" t="s">
        <v>46569</v>
      </c>
      <c r="O15167" t="s">
        <v>46570</v>
      </c>
      <c r="Q15167">
        <v>8</v>
      </c>
      <c r="R15167" t="s">
        <v>46592</v>
      </c>
      <c r="S15167" t="s">
        <v>47717</v>
      </c>
      <c r="T15167" t="s">
        <v>48436</v>
      </c>
      <c r="U15167" t="s">
        <v>59408</v>
      </c>
      <c r="W15167" t="s">
        <v>46242</v>
      </c>
      <c r="X15167" t="s">
        <v>46593</v>
      </c>
    </row>
    <row r="15168" spans="1:24">
      <c r="A15168">
        <f>HYPERLINK("https://www.philgeps.gov.ph/GEPSNONPILOT/Tender/SplashBidNoticeAbstractUI.aspx?menuIndex=3&amp;refID=7026733&amp;Result=3","7026733")</f>
        <v>0</v>
      </c>
      <c r="B15168" t="s">
        <v>3298</v>
      </c>
      <c r="C15168" t="s">
        <v>17967</v>
      </c>
      <c r="D15168" t="s">
        <v>18784</v>
      </c>
      <c r="E15168" t="s">
        <v>31928</v>
      </c>
      <c r="F15168" t="s">
        <v>32664</v>
      </c>
      <c r="G15168" t="s">
        <v>32672</v>
      </c>
      <c r="H15168" t="s">
        <v>12635</v>
      </c>
      <c r="I15168" t="s">
        <v>5589</v>
      </c>
      <c r="J15168" t="s">
        <v>32837</v>
      </c>
      <c r="K15168" t="s">
        <v>42305</v>
      </c>
      <c r="M15168" t="s">
        <v>46242</v>
      </c>
      <c r="N15168" t="s">
        <v>46569</v>
      </c>
      <c r="O15168" t="s">
        <v>46570</v>
      </c>
      <c r="Q15168">
        <v>25</v>
      </c>
      <c r="R15168" t="s">
        <v>46592</v>
      </c>
      <c r="S15168" t="s">
        <v>47718</v>
      </c>
      <c r="T15168" t="s">
        <v>48436</v>
      </c>
      <c r="U15168" t="s">
        <v>59408</v>
      </c>
      <c r="W15168" t="s">
        <v>46242</v>
      </c>
      <c r="X15168" t="s">
        <v>46593</v>
      </c>
    </row>
    <row r="15169" spans="1:24">
      <c r="A15169">
        <f>HYPERLINK("https://www.philgeps.gov.ph/GEPSNONPILOT/Tender/SplashBidNoticeAbstractUI.aspx?menuIndex=3&amp;refID=7025978&amp;Result=3","7025978")</f>
        <v>0</v>
      </c>
      <c r="B15169" t="s">
        <v>2946</v>
      </c>
      <c r="C15169" t="s">
        <v>17968</v>
      </c>
      <c r="D15169" t="s">
        <v>18786</v>
      </c>
      <c r="E15169" t="s">
        <v>22064</v>
      </c>
      <c r="F15169" t="s">
        <v>32664</v>
      </c>
      <c r="G15169" t="s">
        <v>32672</v>
      </c>
      <c r="H15169" t="s">
        <v>32683</v>
      </c>
      <c r="I15169" t="s">
        <v>10627</v>
      </c>
      <c r="J15169" t="s">
        <v>41791</v>
      </c>
      <c r="K15169" t="s">
        <v>42311</v>
      </c>
      <c r="M15169" t="s">
        <v>45800</v>
      </c>
      <c r="N15169" t="s">
        <v>46569</v>
      </c>
      <c r="O15169" t="s">
        <v>46570</v>
      </c>
      <c r="P15169">
        <v>0</v>
      </c>
      <c r="Q15169">
        <v>0</v>
      </c>
      <c r="R15169" t="s">
        <v>46592</v>
      </c>
      <c r="S15169" t="s">
        <v>47652</v>
      </c>
      <c r="T15169" t="s">
        <v>48449</v>
      </c>
      <c r="U15169" t="s">
        <v>57496</v>
      </c>
      <c r="W15169" t="s">
        <v>45800</v>
      </c>
      <c r="X15169" t="s">
        <v>46593</v>
      </c>
    </row>
    <row r="15170" spans="1:24">
      <c r="A15170">
        <f>HYPERLINK("https://www.philgeps.gov.ph/GEPSNONPILOT/Tender/SplashBidNoticeAbstractUI.aspx?menuIndex=3&amp;refID=7022265&amp;Result=3","7022265")</f>
        <v>0</v>
      </c>
      <c r="B15170" t="s">
        <v>676</v>
      </c>
      <c r="C15170" t="s">
        <v>17969</v>
      </c>
      <c r="D15170" t="s">
        <v>18806</v>
      </c>
      <c r="E15170" t="s">
        <v>31929</v>
      </c>
      <c r="F15170" t="s">
        <v>32664</v>
      </c>
      <c r="G15170" t="s">
        <v>32672</v>
      </c>
      <c r="H15170" t="s">
        <v>12635</v>
      </c>
      <c r="I15170" t="s">
        <v>8730</v>
      </c>
      <c r="J15170" t="s">
        <v>41792</v>
      </c>
      <c r="K15170" t="s">
        <v>42283</v>
      </c>
      <c r="M15170" t="s">
        <v>43263</v>
      </c>
      <c r="N15170" t="s">
        <v>46569</v>
      </c>
      <c r="O15170" t="s">
        <v>46570</v>
      </c>
      <c r="P15170">
        <v>0</v>
      </c>
      <c r="Q15170">
        <v>7</v>
      </c>
      <c r="R15170" t="s">
        <v>46593</v>
      </c>
      <c r="S15170" t="s">
        <v>47701</v>
      </c>
      <c r="T15170" t="s">
        <v>48228</v>
      </c>
      <c r="U15170" t="s">
        <v>60949</v>
      </c>
      <c r="W15170" t="s">
        <v>43263</v>
      </c>
      <c r="X15170" t="s">
        <v>46594</v>
      </c>
    </row>
    <row r="15171" spans="1:24">
      <c r="A15171">
        <f>HYPERLINK("https://www.philgeps.gov.ph/GEPSNONPILOT/Tender/SplashBidNoticeAbstractUI.aspx?menuIndex=3&amp;refID=7026791&amp;Result=3","7026791")</f>
        <v>0</v>
      </c>
      <c r="B15171" t="s">
        <v>2794</v>
      </c>
      <c r="C15171" t="s">
        <v>17970</v>
      </c>
      <c r="D15171" t="s">
        <v>18797</v>
      </c>
      <c r="E15171" t="s">
        <v>31930</v>
      </c>
      <c r="F15171" t="s">
        <v>32664</v>
      </c>
      <c r="G15171" t="s">
        <v>32672</v>
      </c>
      <c r="H15171" t="s">
        <v>32683</v>
      </c>
      <c r="I15171" t="s">
        <v>10627</v>
      </c>
      <c r="J15171" t="s">
        <v>41793</v>
      </c>
      <c r="K15171" t="s">
        <v>42285</v>
      </c>
      <c r="M15171" t="s">
        <v>45638</v>
      </c>
      <c r="N15171" t="s">
        <v>46569</v>
      </c>
      <c r="O15171" t="s">
        <v>46570</v>
      </c>
      <c r="Q15171">
        <v>121</v>
      </c>
      <c r="R15171" t="s">
        <v>46592</v>
      </c>
      <c r="S15171" t="s">
        <v>47719</v>
      </c>
      <c r="T15171" t="s">
        <v>48244</v>
      </c>
      <c r="U15171" t="s">
        <v>56905</v>
      </c>
      <c r="V15171" t="s">
        <v>62684</v>
      </c>
      <c r="W15171" t="s">
        <v>63572</v>
      </c>
      <c r="X15171" t="s">
        <v>46593</v>
      </c>
    </row>
    <row r="15172" spans="1:24">
      <c r="A15172">
        <f>HYPERLINK("https://www.philgeps.gov.ph/GEPSNONPILOT/Tender/SplashBidNoticeAbstractUI.aspx?menuIndex=3&amp;refID=7026029&amp;Result=3","7026029")</f>
        <v>0</v>
      </c>
      <c r="B15172" t="s">
        <v>1788</v>
      </c>
      <c r="C15172" t="s">
        <v>17971</v>
      </c>
      <c r="D15172" t="s">
        <v>18837</v>
      </c>
      <c r="E15172" t="s">
        <v>31931</v>
      </c>
      <c r="F15172" t="s">
        <v>32664</v>
      </c>
      <c r="G15172" t="s">
        <v>32672</v>
      </c>
      <c r="H15172" t="s">
        <v>32683</v>
      </c>
      <c r="I15172" t="s">
        <v>10627</v>
      </c>
      <c r="J15172" t="s">
        <v>41794</v>
      </c>
      <c r="K15172" t="s">
        <v>42298</v>
      </c>
      <c r="M15172" t="s">
        <v>44490</v>
      </c>
      <c r="N15172" t="s">
        <v>46569</v>
      </c>
      <c r="O15172" t="s">
        <v>46570</v>
      </c>
      <c r="P15172">
        <v>0</v>
      </c>
      <c r="Q15172">
        <v>1</v>
      </c>
      <c r="R15172" t="s">
        <v>46592</v>
      </c>
      <c r="S15172" t="s">
        <v>47652</v>
      </c>
      <c r="T15172" t="s">
        <v>48293</v>
      </c>
      <c r="U15172" t="s">
        <v>60950</v>
      </c>
      <c r="W15172" t="s">
        <v>44490</v>
      </c>
      <c r="X15172" t="s">
        <v>46593</v>
      </c>
    </row>
    <row r="15173" spans="1:24">
      <c r="A15173">
        <f>HYPERLINK("https://www.philgeps.gov.ph/GEPSNONPILOT/Tender/SplashBidNoticeAbstractUI.aspx?menuIndex=3&amp;refID=7023329&amp;Result=3","7023329")</f>
        <v>0</v>
      </c>
      <c r="B15173" t="s">
        <v>27</v>
      </c>
      <c r="C15173" t="s">
        <v>17972</v>
      </c>
      <c r="E15173" t="s">
        <v>31932</v>
      </c>
      <c r="F15173" t="s">
        <v>32664</v>
      </c>
      <c r="G15173" t="s">
        <v>32672</v>
      </c>
      <c r="H15173" t="s">
        <v>32682</v>
      </c>
      <c r="I15173" t="s">
        <v>32740</v>
      </c>
      <c r="J15173" t="s">
        <v>41795</v>
      </c>
      <c r="K15173" t="s">
        <v>42446</v>
      </c>
      <c r="M15173" t="s">
        <v>45951</v>
      </c>
      <c r="N15173" t="s">
        <v>46569</v>
      </c>
      <c r="O15173" t="s">
        <v>46570</v>
      </c>
      <c r="Q15173">
        <v>8</v>
      </c>
      <c r="R15173" t="s">
        <v>46593</v>
      </c>
      <c r="S15173" t="s">
        <v>47720</v>
      </c>
      <c r="T15173" t="s">
        <v>48404</v>
      </c>
      <c r="U15173" t="s">
        <v>60951</v>
      </c>
      <c r="W15173" t="s">
        <v>45951</v>
      </c>
      <c r="X15173" t="s">
        <v>46594</v>
      </c>
    </row>
    <row r="15174" spans="1:24">
      <c r="A15174">
        <f>HYPERLINK("https://www.philgeps.gov.ph/GEPSNONPILOT/Tender/SplashBidNoticeAbstractUI.aspx?menuIndex=3&amp;refID=7023285&amp;Result=3","7023285")</f>
        <v>0</v>
      </c>
      <c r="B15174" t="s">
        <v>218</v>
      </c>
      <c r="C15174" t="s">
        <v>17973</v>
      </c>
      <c r="D15174" t="s">
        <v>18792</v>
      </c>
      <c r="E15174" t="s">
        <v>31933</v>
      </c>
      <c r="F15174" t="s">
        <v>32664</v>
      </c>
      <c r="G15174" t="s">
        <v>32672</v>
      </c>
      <c r="H15174" t="s">
        <v>12635</v>
      </c>
      <c r="I15174" t="s">
        <v>9946</v>
      </c>
      <c r="J15174" t="s">
        <v>41796</v>
      </c>
      <c r="K15174" t="s">
        <v>42283</v>
      </c>
      <c r="M15174" t="s">
        <v>42782</v>
      </c>
      <c r="N15174" t="s">
        <v>46569</v>
      </c>
      <c r="O15174" t="s">
        <v>46570</v>
      </c>
      <c r="Q15174">
        <v>3</v>
      </c>
      <c r="R15174" t="s">
        <v>46593</v>
      </c>
      <c r="S15174" t="s">
        <v>47721</v>
      </c>
      <c r="T15174" t="s">
        <v>48448</v>
      </c>
      <c r="U15174" t="s">
        <v>60952</v>
      </c>
      <c r="W15174" t="s">
        <v>42782</v>
      </c>
      <c r="X15174" t="s">
        <v>46594</v>
      </c>
    </row>
    <row r="15175" spans="1:24">
      <c r="A15175">
        <f>HYPERLINK("https://www.philgeps.gov.ph/GEPSNONPILOT/Tender/SplashBidNoticeAbstractUI.aspx?menuIndex=3&amp;refID=7021906&amp;Result=3","7021906")</f>
        <v>0</v>
      </c>
      <c r="B15175" t="s">
        <v>2829</v>
      </c>
      <c r="C15175" t="s">
        <v>17974</v>
      </c>
      <c r="D15175" t="s">
        <v>18792</v>
      </c>
      <c r="E15175" t="s">
        <v>31934</v>
      </c>
      <c r="F15175" t="s">
        <v>32664</v>
      </c>
      <c r="G15175" t="s">
        <v>32672</v>
      </c>
      <c r="H15175" t="s">
        <v>12635</v>
      </c>
      <c r="I15175" t="s">
        <v>32736</v>
      </c>
      <c r="J15175" t="s">
        <v>33302</v>
      </c>
      <c r="K15175" t="s">
        <v>42283</v>
      </c>
      <c r="M15175" t="s">
        <v>45674</v>
      </c>
      <c r="N15175" t="s">
        <v>46569</v>
      </c>
      <c r="O15175" t="s">
        <v>46570</v>
      </c>
      <c r="P15175">
        <v>0</v>
      </c>
      <c r="Q15175">
        <v>0</v>
      </c>
      <c r="R15175" t="s">
        <v>46593</v>
      </c>
      <c r="S15175" t="s">
        <v>47701</v>
      </c>
      <c r="T15175" t="s">
        <v>48228</v>
      </c>
      <c r="U15175" t="s">
        <v>60953</v>
      </c>
      <c r="W15175" t="s">
        <v>45674</v>
      </c>
      <c r="X15175" t="s">
        <v>46594</v>
      </c>
    </row>
    <row r="15176" spans="1:24">
      <c r="A15176">
        <f>HYPERLINK("https://www.philgeps.gov.ph/GEPSNONPILOT/Tender/SplashBidNoticeAbstractUI.aspx?menuIndex=3&amp;refID=7023264&amp;Result=3","7023264")</f>
        <v>0</v>
      </c>
      <c r="B15176" t="s">
        <v>773</v>
      </c>
      <c r="C15176" t="s">
        <v>17975</v>
      </c>
      <c r="D15176" t="s">
        <v>18821</v>
      </c>
      <c r="E15176" t="s">
        <v>31935</v>
      </c>
      <c r="F15176" t="s">
        <v>32664</v>
      </c>
      <c r="G15176" t="s">
        <v>32672</v>
      </c>
      <c r="H15176" t="s">
        <v>12635</v>
      </c>
      <c r="I15176" t="s">
        <v>7709</v>
      </c>
      <c r="J15176" t="s">
        <v>32998</v>
      </c>
      <c r="K15176" t="s">
        <v>42284</v>
      </c>
      <c r="M15176" t="s">
        <v>46461</v>
      </c>
      <c r="N15176" t="s">
        <v>46569</v>
      </c>
      <c r="O15176" t="s">
        <v>46570</v>
      </c>
      <c r="P15176">
        <v>0</v>
      </c>
      <c r="Q15176">
        <v>1</v>
      </c>
      <c r="R15176" t="s">
        <v>46593</v>
      </c>
      <c r="S15176" t="s">
        <v>47701</v>
      </c>
      <c r="T15176" t="s">
        <v>48314</v>
      </c>
      <c r="U15176" t="s">
        <v>60954</v>
      </c>
      <c r="W15176" t="s">
        <v>46461</v>
      </c>
      <c r="X15176" t="s">
        <v>46594</v>
      </c>
    </row>
    <row r="15177" spans="1:24">
      <c r="A15177">
        <f>HYPERLINK("https://www.philgeps.gov.ph/GEPSNONPILOT/Tender/SplashBidNoticeAbstractUI.aspx?menuIndex=3&amp;refID=7023183&amp;Result=3","7023183")</f>
        <v>0</v>
      </c>
      <c r="B15177" t="s">
        <v>3474</v>
      </c>
      <c r="C15177" t="s">
        <v>17976</v>
      </c>
      <c r="E15177" t="s">
        <v>31936</v>
      </c>
      <c r="F15177" t="s">
        <v>32664</v>
      </c>
      <c r="G15177" t="s">
        <v>32672</v>
      </c>
      <c r="H15177" t="s">
        <v>12635</v>
      </c>
      <c r="I15177" t="s">
        <v>32754</v>
      </c>
      <c r="J15177" t="s">
        <v>41797</v>
      </c>
      <c r="K15177" t="s">
        <v>42283</v>
      </c>
      <c r="M15177" t="s">
        <v>46469</v>
      </c>
      <c r="N15177" t="s">
        <v>46569</v>
      </c>
      <c r="O15177" t="s">
        <v>46570</v>
      </c>
      <c r="Q15177">
        <v>8</v>
      </c>
      <c r="R15177" t="s">
        <v>46593</v>
      </c>
      <c r="S15177" t="s">
        <v>47722</v>
      </c>
      <c r="T15177" t="s">
        <v>48249</v>
      </c>
      <c r="U15177" t="s">
        <v>51342</v>
      </c>
      <c r="W15177" t="s">
        <v>46469</v>
      </c>
      <c r="X15177" t="s">
        <v>46594</v>
      </c>
    </row>
    <row r="15178" spans="1:24">
      <c r="A15178">
        <f>HYPERLINK("https://www.philgeps.gov.ph/GEPSNONPILOT/Tender/SplashBidNoticeAbstractUI.aspx?menuIndex=3&amp;refID=7023076&amp;Result=3","7023076")</f>
        <v>0</v>
      </c>
      <c r="B15178" t="s">
        <v>502</v>
      </c>
      <c r="C15178" t="s">
        <v>17977</v>
      </c>
      <c r="D15178" t="s">
        <v>18782</v>
      </c>
      <c r="E15178" t="s">
        <v>31937</v>
      </c>
      <c r="F15178" t="s">
        <v>32664</v>
      </c>
      <c r="G15178" t="s">
        <v>32672</v>
      </c>
      <c r="H15178" t="s">
        <v>32683</v>
      </c>
      <c r="I15178" t="s">
        <v>10627</v>
      </c>
      <c r="J15178" t="s">
        <v>41798</v>
      </c>
      <c r="K15178" t="s">
        <v>42305</v>
      </c>
      <c r="M15178" t="s">
        <v>43078</v>
      </c>
      <c r="N15178" t="s">
        <v>46569</v>
      </c>
      <c r="O15178" t="s">
        <v>46570</v>
      </c>
      <c r="Q15178">
        <v>0</v>
      </c>
      <c r="R15178" t="s">
        <v>46593</v>
      </c>
      <c r="S15178" t="s">
        <v>47723</v>
      </c>
      <c r="T15178" t="s">
        <v>48448</v>
      </c>
      <c r="U15178" t="s">
        <v>60955</v>
      </c>
      <c r="W15178" t="s">
        <v>43078</v>
      </c>
      <c r="X15178" t="s">
        <v>46594</v>
      </c>
    </row>
    <row r="15179" spans="1:24">
      <c r="A15179">
        <f>HYPERLINK("https://www.philgeps.gov.ph/GEPSNONPILOT/Tender/SplashBidNoticeAbstractUI.aspx?menuIndex=3&amp;refID=7026705&amp;Result=3","7026705")</f>
        <v>0</v>
      </c>
      <c r="B15179" t="s">
        <v>69</v>
      </c>
      <c r="C15179" t="s">
        <v>17978</v>
      </c>
      <c r="D15179" t="s">
        <v>18784</v>
      </c>
      <c r="E15179" t="s">
        <v>31938</v>
      </c>
      <c r="F15179" t="s">
        <v>32664</v>
      </c>
      <c r="G15179" t="s">
        <v>32672</v>
      </c>
      <c r="H15179" t="s">
        <v>32683</v>
      </c>
      <c r="I15179" t="s">
        <v>10627</v>
      </c>
      <c r="J15179" t="s">
        <v>41799</v>
      </c>
      <c r="K15179" t="s">
        <v>42308</v>
      </c>
      <c r="M15179" t="s">
        <v>42632</v>
      </c>
      <c r="N15179" t="s">
        <v>46569</v>
      </c>
      <c r="O15179" t="s">
        <v>46570</v>
      </c>
      <c r="P15179">
        <v>0</v>
      </c>
      <c r="Q15179">
        <v>72</v>
      </c>
      <c r="R15179" t="s">
        <v>46592</v>
      </c>
      <c r="S15179" t="s">
        <v>47652</v>
      </c>
      <c r="T15179" t="s">
        <v>48449</v>
      </c>
      <c r="U15179" t="s">
        <v>60956</v>
      </c>
      <c r="W15179" t="s">
        <v>42632</v>
      </c>
      <c r="X15179" t="s">
        <v>46593</v>
      </c>
    </row>
    <row r="15180" spans="1:24">
      <c r="A15180">
        <f>HYPERLINK("https://www.philgeps.gov.ph/GEPSNONPILOT/Tender/SplashBidNoticeAbstractUI.aspx?menuIndex=3&amp;refID=7023026&amp;Result=3","7023026")</f>
        <v>0</v>
      </c>
      <c r="B15180" t="s">
        <v>909</v>
      </c>
      <c r="C15180" t="s">
        <v>17979</v>
      </c>
      <c r="D15180" t="s">
        <v>18838</v>
      </c>
      <c r="E15180" t="s">
        <v>31939</v>
      </c>
      <c r="F15180" t="s">
        <v>32664</v>
      </c>
      <c r="G15180" t="s">
        <v>32672</v>
      </c>
      <c r="H15180" t="s">
        <v>32683</v>
      </c>
      <c r="I15180" t="s">
        <v>10627</v>
      </c>
      <c r="J15180" t="s">
        <v>41800</v>
      </c>
      <c r="K15180" t="s">
        <v>42570</v>
      </c>
      <c r="M15180" t="s">
        <v>43515</v>
      </c>
      <c r="N15180" t="s">
        <v>46569</v>
      </c>
      <c r="O15180" t="s">
        <v>46570</v>
      </c>
      <c r="Q15180">
        <v>18</v>
      </c>
      <c r="R15180" t="s">
        <v>46593</v>
      </c>
      <c r="S15180" t="s">
        <v>47724</v>
      </c>
      <c r="T15180" t="s">
        <v>48287</v>
      </c>
      <c r="U15180" t="s">
        <v>60957</v>
      </c>
      <c r="V15180" t="s">
        <v>63316</v>
      </c>
      <c r="W15180" t="s">
        <v>43515</v>
      </c>
      <c r="X15180" t="s">
        <v>46594</v>
      </c>
    </row>
    <row r="15181" spans="1:24">
      <c r="A15181">
        <f>HYPERLINK("https://www.philgeps.gov.ph/GEPSNONPILOT/Tender/SplashBidNoticeAbstractUI.aspx?menuIndex=3&amp;refID=7022962&amp;Result=3","7022962")</f>
        <v>0</v>
      </c>
      <c r="B15181" t="s">
        <v>773</v>
      </c>
      <c r="C15181" t="s">
        <v>17980</v>
      </c>
      <c r="D15181" t="s">
        <v>18821</v>
      </c>
      <c r="E15181" t="s">
        <v>31935</v>
      </c>
      <c r="F15181" t="s">
        <v>32664</v>
      </c>
      <c r="G15181" t="s">
        <v>32672</v>
      </c>
      <c r="H15181" t="s">
        <v>12635</v>
      </c>
      <c r="I15181" t="s">
        <v>32706</v>
      </c>
      <c r="J15181" t="s">
        <v>32865</v>
      </c>
      <c r="K15181" t="s">
        <v>42284</v>
      </c>
      <c r="M15181" t="s">
        <v>46461</v>
      </c>
      <c r="N15181" t="s">
        <v>46569</v>
      </c>
      <c r="O15181" t="s">
        <v>46570</v>
      </c>
      <c r="P15181">
        <v>0</v>
      </c>
      <c r="Q15181">
        <v>0</v>
      </c>
      <c r="R15181" t="s">
        <v>46593</v>
      </c>
      <c r="S15181" t="s">
        <v>47701</v>
      </c>
      <c r="T15181" t="s">
        <v>48314</v>
      </c>
      <c r="U15181" t="s">
        <v>60954</v>
      </c>
      <c r="W15181" t="s">
        <v>46461</v>
      </c>
      <c r="X15181" t="s">
        <v>46594</v>
      </c>
    </row>
    <row r="15182" spans="1:24">
      <c r="A15182">
        <f>HYPERLINK("https://www.philgeps.gov.ph/GEPSNONPILOT/Tender/SplashBidNoticeAbstractUI.aspx?menuIndex=3&amp;refID=7022950&amp;Result=3","7022950")</f>
        <v>0</v>
      </c>
      <c r="B15182" t="s">
        <v>3474</v>
      </c>
      <c r="C15182" t="s">
        <v>17981</v>
      </c>
      <c r="E15182" t="s">
        <v>31940</v>
      </c>
      <c r="F15182" t="s">
        <v>32664</v>
      </c>
      <c r="G15182" t="s">
        <v>32672</v>
      </c>
      <c r="H15182" t="s">
        <v>12635</v>
      </c>
      <c r="I15182" t="s">
        <v>8958</v>
      </c>
      <c r="J15182" t="s">
        <v>41208</v>
      </c>
      <c r="K15182" t="s">
        <v>42283</v>
      </c>
      <c r="M15182" t="s">
        <v>46469</v>
      </c>
      <c r="N15182" t="s">
        <v>46569</v>
      </c>
      <c r="O15182" t="s">
        <v>46570</v>
      </c>
      <c r="Q15182">
        <v>23</v>
      </c>
      <c r="R15182" t="s">
        <v>46593</v>
      </c>
      <c r="S15182" t="s">
        <v>47725</v>
      </c>
      <c r="T15182" t="s">
        <v>48249</v>
      </c>
      <c r="U15182" t="s">
        <v>51342</v>
      </c>
      <c r="W15182" t="s">
        <v>46469</v>
      </c>
      <c r="X15182" t="s">
        <v>46594</v>
      </c>
    </row>
    <row r="15183" spans="1:24">
      <c r="A15183">
        <f>HYPERLINK("https://www.philgeps.gov.ph/GEPSNONPILOT/Tender/SplashBidNoticeAbstractUI.aspx?menuIndex=3&amp;refID=7022864&amp;Result=3","7022864")</f>
        <v>0</v>
      </c>
      <c r="B15183" t="s">
        <v>2739</v>
      </c>
      <c r="C15183" t="s">
        <v>17982</v>
      </c>
      <c r="E15183" t="s">
        <v>31941</v>
      </c>
      <c r="F15183" t="s">
        <v>32664</v>
      </c>
      <c r="G15183" t="s">
        <v>32672</v>
      </c>
      <c r="H15183" t="s">
        <v>12635</v>
      </c>
      <c r="I15183" t="s">
        <v>32684</v>
      </c>
      <c r="J15183" t="s">
        <v>41801</v>
      </c>
      <c r="K15183" t="s">
        <v>42283</v>
      </c>
      <c r="M15183" t="s">
        <v>45573</v>
      </c>
      <c r="N15183" t="s">
        <v>46569</v>
      </c>
      <c r="O15183" t="s">
        <v>46570</v>
      </c>
      <c r="P15183">
        <v>0</v>
      </c>
      <c r="Q15183">
        <v>17</v>
      </c>
      <c r="R15183" t="s">
        <v>46593</v>
      </c>
      <c r="S15183" t="s">
        <v>47701</v>
      </c>
      <c r="T15183" t="s">
        <v>48366</v>
      </c>
      <c r="U15183" t="s">
        <v>60958</v>
      </c>
      <c r="V15183" t="s">
        <v>63317</v>
      </c>
      <c r="W15183" t="s">
        <v>63600</v>
      </c>
      <c r="X15183" t="s">
        <v>46594</v>
      </c>
    </row>
    <row r="15184" spans="1:24">
      <c r="A15184">
        <f>HYPERLINK("https://www.philgeps.gov.ph/GEPSNONPILOT/Tender/SplashBidNoticeAbstractUI.aspx?menuIndex=3&amp;refID=7025934&amp;Result=3","7025934")</f>
        <v>0</v>
      </c>
      <c r="B15184" t="s">
        <v>2946</v>
      </c>
      <c r="C15184" t="s">
        <v>17983</v>
      </c>
      <c r="D15184" t="s">
        <v>18786</v>
      </c>
      <c r="E15184" t="s">
        <v>21522</v>
      </c>
      <c r="F15184" t="s">
        <v>32664</v>
      </c>
      <c r="G15184" t="s">
        <v>32672</v>
      </c>
      <c r="H15184" t="s">
        <v>32683</v>
      </c>
      <c r="I15184" t="s">
        <v>10627</v>
      </c>
      <c r="J15184" t="s">
        <v>41802</v>
      </c>
      <c r="K15184" t="s">
        <v>42311</v>
      </c>
      <c r="M15184" t="s">
        <v>45800</v>
      </c>
      <c r="N15184" t="s">
        <v>46569</v>
      </c>
      <c r="O15184" t="s">
        <v>46570</v>
      </c>
      <c r="P15184">
        <v>0</v>
      </c>
      <c r="Q15184">
        <v>0</v>
      </c>
      <c r="R15184" t="s">
        <v>46592</v>
      </c>
      <c r="S15184" t="s">
        <v>47652</v>
      </c>
      <c r="T15184" t="s">
        <v>48449</v>
      </c>
      <c r="U15184" t="s">
        <v>57496</v>
      </c>
      <c r="W15184" t="s">
        <v>45800</v>
      </c>
      <c r="X15184" t="s">
        <v>46593</v>
      </c>
    </row>
    <row r="15185" spans="1:24">
      <c r="A15185">
        <f>HYPERLINK("https://www.philgeps.gov.ph/GEPSNONPILOT/Tender/SplashBidNoticeAbstractUI.aspx?menuIndex=3&amp;refID=7022776&amp;Result=3","7022776")</f>
        <v>0</v>
      </c>
      <c r="B15185" t="s">
        <v>218</v>
      </c>
      <c r="C15185" t="s">
        <v>17984</v>
      </c>
      <c r="D15185" t="s">
        <v>18792</v>
      </c>
      <c r="E15185" t="s">
        <v>22529</v>
      </c>
      <c r="F15185" t="s">
        <v>32664</v>
      </c>
      <c r="G15185" t="s">
        <v>32672</v>
      </c>
      <c r="H15185" t="s">
        <v>12635</v>
      </c>
      <c r="I15185" t="s">
        <v>9486</v>
      </c>
      <c r="J15185" t="s">
        <v>41803</v>
      </c>
      <c r="K15185" t="s">
        <v>42281</v>
      </c>
      <c r="M15185" t="s">
        <v>42782</v>
      </c>
      <c r="N15185" t="s">
        <v>46569</v>
      </c>
      <c r="O15185" t="s">
        <v>46570</v>
      </c>
      <c r="P15185">
        <v>0</v>
      </c>
      <c r="Q15185">
        <v>5</v>
      </c>
      <c r="R15185" t="s">
        <v>46593</v>
      </c>
      <c r="S15185" t="s">
        <v>47701</v>
      </c>
      <c r="T15185" t="s">
        <v>48448</v>
      </c>
      <c r="U15185" t="s">
        <v>60959</v>
      </c>
      <c r="W15185" t="s">
        <v>42782</v>
      </c>
      <c r="X15185" t="s">
        <v>46594</v>
      </c>
    </row>
    <row r="15186" spans="1:24">
      <c r="A15186">
        <f>HYPERLINK("https://www.philgeps.gov.ph/GEPSNONPILOT/Tender/SplashBidNoticeAbstractUI.aspx?menuIndex=3&amp;refID=7026878&amp;Result=3","7026878")</f>
        <v>0</v>
      </c>
      <c r="B15186" t="s">
        <v>2794</v>
      </c>
      <c r="C15186" t="s">
        <v>17985</v>
      </c>
      <c r="D15186" t="s">
        <v>18797</v>
      </c>
      <c r="E15186" t="s">
        <v>31942</v>
      </c>
      <c r="F15186" t="s">
        <v>32664</v>
      </c>
      <c r="G15186" t="s">
        <v>32672</v>
      </c>
      <c r="H15186" t="s">
        <v>32683</v>
      </c>
      <c r="I15186" t="s">
        <v>10627</v>
      </c>
      <c r="J15186" t="s">
        <v>32981</v>
      </c>
      <c r="K15186" t="s">
        <v>42285</v>
      </c>
      <c r="M15186" t="s">
        <v>45638</v>
      </c>
      <c r="N15186" t="s">
        <v>46569</v>
      </c>
      <c r="O15186" t="s">
        <v>46570</v>
      </c>
      <c r="Q15186">
        <v>122</v>
      </c>
      <c r="R15186" t="s">
        <v>46592</v>
      </c>
      <c r="S15186" t="s">
        <v>47726</v>
      </c>
      <c r="T15186" t="s">
        <v>48244</v>
      </c>
      <c r="U15186" t="s">
        <v>56905</v>
      </c>
      <c r="V15186" t="s">
        <v>63318</v>
      </c>
      <c r="W15186" t="s">
        <v>63572</v>
      </c>
      <c r="X15186" t="s">
        <v>46593</v>
      </c>
    </row>
    <row r="15187" spans="1:24">
      <c r="A15187">
        <f>HYPERLINK("https://www.philgeps.gov.ph/GEPSNONPILOT/Tender/SplashBidNoticeAbstractUI.aspx?menuIndex=3&amp;refID=7022944&amp;Result=3","7022944")</f>
        <v>0</v>
      </c>
      <c r="B15187" t="s">
        <v>502</v>
      </c>
      <c r="C15187" t="s">
        <v>17986</v>
      </c>
      <c r="D15187" t="s">
        <v>18782</v>
      </c>
      <c r="E15187" t="s">
        <v>31943</v>
      </c>
      <c r="F15187" t="s">
        <v>32664</v>
      </c>
      <c r="G15187" t="s">
        <v>32672</v>
      </c>
      <c r="H15187" t="s">
        <v>32683</v>
      </c>
      <c r="I15187" t="s">
        <v>10627</v>
      </c>
      <c r="J15187" t="s">
        <v>41804</v>
      </c>
      <c r="K15187" t="s">
        <v>42311</v>
      </c>
      <c r="M15187" t="s">
        <v>43078</v>
      </c>
      <c r="N15187" t="s">
        <v>46569</v>
      </c>
      <c r="O15187" t="s">
        <v>46570</v>
      </c>
      <c r="Q15187">
        <v>1</v>
      </c>
      <c r="R15187" t="s">
        <v>46593</v>
      </c>
      <c r="S15187" t="s">
        <v>47727</v>
      </c>
      <c r="T15187" t="s">
        <v>48448</v>
      </c>
      <c r="U15187" t="s">
        <v>60960</v>
      </c>
      <c r="W15187" t="s">
        <v>43078</v>
      </c>
      <c r="X15187" t="s">
        <v>46594</v>
      </c>
    </row>
    <row r="15188" spans="1:24">
      <c r="A15188">
        <f>HYPERLINK("https://www.philgeps.gov.ph/GEPSNONPILOT/Tender/SplashBidNoticeAbstractUI.aspx?menuIndex=3&amp;refID=7022744&amp;Result=3","7022744")</f>
        <v>0</v>
      </c>
      <c r="B15188" t="s">
        <v>218</v>
      </c>
      <c r="C15188" t="s">
        <v>17987</v>
      </c>
      <c r="D15188" t="s">
        <v>18792</v>
      </c>
      <c r="E15188" t="s">
        <v>31944</v>
      </c>
      <c r="F15188" t="s">
        <v>32664</v>
      </c>
      <c r="G15188" t="s">
        <v>32672</v>
      </c>
      <c r="H15188" t="s">
        <v>12635</v>
      </c>
      <c r="I15188" t="s">
        <v>32747</v>
      </c>
      <c r="J15188" t="s">
        <v>41805</v>
      </c>
      <c r="K15188" t="s">
        <v>42298</v>
      </c>
      <c r="M15188" t="s">
        <v>42782</v>
      </c>
      <c r="N15188" t="s">
        <v>46569</v>
      </c>
      <c r="O15188" t="s">
        <v>46570</v>
      </c>
      <c r="P15188">
        <v>0</v>
      </c>
      <c r="Q15188">
        <v>1</v>
      </c>
      <c r="R15188" t="s">
        <v>46593</v>
      </c>
      <c r="S15188" t="s">
        <v>47701</v>
      </c>
      <c r="T15188" t="s">
        <v>48448</v>
      </c>
      <c r="U15188" t="s">
        <v>60961</v>
      </c>
      <c r="W15188" t="s">
        <v>42782</v>
      </c>
      <c r="X15188" t="s">
        <v>46594</v>
      </c>
    </row>
    <row r="15189" spans="1:24">
      <c r="A15189">
        <f>HYPERLINK("https://www.philgeps.gov.ph/GEPSNONPILOT/Tender/SplashBidNoticeAbstractUI.aspx?menuIndex=3&amp;refID=7022457&amp;Result=3","7022457")</f>
        <v>0</v>
      </c>
      <c r="B15189" t="s">
        <v>3201</v>
      </c>
      <c r="C15189" t="s">
        <v>17988</v>
      </c>
      <c r="D15189" t="s">
        <v>18785</v>
      </c>
      <c r="E15189" t="s">
        <v>31945</v>
      </c>
      <c r="F15189" t="s">
        <v>32664</v>
      </c>
      <c r="G15189" t="s">
        <v>32672</v>
      </c>
      <c r="H15189" t="s">
        <v>12635</v>
      </c>
      <c r="I15189" t="s">
        <v>9486</v>
      </c>
      <c r="J15189" t="s">
        <v>37794</v>
      </c>
      <c r="K15189" t="s">
        <v>42284</v>
      </c>
      <c r="M15189" t="s">
        <v>46118</v>
      </c>
      <c r="N15189" t="s">
        <v>46569</v>
      </c>
      <c r="O15189" t="s">
        <v>46570</v>
      </c>
      <c r="P15189">
        <v>0</v>
      </c>
      <c r="Q15189">
        <v>12</v>
      </c>
      <c r="R15189" t="s">
        <v>46593</v>
      </c>
      <c r="S15189" t="s">
        <v>47701</v>
      </c>
      <c r="T15189" t="s">
        <v>48219</v>
      </c>
      <c r="U15189" t="s">
        <v>60962</v>
      </c>
      <c r="W15189" t="s">
        <v>46118</v>
      </c>
      <c r="X15189" t="s">
        <v>46594</v>
      </c>
    </row>
    <row r="15190" spans="1:24">
      <c r="A15190">
        <f>HYPERLINK("https://www.philgeps.gov.ph/GEPSNONPILOT/Tender/SplashBidNoticeAbstractUI.aspx?menuIndex=3&amp;refID=7023192&amp;Result=3","7023192")</f>
        <v>0</v>
      </c>
      <c r="B15190" t="s">
        <v>502</v>
      </c>
      <c r="C15190" t="s">
        <v>17989</v>
      </c>
      <c r="D15190" t="s">
        <v>18782</v>
      </c>
      <c r="E15190" t="s">
        <v>31946</v>
      </c>
      <c r="F15190" t="s">
        <v>32664</v>
      </c>
      <c r="G15190" t="s">
        <v>32672</v>
      </c>
      <c r="H15190" t="s">
        <v>32683</v>
      </c>
      <c r="I15190" t="s">
        <v>10627</v>
      </c>
      <c r="J15190" t="s">
        <v>41806</v>
      </c>
      <c r="K15190" t="s">
        <v>42369</v>
      </c>
      <c r="M15190" t="s">
        <v>43078</v>
      </c>
      <c r="N15190" t="s">
        <v>46569</v>
      </c>
      <c r="O15190" t="s">
        <v>46570</v>
      </c>
      <c r="Q15190">
        <v>1</v>
      </c>
      <c r="R15190" t="s">
        <v>46593</v>
      </c>
      <c r="S15190" t="s">
        <v>47728</v>
      </c>
      <c r="T15190" t="s">
        <v>48448</v>
      </c>
      <c r="U15190" t="s">
        <v>60963</v>
      </c>
      <c r="W15190" t="s">
        <v>43078</v>
      </c>
      <c r="X15190" t="s">
        <v>46594</v>
      </c>
    </row>
    <row r="15191" spans="1:24">
      <c r="A15191">
        <f>HYPERLINK("https://www.philgeps.gov.ph/GEPSNONPILOT/Tender/SplashBidNoticeAbstractUI.aspx?menuIndex=3&amp;refID=7025920&amp;Result=3","7025920")</f>
        <v>0</v>
      </c>
      <c r="B15191" t="s">
        <v>1371</v>
      </c>
      <c r="C15191" t="s">
        <v>17990</v>
      </c>
      <c r="D15191" t="s">
        <v>18796</v>
      </c>
      <c r="E15191" t="s">
        <v>31947</v>
      </c>
      <c r="F15191" t="s">
        <v>32664</v>
      </c>
      <c r="G15191" t="s">
        <v>32672</v>
      </c>
      <c r="H15191" t="s">
        <v>12635</v>
      </c>
      <c r="I15191" t="s">
        <v>11464</v>
      </c>
      <c r="J15191" t="s">
        <v>37942</v>
      </c>
      <c r="K15191" t="s">
        <v>42311</v>
      </c>
      <c r="M15191" t="s">
        <v>44026</v>
      </c>
      <c r="N15191" t="s">
        <v>46569</v>
      </c>
      <c r="O15191" t="s">
        <v>46570</v>
      </c>
      <c r="P15191">
        <v>0</v>
      </c>
      <c r="Q15191">
        <v>3</v>
      </c>
      <c r="R15191" t="s">
        <v>46592</v>
      </c>
      <c r="S15191" t="s">
        <v>47652</v>
      </c>
      <c r="T15191" t="s">
        <v>48221</v>
      </c>
      <c r="U15191" t="s">
        <v>60964</v>
      </c>
      <c r="W15191" t="s">
        <v>44026</v>
      </c>
      <c r="X15191" t="s">
        <v>46593</v>
      </c>
    </row>
    <row r="15192" spans="1:24">
      <c r="A15192">
        <f>HYPERLINK("https://www.philgeps.gov.ph/GEPSNONPILOT/Tender/SplashBidNoticeAbstractUI.aspx?menuIndex=3&amp;refID=7023292&amp;Result=3","7023292")</f>
        <v>0</v>
      </c>
      <c r="B15192" t="s">
        <v>773</v>
      </c>
      <c r="C15192" t="s">
        <v>17991</v>
      </c>
      <c r="D15192" t="s">
        <v>18821</v>
      </c>
      <c r="E15192" t="s">
        <v>31935</v>
      </c>
      <c r="F15192" t="s">
        <v>32664</v>
      </c>
      <c r="G15192" t="s">
        <v>32672</v>
      </c>
      <c r="H15192" t="s">
        <v>32683</v>
      </c>
      <c r="I15192" t="s">
        <v>10627</v>
      </c>
      <c r="J15192" t="s">
        <v>33021</v>
      </c>
      <c r="K15192" t="s">
        <v>42284</v>
      </c>
      <c r="M15192" t="s">
        <v>46461</v>
      </c>
      <c r="N15192" t="s">
        <v>46569</v>
      </c>
      <c r="O15192" t="s">
        <v>46570</v>
      </c>
      <c r="P15192">
        <v>0</v>
      </c>
      <c r="Q15192">
        <v>1</v>
      </c>
      <c r="R15192" t="s">
        <v>46593</v>
      </c>
      <c r="S15192" t="s">
        <v>47701</v>
      </c>
      <c r="T15192" t="s">
        <v>48314</v>
      </c>
      <c r="U15192" t="s">
        <v>60954</v>
      </c>
      <c r="W15192" t="s">
        <v>46461</v>
      </c>
      <c r="X15192" t="s">
        <v>46594</v>
      </c>
    </row>
    <row r="15193" spans="1:24">
      <c r="A15193">
        <f>HYPERLINK("https://www.philgeps.gov.ph/GEPSNONPILOT/Tender/SplashBidNoticeAbstractUI.aspx?menuIndex=3&amp;refID=7022431&amp;Result=3","7022431")</f>
        <v>0</v>
      </c>
      <c r="B15193" t="s">
        <v>817</v>
      </c>
      <c r="C15193" t="s">
        <v>7564</v>
      </c>
      <c r="E15193" t="s">
        <v>31948</v>
      </c>
      <c r="F15193" t="s">
        <v>32664</v>
      </c>
      <c r="G15193" t="s">
        <v>32671</v>
      </c>
      <c r="H15193" t="s">
        <v>12635</v>
      </c>
      <c r="I15193" t="s">
        <v>32685</v>
      </c>
      <c r="J15193" t="s">
        <v>33160</v>
      </c>
      <c r="K15193" t="s">
        <v>42283</v>
      </c>
      <c r="M15193" t="s">
        <v>43412</v>
      </c>
      <c r="N15193" t="s">
        <v>46569</v>
      </c>
      <c r="O15193" t="s">
        <v>46570</v>
      </c>
      <c r="P15193">
        <v>0</v>
      </c>
      <c r="Q15193">
        <v>1</v>
      </c>
      <c r="R15193" t="s">
        <v>46593</v>
      </c>
      <c r="S15193" t="s">
        <v>47701</v>
      </c>
      <c r="T15193" t="s">
        <v>48394</v>
      </c>
      <c r="U15193" t="s">
        <v>51786</v>
      </c>
      <c r="W15193" t="s">
        <v>43412</v>
      </c>
      <c r="X15193" t="s">
        <v>46594</v>
      </c>
    </row>
    <row r="15194" spans="1:24">
      <c r="A15194">
        <f>HYPERLINK("https://www.philgeps.gov.ph/GEPSNONPILOT/Tender/SplashBidNoticeAbstractUI.aspx?menuIndex=3&amp;refID=7025541&amp;Result=3","7025541")</f>
        <v>0</v>
      </c>
      <c r="B15194" t="s">
        <v>56</v>
      </c>
      <c r="C15194" t="s">
        <v>17992</v>
      </c>
      <c r="D15194" t="s">
        <v>18805</v>
      </c>
      <c r="E15194" t="s">
        <v>31949</v>
      </c>
      <c r="F15194" t="s">
        <v>32664</v>
      </c>
      <c r="G15194" t="s">
        <v>32672</v>
      </c>
      <c r="H15194" t="s">
        <v>32683</v>
      </c>
      <c r="I15194" t="s">
        <v>10627</v>
      </c>
      <c r="J15194" t="s">
        <v>33886</v>
      </c>
      <c r="K15194" t="s">
        <v>42483</v>
      </c>
      <c r="M15194" t="s">
        <v>42618</v>
      </c>
      <c r="N15194" t="s">
        <v>46569</v>
      </c>
      <c r="O15194" t="s">
        <v>46570</v>
      </c>
      <c r="Q15194">
        <v>14</v>
      </c>
      <c r="R15194" t="s">
        <v>46592</v>
      </c>
      <c r="S15194" t="s">
        <v>47729</v>
      </c>
      <c r="T15194" t="s">
        <v>48221</v>
      </c>
      <c r="U15194" t="s">
        <v>60965</v>
      </c>
      <c r="W15194" t="s">
        <v>42618</v>
      </c>
      <c r="X15194" t="s">
        <v>46593</v>
      </c>
    </row>
    <row r="15195" spans="1:24">
      <c r="A15195">
        <f>HYPERLINK("https://www.philgeps.gov.ph/GEPSNONPILOT/Tender/SplashBidNoticeAbstractUI.aspx?menuIndex=3&amp;refID=7022165&amp;Result=3","7022165")</f>
        <v>0</v>
      </c>
      <c r="B15195" t="s">
        <v>828</v>
      </c>
      <c r="C15195" t="s">
        <v>17993</v>
      </c>
      <c r="D15195" t="s">
        <v>18806</v>
      </c>
      <c r="E15195" t="s">
        <v>31018</v>
      </c>
      <c r="F15195" t="s">
        <v>32664</v>
      </c>
      <c r="G15195" t="s">
        <v>32672</v>
      </c>
      <c r="H15195" t="s">
        <v>12635</v>
      </c>
      <c r="I15195" t="s">
        <v>4439</v>
      </c>
      <c r="J15195" t="s">
        <v>41807</v>
      </c>
      <c r="K15195" t="s">
        <v>42281</v>
      </c>
      <c r="M15195" t="s">
        <v>43423</v>
      </c>
      <c r="N15195" t="s">
        <v>46569</v>
      </c>
      <c r="O15195" t="s">
        <v>46570</v>
      </c>
      <c r="P15195">
        <v>0</v>
      </c>
      <c r="Q15195">
        <v>0</v>
      </c>
      <c r="R15195" t="s">
        <v>46593</v>
      </c>
      <c r="S15195" t="s">
        <v>47701</v>
      </c>
      <c r="T15195" t="s">
        <v>48224</v>
      </c>
      <c r="U15195" t="s">
        <v>60966</v>
      </c>
      <c r="V15195" t="s">
        <v>63319</v>
      </c>
      <c r="W15195" t="s">
        <v>43423</v>
      </c>
      <c r="X15195" t="s">
        <v>46594</v>
      </c>
    </row>
    <row r="15196" spans="1:24">
      <c r="A15196">
        <f>HYPERLINK("https://www.philgeps.gov.ph/GEPSNONPILOT/Tender/SplashBidNoticeAbstractUI.aspx?menuIndex=3&amp;refID=7025504&amp;Result=3","7025504")</f>
        <v>0</v>
      </c>
      <c r="B15196" t="s">
        <v>133</v>
      </c>
      <c r="C15196" t="s">
        <v>17994</v>
      </c>
      <c r="D15196" t="s">
        <v>18832</v>
      </c>
      <c r="E15196" t="s">
        <v>31950</v>
      </c>
      <c r="F15196" t="s">
        <v>32664</v>
      </c>
      <c r="G15196" t="s">
        <v>32672</v>
      </c>
      <c r="H15196" t="s">
        <v>32682</v>
      </c>
      <c r="I15196" t="s">
        <v>9946</v>
      </c>
      <c r="J15196" t="s">
        <v>35119</v>
      </c>
      <c r="K15196" t="s">
        <v>42401</v>
      </c>
      <c r="M15196" t="s">
        <v>42697</v>
      </c>
      <c r="N15196" t="s">
        <v>46569</v>
      </c>
      <c r="O15196" t="s">
        <v>46570</v>
      </c>
      <c r="P15196">
        <v>0</v>
      </c>
      <c r="Q15196">
        <v>2</v>
      </c>
      <c r="R15196" t="s">
        <v>46592</v>
      </c>
      <c r="S15196" t="s">
        <v>47652</v>
      </c>
      <c r="T15196" t="s">
        <v>48293</v>
      </c>
      <c r="U15196" t="s">
        <v>60967</v>
      </c>
      <c r="W15196" t="s">
        <v>42697</v>
      </c>
      <c r="X15196" t="s">
        <v>46593</v>
      </c>
    </row>
    <row r="15197" spans="1:24">
      <c r="A15197">
        <f>HYPERLINK("https://www.philgeps.gov.ph/GEPSNONPILOT/Tender/SplashBidNoticeAbstractUI.aspx?menuIndex=3&amp;refID=7025430&amp;Result=3","7025430")</f>
        <v>0</v>
      </c>
      <c r="B15197" t="s">
        <v>2946</v>
      </c>
      <c r="C15197" t="s">
        <v>17995</v>
      </c>
      <c r="D15197" t="s">
        <v>18786</v>
      </c>
      <c r="E15197" t="s">
        <v>21598</v>
      </c>
      <c r="F15197" t="s">
        <v>32664</v>
      </c>
      <c r="G15197" t="s">
        <v>32672</v>
      </c>
      <c r="H15197" t="s">
        <v>32683</v>
      </c>
      <c r="I15197" t="s">
        <v>10627</v>
      </c>
      <c r="J15197" t="s">
        <v>41808</v>
      </c>
      <c r="K15197" t="s">
        <v>42311</v>
      </c>
      <c r="M15197" t="s">
        <v>45800</v>
      </c>
      <c r="N15197" t="s">
        <v>46569</v>
      </c>
      <c r="O15197" t="s">
        <v>46570</v>
      </c>
      <c r="P15197">
        <v>0</v>
      </c>
      <c r="Q15197">
        <v>0</v>
      </c>
      <c r="R15197" t="s">
        <v>46592</v>
      </c>
      <c r="S15197" t="s">
        <v>47652</v>
      </c>
      <c r="T15197" t="s">
        <v>48449</v>
      </c>
      <c r="U15197" t="s">
        <v>60968</v>
      </c>
      <c r="W15197" t="s">
        <v>45800</v>
      </c>
      <c r="X15197" t="s">
        <v>46593</v>
      </c>
    </row>
    <row r="15198" spans="1:24">
      <c r="A15198">
        <f>HYPERLINK("https://www.philgeps.gov.ph/GEPSNONPILOT/Tender/SplashBidNoticeAbstractUI.aspx?menuIndex=3&amp;refID=7025415&amp;Result=3","7025415")</f>
        <v>0</v>
      </c>
      <c r="B15198" t="s">
        <v>2638</v>
      </c>
      <c r="C15198" t="s">
        <v>17996</v>
      </c>
      <c r="D15198" t="s">
        <v>18865</v>
      </c>
      <c r="E15198" t="s">
        <v>31951</v>
      </c>
      <c r="F15198" t="s">
        <v>32664</v>
      </c>
      <c r="G15198" t="s">
        <v>32672</v>
      </c>
      <c r="H15198" t="s">
        <v>12635</v>
      </c>
      <c r="I15198" t="s">
        <v>8797</v>
      </c>
      <c r="J15198" t="s">
        <v>41809</v>
      </c>
      <c r="K15198" t="s">
        <v>42283</v>
      </c>
      <c r="M15198" t="s">
        <v>45458</v>
      </c>
      <c r="N15198" t="s">
        <v>46569</v>
      </c>
      <c r="O15198" t="s">
        <v>46570</v>
      </c>
      <c r="P15198">
        <v>0</v>
      </c>
      <c r="Q15198">
        <v>4</v>
      </c>
      <c r="R15198" t="s">
        <v>46592</v>
      </c>
      <c r="S15198" t="s">
        <v>47652</v>
      </c>
      <c r="T15198" t="s">
        <v>48314</v>
      </c>
      <c r="U15198" t="s">
        <v>60969</v>
      </c>
      <c r="W15198" t="s">
        <v>45458</v>
      </c>
      <c r="X15198" t="s">
        <v>46593</v>
      </c>
    </row>
    <row r="15199" spans="1:24">
      <c r="A15199">
        <f>HYPERLINK("https://www.philgeps.gov.ph/GEPSNONPILOT/Tender/SplashBidNoticeAbstractUI.aspx?menuIndex=3&amp;refID=7025524&amp;Result=3","7025524")</f>
        <v>0</v>
      </c>
      <c r="B15199" t="s">
        <v>1371</v>
      </c>
      <c r="C15199" t="s">
        <v>17997</v>
      </c>
      <c r="D15199" t="s">
        <v>18796</v>
      </c>
      <c r="E15199" t="s">
        <v>31952</v>
      </c>
      <c r="F15199" t="s">
        <v>32664</v>
      </c>
      <c r="G15199" t="s">
        <v>32672</v>
      </c>
      <c r="H15199" t="s">
        <v>12635</v>
      </c>
      <c r="I15199" t="s">
        <v>32761</v>
      </c>
      <c r="J15199" t="s">
        <v>41810</v>
      </c>
      <c r="K15199" t="s">
        <v>42281</v>
      </c>
      <c r="M15199" t="s">
        <v>44026</v>
      </c>
      <c r="N15199" t="s">
        <v>46569</v>
      </c>
      <c r="O15199" t="s">
        <v>46570</v>
      </c>
      <c r="P15199">
        <v>0</v>
      </c>
      <c r="Q15199">
        <v>2</v>
      </c>
      <c r="R15199" t="s">
        <v>46592</v>
      </c>
      <c r="S15199" t="s">
        <v>47652</v>
      </c>
      <c r="T15199" t="s">
        <v>48221</v>
      </c>
      <c r="U15199" t="s">
        <v>60970</v>
      </c>
      <c r="W15199" t="s">
        <v>44026</v>
      </c>
      <c r="X15199" t="s">
        <v>46593</v>
      </c>
    </row>
    <row r="15200" spans="1:24">
      <c r="A15200">
        <f>HYPERLINK("https://www.philgeps.gov.ph/GEPSNONPILOT/Tender/SplashBidNoticeAbstractUI.aspx?menuIndex=3&amp;refID=7022322&amp;Result=3","7022322")</f>
        <v>0</v>
      </c>
      <c r="B15200" t="s">
        <v>828</v>
      </c>
      <c r="C15200" t="s">
        <v>11498</v>
      </c>
      <c r="D15200" t="s">
        <v>18806</v>
      </c>
      <c r="E15200" t="s">
        <v>31953</v>
      </c>
      <c r="F15200" t="s">
        <v>32664</v>
      </c>
      <c r="G15200" t="s">
        <v>32672</v>
      </c>
      <c r="H15200" t="s">
        <v>12635</v>
      </c>
      <c r="I15200" t="s">
        <v>4439</v>
      </c>
      <c r="J15200" t="s">
        <v>41811</v>
      </c>
      <c r="K15200" t="s">
        <v>42281</v>
      </c>
      <c r="M15200" t="s">
        <v>43423</v>
      </c>
      <c r="N15200" t="s">
        <v>46569</v>
      </c>
      <c r="O15200" t="s">
        <v>46570</v>
      </c>
      <c r="P15200">
        <v>0</v>
      </c>
      <c r="Q15200">
        <v>0</v>
      </c>
      <c r="R15200" t="s">
        <v>46593</v>
      </c>
      <c r="S15200" t="s">
        <v>47701</v>
      </c>
      <c r="T15200" t="s">
        <v>48224</v>
      </c>
      <c r="U15200" t="s">
        <v>60971</v>
      </c>
      <c r="V15200" t="s">
        <v>63319</v>
      </c>
      <c r="W15200" t="s">
        <v>43423</v>
      </c>
      <c r="X15200" t="s">
        <v>46594</v>
      </c>
    </row>
    <row r="15201" spans="1:24">
      <c r="A15201">
        <f>HYPERLINK("https://www.philgeps.gov.ph/GEPSNONPILOT/Tender/SplashBidNoticeAbstractUI.aspx?menuIndex=3&amp;refID=7025094&amp;Result=3","7025094")</f>
        <v>0</v>
      </c>
      <c r="B15201" t="s">
        <v>1163</v>
      </c>
      <c r="C15201" t="s">
        <v>17998</v>
      </c>
      <c r="D15201" t="s">
        <v>18847</v>
      </c>
      <c r="E15201" t="s">
        <v>31954</v>
      </c>
      <c r="F15201" t="s">
        <v>32664</v>
      </c>
      <c r="G15201" t="s">
        <v>32672</v>
      </c>
      <c r="H15201" t="s">
        <v>12635</v>
      </c>
      <c r="I15201" t="s">
        <v>4439</v>
      </c>
      <c r="J15201" t="s">
        <v>41812</v>
      </c>
      <c r="K15201" t="s">
        <v>42289</v>
      </c>
      <c r="M15201" t="s">
        <v>43796</v>
      </c>
      <c r="N15201" t="s">
        <v>46569</v>
      </c>
      <c r="O15201" t="s">
        <v>46570</v>
      </c>
      <c r="Q15201">
        <v>0</v>
      </c>
      <c r="R15201" t="s">
        <v>46592</v>
      </c>
      <c r="S15201" t="s">
        <v>47730</v>
      </c>
      <c r="T15201" t="s">
        <v>48244</v>
      </c>
      <c r="U15201" t="s">
        <v>60972</v>
      </c>
      <c r="W15201" t="s">
        <v>43796</v>
      </c>
      <c r="X15201" t="s">
        <v>46593</v>
      </c>
    </row>
    <row r="15202" spans="1:24">
      <c r="A15202">
        <f>HYPERLINK("https://www.philgeps.gov.ph/GEPSNONPILOT/Tender/SplashBidNoticeAbstractUI.aspx?menuIndex=3&amp;refID=7025079&amp;Result=3","7025079")</f>
        <v>0</v>
      </c>
      <c r="B15202" t="s">
        <v>1786</v>
      </c>
      <c r="C15202" t="s">
        <v>17999</v>
      </c>
      <c r="D15202" t="s">
        <v>18814</v>
      </c>
      <c r="E15202" t="s">
        <v>31955</v>
      </c>
      <c r="F15202" t="s">
        <v>32665</v>
      </c>
      <c r="G15202" t="s">
        <v>32672</v>
      </c>
      <c r="H15202" t="s">
        <v>12635</v>
      </c>
      <c r="I15202" t="s">
        <v>32684</v>
      </c>
      <c r="J15202" t="s">
        <v>32981</v>
      </c>
      <c r="K15202" t="s">
        <v>42298</v>
      </c>
      <c r="M15202" t="s">
        <v>44488</v>
      </c>
      <c r="N15202" t="s">
        <v>46569</v>
      </c>
      <c r="O15202" t="s">
        <v>46570</v>
      </c>
      <c r="Q15202">
        <v>16</v>
      </c>
      <c r="R15202" t="s">
        <v>46592</v>
      </c>
      <c r="S15202" t="s">
        <v>47731</v>
      </c>
      <c r="T15202" t="s">
        <v>48420</v>
      </c>
      <c r="U15202" t="s">
        <v>60973</v>
      </c>
      <c r="W15202" t="s">
        <v>44488</v>
      </c>
      <c r="X15202" t="s">
        <v>46593</v>
      </c>
    </row>
    <row r="15203" spans="1:24">
      <c r="A15203">
        <f>HYPERLINK("https://www.philgeps.gov.ph/GEPSNONPILOT/Tender/SplashBidNoticeAbstractUI.aspx?menuIndex=3&amp;refID=7025049&amp;Result=3","7025049")</f>
        <v>0</v>
      </c>
      <c r="B15203" t="s">
        <v>656</v>
      </c>
      <c r="C15203" t="s">
        <v>18000</v>
      </c>
      <c r="D15203" t="s">
        <v>18801</v>
      </c>
      <c r="E15203" t="s">
        <v>31956</v>
      </c>
      <c r="F15203" t="s">
        <v>32664</v>
      </c>
      <c r="G15203" t="s">
        <v>32672</v>
      </c>
      <c r="H15203" t="s">
        <v>12635</v>
      </c>
      <c r="I15203" t="s">
        <v>32721</v>
      </c>
      <c r="J15203" t="s">
        <v>34559</v>
      </c>
      <c r="K15203" t="s">
        <v>42283</v>
      </c>
      <c r="M15203" t="s">
        <v>43243</v>
      </c>
      <c r="N15203" t="s">
        <v>46569</v>
      </c>
      <c r="O15203" t="s">
        <v>46570</v>
      </c>
      <c r="P15203">
        <v>0</v>
      </c>
      <c r="Q15203">
        <v>1</v>
      </c>
      <c r="R15203" t="s">
        <v>46592</v>
      </c>
      <c r="S15203" t="s">
        <v>47652</v>
      </c>
      <c r="T15203" t="s">
        <v>48373</v>
      </c>
      <c r="U15203" t="s">
        <v>60848</v>
      </c>
      <c r="W15203" t="s">
        <v>43243</v>
      </c>
      <c r="X15203" t="s">
        <v>46593</v>
      </c>
    </row>
    <row r="15204" spans="1:24">
      <c r="A15204">
        <f>HYPERLINK("https://www.philgeps.gov.ph/GEPSNONPILOT/Tender/SplashBidNoticeAbstractUI.aspx?menuIndex=3&amp;refID=7024957&amp;Result=3","7024957")</f>
        <v>0</v>
      </c>
      <c r="B15204" t="s">
        <v>2447</v>
      </c>
      <c r="C15204" t="s">
        <v>18001</v>
      </c>
      <c r="D15204" t="s">
        <v>18858</v>
      </c>
      <c r="E15204" t="s">
        <v>25251</v>
      </c>
      <c r="F15204" t="s">
        <v>32664</v>
      </c>
      <c r="G15204" t="s">
        <v>32672</v>
      </c>
      <c r="H15204" t="s">
        <v>32683</v>
      </c>
      <c r="I15204" t="s">
        <v>10627</v>
      </c>
      <c r="J15204" t="s">
        <v>34559</v>
      </c>
      <c r="K15204" t="s">
        <v>42290</v>
      </c>
      <c r="M15204" t="s">
        <v>45240</v>
      </c>
      <c r="N15204" t="s">
        <v>46569</v>
      </c>
      <c r="O15204" t="s">
        <v>46570</v>
      </c>
      <c r="P15204">
        <v>0</v>
      </c>
      <c r="Q15204">
        <v>0</v>
      </c>
      <c r="R15204" t="s">
        <v>46592</v>
      </c>
      <c r="S15204" t="s">
        <v>47652</v>
      </c>
      <c r="T15204" t="s">
        <v>48225</v>
      </c>
      <c r="U15204" t="s">
        <v>60974</v>
      </c>
      <c r="W15204" t="s">
        <v>45240</v>
      </c>
      <c r="X15204" t="s">
        <v>46593</v>
      </c>
    </row>
    <row r="15205" spans="1:24">
      <c r="A15205">
        <f>HYPERLINK("https://www.philgeps.gov.ph/GEPSNONPILOT/Tender/SplashBidNoticeAbstractUI.aspx?menuIndex=3&amp;refID=7024984&amp;Result=3","7024984")</f>
        <v>0</v>
      </c>
      <c r="B15205" t="s">
        <v>2697</v>
      </c>
      <c r="C15205" t="s">
        <v>18002</v>
      </c>
      <c r="D15205" t="s">
        <v>18791</v>
      </c>
      <c r="E15205" t="s">
        <v>31957</v>
      </c>
      <c r="F15205" t="s">
        <v>32664</v>
      </c>
      <c r="G15205" t="s">
        <v>32672</v>
      </c>
      <c r="H15205" t="s">
        <v>32683</v>
      </c>
      <c r="I15205" t="s">
        <v>10627</v>
      </c>
      <c r="J15205" t="s">
        <v>41813</v>
      </c>
      <c r="K15205" t="s">
        <v>42283</v>
      </c>
      <c r="M15205" t="s">
        <v>45523</v>
      </c>
      <c r="N15205" t="s">
        <v>46569</v>
      </c>
      <c r="O15205" t="s">
        <v>46570</v>
      </c>
      <c r="P15205">
        <v>0</v>
      </c>
      <c r="Q15205">
        <v>3</v>
      </c>
      <c r="R15205" t="s">
        <v>46592</v>
      </c>
      <c r="S15205" t="s">
        <v>47652</v>
      </c>
      <c r="T15205" t="s">
        <v>48314</v>
      </c>
      <c r="U15205" t="s">
        <v>60975</v>
      </c>
      <c r="W15205" t="s">
        <v>45523</v>
      </c>
      <c r="X15205" t="s">
        <v>46593</v>
      </c>
    </row>
    <row r="15206" spans="1:24">
      <c r="A15206">
        <f>HYPERLINK("https://www.philgeps.gov.ph/GEPSNONPILOT/Tender/SplashBidNoticeAbstractUI.aspx?menuIndex=3&amp;refID=7025411&amp;Result=3","7025411")</f>
        <v>0</v>
      </c>
      <c r="B15206" t="s">
        <v>2716</v>
      </c>
      <c r="C15206" t="s">
        <v>18003</v>
      </c>
      <c r="D15206" t="s">
        <v>18788</v>
      </c>
      <c r="E15206" t="s">
        <v>31958</v>
      </c>
      <c r="F15206" t="s">
        <v>32664</v>
      </c>
      <c r="G15206" t="s">
        <v>32672</v>
      </c>
      <c r="H15206" t="s">
        <v>32683</v>
      </c>
      <c r="I15206" t="s">
        <v>10627</v>
      </c>
      <c r="J15206" t="s">
        <v>32962</v>
      </c>
      <c r="K15206" t="s">
        <v>42283</v>
      </c>
      <c r="M15206" t="s">
        <v>45542</v>
      </c>
      <c r="N15206" t="s">
        <v>46569</v>
      </c>
      <c r="O15206" t="s">
        <v>46570</v>
      </c>
      <c r="P15206">
        <v>0</v>
      </c>
      <c r="Q15206">
        <v>3</v>
      </c>
      <c r="R15206" t="s">
        <v>46592</v>
      </c>
      <c r="S15206" t="s">
        <v>47652</v>
      </c>
      <c r="T15206" t="s">
        <v>48244</v>
      </c>
      <c r="U15206" t="s">
        <v>60976</v>
      </c>
      <c r="V15206" t="s">
        <v>61668</v>
      </c>
      <c r="W15206" t="s">
        <v>45542</v>
      </c>
      <c r="X15206" t="s">
        <v>46593</v>
      </c>
    </row>
    <row r="15207" spans="1:24">
      <c r="A15207">
        <f>HYPERLINK("https://www.philgeps.gov.ph/GEPSNONPILOT/Tender/SplashBidNoticeAbstractUI.aspx?menuIndex=3&amp;refID=7022747&amp;Result=3","7022747")</f>
        <v>0</v>
      </c>
      <c r="B15207" t="s">
        <v>844</v>
      </c>
      <c r="C15207" t="s">
        <v>18004</v>
      </c>
      <c r="D15207" t="s">
        <v>18805</v>
      </c>
      <c r="E15207" t="s">
        <v>25681</v>
      </c>
      <c r="F15207" t="s">
        <v>32664</v>
      </c>
      <c r="G15207" t="s">
        <v>32672</v>
      </c>
      <c r="H15207" t="s">
        <v>12635</v>
      </c>
      <c r="I15207" t="s">
        <v>7429</v>
      </c>
      <c r="J15207" t="s">
        <v>34247</v>
      </c>
      <c r="K15207" t="s">
        <v>42306</v>
      </c>
      <c r="M15207" t="s">
        <v>43439</v>
      </c>
      <c r="N15207" t="s">
        <v>46569</v>
      </c>
      <c r="O15207" t="s">
        <v>46570</v>
      </c>
      <c r="P15207">
        <v>0</v>
      </c>
      <c r="Q15207">
        <v>0</v>
      </c>
      <c r="R15207" t="s">
        <v>46593</v>
      </c>
      <c r="S15207" t="s">
        <v>47701</v>
      </c>
      <c r="T15207" t="s">
        <v>48427</v>
      </c>
      <c r="U15207" t="s">
        <v>60977</v>
      </c>
      <c r="W15207" t="s">
        <v>43439</v>
      </c>
      <c r="X15207" t="s">
        <v>46594</v>
      </c>
    </row>
    <row r="15208" spans="1:24">
      <c r="A15208">
        <f>HYPERLINK("https://www.philgeps.gov.ph/GEPSNONPILOT/Tender/SplashBidNoticeAbstractUI.aspx?menuIndex=3&amp;refID=7025495&amp;Result=3","7025495")</f>
        <v>0</v>
      </c>
      <c r="B15208" t="s">
        <v>2946</v>
      </c>
      <c r="C15208" t="s">
        <v>18005</v>
      </c>
      <c r="D15208" t="s">
        <v>18786</v>
      </c>
      <c r="E15208" t="s">
        <v>20983</v>
      </c>
      <c r="F15208" t="s">
        <v>32664</v>
      </c>
      <c r="G15208" t="s">
        <v>32672</v>
      </c>
      <c r="H15208" t="s">
        <v>32683</v>
      </c>
      <c r="I15208" t="s">
        <v>10627</v>
      </c>
      <c r="J15208" t="s">
        <v>41814</v>
      </c>
      <c r="K15208" t="s">
        <v>42391</v>
      </c>
      <c r="M15208" t="s">
        <v>45800</v>
      </c>
      <c r="N15208" t="s">
        <v>46569</v>
      </c>
      <c r="O15208" t="s">
        <v>46570</v>
      </c>
      <c r="P15208">
        <v>0</v>
      </c>
      <c r="Q15208">
        <v>0</v>
      </c>
      <c r="R15208" t="s">
        <v>46592</v>
      </c>
      <c r="S15208" t="s">
        <v>47652</v>
      </c>
      <c r="T15208" t="s">
        <v>48449</v>
      </c>
      <c r="U15208" t="s">
        <v>60978</v>
      </c>
      <c r="W15208" t="s">
        <v>45800</v>
      </c>
      <c r="X15208" t="s">
        <v>46593</v>
      </c>
    </row>
    <row r="15209" spans="1:24">
      <c r="A15209">
        <f>HYPERLINK("https://www.philgeps.gov.ph/GEPSNONPILOT/Tender/SplashBidNoticeAbstractUI.aspx?menuIndex=3&amp;refID=6978719&amp;Result=3","6978719")</f>
        <v>0</v>
      </c>
      <c r="B15209" t="s">
        <v>460</v>
      </c>
      <c r="C15209" t="s">
        <v>18006</v>
      </c>
      <c r="D15209" t="s">
        <v>18806</v>
      </c>
      <c r="E15209" t="s">
        <v>31959</v>
      </c>
      <c r="F15209" t="s">
        <v>32664</v>
      </c>
      <c r="G15209" t="s">
        <v>32672</v>
      </c>
      <c r="H15209" t="s">
        <v>12635</v>
      </c>
      <c r="I15209" t="s">
        <v>32704</v>
      </c>
      <c r="J15209" t="s">
        <v>35587</v>
      </c>
      <c r="K15209" t="s">
        <v>42305</v>
      </c>
      <c r="M15209" t="s">
        <v>44571</v>
      </c>
      <c r="N15209" t="s">
        <v>46569</v>
      </c>
      <c r="O15209" t="s">
        <v>46570</v>
      </c>
      <c r="Q15209">
        <v>9</v>
      </c>
      <c r="R15209" t="s">
        <v>46594</v>
      </c>
      <c r="S15209" t="s">
        <v>47732</v>
      </c>
      <c r="T15209" t="s">
        <v>48307</v>
      </c>
      <c r="U15209" t="s">
        <v>60979</v>
      </c>
      <c r="V15209" t="s">
        <v>61668</v>
      </c>
      <c r="W15209" t="s">
        <v>44571</v>
      </c>
      <c r="X15209" t="s">
        <v>46613</v>
      </c>
    </row>
    <row r="15210" spans="1:24">
      <c r="A15210">
        <f>HYPERLINK("https://www.philgeps.gov.ph/GEPSNONPILOT/Tender/SplashBidNoticeAbstractUI.aspx?menuIndex=3&amp;refID=6977808&amp;Result=3","6977808")</f>
        <v>0</v>
      </c>
      <c r="B15210" t="s">
        <v>460</v>
      </c>
      <c r="C15210" t="s">
        <v>18007</v>
      </c>
      <c r="D15210" t="s">
        <v>18806</v>
      </c>
      <c r="E15210" t="s">
        <v>31960</v>
      </c>
      <c r="F15210" t="s">
        <v>32664</v>
      </c>
      <c r="G15210" t="s">
        <v>32672</v>
      </c>
      <c r="H15210" t="s">
        <v>12635</v>
      </c>
      <c r="I15210" t="s">
        <v>4439</v>
      </c>
      <c r="J15210" t="s">
        <v>41815</v>
      </c>
      <c r="K15210" t="s">
        <v>42309</v>
      </c>
      <c r="M15210" t="s">
        <v>44571</v>
      </c>
      <c r="N15210" t="s">
        <v>46569</v>
      </c>
      <c r="O15210" t="s">
        <v>46570</v>
      </c>
      <c r="Q15210">
        <v>1</v>
      </c>
      <c r="R15210" t="s">
        <v>46594</v>
      </c>
      <c r="S15210" t="s">
        <v>47733</v>
      </c>
      <c r="T15210" t="s">
        <v>48307</v>
      </c>
      <c r="U15210" t="s">
        <v>60980</v>
      </c>
      <c r="V15210" t="s">
        <v>61668</v>
      </c>
      <c r="W15210" t="s">
        <v>44571</v>
      </c>
      <c r="X15210" t="s">
        <v>46613</v>
      </c>
    </row>
    <row r="15211" spans="1:24">
      <c r="A15211">
        <f>HYPERLINK("https://www.philgeps.gov.ph/GEPSNONPILOT/Tender/SplashBidNoticeAbstractUI.aspx?menuIndex=3&amp;refID=7023825&amp;Result=3","7023825")</f>
        <v>0</v>
      </c>
      <c r="B15211" t="s">
        <v>146</v>
      </c>
      <c r="C15211" t="s">
        <v>18008</v>
      </c>
      <c r="D15211" t="s">
        <v>18826</v>
      </c>
      <c r="E15211" t="s">
        <v>31961</v>
      </c>
      <c r="F15211" t="s">
        <v>32664</v>
      </c>
      <c r="G15211" t="s">
        <v>32672</v>
      </c>
      <c r="H15211" t="s">
        <v>12635</v>
      </c>
      <c r="I15211" t="s">
        <v>11464</v>
      </c>
      <c r="J15211" t="s">
        <v>33009</v>
      </c>
      <c r="K15211" t="s">
        <v>42281</v>
      </c>
      <c r="M15211" t="s">
        <v>46470</v>
      </c>
      <c r="N15211" t="s">
        <v>46569</v>
      </c>
      <c r="O15211" t="s">
        <v>46570</v>
      </c>
      <c r="P15211">
        <v>0</v>
      </c>
      <c r="Q15211">
        <v>10</v>
      </c>
      <c r="R15211" t="s">
        <v>46593</v>
      </c>
      <c r="S15211" t="s">
        <v>47701</v>
      </c>
      <c r="T15211" t="s">
        <v>48244</v>
      </c>
      <c r="U15211" t="s">
        <v>60981</v>
      </c>
      <c r="W15211" t="s">
        <v>46470</v>
      </c>
      <c r="X15211" t="s">
        <v>46594</v>
      </c>
    </row>
    <row r="15212" spans="1:24">
      <c r="A15212">
        <f>HYPERLINK("https://www.philgeps.gov.ph/GEPSNONPILOT/Tender/SplashBidNoticeAbstractUI.aspx?menuIndex=3&amp;refID=7025522&amp;Result=3","7025522")</f>
        <v>0</v>
      </c>
      <c r="B15212" t="s">
        <v>3239</v>
      </c>
      <c r="C15212" t="s">
        <v>18009</v>
      </c>
      <c r="D15212" t="s">
        <v>18848</v>
      </c>
      <c r="E15212" t="s">
        <v>31962</v>
      </c>
      <c r="F15212" t="s">
        <v>32664</v>
      </c>
      <c r="G15212" t="s">
        <v>32672</v>
      </c>
      <c r="H15212" t="s">
        <v>32683</v>
      </c>
      <c r="I15212" t="s">
        <v>10627</v>
      </c>
      <c r="J15212" t="s">
        <v>41816</v>
      </c>
      <c r="K15212" t="s">
        <v>42311</v>
      </c>
      <c r="M15212" t="s">
        <v>46235</v>
      </c>
      <c r="N15212" t="s">
        <v>46569</v>
      </c>
      <c r="O15212" t="s">
        <v>46570</v>
      </c>
      <c r="Q15212">
        <v>0</v>
      </c>
      <c r="R15212" t="s">
        <v>46592</v>
      </c>
      <c r="S15212" t="s">
        <v>47283</v>
      </c>
      <c r="T15212" t="s">
        <v>48300</v>
      </c>
      <c r="U15212" t="s">
        <v>60982</v>
      </c>
      <c r="V15212" t="s">
        <v>63077</v>
      </c>
      <c r="W15212" t="s">
        <v>46235</v>
      </c>
      <c r="X15212" t="s">
        <v>46593</v>
      </c>
    </row>
    <row r="15213" spans="1:24">
      <c r="A15213">
        <f>HYPERLINK("https://www.philgeps.gov.ph/GEPSNONPILOT/Tender/SplashBidNoticeAbstractUI.aspx?menuIndex=3&amp;refID=7023808&amp;Result=3","7023808")</f>
        <v>0</v>
      </c>
      <c r="B15213" t="s">
        <v>146</v>
      </c>
      <c r="C15213" t="s">
        <v>18010</v>
      </c>
      <c r="D15213" t="s">
        <v>18826</v>
      </c>
      <c r="E15213" t="s">
        <v>31963</v>
      </c>
      <c r="F15213" t="s">
        <v>32664</v>
      </c>
      <c r="G15213" t="s">
        <v>32672</v>
      </c>
      <c r="H15213" t="s">
        <v>12635</v>
      </c>
      <c r="I15213" t="s">
        <v>32684</v>
      </c>
      <c r="J15213" t="s">
        <v>41817</v>
      </c>
      <c r="K15213" t="s">
        <v>42305</v>
      </c>
      <c r="M15213" t="s">
        <v>46470</v>
      </c>
      <c r="N15213" t="s">
        <v>46569</v>
      </c>
      <c r="O15213" t="s">
        <v>46570</v>
      </c>
      <c r="P15213">
        <v>0</v>
      </c>
      <c r="Q15213">
        <v>17</v>
      </c>
      <c r="R15213" t="s">
        <v>46593</v>
      </c>
      <c r="S15213" t="s">
        <v>47701</v>
      </c>
      <c r="T15213" t="s">
        <v>48219</v>
      </c>
      <c r="U15213" t="s">
        <v>60983</v>
      </c>
      <c r="W15213" t="s">
        <v>46470</v>
      </c>
      <c r="X15213" t="s">
        <v>46594</v>
      </c>
    </row>
    <row r="15214" spans="1:24">
      <c r="A15214">
        <f>HYPERLINK("https://www.philgeps.gov.ph/GEPSNONPILOT/Tender/SplashBidNoticeAbstractUI.aspx?menuIndex=3&amp;refID=7025103&amp;Result=3","7025103")</f>
        <v>0</v>
      </c>
      <c r="B15214" t="s">
        <v>653</v>
      </c>
      <c r="C15214" t="s">
        <v>18011</v>
      </c>
      <c r="D15214" t="s">
        <v>18840</v>
      </c>
      <c r="E15214" t="s">
        <v>31964</v>
      </c>
      <c r="F15214" t="s">
        <v>32664</v>
      </c>
      <c r="G15214" t="s">
        <v>32672</v>
      </c>
      <c r="H15214" t="s">
        <v>32683</v>
      </c>
      <c r="I15214" t="s">
        <v>10627</v>
      </c>
      <c r="J15214" t="s">
        <v>41818</v>
      </c>
      <c r="K15214" t="s">
        <v>42369</v>
      </c>
      <c r="M15214" t="s">
        <v>43239</v>
      </c>
      <c r="N15214" t="s">
        <v>46569</v>
      </c>
      <c r="O15214" t="s">
        <v>46570</v>
      </c>
      <c r="Q15214">
        <v>0</v>
      </c>
      <c r="R15214" t="s">
        <v>46592</v>
      </c>
      <c r="S15214" t="s">
        <v>47734</v>
      </c>
      <c r="T15214" t="s">
        <v>48467</v>
      </c>
      <c r="U15214" t="s">
        <v>60984</v>
      </c>
      <c r="W15214" t="s">
        <v>43239</v>
      </c>
      <c r="X15214" t="s">
        <v>46593</v>
      </c>
    </row>
    <row r="15215" spans="1:24">
      <c r="A15215">
        <f>HYPERLINK("https://www.philgeps.gov.ph/GEPSNONPILOT/Tender/SplashBidNoticeAbstractUI.aspx?menuIndex=3&amp;refID=7023723&amp;Result=3","7023723")</f>
        <v>0</v>
      </c>
      <c r="B15215" t="s">
        <v>556</v>
      </c>
      <c r="C15215" t="s">
        <v>18012</v>
      </c>
      <c r="D15215" t="s">
        <v>18843</v>
      </c>
      <c r="E15215" t="s">
        <v>31965</v>
      </c>
      <c r="F15215" t="s">
        <v>32664</v>
      </c>
      <c r="G15215" t="s">
        <v>32672</v>
      </c>
      <c r="H15215" t="s">
        <v>12635</v>
      </c>
      <c r="I15215" t="s">
        <v>32716</v>
      </c>
      <c r="J15215" t="s">
        <v>41819</v>
      </c>
      <c r="K15215" t="s">
        <v>42284</v>
      </c>
      <c r="M15215" t="s">
        <v>43136</v>
      </c>
      <c r="N15215" t="s">
        <v>46569</v>
      </c>
      <c r="O15215" t="s">
        <v>46570</v>
      </c>
      <c r="P15215">
        <v>0</v>
      </c>
      <c r="Q15215">
        <v>1</v>
      </c>
      <c r="R15215" t="s">
        <v>46593</v>
      </c>
      <c r="S15215" t="s">
        <v>47701</v>
      </c>
      <c r="T15215" t="s">
        <v>48293</v>
      </c>
      <c r="U15215" t="s">
        <v>60985</v>
      </c>
      <c r="V15215" t="s">
        <v>63320</v>
      </c>
      <c r="W15215" t="s">
        <v>43136</v>
      </c>
      <c r="X15215" t="s">
        <v>46594</v>
      </c>
    </row>
    <row r="15216" spans="1:24">
      <c r="A15216">
        <f>HYPERLINK("https://www.philgeps.gov.ph/GEPSNONPILOT/Tender/SplashBidNoticeAbstractUI.aspx?menuIndex=3&amp;refID=6978728&amp;Result=3","6978728")</f>
        <v>0</v>
      </c>
      <c r="B15216" t="s">
        <v>460</v>
      </c>
      <c r="C15216" t="s">
        <v>18013</v>
      </c>
      <c r="D15216" t="s">
        <v>18806</v>
      </c>
      <c r="E15216" t="s">
        <v>31966</v>
      </c>
      <c r="F15216" t="s">
        <v>32664</v>
      </c>
      <c r="G15216" t="s">
        <v>32672</v>
      </c>
      <c r="H15216" t="s">
        <v>12635</v>
      </c>
      <c r="I15216" t="s">
        <v>32704</v>
      </c>
      <c r="J15216" t="s">
        <v>41820</v>
      </c>
      <c r="K15216" t="s">
        <v>42305</v>
      </c>
      <c r="M15216" t="s">
        <v>44571</v>
      </c>
      <c r="N15216" t="s">
        <v>46569</v>
      </c>
      <c r="O15216" t="s">
        <v>46570</v>
      </c>
      <c r="Q15216">
        <v>9</v>
      </c>
      <c r="R15216" t="s">
        <v>46594</v>
      </c>
      <c r="S15216" t="s">
        <v>47735</v>
      </c>
      <c r="T15216" t="s">
        <v>48307</v>
      </c>
      <c r="U15216" t="s">
        <v>60986</v>
      </c>
      <c r="V15216" t="s">
        <v>61668</v>
      </c>
      <c r="W15216" t="s">
        <v>44571</v>
      </c>
      <c r="X15216" t="s">
        <v>46613</v>
      </c>
    </row>
    <row r="15217" spans="1:24">
      <c r="A15217">
        <f>HYPERLINK("https://www.philgeps.gov.ph/GEPSNONPILOT/Tender/SplashBidNoticeAbstractUI.aspx?menuIndex=3&amp;refID=6978609&amp;Result=3","6978609")</f>
        <v>0</v>
      </c>
      <c r="B15217" t="s">
        <v>460</v>
      </c>
      <c r="C15217" t="s">
        <v>18014</v>
      </c>
      <c r="D15217" t="s">
        <v>18806</v>
      </c>
      <c r="E15217" t="s">
        <v>31967</v>
      </c>
      <c r="F15217" t="s">
        <v>32664</v>
      </c>
      <c r="G15217" t="s">
        <v>32672</v>
      </c>
      <c r="H15217" t="s">
        <v>12635</v>
      </c>
      <c r="I15217" t="s">
        <v>32685</v>
      </c>
      <c r="J15217" t="s">
        <v>41821</v>
      </c>
      <c r="K15217" t="s">
        <v>42330</v>
      </c>
      <c r="M15217" t="s">
        <v>44571</v>
      </c>
      <c r="N15217" t="s">
        <v>46569</v>
      </c>
      <c r="O15217" t="s">
        <v>46570</v>
      </c>
      <c r="Q15217">
        <v>0</v>
      </c>
      <c r="R15217" t="s">
        <v>46594</v>
      </c>
      <c r="S15217" t="s">
        <v>47736</v>
      </c>
      <c r="T15217" t="s">
        <v>48307</v>
      </c>
      <c r="U15217" t="s">
        <v>60987</v>
      </c>
      <c r="V15217" t="s">
        <v>61668</v>
      </c>
      <c r="W15217" t="s">
        <v>44571</v>
      </c>
      <c r="X15217" t="s">
        <v>46613</v>
      </c>
    </row>
    <row r="15218" spans="1:24">
      <c r="A15218">
        <f>HYPERLINK("https://www.philgeps.gov.ph/GEPSNONPILOT/Tender/SplashBidNoticeAbstractUI.aspx?menuIndex=3&amp;refID=7022774&amp;Result=3","7022774")</f>
        <v>0</v>
      </c>
      <c r="B15218" t="s">
        <v>1398</v>
      </c>
      <c r="C15218" t="s">
        <v>18015</v>
      </c>
      <c r="D15218" t="s">
        <v>18794</v>
      </c>
      <c r="E15218" t="s">
        <v>31968</v>
      </c>
      <c r="F15218" t="s">
        <v>32664</v>
      </c>
      <c r="G15218" t="s">
        <v>32672</v>
      </c>
      <c r="H15218" t="s">
        <v>32683</v>
      </c>
      <c r="I15218" t="s">
        <v>10627</v>
      </c>
      <c r="J15218" t="s">
        <v>41822</v>
      </c>
      <c r="K15218" t="s">
        <v>42308</v>
      </c>
      <c r="L15218" t="s">
        <v>1398</v>
      </c>
      <c r="M15218" t="s">
        <v>44055</v>
      </c>
      <c r="N15218" t="s">
        <v>46569</v>
      </c>
      <c r="O15218" t="s">
        <v>46570</v>
      </c>
      <c r="Q15218">
        <v>0</v>
      </c>
      <c r="R15218" t="s">
        <v>46593</v>
      </c>
      <c r="S15218" t="s">
        <v>47737</v>
      </c>
      <c r="T15218" t="s">
        <v>48268</v>
      </c>
      <c r="U15218" t="s">
        <v>60988</v>
      </c>
      <c r="W15218" t="s">
        <v>44055</v>
      </c>
      <c r="X15218" t="s">
        <v>46594</v>
      </c>
    </row>
    <row r="15219" spans="1:24">
      <c r="A15219">
        <f>HYPERLINK("https://www.philgeps.gov.ph/GEPSNONPILOT/Tender/SplashBidNoticeAbstractUI.aspx?menuIndex=3&amp;refID=7023958&amp;Result=3","7023958")</f>
        <v>0</v>
      </c>
      <c r="B15219" t="s">
        <v>146</v>
      </c>
      <c r="C15219" t="s">
        <v>18016</v>
      </c>
      <c r="D15219" t="s">
        <v>18826</v>
      </c>
      <c r="E15219" t="s">
        <v>31969</v>
      </c>
      <c r="F15219" t="s">
        <v>32664</v>
      </c>
      <c r="G15219" t="s">
        <v>32672</v>
      </c>
      <c r="H15219" t="s">
        <v>12635</v>
      </c>
      <c r="I15219" t="s">
        <v>32696</v>
      </c>
      <c r="J15219" t="s">
        <v>41823</v>
      </c>
      <c r="K15219" t="s">
        <v>42298</v>
      </c>
      <c r="M15219" t="s">
        <v>46470</v>
      </c>
      <c r="N15219" t="s">
        <v>46569</v>
      </c>
      <c r="O15219" t="s">
        <v>46570</v>
      </c>
      <c r="P15219">
        <v>0</v>
      </c>
      <c r="Q15219">
        <v>6</v>
      </c>
      <c r="R15219" t="s">
        <v>46593</v>
      </c>
      <c r="S15219" t="s">
        <v>47701</v>
      </c>
      <c r="T15219" t="s">
        <v>48244</v>
      </c>
      <c r="U15219" t="s">
        <v>60989</v>
      </c>
      <c r="W15219" t="s">
        <v>46470</v>
      </c>
      <c r="X15219" t="s">
        <v>46594</v>
      </c>
    </row>
    <row r="15220" spans="1:24">
      <c r="A15220">
        <f>HYPERLINK("https://www.philgeps.gov.ph/GEPSNONPILOT/Tender/SplashBidNoticeAbstractUI.aspx?menuIndex=3&amp;refID=7023725&amp;Result=3","7023725")</f>
        <v>0</v>
      </c>
      <c r="B15220" t="s">
        <v>146</v>
      </c>
      <c r="C15220" t="s">
        <v>18017</v>
      </c>
      <c r="D15220" t="s">
        <v>18826</v>
      </c>
      <c r="E15220" t="s">
        <v>31970</v>
      </c>
      <c r="F15220" t="s">
        <v>32664</v>
      </c>
      <c r="G15220" t="s">
        <v>32672</v>
      </c>
      <c r="H15220" t="s">
        <v>12635</v>
      </c>
      <c r="I15220" t="s">
        <v>32696</v>
      </c>
      <c r="J15220" t="s">
        <v>39822</v>
      </c>
      <c r="K15220" t="s">
        <v>42305</v>
      </c>
      <c r="M15220" t="s">
        <v>46470</v>
      </c>
      <c r="N15220" t="s">
        <v>46569</v>
      </c>
      <c r="O15220" t="s">
        <v>46570</v>
      </c>
      <c r="P15220">
        <v>0</v>
      </c>
      <c r="Q15220">
        <v>6</v>
      </c>
      <c r="R15220" t="s">
        <v>46593</v>
      </c>
      <c r="S15220" t="s">
        <v>47701</v>
      </c>
      <c r="T15220" t="s">
        <v>48244</v>
      </c>
      <c r="U15220" t="s">
        <v>60990</v>
      </c>
      <c r="W15220" t="s">
        <v>46470</v>
      </c>
      <c r="X15220" t="s">
        <v>46594</v>
      </c>
    </row>
    <row r="15221" spans="1:24">
      <c r="A15221">
        <f>HYPERLINK("https://www.philgeps.gov.ph/GEPSNONPILOT/Tender/SplashBidNoticeAbstractUI.aspx?menuIndex=3&amp;refID=7023459&amp;Result=3","7023459")</f>
        <v>0</v>
      </c>
      <c r="B15221" t="s">
        <v>886</v>
      </c>
      <c r="C15221" t="s">
        <v>18018</v>
      </c>
      <c r="D15221" t="s">
        <v>18784</v>
      </c>
      <c r="E15221" t="s">
        <v>31971</v>
      </c>
      <c r="F15221" t="s">
        <v>32664</v>
      </c>
      <c r="G15221" t="s">
        <v>32672</v>
      </c>
      <c r="H15221" t="s">
        <v>32682</v>
      </c>
      <c r="I15221" t="s">
        <v>5589</v>
      </c>
      <c r="J15221" t="s">
        <v>41824</v>
      </c>
      <c r="K15221" t="s">
        <v>42571</v>
      </c>
      <c r="M15221" t="s">
        <v>46471</v>
      </c>
      <c r="N15221" t="s">
        <v>46569</v>
      </c>
      <c r="O15221" t="s">
        <v>46570</v>
      </c>
      <c r="Q15221">
        <v>18</v>
      </c>
      <c r="R15221" t="s">
        <v>46593</v>
      </c>
      <c r="S15221" t="s">
        <v>47292</v>
      </c>
      <c r="T15221" t="s">
        <v>48598</v>
      </c>
      <c r="U15221" t="s">
        <v>60991</v>
      </c>
      <c r="W15221" t="s">
        <v>45111</v>
      </c>
      <c r="X15221" t="s">
        <v>46594</v>
      </c>
    </row>
    <row r="15222" spans="1:24">
      <c r="A15222">
        <f>HYPERLINK("https://www.philgeps.gov.ph/GEPSNONPILOT/Tender/SplashBidNoticeAbstractUI.aspx?menuIndex=3&amp;refID=7020453&amp;Result=3","7020453")</f>
        <v>0</v>
      </c>
      <c r="B15222" t="s">
        <v>2378</v>
      </c>
      <c r="C15222" t="s">
        <v>18019</v>
      </c>
      <c r="D15222" t="s">
        <v>18831</v>
      </c>
      <c r="E15222" t="s">
        <v>31972</v>
      </c>
      <c r="F15222" t="s">
        <v>32664</v>
      </c>
      <c r="G15222" t="s">
        <v>32672</v>
      </c>
      <c r="H15222" t="s">
        <v>32681</v>
      </c>
      <c r="I15222" t="s">
        <v>32681</v>
      </c>
      <c r="J15222" t="s">
        <v>41825</v>
      </c>
      <c r="K15222" t="s">
        <v>42298</v>
      </c>
      <c r="M15222" t="s">
        <v>46013</v>
      </c>
      <c r="N15222" t="s">
        <v>46569</v>
      </c>
      <c r="O15222" t="s">
        <v>46570</v>
      </c>
      <c r="Q15222">
        <v>3</v>
      </c>
      <c r="R15222" t="s">
        <v>46594</v>
      </c>
      <c r="S15222" t="s">
        <v>47738</v>
      </c>
      <c r="T15222" t="s">
        <v>48520</v>
      </c>
      <c r="U15222" t="s">
        <v>60992</v>
      </c>
      <c r="V15222" t="s">
        <v>63321</v>
      </c>
      <c r="W15222" t="s">
        <v>46013</v>
      </c>
      <c r="X15222" t="s">
        <v>46598</v>
      </c>
    </row>
    <row r="15223" spans="1:24">
      <c r="A15223">
        <f>HYPERLINK("https://www.philgeps.gov.ph/GEPSNONPILOT/Tender/SplashBidNoticeAbstractUI.aspx?menuIndex=3&amp;refID=7020355&amp;Result=3","7020355")</f>
        <v>0</v>
      </c>
      <c r="B15223" t="s">
        <v>2624</v>
      </c>
      <c r="C15223" t="s">
        <v>18020</v>
      </c>
      <c r="D15223" t="s">
        <v>18790</v>
      </c>
      <c r="E15223" t="s">
        <v>18020</v>
      </c>
      <c r="F15223" t="s">
        <v>32664</v>
      </c>
      <c r="G15223" t="s">
        <v>32672</v>
      </c>
      <c r="H15223" t="s">
        <v>12635</v>
      </c>
      <c r="I15223" t="s">
        <v>32707</v>
      </c>
      <c r="J15223" t="s">
        <v>41826</v>
      </c>
      <c r="K15223" t="s">
        <v>42311</v>
      </c>
      <c r="M15223" t="s">
        <v>45442</v>
      </c>
      <c r="N15223" t="s">
        <v>46569</v>
      </c>
      <c r="O15223" t="s">
        <v>46570</v>
      </c>
      <c r="Q15223">
        <v>13</v>
      </c>
      <c r="R15223" t="s">
        <v>46594</v>
      </c>
      <c r="S15223" t="s">
        <v>47739</v>
      </c>
      <c r="T15223" t="s">
        <v>48467</v>
      </c>
      <c r="U15223" t="s">
        <v>60993</v>
      </c>
      <c r="W15223" t="s">
        <v>45442</v>
      </c>
      <c r="X15223" t="s">
        <v>46598</v>
      </c>
    </row>
    <row r="15224" spans="1:24">
      <c r="A15224">
        <f>HYPERLINK("https://www.philgeps.gov.ph/GEPSNONPILOT/Tender/SplashBidNoticeAbstractUI.aspx?menuIndex=3&amp;refID=7020411&amp;Result=3","7020411")</f>
        <v>0</v>
      </c>
      <c r="B15224" t="s">
        <v>773</v>
      </c>
      <c r="C15224" t="s">
        <v>18021</v>
      </c>
      <c r="D15224" t="s">
        <v>18821</v>
      </c>
      <c r="E15224" t="s">
        <v>31973</v>
      </c>
      <c r="F15224" t="s">
        <v>32664</v>
      </c>
      <c r="G15224" t="s">
        <v>32672</v>
      </c>
      <c r="H15224" t="s">
        <v>32683</v>
      </c>
      <c r="I15224" t="s">
        <v>10627</v>
      </c>
      <c r="J15224" t="s">
        <v>32837</v>
      </c>
      <c r="K15224" t="s">
        <v>42284</v>
      </c>
      <c r="M15224" t="s">
        <v>46461</v>
      </c>
      <c r="N15224" t="s">
        <v>46569</v>
      </c>
      <c r="O15224" t="s">
        <v>46570</v>
      </c>
      <c r="P15224">
        <v>0</v>
      </c>
      <c r="Q15224">
        <v>3</v>
      </c>
      <c r="R15224" t="s">
        <v>46594</v>
      </c>
      <c r="S15224" t="s">
        <v>47740</v>
      </c>
      <c r="T15224" t="s">
        <v>48314</v>
      </c>
      <c r="U15224" t="s">
        <v>60994</v>
      </c>
      <c r="W15224" t="s">
        <v>46461</v>
      </c>
      <c r="X15224" t="s">
        <v>46598</v>
      </c>
    </row>
    <row r="15225" spans="1:24">
      <c r="A15225">
        <f>HYPERLINK("https://www.philgeps.gov.ph/GEPSNONPILOT/Tender/SplashBidNoticeAbstractUI.aspx?menuIndex=3&amp;refID=7019957&amp;Result=3","7019957")</f>
        <v>0</v>
      </c>
      <c r="B15225" t="s">
        <v>3172</v>
      </c>
      <c r="C15225" t="s">
        <v>18022</v>
      </c>
      <c r="D15225" t="s">
        <v>18816</v>
      </c>
      <c r="E15225" t="s">
        <v>31974</v>
      </c>
      <c r="F15225" t="s">
        <v>32664</v>
      </c>
      <c r="G15225" t="s">
        <v>32672</v>
      </c>
      <c r="H15225" t="s">
        <v>32683</v>
      </c>
      <c r="I15225" t="s">
        <v>10627</v>
      </c>
      <c r="J15225" t="s">
        <v>37781</v>
      </c>
      <c r="K15225" t="s">
        <v>42285</v>
      </c>
      <c r="M15225" t="s">
        <v>46080</v>
      </c>
      <c r="N15225" t="s">
        <v>46569</v>
      </c>
      <c r="O15225" t="s">
        <v>46570</v>
      </c>
      <c r="Q15225">
        <v>0</v>
      </c>
      <c r="R15225" t="s">
        <v>46594</v>
      </c>
      <c r="S15225" t="s">
        <v>47741</v>
      </c>
      <c r="T15225" t="s">
        <v>48287</v>
      </c>
      <c r="U15225" t="s">
        <v>58628</v>
      </c>
      <c r="W15225" t="s">
        <v>46080</v>
      </c>
      <c r="X15225" t="s">
        <v>46598</v>
      </c>
    </row>
    <row r="15226" spans="1:24">
      <c r="A15226">
        <f>HYPERLINK("https://www.philgeps.gov.ph/GEPSNONPILOT/Tender/SplashBidNoticeAbstractUI.aspx?menuIndex=3&amp;refID=7019924&amp;Result=3","7019924")</f>
        <v>0</v>
      </c>
      <c r="B15226" t="s">
        <v>3172</v>
      </c>
      <c r="C15226" t="s">
        <v>18023</v>
      </c>
      <c r="D15226" t="s">
        <v>18816</v>
      </c>
      <c r="E15226" t="s">
        <v>31975</v>
      </c>
      <c r="F15226" t="s">
        <v>32664</v>
      </c>
      <c r="G15226" t="s">
        <v>32672</v>
      </c>
      <c r="H15226" t="s">
        <v>32683</v>
      </c>
      <c r="I15226" t="s">
        <v>10627</v>
      </c>
      <c r="J15226" t="s">
        <v>33508</v>
      </c>
      <c r="K15226" t="s">
        <v>42521</v>
      </c>
      <c r="M15226" t="s">
        <v>46080</v>
      </c>
      <c r="N15226" t="s">
        <v>46569</v>
      </c>
      <c r="O15226" t="s">
        <v>46570</v>
      </c>
      <c r="Q15226">
        <v>0</v>
      </c>
      <c r="R15226" t="s">
        <v>46594</v>
      </c>
      <c r="S15226" t="s">
        <v>47742</v>
      </c>
      <c r="T15226" t="s">
        <v>48287</v>
      </c>
      <c r="U15226" t="s">
        <v>58628</v>
      </c>
      <c r="W15226" t="s">
        <v>46080</v>
      </c>
      <c r="X15226" t="s">
        <v>46598</v>
      </c>
    </row>
    <row r="15227" spans="1:24">
      <c r="A15227">
        <f>HYPERLINK("https://www.philgeps.gov.ph/GEPSNONPILOT/Tender/SplashBidNoticeAbstractUI.aspx?menuIndex=3&amp;refID=7020231&amp;Result=3","7020231")</f>
        <v>0</v>
      </c>
      <c r="B15227" t="s">
        <v>3431</v>
      </c>
      <c r="C15227" t="s">
        <v>18024</v>
      </c>
      <c r="D15227" t="s">
        <v>18831</v>
      </c>
      <c r="E15227" t="s">
        <v>31976</v>
      </c>
      <c r="F15227" t="s">
        <v>32664</v>
      </c>
      <c r="G15227" t="s">
        <v>32674</v>
      </c>
      <c r="H15227" t="s">
        <v>12635</v>
      </c>
      <c r="I15227" t="s">
        <v>32694</v>
      </c>
      <c r="J15227" t="s">
        <v>41827</v>
      </c>
      <c r="K15227" t="s">
        <v>42283</v>
      </c>
      <c r="M15227" t="s">
        <v>46472</v>
      </c>
      <c r="N15227" t="s">
        <v>46569</v>
      </c>
      <c r="O15227" t="s">
        <v>46570</v>
      </c>
      <c r="Q15227">
        <v>3</v>
      </c>
      <c r="R15227" t="s">
        <v>46594</v>
      </c>
      <c r="S15227" t="s">
        <v>47743</v>
      </c>
      <c r="T15227" t="s">
        <v>48221</v>
      </c>
      <c r="U15227" t="s">
        <v>60995</v>
      </c>
      <c r="W15227" t="s">
        <v>46472</v>
      </c>
      <c r="X15227" t="s">
        <v>46598</v>
      </c>
    </row>
    <row r="15228" spans="1:24">
      <c r="A15228">
        <f>HYPERLINK("https://www.philgeps.gov.ph/GEPSNONPILOT/Tender/SplashBidNoticeAbstractUI.aspx?menuIndex=3&amp;refID=7023691&amp;Result=3","7023691")</f>
        <v>0</v>
      </c>
      <c r="B15228" t="s">
        <v>758</v>
      </c>
      <c r="C15228" t="s">
        <v>18025</v>
      </c>
      <c r="D15228" t="s">
        <v>18838</v>
      </c>
      <c r="E15228" t="s">
        <v>31977</v>
      </c>
      <c r="F15228" t="s">
        <v>32664</v>
      </c>
      <c r="G15228" t="s">
        <v>32672</v>
      </c>
      <c r="H15228" t="s">
        <v>32683</v>
      </c>
      <c r="I15228" t="s">
        <v>10627</v>
      </c>
      <c r="J15228" t="s">
        <v>34379</v>
      </c>
      <c r="K15228" t="s">
        <v>42290</v>
      </c>
      <c r="M15228" t="s">
        <v>43348</v>
      </c>
      <c r="N15228" t="s">
        <v>46569</v>
      </c>
      <c r="O15228" t="s">
        <v>46570</v>
      </c>
      <c r="Q15228">
        <v>30</v>
      </c>
      <c r="R15228" t="s">
        <v>46593</v>
      </c>
      <c r="S15228" t="s">
        <v>47744</v>
      </c>
      <c r="T15228" t="s">
        <v>48268</v>
      </c>
      <c r="U15228" t="s">
        <v>54240</v>
      </c>
      <c r="V15228" t="s">
        <v>61806</v>
      </c>
      <c r="W15228" t="s">
        <v>43348</v>
      </c>
      <c r="X15228" t="s">
        <v>46594</v>
      </c>
    </row>
    <row r="15229" spans="1:24">
      <c r="A15229">
        <f>HYPERLINK("https://www.philgeps.gov.ph/GEPSNONPILOT/Tender/SplashBidNoticeAbstractUI.aspx?menuIndex=3&amp;refID=7019854&amp;Result=3","7019854")</f>
        <v>0</v>
      </c>
      <c r="B15229" t="s">
        <v>1245</v>
      </c>
      <c r="C15229" t="s">
        <v>18026</v>
      </c>
      <c r="D15229" t="s">
        <v>18784</v>
      </c>
      <c r="E15229" t="s">
        <v>19597</v>
      </c>
      <c r="F15229" t="s">
        <v>32664</v>
      </c>
      <c r="G15229" t="s">
        <v>32677</v>
      </c>
      <c r="H15229" t="s">
        <v>12635</v>
      </c>
      <c r="I15229" t="s">
        <v>32706</v>
      </c>
      <c r="J15229" t="s">
        <v>41828</v>
      </c>
      <c r="K15229" t="s">
        <v>42351</v>
      </c>
      <c r="M15229" t="s">
        <v>46473</v>
      </c>
      <c r="N15229" t="s">
        <v>46569</v>
      </c>
      <c r="O15229" t="s">
        <v>46570</v>
      </c>
      <c r="Q15229">
        <v>6</v>
      </c>
      <c r="R15229" t="s">
        <v>46594</v>
      </c>
      <c r="S15229" t="s">
        <v>47745</v>
      </c>
      <c r="T15229" t="s">
        <v>48248</v>
      </c>
      <c r="U15229" t="s">
        <v>60996</v>
      </c>
      <c r="W15229" t="s">
        <v>46473</v>
      </c>
      <c r="X15229" t="s">
        <v>46598</v>
      </c>
    </row>
    <row r="15230" spans="1:24">
      <c r="A15230">
        <f>HYPERLINK("https://www.philgeps.gov.ph/GEPSNONPILOT/Tender/SplashBidNoticeAbstractUI.aspx?menuIndex=3&amp;refID=7019751&amp;Result=3","7019751")</f>
        <v>0</v>
      </c>
      <c r="B15230" t="s">
        <v>3239</v>
      </c>
      <c r="C15230" t="s">
        <v>18027</v>
      </c>
      <c r="D15230" t="s">
        <v>18848</v>
      </c>
      <c r="E15230" t="s">
        <v>31978</v>
      </c>
      <c r="F15230" t="s">
        <v>32664</v>
      </c>
      <c r="G15230" t="s">
        <v>32672</v>
      </c>
      <c r="H15230" t="s">
        <v>32683</v>
      </c>
      <c r="I15230" t="s">
        <v>10627</v>
      </c>
      <c r="J15230" t="s">
        <v>41829</v>
      </c>
      <c r="K15230" t="s">
        <v>42394</v>
      </c>
      <c r="M15230" t="s">
        <v>46235</v>
      </c>
      <c r="N15230" t="s">
        <v>46569</v>
      </c>
      <c r="O15230" t="s">
        <v>46570</v>
      </c>
      <c r="Q15230">
        <v>1</v>
      </c>
      <c r="R15230" t="s">
        <v>46594</v>
      </c>
      <c r="S15230" t="s">
        <v>47746</v>
      </c>
      <c r="T15230" t="s">
        <v>48300</v>
      </c>
      <c r="U15230" t="s">
        <v>60997</v>
      </c>
      <c r="V15230" t="s">
        <v>63077</v>
      </c>
      <c r="W15230" t="s">
        <v>46235</v>
      </c>
      <c r="X15230" t="s">
        <v>46598</v>
      </c>
    </row>
    <row r="15231" spans="1:24">
      <c r="A15231">
        <f>HYPERLINK("https://www.philgeps.gov.ph/GEPSNONPILOT/Tender/SplashBidNoticeAbstractUI.aspx?menuIndex=3&amp;refID=7019567&amp;Result=3","7019567")</f>
        <v>0</v>
      </c>
      <c r="B15231" t="s">
        <v>908</v>
      </c>
      <c r="C15231" t="s">
        <v>18028</v>
      </c>
      <c r="D15231" t="s">
        <v>18820</v>
      </c>
      <c r="E15231" t="s">
        <v>31979</v>
      </c>
      <c r="F15231" t="s">
        <v>32664</v>
      </c>
      <c r="G15231" t="s">
        <v>32671</v>
      </c>
      <c r="H15231" t="s">
        <v>12635</v>
      </c>
      <c r="I15231" t="s">
        <v>32699</v>
      </c>
      <c r="J15231" t="s">
        <v>33051</v>
      </c>
      <c r="K15231" t="s">
        <v>42289</v>
      </c>
      <c r="M15231" t="s">
        <v>43514</v>
      </c>
      <c r="N15231" t="s">
        <v>46569</v>
      </c>
      <c r="O15231" t="s">
        <v>46570</v>
      </c>
      <c r="Q15231">
        <v>3</v>
      </c>
      <c r="R15231" t="s">
        <v>46594</v>
      </c>
      <c r="S15231" t="s">
        <v>47747</v>
      </c>
      <c r="T15231" t="s">
        <v>48225</v>
      </c>
      <c r="U15231" t="s">
        <v>60998</v>
      </c>
      <c r="W15231" t="s">
        <v>43514</v>
      </c>
      <c r="X15231" t="s">
        <v>46598</v>
      </c>
    </row>
    <row r="15232" spans="1:24">
      <c r="A15232">
        <f>HYPERLINK("https://www.philgeps.gov.ph/GEPSNONPILOT/Tender/SplashBidNoticeAbstractUI.aspx?menuIndex=3&amp;refID=7019507&amp;Result=3","7019507")</f>
        <v>0</v>
      </c>
      <c r="B15232" t="s">
        <v>3239</v>
      </c>
      <c r="C15232" t="s">
        <v>18029</v>
      </c>
      <c r="D15232" t="s">
        <v>18848</v>
      </c>
      <c r="E15232" t="s">
        <v>31980</v>
      </c>
      <c r="F15232" t="s">
        <v>32664</v>
      </c>
      <c r="G15232" t="s">
        <v>32672</v>
      </c>
      <c r="H15232" t="s">
        <v>32683</v>
      </c>
      <c r="I15232" t="s">
        <v>10627</v>
      </c>
      <c r="J15232" t="s">
        <v>41830</v>
      </c>
      <c r="K15232" t="s">
        <v>42311</v>
      </c>
      <c r="M15232" t="s">
        <v>46235</v>
      </c>
      <c r="N15232" t="s">
        <v>46569</v>
      </c>
      <c r="O15232" t="s">
        <v>46570</v>
      </c>
      <c r="Q15232">
        <v>1</v>
      </c>
      <c r="R15232" t="s">
        <v>46594</v>
      </c>
      <c r="S15232" t="s">
        <v>47748</v>
      </c>
      <c r="T15232" t="s">
        <v>48520</v>
      </c>
      <c r="U15232" t="s">
        <v>60999</v>
      </c>
      <c r="V15232" t="s">
        <v>63077</v>
      </c>
      <c r="W15232" t="s">
        <v>46235</v>
      </c>
      <c r="X15232" t="s">
        <v>46598</v>
      </c>
    </row>
    <row r="15233" spans="1:24">
      <c r="A15233">
        <f>HYPERLINK("https://www.philgeps.gov.ph/GEPSNONPILOT/Tender/SplashBidNoticeAbstractUI.aspx?menuIndex=3&amp;refID=7019935&amp;Result=3","7019935")</f>
        <v>0</v>
      </c>
      <c r="B15233" t="s">
        <v>3172</v>
      </c>
      <c r="C15233" t="s">
        <v>18030</v>
      </c>
      <c r="D15233" t="s">
        <v>18816</v>
      </c>
      <c r="E15233" t="s">
        <v>31981</v>
      </c>
      <c r="F15233" t="s">
        <v>32664</v>
      </c>
      <c r="G15233" t="s">
        <v>32672</v>
      </c>
      <c r="H15233" t="s">
        <v>32683</v>
      </c>
      <c r="I15233" t="s">
        <v>10627</v>
      </c>
      <c r="J15233" t="s">
        <v>38737</v>
      </c>
      <c r="K15233" t="s">
        <v>42315</v>
      </c>
      <c r="M15233" t="s">
        <v>46080</v>
      </c>
      <c r="N15233" t="s">
        <v>46569</v>
      </c>
      <c r="O15233" t="s">
        <v>46570</v>
      </c>
      <c r="Q15233">
        <v>0</v>
      </c>
      <c r="R15233" t="s">
        <v>46594</v>
      </c>
      <c r="S15233" t="s">
        <v>47749</v>
      </c>
      <c r="T15233" t="s">
        <v>48287</v>
      </c>
      <c r="U15233" t="s">
        <v>58628</v>
      </c>
      <c r="W15233" t="s">
        <v>46080</v>
      </c>
      <c r="X15233" t="s">
        <v>46598</v>
      </c>
    </row>
    <row r="15234" spans="1:24">
      <c r="A15234">
        <f>HYPERLINK("https://www.philgeps.gov.ph/GEPSNONPILOT/Tender/SplashBidNoticeAbstractUI.aspx?menuIndex=3&amp;refID=7021414&amp;Result=3","7021414")</f>
        <v>0</v>
      </c>
      <c r="B15234" t="s">
        <v>964</v>
      </c>
      <c r="C15234" t="s">
        <v>18031</v>
      </c>
      <c r="D15234" t="s">
        <v>18786</v>
      </c>
      <c r="E15234" t="s">
        <v>31982</v>
      </c>
      <c r="F15234" t="s">
        <v>32664</v>
      </c>
      <c r="G15234" t="s">
        <v>32672</v>
      </c>
      <c r="H15234" t="s">
        <v>32683</v>
      </c>
      <c r="I15234" t="s">
        <v>10627</v>
      </c>
      <c r="J15234" t="s">
        <v>33150</v>
      </c>
      <c r="K15234" t="s">
        <v>42290</v>
      </c>
      <c r="M15234" t="s">
        <v>43572</v>
      </c>
      <c r="N15234" t="s">
        <v>46569</v>
      </c>
      <c r="O15234" t="s">
        <v>46570</v>
      </c>
      <c r="P15234">
        <v>0</v>
      </c>
      <c r="Q15234">
        <v>1</v>
      </c>
      <c r="R15234" t="s">
        <v>46594</v>
      </c>
      <c r="S15234" t="s">
        <v>47740</v>
      </c>
      <c r="T15234" t="s">
        <v>48246</v>
      </c>
      <c r="U15234" t="s">
        <v>61000</v>
      </c>
      <c r="W15234" t="s">
        <v>63579</v>
      </c>
      <c r="X15234" t="s">
        <v>46598</v>
      </c>
    </row>
    <row r="15235" spans="1:24">
      <c r="A15235">
        <f>HYPERLINK("https://www.philgeps.gov.ph/GEPSNONPILOT/Tender/SplashBidNoticeAbstractUI.aspx?menuIndex=3&amp;refID=7019759&amp;Result=3","7019759")</f>
        <v>0</v>
      </c>
      <c r="B15235" t="s">
        <v>3239</v>
      </c>
      <c r="C15235" t="s">
        <v>18032</v>
      </c>
      <c r="D15235" t="s">
        <v>18848</v>
      </c>
      <c r="E15235" t="s">
        <v>31983</v>
      </c>
      <c r="F15235" t="s">
        <v>32664</v>
      </c>
      <c r="G15235" t="s">
        <v>32672</v>
      </c>
      <c r="H15235" t="s">
        <v>32683</v>
      </c>
      <c r="I15235" t="s">
        <v>10627</v>
      </c>
      <c r="J15235" t="s">
        <v>41831</v>
      </c>
      <c r="K15235" t="s">
        <v>42394</v>
      </c>
      <c r="M15235" t="s">
        <v>46235</v>
      </c>
      <c r="N15235" t="s">
        <v>46569</v>
      </c>
      <c r="O15235" t="s">
        <v>46570</v>
      </c>
      <c r="Q15235">
        <v>1</v>
      </c>
      <c r="R15235" t="s">
        <v>46594</v>
      </c>
      <c r="S15235" t="s">
        <v>47750</v>
      </c>
      <c r="T15235" t="s">
        <v>48300</v>
      </c>
      <c r="U15235" t="s">
        <v>61001</v>
      </c>
      <c r="V15235" t="s">
        <v>63077</v>
      </c>
      <c r="W15235" t="s">
        <v>46235</v>
      </c>
      <c r="X15235" t="s">
        <v>46598</v>
      </c>
    </row>
    <row r="15236" spans="1:24">
      <c r="A15236">
        <f>HYPERLINK("https://www.philgeps.gov.ph/GEPSNONPILOT/Tender/SplashBidNoticeAbstractUI.aspx?menuIndex=3&amp;refID=7021442&amp;Result=3","7021442")</f>
        <v>0</v>
      </c>
      <c r="B15236" t="s">
        <v>964</v>
      </c>
      <c r="C15236" t="s">
        <v>18033</v>
      </c>
      <c r="D15236" t="s">
        <v>18786</v>
      </c>
      <c r="E15236" t="s">
        <v>31984</v>
      </c>
      <c r="F15236" t="s">
        <v>32664</v>
      </c>
      <c r="G15236" t="s">
        <v>32672</v>
      </c>
      <c r="H15236" t="s">
        <v>32683</v>
      </c>
      <c r="I15236" t="s">
        <v>10627</v>
      </c>
      <c r="J15236" t="s">
        <v>33761</v>
      </c>
      <c r="K15236" t="s">
        <v>42285</v>
      </c>
      <c r="M15236" t="s">
        <v>43572</v>
      </c>
      <c r="N15236" t="s">
        <v>46569</v>
      </c>
      <c r="O15236" t="s">
        <v>46570</v>
      </c>
      <c r="P15236">
        <v>0</v>
      </c>
      <c r="Q15236">
        <v>0</v>
      </c>
      <c r="R15236" t="s">
        <v>46594</v>
      </c>
      <c r="S15236" t="s">
        <v>47740</v>
      </c>
      <c r="T15236" t="s">
        <v>48246</v>
      </c>
      <c r="U15236" t="s">
        <v>61002</v>
      </c>
      <c r="W15236" t="s">
        <v>63579</v>
      </c>
      <c r="X15236" t="s">
        <v>46598</v>
      </c>
    </row>
    <row r="15237" spans="1:24">
      <c r="A15237">
        <f>HYPERLINK("https://www.philgeps.gov.ph/GEPSNONPILOT/Tender/SplashBidNoticeAbstractUI.aspx?menuIndex=3&amp;refID=7019675&amp;Result=3","7019675")</f>
        <v>0</v>
      </c>
      <c r="B15237" t="s">
        <v>162</v>
      </c>
      <c r="C15237" t="s">
        <v>18034</v>
      </c>
      <c r="D15237" t="s">
        <v>18788</v>
      </c>
      <c r="E15237" t="s">
        <v>31985</v>
      </c>
      <c r="F15237" t="s">
        <v>32664</v>
      </c>
      <c r="G15237" t="s">
        <v>32672</v>
      </c>
      <c r="H15237" t="s">
        <v>32683</v>
      </c>
      <c r="I15237" t="s">
        <v>10627</v>
      </c>
      <c r="J15237" t="s">
        <v>37946</v>
      </c>
      <c r="K15237" t="s">
        <v>42311</v>
      </c>
      <c r="M15237" t="s">
        <v>42726</v>
      </c>
      <c r="N15237" t="s">
        <v>46569</v>
      </c>
      <c r="O15237" t="s">
        <v>46570</v>
      </c>
      <c r="P15237">
        <v>0</v>
      </c>
      <c r="Q15237">
        <v>2</v>
      </c>
      <c r="R15237" t="s">
        <v>46594</v>
      </c>
      <c r="S15237" t="s">
        <v>47740</v>
      </c>
      <c r="T15237" t="s">
        <v>48293</v>
      </c>
      <c r="U15237" t="s">
        <v>61003</v>
      </c>
      <c r="W15237" t="s">
        <v>42726</v>
      </c>
      <c r="X15237" t="s">
        <v>46598</v>
      </c>
    </row>
    <row r="15238" spans="1:24">
      <c r="A15238">
        <f>HYPERLINK("https://www.philgeps.gov.ph/GEPSNONPILOT/Tender/SplashBidNoticeAbstractUI.aspx?menuIndex=3&amp;refID=7020197&amp;Result=3","7020197")</f>
        <v>0</v>
      </c>
      <c r="B15238" t="s">
        <v>2141</v>
      </c>
      <c r="C15238" t="s">
        <v>18035</v>
      </c>
      <c r="D15238" t="s">
        <v>18781</v>
      </c>
      <c r="E15238" t="s">
        <v>31986</v>
      </c>
      <c r="F15238" t="s">
        <v>32664</v>
      </c>
      <c r="G15238" t="s">
        <v>32674</v>
      </c>
      <c r="H15238" t="s">
        <v>12635</v>
      </c>
      <c r="I15238" t="s">
        <v>10370</v>
      </c>
      <c r="J15238" t="s">
        <v>32836</v>
      </c>
      <c r="K15238" t="s">
        <v>42306</v>
      </c>
      <c r="M15238" t="s">
        <v>44896</v>
      </c>
      <c r="N15238" t="s">
        <v>46569</v>
      </c>
      <c r="O15238" t="s">
        <v>46570</v>
      </c>
      <c r="Q15238">
        <v>2</v>
      </c>
      <c r="R15238" t="s">
        <v>46594</v>
      </c>
      <c r="S15238" t="s">
        <v>47751</v>
      </c>
      <c r="T15238" t="s">
        <v>48473</v>
      </c>
      <c r="U15238" t="s">
        <v>61004</v>
      </c>
      <c r="W15238" t="s">
        <v>44896</v>
      </c>
      <c r="X15238" t="s">
        <v>46598</v>
      </c>
    </row>
    <row r="15239" spans="1:24">
      <c r="A15239">
        <f>HYPERLINK("https://www.philgeps.gov.ph/GEPSNONPILOT/Tender/SplashBidNoticeAbstractUI.aspx?menuIndex=3&amp;refID=7020640&amp;Result=3","7020640")</f>
        <v>0</v>
      </c>
      <c r="B15239" t="s">
        <v>773</v>
      </c>
      <c r="C15239" t="s">
        <v>18036</v>
      </c>
      <c r="D15239" t="s">
        <v>18821</v>
      </c>
      <c r="E15239" t="s">
        <v>31987</v>
      </c>
      <c r="F15239" t="s">
        <v>32664</v>
      </c>
      <c r="G15239" t="s">
        <v>32672</v>
      </c>
      <c r="H15239" t="s">
        <v>32683</v>
      </c>
      <c r="I15239" t="s">
        <v>10627</v>
      </c>
      <c r="J15239" t="s">
        <v>32837</v>
      </c>
      <c r="K15239" t="s">
        <v>42284</v>
      </c>
      <c r="M15239" t="s">
        <v>46461</v>
      </c>
      <c r="N15239" t="s">
        <v>46569</v>
      </c>
      <c r="O15239" t="s">
        <v>46570</v>
      </c>
      <c r="P15239">
        <v>0</v>
      </c>
      <c r="Q15239">
        <v>3</v>
      </c>
      <c r="R15239" t="s">
        <v>46594</v>
      </c>
      <c r="S15239" t="s">
        <v>47740</v>
      </c>
      <c r="T15239" t="s">
        <v>48314</v>
      </c>
      <c r="U15239" t="s">
        <v>60994</v>
      </c>
      <c r="W15239" t="s">
        <v>46461</v>
      </c>
      <c r="X15239" t="s">
        <v>46598</v>
      </c>
    </row>
    <row r="15240" spans="1:24">
      <c r="A15240">
        <f>HYPERLINK("https://www.philgeps.gov.ph/GEPSNONPILOT/Tender/SplashBidNoticeAbstractUI.aspx?menuIndex=3&amp;refID=7021411&amp;Result=3","7021411")</f>
        <v>0</v>
      </c>
      <c r="B15240" t="s">
        <v>964</v>
      </c>
      <c r="C15240" t="s">
        <v>18037</v>
      </c>
      <c r="D15240" t="s">
        <v>18786</v>
      </c>
      <c r="E15240" t="s">
        <v>31988</v>
      </c>
      <c r="F15240" t="s">
        <v>32664</v>
      </c>
      <c r="G15240" t="s">
        <v>32672</v>
      </c>
      <c r="H15240" t="s">
        <v>32683</v>
      </c>
      <c r="I15240" t="s">
        <v>10627</v>
      </c>
      <c r="J15240" t="s">
        <v>33150</v>
      </c>
      <c r="K15240" t="s">
        <v>42310</v>
      </c>
      <c r="M15240" t="s">
        <v>43572</v>
      </c>
      <c r="N15240" t="s">
        <v>46569</v>
      </c>
      <c r="O15240" t="s">
        <v>46570</v>
      </c>
      <c r="P15240">
        <v>0</v>
      </c>
      <c r="Q15240">
        <v>0</v>
      </c>
      <c r="R15240" t="s">
        <v>46594</v>
      </c>
      <c r="S15240" t="s">
        <v>47740</v>
      </c>
      <c r="T15240" t="s">
        <v>48246</v>
      </c>
      <c r="U15240" t="s">
        <v>61005</v>
      </c>
      <c r="W15240" t="s">
        <v>63579</v>
      </c>
      <c r="X15240" t="s">
        <v>46598</v>
      </c>
    </row>
    <row r="15241" spans="1:24">
      <c r="A15241">
        <f>HYPERLINK("https://www.philgeps.gov.ph/GEPSNONPILOT/Tender/SplashBidNoticeAbstractUI.aspx?menuIndex=3&amp;refID=7023488&amp;Result=3","7023488")</f>
        <v>0</v>
      </c>
      <c r="B15241" t="s">
        <v>886</v>
      </c>
      <c r="C15241" t="s">
        <v>18038</v>
      </c>
      <c r="D15241" t="s">
        <v>18784</v>
      </c>
      <c r="E15241" t="s">
        <v>31989</v>
      </c>
      <c r="F15241" t="s">
        <v>32664</v>
      </c>
      <c r="G15241" t="s">
        <v>32672</v>
      </c>
      <c r="H15241" t="s">
        <v>32682</v>
      </c>
      <c r="I15241" t="s">
        <v>5589</v>
      </c>
      <c r="J15241" t="s">
        <v>41832</v>
      </c>
      <c r="K15241" t="s">
        <v>42571</v>
      </c>
      <c r="M15241" t="s">
        <v>46471</v>
      </c>
      <c r="N15241" t="s">
        <v>46569</v>
      </c>
      <c r="O15241" t="s">
        <v>46570</v>
      </c>
      <c r="Q15241">
        <v>17</v>
      </c>
      <c r="R15241" t="s">
        <v>46593</v>
      </c>
      <c r="S15241" t="s">
        <v>47752</v>
      </c>
      <c r="T15241" t="s">
        <v>48598</v>
      </c>
      <c r="U15241" t="s">
        <v>60991</v>
      </c>
      <c r="W15241" t="s">
        <v>45111</v>
      </c>
      <c r="X15241" t="s">
        <v>46594</v>
      </c>
    </row>
    <row r="15242" spans="1:24">
      <c r="A15242">
        <f>HYPERLINK("https://www.philgeps.gov.ph/GEPSNONPILOT/Tender/SplashBidNoticeAbstractUI.aspx?menuIndex=3&amp;refID=7021415&amp;Result=3","7021415")</f>
        <v>0</v>
      </c>
      <c r="B15242" t="s">
        <v>3071</v>
      </c>
      <c r="C15242" t="s">
        <v>18039</v>
      </c>
      <c r="D15242" t="s">
        <v>18803</v>
      </c>
      <c r="E15242" t="s">
        <v>31990</v>
      </c>
      <c r="F15242" t="s">
        <v>32664</v>
      </c>
      <c r="G15242" t="s">
        <v>32672</v>
      </c>
      <c r="H15242" t="s">
        <v>32683</v>
      </c>
      <c r="I15242" t="s">
        <v>10627</v>
      </c>
      <c r="J15242" t="s">
        <v>41833</v>
      </c>
      <c r="K15242" t="s">
        <v>42397</v>
      </c>
      <c r="M15242" t="s">
        <v>45950</v>
      </c>
      <c r="N15242" t="s">
        <v>46569</v>
      </c>
      <c r="O15242" t="s">
        <v>46570</v>
      </c>
      <c r="Q15242">
        <v>40</v>
      </c>
      <c r="R15242" t="s">
        <v>46594</v>
      </c>
      <c r="S15242" t="s">
        <v>47753</v>
      </c>
      <c r="T15242" t="s">
        <v>48249</v>
      </c>
      <c r="U15242" t="s">
        <v>61006</v>
      </c>
      <c r="W15242" t="s">
        <v>45950</v>
      </c>
      <c r="X15242" t="s">
        <v>46598</v>
      </c>
    </row>
    <row r="15243" spans="1:24">
      <c r="A15243">
        <f>HYPERLINK("https://www.philgeps.gov.ph/GEPSNONPILOT/Tender/SplashBidNoticeAbstractUI.aspx?menuIndex=3&amp;refID=7021186&amp;Result=3","7021186")</f>
        <v>0</v>
      </c>
      <c r="B15243" t="s">
        <v>739</v>
      </c>
      <c r="C15243" t="s">
        <v>18040</v>
      </c>
      <c r="D15243" t="s">
        <v>18805</v>
      </c>
      <c r="E15243" t="s">
        <v>31991</v>
      </c>
      <c r="F15243" t="s">
        <v>32664</v>
      </c>
      <c r="G15243" t="s">
        <v>32674</v>
      </c>
      <c r="H15243" t="s">
        <v>12635</v>
      </c>
      <c r="I15243" t="s">
        <v>10627</v>
      </c>
      <c r="J15243" t="s">
        <v>41834</v>
      </c>
      <c r="K15243" t="s">
        <v>42325</v>
      </c>
      <c r="M15243" t="s">
        <v>43329</v>
      </c>
      <c r="N15243" t="s">
        <v>46569</v>
      </c>
      <c r="O15243" t="s">
        <v>46570</v>
      </c>
      <c r="Q15243">
        <v>0</v>
      </c>
      <c r="R15243" t="s">
        <v>46594</v>
      </c>
      <c r="S15243" t="s">
        <v>47754</v>
      </c>
      <c r="T15243" t="s">
        <v>48271</v>
      </c>
      <c r="U15243" t="s">
        <v>61007</v>
      </c>
      <c r="W15243" t="s">
        <v>43329</v>
      </c>
      <c r="X15243" t="s">
        <v>46598</v>
      </c>
    </row>
    <row r="15244" spans="1:24">
      <c r="A15244">
        <f>HYPERLINK("https://www.philgeps.gov.ph/GEPSNONPILOT/Tender/SplashBidNoticeAbstractUI.aspx?menuIndex=3&amp;refID=7021184&amp;Result=3","7021184")</f>
        <v>0</v>
      </c>
      <c r="B15244" t="s">
        <v>2080</v>
      </c>
      <c r="C15244" t="s">
        <v>18041</v>
      </c>
      <c r="D15244" t="s">
        <v>18848</v>
      </c>
      <c r="E15244" t="s">
        <v>19253</v>
      </c>
      <c r="F15244" t="s">
        <v>32664</v>
      </c>
      <c r="G15244" t="s">
        <v>32672</v>
      </c>
      <c r="H15244" t="s">
        <v>32683</v>
      </c>
      <c r="I15244" t="s">
        <v>10627</v>
      </c>
      <c r="J15244" t="s">
        <v>41835</v>
      </c>
      <c r="K15244" t="s">
        <v>42283</v>
      </c>
      <c r="M15244" t="s">
        <v>44832</v>
      </c>
      <c r="N15244" t="s">
        <v>46569</v>
      </c>
      <c r="O15244" t="s">
        <v>46570</v>
      </c>
      <c r="P15244">
        <v>0</v>
      </c>
      <c r="Q15244">
        <v>0</v>
      </c>
      <c r="R15244" t="s">
        <v>46594</v>
      </c>
      <c r="S15244" t="s">
        <v>47740</v>
      </c>
      <c r="T15244" t="s">
        <v>48448</v>
      </c>
      <c r="U15244" t="s">
        <v>61008</v>
      </c>
      <c r="W15244" t="s">
        <v>44832</v>
      </c>
      <c r="X15244" t="s">
        <v>46598</v>
      </c>
    </row>
    <row r="15245" spans="1:24">
      <c r="A15245">
        <f>HYPERLINK("https://www.philgeps.gov.ph/GEPSNONPILOT/Tender/SplashBidNoticeAbstractUI.aspx?menuIndex=3&amp;refID=7021412&amp;Result=3","7021412")</f>
        <v>0</v>
      </c>
      <c r="B15245" t="s">
        <v>3071</v>
      </c>
      <c r="C15245" t="s">
        <v>18042</v>
      </c>
      <c r="D15245" t="s">
        <v>18803</v>
      </c>
      <c r="E15245" t="s">
        <v>31992</v>
      </c>
      <c r="F15245" t="s">
        <v>32664</v>
      </c>
      <c r="G15245" t="s">
        <v>32672</v>
      </c>
      <c r="H15245" t="s">
        <v>32683</v>
      </c>
      <c r="I15245" t="s">
        <v>10627</v>
      </c>
      <c r="J15245" t="s">
        <v>41836</v>
      </c>
      <c r="K15245" t="s">
        <v>42397</v>
      </c>
      <c r="M15245" t="s">
        <v>45950</v>
      </c>
      <c r="N15245" t="s">
        <v>46569</v>
      </c>
      <c r="O15245" t="s">
        <v>46570</v>
      </c>
      <c r="Q15245">
        <v>40</v>
      </c>
      <c r="R15245" t="s">
        <v>46594</v>
      </c>
      <c r="S15245" t="s">
        <v>47755</v>
      </c>
      <c r="T15245" t="s">
        <v>48249</v>
      </c>
      <c r="U15245" t="s">
        <v>61009</v>
      </c>
      <c r="W15245" t="s">
        <v>45950</v>
      </c>
      <c r="X15245" t="s">
        <v>46598</v>
      </c>
    </row>
    <row r="15246" spans="1:24">
      <c r="A15246">
        <f>HYPERLINK("https://www.philgeps.gov.ph/GEPSNONPILOT/Tender/SplashBidNoticeAbstractUI.aspx?menuIndex=3&amp;refID=7021128&amp;Result=3","7021128")</f>
        <v>0</v>
      </c>
      <c r="B15246" t="s">
        <v>2739</v>
      </c>
      <c r="C15246" t="s">
        <v>18043</v>
      </c>
      <c r="E15246" t="s">
        <v>31993</v>
      </c>
      <c r="F15246" t="s">
        <v>32664</v>
      </c>
      <c r="G15246" t="s">
        <v>32672</v>
      </c>
      <c r="H15246" t="s">
        <v>12635</v>
      </c>
      <c r="I15246" t="s">
        <v>5589</v>
      </c>
      <c r="J15246" t="s">
        <v>41837</v>
      </c>
      <c r="K15246" t="s">
        <v>42283</v>
      </c>
      <c r="M15246" t="s">
        <v>45573</v>
      </c>
      <c r="N15246" t="s">
        <v>46569</v>
      </c>
      <c r="O15246" t="s">
        <v>46570</v>
      </c>
      <c r="P15246">
        <v>0</v>
      </c>
      <c r="Q15246">
        <v>21</v>
      </c>
      <c r="R15246" t="s">
        <v>46594</v>
      </c>
      <c r="S15246" t="s">
        <v>47740</v>
      </c>
      <c r="T15246" t="s">
        <v>48366</v>
      </c>
      <c r="U15246" t="s">
        <v>61010</v>
      </c>
      <c r="V15246" t="s">
        <v>63322</v>
      </c>
      <c r="W15246" t="s">
        <v>63600</v>
      </c>
      <c r="X15246" t="s">
        <v>46598</v>
      </c>
    </row>
    <row r="15247" spans="1:24">
      <c r="A15247">
        <f>HYPERLINK("https://www.philgeps.gov.ph/GEPSNONPILOT/Tender/SplashBidNoticeAbstractUI.aspx?menuIndex=3&amp;refID=7021113&amp;Result=3","7021113")</f>
        <v>0</v>
      </c>
      <c r="B15247" t="s">
        <v>27</v>
      </c>
      <c r="C15247" t="s">
        <v>18044</v>
      </c>
      <c r="E15247" t="s">
        <v>31994</v>
      </c>
      <c r="F15247" t="s">
        <v>32664</v>
      </c>
      <c r="G15247" t="s">
        <v>32672</v>
      </c>
      <c r="H15247" t="s">
        <v>32682</v>
      </c>
      <c r="I15247" t="s">
        <v>9946</v>
      </c>
      <c r="J15247" t="s">
        <v>41838</v>
      </c>
      <c r="K15247" t="s">
        <v>42446</v>
      </c>
      <c r="M15247" t="s">
        <v>45951</v>
      </c>
      <c r="N15247" t="s">
        <v>46569</v>
      </c>
      <c r="O15247" t="s">
        <v>46570</v>
      </c>
      <c r="Q15247">
        <v>8</v>
      </c>
      <c r="R15247" t="s">
        <v>46594</v>
      </c>
      <c r="S15247" t="s">
        <v>47756</v>
      </c>
      <c r="T15247" t="s">
        <v>48244</v>
      </c>
      <c r="U15247" t="s">
        <v>61011</v>
      </c>
      <c r="W15247" t="s">
        <v>45951</v>
      </c>
      <c r="X15247" t="s">
        <v>46598</v>
      </c>
    </row>
    <row r="15248" spans="1:24">
      <c r="A15248">
        <f>HYPERLINK("https://www.philgeps.gov.ph/GEPSNONPILOT/Tender/SplashBidNoticeAbstractUI.aspx?menuIndex=3&amp;refID=7021086&amp;Result=3","7021086")</f>
        <v>0</v>
      </c>
      <c r="B15248" t="s">
        <v>2739</v>
      </c>
      <c r="C15248" t="s">
        <v>18045</v>
      </c>
      <c r="E15248" t="s">
        <v>31995</v>
      </c>
      <c r="F15248" t="s">
        <v>32664</v>
      </c>
      <c r="G15248" t="s">
        <v>32672</v>
      </c>
      <c r="H15248" t="s">
        <v>12635</v>
      </c>
      <c r="I15248" t="s">
        <v>5589</v>
      </c>
      <c r="J15248" t="s">
        <v>34487</v>
      </c>
      <c r="K15248" t="s">
        <v>42283</v>
      </c>
      <c r="M15248" t="s">
        <v>46474</v>
      </c>
      <c r="N15248" t="s">
        <v>46569</v>
      </c>
      <c r="O15248" t="s">
        <v>46570</v>
      </c>
      <c r="P15248">
        <v>0</v>
      </c>
      <c r="Q15248">
        <v>18</v>
      </c>
      <c r="R15248" t="s">
        <v>46594</v>
      </c>
      <c r="S15248" t="s">
        <v>47740</v>
      </c>
      <c r="T15248" t="s">
        <v>48366</v>
      </c>
      <c r="U15248" t="s">
        <v>61012</v>
      </c>
      <c r="V15248" t="s">
        <v>63323</v>
      </c>
      <c r="W15248" t="s">
        <v>63600</v>
      </c>
      <c r="X15248" t="s">
        <v>46598</v>
      </c>
    </row>
    <row r="15249" spans="1:24">
      <c r="A15249">
        <f>HYPERLINK("https://www.philgeps.gov.ph/GEPSNONPILOT/Tender/SplashBidNoticeAbstractUI.aspx?menuIndex=3&amp;refID=7021319&amp;Result=3","7021319")</f>
        <v>0</v>
      </c>
      <c r="B15249" t="s">
        <v>3475</v>
      </c>
      <c r="C15249" t="s">
        <v>18046</v>
      </c>
      <c r="D15249" t="s">
        <v>18804</v>
      </c>
      <c r="E15249" t="s">
        <v>31996</v>
      </c>
      <c r="F15249" t="s">
        <v>32664</v>
      </c>
      <c r="G15249" t="s">
        <v>32672</v>
      </c>
      <c r="H15249" t="s">
        <v>12635</v>
      </c>
      <c r="I15249" t="s">
        <v>6223</v>
      </c>
      <c r="J15249" t="s">
        <v>41839</v>
      </c>
      <c r="K15249" t="s">
        <v>42305</v>
      </c>
      <c r="M15249" t="s">
        <v>46475</v>
      </c>
      <c r="N15249" t="s">
        <v>46569</v>
      </c>
      <c r="O15249" t="s">
        <v>46570</v>
      </c>
      <c r="Q15249">
        <v>6</v>
      </c>
      <c r="R15249" t="s">
        <v>46594</v>
      </c>
      <c r="S15249" t="s">
        <v>47757</v>
      </c>
      <c r="T15249" t="s">
        <v>48249</v>
      </c>
      <c r="U15249" t="s">
        <v>61013</v>
      </c>
      <c r="W15249" t="s">
        <v>46475</v>
      </c>
      <c r="X15249" t="s">
        <v>46598</v>
      </c>
    </row>
    <row r="15250" spans="1:24">
      <c r="A15250">
        <f>HYPERLINK("https://www.philgeps.gov.ph/GEPSNONPILOT/Tender/SplashBidNoticeAbstractUI.aspx?menuIndex=3&amp;refID=7020833&amp;Result=3","7020833")</f>
        <v>0</v>
      </c>
      <c r="B15250" t="s">
        <v>2080</v>
      </c>
      <c r="C15250" t="s">
        <v>18047</v>
      </c>
      <c r="D15250" t="s">
        <v>18848</v>
      </c>
      <c r="E15250" t="s">
        <v>19229</v>
      </c>
      <c r="F15250" t="s">
        <v>32664</v>
      </c>
      <c r="G15250" t="s">
        <v>32672</v>
      </c>
      <c r="H15250" t="s">
        <v>32683</v>
      </c>
      <c r="I15250" t="s">
        <v>10627</v>
      </c>
      <c r="J15250" t="s">
        <v>41840</v>
      </c>
      <c r="K15250" t="s">
        <v>42283</v>
      </c>
      <c r="M15250" t="s">
        <v>44832</v>
      </c>
      <c r="N15250" t="s">
        <v>46569</v>
      </c>
      <c r="O15250" t="s">
        <v>46570</v>
      </c>
      <c r="P15250">
        <v>0</v>
      </c>
      <c r="Q15250">
        <v>0</v>
      </c>
      <c r="R15250" t="s">
        <v>46594</v>
      </c>
      <c r="S15250" t="s">
        <v>47740</v>
      </c>
      <c r="T15250" t="s">
        <v>48448</v>
      </c>
      <c r="U15250" t="s">
        <v>61014</v>
      </c>
      <c r="W15250" t="s">
        <v>44832</v>
      </c>
      <c r="X15250" t="s">
        <v>46598</v>
      </c>
    </row>
    <row r="15251" spans="1:24">
      <c r="A15251">
        <f>HYPERLINK("https://www.philgeps.gov.ph/GEPSNONPILOT/Tender/SplashBidNoticeAbstractUI.aspx?menuIndex=3&amp;refID=7020712&amp;Result=3","7020712")</f>
        <v>0</v>
      </c>
      <c r="B15251" t="s">
        <v>2813</v>
      </c>
      <c r="C15251" t="s">
        <v>18048</v>
      </c>
      <c r="E15251" t="s">
        <v>31997</v>
      </c>
      <c r="F15251" t="s">
        <v>32664</v>
      </c>
      <c r="G15251" t="s">
        <v>32672</v>
      </c>
      <c r="H15251" t="s">
        <v>32683</v>
      </c>
      <c r="I15251" t="s">
        <v>10627</v>
      </c>
      <c r="J15251" t="s">
        <v>41841</v>
      </c>
      <c r="K15251" t="s">
        <v>42572</v>
      </c>
      <c r="M15251" t="s">
        <v>46476</v>
      </c>
      <c r="N15251" t="s">
        <v>46569</v>
      </c>
      <c r="O15251" t="s">
        <v>46570</v>
      </c>
      <c r="P15251">
        <v>0</v>
      </c>
      <c r="Q15251">
        <v>14</v>
      </c>
      <c r="R15251" t="s">
        <v>46594</v>
      </c>
      <c r="S15251" t="s">
        <v>47740</v>
      </c>
      <c r="T15251" t="s">
        <v>48748</v>
      </c>
      <c r="U15251" t="s">
        <v>61015</v>
      </c>
      <c r="V15251" t="s">
        <v>49355</v>
      </c>
      <c r="W15251" t="s">
        <v>46476</v>
      </c>
      <c r="X15251" t="s">
        <v>46598</v>
      </c>
    </row>
    <row r="15252" spans="1:24">
      <c r="A15252">
        <f>HYPERLINK("https://www.philgeps.gov.ph/GEPSNONPILOT/Tender/SplashBidNoticeAbstractUI.aspx?menuIndex=3&amp;refID=7020928&amp;Result=3","7020928")</f>
        <v>0</v>
      </c>
      <c r="B15252" t="s">
        <v>2739</v>
      </c>
      <c r="C15252" t="s">
        <v>18049</v>
      </c>
      <c r="E15252" t="s">
        <v>31998</v>
      </c>
      <c r="F15252" t="s">
        <v>32664</v>
      </c>
      <c r="G15252" t="s">
        <v>32672</v>
      </c>
      <c r="H15252" t="s">
        <v>12635</v>
      </c>
      <c r="I15252" t="s">
        <v>32769</v>
      </c>
      <c r="J15252" t="s">
        <v>39501</v>
      </c>
      <c r="K15252" t="s">
        <v>42283</v>
      </c>
      <c r="M15252" t="s">
        <v>45573</v>
      </c>
      <c r="N15252" t="s">
        <v>46569</v>
      </c>
      <c r="O15252" t="s">
        <v>46570</v>
      </c>
      <c r="P15252">
        <v>0</v>
      </c>
      <c r="Q15252">
        <v>4</v>
      </c>
      <c r="R15252" t="s">
        <v>46594</v>
      </c>
      <c r="S15252" t="s">
        <v>47740</v>
      </c>
      <c r="T15252" t="s">
        <v>48366</v>
      </c>
      <c r="U15252" t="s">
        <v>61016</v>
      </c>
      <c r="V15252" t="s">
        <v>63322</v>
      </c>
      <c r="W15252" t="s">
        <v>63600</v>
      </c>
      <c r="X15252" t="s">
        <v>46598</v>
      </c>
    </row>
    <row r="15253" spans="1:24">
      <c r="A15253">
        <f>HYPERLINK("https://www.philgeps.gov.ph/GEPSNONPILOT/Tender/SplashBidNoticeAbstractUI.aspx?menuIndex=3&amp;refID=7021429&amp;Result=3","7021429")</f>
        <v>0</v>
      </c>
      <c r="B15253" t="s">
        <v>964</v>
      </c>
      <c r="C15253" t="s">
        <v>18050</v>
      </c>
      <c r="D15253" t="s">
        <v>18786</v>
      </c>
      <c r="E15253" t="s">
        <v>31999</v>
      </c>
      <c r="F15253" t="s">
        <v>32664</v>
      </c>
      <c r="G15253" t="s">
        <v>32672</v>
      </c>
      <c r="H15253" t="s">
        <v>32683</v>
      </c>
      <c r="I15253" t="s">
        <v>10627</v>
      </c>
      <c r="J15253" t="s">
        <v>33150</v>
      </c>
      <c r="K15253" t="s">
        <v>42290</v>
      </c>
      <c r="M15253" t="s">
        <v>43572</v>
      </c>
      <c r="N15253" t="s">
        <v>46569</v>
      </c>
      <c r="O15253" t="s">
        <v>46570</v>
      </c>
      <c r="P15253">
        <v>0</v>
      </c>
      <c r="Q15253">
        <v>0</v>
      </c>
      <c r="R15253" t="s">
        <v>46594</v>
      </c>
      <c r="S15253" t="s">
        <v>47740</v>
      </c>
      <c r="T15253" t="s">
        <v>48246</v>
      </c>
      <c r="U15253" t="s">
        <v>61017</v>
      </c>
      <c r="W15253" t="s">
        <v>63579</v>
      </c>
      <c r="X15253" t="s">
        <v>46598</v>
      </c>
    </row>
    <row r="15254" spans="1:24">
      <c r="A15254">
        <f>HYPERLINK("https://www.philgeps.gov.ph/GEPSNONPILOT/Tender/SplashBidNoticeAbstractUI.aspx?menuIndex=3&amp;refID=7019480&amp;Result=3","7019480")</f>
        <v>0</v>
      </c>
      <c r="B15254" t="s">
        <v>212</v>
      </c>
      <c r="C15254" t="s">
        <v>18051</v>
      </c>
      <c r="D15254" t="s">
        <v>18844</v>
      </c>
      <c r="E15254" t="s">
        <v>32000</v>
      </c>
      <c r="F15254" t="s">
        <v>32664</v>
      </c>
      <c r="G15254" t="s">
        <v>32671</v>
      </c>
      <c r="H15254" t="s">
        <v>12635</v>
      </c>
      <c r="I15254" t="s">
        <v>32745</v>
      </c>
      <c r="J15254" t="s">
        <v>41842</v>
      </c>
      <c r="K15254" t="s">
        <v>42289</v>
      </c>
      <c r="M15254" t="s">
        <v>45976</v>
      </c>
      <c r="N15254" t="s">
        <v>46569</v>
      </c>
      <c r="O15254" t="s">
        <v>46570</v>
      </c>
      <c r="Q15254">
        <v>1</v>
      </c>
      <c r="R15254" t="s">
        <v>46594</v>
      </c>
      <c r="S15254" t="s">
        <v>47758</v>
      </c>
      <c r="T15254" t="s">
        <v>48244</v>
      </c>
      <c r="U15254" t="s">
        <v>61018</v>
      </c>
      <c r="V15254" t="s">
        <v>61668</v>
      </c>
      <c r="W15254" t="s">
        <v>45976</v>
      </c>
      <c r="X15254" t="s">
        <v>46598</v>
      </c>
    </row>
    <row r="15255" spans="1:24">
      <c r="A15255">
        <f>HYPERLINK("https://www.philgeps.gov.ph/GEPSNONPILOT/Tender/SplashBidNoticeAbstractUI.aspx?menuIndex=3&amp;refID=7019297&amp;Result=3","7019297")</f>
        <v>0</v>
      </c>
      <c r="B15255" t="s">
        <v>2871</v>
      </c>
      <c r="C15255" t="s">
        <v>18052</v>
      </c>
      <c r="D15255" t="s">
        <v>18821</v>
      </c>
      <c r="E15255" t="s">
        <v>32001</v>
      </c>
      <c r="F15255" t="s">
        <v>32664</v>
      </c>
      <c r="G15255" t="s">
        <v>32672</v>
      </c>
      <c r="H15255" t="s">
        <v>12635</v>
      </c>
      <c r="I15255" t="s">
        <v>10627</v>
      </c>
      <c r="J15255" t="s">
        <v>41843</v>
      </c>
      <c r="K15255" t="s">
        <v>42330</v>
      </c>
      <c r="M15255" t="s">
        <v>45720</v>
      </c>
      <c r="N15255" t="s">
        <v>46569</v>
      </c>
      <c r="O15255" t="s">
        <v>46570</v>
      </c>
      <c r="P15255">
        <v>0</v>
      </c>
      <c r="Q15255">
        <v>7</v>
      </c>
      <c r="R15255" t="s">
        <v>46594</v>
      </c>
      <c r="S15255" t="s">
        <v>47740</v>
      </c>
      <c r="T15255" t="s">
        <v>48481</v>
      </c>
      <c r="U15255" t="s">
        <v>61019</v>
      </c>
      <c r="W15255" t="s">
        <v>45720</v>
      </c>
      <c r="X15255" t="s">
        <v>46598</v>
      </c>
    </row>
    <row r="15256" spans="1:24">
      <c r="A15256">
        <f>HYPERLINK("https://www.philgeps.gov.ph/GEPSNONPILOT/Tender/SplashBidNoticeAbstractUI.aspx?menuIndex=3&amp;refID=7020734&amp;Result=3","7020734")</f>
        <v>0</v>
      </c>
      <c r="B15256" t="s">
        <v>3476</v>
      </c>
      <c r="C15256" t="s">
        <v>18053</v>
      </c>
      <c r="D15256" t="s">
        <v>18788</v>
      </c>
      <c r="E15256" t="s">
        <v>32002</v>
      </c>
      <c r="F15256" t="s">
        <v>32664</v>
      </c>
      <c r="G15256" t="s">
        <v>32672</v>
      </c>
      <c r="H15256" t="s">
        <v>12635</v>
      </c>
      <c r="I15256" t="s">
        <v>14442</v>
      </c>
      <c r="J15256" t="s">
        <v>41844</v>
      </c>
      <c r="K15256" t="s">
        <v>42281</v>
      </c>
      <c r="M15256" t="s">
        <v>46477</v>
      </c>
      <c r="N15256" t="s">
        <v>46569</v>
      </c>
      <c r="O15256" t="s">
        <v>46570</v>
      </c>
      <c r="Q15256">
        <v>9</v>
      </c>
      <c r="R15256" t="s">
        <v>46594</v>
      </c>
      <c r="S15256" t="s">
        <v>47070</v>
      </c>
      <c r="T15256" t="s">
        <v>48290</v>
      </c>
      <c r="U15256" t="s">
        <v>61020</v>
      </c>
      <c r="W15256" t="s">
        <v>46477</v>
      </c>
      <c r="X15256" t="s">
        <v>46598</v>
      </c>
    </row>
    <row r="15257" spans="1:24">
      <c r="A15257">
        <f>HYPERLINK("https://www.philgeps.gov.ph/GEPSNONPILOT/Tender/SplashBidNoticeAbstractUI.aspx?menuIndex=3&amp;refID=7020588&amp;Result=3","7020588")</f>
        <v>0</v>
      </c>
      <c r="B15257" t="s">
        <v>773</v>
      </c>
      <c r="C15257" t="s">
        <v>18054</v>
      </c>
      <c r="D15257" t="s">
        <v>18821</v>
      </c>
      <c r="E15257" t="s">
        <v>32003</v>
      </c>
      <c r="F15257" t="s">
        <v>32664</v>
      </c>
      <c r="G15257" t="s">
        <v>32672</v>
      </c>
      <c r="H15257" t="s">
        <v>32683</v>
      </c>
      <c r="I15257" t="s">
        <v>10627</v>
      </c>
      <c r="J15257" t="s">
        <v>32837</v>
      </c>
      <c r="K15257" t="s">
        <v>42284</v>
      </c>
      <c r="M15257" t="s">
        <v>46461</v>
      </c>
      <c r="N15257" t="s">
        <v>46569</v>
      </c>
      <c r="O15257" t="s">
        <v>46570</v>
      </c>
      <c r="P15257">
        <v>0</v>
      </c>
      <c r="Q15257">
        <v>3</v>
      </c>
      <c r="R15257" t="s">
        <v>46594</v>
      </c>
      <c r="S15257" t="s">
        <v>47740</v>
      </c>
      <c r="T15257" t="s">
        <v>48314</v>
      </c>
      <c r="U15257" t="s">
        <v>60994</v>
      </c>
      <c r="W15257" t="s">
        <v>46461</v>
      </c>
      <c r="X15257" t="s">
        <v>46598</v>
      </c>
    </row>
    <row r="15258" spans="1:24">
      <c r="A15258">
        <f>HYPERLINK("https://www.philgeps.gov.ph/GEPSNONPILOT/Tender/SplashBidNoticeAbstractUI.aspx?menuIndex=3&amp;refID=7016711&amp;Result=3","7016711")</f>
        <v>0</v>
      </c>
      <c r="B15258" t="s">
        <v>729</v>
      </c>
      <c r="C15258" t="s">
        <v>18055</v>
      </c>
      <c r="D15258" t="s">
        <v>18818</v>
      </c>
      <c r="E15258" t="s">
        <v>32004</v>
      </c>
      <c r="F15258" t="s">
        <v>32668</v>
      </c>
      <c r="G15258" t="s">
        <v>32671</v>
      </c>
      <c r="H15258" t="s">
        <v>12635</v>
      </c>
      <c r="I15258" t="s">
        <v>32685</v>
      </c>
      <c r="J15258" t="s">
        <v>32984</v>
      </c>
      <c r="K15258" t="s">
        <v>42289</v>
      </c>
      <c r="M15258" t="s">
        <v>43318</v>
      </c>
      <c r="N15258" t="s">
        <v>46569</v>
      </c>
      <c r="O15258" t="s">
        <v>46570</v>
      </c>
      <c r="Q15258">
        <v>0</v>
      </c>
      <c r="R15258" t="s">
        <v>46595</v>
      </c>
      <c r="S15258" t="s">
        <v>47759</v>
      </c>
      <c r="T15258" t="s">
        <v>48285</v>
      </c>
      <c r="U15258" t="s">
        <v>61021</v>
      </c>
      <c r="W15258" t="s">
        <v>43318</v>
      </c>
      <c r="X15258" t="s">
        <v>46596</v>
      </c>
    </row>
    <row r="15259" spans="1:24">
      <c r="A15259">
        <f>HYPERLINK("https://www.philgeps.gov.ph/GEPSNONPILOT/Tender/SplashBidNoticeAbstractUI.aspx?menuIndex=3&amp;refID=7016602&amp;Result=3","7016602")</f>
        <v>0</v>
      </c>
      <c r="B15259" t="s">
        <v>601</v>
      </c>
      <c r="C15259" t="s">
        <v>18056</v>
      </c>
      <c r="D15259" t="s">
        <v>18848</v>
      </c>
      <c r="E15259" t="s">
        <v>32005</v>
      </c>
      <c r="F15259" t="s">
        <v>32664</v>
      </c>
      <c r="G15259" t="s">
        <v>32672</v>
      </c>
      <c r="H15259" t="s">
        <v>32683</v>
      </c>
      <c r="I15259" t="s">
        <v>10627</v>
      </c>
      <c r="J15259" t="s">
        <v>41845</v>
      </c>
      <c r="K15259" t="s">
        <v>42283</v>
      </c>
      <c r="M15259" t="s">
        <v>43181</v>
      </c>
      <c r="N15259" t="s">
        <v>46569</v>
      </c>
      <c r="O15259" t="s">
        <v>46570</v>
      </c>
      <c r="Q15259">
        <v>1</v>
      </c>
      <c r="R15259" t="s">
        <v>46595</v>
      </c>
      <c r="S15259" t="s">
        <v>47760</v>
      </c>
      <c r="T15259" t="s">
        <v>48246</v>
      </c>
      <c r="U15259" t="s">
        <v>61022</v>
      </c>
      <c r="W15259" t="s">
        <v>43181</v>
      </c>
      <c r="X15259" t="s">
        <v>46596</v>
      </c>
    </row>
    <row r="15260" spans="1:24">
      <c r="A15260">
        <f>HYPERLINK("https://www.philgeps.gov.ph/GEPSNONPILOT/Tender/SplashBidNoticeAbstractUI.aspx?menuIndex=3&amp;refID=7016593&amp;Result=3","7016593")</f>
        <v>0</v>
      </c>
      <c r="B15260" t="s">
        <v>601</v>
      </c>
      <c r="C15260" t="s">
        <v>18057</v>
      </c>
      <c r="D15260" t="s">
        <v>18848</v>
      </c>
      <c r="E15260" t="s">
        <v>32006</v>
      </c>
      <c r="F15260" t="s">
        <v>32664</v>
      </c>
      <c r="G15260" t="s">
        <v>32672</v>
      </c>
      <c r="H15260" t="s">
        <v>32683</v>
      </c>
      <c r="I15260" t="s">
        <v>10627</v>
      </c>
      <c r="J15260" t="s">
        <v>41846</v>
      </c>
      <c r="K15260" t="s">
        <v>42283</v>
      </c>
      <c r="M15260" t="s">
        <v>43181</v>
      </c>
      <c r="N15260" t="s">
        <v>46569</v>
      </c>
      <c r="O15260" t="s">
        <v>46570</v>
      </c>
      <c r="Q15260">
        <v>1</v>
      </c>
      <c r="R15260" t="s">
        <v>46595</v>
      </c>
      <c r="S15260" t="s">
        <v>47761</v>
      </c>
      <c r="T15260" t="s">
        <v>48246</v>
      </c>
      <c r="U15260" t="s">
        <v>61023</v>
      </c>
      <c r="W15260" t="s">
        <v>43181</v>
      </c>
      <c r="X15260" t="s">
        <v>46596</v>
      </c>
    </row>
    <row r="15261" spans="1:24">
      <c r="A15261">
        <f>HYPERLINK("https://www.philgeps.gov.ph/GEPSNONPILOT/Tender/SplashBidNoticeAbstractUI.aspx?menuIndex=3&amp;refID=7021105&amp;Result=3","7021105")</f>
        <v>0</v>
      </c>
      <c r="B15261" t="s">
        <v>210</v>
      </c>
      <c r="C15261" t="s">
        <v>18058</v>
      </c>
      <c r="D15261" t="s">
        <v>18842</v>
      </c>
      <c r="E15261" t="s">
        <v>19312</v>
      </c>
      <c r="F15261" t="s">
        <v>32664</v>
      </c>
      <c r="G15261" t="s">
        <v>32671</v>
      </c>
      <c r="H15261" t="s">
        <v>12635</v>
      </c>
      <c r="I15261" t="s">
        <v>10361</v>
      </c>
      <c r="J15261" t="s">
        <v>33050</v>
      </c>
      <c r="K15261" t="s">
        <v>42283</v>
      </c>
      <c r="M15261" t="s">
        <v>46478</v>
      </c>
      <c r="N15261" t="s">
        <v>46569</v>
      </c>
      <c r="O15261" t="s">
        <v>46570</v>
      </c>
      <c r="Q15261">
        <v>0</v>
      </c>
      <c r="R15261" t="s">
        <v>46594</v>
      </c>
      <c r="S15261" t="s">
        <v>47762</v>
      </c>
      <c r="T15261" t="s">
        <v>48749</v>
      </c>
      <c r="U15261" t="s">
        <v>61024</v>
      </c>
      <c r="W15261" t="s">
        <v>46478</v>
      </c>
      <c r="X15261" t="s">
        <v>46598</v>
      </c>
    </row>
    <row r="15262" spans="1:24">
      <c r="A15262">
        <f>HYPERLINK("https://www.philgeps.gov.ph/GEPSNONPILOT/Tender/SplashBidNoticeAbstractUI.aspx?menuIndex=3&amp;refID=7016617&amp;Result=3","7016617")</f>
        <v>0</v>
      </c>
      <c r="B15262" t="s">
        <v>601</v>
      </c>
      <c r="C15262" t="s">
        <v>18059</v>
      </c>
      <c r="D15262" t="s">
        <v>18848</v>
      </c>
      <c r="E15262" t="s">
        <v>32007</v>
      </c>
      <c r="F15262" t="s">
        <v>32664</v>
      </c>
      <c r="G15262" t="s">
        <v>32672</v>
      </c>
      <c r="H15262" t="s">
        <v>32683</v>
      </c>
      <c r="I15262" t="s">
        <v>10627</v>
      </c>
      <c r="J15262" t="s">
        <v>41847</v>
      </c>
      <c r="K15262" t="s">
        <v>42283</v>
      </c>
      <c r="M15262" t="s">
        <v>43181</v>
      </c>
      <c r="N15262" t="s">
        <v>46569</v>
      </c>
      <c r="O15262" t="s">
        <v>46570</v>
      </c>
      <c r="Q15262">
        <v>1</v>
      </c>
      <c r="R15262" t="s">
        <v>46595</v>
      </c>
      <c r="S15262" t="s">
        <v>47763</v>
      </c>
      <c r="T15262" t="s">
        <v>48246</v>
      </c>
      <c r="U15262" t="s">
        <v>61025</v>
      </c>
      <c r="W15262" t="s">
        <v>43181</v>
      </c>
      <c r="X15262" t="s">
        <v>46596</v>
      </c>
    </row>
    <row r="15263" spans="1:24">
      <c r="A15263">
        <f>HYPERLINK("https://www.philgeps.gov.ph/GEPSNONPILOT/Tender/SplashBidNoticeAbstractUI.aspx?menuIndex=3&amp;refID=7016149&amp;Result=3","7016149")</f>
        <v>0</v>
      </c>
      <c r="B15263" t="s">
        <v>601</v>
      </c>
      <c r="C15263" t="s">
        <v>18060</v>
      </c>
      <c r="D15263" t="s">
        <v>18848</v>
      </c>
      <c r="E15263" t="s">
        <v>32008</v>
      </c>
      <c r="F15263" t="s">
        <v>32664</v>
      </c>
      <c r="G15263" t="s">
        <v>32672</v>
      </c>
      <c r="H15263" t="s">
        <v>32683</v>
      </c>
      <c r="I15263" t="s">
        <v>10627</v>
      </c>
      <c r="J15263" t="s">
        <v>41848</v>
      </c>
      <c r="K15263" t="s">
        <v>42283</v>
      </c>
      <c r="M15263" t="s">
        <v>43181</v>
      </c>
      <c r="N15263" t="s">
        <v>46569</v>
      </c>
      <c r="O15263" t="s">
        <v>46570</v>
      </c>
      <c r="Q15263">
        <v>3</v>
      </c>
      <c r="R15263" t="s">
        <v>46595</v>
      </c>
      <c r="S15263" t="s">
        <v>47764</v>
      </c>
      <c r="T15263" t="s">
        <v>48246</v>
      </c>
      <c r="U15263" t="s">
        <v>61026</v>
      </c>
      <c r="W15263" t="s">
        <v>43181</v>
      </c>
      <c r="X15263" t="s">
        <v>46597</v>
      </c>
    </row>
    <row r="15264" spans="1:24">
      <c r="A15264">
        <f>HYPERLINK("https://www.philgeps.gov.ph/GEPSNONPILOT/Tender/SplashBidNoticeAbstractUI.aspx?menuIndex=3&amp;refID=7016069&amp;Result=3","7016069")</f>
        <v>0</v>
      </c>
      <c r="B15264" t="s">
        <v>601</v>
      </c>
      <c r="C15264" t="s">
        <v>18061</v>
      </c>
      <c r="D15264" t="s">
        <v>18848</v>
      </c>
      <c r="E15264" t="s">
        <v>32009</v>
      </c>
      <c r="F15264" t="s">
        <v>32664</v>
      </c>
      <c r="G15264" t="s">
        <v>32672</v>
      </c>
      <c r="H15264" t="s">
        <v>12635</v>
      </c>
      <c r="I15264" t="s">
        <v>32699</v>
      </c>
      <c r="J15264" t="s">
        <v>33657</v>
      </c>
      <c r="K15264" t="s">
        <v>42283</v>
      </c>
      <c r="M15264" t="s">
        <v>43181</v>
      </c>
      <c r="N15264" t="s">
        <v>46569</v>
      </c>
      <c r="O15264" t="s">
        <v>46570</v>
      </c>
      <c r="Q15264">
        <v>2</v>
      </c>
      <c r="R15264" t="s">
        <v>46595</v>
      </c>
      <c r="S15264" t="s">
        <v>47765</v>
      </c>
      <c r="T15264" t="s">
        <v>48246</v>
      </c>
      <c r="U15264" t="s">
        <v>61027</v>
      </c>
      <c r="W15264" t="s">
        <v>43181</v>
      </c>
      <c r="X15264" t="s">
        <v>46597</v>
      </c>
    </row>
    <row r="15265" spans="1:24">
      <c r="A15265">
        <f>HYPERLINK("https://www.philgeps.gov.ph/GEPSNONPILOT/Tender/SplashBidNoticeAbstractUI.aspx?menuIndex=3&amp;refID=7023778&amp;Result=3","7023778")</f>
        <v>0</v>
      </c>
      <c r="B15265" t="s">
        <v>774</v>
      </c>
      <c r="C15265" t="s">
        <v>18062</v>
      </c>
      <c r="D15265" t="s">
        <v>18842</v>
      </c>
      <c r="E15265" t="s">
        <v>32010</v>
      </c>
      <c r="F15265" t="s">
        <v>32664</v>
      </c>
      <c r="G15265" t="s">
        <v>32672</v>
      </c>
      <c r="H15265" t="s">
        <v>12635</v>
      </c>
      <c r="I15265" t="s">
        <v>9486</v>
      </c>
      <c r="J15265" t="s">
        <v>41849</v>
      </c>
      <c r="K15265" t="s">
        <v>42283</v>
      </c>
      <c r="M15265" t="s">
        <v>43365</v>
      </c>
      <c r="N15265" t="s">
        <v>46569</v>
      </c>
      <c r="O15265" t="s">
        <v>46570</v>
      </c>
      <c r="P15265">
        <v>0</v>
      </c>
      <c r="Q15265">
        <v>6</v>
      </c>
      <c r="R15265" t="s">
        <v>46593</v>
      </c>
      <c r="S15265" t="s">
        <v>47701</v>
      </c>
      <c r="T15265" t="s">
        <v>48307</v>
      </c>
      <c r="U15265" t="s">
        <v>61028</v>
      </c>
      <c r="W15265" t="s">
        <v>43365</v>
      </c>
      <c r="X15265" t="s">
        <v>46594</v>
      </c>
    </row>
    <row r="15266" spans="1:24">
      <c r="A15266">
        <f>HYPERLINK("https://www.philgeps.gov.ph/GEPSNONPILOT/Tender/SplashBidNoticeAbstractUI.aspx?menuIndex=3&amp;refID=7016667&amp;Result=3","7016667")</f>
        <v>0</v>
      </c>
      <c r="B15266" t="s">
        <v>601</v>
      </c>
      <c r="C15266" t="s">
        <v>18063</v>
      </c>
      <c r="D15266" t="s">
        <v>18848</v>
      </c>
      <c r="E15266" t="s">
        <v>32011</v>
      </c>
      <c r="F15266" t="s">
        <v>32664</v>
      </c>
      <c r="G15266" t="s">
        <v>32672</v>
      </c>
      <c r="H15266" t="s">
        <v>32683</v>
      </c>
      <c r="I15266" t="s">
        <v>10627</v>
      </c>
      <c r="J15266" t="s">
        <v>41850</v>
      </c>
      <c r="K15266" t="s">
        <v>42283</v>
      </c>
      <c r="M15266" t="s">
        <v>43181</v>
      </c>
      <c r="N15266" t="s">
        <v>46569</v>
      </c>
      <c r="O15266" t="s">
        <v>46570</v>
      </c>
      <c r="Q15266">
        <v>1</v>
      </c>
      <c r="R15266" t="s">
        <v>46595</v>
      </c>
      <c r="S15266" t="s">
        <v>47766</v>
      </c>
      <c r="T15266" t="s">
        <v>48246</v>
      </c>
      <c r="U15266" t="s">
        <v>61029</v>
      </c>
      <c r="W15266" t="s">
        <v>43181</v>
      </c>
      <c r="X15266" t="s">
        <v>46596</v>
      </c>
    </row>
    <row r="15267" spans="1:24">
      <c r="A15267">
        <f>HYPERLINK("https://www.philgeps.gov.ph/GEPSNONPILOT/Tender/SplashBidNoticeAbstractUI.aspx?menuIndex=3&amp;refID=7011952&amp;Result=3","7011952")</f>
        <v>0</v>
      </c>
      <c r="B15267" t="s">
        <v>1093</v>
      </c>
      <c r="C15267" t="s">
        <v>18064</v>
      </c>
      <c r="D15267" t="s">
        <v>18784</v>
      </c>
      <c r="E15267" t="s">
        <v>32012</v>
      </c>
      <c r="F15267" t="s">
        <v>32664</v>
      </c>
      <c r="G15267" t="s">
        <v>32671</v>
      </c>
      <c r="H15267" t="s">
        <v>12635</v>
      </c>
      <c r="I15267" t="s">
        <v>32775</v>
      </c>
      <c r="J15267" t="s">
        <v>36338</v>
      </c>
      <c r="K15267" t="s">
        <v>42289</v>
      </c>
      <c r="M15267" t="s">
        <v>43720</v>
      </c>
      <c r="N15267" t="s">
        <v>46569</v>
      </c>
      <c r="O15267" t="s">
        <v>46570</v>
      </c>
      <c r="Q15267">
        <v>0</v>
      </c>
      <c r="R15267" t="s">
        <v>46595</v>
      </c>
      <c r="S15267" t="s">
        <v>47767</v>
      </c>
      <c r="T15267" t="s">
        <v>48307</v>
      </c>
      <c r="U15267" t="s">
        <v>61030</v>
      </c>
      <c r="V15267" t="s">
        <v>61652</v>
      </c>
      <c r="W15267" t="s">
        <v>43720</v>
      </c>
      <c r="X15267" t="s">
        <v>46599</v>
      </c>
    </row>
    <row r="15268" spans="1:24">
      <c r="A15268">
        <f>HYPERLINK("https://www.philgeps.gov.ph/GEPSNONPILOT/Tender/SplashBidNoticeAbstractUI.aspx?menuIndex=3&amp;refID=7012919&amp;Result=3","7012919")</f>
        <v>0</v>
      </c>
      <c r="B15268" t="s">
        <v>3477</v>
      </c>
      <c r="C15268" t="s">
        <v>18065</v>
      </c>
      <c r="D15268" t="s">
        <v>18825</v>
      </c>
      <c r="E15268" t="s">
        <v>32013</v>
      </c>
      <c r="F15268" t="s">
        <v>32664</v>
      </c>
      <c r="G15268" t="s">
        <v>32672</v>
      </c>
      <c r="H15268" t="s">
        <v>32683</v>
      </c>
      <c r="I15268" t="s">
        <v>10627</v>
      </c>
      <c r="J15268" t="s">
        <v>35617</v>
      </c>
      <c r="K15268" t="s">
        <v>42311</v>
      </c>
      <c r="M15268" t="s">
        <v>46479</v>
      </c>
      <c r="N15268" t="s">
        <v>46569</v>
      </c>
      <c r="O15268" t="s">
        <v>46570</v>
      </c>
      <c r="P15268">
        <v>0</v>
      </c>
      <c r="Q15268">
        <v>0</v>
      </c>
      <c r="R15268" t="s">
        <v>46596</v>
      </c>
      <c r="S15268" t="s">
        <v>47768</v>
      </c>
      <c r="T15268" t="s">
        <v>48448</v>
      </c>
      <c r="U15268" t="s">
        <v>61031</v>
      </c>
      <c r="V15268" t="s">
        <v>61731</v>
      </c>
      <c r="W15268" t="s">
        <v>46479</v>
      </c>
      <c r="X15268" t="s">
        <v>46599</v>
      </c>
    </row>
    <row r="15269" spans="1:24">
      <c r="A15269">
        <f>HYPERLINK("https://www.philgeps.gov.ph/GEPSNONPILOT/Tender/SplashBidNoticeAbstractUI.aspx?menuIndex=3&amp;refID=7015601&amp;Result=3","7015601")</f>
        <v>0</v>
      </c>
      <c r="B15269" t="s">
        <v>3478</v>
      </c>
      <c r="C15269" t="s">
        <v>18066</v>
      </c>
      <c r="D15269" t="s">
        <v>18781</v>
      </c>
      <c r="E15269" t="s">
        <v>23186</v>
      </c>
      <c r="F15269" t="s">
        <v>32664</v>
      </c>
      <c r="G15269" t="s">
        <v>32674</v>
      </c>
      <c r="H15269" t="s">
        <v>12635</v>
      </c>
      <c r="I15269" t="s">
        <v>6168</v>
      </c>
      <c r="J15269" t="s">
        <v>33126</v>
      </c>
      <c r="K15269" t="s">
        <v>42283</v>
      </c>
      <c r="M15269" t="s">
        <v>46480</v>
      </c>
      <c r="N15269" t="s">
        <v>46569</v>
      </c>
      <c r="O15269" t="s">
        <v>46570</v>
      </c>
      <c r="P15269">
        <v>0</v>
      </c>
      <c r="Q15269">
        <v>2</v>
      </c>
      <c r="R15269" t="s">
        <v>46595</v>
      </c>
      <c r="S15269" t="s">
        <v>47769</v>
      </c>
      <c r="T15269" t="s">
        <v>48225</v>
      </c>
      <c r="U15269" t="s">
        <v>61032</v>
      </c>
      <c r="W15269" t="s">
        <v>46480</v>
      </c>
      <c r="X15269" t="s">
        <v>46597</v>
      </c>
    </row>
    <row r="15270" spans="1:24">
      <c r="A15270">
        <f>HYPERLINK("https://www.philgeps.gov.ph/GEPSNONPILOT/Tender/SplashBidNoticeAbstractUI.aspx?menuIndex=3&amp;refID=7020515&amp;Result=3","7020515")</f>
        <v>0</v>
      </c>
      <c r="B15270" t="s">
        <v>288</v>
      </c>
      <c r="C15270" t="s">
        <v>18067</v>
      </c>
      <c r="D15270" t="s">
        <v>18803</v>
      </c>
      <c r="E15270" t="s">
        <v>32014</v>
      </c>
      <c r="F15270" t="s">
        <v>32666</v>
      </c>
      <c r="G15270" t="s">
        <v>32672</v>
      </c>
      <c r="H15270" t="s">
        <v>12635</v>
      </c>
      <c r="I15270" t="s">
        <v>11464</v>
      </c>
      <c r="J15270" t="s">
        <v>34481</v>
      </c>
      <c r="K15270" t="s">
        <v>42311</v>
      </c>
      <c r="M15270" t="s">
        <v>42855</v>
      </c>
      <c r="N15270" t="s">
        <v>46569</v>
      </c>
      <c r="O15270" t="s">
        <v>46570</v>
      </c>
      <c r="Q15270">
        <v>9</v>
      </c>
      <c r="R15270" t="s">
        <v>46594</v>
      </c>
      <c r="S15270" t="s">
        <v>47770</v>
      </c>
      <c r="T15270" t="s">
        <v>48282</v>
      </c>
      <c r="U15270" t="s">
        <v>61033</v>
      </c>
      <c r="W15270" t="s">
        <v>42855</v>
      </c>
      <c r="X15270" t="s">
        <v>46598</v>
      </c>
    </row>
    <row r="15271" spans="1:24">
      <c r="A15271">
        <f>HYPERLINK("https://www.philgeps.gov.ph/GEPSNONPILOT/Tender/SplashBidNoticeAbstractUI.aspx?menuIndex=3&amp;refID=7024017&amp;Result=3","7024017")</f>
        <v>0</v>
      </c>
      <c r="B15271" t="s">
        <v>3172</v>
      </c>
      <c r="C15271" t="s">
        <v>18068</v>
      </c>
      <c r="D15271" t="s">
        <v>18816</v>
      </c>
      <c r="E15271" t="s">
        <v>32015</v>
      </c>
      <c r="F15271" t="s">
        <v>32664</v>
      </c>
      <c r="G15271" t="s">
        <v>32678</v>
      </c>
      <c r="H15271" t="s">
        <v>32681</v>
      </c>
      <c r="I15271" t="s">
        <v>32681</v>
      </c>
      <c r="J15271" t="s">
        <v>33397</v>
      </c>
      <c r="K15271" t="s">
        <v>42281</v>
      </c>
      <c r="M15271" t="s">
        <v>46080</v>
      </c>
      <c r="N15271" t="s">
        <v>46569</v>
      </c>
      <c r="O15271" t="s">
        <v>46570</v>
      </c>
      <c r="P15271">
        <v>0</v>
      </c>
      <c r="Q15271">
        <v>3</v>
      </c>
      <c r="R15271" t="s">
        <v>46593</v>
      </c>
      <c r="S15271" t="s">
        <v>47701</v>
      </c>
      <c r="T15271" t="s">
        <v>48221</v>
      </c>
      <c r="U15271" t="s">
        <v>58628</v>
      </c>
      <c r="W15271" t="s">
        <v>46080</v>
      </c>
      <c r="X15271" t="s">
        <v>46594</v>
      </c>
    </row>
    <row r="15272" spans="1:24">
      <c r="A15272">
        <f>HYPERLINK("https://www.philgeps.gov.ph/GEPSNONPILOT/Tender/SplashBidNoticeAbstractUI.aspx?menuIndex=3&amp;refID=7012989&amp;Result=3","7012989")</f>
        <v>0</v>
      </c>
      <c r="B15272" t="s">
        <v>822</v>
      </c>
      <c r="C15272" t="s">
        <v>18069</v>
      </c>
      <c r="E15272" t="s">
        <v>32016</v>
      </c>
      <c r="F15272" t="s">
        <v>32664</v>
      </c>
      <c r="G15272" t="s">
        <v>32672</v>
      </c>
      <c r="H15272" t="s">
        <v>12635</v>
      </c>
      <c r="I15272" t="s">
        <v>8797</v>
      </c>
      <c r="J15272" t="s">
        <v>41851</v>
      </c>
      <c r="K15272" t="s">
        <v>42283</v>
      </c>
      <c r="M15272" t="s">
        <v>44836</v>
      </c>
      <c r="N15272" t="s">
        <v>46569</v>
      </c>
      <c r="O15272" t="s">
        <v>46570</v>
      </c>
      <c r="Q15272">
        <v>10</v>
      </c>
      <c r="R15272" t="s">
        <v>46596</v>
      </c>
      <c r="S15272" t="s">
        <v>47771</v>
      </c>
      <c r="T15272" t="s">
        <v>48282</v>
      </c>
      <c r="U15272" t="s">
        <v>61034</v>
      </c>
      <c r="W15272" t="s">
        <v>44836</v>
      </c>
      <c r="X15272" t="s">
        <v>46599</v>
      </c>
    </row>
    <row r="15273" spans="1:24">
      <c r="A15273">
        <f>HYPERLINK("https://www.philgeps.gov.ph/GEPSNONPILOT/Tender/SplashBidNoticeAbstractUI.aspx?menuIndex=3&amp;refID=7012979&amp;Result=3","7012979")</f>
        <v>0</v>
      </c>
      <c r="B15273" t="s">
        <v>3477</v>
      </c>
      <c r="C15273" t="s">
        <v>18070</v>
      </c>
      <c r="D15273" t="s">
        <v>18825</v>
      </c>
      <c r="E15273" t="s">
        <v>32017</v>
      </c>
      <c r="F15273" t="s">
        <v>32664</v>
      </c>
      <c r="G15273" t="s">
        <v>32677</v>
      </c>
      <c r="H15273" t="s">
        <v>32683</v>
      </c>
      <c r="I15273" t="s">
        <v>10627</v>
      </c>
      <c r="J15273" t="s">
        <v>32974</v>
      </c>
      <c r="K15273" t="s">
        <v>42298</v>
      </c>
      <c r="M15273" t="s">
        <v>46479</v>
      </c>
      <c r="N15273" t="s">
        <v>46569</v>
      </c>
      <c r="O15273" t="s">
        <v>46570</v>
      </c>
      <c r="P15273">
        <v>0</v>
      </c>
      <c r="Q15273">
        <v>0</v>
      </c>
      <c r="R15273" t="s">
        <v>46596</v>
      </c>
      <c r="S15273" t="s">
        <v>47768</v>
      </c>
      <c r="T15273" t="s">
        <v>48448</v>
      </c>
      <c r="U15273" t="s">
        <v>61035</v>
      </c>
      <c r="V15273" t="s">
        <v>61731</v>
      </c>
      <c r="W15273" t="s">
        <v>46479</v>
      </c>
      <c r="X15273" t="s">
        <v>46599</v>
      </c>
    </row>
    <row r="15274" spans="1:24">
      <c r="A15274">
        <f>HYPERLINK("https://www.philgeps.gov.ph/GEPSNONPILOT/Tender/SplashBidNoticeAbstractUI.aspx?menuIndex=3&amp;refID=7018505&amp;Result=3","7018505")</f>
        <v>0</v>
      </c>
      <c r="B15274" t="s">
        <v>3479</v>
      </c>
      <c r="C15274" t="s">
        <v>18071</v>
      </c>
      <c r="E15274" t="s">
        <v>32018</v>
      </c>
      <c r="F15274" t="s">
        <v>32664</v>
      </c>
      <c r="G15274" t="s">
        <v>32671</v>
      </c>
      <c r="H15274" t="s">
        <v>12635</v>
      </c>
      <c r="I15274" t="s">
        <v>32684</v>
      </c>
      <c r="J15274" t="s">
        <v>33008</v>
      </c>
      <c r="K15274" t="s">
        <v>42283</v>
      </c>
      <c r="M15274" t="s">
        <v>46481</v>
      </c>
      <c r="N15274" t="s">
        <v>46569</v>
      </c>
      <c r="O15274" t="s">
        <v>46570</v>
      </c>
      <c r="P15274">
        <v>0</v>
      </c>
      <c r="Q15274">
        <v>8</v>
      </c>
      <c r="R15274" t="s">
        <v>46595</v>
      </c>
      <c r="S15274" t="s">
        <v>47769</v>
      </c>
      <c r="T15274" t="s">
        <v>48297</v>
      </c>
      <c r="U15274" t="s">
        <v>61036</v>
      </c>
      <c r="W15274" t="s">
        <v>46481</v>
      </c>
      <c r="X15274" t="s">
        <v>46596</v>
      </c>
    </row>
    <row r="15275" spans="1:24">
      <c r="A15275">
        <f>HYPERLINK("https://www.philgeps.gov.ph/GEPSNONPILOT/Tender/SplashBidNoticeAbstractUI.aspx?menuIndex=3&amp;refID=7018309&amp;Result=3","7018309")</f>
        <v>0</v>
      </c>
      <c r="B15275" t="s">
        <v>198</v>
      </c>
      <c r="C15275" t="s">
        <v>18072</v>
      </c>
      <c r="D15275" t="s">
        <v>18841</v>
      </c>
      <c r="E15275" t="s">
        <v>32019</v>
      </c>
      <c r="F15275" t="s">
        <v>32664</v>
      </c>
      <c r="G15275" t="s">
        <v>32672</v>
      </c>
      <c r="H15275" t="s">
        <v>12635</v>
      </c>
      <c r="I15275" t="s">
        <v>4439</v>
      </c>
      <c r="J15275" t="s">
        <v>41852</v>
      </c>
      <c r="K15275" t="s">
        <v>42283</v>
      </c>
      <c r="L15275" t="s">
        <v>198</v>
      </c>
      <c r="M15275" t="s">
        <v>42762</v>
      </c>
      <c r="N15275" t="s">
        <v>46569</v>
      </c>
      <c r="O15275" t="s">
        <v>46570</v>
      </c>
      <c r="P15275">
        <v>0</v>
      </c>
      <c r="Q15275">
        <v>0</v>
      </c>
      <c r="R15275" t="s">
        <v>46595</v>
      </c>
      <c r="S15275" t="s">
        <v>47769</v>
      </c>
      <c r="T15275" t="s">
        <v>48264</v>
      </c>
      <c r="U15275" t="s">
        <v>61037</v>
      </c>
      <c r="W15275" t="s">
        <v>42762</v>
      </c>
      <c r="X15275" t="s">
        <v>46596</v>
      </c>
    </row>
    <row r="15276" spans="1:24">
      <c r="A15276">
        <f>HYPERLINK("https://www.philgeps.gov.ph/GEPSNONPILOT/Tender/SplashBidNoticeAbstractUI.aspx?menuIndex=3&amp;refID=7018279&amp;Result=3","7018279")</f>
        <v>0</v>
      </c>
      <c r="B15276" t="s">
        <v>1926</v>
      </c>
      <c r="C15276" t="s">
        <v>18073</v>
      </c>
      <c r="D15276" t="s">
        <v>18787</v>
      </c>
      <c r="E15276" t="s">
        <v>32020</v>
      </c>
      <c r="F15276" t="s">
        <v>32664</v>
      </c>
      <c r="G15276" t="s">
        <v>32672</v>
      </c>
      <c r="H15276" t="s">
        <v>12635</v>
      </c>
      <c r="I15276" t="s">
        <v>6628</v>
      </c>
      <c r="J15276" t="s">
        <v>33858</v>
      </c>
      <c r="K15276" t="s">
        <v>42298</v>
      </c>
      <c r="M15276" t="s">
        <v>44648</v>
      </c>
      <c r="N15276" t="s">
        <v>46569</v>
      </c>
      <c r="O15276" t="s">
        <v>46570</v>
      </c>
      <c r="Q15276">
        <v>8</v>
      </c>
      <c r="R15276" t="s">
        <v>46595</v>
      </c>
      <c r="S15276" t="s">
        <v>47772</v>
      </c>
      <c r="T15276" t="s">
        <v>48283</v>
      </c>
      <c r="U15276" t="s">
        <v>61038</v>
      </c>
      <c r="W15276" t="s">
        <v>44648</v>
      </c>
      <c r="X15276" t="s">
        <v>46596</v>
      </c>
    </row>
    <row r="15277" spans="1:24">
      <c r="A15277">
        <f>HYPERLINK("https://www.philgeps.gov.ph/GEPSNONPILOT/Tender/SplashBidNoticeAbstractUI.aspx?menuIndex=3&amp;refID=7018226&amp;Result=3","7018226")</f>
        <v>0</v>
      </c>
      <c r="B15277" t="s">
        <v>2951</v>
      </c>
      <c r="C15277" t="s">
        <v>18074</v>
      </c>
      <c r="D15277" t="s">
        <v>18789</v>
      </c>
      <c r="E15277" t="s">
        <v>32021</v>
      </c>
      <c r="F15277" t="s">
        <v>32664</v>
      </c>
      <c r="G15277" t="s">
        <v>32672</v>
      </c>
      <c r="H15277" t="s">
        <v>32683</v>
      </c>
      <c r="I15277" t="s">
        <v>10627</v>
      </c>
      <c r="J15277" t="s">
        <v>41853</v>
      </c>
      <c r="K15277" t="s">
        <v>42308</v>
      </c>
      <c r="M15277" t="s">
        <v>45805</v>
      </c>
      <c r="N15277" t="s">
        <v>46569</v>
      </c>
      <c r="O15277" t="s">
        <v>46570</v>
      </c>
      <c r="Q15277">
        <v>4</v>
      </c>
      <c r="R15277" t="s">
        <v>46595</v>
      </c>
      <c r="S15277" t="s">
        <v>47773</v>
      </c>
      <c r="T15277" t="s">
        <v>48225</v>
      </c>
      <c r="U15277" t="s">
        <v>61039</v>
      </c>
      <c r="W15277" t="s">
        <v>45805</v>
      </c>
      <c r="X15277" t="s">
        <v>46596</v>
      </c>
    </row>
    <row r="15278" spans="1:24">
      <c r="A15278">
        <f>HYPERLINK("https://www.philgeps.gov.ph/GEPSNONPILOT/Tender/SplashBidNoticeAbstractUI.aspx?menuIndex=3&amp;refID=7018218&amp;Result=3","7018218")</f>
        <v>0</v>
      </c>
      <c r="B15278" t="s">
        <v>2951</v>
      </c>
      <c r="C15278" t="s">
        <v>18075</v>
      </c>
      <c r="D15278" t="s">
        <v>18789</v>
      </c>
      <c r="E15278" t="s">
        <v>32022</v>
      </c>
      <c r="F15278" t="s">
        <v>32664</v>
      </c>
      <c r="G15278" t="s">
        <v>32672</v>
      </c>
      <c r="H15278" t="s">
        <v>32683</v>
      </c>
      <c r="I15278" t="s">
        <v>10627</v>
      </c>
      <c r="J15278" t="s">
        <v>41854</v>
      </c>
      <c r="K15278" t="s">
        <v>42308</v>
      </c>
      <c r="M15278" t="s">
        <v>45805</v>
      </c>
      <c r="N15278" t="s">
        <v>46569</v>
      </c>
      <c r="O15278" t="s">
        <v>46570</v>
      </c>
      <c r="Q15278">
        <v>7</v>
      </c>
      <c r="R15278" t="s">
        <v>46595</v>
      </c>
      <c r="S15278" t="s">
        <v>47774</v>
      </c>
      <c r="T15278" t="s">
        <v>48225</v>
      </c>
      <c r="U15278" t="s">
        <v>61040</v>
      </c>
      <c r="W15278" t="s">
        <v>45805</v>
      </c>
      <c r="X15278" t="s">
        <v>46596</v>
      </c>
    </row>
    <row r="15279" spans="1:24">
      <c r="A15279">
        <f>HYPERLINK("https://www.philgeps.gov.ph/GEPSNONPILOT/Tender/SplashBidNoticeAbstractUI.aspx?menuIndex=3&amp;refID=7018207&amp;Result=3","7018207")</f>
        <v>0</v>
      </c>
      <c r="B15279" t="s">
        <v>2951</v>
      </c>
      <c r="C15279" t="s">
        <v>18076</v>
      </c>
      <c r="D15279" t="s">
        <v>18789</v>
      </c>
      <c r="E15279" t="s">
        <v>32023</v>
      </c>
      <c r="F15279" t="s">
        <v>32664</v>
      </c>
      <c r="G15279" t="s">
        <v>32672</v>
      </c>
      <c r="H15279" t="s">
        <v>32683</v>
      </c>
      <c r="I15279" t="s">
        <v>10627</v>
      </c>
      <c r="J15279" t="s">
        <v>37270</v>
      </c>
      <c r="K15279" t="s">
        <v>42311</v>
      </c>
      <c r="M15279" t="s">
        <v>45805</v>
      </c>
      <c r="N15279" t="s">
        <v>46569</v>
      </c>
      <c r="O15279" t="s">
        <v>46570</v>
      </c>
      <c r="Q15279">
        <v>3</v>
      </c>
      <c r="R15279" t="s">
        <v>46595</v>
      </c>
      <c r="S15279" t="s">
        <v>47775</v>
      </c>
      <c r="T15279" t="s">
        <v>48225</v>
      </c>
      <c r="U15279" t="s">
        <v>61041</v>
      </c>
      <c r="W15279" t="s">
        <v>45805</v>
      </c>
      <c r="X15279" t="s">
        <v>46596</v>
      </c>
    </row>
    <row r="15280" spans="1:24">
      <c r="A15280">
        <f>HYPERLINK("https://www.philgeps.gov.ph/GEPSNONPILOT/Tender/SplashBidNoticeAbstractUI.aspx?menuIndex=3&amp;refID=7018196&amp;Result=3","7018196")</f>
        <v>0</v>
      </c>
      <c r="B15280" t="s">
        <v>2951</v>
      </c>
      <c r="C15280" t="s">
        <v>18077</v>
      </c>
      <c r="D15280" t="s">
        <v>18789</v>
      </c>
      <c r="E15280" t="s">
        <v>32024</v>
      </c>
      <c r="F15280" t="s">
        <v>32664</v>
      </c>
      <c r="G15280" t="s">
        <v>32672</v>
      </c>
      <c r="H15280" t="s">
        <v>32683</v>
      </c>
      <c r="I15280" t="s">
        <v>10627</v>
      </c>
      <c r="J15280" t="s">
        <v>34147</v>
      </c>
      <c r="K15280" t="s">
        <v>42290</v>
      </c>
      <c r="M15280" t="s">
        <v>45805</v>
      </c>
      <c r="N15280" t="s">
        <v>46569</v>
      </c>
      <c r="O15280" t="s">
        <v>46570</v>
      </c>
      <c r="Q15280">
        <v>2</v>
      </c>
      <c r="R15280" t="s">
        <v>46595</v>
      </c>
      <c r="S15280" t="s">
        <v>47776</v>
      </c>
      <c r="T15280" t="s">
        <v>48225</v>
      </c>
      <c r="U15280" t="s">
        <v>61042</v>
      </c>
      <c r="W15280" t="s">
        <v>45805</v>
      </c>
      <c r="X15280" t="s">
        <v>46596</v>
      </c>
    </row>
    <row r="15281" spans="1:24">
      <c r="A15281">
        <f>HYPERLINK("https://www.philgeps.gov.ph/GEPSNONPILOT/Tender/SplashBidNoticeAbstractUI.aspx?menuIndex=3&amp;refID=7018186&amp;Result=3","7018186")</f>
        <v>0</v>
      </c>
      <c r="B15281" t="s">
        <v>2951</v>
      </c>
      <c r="C15281" t="s">
        <v>18078</v>
      </c>
      <c r="D15281" t="s">
        <v>18789</v>
      </c>
      <c r="E15281" t="s">
        <v>32025</v>
      </c>
      <c r="F15281" t="s">
        <v>32664</v>
      </c>
      <c r="G15281" t="s">
        <v>32672</v>
      </c>
      <c r="H15281" t="s">
        <v>32683</v>
      </c>
      <c r="I15281" t="s">
        <v>10627</v>
      </c>
      <c r="J15281" t="s">
        <v>41855</v>
      </c>
      <c r="K15281" t="s">
        <v>42495</v>
      </c>
      <c r="M15281" t="s">
        <v>45805</v>
      </c>
      <c r="N15281" t="s">
        <v>46569</v>
      </c>
      <c r="O15281" t="s">
        <v>46570</v>
      </c>
      <c r="Q15281">
        <v>5</v>
      </c>
      <c r="R15281" t="s">
        <v>46595</v>
      </c>
      <c r="S15281" t="s">
        <v>47777</v>
      </c>
      <c r="T15281" t="s">
        <v>48225</v>
      </c>
      <c r="U15281" t="s">
        <v>61043</v>
      </c>
      <c r="W15281" t="s">
        <v>45805</v>
      </c>
      <c r="X15281" t="s">
        <v>46596</v>
      </c>
    </row>
    <row r="15282" spans="1:24">
      <c r="A15282">
        <f>HYPERLINK("https://www.philgeps.gov.ph/GEPSNONPILOT/Tender/SplashBidNoticeAbstractUI.aspx?menuIndex=3&amp;refID=7016199&amp;Result=3","7016199")</f>
        <v>0</v>
      </c>
      <c r="B15282" t="s">
        <v>351</v>
      </c>
      <c r="C15282" t="s">
        <v>18079</v>
      </c>
      <c r="D15282" t="s">
        <v>18831</v>
      </c>
      <c r="E15282" t="s">
        <v>32026</v>
      </c>
      <c r="F15282" t="s">
        <v>32664</v>
      </c>
      <c r="G15282" t="s">
        <v>32672</v>
      </c>
      <c r="H15282" t="s">
        <v>32683</v>
      </c>
      <c r="I15282" t="s">
        <v>10627</v>
      </c>
      <c r="J15282" t="s">
        <v>38737</v>
      </c>
      <c r="K15282" t="s">
        <v>42562</v>
      </c>
      <c r="M15282" t="s">
        <v>42920</v>
      </c>
      <c r="N15282" t="s">
        <v>46569</v>
      </c>
      <c r="O15282" t="s">
        <v>46570</v>
      </c>
      <c r="Q15282">
        <v>1</v>
      </c>
      <c r="R15282" t="s">
        <v>46596</v>
      </c>
      <c r="S15282" t="s">
        <v>47778</v>
      </c>
      <c r="T15282" t="s">
        <v>48308</v>
      </c>
      <c r="U15282" t="s">
        <v>61044</v>
      </c>
      <c r="W15282" t="s">
        <v>42920</v>
      </c>
      <c r="X15282" t="s">
        <v>46597</v>
      </c>
    </row>
    <row r="15283" spans="1:24">
      <c r="A15283">
        <f>HYPERLINK("https://www.philgeps.gov.ph/GEPSNONPILOT/Tender/SplashBidNoticeAbstractUI.aspx?menuIndex=3&amp;refID=7013091&amp;Result=3","7013091")</f>
        <v>0</v>
      </c>
      <c r="B15283" t="s">
        <v>3477</v>
      </c>
      <c r="C15283" t="s">
        <v>18080</v>
      </c>
      <c r="D15283" t="s">
        <v>18825</v>
      </c>
      <c r="E15283" t="s">
        <v>32027</v>
      </c>
      <c r="F15283" t="s">
        <v>32664</v>
      </c>
      <c r="G15283" t="s">
        <v>32677</v>
      </c>
      <c r="H15283" t="s">
        <v>12635</v>
      </c>
      <c r="I15283" t="s">
        <v>10627</v>
      </c>
      <c r="J15283" t="s">
        <v>32974</v>
      </c>
      <c r="K15283" t="s">
        <v>42298</v>
      </c>
      <c r="M15283" t="s">
        <v>46479</v>
      </c>
      <c r="N15283" t="s">
        <v>46569</v>
      </c>
      <c r="O15283" t="s">
        <v>46570</v>
      </c>
      <c r="P15283">
        <v>0</v>
      </c>
      <c r="Q15283">
        <v>0</v>
      </c>
      <c r="R15283" t="s">
        <v>46596</v>
      </c>
      <c r="S15283" t="s">
        <v>47768</v>
      </c>
      <c r="T15283" t="s">
        <v>48448</v>
      </c>
      <c r="U15283" t="s">
        <v>61045</v>
      </c>
      <c r="V15283" t="s">
        <v>61731</v>
      </c>
      <c r="W15283" t="s">
        <v>46479</v>
      </c>
      <c r="X15283" t="s">
        <v>46599</v>
      </c>
    </row>
    <row r="15284" spans="1:24">
      <c r="A15284">
        <f>HYPERLINK("https://www.philgeps.gov.ph/GEPSNONPILOT/Tender/SplashBidNoticeAbstractUI.aspx?menuIndex=3&amp;refID=7011819&amp;Result=3","7011819")</f>
        <v>0</v>
      </c>
      <c r="B15284" t="s">
        <v>2391</v>
      </c>
      <c r="C15284" t="s">
        <v>18081</v>
      </c>
      <c r="D15284" t="s">
        <v>18830</v>
      </c>
      <c r="E15284" t="s">
        <v>32028</v>
      </c>
      <c r="F15284" t="s">
        <v>32664</v>
      </c>
      <c r="G15284" t="s">
        <v>32677</v>
      </c>
      <c r="H15284" t="s">
        <v>12635</v>
      </c>
      <c r="I15284" t="s">
        <v>9486</v>
      </c>
      <c r="J15284" t="s">
        <v>41856</v>
      </c>
      <c r="K15284" t="s">
        <v>42297</v>
      </c>
      <c r="M15284" t="s">
        <v>45181</v>
      </c>
      <c r="N15284" t="s">
        <v>46569</v>
      </c>
      <c r="O15284" t="s">
        <v>46570</v>
      </c>
      <c r="Q15284">
        <v>1</v>
      </c>
      <c r="R15284" t="s">
        <v>46597</v>
      </c>
      <c r="S15284" t="s">
        <v>47779</v>
      </c>
      <c r="T15284" t="s">
        <v>48314</v>
      </c>
      <c r="U15284" t="s">
        <v>61046</v>
      </c>
      <c r="V15284" t="s">
        <v>63324</v>
      </c>
      <c r="W15284" t="s">
        <v>45181</v>
      </c>
      <c r="X15284" t="s">
        <v>46599</v>
      </c>
    </row>
    <row r="15285" spans="1:24">
      <c r="A15285">
        <f>HYPERLINK("https://www.philgeps.gov.ph/GEPSNONPILOT/Tender/SplashBidNoticeAbstractUI.aspx?menuIndex=3&amp;refID=7016421&amp;Result=3","7016421")</f>
        <v>0</v>
      </c>
      <c r="B15285" t="s">
        <v>3309</v>
      </c>
      <c r="C15285" t="s">
        <v>18082</v>
      </c>
      <c r="D15285" t="s">
        <v>18819</v>
      </c>
      <c r="E15285" t="s">
        <v>32029</v>
      </c>
      <c r="F15285" t="s">
        <v>32664</v>
      </c>
      <c r="G15285" t="s">
        <v>32672</v>
      </c>
      <c r="H15285" t="s">
        <v>32683</v>
      </c>
      <c r="I15285" t="s">
        <v>10627</v>
      </c>
      <c r="J15285" t="s">
        <v>37781</v>
      </c>
      <c r="K15285" t="s">
        <v>42506</v>
      </c>
      <c r="M15285" t="s">
        <v>46255</v>
      </c>
      <c r="N15285" t="s">
        <v>46569</v>
      </c>
      <c r="O15285" t="s">
        <v>46570</v>
      </c>
      <c r="Q15285">
        <v>34</v>
      </c>
      <c r="R15285" t="s">
        <v>46596</v>
      </c>
      <c r="S15285" t="s">
        <v>47780</v>
      </c>
      <c r="T15285" t="s">
        <v>48228</v>
      </c>
      <c r="U15285" t="s">
        <v>61047</v>
      </c>
      <c r="V15285" t="s">
        <v>63325</v>
      </c>
      <c r="W15285" t="s">
        <v>46255</v>
      </c>
      <c r="X15285" t="s">
        <v>46597</v>
      </c>
    </row>
    <row r="15286" spans="1:24">
      <c r="A15286">
        <f>HYPERLINK("https://www.philgeps.gov.ph/GEPSNONPILOT/Tender/SplashBidNoticeAbstractUI.aspx?menuIndex=3&amp;refID=7016207&amp;Result=3","7016207")</f>
        <v>0</v>
      </c>
      <c r="B15286" t="s">
        <v>611</v>
      </c>
      <c r="C15286" t="s">
        <v>18083</v>
      </c>
      <c r="E15286" t="s">
        <v>32030</v>
      </c>
      <c r="F15286" t="s">
        <v>32664</v>
      </c>
      <c r="G15286" t="s">
        <v>32672</v>
      </c>
      <c r="H15286" t="s">
        <v>12635</v>
      </c>
      <c r="I15286" t="s">
        <v>32704</v>
      </c>
      <c r="J15286" t="s">
        <v>34147</v>
      </c>
      <c r="K15286" t="s">
        <v>42298</v>
      </c>
      <c r="M15286" t="s">
        <v>45121</v>
      </c>
      <c r="N15286" t="s">
        <v>46569</v>
      </c>
      <c r="O15286" t="s">
        <v>46570</v>
      </c>
      <c r="Q15286">
        <v>28</v>
      </c>
      <c r="R15286" t="s">
        <v>46596</v>
      </c>
      <c r="S15286" t="s">
        <v>47781</v>
      </c>
      <c r="T15286" t="s">
        <v>48258</v>
      </c>
      <c r="U15286" t="s">
        <v>61048</v>
      </c>
      <c r="W15286" t="s">
        <v>45121</v>
      </c>
      <c r="X15286" t="s">
        <v>46597</v>
      </c>
    </row>
    <row r="15287" spans="1:24">
      <c r="A15287">
        <f>HYPERLINK("https://www.philgeps.gov.ph/GEPSNONPILOT/Tender/SplashBidNoticeAbstractUI.aspx?menuIndex=3&amp;refID=7016172&amp;Result=3","7016172")</f>
        <v>0</v>
      </c>
      <c r="B15287" t="s">
        <v>611</v>
      </c>
      <c r="C15287" t="s">
        <v>18084</v>
      </c>
      <c r="E15287" t="s">
        <v>32031</v>
      </c>
      <c r="F15287" t="s">
        <v>32664</v>
      </c>
      <c r="G15287" t="s">
        <v>32672</v>
      </c>
      <c r="H15287" t="s">
        <v>12635</v>
      </c>
      <c r="I15287" t="s">
        <v>32704</v>
      </c>
      <c r="J15287" t="s">
        <v>34293</v>
      </c>
      <c r="K15287" t="s">
        <v>42298</v>
      </c>
      <c r="M15287" t="s">
        <v>45121</v>
      </c>
      <c r="N15287" t="s">
        <v>46569</v>
      </c>
      <c r="O15287" t="s">
        <v>46570</v>
      </c>
      <c r="Q15287">
        <v>19</v>
      </c>
      <c r="R15287" t="s">
        <v>46596</v>
      </c>
      <c r="S15287" t="s">
        <v>47782</v>
      </c>
      <c r="T15287" t="s">
        <v>48283</v>
      </c>
      <c r="U15287" t="s">
        <v>61049</v>
      </c>
      <c r="W15287" t="s">
        <v>45121</v>
      </c>
      <c r="X15287" t="s">
        <v>46597</v>
      </c>
    </row>
    <row r="15288" spans="1:24">
      <c r="A15288">
        <f>HYPERLINK("https://www.philgeps.gov.ph/GEPSNONPILOT/Tender/SplashBidNoticeAbstractUI.aspx?menuIndex=3&amp;refID=7010319&amp;Result=3","7010319")</f>
        <v>0</v>
      </c>
      <c r="B15288" t="s">
        <v>230</v>
      </c>
      <c r="C15288" t="s">
        <v>18085</v>
      </c>
      <c r="D15288" t="s">
        <v>18827</v>
      </c>
      <c r="E15288" t="s">
        <v>22510</v>
      </c>
      <c r="F15288" t="s">
        <v>32664</v>
      </c>
      <c r="G15288" t="s">
        <v>32672</v>
      </c>
      <c r="H15288" t="s">
        <v>32683</v>
      </c>
      <c r="I15288" t="s">
        <v>10627</v>
      </c>
      <c r="J15288" t="s">
        <v>41857</v>
      </c>
      <c r="K15288" t="s">
        <v>42283</v>
      </c>
      <c r="M15288" t="s">
        <v>42794</v>
      </c>
      <c r="N15288" t="s">
        <v>46569</v>
      </c>
      <c r="O15288" t="s">
        <v>46570</v>
      </c>
      <c r="P15288">
        <v>0</v>
      </c>
      <c r="Q15288">
        <v>1</v>
      </c>
      <c r="R15288" t="s">
        <v>46597</v>
      </c>
      <c r="S15288" t="s">
        <v>47783</v>
      </c>
      <c r="T15288" t="s">
        <v>48287</v>
      </c>
      <c r="U15288" t="s">
        <v>61050</v>
      </c>
      <c r="W15288" t="s">
        <v>42794</v>
      </c>
      <c r="X15288" t="s">
        <v>46600</v>
      </c>
    </row>
    <row r="15289" spans="1:24">
      <c r="A15289">
        <f>HYPERLINK("https://www.philgeps.gov.ph/GEPSNONPILOT/Tender/SplashBidNoticeAbstractUI.aspx?menuIndex=3&amp;refID=7016130&amp;Result=3","7016130")</f>
        <v>0</v>
      </c>
      <c r="B15289" t="s">
        <v>611</v>
      </c>
      <c r="C15289" t="s">
        <v>18086</v>
      </c>
      <c r="E15289" t="s">
        <v>32032</v>
      </c>
      <c r="F15289" t="s">
        <v>32664</v>
      </c>
      <c r="G15289" t="s">
        <v>32672</v>
      </c>
      <c r="H15289" t="s">
        <v>12635</v>
      </c>
      <c r="I15289" t="s">
        <v>32704</v>
      </c>
      <c r="J15289" t="s">
        <v>41355</v>
      </c>
      <c r="K15289" t="s">
        <v>42298</v>
      </c>
      <c r="M15289" t="s">
        <v>45121</v>
      </c>
      <c r="N15289" t="s">
        <v>46569</v>
      </c>
      <c r="O15289" t="s">
        <v>46570</v>
      </c>
      <c r="Q15289">
        <v>17</v>
      </c>
      <c r="R15289" t="s">
        <v>46596</v>
      </c>
      <c r="S15289" t="s">
        <v>47784</v>
      </c>
      <c r="T15289" t="s">
        <v>48228</v>
      </c>
      <c r="U15289" t="s">
        <v>61051</v>
      </c>
      <c r="W15289" t="s">
        <v>45121</v>
      </c>
      <c r="X15289" t="s">
        <v>46597</v>
      </c>
    </row>
    <row r="15290" spans="1:24">
      <c r="A15290">
        <f>HYPERLINK("https://www.philgeps.gov.ph/GEPSNONPILOT/Tender/SplashBidNoticeAbstractUI.aspx?menuIndex=3&amp;refID=7017339&amp;Result=3","7017339")</f>
        <v>0</v>
      </c>
      <c r="B15290" t="s">
        <v>3480</v>
      </c>
      <c r="C15290" t="s">
        <v>18087</v>
      </c>
      <c r="D15290" t="s">
        <v>18806</v>
      </c>
      <c r="E15290" t="s">
        <v>32033</v>
      </c>
      <c r="F15290" t="s">
        <v>32664</v>
      </c>
      <c r="G15290" t="s">
        <v>32672</v>
      </c>
      <c r="H15290" t="s">
        <v>12635</v>
      </c>
      <c r="I15290" t="s">
        <v>4439</v>
      </c>
      <c r="J15290" t="s">
        <v>41858</v>
      </c>
      <c r="K15290" t="s">
        <v>42297</v>
      </c>
      <c r="M15290" t="s">
        <v>46482</v>
      </c>
      <c r="N15290" t="s">
        <v>46569</v>
      </c>
      <c r="O15290" t="s">
        <v>46570</v>
      </c>
      <c r="P15290">
        <v>0</v>
      </c>
      <c r="Q15290">
        <v>0</v>
      </c>
      <c r="R15290" t="s">
        <v>46598</v>
      </c>
      <c r="S15290" t="s">
        <v>47785</v>
      </c>
      <c r="T15290" t="s">
        <v>48256</v>
      </c>
      <c r="U15290" t="s">
        <v>61052</v>
      </c>
      <c r="W15290" t="s">
        <v>46482</v>
      </c>
      <c r="X15290" t="s">
        <v>46596</v>
      </c>
    </row>
    <row r="15291" spans="1:24">
      <c r="A15291">
        <f>HYPERLINK("https://www.philgeps.gov.ph/GEPSNONPILOT/Tender/SplashBidNoticeAbstractUI.aspx?menuIndex=3&amp;refID=7015990&amp;Result=3","7015990")</f>
        <v>0</v>
      </c>
      <c r="B15291" t="s">
        <v>1281</v>
      </c>
      <c r="C15291" t="s">
        <v>18088</v>
      </c>
      <c r="D15291" t="s">
        <v>18837</v>
      </c>
      <c r="E15291" t="s">
        <v>32034</v>
      </c>
      <c r="F15291" t="s">
        <v>32664</v>
      </c>
      <c r="G15291" t="s">
        <v>32671</v>
      </c>
      <c r="H15291" t="s">
        <v>32682</v>
      </c>
      <c r="I15291" t="s">
        <v>10361</v>
      </c>
      <c r="J15291" t="s">
        <v>41859</v>
      </c>
      <c r="K15291" t="s">
        <v>42316</v>
      </c>
      <c r="M15291" t="s">
        <v>43924</v>
      </c>
      <c r="N15291" t="s">
        <v>46569</v>
      </c>
      <c r="O15291" t="s">
        <v>46570</v>
      </c>
      <c r="P15291">
        <v>0</v>
      </c>
      <c r="Q15291">
        <v>0</v>
      </c>
      <c r="R15291" t="s">
        <v>46596</v>
      </c>
      <c r="S15291" t="s">
        <v>47768</v>
      </c>
      <c r="T15291" t="s">
        <v>48280</v>
      </c>
      <c r="U15291" t="s">
        <v>61053</v>
      </c>
      <c r="W15291" t="s">
        <v>43924</v>
      </c>
      <c r="X15291" t="s">
        <v>46597</v>
      </c>
    </row>
    <row r="15292" spans="1:24">
      <c r="A15292">
        <f>HYPERLINK("https://www.philgeps.gov.ph/GEPSNONPILOT/Tender/SplashBidNoticeAbstractUI.aspx?menuIndex=3&amp;refID=7015586&amp;Result=3","7015586")</f>
        <v>0</v>
      </c>
      <c r="B15292" t="s">
        <v>944</v>
      </c>
      <c r="C15292" t="s">
        <v>14269</v>
      </c>
      <c r="D15292" t="s">
        <v>18827</v>
      </c>
      <c r="E15292" t="s">
        <v>32035</v>
      </c>
      <c r="F15292" t="s">
        <v>32664</v>
      </c>
      <c r="G15292" t="s">
        <v>32672</v>
      </c>
      <c r="H15292" t="s">
        <v>32683</v>
      </c>
      <c r="I15292" t="s">
        <v>10627</v>
      </c>
      <c r="J15292" t="s">
        <v>32930</v>
      </c>
      <c r="K15292" t="s">
        <v>42308</v>
      </c>
      <c r="M15292" t="s">
        <v>43550</v>
      </c>
      <c r="N15292" t="s">
        <v>46569</v>
      </c>
      <c r="O15292" t="s">
        <v>46570</v>
      </c>
      <c r="P15292">
        <v>0</v>
      </c>
      <c r="Q15292">
        <v>3</v>
      </c>
      <c r="R15292" t="s">
        <v>46596</v>
      </c>
      <c r="S15292" t="s">
        <v>47768</v>
      </c>
      <c r="T15292" t="s">
        <v>48221</v>
      </c>
      <c r="U15292" t="s">
        <v>61054</v>
      </c>
      <c r="V15292" t="s">
        <v>63326</v>
      </c>
      <c r="W15292" t="s">
        <v>43550</v>
      </c>
      <c r="X15292" t="s">
        <v>46597</v>
      </c>
    </row>
    <row r="15293" spans="1:24">
      <c r="A15293">
        <f>HYPERLINK("https://www.philgeps.gov.ph/GEPSNONPILOT/Tender/SplashBidNoticeAbstractUI.aspx?menuIndex=3&amp;refID=7016206&amp;Result=3","7016206")</f>
        <v>0</v>
      </c>
      <c r="B15293" t="s">
        <v>351</v>
      </c>
      <c r="C15293" t="s">
        <v>18089</v>
      </c>
      <c r="D15293" t="s">
        <v>18831</v>
      </c>
      <c r="E15293" t="s">
        <v>32036</v>
      </c>
      <c r="F15293" t="s">
        <v>32664</v>
      </c>
      <c r="G15293" t="s">
        <v>32672</v>
      </c>
      <c r="H15293" t="s">
        <v>32683</v>
      </c>
      <c r="I15293" t="s">
        <v>10627</v>
      </c>
      <c r="J15293" t="s">
        <v>33508</v>
      </c>
      <c r="K15293" t="s">
        <v>42573</v>
      </c>
      <c r="M15293" t="s">
        <v>42920</v>
      </c>
      <c r="N15293" t="s">
        <v>46569</v>
      </c>
      <c r="O15293" t="s">
        <v>46570</v>
      </c>
      <c r="Q15293">
        <v>2</v>
      </c>
      <c r="R15293" t="s">
        <v>46596</v>
      </c>
      <c r="S15293" t="s">
        <v>47786</v>
      </c>
      <c r="T15293" t="s">
        <v>48308</v>
      </c>
      <c r="U15293" t="s">
        <v>61055</v>
      </c>
      <c r="W15293" t="s">
        <v>42920</v>
      </c>
      <c r="X15293" t="s">
        <v>46597</v>
      </c>
    </row>
    <row r="15294" spans="1:24">
      <c r="A15294">
        <f>HYPERLINK("https://www.philgeps.gov.ph/GEPSNONPILOT/Tender/SplashBidNoticeAbstractUI.aspx?menuIndex=3&amp;refID=7016088&amp;Result=3","7016088")</f>
        <v>0</v>
      </c>
      <c r="B15294" t="s">
        <v>601</v>
      </c>
      <c r="C15294" t="s">
        <v>18090</v>
      </c>
      <c r="D15294" t="s">
        <v>18848</v>
      </c>
      <c r="E15294" t="s">
        <v>32037</v>
      </c>
      <c r="F15294" t="s">
        <v>32664</v>
      </c>
      <c r="G15294" t="s">
        <v>32672</v>
      </c>
      <c r="H15294" t="s">
        <v>32683</v>
      </c>
      <c r="I15294" t="s">
        <v>10627</v>
      </c>
      <c r="J15294" t="s">
        <v>41860</v>
      </c>
      <c r="K15294" t="s">
        <v>42283</v>
      </c>
      <c r="M15294" t="s">
        <v>43181</v>
      </c>
      <c r="N15294" t="s">
        <v>46569</v>
      </c>
      <c r="O15294" t="s">
        <v>46570</v>
      </c>
      <c r="Q15294">
        <v>1</v>
      </c>
      <c r="R15294" t="s">
        <v>46595</v>
      </c>
      <c r="S15294" t="s">
        <v>47787</v>
      </c>
      <c r="T15294" t="s">
        <v>48246</v>
      </c>
      <c r="U15294" t="s">
        <v>61056</v>
      </c>
      <c r="W15294" t="s">
        <v>43181</v>
      </c>
      <c r="X15294" t="s">
        <v>46597</v>
      </c>
    </row>
    <row r="15295" spans="1:24">
      <c r="A15295">
        <f>HYPERLINK("https://www.philgeps.gov.ph/GEPSNONPILOT/Tender/SplashBidNoticeAbstractUI.aspx?menuIndex=3&amp;refID=7015689&amp;Result=3","7015689")</f>
        <v>0</v>
      </c>
      <c r="B15295" t="s">
        <v>3481</v>
      </c>
      <c r="C15295" t="s">
        <v>18091</v>
      </c>
      <c r="D15295" t="s">
        <v>18788</v>
      </c>
      <c r="E15295" t="s">
        <v>19484</v>
      </c>
      <c r="F15295" t="s">
        <v>32664</v>
      </c>
      <c r="G15295" t="s">
        <v>32672</v>
      </c>
      <c r="H15295" t="s">
        <v>32683</v>
      </c>
      <c r="I15295" t="s">
        <v>10627</v>
      </c>
      <c r="J15295" t="s">
        <v>41861</v>
      </c>
      <c r="K15295" t="s">
        <v>42311</v>
      </c>
      <c r="M15295" t="s">
        <v>46483</v>
      </c>
      <c r="N15295" t="s">
        <v>46569</v>
      </c>
      <c r="O15295" t="s">
        <v>46570</v>
      </c>
      <c r="P15295">
        <v>0</v>
      </c>
      <c r="Q15295">
        <v>2</v>
      </c>
      <c r="R15295" t="s">
        <v>46596</v>
      </c>
      <c r="S15295" t="s">
        <v>47768</v>
      </c>
      <c r="T15295" t="s">
        <v>48448</v>
      </c>
      <c r="U15295" t="s">
        <v>61057</v>
      </c>
      <c r="W15295" t="s">
        <v>46483</v>
      </c>
      <c r="X15295" t="s">
        <v>46597</v>
      </c>
    </row>
    <row r="15296" spans="1:24">
      <c r="A15296">
        <f>HYPERLINK("https://www.philgeps.gov.ph/GEPSNONPILOT/Tender/SplashBidNoticeAbstractUI.aspx?menuIndex=3&amp;refID=7010672&amp;Result=3","7010672")</f>
        <v>0</v>
      </c>
      <c r="B15296" t="s">
        <v>3482</v>
      </c>
      <c r="C15296" t="s">
        <v>18092</v>
      </c>
      <c r="D15296" t="s">
        <v>18821</v>
      </c>
      <c r="E15296" t="s">
        <v>20953</v>
      </c>
      <c r="F15296" t="s">
        <v>32664</v>
      </c>
      <c r="G15296" t="s">
        <v>32672</v>
      </c>
      <c r="H15296" t="s">
        <v>32683</v>
      </c>
      <c r="I15296" t="s">
        <v>4439</v>
      </c>
      <c r="J15296" t="s">
        <v>41862</v>
      </c>
      <c r="K15296" t="s">
        <v>42298</v>
      </c>
      <c r="M15296" t="s">
        <v>46484</v>
      </c>
      <c r="N15296" t="s">
        <v>46569</v>
      </c>
      <c r="O15296" t="s">
        <v>46570</v>
      </c>
      <c r="P15296">
        <v>0</v>
      </c>
      <c r="Q15296">
        <v>2</v>
      </c>
      <c r="R15296" t="s">
        <v>46599</v>
      </c>
      <c r="S15296" t="s">
        <v>47788</v>
      </c>
      <c r="T15296" t="s">
        <v>48219</v>
      </c>
      <c r="U15296" t="s">
        <v>61058</v>
      </c>
      <c r="W15296" t="s">
        <v>46484</v>
      </c>
      <c r="X15296" t="s">
        <v>46600</v>
      </c>
    </row>
    <row r="15297" spans="1:24">
      <c r="A15297">
        <f>HYPERLINK("https://www.philgeps.gov.ph/GEPSNONPILOT/Tender/SplashBidNoticeAbstractUI.aspx?menuIndex=3&amp;refID=7009939&amp;Result=3","7009939")</f>
        <v>0</v>
      </c>
      <c r="B15297" t="s">
        <v>442</v>
      </c>
      <c r="C15297" t="s">
        <v>18093</v>
      </c>
      <c r="D15297" t="s">
        <v>18852</v>
      </c>
      <c r="E15297" t="s">
        <v>24119</v>
      </c>
      <c r="F15297" t="s">
        <v>32664</v>
      </c>
      <c r="G15297" t="s">
        <v>32672</v>
      </c>
      <c r="H15297" t="s">
        <v>12635</v>
      </c>
      <c r="I15297" t="s">
        <v>5589</v>
      </c>
      <c r="J15297" t="s">
        <v>41863</v>
      </c>
      <c r="K15297" t="s">
        <v>42281</v>
      </c>
      <c r="M15297" t="s">
        <v>43014</v>
      </c>
      <c r="N15297" t="s">
        <v>46569</v>
      </c>
      <c r="O15297" t="s">
        <v>46570</v>
      </c>
      <c r="P15297">
        <v>0</v>
      </c>
      <c r="Q15297">
        <v>1</v>
      </c>
      <c r="R15297" t="s">
        <v>46599</v>
      </c>
      <c r="S15297" t="s">
        <v>47788</v>
      </c>
      <c r="T15297" t="s">
        <v>48293</v>
      </c>
      <c r="U15297" t="s">
        <v>61059</v>
      </c>
      <c r="W15297" t="s">
        <v>43014</v>
      </c>
      <c r="X15297" t="s">
        <v>46600</v>
      </c>
    </row>
    <row r="15298" spans="1:24">
      <c r="A15298">
        <f>HYPERLINK("https://www.philgeps.gov.ph/GEPSNONPILOT/Tender/SplashBidNoticeAbstractUI.aspx?menuIndex=3&amp;refID=7016122&amp;Result=3","7016122")</f>
        <v>0</v>
      </c>
      <c r="B15298" t="s">
        <v>601</v>
      </c>
      <c r="C15298" t="s">
        <v>18094</v>
      </c>
      <c r="D15298" t="s">
        <v>18848</v>
      </c>
      <c r="E15298" t="s">
        <v>32038</v>
      </c>
      <c r="F15298" t="s">
        <v>32664</v>
      </c>
      <c r="G15298" t="s">
        <v>32672</v>
      </c>
      <c r="H15298" t="s">
        <v>32683</v>
      </c>
      <c r="I15298" t="s">
        <v>10627</v>
      </c>
      <c r="J15298" t="s">
        <v>41864</v>
      </c>
      <c r="K15298" t="s">
        <v>42283</v>
      </c>
      <c r="M15298" t="s">
        <v>43181</v>
      </c>
      <c r="N15298" t="s">
        <v>46569</v>
      </c>
      <c r="O15298" t="s">
        <v>46570</v>
      </c>
      <c r="Q15298">
        <v>2</v>
      </c>
      <c r="R15298" t="s">
        <v>46595</v>
      </c>
      <c r="S15298" t="s">
        <v>47789</v>
      </c>
      <c r="T15298" t="s">
        <v>48246</v>
      </c>
      <c r="U15298" t="s">
        <v>61060</v>
      </c>
      <c r="W15298" t="s">
        <v>43181</v>
      </c>
      <c r="X15298" t="s">
        <v>46597</v>
      </c>
    </row>
    <row r="15299" spans="1:24">
      <c r="A15299">
        <f>HYPERLINK("https://www.philgeps.gov.ph/GEPSNONPILOT/Tender/SplashBidNoticeAbstractUI.aspx?menuIndex=3&amp;refID=7014275&amp;Result=3","7014275")</f>
        <v>0</v>
      </c>
      <c r="B15299" t="s">
        <v>2813</v>
      </c>
      <c r="C15299" t="s">
        <v>18095</v>
      </c>
      <c r="E15299" t="s">
        <v>32039</v>
      </c>
      <c r="F15299" t="s">
        <v>32664</v>
      </c>
      <c r="G15299" t="s">
        <v>32672</v>
      </c>
      <c r="H15299" t="s">
        <v>32683</v>
      </c>
      <c r="I15299" t="s">
        <v>10627</v>
      </c>
      <c r="J15299" t="s">
        <v>41865</v>
      </c>
      <c r="K15299" t="s">
        <v>42401</v>
      </c>
      <c r="M15299" t="s">
        <v>46476</v>
      </c>
      <c r="N15299" t="s">
        <v>46569</v>
      </c>
      <c r="O15299" t="s">
        <v>46570</v>
      </c>
      <c r="Q15299">
        <v>23</v>
      </c>
      <c r="R15299" t="s">
        <v>46597</v>
      </c>
      <c r="S15299" t="s">
        <v>46923</v>
      </c>
      <c r="T15299" t="s">
        <v>48212</v>
      </c>
      <c r="U15299" t="s">
        <v>61061</v>
      </c>
      <c r="V15299" t="s">
        <v>56917</v>
      </c>
      <c r="W15299" t="s">
        <v>46476</v>
      </c>
      <c r="X15299" t="s">
        <v>46599</v>
      </c>
    </row>
    <row r="15300" spans="1:24">
      <c r="A15300">
        <f>HYPERLINK("https://www.philgeps.gov.ph/GEPSNONPILOT/Tender/SplashBidNoticeAbstractUI.aspx?menuIndex=3&amp;refID=7014264&amp;Result=3","7014264")</f>
        <v>0</v>
      </c>
      <c r="B15300" t="s">
        <v>2813</v>
      </c>
      <c r="C15300" t="s">
        <v>18096</v>
      </c>
      <c r="E15300" t="s">
        <v>32040</v>
      </c>
      <c r="F15300" t="s">
        <v>32664</v>
      </c>
      <c r="G15300" t="s">
        <v>32672</v>
      </c>
      <c r="H15300" t="s">
        <v>32683</v>
      </c>
      <c r="I15300" t="s">
        <v>10627</v>
      </c>
      <c r="J15300" t="s">
        <v>41866</v>
      </c>
      <c r="K15300" t="s">
        <v>42382</v>
      </c>
      <c r="M15300" t="s">
        <v>46476</v>
      </c>
      <c r="N15300" t="s">
        <v>46569</v>
      </c>
      <c r="O15300" t="s">
        <v>46570</v>
      </c>
      <c r="Q15300">
        <v>19</v>
      </c>
      <c r="R15300" t="s">
        <v>46597</v>
      </c>
      <c r="S15300" t="s">
        <v>46975</v>
      </c>
      <c r="T15300" t="s">
        <v>48212</v>
      </c>
      <c r="U15300" t="s">
        <v>61062</v>
      </c>
      <c r="V15300" t="s">
        <v>56917</v>
      </c>
      <c r="W15300" t="s">
        <v>46476</v>
      </c>
      <c r="X15300" t="s">
        <v>46599</v>
      </c>
    </row>
    <row r="15301" spans="1:24">
      <c r="A15301">
        <f>HYPERLINK("https://www.philgeps.gov.ph/GEPSNONPILOT/Tender/SplashBidNoticeAbstractUI.aspx?menuIndex=3&amp;refID=7009938&amp;Result=3","7009938")</f>
        <v>0</v>
      </c>
      <c r="B15301" t="s">
        <v>247</v>
      </c>
      <c r="C15301" t="s">
        <v>18097</v>
      </c>
      <c r="D15301" t="s">
        <v>18786</v>
      </c>
      <c r="E15301" t="s">
        <v>31054</v>
      </c>
      <c r="F15301" t="s">
        <v>32664</v>
      </c>
      <c r="G15301" t="s">
        <v>32671</v>
      </c>
      <c r="H15301" t="s">
        <v>12635</v>
      </c>
      <c r="I15301" t="s">
        <v>32696</v>
      </c>
      <c r="J15301" t="s">
        <v>32853</v>
      </c>
      <c r="K15301" t="s">
        <v>42289</v>
      </c>
      <c r="M15301" t="s">
        <v>42812</v>
      </c>
      <c r="N15301" t="s">
        <v>46569</v>
      </c>
      <c r="O15301" t="s">
        <v>46570</v>
      </c>
      <c r="Q15301">
        <v>3</v>
      </c>
      <c r="R15301" t="s">
        <v>46599</v>
      </c>
      <c r="S15301" t="s">
        <v>47790</v>
      </c>
      <c r="T15301" t="s">
        <v>48245</v>
      </c>
      <c r="U15301" t="s">
        <v>61063</v>
      </c>
      <c r="V15301" t="s">
        <v>63084</v>
      </c>
      <c r="W15301" t="s">
        <v>42812</v>
      </c>
      <c r="X15301" t="s">
        <v>46600</v>
      </c>
    </row>
    <row r="15302" spans="1:24">
      <c r="A15302">
        <f>HYPERLINK("https://www.philgeps.gov.ph/GEPSNONPILOT/Tender/SplashBidNoticeAbstractUI.aspx?menuIndex=3&amp;refID=7014150&amp;Result=3","7014150")</f>
        <v>0</v>
      </c>
      <c r="B15302" t="s">
        <v>2813</v>
      </c>
      <c r="C15302" t="s">
        <v>18098</v>
      </c>
      <c r="E15302" t="s">
        <v>32041</v>
      </c>
      <c r="F15302" t="s">
        <v>32664</v>
      </c>
      <c r="G15302" t="s">
        <v>32672</v>
      </c>
      <c r="H15302" t="s">
        <v>32683</v>
      </c>
      <c r="I15302" t="s">
        <v>10627</v>
      </c>
      <c r="J15302" t="s">
        <v>41867</v>
      </c>
      <c r="K15302" t="s">
        <v>42349</v>
      </c>
      <c r="M15302" t="s">
        <v>46476</v>
      </c>
      <c r="N15302" t="s">
        <v>46569</v>
      </c>
      <c r="O15302" t="s">
        <v>46570</v>
      </c>
      <c r="Q15302">
        <v>24</v>
      </c>
      <c r="R15302" t="s">
        <v>46597</v>
      </c>
      <c r="S15302" t="s">
        <v>47791</v>
      </c>
      <c r="T15302" t="s">
        <v>48212</v>
      </c>
      <c r="U15302" t="s">
        <v>61064</v>
      </c>
      <c r="V15302" t="s">
        <v>49355</v>
      </c>
      <c r="W15302" t="s">
        <v>46476</v>
      </c>
      <c r="X15302" t="s">
        <v>46599</v>
      </c>
    </row>
    <row r="15303" spans="1:24">
      <c r="A15303">
        <f>HYPERLINK("https://www.philgeps.gov.ph/GEPSNONPILOT/Tender/SplashBidNoticeAbstractUI.aspx?menuIndex=3&amp;refID=7015466&amp;Result=3","7015466")</f>
        <v>0</v>
      </c>
      <c r="B15303" t="s">
        <v>3483</v>
      </c>
      <c r="C15303" t="s">
        <v>18099</v>
      </c>
      <c r="D15303" t="s">
        <v>18834</v>
      </c>
      <c r="E15303" t="s">
        <v>31623</v>
      </c>
      <c r="F15303" t="s">
        <v>32664</v>
      </c>
      <c r="G15303" t="s">
        <v>32672</v>
      </c>
      <c r="H15303" t="s">
        <v>12635</v>
      </c>
      <c r="I15303" t="s">
        <v>32688</v>
      </c>
      <c r="J15303" t="s">
        <v>32865</v>
      </c>
      <c r="K15303" t="s">
        <v>42305</v>
      </c>
      <c r="M15303" t="s">
        <v>46485</v>
      </c>
      <c r="N15303" t="s">
        <v>46569</v>
      </c>
      <c r="O15303" t="s">
        <v>46570</v>
      </c>
      <c r="P15303">
        <v>0</v>
      </c>
      <c r="Q15303">
        <v>5</v>
      </c>
      <c r="R15303" t="s">
        <v>46596</v>
      </c>
      <c r="S15303" t="s">
        <v>47768</v>
      </c>
      <c r="T15303" t="s">
        <v>48449</v>
      </c>
      <c r="U15303" t="s">
        <v>61065</v>
      </c>
      <c r="V15303" t="s">
        <v>63327</v>
      </c>
      <c r="W15303" t="s">
        <v>46485</v>
      </c>
      <c r="X15303" t="s">
        <v>46597</v>
      </c>
    </row>
    <row r="15304" spans="1:24">
      <c r="A15304">
        <f>HYPERLINK("https://www.philgeps.gov.ph/GEPSNONPILOT/Tender/SplashBidNoticeAbstractUI.aspx?menuIndex=3&amp;refID=7013780&amp;Result=3","7013780")</f>
        <v>0</v>
      </c>
      <c r="B15304" t="s">
        <v>750</v>
      </c>
      <c r="C15304" t="s">
        <v>18100</v>
      </c>
      <c r="E15304" t="s">
        <v>32042</v>
      </c>
      <c r="F15304" t="s">
        <v>32664</v>
      </c>
      <c r="G15304" t="s">
        <v>32672</v>
      </c>
      <c r="H15304" t="s">
        <v>32683</v>
      </c>
      <c r="I15304" t="s">
        <v>10627</v>
      </c>
      <c r="J15304" t="s">
        <v>41868</v>
      </c>
      <c r="K15304" t="s">
        <v>42283</v>
      </c>
      <c r="M15304" t="s">
        <v>43340</v>
      </c>
      <c r="N15304" t="s">
        <v>46569</v>
      </c>
      <c r="O15304" t="s">
        <v>46570</v>
      </c>
      <c r="Q15304">
        <v>4</v>
      </c>
      <c r="R15304" t="s">
        <v>46597</v>
      </c>
      <c r="S15304" t="s">
        <v>47044</v>
      </c>
      <c r="T15304" t="s">
        <v>48313</v>
      </c>
      <c r="U15304" t="s">
        <v>61066</v>
      </c>
      <c r="W15304" t="s">
        <v>63488</v>
      </c>
      <c r="X15304" t="s">
        <v>46599</v>
      </c>
    </row>
    <row r="15305" spans="1:24">
      <c r="A15305">
        <f>HYPERLINK("https://www.philgeps.gov.ph/GEPSNONPILOT/Tender/SplashBidNoticeAbstractUI.aspx?menuIndex=3&amp;refID=7015277&amp;Result=3","7015277")</f>
        <v>0</v>
      </c>
      <c r="B15305" t="s">
        <v>3126</v>
      </c>
      <c r="C15305" t="s">
        <v>18101</v>
      </c>
      <c r="D15305" t="s">
        <v>18852</v>
      </c>
      <c r="E15305" t="s">
        <v>32043</v>
      </c>
      <c r="F15305" t="s">
        <v>32664</v>
      </c>
      <c r="G15305" t="s">
        <v>32672</v>
      </c>
      <c r="H15305" t="s">
        <v>12635</v>
      </c>
      <c r="I15305" t="s">
        <v>11464</v>
      </c>
      <c r="J15305" t="s">
        <v>35617</v>
      </c>
      <c r="K15305" t="s">
        <v>42284</v>
      </c>
      <c r="M15305" t="s">
        <v>46019</v>
      </c>
      <c r="N15305" t="s">
        <v>46569</v>
      </c>
      <c r="O15305" t="s">
        <v>46570</v>
      </c>
      <c r="P15305">
        <v>0</v>
      </c>
      <c r="Q15305">
        <v>2</v>
      </c>
      <c r="R15305" t="s">
        <v>46596</v>
      </c>
      <c r="S15305" t="s">
        <v>47768</v>
      </c>
      <c r="T15305" t="s">
        <v>48282</v>
      </c>
      <c r="U15305" t="s">
        <v>61067</v>
      </c>
      <c r="V15305" t="s">
        <v>62919</v>
      </c>
      <c r="W15305" t="s">
        <v>46019</v>
      </c>
      <c r="X15305" t="s">
        <v>46597</v>
      </c>
    </row>
    <row r="15306" spans="1:24">
      <c r="A15306">
        <f>HYPERLINK("https://www.philgeps.gov.ph/GEPSNONPILOT/Tender/SplashBidNoticeAbstractUI.aspx?menuIndex=3&amp;refID=7014192&amp;Result=3","7014192")</f>
        <v>0</v>
      </c>
      <c r="B15306" t="s">
        <v>2813</v>
      </c>
      <c r="C15306" t="s">
        <v>18102</v>
      </c>
      <c r="E15306" t="s">
        <v>32044</v>
      </c>
      <c r="F15306" t="s">
        <v>32664</v>
      </c>
      <c r="G15306" t="s">
        <v>32672</v>
      </c>
      <c r="H15306" t="s">
        <v>32683</v>
      </c>
      <c r="I15306" t="s">
        <v>10627</v>
      </c>
      <c r="J15306" t="s">
        <v>41869</v>
      </c>
      <c r="K15306" t="s">
        <v>42349</v>
      </c>
      <c r="M15306" t="s">
        <v>46476</v>
      </c>
      <c r="N15306" t="s">
        <v>46569</v>
      </c>
      <c r="O15306" t="s">
        <v>46570</v>
      </c>
      <c r="Q15306">
        <v>23</v>
      </c>
      <c r="R15306" t="s">
        <v>46597</v>
      </c>
      <c r="S15306" t="s">
        <v>47792</v>
      </c>
      <c r="T15306" t="s">
        <v>48212</v>
      </c>
      <c r="U15306" t="s">
        <v>61064</v>
      </c>
      <c r="V15306" t="s">
        <v>49355</v>
      </c>
      <c r="W15306" t="s">
        <v>46476</v>
      </c>
      <c r="X15306" t="s">
        <v>46599</v>
      </c>
    </row>
    <row r="15307" spans="1:24">
      <c r="A15307">
        <f>HYPERLINK("https://www.philgeps.gov.ph/GEPSNONPILOT/Tender/SplashBidNoticeAbstractUI.aspx?menuIndex=3&amp;refID=7009872&amp;Result=3","7009872")</f>
        <v>0</v>
      </c>
      <c r="B15307" t="s">
        <v>442</v>
      </c>
      <c r="C15307" t="s">
        <v>18103</v>
      </c>
      <c r="D15307" t="s">
        <v>18852</v>
      </c>
      <c r="E15307" t="s">
        <v>32045</v>
      </c>
      <c r="F15307" t="s">
        <v>32664</v>
      </c>
      <c r="G15307" t="s">
        <v>32672</v>
      </c>
      <c r="H15307" t="s">
        <v>12635</v>
      </c>
      <c r="I15307" t="s">
        <v>9597</v>
      </c>
      <c r="J15307" t="s">
        <v>41870</v>
      </c>
      <c r="K15307" t="s">
        <v>42281</v>
      </c>
      <c r="M15307" t="s">
        <v>43014</v>
      </c>
      <c r="N15307" t="s">
        <v>46569</v>
      </c>
      <c r="O15307" t="s">
        <v>46570</v>
      </c>
      <c r="P15307">
        <v>0</v>
      </c>
      <c r="Q15307">
        <v>4</v>
      </c>
      <c r="R15307" t="s">
        <v>46599</v>
      </c>
      <c r="S15307" t="s">
        <v>47788</v>
      </c>
      <c r="T15307" t="s">
        <v>48293</v>
      </c>
      <c r="U15307" t="s">
        <v>61068</v>
      </c>
      <c r="W15307" t="s">
        <v>43014</v>
      </c>
      <c r="X15307" t="s">
        <v>46600</v>
      </c>
    </row>
    <row r="15308" spans="1:24">
      <c r="A15308">
        <f>HYPERLINK("https://www.philgeps.gov.ph/GEPSNONPILOT/Tender/SplashBidNoticeAbstractUI.aspx?menuIndex=3&amp;refID=7009446&amp;Result=3","7009446")</f>
        <v>0</v>
      </c>
      <c r="B15308" t="s">
        <v>3183</v>
      </c>
      <c r="C15308" t="s">
        <v>18104</v>
      </c>
      <c r="D15308" t="s">
        <v>18853</v>
      </c>
      <c r="E15308" t="s">
        <v>32046</v>
      </c>
      <c r="F15308" t="s">
        <v>32664</v>
      </c>
      <c r="G15308" t="s">
        <v>32672</v>
      </c>
      <c r="H15308" t="s">
        <v>12635</v>
      </c>
      <c r="I15308" t="s">
        <v>32717</v>
      </c>
      <c r="J15308" t="s">
        <v>41871</v>
      </c>
      <c r="K15308" t="s">
        <v>42298</v>
      </c>
      <c r="M15308" t="s">
        <v>46096</v>
      </c>
      <c r="N15308" t="s">
        <v>46569</v>
      </c>
      <c r="O15308" t="s">
        <v>46570</v>
      </c>
      <c r="Q15308">
        <v>4</v>
      </c>
      <c r="R15308" t="s">
        <v>46600</v>
      </c>
      <c r="S15308" t="s">
        <v>47793</v>
      </c>
      <c r="T15308" t="s">
        <v>48287</v>
      </c>
      <c r="U15308" t="s">
        <v>61069</v>
      </c>
      <c r="W15308" t="s">
        <v>46096</v>
      </c>
      <c r="X15308" t="s">
        <v>46604</v>
      </c>
    </row>
    <row r="15309" spans="1:24">
      <c r="A15309">
        <f>HYPERLINK("https://www.philgeps.gov.ph/GEPSNONPILOT/Tender/SplashBidNoticeAbstractUI.aspx?menuIndex=3&amp;refID=7009505&amp;Result=3","7009505")</f>
        <v>0</v>
      </c>
      <c r="B15309" t="s">
        <v>3183</v>
      </c>
      <c r="C15309" t="s">
        <v>18105</v>
      </c>
      <c r="D15309" t="s">
        <v>18853</v>
      </c>
      <c r="E15309" t="s">
        <v>32047</v>
      </c>
      <c r="F15309" t="s">
        <v>32664</v>
      </c>
      <c r="G15309" t="s">
        <v>32672</v>
      </c>
      <c r="H15309" t="s">
        <v>12635</v>
      </c>
      <c r="I15309" t="s">
        <v>32717</v>
      </c>
      <c r="J15309" t="s">
        <v>41872</v>
      </c>
      <c r="K15309" t="s">
        <v>42298</v>
      </c>
      <c r="M15309" t="s">
        <v>46096</v>
      </c>
      <c r="N15309" t="s">
        <v>46569</v>
      </c>
      <c r="O15309" t="s">
        <v>46570</v>
      </c>
      <c r="Q15309">
        <v>5</v>
      </c>
      <c r="R15309" t="s">
        <v>46600</v>
      </c>
      <c r="S15309" t="s">
        <v>47794</v>
      </c>
      <c r="T15309" t="s">
        <v>48287</v>
      </c>
      <c r="U15309" t="s">
        <v>61070</v>
      </c>
      <c r="W15309" t="s">
        <v>46096</v>
      </c>
      <c r="X15309" t="s">
        <v>46604</v>
      </c>
    </row>
    <row r="15310" spans="1:24">
      <c r="A15310">
        <f>HYPERLINK("https://www.philgeps.gov.ph/GEPSNONPILOT/Tender/SplashBidNoticeAbstractUI.aspx?menuIndex=3&amp;refID=7013810&amp;Result=3","7013810")</f>
        <v>0</v>
      </c>
      <c r="B15310" t="s">
        <v>1055</v>
      </c>
      <c r="C15310" t="s">
        <v>18106</v>
      </c>
      <c r="D15310" t="s">
        <v>18784</v>
      </c>
      <c r="E15310" t="s">
        <v>32048</v>
      </c>
      <c r="F15310" t="s">
        <v>32664</v>
      </c>
      <c r="G15310" t="s">
        <v>32671</v>
      </c>
      <c r="H15310" t="s">
        <v>12635</v>
      </c>
      <c r="I15310" t="s">
        <v>32704</v>
      </c>
      <c r="J15310" t="s">
        <v>33974</v>
      </c>
      <c r="K15310" t="s">
        <v>42283</v>
      </c>
      <c r="M15310" t="s">
        <v>43673</v>
      </c>
      <c r="N15310" t="s">
        <v>46569</v>
      </c>
      <c r="O15310" t="s">
        <v>46570</v>
      </c>
      <c r="Q15310">
        <v>10</v>
      </c>
      <c r="R15310" t="s">
        <v>46597</v>
      </c>
      <c r="S15310" t="s">
        <v>47258</v>
      </c>
      <c r="T15310" t="s">
        <v>48473</v>
      </c>
      <c r="U15310" t="s">
        <v>61071</v>
      </c>
      <c r="W15310" t="s">
        <v>43673</v>
      </c>
      <c r="X15310" t="s">
        <v>46599</v>
      </c>
    </row>
    <row r="15311" spans="1:24">
      <c r="A15311">
        <f>HYPERLINK("https://www.philgeps.gov.ph/GEPSNONPILOT/Tender/SplashBidNoticeAbstractUI.aspx?menuIndex=3&amp;refID=7019405&amp;Result=3","7019405")</f>
        <v>0</v>
      </c>
      <c r="B15311" t="s">
        <v>2108</v>
      </c>
      <c r="C15311" t="s">
        <v>18107</v>
      </c>
      <c r="D15311" t="s">
        <v>18806</v>
      </c>
      <c r="E15311" t="s">
        <v>32049</v>
      </c>
      <c r="F15311" t="s">
        <v>32664</v>
      </c>
      <c r="G15311" t="s">
        <v>32672</v>
      </c>
      <c r="H15311" t="s">
        <v>12635</v>
      </c>
      <c r="I15311" t="s">
        <v>6628</v>
      </c>
      <c r="J15311" t="s">
        <v>38334</v>
      </c>
      <c r="K15311" t="s">
        <v>42297</v>
      </c>
      <c r="M15311" t="s">
        <v>44863</v>
      </c>
      <c r="N15311" t="s">
        <v>46569</v>
      </c>
      <c r="O15311" t="s">
        <v>46570</v>
      </c>
      <c r="P15311">
        <v>0</v>
      </c>
      <c r="Q15311">
        <v>5</v>
      </c>
      <c r="R15311" t="s">
        <v>46594</v>
      </c>
      <c r="S15311" t="s">
        <v>47740</v>
      </c>
      <c r="T15311" t="s">
        <v>48750</v>
      </c>
      <c r="U15311" t="s">
        <v>59249</v>
      </c>
      <c r="W15311" t="s">
        <v>63550</v>
      </c>
      <c r="X15311" t="s">
        <v>46598</v>
      </c>
    </row>
    <row r="15312" spans="1:24">
      <c r="A15312">
        <f>HYPERLINK("https://www.philgeps.gov.ph/GEPSNONPILOT/Tender/SplashBidNoticeAbstractUI.aspx?menuIndex=3&amp;refID=7009425&amp;Result=3","7009425")</f>
        <v>0</v>
      </c>
      <c r="B15312" t="s">
        <v>3183</v>
      </c>
      <c r="C15312" t="s">
        <v>18108</v>
      </c>
      <c r="D15312" t="s">
        <v>18853</v>
      </c>
      <c r="E15312" t="s">
        <v>32050</v>
      </c>
      <c r="F15312" t="s">
        <v>32664</v>
      </c>
      <c r="G15312" t="s">
        <v>32672</v>
      </c>
      <c r="H15312" t="s">
        <v>12635</v>
      </c>
      <c r="I15312" t="s">
        <v>32717</v>
      </c>
      <c r="J15312" t="s">
        <v>41873</v>
      </c>
      <c r="K15312" t="s">
        <v>42298</v>
      </c>
      <c r="M15312" t="s">
        <v>46096</v>
      </c>
      <c r="N15312" t="s">
        <v>46569</v>
      </c>
      <c r="O15312" t="s">
        <v>46570</v>
      </c>
      <c r="Q15312">
        <v>4</v>
      </c>
      <c r="R15312" t="s">
        <v>46600</v>
      </c>
      <c r="S15312" t="s">
        <v>47795</v>
      </c>
      <c r="T15312" t="s">
        <v>48287</v>
      </c>
      <c r="U15312" t="s">
        <v>58729</v>
      </c>
      <c r="W15312" t="s">
        <v>46096</v>
      </c>
      <c r="X15312" t="s">
        <v>46604</v>
      </c>
    </row>
    <row r="15313" spans="1:24">
      <c r="A15313">
        <f>HYPERLINK("https://www.philgeps.gov.ph/GEPSNONPILOT/Tender/SplashBidNoticeAbstractUI.aspx?menuIndex=3&amp;refID=7009384&amp;Result=3","7009384")</f>
        <v>0</v>
      </c>
      <c r="B15313" t="s">
        <v>3183</v>
      </c>
      <c r="C15313" t="s">
        <v>18109</v>
      </c>
      <c r="D15313" t="s">
        <v>18860</v>
      </c>
      <c r="E15313" t="s">
        <v>32051</v>
      </c>
      <c r="F15313" t="s">
        <v>32664</v>
      </c>
      <c r="G15313" t="s">
        <v>32672</v>
      </c>
      <c r="H15313" t="s">
        <v>12635</v>
      </c>
      <c r="I15313" t="s">
        <v>32717</v>
      </c>
      <c r="J15313" t="s">
        <v>41874</v>
      </c>
      <c r="K15313" t="s">
        <v>42298</v>
      </c>
      <c r="M15313" t="s">
        <v>46096</v>
      </c>
      <c r="N15313" t="s">
        <v>46569</v>
      </c>
      <c r="O15313" t="s">
        <v>46570</v>
      </c>
      <c r="Q15313">
        <v>4</v>
      </c>
      <c r="R15313" t="s">
        <v>46600</v>
      </c>
      <c r="S15313" t="s">
        <v>47237</v>
      </c>
      <c r="T15313" t="s">
        <v>48287</v>
      </c>
      <c r="U15313" t="s">
        <v>61072</v>
      </c>
      <c r="W15313" t="s">
        <v>46096</v>
      </c>
      <c r="X15313" t="s">
        <v>46604</v>
      </c>
    </row>
    <row r="15314" spans="1:24">
      <c r="A15314">
        <f>HYPERLINK("https://www.philgeps.gov.ph/GEPSNONPILOT/Tender/SplashBidNoticeAbstractUI.aspx?menuIndex=3&amp;refID=7009381&amp;Result=3","7009381")</f>
        <v>0</v>
      </c>
      <c r="B15314" t="s">
        <v>3183</v>
      </c>
      <c r="C15314" t="s">
        <v>18110</v>
      </c>
      <c r="D15314" t="s">
        <v>18860</v>
      </c>
      <c r="E15314" t="s">
        <v>32052</v>
      </c>
      <c r="F15314" t="s">
        <v>32664</v>
      </c>
      <c r="G15314" t="s">
        <v>32672</v>
      </c>
      <c r="H15314" t="s">
        <v>12635</v>
      </c>
      <c r="I15314" t="s">
        <v>32717</v>
      </c>
      <c r="J15314" t="s">
        <v>34489</v>
      </c>
      <c r="K15314" t="s">
        <v>42298</v>
      </c>
      <c r="M15314" t="s">
        <v>46096</v>
      </c>
      <c r="N15314" t="s">
        <v>46569</v>
      </c>
      <c r="O15314" t="s">
        <v>46570</v>
      </c>
      <c r="Q15314">
        <v>1</v>
      </c>
      <c r="R15314" t="s">
        <v>46600</v>
      </c>
      <c r="S15314" t="s">
        <v>47796</v>
      </c>
      <c r="T15314" t="s">
        <v>48287</v>
      </c>
      <c r="U15314" t="s">
        <v>61073</v>
      </c>
      <c r="W15314" t="s">
        <v>46096</v>
      </c>
      <c r="X15314" t="s">
        <v>46604</v>
      </c>
    </row>
    <row r="15315" spans="1:24">
      <c r="A15315">
        <f>HYPERLINK("https://www.philgeps.gov.ph/GEPSNONPILOT/Tender/SplashBidNoticeAbstractUI.aspx?menuIndex=3&amp;refID=7009285&amp;Result=3","7009285")</f>
        <v>0</v>
      </c>
      <c r="B15315" t="s">
        <v>940</v>
      </c>
      <c r="C15315" t="s">
        <v>18111</v>
      </c>
      <c r="D15315" t="s">
        <v>18784</v>
      </c>
      <c r="E15315" t="s">
        <v>32053</v>
      </c>
      <c r="F15315" t="s">
        <v>32664</v>
      </c>
      <c r="G15315" t="s">
        <v>32672</v>
      </c>
      <c r="H15315" t="s">
        <v>12635</v>
      </c>
      <c r="I15315" t="s">
        <v>5589</v>
      </c>
      <c r="J15315" t="s">
        <v>39255</v>
      </c>
      <c r="K15315" t="s">
        <v>42283</v>
      </c>
      <c r="M15315" t="s">
        <v>46132</v>
      </c>
      <c r="N15315" t="s">
        <v>46569</v>
      </c>
      <c r="O15315" t="s">
        <v>46570</v>
      </c>
      <c r="Q15315">
        <v>11</v>
      </c>
      <c r="R15315" t="s">
        <v>46600</v>
      </c>
      <c r="S15315" t="s">
        <v>47797</v>
      </c>
      <c r="T15315" t="s">
        <v>48449</v>
      </c>
      <c r="U15315" t="s">
        <v>58836</v>
      </c>
      <c r="V15315" t="s">
        <v>63328</v>
      </c>
      <c r="W15315" t="s">
        <v>46132</v>
      </c>
      <c r="X15315" t="s">
        <v>46608</v>
      </c>
    </row>
    <row r="15316" spans="1:24">
      <c r="A15316">
        <f>HYPERLINK("https://www.philgeps.gov.ph/GEPSNONPILOT/Tender/SplashBidNoticeAbstractUI.aspx?menuIndex=3&amp;refID=7009090&amp;Result=3","7009090")</f>
        <v>0</v>
      </c>
      <c r="B15316" t="s">
        <v>1468</v>
      </c>
      <c r="C15316" t="s">
        <v>18112</v>
      </c>
      <c r="D15316" t="s">
        <v>18806</v>
      </c>
      <c r="E15316" t="s">
        <v>32054</v>
      </c>
      <c r="F15316" t="s">
        <v>32664</v>
      </c>
      <c r="G15316" t="s">
        <v>32672</v>
      </c>
      <c r="H15316" t="s">
        <v>32683</v>
      </c>
      <c r="I15316" t="s">
        <v>10627</v>
      </c>
      <c r="J15316" t="s">
        <v>32930</v>
      </c>
      <c r="K15316" t="s">
        <v>42327</v>
      </c>
      <c r="M15316" t="s">
        <v>44130</v>
      </c>
      <c r="N15316" t="s">
        <v>46569</v>
      </c>
      <c r="O15316" t="s">
        <v>46570</v>
      </c>
      <c r="P15316">
        <v>0</v>
      </c>
      <c r="Q15316">
        <v>13</v>
      </c>
      <c r="R15316" t="s">
        <v>46600</v>
      </c>
      <c r="S15316" t="s">
        <v>47798</v>
      </c>
      <c r="T15316" t="s">
        <v>48502</v>
      </c>
      <c r="U15316" t="s">
        <v>61074</v>
      </c>
      <c r="V15316" t="s">
        <v>62035</v>
      </c>
      <c r="W15316" t="s">
        <v>44130</v>
      </c>
      <c r="X15316" t="s">
        <v>46608</v>
      </c>
    </row>
    <row r="15317" spans="1:24">
      <c r="A15317">
        <f>HYPERLINK("https://www.philgeps.gov.ph/GEPSNONPILOT/Tender/SplashBidNoticeAbstractUI.aspx?menuIndex=3&amp;refID=7008955&amp;Result=3","7008955")</f>
        <v>0</v>
      </c>
      <c r="B15317" t="s">
        <v>3183</v>
      </c>
      <c r="C15317" t="s">
        <v>18113</v>
      </c>
      <c r="D15317" t="s">
        <v>18853</v>
      </c>
      <c r="E15317" t="s">
        <v>32055</v>
      </c>
      <c r="F15317" t="s">
        <v>32664</v>
      </c>
      <c r="G15317" t="s">
        <v>32672</v>
      </c>
      <c r="H15317" t="s">
        <v>12635</v>
      </c>
      <c r="I15317" t="s">
        <v>32717</v>
      </c>
      <c r="J15317" t="s">
        <v>37576</v>
      </c>
      <c r="K15317" t="s">
        <v>42298</v>
      </c>
      <c r="M15317" t="s">
        <v>46096</v>
      </c>
      <c r="N15317" t="s">
        <v>46569</v>
      </c>
      <c r="O15317" t="s">
        <v>46570</v>
      </c>
      <c r="Q15317">
        <v>5</v>
      </c>
      <c r="R15317" t="s">
        <v>46600</v>
      </c>
      <c r="S15317" t="s">
        <v>47799</v>
      </c>
      <c r="T15317" t="s">
        <v>48287</v>
      </c>
      <c r="U15317" t="s">
        <v>61075</v>
      </c>
      <c r="W15317" t="s">
        <v>46096</v>
      </c>
      <c r="X15317" t="s">
        <v>46603</v>
      </c>
    </row>
    <row r="15318" spans="1:24">
      <c r="A15318">
        <f>HYPERLINK("https://www.philgeps.gov.ph/GEPSNONPILOT/Tender/SplashBidNoticeAbstractUI.aspx?menuIndex=3&amp;refID=7003767&amp;Result=3","7003767")</f>
        <v>0</v>
      </c>
      <c r="B15318" t="s">
        <v>1382</v>
      </c>
      <c r="C15318" t="s">
        <v>18114</v>
      </c>
      <c r="E15318" t="s">
        <v>32056</v>
      </c>
      <c r="F15318" t="s">
        <v>32664</v>
      </c>
      <c r="G15318" t="s">
        <v>32672</v>
      </c>
      <c r="H15318" t="s">
        <v>32683</v>
      </c>
      <c r="I15318" t="s">
        <v>10627</v>
      </c>
      <c r="J15318" t="s">
        <v>41875</v>
      </c>
      <c r="K15318" t="s">
        <v>42283</v>
      </c>
      <c r="M15318" t="s">
        <v>44037</v>
      </c>
      <c r="N15318" t="s">
        <v>46569</v>
      </c>
      <c r="O15318" t="s">
        <v>46570</v>
      </c>
      <c r="Q15318">
        <v>67</v>
      </c>
      <c r="R15318" t="s">
        <v>46601</v>
      </c>
      <c r="S15318" t="s">
        <v>47800</v>
      </c>
      <c r="T15318" t="s">
        <v>48248</v>
      </c>
      <c r="U15318" t="s">
        <v>59009</v>
      </c>
      <c r="W15318" t="s">
        <v>63589</v>
      </c>
      <c r="X15318" t="s">
        <v>46611</v>
      </c>
    </row>
    <row r="15319" spans="1:24">
      <c r="A15319">
        <f>HYPERLINK("https://www.philgeps.gov.ph/GEPSNONPILOT/Tender/SplashBidNoticeAbstractUI.aspx?menuIndex=3&amp;refID=7006823&amp;Result=3","7006823")</f>
        <v>0</v>
      </c>
      <c r="B15319" t="s">
        <v>851</v>
      </c>
      <c r="C15319" t="s">
        <v>18115</v>
      </c>
      <c r="D15319" t="s">
        <v>18829</v>
      </c>
      <c r="E15319" t="s">
        <v>32057</v>
      </c>
      <c r="F15319" t="s">
        <v>32664</v>
      </c>
      <c r="G15319" t="s">
        <v>32672</v>
      </c>
      <c r="H15319" t="s">
        <v>12635</v>
      </c>
      <c r="I15319" t="s">
        <v>10627</v>
      </c>
      <c r="J15319" t="s">
        <v>41876</v>
      </c>
      <c r="K15319" t="s">
        <v>42574</v>
      </c>
      <c r="M15319" t="s">
        <v>46453</v>
      </c>
      <c r="N15319" t="s">
        <v>46569</v>
      </c>
      <c r="O15319" t="s">
        <v>46570</v>
      </c>
      <c r="Q15319">
        <v>10</v>
      </c>
      <c r="R15319" t="s">
        <v>46602</v>
      </c>
      <c r="S15319" t="s">
        <v>47801</v>
      </c>
      <c r="T15319" t="s">
        <v>48283</v>
      </c>
      <c r="U15319" t="s">
        <v>57572</v>
      </c>
      <c r="V15319" t="s">
        <v>63329</v>
      </c>
      <c r="W15319" t="s">
        <v>46453</v>
      </c>
      <c r="X15319" t="s">
        <v>46601</v>
      </c>
    </row>
    <row r="15320" spans="1:24">
      <c r="A15320">
        <f>HYPERLINK("https://www.philgeps.gov.ph/GEPSNONPILOT/Tender/SplashBidNoticeAbstractUI.aspx?menuIndex=3&amp;refID=7009390&amp;Result=3","7009390")</f>
        <v>0</v>
      </c>
      <c r="B15320" t="s">
        <v>3183</v>
      </c>
      <c r="C15320" t="s">
        <v>18116</v>
      </c>
      <c r="D15320" t="s">
        <v>18860</v>
      </c>
      <c r="E15320" t="s">
        <v>32058</v>
      </c>
      <c r="F15320" t="s">
        <v>32664</v>
      </c>
      <c r="G15320" t="s">
        <v>32672</v>
      </c>
      <c r="H15320" t="s">
        <v>12635</v>
      </c>
      <c r="I15320" t="s">
        <v>32717</v>
      </c>
      <c r="J15320" t="s">
        <v>41877</v>
      </c>
      <c r="K15320" t="s">
        <v>42298</v>
      </c>
      <c r="M15320" t="s">
        <v>46096</v>
      </c>
      <c r="N15320" t="s">
        <v>46569</v>
      </c>
      <c r="O15320" t="s">
        <v>46570</v>
      </c>
      <c r="Q15320">
        <v>5</v>
      </c>
      <c r="R15320" t="s">
        <v>46600</v>
      </c>
      <c r="S15320" t="s">
        <v>47802</v>
      </c>
      <c r="T15320" t="s">
        <v>48287</v>
      </c>
      <c r="U15320" t="s">
        <v>61076</v>
      </c>
      <c r="W15320" t="s">
        <v>46096</v>
      </c>
      <c r="X15320" t="s">
        <v>46604</v>
      </c>
    </row>
    <row r="15321" spans="1:24">
      <c r="A15321">
        <f>HYPERLINK("https://www.philgeps.gov.ph/GEPSNONPILOT/Tender/SplashBidNoticeAbstractUI.aspx?menuIndex=3&amp;refID=7006819&amp;Result=3","7006819")</f>
        <v>0</v>
      </c>
      <c r="B15321" t="s">
        <v>851</v>
      </c>
      <c r="C15321" t="s">
        <v>18117</v>
      </c>
      <c r="D15321" t="s">
        <v>18829</v>
      </c>
      <c r="E15321" t="s">
        <v>32059</v>
      </c>
      <c r="F15321" t="s">
        <v>32664</v>
      </c>
      <c r="G15321" t="s">
        <v>32672</v>
      </c>
      <c r="H15321" t="s">
        <v>32683</v>
      </c>
      <c r="I15321" t="s">
        <v>10627</v>
      </c>
      <c r="J15321" t="s">
        <v>41878</v>
      </c>
      <c r="K15321" t="s">
        <v>42373</v>
      </c>
      <c r="M15321" t="s">
        <v>46453</v>
      </c>
      <c r="N15321" t="s">
        <v>46569</v>
      </c>
      <c r="O15321" t="s">
        <v>46570</v>
      </c>
      <c r="Q15321">
        <v>11</v>
      </c>
      <c r="R15321" t="s">
        <v>46602</v>
      </c>
      <c r="S15321" t="s">
        <v>47722</v>
      </c>
      <c r="T15321" t="s">
        <v>48283</v>
      </c>
      <c r="U15321" t="s">
        <v>57572</v>
      </c>
      <c r="V15321" t="s">
        <v>63330</v>
      </c>
      <c r="W15321" t="s">
        <v>46453</v>
      </c>
      <c r="X15321" t="s">
        <v>46601</v>
      </c>
    </row>
    <row r="15322" spans="1:24">
      <c r="A15322">
        <f>HYPERLINK("https://www.philgeps.gov.ph/GEPSNONPILOT/Tender/SplashBidNoticeAbstractUI.aspx?menuIndex=3&amp;refID=7009431&amp;Result=3","7009431")</f>
        <v>0</v>
      </c>
      <c r="B15322" t="s">
        <v>3183</v>
      </c>
      <c r="C15322" t="s">
        <v>18118</v>
      </c>
      <c r="D15322" t="s">
        <v>18853</v>
      </c>
      <c r="E15322" t="s">
        <v>32060</v>
      </c>
      <c r="F15322" t="s">
        <v>32664</v>
      </c>
      <c r="G15322" t="s">
        <v>32672</v>
      </c>
      <c r="H15322" t="s">
        <v>12635</v>
      </c>
      <c r="I15322" t="s">
        <v>32717</v>
      </c>
      <c r="J15322" t="s">
        <v>41879</v>
      </c>
      <c r="K15322" t="s">
        <v>42298</v>
      </c>
      <c r="M15322" t="s">
        <v>46096</v>
      </c>
      <c r="N15322" t="s">
        <v>46569</v>
      </c>
      <c r="O15322" t="s">
        <v>46570</v>
      </c>
      <c r="Q15322">
        <v>5</v>
      </c>
      <c r="R15322" t="s">
        <v>46600</v>
      </c>
      <c r="S15322" t="s">
        <v>46858</v>
      </c>
      <c r="T15322" t="s">
        <v>48287</v>
      </c>
      <c r="U15322" t="s">
        <v>61077</v>
      </c>
      <c r="W15322" t="s">
        <v>46096</v>
      </c>
      <c r="X15322" t="s">
        <v>46604</v>
      </c>
    </row>
    <row r="15323" spans="1:24">
      <c r="A15323">
        <f>HYPERLINK("https://www.philgeps.gov.ph/GEPSNONPILOT/Tender/SplashBidNoticeAbstractUI.aspx?menuIndex=3&amp;refID=7006816&amp;Result=3","7006816")</f>
        <v>0</v>
      </c>
      <c r="B15323" t="s">
        <v>851</v>
      </c>
      <c r="C15323" t="s">
        <v>18119</v>
      </c>
      <c r="D15323" t="s">
        <v>18829</v>
      </c>
      <c r="E15323" t="s">
        <v>32061</v>
      </c>
      <c r="F15323" t="s">
        <v>32664</v>
      </c>
      <c r="G15323" t="s">
        <v>32672</v>
      </c>
      <c r="H15323" t="s">
        <v>32683</v>
      </c>
      <c r="I15323" t="s">
        <v>10627</v>
      </c>
      <c r="J15323" t="s">
        <v>41880</v>
      </c>
      <c r="K15323" t="s">
        <v>42479</v>
      </c>
      <c r="M15323" t="s">
        <v>46453</v>
      </c>
      <c r="N15323" t="s">
        <v>46569</v>
      </c>
      <c r="O15323" t="s">
        <v>46570</v>
      </c>
      <c r="Q15323">
        <v>8</v>
      </c>
      <c r="R15323" t="s">
        <v>46602</v>
      </c>
      <c r="S15323" t="s">
        <v>47803</v>
      </c>
      <c r="T15323" t="s">
        <v>48283</v>
      </c>
      <c r="U15323" t="s">
        <v>57572</v>
      </c>
      <c r="V15323" t="s">
        <v>63331</v>
      </c>
      <c r="W15323" t="s">
        <v>46453</v>
      </c>
      <c r="X15323" t="s">
        <v>46601</v>
      </c>
    </row>
    <row r="15324" spans="1:24">
      <c r="A15324">
        <f>HYPERLINK("https://www.philgeps.gov.ph/GEPSNONPILOT/Tender/SplashBidNoticeAbstractUI.aspx?menuIndex=3&amp;refID=7006131&amp;Result=3","7006131")</f>
        <v>0</v>
      </c>
      <c r="B15324" t="s">
        <v>2813</v>
      </c>
      <c r="C15324" t="s">
        <v>18120</v>
      </c>
      <c r="E15324" t="s">
        <v>32062</v>
      </c>
      <c r="F15324" t="s">
        <v>32665</v>
      </c>
      <c r="G15324" t="s">
        <v>32680</v>
      </c>
      <c r="H15324" t="s">
        <v>32683</v>
      </c>
      <c r="I15324" t="s">
        <v>10627</v>
      </c>
      <c r="J15324" t="s">
        <v>38708</v>
      </c>
      <c r="K15324" t="s">
        <v>42575</v>
      </c>
      <c r="M15324" t="s">
        <v>46476</v>
      </c>
      <c r="N15324" t="s">
        <v>46569</v>
      </c>
      <c r="O15324" t="s">
        <v>46570</v>
      </c>
      <c r="P15324">
        <v>0</v>
      </c>
      <c r="Q15324">
        <v>22</v>
      </c>
      <c r="R15324" t="s">
        <v>46602</v>
      </c>
      <c r="S15324" t="s">
        <v>47804</v>
      </c>
      <c r="T15324" t="s">
        <v>48212</v>
      </c>
      <c r="U15324" t="s">
        <v>61078</v>
      </c>
      <c r="V15324" t="s">
        <v>56917</v>
      </c>
      <c r="W15324" t="s">
        <v>46476</v>
      </c>
      <c r="X15324" t="s">
        <v>46601</v>
      </c>
    </row>
    <row r="15325" spans="1:24">
      <c r="A15325">
        <f>HYPERLINK("https://www.philgeps.gov.ph/GEPSNONPILOT/Tender/SplashBidNoticeAbstractUI.aspx?menuIndex=3&amp;refID=7009440&amp;Result=3","7009440")</f>
        <v>0</v>
      </c>
      <c r="B15325" t="s">
        <v>3183</v>
      </c>
      <c r="C15325" t="s">
        <v>18121</v>
      </c>
      <c r="D15325" t="s">
        <v>18815</v>
      </c>
      <c r="E15325" t="s">
        <v>32063</v>
      </c>
      <c r="F15325" t="s">
        <v>32664</v>
      </c>
      <c r="G15325" t="s">
        <v>32672</v>
      </c>
      <c r="H15325" t="s">
        <v>12635</v>
      </c>
      <c r="I15325" t="s">
        <v>32717</v>
      </c>
      <c r="J15325" t="s">
        <v>41881</v>
      </c>
      <c r="K15325" t="s">
        <v>42298</v>
      </c>
      <c r="M15325" t="s">
        <v>46096</v>
      </c>
      <c r="N15325" t="s">
        <v>46569</v>
      </c>
      <c r="O15325" t="s">
        <v>46570</v>
      </c>
      <c r="Q15325">
        <v>2</v>
      </c>
      <c r="R15325" t="s">
        <v>46600</v>
      </c>
      <c r="S15325" t="s">
        <v>47648</v>
      </c>
      <c r="T15325" t="s">
        <v>48287</v>
      </c>
      <c r="U15325" t="s">
        <v>61079</v>
      </c>
      <c r="W15325" t="s">
        <v>46096</v>
      </c>
      <c r="X15325" t="s">
        <v>46604</v>
      </c>
    </row>
    <row r="15326" spans="1:24">
      <c r="A15326">
        <f>HYPERLINK("https://www.philgeps.gov.ph/GEPSNONPILOT/Tender/SplashBidNoticeAbstractUI.aspx?menuIndex=3&amp;refID=7009512&amp;Result=3","7009512")</f>
        <v>0</v>
      </c>
      <c r="B15326" t="s">
        <v>2098</v>
      </c>
      <c r="C15326" t="s">
        <v>18122</v>
      </c>
      <c r="D15326" t="s">
        <v>18829</v>
      </c>
      <c r="E15326" t="s">
        <v>32064</v>
      </c>
      <c r="F15326" t="s">
        <v>32664</v>
      </c>
      <c r="G15326" t="s">
        <v>32672</v>
      </c>
      <c r="H15326" t="s">
        <v>32681</v>
      </c>
      <c r="I15326" t="s">
        <v>32681</v>
      </c>
      <c r="J15326" t="s">
        <v>41882</v>
      </c>
      <c r="K15326" t="s">
        <v>42349</v>
      </c>
      <c r="M15326" t="s">
        <v>44853</v>
      </c>
      <c r="N15326" t="s">
        <v>46569</v>
      </c>
      <c r="O15326" t="s">
        <v>46570</v>
      </c>
      <c r="Q15326">
        <v>14</v>
      </c>
      <c r="R15326" t="s">
        <v>46600</v>
      </c>
      <c r="S15326" t="s">
        <v>47805</v>
      </c>
      <c r="T15326" t="s">
        <v>48507</v>
      </c>
      <c r="U15326" t="s">
        <v>61080</v>
      </c>
      <c r="W15326" t="s">
        <v>44853</v>
      </c>
      <c r="X15326" t="s">
        <v>46604</v>
      </c>
    </row>
    <row r="15327" spans="1:24">
      <c r="A15327">
        <f>HYPERLINK("https://www.philgeps.gov.ph/GEPSNONPILOT/Tender/SplashBidNoticeAbstractUI.aspx?menuIndex=3&amp;refID=7006821&amp;Result=3","7006821")</f>
        <v>0</v>
      </c>
      <c r="B15327" t="s">
        <v>851</v>
      </c>
      <c r="C15327" t="s">
        <v>18123</v>
      </c>
      <c r="D15327" t="s">
        <v>18829</v>
      </c>
      <c r="E15327" t="s">
        <v>32065</v>
      </c>
      <c r="F15327" t="s">
        <v>32664</v>
      </c>
      <c r="G15327" t="s">
        <v>32672</v>
      </c>
      <c r="H15327" t="s">
        <v>32683</v>
      </c>
      <c r="I15327" t="s">
        <v>10627</v>
      </c>
      <c r="J15327" t="s">
        <v>41883</v>
      </c>
      <c r="K15327" t="s">
        <v>42373</v>
      </c>
      <c r="M15327" t="s">
        <v>46453</v>
      </c>
      <c r="N15327" t="s">
        <v>46569</v>
      </c>
      <c r="O15327" t="s">
        <v>46570</v>
      </c>
      <c r="Q15327">
        <v>9</v>
      </c>
      <c r="R15327" t="s">
        <v>46602</v>
      </c>
      <c r="S15327" t="s">
        <v>47806</v>
      </c>
      <c r="T15327" t="s">
        <v>48283</v>
      </c>
      <c r="U15327" t="s">
        <v>57572</v>
      </c>
      <c r="V15327" t="s">
        <v>63332</v>
      </c>
      <c r="W15327" t="s">
        <v>46453</v>
      </c>
      <c r="X15327" t="s">
        <v>46601</v>
      </c>
    </row>
    <row r="15328" spans="1:24">
      <c r="A15328">
        <f>HYPERLINK("https://www.philgeps.gov.ph/GEPSNONPILOT/Tender/SplashBidNoticeAbstractUI.aspx?menuIndex=3&amp;refID=7004914&amp;Result=3","7004914")</f>
        <v>0</v>
      </c>
      <c r="B15328" t="s">
        <v>231</v>
      </c>
      <c r="C15328" t="s">
        <v>18124</v>
      </c>
      <c r="D15328" t="s">
        <v>18845</v>
      </c>
      <c r="E15328" t="s">
        <v>32066</v>
      </c>
      <c r="F15328" t="s">
        <v>32664</v>
      </c>
      <c r="G15328" t="s">
        <v>32675</v>
      </c>
      <c r="H15328" t="s">
        <v>12635</v>
      </c>
      <c r="I15328" t="s">
        <v>6223</v>
      </c>
      <c r="J15328" t="s">
        <v>41884</v>
      </c>
      <c r="K15328" t="s">
        <v>42281</v>
      </c>
      <c r="M15328" t="s">
        <v>42795</v>
      </c>
      <c r="N15328" t="s">
        <v>46569</v>
      </c>
      <c r="O15328" t="s">
        <v>46570</v>
      </c>
      <c r="Q15328">
        <v>0</v>
      </c>
      <c r="R15328" t="s">
        <v>46602</v>
      </c>
      <c r="S15328" t="s">
        <v>46781</v>
      </c>
      <c r="T15328" t="s">
        <v>48304</v>
      </c>
      <c r="U15328" t="s">
        <v>61081</v>
      </c>
      <c r="W15328" t="s">
        <v>42795</v>
      </c>
      <c r="X15328" t="s">
        <v>46601</v>
      </c>
    </row>
    <row r="15329" spans="1:24">
      <c r="A15329">
        <f>HYPERLINK("https://www.philgeps.gov.ph/GEPSNONPILOT/Tender/SplashBidNoticeAbstractUI.aspx?menuIndex=3&amp;refID=7004356&amp;Result=3","7004356")</f>
        <v>0</v>
      </c>
      <c r="B15329" t="s">
        <v>231</v>
      </c>
      <c r="C15329" t="s">
        <v>18125</v>
      </c>
      <c r="D15329" t="s">
        <v>18845</v>
      </c>
      <c r="E15329" t="s">
        <v>32067</v>
      </c>
      <c r="F15329" t="s">
        <v>32664</v>
      </c>
      <c r="G15329" t="s">
        <v>32675</v>
      </c>
      <c r="H15329" t="s">
        <v>12635</v>
      </c>
      <c r="I15329" t="s">
        <v>10370</v>
      </c>
      <c r="J15329" t="s">
        <v>33078</v>
      </c>
      <c r="K15329" t="s">
        <v>42281</v>
      </c>
      <c r="M15329" t="s">
        <v>42795</v>
      </c>
      <c r="N15329" t="s">
        <v>46569</v>
      </c>
      <c r="O15329" t="s">
        <v>46570</v>
      </c>
      <c r="Q15329">
        <v>7</v>
      </c>
      <c r="R15329" t="s">
        <v>46602</v>
      </c>
      <c r="S15329" t="s">
        <v>47807</v>
      </c>
      <c r="T15329" t="s">
        <v>48268</v>
      </c>
      <c r="U15329" t="s">
        <v>61082</v>
      </c>
      <c r="W15329" t="s">
        <v>42795</v>
      </c>
      <c r="X15329" t="s">
        <v>46611</v>
      </c>
    </row>
    <row r="15330" spans="1:24">
      <c r="A15330">
        <f>HYPERLINK("https://www.philgeps.gov.ph/GEPSNONPILOT/Tender/SplashBidNoticeAbstractUI.aspx?menuIndex=3&amp;refID=7006814&amp;Result=3","7006814")</f>
        <v>0</v>
      </c>
      <c r="B15330" t="s">
        <v>851</v>
      </c>
      <c r="C15330" t="s">
        <v>18126</v>
      </c>
      <c r="D15330" t="s">
        <v>18829</v>
      </c>
      <c r="E15330" t="s">
        <v>32068</v>
      </c>
      <c r="F15330" t="s">
        <v>32664</v>
      </c>
      <c r="G15330" t="s">
        <v>32672</v>
      </c>
      <c r="H15330" t="s">
        <v>32683</v>
      </c>
      <c r="I15330" t="s">
        <v>10627</v>
      </c>
      <c r="J15330" t="s">
        <v>41885</v>
      </c>
      <c r="K15330" t="s">
        <v>42298</v>
      </c>
      <c r="M15330" t="s">
        <v>46453</v>
      </c>
      <c r="N15330" t="s">
        <v>46569</v>
      </c>
      <c r="O15330" t="s">
        <v>46570</v>
      </c>
      <c r="Q15330">
        <v>9</v>
      </c>
      <c r="R15330" t="s">
        <v>46602</v>
      </c>
      <c r="S15330" t="s">
        <v>47808</v>
      </c>
      <c r="T15330" t="s">
        <v>48283</v>
      </c>
      <c r="U15330" t="s">
        <v>57572</v>
      </c>
      <c r="V15330" t="s">
        <v>63333</v>
      </c>
      <c r="W15330" t="s">
        <v>46453</v>
      </c>
      <c r="X15330" t="s">
        <v>46601</v>
      </c>
    </row>
    <row r="15331" spans="1:24">
      <c r="A15331">
        <f>HYPERLINK("https://www.philgeps.gov.ph/GEPSNONPILOT/Tender/SplashBidNoticeAbstractUI.aspx?menuIndex=3&amp;refID=7005264&amp;Result=3","7005264")</f>
        <v>0</v>
      </c>
      <c r="B15331" t="s">
        <v>1865</v>
      </c>
      <c r="C15331" t="s">
        <v>18127</v>
      </c>
      <c r="D15331" t="s">
        <v>18841</v>
      </c>
      <c r="E15331" t="s">
        <v>32069</v>
      </c>
      <c r="F15331" t="s">
        <v>32664</v>
      </c>
      <c r="G15331" t="s">
        <v>32672</v>
      </c>
      <c r="H15331" t="s">
        <v>32683</v>
      </c>
      <c r="I15331" t="s">
        <v>10627</v>
      </c>
      <c r="J15331" t="s">
        <v>32962</v>
      </c>
      <c r="K15331" t="s">
        <v>42311</v>
      </c>
      <c r="M15331" t="s">
        <v>44578</v>
      </c>
      <c r="N15331" t="s">
        <v>46569</v>
      </c>
      <c r="O15331" t="s">
        <v>46570</v>
      </c>
      <c r="P15331">
        <v>0</v>
      </c>
      <c r="Q15331">
        <v>1</v>
      </c>
      <c r="R15331" t="s">
        <v>46602</v>
      </c>
      <c r="S15331" t="s">
        <v>47804</v>
      </c>
      <c r="T15331" t="s">
        <v>48448</v>
      </c>
      <c r="U15331" t="s">
        <v>57793</v>
      </c>
      <c r="W15331" t="s">
        <v>44578</v>
      </c>
      <c r="X15331" t="s">
        <v>46601</v>
      </c>
    </row>
    <row r="15332" spans="1:24">
      <c r="A15332">
        <f>HYPERLINK("https://www.philgeps.gov.ph/GEPSNONPILOT/Tender/SplashBidNoticeAbstractUI.aspx?menuIndex=3&amp;refID=7007306&amp;Result=3","7007306")</f>
        <v>0</v>
      </c>
      <c r="B15332" t="s">
        <v>428</v>
      </c>
      <c r="C15332" t="s">
        <v>7551</v>
      </c>
      <c r="D15332" t="s">
        <v>18842</v>
      </c>
      <c r="E15332" t="s">
        <v>32070</v>
      </c>
      <c r="F15332" t="s">
        <v>32664</v>
      </c>
      <c r="G15332" t="s">
        <v>32672</v>
      </c>
      <c r="H15332" t="s">
        <v>12635</v>
      </c>
      <c r="I15332" t="s">
        <v>5589</v>
      </c>
      <c r="J15332" t="s">
        <v>33261</v>
      </c>
      <c r="K15332" t="s">
        <v>42281</v>
      </c>
      <c r="M15332" t="s">
        <v>44243</v>
      </c>
      <c r="N15332" t="s">
        <v>46569</v>
      </c>
      <c r="O15332" t="s">
        <v>46570</v>
      </c>
      <c r="Q15332">
        <v>15</v>
      </c>
      <c r="R15332" t="s">
        <v>46603</v>
      </c>
      <c r="S15332" t="s">
        <v>47809</v>
      </c>
      <c r="T15332" t="s">
        <v>48492</v>
      </c>
      <c r="U15332" t="s">
        <v>61083</v>
      </c>
      <c r="W15332" t="s">
        <v>44243</v>
      </c>
      <c r="X15332" t="s">
        <v>46602</v>
      </c>
    </row>
    <row r="15333" spans="1:24">
      <c r="A15333">
        <f>HYPERLINK("https://www.philgeps.gov.ph/GEPSNONPILOT/Tender/SplashBidNoticeAbstractUI.aspx?menuIndex=3&amp;refID=7009550&amp;Result=3","7009550")</f>
        <v>0</v>
      </c>
      <c r="B15333" t="s">
        <v>3183</v>
      </c>
      <c r="C15333" t="s">
        <v>18128</v>
      </c>
      <c r="D15333" t="s">
        <v>18830</v>
      </c>
      <c r="E15333" t="s">
        <v>32071</v>
      </c>
      <c r="F15333" t="s">
        <v>32664</v>
      </c>
      <c r="G15333" t="s">
        <v>32672</v>
      </c>
      <c r="H15333" t="s">
        <v>12635</v>
      </c>
      <c r="I15333" t="s">
        <v>32717</v>
      </c>
      <c r="J15333" t="s">
        <v>41886</v>
      </c>
      <c r="K15333" t="s">
        <v>42298</v>
      </c>
      <c r="M15333" t="s">
        <v>46096</v>
      </c>
      <c r="N15333" t="s">
        <v>46569</v>
      </c>
      <c r="O15333" t="s">
        <v>46570</v>
      </c>
      <c r="Q15333">
        <v>4</v>
      </c>
      <c r="R15333" t="s">
        <v>46600</v>
      </c>
      <c r="S15333" t="s">
        <v>47810</v>
      </c>
      <c r="T15333" t="s">
        <v>48287</v>
      </c>
      <c r="U15333" t="s">
        <v>61084</v>
      </c>
      <c r="W15333" t="s">
        <v>46096</v>
      </c>
      <c r="X15333" t="s">
        <v>46604</v>
      </c>
    </row>
    <row r="15334" spans="1:24">
      <c r="A15334">
        <f>HYPERLINK("https://www.philgeps.gov.ph/GEPSNONPILOT/Tender/SplashBidNoticeAbstractUI.aspx?menuIndex=3&amp;refID=7009545&amp;Result=3","7009545")</f>
        <v>0</v>
      </c>
      <c r="B15334" t="s">
        <v>3183</v>
      </c>
      <c r="C15334" t="s">
        <v>18129</v>
      </c>
      <c r="D15334" t="s">
        <v>18830</v>
      </c>
      <c r="E15334" t="s">
        <v>32072</v>
      </c>
      <c r="F15334" t="s">
        <v>32664</v>
      </c>
      <c r="G15334" t="s">
        <v>32672</v>
      </c>
      <c r="H15334" t="s">
        <v>12635</v>
      </c>
      <c r="I15334" t="s">
        <v>32717</v>
      </c>
      <c r="J15334" t="s">
        <v>41887</v>
      </c>
      <c r="K15334" t="s">
        <v>42298</v>
      </c>
      <c r="M15334" t="s">
        <v>46096</v>
      </c>
      <c r="N15334" t="s">
        <v>46569</v>
      </c>
      <c r="O15334" t="s">
        <v>46570</v>
      </c>
      <c r="Q15334">
        <v>6</v>
      </c>
      <c r="R15334" t="s">
        <v>46600</v>
      </c>
      <c r="S15334" t="s">
        <v>47588</v>
      </c>
      <c r="T15334" t="s">
        <v>48287</v>
      </c>
      <c r="U15334" t="s">
        <v>61085</v>
      </c>
      <c r="W15334" t="s">
        <v>46096</v>
      </c>
      <c r="X15334" t="s">
        <v>46604</v>
      </c>
    </row>
    <row r="15335" spans="1:24">
      <c r="A15335">
        <f>HYPERLINK("https://www.philgeps.gov.ph/GEPSNONPILOT/Tender/SplashBidNoticeAbstractUI.aspx?menuIndex=3&amp;refID=7009228&amp;Result=3","7009228")</f>
        <v>0</v>
      </c>
      <c r="B15335" t="s">
        <v>1652</v>
      </c>
      <c r="C15335" t="s">
        <v>18130</v>
      </c>
      <c r="E15335" t="s">
        <v>32073</v>
      </c>
      <c r="F15335" t="s">
        <v>32664</v>
      </c>
      <c r="G15335" t="s">
        <v>32672</v>
      </c>
      <c r="H15335" t="s">
        <v>32681</v>
      </c>
      <c r="I15335" t="s">
        <v>32681</v>
      </c>
      <c r="J15335" t="s">
        <v>33142</v>
      </c>
      <c r="K15335" t="s">
        <v>42283</v>
      </c>
      <c r="M15335" t="s">
        <v>44337</v>
      </c>
      <c r="N15335" t="s">
        <v>46569</v>
      </c>
      <c r="O15335" t="s">
        <v>46570</v>
      </c>
      <c r="Q15335">
        <v>8</v>
      </c>
      <c r="R15335" t="s">
        <v>46604</v>
      </c>
      <c r="S15335" t="s">
        <v>47811</v>
      </c>
      <c r="T15335" t="s">
        <v>48262</v>
      </c>
      <c r="U15335" t="s">
        <v>61086</v>
      </c>
      <c r="W15335" t="s">
        <v>46487</v>
      </c>
      <c r="X15335" t="s">
        <v>46608</v>
      </c>
    </row>
    <row r="15336" spans="1:24">
      <c r="A15336">
        <f>HYPERLINK("https://www.philgeps.gov.ph/GEPSNONPILOT/Tender/SplashBidNoticeAbstractUI.aspx?menuIndex=3&amp;refID=7009525&amp;Result=3","7009525")</f>
        <v>0</v>
      </c>
      <c r="B15336" t="s">
        <v>3183</v>
      </c>
      <c r="C15336" t="s">
        <v>18131</v>
      </c>
      <c r="D15336" t="s">
        <v>18860</v>
      </c>
      <c r="E15336" t="s">
        <v>32074</v>
      </c>
      <c r="F15336" t="s">
        <v>32664</v>
      </c>
      <c r="G15336" t="s">
        <v>32672</v>
      </c>
      <c r="H15336" t="s">
        <v>12635</v>
      </c>
      <c r="I15336" t="s">
        <v>32717</v>
      </c>
      <c r="J15336" t="s">
        <v>41888</v>
      </c>
      <c r="K15336" t="s">
        <v>42298</v>
      </c>
      <c r="M15336" t="s">
        <v>46096</v>
      </c>
      <c r="N15336" t="s">
        <v>46569</v>
      </c>
      <c r="O15336" t="s">
        <v>46570</v>
      </c>
      <c r="Q15336">
        <v>6</v>
      </c>
      <c r="R15336" t="s">
        <v>46600</v>
      </c>
      <c r="S15336" t="s">
        <v>47812</v>
      </c>
      <c r="T15336" t="s">
        <v>48287</v>
      </c>
      <c r="U15336" t="s">
        <v>61087</v>
      </c>
      <c r="W15336" t="s">
        <v>46096</v>
      </c>
      <c r="X15336" t="s">
        <v>46604</v>
      </c>
    </row>
    <row r="15337" spans="1:24">
      <c r="A15337">
        <f>HYPERLINK("https://www.philgeps.gov.ph/GEPSNONPILOT/Tender/SplashBidNoticeAbstractUI.aspx?menuIndex=3&amp;refID=7007977&amp;Result=3","7007977")</f>
        <v>0</v>
      </c>
      <c r="B15337" t="s">
        <v>908</v>
      </c>
      <c r="C15337" t="s">
        <v>18132</v>
      </c>
      <c r="E15337" t="s">
        <v>32075</v>
      </c>
      <c r="F15337" t="s">
        <v>32664</v>
      </c>
      <c r="G15337" t="s">
        <v>32671</v>
      </c>
      <c r="H15337" t="s">
        <v>32683</v>
      </c>
      <c r="I15337" t="s">
        <v>10627</v>
      </c>
      <c r="J15337" t="s">
        <v>33267</v>
      </c>
      <c r="K15337" t="s">
        <v>42369</v>
      </c>
      <c r="M15337" t="s">
        <v>43514</v>
      </c>
      <c r="N15337" t="s">
        <v>46569</v>
      </c>
      <c r="O15337" t="s">
        <v>46570</v>
      </c>
      <c r="Q15337">
        <v>1</v>
      </c>
      <c r="R15337" t="s">
        <v>46604</v>
      </c>
      <c r="S15337" t="s">
        <v>47813</v>
      </c>
      <c r="T15337" t="s">
        <v>48225</v>
      </c>
      <c r="U15337" t="s">
        <v>61088</v>
      </c>
      <c r="W15337" t="s">
        <v>43514</v>
      </c>
      <c r="X15337" t="s">
        <v>46602</v>
      </c>
    </row>
    <row r="15338" spans="1:24">
      <c r="A15338">
        <f>HYPERLINK("https://www.philgeps.gov.ph/GEPSNONPILOT/Tender/SplashBidNoticeAbstractUI.aspx?menuIndex=3&amp;refID=7009513&amp;Result=3","7009513")</f>
        <v>0</v>
      </c>
      <c r="B15338" t="s">
        <v>3183</v>
      </c>
      <c r="C15338" t="s">
        <v>18133</v>
      </c>
      <c r="D15338" t="s">
        <v>18853</v>
      </c>
      <c r="E15338" t="s">
        <v>32076</v>
      </c>
      <c r="F15338" t="s">
        <v>32664</v>
      </c>
      <c r="G15338" t="s">
        <v>32672</v>
      </c>
      <c r="H15338" t="s">
        <v>12635</v>
      </c>
      <c r="I15338" t="s">
        <v>32717</v>
      </c>
      <c r="J15338" t="s">
        <v>41889</v>
      </c>
      <c r="K15338" t="s">
        <v>42298</v>
      </c>
      <c r="M15338" t="s">
        <v>46096</v>
      </c>
      <c r="N15338" t="s">
        <v>46569</v>
      </c>
      <c r="O15338" t="s">
        <v>46570</v>
      </c>
      <c r="Q15338">
        <v>7</v>
      </c>
      <c r="R15338" t="s">
        <v>46600</v>
      </c>
      <c r="S15338" t="s">
        <v>47794</v>
      </c>
      <c r="T15338" t="s">
        <v>48287</v>
      </c>
      <c r="U15338" t="s">
        <v>61089</v>
      </c>
      <c r="W15338" t="s">
        <v>46096</v>
      </c>
      <c r="X15338" t="s">
        <v>46604</v>
      </c>
    </row>
    <row r="15339" spans="1:24">
      <c r="A15339">
        <f>HYPERLINK("https://www.philgeps.gov.ph/GEPSNONPILOT/Tender/SplashBidNoticeAbstractUI.aspx?menuIndex=3&amp;refID=7009527&amp;Result=3","7009527")</f>
        <v>0</v>
      </c>
      <c r="B15339" t="s">
        <v>3183</v>
      </c>
      <c r="C15339" t="s">
        <v>18134</v>
      </c>
      <c r="D15339" t="s">
        <v>18853</v>
      </c>
      <c r="E15339" t="s">
        <v>32077</v>
      </c>
      <c r="F15339" t="s">
        <v>32664</v>
      </c>
      <c r="G15339" t="s">
        <v>32672</v>
      </c>
      <c r="H15339" t="s">
        <v>12635</v>
      </c>
      <c r="I15339" t="s">
        <v>32717</v>
      </c>
      <c r="J15339" t="s">
        <v>41890</v>
      </c>
      <c r="K15339" t="s">
        <v>42298</v>
      </c>
      <c r="M15339" t="s">
        <v>46096</v>
      </c>
      <c r="N15339" t="s">
        <v>46569</v>
      </c>
      <c r="O15339" t="s">
        <v>46570</v>
      </c>
      <c r="Q15339">
        <v>5</v>
      </c>
      <c r="R15339" t="s">
        <v>46600</v>
      </c>
      <c r="S15339" t="s">
        <v>47814</v>
      </c>
      <c r="T15339" t="s">
        <v>48287</v>
      </c>
      <c r="U15339" t="s">
        <v>61090</v>
      </c>
      <c r="W15339" t="s">
        <v>46096</v>
      </c>
      <c r="X15339" t="s">
        <v>46604</v>
      </c>
    </row>
    <row r="15340" spans="1:24">
      <c r="A15340">
        <f>HYPERLINK("https://www.philgeps.gov.ph/GEPSNONPILOT/Tender/SplashBidNoticeAbstractUI.aspx?menuIndex=3&amp;refID=7011320&amp;Result=3","7011320")</f>
        <v>0</v>
      </c>
      <c r="B15340" t="s">
        <v>3484</v>
      </c>
      <c r="C15340" t="s">
        <v>18135</v>
      </c>
      <c r="D15340" t="s">
        <v>18807</v>
      </c>
      <c r="E15340" t="s">
        <v>32078</v>
      </c>
      <c r="F15340" t="s">
        <v>32665</v>
      </c>
      <c r="G15340" t="s">
        <v>32672</v>
      </c>
      <c r="H15340" t="s">
        <v>32683</v>
      </c>
      <c r="I15340" t="s">
        <v>10627</v>
      </c>
      <c r="J15340" t="s">
        <v>33761</v>
      </c>
      <c r="K15340" t="s">
        <v>42533</v>
      </c>
      <c r="M15340" t="s">
        <v>46486</v>
      </c>
      <c r="N15340" t="s">
        <v>46569</v>
      </c>
      <c r="O15340" t="s">
        <v>46570</v>
      </c>
      <c r="P15340">
        <v>0</v>
      </c>
      <c r="Q15340">
        <v>5</v>
      </c>
      <c r="R15340" t="s">
        <v>46599</v>
      </c>
      <c r="S15340" t="s">
        <v>47788</v>
      </c>
      <c r="T15340" t="s">
        <v>48240</v>
      </c>
      <c r="U15340" t="s">
        <v>61091</v>
      </c>
      <c r="V15340" t="s">
        <v>63334</v>
      </c>
      <c r="W15340" t="s">
        <v>46486</v>
      </c>
      <c r="X15340" t="s">
        <v>46600</v>
      </c>
    </row>
    <row r="15341" spans="1:24">
      <c r="A15341">
        <f>HYPERLINK("https://www.philgeps.gov.ph/GEPSNONPILOT/Tender/SplashBidNoticeAbstractUI.aspx?menuIndex=3&amp;refID=7006107&amp;Result=3","7006107")</f>
        <v>0</v>
      </c>
      <c r="B15341" t="s">
        <v>1652</v>
      </c>
      <c r="C15341" t="s">
        <v>18136</v>
      </c>
      <c r="E15341" t="s">
        <v>32079</v>
      </c>
      <c r="F15341" t="s">
        <v>32664</v>
      </c>
      <c r="G15341" t="s">
        <v>32671</v>
      </c>
      <c r="H15341" t="s">
        <v>12635</v>
      </c>
      <c r="I15341" t="s">
        <v>32745</v>
      </c>
      <c r="J15341" t="s">
        <v>34694</v>
      </c>
      <c r="K15341" t="s">
        <v>42283</v>
      </c>
      <c r="M15341" t="s">
        <v>46487</v>
      </c>
      <c r="N15341" t="s">
        <v>46569</v>
      </c>
      <c r="O15341" t="s">
        <v>46570</v>
      </c>
      <c r="Q15341">
        <v>6</v>
      </c>
      <c r="R15341" t="s">
        <v>46602</v>
      </c>
      <c r="S15341" t="s">
        <v>46864</v>
      </c>
      <c r="T15341" t="s">
        <v>48287</v>
      </c>
      <c r="U15341" t="s">
        <v>61092</v>
      </c>
      <c r="W15341" t="s">
        <v>46487</v>
      </c>
      <c r="X15341" t="s">
        <v>46601</v>
      </c>
    </row>
    <row r="15342" spans="1:24">
      <c r="A15342">
        <f>HYPERLINK("https://www.philgeps.gov.ph/GEPSNONPILOT/Tender/SplashBidNoticeAbstractUI.aspx?menuIndex=3&amp;refID=6990815&amp;Result=3","6990815")</f>
        <v>0</v>
      </c>
      <c r="B15342" t="s">
        <v>908</v>
      </c>
      <c r="C15342" t="s">
        <v>18137</v>
      </c>
      <c r="D15342" t="s">
        <v>18820</v>
      </c>
      <c r="E15342" t="s">
        <v>32080</v>
      </c>
      <c r="F15342" t="s">
        <v>32664</v>
      </c>
      <c r="G15342" t="s">
        <v>32671</v>
      </c>
      <c r="H15342" t="s">
        <v>12635</v>
      </c>
      <c r="I15342" t="s">
        <v>32699</v>
      </c>
      <c r="J15342" t="s">
        <v>35096</v>
      </c>
      <c r="K15342" t="s">
        <v>42289</v>
      </c>
      <c r="M15342" t="s">
        <v>43514</v>
      </c>
      <c r="N15342" t="s">
        <v>46569</v>
      </c>
      <c r="O15342" t="s">
        <v>46570</v>
      </c>
      <c r="Q15342">
        <v>1</v>
      </c>
      <c r="R15342" t="s">
        <v>46605</v>
      </c>
      <c r="S15342" t="s">
        <v>47815</v>
      </c>
      <c r="T15342" t="s">
        <v>48283</v>
      </c>
      <c r="U15342" t="s">
        <v>61093</v>
      </c>
      <c r="W15342" t="s">
        <v>43514</v>
      </c>
      <c r="X15342" t="s">
        <v>46617</v>
      </c>
    </row>
    <row r="15343" spans="1:24">
      <c r="A15343">
        <f>HYPERLINK("https://www.philgeps.gov.ph/GEPSNONPILOT/Tender/SplashBidNoticeAbstractUI.aspx?menuIndex=3&amp;refID=7008950&amp;Result=3","7008950")</f>
        <v>0</v>
      </c>
      <c r="B15343" t="s">
        <v>3183</v>
      </c>
      <c r="C15343" t="s">
        <v>18134</v>
      </c>
      <c r="D15343" t="s">
        <v>18853</v>
      </c>
      <c r="E15343" t="s">
        <v>32081</v>
      </c>
      <c r="F15343" t="s">
        <v>32664</v>
      </c>
      <c r="G15343" t="s">
        <v>32672</v>
      </c>
      <c r="H15343" t="s">
        <v>12635</v>
      </c>
      <c r="I15343" t="s">
        <v>32717</v>
      </c>
      <c r="J15343" t="s">
        <v>41890</v>
      </c>
      <c r="K15343" t="s">
        <v>42298</v>
      </c>
      <c r="M15343" t="s">
        <v>46096</v>
      </c>
      <c r="N15343" t="s">
        <v>46569</v>
      </c>
      <c r="O15343" t="s">
        <v>46570</v>
      </c>
      <c r="Q15343">
        <v>7</v>
      </c>
      <c r="R15343" t="s">
        <v>46600</v>
      </c>
      <c r="S15343" t="s">
        <v>47799</v>
      </c>
      <c r="T15343" t="s">
        <v>48287</v>
      </c>
      <c r="U15343" t="s">
        <v>61094</v>
      </c>
      <c r="W15343" t="s">
        <v>46096</v>
      </c>
      <c r="X15343" t="s">
        <v>46603</v>
      </c>
    </row>
    <row r="15344" spans="1:24">
      <c r="A15344">
        <f>HYPERLINK("https://www.philgeps.gov.ph/GEPSNONPILOT/Tender/SplashBidNoticeAbstractUI.aspx?menuIndex=3&amp;refID=6990755&amp;Result=3","6990755")</f>
        <v>0</v>
      </c>
      <c r="B15344" t="s">
        <v>1439</v>
      </c>
      <c r="C15344" t="s">
        <v>18138</v>
      </c>
      <c r="D15344" t="s">
        <v>18807</v>
      </c>
      <c r="E15344" t="s">
        <v>32082</v>
      </c>
      <c r="F15344" t="s">
        <v>32664</v>
      </c>
      <c r="G15344" t="s">
        <v>32672</v>
      </c>
      <c r="H15344" t="s">
        <v>32681</v>
      </c>
      <c r="I15344" t="s">
        <v>32681</v>
      </c>
      <c r="J15344" t="s">
        <v>41891</v>
      </c>
      <c r="K15344" t="s">
        <v>42281</v>
      </c>
      <c r="M15344" t="s">
        <v>44100</v>
      </c>
      <c r="N15344" t="s">
        <v>46569</v>
      </c>
      <c r="O15344" t="s">
        <v>46570</v>
      </c>
      <c r="Q15344">
        <v>2</v>
      </c>
      <c r="R15344" t="s">
        <v>46605</v>
      </c>
      <c r="S15344" t="s">
        <v>47816</v>
      </c>
      <c r="T15344" t="s">
        <v>48275</v>
      </c>
      <c r="U15344" t="s">
        <v>61095</v>
      </c>
      <c r="W15344" t="s">
        <v>44100</v>
      </c>
      <c r="X15344" t="s">
        <v>46617</v>
      </c>
    </row>
    <row r="15345" spans="1:24">
      <c r="A15345">
        <f>HYPERLINK("https://www.philgeps.gov.ph/GEPSNONPILOT/Tender/SplashBidNoticeAbstractUI.aspx?menuIndex=3&amp;refID=7008365&amp;Result=3","7008365")</f>
        <v>0</v>
      </c>
      <c r="B15345" t="s">
        <v>2681</v>
      </c>
      <c r="C15345" t="s">
        <v>18139</v>
      </c>
      <c r="D15345" t="s">
        <v>18798</v>
      </c>
      <c r="E15345" t="s">
        <v>32083</v>
      </c>
      <c r="F15345" t="s">
        <v>32664</v>
      </c>
      <c r="G15345" t="s">
        <v>32672</v>
      </c>
      <c r="H15345" t="s">
        <v>12635</v>
      </c>
      <c r="I15345" t="s">
        <v>6223</v>
      </c>
      <c r="J15345" t="s">
        <v>33096</v>
      </c>
      <c r="K15345" t="s">
        <v>42281</v>
      </c>
      <c r="M15345" t="s">
        <v>45504</v>
      </c>
      <c r="N15345" t="s">
        <v>46569</v>
      </c>
      <c r="O15345" t="s">
        <v>46570</v>
      </c>
      <c r="P15345">
        <v>0</v>
      </c>
      <c r="Q15345">
        <v>4</v>
      </c>
      <c r="R15345" t="s">
        <v>46600</v>
      </c>
      <c r="S15345" t="s">
        <v>47798</v>
      </c>
      <c r="T15345" t="s">
        <v>48326</v>
      </c>
      <c r="U15345" t="s">
        <v>56393</v>
      </c>
      <c r="W15345" t="s">
        <v>45504</v>
      </c>
      <c r="X15345" t="s">
        <v>46602</v>
      </c>
    </row>
    <row r="15346" spans="1:24">
      <c r="A15346">
        <f>HYPERLINK("https://www.philgeps.gov.ph/GEPSNONPILOT/Tender/SplashBidNoticeAbstractUI.aspx?menuIndex=3&amp;refID=6990748&amp;Result=3","6990748")</f>
        <v>0</v>
      </c>
      <c r="B15346" t="s">
        <v>1439</v>
      </c>
      <c r="C15346" t="s">
        <v>18140</v>
      </c>
      <c r="D15346" t="s">
        <v>18807</v>
      </c>
      <c r="E15346" t="s">
        <v>32084</v>
      </c>
      <c r="F15346" t="s">
        <v>32664</v>
      </c>
      <c r="G15346" t="s">
        <v>32672</v>
      </c>
      <c r="H15346" t="s">
        <v>32681</v>
      </c>
      <c r="I15346" t="s">
        <v>32681</v>
      </c>
      <c r="J15346" t="s">
        <v>41892</v>
      </c>
      <c r="K15346" t="s">
        <v>42289</v>
      </c>
      <c r="M15346" t="s">
        <v>44100</v>
      </c>
      <c r="N15346" t="s">
        <v>46569</v>
      </c>
      <c r="O15346" t="s">
        <v>46570</v>
      </c>
      <c r="Q15346">
        <v>3</v>
      </c>
      <c r="R15346" t="s">
        <v>46605</v>
      </c>
      <c r="S15346" t="s">
        <v>47817</v>
      </c>
      <c r="T15346" t="s">
        <v>48275</v>
      </c>
      <c r="U15346" t="s">
        <v>61096</v>
      </c>
      <c r="W15346" t="s">
        <v>44100</v>
      </c>
      <c r="X15346" t="s">
        <v>46617</v>
      </c>
    </row>
    <row r="15347" spans="1:24">
      <c r="A15347">
        <f>HYPERLINK("https://www.philgeps.gov.ph/GEPSNONPILOT/Tender/SplashBidNoticeAbstractUI.aspx?menuIndex=3&amp;refID=6993223&amp;Result=3","6993223")</f>
        <v>0</v>
      </c>
      <c r="B15347" t="s">
        <v>940</v>
      </c>
      <c r="C15347" t="s">
        <v>18141</v>
      </c>
      <c r="D15347" t="s">
        <v>18784</v>
      </c>
      <c r="E15347" t="s">
        <v>32085</v>
      </c>
      <c r="F15347" t="s">
        <v>32664</v>
      </c>
      <c r="G15347" t="s">
        <v>32672</v>
      </c>
      <c r="H15347" t="s">
        <v>32681</v>
      </c>
      <c r="I15347" t="s">
        <v>32681</v>
      </c>
      <c r="J15347" t="s">
        <v>41893</v>
      </c>
      <c r="K15347" t="s">
        <v>42333</v>
      </c>
      <c r="M15347" t="s">
        <v>46488</v>
      </c>
      <c r="N15347" t="s">
        <v>46569</v>
      </c>
      <c r="O15347" t="s">
        <v>46570</v>
      </c>
      <c r="Q15347">
        <v>12</v>
      </c>
      <c r="R15347" t="s">
        <v>46606</v>
      </c>
      <c r="S15347" t="s">
        <v>46867</v>
      </c>
      <c r="T15347" t="s">
        <v>48246</v>
      </c>
      <c r="U15347" t="s">
        <v>61097</v>
      </c>
      <c r="W15347" t="s">
        <v>46488</v>
      </c>
      <c r="X15347" t="s">
        <v>46605</v>
      </c>
    </row>
    <row r="15348" spans="1:24">
      <c r="A15348">
        <f>HYPERLINK("https://www.philgeps.gov.ph/GEPSNONPILOT/Tender/SplashBidNoticeAbstractUI.aspx?menuIndex=3&amp;refID=6995869&amp;Result=3","6995869")</f>
        <v>0</v>
      </c>
      <c r="B15348" t="s">
        <v>54</v>
      </c>
      <c r="C15348" t="s">
        <v>18142</v>
      </c>
      <c r="D15348" t="s">
        <v>18803</v>
      </c>
      <c r="E15348" t="s">
        <v>32086</v>
      </c>
      <c r="F15348" t="s">
        <v>32664</v>
      </c>
      <c r="G15348" t="s">
        <v>32673</v>
      </c>
      <c r="H15348" t="s">
        <v>32683</v>
      </c>
      <c r="I15348" t="s">
        <v>10627</v>
      </c>
      <c r="J15348" t="s">
        <v>41894</v>
      </c>
      <c r="K15348" t="s">
        <v>42308</v>
      </c>
      <c r="M15348" t="s">
        <v>44929</v>
      </c>
      <c r="N15348" t="s">
        <v>46569</v>
      </c>
      <c r="O15348" t="s">
        <v>46570</v>
      </c>
      <c r="Q15348">
        <v>49</v>
      </c>
      <c r="R15348" t="s">
        <v>46607</v>
      </c>
      <c r="S15348" t="s">
        <v>47818</v>
      </c>
      <c r="T15348" t="s">
        <v>48283</v>
      </c>
      <c r="U15348" t="s">
        <v>61098</v>
      </c>
      <c r="V15348" t="s">
        <v>63335</v>
      </c>
      <c r="W15348" t="s">
        <v>44929</v>
      </c>
      <c r="X15348" t="s">
        <v>46606</v>
      </c>
    </row>
    <row r="15349" spans="1:24">
      <c r="A15349">
        <f>HYPERLINK("https://www.philgeps.gov.ph/GEPSNONPILOT/Tender/SplashBidNoticeAbstractUI.aspx?menuIndex=3&amp;refID=6994488&amp;Result=3","6994488")</f>
        <v>0</v>
      </c>
      <c r="B15349" t="s">
        <v>1590</v>
      </c>
      <c r="C15349" t="s">
        <v>18143</v>
      </c>
      <c r="D15349" t="s">
        <v>18784</v>
      </c>
      <c r="E15349" t="s">
        <v>32087</v>
      </c>
      <c r="F15349" t="s">
        <v>32664</v>
      </c>
      <c r="G15349" t="s">
        <v>32672</v>
      </c>
      <c r="H15349" t="s">
        <v>12635</v>
      </c>
      <c r="I15349" t="s">
        <v>7324</v>
      </c>
      <c r="J15349" t="s">
        <v>41895</v>
      </c>
      <c r="K15349" t="s">
        <v>42333</v>
      </c>
      <c r="M15349" t="s">
        <v>46489</v>
      </c>
      <c r="N15349" t="s">
        <v>46569</v>
      </c>
      <c r="O15349" t="s">
        <v>46570</v>
      </c>
      <c r="Q15349">
        <v>23</v>
      </c>
      <c r="R15349" t="s">
        <v>46607</v>
      </c>
      <c r="S15349" t="s">
        <v>47819</v>
      </c>
      <c r="T15349" t="s">
        <v>48230</v>
      </c>
      <c r="U15349" t="s">
        <v>61099</v>
      </c>
      <c r="W15349" t="s">
        <v>46489</v>
      </c>
      <c r="X15349" t="s">
        <v>46606</v>
      </c>
    </row>
    <row r="15350" spans="1:24">
      <c r="A15350">
        <f>HYPERLINK("https://www.philgeps.gov.ph/GEPSNONPILOT/Tender/SplashBidNoticeAbstractUI.aspx?menuIndex=3&amp;refID=7008990&amp;Result=3","7008990")</f>
        <v>0</v>
      </c>
      <c r="B15350" t="s">
        <v>3485</v>
      </c>
      <c r="C15350" t="s">
        <v>15413</v>
      </c>
      <c r="D15350" t="s">
        <v>18802</v>
      </c>
      <c r="E15350" t="s">
        <v>19830</v>
      </c>
      <c r="F15350" t="s">
        <v>32664</v>
      </c>
      <c r="G15350" t="s">
        <v>32672</v>
      </c>
      <c r="H15350" t="s">
        <v>12635</v>
      </c>
      <c r="I15350" t="s">
        <v>32696</v>
      </c>
      <c r="J15350" t="s">
        <v>32898</v>
      </c>
      <c r="K15350" t="s">
        <v>42284</v>
      </c>
      <c r="M15350" t="s">
        <v>46490</v>
      </c>
      <c r="N15350" t="s">
        <v>46569</v>
      </c>
      <c r="O15350" t="s">
        <v>46570</v>
      </c>
      <c r="P15350">
        <v>0</v>
      </c>
      <c r="Q15350">
        <v>3</v>
      </c>
      <c r="R15350" t="s">
        <v>46608</v>
      </c>
      <c r="S15350" t="s">
        <v>47820</v>
      </c>
      <c r="T15350" t="s">
        <v>48287</v>
      </c>
      <c r="U15350" t="s">
        <v>61100</v>
      </c>
      <c r="W15350" t="s">
        <v>46490</v>
      </c>
      <c r="X15350" t="s">
        <v>46603</v>
      </c>
    </row>
    <row r="15351" spans="1:24">
      <c r="A15351">
        <f>HYPERLINK("https://www.philgeps.gov.ph/GEPSNONPILOT/Tender/SplashBidNoticeAbstractUI.aspx?menuIndex=3&amp;refID=6998473&amp;Result=3","6998473")</f>
        <v>0</v>
      </c>
      <c r="B15351" t="s">
        <v>1088</v>
      </c>
      <c r="C15351" t="s">
        <v>18144</v>
      </c>
      <c r="D15351" t="s">
        <v>18804</v>
      </c>
      <c r="E15351" t="s">
        <v>32088</v>
      </c>
      <c r="F15351" t="s">
        <v>32664</v>
      </c>
      <c r="G15351" t="s">
        <v>32671</v>
      </c>
      <c r="H15351" t="s">
        <v>32683</v>
      </c>
      <c r="I15351" t="s">
        <v>10627</v>
      </c>
      <c r="J15351" t="s">
        <v>41896</v>
      </c>
      <c r="K15351" t="s">
        <v>42305</v>
      </c>
      <c r="M15351" t="s">
        <v>44593</v>
      </c>
      <c r="N15351" t="s">
        <v>46569</v>
      </c>
      <c r="O15351" t="s">
        <v>46570</v>
      </c>
      <c r="Q15351">
        <v>0</v>
      </c>
      <c r="R15351" t="s">
        <v>46609</v>
      </c>
      <c r="S15351" t="s">
        <v>47821</v>
      </c>
      <c r="T15351" t="s">
        <v>48268</v>
      </c>
      <c r="U15351" t="s">
        <v>61101</v>
      </c>
      <c r="W15351" t="s">
        <v>44593</v>
      </c>
      <c r="X15351" t="s">
        <v>46610</v>
      </c>
    </row>
    <row r="15352" spans="1:24">
      <c r="A15352">
        <f>HYPERLINK("https://www.philgeps.gov.ph/GEPSNONPILOT/Tender/SplashBidNoticeAbstractUI.aspx?menuIndex=3&amp;refID=6997462&amp;Result=3","6997462")</f>
        <v>0</v>
      </c>
      <c r="B15352" t="s">
        <v>324</v>
      </c>
      <c r="C15352" t="s">
        <v>18145</v>
      </c>
      <c r="D15352" t="s">
        <v>18784</v>
      </c>
      <c r="E15352" t="s">
        <v>32089</v>
      </c>
      <c r="F15352" t="s">
        <v>32664</v>
      </c>
      <c r="G15352" t="s">
        <v>32672</v>
      </c>
      <c r="H15352" t="s">
        <v>32681</v>
      </c>
      <c r="I15352" t="s">
        <v>32681</v>
      </c>
      <c r="J15352" t="s">
        <v>41897</v>
      </c>
      <c r="K15352" t="s">
        <v>42283</v>
      </c>
      <c r="M15352" t="s">
        <v>42892</v>
      </c>
      <c r="N15352" t="s">
        <v>46569</v>
      </c>
      <c r="O15352" t="s">
        <v>46570</v>
      </c>
      <c r="Q15352">
        <v>45</v>
      </c>
      <c r="R15352" t="s">
        <v>46610</v>
      </c>
      <c r="S15352" t="s">
        <v>47822</v>
      </c>
      <c r="T15352" t="s">
        <v>48343</v>
      </c>
      <c r="U15352" t="s">
        <v>49360</v>
      </c>
      <c r="W15352" t="s">
        <v>42892</v>
      </c>
      <c r="X15352" t="s">
        <v>46607</v>
      </c>
    </row>
    <row r="15353" spans="1:24">
      <c r="A15353">
        <f>HYPERLINK("https://www.philgeps.gov.ph/GEPSNONPILOT/Tender/SplashBidNoticeAbstractUI.aspx?menuIndex=3&amp;refID=7014145&amp;Result=3","7014145")</f>
        <v>0</v>
      </c>
      <c r="B15353" t="s">
        <v>3450</v>
      </c>
      <c r="C15353" t="s">
        <v>18146</v>
      </c>
      <c r="D15353" t="s">
        <v>18842</v>
      </c>
      <c r="E15353" t="s">
        <v>22186</v>
      </c>
      <c r="F15353" t="s">
        <v>32664</v>
      </c>
      <c r="G15353" t="s">
        <v>32672</v>
      </c>
      <c r="H15353" t="s">
        <v>12635</v>
      </c>
      <c r="I15353" t="s">
        <v>7324</v>
      </c>
      <c r="J15353" t="s">
        <v>32845</v>
      </c>
      <c r="K15353" t="s">
        <v>42281</v>
      </c>
      <c r="M15353" t="s">
        <v>46438</v>
      </c>
      <c r="N15353" t="s">
        <v>46569</v>
      </c>
      <c r="O15353" t="s">
        <v>46570</v>
      </c>
      <c r="P15353">
        <v>0</v>
      </c>
      <c r="Q15353">
        <v>1</v>
      </c>
      <c r="R15353" t="s">
        <v>46597</v>
      </c>
      <c r="S15353" t="s">
        <v>47783</v>
      </c>
      <c r="T15353" t="s">
        <v>48212</v>
      </c>
      <c r="U15353" t="s">
        <v>61102</v>
      </c>
      <c r="V15353" t="s">
        <v>61102</v>
      </c>
      <c r="W15353" t="s">
        <v>46438</v>
      </c>
      <c r="X15353" t="s">
        <v>46599</v>
      </c>
    </row>
    <row r="15354" spans="1:24">
      <c r="A15354">
        <f>HYPERLINK("https://www.philgeps.gov.ph/GEPSNONPILOT/Tender/SplashBidNoticeAbstractUI.aspx?menuIndex=3&amp;refID=6994164&amp;Result=3","6994164")</f>
        <v>0</v>
      </c>
      <c r="B15354" t="s">
        <v>101</v>
      </c>
      <c r="C15354" t="s">
        <v>18147</v>
      </c>
      <c r="D15354" t="s">
        <v>18821</v>
      </c>
      <c r="E15354" t="s">
        <v>32090</v>
      </c>
      <c r="F15354" t="s">
        <v>32664</v>
      </c>
      <c r="G15354" t="s">
        <v>32672</v>
      </c>
      <c r="H15354" t="s">
        <v>32683</v>
      </c>
      <c r="I15354" t="s">
        <v>10627</v>
      </c>
      <c r="J15354" t="s">
        <v>41898</v>
      </c>
      <c r="K15354" t="s">
        <v>42298</v>
      </c>
      <c r="M15354" t="s">
        <v>46491</v>
      </c>
      <c r="N15354" t="s">
        <v>46569</v>
      </c>
      <c r="O15354" t="s">
        <v>46570</v>
      </c>
      <c r="Q15354">
        <v>1</v>
      </c>
      <c r="R15354" t="s">
        <v>46606</v>
      </c>
      <c r="S15354" t="s">
        <v>47823</v>
      </c>
      <c r="T15354" t="s">
        <v>48304</v>
      </c>
      <c r="U15354" t="s">
        <v>61103</v>
      </c>
      <c r="V15354" t="s">
        <v>63336</v>
      </c>
      <c r="W15354" t="s">
        <v>46491</v>
      </c>
      <c r="X15354" t="s">
        <v>46605</v>
      </c>
    </row>
    <row r="15355" spans="1:24">
      <c r="A15355">
        <f>HYPERLINK("https://www.philgeps.gov.ph/GEPSNONPILOT/Tender/SplashBidNoticeAbstractUI.aspx?menuIndex=3&amp;refID=6998549&amp;Result=3","6998549")</f>
        <v>0</v>
      </c>
      <c r="B15355" t="s">
        <v>3486</v>
      </c>
      <c r="C15355" t="s">
        <v>18148</v>
      </c>
      <c r="D15355" t="s">
        <v>18831</v>
      </c>
      <c r="E15355" t="s">
        <v>32091</v>
      </c>
      <c r="F15355" t="s">
        <v>32664</v>
      </c>
      <c r="G15355" t="s">
        <v>32672</v>
      </c>
      <c r="H15355" t="s">
        <v>12635</v>
      </c>
      <c r="I15355" t="s">
        <v>4439</v>
      </c>
      <c r="J15355" t="s">
        <v>41899</v>
      </c>
      <c r="K15355" t="s">
        <v>42290</v>
      </c>
      <c r="M15355" t="s">
        <v>46492</v>
      </c>
      <c r="N15355" t="s">
        <v>46569</v>
      </c>
      <c r="O15355" t="s">
        <v>46570</v>
      </c>
      <c r="Q15355">
        <v>13</v>
      </c>
      <c r="R15355" t="s">
        <v>46609</v>
      </c>
      <c r="S15355" t="s">
        <v>47824</v>
      </c>
      <c r="T15355" t="s">
        <v>48263</v>
      </c>
      <c r="U15355" t="s">
        <v>61104</v>
      </c>
      <c r="V15355" t="s">
        <v>63337</v>
      </c>
      <c r="W15355" t="s">
        <v>63601</v>
      </c>
      <c r="X15355" t="s">
        <v>46610</v>
      </c>
    </row>
    <row r="15356" spans="1:24">
      <c r="A15356">
        <f>HYPERLINK("https://www.philgeps.gov.ph/GEPSNONPILOT/Tender/SplashBidNoticeAbstractUI.aspx?menuIndex=3&amp;refID=7002535&amp;Result=3","7002535")</f>
        <v>0</v>
      </c>
      <c r="B15356" t="s">
        <v>2173</v>
      </c>
      <c r="C15356" t="s">
        <v>18149</v>
      </c>
      <c r="D15356" t="s">
        <v>18816</v>
      </c>
      <c r="E15356" t="s">
        <v>32092</v>
      </c>
      <c r="F15356" t="s">
        <v>32664</v>
      </c>
      <c r="G15356" t="s">
        <v>32672</v>
      </c>
      <c r="H15356" t="s">
        <v>32683</v>
      </c>
      <c r="I15356" t="s">
        <v>10627</v>
      </c>
      <c r="J15356" t="s">
        <v>41900</v>
      </c>
      <c r="K15356" t="s">
        <v>42397</v>
      </c>
      <c r="M15356" t="s">
        <v>46181</v>
      </c>
      <c r="N15356" t="s">
        <v>46569</v>
      </c>
      <c r="O15356" t="s">
        <v>46570</v>
      </c>
      <c r="Q15356">
        <v>0</v>
      </c>
      <c r="R15356" t="s">
        <v>46611</v>
      </c>
      <c r="S15356" t="s">
        <v>47825</v>
      </c>
      <c r="T15356" t="s">
        <v>48212</v>
      </c>
      <c r="U15356" t="s">
        <v>59070</v>
      </c>
      <c r="W15356" t="s">
        <v>46181</v>
      </c>
      <c r="X15356" t="s">
        <v>46618</v>
      </c>
    </row>
    <row r="15357" spans="1:24">
      <c r="A15357">
        <f>HYPERLINK("https://www.philgeps.gov.ph/GEPSNONPILOT/Tender/SplashBidNoticeAbstractUI.aspx?menuIndex=3&amp;refID=7002518&amp;Result=3","7002518")</f>
        <v>0</v>
      </c>
      <c r="B15357" t="s">
        <v>2173</v>
      </c>
      <c r="C15357" t="s">
        <v>18150</v>
      </c>
      <c r="D15357" t="s">
        <v>18816</v>
      </c>
      <c r="E15357" t="s">
        <v>32093</v>
      </c>
      <c r="F15357" t="s">
        <v>32664</v>
      </c>
      <c r="G15357" t="s">
        <v>32672</v>
      </c>
      <c r="H15357" t="s">
        <v>32683</v>
      </c>
      <c r="I15357" t="s">
        <v>10627</v>
      </c>
      <c r="J15357" t="s">
        <v>41901</v>
      </c>
      <c r="K15357" t="s">
        <v>42534</v>
      </c>
      <c r="M15357" t="s">
        <v>46181</v>
      </c>
      <c r="N15357" t="s">
        <v>46569</v>
      </c>
      <c r="O15357" t="s">
        <v>46570</v>
      </c>
      <c r="Q15357">
        <v>0</v>
      </c>
      <c r="R15357" t="s">
        <v>46611</v>
      </c>
      <c r="S15357" t="s">
        <v>47826</v>
      </c>
      <c r="T15357" t="s">
        <v>48212</v>
      </c>
      <c r="U15357" t="s">
        <v>59070</v>
      </c>
      <c r="W15357" t="s">
        <v>46181</v>
      </c>
      <c r="X15357" t="s">
        <v>46618</v>
      </c>
    </row>
    <row r="15358" spans="1:24">
      <c r="A15358">
        <f>HYPERLINK("https://www.philgeps.gov.ph/GEPSNONPILOT/Tender/SplashBidNoticeAbstractUI.aspx?menuIndex=3&amp;refID=7008941&amp;Result=3","7008941")</f>
        <v>0</v>
      </c>
      <c r="B15358" t="s">
        <v>3183</v>
      </c>
      <c r="C15358" t="s">
        <v>18151</v>
      </c>
      <c r="D15358" t="s">
        <v>18853</v>
      </c>
      <c r="E15358" t="s">
        <v>32094</v>
      </c>
      <c r="F15358" t="s">
        <v>32664</v>
      </c>
      <c r="G15358" t="s">
        <v>32672</v>
      </c>
      <c r="H15358" t="s">
        <v>12635</v>
      </c>
      <c r="I15358" t="s">
        <v>32717</v>
      </c>
      <c r="J15358" t="s">
        <v>41873</v>
      </c>
      <c r="K15358" t="s">
        <v>42298</v>
      </c>
      <c r="M15358" t="s">
        <v>46096</v>
      </c>
      <c r="N15358" t="s">
        <v>46569</v>
      </c>
      <c r="O15358" t="s">
        <v>46570</v>
      </c>
      <c r="Q15358">
        <v>4</v>
      </c>
      <c r="R15358" t="s">
        <v>46600</v>
      </c>
      <c r="S15358" t="s">
        <v>47827</v>
      </c>
      <c r="T15358" t="s">
        <v>48287</v>
      </c>
      <c r="U15358" t="s">
        <v>61105</v>
      </c>
      <c r="W15358" t="s">
        <v>46096</v>
      </c>
      <c r="X15358" t="s">
        <v>46603</v>
      </c>
    </row>
    <row r="15359" spans="1:24">
      <c r="A15359">
        <f>HYPERLINK("https://www.philgeps.gov.ph/GEPSNONPILOT/Tender/SplashBidNoticeAbstractUI.aspx?menuIndex=3&amp;refID=6998320&amp;Result=3","6998320")</f>
        <v>0</v>
      </c>
      <c r="B15359" t="s">
        <v>3486</v>
      </c>
      <c r="C15359" t="s">
        <v>18152</v>
      </c>
      <c r="D15359" t="s">
        <v>18831</v>
      </c>
      <c r="E15359" t="s">
        <v>32095</v>
      </c>
      <c r="F15359" t="s">
        <v>32664</v>
      </c>
      <c r="G15359" t="s">
        <v>32672</v>
      </c>
      <c r="H15359" t="s">
        <v>12635</v>
      </c>
      <c r="I15359" t="s">
        <v>11464</v>
      </c>
      <c r="J15359" t="s">
        <v>41902</v>
      </c>
      <c r="K15359" t="s">
        <v>42298</v>
      </c>
      <c r="M15359" t="s">
        <v>46492</v>
      </c>
      <c r="N15359" t="s">
        <v>46569</v>
      </c>
      <c r="O15359" t="s">
        <v>46570</v>
      </c>
      <c r="Q15359">
        <v>5</v>
      </c>
      <c r="R15359" t="s">
        <v>46609</v>
      </c>
      <c r="S15359" t="s">
        <v>47828</v>
      </c>
      <c r="T15359" t="s">
        <v>48557</v>
      </c>
      <c r="U15359" t="s">
        <v>61106</v>
      </c>
      <c r="V15359" t="s">
        <v>63337</v>
      </c>
      <c r="W15359" t="s">
        <v>63601</v>
      </c>
      <c r="X15359" t="s">
        <v>46610</v>
      </c>
    </row>
    <row r="15360" spans="1:24">
      <c r="A15360">
        <f>HYPERLINK("https://www.philgeps.gov.ph/GEPSNONPILOT/Tender/SplashBidNoticeAbstractUI.aspx?menuIndex=3&amp;refID=7000670&amp;Result=3","7000670")</f>
        <v>0</v>
      </c>
      <c r="B15360" t="s">
        <v>2173</v>
      </c>
      <c r="C15360" t="s">
        <v>18153</v>
      </c>
      <c r="D15360" t="s">
        <v>18816</v>
      </c>
      <c r="E15360" t="s">
        <v>32096</v>
      </c>
      <c r="F15360" t="s">
        <v>32664</v>
      </c>
      <c r="G15360" t="s">
        <v>32672</v>
      </c>
      <c r="H15360" t="s">
        <v>32683</v>
      </c>
      <c r="I15360" t="s">
        <v>10627</v>
      </c>
      <c r="J15360" t="s">
        <v>41903</v>
      </c>
      <c r="K15360" t="s">
        <v>42441</v>
      </c>
      <c r="M15360" t="s">
        <v>46181</v>
      </c>
      <c r="N15360" t="s">
        <v>46569</v>
      </c>
      <c r="O15360" t="s">
        <v>46570</v>
      </c>
      <c r="Q15360">
        <v>0</v>
      </c>
      <c r="R15360" t="s">
        <v>46611</v>
      </c>
      <c r="S15360" t="s">
        <v>47829</v>
      </c>
      <c r="T15360" t="s">
        <v>48212</v>
      </c>
      <c r="U15360" t="s">
        <v>59070</v>
      </c>
      <c r="W15360" t="s">
        <v>46181</v>
      </c>
      <c r="X15360" t="s">
        <v>63615</v>
      </c>
    </row>
    <row r="15361" spans="1:24">
      <c r="A15361">
        <f>HYPERLINK("https://www.philgeps.gov.ph/GEPSNONPILOT/Tender/SplashBidNoticeAbstractUI.aspx?menuIndex=3&amp;refID=7013136&amp;Result=3","7013136")</f>
        <v>0</v>
      </c>
      <c r="B15361" t="s">
        <v>3477</v>
      </c>
      <c r="C15361" t="s">
        <v>18154</v>
      </c>
      <c r="D15361" t="s">
        <v>18825</v>
      </c>
      <c r="E15361" t="s">
        <v>32097</v>
      </c>
      <c r="F15361" t="s">
        <v>32664</v>
      </c>
      <c r="G15361" t="s">
        <v>32677</v>
      </c>
      <c r="H15361" t="s">
        <v>32683</v>
      </c>
      <c r="I15361" t="s">
        <v>10627</v>
      </c>
      <c r="J15361" t="s">
        <v>33267</v>
      </c>
      <c r="K15361" t="s">
        <v>42298</v>
      </c>
      <c r="M15361" t="s">
        <v>46479</v>
      </c>
      <c r="N15361" t="s">
        <v>46569</v>
      </c>
      <c r="O15361" t="s">
        <v>46570</v>
      </c>
      <c r="P15361">
        <v>0</v>
      </c>
      <c r="Q15361">
        <v>0</v>
      </c>
      <c r="R15361" t="s">
        <v>46596</v>
      </c>
      <c r="S15361" t="s">
        <v>47768</v>
      </c>
      <c r="T15361" t="s">
        <v>48448</v>
      </c>
      <c r="U15361" t="s">
        <v>61107</v>
      </c>
      <c r="V15361" t="s">
        <v>61731</v>
      </c>
      <c r="W15361" t="s">
        <v>46479</v>
      </c>
      <c r="X15361" t="s">
        <v>46599</v>
      </c>
    </row>
    <row r="15362" spans="1:24">
      <c r="A15362">
        <f>HYPERLINK("https://www.philgeps.gov.ph/GEPSNONPILOT/Tender/SplashBidNoticeAbstractUI.aspx?menuIndex=3&amp;refID=7002426&amp;Result=3","7002426")</f>
        <v>0</v>
      </c>
      <c r="B15362" t="s">
        <v>2173</v>
      </c>
      <c r="C15362" t="s">
        <v>18155</v>
      </c>
      <c r="D15362" t="s">
        <v>18816</v>
      </c>
      <c r="E15362" t="s">
        <v>32098</v>
      </c>
      <c r="F15362" t="s">
        <v>32664</v>
      </c>
      <c r="G15362" t="s">
        <v>32672</v>
      </c>
      <c r="H15362" t="s">
        <v>32683</v>
      </c>
      <c r="I15362" t="s">
        <v>10627</v>
      </c>
      <c r="J15362" t="s">
        <v>41904</v>
      </c>
      <c r="K15362" t="s">
        <v>42397</v>
      </c>
      <c r="M15362" t="s">
        <v>46181</v>
      </c>
      <c r="N15362" t="s">
        <v>46569</v>
      </c>
      <c r="O15362" t="s">
        <v>46570</v>
      </c>
      <c r="Q15362">
        <v>0</v>
      </c>
      <c r="R15362" t="s">
        <v>46611</v>
      </c>
      <c r="S15362" t="s">
        <v>47830</v>
      </c>
      <c r="T15362" t="s">
        <v>48313</v>
      </c>
      <c r="U15362" t="s">
        <v>59070</v>
      </c>
      <c r="W15362" t="s">
        <v>46181</v>
      </c>
      <c r="X15362" t="s">
        <v>46618</v>
      </c>
    </row>
    <row r="15363" spans="1:24">
      <c r="A15363">
        <f>HYPERLINK("https://www.philgeps.gov.ph/GEPSNONPILOT/Tender/SplashBidNoticeAbstractUI.aspx?menuIndex=3&amp;refID=6981993&amp;Result=3","6981993")</f>
        <v>0</v>
      </c>
      <c r="B15363" t="s">
        <v>643</v>
      </c>
      <c r="C15363" t="s">
        <v>18156</v>
      </c>
      <c r="D15363" t="s">
        <v>18784</v>
      </c>
      <c r="E15363" t="s">
        <v>32099</v>
      </c>
      <c r="F15363" t="s">
        <v>32664</v>
      </c>
      <c r="G15363" t="s">
        <v>32672</v>
      </c>
      <c r="H15363" t="s">
        <v>12635</v>
      </c>
      <c r="I15363" t="s">
        <v>9946</v>
      </c>
      <c r="J15363" t="s">
        <v>41905</v>
      </c>
      <c r="K15363" t="s">
        <v>42471</v>
      </c>
      <c r="M15363" t="s">
        <v>44656</v>
      </c>
      <c r="N15363" t="s">
        <v>46569</v>
      </c>
      <c r="O15363" t="s">
        <v>46570</v>
      </c>
      <c r="Q15363">
        <v>15</v>
      </c>
      <c r="R15363" t="s">
        <v>46612</v>
      </c>
      <c r="S15363" t="s">
        <v>47688</v>
      </c>
      <c r="T15363" t="s">
        <v>48293</v>
      </c>
      <c r="U15363" t="s">
        <v>61108</v>
      </c>
      <c r="W15363" t="s">
        <v>44656</v>
      </c>
      <c r="X15363" t="s">
        <v>63618</v>
      </c>
    </row>
    <row r="15364" spans="1:24">
      <c r="A15364">
        <f>HYPERLINK("https://www.philgeps.gov.ph/GEPSNONPILOT/Tender/SplashBidNoticeAbstractUI.aspx?menuIndex=3&amp;refID=6976716&amp;Result=3","6976716")</f>
        <v>0</v>
      </c>
      <c r="B15364" t="s">
        <v>1483</v>
      </c>
      <c r="C15364" t="s">
        <v>18157</v>
      </c>
      <c r="D15364" t="s">
        <v>18785</v>
      </c>
      <c r="E15364" t="s">
        <v>32100</v>
      </c>
      <c r="F15364" t="s">
        <v>32664</v>
      </c>
      <c r="G15364" t="s">
        <v>32672</v>
      </c>
      <c r="H15364" t="s">
        <v>32683</v>
      </c>
      <c r="I15364" t="s">
        <v>10627</v>
      </c>
      <c r="J15364" t="s">
        <v>41906</v>
      </c>
      <c r="K15364" t="s">
        <v>42290</v>
      </c>
      <c r="M15364" t="s">
        <v>44146</v>
      </c>
      <c r="N15364" t="s">
        <v>46569</v>
      </c>
      <c r="O15364" t="s">
        <v>46570</v>
      </c>
      <c r="Q15364">
        <v>6</v>
      </c>
      <c r="R15364" t="s">
        <v>46613</v>
      </c>
      <c r="S15364" t="s">
        <v>47831</v>
      </c>
      <c r="T15364" t="s">
        <v>48751</v>
      </c>
      <c r="U15364" t="s">
        <v>61109</v>
      </c>
      <c r="W15364" t="s">
        <v>44146</v>
      </c>
      <c r="X15364" t="s">
        <v>46624</v>
      </c>
    </row>
    <row r="15365" spans="1:24">
      <c r="A15365">
        <f>HYPERLINK("https://www.philgeps.gov.ph/GEPSNONPILOT/Tender/SplashBidNoticeAbstractUI.aspx?menuIndex=3&amp;refID=6979366&amp;Result=3","6979366")</f>
        <v>0</v>
      </c>
      <c r="B15365" t="s">
        <v>1320</v>
      </c>
      <c r="C15365" t="s">
        <v>18158</v>
      </c>
      <c r="D15365" t="s">
        <v>18784</v>
      </c>
      <c r="E15365" t="s">
        <v>32101</v>
      </c>
      <c r="F15365" t="s">
        <v>32664</v>
      </c>
      <c r="G15365" t="s">
        <v>32672</v>
      </c>
      <c r="H15365" t="s">
        <v>12635</v>
      </c>
      <c r="I15365" t="s">
        <v>5589</v>
      </c>
      <c r="J15365" t="s">
        <v>41907</v>
      </c>
      <c r="K15365" t="s">
        <v>42281</v>
      </c>
      <c r="M15365" t="s">
        <v>46493</v>
      </c>
      <c r="N15365" t="s">
        <v>46569</v>
      </c>
      <c r="O15365" t="s">
        <v>46570</v>
      </c>
      <c r="Q15365">
        <v>23</v>
      </c>
      <c r="R15365" t="s">
        <v>46614</v>
      </c>
      <c r="S15365" t="s">
        <v>47832</v>
      </c>
      <c r="T15365" t="s">
        <v>48752</v>
      </c>
      <c r="U15365" t="s">
        <v>61110</v>
      </c>
      <c r="W15365" t="s">
        <v>46493</v>
      </c>
      <c r="X15365" t="s">
        <v>63619</v>
      </c>
    </row>
    <row r="15366" spans="1:24">
      <c r="A15366">
        <f>HYPERLINK("https://www.philgeps.gov.ph/GEPSNONPILOT/Tender/SplashBidNoticeAbstractUI.aspx?menuIndex=3&amp;refID=6996934&amp;Result=3","6996934")</f>
        <v>0</v>
      </c>
      <c r="B15366" t="s">
        <v>145</v>
      </c>
      <c r="C15366" t="s">
        <v>18159</v>
      </c>
      <c r="D15366" t="s">
        <v>18784</v>
      </c>
      <c r="E15366" t="s">
        <v>32102</v>
      </c>
      <c r="F15366" t="s">
        <v>32664</v>
      </c>
      <c r="G15366" t="s">
        <v>32672</v>
      </c>
      <c r="H15366" t="s">
        <v>12635</v>
      </c>
      <c r="I15366" t="s">
        <v>32749</v>
      </c>
      <c r="J15366" t="s">
        <v>37816</v>
      </c>
      <c r="K15366" t="s">
        <v>42283</v>
      </c>
      <c r="M15366" t="s">
        <v>44699</v>
      </c>
      <c r="N15366" t="s">
        <v>46569</v>
      </c>
      <c r="O15366" t="s">
        <v>46570</v>
      </c>
      <c r="Q15366">
        <v>10</v>
      </c>
      <c r="R15366" t="s">
        <v>46610</v>
      </c>
      <c r="S15366" t="s">
        <v>47833</v>
      </c>
      <c r="T15366" t="s">
        <v>48285</v>
      </c>
      <c r="U15366" t="s">
        <v>61111</v>
      </c>
      <c r="W15366" t="s">
        <v>44699</v>
      </c>
      <c r="X15366" t="s">
        <v>46607</v>
      </c>
    </row>
    <row r="15367" spans="1:24">
      <c r="A15367">
        <f>HYPERLINK("https://www.philgeps.gov.ph/GEPSNONPILOT/Tender/SplashBidNoticeAbstractUI.aspx?menuIndex=3&amp;refID=6986802&amp;Result=3","6986802")</f>
        <v>0</v>
      </c>
      <c r="B15367" t="s">
        <v>2922</v>
      </c>
      <c r="C15367" t="s">
        <v>18160</v>
      </c>
      <c r="D15367" t="s">
        <v>18831</v>
      </c>
      <c r="E15367" t="s">
        <v>32103</v>
      </c>
      <c r="F15367" t="s">
        <v>32664</v>
      </c>
      <c r="G15367" t="s">
        <v>32672</v>
      </c>
      <c r="H15367" t="s">
        <v>32681</v>
      </c>
      <c r="I15367" t="s">
        <v>10627</v>
      </c>
      <c r="J15367" t="s">
        <v>41908</v>
      </c>
      <c r="K15367" t="s">
        <v>42397</v>
      </c>
      <c r="L15367" t="s">
        <v>2922</v>
      </c>
      <c r="M15367" t="s">
        <v>45775</v>
      </c>
      <c r="N15367" t="s">
        <v>46569</v>
      </c>
      <c r="O15367" t="s">
        <v>46570</v>
      </c>
      <c r="Q15367">
        <v>3</v>
      </c>
      <c r="R15367" t="s">
        <v>46615</v>
      </c>
      <c r="S15367" t="s">
        <v>47834</v>
      </c>
      <c r="T15367" t="s">
        <v>48222</v>
      </c>
      <c r="U15367" t="s">
        <v>61112</v>
      </c>
      <c r="W15367" t="s">
        <v>45775</v>
      </c>
      <c r="X15367" t="s">
        <v>46616</v>
      </c>
    </row>
    <row r="15368" spans="1:24">
      <c r="A15368">
        <f>HYPERLINK("https://www.philgeps.gov.ph/GEPSNONPILOT/Tender/SplashBidNoticeAbstractUI.aspx?menuIndex=3&amp;refID=6986793&amp;Result=3","6986793")</f>
        <v>0</v>
      </c>
      <c r="B15368" t="s">
        <v>2922</v>
      </c>
      <c r="C15368" t="s">
        <v>18161</v>
      </c>
      <c r="D15368" t="s">
        <v>18831</v>
      </c>
      <c r="E15368" t="s">
        <v>32104</v>
      </c>
      <c r="F15368" t="s">
        <v>32664</v>
      </c>
      <c r="G15368" t="s">
        <v>32672</v>
      </c>
      <c r="H15368" t="s">
        <v>32681</v>
      </c>
      <c r="I15368" t="s">
        <v>10627</v>
      </c>
      <c r="J15368" t="s">
        <v>41909</v>
      </c>
      <c r="K15368" t="s">
        <v>42397</v>
      </c>
      <c r="L15368" t="s">
        <v>2922</v>
      </c>
      <c r="M15368" t="s">
        <v>45775</v>
      </c>
      <c r="N15368" t="s">
        <v>46569</v>
      </c>
      <c r="O15368" t="s">
        <v>46570</v>
      </c>
      <c r="Q15368">
        <v>3</v>
      </c>
      <c r="R15368" t="s">
        <v>46615</v>
      </c>
      <c r="S15368" t="s">
        <v>47835</v>
      </c>
      <c r="T15368" t="s">
        <v>48222</v>
      </c>
      <c r="U15368" t="s">
        <v>61112</v>
      </c>
      <c r="W15368" t="s">
        <v>45775</v>
      </c>
      <c r="X15368" t="s">
        <v>46616</v>
      </c>
    </row>
    <row r="15369" spans="1:24">
      <c r="A15369">
        <f>HYPERLINK("https://www.philgeps.gov.ph/GEPSNONPILOT/Tender/SplashBidNoticeAbstractUI.aspx?menuIndex=3&amp;refID=6986798&amp;Result=3","6986798")</f>
        <v>0</v>
      </c>
      <c r="B15369" t="s">
        <v>2922</v>
      </c>
      <c r="C15369" t="s">
        <v>18162</v>
      </c>
      <c r="D15369" t="s">
        <v>18831</v>
      </c>
      <c r="E15369" t="s">
        <v>32105</v>
      </c>
      <c r="F15369" t="s">
        <v>32664</v>
      </c>
      <c r="G15369" t="s">
        <v>32672</v>
      </c>
      <c r="H15369" t="s">
        <v>32681</v>
      </c>
      <c r="I15369" t="s">
        <v>10627</v>
      </c>
      <c r="J15369" t="s">
        <v>41910</v>
      </c>
      <c r="K15369" t="s">
        <v>42450</v>
      </c>
      <c r="L15369" t="s">
        <v>2922</v>
      </c>
      <c r="M15369" t="s">
        <v>45775</v>
      </c>
      <c r="N15369" t="s">
        <v>46569</v>
      </c>
      <c r="O15369" t="s">
        <v>46570</v>
      </c>
      <c r="Q15369">
        <v>2</v>
      </c>
      <c r="R15369" t="s">
        <v>46615</v>
      </c>
      <c r="S15369" t="s">
        <v>47836</v>
      </c>
      <c r="T15369" t="s">
        <v>48222</v>
      </c>
      <c r="U15369" t="s">
        <v>61113</v>
      </c>
      <c r="W15369" t="s">
        <v>45775</v>
      </c>
      <c r="X15369" t="s">
        <v>46616</v>
      </c>
    </row>
    <row r="15370" spans="1:24">
      <c r="A15370">
        <f>HYPERLINK("https://www.philgeps.gov.ph/GEPSNONPILOT/Tender/SplashBidNoticeAbstractUI.aspx?menuIndex=3&amp;refID=6976656&amp;Result=3","6976656")</f>
        <v>0</v>
      </c>
      <c r="B15370" t="s">
        <v>1483</v>
      </c>
      <c r="C15370" t="s">
        <v>18163</v>
      </c>
      <c r="D15370" t="s">
        <v>18785</v>
      </c>
      <c r="E15370" t="s">
        <v>32106</v>
      </c>
      <c r="F15370" t="s">
        <v>32664</v>
      </c>
      <c r="G15370" t="s">
        <v>32672</v>
      </c>
      <c r="H15370" t="s">
        <v>32683</v>
      </c>
      <c r="I15370" t="s">
        <v>10627</v>
      </c>
      <c r="J15370" t="s">
        <v>41911</v>
      </c>
      <c r="K15370" t="s">
        <v>42290</v>
      </c>
      <c r="M15370" t="s">
        <v>44146</v>
      </c>
      <c r="N15370" t="s">
        <v>46569</v>
      </c>
      <c r="O15370" t="s">
        <v>46570</v>
      </c>
      <c r="Q15370">
        <v>10</v>
      </c>
      <c r="R15370" t="s">
        <v>46613</v>
      </c>
      <c r="S15370" t="s">
        <v>47837</v>
      </c>
      <c r="T15370" t="s">
        <v>48751</v>
      </c>
      <c r="U15370" t="s">
        <v>61114</v>
      </c>
      <c r="W15370" t="s">
        <v>44146</v>
      </c>
      <c r="X15370" t="s">
        <v>46624</v>
      </c>
    </row>
    <row r="15371" spans="1:24">
      <c r="A15371">
        <f>HYPERLINK("https://www.philgeps.gov.ph/GEPSNONPILOT/Tender/SplashBidNoticeAbstractUI.aspx?menuIndex=3&amp;refID=6986787&amp;Result=3","6986787")</f>
        <v>0</v>
      </c>
      <c r="B15371" t="s">
        <v>2922</v>
      </c>
      <c r="C15371" t="s">
        <v>18164</v>
      </c>
      <c r="D15371" t="s">
        <v>18831</v>
      </c>
      <c r="E15371" t="s">
        <v>32107</v>
      </c>
      <c r="F15371" t="s">
        <v>32664</v>
      </c>
      <c r="G15371" t="s">
        <v>32672</v>
      </c>
      <c r="H15371" t="s">
        <v>32681</v>
      </c>
      <c r="I15371" t="s">
        <v>10627</v>
      </c>
      <c r="J15371" t="s">
        <v>41912</v>
      </c>
      <c r="K15371" t="s">
        <v>42450</v>
      </c>
      <c r="L15371" t="s">
        <v>2922</v>
      </c>
      <c r="M15371" t="s">
        <v>45775</v>
      </c>
      <c r="N15371" t="s">
        <v>46569</v>
      </c>
      <c r="O15371" t="s">
        <v>46570</v>
      </c>
      <c r="Q15371">
        <v>4</v>
      </c>
      <c r="R15371" t="s">
        <v>46615</v>
      </c>
      <c r="S15371" t="s">
        <v>46699</v>
      </c>
      <c r="T15371" t="s">
        <v>48222</v>
      </c>
      <c r="U15371" t="s">
        <v>61112</v>
      </c>
      <c r="W15371" t="s">
        <v>45775</v>
      </c>
      <c r="X15371" t="s">
        <v>46616</v>
      </c>
    </row>
    <row r="15372" spans="1:24">
      <c r="A15372">
        <f>HYPERLINK("https://www.philgeps.gov.ph/GEPSNONPILOT/Tender/SplashBidNoticeAbstractUI.aspx?menuIndex=3&amp;refID=6984007&amp;Result=3","6984007")</f>
        <v>0</v>
      </c>
      <c r="B15372" t="s">
        <v>2922</v>
      </c>
      <c r="C15372" t="s">
        <v>18165</v>
      </c>
      <c r="D15372" t="s">
        <v>18831</v>
      </c>
      <c r="E15372" t="s">
        <v>32108</v>
      </c>
      <c r="F15372" t="s">
        <v>32664</v>
      </c>
      <c r="G15372" t="s">
        <v>32672</v>
      </c>
      <c r="H15372" t="s">
        <v>32681</v>
      </c>
      <c r="I15372" t="s">
        <v>10627</v>
      </c>
      <c r="J15372" t="s">
        <v>41913</v>
      </c>
      <c r="K15372" t="s">
        <v>42397</v>
      </c>
      <c r="L15372" t="s">
        <v>2922</v>
      </c>
      <c r="M15372" t="s">
        <v>45775</v>
      </c>
      <c r="N15372" t="s">
        <v>46569</v>
      </c>
      <c r="O15372" t="s">
        <v>46570</v>
      </c>
      <c r="Q15372">
        <v>3</v>
      </c>
      <c r="R15372" t="s">
        <v>46616</v>
      </c>
      <c r="S15372" t="s">
        <v>47838</v>
      </c>
      <c r="T15372" t="s">
        <v>48313</v>
      </c>
      <c r="U15372" t="s">
        <v>61112</v>
      </c>
      <c r="W15372" t="s">
        <v>45775</v>
      </c>
      <c r="X15372" t="s">
        <v>63620</v>
      </c>
    </row>
    <row r="15373" spans="1:24">
      <c r="A15373">
        <f>HYPERLINK("https://www.philgeps.gov.ph/GEPSNONPILOT/Tender/SplashBidNoticeAbstractUI.aspx?menuIndex=3&amp;refID=6986257&amp;Result=3","6986257")</f>
        <v>0</v>
      </c>
      <c r="B15373" t="s">
        <v>750</v>
      </c>
      <c r="C15373" t="s">
        <v>18166</v>
      </c>
      <c r="E15373" t="s">
        <v>32109</v>
      </c>
      <c r="F15373" t="s">
        <v>32664</v>
      </c>
      <c r="G15373" t="s">
        <v>32672</v>
      </c>
      <c r="H15373" t="s">
        <v>32683</v>
      </c>
      <c r="I15373" t="s">
        <v>10627</v>
      </c>
      <c r="J15373" t="s">
        <v>41914</v>
      </c>
      <c r="K15373" t="s">
        <v>42283</v>
      </c>
      <c r="M15373" t="s">
        <v>43340</v>
      </c>
      <c r="N15373" t="s">
        <v>46569</v>
      </c>
      <c r="O15373" t="s">
        <v>46570</v>
      </c>
      <c r="Q15373">
        <v>18</v>
      </c>
      <c r="R15373" t="s">
        <v>46615</v>
      </c>
      <c r="S15373" t="s">
        <v>47032</v>
      </c>
      <c r="T15373" t="s">
        <v>48313</v>
      </c>
      <c r="U15373" t="s">
        <v>61115</v>
      </c>
      <c r="W15373" t="s">
        <v>63488</v>
      </c>
      <c r="X15373" t="s">
        <v>46616</v>
      </c>
    </row>
    <row r="15374" spans="1:24">
      <c r="A15374">
        <f>HYPERLINK("https://www.philgeps.gov.ph/GEPSNONPILOT/Tender/SplashBidNoticeAbstractUI.aspx?menuIndex=3&amp;refID=7001559&amp;Result=3","7001559")</f>
        <v>0</v>
      </c>
      <c r="B15374" t="s">
        <v>247</v>
      </c>
      <c r="C15374" t="s">
        <v>4012</v>
      </c>
      <c r="D15374" t="s">
        <v>18786</v>
      </c>
      <c r="E15374" t="s">
        <v>32110</v>
      </c>
      <c r="F15374" t="s">
        <v>32664</v>
      </c>
      <c r="G15374" t="s">
        <v>32671</v>
      </c>
      <c r="H15374" t="s">
        <v>12635</v>
      </c>
      <c r="I15374" t="s">
        <v>32722</v>
      </c>
      <c r="J15374" t="s">
        <v>33632</v>
      </c>
      <c r="K15374" t="s">
        <v>42289</v>
      </c>
      <c r="M15374" t="s">
        <v>42812</v>
      </c>
      <c r="N15374" t="s">
        <v>46569</v>
      </c>
      <c r="O15374" t="s">
        <v>46570</v>
      </c>
      <c r="Q15374">
        <v>5</v>
      </c>
      <c r="R15374" t="s">
        <v>46611</v>
      </c>
      <c r="S15374" t="s">
        <v>47839</v>
      </c>
      <c r="T15374" t="s">
        <v>48245</v>
      </c>
      <c r="U15374" t="s">
        <v>61116</v>
      </c>
      <c r="V15374" t="s">
        <v>63084</v>
      </c>
      <c r="W15374" t="s">
        <v>42812</v>
      </c>
      <c r="X15374" t="s">
        <v>46618</v>
      </c>
    </row>
    <row r="15375" spans="1:24">
      <c r="A15375">
        <f>HYPERLINK("https://www.philgeps.gov.ph/GEPSNONPILOT/Tender/SplashBidNoticeAbstractUI.aspx?menuIndex=3&amp;refID=6986043&amp;Result=3","6986043")</f>
        <v>0</v>
      </c>
      <c r="B15375" t="s">
        <v>137</v>
      </c>
      <c r="C15375" t="s">
        <v>18167</v>
      </c>
      <c r="D15375" t="s">
        <v>18826</v>
      </c>
      <c r="E15375" t="s">
        <v>32111</v>
      </c>
      <c r="F15375" t="s">
        <v>32664</v>
      </c>
      <c r="G15375" t="s">
        <v>32675</v>
      </c>
      <c r="H15375" t="s">
        <v>12635</v>
      </c>
      <c r="I15375" t="s">
        <v>32697</v>
      </c>
      <c r="J15375" t="s">
        <v>41915</v>
      </c>
      <c r="K15375" t="s">
        <v>42289</v>
      </c>
      <c r="M15375" t="s">
        <v>42701</v>
      </c>
      <c r="N15375" t="s">
        <v>46569</v>
      </c>
      <c r="O15375" t="s">
        <v>46570</v>
      </c>
      <c r="Q15375">
        <v>1</v>
      </c>
      <c r="R15375" t="s">
        <v>46615</v>
      </c>
      <c r="S15375" t="s">
        <v>46934</v>
      </c>
      <c r="T15375" t="s">
        <v>48221</v>
      </c>
      <c r="U15375" t="s">
        <v>61117</v>
      </c>
      <c r="W15375" t="s">
        <v>42701</v>
      </c>
      <c r="X15375" t="s">
        <v>46616</v>
      </c>
    </row>
    <row r="15376" spans="1:24">
      <c r="A15376">
        <f>HYPERLINK("https://www.philgeps.gov.ph/GEPSNONPILOT/Tender/SplashBidNoticeAbstractUI.aspx?menuIndex=3&amp;refID=6989801&amp;Result=3","6989801")</f>
        <v>0</v>
      </c>
      <c r="B15376" t="s">
        <v>3105</v>
      </c>
      <c r="C15376" t="s">
        <v>18168</v>
      </c>
      <c r="D15376" t="s">
        <v>18788</v>
      </c>
      <c r="E15376" t="s">
        <v>29034</v>
      </c>
      <c r="F15376" t="s">
        <v>32665</v>
      </c>
      <c r="G15376" t="s">
        <v>32672</v>
      </c>
      <c r="H15376" t="s">
        <v>32683</v>
      </c>
      <c r="I15376" t="s">
        <v>10627</v>
      </c>
      <c r="J15376" t="s">
        <v>41916</v>
      </c>
      <c r="K15376" t="s">
        <v>42398</v>
      </c>
      <c r="L15376" t="s">
        <v>3105</v>
      </c>
      <c r="M15376" t="s">
        <v>45994</v>
      </c>
      <c r="N15376" t="s">
        <v>46569</v>
      </c>
      <c r="O15376" t="s">
        <v>46570</v>
      </c>
      <c r="Q15376">
        <v>1</v>
      </c>
      <c r="R15376" t="s">
        <v>46617</v>
      </c>
      <c r="S15376" t="s">
        <v>47840</v>
      </c>
      <c r="T15376" t="s">
        <v>48221</v>
      </c>
      <c r="U15376" t="s">
        <v>61118</v>
      </c>
      <c r="W15376" t="s">
        <v>45994</v>
      </c>
      <c r="X15376" t="s">
        <v>63621</v>
      </c>
    </row>
    <row r="15377" spans="1:24">
      <c r="A15377">
        <f>HYPERLINK("https://www.philgeps.gov.ph/GEPSNONPILOT/Tender/SplashBidNoticeAbstractUI.aspx?menuIndex=3&amp;refID=6993327&amp;Result=3","6993327")</f>
        <v>0</v>
      </c>
      <c r="B15377" t="s">
        <v>2302</v>
      </c>
      <c r="C15377" t="s">
        <v>18169</v>
      </c>
      <c r="D15377" t="s">
        <v>18801</v>
      </c>
      <c r="E15377" t="s">
        <v>26945</v>
      </c>
      <c r="F15377" t="s">
        <v>32664</v>
      </c>
      <c r="G15377" t="s">
        <v>32672</v>
      </c>
      <c r="H15377" t="s">
        <v>12635</v>
      </c>
      <c r="I15377" t="s">
        <v>32699</v>
      </c>
      <c r="J15377" t="s">
        <v>38989</v>
      </c>
      <c r="K15377" t="s">
        <v>42298</v>
      </c>
      <c r="M15377" t="s">
        <v>45074</v>
      </c>
      <c r="N15377" t="s">
        <v>46569</v>
      </c>
      <c r="O15377" t="s">
        <v>46570</v>
      </c>
      <c r="P15377">
        <v>0</v>
      </c>
      <c r="Q15377">
        <v>2</v>
      </c>
      <c r="R15377" t="s">
        <v>46611</v>
      </c>
      <c r="S15377" t="s">
        <v>47841</v>
      </c>
      <c r="T15377" t="s">
        <v>48448</v>
      </c>
      <c r="U15377" t="s">
        <v>61119</v>
      </c>
      <c r="W15377" t="s">
        <v>45074</v>
      </c>
      <c r="X15377" t="s">
        <v>46605</v>
      </c>
    </row>
    <row r="15378" spans="1:24">
      <c r="A15378">
        <f>HYPERLINK("https://www.philgeps.gov.ph/GEPSNONPILOT/Tender/SplashBidNoticeAbstractUI.aspx?menuIndex=3&amp;refID=6989765&amp;Result=3","6989765")</f>
        <v>0</v>
      </c>
      <c r="B15378" t="s">
        <v>3105</v>
      </c>
      <c r="C15378" t="s">
        <v>18170</v>
      </c>
      <c r="D15378" t="s">
        <v>18788</v>
      </c>
      <c r="E15378" t="s">
        <v>29034</v>
      </c>
      <c r="F15378" t="s">
        <v>32665</v>
      </c>
      <c r="G15378" t="s">
        <v>32672</v>
      </c>
      <c r="H15378" t="s">
        <v>12635</v>
      </c>
      <c r="I15378" t="s">
        <v>32690</v>
      </c>
      <c r="J15378" t="s">
        <v>41917</v>
      </c>
      <c r="K15378" t="s">
        <v>42297</v>
      </c>
      <c r="L15378" t="s">
        <v>3105</v>
      </c>
      <c r="M15378" t="s">
        <v>45994</v>
      </c>
      <c r="N15378" t="s">
        <v>46569</v>
      </c>
      <c r="O15378" t="s">
        <v>46570</v>
      </c>
      <c r="Q15378">
        <v>0</v>
      </c>
      <c r="R15378" t="s">
        <v>46617</v>
      </c>
      <c r="S15378" t="s">
        <v>47842</v>
      </c>
      <c r="T15378" t="s">
        <v>48221</v>
      </c>
      <c r="U15378" t="s">
        <v>61120</v>
      </c>
      <c r="W15378" t="s">
        <v>45994</v>
      </c>
      <c r="X15378" t="s">
        <v>63621</v>
      </c>
    </row>
    <row r="15379" spans="1:24">
      <c r="A15379">
        <f>HYPERLINK("https://www.philgeps.gov.ph/GEPSNONPILOT/Tender/SplashBidNoticeAbstractUI.aspx?menuIndex=3&amp;refID=6989721&amp;Result=3","6989721")</f>
        <v>0</v>
      </c>
      <c r="B15379" t="s">
        <v>3105</v>
      </c>
      <c r="C15379" t="s">
        <v>18171</v>
      </c>
      <c r="D15379" t="s">
        <v>18788</v>
      </c>
      <c r="E15379" t="s">
        <v>29034</v>
      </c>
      <c r="F15379" t="s">
        <v>32665</v>
      </c>
      <c r="G15379" t="s">
        <v>32672</v>
      </c>
      <c r="H15379" t="s">
        <v>32683</v>
      </c>
      <c r="I15379" t="s">
        <v>10627</v>
      </c>
      <c r="J15379" t="s">
        <v>41918</v>
      </c>
      <c r="K15379" t="s">
        <v>42330</v>
      </c>
      <c r="L15379" t="s">
        <v>3105</v>
      </c>
      <c r="M15379" t="s">
        <v>45994</v>
      </c>
      <c r="N15379" t="s">
        <v>46569</v>
      </c>
      <c r="O15379" t="s">
        <v>46570</v>
      </c>
      <c r="Q15379">
        <v>1</v>
      </c>
      <c r="R15379" t="s">
        <v>46617</v>
      </c>
      <c r="S15379" t="s">
        <v>47843</v>
      </c>
      <c r="T15379" t="s">
        <v>48221</v>
      </c>
      <c r="U15379" t="s">
        <v>61121</v>
      </c>
      <c r="W15379" t="s">
        <v>45994</v>
      </c>
      <c r="X15379" t="s">
        <v>63621</v>
      </c>
    </row>
    <row r="15380" spans="1:24">
      <c r="A15380">
        <f>HYPERLINK("https://www.philgeps.gov.ph/GEPSNONPILOT/Tender/SplashBidNoticeAbstractUI.aspx?menuIndex=3&amp;refID=7000584&amp;Result=3","7000584")</f>
        <v>0</v>
      </c>
      <c r="B15380" t="s">
        <v>2022</v>
      </c>
      <c r="C15380" t="s">
        <v>18172</v>
      </c>
      <c r="D15380" t="s">
        <v>18806</v>
      </c>
      <c r="E15380" t="s">
        <v>32112</v>
      </c>
      <c r="F15380" t="s">
        <v>32664</v>
      </c>
      <c r="G15380" t="s">
        <v>32671</v>
      </c>
      <c r="H15380" t="s">
        <v>12635</v>
      </c>
      <c r="I15380" t="s">
        <v>5501</v>
      </c>
      <c r="J15380" t="s">
        <v>33117</v>
      </c>
      <c r="K15380" t="s">
        <v>42289</v>
      </c>
      <c r="M15380" t="s">
        <v>45590</v>
      </c>
      <c r="N15380" t="s">
        <v>46569</v>
      </c>
      <c r="O15380" t="s">
        <v>46570</v>
      </c>
      <c r="Q15380">
        <v>5</v>
      </c>
      <c r="R15380" t="s">
        <v>46618</v>
      </c>
      <c r="S15380" t="s">
        <v>47844</v>
      </c>
      <c r="T15380" t="s">
        <v>48356</v>
      </c>
      <c r="U15380" t="s">
        <v>61122</v>
      </c>
      <c r="W15380" t="s">
        <v>45590</v>
      </c>
      <c r="X15380" t="s">
        <v>63615</v>
      </c>
    </row>
    <row r="15381" spans="1:24">
      <c r="A15381">
        <f>HYPERLINK("https://www.philgeps.gov.ph/GEPSNONPILOT/Tender/SplashBidNoticeAbstractUI.aspx?menuIndex=3&amp;refID=6985937&amp;Result=3","6985937")</f>
        <v>0</v>
      </c>
      <c r="B15381" t="s">
        <v>900</v>
      </c>
      <c r="C15381" t="s">
        <v>18173</v>
      </c>
      <c r="D15381" t="s">
        <v>18787</v>
      </c>
      <c r="E15381" t="s">
        <v>32113</v>
      </c>
      <c r="F15381" t="s">
        <v>32670</v>
      </c>
      <c r="G15381" t="s">
        <v>32673</v>
      </c>
      <c r="H15381" t="s">
        <v>32681</v>
      </c>
      <c r="I15381" t="s">
        <v>32681</v>
      </c>
      <c r="J15381" t="s">
        <v>33179</v>
      </c>
      <c r="K15381" t="s">
        <v>42283</v>
      </c>
      <c r="M15381" t="s">
        <v>43690</v>
      </c>
      <c r="N15381" t="s">
        <v>46569</v>
      </c>
      <c r="O15381" t="s">
        <v>46570</v>
      </c>
      <c r="Q15381">
        <v>2</v>
      </c>
      <c r="R15381" t="s">
        <v>46615</v>
      </c>
      <c r="S15381" t="s">
        <v>47845</v>
      </c>
      <c r="T15381" t="s">
        <v>48307</v>
      </c>
      <c r="U15381" t="s">
        <v>61123</v>
      </c>
      <c r="W15381" t="s">
        <v>43690</v>
      </c>
      <c r="X15381" t="s">
        <v>46616</v>
      </c>
    </row>
    <row r="15382" spans="1:24">
      <c r="A15382">
        <f>HYPERLINK("https://www.philgeps.gov.ph/GEPSNONPILOT/Tender/SplashBidNoticeAbstractUI.aspx?menuIndex=3&amp;refID=7011242&amp;Result=3","7011242")</f>
        <v>0</v>
      </c>
      <c r="B15382" t="s">
        <v>3361</v>
      </c>
      <c r="C15382" t="s">
        <v>18174</v>
      </c>
      <c r="D15382" t="s">
        <v>18819</v>
      </c>
      <c r="E15382" t="s">
        <v>32114</v>
      </c>
      <c r="F15382" t="s">
        <v>32664</v>
      </c>
      <c r="G15382" t="s">
        <v>32672</v>
      </c>
      <c r="H15382" t="s">
        <v>32683</v>
      </c>
      <c r="I15382" t="s">
        <v>10627</v>
      </c>
      <c r="J15382" t="s">
        <v>41919</v>
      </c>
      <c r="K15382" t="s">
        <v>42345</v>
      </c>
      <c r="M15382" t="s">
        <v>46320</v>
      </c>
      <c r="N15382" t="s">
        <v>46569</v>
      </c>
      <c r="O15382" t="s">
        <v>46570</v>
      </c>
      <c r="Q15382">
        <v>5</v>
      </c>
      <c r="R15382" t="s">
        <v>46599</v>
      </c>
      <c r="S15382" t="s">
        <v>47846</v>
      </c>
      <c r="T15382" t="s">
        <v>48304</v>
      </c>
      <c r="U15382" t="s">
        <v>61124</v>
      </c>
      <c r="V15382" t="s">
        <v>63338</v>
      </c>
      <c r="W15382" t="s">
        <v>46320</v>
      </c>
      <c r="X15382" t="s">
        <v>46600</v>
      </c>
    </row>
    <row r="15383" spans="1:24">
      <c r="A15383">
        <f>HYPERLINK("https://www.philgeps.gov.ph/GEPSNONPILOT/Tender/SplashBidNoticeAbstractUI.aspx?menuIndex=3&amp;refID=7011168&amp;Result=3","7011168")</f>
        <v>0</v>
      </c>
      <c r="B15383" t="s">
        <v>3361</v>
      </c>
      <c r="C15383" t="s">
        <v>15134</v>
      </c>
      <c r="D15383" t="s">
        <v>18819</v>
      </c>
      <c r="E15383" t="s">
        <v>32115</v>
      </c>
      <c r="F15383" t="s">
        <v>32664</v>
      </c>
      <c r="G15383" t="s">
        <v>32671</v>
      </c>
      <c r="H15383" t="s">
        <v>32683</v>
      </c>
      <c r="I15383" t="s">
        <v>32723</v>
      </c>
      <c r="J15383" t="s">
        <v>41920</v>
      </c>
      <c r="K15383" t="s">
        <v>42290</v>
      </c>
      <c r="M15383" t="s">
        <v>46320</v>
      </c>
      <c r="N15383" t="s">
        <v>46569</v>
      </c>
      <c r="O15383" t="s">
        <v>46570</v>
      </c>
      <c r="Q15383">
        <v>8</v>
      </c>
      <c r="R15383" t="s">
        <v>46599</v>
      </c>
      <c r="S15383" t="s">
        <v>47847</v>
      </c>
      <c r="T15383" t="s">
        <v>48223</v>
      </c>
      <c r="U15383" t="s">
        <v>61125</v>
      </c>
      <c r="W15383" t="s">
        <v>46320</v>
      </c>
      <c r="X15383" t="s">
        <v>46600</v>
      </c>
    </row>
    <row r="15384" spans="1:24">
      <c r="A15384">
        <f>HYPERLINK("https://www.philgeps.gov.ph/GEPSNONPILOT/Tender/SplashBidNoticeAbstractUI.aspx?menuIndex=3&amp;refID=6976974&amp;Result=3","6976974")</f>
        <v>0</v>
      </c>
      <c r="B15384" t="s">
        <v>1483</v>
      </c>
      <c r="C15384" t="s">
        <v>18175</v>
      </c>
      <c r="D15384" t="s">
        <v>18785</v>
      </c>
      <c r="E15384" t="s">
        <v>32116</v>
      </c>
      <c r="F15384" t="s">
        <v>32664</v>
      </c>
      <c r="G15384" t="s">
        <v>32672</v>
      </c>
      <c r="H15384" t="s">
        <v>12635</v>
      </c>
      <c r="I15384" t="s">
        <v>10627</v>
      </c>
      <c r="J15384" t="s">
        <v>41921</v>
      </c>
      <c r="K15384" t="s">
        <v>42290</v>
      </c>
      <c r="M15384" t="s">
        <v>44146</v>
      </c>
      <c r="N15384" t="s">
        <v>46569</v>
      </c>
      <c r="O15384" t="s">
        <v>46570</v>
      </c>
      <c r="Q15384">
        <v>8</v>
      </c>
      <c r="R15384" t="s">
        <v>46613</v>
      </c>
      <c r="S15384" t="s">
        <v>47848</v>
      </c>
      <c r="T15384" t="s">
        <v>48751</v>
      </c>
      <c r="U15384" t="s">
        <v>61126</v>
      </c>
      <c r="W15384" t="s">
        <v>44146</v>
      </c>
      <c r="X15384" t="s">
        <v>46624</v>
      </c>
    </row>
    <row r="15385" spans="1:24">
      <c r="A15385">
        <f>HYPERLINK("https://www.philgeps.gov.ph/GEPSNONPILOT/Tender/SplashBidNoticeAbstractUI.aspx?menuIndex=3&amp;refID=6968335&amp;Result=3","6968335")</f>
        <v>0</v>
      </c>
      <c r="B15385" t="s">
        <v>2739</v>
      </c>
      <c r="C15385" t="s">
        <v>18176</v>
      </c>
      <c r="E15385" t="s">
        <v>32117</v>
      </c>
      <c r="F15385" t="s">
        <v>32664</v>
      </c>
      <c r="G15385" t="s">
        <v>32672</v>
      </c>
      <c r="H15385" t="s">
        <v>12635</v>
      </c>
      <c r="I15385" t="s">
        <v>8730</v>
      </c>
      <c r="J15385" t="s">
        <v>41922</v>
      </c>
      <c r="K15385" t="s">
        <v>42283</v>
      </c>
      <c r="M15385" t="s">
        <v>45573</v>
      </c>
      <c r="N15385" t="s">
        <v>46569</v>
      </c>
      <c r="O15385" t="s">
        <v>46570</v>
      </c>
      <c r="Q15385">
        <v>11</v>
      </c>
      <c r="R15385" t="s">
        <v>46619</v>
      </c>
      <c r="S15385" t="s">
        <v>47849</v>
      </c>
      <c r="T15385" t="s">
        <v>48366</v>
      </c>
      <c r="U15385" t="s">
        <v>61127</v>
      </c>
      <c r="V15385" t="s">
        <v>63339</v>
      </c>
      <c r="W15385" t="s">
        <v>63573</v>
      </c>
      <c r="X15385" t="s">
        <v>63614</v>
      </c>
    </row>
    <row r="15386" spans="1:24">
      <c r="A15386">
        <f>HYPERLINK("https://www.philgeps.gov.ph/GEPSNONPILOT/Tender/SplashBidNoticeAbstractUI.aspx?menuIndex=3&amp;refID=6989000&amp;Result=3","6989000")</f>
        <v>0</v>
      </c>
      <c r="B15386" t="s">
        <v>231</v>
      </c>
      <c r="C15386" t="s">
        <v>18177</v>
      </c>
      <c r="D15386" t="s">
        <v>18845</v>
      </c>
      <c r="E15386" t="s">
        <v>32118</v>
      </c>
      <c r="F15386" t="s">
        <v>32664</v>
      </c>
      <c r="G15386" t="s">
        <v>32671</v>
      </c>
      <c r="H15386" t="s">
        <v>12635</v>
      </c>
      <c r="I15386" t="s">
        <v>32701</v>
      </c>
      <c r="J15386" t="s">
        <v>33410</v>
      </c>
      <c r="K15386" t="s">
        <v>42281</v>
      </c>
      <c r="M15386" t="s">
        <v>42795</v>
      </c>
      <c r="N15386" t="s">
        <v>46569</v>
      </c>
      <c r="O15386" t="s">
        <v>46570</v>
      </c>
      <c r="Q15386">
        <v>0</v>
      </c>
      <c r="R15386" t="s">
        <v>46620</v>
      </c>
      <c r="S15386" t="s">
        <v>47850</v>
      </c>
      <c r="T15386" t="s">
        <v>48287</v>
      </c>
      <c r="U15386" t="s">
        <v>61128</v>
      </c>
      <c r="V15386" t="s">
        <v>63340</v>
      </c>
      <c r="W15386" t="s">
        <v>42795</v>
      </c>
      <c r="X15386" t="s">
        <v>63621</v>
      </c>
    </row>
    <row r="15387" spans="1:24">
      <c r="A15387">
        <f>HYPERLINK("https://www.philgeps.gov.ph/GEPSNONPILOT/Tender/SplashBidNoticeAbstractUI.aspx?menuIndex=3&amp;refID=6991099&amp;Result=3","6991099")</f>
        <v>0</v>
      </c>
      <c r="B15387" t="s">
        <v>2022</v>
      </c>
      <c r="C15387" t="s">
        <v>18178</v>
      </c>
      <c r="D15387" t="s">
        <v>18806</v>
      </c>
      <c r="E15387" t="s">
        <v>32119</v>
      </c>
      <c r="F15387" t="s">
        <v>32664</v>
      </c>
      <c r="G15387" t="s">
        <v>32671</v>
      </c>
      <c r="H15387" t="s">
        <v>12635</v>
      </c>
      <c r="I15387" t="s">
        <v>32727</v>
      </c>
      <c r="J15387" t="s">
        <v>33228</v>
      </c>
      <c r="K15387" t="s">
        <v>42289</v>
      </c>
      <c r="M15387" t="s">
        <v>45590</v>
      </c>
      <c r="N15387" t="s">
        <v>46569</v>
      </c>
      <c r="O15387" t="s">
        <v>46570</v>
      </c>
      <c r="Q15387">
        <v>1</v>
      </c>
      <c r="R15387" t="s">
        <v>46605</v>
      </c>
      <c r="S15387" t="s">
        <v>47851</v>
      </c>
      <c r="T15387" t="s">
        <v>48356</v>
      </c>
      <c r="U15387" t="s">
        <v>61129</v>
      </c>
      <c r="W15387" t="s">
        <v>45590</v>
      </c>
      <c r="X15387" t="s">
        <v>46617</v>
      </c>
    </row>
    <row r="15388" spans="1:24">
      <c r="A15388">
        <f>HYPERLINK("https://www.philgeps.gov.ph/GEPSNONPILOT/Tender/SplashBidNoticeAbstractUI.aspx?menuIndex=3&amp;refID=6990891&amp;Result=3","6990891")</f>
        <v>0</v>
      </c>
      <c r="B15388" t="s">
        <v>2461</v>
      </c>
      <c r="C15388" t="s">
        <v>18179</v>
      </c>
      <c r="D15388" t="s">
        <v>18784</v>
      </c>
      <c r="E15388" t="s">
        <v>32120</v>
      </c>
      <c r="F15388" t="s">
        <v>32664</v>
      </c>
      <c r="G15388" t="s">
        <v>32671</v>
      </c>
      <c r="H15388" t="s">
        <v>12635</v>
      </c>
      <c r="I15388" t="s">
        <v>6223</v>
      </c>
      <c r="J15388" t="s">
        <v>41923</v>
      </c>
      <c r="K15388" t="s">
        <v>42526</v>
      </c>
      <c r="M15388" t="s">
        <v>45257</v>
      </c>
      <c r="N15388" t="s">
        <v>46569</v>
      </c>
      <c r="O15388" t="s">
        <v>46570</v>
      </c>
      <c r="P15388">
        <v>0</v>
      </c>
      <c r="Q15388">
        <v>2</v>
      </c>
      <c r="R15388" t="s">
        <v>46605</v>
      </c>
      <c r="S15388" t="s">
        <v>47852</v>
      </c>
      <c r="T15388" t="s">
        <v>48427</v>
      </c>
      <c r="U15388" t="s">
        <v>61130</v>
      </c>
      <c r="W15388" t="s">
        <v>45257</v>
      </c>
      <c r="X15388" t="s">
        <v>46617</v>
      </c>
    </row>
    <row r="15389" spans="1:24">
      <c r="A15389">
        <f>HYPERLINK("https://www.philgeps.gov.ph/GEPSNONPILOT/Tender/SplashBidNoticeAbstractUI.aspx?menuIndex=3&amp;refID=6970223&amp;Result=3","6970223")</f>
        <v>0</v>
      </c>
      <c r="B15389" t="s">
        <v>137</v>
      </c>
      <c r="C15389" t="s">
        <v>18180</v>
      </c>
      <c r="D15389" t="s">
        <v>18826</v>
      </c>
      <c r="E15389" t="s">
        <v>32121</v>
      </c>
      <c r="F15389" t="s">
        <v>32664</v>
      </c>
      <c r="G15389" t="s">
        <v>32675</v>
      </c>
      <c r="H15389" t="s">
        <v>12635</v>
      </c>
      <c r="I15389" t="s">
        <v>6168</v>
      </c>
      <c r="J15389" t="s">
        <v>34958</v>
      </c>
      <c r="K15389" t="s">
        <v>42284</v>
      </c>
      <c r="M15389" t="s">
        <v>42701</v>
      </c>
      <c r="N15389" t="s">
        <v>46569</v>
      </c>
      <c r="O15389" t="s">
        <v>46570</v>
      </c>
      <c r="Q15389">
        <v>6</v>
      </c>
      <c r="R15389" t="s">
        <v>46621</v>
      </c>
      <c r="S15389" t="s">
        <v>47853</v>
      </c>
      <c r="T15389" t="s">
        <v>48221</v>
      </c>
      <c r="U15389" t="s">
        <v>61131</v>
      </c>
      <c r="W15389" t="s">
        <v>42701</v>
      </c>
      <c r="X15389" t="s">
        <v>63622</v>
      </c>
    </row>
    <row r="15390" spans="1:24">
      <c r="A15390">
        <f>HYPERLINK("https://www.philgeps.gov.ph/GEPSNONPILOT/Tender/SplashBidNoticeAbstractUI.aspx?menuIndex=3&amp;refID=7004595&amp;Result=3","7004595")</f>
        <v>0</v>
      </c>
      <c r="B15390" t="s">
        <v>703</v>
      </c>
      <c r="C15390" t="s">
        <v>18181</v>
      </c>
      <c r="D15390" t="s">
        <v>18828</v>
      </c>
      <c r="E15390" t="s">
        <v>24101</v>
      </c>
      <c r="F15390" t="s">
        <v>32664</v>
      </c>
      <c r="G15390" t="s">
        <v>32672</v>
      </c>
      <c r="H15390" t="s">
        <v>32683</v>
      </c>
      <c r="I15390" t="s">
        <v>10627</v>
      </c>
      <c r="J15390" t="s">
        <v>37816</v>
      </c>
      <c r="K15390" t="s">
        <v>42397</v>
      </c>
      <c r="M15390" t="s">
        <v>43290</v>
      </c>
      <c r="N15390" t="s">
        <v>46569</v>
      </c>
      <c r="O15390" t="s">
        <v>46570</v>
      </c>
      <c r="Q15390">
        <v>7</v>
      </c>
      <c r="R15390" t="s">
        <v>46601</v>
      </c>
      <c r="S15390" t="s">
        <v>47854</v>
      </c>
      <c r="T15390" t="s">
        <v>48753</v>
      </c>
      <c r="U15390" t="s">
        <v>49832</v>
      </c>
      <c r="W15390" t="s">
        <v>43290</v>
      </c>
      <c r="X15390" t="s">
        <v>46611</v>
      </c>
    </row>
    <row r="15391" spans="1:24">
      <c r="A15391">
        <f>HYPERLINK("https://www.philgeps.gov.ph/GEPSNONPILOT/Tender/SplashBidNoticeAbstractUI.aspx?menuIndex=3&amp;refID=6970099&amp;Result=3","6970099")</f>
        <v>0</v>
      </c>
      <c r="B15391" t="s">
        <v>137</v>
      </c>
      <c r="C15391" t="s">
        <v>18182</v>
      </c>
      <c r="E15391" t="s">
        <v>32122</v>
      </c>
      <c r="F15391" t="s">
        <v>32664</v>
      </c>
      <c r="G15391" t="s">
        <v>32671</v>
      </c>
      <c r="H15391" t="s">
        <v>32682</v>
      </c>
      <c r="I15391" t="s">
        <v>32685</v>
      </c>
      <c r="J15391" t="s">
        <v>41924</v>
      </c>
      <c r="K15391" t="s">
        <v>42281</v>
      </c>
      <c r="M15391" t="s">
        <v>42701</v>
      </c>
      <c r="N15391" t="s">
        <v>46569</v>
      </c>
      <c r="O15391" t="s">
        <v>46570</v>
      </c>
      <c r="Q15391">
        <v>0</v>
      </c>
      <c r="R15391" t="s">
        <v>46621</v>
      </c>
      <c r="S15391" t="s">
        <v>47855</v>
      </c>
      <c r="T15391" t="s">
        <v>48221</v>
      </c>
      <c r="U15391" t="s">
        <v>61132</v>
      </c>
      <c r="W15391" t="s">
        <v>42701</v>
      </c>
      <c r="X15391" t="s">
        <v>63622</v>
      </c>
    </row>
    <row r="15392" spans="1:24">
      <c r="A15392">
        <f>HYPERLINK("https://www.philgeps.gov.ph/GEPSNONPILOT/Tender/SplashBidNoticeAbstractUI.aspx?menuIndex=3&amp;refID=6985978&amp;Result=3","6985978")</f>
        <v>0</v>
      </c>
      <c r="B15392" t="s">
        <v>137</v>
      </c>
      <c r="C15392" t="s">
        <v>18183</v>
      </c>
      <c r="D15392" t="s">
        <v>18826</v>
      </c>
      <c r="E15392" t="s">
        <v>32123</v>
      </c>
      <c r="F15392" t="s">
        <v>32664</v>
      </c>
      <c r="G15392" t="s">
        <v>32675</v>
      </c>
      <c r="H15392" t="s">
        <v>12635</v>
      </c>
      <c r="I15392" t="s">
        <v>32685</v>
      </c>
      <c r="J15392" t="s">
        <v>36526</v>
      </c>
      <c r="K15392" t="s">
        <v>42289</v>
      </c>
      <c r="M15392" t="s">
        <v>42701</v>
      </c>
      <c r="N15392" t="s">
        <v>46569</v>
      </c>
      <c r="O15392" t="s">
        <v>46570</v>
      </c>
      <c r="Q15392">
        <v>3</v>
      </c>
      <c r="R15392" t="s">
        <v>46615</v>
      </c>
      <c r="S15392" t="s">
        <v>47856</v>
      </c>
      <c r="T15392" t="s">
        <v>48221</v>
      </c>
      <c r="U15392" t="s">
        <v>61133</v>
      </c>
      <c r="W15392" t="s">
        <v>42701</v>
      </c>
      <c r="X15392" t="s">
        <v>46616</v>
      </c>
    </row>
    <row r="15393" spans="1:24">
      <c r="A15393">
        <f>HYPERLINK("https://www.philgeps.gov.ph/GEPSNONPILOT/Tender/SplashBidNoticeAbstractUI.aspx?menuIndex=3&amp;refID=6970817&amp;Result=3","6970817")</f>
        <v>0</v>
      </c>
      <c r="B15393" t="s">
        <v>137</v>
      </c>
      <c r="C15393" t="s">
        <v>18184</v>
      </c>
      <c r="D15393" t="s">
        <v>18826</v>
      </c>
      <c r="E15393" t="s">
        <v>32124</v>
      </c>
      <c r="F15393" t="s">
        <v>32664</v>
      </c>
      <c r="G15393" t="s">
        <v>32671</v>
      </c>
      <c r="H15393" t="s">
        <v>12635</v>
      </c>
      <c r="I15393" t="s">
        <v>10370</v>
      </c>
      <c r="J15393" t="s">
        <v>32842</v>
      </c>
      <c r="K15393" t="s">
        <v>42289</v>
      </c>
      <c r="M15393" t="s">
        <v>42701</v>
      </c>
      <c r="N15393" t="s">
        <v>46569</v>
      </c>
      <c r="O15393" t="s">
        <v>46570</v>
      </c>
      <c r="Q15393">
        <v>3</v>
      </c>
      <c r="R15393" t="s">
        <v>46622</v>
      </c>
      <c r="S15393" t="s">
        <v>47857</v>
      </c>
      <c r="T15393" t="s">
        <v>48221</v>
      </c>
      <c r="U15393" t="s">
        <v>61134</v>
      </c>
      <c r="W15393" t="s">
        <v>42701</v>
      </c>
      <c r="X15393" t="s">
        <v>46621</v>
      </c>
    </row>
    <row r="15394" spans="1:24">
      <c r="A15394">
        <f>HYPERLINK("https://www.philgeps.gov.ph/GEPSNONPILOT/Tender/SplashBidNoticeAbstractUI.aspx?menuIndex=3&amp;refID=6986391&amp;Result=3","6986391")</f>
        <v>0</v>
      </c>
      <c r="B15394" t="s">
        <v>3487</v>
      </c>
      <c r="C15394" t="s">
        <v>18185</v>
      </c>
      <c r="D15394" t="s">
        <v>18802</v>
      </c>
      <c r="E15394" t="s">
        <v>32125</v>
      </c>
      <c r="F15394" t="s">
        <v>32664</v>
      </c>
      <c r="G15394" t="s">
        <v>32672</v>
      </c>
      <c r="H15394" t="s">
        <v>32683</v>
      </c>
      <c r="I15394" t="s">
        <v>9597</v>
      </c>
      <c r="J15394" t="s">
        <v>34559</v>
      </c>
      <c r="K15394" t="s">
        <v>42290</v>
      </c>
      <c r="M15394" t="s">
        <v>46494</v>
      </c>
      <c r="N15394" t="s">
        <v>46569</v>
      </c>
      <c r="O15394" t="s">
        <v>46570</v>
      </c>
      <c r="Q15394">
        <v>12</v>
      </c>
      <c r="R15394" t="s">
        <v>46615</v>
      </c>
      <c r="S15394" t="s">
        <v>47858</v>
      </c>
      <c r="T15394" t="s">
        <v>48754</v>
      </c>
      <c r="U15394" t="s">
        <v>61135</v>
      </c>
      <c r="W15394" t="s">
        <v>46494</v>
      </c>
      <c r="X15394" t="s">
        <v>46616</v>
      </c>
    </row>
    <row r="15395" spans="1:24">
      <c r="A15395">
        <f>HYPERLINK("https://www.philgeps.gov.ph/GEPSNONPILOT/Tender/SplashBidNoticeAbstractUI.aspx?menuIndex=3&amp;refID=6974036&amp;Result=3","6974036")</f>
        <v>0</v>
      </c>
      <c r="B15395" t="s">
        <v>137</v>
      </c>
      <c r="C15395" t="s">
        <v>18186</v>
      </c>
      <c r="D15395" t="s">
        <v>18826</v>
      </c>
      <c r="E15395" t="s">
        <v>32126</v>
      </c>
      <c r="F15395" t="s">
        <v>32664</v>
      </c>
      <c r="G15395" t="s">
        <v>32675</v>
      </c>
      <c r="H15395" t="s">
        <v>12635</v>
      </c>
      <c r="I15395" t="s">
        <v>6168</v>
      </c>
      <c r="J15395" t="s">
        <v>33069</v>
      </c>
      <c r="K15395" t="s">
        <v>42303</v>
      </c>
      <c r="M15395" t="s">
        <v>42701</v>
      </c>
      <c r="N15395" t="s">
        <v>46569</v>
      </c>
      <c r="O15395" t="s">
        <v>46570</v>
      </c>
      <c r="Q15395">
        <v>3</v>
      </c>
      <c r="R15395" t="s">
        <v>46623</v>
      </c>
      <c r="S15395" t="s">
        <v>47859</v>
      </c>
      <c r="T15395" t="s">
        <v>48221</v>
      </c>
      <c r="U15395" t="s">
        <v>61136</v>
      </c>
      <c r="W15395" t="s">
        <v>42701</v>
      </c>
      <c r="X15395" t="s">
        <v>63612</v>
      </c>
    </row>
    <row r="15396" spans="1:24">
      <c r="A15396">
        <f>HYPERLINK("https://www.philgeps.gov.ph/GEPSNONPILOT/Tender/SplashBidNoticeAbstractUI.aspx?menuIndex=3&amp;refID=6970380&amp;Result=3","6970380")</f>
        <v>0</v>
      </c>
      <c r="B15396" t="s">
        <v>137</v>
      </c>
      <c r="C15396" t="s">
        <v>18187</v>
      </c>
      <c r="D15396" t="s">
        <v>18826</v>
      </c>
      <c r="E15396" t="s">
        <v>32127</v>
      </c>
      <c r="F15396" t="s">
        <v>32664</v>
      </c>
      <c r="G15396" t="s">
        <v>32675</v>
      </c>
      <c r="H15396" t="s">
        <v>12635</v>
      </c>
      <c r="I15396" t="s">
        <v>8958</v>
      </c>
      <c r="J15396" t="s">
        <v>41925</v>
      </c>
      <c r="K15396" t="s">
        <v>42281</v>
      </c>
      <c r="M15396" t="s">
        <v>42701</v>
      </c>
      <c r="N15396" t="s">
        <v>46569</v>
      </c>
      <c r="O15396" t="s">
        <v>46570</v>
      </c>
      <c r="Q15396">
        <v>0</v>
      </c>
      <c r="R15396" t="s">
        <v>46621</v>
      </c>
      <c r="S15396" t="s">
        <v>47860</v>
      </c>
      <c r="T15396" t="s">
        <v>48221</v>
      </c>
      <c r="U15396" t="s">
        <v>61137</v>
      </c>
      <c r="W15396" t="s">
        <v>42701</v>
      </c>
      <c r="X15396" t="s">
        <v>63622</v>
      </c>
    </row>
    <row r="15397" spans="1:24">
      <c r="A15397">
        <f>HYPERLINK("https://www.philgeps.gov.ph/GEPSNONPILOT/Tender/SplashBidNoticeAbstractUI.aspx?menuIndex=3&amp;refID=6973057&amp;Result=3","6973057")</f>
        <v>0</v>
      </c>
      <c r="B15397" t="s">
        <v>137</v>
      </c>
      <c r="C15397" t="s">
        <v>18188</v>
      </c>
      <c r="D15397" t="s">
        <v>18826</v>
      </c>
      <c r="E15397" t="s">
        <v>32128</v>
      </c>
      <c r="F15397" t="s">
        <v>32664</v>
      </c>
      <c r="G15397" t="s">
        <v>32675</v>
      </c>
      <c r="H15397" t="s">
        <v>12635</v>
      </c>
      <c r="I15397" t="s">
        <v>8730</v>
      </c>
      <c r="J15397" t="s">
        <v>41926</v>
      </c>
      <c r="K15397" t="s">
        <v>42289</v>
      </c>
      <c r="M15397" t="s">
        <v>42701</v>
      </c>
      <c r="N15397" t="s">
        <v>46569</v>
      </c>
      <c r="O15397" t="s">
        <v>46570</v>
      </c>
      <c r="Q15397">
        <v>4</v>
      </c>
      <c r="R15397" t="s">
        <v>46623</v>
      </c>
      <c r="S15397" t="s">
        <v>47861</v>
      </c>
      <c r="T15397" t="s">
        <v>48221</v>
      </c>
      <c r="U15397" t="s">
        <v>61138</v>
      </c>
      <c r="W15397" t="s">
        <v>42701</v>
      </c>
      <c r="X15397" t="s">
        <v>63612</v>
      </c>
    </row>
    <row r="15398" spans="1:24">
      <c r="A15398">
        <f>HYPERLINK("https://www.philgeps.gov.ph/GEPSNONPILOT/Tender/SplashBidNoticeAbstractUI.aspx?menuIndex=3&amp;refID=6970321&amp;Result=3","6970321")</f>
        <v>0</v>
      </c>
      <c r="B15398" t="s">
        <v>137</v>
      </c>
      <c r="C15398" t="s">
        <v>4928</v>
      </c>
      <c r="D15398" t="s">
        <v>18826</v>
      </c>
      <c r="E15398" t="s">
        <v>32129</v>
      </c>
      <c r="F15398" t="s">
        <v>32664</v>
      </c>
      <c r="G15398" t="s">
        <v>32675</v>
      </c>
      <c r="H15398" t="s">
        <v>12635</v>
      </c>
      <c r="I15398" t="s">
        <v>6628</v>
      </c>
      <c r="J15398" t="s">
        <v>34027</v>
      </c>
      <c r="K15398" t="s">
        <v>42303</v>
      </c>
      <c r="M15398" t="s">
        <v>42701</v>
      </c>
      <c r="N15398" t="s">
        <v>46569</v>
      </c>
      <c r="O15398" t="s">
        <v>46570</v>
      </c>
      <c r="Q15398">
        <v>2</v>
      </c>
      <c r="R15398" t="s">
        <v>46621</v>
      </c>
      <c r="S15398" t="s">
        <v>47862</v>
      </c>
      <c r="T15398" t="s">
        <v>48221</v>
      </c>
      <c r="U15398" t="s">
        <v>61139</v>
      </c>
      <c r="W15398" t="s">
        <v>42701</v>
      </c>
      <c r="X15398" t="s">
        <v>63622</v>
      </c>
    </row>
    <row r="15399" spans="1:24">
      <c r="A15399">
        <f>HYPERLINK("https://www.philgeps.gov.ph/GEPSNONPILOT/Tender/SplashBidNoticeAbstractUI.aspx?menuIndex=3&amp;refID=6968028&amp;Result=3","6968028")</f>
        <v>0</v>
      </c>
      <c r="B15399" t="s">
        <v>2022</v>
      </c>
      <c r="C15399" t="s">
        <v>18189</v>
      </c>
      <c r="D15399" t="s">
        <v>18806</v>
      </c>
      <c r="E15399" t="s">
        <v>32130</v>
      </c>
      <c r="F15399" t="s">
        <v>32664</v>
      </c>
      <c r="G15399" t="s">
        <v>32671</v>
      </c>
      <c r="H15399" t="s">
        <v>12635</v>
      </c>
      <c r="I15399" t="s">
        <v>32699</v>
      </c>
      <c r="J15399" t="s">
        <v>32865</v>
      </c>
      <c r="K15399" t="s">
        <v>42298</v>
      </c>
      <c r="M15399" t="s">
        <v>45590</v>
      </c>
      <c r="N15399" t="s">
        <v>46569</v>
      </c>
      <c r="O15399" t="s">
        <v>46570</v>
      </c>
      <c r="Q15399">
        <v>0</v>
      </c>
      <c r="R15399" t="s">
        <v>46619</v>
      </c>
      <c r="S15399" t="s">
        <v>47863</v>
      </c>
      <c r="T15399" t="s">
        <v>48356</v>
      </c>
      <c r="U15399" t="s">
        <v>61140</v>
      </c>
      <c r="W15399" t="s">
        <v>45590</v>
      </c>
      <c r="X15399" t="s">
        <v>63614</v>
      </c>
    </row>
    <row r="15400" spans="1:24">
      <c r="A15400">
        <f>HYPERLINK("https://www.philgeps.gov.ph/GEPSNONPILOT/Tender/SplashBidNoticeAbstractUI.aspx?menuIndex=3&amp;refID=6975651&amp;Result=3","6975651")</f>
        <v>0</v>
      </c>
      <c r="B15400" t="s">
        <v>1426</v>
      </c>
      <c r="C15400" t="s">
        <v>18190</v>
      </c>
      <c r="D15400" t="s">
        <v>18821</v>
      </c>
      <c r="E15400" t="s">
        <v>32131</v>
      </c>
      <c r="F15400" t="s">
        <v>32664</v>
      </c>
      <c r="G15400" t="s">
        <v>32671</v>
      </c>
      <c r="H15400" t="s">
        <v>12635</v>
      </c>
      <c r="I15400" t="s">
        <v>6628</v>
      </c>
      <c r="J15400" t="s">
        <v>33338</v>
      </c>
      <c r="K15400" t="s">
        <v>42311</v>
      </c>
      <c r="M15400" t="s">
        <v>44086</v>
      </c>
      <c r="N15400" t="s">
        <v>46569</v>
      </c>
      <c r="O15400" t="s">
        <v>46570</v>
      </c>
      <c r="P15400">
        <v>0</v>
      </c>
      <c r="Q15400">
        <v>1</v>
      </c>
      <c r="R15400" t="s">
        <v>46624</v>
      </c>
      <c r="S15400" t="s">
        <v>47864</v>
      </c>
      <c r="T15400" t="s">
        <v>48755</v>
      </c>
      <c r="U15400" t="s">
        <v>53189</v>
      </c>
      <c r="W15400" t="s">
        <v>44086</v>
      </c>
      <c r="X15400" t="s">
        <v>46625</v>
      </c>
    </row>
    <row r="15401" spans="1:24">
      <c r="A15401">
        <f>HYPERLINK("https://www.philgeps.gov.ph/GEPSNONPILOT/Tender/SplashBidNoticeAbstractUI.aspx?menuIndex=3&amp;refID=6977331&amp;Result=3","6977331")</f>
        <v>0</v>
      </c>
      <c r="B15401" t="s">
        <v>1483</v>
      </c>
      <c r="C15401" t="s">
        <v>18191</v>
      </c>
      <c r="D15401" t="s">
        <v>18785</v>
      </c>
      <c r="E15401" t="s">
        <v>32132</v>
      </c>
      <c r="F15401" t="s">
        <v>32664</v>
      </c>
      <c r="G15401" t="s">
        <v>32672</v>
      </c>
      <c r="H15401" t="s">
        <v>32683</v>
      </c>
      <c r="I15401" t="s">
        <v>32716</v>
      </c>
      <c r="J15401" t="s">
        <v>41927</v>
      </c>
      <c r="K15401" t="s">
        <v>42311</v>
      </c>
      <c r="M15401" t="s">
        <v>44146</v>
      </c>
      <c r="N15401" t="s">
        <v>46569</v>
      </c>
      <c r="O15401" t="s">
        <v>46570</v>
      </c>
      <c r="Q15401">
        <v>7</v>
      </c>
      <c r="R15401" t="s">
        <v>46613</v>
      </c>
      <c r="S15401" t="s">
        <v>47865</v>
      </c>
      <c r="T15401" t="s">
        <v>48751</v>
      </c>
      <c r="U15401" t="s">
        <v>61141</v>
      </c>
      <c r="W15401" t="s">
        <v>44146</v>
      </c>
      <c r="X15401" t="s">
        <v>46624</v>
      </c>
    </row>
    <row r="15402" spans="1:24">
      <c r="A15402">
        <f>HYPERLINK("https://www.philgeps.gov.ph/GEPSNONPILOT/Tender/SplashBidNoticeAbstractUI.aspx?menuIndex=3&amp;refID=6970020&amp;Result=3","6970020")</f>
        <v>0</v>
      </c>
      <c r="B15402" t="s">
        <v>137</v>
      </c>
      <c r="C15402" t="s">
        <v>18192</v>
      </c>
      <c r="E15402" t="s">
        <v>32133</v>
      </c>
      <c r="F15402" t="s">
        <v>32664</v>
      </c>
      <c r="G15402" t="s">
        <v>32671</v>
      </c>
      <c r="H15402" t="s">
        <v>32682</v>
      </c>
      <c r="I15402" t="s">
        <v>32685</v>
      </c>
      <c r="J15402" t="s">
        <v>41928</v>
      </c>
      <c r="K15402" t="s">
        <v>42281</v>
      </c>
      <c r="M15402" t="s">
        <v>42701</v>
      </c>
      <c r="N15402" t="s">
        <v>46569</v>
      </c>
      <c r="O15402" t="s">
        <v>46570</v>
      </c>
      <c r="Q15402">
        <v>0</v>
      </c>
      <c r="R15402" t="s">
        <v>46621</v>
      </c>
      <c r="S15402" t="s">
        <v>47866</v>
      </c>
      <c r="T15402" t="s">
        <v>48221</v>
      </c>
      <c r="U15402" t="s">
        <v>61132</v>
      </c>
      <c r="W15402" t="s">
        <v>42701</v>
      </c>
      <c r="X15402" t="s">
        <v>63622</v>
      </c>
    </row>
    <row r="15403" spans="1:24">
      <c r="A15403">
        <f>HYPERLINK("https://www.philgeps.gov.ph/GEPSNONPILOT/Tender/SplashBidNoticeAbstractUI.aspx?menuIndex=3&amp;refID=6977130&amp;Result=3","6977130")</f>
        <v>0</v>
      </c>
      <c r="B15403" t="s">
        <v>1483</v>
      </c>
      <c r="C15403" t="s">
        <v>18193</v>
      </c>
      <c r="D15403" t="s">
        <v>18785</v>
      </c>
      <c r="E15403" t="s">
        <v>32134</v>
      </c>
      <c r="F15403" t="s">
        <v>32664</v>
      </c>
      <c r="G15403" t="s">
        <v>32672</v>
      </c>
      <c r="H15403" t="s">
        <v>32683</v>
      </c>
      <c r="I15403" t="s">
        <v>32716</v>
      </c>
      <c r="J15403" t="s">
        <v>41929</v>
      </c>
      <c r="K15403" t="s">
        <v>42311</v>
      </c>
      <c r="M15403" t="s">
        <v>44146</v>
      </c>
      <c r="N15403" t="s">
        <v>46569</v>
      </c>
      <c r="O15403" t="s">
        <v>46570</v>
      </c>
      <c r="Q15403">
        <v>8</v>
      </c>
      <c r="R15403" t="s">
        <v>46613</v>
      </c>
      <c r="S15403" t="s">
        <v>47867</v>
      </c>
      <c r="T15403" t="s">
        <v>48751</v>
      </c>
      <c r="U15403" t="s">
        <v>61142</v>
      </c>
      <c r="W15403" t="s">
        <v>44146</v>
      </c>
      <c r="X15403" t="s">
        <v>46624</v>
      </c>
    </row>
    <row r="15404" spans="1:24">
      <c r="A15404">
        <f>HYPERLINK("https://www.philgeps.gov.ph/GEPSNONPILOT/Tender/SplashBidNoticeAbstractUI.aspx?menuIndex=3&amp;refID=6977068&amp;Result=3","6977068")</f>
        <v>0</v>
      </c>
      <c r="B15404" t="s">
        <v>1483</v>
      </c>
      <c r="C15404" t="s">
        <v>18194</v>
      </c>
      <c r="D15404" t="s">
        <v>18785</v>
      </c>
      <c r="E15404" t="s">
        <v>32135</v>
      </c>
      <c r="F15404" t="s">
        <v>32664</v>
      </c>
      <c r="G15404" t="s">
        <v>32672</v>
      </c>
      <c r="H15404" t="s">
        <v>32683</v>
      </c>
      <c r="I15404" t="s">
        <v>10627</v>
      </c>
      <c r="J15404" t="s">
        <v>41930</v>
      </c>
      <c r="K15404" t="s">
        <v>42290</v>
      </c>
      <c r="M15404" t="s">
        <v>44146</v>
      </c>
      <c r="N15404" t="s">
        <v>46569</v>
      </c>
      <c r="O15404" t="s">
        <v>46570</v>
      </c>
      <c r="Q15404">
        <v>6</v>
      </c>
      <c r="R15404" t="s">
        <v>46613</v>
      </c>
      <c r="S15404" t="s">
        <v>47868</v>
      </c>
      <c r="T15404" t="s">
        <v>48751</v>
      </c>
      <c r="U15404" t="s">
        <v>61143</v>
      </c>
      <c r="W15404" t="s">
        <v>44146</v>
      </c>
      <c r="X15404" t="s">
        <v>46624</v>
      </c>
    </row>
    <row r="15405" spans="1:24">
      <c r="A15405">
        <f>HYPERLINK("https://www.philgeps.gov.ph/GEPSNONPILOT/Tender/SplashBidNoticeAbstractUI.aspx?menuIndex=3&amp;refID=6972271&amp;Result=3","6972271")</f>
        <v>0</v>
      </c>
      <c r="B15405" t="s">
        <v>1282</v>
      </c>
      <c r="C15405" t="s">
        <v>18195</v>
      </c>
      <c r="D15405" t="s">
        <v>18823</v>
      </c>
      <c r="E15405" t="s">
        <v>32136</v>
      </c>
      <c r="F15405" t="s">
        <v>32664</v>
      </c>
      <c r="G15405" t="s">
        <v>32671</v>
      </c>
      <c r="H15405" t="s">
        <v>12635</v>
      </c>
      <c r="I15405" t="s">
        <v>10361</v>
      </c>
      <c r="J15405" t="s">
        <v>41931</v>
      </c>
      <c r="K15405" t="s">
        <v>42283</v>
      </c>
      <c r="M15405" t="s">
        <v>43925</v>
      </c>
      <c r="N15405" t="s">
        <v>46569</v>
      </c>
      <c r="O15405" t="s">
        <v>46570</v>
      </c>
      <c r="Q15405">
        <v>0</v>
      </c>
      <c r="R15405" t="s">
        <v>46623</v>
      </c>
      <c r="S15405" t="s">
        <v>47869</v>
      </c>
      <c r="T15405" t="s">
        <v>48280</v>
      </c>
      <c r="U15405" t="s">
        <v>61144</v>
      </c>
      <c r="W15405" t="s">
        <v>63508</v>
      </c>
      <c r="X15405" t="s">
        <v>46622</v>
      </c>
    </row>
    <row r="15406" spans="1:24">
      <c r="A15406">
        <f>HYPERLINK("https://www.philgeps.gov.ph/GEPSNONPILOT/Tender/SplashBidNoticeAbstractUI.aspx?menuIndex=3&amp;refID=6973853&amp;Result=3","6973853")</f>
        <v>0</v>
      </c>
      <c r="B15406" t="s">
        <v>909</v>
      </c>
      <c r="C15406" t="s">
        <v>18196</v>
      </c>
      <c r="D15406" t="s">
        <v>18838</v>
      </c>
      <c r="E15406" t="s">
        <v>32137</v>
      </c>
      <c r="F15406" t="s">
        <v>32664</v>
      </c>
      <c r="G15406" t="s">
        <v>32672</v>
      </c>
      <c r="H15406" t="s">
        <v>32683</v>
      </c>
      <c r="I15406" t="s">
        <v>10627</v>
      </c>
      <c r="J15406" t="s">
        <v>41932</v>
      </c>
      <c r="K15406" t="s">
        <v>42308</v>
      </c>
      <c r="M15406" t="s">
        <v>43515</v>
      </c>
      <c r="N15406" t="s">
        <v>46569</v>
      </c>
      <c r="O15406" t="s">
        <v>46570</v>
      </c>
      <c r="Q15406">
        <v>17</v>
      </c>
      <c r="R15406" t="s">
        <v>46623</v>
      </c>
      <c r="S15406" t="s">
        <v>46895</v>
      </c>
      <c r="T15406" t="s">
        <v>48287</v>
      </c>
      <c r="U15406" t="s">
        <v>61145</v>
      </c>
      <c r="V15406" t="s">
        <v>63341</v>
      </c>
      <c r="W15406" t="s">
        <v>43515</v>
      </c>
      <c r="X15406" t="s">
        <v>63612</v>
      </c>
    </row>
    <row r="15407" spans="1:24">
      <c r="A15407">
        <f>HYPERLINK("https://www.philgeps.gov.ph/GEPSNONPILOT/Tender/SplashBidNoticeAbstractUI.aspx?menuIndex=3&amp;refID=6975130&amp;Result=3","6975130")</f>
        <v>0</v>
      </c>
      <c r="B15407" t="s">
        <v>137</v>
      </c>
      <c r="C15407" t="s">
        <v>18197</v>
      </c>
      <c r="D15407" t="s">
        <v>18826</v>
      </c>
      <c r="E15407" t="s">
        <v>32138</v>
      </c>
      <c r="F15407" t="s">
        <v>32664</v>
      </c>
      <c r="G15407" t="s">
        <v>32675</v>
      </c>
      <c r="H15407" t="s">
        <v>12635</v>
      </c>
      <c r="I15407" t="s">
        <v>8730</v>
      </c>
      <c r="J15407" t="s">
        <v>41933</v>
      </c>
      <c r="K15407" t="s">
        <v>42289</v>
      </c>
      <c r="M15407" t="s">
        <v>42701</v>
      </c>
      <c r="N15407" t="s">
        <v>46569</v>
      </c>
      <c r="O15407" t="s">
        <v>46570</v>
      </c>
      <c r="Q15407">
        <v>2</v>
      </c>
      <c r="R15407" t="s">
        <v>46625</v>
      </c>
      <c r="S15407" t="s">
        <v>47870</v>
      </c>
      <c r="T15407" t="s">
        <v>48221</v>
      </c>
      <c r="U15407" t="s">
        <v>61146</v>
      </c>
      <c r="W15407" t="s">
        <v>42701</v>
      </c>
      <c r="X15407" t="s">
        <v>46623</v>
      </c>
    </row>
    <row r="15408" spans="1:24">
      <c r="A15408">
        <f>HYPERLINK("https://www.philgeps.gov.ph/GEPSNONPILOT/Tender/SplashBidNoticeAbstractUI.aspx?menuIndex=3&amp;refID=7012505&amp;Result=3","7012505")</f>
        <v>0</v>
      </c>
      <c r="B15408" t="s">
        <v>1194</v>
      </c>
      <c r="C15408" t="s">
        <v>18198</v>
      </c>
      <c r="D15408" t="s">
        <v>18782</v>
      </c>
      <c r="E15408" t="s">
        <v>32139</v>
      </c>
      <c r="F15408" t="s">
        <v>32664</v>
      </c>
      <c r="G15408" t="s">
        <v>32672</v>
      </c>
      <c r="H15408" t="s">
        <v>32683</v>
      </c>
      <c r="I15408" t="s">
        <v>10627</v>
      </c>
      <c r="J15408" t="s">
        <v>40562</v>
      </c>
      <c r="K15408" t="s">
        <v>42290</v>
      </c>
      <c r="M15408" t="s">
        <v>46495</v>
      </c>
      <c r="N15408" t="s">
        <v>46569</v>
      </c>
      <c r="O15408" t="s">
        <v>46570</v>
      </c>
      <c r="Q15408">
        <v>4</v>
      </c>
      <c r="R15408" t="s">
        <v>46597</v>
      </c>
      <c r="S15408" t="s">
        <v>47871</v>
      </c>
      <c r="T15408" t="s">
        <v>48221</v>
      </c>
      <c r="U15408" t="s">
        <v>61147</v>
      </c>
      <c r="W15408" t="s">
        <v>46495</v>
      </c>
      <c r="X15408" t="s">
        <v>46599</v>
      </c>
    </row>
    <row r="15409" spans="1:24">
      <c r="A15409">
        <f>HYPERLINK("https://www.philgeps.gov.ph/GEPSNONPILOT/Tender/SplashBidNoticeAbstractUI.aspx?menuIndex=3&amp;refID=6976799&amp;Result=3","6976799")</f>
        <v>0</v>
      </c>
      <c r="B15409" t="s">
        <v>1483</v>
      </c>
      <c r="C15409" t="s">
        <v>18199</v>
      </c>
      <c r="D15409" t="s">
        <v>18785</v>
      </c>
      <c r="E15409" t="s">
        <v>32140</v>
      </c>
      <c r="F15409" t="s">
        <v>32664</v>
      </c>
      <c r="G15409" t="s">
        <v>32672</v>
      </c>
      <c r="H15409" t="s">
        <v>32683</v>
      </c>
      <c r="I15409" t="s">
        <v>10627</v>
      </c>
      <c r="J15409" t="s">
        <v>41934</v>
      </c>
      <c r="K15409" t="s">
        <v>42290</v>
      </c>
      <c r="M15409" t="s">
        <v>44146</v>
      </c>
      <c r="N15409" t="s">
        <v>46569</v>
      </c>
      <c r="O15409" t="s">
        <v>46570</v>
      </c>
      <c r="Q15409">
        <v>6</v>
      </c>
      <c r="R15409" t="s">
        <v>46613</v>
      </c>
      <c r="S15409" t="s">
        <v>47872</v>
      </c>
      <c r="T15409" t="s">
        <v>48751</v>
      </c>
      <c r="U15409" t="s">
        <v>61148</v>
      </c>
      <c r="W15409" t="s">
        <v>44146</v>
      </c>
      <c r="X15409" t="s">
        <v>46624</v>
      </c>
    </row>
    <row r="15410" spans="1:24">
      <c r="A15410">
        <f>HYPERLINK("https://www.philgeps.gov.ph/GEPSNONPILOT/Tender/SplashBidNoticeAbstractUI.aspx?menuIndex=3&amp;refID=7011162&amp;Result=3","7011162")</f>
        <v>0</v>
      </c>
      <c r="B15410" t="s">
        <v>908</v>
      </c>
      <c r="C15410" t="s">
        <v>18200</v>
      </c>
      <c r="E15410" t="s">
        <v>32141</v>
      </c>
      <c r="F15410" t="s">
        <v>32664</v>
      </c>
      <c r="G15410" t="s">
        <v>32671</v>
      </c>
      <c r="H15410" t="s">
        <v>12635</v>
      </c>
      <c r="I15410" t="s">
        <v>6168</v>
      </c>
      <c r="J15410" t="s">
        <v>33330</v>
      </c>
      <c r="K15410" t="s">
        <v>42289</v>
      </c>
      <c r="M15410" t="s">
        <v>43514</v>
      </c>
      <c r="N15410" t="s">
        <v>46569</v>
      </c>
      <c r="O15410" t="s">
        <v>46570</v>
      </c>
      <c r="Q15410">
        <v>7</v>
      </c>
      <c r="R15410" t="s">
        <v>46599</v>
      </c>
      <c r="S15410" t="s">
        <v>47873</v>
      </c>
      <c r="T15410" t="s">
        <v>48248</v>
      </c>
      <c r="U15410" t="s">
        <v>61149</v>
      </c>
      <c r="W15410" t="s">
        <v>43514</v>
      </c>
      <c r="X15410" t="s">
        <v>46600</v>
      </c>
    </row>
    <row r="15411" spans="1:24">
      <c r="A15411">
        <f>HYPERLINK("https://www.philgeps.gov.ph/GEPSNONPILOT/Tender/SplashBidNoticeAbstractUI.aspx?menuIndex=3&amp;refID=7011957&amp;Result=3","7011957")</f>
        <v>0</v>
      </c>
      <c r="B15411" t="s">
        <v>442</v>
      </c>
      <c r="C15411" t="s">
        <v>18201</v>
      </c>
      <c r="D15411" t="s">
        <v>18852</v>
      </c>
      <c r="E15411" t="s">
        <v>30374</v>
      </c>
      <c r="F15411" t="s">
        <v>32664</v>
      </c>
      <c r="G15411" t="s">
        <v>32672</v>
      </c>
      <c r="H15411" t="s">
        <v>12635</v>
      </c>
      <c r="I15411" t="s">
        <v>32706</v>
      </c>
      <c r="J15411" t="s">
        <v>41935</v>
      </c>
      <c r="K15411" t="s">
        <v>42281</v>
      </c>
      <c r="M15411" t="s">
        <v>43014</v>
      </c>
      <c r="N15411" t="s">
        <v>46569</v>
      </c>
      <c r="O15411" t="s">
        <v>46570</v>
      </c>
      <c r="P15411">
        <v>0</v>
      </c>
      <c r="Q15411">
        <v>1</v>
      </c>
      <c r="R15411" t="s">
        <v>46597</v>
      </c>
      <c r="S15411" t="s">
        <v>47783</v>
      </c>
      <c r="T15411" t="s">
        <v>48293</v>
      </c>
      <c r="U15411" t="s">
        <v>61150</v>
      </c>
      <c r="W15411" t="s">
        <v>43014</v>
      </c>
      <c r="X15411" t="s">
        <v>46599</v>
      </c>
    </row>
    <row r="15412" spans="1:24">
      <c r="A15412">
        <f>HYPERLINK("https://www.philgeps.gov.ph/GEPSNONPILOT/Tender/SplashBidNoticeAbstractUI.aspx?menuIndex=3&amp;refID=7012455&amp;Result=3","7012455")</f>
        <v>0</v>
      </c>
      <c r="B15412" t="s">
        <v>1194</v>
      </c>
      <c r="C15412" t="s">
        <v>18202</v>
      </c>
      <c r="D15412" t="s">
        <v>18782</v>
      </c>
      <c r="E15412" t="s">
        <v>32142</v>
      </c>
      <c r="F15412" t="s">
        <v>32664</v>
      </c>
      <c r="G15412" t="s">
        <v>32672</v>
      </c>
      <c r="H15412" t="s">
        <v>32683</v>
      </c>
      <c r="I15412" t="s">
        <v>10627</v>
      </c>
      <c r="J15412" t="s">
        <v>41936</v>
      </c>
      <c r="K15412" t="s">
        <v>42308</v>
      </c>
      <c r="M15412" t="s">
        <v>46495</v>
      </c>
      <c r="N15412" t="s">
        <v>46569</v>
      </c>
      <c r="O15412" t="s">
        <v>46570</v>
      </c>
      <c r="Q15412">
        <v>4</v>
      </c>
      <c r="R15412" t="s">
        <v>46597</v>
      </c>
      <c r="S15412" t="s">
        <v>47874</v>
      </c>
      <c r="T15412" t="s">
        <v>48221</v>
      </c>
      <c r="U15412" t="s">
        <v>61147</v>
      </c>
      <c r="W15412" t="s">
        <v>46495</v>
      </c>
      <c r="X15412" t="s">
        <v>46599</v>
      </c>
    </row>
    <row r="15413" spans="1:24">
      <c r="A15413">
        <f>HYPERLINK("https://www.philgeps.gov.ph/GEPSNONPILOT/Tender/SplashBidNoticeAbstractUI.aspx?menuIndex=3&amp;refID=6970779&amp;Result=3","6970779")</f>
        <v>0</v>
      </c>
      <c r="B15413" t="s">
        <v>2110</v>
      </c>
      <c r="C15413" t="s">
        <v>18203</v>
      </c>
      <c r="D15413" t="s">
        <v>18865</v>
      </c>
      <c r="E15413" t="s">
        <v>32143</v>
      </c>
      <c r="F15413" t="s">
        <v>32664</v>
      </c>
      <c r="G15413" t="s">
        <v>32672</v>
      </c>
      <c r="H15413" t="s">
        <v>32683</v>
      </c>
      <c r="I15413" t="s">
        <v>10627</v>
      </c>
      <c r="J15413" t="s">
        <v>34075</v>
      </c>
      <c r="K15413" t="s">
        <v>42327</v>
      </c>
      <c r="M15413" t="s">
        <v>44865</v>
      </c>
      <c r="N15413" t="s">
        <v>46569</v>
      </c>
      <c r="O15413" t="s">
        <v>46570</v>
      </c>
      <c r="Q15413">
        <v>2</v>
      </c>
      <c r="R15413" t="s">
        <v>46622</v>
      </c>
      <c r="S15413" t="s">
        <v>47875</v>
      </c>
      <c r="T15413" t="s">
        <v>48756</v>
      </c>
      <c r="U15413" t="s">
        <v>61151</v>
      </c>
      <c r="W15413" t="s">
        <v>44865</v>
      </c>
      <c r="X15413" t="s">
        <v>46621</v>
      </c>
    </row>
    <row r="15414" spans="1:24">
      <c r="A15414">
        <f>HYPERLINK("https://www.philgeps.gov.ph/GEPSNONPILOT/Tender/SplashBidNoticeAbstractUI.aspx?menuIndex=3&amp;refID=7010814&amp;Result=3","7010814")</f>
        <v>0</v>
      </c>
      <c r="B15414" t="s">
        <v>1093</v>
      </c>
      <c r="C15414" t="s">
        <v>18204</v>
      </c>
      <c r="D15414" t="s">
        <v>18784</v>
      </c>
      <c r="E15414" t="s">
        <v>32144</v>
      </c>
      <c r="F15414" t="s">
        <v>32664</v>
      </c>
      <c r="G15414" t="s">
        <v>32671</v>
      </c>
      <c r="H15414" t="s">
        <v>12635</v>
      </c>
      <c r="I15414" t="s">
        <v>32755</v>
      </c>
      <c r="J15414" t="s">
        <v>41937</v>
      </c>
      <c r="K15414" t="s">
        <v>42289</v>
      </c>
      <c r="M15414" t="s">
        <v>43720</v>
      </c>
      <c r="N15414" t="s">
        <v>46569</v>
      </c>
      <c r="O15414" t="s">
        <v>46570</v>
      </c>
      <c r="Q15414">
        <v>3</v>
      </c>
      <c r="R15414" t="s">
        <v>46599</v>
      </c>
      <c r="S15414" t="s">
        <v>47316</v>
      </c>
      <c r="T15414" t="s">
        <v>48307</v>
      </c>
      <c r="U15414" t="s">
        <v>61152</v>
      </c>
      <c r="V15414" t="s">
        <v>61652</v>
      </c>
      <c r="W15414" t="s">
        <v>43720</v>
      </c>
      <c r="X15414" t="s">
        <v>46600</v>
      </c>
    </row>
    <row r="15415" spans="1:24">
      <c r="A15415">
        <f>HYPERLINK("https://www.philgeps.gov.ph/GEPSNONPILOT/Tender/SplashBidNoticeAbstractUI.aspx?menuIndex=3&amp;refID=7015019&amp;Result=3","7015019")</f>
        <v>0</v>
      </c>
      <c r="B15415" t="s">
        <v>908</v>
      </c>
      <c r="C15415" t="s">
        <v>18205</v>
      </c>
      <c r="D15415" t="s">
        <v>18820</v>
      </c>
      <c r="E15415" t="s">
        <v>32145</v>
      </c>
      <c r="F15415" t="s">
        <v>32664</v>
      </c>
      <c r="G15415" t="s">
        <v>32671</v>
      </c>
      <c r="H15415" t="s">
        <v>32682</v>
      </c>
      <c r="I15415" t="s">
        <v>10361</v>
      </c>
      <c r="J15415" t="s">
        <v>33970</v>
      </c>
      <c r="K15415" t="s">
        <v>42309</v>
      </c>
      <c r="M15415" t="s">
        <v>43514</v>
      </c>
      <c r="N15415" t="s">
        <v>46569</v>
      </c>
      <c r="O15415" t="s">
        <v>46570</v>
      </c>
      <c r="Q15415">
        <v>0</v>
      </c>
      <c r="R15415" t="s">
        <v>46596</v>
      </c>
      <c r="S15415" t="s">
        <v>47876</v>
      </c>
      <c r="T15415" t="s">
        <v>48248</v>
      </c>
      <c r="U15415" t="s">
        <v>61153</v>
      </c>
      <c r="W15415" t="s">
        <v>43514</v>
      </c>
      <c r="X15415" t="s">
        <v>46597</v>
      </c>
    </row>
    <row r="15416" spans="1:24">
      <c r="A15416">
        <f>HYPERLINK("https://www.philgeps.gov.ph/GEPSNONPILOT/Tender/SplashBidNoticeAbstractUI.aspx?menuIndex=3&amp;refID=7014796&amp;Result=3","7014796")</f>
        <v>0</v>
      </c>
      <c r="B15416" t="s">
        <v>137</v>
      </c>
      <c r="C15416" t="s">
        <v>18206</v>
      </c>
      <c r="D15416" t="s">
        <v>18826</v>
      </c>
      <c r="E15416" t="s">
        <v>32146</v>
      </c>
      <c r="F15416" t="s">
        <v>32664</v>
      </c>
      <c r="G15416" t="s">
        <v>32675</v>
      </c>
      <c r="H15416" t="s">
        <v>12635</v>
      </c>
      <c r="I15416" t="s">
        <v>7709</v>
      </c>
      <c r="J15416" t="s">
        <v>33173</v>
      </c>
      <c r="K15416" t="s">
        <v>42303</v>
      </c>
      <c r="M15416" t="s">
        <v>42701</v>
      </c>
      <c r="N15416" t="s">
        <v>46569</v>
      </c>
      <c r="O15416" t="s">
        <v>46570</v>
      </c>
      <c r="Q15416">
        <v>0</v>
      </c>
      <c r="R15416" t="s">
        <v>46596</v>
      </c>
      <c r="S15416" t="s">
        <v>47463</v>
      </c>
      <c r="T15416" t="s">
        <v>48221</v>
      </c>
      <c r="U15416" t="s">
        <v>61154</v>
      </c>
      <c r="W15416" t="s">
        <v>42701</v>
      </c>
      <c r="X15416" t="s">
        <v>46597</v>
      </c>
    </row>
    <row r="15417" spans="1:24">
      <c r="A15417">
        <f>HYPERLINK("https://www.philgeps.gov.ph/GEPSNONPILOT/Tender/SplashBidNoticeAbstractUI.aspx?menuIndex=3&amp;refID=7013493&amp;Result=3","7013493")</f>
        <v>0</v>
      </c>
      <c r="B15417" t="s">
        <v>2920</v>
      </c>
      <c r="C15417" t="s">
        <v>18207</v>
      </c>
      <c r="E15417" t="s">
        <v>32147</v>
      </c>
      <c r="F15417" t="s">
        <v>32664</v>
      </c>
      <c r="G15417" t="s">
        <v>32672</v>
      </c>
      <c r="H15417" t="s">
        <v>12635</v>
      </c>
      <c r="I15417" t="s">
        <v>10374</v>
      </c>
      <c r="J15417" t="s">
        <v>41938</v>
      </c>
      <c r="K15417" t="s">
        <v>42311</v>
      </c>
      <c r="M15417" t="s">
        <v>45773</v>
      </c>
      <c r="N15417" t="s">
        <v>46569</v>
      </c>
      <c r="O15417" t="s">
        <v>46570</v>
      </c>
      <c r="Q15417">
        <v>10</v>
      </c>
      <c r="R15417" t="s">
        <v>46597</v>
      </c>
      <c r="S15417" t="s">
        <v>47877</v>
      </c>
      <c r="T15417" t="s">
        <v>48510</v>
      </c>
      <c r="U15417" t="s">
        <v>61155</v>
      </c>
      <c r="W15417" t="s">
        <v>45773</v>
      </c>
      <c r="X15417" t="s">
        <v>46599</v>
      </c>
    </row>
    <row r="15418" spans="1:24">
      <c r="A15418">
        <f>HYPERLINK("https://www.philgeps.gov.ph/GEPSNONPILOT/Tender/SplashBidNoticeAbstractUI.aspx?menuIndex=3&amp;refID=7013908&amp;Result=3","7013908")</f>
        <v>0</v>
      </c>
      <c r="B15418" t="s">
        <v>3477</v>
      </c>
      <c r="C15418" t="s">
        <v>18208</v>
      </c>
      <c r="D15418" t="s">
        <v>18825</v>
      </c>
      <c r="E15418" t="s">
        <v>32148</v>
      </c>
      <c r="F15418" t="s">
        <v>32664</v>
      </c>
      <c r="G15418" t="s">
        <v>32672</v>
      </c>
      <c r="H15418" t="s">
        <v>12635</v>
      </c>
      <c r="I15418" t="s">
        <v>6168</v>
      </c>
      <c r="J15418" t="s">
        <v>32853</v>
      </c>
      <c r="K15418" t="s">
        <v>42281</v>
      </c>
      <c r="M15418" t="s">
        <v>46479</v>
      </c>
      <c r="N15418" t="s">
        <v>46569</v>
      </c>
      <c r="O15418" t="s">
        <v>46570</v>
      </c>
      <c r="Q15418">
        <v>2</v>
      </c>
      <c r="R15418" t="s">
        <v>46596</v>
      </c>
      <c r="S15418" t="s">
        <v>47878</v>
      </c>
      <c r="T15418" t="s">
        <v>48448</v>
      </c>
      <c r="U15418" t="s">
        <v>61156</v>
      </c>
      <c r="V15418" t="s">
        <v>63342</v>
      </c>
      <c r="W15418" t="s">
        <v>46479</v>
      </c>
      <c r="X15418" t="s">
        <v>46599</v>
      </c>
    </row>
    <row r="15419" spans="1:24">
      <c r="A15419">
        <f>HYPERLINK("https://www.philgeps.gov.ph/GEPSNONPILOT/Tender/SplashBidNoticeAbstractUI.aspx?menuIndex=3&amp;refID=7014924&amp;Result=3","7014924")</f>
        <v>0</v>
      </c>
      <c r="B15419" t="s">
        <v>3239</v>
      </c>
      <c r="C15419" t="s">
        <v>18209</v>
      </c>
      <c r="D15419" t="s">
        <v>18848</v>
      </c>
      <c r="E15419" t="s">
        <v>32149</v>
      </c>
      <c r="F15419" t="s">
        <v>32664</v>
      </c>
      <c r="G15419" t="s">
        <v>32672</v>
      </c>
      <c r="H15419" t="s">
        <v>32683</v>
      </c>
      <c r="I15419" t="s">
        <v>10627</v>
      </c>
      <c r="J15419" t="s">
        <v>41939</v>
      </c>
      <c r="K15419" t="s">
        <v>42331</v>
      </c>
      <c r="M15419" t="s">
        <v>46235</v>
      </c>
      <c r="N15419" t="s">
        <v>46569</v>
      </c>
      <c r="O15419" t="s">
        <v>46570</v>
      </c>
      <c r="Q15419">
        <v>0</v>
      </c>
      <c r="R15419" t="s">
        <v>46596</v>
      </c>
      <c r="S15419" t="s">
        <v>47879</v>
      </c>
      <c r="T15419" t="s">
        <v>48300</v>
      </c>
      <c r="U15419" t="s">
        <v>61157</v>
      </c>
      <c r="V15419" t="s">
        <v>63077</v>
      </c>
      <c r="W15419" t="s">
        <v>46235</v>
      </c>
      <c r="X15419" t="s">
        <v>46597</v>
      </c>
    </row>
    <row r="15420" spans="1:24">
      <c r="A15420">
        <f>HYPERLINK("https://www.philgeps.gov.ph/GEPSNONPILOT/Tender/SplashBidNoticeAbstractUI.aspx?menuIndex=3&amp;refID=7013880&amp;Result=3","7013880")</f>
        <v>0</v>
      </c>
      <c r="B15420" t="s">
        <v>3477</v>
      </c>
      <c r="C15420" t="s">
        <v>18210</v>
      </c>
      <c r="D15420" t="s">
        <v>18825</v>
      </c>
      <c r="E15420" t="s">
        <v>32150</v>
      </c>
      <c r="F15420" t="s">
        <v>32664</v>
      </c>
      <c r="G15420" t="s">
        <v>32672</v>
      </c>
      <c r="H15420" t="s">
        <v>12635</v>
      </c>
      <c r="I15420" t="s">
        <v>10361</v>
      </c>
      <c r="J15420" t="s">
        <v>33177</v>
      </c>
      <c r="K15420" t="s">
        <v>42281</v>
      </c>
      <c r="M15420" t="s">
        <v>46479</v>
      </c>
      <c r="N15420" t="s">
        <v>46569</v>
      </c>
      <c r="O15420" t="s">
        <v>46570</v>
      </c>
      <c r="P15420">
        <v>0</v>
      </c>
      <c r="Q15420">
        <v>0</v>
      </c>
      <c r="R15420" t="s">
        <v>46596</v>
      </c>
      <c r="S15420" t="s">
        <v>47768</v>
      </c>
      <c r="T15420" t="s">
        <v>48448</v>
      </c>
      <c r="U15420" t="s">
        <v>61158</v>
      </c>
      <c r="V15420" t="s">
        <v>63342</v>
      </c>
      <c r="W15420" t="s">
        <v>46479</v>
      </c>
      <c r="X15420" t="s">
        <v>46599</v>
      </c>
    </row>
    <row r="15421" spans="1:24">
      <c r="A15421">
        <f>HYPERLINK("https://www.philgeps.gov.ph/GEPSNONPILOT/Tender/SplashBidNoticeAbstractUI.aspx?menuIndex=3&amp;refID=7012104&amp;Result=3","7012104")</f>
        <v>0</v>
      </c>
      <c r="B15421" t="s">
        <v>488</v>
      </c>
      <c r="C15421" t="s">
        <v>18211</v>
      </c>
      <c r="D15421" t="s">
        <v>18857</v>
      </c>
      <c r="E15421" t="s">
        <v>32151</v>
      </c>
      <c r="F15421" t="s">
        <v>32664</v>
      </c>
      <c r="G15421" t="s">
        <v>32672</v>
      </c>
      <c r="H15421" t="s">
        <v>12635</v>
      </c>
      <c r="I15421" t="s">
        <v>32742</v>
      </c>
      <c r="J15421" t="s">
        <v>33755</v>
      </c>
      <c r="K15421" t="s">
        <v>42281</v>
      </c>
      <c r="M15421" t="s">
        <v>43064</v>
      </c>
      <c r="N15421" t="s">
        <v>46569</v>
      </c>
      <c r="O15421" t="s">
        <v>46570</v>
      </c>
      <c r="P15421">
        <v>0</v>
      </c>
      <c r="Q15421">
        <v>1</v>
      </c>
      <c r="R15421" t="s">
        <v>46597</v>
      </c>
      <c r="S15421" t="s">
        <v>47783</v>
      </c>
      <c r="T15421" t="s">
        <v>48293</v>
      </c>
      <c r="U15421" t="s">
        <v>61159</v>
      </c>
      <c r="W15421" t="s">
        <v>43064</v>
      </c>
      <c r="X15421" t="s">
        <v>46599</v>
      </c>
    </row>
    <row r="15422" spans="1:24">
      <c r="A15422">
        <f>HYPERLINK("https://www.philgeps.gov.ph/GEPSNONPILOT/Tender/SplashBidNoticeAbstractUI.aspx?menuIndex=3&amp;refID=7014351&amp;Result=3","7014351")</f>
        <v>0</v>
      </c>
      <c r="B15422" t="s">
        <v>442</v>
      </c>
      <c r="C15422" t="s">
        <v>18212</v>
      </c>
      <c r="D15422" t="s">
        <v>18852</v>
      </c>
      <c r="E15422" t="s">
        <v>32152</v>
      </c>
      <c r="F15422" t="s">
        <v>32664</v>
      </c>
      <c r="G15422" t="s">
        <v>32672</v>
      </c>
      <c r="H15422" t="s">
        <v>12635</v>
      </c>
      <c r="I15422" t="s">
        <v>32684</v>
      </c>
      <c r="J15422" t="s">
        <v>32859</v>
      </c>
      <c r="K15422" t="s">
        <v>42281</v>
      </c>
      <c r="M15422" t="s">
        <v>43014</v>
      </c>
      <c r="N15422" t="s">
        <v>46569</v>
      </c>
      <c r="O15422" t="s">
        <v>46570</v>
      </c>
      <c r="P15422">
        <v>0</v>
      </c>
      <c r="Q15422">
        <v>4</v>
      </c>
      <c r="R15422" t="s">
        <v>46596</v>
      </c>
      <c r="S15422" t="s">
        <v>47768</v>
      </c>
      <c r="T15422" t="s">
        <v>48293</v>
      </c>
      <c r="U15422" t="s">
        <v>61160</v>
      </c>
      <c r="W15422" t="s">
        <v>43014</v>
      </c>
      <c r="X15422" t="s">
        <v>46597</v>
      </c>
    </row>
    <row r="15423" spans="1:24">
      <c r="A15423">
        <f>HYPERLINK("https://www.philgeps.gov.ph/GEPSNONPILOT/Tender/SplashBidNoticeAbstractUI.aspx?menuIndex=3&amp;refID=7013151&amp;Result=3","7013151")</f>
        <v>0</v>
      </c>
      <c r="B15423" t="s">
        <v>475</v>
      </c>
      <c r="C15423" t="s">
        <v>18213</v>
      </c>
      <c r="D15423" t="s">
        <v>18796</v>
      </c>
      <c r="E15423" t="s">
        <v>32153</v>
      </c>
      <c r="F15423" t="s">
        <v>32664</v>
      </c>
      <c r="G15423" t="s">
        <v>32672</v>
      </c>
      <c r="H15423" t="s">
        <v>12635</v>
      </c>
      <c r="I15423" t="s">
        <v>32707</v>
      </c>
      <c r="J15423" t="s">
        <v>41940</v>
      </c>
      <c r="K15423" t="s">
        <v>42290</v>
      </c>
      <c r="M15423" t="s">
        <v>46496</v>
      </c>
      <c r="N15423" t="s">
        <v>46569</v>
      </c>
      <c r="O15423" t="s">
        <v>46570</v>
      </c>
      <c r="Q15423">
        <v>4</v>
      </c>
      <c r="R15423" t="s">
        <v>46597</v>
      </c>
      <c r="S15423" t="s">
        <v>47880</v>
      </c>
      <c r="T15423" t="s">
        <v>48532</v>
      </c>
      <c r="U15423" t="s">
        <v>61161</v>
      </c>
      <c r="W15423" t="s">
        <v>46496</v>
      </c>
      <c r="X15423" t="s">
        <v>46599</v>
      </c>
    </row>
    <row r="15424" spans="1:24">
      <c r="A15424">
        <f>HYPERLINK("https://www.philgeps.gov.ph/GEPSNONPILOT/Tender/SplashBidNoticeAbstractUI.aspx?menuIndex=3&amp;refID=7011943&amp;Result=3","7011943")</f>
        <v>0</v>
      </c>
      <c r="B15424" t="s">
        <v>231</v>
      </c>
      <c r="C15424" t="s">
        <v>18214</v>
      </c>
      <c r="D15424" t="s">
        <v>18845</v>
      </c>
      <c r="E15424" t="s">
        <v>32154</v>
      </c>
      <c r="F15424" t="s">
        <v>32664</v>
      </c>
      <c r="G15424" t="s">
        <v>32675</v>
      </c>
      <c r="H15424" t="s">
        <v>12635</v>
      </c>
      <c r="I15424" t="s">
        <v>32727</v>
      </c>
      <c r="J15424" t="s">
        <v>32859</v>
      </c>
      <c r="K15424" t="s">
        <v>42281</v>
      </c>
      <c r="M15424" t="s">
        <v>42795</v>
      </c>
      <c r="N15424" t="s">
        <v>46569</v>
      </c>
      <c r="O15424" t="s">
        <v>46570</v>
      </c>
      <c r="Q15424">
        <v>5</v>
      </c>
      <c r="R15424" t="s">
        <v>46597</v>
      </c>
      <c r="S15424" t="s">
        <v>47881</v>
      </c>
      <c r="T15424" t="s">
        <v>48287</v>
      </c>
      <c r="U15424" t="s">
        <v>61162</v>
      </c>
      <c r="W15424" t="s">
        <v>42795</v>
      </c>
      <c r="X15424" t="s">
        <v>46599</v>
      </c>
    </row>
    <row r="15425" spans="1:24">
      <c r="A15425">
        <f>HYPERLINK("https://www.philgeps.gov.ph/GEPSNONPILOT/Tender/SplashBidNoticeAbstractUI.aspx?menuIndex=3&amp;refID=6956495&amp;Result=3","6956495")</f>
        <v>0</v>
      </c>
      <c r="B15425" t="s">
        <v>1247</v>
      </c>
      <c r="C15425" t="s">
        <v>18215</v>
      </c>
      <c r="D15425" t="s">
        <v>18802</v>
      </c>
      <c r="E15425" t="s">
        <v>32155</v>
      </c>
      <c r="F15425" t="s">
        <v>32664</v>
      </c>
      <c r="G15425" t="s">
        <v>32672</v>
      </c>
      <c r="H15425" t="s">
        <v>32683</v>
      </c>
      <c r="I15425" t="s">
        <v>10627</v>
      </c>
      <c r="J15425" t="s">
        <v>39010</v>
      </c>
      <c r="K15425" t="s">
        <v>42443</v>
      </c>
      <c r="M15425" t="s">
        <v>43889</v>
      </c>
      <c r="N15425" t="s">
        <v>46569</v>
      </c>
      <c r="O15425" t="s">
        <v>46570</v>
      </c>
      <c r="Q15425">
        <v>1</v>
      </c>
      <c r="R15425" t="s">
        <v>46626</v>
      </c>
      <c r="S15425" t="s">
        <v>47882</v>
      </c>
      <c r="T15425" t="s">
        <v>48292</v>
      </c>
      <c r="U15425" t="s">
        <v>61163</v>
      </c>
      <c r="W15425" t="s">
        <v>43889</v>
      </c>
      <c r="X15425" t="s">
        <v>46627</v>
      </c>
    </row>
    <row r="15426" spans="1:24">
      <c r="A15426">
        <f>HYPERLINK("https://www.philgeps.gov.ph/GEPSNONPILOT/Tender/SplashBidNoticeAbstractUI.aspx?menuIndex=3&amp;refID=6955459&amp;Result=3","6955459")</f>
        <v>0</v>
      </c>
      <c r="B15426" t="s">
        <v>1247</v>
      </c>
      <c r="C15426" t="s">
        <v>18216</v>
      </c>
      <c r="D15426" t="s">
        <v>18802</v>
      </c>
      <c r="E15426" t="s">
        <v>32156</v>
      </c>
      <c r="F15426" t="s">
        <v>32664</v>
      </c>
      <c r="G15426" t="s">
        <v>32672</v>
      </c>
      <c r="H15426" t="s">
        <v>32683</v>
      </c>
      <c r="I15426" t="s">
        <v>10627</v>
      </c>
      <c r="J15426" t="s">
        <v>33508</v>
      </c>
      <c r="K15426" t="s">
        <v>42377</v>
      </c>
      <c r="M15426" t="s">
        <v>43889</v>
      </c>
      <c r="N15426" t="s">
        <v>46569</v>
      </c>
      <c r="O15426" t="s">
        <v>46570</v>
      </c>
      <c r="Q15426">
        <v>0</v>
      </c>
      <c r="R15426" t="s">
        <v>46627</v>
      </c>
      <c r="S15426" t="s">
        <v>47883</v>
      </c>
      <c r="T15426" t="s">
        <v>48292</v>
      </c>
      <c r="U15426" t="s">
        <v>61164</v>
      </c>
      <c r="W15426" t="s">
        <v>43889</v>
      </c>
      <c r="X15426" t="s">
        <v>63623</v>
      </c>
    </row>
    <row r="15427" spans="1:24">
      <c r="A15427">
        <f>HYPERLINK("https://www.philgeps.gov.ph/GEPSNONPILOT/Tender/SplashBidNoticeAbstractUI.aspx?menuIndex=3&amp;refID=6957664&amp;Result=3","6957664")</f>
        <v>0</v>
      </c>
      <c r="B15427" t="s">
        <v>1247</v>
      </c>
      <c r="C15427" t="s">
        <v>18217</v>
      </c>
      <c r="D15427" t="s">
        <v>18802</v>
      </c>
      <c r="E15427" t="s">
        <v>32157</v>
      </c>
      <c r="F15427" t="s">
        <v>32664</v>
      </c>
      <c r="G15427" t="s">
        <v>32672</v>
      </c>
      <c r="H15427" t="s">
        <v>32683</v>
      </c>
      <c r="I15427" t="s">
        <v>10627</v>
      </c>
      <c r="J15427" t="s">
        <v>37270</v>
      </c>
      <c r="K15427" t="s">
        <v>42311</v>
      </c>
      <c r="M15427" t="s">
        <v>43889</v>
      </c>
      <c r="N15427" t="s">
        <v>46569</v>
      </c>
      <c r="O15427" t="s">
        <v>46570</v>
      </c>
      <c r="Q15427">
        <v>0</v>
      </c>
      <c r="R15427" t="s">
        <v>46628</v>
      </c>
      <c r="S15427" t="s">
        <v>47884</v>
      </c>
      <c r="T15427" t="s">
        <v>48385</v>
      </c>
      <c r="U15427" t="s">
        <v>61165</v>
      </c>
      <c r="W15427" t="s">
        <v>43889</v>
      </c>
      <c r="X15427" t="s">
        <v>46626</v>
      </c>
    </row>
    <row r="15428" spans="1:24">
      <c r="A15428">
        <f>HYPERLINK("https://www.philgeps.gov.ph/GEPSNONPILOT/Tender/SplashBidNoticeAbstractUI.aspx?menuIndex=3&amp;refID=6955379&amp;Result=3","6955379")</f>
        <v>0</v>
      </c>
      <c r="B15428" t="s">
        <v>1247</v>
      </c>
      <c r="C15428" t="s">
        <v>18218</v>
      </c>
      <c r="D15428" t="s">
        <v>18802</v>
      </c>
      <c r="E15428" t="s">
        <v>32158</v>
      </c>
      <c r="F15428" t="s">
        <v>32664</v>
      </c>
      <c r="G15428" t="s">
        <v>32672</v>
      </c>
      <c r="H15428" t="s">
        <v>32683</v>
      </c>
      <c r="I15428" t="s">
        <v>10627</v>
      </c>
      <c r="J15428" t="s">
        <v>40562</v>
      </c>
      <c r="K15428" t="s">
        <v>42394</v>
      </c>
      <c r="M15428" t="s">
        <v>43889</v>
      </c>
      <c r="N15428" t="s">
        <v>46569</v>
      </c>
      <c r="O15428" t="s">
        <v>46570</v>
      </c>
      <c r="Q15428">
        <v>0</v>
      </c>
      <c r="R15428" t="s">
        <v>46627</v>
      </c>
      <c r="S15428" t="s">
        <v>47885</v>
      </c>
      <c r="T15428" t="s">
        <v>48292</v>
      </c>
      <c r="U15428" t="s">
        <v>61166</v>
      </c>
      <c r="W15428" t="s">
        <v>43889</v>
      </c>
      <c r="X15428" t="s">
        <v>63623</v>
      </c>
    </row>
    <row r="15429" spans="1:24">
      <c r="A15429">
        <f>HYPERLINK("https://www.philgeps.gov.ph/GEPSNONPILOT/Tender/SplashBidNoticeAbstractUI.aspx?menuIndex=3&amp;refID=6957275&amp;Result=3","6957275")</f>
        <v>0</v>
      </c>
      <c r="B15429" t="s">
        <v>1247</v>
      </c>
      <c r="C15429" t="s">
        <v>18219</v>
      </c>
      <c r="D15429" t="s">
        <v>18802</v>
      </c>
      <c r="E15429" t="s">
        <v>32159</v>
      </c>
      <c r="F15429" t="s">
        <v>32664</v>
      </c>
      <c r="G15429" t="s">
        <v>32672</v>
      </c>
      <c r="H15429" t="s">
        <v>32683</v>
      </c>
      <c r="I15429" t="s">
        <v>10627</v>
      </c>
      <c r="J15429" t="s">
        <v>34379</v>
      </c>
      <c r="K15429" t="s">
        <v>42290</v>
      </c>
      <c r="M15429" t="s">
        <v>43889</v>
      </c>
      <c r="N15429" t="s">
        <v>46569</v>
      </c>
      <c r="O15429" t="s">
        <v>46570</v>
      </c>
      <c r="Q15429">
        <v>0</v>
      </c>
      <c r="R15429" t="s">
        <v>46628</v>
      </c>
      <c r="S15429" t="s">
        <v>47303</v>
      </c>
      <c r="T15429" t="s">
        <v>48385</v>
      </c>
      <c r="U15429" t="s">
        <v>61167</v>
      </c>
      <c r="W15429" t="s">
        <v>43889</v>
      </c>
      <c r="X15429" t="s">
        <v>46626</v>
      </c>
    </row>
    <row r="15430" spans="1:24">
      <c r="A15430">
        <f>HYPERLINK("https://www.philgeps.gov.ph/GEPSNONPILOT/Tender/SplashBidNoticeAbstractUI.aspx?menuIndex=3&amp;refID=6957189&amp;Result=3","6957189")</f>
        <v>0</v>
      </c>
      <c r="B15430" t="s">
        <v>1247</v>
      </c>
      <c r="C15430" t="s">
        <v>18220</v>
      </c>
      <c r="D15430" t="s">
        <v>18802</v>
      </c>
      <c r="E15430" t="s">
        <v>32160</v>
      </c>
      <c r="F15430" t="s">
        <v>32664</v>
      </c>
      <c r="G15430" t="s">
        <v>32672</v>
      </c>
      <c r="H15430" t="s">
        <v>32683</v>
      </c>
      <c r="I15430" t="s">
        <v>10627</v>
      </c>
      <c r="J15430" t="s">
        <v>33508</v>
      </c>
      <c r="K15430" t="s">
        <v>42459</v>
      </c>
      <c r="M15430" t="s">
        <v>43889</v>
      </c>
      <c r="N15430" t="s">
        <v>46569</v>
      </c>
      <c r="O15430" t="s">
        <v>46570</v>
      </c>
      <c r="Q15430">
        <v>0</v>
      </c>
      <c r="R15430" t="s">
        <v>46628</v>
      </c>
      <c r="S15430" t="s">
        <v>47886</v>
      </c>
      <c r="T15430" t="s">
        <v>48385</v>
      </c>
      <c r="U15430" t="s">
        <v>61168</v>
      </c>
      <c r="W15430" t="s">
        <v>43889</v>
      </c>
      <c r="X15430" t="s">
        <v>46626</v>
      </c>
    </row>
    <row r="15431" spans="1:24">
      <c r="A15431">
        <f>HYPERLINK("https://www.philgeps.gov.ph/GEPSNONPILOT/Tender/SplashBidNoticeAbstractUI.aspx?menuIndex=3&amp;refID=7011927&amp;Result=3","7011927")</f>
        <v>0</v>
      </c>
      <c r="B15431" t="s">
        <v>231</v>
      </c>
      <c r="C15431" t="s">
        <v>18221</v>
      </c>
      <c r="D15431" t="s">
        <v>18845</v>
      </c>
      <c r="E15431" t="s">
        <v>32161</v>
      </c>
      <c r="F15431" t="s">
        <v>32664</v>
      </c>
      <c r="G15431" t="s">
        <v>32675</v>
      </c>
      <c r="H15431" t="s">
        <v>12635</v>
      </c>
      <c r="I15431" t="s">
        <v>32701</v>
      </c>
      <c r="J15431" t="s">
        <v>32865</v>
      </c>
      <c r="K15431" t="s">
        <v>42289</v>
      </c>
      <c r="M15431" t="s">
        <v>42795</v>
      </c>
      <c r="N15431" t="s">
        <v>46569</v>
      </c>
      <c r="O15431" t="s">
        <v>46570</v>
      </c>
      <c r="Q15431">
        <v>0</v>
      </c>
      <c r="R15431" t="s">
        <v>46597</v>
      </c>
      <c r="S15431" t="s">
        <v>47887</v>
      </c>
      <c r="T15431" t="s">
        <v>48287</v>
      </c>
      <c r="U15431" t="s">
        <v>61169</v>
      </c>
      <c r="W15431" t="s">
        <v>42795</v>
      </c>
      <c r="X15431" t="s">
        <v>46599</v>
      </c>
    </row>
    <row r="15432" spans="1:24">
      <c r="A15432">
        <f>HYPERLINK("https://www.philgeps.gov.ph/GEPSNONPILOT/Tender/SplashBidNoticeAbstractUI.aspx?menuIndex=3&amp;refID=6957747&amp;Result=3","6957747")</f>
        <v>0</v>
      </c>
      <c r="B15432" t="s">
        <v>1247</v>
      </c>
      <c r="C15432" t="s">
        <v>18222</v>
      </c>
      <c r="D15432" t="s">
        <v>18802</v>
      </c>
      <c r="E15432" t="s">
        <v>32162</v>
      </c>
      <c r="F15432" t="s">
        <v>32664</v>
      </c>
      <c r="G15432" t="s">
        <v>32672</v>
      </c>
      <c r="H15432" t="s">
        <v>32683</v>
      </c>
      <c r="I15432" t="s">
        <v>10627</v>
      </c>
      <c r="J15432" t="s">
        <v>33508</v>
      </c>
      <c r="K15432" t="s">
        <v>42308</v>
      </c>
      <c r="M15432" t="s">
        <v>43889</v>
      </c>
      <c r="N15432" t="s">
        <v>46569</v>
      </c>
      <c r="O15432" t="s">
        <v>46570</v>
      </c>
      <c r="Q15432">
        <v>0</v>
      </c>
      <c r="R15432" t="s">
        <v>46628</v>
      </c>
      <c r="S15432" t="s">
        <v>47888</v>
      </c>
      <c r="T15432" t="s">
        <v>48385</v>
      </c>
      <c r="U15432" t="s">
        <v>61170</v>
      </c>
      <c r="W15432" t="s">
        <v>43889</v>
      </c>
      <c r="X15432" t="s">
        <v>46626</v>
      </c>
    </row>
    <row r="15433" spans="1:24">
      <c r="A15433">
        <f>HYPERLINK("https://www.philgeps.gov.ph/GEPSNONPILOT/Tender/SplashBidNoticeAbstractUI.aspx?menuIndex=3&amp;refID=6954272&amp;Result=3","6954272")</f>
        <v>0</v>
      </c>
      <c r="B15433" t="s">
        <v>3488</v>
      </c>
      <c r="C15433" t="s">
        <v>18223</v>
      </c>
      <c r="E15433" t="s">
        <v>32163</v>
      </c>
      <c r="F15433" t="s">
        <v>32665</v>
      </c>
      <c r="G15433" t="s">
        <v>32671</v>
      </c>
      <c r="H15433" t="s">
        <v>12635</v>
      </c>
      <c r="I15433" t="s">
        <v>9946</v>
      </c>
      <c r="J15433" t="s">
        <v>33126</v>
      </c>
      <c r="K15433" t="s">
        <v>42283</v>
      </c>
      <c r="M15433" t="s">
        <v>46497</v>
      </c>
      <c r="N15433" t="s">
        <v>46569</v>
      </c>
      <c r="O15433" t="s">
        <v>46570</v>
      </c>
      <c r="P15433">
        <v>0</v>
      </c>
      <c r="Q15433">
        <v>5</v>
      </c>
      <c r="R15433" t="s">
        <v>46629</v>
      </c>
      <c r="S15433" t="s">
        <v>47889</v>
      </c>
      <c r="T15433" t="s">
        <v>48757</v>
      </c>
      <c r="U15433" t="s">
        <v>61171</v>
      </c>
      <c r="W15433" t="s">
        <v>46497</v>
      </c>
      <c r="X15433" t="s">
        <v>46630</v>
      </c>
    </row>
    <row r="15434" spans="1:24">
      <c r="A15434">
        <f>HYPERLINK("https://www.philgeps.gov.ph/GEPSNONPILOT/Tender/SplashBidNoticeAbstractUI.aspx?menuIndex=3&amp;refID=6952539&amp;Result=3","6952539")</f>
        <v>0</v>
      </c>
      <c r="B15434" t="s">
        <v>3489</v>
      </c>
      <c r="C15434" t="s">
        <v>18224</v>
      </c>
      <c r="D15434" t="s">
        <v>18861</v>
      </c>
      <c r="E15434" t="s">
        <v>32164</v>
      </c>
      <c r="F15434" t="s">
        <v>32664</v>
      </c>
      <c r="G15434" t="s">
        <v>32672</v>
      </c>
      <c r="H15434" t="s">
        <v>12635</v>
      </c>
      <c r="I15434" t="s">
        <v>11464</v>
      </c>
      <c r="J15434" t="s">
        <v>37953</v>
      </c>
      <c r="K15434" t="s">
        <v>42283</v>
      </c>
      <c r="M15434" t="s">
        <v>46498</v>
      </c>
      <c r="N15434" t="s">
        <v>46569</v>
      </c>
      <c r="O15434" t="s">
        <v>46570</v>
      </c>
      <c r="Q15434">
        <v>4</v>
      </c>
      <c r="R15434" t="s">
        <v>46630</v>
      </c>
      <c r="S15434" t="s">
        <v>47890</v>
      </c>
      <c r="T15434" t="s">
        <v>48308</v>
      </c>
      <c r="U15434" t="s">
        <v>61172</v>
      </c>
      <c r="W15434" t="s">
        <v>46498</v>
      </c>
      <c r="X15434" t="s">
        <v>46684</v>
      </c>
    </row>
    <row r="15435" spans="1:24">
      <c r="A15435">
        <f>HYPERLINK("https://www.philgeps.gov.ph/GEPSNONPILOT/Tender/SplashBidNoticeAbstractUI.aspx?menuIndex=3&amp;refID=6957199&amp;Result=3","6957199")</f>
        <v>0</v>
      </c>
      <c r="B15435" t="s">
        <v>1247</v>
      </c>
      <c r="C15435" t="s">
        <v>18225</v>
      </c>
      <c r="D15435" t="s">
        <v>18802</v>
      </c>
      <c r="E15435" t="s">
        <v>32165</v>
      </c>
      <c r="F15435" t="s">
        <v>32664</v>
      </c>
      <c r="G15435" t="s">
        <v>32672</v>
      </c>
      <c r="H15435" t="s">
        <v>32683</v>
      </c>
      <c r="I15435" t="s">
        <v>10627</v>
      </c>
      <c r="J15435" t="s">
        <v>38920</v>
      </c>
      <c r="K15435" t="s">
        <v>42290</v>
      </c>
      <c r="M15435" t="s">
        <v>43889</v>
      </c>
      <c r="N15435" t="s">
        <v>46569</v>
      </c>
      <c r="O15435" t="s">
        <v>46570</v>
      </c>
      <c r="Q15435">
        <v>0</v>
      </c>
      <c r="R15435" t="s">
        <v>46628</v>
      </c>
      <c r="S15435" t="s">
        <v>47891</v>
      </c>
      <c r="T15435" t="s">
        <v>48385</v>
      </c>
      <c r="U15435" t="s">
        <v>61173</v>
      </c>
      <c r="W15435" t="s">
        <v>43889</v>
      </c>
      <c r="X15435" t="s">
        <v>46626</v>
      </c>
    </row>
    <row r="15436" spans="1:24">
      <c r="A15436">
        <f>HYPERLINK("https://www.philgeps.gov.ph/GEPSNONPILOT/Tender/SplashBidNoticeAbstractUI.aspx?menuIndex=3&amp;refID=6956252&amp;Result=3","6956252")</f>
        <v>0</v>
      </c>
      <c r="B15436" t="s">
        <v>1247</v>
      </c>
      <c r="C15436" t="s">
        <v>18226</v>
      </c>
      <c r="D15436" t="s">
        <v>18802</v>
      </c>
      <c r="E15436" t="s">
        <v>32166</v>
      </c>
      <c r="F15436" t="s">
        <v>32664</v>
      </c>
      <c r="G15436" t="s">
        <v>32672</v>
      </c>
      <c r="H15436" t="s">
        <v>32683</v>
      </c>
      <c r="I15436" t="s">
        <v>10627</v>
      </c>
      <c r="J15436" t="s">
        <v>34046</v>
      </c>
      <c r="K15436" t="s">
        <v>42529</v>
      </c>
      <c r="M15436" t="s">
        <v>43889</v>
      </c>
      <c r="N15436" t="s">
        <v>46569</v>
      </c>
      <c r="O15436" t="s">
        <v>46570</v>
      </c>
      <c r="Q15436">
        <v>0</v>
      </c>
      <c r="R15436" t="s">
        <v>46626</v>
      </c>
      <c r="S15436" t="s">
        <v>47892</v>
      </c>
      <c r="T15436" t="s">
        <v>48292</v>
      </c>
      <c r="U15436" t="s">
        <v>61174</v>
      </c>
      <c r="W15436" t="s">
        <v>43889</v>
      </c>
      <c r="X15436" t="s">
        <v>46627</v>
      </c>
    </row>
    <row r="15437" spans="1:24">
      <c r="A15437">
        <f>HYPERLINK("https://www.philgeps.gov.ph/GEPSNONPILOT/Tender/SplashBidNoticeAbstractUI.aspx?menuIndex=3&amp;refID=6957124&amp;Result=3","6957124")</f>
        <v>0</v>
      </c>
      <c r="B15437" t="s">
        <v>2739</v>
      </c>
      <c r="C15437" t="s">
        <v>18227</v>
      </c>
      <c r="E15437" t="s">
        <v>32167</v>
      </c>
      <c r="F15437" t="s">
        <v>32664</v>
      </c>
      <c r="G15437" t="s">
        <v>32672</v>
      </c>
      <c r="H15437" t="s">
        <v>12635</v>
      </c>
      <c r="I15437" t="s">
        <v>6628</v>
      </c>
      <c r="J15437" t="s">
        <v>35216</v>
      </c>
      <c r="K15437" t="s">
        <v>42283</v>
      </c>
      <c r="M15437" t="s">
        <v>45573</v>
      </c>
      <c r="N15437" t="s">
        <v>46569</v>
      </c>
      <c r="O15437" t="s">
        <v>46570</v>
      </c>
      <c r="Q15437">
        <v>16</v>
      </c>
      <c r="R15437" t="s">
        <v>46628</v>
      </c>
      <c r="S15437" t="s">
        <v>47893</v>
      </c>
      <c r="T15437" t="s">
        <v>48328</v>
      </c>
      <c r="U15437" t="s">
        <v>61175</v>
      </c>
      <c r="V15437" t="s">
        <v>63343</v>
      </c>
      <c r="W15437" t="s">
        <v>63573</v>
      </c>
      <c r="X15437" t="s">
        <v>46626</v>
      </c>
    </row>
    <row r="15438" spans="1:24">
      <c r="A15438">
        <f>HYPERLINK("https://www.philgeps.gov.ph/GEPSNONPILOT/Tender/SplashBidNoticeAbstractUI.aspx?menuIndex=3&amp;refID=6942251&amp;Result=3","6942251")</f>
        <v>0</v>
      </c>
      <c r="B15438" t="s">
        <v>288</v>
      </c>
      <c r="C15438" t="s">
        <v>18228</v>
      </c>
      <c r="D15438" t="s">
        <v>18803</v>
      </c>
      <c r="E15438" t="s">
        <v>32168</v>
      </c>
      <c r="F15438" t="s">
        <v>32664</v>
      </c>
      <c r="G15438" t="s">
        <v>32672</v>
      </c>
      <c r="H15438" t="s">
        <v>12635</v>
      </c>
      <c r="I15438" t="s">
        <v>14442</v>
      </c>
      <c r="J15438" t="s">
        <v>41941</v>
      </c>
      <c r="K15438" t="s">
        <v>42281</v>
      </c>
      <c r="M15438" t="s">
        <v>42855</v>
      </c>
      <c r="N15438" t="s">
        <v>46569</v>
      </c>
      <c r="O15438" t="s">
        <v>46570</v>
      </c>
      <c r="Q15438">
        <v>11</v>
      </c>
      <c r="R15438" t="s">
        <v>46631</v>
      </c>
      <c r="S15438" t="s">
        <v>47894</v>
      </c>
      <c r="T15438" t="s">
        <v>48223</v>
      </c>
      <c r="U15438" t="s">
        <v>61176</v>
      </c>
      <c r="W15438" t="s">
        <v>42855</v>
      </c>
      <c r="X15438" t="s">
        <v>46682</v>
      </c>
    </row>
    <row r="15439" spans="1:24">
      <c r="A15439">
        <f>HYPERLINK("https://www.philgeps.gov.ph/GEPSNONPILOT/Tender/SplashBidNoticeAbstractUI.aspx?menuIndex=3&amp;refID=6955412&amp;Result=3","6955412")</f>
        <v>0</v>
      </c>
      <c r="B15439" t="s">
        <v>1247</v>
      </c>
      <c r="C15439" t="s">
        <v>18229</v>
      </c>
      <c r="D15439" t="s">
        <v>18802</v>
      </c>
      <c r="E15439" t="s">
        <v>32169</v>
      </c>
      <c r="F15439" t="s">
        <v>32664</v>
      </c>
      <c r="G15439" t="s">
        <v>32672</v>
      </c>
      <c r="H15439" t="s">
        <v>32683</v>
      </c>
      <c r="I15439" t="s">
        <v>10627</v>
      </c>
      <c r="J15439" t="s">
        <v>41942</v>
      </c>
      <c r="K15439" t="s">
        <v>42499</v>
      </c>
      <c r="M15439" t="s">
        <v>43889</v>
      </c>
      <c r="N15439" t="s">
        <v>46569</v>
      </c>
      <c r="O15439" t="s">
        <v>46570</v>
      </c>
      <c r="Q15439">
        <v>1</v>
      </c>
      <c r="R15439" t="s">
        <v>46627</v>
      </c>
      <c r="S15439" t="s">
        <v>47895</v>
      </c>
      <c r="T15439" t="s">
        <v>48292</v>
      </c>
      <c r="U15439" t="s">
        <v>61177</v>
      </c>
      <c r="W15439" t="s">
        <v>43889</v>
      </c>
      <c r="X15439" t="s">
        <v>63623</v>
      </c>
    </row>
    <row r="15440" spans="1:24">
      <c r="A15440">
        <f>HYPERLINK("https://www.philgeps.gov.ph/GEPSNONPILOT/Tender/SplashBidNoticeAbstractUI.aspx?menuIndex=3&amp;refID=6940180&amp;Result=3","6940180")</f>
        <v>0</v>
      </c>
      <c r="B15440" t="s">
        <v>1798</v>
      </c>
      <c r="C15440" t="s">
        <v>18230</v>
      </c>
      <c r="D15440" t="s">
        <v>18858</v>
      </c>
      <c r="E15440" t="s">
        <v>32170</v>
      </c>
      <c r="F15440" t="s">
        <v>32664</v>
      </c>
      <c r="G15440" t="s">
        <v>32672</v>
      </c>
      <c r="H15440" t="s">
        <v>32683</v>
      </c>
      <c r="I15440" t="s">
        <v>10627</v>
      </c>
      <c r="J15440" t="s">
        <v>38737</v>
      </c>
      <c r="K15440" t="s">
        <v>42416</v>
      </c>
      <c r="M15440" t="s">
        <v>46499</v>
      </c>
      <c r="N15440" t="s">
        <v>46569</v>
      </c>
      <c r="O15440" t="s">
        <v>46570</v>
      </c>
      <c r="Q15440">
        <v>2</v>
      </c>
      <c r="R15440" t="s">
        <v>46631</v>
      </c>
      <c r="S15440" t="s">
        <v>47896</v>
      </c>
      <c r="T15440" t="s">
        <v>48282</v>
      </c>
      <c r="U15440" t="s">
        <v>61178</v>
      </c>
      <c r="V15440" t="s">
        <v>63344</v>
      </c>
      <c r="W15440" t="s">
        <v>46499</v>
      </c>
      <c r="X15440" t="s">
        <v>46682</v>
      </c>
    </row>
    <row r="15441" spans="1:24">
      <c r="A15441">
        <f>HYPERLINK("https://www.philgeps.gov.ph/GEPSNONPILOT/Tender/SplashBidNoticeAbstractUI.aspx?menuIndex=3&amp;refID=6955348&amp;Result=3","6955348")</f>
        <v>0</v>
      </c>
      <c r="B15441" t="s">
        <v>1247</v>
      </c>
      <c r="C15441" t="s">
        <v>18231</v>
      </c>
      <c r="D15441" t="s">
        <v>18802</v>
      </c>
      <c r="E15441" t="s">
        <v>32171</v>
      </c>
      <c r="F15441" t="s">
        <v>32664</v>
      </c>
      <c r="G15441" t="s">
        <v>32672</v>
      </c>
      <c r="H15441" t="s">
        <v>32683</v>
      </c>
      <c r="I15441" t="s">
        <v>10627</v>
      </c>
      <c r="J15441" t="s">
        <v>37270</v>
      </c>
      <c r="K15441" t="s">
        <v>42468</v>
      </c>
      <c r="M15441" t="s">
        <v>43889</v>
      </c>
      <c r="N15441" t="s">
        <v>46569</v>
      </c>
      <c r="O15441" t="s">
        <v>46570</v>
      </c>
      <c r="Q15441">
        <v>0</v>
      </c>
      <c r="R15441" t="s">
        <v>46627</v>
      </c>
      <c r="S15441" t="s">
        <v>47897</v>
      </c>
      <c r="T15441" t="s">
        <v>48218</v>
      </c>
      <c r="U15441" t="s">
        <v>61179</v>
      </c>
      <c r="W15441" t="s">
        <v>43889</v>
      </c>
      <c r="X15441" t="s">
        <v>63623</v>
      </c>
    </row>
    <row r="15442" spans="1:24">
      <c r="A15442">
        <f>HYPERLINK("https://www.philgeps.gov.ph/GEPSNONPILOT/Tender/SplashBidNoticeAbstractUI.aspx?menuIndex=3&amp;refID=6941959&amp;Result=3","6941959")</f>
        <v>0</v>
      </c>
      <c r="B15442" t="s">
        <v>2947</v>
      </c>
      <c r="C15442" t="s">
        <v>18232</v>
      </c>
      <c r="D15442" t="s">
        <v>18784</v>
      </c>
      <c r="E15442" t="s">
        <v>32172</v>
      </c>
      <c r="F15442" t="s">
        <v>32664</v>
      </c>
      <c r="G15442" t="s">
        <v>32675</v>
      </c>
      <c r="H15442" t="s">
        <v>12635</v>
      </c>
      <c r="I15442" t="s">
        <v>8958</v>
      </c>
      <c r="J15442" t="s">
        <v>33398</v>
      </c>
      <c r="K15442" t="s">
        <v>42289</v>
      </c>
      <c r="M15442" t="s">
        <v>46500</v>
      </c>
      <c r="N15442" t="s">
        <v>46569</v>
      </c>
      <c r="O15442" t="s">
        <v>46570</v>
      </c>
      <c r="Q15442">
        <v>5</v>
      </c>
      <c r="R15442" t="s">
        <v>46631</v>
      </c>
      <c r="S15442" t="s">
        <v>46713</v>
      </c>
      <c r="T15442" t="s">
        <v>48256</v>
      </c>
      <c r="U15442" t="s">
        <v>61180</v>
      </c>
      <c r="W15442" t="s">
        <v>46500</v>
      </c>
      <c r="X15442" t="s">
        <v>46682</v>
      </c>
    </row>
    <row r="15443" spans="1:24">
      <c r="A15443">
        <f>HYPERLINK("https://www.philgeps.gov.ph/GEPSNONPILOT/Tender/SplashBidNoticeAbstractUI.aspx?menuIndex=3&amp;refID=6941761&amp;Result=3","6941761")</f>
        <v>0</v>
      </c>
      <c r="B15443" t="s">
        <v>2947</v>
      </c>
      <c r="C15443" t="s">
        <v>18233</v>
      </c>
      <c r="D15443" t="s">
        <v>18799</v>
      </c>
      <c r="E15443" t="s">
        <v>32173</v>
      </c>
      <c r="F15443" t="s">
        <v>32664</v>
      </c>
      <c r="G15443" t="s">
        <v>32675</v>
      </c>
      <c r="H15443" t="s">
        <v>12635</v>
      </c>
      <c r="I15443" t="s">
        <v>6628</v>
      </c>
      <c r="J15443" t="s">
        <v>41943</v>
      </c>
      <c r="K15443" t="s">
        <v>42283</v>
      </c>
      <c r="M15443" t="s">
        <v>46501</v>
      </c>
      <c r="N15443" t="s">
        <v>46569</v>
      </c>
      <c r="O15443" t="s">
        <v>46570</v>
      </c>
      <c r="Q15443">
        <v>5</v>
      </c>
      <c r="R15443" t="s">
        <v>46631</v>
      </c>
      <c r="S15443" t="s">
        <v>47898</v>
      </c>
      <c r="T15443" t="s">
        <v>48249</v>
      </c>
      <c r="U15443" t="s">
        <v>61181</v>
      </c>
      <c r="W15443" t="s">
        <v>46501</v>
      </c>
      <c r="X15443" t="s">
        <v>46682</v>
      </c>
    </row>
    <row r="15444" spans="1:24">
      <c r="A15444">
        <f>HYPERLINK("https://www.philgeps.gov.ph/GEPSNONPILOT/Tender/SplashBidNoticeAbstractUI.aspx?menuIndex=3&amp;refID=6944365&amp;Result=3","6944365")</f>
        <v>0</v>
      </c>
      <c r="B15444" t="s">
        <v>851</v>
      </c>
      <c r="C15444" t="s">
        <v>18234</v>
      </c>
      <c r="D15444" t="s">
        <v>18829</v>
      </c>
      <c r="E15444" t="s">
        <v>32174</v>
      </c>
      <c r="F15444" t="s">
        <v>32664</v>
      </c>
      <c r="G15444" t="s">
        <v>32672</v>
      </c>
      <c r="H15444" t="s">
        <v>32683</v>
      </c>
      <c r="I15444" t="s">
        <v>10627</v>
      </c>
      <c r="J15444" t="s">
        <v>41944</v>
      </c>
      <c r="K15444" t="s">
        <v>42403</v>
      </c>
      <c r="M15444" t="s">
        <v>46453</v>
      </c>
      <c r="N15444" t="s">
        <v>46569</v>
      </c>
      <c r="O15444" t="s">
        <v>46570</v>
      </c>
      <c r="Q15444">
        <v>4</v>
      </c>
      <c r="R15444" t="s">
        <v>46632</v>
      </c>
      <c r="S15444" t="s">
        <v>47899</v>
      </c>
      <c r="T15444" t="s">
        <v>48283</v>
      </c>
      <c r="U15444" t="s">
        <v>57572</v>
      </c>
      <c r="V15444" t="s">
        <v>63345</v>
      </c>
      <c r="W15444" t="s">
        <v>46453</v>
      </c>
      <c r="X15444" t="s">
        <v>46631</v>
      </c>
    </row>
    <row r="15445" spans="1:24">
      <c r="A15445">
        <f>HYPERLINK("https://www.philgeps.gov.ph/GEPSNONPILOT/Tender/SplashBidNoticeAbstractUI.aspx?menuIndex=3&amp;refID=6944156&amp;Result=3","6944156")</f>
        <v>0</v>
      </c>
      <c r="B15445" t="s">
        <v>747</v>
      </c>
      <c r="C15445" t="s">
        <v>18235</v>
      </c>
      <c r="D15445" t="s">
        <v>18806</v>
      </c>
      <c r="E15445" t="s">
        <v>32175</v>
      </c>
      <c r="F15445" t="s">
        <v>32664</v>
      </c>
      <c r="G15445" t="s">
        <v>32672</v>
      </c>
      <c r="H15445" t="s">
        <v>12635</v>
      </c>
      <c r="I15445" t="s">
        <v>9486</v>
      </c>
      <c r="J15445" t="s">
        <v>41945</v>
      </c>
      <c r="K15445" t="s">
        <v>42281</v>
      </c>
      <c r="M15445" t="s">
        <v>43337</v>
      </c>
      <c r="N15445" t="s">
        <v>46569</v>
      </c>
      <c r="O15445" t="s">
        <v>46570</v>
      </c>
      <c r="Q15445">
        <v>9</v>
      </c>
      <c r="R15445" t="s">
        <v>46632</v>
      </c>
      <c r="S15445" t="s">
        <v>47900</v>
      </c>
      <c r="T15445" t="s">
        <v>48228</v>
      </c>
      <c r="U15445" t="s">
        <v>61182</v>
      </c>
      <c r="V15445" t="s">
        <v>63346</v>
      </c>
      <c r="W15445" t="s">
        <v>43337</v>
      </c>
      <c r="X15445" t="s">
        <v>46631</v>
      </c>
    </row>
    <row r="15446" spans="1:24">
      <c r="A15446">
        <f>HYPERLINK("https://www.philgeps.gov.ph/GEPSNONPILOT/Tender/SplashBidNoticeAbstractUI.aspx?menuIndex=3&amp;refID=6941638&amp;Result=3","6941638")</f>
        <v>0</v>
      </c>
      <c r="B15446" t="s">
        <v>660</v>
      </c>
      <c r="C15446" t="s">
        <v>18236</v>
      </c>
      <c r="D15446" t="s">
        <v>18855</v>
      </c>
      <c r="E15446" t="s">
        <v>32176</v>
      </c>
      <c r="F15446" t="s">
        <v>32664</v>
      </c>
      <c r="G15446" t="s">
        <v>32672</v>
      </c>
      <c r="H15446" t="s">
        <v>12635</v>
      </c>
      <c r="I15446" t="s">
        <v>11464</v>
      </c>
      <c r="J15446" t="s">
        <v>32981</v>
      </c>
      <c r="K15446" t="s">
        <v>42283</v>
      </c>
      <c r="M15446" t="s">
        <v>43247</v>
      </c>
      <c r="N15446" t="s">
        <v>46569</v>
      </c>
      <c r="O15446" t="s">
        <v>46570</v>
      </c>
      <c r="Q15446">
        <v>5</v>
      </c>
      <c r="R15446" t="s">
        <v>46631</v>
      </c>
      <c r="S15446" t="s">
        <v>47901</v>
      </c>
      <c r="T15446" t="s">
        <v>48303</v>
      </c>
      <c r="U15446" t="s">
        <v>58484</v>
      </c>
      <c r="W15446" t="s">
        <v>43247</v>
      </c>
      <c r="X15446" t="s">
        <v>46682</v>
      </c>
    </row>
    <row r="15447" spans="1:24">
      <c r="A15447">
        <f>HYPERLINK("https://www.philgeps.gov.ph/GEPSNONPILOT/Tender/SplashBidNoticeAbstractUI.aspx?menuIndex=3&amp;refID=6944113&amp;Result=3","6944113")</f>
        <v>0</v>
      </c>
      <c r="B15447" t="s">
        <v>747</v>
      </c>
      <c r="C15447" t="s">
        <v>18237</v>
      </c>
      <c r="D15447" t="s">
        <v>18806</v>
      </c>
      <c r="E15447" t="s">
        <v>32177</v>
      </c>
      <c r="F15447" t="s">
        <v>32664</v>
      </c>
      <c r="G15447" t="s">
        <v>32672</v>
      </c>
      <c r="H15447" t="s">
        <v>12635</v>
      </c>
      <c r="I15447" t="s">
        <v>8797</v>
      </c>
      <c r="J15447" t="s">
        <v>41946</v>
      </c>
      <c r="K15447" t="s">
        <v>42289</v>
      </c>
      <c r="M15447" t="s">
        <v>43337</v>
      </c>
      <c r="N15447" t="s">
        <v>46569</v>
      </c>
      <c r="O15447" t="s">
        <v>46570</v>
      </c>
      <c r="Q15447">
        <v>6</v>
      </c>
      <c r="R15447" t="s">
        <v>46632</v>
      </c>
      <c r="S15447" t="s">
        <v>47902</v>
      </c>
      <c r="T15447" t="s">
        <v>48228</v>
      </c>
      <c r="U15447" t="s">
        <v>61183</v>
      </c>
      <c r="V15447" t="s">
        <v>63347</v>
      </c>
      <c r="W15447" t="s">
        <v>43337</v>
      </c>
      <c r="X15447" t="s">
        <v>46631</v>
      </c>
    </row>
    <row r="15448" spans="1:24">
      <c r="A15448">
        <f>HYPERLINK("https://www.philgeps.gov.ph/GEPSNONPILOT/Tender/SplashBidNoticeAbstractUI.aspx?menuIndex=3&amp;refID=6957098&amp;Result=3","6957098")</f>
        <v>0</v>
      </c>
      <c r="B15448" t="s">
        <v>2739</v>
      </c>
      <c r="C15448" t="s">
        <v>18238</v>
      </c>
      <c r="E15448" t="s">
        <v>32178</v>
      </c>
      <c r="F15448" t="s">
        <v>32664</v>
      </c>
      <c r="G15448" t="s">
        <v>32672</v>
      </c>
      <c r="H15448" t="s">
        <v>12635</v>
      </c>
      <c r="I15448" t="s">
        <v>5589</v>
      </c>
      <c r="J15448" t="s">
        <v>37953</v>
      </c>
      <c r="K15448" t="s">
        <v>42283</v>
      </c>
      <c r="M15448" t="s">
        <v>46474</v>
      </c>
      <c r="N15448" t="s">
        <v>46569</v>
      </c>
      <c r="O15448" t="s">
        <v>46570</v>
      </c>
      <c r="Q15448">
        <v>10</v>
      </c>
      <c r="R15448" t="s">
        <v>46628</v>
      </c>
      <c r="S15448" t="s">
        <v>47903</v>
      </c>
      <c r="T15448" t="s">
        <v>48366</v>
      </c>
      <c r="U15448" t="s">
        <v>61184</v>
      </c>
      <c r="W15448" t="s">
        <v>63573</v>
      </c>
      <c r="X15448" t="s">
        <v>46626</v>
      </c>
    </row>
    <row r="15449" spans="1:24">
      <c r="A15449">
        <f>HYPERLINK("https://www.philgeps.gov.ph/GEPSNONPILOT/Tender/SplashBidNoticeAbstractUI.aspx?menuIndex=3&amp;refID=6933139&amp;Result=3","6933139")</f>
        <v>0</v>
      </c>
      <c r="B15449" t="s">
        <v>387</v>
      </c>
      <c r="C15449" t="s">
        <v>18239</v>
      </c>
      <c r="D15449" t="s">
        <v>18798</v>
      </c>
      <c r="E15449" t="s">
        <v>32179</v>
      </c>
      <c r="F15449" t="s">
        <v>32664</v>
      </c>
      <c r="G15449" t="s">
        <v>32672</v>
      </c>
      <c r="H15449" t="s">
        <v>12635</v>
      </c>
      <c r="I15449" t="s">
        <v>32785</v>
      </c>
      <c r="J15449" t="s">
        <v>41947</v>
      </c>
      <c r="K15449" t="s">
        <v>42283</v>
      </c>
      <c r="M15449" t="s">
        <v>45671</v>
      </c>
      <c r="N15449" t="s">
        <v>46569</v>
      </c>
      <c r="O15449" t="s">
        <v>46570</v>
      </c>
      <c r="Q15449">
        <v>8</v>
      </c>
      <c r="R15449" t="s">
        <v>46633</v>
      </c>
      <c r="S15449" t="s">
        <v>47904</v>
      </c>
      <c r="T15449" t="s">
        <v>48452</v>
      </c>
      <c r="U15449" t="s">
        <v>61185</v>
      </c>
      <c r="V15449" t="s">
        <v>62705</v>
      </c>
      <c r="W15449" t="s">
        <v>45671</v>
      </c>
      <c r="X15449" t="s">
        <v>46635</v>
      </c>
    </row>
    <row r="15450" spans="1:24">
      <c r="A15450">
        <f>HYPERLINK("https://www.philgeps.gov.ph/GEPSNONPILOT/Tender/SplashBidNoticeAbstractUI.aspx?menuIndex=3&amp;refID=6944133&amp;Result=3","6944133")</f>
        <v>0</v>
      </c>
      <c r="B15450" t="s">
        <v>747</v>
      </c>
      <c r="C15450" t="s">
        <v>18240</v>
      </c>
      <c r="D15450" t="s">
        <v>18806</v>
      </c>
      <c r="E15450" t="s">
        <v>32180</v>
      </c>
      <c r="F15450" t="s">
        <v>32664</v>
      </c>
      <c r="G15450" t="s">
        <v>32672</v>
      </c>
      <c r="H15450" t="s">
        <v>12635</v>
      </c>
      <c r="I15450" t="s">
        <v>9486</v>
      </c>
      <c r="J15450" t="s">
        <v>41948</v>
      </c>
      <c r="K15450" t="s">
        <v>42281</v>
      </c>
      <c r="M15450" t="s">
        <v>43337</v>
      </c>
      <c r="N15450" t="s">
        <v>46569</v>
      </c>
      <c r="O15450" t="s">
        <v>46570</v>
      </c>
      <c r="Q15450">
        <v>12</v>
      </c>
      <c r="R15450" t="s">
        <v>46632</v>
      </c>
      <c r="S15450" t="s">
        <v>47905</v>
      </c>
      <c r="T15450" t="s">
        <v>48228</v>
      </c>
      <c r="U15450" t="s">
        <v>61186</v>
      </c>
      <c r="V15450" t="s">
        <v>63348</v>
      </c>
      <c r="W15450" t="s">
        <v>43337</v>
      </c>
      <c r="X15450" t="s">
        <v>46631</v>
      </c>
    </row>
    <row r="15451" spans="1:24">
      <c r="A15451">
        <f>HYPERLINK("https://www.philgeps.gov.ph/GEPSNONPILOT/Tender/SplashBidNoticeAbstractUI.aspx?menuIndex=3&amp;refID=6944175&amp;Result=3","6944175")</f>
        <v>0</v>
      </c>
      <c r="B15451" t="s">
        <v>747</v>
      </c>
      <c r="C15451" t="s">
        <v>18241</v>
      </c>
      <c r="D15451" t="s">
        <v>18806</v>
      </c>
      <c r="E15451" t="s">
        <v>32181</v>
      </c>
      <c r="F15451" t="s">
        <v>32664</v>
      </c>
      <c r="G15451" t="s">
        <v>32672</v>
      </c>
      <c r="H15451" t="s">
        <v>12635</v>
      </c>
      <c r="I15451" t="s">
        <v>32712</v>
      </c>
      <c r="J15451" t="s">
        <v>35518</v>
      </c>
      <c r="K15451" t="s">
        <v>42298</v>
      </c>
      <c r="M15451" t="s">
        <v>43337</v>
      </c>
      <c r="N15451" t="s">
        <v>46569</v>
      </c>
      <c r="O15451" t="s">
        <v>46570</v>
      </c>
      <c r="Q15451">
        <v>36</v>
      </c>
      <c r="R15451" t="s">
        <v>46632</v>
      </c>
      <c r="S15451" t="s">
        <v>47906</v>
      </c>
      <c r="T15451" t="s">
        <v>48228</v>
      </c>
      <c r="U15451" t="s">
        <v>61187</v>
      </c>
      <c r="V15451" t="s">
        <v>63349</v>
      </c>
      <c r="W15451" t="s">
        <v>43337</v>
      </c>
      <c r="X15451" t="s">
        <v>46631</v>
      </c>
    </row>
    <row r="15452" spans="1:24">
      <c r="A15452">
        <f>HYPERLINK("https://www.philgeps.gov.ph/GEPSNONPILOT/Tender/SplashBidNoticeAbstractUI.aspx?menuIndex=3&amp;refID=6917834&amp;Result=3","6917834")</f>
        <v>0</v>
      </c>
      <c r="B15452" t="s">
        <v>460</v>
      </c>
      <c r="C15452" t="s">
        <v>18242</v>
      </c>
      <c r="D15452" t="s">
        <v>18806</v>
      </c>
      <c r="E15452" t="s">
        <v>32182</v>
      </c>
      <c r="F15452" t="s">
        <v>32664</v>
      </c>
      <c r="G15452" t="s">
        <v>32672</v>
      </c>
      <c r="H15452" t="s">
        <v>12635</v>
      </c>
      <c r="I15452" t="s">
        <v>32740</v>
      </c>
      <c r="J15452" t="s">
        <v>35876</v>
      </c>
      <c r="K15452" t="s">
        <v>42453</v>
      </c>
      <c r="M15452" t="s">
        <v>43033</v>
      </c>
      <c r="N15452" t="s">
        <v>46569</v>
      </c>
      <c r="O15452" t="s">
        <v>46570</v>
      </c>
      <c r="Q15452">
        <v>3</v>
      </c>
      <c r="R15452" t="s">
        <v>46633</v>
      </c>
      <c r="S15452" t="s">
        <v>47907</v>
      </c>
      <c r="T15452" t="s">
        <v>48404</v>
      </c>
      <c r="U15452" t="s">
        <v>61188</v>
      </c>
      <c r="V15452" t="s">
        <v>61668</v>
      </c>
      <c r="W15452" t="s">
        <v>43033</v>
      </c>
      <c r="X15452" t="s">
        <v>46641</v>
      </c>
    </row>
    <row r="15453" spans="1:24">
      <c r="A15453">
        <f>HYPERLINK("https://www.philgeps.gov.ph/GEPSNONPILOT/Tender/SplashBidNoticeAbstractUI.aspx?menuIndex=3&amp;refID=6938859&amp;Result=3","6938859")</f>
        <v>0</v>
      </c>
      <c r="B15453" t="s">
        <v>1247</v>
      </c>
      <c r="C15453" t="s">
        <v>18243</v>
      </c>
      <c r="D15453" t="s">
        <v>18802</v>
      </c>
      <c r="E15453" t="s">
        <v>32183</v>
      </c>
      <c r="F15453" t="s">
        <v>32664</v>
      </c>
      <c r="G15453" t="s">
        <v>32672</v>
      </c>
      <c r="H15453" t="s">
        <v>32683</v>
      </c>
      <c r="I15453" t="s">
        <v>10627</v>
      </c>
      <c r="J15453" t="s">
        <v>38920</v>
      </c>
      <c r="K15453" t="s">
        <v>42311</v>
      </c>
      <c r="M15453" t="s">
        <v>43889</v>
      </c>
      <c r="N15453" t="s">
        <v>46569</v>
      </c>
      <c r="O15453" t="s">
        <v>46570</v>
      </c>
      <c r="Q15453">
        <v>0</v>
      </c>
      <c r="R15453" t="s">
        <v>46634</v>
      </c>
      <c r="S15453" t="s">
        <v>47384</v>
      </c>
      <c r="T15453" t="s">
        <v>48218</v>
      </c>
      <c r="U15453" t="s">
        <v>61189</v>
      </c>
      <c r="W15453" t="s">
        <v>43889</v>
      </c>
      <c r="X15453" t="s">
        <v>46633</v>
      </c>
    </row>
    <row r="15454" spans="1:24">
      <c r="A15454">
        <f>HYPERLINK("https://www.philgeps.gov.ph/GEPSNONPILOT/Tender/SplashBidNoticeAbstractUI.aspx?menuIndex=3&amp;refID=6929936&amp;Result=3","6929936")</f>
        <v>0</v>
      </c>
      <c r="B15454" t="s">
        <v>2739</v>
      </c>
      <c r="C15454" t="s">
        <v>18244</v>
      </c>
      <c r="E15454" t="s">
        <v>32184</v>
      </c>
      <c r="F15454" t="s">
        <v>32664</v>
      </c>
      <c r="G15454" t="s">
        <v>32672</v>
      </c>
      <c r="H15454" t="s">
        <v>12635</v>
      </c>
      <c r="I15454" t="s">
        <v>32701</v>
      </c>
      <c r="J15454" t="s">
        <v>41949</v>
      </c>
      <c r="K15454" t="s">
        <v>42283</v>
      </c>
      <c r="M15454" t="s">
        <v>45573</v>
      </c>
      <c r="N15454" t="s">
        <v>46569</v>
      </c>
      <c r="O15454" t="s">
        <v>46570</v>
      </c>
      <c r="Q15454">
        <v>5</v>
      </c>
      <c r="R15454" t="s">
        <v>46633</v>
      </c>
      <c r="S15454" t="s">
        <v>47908</v>
      </c>
      <c r="T15454" t="s">
        <v>48328</v>
      </c>
      <c r="U15454" t="s">
        <v>61190</v>
      </c>
      <c r="V15454" t="s">
        <v>63350</v>
      </c>
      <c r="W15454" t="s">
        <v>63600</v>
      </c>
      <c r="X15454" t="s">
        <v>46636</v>
      </c>
    </row>
    <row r="15455" spans="1:24">
      <c r="A15455">
        <f>HYPERLINK("https://www.philgeps.gov.ph/GEPSNONPILOT/Tender/SplashBidNoticeAbstractUI.aspx?menuIndex=3&amp;refID=6944421&amp;Result=3","6944421")</f>
        <v>0</v>
      </c>
      <c r="B15455" t="s">
        <v>851</v>
      </c>
      <c r="C15455" t="s">
        <v>18245</v>
      </c>
      <c r="D15455" t="s">
        <v>18829</v>
      </c>
      <c r="E15455" t="s">
        <v>32185</v>
      </c>
      <c r="F15455" t="s">
        <v>32664</v>
      </c>
      <c r="G15455" t="s">
        <v>32672</v>
      </c>
      <c r="H15455" t="s">
        <v>32683</v>
      </c>
      <c r="I15455" t="s">
        <v>10627</v>
      </c>
      <c r="J15455" t="s">
        <v>41950</v>
      </c>
      <c r="K15455" t="s">
        <v>42483</v>
      </c>
      <c r="M15455" t="s">
        <v>46453</v>
      </c>
      <c r="N15455" t="s">
        <v>46569</v>
      </c>
      <c r="O15455" t="s">
        <v>46570</v>
      </c>
      <c r="Q15455">
        <v>4</v>
      </c>
      <c r="R15455" t="s">
        <v>46632</v>
      </c>
      <c r="S15455" t="s">
        <v>47909</v>
      </c>
      <c r="T15455" t="s">
        <v>48283</v>
      </c>
      <c r="U15455" t="s">
        <v>57572</v>
      </c>
      <c r="V15455" t="s">
        <v>63351</v>
      </c>
      <c r="W15455" t="s">
        <v>46453</v>
      </c>
      <c r="X15455" t="s">
        <v>46631</v>
      </c>
    </row>
    <row r="15456" spans="1:24">
      <c r="A15456">
        <f>HYPERLINK("https://www.philgeps.gov.ph/GEPSNONPILOT/Tender/SplashBidNoticeAbstractUI.aspx?menuIndex=3&amp;refID=6934373&amp;Result=3","6934373")</f>
        <v>0</v>
      </c>
      <c r="B15456" t="s">
        <v>1247</v>
      </c>
      <c r="C15456" t="s">
        <v>18246</v>
      </c>
      <c r="D15456" t="s">
        <v>18802</v>
      </c>
      <c r="E15456" t="s">
        <v>32186</v>
      </c>
      <c r="F15456" t="s">
        <v>32664</v>
      </c>
      <c r="G15456" t="s">
        <v>32672</v>
      </c>
      <c r="H15456" t="s">
        <v>32683</v>
      </c>
      <c r="I15456" t="s">
        <v>10627</v>
      </c>
      <c r="J15456" t="s">
        <v>34131</v>
      </c>
      <c r="K15456" t="s">
        <v>42487</v>
      </c>
      <c r="M15456" t="s">
        <v>43889</v>
      </c>
      <c r="N15456" t="s">
        <v>46569</v>
      </c>
      <c r="O15456" t="s">
        <v>46570</v>
      </c>
      <c r="Q15456">
        <v>0</v>
      </c>
      <c r="R15456" t="s">
        <v>46633</v>
      </c>
      <c r="S15456" t="s">
        <v>47910</v>
      </c>
      <c r="T15456" t="s">
        <v>48363</v>
      </c>
      <c r="U15456" t="s">
        <v>61191</v>
      </c>
      <c r="W15456" t="s">
        <v>43889</v>
      </c>
      <c r="X15456" t="s">
        <v>46635</v>
      </c>
    </row>
    <row r="15457" spans="1:24">
      <c r="A15457">
        <f>HYPERLINK("https://www.philgeps.gov.ph/GEPSNONPILOT/Tender/SplashBidNoticeAbstractUI.aspx?menuIndex=3&amp;refID=6937223&amp;Result=3","6937223")</f>
        <v>0</v>
      </c>
      <c r="B15457" t="s">
        <v>1247</v>
      </c>
      <c r="C15457" t="s">
        <v>18247</v>
      </c>
      <c r="D15457" t="s">
        <v>18802</v>
      </c>
      <c r="E15457" t="s">
        <v>32187</v>
      </c>
      <c r="F15457" t="s">
        <v>32664</v>
      </c>
      <c r="G15457" t="s">
        <v>32672</v>
      </c>
      <c r="H15457" t="s">
        <v>32683</v>
      </c>
      <c r="I15457" t="s">
        <v>10627</v>
      </c>
      <c r="J15457" t="s">
        <v>38920</v>
      </c>
      <c r="K15457" t="s">
        <v>42311</v>
      </c>
      <c r="M15457" t="s">
        <v>43889</v>
      </c>
      <c r="N15457" t="s">
        <v>46569</v>
      </c>
      <c r="O15457" t="s">
        <v>46570</v>
      </c>
      <c r="Q15457">
        <v>1</v>
      </c>
      <c r="R15457" t="s">
        <v>46634</v>
      </c>
      <c r="S15457" t="s">
        <v>47911</v>
      </c>
      <c r="T15457" t="s">
        <v>48218</v>
      </c>
      <c r="U15457" t="s">
        <v>61192</v>
      </c>
      <c r="W15457" t="s">
        <v>43889</v>
      </c>
      <c r="X15457" t="s">
        <v>46633</v>
      </c>
    </row>
    <row r="15458" spans="1:24">
      <c r="A15458">
        <f>HYPERLINK("https://www.philgeps.gov.ph/GEPSNONPILOT/Tender/SplashBidNoticeAbstractUI.aspx?menuIndex=3&amp;refID=6924512&amp;Result=3","6924512")</f>
        <v>0</v>
      </c>
      <c r="B15458" t="s">
        <v>460</v>
      </c>
      <c r="C15458" t="s">
        <v>18248</v>
      </c>
      <c r="D15458" t="s">
        <v>18806</v>
      </c>
      <c r="E15458" t="s">
        <v>32188</v>
      </c>
      <c r="F15458" t="s">
        <v>32664</v>
      </c>
      <c r="G15458" t="s">
        <v>32672</v>
      </c>
      <c r="H15458" t="s">
        <v>32683</v>
      </c>
      <c r="I15458" t="s">
        <v>10627</v>
      </c>
      <c r="J15458" t="s">
        <v>41951</v>
      </c>
      <c r="K15458" t="s">
        <v>42576</v>
      </c>
      <c r="M15458" t="s">
        <v>45683</v>
      </c>
      <c r="N15458" t="s">
        <v>46569</v>
      </c>
      <c r="O15458" t="s">
        <v>46570</v>
      </c>
      <c r="Q15458">
        <v>13</v>
      </c>
      <c r="R15458" t="s">
        <v>46633</v>
      </c>
      <c r="S15458" t="s">
        <v>47912</v>
      </c>
      <c r="T15458" t="s">
        <v>48244</v>
      </c>
      <c r="U15458" t="s">
        <v>57088</v>
      </c>
      <c r="V15458" t="s">
        <v>61668</v>
      </c>
      <c r="W15458" t="s">
        <v>45683</v>
      </c>
      <c r="X15458" t="s">
        <v>46638</v>
      </c>
    </row>
    <row r="15459" spans="1:24">
      <c r="A15459">
        <f>HYPERLINK("https://www.philgeps.gov.ph/GEPSNONPILOT/Tender/SplashBidNoticeAbstractUI.aspx?menuIndex=3&amp;refID=6938004&amp;Result=3","6938004")</f>
        <v>0</v>
      </c>
      <c r="B15459" t="s">
        <v>231</v>
      </c>
      <c r="C15459" t="s">
        <v>18249</v>
      </c>
      <c r="D15459" t="s">
        <v>18845</v>
      </c>
      <c r="E15459" t="s">
        <v>32189</v>
      </c>
      <c r="F15459" t="s">
        <v>32664</v>
      </c>
      <c r="G15459" t="s">
        <v>32671</v>
      </c>
      <c r="H15459" t="s">
        <v>12635</v>
      </c>
      <c r="I15459" t="s">
        <v>13883</v>
      </c>
      <c r="J15459" t="s">
        <v>32898</v>
      </c>
      <c r="K15459" t="s">
        <v>42303</v>
      </c>
      <c r="M15459" t="s">
        <v>42795</v>
      </c>
      <c r="N15459" t="s">
        <v>46569</v>
      </c>
      <c r="O15459" t="s">
        <v>46570</v>
      </c>
      <c r="Q15459">
        <v>1</v>
      </c>
      <c r="R15459" t="s">
        <v>46634</v>
      </c>
      <c r="S15459" t="s">
        <v>47021</v>
      </c>
      <c r="T15459" t="s">
        <v>48287</v>
      </c>
      <c r="U15459" t="s">
        <v>61193</v>
      </c>
      <c r="W15459" t="s">
        <v>42795</v>
      </c>
      <c r="X15459" t="s">
        <v>46633</v>
      </c>
    </row>
    <row r="15460" spans="1:24">
      <c r="A15460">
        <f>HYPERLINK("https://www.philgeps.gov.ph/GEPSNONPILOT/Tender/SplashBidNoticeAbstractUI.aspx?menuIndex=3&amp;refID=6930378&amp;Result=3","6930378")</f>
        <v>0</v>
      </c>
      <c r="B15460" t="s">
        <v>1247</v>
      </c>
      <c r="C15460" t="s">
        <v>18250</v>
      </c>
      <c r="D15460" t="s">
        <v>18802</v>
      </c>
      <c r="E15460" t="s">
        <v>32190</v>
      </c>
      <c r="F15460" t="s">
        <v>32664</v>
      </c>
      <c r="G15460" t="s">
        <v>32672</v>
      </c>
      <c r="H15460" t="s">
        <v>32683</v>
      </c>
      <c r="I15460" t="s">
        <v>10627</v>
      </c>
      <c r="J15460" t="s">
        <v>38599</v>
      </c>
      <c r="K15460" t="s">
        <v>42478</v>
      </c>
      <c r="M15460" t="s">
        <v>43889</v>
      </c>
      <c r="N15460" t="s">
        <v>46569</v>
      </c>
      <c r="O15460" t="s">
        <v>46570</v>
      </c>
      <c r="Q15460">
        <v>0</v>
      </c>
      <c r="R15460" t="s">
        <v>46635</v>
      </c>
      <c r="S15460" t="s">
        <v>47913</v>
      </c>
      <c r="T15460" t="s">
        <v>48389</v>
      </c>
      <c r="U15460" t="s">
        <v>61194</v>
      </c>
      <c r="W15460" t="s">
        <v>43889</v>
      </c>
      <c r="X15460" t="s">
        <v>46636</v>
      </c>
    </row>
    <row r="15461" spans="1:24">
      <c r="A15461">
        <f>HYPERLINK("https://www.philgeps.gov.ph/GEPSNONPILOT/Tender/SplashBidNoticeAbstractUI.aspx?menuIndex=3&amp;refID=6929229&amp;Result=3","6929229")</f>
        <v>0</v>
      </c>
      <c r="B15461" t="s">
        <v>1368</v>
      </c>
      <c r="C15461" t="s">
        <v>18251</v>
      </c>
      <c r="D15461" t="s">
        <v>18784</v>
      </c>
      <c r="E15461" t="s">
        <v>32191</v>
      </c>
      <c r="F15461" t="s">
        <v>32664</v>
      </c>
      <c r="G15461" t="s">
        <v>32672</v>
      </c>
      <c r="H15461" t="s">
        <v>12635</v>
      </c>
      <c r="I15461" t="s">
        <v>32705</v>
      </c>
      <c r="J15461" t="s">
        <v>41952</v>
      </c>
      <c r="K15461" t="s">
        <v>42283</v>
      </c>
      <c r="M15461" t="s">
        <v>44023</v>
      </c>
      <c r="N15461" t="s">
        <v>46569</v>
      </c>
      <c r="O15461" t="s">
        <v>46570</v>
      </c>
      <c r="Q15461">
        <v>9</v>
      </c>
      <c r="R15461" t="s">
        <v>46635</v>
      </c>
      <c r="S15461" t="s">
        <v>47015</v>
      </c>
      <c r="T15461" t="s">
        <v>48334</v>
      </c>
      <c r="U15461" t="s">
        <v>61195</v>
      </c>
      <c r="V15461" t="s">
        <v>63352</v>
      </c>
      <c r="W15461" t="s">
        <v>44023</v>
      </c>
      <c r="X15461" t="s">
        <v>46636</v>
      </c>
    </row>
    <row r="15462" spans="1:24">
      <c r="A15462">
        <f>HYPERLINK("https://www.philgeps.gov.ph/GEPSNONPILOT/Tender/SplashBidNoticeAbstractUI.aspx?menuIndex=3&amp;refID=6935854&amp;Result=3","6935854")</f>
        <v>0</v>
      </c>
      <c r="B15462" t="s">
        <v>2230</v>
      </c>
      <c r="C15462" t="s">
        <v>18252</v>
      </c>
      <c r="D15462" t="s">
        <v>18818</v>
      </c>
      <c r="E15462" t="s">
        <v>32192</v>
      </c>
      <c r="F15462" t="s">
        <v>32664</v>
      </c>
      <c r="G15462" t="s">
        <v>32672</v>
      </c>
      <c r="H15462" t="s">
        <v>32681</v>
      </c>
      <c r="I15462" t="s">
        <v>32681</v>
      </c>
      <c r="J15462" t="s">
        <v>33009</v>
      </c>
      <c r="K15462" t="s">
        <v>42290</v>
      </c>
      <c r="M15462" t="s">
        <v>44994</v>
      </c>
      <c r="N15462" t="s">
        <v>46569</v>
      </c>
      <c r="O15462" t="s">
        <v>46570</v>
      </c>
      <c r="Q15462">
        <v>10</v>
      </c>
      <c r="R15462" t="s">
        <v>46634</v>
      </c>
      <c r="S15462" t="s">
        <v>47914</v>
      </c>
      <c r="T15462" t="s">
        <v>48758</v>
      </c>
      <c r="U15462" t="s">
        <v>61196</v>
      </c>
      <c r="V15462" t="s">
        <v>62609</v>
      </c>
      <c r="W15462" t="s">
        <v>44994</v>
      </c>
      <c r="X15462" t="s">
        <v>46635</v>
      </c>
    </row>
    <row r="15463" spans="1:24">
      <c r="A15463">
        <f>HYPERLINK("https://www.philgeps.gov.ph/GEPSNONPILOT/Tender/SplashBidNoticeAbstractUI.aspx?menuIndex=3&amp;refID=6927822&amp;Result=3","6927822")</f>
        <v>0</v>
      </c>
      <c r="B15463" t="s">
        <v>2892</v>
      </c>
      <c r="C15463" t="s">
        <v>18253</v>
      </c>
      <c r="D15463" t="s">
        <v>18782</v>
      </c>
      <c r="E15463" t="s">
        <v>32193</v>
      </c>
      <c r="F15463" t="s">
        <v>32664</v>
      </c>
      <c r="G15463" t="s">
        <v>32672</v>
      </c>
      <c r="H15463" t="s">
        <v>12635</v>
      </c>
      <c r="I15463" t="s">
        <v>32719</v>
      </c>
      <c r="J15463" t="s">
        <v>33345</v>
      </c>
      <c r="K15463" t="s">
        <v>42281</v>
      </c>
      <c r="M15463" t="s">
        <v>45742</v>
      </c>
      <c r="N15463" t="s">
        <v>46569</v>
      </c>
      <c r="O15463" t="s">
        <v>46570</v>
      </c>
      <c r="Q15463">
        <v>8</v>
      </c>
      <c r="R15463" t="s">
        <v>46635</v>
      </c>
      <c r="S15463" t="s">
        <v>47915</v>
      </c>
      <c r="T15463" t="s">
        <v>48283</v>
      </c>
      <c r="U15463" t="s">
        <v>61197</v>
      </c>
      <c r="V15463" t="s">
        <v>63353</v>
      </c>
      <c r="W15463" t="s">
        <v>45742</v>
      </c>
      <c r="X15463" t="s">
        <v>46637</v>
      </c>
    </row>
    <row r="15464" spans="1:24">
      <c r="A15464">
        <f>HYPERLINK("https://www.philgeps.gov.ph/GEPSNONPILOT/Tender/SplashBidNoticeAbstractUI.aspx?menuIndex=3&amp;refID=6930742&amp;Result=3","6930742")</f>
        <v>0</v>
      </c>
      <c r="B15464" t="s">
        <v>1247</v>
      </c>
      <c r="C15464" t="s">
        <v>18254</v>
      </c>
      <c r="D15464" t="s">
        <v>18802</v>
      </c>
      <c r="E15464" t="s">
        <v>32194</v>
      </c>
      <c r="F15464" t="s">
        <v>32664</v>
      </c>
      <c r="G15464" t="s">
        <v>32672</v>
      </c>
      <c r="H15464" t="s">
        <v>32683</v>
      </c>
      <c r="I15464" t="s">
        <v>10627</v>
      </c>
      <c r="J15464" t="s">
        <v>33508</v>
      </c>
      <c r="K15464" t="s">
        <v>42577</v>
      </c>
      <c r="M15464" t="s">
        <v>43889</v>
      </c>
      <c r="N15464" t="s">
        <v>46569</v>
      </c>
      <c r="O15464" t="s">
        <v>46570</v>
      </c>
      <c r="Q15464">
        <v>0</v>
      </c>
      <c r="R15464" t="s">
        <v>46635</v>
      </c>
      <c r="S15464" t="s">
        <v>47916</v>
      </c>
      <c r="T15464" t="s">
        <v>48389</v>
      </c>
      <c r="U15464" t="s">
        <v>61198</v>
      </c>
      <c r="W15464" t="s">
        <v>43889</v>
      </c>
      <c r="X15464" t="s">
        <v>46636</v>
      </c>
    </row>
    <row r="15465" spans="1:24">
      <c r="A15465">
        <f>HYPERLINK("https://www.philgeps.gov.ph/GEPSNONPILOT/Tender/SplashBidNoticeAbstractUI.aspx?menuIndex=3&amp;refID=6936028&amp;Result=3","6936028")</f>
        <v>0</v>
      </c>
      <c r="B15465" t="s">
        <v>3490</v>
      </c>
      <c r="C15465" t="s">
        <v>18255</v>
      </c>
      <c r="D15465" t="s">
        <v>18801</v>
      </c>
      <c r="E15465" t="s">
        <v>32195</v>
      </c>
      <c r="F15465" t="s">
        <v>32664</v>
      </c>
      <c r="G15465" t="s">
        <v>32673</v>
      </c>
      <c r="H15465" t="s">
        <v>32682</v>
      </c>
      <c r="I15465" t="s">
        <v>32688</v>
      </c>
      <c r="J15465" t="s">
        <v>32981</v>
      </c>
      <c r="K15465" t="s">
        <v>42290</v>
      </c>
      <c r="M15465" t="s">
        <v>46502</v>
      </c>
      <c r="N15465" t="s">
        <v>46569</v>
      </c>
      <c r="O15465" t="s">
        <v>46570</v>
      </c>
      <c r="Q15465">
        <v>22</v>
      </c>
      <c r="R15465" t="s">
        <v>46633</v>
      </c>
      <c r="S15465" t="s">
        <v>47747</v>
      </c>
      <c r="T15465" t="s">
        <v>48274</v>
      </c>
      <c r="U15465" t="s">
        <v>61199</v>
      </c>
      <c r="W15465" t="s">
        <v>46502</v>
      </c>
      <c r="X15465" t="s">
        <v>46635</v>
      </c>
    </row>
    <row r="15466" spans="1:24">
      <c r="A15466">
        <f>HYPERLINK("https://www.philgeps.gov.ph/GEPSNONPILOT/Tender/SplashBidNoticeAbstractUI.aspx?menuIndex=3&amp;refID=6935892&amp;Result=3","6935892")</f>
        <v>0</v>
      </c>
      <c r="B15466" t="s">
        <v>366</v>
      </c>
      <c r="C15466" t="s">
        <v>18256</v>
      </c>
      <c r="D15466" t="s">
        <v>18785</v>
      </c>
      <c r="E15466" t="s">
        <v>32196</v>
      </c>
      <c r="F15466" t="s">
        <v>32664</v>
      </c>
      <c r="G15466" t="s">
        <v>32672</v>
      </c>
      <c r="H15466" t="s">
        <v>12635</v>
      </c>
      <c r="I15466" t="s">
        <v>32727</v>
      </c>
      <c r="J15466" t="s">
        <v>41953</v>
      </c>
      <c r="K15466" t="s">
        <v>42283</v>
      </c>
      <c r="M15466" t="s">
        <v>46503</v>
      </c>
      <c r="N15466" t="s">
        <v>46569</v>
      </c>
      <c r="O15466" t="s">
        <v>46570</v>
      </c>
      <c r="Q15466">
        <v>16</v>
      </c>
      <c r="R15466" t="s">
        <v>46633</v>
      </c>
      <c r="S15466" t="s">
        <v>47917</v>
      </c>
      <c r="T15466" t="s">
        <v>48759</v>
      </c>
      <c r="U15466" t="s">
        <v>61200</v>
      </c>
      <c r="V15466" t="s">
        <v>63354</v>
      </c>
      <c r="W15466" t="s">
        <v>46503</v>
      </c>
      <c r="X15466" t="s">
        <v>46635</v>
      </c>
    </row>
    <row r="15467" spans="1:24">
      <c r="A15467">
        <f>HYPERLINK("https://www.philgeps.gov.ph/GEPSNONPILOT/Tender/SplashBidNoticeAbstractUI.aspx?menuIndex=3&amp;refID=6944438&amp;Result=3","6944438")</f>
        <v>0</v>
      </c>
      <c r="B15467" t="s">
        <v>851</v>
      </c>
      <c r="C15467" t="s">
        <v>18257</v>
      </c>
      <c r="D15467" t="s">
        <v>18829</v>
      </c>
      <c r="E15467" t="s">
        <v>32197</v>
      </c>
      <c r="F15467" t="s">
        <v>32664</v>
      </c>
      <c r="G15467" t="s">
        <v>32672</v>
      </c>
      <c r="H15467" t="s">
        <v>32683</v>
      </c>
      <c r="I15467" t="s">
        <v>10627</v>
      </c>
      <c r="J15467" t="s">
        <v>41954</v>
      </c>
      <c r="K15467" t="s">
        <v>42440</v>
      </c>
      <c r="M15467" t="s">
        <v>46453</v>
      </c>
      <c r="N15467" t="s">
        <v>46569</v>
      </c>
      <c r="O15467" t="s">
        <v>46570</v>
      </c>
      <c r="Q15467">
        <v>3</v>
      </c>
      <c r="R15467" t="s">
        <v>46632</v>
      </c>
      <c r="S15467" t="s">
        <v>47918</v>
      </c>
      <c r="T15467" t="s">
        <v>48283</v>
      </c>
      <c r="U15467" t="s">
        <v>57572</v>
      </c>
      <c r="V15467" t="s">
        <v>63355</v>
      </c>
      <c r="W15467" t="s">
        <v>46453</v>
      </c>
      <c r="X15467" t="s">
        <v>46631</v>
      </c>
    </row>
    <row r="15468" spans="1:24">
      <c r="A15468">
        <f>HYPERLINK("https://www.philgeps.gov.ph/GEPSNONPILOT/Tender/SplashBidNoticeAbstractUI.aspx?menuIndex=3&amp;refID=6935753&amp;Result=3","6935753")</f>
        <v>0</v>
      </c>
      <c r="B15468" t="s">
        <v>2739</v>
      </c>
      <c r="C15468" t="s">
        <v>18258</v>
      </c>
      <c r="E15468" t="s">
        <v>32198</v>
      </c>
      <c r="F15468" t="s">
        <v>32664</v>
      </c>
      <c r="G15468" t="s">
        <v>32672</v>
      </c>
      <c r="H15468" t="s">
        <v>12635</v>
      </c>
      <c r="I15468" t="s">
        <v>5589</v>
      </c>
      <c r="J15468" t="s">
        <v>41955</v>
      </c>
      <c r="K15468" t="s">
        <v>42283</v>
      </c>
      <c r="M15468" t="s">
        <v>45573</v>
      </c>
      <c r="N15468" t="s">
        <v>46569</v>
      </c>
      <c r="O15468" t="s">
        <v>46570</v>
      </c>
      <c r="Q15468">
        <v>7</v>
      </c>
      <c r="R15468" t="s">
        <v>46633</v>
      </c>
      <c r="S15468" t="s">
        <v>47919</v>
      </c>
      <c r="T15468" t="s">
        <v>48328</v>
      </c>
      <c r="U15468" t="s">
        <v>61201</v>
      </c>
      <c r="V15468" t="s">
        <v>63356</v>
      </c>
      <c r="W15468" t="s">
        <v>63600</v>
      </c>
      <c r="X15468" t="s">
        <v>46635</v>
      </c>
    </row>
    <row r="15469" spans="1:24">
      <c r="A15469">
        <f>HYPERLINK("https://www.philgeps.gov.ph/GEPSNONPILOT/Tender/SplashBidNoticeAbstractUI.aspx?menuIndex=3&amp;refID=6936243&amp;Result=3","6936243")</f>
        <v>0</v>
      </c>
      <c r="B15469" t="s">
        <v>3309</v>
      </c>
      <c r="C15469" t="s">
        <v>18259</v>
      </c>
      <c r="D15469" t="s">
        <v>18819</v>
      </c>
      <c r="E15469" t="s">
        <v>32199</v>
      </c>
      <c r="F15469" t="s">
        <v>32664</v>
      </c>
      <c r="G15469" t="s">
        <v>32672</v>
      </c>
      <c r="H15469" t="s">
        <v>32683</v>
      </c>
      <c r="I15469" t="s">
        <v>10627</v>
      </c>
      <c r="J15469" t="s">
        <v>34075</v>
      </c>
      <c r="K15469" t="s">
        <v>42285</v>
      </c>
      <c r="M15469" t="s">
        <v>46255</v>
      </c>
      <c r="N15469" t="s">
        <v>46569</v>
      </c>
      <c r="O15469" t="s">
        <v>46570</v>
      </c>
      <c r="Q15469">
        <v>38</v>
      </c>
      <c r="R15469" t="s">
        <v>46633</v>
      </c>
      <c r="S15469" t="s">
        <v>47920</v>
      </c>
      <c r="T15469" t="s">
        <v>48331</v>
      </c>
      <c r="U15469" t="s">
        <v>61202</v>
      </c>
      <c r="V15469" t="s">
        <v>63357</v>
      </c>
      <c r="W15469" t="s">
        <v>46255</v>
      </c>
      <c r="X15469" t="s">
        <v>46635</v>
      </c>
    </row>
    <row r="15470" spans="1:24">
      <c r="A15470">
        <f>HYPERLINK("https://www.philgeps.gov.ph/GEPSNONPILOT/Tender/SplashBidNoticeAbstractUI.aspx?menuIndex=3&amp;refID=6935782&amp;Result=3","6935782")</f>
        <v>0</v>
      </c>
      <c r="B15470" t="s">
        <v>1247</v>
      </c>
      <c r="C15470" t="s">
        <v>18260</v>
      </c>
      <c r="D15470" t="s">
        <v>18802</v>
      </c>
      <c r="E15470" t="s">
        <v>32200</v>
      </c>
      <c r="F15470" t="s">
        <v>32664</v>
      </c>
      <c r="G15470" t="s">
        <v>32672</v>
      </c>
      <c r="H15470" t="s">
        <v>32683</v>
      </c>
      <c r="I15470" t="s">
        <v>10627</v>
      </c>
      <c r="J15470" t="s">
        <v>38920</v>
      </c>
      <c r="K15470" t="s">
        <v>42290</v>
      </c>
      <c r="M15470" t="s">
        <v>43889</v>
      </c>
      <c r="N15470" t="s">
        <v>46569</v>
      </c>
      <c r="O15470" t="s">
        <v>46570</v>
      </c>
      <c r="Q15470">
        <v>0</v>
      </c>
      <c r="R15470" t="s">
        <v>46633</v>
      </c>
      <c r="S15470" t="s">
        <v>47921</v>
      </c>
      <c r="T15470" t="s">
        <v>48218</v>
      </c>
      <c r="U15470" t="s">
        <v>61203</v>
      </c>
      <c r="W15470" t="s">
        <v>43889</v>
      </c>
      <c r="X15470" t="s">
        <v>46635</v>
      </c>
    </row>
    <row r="15471" spans="1:24">
      <c r="A15471">
        <f>HYPERLINK("https://www.philgeps.gov.ph/GEPSNONPILOT/Tender/SplashBidNoticeAbstractUI.aspx?menuIndex=3&amp;refID=6920274&amp;Result=3","6920274")</f>
        <v>0</v>
      </c>
      <c r="B15471" t="s">
        <v>3050</v>
      </c>
      <c r="C15471" t="s">
        <v>18261</v>
      </c>
      <c r="D15471" t="s">
        <v>18784</v>
      </c>
      <c r="E15471" t="s">
        <v>32201</v>
      </c>
      <c r="F15471" t="s">
        <v>32664</v>
      </c>
      <c r="G15471" t="s">
        <v>32672</v>
      </c>
      <c r="H15471" t="s">
        <v>12635</v>
      </c>
      <c r="I15471" t="s">
        <v>5589</v>
      </c>
      <c r="J15471" t="s">
        <v>38615</v>
      </c>
      <c r="K15471" t="s">
        <v>42281</v>
      </c>
      <c r="M15471" t="s">
        <v>46504</v>
      </c>
      <c r="N15471" t="s">
        <v>46569</v>
      </c>
      <c r="O15471" t="s">
        <v>46570</v>
      </c>
      <c r="Q15471">
        <v>12</v>
      </c>
      <c r="R15471" t="s">
        <v>46636</v>
      </c>
      <c r="S15471" t="s">
        <v>47345</v>
      </c>
      <c r="T15471" t="s">
        <v>48282</v>
      </c>
      <c r="U15471" t="s">
        <v>61204</v>
      </c>
      <c r="W15471" t="s">
        <v>46504</v>
      </c>
      <c r="X15471" t="s">
        <v>46641</v>
      </c>
    </row>
    <row r="15472" spans="1:24">
      <c r="A15472">
        <f>HYPERLINK("https://www.philgeps.gov.ph/GEPSNONPILOT/Tender/SplashBidNoticeAbstractUI.aspx?menuIndex=3&amp;refID=6920261&amp;Result=3","6920261")</f>
        <v>0</v>
      </c>
      <c r="B15472" t="s">
        <v>3050</v>
      </c>
      <c r="C15472" t="s">
        <v>18262</v>
      </c>
      <c r="D15472" t="s">
        <v>18784</v>
      </c>
      <c r="E15472" t="s">
        <v>32201</v>
      </c>
      <c r="F15472" t="s">
        <v>32664</v>
      </c>
      <c r="G15472" t="s">
        <v>32672</v>
      </c>
      <c r="H15472" t="s">
        <v>12635</v>
      </c>
      <c r="I15472" t="s">
        <v>5589</v>
      </c>
      <c r="J15472" t="s">
        <v>41956</v>
      </c>
      <c r="K15472" t="s">
        <v>42281</v>
      </c>
      <c r="M15472" t="s">
        <v>46504</v>
      </c>
      <c r="N15472" t="s">
        <v>46569</v>
      </c>
      <c r="O15472" t="s">
        <v>46570</v>
      </c>
      <c r="Q15472">
        <v>20</v>
      </c>
      <c r="R15472" t="s">
        <v>46636</v>
      </c>
      <c r="S15472" t="s">
        <v>47922</v>
      </c>
      <c r="T15472" t="s">
        <v>48282</v>
      </c>
      <c r="U15472" t="s">
        <v>61204</v>
      </c>
      <c r="W15472" t="s">
        <v>46504</v>
      </c>
      <c r="X15472" t="s">
        <v>46641</v>
      </c>
    </row>
    <row r="15473" spans="1:24">
      <c r="A15473">
        <f>HYPERLINK("https://www.philgeps.gov.ph/GEPSNONPILOT/Tender/SplashBidNoticeAbstractUI.aspx?menuIndex=3&amp;refID=6938806&amp;Result=3","6938806")</f>
        <v>0</v>
      </c>
      <c r="B15473" t="s">
        <v>1247</v>
      </c>
      <c r="C15473" t="s">
        <v>18263</v>
      </c>
      <c r="D15473" t="s">
        <v>18802</v>
      </c>
      <c r="E15473" t="s">
        <v>32202</v>
      </c>
      <c r="F15473" t="s">
        <v>32664</v>
      </c>
      <c r="G15473" t="s">
        <v>32672</v>
      </c>
      <c r="H15473" t="s">
        <v>32683</v>
      </c>
      <c r="I15473" t="s">
        <v>10627</v>
      </c>
      <c r="J15473" t="s">
        <v>38920</v>
      </c>
      <c r="K15473" t="s">
        <v>42311</v>
      </c>
      <c r="M15473" t="s">
        <v>43889</v>
      </c>
      <c r="N15473" t="s">
        <v>46569</v>
      </c>
      <c r="O15473" t="s">
        <v>46570</v>
      </c>
      <c r="Q15473">
        <v>0</v>
      </c>
      <c r="R15473" t="s">
        <v>46634</v>
      </c>
      <c r="S15473" t="s">
        <v>47923</v>
      </c>
      <c r="T15473" t="s">
        <v>48218</v>
      </c>
      <c r="U15473" t="s">
        <v>61205</v>
      </c>
      <c r="W15473" t="s">
        <v>43889</v>
      </c>
      <c r="X15473" t="s">
        <v>46633</v>
      </c>
    </row>
    <row r="15474" spans="1:24">
      <c r="A15474">
        <f>HYPERLINK("https://www.philgeps.gov.ph/GEPSNONPILOT/Tender/SplashBidNoticeAbstractUI.aspx?menuIndex=3&amp;refID=6942372&amp;Result=3","6942372")</f>
        <v>0</v>
      </c>
      <c r="B15474" t="s">
        <v>1993</v>
      </c>
      <c r="C15474" t="s">
        <v>18264</v>
      </c>
      <c r="D15474" t="s">
        <v>18834</v>
      </c>
      <c r="E15474" t="s">
        <v>32203</v>
      </c>
      <c r="F15474" t="s">
        <v>32664</v>
      </c>
      <c r="G15474" t="s">
        <v>32672</v>
      </c>
      <c r="H15474" t="s">
        <v>32683</v>
      </c>
      <c r="I15474" t="s">
        <v>10627</v>
      </c>
      <c r="J15474" t="s">
        <v>37271</v>
      </c>
      <c r="K15474" t="s">
        <v>42285</v>
      </c>
      <c r="M15474" t="s">
        <v>44728</v>
      </c>
      <c r="N15474" t="s">
        <v>46569</v>
      </c>
      <c r="O15474" t="s">
        <v>46570</v>
      </c>
      <c r="Q15474">
        <v>2</v>
      </c>
      <c r="R15474" t="s">
        <v>46631</v>
      </c>
      <c r="S15474" t="s">
        <v>47924</v>
      </c>
      <c r="T15474" t="s">
        <v>48283</v>
      </c>
      <c r="U15474" t="s">
        <v>61206</v>
      </c>
      <c r="V15474" t="s">
        <v>63358</v>
      </c>
      <c r="W15474" t="s">
        <v>63567</v>
      </c>
      <c r="X15474" t="s">
        <v>46682</v>
      </c>
    </row>
    <row r="15475" spans="1:24">
      <c r="A15475">
        <f>HYPERLINK("https://www.philgeps.gov.ph/GEPSNONPILOT/Tender/SplashBidNoticeAbstractUI.aspx?menuIndex=3&amp;refID=6920243&amp;Result=3","6920243")</f>
        <v>0</v>
      </c>
      <c r="B15475" t="s">
        <v>3050</v>
      </c>
      <c r="C15475" t="s">
        <v>18265</v>
      </c>
      <c r="D15475" t="s">
        <v>18784</v>
      </c>
      <c r="E15475" t="s">
        <v>32201</v>
      </c>
      <c r="F15475" t="s">
        <v>32664</v>
      </c>
      <c r="G15475" t="s">
        <v>32672</v>
      </c>
      <c r="H15475" t="s">
        <v>12635</v>
      </c>
      <c r="I15475" t="s">
        <v>5589</v>
      </c>
      <c r="J15475" t="s">
        <v>41957</v>
      </c>
      <c r="K15475" t="s">
        <v>42281</v>
      </c>
      <c r="M15475" t="s">
        <v>46504</v>
      </c>
      <c r="N15475" t="s">
        <v>46569</v>
      </c>
      <c r="O15475" t="s">
        <v>46570</v>
      </c>
      <c r="Q15475">
        <v>15</v>
      </c>
      <c r="R15475" t="s">
        <v>46636</v>
      </c>
      <c r="S15475" t="s">
        <v>47925</v>
      </c>
      <c r="T15475" t="s">
        <v>48282</v>
      </c>
      <c r="U15475" t="s">
        <v>61204</v>
      </c>
      <c r="W15475" t="s">
        <v>46504</v>
      </c>
      <c r="X15475" t="s">
        <v>46641</v>
      </c>
    </row>
    <row r="15476" spans="1:24">
      <c r="A15476">
        <f>HYPERLINK("https://www.philgeps.gov.ph/GEPSNONPILOT/Tender/SplashBidNoticeAbstractUI.aspx?menuIndex=3&amp;refID=7011913&amp;Result=3","7011913")</f>
        <v>0</v>
      </c>
      <c r="B15476" t="s">
        <v>488</v>
      </c>
      <c r="C15476" t="s">
        <v>18266</v>
      </c>
      <c r="D15476" t="s">
        <v>18857</v>
      </c>
      <c r="E15476" t="s">
        <v>32204</v>
      </c>
      <c r="F15476" t="s">
        <v>32664</v>
      </c>
      <c r="G15476" t="s">
        <v>32672</v>
      </c>
      <c r="H15476" t="s">
        <v>12635</v>
      </c>
      <c r="I15476" t="s">
        <v>10374</v>
      </c>
      <c r="J15476" t="s">
        <v>33118</v>
      </c>
      <c r="K15476" t="s">
        <v>42281</v>
      </c>
      <c r="M15476" t="s">
        <v>43064</v>
      </c>
      <c r="N15476" t="s">
        <v>46569</v>
      </c>
      <c r="O15476" t="s">
        <v>46570</v>
      </c>
      <c r="P15476">
        <v>0</v>
      </c>
      <c r="Q15476">
        <v>1</v>
      </c>
      <c r="R15476" t="s">
        <v>46597</v>
      </c>
      <c r="S15476" t="s">
        <v>47783</v>
      </c>
      <c r="T15476" t="s">
        <v>48293</v>
      </c>
      <c r="U15476" t="s">
        <v>61207</v>
      </c>
      <c r="W15476" t="s">
        <v>43064</v>
      </c>
      <c r="X15476" t="s">
        <v>46599</v>
      </c>
    </row>
    <row r="15477" spans="1:24">
      <c r="A15477">
        <f>HYPERLINK("https://www.philgeps.gov.ph/GEPSNONPILOT/Tender/SplashBidNoticeAbstractUI.aspx?menuIndex=3&amp;refID=6932627&amp;Result=3","6932627")</f>
        <v>0</v>
      </c>
      <c r="B15477" t="s">
        <v>3050</v>
      </c>
      <c r="C15477" t="s">
        <v>18267</v>
      </c>
      <c r="D15477" t="s">
        <v>18798</v>
      </c>
      <c r="E15477" t="s">
        <v>32205</v>
      </c>
      <c r="F15477" t="s">
        <v>32664</v>
      </c>
      <c r="G15477" t="s">
        <v>32672</v>
      </c>
      <c r="H15477" t="s">
        <v>12635</v>
      </c>
      <c r="I15477" t="s">
        <v>32685</v>
      </c>
      <c r="J15477" t="s">
        <v>41958</v>
      </c>
      <c r="K15477" t="s">
        <v>42281</v>
      </c>
      <c r="M15477" t="s">
        <v>46505</v>
      </c>
      <c r="N15477" t="s">
        <v>46569</v>
      </c>
      <c r="O15477" t="s">
        <v>46570</v>
      </c>
      <c r="Q15477">
        <v>4</v>
      </c>
      <c r="R15477" t="s">
        <v>46635</v>
      </c>
      <c r="S15477" t="s">
        <v>47926</v>
      </c>
      <c r="T15477" t="s">
        <v>48293</v>
      </c>
      <c r="U15477" t="s">
        <v>61208</v>
      </c>
      <c r="V15477" t="s">
        <v>63359</v>
      </c>
      <c r="W15477" t="s">
        <v>46505</v>
      </c>
      <c r="X15477" t="s">
        <v>46636</v>
      </c>
    </row>
    <row r="15478" spans="1:24">
      <c r="A15478">
        <f>HYPERLINK("https://www.philgeps.gov.ph/GEPSNONPILOT/Tender/SplashBidNoticeAbstractUI.aspx?menuIndex=3&amp;refID=6932615&amp;Result=3","6932615")</f>
        <v>0</v>
      </c>
      <c r="B15478" t="s">
        <v>3050</v>
      </c>
      <c r="C15478" t="s">
        <v>18268</v>
      </c>
      <c r="D15478" t="s">
        <v>18798</v>
      </c>
      <c r="E15478" t="s">
        <v>32205</v>
      </c>
      <c r="F15478" t="s">
        <v>32664</v>
      </c>
      <c r="G15478" t="s">
        <v>32672</v>
      </c>
      <c r="H15478" t="s">
        <v>12635</v>
      </c>
      <c r="I15478" t="s">
        <v>32685</v>
      </c>
      <c r="J15478" t="s">
        <v>41959</v>
      </c>
      <c r="K15478" t="s">
        <v>42281</v>
      </c>
      <c r="M15478" t="s">
        <v>46505</v>
      </c>
      <c r="N15478" t="s">
        <v>46569</v>
      </c>
      <c r="O15478" t="s">
        <v>46570</v>
      </c>
      <c r="Q15478">
        <v>2</v>
      </c>
      <c r="R15478" t="s">
        <v>46635</v>
      </c>
      <c r="S15478" t="s">
        <v>46771</v>
      </c>
      <c r="T15478" t="s">
        <v>48293</v>
      </c>
      <c r="U15478" t="s">
        <v>61208</v>
      </c>
      <c r="V15478" t="s">
        <v>63360</v>
      </c>
      <c r="W15478" t="s">
        <v>46505</v>
      </c>
      <c r="X15478" t="s">
        <v>46636</v>
      </c>
    </row>
    <row r="15479" spans="1:24">
      <c r="A15479">
        <f>HYPERLINK("https://www.philgeps.gov.ph/GEPSNONPILOT/Tender/SplashBidNoticeAbstractUI.aspx?menuIndex=3&amp;refID=6932609&amp;Result=3","6932609")</f>
        <v>0</v>
      </c>
      <c r="B15479" t="s">
        <v>3050</v>
      </c>
      <c r="C15479" t="s">
        <v>18269</v>
      </c>
      <c r="D15479" t="s">
        <v>18798</v>
      </c>
      <c r="E15479" t="s">
        <v>32206</v>
      </c>
      <c r="F15479" t="s">
        <v>32664</v>
      </c>
      <c r="G15479" t="s">
        <v>32672</v>
      </c>
      <c r="H15479" t="s">
        <v>12635</v>
      </c>
      <c r="I15479" t="s">
        <v>32685</v>
      </c>
      <c r="J15479" t="s">
        <v>41960</v>
      </c>
      <c r="K15479" t="s">
        <v>42281</v>
      </c>
      <c r="M15479" t="s">
        <v>46505</v>
      </c>
      <c r="N15479" t="s">
        <v>46569</v>
      </c>
      <c r="O15479" t="s">
        <v>46570</v>
      </c>
      <c r="Q15479">
        <v>2</v>
      </c>
      <c r="R15479" t="s">
        <v>46635</v>
      </c>
      <c r="S15479" t="s">
        <v>47927</v>
      </c>
      <c r="T15479" t="s">
        <v>48293</v>
      </c>
      <c r="U15479" t="s">
        <v>61208</v>
      </c>
      <c r="V15479" t="s">
        <v>63361</v>
      </c>
      <c r="W15479" t="s">
        <v>46505</v>
      </c>
      <c r="X15479" t="s">
        <v>46636</v>
      </c>
    </row>
    <row r="15480" spans="1:24">
      <c r="A15480">
        <f>HYPERLINK("https://www.philgeps.gov.ph/GEPSNONPILOT/Tender/SplashBidNoticeAbstractUI.aspx?menuIndex=3&amp;refID=6932595&amp;Result=3","6932595")</f>
        <v>0</v>
      </c>
      <c r="B15480" t="s">
        <v>3050</v>
      </c>
      <c r="C15480" t="s">
        <v>18270</v>
      </c>
      <c r="D15480" t="s">
        <v>18798</v>
      </c>
      <c r="E15480" t="s">
        <v>32205</v>
      </c>
      <c r="F15480" t="s">
        <v>32664</v>
      </c>
      <c r="G15480" t="s">
        <v>32672</v>
      </c>
      <c r="H15480" t="s">
        <v>12635</v>
      </c>
      <c r="I15480" t="s">
        <v>32685</v>
      </c>
      <c r="J15480" t="s">
        <v>41961</v>
      </c>
      <c r="K15480" t="s">
        <v>42281</v>
      </c>
      <c r="M15480" t="s">
        <v>46505</v>
      </c>
      <c r="N15480" t="s">
        <v>46569</v>
      </c>
      <c r="O15480" t="s">
        <v>46570</v>
      </c>
      <c r="Q15480">
        <v>4</v>
      </c>
      <c r="R15480" t="s">
        <v>46635</v>
      </c>
      <c r="S15480" t="s">
        <v>47928</v>
      </c>
      <c r="T15480" t="s">
        <v>48293</v>
      </c>
      <c r="U15480" t="s">
        <v>61208</v>
      </c>
      <c r="V15480" t="s">
        <v>63362</v>
      </c>
      <c r="W15480" t="s">
        <v>46505</v>
      </c>
      <c r="X15480" t="s">
        <v>46636</v>
      </c>
    </row>
    <row r="15481" spans="1:24">
      <c r="A15481">
        <f>HYPERLINK("https://www.philgeps.gov.ph/GEPSNONPILOT/Tender/SplashBidNoticeAbstractUI.aspx?menuIndex=3&amp;refID=6932620&amp;Result=3","6932620")</f>
        <v>0</v>
      </c>
      <c r="B15481" t="s">
        <v>3050</v>
      </c>
      <c r="C15481" t="s">
        <v>18271</v>
      </c>
      <c r="D15481" t="s">
        <v>18798</v>
      </c>
      <c r="E15481" t="s">
        <v>32205</v>
      </c>
      <c r="F15481" t="s">
        <v>32664</v>
      </c>
      <c r="G15481" t="s">
        <v>32672</v>
      </c>
      <c r="H15481" t="s">
        <v>12635</v>
      </c>
      <c r="I15481" t="s">
        <v>32685</v>
      </c>
      <c r="J15481" t="s">
        <v>41962</v>
      </c>
      <c r="K15481" t="s">
        <v>42281</v>
      </c>
      <c r="M15481" t="s">
        <v>46505</v>
      </c>
      <c r="N15481" t="s">
        <v>46569</v>
      </c>
      <c r="O15481" t="s">
        <v>46570</v>
      </c>
      <c r="Q15481">
        <v>5</v>
      </c>
      <c r="R15481" t="s">
        <v>46635</v>
      </c>
      <c r="S15481" t="s">
        <v>47756</v>
      </c>
      <c r="T15481" t="s">
        <v>48293</v>
      </c>
      <c r="U15481" t="s">
        <v>61208</v>
      </c>
      <c r="V15481" t="s">
        <v>63362</v>
      </c>
      <c r="W15481" t="s">
        <v>46505</v>
      </c>
      <c r="X15481" t="s">
        <v>46636</v>
      </c>
    </row>
    <row r="15482" spans="1:24">
      <c r="A15482">
        <f>HYPERLINK("https://www.philgeps.gov.ph/GEPSNONPILOT/Tender/SplashBidNoticeAbstractUI.aspx?menuIndex=3&amp;refID=6920216&amp;Result=3","6920216")</f>
        <v>0</v>
      </c>
      <c r="B15482" t="s">
        <v>3050</v>
      </c>
      <c r="C15482" t="s">
        <v>18272</v>
      </c>
      <c r="D15482" t="s">
        <v>18784</v>
      </c>
      <c r="E15482" t="s">
        <v>32201</v>
      </c>
      <c r="F15482" t="s">
        <v>32664</v>
      </c>
      <c r="G15482" t="s">
        <v>32672</v>
      </c>
      <c r="H15482" t="s">
        <v>12635</v>
      </c>
      <c r="I15482" t="s">
        <v>5589</v>
      </c>
      <c r="J15482" t="s">
        <v>41963</v>
      </c>
      <c r="K15482" t="s">
        <v>42281</v>
      </c>
      <c r="M15482" t="s">
        <v>46504</v>
      </c>
      <c r="N15482" t="s">
        <v>46569</v>
      </c>
      <c r="O15482" t="s">
        <v>46570</v>
      </c>
      <c r="Q15482">
        <v>27</v>
      </c>
      <c r="R15482" t="s">
        <v>46636</v>
      </c>
      <c r="S15482" t="s">
        <v>47929</v>
      </c>
      <c r="T15482" t="s">
        <v>48282</v>
      </c>
      <c r="U15482" t="s">
        <v>61204</v>
      </c>
      <c r="W15482" t="s">
        <v>46504</v>
      </c>
      <c r="X15482" t="s">
        <v>46641</v>
      </c>
    </row>
    <row r="15483" spans="1:24">
      <c r="A15483">
        <f>HYPERLINK("https://www.philgeps.gov.ph/GEPSNONPILOT/Tender/SplashBidNoticeAbstractUI.aspx?menuIndex=3&amp;refID=6932599&amp;Result=3","6932599")</f>
        <v>0</v>
      </c>
      <c r="B15483" t="s">
        <v>3050</v>
      </c>
      <c r="C15483" t="s">
        <v>18273</v>
      </c>
      <c r="D15483" t="s">
        <v>18798</v>
      </c>
      <c r="E15483" t="s">
        <v>32205</v>
      </c>
      <c r="F15483" t="s">
        <v>32664</v>
      </c>
      <c r="G15483" t="s">
        <v>32672</v>
      </c>
      <c r="H15483" t="s">
        <v>12635</v>
      </c>
      <c r="I15483" t="s">
        <v>32685</v>
      </c>
      <c r="J15483" t="s">
        <v>41964</v>
      </c>
      <c r="K15483" t="s">
        <v>42281</v>
      </c>
      <c r="M15483" t="s">
        <v>46505</v>
      </c>
      <c r="N15483" t="s">
        <v>46569</v>
      </c>
      <c r="O15483" t="s">
        <v>46570</v>
      </c>
      <c r="Q15483">
        <v>2</v>
      </c>
      <c r="R15483" t="s">
        <v>46635</v>
      </c>
      <c r="S15483" t="s">
        <v>47930</v>
      </c>
      <c r="T15483" t="s">
        <v>48293</v>
      </c>
      <c r="U15483" t="s">
        <v>61208</v>
      </c>
      <c r="V15483" t="s">
        <v>63362</v>
      </c>
      <c r="W15483" t="s">
        <v>46505</v>
      </c>
      <c r="X15483" t="s">
        <v>46636</v>
      </c>
    </row>
    <row r="15484" spans="1:24">
      <c r="A15484">
        <f>HYPERLINK("https://www.philgeps.gov.ph/GEPSNONPILOT/Tender/SplashBidNoticeAbstractUI.aspx?menuIndex=3&amp;refID=6932470&amp;Result=3","6932470")</f>
        <v>0</v>
      </c>
      <c r="B15484" t="s">
        <v>279</v>
      </c>
      <c r="C15484" t="s">
        <v>18274</v>
      </c>
      <c r="D15484" t="s">
        <v>18784</v>
      </c>
      <c r="E15484" t="s">
        <v>32207</v>
      </c>
      <c r="F15484" t="s">
        <v>32664</v>
      </c>
      <c r="G15484" t="s">
        <v>32672</v>
      </c>
      <c r="H15484" t="s">
        <v>12635</v>
      </c>
      <c r="I15484" t="s">
        <v>6223</v>
      </c>
      <c r="J15484" t="s">
        <v>41965</v>
      </c>
      <c r="K15484" t="s">
        <v>42283</v>
      </c>
      <c r="M15484" t="s">
        <v>42844</v>
      </c>
      <c r="N15484" t="s">
        <v>46569</v>
      </c>
      <c r="O15484" t="s">
        <v>46570</v>
      </c>
      <c r="Q15484">
        <v>7</v>
      </c>
      <c r="R15484" t="s">
        <v>46635</v>
      </c>
      <c r="S15484" t="s">
        <v>47931</v>
      </c>
      <c r="T15484" t="s">
        <v>48760</v>
      </c>
      <c r="U15484" t="s">
        <v>61209</v>
      </c>
      <c r="W15484" t="s">
        <v>42844</v>
      </c>
      <c r="X15484" t="s">
        <v>46636</v>
      </c>
    </row>
    <row r="15485" spans="1:24">
      <c r="A15485">
        <f>HYPERLINK("https://www.philgeps.gov.ph/GEPSNONPILOT/Tender/SplashBidNoticeAbstractUI.aspx?menuIndex=3&amp;refID=6926240&amp;Result=3","6926240")</f>
        <v>0</v>
      </c>
      <c r="B15485" t="s">
        <v>1247</v>
      </c>
      <c r="C15485" t="s">
        <v>18275</v>
      </c>
      <c r="D15485" t="s">
        <v>18802</v>
      </c>
      <c r="E15485" t="s">
        <v>32208</v>
      </c>
      <c r="F15485" t="s">
        <v>32664</v>
      </c>
      <c r="G15485" t="s">
        <v>32672</v>
      </c>
      <c r="H15485" t="s">
        <v>32683</v>
      </c>
      <c r="I15485" t="s">
        <v>10627</v>
      </c>
      <c r="J15485" t="s">
        <v>37781</v>
      </c>
      <c r="K15485" t="s">
        <v>42443</v>
      </c>
      <c r="M15485" t="s">
        <v>43889</v>
      </c>
      <c r="N15485" t="s">
        <v>46569</v>
      </c>
      <c r="O15485" t="s">
        <v>46570</v>
      </c>
      <c r="Q15485">
        <v>0</v>
      </c>
      <c r="R15485" t="s">
        <v>46636</v>
      </c>
      <c r="S15485" t="s">
        <v>47003</v>
      </c>
      <c r="T15485" t="s">
        <v>48415</v>
      </c>
      <c r="U15485" t="s">
        <v>61210</v>
      </c>
      <c r="W15485" t="s">
        <v>43889</v>
      </c>
      <c r="X15485" t="s">
        <v>46637</v>
      </c>
    </row>
    <row r="15486" spans="1:24">
      <c r="A15486">
        <f>HYPERLINK("https://www.philgeps.gov.ph/GEPSNONPILOT/Tender/SplashBidNoticeAbstractUI.aspx?menuIndex=3&amp;refID=6932589&amp;Result=3","6932589")</f>
        <v>0</v>
      </c>
      <c r="B15486" t="s">
        <v>3050</v>
      </c>
      <c r="C15486" t="s">
        <v>18276</v>
      </c>
      <c r="D15486" t="s">
        <v>18798</v>
      </c>
      <c r="E15486" t="s">
        <v>32205</v>
      </c>
      <c r="F15486" t="s">
        <v>32664</v>
      </c>
      <c r="G15486" t="s">
        <v>32672</v>
      </c>
      <c r="H15486" t="s">
        <v>12635</v>
      </c>
      <c r="I15486" t="s">
        <v>10590</v>
      </c>
      <c r="J15486" t="s">
        <v>41966</v>
      </c>
      <c r="K15486" t="s">
        <v>42281</v>
      </c>
      <c r="M15486" t="s">
        <v>46505</v>
      </c>
      <c r="N15486" t="s">
        <v>46569</v>
      </c>
      <c r="O15486" t="s">
        <v>46570</v>
      </c>
      <c r="Q15486">
        <v>3</v>
      </c>
      <c r="R15486" t="s">
        <v>46635</v>
      </c>
      <c r="S15486" t="s">
        <v>47057</v>
      </c>
      <c r="T15486" t="s">
        <v>48293</v>
      </c>
      <c r="U15486" t="s">
        <v>61208</v>
      </c>
      <c r="V15486" t="s">
        <v>63363</v>
      </c>
      <c r="W15486" t="s">
        <v>46505</v>
      </c>
      <c r="X15486" t="s">
        <v>46636</v>
      </c>
    </row>
    <row r="15487" spans="1:24">
      <c r="A15487">
        <f>HYPERLINK("https://www.philgeps.gov.ph/GEPSNONPILOT/Tender/SplashBidNoticeAbstractUI.aspx?menuIndex=3&amp;refID=6928188&amp;Result=3","6928188")</f>
        <v>0</v>
      </c>
      <c r="B15487" t="s">
        <v>969</v>
      </c>
      <c r="C15487" t="s">
        <v>18277</v>
      </c>
      <c r="D15487" t="s">
        <v>18836</v>
      </c>
      <c r="E15487" t="s">
        <v>32209</v>
      </c>
      <c r="F15487" t="s">
        <v>32664</v>
      </c>
      <c r="G15487" t="s">
        <v>32672</v>
      </c>
      <c r="H15487" t="s">
        <v>12635</v>
      </c>
      <c r="I15487" t="s">
        <v>32764</v>
      </c>
      <c r="J15487" t="s">
        <v>33150</v>
      </c>
      <c r="K15487" t="s">
        <v>42311</v>
      </c>
      <c r="M15487" t="s">
        <v>43578</v>
      </c>
      <c r="N15487" t="s">
        <v>46569</v>
      </c>
      <c r="O15487" t="s">
        <v>46570</v>
      </c>
      <c r="Q15487">
        <v>31</v>
      </c>
      <c r="R15487" t="s">
        <v>46636</v>
      </c>
      <c r="S15487" t="s">
        <v>47932</v>
      </c>
      <c r="T15487" t="s">
        <v>48254</v>
      </c>
      <c r="U15487" t="s">
        <v>61211</v>
      </c>
      <c r="V15487" t="s">
        <v>63364</v>
      </c>
      <c r="W15487" t="s">
        <v>43578</v>
      </c>
      <c r="X15487" t="s">
        <v>46637</v>
      </c>
    </row>
    <row r="15488" spans="1:24">
      <c r="A15488">
        <f>HYPERLINK("https://www.philgeps.gov.ph/GEPSNONPILOT/Tender/SplashBidNoticeAbstractUI.aspx?menuIndex=3&amp;refID=6932604&amp;Result=3","6932604")</f>
        <v>0</v>
      </c>
      <c r="B15488" t="s">
        <v>3050</v>
      </c>
      <c r="C15488" t="s">
        <v>18278</v>
      </c>
      <c r="D15488" t="s">
        <v>18798</v>
      </c>
      <c r="E15488" t="s">
        <v>32205</v>
      </c>
      <c r="F15488" t="s">
        <v>32664</v>
      </c>
      <c r="G15488" t="s">
        <v>32672</v>
      </c>
      <c r="H15488" t="s">
        <v>12635</v>
      </c>
      <c r="I15488" t="s">
        <v>32685</v>
      </c>
      <c r="J15488" t="s">
        <v>41967</v>
      </c>
      <c r="K15488" t="s">
        <v>42281</v>
      </c>
      <c r="M15488" t="s">
        <v>46505</v>
      </c>
      <c r="N15488" t="s">
        <v>46569</v>
      </c>
      <c r="O15488" t="s">
        <v>46570</v>
      </c>
      <c r="Q15488">
        <v>1</v>
      </c>
      <c r="R15488" t="s">
        <v>46635</v>
      </c>
      <c r="S15488" t="s">
        <v>47933</v>
      </c>
      <c r="T15488" t="s">
        <v>48293</v>
      </c>
      <c r="U15488" t="s">
        <v>61208</v>
      </c>
      <c r="V15488" t="s">
        <v>63361</v>
      </c>
      <c r="W15488" t="s">
        <v>46505</v>
      </c>
      <c r="X15488" t="s">
        <v>46636</v>
      </c>
    </row>
    <row r="15489" spans="1:24">
      <c r="A15489">
        <f>HYPERLINK("https://www.philgeps.gov.ph/GEPSNONPILOT/Tender/SplashBidNoticeAbstractUI.aspx?menuIndex=3&amp;refID=6928055&amp;Result=3","6928055")</f>
        <v>0</v>
      </c>
      <c r="B15489" t="s">
        <v>1247</v>
      </c>
      <c r="C15489" t="s">
        <v>18279</v>
      </c>
      <c r="D15489" t="s">
        <v>18802</v>
      </c>
      <c r="E15489" t="s">
        <v>32210</v>
      </c>
      <c r="F15489" t="s">
        <v>32664</v>
      </c>
      <c r="G15489" t="s">
        <v>32672</v>
      </c>
      <c r="H15489" t="s">
        <v>32683</v>
      </c>
      <c r="I15489" t="s">
        <v>10627</v>
      </c>
      <c r="J15489" t="s">
        <v>38737</v>
      </c>
      <c r="K15489" t="s">
        <v>42394</v>
      </c>
      <c r="M15489" t="s">
        <v>43889</v>
      </c>
      <c r="N15489" t="s">
        <v>46569</v>
      </c>
      <c r="O15489" t="s">
        <v>46570</v>
      </c>
      <c r="Q15489">
        <v>0</v>
      </c>
      <c r="R15489" t="s">
        <v>46636</v>
      </c>
      <c r="S15489" t="s">
        <v>47934</v>
      </c>
      <c r="T15489" t="s">
        <v>48389</v>
      </c>
      <c r="U15489" t="s">
        <v>61212</v>
      </c>
      <c r="W15489" t="s">
        <v>43889</v>
      </c>
      <c r="X15489" t="s">
        <v>46637</v>
      </c>
    </row>
    <row r="15490" spans="1:24">
      <c r="A15490">
        <f>HYPERLINK("https://www.philgeps.gov.ph/GEPSNONPILOT/Tender/SplashBidNoticeAbstractUI.aspx?menuIndex=3&amp;refID=6928228&amp;Result=3","6928228")</f>
        <v>0</v>
      </c>
      <c r="B15490" t="s">
        <v>1485</v>
      </c>
      <c r="C15490" t="s">
        <v>18280</v>
      </c>
      <c r="E15490" t="s">
        <v>32211</v>
      </c>
      <c r="F15490" t="s">
        <v>32664</v>
      </c>
      <c r="G15490" t="s">
        <v>32672</v>
      </c>
      <c r="H15490" t="s">
        <v>12635</v>
      </c>
      <c r="I15490" t="s">
        <v>9486</v>
      </c>
      <c r="J15490" t="s">
        <v>41968</v>
      </c>
      <c r="K15490" t="s">
        <v>42283</v>
      </c>
      <c r="M15490" t="s">
        <v>44149</v>
      </c>
      <c r="N15490" t="s">
        <v>46569</v>
      </c>
      <c r="O15490" t="s">
        <v>46570</v>
      </c>
      <c r="Q15490">
        <v>9</v>
      </c>
      <c r="R15490" t="s">
        <v>46636</v>
      </c>
      <c r="S15490" t="s">
        <v>46944</v>
      </c>
      <c r="T15490" t="s">
        <v>48268</v>
      </c>
      <c r="U15490" t="s">
        <v>61213</v>
      </c>
      <c r="W15490" t="s">
        <v>44149</v>
      </c>
      <c r="X15490" t="s">
        <v>46637</v>
      </c>
    </row>
    <row r="15491" spans="1:24">
      <c r="A15491">
        <f>HYPERLINK("https://www.philgeps.gov.ph/GEPSNONPILOT/Tender/SplashBidNoticeAbstractUI.aspx?menuIndex=3&amp;refID=6927326&amp;Result=3","6927326")</f>
        <v>0</v>
      </c>
      <c r="B15491" t="s">
        <v>3491</v>
      </c>
      <c r="C15491" t="s">
        <v>18281</v>
      </c>
      <c r="D15491" t="s">
        <v>18784</v>
      </c>
      <c r="E15491" t="s">
        <v>32212</v>
      </c>
      <c r="F15491" t="s">
        <v>32664</v>
      </c>
      <c r="G15491" t="s">
        <v>32672</v>
      </c>
      <c r="H15491" t="s">
        <v>12635</v>
      </c>
      <c r="I15491" t="s">
        <v>32746</v>
      </c>
      <c r="J15491" t="s">
        <v>41969</v>
      </c>
      <c r="K15491" t="s">
        <v>42291</v>
      </c>
      <c r="M15491" t="s">
        <v>46506</v>
      </c>
      <c r="N15491" t="s">
        <v>46569</v>
      </c>
      <c r="O15491" t="s">
        <v>46570</v>
      </c>
      <c r="Q15491">
        <v>8</v>
      </c>
      <c r="R15491" t="s">
        <v>46636</v>
      </c>
      <c r="S15491" t="s">
        <v>47935</v>
      </c>
      <c r="T15491" t="s">
        <v>48502</v>
      </c>
      <c r="U15491" t="s">
        <v>61214</v>
      </c>
      <c r="W15491" t="s">
        <v>46506</v>
      </c>
      <c r="X15491" t="s">
        <v>46637</v>
      </c>
    </row>
    <row r="15492" spans="1:24">
      <c r="A15492">
        <f>HYPERLINK("https://www.philgeps.gov.ph/GEPSNONPILOT/Tender/SplashBidNoticeAbstractUI.aspx?menuIndex=3&amp;refID=6932136&amp;Result=3","6932136")</f>
        <v>0</v>
      </c>
      <c r="B15492" t="s">
        <v>1247</v>
      </c>
      <c r="C15492" t="s">
        <v>18282</v>
      </c>
      <c r="D15492" t="s">
        <v>18802</v>
      </c>
      <c r="E15492" t="s">
        <v>32213</v>
      </c>
      <c r="F15492" t="s">
        <v>32664</v>
      </c>
      <c r="G15492" t="s">
        <v>32672</v>
      </c>
      <c r="H15492" t="s">
        <v>32683</v>
      </c>
      <c r="I15492" t="s">
        <v>10627</v>
      </c>
      <c r="J15492" t="s">
        <v>39641</v>
      </c>
      <c r="K15492" t="s">
        <v>42311</v>
      </c>
      <c r="M15492" t="s">
        <v>43889</v>
      </c>
      <c r="N15492" t="s">
        <v>46569</v>
      </c>
      <c r="O15492" t="s">
        <v>46570</v>
      </c>
      <c r="Q15492">
        <v>0</v>
      </c>
      <c r="R15492" t="s">
        <v>46635</v>
      </c>
      <c r="S15492" t="s">
        <v>47936</v>
      </c>
      <c r="T15492" t="s">
        <v>48363</v>
      </c>
      <c r="U15492" t="s">
        <v>61215</v>
      </c>
      <c r="W15492" t="s">
        <v>43889</v>
      </c>
      <c r="X15492" t="s">
        <v>46636</v>
      </c>
    </row>
    <row r="15493" spans="1:24">
      <c r="A15493">
        <f>HYPERLINK("https://www.philgeps.gov.ph/GEPSNONPILOT/Tender/SplashBidNoticeAbstractUI.aspx?menuIndex=3&amp;refID=6927262&amp;Result=3","6927262")</f>
        <v>0</v>
      </c>
      <c r="B15493" t="s">
        <v>137</v>
      </c>
      <c r="C15493" t="s">
        <v>18283</v>
      </c>
      <c r="D15493" t="s">
        <v>18826</v>
      </c>
      <c r="E15493" t="s">
        <v>32214</v>
      </c>
      <c r="F15493" t="s">
        <v>32664</v>
      </c>
      <c r="G15493" t="s">
        <v>32671</v>
      </c>
      <c r="H15493" t="s">
        <v>32682</v>
      </c>
      <c r="I15493" t="s">
        <v>6553</v>
      </c>
      <c r="J15493" t="s">
        <v>41970</v>
      </c>
      <c r="K15493" t="s">
        <v>42369</v>
      </c>
      <c r="M15493" t="s">
        <v>42701</v>
      </c>
      <c r="N15493" t="s">
        <v>46569</v>
      </c>
      <c r="O15493" t="s">
        <v>46570</v>
      </c>
      <c r="Q15493">
        <v>0</v>
      </c>
      <c r="R15493" t="s">
        <v>46636</v>
      </c>
      <c r="S15493" t="s">
        <v>47937</v>
      </c>
      <c r="T15493" t="s">
        <v>48221</v>
      </c>
      <c r="U15493" t="s">
        <v>61216</v>
      </c>
      <c r="W15493" t="s">
        <v>42701</v>
      </c>
      <c r="X15493" t="s">
        <v>46637</v>
      </c>
    </row>
    <row r="15494" spans="1:24">
      <c r="A15494">
        <f>HYPERLINK("https://www.philgeps.gov.ph/GEPSNONPILOT/Tender/SplashBidNoticeAbstractUI.aspx?menuIndex=3&amp;refID=6927356&amp;Result=3","6927356")</f>
        <v>0</v>
      </c>
      <c r="B15494" t="s">
        <v>3050</v>
      </c>
      <c r="C15494" t="s">
        <v>18284</v>
      </c>
      <c r="D15494" t="s">
        <v>18784</v>
      </c>
      <c r="E15494" t="s">
        <v>32201</v>
      </c>
      <c r="F15494" t="s">
        <v>32664</v>
      </c>
      <c r="G15494" t="s">
        <v>32672</v>
      </c>
      <c r="H15494" t="s">
        <v>12635</v>
      </c>
      <c r="I15494" t="s">
        <v>5589</v>
      </c>
      <c r="J15494" t="s">
        <v>33461</v>
      </c>
      <c r="K15494" t="s">
        <v>42281</v>
      </c>
      <c r="M15494" t="s">
        <v>46504</v>
      </c>
      <c r="N15494" t="s">
        <v>46569</v>
      </c>
      <c r="O15494" t="s">
        <v>46570</v>
      </c>
      <c r="Q15494">
        <v>11</v>
      </c>
      <c r="R15494" t="s">
        <v>46636</v>
      </c>
      <c r="S15494" t="s">
        <v>47938</v>
      </c>
      <c r="T15494" t="s">
        <v>48282</v>
      </c>
      <c r="U15494" t="s">
        <v>61204</v>
      </c>
      <c r="W15494" t="s">
        <v>46504</v>
      </c>
      <c r="X15494" t="s">
        <v>46637</v>
      </c>
    </row>
    <row r="15495" spans="1:24">
      <c r="A15495">
        <f>HYPERLINK("https://www.philgeps.gov.ph/GEPSNONPILOT/Tender/SplashBidNoticeAbstractUI.aspx?menuIndex=3&amp;refID=6927192&amp;Result=3","6927192")</f>
        <v>0</v>
      </c>
      <c r="B15495" t="s">
        <v>3050</v>
      </c>
      <c r="C15495" t="s">
        <v>18285</v>
      </c>
      <c r="D15495" t="s">
        <v>18784</v>
      </c>
      <c r="E15495" t="s">
        <v>32201</v>
      </c>
      <c r="F15495" t="s">
        <v>32664</v>
      </c>
      <c r="G15495" t="s">
        <v>32672</v>
      </c>
      <c r="H15495" t="s">
        <v>12635</v>
      </c>
      <c r="I15495" t="s">
        <v>5589</v>
      </c>
      <c r="J15495" t="s">
        <v>41971</v>
      </c>
      <c r="K15495" t="s">
        <v>42281</v>
      </c>
      <c r="M15495" t="s">
        <v>46504</v>
      </c>
      <c r="N15495" t="s">
        <v>46569</v>
      </c>
      <c r="O15495" t="s">
        <v>46570</v>
      </c>
      <c r="Q15495">
        <v>12</v>
      </c>
      <c r="R15495" t="s">
        <v>46636</v>
      </c>
      <c r="S15495" t="s">
        <v>47264</v>
      </c>
      <c r="T15495" t="s">
        <v>48282</v>
      </c>
      <c r="U15495" t="s">
        <v>61204</v>
      </c>
      <c r="W15495" t="s">
        <v>46504</v>
      </c>
      <c r="X15495" t="s">
        <v>46637</v>
      </c>
    </row>
    <row r="15496" spans="1:24">
      <c r="A15496">
        <f>HYPERLINK("https://www.philgeps.gov.ph/GEPSNONPILOT/Tender/SplashBidNoticeAbstractUI.aspx?menuIndex=3&amp;refID=6927464&amp;Result=3","6927464")</f>
        <v>0</v>
      </c>
      <c r="B15496" t="s">
        <v>2892</v>
      </c>
      <c r="C15496" t="s">
        <v>18286</v>
      </c>
      <c r="D15496" t="s">
        <v>18782</v>
      </c>
      <c r="E15496" t="s">
        <v>32215</v>
      </c>
      <c r="F15496" t="s">
        <v>32664</v>
      </c>
      <c r="G15496" t="s">
        <v>32672</v>
      </c>
      <c r="H15496" t="s">
        <v>12635</v>
      </c>
      <c r="I15496" t="s">
        <v>32694</v>
      </c>
      <c r="J15496" t="s">
        <v>41972</v>
      </c>
      <c r="K15496" t="s">
        <v>42289</v>
      </c>
      <c r="M15496" t="s">
        <v>45742</v>
      </c>
      <c r="N15496" t="s">
        <v>46569</v>
      </c>
      <c r="O15496" t="s">
        <v>46570</v>
      </c>
      <c r="Q15496">
        <v>0</v>
      </c>
      <c r="R15496" t="s">
        <v>46636</v>
      </c>
      <c r="S15496" t="s">
        <v>47939</v>
      </c>
      <c r="T15496" t="s">
        <v>48221</v>
      </c>
      <c r="U15496" t="s">
        <v>61217</v>
      </c>
      <c r="V15496" t="s">
        <v>63365</v>
      </c>
      <c r="W15496" t="s">
        <v>45742</v>
      </c>
      <c r="X15496" t="s">
        <v>46637</v>
      </c>
    </row>
    <row r="15497" spans="1:24">
      <c r="A15497">
        <f>HYPERLINK("https://www.philgeps.gov.ph/GEPSNONPILOT/Tender/SplashBidNoticeAbstractUI.aspx?menuIndex=3&amp;refID=6927177&amp;Result=3","6927177")</f>
        <v>0</v>
      </c>
      <c r="B15497" t="s">
        <v>1247</v>
      </c>
      <c r="C15497" t="s">
        <v>18287</v>
      </c>
      <c r="D15497" t="s">
        <v>18802</v>
      </c>
      <c r="E15497" t="s">
        <v>32216</v>
      </c>
      <c r="F15497" t="s">
        <v>32664</v>
      </c>
      <c r="G15497" t="s">
        <v>32672</v>
      </c>
      <c r="H15497" t="s">
        <v>32683</v>
      </c>
      <c r="I15497" t="s">
        <v>10627</v>
      </c>
      <c r="J15497" t="s">
        <v>39641</v>
      </c>
      <c r="K15497" t="s">
        <v>42290</v>
      </c>
      <c r="M15497" t="s">
        <v>43889</v>
      </c>
      <c r="N15497" t="s">
        <v>46569</v>
      </c>
      <c r="O15497" t="s">
        <v>46570</v>
      </c>
      <c r="Q15497">
        <v>0</v>
      </c>
      <c r="R15497" t="s">
        <v>46636</v>
      </c>
      <c r="S15497" t="s">
        <v>47940</v>
      </c>
      <c r="T15497" t="s">
        <v>48415</v>
      </c>
      <c r="U15497" t="s">
        <v>61218</v>
      </c>
      <c r="W15497" t="s">
        <v>43889</v>
      </c>
      <c r="X15497" t="s">
        <v>46637</v>
      </c>
    </row>
    <row r="15498" spans="1:24">
      <c r="A15498">
        <f>HYPERLINK("https://www.philgeps.gov.ph/GEPSNONPILOT/Tender/SplashBidNoticeAbstractUI.aspx?menuIndex=3&amp;refID=6927427&amp;Result=3","6927427")</f>
        <v>0</v>
      </c>
      <c r="B15498" t="s">
        <v>3491</v>
      </c>
      <c r="C15498" t="s">
        <v>18288</v>
      </c>
      <c r="D15498" t="s">
        <v>18784</v>
      </c>
      <c r="E15498" t="s">
        <v>32212</v>
      </c>
      <c r="F15498" t="s">
        <v>32664</v>
      </c>
      <c r="G15498" t="s">
        <v>32672</v>
      </c>
      <c r="H15498" t="s">
        <v>12635</v>
      </c>
      <c r="I15498" t="s">
        <v>32746</v>
      </c>
      <c r="J15498" t="s">
        <v>41973</v>
      </c>
      <c r="K15498" t="s">
        <v>42291</v>
      </c>
      <c r="M15498" t="s">
        <v>46506</v>
      </c>
      <c r="N15498" t="s">
        <v>46569</v>
      </c>
      <c r="O15498" t="s">
        <v>46570</v>
      </c>
      <c r="Q15498">
        <v>8</v>
      </c>
      <c r="R15498" t="s">
        <v>46636</v>
      </c>
      <c r="S15498" t="s">
        <v>47523</v>
      </c>
      <c r="T15498" t="s">
        <v>48502</v>
      </c>
      <c r="U15498" t="s">
        <v>61214</v>
      </c>
      <c r="W15498" t="s">
        <v>46506</v>
      </c>
      <c r="X15498" t="s">
        <v>46637</v>
      </c>
    </row>
    <row r="15499" spans="1:24">
      <c r="A15499">
        <f>HYPERLINK("https://www.philgeps.gov.ph/GEPSNONPILOT/Tender/SplashBidNoticeAbstractUI.aspx?menuIndex=3&amp;refID=6927103&amp;Result=3","6927103")</f>
        <v>0</v>
      </c>
      <c r="B15499" t="s">
        <v>1620</v>
      </c>
      <c r="C15499" t="s">
        <v>18289</v>
      </c>
      <c r="D15499" t="s">
        <v>18784</v>
      </c>
      <c r="E15499" t="s">
        <v>32217</v>
      </c>
      <c r="F15499" t="s">
        <v>32664</v>
      </c>
      <c r="G15499" t="s">
        <v>32672</v>
      </c>
      <c r="H15499" t="s">
        <v>32683</v>
      </c>
      <c r="I15499" t="s">
        <v>10627</v>
      </c>
      <c r="J15499" t="s">
        <v>41974</v>
      </c>
      <c r="K15499" t="s">
        <v>42290</v>
      </c>
      <c r="M15499" t="s">
        <v>44300</v>
      </c>
      <c r="N15499" t="s">
        <v>46569</v>
      </c>
      <c r="O15499" t="s">
        <v>46570</v>
      </c>
      <c r="Q15499">
        <v>17</v>
      </c>
      <c r="R15499" t="s">
        <v>46636</v>
      </c>
      <c r="S15499" t="s">
        <v>47941</v>
      </c>
      <c r="T15499" t="s">
        <v>48366</v>
      </c>
      <c r="U15499" t="s">
        <v>61219</v>
      </c>
      <c r="W15499" t="s">
        <v>44300</v>
      </c>
      <c r="X15499" t="s">
        <v>46637</v>
      </c>
    </row>
    <row r="15500" spans="1:24">
      <c r="A15500">
        <f>HYPERLINK("https://www.philgeps.gov.ph/GEPSNONPILOT/Tender/SplashBidNoticeAbstractUI.aspx?menuIndex=3&amp;refID=6926567&amp;Result=3","6926567")</f>
        <v>0</v>
      </c>
      <c r="B15500" t="s">
        <v>2892</v>
      </c>
      <c r="C15500" t="s">
        <v>18290</v>
      </c>
      <c r="D15500" t="s">
        <v>18782</v>
      </c>
      <c r="E15500" t="s">
        <v>32218</v>
      </c>
      <c r="F15500" t="s">
        <v>32664</v>
      </c>
      <c r="G15500" t="s">
        <v>32672</v>
      </c>
      <c r="H15500" t="s">
        <v>12635</v>
      </c>
      <c r="I15500" t="s">
        <v>10590</v>
      </c>
      <c r="J15500" t="s">
        <v>41975</v>
      </c>
      <c r="K15500" t="s">
        <v>42289</v>
      </c>
      <c r="M15500" t="s">
        <v>45742</v>
      </c>
      <c r="N15500" t="s">
        <v>46569</v>
      </c>
      <c r="O15500" t="s">
        <v>46570</v>
      </c>
      <c r="Q15500">
        <v>0</v>
      </c>
      <c r="R15500" t="s">
        <v>46636</v>
      </c>
      <c r="S15500" t="s">
        <v>47942</v>
      </c>
      <c r="T15500" t="s">
        <v>48221</v>
      </c>
      <c r="U15500" t="s">
        <v>61220</v>
      </c>
      <c r="V15500" t="s">
        <v>63366</v>
      </c>
      <c r="W15500" t="s">
        <v>45742</v>
      </c>
      <c r="X15500" t="s">
        <v>46637</v>
      </c>
    </row>
    <row r="15501" spans="1:24">
      <c r="A15501">
        <f>HYPERLINK("https://www.philgeps.gov.ph/GEPSNONPILOT/Tender/SplashBidNoticeAbstractUI.aspx?menuIndex=3&amp;refID=6927229&amp;Result=3","6927229")</f>
        <v>0</v>
      </c>
      <c r="B15501" t="s">
        <v>3050</v>
      </c>
      <c r="C15501" t="s">
        <v>18291</v>
      </c>
      <c r="D15501" t="s">
        <v>18784</v>
      </c>
      <c r="E15501" t="s">
        <v>32201</v>
      </c>
      <c r="F15501" t="s">
        <v>32664</v>
      </c>
      <c r="G15501" t="s">
        <v>32672</v>
      </c>
      <c r="H15501" t="s">
        <v>12635</v>
      </c>
      <c r="I15501" t="s">
        <v>5589</v>
      </c>
      <c r="J15501" t="s">
        <v>33128</v>
      </c>
      <c r="K15501" t="s">
        <v>42281</v>
      </c>
      <c r="M15501" t="s">
        <v>46504</v>
      </c>
      <c r="N15501" t="s">
        <v>46569</v>
      </c>
      <c r="O15501" t="s">
        <v>46570</v>
      </c>
      <c r="Q15501">
        <v>8</v>
      </c>
      <c r="R15501" t="s">
        <v>46636</v>
      </c>
      <c r="S15501" t="s">
        <v>47266</v>
      </c>
      <c r="T15501" t="s">
        <v>48282</v>
      </c>
      <c r="U15501" t="s">
        <v>61204</v>
      </c>
      <c r="W15501" t="s">
        <v>46504</v>
      </c>
      <c r="X15501" t="s">
        <v>46637</v>
      </c>
    </row>
    <row r="15502" spans="1:24">
      <c r="A15502">
        <f>HYPERLINK("https://www.philgeps.gov.ph/GEPSNONPILOT/Tender/SplashBidNoticeAbstractUI.aspx?menuIndex=3&amp;refID=6924175&amp;Result=3","6924175")</f>
        <v>0</v>
      </c>
      <c r="B15502" t="s">
        <v>2427</v>
      </c>
      <c r="C15502" t="s">
        <v>18292</v>
      </c>
      <c r="D15502" t="s">
        <v>18784</v>
      </c>
      <c r="E15502" t="s">
        <v>32219</v>
      </c>
      <c r="F15502" t="s">
        <v>32664</v>
      </c>
      <c r="G15502" t="s">
        <v>32672</v>
      </c>
      <c r="H15502" t="s">
        <v>12635</v>
      </c>
      <c r="I15502" t="s">
        <v>4333</v>
      </c>
      <c r="J15502" t="s">
        <v>34127</v>
      </c>
      <c r="K15502" t="s">
        <v>42281</v>
      </c>
      <c r="M15502" t="s">
        <v>45219</v>
      </c>
      <c r="N15502" t="s">
        <v>46569</v>
      </c>
      <c r="O15502" t="s">
        <v>46570</v>
      </c>
      <c r="Q15502">
        <v>4</v>
      </c>
      <c r="R15502" t="s">
        <v>46637</v>
      </c>
      <c r="S15502" t="s">
        <v>46864</v>
      </c>
      <c r="T15502" t="s">
        <v>48244</v>
      </c>
      <c r="U15502" t="s">
        <v>61221</v>
      </c>
      <c r="W15502" t="s">
        <v>45219</v>
      </c>
      <c r="X15502" t="s">
        <v>46638</v>
      </c>
    </row>
    <row r="15503" spans="1:24">
      <c r="A15503">
        <f>HYPERLINK("https://www.philgeps.gov.ph/GEPSNONPILOT/Tender/SplashBidNoticeAbstractUI.aspx?menuIndex=3&amp;refID=6923653&amp;Result=3","6923653")</f>
        <v>0</v>
      </c>
      <c r="B15503" t="s">
        <v>1579</v>
      </c>
      <c r="C15503" t="s">
        <v>18293</v>
      </c>
      <c r="D15503" t="s">
        <v>18831</v>
      </c>
      <c r="E15503" t="s">
        <v>32220</v>
      </c>
      <c r="F15503" t="s">
        <v>32664</v>
      </c>
      <c r="G15503" t="s">
        <v>32672</v>
      </c>
      <c r="H15503" t="s">
        <v>12635</v>
      </c>
      <c r="I15503" t="s">
        <v>5589</v>
      </c>
      <c r="J15503" t="s">
        <v>33150</v>
      </c>
      <c r="K15503" t="s">
        <v>42281</v>
      </c>
      <c r="M15503" t="s">
        <v>44255</v>
      </c>
      <c r="N15503" t="s">
        <v>46569</v>
      </c>
      <c r="O15503" t="s">
        <v>46570</v>
      </c>
      <c r="Q15503">
        <v>8</v>
      </c>
      <c r="R15503" t="s">
        <v>46637</v>
      </c>
      <c r="S15503" t="s">
        <v>47943</v>
      </c>
      <c r="T15503" t="s">
        <v>48339</v>
      </c>
      <c r="U15503" t="s">
        <v>61222</v>
      </c>
      <c r="W15503" t="s">
        <v>44255</v>
      </c>
      <c r="X15503" t="s">
        <v>46638</v>
      </c>
    </row>
    <row r="15504" spans="1:24">
      <c r="A15504">
        <f>HYPERLINK("https://www.philgeps.gov.ph/GEPSNONPILOT/Tender/SplashBidNoticeAbstractUI.aspx?menuIndex=3&amp;refID=6920253&amp;Result=3","6920253")</f>
        <v>0</v>
      </c>
      <c r="B15504" t="s">
        <v>3050</v>
      </c>
      <c r="C15504" t="s">
        <v>18294</v>
      </c>
      <c r="D15504" t="s">
        <v>18784</v>
      </c>
      <c r="E15504" t="s">
        <v>32201</v>
      </c>
      <c r="F15504" t="s">
        <v>32664</v>
      </c>
      <c r="G15504" t="s">
        <v>32672</v>
      </c>
      <c r="H15504" t="s">
        <v>12635</v>
      </c>
      <c r="I15504" t="s">
        <v>5589</v>
      </c>
      <c r="J15504" t="s">
        <v>41976</v>
      </c>
      <c r="K15504" t="s">
        <v>42281</v>
      </c>
      <c r="M15504" t="s">
        <v>46504</v>
      </c>
      <c r="N15504" t="s">
        <v>46569</v>
      </c>
      <c r="O15504" t="s">
        <v>46570</v>
      </c>
      <c r="Q15504">
        <v>21</v>
      </c>
      <c r="R15504" t="s">
        <v>46636</v>
      </c>
      <c r="S15504" t="s">
        <v>47349</v>
      </c>
      <c r="T15504" t="s">
        <v>48282</v>
      </c>
      <c r="U15504" t="s">
        <v>61204</v>
      </c>
      <c r="W15504" t="s">
        <v>46504</v>
      </c>
      <c r="X15504" t="s">
        <v>46641</v>
      </c>
    </row>
    <row r="15505" spans="1:24">
      <c r="A15505">
        <f>HYPERLINK("https://www.philgeps.gov.ph/GEPSNONPILOT/Tender/SplashBidNoticeAbstractUI.aspx?menuIndex=3&amp;refID=6927037&amp;Result=3","6927037")</f>
        <v>0</v>
      </c>
      <c r="B15505" t="s">
        <v>3050</v>
      </c>
      <c r="C15505" t="s">
        <v>18295</v>
      </c>
      <c r="D15505" t="s">
        <v>18784</v>
      </c>
      <c r="E15505" t="s">
        <v>32201</v>
      </c>
      <c r="F15505" t="s">
        <v>32664</v>
      </c>
      <c r="G15505" t="s">
        <v>32672</v>
      </c>
      <c r="H15505" t="s">
        <v>12635</v>
      </c>
      <c r="I15505" t="s">
        <v>5589</v>
      </c>
      <c r="J15505" t="s">
        <v>41977</v>
      </c>
      <c r="K15505" t="s">
        <v>42281</v>
      </c>
      <c r="M15505" t="s">
        <v>46504</v>
      </c>
      <c r="N15505" t="s">
        <v>46569</v>
      </c>
      <c r="O15505" t="s">
        <v>46570</v>
      </c>
      <c r="Q15505">
        <v>9</v>
      </c>
      <c r="R15505" t="s">
        <v>46636</v>
      </c>
      <c r="S15505" t="s">
        <v>47906</v>
      </c>
      <c r="T15505" t="s">
        <v>48282</v>
      </c>
      <c r="U15505" t="s">
        <v>61204</v>
      </c>
      <c r="W15505" t="s">
        <v>46504</v>
      </c>
      <c r="X15505" t="s">
        <v>46637</v>
      </c>
    </row>
    <row r="15506" spans="1:24">
      <c r="A15506">
        <f>HYPERLINK("https://www.philgeps.gov.ph/GEPSNONPILOT/Tender/SplashBidNoticeAbstractUI.aspx?menuIndex=3&amp;refID=6922433&amp;Result=3","6922433")</f>
        <v>0</v>
      </c>
      <c r="B15506" t="s">
        <v>3492</v>
      </c>
      <c r="C15506" t="s">
        <v>18296</v>
      </c>
      <c r="D15506" t="s">
        <v>18784</v>
      </c>
      <c r="E15506" t="s">
        <v>32221</v>
      </c>
      <c r="F15506" t="s">
        <v>32664</v>
      </c>
      <c r="G15506" t="s">
        <v>32671</v>
      </c>
      <c r="H15506" t="s">
        <v>12635</v>
      </c>
      <c r="I15506" t="s">
        <v>32692</v>
      </c>
      <c r="J15506" t="s">
        <v>41978</v>
      </c>
      <c r="K15506" t="s">
        <v>42281</v>
      </c>
      <c r="M15506" t="s">
        <v>46507</v>
      </c>
      <c r="N15506" t="s">
        <v>46569</v>
      </c>
      <c r="O15506" t="s">
        <v>46570</v>
      </c>
      <c r="Q15506">
        <v>2</v>
      </c>
      <c r="R15506" t="s">
        <v>46637</v>
      </c>
      <c r="S15506" t="s">
        <v>47944</v>
      </c>
      <c r="T15506" t="s">
        <v>48316</v>
      </c>
      <c r="U15506" t="s">
        <v>61223</v>
      </c>
      <c r="W15506" t="s">
        <v>46507</v>
      </c>
      <c r="X15506" t="s">
        <v>46638</v>
      </c>
    </row>
    <row r="15507" spans="1:24">
      <c r="A15507">
        <f>HYPERLINK("https://www.philgeps.gov.ph/GEPSNONPILOT/Tender/SplashBidNoticeAbstractUI.aspx?menuIndex=3&amp;refID=6923450&amp;Result=3","6923450")</f>
        <v>0</v>
      </c>
      <c r="B15507" t="s">
        <v>1620</v>
      </c>
      <c r="C15507" t="s">
        <v>18297</v>
      </c>
      <c r="D15507" t="s">
        <v>18784</v>
      </c>
      <c r="E15507" t="s">
        <v>32222</v>
      </c>
      <c r="F15507" t="s">
        <v>32664</v>
      </c>
      <c r="G15507" t="s">
        <v>32672</v>
      </c>
      <c r="H15507" t="s">
        <v>32683</v>
      </c>
      <c r="I15507" t="s">
        <v>10627</v>
      </c>
      <c r="J15507" t="s">
        <v>41979</v>
      </c>
      <c r="K15507" t="s">
        <v>42397</v>
      </c>
      <c r="M15507" t="s">
        <v>44300</v>
      </c>
      <c r="N15507" t="s">
        <v>46569</v>
      </c>
      <c r="O15507" t="s">
        <v>46570</v>
      </c>
      <c r="Q15507">
        <v>37</v>
      </c>
      <c r="R15507" t="s">
        <v>46637</v>
      </c>
      <c r="S15507" t="s">
        <v>47945</v>
      </c>
      <c r="T15507" t="s">
        <v>48366</v>
      </c>
      <c r="U15507" t="s">
        <v>61224</v>
      </c>
      <c r="W15507" t="s">
        <v>44300</v>
      </c>
      <c r="X15507" t="s">
        <v>46638</v>
      </c>
    </row>
    <row r="15508" spans="1:24">
      <c r="A15508">
        <f>HYPERLINK("https://www.philgeps.gov.ph/GEPSNONPILOT/Tender/SplashBidNoticeAbstractUI.aspx?menuIndex=3&amp;refID=6912044&amp;Result=3","6912044")</f>
        <v>0</v>
      </c>
      <c r="B15508" t="s">
        <v>3492</v>
      </c>
      <c r="C15508" t="s">
        <v>18298</v>
      </c>
      <c r="D15508" t="s">
        <v>18784</v>
      </c>
      <c r="E15508" t="s">
        <v>32223</v>
      </c>
      <c r="F15508" t="s">
        <v>32664</v>
      </c>
      <c r="G15508" t="s">
        <v>32671</v>
      </c>
      <c r="H15508" t="s">
        <v>12635</v>
      </c>
      <c r="I15508" t="s">
        <v>32729</v>
      </c>
      <c r="J15508" t="s">
        <v>41980</v>
      </c>
      <c r="K15508" t="s">
        <v>42289</v>
      </c>
      <c r="M15508" t="s">
        <v>46507</v>
      </c>
      <c r="N15508" t="s">
        <v>46569</v>
      </c>
      <c r="O15508" t="s">
        <v>46570</v>
      </c>
      <c r="Q15508">
        <v>2</v>
      </c>
      <c r="R15508" t="s">
        <v>46637</v>
      </c>
      <c r="S15508" t="s">
        <v>47946</v>
      </c>
      <c r="T15508" t="s">
        <v>48316</v>
      </c>
      <c r="U15508" t="s">
        <v>61225</v>
      </c>
      <c r="W15508" t="s">
        <v>46507</v>
      </c>
      <c r="X15508" t="s">
        <v>46642</v>
      </c>
    </row>
    <row r="15509" spans="1:24">
      <c r="A15509">
        <f>HYPERLINK("https://www.philgeps.gov.ph/GEPSNONPILOT/Tender/SplashBidNoticeAbstractUI.aspx?menuIndex=3&amp;refID=6911731&amp;Result=3","6911731")</f>
        <v>0</v>
      </c>
      <c r="B15509" t="s">
        <v>62</v>
      </c>
      <c r="C15509" t="s">
        <v>18299</v>
      </c>
      <c r="D15509" t="s">
        <v>18810</v>
      </c>
      <c r="E15509" t="s">
        <v>32224</v>
      </c>
      <c r="F15509" t="s">
        <v>32664</v>
      </c>
      <c r="G15509" t="s">
        <v>32672</v>
      </c>
      <c r="H15509" t="s">
        <v>12635</v>
      </c>
      <c r="I15509" t="s">
        <v>32698</v>
      </c>
      <c r="J15509" t="s">
        <v>32865</v>
      </c>
      <c r="K15509" t="s">
        <v>42281</v>
      </c>
      <c r="M15509" t="s">
        <v>42625</v>
      </c>
      <c r="N15509" t="s">
        <v>46569</v>
      </c>
      <c r="O15509" t="s">
        <v>46570</v>
      </c>
      <c r="Q15509">
        <v>1</v>
      </c>
      <c r="R15509" t="s">
        <v>46637</v>
      </c>
      <c r="S15509" t="s">
        <v>47947</v>
      </c>
      <c r="T15509" t="s">
        <v>48376</v>
      </c>
      <c r="U15509" t="s">
        <v>61226</v>
      </c>
      <c r="W15509" t="s">
        <v>42625</v>
      </c>
      <c r="X15509" t="s">
        <v>46642</v>
      </c>
    </row>
    <row r="15510" spans="1:24">
      <c r="A15510">
        <f>HYPERLINK("https://www.philgeps.gov.ph/GEPSNONPILOT/Tender/SplashBidNoticeAbstractUI.aspx?menuIndex=3&amp;refID=6903317&amp;Result=3","6903317")</f>
        <v>0</v>
      </c>
      <c r="B15510" t="s">
        <v>1699</v>
      </c>
      <c r="C15510" t="s">
        <v>18300</v>
      </c>
      <c r="D15510" t="s">
        <v>18791</v>
      </c>
      <c r="E15510" t="s">
        <v>32225</v>
      </c>
      <c r="F15510" t="s">
        <v>32664</v>
      </c>
      <c r="G15510" t="s">
        <v>32673</v>
      </c>
      <c r="H15510" t="s">
        <v>32681</v>
      </c>
      <c r="I15510" t="s">
        <v>32681</v>
      </c>
      <c r="J15510" t="s">
        <v>41981</v>
      </c>
      <c r="K15510" t="s">
        <v>42283</v>
      </c>
      <c r="L15510" t="s">
        <v>1699</v>
      </c>
      <c r="M15510" t="s">
        <v>44393</v>
      </c>
      <c r="N15510" t="s">
        <v>46569</v>
      </c>
      <c r="O15510" t="s">
        <v>46570</v>
      </c>
      <c r="Q15510">
        <v>12</v>
      </c>
      <c r="R15510" t="s">
        <v>46637</v>
      </c>
      <c r="S15510" t="s">
        <v>47948</v>
      </c>
      <c r="T15510" t="s">
        <v>48236</v>
      </c>
      <c r="U15510" t="s">
        <v>61227</v>
      </c>
      <c r="W15510" t="s">
        <v>44393</v>
      </c>
      <c r="X15510" t="s">
        <v>46646</v>
      </c>
    </row>
    <row r="15511" spans="1:24">
      <c r="A15511">
        <f>HYPERLINK("https://www.philgeps.gov.ph/GEPSNONPILOT/Tender/SplashBidNoticeAbstractUI.aspx?menuIndex=3&amp;refID=6927298&amp;Result=3","6927298")</f>
        <v>0</v>
      </c>
      <c r="B15511" t="s">
        <v>3050</v>
      </c>
      <c r="C15511" t="s">
        <v>18301</v>
      </c>
      <c r="D15511" t="s">
        <v>18784</v>
      </c>
      <c r="E15511" t="s">
        <v>32201</v>
      </c>
      <c r="F15511" t="s">
        <v>32664</v>
      </c>
      <c r="G15511" t="s">
        <v>32672</v>
      </c>
      <c r="H15511" t="s">
        <v>12635</v>
      </c>
      <c r="I15511" t="s">
        <v>5589</v>
      </c>
      <c r="J15511" t="s">
        <v>41982</v>
      </c>
      <c r="K15511" t="s">
        <v>42281</v>
      </c>
      <c r="M15511" t="s">
        <v>46504</v>
      </c>
      <c r="N15511" t="s">
        <v>46569</v>
      </c>
      <c r="O15511" t="s">
        <v>46570</v>
      </c>
      <c r="Q15511">
        <v>11</v>
      </c>
      <c r="R15511" t="s">
        <v>46636</v>
      </c>
      <c r="S15511" t="s">
        <v>47949</v>
      </c>
      <c r="T15511" t="s">
        <v>48282</v>
      </c>
      <c r="U15511" t="s">
        <v>61204</v>
      </c>
      <c r="W15511" t="s">
        <v>46504</v>
      </c>
      <c r="X15511" t="s">
        <v>46637</v>
      </c>
    </row>
    <row r="15512" spans="1:24">
      <c r="A15512">
        <f>HYPERLINK("https://www.philgeps.gov.ph/GEPSNONPILOT/Tender/SplashBidNoticeAbstractUI.aspx?menuIndex=3&amp;refID=6928859&amp;Result=3","6928859")</f>
        <v>0</v>
      </c>
      <c r="B15512" t="s">
        <v>3493</v>
      </c>
      <c r="C15512" t="s">
        <v>18302</v>
      </c>
      <c r="D15512" t="s">
        <v>18860</v>
      </c>
      <c r="E15512" t="s">
        <v>32226</v>
      </c>
      <c r="F15512" t="s">
        <v>32664</v>
      </c>
      <c r="G15512" t="s">
        <v>32672</v>
      </c>
      <c r="H15512" t="s">
        <v>32683</v>
      </c>
      <c r="I15512" t="s">
        <v>10627</v>
      </c>
      <c r="J15512" t="s">
        <v>41983</v>
      </c>
      <c r="K15512" t="s">
        <v>42283</v>
      </c>
      <c r="M15512" t="s">
        <v>46508</v>
      </c>
      <c r="N15512" t="s">
        <v>46569</v>
      </c>
      <c r="O15512" t="s">
        <v>46570</v>
      </c>
      <c r="Q15512">
        <v>0</v>
      </c>
      <c r="R15512" t="s">
        <v>46636</v>
      </c>
      <c r="S15512" t="s">
        <v>47950</v>
      </c>
      <c r="T15512" t="s">
        <v>48313</v>
      </c>
      <c r="U15512" t="s">
        <v>61228</v>
      </c>
      <c r="W15512" t="s">
        <v>46508</v>
      </c>
      <c r="X15512" t="s">
        <v>46637</v>
      </c>
    </row>
    <row r="15513" spans="1:24">
      <c r="A15513">
        <f>HYPERLINK("https://www.philgeps.gov.ph/GEPSNONPILOT/Tender/SplashBidNoticeAbstractUI.aspx?menuIndex=3&amp;refID=6912962&amp;Result=3","6912962")</f>
        <v>0</v>
      </c>
      <c r="B15513" t="s">
        <v>3492</v>
      </c>
      <c r="C15513" t="s">
        <v>18303</v>
      </c>
      <c r="D15513" t="s">
        <v>18784</v>
      </c>
      <c r="E15513" t="s">
        <v>32227</v>
      </c>
      <c r="F15513" t="s">
        <v>32664</v>
      </c>
      <c r="G15513" t="s">
        <v>32675</v>
      </c>
      <c r="H15513" t="s">
        <v>12635</v>
      </c>
      <c r="I15513" t="s">
        <v>6168</v>
      </c>
      <c r="J15513" t="s">
        <v>32851</v>
      </c>
      <c r="K15513" t="s">
        <v>42303</v>
      </c>
      <c r="M15513" t="s">
        <v>46507</v>
      </c>
      <c r="N15513" t="s">
        <v>46569</v>
      </c>
      <c r="O15513" t="s">
        <v>46570</v>
      </c>
      <c r="Q15513">
        <v>7</v>
      </c>
      <c r="R15513" t="s">
        <v>46637</v>
      </c>
      <c r="S15513" t="s">
        <v>47951</v>
      </c>
      <c r="T15513" t="s">
        <v>48316</v>
      </c>
      <c r="U15513" t="s">
        <v>61229</v>
      </c>
      <c r="W15513" t="s">
        <v>46507</v>
      </c>
      <c r="X15513" t="s">
        <v>46640</v>
      </c>
    </row>
    <row r="15514" spans="1:24">
      <c r="A15514">
        <f>HYPERLINK("https://www.philgeps.gov.ph/GEPSNONPILOT/Tender/SplashBidNoticeAbstractUI.aspx?menuIndex=3&amp;refID=6923509&amp;Result=3","6923509")</f>
        <v>0</v>
      </c>
      <c r="B15514" t="s">
        <v>1579</v>
      </c>
      <c r="C15514" t="s">
        <v>18304</v>
      </c>
      <c r="D15514" t="s">
        <v>18831</v>
      </c>
      <c r="E15514" t="s">
        <v>32228</v>
      </c>
      <c r="F15514" t="s">
        <v>32664</v>
      </c>
      <c r="G15514" t="s">
        <v>32672</v>
      </c>
      <c r="H15514" t="s">
        <v>12635</v>
      </c>
      <c r="I15514" t="s">
        <v>32704</v>
      </c>
      <c r="J15514" t="s">
        <v>32837</v>
      </c>
      <c r="K15514" t="s">
        <v>42281</v>
      </c>
      <c r="M15514" t="s">
        <v>44255</v>
      </c>
      <c r="N15514" t="s">
        <v>46569</v>
      </c>
      <c r="O15514" t="s">
        <v>46570</v>
      </c>
      <c r="Q15514">
        <v>10</v>
      </c>
      <c r="R15514" t="s">
        <v>46637</v>
      </c>
      <c r="S15514" t="s">
        <v>47952</v>
      </c>
      <c r="T15514" t="s">
        <v>48222</v>
      </c>
      <c r="U15514" t="s">
        <v>61230</v>
      </c>
      <c r="W15514" t="s">
        <v>44255</v>
      </c>
      <c r="X15514" t="s">
        <v>46638</v>
      </c>
    </row>
    <row r="15515" spans="1:24">
      <c r="A15515">
        <f>HYPERLINK("https://www.philgeps.gov.ph/GEPSNONPILOT/Tender/SplashBidNoticeAbstractUI.aspx?menuIndex=3&amp;refID=6928814&amp;Result=3","6928814")</f>
        <v>0</v>
      </c>
      <c r="B15515" t="s">
        <v>3493</v>
      </c>
      <c r="C15515" t="s">
        <v>18305</v>
      </c>
      <c r="D15515" t="s">
        <v>18860</v>
      </c>
      <c r="E15515" t="s">
        <v>32229</v>
      </c>
      <c r="F15515" t="s">
        <v>32664</v>
      </c>
      <c r="G15515" t="s">
        <v>32672</v>
      </c>
      <c r="H15515" t="s">
        <v>32683</v>
      </c>
      <c r="I15515" t="s">
        <v>10627</v>
      </c>
      <c r="J15515" t="s">
        <v>41984</v>
      </c>
      <c r="K15515" t="s">
        <v>42283</v>
      </c>
      <c r="M15515" t="s">
        <v>46508</v>
      </c>
      <c r="N15515" t="s">
        <v>46569</v>
      </c>
      <c r="O15515" t="s">
        <v>46570</v>
      </c>
      <c r="Q15515">
        <v>1</v>
      </c>
      <c r="R15515" t="s">
        <v>46636</v>
      </c>
      <c r="S15515" t="s">
        <v>47953</v>
      </c>
      <c r="T15515" t="s">
        <v>48313</v>
      </c>
      <c r="U15515" t="s">
        <v>61228</v>
      </c>
      <c r="W15515" t="s">
        <v>46508</v>
      </c>
      <c r="X15515" t="s">
        <v>46637</v>
      </c>
    </row>
    <row r="15516" spans="1:24">
      <c r="A15516">
        <f>HYPERLINK("https://www.philgeps.gov.ph/GEPSNONPILOT/Tender/SplashBidNoticeAbstractUI.aspx?menuIndex=3&amp;refID=6928800&amp;Result=3","6928800")</f>
        <v>0</v>
      </c>
      <c r="B15516" t="s">
        <v>3493</v>
      </c>
      <c r="C15516" t="s">
        <v>18306</v>
      </c>
      <c r="D15516" t="s">
        <v>18860</v>
      </c>
      <c r="E15516" t="s">
        <v>32230</v>
      </c>
      <c r="F15516" t="s">
        <v>32664</v>
      </c>
      <c r="G15516" t="s">
        <v>32672</v>
      </c>
      <c r="H15516" t="s">
        <v>32683</v>
      </c>
      <c r="I15516" t="s">
        <v>10627</v>
      </c>
      <c r="J15516" t="s">
        <v>41985</v>
      </c>
      <c r="K15516" t="s">
        <v>42283</v>
      </c>
      <c r="M15516" t="s">
        <v>46508</v>
      </c>
      <c r="N15516" t="s">
        <v>46569</v>
      </c>
      <c r="O15516" t="s">
        <v>46570</v>
      </c>
      <c r="Q15516">
        <v>0</v>
      </c>
      <c r="R15516" t="s">
        <v>46636</v>
      </c>
      <c r="S15516" t="s">
        <v>47954</v>
      </c>
      <c r="T15516" t="s">
        <v>48313</v>
      </c>
      <c r="U15516" t="s">
        <v>61228</v>
      </c>
      <c r="W15516" t="s">
        <v>46508</v>
      </c>
      <c r="X15516" t="s">
        <v>46637</v>
      </c>
    </row>
    <row r="15517" spans="1:24">
      <c r="A15517">
        <f>HYPERLINK("https://www.philgeps.gov.ph/GEPSNONPILOT/Tender/SplashBidNoticeAbstractUI.aspx?menuIndex=3&amp;refID=6928788&amp;Result=3","6928788")</f>
        <v>0</v>
      </c>
      <c r="B15517" t="s">
        <v>3493</v>
      </c>
      <c r="C15517" t="s">
        <v>18307</v>
      </c>
      <c r="D15517" t="s">
        <v>18860</v>
      </c>
      <c r="E15517" t="s">
        <v>32231</v>
      </c>
      <c r="F15517" t="s">
        <v>32664</v>
      </c>
      <c r="G15517" t="s">
        <v>32672</v>
      </c>
      <c r="H15517" t="s">
        <v>32683</v>
      </c>
      <c r="I15517" t="s">
        <v>10627</v>
      </c>
      <c r="J15517" t="s">
        <v>41986</v>
      </c>
      <c r="K15517" t="s">
        <v>42283</v>
      </c>
      <c r="M15517" t="s">
        <v>46508</v>
      </c>
      <c r="N15517" t="s">
        <v>46569</v>
      </c>
      <c r="O15517" t="s">
        <v>46570</v>
      </c>
      <c r="Q15517">
        <v>0</v>
      </c>
      <c r="R15517" t="s">
        <v>46636</v>
      </c>
      <c r="S15517" t="s">
        <v>47955</v>
      </c>
      <c r="T15517" t="s">
        <v>48313</v>
      </c>
      <c r="U15517" t="s">
        <v>61228</v>
      </c>
      <c r="W15517" t="s">
        <v>46508</v>
      </c>
      <c r="X15517" t="s">
        <v>46637</v>
      </c>
    </row>
    <row r="15518" spans="1:24">
      <c r="A15518">
        <f>HYPERLINK("https://www.philgeps.gov.ph/GEPSNONPILOT/Tender/SplashBidNoticeAbstractUI.aspx?menuIndex=3&amp;refID=6928514&amp;Result=3","6928514")</f>
        <v>0</v>
      </c>
      <c r="B15518" t="s">
        <v>3494</v>
      </c>
      <c r="C15518" t="s">
        <v>18308</v>
      </c>
      <c r="D15518" t="s">
        <v>18785</v>
      </c>
      <c r="E15518" t="s">
        <v>32232</v>
      </c>
      <c r="F15518" t="s">
        <v>32664</v>
      </c>
      <c r="G15518" t="s">
        <v>32672</v>
      </c>
      <c r="H15518" t="s">
        <v>12635</v>
      </c>
      <c r="I15518" t="s">
        <v>5589</v>
      </c>
      <c r="J15518" t="s">
        <v>41987</v>
      </c>
      <c r="K15518" t="s">
        <v>42298</v>
      </c>
      <c r="M15518" t="s">
        <v>46509</v>
      </c>
      <c r="N15518" t="s">
        <v>46569</v>
      </c>
      <c r="O15518" t="s">
        <v>46570</v>
      </c>
      <c r="Q15518">
        <v>10</v>
      </c>
      <c r="R15518" t="s">
        <v>46636</v>
      </c>
      <c r="S15518" t="s">
        <v>47956</v>
      </c>
      <c r="T15518" t="s">
        <v>48244</v>
      </c>
      <c r="U15518" t="s">
        <v>61231</v>
      </c>
      <c r="W15518" t="s">
        <v>46509</v>
      </c>
      <c r="X15518" t="s">
        <v>46637</v>
      </c>
    </row>
    <row r="15519" spans="1:24">
      <c r="A15519">
        <f>HYPERLINK("https://www.philgeps.gov.ph/GEPSNONPILOT/Tender/SplashBidNoticeAbstractUI.aspx?menuIndex=3&amp;refID=6924513&amp;Result=3","6924513")</f>
        <v>0</v>
      </c>
      <c r="B15519" t="s">
        <v>592</v>
      </c>
      <c r="C15519" t="s">
        <v>18309</v>
      </c>
      <c r="D15519" t="s">
        <v>18784</v>
      </c>
      <c r="E15519" t="s">
        <v>32233</v>
      </c>
      <c r="F15519" t="s">
        <v>32664</v>
      </c>
      <c r="G15519" t="s">
        <v>32672</v>
      </c>
      <c r="H15519" t="s">
        <v>12635</v>
      </c>
      <c r="I15519" t="s">
        <v>5589</v>
      </c>
      <c r="J15519" t="s">
        <v>37840</v>
      </c>
      <c r="K15519" t="s">
        <v>42281</v>
      </c>
      <c r="M15519" t="s">
        <v>43411</v>
      </c>
      <c r="N15519" t="s">
        <v>46569</v>
      </c>
      <c r="O15519" t="s">
        <v>46570</v>
      </c>
      <c r="Q15519">
        <v>7</v>
      </c>
      <c r="R15519" t="s">
        <v>46637</v>
      </c>
      <c r="S15519" t="s">
        <v>47957</v>
      </c>
      <c r="T15519" t="s">
        <v>48661</v>
      </c>
      <c r="U15519" t="s">
        <v>61232</v>
      </c>
      <c r="V15519" t="s">
        <v>63367</v>
      </c>
      <c r="W15519" t="s">
        <v>43411</v>
      </c>
      <c r="X15519" t="s">
        <v>46638</v>
      </c>
    </row>
    <row r="15520" spans="1:24">
      <c r="A15520">
        <f>HYPERLINK("https://www.philgeps.gov.ph/GEPSNONPILOT/Tender/SplashBidNoticeAbstractUI.aspx?menuIndex=3&amp;refID=6928834&amp;Result=3","6928834")</f>
        <v>0</v>
      </c>
      <c r="B15520" t="s">
        <v>3493</v>
      </c>
      <c r="C15520" t="s">
        <v>18310</v>
      </c>
      <c r="D15520" t="s">
        <v>18860</v>
      </c>
      <c r="E15520" t="s">
        <v>32234</v>
      </c>
      <c r="F15520" t="s">
        <v>32664</v>
      </c>
      <c r="G15520" t="s">
        <v>32672</v>
      </c>
      <c r="H15520" t="s">
        <v>32683</v>
      </c>
      <c r="I15520" t="s">
        <v>10627</v>
      </c>
      <c r="J15520" t="s">
        <v>41988</v>
      </c>
      <c r="K15520" t="s">
        <v>42283</v>
      </c>
      <c r="M15520" t="s">
        <v>46508</v>
      </c>
      <c r="N15520" t="s">
        <v>46569</v>
      </c>
      <c r="O15520" t="s">
        <v>46570</v>
      </c>
      <c r="Q15520">
        <v>0</v>
      </c>
      <c r="R15520" t="s">
        <v>46636</v>
      </c>
      <c r="S15520" t="s">
        <v>47854</v>
      </c>
      <c r="T15520" t="s">
        <v>48313</v>
      </c>
      <c r="U15520" t="s">
        <v>61228</v>
      </c>
      <c r="W15520" t="s">
        <v>46508</v>
      </c>
      <c r="X15520" t="s">
        <v>46637</v>
      </c>
    </row>
    <row r="15521" spans="1:24">
      <c r="A15521">
        <f>HYPERLINK("https://www.philgeps.gov.ph/GEPSNONPILOT/Tender/SplashBidNoticeAbstractUI.aspx?menuIndex=3&amp;refID=6919995&amp;Result=3","6919995")</f>
        <v>0</v>
      </c>
      <c r="B15521" t="s">
        <v>1247</v>
      </c>
      <c r="C15521" t="s">
        <v>18311</v>
      </c>
      <c r="D15521" t="s">
        <v>18802</v>
      </c>
      <c r="E15521" t="s">
        <v>32235</v>
      </c>
      <c r="F15521" t="s">
        <v>32664</v>
      </c>
      <c r="G15521" t="s">
        <v>32672</v>
      </c>
      <c r="H15521" t="s">
        <v>32683</v>
      </c>
      <c r="I15521" t="s">
        <v>10627</v>
      </c>
      <c r="J15521" t="s">
        <v>39641</v>
      </c>
      <c r="K15521" t="s">
        <v>42311</v>
      </c>
      <c r="M15521" t="s">
        <v>43889</v>
      </c>
      <c r="N15521" t="s">
        <v>46569</v>
      </c>
      <c r="O15521" t="s">
        <v>46570</v>
      </c>
      <c r="Q15521">
        <v>0</v>
      </c>
      <c r="R15521" t="s">
        <v>46638</v>
      </c>
      <c r="S15521" t="s">
        <v>47958</v>
      </c>
      <c r="T15521" t="s">
        <v>48415</v>
      </c>
      <c r="U15521" t="s">
        <v>61233</v>
      </c>
      <c r="W15521" t="s">
        <v>43889</v>
      </c>
      <c r="X15521" t="s">
        <v>46641</v>
      </c>
    </row>
    <row r="15522" spans="1:24">
      <c r="A15522">
        <f>HYPERLINK("https://www.philgeps.gov.ph/GEPSNONPILOT/Tender/SplashBidNoticeAbstractUI.aspx?menuIndex=3&amp;refID=6935752&amp;Result=3","6935752")</f>
        <v>0</v>
      </c>
      <c r="B15522" t="s">
        <v>366</v>
      </c>
      <c r="C15522" t="s">
        <v>18312</v>
      </c>
      <c r="D15522" t="s">
        <v>18785</v>
      </c>
      <c r="E15522" t="s">
        <v>32236</v>
      </c>
      <c r="F15522" t="s">
        <v>32664</v>
      </c>
      <c r="G15522" t="s">
        <v>32672</v>
      </c>
      <c r="H15522" t="s">
        <v>12635</v>
      </c>
      <c r="I15522" t="s">
        <v>32704</v>
      </c>
      <c r="J15522" t="s">
        <v>41989</v>
      </c>
      <c r="K15522" t="s">
        <v>42283</v>
      </c>
      <c r="M15522" t="s">
        <v>46503</v>
      </c>
      <c r="N15522" t="s">
        <v>46569</v>
      </c>
      <c r="O15522" t="s">
        <v>46570</v>
      </c>
      <c r="Q15522">
        <v>55</v>
      </c>
      <c r="R15522" t="s">
        <v>46633</v>
      </c>
      <c r="S15522" t="s">
        <v>46924</v>
      </c>
      <c r="T15522" t="s">
        <v>48759</v>
      </c>
      <c r="U15522" t="s">
        <v>61234</v>
      </c>
      <c r="V15522" t="s">
        <v>63354</v>
      </c>
      <c r="W15522" t="s">
        <v>46503</v>
      </c>
      <c r="X15522" t="s">
        <v>46635</v>
      </c>
    </row>
    <row r="15523" spans="1:24">
      <c r="A15523">
        <f>HYPERLINK("https://www.philgeps.gov.ph/GEPSNONPILOT/Tender/SplashBidNoticeAbstractUI.aspx?menuIndex=3&amp;refID=6915688&amp;Result=3","6915688")</f>
        <v>0</v>
      </c>
      <c r="B15523" t="s">
        <v>2022</v>
      </c>
      <c r="C15523" t="s">
        <v>18313</v>
      </c>
      <c r="D15523" t="s">
        <v>18806</v>
      </c>
      <c r="E15523" t="s">
        <v>32237</v>
      </c>
      <c r="F15523" t="s">
        <v>32664</v>
      </c>
      <c r="G15523" t="s">
        <v>32671</v>
      </c>
      <c r="H15523" t="s">
        <v>32683</v>
      </c>
      <c r="I15523" t="s">
        <v>10627</v>
      </c>
      <c r="J15523" t="s">
        <v>32853</v>
      </c>
      <c r="K15523" t="s">
        <v>42316</v>
      </c>
      <c r="M15523" t="s">
        <v>45590</v>
      </c>
      <c r="N15523" t="s">
        <v>46569</v>
      </c>
      <c r="O15523" t="s">
        <v>46570</v>
      </c>
      <c r="Q15523">
        <v>0</v>
      </c>
      <c r="R15523" t="s">
        <v>46638</v>
      </c>
      <c r="S15523" t="s">
        <v>46775</v>
      </c>
      <c r="T15523" t="s">
        <v>48356</v>
      </c>
      <c r="U15523" t="s">
        <v>61235</v>
      </c>
      <c r="W15523" t="s">
        <v>45590</v>
      </c>
      <c r="X15523" t="s">
        <v>46640</v>
      </c>
    </row>
    <row r="15524" spans="1:24">
      <c r="A15524">
        <f>HYPERLINK("https://www.philgeps.gov.ph/GEPSNONPILOT/Tender/SplashBidNoticeAbstractUI.aspx?menuIndex=3&amp;refID=6928847&amp;Result=3","6928847")</f>
        <v>0</v>
      </c>
      <c r="B15524" t="s">
        <v>3493</v>
      </c>
      <c r="C15524" t="s">
        <v>18314</v>
      </c>
      <c r="D15524" t="s">
        <v>18860</v>
      </c>
      <c r="E15524" t="s">
        <v>32238</v>
      </c>
      <c r="F15524" t="s">
        <v>32664</v>
      </c>
      <c r="G15524" t="s">
        <v>32672</v>
      </c>
      <c r="H15524" t="s">
        <v>32683</v>
      </c>
      <c r="I15524" t="s">
        <v>10627</v>
      </c>
      <c r="J15524" t="s">
        <v>41990</v>
      </c>
      <c r="K15524" t="s">
        <v>42283</v>
      </c>
      <c r="M15524" t="s">
        <v>46508</v>
      </c>
      <c r="N15524" t="s">
        <v>46569</v>
      </c>
      <c r="O15524" t="s">
        <v>46570</v>
      </c>
      <c r="Q15524">
        <v>1</v>
      </c>
      <c r="R15524" t="s">
        <v>46636</v>
      </c>
      <c r="S15524" t="s">
        <v>47959</v>
      </c>
      <c r="T15524" t="s">
        <v>48313</v>
      </c>
      <c r="U15524" t="s">
        <v>61228</v>
      </c>
      <c r="W15524" t="s">
        <v>46508</v>
      </c>
      <c r="X15524" t="s">
        <v>46637</v>
      </c>
    </row>
    <row r="15525" spans="1:24">
      <c r="A15525">
        <f>HYPERLINK("https://www.philgeps.gov.ph/GEPSNONPILOT/Tender/SplashBidNoticeAbstractUI.aspx?menuIndex=3&amp;refID=6928764&amp;Result=3","6928764")</f>
        <v>0</v>
      </c>
      <c r="B15525" t="s">
        <v>3493</v>
      </c>
      <c r="C15525" t="s">
        <v>18315</v>
      </c>
      <c r="D15525" t="s">
        <v>18860</v>
      </c>
      <c r="E15525" t="s">
        <v>32229</v>
      </c>
      <c r="F15525" t="s">
        <v>32664</v>
      </c>
      <c r="G15525" t="s">
        <v>32672</v>
      </c>
      <c r="H15525" t="s">
        <v>32683</v>
      </c>
      <c r="I15525" t="s">
        <v>10627</v>
      </c>
      <c r="J15525" t="s">
        <v>41991</v>
      </c>
      <c r="K15525" t="s">
        <v>42283</v>
      </c>
      <c r="M15525" t="s">
        <v>46508</v>
      </c>
      <c r="N15525" t="s">
        <v>46569</v>
      </c>
      <c r="O15525" t="s">
        <v>46570</v>
      </c>
      <c r="Q15525">
        <v>1</v>
      </c>
      <c r="R15525" t="s">
        <v>46636</v>
      </c>
      <c r="S15525" t="s">
        <v>47960</v>
      </c>
      <c r="T15525" t="s">
        <v>48313</v>
      </c>
      <c r="U15525" t="s">
        <v>61228</v>
      </c>
      <c r="W15525" t="s">
        <v>46508</v>
      </c>
      <c r="X15525" t="s">
        <v>46637</v>
      </c>
    </row>
    <row r="15526" spans="1:24">
      <c r="A15526">
        <f>HYPERLINK("https://www.philgeps.gov.ph/GEPSNONPILOT/Tender/SplashBidNoticeAbstractUI.aspx?menuIndex=3&amp;refID=6925010&amp;Result=3","6925010")</f>
        <v>0</v>
      </c>
      <c r="B15526" t="s">
        <v>3495</v>
      </c>
      <c r="C15526" t="s">
        <v>18316</v>
      </c>
      <c r="D15526" t="s">
        <v>18784</v>
      </c>
      <c r="E15526" t="s">
        <v>32239</v>
      </c>
      <c r="F15526" t="s">
        <v>32664</v>
      </c>
      <c r="G15526" t="s">
        <v>32672</v>
      </c>
      <c r="H15526" t="s">
        <v>12635</v>
      </c>
      <c r="I15526" t="s">
        <v>32704</v>
      </c>
      <c r="J15526" t="s">
        <v>41992</v>
      </c>
      <c r="K15526" t="s">
        <v>42289</v>
      </c>
      <c r="M15526" t="s">
        <v>46510</v>
      </c>
      <c r="N15526" t="s">
        <v>46569</v>
      </c>
      <c r="O15526" t="s">
        <v>46570</v>
      </c>
      <c r="Q15526">
        <v>11</v>
      </c>
      <c r="R15526" t="s">
        <v>46637</v>
      </c>
      <c r="S15526" t="s">
        <v>47961</v>
      </c>
      <c r="T15526" t="s">
        <v>48473</v>
      </c>
      <c r="U15526" t="s">
        <v>61236</v>
      </c>
      <c r="W15526" t="s">
        <v>46510</v>
      </c>
      <c r="X15526" t="s">
        <v>46638</v>
      </c>
    </row>
    <row r="15527" spans="1:24">
      <c r="A15527">
        <f>HYPERLINK("https://www.philgeps.gov.ph/GEPSNONPILOT/Tender/SplashBidNoticeAbstractUI.aspx?menuIndex=3&amp;refID=6925001&amp;Result=3","6925001")</f>
        <v>0</v>
      </c>
      <c r="B15527" t="s">
        <v>3495</v>
      </c>
      <c r="C15527" t="s">
        <v>18317</v>
      </c>
      <c r="D15527" t="s">
        <v>18784</v>
      </c>
      <c r="E15527" t="s">
        <v>32240</v>
      </c>
      <c r="F15527" t="s">
        <v>32664</v>
      </c>
      <c r="G15527" t="s">
        <v>32672</v>
      </c>
      <c r="H15527" t="s">
        <v>12635</v>
      </c>
      <c r="I15527" t="s">
        <v>9486</v>
      </c>
      <c r="J15527" t="s">
        <v>41993</v>
      </c>
      <c r="K15527" t="s">
        <v>42289</v>
      </c>
      <c r="M15527" t="s">
        <v>46510</v>
      </c>
      <c r="N15527" t="s">
        <v>46569</v>
      </c>
      <c r="O15527" t="s">
        <v>46570</v>
      </c>
      <c r="Q15527">
        <v>6</v>
      </c>
      <c r="R15527" t="s">
        <v>46637</v>
      </c>
      <c r="S15527" t="s">
        <v>47962</v>
      </c>
      <c r="T15527" t="s">
        <v>48473</v>
      </c>
      <c r="U15527" t="s">
        <v>61237</v>
      </c>
      <c r="W15527" t="s">
        <v>46510</v>
      </c>
      <c r="X15527" t="s">
        <v>46638</v>
      </c>
    </row>
    <row r="15528" spans="1:24">
      <c r="A15528">
        <f>HYPERLINK("https://www.philgeps.gov.ph/GEPSNONPILOT/Tender/SplashBidNoticeAbstractUI.aspx?menuIndex=3&amp;refID=6924980&amp;Result=3","6924980")</f>
        <v>0</v>
      </c>
      <c r="B15528" t="s">
        <v>3495</v>
      </c>
      <c r="C15528" t="s">
        <v>18318</v>
      </c>
      <c r="D15528" t="s">
        <v>18784</v>
      </c>
      <c r="E15528" t="s">
        <v>32241</v>
      </c>
      <c r="F15528" t="s">
        <v>32664</v>
      </c>
      <c r="G15528" t="s">
        <v>32672</v>
      </c>
      <c r="H15528" t="s">
        <v>12635</v>
      </c>
      <c r="I15528" t="s">
        <v>8797</v>
      </c>
      <c r="J15528" t="s">
        <v>41994</v>
      </c>
      <c r="K15528" t="s">
        <v>42289</v>
      </c>
      <c r="M15528" t="s">
        <v>46510</v>
      </c>
      <c r="N15528" t="s">
        <v>46569</v>
      </c>
      <c r="O15528" t="s">
        <v>46570</v>
      </c>
      <c r="Q15528">
        <v>7</v>
      </c>
      <c r="R15528" t="s">
        <v>46637</v>
      </c>
      <c r="S15528" t="s">
        <v>47523</v>
      </c>
      <c r="T15528" t="s">
        <v>48473</v>
      </c>
      <c r="U15528" t="s">
        <v>61238</v>
      </c>
      <c r="W15528" t="s">
        <v>46510</v>
      </c>
      <c r="X15528" t="s">
        <v>46638</v>
      </c>
    </row>
    <row r="15529" spans="1:24">
      <c r="A15529">
        <f>HYPERLINK("https://www.philgeps.gov.ph/GEPSNONPILOT/Tender/SplashBidNoticeAbstractUI.aspx?menuIndex=3&amp;refID=6930258&amp;Result=3","6930258")</f>
        <v>0</v>
      </c>
      <c r="B15529" t="s">
        <v>1247</v>
      </c>
      <c r="C15529" t="s">
        <v>18319</v>
      </c>
      <c r="D15529" t="s">
        <v>18802</v>
      </c>
      <c r="E15529" t="s">
        <v>32242</v>
      </c>
      <c r="F15529" t="s">
        <v>32664</v>
      </c>
      <c r="G15529" t="s">
        <v>32672</v>
      </c>
      <c r="H15529" t="s">
        <v>32683</v>
      </c>
      <c r="I15529" t="s">
        <v>10627</v>
      </c>
      <c r="J15529" t="s">
        <v>37781</v>
      </c>
      <c r="K15529" t="s">
        <v>42443</v>
      </c>
      <c r="M15529" t="s">
        <v>43889</v>
      </c>
      <c r="N15529" t="s">
        <v>46569</v>
      </c>
      <c r="O15529" t="s">
        <v>46570</v>
      </c>
      <c r="Q15529">
        <v>0</v>
      </c>
      <c r="R15529" t="s">
        <v>46635</v>
      </c>
      <c r="S15529" t="s">
        <v>47963</v>
      </c>
      <c r="T15529" t="s">
        <v>48389</v>
      </c>
      <c r="U15529" t="s">
        <v>61239</v>
      </c>
      <c r="W15529" t="s">
        <v>43889</v>
      </c>
      <c r="X15529" t="s">
        <v>46636</v>
      </c>
    </row>
    <row r="15530" spans="1:24">
      <c r="A15530">
        <f>HYPERLINK("https://www.philgeps.gov.ph/GEPSNONPILOT/Tender/SplashBidNoticeAbstractUI.aspx?menuIndex=3&amp;refID=6924973&amp;Result=3","6924973")</f>
        <v>0</v>
      </c>
      <c r="B15530" t="s">
        <v>3495</v>
      </c>
      <c r="C15530" t="s">
        <v>18320</v>
      </c>
      <c r="D15530" t="s">
        <v>18784</v>
      </c>
      <c r="E15530" t="s">
        <v>32243</v>
      </c>
      <c r="F15530" t="s">
        <v>32664</v>
      </c>
      <c r="G15530" t="s">
        <v>32672</v>
      </c>
      <c r="H15530" t="s">
        <v>12635</v>
      </c>
      <c r="I15530" t="s">
        <v>32708</v>
      </c>
      <c r="J15530" t="s">
        <v>41995</v>
      </c>
      <c r="K15530" t="s">
        <v>42289</v>
      </c>
      <c r="M15530" t="s">
        <v>46510</v>
      </c>
      <c r="N15530" t="s">
        <v>46569</v>
      </c>
      <c r="O15530" t="s">
        <v>46570</v>
      </c>
      <c r="Q15530">
        <v>30</v>
      </c>
      <c r="R15530" t="s">
        <v>46637</v>
      </c>
      <c r="S15530" t="s">
        <v>46929</v>
      </c>
      <c r="T15530" t="s">
        <v>48473</v>
      </c>
      <c r="U15530" t="s">
        <v>61240</v>
      </c>
      <c r="W15530" t="s">
        <v>46510</v>
      </c>
      <c r="X15530" t="s">
        <v>46638</v>
      </c>
    </row>
    <row r="15531" spans="1:24">
      <c r="A15531">
        <f>HYPERLINK("https://www.philgeps.gov.ph/GEPSNONPILOT/Tender/SplashBidNoticeAbstractUI.aspx?menuIndex=3&amp;refID=6924964&amp;Result=3","6924964")</f>
        <v>0</v>
      </c>
      <c r="B15531" t="s">
        <v>3495</v>
      </c>
      <c r="C15531" t="s">
        <v>18321</v>
      </c>
      <c r="D15531" t="s">
        <v>18784</v>
      </c>
      <c r="E15531" t="s">
        <v>32244</v>
      </c>
      <c r="F15531" t="s">
        <v>32664</v>
      </c>
      <c r="G15531" t="s">
        <v>32672</v>
      </c>
      <c r="H15531" t="s">
        <v>12635</v>
      </c>
      <c r="I15531" t="s">
        <v>32708</v>
      </c>
      <c r="J15531" t="s">
        <v>41996</v>
      </c>
      <c r="K15531" t="s">
        <v>42289</v>
      </c>
      <c r="M15531" t="s">
        <v>46510</v>
      </c>
      <c r="N15531" t="s">
        <v>46569</v>
      </c>
      <c r="O15531" t="s">
        <v>46570</v>
      </c>
      <c r="Q15531">
        <v>20</v>
      </c>
      <c r="R15531" t="s">
        <v>46637</v>
      </c>
      <c r="S15531" t="s">
        <v>47964</v>
      </c>
      <c r="T15531" t="s">
        <v>48473</v>
      </c>
      <c r="U15531" t="s">
        <v>61241</v>
      </c>
      <c r="W15531" t="s">
        <v>46510</v>
      </c>
      <c r="X15531" t="s">
        <v>46638</v>
      </c>
    </row>
    <row r="15532" spans="1:24">
      <c r="A15532">
        <f>HYPERLINK("https://www.philgeps.gov.ph/GEPSNONPILOT/Tender/SplashBidNoticeAbstractUI.aspx?menuIndex=3&amp;refID=6924763&amp;Result=3","6924763")</f>
        <v>0</v>
      </c>
      <c r="B15532" t="s">
        <v>3495</v>
      </c>
      <c r="C15532" t="s">
        <v>18322</v>
      </c>
      <c r="D15532" t="s">
        <v>18784</v>
      </c>
      <c r="E15532" t="s">
        <v>32245</v>
      </c>
      <c r="F15532" t="s">
        <v>32664</v>
      </c>
      <c r="G15532" t="s">
        <v>32672</v>
      </c>
      <c r="H15532" t="s">
        <v>12635</v>
      </c>
      <c r="I15532" t="s">
        <v>9486</v>
      </c>
      <c r="J15532" t="s">
        <v>41997</v>
      </c>
      <c r="K15532" t="s">
        <v>42284</v>
      </c>
      <c r="M15532" t="s">
        <v>46510</v>
      </c>
      <c r="N15532" t="s">
        <v>46569</v>
      </c>
      <c r="O15532" t="s">
        <v>46570</v>
      </c>
      <c r="Q15532">
        <v>9</v>
      </c>
      <c r="R15532" t="s">
        <v>46637</v>
      </c>
      <c r="S15532" t="s">
        <v>47965</v>
      </c>
      <c r="T15532" t="s">
        <v>48473</v>
      </c>
      <c r="U15532" t="s">
        <v>61242</v>
      </c>
      <c r="W15532" t="s">
        <v>46510</v>
      </c>
      <c r="X15532" t="s">
        <v>46638</v>
      </c>
    </row>
    <row r="15533" spans="1:24">
      <c r="A15533">
        <f>HYPERLINK("https://www.philgeps.gov.ph/GEPSNONPILOT/Tender/SplashBidNoticeAbstractUI.aspx?menuIndex=3&amp;refID=6924841&amp;Result=3","6924841")</f>
        <v>0</v>
      </c>
      <c r="B15533" t="s">
        <v>3495</v>
      </c>
      <c r="C15533" t="s">
        <v>18323</v>
      </c>
      <c r="D15533" t="s">
        <v>18784</v>
      </c>
      <c r="E15533" t="s">
        <v>32246</v>
      </c>
      <c r="F15533" t="s">
        <v>32664</v>
      </c>
      <c r="G15533" t="s">
        <v>32672</v>
      </c>
      <c r="H15533" t="s">
        <v>12635</v>
      </c>
      <c r="I15533" t="s">
        <v>32692</v>
      </c>
      <c r="J15533" t="s">
        <v>41998</v>
      </c>
      <c r="K15533" t="s">
        <v>42397</v>
      </c>
      <c r="M15533" t="s">
        <v>46510</v>
      </c>
      <c r="N15533" t="s">
        <v>46569</v>
      </c>
      <c r="O15533" t="s">
        <v>46570</v>
      </c>
      <c r="Q15533">
        <v>2</v>
      </c>
      <c r="R15533" t="s">
        <v>46637</v>
      </c>
      <c r="S15533" t="s">
        <v>47966</v>
      </c>
      <c r="T15533" t="s">
        <v>48473</v>
      </c>
      <c r="U15533" t="s">
        <v>61243</v>
      </c>
      <c r="W15533" t="s">
        <v>46510</v>
      </c>
      <c r="X15533" t="s">
        <v>46638</v>
      </c>
    </row>
    <row r="15534" spans="1:24">
      <c r="A15534">
        <f>HYPERLINK("https://www.philgeps.gov.ph/GEPSNONPILOT/Tender/SplashBidNoticeAbstractUI.aspx?menuIndex=3&amp;refID=6917955&amp;Result=3","6917955")</f>
        <v>0</v>
      </c>
      <c r="B15534" t="s">
        <v>2897</v>
      </c>
      <c r="C15534" t="s">
        <v>18324</v>
      </c>
      <c r="D15534" t="s">
        <v>18784</v>
      </c>
      <c r="E15534" t="s">
        <v>32247</v>
      </c>
      <c r="F15534" t="s">
        <v>32664</v>
      </c>
      <c r="G15534" t="s">
        <v>32672</v>
      </c>
      <c r="H15534" t="s">
        <v>12635</v>
      </c>
      <c r="I15534" t="s">
        <v>32700</v>
      </c>
      <c r="J15534" t="s">
        <v>33302</v>
      </c>
      <c r="K15534" t="s">
        <v>42291</v>
      </c>
      <c r="M15534" t="s">
        <v>46511</v>
      </c>
      <c r="N15534" t="s">
        <v>46569</v>
      </c>
      <c r="O15534" t="s">
        <v>46570</v>
      </c>
      <c r="Q15534">
        <v>8</v>
      </c>
      <c r="R15534" t="s">
        <v>46638</v>
      </c>
      <c r="S15534" t="s">
        <v>47967</v>
      </c>
      <c r="T15534" t="s">
        <v>48220</v>
      </c>
      <c r="U15534" t="s">
        <v>61244</v>
      </c>
      <c r="W15534" t="s">
        <v>46511</v>
      </c>
      <c r="X15534" t="s">
        <v>46641</v>
      </c>
    </row>
    <row r="15535" spans="1:24">
      <c r="A15535">
        <f>HYPERLINK("https://www.philgeps.gov.ph/GEPSNONPILOT/Tender/SplashBidNoticeAbstractUI.aspx?menuIndex=3&amp;refID=6924716&amp;Result=3","6924716")</f>
        <v>0</v>
      </c>
      <c r="B15535" t="s">
        <v>851</v>
      </c>
      <c r="C15535" t="s">
        <v>18325</v>
      </c>
      <c r="D15535" t="s">
        <v>18829</v>
      </c>
      <c r="E15535" t="s">
        <v>32248</v>
      </c>
      <c r="F15535" t="s">
        <v>32664</v>
      </c>
      <c r="G15535" t="s">
        <v>32672</v>
      </c>
      <c r="H15535" t="s">
        <v>12635</v>
      </c>
      <c r="I15535" t="s">
        <v>32694</v>
      </c>
      <c r="J15535" t="s">
        <v>41999</v>
      </c>
      <c r="K15535" t="s">
        <v>42281</v>
      </c>
      <c r="M15535" t="s">
        <v>46453</v>
      </c>
      <c r="N15535" t="s">
        <v>46569</v>
      </c>
      <c r="O15535" t="s">
        <v>46570</v>
      </c>
      <c r="Q15535">
        <v>2</v>
      </c>
      <c r="R15535" t="s">
        <v>46637</v>
      </c>
      <c r="S15535" t="s">
        <v>47968</v>
      </c>
      <c r="T15535" t="s">
        <v>48268</v>
      </c>
      <c r="U15535" t="s">
        <v>61245</v>
      </c>
      <c r="W15535" t="s">
        <v>46453</v>
      </c>
      <c r="X15535" t="s">
        <v>46638</v>
      </c>
    </row>
    <row r="15536" spans="1:24">
      <c r="A15536">
        <f>HYPERLINK("https://www.philgeps.gov.ph/GEPSNONPILOT/Tender/SplashBidNoticeAbstractUI.aspx?menuIndex=3&amp;refID=6924987&amp;Result=3","6924987")</f>
        <v>0</v>
      </c>
      <c r="B15536" t="s">
        <v>3495</v>
      </c>
      <c r="C15536" t="s">
        <v>18326</v>
      </c>
      <c r="D15536" t="s">
        <v>18784</v>
      </c>
      <c r="E15536" t="s">
        <v>32249</v>
      </c>
      <c r="F15536" t="s">
        <v>32664</v>
      </c>
      <c r="G15536" t="s">
        <v>32672</v>
      </c>
      <c r="H15536" t="s">
        <v>12635</v>
      </c>
      <c r="I15536" t="s">
        <v>8797</v>
      </c>
      <c r="J15536" t="s">
        <v>42000</v>
      </c>
      <c r="K15536" t="s">
        <v>42289</v>
      </c>
      <c r="M15536" t="s">
        <v>46510</v>
      </c>
      <c r="N15536" t="s">
        <v>46569</v>
      </c>
      <c r="O15536" t="s">
        <v>46570</v>
      </c>
      <c r="Q15536">
        <v>12</v>
      </c>
      <c r="R15536" t="s">
        <v>46637</v>
      </c>
      <c r="S15536" t="s">
        <v>46888</v>
      </c>
      <c r="T15536" t="s">
        <v>48473</v>
      </c>
      <c r="U15536" t="s">
        <v>61246</v>
      </c>
      <c r="W15536" t="s">
        <v>46510</v>
      </c>
      <c r="X15536" t="s">
        <v>46638</v>
      </c>
    </row>
    <row r="15537" spans="1:24">
      <c r="A15537">
        <f>HYPERLINK("https://www.philgeps.gov.ph/GEPSNONPILOT/Tender/SplashBidNoticeAbstractUI.aspx?menuIndex=3&amp;refID=6924339&amp;Result=3","6924339")</f>
        <v>0</v>
      </c>
      <c r="B15537" t="s">
        <v>2427</v>
      </c>
      <c r="C15537" t="s">
        <v>18327</v>
      </c>
      <c r="D15537" t="s">
        <v>18784</v>
      </c>
      <c r="E15537" t="s">
        <v>32250</v>
      </c>
      <c r="F15537" t="s">
        <v>32664</v>
      </c>
      <c r="G15537" t="s">
        <v>32672</v>
      </c>
      <c r="H15537" t="s">
        <v>12635</v>
      </c>
      <c r="I15537" t="s">
        <v>6223</v>
      </c>
      <c r="J15537" t="s">
        <v>42001</v>
      </c>
      <c r="K15537" t="s">
        <v>42281</v>
      </c>
      <c r="M15537" t="s">
        <v>45219</v>
      </c>
      <c r="N15537" t="s">
        <v>46569</v>
      </c>
      <c r="O15537" t="s">
        <v>46570</v>
      </c>
      <c r="Q15537">
        <v>1</v>
      </c>
      <c r="R15537" t="s">
        <v>46637</v>
      </c>
      <c r="S15537" t="s">
        <v>47969</v>
      </c>
      <c r="T15537" t="s">
        <v>48244</v>
      </c>
      <c r="U15537" t="s">
        <v>61247</v>
      </c>
      <c r="W15537" t="s">
        <v>45219</v>
      </c>
      <c r="X15537" t="s">
        <v>46638</v>
      </c>
    </row>
    <row r="15538" spans="1:24">
      <c r="A15538">
        <f>HYPERLINK("https://www.philgeps.gov.ph/GEPSNONPILOT/Tender/SplashBidNoticeAbstractUI.aspx?menuIndex=3&amp;refID=6922057&amp;Result=3","6922057")</f>
        <v>0</v>
      </c>
      <c r="B15538" t="s">
        <v>592</v>
      </c>
      <c r="C15538" t="s">
        <v>18328</v>
      </c>
      <c r="D15538" t="s">
        <v>18784</v>
      </c>
      <c r="E15538" t="s">
        <v>32251</v>
      </c>
      <c r="F15538" t="s">
        <v>32664</v>
      </c>
      <c r="G15538" t="s">
        <v>32675</v>
      </c>
      <c r="H15538" t="s">
        <v>12635</v>
      </c>
      <c r="I15538" t="s">
        <v>32685</v>
      </c>
      <c r="J15538" t="s">
        <v>42002</v>
      </c>
      <c r="K15538" t="s">
        <v>42289</v>
      </c>
      <c r="M15538" t="s">
        <v>43172</v>
      </c>
      <c r="N15538" t="s">
        <v>46569</v>
      </c>
      <c r="O15538" t="s">
        <v>46570</v>
      </c>
      <c r="Q15538">
        <v>2</v>
      </c>
      <c r="R15538" t="s">
        <v>46637</v>
      </c>
      <c r="S15538" t="s">
        <v>47845</v>
      </c>
      <c r="T15538" t="s">
        <v>48376</v>
      </c>
      <c r="U15538" t="s">
        <v>49886</v>
      </c>
      <c r="V15538" t="s">
        <v>63368</v>
      </c>
      <c r="W15538" t="s">
        <v>43172</v>
      </c>
      <c r="X15538" t="s">
        <v>46638</v>
      </c>
    </row>
    <row r="15539" spans="1:24">
      <c r="A15539">
        <f>HYPERLINK("https://www.philgeps.gov.ph/GEPSNONPILOT/Tender/SplashBidNoticeAbstractUI.aspx?menuIndex=3&amp;refID=6928359&amp;Result=3","6928359")</f>
        <v>0</v>
      </c>
      <c r="B15539" t="s">
        <v>969</v>
      </c>
      <c r="C15539" t="s">
        <v>18329</v>
      </c>
      <c r="D15539" t="s">
        <v>18836</v>
      </c>
      <c r="E15539" t="s">
        <v>32252</v>
      </c>
      <c r="F15539" t="s">
        <v>32664</v>
      </c>
      <c r="G15539" t="s">
        <v>32672</v>
      </c>
      <c r="H15539" t="s">
        <v>12635</v>
      </c>
      <c r="I15539" t="s">
        <v>6223</v>
      </c>
      <c r="J15539" t="s">
        <v>36415</v>
      </c>
      <c r="K15539" t="s">
        <v>42289</v>
      </c>
      <c r="M15539" t="s">
        <v>43578</v>
      </c>
      <c r="N15539" t="s">
        <v>46569</v>
      </c>
      <c r="O15539" t="s">
        <v>46570</v>
      </c>
      <c r="Q15539">
        <v>21</v>
      </c>
      <c r="R15539" t="s">
        <v>46636</v>
      </c>
      <c r="S15539" t="s">
        <v>47970</v>
      </c>
      <c r="T15539" t="s">
        <v>48254</v>
      </c>
      <c r="U15539" t="s">
        <v>61248</v>
      </c>
      <c r="V15539" t="s">
        <v>63364</v>
      </c>
      <c r="W15539" t="s">
        <v>43578</v>
      </c>
      <c r="X15539" t="s">
        <v>46637</v>
      </c>
    </row>
    <row r="15540" spans="1:24">
      <c r="A15540">
        <f>HYPERLINK("https://www.philgeps.gov.ph/GEPSNONPILOT/Tender/SplashBidNoticeAbstractUI.aspx?menuIndex=3&amp;refID=6926519&amp;Result=3","6926519")</f>
        <v>0</v>
      </c>
      <c r="B15540" t="s">
        <v>1247</v>
      </c>
      <c r="C15540" t="s">
        <v>18330</v>
      </c>
      <c r="D15540" t="s">
        <v>18802</v>
      </c>
      <c r="E15540" t="s">
        <v>32253</v>
      </c>
      <c r="F15540" t="s">
        <v>32664</v>
      </c>
      <c r="G15540" t="s">
        <v>32672</v>
      </c>
      <c r="H15540" t="s">
        <v>32683</v>
      </c>
      <c r="I15540" t="s">
        <v>10627</v>
      </c>
      <c r="J15540" t="s">
        <v>40355</v>
      </c>
      <c r="K15540" t="s">
        <v>42578</v>
      </c>
      <c r="M15540" t="s">
        <v>43889</v>
      </c>
      <c r="N15540" t="s">
        <v>46569</v>
      </c>
      <c r="O15540" t="s">
        <v>46570</v>
      </c>
      <c r="Q15540">
        <v>0</v>
      </c>
      <c r="R15540" t="s">
        <v>46636</v>
      </c>
      <c r="S15540" t="s">
        <v>47971</v>
      </c>
      <c r="T15540" t="s">
        <v>48415</v>
      </c>
      <c r="U15540" t="s">
        <v>61249</v>
      </c>
      <c r="W15540" t="s">
        <v>43889</v>
      </c>
      <c r="X15540" t="s">
        <v>46637</v>
      </c>
    </row>
    <row r="15541" spans="1:24">
      <c r="A15541">
        <f>HYPERLINK("https://www.philgeps.gov.ph/GEPSNONPILOT/Tender/SplashBidNoticeAbstractUI.aspx?menuIndex=3&amp;refID=6924756&amp;Result=3","6924756")</f>
        <v>0</v>
      </c>
      <c r="B15541" t="s">
        <v>3495</v>
      </c>
      <c r="C15541" t="s">
        <v>18331</v>
      </c>
      <c r="D15541" t="s">
        <v>18784</v>
      </c>
      <c r="E15541" t="s">
        <v>32254</v>
      </c>
      <c r="F15541" t="s">
        <v>32664</v>
      </c>
      <c r="G15541" t="s">
        <v>32672</v>
      </c>
      <c r="H15541" t="s">
        <v>12635</v>
      </c>
      <c r="I15541" t="s">
        <v>9486</v>
      </c>
      <c r="J15541" t="s">
        <v>38036</v>
      </c>
      <c r="K15541" t="s">
        <v>42284</v>
      </c>
      <c r="M15541" t="s">
        <v>46510</v>
      </c>
      <c r="N15541" t="s">
        <v>46569</v>
      </c>
      <c r="O15541" t="s">
        <v>46570</v>
      </c>
      <c r="Q15541">
        <v>8</v>
      </c>
      <c r="R15541" t="s">
        <v>46637</v>
      </c>
      <c r="S15541" t="s">
        <v>47972</v>
      </c>
      <c r="T15541" t="s">
        <v>48473</v>
      </c>
      <c r="U15541" t="s">
        <v>61250</v>
      </c>
      <c r="W15541" t="s">
        <v>46510</v>
      </c>
      <c r="X15541" t="s">
        <v>46638</v>
      </c>
    </row>
    <row r="15542" spans="1:24">
      <c r="A15542">
        <f>HYPERLINK("https://www.philgeps.gov.ph/GEPSNONPILOT/Tender/SplashBidNoticeAbstractUI.aspx?menuIndex=3&amp;refID=6924439&amp;Result=3","6924439")</f>
        <v>0</v>
      </c>
      <c r="B15542" t="s">
        <v>1776</v>
      </c>
      <c r="C15542" t="s">
        <v>18332</v>
      </c>
      <c r="D15542" t="s">
        <v>18838</v>
      </c>
      <c r="E15542" t="s">
        <v>32255</v>
      </c>
      <c r="F15542" t="s">
        <v>32664</v>
      </c>
      <c r="G15542" t="s">
        <v>32672</v>
      </c>
      <c r="H15542" t="s">
        <v>32683</v>
      </c>
      <c r="I15542" t="s">
        <v>10627</v>
      </c>
      <c r="J15542" t="s">
        <v>42003</v>
      </c>
      <c r="K15542" t="s">
        <v>42385</v>
      </c>
      <c r="M15542" t="s">
        <v>46512</v>
      </c>
      <c r="N15542" t="s">
        <v>46569</v>
      </c>
      <c r="O15542" t="s">
        <v>46570</v>
      </c>
      <c r="Q15542">
        <v>38</v>
      </c>
      <c r="R15542" t="s">
        <v>46637</v>
      </c>
      <c r="S15542" t="s">
        <v>47973</v>
      </c>
      <c r="T15542" t="s">
        <v>48328</v>
      </c>
      <c r="U15542" t="s">
        <v>61251</v>
      </c>
      <c r="V15542" t="s">
        <v>63045</v>
      </c>
      <c r="W15542" t="s">
        <v>46512</v>
      </c>
      <c r="X15542" t="s">
        <v>46638</v>
      </c>
    </row>
    <row r="15543" spans="1:24">
      <c r="A15543">
        <f>HYPERLINK("https://www.philgeps.gov.ph/GEPSNONPILOT/Tender/SplashBidNoticeAbstractUI.aspx?menuIndex=3&amp;refID=6926108&amp;Result=3","6926108")</f>
        <v>0</v>
      </c>
      <c r="B15543" t="s">
        <v>1247</v>
      </c>
      <c r="C15543" t="s">
        <v>18333</v>
      </c>
      <c r="D15543" t="s">
        <v>18802</v>
      </c>
      <c r="E15543" t="s">
        <v>32256</v>
      </c>
      <c r="F15543" t="s">
        <v>32664</v>
      </c>
      <c r="G15543" t="s">
        <v>32672</v>
      </c>
      <c r="H15543" t="s">
        <v>32683</v>
      </c>
      <c r="I15543" t="s">
        <v>10627</v>
      </c>
      <c r="J15543" t="s">
        <v>37781</v>
      </c>
      <c r="K15543" t="s">
        <v>42443</v>
      </c>
      <c r="M15543" t="s">
        <v>43889</v>
      </c>
      <c r="N15543" t="s">
        <v>46569</v>
      </c>
      <c r="O15543" t="s">
        <v>46570</v>
      </c>
      <c r="Q15543">
        <v>0</v>
      </c>
      <c r="R15543" t="s">
        <v>46636</v>
      </c>
      <c r="S15543" t="s">
        <v>47974</v>
      </c>
      <c r="T15543" t="s">
        <v>48415</v>
      </c>
      <c r="U15543" t="s">
        <v>61252</v>
      </c>
      <c r="W15543" t="s">
        <v>43889</v>
      </c>
      <c r="X15543" t="s">
        <v>46637</v>
      </c>
    </row>
    <row r="15544" spans="1:24">
      <c r="A15544">
        <f>HYPERLINK("https://www.philgeps.gov.ph/GEPSNONPILOT/Tender/SplashBidNoticeAbstractUI.aspx?menuIndex=3&amp;refID=6924740&amp;Result=3","6924740")</f>
        <v>0</v>
      </c>
      <c r="B15544" t="s">
        <v>3495</v>
      </c>
      <c r="C15544" t="s">
        <v>18334</v>
      </c>
      <c r="D15544" t="s">
        <v>18784</v>
      </c>
      <c r="E15544" t="s">
        <v>32257</v>
      </c>
      <c r="F15544" t="s">
        <v>32664</v>
      </c>
      <c r="G15544" t="s">
        <v>32672</v>
      </c>
      <c r="H15544" t="s">
        <v>12635</v>
      </c>
      <c r="I15544" t="s">
        <v>9486</v>
      </c>
      <c r="J15544" t="s">
        <v>42004</v>
      </c>
      <c r="K15544" t="s">
        <v>42284</v>
      </c>
      <c r="M15544" t="s">
        <v>46510</v>
      </c>
      <c r="N15544" t="s">
        <v>46569</v>
      </c>
      <c r="O15544" t="s">
        <v>46570</v>
      </c>
      <c r="Q15544">
        <v>10</v>
      </c>
      <c r="R15544" t="s">
        <v>46637</v>
      </c>
      <c r="S15544" t="s">
        <v>47972</v>
      </c>
      <c r="T15544" t="s">
        <v>48473</v>
      </c>
      <c r="U15544" t="s">
        <v>61253</v>
      </c>
      <c r="W15544" t="s">
        <v>46510</v>
      </c>
      <c r="X15544" t="s">
        <v>46638</v>
      </c>
    </row>
    <row r="15545" spans="1:24">
      <c r="A15545">
        <f>HYPERLINK("https://www.philgeps.gov.ph/GEPSNONPILOT/Tender/SplashBidNoticeAbstractUI.aspx?menuIndex=3&amp;refID=6926516&amp;Result=3","6926516")</f>
        <v>0</v>
      </c>
      <c r="B15545" t="s">
        <v>2892</v>
      </c>
      <c r="C15545" t="s">
        <v>18335</v>
      </c>
      <c r="D15545" t="s">
        <v>18782</v>
      </c>
      <c r="E15545" t="s">
        <v>32258</v>
      </c>
      <c r="F15545" t="s">
        <v>32664</v>
      </c>
      <c r="G15545" t="s">
        <v>32672</v>
      </c>
      <c r="H15545" t="s">
        <v>12635</v>
      </c>
      <c r="I15545" t="s">
        <v>32764</v>
      </c>
      <c r="J15545" t="s">
        <v>33159</v>
      </c>
      <c r="K15545" t="s">
        <v>42289</v>
      </c>
      <c r="M15545" t="s">
        <v>45742</v>
      </c>
      <c r="N15545" t="s">
        <v>46569</v>
      </c>
      <c r="O15545" t="s">
        <v>46570</v>
      </c>
      <c r="Q15545">
        <v>2</v>
      </c>
      <c r="R15545" t="s">
        <v>46636</v>
      </c>
      <c r="S15545" t="s">
        <v>47975</v>
      </c>
      <c r="T15545" t="s">
        <v>48221</v>
      </c>
      <c r="U15545" t="s">
        <v>61254</v>
      </c>
      <c r="V15545" t="s">
        <v>63369</v>
      </c>
      <c r="W15545" t="s">
        <v>45742</v>
      </c>
      <c r="X15545" t="s">
        <v>46637</v>
      </c>
    </row>
    <row r="15546" spans="1:24">
      <c r="A15546">
        <f>HYPERLINK("https://www.philgeps.gov.ph/GEPSNONPILOT/Tender/SplashBidNoticeAbstractUI.aspx?menuIndex=3&amp;refID=6919976&amp;Result=3","6919976")</f>
        <v>0</v>
      </c>
      <c r="B15546" t="s">
        <v>2469</v>
      </c>
      <c r="C15546" t="s">
        <v>18336</v>
      </c>
      <c r="D15546" t="s">
        <v>18801</v>
      </c>
      <c r="E15546" t="s">
        <v>32259</v>
      </c>
      <c r="F15546" t="s">
        <v>32664</v>
      </c>
      <c r="G15546" t="s">
        <v>32672</v>
      </c>
      <c r="H15546" t="s">
        <v>12635</v>
      </c>
      <c r="I15546" t="s">
        <v>32685</v>
      </c>
      <c r="J15546" t="s">
        <v>36374</v>
      </c>
      <c r="K15546" t="s">
        <v>42289</v>
      </c>
      <c r="M15546" t="s">
        <v>45267</v>
      </c>
      <c r="N15546" t="s">
        <v>46569</v>
      </c>
      <c r="O15546" t="s">
        <v>46570</v>
      </c>
      <c r="Q15546">
        <v>3</v>
      </c>
      <c r="R15546" t="s">
        <v>46639</v>
      </c>
      <c r="S15546" t="s">
        <v>47976</v>
      </c>
      <c r="T15546" t="s">
        <v>48449</v>
      </c>
      <c r="U15546" t="s">
        <v>55574</v>
      </c>
      <c r="V15546" t="s">
        <v>62260</v>
      </c>
      <c r="W15546" t="s">
        <v>63561</v>
      </c>
      <c r="X15546" t="s">
        <v>46641</v>
      </c>
    </row>
    <row r="15547" spans="1:24">
      <c r="A15547">
        <f>HYPERLINK("https://www.philgeps.gov.ph/GEPSNONPILOT/Tender/SplashBidNoticeAbstractUI.aspx?menuIndex=3&amp;refID=6919940&amp;Result=3","6919940")</f>
        <v>0</v>
      </c>
      <c r="B15547" t="s">
        <v>2469</v>
      </c>
      <c r="C15547" t="s">
        <v>18337</v>
      </c>
      <c r="D15547" t="s">
        <v>18801</v>
      </c>
      <c r="E15547" t="s">
        <v>32260</v>
      </c>
      <c r="F15547" t="s">
        <v>32664</v>
      </c>
      <c r="G15547" t="s">
        <v>32672</v>
      </c>
      <c r="H15547" t="s">
        <v>12635</v>
      </c>
      <c r="I15547" t="s">
        <v>32704</v>
      </c>
      <c r="J15547" t="s">
        <v>38793</v>
      </c>
      <c r="K15547" t="s">
        <v>42281</v>
      </c>
      <c r="M15547" t="s">
        <v>45270</v>
      </c>
      <c r="N15547" t="s">
        <v>46569</v>
      </c>
      <c r="O15547" t="s">
        <v>46570</v>
      </c>
      <c r="Q15547">
        <v>9</v>
      </c>
      <c r="R15547" t="s">
        <v>46639</v>
      </c>
      <c r="S15547" t="s">
        <v>47977</v>
      </c>
      <c r="T15547" t="s">
        <v>48449</v>
      </c>
      <c r="U15547" t="s">
        <v>55574</v>
      </c>
      <c r="V15547" t="s">
        <v>62260</v>
      </c>
      <c r="W15547" t="s">
        <v>63561</v>
      </c>
      <c r="X15547" t="s">
        <v>46641</v>
      </c>
    </row>
    <row r="15548" spans="1:24">
      <c r="A15548">
        <f>HYPERLINK("https://www.philgeps.gov.ph/GEPSNONPILOT/Tender/SplashBidNoticeAbstractUI.aspx?menuIndex=3&amp;refID=6928316&amp;Result=3","6928316")</f>
        <v>0</v>
      </c>
      <c r="B15548" t="s">
        <v>969</v>
      </c>
      <c r="C15548" t="s">
        <v>18338</v>
      </c>
      <c r="D15548" t="s">
        <v>18836</v>
      </c>
      <c r="E15548" t="s">
        <v>32261</v>
      </c>
      <c r="F15548" t="s">
        <v>32664</v>
      </c>
      <c r="G15548" t="s">
        <v>32672</v>
      </c>
      <c r="H15548" t="s">
        <v>12635</v>
      </c>
      <c r="I15548" t="s">
        <v>32764</v>
      </c>
      <c r="J15548" t="s">
        <v>33150</v>
      </c>
      <c r="K15548" t="s">
        <v>42311</v>
      </c>
      <c r="M15548" t="s">
        <v>43578</v>
      </c>
      <c r="N15548" t="s">
        <v>46569</v>
      </c>
      <c r="O15548" t="s">
        <v>46570</v>
      </c>
      <c r="Q15548">
        <v>23</v>
      </c>
      <c r="R15548" t="s">
        <v>46636</v>
      </c>
      <c r="S15548" t="s">
        <v>47512</v>
      </c>
      <c r="T15548" t="s">
        <v>48254</v>
      </c>
      <c r="U15548" t="s">
        <v>61255</v>
      </c>
      <c r="V15548" t="s">
        <v>63364</v>
      </c>
      <c r="W15548" t="s">
        <v>43578</v>
      </c>
      <c r="X15548" t="s">
        <v>46637</v>
      </c>
    </row>
    <row r="15549" spans="1:24">
      <c r="A15549">
        <f>HYPERLINK("https://www.philgeps.gov.ph/GEPSNONPILOT/Tender/SplashBidNoticeAbstractUI.aspx?menuIndex=3&amp;refID=6919884&amp;Result=3","6919884")</f>
        <v>0</v>
      </c>
      <c r="B15549" t="s">
        <v>2469</v>
      </c>
      <c r="C15549" t="s">
        <v>18339</v>
      </c>
      <c r="D15549" t="s">
        <v>18801</v>
      </c>
      <c r="E15549" t="s">
        <v>32262</v>
      </c>
      <c r="F15549" t="s">
        <v>32664</v>
      </c>
      <c r="G15549" t="s">
        <v>32672</v>
      </c>
      <c r="H15549" t="s">
        <v>12635</v>
      </c>
      <c r="I15549" t="s">
        <v>6223</v>
      </c>
      <c r="J15549" t="s">
        <v>33477</v>
      </c>
      <c r="K15549" t="s">
        <v>42289</v>
      </c>
      <c r="M15549" t="s">
        <v>45267</v>
      </c>
      <c r="N15549" t="s">
        <v>46569</v>
      </c>
      <c r="O15549" t="s">
        <v>46570</v>
      </c>
      <c r="Q15549">
        <v>4</v>
      </c>
      <c r="R15549" t="s">
        <v>46639</v>
      </c>
      <c r="S15549" t="s">
        <v>47978</v>
      </c>
      <c r="T15549" t="s">
        <v>48449</v>
      </c>
      <c r="U15549" t="s">
        <v>55574</v>
      </c>
      <c r="V15549" t="s">
        <v>62260</v>
      </c>
      <c r="W15549" t="s">
        <v>63561</v>
      </c>
      <c r="X15549" t="s">
        <v>46641</v>
      </c>
    </row>
    <row r="15550" spans="1:24">
      <c r="A15550">
        <f>HYPERLINK("https://www.philgeps.gov.ph/GEPSNONPILOT/Tender/SplashBidNoticeAbstractUI.aspx?menuIndex=3&amp;refID=6919852&amp;Result=3","6919852")</f>
        <v>0</v>
      </c>
      <c r="B15550" t="s">
        <v>1620</v>
      </c>
      <c r="C15550" t="s">
        <v>18340</v>
      </c>
      <c r="D15550" t="s">
        <v>18784</v>
      </c>
      <c r="E15550" t="s">
        <v>32263</v>
      </c>
      <c r="F15550" t="s">
        <v>32664</v>
      </c>
      <c r="G15550" t="s">
        <v>32672</v>
      </c>
      <c r="H15550" t="s">
        <v>32683</v>
      </c>
      <c r="I15550" t="s">
        <v>10627</v>
      </c>
      <c r="J15550" t="s">
        <v>42005</v>
      </c>
      <c r="K15550" t="s">
        <v>42397</v>
      </c>
      <c r="M15550" t="s">
        <v>44300</v>
      </c>
      <c r="N15550" t="s">
        <v>46569</v>
      </c>
      <c r="O15550" t="s">
        <v>46570</v>
      </c>
      <c r="Q15550">
        <v>33</v>
      </c>
      <c r="R15550" t="s">
        <v>46639</v>
      </c>
      <c r="S15550" t="s">
        <v>47979</v>
      </c>
      <c r="T15550" t="s">
        <v>48366</v>
      </c>
      <c r="U15550" t="s">
        <v>61256</v>
      </c>
      <c r="W15550" t="s">
        <v>44300</v>
      </c>
      <c r="X15550" t="s">
        <v>46641</v>
      </c>
    </row>
    <row r="15551" spans="1:24">
      <c r="A15551">
        <f>HYPERLINK("https://www.philgeps.gov.ph/GEPSNONPILOT/Tender/SplashBidNoticeAbstractUI.aspx?menuIndex=3&amp;refID=6919616&amp;Result=3","6919616")</f>
        <v>0</v>
      </c>
      <c r="B15551" t="s">
        <v>2469</v>
      </c>
      <c r="C15551" t="s">
        <v>18341</v>
      </c>
      <c r="D15551" t="s">
        <v>18801</v>
      </c>
      <c r="E15551" t="s">
        <v>32264</v>
      </c>
      <c r="F15551" t="s">
        <v>32664</v>
      </c>
      <c r="G15551" t="s">
        <v>32672</v>
      </c>
      <c r="H15551" t="s">
        <v>12635</v>
      </c>
      <c r="I15551" t="s">
        <v>6223</v>
      </c>
      <c r="J15551" t="s">
        <v>33387</v>
      </c>
      <c r="K15551" t="s">
        <v>42303</v>
      </c>
      <c r="M15551" t="s">
        <v>45599</v>
      </c>
      <c r="N15551" t="s">
        <v>46569</v>
      </c>
      <c r="O15551" t="s">
        <v>46570</v>
      </c>
      <c r="Q15551">
        <v>3</v>
      </c>
      <c r="R15551" t="s">
        <v>46639</v>
      </c>
      <c r="S15551" t="s">
        <v>47980</v>
      </c>
      <c r="T15551" t="s">
        <v>48449</v>
      </c>
      <c r="U15551" t="s">
        <v>55574</v>
      </c>
      <c r="V15551" t="s">
        <v>62260</v>
      </c>
      <c r="W15551" t="s">
        <v>63561</v>
      </c>
      <c r="X15551" t="s">
        <v>46641</v>
      </c>
    </row>
    <row r="15552" spans="1:24">
      <c r="A15552">
        <f>HYPERLINK("https://www.philgeps.gov.ph/GEPSNONPILOT/Tender/SplashBidNoticeAbstractUI.aspx?menuIndex=3&amp;refID=6919570&amp;Result=3","6919570")</f>
        <v>0</v>
      </c>
      <c r="B15552" t="s">
        <v>2339</v>
      </c>
      <c r="C15552" t="s">
        <v>18342</v>
      </c>
      <c r="E15552" t="s">
        <v>32265</v>
      </c>
      <c r="F15552" t="s">
        <v>32664</v>
      </c>
      <c r="G15552" t="s">
        <v>32672</v>
      </c>
      <c r="H15552" t="s">
        <v>12635</v>
      </c>
      <c r="I15552" t="s">
        <v>32755</v>
      </c>
      <c r="J15552" t="s">
        <v>42006</v>
      </c>
      <c r="K15552" t="s">
        <v>42283</v>
      </c>
      <c r="M15552" t="s">
        <v>45119</v>
      </c>
      <c r="N15552" t="s">
        <v>46569</v>
      </c>
      <c r="O15552" t="s">
        <v>46570</v>
      </c>
      <c r="Q15552">
        <v>11</v>
      </c>
      <c r="R15552" t="s">
        <v>46639</v>
      </c>
      <c r="S15552" t="s">
        <v>47981</v>
      </c>
      <c r="T15552" t="s">
        <v>48268</v>
      </c>
      <c r="U15552" t="s">
        <v>61257</v>
      </c>
      <c r="V15552" t="s">
        <v>63370</v>
      </c>
      <c r="W15552" t="s">
        <v>45119</v>
      </c>
      <c r="X15552" t="s">
        <v>46641</v>
      </c>
    </row>
    <row r="15553" spans="1:24">
      <c r="A15553">
        <f>HYPERLINK("https://www.philgeps.gov.ph/GEPSNONPILOT/Tender/SplashBidNoticeAbstractUI.aspx?menuIndex=3&amp;refID=6924529&amp;Result=3","6924529")</f>
        <v>0</v>
      </c>
      <c r="B15553" t="s">
        <v>592</v>
      </c>
      <c r="C15553" t="s">
        <v>18343</v>
      </c>
      <c r="D15553" t="s">
        <v>18825</v>
      </c>
      <c r="E15553" t="s">
        <v>32266</v>
      </c>
      <c r="F15553" t="s">
        <v>32664</v>
      </c>
      <c r="G15553" t="s">
        <v>32677</v>
      </c>
      <c r="H15553" t="s">
        <v>12635</v>
      </c>
      <c r="I15553" t="s">
        <v>32738</v>
      </c>
      <c r="J15553" t="s">
        <v>42007</v>
      </c>
      <c r="K15553" t="s">
        <v>42285</v>
      </c>
      <c r="M15553" t="s">
        <v>43411</v>
      </c>
      <c r="N15553" t="s">
        <v>46569</v>
      </c>
      <c r="O15553" t="s">
        <v>46570</v>
      </c>
      <c r="Q15553">
        <v>9</v>
      </c>
      <c r="R15553" t="s">
        <v>46637</v>
      </c>
      <c r="S15553" t="s">
        <v>47982</v>
      </c>
      <c r="T15553" t="s">
        <v>48334</v>
      </c>
      <c r="U15553" t="s">
        <v>61258</v>
      </c>
      <c r="V15553" t="s">
        <v>63371</v>
      </c>
      <c r="W15553" t="s">
        <v>43411</v>
      </c>
      <c r="X15553" t="s">
        <v>46638</v>
      </c>
    </row>
    <row r="15554" spans="1:24">
      <c r="A15554">
        <f>HYPERLINK("https://www.philgeps.gov.ph/GEPSNONPILOT/Tender/SplashBidNoticeAbstractUI.aspx?menuIndex=3&amp;refID=6919546&amp;Result=3","6919546")</f>
        <v>0</v>
      </c>
      <c r="B15554" t="s">
        <v>2339</v>
      </c>
      <c r="C15554" t="s">
        <v>18344</v>
      </c>
      <c r="E15554" t="s">
        <v>32267</v>
      </c>
      <c r="F15554" t="s">
        <v>32664</v>
      </c>
      <c r="G15554" t="s">
        <v>32672</v>
      </c>
      <c r="H15554" t="s">
        <v>12635</v>
      </c>
      <c r="I15554" t="s">
        <v>32692</v>
      </c>
      <c r="J15554" t="s">
        <v>42008</v>
      </c>
      <c r="K15554" t="s">
        <v>42283</v>
      </c>
      <c r="M15554" t="s">
        <v>45119</v>
      </c>
      <c r="N15554" t="s">
        <v>46569</v>
      </c>
      <c r="O15554" t="s">
        <v>46570</v>
      </c>
      <c r="Q15554">
        <v>11</v>
      </c>
      <c r="R15554" t="s">
        <v>46639</v>
      </c>
      <c r="S15554" t="s">
        <v>47983</v>
      </c>
      <c r="T15554" t="s">
        <v>48268</v>
      </c>
      <c r="U15554" t="s">
        <v>61259</v>
      </c>
      <c r="V15554" t="s">
        <v>63372</v>
      </c>
      <c r="W15554" t="s">
        <v>45119</v>
      </c>
      <c r="X15554" t="s">
        <v>46641</v>
      </c>
    </row>
    <row r="15555" spans="1:24">
      <c r="A15555">
        <f>HYPERLINK("https://www.philgeps.gov.ph/GEPSNONPILOT/Tender/SplashBidNoticeAbstractUI.aspx?menuIndex=3&amp;refID=6919146&amp;Result=3","6919146")</f>
        <v>0</v>
      </c>
      <c r="B15555" t="s">
        <v>2494</v>
      </c>
      <c r="C15555" t="s">
        <v>18345</v>
      </c>
      <c r="D15555" t="s">
        <v>18816</v>
      </c>
      <c r="E15555" t="s">
        <v>32268</v>
      </c>
      <c r="F15555" t="s">
        <v>32664</v>
      </c>
      <c r="G15555" t="s">
        <v>32671</v>
      </c>
      <c r="H15555" t="s">
        <v>32683</v>
      </c>
      <c r="I15555" t="s">
        <v>10627</v>
      </c>
      <c r="J15555" t="s">
        <v>33069</v>
      </c>
      <c r="K15555" t="s">
        <v>42281</v>
      </c>
      <c r="M15555" t="s">
        <v>45296</v>
      </c>
      <c r="N15555" t="s">
        <v>46569</v>
      </c>
      <c r="O15555" t="s">
        <v>46570</v>
      </c>
      <c r="Q15555">
        <v>1</v>
      </c>
      <c r="R15555" t="s">
        <v>46639</v>
      </c>
      <c r="S15555" t="s">
        <v>47984</v>
      </c>
      <c r="T15555" t="s">
        <v>48598</v>
      </c>
      <c r="U15555" t="s">
        <v>61260</v>
      </c>
      <c r="W15555" t="s">
        <v>45296</v>
      </c>
      <c r="X15555" t="s">
        <v>46641</v>
      </c>
    </row>
    <row r="15556" spans="1:24">
      <c r="A15556">
        <f>HYPERLINK("https://www.philgeps.gov.ph/GEPSNONPILOT/Tender/SplashBidNoticeAbstractUI.aspx?menuIndex=3&amp;refID=6919645&amp;Result=3","6919645")</f>
        <v>0</v>
      </c>
      <c r="B15556" t="s">
        <v>2469</v>
      </c>
      <c r="C15556" t="s">
        <v>18346</v>
      </c>
      <c r="D15556" t="s">
        <v>18801</v>
      </c>
      <c r="E15556" t="s">
        <v>32269</v>
      </c>
      <c r="F15556" t="s">
        <v>32664</v>
      </c>
      <c r="G15556" t="s">
        <v>32672</v>
      </c>
      <c r="H15556" t="s">
        <v>12635</v>
      </c>
      <c r="I15556" t="s">
        <v>6223</v>
      </c>
      <c r="J15556" t="s">
        <v>32853</v>
      </c>
      <c r="K15556" t="s">
        <v>42303</v>
      </c>
      <c r="M15556" t="s">
        <v>45267</v>
      </c>
      <c r="N15556" t="s">
        <v>46569</v>
      </c>
      <c r="O15556" t="s">
        <v>46570</v>
      </c>
      <c r="Q15556">
        <v>11</v>
      </c>
      <c r="R15556" t="s">
        <v>46639</v>
      </c>
      <c r="S15556" t="s">
        <v>47985</v>
      </c>
      <c r="T15556" t="s">
        <v>48449</v>
      </c>
      <c r="U15556" t="s">
        <v>55574</v>
      </c>
      <c r="V15556" t="s">
        <v>62260</v>
      </c>
      <c r="W15556" t="s">
        <v>63561</v>
      </c>
      <c r="X15556" t="s">
        <v>46641</v>
      </c>
    </row>
    <row r="15557" spans="1:24">
      <c r="A15557">
        <f>HYPERLINK("https://www.philgeps.gov.ph/GEPSNONPILOT/Tender/SplashBidNoticeAbstractUI.aspx?menuIndex=3&amp;refID=6919683&amp;Result=3","6919683")</f>
        <v>0</v>
      </c>
      <c r="B15557" t="s">
        <v>2469</v>
      </c>
      <c r="C15557" t="s">
        <v>18347</v>
      </c>
      <c r="D15557" t="s">
        <v>18801</v>
      </c>
      <c r="E15557" t="s">
        <v>32270</v>
      </c>
      <c r="F15557" t="s">
        <v>32664</v>
      </c>
      <c r="G15557" t="s">
        <v>32672</v>
      </c>
      <c r="H15557" t="s">
        <v>12635</v>
      </c>
      <c r="I15557" t="s">
        <v>32687</v>
      </c>
      <c r="J15557" t="s">
        <v>32974</v>
      </c>
      <c r="K15557" t="s">
        <v>42303</v>
      </c>
      <c r="M15557" t="s">
        <v>45267</v>
      </c>
      <c r="N15557" t="s">
        <v>46569</v>
      </c>
      <c r="O15557" t="s">
        <v>46570</v>
      </c>
      <c r="Q15557">
        <v>3</v>
      </c>
      <c r="R15557" t="s">
        <v>46639</v>
      </c>
      <c r="S15557" t="s">
        <v>47986</v>
      </c>
      <c r="T15557" t="s">
        <v>48449</v>
      </c>
      <c r="U15557" t="s">
        <v>55574</v>
      </c>
      <c r="V15557" t="s">
        <v>62260</v>
      </c>
      <c r="W15557" t="s">
        <v>63561</v>
      </c>
      <c r="X15557" t="s">
        <v>46641</v>
      </c>
    </row>
    <row r="15558" spans="1:24">
      <c r="A15558">
        <f>HYPERLINK("https://www.philgeps.gov.ph/GEPSNONPILOT/Tender/SplashBidNoticeAbstractUI.aspx?menuIndex=3&amp;refID=6919596&amp;Result=3","6919596")</f>
        <v>0</v>
      </c>
      <c r="B15558" t="s">
        <v>1480</v>
      </c>
      <c r="C15558" t="s">
        <v>18348</v>
      </c>
      <c r="D15558" t="s">
        <v>18851</v>
      </c>
      <c r="E15558" t="s">
        <v>32271</v>
      </c>
      <c r="F15558" t="s">
        <v>32664</v>
      </c>
      <c r="G15558" t="s">
        <v>32672</v>
      </c>
      <c r="H15558" t="s">
        <v>32683</v>
      </c>
      <c r="I15558" t="s">
        <v>10627</v>
      </c>
      <c r="J15558" t="s">
        <v>33946</v>
      </c>
      <c r="K15558" t="s">
        <v>42349</v>
      </c>
      <c r="M15558" t="s">
        <v>45548</v>
      </c>
      <c r="N15558" t="s">
        <v>46569</v>
      </c>
      <c r="O15558" t="s">
        <v>46570</v>
      </c>
      <c r="Q15558">
        <v>2</v>
      </c>
      <c r="R15558" t="s">
        <v>46639</v>
      </c>
      <c r="S15558" t="s">
        <v>47987</v>
      </c>
      <c r="T15558" t="s">
        <v>48639</v>
      </c>
      <c r="U15558" t="s">
        <v>61261</v>
      </c>
      <c r="V15558" t="s">
        <v>63373</v>
      </c>
      <c r="W15558" t="s">
        <v>45548</v>
      </c>
      <c r="X15558" t="s">
        <v>46641</v>
      </c>
    </row>
    <row r="15559" spans="1:24">
      <c r="A15559">
        <f>HYPERLINK("https://www.philgeps.gov.ph/GEPSNONPILOT/Tender/SplashBidNoticeAbstractUI.aspx?menuIndex=3&amp;refID=6917973&amp;Result=3","6917973")</f>
        <v>0</v>
      </c>
      <c r="B15559" t="s">
        <v>2339</v>
      </c>
      <c r="C15559" t="s">
        <v>18349</v>
      </c>
      <c r="E15559" t="s">
        <v>32272</v>
      </c>
      <c r="F15559" t="s">
        <v>32664</v>
      </c>
      <c r="G15559" t="s">
        <v>32672</v>
      </c>
      <c r="H15559" t="s">
        <v>12635</v>
      </c>
      <c r="I15559" t="s">
        <v>4439</v>
      </c>
      <c r="J15559" t="s">
        <v>42009</v>
      </c>
      <c r="K15559" t="s">
        <v>42283</v>
      </c>
      <c r="M15559" t="s">
        <v>45119</v>
      </c>
      <c r="N15559" t="s">
        <v>46569</v>
      </c>
      <c r="O15559" t="s">
        <v>46570</v>
      </c>
      <c r="Q15559">
        <v>4</v>
      </c>
      <c r="R15559" t="s">
        <v>46639</v>
      </c>
      <c r="S15559" t="s">
        <v>47988</v>
      </c>
      <c r="T15559" t="s">
        <v>48268</v>
      </c>
      <c r="U15559" t="s">
        <v>61262</v>
      </c>
      <c r="V15559" t="s">
        <v>63374</v>
      </c>
      <c r="W15559" t="s">
        <v>45119</v>
      </c>
      <c r="X15559" t="s">
        <v>46641</v>
      </c>
    </row>
    <row r="15560" spans="1:24">
      <c r="A15560">
        <f>HYPERLINK("https://www.philgeps.gov.ph/GEPSNONPILOT/Tender/SplashBidNoticeAbstractUI.aspx?menuIndex=3&amp;refID=6911678&amp;Result=3","6911678")</f>
        <v>0</v>
      </c>
      <c r="B15560" t="s">
        <v>1558</v>
      </c>
      <c r="C15560" t="s">
        <v>18350</v>
      </c>
      <c r="D15560" t="s">
        <v>18801</v>
      </c>
      <c r="E15560" t="s">
        <v>32273</v>
      </c>
      <c r="F15560" t="s">
        <v>32664</v>
      </c>
      <c r="G15560" t="s">
        <v>32677</v>
      </c>
      <c r="H15560" t="s">
        <v>32683</v>
      </c>
      <c r="I15560" t="s">
        <v>10627</v>
      </c>
      <c r="J15560" t="s">
        <v>42010</v>
      </c>
      <c r="K15560" t="s">
        <v>42298</v>
      </c>
      <c r="M15560" t="s">
        <v>46513</v>
      </c>
      <c r="N15560" t="s">
        <v>46569</v>
      </c>
      <c r="O15560" t="s">
        <v>46570</v>
      </c>
      <c r="Q15560">
        <v>12</v>
      </c>
      <c r="R15560" t="s">
        <v>46640</v>
      </c>
      <c r="S15560" t="s">
        <v>47989</v>
      </c>
      <c r="T15560" t="s">
        <v>48212</v>
      </c>
      <c r="U15560" t="s">
        <v>61263</v>
      </c>
      <c r="W15560" t="s">
        <v>46513</v>
      </c>
      <c r="X15560" t="s">
        <v>46642</v>
      </c>
    </row>
    <row r="15561" spans="1:24">
      <c r="A15561">
        <f>HYPERLINK("https://www.philgeps.gov.ph/GEPSNONPILOT/Tender/SplashBidNoticeAbstractUI.aspx?menuIndex=3&amp;refID=6920220&amp;Result=3","6920220")</f>
        <v>0</v>
      </c>
      <c r="B15561" t="s">
        <v>3282</v>
      </c>
      <c r="C15561" t="s">
        <v>18351</v>
      </c>
      <c r="D15561" t="s">
        <v>18784</v>
      </c>
      <c r="E15561" t="s">
        <v>32274</v>
      </c>
      <c r="F15561" t="s">
        <v>32664</v>
      </c>
      <c r="G15561" t="s">
        <v>32671</v>
      </c>
      <c r="H15561" t="s">
        <v>12635</v>
      </c>
      <c r="I15561" t="s">
        <v>5589</v>
      </c>
      <c r="J15561" t="s">
        <v>33531</v>
      </c>
      <c r="K15561" t="s">
        <v>42453</v>
      </c>
      <c r="M15561" t="s">
        <v>46514</v>
      </c>
      <c r="N15561" t="s">
        <v>46569</v>
      </c>
      <c r="O15561" t="s">
        <v>46570</v>
      </c>
      <c r="Q15561">
        <v>0</v>
      </c>
      <c r="R15561" t="s">
        <v>46639</v>
      </c>
      <c r="S15561" t="s">
        <v>47336</v>
      </c>
      <c r="T15561" t="s">
        <v>48283</v>
      </c>
      <c r="U15561" t="s">
        <v>61264</v>
      </c>
      <c r="W15561" t="s">
        <v>46514</v>
      </c>
      <c r="X15561" t="s">
        <v>46641</v>
      </c>
    </row>
    <row r="15562" spans="1:24">
      <c r="A15562">
        <f>HYPERLINK("https://www.philgeps.gov.ph/GEPSNONPILOT/Tender/SplashBidNoticeAbstractUI.aspx?menuIndex=3&amp;refID=6919291&amp;Result=3","6919291")</f>
        <v>0</v>
      </c>
      <c r="B15562" t="s">
        <v>288</v>
      </c>
      <c r="C15562" t="s">
        <v>18352</v>
      </c>
      <c r="D15562" t="s">
        <v>18803</v>
      </c>
      <c r="E15562" t="s">
        <v>32275</v>
      </c>
      <c r="F15562" t="s">
        <v>32664</v>
      </c>
      <c r="G15562" t="s">
        <v>32672</v>
      </c>
      <c r="H15562" t="s">
        <v>32682</v>
      </c>
      <c r="I15562" t="s">
        <v>9946</v>
      </c>
      <c r="J15562" t="s">
        <v>34487</v>
      </c>
      <c r="K15562" t="s">
        <v>42291</v>
      </c>
      <c r="M15562" t="s">
        <v>46515</v>
      </c>
      <c r="N15562" t="s">
        <v>46569</v>
      </c>
      <c r="O15562" t="s">
        <v>46570</v>
      </c>
      <c r="Q15562">
        <v>2</v>
      </c>
      <c r="R15562" t="s">
        <v>46639</v>
      </c>
      <c r="S15562" t="s">
        <v>47990</v>
      </c>
      <c r="T15562" t="s">
        <v>48248</v>
      </c>
      <c r="U15562" t="s">
        <v>61265</v>
      </c>
      <c r="W15562" t="s">
        <v>42855</v>
      </c>
      <c r="X15562" t="s">
        <v>46641</v>
      </c>
    </row>
    <row r="15563" spans="1:24">
      <c r="A15563">
        <f>HYPERLINK("https://www.philgeps.gov.ph/GEPSNONPILOT/Tender/SplashBidNoticeAbstractUI.aspx?menuIndex=3&amp;refID=6911263&amp;Result=3","6911263")</f>
        <v>0</v>
      </c>
      <c r="B15563" t="s">
        <v>725</v>
      </c>
      <c r="C15563" t="s">
        <v>18353</v>
      </c>
      <c r="D15563" t="s">
        <v>18842</v>
      </c>
      <c r="E15563" t="s">
        <v>32276</v>
      </c>
      <c r="F15563" t="s">
        <v>32664</v>
      </c>
      <c r="G15563" t="s">
        <v>32672</v>
      </c>
      <c r="H15563" t="s">
        <v>32681</v>
      </c>
      <c r="I15563" t="s">
        <v>32690</v>
      </c>
      <c r="J15563" t="s">
        <v>32982</v>
      </c>
      <c r="K15563" t="s">
        <v>42311</v>
      </c>
      <c r="M15563" t="s">
        <v>43312</v>
      </c>
      <c r="N15563" t="s">
        <v>46569</v>
      </c>
      <c r="O15563" t="s">
        <v>46570</v>
      </c>
      <c r="Q15563">
        <v>4</v>
      </c>
      <c r="R15563" t="s">
        <v>46640</v>
      </c>
      <c r="S15563" t="s">
        <v>47991</v>
      </c>
      <c r="T15563" t="s">
        <v>48226</v>
      </c>
      <c r="U15563" t="s">
        <v>61266</v>
      </c>
      <c r="W15563" t="s">
        <v>43312</v>
      </c>
      <c r="X15563" t="s">
        <v>46642</v>
      </c>
    </row>
    <row r="15564" spans="1:24">
      <c r="A15564">
        <f>HYPERLINK("https://www.philgeps.gov.ph/GEPSNONPILOT/Tender/SplashBidNoticeAbstractUI.aspx?menuIndex=3&amp;refID=6911224&amp;Result=3","6911224")</f>
        <v>0</v>
      </c>
      <c r="B15564" t="s">
        <v>3496</v>
      </c>
      <c r="C15564" t="s">
        <v>18354</v>
      </c>
      <c r="D15564" t="s">
        <v>18830</v>
      </c>
      <c r="E15564" t="s">
        <v>32277</v>
      </c>
      <c r="F15564" t="s">
        <v>32664</v>
      </c>
      <c r="G15564" t="s">
        <v>32672</v>
      </c>
      <c r="H15564" t="s">
        <v>12635</v>
      </c>
      <c r="I15564" t="s">
        <v>4439</v>
      </c>
      <c r="J15564" t="s">
        <v>42011</v>
      </c>
      <c r="K15564" t="s">
        <v>42281</v>
      </c>
      <c r="M15564" t="s">
        <v>46516</v>
      </c>
      <c r="N15564" t="s">
        <v>46569</v>
      </c>
      <c r="O15564" t="s">
        <v>46570</v>
      </c>
      <c r="Q15564">
        <v>7</v>
      </c>
      <c r="R15564" t="s">
        <v>46640</v>
      </c>
      <c r="S15564" t="s">
        <v>47992</v>
      </c>
      <c r="T15564" t="s">
        <v>48307</v>
      </c>
      <c r="U15564" t="s">
        <v>61267</v>
      </c>
      <c r="W15564" t="s">
        <v>46516</v>
      </c>
      <c r="X15564" t="s">
        <v>46642</v>
      </c>
    </row>
    <row r="15565" spans="1:24">
      <c r="A15565">
        <f>HYPERLINK("https://www.philgeps.gov.ph/GEPSNONPILOT/Tender/SplashBidNoticeAbstractUI.aspx?menuIndex=3&amp;refID=6911173&amp;Result=3","6911173")</f>
        <v>0</v>
      </c>
      <c r="B15565" t="s">
        <v>3401</v>
      </c>
      <c r="C15565" t="s">
        <v>18355</v>
      </c>
      <c r="D15565" t="s">
        <v>18804</v>
      </c>
      <c r="E15565" t="s">
        <v>32278</v>
      </c>
      <c r="F15565" t="s">
        <v>32664</v>
      </c>
      <c r="G15565" t="s">
        <v>32672</v>
      </c>
      <c r="H15565" t="s">
        <v>12635</v>
      </c>
      <c r="I15565" t="s">
        <v>32685</v>
      </c>
      <c r="J15565" t="s">
        <v>42012</v>
      </c>
      <c r="K15565" t="s">
        <v>42289</v>
      </c>
      <c r="M15565" t="s">
        <v>46370</v>
      </c>
      <c r="N15565" t="s">
        <v>46569</v>
      </c>
      <c r="O15565" t="s">
        <v>46570</v>
      </c>
      <c r="Q15565">
        <v>10</v>
      </c>
      <c r="R15565" t="s">
        <v>46640</v>
      </c>
      <c r="S15565" t="s">
        <v>47993</v>
      </c>
      <c r="T15565" t="s">
        <v>48225</v>
      </c>
      <c r="U15565" t="s">
        <v>61268</v>
      </c>
      <c r="W15565" t="s">
        <v>46370</v>
      </c>
      <c r="X15565" t="s">
        <v>46642</v>
      </c>
    </row>
    <row r="15566" spans="1:24">
      <c r="A15566">
        <f>HYPERLINK("https://www.philgeps.gov.ph/GEPSNONPILOT/Tender/SplashBidNoticeAbstractUI.aspx?menuIndex=3&amp;refID=6924997&amp;Result=3","6924997")</f>
        <v>0</v>
      </c>
      <c r="B15566" t="s">
        <v>3495</v>
      </c>
      <c r="C15566" t="s">
        <v>18356</v>
      </c>
      <c r="D15566" t="s">
        <v>18784</v>
      </c>
      <c r="E15566" t="s">
        <v>32279</v>
      </c>
      <c r="F15566" t="s">
        <v>32664</v>
      </c>
      <c r="G15566" t="s">
        <v>32672</v>
      </c>
      <c r="H15566" t="s">
        <v>12635</v>
      </c>
      <c r="I15566" t="s">
        <v>9486</v>
      </c>
      <c r="J15566" t="s">
        <v>42013</v>
      </c>
      <c r="K15566" t="s">
        <v>42289</v>
      </c>
      <c r="M15566" t="s">
        <v>46510</v>
      </c>
      <c r="N15566" t="s">
        <v>46569</v>
      </c>
      <c r="O15566" t="s">
        <v>46570</v>
      </c>
      <c r="Q15566">
        <v>7</v>
      </c>
      <c r="R15566" t="s">
        <v>46637</v>
      </c>
      <c r="S15566" t="s">
        <v>46888</v>
      </c>
      <c r="T15566" t="s">
        <v>48473</v>
      </c>
      <c r="U15566" t="s">
        <v>61269</v>
      </c>
      <c r="W15566" t="s">
        <v>46510</v>
      </c>
      <c r="X15566" t="s">
        <v>46638</v>
      </c>
    </row>
    <row r="15567" spans="1:24">
      <c r="A15567">
        <f>HYPERLINK("https://www.philgeps.gov.ph/GEPSNONPILOT/Tender/SplashBidNoticeAbstractUI.aspx?menuIndex=3&amp;refID=6911641&amp;Result=3","6911641")</f>
        <v>0</v>
      </c>
      <c r="B15567" t="s">
        <v>592</v>
      </c>
      <c r="C15567" t="s">
        <v>18357</v>
      </c>
      <c r="D15567" t="s">
        <v>18854</v>
      </c>
      <c r="E15567" t="s">
        <v>32280</v>
      </c>
      <c r="F15567" t="s">
        <v>32664</v>
      </c>
      <c r="G15567" t="s">
        <v>32672</v>
      </c>
      <c r="H15567" t="s">
        <v>12635</v>
      </c>
      <c r="I15567" t="s">
        <v>9946</v>
      </c>
      <c r="J15567" t="s">
        <v>42014</v>
      </c>
      <c r="K15567" t="s">
        <v>42351</v>
      </c>
      <c r="M15567" t="s">
        <v>43411</v>
      </c>
      <c r="N15567" t="s">
        <v>46569</v>
      </c>
      <c r="O15567" t="s">
        <v>46570</v>
      </c>
      <c r="Q15567">
        <v>4</v>
      </c>
      <c r="R15567" t="s">
        <v>46640</v>
      </c>
      <c r="S15567" t="s">
        <v>47994</v>
      </c>
      <c r="T15567" t="s">
        <v>48436</v>
      </c>
      <c r="U15567" t="s">
        <v>61270</v>
      </c>
      <c r="V15567" t="s">
        <v>63375</v>
      </c>
      <c r="W15567" t="s">
        <v>43411</v>
      </c>
      <c r="X15567" t="s">
        <v>46642</v>
      </c>
    </row>
    <row r="15568" spans="1:24">
      <c r="A15568">
        <f>HYPERLINK("https://www.philgeps.gov.ph/GEPSNONPILOT/Tender/SplashBidNoticeAbstractUI.aspx?menuIndex=3&amp;refID=6925017&amp;Result=3","6925017")</f>
        <v>0</v>
      </c>
      <c r="B15568" t="s">
        <v>3495</v>
      </c>
      <c r="C15568" t="s">
        <v>18358</v>
      </c>
      <c r="D15568" t="s">
        <v>18784</v>
      </c>
      <c r="E15568" t="s">
        <v>32281</v>
      </c>
      <c r="F15568" t="s">
        <v>32664</v>
      </c>
      <c r="G15568" t="s">
        <v>32672</v>
      </c>
      <c r="H15568" t="s">
        <v>12635</v>
      </c>
      <c r="I15568" t="s">
        <v>32704</v>
      </c>
      <c r="J15568" t="s">
        <v>42015</v>
      </c>
      <c r="K15568" t="s">
        <v>42289</v>
      </c>
      <c r="M15568" t="s">
        <v>46510</v>
      </c>
      <c r="N15568" t="s">
        <v>46569</v>
      </c>
      <c r="O15568" t="s">
        <v>46570</v>
      </c>
      <c r="Q15568">
        <v>13</v>
      </c>
      <c r="R15568" t="s">
        <v>46637</v>
      </c>
      <c r="S15568" t="s">
        <v>47995</v>
      </c>
      <c r="T15568" t="s">
        <v>48473</v>
      </c>
      <c r="U15568" t="s">
        <v>61271</v>
      </c>
      <c r="W15568" t="s">
        <v>46510</v>
      </c>
      <c r="X15568" t="s">
        <v>46638</v>
      </c>
    </row>
    <row r="15569" spans="1:24">
      <c r="A15569">
        <f>HYPERLINK("https://www.philgeps.gov.ph/GEPSNONPILOT/Tender/SplashBidNoticeAbstractUI.aspx?menuIndex=3&amp;refID=6910374&amp;Result=3","6910374")</f>
        <v>0</v>
      </c>
      <c r="B15569" t="s">
        <v>1303</v>
      </c>
      <c r="C15569" t="s">
        <v>18359</v>
      </c>
      <c r="D15569" t="s">
        <v>18784</v>
      </c>
      <c r="E15569" t="s">
        <v>32282</v>
      </c>
      <c r="F15569" t="s">
        <v>32664</v>
      </c>
      <c r="G15569" t="s">
        <v>32672</v>
      </c>
      <c r="H15569" t="s">
        <v>32683</v>
      </c>
      <c r="I15569" t="s">
        <v>10627</v>
      </c>
      <c r="J15569" t="s">
        <v>42016</v>
      </c>
      <c r="K15569" t="s">
        <v>42557</v>
      </c>
      <c r="M15569" t="s">
        <v>43948</v>
      </c>
      <c r="N15569" t="s">
        <v>46569</v>
      </c>
      <c r="O15569" t="s">
        <v>46570</v>
      </c>
      <c r="Q15569">
        <v>30</v>
      </c>
      <c r="R15569" t="s">
        <v>46640</v>
      </c>
      <c r="S15569" t="s">
        <v>47996</v>
      </c>
      <c r="T15569" t="s">
        <v>48249</v>
      </c>
      <c r="U15569" t="s">
        <v>61272</v>
      </c>
      <c r="V15569" t="s">
        <v>63376</v>
      </c>
      <c r="W15569" t="s">
        <v>43948</v>
      </c>
      <c r="X15569" t="s">
        <v>46642</v>
      </c>
    </row>
    <row r="15570" spans="1:24">
      <c r="A15570">
        <f>HYPERLINK("https://www.philgeps.gov.ph/GEPSNONPILOT/Tender/SplashBidNoticeAbstractUI.aspx?menuIndex=3&amp;refID=6916855&amp;Result=3","6916855")</f>
        <v>0</v>
      </c>
      <c r="B15570" t="s">
        <v>592</v>
      </c>
      <c r="C15570" t="s">
        <v>18360</v>
      </c>
      <c r="D15570" t="s">
        <v>18863</v>
      </c>
      <c r="E15570" t="s">
        <v>32283</v>
      </c>
      <c r="F15570" t="s">
        <v>32664</v>
      </c>
      <c r="G15570" t="s">
        <v>32672</v>
      </c>
      <c r="H15570" t="s">
        <v>12635</v>
      </c>
      <c r="I15570" t="s">
        <v>32738</v>
      </c>
      <c r="J15570" t="s">
        <v>42017</v>
      </c>
      <c r="K15570" t="s">
        <v>42365</v>
      </c>
      <c r="M15570" t="s">
        <v>43411</v>
      </c>
      <c r="N15570" t="s">
        <v>46569</v>
      </c>
      <c r="O15570" t="s">
        <v>46570</v>
      </c>
      <c r="Q15570">
        <v>7</v>
      </c>
      <c r="R15570" t="s">
        <v>46641</v>
      </c>
      <c r="S15570" t="s">
        <v>47997</v>
      </c>
      <c r="T15570" t="s">
        <v>48360</v>
      </c>
      <c r="U15570" t="s">
        <v>61273</v>
      </c>
      <c r="V15570" t="s">
        <v>63377</v>
      </c>
      <c r="W15570" t="s">
        <v>43411</v>
      </c>
      <c r="X15570" t="s">
        <v>46640</v>
      </c>
    </row>
    <row r="15571" spans="1:24">
      <c r="A15571">
        <f>HYPERLINK("https://www.philgeps.gov.ph/GEPSNONPILOT/Tender/SplashBidNoticeAbstractUI.aspx?menuIndex=3&amp;refID=6905855&amp;Result=3","6905855")</f>
        <v>0</v>
      </c>
      <c r="B15571" t="s">
        <v>1254</v>
      </c>
      <c r="C15571" t="s">
        <v>18361</v>
      </c>
      <c r="D15571" t="s">
        <v>18827</v>
      </c>
      <c r="E15571" t="s">
        <v>32284</v>
      </c>
      <c r="F15571" t="s">
        <v>32664</v>
      </c>
      <c r="G15571" t="s">
        <v>32672</v>
      </c>
      <c r="H15571" t="s">
        <v>32683</v>
      </c>
      <c r="I15571" t="s">
        <v>10627</v>
      </c>
      <c r="J15571" t="s">
        <v>42018</v>
      </c>
      <c r="K15571" t="s">
        <v>42437</v>
      </c>
      <c r="M15571" t="s">
        <v>43896</v>
      </c>
      <c r="N15571" t="s">
        <v>46569</v>
      </c>
      <c r="O15571" t="s">
        <v>46570</v>
      </c>
      <c r="Q15571">
        <v>2</v>
      </c>
      <c r="R15571" t="s">
        <v>46642</v>
      </c>
      <c r="S15571" t="s">
        <v>47998</v>
      </c>
      <c r="T15571" t="s">
        <v>48761</v>
      </c>
      <c r="U15571" t="s">
        <v>61274</v>
      </c>
      <c r="W15571" t="s">
        <v>43896</v>
      </c>
      <c r="X15571" t="s">
        <v>46643</v>
      </c>
    </row>
    <row r="15572" spans="1:24">
      <c r="A15572">
        <f>HYPERLINK("https://www.philgeps.gov.ph/GEPSNONPILOT/Tender/SplashBidNoticeAbstractUI.aspx?menuIndex=3&amp;refID=6909989&amp;Result=3","6909989")</f>
        <v>0</v>
      </c>
      <c r="B15572" t="s">
        <v>278</v>
      </c>
      <c r="C15572" t="s">
        <v>18362</v>
      </c>
      <c r="D15572" t="s">
        <v>18834</v>
      </c>
      <c r="E15572" t="s">
        <v>32285</v>
      </c>
      <c r="F15572" t="s">
        <v>32664</v>
      </c>
      <c r="G15572" t="s">
        <v>32671</v>
      </c>
      <c r="H15572" t="s">
        <v>12635</v>
      </c>
      <c r="I15572" t="s">
        <v>32725</v>
      </c>
      <c r="J15572" t="s">
        <v>33387</v>
      </c>
      <c r="K15572" t="s">
        <v>42281</v>
      </c>
      <c r="M15572" t="s">
        <v>42843</v>
      </c>
      <c r="N15572" t="s">
        <v>46569</v>
      </c>
      <c r="O15572" t="s">
        <v>46570</v>
      </c>
      <c r="Q15572">
        <v>4</v>
      </c>
      <c r="R15572" t="s">
        <v>46640</v>
      </c>
      <c r="S15572" t="s">
        <v>47999</v>
      </c>
      <c r="T15572" t="s">
        <v>48256</v>
      </c>
      <c r="U15572" t="s">
        <v>61275</v>
      </c>
      <c r="W15572" t="s">
        <v>63602</v>
      </c>
      <c r="X15572" t="s">
        <v>46642</v>
      </c>
    </row>
    <row r="15573" spans="1:24">
      <c r="A15573">
        <f>HYPERLINK("https://www.philgeps.gov.ph/GEPSNONPILOT/Tender/SplashBidNoticeAbstractUI.aspx?menuIndex=3&amp;refID=6906186&amp;Result=3","6906186")</f>
        <v>0</v>
      </c>
      <c r="B15573" t="s">
        <v>1254</v>
      </c>
      <c r="C15573" t="s">
        <v>18363</v>
      </c>
      <c r="D15573" t="s">
        <v>18827</v>
      </c>
      <c r="E15573" t="s">
        <v>32284</v>
      </c>
      <c r="F15573" t="s">
        <v>32664</v>
      </c>
      <c r="G15573" t="s">
        <v>32672</v>
      </c>
      <c r="H15573" t="s">
        <v>32683</v>
      </c>
      <c r="I15573" t="s">
        <v>10627</v>
      </c>
      <c r="J15573" t="s">
        <v>42019</v>
      </c>
      <c r="K15573" t="s">
        <v>42440</v>
      </c>
      <c r="M15573" t="s">
        <v>43896</v>
      </c>
      <c r="N15573" t="s">
        <v>46569</v>
      </c>
      <c r="O15573" t="s">
        <v>46570</v>
      </c>
      <c r="Q15573">
        <v>1</v>
      </c>
      <c r="R15573" t="s">
        <v>46642</v>
      </c>
      <c r="S15573" t="s">
        <v>48000</v>
      </c>
      <c r="T15573" t="s">
        <v>48761</v>
      </c>
      <c r="U15573" t="s">
        <v>61276</v>
      </c>
      <c r="W15573" t="s">
        <v>43896</v>
      </c>
      <c r="X15573" t="s">
        <v>46643</v>
      </c>
    </row>
    <row r="15574" spans="1:24">
      <c r="A15574">
        <f>HYPERLINK("https://www.philgeps.gov.ph/GEPSNONPILOT/Tender/SplashBidNoticeAbstractUI.aspx?menuIndex=3&amp;refID=6910808&amp;Result=3","6910808")</f>
        <v>0</v>
      </c>
      <c r="B15574" t="s">
        <v>1776</v>
      </c>
      <c r="C15574" t="s">
        <v>18364</v>
      </c>
      <c r="D15574" t="s">
        <v>18838</v>
      </c>
      <c r="E15574" t="s">
        <v>32286</v>
      </c>
      <c r="F15574" t="s">
        <v>32664</v>
      </c>
      <c r="G15574" t="s">
        <v>32672</v>
      </c>
      <c r="H15574" t="s">
        <v>32683</v>
      </c>
      <c r="I15574" t="s">
        <v>10627</v>
      </c>
      <c r="J15574" t="s">
        <v>42020</v>
      </c>
      <c r="K15574" t="s">
        <v>42505</v>
      </c>
      <c r="M15574" t="s">
        <v>46512</v>
      </c>
      <c r="N15574" t="s">
        <v>46569</v>
      </c>
      <c r="O15574" t="s">
        <v>46570</v>
      </c>
      <c r="Q15574">
        <v>60</v>
      </c>
      <c r="R15574" t="s">
        <v>46640</v>
      </c>
      <c r="S15574" t="s">
        <v>48001</v>
      </c>
      <c r="T15574" t="s">
        <v>48220</v>
      </c>
      <c r="U15574" t="s">
        <v>61277</v>
      </c>
      <c r="V15574" t="s">
        <v>63045</v>
      </c>
      <c r="W15574" t="s">
        <v>46512</v>
      </c>
      <c r="X15574" t="s">
        <v>46642</v>
      </c>
    </row>
    <row r="15575" spans="1:24">
      <c r="A15575">
        <f>HYPERLINK("https://www.philgeps.gov.ph/GEPSNONPILOT/Tender/SplashBidNoticeAbstractUI.aspx?menuIndex=3&amp;refID=6905957&amp;Result=3","6905957")</f>
        <v>0</v>
      </c>
      <c r="B15575" t="s">
        <v>1254</v>
      </c>
      <c r="C15575" t="s">
        <v>18365</v>
      </c>
      <c r="D15575" t="s">
        <v>18827</v>
      </c>
      <c r="E15575" t="s">
        <v>32284</v>
      </c>
      <c r="F15575" t="s">
        <v>32664</v>
      </c>
      <c r="G15575" t="s">
        <v>32672</v>
      </c>
      <c r="H15575" t="s">
        <v>32683</v>
      </c>
      <c r="I15575" t="s">
        <v>10627</v>
      </c>
      <c r="J15575" t="s">
        <v>42021</v>
      </c>
      <c r="K15575" t="s">
        <v>42342</v>
      </c>
      <c r="M15575" t="s">
        <v>43896</v>
      </c>
      <c r="N15575" t="s">
        <v>46569</v>
      </c>
      <c r="O15575" t="s">
        <v>46570</v>
      </c>
      <c r="Q15575">
        <v>5</v>
      </c>
      <c r="R15575" t="s">
        <v>46642</v>
      </c>
      <c r="S15575" t="s">
        <v>48002</v>
      </c>
      <c r="T15575" t="s">
        <v>48761</v>
      </c>
      <c r="U15575" t="s">
        <v>61278</v>
      </c>
      <c r="W15575" t="s">
        <v>43896</v>
      </c>
      <c r="X15575" t="s">
        <v>46643</v>
      </c>
    </row>
    <row r="15576" spans="1:24">
      <c r="A15576">
        <f>HYPERLINK("https://www.philgeps.gov.ph/GEPSNONPILOT/Tender/SplashBidNoticeAbstractUI.aspx?menuIndex=3&amp;refID=6911398&amp;Result=3","6911398")</f>
        <v>0</v>
      </c>
      <c r="B15576" t="s">
        <v>231</v>
      </c>
      <c r="C15576" t="s">
        <v>18366</v>
      </c>
      <c r="D15576" t="s">
        <v>18845</v>
      </c>
      <c r="E15576" t="s">
        <v>32287</v>
      </c>
      <c r="F15576" t="s">
        <v>32664</v>
      </c>
      <c r="G15576" t="s">
        <v>32671</v>
      </c>
      <c r="H15576" t="s">
        <v>12635</v>
      </c>
      <c r="I15576" t="s">
        <v>32701</v>
      </c>
      <c r="J15576" t="s">
        <v>33069</v>
      </c>
      <c r="K15576" t="s">
        <v>42281</v>
      </c>
      <c r="M15576" t="s">
        <v>42795</v>
      </c>
      <c r="N15576" t="s">
        <v>46569</v>
      </c>
      <c r="O15576" t="s">
        <v>46570</v>
      </c>
      <c r="Q15576">
        <v>0</v>
      </c>
      <c r="R15576" t="s">
        <v>46640</v>
      </c>
      <c r="S15576" t="s">
        <v>48003</v>
      </c>
      <c r="T15576" t="s">
        <v>48287</v>
      </c>
      <c r="U15576" t="s">
        <v>61279</v>
      </c>
      <c r="W15576" t="s">
        <v>42795</v>
      </c>
      <c r="X15576" t="s">
        <v>46642</v>
      </c>
    </row>
    <row r="15577" spans="1:24">
      <c r="A15577">
        <f>HYPERLINK("https://www.philgeps.gov.ph/GEPSNONPILOT/Tender/SplashBidNoticeAbstractUI.aspx?menuIndex=3&amp;refID=6910814&amp;Result=3","6910814")</f>
        <v>0</v>
      </c>
      <c r="B15577" t="s">
        <v>2947</v>
      </c>
      <c r="C15577" t="s">
        <v>18367</v>
      </c>
      <c r="D15577" t="s">
        <v>18784</v>
      </c>
      <c r="E15577" t="s">
        <v>32288</v>
      </c>
      <c r="F15577" t="s">
        <v>32664</v>
      </c>
      <c r="G15577" t="s">
        <v>32675</v>
      </c>
      <c r="H15577" t="s">
        <v>12635</v>
      </c>
      <c r="I15577" t="s">
        <v>4439</v>
      </c>
      <c r="J15577" t="s">
        <v>42022</v>
      </c>
      <c r="K15577" t="s">
        <v>42283</v>
      </c>
      <c r="M15577" t="s">
        <v>46500</v>
      </c>
      <c r="N15577" t="s">
        <v>46569</v>
      </c>
      <c r="O15577" t="s">
        <v>46570</v>
      </c>
      <c r="Q15577">
        <v>4</v>
      </c>
      <c r="R15577" t="s">
        <v>46640</v>
      </c>
      <c r="S15577" t="s">
        <v>47013</v>
      </c>
      <c r="T15577" t="s">
        <v>48256</v>
      </c>
      <c r="U15577" t="s">
        <v>61280</v>
      </c>
      <c r="W15577" t="s">
        <v>46500</v>
      </c>
      <c r="X15577" t="s">
        <v>46642</v>
      </c>
    </row>
    <row r="15578" spans="1:24">
      <c r="A15578">
        <f>HYPERLINK("https://www.philgeps.gov.ph/GEPSNONPILOT/Tender/SplashBidNoticeAbstractUI.aspx?menuIndex=3&amp;refID=6917992&amp;Result=3","6917992")</f>
        <v>0</v>
      </c>
      <c r="B15578" t="s">
        <v>2339</v>
      </c>
      <c r="C15578" t="s">
        <v>18368</v>
      </c>
      <c r="E15578" t="s">
        <v>32289</v>
      </c>
      <c r="F15578" t="s">
        <v>32664</v>
      </c>
      <c r="G15578" t="s">
        <v>32672</v>
      </c>
      <c r="H15578" t="s">
        <v>12635</v>
      </c>
      <c r="I15578" t="s">
        <v>32692</v>
      </c>
      <c r="J15578" t="s">
        <v>33969</v>
      </c>
      <c r="K15578" t="s">
        <v>42283</v>
      </c>
      <c r="M15578" t="s">
        <v>45119</v>
      </c>
      <c r="N15578" t="s">
        <v>46569</v>
      </c>
      <c r="O15578" t="s">
        <v>46570</v>
      </c>
      <c r="Q15578">
        <v>11</v>
      </c>
      <c r="R15578" t="s">
        <v>46639</v>
      </c>
      <c r="S15578" t="s">
        <v>48004</v>
      </c>
      <c r="T15578" t="s">
        <v>48268</v>
      </c>
      <c r="U15578" t="s">
        <v>61281</v>
      </c>
      <c r="V15578" t="s">
        <v>63378</v>
      </c>
      <c r="W15578" t="s">
        <v>45119</v>
      </c>
      <c r="X15578" t="s">
        <v>46641</v>
      </c>
    </row>
    <row r="15579" spans="1:24">
      <c r="A15579">
        <f>HYPERLINK("https://www.philgeps.gov.ph/GEPSNONPILOT/Tender/SplashBidNoticeAbstractUI.aspx?menuIndex=3&amp;refID=6904480&amp;Result=3","6904480")</f>
        <v>0</v>
      </c>
      <c r="B15579" t="s">
        <v>1993</v>
      </c>
      <c r="C15579" t="s">
        <v>18369</v>
      </c>
      <c r="D15579" t="s">
        <v>18834</v>
      </c>
      <c r="E15579" t="s">
        <v>32290</v>
      </c>
      <c r="F15579" t="s">
        <v>32664</v>
      </c>
      <c r="G15579" t="s">
        <v>32672</v>
      </c>
      <c r="H15579" t="s">
        <v>32683</v>
      </c>
      <c r="I15579" t="s">
        <v>10627</v>
      </c>
      <c r="J15579" t="s">
        <v>34379</v>
      </c>
      <c r="K15579" t="s">
        <v>42411</v>
      </c>
      <c r="M15579" t="s">
        <v>44728</v>
      </c>
      <c r="N15579" t="s">
        <v>46569</v>
      </c>
      <c r="O15579" t="s">
        <v>46570</v>
      </c>
      <c r="Q15579">
        <v>5</v>
      </c>
      <c r="R15579" t="s">
        <v>46642</v>
      </c>
      <c r="S15579" t="s">
        <v>46714</v>
      </c>
      <c r="T15579" t="s">
        <v>48283</v>
      </c>
      <c r="U15579" t="s">
        <v>61282</v>
      </c>
      <c r="V15579" t="s">
        <v>63379</v>
      </c>
      <c r="W15579" t="s">
        <v>63567</v>
      </c>
      <c r="X15579" t="s">
        <v>46643</v>
      </c>
    </row>
    <row r="15580" spans="1:24">
      <c r="A15580">
        <f>HYPERLINK("https://www.philgeps.gov.ph/GEPSNONPILOT/Tender/SplashBidNoticeAbstractUI.aspx?menuIndex=3&amp;refID=6912820&amp;Result=3","6912820")</f>
        <v>0</v>
      </c>
      <c r="B15580" t="s">
        <v>868</v>
      </c>
      <c r="C15580" t="s">
        <v>18370</v>
      </c>
      <c r="E15580" t="s">
        <v>32291</v>
      </c>
      <c r="F15580" t="s">
        <v>32664</v>
      </c>
      <c r="G15580" t="s">
        <v>32672</v>
      </c>
      <c r="H15580" t="s">
        <v>12635</v>
      </c>
      <c r="I15580" t="s">
        <v>32717</v>
      </c>
      <c r="J15580" t="s">
        <v>33302</v>
      </c>
      <c r="K15580" t="s">
        <v>42283</v>
      </c>
      <c r="M15580" t="s">
        <v>46517</v>
      </c>
      <c r="N15580" t="s">
        <v>46569</v>
      </c>
      <c r="O15580" t="s">
        <v>46570</v>
      </c>
      <c r="Q15580">
        <v>7</v>
      </c>
      <c r="R15580" t="s">
        <v>46640</v>
      </c>
      <c r="S15580" t="s">
        <v>48005</v>
      </c>
      <c r="T15580" t="s">
        <v>48483</v>
      </c>
      <c r="U15580" t="s">
        <v>61283</v>
      </c>
      <c r="W15580" t="s">
        <v>46517</v>
      </c>
      <c r="X15580" t="s">
        <v>46642</v>
      </c>
    </row>
    <row r="15581" spans="1:24">
      <c r="A15581">
        <f>HYPERLINK("https://www.philgeps.gov.ph/GEPSNONPILOT/Tender/SplashBidNoticeAbstractUI.aspx?menuIndex=3&amp;refID=6910957&amp;Result=3","6910957")</f>
        <v>0</v>
      </c>
      <c r="B15581" t="s">
        <v>469</v>
      </c>
      <c r="C15581" t="s">
        <v>18371</v>
      </c>
      <c r="D15581" t="s">
        <v>18784</v>
      </c>
      <c r="E15581" t="s">
        <v>32292</v>
      </c>
      <c r="F15581" t="s">
        <v>32664</v>
      </c>
      <c r="G15581" t="s">
        <v>32672</v>
      </c>
      <c r="H15581" t="s">
        <v>32682</v>
      </c>
      <c r="I15581" t="s">
        <v>9946</v>
      </c>
      <c r="J15581" t="s">
        <v>42023</v>
      </c>
      <c r="K15581" t="s">
        <v>42291</v>
      </c>
      <c r="M15581" t="s">
        <v>46518</v>
      </c>
      <c r="N15581" t="s">
        <v>46569</v>
      </c>
      <c r="O15581" t="s">
        <v>46570</v>
      </c>
      <c r="Q15581">
        <v>9</v>
      </c>
      <c r="R15581" t="s">
        <v>46640</v>
      </c>
      <c r="S15581" t="s">
        <v>48006</v>
      </c>
      <c r="T15581" t="s">
        <v>48580</v>
      </c>
      <c r="U15581" t="s">
        <v>61284</v>
      </c>
      <c r="W15581" t="s">
        <v>46518</v>
      </c>
      <c r="X15581" t="s">
        <v>46642</v>
      </c>
    </row>
    <row r="15582" spans="1:24">
      <c r="A15582">
        <f>HYPERLINK("https://www.philgeps.gov.ph/GEPSNONPILOT/Tender/SplashBidNoticeAbstractUI.aspx?menuIndex=3&amp;refID=6912267&amp;Result=3","6912267")</f>
        <v>0</v>
      </c>
      <c r="B15582" t="s">
        <v>1838</v>
      </c>
      <c r="C15582" t="s">
        <v>18372</v>
      </c>
      <c r="D15582" t="s">
        <v>18799</v>
      </c>
      <c r="E15582" t="s">
        <v>32293</v>
      </c>
      <c r="F15582" t="s">
        <v>32664</v>
      </c>
      <c r="G15582" t="s">
        <v>32672</v>
      </c>
      <c r="H15582" t="s">
        <v>12635</v>
      </c>
      <c r="I15582" t="s">
        <v>14442</v>
      </c>
      <c r="J15582" t="s">
        <v>42024</v>
      </c>
      <c r="K15582" t="s">
        <v>42298</v>
      </c>
      <c r="M15582" t="s">
        <v>45039</v>
      </c>
      <c r="N15582" t="s">
        <v>46569</v>
      </c>
      <c r="O15582" t="s">
        <v>46570</v>
      </c>
      <c r="Q15582">
        <v>6</v>
      </c>
      <c r="R15582" t="s">
        <v>46640</v>
      </c>
      <c r="S15582" t="s">
        <v>48007</v>
      </c>
      <c r="T15582" t="s">
        <v>48307</v>
      </c>
      <c r="U15582" t="s">
        <v>61285</v>
      </c>
      <c r="W15582" t="s">
        <v>45039</v>
      </c>
      <c r="X15582" t="s">
        <v>46642</v>
      </c>
    </row>
    <row r="15583" spans="1:24">
      <c r="A15583">
        <f>HYPERLINK("https://www.philgeps.gov.ph/GEPSNONPILOT/Tender/SplashBidNoticeAbstractUI.aspx?menuIndex=3&amp;refID=6918721&amp;Result=3","6918721")</f>
        <v>0</v>
      </c>
      <c r="B15583" t="s">
        <v>2494</v>
      </c>
      <c r="C15583" t="s">
        <v>18373</v>
      </c>
      <c r="D15583" t="s">
        <v>18842</v>
      </c>
      <c r="E15583" t="s">
        <v>32294</v>
      </c>
      <c r="F15583" t="s">
        <v>32664</v>
      </c>
      <c r="G15583" t="s">
        <v>32671</v>
      </c>
      <c r="H15583" t="s">
        <v>12635</v>
      </c>
      <c r="I15583" t="s">
        <v>6628</v>
      </c>
      <c r="J15583" t="s">
        <v>33024</v>
      </c>
      <c r="K15583" t="s">
        <v>42281</v>
      </c>
      <c r="M15583" t="s">
        <v>45296</v>
      </c>
      <c r="N15583" t="s">
        <v>46569</v>
      </c>
      <c r="O15583" t="s">
        <v>46570</v>
      </c>
      <c r="Q15583">
        <v>0</v>
      </c>
      <c r="R15583" t="s">
        <v>46639</v>
      </c>
      <c r="S15583" t="s">
        <v>48008</v>
      </c>
      <c r="T15583" t="s">
        <v>48598</v>
      </c>
      <c r="U15583" t="s">
        <v>61286</v>
      </c>
      <c r="W15583" t="s">
        <v>45296</v>
      </c>
      <c r="X15583" t="s">
        <v>46641</v>
      </c>
    </row>
    <row r="15584" spans="1:24">
      <c r="A15584">
        <f>HYPERLINK("https://www.philgeps.gov.ph/GEPSNONPILOT/Tender/SplashBidNoticeAbstractUI.aspx?menuIndex=3&amp;refID=6912252&amp;Result=3","6912252")</f>
        <v>0</v>
      </c>
      <c r="B15584" t="s">
        <v>1838</v>
      </c>
      <c r="C15584" t="s">
        <v>18374</v>
      </c>
      <c r="D15584" t="s">
        <v>18799</v>
      </c>
      <c r="E15584" t="s">
        <v>32295</v>
      </c>
      <c r="F15584" t="s">
        <v>32664</v>
      </c>
      <c r="G15584" t="s">
        <v>32672</v>
      </c>
      <c r="H15584" t="s">
        <v>12635</v>
      </c>
      <c r="I15584" t="s">
        <v>14442</v>
      </c>
      <c r="J15584" t="s">
        <v>36552</v>
      </c>
      <c r="K15584" t="s">
        <v>42298</v>
      </c>
      <c r="M15584" t="s">
        <v>45039</v>
      </c>
      <c r="N15584" t="s">
        <v>46569</v>
      </c>
      <c r="O15584" t="s">
        <v>46570</v>
      </c>
      <c r="Q15584">
        <v>7</v>
      </c>
      <c r="R15584" t="s">
        <v>46640</v>
      </c>
      <c r="S15584" t="s">
        <v>48009</v>
      </c>
      <c r="T15584" t="s">
        <v>48307</v>
      </c>
      <c r="U15584" t="s">
        <v>61287</v>
      </c>
      <c r="W15584" t="s">
        <v>45039</v>
      </c>
      <c r="X15584" t="s">
        <v>46642</v>
      </c>
    </row>
    <row r="15585" spans="1:24">
      <c r="A15585">
        <f>HYPERLINK("https://www.philgeps.gov.ph/GEPSNONPILOT/Tender/SplashBidNoticeAbstractUI.aspx?menuIndex=3&amp;refID=6912809&amp;Result=3","6912809")</f>
        <v>0</v>
      </c>
      <c r="B15585" t="s">
        <v>868</v>
      </c>
      <c r="C15585" t="s">
        <v>18375</v>
      </c>
      <c r="E15585" t="s">
        <v>32296</v>
      </c>
      <c r="F15585" t="s">
        <v>32664</v>
      </c>
      <c r="G15585" t="s">
        <v>32672</v>
      </c>
      <c r="H15585" t="s">
        <v>12635</v>
      </c>
      <c r="I15585" t="s">
        <v>32717</v>
      </c>
      <c r="J15585" t="s">
        <v>37816</v>
      </c>
      <c r="K15585" t="s">
        <v>42283</v>
      </c>
      <c r="M15585" t="s">
        <v>46517</v>
      </c>
      <c r="N15585" t="s">
        <v>46569</v>
      </c>
      <c r="O15585" t="s">
        <v>46570</v>
      </c>
      <c r="Q15585">
        <v>5</v>
      </c>
      <c r="R15585" t="s">
        <v>46640</v>
      </c>
      <c r="S15585" t="s">
        <v>48010</v>
      </c>
      <c r="T15585" t="s">
        <v>48308</v>
      </c>
      <c r="U15585" t="s">
        <v>61288</v>
      </c>
      <c r="W15585" t="s">
        <v>46517</v>
      </c>
      <c r="X15585" t="s">
        <v>46642</v>
      </c>
    </row>
    <row r="15586" spans="1:24">
      <c r="A15586">
        <f>HYPERLINK("https://www.philgeps.gov.ph/GEPSNONPILOT/Tender/SplashBidNoticeAbstractUI.aspx?menuIndex=3&amp;refID=6912208&amp;Result=3","6912208")</f>
        <v>0</v>
      </c>
      <c r="B15586" t="s">
        <v>1838</v>
      </c>
      <c r="C15586" t="s">
        <v>18376</v>
      </c>
      <c r="D15586" t="s">
        <v>18799</v>
      </c>
      <c r="E15586" t="s">
        <v>32297</v>
      </c>
      <c r="F15586" t="s">
        <v>32664</v>
      </c>
      <c r="G15586" t="s">
        <v>32672</v>
      </c>
      <c r="H15586" t="s">
        <v>12635</v>
      </c>
      <c r="I15586" t="s">
        <v>32783</v>
      </c>
      <c r="J15586" t="s">
        <v>42025</v>
      </c>
      <c r="K15586" t="s">
        <v>42298</v>
      </c>
      <c r="M15586" t="s">
        <v>45039</v>
      </c>
      <c r="N15586" t="s">
        <v>46569</v>
      </c>
      <c r="O15586" t="s">
        <v>46570</v>
      </c>
      <c r="Q15586">
        <v>9</v>
      </c>
      <c r="R15586" t="s">
        <v>46640</v>
      </c>
      <c r="S15586" t="s">
        <v>47819</v>
      </c>
      <c r="T15586" t="s">
        <v>48307</v>
      </c>
      <c r="U15586" t="s">
        <v>61289</v>
      </c>
      <c r="W15586" t="s">
        <v>45039</v>
      </c>
      <c r="X15586" t="s">
        <v>46642</v>
      </c>
    </row>
    <row r="15587" spans="1:24">
      <c r="A15587">
        <f>HYPERLINK("https://www.philgeps.gov.ph/GEPSNONPILOT/Tender/SplashBidNoticeAbstractUI.aspx?menuIndex=3&amp;refID=6912287&amp;Result=3","6912287")</f>
        <v>0</v>
      </c>
      <c r="B15587" t="s">
        <v>1838</v>
      </c>
      <c r="C15587" t="s">
        <v>18377</v>
      </c>
      <c r="D15587" t="s">
        <v>18799</v>
      </c>
      <c r="E15587" t="s">
        <v>32298</v>
      </c>
      <c r="F15587" t="s">
        <v>32664</v>
      </c>
      <c r="G15587" t="s">
        <v>32672</v>
      </c>
      <c r="H15587" t="s">
        <v>12635</v>
      </c>
      <c r="I15587" t="s">
        <v>14442</v>
      </c>
      <c r="J15587" t="s">
        <v>42026</v>
      </c>
      <c r="K15587" t="s">
        <v>42298</v>
      </c>
      <c r="M15587" t="s">
        <v>45039</v>
      </c>
      <c r="N15587" t="s">
        <v>46569</v>
      </c>
      <c r="O15587" t="s">
        <v>46570</v>
      </c>
      <c r="Q15587">
        <v>6</v>
      </c>
      <c r="R15587" t="s">
        <v>46640</v>
      </c>
      <c r="S15587" t="s">
        <v>47479</v>
      </c>
      <c r="T15587" t="s">
        <v>48307</v>
      </c>
      <c r="U15587" t="s">
        <v>61290</v>
      </c>
      <c r="W15587" t="s">
        <v>45039</v>
      </c>
      <c r="X15587" t="s">
        <v>46642</v>
      </c>
    </row>
    <row r="15588" spans="1:24">
      <c r="A15588">
        <f>HYPERLINK("https://www.philgeps.gov.ph/GEPSNONPILOT/Tender/SplashBidNoticeAbstractUI.aspx?menuIndex=3&amp;refID=6903240&amp;Result=3","6903240")</f>
        <v>0</v>
      </c>
      <c r="B15588" t="s">
        <v>3497</v>
      </c>
      <c r="C15588" t="s">
        <v>18378</v>
      </c>
      <c r="D15588" t="s">
        <v>18845</v>
      </c>
      <c r="E15588" t="s">
        <v>32299</v>
      </c>
      <c r="F15588" t="s">
        <v>32664</v>
      </c>
      <c r="G15588" t="s">
        <v>32672</v>
      </c>
      <c r="H15588" t="s">
        <v>32683</v>
      </c>
      <c r="I15588" t="s">
        <v>10627</v>
      </c>
      <c r="J15588" t="s">
        <v>42027</v>
      </c>
      <c r="K15588" t="s">
        <v>42311</v>
      </c>
      <c r="M15588" t="s">
        <v>46519</v>
      </c>
      <c r="N15588" t="s">
        <v>46569</v>
      </c>
      <c r="O15588" t="s">
        <v>46570</v>
      </c>
      <c r="Q15588">
        <v>18</v>
      </c>
      <c r="R15588" t="s">
        <v>46643</v>
      </c>
      <c r="S15588" t="s">
        <v>48011</v>
      </c>
      <c r="T15588" t="s">
        <v>48762</v>
      </c>
      <c r="U15588" t="s">
        <v>61291</v>
      </c>
      <c r="V15588" t="s">
        <v>63380</v>
      </c>
      <c r="W15588" t="s">
        <v>46519</v>
      </c>
      <c r="X15588" t="s">
        <v>46646</v>
      </c>
    </row>
    <row r="15589" spans="1:24">
      <c r="A15589">
        <f>HYPERLINK("https://www.philgeps.gov.ph/GEPSNONPILOT/Tender/SplashBidNoticeAbstractUI.aspx?menuIndex=3&amp;refID=6912613&amp;Result=3","6912613")</f>
        <v>0</v>
      </c>
      <c r="B15589" t="s">
        <v>1174</v>
      </c>
      <c r="C15589" t="s">
        <v>18379</v>
      </c>
      <c r="E15589" t="s">
        <v>32300</v>
      </c>
      <c r="F15589" t="s">
        <v>32664</v>
      </c>
      <c r="G15589" t="s">
        <v>32672</v>
      </c>
      <c r="H15589" t="s">
        <v>12635</v>
      </c>
      <c r="I15589" t="s">
        <v>5589</v>
      </c>
      <c r="J15589" t="s">
        <v>33150</v>
      </c>
      <c r="K15589" t="s">
        <v>42283</v>
      </c>
      <c r="M15589" t="s">
        <v>43808</v>
      </c>
      <c r="N15589" t="s">
        <v>46569</v>
      </c>
      <c r="O15589" t="s">
        <v>46570</v>
      </c>
      <c r="Q15589">
        <v>23</v>
      </c>
      <c r="R15589" t="s">
        <v>46640</v>
      </c>
      <c r="S15589" t="s">
        <v>48012</v>
      </c>
      <c r="T15589" t="s">
        <v>48244</v>
      </c>
      <c r="U15589" t="s">
        <v>61292</v>
      </c>
      <c r="W15589" t="s">
        <v>43808</v>
      </c>
      <c r="X15589" t="s">
        <v>46642</v>
      </c>
    </row>
    <row r="15590" spans="1:24">
      <c r="A15590">
        <f>HYPERLINK("https://www.philgeps.gov.ph/GEPSNONPILOT/Tender/SplashBidNoticeAbstractUI.aspx?menuIndex=3&amp;refID=6912229&amp;Result=3","6912229")</f>
        <v>0</v>
      </c>
      <c r="B15590" t="s">
        <v>1838</v>
      </c>
      <c r="C15590" t="s">
        <v>18380</v>
      </c>
      <c r="D15590" t="s">
        <v>18799</v>
      </c>
      <c r="E15590" t="s">
        <v>32301</v>
      </c>
      <c r="F15590" t="s">
        <v>32664</v>
      </c>
      <c r="G15590" t="s">
        <v>32672</v>
      </c>
      <c r="H15590" t="s">
        <v>12635</v>
      </c>
      <c r="I15590" t="s">
        <v>14442</v>
      </c>
      <c r="J15590" t="s">
        <v>42028</v>
      </c>
      <c r="K15590" t="s">
        <v>42298</v>
      </c>
      <c r="M15590" t="s">
        <v>45039</v>
      </c>
      <c r="N15590" t="s">
        <v>46569</v>
      </c>
      <c r="O15590" t="s">
        <v>46570</v>
      </c>
      <c r="Q15590">
        <v>8</v>
      </c>
      <c r="R15590" t="s">
        <v>46640</v>
      </c>
      <c r="S15590" t="s">
        <v>48013</v>
      </c>
      <c r="T15590" t="s">
        <v>48307</v>
      </c>
      <c r="U15590" t="s">
        <v>61293</v>
      </c>
      <c r="W15590" t="s">
        <v>45039</v>
      </c>
      <c r="X15590" t="s">
        <v>46642</v>
      </c>
    </row>
    <row r="15591" spans="1:24">
      <c r="A15591">
        <f>HYPERLINK("https://www.philgeps.gov.ph/GEPSNONPILOT/Tender/SplashBidNoticeAbstractUI.aspx?menuIndex=3&amp;refID=6908540&amp;Result=3","6908540")</f>
        <v>0</v>
      </c>
      <c r="B15591" t="s">
        <v>366</v>
      </c>
      <c r="C15591" t="s">
        <v>18381</v>
      </c>
      <c r="E15591" t="s">
        <v>32302</v>
      </c>
      <c r="F15591" t="s">
        <v>32664</v>
      </c>
      <c r="G15591" t="s">
        <v>32672</v>
      </c>
      <c r="H15591" t="s">
        <v>12635</v>
      </c>
      <c r="I15591" t="s">
        <v>32704</v>
      </c>
      <c r="J15591" t="s">
        <v>42029</v>
      </c>
      <c r="K15591" t="s">
        <v>42283</v>
      </c>
      <c r="M15591" t="s">
        <v>46520</v>
      </c>
      <c r="N15591" t="s">
        <v>46569</v>
      </c>
      <c r="O15591" t="s">
        <v>46570</v>
      </c>
      <c r="Q15591">
        <v>58</v>
      </c>
      <c r="R15591" t="s">
        <v>46642</v>
      </c>
      <c r="S15591" t="s">
        <v>48014</v>
      </c>
      <c r="T15591" t="s">
        <v>48557</v>
      </c>
      <c r="U15591" t="s">
        <v>61294</v>
      </c>
      <c r="W15591" t="s">
        <v>46520</v>
      </c>
      <c r="X15591" t="s">
        <v>46643</v>
      </c>
    </row>
    <row r="15592" spans="1:24">
      <c r="A15592">
        <f>HYPERLINK("https://www.philgeps.gov.ph/GEPSNONPILOT/Tender/SplashBidNoticeAbstractUI.aspx?menuIndex=3&amp;refID=6908367&amp;Result=3","6908367")</f>
        <v>0</v>
      </c>
      <c r="B15592" t="s">
        <v>592</v>
      </c>
      <c r="C15592" t="s">
        <v>18382</v>
      </c>
      <c r="D15592" t="s">
        <v>18854</v>
      </c>
      <c r="E15592" t="s">
        <v>32303</v>
      </c>
      <c r="F15592" t="s">
        <v>32664</v>
      </c>
      <c r="G15592" t="s">
        <v>32672</v>
      </c>
      <c r="H15592" t="s">
        <v>32683</v>
      </c>
      <c r="I15592" t="s">
        <v>10627</v>
      </c>
      <c r="J15592" t="s">
        <v>42030</v>
      </c>
      <c r="K15592" t="s">
        <v>42308</v>
      </c>
      <c r="M15592" t="s">
        <v>43411</v>
      </c>
      <c r="N15592" t="s">
        <v>46569</v>
      </c>
      <c r="O15592" t="s">
        <v>46570</v>
      </c>
      <c r="Q15592">
        <v>6</v>
      </c>
      <c r="R15592" t="s">
        <v>46642</v>
      </c>
      <c r="S15592" t="s">
        <v>48015</v>
      </c>
      <c r="T15592" t="s">
        <v>48436</v>
      </c>
      <c r="U15592" t="s">
        <v>61295</v>
      </c>
      <c r="V15592" t="s">
        <v>63381</v>
      </c>
      <c r="W15592" t="s">
        <v>43411</v>
      </c>
      <c r="X15592" t="s">
        <v>46643</v>
      </c>
    </row>
    <row r="15593" spans="1:24">
      <c r="A15593">
        <f>HYPERLINK("https://www.philgeps.gov.ph/GEPSNONPILOT/Tender/SplashBidNoticeAbstractUI.aspx?menuIndex=3&amp;refID=6902982&amp;Result=3","6902982")</f>
        <v>0</v>
      </c>
      <c r="B15593" t="s">
        <v>1685</v>
      </c>
      <c r="C15593" t="s">
        <v>18383</v>
      </c>
      <c r="D15593" t="s">
        <v>18805</v>
      </c>
      <c r="E15593" t="s">
        <v>32304</v>
      </c>
      <c r="F15593" t="s">
        <v>32664</v>
      </c>
      <c r="G15593" t="s">
        <v>32672</v>
      </c>
      <c r="H15593" t="s">
        <v>32683</v>
      </c>
      <c r="I15593" t="s">
        <v>10627</v>
      </c>
      <c r="J15593" t="s">
        <v>42031</v>
      </c>
      <c r="K15593" t="s">
        <v>42399</v>
      </c>
      <c r="M15593" t="s">
        <v>44374</v>
      </c>
      <c r="N15593" t="s">
        <v>46569</v>
      </c>
      <c r="O15593" t="s">
        <v>46570</v>
      </c>
      <c r="Q15593">
        <v>17</v>
      </c>
      <c r="R15593" t="s">
        <v>46643</v>
      </c>
      <c r="S15593" t="s">
        <v>48016</v>
      </c>
      <c r="T15593" t="s">
        <v>48302</v>
      </c>
      <c r="U15593" t="s">
        <v>61296</v>
      </c>
      <c r="V15593" t="s">
        <v>62111</v>
      </c>
      <c r="W15593" t="s">
        <v>63526</v>
      </c>
      <c r="X15593" t="s">
        <v>46646</v>
      </c>
    </row>
    <row r="15594" spans="1:24">
      <c r="A15594">
        <f>HYPERLINK("https://www.philgeps.gov.ph/GEPSNONPILOT/Tender/SplashBidNoticeAbstractUI.aspx?menuIndex=3&amp;refID=6908254&amp;Result=3","6908254")</f>
        <v>0</v>
      </c>
      <c r="B15594" t="s">
        <v>3498</v>
      </c>
      <c r="C15594" t="s">
        <v>18384</v>
      </c>
      <c r="E15594" t="s">
        <v>32305</v>
      </c>
      <c r="F15594" t="s">
        <v>32664</v>
      </c>
      <c r="G15594" t="s">
        <v>32672</v>
      </c>
      <c r="H15594" t="s">
        <v>32683</v>
      </c>
      <c r="I15594" t="s">
        <v>10627</v>
      </c>
      <c r="J15594" t="s">
        <v>42032</v>
      </c>
      <c r="K15594" t="s">
        <v>42327</v>
      </c>
      <c r="M15594" t="s">
        <v>46521</v>
      </c>
      <c r="N15594" t="s">
        <v>46569</v>
      </c>
      <c r="O15594" t="s">
        <v>46570</v>
      </c>
      <c r="Q15594">
        <v>12</v>
      </c>
      <c r="R15594" t="s">
        <v>46642</v>
      </c>
      <c r="S15594" t="s">
        <v>48017</v>
      </c>
      <c r="T15594" t="s">
        <v>48654</v>
      </c>
      <c r="U15594" t="s">
        <v>61297</v>
      </c>
      <c r="W15594" t="s">
        <v>46521</v>
      </c>
      <c r="X15594" t="s">
        <v>46643</v>
      </c>
    </row>
    <row r="15595" spans="1:24">
      <c r="A15595">
        <f>HYPERLINK("https://www.philgeps.gov.ph/GEPSNONPILOT/Tender/SplashBidNoticeAbstractUI.aspx?menuIndex=3&amp;refID=6908245&amp;Result=3","6908245")</f>
        <v>0</v>
      </c>
      <c r="B15595" t="s">
        <v>3498</v>
      </c>
      <c r="C15595" t="s">
        <v>18385</v>
      </c>
      <c r="E15595" t="s">
        <v>32306</v>
      </c>
      <c r="F15595" t="s">
        <v>32664</v>
      </c>
      <c r="G15595" t="s">
        <v>32672</v>
      </c>
      <c r="H15595" t="s">
        <v>32683</v>
      </c>
      <c r="I15595" t="s">
        <v>10627</v>
      </c>
      <c r="J15595" t="s">
        <v>42033</v>
      </c>
      <c r="K15595" t="s">
        <v>42285</v>
      </c>
      <c r="M15595" t="s">
        <v>46521</v>
      </c>
      <c r="N15595" t="s">
        <v>46569</v>
      </c>
      <c r="O15595" t="s">
        <v>46570</v>
      </c>
      <c r="Q15595">
        <v>13</v>
      </c>
      <c r="R15595" t="s">
        <v>46642</v>
      </c>
      <c r="S15595" t="s">
        <v>48018</v>
      </c>
      <c r="T15595" t="s">
        <v>48654</v>
      </c>
      <c r="U15595" t="s">
        <v>61297</v>
      </c>
      <c r="W15595" t="s">
        <v>46521</v>
      </c>
      <c r="X15595" t="s">
        <v>46643</v>
      </c>
    </row>
    <row r="15596" spans="1:24">
      <c r="A15596">
        <f>HYPERLINK("https://www.philgeps.gov.ph/GEPSNONPILOT/Tender/SplashBidNoticeAbstractUI.aspx?menuIndex=3&amp;refID=6908095&amp;Result=3","6908095")</f>
        <v>0</v>
      </c>
      <c r="B15596" t="s">
        <v>366</v>
      </c>
      <c r="C15596" t="s">
        <v>18386</v>
      </c>
      <c r="E15596" t="s">
        <v>32307</v>
      </c>
      <c r="F15596" t="s">
        <v>32664</v>
      </c>
      <c r="G15596" t="s">
        <v>32672</v>
      </c>
      <c r="H15596" t="s">
        <v>12635</v>
      </c>
      <c r="I15596" t="s">
        <v>5589</v>
      </c>
      <c r="J15596" t="s">
        <v>42034</v>
      </c>
      <c r="K15596" t="s">
        <v>42283</v>
      </c>
      <c r="M15596" t="s">
        <v>46522</v>
      </c>
      <c r="N15596" t="s">
        <v>46569</v>
      </c>
      <c r="O15596" t="s">
        <v>46570</v>
      </c>
      <c r="Q15596">
        <v>18</v>
      </c>
      <c r="R15596" t="s">
        <v>46642</v>
      </c>
      <c r="S15596" t="s">
        <v>48019</v>
      </c>
      <c r="T15596" t="s">
        <v>48763</v>
      </c>
      <c r="U15596" t="s">
        <v>61298</v>
      </c>
      <c r="W15596" t="s">
        <v>46522</v>
      </c>
      <c r="X15596" t="s">
        <v>46643</v>
      </c>
    </row>
    <row r="15597" spans="1:24">
      <c r="A15597">
        <f>HYPERLINK("https://www.philgeps.gov.ph/GEPSNONPILOT/Tender/SplashBidNoticeAbstractUI.aspx?menuIndex=3&amp;refID=6907300&amp;Result=3","6907300")</f>
        <v>0</v>
      </c>
      <c r="B15597" t="s">
        <v>851</v>
      </c>
      <c r="C15597" t="s">
        <v>18387</v>
      </c>
      <c r="D15597" t="s">
        <v>18829</v>
      </c>
      <c r="E15597" t="s">
        <v>32308</v>
      </c>
      <c r="F15597" t="s">
        <v>32664</v>
      </c>
      <c r="G15597" t="s">
        <v>32672</v>
      </c>
      <c r="H15597" t="s">
        <v>12635</v>
      </c>
      <c r="I15597" t="s">
        <v>4439</v>
      </c>
      <c r="J15597" t="s">
        <v>42035</v>
      </c>
      <c r="K15597" t="s">
        <v>42281</v>
      </c>
      <c r="M15597" t="s">
        <v>46453</v>
      </c>
      <c r="N15597" t="s">
        <v>46569</v>
      </c>
      <c r="O15597" t="s">
        <v>46570</v>
      </c>
      <c r="Q15597">
        <v>8</v>
      </c>
      <c r="R15597" t="s">
        <v>46642</v>
      </c>
      <c r="S15597" t="s">
        <v>48020</v>
      </c>
      <c r="T15597" t="s">
        <v>48268</v>
      </c>
      <c r="U15597" t="s">
        <v>61299</v>
      </c>
      <c r="W15597" t="s">
        <v>46453</v>
      </c>
      <c r="X15597" t="s">
        <v>46643</v>
      </c>
    </row>
    <row r="15598" spans="1:24">
      <c r="A15598">
        <f>HYPERLINK("https://www.philgeps.gov.ph/GEPSNONPILOT/Tender/SplashBidNoticeAbstractUI.aspx?menuIndex=3&amp;refID=6907220&amp;Result=3","6907220")</f>
        <v>0</v>
      </c>
      <c r="B15598" t="s">
        <v>851</v>
      </c>
      <c r="C15598" t="s">
        <v>18388</v>
      </c>
      <c r="D15598" t="s">
        <v>18829</v>
      </c>
      <c r="E15598" t="s">
        <v>32309</v>
      </c>
      <c r="F15598" t="s">
        <v>32664</v>
      </c>
      <c r="G15598" t="s">
        <v>32672</v>
      </c>
      <c r="H15598" t="s">
        <v>12635</v>
      </c>
      <c r="I15598" t="s">
        <v>32685</v>
      </c>
      <c r="J15598" t="s">
        <v>42036</v>
      </c>
      <c r="K15598" t="s">
        <v>42289</v>
      </c>
      <c r="M15598" t="s">
        <v>46453</v>
      </c>
      <c r="N15598" t="s">
        <v>46569</v>
      </c>
      <c r="O15598" t="s">
        <v>46570</v>
      </c>
      <c r="Q15598">
        <v>2</v>
      </c>
      <c r="R15598" t="s">
        <v>46642</v>
      </c>
      <c r="S15598" t="s">
        <v>48021</v>
      </c>
      <c r="T15598" t="s">
        <v>48268</v>
      </c>
      <c r="U15598" t="s">
        <v>61299</v>
      </c>
      <c r="W15598" t="s">
        <v>46453</v>
      </c>
      <c r="X15598" t="s">
        <v>46643</v>
      </c>
    </row>
    <row r="15599" spans="1:24">
      <c r="A15599">
        <f>HYPERLINK("https://www.philgeps.gov.ph/GEPSNONPILOT/Tender/SplashBidNoticeAbstractUI.aspx?menuIndex=3&amp;refID=6907050&amp;Result=3","6907050")</f>
        <v>0</v>
      </c>
      <c r="B15599" t="s">
        <v>851</v>
      </c>
      <c r="C15599" t="s">
        <v>18389</v>
      </c>
      <c r="D15599" t="s">
        <v>18829</v>
      </c>
      <c r="E15599" t="s">
        <v>32310</v>
      </c>
      <c r="F15599" t="s">
        <v>32664</v>
      </c>
      <c r="G15599" t="s">
        <v>32672</v>
      </c>
      <c r="H15599" t="s">
        <v>12635</v>
      </c>
      <c r="I15599" t="s">
        <v>32706</v>
      </c>
      <c r="J15599" t="s">
        <v>42037</v>
      </c>
      <c r="K15599" t="s">
        <v>42281</v>
      </c>
      <c r="M15599" t="s">
        <v>46453</v>
      </c>
      <c r="N15599" t="s">
        <v>46569</v>
      </c>
      <c r="O15599" t="s">
        <v>46570</v>
      </c>
      <c r="Q15599">
        <v>1</v>
      </c>
      <c r="R15599" t="s">
        <v>46642</v>
      </c>
      <c r="S15599" t="s">
        <v>48022</v>
      </c>
      <c r="T15599" t="s">
        <v>48268</v>
      </c>
      <c r="U15599" t="s">
        <v>61299</v>
      </c>
      <c r="W15599" t="s">
        <v>46453</v>
      </c>
      <c r="X15599" t="s">
        <v>46643</v>
      </c>
    </row>
    <row r="15600" spans="1:24">
      <c r="A15600">
        <f>HYPERLINK("https://www.philgeps.gov.ph/GEPSNONPILOT/Tender/SplashBidNoticeAbstractUI.aspx?menuIndex=3&amp;refID=6896842&amp;Result=3","6896842")</f>
        <v>0</v>
      </c>
      <c r="B15600" t="s">
        <v>3499</v>
      </c>
      <c r="C15600" t="s">
        <v>18390</v>
      </c>
      <c r="D15600" t="s">
        <v>18784</v>
      </c>
      <c r="E15600" t="s">
        <v>32311</v>
      </c>
      <c r="F15600" t="s">
        <v>32664</v>
      </c>
      <c r="G15600" t="s">
        <v>32672</v>
      </c>
      <c r="H15600" t="s">
        <v>12635</v>
      </c>
      <c r="I15600" t="s">
        <v>5589</v>
      </c>
      <c r="J15600" t="s">
        <v>42038</v>
      </c>
      <c r="K15600" t="s">
        <v>42281</v>
      </c>
      <c r="M15600" t="s">
        <v>46523</v>
      </c>
      <c r="N15600" t="s">
        <v>46569</v>
      </c>
      <c r="O15600" t="s">
        <v>46570</v>
      </c>
      <c r="Q15600">
        <v>17</v>
      </c>
      <c r="R15600" t="s">
        <v>46644</v>
      </c>
      <c r="S15600" t="s">
        <v>48023</v>
      </c>
      <c r="T15600" t="s">
        <v>48222</v>
      </c>
      <c r="U15600" t="s">
        <v>61300</v>
      </c>
      <c r="V15600" t="s">
        <v>63382</v>
      </c>
      <c r="W15600" t="s">
        <v>46523</v>
      </c>
      <c r="X15600" t="s">
        <v>46648</v>
      </c>
    </row>
    <row r="15601" spans="1:24">
      <c r="A15601">
        <f>HYPERLINK("https://www.philgeps.gov.ph/GEPSNONPILOT/Tender/SplashBidNoticeAbstractUI.aspx?menuIndex=3&amp;refID=6908381&amp;Result=3","6908381")</f>
        <v>0</v>
      </c>
      <c r="B15601" t="s">
        <v>592</v>
      </c>
      <c r="C15601" t="s">
        <v>18391</v>
      </c>
      <c r="D15601" t="s">
        <v>18854</v>
      </c>
      <c r="E15601" t="s">
        <v>32312</v>
      </c>
      <c r="F15601" t="s">
        <v>32664</v>
      </c>
      <c r="G15601" t="s">
        <v>32672</v>
      </c>
      <c r="H15601" t="s">
        <v>32683</v>
      </c>
      <c r="I15601" t="s">
        <v>10627</v>
      </c>
      <c r="J15601" t="s">
        <v>42039</v>
      </c>
      <c r="K15601" t="s">
        <v>42311</v>
      </c>
      <c r="M15601" t="s">
        <v>43411</v>
      </c>
      <c r="N15601" t="s">
        <v>46569</v>
      </c>
      <c r="O15601" t="s">
        <v>46570</v>
      </c>
      <c r="Q15601">
        <v>6</v>
      </c>
      <c r="R15601" t="s">
        <v>46642</v>
      </c>
      <c r="S15601" t="s">
        <v>48024</v>
      </c>
      <c r="T15601" t="s">
        <v>48279</v>
      </c>
      <c r="U15601" t="s">
        <v>61295</v>
      </c>
      <c r="V15601" t="s">
        <v>63383</v>
      </c>
      <c r="W15601" t="s">
        <v>43411</v>
      </c>
      <c r="X15601" t="s">
        <v>46643</v>
      </c>
    </row>
    <row r="15602" spans="1:24">
      <c r="A15602">
        <f>HYPERLINK("https://www.philgeps.gov.ph/GEPSNONPILOT/Tender/SplashBidNoticeAbstractUI.aspx?menuIndex=3&amp;refID=6896891&amp;Result=3","6896891")</f>
        <v>0</v>
      </c>
      <c r="B15602" t="s">
        <v>3309</v>
      </c>
      <c r="C15602" t="s">
        <v>18392</v>
      </c>
      <c r="D15602" t="s">
        <v>18819</v>
      </c>
      <c r="E15602" t="s">
        <v>32313</v>
      </c>
      <c r="F15602" t="s">
        <v>32664</v>
      </c>
      <c r="G15602" t="s">
        <v>32672</v>
      </c>
      <c r="H15602" t="s">
        <v>32683</v>
      </c>
      <c r="I15602" t="s">
        <v>10627</v>
      </c>
      <c r="J15602" t="s">
        <v>34379</v>
      </c>
      <c r="K15602" t="s">
        <v>42298</v>
      </c>
      <c r="M15602" t="s">
        <v>46255</v>
      </c>
      <c r="N15602" t="s">
        <v>46569</v>
      </c>
      <c r="O15602" t="s">
        <v>46570</v>
      </c>
      <c r="Q15602">
        <v>46</v>
      </c>
      <c r="R15602" t="s">
        <v>46644</v>
      </c>
      <c r="S15602" t="s">
        <v>48025</v>
      </c>
      <c r="T15602" t="s">
        <v>48331</v>
      </c>
      <c r="U15602" t="s">
        <v>61301</v>
      </c>
      <c r="V15602" t="s">
        <v>63384</v>
      </c>
      <c r="W15602" t="s">
        <v>46255</v>
      </c>
      <c r="X15602" t="s">
        <v>46648</v>
      </c>
    </row>
    <row r="15603" spans="1:24">
      <c r="A15603">
        <f>HYPERLINK("https://www.philgeps.gov.ph/GEPSNONPILOT/Tender/SplashBidNoticeAbstractUI.aspx?menuIndex=3&amp;refID=6907109&amp;Result=3","6907109")</f>
        <v>0</v>
      </c>
      <c r="B15603" t="s">
        <v>851</v>
      </c>
      <c r="C15603" t="s">
        <v>18393</v>
      </c>
      <c r="D15603" t="s">
        <v>18829</v>
      </c>
      <c r="E15603" t="s">
        <v>32314</v>
      </c>
      <c r="F15603" t="s">
        <v>32664</v>
      </c>
      <c r="G15603" t="s">
        <v>32672</v>
      </c>
      <c r="H15603" t="s">
        <v>12635</v>
      </c>
      <c r="I15603" t="s">
        <v>4439</v>
      </c>
      <c r="J15603" t="s">
        <v>42040</v>
      </c>
      <c r="K15603" t="s">
        <v>42281</v>
      </c>
      <c r="M15603" t="s">
        <v>46453</v>
      </c>
      <c r="N15603" t="s">
        <v>46569</v>
      </c>
      <c r="O15603" t="s">
        <v>46570</v>
      </c>
      <c r="Q15603">
        <v>4</v>
      </c>
      <c r="R15603" t="s">
        <v>46642</v>
      </c>
      <c r="S15603" t="s">
        <v>48026</v>
      </c>
      <c r="T15603" t="s">
        <v>48268</v>
      </c>
      <c r="U15603" t="s">
        <v>61299</v>
      </c>
      <c r="W15603" t="s">
        <v>46453</v>
      </c>
      <c r="X15603" t="s">
        <v>46643</v>
      </c>
    </row>
    <row r="15604" spans="1:24">
      <c r="A15604">
        <f>HYPERLINK("https://www.philgeps.gov.ph/GEPSNONPILOT/Tender/SplashBidNoticeAbstractUI.aspx?menuIndex=3&amp;refID=6896383&amp;Result=3","6896383")</f>
        <v>0</v>
      </c>
      <c r="B15604" t="s">
        <v>3500</v>
      </c>
      <c r="C15604" t="s">
        <v>18394</v>
      </c>
      <c r="D15604" t="s">
        <v>18806</v>
      </c>
      <c r="E15604" t="s">
        <v>32315</v>
      </c>
      <c r="F15604" t="s">
        <v>32664</v>
      </c>
      <c r="G15604" t="s">
        <v>32672</v>
      </c>
      <c r="H15604" t="s">
        <v>12635</v>
      </c>
      <c r="I15604" t="s">
        <v>32729</v>
      </c>
      <c r="J15604" t="s">
        <v>33267</v>
      </c>
      <c r="K15604" t="s">
        <v>42281</v>
      </c>
      <c r="M15604" t="s">
        <v>46524</v>
      </c>
      <c r="N15604" t="s">
        <v>46569</v>
      </c>
      <c r="O15604" t="s">
        <v>46570</v>
      </c>
      <c r="Q15604">
        <v>6</v>
      </c>
      <c r="R15604" t="s">
        <v>46644</v>
      </c>
      <c r="S15604" t="s">
        <v>48027</v>
      </c>
      <c r="T15604" t="s">
        <v>48283</v>
      </c>
      <c r="U15604" t="s">
        <v>61302</v>
      </c>
      <c r="W15604" t="s">
        <v>46524</v>
      </c>
      <c r="X15604" t="s">
        <v>46648</v>
      </c>
    </row>
    <row r="15605" spans="1:24">
      <c r="A15605">
        <f>HYPERLINK("https://www.philgeps.gov.ph/GEPSNONPILOT/Tender/SplashBidNoticeAbstractUI.aspx?menuIndex=3&amp;refID=6896136&amp;Result=3","6896136")</f>
        <v>0</v>
      </c>
      <c r="B15605" t="s">
        <v>3358</v>
      </c>
      <c r="C15605" t="s">
        <v>18395</v>
      </c>
      <c r="D15605" t="s">
        <v>18831</v>
      </c>
      <c r="E15605" t="s">
        <v>32316</v>
      </c>
      <c r="F15605" t="s">
        <v>32664</v>
      </c>
      <c r="G15605" t="s">
        <v>32672</v>
      </c>
      <c r="H15605" t="s">
        <v>32683</v>
      </c>
      <c r="I15605" t="s">
        <v>10627</v>
      </c>
      <c r="J15605" t="s">
        <v>34075</v>
      </c>
      <c r="K15605" t="s">
        <v>42319</v>
      </c>
      <c r="M15605" t="s">
        <v>46316</v>
      </c>
      <c r="N15605" t="s">
        <v>46569</v>
      </c>
      <c r="O15605" t="s">
        <v>46570</v>
      </c>
      <c r="Q15605">
        <v>3</v>
      </c>
      <c r="R15605" t="s">
        <v>46644</v>
      </c>
      <c r="S15605" t="s">
        <v>48028</v>
      </c>
      <c r="T15605" t="s">
        <v>48287</v>
      </c>
      <c r="U15605" t="s">
        <v>61303</v>
      </c>
      <c r="W15605" t="s">
        <v>46316</v>
      </c>
      <c r="X15605" t="s">
        <v>46648</v>
      </c>
    </row>
    <row r="15606" spans="1:24">
      <c r="A15606">
        <f>HYPERLINK("https://www.philgeps.gov.ph/GEPSNONPILOT/Tender/SplashBidNoticeAbstractUI.aspx?menuIndex=3&amp;refID=6894063&amp;Result=3","6894063")</f>
        <v>0</v>
      </c>
      <c r="B15606" t="s">
        <v>3039</v>
      </c>
      <c r="C15606" t="s">
        <v>18396</v>
      </c>
      <c r="D15606" t="s">
        <v>18831</v>
      </c>
      <c r="E15606" t="s">
        <v>32317</v>
      </c>
      <c r="F15606" t="s">
        <v>32664</v>
      </c>
      <c r="G15606" t="s">
        <v>32672</v>
      </c>
      <c r="H15606" t="s">
        <v>12635</v>
      </c>
      <c r="I15606" t="s">
        <v>32700</v>
      </c>
      <c r="J15606" t="s">
        <v>34148</v>
      </c>
      <c r="K15606" t="s">
        <v>42289</v>
      </c>
      <c r="L15606" t="s">
        <v>3039</v>
      </c>
      <c r="M15606" t="s">
        <v>45912</v>
      </c>
      <c r="N15606" t="s">
        <v>46569</v>
      </c>
      <c r="O15606" t="s">
        <v>46570</v>
      </c>
      <c r="Q15606">
        <v>10</v>
      </c>
      <c r="R15606" t="s">
        <v>46644</v>
      </c>
      <c r="S15606" t="s">
        <v>48029</v>
      </c>
      <c r="T15606" t="s">
        <v>48468</v>
      </c>
      <c r="U15606" t="s">
        <v>61304</v>
      </c>
      <c r="W15606" t="s">
        <v>45912</v>
      </c>
      <c r="X15606" t="s">
        <v>46648</v>
      </c>
    </row>
    <row r="15607" spans="1:24">
      <c r="A15607">
        <f>HYPERLINK("https://www.philgeps.gov.ph/GEPSNONPILOT/Tender/SplashBidNoticeAbstractUI.aspx?menuIndex=3&amp;refID=6894656&amp;Result=3","6894656")</f>
        <v>0</v>
      </c>
      <c r="B15607" t="s">
        <v>3132</v>
      </c>
      <c r="C15607" t="s">
        <v>18397</v>
      </c>
      <c r="D15607" t="s">
        <v>18809</v>
      </c>
      <c r="E15607" t="s">
        <v>32318</v>
      </c>
      <c r="F15607" t="s">
        <v>32664</v>
      </c>
      <c r="G15607" t="s">
        <v>32672</v>
      </c>
      <c r="H15607" t="s">
        <v>32681</v>
      </c>
      <c r="I15607" t="s">
        <v>32681</v>
      </c>
      <c r="J15607" t="s">
        <v>42041</v>
      </c>
      <c r="K15607" t="s">
        <v>42285</v>
      </c>
      <c r="M15607" t="s">
        <v>46025</v>
      </c>
      <c r="N15607" t="s">
        <v>46569</v>
      </c>
      <c r="O15607" t="s">
        <v>46570</v>
      </c>
      <c r="Q15607">
        <v>10</v>
      </c>
      <c r="R15607" t="s">
        <v>46644</v>
      </c>
      <c r="S15607" t="s">
        <v>48030</v>
      </c>
      <c r="T15607" t="s">
        <v>48287</v>
      </c>
      <c r="U15607" t="s">
        <v>61305</v>
      </c>
      <c r="W15607" t="s">
        <v>46025</v>
      </c>
      <c r="X15607" t="s">
        <v>46648</v>
      </c>
    </row>
    <row r="15608" spans="1:24">
      <c r="A15608">
        <f>HYPERLINK("https://www.philgeps.gov.ph/GEPSNONPILOT/Tender/SplashBidNoticeAbstractUI.aspx?menuIndex=3&amp;refID=6893966&amp;Result=3","6893966")</f>
        <v>0</v>
      </c>
      <c r="B15608" t="s">
        <v>187</v>
      </c>
      <c r="C15608" t="s">
        <v>18398</v>
      </c>
      <c r="E15608" t="s">
        <v>32319</v>
      </c>
      <c r="F15608" t="s">
        <v>32664</v>
      </c>
      <c r="G15608" t="s">
        <v>32672</v>
      </c>
      <c r="H15608" t="s">
        <v>32683</v>
      </c>
      <c r="I15608" t="s">
        <v>10627</v>
      </c>
      <c r="J15608" t="s">
        <v>39017</v>
      </c>
      <c r="K15608" t="s">
        <v>42342</v>
      </c>
      <c r="M15608" t="s">
        <v>42751</v>
      </c>
      <c r="N15608" t="s">
        <v>46569</v>
      </c>
      <c r="O15608" t="s">
        <v>46570</v>
      </c>
      <c r="Q15608">
        <v>4</v>
      </c>
      <c r="R15608" t="s">
        <v>46644</v>
      </c>
      <c r="S15608" t="s">
        <v>48031</v>
      </c>
      <c r="T15608" t="s">
        <v>48287</v>
      </c>
      <c r="U15608" t="s">
        <v>61306</v>
      </c>
      <c r="W15608" t="s">
        <v>42751</v>
      </c>
      <c r="X15608" t="s">
        <v>46648</v>
      </c>
    </row>
    <row r="15609" spans="1:24">
      <c r="A15609">
        <f>HYPERLINK("https://www.philgeps.gov.ph/GEPSNONPILOT/Tender/SplashBidNoticeAbstractUI.aspx?menuIndex=3&amp;refID=6889820&amp;Result=3","6889820")</f>
        <v>0</v>
      </c>
      <c r="B15609" t="s">
        <v>271</v>
      </c>
      <c r="C15609" t="s">
        <v>18399</v>
      </c>
      <c r="D15609" t="s">
        <v>18830</v>
      </c>
      <c r="E15609" t="s">
        <v>32320</v>
      </c>
      <c r="F15609" t="s">
        <v>32664</v>
      </c>
      <c r="G15609" t="s">
        <v>32672</v>
      </c>
      <c r="H15609" t="s">
        <v>12635</v>
      </c>
      <c r="I15609" t="s">
        <v>5589</v>
      </c>
      <c r="J15609" t="s">
        <v>42042</v>
      </c>
      <c r="K15609" t="s">
        <v>42311</v>
      </c>
      <c r="M15609" t="s">
        <v>42836</v>
      </c>
      <c r="N15609" t="s">
        <v>46569</v>
      </c>
      <c r="O15609" t="s">
        <v>46570</v>
      </c>
      <c r="Q15609">
        <v>39</v>
      </c>
      <c r="R15609" t="s">
        <v>46644</v>
      </c>
      <c r="S15609" t="s">
        <v>48032</v>
      </c>
      <c r="T15609" t="s">
        <v>48313</v>
      </c>
      <c r="U15609" t="s">
        <v>61307</v>
      </c>
      <c r="W15609" t="s">
        <v>42836</v>
      </c>
      <c r="X15609" t="s">
        <v>46649</v>
      </c>
    </row>
    <row r="15610" spans="1:24">
      <c r="A15610">
        <f>HYPERLINK("https://www.philgeps.gov.ph/GEPSNONPILOT/Tender/SplashBidNoticeAbstractUI.aspx?menuIndex=3&amp;refID=6893990&amp;Result=3","6893990")</f>
        <v>0</v>
      </c>
      <c r="B15610" t="s">
        <v>187</v>
      </c>
      <c r="C15610" t="s">
        <v>18400</v>
      </c>
      <c r="D15610" t="s">
        <v>18840</v>
      </c>
      <c r="E15610" t="s">
        <v>32321</v>
      </c>
      <c r="F15610" t="s">
        <v>32664</v>
      </c>
      <c r="G15610" t="s">
        <v>32672</v>
      </c>
      <c r="H15610" t="s">
        <v>32683</v>
      </c>
      <c r="I15610" t="s">
        <v>10627</v>
      </c>
      <c r="J15610" t="s">
        <v>39017</v>
      </c>
      <c r="K15610" t="s">
        <v>42342</v>
      </c>
      <c r="M15610" t="s">
        <v>42751</v>
      </c>
      <c r="N15610" t="s">
        <v>46569</v>
      </c>
      <c r="O15610" t="s">
        <v>46570</v>
      </c>
      <c r="Q15610">
        <v>3</v>
      </c>
      <c r="R15610" t="s">
        <v>46644</v>
      </c>
      <c r="S15610" t="s">
        <v>48033</v>
      </c>
      <c r="T15610" t="s">
        <v>48287</v>
      </c>
      <c r="U15610" t="s">
        <v>61308</v>
      </c>
      <c r="W15610" t="s">
        <v>42751</v>
      </c>
      <c r="X15610" t="s">
        <v>46648</v>
      </c>
    </row>
    <row r="15611" spans="1:24">
      <c r="A15611">
        <f>HYPERLINK("https://www.philgeps.gov.ph/GEPSNONPILOT/Tender/SplashBidNoticeAbstractUI.aspx?menuIndex=3&amp;refID=6893548&amp;Result=3","6893548")</f>
        <v>0</v>
      </c>
      <c r="B15611" t="s">
        <v>170</v>
      </c>
      <c r="C15611" t="s">
        <v>18401</v>
      </c>
      <c r="D15611" t="s">
        <v>18812</v>
      </c>
      <c r="E15611" t="s">
        <v>32322</v>
      </c>
      <c r="F15611" t="s">
        <v>32664</v>
      </c>
      <c r="G15611" t="s">
        <v>32671</v>
      </c>
      <c r="H15611" t="s">
        <v>12635</v>
      </c>
      <c r="I15611" t="s">
        <v>32704</v>
      </c>
      <c r="J15611" t="s">
        <v>33547</v>
      </c>
      <c r="K15611" t="s">
        <v>42281</v>
      </c>
      <c r="M15611" t="s">
        <v>42734</v>
      </c>
      <c r="N15611" t="s">
        <v>46569</v>
      </c>
      <c r="O15611" t="s">
        <v>46570</v>
      </c>
      <c r="Q15611">
        <v>12</v>
      </c>
      <c r="R15611" t="s">
        <v>46644</v>
      </c>
      <c r="S15611" t="s">
        <v>48034</v>
      </c>
      <c r="T15611" t="s">
        <v>48312</v>
      </c>
      <c r="U15611" t="s">
        <v>61309</v>
      </c>
      <c r="W15611" t="s">
        <v>42734</v>
      </c>
      <c r="X15611" t="s">
        <v>46648</v>
      </c>
    </row>
    <row r="15612" spans="1:24">
      <c r="A15612">
        <f>HYPERLINK("https://www.philgeps.gov.ph/GEPSNONPILOT/Tender/SplashBidNoticeAbstractUI.aspx?menuIndex=3&amp;refID=6901648&amp;Result=3","6901648")</f>
        <v>0</v>
      </c>
      <c r="B15612" t="s">
        <v>1776</v>
      </c>
      <c r="C15612" t="s">
        <v>18402</v>
      </c>
      <c r="D15612" t="s">
        <v>18838</v>
      </c>
      <c r="E15612" t="s">
        <v>32323</v>
      </c>
      <c r="F15612" t="s">
        <v>32664</v>
      </c>
      <c r="G15612" t="s">
        <v>32672</v>
      </c>
      <c r="H15612" t="s">
        <v>32683</v>
      </c>
      <c r="I15612" t="s">
        <v>10627</v>
      </c>
      <c r="J15612" t="s">
        <v>42043</v>
      </c>
      <c r="K15612" t="s">
        <v>42282</v>
      </c>
      <c r="M15612" t="s">
        <v>46512</v>
      </c>
      <c r="N15612" t="s">
        <v>46569</v>
      </c>
      <c r="O15612" t="s">
        <v>46570</v>
      </c>
      <c r="Q15612">
        <v>59</v>
      </c>
      <c r="R15612" t="s">
        <v>46643</v>
      </c>
      <c r="S15612" t="s">
        <v>46738</v>
      </c>
      <c r="T15612" t="s">
        <v>48220</v>
      </c>
      <c r="U15612" t="s">
        <v>61310</v>
      </c>
      <c r="V15612" t="s">
        <v>63045</v>
      </c>
      <c r="W15612" t="s">
        <v>46512</v>
      </c>
      <c r="X15612" t="s">
        <v>46646</v>
      </c>
    </row>
    <row r="15613" spans="1:24">
      <c r="A15613">
        <f>HYPERLINK("https://www.philgeps.gov.ph/GEPSNONPILOT/Tender/SplashBidNoticeAbstractUI.aspx?menuIndex=3&amp;refID=6899512&amp;Result=3","6899512")</f>
        <v>0</v>
      </c>
      <c r="B15613" t="s">
        <v>2173</v>
      </c>
      <c r="C15613" t="s">
        <v>18403</v>
      </c>
      <c r="D15613" t="s">
        <v>18816</v>
      </c>
      <c r="E15613" t="s">
        <v>32324</v>
      </c>
      <c r="F15613" t="s">
        <v>32664</v>
      </c>
      <c r="G15613" t="s">
        <v>32672</v>
      </c>
      <c r="H15613" t="s">
        <v>32683</v>
      </c>
      <c r="I15613" t="s">
        <v>10627</v>
      </c>
      <c r="J15613" t="s">
        <v>42044</v>
      </c>
      <c r="K15613" t="s">
        <v>42437</v>
      </c>
      <c r="M15613" t="s">
        <v>46181</v>
      </c>
      <c r="N15613" t="s">
        <v>46569</v>
      </c>
      <c r="O15613" t="s">
        <v>46570</v>
      </c>
      <c r="Q15613">
        <v>0</v>
      </c>
      <c r="R15613" t="s">
        <v>46645</v>
      </c>
      <c r="S15613" t="s">
        <v>48035</v>
      </c>
      <c r="T15613" t="s">
        <v>48268</v>
      </c>
      <c r="U15613" t="s">
        <v>59070</v>
      </c>
      <c r="W15613" t="s">
        <v>46181</v>
      </c>
      <c r="X15613" t="s">
        <v>46644</v>
      </c>
    </row>
    <row r="15614" spans="1:24">
      <c r="A15614">
        <f>HYPERLINK("https://www.philgeps.gov.ph/GEPSNONPILOT/Tender/SplashBidNoticeAbstractUI.aspx?menuIndex=3&amp;refID=6898459&amp;Result=3","6898459")</f>
        <v>0</v>
      </c>
      <c r="B15614" t="s">
        <v>3492</v>
      </c>
      <c r="C15614" t="s">
        <v>18404</v>
      </c>
      <c r="D15614" t="s">
        <v>18784</v>
      </c>
      <c r="E15614" t="s">
        <v>32325</v>
      </c>
      <c r="F15614" t="s">
        <v>32664</v>
      </c>
      <c r="G15614" t="s">
        <v>32675</v>
      </c>
      <c r="H15614" t="s">
        <v>12635</v>
      </c>
      <c r="I15614" t="s">
        <v>32704</v>
      </c>
      <c r="J15614" t="s">
        <v>34466</v>
      </c>
      <c r="K15614" t="s">
        <v>42281</v>
      </c>
      <c r="M15614" t="s">
        <v>46507</v>
      </c>
      <c r="N15614" t="s">
        <v>46569</v>
      </c>
      <c r="O15614" t="s">
        <v>46570</v>
      </c>
      <c r="Q15614">
        <v>3</v>
      </c>
      <c r="R15614" t="s">
        <v>46646</v>
      </c>
      <c r="S15614" t="s">
        <v>48036</v>
      </c>
      <c r="T15614" t="s">
        <v>48316</v>
      </c>
      <c r="U15614" t="s">
        <v>61311</v>
      </c>
      <c r="W15614" t="s">
        <v>46507</v>
      </c>
      <c r="X15614" t="s">
        <v>46644</v>
      </c>
    </row>
    <row r="15615" spans="1:24">
      <c r="A15615">
        <f>HYPERLINK("https://www.philgeps.gov.ph/GEPSNONPILOT/Tender/SplashBidNoticeAbstractUI.aspx?menuIndex=3&amp;refID=6897795&amp;Result=3","6897795")</f>
        <v>0</v>
      </c>
      <c r="B15615" t="s">
        <v>3492</v>
      </c>
      <c r="C15615" t="s">
        <v>18405</v>
      </c>
      <c r="D15615" t="s">
        <v>18784</v>
      </c>
      <c r="E15615" t="s">
        <v>32326</v>
      </c>
      <c r="F15615" t="s">
        <v>32664</v>
      </c>
      <c r="G15615" t="s">
        <v>32675</v>
      </c>
      <c r="H15615" t="s">
        <v>12635</v>
      </c>
      <c r="I15615" t="s">
        <v>32743</v>
      </c>
      <c r="J15615" t="s">
        <v>33299</v>
      </c>
      <c r="K15615" t="s">
        <v>42311</v>
      </c>
      <c r="M15615" t="s">
        <v>46507</v>
      </c>
      <c r="N15615" t="s">
        <v>46569</v>
      </c>
      <c r="O15615" t="s">
        <v>46570</v>
      </c>
      <c r="Q15615">
        <v>8</v>
      </c>
      <c r="R15615" t="s">
        <v>46646</v>
      </c>
      <c r="S15615" t="s">
        <v>48037</v>
      </c>
      <c r="T15615" t="s">
        <v>48316</v>
      </c>
      <c r="U15615" t="s">
        <v>61312</v>
      </c>
      <c r="W15615" t="s">
        <v>46507</v>
      </c>
      <c r="X15615" t="s">
        <v>46644</v>
      </c>
    </row>
    <row r="15616" spans="1:24">
      <c r="A15616">
        <f>HYPERLINK("https://www.philgeps.gov.ph/GEPSNONPILOT/Tender/SplashBidNoticeAbstractUI.aspx?menuIndex=3&amp;refID=6899766&amp;Result=3","6899766")</f>
        <v>0</v>
      </c>
      <c r="B15616" t="s">
        <v>592</v>
      </c>
      <c r="C15616" t="s">
        <v>18406</v>
      </c>
      <c r="D15616" t="s">
        <v>18854</v>
      </c>
      <c r="E15616" t="s">
        <v>32327</v>
      </c>
      <c r="F15616" t="s">
        <v>32664</v>
      </c>
      <c r="G15616" t="s">
        <v>32672</v>
      </c>
      <c r="H15616" t="s">
        <v>12635</v>
      </c>
      <c r="I15616" t="s">
        <v>32738</v>
      </c>
      <c r="J15616" t="s">
        <v>42045</v>
      </c>
      <c r="K15616" t="s">
        <v>42298</v>
      </c>
      <c r="M15616" t="s">
        <v>43411</v>
      </c>
      <c r="N15616" t="s">
        <v>46569</v>
      </c>
      <c r="O15616" t="s">
        <v>46570</v>
      </c>
      <c r="Q15616">
        <v>11</v>
      </c>
      <c r="R15616" t="s">
        <v>46645</v>
      </c>
      <c r="S15616" t="s">
        <v>48038</v>
      </c>
      <c r="T15616" t="s">
        <v>48436</v>
      </c>
      <c r="U15616" t="s">
        <v>61313</v>
      </c>
      <c r="V15616" t="s">
        <v>63385</v>
      </c>
      <c r="W15616" t="s">
        <v>43411</v>
      </c>
      <c r="X15616" t="s">
        <v>46644</v>
      </c>
    </row>
    <row r="15617" spans="1:24">
      <c r="A15617">
        <f>HYPERLINK("https://www.philgeps.gov.ph/GEPSNONPILOT/Tender/SplashBidNoticeAbstractUI.aspx?menuIndex=3&amp;refID=6901664&amp;Result=3","6901664")</f>
        <v>0</v>
      </c>
      <c r="B15617" t="s">
        <v>1776</v>
      </c>
      <c r="C15617" t="s">
        <v>18407</v>
      </c>
      <c r="D15617" t="s">
        <v>18838</v>
      </c>
      <c r="E15617" t="s">
        <v>32328</v>
      </c>
      <c r="F15617" t="s">
        <v>32664</v>
      </c>
      <c r="G15617" t="s">
        <v>32672</v>
      </c>
      <c r="H15617" t="s">
        <v>32683</v>
      </c>
      <c r="I15617" t="s">
        <v>10627</v>
      </c>
      <c r="J15617" t="s">
        <v>42046</v>
      </c>
      <c r="K15617" t="s">
        <v>42323</v>
      </c>
      <c r="M15617" t="s">
        <v>46512</v>
      </c>
      <c r="N15617" t="s">
        <v>46569</v>
      </c>
      <c r="O15617" t="s">
        <v>46570</v>
      </c>
      <c r="Q15617">
        <v>61</v>
      </c>
      <c r="R15617" t="s">
        <v>46643</v>
      </c>
      <c r="S15617" t="s">
        <v>48039</v>
      </c>
      <c r="T15617" t="s">
        <v>48328</v>
      </c>
      <c r="U15617" t="s">
        <v>61314</v>
      </c>
      <c r="V15617" t="s">
        <v>63045</v>
      </c>
      <c r="W15617" t="s">
        <v>46512</v>
      </c>
      <c r="X15617" t="s">
        <v>46646</v>
      </c>
    </row>
    <row r="15618" spans="1:24">
      <c r="A15618">
        <f>HYPERLINK("https://www.philgeps.gov.ph/GEPSNONPILOT/Tender/SplashBidNoticeAbstractUI.aspx?menuIndex=3&amp;refID=6898870&amp;Result=3","6898870")</f>
        <v>0</v>
      </c>
      <c r="B15618" t="s">
        <v>366</v>
      </c>
      <c r="C15618" t="s">
        <v>18408</v>
      </c>
      <c r="E15618" t="s">
        <v>32329</v>
      </c>
      <c r="F15618" t="s">
        <v>32664</v>
      </c>
      <c r="G15618" t="s">
        <v>32672</v>
      </c>
      <c r="H15618" t="s">
        <v>12635</v>
      </c>
      <c r="I15618" t="s">
        <v>32730</v>
      </c>
      <c r="J15618" t="s">
        <v>42047</v>
      </c>
      <c r="K15618" t="s">
        <v>42283</v>
      </c>
      <c r="M15618" t="s">
        <v>46522</v>
      </c>
      <c r="N15618" t="s">
        <v>46569</v>
      </c>
      <c r="O15618" t="s">
        <v>46570</v>
      </c>
      <c r="Q15618">
        <v>9</v>
      </c>
      <c r="R15618" t="s">
        <v>46642</v>
      </c>
      <c r="S15618" t="s">
        <v>48040</v>
      </c>
      <c r="T15618" t="s">
        <v>48510</v>
      </c>
      <c r="U15618" t="s">
        <v>61315</v>
      </c>
      <c r="W15618" t="s">
        <v>46522</v>
      </c>
      <c r="X15618" t="s">
        <v>46644</v>
      </c>
    </row>
    <row r="15619" spans="1:24">
      <c r="A15619">
        <f>HYPERLINK("https://www.philgeps.gov.ph/GEPSNONPILOT/Tender/SplashBidNoticeAbstractUI.aspx?menuIndex=3&amp;refID=6888432&amp;Result=3","6888432")</f>
        <v>0</v>
      </c>
      <c r="B15619" t="s">
        <v>592</v>
      </c>
      <c r="C15619" t="s">
        <v>18409</v>
      </c>
      <c r="D15619" t="s">
        <v>18854</v>
      </c>
      <c r="E15619" t="s">
        <v>32330</v>
      </c>
      <c r="F15619" t="s">
        <v>32664</v>
      </c>
      <c r="G15619" t="s">
        <v>32672</v>
      </c>
      <c r="H15619" t="s">
        <v>32683</v>
      </c>
      <c r="I15619" t="s">
        <v>4439</v>
      </c>
      <c r="J15619" t="s">
        <v>42048</v>
      </c>
      <c r="K15619" t="s">
        <v>42283</v>
      </c>
      <c r="M15619" t="s">
        <v>43411</v>
      </c>
      <c r="N15619" t="s">
        <v>46569</v>
      </c>
      <c r="O15619" t="s">
        <v>46570</v>
      </c>
      <c r="Q15619">
        <v>6</v>
      </c>
      <c r="R15619" t="s">
        <v>46647</v>
      </c>
      <c r="S15619" t="s">
        <v>48041</v>
      </c>
      <c r="T15619" t="s">
        <v>48436</v>
      </c>
      <c r="U15619" t="s">
        <v>61316</v>
      </c>
      <c r="V15619" t="s">
        <v>63386</v>
      </c>
      <c r="W15619" t="s">
        <v>43411</v>
      </c>
      <c r="X15619" t="s">
        <v>46657</v>
      </c>
    </row>
    <row r="15620" spans="1:24">
      <c r="A15620">
        <f>HYPERLINK("https://www.philgeps.gov.ph/GEPSNONPILOT/Tender/SplashBidNoticeAbstractUI.aspx?menuIndex=3&amp;refID=6892652&amp;Result=3","6892652")</f>
        <v>0</v>
      </c>
      <c r="B15620" t="s">
        <v>3501</v>
      </c>
      <c r="C15620" t="s">
        <v>18410</v>
      </c>
      <c r="D15620" t="s">
        <v>18781</v>
      </c>
      <c r="E15620" t="s">
        <v>32331</v>
      </c>
      <c r="F15620" t="s">
        <v>32664</v>
      </c>
      <c r="G15620" t="s">
        <v>32672</v>
      </c>
      <c r="H15620" t="s">
        <v>32682</v>
      </c>
      <c r="I15620" t="s">
        <v>32754</v>
      </c>
      <c r="J15620" t="s">
        <v>32853</v>
      </c>
      <c r="K15620" t="s">
        <v>42303</v>
      </c>
      <c r="M15620" t="s">
        <v>46525</v>
      </c>
      <c r="N15620" t="s">
        <v>46569</v>
      </c>
      <c r="O15620" t="s">
        <v>46570</v>
      </c>
      <c r="Q15620">
        <v>0</v>
      </c>
      <c r="R15620" t="s">
        <v>46648</v>
      </c>
      <c r="S15620" t="s">
        <v>48042</v>
      </c>
      <c r="T15620" t="s">
        <v>48290</v>
      </c>
      <c r="U15620" t="s">
        <v>61317</v>
      </c>
      <c r="W15620" t="s">
        <v>46525</v>
      </c>
      <c r="X15620" t="s">
        <v>46649</v>
      </c>
    </row>
    <row r="15621" spans="1:24">
      <c r="A15621">
        <f>HYPERLINK("https://www.philgeps.gov.ph/GEPSNONPILOT/Tender/SplashBidNoticeAbstractUI.aspx?menuIndex=3&amp;refID=6892622&amp;Result=3","6892622")</f>
        <v>0</v>
      </c>
      <c r="B15621" t="s">
        <v>592</v>
      </c>
      <c r="C15621" t="s">
        <v>18411</v>
      </c>
      <c r="D15621" t="s">
        <v>18854</v>
      </c>
      <c r="E15621" t="s">
        <v>32332</v>
      </c>
      <c r="F15621" t="s">
        <v>32664</v>
      </c>
      <c r="G15621" t="s">
        <v>32672</v>
      </c>
      <c r="H15621" t="s">
        <v>12635</v>
      </c>
      <c r="I15621" t="s">
        <v>32738</v>
      </c>
      <c r="J15621" t="s">
        <v>42049</v>
      </c>
      <c r="K15621" t="s">
        <v>42301</v>
      </c>
      <c r="M15621" t="s">
        <v>43411</v>
      </c>
      <c r="N15621" t="s">
        <v>46569</v>
      </c>
      <c r="O15621" t="s">
        <v>46570</v>
      </c>
      <c r="Q15621">
        <v>10</v>
      </c>
      <c r="R15621" t="s">
        <v>46648</v>
      </c>
      <c r="S15621" t="s">
        <v>48043</v>
      </c>
      <c r="T15621" t="s">
        <v>48436</v>
      </c>
      <c r="U15621" t="s">
        <v>61318</v>
      </c>
      <c r="V15621" t="s">
        <v>63387</v>
      </c>
      <c r="W15621" t="s">
        <v>43411</v>
      </c>
      <c r="X15621" t="s">
        <v>46649</v>
      </c>
    </row>
    <row r="15622" spans="1:24">
      <c r="A15622">
        <f>HYPERLINK("https://www.philgeps.gov.ph/GEPSNONPILOT/Tender/SplashBidNoticeAbstractUI.aspx?menuIndex=3&amp;refID=6892573&amp;Result=3","6892573")</f>
        <v>0</v>
      </c>
      <c r="B15622" t="s">
        <v>913</v>
      </c>
      <c r="C15622" t="s">
        <v>18412</v>
      </c>
      <c r="D15622" t="s">
        <v>18851</v>
      </c>
      <c r="E15622" t="s">
        <v>32333</v>
      </c>
      <c r="F15622" t="s">
        <v>32664</v>
      </c>
      <c r="G15622" t="s">
        <v>32672</v>
      </c>
      <c r="H15622" t="s">
        <v>32683</v>
      </c>
      <c r="I15622" t="s">
        <v>10627</v>
      </c>
      <c r="J15622" t="s">
        <v>42050</v>
      </c>
      <c r="K15622" t="s">
        <v>42397</v>
      </c>
      <c r="M15622" t="s">
        <v>43519</v>
      </c>
      <c r="N15622" t="s">
        <v>46569</v>
      </c>
      <c r="O15622" t="s">
        <v>46570</v>
      </c>
      <c r="Q15622">
        <v>10</v>
      </c>
      <c r="R15622" t="s">
        <v>46648</v>
      </c>
      <c r="S15622" t="s">
        <v>48044</v>
      </c>
      <c r="T15622" t="s">
        <v>48764</v>
      </c>
      <c r="U15622" t="s">
        <v>61319</v>
      </c>
      <c r="V15622" t="s">
        <v>63388</v>
      </c>
      <c r="W15622" t="s">
        <v>43519</v>
      </c>
      <c r="X15622" t="s">
        <v>46649</v>
      </c>
    </row>
    <row r="15623" spans="1:24">
      <c r="A15623">
        <f>HYPERLINK("https://www.philgeps.gov.ph/GEPSNONPILOT/Tender/SplashBidNoticeAbstractUI.aspx?menuIndex=3&amp;refID=6885977&amp;Result=3","6885977")</f>
        <v>0</v>
      </c>
      <c r="B15623" t="s">
        <v>1558</v>
      </c>
      <c r="C15623" t="s">
        <v>18413</v>
      </c>
      <c r="D15623" t="s">
        <v>18801</v>
      </c>
      <c r="E15623" t="s">
        <v>32334</v>
      </c>
      <c r="F15623" t="s">
        <v>32664</v>
      </c>
      <c r="G15623" t="s">
        <v>32677</v>
      </c>
      <c r="H15623" t="s">
        <v>32683</v>
      </c>
      <c r="I15623" t="s">
        <v>10627</v>
      </c>
      <c r="J15623" t="s">
        <v>42051</v>
      </c>
      <c r="K15623" t="s">
        <v>42311</v>
      </c>
      <c r="M15623" t="s">
        <v>46513</v>
      </c>
      <c r="N15623" t="s">
        <v>46569</v>
      </c>
      <c r="O15623" t="s">
        <v>46570</v>
      </c>
      <c r="Q15623">
        <v>5</v>
      </c>
      <c r="R15623" t="s">
        <v>46647</v>
      </c>
      <c r="S15623" t="s">
        <v>47231</v>
      </c>
      <c r="T15623" t="s">
        <v>48765</v>
      </c>
      <c r="U15623" t="s">
        <v>61320</v>
      </c>
      <c r="W15623" t="s">
        <v>46513</v>
      </c>
      <c r="X15623" t="s">
        <v>46657</v>
      </c>
    </row>
    <row r="15624" spans="1:24">
      <c r="A15624">
        <f>HYPERLINK("https://www.philgeps.gov.ph/GEPSNONPILOT/Tender/SplashBidNoticeAbstractUI.aspx?menuIndex=3&amp;refID=6892471&amp;Result=3","6892471")</f>
        <v>0</v>
      </c>
      <c r="B15624" t="s">
        <v>2739</v>
      </c>
      <c r="C15624" t="s">
        <v>18414</v>
      </c>
      <c r="E15624" t="s">
        <v>32335</v>
      </c>
      <c r="F15624" t="s">
        <v>32664</v>
      </c>
      <c r="G15624" t="s">
        <v>32672</v>
      </c>
      <c r="H15624" t="s">
        <v>12635</v>
      </c>
      <c r="I15624" t="s">
        <v>32687</v>
      </c>
      <c r="J15624" t="s">
        <v>42052</v>
      </c>
      <c r="K15624" t="s">
        <v>42283</v>
      </c>
      <c r="M15624" t="s">
        <v>45573</v>
      </c>
      <c r="N15624" t="s">
        <v>46569</v>
      </c>
      <c r="O15624" t="s">
        <v>46570</v>
      </c>
      <c r="Q15624">
        <v>11</v>
      </c>
      <c r="R15624" t="s">
        <v>46648</v>
      </c>
      <c r="S15624" t="s">
        <v>48045</v>
      </c>
      <c r="T15624" t="s">
        <v>48287</v>
      </c>
      <c r="U15624" t="s">
        <v>61321</v>
      </c>
      <c r="V15624" t="s">
        <v>63389</v>
      </c>
      <c r="W15624" t="s">
        <v>45573</v>
      </c>
      <c r="X15624" t="s">
        <v>46649</v>
      </c>
    </row>
    <row r="15625" spans="1:24">
      <c r="A15625">
        <f>HYPERLINK("https://www.philgeps.gov.ph/GEPSNONPILOT/Tender/SplashBidNoticeAbstractUI.aspx?menuIndex=3&amp;refID=6887641&amp;Result=3","6887641")</f>
        <v>0</v>
      </c>
      <c r="B15625" t="s">
        <v>592</v>
      </c>
      <c r="C15625" t="s">
        <v>18415</v>
      </c>
      <c r="D15625" t="s">
        <v>18854</v>
      </c>
      <c r="E15625" t="s">
        <v>32336</v>
      </c>
      <c r="F15625" t="s">
        <v>32664</v>
      </c>
      <c r="G15625" t="s">
        <v>32672</v>
      </c>
      <c r="H15625" t="s">
        <v>12635</v>
      </c>
      <c r="I15625" t="s">
        <v>32738</v>
      </c>
      <c r="J15625" t="s">
        <v>42053</v>
      </c>
      <c r="K15625" t="s">
        <v>42283</v>
      </c>
      <c r="M15625" t="s">
        <v>43411</v>
      </c>
      <c r="N15625" t="s">
        <v>46569</v>
      </c>
      <c r="O15625" t="s">
        <v>46570</v>
      </c>
      <c r="Q15625">
        <v>11</v>
      </c>
      <c r="R15625" t="s">
        <v>46647</v>
      </c>
      <c r="S15625" t="s">
        <v>48046</v>
      </c>
      <c r="T15625" t="s">
        <v>48661</v>
      </c>
      <c r="U15625" t="s">
        <v>61322</v>
      </c>
      <c r="V15625" t="s">
        <v>63390</v>
      </c>
      <c r="W15625" t="s">
        <v>43411</v>
      </c>
      <c r="X15625" t="s">
        <v>46657</v>
      </c>
    </row>
    <row r="15626" spans="1:24">
      <c r="A15626">
        <f>HYPERLINK("https://www.philgeps.gov.ph/GEPSNONPILOT/Tender/SplashBidNoticeAbstractUI.aspx?menuIndex=3&amp;refID=6892256&amp;Result=3","6892256")</f>
        <v>0</v>
      </c>
      <c r="B15626" t="s">
        <v>796</v>
      </c>
      <c r="C15626" t="s">
        <v>18416</v>
      </c>
      <c r="D15626" t="s">
        <v>18801</v>
      </c>
      <c r="E15626" t="s">
        <v>32337</v>
      </c>
      <c r="F15626" t="s">
        <v>32664</v>
      </c>
      <c r="G15626" t="s">
        <v>32672</v>
      </c>
      <c r="H15626" t="s">
        <v>32683</v>
      </c>
      <c r="I15626" t="s">
        <v>10627</v>
      </c>
      <c r="J15626" t="s">
        <v>34131</v>
      </c>
      <c r="K15626" t="s">
        <v>42311</v>
      </c>
      <c r="M15626" t="s">
        <v>43388</v>
      </c>
      <c r="N15626" t="s">
        <v>46569</v>
      </c>
      <c r="O15626" t="s">
        <v>46570</v>
      </c>
      <c r="Q15626">
        <v>54</v>
      </c>
      <c r="R15626" t="s">
        <v>46648</v>
      </c>
      <c r="S15626" t="s">
        <v>48047</v>
      </c>
      <c r="T15626" t="s">
        <v>48283</v>
      </c>
      <c r="U15626" t="s">
        <v>61323</v>
      </c>
      <c r="W15626" t="s">
        <v>63490</v>
      </c>
      <c r="X15626" t="s">
        <v>46649</v>
      </c>
    </row>
    <row r="15627" spans="1:24">
      <c r="A15627">
        <f>HYPERLINK("https://www.philgeps.gov.ph/GEPSNONPILOT/Tender/SplashBidNoticeAbstractUI.aspx?menuIndex=3&amp;refID=6888426&amp;Result=3","6888426")</f>
        <v>0</v>
      </c>
      <c r="B15627" t="s">
        <v>409</v>
      </c>
      <c r="C15627" t="s">
        <v>18417</v>
      </c>
      <c r="D15627" t="s">
        <v>18854</v>
      </c>
      <c r="E15627" t="s">
        <v>32338</v>
      </c>
      <c r="F15627" t="s">
        <v>32664</v>
      </c>
      <c r="G15627" t="s">
        <v>32677</v>
      </c>
      <c r="H15627" t="s">
        <v>12635</v>
      </c>
      <c r="I15627" t="s">
        <v>11464</v>
      </c>
      <c r="J15627" t="s">
        <v>32930</v>
      </c>
      <c r="K15627" t="s">
        <v>42311</v>
      </c>
      <c r="M15627" t="s">
        <v>46332</v>
      </c>
      <c r="N15627" t="s">
        <v>46569</v>
      </c>
      <c r="O15627" t="s">
        <v>46570</v>
      </c>
      <c r="Q15627">
        <v>12</v>
      </c>
      <c r="R15627" t="s">
        <v>46649</v>
      </c>
      <c r="S15627" t="s">
        <v>46971</v>
      </c>
      <c r="T15627" t="s">
        <v>48602</v>
      </c>
      <c r="U15627" t="s">
        <v>61324</v>
      </c>
      <c r="W15627" t="s">
        <v>46332</v>
      </c>
      <c r="X15627" t="s">
        <v>46657</v>
      </c>
    </row>
    <row r="15628" spans="1:24">
      <c r="A15628">
        <f>HYPERLINK("https://www.philgeps.gov.ph/GEPSNONPILOT/Tender/SplashBidNoticeAbstractUI.aspx?menuIndex=3&amp;refID=6870526&amp;Result=3","6870526")</f>
        <v>0</v>
      </c>
      <c r="B15628" t="s">
        <v>1620</v>
      </c>
      <c r="C15628" t="s">
        <v>18418</v>
      </c>
      <c r="D15628" t="s">
        <v>18784</v>
      </c>
      <c r="E15628" t="s">
        <v>32339</v>
      </c>
      <c r="F15628" t="s">
        <v>32664</v>
      </c>
      <c r="G15628" t="s">
        <v>32672</v>
      </c>
      <c r="H15628" t="s">
        <v>32683</v>
      </c>
      <c r="I15628" t="s">
        <v>10627</v>
      </c>
      <c r="J15628" t="s">
        <v>42054</v>
      </c>
      <c r="K15628" t="s">
        <v>42290</v>
      </c>
      <c r="M15628" t="s">
        <v>44300</v>
      </c>
      <c r="N15628" t="s">
        <v>46569</v>
      </c>
      <c r="O15628" t="s">
        <v>46570</v>
      </c>
      <c r="Q15628">
        <v>28</v>
      </c>
      <c r="R15628" t="s">
        <v>46650</v>
      </c>
      <c r="S15628" t="s">
        <v>48048</v>
      </c>
      <c r="T15628" t="s">
        <v>48222</v>
      </c>
      <c r="U15628" t="s">
        <v>61325</v>
      </c>
      <c r="W15628" t="s">
        <v>44300</v>
      </c>
      <c r="X15628" t="s">
        <v>46656</v>
      </c>
    </row>
    <row r="15629" spans="1:24">
      <c r="A15629">
        <f>HYPERLINK("https://www.philgeps.gov.ph/GEPSNONPILOT/Tender/SplashBidNoticeAbstractUI.aspx?menuIndex=3&amp;refID=6889719&amp;Result=3","6889719")</f>
        <v>0</v>
      </c>
      <c r="B15629" t="s">
        <v>366</v>
      </c>
      <c r="C15629" t="s">
        <v>18419</v>
      </c>
      <c r="E15629" t="s">
        <v>32340</v>
      </c>
      <c r="F15629" t="s">
        <v>32664</v>
      </c>
      <c r="G15629" t="s">
        <v>32672</v>
      </c>
      <c r="H15629" t="s">
        <v>12635</v>
      </c>
      <c r="I15629" t="s">
        <v>32689</v>
      </c>
      <c r="J15629" t="s">
        <v>42055</v>
      </c>
      <c r="K15629" t="s">
        <v>42283</v>
      </c>
      <c r="M15629" t="s">
        <v>46520</v>
      </c>
      <c r="N15629" t="s">
        <v>46569</v>
      </c>
      <c r="O15629" t="s">
        <v>46570</v>
      </c>
      <c r="Q15629">
        <v>23</v>
      </c>
      <c r="R15629" t="s">
        <v>46649</v>
      </c>
      <c r="S15629" t="s">
        <v>48049</v>
      </c>
      <c r="T15629" t="s">
        <v>48557</v>
      </c>
      <c r="U15629" t="s">
        <v>61326</v>
      </c>
      <c r="W15629" t="s">
        <v>46520</v>
      </c>
      <c r="X15629" t="s">
        <v>46647</v>
      </c>
    </row>
    <row r="15630" spans="1:24">
      <c r="A15630">
        <f>HYPERLINK("https://www.philgeps.gov.ph/GEPSNONPILOT/Tender/SplashBidNoticeAbstractUI.aspx?menuIndex=3&amp;refID=6899971&amp;Result=3","6899971")</f>
        <v>0</v>
      </c>
      <c r="B15630" t="s">
        <v>225</v>
      </c>
      <c r="C15630" t="s">
        <v>18420</v>
      </c>
      <c r="D15630" t="s">
        <v>18784</v>
      </c>
      <c r="E15630" t="s">
        <v>32341</v>
      </c>
      <c r="F15630" t="s">
        <v>32664</v>
      </c>
      <c r="G15630" t="s">
        <v>32672</v>
      </c>
      <c r="H15630" t="s">
        <v>32683</v>
      </c>
      <c r="I15630" t="s">
        <v>10627</v>
      </c>
      <c r="J15630" t="s">
        <v>42056</v>
      </c>
      <c r="K15630" t="s">
        <v>42311</v>
      </c>
      <c r="M15630" t="s">
        <v>43870</v>
      </c>
      <c r="N15630" t="s">
        <v>46569</v>
      </c>
      <c r="O15630" t="s">
        <v>46570</v>
      </c>
      <c r="Q15630">
        <v>102</v>
      </c>
      <c r="R15630" t="s">
        <v>46645</v>
      </c>
      <c r="S15630" t="s">
        <v>48050</v>
      </c>
      <c r="T15630" t="s">
        <v>48219</v>
      </c>
      <c r="U15630" t="s">
        <v>51407</v>
      </c>
      <c r="V15630" t="s">
        <v>63391</v>
      </c>
      <c r="W15630" t="s">
        <v>43870</v>
      </c>
      <c r="X15630" t="s">
        <v>46644</v>
      </c>
    </row>
    <row r="15631" spans="1:24">
      <c r="A15631">
        <f>HYPERLINK("https://www.philgeps.gov.ph/GEPSNONPILOT/Tender/SplashBidNoticeAbstractUI.aspx?menuIndex=3&amp;refID=6892405&amp;Result=3","6892405")</f>
        <v>0</v>
      </c>
      <c r="B15631" t="s">
        <v>592</v>
      </c>
      <c r="C15631" t="s">
        <v>18421</v>
      </c>
      <c r="D15631" t="s">
        <v>18863</v>
      </c>
      <c r="E15631" t="s">
        <v>32342</v>
      </c>
      <c r="F15631" t="s">
        <v>32664</v>
      </c>
      <c r="G15631" t="s">
        <v>32672</v>
      </c>
      <c r="H15631" t="s">
        <v>32683</v>
      </c>
      <c r="I15631" t="s">
        <v>10627</v>
      </c>
      <c r="J15631" t="s">
        <v>42057</v>
      </c>
      <c r="K15631" t="s">
        <v>42311</v>
      </c>
      <c r="M15631" t="s">
        <v>43411</v>
      </c>
      <c r="N15631" t="s">
        <v>46569</v>
      </c>
      <c r="O15631" t="s">
        <v>46570</v>
      </c>
      <c r="Q15631">
        <v>5</v>
      </c>
      <c r="R15631" t="s">
        <v>46648</v>
      </c>
      <c r="S15631" t="s">
        <v>48051</v>
      </c>
      <c r="T15631" t="s">
        <v>48334</v>
      </c>
      <c r="U15631" t="s">
        <v>61327</v>
      </c>
      <c r="V15631" t="s">
        <v>63392</v>
      </c>
      <c r="W15631" t="s">
        <v>43411</v>
      </c>
      <c r="X15631" t="s">
        <v>46649</v>
      </c>
    </row>
    <row r="15632" spans="1:24">
      <c r="A15632">
        <f>HYPERLINK("https://www.philgeps.gov.ph/GEPSNONPILOT/Tender/SplashBidNoticeAbstractUI.aspx?menuIndex=3&amp;refID=6890848&amp;Result=3","6890848")</f>
        <v>0</v>
      </c>
      <c r="B15632" t="s">
        <v>170</v>
      </c>
      <c r="C15632" t="s">
        <v>18422</v>
      </c>
      <c r="D15632" t="s">
        <v>18812</v>
      </c>
      <c r="E15632" t="s">
        <v>32343</v>
      </c>
      <c r="F15632" t="s">
        <v>32664</v>
      </c>
      <c r="G15632" t="s">
        <v>32671</v>
      </c>
      <c r="H15632" t="s">
        <v>12635</v>
      </c>
      <c r="I15632" t="s">
        <v>32704</v>
      </c>
      <c r="J15632" t="s">
        <v>42058</v>
      </c>
      <c r="K15632" t="s">
        <v>42281</v>
      </c>
      <c r="M15632" t="s">
        <v>42734</v>
      </c>
      <c r="N15632" t="s">
        <v>46569</v>
      </c>
      <c r="O15632" t="s">
        <v>46570</v>
      </c>
      <c r="Q15632">
        <v>17</v>
      </c>
      <c r="R15632" t="s">
        <v>46648</v>
      </c>
      <c r="S15632" t="s">
        <v>48034</v>
      </c>
      <c r="T15632" t="s">
        <v>48312</v>
      </c>
      <c r="U15632" t="s">
        <v>61328</v>
      </c>
      <c r="W15632" t="s">
        <v>42734</v>
      </c>
      <c r="X15632" t="s">
        <v>46649</v>
      </c>
    </row>
    <row r="15633" spans="1:24">
      <c r="A15633">
        <f>HYPERLINK("https://www.philgeps.gov.ph/GEPSNONPILOT/Tender/SplashBidNoticeAbstractUI.aspx?menuIndex=3&amp;refID=6904503&amp;Result=3","6904503")</f>
        <v>0</v>
      </c>
      <c r="B15633" t="s">
        <v>1993</v>
      </c>
      <c r="C15633" t="s">
        <v>18423</v>
      </c>
      <c r="D15633" t="s">
        <v>18834</v>
      </c>
      <c r="E15633" t="s">
        <v>32344</v>
      </c>
      <c r="F15633" t="s">
        <v>32664</v>
      </c>
      <c r="G15633" t="s">
        <v>32672</v>
      </c>
      <c r="H15633" t="s">
        <v>32683</v>
      </c>
      <c r="I15633" t="s">
        <v>10627</v>
      </c>
      <c r="J15633" t="s">
        <v>37271</v>
      </c>
      <c r="K15633" t="s">
        <v>42285</v>
      </c>
      <c r="M15633" t="s">
        <v>44728</v>
      </c>
      <c r="N15633" t="s">
        <v>46569</v>
      </c>
      <c r="O15633" t="s">
        <v>46570</v>
      </c>
      <c r="Q15633">
        <v>4</v>
      </c>
      <c r="R15633" t="s">
        <v>46642</v>
      </c>
      <c r="S15633" t="s">
        <v>48052</v>
      </c>
      <c r="T15633" t="s">
        <v>48283</v>
      </c>
      <c r="U15633" t="s">
        <v>61329</v>
      </c>
      <c r="V15633" t="s">
        <v>63393</v>
      </c>
      <c r="W15633" t="s">
        <v>63567</v>
      </c>
      <c r="X15633" t="s">
        <v>46643</v>
      </c>
    </row>
    <row r="15634" spans="1:24">
      <c r="A15634">
        <f>HYPERLINK("https://www.philgeps.gov.ph/GEPSNONPILOT/Tender/SplashBidNoticeAbstractUI.aspx?menuIndex=3&amp;refID=6880627&amp;Result=3","6880627")</f>
        <v>0</v>
      </c>
      <c r="B15634" t="s">
        <v>3502</v>
      </c>
      <c r="C15634" t="s">
        <v>18424</v>
      </c>
      <c r="D15634" t="s">
        <v>18831</v>
      </c>
      <c r="E15634" t="s">
        <v>32345</v>
      </c>
      <c r="F15634" t="s">
        <v>32664</v>
      </c>
      <c r="G15634" t="s">
        <v>32672</v>
      </c>
      <c r="H15634" t="s">
        <v>12635</v>
      </c>
      <c r="I15634" t="s">
        <v>32704</v>
      </c>
      <c r="J15634" t="s">
        <v>32981</v>
      </c>
      <c r="K15634" t="s">
        <v>42289</v>
      </c>
      <c r="M15634" t="s">
        <v>46526</v>
      </c>
      <c r="N15634" t="s">
        <v>46569</v>
      </c>
      <c r="O15634" t="s">
        <v>46570</v>
      </c>
      <c r="Q15634">
        <v>15</v>
      </c>
      <c r="R15634" t="s">
        <v>46651</v>
      </c>
      <c r="S15634" t="s">
        <v>47619</v>
      </c>
      <c r="T15634" t="s">
        <v>48405</v>
      </c>
      <c r="U15634" t="s">
        <v>61330</v>
      </c>
      <c r="V15634" t="s">
        <v>63394</v>
      </c>
      <c r="W15634" t="s">
        <v>46526</v>
      </c>
      <c r="X15634" t="s">
        <v>46652</v>
      </c>
    </row>
    <row r="15635" spans="1:24">
      <c r="A15635">
        <f>HYPERLINK("https://www.philgeps.gov.ph/GEPSNONPILOT/Tender/SplashBidNoticeAbstractUI.aspx?menuIndex=3&amp;refID=6880434&amp;Result=3","6880434")</f>
        <v>0</v>
      </c>
      <c r="B15635" t="s">
        <v>3502</v>
      </c>
      <c r="C15635" t="s">
        <v>18425</v>
      </c>
      <c r="D15635" t="s">
        <v>18831</v>
      </c>
      <c r="E15635" t="s">
        <v>32346</v>
      </c>
      <c r="F15635" t="s">
        <v>32664</v>
      </c>
      <c r="G15635" t="s">
        <v>32672</v>
      </c>
      <c r="H15635" t="s">
        <v>12635</v>
      </c>
      <c r="I15635" t="s">
        <v>6168</v>
      </c>
      <c r="J15635" t="s">
        <v>42059</v>
      </c>
      <c r="K15635" t="s">
        <v>42289</v>
      </c>
      <c r="M15635" t="s">
        <v>46527</v>
      </c>
      <c r="N15635" t="s">
        <v>46569</v>
      </c>
      <c r="O15635" t="s">
        <v>46570</v>
      </c>
      <c r="Q15635">
        <v>8</v>
      </c>
      <c r="R15635" t="s">
        <v>46651</v>
      </c>
      <c r="S15635" t="s">
        <v>47514</v>
      </c>
      <c r="T15635" t="s">
        <v>48467</v>
      </c>
      <c r="U15635" t="s">
        <v>61331</v>
      </c>
      <c r="V15635" t="s">
        <v>63395</v>
      </c>
      <c r="W15635" t="s">
        <v>46527</v>
      </c>
      <c r="X15635" t="s">
        <v>46652</v>
      </c>
    </row>
    <row r="15636" spans="1:24">
      <c r="A15636">
        <f>HYPERLINK("https://www.philgeps.gov.ph/GEPSNONPILOT/Tender/SplashBidNoticeAbstractUI.aspx?menuIndex=3&amp;refID=6872176&amp;Result=3","6872176")</f>
        <v>0</v>
      </c>
      <c r="B15636" t="s">
        <v>366</v>
      </c>
      <c r="C15636" t="s">
        <v>18426</v>
      </c>
      <c r="E15636" t="s">
        <v>32347</v>
      </c>
      <c r="F15636" t="s">
        <v>32664</v>
      </c>
      <c r="G15636" t="s">
        <v>32672</v>
      </c>
      <c r="H15636" t="s">
        <v>12635</v>
      </c>
      <c r="I15636" t="s">
        <v>32707</v>
      </c>
      <c r="J15636" t="s">
        <v>42060</v>
      </c>
      <c r="K15636" t="s">
        <v>42283</v>
      </c>
      <c r="M15636" t="s">
        <v>46520</v>
      </c>
      <c r="N15636" t="s">
        <v>46569</v>
      </c>
      <c r="O15636" t="s">
        <v>46570</v>
      </c>
      <c r="Q15636">
        <v>5</v>
      </c>
      <c r="R15636" t="s">
        <v>46652</v>
      </c>
      <c r="S15636" t="s">
        <v>46886</v>
      </c>
      <c r="T15636" t="s">
        <v>48766</v>
      </c>
      <c r="U15636" t="s">
        <v>61332</v>
      </c>
      <c r="W15636" t="s">
        <v>46520</v>
      </c>
      <c r="X15636" t="s">
        <v>46656</v>
      </c>
    </row>
    <row r="15637" spans="1:24">
      <c r="A15637">
        <f>HYPERLINK("https://www.philgeps.gov.ph/GEPSNONPILOT/Tender/SplashBidNoticeAbstractUI.aspx?menuIndex=3&amp;refID=6880886&amp;Result=3","6880886")</f>
        <v>0</v>
      </c>
      <c r="B15637" t="s">
        <v>3502</v>
      </c>
      <c r="C15637" t="s">
        <v>18427</v>
      </c>
      <c r="D15637" t="s">
        <v>18831</v>
      </c>
      <c r="E15637" t="s">
        <v>32348</v>
      </c>
      <c r="F15637" t="s">
        <v>32664</v>
      </c>
      <c r="G15637" t="s">
        <v>32672</v>
      </c>
      <c r="H15637" t="s">
        <v>12635</v>
      </c>
      <c r="I15637" t="s">
        <v>32704</v>
      </c>
      <c r="J15637" t="s">
        <v>39495</v>
      </c>
      <c r="K15637" t="s">
        <v>42289</v>
      </c>
      <c r="M15637" t="s">
        <v>46526</v>
      </c>
      <c r="N15637" t="s">
        <v>46569</v>
      </c>
      <c r="O15637" t="s">
        <v>46570</v>
      </c>
      <c r="Q15637">
        <v>12</v>
      </c>
      <c r="R15637" t="s">
        <v>46651</v>
      </c>
      <c r="S15637" t="s">
        <v>48053</v>
      </c>
      <c r="T15637" t="s">
        <v>48487</v>
      </c>
      <c r="U15637" t="s">
        <v>61330</v>
      </c>
      <c r="V15637" t="s">
        <v>63394</v>
      </c>
      <c r="W15637" t="s">
        <v>46526</v>
      </c>
      <c r="X15637" t="s">
        <v>46652</v>
      </c>
    </row>
    <row r="15638" spans="1:24">
      <c r="A15638">
        <f>HYPERLINK("https://www.philgeps.gov.ph/GEPSNONPILOT/Tender/SplashBidNoticeAbstractUI.aspx?menuIndex=3&amp;refID=6880822&amp;Result=3","6880822")</f>
        <v>0</v>
      </c>
      <c r="B15638" t="s">
        <v>3502</v>
      </c>
      <c r="C15638" t="s">
        <v>18428</v>
      </c>
      <c r="D15638" t="s">
        <v>18831</v>
      </c>
      <c r="E15638" t="s">
        <v>32349</v>
      </c>
      <c r="F15638" t="s">
        <v>32664</v>
      </c>
      <c r="G15638" t="s">
        <v>32672</v>
      </c>
      <c r="H15638" t="s">
        <v>12635</v>
      </c>
      <c r="I15638" t="s">
        <v>32704</v>
      </c>
      <c r="J15638" t="s">
        <v>40624</v>
      </c>
      <c r="K15638" t="s">
        <v>42289</v>
      </c>
      <c r="M15638" t="s">
        <v>46526</v>
      </c>
      <c r="N15638" t="s">
        <v>46569</v>
      </c>
      <c r="O15638" t="s">
        <v>46570</v>
      </c>
      <c r="Q15638">
        <v>12</v>
      </c>
      <c r="R15638" t="s">
        <v>46651</v>
      </c>
      <c r="S15638" t="s">
        <v>48054</v>
      </c>
      <c r="T15638" t="s">
        <v>48452</v>
      </c>
      <c r="U15638" t="s">
        <v>61330</v>
      </c>
      <c r="V15638" t="s">
        <v>63394</v>
      </c>
      <c r="W15638" t="s">
        <v>46526</v>
      </c>
      <c r="X15638" t="s">
        <v>46652</v>
      </c>
    </row>
    <row r="15639" spans="1:24">
      <c r="A15639">
        <f>HYPERLINK("https://www.philgeps.gov.ph/GEPSNONPILOT/Tender/SplashBidNoticeAbstractUI.aspx?menuIndex=3&amp;refID=6880250&amp;Result=3","6880250")</f>
        <v>0</v>
      </c>
      <c r="B15639" t="s">
        <v>3502</v>
      </c>
      <c r="C15639" t="s">
        <v>18429</v>
      </c>
      <c r="D15639" t="s">
        <v>18831</v>
      </c>
      <c r="E15639" t="s">
        <v>32350</v>
      </c>
      <c r="F15639" t="s">
        <v>32664</v>
      </c>
      <c r="G15639" t="s">
        <v>32672</v>
      </c>
      <c r="H15639" t="s">
        <v>12635</v>
      </c>
      <c r="I15639" t="s">
        <v>5589</v>
      </c>
      <c r="J15639" t="s">
        <v>41839</v>
      </c>
      <c r="K15639" t="s">
        <v>42297</v>
      </c>
      <c r="M15639" t="s">
        <v>46527</v>
      </c>
      <c r="N15639" t="s">
        <v>46569</v>
      </c>
      <c r="O15639" t="s">
        <v>46570</v>
      </c>
      <c r="Q15639">
        <v>13</v>
      </c>
      <c r="R15639" t="s">
        <v>46651</v>
      </c>
      <c r="S15639" t="s">
        <v>48055</v>
      </c>
      <c r="T15639" t="s">
        <v>48487</v>
      </c>
      <c r="U15639" t="s">
        <v>61331</v>
      </c>
      <c r="V15639" t="s">
        <v>63394</v>
      </c>
      <c r="W15639" t="s">
        <v>46527</v>
      </c>
      <c r="X15639" t="s">
        <v>46652</v>
      </c>
    </row>
    <row r="15640" spans="1:24">
      <c r="A15640">
        <f>HYPERLINK("https://www.philgeps.gov.ph/GEPSNONPILOT/Tender/SplashBidNoticeAbstractUI.aspx?menuIndex=3&amp;refID=6905733&amp;Result=3","6905733")</f>
        <v>0</v>
      </c>
      <c r="B15640" t="s">
        <v>1254</v>
      </c>
      <c r="C15640" t="s">
        <v>18430</v>
      </c>
      <c r="D15640" t="s">
        <v>18827</v>
      </c>
      <c r="E15640" t="s">
        <v>32284</v>
      </c>
      <c r="F15640" t="s">
        <v>32664</v>
      </c>
      <c r="G15640" t="s">
        <v>32672</v>
      </c>
      <c r="H15640" t="s">
        <v>32683</v>
      </c>
      <c r="I15640" t="s">
        <v>10627</v>
      </c>
      <c r="J15640" t="s">
        <v>34293</v>
      </c>
      <c r="K15640" t="s">
        <v>42429</v>
      </c>
      <c r="M15640" t="s">
        <v>43896</v>
      </c>
      <c r="N15640" t="s">
        <v>46569</v>
      </c>
      <c r="O15640" t="s">
        <v>46570</v>
      </c>
      <c r="Q15640">
        <v>1</v>
      </c>
      <c r="R15640" t="s">
        <v>46642</v>
      </c>
      <c r="S15640" t="s">
        <v>48056</v>
      </c>
      <c r="T15640" t="s">
        <v>48761</v>
      </c>
      <c r="U15640" t="s">
        <v>61333</v>
      </c>
      <c r="W15640" t="s">
        <v>43896</v>
      </c>
      <c r="X15640" t="s">
        <v>46643</v>
      </c>
    </row>
    <row r="15641" spans="1:24">
      <c r="A15641">
        <f>HYPERLINK("https://www.philgeps.gov.ph/GEPSNONPILOT/Tender/SplashBidNoticeAbstractUI.aspx?menuIndex=3&amp;refID=6870491&amp;Result=3","6870491")</f>
        <v>0</v>
      </c>
      <c r="B15641" t="s">
        <v>1620</v>
      </c>
      <c r="C15641" t="s">
        <v>18431</v>
      </c>
      <c r="D15641" t="s">
        <v>18784</v>
      </c>
      <c r="E15641" t="s">
        <v>32351</v>
      </c>
      <c r="F15641" t="s">
        <v>32664</v>
      </c>
      <c r="G15641" t="s">
        <v>32672</v>
      </c>
      <c r="H15641" t="s">
        <v>32683</v>
      </c>
      <c r="I15641" t="s">
        <v>10627</v>
      </c>
      <c r="J15641" t="s">
        <v>42061</v>
      </c>
      <c r="K15641" t="s">
        <v>42290</v>
      </c>
      <c r="M15641" t="s">
        <v>44300</v>
      </c>
      <c r="N15641" t="s">
        <v>46569</v>
      </c>
      <c r="O15641" t="s">
        <v>46570</v>
      </c>
      <c r="Q15641">
        <v>33</v>
      </c>
      <c r="R15641" t="s">
        <v>46650</v>
      </c>
      <c r="S15641" t="s">
        <v>48057</v>
      </c>
      <c r="T15641" t="s">
        <v>48222</v>
      </c>
      <c r="U15641" t="s">
        <v>61334</v>
      </c>
      <c r="W15641" t="s">
        <v>44300</v>
      </c>
      <c r="X15641" t="s">
        <v>46656</v>
      </c>
    </row>
    <row r="15642" spans="1:24">
      <c r="A15642">
        <f>HYPERLINK("https://www.philgeps.gov.ph/GEPSNONPILOT/Tender/SplashBidNoticeAbstractUI.aspx?menuIndex=3&amp;refID=6876910&amp;Result=3","6876910")</f>
        <v>0</v>
      </c>
      <c r="B15642" t="s">
        <v>1439</v>
      </c>
      <c r="C15642" t="s">
        <v>18432</v>
      </c>
      <c r="D15642" t="s">
        <v>18807</v>
      </c>
      <c r="E15642" t="s">
        <v>32352</v>
      </c>
      <c r="F15642" t="s">
        <v>32664</v>
      </c>
      <c r="G15642" t="s">
        <v>32672</v>
      </c>
      <c r="H15642" t="s">
        <v>32683</v>
      </c>
      <c r="I15642" t="s">
        <v>10627</v>
      </c>
      <c r="J15642" t="s">
        <v>33946</v>
      </c>
      <c r="K15642" t="s">
        <v>42308</v>
      </c>
      <c r="M15642" t="s">
        <v>44100</v>
      </c>
      <c r="N15642" t="s">
        <v>46569</v>
      </c>
      <c r="O15642" t="s">
        <v>46570</v>
      </c>
      <c r="Q15642">
        <v>8</v>
      </c>
      <c r="R15642" t="s">
        <v>46652</v>
      </c>
      <c r="S15642" t="s">
        <v>48058</v>
      </c>
      <c r="T15642" t="s">
        <v>48287</v>
      </c>
      <c r="U15642" t="s">
        <v>61335</v>
      </c>
      <c r="V15642" t="s">
        <v>63396</v>
      </c>
      <c r="W15642" t="s">
        <v>44100</v>
      </c>
      <c r="X15642" t="s">
        <v>46650</v>
      </c>
    </row>
    <row r="15643" spans="1:24">
      <c r="A15643">
        <f>HYPERLINK("https://www.philgeps.gov.ph/GEPSNONPILOT/Tender/SplashBidNoticeAbstractUI.aspx?menuIndex=3&amp;refID=6881781&amp;Result=3","6881781")</f>
        <v>0</v>
      </c>
      <c r="B15643" t="s">
        <v>592</v>
      </c>
      <c r="C15643" t="s">
        <v>18433</v>
      </c>
      <c r="D15643" t="s">
        <v>18793</v>
      </c>
      <c r="E15643" t="s">
        <v>32353</v>
      </c>
      <c r="F15643" t="s">
        <v>32664</v>
      </c>
      <c r="G15643" t="s">
        <v>32672</v>
      </c>
      <c r="H15643" t="s">
        <v>12635</v>
      </c>
      <c r="I15643" t="s">
        <v>32738</v>
      </c>
      <c r="J15643" t="s">
        <v>42062</v>
      </c>
      <c r="K15643" t="s">
        <v>42307</v>
      </c>
      <c r="M15643" t="s">
        <v>43411</v>
      </c>
      <c r="N15643" t="s">
        <v>46569</v>
      </c>
      <c r="O15643" t="s">
        <v>46570</v>
      </c>
      <c r="Q15643">
        <v>7</v>
      </c>
      <c r="R15643" t="s">
        <v>46653</v>
      </c>
      <c r="S15643" t="s">
        <v>48059</v>
      </c>
      <c r="T15643" t="s">
        <v>48436</v>
      </c>
      <c r="U15643" t="s">
        <v>61336</v>
      </c>
      <c r="V15643" t="s">
        <v>63397</v>
      </c>
      <c r="W15643" t="s">
        <v>43411</v>
      </c>
      <c r="X15643" t="s">
        <v>46651</v>
      </c>
    </row>
    <row r="15644" spans="1:24">
      <c r="A15644">
        <f>HYPERLINK("https://www.philgeps.gov.ph/GEPSNONPILOT/Tender/SplashBidNoticeAbstractUI.aspx?menuIndex=3&amp;refID=6862407&amp;Result=3","6862407")</f>
        <v>0</v>
      </c>
      <c r="B15644" t="s">
        <v>1620</v>
      </c>
      <c r="C15644" t="s">
        <v>18434</v>
      </c>
      <c r="D15644" t="s">
        <v>18784</v>
      </c>
      <c r="E15644" t="s">
        <v>32354</v>
      </c>
      <c r="F15644" t="s">
        <v>32664</v>
      </c>
      <c r="G15644" t="s">
        <v>32672</v>
      </c>
      <c r="H15644" t="s">
        <v>32683</v>
      </c>
      <c r="I15644" t="s">
        <v>10627</v>
      </c>
      <c r="J15644" t="s">
        <v>42063</v>
      </c>
      <c r="K15644" t="s">
        <v>42301</v>
      </c>
      <c r="M15644" t="s">
        <v>44300</v>
      </c>
      <c r="N15644" t="s">
        <v>46569</v>
      </c>
      <c r="O15644" t="s">
        <v>46570</v>
      </c>
      <c r="Q15644">
        <v>60</v>
      </c>
      <c r="R15644" t="s">
        <v>46654</v>
      </c>
      <c r="S15644" t="s">
        <v>48060</v>
      </c>
      <c r="T15644" t="s">
        <v>48366</v>
      </c>
      <c r="U15644" t="s">
        <v>61337</v>
      </c>
      <c r="W15644" t="s">
        <v>44300</v>
      </c>
      <c r="X15644" t="s">
        <v>63624</v>
      </c>
    </row>
    <row r="15645" spans="1:24">
      <c r="A15645">
        <f>HYPERLINK("https://www.philgeps.gov.ph/GEPSNONPILOT/Tender/SplashBidNoticeAbstractUI.aspx?menuIndex=3&amp;refID=6878952&amp;Result=3","6878952")</f>
        <v>0</v>
      </c>
      <c r="B15645" t="s">
        <v>3132</v>
      </c>
      <c r="C15645" t="s">
        <v>18435</v>
      </c>
      <c r="D15645" t="s">
        <v>18858</v>
      </c>
      <c r="E15645" t="s">
        <v>32355</v>
      </c>
      <c r="F15645" t="s">
        <v>32664</v>
      </c>
      <c r="G15645" t="s">
        <v>32672</v>
      </c>
      <c r="H15645" t="s">
        <v>32681</v>
      </c>
      <c r="I15645" t="s">
        <v>32681</v>
      </c>
      <c r="J15645" t="s">
        <v>38737</v>
      </c>
      <c r="K15645" t="s">
        <v>42285</v>
      </c>
      <c r="M15645" t="s">
        <v>46025</v>
      </c>
      <c r="N15645" t="s">
        <v>46569</v>
      </c>
      <c r="O15645" t="s">
        <v>46570</v>
      </c>
      <c r="Q15645">
        <v>15</v>
      </c>
      <c r="R15645" t="s">
        <v>46651</v>
      </c>
      <c r="S15645" t="s">
        <v>48061</v>
      </c>
      <c r="T15645" t="s">
        <v>48287</v>
      </c>
      <c r="U15645" t="s">
        <v>61338</v>
      </c>
      <c r="W15645" t="s">
        <v>46025</v>
      </c>
      <c r="X15645" t="s">
        <v>46652</v>
      </c>
    </row>
    <row r="15646" spans="1:24">
      <c r="A15646">
        <f>HYPERLINK("https://www.philgeps.gov.ph/GEPSNONPILOT/Tender/SplashBidNoticeAbstractUI.aspx?menuIndex=3&amp;refID=6862335&amp;Result=3","6862335")</f>
        <v>0</v>
      </c>
      <c r="B15646" t="s">
        <v>1620</v>
      </c>
      <c r="C15646" t="s">
        <v>18436</v>
      </c>
      <c r="D15646" t="s">
        <v>18784</v>
      </c>
      <c r="E15646" t="s">
        <v>32356</v>
      </c>
      <c r="F15646" t="s">
        <v>32664</v>
      </c>
      <c r="G15646" t="s">
        <v>32672</v>
      </c>
      <c r="H15646" t="s">
        <v>32683</v>
      </c>
      <c r="I15646" t="s">
        <v>10627</v>
      </c>
      <c r="J15646" t="s">
        <v>42064</v>
      </c>
      <c r="K15646" t="s">
        <v>42285</v>
      </c>
      <c r="M15646" t="s">
        <v>44300</v>
      </c>
      <c r="N15646" t="s">
        <v>46569</v>
      </c>
      <c r="O15646" t="s">
        <v>46570</v>
      </c>
      <c r="Q15646">
        <v>114</v>
      </c>
      <c r="R15646" t="s">
        <v>46654</v>
      </c>
      <c r="S15646" t="s">
        <v>48062</v>
      </c>
      <c r="T15646" t="s">
        <v>48275</v>
      </c>
      <c r="U15646" t="s">
        <v>61339</v>
      </c>
      <c r="W15646" t="s">
        <v>44300</v>
      </c>
      <c r="X15646" t="s">
        <v>63624</v>
      </c>
    </row>
    <row r="15647" spans="1:24">
      <c r="A15647">
        <f>HYPERLINK("https://www.philgeps.gov.ph/GEPSNONPILOT/Tender/SplashBidNoticeAbstractUI.aspx?menuIndex=3&amp;refID=6881813&amp;Result=3","6881813")</f>
        <v>0</v>
      </c>
      <c r="B15647" t="s">
        <v>592</v>
      </c>
      <c r="C15647" t="s">
        <v>18437</v>
      </c>
      <c r="D15647" t="s">
        <v>18783</v>
      </c>
      <c r="E15647" t="s">
        <v>32357</v>
      </c>
      <c r="F15647" t="s">
        <v>32664</v>
      </c>
      <c r="G15647" t="s">
        <v>32672</v>
      </c>
      <c r="H15647" t="s">
        <v>12635</v>
      </c>
      <c r="I15647" t="s">
        <v>32738</v>
      </c>
      <c r="J15647" t="s">
        <v>42065</v>
      </c>
      <c r="K15647" t="s">
        <v>42397</v>
      </c>
      <c r="M15647" t="s">
        <v>43411</v>
      </c>
      <c r="N15647" t="s">
        <v>46569</v>
      </c>
      <c r="O15647" t="s">
        <v>46570</v>
      </c>
      <c r="Q15647">
        <v>7</v>
      </c>
      <c r="R15647" t="s">
        <v>46653</v>
      </c>
      <c r="S15647" t="s">
        <v>48063</v>
      </c>
      <c r="T15647" t="s">
        <v>48334</v>
      </c>
      <c r="U15647" t="s">
        <v>61336</v>
      </c>
      <c r="V15647" t="s">
        <v>63398</v>
      </c>
      <c r="W15647" t="s">
        <v>43411</v>
      </c>
      <c r="X15647" t="s">
        <v>46651</v>
      </c>
    </row>
    <row r="15648" spans="1:24">
      <c r="A15648">
        <f>HYPERLINK("https://www.philgeps.gov.ph/GEPSNONPILOT/Tender/SplashBidNoticeAbstractUI.aspx?menuIndex=3&amp;refID=6884229&amp;Result=3","6884229")</f>
        <v>0</v>
      </c>
      <c r="B15648" t="s">
        <v>3282</v>
      </c>
      <c r="C15648" t="s">
        <v>18438</v>
      </c>
      <c r="E15648" t="s">
        <v>32358</v>
      </c>
      <c r="F15648" t="s">
        <v>32664</v>
      </c>
      <c r="G15648" t="s">
        <v>32672</v>
      </c>
      <c r="H15648" t="s">
        <v>12635</v>
      </c>
      <c r="I15648" t="s">
        <v>7324</v>
      </c>
      <c r="J15648" t="s">
        <v>34147</v>
      </c>
      <c r="K15648" t="s">
        <v>42283</v>
      </c>
      <c r="M15648" t="s">
        <v>46528</v>
      </c>
      <c r="N15648" t="s">
        <v>46569</v>
      </c>
      <c r="O15648" t="s">
        <v>46570</v>
      </c>
      <c r="Q15648">
        <v>7</v>
      </c>
      <c r="R15648" t="s">
        <v>46653</v>
      </c>
      <c r="S15648" t="s">
        <v>48064</v>
      </c>
      <c r="T15648" t="s">
        <v>48228</v>
      </c>
      <c r="U15648" t="s">
        <v>61340</v>
      </c>
      <c r="W15648" t="s">
        <v>46528</v>
      </c>
      <c r="X15648" t="s">
        <v>46651</v>
      </c>
    </row>
    <row r="15649" spans="1:24">
      <c r="A15649">
        <f>HYPERLINK("https://www.philgeps.gov.ph/GEPSNONPILOT/Tender/SplashBidNoticeAbstractUI.aspx?menuIndex=3&amp;refID=6862314&amp;Result=3","6862314")</f>
        <v>0</v>
      </c>
      <c r="B15649" t="s">
        <v>1620</v>
      </c>
      <c r="C15649" t="s">
        <v>18439</v>
      </c>
      <c r="D15649" t="s">
        <v>18784</v>
      </c>
      <c r="E15649" t="s">
        <v>32359</v>
      </c>
      <c r="F15649" t="s">
        <v>32664</v>
      </c>
      <c r="G15649" t="s">
        <v>32672</v>
      </c>
      <c r="H15649" t="s">
        <v>32683</v>
      </c>
      <c r="I15649" t="s">
        <v>10627</v>
      </c>
      <c r="J15649" t="s">
        <v>42066</v>
      </c>
      <c r="K15649" t="s">
        <v>42397</v>
      </c>
      <c r="M15649" t="s">
        <v>44300</v>
      </c>
      <c r="N15649" t="s">
        <v>46569</v>
      </c>
      <c r="O15649" t="s">
        <v>46570</v>
      </c>
      <c r="Q15649">
        <v>116</v>
      </c>
      <c r="R15649" t="s">
        <v>46654</v>
      </c>
      <c r="S15649" t="s">
        <v>47177</v>
      </c>
      <c r="T15649" t="s">
        <v>48275</v>
      </c>
      <c r="U15649" t="s">
        <v>61341</v>
      </c>
      <c r="W15649" t="s">
        <v>44300</v>
      </c>
      <c r="X15649" t="s">
        <v>63624</v>
      </c>
    </row>
    <row r="15650" spans="1:24">
      <c r="A15650">
        <f>HYPERLINK("https://www.philgeps.gov.ph/GEPSNONPILOT/Tender/SplashBidNoticeAbstractUI.aspx?menuIndex=3&amp;refID=6862248&amp;Result=3","6862248")</f>
        <v>0</v>
      </c>
      <c r="B15650" t="s">
        <v>1620</v>
      </c>
      <c r="C15650" t="s">
        <v>18440</v>
      </c>
      <c r="D15650" t="s">
        <v>18784</v>
      </c>
      <c r="E15650" t="s">
        <v>32360</v>
      </c>
      <c r="F15650" t="s">
        <v>32664</v>
      </c>
      <c r="G15650" t="s">
        <v>32672</v>
      </c>
      <c r="H15650" t="s">
        <v>32683</v>
      </c>
      <c r="I15650" t="s">
        <v>10627</v>
      </c>
      <c r="J15650" t="s">
        <v>42067</v>
      </c>
      <c r="K15650" t="s">
        <v>42290</v>
      </c>
      <c r="M15650" t="s">
        <v>44300</v>
      </c>
      <c r="N15650" t="s">
        <v>46569</v>
      </c>
      <c r="O15650" t="s">
        <v>46570</v>
      </c>
      <c r="Q15650">
        <v>109</v>
      </c>
      <c r="R15650" t="s">
        <v>46654</v>
      </c>
      <c r="S15650" t="s">
        <v>48065</v>
      </c>
      <c r="T15650" t="s">
        <v>48275</v>
      </c>
      <c r="U15650" t="s">
        <v>61342</v>
      </c>
      <c r="W15650" t="s">
        <v>44300</v>
      </c>
      <c r="X15650" t="s">
        <v>63624</v>
      </c>
    </row>
    <row r="15651" spans="1:24">
      <c r="A15651">
        <f>HYPERLINK("https://www.philgeps.gov.ph/GEPSNONPILOT/Tender/SplashBidNoticeAbstractUI.aspx?menuIndex=3&amp;refID=6883355&amp;Result=3","6883355")</f>
        <v>0</v>
      </c>
      <c r="B15651" t="s">
        <v>3499</v>
      </c>
      <c r="C15651" t="s">
        <v>18441</v>
      </c>
      <c r="D15651" t="s">
        <v>18784</v>
      </c>
      <c r="E15651" t="s">
        <v>32361</v>
      </c>
      <c r="F15651" t="s">
        <v>32664</v>
      </c>
      <c r="G15651" t="s">
        <v>32672</v>
      </c>
      <c r="H15651" t="s">
        <v>12635</v>
      </c>
      <c r="I15651" t="s">
        <v>6628</v>
      </c>
      <c r="J15651" t="s">
        <v>40272</v>
      </c>
      <c r="K15651" t="s">
        <v>42305</v>
      </c>
      <c r="M15651" t="s">
        <v>46529</v>
      </c>
      <c r="N15651" t="s">
        <v>46569</v>
      </c>
      <c r="O15651" t="s">
        <v>46570</v>
      </c>
      <c r="Q15651">
        <v>29</v>
      </c>
      <c r="R15651" t="s">
        <v>46653</v>
      </c>
      <c r="S15651" t="s">
        <v>48066</v>
      </c>
      <c r="T15651" t="s">
        <v>48222</v>
      </c>
      <c r="U15651" t="s">
        <v>61343</v>
      </c>
      <c r="V15651" t="s">
        <v>63382</v>
      </c>
      <c r="W15651" t="s">
        <v>46529</v>
      </c>
      <c r="X15651" t="s">
        <v>46651</v>
      </c>
    </row>
    <row r="15652" spans="1:24">
      <c r="A15652">
        <f>HYPERLINK("https://www.philgeps.gov.ph/GEPSNONPILOT/Tender/SplashBidNoticeAbstractUI.aspx?menuIndex=3&amp;refID=6862235&amp;Result=3","6862235")</f>
        <v>0</v>
      </c>
      <c r="B15652" t="s">
        <v>1620</v>
      </c>
      <c r="C15652" t="s">
        <v>18442</v>
      </c>
      <c r="D15652" t="s">
        <v>18784</v>
      </c>
      <c r="E15652" t="s">
        <v>32362</v>
      </c>
      <c r="F15652" t="s">
        <v>32664</v>
      </c>
      <c r="G15652" t="s">
        <v>32672</v>
      </c>
      <c r="H15652" t="s">
        <v>32683</v>
      </c>
      <c r="I15652" t="s">
        <v>10627</v>
      </c>
      <c r="J15652" t="s">
        <v>42068</v>
      </c>
      <c r="K15652" t="s">
        <v>42298</v>
      </c>
      <c r="M15652" t="s">
        <v>44300</v>
      </c>
      <c r="N15652" t="s">
        <v>46569</v>
      </c>
      <c r="O15652" t="s">
        <v>46570</v>
      </c>
      <c r="Q15652">
        <v>85</v>
      </c>
      <c r="R15652" t="s">
        <v>46654</v>
      </c>
      <c r="S15652" t="s">
        <v>47192</v>
      </c>
      <c r="T15652" t="s">
        <v>48275</v>
      </c>
      <c r="U15652" t="s">
        <v>61344</v>
      </c>
      <c r="W15652" t="s">
        <v>44300</v>
      </c>
      <c r="X15652" t="s">
        <v>63624</v>
      </c>
    </row>
    <row r="15653" spans="1:24">
      <c r="A15653">
        <f>HYPERLINK("https://www.philgeps.gov.ph/GEPSNONPILOT/Tender/SplashBidNoticeAbstractUI.aspx?menuIndex=3&amp;refID=6865932&amp;Result=3","6865932")</f>
        <v>0</v>
      </c>
      <c r="B15653" t="s">
        <v>225</v>
      </c>
      <c r="C15653" t="s">
        <v>18443</v>
      </c>
      <c r="D15653" t="s">
        <v>18784</v>
      </c>
      <c r="E15653" t="s">
        <v>32363</v>
      </c>
      <c r="F15653" t="s">
        <v>32664</v>
      </c>
      <c r="G15653" t="s">
        <v>32672</v>
      </c>
      <c r="H15653" t="s">
        <v>32683</v>
      </c>
      <c r="I15653" t="s">
        <v>10627</v>
      </c>
      <c r="J15653" t="s">
        <v>42069</v>
      </c>
      <c r="K15653" t="s">
        <v>42290</v>
      </c>
      <c r="M15653" t="s">
        <v>43870</v>
      </c>
      <c r="N15653" t="s">
        <v>46569</v>
      </c>
      <c r="O15653" t="s">
        <v>46570</v>
      </c>
      <c r="Q15653">
        <v>128</v>
      </c>
      <c r="R15653" t="s">
        <v>46655</v>
      </c>
      <c r="S15653" t="s">
        <v>48067</v>
      </c>
      <c r="T15653" t="s">
        <v>48219</v>
      </c>
      <c r="U15653" t="s">
        <v>51407</v>
      </c>
      <c r="V15653" t="s">
        <v>63399</v>
      </c>
      <c r="W15653" t="s">
        <v>43870</v>
      </c>
      <c r="X15653" t="s">
        <v>46654</v>
      </c>
    </row>
    <row r="15654" spans="1:24">
      <c r="A15654">
        <f>HYPERLINK("https://www.philgeps.gov.ph/GEPSNONPILOT/Tender/SplashBidNoticeAbstractUI.aspx?menuIndex=3&amp;refID=6865257&amp;Result=3","6865257")</f>
        <v>0</v>
      </c>
      <c r="B15654" t="s">
        <v>1382</v>
      </c>
      <c r="C15654" t="s">
        <v>18444</v>
      </c>
      <c r="E15654" t="s">
        <v>32364</v>
      </c>
      <c r="F15654" t="s">
        <v>32664</v>
      </c>
      <c r="G15654" t="s">
        <v>32672</v>
      </c>
      <c r="H15654" t="s">
        <v>32683</v>
      </c>
      <c r="I15654" t="s">
        <v>10627</v>
      </c>
      <c r="J15654" t="s">
        <v>42070</v>
      </c>
      <c r="K15654" t="s">
        <v>42283</v>
      </c>
      <c r="M15654" t="s">
        <v>44037</v>
      </c>
      <c r="N15654" t="s">
        <v>46569</v>
      </c>
      <c r="O15654" t="s">
        <v>46570</v>
      </c>
      <c r="Q15654">
        <v>80</v>
      </c>
      <c r="R15654" t="s">
        <v>46655</v>
      </c>
      <c r="S15654" t="s">
        <v>46857</v>
      </c>
      <c r="T15654" t="s">
        <v>48248</v>
      </c>
      <c r="U15654" t="s">
        <v>59009</v>
      </c>
      <c r="W15654" t="s">
        <v>63589</v>
      </c>
      <c r="X15654" t="s">
        <v>46654</v>
      </c>
    </row>
    <row r="15655" spans="1:24">
      <c r="A15655">
        <f>HYPERLINK("https://www.philgeps.gov.ph/GEPSNONPILOT/Tender/SplashBidNoticeAbstractUI.aspx?menuIndex=3&amp;refID=6883288&amp;Result=3","6883288")</f>
        <v>0</v>
      </c>
      <c r="B15655" t="s">
        <v>3499</v>
      </c>
      <c r="C15655" t="s">
        <v>18445</v>
      </c>
      <c r="D15655" t="s">
        <v>18784</v>
      </c>
      <c r="E15655" t="s">
        <v>32365</v>
      </c>
      <c r="F15655" t="s">
        <v>32664</v>
      </c>
      <c r="G15655" t="s">
        <v>32672</v>
      </c>
      <c r="H15655" t="s">
        <v>12635</v>
      </c>
      <c r="I15655" t="s">
        <v>8730</v>
      </c>
      <c r="J15655" t="s">
        <v>42071</v>
      </c>
      <c r="K15655" t="s">
        <v>42289</v>
      </c>
      <c r="M15655" t="s">
        <v>46529</v>
      </c>
      <c r="N15655" t="s">
        <v>46569</v>
      </c>
      <c r="O15655" t="s">
        <v>46570</v>
      </c>
      <c r="Q15655">
        <v>33</v>
      </c>
      <c r="R15655" t="s">
        <v>46653</v>
      </c>
      <c r="S15655" t="s">
        <v>48068</v>
      </c>
      <c r="T15655" t="s">
        <v>48222</v>
      </c>
      <c r="U15655" t="s">
        <v>61345</v>
      </c>
      <c r="V15655" t="s">
        <v>63382</v>
      </c>
      <c r="W15655" t="s">
        <v>46529</v>
      </c>
      <c r="X15655" t="s">
        <v>46651</v>
      </c>
    </row>
    <row r="15656" spans="1:24">
      <c r="A15656">
        <f>HYPERLINK("https://www.philgeps.gov.ph/GEPSNONPILOT/Tender/SplashBidNoticeAbstractUI.aspx?menuIndex=3&amp;refID=6859210&amp;Result=3","6859210")</f>
        <v>0</v>
      </c>
      <c r="B15656" t="s">
        <v>2022</v>
      </c>
      <c r="C15656" t="s">
        <v>18446</v>
      </c>
      <c r="D15656" t="s">
        <v>18806</v>
      </c>
      <c r="E15656" t="s">
        <v>32366</v>
      </c>
      <c r="F15656" t="s">
        <v>32664</v>
      </c>
      <c r="G15656" t="s">
        <v>32671</v>
      </c>
      <c r="H15656" t="s">
        <v>32682</v>
      </c>
      <c r="I15656" t="s">
        <v>32701</v>
      </c>
      <c r="J15656" t="s">
        <v>33173</v>
      </c>
      <c r="K15656" t="s">
        <v>42289</v>
      </c>
      <c r="M15656" t="s">
        <v>45590</v>
      </c>
      <c r="N15656" t="s">
        <v>46569</v>
      </c>
      <c r="O15656" t="s">
        <v>46570</v>
      </c>
      <c r="Q15656">
        <v>6</v>
      </c>
      <c r="R15656" t="s">
        <v>46654</v>
      </c>
      <c r="S15656" t="s">
        <v>46720</v>
      </c>
      <c r="T15656" t="s">
        <v>48356</v>
      </c>
      <c r="U15656" t="s">
        <v>61346</v>
      </c>
      <c r="W15656" t="s">
        <v>45590</v>
      </c>
      <c r="X15656" t="s">
        <v>46663</v>
      </c>
    </row>
    <row r="15657" spans="1:24">
      <c r="A15657">
        <f>HYPERLINK("https://www.philgeps.gov.ph/GEPSNONPILOT/Tender/SplashBidNoticeAbstractUI.aspx?menuIndex=3&amp;refID=6864422&amp;Result=3","6864422")</f>
        <v>0</v>
      </c>
      <c r="B15657" t="s">
        <v>2739</v>
      </c>
      <c r="C15657" t="s">
        <v>18447</v>
      </c>
      <c r="E15657" t="s">
        <v>32367</v>
      </c>
      <c r="F15657" t="s">
        <v>32664</v>
      </c>
      <c r="G15657" t="s">
        <v>32672</v>
      </c>
      <c r="H15657" t="s">
        <v>32683</v>
      </c>
      <c r="I15657" t="s">
        <v>10627</v>
      </c>
      <c r="J15657" t="s">
        <v>42072</v>
      </c>
      <c r="K15657" t="s">
        <v>42283</v>
      </c>
      <c r="M15657" t="s">
        <v>46474</v>
      </c>
      <c r="N15657" t="s">
        <v>46569</v>
      </c>
      <c r="O15657" t="s">
        <v>46570</v>
      </c>
      <c r="Q15657">
        <v>25</v>
      </c>
      <c r="R15657" t="s">
        <v>46655</v>
      </c>
      <c r="S15657" t="s">
        <v>47773</v>
      </c>
      <c r="T15657" t="s">
        <v>48446</v>
      </c>
      <c r="U15657" t="s">
        <v>61347</v>
      </c>
      <c r="W15657" t="s">
        <v>45573</v>
      </c>
      <c r="X15657" t="s">
        <v>46654</v>
      </c>
    </row>
    <row r="15658" spans="1:24">
      <c r="A15658">
        <f>HYPERLINK("https://www.philgeps.gov.ph/GEPSNONPILOT/Tender/SplashBidNoticeAbstractUI.aspx?menuIndex=3&amp;refID=6862360&amp;Result=3","6862360")</f>
        <v>0</v>
      </c>
      <c r="B15658" t="s">
        <v>1620</v>
      </c>
      <c r="C15658" t="s">
        <v>18448</v>
      </c>
      <c r="D15658" t="s">
        <v>18784</v>
      </c>
      <c r="E15658" t="s">
        <v>32368</v>
      </c>
      <c r="F15658" t="s">
        <v>32664</v>
      </c>
      <c r="G15658" t="s">
        <v>32672</v>
      </c>
      <c r="H15658" t="s">
        <v>32683</v>
      </c>
      <c r="I15658" t="s">
        <v>10627</v>
      </c>
      <c r="J15658" t="s">
        <v>42073</v>
      </c>
      <c r="K15658" t="s">
        <v>42397</v>
      </c>
      <c r="M15658" t="s">
        <v>44300</v>
      </c>
      <c r="N15658" t="s">
        <v>46569</v>
      </c>
      <c r="O15658" t="s">
        <v>46570</v>
      </c>
      <c r="Q15658">
        <v>127</v>
      </c>
      <c r="R15658" t="s">
        <v>46654</v>
      </c>
      <c r="S15658" t="s">
        <v>48069</v>
      </c>
      <c r="T15658" t="s">
        <v>48275</v>
      </c>
      <c r="U15658" t="s">
        <v>61348</v>
      </c>
      <c r="W15658" t="s">
        <v>44300</v>
      </c>
      <c r="X15658" t="s">
        <v>63624</v>
      </c>
    </row>
    <row r="15659" spans="1:24">
      <c r="A15659">
        <f>HYPERLINK("https://www.philgeps.gov.ph/GEPSNONPILOT/Tender/SplashBidNoticeAbstractUI.aspx?menuIndex=3&amp;refID=6863861&amp;Result=3","6863861")</f>
        <v>0</v>
      </c>
      <c r="B15659" t="s">
        <v>3503</v>
      </c>
      <c r="C15659" t="s">
        <v>18449</v>
      </c>
      <c r="D15659" t="s">
        <v>18824</v>
      </c>
      <c r="E15659" t="s">
        <v>32369</v>
      </c>
      <c r="F15659" t="s">
        <v>32664</v>
      </c>
      <c r="G15659" t="s">
        <v>32672</v>
      </c>
      <c r="H15659" t="s">
        <v>32683</v>
      </c>
      <c r="I15659" t="s">
        <v>10627</v>
      </c>
      <c r="J15659" t="s">
        <v>42074</v>
      </c>
      <c r="K15659" t="s">
        <v>42290</v>
      </c>
      <c r="M15659" t="s">
        <v>46530</v>
      </c>
      <c r="N15659" t="s">
        <v>46569</v>
      </c>
      <c r="O15659" t="s">
        <v>46570</v>
      </c>
      <c r="Q15659">
        <v>5</v>
      </c>
      <c r="R15659" t="s">
        <v>46655</v>
      </c>
      <c r="S15659" t="s">
        <v>48070</v>
      </c>
      <c r="T15659" t="s">
        <v>48767</v>
      </c>
      <c r="U15659" t="s">
        <v>61349</v>
      </c>
      <c r="W15659" t="s">
        <v>46530</v>
      </c>
      <c r="X15659" t="s">
        <v>46654</v>
      </c>
    </row>
    <row r="15660" spans="1:24">
      <c r="A15660">
        <f>HYPERLINK("https://www.philgeps.gov.ph/GEPSNONPILOT/Tender/SplashBidNoticeAbstractUI.aspx?menuIndex=3&amp;refID=6867749&amp;Result=3","6867749")</f>
        <v>0</v>
      </c>
      <c r="B15660" t="s">
        <v>278</v>
      </c>
      <c r="C15660" t="s">
        <v>18450</v>
      </c>
      <c r="D15660" t="s">
        <v>18834</v>
      </c>
      <c r="E15660" t="s">
        <v>32370</v>
      </c>
      <c r="F15660" t="s">
        <v>32664</v>
      </c>
      <c r="G15660" t="s">
        <v>32671</v>
      </c>
      <c r="H15660" t="s">
        <v>12635</v>
      </c>
      <c r="I15660" t="s">
        <v>32704</v>
      </c>
      <c r="J15660" t="s">
        <v>33657</v>
      </c>
      <c r="K15660" t="s">
        <v>42281</v>
      </c>
      <c r="M15660" t="s">
        <v>42843</v>
      </c>
      <c r="N15660" t="s">
        <v>46569</v>
      </c>
      <c r="O15660" t="s">
        <v>46570</v>
      </c>
      <c r="Q15660">
        <v>51</v>
      </c>
      <c r="R15660" t="s">
        <v>46656</v>
      </c>
      <c r="S15660" t="s">
        <v>46713</v>
      </c>
      <c r="T15660" t="s">
        <v>48280</v>
      </c>
      <c r="U15660" t="s">
        <v>61275</v>
      </c>
      <c r="W15660" t="s">
        <v>63602</v>
      </c>
      <c r="X15660" t="s">
        <v>63625</v>
      </c>
    </row>
    <row r="15661" spans="1:24">
      <c r="A15661">
        <f>HYPERLINK("https://www.philgeps.gov.ph/GEPSNONPILOT/Tender/SplashBidNoticeAbstractUI.aspx?menuIndex=3&amp;refID=6864471&amp;Result=3","6864471")</f>
        <v>0</v>
      </c>
      <c r="B15661" t="s">
        <v>2739</v>
      </c>
      <c r="C15661" t="s">
        <v>18451</v>
      </c>
      <c r="E15661" t="s">
        <v>32371</v>
      </c>
      <c r="F15661" t="s">
        <v>32664</v>
      </c>
      <c r="G15661" t="s">
        <v>32672</v>
      </c>
      <c r="H15661" t="s">
        <v>32683</v>
      </c>
      <c r="I15661" t="s">
        <v>10627</v>
      </c>
      <c r="J15661" t="s">
        <v>42075</v>
      </c>
      <c r="K15661" t="s">
        <v>42283</v>
      </c>
      <c r="M15661" t="s">
        <v>46531</v>
      </c>
      <c r="N15661" t="s">
        <v>46569</v>
      </c>
      <c r="O15661" t="s">
        <v>46570</v>
      </c>
      <c r="Q15661">
        <v>14</v>
      </c>
      <c r="R15661" t="s">
        <v>46655</v>
      </c>
      <c r="S15661" t="s">
        <v>47303</v>
      </c>
      <c r="T15661" t="s">
        <v>48446</v>
      </c>
      <c r="U15661" t="s">
        <v>61350</v>
      </c>
      <c r="W15661" t="s">
        <v>45573</v>
      </c>
      <c r="X15661" t="s">
        <v>46654</v>
      </c>
    </row>
    <row r="15662" spans="1:24">
      <c r="A15662">
        <f>HYPERLINK("https://www.philgeps.gov.ph/GEPSNONPILOT/Tender/SplashBidNoticeAbstractUI.aspx?menuIndex=3&amp;refID=6867329&amp;Result=3","6867329")</f>
        <v>0</v>
      </c>
      <c r="B15662" t="s">
        <v>1558</v>
      </c>
      <c r="C15662" t="s">
        <v>18452</v>
      </c>
      <c r="D15662" t="s">
        <v>18801</v>
      </c>
      <c r="E15662" t="s">
        <v>32372</v>
      </c>
      <c r="F15662" t="s">
        <v>32664</v>
      </c>
      <c r="G15662" t="s">
        <v>32672</v>
      </c>
      <c r="H15662" t="s">
        <v>12635</v>
      </c>
      <c r="I15662" t="s">
        <v>11464</v>
      </c>
      <c r="J15662" t="s">
        <v>39052</v>
      </c>
      <c r="K15662" t="s">
        <v>42281</v>
      </c>
      <c r="M15662" t="s">
        <v>46513</v>
      </c>
      <c r="N15662" t="s">
        <v>46569</v>
      </c>
      <c r="O15662" t="s">
        <v>46570</v>
      </c>
      <c r="Q15662">
        <v>8</v>
      </c>
      <c r="R15662" t="s">
        <v>46656</v>
      </c>
      <c r="S15662" t="s">
        <v>47615</v>
      </c>
      <c r="T15662" t="s">
        <v>48768</v>
      </c>
      <c r="U15662" t="s">
        <v>61351</v>
      </c>
      <c r="W15662" t="s">
        <v>46513</v>
      </c>
      <c r="X15662" t="s">
        <v>63625</v>
      </c>
    </row>
    <row r="15663" spans="1:24">
      <c r="A15663">
        <f>HYPERLINK("https://www.philgeps.gov.ph/GEPSNONPILOT/Tender/SplashBidNoticeAbstractUI.aspx?menuIndex=3&amp;refID=6872184&amp;Result=3","6872184")</f>
        <v>0</v>
      </c>
      <c r="B15663" t="s">
        <v>895</v>
      </c>
      <c r="C15663" t="s">
        <v>18453</v>
      </c>
      <c r="D15663" t="s">
        <v>18784</v>
      </c>
      <c r="E15663" t="s">
        <v>32373</v>
      </c>
      <c r="F15663" t="s">
        <v>32664</v>
      </c>
      <c r="G15663" t="s">
        <v>32674</v>
      </c>
      <c r="H15663" t="s">
        <v>12635</v>
      </c>
      <c r="I15663" t="s">
        <v>5589</v>
      </c>
      <c r="J15663" t="s">
        <v>33015</v>
      </c>
      <c r="K15663" t="s">
        <v>42284</v>
      </c>
      <c r="M15663" t="s">
        <v>43499</v>
      </c>
      <c r="N15663" t="s">
        <v>46569</v>
      </c>
      <c r="O15663" t="s">
        <v>46570</v>
      </c>
      <c r="Q15663">
        <v>9</v>
      </c>
      <c r="R15663" t="s">
        <v>46650</v>
      </c>
      <c r="S15663" t="s">
        <v>48071</v>
      </c>
      <c r="T15663" t="s">
        <v>48219</v>
      </c>
      <c r="U15663" t="s">
        <v>61352</v>
      </c>
      <c r="W15663" t="s">
        <v>43499</v>
      </c>
      <c r="X15663" t="s">
        <v>46656</v>
      </c>
    </row>
    <row r="15664" spans="1:24">
      <c r="A15664">
        <f>HYPERLINK("https://www.philgeps.gov.ph/GEPSNONPILOT/Tender/SplashBidNoticeAbstractUI.aspx?menuIndex=3&amp;refID=6885420&amp;Result=3","6885420")</f>
        <v>0</v>
      </c>
      <c r="B15664" t="s">
        <v>366</v>
      </c>
      <c r="C15664" t="s">
        <v>18454</v>
      </c>
      <c r="D15664" t="s">
        <v>18785</v>
      </c>
      <c r="E15664" t="s">
        <v>32374</v>
      </c>
      <c r="F15664" t="s">
        <v>32664</v>
      </c>
      <c r="G15664" t="s">
        <v>32672</v>
      </c>
      <c r="H15664" t="s">
        <v>32681</v>
      </c>
      <c r="I15664" t="s">
        <v>32681</v>
      </c>
      <c r="J15664" t="s">
        <v>33009</v>
      </c>
      <c r="K15664" t="s">
        <v>42342</v>
      </c>
      <c r="M15664" t="s">
        <v>46532</v>
      </c>
      <c r="N15664" t="s">
        <v>46569</v>
      </c>
      <c r="O15664" t="s">
        <v>46570</v>
      </c>
      <c r="Q15664">
        <v>10</v>
      </c>
      <c r="R15664" t="s">
        <v>46657</v>
      </c>
      <c r="S15664" t="s">
        <v>48072</v>
      </c>
      <c r="T15664" t="s">
        <v>48769</v>
      </c>
      <c r="U15664" t="s">
        <v>61353</v>
      </c>
      <c r="W15664" t="s">
        <v>46532</v>
      </c>
      <c r="X15664" t="s">
        <v>63626</v>
      </c>
    </row>
    <row r="15665" spans="1:24">
      <c r="A15665">
        <f>HYPERLINK("https://www.philgeps.gov.ph/GEPSNONPILOT/Tender/SplashBidNoticeAbstractUI.aspx?menuIndex=3&amp;refID=6863385&amp;Result=3","6863385")</f>
        <v>0</v>
      </c>
      <c r="B15665" t="s">
        <v>225</v>
      </c>
      <c r="C15665" t="s">
        <v>18455</v>
      </c>
      <c r="D15665" t="s">
        <v>18784</v>
      </c>
      <c r="E15665" t="s">
        <v>32375</v>
      </c>
      <c r="F15665" t="s">
        <v>32664</v>
      </c>
      <c r="G15665" t="s">
        <v>32672</v>
      </c>
      <c r="H15665" t="s">
        <v>32683</v>
      </c>
      <c r="I15665" t="s">
        <v>10627</v>
      </c>
      <c r="J15665" t="s">
        <v>42076</v>
      </c>
      <c r="K15665" t="s">
        <v>42311</v>
      </c>
      <c r="M15665" t="s">
        <v>43870</v>
      </c>
      <c r="N15665" t="s">
        <v>46569</v>
      </c>
      <c r="O15665" t="s">
        <v>46570</v>
      </c>
      <c r="Q15665">
        <v>100</v>
      </c>
      <c r="R15665" t="s">
        <v>46655</v>
      </c>
      <c r="S15665" t="s">
        <v>48073</v>
      </c>
      <c r="T15665" t="s">
        <v>48219</v>
      </c>
      <c r="U15665" t="s">
        <v>61354</v>
      </c>
      <c r="V15665" t="s">
        <v>63400</v>
      </c>
      <c r="W15665" t="s">
        <v>43870</v>
      </c>
      <c r="X15665" t="s">
        <v>63624</v>
      </c>
    </row>
    <row r="15666" spans="1:24">
      <c r="A15666">
        <f>HYPERLINK("https://www.philgeps.gov.ph/GEPSNONPILOT/Tender/SplashBidNoticeAbstractUI.aspx?menuIndex=3&amp;refID=6888839&amp;Result=3","6888839")</f>
        <v>0</v>
      </c>
      <c r="B15666" t="s">
        <v>3504</v>
      </c>
      <c r="C15666" t="s">
        <v>18456</v>
      </c>
      <c r="D15666" t="s">
        <v>18784</v>
      </c>
      <c r="E15666" t="s">
        <v>32376</v>
      </c>
      <c r="F15666" t="s">
        <v>32664</v>
      </c>
      <c r="G15666" t="s">
        <v>32671</v>
      </c>
      <c r="H15666" t="s">
        <v>12635</v>
      </c>
      <c r="I15666" t="s">
        <v>6223</v>
      </c>
      <c r="J15666" t="s">
        <v>42077</v>
      </c>
      <c r="K15666" t="s">
        <v>42289</v>
      </c>
      <c r="M15666" t="s">
        <v>46533</v>
      </c>
      <c r="N15666" t="s">
        <v>46569</v>
      </c>
      <c r="O15666" t="s">
        <v>46570</v>
      </c>
      <c r="Q15666">
        <v>2</v>
      </c>
      <c r="R15666" t="s">
        <v>46647</v>
      </c>
      <c r="S15666" t="s">
        <v>48074</v>
      </c>
      <c r="T15666" t="s">
        <v>48427</v>
      </c>
      <c r="U15666" t="s">
        <v>61355</v>
      </c>
      <c r="W15666" t="s">
        <v>46533</v>
      </c>
      <c r="X15666" t="s">
        <v>46657</v>
      </c>
    </row>
    <row r="15667" spans="1:24">
      <c r="A15667">
        <f>HYPERLINK("https://www.philgeps.gov.ph/GEPSNONPILOT/Tender/SplashBidNoticeAbstractUI.aspx?menuIndex=3&amp;refID=6871415&amp;Result=3","6871415")</f>
        <v>0</v>
      </c>
      <c r="B15667" t="s">
        <v>1439</v>
      </c>
      <c r="C15667" t="s">
        <v>18457</v>
      </c>
      <c r="E15667" t="s">
        <v>32377</v>
      </c>
      <c r="F15667" t="s">
        <v>32664</v>
      </c>
      <c r="G15667" t="s">
        <v>32672</v>
      </c>
      <c r="H15667" t="s">
        <v>32683</v>
      </c>
      <c r="I15667" t="s">
        <v>10627</v>
      </c>
      <c r="J15667" t="s">
        <v>37271</v>
      </c>
      <c r="K15667" t="s">
        <v>42312</v>
      </c>
      <c r="N15667" t="s">
        <v>46569</v>
      </c>
      <c r="O15667" t="s">
        <v>46570</v>
      </c>
      <c r="Q15667">
        <v>6</v>
      </c>
      <c r="R15667" t="s">
        <v>46650</v>
      </c>
      <c r="S15667" t="s">
        <v>48075</v>
      </c>
      <c r="T15667" t="s">
        <v>48287</v>
      </c>
      <c r="U15667" t="s">
        <v>61356</v>
      </c>
      <c r="V15667" t="s">
        <v>63401</v>
      </c>
      <c r="W15667" t="s">
        <v>44100</v>
      </c>
      <c r="X15667" t="s">
        <v>46656</v>
      </c>
    </row>
    <row r="15668" spans="1:24">
      <c r="A15668">
        <f>HYPERLINK("https://www.philgeps.gov.ph/GEPSNONPILOT/Tender/SplashBidNoticeAbstractUI.aspx?menuIndex=3&amp;refID=6888832&amp;Result=3","6888832")</f>
        <v>0</v>
      </c>
      <c r="B15668" t="s">
        <v>3504</v>
      </c>
      <c r="C15668" t="s">
        <v>18458</v>
      </c>
      <c r="D15668" t="s">
        <v>18784</v>
      </c>
      <c r="E15668" t="s">
        <v>32378</v>
      </c>
      <c r="F15668" t="s">
        <v>32664</v>
      </c>
      <c r="G15668" t="s">
        <v>32671</v>
      </c>
      <c r="H15668" t="s">
        <v>12635</v>
      </c>
      <c r="I15668" t="s">
        <v>6223</v>
      </c>
      <c r="J15668" t="s">
        <v>42077</v>
      </c>
      <c r="K15668" t="s">
        <v>42289</v>
      </c>
      <c r="M15668" t="s">
        <v>46533</v>
      </c>
      <c r="N15668" t="s">
        <v>46569</v>
      </c>
      <c r="O15668" t="s">
        <v>46570</v>
      </c>
      <c r="Q15668">
        <v>2</v>
      </c>
      <c r="R15668" t="s">
        <v>46647</v>
      </c>
      <c r="S15668" t="s">
        <v>48076</v>
      </c>
      <c r="T15668" t="s">
        <v>48427</v>
      </c>
      <c r="U15668" t="s">
        <v>61355</v>
      </c>
      <c r="W15668" t="s">
        <v>46533</v>
      </c>
      <c r="X15668" t="s">
        <v>46657</v>
      </c>
    </row>
    <row r="15669" spans="1:24">
      <c r="A15669">
        <f>HYPERLINK("https://www.philgeps.gov.ph/GEPSNONPILOT/Tender/SplashBidNoticeAbstractUI.aspx?menuIndex=3&amp;refID=6890206&amp;Result=3","6890206")</f>
        <v>0</v>
      </c>
      <c r="B15669" t="s">
        <v>410</v>
      </c>
      <c r="C15669" t="s">
        <v>18459</v>
      </c>
      <c r="D15669" t="s">
        <v>18784</v>
      </c>
      <c r="E15669" t="s">
        <v>32379</v>
      </c>
      <c r="F15669" t="s">
        <v>32664</v>
      </c>
      <c r="G15669" t="s">
        <v>32672</v>
      </c>
      <c r="H15669" t="s">
        <v>32683</v>
      </c>
      <c r="I15669" t="s">
        <v>10627</v>
      </c>
      <c r="J15669" t="s">
        <v>42078</v>
      </c>
      <c r="K15669" t="s">
        <v>42539</v>
      </c>
      <c r="M15669" t="s">
        <v>42981</v>
      </c>
      <c r="N15669" t="s">
        <v>46569</v>
      </c>
      <c r="O15669" t="s">
        <v>46570</v>
      </c>
      <c r="Q15669">
        <v>24</v>
      </c>
      <c r="R15669" t="s">
        <v>46648</v>
      </c>
      <c r="S15669" t="s">
        <v>48077</v>
      </c>
      <c r="T15669" t="s">
        <v>48258</v>
      </c>
      <c r="U15669" t="s">
        <v>61357</v>
      </c>
      <c r="W15669" t="s">
        <v>42981</v>
      </c>
      <c r="X15669" t="s">
        <v>46649</v>
      </c>
    </row>
    <row r="15670" spans="1:24">
      <c r="A15670">
        <f>HYPERLINK("https://www.philgeps.gov.ph/GEPSNONPILOT/Tender/SplashBidNoticeAbstractUI.aspx?menuIndex=3&amp;refID=6890058&amp;Result=3","6890058")</f>
        <v>0</v>
      </c>
      <c r="B15670" t="s">
        <v>278</v>
      </c>
      <c r="C15670" t="s">
        <v>18460</v>
      </c>
      <c r="D15670" t="s">
        <v>18834</v>
      </c>
      <c r="E15670" t="s">
        <v>32380</v>
      </c>
      <c r="F15670" t="s">
        <v>32664</v>
      </c>
      <c r="G15670" t="s">
        <v>32674</v>
      </c>
      <c r="H15670" t="s">
        <v>12635</v>
      </c>
      <c r="I15670" t="s">
        <v>32727</v>
      </c>
      <c r="J15670" t="s">
        <v>42079</v>
      </c>
      <c r="K15670" t="s">
        <v>42281</v>
      </c>
      <c r="M15670" t="s">
        <v>42843</v>
      </c>
      <c r="N15670" t="s">
        <v>46569</v>
      </c>
      <c r="O15670" t="s">
        <v>46570</v>
      </c>
      <c r="Q15670">
        <v>5</v>
      </c>
      <c r="R15670" t="s">
        <v>46648</v>
      </c>
      <c r="S15670" t="s">
        <v>48078</v>
      </c>
      <c r="T15670" t="s">
        <v>48256</v>
      </c>
      <c r="U15670" t="s">
        <v>61275</v>
      </c>
      <c r="W15670" t="s">
        <v>63602</v>
      </c>
      <c r="X15670" t="s">
        <v>46649</v>
      </c>
    </row>
    <row r="15671" spans="1:24">
      <c r="A15671">
        <f>HYPERLINK("https://www.philgeps.gov.ph/GEPSNONPILOT/Tender/SplashBidNoticeAbstractUI.aspx?menuIndex=3&amp;refID=6885415&amp;Result=3","6885415")</f>
        <v>0</v>
      </c>
      <c r="B15671" t="s">
        <v>366</v>
      </c>
      <c r="C15671" t="s">
        <v>18461</v>
      </c>
      <c r="D15671" t="s">
        <v>18785</v>
      </c>
      <c r="E15671" t="s">
        <v>32381</v>
      </c>
      <c r="F15671" t="s">
        <v>32664</v>
      </c>
      <c r="G15671" t="s">
        <v>32672</v>
      </c>
      <c r="H15671" t="s">
        <v>32681</v>
      </c>
      <c r="I15671" t="s">
        <v>32681</v>
      </c>
      <c r="J15671" t="s">
        <v>33009</v>
      </c>
      <c r="K15671" t="s">
        <v>42342</v>
      </c>
      <c r="M15671" t="s">
        <v>46532</v>
      </c>
      <c r="N15671" t="s">
        <v>46569</v>
      </c>
      <c r="O15671" t="s">
        <v>46570</v>
      </c>
      <c r="Q15671">
        <v>10</v>
      </c>
      <c r="R15671" t="s">
        <v>46657</v>
      </c>
      <c r="S15671" t="s">
        <v>48079</v>
      </c>
      <c r="T15671" t="s">
        <v>48343</v>
      </c>
      <c r="U15671" t="s">
        <v>61358</v>
      </c>
      <c r="W15671" t="s">
        <v>46532</v>
      </c>
      <c r="X15671" t="s">
        <v>63626</v>
      </c>
    </row>
    <row r="15672" spans="1:24">
      <c r="A15672">
        <f>HYPERLINK("https://www.philgeps.gov.ph/GEPSNONPILOT/Tender/SplashBidNoticeAbstractUI.aspx?menuIndex=3&amp;refID=6889527&amp;Result=3","6889527")</f>
        <v>0</v>
      </c>
      <c r="B15672" t="s">
        <v>3505</v>
      </c>
      <c r="C15672" t="s">
        <v>18462</v>
      </c>
      <c r="D15672" t="s">
        <v>18826</v>
      </c>
      <c r="E15672" t="s">
        <v>19484</v>
      </c>
      <c r="F15672" t="s">
        <v>32664</v>
      </c>
      <c r="G15672" t="s">
        <v>32672</v>
      </c>
      <c r="H15672" t="s">
        <v>32683</v>
      </c>
      <c r="I15672" t="s">
        <v>10627</v>
      </c>
      <c r="J15672" t="s">
        <v>38494</v>
      </c>
      <c r="K15672" t="s">
        <v>42285</v>
      </c>
      <c r="M15672" t="s">
        <v>46534</v>
      </c>
      <c r="N15672" t="s">
        <v>46569</v>
      </c>
      <c r="O15672" t="s">
        <v>46570</v>
      </c>
      <c r="Q15672">
        <v>57</v>
      </c>
      <c r="R15672" t="s">
        <v>46648</v>
      </c>
      <c r="S15672" t="s">
        <v>48080</v>
      </c>
      <c r="T15672" t="s">
        <v>48410</v>
      </c>
      <c r="U15672" t="s">
        <v>61359</v>
      </c>
      <c r="W15672" t="s">
        <v>46534</v>
      </c>
      <c r="X15672" t="s">
        <v>46647</v>
      </c>
    </row>
    <row r="15673" spans="1:24">
      <c r="A15673">
        <f>HYPERLINK("https://www.philgeps.gov.ph/GEPSNONPILOT/Tender/SplashBidNoticeAbstractUI.aspx?menuIndex=3&amp;refID=6880085&amp;Result=3","6880085")</f>
        <v>0</v>
      </c>
      <c r="B15673" t="s">
        <v>3502</v>
      </c>
      <c r="C15673" t="s">
        <v>18463</v>
      </c>
      <c r="D15673" t="s">
        <v>18831</v>
      </c>
      <c r="E15673" t="s">
        <v>32382</v>
      </c>
      <c r="F15673" t="s">
        <v>32664</v>
      </c>
      <c r="G15673" t="s">
        <v>32672</v>
      </c>
      <c r="H15673" t="s">
        <v>12635</v>
      </c>
      <c r="I15673" t="s">
        <v>32704</v>
      </c>
      <c r="J15673" t="s">
        <v>34329</v>
      </c>
      <c r="K15673" t="s">
        <v>42297</v>
      </c>
      <c r="M15673" t="s">
        <v>46526</v>
      </c>
      <c r="N15673" t="s">
        <v>46569</v>
      </c>
      <c r="O15673" t="s">
        <v>46570</v>
      </c>
      <c r="Q15673">
        <v>14</v>
      </c>
      <c r="R15673" t="s">
        <v>46651</v>
      </c>
      <c r="S15673" t="s">
        <v>47908</v>
      </c>
      <c r="T15673" t="s">
        <v>48557</v>
      </c>
      <c r="U15673" t="s">
        <v>61330</v>
      </c>
      <c r="V15673" t="s">
        <v>63394</v>
      </c>
      <c r="W15673" t="s">
        <v>46526</v>
      </c>
      <c r="X15673" t="s">
        <v>46652</v>
      </c>
    </row>
    <row r="15674" spans="1:24">
      <c r="A15674">
        <f>HYPERLINK("https://www.philgeps.gov.ph/GEPSNONPILOT/Tender/SplashBidNoticeAbstractUI.aspx?menuIndex=3&amp;refID=6889520&amp;Result=3","6889520")</f>
        <v>0</v>
      </c>
      <c r="B15674" t="s">
        <v>3505</v>
      </c>
      <c r="C15674" t="s">
        <v>18464</v>
      </c>
      <c r="D15674" t="s">
        <v>18797</v>
      </c>
      <c r="E15674" t="s">
        <v>22276</v>
      </c>
      <c r="F15674" t="s">
        <v>32664</v>
      </c>
      <c r="G15674" t="s">
        <v>32672</v>
      </c>
      <c r="H15674" t="s">
        <v>32683</v>
      </c>
      <c r="I15674" t="s">
        <v>10627</v>
      </c>
      <c r="J15674" t="s">
        <v>42080</v>
      </c>
      <c r="K15674" t="s">
        <v>42308</v>
      </c>
      <c r="M15674" t="s">
        <v>46534</v>
      </c>
      <c r="N15674" t="s">
        <v>46569</v>
      </c>
      <c r="O15674" t="s">
        <v>46570</v>
      </c>
      <c r="Q15674">
        <v>65</v>
      </c>
      <c r="R15674" t="s">
        <v>46648</v>
      </c>
      <c r="S15674" t="s">
        <v>48081</v>
      </c>
      <c r="T15674" t="s">
        <v>48258</v>
      </c>
      <c r="U15674" t="s">
        <v>61359</v>
      </c>
      <c r="W15674" t="s">
        <v>46534</v>
      </c>
      <c r="X15674" t="s">
        <v>46647</v>
      </c>
    </row>
    <row r="15675" spans="1:24">
      <c r="A15675">
        <f>HYPERLINK("https://www.philgeps.gov.ph/GEPSNONPILOT/Tender/SplashBidNoticeAbstractUI.aspx?menuIndex=3&amp;refID=6864479&amp;Result=3","6864479")</f>
        <v>0</v>
      </c>
      <c r="B15675" t="s">
        <v>2739</v>
      </c>
      <c r="C15675" t="s">
        <v>18465</v>
      </c>
      <c r="E15675" t="s">
        <v>32383</v>
      </c>
      <c r="F15675" t="s">
        <v>32664</v>
      </c>
      <c r="G15675" t="s">
        <v>32672</v>
      </c>
      <c r="H15675" t="s">
        <v>12635</v>
      </c>
      <c r="I15675" t="s">
        <v>32684</v>
      </c>
      <c r="J15675" t="s">
        <v>42081</v>
      </c>
      <c r="K15675" t="s">
        <v>42283</v>
      </c>
      <c r="M15675" t="s">
        <v>45573</v>
      </c>
      <c r="N15675" t="s">
        <v>46569</v>
      </c>
      <c r="O15675" t="s">
        <v>46570</v>
      </c>
      <c r="Q15675">
        <v>16</v>
      </c>
      <c r="R15675" t="s">
        <v>46655</v>
      </c>
      <c r="S15675" t="s">
        <v>48082</v>
      </c>
      <c r="T15675" t="s">
        <v>48287</v>
      </c>
      <c r="U15675" t="s">
        <v>61360</v>
      </c>
      <c r="V15675" t="s">
        <v>63402</v>
      </c>
      <c r="W15675" t="s">
        <v>45573</v>
      </c>
      <c r="X15675" t="s">
        <v>46654</v>
      </c>
    </row>
    <row r="15676" spans="1:24">
      <c r="A15676">
        <f>HYPERLINK("https://www.philgeps.gov.ph/GEPSNONPILOT/Tender/SplashBidNoticeAbstractUI.aspx?menuIndex=3&amp;refID=6862279&amp;Result=3","6862279")</f>
        <v>0</v>
      </c>
      <c r="B15676" t="s">
        <v>1620</v>
      </c>
      <c r="C15676" t="s">
        <v>18466</v>
      </c>
      <c r="D15676" t="s">
        <v>18784</v>
      </c>
      <c r="E15676" t="s">
        <v>32384</v>
      </c>
      <c r="F15676" t="s">
        <v>32664</v>
      </c>
      <c r="G15676" t="s">
        <v>32672</v>
      </c>
      <c r="H15676" t="s">
        <v>32683</v>
      </c>
      <c r="I15676" t="s">
        <v>10627</v>
      </c>
      <c r="J15676" t="s">
        <v>42082</v>
      </c>
      <c r="K15676" t="s">
        <v>42285</v>
      </c>
      <c r="M15676" t="s">
        <v>44300</v>
      </c>
      <c r="N15676" t="s">
        <v>46569</v>
      </c>
      <c r="O15676" t="s">
        <v>46570</v>
      </c>
      <c r="Q15676">
        <v>110</v>
      </c>
      <c r="R15676" t="s">
        <v>46654</v>
      </c>
      <c r="S15676" t="s">
        <v>48083</v>
      </c>
      <c r="T15676" t="s">
        <v>48275</v>
      </c>
      <c r="U15676" t="s">
        <v>61361</v>
      </c>
      <c r="W15676" t="s">
        <v>44300</v>
      </c>
      <c r="X15676" t="s">
        <v>63624</v>
      </c>
    </row>
    <row r="15677" spans="1:24">
      <c r="A15677">
        <f>HYPERLINK("https://www.philgeps.gov.ph/GEPSNONPILOT/Tender/SplashBidNoticeAbstractUI.aspx?menuIndex=3&amp;refID=6889538&amp;Result=3","6889538")</f>
        <v>0</v>
      </c>
      <c r="B15677" t="s">
        <v>3505</v>
      </c>
      <c r="C15677" t="s">
        <v>18467</v>
      </c>
      <c r="D15677" t="s">
        <v>18826</v>
      </c>
      <c r="E15677" t="s">
        <v>20076</v>
      </c>
      <c r="F15677" t="s">
        <v>32664</v>
      </c>
      <c r="G15677" t="s">
        <v>32672</v>
      </c>
      <c r="H15677" t="s">
        <v>32683</v>
      </c>
      <c r="I15677" t="s">
        <v>10627</v>
      </c>
      <c r="J15677" t="s">
        <v>38494</v>
      </c>
      <c r="K15677" t="s">
        <v>42285</v>
      </c>
      <c r="M15677" t="s">
        <v>46534</v>
      </c>
      <c r="N15677" t="s">
        <v>46569</v>
      </c>
      <c r="O15677" t="s">
        <v>46570</v>
      </c>
      <c r="Q15677">
        <v>55</v>
      </c>
      <c r="R15677" t="s">
        <v>46648</v>
      </c>
      <c r="S15677" t="s">
        <v>48080</v>
      </c>
      <c r="T15677" t="s">
        <v>48410</v>
      </c>
      <c r="U15677" t="s">
        <v>61359</v>
      </c>
      <c r="W15677" t="s">
        <v>46534</v>
      </c>
      <c r="X15677" t="s">
        <v>46647</v>
      </c>
    </row>
    <row r="15678" spans="1:24">
      <c r="A15678">
        <f>HYPERLINK("https://www.philgeps.gov.ph/GEPSNONPILOT/Tender/SplashBidNoticeAbstractUI.aspx?menuIndex=3&amp;refID=6830220&amp;Result=3","6830220")</f>
        <v>0</v>
      </c>
      <c r="B15678" t="s">
        <v>49</v>
      </c>
      <c r="C15678" t="s">
        <v>18468</v>
      </c>
      <c r="D15678" t="s">
        <v>18799</v>
      </c>
      <c r="E15678" t="s">
        <v>32385</v>
      </c>
      <c r="F15678" t="s">
        <v>32664</v>
      </c>
      <c r="G15678" t="s">
        <v>32672</v>
      </c>
      <c r="H15678" t="s">
        <v>32683</v>
      </c>
      <c r="I15678" t="s">
        <v>10627</v>
      </c>
      <c r="J15678" t="s">
        <v>42083</v>
      </c>
      <c r="K15678" t="s">
        <v>42518</v>
      </c>
      <c r="M15678" t="s">
        <v>42611</v>
      </c>
      <c r="N15678" t="s">
        <v>46569</v>
      </c>
      <c r="O15678" t="s">
        <v>46570</v>
      </c>
      <c r="Q15678">
        <v>14</v>
      </c>
      <c r="R15678" t="s">
        <v>46658</v>
      </c>
      <c r="S15678" t="s">
        <v>48084</v>
      </c>
      <c r="T15678" t="s">
        <v>48356</v>
      </c>
      <c r="U15678" t="s">
        <v>61362</v>
      </c>
      <c r="V15678" t="s">
        <v>61619</v>
      </c>
      <c r="W15678" t="s">
        <v>63463</v>
      </c>
      <c r="X15678" t="s">
        <v>46681</v>
      </c>
    </row>
    <row r="15679" spans="1:24">
      <c r="A15679">
        <f>HYPERLINK("https://www.philgeps.gov.ph/GEPSNONPILOT/Tender/SplashBidNoticeAbstractUI.aspx?menuIndex=3&amp;refID=6837908&amp;Result=3","6837908")</f>
        <v>0</v>
      </c>
      <c r="B15679" t="s">
        <v>1572</v>
      </c>
      <c r="C15679" t="s">
        <v>18469</v>
      </c>
      <c r="D15679" t="s">
        <v>18798</v>
      </c>
      <c r="E15679" t="s">
        <v>32386</v>
      </c>
      <c r="F15679" t="s">
        <v>32664</v>
      </c>
      <c r="G15679" t="s">
        <v>32671</v>
      </c>
      <c r="H15679" t="s">
        <v>32683</v>
      </c>
      <c r="I15679" t="s">
        <v>10627</v>
      </c>
      <c r="J15679" t="s">
        <v>42084</v>
      </c>
      <c r="K15679" t="s">
        <v>42289</v>
      </c>
      <c r="M15679" t="s">
        <v>44247</v>
      </c>
      <c r="N15679" t="s">
        <v>46569</v>
      </c>
      <c r="O15679" t="s">
        <v>46570</v>
      </c>
      <c r="Q15679">
        <v>4</v>
      </c>
      <c r="R15679" t="s">
        <v>46659</v>
      </c>
      <c r="S15679" t="s">
        <v>46852</v>
      </c>
      <c r="T15679" t="s">
        <v>48280</v>
      </c>
      <c r="U15679" t="s">
        <v>61363</v>
      </c>
      <c r="V15679" t="s">
        <v>62071</v>
      </c>
      <c r="W15679" t="s">
        <v>44247</v>
      </c>
      <c r="X15679" t="s">
        <v>63627</v>
      </c>
    </row>
    <row r="15680" spans="1:24">
      <c r="A15680">
        <f>HYPERLINK("https://www.philgeps.gov.ph/GEPSNONPILOT/Tender/SplashBidNoticeAbstractUI.aspx?menuIndex=3&amp;refID=6897592&amp;Result=3","6897592")</f>
        <v>0</v>
      </c>
      <c r="B15680" t="s">
        <v>3492</v>
      </c>
      <c r="C15680" t="s">
        <v>18470</v>
      </c>
      <c r="D15680" t="s">
        <v>18784</v>
      </c>
      <c r="E15680" t="s">
        <v>32387</v>
      </c>
      <c r="F15680" t="s">
        <v>32664</v>
      </c>
      <c r="G15680" t="s">
        <v>32675</v>
      </c>
      <c r="H15680" t="s">
        <v>12635</v>
      </c>
      <c r="I15680" t="s">
        <v>5589</v>
      </c>
      <c r="J15680" t="s">
        <v>33790</v>
      </c>
      <c r="K15680" t="s">
        <v>42305</v>
      </c>
      <c r="M15680" t="s">
        <v>46507</v>
      </c>
      <c r="N15680" t="s">
        <v>46569</v>
      </c>
      <c r="O15680" t="s">
        <v>46570</v>
      </c>
      <c r="Q15680">
        <v>6</v>
      </c>
      <c r="R15680" t="s">
        <v>46646</v>
      </c>
      <c r="S15680" t="s">
        <v>47143</v>
      </c>
      <c r="T15680" t="s">
        <v>48316</v>
      </c>
      <c r="U15680" t="s">
        <v>61364</v>
      </c>
      <c r="W15680" t="s">
        <v>46507</v>
      </c>
      <c r="X15680" t="s">
        <v>46644</v>
      </c>
    </row>
    <row r="15681" spans="1:24">
      <c r="A15681">
        <f>HYPERLINK("https://www.philgeps.gov.ph/GEPSNONPILOT/Tender/SplashBidNoticeAbstractUI.aspx?menuIndex=3&amp;refID=6896896&amp;Result=3","6896896")</f>
        <v>0</v>
      </c>
      <c r="B15681" t="s">
        <v>3309</v>
      </c>
      <c r="C15681" t="s">
        <v>18471</v>
      </c>
      <c r="D15681" t="s">
        <v>18819</v>
      </c>
      <c r="E15681" t="s">
        <v>32388</v>
      </c>
      <c r="F15681" t="s">
        <v>32664</v>
      </c>
      <c r="G15681" t="s">
        <v>32672</v>
      </c>
      <c r="H15681" t="s">
        <v>32683</v>
      </c>
      <c r="I15681" t="s">
        <v>10627</v>
      </c>
      <c r="J15681" t="s">
        <v>42085</v>
      </c>
      <c r="K15681" t="s">
        <v>42311</v>
      </c>
      <c r="M15681" t="s">
        <v>46255</v>
      </c>
      <c r="N15681" t="s">
        <v>46569</v>
      </c>
      <c r="O15681" t="s">
        <v>46570</v>
      </c>
      <c r="Q15681">
        <v>51</v>
      </c>
      <c r="R15681" t="s">
        <v>46644</v>
      </c>
      <c r="S15681" t="s">
        <v>48085</v>
      </c>
      <c r="T15681" t="s">
        <v>48331</v>
      </c>
      <c r="U15681" t="s">
        <v>61365</v>
      </c>
      <c r="V15681" t="s">
        <v>63403</v>
      </c>
      <c r="W15681" t="s">
        <v>46255</v>
      </c>
      <c r="X15681" t="s">
        <v>46648</v>
      </c>
    </row>
    <row r="15682" spans="1:24">
      <c r="A15682">
        <f>HYPERLINK("https://www.philgeps.gov.ph/GEPSNONPILOT/Tender/SplashBidNoticeAbstractUI.aspx?menuIndex=3&amp;refID=6841147&amp;Result=3","6841147")</f>
        <v>0</v>
      </c>
      <c r="B15682" t="s">
        <v>1620</v>
      </c>
      <c r="C15682" t="s">
        <v>18472</v>
      </c>
      <c r="D15682" t="s">
        <v>18784</v>
      </c>
      <c r="E15682" t="s">
        <v>32389</v>
      </c>
      <c r="F15682" t="s">
        <v>32664</v>
      </c>
      <c r="G15682" t="s">
        <v>32672</v>
      </c>
      <c r="H15682" t="s">
        <v>32683</v>
      </c>
      <c r="I15682" t="s">
        <v>10627</v>
      </c>
      <c r="J15682" t="s">
        <v>42086</v>
      </c>
      <c r="K15682" t="s">
        <v>42397</v>
      </c>
      <c r="M15682" t="s">
        <v>44300</v>
      </c>
      <c r="N15682" t="s">
        <v>46569</v>
      </c>
      <c r="O15682" t="s">
        <v>46570</v>
      </c>
      <c r="Q15682">
        <v>111</v>
      </c>
      <c r="R15682" t="s">
        <v>46660</v>
      </c>
      <c r="S15682" t="s">
        <v>48086</v>
      </c>
      <c r="T15682" t="s">
        <v>48275</v>
      </c>
      <c r="U15682" t="s">
        <v>61366</v>
      </c>
      <c r="W15682" t="s">
        <v>44300</v>
      </c>
      <c r="X15682" t="s">
        <v>46659</v>
      </c>
    </row>
    <row r="15683" spans="1:24">
      <c r="A15683">
        <f>HYPERLINK("https://www.philgeps.gov.ph/GEPSNONPILOT/Tender/SplashBidNoticeAbstractUI.aspx?menuIndex=3&amp;refID=6835471&amp;Result=3","6835471")</f>
        <v>0</v>
      </c>
      <c r="B15683" t="s">
        <v>1439</v>
      </c>
      <c r="C15683" t="s">
        <v>18473</v>
      </c>
      <c r="D15683" t="s">
        <v>18807</v>
      </c>
      <c r="E15683" t="s">
        <v>32390</v>
      </c>
      <c r="F15683" t="s">
        <v>32664</v>
      </c>
      <c r="G15683" t="s">
        <v>32672</v>
      </c>
      <c r="H15683" t="s">
        <v>32683</v>
      </c>
      <c r="I15683" t="s">
        <v>10627</v>
      </c>
      <c r="J15683" t="s">
        <v>34405</v>
      </c>
      <c r="K15683" t="s">
        <v>42338</v>
      </c>
      <c r="M15683" t="s">
        <v>45829</v>
      </c>
      <c r="N15683" t="s">
        <v>46569</v>
      </c>
      <c r="O15683" t="s">
        <v>46570</v>
      </c>
      <c r="Q15683">
        <v>6</v>
      </c>
      <c r="R15683" t="s">
        <v>46659</v>
      </c>
      <c r="S15683" t="s">
        <v>48087</v>
      </c>
      <c r="T15683" t="s">
        <v>48225</v>
      </c>
      <c r="U15683" t="s">
        <v>61367</v>
      </c>
      <c r="V15683" t="s">
        <v>63404</v>
      </c>
      <c r="W15683" t="s">
        <v>45829</v>
      </c>
      <c r="X15683" t="s">
        <v>63627</v>
      </c>
    </row>
    <row r="15684" spans="1:24">
      <c r="A15684">
        <f>HYPERLINK("https://www.philgeps.gov.ph/GEPSNONPILOT/Tender/SplashBidNoticeAbstractUI.aspx?menuIndex=3&amp;refID=6890358&amp;Result=3","6890358")</f>
        <v>0</v>
      </c>
      <c r="B15684" t="s">
        <v>3501</v>
      </c>
      <c r="C15684" t="s">
        <v>10962</v>
      </c>
      <c r="D15684" t="s">
        <v>18781</v>
      </c>
      <c r="E15684" t="s">
        <v>29021</v>
      </c>
      <c r="F15684" t="s">
        <v>32664</v>
      </c>
      <c r="G15684" t="s">
        <v>32672</v>
      </c>
      <c r="H15684" t="s">
        <v>32683</v>
      </c>
      <c r="I15684" t="s">
        <v>10627</v>
      </c>
      <c r="J15684" t="s">
        <v>33267</v>
      </c>
      <c r="K15684" t="s">
        <v>42281</v>
      </c>
      <c r="M15684" t="s">
        <v>46525</v>
      </c>
      <c r="N15684" t="s">
        <v>46569</v>
      </c>
      <c r="O15684" t="s">
        <v>46570</v>
      </c>
      <c r="Q15684">
        <v>0</v>
      </c>
      <c r="R15684" t="s">
        <v>46648</v>
      </c>
      <c r="S15684" t="s">
        <v>48088</v>
      </c>
      <c r="T15684" t="s">
        <v>48290</v>
      </c>
      <c r="U15684" t="s">
        <v>61317</v>
      </c>
      <c r="W15684" t="s">
        <v>46525</v>
      </c>
      <c r="X15684" t="s">
        <v>46649</v>
      </c>
    </row>
    <row r="15685" spans="1:24">
      <c r="A15685">
        <f>HYPERLINK("https://www.philgeps.gov.ph/GEPSNONPILOT/Tender/SplashBidNoticeAbstractUI.aspx?menuIndex=3&amp;refID=6889544&amp;Result=3","6889544")</f>
        <v>0</v>
      </c>
      <c r="B15685" t="s">
        <v>3505</v>
      </c>
      <c r="C15685" t="s">
        <v>18474</v>
      </c>
      <c r="D15685" t="s">
        <v>18826</v>
      </c>
      <c r="E15685" t="s">
        <v>23397</v>
      </c>
      <c r="F15685" t="s">
        <v>32664</v>
      </c>
      <c r="G15685" t="s">
        <v>32672</v>
      </c>
      <c r="H15685" t="s">
        <v>32683</v>
      </c>
      <c r="I15685" t="s">
        <v>10627</v>
      </c>
      <c r="J15685" t="s">
        <v>38494</v>
      </c>
      <c r="K15685" t="s">
        <v>42285</v>
      </c>
      <c r="M15685" t="s">
        <v>46534</v>
      </c>
      <c r="N15685" t="s">
        <v>46569</v>
      </c>
      <c r="O15685" t="s">
        <v>46570</v>
      </c>
      <c r="Q15685">
        <v>58</v>
      </c>
      <c r="R15685" t="s">
        <v>46648</v>
      </c>
      <c r="S15685" t="s">
        <v>47271</v>
      </c>
      <c r="T15685" t="s">
        <v>48258</v>
      </c>
      <c r="U15685" t="s">
        <v>61359</v>
      </c>
      <c r="W15685" t="s">
        <v>46534</v>
      </c>
      <c r="X15685" t="s">
        <v>46647</v>
      </c>
    </row>
    <row r="15686" spans="1:24">
      <c r="A15686">
        <f>HYPERLINK("https://www.philgeps.gov.ph/GEPSNONPILOT/Tender/SplashBidNoticeAbstractUI.aspx?menuIndex=3&amp;refID=6845543&amp;Result=3","6845543")</f>
        <v>0</v>
      </c>
      <c r="B15686" t="s">
        <v>225</v>
      </c>
      <c r="C15686" t="s">
        <v>18475</v>
      </c>
      <c r="D15686" t="s">
        <v>18784</v>
      </c>
      <c r="E15686" t="s">
        <v>32391</v>
      </c>
      <c r="F15686" t="s">
        <v>32664</v>
      </c>
      <c r="G15686" t="s">
        <v>32672</v>
      </c>
      <c r="H15686" t="s">
        <v>32683</v>
      </c>
      <c r="I15686" t="s">
        <v>10627</v>
      </c>
      <c r="J15686" t="s">
        <v>42087</v>
      </c>
      <c r="K15686" t="s">
        <v>42290</v>
      </c>
      <c r="M15686" t="s">
        <v>43870</v>
      </c>
      <c r="N15686" t="s">
        <v>46569</v>
      </c>
      <c r="O15686" t="s">
        <v>46570</v>
      </c>
      <c r="Q15686">
        <v>153</v>
      </c>
      <c r="R15686" t="s">
        <v>46661</v>
      </c>
      <c r="S15686" t="s">
        <v>48089</v>
      </c>
      <c r="T15686" t="s">
        <v>48219</v>
      </c>
      <c r="U15686" t="s">
        <v>51407</v>
      </c>
      <c r="V15686" t="s">
        <v>63405</v>
      </c>
      <c r="W15686" t="s">
        <v>43870</v>
      </c>
      <c r="X15686" t="s">
        <v>46660</v>
      </c>
    </row>
    <row r="15687" spans="1:24">
      <c r="A15687">
        <f>HYPERLINK("https://www.philgeps.gov.ph/GEPSNONPILOT/Tender/SplashBidNoticeAbstractUI.aspx?menuIndex=3&amp;refID=6845533&amp;Result=3","6845533")</f>
        <v>0</v>
      </c>
      <c r="B15687" t="s">
        <v>225</v>
      </c>
      <c r="C15687" t="s">
        <v>18476</v>
      </c>
      <c r="D15687" t="s">
        <v>18784</v>
      </c>
      <c r="E15687" t="s">
        <v>32392</v>
      </c>
      <c r="F15687" t="s">
        <v>32664</v>
      </c>
      <c r="G15687" t="s">
        <v>32672</v>
      </c>
      <c r="H15687" t="s">
        <v>32683</v>
      </c>
      <c r="I15687" t="s">
        <v>10627</v>
      </c>
      <c r="J15687" t="s">
        <v>42088</v>
      </c>
      <c r="K15687" t="s">
        <v>42290</v>
      </c>
      <c r="M15687" t="s">
        <v>43870</v>
      </c>
      <c r="N15687" t="s">
        <v>46569</v>
      </c>
      <c r="O15687" t="s">
        <v>46570</v>
      </c>
      <c r="Q15687">
        <v>152</v>
      </c>
      <c r="R15687" t="s">
        <v>46661</v>
      </c>
      <c r="S15687" t="s">
        <v>48090</v>
      </c>
      <c r="T15687" t="s">
        <v>48219</v>
      </c>
      <c r="U15687" t="s">
        <v>51407</v>
      </c>
      <c r="V15687" t="s">
        <v>63406</v>
      </c>
      <c r="W15687" t="s">
        <v>43870</v>
      </c>
      <c r="X15687" t="s">
        <v>46660</v>
      </c>
    </row>
    <row r="15688" spans="1:24">
      <c r="A15688">
        <f>HYPERLINK("https://www.philgeps.gov.ph/GEPSNONPILOT/Tender/SplashBidNoticeAbstractUI.aspx?menuIndex=3&amp;refID=6844693&amp;Result=3","6844693")</f>
        <v>0</v>
      </c>
      <c r="B15688" t="s">
        <v>1620</v>
      </c>
      <c r="C15688" t="s">
        <v>18477</v>
      </c>
      <c r="D15688" t="s">
        <v>18784</v>
      </c>
      <c r="E15688" t="s">
        <v>32393</v>
      </c>
      <c r="F15688" t="s">
        <v>32664</v>
      </c>
      <c r="G15688" t="s">
        <v>32672</v>
      </c>
      <c r="H15688" t="s">
        <v>32683</v>
      </c>
      <c r="I15688" t="s">
        <v>10627</v>
      </c>
      <c r="J15688" t="s">
        <v>42089</v>
      </c>
      <c r="K15688" t="s">
        <v>42365</v>
      </c>
      <c r="M15688" t="s">
        <v>44300</v>
      </c>
      <c r="N15688" t="s">
        <v>46569</v>
      </c>
      <c r="O15688" t="s">
        <v>46570</v>
      </c>
      <c r="Q15688">
        <v>66</v>
      </c>
      <c r="R15688" t="s">
        <v>46661</v>
      </c>
      <c r="S15688" t="s">
        <v>48091</v>
      </c>
      <c r="T15688" t="s">
        <v>48366</v>
      </c>
      <c r="U15688" t="s">
        <v>61368</v>
      </c>
      <c r="W15688" t="s">
        <v>44300</v>
      </c>
      <c r="X15688" t="s">
        <v>46660</v>
      </c>
    </row>
    <row r="15689" spans="1:24">
      <c r="A15689">
        <f>HYPERLINK("https://www.philgeps.gov.ph/GEPSNONPILOT/Tender/SplashBidNoticeAbstractUI.aspx?menuIndex=3&amp;refID=6843474&amp;Result=3","6843474")</f>
        <v>0</v>
      </c>
      <c r="B15689" t="s">
        <v>1558</v>
      </c>
      <c r="C15689" t="s">
        <v>18478</v>
      </c>
      <c r="D15689" t="s">
        <v>18801</v>
      </c>
      <c r="E15689" t="s">
        <v>32394</v>
      </c>
      <c r="F15689" t="s">
        <v>32664</v>
      </c>
      <c r="G15689" t="s">
        <v>32672</v>
      </c>
      <c r="H15689" t="s">
        <v>32681</v>
      </c>
      <c r="I15689" t="s">
        <v>32681</v>
      </c>
      <c r="J15689" t="s">
        <v>42090</v>
      </c>
      <c r="K15689" t="s">
        <v>42347</v>
      </c>
      <c r="M15689" t="s">
        <v>46513</v>
      </c>
      <c r="N15689" t="s">
        <v>46569</v>
      </c>
      <c r="O15689" t="s">
        <v>46570</v>
      </c>
      <c r="Q15689">
        <v>10</v>
      </c>
      <c r="R15689" t="s">
        <v>46661</v>
      </c>
      <c r="S15689" t="s">
        <v>48092</v>
      </c>
      <c r="T15689" t="s">
        <v>48765</v>
      </c>
      <c r="U15689" t="s">
        <v>61369</v>
      </c>
      <c r="W15689" t="s">
        <v>46513</v>
      </c>
      <c r="X15689" t="s">
        <v>46660</v>
      </c>
    </row>
    <row r="15690" spans="1:24">
      <c r="A15690">
        <f>HYPERLINK("https://www.philgeps.gov.ph/GEPSNONPILOT/Tender/SplashBidNoticeAbstractUI.aspx?menuIndex=3&amp;refID=6863367&amp;Result=3","6863367")</f>
        <v>0</v>
      </c>
      <c r="B15690" t="s">
        <v>225</v>
      </c>
      <c r="C15690" t="s">
        <v>18479</v>
      </c>
      <c r="D15690" t="s">
        <v>18784</v>
      </c>
      <c r="E15690" t="s">
        <v>32395</v>
      </c>
      <c r="F15690" t="s">
        <v>32664</v>
      </c>
      <c r="G15690" t="s">
        <v>32672</v>
      </c>
      <c r="H15690" t="s">
        <v>32683</v>
      </c>
      <c r="I15690" t="s">
        <v>10627</v>
      </c>
      <c r="J15690" t="s">
        <v>42091</v>
      </c>
      <c r="K15690" t="s">
        <v>42311</v>
      </c>
      <c r="M15690" t="s">
        <v>43870</v>
      </c>
      <c r="N15690" t="s">
        <v>46569</v>
      </c>
      <c r="O15690" t="s">
        <v>46570</v>
      </c>
      <c r="Q15690">
        <v>99</v>
      </c>
      <c r="R15690" t="s">
        <v>46655</v>
      </c>
      <c r="S15690" t="s">
        <v>48093</v>
      </c>
      <c r="T15690" t="s">
        <v>48219</v>
      </c>
      <c r="U15690" t="s">
        <v>61354</v>
      </c>
      <c r="V15690" t="s">
        <v>63407</v>
      </c>
      <c r="W15690" t="s">
        <v>43870</v>
      </c>
      <c r="X15690" t="s">
        <v>63624</v>
      </c>
    </row>
    <row r="15691" spans="1:24">
      <c r="A15691">
        <f>HYPERLINK("https://www.philgeps.gov.ph/GEPSNONPILOT/Tender/SplashBidNoticeAbstractUI.aspx?menuIndex=3&amp;refID=6835460&amp;Result=3","6835460")</f>
        <v>0</v>
      </c>
      <c r="B15691" t="s">
        <v>1439</v>
      </c>
      <c r="C15691" t="s">
        <v>18480</v>
      </c>
      <c r="D15691" t="s">
        <v>18807</v>
      </c>
      <c r="E15691" t="s">
        <v>32396</v>
      </c>
      <c r="F15691" t="s">
        <v>32664</v>
      </c>
      <c r="G15691" t="s">
        <v>32672</v>
      </c>
      <c r="H15691" t="s">
        <v>32683</v>
      </c>
      <c r="I15691" t="s">
        <v>10627</v>
      </c>
      <c r="J15691" t="s">
        <v>34131</v>
      </c>
      <c r="K15691" t="s">
        <v>42534</v>
      </c>
      <c r="M15691" t="s">
        <v>45829</v>
      </c>
      <c r="N15691" t="s">
        <v>46569</v>
      </c>
      <c r="O15691" t="s">
        <v>46570</v>
      </c>
      <c r="Q15691">
        <v>5</v>
      </c>
      <c r="R15691" t="s">
        <v>46659</v>
      </c>
      <c r="S15691" t="s">
        <v>48094</v>
      </c>
      <c r="T15691" t="s">
        <v>48225</v>
      </c>
      <c r="U15691" t="s">
        <v>61370</v>
      </c>
      <c r="V15691" t="s">
        <v>63404</v>
      </c>
      <c r="W15691" t="s">
        <v>45829</v>
      </c>
      <c r="X15691" t="s">
        <v>63627</v>
      </c>
    </row>
    <row r="15692" spans="1:24">
      <c r="A15692">
        <f>HYPERLINK("https://www.philgeps.gov.ph/GEPSNONPILOT/Tender/SplashBidNoticeAbstractUI.aspx?menuIndex=3&amp;refID=6851292&amp;Result=3","6851292")</f>
        <v>0</v>
      </c>
      <c r="B15692" t="s">
        <v>1558</v>
      </c>
      <c r="C15692" t="s">
        <v>18481</v>
      </c>
      <c r="D15692" t="s">
        <v>18801</v>
      </c>
      <c r="E15692" t="s">
        <v>32397</v>
      </c>
      <c r="F15692" t="s">
        <v>32664</v>
      </c>
      <c r="G15692" t="s">
        <v>32672</v>
      </c>
      <c r="H15692" t="s">
        <v>32683</v>
      </c>
      <c r="I15692" t="s">
        <v>10627</v>
      </c>
      <c r="J15692" t="s">
        <v>42092</v>
      </c>
      <c r="K15692" t="s">
        <v>42308</v>
      </c>
      <c r="M15692" t="s">
        <v>46513</v>
      </c>
      <c r="N15692" t="s">
        <v>46569</v>
      </c>
      <c r="O15692" t="s">
        <v>46570</v>
      </c>
      <c r="Q15692">
        <v>19</v>
      </c>
      <c r="R15692" t="s">
        <v>46662</v>
      </c>
      <c r="S15692" t="s">
        <v>46760</v>
      </c>
      <c r="T15692" t="s">
        <v>48765</v>
      </c>
      <c r="U15692" t="s">
        <v>61371</v>
      </c>
      <c r="W15692" t="s">
        <v>46513</v>
      </c>
      <c r="X15692" t="s">
        <v>46664</v>
      </c>
    </row>
    <row r="15693" spans="1:24">
      <c r="A15693">
        <f>HYPERLINK("https://www.philgeps.gov.ph/GEPSNONPILOT/Tender/SplashBidNoticeAbstractUI.aspx?menuIndex=3&amp;refID=6845540&amp;Result=3","6845540")</f>
        <v>0</v>
      </c>
      <c r="B15693" t="s">
        <v>225</v>
      </c>
      <c r="C15693" t="s">
        <v>18482</v>
      </c>
      <c r="D15693" t="s">
        <v>18784</v>
      </c>
      <c r="E15693" t="s">
        <v>32398</v>
      </c>
      <c r="F15693" t="s">
        <v>32664</v>
      </c>
      <c r="G15693" t="s">
        <v>32672</v>
      </c>
      <c r="H15693" t="s">
        <v>32683</v>
      </c>
      <c r="I15693" t="s">
        <v>10627</v>
      </c>
      <c r="J15693" t="s">
        <v>42093</v>
      </c>
      <c r="K15693" t="s">
        <v>42290</v>
      </c>
      <c r="M15693" t="s">
        <v>43870</v>
      </c>
      <c r="N15693" t="s">
        <v>46569</v>
      </c>
      <c r="O15693" t="s">
        <v>46570</v>
      </c>
      <c r="Q15693">
        <v>152</v>
      </c>
      <c r="R15693" t="s">
        <v>46661</v>
      </c>
      <c r="S15693" t="s">
        <v>48095</v>
      </c>
      <c r="T15693" t="s">
        <v>48219</v>
      </c>
      <c r="U15693" t="s">
        <v>51407</v>
      </c>
      <c r="V15693" t="s">
        <v>63408</v>
      </c>
      <c r="W15693" t="s">
        <v>43870</v>
      </c>
      <c r="X15693" t="s">
        <v>46660</v>
      </c>
    </row>
    <row r="15694" spans="1:24">
      <c r="A15694">
        <f>HYPERLINK("https://www.philgeps.gov.ph/GEPSNONPILOT/Tender/SplashBidNoticeAbstractUI.aspx?menuIndex=3&amp;refID=6855697&amp;Result=3","6855697")</f>
        <v>0</v>
      </c>
      <c r="B15694" t="s">
        <v>3282</v>
      </c>
      <c r="C15694" t="s">
        <v>18483</v>
      </c>
      <c r="D15694" t="s">
        <v>18784</v>
      </c>
      <c r="E15694" t="s">
        <v>32399</v>
      </c>
      <c r="F15694" t="s">
        <v>32664</v>
      </c>
      <c r="G15694" t="s">
        <v>32671</v>
      </c>
      <c r="H15694" t="s">
        <v>12635</v>
      </c>
      <c r="I15694" t="s">
        <v>6223</v>
      </c>
      <c r="J15694" t="s">
        <v>42094</v>
      </c>
      <c r="K15694" t="s">
        <v>42281</v>
      </c>
      <c r="M15694" t="s">
        <v>46514</v>
      </c>
      <c r="N15694" t="s">
        <v>46569</v>
      </c>
      <c r="O15694" t="s">
        <v>46570</v>
      </c>
      <c r="Q15694">
        <v>3</v>
      </c>
      <c r="R15694" t="s">
        <v>46663</v>
      </c>
      <c r="S15694" t="s">
        <v>48096</v>
      </c>
      <c r="T15694" t="s">
        <v>48283</v>
      </c>
      <c r="U15694" t="s">
        <v>61372</v>
      </c>
      <c r="W15694" t="s">
        <v>46514</v>
      </c>
      <c r="X15694" t="s">
        <v>46662</v>
      </c>
    </row>
    <row r="15695" spans="1:24">
      <c r="A15695">
        <f>HYPERLINK("https://www.philgeps.gov.ph/GEPSNONPILOT/Tender/SplashBidNoticeAbstractUI.aspx?menuIndex=3&amp;refID=6855622&amp;Result=3","6855622")</f>
        <v>0</v>
      </c>
      <c r="B15695" t="s">
        <v>3314</v>
      </c>
      <c r="C15695" t="s">
        <v>18484</v>
      </c>
      <c r="D15695" t="s">
        <v>18822</v>
      </c>
      <c r="E15695" t="s">
        <v>31953</v>
      </c>
      <c r="F15695" t="s">
        <v>32664</v>
      </c>
      <c r="G15695" t="s">
        <v>32672</v>
      </c>
      <c r="H15695" t="s">
        <v>32683</v>
      </c>
      <c r="I15695" t="s">
        <v>10627</v>
      </c>
      <c r="J15695" t="s">
        <v>37240</v>
      </c>
      <c r="K15695" t="s">
        <v>42564</v>
      </c>
      <c r="M15695" t="s">
        <v>46261</v>
      </c>
      <c r="N15695" t="s">
        <v>46569</v>
      </c>
      <c r="O15695" t="s">
        <v>46570</v>
      </c>
      <c r="Q15695">
        <v>16</v>
      </c>
      <c r="R15695" t="s">
        <v>46663</v>
      </c>
      <c r="S15695" t="s">
        <v>48097</v>
      </c>
      <c r="T15695" t="s">
        <v>48468</v>
      </c>
      <c r="U15695" t="s">
        <v>61373</v>
      </c>
      <c r="W15695" t="s">
        <v>46261</v>
      </c>
      <c r="X15695" t="s">
        <v>46662</v>
      </c>
    </row>
    <row r="15696" spans="1:24">
      <c r="A15696">
        <f>HYPERLINK("https://www.philgeps.gov.ph/GEPSNONPILOT/Tender/SplashBidNoticeAbstractUI.aspx?menuIndex=3&amp;refID=6862423&amp;Result=3","6862423")</f>
        <v>0</v>
      </c>
      <c r="B15696" t="s">
        <v>1620</v>
      </c>
      <c r="C15696" t="s">
        <v>18485</v>
      </c>
      <c r="D15696" t="s">
        <v>18784</v>
      </c>
      <c r="E15696" t="s">
        <v>32400</v>
      </c>
      <c r="F15696" t="s">
        <v>32664</v>
      </c>
      <c r="G15696" t="s">
        <v>32672</v>
      </c>
      <c r="H15696" t="s">
        <v>32683</v>
      </c>
      <c r="I15696" t="s">
        <v>10627</v>
      </c>
      <c r="J15696" t="s">
        <v>42095</v>
      </c>
      <c r="K15696" t="s">
        <v>42301</v>
      </c>
      <c r="M15696" t="s">
        <v>44300</v>
      </c>
      <c r="N15696" t="s">
        <v>46569</v>
      </c>
      <c r="O15696" t="s">
        <v>46570</v>
      </c>
      <c r="Q15696">
        <v>63</v>
      </c>
      <c r="R15696" t="s">
        <v>46654</v>
      </c>
      <c r="S15696" t="s">
        <v>48098</v>
      </c>
      <c r="T15696" t="s">
        <v>48366</v>
      </c>
      <c r="U15696" t="s">
        <v>61374</v>
      </c>
      <c r="W15696" t="s">
        <v>44300</v>
      </c>
      <c r="X15696" t="s">
        <v>63624</v>
      </c>
    </row>
    <row r="15697" spans="1:24">
      <c r="A15697">
        <f>HYPERLINK("https://www.philgeps.gov.ph/GEPSNONPILOT/Tender/SplashBidNoticeAbstractUI.aspx?menuIndex=3&amp;refID=6841178&amp;Result=3","6841178")</f>
        <v>0</v>
      </c>
      <c r="B15697" t="s">
        <v>1558</v>
      </c>
      <c r="C15697" t="s">
        <v>18486</v>
      </c>
      <c r="D15697" t="s">
        <v>18801</v>
      </c>
      <c r="E15697" t="s">
        <v>32401</v>
      </c>
      <c r="F15697" t="s">
        <v>32664</v>
      </c>
      <c r="G15697" t="s">
        <v>32672</v>
      </c>
      <c r="H15697" t="s">
        <v>12635</v>
      </c>
      <c r="I15697" t="s">
        <v>32701</v>
      </c>
      <c r="J15697" t="s">
        <v>34862</v>
      </c>
      <c r="K15697" t="s">
        <v>42351</v>
      </c>
      <c r="M15697" t="s">
        <v>46513</v>
      </c>
      <c r="N15697" t="s">
        <v>46569</v>
      </c>
      <c r="O15697" t="s">
        <v>46570</v>
      </c>
      <c r="Q15697">
        <v>4</v>
      </c>
      <c r="R15697" t="s">
        <v>46661</v>
      </c>
      <c r="S15697" t="s">
        <v>47622</v>
      </c>
      <c r="T15697" t="s">
        <v>48765</v>
      </c>
      <c r="U15697" t="s">
        <v>61375</v>
      </c>
      <c r="W15697" t="s">
        <v>46513</v>
      </c>
      <c r="X15697" t="s">
        <v>46659</v>
      </c>
    </row>
    <row r="15698" spans="1:24">
      <c r="A15698">
        <f>HYPERLINK("https://www.philgeps.gov.ph/GEPSNONPILOT/Tender/SplashBidNoticeAbstractUI.aspx?menuIndex=3&amp;refID=6848655&amp;Result=3","6848655")</f>
        <v>0</v>
      </c>
      <c r="B15698" t="s">
        <v>940</v>
      </c>
      <c r="C15698" t="s">
        <v>18487</v>
      </c>
      <c r="D15698" t="s">
        <v>18784</v>
      </c>
      <c r="E15698" t="s">
        <v>32402</v>
      </c>
      <c r="F15698" t="s">
        <v>32664</v>
      </c>
      <c r="G15698" t="s">
        <v>32672</v>
      </c>
      <c r="H15698" t="s">
        <v>32681</v>
      </c>
      <c r="I15698" t="s">
        <v>32681</v>
      </c>
      <c r="J15698" t="s">
        <v>42096</v>
      </c>
      <c r="K15698" t="s">
        <v>42579</v>
      </c>
      <c r="M15698" t="s">
        <v>46535</v>
      </c>
      <c r="N15698" t="s">
        <v>46569</v>
      </c>
      <c r="O15698" t="s">
        <v>46570</v>
      </c>
      <c r="Q15698">
        <v>10</v>
      </c>
      <c r="R15698" t="s">
        <v>46664</v>
      </c>
      <c r="S15698" t="s">
        <v>48099</v>
      </c>
      <c r="T15698" t="s">
        <v>48237</v>
      </c>
      <c r="U15698" t="s">
        <v>61376</v>
      </c>
      <c r="W15698" t="s">
        <v>46535</v>
      </c>
      <c r="X15698" t="s">
        <v>46661</v>
      </c>
    </row>
    <row r="15699" spans="1:24">
      <c r="A15699">
        <f>HYPERLINK("https://www.philgeps.gov.ph/GEPSNONPILOT/Tender/SplashBidNoticeAbstractUI.aspx?menuIndex=3&amp;refID=6903559&amp;Result=3","6903559")</f>
        <v>0</v>
      </c>
      <c r="B15699" t="s">
        <v>3050</v>
      </c>
      <c r="C15699" t="s">
        <v>18488</v>
      </c>
      <c r="D15699" t="s">
        <v>18784</v>
      </c>
      <c r="E15699" t="s">
        <v>32403</v>
      </c>
      <c r="F15699" t="s">
        <v>32664</v>
      </c>
      <c r="G15699" t="s">
        <v>32672</v>
      </c>
      <c r="H15699" t="s">
        <v>12635</v>
      </c>
      <c r="I15699" t="s">
        <v>6628</v>
      </c>
      <c r="J15699" t="s">
        <v>42097</v>
      </c>
      <c r="K15699" t="s">
        <v>42281</v>
      </c>
      <c r="M15699" t="s">
        <v>46536</v>
      </c>
      <c r="N15699" t="s">
        <v>46569</v>
      </c>
      <c r="O15699" t="s">
        <v>46570</v>
      </c>
      <c r="Q15699">
        <v>5</v>
      </c>
      <c r="R15699" t="s">
        <v>46643</v>
      </c>
      <c r="S15699" t="s">
        <v>48100</v>
      </c>
      <c r="T15699" t="s">
        <v>48293</v>
      </c>
      <c r="U15699" t="s">
        <v>61377</v>
      </c>
      <c r="V15699" t="s">
        <v>61841</v>
      </c>
      <c r="W15699" t="s">
        <v>46536</v>
      </c>
      <c r="X15699" t="s">
        <v>46646</v>
      </c>
    </row>
    <row r="15700" spans="1:24">
      <c r="A15700">
        <f>HYPERLINK("https://www.philgeps.gov.ph/GEPSNONPILOT/Tender/SplashBidNoticeAbstractUI.aspx?menuIndex=3&amp;refID=6903358&amp;Result=3","6903358")</f>
        <v>0</v>
      </c>
      <c r="B15700" t="s">
        <v>1699</v>
      </c>
      <c r="C15700" t="s">
        <v>18489</v>
      </c>
      <c r="D15700" t="s">
        <v>18852</v>
      </c>
      <c r="E15700" t="s">
        <v>32404</v>
      </c>
      <c r="F15700" t="s">
        <v>32664</v>
      </c>
      <c r="G15700" t="s">
        <v>32673</v>
      </c>
      <c r="H15700" t="s">
        <v>32681</v>
      </c>
      <c r="I15700" t="s">
        <v>32681</v>
      </c>
      <c r="J15700" t="s">
        <v>37816</v>
      </c>
      <c r="K15700" t="s">
        <v>42283</v>
      </c>
      <c r="L15700" t="s">
        <v>1699</v>
      </c>
      <c r="M15700" t="s">
        <v>44393</v>
      </c>
      <c r="N15700" t="s">
        <v>46569</v>
      </c>
      <c r="O15700" t="s">
        <v>46570</v>
      </c>
      <c r="Q15700">
        <v>13</v>
      </c>
      <c r="R15700" t="s">
        <v>46643</v>
      </c>
      <c r="S15700" t="s">
        <v>48101</v>
      </c>
      <c r="T15700" t="s">
        <v>48236</v>
      </c>
      <c r="U15700" t="s">
        <v>61378</v>
      </c>
      <c r="W15700" t="s">
        <v>44393</v>
      </c>
      <c r="X15700" t="s">
        <v>46646</v>
      </c>
    </row>
    <row r="15701" spans="1:24">
      <c r="A15701">
        <f>HYPERLINK("https://www.philgeps.gov.ph/GEPSNONPILOT/Tender/SplashBidNoticeAbstractUI.aspx?menuIndex=3&amp;refID=6862443&amp;Result=3","6862443")</f>
        <v>0</v>
      </c>
      <c r="B15701" t="s">
        <v>1620</v>
      </c>
      <c r="C15701" t="s">
        <v>18490</v>
      </c>
      <c r="D15701" t="s">
        <v>18784</v>
      </c>
      <c r="E15701" t="s">
        <v>32405</v>
      </c>
      <c r="F15701" t="s">
        <v>32664</v>
      </c>
      <c r="G15701" t="s">
        <v>32672</v>
      </c>
      <c r="H15701" t="s">
        <v>32683</v>
      </c>
      <c r="I15701" t="s">
        <v>10627</v>
      </c>
      <c r="J15701" t="s">
        <v>42098</v>
      </c>
      <c r="K15701" t="s">
        <v>42397</v>
      </c>
      <c r="M15701" t="s">
        <v>44300</v>
      </c>
      <c r="N15701" t="s">
        <v>46569</v>
      </c>
      <c r="O15701" t="s">
        <v>46570</v>
      </c>
      <c r="Q15701">
        <v>63</v>
      </c>
      <c r="R15701" t="s">
        <v>46654</v>
      </c>
      <c r="S15701" t="s">
        <v>48098</v>
      </c>
      <c r="T15701" t="s">
        <v>48366</v>
      </c>
      <c r="U15701" t="s">
        <v>61379</v>
      </c>
      <c r="W15701" t="s">
        <v>44300</v>
      </c>
      <c r="X15701" t="s">
        <v>63624</v>
      </c>
    </row>
    <row r="15702" spans="1:24">
      <c r="A15702">
        <f>HYPERLINK("https://www.philgeps.gov.ph/GEPSNONPILOT/Tender/SplashBidNoticeAbstractUI.aspx?menuIndex=3&amp;refID=6840310&amp;Result=3","6840310")</f>
        <v>0</v>
      </c>
      <c r="B15702" t="s">
        <v>1776</v>
      </c>
      <c r="C15702" t="s">
        <v>18491</v>
      </c>
      <c r="D15702" t="s">
        <v>18838</v>
      </c>
      <c r="E15702" t="s">
        <v>32406</v>
      </c>
      <c r="F15702" t="s">
        <v>32664</v>
      </c>
      <c r="G15702" t="s">
        <v>32672</v>
      </c>
      <c r="H15702" t="s">
        <v>32683</v>
      </c>
      <c r="I15702" t="s">
        <v>10627</v>
      </c>
      <c r="J15702" t="s">
        <v>42099</v>
      </c>
      <c r="K15702" t="s">
        <v>42580</v>
      </c>
      <c r="M15702" t="s">
        <v>46512</v>
      </c>
      <c r="N15702" t="s">
        <v>46569</v>
      </c>
      <c r="O15702" t="s">
        <v>46570</v>
      </c>
      <c r="Q15702">
        <v>39</v>
      </c>
      <c r="R15702" t="s">
        <v>46660</v>
      </c>
      <c r="S15702" t="s">
        <v>48102</v>
      </c>
      <c r="T15702" t="s">
        <v>48620</v>
      </c>
      <c r="U15702" t="s">
        <v>61380</v>
      </c>
      <c r="V15702" t="s">
        <v>63409</v>
      </c>
      <c r="W15702" t="s">
        <v>46512</v>
      </c>
      <c r="X15702" t="s">
        <v>46659</v>
      </c>
    </row>
    <row r="15703" spans="1:24">
      <c r="A15703">
        <f>HYPERLINK("https://www.philgeps.gov.ph/GEPSNONPILOT/Tender/SplashBidNoticeAbstractUI.aspx?menuIndex=3&amp;refID=6906907&amp;Result=3","6906907")</f>
        <v>0</v>
      </c>
      <c r="B15703" t="s">
        <v>1558</v>
      </c>
      <c r="C15703" t="s">
        <v>18492</v>
      </c>
      <c r="D15703" t="s">
        <v>18801</v>
      </c>
      <c r="E15703" t="s">
        <v>32407</v>
      </c>
      <c r="F15703" t="s">
        <v>32664</v>
      </c>
      <c r="G15703" t="s">
        <v>32672</v>
      </c>
      <c r="H15703" t="s">
        <v>32683</v>
      </c>
      <c r="I15703" t="s">
        <v>10627</v>
      </c>
      <c r="J15703" t="s">
        <v>42100</v>
      </c>
      <c r="K15703" t="s">
        <v>42311</v>
      </c>
      <c r="M15703" t="s">
        <v>46513</v>
      </c>
      <c r="N15703" t="s">
        <v>46569</v>
      </c>
      <c r="O15703" t="s">
        <v>46570</v>
      </c>
      <c r="Q15703">
        <v>13</v>
      </c>
      <c r="R15703" t="s">
        <v>46642</v>
      </c>
      <c r="S15703" t="s">
        <v>48103</v>
      </c>
      <c r="T15703" t="s">
        <v>48467</v>
      </c>
      <c r="U15703" t="s">
        <v>61371</v>
      </c>
      <c r="W15703" t="s">
        <v>46513</v>
      </c>
      <c r="X15703" t="s">
        <v>46643</v>
      </c>
    </row>
    <row r="15704" spans="1:24">
      <c r="A15704">
        <f>HYPERLINK("https://www.philgeps.gov.ph/GEPSNONPILOT/Tender/SplashBidNoticeAbstractUI.aspx?menuIndex=3&amp;refID=6897453&amp;Result=3","6897453")</f>
        <v>0</v>
      </c>
      <c r="B15704" t="s">
        <v>3492</v>
      </c>
      <c r="C15704" t="s">
        <v>18493</v>
      </c>
      <c r="D15704" t="s">
        <v>18784</v>
      </c>
      <c r="E15704" t="s">
        <v>32408</v>
      </c>
      <c r="F15704" t="s">
        <v>32664</v>
      </c>
      <c r="G15704" t="s">
        <v>32675</v>
      </c>
      <c r="H15704" t="s">
        <v>12635</v>
      </c>
      <c r="I15704" t="s">
        <v>5501</v>
      </c>
      <c r="J15704" t="s">
        <v>33212</v>
      </c>
      <c r="K15704" t="s">
        <v>42281</v>
      </c>
      <c r="M15704" t="s">
        <v>46507</v>
      </c>
      <c r="N15704" t="s">
        <v>46569</v>
      </c>
      <c r="O15704" t="s">
        <v>46570</v>
      </c>
      <c r="Q15704">
        <v>9</v>
      </c>
      <c r="R15704" t="s">
        <v>46646</v>
      </c>
      <c r="S15704" t="s">
        <v>48104</v>
      </c>
      <c r="T15704" t="s">
        <v>48316</v>
      </c>
      <c r="U15704" t="s">
        <v>61381</v>
      </c>
      <c r="W15704" t="s">
        <v>46507</v>
      </c>
      <c r="X15704" t="s">
        <v>46644</v>
      </c>
    </row>
    <row r="15705" spans="1:24">
      <c r="A15705">
        <f>HYPERLINK("https://www.philgeps.gov.ph/GEPSNONPILOT/Tender/SplashBidNoticeAbstractUI.aspx?menuIndex=3&amp;refID=6841021&amp;Result=3","6841021")</f>
        <v>0</v>
      </c>
      <c r="B15705" t="s">
        <v>1620</v>
      </c>
      <c r="C15705" t="s">
        <v>18494</v>
      </c>
      <c r="D15705" t="s">
        <v>18784</v>
      </c>
      <c r="E15705" t="s">
        <v>32409</v>
      </c>
      <c r="F15705" t="s">
        <v>32664</v>
      </c>
      <c r="G15705" t="s">
        <v>32672</v>
      </c>
      <c r="H15705" t="s">
        <v>32683</v>
      </c>
      <c r="I15705" t="s">
        <v>10627</v>
      </c>
      <c r="J15705" t="s">
        <v>42101</v>
      </c>
      <c r="K15705" t="s">
        <v>42285</v>
      </c>
      <c r="M15705" t="s">
        <v>44300</v>
      </c>
      <c r="N15705" t="s">
        <v>46569</v>
      </c>
      <c r="O15705" t="s">
        <v>46570</v>
      </c>
      <c r="Q15705">
        <v>95</v>
      </c>
      <c r="R15705" t="s">
        <v>46660</v>
      </c>
      <c r="S15705" t="s">
        <v>48105</v>
      </c>
      <c r="T15705" t="s">
        <v>48275</v>
      </c>
      <c r="U15705" t="s">
        <v>61382</v>
      </c>
      <c r="W15705" t="s">
        <v>44300</v>
      </c>
      <c r="X15705" t="s">
        <v>46659</v>
      </c>
    </row>
    <row r="15706" spans="1:24">
      <c r="A15706">
        <f>HYPERLINK("https://www.philgeps.gov.ph/GEPSNONPILOT/Tender/SplashBidNoticeAbstractUI.aspx?menuIndex=3&amp;refID=6903343&amp;Result=3","6903343")</f>
        <v>0</v>
      </c>
      <c r="B15706" t="s">
        <v>1699</v>
      </c>
      <c r="C15706" t="s">
        <v>18495</v>
      </c>
      <c r="D15706" t="s">
        <v>18845</v>
      </c>
      <c r="E15706" t="s">
        <v>32410</v>
      </c>
      <c r="F15706" t="s">
        <v>32664</v>
      </c>
      <c r="G15706" t="s">
        <v>32673</v>
      </c>
      <c r="H15706" t="s">
        <v>32681</v>
      </c>
      <c r="I15706" t="s">
        <v>32681</v>
      </c>
      <c r="J15706" t="s">
        <v>42102</v>
      </c>
      <c r="K15706" t="s">
        <v>42283</v>
      </c>
      <c r="L15706" t="s">
        <v>1699</v>
      </c>
      <c r="M15706" t="s">
        <v>44393</v>
      </c>
      <c r="N15706" t="s">
        <v>46569</v>
      </c>
      <c r="O15706" t="s">
        <v>46570</v>
      </c>
      <c r="Q15706">
        <v>10</v>
      </c>
      <c r="R15706" t="s">
        <v>46643</v>
      </c>
      <c r="S15706" t="s">
        <v>48106</v>
      </c>
      <c r="T15706" t="s">
        <v>48236</v>
      </c>
      <c r="U15706" t="s">
        <v>61383</v>
      </c>
      <c r="W15706" t="s">
        <v>44393</v>
      </c>
      <c r="X15706" t="s">
        <v>46646</v>
      </c>
    </row>
    <row r="15707" spans="1:24">
      <c r="A15707">
        <f>HYPERLINK("https://www.philgeps.gov.ph/GEPSNONPILOT/Tender/SplashBidNoticeAbstractUI.aspx?menuIndex=3&amp;refID=6906305&amp;Result=3","6906305")</f>
        <v>0</v>
      </c>
      <c r="B15707" t="s">
        <v>3490</v>
      </c>
      <c r="C15707" t="s">
        <v>18496</v>
      </c>
      <c r="D15707" t="s">
        <v>18801</v>
      </c>
      <c r="E15707" t="s">
        <v>32411</v>
      </c>
      <c r="F15707" t="s">
        <v>32664</v>
      </c>
      <c r="G15707" t="s">
        <v>32673</v>
      </c>
      <c r="H15707" t="s">
        <v>12635</v>
      </c>
      <c r="I15707" t="s">
        <v>7759</v>
      </c>
      <c r="J15707" t="s">
        <v>42103</v>
      </c>
      <c r="K15707" t="s">
        <v>42291</v>
      </c>
      <c r="M15707" t="s">
        <v>46502</v>
      </c>
      <c r="N15707" t="s">
        <v>46569</v>
      </c>
      <c r="O15707" t="s">
        <v>46570</v>
      </c>
      <c r="Q15707">
        <v>13</v>
      </c>
      <c r="R15707" t="s">
        <v>46642</v>
      </c>
      <c r="S15707" t="s">
        <v>48107</v>
      </c>
      <c r="T15707" t="s">
        <v>48236</v>
      </c>
      <c r="U15707" t="s">
        <v>61384</v>
      </c>
      <c r="W15707" t="s">
        <v>46502</v>
      </c>
      <c r="X15707" t="s">
        <v>46643</v>
      </c>
    </row>
    <row r="15708" spans="1:24">
      <c r="A15708">
        <f>HYPERLINK("https://www.philgeps.gov.ph/GEPSNONPILOT/Tender/SplashBidNoticeAbstractUI.aspx?menuIndex=3&amp;refID=6906844&amp;Result=3","6906844")</f>
        <v>0</v>
      </c>
      <c r="B15708" t="s">
        <v>851</v>
      </c>
      <c r="C15708" t="s">
        <v>18497</v>
      </c>
      <c r="D15708" t="s">
        <v>18829</v>
      </c>
      <c r="E15708" t="s">
        <v>32412</v>
      </c>
      <c r="F15708" t="s">
        <v>32664</v>
      </c>
      <c r="G15708" t="s">
        <v>32672</v>
      </c>
      <c r="H15708" t="s">
        <v>12635</v>
      </c>
      <c r="I15708" t="s">
        <v>6168</v>
      </c>
      <c r="J15708" t="s">
        <v>42104</v>
      </c>
      <c r="K15708" t="s">
        <v>42297</v>
      </c>
      <c r="M15708" t="s">
        <v>46453</v>
      </c>
      <c r="N15708" t="s">
        <v>46569</v>
      </c>
      <c r="O15708" t="s">
        <v>46570</v>
      </c>
      <c r="Q15708">
        <v>1</v>
      </c>
      <c r="R15708" t="s">
        <v>46642</v>
      </c>
      <c r="S15708" t="s">
        <v>47825</v>
      </c>
      <c r="T15708" t="s">
        <v>48268</v>
      </c>
      <c r="U15708" t="s">
        <v>61299</v>
      </c>
      <c r="W15708" t="s">
        <v>46453</v>
      </c>
      <c r="X15708" t="s">
        <v>46643</v>
      </c>
    </row>
    <row r="15709" spans="1:24">
      <c r="A15709">
        <f>HYPERLINK("https://www.philgeps.gov.ph/GEPSNONPILOT/Tender/SplashBidNoticeAbstractUI.aspx?menuIndex=3&amp;refID=6906390&amp;Result=3","6906390")</f>
        <v>0</v>
      </c>
      <c r="B15709" t="s">
        <v>3490</v>
      </c>
      <c r="C15709" t="s">
        <v>18498</v>
      </c>
      <c r="D15709" t="s">
        <v>18801</v>
      </c>
      <c r="E15709" t="s">
        <v>32413</v>
      </c>
      <c r="F15709" t="s">
        <v>32664</v>
      </c>
      <c r="G15709" t="s">
        <v>32673</v>
      </c>
      <c r="H15709" t="s">
        <v>12635</v>
      </c>
      <c r="I15709" t="s">
        <v>7759</v>
      </c>
      <c r="J15709" t="s">
        <v>42105</v>
      </c>
      <c r="K15709" t="s">
        <v>42291</v>
      </c>
      <c r="M15709" t="s">
        <v>46502</v>
      </c>
      <c r="N15709" t="s">
        <v>46569</v>
      </c>
      <c r="O15709" t="s">
        <v>46570</v>
      </c>
      <c r="Q15709">
        <v>7</v>
      </c>
      <c r="R15709" t="s">
        <v>46642</v>
      </c>
      <c r="S15709" t="s">
        <v>48108</v>
      </c>
      <c r="T15709" t="s">
        <v>48236</v>
      </c>
      <c r="U15709" t="s">
        <v>61384</v>
      </c>
      <c r="W15709" t="s">
        <v>46502</v>
      </c>
      <c r="X15709" t="s">
        <v>46643</v>
      </c>
    </row>
    <row r="15710" spans="1:24">
      <c r="A15710">
        <f>HYPERLINK("https://www.philgeps.gov.ph/GEPSNONPILOT/Tender/SplashBidNoticeAbstractUI.aspx?menuIndex=3&amp;refID=6912137&amp;Result=3","6912137")</f>
        <v>0</v>
      </c>
      <c r="B15710" t="s">
        <v>3401</v>
      </c>
      <c r="C15710" t="s">
        <v>18499</v>
      </c>
      <c r="D15710" t="s">
        <v>18817</v>
      </c>
      <c r="E15710" t="s">
        <v>32278</v>
      </c>
      <c r="F15710" t="s">
        <v>32664</v>
      </c>
      <c r="G15710" t="s">
        <v>32672</v>
      </c>
      <c r="H15710" t="s">
        <v>32683</v>
      </c>
      <c r="I15710" t="s">
        <v>10627</v>
      </c>
      <c r="J15710" t="s">
        <v>42106</v>
      </c>
      <c r="K15710" t="s">
        <v>42285</v>
      </c>
      <c r="M15710" t="s">
        <v>46370</v>
      </c>
      <c r="N15710" t="s">
        <v>46569</v>
      </c>
      <c r="O15710" t="s">
        <v>46570</v>
      </c>
      <c r="Q15710">
        <v>37</v>
      </c>
      <c r="R15710" t="s">
        <v>46640</v>
      </c>
      <c r="S15710" t="s">
        <v>48109</v>
      </c>
      <c r="T15710" t="s">
        <v>48225</v>
      </c>
      <c r="U15710" t="s">
        <v>61385</v>
      </c>
      <c r="W15710" t="s">
        <v>46370</v>
      </c>
      <c r="X15710" t="s">
        <v>46642</v>
      </c>
    </row>
    <row r="15711" spans="1:24">
      <c r="A15711">
        <f>HYPERLINK("https://www.philgeps.gov.ph/GEPSNONPILOT/Tender/SplashBidNoticeAbstractUI.aspx?menuIndex=3&amp;refID=6911768&amp;Result=3","6911768")</f>
        <v>0</v>
      </c>
      <c r="B15711" t="s">
        <v>3492</v>
      </c>
      <c r="C15711" t="s">
        <v>18500</v>
      </c>
      <c r="D15711" t="s">
        <v>18784</v>
      </c>
      <c r="E15711" t="s">
        <v>32414</v>
      </c>
      <c r="F15711" t="s">
        <v>32664</v>
      </c>
      <c r="G15711" t="s">
        <v>32675</v>
      </c>
      <c r="H15711" t="s">
        <v>12635</v>
      </c>
      <c r="I15711" t="s">
        <v>32729</v>
      </c>
      <c r="J15711" t="s">
        <v>42107</v>
      </c>
      <c r="K15711" t="s">
        <v>42283</v>
      </c>
      <c r="M15711" t="s">
        <v>46507</v>
      </c>
      <c r="N15711" t="s">
        <v>46569</v>
      </c>
      <c r="O15711" t="s">
        <v>46570</v>
      </c>
      <c r="Q15711">
        <v>7</v>
      </c>
      <c r="R15711" t="s">
        <v>46640</v>
      </c>
      <c r="S15711" t="s">
        <v>48110</v>
      </c>
      <c r="T15711" t="s">
        <v>48316</v>
      </c>
      <c r="U15711" t="s">
        <v>61386</v>
      </c>
      <c r="W15711" t="s">
        <v>46507</v>
      </c>
      <c r="X15711" t="s">
        <v>46642</v>
      </c>
    </row>
    <row r="15712" spans="1:24">
      <c r="A15712">
        <f>HYPERLINK("https://www.philgeps.gov.ph/GEPSNONPILOT/Tender/SplashBidNoticeAbstractUI.aspx?menuIndex=3&amp;refID=6912199&amp;Result=3","6912199")</f>
        <v>0</v>
      </c>
      <c r="B15712" t="s">
        <v>1838</v>
      </c>
      <c r="C15712" t="s">
        <v>18501</v>
      </c>
      <c r="D15712" t="s">
        <v>18799</v>
      </c>
      <c r="E15712" t="s">
        <v>32415</v>
      </c>
      <c r="F15712" t="s">
        <v>32664</v>
      </c>
      <c r="G15712" t="s">
        <v>32672</v>
      </c>
      <c r="H15712" t="s">
        <v>12635</v>
      </c>
      <c r="I15712" t="s">
        <v>32783</v>
      </c>
      <c r="J15712" t="s">
        <v>33050</v>
      </c>
      <c r="K15712" t="s">
        <v>42298</v>
      </c>
      <c r="M15712" t="s">
        <v>45039</v>
      </c>
      <c r="N15712" t="s">
        <v>46569</v>
      </c>
      <c r="O15712" t="s">
        <v>46570</v>
      </c>
      <c r="Q15712">
        <v>10</v>
      </c>
      <c r="R15712" t="s">
        <v>46640</v>
      </c>
      <c r="S15712" t="s">
        <v>48111</v>
      </c>
      <c r="T15712" t="s">
        <v>48307</v>
      </c>
      <c r="U15712" t="s">
        <v>61387</v>
      </c>
      <c r="W15712" t="s">
        <v>45039</v>
      </c>
      <c r="X15712" t="s">
        <v>46642</v>
      </c>
    </row>
    <row r="15713" spans="1:24">
      <c r="A15713">
        <f>HYPERLINK("https://www.philgeps.gov.ph/GEPSNONPILOT/Tender/SplashBidNoticeAbstractUI.aspx?menuIndex=3&amp;refID=6863357&amp;Result=3","6863357")</f>
        <v>0</v>
      </c>
      <c r="B15713" t="s">
        <v>1083</v>
      </c>
      <c r="C15713" t="s">
        <v>18502</v>
      </c>
      <c r="D15713" t="s">
        <v>18784</v>
      </c>
      <c r="E15713" t="s">
        <v>32416</v>
      </c>
      <c r="F15713" t="s">
        <v>32664</v>
      </c>
      <c r="G15713" t="s">
        <v>32672</v>
      </c>
      <c r="H15713" t="s">
        <v>32683</v>
      </c>
      <c r="I15713" t="s">
        <v>10627</v>
      </c>
      <c r="J15713" t="s">
        <v>42108</v>
      </c>
      <c r="K15713" t="s">
        <v>42397</v>
      </c>
      <c r="M15713" t="s">
        <v>43707</v>
      </c>
      <c r="N15713" t="s">
        <v>46569</v>
      </c>
      <c r="O15713" t="s">
        <v>46570</v>
      </c>
      <c r="Q15713">
        <v>84</v>
      </c>
      <c r="R15713" t="s">
        <v>46654</v>
      </c>
      <c r="S15713" t="s">
        <v>48112</v>
      </c>
      <c r="T15713" t="s">
        <v>48228</v>
      </c>
      <c r="U15713" t="s">
        <v>61388</v>
      </c>
      <c r="W15713" t="s">
        <v>43707</v>
      </c>
      <c r="X15713" t="s">
        <v>63624</v>
      </c>
    </row>
    <row r="15714" spans="1:24">
      <c r="A15714">
        <f>HYPERLINK("https://www.philgeps.gov.ph/GEPSNONPILOT/Tender/SplashBidNoticeAbstractUI.aspx?menuIndex=3&amp;refID=6911751&amp;Result=3","6911751")</f>
        <v>0</v>
      </c>
      <c r="B15714" t="s">
        <v>592</v>
      </c>
      <c r="C15714" t="s">
        <v>18503</v>
      </c>
      <c r="D15714" t="s">
        <v>18854</v>
      </c>
      <c r="E15714" t="s">
        <v>32417</v>
      </c>
      <c r="F15714" t="s">
        <v>32664</v>
      </c>
      <c r="G15714" t="s">
        <v>32672</v>
      </c>
      <c r="H15714" t="s">
        <v>32683</v>
      </c>
      <c r="I15714" t="s">
        <v>32738</v>
      </c>
      <c r="J15714" t="s">
        <v>42109</v>
      </c>
      <c r="K15714" t="s">
        <v>42311</v>
      </c>
      <c r="M15714" t="s">
        <v>43411</v>
      </c>
      <c r="N15714" t="s">
        <v>46569</v>
      </c>
      <c r="O15714" t="s">
        <v>46570</v>
      </c>
      <c r="Q15714">
        <v>5</v>
      </c>
      <c r="R15714" t="s">
        <v>46640</v>
      </c>
      <c r="S15714" t="s">
        <v>48113</v>
      </c>
      <c r="T15714" t="s">
        <v>48436</v>
      </c>
      <c r="U15714" t="s">
        <v>61270</v>
      </c>
      <c r="V15714" t="s">
        <v>63410</v>
      </c>
      <c r="W15714" t="s">
        <v>43411</v>
      </c>
      <c r="X15714" t="s">
        <v>46642</v>
      </c>
    </row>
    <row r="15715" spans="1:24">
      <c r="A15715">
        <f>HYPERLINK("https://www.philgeps.gov.ph/GEPSNONPILOT/Tender/SplashBidNoticeAbstractUI.aspx?menuIndex=3&amp;refID=6916849&amp;Result=3","6916849")</f>
        <v>0</v>
      </c>
      <c r="B15715" t="s">
        <v>592</v>
      </c>
      <c r="C15715" t="s">
        <v>18504</v>
      </c>
      <c r="D15715" t="s">
        <v>18788</v>
      </c>
      <c r="E15715" t="s">
        <v>32418</v>
      </c>
      <c r="F15715" t="s">
        <v>32664</v>
      </c>
      <c r="G15715" t="s">
        <v>32672</v>
      </c>
      <c r="H15715" t="s">
        <v>32683</v>
      </c>
      <c r="I15715" t="s">
        <v>10627</v>
      </c>
      <c r="J15715" t="s">
        <v>42110</v>
      </c>
      <c r="K15715" t="s">
        <v>42298</v>
      </c>
      <c r="M15715" t="s">
        <v>43411</v>
      </c>
      <c r="N15715" t="s">
        <v>46569</v>
      </c>
      <c r="O15715" t="s">
        <v>46570</v>
      </c>
      <c r="Q15715">
        <v>3</v>
      </c>
      <c r="R15715" t="s">
        <v>46641</v>
      </c>
      <c r="S15715" t="s">
        <v>48114</v>
      </c>
      <c r="T15715" t="s">
        <v>48279</v>
      </c>
      <c r="U15715" t="s">
        <v>61273</v>
      </c>
      <c r="V15715" t="s">
        <v>63411</v>
      </c>
      <c r="W15715" t="s">
        <v>43411</v>
      </c>
      <c r="X15715" t="s">
        <v>46640</v>
      </c>
    </row>
    <row r="15716" spans="1:24">
      <c r="A15716">
        <f>HYPERLINK("https://www.philgeps.gov.ph/GEPSNONPILOT/Tender/SplashBidNoticeAbstractUI.aspx?menuIndex=3&amp;refID=6906471&amp;Result=3","6906471")</f>
        <v>0</v>
      </c>
      <c r="B15716" t="s">
        <v>3490</v>
      </c>
      <c r="C15716" t="s">
        <v>18505</v>
      </c>
      <c r="D15716" t="s">
        <v>18801</v>
      </c>
      <c r="E15716" t="s">
        <v>32413</v>
      </c>
      <c r="F15716" t="s">
        <v>32664</v>
      </c>
      <c r="G15716" t="s">
        <v>32673</v>
      </c>
      <c r="H15716" t="s">
        <v>12635</v>
      </c>
      <c r="I15716" t="s">
        <v>32705</v>
      </c>
      <c r="J15716" t="s">
        <v>42111</v>
      </c>
      <c r="K15716" t="s">
        <v>42291</v>
      </c>
      <c r="M15716" t="s">
        <v>46502</v>
      </c>
      <c r="N15716" t="s">
        <v>46569</v>
      </c>
      <c r="O15716" t="s">
        <v>46570</v>
      </c>
      <c r="Q15716">
        <v>8</v>
      </c>
      <c r="R15716" t="s">
        <v>46642</v>
      </c>
      <c r="S15716" t="s">
        <v>48115</v>
      </c>
      <c r="T15716" t="s">
        <v>48236</v>
      </c>
      <c r="U15716" t="s">
        <v>61384</v>
      </c>
      <c r="W15716" t="s">
        <v>46502</v>
      </c>
      <c r="X15716" t="s">
        <v>46643</v>
      </c>
    </row>
    <row r="15717" spans="1:24">
      <c r="A15717">
        <f>HYPERLINK("https://www.philgeps.gov.ph/GEPSNONPILOT/Tender/SplashBidNoticeAbstractUI.aspx?menuIndex=3&amp;refID=6916232&amp;Result=3","6916232")</f>
        <v>0</v>
      </c>
      <c r="B15717" t="s">
        <v>3506</v>
      </c>
      <c r="C15717" t="s">
        <v>18506</v>
      </c>
      <c r="D15717" t="s">
        <v>18831</v>
      </c>
      <c r="E15717" t="s">
        <v>32419</v>
      </c>
      <c r="F15717" t="s">
        <v>32664</v>
      </c>
      <c r="G15717" t="s">
        <v>32672</v>
      </c>
      <c r="H15717" t="s">
        <v>12635</v>
      </c>
      <c r="I15717" t="s">
        <v>9946</v>
      </c>
      <c r="J15717" t="s">
        <v>42112</v>
      </c>
      <c r="K15717" t="s">
        <v>42291</v>
      </c>
      <c r="M15717" t="s">
        <v>46537</v>
      </c>
      <c r="N15717" t="s">
        <v>46569</v>
      </c>
      <c r="O15717" t="s">
        <v>46570</v>
      </c>
      <c r="Q15717">
        <v>4</v>
      </c>
      <c r="R15717" t="s">
        <v>46641</v>
      </c>
      <c r="S15717" t="s">
        <v>48116</v>
      </c>
      <c r="T15717" t="s">
        <v>48223</v>
      </c>
      <c r="U15717" t="s">
        <v>61389</v>
      </c>
      <c r="W15717" t="s">
        <v>46537</v>
      </c>
      <c r="X15717" t="s">
        <v>46640</v>
      </c>
    </row>
    <row r="15718" spans="1:24">
      <c r="A15718">
        <f>HYPERLINK("https://www.philgeps.gov.ph/GEPSNONPILOT/Tender/SplashBidNoticeAbstractUI.aspx?menuIndex=3&amp;refID=6920397&amp;Result=3","6920397")</f>
        <v>0</v>
      </c>
      <c r="B15718" t="s">
        <v>592</v>
      </c>
      <c r="C15718" t="s">
        <v>18507</v>
      </c>
      <c r="D15718" t="s">
        <v>18854</v>
      </c>
      <c r="E15718" t="s">
        <v>32420</v>
      </c>
      <c r="F15718" t="s">
        <v>32664</v>
      </c>
      <c r="G15718" t="s">
        <v>32672</v>
      </c>
      <c r="H15718" t="s">
        <v>12635</v>
      </c>
      <c r="I15718" t="s">
        <v>32798</v>
      </c>
      <c r="J15718" t="s">
        <v>42113</v>
      </c>
      <c r="K15718" t="s">
        <v>42281</v>
      </c>
      <c r="M15718" t="s">
        <v>43411</v>
      </c>
      <c r="N15718" t="s">
        <v>46569</v>
      </c>
      <c r="O15718" t="s">
        <v>46570</v>
      </c>
      <c r="Q15718">
        <v>6</v>
      </c>
      <c r="R15718" t="s">
        <v>46639</v>
      </c>
      <c r="S15718" t="s">
        <v>48117</v>
      </c>
      <c r="T15718" t="s">
        <v>48279</v>
      </c>
      <c r="U15718" t="s">
        <v>61390</v>
      </c>
      <c r="V15718" t="s">
        <v>63412</v>
      </c>
      <c r="W15718" t="s">
        <v>43411</v>
      </c>
      <c r="X15718" t="s">
        <v>46641</v>
      </c>
    </row>
    <row r="15719" spans="1:24">
      <c r="A15719">
        <f>HYPERLINK("https://www.philgeps.gov.ph/GEPSNONPILOT/Tender/SplashBidNoticeAbstractUI.aspx?menuIndex=3&amp;refID=6915968&amp;Result=3","6915968")</f>
        <v>0</v>
      </c>
      <c r="B15719" t="s">
        <v>3507</v>
      </c>
      <c r="C15719" t="s">
        <v>18508</v>
      </c>
      <c r="E15719" t="s">
        <v>32421</v>
      </c>
      <c r="F15719" t="s">
        <v>32664</v>
      </c>
      <c r="G15719" t="s">
        <v>32672</v>
      </c>
      <c r="H15719" t="s">
        <v>32682</v>
      </c>
      <c r="I15719" t="s">
        <v>9946</v>
      </c>
      <c r="J15719" t="s">
        <v>42114</v>
      </c>
      <c r="K15719" t="s">
        <v>42471</v>
      </c>
      <c r="M15719" t="s">
        <v>46538</v>
      </c>
      <c r="N15719" t="s">
        <v>46569</v>
      </c>
      <c r="O15719" t="s">
        <v>46570</v>
      </c>
      <c r="Q15719">
        <v>6</v>
      </c>
      <c r="R15719" t="s">
        <v>46641</v>
      </c>
      <c r="S15719" t="s">
        <v>48118</v>
      </c>
      <c r="T15719" t="s">
        <v>48467</v>
      </c>
      <c r="U15719" t="s">
        <v>61391</v>
      </c>
      <c r="W15719" t="s">
        <v>46538</v>
      </c>
      <c r="X15719" t="s">
        <v>46640</v>
      </c>
    </row>
    <row r="15720" spans="1:24">
      <c r="A15720">
        <f>HYPERLINK("https://www.philgeps.gov.ph/GEPSNONPILOT/Tender/SplashBidNoticeAbstractUI.aspx?menuIndex=3&amp;refID=6916361&amp;Result=3","6916361")</f>
        <v>0</v>
      </c>
      <c r="B15720" t="s">
        <v>2739</v>
      </c>
      <c r="C15720" t="s">
        <v>18509</v>
      </c>
      <c r="E15720" t="s">
        <v>32422</v>
      </c>
      <c r="F15720" t="s">
        <v>32664</v>
      </c>
      <c r="G15720" t="s">
        <v>32672</v>
      </c>
      <c r="H15720" t="s">
        <v>12635</v>
      </c>
      <c r="I15720" t="s">
        <v>32701</v>
      </c>
      <c r="J15720" t="s">
        <v>42115</v>
      </c>
      <c r="K15720" t="s">
        <v>42283</v>
      </c>
      <c r="M15720" t="s">
        <v>45573</v>
      </c>
      <c r="N15720" t="s">
        <v>46569</v>
      </c>
      <c r="O15720" t="s">
        <v>46570</v>
      </c>
      <c r="Q15720">
        <v>15</v>
      </c>
      <c r="R15720" t="s">
        <v>46641</v>
      </c>
      <c r="S15720" t="s">
        <v>48119</v>
      </c>
      <c r="T15720" t="s">
        <v>48328</v>
      </c>
      <c r="U15720" t="s">
        <v>61392</v>
      </c>
      <c r="V15720" t="s">
        <v>63413</v>
      </c>
      <c r="W15720" t="s">
        <v>45573</v>
      </c>
      <c r="X15720" t="s">
        <v>46640</v>
      </c>
    </row>
    <row r="15721" spans="1:24">
      <c r="A15721">
        <f>HYPERLINK("https://www.philgeps.gov.ph/GEPSNONPILOT/Tender/SplashBidNoticeAbstractUI.aspx?menuIndex=3&amp;refID=6916447&amp;Result=3","6916447")</f>
        <v>0</v>
      </c>
      <c r="B15721" t="s">
        <v>2739</v>
      </c>
      <c r="C15721" t="s">
        <v>18510</v>
      </c>
      <c r="E15721" t="s">
        <v>32423</v>
      </c>
      <c r="F15721" t="s">
        <v>32664</v>
      </c>
      <c r="G15721" t="s">
        <v>32672</v>
      </c>
      <c r="H15721" t="s">
        <v>12635</v>
      </c>
      <c r="I15721" t="s">
        <v>6168</v>
      </c>
      <c r="J15721" t="s">
        <v>42116</v>
      </c>
      <c r="K15721" t="s">
        <v>42283</v>
      </c>
      <c r="M15721" t="s">
        <v>45573</v>
      </c>
      <c r="N15721" t="s">
        <v>46569</v>
      </c>
      <c r="O15721" t="s">
        <v>46570</v>
      </c>
      <c r="Q15721">
        <v>5</v>
      </c>
      <c r="R15721" t="s">
        <v>46641</v>
      </c>
      <c r="S15721" t="s">
        <v>48120</v>
      </c>
      <c r="T15721" t="s">
        <v>48366</v>
      </c>
      <c r="U15721" t="s">
        <v>61393</v>
      </c>
      <c r="V15721" t="s">
        <v>63414</v>
      </c>
      <c r="W15721" t="s">
        <v>45573</v>
      </c>
      <c r="X15721" t="s">
        <v>46640</v>
      </c>
    </row>
    <row r="15722" spans="1:24">
      <c r="A15722">
        <f>HYPERLINK("https://www.philgeps.gov.ph/GEPSNONPILOT/Tender/SplashBidNoticeAbstractUI.aspx?menuIndex=3&amp;refID=6915972&amp;Result=3","6915972")</f>
        <v>0</v>
      </c>
      <c r="B15722" t="s">
        <v>2339</v>
      </c>
      <c r="C15722" t="s">
        <v>18511</v>
      </c>
      <c r="E15722" t="s">
        <v>32424</v>
      </c>
      <c r="F15722" t="s">
        <v>32664</v>
      </c>
      <c r="G15722" t="s">
        <v>32672</v>
      </c>
      <c r="H15722" t="s">
        <v>32683</v>
      </c>
      <c r="I15722" t="s">
        <v>10627</v>
      </c>
      <c r="J15722" t="s">
        <v>42117</v>
      </c>
      <c r="K15722" t="s">
        <v>42283</v>
      </c>
      <c r="M15722" t="s">
        <v>45119</v>
      </c>
      <c r="N15722" t="s">
        <v>46569</v>
      </c>
      <c r="O15722" t="s">
        <v>46570</v>
      </c>
      <c r="Q15722">
        <v>4</v>
      </c>
      <c r="R15722" t="s">
        <v>46639</v>
      </c>
      <c r="S15722" t="s">
        <v>48121</v>
      </c>
      <c r="T15722" t="s">
        <v>48268</v>
      </c>
      <c r="U15722" t="s">
        <v>61394</v>
      </c>
      <c r="V15722" t="s">
        <v>63415</v>
      </c>
      <c r="W15722" t="s">
        <v>45119</v>
      </c>
      <c r="X15722" t="s">
        <v>46640</v>
      </c>
    </row>
    <row r="15723" spans="1:24">
      <c r="A15723">
        <f>HYPERLINK("https://www.philgeps.gov.ph/GEPSNONPILOT/Tender/SplashBidNoticeAbstractUI.aspx?menuIndex=3&amp;refID=6906995&amp;Result=3","6906995")</f>
        <v>0</v>
      </c>
      <c r="B15723" t="s">
        <v>851</v>
      </c>
      <c r="C15723" t="s">
        <v>18512</v>
      </c>
      <c r="D15723" t="s">
        <v>18829</v>
      </c>
      <c r="E15723" t="s">
        <v>32425</v>
      </c>
      <c r="F15723" t="s">
        <v>32664</v>
      </c>
      <c r="G15723" t="s">
        <v>32672</v>
      </c>
      <c r="H15723" t="s">
        <v>12635</v>
      </c>
      <c r="I15723" t="s">
        <v>4439</v>
      </c>
      <c r="J15723" t="s">
        <v>42118</v>
      </c>
      <c r="K15723" t="s">
        <v>42281</v>
      </c>
      <c r="M15723" t="s">
        <v>46453</v>
      </c>
      <c r="N15723" t="s">
        <v>46569</v>
      </c>
      <c r="O15723" t="s">
        <v>46570</v>
      </c>
      <c r="Q15723">
        <v>10</v>
      </c>
      <c r="R15723" t="s">
        <v>46642</v>
      </c>
      <c r="S15723" t="s">
        <v>48122</v>
      </c>
      <c r="T15723" t="s">
        <v>48268</v>
      </c>
      <c r="U15723" t="s">
        <v>61299</v>
      </c>
      <c r="W15723" t="s">
        <v>46453</v>
      </c>
      <c r="X15723" t="s">
        <v>46643</v>
      </c>
    </row>
    <row r="15724" spans="1:24">
      <c r="A15724">
        <f>HYPERLINK("https://www.philgeps.gov.ph/GEPSNONPILOT/Tender/SplashBidNoticeAbstractUI.aspx?menuIndex=3&amp;refID=6915572&amp;Result=3","6915572")</f>
        <v>0</v>
      </c>
      <c r="B15724" t="s">
        <v>592</v>
      </c>
      <c r="C15724" t="s">
        <v>18513</v>
      </c>
      <c r="D15724" t="s">
        <v>18806</v>
      </c>
      <c r="E15724" t="s">
        <v>32426</v>
      </c>
      <c r="F15724" t="s">
        <v>32664</v>
      </c>
      <c r="G15724" t="s">
        <v>32672</v>
      </c>
      <c r="H15724" t="s">
        <v>12635</v>
      </c>
      <c r="I15724" t="s">
        <v>32738</v>
      </c>
      <c r="J15724" t="s">
        <v>42119</v>
      </c>
      <c r="K15724" t="s">
        <v>42539</v>
      </c>
      <c r="M15724" t="s">
        <v>43411</v>
      </c>
      <c r="N15724" t="s">
        <v>46569</v>
      </c>
      <c r="O15724" t="s">
        <v>46570</v>
      </c>
      <c r="Q15724">
        <v>13</v>
      </c>
      <c r="R15724" t="s">
        <v>46641</v>
      </c>
      <c r="S15724" t="s">
        <v>47680</v>
      </c>
      <c r="T15724" t="s">
        <v>48334</v>
      </c>
      <c r="U15724" t="s">
        <v>61395</v>
      </c>
      <c r="V15724" t="s">
        <v>63416</v>
      </c>
      <c r="W15724" t="s">
        <v>43411</v>
      </c>
      <c r="X15724" t="s">
        <v>46640</v>
      </c>
    </row>
    <row r="15725" spans="1:24">
      <c r="A15725">
        <f>HYPERLINK("https://www.philgeps.gov.ph/GEPSNONPILOT/Tender/SplashBidNoticeAbstractUI.aspx?menuIndex=3&amp;refID=6809465&amp;Result=3","6809465")</f>
        <v>0</v>
      </c>
      <c r="B15725" t="s">
        <v>225</v>
      </c>
      <c r="C15725" t="s">
        <v>18514</v>
      </c>
      <c r="D15725" t="s">
        <v>18784</v>
      </c>
      <c r="E15725" t="s">
        <v>32427</v>
      </c>
      <c r="F15725" t="s">
        <v>32664</v>
      </c>
      <c r="G15725" t="s">
        <v>32672</v>
      </c>
      <c r="H15725" t="s">
        <v>32683</v>
      </c>
      <c r="I15725" t="s">
        <v>10627</v>
      </c>
      <c r="J15725" t="s">
        <v>42120</v>
      </c>
      <c r="K15725" t="s">
        <v>42311</v>
      </c>
      <c r="M15725" t="s">
        <v>43870</v>
      </c>
      <c r="N15725" t="s">
        <v>46569</v>
      </c>
      <c r="O15725" t="s">
        <v>46570</v>
      </c>
      <c r="Q15725">
        <v>128</v>
      </c>
      <c r="R15725" t="s">
        <v>46665</v>
      </c>
      <c r="S15725" t="s">
        <v>48123</v>
      </c>
      <c r="T15725" t="s">
        <v>48219</v>
      </c>
      <c r="U15725" t="s">
        <v>51407</v>
      </c>
      <c r="V15725" t="s">
        <v>63417</v>
      </c>
      <c r="W15725" t="s">
        <v>43870</v>
      </c>
      <c r="X15725" t="s">
        <v>63616</v>
      </c>
    </row>
    <row r="15726" spans="1:24">
      <c r="A15726">
        <f>HYPERLINK("https://www.philgeps.gov.ph/GEPSNONPILOT/Tender/SplashBidNoticeAbstractUI.aspx?menuIndex=3&amp;refID=6916255&amp;Result=3","6916255")</f>
        <v>0</v>
      </c>
      <c r="B15726" t="s">
        <v>2739</v>
      </c>
      <c r="C15726" t="s">
        <v>18515</v>
      </c>
      <c r="E15726" t="s">
        <v>32428</v>
      </c>
      <c r="F15726" t="s">
        <v>32664</v>
      </c>
      <c r="G15726" t="s">
        <v>32672</v>
      </c>
      <c r="H15726" t="s">
        <v>12635</v>
      </c>
      <c r="I15726" t="s">
        <v>6628</v>
      </c>
      <c r="J15726" t="s">
        <v>42121</v>
      </c>
      <c r="K15726" t="s">
        <v>42283</v>
      </c>
      <c r="M15726" t="s">
        <v>45573</v>
      </c>
      <c r="N15726" t="s">
        <v>46569</v>
      </c>
      <c r="O15726" t="s">
        <v>46570</v>
      </c>
      <c r="Q15726">
        <v>22</v>
      </c>
      <c r="R15726" t="s">
        <v>46641</v>
      </c>
      <c r="S15726" t="s">
        <v>48124</v>
      </c>
      <c r="T15726" t="s">
        <v>48328</v>
      </c>
      <c r="U15726" t="s">
        <v>61396</v>
      </c>
      <c r="V15726" t="s">
        <v>63418</v>
      </c>
      <c r="W15726" t="s">
        <v>45573</v>
      </c>
      <c r="X15726" t="s">
        <v>46640</v>
      </c>
    </row>
    <row r="15727" spans="1:24">
      <c r="A15727">
        <f>HYPERLINK("https://www.philgeps.gov.ph/GEPSNONPILOT/Tender/SplashBidNoticeAbstractUI.aspx?menuIndex=3&amp;refID=6865542&amp;Result=3","6865542")</f>
        <v>0</v>
      </c>
      <c r="B15727" t="s">
        <v>2494</v>
      </c>
      <c r="C15727" t="s">
        <v>18516</v>
      </c>
      <c r="D15727" t="s">
        <v>18816</v>
      </c>
      <c r="E15727" t="s">
        <v>32429</v>
      </c>
      <c r="F15727" t="s">
        <v>32664</v>
      </c>
      <c r="G15727" t="s">
        <v>32671</v>
      </c>
      <c r="H15727" t="s">
        <v>12635</v>
      </c>
      <c r="I15727" t="s">
        <v>6628</v>
      </c>
      <c r="J15727" t="s">
        <v>33078</v>
      </c>
      <c r="K15727" t="s">
        <v>42281</v>
      </c>
      <c r="M15727" t="s">
        <v>45296</v>
      </c>
      <c r="N15727" t="s">
        <v>46569</v>
      </c>
      <c r="O15727" t="s">
        <v>46570</v>
      </c>
      <c r="Q15727">
        <v>7</v>
      </c>
      <c r="R15727" t="s">
        <v>46639</v>
      </c>
      <c r="S15727" t="s">
        <v>48125</v>
      </c>
      <c r="T15727" t="s">
        <v>48598</v>
      </c>
      <c r="U15727" t="s">
        <v>61397</v>
      </c>
      <c r="W15727" t="s">
        <v>45296</v>
      </c>
      <c r="X15727" t="s">
        <v>46654</v>
      </c>
    </row>
    <row r="15728" spans="1:24">
      <c r="A15728">
        <f>HYPERLINK("https://www.philgeps.gov.ph/GEPSNONPILOT/Tender/SplashBidNoticeAbstractUI.aspx?menuIndex=3&amp;refID=6809099&amp;Result=3","6809099")</f>
        <v>0</v>
      </c>
      <c r="B15728" t="s">
        <v>796</v>
      </c>
      <c r="C15728" t="s">
        <v>18517</v>
      </c>
      <c r="D15728" t="s">
        <v>18801</v>
      </c>
      <c r="E15728" t="s">
        <v>32430</v>
      </c>
      <c r="F15728" t="s">
        <v>32664</v>
      </c>
      <c r="G15728" t="s">
        <v>32672</v>
      </c>
      <c r="H15728" t="s">
        <v>32683</v>
      </c>
      <c r="I15728" t="s">
        <v>10627</v>
      </c>
      <c r="J15728" t="s">
        <v>34131</v>
      </c>
      <c r="K15728" t="s">
        <v>42311</v>
      </c>
      <c r="M15728" t="s">
        <v>46539</v>
      </c>
      <c r="N15728" t="s">
        <v>46569</v>
      </c>
      <c r="O15728" t="s">
        <v>46570</v>
      </c>
      <c r="Q15728">
        <v>41</v>
      </c>
      <c r="R15728" t="s">
        <v>46665</v>
      </c>
      <c r="S15728" t="s">
        <v>48126</v>
      </c>
      <c r="T15728" t="s">
        <v>48283</v>
      </c>
      <c r="U15728" t="s">
        <v>61398</v>
      </c>
      <c r="W15728" t="s">
        <v>63490</v>
      </c>
      <c r="X15728" t="s">
        <v>63616</v>
      </c>
    </row>
    <row r="15729" spans="1:24">
      <c r="A15729">
        <f>HYPERLINK("https://www.philgeps.gov.ph/GEPSNONPILOT/Tender/SplashBidNoticeAbstractUI.aspx?menuIndex=3&amp;refID=6809081&amp;Result=3","6809081")</f>
        <v>0</v>
      </c>
      <c r="B15729" t="s">
        <v>796</v>
      </c>
      <c r="C15729" t="s">
        <v>18518</v>
      </c>
      <c r="D15729" t="s">
        <v>18801</v>
      </c>
      <c r="E15729" t="s">
        <v>32431</v>
      </c>
      <c r="F15729" t="s">
        <v>32664</v>
      </c>
      <c r="G15729" t="s">
        <v>32672</v>
      </c>
      <c r="H15729" t="s">
        <v>32683</v>
      </c>
      <c r="I15729" t="s">
        <v>10627</v>
      </c>
      <c r="J15729" t="s">
        <v>34147</v>
      </c>
      <c r="K15729" t="s">
        <v>42305</v>
      </c>
      <c r="M15729" t="s">
        <v>43388</v>
      </c>
      <c r="N15729" t="s">
        <v>46569</v>
      </c>
      <c r="O15729" t="s">
        <v>46570</v>
      </c>
      <c r="Q15729">
        <v>36</v>
      </c>
      <c r="R15729" t="s">
        <v>46665</v>
      </c>
      <c r="S15729" t="s">
        <v>48127</v>
      </c>
      <c r="T15729" t="s">
        <v>48283</v>
      </c>
      <c r="U15729" t="s">
        <v>61399</v>
      </c>
      <c r="W15729" t="s">
        <v>63490</v>
      </c>
      <c r="X15729" t="s">
        <v>63616</v>
      </c>
    </row>
    <row r="15730" spans="1:24">
      <c r="A15730">
        <f>HYPERLINK("https://www.philgeps.gov.ph/GEPSNONPILOT/Tender/SplashBidNoticeAbstractUI.aspx?menuIndex=3&amp;refID=6809144&amp;Result=3","6809144")</f>
        <v>0</v>
      </c>
      <c r="B15730" t="s">
        <v>796</v>
      </c>
      <c r="C15730" t="s">
        <v>18519</v>
      </c>
      <c r="D15730" t="s">
        <v>18801</v>
      </c>
      <c r="E15730" t="s">
        <v>32432</v>
      </c>
      <c r="F15730" t="s">
        <v>32664</v>
      </c>
      <c r="G15730" t="s">
        <v>32672</v>
      </c>
      <c r="H15730" t="s">
        <v>32683</v>
      </c>
      <c r="I15730" t="s">
        <v>10627</v>
      </c>
      <c r="J15730" t="s">
        <v>34213</v>
      </c>
      <c r="K15730" t="s">
        <v>42298</v>
      </c>
      <c r="M15730" t="s">
        <v>43388</v>
      </c>
      <c r="N15730" t="s">
        <v>46569</v>
      </c>
      <c r="O15730" t="s">
        <v>46570</v>
      </c>
      <c r="Q15730">
        <v>37</v>
      </c>
      <c r="R15730" t="s">
        <v>46665</v>
      </c>
      <c r="S15730" t="s">
        <v>48128</v>
      </c>
      <c r="T15730" t="s">
        <v>48283</v>
      </c>
      <c r="U15730" t="s">
        <v>61400</v>
      </c>
      <c r="W15730" t="s">
        <v>63490</v>
      </c>
      <c r="X15730" t="s">
        <v>63616</v>
      </c>
    </row>
    <row r="15731" spans="1:24">
      <c r="A15731">
        <f>HYPERLINK("https://www.philgeps.gov.ph/GEPSNONPILOT/Tender/SplashBidNoticeAbstractUI.aspx?menuIndex=3&amp;refID=6809119&amp;Result=3","6809119")</f>
        <v>0</v>
      </c>
      <c r="B15731" t="s">
        <v>796</v>
      </c>
      <c r="C15731" t="s">
        <v>18520</v>
      </c>
      <c r="D15731" t="s">
        <v>18801</v>
      </c>
      <c r="E15731" t="s">
        <v>32433</v>
      </c>
      <c r="F15731" t="s">
        <v>32664</v>
      </c>
      <c r="G15731" t="s">
        <v>32672</v>
      </c>
      <c r="H15731" t="s">
        <v>32683</v>
      </c>
      <c r="I15731" t="s">
        <v>10627</v>
      </c>
      <c r="J15731" t="s">
        <v>34131</v>
      </c>
      <c r="K15731" t="s">
        <v>42311</v>
      </c>
      <c r="M15731" t="s">
        <v>43388</v>
      </c>
      <c r="N15731" t="s">
        <v>46569</v>
      </c>
      <c r="O15731" t="s">
        <v>46570</v>
      </c>
      <c r="Q15731">
        <v>41</v>
      </c>
      <c r="R15731" t="s">
        <v>46665</v>
      </c>
      <c r="S15731" t="s">
        <v>48129</v>
      </c>
      <c r="T15731" t="s">
        <v>48283</v>
      </c>
      <c r="U15731" t="s">
        <v>61401</v>
      </c>
      <c r="W15731" t="s">
        <v>63490</v>
      </c>
      <c r="X15731" t="s">
        <v>63616</v>
      </c>
    </row>
    <row r="15732" spans="1:24">
      <c r="A15732">
        <f>HYPERLINK("https://www.philgeps.gov.ph/GEPSNONPILOT/Tender/SplashBidNoticeAbstractUI.aspx?menuIndex=3&amp;refID=6814324&amp;Result=3","6814324")</f>
        <v>0</v>
      </c>
      <c r="B15732" t="s">
        <v>796</v>
      </c>
      <c r="C15732" t="s">
        <v>18521</v>
      </c>
      <c r="D15732" t="s">
        <v>18801</v>
      </c>
      <c r="E15732" t="s">
        <v>32434</v>
      </c>
      <c r="F15732" t="s">
        <v>32664</v>
      </c>
      <c r="G15732" t="s">
        <v>32672</v>
      </c>
      <c r="H15732" t="s">
        <v>32683</v>
      </c>
      <c r="I15732" t="s">
        <v>10627</v>
      </c>
      <c r="J15732" t="s">
        <v>42122</v>
      </c>
      <c r="K15732" t="s">
        <v>42290</v>
      </c>
      <c r="M15732" t="s">
        <v>43388</v>
      </c>
      <c r="N15732" t="s">
        <v>46569</v>
      </c>
      <c r="O15732" t="s">
        <v>46570</v>
      </c>
      <c r="Q15732">
        <v>74</v>
      </c>
      <c r="R15732" t="s">
        <v>46666</v>
      </c>
      <c r="S15732" t="s">
        <v>48130</v>
      </c>
      <c r="T15732" t="s">
        <v>48283</v>
      </c>
      <c r="U15732" t="s">
        <v>61402</v>
      </c>
      <c r="W15732" t="s">
        <v>63490</v>
      </c>
      <c r="X15732" t="s">
        <v>63628</v>
      </c>
    </row>
    <row r="15733" spans="1:24">
      <c r="A15733">
        <f>HYPERLINK("https://www.philgeps.gov.ph/GEPSNONPILOT/Tender/SplashBidNoticeAbstractUI.aspx?menuIndex=3&amp;refID=6916005&amp;Result=3","6916005")</f>
        <v>0</v>
      </c>
      <c r="B15733" t="s">
        <v>2339</v>
      </c>
      <c r="C15733" t="s">
        <v>18522</v>
      </c>
      <c r="E15733" t="s">
        <v>32435</v>
      </c>
      <c r="F15733" t="s">
        <v>32664</v>
      </c>
      <c r="G15733" t="s">
        <v>32672</v>
      </c>
      <c r="H15733" t="s">
        <v>32683</v>
      </c>
      <c r="I15733" t="s">
        <v>10627</v>
      </c>
      <c r="J15733" t="s">
        <v>42123</v>
      </c>
      <c r="K15733" t="s">
        <v>42283</v>
      </c>
      <c r="M15733" t="s">
        <v>45119</v>
      </c>
      <c r="N15733" t="s">
        <v>46569</v>
      </c>
      <c r="O15733" t="s">
        <v>46570</v>
      </c>
      <c r="Q15733">
        <v>6</v>
      </c>
      <c r="R15733" t="s">
        <v>46639</v>
      </c>
      <c r="S15733" t="s">
        <v>48131</v>
      </c>
      <c r="T15733" t="s">
        <v>48268</v>
      </c>
      <c r="U15733" t="s">
        <v>61403</v>
      </c>
      <c r="V15733" t="s">
        <v>63419</v>
      </c>
      <c r="W15733" t="s">
        <v>45119</v>
      </c>
      <c r="X15733" t="s">
        <v>46640</v>
      </c>
    </row>
    <row r="15734" spans="1:24">
      <c r="A15734">
        <f>HYPERLINK("https://www.philgeps.gov.ph/GEPSNONPILOT/Tender/SplashBidNoticeAbstractUI.aspx?menuIndex=3&amp;refID=6823183&amp;Result=3","6823183")</f>
        <v>0</v>
      </c>
      <c r="B15734" t="s">
        <v>225</v>
      </c>
      <c r="C15734" t="s">
        <v>18523</v>
      </c>
      <c r="D15734" t="s">
        <v>18784</v>
      </c>
      <c r="E15734" t="s">
        <v>32436</v>
      </c>
      <c r="F15734" t="s">
        <v>32664</v>
      </c>
      <c r="G15734" t="s">
        <v>32672</v>
      </c>
      <c r="H15734" t="s">
        <v>32683</v>
      </c>
      <c r="I15734" t="s">
        <v>10627</v>
      </c>
      <c r="J15734" t="s">
        <v>42124</v>
      </c>
      <c r="K15734" t="s">
        <v>42311</v>
      </c>
      <c r="M15734" t="s">
        <v>43870</v>
      </c>
      <c r="N15734" t="s">
        <v>46569</v>
      </c>
      <c r="O15734" t="s">
        <v>46570</v>
      </c>
      <c r="Q15734">
        <v>123</v>
      </c>
      <c r="R15734" t="s">
        <v>46667</v>
      </c>
      <c r="S15734" t="s">
        <v>48132</v>
      </c>
      <c r="T15734" t="s">
        <v>48219</v>
      </c>
      <c r="U15734" t="s">
        <v>51407</v>
      </c>
      <c r="V15734" t="s">
        <v>63420</v>
      </c>
      <c r="W15734" t="s">
        <v>43870</v>
      </c>
      <c r="X15734" t="s">
        <v>63629</v>
      </c>
    </row>
    <row r="15735" spans="1:24">
      <c r="A15735">
        <f>HYPERLINK("https://www.philgeps.gov.ph/GEPSNONPILOT/Tender/SplashBidNoticeAbstractUI.aspx?menuIndex=3&amp;refID=6809461&amp;Result=3","6809461")</f>
        <v>0</v>
      </c>
      <c r="B15735" t="s">
        <v>225</v>
      </c>
      <c r="C15735" t="s">
        <v>18524</v>
      </c>
      <c r="D15735" t="s">
        <v>18784</v>
      </c>
      <c r="E15735" t="s">
        <v>32437</v>
      </c>
      <c r="F15735" t="s">
        <v>32664</v>
      </c>
      <c r="G15735" t="s">
        <v>32672</v>
      </c>
      <c r="H15735" t="s">
        <v>32683</v>
      </c>
      <c r="I15735" t="s">
        <v>10627</v>
      </c>
      <c r="J15735" t="s">
        <v>42125</v>
      </c>
      <c r="K15735" t="s">
        <v>42311</v>
      </c>
      <c r="M15735" t="s">
        <v>43870</v>
      </c>
      <c r="N15735" t="s">
        <v>46569</v>
      </c>
      <c r="O15735" t="s">
        <v>46570</v>
      </c>
      <c r="Q15735">
        <v>130</v>
      </c>
      <c r="R15735" t="s">
        <v>46665</v>
      </c>
      <c r="S15735" t="s">
        <v>48133</v>
      </c>
      <c r="T15735" t="s">
        <v>48219</v>
      </c>
      <c r="U15735" t="s">
        <v>51407</v>
      </c>
      <c r="V15735" t="s">
        <v>63421</v>
      </c>
      <c r="W15735" t="s">
        <v>43870</v>
      </c>
      <c r="X15735" t="s">
        <v>63616</v>
      </c>
    </row>
    <row r="15736" spans="1:24">
      <c r="A15736">
        <f>HYPERLINK("https://www.philgeps.gov.ph/GEPSNONPILOT/Tender/SplashBidNoticeAbstractUI.aspx?menuIndex=3&amp;refID=6814806&amp;Result=3","6814806")</f>
        <v>0</v>
      </c>
      <c r="B15736" t="s">
        <v>2813</v>
      </c>
      <c r="C15736" t="s">
        <v>18525</v>
      </c>
      <c r="E15736" t="s">
        <v>32438</v>
      </c>
      <c r="F15736" t="s">
        <v>32666</v>
      </c>
      <c r="G15736" t="s">
        <v>32680</v>
      </c>
      <c r="H15736" t="s">
        <v>32683</v>
      </c>
      <c r="I15736" t="s">
        <v>10627</v>
      </c>
      <c r="J15736" t="s">
        <v>38708</v>
      </c>
      <c r="K15736" t="s">
        <v>42581</v>
      </c>
      <c r="M15736" t="s">
        <v>46476</v>
      </c>
      <c r="N15736" t="s">
        <v>46569</v>
      </c>
      <c r="O15736" t="s">
        <v>46570</v>
      </c>
      <c r="Q15736">
        <v>43</v>
      </c>
      <c r="R15736" t="s">
        <v>46666</v>
      </c>
      <c r="S15736" t="s">
        <v>48134</v>
      </c>
      <c r="T15736" t="s">
        <v>48283</v>
      </c>
      <c r="U15736" t="s">
        <v>61404</v>
      </c>
      <c r="V15736" t="s">
        <v>56917</v>
      </c>
      <c r="W15736" t="s">
        <v>46476</v>
      </c>
      <c r="X15736" t="s">
        <v>63628</v>
      </c>
    </row>
    <row r="15737" spans="1:24">
      <c r="A15737">
        <f>HYPERLINK("https://www.philgeps.gov.ph/GEPSNONPILOT/Tender/SplashBidNoticeAbstractUI.aspx?menuIndex=3&amp;refID=6814356&amp;Result=3","6814356")</f>
        <v>0</v>
      </c>
      <c r="B15737" t="s">
        <v>796</v>
      </c>
      <c r="C15737" t="s">
        <v>18526</v>
      </c>
      <c r="D15737" t="s">
        <v>18801</v>
      </c>
      <c r="E15737" t="s">
        <v>32439</v>
      </c>
      <c r="F15737" t="s">
        <v>32664</v>
      </c>
      <c r="G15737" t="s">
        <v>32672</v>
      </c>
      <c r="H15737" t="s">
        <v>32683</v>
      </c>
      <c r="I15737" t="s">
        <v>10627</v>
      </c>
      <c r="J15737" t="s">
        <v>39010</v>
      </c>
      <c r="K15737" t="s">
        <v>42477</v>
      </c>
      <c r="M15737" t="s">
        <v>43388</v>
      </c>
      <c r="N15737" t="s">
        <v>46569</v>
      </c>
      <c r="O15737" t="s">
        <v>46570</v>
      </c>
      <c r="Q15737">
        <v>34</v>
      </c>
      <c r="R15737" t="s">
        <v>46666</v>
      </c>
      <c r="S15737" t="s">
        <v>48135</v>
      </c>
      <c r="T15737" t="s">
        <v>48283</v>
      </c>
      <c r="U15737" t="s">
        <v>61402</v>
      </c>
      <c r="W15737" t="s">
        <v>63490</v>
      </c>
      <c r="X15737" t="s">
        <v>63628</v>
      </c>
    </row>
    <row r="15738" spans="1:24">
      <c r="A15738">
        <f>HYPERLINK("https://www.philgeps.gov.ph/GEPSNONPILOT/Tender/SplashBidNoticeAbstractUI.aspx?menuIndex=3&amp;refID=6005560&amp;Result=3","6005560")</f>
        <v>0</v>
      </c>
      <c r="B15738" t="s">
        <v>3508</v>
      </c>
      <c r="C15738" t="s">
        <v>18527</v>
      </c>
      <c r="F15738" t="s">
        <v>32664</v>
      </c>
      <c r="G15738" t="s">
        <v>32672</v>
      </c>
      <c r="H15738" t="s">
        <v>12635</v>
      </c>
      <c r="I15738" t="s">
        <v>10627</v>
      </c>
      <c r="J15738" t="s">
        <v>42126</v>
      </c>
      <c r="K15738" t="s">
        <v>42283</v>
      </c>
      <c r="M15738" t="s">
        <v>46540</v>
      </c>
      <c r="N15738" t="s">
        <v>46569</v>
      </c>
      <c r="O15738" t="s">
        <v>46570</v>
      </c>
      <c r="Q15738">
        <v>0</v>
      </c>
      <c r="R15738" t="s">
        <v>46668</v>
      </c>
      <c r="S15738" t="s">
        <v>48136</v>
      </c>
      <c r="T15738" t="s">
        <v>48254</v>
      </c>
      <c r="U15738" t="s">
        <v>61405</v>
      </c>
      <c r="W15738" t="s">
        <v>46540</v>
      </c>
      <c r="X15738" t="s">
        <v>63630</v>
      </c>
    </row>
    <row r="15739" spans="1:24">
      <c r="A15739">
        <f>HYPERLINK("https://www.philgeps.gov.ph/GEPSNONPILOT/Tender/SplashBidNoticeAbstractUI.aspx?menuIndex=3&amp;refID=6823176&amp;Result=3","6823176")</f>
        <v>0</v>
      </c>
      <c r="B15739" t="s">
        <v>225</v>
      </c>
      <c r="C15739" t="s">
        <v>18528</v>
      </c>
      <c r="D15739" t="s">
        <v>18784</v>
      </c>
      <c r="E15739" t="s">
        <v>32440</v>
      </c>
      <c r="F15739" t="s">
        <v>32664</v>
      </c>
      <c r="G15739" t="s">
        <v>32672</v>
      </c>
      <c r="H15739" t="s">
        <v>32683</v>
      </c>
      <c r="I15739" t="s">
        <v>10627</v>
      </c>
      <c r="J15739" t="s">
        <v>42127</v>
      </c>
      <c r="K15739" t="s">
        <v>42290</v>
      </c>
      <c r="M15739" t="s">
        <v>43870</v>
      </c>
      <c r="N15739" t="s">
        <v>46569</v>
      </c>
      <c r="O15739" t="s">
        <v>46570</v>
      </c>
      <c r="Q15739">
        <v>150</v>
      </c>
      <c r="R15739" t="s">
        <v>46667</v>
      </c>
      <c r="S15739" t="s">
        <v>48137</v>
      </c>
      <c r="T15739" t="s">
        <v>48219</v>
      </c>
      <c r="U15739" t="s">
        <v>51407</v>
      </c>
      <c r="V15739" t="s">
        <v>63422</v>
      </c>
      <c r="W15739" t="s">
        <v>43870</v>
      </c>
      <c r="X15739" t="s">
        <v>63629</v>
      </c>
    </row>
    <row r="15740" spans="1:24">
      <c r="A15740">
        <f>HYPERLINK("https://www.philgeps.gov.ph/GEPSNONPILOT/Tender/SplashBidNoticeAbstractUI.aspx?menuIndex=3&amp;refID=6359238&amp;Result=3","6359238")</f>
        <v>0</v>
      </c>
      <c r="B15740" t="s">
        <v>1572</v>
      </c>
      <c r="C15740" t="s">
        <v>18529</v>
      </c>
      <c r="D15740" t="s">
        <v>18798</v>
      </c>
      <c r="E15740" t="s">
        <v>32441</v>
      </c>
      <c r="F15740" t="s">
        <v>32664</v>
      </c>
      <c r="G15740" t="s">
        <v>32674</v>
      </c>
      <c r="H15740" t="s">
        <v>12635</v>
      </c>
      <c r="I15740" t="s">
        <v>32684</v>
      </c>
      <c r="J15740" t="s">
        <v>32859</v>
      </c>
      <c r="K15740" t="s">
        <v>42289</v>
      </c>
      <c r="M15740" t="s">
        <v>44247</v>
      </c>
      <c r="N15740" t="s">
        <v>46569</v>
      </c>
      <c r="O15740" t="s">
        <v>46570</v>
      </c>
      <c r="Q15740">
        <v>11</v>
      </c>
      <c r="R15740" t="s">
        <v>46669</v>
      </c>
      <c r="S15740" t="s">
        <v>48138</v>
      </c>
      <c r="T15740" t="s">
        <v>48280</v>
      </c>
      <c r="U15740" t="s">
        <v>61406</v>
      </c>
      <c r="V15740" t="s">
        <v>63423</v>
      </c>
      <c r="W15740" t="s">
        <v>44247</v>
      </c>
      <c r="X15740" t="s">
        <v>63631</v>
      </c>
    </row>
    <row r="15741" spans="1:24">
      <c r="A15741">
        <f>HYPERLINK("https://www.philgeps.gov.ph/GEPSNONPILOT/Tender/SplashBidNoticeAbstractUI.aspx?menuIndex=3&amp;refID=6809446&amp;Result=3","6809446")</f>
        <v>0</v>
      </c>
      <c r="B15741" t="s">
        <v>225</v>
      </c>
      <c r="C15741" t="s">
        <v>18530</v>
      </c>
      <c r="D15741" t="s">
        <v>18784</v>
      </c>
      <c r="E15741" t="s">
        <v>32442</v>
      </c>
      <c r="F15741" t="s">
        <v>32664</v>
      </c>
      <c r="G15741" t="s">
        <v>32672</v>
      </c>
      <c r="H15741" t="s">
        <v>32683</v>
      </c>
      <c r="I15741" t="s">
        <v>10627</v>
      </c>
      <c r="J15741" t="s">
        <v>42128</v>
      </c>
      <c r="K15741" t="s">
        <v>42290</v>
      </c>
      <c r="M15741" t="s">
        <v>43870</v>
      </c>
      <c r="N15741" t="s">
        <v>46569</v>
      </c>
      <c r="O15741" t="s">
        <v>46570</v>
      </c>
      <c r="Q15741">
        <v>156</v>
      </c>
      <c r="R15741" t="s">
        <v>46665</v>
      </c>
      <c r="S15741" t="s">
        <v>48139</v>
      </c>
      <c r="T15741" t="s">
        <v>48219</v>
      </c>
      <c r="U15741" t="s">
        <v>61407</v>
      </c>
      <c r="V15741" t="s">
        <v>63424</v>
      </c>
      <c r="W15741" t="s">
        <v>43870</v>
      </c>
      <c r="X15741" t="s">
        <v>63616</v>
      </c>
    </row>
    <row r="15742" spans="1:24">
      <c r="A15742">
        <f>HYPERLINK("https://www.philgeps.gov.ph/GEPSNONPILOT/Tender/SplashBidNoticeAbstractUI.aspx?menuIndex=3&amp;refID=6523881&amp;Result=3","6523881")</f>
        <v>0</v>
      </c>
      <c r="B15742" t="s">
        <v>184</v>
      </c>
      <c r="C15742" t="s">
        <v>18531</v>
      </c>
      <c r="D15742" t="s">
        <v>18825</v>
      </c>
      <c r="E15742" t="s">
        <v>32443</v>
      </c>
      <c r="F15742" t="s">
        <v>32664</v>
      </c>
      <c r="G15742" t="s">
        <v>32675</v>
      </c>
      <c r="H15742" t="s">
        <v>12635</v>
      </c>
      <c r="I15742" t="s">
        <v>32756</v>
      </c>
      <c r="J15742" t="s">
        <v>42129</v>
      </c>
      <c r="K15742" t="s">
        <v>42284</v>
      </c>
      <c r="M15742" t="s">
        <v>42748</v>
      </c>
      <c r="N15742" t="s">
        <v>46569</v>
      </c>
      <c r="O15742" t="s">
        <v>46570</v>
      </c>
      <c r="Q15742">
        <v>6</v>
      </c>
      <c r="R15742" t="s">
        <v>46670</v>
      </c>
      <c r="S15742" t="s">
        <v>48140</v>
      </c>
      <c r="T15742" t="s">
        <v>48228</v>
      </c>
      <c r="U15742" t="s">
        <v>61408</v>
      </c>
      <c r="W15742" t="s">
        <v>42748</v>
      </c>
      <c r="X15742" t="s">
        <v>63632</v>
      </c>
    </row>
    <row r="15743" spans="1:24">
      <c r="A15743">
        <f>HYPERLINK("https://www.philgeps.gov.ph/GEPSNONPILOT/Tender/SplashBidNoticeAbstractUI.aspx?menuIndex=3&amp;refID=6619256&amp;Result=3","6619256")</f>
        <v>0</v>
      </c>
      <c r="B15743" t="s">
        <v>1558</v>
      </c>
      <c r="C15743" t="s">
        <v>18532</v>
      </c>
      <c r="D15743" t="s">
        <v>18801</v>
      </c>
      <c r="E15743" t="s">
        <v>32444</v>
      </c>
      <c r="F15743" t="s">
        <v>32664</v>
      </c>
      <c r="G15743" t="s">
        <v>32672</v>
      </c>
      <c r="H15743" t="s">
        <v>32683</v>
      </c>
      <c r="I15743" t="s">
        <v>10627</v>
      </c>
      <c r="J15743" t="s">
        <v>42130</v>
      </c>
      <c r="K15743" t="s">
        <v>42311</v>
      </c>
      <c r="M15743" t="s">
        <v>46513</v>
      </c>
      <c r="N15743" t="s">
        <v>46569</v>
      </c>
      <c r="O15743" t="s">
        <v>46570</v>
      </c>
      <c r="Q15743">
        <v>14</v>
      </c>
      <c r="R15743" t="s">
        <v>46671</v>
      </c>
      <c r="S15743" t="s">
        <v>47263</v>
      </c>
      <c r="T15743" t="s">
        <v>48765</v>
      </c>
      <c r="U15743" t="s">
        <v>61371</v>
      </c>
      <c r="W15743" t="s">
        <v>46513</v>
      </c>
      <c r="X15743" t="s">
        <v>63633</v>
      </c>
    </row>
    <row r="15744" spans="1:24">
      <c r="A15744">
        <f>HYPERLINK("https://www.philgeps.gov.ph/GEPSNONPILOT/Tender/SplashBidNoticeAbstractUI.aspx?menuIndex=3&amp;refID=6620808&amp;Result=3","6620808")</f>
        <v>0</v>
      </c>
      <c r="B15744" t="s">
        <v>3509</v>
      </c>
      <c r="C15744" t="s">
        <v>18533</v>
      </c>
      <c r="D15744" t="s">
        <v>18807</v>
      </c>
      <c r="E15744" t="s">
        <v>32445</v>
      </c>
      <c r="F15744" t="s">
        <v>32664</v>
      </c>
      <c r="G15744" t="s">
        <v>32672</v>
      </c>
      <c r="H15744" t="s">
        <v>32683</v>
      </c>
      <c r="I15744" t="s">
        <v>10627</v>
      </c>
      <c r="J15744" t="s">
        <v>42131</v>
      </c>
      <c r="K15744" t="s">
        <v>42283</v>
      </c>
      <c r="M15744" t="s">
        <v>46541</v>
      </c>
      <c r="N15744" t="s">
        <v>46569</v>
      </c>
      <c r="O15744" t="s">
        <v>46570</v>
      </c>
      <c r="Q15744">
        <v>5</v>
      </c>
      <c r="R15744" t="s">
        <v>46672</v>
      </c>
      <c r="S15744" t="s">
        <v>48141</v>
      </c>
      <c r="T15744" t="s">
        <v>48312</v>
      </c>
      <c r="U15744" t="s">
        <v>61409</v>
      </c>
      <c r="V15744" t="s">
        <v>63425</v>
      </c>
      <c r="W15744" t="s">
        <v>46541</v>
      </c>
      <c r="X15744" t="s">
        <v>46671</v>
      </c>
    </row>
    <row r="15745" spans="1:24">
      <c r="A15745">
        <f>HYPERLINK("https://www.philgeps.gov.ph/GEPSNONPILOT/Tender/SplashBidNoticeAbstractUI.aspx?menuIndex=3&amp;refID=6705237&amp;Result=3","6705237")</f>
        <v>0</v>
      </c>
      <c r="B15745" t="s">
        <v>3358</v>
      </c>
      <c r="C15745" t="s">
        <v>18534</v>
      </c>
      <c r="D15745" t="s">
        <v>18831</v>
      </c>
      <c r="E15745" t="s">
        <v>32446</v>
      </c>
      <c r="F15745" t="s">
        <v>32664</v>
      </c>
      <c r="G15745" t="s">
        <v>32672</v>
      </c>
      <c r="H15745" t="s">
        <v>32683</v>
      </c>
      <c r="I15745" t="s">
        <v>10627</v>
      </c>
      <c r="J15745" t="s">
        <v>34379</v>
      </c>
      <c r="K15745" t="s">
        <v>42314</v>
      </c>
      <c r="M15745" t="s">
        <v>46316</v>
      </c>
      <c r="N15745" t="s">
        <v>46569</v>
      </c>
      <c r="O15745" t="s">
        <v>46570</v>
      </c>
      <c r="Q15745">
        <v>5</v>
      </c>
      <c r="R15745" t="s">
        <v>46673</v>
      </c>
      <c r="S15745" t="s">
        <v>48142</v>
      </c>
      <c r="T15745" t="s">
        <v>48287</v>
      </c>
      <c r="U15745" t="s">
        <v>61410</v>
      </c>
      <c r="W15745" t="s">
        <v>46316</v>
      </c>
      <c r="X15745" t="s">
        <v>63634</v>
      </c>
    </row>
    <row r="15746" spans="1:24">
      <c r="A15746">
        <f>HYPERLINK("https://www.philgeps.gov.ph/GEPSNONPILOT/Tender/SplashBidNoticeAbstractUI.aspx?menuIndex=3&amp;refID=6380865&amp;Result=3","6380865")</f>
        <v>0</v>
      </c>
      <c r="B15746" t="s">
        <v>895</v>
      </c>
      <c r="C15746" t="s">
        <v>18535</v>
      </c>
      <c r="D15746" t="s">
        <v>18784</v>
      </c>
      <c r="E15746" t="s">
        <v>32447</v>
      </c>
      <c r="F15746" t="s">
        <v>32664</v>
      </c>
      <c r="G15746" t="s">
        <v>32674</v>
      </c>
      <c r="H15746" t="s">
        <v>12635</v>
      </c>
      <c r="I15746" t="s">
        <v>32704</v>
      </c>
      <c r="J15746" t="s">
        <v>33051</v>
      </c>
      <c r="K15746" t="s">
        <v>42284</v>
      </c>
      <c r="M15746" t="s">
        <v>43499</v>
      </c>
      <c r="N15746" t="s">
        <v>46569</v>
      </c>
      <c r="O15746" t="s">
        <v>46570</v>
      </c>
      <c r="Q15746">
        <v>8</v>
      </c>
      <c r="R15746" t="s">
        <v>46674</v>
      </c>
      <c r="S15746" t="s">
        <v>47365</v>
      </c>
      <c r="T15746" t="s">
        <v>48256</v>
      </c>
      <c r="U15746" t="s">
        <v>61411</v>
      </c>
      <c r="W15746" t="s">
        <v>43499</v>
      </c>
      <c r="X15746" t="s">
        <v>63635</v>
      </c>
    </row>
    <row r="15747" spans="1:24">
      <c r="A15747">
        <f>HYPERLINK("https://www.philgeps.gov.ph/GEPSNONPILOT/Tender/SplashBidNoticeAbstractUI.aspx?menuIndex=3&amp;refID=6705215&amp;Result=3","6705215")</f>
        <v>0</v>
      </c>
      <c r="B15747" t="s">
        <v>3358</v>
      </c>
      <c r="C15747" t="s">
        <v>18536</v>
      </c>
      <c r="D15747" t="s">
        <v>18831</v>
      </c>
      <c r="E15747" t="s">
        <v>32448</v>
      </c>
      <c r="F15747" t="s">
        <v>32664</v>
      </c>
      <c r="G15747" t="s">
        <v>32672</v>
      </c>
      <c r="H15747" t="s">
        <v>32683</v>
      </c>
      <c r="I15747" t="s">
        <v>10627</v>
      </c>
      <c r="J15747" t="s">
        <v>34379</v>
      </c>
      <c r="K15747" t="s">
        <v>42314</v>
      </c>
      <c r="M15747" t="s">
        <v>46316</v>
      </c>
      <c r="N15747" t="s">
        <v>46569</v>
      </c>
      <c r="O15747" t="s">
        <v>46570</v>
      </c>
      <c r="Q15747">
        <v>3</v>
      </c>
      <c r="R15747" t="s">
        <v>46673</v>
      </c>
      <c r="S15747" t="s">
        <v>48143</v>
      </c>
      <c r="T15747" t="s">
        <v>48287</v>
      </c>
      <c r="U15747" t="s">
        <v>60333</v>
      </c>
      <c r="W15747" t="s">
        <v>46316</v>
      </c>
      <c r="X15747" t="s">
        <v>63634</v>
      </c>
    </row>
    <row r="15748" spans="1:24">
      <c r="A15748">
        <f>HYPERLINK("https://www.philgeps.gov.ph/GEPSNONPILOT/Tender/SplashBidNoticeAbstractUI.aspx?menuIndex=3&amp;refID=6705199&amp;Result=3","6705199")</f>
        <v>0</v>
      </c>
      <c r="B15748" t="s">
        <v>3358</v>
      </c>
      <c r="C15748" t="s">
        <v>18537</v>
      </c>
      <c r="D15748" t="s">
        <v>18831</v>
      </c>
      <c r="E15748" t="s">
        <v>32449</v>
      </c>
      <c r="F15748" t="s">
        <v>32664</v>
      </c>
      <c r="G15748" t="s">
        <v>32672</v>
      </c>
      <c r="H15748" t="s">
        <v>32683</v>
      </c>
      <c r="I15748" t="s">
        <v>10627</v>
      </c>
      <c r="J15748" t="s">
        <v>34379</v>
      </c>
      <c r="K15748" t="s">
        <v>42314</v>
      </c>
      <c r="M15748" t="s">
        <v>46316</v>
      </c>
      <c r="N15748" t="s">
        <v>46569</v>
      </c>
      <c r="O15748" t="s">
        <v>46570</v>
      </c>
      <c r="Q15748">
        <v>2</v>
      </c>
      <c r="R15748" t="s">
        <v>46673</v>
      </c>
      <c r="S15748" t="s">
        <v>48144</v>
      </c>
      <c r="T15748" t="s">
        <v>48287</v>
      </c>
      <c r="U15748" t="s">
        <v>60333</v>
      </c>
      <c r="W15748" t="s">
        <v>46316</v>
      </c>
      <c r="X15748" t="s">
        <v>63634</v>
      </c>
    </row>
    <row r="15749" spans="1:24">
      <c r="A15749">
        <f>HYPERLINK("https://www.philgeps.gov.ph/GEPSNONPILOT/Tender/SplashBidNoticeAbstractUI.aspx?menuIndex=3&amp;refID=6785474&amp;Result=3","6785474")</f>
        <v>0</v>
      </c>
      <c r="B15749" t="s">
        <v>1558</v>
      </c>
      <c r="C15749" t="s">
        <v>18538</v>
      </c>
      <c r="D15749" t="s">
        <v>18801</v>
      </c>
      <c r="E15749" t="s">
        <v>32450</v>
      </c>
      <c r="F15749" t="s">
        <v>32664</v>
      </c>
      <c r="G15749" t="s">
        <v>32672</v>
      </c>
      <c r="H15749" t="s">
        <v>32683</v>
      </c>
      <c r="I15749" t="s">
        <v>10627</v>
      </c>
      <c r="J15749" t="s">
        <v>42132</v>
      </c>
      <c r="K15749" t="s">
        <v>42290</v>
      </c>
      <c r="M15749" t="s">
        <v>46513</v>
      </c>
      <c r="N15749" t="s">
        <v>46569</v>
      </c>
      <c r="O15749" t="s">
        <v>46570</v>
      </c>
      <c r="Q15749">
        <v>16</v>
      </c>
      <c r="R15749" t="s">
        <v>46675</v>
      </c>
      <c r="S15749" t="s">
        <v>46695</v>
      </c>
      <c r="T15749" t="s">
        <v>48765</v>
      </c>
      <c r="U15749" t="s">
        <v>61412</v>
      </c>
      <c r="W15749" t="s">
        <v>46513</v>
      </c>
      <c r="X15749" t="s">
        <v>63636</v>
      </c>
    </row>
    <row r="15750" spans="1:24">
      <c r="A15750">
        <f>HYPERLINK("https://www.philgeps.gov.ph/GEPSNONPILOT/Tender/SplashBidNoticeAbstractUI.aspx?menuIndex=3&amp;refID=6814291&amp;Result=3","6814291")</f>
        <v>0</v>
      </c>
      <c r="B15750" t="s">
        <v>895</v>
      </c>
      <c r="C15750" t="s">
        <v>18539</v>
      </c>
      <c r="D15750" t="s">
        <v>18784</v>
      </c>
      <c r="E15750" t="s">
        <v>32451</v>
      </c>
      <c r="F15750" t="s">
        <v>32664</v>
      </c>
      <c r="G15750" t="s">
        <v>32674</v>
      </c>
      <c r="H15750" t="s">
        <v>12635</v>
      </c>
      <c r="I15750" t="s">
        <v>32694</v>
      </c>
      <c r="J15750" t="s">
        <v>42133</v>
      </c>
      <c r="K15750" t="s">
        <v>42284</v>
      </c>
      <c r="M15750" t="s">
        <v>43499</v>
      </c>
      <c r="N15750" t="s">
        <v>46569</v>
      </c>
      <c r="O15750" t="s">
        <v>46570</v>
      </c>
      <c r="Q15750">
        <v>4</v>
      </c>
      <c r="R15750" t="s">
        <v>46666</v>
      </c>
      <c r="S15750" t="s">
        <v>48071</v>
      </c>
      <c r="T15750" t="s">
        <v>48256</v>
      </c>
      <c r="U15750" t="s">
        <v>61413</v>
      </c>
      <c r="W15750" t="s">
        <v>43499</v>
      </c>
      <c r="X15750" t="s">
        <v>63628</v>
      </c>
    </row>
    <row r="15751" spans="1:24">
      <c r="A15751">
        <f>HYPERLINK("https://www.philgeps.gov.ph/GEPSNONPILOT/Tender/SplashBidNoticeAbstractUI.aspx?menuIndex=3&amp;refID=6642207&amp;Result=3","6642207")</f>
        <v>0</v>
      </c>
      <c r="B15751" t="s">
        <v>1572</v>
      </c>
      <c r="C15751" t="s">
        <v>18540</v>
      </c>
      <c r="D15751" t="s">
        <v>18798</v>
      </c>
      <c r="E15751" t="s">
        <v>32452</v>
      </c>
      <c r="F15751" t="s">
        <v>32664</v>
      </c>
      <c r="G15751" t="s">
        <v>32671</v>
      </c>
      <c r="H15751" t="s">
        <v>12635</v>
      </c>
      <c r="I15751" t="s">
        <v>10627</v>
      </c>
      <c r="J15751" t="s">
        <v>42134</v>
      </c>
      <c r="K15751" t="s">
        <v>42298</v>
      </c>
      <c r="M15751" t="s">
        <v>44247</v>
      </c>
      <c r="N15751" t="s">
        <v>46569</v>
      </c>
      <c r="O15751" t="s">
        <v>46570</v>
      </c>
      <c r="Q15751">
        <v>3</v>
      </c>
      <c r="R15751" t="s">
        <v>46676</v>
      </c>
      <c r="S15751" t="s">
        <v>48145</v>
      </c>
      <c r="T15751" t="s">
        <v>48280</v>
      </c>
      <c r="U15751" t="s">
        <v>61414</v>
      </c>
      <c r="V15751" t="s">
        <v>63423</v>
      </c>
      <c r="W15751" t="s">
        <v>44247</v>
      </c>
      <c r="X15751" t="s">
        <v>63637</v>
      </c>
    </row>
    <row r="15752" spans="1:24">
      <c r="A15752">
        <f>HYPERLINK("https://www.philgeps.gov.ph/GEPSNONPILOT/Tender/SplashBidNoticeAbstractUI.aspx?menuIndex=3&amp;refID=6917556&amp;Result=3","6917556")</f>
        <v>0</v>
      </c>
      <c r="B15752" t="s">
        <v>1131</v>
      </c>
      <c r="C15752" t="s">
        <v>18541</v>
      </c>
      <c r="D15752" t="s">
        <v>18847</v>
      </c>
      <c r="E15752" t="s">
        <v>32453</v>
      </c>
      <c r="F15752" t="s">
        <v>32664</v>
      </c>
      <c r="G15752" t="s">
        <v>32672</v>
      </c>
      <c r="H15752" t="s">
        <v>12635</v>
      </c>
      <c r="I15752" t="s">
        <v>8730</v>
      </c>
      <c r="J15752" t="s">
        <v>42135</v>
      </c>
      <c r="K15752" t="s">
        <v>42298</v>
      </c>
      <c r="M15752" t="s">
        <v>43760</v>
      </c>
      <c r="N15752" t="s">
        <v>46569</v>
      </c>
      <c r="O15752" t="s">
        <v>46570</v>
      </c>
      <c r="Q15752">
        <v>20</v>
      </c>
      <c r="R15752" t="s">
        <v>46639</v>
      </c>
      <c r="S15752" t="s">
        <v>47309</v>
      </c>
      <c r="T15752" t="s">
        <v>48433</v>
      </c>
      <c r="U15752" t="s">
        <v>56045</v>
      </c>
      <c r="W15752" t="s">
        <v>43760</v>
      </c>
      <c r="X15752" t="s">
        <v>46641</v>
      </c>
    </row>
    <row r="15753" spans="1:24">
      <c r="A15753">
        <f>HYPERLINK("https://www.philgeps.gov.ph/GEPSNONPILOT/Tender/SplashBidNoticeAbstractUI.aspx?menuIndex=3&amp;refID=6414330&amp;Result=3","6414330")</f>
        <v>0</v>
      </c>
      <c r="B15753" t="s">
        <v>1558</v>
      </c>
      <c r="C15753" t="s">
        <v>18542</v>
      </c>
      <c r="D15753" t="s">
        <v>18801</v>
      </c>
      <c r="E15753" t="s">
        <v>32454</v>
      </c>
      <c r="F15753" t="s">
        <v>32664</v>
      </c>
      <c r="G15753" t="s">
        <v>32672</v>
      </c>
      <c r="H15753" t="s">
        <v>32681</v>
      </c>
      <c r="I15753" t="s">
        <v>32681</v>
      </c>
      <c r="J15753" t="s">
        <v>39294</v>
      </c>
      <c r="K15753" t="s">
        <v>42404</v>
      </c>
      <c r="M15753" t="s">
        <v>46513</v>
      </c>
      <c r="N15753" t="s">
        <v>46569</v>
      </c>
      <c r="O15753" t="s">
        <v>46570</v>
      </c>
      <c r="Q15753">
        <v>15</v>
      </c>
      <c r="R15753" t="s">
        <v>46677</v>
      </c>
      <c r="S15753" t="s">
        <v>47565</v>
      </c>
      <c r="T15753" t="s">
        <v>48765</v>
      </c>
      <c r="U15753" t="s">
        <v>61415</v>
      </c>
      <c r="W15753" t="s">
        <v>46513</v>
      </c>
      <c r="X15753" t="s">
        <v>63638</v>
      </c>
    </row>
    <row r="15754" spans="1:24">
      <c r="A15754">
        <f>HYPERLINK("https://www.philgeps.gov.ph/GEPSNONPILOT/Tender/SplashBidNoticeAbstractUI.aspx?menuIndex=3&amp;refID=6823172&amp;Result=3","6823172")</f>
        <v>0</v>
      </c>
      <c r="B15754" t="s">
        <v>225</v>
      </c>
      <c r="C15754" t="s">
        <v>18543</v>
      </c>
      <c r="D15754" t="s">
        <v>18784</v>
      </c>
      <c r="E15754" t="s">
        <v>32455</v>
      </c>
      <c r="F15754" t="s">
        <v>32664</v>
      </c>
      <c r="G15754" t="s">
        <v>32672</v>
      </c>
      <c r="H15754" t="s">
        <v>32683</v>
      </c>
      <c r="I15754" t="s">
        <v>10627</v>
      </c>
      <c r="J15754" t="s">
        <v>42136</v>
      </c>
      <c r="K15754" t="s">
        <v>42311</v>
      </c>
      <c r="M15754" t="s">
        <v>43870</v>
      </c>
      <c r="N15754" t="s">
        <v>46569</v>
      </c>
      <c r="O15754" t="s">
        <v>46570</v>
      </c>
      <c r="Q15754">
        <v>126</v>
      </c>
      <c r="R15754" t="s">
        <v>46667</v>
      </c>
      <c r="S15754" t="s">
        <v>48146</v>
      </c>
      <c r="T15754" t="s">
        <v>48219</v>
      </c>
      <c r="U15754" t="s">
        <v>51407</v>
      </c>
      <c r="V15754" t="s">
        <v>63426</v>
      </c>
      <c r="W15754" t="s">
        <v>43870</v>
      </c>
      <c r="X15754" t="s">
        <v>63629</v>
      </c>
    </row>
    <row r="15755" spans="1:24">
      <c r="A15755">
        <f>HYPERLINK("https://www.philgeps.gov.ph/GEPSNONPILOT/Tender/SplashBidNoticeAbstractUI.aspx?menuIndex=3&amp;refID=6771902&amp;Result=3","6771902")</f>
        <v>0</v>
      </c>
      <c r="B15755" t="s">
        <v>3353</v>
      </c>
      <c r="C15755" t="s">
        <v>18544</v>
      </c>
      <c r="E15755" t="s">
        <v>32456</v>
      </c>
      <c r="F15755" t="s">
        <v>32664</v>
      </c>
      <c r="G15755" t="s">
        <v>32672</v>
      </c>
      <c r="H15755" t="s">
        <v>32683</v>
      </c>
      <c r="I15755" t="s">
        <v>10627</v>
      </c>
      <c r="J15755" t="s">
        <v>42137</v>
      </c>
      <c r="K15755" t="s">
        <v>42283</v>
      </c>
      <c r="M15755" t="s">
        <v>46542</v>
      </c>
      <c r="N15755" t="s">
        <v>46569</v>
      </c>
      <c r="O15755" t="s">
        <v>46570</v>
      </c>
      <c r="Q15755">
        <v>54</v>
      </c>
      <c r="R15755" t="s">
        <v>46678</v>
      </c>
      <c r="S15755" t="s">
        <v>48147</v>
      </c>
      <c r="T15755" t="s">
        <v>48213</v>
      </c>
      <c r="U15755" t="s">
        <v>61416</v>
      </c>
      <c r="W15755" t="s">
        <v>46542</v>
      </c>
      <c r="X15755" t="s">
        <v>63639</v>
      </c>
    </row>
    <row r="15756" spans="1:24">
      <c r="A15756">
        <f>HYPERLINK("https://www.philgeps.gov.ph/GEPSNONPILOT/Tender/SplashBidNoticeAbstractUI.aspx?menuIndex=3&amp;refID=6831693&amp;Result=3","6831693")</f>
        <v>0</v>
      </c>
      <c r="B15756" t="s">
        <v>225</v>
      </c>
      <c r="C15756" t="s">
        <v>18545</v>
      </c>
      <c r="D15756" t="s">
        <v>18784</v>
      </c>
      <c r="E15756" t="s">
        <v>32457</v>
      </c>
      <c r="F15756" t="s">
        <v>32664</v>
      </c>
      <c r="G15756" t="s">
        <v>32672</v>
      </c>
      <c r="H15756" t="s">
        <v>32683</v>
      </c>
      <c r="I15756" t="s">
        <v>10627</v>
      </c>
      <c r="J15756" t="s">
        <v>42138</v>
      </c>
      <c r="K15756" t="s">
        <v>42290</v>
      </c>
      <c r="M15756" t="s">
        <v>43870</v>
      </c>
      <c r="N15756" t="s">
        <v>46569</v>
      </c>
      <c r="O15756" t="s">
        <v>46570</v>
      </c>
      <c r="Q15756">
        <v>154</v>
      </c>
      <c r="R15756" t="s">
        <v>46679</v>
      </c>
      <c r="S15756" t="s">
        <v>48148</v>
      </c>
      <c r="T15756" t="s">
        <v>48219</v>
      </c>
      <c r="U15756" t="s">
        <v>51407</v>
      </c>
      <c r="V15756" t="s">
        <v>63427</v>
      </c>
      <c r="W15756" t="s">
        <v>43870</v>
      </c>
      <c r="X15756" t="s">
        <v>46681</v>
      </c>
    </row>
    <row r="15757" spans="1:24">
      <c r="A15757">
        <f>HYPERLINK("https://www.philgeps.gov.ph/GEPSNONPILOT/Tender/SplashBidNoticeAbstractUI.aspx?menuIndex=3&amp;refID=6926015&amp;Result=3","6926015")</f>
        <v>0</v>
      </c>
      <c r="B15757" t="s">
        <v>1247</v>
      </c>
      <c r="C15757" t="s">
        <v>18546</v>
      </c>
      <c r="D15757" t="s">
        <v>18802</v>
      </c>
      <c r="E15757" t="s">
        <v>32458</v>
      </c>
      <c r="F15757" t="s">
        <v>32664</v>
      </c>
      <c r="G15757" t="s">
        <v>32672</v>
      </c>
      <c r="H15757" t="s">
        <v>32683</v>
      </c>
      <c r="I15757" t="s">
        <v>10627</v>
      </c>
      <c r="J15757" t="s">
        <v>42139</v>
      </c>
      <c r="K15757" t="s">
        <v>42478</v>
      </c>
      <c r="M15757" t="s">
        <v>43889</v>
      </c>
      <c r="N15757" t="s">
        <v>46569</v>
      </c>
      <c r="O15757" t="s">
        <v>46570</v>
      </c>
      <c r="Q15757">
        <v>0</v>
      </c>
      <c r="R15757" t="s">
        <v>46636</v>
      </c>
      <c r="S15757" t="s">
        <v>48149</v>
      </c>
      <c r="T15757" t="s">
        <v>48415</v>
      </c>
      <c r="U15757" t="s">
        <v>61417</v>
      </c>
      <c r="W15757" t="s">
        <v>43889</v>
      </c>
      <c r="X15757" t="s">
        <v>46637</v>
      </c>
    </row>
    <row r="15758" spans="1:24">
      <c r="A15758">
        <f>HYPERLINK("https://www.philgeps.gov.ph/GEPSNONPILOT/Tender/SplashBidNoticeAbstractUI.aspx?menuIndex=3&amp;refID=6912190&amp;Result=3","6912190")</f>
        <v>0</v>
      </c>
      <c r="B15758" t="s">
        <v>1838</v>
      </c>
      <c r="C15758" t="s">
        <v>18547</v>
      </c>
      <c r="D15758" t="s">
        <v>18799</v>
      </c>
      <c r="E15758" t="s">
        <v>32459</v>
      </c>
      <c r="F15758" t="s">
        <v>32664</v>
      </c>
      <c r="G15758" t="s">
        <v>32672</v>
      </c>
      <c r="H15758" t="s">
        <v>12635</v>
      </c>
      <c r="I15758" t="s">
        <v>32688</v>
      </c>
      <c r="J15758" t="s">
        <v>39171</v>
      </c>
      <c r="K15758" t="s">
        <v>42298</v>
      </c>
      <c r="M15758" t="s">
        <v>45039</v>
      </c>
      <c r="N15758" t="s">
        <v>46569</v>
      </c>
      <c r="O15758" t="s">
        <v>46570</v>
      </c>
      <c r="Q15758">
        <v>16</v>
      </c>
      <c r="R15758" t="s">
        <v>46640</v>
      </c>
      <c r="S15758" t="s">
        <v>48150</v>
      </c>
      <c r="T15758" t="s">
        <v>48307</v>
      </c>
      <c r="U15758" t="s">
        <v>61418</v>
      </c>
      <c r="W15758" t="s">
        <v>45039</v>
      </c>
      <c r="X15758" t="s">
        <v>46642</v>
      </c>
    </row>
    <row r="15759" spans="1:24">
      <c r="A15759">
        <f>HYPERLINK("https://www.philgeps.gov.ph/GEPSNONPILOT/Tender/SplashBidNoticeAbstractUI.aspx?menuIndex=3&amp;refID=6931820&amp;Result=3","6931820")</f>
        <v>0</v>
      </c>
      <c r="B15759" t="s">
        <v>1247</v>
      </c>
      <c r="C15759" t="s">
        <v>18548</v>
      </c>
      <c r="D15759" t="s">
        <v>18802</v>
      </c>
      <c r="E15759" t="s">
        <v>32460</v>
      </c>
      <c r="F15759" t="s">
        <v>32664</v>
      </c>
      <c r="G15759" t="s">
        <v>32672</v>
      </c>
      <c r="H15759" t="s">
        <v>32683</v>
      </c>
      <c r="I15759" t="s">
        <v>10627</v>
      </c>
      <c r="J15759" t="s">
        <v>33508</v>
      </c>
      <c r="K15759" t="s">
        <v>42577</v>
      </c>
      <c r="M15759" t="s">
        <v>43889</v>
      </c>
      <c r="N15759" t="s">
        <v>46569</v>
      </c>
      <c r="O15759" t="s">
        <v>46570</v>
      </c>
      <c r="Q15759">
        <v>0</v>
      </c>
      <c r="R15759" t="s">
        <v>46635</v>
      </c>
      <c r="S15759" t="s">
        <v>48151</v>
      </c>
      <c r="T15759" t="s">
        <v>48389</v>
      </c>
      <c r="U15759" t="s">
        <v>61419</v>
      </c>
      <c r="W15759" t="s">
        <v>43889</v>
      </c>
      <c r="X15759" t="s">
        <v>46636</v>
      </c>
    </row>
    <row r="15760" spans="1:24">
      <c r="A15760">
        <f>HYPERLINK("https://www.philgeps.gov.ph/GEPSNONPILOT/Tender/SplashBidNoticeAbstractUI.aspx?menuIndex=3&amp;refID=6931496&amp;Result=3","6931496")</f>
        <v>0</v>
      </c>
      <c r="B15760" t="s">
        <v>2892</v>
      </c>
      <c r="C15760" t="s">
        <v>18549</v>
      </c>
      <c r="D15760" t="s">
        <v>18782</v>
      </c>
      <c r="E15760" t="s">
        <v>32461</v>
      </c>
      <c r="F15760" t="s">
        <v>32664</v>
      </c>
      <c r="G15760" t="s">
        <v>32672</v>
      </c>
      <c r="H15760" t="s">
        <v>12635</v>
      </c>
      <c r="I15760" t="s">
        <v>6223</v>
      </c>
      <c r="J15760" t="s">
        <v>33175</v>
      </c>
      <c r="K15760" t="s">
        <v>42289</v>
      </c>
      <c r="M15760" t="s">
        <v>45742</v>
      </c>
      <c r="N15760" t="s">
        <v>46569</v>
      </c>
      <c r="O15760" t="s">
        <v>46570</v>
      </c>
      <c r="Q15760">
        <v>4</v>
      </c>
      <c r="R15760" t="s">
        <v>46635</v>
      </c>
      <c r="S15760" t="s">
        <v>47393</v>
      </c>
      <c r="T15760" t="s">
        <v>48283</v>
      </c>
      <c r="U15760" t="s">
        <v>61420</v>
      </c>
      <c r="V15760" t="s">
        <v>63428</v>
      </c>
      <c r="W15760" t="s">
        <v>45742</v>
      </c>
      <c r="X15760" t="s">
        <v>46636</v>
      </c>
    </row>
    <row r="15761" spans="1:24">
      <c r="A15761">
        <f>HYPERLINK("https://www.philgeps.gov.ph/GEPSNONPILOT/Tender/SplashBidNoticeAbstractUI.aspx?menuIndex=3&amp;refID=6930969&amp;Result=3","6930969")</f>
        <v>0</v>
      </c>
      <c r="B15761" t="s">
        <v>209</v>
      </c>
      <c r="C15761" t="s">
        <v>18550</v>
      </c>
      <c r="D15761" t="s">
        <v>18789</v>
      </c>
      <c r="E15761" t="s">
        <v>32462</v>
      </c>
      <c r="F15761" t="s">
        <v>32664</v>
      </c>
      <c r="G15761" t="s">
        <v>32671</v>
      </c>
      <c r="H15761" t="s">
        <v>12635</v>
      </c>
      <c r="I15761" t="s">
        <v>32753</v>
      </c>
      <c r="J15761" t="s">
        <v>42140</v>
      </c>
      <c r="K15761" t="s">
        <v>42330</v>
      </c>
      <c r="M15761" t="s">
        <v>42773</v>
      </c>
      <c r="N15761" t="s">
        <v>46569</v>
      </c>
      <c r="O15761" t="s">
        <v>46570</v>
      </c>
      <c r="Q15761">
        <v>5</v>
      </c>
      <c r="R15761" t="s">
        <v>46635</v>
      </c>
      <c r="S15761" t="s">
        <v>48152</v>
      </c>
      <c r="T15761" t="s">
        <v>48304</v>
      </c>
      <c r="U15761" t="s">
        <v>61421</v>
      </c>
      <c r="W15761" t="s">
        <v>42773</v>
      </c>
      <c r="X15761" t="s">
        <v>46636</v>
      </c>
    </row>
    <row r="15762" spans="1:24">
      <c r="A15762">
        <f>HYPERLINK("https://www.philgeps.gov.ph/GEPSNONPILOT/Tender/SplashBidNoticeAbstractUI.aspx?menuIndex=3&amp;refID=6826300&amp;Result=3","6826300")</f>
        <v>0</v>
      </c>
      <c r="B15762" t="s">
        <v>1049</v>
      </c>
      <c r="C15762" t="s">
        <v>18551</v>
      </c>
      <c r="D15762" t="s">
        <v>18831</v>
      </c>
      <c r="E15762" t="s">
        <v>32463</v>
      </c>
      <c r="F15762" t="s">
        <v>32664</v>
      </c>
      <c r="G15762" t="s">
        <v>32671</v>
      </c>
      <c r="H15762" t="s">
        <v>12635</v>
      </c>
      <c r="I15762" t="s">
        <v>32699</v>
      </c>
      <c r="J15762" t="s">
        <v>32917</v>
      </c>
      <c r="K15762" t="s">
        <v>42281</v>
      </c>
      <c r="M15762" t="s">
        <v>43666</v>
      </c>
      <c r="N15762" t="s">
        <v>46569</v>
      </c>
      <c r="O15762" t="s">
        <v>46570</v>
      </c>
      <c r="Q15762">
        <v>0</v>
      </c>
      <c r="R15762" t="s">
        <v>46680</v>
      </c>
      <c r="S15762" t="s">
        <v>48153</v>
      </c>
      <c r="T15762" t="s">
        <v>48427</v>
      </c>
      <c r="U15762" t="s">
        <v>61422</v>
      </c>
      <c r="W15762" t="s">
        <v>63505</v>
      </c>
      <c r="X15762" t="s">
        <v>46667</v>
      </c>
    </row>
    <row r="15763" spans="1:24">
      <c r="A15763">
        <f>HYPERLINK("https://www.philgeps.gov.ph/GEPSNONPILOT/Tender/SplashBidNoticeAbstractUI.aspx?menuIndex=3&amp;refID=6935583&amp;Result=3","6935583")</f>
        <v>0</v>
      </c>
      <c r="B15763" t="s">
        <v>1247</v>
      </c>
      <c r="C15763" t="s">
        <v>18552</v>
      </c>
      <c r="D15763" t="s">
        <v>18802</v>
      </c>
      <c r="E15763" t="s">
        <v>32464</v>
      </c>
      <c r="F15763" t="s">
        <v>32664</v>
      </c>
      <c r="G15763" t="s">
        <v>32672</v>
      </c>
      <c r="H15763" t="s">
        <v>32683</v>
      </c>
      <c r="I15763" t="s">
        <v>10627</v>
      </c>
      <c r="J15763" t="s">
        <v>38920</v>
      </c>
      <c r="K15763" t="s">
        <v>42290</v>
      </c>
      <c r="M15763" t="s">
        <v>43889</v>
      </c>
      <c r="N15763" t="s">
        <v>46569</v>
      </c>
      <c r="O15763" t="s">
        <v>46570</v>
      </c>
      <c r="Q15763">
        <v>0</v>
      </c>
      <c r="R15763" t="s">
        <v>46633</v>
      </c>
      <c r="S15763" t="s">
        <v>48154</v>
      </c>
      <c r="T15763" t="s">
        <v>48363</v>
      </c>
      <c r="U15763" t="s">
        <v>61423</v>
      </c>
      <c r="W15763" t="s">
        <v>43889</v>
      </c>
      <c r="X15763" t="s">
        <v>46635</v>
      </c>
    </row>
    <row r="15764" spans="1:24">
      <c r="A15764">
        <f>HYPERLINK("https://www.philgeps.gov.ph/GEPSNONPILOT/Tender/SplashBidNoticeAbstractUI.aspx?menuIndex=3&amp;refID=6931149&amp;Result=3","6931149")</f>
        <v>0</v>
      </c>
      <c r="B15764" t="s">
        <v>1247</v>
      </c>
      <c r="C15764" t="s">
        <v>18553</v>
      </c>
      <c r="D15764" t="s">
        <v>18802</v>
      </c>
      <c r="E15764" t="s">
        <v>32465</v>
      </c>
      <c r="F15764" t="s">
        <v>32664</v>
      </c>
      <c r="G15764" t="s">
        <v>32672</v>
      </c>
      <c r="H15764" t="s">
        <v>32683</v>
      </c>
      <c r="I15764" t="s">
        <v>10627</v>
      </c>
      <c r="J15764" t="s">
        <v>35087</v>
      </c>
      <c r="K15764" t="s">
        <v>42364</v>
      </c>
      <c r="M15764" t="s">
        <v>43889</v>
      </c>
      <c r="N15764" t="s">
        <v>46569</v>
      </c>
      <c r="O15764" t="s">
        <v>46570</v>
      </c>
      <c r="Q15764">
        <v>0</v>
      </c>
      <c r="R15764" t="s">
        <v>46635</v>
      </c>
      <c r="S15764" t="s">
        <v>48155</v>
      </c>
      <c r="T15764" t="s">
        <v>48389</v>
      </c>
      <c r="U15764" t="s">
        <v>61424</v>
      </c>
      <c r="W15764" t="s">
        <v>43889</v>
      </c>
      <c r="X15764" t="s">
        <v>46636</v>
      </c>
    </row>
    <row r="15765" spans="1:24">
      <c r="A15765">
        <f>HYPERLINK("https://www.philgeps.gov.ph/GEPSNONPILOT/Tender/SplashBidNoticeAbstractUI.aspx?menuIndex=3&amp;refID=6935580&amp;Result=3","6935580")</f>
        <v>0</v>
      </c>
      <c r="B15765" t="s">
        <v>592</v>
      </c>
      <c r="C15765" t="s">
        <v>18554</v>
      </c>
      <c r="D15765" t="s">
        <v>18854</v>
      </c>
      <c r="E15765" t="s">
        <v>32466</v>
      </c>
      <c r="F15765" t="s">
        <v>32664</v>
      </c>
      <c r="G15765" t="s">
        <v>32672</v>
      </c>
      <c r="H15765" t="s">
        <v>32683</v>
      </c>
      <c r="I15765" t="s">
        <v>10627</v>
      </c>
      <c r="J15765" t="s">
        <v>42141</v>
      </c>
      <c r="K15765" t="s">
        <v>42290</v>
      </c>
      <c r="M15765" t="s">
        <v>43411</v>
      </c>
      <c r="N15765" t="s">
        <v>46569</v>
      </c>
      <c r="O15765" t="s">
        <v>46570</v>
      </c>
      <c r="Q15765">
        <v>4</v>
      </c>
      <c r="R15765" t="s">
        <v>46633</v>
      </c>
      <c r="S15765" t="s">
        <v>48156</v>
      </c>
      <c r="T15765" t="s">
        <v>48334</v>
      </c>
      <c r="U15765" t="s">
        <v>61425</v>
      </c>
      <c r="V15765" t="s">
        <v>63429</v>
      </c>
      <c r="W15765" t="s">
        <v>43411</v>
      </c>
      <c r="X15765" t="s">
        <v>46635</v>
      </c>
    </row>
    <row r="15766" spans="1:24">
      <c r="A15766">
        <f>HYPERLINK("https://www.philgeps.gov.ph/GEPSNONPILOT/Tender/SplashBidNoticeAbstractUI.aspx?menuIndex=3&amp;refID=6935540&amp;Result=3","6935540")</f>
        <v>0</v>
      </c>
      <c r="B15766" t="s">
        <v>366</v>
      </c>
      <c r="C15766" t="s">
        <v>18555</v>
      </c>
      <c r="D15766" t="s">
        <v>18785</v>
      </c>
      <c r="E15766" t="s">
        <v>32467</v>
      </c>
      <c r="F15766" t="s">
        <v>32664</v>
      </c>
      <c r="G15766" t="s">
        <v>32672</v>
      </c>
      <c r="H15766" t="s">
        <v>12635</v>
      </c>
      <c r="I15766" t="s">
        <v>32704</v>
      </c>
      <c r="J15766" t="s">
        <v>42142</v>
      </c>
      <c r="K15766" t="s">
        <v>42283</v>
      </c>
      <c r="M15766" t="s">
        <v>46503</v>
      </c>
      <c r="N15766" t="s">
        <v>46569</v>
      </c>
      <c r="O15766" t="s">
        <v>46570</v>
      </c>
      <c r="Q15766">
        <v>37</v>
      </c>
      <c r="R15766" t="s">
        <v>46633</v>
      </c>
      <c r="S15766" t="s">
        <v>48157</v>
      </c>
      <c r="T15766" t="s">
        <v>48759</v>
      </c>
      <c r="U15766" t="s">
        <v>61426</v>
      </c>
      <c r="V15766" t="s">
        <v>63354</v>
      </c>
      <c r="W15766" t="s">
        <v>46503</v>
      </c>
      <c r="X15766" t="s">
        <v>46635</v>
      </c>
    </row>
    <row r="15767" spans="1:24">
      <c r="A15767">
        <f>HYPERLINK("https://www.philgeps.gov.ph/GEPSNONPILOT/Tender/SplashBidNoticeAbstractUI.aspx?menuIndex=3&amp;refID=6828937&amp;Result=3","6828937")</f>
        <v>0</v>
      </c>
      <c r="B15767" t="s">
        <v>2951</v>
      </c>
      <c r="C15767" t="s">
        <v>18556</v>
      </c>
      <c r="D15767" t="s">
        <v>18789</v>
      </c>
      <c r="E15767" t="s">
        <v>32468</v>
      </c>
      <c r="F15767" t="s">
        <v>32664</v>
      </c>
      <c r="G15767" t="s">
        <v>32672</v>
      </c>
      <c r="H15767" t="s">
        <v>32683</v>
      </c>
      <c r="I15767" t="s">
        <v>10627</v>
      </c>
      <c r="J15767" t="s">
        <v>42143</v>
      </c>
      <c r="K15767" t="s">
        <v>42301</v>
      </c>
      <c r="M15767" t="s">
        <v>45805</v>
      </c>
      <c r="N15767" t="s">
        <v>46569</v>
      </c>
      <c r="O15767" t="s">
        <v>46570</v>
      </c>
      <c r="Q15767">
        <v>10</v>
      </c>
      <c r="R15767" t="s">
        <v>46681</v>
      </c>
      <c r="S15767" t="s">
        <v>48158</v>
      </c>
      <c r="T15767" t="s">
        <v>48225</v>
      </c>
      <c r="U15767" t="s">
        <v>61427</v>
      </c>
      <c r="W15767" t="s">
        <v>45805</v>
      </c>
      <c r="X15767" t="s">
        <v>46680</v>
      </c>
    </row>
    <row r="15768" spans="1:24">
      <c r="A15768">
        <f>HYPERLINK("https://www.philgeps.gov.ph/GEPSNONPILOT/Tender/SplashBidNoticeAbstractUI.aspx?menuIndex=3&amp;refID=6931327&amp;Result=3","6931327")</f>
        <v>0</v>
      </c>
      <c r="B15768" t="s">
        <v>2892</v>
      </c>
      <c r="C15768" t="s">
        <v>18557</v>
      </c>
      <c r="D15768" t="s">
        <v>18782</v>
      </c>
      <c r="E15768" t="s">
        <v>32469</v>
      </c>
      <c r="F15768" t="s">
        <v>32664</v>
      </c>
      <c r="G15768" t="s">
        <v>32672</v>
      </c>
      <c r="H15768" t="s">
        <v>12635</v>
      </c>
      <c r="I15768" t="s">
        <v>6223</v>
      </c>
      <c r="J15768" t="s">
        <v>42144</v>
      </c>
      <c r="K15768" t="s">
        <v>42289</v>
      </c>
      <c r="M15768" t="s">
        <v>45742</v>
      </c>
      <c r="N15768" t="s">
        <v>46569</v>
      </c>
      <c r="O15768" t="s">
        <v>46570</v>
      </c>
      <c r="Q15768">
        <v>3</v>
      </c>
      <c r="R15768" t="s">
        <v>46635</v>
      </c>
      <c r="S15768" t="s">
        <v>48159</v>
      </c>
      <c r="T15768" t="s">
        <v>48283</v>
      </c>
      <c r="U15768" t="s">
        <v>61428</v>
      </c>
      <c r="V15768" t="s">
        <v>63430</v>
      </c>
      <c r="W15768" t="s">
        <v>45742</v>
      </c>
      <c r="X15768" t="s">
        <v>46636</v>
      </c>
    </row>
    <row r="15769" spans="1:24">
      <c r="A15769">
        <f>HYPERLINK("https://www.philgeps.gov.ph/GEPSNONPILOT/Tender/SplashBidNoticeAbstractUI.aspx?menuIndex=3&amp;refID=6934879&amp;Result=3","6934879")</f>
        <v>0</v>
      </c>
      <c r="B15769" t="s">
        <v>1922</v>
      </c>
      <c r="C15769" t="s">
        <v>18558</v>
      </c>
      <c r="D15769" t="s">
        <v>18827</v>
      </c>
      <c r="E15769" t="s">
        <v>32470</v>
      </c>
      <c r="F15769" t="s">
        <v>32664</v>
      </c>
      <c r="G15769" t="s">
        <v>32672</v>
      </c>
      <c r="H15769" t="s">
        <v>32683</v>
      </c>
      <c r="I15769" t="s">
        <v>10627</v>
      </c>
      <c r="J15769" t="s">
        <v>34131</v>
      </c>
      <c r="K15769" t="s">
        <v>42290</v>
      </c>
      <c r="M15769" t="s">
        <v>44782</v>
      </c>
      <c r="N15769" t="s">
        <v>46569</v>
      </c>
      <c r="O15769" t="s">
        <v>46570</v>
      </c>
      <c r="Q15769">
        <v>0</v>
      </c>
      <c r="R15769" t="s">
        <v>46633</v>
      </c>
      <c r="S15769" t="s">
        <v>48160</v>
      </c>
      <c r="T15769" t="s">
        <v>48487</v>
      </c>
      <c r="U15769" t="s">
        <v>61429</v>
      </c>
      <c r="W15769" t="s">
        <v>44782</v>
      </c>
      <c r="X15769" t="s">
        <v>46635</v>
      </c>
    </row>
    <row r="15770" spans="1:24">
      <c r="A15770">
        <f>HYPERLINK("https://www.philgeps.gov.ph/GEPSNONPILOT/Tender/SplashBidNoticeAbstractUI.aspx?menuIndex=3&amp;refID=6825173&amp;Result=3","6825173")</f>
        <v>0</v>
      </c>
      <c r="B15770" t="s">
        <v>1620</v>
      </c>
      <c r="C15770" t="s">
        <v>18559</v>
      </c>
      <c r="E15770" t="s">
        <v>32471</v>
      </c>
      <c r="F15770" t="s">
        <v>32664</v>
      </c>
      <c r="G15770" t="s">
        <v>32672</v>
      </c>
      <c r="H15770" t="s">
        <v>32683</v>
      </c>
      <c r="I15770" t="s">
        <v>10627</v>
      </c>
      <c r="J15770" t="s">
        <v>42145</v>
      </c>
      <c r="K15770" t="s">
        <v>42308</v>
      </c>
      <c r="M15770" t="s">
        <v>44300</v>
      </c>
      <c r="N15770" t="s">
        <v>46569</v>
      </c>
      <c r="O15770" t="s">
        <v>46570</v>
      </c>
      <c r="Q15770">
        <v>111</v>
      </c>
      <c r="R15770" t="s">
        <v>46680</v>
      </c>
      <c r="S15770" t="s">
        <v>48161</v>
      </c>
      <c r="T15770" t="s">
        <v>48275</v>
      </c>
      <c r="U15770" t="s">
        <v>61430</v>
      </c>
      <c r="W15770" t="s">
        <v>44300</v>
      </c>
      <c r="X15770" t="s">
        <v>46667</v>
      </c>
    </row>
    <row r="15771" spans="1:24">
      <c r="A15771">
        <f>HYPERLINK("https://www.philgeps.gov.ph/GEPSNONPILOT/Tender/SplashBidNoticeAbstractUI.aspx?menuIndex=3&amp;refID=6935377&amp;Result=3","6935377")</f>
        <v>0</v>
      </c>
      <c r="B15771" t="s">
        <v>366</v>
      </c>
      <c r="C15771" t="s">
        <v>18560</v>
      </c>
      <c r="D15771" t="s">
        <v>18785</v>
      </c>
      <c r="E15771" t="s">
        <v>32472</v>
      </c>
      <c r="F15771" t="s">
        <v>32664</v>
      </c>
      <c r="G15771" t="s">
        <v>32672</v>
      </c>
      <c r="H15771" t="s">
        <v>12635</v>
      </c>
      <c r="I15771" t="s">
        <v>5589</v>
      </c>
      <c r="J15771" t="s">
        <v>42146</v>
      </c>
      <c r="K15771" t="s">
        <v>42283</v>
      </c>
      <c r="M15771" t="s">
        <v>46503</v>
      </c>
      <c r="N15771" t="s">
        <v>46569</v>
      </c>
      <c r="O15771" t="s">
        <v>46570</v>
      </c>
      <c r="Q15771">
        <v>13</v>
      </c>
      <c r="R15771" t="s">
        <v>46633</v>
      </c>
      <c r="S15771" t="s">
        <v>48162</v>
      </c>
      <c r="T15771" t="s">
        <v>48759</v>
      </c>
      <c r="U15771" t="s">
        <v>61431</v>
      </c>
      <c r="V15771" t="s">
        <v>63354</v>
      </c>
      <c r="W15771" t="s">
        <v>46503</v>
      </c>
      <c r="X15771" t="s">
        <v>46635</v>
      </c>
    </row>
    <row r="15772" spans="1:24">
      <c r="A15772">
        <f>HYPERLINK("https://www.philgeps.gov.ph/GEPSNONPILOT/Tender/SplashBidNoticeAbstractUI.aspx?menuIndex=3&amp;refID=6939956&amp;Result=3","6939956")</f>
        <v>0</v>
      </c>
      <c r="B15772" t="s">
        <v>1048</v>
      </c>
      <c r="C15772" t="s">
        <v>18561</v>
      </c>
      <c r="D15772" t="s">
        <v>18831</v>
      </c>
      <c r="E15772" t="s">
        <v>32473</v>
      </c>
      <c r="F15772" t="s">
        <v>32664</v>
      </c>
      <c r="G15772" t="s">
        <v>32672</v>
      </c>
      <c r="H15772" t="s">
        <v>32681</v>
      </c>
      <c r="I15772" t="s">
        <v>32681</v>
      </c>
      <c r="J15772" t="s">
        <v>41644</v>
      </c>
      <c r="K15772" t="s">
        <v>42290</v>
      </c>
      <c r="M15772" t="s">
        <v>44326</v>
      </c>
      <c r="N15772" t="s">
        <v>46569</v>
      </c>
      <c r="O15772" t="s">
        <v>46570</v>
      </c>
      <c r="Q15772">
        <v>2</v>
      </c>
      <c r="R15772" t="s">
        <v>46682</v>
      </c>
      <c r="S15772" t="s">
        <v>48163</v>
      </c>
      <c r="T15772" t="s">
        <v>48225</v>
      </c>
      <c r="U15772" t="s">
        <v>61432</v>
      </c>
      <c r="W15772" t="s">
        <v>44326</v>
      </c>
      <c r="X15772" t="s">
        <v>63640</v>
      </c>
    </row>
    <row r="15773" spans="1:24">
      <c r="A15773">
        <f>HYPERLINK("https://www.philgeps.gov.ph/GEPSNONPILOT/Tender/SplashBidNoticeAbstractUI.aspx?menuIndex=3&amp;refID=6939801&amp;Result=3","6939801")</f>
        <v>0</v>
      </c>
      <c r="B15773" t="s">
        <v>851</v>
      </c>
      <c r="C15773" t="s">
        <v>18562</v>
      </c>
      <c r="D15773" t="s">
        <v>18829</v>
      </c>
      <c r="E15773" t="s">
        <v>32474</v>
      </c>
      <c r="F15773" t="s">
        <v>32664</v>
      </c>
      <c r="G15773" t="s">
        <v>32672</v>
      </c>
      <c r="H15773" t="s">
        <v>12635</v>
      </c>
      <c r="I15773" t="s">
        <v>5589</v>
      </c>
      <c r="J15773" t="s">
        <v>33804</v>
      </c>
      <c r="K15773" t="s">
        <v>42281</v>
      </c>
      <c r="M15773" t="s">
        <v>46453</v>
      </c>
      <c r="N15773" t="s">
        <v>46569</v>
      </c>
      <c r="O15773" t="s">
        <v>46570</v>
      </c>
      <c r="Q15773">
        <v>1</v>
      </c>
      <c r="R15773" t="s">
        <v>46682</v>
      </c>
      <c r="S15773" t="s">
        <v>48034</v>
      </c>
      <c r="T15773" t="s">
        <v>48268</v>
      </c>
      <c r="U15773" t="s">
        <v>50429</v>
      </c>
      <c r="W15773" t="s">
        <v>46453</v>
      </c>
      <c r="X15773" t="s">
        <v>63640</v>
      </c>
    </row>
    <row r="15774" spans="1:24">
      <c r="A15774">
        <f>HYPERLINK("https://www.philgeps.gov.ph/GEPSNONPILOT/Tender/SplashBidNoticeAbstractUI.aspx?menuIndex=3&amp;refID=6935285&amp;Result=3","6935285")</f>
        <v>0</v>
      </c>
      <c r="B15774" t="s">
        <v>1247</v>
      </c>
      <c r="C15774" t="s">
        <v>18563</v>
      </c>
      <c r="D15774" t="s">
        <v>18802</v>
      </c>
      <c r="E15774" t="s">
        <v>32475</v>
      </c>
      <c r="F15774" t="s">
        <v>32664</v>
      </c>
      <c r="G15774" t="s">
        <v>32672</v>
      </c>
      <c r="H15774" t="s">
        <v>32683</v>
      </c>
      <c r="I15774" t="s">
        <v>10627</v>
      </c>
      <c r="J15774" t="s">
        <v>33508</v>
      </c>
      <c r="K15774" t="s">
        <v>42458</v>
      </c>
      <c r="M15774" t="s">
        <v>43889</v>
      </c>
      <c r="N15774" t="s">
        <v>46569</v>
      </c>
      <c r="O15774" t="s">
        <v>46570</v>
      </c>
      <c r="Q15774">
        <v>0</v>
      </c>
      <c r="R15774" t="s">
        <v>46633</v>
      </c>
      <c r="S15774" t="s">
        <v>48164</v>
      </c>
      <c r="T15774" t="s">
        <v>48363</v>
      </c>
      <c r="U15774" t="s">
        <v>61433</v>
      </c>
      <c r="W15774" t="s">
        <v>43889</v>
      </c>
      <c r="X15774" t="s">
        <v>46635</v>
      </c>
    </row>
    <row r="15775" spans="1:24">
      <c r="A15775">
        <f>HYPERLINK("https://www.philgeps.gov.ph/GEPSNONPILOT/Tender/SplashBidNoticeAbstractUI.aspx?menuIndex=3&amp;refID=6935039&amp;Result=3","6935039")</f>
        <v>0</v>
      </c>
      <c r="B15775" t="s">
        <v>2469</v>
      </c>
      <c r="C15775" t="s">
        <v>18564</v>
      </c>
      <c r="D15775" t="s">
        <v>18801</v>
      </c>
      <c r="E15775" t="s">
        <v>32476</v>
      </c>
      <c r="F15775" t="s">
        <v>32664</v>
      </c>
      <c r="G15775" t="s">
        <v>32672</v>
      </c>
      <c r="H15775" t="s">
        <v>12635</v>
      </c>
      <c r="I15775" t="s">
        <v>32735</v>
      </c>
      <c r="J15775" t="s">
        <v>32865</v>
      </c>
      <c r="K15775" t="s">
        <v>42303</v>
      </c>
      <c r="M15775" t="s">
        <v>45270</v>
      </c>
      <c r="N15775" t="s">
        <v>46569</v>
      </c>
      <c r="O15775" t="s">
        <v>46570</v>
      </c>
      <c r="Q15775">
        <v>6</v>
      </c>
      <c r="R15775" t="s">
        <v>46633</v>
      </c>
      <c r="S15775" t="s">
        <v>48165</v>
      </c>
      <c r="T15775" t="s">
        <v>48449</v>
      </c>
      <c r="U15775" t="s">
        <v>55574</v>
      </c>
      <c r="V15775" t="s">
        <v>62260</v>
      </c>
      <c r="W15775" t="s">
        <v>63561</v>
      </c>
      <c r="X15775" t="s">
        <v>46635</v>
      </c>
    </row>
    <row r="15776" spans="1:24">
      <c r="A15776">
        <f>HYPERLINK("https://www.philgeps.gov.ph/GEPSNONPILOT/Tender/SplashBidNoticeAbstractUI.aspx?menuIndex=3&amp;refID=6939748&amp;Result=3","6939748")</f>
        <v>0</v>
      </c>
      <c r="B15776" t="s">
        <v>366</v>
      </c>
      <c r="C15776" t="s">
        <v>18565</v>
      </c>
      <c r="D15776" t="s">
        <v>18785</v>
      </c>
      <c r="E15776" t="s">
        <v>32477</v>
      </c>
      <c r="F15776" t="s">
        <v>32664</v>
      </c>
      <c r="G15776" t="s">
        <v>32672</v>
      </c>
      <c r="H15776" t="s">
        <v>32683</v>
      </c>
      <c r="I15776" t="s">
        <v>10627</v>
      </c>
      <c r="J15776" t="s">
        <v>42147</v>
      </c>
      <c r="K15776" t="s">
        <v>42308</v>
      </c>
      <c r="M15776" t="s">
        <v>46532</v>
      </c>
      <c r="N15776" t="s">
        <v>46569</v>
      </c>
      <c r="O15776" t="s">
        <v>46570</v>
      </c>
      <c r="Q15776">
        <v>4</v>
      </c>
      <c r="R15776" t="s">
        <v>46682</v>
      </c>
      <c r="S15776" t="s">
        <v>48166</v>
      </c>
      <c r="T15776" t="s">
        <v>48770</v>
      </c>
      <c r="U15776" t="s">
        <v>61434</v>
      </c>
      <c r="W15776" t="s">
        <v>46532</v>
      </c>
      <c r="X15776" t="s">
        <v>63640</v>
      </c>
    </row>
    <row r="15777" spans="1:24">
      <c r="A15777">
        <f>HYPERLINK("https://www.philgeps.gov.ph/GEPSNONPILOT/Tender/SplashBidNoticeAbstractUI.aspx?menuIndex=3&amp;refID=6939798&amp;Result=3","6939798")</f>
        <v>0</v>
      </c>
      <c r="B15777" t="s">
        <v>851</v>
      </c>
      <c r="C15777" t="s">
        <v>18566</v>
      </c>
      <c r="D15777" t="s">
        <v>18829</v>
      </c>
      <c r="E15777" t="s">
        <v>32478</v>
      </c>
      <c r="F15777" t="s">
        <v>32664</v>
      </c>
      <c r="G15777" t="s">
        <v>32672</v>
      </c>
      <c r="H15777" t="s">
        <v>12635</v>
      </c>
      <c r="I15777" t="s">
        <v>4439</v>
      </c>
      <c r="J15777" t="s">
        <v>33128</v>
      </c>
      <c r="K15777" t="s">
        <v>42281</v>
      </c>
      <c r="M15777" t="s">
        <v>46453</v>
      </c>
      <c r="N15777" t="s">
        <v>46569</v>
      </c>
      <c r="O15777" t="s">
        <v>46570</v>
      </c>
      <c r="Q15777">
        <v>0</v>
      </c>
      <c r="R15777" t="s">
        <v>46682</v>
      </c>
      <c r="S15777" t="s">
        <v>48167</v>
      </c>
      <c r="T15777" t="s">
        <v>48268</v>
      </c>
      <c r="U15777" t="s">
        <v>50429</v>
      </c>
      <c r="W15777" t="s">
        <v>46453</v>
      </c>
      <c r="X15777" t="s">
        <v>63640</v>
      </c>
    </row>
    <row r="15778" spans="1:24">
      <c r="A15778">
        <f>HYPERLINK("https://www.philgeps.gov.ph/GEPSNONPILOT/Tender/SplashBidNoticeAbstractUI.aspx?menuIndex=3&amp;refID=6939743&amp;Result=3","6939743")</f>
        <v>0</v>
      </c>
      <c r="B15778" t="s">
        <v>366</v>
      </c>
      <c r="C15778" t="s">
        <v>18567</v>
      </c>
      <c r="D15778" t="s">
        <v>18785</v>
      </c>
      <c r="E15778" t="s">
        <v>32479</v>
      </c>
      <c r="F15778" t="s">
        <v>32664</v>
      </c>
      <c r="G15778" t="s">
        <v>32672</v>
      </c>
      <c r="H15778" t="s">
        <v>32683</v>
      </c>
      <c r="I15778" t="s">
        <v>10627</v>
      </c>
      <c r="J15778" t="s">
        <v>42148</v>
      </c>
      <c r="K15778" t="s">
        <v>42285</v>
      </c>
      <c r="M15778" t="s">
        <v>46532</v>
      </c>
      <c r="N15778" t="s">
        <v>46569</v>
      </c>
      <c r="O15778" t="s">
        <v>46570</v>
      </c>
      <c r="Q15778">
        <v>11</v>
      </c>
      <c r="R15778" t="s">
        <v>46682</v>
      </c>
      <c r="S15778" t="s">
        <v>48168</v>
      </c>
      <c r="T15778" t="s">
        <v>48354</v>
      </c>
      <c r="U15778" t="s">
        <v>61435</v>
      </c>
      <c r="W15778" t="s">
        <v>46532</v>
      </c>
      <c r="X15778" t="s">
        <v>63640</v>
      </c>
    </row>
    <row r="15779" spans="1:24">
      <c r="A15779">
        <f>HYPERLINK("https://www.philgeps.gov.ph/GEPSNONPILOT/Tender/SplashBidNoticeAbstractUI.aspx?menuIndex=3&amp;refID=6939793&amp;Result=3","6939793")</f>
        <v>0</v>
      </c>
      <c r="B15779" t="s">
        <v>851</v>
      </c>
      <c r="C15779" t="s">
        <v>18568</v>
      </c>
      <c r="D15779" t="s">
        <v>18829</v>
      </c>
      <c r="E15779" t="s">
        <v>32480</v>
      </c>
      <c r="F15779" t="s">
        <v>32664</v>
      </c>
      <c r="G15779" t="s">
        <v>32672</v>
      </c>
      <c r="H15779" t="s">
        <v>12635</v>
      </c>
      <c r="I15779" t="s">
        <v>5589</v>
      </c>
      <c r="J15779" t="s">
        <v>33089</v>
      </c>
      <c r="K15779" t="s">
        <v>42289</v>
      </c>
      <c r="M15779" t="s">
        <v>46453</v>
      </c>
      <c r="N15779" t="s">
        <v>46569</v>
      </c>
      <c r="O15779" t="s">
        <v>46570</v>
      </c>
      <c r="Q15779">
        <v>1</v>
      </c>
      <c r="R15779" t="s">
        <v>46682</v>
      </c>
      <c r="S15779" t="s">
        <v>48169</v>
      </c>
      <c r="T15779" t="s">
        <v>48268</v>
      </c>
      <c r="U15779" t="s">
        <v>50429</v>
      </c>
      <c r="W15779" t="s">
        <v>46453</v>
      </c>
      <c r="X15779" t="s">
        <v>63640</v>
      </c>
    </row>
    <row r="15780" spans="1:24">
      <c r="A15780">
        <f>HYPERLINK("https://www.philgeps.gov.ph/GEPSNONPILOT/Tender/SplashBidNoticeAbstractUI.aspx?menuIndex=3&amp;refID=6934642&amp;Result=3","6934642")</f>
        <v>0</v>
      </c>
      <c r="B15780" t="s">
        <v>1247</v>
      </c>
      <c r="C15780" t="s">
        <v>18569</v>
      </c>
      <c r="D15780" t="s">
        <v>18802</v>
      </c>
      <c r="E15780" t="s">
        <v>32481</v>
      </c>
      <c r="F15780" t="s">
        <v>32664</v>
      </c>
      <c r="G15780" t="s">
        <v>32672</v>
      </c>
      <c r="H15780" t="s">
        <v>32683</v>
      </c>
      <c r="I15780" t="s">
        <v>10627</v>
      </c>
      <c r="J15780" t="s">
        <v>38920</v>
      </c>
      <c r="K15780" t="s">
        <v>42290</v>
      </c>
      <c r="M15780" t="s">
        <v>43889</v>
      </c>
      <c r="N15780" t="s">
        <v>46569</v>
      </c>
      <c r="O15780" t="s">
        <v>46570</v>
      </c>
      <c r="Q15780">
        <v>0</v>
      </c>
      <c r="R15780" t="s">
        <v>46633</v>
      </c>
      <c r="S15780" t="s">
        <v>48170</v>
      </c>
      <c r="T15780" t="s">
        <v>48363</v>
      </c>
      <c r="U15780" t="s">
        <v>61436</v>
      </c>
      <c r="W15780" t="s">
        <v>43889</v>
      </c>
      <c r="X15780" t="s">
        <v>46635</v>
      </c>
    </row>
    <row r="15781" spans="1:24">
      <c r="A15781">
        <f>HYPERLINK("https://www.philgeps.gov.ph/GEPSNONPILOT/Tender/SplashBidNoticeAbstractUI.aspx?menuIndex=3&amp;refID=6942382&amp;Result=3","6942382")</f>
        <v>0</v>
      </c>
      <c r="B15781" t="s">
        <v>713</v>
      </c>
      <c r="C15781" t="s">
        <v>18570</v>
      </c>
      <c r="D15781" t="s">
        <v>18827</v>
      </c>
      <c r="E15781" t="s">
        <v>32482</v>
      </c>
      <c r="F15781" t="s">
        <v>32664</v>
      </c>
      <c r="G15781" t="s">
        <v>32672</v>
      </c>
      <c r="H15781" t="s">
        <v>32683</v>
      </c>
      <c r="I15781" t="s">
        <v>10627</v>
      </c>
      <c r="J15781" t="s">
        <v>36655</v>
      </c>
      <c r="K15781" t="s">
        <v>42301</v>
      </c>
      <c r="M15781" t="s">
        <v>43300</v>
      </c>
      <c r="N15781" t="s">
        <v>46569</v>
      </c>
      <c r="O15781" t="s">
        <v>46570</v>
      </c>
      <c r="Q15781">
        <v>8</v>
      </c>
      <c r="R15781" t="s">
        <v>46631</v>
      </c>
      <c r="S15781" t="s">
        <v>48171</v>
      </c>
      <c r="T15781" t="s">
        <v>48308</v>
      </c>
      <c r="U15781" t="s">
        <v>61437</v>
      </c>
      <c r="W15781" t="s">
        <v>43300</v>
      </c>
      <c r="X15781" t="s">
        <v>46682</v>
      </c>
    </row>
    <row r="15782" spans="1:24">
      <c r="A15782">
        <f>HYPERLINK("https://www.philgeps.gov.ph/GEPSNONPILOT/Tender/SplashBidNoticeAbstractUI.aspx?menuIndex=3&amp;refID=6933745&amp;Result=3","6933745")</f>
        <v>0</v>
      </c>
      <c r="B15782" t="s">
        <v>3510</v>
      </c>
      <c r="C15782" t="s">
        <v>18571</v>
      </c>
      <c r="E15782" t="s">
        <v>32483</v>
      </c>
      <c r="F15782" t="s">
        <v>32664</v>
      </c>
      <c r="G15782" t="s">
        <v>32672</v>
      </c>
      <c r="H15782" t="s">
        <v>32683</v>
      </c>
      <c r="I15782" t="s">
        <v>10627</v>
      </c>
      <c r="J15782" t="s">
        <v>32864</v>
      </c>
      <c r="K15782" t="s">
        <v>42283</v>
      </c>
      <c r="M15782" t="s">
        <v>46543</v>
      </c>
      <c r="N15782" t="s">
        <v>46569</v>
      </c>
      <c r="O15782" t="s">
        <v>46570</v>
      </c>
      <c r="Q15782">
        <v>1</v>
      </c>
      <c r="R15782" t="s">
        <v>46632</v>
      </c>
      <c r="S15782" t="s">
        <v>48172</v>
      </c>
      <c r="T15782" t="s">
        <v>48287</v>
      </c>
      <c r="U15782" t="s">
        <v>61438</v>
      </c>
      <c r="V15782" t="s">
        <v>63431</v>
      </c>
      <c r="W15782" t="s">
        <v>46543</v>
      </c>
      <c r="X15782" t="s">
        <v>46635</v>
      </c>
    </row>
    <row r="15783" spans="1:24">
      <c r="A15783">
        <f>HYPERLINK("https://www.philgeps.gov.ph/GEPSNONPILOT/Tender/SplashBidNoticeAbstractUI.aspx?menuIndex=3&amp;refID=6939746&amp;Result=3","6939746")</f>
        <v>0</v>
      </c>
      <c r="B15783" t="s">
        <v>3511</v>
      </c>
      <c r="C15783" t="s">
        <v>18572</v>
      </c>
      <c r="E15783" t="s">
        <v>25661</v>
      </c>
      <c r="F15783" t="s">
        <v>32664</v>
      </c>
      <c r="G15783" t="s">
        <v>32672</v>
      </c>
      <c r="H15783" t="s">
        <v>12635</v>
      </c>
      <c r="I15783" t="s">
        <v>4439</v>
      </c>
      <c r="J15783" t="s">
        <v>42149</v>
      </c>
      <c r="K15783" t="s">
        <v>42283</v>
      </c>
      <c r="M15783" t="s">
        <v>46544</v>
      </c>
      <c r="N15783" t="s">
        <v>46569</v>
      </c>
      <c r="O15783" t="s">
        <v>46570</v>
      </c>
      <c r="Q15783">
        <v>1</v>
      </c>
      <c r="R15783" t="s">
        <v>46682</v>
      </c>
      <c r="S15783" t="s">
        <v>46740</v>
      </c>
      <c r="T15783" t="s">
        <v>48293</v>
      </c>
      <c r="U15783" t="s">
        <v>61439</v>
      </c>
      <c r="W15783" t="s">
        <v>46544</v>
      </c>
      <c r="X15783" t="s">
        <v>63640</v>
      </c>
    </row>
    <row r="15784" spans="1:24">
      <c r="A15784">
        <f>HYPERLINK("https://www.philgeps.gov.ph/GEPSNONPILOT/Tender/SplashBidNoticeAbstractUI.aspx?menuIndex=3&amp;refID=6935415&amp;Result=3","6935415")</f>
        <v>0</v>
      </c>
      <c r="B15784" t="s">
        <v>1922</v>
      </c>
      <c r="C15784" t="s">
        <v>18573</v>
      </c>
      <c r="D15784" t="s">
        <v>18827</v>
      </c>
      <c r="E15784" t="s">
        <v>32484</v>
      </c>
      <c r="F15784" t="s">
        <v>32664</v>
      </c>
      <c r="G15784" t="s">
        <v>32672</v>
      </c>
      <c r="H15784" t="s">
        <v>32683</v>
      </c>
      <c r="I15784" t="s">
        <v>10627</v>
      </c>
      <c r="J15784" t="s">
        <v>34131</v>
      </c>
      <c r="K15784" t="s">
        <v>42290</v>
      </c>
      <c r="M15784" t="s">
        <v>44644</v>
      </c>
      <c r="N15784" t="s">
        <v>46569</v>
      </c>
      <c r="O15784" t="s">
        <v>46570</v>
      </c>
      <c r="Q15784">
        <v>0</v>
      </c>
      <c r="R15784" t="s">
        <v>46633</v>
      </c>
      <c r="S15784" t="s">
        <v>48173</v>
      </c>
      <c r="T15784" t="s">
        <v>48487</v>
      </c>
      <c r="U15784" t="s">
        <v>60333</v>
      </c>
      <c r="W15784" t="s">
        <v>44644</v>
      </c>
      <c r="X15784" t="s">
        <v>46635</v>
      </c>
    </row>
    <row r="15785" spans="1:24">
      <c r="A15785">
        <f>HYPERLINK("https://www.philgeps.gov.ph/GEPSNONPILOT/Tender/SplashBidNoticeAbstractUI.aspx?menuIndex=3&amp;refID=6942561&amp;Result=3","6942561")</f>
        <v>0</v>
      </c>
      <c r="B15785" t="s">
        <v>1049</v>
      </c>
      <c r="C15785" t="s">
        <v>18574</v>
      </c>
      <c r="D15785" t="s">
        <v>18879</v>
      </c>
      <c r="E15785" t="s">
        <v>32485</v>
      </c>
      <c r="F15785" t="s">
        <v>32664</v>
      </c>
      <c r="G15785" t="s">
        <v>32671</v>
      </c>
      <c r="H15785" t="s">
        <v>12635</v>
      </c>
      <c r="I15785" t="s">
        <v>32699</v>
      </c>
      <c r="J15785" t="s">
        <v>42150</v>
      </c>
      <c r="K15785" t="s">
        <v>42281</v>
      </c>
      <c r="M15785" t="s">
        <v>43666</v>
      </c>
      <c r="N15785" t="s">
        <v>46569</v>
      </c>
      <c r="O15785" t="s">
        <v>46570</v>
      </c>
      <c r="Q15785">
        <v>1</v>
      </c>
      <c r="R15785" t="s">
        <v>46631</v>
      </c>
      <c r="S15785" t="s">
        <v>48174</v>
      </c>
      <c r="T15785" t="s">
        <v>48217</v>
      </c>
      <c r="U15785" t="s">
        <v>61440</v>
      </c>
      <c r="W15785" t="s">
        <v>63505</v>
      </c>
      <c r="X15785" t="s">
        <v>46682</v>
      </c>
    </row>
    <row r="15786" spans="1:24">
      <c r="A15786">
        <f>HYPERLINK("https://www.philgeps.gov.ph/GEPSNONPILOT/Tender/SplashBidNoticeAbstractUI.aspx?menuIndex=3&amp;refID=6933732&amp;Result=3","6933732")</f>
        <v>0</v>
      </c>
      <c r="B15786" t="s">
        <v>3510</v>
      </c>
      <c r="C15786" t="s">
        <v>18575</v>
      </c>
      <c r="E15786" t="s">
        <v>32486</v>
      </c>
      <c r="F15786" t="s">
        <v>32664</v>
      </c>
      <c r="G15786" t="s">
        <v>32672</v>
      </c>
      <c r="H15786" t="s">
        <v>32683</v>
      </c>
      <c r="I15786" t="s">
        <v>10627</v>
      </c>
      <c r="J15786" t="s">
        <v>38742</v>
      </c>
      <c r="K15786" t="s">
        <v>42283</v>
      </c>
      <c r="M15786" t="s">
        <v>46543</v>
      </c>
      <c r="N15786" t="s">
        <v>46569</v>
      </c>
      <c r="O15786" t="s">
        <v>46570</v>
      </c>
      <c r="Q15786">
        <v>1</v>
      </c>
      <c r="R15786" t="s">
        <v>46632</v>
      </c>
      <c r="S15786" t="s">
        <v>47611</v>
      </c>
      <c r="T15786" t="s">
        <v>48287</v>
      </c>
      <c r="U15786" t="s">
        <v>61441</v>
      </c>
      <c r="V15786" t="s">
        <v>63432</v>
      </c>
      <c r="W15786" t="s">
        <v>46543</v>
      </c>
      <c r="X15786" t="s">
        <v>46635</v>
      </c>
    </row>
    <row r="15787" spans="1:24">
      <c r="A15787">
        <f>HYPERLINK("https://www.philgeps.gov.ph/GEPSNONPILOT/Tender/SplashBidNoticeAbstractUI.aspx?menuIndex=3&amp;refID=6940081&amp;Result=3","6940081")</f>
        <v>0</v>
      </c>
      <c r="B15787" t="s">
        <v>1699</v>
      </c>
      <c r="C15787" t="s">
        <v>18576</v>
      </c>
      <c r="D15787" t="s">
        <v>18791</v>
      </c>
      <c r="E15787" t="s">
        <v>32487</v>
      </c>
      <c r="F15787" t="s">
        <v>32664</v>
      </c>
      <c r="G15787" t="s">
        <v>32673</v>
      </c>
      <c r="H15787" t="s">
        <v>32683</v>
      </c>
      <c r="I15787" t="s">
        <v>10627</v>
      </c>
      <c r="J15787" t="s">
        <v>35370</v>
      </c>
      <c r="K15787" t="s">
        <v>42283</v>
      </c>
      <c r="L15787" t="s">
        <v>1699</v>
      </c>
      <c r="M15787" t="s">
        <v>44393</v>
      </c>
      <c r="N15787" t="s">
        <v>46569</v>
      </c>
      <c r="O15787" t="s">
        <v>46570</v>
      </c>
      <c r="Q15787">
        <v>4</v>
      </c>
      <c r="R15787" t="s">
        <v>46632</v>
      </c>
      <c r="S15787" t="s">
        <v>48175</v>
      </c>
      <c r="T15787" t="s">
        <v>48236</v>
      </c>
      <c r="U15787" t="s">
        <v>61442</v>
      </c>
      <c r="W15787" t="s">
        <v>44393</v>
      </c>
      <c r="X15787" t="s">
        <v>46682</v>
      </c>
    </row>
    <row r="15788" spans="1:24">
      <c r="A15788">
        <f>HYPERLINK("https://www.philgeps.gov.ph/GEPSNONPILOT/Tender/SplashBidNoticeAbstractUI.aspx?menuIndex=3&amp;refID=6831586&amp;Result=3","6831586")</f>
        <v>0</v>
      </c>
      <c r="B15788" t="s">
        <v>3358</v>
      </c>
      <c r="C15788" t="s">
        <v>18577</v>
      </c>
      <c r="D15788" t="s">
        <v>18831</v>
      </c>
      <c r="E15788" t="s">
        <v>32488</v>
      </c>
      <c r="F15788" t="s">
        <v>32664</v>
      </c>
      <c r="G15788" t="s">
        <v>32672</v>
      </c>
      <c r="H15788" t="s">
        <v>32683</v>
      </c>
      <c r="I15788" t="s">
        <v>10627</v>
      </c>
      <c r="J15788" t="s">
        <v>34147</v>
      </c>
      <c r="K15788" t="s">
        <v>42281</v>
      </c>
      <c r="M15788" t="s">
        <v>46316</v>
      </c>
      <c r="N15788" t="s">
        <v>46569</v>
      </c>
      <c r="O15788" t="s">
        <v>46570</v>
      </c>
      <c r="Q15788">
        <v>2</v>
      </c>
      <c r="R15788" t="s">
        <v>46679</v>
      </c>
      <c r="S15788" t="s">
        <v>48176</v>
      </c>
      <c r="T15788" t="s">
        <v>48287</v>
      </c>
      <c r="U15788" t="s">
        <v>60333</v>
      </c>
      <c r="W15788" t="s">
        <v>46316</v>
      </c>
      <c r="X15788" t="s">
        <v>46681</v>
      </c>
    </row>
    <row r="15789" spans="1:24">
      <c r="A15789">
        <f>HYPERLINK("https://www.philgeps.gov.ph/GEPSNONPILOT/Tender/SplashBidNoticeAbstractUI.aspx?menuIndex=3&amp;refID=6964994&amp;Result=3","6964994")</f>
        <v>0</v>
      </c>
      <c r="B15789" t="s">
        <v>2431</v>
      </c>
      <c r="C15789" t="s">
        <v>18578</v>
      </c>
      <c r="D15789" t="s">
        <v>18845</v>
      </c>
      <c r="E15789" t="s">
        <v>32489</v>
      </c>
      <c r="F15789" t="s">
        <v>32664</v>
      </c>
      <c r="G15789" t="s">
        <v>32672</v>
      </c>
      <c r="H15789" t="s">
        <v>12635</v>
      </c>
      <c r="I15789" t="s">
        <v>9946</v>
      </c>
      <c r="J15789" t="s">
        <v>42151</v>
      </c>
      <c r="K15789" t="s">
        <v>42291</v>
      </c>
      <c r="M15789" t="s">
        <v>46545</v>
      </c>
      <c r="N15789" t="s">
        <v>46569</v>
      </c>
      <c r="O15789" t="s">
        <v>46570</v>
      </c>
      <c r="Q15789">
        <v>3</v>
      </c>
      <c r="R15789" t="s">
        <v>46683</v>
      </c>
      <c r="S15789" t="s">
        <v>48177</v>
      </c>
      <c r="T15789" t="s">
        <v>48436</v>
      </c>
      <c r="U15789" t="s">
        <v>61443</v>
      </c>
      <c r="V15789" t="s">
        <v>61616</v>
      </c>
      <c r="W15789" t="s">
        <v>46545</v>
      </c>
      <c r="X15789" t="s">
        <v>63641</v>
      </c>
    </row>
    <row r="15790" spans="1:24">
      <c r="A15790">
        <f>HYPERLINK("https://www.philgeps.gov.ph/GEPSNONPILOT/Tender/SplashBidNoticeAbstractUI.aspx?menuIndex=3&amp;refID=6938600&amp;Result=3","6938600")</f>
        <v>0</v>
      </c>
      <c r="B15790" t="s">
        <v>3507</v>
      </c>
      <c r="C15790" t="s">
        <v>18579</v>
      </c>
      <c r="E15790" t="s">
        <v>32490</v>
      </c>
      <c r="F15790" t="s">
        <v>32664</v>
      </c>
      <c r="G15790" t="s">
        <v>32672</v>
      </c>
      <c r="H15790" t="s">
        <v>32682</v>
      </c>
      <c r="I15790" t="s">
        <v>32740</v>
      </c>
      <c r="J15790" t="s">
        <v>42152</v>
      </c>
      <c r="K15790" t="s">
        <v>42471</v>
      </c>
      <c r="M15790" t="s">
        <v>46538</v>
      </c>
      <c r="N15790" t="s">
        <v>46569</v>
      </c>
      <c r="O15790" t="s">
        <v>46570</v>
      </c>
      <c r="Q15790">
        <v>2</v>
      </c>
      <c r="R15790" t="s">
        <v>46682</v>
      </c>
      <c r="S15790" t="s">
        <v>48178</v>
      </c>
      <c r="T15790" t="s">
        <v>48580</v>
      </c>
      <c r="U15790" t="s">
        <v>61444</v>
      </c>
      <c r="W15790" t="s">
        <v>46538</v>
      </c>
      <c r="X15790" t="s">
        <v>46633</v>
      </c>
    </row>
    <row r="15791" spans="1:24">
      <c r="A15791">
        <f>HYPERLINK("https://www.philgeps.gov.ph/GEPSNONPILOT/Tender/SplashBidNoticeAbstractUI.aspx?menuIndex=3&amp;refID=6952167&amp;Result=3","6952167")</f>
        <v>0</v>
      </c>
      <c r="B15791" t="s">
        <v>3512</v>
      </c>
      <c r="C15791" t="s">
        <v>18580</v>
      </c>
      <c r="D15791" t="s">
        <v>18784</v>
      </c>
      <c r="E15791" t="s">
        <v>32491</v>
      </c>
      <c r="F15791" t="s">
        <v>32664</v>
      </c>
      <c r="G15791" t="s">
        <v>32672</v>
      </c>
      <c r="H15791" t="s">
        <v>32682</v>
      </c>
      <c r="I15791" t="s">
        <v>5589</v>
      </c>
      <c r="J15791" t="s">
        <v>33761</v>
      </c>
      <c r="K15791" t="s">
        <v>42281</v>
      </c>
      <c r="M15791" t="s">
        <v>46546</v>
      </c>
      <c r="N15791" t="s">
        <v>46569</v>
      </c>
      <c r="O15791" t="s">
        <v>46570</v>
      </c>
      <c r="Q15791">
        <v>16</v>
      </c>
      <c r="R15791" t="s">
        <v>46684</v>
      </c>
      <c r="S15791" t="s">
        <v>48179</v>
      </c>
      <c r="T15791" t="s">
        <v>48425</v>
      </c>
      <c r="U15791" t="s">
        <v>61445</v>
      </c>
      <c r="W15791" t="s">
        <v>46546</v>
      </c>
      <c r="X15791" t="s">
        <v>63642</v>
      </c>
    </row>
    <row r="15792" spans="1:24">
      <c r="A15792">
        <f>HYPERLINK("https://www.philgeps.gov.ph/GEPSNONPILOT/Tender/SplashBidNoticeAbstractUI.aspx?menuIndex=3&amp;refID=6968422&amp;Result=3","6968422")</f>
        <v>0</v>
      </c>
      <c r="B15792" t="s">
        <v>2739</v>
      </c>
      <c r="C15792" t="s">
        <v>18581</v>
      </c>
      <c r="E15792" t="s">
        <v>32492</v>
      </c>
      <c r="F15792" t="s">
        <v>32664</v>
      </c>
      <c r="G15792" t="s">
        <v>32672</v>
      </c>
      <c r="H15792" t="s">
        <v>12635</v>
      </c>
      <c r="I15792" t="s">
        <v>32689</v>
      </c>
      <c r="J15792" t="s">
        <v>42153</v>
      </c>
      <c r="K15792" t="s">
        <v>42283</v>
      </c>
      <c r="M15792" t="s">
        <v>46474</v>
      </c>
      <c r="N15792" t="s">
        <v>46569</v>
      </c>
      <c r="O15792" t="s">
        <v>46570</v>
      </c>
      <c r="Q15792">
        <v>19</v>
      </c>
      <c r="R15792" t="s">
        <v>46619</v>
      </c>
      <c r="S15792" t="s">
        <v>47207</v>
      </c>
      <c r="T15792" t="s">
        <v>48366</v>
      </c>
      <c r="U15792" t="s">
        <v>61446</v>
      </c>
      <c r="W15792" t="s">
        <v>63573</v>
      </c>
      <c r="X15792" t="s">
        <v>63614</v>
      </c>
    </row>
    <row r="15793" spans="1:24">
      <c r="A15793">
        <f>HYPERLINK("https://www.philgeps.gov.ph/GEPSNONPILOT/Tender/SplashBidNoticeAbstractUI.aspx?menuIndex=3&amp;refID=6831677&amp;Result=3","6831677")</f>
        <v>0</v>
      </c>
      <c r="B15793" t="s">
        <v>225</v>
      </c>
      <c r="C15793" t="s">
        <v>18582</v>
      </c>
      <c r="D15793" t="s">
        <v>18784</v>
      </c>
      <c r="E15793" t="s">
        <v>32493</v>
      </c>
      <c r="F15793" t="s">
        <v>32664</v>
      </c>
      <c r="G15793" t="s">
        <v>32672</v>
      </c>
      <c r="H15793" t="s">
        <v>32683</v>
      </c>
      <c r="I15793" t="s">
        <v>10627</v>
      </c>
      <c r="J15793" t="s">
        <v>42154</v>
      </c>
      <c r="K15793" t="s">
        <v>42290</v>
      </c>
      <c r="M15793" t="s">
        <v>43870</v>
      </c>
      <c r="N15793" t="s">
        <v>46569</v>
      </c>
      <c r="O15793" t="s">
        <v>46570</v>
      </c>
      <c r="Q15793">
        <v>157</v>
      </c>
      <c r="R15793" t="s">
        <v>46679</v>
      </c>
      <c r="S15793" t="s">
        <v>48180</v>
      </c>
      <c r="T15793" t="s">
        <v>48219</v>
      </c>
      <c r="U15793" t="s">
        <v>51407</v>
      </c>
      <c r="V15793" t="s">
        <v>63433</v>
      </c>
      <c r="W15793" t="s">
        <v>43870</v>
      </c>
      <c r="X15793" t="s">
        <v>46681</v>
      </c>
    </row>
    <row r="15794" spans="1:24">
      <c r="A15794">
        <f>HYPERLINK("https://www.philgeps.gov.ph/GEPSNONPILOT/Tender/SplashBidNoticeAbstractUI.aspx?menuIndex=3&amp;refID=6960776&amp;Result=3","6960776")</f>
        <v>0</v>
      </c>
      <c r="B15794" t="s">
        <v>1197</v>
      </c>
      <c r="C15794" t="s">
        <v>18583</v>
      </c>
      <c r="D15794" t="s">
        <v>18784</v>
      </c>
      <c r="E15794" t="s">
        <v>32494</v>
      </c>
      <c r="F15794" t="s">
        <v>32664</v>
      </c>
      <c r="G15794" t="s">
        <v>32672</v>
      </c>
      <c r="H15794" t="s">
        <v>12635</v>
      </c>
      <c r="I15794" t="s">
        <v>32717</v>
      </c>
      <c r="J15794" t="s">
        <v>42155</v>
      </c>
      <c r="K15794" t="s">
        <v>42507</v>
      </c>
      <c r="M15794" t="s">
        <v>45051</v>
      </c>
      <c r="N15794" t="s">
        <v>46569</v>
      </c>
      <c r="O15794" t="s">
        <v>46570</v>
      </c>
      <c r="Q15794">
        <v>4</v>
      </c>
      <c r="R15794" t="s">
        <v>46685</v>
      </c>
      <c r="S15794" t="s">
        <v>48181</v>
      </c>
      <c r="T15794" t="s">
        <v>48293</v>
      </c>
      <c r="U15794" t="s">
        <v>57547</v>
      </c>
      <c r="W15794" t="s">
        <v>45051</v>
      </c>
      <c r="X15794" t="s">
        <v>46629</v>
      </c>
    </row>
    <row r="15795" spans="1:24">
      <c r="A15795">
        <f>HYPERLINK("https://www.philgeps.gov.ph/GEPSNONPILOT/Tender/SplashBidNoticeAbstractUI.aspx?menuIndex=3&amp;refID=6965002&amp;Result=3","6965002")</f>
        <v>0</v>
      </c>
      <c r="B15795" t="s">
        <v>2431</v>
      </c>
      <c r="C15795" t="s">
        <v>18584</v>
      </c>
      <c r="D15795" t="s">
        <v>18845</v>
      </c>
      <c r="E15795" t="s">
        <v>32495</v>
      </c>
      <c r="F15795" t="s">
        <v>32664</v>
      </c>
      <c r="G15795" t="s">
        <v>32672</v>
      </c>
      <c r="H15795" t="s">
        <v>12635</v>
      </c>
      <c r="I15795" t="s">
        <v>9946</v>
      </c>
      <c r="J15795" t="s">
        <v>42156</v>
      </c>
      <c r="K15795" t="s">
        <v>42291</v>
      </c>
      <c r="M15795" t="s">
        <v>46545</v>
      </c>
      <c r="N15795" t="s">
        <v>46569</v>
      </c>
      <c r="O15795" t="s">
        <v>46570</v>
      </c>
      <c r="Q15795">
        <v>5</v>
      </c>
      <c r="R15795" t="s">
        <v>46683</v>
      </c>
      <c r="S15795" t="s">
        <v>48182</v>
      </c>
      <c r="T15795" t="s">
        <v>48221</v>
      </c>
      <c r="U15795" t="s">
        <v>61443</v>
      </c>
      <c r="V15795" t="s">
        <v>61616</v>
      </c>
      <c r="W15795" t="s">
        <v>46545</v>
      </c>
      <c r="X15795" t="s">
        <v>63641</v>
      </c>
    </row>
    <row r="15796" spans="1:24">
      <c r="A15796">
        <f>HYPERLINK("https://www.philgeps.gov.ph/GEPSNONPILOT/Tender/SplashBidNoticeAbstractUI.aspx?menuIndex=3&amp;refID=6964274&amp;Result=3","6964274")</f>
        <v>0</v>
      </c>
      <c r="B15796" t="s">
        <v>798</v>
      </c>
      <c r="C15796" t="s">
        <v>18585</v>
      </c>
      <c r="D15796" t="s">
        <v>18830</v>
      </c>
      <c r="E15796" t="s">
        <v>32496</v>
      </c>
      <c r="F15796" t="s">
        <v>32664</v>
      </c>
      <c r="G15796" t="s">
        <v>32672</v>
      </c>
      <c r="H15796" t="s">
        <v>12635</v>
      </c>
      <c r="I15796" t="s">
        <v>10627</v>
      </c>
      <c r="J15796" t="s">
        <v>42157</v>
      </c>
      <c r="K15796" t="s">
        <v>42582</v>
      </c>
      <c r="M15796" t="s">
        <v>43390</v>
      </c>
      <c r="N15796" t="s">
        <v>46569</v>
      </c>
      <c r="O15796" t="s">
        <v>46570</v>
      </c>
      <c r="P15796">
        <v>0</v>
      </c>
      <c r="Q15796">
        <v>6</v>
      </c>
      <c r="R15796" t="s">
        <v>46683</v>
      </c>
      <c r="S15796" t="s">
        <v>48183</v>
      </c>
      <c r="T15796" t="s">
        <v>48305</v>
      </c>
      <c r="U15796" t="s">
        <v>61447</v>
      </c>
      <c r="W15796" t="s">
        <v>43390</v>
      </c>
      <c r="X15796" t="s">
        <v>63641</v>
      </c>
    </row>
    <row r="15797" spans="1:24">
      <c r="A15797">
        <f>HYPERLINK("https://www.philgeps.gov.ph/GEPSNONPILOT/Tender/SplashBidNoticeAbstractUI.aspx?menuIndex=3&amp;refID=7013851&amp;Result=3","7013851")</f>
        <v>0</v>
      </c>
      <c r="B15797" t="s">
        <v>3513</v>
      </c>
      <c r="C15797" t="s">
        <v>18586</v>
      </c>
      <c r="D15797" t="s">
        <v>18805</v>
      </c>
      <c r="E15797" t="s">
        <v>32497</v>
      </c>
      <c r="F15797" t="s">
        <v>32664</v>
      </c>
      <c r="G15797" t="s">
        <v>32672</v>
      </c>
      <c r="H15797" t="s">
        <v>12635</v>
      </c>
      <c r="I15797" t="s">
        <v>11464</v>
      </c>
      <c r="J15797" t="s">
        <v>32837</v>
      </c>
      <c r="K15797" t="s">
        <v>42283</v>
      </c>
      <c r="M15797" t="s">
        <v>46547</v>
      </c>
      <c r="N15797" t="s">
        <v>46569</v>
      </c>
      <c r="O15797" t="s">
        <v>46570</v>
      </c>
      <c r="P15797">
        <v>0</v>
      </c>
      <c r="Q15797">
        <v>4</v>
      </c>
      <c r="R15797" t="s">
        <v>46596</v>
      </c>
      <c r="S15797" t="s">
        <v>47768</v>
      </c>
      <c r="T15797" t="s">
        <v>48268</v>
      </c>
      <c r="U15797" t="s">
        <v>61448</v>
      </c>
      <c r="V15797" t="s">
        <v>63434</v>
      </c>
      <c r="W15797" t="s">
        <v>46547</v>
      </c>
      <c r="X15797" t="s">
        <v>46599</v>
      </c>
    </row>
    <row r="15798" spans="1:24">
      <c r="A15798">
        <f>HYPERLINK("https://www.philgeps.gov.ph/GEPSNONPILOT/Tender/SplashBidNoticeAbstractUI.aspx?menuIndex=3&amp;refID=7017859&amp;Result=3","7017859")</f>
        <v>0</v>
      </c>
      <c r="B15798" t="s">
        <v>1382</v>
      </c>
      <c r="C15798" t="s">
        <v>18587</v>
      </c>
      <c r="E15798" t="s">
        <v>32498</v>
      </c>
      <c r="F15798" t="s">
        <v>32664</v>
      </c>
      <c r="G15798" t="s">
        <v>32672</v>
      </c>
      <c r="H15798" t="s">
        <v>32683</v>
      </c>
      <c r="I15798" t="s">
        <v>10627</v>
      </c>
      <c r="J15798" t="s">
        <v>42158</v>
      </c>
      <c r="K15798" t="s">
        <v>42283</v>
      </c>
      <c r="M15798" t="s">
        <v>44037</v>
      </c>
      <c r="N15798" t="s">
        <v>46569</v>
      </c>
      <c r="O15798" t="s">
        <v>46570</v>
      </c>
      <c r="Q15798">
        <v>67</v>
      </c>
      <c r="R15798" t="s">
        <v>46595</v>
      </c>
      <c r="S15798" t="s">
        <v>48184</v>
      </c>
      <c r="T15798" t="s">
        <v>48283</v>
      </c>
      <c r="U15798" t="s">
        <v>59009</v>
      </c>
      <c r="W15798" t="s">
        <v>63589</v>
      </c>
      <c r="X15798" t="s">
        <v>46596</v>
      </c>
    </row>
    <row r="15799" spans="1:24">
      <c r="A15799">
        <f>HYPERLINK("https://www.philgeps.gov.ph/GEPSNONPILOT/Tender/SplashBidNoticeAbstractUI.aspx?menuIndex=3&amp;refID=6952784&amp;Result=3","6952784")</f>
        <v>0</v>
      </c>
      <c r="B15799" t="s">
        <v>2391</v>
      </c>
      <c r="C15799" t="s">
        <v>18588</v>
      </c>
      <c r="D15799" t="s">
        <v>18830</v>
      </c>
      <c r="E15799" t="s">
        <v>32499</v>
      </c>
      <c r="F15799" t="s">
        <v>32664</v>
      </c>
      <c r="G15799" t="s">
        <v>32672</v>
      </c>
      <c r="H15799" t="s">
        <v>12635</v>
      </c>
      <c r="I15799" t="s">
        <v>11464</v>
      </c>
      <c r="J15799" t="s">
        <v>42159</v>
      </c>
      <c r="K15799" t="s">
        <v>42281</v>
      </c>
      <c r="M15799" t="s">
        <v>45181</v>
      </c>
      <c r="N15799" t="s">
        <v>46569</v>
      </c>
      <c r="O15799" t="s">
        <v>46570</v>
      </c>
      <c r="Q15799">
        <v>6</v>
      </c>
      <c r="R15799" t="s">
        <v>46630</v>
      </c>
      <c r="S15799" t="s">
        <v>48185</v>
      </c>
      <c r="T15799" t="s">
        <v>48771</v>
      </c>
      <c r="U15799" t="s">
        <v>61449</v>
      </c>
      <c r="V15799" t="s">
        <v>63435</v>
      </c>
      <c r="W15799" t="s">
        <v>45181</v>
      </c>
      <c r="X15799" t="s">
        <v>46684</v>
      </c>
    </row>
    <row r="15800" spans="1:24">
      <c r="A15800">
        <f>HYPERLINK("https://www.philgeps.gov.ph/GEPSNONPILOT/Tender/SplashBidNoticeAbstractUI.aspx?menuIndex=3&amp;refID=7018114&amp;Result=3","7018114")</f>
        <v>0</v>
      </c>
      <c r="B15800" t="s">
        <v>2951</v>
      </c>
      <c r="C15800" t="s">
        <v>18589</v>
      </c>
      <c r="D15800" t="s">
        <v>18789</v>
      </c>
      <c r="E15800" t="s">
        <v>32500</v>
      </c>
      <c r="F15800" t="s">
        <v>32664</v>
      </c>
      <c r="G15800" t="s">
        <v>32672</v>
      </c>
      <c r="H15800" t="s">
        <v>32683</v>
      </c>
      <c r="I15800" t="s">
        <v>10627</v>
      </c>
      <c r="J15800" t="s">
        <v>39010</v>
      </c>
      <c r="K15800" t="s">
        <v>42564</v>
      </c>
      <c r="M15800" t="s">
        <v>45805</v>
      </c>
      <c r="N15800" t="s">
        <v>46569</v>
      </c>
      <c r="O15800" t="s">
        <v>46570</v>
      </c>
      <c r="Q15800">
        <v>2</v>
      </c>
      <c r="R15800" t="s">
        <v>46595</v>
      </c>
      <c r="S15800" t="s">
        <v>47895</v>
      </c>
      <c r="T15800" t="s">
        <v>48225</v>
      </c>
      <c r="U15800" t="s">
        <v>61450</v>
      </c>
      <c r="W15800" t="s">
        <v>45805</v>
      </c>
      <c r="X15800" t="s">
        <v>46596</v>
      </c>
    </row>
    <row r="15801" spans="1:24">
      <c r="A15801">
        <f>HYPERLINK("https://www.philgeps.gov.ph/GEPSNONPILOT/Tender/SplashBidNoticeAbstractUI.aspx?menuIndex=3&amp;refID=7017712&amp;Result=3","7017712")</f>
        <v>0</v>
      </c>
      <c r="B15801" t="s">
        <v>3514</v>
      </c>
      <c r="C15801" t="s">
        <v>18590</v>
      </c>
      <c r="D15801" t="s">
        <v>18786</v>
      </c>
      <c r="E15801" t="s">
        <v>22416</v>
      </c>
      <c r="F15801" t="s">
        <v>32665</v>
      </c>
      <c r="G15801" t="s">
        <v>32672</v>
      </c>
      <c r="H15801" t="s">
        <v>12635</v>
      </c>
      <c r="I15801" t="s">
        <v>5589</v>
      </c>
      <c r="J15801" t="s">
        <v>33482</v>
      </c>
      <c r="K15801" t="s">
        <v>42298</v>
      </c>
      <c r="M15801" t="s">
        <v>46548</v>
      </c>
      <c r="N15801" t="s">
        <v>46569</v>
      </c>
      <c r="O15801" t="s">
        <v>46570</v>
      </c>
      <c r="P15801">
        <v>0</v>
      </c>
      <c r="Q15801">
        <v>5</v>
      </c>
      <c r="R15801" t="s">
        <v>46595</v>
      </c>
      <c r="S15801" t="s">
        <v>47769</v>
      </c>
      <c r="T15801" t="s">
        <v>48258</v>
      </c>
      <c r="U15801" t="s">
        <v>61451</v>
      </c>
      <c r="W15801" t="s">
        <v>46548</v>
      </c>
      <c r="X15801" t="s">
        <v>46596</v>
      </c>
    </row>
    <row r="15802" spans="1:24">
      <c r="A15802">
        <f>HYPERLINK("https://www.philgeps.gov.ph/GEPSNONPILOT/Tender/SplashBidNoticeAbstractUI.aspx?menuIndex=3&amp;refID=7017284&amp;Result=3","7017284")</f>
        <v>0</v>
      </c>
      <c r="B15802" t="s">
        <v>783</v>
      </c>
      <c r="C15802" t="s">
        <v>18591</v>
      </c>
      <c r="D15802" t="s">
        <v>18826</v>
      </c>
      <c r="E15802" t="s">
        <v>32501</v>
      </c>
      <c r="F15802" t="s">
        <v>32664</v>
      </c>
      <c r="G15802" t="s">
        <v>32672</v>
      </c>
      <c r="H15802" t="s">
        <v>12635</v>
      </c>
      <c r="I15802" t="s">
        <v>32688</v>
      </c>
      <c r="J15802" t="s">
        <v>42160</v>
      </c>
      <c r="K15802" t="s">
        <v>42283</v>
      </c>
      <c r="M15802" t="s">
        <v>43375</v>
      </c>
      <c r="N15802" t="s">
        <v>46569</v>
      </c>
      <c r="O15802" t="s">
        <v>46570</v>
      </c>
      <c r="P15802">
        <v>0</v>
      </c>
      <c r="Q15802">
        <v>18</v>
      </c>
      <c r="R15802" t="s">
        <v>46595</v>
      </c>
      <c r="S15802" t="s">
        <v>47769</v>
      </c>
      <c r="T15802" t="s">
        <v>48448</v>
      </c>
      <c r="U15802" t="s">
        <v>61452</v>
      </c>
      <c r="W15802" t="s">
        <v>43375</v>
      </c>
      <c r="X15802" t="s">
        <v>46596</v>
      </c>
    </row>
    <row r="15803" spans="1:24">
      <c r="A15803">
        <f>HYPERLINK("https://www.philgeps.gov.ph/GEPSNONPILOT/Tender/SplashBidNoticeAbstractUI.aspx?menuIndex=3&amp;refID=7017274&amp;Result=3","7017274")</f>
        <v>0</v>
      </c>
      <c r="B15803" t="s">
        <v>3276</v>
      </c>
      <c r="C15803" t="s">
        <v>18592</v>
      </c>
      <c r="D15803" t="s">
        <v>18784</v>
      </c>
      <c r="E15803" t="s">
        <v>32502</v>
      </c>
      <c r="F15803" t="s">
        <v>32664</v>
      </c>
      <c r="G15803" t="s">
        <v>32672</v>
      </c>
      <c r="H15803" t="s">
        <v>12635</v>
      </c>
      <c r="I15803" t="s">
        <v>11464</v>
      </c>
      <c r="J15803" t="s">
        <v>42161</v>
      </c>
      <c r="K15803" t="s">
        <v>42283</v>
      </c>
      <c r="M15803" t="s">
        <v>46213</v>
      </c>
      <c r="N15803" t="s">
        <v>46569</v>
      </c>
      <c r="O15803" t="s">
        <v>46570</v>
      </c>
      <c r="P15803">
        <v>0</v>
      </c>
      <c r="Q15803">
        <v>21</v>
      </c>
      <c r="R15803" t="s">
        <v>46598</v>
      </c>
      <c r="S15803" t="s">
        <v>47785</v>
      </c>
      <c r="T15803" t="s">
        <v>48228</v>
      </c>
      <c r="U15803" t="s">
        <v>56481</v>
      </c>
      <c r="W15803" t="s">
        <v>46213</v>
      </c>
      <c r="X15803" t="s">
        <v>46596</v>
      </c>
    </row>
    <row r="15804" spans="1:24">
      <c r="A15804">
        <f>HYPERLINK("https://www.philgeps.gov.ph/GEPSNONPILOT/Tender/SplashBidNoticeAbstractUI.aspx?menuIndex=3&amp;refID=7018161&amp;Result=3","7018161")</f>
        <v>0</v>
      </c>
      <c r="B15804" t="s">
        <v>2951</v>
      </c>
      <c r="C15804" t="s">
        <v>18593</v>
      </c>
      <c r="D15804" t="s">
        <v>18789</v>
      </c>
      <c r="E15804" t="s">
        <v>32503</v>
      </c>
      <c r="F15804" t="s">
        <v>32664</v>
      </c>
      <c r="G15804" t="s">
        <v>32672</v>
      </c>
      <c r="H15804" t="s">
        <v>32683</v>
      </c>
      <c r="I15804" t="s">
        <v>10627</v>
      </c>
      <c r="J15804" t="s">
        <v>42162</v>
      </c>
      <c r="K15804" t="s">
        <v>42290</v>
      </c>
      <c r="M15804" t="s">
        <v>45805</v>
      </c>
      <c r="N15804" t="s">
        <v>46569</v>
      </c>
      <c r="O15804" t="s">
        <v>46570</v>
      </c>
      <c r="Q15804">
        <v>4</v>
      </c>
      <c r="R15804" t="s">
        <v>46595</v>
      </c>
      <c r="S15804" t="s">
        <v>47882</v>
      </c>
      <c r="T15804" t="s">
        <v>48225</v>
      </c>
      <c r="U15804" t="s">
        <v>61453</v>
      </c>
      <c r="W15804" t="s">
        <v>45805</v>
      </c>
      <c r="X15804" t="s">
        <v>46596</v>
      </c>
    </row>
    <row r="15805" spans="1:24">
      <c r="A15805">
        <f>HYPERLINK("https://www.philgeps.gov.ph/GEPSNONPILOT/Tender/SplashBidNoticeAbstractUI.aspx?menuIndex=3&amp;refID=7018121&amp;Result=3","7018121")</f>
        <v>0</v>
      </c>
      <c r="B15805" t="s">
        <v>346</v>
      </c>
      <c r="C15805" t="s">
        <v>18594</v>
      </c>
      <c r="D15805" t="s">
        <v>18817</v>
      </c>
      <c r="E15805" t="s">
        <v>32504</v>
      </c>
      <c r="F15805" t="s">
        <v>32664</v>
      </c>
      <c r="G15805" t="s">
        <v>32672</v>
      </c>
      <c r="H15805" t="s">
        <v>12635</v>
      </c>
      <c r="I15805" t="s">
        <v>32698</v>
      </c>
      <c r="J15805" t="s">
        <v>42163</v>
      </c>
      <c r="K15805" t="s">
        <v>42281</v>
      </c>
      <c r="M15805" t="s">
        <v>42915</v>
      </c>
      <c r="N15805" t="s">
        <v>46569</v>
      </c>
      <c r="O15805" t="s">
        <v>46570</v>
      </c>
      <c r="P15805">
        <v>0</v>
      </c>
      <c r="Q15805">
        <v>2</v>
      </c>
      <c r="R15805" t="s">
        <v>46595</v>
      </c>
      <c r="S15805" t="s">
        <v>47769</v>
      </c>
      <c r="T15805" t="s">
        <v>48448</v>
      </c>
      <c r="U15805" t="s">
        <v>61454</v>
      </c>
      <c r="W15805" t="s">
        <v>42915</v>
      </c>
      <c r="X15805" t="s">
        <v>46596</v>
      </c>
    </row>
    <row r="15806" spans="1:24">
      <c r="A15806">
        <f>HYPERLINK("https://www.philgeps.gov.ph/GEPSNONPILOT/Tender/SplashBidNoticeAbstractUI.aspx?menuIndex=3&amp;refID=6968396&amp;Result=3","6968396")</f>
        <v>0</v>
      </c>
      <c r="B15806" t="s">
        <v>2739</v>
      </c>
      <c r="C15806" t="s">
        <v>18595</v>
      </c>
      <c r="E15806" t="s">
        <v>32505</v>
      </c>
      <c r="F15806" t="s">
        <v>32664</v>
      </c>
      <c r="G15806" t="s">
        <v>32672</v>
      </c>
      <c r="H15806" t="s">
        <v>12635</v>
      </c>
      <c r="I15806" t="s">
        <v>6168</v>
      </c>
      <c r="J15806" t="s">
        <v>42164</v>
      </c>
      <c r="K15806" t="s">
        <v>42283</v>
      </c>
      <c r="M15806" t="s">
        <v>45573</v>
      </c>
      <c r="N15806" t="s">
        <v>46569</v>
      </c>
      <c r="O15806" t="s">
        <v>46570</v>
      </c>
      <c r="Q15806">
        <v>6</v>
      </c>
      <c r="R15806" t="s">
        <v>46619</v>
      </c>
      <c r="S15806" t="s">
        <v>47411</v>
      </c>
      <c r="T15806" t="s">
        <v>48366</v>
      </c>
      <c r="U15806" t="s">
        <v>61455</v>
      </c>
      <c r="V15806" t="s">
        <v>63436</v>
      </c>
      <c r="W15806" t="s">
        <v>63573</v>
      </c>
      <c r="X15806" t="s">
        <v>63614</v>
      </c>
    </row>
    <row r="15807" spans="1:24">
      <c r="A15807">
        <f>HYPERLINK("https://www.philgeps.gov.ph/GEPSNONPILOT/Tender/SplashBidNoticeAbstractUI.aspx?menuIndex=3&amp;refID=6946321&amp;Result=3","6946321")</f>
        <v>0</v>
      </c>
      <c r="B15807" t="s">
        <v>2626</v>
      </c>
      <c r="C15807" t="s">
        <v>18596</v>
      </c>
      <c r="D15807" t="s">
        <v>18830</v>
      </c>
      <c r="E15807" t="s">
        <v>32506</v>
      </c>
      <c r="F15807" t="s">
        <v>32664</v>
      </c>
      <c r="G15807" t="s">
        <v>32678</v>
      </c>
      <c r="H15807" t="s">
        <v>32681</v>
      </c>
      <c r="I15807" t="s">
        <v>32750</v>
      </c>
      <c r="J15807" t="s">
        <v>42165</v>
      </c>
      <c r="K15807" t="s">
        <v>42471</v>
      </c>
      <c r="M15807" t="s">
        <v>46549</v>
      </c>
      <c r="N15807" t="s">
        <v>46569</v>
      </c>
      <c r="O15807" t="s">
        <v>46570</v>
      </c>
      <c r="Q15807">
        <v>10</v>
      </c>
      <c r="R15807" t="s">
        <v>46686</v>
      </c>
      <c r="S15807" t="s">
        <v>48186</v>
      </c>
      <c r="T15807" t="s">
        <v>48321</v>
      </c>
      <c r="U15807" t="s">
        <v>61456</v>
      </c>
      <c r="W15807" t="s">
        <v>46549</v>
      </c>
      <c r="X15807" t="s">
        <v>46632</v>
      </c>
    </row>
    <row r="15808" spans="1:24">
      <c r="A15808">
        <f>HYPERLINK("https://www.philgeps.gov.ph/GEPSNONPILOT/Tender/SplashBidNoticeAbstractUI.aspx?menuIndex=3&amp;refID=7017253&amp;Result=3","7017253")</f>
        <v>0</v>
      </c>
      <c r="B15808" t="s">
        <v>2275</v>
      </c>
      <c r="C15808" t="s">
        <v>18597</v>
      </c>
      <c r="E15808" t="s">
        <v>32507</v>
      </c>
      <c r="F15808" t="s">
        <v>32664</v>
      </c>
      <c r="G15808" t="s">
        <v>32672</v>
      </c>
      <c r="H15808" t="s">
        <v>32682</v>
      </c>
      <c r="I15808" t="s">
        <v>5460</v>
      </c>
      <c r="J15808" t="s">
        <v>33302</v>
      </c>
      <c r="K15808" t="s">
        <v>42334</v>
      </c>
      <c r="M15808" t="s">
        <v>46550</v>
      </c>
      <c r="N15808" t="s">
        <v>46569</v>
      </c>
      <c r="O15808" t="s">
        <v>46570</v>
      </c>
      <c r="Q15808">
        <v>6</v>
      </c>
      <c r="R15808" t="s">
        <v>46598</v>
      </c>
      <c r="S15808" t="s">
        <v>48187</v>
      </c>
      <c r="T15808" t="s">
        <v>48228</v>
      </c>
      <c r="U15808" t="s">
        <v>61457</v>
      </c>
      <c r="W15808" t="s">
        <v>46550</v>
      </c>
      <c r="X15808" t="s">
        <v>46596</v>
      </c>
    </row>
    <row r="15809" spans="1:24">
      <c r="A15809">
        <f>HYPERLINK("https://www.philgeps.gov.ph/GEPSNONPILOT/Tender/SplashBidNoticeAbstractUI.aspx?menuIndex=3&amp;refID=7021626&amp;Result=3","7021626")</f>
        <v>0</v>
      </c>
      <c r="B15809" t="s">
        <v>2813</v>
      </c>
      <c r="C15809" t="s">
        <v>18598</v>
      </c>
      <c r="E15809" t="s">
        <v>32508</v>
      </c>
      <c r="F15809" t="s">
        <v>32664</v>
      </c>
      <c r="G15809" t="s">
        <v>32672</v>
      </c>
      <c r="H15809" t="s">
        <v>32683</v>
      </c>
      <c r="I15809" t="s">
        <v>10627</v>
      </c>
      <c r="J15809" t="s">
        <v>42166</v>
      </c>
      <c r="K15809" t="s">
        <v>42583</v>
      </c>
      <c r="M15809" t="s">
        <v>46476</v>
      </c>
      <c r="N15809" t="s">
        <v>46569</v>
      </c>
      <c r="O15809" t="s">
        <v>46570</v>
      </c>
      <c r="P15809">
        <v>0</v>
      </c>
      <c r="Q15809">
        <v>15</v>
      </c>
      <c r="R15809" t="s">
        <v>46594</v>
      </c>
      <c r="S15809" t="s">
        <v>47740</v>
      </c>
      <c r="T15809" t="s">
        <v>48748</v>
      </c>
      <c r="U15809" t="s">
        <v>61458</v>
      </c>
      <c r="V15809" t="s">
        <v>56917</v>
      </c>
      <c r="W15809" t="s">
        <v>46476</v>
      </c>
      <c r="X15809" t="s">
        <v>46598</v>
      </c>
    </row>
    <row r="15810" spans="1:24">
      <c r="A15810">
        <f>HYPERLINK("https://www.philgeps.gov.ph/GEPSNONPILOT/Tender/SplashBidNoticeAbstractUI.aspx?menuIndex=3&amp;refID=7019276&amp;Result=3","7019276")</f>
        <v>0</v>
      </c>
      <c r="B15810" t="s">
        <v>732</v>
      </c>
      <c r="C15810" t="s">
        <v>18599</v>
      </c>
      <c r="D15810" t="s">
        <v>18841</v>
      </c>
      <c r="E15810" t="s">
        <v>32509</v>
      </c>
      <c r="F15810" t="s">
        <v>32664</v>
      </c>
      <c r="G15810" t="s">
        <v>32672</v>
      </c>
      <c r="H15810" t="s">
        <v>12635</v>
      </c>
      <c r="I15810" t="s">
        <v>32689</v>
      </c>
      <c r="J15810" t="s">
        <v>32837</v>
      </c>
      <c r="K15810" t="s">
        <v>42305</v>
      </c>
      <c r="M15810" t="s">
        <v>43321</v>
      </c>
      <c r="N15810" t="s">
        <v>46569</v>
      </c>
      <c r="O15810" t="s">
        <v>46570</v>
      </c>
      <c r="P15810">
        <v>0</v>
      </c>
      <c r="Q15810">
        <v>2</v>
      </c>
      <c r="R15810" t="s">
        <v>46594</v>
      </c>
      <c r="S15810" t="s">
        <v>47740</v>
      </c>
      <c r="T15810" t="s">
        <v>48448</v>
      </c>
      <c r="U15810" t="s">
        <v>61459</v>
      </c>
      <c r="W15810" t="s">
        <v>43321</v>
      </c>
      <c r="X15810" t="s">
        <v>46598</v>
      </c>
    </row>
    <row r="15811" spans="1:24">
      <c r="A15811">
        <f>HYPERLINK("https://www.philgeps.gov.ph/GEPSNONPILOT/Tender/SplashBidNoticeAbstractUI.aspx?menuIndex=3&amp;refID=7017116&amp;Result=3","7017116")</f>
        <v>0</v>
      </c>
      <c r="B15811" t="s">
        <v>1920</v>
      </c>
      <c r="C15811" t="s">
        <v>18600</v>
      </c>
      <c r="D15811" t="s">
        <v>18789</v>
      </c>
      <c r="E15811" t="s">
        <v>28715</v>
      </c>
      <c r="F15811" t="s">
        <v>32664</v>
      </c>
      <c r="G15811" t="s">
        <v>32672</v>
      </c>
      <c r="H15811" t="s">
        <v>12635</v>
      </c>
      <c r="I15811" t="s">
        <v>11464</v>
      </c>
      <c r="J15811" t="s">
        <v>33273</v>
      </c>
      <c r="K15811" t="s">
        <v>42298</v>
      </c>
      <c r="M15811" t="s">
        <v>44641</v>
      </c>
      <c r="N15811" t="s">
        <v>46569</v>
      </c>
      <c r="O15811" t="s">
        <v>46570</v>
      </c>
      <c r="P15811">
        <v>0</v>
      </c>
      <c r="Q15811">
        <v>5</v>
      </c>
      <c r="R15811" t="s">
        <v>46598</v>
      </c>
      <c r="S15811" t="s">
        <v>47785</v>
      </c>
      <c r="T15811" t="s">
        <v>48316</v>
      </c>
      <c r="U15811" t="s">
        <v>61460</v>
      </c>
      <c r="V15811" t="s">
        <v>63437</v>
      </c>
      <c r="W15811" t="s">
        <v>44641</v>
      </c>
      <c r="X15811" t="s">
        <v>46596</v>
      </c>
    </row>
    <row r="15812" spans="1:24">
      <c r="A15812">
        <f>HYPERLINK("https://www.philgeps.gov.ph/GEPSNONPILOT/Tender/SplashBidNoticeAbstractUI.aspx?menuIndex=3&amp;refID=7017877&amp;Result=3","7017877")</f>
        <v>0</v>
      </c>
      <c r="B15812" t="s">
        <v>1382</v>
      </c>
      <c r="C15812" t="s">
        <v>18601</v>
      </c>
      <c r="E15812" t="s">
        <v>32510</v>
      </c>
      <c r="F15812" t="s">
        <v>32664</v>
      </c>
      <c r="G15812" t="s">
        <v>32672</v>
      </c>
      <c r="H15812" t="s">
        <v>32683</v>
      </c>
      <c r="I15812" t="s">
        <v>10627</v>
      </c>
      <c r="J15812" t="s">
        <v>42167</v>
      </c>
      <c r="K15812" t="s">
        <v>42283</v>
      </c>
      <c r="M15812" t="s">
        <v>44037</v>
      </c>
      <c r="N15812" t="s">
        <v>46569</v>
      </c>
      <c r="O15812" t="s">
        <v>46570</v>
      </c>
      <c r="Q15812">
        <v>46</v>
      </c>
      <c r="R15812" t="s">
        <v>46595</v>
      </c>
      <c r="S15812" t="s">
        <v>48188</v>
      </c>
      <c r="T15812" t="s">
        <v>48283</v>
      </c>
      <c r="U15812" t="s">
        <v>59009</v>
      </c>
      <c r="W15812" t="s">
        <v>63589</v>
      </c>
      <c r="X15812" t="s">
        <v>46596</v>
      </c>
    </row>
    <row r="15813" spans="1:24">
      <c r="A15813">
        <f>HYPERLINK("https://www.philgeps.gov.ph/GEPSNONPILOT/Tender/SplashBidNoticeAbstractUI.aspx?menuIndex=3&amp;refID=7016965&amp;Result=3","7016965")</f>
        <v>0</v>
      </c>
      <c r="B15813" t="s">
        <v>3473</v>
      </c>
      <c r="C15813" t="s">
        <v>18602</v>
      </c>
      <c r="D15813" t="s">
        <v>18807</v>
      </c>
      <c r="E15813" t="s">
        <v>32511</v>
      </c>
      <c r="F15813" t="s">
        <v>32665</v>
      </c>
      <c r="G15813" t="s">
        <v>32672</v>
      </c>
      <c r="H15813" t="s">
        <v>12635</v>
      </c>
      <c r="I15813" t="s">
        <v>11464</v>
      </c>
      <c r="J15813" t="s">
        <v>33273</v>
      </c>
      <c r="K15813" t="s">
        <v>42281</v>
      </c>
      <c r="M15813" t="s">
        <v>46468</v>
      </c>
      <c r="N15813" t="s">
        <v>46569</v>
      </c>
      <c r="O15813" t="s">
        <v>46570</v>
      </c>
      <c r="P15813">
        <v>0</v>
      </c>
      <c r="Q15813">
        <v>5</v>
      </c>
      <c r="R15813" t="s">
        <v>46598</v>
      </c>
      <c r="S15813" t="s">
        <v>47785</v>
      </c>
      <c r="T15813" t="s">
        <v>48254</v>
      </c>
      <c r="U15813" t="s">
        <v>61461</v>
      </c>
      <c r="V15813" t="s">
        <v>63312</v>
      </c>
      <c r="W15813" t="s">
        <v>46468</v>
      </c>
      <c r="X15813" t="s">
        <v>46596</v>
      </c>
    </row>
    <row r="15814" spans="1:24">
      <c r="A15814">
        <f>HYPERLINK("https://www.philgeps.gov.ph/GEPSNONPILOT/Tender/SplashBidNoticeAbstractUI.aspx?menuIndex=3&amp;refID=7017136&amp;Result=3","7017136")</f>
        <v>0</v>
      </c>
      <c r="B15814" t="s">
        <v>2275</v>
      </c>
      <c r="C15814" t="s">
        <v>18603</v>
      </c>
      <c r="E15814" t="s">
        <v>32512</v>
      </c>
      <c r="F15814" t="s">
        <v>32664</v>
      </c>
      <c r="G15814" t="s">
        <v>32672</v>
      </c>
      <c r="H15814" t="s">
        <v>12635</v>
      </c>
      <c r="I15814" t="s">
        <v>32779</v>
      </c>
      <c r="J15814" t="s">
        <v>42168</v>
      </c>
      <c r="K15814" t="s">
        <v>42298</v>
      </c>
      <c r="M15814" t="s">
        <v>46550</v>
      </c>
      <c r="N15814" t="s">
        <v>46569</v>
      </c>
      <c r="O15814" t="s">
        <v>46570</v>
      </c>
      <c r="Q15814">
        <v>7</v>
      </c>
      <c r="R15814" t="s">
        <v>46598</v>
      </c>
      <c r="S15814" t="s">
        <v>48189</v>
      </c>
      <c r="T15814" t="s">
        <v>48228</v>
      </c>
      <c r="U15814" t="s">
        <v>61462</v>
      </c>
      <c r="W15814" t="s">
        <v>46550</v>
      </c>
      <c r="X15814" t="s">
        <v>46596</v>
      </c>
    </row>
    <row r="15815" spans="1:24">
      <c r="A15815">
        <f>HYPERLINK("https://www.philgeps.gov.ph/GEPSNONPILOT/Tender/SplashBidNoticeAbstractUI.aspx?menuIndex=3&amp;refID=7018242&amp;Result=3","7018242")</f>
        <v>0</v>
      </c>
      <c r="B15815" t="s">
        <v>2951</v>
      </c>
      <c r="C15815" t="s">
        <v>18604</v>
      </c>
      <c r="D15815" t="s">
        <v>18789</v>
      </c>
      <c r="E15815" t="s">
        <v>32513</v>
      </c>
      <c r="F15815" t="s">
        <v>32664</v>
      </c>
      <c r="G15815" t="s">
        <v>32672</v>
      </c>
      <c r="H15815" t="s">
        <v>32683</v>
      </c>
      <c r="I15815" t="s">
        <v>10627</v>
      </c>
      <c r="J15815" t="s">
        <v>42169</v>
      </c>
      <c r="K15815" t="s">
        <v>42367</v>
      </c>
      <c r="M15815" t="s">
        <v>45805</v>
      </c>
      <c r="N15815" t="s">
        <v>46569</v>
      </c>
      <c r="O15815" t="s">
        <v>46570</v>
      </c>
      <c r="Q15815">
        <v>5</v>
      </c>
      <c r="R15815" t="s">
        <v>46594</v>
      </c>
      <c r="S15815" t="s">
        <v>48190</v>
      </c>
      <c r="T15815" t="s">
        <v>48225</v>
      </c>
      <c r="U15815" t="s">
        <v>61463</v>
      </c>
      <c r="W15815" t="s">
        <v>45805</v>
      </c>
      <c r="X15815" t="s">
        <v>46596</v>
      </c>
    </row>
    <row r="15816" spans="1:24">
      <c r="A15816">
        <f>HYPERLINK("https://www.philgeps.gov.ph/GEPSNONPILOT/Tender/SplashBidNoticeAbstractUI.aspx?menuIndex=3&amp;refID=7023433&amp;Result=3","7023433")</f>
        <v>0</v>
      </c>
      <c r="B15816" t="s">
        <v>886</v>
      </c>
      <c r="C15816" t="s">
        <v>18605</v>
      </c>
      <c r="D15816" t="s">
        <v>18784</v>
      </c>
      <c r="E15816" t="s">
        <v>32514</v>
      </c>
      <c r="F15816" t="s">
        <v>32664</v>
      </c>
      <c r="G15816" t="s">
        <v>32672</v>
      </c>
      <c r="H15816" t="s">
        <v>32682</v>
      </c>
      <c r="I15816" t="s">
        <v>5589</v>
      </c>
      <c r="J15816" t="s">
        <v>42170</v>
      </c>
      <c r="K15816" t="s">
        <v>42571</v>
      </c>
      <c r="M15816" t="s">
        <v>46471</v>
      </c>
      <c r="N15816" t="s">
        <v>46569</v>
      </c>
      <c r="O15816" t="s">
        <v>46570</v>
      </c>
      <c r="Q15816">
        <v>21</v>
      </c>
      <c r="R15816" t="s">
        <v>46593</v>
      </c>
      <c r="S15816" t="s">
        <v>48191</v>
      </c>
      <c r="T15816" t="s">
        <v>48598</v>
      </c>
      <c r="U15816" t="s">
        <v>60991</v>
      </c>
      <c r="W15816" t="s">
        <v>45111</v>
      </c>
      <c r="X15816" t="s">
        <v>46594</v>
      </c>
    </row>
    <row r="15817" spans="1:24">
      <c r="A15817">
        <f>HYPERLINK("https://www.philgeps.gov.ph/GEPSNONPILOT/Tender/SplashBidNoticeAbstractUI.aspx?menuIndex=3&amp;refID=7023398&amp;Result=3","7023398")</f>
        <v>0</v>
      </c>
      <c r="B15817" t="s">
        <v>218</v>
      </c>
      <c r="C15817" t="s">
        <v>18606</v>
      </c>
      <c r="D15817" t="s">
        <v>18792</v>
      </c>
      <c r="E15817" t="s">
        <v>32515</v>
      </c>
      <c r="F15817" t="s">
        <v>32664</v>
      </c>
      <c r="G15817" t="s">
        <v>32672</v>
      </c>
      <c r="H15817" t="s">
        <v>12635</v>
      </c>
      <c r="I15817" t="s">
        <v>32706</v>
      </c>
      <c r="J15817" t="s">
        <v>32943</v>
      </c>
      <c r="K15817" t="s">
        <v>42283</v>
      </c>
      <c r="M15817" t="s">
        <v>42782</v>
      </c>
      <c r="N15817" t="s">
        <v>46569</v>
      </c>
      <c r="O15817" t="s">
        <v>46570</v>
      </c>
      <c r="P15817">
        <v>0</v>
      </c>
      <c r="Q15817">
        <v>0</v>
      </c>
      <c r="R15817" t="s">
        <v>46593</v>
      </c>
      <c r="S15817" t="s">
        <v>47701</v>
      </c>
      <c r="T15817" t="s">
        <v>48448</v>
      </c>
      <c r="U15817" t="s">
        <v>61464</v>
      </c>
      <c r="W15817" t="s">
        <v>42782</v>
      </c>
      <c r="X15817" t="s">
        <v>46594</v>
      </c>
    </row>
    <row r="15818" spans="1:24">
      <c r="A15818">
        <f>HYPERLINK("https://www.philgeps.gov.ph/GEPSNONPILOT/Tender/SplashBidNoticeAbstractUI.aspx?menuIndex=3&amp;refID=7024952&amp;Result=3","7024952")</f>
        <v>0</v>
      </c>
      <c r="B15818" t="s">
        <v>3468</v>
      </c>
      <c r="C15818" t="s">
        <v>18607</v>
      </c>
      <c r="D15818" t="s">
        <v>18807</v>
      </c>
      <c r="E15818" t="s">
        <v>32516</v>
      </c>
      <c r="F15818" t="s">
        <v>32664</v>
      </c>
      <c r="G15818" t="s">
        <v>32672</v>
      </c>
      <c r="H15818" t="s">
        <v>12635</v>
      </c>
      <c r="I15818" t="s">
        <v>32694</v>
      </c>
      <c r="J15818" t="s">
        <v>42171</v>
      </c>
      <c r="K15818" t="s">
        <v>42289</v>
      </c>
      <c r="M15818" t="s">
        <v>46460</v>
      </c>
      <c r="N15818" t="s">
        <v>46569</v>
      </c>
      <c r="O15818" t="s">
        <v>46570</v>
      </c>
      <c r="P15818">
        <v>0</v>
      </c>
      <c r="Q15818">
        <v>0</v>
      </c>
      <c r="R15818" t="s">
        <v>46592</v>
      </c>
      <c r="S15818" t="s">
        <v>47652</v>
      </c>
      <c r="T15818" t="s">
        <v>48290</v>
      </c>
      <c r="U15818" t="s">
        <v>61465</v>
      </c>
      <c r="W15818" t="s">
        <v>63599</v>
      </c>
      <c r="X15818" t="s">
        <v>46593</v>
      </c>
    </row>
    <row r="15819" spans="1:24">
      <c r="A15819">
        <f>HYPERLINK("https://www.philgeps.gov.ph/GEPSNONPILOT/Tender/SplashBidNoticeAbstractUI.aspx?menuIndex=3&amp;refID=7023452&amp;Result=3","7023452")</f>
        <v>0</v>
      </c>
      <c r="B15819" t="s">
        <v>1602</v>
      </c>
      <c r="C15819" t="s">
        <v>18608</v>
      </c>
      <c r="D15819" t="s">
        <v>18784</v>
      </c>
      <c r="E15819" t="s">
        <v>32517</v>
      </c>
      <c r="F15819" t="s">
        <v>32664</v>
      </c>
      <c r="G15819" t="s">
        <v>32672</v>
      </c>
      <c r="H15819" t="s">
        <v>12635</v>
      </c>
      <c r="I15819" t="s">
        <v>11464</v>
      </c>
      <c r="J15819" t="s">
        <v>42172</v>
      </c>
      <c r="K15819" t="s">
        <v>42281</v>
      </c>
      <c r="M15819" t="s">
        <v>44280</v>
      </c>
      <c r="N15819" t="s">
        <v>46569</v>
      </c>
      <c r="O15819" t="s">
        <v>46570</v>
      </c>
      <c r="Q15819">
        <v>13</v>
      </c>
      <c r="R15819" t="s">
        <v>46593</v>
      </c>
      <c r="S15819" t="s">
        <v>48192</v>
      </c>
      <c r="T15819" t="s">
        <v>48258</v>
      </c>
      <c r="U15819" t="s">
        <v>52543</v>
      </c>
      <c r="W15819" t="s">
        <v>44280</v>
      </c>
      <c r="X15819" t="s">
        <v>46594</v>
      </c>
    </row>
    <row r="15820" spans="1:24">
      <c r="A15820">
        <f>HYPERLINK("https://www.philgeps.gov.ph/GEPSNONPILOT/Tender/SplashBidNoticeAbstractUI.aspx?menuIndex=3&amp;refID=7024906&amp;Result=3","7024906")</f>
        <v>0</v>
      </c>
      <c r="B15820" t="s">
        <v>102</v>
      </c>
      <c r="C15820" t="s">
        <v>18609</v>
      </c>
      <c r="D15820" t="s">
        <v>18788</v>
      </c>
      <c r="E15820" t="s">
        <v>32518</v>
      </c>
      <c r="F15820" t="s">
        <v>32664</v>
      </c>
      <c r="G15820" t="s">
        <v>32672</v>
      </c>
      <c r="H15820" t="s">
        <v>32683</v>
      </c>
      <c r="I15820" t="s">
        <v>10627</v>
      </c>
      <c r="J15820" t="s">
        <v>42173</v>
      </c>
      <c r="K15820" t="s">
        <v>42311</v>
      </c>
      <c r="M15820" t="s">
        <v>42666</v>
      </c>
      <c r="N15820" t="s">
        <v>46569</v>
      </c>
      <c r="O15820" t="s">
        <v>46570</v>
      </c>
      <c r="P15820">
        <v>0</v>
      </c>
      <c r="Q15820">
        <v>0</v>
      </c>
      <c r="R15820" t="s">
        <v>46592</v>
      </c>
      <c r="S15820" t="s">
        <v>47652</v>
      </c>
      <c r="T15820" t="s">
        <v>48221</v>
      </c>
      <c r="U15820" t="s">
        <v>61466</v>
      </c>
      <c r="V15820" t="s">
        <v>62361</v>
      </c>
      <c r="W15820" t="s">
        <v>42666</v>
      </c>
      <c r="X15820" t="s">
        <v>46593</v>
      </c>
    </row>
    <row r="15821" spans="1:24">
      <c r="A15821">
        <f>HYPERLINK("https://www.philgeps.gov.ph/GEPSNONPILOT/Tender/SplashBidNoticeAbstractUI.aspx?menuIndex=3&amp;refID=7023448&amp;Result=3","7023448")</f>
        <v>0</v>
      </c>
      <c r="B15821" t="s">
        <v>3515</v>
      </c>
      <c r="C15821" t="s">
        <v>18610</v>
      </c>
      <c r="D15821" t="s">
        <v>18839</v>
      </c>
      <c r="E15821" t="s">
        <v>32519</v>
      </c>
      <c r="F15821" t="s">
        <v>32664</v>
      </c>
      <c r="G15821" t="s">
        <v>32672</v>
      </c>
      <c r="H15821" t="s">
        <v>12635</v>
      </c>
      <c r="I15821" t="s">
        <v>32748</v>
      </c>
      <c r="J15821" t="s">
        <v>42174</v>
      </c>
      <c r="K15821" t="s">
        <v>42311</v>
      </c>
      <c r="M15821" t="s">
        <v>46551</v>
      </c>
      <c r="N15821" t="s">
        <v>46569</v>
      </c>
      <c r="O15821" t="s">
        <v>46570</v>
      </c>
      <c r="Q15821">
        <v>4</v>
      </c>
      <c r="R15821" t="s">
        <v>46593</v>
      </c>
      <c r="S15821" t="s">
        <v>48193</v>
      </c>
      <c r="T15821" t="s">
        <v>48772</v>
      </c>
      <c r="U15821" t="s">
        <v>61467</v>
      </c>
      <c r="W15821" t="s">
        <v>63603</v>
      </c>
      <c r="X15821" t="s">
        <v>46594</v>
      </c>
    </row>
    <row r="15822" spans="1:24">
      <c r="A15822">
        <f>HYPERLINK("https://www.philgeps.gov.ph/GEPSNONPILOT/Tender/SplashBidNoticeAbstractUI.aspx?menuIndex=3&amp;refID=6986153&amp;Result=3","6986153")</f>
        <v>0</v>
      </c>
      <c r="B15822" t="s">
        <v>460</v>
      </c>
      <c r="C15822" t="s">
        <v>18611</v>
      </c>
      <c r="D15822" t="s">
        <v>18806</v>
      </c>
      <c r="E15822" t="s">
        <v>32520</v>
      </c>
      <c r="F15822" t="s">
        <v>32664</v>
      </c>
      <c r="G15822" t="s">
        <v>32672</v>
      </c>
      <c r="H15822" t="s">
        <v>12635</v>
      </c>
      <c r="I15822" t="s">
        <v>4439</v>
      </c>
      <c r="J15822" t="s">
        <v>42175</v>
      </c>
      <c r="K15822" t="s">
        <v>42309</v>
      </c>
      <c r="M15822" t="s">
        <v>44571</v>
      </c>
      <c r="N15822" t="s">
        <v>46569</v>
      </c>
      <c r="O15822" t="s">
        <v>46570</v>
      </c>
      <c r="Q15822">
        <v>1</v>
      </c>
      <c r="R15822" t="s">
        <v>46594</v>
      </c>
      <c r="S15822" t="s">
        <v>48194</v>
      </c>
      <c r="T15822" t="s">
        <v>48307</v>
      </c>
      <c r="U15822" t="s">
        <v>61468</v>
      </c>
      <c r="V15822" t="s">
        <v>61668</v>
      </c>
      <c r="W15822" t="s">
        <v>44571</v>
      </c>
      <c r="X15822" t="s">
        <v>46616</v>
      </c>
    </row>
    <row r="15823" spans="1:24">
      <c r="A15823">
        <f>HYPERLINK("https://www.philgeps.gov.ph/GEPSNONPILOT/Tender/SplashBidNoticeAbstractUI.aspx?menuIndex=3&amp;refID=7017252&amp;Result=3","7017252")</f>
        <v>0</v>
      </c>
      <c r="B15823" t="s">
        <v>3276</v>
      </c>
      <c r="C15823" t="s">
        <v>18612</v>
      </c>
      <c r="D15823" t="s">
        <v>18784</v>
      </c>
      <c r="E15823" t="s">
        <v>32521</v>
      </c>
      <c r="F15823" t="s">
        <v>32664</v>
      </c>
      <c r="G15823" t="s">
        <v>32672</v>
      </c>
      <c r="H15823" t="s">
        <v>12635</v>
      </c>
      <c r="I15823" t="s">
        <v>32745</v>
      </c>
      <c r="J15823" t="s">
        <v>40522</v>
      </c>
      <c r="K15823" t="s">
        <v>42283</v>
      </c>
      <c r="M15823" t="s">
        <v>46213</v>
      </c>
      <c r="N15823" t="s">
        <v>46569</v>
      </c>
      <c r="O15823" t="s">
        <v>46570</v>
      </c>
      <c r="P15823">
        <v>0</v>
      </c>
      <c r="Q15823">
        <v>12</v>
      </c>
      <c r="R15823" t="s">
        <v>46598</v>
      </c>
      <c r="S15823" t="s">
        <v>47785</v>
      </c>
      <c r="T15823" t="s">
        <v>48258</v>
      </c>
      <c r="U15823" t="s">
        <v>56481</v>
      </c>
      <c r="W15823" t="s">
        <v>46213</v>
      </c>
      <c r="X15823" t="s">
        <v>46596</v>
      </c>
    </row>
    <row r="15824" spans="1:24">
      <c r="A15824">
        <f>HYPERLINK("https://www.philgeps.gov.ph/GEPSNONPILOT/Tender/SplashBidNoticeAbstractUI.aspx?menuIndex=3&amp;refID=7029730&amp;Result=3","7029730")</f>
        <v>0</v>
      </c>
      <c r="B15824" t="s">
        <v>611</v>
      </c>
      <c r="C15824" t="s">
        <v>18613</v>
      </c>
      <c r="E15824" t="s">
        <v>32522</v>
      </c>
      <c r="F15824" t="s">
        <v>32664</v>
      </c>
      <c r="G15824" t="s">
        <v>32672</v>
      </c>
      <c r="H15824" t="s">
        <v>12635</v>
      </c>
      <c r="I15824" t="s">
        <v>32704</v>
      </c>
      <c r="J15824" t="s">
        <v>32837</v>
      </c>
      <c r="K15824" t="s">
        <v>42298</v>
      </c>
      <c r="M15824" t="s">
        <v>45121</v>
      </c>
      <c r="N15824" t="s">
        <v>46569</v>
      </c>
      <c r="O15824" t="s">
        <v>46570</v>
      </c>
      <c r="Q15824">
        <v>29</v>
      </c>
      <c r="R15824" t="s">
        <v>46591</v>
      </c>
      <c r="S15824" t="s">
        <v>48195</v>
      </c>
      <c r="T15824" t="s">
        <v>48304</v>
      </c>
      <c r="U15824" t="s">
        <v>61469</v>
      </c>
      <c r="W15824" t="s">
        <v>45121</v>
      </c>
      <c r="X15824" t="s">
        <v>46592</v>
      </c>
    </row>
    <row r="15825" spans="1:24">
      <c r="A15825">
        <f>HYPERLINK("https://www.philgeps.gov.ph/GEPSNONPILOT/Tender/SplashBidNoticeAbstractUI.aspx?menuIndex=3&amp;refID=7029727&amp;Result=3","7029727")</f>
        <v>0</v>
      </c>
      <c r="B15825" t="s">
        <v>611</v>
      </c>
      <c r="C15825" t="s">
        <v>18614</v>
      </c>
      <c r="E15825" t="s">
        <v>32523</v>
      </c>
      <c r="F15825" t="s">
        <v>32664</v>
      </c>
      <c r="G15825" t="s">
        <v>32672</v>
      </c>
      <c r="H15825" t="s">
        <v>12635</v>
      </c>
      <c r="I15825" t="s">
        <v>32704</v>
      </c>
      <c r="J15825" t="s">
        <v>42176</v>
      </c>
      <c r="K15825" t="s">
        <v>42305</v>
      </c>
      <c r="M15825" t="s">
        <v>45121</v>
      </c>
      <c r="N15825" t="s">
        <v>46569</v>
      </c>
      <c r="O15825" t="s">
        <v>46570</v>
      </c>
      <c r="P15825">
        <v>0</v>
      </c>
      <c r="Q15825">
        <v>10</v>
      </c>
      <c r="R15825" t="s">
        <v>46591</v>
      </c>
      <c r="S15825" t="s">
        <v>47586</v>
      </c>
      <c r="T15825" t="s">
        <v>48296</v>
      </c>
      <c r="U15825" t="s">
        <v>61470</v>
      </c>
      <c r="W15825" t="s">
        <v>45121</v>
      </c>
      <c r="X15825" t="s">
        <v>46592</v>
      </c>
    </row>
    <row r="15826" spans="1:24">
      <c r="A15826">
        <f>HYPERLINK("https://www.philgeps.gov.ph/GEPSNONPILOT/Tender/SplashBidNoticeAbstractUI.aspx?menuIndex=3&amp;refID=7029719&amp;Result=3","7029719")</f>
        <v>0</v>
      </c>
      <c r="B15826" t="s">
        <v>611</v>
      </c>
      <c r="C15826" t="s">
        <v>18615</v>
      </c>
      <c r="E15826" t="s">
        <v>32524</v>
      </c>
      <c r="F15826" t="s">
        <v>32664</v>
      </c>
      <c r="G15826" t="s">
        <v>32672</v>
      </c>
      <c r="H15826" t="s">
        <v>12635</v>
      </c>
      <c r="I15826" t="s">
        <v>32704</v>
      </c>
      <c r="J15826" t="s">
        <v>42177</v>
      </c>
      <c r="K15826" t="s">
        <v>42298</v>
      </c>
      <c r="M15826" t="s">
        <v>45121</v>
      </c>
      <c r="N15826" t="s">
        <v>46569</v>
      </c>
      <c r="O15826" t="s">
        <v>46570</v>
      </c>
      <c r="Q15826">
        <v>16</v>
      </c>
      <c r="R15826" t="s">
        <v>46591</v>
      </c>
      <c r="S15826" t="s">
        <v>48196</v>
      </c>
      <c r="T15826" t="s">
        <v>48268</v>
      </c>
      <c r="U15826" t="s">
        <v>61471</v>
      </c>
      <c r="W15826" t="s">
        <v>45121</v>
      </c>
      <c r="X15826" t="s">
        <v>46592</v>
      </c>
    </row>
    <row r="15827" spans="1:24">
      <c r="A15827">
        <f>HYPERLINK("https://www.philgeps.gov.ph/GEPSNONPILOT/Tender/SplashBidNoticeAbstractUI.aspx?menuIndex=3&amp;refID=7029566&amp;Result=3","7029566")</f>
        <v>0</v>
      </c>
      <c r="B15827" t="s">
        <v>611</v>
      </c>
      <c r="C15827" t="s">
        <v>18616</v>
      </c>
      <c r="E15827" t="s">
        <v>32525</v>
      </c>
      <c r="F15827" t="s">
        <v>32664</v>
      </c>
      <c r="G15827" t="s">
        <v>32672</v>
      </c>
      <c r="H15827" t="s">
        <v>12635</v>
      </c>
      <c r="I15827" t="s">
        <v>32779</v>
      </c>
      <c r="J15827" t="s">
        <v>42178</v>
      </c>
      <c r="K15827" t="s">
        <v>42305</v>
      </c>
      <c r="M15827" t="s">
        <v>45121</v>
      </c>
      <c r="N15827" t="s">
        <v>46569</v>
      </c>
      <c r="O15827" t="s">
        <v>46570</v>
      </c>
      <c r="Q15827">
        <v>3</v>
      </c>
      <c r="R15827" t="s">
        <v>46591</v>
      </c>
      <c r="S15827" t="s">
        <v>48197</v>
      </c>
      <c r="T15827" t="s">
        <v>48293</v>
      </c>
      <c r="U15827" t="s">
        <v>58638</v>
      </c>
      <c r="W15827" t="s">
        <v>45121</v>
      </c>
      <c r="X15827" t="s">
        <v>46592</v>
      </c>
    </row>
    <row r="15828" spans="1:24">
      <c r="A15828">
        <f>HYPERLINK("https://www.philgeps.gov.ph/GEPSNONPILOT/Tender/SplashBidNoticeAbstractUI.aspx?menuIndex=3&amp;refID=7029752&amp;Result=3","7029752")</f>
        <v>0</v>
      </c>
      <c r="B15828" t="s">
        <v>611</v>
      </c>
      <c r="C15828" t="s">
        <v>18617</v>
      </c>
      <c r="E15828" t="s">
        <v>32526</v>
      </c>
      <c r="F15828" t="s">
        <v>32664</v>
      </c>
      <c r="G15828" t="s">
        <v>32672</v>
      </c>
      <c r="H15828" t="s">
        <v>12635</v>
      </c>
      <c r="I15828" t="s">
        <v>6628</v>
      </c>
      <c r="J15828" t="s">
        <v>33261</v>
      </c>
      <c r="K15828" t="s">
        <v>42305</v>
      </c>
      <c r="M15828" t="s">
        <v>45121</v>
      </c>
      <c r="N15828" t="s">
        <v>46569</v>
      </c>
      <c r="O15828" t="s">
        <v>46570</v>
      </c>
      <c r="P15828">
        <v>0</v>
      </c>
      <c r="Q15828">
        <v>4</v>
      </c>
      <c r="R15828" t="s">
        <v>46591</v>
      </c>
      <c r="S15828" t="s">
        <v>47586</v>
      </c>
      <c r="T15828" t="s">
        <v>48387</v>
      </c>
      <c r="U15828" t="s">
        <v>61472</v>
      </c>
      <c r="W15828" t="s">
        <v>45121</v>
      </c>
      <c r="X15828" t="s">
        <v>46592</v>
      </c>
    </row>
    <row r="15829" spans="1:24">
      <c r="A15829">
        <f>HYPERLINK("https://www.philgeps.gov.ph/GEPSNONPILOT/Tender/SplashBidNoticeAbstractUI.aspx?menuIndex=3&amp;refID=7030492&amp;Result=3","7030492")</f>
        <v>0</v>
      </c>
      <c r="B15829" t="s">
        <v>678</v>
      </c>
      <c r="C15829" t="s">
        <v>18618</v>
      </c>
      <c r="E15829" t="s">
        <v>32527</v>
      </c>
      <c r="F15829" t="s">
        <v>32664</v>
      </c>
      <c r="G15829" t="s">
        <v>32672</v>
      </c>
      <c r="H15829" t="s">
        <v>12635</v>
      </c>
      <c r="I15829" t="s">
        <v>32696</v>
      </c>
      <c r="J15829" t="s">
        <v>42179</v>
      </c>
      <c r="K15829" t="s">
        <v>42283</v>
      </c>
      <c r="M15829" t="s">
        <v>43265</v>
      </c>
      <c r="N15829" t="s">
        <v>46569</v>
      </c>
      <c r="O15829" t="s">
        <v>46570</v>
      </c>
      <c r="P15829">
        <v>0</v>
      </c>
      <c r="Q15829">
        <v>2</v>
      </c>
      <c r="R15829" t="s">
        <v>46590</v>
      </c>
      <c r="S15829" t="s">
        <v>47546</v>
      </c>
      <c r="T15829" t="s">
        <v>48230</v>
      </c>
      <c r="U15829" t="s">
        <v>61473</v>
      </c>
      <c r="W15829" t="s">
        <v>43265</v>
      </c>
      <c r="X15829" t="s">
        <v>46591</v>
      </c>
    </row>
    <row r="15830" spans="1:24">
      <c r="A15830">
        <f>HYPERLINK("https://www.philgeps.gov.ph/GEPSNONPILOT/Tender/SplashBidNoticeAbstractUI.aspx?menuIndex=3&amp;refID=7029738&amp;Result=3","7029738")</f>
        <v>0</v>
      </c>
      <c r="B15830" t="s">
        <v>611</v>
      </c>
      <c r="C15830" t="s">
        <v>18619</v>
      </c>
      <c r="E15830" t="s">
        <v>32528</v>
      </c>
      <c r="F15830" t="s">
        <v>32664</v>
      </c>
      <c r="G15830" t="s">
        <v>32672</v>
      </c>
      <c r="H15830" t="s">
        <v>12635</v>
      </c>
      <c r="I15830" t="s">
        <v>32727</v>
      </c>
      <c r="J15830" t="s">
        <v>42180</v>
      </c>
      <c r="K15830" t="s">
        <v>42298</v>
      </c>
      <c r="M15830" t="s">
        <v>45121</v>
      </c>
      <c r="N15830" t="s">
        <v>46569</v>
      </c>
      <c r="O15830" t="s">
        <v>46570</v>
      </c>
      <c r="Q15830">
        <v>11</v>
      </c>
      <c r="R15830" t="s">
        <v>46591</v>
      </c>
      <c r="S15830" t="s">
        <v>48198</v>
      </c>
      <c r="T15830" t="s">
        <v>48383</v>
      </c>
      <c r="U15830" t="s">
        <v>61474</v>
      </c>
      <c r="W15830" t="s">
        <v>45121</v>
      </c>
      <c r="X15830" t="s">
        <v>46592</v>
      </c>
    </row>
    <row r="15831" spans="1:24">
      <c r="A15831">
        <f>HYPERLINK("https://www.philgeps.gov.ph/GEPSNONPILOT/Tender/SplashBidNoticeAbstractUI.aspx?menuIndex=3&amp;refID=7030437&amp;Result=3","7030437")</f>
        <v>0</v>
      </c>
      <c r="B15831" t="s">
        <v>513</v>
      </c>
      <c r="C15831" t="s">
        <v>18620</v>
      </c>
      <c r="D15831" t="s">
        <v>18858</v>
      </c>
      <c r="E15831" t="s">
        <v>32529</v>
      </c>
      <c r="F15831" t="s">
        <v>32664</v>
      </c>
      <c r="G15831" t="s">
        <v>32672</v>
      </c>
      <c r="H15831" t="s">
        <v>32683</v>
      </c>
      <c r="I15831" t="s">
        <v>10627</v>
      </c>
      <c r="J15831" t="s">
        <v>33320</v>
      </c>
      <c r="K15831" t="s">
        <v>42433</v>
      </c>
      <c r="M15831" t="s">
        <v>43089</v>
      </c>
      <c r="N15831" t="s">
        <v>46569</v>
      </c>
      <c r="O15831" t="s">
        <v>46570</v>
      </c>
      <c r="P15831">
        <v>0</v>
      </c>
      <c r="Q15831">
        <v>0</v>
      </c>
      <c r="R15831" t="s">
        <v>46590</v>
      </c>
      <c r="S15831" t="s">
        <v>47546</v>
      </c>
      <c r="T15831" t="s">
        <v>48293</v>
      </c>
      <c r="U15831" t="s">
        <v>58432</v>
      </c>
      <c r="W15831" t="s">
        <v>43089</v>
      </c>
      <c r="X15831" t="s">
        <v>46591</v>
      </c>
    </row>
    <row r="15832" spans="1:24">
      <c r="A15832">
        <f>HYPERLINK("https://www.philgeps.gov.ph/GEPSNONPILOT/Tender/SplashBidNoticeAbstractUI.aspx?menuIndex=3&amp;refID=7030390&amp;Result=3","7030390")</f>
        <v>0</v>
      </c>
      <c r="B15832" t="s">
        <v>2028</v>
      </c>
      <c r="C15832" t="s">
        <v>18621</v>
      </c>
      <c r="D15832" t="s">
        <v>18807</v>
      </c>
      <c r="E15832" t="s">
        <v>20239</v>
      </c>
      <c r="F15832" t="s">
        <v>32664</v>
      </c>
      <c r="G15832" t="s">
        <v>32672</v>
      </c>
      <c r="H15832" t="s">
        <v>12635</v>
      </c>
      <c r="I15832" t="s">
        <v>6628</v>
      </c>
      <c r="J15832" t="s">
        <v>42181</v>
      </c>
      <c r="K15832" t="s">
        <v>42297</v>
      </c>
      <c r="M15832" t="s">
        <v>44770</v>
      </c>
      <c r="N15832" t="s">
        <v>46569</v>
      </c>
      <c r="O15832" t="s">
        <v>46570</v>
      </c>
      <c r="P15832">
        <v>0</v>
      </c>
      <c r="Q15832">
        <v>0</v>
      </c>
      <c r="R15832" t="s">
        <v>46590</v>
      </c>
      <c r="S15832" t="s">
        <v>47546</v>
      </c>
      <c r="T15832" t="s">
        <v>48287</v>
      </c>
      <c r="U15832" t="s">
        <v>57170</v>
      </c>
      <c r="W15832" t="s">
        <v>44770</v>
      </c>
      <c r="X15832" t="s">
        <v>46591</v>
      </c>
    </row>
    <row r="15833" spans="1:24">
      <c r="A15833">
        <f>HYPERLINK("https://www.philgeps.gov.ph/GEPSNONPILOT/Tender/SplashBidNoticeAbstractUI.aspx?menuIndex=3&amp;refID=7030375&amp;Result=3","7030375")</f>
        <v>0</v>
      </c>
      <c r="B15833" t="s">
        <v>3434</v>
      </c>
      <c r="C15833" t="s">
        <v>18622</v>
      </c>
      <c r="D15833" t="s">
        <v>18791</v>
      </c>
      <c r="E15833" t="s">
        <v>25190</v>
      </c>
      <c r="F15833" t="s">
        <v>32664</v>
      </c>
      <c r="G15833" t="s">
        <v>32672</v>
      </c>
      <c r="H15833" t="s">
        <v>32683</v>
      </c>
      <c r="I15833" t="s">
        <v>10627</v>
      </c>
      <c r="J15833" t="s">
        <v>32865</v>
      </c>
      <c r="K15833" t="s">
        <v>42305</v>
      </c>
      <c r="M15833" t="s">
        <v>46418</v>
      </c>
      <c r="N15833" t="s">
        <v>46569</v>
      </c>
      <c r="O15833" t="s">
        <v>46570</v>
      </c>
      <c r="P15833">
        <v>0</v>
      </c>
      <c r="Q15833">
        <v>0</v>
      </c>
      <c r="R15833" t="s">
        <v>46590</v>
      </c>
      <c r="S15833" t="s">
        <v>47546</v>
      </c>
      <c r="T15833" t="s">
        <v>48534</v>
      </c>
      <c r="U15833" t="s">
        <v>60679</v>
      </c>
      <c r="W15833" t="s">
        <v>46418</v>
      </c>
      <c r="X15833" t="s">
        <v>46591</v>
      </c>
    </row>
    <row r="15834" spans="1:24">
      <c r="A15834">
        <f>HYPERLINK("https://www.philgeps.gov.ph/GEPSNONPILOT/Tender/SplashBidNoticeAbstractUI.aspx?menuIndex=3&amp;refID=7029820&amp;Result=3","7029820")</f>
        <v>0</v>
      </c>
      <c r="B15834" t="s">
        <v>3428</v>
      </c>
      <c r="C15834" t="s">
        <v>18623</v>
      </c>
      <c r="E15834" t="s">
        <v>19950</v>
      </c>
      <c r="F15834" t="s">
        <v>32664</v>
      </c>
      <c r="G15834" t="s">
        <v>32672</v>
      </c>
      <c r="H15834" t="s">
        <v>32683</v>
      </c>
      <c r="I15834" t="s">
        <v>10627</v>
      </c>
      <c r="J15834" t="s">
        <v>32998</v>
      </c>
      <c r="K15834" t="s">
        <v>42308</v>
      </c>
      <c r="M15834" t="s">
        <v>46412</v>
      </c>
      <c r="N15834" t="s">
        <v>46569</v>
      </c>
      <c r="O15834" t="s">
        <v>46570</v>
      </c>
      <c r="P15834">
        <v>0</v>
      </c>
      <c r="Q15834">
        <v>1</v>
      </c>
      <c r="R15834" t="s">
        <v>46590</v>
      </c>
      <c r="S15834" t="s">
        <v>47546</v>
      </c>
      <c r="T15834" t="s">
        <v>48221</v>
      </c>
      <c r="U15834" t="s">
        <v>60525</v>
      </c>
      <c r="W15834" t="s">
        <v>46412</v>
      </c>
      <c r="X15834" t="s">
        <v>46591</v>
      </c>
    </row>
    <row r="15835" spans="1:24">
      <c r="A15835">
        <f>HYPERLINK("https://www.philgeps.gov.ph/GEPSNONPILOT/Tender/SplashBidNoticeAbstractUI.aspx?menuIndex=3&amp;refID=7029747&amp;Result=3","7029747")</f>
        <v>0</v>
      </c>
      <c r="B15835" t="s">
        <v>611</v>
      </c>
      <c r="C15835" t="s">
        <v>18624</v>
      </c>
      <c r="E15835" t="s">
        <v>32530</v>
      </c>
      <c r="F15835" t="s">
        <v>32664</v>
      </c>
      <c r="G15835" t="s">
        <v>32672</v>
      </c>
      <c r="H15835" t="s">
        <v>12635</v>
      </c>
      <c r="I15835" t="s">
        <v>32704</v>
      </c>
      <c r="J15835" t="s">
        <v>34512</v>
      </c>
      <c r="K15835" t="s">
        <v>42305</v>
      </c>
      <c r="M15835" t="s">
        <v>45121</v>
      </c>
      <c r="N15835" t="s">
        <v>46569</v>
      </c>
      <c r="O15835" t="s">
        <v>46570</v>
      </c>
      <c r="P15835">
        <v>0</v>
      </c>
      <c r="Q15835">
        <v>6</v>
      </c>
      <c r="R15835" t="s">
        <v>46591</v>
      </c>
      <c r="S15835" t="s">
        <v>47586</v>
      </c>
      <c r="T15835" t="s">
        <v>48262</v>
      </c>
      <c r="U15835" t="s">
        <v>61475</v>
      </c>
      <c r="W15835" t="s">
        <v>45121</v>
      </c>
      <c r="X15835" t="s">
        <v>46592</v>
      </c>
    </row>
    <row r="15836" spans="1:24">
      <c r="A15836">
        <f>HYPERLINK("https://www.philgeps.gov.ph/GEPSNONPILOT/Tender/SplashBidNoticeAbstractUI.aspx?menuIndex=3&amp;refID=7028749&amp;Result=3","7028749")</f>
        <v>0</v>
      </c>
      <c r="B15836" t="s">
        <v>2029</v>
      </c>
      <c r="C15836" t="s">
        <v>18625</v>
      </c>
      <c r="D15836" t="s">
        <v>18784</v>
      </c>
      <c r="E15836" t="s">
        <v>32531</v>
      </c>
      <c r="F15836" t="s">
        <v>32664</v>
      </c>
      <c r="G15836" t="s">
        <v>32672</v>
      </c>
      <c r="H15836" t="s">
        <v>32683</v>
      </c>
      <c r="I15836" t="s">
        <v>10627</v>
      </c>
      <c r="J15836" t="s">
        <v>42182</v>
      </c>
      <c r="K15836" t="s">
        <v>42311</v>
      </c>
      <c r="M15836" t="s">
        <v>45251</v>
      </c>
      <c r="N15836" t="s">
        <v>46569</v>
      </c>
      <c r="O15836" t="s">
        <v>46570</v>
      </c>
      <c r="P15836">
        <v>0</v>
      </c>
      <c r="Q15836">
        <v>2</v>
      </c>
      <c r="R15836" t="s">
        <v>46590</v>
      </c>
      <c r="S15836" t="s">
        <v>47546</v>
      </c>
      <c r="T15836" t="s">
        <v>48307</v>
      </c>
      <c r="U15836" t="s">
        <v>61476</v>
      </c>
      <c r="V15836" t="s">
        <v>63256</v>
      </c>
      <c r="W15836" t="s">
        <v>45251</v>
      </c>
      <c r="X15836" t="s">
        <v>46592</v>
      </c>
    </row>
    <row r="15837" spans="1:24">
      <c r="A15837">
        <f>HYPERLINK("https://www.philgeps.gov.ph/GEPSNONPILOT/Tender/SplashBidNoticeAbstractUI.aspx?menuIndex=3&amp;refID=7023346&amp;Result=3","7023346")</f>
        <v>0</v>
      </c>
      <c r="B15837" t="s">
        <v>2165</v>
      </c>
      <c r="C15837" t="s">
        <v>18626</v>
      </c>
      <c r="D15837" t="s">
        <v>18786</v>
      </c>
      <c r="E15837" t="s">
        <v>32532</v>
      </c>
      <c r="F15837" t="s">
        <v>32664</v>
      </c>
      <c r="G15837" t="s">
        <v>32672</v>
      </c>
      <c r="H15837" t="s">
        <v>32683</v>
      </c>
      <c r="I15837" t="s">
        <v>4439</v>
      </c>
      <c r="J15837" t="s">
        <v>42183</v>
      </c>
      <c r="K15837" t="s">
        <v>42584</v>
      </c>
      <c r="M15837" t="s">
        <v>44924</v>
      </c>
      <c r="N15837" t="s">
        <v>46569</v>
      </c>
      <c r="O15837" t="s">
        <v>46570</v>
      </c>
      <c r="P15837">
        <v>0</v>
      </c>
      <c r="Q15837">
        <v>7</v>
      </c>
      <c r="R15837" t="s">
        <v>46593</v>
      </c>
      <c r="S15837" t="s">
        <v>47701</v>
      </c>
      <c r="T15837" t="s">
        <v>48304</v>
      </c>
      <c r="U15837" t="s">
        <v>61477</v>
      </c>
      <c r="W15837" t="s">
        <v>44924</v>
      </c>
      <c r="X15837" t="s">
        <v>46594</v>
      </c>
    </row>
    <row r="15838" spans="1:24">
      <c r="A15838">
        <f>HYPERLINK("https://www.philgeps.gov.ph/GEPSNONPILOT/Tender/SplashBidNoticeAbstractUI.aspx?menuIndex=3&amp;refID=7028596&amp;Result=3","7028596")</f>
        <v>0</v>
      </c>
      <c r="B15838" t="s">
        <v>1007</v>
      </c>
      <c r="C15838" t="s">
        <v>18627</v>
      </c>
      <c r="D15838" t="s">
        <v>18812</v>
      </c>
      <c r="E15838" t="s">
        <v>32533</v>
      </c>
      <c r="F15838" t="s">
        <v>32664</v>
      </c>
      <c r="G15838" t="s">
        <v>32672</v>
      </c>
      <c r="H15838" t="s">
        <v>32683</v>
      </c>
      <c r="I15838" t="s">
        <v>10627</v>
      </c>
      <c r="J15838" t="s">
        <v>42184</v>
      </c>
      <c r="K15838" t="s">
        <v>42384</v>
      </c>
      <c r="M15838" t="s">
        <v>43619</v>
      </c>
      <c r="N15838" t="s">
        <v>46569</v>
      </c>
      <c r="O15838" t="s">
        <v>46570</v>
      </c>
      <c r="P15838">
        <v>0</v>
      </c>
      <c r="Q15838">
        <v>0</v>
      </c>
      <c r="R15838" t="s">
        <v>46590</v>
      </c>
      <c r="S15838" t="s">
        <v>47546</v>
      </c>
      <c r="T15838" t="s">
        <v>48573</v>
      </c>
      <c r="U15838" t="s">
        <v>61478</v>
      </c>
      <c r="W15838" t="s">
        <v>43619</v>
      </c>
      <c r="X15838" t="s">
        <v>46592</v>
      </c>
    </row>
    <row r="15839" spans="1:24">
      <c r="A15839">
        <f>HYPERLINK("https://www.philgeps.gov.ph/GEPSNONPILOT/Tender/SplashBidNoticeAbstractUI.aspx?menuIndex=3&amp;refID=7028454&amp;Result=3","7028454")</f>
        <v>0</v>
      </c>
      <c r="B15839" t="s">
        <v>1007</v>
      </c>
      <c r="C15839" t="s">
        <v>18628</v>
      </c>
      <c r="D15839" t="s">
        <v>18812</v>
      </c>
      <c r="E15839" t="s">
        <v>32534</v>
      </c>
      <c r="F15839" t="s">
        <v>32664</v>
      </c>
      <c r="G15839" t="s">
        <v>32672</v>
      </c>
      <c r="H15839" t="s">
        <v>32683</v>
      </c>
      <c r="I15839" t="s">
        <v>10627</v>
      </c>
      <c r="J15839" t="s">
        <v>42185</v>
      </c>
      <c r="K15839" t="s">
        <v>42414</v>
      </c>
      <c r="M15839" t="s">
        <v>43619</v>
      </c>
      <c r="N15839" t="s">
        <v>46569</v>
      </c>
      <c r="O15839" t="s">
        <v>46570</v>
      </c>
      <c r="P15839">
        <v>0</v>
      </c>
      <c r="Q15839">
        <v>0</v>
      </c>
      <c r="R15839" t="s">
        <v>46590</v>
      </c>
      <c r="S15839" t="s">
        <v>47546</v>
      </c>
      <c r="T15839" t="s">
        <v>48573</v>
      </c>
      <c r="U15839" t="s">
        <v>61479</v>
      </c>
      <c r="W15839" t="s">
        <v>43619</v>
      </c>
      <c r="X15839" t="s">
        <v>46592</v>
      </c>
    </row>
    <row r="15840" spans="1:24">
      <c r="A15840">
        <f>HYPERLINK("https://www.philgeps.gov.ph/GEPSNONPILOT/Tender/SplashBidNoticeAbstractUI.aspx?menuIndex=3&amp;refID=7023413&amp;Result=3","7023413")</f>
        <v>0</v>
      </c>
      <c r="B15840" t="s">
        <v>502</v>
      </c>
      <c r="C15840" t="s">
        <v>18629</v>
      </c>
      <c r="D15840" t="s">
        <v>18782</v>
      </c>
      <c r="E15840" t="s">
        <v>32535</v>
      </c>
      <c r="F15840" t="s">
        <v>32664</v>
      </c>
      <c r="G15840" t="s">
        <v>32672</v>
      </c>
      <c r="H15840" t="s">
        <v>32683</v>
      </c>
      <c r="I15840" t="s">
        <v>10627</v>
      </c>
      <c r="J15840" t="s">
        <v>42186</v>
      </c>
      <c r="K15840" t="s">
        <v>42314</v>
      </c>
      <c r="M15840" t="s">
        <v>43078</v>
      </c>
      <c r="N15840" t="s">
        <v>46569</v>
      </c>
      <c r="O15840" t="s">
        <v>46570</v>
      </c>
      <c r="Q15840">
        <v>2</v>
      </c>
      <c r="R15840" t="s">
        <v>46593</v>
      </c>
      <c r="S15840" t="s">
        <v>48199</v>
      </c>
      <c r="T15840" t="s">
        <v>48448</v>
      </c>
      <c r="U15840" t="s">
        <v>61480</v>
      </c>
      <c r="W15840" t="s">
        <v>43078</v>
      </c>
      <c r="X15840" t="s">
        <v>46594</v>
      </c>
    </row>
    <row r="15841" spans="1:24">
      <c r="A15841">
        <f>HYPERLINK("https://www.philgeps.gov.ph/GEPSNONPILOT/Tender/SplashBidNoticeAbstractUI.aspx?menuIndex=3&amp;refID=7029560&amp;Result=3","7029560")</f>
        <v>0</v>
      </c>
      <c r="B15841" t="s">
        <v>611</v>
      </c>
      <c r="C15841" t="s">
        <v>18630</v>
      </c>
      <c r="E15841" t="s">
        <v>32536</v>
      </c>
      <c r="F15841" t="s">
        <v>32664</v>
      </c>
      <c r="G15841" t="s">
        <v>32672</v>
      </c>
      <c r="H15841" t="s">
        <v>12635</v>
      </c>
      <c r="I15841" t="s">
        <v>32704</v>
      </c>
      <c r="J15841" t="s">
        <v>42187</v>
      </c>
      <c r="K15841" t="s">
        <v>42298</v>
      </c>
      <c r="M15841" t="s">
        <v>45121</v>
      </c>
      <c r="N15841" t="s">
        <v>46569</v>
      </c>
      <c r="O15841" t="s">
        <v>46570</v>
      </c>
      <c r="Q15841">
        <v>11</v>
      </c>
      <c r="R15841" t="s">
        <v>46591</v>
      </c>
      <c r="S15841" t="s">
        <v>47554</v>
      </c>
      <c r="T15841" t="s">
        <v>48221</v>
      </c>
      <c r="U15841" t="s">
        <v>58638</v>
      </c>
      <c r="W15841" t="s">
        <v>45121</v>
      </c>
      <c r="X15841" t="s">
        <v>46592</v>
      </c>
    </row>
    <row r="15842" spans="1:24">
      <c r="A15842">
        <f>HYPERLINK("https://www.philgeps.gov.ph/GEPSNONPILOT/Tender/SplashBidNoticeAbstractUI.aspx?menuIndex=3&amp;refID=7026183&amp;Result=3","7026183")</f>
        <v>0</v>
      </c>
      <c r="B15842" t="s">
        <v>656</v>
      </c>
      <c r="C15842" t="s">
        <v>18631</v>
      </c>
      <c r="D15842" t="s">
        <v>18801</v>
      </c>
      <c r="E15842" t="s">
        <v>32537</v>
      </c>
      <c r="F15842" t="s">
        <v>32664</v>
      </c>
      <c r="G15842" t="s">
        <v>32672</v>
      </c>
      <c r="H15842" t="s">
        <v>32683</v>
      </c>
      <c r="I15842" t="s">
        <v>10627</v>
      </c>
      <c r="J15842" t="s">
        <v>42188</v>
      </c>
      <c r="K15842" t="s">
        <v>42311</v>
      </c>
      <c r="M15842" t="s">
        <v>43243</v>
      </c>
      <c r="N15842" t="s">
        <v>46569</v>
      </c>
      <c r="O15842" t="s">
        <v>46570</v>
      </c>
      <c r="P15842">
        <v>0</v>
      </c>
      <c r="Q15842">
        <v>2</v>
      </c>
      <c r="R15842" t="s">
        <v>46589</v>
      </c>
      <c r="S15842" t="s">
        <v>47542</v>
      </c>
      <c r="T15842" t="s">
        <v>48373</v>
      </c>
      <c r="U15842" t="s">
        <v>61481</v>
      </c>
      <c r="W15842" t="s">
        <v>43243</v>
      </c>
      <c r="X15842" t="s">
        <v>46593</v>
      </c>
    </row>
    <row r="15843" spans="1:24">
      <c r="A15843">
        <f>HYPERLINK("https://www.philgeps.gov.ph/GEPSNONPILOT/Tender/SplashBidNoticeAbstractUI.aspx?menuIndex=3&amp;refID=7028487&amp;Result=3","7028487")</f>
        <v>0</v>
      </c>
      <c r="B15843" t="s">
        <v>2029</v>
      </c>
      <c r="C15843" t="s">
        <v>18632</v>
      </c>
      <c r="D15843" t="s">
        <v>18784</v>
      </c>
      <c r="E15843" t="s">
        <v>32538</v>
      </c>
      <c r="F15843" t="s">
        <v>32664</v>
      </c>
      <c r="G15843" t="s">
        <v>32672</v>
      </c>
      <c r="H15843" t="s">
        <v>32683</v>
      </c>
      <c r="I15843" t="s">
        <v>10627</v>
      </c>
      <c r="J15843" t="s">
        <v>42189</v>
      </c>
      <c r="K15843" t="s">
        <v>42374</v>
      </c>
      <c r="M15843" t="s">
        <v>45251</v>
      </c>
      <c r="N15843" t="s">
        <v>46569</v>
      </c>
      <c r="O15843" t="s">
        <v>46570</v>
      </c>
      <c r="P15843">
        <v>0</v>
      </c>
      <c r="Q15843">
        <v>4</v>
      </c>
      <c r="R15843" t="s">
        <v>46590</v>
      </c>
      <c r="S15843" t="s">
        <v>47546</v>
      </c>
      <c r="T15843" t="s">
        <v>48307</v>
      </c>
      <c r="U15843" t="s">
        <v>60545</v>
      </c>
      <c r="V15843" t="s">
        <v>63256</v>
      </c>
      <c r="W15843" t="s">
        <v>45251</v>
      </c>
      <c r="X15843" t="s">
        <v>46592</v>
      </c>
    </row>
    <row r="15844" spans="1:24">
      <c r="A15844">
        <f>HYPERLINK("https://www.philgeps.gov.ph/GEPSNONPILOT/Tender/SplashBidNoticeAbstractUI.aspx?menuIndex=3&amp;refID=7032754&amp;Result=3","7032754")</f>
        <v>0</v>
      </c>
      <c r="B15844" t="s">
        <v>1655</v>
      </c>
      <c r="C15844" t="s">
        <v>18633</v>
      </c>
      <c r="D15844" t="s">
        <v>18838</v>
      </c>
      <c r="E15844" t="s">
        <v>32539</v>
      </c>
      <c r="F15844" t="s">
        <v>32664</v>
      </c>
      <c r="G15844" t="s">
        <v>32672</v>
      </c>
      <c r="H15844" t="s">
        <v>12635</v>
      </c>
      <c r="I15844" t="s">
        <v>11464</v>
      </c>
      <c r="J15844" t="s">
        <v>42190</v>
      </c>
      <c r="K15844" t="s">
        <v>42289</v>
      </c>
      <c r="M15844" t="s">
        <v>44702</v>
      </c>
      <c r="N15844" t="s">
        <v>46569</v>
      </c>
      <c r="O15844" t="s">
        <v>46570</v>
      </c>
      <c r="Q15844">
        <v>5</v>
      </c>
      <c r="R15844" t="s">
        <v>46588</v>
      </c>
      <c r="S15844" t="s">
        <v>48200</v>
      </c>
      <c r="T15844" t="s">
        <v>48246</v>
      </c>
      <c r="U15844" t="s">
        <v>61482</v>
      </c>
      <c r="W15844" t="s">
        <v>44702</v>
      </c>
      <c r="X15844" t="s">
        <v>46589</v>
      </c>
    </row>
    <row r="15845" spans="1:24">
      <c r="A15845">
        <f>HYPERLINK("https://www.philgeps.gov.ph/GEPSNONPILOT/Tender/SplashBidNoticeAbstractUI.aspx?menuIndex=3&amp;refID=7032745&amp;Result=3","7032745")</f>
        <v>0</v>
      </c>
      <c r="B15845" t="s">
        <v>1028</v>
      </c>
      <c r="C15845" t="s">
        <v>18634</v>
      </c>
      <c r="D15845" t="s">
        <v>18805</v>
      </c>
      <c r="E15845" t="s">
        <v>32540</v>
      </c>
      <c r="F15845" t="s">
        <v>32664</v>
      </c>
      <c r="G15845" t="s">
        <v>32672</v>
      </c>
      <c r="H15845" t="s">
        <v>32683</v>
      </c>
      <c r="I15845" t="s">
        <v>10627</v>
      </c>
      <c r="J15845" t="s">
        <v>32930</v>
      </c>
      <c r="K15845" t="s">
        <v>42298</v>
      </c>
      <c r="M15845" t="s">
        <v>43640</v>
      </c>
      <c r="N15845" t="s">
        <v>46569</v>
      </c>
      <c r="O15845" t="s">
        <v>46570</v>
      </c>
      <c r="P15845">
        <v>0</v>
      </c>
      <c r="Q15845">
        <v>19</v>
      </c>
      <c r="R15845" t="s">
        <v>46588</v>
      </c>
      <c r="S15845" t="s">
        <v>47467</v>
      </c>
      <c r="T15845" t="s">
        <v>48293</v>
      </c>
      <c r="U15845" t="s">
        <v>61483</v>
      </c>
      <c r="W15845" t="s">
        <v>63539</v>
      </c>
      <c r="X15845" t="s">
        <v>46589</v>
      </c>
    </row>
    <row r="15846" spans="1:24">
      <c r="A15846">
        <f>HYPERLINK("https://www.philgeps.gov.ph/GEPSNONPILOT/Tender/SplashBidNoticeAbstractUI.aspx?menuIndex=3&amp;refID=7030282&amp;Result=3","7030282")</f>
        <v>0</v>
      </c>
      <c r="B15846" t="s">
        <v>663</v>
      </c>
      <c r="C15846" t="s">
        <v>18635</v>
      </c>
      <c r="D15846" t="s">
        <v>18824</v>
      </c>
      <c r="E15846" t="s">
        <v>31222</v>
      </c>
      <c r="F15846" t="s">
        <v>32665</v>
      </c>
      <c r="G15846" t="s">
        <v>32672</v>
      </c>
      <c r="H15846" t="s">
        <v>32683</v>
      </c>
      <c r="I15846" t="s">
        <v>10627</v>
      </c>
      <c r="J15846" t="s">
        <v>34379</v>
      </c>
      <c r="K15846" t="s">
        <v>42568</v>
      </c>
      <c r="M15846" t="s">
        <v>43250</v>
      </c>
      <c r="N15846" t="s">
        <v>46569</v>
      </c>
      <c r="O15846" t="s">
        <v>46570</v>
      </c>
      <c r="P15846">
        <v>0</v>
      </c>
      <c r="Q15846">
        <v>3</v>
      </c>
      <c r="R15846" t="s">
        <v>46590</v>
      </c>
      <c r="S15846" t="s">
        <v>47546</v>
      </c>
      <c r="T15846" t="s">
        <v>48410</v>
      </c>
      <c r="U15846" t="s">
        <v>60536</v>
      </c>
      <c r="V15846" t="s">
        <v>61789</v>
      </c>
      <c r="W15846" t="s">
        <v>43250</v>
      </c>
      <c r="X15846" t="s">
        <v>46591</v>
      </c>
    </row>
    <row r="15847" spans="1:24">
      <c r="A15847">
        <f>HYPERLINK("https://www.philgeps.gov.ph/GEPSNONPILOT/Tender/SplashBidNoticeAbstractUI.aspx?menuIndex=3&amp;refID=7032737&amp;Result=3","7032737")</f>
        <v>0</v>
      </c>
      <c r="B15847" t="s">
        <v>980</v>
      </c>
      <c r="C15847" t="s">
        <v>18636</v>
      </c>
      <c r="E15847" t="s">
        <v>32541</v>
      </c>
      <c r="F15847" t="s">
        <v>32664</v>
      </c>
      <c r="G15847" t="s">
        <v>32672</v>
      </c>
      <c r="H15847" t="s">
        <v>32683</v>
      </c>
      <c r="I15847" t="s">
        <v>10627</v>
      </c>
      <c r="J15847" t="s">
        <v>42191</v>
      </c>
      <c r="K15847" t="s">
        <v>42281</v>
      </c>
      <c r="M15847" t="s">
        <v>46552</v>
      </c>
      <c r="N15847" t="s">
        <v>46569</v>
      </c>
      <c r="O15847" t="s">
        <v>46570</v>
      </c>
      <c r="P15847">
        <v>0</v>
      </c>
      <c r="Q15847">
        <v>0</v>
      </c>
      <c r="R15847" t="s">
        <v>46588</v>
      </c>
      <c r="S15847" t="s">
        <v>47467</v>
      </c>
      <c r="T15847" t="s">
        <v>48228</v>
      </c>
      <c r="U15847" t="s">
        <v>61484</v>
      </c>
      <c r="W15847" t="s">
        <v>46552</v>
      </c>
      <c r="X15847" t="s">
        <v>46589</v>
      </c>
    </row>
    <row r="15848" spans="1:24">
      <c r="A15848">
        <f>HYPERLINK("https://www.philgeps.gov.ph/GEPSNONPILOT/Tender/SplashBidNoticeAbstractUI.aspx?menuIndex=3&amp;refID=7032661&amp;Result=3","7032661")</f>
        <v>0</v>
      </c>
      <c r="B15848" t="s">
        <v>1613</v>
      </c>
      <c r="C15848" t="s">
        <v>18637</v>
      </c>
      <c r="D15848" t="s">
        <v>18806</v>
      </c>
      <c r="E15848" t="s">
        <v>32542</v>
      </c>
      <c r="F15848" t="s">
        <v>32664</v>
      </c>
      <c r="G15848" t="s">
        <v>32672</v>
      </c>
      <c r="H15848" t="s">
        <v>12635</v>
      </c>
      <c r="I15848" t="s">
        <v>6168</v>
      </c>
      <c r="J15848" t="s">
        <v>42192</v>
      </c>
      <c r="K15848" t="s">
        <v>42283</v>
      </c>
      <c r="M15848" t="s">
        <v>44292</v>
      </c>
      <c r="N15848" t="s">
        <v>46569</v>
      </c>
      <c r="O15848" t="s">
        <v>46570</v>
      </c>
      <c r="P15848">
        <v>0</v>
      </c>
      <c r="Q15848">
        <v>4</v>
      </c>
      <c r="R15848" t="s">
        <v>46588</v>
      </c>
      <c r="S15848" t="s">
        <v>47467</v>
      </c>
      <c r="T15848" t="s">
        <v>48282</v>
      </c>
      <c r="U15848" t="s">
        <v>61485</v>
      </c>
      <c r="V15848" t="s">
        <v>63438</v>
      </c>
      <c r="W15848" t="s">
        <v>44292</v>
      </c>
      <c r="X15848" t="s">
        <v>46589</v>
      </c>
    </row>
    <row r="15849" spans="1:24">
      <c r="A15849">
        <f>HYPERLINK("https://www.philgeps.gov.ph/GEPSNONPILOT/Tender/SplashBidNoticeAbstractUI.aspx?menuIndex=3&amp;refID=7032648&amp;Result=3","7032648")</f>
        <v>0</v>
      </c>
      <c r="B15849" t="s">
        <v>2380</v>
      </c>
      <c r="C15849" t="s">
        <v>18638</v>
      </c>
      <c r="D15849" t="s">
        <v>18787</v>
      </c>
      <c r="E15849" t="s">
        <v>32543</v>
      </c>
      <c r="F15849" t="s">
        <v>32664</v>
      </c>
      <c r="G15849" t="s">
        <v>32672</v>
      </c>
      <c r="H15849" t="s">
        <v>32683</v>
      </c>
      <c r="I15849" t="s">
        <v>10627</v>
      </c>
      <c r="J15849" t="s">
        <v>39501</v>
      </c>
      <c r="K15849" t="s">
        <v>42283</v>
      </c>
      <c r="M15849" t="s">
        <v>45168</v>
      </c>
      <c r="N15849" t="s">
        <v>46569</v>
      </c>
      <c r="O15849" t="s">
        <v>46570</v>
      </c>
      <c r="P15849">
        <v>0</v>
      </c>
      <c r="Q15849">
        <v>0</v>
      </c>
      <c r="R15849" t="s">
        <v>46588</v>
      </c>
      <c r="S15849" t="s">
        <v>47467</v>
      </c>
      <c r="T15849" t="s">
        <v>48221</v>
      </c>
      <c r="U15849" t="s">
        <v>61486</v>
      </c>
      <c r="W15849" t="s">
        <v>45168</v>
      </c>
      <c r="X15849" t="s">
        <v>46589</v>
      </c>
    </row>
    <row r="15850" spans="1:24">
      <c r="A15850">
        <f>HYPERLINK("https://www.philgeps.gov.ph/GEPSNONPILOT/Tender/SplashBidNoticeAbstractUI.aspx?menuIndex=3&amp;refID=7032756&amp;Result=3","7032756")</f>
        <v>0</v>
      </c>
      <c r="B15850" t="s">
        <v>1655</v>
      </c>
      <c r="C15850" t="s">
        <v>18639</v>
      </c>
      <c r="D15850" t="s">
        <v>18838</v>
      </c>
      <c r="E15850" t="s">
        <v>32544</v>
      </c>
      <c r="F15850" t="s">
        <v>32664</v>
      </c>
      <c r="G15850" t="s">
        <v>32672</v>
      </c>
      <c r="H15850" t="s">
        <v>12635</v>
      </c>
      <c r="I15850" t="s">
        <v>11464</v>
      </c>
      <c r="J15850" t="s">
        <v>42193</v>
      </c>
      <c r="K15850" t="s">
        <v>42281</v>
      </c>
      <c r="M15850" t="s">
        <v>44702</v>
      </c>
      <c r="N15850" t="s">
        <v>46569</v>
      </c>
      <c r="O15850" t="s">
        <v>46570</v>
      </c>
      <c r="Q15850">
        <v>3</v>
      </c>
      <c r="R15850" t="s">
        <v>46588</v>
      </c>
      <c r="S15850" t="s">
        <v>48168</v>
      </c>
      <c r="T15850" t="s">
        <v>48246</v>
      </c>
      <c r="U15850" t="s">
        <v>61487</v>
      </c>
      <c r="W15850" t="s">
        <v>44702</v>
      </c>
      <c r="X15850" t="s">
        <v>46589</v>
      </c>
    </row>
    <row r="15851" spans="1:24">
      <c r="A15851">
        <f>HYPERLINK("https://www.philgeps.gov.ph/GEPSNONPILOT/Tender/SplashBidNoticeAbstractUI.aspx?menuIndex=3&amp;refID=7032742&amp;Result=3","7032742")</f>
        <v>0</v>
      </c>
      <c r="B15851" t="s">
        <v>2870</v>
      </c>
      <c r="C15851" t="s">
        <v>18640</v>
      </c>
      <c r="E15851" t="s">
        <v>32545</v>
      </c>
      <c r="F15851" t="s">
        <v>32664</v>
      </c>
      <c r="G15851" t="s">
        <v>32672</v>
      </c>
      <c r="H15851" t="s">
        <v>12635</v>
      </c>
      <c r="I15851" t="s">
        <v>32747</v>
      </c>
      <c r="J15851" t="s">
        <v>42194</v>
      </c>
      <c r="K15851" t="s">
        <v>42298</v>
      </c>
      <c r="M15851" t="s">
        <v>46411</v>
      </c>
      <c r="N15851" t="s">
        <v>46569</v>
      </c>
      <c r="O15851" t="s">
        <v>46570</v>
      </c>
      <c r="Q15851">
        <v>4</v>
      </c>
      <c r="R15851" t="s">
        <v>46588</v>
      </c>
      <c r="S15851" t="s">
        <v>48201</v>
      </c>
      <c r="T15851" t="s">
        <v>48236</v>
      </c>
      <c r="U15851" t="s">
        <v>61488</v>
      </c>
      <c r="W15851" t="s">
        <v>46411</v>
      </c>
      <c r="X15851" t="s">
        <v>46589</v>
      </c>
    </row>
    <row r="15852" spans="1:24">
      <c r="A15852">
        <f>HYPERLINK("https://www.philgeps.gov.ph/GEPSNONPILOT/Tender/SplashBidNoticeAbstractUI.aspx?menuIndex=3&amp;refID=7029407&amp;Result=3","7029407")</f>
        <v>0</v>
      </c>
      <c r="B15852" t="s">
        <v>2754</v>
      </c>
      <c r="C15852" t="s">
        <v>18641</v>
      </c>
      <c r="D15852" t="s">
        <v>18880</v>
      </c>
      <c r="E15852" t="s">
        <v>32546</v>
      </c>
      <c r="F15852" t="s">
        <v>32664</v>
      </c>
      <c r="G15852" t="s">
        <v>32672</v>
      </c>
      <c r="H15852" t="s">
        <v>12635</v>
      </c>
      <c r="I15852" t="s">
        <v>32749</v>
      </c>
      <c r="J15852" t="s">
        <v>42195</v>
      </c>
      <c r="K15852" t="s">
        <v>42334</v>
      </c>
      <c r="M15852" t="s">
        <v>45588</v>
      </c>
      <c r="N15852" t="s">
        <v>46569</v>
      </c>
      <c r="O15852" t="s">
        <v>46570</v>
      </c>
      <c r="Q15852">
        <v>3</v>
      </c>
      <c r="R15852" t="s">
        <v>46589</v>
      </c>
      <c r="S15852" t="s">
        <v>48202</v>
      </c>
      <c r="T15852" t="s">
        <v>48436</v>
      </c>
      <c r="U15852" t="s">
        <v>61489</v>
      </c>
      <c r="V15852" t="s">
        <v>62345</v>
      </c>
      <c r="W15852" t="s">
        <v>45588</v>
      </c>
      <c r="X15852" t="s">
        <v>46592</v>
      </c>
    </row>
    <row r="15853" spans="1:24">
      <c r="A15853">
        <f>HYPERLINK("https://www.philgeps.gov.ph/GEPSNONPILOT/Tender/SplashBidNoticeAbstractUI.aspx?menuIndex=3&amp;refID=7032642&amp;Result=3","7032642")</f>
        <v>0</v>
      </c>
      <c r="B15853" t="s">
        <v>2380</v>
      </c>
      <c r="C15853" t="s">
        <v>18642</v>
      </c>
      <c r="D15853" t="s">
        <v>18787</v>
      </c>
      <c r="E15853" t="s">
        <v>32547</v>
      </c>
      <c r="F15853" t="s">
        <v>32664</v>
      </c>
      <c r="G15853" t="s">
        <v>32672</v>
      </c>
      <c r="H15853" t="s">
        <v>32683</v>
      </c>
      <c r="I15853" t="s">
        <v>10627</v>
      </c>
      <c r="J15853" t="s">
        <v>39501</v>
      </c>
      <c r="K15853" t="s">
        <v>42283</v>
      </c>
      <c r="M15853" t="s">
        <v>45168</v>
      </c>
      <c r="N15853" t="s">
        <v>46569</v>
      </c>
      <c r="O15853" t="s">
        <v>46570</v>
      </c>
      <c r="P15853">
        <v>0</v>
      </c>
      <c r="Q15853">
        <v>0</v>
      </c>
      <c r="R15853" t="s">
        <v>46588</v>
      </c>
      <c r="S15853" t="s">
        <v>47467</v>
      </c>
      <c r="T15853" t="s">
        <v>48221</v>
      </c>
      <c r="U15853" t="s">
        <v>61490</v>
      </c>
      <c r="W15853" t="s">
        <v>45168</v>
      </c>
      <c r="X15853" t="s">
        <v>46589</v>
      </c>
    </row>
    <row r="15854" spans="1:24">
      <c r="A15854">
        <f>HYPERLINK("https://www.philgeps.gov.ph/GEPSNONPILOT/Tender/SplashBidNoticeAbstractUI.aspx?menuIndex=3&amp;refID=7028326&amp;Result=3","7028326")</f>
        <v>0</v>
      </c>
      <c r="B15854" t="s">
        <v>1007</v>
      </c>
      <c r="C15854" t="s">
        <v>18643</v>
      </c>
      <c r="D15854" t="s">
        <v>18812</v>
      </c>
      <c r="E15854" t="s">
        <v>32548</v>
      </c>
      <c r="F15854" t="s">
        <v>32664</v>
      </c>
      <c r="G15854" t="s">
        <v>32672</v>
      </c>
      <c r="H15854" t="s">
        <v>32683</v>
      </c>
      <c r="I15854" t="s">
        <v>10627</v>
      </c>
      <c r="J15854" t="s">
        <v>42196</v>
      </c>
      <c r="K15854" t="s">
        <v>42321</v>
      </c>
      <c r="M15854" t="s">
        <v>43619</v>
      </c>
      <c r="N15854" t="s">
        <v>46569</v>
      </c>
      <c r="O15854" t="s">
        <v>46570</v>
      </c>
      <c r="P15854">
        <v>0</v>
      </c>
      <c r="Q15854">
        <v>0</v>
      </c>
      <c r="R15854" t="s">
        <v>46590</v>
      </c>
      <c r="S15854" t="s">
        <v>47546</v>
      </c>
      <c r="T15854" t="s">
        <v>48573</v>
      </c>
      <c r="U15854" t="s">
        <v>61491</v>
      </c>
      <c r="W15854" t="s">
        <v>43619</v>
      </c>
      <c r="X15854" t="s">
        <v>46592</v>
      </c>
    </row>
    <row r="15855" spans="1:24">
      <c r="A15855">
        <f>HYPERLINK("https://www.philgeps.gov.ph/GEPSNONPILOT/Tender/SplashBidNoticeAbstractUI.aspx?menuIndex=3&amp;refID=7032646&amp;Result=3","7032646")</f>
        <v>0</v>
      </c>
      <c r="B15855" t="s">
        <v>2380</v>
      </c>
      <c r="C15855" t="s">
        <v>18644</v>
      </c>
      <c r="D15855" t="s">
        <v>18787</v>
      </c>
      <c r="E15855" t="s">
        <v>32549</v>
      </c>
      <c r="F15855" t="s">
        <v>32664</v>
      </c>
      <c r="G15855" t="s">
        <v>32672</v>
      </c>
      <c r="H15855" t="s">
        <v>32683</v>
      </c>
      <c r="I15855" t="s">
        <v>10627</v>
      </c>
      <c r="J15855" t="s">
        <v>39501</v>
      </c>
      <c r="K15855" t="s">
        <v>42283</v>
      </c>
      <c r="M15855" t="s">
        <v>45168</v>
      </c>
      <c r="N15855" t="s">
        <v>46569</v>
      </c>
      <c r="O15855" t="s">
        <v>46570</v>
      </c>
      <c r="P15855">
        <v>0</v>
      </c>
      <c r="Q15855">
        <v>1</v>
      </c>
      <c r="R15855" t="s">
        <v>46588</v>
      </c>
      <c r="S15855" t="s">
        <v>47467</v>
      </c>
      <c r="T15855" t="s">
        <v>48221</v>
      </c>
      <c r="U15855" t="s">
        <v>61492</v>
      </c>
      <c r="W15855" t="s">
        <v>45168</v>
      </c>
      <c r="X15855" t="s">
        <v>46589</v>
      </c>
    </row>
    <row r="15856" spans="1:24">
      <c r="A15856">
        <f>HYPERLINK("https://www.philgeps.gov.ph/GEPSNONPILOT/Tender/SplashBidNoticeAbstractUI.aspx?menuIndex=3&amp;refID=7032638&amp;Result=3","7032638")</f>
        <v>0</v>
      </c>
      <c r="B15856" t="s">
        <v>2380</v>
      </c>
      <c r="C15856" t="s">
        <v>18645</v>
      </c>
      <c r="D15856" t="s">
        <v>18787</v>
      </c>
      <c r="E15856" t="s">
        <v>32550</v>
      </c>
      <c r="F15856" t="s">
        <v>32664</v>
      </c>
      <c r="G15856" t="s">
        <v>32672</v>
      </c>
      <c r="H15856" t="s">
        <v>32683</v>
      </c>
      <c r="I15856" t="s">
        <v>10627</v>
      </c>
      <c r="J15856" t="s">
        <v>42197</v>
      </c>
      <c r="K15856" t="s">
        <v>42283</v>
      </c>
      <c r="M15856" t="s">
        <v>45168</v>
      </c>
      <c r="N15856" t="s">
        <v>46569</v>
      </c>
      <c r="O15856" t="s">
        <v>46570</v>
      </c>
      <c r="P15856">
        <v>0</v>
      </c>
      <c r="Q15856">
        <v>1</v>
      </c>
      <c r="R15856" t="s">
        <v>46588</v>
      </c>
      <c r="S15856" t="s">
        <v>47467</v>
      </c>
      <c r="T15856" t="s">
        <v>48221</v>
      </c>
      <c r="U15856" t="s">
        <v>61493</v>
      </c>
      <c r="W15856" t="s">
        <v>45168</v>
      </c>
      <c r="X15856" t="s">
        <v>46589</v>
      </c>
    </row>
    <row r="15857" spans="1:24">
      <c r="A15857">
        <f>HYPERLINK("https://www.philgeps.gov.ph/GEPSNONPILOT/Tender/SplashBidNoticeAbstractUI.aspx?menuIndex=3&amp;refID=7032637&amp;Result=3","7032637")</f>
        <v>0</v>
      </c>
      <c r="B15857" t="s">
        <v>2380</v>
      </c>
      <c r="C15857" t="s">
        <v>18646</v>
      </c>
      <c r="D15857" t="s">
        <v>18787</v>
      </c>
      <c r="E15857" t="s">
        <v>32551</v>
      </c>
      <c r="F15857" t="s">
        <v>32664</v>
      </c>
      <c r="G15857" t="s">
        <v>32672</v>
      </c>
      <c r="H15857" t="s">
        <v>32683</v>
      </c>
      <c r="I15857" t="s">
        <v>10627</v>
      </c>
      <c r="J15857" t="s">
        <v>42198</v>
      </c>
      <c r="K15857" t="s">
        <v>42283</v>
      </c>
      <c r="M15857" t="s">
        <v>45168</v>
      </c>
      <c r="N15857" t="s">
        <v>46569</v>
      </c>
      <c r="O15857" t="s">
        <v>46570</v>
      </c>
      <c r="P15857">
        <v>0</v>
      </c>
      <c r="Q15857">
        <v>0</v>
      </c>
      <c r="R15857" t="s">
        <v>46588</v>
      </c>
      <c r="S15857" t="s">
        <v>47467</v>
      </c>
      <c r="T15857" t="s">
        <v>48221</v>
      </c>
      <c r="U15857" t="s">
        <v>61494</v>
      </c>
      <c r="W15857" t="s">
        <v>45168</v>
      </c>
      <c r="X15857" t="s">
        <v>46589</v>
      </c>
    </row>
    <row r="15858" spans="1:24">
      <c r="A15858">
        <f>HYPERLINK("https://www.philgeps.gov.ph/GEPSNONPILOT/Tender/SplashBidNoticeAbstractUI.aspx?menuIndex=3&amp;refID=7032575&amp;Result=3","7032575")</f>
        <v>0</v>
      </c>
      <c r="B15858" t="s">
        <v>3516</v>
      </c>
      <c r="C15858" t="s">
        <v>18647</v>
      </c>
      <c r="D15858" t="s">
        <v>18806</v>
      </c>
      <c r="E15858" t="s">
        <v>32552</v>
      </c>
      <c r="F15858" t="s">
        <v>32664</v>
      </c>
      <c r="G15858" t="s">
        <v>32672</v>
      </c>
      <c r="H15858" t="s">
        <v>12635</v>
      </c>
      <c r="I15858" t="s">
        <v>11464</v>
      </c>
      <c r="J15858" t="s">
        <v>32930</v>
      </c>
      <c r="K15858" t="s">
        <v>42311</v>
      </c>
      <c r="M15858" t="s">
        <v>46553</v>
      </c>
      <c r="N15858" t="s">
        <v>46569</v>
      </c>
      <c r="O15858" t="s">
        <v>46570</v>
      </c>
      <c r="P15858">
        <v>0</v>
      </c>
      <c r="Q15858">
        <v>6</v>
      </c>
      <c r="R15858" t="s">
        <v>46586</v>
      </c>
      <c r="S15858" t="s">
        <v>47252</v>
      </c>
      <c r="T15858" t="s">
        <v>48608</v>
      </c>
      <c r="U15858" t="s">
        <v>61495</v>
      </c>
      <c r="W15858" t="s">
        <v>46553</v>
      </c>
      <c r="X15858" t="s">
        <v>46589</v>
      </c>
    </row>
    <row r="15859" spans="1:24">
      <c r="A15859">
        <f>HYPERLINK("https://www.philgeps.gov.ph/GEPSNONPILOT/Tender/SplashBidNoticeAbstractUI.aspx?menuIndex=3&amp;refID=7032640&amp;Result=3","7032640")</f>
        <v>0</v>
      </c>
      <c r="B15859" t="s">
        <v>2380</v>
      </c>
      <c r="C15859" t="s">
        <v>18648</v>
      </c>
      <c r="D15859" t="s">
        <v>18787</v>
      </c>
      <c r="E15859" t="s">
        <v>32553</v>
      </c>
      <c r="F15859" t="s">
        <v>32664</v>
      </c>
      <c r="G15859" t="s">
        <v>32672</v>
      </c>
      <c r="H15859" t="s">
        <v>32683</v>
      </c>
      <c r="I15859" t="s">
        <v>10627</v>
      </c>
      <c r="J15859" t="s">
        <v>37654</v>
      </c>
      <c r="K15859" t="s">
        <v>42283</v>
      </c>
      <c r="M15859" t="s">
        <v>45168</v>
      </c>
      <c r="N15859" t="s">
        <v>46569</v>
      </c>
      <c r="O15859" t="s">
        <v>46570</v>
      </c>
      <c r="P15859">
        <v>0</v>
      </c>
      <c r="Q15859">
        <v>0</v>
      </c>
      <c r="R15859" t="s">
        <v>46588</v>
      </c>
      <c r="S15859" t="s">
        <v>47467</v>
      </c>
      <c r="T15859" t="s">
        <v>48221</v>
      </c>
      <c r="U15859" t="s">
        <v>61496</v>
      </c>
      <c r="W15859" t="s">
        <v>45168</v>
      </c>
      <c r="X15859" t="s">
        <v>46589</v>
      </c>
    </row>
    <row r="15860" spans="1:24">
      <c r="A15860">
        <f>HYPERLINK("https://www.philgeps.gov.ph/GEPSNONPILOT/Tender/SplashBidNoticeAbstractUI.aspx?menuIndex=3&amp;refID=7032523&amp;Result=3","7032523")</f>
        <v>0</v>
      </c>
      <c r="B15860" t="s">
        <v>3517</v>
      </c>
      <c r="C15860" t="s">
        <v>18649</v>
      </c>
      <c r="D15860" t="s">
        <v>18784</v>
      </c>
      <c r="E15860" t="s">
        <v>32554</v>
      </c>
      <c r="F15860" t="s">
        <v>32664</v>
      </c>
      <c r="G15860" t="s">
        <v>32672</v>
      </c>
      <c r="H15860" t="s">
        <v>12635</v>
      </c>
      <c r="I15860" t="s">
        <v>5589</v>
      </c>
      <c r="J15860" t="s">
        <v>32981</v>
      </c>
      <c r="K15860" t="s">
        <v>42291</v>
      </c>
      <c r="M15860" t="s">
        <v>46554</v>
      </c>
      <c r="N15860" t="s">
        <v>46569</v>
      </c>
      <c r="O15860" t="s">
        <v>46570</v>
      </c>
      <c r="P15860">
        <v>0</v>
      </c>
      <c r="Q15860">
        <v>16</v>
      </c>
      <c r="R15860" t="s">
        <v>46586</v>
      </c>
      <c r="S15860" t="s">
        <v>47252</v>
      </c>
      <c r="T15860" t="s">
        <v>48312</v>
      </c>
      <c r="U15860" t="s">
        <v>61497</v>
      </c>
      <c r="V15860" t="s">
        <v>63439</v>
      </c>
      <c r="W15860" t="s">
        <v>46554</v>
      </c>
      <c r="X15860" t="s">
        <v>46589</v>
      </c>
    </row>
    <row r="15861" spans="1:24">
      <c r="A15861">
        <f>HYPERLINK("https://www.philgeps.gov.ph/GEPSNONPILOT/Tender/SplashBidNoticeAbstractUI.aspx?menuIndex=3&amp;refID=7040524&amp;Result=3","7040524")</f>
        <v>0</v>
      </c>
      <c r="B15861" t="s">
        <v>3518</v>
      </c>
      <c r="C15861" t="s">
        <v>18650</v>
      </c>
      <c r="D15861" t="s">
        <v>18845</v>
      </c>
      <c r="E15861" t="s">
        <v>32555</v>
      </c>
      <c r="F15861" t="s">
        <v>32664</v>
      </c>
      <c r="G15861" t="s">
        <v>32672</v>
      </c>
      <c r="H15861" t="s">
        <v>32683</v>
      </c>
      <c r="I15861" t="s">
        <v>10627</v>
      </c>
      <c r="J15861" t="s">
        <v>42199</v>
      </c>
      <c r="K15861" t="s">
        <v>42290</v>
      </c>
      <c r="M15861" t="s">
        <v>46555</v>
      </c>
      <c r="N15861" t="s">
        <v>46569</v>
      </c>
      <c r="O15861" t="s">
        <v>46570</v>
      </c>
      <c r="P15861">
        <v>0</v>
      </c>
      <c r="Q15861">
        <v>1</v>
      </c>
      <c r="R15861" t="s">
        <v>46585</v>
      </c>
      <c r="S15861" t="s">
        <v>47146</v>
      </c>
      <c r="T15861" t="s">
        <v>48237</v>
      </c>
      <c r="U15861" t="s">
        <v>61498</v>
      </c>
      <c r="W15861" t="s">
        <v>46555</v>
      </c>
      <c r="X15861" t="s">
        <v>46586</v>
      </c>
    </row>
    <row r="15862" spans="1:24">
      <c r="A15862">
        <f>HYPERLINK("https://www.philgeps.gov.ph/GEPSNONPILOT/Tender/SplashBidNoticeAbstractUI.aspx?menuIndex=3&amp;refID=7032650&amp;Result=3","7032650")</f>
        <v>0</v>
      </c>
      <c r="B15862" t="s">
        <v>2380</v>
      </c>
      <c r="C15862" t="s">
        <v>18651</v>
      </c>
      <c r="D15862" t="s">
        <v>18787</v>
      </c>
      <c r="E15862" t="s">
        <v>32556</v>
      </c>
      <c r="F15862" t="s">
        <v>32664</v>
      </c>
      <c r="G15862" t="s">
        <v>32672</v>
      </c>
      <c r="H15862" t="s">
        <v>32683</v>
      </c>
      <c r="I15862" t="s">
        <v>10627</v>
      </c>
      <c r="J15862" t="s">
        <v>35358</v>
      </c>
      <c r="K15862" t="s">
        <v>42283</v>
      </c>
      <c r="M15862" t="s">
        <v>45168</v>
      </c>
      <c r="N15862" t="s">
        <v>46569</v>
      </c>
      <c r="O15862" t="s">
        <v>46570</v>
      </c>
      <c r="P15862">
        <v>0</v>
      </c>
      <c r="Q15862">
        <v>0</v>
      </c>
      <c r="R15862" t="s">
        <v>46588</v>
      </c>
      <c r="S15862" t="s">
        <v>47467</v>
      </c>
      <c r="T15862" t="s">
        <v>48221</v>
      </c>
      <c r="U15862" t="s">
        <v>61499</v>
      </c>
      <c r="W15862" t="s">
        <v>45168</v>
      </c>
      <c r="X15862" t="s">
        <v>46589</v>
      </c>
    </row>
    <row r="15863" spans="1:24">
      <c r="A15863">
        <f>HYPERLINK("https://www.philgeps.gov.ph/GEPSNONPILOT/Tender/SplashBidNoticeAbstractUI.aspx?menuIndex=3&amp;refID=7032644&amp;Result=3","7032644")</f>
        <v>0</v>
      </c>
      <c r="B15863" t="s">
        <v>2380</v>
      </c>
      <c r="C15863" t="s">
        <v>18652</v>
      </c>
      <c r="D15863" t="s">
        <v>18787</v>
      </c>
      <c r="E15863" t="s">
        <v>32557</v>
      </c>
      <c r="F15863" t="s">
        <v>32664</v>
      </c>
      <c r="G15863" t="s">
        <v>32672</v>
      </c>
      <c r="H15863" t="s">
        <v>32683</v>
      </c>
      <c r="I15863" t="s">
        <v>10627</v>
      </c>
      <c r="J15863" t="s">
        <v>39501</v>
      </c>
      <c r="K15863" t="s">
        <v>42283</v>
      </c>
      <c r="M15863" t="s">
        <v>45168</v>
      </c>
      <c r="N15863" t="s">
        <v>46569</v>
      </c>
      <c r="O15863" t="s">
        <v>46570</v>
      </c>
      <c r="P15863">
        <v>0</v>
      </c>
      <c r="Q15863">
        <v>0</v>
      </c>
      <c r="R15863" t="s">
        <v>46588</v>
      </c>
      <c r="S15863" t="s">
        <v>47467</v>
      </c>
      <c r="T15863" t="s">
        <v>48221</v>
      </c>
      <c r="U15863" t="s">
        <v>61500</v>
      </c>
      <c r="W15863" t="s">
        <v>45168</v>
      </c>
      <c r="X15863" t="s">
        <v>46589</v>
      </c>
    </row>
    <row r="15864" spans="1:24">
      <c r="A15864">
        <f>HYPERLINK("https://www.philgeps.gov.ph/GEPSNONPILOT/Tender/SplashBidNoticeAbstractUI.aspx?menuIndex=3&amp;refID=7040518&amp;Result=3","7040518")</f>
        <v>0</v>
      </c>
      <c r="B15864" t="s">
        <v>3302</v>
      </c>
      <c r="C15864" t="s">
        <v>18653</v>
      </c>
      <c r="D15864" t="s">
        <v>18806</v>
      </c>
      <c r="E15864" t="s">
        <v>32558</v>
      </c>
      <c r="F15864" t="s">
        <v>32664</v>
      </c>
      <c r="G15864" t="s">
        <v>32672</v>
      </c>
      <c r="H15864" t="s">
        <v>32683</v>
      </c>
      <c r="I15864" t="s">
        <v>6553</v>
      </c>
      <c r="J15864" t="s">
        <v>42200</v>
      </c>
      <c r="K15864" t="s">
        <v>42290</v>
      </c>
      <c r="M15864" t="s">
        <v>46247</v>
      </c>
      <c r="N15864" t="s">
        <v>46569</v>
      </c>
      <c r="O15864" t="s">
        <v>46570</v>
      </c>
      <c r="P15864">
        <v>0</v>
      </c>
      <c r="Q15864">
        <v>11</v>
      </c>
      <c r="R15864" t="s">
        <v>46585</v>
      </c>
      <c r="S15864" t="s">
        <v>47146</v>
      </c>
      <c r="T15864" t="s">
        <v>48285</v>
      </c>
      <c r="U15864" t="s">
        <v>61501</v>
      </c>
      <c r="V15864" t="s">
        <v>63089</v>
      </c>
      <c r="W15864" t="s">
        <v>46247</v>
      </c>
      <c r="X15864" t="s">
        <v>46586</v>
      </c>
    </row>
    <row r="15865" spans="1:24">
      <c r="A15865">
        <f>HYPERLINK("https://www.philgeps.gov.ph/GEPSNONPILOT/Tender/SplashBidNoticeAbstractUI.aspx?menuIndex=3&amp;refID=7040511&amp;Result=3","7040511")</f>
        <v>0</v>
      </c>
      <c r="B15865" t="s">
        <v>913</v>
      </c>
      <c r="C15865" t="s">
        <v>18654</v>
      </c>
      <c r="D15865" t="s">
        <v>18804</v>
      </c>
      <c r="E15865" t="s">
        <v>32559</v>
      </c>
      <c r="F15865" t="s">
        <v>32664</v>
      </c>
      <c r="G15865" t="s">
        <v>32672</v>
      </c>
      <c r="H15865" t="s">
        <v>32683</v>
      </c>
      <c r="I15865" t="s">
        <v>10627</v>
      </c>
      <c r="J15865" t="s">
        <v>42201</v>
      </c>
      <c r="K15865" t="s">
        <v>42311</v>
      </c>
      <c r="M15865" t="s">
        <v>43519</v>
      </c>
      <c r="N15865" t="s">
        <v>46569</v>
      </c>
      <c r="O15865" t="s">
        <v>46570</v>
      </c>
      <c r="P15865">
        <v>0</v>
      </c>
      <c r="Q15865">
        <v>4</v>
      </c>
      <c r="R15865" t="s">
        <v>46585</v>
      </c>
      <c r="S15865" t="s">
        <v>47146</v>
      </c>
      <c r="T15865" t="s">
        <v>48258</v>
      </c>
      <c r="U15865" t="s">
        <v>61502</v>
      </c>
      <c r="W15865" t="s">
        <v>43519</v>
      </c>
      <c r="X15865" t="s">
        <v>46586</v>
      </c>
    </row>
    <row r="15866" spans="1:24">
      <c r="A15866">
        <f>HYPERLINK("https://www.philgeps.gov.ph/GEPSNONPILOT/Tender/SplashBidNoticeAbstractUI.aspx?menuIndex=3&amp;refID=7040510&amp;Result=3","7040510")</f>
        <v>0</v>
      </c>
      <c r="B15866" t="s">
        <v>611</v>
      </c>
      <c r="C15866" t="s">
        <v>16123</v>
      </c>
      <c r="E15866" t="s">
        <v>32560</v>
      </c>
      <c r="F15866" t="s">
        <v>32664</v>
      </c>
      <c r="G15866" t="s">
        <v>32672</v>
      </c>
      <c r="H15866" t="s">
        <v>12635</v>
      </c>
      <c r="I15866" t="s">
        <v>32704</v>
      </c>
      <c r="J15866" t="s">
        <v>42202</v>
      </c>
      <c r="K15866" t="s">
        <v>42298</v>
      </c>
      <c r="M15866" t="s">
        <v>45121</v>
      </c>
      <c r="N15866" t="s">
        <v>46569</v>
      </c>
      <c r="O15866" t="s">
        <v>46570</v>
      </c>
      <c r="P15866">
        <v>0</v>
      </c>
      <c r="Q15866">
        <v>40</v>
      </c>
      <c r="R15866" t="s">
        <v>46585</v>
      </c>
      <c r="S15866" t="s">
        <v>47146</v>
      </c>
      <c r="T15866" t="s">
        <v>48318</v>
      </c>
      <c r="U15866" t="s">
        <v>58638</v>
      </c>
      <c r="W15866" t="s">
        <v>45121</v>
      </c>
      <c r="X15866" t="s">
        <v>46586</v>
      </c>
    </row>
    <row r="15867" spans="1:24">
      <c r="A15867">
        <f>HYPERLINK("https://www.philgeps.gov.ph/GEPSNONPILOT/Tender/SplashBidNoticeAbstractUI.aspx?menuIndex=3&amp;refID=7032536&amp;Result=3","7032536")</f>
        <v>0</v>
      </c>
      <c r="B15867" t="s">
        <v>3517</v>
      </c>
      <c r="C15867" t="s">
        <v>18655</v>
      </c>
      <c r="D15867" t="s">
        <v>18784</v>
      </c>
      <c r="E15867" t="s">
        <v>32561</v>
      </c>
      <c r="F15867" t="s">
        <v>32664</v>
      </c>
      <c r="G15867" t="s">
        <v>32672</v>
      </c>
      <c r="H15867" t="s">
        <v>12635</v>
      </c>
      <c r="I15867" t="s">
        <v>5589</v>
      </c>
      <c r="J15867" t="s">
        <v>32943</v>
      </c>
      <c r="K15867" t="s">
        <v>42281</v>
      </c>
      <c r="M15867" t="s">
        <v>46554</v>
      </c>
      <c r="N15867" t="s">
        <v>46569</v>
      </c>
      <c r="O15867" t="s">
        <v>46570</v>
      </c>
      <c r="Q15867">
        <v>16</v>
      </c>
      <c r="R15867" t="s">
        <v>46586</v>
      </c>
      <c r="S15867" t="s">
        <v>48203</v>
      </c>
      <c r="T15867" t="s">
        <v>48312</v>
      </c>
      <c r="U15867" t="s">
        <v>61503</v>
      </c>
      <c r="V15867" t="s">
        <v>63440</v>
      </c>
      <c r="W15867" t="s">
        <v>46554</v>
      </c>
      <c r="X15867" t="s">
        <v>46589</v>
      </c>
    </row>
    <row r="15868" spans="1:24">
      <c r="A15868">
        <f>HYPERLINK("https://www.philgeps.gov.ph/GEPSNONPILOT/Tender/SplashBidNoticeAbstractUI.aspx?menuIndex=3&amp;refID=7040502&amp;Result=3","7040502")</f>
        <v>0</v>
      </c>
      <c r="B15868" t="s">
        <v>3302</v>
      </c>
      <c r="C15868" t="s">
        <v>18656</v>
      </c>
      <c r="D15868" t="s">
        <v>18806</v>
      </c>
      <c r="E15868" t="s">
        <v>32562</v>
      </c>
      <c r="F15868" t="s">
        <v>32664</v>
      </c>
      <c r="G15868" t="s">
        <v>32672</v>
      </c>
      <c r="H15868" t="s">
        <v>32683</v>
      </c>
      <c r="I15868" t="s">
        <v>6553</v>
      </c>
      <c r="J15868" t="s">
        <v>42203</v>
      </c>
      <c r="K15868" t="s">
        <v>42290</v>
      </c>
      <c r="M15868" t="s">
        <v>46247</v>
      </c>
      <c r="N15868" t="s">
        <v>46569</v>
      </c>
      <c r="O15868" t="s">
        <v>46570</v>
      </c>
      <c r="P15868">
        <v>0</v>
      </c>
      <c r="Q15868">
        <v>14</v>
      </c>
      <c r="R15868" t="s">
        <v>46585</v>
      </c>
      <c r="S15868" t="s">
        <v>47146</v>
      </c>
      <c r="T15868" t="s">
        <v>48285</v>
      </c>
      <c r="U15868" t="s">
        <v>61504</v>
      </c>
      <c r="V15868" t="s">
        <v>63089</v>
      </c>
      <c r="W15868" t="s">
        <v>46247</v>
      </c>
      <c r="X15868" t="s">
        <v>46586</v>
      </c>
    </row>
    <row r="15869" spans="1:24">
      <c r="A15869">
        <f>HYPERLINK("https://www.philgeps.gov.ph/GEPSNONPILOT/Tender/SplashBidNoticeAbstractUI.aspx?menuIndex=3&amp;refID=7040498&amp;Result=3","7040498")</f>
        <v>0</v>
      </c>
      <c r="B15869" t="s">
        <v>3243</v>
      </c>
      <c r="C15869" t="s">
        <v>18657</v>
      </c>
      <c r="D15869" t="s">
        <v>18828</v>
      </c>
      <c r="E15869" t="s">
        <v>32563</v>
      </c>
      <c r="F15869" t="s">
        <v>32664</v>
      </c>
      <c r="G15869" t="s">
        <v>32672</v>
      </c>
      <c r="H15869" t="s">
        <v>32683</v>
      </c>
      <c r="I15869" t="s">
        <v>10627</v>
      </c>
      <c r="J15869" t="s">
        <v>42204</v>
      </c>
      <c r="K15869" t="s">
        <v>42436</v>
      </c>
      <c r="M15869" t="s">
        <v>46167</v>
      </c>
      <c r="N15869" t="s">
        <v>46569</v>
      </c>
      <c r="O15869" t="s">
        <v>46570</v>
      </c>
      <c r="P15869">
        <v>0</v>
      </c>
      <c r="Q15869">
        <v>0</v>
      </c>
      <c r="R15869" t="s">
        <v>46585</v>
      </c>
      <c r="S15869" t="s">
        <v>47146</v>
      </c>
      <c r="T15869" t="s">
        <v>48283</v>
      </c>
      <c r="U15869" t="s">
        <v>61505</v>
      </c>
      <c r="V15869" t="s">
        <v>63441</v>
      </c>
      <c r="W15869" t="s">
        <v>46167</v>
      </c>
      <c r="X15869" t="s">
        <v>46586</v>
      </c>
    </row>
    <row r="15870" spans="1:24">
      <c r="A15870">
        <f>HYPERLINK("https://www.philgeps.gov.ph/GEPSNONPILOT/Tender/SplashBidNoticeAbstractUI.aspx?menuIndex=3&amp;refID=7040234&amp;Result=3","7040234")</f>
        <v>0</v>
      </c>
      <c r="B15870" t="s">
        <v>2029</v>
      </c>
      <c r="C15870" t="s">
        <v>18658</v>
      </c>
      <c r="D15870" t="s">
        <v>18784</v>
      </c>
      <c r="E15870" t="s">
        <v>32564</v>
      </c>
      <c r="F15870" t="s">
        <v>32664</v>
      </c>
      <c r="G15870" t="s">
        <v>32672</v>
      </c>
      <c r="H15870" t="s">
        <v>32683</v>
      </c>
      <c r="I15870" t="s">
        <v>10627</v>
      </c>
      <c r="J15870" t="s">
        <v>42205</v>
      </c>
      <c r="K15870" t="s">
        <v>42450</v>
      </c>
      <c r="M15870" t="s">
        <v>45251</v>
      </c>
      <c r="N15870" t="s">
        <v>46569</v>
      </c>
      <c r="O15870" t="s">
        <v>46570</v>
      </c>
      <c r="P15870">
        <v>0</v>
      </c>
      <c r="Q15870">
        <v>11</v>
      </c>
      <c r="R15870" t="s">
        <v>46585</v>
      </c>
      <c r="S15870" t="s">
        <v>47146</v>
      </c>
      <c r="T15870" t="s">
        <v>48321</v>
      </c>
      <c r="U15870" t="s">
        <v>61506</v>
      </c>
      <c r="V15870" t="s">
        <v>63087</v>
      </c>
      <c r="W15870" t="s">
        <v>45251</v>
      </c>
      <c r="X15870" t="s">
        <v>46586</v>
      </c>
    </row>
    <row r="15871" spans="1:24">
      <c r="A15871">
        <f>HYPERLINK("https://www.philgeps.gov.ph/GEPSNONPILOT/Tender/SplashBidNoticeAbstractUI.aspx?menuIndex=3&amp;refID=7040229&amp;Result=3","7040229")</f>
        <v>0</v>
      </c>
      <c r="B15871" t="s">
        <v>2089</v>
      </c>
      <c r="C15871" t="s">
        <v>18659</v>
      </c>
      <c r="D15871" t="s">
        <v>18834</v>
      </c>
      <c r="E15871" t="s">
        <v>32565</v>
      </c>
      <c r="F15871" t="s">
        <v>32664</v>
      </c>
      <c r="G15871" t="s">
        <v>32672</v>
      </c>
      <c r="H15871" t="s">
        <v>12635</v>
      </c>
      <c r="I15871" t="s">
        <v>4439</v>
      </c>
      <c r="J15871" t="s">
        <v>42206</v>
      </c>
      <c r="K15871" t="s">
        <v>42283</v>
      </c>
      <c r="M15871" t="s">
        <v>44843</v>
      </c>
      <c r="N15871" t="s">
        <v>46569</v>
      </c>
      <c r="O15871" t="s">
        <v>46570</v>
      </c>
      <c r="Q15871">
        <v>1</v>
      </c>
      <c r="R15871" t="s">
        <v>46585</v>
      </c>
      <c r="S15871" t="s">
        <v>48204</v>
      </c>
      <c r="T15871" t="s">
        <v>48268</v>
      </c>
      <c r="U15871" t="s">
        <v>61507</v>
      </c>
      <c r="W15871" t="s">
        <v>44843</v>
      </c>
      <c r="X15871" t="s">
        <v>46586</v>
      </c>
    </row>
    <row r="15872" spans="1:24">
      <c r="A15872">
        <f>HYPERLINK("https://www.philgeps.gov.ph/GEPSNONPILOT/Tender/SplashBidNoticeAbstractUI.aspx?menuIndex=3&amp;refID=7040515&amp;Result=3","7040515")</f>
        <v>0</v>
      </c>
      <c r="B15872" t="s">
        <v>3306</v>
      </c>
      <c r="C15872" t="s">
        <v>18660</v>
      </c>
      <c r="D15872" t="s">
        <v>18781</v>
      </c>
      <c r="E15872" t="s">
        <v>32566</v>
      </c>
      <c r="F15872" t="s">
        <v>32664</v>
      </c>
      <c r="G15872" t="s">
        <v>32672</v>
      </c>
      <c r="H15872" t="s">
        <v>12635</v>
      </c>
      <c r="I15872" t="s">
        <v>32692</v>
      </c>
      <c r="J15872" t="s">
        <v>42207</v>
      </c>
      <c r="K15872" t="s">
        <v>42311</v>
      </c>
      <c r="M15872" t="s">
        <v>46251</v>
      </c>
      <c r="N15872" t="s">
        <v>46569</v>
      </c>
      <c r="O15872" t="s">
        <v>46570</v>
      </c>
      <c r="P15872">
        <v>0</v>
      </c>
      <c r="Q15872">
        <v>5</v>
      </c>
      <c r="R15872" t="s">
        <v>46585</v>
      </c>
      <c r="S15872" t="s">
        <v>47146</v>
      </c>
      <c r="T15872" t="s">
        <v>48225</v>
      </c>
      <c r="U15872" t="s">
        <v>61508</v>
      </c>
      <c r="W15872" t="s">
        <v>46251</v>
      </c>
      <c r="X15872" t="s">
        <v>46586</v>
      </c>
    </row>
    <row r="15873" spans="1:24">
      <c r="A15873">
        <f>HYPERLINK("https://www.philgeps.gov.ph/GEPSNONPILOT/Tender/SplashBidNoticeAbstractUI.aspx?menuIndex=3&amp;refID=7040211&amp;Result=3","7040211")</f>
        <v>0</v>
      </c>
      <c r="B15873" t="s">
        <v>3297</v>
      </c>
      <c r="C15873" t="s">
        <v>18661</v>
      </c>
      <c r="D15873" t="s">
        <v>18832</v>
      </c>
      <c r="E15873" t="s">
        <v>32567</v>
      </c>
      <c r="F15873" t="s">
        <v>32664</v>
      </c>
      <c r="G15873" t="s">
        <v>32672</v>
      </c>
      <c r="H15873" t="s">
        <v>32683</v>
      </c>
      <c r="I15873" t="s">
        <v>10627</v>
      </c>
      <c r="J15873" t="s">
        <v>42208</v>
      </c>
      <c r="K15873" t="s">
        <v>42559</v>
      </c>
      <c r="L15873" t="s">
        <v>3297</v>
      </c>
      <c r="M15873" t="s">
        <v>46241</v>
      </c>
      <c r="N15873" t="s">
        <v>46569</v>
      </c>
      <c r="O15873" t="s">
        <v>46570</v>
      </c>
      <c r="P15873">
        <v>0</v>
      </c>
      <c r="Q15873">
        <v>0</v>
      </c>
      <c r="R15873" t="s">
        <v>46585</v>
      </c>
      <c r="S15873" t="s">
        <v>47146</v>
      </c>
      <c r="T15873" t="s">
        <v>48228</v>
      </c>
      <c r="U15873" t="s">
        <v>61509</v>
      </c>
      <c r="W15873" t="s">
        <v>46241</v>
      </c>
      <c r="X15873" t="s">
        <v>46586</v>
      </c>
    </row>
    <row r="15874" spans="1:24">
      <c r="A15874">
        <f>HYPERLINK("https://www.philgeps.gov.ph/GEPSNONPILOT/Tender/SplashBidNoticeAbstractUI.aspx?menuIndex=3&amp;refID=7029712&amp;Result=3","7029712")</f>
        <v>0</v>
      </c>
      <c r="B15874" t="s">
        <v>2093</v>
      </c>
      <c r="C15874" t="s">
        <v>18662</v>
      </c>
      <c r="D15874" t="s">
        <v>18821</v>
      </c>
      <c r="E15874" t="s">
        <v>32568</v>
      </c>
      <c r="F15874" t="s">
        <v>32664</v>
      </c>
      <c r="G15874" t="s">
        <v>32672</v>
      </c>
      <c r="H15874" t="s">
        <v>32683</v>
      </c>
      <c r="I15874" t="s">
        <v>10627</v>
      </c>
      <c r="J15874" t="s">
        <v>42209</v>
      </c>
      <c r="K15874" t="s">
        <v>42380</v>
      </c>
      <c r="M15874" t="s">
        <v>44848</v>
      </c>
      <c r="N15874" t="s">
        <v>46569</v>
      </c>
      <c r="O15874" t="s">
        <v>46570</v>
      </c>
      <c r="P15874">
        <v>0</v>
      </c>
      <c r="Q15874">
        <v>6</v>
      </c>
      <c r="R15874" t="s">
        <v>46591</v>
      </c>
      <c r="S15874" t="s">
        <v>47586</v>
      </c>
      <c r="T15874" t="s">
        <v>48244</v>
      </c>
      <c r="U15874" t="s">
        <v>61510</v>
      </c>
      <c r="W15874" t="s">
        <v>44848</v>
      </c>
      <c r="X15874" t="s">
        <v>46592</v>
      </c>
    </row>
    <row r="15875" spans="1:24">
      <c r="A15875">
        <f>HYPERLINK("https://www.philgeps.gov.ph/GEPSNONPILOT/Tender/SplashBidNoticeAbstractUI.aspx?menuIndex=3&amp;refID=7039284&amp;Result=3","7039284")</f>
        <v>0</v>
      </c>
      <c r="B15875" t="s">
        <v>1811</v>
      </c>
      <c r="C15875" t="s">
        <v>18663</v>
      </c>
      <c r="D15875" t="s">
        <v>18805</v>
      </c>
      <c r="E15875" t="s">
        <v>32569</v>
      </c>
      <c r="F15875" t="s">
        <v>32664</v>
      </c>
      <c r="G15875" t="s">
        <v>32672</v>
      </c>
      <c r="H15875" t="s">
        <v>12635</v>
      </c>
      <c r="I15875" t="s">
        <v>9486</v>
      </c>
      <c r="J15875" t="s">
        <v>33302</v>
      </c>
      <c r="K15875" t="s">
        <v>42283</v>
      </c>
      <c r="M15875" t="s">
        <v>44517</v>
      </c>
      <c r="N15875" t="s">
        <v>46569</v>
      </c>
      <c r="O15875" t="s">
        <v>46570</v>
      </c>
      <c r="Q15875">
        <v>5</v>
      </c>
      <c r="R15875" t="s">
        <v>46585</v>
      </c>
      <c r="S15875" t="s">
        <v>48205</v>
      </c>
      <c r="T15875" t="s">
        <v>48411</v>
      </c>
      <c r="U15875" t="s">
        <v>61511</v>
      </c>
      <c r="V15875" t="s">
        <v>62197</v>
      </c>
      <c r="W15875" t="s">
        <v>44517</v>
      </c>
      <c r="X15875" t="s">
        <v>46586</v>
      </c>
    </row>
    <row r="15876" spans="1:24">
      <c r="A15876">
        <f>HYPERLINK("https://www.philgeps.gov.ph/GEPSNONPILOT/Tender/SplashBidNoticeAbstractUI.aspx?menuIndex=3&amp;refID=7040521&amp;Result=3","7040521")</f>
        <v>0</v>
      </c>
      <c r="B15876" t="s">
        <v>1706</v>
      </c>
      <c r="C15876" t="s">
        <v>18664</v>
      </c>
      <c r="D15876" t="s">
        <v>18793</v>
      </c>
      <c r="E15876" t="s">
        <v>32570</v>
      </c>
      <c r="F15876" t="s">
        <v>32664</v>
      </c>
      <c r="G15876" t="s">
        <v>32672</v>
      </c>
      <c r="H15876" t="s">
        <v>32683</v>
      </c>
      <c r="I15876" t="s">
        <v>4439</v>
      </c>
      <c r="J15876" t="s">
        <v>32853</v>
      </c>
      <c r="K15876" t="s">
        <v>42311</v>
      </c>
      <c r="M15876" t="s">
        <v>44400</v>
      </c>
      <c r="N15876" t="s">
        <v>46569</v>
      </c>
      <c r="O15876" t="s">
        <v>46570</v>
      </c>
      <c r="P15876">
        <v>0</v>
      </c>
      <c r="Q15876">
        <v>0</v>
      </c>
      <c r="R15876" t="s">
        <v>46585</v>
      </c>
      <c r="S15876" t="s">
        <v>47146</v>
      </c>
      <c r="T15876" t="s">
        <v>48304</v>
      </c>
      <c r="U15876" t="s">
        <v>61512</v>
      </c>
      <c r="W15876" t="s">
        <v>44400</v>
      </c>
      <c r="X15876" t="s">
        <v>46586</v>
      </c>
    </row>
    <row r="15877" spans="1:24">
      <c r="A15877">
        <f>HYPERLINK("https://www.philgeps.gov.ph/GEPSNONPILOT/Tender/SplashBidNoticeAbstractUI.aspx?menuIndex=3&amp;refID=7039280&amp;Result=3","7039280")</f>
        <v>0</v>
      </c>
      <c r="B15877" t="s">
        <v>2638</v>
      </c>
      <c r="C15877" t="s">
        <v>18665</v>
      </c>
      <c r="D15877" t="s">
        <v>18865</v>
      </c>
      <c r="E15877" t="s">
        <v>32571</v>
      </c>
      <c r="F15877" t="s">
        <v>32664</v>
      </c>
      <c r="G15877" t="s">
        <v>32672</v>
      </c>
      <c r="H15877" t="s">
        <v>12635</v>
      </c>
      <c r="I15877" t="s">
        <v>32708</v>
      </c>
      <c r="J15877" t="s">
        <v>42210</v>
      </c>
      <c r="K15877" t="s">
        <v>42283</v>
      </c>
      <c r="M15877" t="s">
        <v>45458</v>
      </c>
      <c r="N15877" t="s">
        <v>46569</v>
      </c>
      <c r="O15877" t="s">
        <v>46570</v>
      </c>
      <c r="P15877">
        <v>0</v>
      </c>
      <c r="Q15877">
        <v>10</v>
      </c>
      <c r="R15877" t="s">
        <v>46585</v>
      </c>
      <c r="S15877" t="s">
        <v>47146</v>
      </c>
      <c r="T15877" t="s">
        <v>48314</v>
      </c>
      <c r="U15877" t="s">
        <v>61513</v>
      </c>
      <c r="W15877" t="s">
        <v>45458</v>
      </c>
      <c r="X15877" t="s">
        <v>46586</v>
      </c>
    </row>
    <row r="15878" spans="1:24">
      <c r="A15878">
        <f>HYPERLINK("https://www.philgeps.gov.ph/GEPSNONPILOT/Tender/SplashBidNoticeAbstractUI.aspx?menuIndex=3&amp;refID=7040217&amp;Result=3","7040217")</f>
        <v>0</v>
      </c>
      <c r="B15878" t="s">
        <v>3298</v>
      </c>
      <c r="C15878" t="s">
        <v>18666</v>
      </c>
      <c r="D15878" t="s">
        <v>18784</v>
      </c>
      <c r="E15878" t="s">
        <v>32572</v>
      </c>
      <c r="F15878" t="s">
        <v>32664</v>
      </c>
      <c r="G15878" t="s">
        <v>32672</v>
      </c>
      <c r="H15878" t="s">
        <v>12635</v>
      </c>
      <c r="I15878" t="s">
        <v>5589</v>
      </c>
      <c r="J15878" t="s">
        <v>42211</v>
      </c>
      <c r="K15878" t="s">
        <v>42305</v>
      </c>
      <c r="M15878" t="s">
        <v>46242</v>
      </c>
      <c r="N15878" t="s">
        <v>46569</v>
      </c>
      <c r="O15878" t="s">
        <v>46570</v>
      </c>
      <c r="P15878">
        <v>0</v>
      </c>
      <c r="Q15878">
        <v>10</v>
      </c>
      <c r="R15878" t="s">
        <v>46585</v>
      </c>
      <c r="S15878" t="s">
        <v>47146</v>
      </c>
      <c r="T15878" t="s">
        <v>48334</v>
      </c>
      <c r="U15878" t="s">
        <v>59408</v>
      </c>
      <c r="W15878" t="s">
        <v>46242</v>
      </c>
      <c r="X15878" t="s">
        <v>46586</v>
      </c>
    </row>
    <row r="15879" spans="1:24">
      <c r="A15879">
        <f>HYPERLINK("https://www.philgeps.gov.ph/GEPSNONPILOT/Tender/SplashBidNoticeAbstractUI.aspx?menuIndex=3&amp;refID=7039258&amp;Result=3","7039258")</f>
        <v>0</v>
      </c>
      <c r="B15879" t="s">
        <v>690</v>
      </c>
      <c r="C15879" t="s">
        <v>18667</v>
      </c>
      <c r="D15879" t="s">
        <v>18781</v>
      </c>
      <c r="E15879" t="s">
        <v>32573</v>
      </c>
      <c r="F15879" t="s">
        <v>32664</v>
      </c>
      <c r="G15879" t="s">
        <v>32672</v>
      </c>
      <c r="H15879" t="s">
        <v>32683</v>
      </c>
      <c r="I15879" t="s">
        <v>10627</v>
      </c>
      <c r="J15879" t="s">
        <v>42212</v>
      </c>
      <c r="K15879" t="s">
        <v>42314</v>
      </c>
      <c r="L15879" t="s">
        <v>690</v>
      </c>
      <c r="M15879" t="s">
        <v>45601</v>
      </c>
      <c r="N15879" t="s">
        <v>46569</v>
      </c>
      <c r="O15879" t="s">
        <v>46570</v>
      </c>
      <c r="P15879">
        <v>0</v>
      </c>
      <c r="Q15879">
        <v>2</v>
      </c>
      <c r="R15879" t="s">
        <v>46585</v>
      </c>
      <c r="S15879" t="s">
        <v>47146</v>
      </c>
      <c r="T15879" t="s">
        <v>48330</v>
      </c>
      <c r="U15879" t="s">
        <v>59294</v>
      </c>
      <c r="W15879" t="s">
        <v>45601</v>
      </c>
      <c r="X15879" t="s">
        <v>46586</v>
      </c>
    </row>
    <row r="15880" spans="1:24">
      <c r="A15880">
        <f>HYPERLINK("https://www.philgeps.gov.ph/GEPSNONPILOT/Tender/SplashBidNoticeAbstractUI.aspx?menuIndex=3&amp;refID=7017080&amp;Result=3","7017080")</f>
        <v>0</v>
      </c>
      <c r="B15880" t="s">
        <v>1920</v>
      </c>
      <c r="C15880" t="s">
        <v>18668</v>
      </c>
      <c r="D15880" t="s">
        <v>18789</v>
      </c>
      <c r="E15880" t="s">
        <v>28715</v>
      </c>
      <c r="F15880" t="s">
        <v>32664</v>
      </c>
      <c r="G15880" t="s">
        <v>32672</v>
      </c>
      <c r="H15880" t="s">
        <v>12635</v>
      </c>
      <c r="I15880" t="s">
        <v>11464</v>
      </c>
      <c r="J15880" t="s">
        <v>32943</v>
      </c>
      <c r="K15880" t="s">
        <v>42298</v>
      </c>
      <c r="M15880" t="s">
        <v>44641</v>
      </c>
      <c r="N15880" t="s">
        <v>46569</v>
      </c>
      <c r="O15880" t="s">
        <v>46570</v>
      </c>
      <c r="P15880">
        <v>0</v>
      </c>
      <c r="Q15880">
        <v>7</v>
      </c>
      <c r="R15880" t="s">
        <v>46598</v>
      </c>
      <c r="S15880" t="s">
        <v>47785</v>
      </c>
      <c r="T15880" t="s">
        <v>48316</v>
      </c>
      <c r="U15880" t="s">
        <v>61514</v>
      </c>
      <c r="V15880" t="s">
        <v>63437</v>
      </c>
      <c r="W15880" t="s">
        <v>44641</v>
      </c>
      <c r="X15880" t="s">
        <v>46596</v>
      </c>
    </row>
    <row r="15881" spans="1:24">
      <c r="A15881">
        <f>HYPERLINK("https://www.philgeps.gov.ph/GEPSNONPILOT/Tender/SplashBidNoticeAbstractUI.aspx?menuIndex=3&amp;refID=7039252&amp;Result=3","7039252")</f>
        <v>0</v>
      </c>
      <c r="B15881" t="s">
        <v>173</v>
      </c>
      <c r="C15881" t="s">
        <v>18669</v>
      </c>
      <c r="E15881" t="s">
        <v>32574</v>
      </c>
      <c r="F15881" t="s">
        <v>32664</v>
      </c>
      <c r="G15881" t="s">
        <v>32672</v>
      </c>
      <c r="H15881" t="s">
        <v>32683</v>
      </c>
      <c r="I15881" t="s">
        <v>10627</v>
      </c>
      <c r="J15881" t="s">
        <v>42213</v>
      </c>
      <c r="K15881" t="s">
        <v>42534</v>
      </c>
      <c r="M15881" t="s">
        <v>46243</v>
      </c>
      <c r="N15881" t="s">
        <v>46569</v>
      </c>
      <c r="O15881" t="s">
        <v>46570</v>
      </c>
      <c r="Q15881">
        <v>7</v>
      </c>
      <c r="R15881" t="s">
        <v>46585</v>
      </c>
      <c r="S15881" t="s">
        <v>48101</v>
      </c>
      <c r="T15881" t="s">
        <v>48230</v>
      </c>
      <c r="U15881" t="s">
        <v>61515</v>
      </c>
      <c r="W15881" t="s">
        <v>46243</v>
      </c>
      <c r="X15881" t="s">
        <v>46586</v>
      </c>
    </row>
    <row r="15882" spans="1:24">
      <c r="A15882">
        <f>HYPERLINK("https://www.philgeps.gov.ph/GEPSNONPILOT/Tender/SplashBidNoticeAbstractUI.aspx?menuIndex=3&amp;refID=7040209&amp;Result=3","7040209")</f>
        <v>0</v>
      </c>
      <c r="B15882" t="s">
        <v>492</v>
      </c>
      <c r="C15882" t="s">
        <v>18670</v>
      </c>
      <c r="D15882" t="s">
        <v>18809</v>
      </c>
      <c r="E15882" t="s">
        <v>32575</v>
      </c>
      <c r="F15882" t="s">
        <v>32664</v>
      </c>
      <c r="G15882" t="s">
        <v>32672</v>
      </c>
      <c r="H15882" t="s">
        <v>32683</v>
      </c>
      <c r="I15882" t="s">
        <v>10627</v>
      </c>
      <c r="J15882" t="s">
        <v>42214</v>
      </c>
      <c r="K15882" t="s">
        <v>42311</v>
      </c>
      <c r="M15882" t="s">
        <v>43068</v>
      </c>
      <c r="N15882" t="s">
        <v>46569</v>
      </c>
      <c r="O15882" t="s">
        <v>46570</v>
      </c>
      <c r="P15882">
        <v>0</v>
      </c>
      <c r="Q15882">
        <v>1</v>
      </c>
      <c r="R15882" t="s">
        <v>46585</v>
      </c>
      <c r="S15882" t="s">
        <v>47146</v>
      </c>
      <c r="T15882" t="s">
        <v>48221</v>
      </c>
      <c r="U15882" t="s">
        <v>59364</v>
      </c>
      <c r="W15882" t="s">
        <v>43068</v>
      </c>
      <c r="X15882" t="s">
        <v>46586</v>
      </c>
    </row>
    <row r="15883" spans="1:24">
      <c r="A15883">
        <f>HYPERLINK("https://www.philgeps.gov.ph/GEPSNONPILOT/Tender/SplashBidNoticeAbstractUI.aspx?menuIndex=3&amp;refID=7039167&amp;Result=3","7039167")</f>
        <v>0</v>
      </c>
      <c r="B15883" t="s">
        <v>690</v>
      </c>
      <c r="C15883" t="s">
        <v>18671</v>
      </c>
      <c r="D15883" t="s">
        <v>18781</v>
      </c>
      <c r="E15883" t="s">
        <v>32576</v>
      </c>
      <c r="F15883" t="s">
        <v>32664</v>
      </c>
      <c r="G15883" t="s">
        <v>32672</v>
      </c>
      <c r="H15883" t="s">
        <v>32683</v>
      </c>
      <c r="I15883" t="s">
        <v>10627</v>
      </c>
      <c r="J15883" t="s">
        <v>42215</v>
      </c>
      <c r="K15883" t="s">
        <v>42301</v>
      </c>
      <c r="L15883" t="s">
        <v>690</v>
      </c>
      <c r="M15883" t="s">
        <v>45601</v>
      </c>
      <c r="N15883" t="s">
        <v>46569</v>
      </c>
      <c r="O15883" t="s">
        <v>46570</v>
      </c>
      <c r="P15883">
        <v>0</v>
      </c>
      <c r="Q15883">
        <v>10</v>
      </c>
      <c r="R15883" t="s">
        <v>46585</v>
      </c>
      <c r="S15883" t="s">
        <v>47146</v>
      </c>
      <c r="T15883" t="s">
        <v>48330</v>
      </c>
      <c r="U15883" t="s">
        <v>59294</v>
      </c>
      <c r="W15883" t="s">
        <v>45601</v>
      </c>
      <c r="X15883" t="s">
        <v>46586</v>
      </c>
    </row>
    <row r="15884" spans="1:24">
      <c r="A15884">
        <f>HYPERLINK("https://www.philgeps.gov.ph/GEPSNONPILOT/Tender/SplashBidNoticeAbstractUI.aspx?menuIndex=3&amp;refID=7039249&amp;Result=3","7039249")</f>
        <v>0</v>
      </c>
      <c r="B15884" t="s">
        <v>690</v>
      </c>
      <c r="C15884" t="s">
        <v>18672</v>
      </c>
      <c r="D15884" t="s">
        <v>18781</v>
      </c>
      <c r="E15884" t="s">
        <v>32577</v>
      </c>
      <c r="F15884" t="s">
        <v>32664</v>
      </c>
      <c r="G15884" t="s">
        <v>32672</v>
      </c>
      <c r="H15884" t="s">
        <v>32683</v>
      </c>
      <c r="I15884" t="s">
        <v>10627</v>
      </c>
      <c r="J15884" t="s">
        <v>40345</v>
      </c>
      <c r="K15884" t="s">
        <v>42290</v>
      </c>
      <c r="L15884" t="s">
        <v>690</v>
      </c>
      <c r="M15884" t="s">
        <v>45601</v>
      </c>
      <c r="N15884" t="s">
        <v>46569</v>
      </c>
      <c r="O15884" t="s">
        <v>46570</v>
      </c>
      <c r="P15884">
        <v>0</v>
      </c>
      <c r="Q15884">
        <v>1</v>
      </c>
      <c r="R15884" t="s">
        <v>46585</v>
      </c>
      <c r="S15884" t="s">
        <v>47146</v>
      </c>
      <c r="T15884" t="s">
        <v>48330</v>
      </c>
      <c r="U15884" t="s">
        <v>59294</v>
      </c>
      <c r="W15884" t="s">
        <v>45601</v>
      </c>
      <c r="X15884" t="s">
        <v>46586</v>
      </c>
    </row>
    <row r="15885" spans="1:24">
      <c r="A15885">
        <f>HYPERLINK("https://www.philgeps.gov.ph/GEPSNONPILOT/Tender/SplashBidNoticeAbstractUI.aspx?menuIndex=3&amp;refID=7039166&amp;Result=3","7039166")</f>
        <v>0</v>
      </c>
      <c r="B15885" t="s">
        <v>1377</v>
      </c>
      <c r="C15885" t="s">
        <v>18673</v>
      </c>
      <c r="D15885" t="s">
        <v>18786</v>
      </c>
      <c r="E15885" t="s">
        <v>26789</v>
      </c>
      <c r="F15885" t="s">
        <v>32664</v>
      </c>
      <c r="G15885" t="s">
        <v>32672</v>
      </c>
      <c r="H15885" t="s">
        <v>32683</v>
      </c>
      <c r="I15885" t="s">
        <v>10627</v>
      </c>
      <c r="J15885" t="s">
        <v>42216</v>
      </c>
      <c r="K15885" t="s">
        <v>42290</v>
      </c>
      <c r="M15885" t="s">
        <v>44032</v>
      </c>
      <c r="N15885" t="s">
        <v>46569</v>
      </c>
      <c r="O15885" t="s">
        <v>46570</v>
      </c>
      <c r="P15885">
        <v>0</v>
      </c>
      <c r="Q15885">
        <v>0</v>
      </c>
      <c r="R15885" t="s">
        <v>46585</v>
      </c>
      <c r="S15885" t="s">
        <v>47146</v>
      </c>
      <c r="T15885" t="s">
        <v>48296</v>
      </c>
      <c r="U15885" t="s">
        <v>61516</v>
      </c>
      <c r="W15885" t="s">
        <v>44032</v>
      </c>
      <c r="X15885" t="s">
        <v>46586</v>
      </c>
    </row>
    <row r="15886" spans="1:24">
      <c r="A15886">
        <f>HYPERLINK("https://www.philgeps.gov.ph/GEPSNONPILOT/Tender/SplashBidNoticeAbstractUI.aspx?menuIndex=3&amp;refID=7039163&amp;Result=3","7039163")</f>
        <v>0</v>
      </c>
      <c r="B15886" t="s">
        <v>81</v>
      </c>
      <c r="C15886" t="s">
        <v>18674</v>
      </c>
      <c r="D15886" t="s">
        <v>18818</v>
      </c>
      <c r="E15886" t="s">
        <v>32578</v>
      </c>
      <c r="F15886" t="s">
        <v>32664</v>
      </c>
      <c r="G15886" t="s">
        <v>32672</v>
      </c>
      <c r="H15886" t="s">
        <v>32683</v>
      </c>
      <c r="I15886" t="s">
        <v>10627</v>
      </c>
      <c r="J15886" t="s">
        <v>33150</v>
      </c>
      <c r="K15886" t="s">
        <v>42308</v>
      </c>
      <c r="M15886" t="s">
        <v>42644</v>
      </c>
      <c r="N15886" t="s">
        <v>46569</v>
      </c>
      <c r="O15886" t="s">
        <v>46570</v>
      </c>
      <c r="P15886">
        <v>0</v>
      </c>
      <c r="Q15886">
        <v>0</v>
      </c>
      <c r="R15886" t="s">
        <v>46585</v>
      </c>
      <c r="S15886" t="s">
        <v>47146</v>
      </c>
      <c r="T15886" t="s">
        <v>48283</v>
      </c>
      <c r="U15886" t="s">
        <v>61517</v>
      </c>
      <c r="W15886" t="s">
        <v>42644</v>
      </c>
      <c r="X15886" t="s">
        <v>46586</v>
      </c>
    </row>
    <row r="15887" spans="1:24">
      <c r="A15887">
        <f>HYPERLINK("https://www.philgeps.gov.ph/GEPSNONPILOT/Tender/SplashBidNoticeAbstractUI.aspx?menuIndex=3&amp;refID=7040495&amp;Result=3","7040495")</f>
        <v>0</v>
      </c>
      <c r="B15887" t="s">
        <v>3304</v>
      </c>
      <c r="C15887" t="s">
        <v>18675</v>
      </c>
      <c r="D15887" t="s">
        <v>18789</v>
      </c>
      <c r="E15887" t="s">
        <v>21424</v>
      </c>
      <c r="F15887" t="s">
        <v>32664</v>
      </c>
      <c r="G15887" t="s">
        <v>32672</v>
      </c>
      <c r="H15887" t="s">
        <v>12635</v>
      </c>
      <c r="I15887" t="s">
        <v>4439</v>
      </c>
      <c r="J15887" t="s">
        <v>42217</v>
      </c>
      <c r="K15887" t="s">
        <v>42289</v>
      </c>
      <c r="M15887" t="s">
        <v>46249</v>
      </c>
      <c r="N15887" t="s">
        <v>46569</v>
      </c>
      <c r="O15887" t="s">
        <v>46570</v>
      </c>
      <c r="P15887">
        <v>0</v>
      </c>
      <c r="Q15887">
        <v>0</v>
      </c>
      <c r="R15887" t="s">
        <v>46585</v>
      </c>
      <c r="S15887" t="s">
        <v>47146</v>
      </c>
      <c r="T15887" t="s">
        <v>48290</v>
      </c>
      <c r="U15887" t="s">
        <v>61518</v>
      </c>
      <c r="W15887" t="s">
        <v>46249</v>
      </c>
      <c r="X15887" t="s">
        <v>46586</v>
      </c>
    </row>
    <row r="15888" spans="1:24">
      <c r="A15888">
        <f>HYPERLINK("https://www.philgeps.gov.ph/GEPSNONPILOT/Tender/SplashBidNoticeAbstractUI.aspx?menuIndex=3&amp;refID=7039277&amp;Result=3","7039277")</f>
        <v>0</v>
      </c>
      <c r="B15888" t="s">
        <v>690</v>
      </c>
      <c r="C15888" t="s">
        <v>18676</v>
      </c>
      <c r="D15888" t="s">
        <v>18781</v>
      </c>
      <c r="E15888" t="s">
        <v>32579</v>
      </c>
      <c r="F15888" t="s">
        <v>32664</v>
      </c>
      <c r="G15888" t="s">
        <v>32672</v>
      </c>
      <c r="H15888" t="s">
        <v>32683</v>
      </c>
      <c r="I15888" t="s">
        <v>10627</v>
      </c>
      <c r="J15888" t="s">
        <v>37270</v>
      </c>
      <c r="K15888" t="s">
        <v>42311</v>
      </c>
      <c r="L15888" t="s">
        <v>690</v>
      </c>
      <c r="M15888" t="s">
        <v>45601</v>
      </c>
      <c r="N15888" t="s">
        <v>46569</v>
      </c>
      <c r="O15888" t="s">
        <v>46570</v>
      </c>
      <c r="P15888">
        <v>0</v>
      </c>
      <c r="Q15888">
        <v>1</v>
      </c>
      <c r="R15888" t="s">
        <v>46585</v>
      </c>
      <c r="S15888" t="s">
        <v>47146</v>
      </c>
      <c r="T15888" t="s">
        <v>48330</v>
      </c>
      <c r="U15888" t="s">
        <v>59294</v>
      </c>
      <c r="W15888" t="s">
        <v>45601</v>
      </c>
      <c r="X15888" t="s">
        <v>46586</v>
      </c>
    </row>
    <row r="15889" spans="1:24">
      <c r="A15889">
        <f>HYPERLINK("https://www.philgeps.gov.ph/GEPSNONPILOT/Tender/SplashBidNoticeAbstractUI.aspx?menuIndex=3&amp;refID=7038767&amp;Result=3","7038767")</f>
        <v>0</v>
      </c>
      <c r="B15889" t="s">
        <v>1257</v>
      </c>
      <c r="C15889" t="s">
        <v>18677</v>
      </c>
      <c r="E15889" t="s">
        <v>32580</v>
      </c>
      <c r="F15889" t="s">
        <v>32664</v>
      </c>
      <c r="G15889" t="s">
        <v>32672</v>
      </c>
      <c r="H15889" t="s">
        <v>12635</v>
      </c>
      <c r="I15889" t="s">
        <v>32698</v>
      </c>
      <c r="J15889" t="s">
        <v>34713</v>
      </c>
      <c r="K15889" t="s">
        <v>42283</v>
      </c>
      <c r="M15889" t="s">
        <v>43899</v>
      </c>
      <c r="N15889" t="s">
        <v>46569</v>
      </c>
      <c r="O15889" t="s">
        <v>46570</v>
      </c>
      <c r="P15889">
        <v>0</v>
      </c>
      <c r="Q15889">
        <v>0</v>
      </c>
      <c r="R15889" t="s">
        <v>46585</v>
      </c>
      <c r="S15889" t="s">
        <v>47146</v>
      </c>
      <c r="T15889" t="s">
        <v>48250</v>
      </c>
      <c r="U15889" t="s">
        <v>61519</v>
      </c>
      <c r="W15889" t="s">
        <v>43899</v>
      </c>
      <c r="X15889" t="s">
        <v>46586</v>
      </c>
    </row>
    <row r="15890" spans="1:24">
      <c r="A15890">
        <f>HYPERLINK("https://www.philgeps.gov.ph/GEPSNONPILOT/Tender/SplashBidNoticeAbstractUI.aspx?menuIndex=3&amp;refID=7039144&amp;Result=3","7039144")</f>
        <v>0</v>
      </c>
      <c r="B15890" t="s">
        <v>81</v>
      </c>
      <c r="C15890" t="s">
        <v>18678</v>
      </c>
      <c r="D15890" t="s">
        <v>18818</v>
      </c>
      <c r="E15890" t="s">
        <v>32581</v>
      </c>
      <c r="F15890" t="s">
        <v>32664</v>
      </c>
      <c r="G15890" t="s">
        <v>32672</v>
      </c>
      <c r="H15890" t="s">
        <v>32683</v>
      </c>
      <c r="I15890" t="s">
        <v>10627</v>
      </c>
      <c r="J15890" t="s">
        <v>42218</v>
      </c>
      <c r="K15890" t="s">
        <v>42388</v>
      </c>
      <c r="M15890" t="s">
        <v>42644</v>
      </c>
      <c r="N15890" t="s">
        <v>46569</v>
      </c>
      <c r="O15890" t="s">
        <v>46570</v>
      </c>
      <c r="P15890">
        <v>0</v>
      </c>
      <c r="Q15890">
        <v>0</v>
      </c>
      <c r="R15890" t="s">
        <v>46585</v>
      </c>
      <c r="S15890" t="s">
        <v>47146</v>
      </c>
      <c r="T15890" t="s">
        <v>48283</v>
      </c>
      <c r="U15890" t="s">
        <v>61520</v>
      </c>
      <c r="W15890" t="s">
        <v>42644</v>
      </c>
      <c r="X15890" t="s">
        <v>46586</v>
      </c>
    </row>
    <row r="15891" spans="1:24">
      <c r="A15891">
        <f>HYPERLINK("https://www.philgeps.gov.ph/GEPSNONPILOT/Tender/SplashBidNoticeAbstractUI.aspx?menuIndex=3&amp;refID=7032641&amp;Result=3","7032641")</f>
        <v>0</v>
      </c>
      <c r="B15891" t="s">
        <v>732</v>
      </c>
      <c r="C15891" t="s">
        <v>18679</v>
      </c>
      <c r="D15891" t="s">
        <v>18841</v>
      </c>
      <c r="E15891" t="s">
        <v>32582</v>
      </c>
      <c r="F15891" t="s">
        <v>32664</v>
      </c>
      <c r="G15891" t="s">
        <v>32672</v>
      </c>
      <c r="H15891" t="s">
        <v>12635</v>
      </c>
      <c r="I15891" t="s">
        <v>11464</v>
      </c>
      <c r="J15891" t="s">
        <v>42219</v>
      </c>
      <c r="K15891" t="s">
        <v>42298</v>
      </c>
      <c r="M15891" t="s">
        <v>43321</v>
      </c>
      <c r="N15891" t="s">
        <v>46569</v>
      </c>
      <c r="O15891" t="s">
        <v>46570</v>
      </c>
      <c r="Q15891">
        <v>10</v>
      </c>
      <c r="R15891" t="s">
        <v>46588</v>
      </c>
      <c r="S15891" t="s">
        <v>48206</v>
      </c>
      <c r="T15891" t="s">
        <v>48525</v>
      </c>
      <c r="U15891" t="s">
        <v>61521</v>
      </c>
      <c r="W15891" t="s">
        <v>43321</v>
      </c>
      <c r="X15891" t="s">
        <v>46589</v>
      </c>
    </row>
    <row r="15892" spans="1:24">
      <c r="A15892">
        <f>HYPERLINK("https://www.philgeps.gov.ph/GEPSNONPILOT/Tender/SplashBidNoticeAbstractUI.aspx?menuIndex=3&amp;refID=7039265&amp;Result=3","7039265")</f>
        <v>0</v>
      </c>
      <c r="B15892" t="s">
        <v>3275</v>
      </c>
      <c r="C15892" t="s">
        <v>18680</v>
      </c>
      <c r="D15892" t="s">
        <v>18832</v>
      </c>
      <c r="E15892" t="s">
        <v>32583</v>
      </c>
      <c r="F15892" t="s">
        <v>32664</v>
      </c>
      <c r="G15892" t="s">
        <v>32672</v>
      </c>
      <c r="H15892" t="s">
        <v>32683</v>
      </c>
      <c r="I15892" t="s">
        <v>10627</v>
      </c>
      <c r="J15892" t="s">
        <v>42220</v>
      </c>
      <c r="K15892" t="s">
        <v>42310</v>
      </c>
      <c r="M15892" t="s">
        <v>46212</v>
      </c>
      <c r="N15892" t="s">
        <v>46569</v>
      </c>
      <c r="O15892" t="s">
        <v>46570</v>
      </c>
      <c r="Q15892">
        <v>1</v>
      </c>
      <c r="R15892" t="s">
        <v>46585</v>
      </c>
      <c r="S15892" t="s">
        <v>48207</v>
      </c>
      <c r="T15892" t="s">
        <v>48285</v>
      </c>
      <c r="U15892" t="s">
        <v>61522</v>
      </c>
      <c r="W15892" t="s">
        <v>46212</v>
      </c>
      <c r="X15892" t="s">
        <v>46586</v>
      </c>
    </row>
    <row r="15893" spans="1:24">
      <c r="A15893">
        <f>HYPERLINK("https://www.philgeps.gov.ph/GEPSNONPILOT/Tender/SplashBidNoticeAbstractUI.aspx?menuIndex=3&amp;refID=7038766&amp;Result=3","7038766")</f>
        <v>0</v>
      </c>
      <c r="B15893" t="s">
        <v>3013</v>
      </c>
      <c r="C15893" t="s">
        <v>18681</v>
      </c>
      <c r="D15893" t="s">
        <v>18810</v>
      </c>
      <c r="E15893" t="s">
        <v>32584</v>
      </c>
      <c r="F15893" t="s">
        <v>32664</v>
      </c>
      <c r="G15893" t="s">
        <v>32672</v>
      </c>
      <c r="H15893" t="s">
        <v>12635</v>
      </c>
      <c r="I15893" t="s">
        <v>11464</v>
      </c>
      <c r="J15893" t="s">
        <v>32962</v>
      </c>
      <c r="K15893" t="s">
        <v>42289</v>
      </c>
      <c r="M15893" t="s">
        <v>45885</v>
      </c>
      <c r="N15893" t="s">
        <v>46569</v>
      </c>
      <c r="O15893" t="s">
        <v>46570</v>
      </c>
      <c r="P15893">
        <v>0</v>
      </c>
      <c r="Q15893">
        <v>3</v>
      </c>
      <c r="R15893" t="s">
        <v>46585</v>
      </c>
      <c r="S15893" t="s">
        <v>47146</v>
      </c>
      <c r="T15893" t="s">
        <v>48329</v>
      </c>
      <c r="U15893" t="s">
        <v>61523</v>
      </c>
      <c r="W15893" t="s">
        <v>45885</v>
      </c>
      <c r="X15893" t="s">
        <v>46586</v>
      </c>
    </row>
    <row r="15894" spans="1:24">
      <c r="A15894">
        <f>HYPERLINK("https://www.philgeps.gov.ph/GEPSNONPILOT/Tender/SplashBidNoticeAbstractUI.aspx?menuIndex=3&amp;refID=7039143&amp;Result=3","7039143")</f>
        <v>0</v>
      </c>
      <c r="B15894" t="s">
        <v>1337</v>
      </c>
      <c r="C15894" t="s">
        <v>18682</v>
      </c>
      <c r="D15894" t="s">
        <v>18797</v>
      </c>
      <c r="E15894" t="s">
        <v>32585</v>
      </c>
      <c r="F15894" t="s">
        <v>32664</v>
      </c>
      <c r="G15894" t="s">
        <v>32672</v>
      </c>
      <c r="H15894" t="s">
        <v>32683</v>
      </c>
      <c r="I15894" t="s">
        <v>10627</v>
      </c>
      <c r="J15894" t="s">
        <v>42221</v>
      </c>
      <c r="K15894" t="s">
        <v>42327</v>
      </c>
      <c r="M15894" t="s">
        <v>43987</v>
      </c>
      <c r="N15894" t="s">
        <v>46569</v>
      </c>
      <c r="O15894" t="s">
        <v>46570</v>
      </c>
      <c r="P15894">
        <v>0</v>
      </c>
      <c r="Q15894">
        <v>17</v>
      </c>
      <c r="R15894" t="s">
        <v>46585</v>
      </c>
      <c r="S15894" t="s">
        <v>47146</v>
      </c>
      <c r="T15894" t="s">
        <v>48268</v>
      </c>
      <c r="U15894" t="s">
        <v>61524</v>
      </c>
      <c r="W15894" t="s">
        <v>43987</v>
      </c>
      <c r="X15894" t="s">
        <v>46586</v>
      </c>
    </row>
    <row r="15895" spans="1:24">
      <c r="A15895">
        <f>HYPERLINK("https://www.philgeps.gov.ph/GEPSNONPILOT/Tender/SplashBidNoticeAbstractUI.aspx?menuIndex=3&amp;refID=7038696&amp;Result=3","7038696")</f>
        <v>0</v>
      </c>
      <c r="B15895" t="s">
        <v>271</v>
      </c>
      <c r="C15895" t="s">
        <v>18683</v>
      </c>
      <c r="D15895" t="s">
        <v>18830</v>
      </c>
      <c r="E15895" t="s">
        <v>32586</v>
      </c>
      <c r="F15895" t="s">
        <v>32664</v>
      </c>
      <c r="G15895" t="s">
        <v>32672</v>
      </c>
      <c r="H15895" t="s">
        <v>12635</v>
      </c>
      <c r="I15895" t="s">
        <v>32704</v>
      </c>
      <c r="J15895" t="s">
        <v>42222</v>
      </c>
      <c r="K15895" t="s">
        <v>42311</v>
      </c>
      <c r="M15895" t="s">
        <v>42836</v>
      </c>
      <c r="N15895" t="s">
        <v>46569</v>
      </c>
      <c r="O15895" t="s">
        <v>46570</v>
      </c>
      <c r="Q15895">
        <v>50</v>
      </c>
      <c r="R15895" t="s">
        <v>46585</v>
      </c>
      <c r="S15895" t="s">
        <v>47186</v>
      </c>
      <c r="T15895" t="s">
        <v>48383</v>
      </c>
      <c r="U15895" t="s">
        <v>61525</v>
      </c>
      <c r="W15895" t="s">
        <v>42836</v>
      </c>
      <c r="X15895" t="s">
        <v>46586</v>
      </c>
    </row>
    <row r="15896" spans="1:24">
      <c r="A15896">
        <f>HYPERLINK("https://www.philgeps.gov.ph/GEPSNONPILOT/Tender/SplashBidNoticeAbstractUI.aspx?menuIndex=3&amp;refID=7038703&amp;Result=3","7038703")</f>
        <v>0</v>
      </c>
      <c r="B15896" t="s">
        <v>396</v>
      </c>
      <c r="C15896" t="s">
        <v>18684</v>
      </c>
      <c r="D15896" t="s">
        <v>18790</v>
      </c>
      <c r="E15896" t="s">
        <v>32587</v>
      </c>
      <c r="F15896" t="s">
        <v>32664</v>
      </c>
      <c r="G15896" t="s">
        <v>32672</v>
      </c>
      <c r="H15896" t="s">
        <v>12635</v>
      </c>
      <c r="I15896" t="s">
        <v>4439</v>
      </c>
      <c r="J15896" t="s">
        <v>42223</v>
      </c>
      <c r="K15896" t="s">
        <v>42283</v>
      </c>
      <c r="M15896" t="s">
        <v>45945</v>
      </c>
      <c r="N15896" t="s">
        <v>46569</v>
      </c>
      <c r="O15896" t="s">
        <v>46570</v>
      </c>
      <c r="P15896">
        <v>0</v>
      </c>
      <c r="Q15896">
        <v>0</v>
      </c>
      <c r="R15896" t="s">
        <v>46585</v>
      </c>
      <c r="S15896" t="s">
        <v>47146</v>
      </c>
      <c r="T15896" t="s">
        <v>48283</v>
      </c>
      <c r="U15896" t="s">
        <v>61526</v>
      </c>
      <c r="W15896" t="s">
        <v>45945</v>
      </c>
      <c r="X15896" t="s">
        <v>46586</v>
      </c>
    </row>
    <row r="15897" spans="1:24">
      <c r="A15897">
        <f>HYPERLINK("https://www.philgeps.gov.ph/GEPSNONPILOT/Tender/SplashBidNoticeAbstractUI.aspx?menuIndex=3&amp;refID=7038699&amp;Result=3","7038699")</f>
        <v>0</v>
      </c>
      <c r="B15897" t="s">
        <v>1257</v>
      </c>
      <c r="C15897" t="s">
        <v>18685</v>
      </c>
      <c r="E15897" t="s">
        <v>32588</v>
      </c>
      <c r="F15897" t="s">
        <v>32664</v>
      </c>
      <c r="G15897" t="s">
        <v>32672</v>
      </c>
      <c r="H15897" t="s">
        <v>12635</v>
      </c>
      <c r="I15897" t="s">
        <v>7709</v>
      </c>
      <c r="J15897" t="s">
        <v>42224</v>
      </c>
      <c r="K15897" t="s">
        <v>42283</v>
      </c>
      <c r="M15897" t="s">
        <v>43899</v>
      </c>
      <c r="N15897" t="s">
        <v>46569</v>
      </c>
      <c r="O15897" t="s">
        <v>46570</v>
      </c>
      <c r="P15897">
        <v>0</v>
      </c>
      <c r="Q15897">
        <v>0</v>
      </c>
      <c r="R15897" t="s">
        <v>46585</v>
      </c>
      <c r="S15897" t="s">
        <v>47146</v>
      </c>
      <c r="T15897" t="s">
        <v>48250</v>
      </c>
      <c r="U15897" t="s">
        <v>61527</v>
      </c>
      <c r="W15897" t="s">
        <v>43899</v>
      </c>
      <c r="X15897" t="s">
        <v>46586</v>
      </c>
    </row>
    <row r="15898" spans="1:24">
      <c r="A15898">
        <f>HYPERLINK("https://www.philgeps.gov.ph/GEPSNONPILOT/Tender/SplashBidNoticeAbstractUI.aspx?menuIndex=3&amp;refID=7039158&amp;Result=3","7039158")</f>
        <v>0</v>
      </c>
      <c r="B15898" t="s">
        <v>81</v>
      </c>
      <c r="C15898" t="s">
        <v>18686</v>
      </c>
      <c r="D15898" t="s">
        <v>18818</v>
      </c>
      <c r="E15898" t="s">
        <v>32589</v>
      </c>
      <c r="F15898" t="s">
        <v>32664</v>
      </c>
      <c r="G15898" t="s">
        <v>32672</v>
      </c>
      <c r="H15898" t="s">
        <v>32683</v>
      </c>
      <c r="I15898" t="s">
        <v>10627</v>
      </c>
      <c r="J15898" t="s">
        <v>42225</v>
      </c>
      <c r="K15898" t="s">
        <v>42388</v>
      </c>
      <c r="M15898" t="s">
        <v>42644</v>
      </c>
      <c r="N15898" t="s">
        <v>46569</v>
      </c>
      <c r="O15898" t="s">
        <v>46570</v>
      </c>
      <c r="P15898">
        <v>0</v>
      </c>
      <c r="Q15898">
        <v>0</v>
      </c>
      <c r="R15898" t="s">
        <v>46585</v>
      </c>
      <c r="S15898" t="s">
        <v>47146</v>
      </c>
      <c r="T15898" t="s">
        <v>48283</v>
      </c>
      <c r="U15898" t="s">
        <v>61528</v>
      </c>
      <c r="W15898" t="s">
        <v>42644</v>
      </c>
      <c r="X15898" t="s">
        <v>46586</v>
      </c>
    </row>
    <row r="15899" spans="1:24">
      <c r="A15899">
        <f>HYPERLINK("https://www.philgeps.gov.ph/GEPSNONPILOT/Tender/SplashBidNoticeAbstractUI.aspx?menuIndex=3&amp;refID=7041632&amp;Result=3","7041632")</f>
        <v>0</v>
      </c>
      <c r="B15899" t="s">
        <v>797</v>
      </c>
      <c r="C15899" t="s">
        <v>18687</v>
      </c>
      <c r="D15899" t="s">
        <v>18792</v>
      </c>
      <c r="E15899" t="s">
        <v>32590</v>
      </c>
      <c r="F15899" t="s">
        <v>32664</v>
      </c>
      <c r="G15899" t="s">
        <v>32672</v>
      </c>
      <c r="H15899" t="s">
        <v>12635</v>
      </c>
      <c r="I15899" t="s">
        <v>32719</v>
      </c>
      <c r="J15899" t="s">
        <v>42226</v>
      </c>
      <c r="K15899" t="s">
        <v>42281</v>
      </c>
      <c r="M15899" t="s">
        <v>43389</v>
      </c>
      <c r="N15899" t="s">
        <v>46569</v>
      </c>
      <c r="O15899" t="s">
        <v>46570</v>
      </c>
      <c r="P15899">
        <v>0</v>
      </c>
      <c r="Q15899">
        <v>3</v>
      </c>
      <c r="R15899" t="s">
        <v>46584</v>
      </c>
      <c r="S15899" t="s">
        <v>47063</v>
      </c>
      <c r="T15899" t="s">
        <v>48672</v>
      </c>
      <c r="U15899" t="s">
        <v>61529</v>
      </c>
      <c r="V15899" t="s">
        <v>63442</v>
      </c>
      <c r="W15899" t="s">
        <v>43389</v>
      </c>
      <c r="X15899" t="s">
        <v>46585</v>
      </c>
    </row>
    <row r="15900" spans="1:24">
      <c r="A15900">
        <f>HYPERLINK("https://www.philgeps.gov.ph/GEPSNONPILOT/Tender/SplashBidNoticeAbstractUI.aspx?menuIndex=3&amp;refID=7041627&amp;Result=3","7041627")</f>
        <v>0</v>
      </c>
      <c r="B15900" t="s">
        <v>3519</v>
      </c>
      <c r="C15900" t="s">
        <v>18688</v>
      </c>
      <c r="E15900" t="s">
        <v>20953</v>
      </c>
      <c r="F15900" t="s">
        <v>32664</v>
      </c>
      <c r="G15900" t="s">
        <v>32672</v>
      </c>
      <c r="H15900" t="s">
        <v>12635</v>
      </c>
      <c r="I15900" t="s">
        <v>4439</v>
      </c>
      <c r="J15900" t="s">
        <v>42227</v>
      </c>
      <c r="K15900" t="s">
        <v>42297</v>
      </c>
      <c r="M15900" t="s">
        <v>46556</v>
      </c>
      <c r="N15900" t="s">
        <v>46569</v>
      </c>
      <c r="O15900" t="s">
        <v>46570</v>
      </c>
      <c r="P15900">
        <v>0</v>
      </c>
      <c r="Q15900">
        <v>3</v>
      </c>
      <c r="R15900" t="s">
        <v>46584</v>
      </c>
      <c r="S15900" t="s">
        <v>47063</v>
      </c>
      <c r="T15900" t="s">
        <v>48226</v>
      </c>
      <c r="U15900" t="s">
        <v>61530</v>
      </c>
      <c r="V15900" t="s">
        <v>63443</v>
      </c>
      <c r="W15900" t="s">
        <v>46556</v>
      </c>
      <c r="X15900" t="s">
        <v>46585</v>
      </c>
    </row>
    <row r="15901" spans="1:24">
      <c r="A15901">
        <f>HYPERLINK("https://www.philgeps.gov.ph/GEPSNONPILOT/Tender/SplashBidNoticeAbstractUI.aspx?menuIndex=3&amp;refID=7038704&amp;Result=3","7038704")</f>
        <v>0</v>
      </c>
      <c r="B15901" t="s">
        <v>885</v>
      </c>
      <c r="C15901" t="s">
        <v>18689</v>
      </c>
      <c r="D15901" t="s">
        <v>18819</v>
      </c>
      <c r="E15901" t="s">
        <v>32591</v>
      </c>
      <c r="F15901" t="s">
        <v>32664</v>
      </c>
      <c r="G15901" t="s">
        <v>32672</v>
      </c>
      <c r="H15901" t="s">
        <v>32683</v>
      </c>
      <c r="I15901" t="s">
        <v>10627</v>
      </c>
      <c r="J15901" t="s">
        <v>42228</v>
      </c>
      <c r="K15901" t="s">
        <v>42290</v>
      </c>
      <c r="M15901" t="s">
        <v>46210</v>
      </c>
      <c r="N15901" t="s">
        <v>46569</v>
      </c>
      <c r="O15901" t="s">
        <v>46570</v>
      </c>
      <c r="P15901">
        <v>0</v>
      </c>
      <c r="Q15901">
        <v>0</v>
      </c>
      <c r="R15901" t="s">
        <v>46585</v>
      </c>
      <c r="S15901" t="s">
        <v>47146</v>
      </c>
      <c r="T15901" t="s">
        <v>48370</v>
      </c>
      <c r="U15901" t="s">
        <v>61531</v>
      </c>
      <c r="W15901" t="s">
        <v>46210</v>
      </c>
      <c r="X15901" t="s">
        <v>46586</v>
      </c>
    </row>
    <row r="15902" spans="1:24">
      <c r="A15902">
        <f>HYPERLINK("https://www.philgeps.gov.ph/GEPSNONPILOT/Tender/SplashBidNoticeAbstractUI.aspx?menuIndex=3&amp;refID=7041578&amp;Result=3","7041578")</f>
        <v>0</v>
      </c>
      <c r="B15902" t="s">
        <v>1838</v>
      </c>
      <c r="C15902" t="s">
        <v>18690</v>
      </c>
      <c r="D15902" t="s">
        <v>18799</v>
      </c>
      <c r="E15902" t="s">
        <v>32592</v>
      </c>
      <c r="F15902" t="s">
        <v>32664</v>
      </c>
      <c r="G15902" t="s">
        <v>32674</v>
      </c>
      <c r="H15902" t="s">
        <v>12635</v>
      </c>
      <c r="I15902" t="s">
        <v>32694</v>
      </c>
      <c r="J15902" t="s">
        <v>33051</v>
      </c>
      <c r="K15902" t="s">
        <v>42283</v>
      </c>
      <c r="M15902" t="s">
        <v>44546</v>
      </c>
      <c r="N15902" t="s">
        <v>46569</v>
      </c>
      <c r="O15902" t="s">
        <v>46570</v>
      </c>
      <c r="Q15902">
        <v>4</v>
      </c>
      <c r="R15902" t="s">
        <v>46584</v>
      </c>
      <c r="S15902" t="s">
        <v>48208</v>
      </c>
      <c r="T15902" t="s">
        <v>48473</v>
      </c>
      <c r="U15902" t="s">
        <v>49565</v>
      </c>
      <c r="W15902" t="s">
        <v>44546</v>
      </c>
      <c r="X15902" t="s">
        <v>46585</v>
      </c>
    </row>
    <row r="15903" spans="1:24">
      <c r="A15903">
        <f>HYPERLINK("https://www.philgeps.gov.ph/GEPSNONPILOT/Tender/SplashBidNoticeAbstractUI.aspx?menuIndex=3&amp;refID=7041563&amp;Result=3","7041563")</f>
        <v>0</v>
      </c>
      <c r="B15903" t="s">
        <v>1133</v>
      </c>
      <c r="C15903" t="s">
        <v>18691</v>
      </c>
      <c r="D15903" t="s">
        <v>18858</v>
      </c>
      <c r="E15903" t="s">
        <v>32593</v>
      </c>
      <c r="F15903" t="s">
        <v>32664</v>
      </c>
      <c r="G15903" t="s">
        <v>32672</v>
      </c>
      <c r="H15903" t="s">
        <v>32683</v>
      </c>
      <c r="I15903" t="s">
        <v>10627</v>
      </c>
      <c r="J15903" t="s">
        <v>42229</v>
      </c>
      <c r="K15903" t="s">
        <v>42311</v>
      </c>
      <c r="M15903" t="s">
        <v>43762</v>
      </c>
      <c r="N15903" t="s">
        <v>46569</v>
      </c>
      <c r="O15903" t="s">
        <v>46570</v>
      </c>
      <c r="P15903">
        <v>0</v>
      </c>
      <c r="Q15903">
        <v>0</v>
      </c>
      <c r="R15903" t="s">
        <v>46584</v>
      </c>
      <c r="S15903" t="s">
        <v>47063</v>
      </c>
      <c r="T15903" t="s">
        <v>48304</v>
      </c>
      <c r="U15903" t="s">
        <v>61532</v>
      </c>
      <c r="W15903" t="s">
        <v>43762</v>
      </c>
      <c r="X15903" t="s">
        <v>46585</v>
      </c>
    </row>
    <row r="15904" spans="1:24">
      <c r="A15904">
        <f>HYPERLINK("https://www.philgeps.gov.ph/GEPSNONPILOT/Tender/SplashBidNoticeAbstractUI.aspx?menuIndex=3&amp;refID=7038680&amp;Result=3","7038680")</f>
        <v>0</v>
      </c>
      <c r="B15904" t="s">
        <v>3013</v>
      </c>
      <c r="C15904" t="s">
        <v>18692</v>
      </c>
      <c r="D15904" t="s">
        <v>18810</v>
      </c>
      <c r="E15904" t="s">
        <v>32594</v>
      </c>
      <c r="F15904" t="s">
        <v>32664</v>
      </c>
      <c r="G15904" t="s">
        <v>32672</v>
      </c>
      <c r="H15904" t="s">
        <v>32683</v>
      </c>
      <c r="I15904" t="s">
        <v>6553</v>
      </c>
      <c r="J15904" t="s">
        <v>42230</v>
      </c>
      <c r="K15904" t="s">
        <v>42281</v>
      </c>
      <c r="M15904" t="s">
        <v>45885</v>
      </c>
      <c r="N15904" t="s">
        <v>46569</v>
      </c>
      <c r="O15904" t="s">
        <v>46570</v>
      </c>
      <c r="P15904">
        <v>0</v>
      </c>
      <c r="Q15904">
        <v>0</v>
      </c>
      <c r="R15904" t="s">
        <v>46585</v>
      </c>
      <c r="S15904" t="s">
        <v>47146</v>
      </c>
      <c r="T15904" t="s">
        <v>48321</v>
      </c>
      <c r="U15904" t="s">
        <v>61533</v>
      </c>
      <c r="W15904" t="s">
        <v>45885</v>
      </c>
      <c r="X15904" t="s">
        <v>46586</v>
      </c>
    </row>
    <row r="15905" spans="1:24">
      <c r="A15905">
        <f>HYPERLINK("https://www.philgeps.gov.ph/GEPSNONPILOT/Tender/SplashBidNoticeAbstractUI.aspx?menuIndex=3&amp;refID=7041546&amp;Result=3","7041546")</f>
        <v>0</v>
      </c>
      <c r="B15905" t="s">
        <v>2870</v>
      </c>
      <c r="C15905" t="s">
        <v>18693</v>
      </c>
      <c r="E15905" t="s">
        <v>32595</v>
      </c>
      <c r="F15905" t="s">
        <v>32664</v>
      </c>
      <c r="G15905" t="s">
        <v>32677</v>
      </c>
      <c r="H15905" t="s">
        <v>12635</v>
      </c>
      <c r="I15905" t="s">
        <v>32747</v>
      </c>
      <c r="J15905" t="s">
        <v>42231</v>
      </c>
      <c r="K15905" t="s">
        <v>42283</v>
      </c>
      <c r="M15905" t="s">
        <v>46411</v>
      </c>
      <c r="N15905" t="s">
        <v>46569</v>
      </c>
      <c r="O15905" t="s">
        <v>46570</v>
      </c>
      <c r="Q15905">
        <v>6</v>
      </c>
      <c r="R15905" t="s">
        <v>46584</v>
      </c>
      <c r="S15905" t="s">
        <v>48209</v>
      </c>
      <c r="T15905" t="s">
        <v>48368</v>
      </c>
      <c r="U15905" t="s">
        <v>61534</v>
      </c>
      <c r="W15905" t="s">
        <v>46411</v>
      </c>
      <c r="X15905" t="s">
        <v>46585</v>
      </c>
    </row>
    <row r="15906" spans="1:24">
      <c r="A15906">
        <f>HYPERLINK("https://www.philgeps.gov.ph/GEPSNONPILOT/Tender/SplashBidNoticeAbstractUI.aspx?menuIndex=3&amp;refID=7041377&amp;Result=3","7041377")</f>
        <v>0</v>
      </c>
      <c r="B15906" t="s">
        <v>1967</v>
      </c>
      <c r="C15906" t="s">
        <v>18694</v>
      </c>
      <c r="D15906" t="s">
        <v>18820</v>
      </c>
      <c r="E15906" t="s">
        <v>32596</v>
      </c>
      <c r="F15906" t="s">
        <v>32664</v>
      </c>
      <c r="G15906" t="s">
        <v>32672</v>
      </c>
      <c r="H15906" t="s">
        <v>12635</v>
      </c>
      <c r="I15906" t="s">
        <v>11464</v>
      </c>
      <c r="J15906" t="s">
        <v>32930</v>
      </c>
      <c r="K15906" t="s">
        <v>42289</v>
      </c>
      <c r="M15906" t="s">
        <v>44700</v>
      </c>
      <c r="N15906" t="s">
        <v>46569</v>
      </c>
      <c r="O15906" t="s">
        <v>46570</v>
      </c>
      <c r="P15906">
        <v>0</v>
      </c>
      <c r="Q15906">
        <v>4</v>
      </c>
      <c r="R15906" t="s">
        <v>46584</v>
      </c>
      <c r="S15906" t="s">
        <v>47063</v>
      </c>
      <c r="T15906" t="s">
        <v>48226</v>
      </c>
      <c r="U15906" t="s">
        <v>61535</v>
      </c>
      <c r="W15906" t="s">
        <v>44700</v>
      </c>
      <c r="X15906" t="s">
        <v>46585</v>
      </c>
    </row>
    <row r="15907" spans="1:24">
      <c r="A15907">
        <f>HYPERLINK("https://www.philgeps.gov.ph/GEPSNONPILOT/Tender/SplashBidNoticeAbstractUI.aspx?menuIndex=3&amp;refID=7041368&amp;Result=3","7041368")</f>
        <v>0</v>
      </c>
      <c r="B15907" t="s">
        <v>1967</v>
      </c>
      <c r="C15907" t="s">
        <v>18695</v>
      </c>
      <c r="D15907" t="s">
        <v>18820</v>
      </c>
      <c r="E15907" t="s">
        <v>32597</v>
      </c>
      <c r="F15907" t="s">
        <v>32664</v>
      </c>
      <c r="G15907" t="s">
        <v>32672</v>
      </c>
      <c r="H15907" t="s">
        <v>12635</v>
      </c>
      <c r="I15907" t="s">
        <v>11464</v>
      </c>
      <c r="J15907" t="s">
        <v>32930</v>
      </c>
      <c r="K15907" t="s">
        <v>42289</v>
      </c>
      <c r="M15907" t="s">
        <v>44700</v>
      </c>
      <c r="N15907" t="s">
        <v>46569</v>
      </c>
      <c r="O15907" t="s">
        <v>46570</v>
      </c>
      <c r="P15907">
        <v>0</v>
      </c>
      <c r="Q15907">
        <v>9</v>
      </c>
      <c r="R15907" t="s">
        <v>46584</v>
      </c>
      <c r="S15907" t="s">
        <v>47063</v>
      </c>
      <c r="T15907" t="s">
        <v>48226</v>
      </c>
      <c r="U15907" t="s">
        <v>61535</v>
      </c>
      <c r="W15907" t="s">
        <v>44700</v>
      </c>
      <c r="X15907" t="s">
        <v>46585</v>
      </c>
    </row>
    <row r="15908" spans="1:24">
      <c r="A15908">
        <f>HYPERLINK("https://www.philgeps.gov.ph/GEPSNONPILOT/Tender/SplashBidNoticeAbstractUI.aspx?menuIndex=3&amp;refID=7039269&amp;Result=3","7039269")</f>
        <v>0</v>
      </c>
      <c r="B15908" t="s">
        <v>690</v>
      </c>
      <c r="C15908" t="s">
        <v>18696</v>
      </c>
      <c r="D15908" t="s">
        <v>18781</v>
      </c>
      <c r="E15908" t="s">
        <v>32598</v>
      </c>
      <c r="F15908" t="s">
        <v>32664</v>
      </c>
      <c r="G15908" t="s">
        <v>32672</v>
      </c>
      <c r="H15908" t="s">
        <v>32683</v>
      </c>
      <c r="I15908" t="s">
        <v>10627</v>
      </c>
      <c r="J15908" t="s">
        <v>34131</v>
      </c>
      <c r="K15908" t="s">
        <v>42311</v>
      </c>
      <c r="L15908" t="s">
        <v>690</v>
      </c>
      <c r="M15908" t="s">
        <v>45601</v>
      </c>
      <c r="N15908" t="s">
        <v>46569</v>
      </c>
      <c r="O15908" t="s">
        <v>46570</v>
      </c>
      <c r="P15908">
        <v>0</v>
      </c>
      <c r="Q15908">
        <v>2</v>
      </c>
      <c r="R15908" t="s">
        <v>46585</v>
      </c>
      <c r="S15908" t="s">
        <v>47146</v>
      </c>
      <c r="T15908" t="s">
        <v>48330</v>
      </c>
      <c r="U15908" t="s">
        <v>59294</v>
      </c>
      <c r="W15908" t="s">
        <v>45601</v>
      </c>
      <c r="X15908" t="s">
        <v>46586</v>
      </c>
    </row>
    <row r="15909" spans="1:24">
      <c r="A15909">
        <f>HYPERLINK("https://www.philgeps.gov.ph/GEPSNONPILOT/Tender/SplashBidNoticeAbstractUI.aspx?menuIndex=3&amp;refID=7041367&amp;Result=3","7041367")</f>
        <v>0</v>
      </c>
      <c r="B15909" t="s">
        <v>3226</v>
      </c>
      <c r="C15909" t="s">
        <v>18697</v>
      </c>
      <c r="D15909" t="s">
        <v>18805</v>
      </c>
      <c r="E15909" t="s">
        <v>32599</v>
      </c>
      <c r="F15909" t="s">
        <v>32664</v>
      </c>
      <c r="G15909" t="s">
        <v>32672</v>
      </c>
      <c r="H15909" t="s">
        <v>12635</v>
      </c>
      <c r="I15909" t="s">
        <v>11464</v>
      </c>
      <c r="J15909" t="s">
        <v>32962</v>
      </c>
      <c r="K15909" t="s">
        <v>42281</v>
      </c>
      <c r="M15909" t="s">
        <v>46146</v>
      </c>
      <c r="N15909" t="s">
        <v>46569</v>
      </c>
      <c r="O15909" t="s">
        <v>46570</v>
      </c>
      <c r="P15909">
        <v>0</v>
      </c>
      <c r="Q15909">
        <v>2</v>
      </c>
      <c r="R15909" t="s">
        <v>46584</v>
      </c>
      <c r="S15909" t="s">
        <v>47063</v>
      </c>
      <c r="T15909" t="s">
        <v>48661</v>
      </c>
      <c r="U15909" t="s">
        <v>61536</v>
      </c>
      <c r="W15909" t="s">
        <v>46146</v>
      </c>
      <c r="X15909" t="s">
        <v>46585</v>
      </c>
    </row>
    <row r="15910" spans="1:24">
      <c r="A15910">
        <f>HYPERLINK("https://www.philgeps.gov.ph/GEPSNONPILOT/Tender/SplashBidNoticeAbstractUI.aspx?menuIndex=3&amp;refID=7041365&amp;Result=3","7041365")</f>
        <v>0</v>
      </c>
      <c r="B15910" t="s">
        <v>3228</v>
      </c>
      <c r="C15910" t="s">
        <v>18698</v>
      </c>
      <c r="D15910" t="s">
        <v>18813</v>
      </c>
      <c r="E15910" t="s">
        <v>19193</v>
      </c>
      <c r="F15910" t="s">
        <v>32664</v>
      </c>
      <c r="G15910" t="s">
        <v>32672</v>
      </c>
      <c r="H15910" t="s">
        <v>12635</v>
      </c>
      <c r="I15910" t="s">
        <v>4439</v>
      </c>
      <c r="J15910" t="s">
        <v>42232</v>
      </c>
      <c r="K15910" t="s">
        <v>42289</v>
      </c>
      <c r="M15910" t="s">
        <v>46148</v>
      </c>
      <c r="N15910" t="s">
        <v>46569</v>
      </c>
      <c r="O15910" t="s">
        <v>46570</v>
      </c>
      <c r="P15910">
        <v>0</v>
      </c>
      <c r="Q15910">
        <v>1</v>
      </c>
      <c r="R15910" t="s">
        <v>46584</v>
      </c>
      <c r="S15910" t="s">
        <v>47063</v>
      </c>
      <c r="T15910" t="s">
        <v>48303</v>
      </c>
      <c r="U15910" t="s">
        <v>61537</v>
      </c>
      <c r="W15910" t="s">
        <v>46148</v>
      </c>
      <c r="X15910" t="s">
        <v>46585</v>
      </c>
    </row>
    <row r="15911" spans="1:24">
      <c r="A15911">
        <f>HYPERLINK("https://www.philgeps.gov.ph/GEPSNONPILOT/Tender/SplashBidNoticeAbstractUI.aspx?menuIndex=3&amp;refID=7041354&amp;Result=3","7041354")</f>
        <v>0</v>
      </c>
      <c r="B15911" t="s">
        <v>3226</v>
      </c>
      <c r="C15911" t="s">
        <v>18699</v>
      </c>
      <c r="D15911" t="s">
        <v>18805</v>
      </c>
      <c r="E15911" t="s">
        <v>32600</v>
      </c>
      <c r="F15911" t="s">
        <v>32664</v>
      </c>
      <c r="G15911" t="s">
        <v>32672</v>
      </c>
      <c r="H15911" t="s">
        <v>12635</v>
      </c>
      <c r="I15911" t="s">
        <v>11464</v>
      </c>
      <c r="J15911" t="s">
        <v>32837</v>
      </c>
      <c r="K15911" t="s">
        <v>42281</v>
      </c>
      <c r="M15911" t="s">
        <v>46146</v>
      </c>
      <c r="N15911" t="s">
        <v>46569</v>
      </c>
      <c r="O15911" t="s">
        <v>46570</v>
      </c>
      <c r="P15911">
        <v>0</v>
      </c>
      <c r="Q15911">
        <v>2</v>
      </c>
      <c r="R15911" t="s">
        <v>46584</v>
      </c>
      <c r="S15911" t="s">
        <v>47063</v>
      </c>
      <c r="T15911" t="s">
        <v>48661</v>
      </c>
      <c r="U15911" t="s">
        <v>61538</v>
      </c>
      <c r="W15911" t="s">
        <v>46146</v>
      </c>
      <c r="X15911" t="s">
        <v>46585</v>
      </c>
    </row>
    <row r="15912" spans="1:24">
      <c r="A15912">
        <f>HYPERLINK("https://www.philgeps.gov.ph/GEPSNONPILOT/Tender/SplashBidNoticeAbstractUI.aspx?menuIndex=3&amp;refID=7041347&amp;Result=3","7041347")</f>
        <v>0</v>
      </c>
      <c r="B15912" t="s">
        <v>1967</v>
      </c>
      <c r="C15912" t="s">
        <v>18700</v>
      </c>
      <c r="D15912" t="s">
        <v>18820</v>
      </c>
      <c r="E15912" t="s">
        <v>32601</v>
      </c>
      <c r="F15912" t="s">
        <v>32664</v>
      </c>
      <c r="G15912" t="s">
        <v>32672</v>
      </c>
      <c r="H15912" t="s">
        <v>12635</v>
      </c>
      <c r="I15912" t="s">
        <v>11464</v>
      </c>
      <c r="J15912" t="s">
        <v>32930</v>
      </c>
      <c r="K15912" t="s">
        <v>42289</v>
      </c>
      <c r="M15912" t="s">
        <v>44700</v>
      </c>
      <c r="N15912" t="s">
        <v>46569</v>
      </c>
      <c r="O15912" t="s">
        <v>46570</v>
      </c>
      <c r="P15912">
        <v>0</v>
      </c>
      <c r="Q15912">
        <v>5</v>
      </c>
      <c r="R15912" t="s">
        <v>46584</v>
      </c>
      <c r="S15912" t="s">
        <v>47063</v>
      </c>
      <c r="T15912" t="s">
        <v>48226</v>
      </c>
      <c r="U15912" t="s">
        <v>61535</v>
      </c>
      <c r="W15912" t="s">
        <v>44700</v>
      </c>
      <c r="X15912" t="s">
        <v>46585</v>
      </c>
    </row>
    <row r="15913" spans="1:24">
      <c r="A15913">
        <f>HYPERLINK("https://www.philgeps.gov.ph/GEPSNONPILOT/Tender/SplashBidNoticeAbstractUI.aspx?menuIndex=3&amp;refID=7041344&amp;Result=3","7041344")</f>
        <v>0</v>
      </c>
      <c r="B15913" t="s">
        <v>678</v>
      </c>
      <c r="C15913" t="s">
        <v>18618</v>
      </c>
      <c r="E15913" t="s">
        <v>32602</v>
      </c>
      <c r="F15913" t="s">
        <v>32664</v>
      </c>
      <c r="G15913" t="s">
        <v>32672</v>
      </c>
      <c r="H15913" t="s">
        <v>12635</v>
      </c>
      <c r="I15913" t="s">
        <v>32696</v>
      </c>
      <c r="J15913" t="s">
        <v>37826</v>
      </c>
      <c r="K15913" t="s">
        <v>42283</v>
      </c>
      <c r="M15913" t="s">
        <v>43265</v>
      </c>
      <c r="N15913" t="s">
        <v>46569</v>
      </c>
      <c r="O15913" t="s">
        <v>46570</v>
      </c>
      <c r="P15913">
        <v>0</v>
      </c>
      <c r="Q15913">
        <v>2</v>
      </c>
      <c r="R15913" t="s">
        <v>46584</v>
      </c>
      <c r="S15913" t="s">
        <v>47063</v>
      </c>
      <c r="T15913" t="s">
        <v>48580</v>
      </c>
      <c r="U15913" t="s">
        <v>58927</v>
      </c>
      <c r="W15913" t="s">
        <v>43265</v>
      </c>
      <c r="X15913" t="s">
        <v>46585</v>
      </c>
    </row>
    <row r="15914" spans="1:24">
      <c r="A15914">
        <f>HYPERLINK("https://www.philgeps.gov.ph/GEPSNONPILOT/Tender/SplashBidNoticeAbstractUI.aspx?menuIndex=3&amp;refID=7041591&amp;Result=3","7041591")</f>
        <v>0</v>
      </c>
      <c r="B15914" t="s">
        <v>2700</v>
      </c>
      <c r="C15914" t="s">
        <v>18701</v>
      </c>
      <c r="D15914" t="s">
        <v>18785</v>
      </c>
      <c r="E15914" t="s">
        <v>32603</v>
      </c>
      <c r="F15914" t="s">
        <v>32664</v>
      </c>
      <c r="G15914" t="s">
        <v>32673</v>
      </c>
      <c r="H15914" t="s">
        <v>32683</v>
      </c>
      <c r="I15914" t="s">
        <v>32723</v>
      </c>
      <c r="J15914" t="s">
        <v>34489</v>
      </c>
      <c r="K15914" t="s">
        <v>42290</v>
      </c>
      <c r="M15914" t="s">
        <v>46557</v>
      </c>
      <c r="N15914" t="s">
        <v>46569</v>
      </c>
      <c r="O15914" t="s">
        <v>46570</v>
      </c>
      <c r="P15914">
        <v>0</v>
      </c>
      <c r="Q15914">
        <v>0</v>
      </c>
      <c r="R15914" t="s">
        <v>46584</v>
      </c>
      <c r="S15914" t="s">
        <v>47063</v>
      </c>
      <c r="T15914" t="s">
        <v>48258</v>
      </c>
      <c r="U15914" t="s">
        <v>61539</v>
      </c>
      <c r="V15914" t="s">
        <v>63444</v>
      </c>
      <c r="W15914" t="s">
        <v>46557</v>
      </c>
      <c r="X15914" t="s">
        <v>46585</v>
      </c>
    </row>
    <row r="15915" spans="1:24">
      <c r="A15915">
        <f>HYPERLINK("https://www.philgeps.gov.ph/GEPSNONPILOT/Tender/SplashBidNoticeAbstractUI.aspx?menuIndex=3&amp;refID=7041234&amp;Result=3","7041234")</f>
        <v>0</v>
      </c>
      <c r="B15915" t="s">
        <v>2114</v>
      </c>
      <c r="C15915" t="s">
        <v>18702</v>
      </c>
      <c r="D15915" t="s">
        <v>18857</v>
      </c>
      <c r="E15915" t="s">
        <v>32604</v>
      </c>
      <c r="F15915" t="s">
        <v>32664</v>
      </c>
      <c r="G15915" t="s">
        <v>32672</v>
      </c>
      <c r="H15915" t="s">
        <v>12635</v>
      </c>
      <c r="I15915" t="s">
        <v>32706</v>
      </c>
      <c r="J15915" t="s">
        <v>42233</v>
      </c>
      <c r="K15915" t="s">
        <v>42281</v>
      </c>
      <c r="M15915" t="s">
        <v>44869</v>
      </c>
      <c r="N15915" t="s">
        <v>46569</v>
      </c>
      <c r="O15915" t="s">
        <v>46570</v>
      </c>
      <c r="P15915">
        <v>0</v>
      </c>
      <c r="Q15915">
        <v>1</v>
      </c>
      <c r="R15915" t="s">
        <v>46584</v>
      </c>
      <c r="S15915" t="s">
        <v>47063</v>
      </c>
      <c r="T15915" t="s">
        <v>48452</v>
      </c>
      <c r="U15915" t="s">
        <v>61540</v>
      </c>
      <c r="W15915" t="s">
        <v>44869</v>
      </c>
      <c r="X15915" t="s">
        <v>46585</v>
      </c>
    </row>
    <row r="15916" spans="1:24">
      <c r="A15916">
        <f>HYPERLINK("https://www.philgeps.gov.ph/GEPSNONPILOT/Tender/SplashBidNoticeAbstractUI.aspx?menuIndex=3&amp;refID=7041219&amp;Result=3","7041219")</f>
        <v>0</v>
      </c>
      <c r="B15916" t="s">
        <v>679</v>
      </c>
      <c r="C15916" t="s">
        <v>18703</v>
      </c>
      <c r="D15916" t="s">
        <v>18831</v>
      </c>
      <c r="E15916" t="s">
        <v>32605</v>
      </c>
      <c r="F15916" t="s">
        <v>32664</v>
      </c>
      <c r="G15916" t="s">
        <v>32672</v>
      </c>
      <c r="H15916" t="s">
        <v>12635</v>
      </c>
      <c r="I15916" t="s">
        <v>32699</v>
      </c>
      <c r="J15916" t="s">
        <v>33267</v>
      </c>
      <c r="K15916" t="s">
        <v>42281</v>
      </c>
      <c r="M15916" t="s">
        <v>43266</v>
      </c>
      <c r="N15916" t="s">
        <v>46569</v>
      </c>
      <c r="O15916" t="s">
        <v>46570</v>
      </c>
      <c r="P15916">
        <v>0</v>
      </c>
      <c r="Q15916">
        <v>0</v>
      </c>
      <c r="R15916" t="s">
        <v>46584</v>
      </c>
      <c r="S15916" t="s">
        <v>47063</v>
      </c>
      <c r="T15916" t="s">
        <v>48226</v>
      </c>
      <c r="U15916" t="s">
        <v>58926</v>
      </c>
      <c r="V15916" t="s">
        <v>63016</v>
      </c>
      <c r="W15916" t="s">
        <v>43266</v>
      </c>
      <c r="X15916" t="s">
        <v>46585</v>
      </c>
    </row>
    <row r="15917" spans="1:24">
      <c r="A15917">
        <f>HYPERLINK("https://www.philgeps.gov.ph/GEPSNONPILOT/Tender/SplashBidNoticeAbstractUI.aspx?menuIndex=3&amp;refID=7041633&amp;Result=3","7041633")</f>
        <v>0</v>
      </c>
      <c r="B15917" t="s">
        <v>335</v>
      </c>
      <c r="C15917" t="s">
        <v>18704</v>
      </c>
      <c r="D15917" t="s">
        <v>18784</v>
      </c>
      <c r="E15917" t="s">
        <v>32606</v>
      </c>
      <c r="F15917" t="s">
        <v>32664</v>
      </c>
      <c r="G15917" t="s">
        <v>32672</v>
      </c>
      <c r="H15917" t="s">
        <v>32683</v>
      </c>
      <c r="I15917" t="s">
        <v>10627</v>
      </c>
      <c r="J15917" t="s">
        <v>42234</v>
      </c>
      <c r="K15917" t="s">
        <v>42311</v>
      </c>
      <c r="M15917" t="s">
        <v>46558</v>
      </c>
      <c r="N15917" t="s">
        <v>46569</v>
      </c>
      <c r="O15917" t="s">
        <v>46570</v>
      </c>
      <c r="P15917">
        <v>0</v>
      </c>
      <c r="Q15917">
        <v>2</v>
      </c>
      <c r="R15917" t="s">
        <v>46584</v>
      </c>
      <c r="S15917" t="s">
        <v>47063</v>
      </c>
      <c r="T15917" t="s">
        <v>48487</v>
      </c>
      <c r="U15917" t="s">
        <v>61541</v>
      </c>
      <c r="W15917" t="s">
        <v>46558</v>
      </c>
      <c r="X15917" t="s">
        <v>46585</v>
      </c>
    </row>
    <row r="15918" spans="1:24">
      <c r="A15918">
        <f>HYPERLINK("https://www.philgeps.gov.ph/GEPSNONPILOT/Tender/SplashBidNoticeAbstractUI.aspx?menuIndex=3&amp;refID=7040456&amp;Result=3","7040456")</f>
        <v>0</v>
      </c>
      <c r="B15918" t="s">
        <v>3223</v>
      </c>
      <c r="C15918" t="s">
        <v>18705</v>
      </c>
      <c r="E15918" t="s">
        <v>29959</v>
      </c>
      <c r="F15918" t="s">
        <v>32664</v>
      </c>
      <c r="G15918" t="s">
        <v>32672</v>
      </c>
      <c r="H15918" t="s">
        <v>12635</v>
      </c>
      <c r="I15918" t="s">
        <v>4439</v>
      </c>
      <c r="J15918" t="s">
        <v>42235</v>
      </c>
      <c r="K15918" t="s">
        <v>42289</v>
      </c>
      <c r="M15918" t="s">
        <v>46143</v>
      </c>
      <c r="N15918" t="s">
        <v>46569</v>
      </c>
      <c r="O15918" t="s">
        <v>46570</v>
      </c>
      <c r="P15918">
        <v>0</v>
      </c>
      <c r="Q15918">
        <v>0</v>
      </c>
      <c r="R15918" t="s">
        <v>46584</v>
      </c>
      <c r="S15918" t="s">
        <v>47063</v>
      </c>
      <c r="T15918" t="s">
        <v>48330</v>
      </c>
      <c r="U15918" t="s">
        <v>58916</v>
      </c>
      <c r="W15918" t="s">
        <v>46143</v>
      </c>
      <c r="X15918" t="s">
        <v>46586</v>
      </c>
    </row>
    <row r="15919" spans="1:24">
      <c r="A15919">
        <f>HYPERLINK("https://www.philgeps.gov.ph/GEPSNONPILOT/Tender/SplashBidNoticeAbstractUI.aspx?menuIndex=3&amp;refID=7041372&amp;Result=3","7041372")</f>
        <v>0</v>
      </c>
      <c r="B15919" t="s">
        <v>704</v>
      </c>
      <c r="C15919" t="s">
        <v>18706</v>
      </c>
      <c r="D15919" t="s">
        <v>18816</v>
      </c>
      <c r="E15919" t="s">
        <v>20015</v>
      </c>
      <c r="F15919" t="s">
        <v>32664</v>
      </c>
      <c r="G15919" t="s">
        <v>32672</v>
      </c>
      <c r="H15919" t="s">
        <v>12635</v>
      </c>
      <c r="I15919" t="s">
        <v>4439</v>
      </c>
      <c r="J15919" t="s">
        <v>33751</v>
      </c>
      <c r="K15919" t="s">
        <v>42283</v>
      </c>
      <c r="M15919" t="s">
        <v>43291</v>
      </c>
      <c r="N15919" t="s">
        <v>46569</v>
      </c>
      <c r="O15919" t="s">
        <v>46570</v>
      </c>
      <c r="P15919">
        <v>0</v>
      </c>
      <c r="Q15919">
        <v>0</v>
      </c>
      <c r="R15919" t="s">
        <v>46584</v>
      </c>
      <c r="S15919" t="s">
        <v>47063</v>
      </c>
      <c r="T15919" t="s">
        <v>48296</v>
      </c>
      <c r="U15919" t="s">
        <v>50103</v>
      </c>
      <c r="W15919" t="s">
        <v>43291</v>
      </c>
      <c r="X15919" t="s">
        <v>46585</v>
      </c>
    </row>
    <row r="15920" spans="1:24">
      <c r="A15920">
        <f>HYPERLINK("https://www.philgeps.gov.ph/GEPSNONPILOT/Tender/SplashBidNoticeAbstractUI.aspx?menuIndex=3&amp;refID=7040434&amp;Result=3","7040434")</f>
        <v>0</v>
      </c>
      <c r="B15920" t="s">
        <v>3214</v>
      </c>
      <c r="C15920" t="s">
        <v>18707</v>
      </c>
      <c r="D15920" t="s">
        <v>18827</v>
      </c>
      <c r="E15920" t="s">
        <v>32607</v>
      </c>
      <c r="F15920" t="s">
        <v>32664</v>
      </c>
      <c r="G15920" t="s">
        <v>32672</v>
      </c>
      <c r="H15920" t="s">
        <v>32683</v>
      </c>
      <c r="I15920" t="s">
        <v>10627</v>
      </c>
      <c r="J15920" t="s">
        <v>32943</v>
      </c>
      <c r="K15920" t="s">
        <v>42283</v>
      </c>
      <c r="M15920" t="s">
        <v>46134</v>
      </c>
      <c r="N15920" t="s">
        <v>46569</v>
      </c>
      <c r="O15920" t="s">
        <v>46570</v>
      </c>
      <c r="P15920">
        <v>0</v>
      </c>
      <c r="Q15920">
        <v>1</v>
      </c>
      <c r="R15920" t="s">
        <v>46584</v>
      </c>
      <c r="S15920" t="s">
        <v>47063</v>
      </c>
      <c r="T15920" t="s">
        <v>48248</v>
      </c>
      <c r="U15920" t="s">
        <v>61542</v>
      </c>
      <c r="W15920" t="s">
        <v>46134</v>
      </c>
      <c r="X15920" t="s">
        <v>46586</v>
      </c>
    </row>
    <row r="15921" spans="1:24">
      <c r="A15921">
        <f>HYPERLINK("https://www.philgeps.gov.ph/GEPSNONPILOT/Tender/SplashBidNoticeAbstractUI.aspx?menuIndex=3&amp;refID=7043711&amp;Result=3","7043711")</f>
        <v>0</v>
      </c>
      <c r="B15921" t="s">
        <v>2626</v>
      </c>
      <c r="C15921" t="s">
        <v>18708</v>
      </c>
      <c r="D15921" t="s">
        <v>18830</v>
      </c>
      <c r="E15921" t="s">
        <v>32608</v>
      </c>
      <c r="F15921" t="s">
        <v>32664</v>
      </c>
      <c r="G15921" t="s">
        <v>32672</v>
      </c>
      <c r="H15921" t="s">
        <v>32683</v>
      </c>
      <c r="I15921" t="s">
        <v>10627</v>
      </c>
      <c r="J15921" t="s">
        <v>42236</v>
      </c>
      <c r="K15921" t="s">
        <v>42312</v>
      </c>
      <c r="M15921" t="s">
        <v>46069</v>
      </c>
      <c r="N15921" t="s">
        <v>46569</v>
      </c>
      <c r="O15921" t="s">
        <v>46570</v>
      </c>
      <c r="P15921">
        <v>0</v>
      </c>
      <c r="Q15921">
        <v>3</v>
      </c>
      <c r="R15921" t="s">
        <v>46581</v>
      </c>
      <c r="S15921" t="s">
        <v>47012</v>
      </c>
      <c r="T15921" t="s">
        <v>48264</v>
      </c>
      <c r="U15921" t="s">
        <v>49256</v>
      </c>
      <c r="W15921" t="s">
        <v>46069</v>
      </c>
      <c r="X15921" t="s">
        <v>46583</v>
      </c>
    </row>
    <row r="15922" spans="1:24">
      <c r="A15922">
        <f>HYPERLINK("https://www.philgeps.gov.ph/GEPSNONPILOT/Tender/SplashBidNoticeAbstractUI.aspx?menuIndex=3&amp;refID=7048150&amp;Result=3","7048150")</f>
        <v>0</v>
      </c>
      <c r="B15922" t="s">
        <v>1646</v>
      </c>
      <c r="C15922" t="s">
        <v>18709</v>
      </c>
      <c r="D15922" t="s">
        <v>18798</v>
      </c>
      <c r="E15922" t="s">
        <v>32609</v>
      </c>
      <c r="F15922" t="s">
        <v>32664</v>
      </c>
      <c r="G15922" t="s">
        <v>32672</v>
      </c>
      <c r="H15922" t="s">
        <v>12635</v>
      </c>
      <c r="I15922" t="s">
        <v>14442</v>
      </c>
      <c r="J15922" t="s">
        <v>42237</v>
      </c>
      <c r="K15922" t="s">
        <v>42316</v>
      </c>
      <c r="M15922" t="s">
        <v>44330</v>
      </c>
      <c r="N15922" t="s">
        <v>46569</v>
      </c>
      <c r="O15922" t="s">
        <v>46570</v>
      </c>
      <c r="P15922">
        <v>0</v>
      </c>
      <c r="Q15922">
        <v>15</v>
      </c>
      <c r="R15922" t="s">
        <v>46579</v>
      </c>
      <c r="S15922" t="s">
        <v>46919</v>
      </c>
      <c r="T15922" t="s">
        <v>48773</v>
      </c>
      <c r="U15922" t="s">
        <v>61543</v>
      </c>
      <c r="W15922" t="s">
        <v>44330</v>
      </c>
      <c r="X15922" t="s">
        <v>46580</v>
      </c>
    </row>
    <row r="15923" spans="1:24">
      <c r="A15923">
        <f>HYPERLINK("https://www.philgeps.gov.ph/GEPSNONPILOT/Tender/SplashBidNoticeAbstractUI.aspx?menuIndex=3&amp;refID=7048112&amp;Result=3","7048112")</f>
        <v>0</v>
      </c>
      <c r="B15923" t="s">
        <v>1507</v>
      </c>
      <c r="C15923" t="s">
        <v>18710</v>
      </c>
      <c r="D15923" t="s">
        <v>18789</v>
      </c>
      <c r="E15923" t="s">
        <v>32610</v>
      </c>
      <c r="F15923" t="s">
        <v>32664</v>
      </c>
      <c r="G15923" t="s">
        <v>32672</v>
      </c>
      <c r="H15923" t="s">
        <v>12635</v>
      </c>
      <c r="I15923" t="s">
        <v>4439</v>
      </c>
      <c r="J15923" t="s">
        <v>42238</v>
      </c>
      <c r="K15923" t="s">
        <v>42283</v>
      </c>
      <c r="M15923" t="s">
        <v>44172</v>
      </c>
      <c r="N15923" t="s">
        <v>46569</v>
      </c>
      <c r="O15923" t="s">
        <v>46570</v>
      </c>
      <c r="P15923">
        <v>0</v>
      </c>
      <c r="Q15923">
        <v>2</v>
      </c>
      <c r="R15923" t="s">
        <v>46579</v>
      </c>
      <c r="S15923" t="s">
        <v>46919</v>
      </c>
      <c r="T15923" t="s">
        <v>48212</v>
      </c>
      <c r="U15923" t="s">
        <v>61544</v>
      </c>
      <c r="V15923" t="s">
        <v>62043</v>
      </c>
      <c r="W15923" t="s">
        <v>44172</v>
      </c>
      <c r="X15923" t="s">
        <v>46580</v>
      </c>
    </row>
    <row r="15924" spans="1:24">
      <c r="A15924">
        <f>HYPERLINK("https://www.philgeps.gov.ph/GEPSNONPILOT/Tender/SplashBidNoticeAbstractUI.aspx?menuIndex=3&amp;refID=7041212&amp;Result=3","7041212")</f>
        <v>0</v>
      </c>
      <c r="B15924" t="s">
        <v>2202</v>
      </c>
      <c r="C15924" t="s">
        <v>18711</v>
      </c>
      <c r="D15924" t="s">
        <v>18844</v>
      </c>
      <c r="E15924" t="s">
        <v>32611</v>
      </c>
      <c r="F15924" t="s">
        <v>32664</v>
      </c>
      <c r="G15924" t="s">
        <v>32672</v>
      </c>
      <c r="H15924" t="s">
        <v>12635</v>
      </c>
      <c r="I15924" t="s">
        <v>4439</v>
      </c>
      <c r="J15924" t="s">
        <v>42239</v>
      </c>
      <c r="K15924" t="s">
        <v>42303</v>
      </c>
      <c r="M15924" t="s">
        <v>44966</v>
      </c>
      <c r="N15924" t="s">
        <v>46569</v>
      </c>
      <c r="O15924" t="s">
        <v>46570</v>
      </c>
      <c r="P15924">
        <v>0</v>
      </c>
      <c r="Q15924">
        <v>0</v>
      </c>
      <c r="R15924" t="s">
        <v>46584</v>
      </c>
      <c r="S15924" t="s">
        <v>47063</v>
      </c>
      <c r="T15924" t="s">
        <v>48237</v>
      </c>
      <c r="U15924" t="s">
        <v>61545</v>
      </c>
      <c r="V15924" t="s">
        <v>62566</v>
      </c>
      <c r="W15924" t="s">
        <v>44966</v>
      </c>
      <c r="X15924" t="s">
        <v>46585</v>
      </c>
    </row>
    <row r="15925" spans="1:24">
      <c r="A15925">
        <f>HYPERLINK("https://www.philgeps.gov.ph/GEPSNONPILOT/Tender/SplashBidNoticeAbstractUI.aspx?menuIndex=3&amp;refID=7040454&amp;Result=3","7040454")</f>
        <v>0</v>
      </c>
      <c r="B15925" t="s">
        <v>3214</v>
      </c>
      <c r="C15925" t="s">
        <v>18712</v>
      </c>
      <c r="D15925" t="s">
        <v>18827</v>
      </c>
      <c r="E15925" t="s">
        <v>32612</v>
      </c>
      <c r="F15925" t="s">
        <v>32664</v>
      </c>
      <c r="G15925" t="s">
        <v>32672</v>
      </c>
      <c r="H15925" t="s">
        <v>12635</v>
      </c>
      <c r="I15925" t="s">
        <v>4439</v>
      </c>
      <c r="J15925" t="s">
        <v>42240</v>
      </c>
      <c r="K15925" t="s">
        <v>42283</v>
      </c>
      <c r="M15925" t="s">
        <v>46134</v>
      </c>
      <c r="N15925" t="s">
        <v>46569</v>
      </c>
      <c r="O15925" t="s">
        <v>46570</v>
      </c>
      <c r="P15925">
        <v>0</v>
      </c>
      <c r="Q15925">
        <v>0</v>
      </c>
      <c r="R15925" t="s">
        <v>46584</v>
      </c>
      <c r="S15925" t="s">
        <v>47063</v>
      </c>
      <c r="T15925" t="s">
        <v>48248</v>
      </c>
      <c r="U15925" t="s">
        <v>61546</v>
      </c>
      <c r="W15925" t="s">
        <v>46134</v>
      </c>
      <c r="X15925" t="s">
        <v>46586</v>
      </c>
    </row>
    <row r="15926" spans="1:24">
      <c r="A15926">
        <f>HYPERLINK("https://www.philgeps.gov.ph/GEPSNONPILOT/Tender/SplashBidNoticeAbstractUI.aspx?menuIndex=3&amp;refID=7043732&amp;Result=3","7043732")</f>
        <v>0</v>
      </c>
      <c r="B15926" t="s">
        <v>2213</v>
      </c>
      <c r="C15926" t="s">
        <v>18713</v>
      </c>
      <c r="D15926" t="s">
        <v>18849</v>
      </c>
      <c r="E15926" t="s">
        <v>32613</v>
      </c>
      <c r="F15926" t="s">
        <v>32664</v>
      </c>
      <c r="G15926" t="s">
        <v>32672</v>
      </c>
      <c r="H15926" t="s">
        <v>32683</v>
      </c>
      <c r="I15926" t="s">
        <v>10627</v>
      </c>
      <c r="J15926" t="s">
        <v>33150</v>
      </c>
      <c r="K15926" t="s">
        <v>42369</v>
      </c>
      <c r="M15926" t="s">
        <v>44977</v>
      </c>
      <c r="N15926" t="s">
        <v>46569</v>
      </c>
      <c r="O15926" t="s">
        <v>46570</v>
      </c>
      <c r="P15926">
        <v>0</v>
      </c>
      <c r="Q15926">
        <v>2</v>
      </c>
      <c r="R15926" t="s">
        <v>46581</v>
      </c>
      <c r="S15926" t="s">
        <v>47012</v>
      </c>
      <c r="T15926" t="s">
        <v>48212</v>
      </c>
      <c r="U15926" t="s">
        <v>61547</v>
      </c>
      <c r="W15926" t="s">
        <v>44977</v>
      </c>
      <c r="X15926" t="s">
        <v>46583</v>
      </c>
    </row>
    <row r="15927" spans="1:24">
      <c r="A15927">
        <f>HYPERLINK("https://www.philgeps.gov.ph/GEPSNONPILOT/Tender/SplashBidNoticeAbstractUI.aspx?menuIndex=3&amp;refID=7048109&amp;Result=3","7048109")</f>
        <v>0</v>
      </c>
      <c r="B15927" t="s">
        <v>3520</v>
      </c>
      <c r="C15927" t="s">
        <v>18714</v>
      </c>
      <c r="D15927" t="s">
        <v>18804</v>
      </c>
      <c r="E15927" t="s">
        <v>22712</v>
      </c>
      <c r="F15927" t="s">
        <v>32665</v>
      </c>
      <c r="G15927" t="s">
        <v>32672</v>
      </c>
      <c r="H15927" t="s">
        <v>12635</v>
      </c>
      <c r="I15927" t="s">
        <v>4439</v>
      </c>
      <c r="J15927" t="s">
        <v>42241</v>
      </c>
      <c r="K15927" t="s">
        <v>42297</v>
      </c>
      <c r="M15927" t="s">
        <v>46559</v>
      </c>
      <c r="N15927" t="s">
        <v>46569</v>
      </c>
      <c r="O15927" t="s">
        <v>46570</v>
      </c>
      <c r="P15927">
        <v>0</v>
      </c>
      <c r="Q15927">
        <v>0</v>
      </c>
      <c r="R15927" t="s">
        <v>46579</v>
      </c>
      <c r="S15927" t="s">
        <v>46919</v>
      </c>
      <c r="T15927" t="s">
        <v>48268</v>
      </c>
      <c r="U15927" t="s">
        <v>61548</v>
      </c>
      <c r="V15927" t="s">
        <v>63445</v>
      </c>
      <c r="W15927" t="s">
        <v>46559</v>
      </c>
      <c r="X15927" t="s">
        <v>46580</v>
      </c>
    </row>
    <row r="15928" spans="1:24">
      <c r="A15928">
        <f>HYPERLINK("https://www.philgeps.gov.ph/GEPSNONPILOT/Tender/SplashBidNoticeAbstractUI.aspx?menuIndex=3&amp;refID=7047987&amp;Result=3","7047987")</f>
        <v>0</v>
      </c>
      <c r="B15928" t="s">
        <v>1781</v>
      </c>
      <c r="C15928" t="s">
        <v>18715</v>
      </c>
      <c r="D15928" t="s">
        <v>18807</v>
      </c>
      <c r="E15928" t="s">
        <v>32614</v>
      </c>
      <c r="F15928" t="s">
        <v>32664</v>
      </c>
      <c r="G15928" t="s">
        <v>32672</v>
      </c>
      <c r="H15928" t="s">
        <v>32682</v>
      </c>
      <c r="I15928" t="s">
        <v>10590</v>
      </c>
      <c r="J15928" t="s">
        <v>42242</v>
      </c>
      <c r="K15928" t="s">
        <v>42281</v>
      </c>
      <c r="M15928" t="s">
        <v>44483</v>
      </c>
      <c r="N15928" t="s">
        <v>46569</v>
      </c>
      <c r="O15928" t="s">
        <v>46570</v>
      </c>
      <c r="P15928">
        <v>0</v>
      </c>
      <c r="Q15928">
        <v>0</v>
      </c>
      <c r="R15928" t="s">
        <v>46579</v>
      </c>
      <c r="S15928" t="s">
        <v>46919</v>
      </c>
      <c r="T15928" t="s">
        <v>48774</v>
      </c>
      <c r="U15928" t="s">
        <v>61549</v>
      </c>
      <c r="V15928" t="s">
        <v>63446</v>
      </c>
      <c r="W15928" t="s">
        <v>44483</v>
      </c>
      <c r="X15928" t="s">
        <v>46580</v>
      </c>
    </row>
    <row r="15929" spans="1:24">
      <c r="A15929">
        <f>HYPERLINK("https://www.philgeps.gov.ph/GEPSNONPILOT/Tender/SplashBidNoticeAbstractUI.aspx?menuIndex=3&amp;refID=7047982&amp;Result=3","7047982")</f>
        <v>0</v>
      </c>
      <c r="B15929" t="s">
        <v>1507</v>
      </c>
      <c r="C15929" t="s">
        <v>18716</v>
      </c>
      <c r="D15929" t="s">
        <v>18789</v>
      </c>
      <c r="E15929" t="s">
        <v>32615</v>
      </c>
      <c r="F15929" t="s">
        <v>32664</v>
      </c>
      <c r="G15929" t="s">
        <v>32672</v>
      </c>
      <c r="H15929" t="s">
        <v>12635</v>
      </c>
      <c r="I15929" t="s">
        <v>4439</v>
      </c>
      <c r="J15929" t="s">
        <v>42243</v>
      </c>
      <c r="K15929" t="s">
        <v>42283</v>
      </c>
      <c r="M15929" t="s">
        <v>44172</v>
      </c>
      <c r="N15929" t="s">
        <v>46569</v>
      </c>
      <c r="O15929" t="s">
        <v>46570</v>
      </c>
      <c r="P15929">
        <v>0</v>
      </c>
      <c r="Q15929">
        <v>3</v>
      </c>
      <c r="R15929" t="s">
        <v>46579</v>
      </c>
      <c r="S15929" t="s">
        <v>46919</v>
      </c>
      <c r="T15929" t="s">
        <v>48657</v>
      </c>
      <c r="U15929" t="s">
        <v>61550</v>
      </c>
      <c r="V15929" t="s">
        <v>62043</v>
      </c>
      <c r="W15929" t="s">
        <v>44172</v>
      </c>
      <c r="X15929" t="s">
        <v>46580</v>
      </c>
    </row>
    <row r="15930" spans="1:24">
      <c r="A15930">
        <f>HYPERLINK("https://www.philgeps.gov.ph/GEPSNONPILOT/Tender/SplashBidNoticeAbstractUI.aspx?menuIndex=3&amp;refID=7047975&amp;Result=3","7047975")</f>
        <v>0</v>
      </c>
      <c r="B15930" t="s">
        <v>3139</v>
      </c>
      <c r="C15930" t="s">
        <v>18717</v>
      </c>
      <c r="D15930" t="s">
        <v>18796</v>
      </c>
      <c r="E15930" t="s">
        <v>32616</v>
      </c>
      <c r="F15930" t="s">
        <v>32664</v>
      </c>
      <c r="G15930" t="s">
        <v>32672</v>
      </c>
      <c r="H15930" t="s">
        <v>32682</v>
      </c>
      <c r="I15930" t="s">
        <v>10370</v>
      </c>
      <c r="J15930" t="s">
        <v>42244</v>
      </c>
      <c r="K15930" t="s">
        <v>42298</v>
      </c>
      <c r="M15930" t="s">
        <v>46033</v>
      </c>
      <c r="N15930" t="s">
        <v>46569</v>
      </c>
      <c r="O15930" t="s">
        <v>46570</v>
      </c>
      <c r="P15930">
        <v>0</v>
      </c>
      <c r="Q15930">
        <v>4</v>
      </c>
      <c r="R15930" t="s">
        <v>46579</v>
      </c>
      <c r="S15930" t="s">
        <v>46919</v>
      </c>
      <c r="T15930" t="s">
        <v>48293</v>
      </c>
      <c r="U15930" t="s">
        <v>61551</v>
      </c>
      <c r="W15930" t="s">
        <v>46033</v>
      </c>
      <c r="X15930" t="s">
        <v>46580</v>
      </c>
    </row>
    <row r="15931" spans="1:24">
      <c r="A15931">
        <f>HYPERLINK("https://www.philgeps.gov.ph/GEPSNONPILOT/Tender/SplashBidNoticeAbstractUI.aspx?menuIndex=3&amp;refID=7047890&amp;Result=3","7047890")</f>
        <v>0</v>
      </c>
      <c r="B15931" t="s">
        <v>1127</v>
      </c>
      <c r="C15931" t="s">
        <v>18718</v>
      </c>
      <c r="D15931" t="s">
        <v>18802</v>
      </c>
      <c r="E15931" t="s">
        <v>32617</v>
      </c>
      <c r="F15931" t="s">
        <v>32664</v>
      </c>
      <c r="G15931" t="s">
        <v>32672</v>
      </c>
      <c r="H15931" t="s">
        <v>12635</v>
      </c>
      <c r="I15931" t="s">
        <v>32730</v>
      </c>
      <c r="J15931" t="s">
        <v>32981</v>
      </c>
      <c r="K15931" t="s">
        <v>42311</v>
      </c>
      <c r="M15931" t="s">
        <v>46560</v>
      </c>
      <c r="N15931" t="s">
        <v>46569</v>
      </c>
      <c r="O15931" t="s">
        <v>46570</v>
      </c>
      <c r="P15931">
        <v>0</v>
      </c>
      <c r="Q15931">
        <v>3</v>
      </c>
      <c r="R15931" t="s">
        <v>46579</v>
      </c>
      <c r="S15931" t="s">
        <v>46919</v>
      </c>
      <c r="T15931" t="s">
        <v>48238</v>
      </c>
      <c r="U15931" t="s">
        <v>61552</v>
      </c>
      <c r="V15931" t="s">
        <v>63447</v>
      </c>
      <c r="W15931" t="s">
        <v>46560</v>
      </c>
      <c r="X15931" t="s">
        <v>46580</v>
      </c>
    </row>
    <row r="15932" spans="1:24">
      <c r="A15932">
        <f>HYPERLINK("https://www.philgeps.gov.ph/GEPSNONPILOT/Tender/SplashBidNoticeAbstractUI.aspx?menuIndex=3&amp;refID=7048110&amp;Result=3","7048110")</f>
        <v>0</v>
      </c>
      <c r="B15932" t="s">
        <v>902</v>
      </c>
      <c r="C15932" t="s">
        <v>18719</v>
      </c>
      <c r="D15932" t="s">
        <v>18785</v>
      </c>
      <c r="E15932" t="s">
        <v>32618</v>
      </c>
      <c r="F15932" t="s">
        <v>32664</v>
      </c>
      <c r="G15932" t="s">
        <v>32672</v>
      </c>
      <c r="H15932" t="s">
        <v>32683</v>
      </c>
      <c r="I15932" t="s">
        <v>10627</v>
      </c>
      <c r="J15932" t="s">
        <v>42245</v>
      </c>
      <c r="K15932" t="s">
        <v>42308</v>
      </c>
      <c r="M15932" t="s">
        <v>43506</v>
      </c>
      <c r="N15932" t="s">
        <v>46569</v>
      </c>
      <c r="O15932" t="s">
        <v>46570</v>
      </c>
      <c r="P15932">
        <v>0</v>
      </c>
      <c r="Q15932">
        <v>0</v>
      </c>
      <c r="R15932" t="s">
        <v>46579</v>
      </c>
      <c r="S15932" t="s">
        <v>46919</v>
      </c>
      <c r="T15932" t="s">
        <v>48212</v>
      </c>
      <c r="U15932" t="s">
        <v>61553</v>
      </c>
      <c r="W15932" t="s">
        <v>63494</v>
      </c>
      <c r="X15932" t="s">
        <v>46580</v>
      </c>
    </row>
    <row r="15933" spans="1:24">
      <c r="A15933">
        <f>HYPERLINK("https://www.philgeps.gov.ph/GEPSNONPILOT/Tender/SplashBidNoticeAbstractUI.aspx?menuIndex=3&amp;refID=7048003&amp;Result=3","7048003")</f>
        <v>0</v>
      </c>
      <c r="B15933" t="s">
        <v>3521</v>
      </c>
      <c r="C15933" t="s">
        <v>3812</v>
      </c>
      <c r="D15933" t="s">
        <v>18788</v>
      </c>
      <c r="E15933" t="s">
        <v>19146</v>
      </c>
      <c r="F15933" t="s">
        <v>32664</v>
      </c>
      <c r="G15933" t="s">
        <v>32672</v>
      </c>
      <c r="H15933" t="s">
        <v>12635</v>
      </c>
      <c r="I15933" t="s">
        <v>4439</v>
      </c>
      <c r="J15933" t="s">
        <v>42246</v>
      </c>
      <c r="K15933" t="s">
        <v>42297</v>
      </c>
      <c r="M15933" t="s">
        <v>46561</v>
      </c>
      <c r="N15933" t="s">
        <v>46569</v>
      </c>
      <c r="O15933" t="s">
        <v>46570</v>
      </c>
      <c r="P15933">
        <v>0</v>
      </c>
      <c r="Q15933">
        <v>0</v>
      </c>
      <c r="R15933" t="s">
        <v>46579</v>
      </c>
      <c r="S15933" t="s">
        <v>46919</v>
      </c>
      <c r="T15933" t="s">
        <v>48376</v>
      </c>
      <c r="U15933" t="s">
        <v>61554</v>
      </c>
      <c r="W15933" t="s">
        <v>46561</v>
      </c>
      <c r="X15933" t="s">
        <v>46580</v>
      </c>
    </row>
    <row r="15934" spans="1:24">
      <c r="A15934">
        <f>HYPERLINK("https://www.philgeps.gov.ph/GEPSNONPILOT/Tender/SplashBidNoticeAbstractUI.aspx?menuIndex=3&amp;refID=7048137&amp;Result=3","7048137")</f>
        <v>0</v>
      </c>
      <c r="B15934" t="s">
        <v>1252</v>
      </c>
      <c r="C15934" t="s">
        <v>18720</v>
      </c>
      <c r="D15934" t="s">
        <v>18813</v>
      </c>
      <c r="E15934" t="s">
        <v>25281</v>
      </c>
      <c r="F15934" t="s">
        <v>32664</v>
      </c>
      <c r="G15934" t="s">
        <v>32672</v>
      </c>
      <c r="H15934" t="s">
        <v>12635</v>
      </c>
      <c r="I15934" t="s">
        <v>32716</v>
      </c>
      <c r="J15934" t="s">
        <v>33106</v>
      </c>
      <c r="K15934" t="s">
        <v>42281</v>
      </c>
      <c r="M15934" t="s">
        <v>43894</v>
      </c>
      <c r="N15934" t="s">
        <v>46569</v>
      </c>
      <c r="O15934" t="s">
        <v>46570</v>
      </c>
      <c r="P15934">
        <v>0</v>
      </c>
      <c r="Q15934">
        <v>0</v>
      </c>
      <c r="R15934" t="s">
        <v>46579</v>
      </c>
      <c r="S15934" t="s">
        <v>46919</v>
      </c>
      <c r="T15934" t="s">
        <v>48287</v>
      </c>
      <c r="U15934" t="s">
        <v>61555</v>
      </c>
      <c r="W15934" t="s">
        <v>43894</v>
      </c>
      <c r="X15934" t="s">
        <v>46580</v>
      </c>
    </row>
    <row r="15935" spans="1:24">
      <c r="A15935">
        <f>HYPERLINK("https://www.philgeps.gov.ph/GEPSNONPILOT/Tender/SplashBidNoticeAbstractUI.aspx?menuIndex=3&amp;refID=7047871&amp;Result=3","7047871")</f>
        <v>0</v>
      </c>
      <c r="B15935" t="s">
        <v>2825</v>
      </c>
      <c r="C15935" t="s">
        <v>18721</v>
      </c>
      <c r="D15935" t="s">
        <v>18790</v>
      </c>
      <c r="E15935" t="s">
        <v>32619</v>
      </c>
      <c r="F15935" t="s">
        <v>32665</v>
      </c>
      <c r="G15935" t="s">
        <v>32677</v>
      </c>
      <c r="H15935" t="s">
        <v>12635</v>
      </c>
      <c r="I15935" t="s">
        <v>32689</v>
      </c>
      <c r="J15935" t="s">
        <v>38688</v>
      </c>
      <c r="K15935" t="s">
        <v>42303</v>
      </c>
      <c r="M15935" t="s">
        <v>45669</v>
      </c>
      <c r="N15935" t="s">
        <v>46569</v>
      </c>
      <c r="O15935" t="s">
        <v>46570</v>
      </c>
      <c r="P15935">
        <v>0</v>
      </c>
      <c r="Q15935">
        <v>0</v>
      </c>
      <c r="R15935" t="s">
        <v>46579</v>
      </c>
      <c r="S15935" t="s">
        <v>46919</v>
      </c>
      <c r="T15935" t="s">
        <v>48285</v>
      </c>
      <c r="U15935" t="s">
        <v>61556</v>
      </c>
      <c r="W15935" t="s">
        <v>45669</v>
      </c>
      <c r="X15935" t="s">
        <v>46580</v>
      </c>
    </row>
    <row r="15936" spans="1:24">
      <c r="A15936">
        <f>HYPERLINK("https://www.philgeps.gov.ph/GEPSNONPILOT/Tender/SplashBidNoticeAbstractUI.aspx?menuIndex=3&amp;refID=7047862&amp;Result=3","7047862")</f>
        <v>0</v>
      </c>
      <c r="B15936" t="s">
        <v>1252</v>
      </c>
      <c r="C15936" t="s">
        <v>18722</v>
      </c>
      <c r="D15936" t="s">
        <v>18813</v>
      </c>
      <c r="E15936" t="s">
        <v>21245</v>
      </c>
      <c r="F15936" t="s">
        <v>32664</v>
      </c>
      <c r="G15936" t="s">
        <v>32672</v>
      </c>
      <c r="H15936" t="s">
        <v>12635</v>
      </c>
      <c r="I15936" t="s">
        <v>32716</v>
      </c>
      <c r="J15936" t="s">
        <v>42247</v>
      </c>
      <c r="K15936" t="s">
        <v>42281</v>
      </c>
      <c r="M15936" t="s">
        <v>43894</v>
      </c>
      <c r="N15936" t="s">
        <v>46569</v>
      </c>
      <c r="O15936" t="s">
        <v>46570</v>
      </c>
      <c r="P15936">
        <v>0</v>
      </c>
      <c r="Q15936">
        <v>0</v>
      </c>
      <c r="R15936" t="s">
        <v>46579</v>
      </c>
      <c r="S15936" t="s">
        <v>46919</v>
      </c>
      <c r="T15936" t="s">
        <v>48287</v>
      </c>
      <c r="U15936" t="s">
        <v>61555</v>
      </c>
      <c r="W15936" t="s">
        <v>43894</v>
      </c>
      <c r="X15936" t="s">
        <v>46580</v>
      </c>
    </row>
    <row r="15937" spans="1:24">
      <c r="A15937">
        <f>HYPERLINK("https://www.philgeps.gov.ph/GEPSNONPILOT/Tender/SplashBidNoticeAbstractUI.aspx?menuIndex=3&amp;refID=7047894&amp;Result=3","7047894")</f>
        <v>0</v>
      </c>
      <c r="B15937" t="s">
        <v>1252</v>
      </c>
      <c r="C15937" t="s">
        <v>18723</v>
      </c>
      <c r="D15937" t="s">
        <v>18813</v>
      </c>
      <c r="E15937" t="s">
        <v>32620</v>
      </c>
      <c r="F15937" t="s">
        <v>32664</v>
      </c>
      <c r="G15937" t="s">
        <v>32672</v>
      </c>
      <c r="H15937" t="s">
        <v>12635</v>
      </c>
      <c r="I15937" t="s">
        <v>4439</v>
      </c>
      <c r="J15937" t="s">
        <v>42248</v>
      </c>
      <c r="K15937" t="s">
        <v>42281</v>
      </c>
      <c r="M15937" t="s">
        <v>43894</v>
      </c>
      <c r="N15937" t="s">
        <v>46569</v>
      </c>
      <c r="O15937" t="s">
        <v>46570</v>
      </c>
      <c r="P15937">
        <v>0</v>
      </c>
      <c r="Q15937">
        <v>0</v>
      </c>
      <c r="R15937" t="s">
        <v>46579</v>
      </c>
      <c r="S15937" t="s">
        <v>46919</v>
      </c>
      <c r="T15937" t="s">
        <v>48287</v>
      </c>
      <c r="U15937" t="s">
        <v>50093</v>
      </c>
      <c r="W15937" t="s">
        <v>43894</v>
      </c>
      <c r="X15937" t="s">
        <v>46580</v>
      </c>
    </row>
    <row r="15938" spans="1:24">
      <c r="A15938">
        <f>HYPERLINK("https://www.philgeps.gov.ph/GEPSNONPILOT/Tender/SplashBidNoticeAbstractUI.aspx?menuIndex=3&amp;refID=7047777&amp;Result=3","7047777")</f>
        <v>0</v>
      </c>
      <c r="B15938" t="s">
        <v>708</v>
      </c>
      <c r="C15938" t="s">
        <v>18724</v>
      </c>
      <c r="D15938" t="s">
        <v>18792</v>
      </c>
      <c r="E15938" t="s">
        <v>32621</v>
      </c>
      <c r="F15938" t="s">
        <v>32664</v>
      </c>
      <c r="G15938" t="s">
        <v>32672</v>
      </c>
      <c r="H15938" t="s">
        <v>12635</v>
      </c>
      <c r="I15938" t="s">
        <v>6628</v>
      </c>
      <c r="J15938" t="s">
        <v>42249</v>
      </c>
      <c r="K15938" t="s">
        <v>42298</v>
      </c>
      <c r="M15938" t="s">
        <v>43295</v>
      </c>
      <c r="N15938" t="s">
        <v>46569</v>
      </c>
      <c r="O15938" t="s">
        <v>46570</v>
      </c>
      <c r="P15938">
        <v>0</v>
      </c>
      <c r="Q15938">
        <v>9</v>
      </c>
      <c r="R15938" t="s">
        <v>46579</v>
      </c>
      <c r="S15938" t="s">
        <v>46919</v>
      </c>
      <c r="T15938" t="s">
        <v>48405</v>
      </c>
      <c r="U15938" t="s">
        <v>61557</v>
      </c>
      <c r="W15938" t="s">
        <v>43295</v>
      </c>
      <c r="X15938" t="s">
        <v>46580</v>
      </c>
    </row>
    <row r="15939" spans="1:24">
      <c r="A15939">
        <f>HYPERLINK("https://www.philgeps.gov.ph/GEPSNONPILOT/Tender/SplashBidNoticeAbstractUI.aspx?menuIndex=3&amp;refID=7041352&amp;Result=3","7041352")</f>
        <v>0</v>
      </c>
      <c r="B15939" t="s">
        <v>679</v>
      </c>
      <c r="C15939" t="s">
        <v>18725</v>
      </c>
      <c r="D15939" t="s">
        <v>18831</v>
      </c>
      <c r="E15939" t="s">
        <v>32622</v>
      </c>
      <c r="F15939" t="s">
        <v>32664</v>
      </c>
      <c r="G15939" t="s">
        <v>32672</v>
      </c>
      <c r="H15939" t="s">
        <v>32683</v>
      </c>
      <c r="I15939" t="s">
        <v>10627</v>
      </c>
      <c r="J15939" t="s">
        <v>42250</v>
      </c>
      <c r="K15939" t="s">
        <v>42281</v>
      </c>
      <c r="M15939" t="s">
        <v>43266</v>
      </c>
      <c r="N15939" t="s">
        <v>46569</v>
      </c>
      <c r="O15939" t="s">
        <v>46570</v>
      </c>
      <c r="P15939">
        <v>0</v>
      </c>
      <c r="Q15939">
        <v>1</v>
      </c>
      <c r="R15939" t="s">
        <v>46584</v>
      </c>
      <c r="S15939" t="s">
        <v>47063</v>
      </c>
      <c r="T15939" t="s">
        <v>48226</v>
      </c>
      <c r="U15939" t="s">
        <v>58926</v>
      </c>
      <c r="W15939" t="s">
        <v>43266</v>
      </c>
      <c r="X15939" t="s">
        <v>46585</v>
      </c>
    </row>
    <row r="15940" spans="1:24">
      <c r="A15940">
        <f>HYPERLINK("https://www.philgeps.gov.ph/GEPSNONPILOT/Tender/SplashBidNoticeAbstractUI.aspx?menuIndex=3&amp;refID=7047754&amp;Result=3","7047754")</f>
        <v>0</v>
      </c>
      <c r="B15940" t="s">
        <v>3031</v>
      </c>
      <c r="C15940" t="s">
        <v>18726</v>
      </c>
      <c r="D15940" t="s">
        <v>18846</v>
      </c>
      <c r="E15940" t="s">
        <v>25659</v>
      </c>
      <c r="F15940" t="s">
        <v>32664</v>
      </c>
      <c r="G15940" t="s">
        <v>32672</v>
      </c>
      <c r="H15940" t="s">
        <v>12635</v>
      </c>
      <c r="I15940" t="s">
        <v>4439</v>
      </c>
      <c r="J15940" t="s">
        <v>42251</v>
      </c>
      <c r="K15940" t="s">
        <v>42281</v>
      </c>
      <c r="M15940" t="s">
        <v>45904</v>
      </c>
      <c r="N15940" t="s">
        <v>46569</v>
      </c>
      <c r="O15940" t="s">
        <v>46570</v>
      </c>
      <c r="P15940">
        <v>0</v>
      </c>
      <c r="Q15940">
        <v>1</v>
      </c>
      <c r="R15940" t="s">
        <v>46579</v>
      </c>
      <c r="S15940" t="s">
        <v>46919</v>
      </c>
      <c r="T15940" t="s">
        <v>48487</v>
      </c>
      <c r="U15940" t="s">
        <v>61558</v>
      </c>
      <c r="V15940" t="s">
        <v>63448</v>
      </c>
      <c r="W15940" t="s">
        <v>45904</v>
      </c>
      <c r="X15940" t="s">
        <v>46580</v>
      </c>
    </row>
    <row r="15941" spans="1:24">
      <c r="A15941">
        <f>HYPERLINK("https://www.philgeps.gov.ph/GEPSNONPILOT/Tender/SplashBidNoticeAbstractUI.aspx?menuIndex=3&amp;refID=7047880&amp;Result=3","7047880")</f>
        <v>0</v>
      </c>
      <c r="B15941" t="s">
        <v>1507</v>
      </c>
      <c r="C15941" t="s">
        <v>18727</v>
      </c>
      <c r="D15941" t="s">
        <v>18789</v>
      </c>
      <c r="E15941" t="s">
        <v>32623</v>
      </c>
      <c r="F15941" t="s">
        <v>32664</v>
      </c>
      <c r="G15941" t="s">
        <v>32672</v>
      </c>
      <c r="H15941" t="s">
        <v>12635</v>
      </c>
      <c r="I15941" t="s">
        <v>4439</v>
      </c>
      <c r="J15941" t="s">
        <v>42252</v>
      </c>
      <c r="K15941" t="s">
        <v>42283</v>
      </c>
      <c r="M15941" t="s">
        <v>44172</v>
      </c>
      <c r="N15941" t="s">
        <v>46569</v>
      </c>
      <c r="O15941" t="s">
        <v>46570</v>
      </c>
      <c r="P15941">
        <v>0</v>
      </c>
      <c r="Q15941">
        <v>1</v>
      </c>
      <c r="R15941" t="s">
        <v>46579</v>
      </c>
      <c r="S15941" t="s">
        <v>46919</v>
      </c>
      <c r="T15941" t="s">
        <v>48212</v>
      </c>
      <c r="U15941" t="s">
        <v>61559</v>
      </c>
      <c r="V15941" t="s">
        <v>62043</v>
      </c>
      <c r="W15941" t="s">
        <v>44172</v>
      </c>
      <c r="X15941" t="s">
        <v>46580</v>
      </c>
    </row>
    <row r="15942" spans="1:24">
      <c r="A15942">
        <f>HYPERLINK("https://www.philgeps.gov.ph/GEPSNONPILOT/Tender/SplashBidNoticeAbstractUI.aspx?menuIndex=3&amp;refID=7047745&amp;Result=3","7047745")</f>
        <v>0</v>
      </c>
      <c r="B15942" t="s">
        <v>2588</v>
      </c>
      <c r="C15942" t="s">
        <v>18728</v>
      </c>
      <c r="D15942" t="s">
        <v>18822</v>
      </c>
      <c r="E15942" t="s">
        <v>32624</v>
      </c>
      <c r="F15942" t="s">
        <v>32664</v>
      </c>
      <c r="G15942" t="s">
        <v>32672</v>
      </c>
      <c r="H15942" t="s">
        <v>32683</v>
      </c>
      <c r="I15942" t="s">
        <v>10627</v>
      </c>
      <c r="J15942" t="s">
        <v>33051</v>
      </c>
      <c r="K15942" t="s">
        <v>42283</v>
      </c>
      <c r="M15942" t="s">
        <v>45403</v>
      </c>
      <c r="N15942" t="s">
        <v>46569</v>
      </c>
      <c r="O15942" t="s">
        <v>46570</v>
      </c>
      <c r="P15942">
        <v>0</v>
      </c>
      <c r="Q15942">
        <v>0</v>
      </c>
      <c r="R15942" t="s">
        <v>46579</v>
      </c>
      <c r="S15942" t="s">
        <v>46919</v>
      </c>
      <c r="T15942" t="s">
        <v>48775</v>
      </c>
      <c r="U15942" t="s">
        <v>61560</v>
      </c>
      <c r="V15942" t="s">
        <v>63449</v>
      </c>
      <c r="W15942" t="s">
        <v>45403</v>
      </c>
      <c r="X15942" t="s">
        <v>46580</v>
      </c>
    </row>
    <row r="15943" spans="1:24">
      <c r="A15943">
        <f>HYPERLINK("https://www.philgeps.gov.ph/GEPSNONPILOT/Tender/SplashBidNoticeAbstractUI.aspx?menuIndex=3&amp;refID=7047870&amp;Result=3","7047870")</f>
        <v>0</v>
      </c>
      <c r="B15943" t="s">
        <v>902</v>
      </c>
      <c r="C15943" t="s">
        <v>18729</v>
      </c>
      <c r="D15943" t="s">
        <v>18785</v>
      </c>
      <c r="E15943" t="s">
        <v>32625</v>
      </c>
      <c r="F15943" t="s">
        <v>32664</v>
      </c>
      <c r="G15943" t="s">
        <v>32672</v>
      </c>
      <c r="H15943" t="s">
        <v>12635</v>
      </c>
      <c r="I15943" t="s">
        <v>9486</v>
      </c>
      <c r="J15943" t="s">
        <v>39246</v>
      </c>
      <c r="K15943" t="s">
        <v>42311</v>
      </c>
      <c r="M15943" t="s">
        <v>43506</v>
      </c>
      <c r="N15943" t="s">
        <v>46569</v>
      </c>
      <c r="O15943" t="s">
        <v>46570</v>
      </c>
      <c r="P15943">
        <v>0</v>
      </c>
      <c r="Q15943">
        <v>5</v>
      </c>
      <c r="R15943" t="s">
        <v>46579</v>
      </c>
      <c r="S15943" t="s">
        <v>46919</v>
      </c>
      <c r="T15943" t="s">
        <v>48212</v>
      </c>
      <c r="U15943" t="s">
        <v>61561</v>
      </c>
      <c r="W15943" t="s">
        <v>63494</v>
      </c>
      <c r="X15943" t="s">
        <v>46580</v>
      </c>
    </row>
    <row r="15944" spans="1:24">
      <c r="A15944">
        <f>HYPERLINK("https://www.philgeps.gov.ph/GEPSNONPILOT/Tender/SplashBidNoticeAbstractUI.aspx?menuIndex=3&amp;refID=7052058&amp;Result=3","7052058")</f>
        <v>0</v>
      </c>
      <c r="B15944" t="s">
        <v>2041</v>
      </c>
      <c r="C15944" t="s">
        <v>18730</v>
      </c>
      <c r="D15944" t="s">
        <v>18784</v>
      </c>
      <c r="E15944" t="s">
        <v>32626</v>
      </c>
      <c r="F15944" t="s">
        <v>32664</v>
      </c>
      <c r="G15944" t="s">
        <v>32677</v>
      </c>
      <c r="H15944" t="s">
        <v>12635</v>
      </c>
      <c r="I15944" t="s">
        <v>32774</v>
      </c>
      <c r="J15944" t="s">
        <v>42253</v>
      </c>
      <c r="K15944" t="s">
        <v>42365</v>
      </c>
      <c r="M15944" t="s">
        <v>46389</v>
      </c>
      <c r="N15944" t="s">
        <v>46569</v>
      </c>
      <c r="O15944" t="s">
        <v>46570</v>
      </c>
      <c r="P15944">
        <v>0</v>
      </c>
      <c r="Q15944">
        <v>6</v>
      </c>
      <c r="R15944" t="s">
        <v>46578</v>
      </c>
      <c r="S15944" t="s">
        <v>46874</v>
      </c>
      <c r="T15944" t="s">
        <v>48248</v>
      </c>
      <c r="U15944" t="s">
        <v>61562</v>
      </c>
      <c r="V15944" t="s">
        <v>63450</v>
      </c>
      <c r="W15944" t="s">
        <v>46389</v>
      </c>
      <c r="X15944" t="s">
        <v>46579</v>
      </c>
    </row>
    <row r="15945" spans="1:24">
      <c r="A15945">
        <f>HYPERLINK("https://www.philgeps.gov.ph/GEPSNONPILOT/Tender/SplashBidNoticeAbstractUI.aspx?menuIndex=3&amp;refID=7038686&amp;Result=3","7038686")</f>
        <v>0</v>
      </c>
      <c r="B15945" t="s">
        <v>2527</v>
      </c>
      <c r="C15945" t="s">
        <v>18731</v>
      </c>
      <c r="D15945" t="s">
        <v>18856</v>
      </c>
      <c r="E15945" t="s">
        <v>32627</v>
      </c>
      <c r="F15945" t="s">
        <v>32664</v>
      </c>
      <c r="G15945" t="s">
        <v>32672</v>
      </c>
      <c r="H15945" t="s">
        <v>32683</v>
      </c>
      <c r="I15945" t="s">
        <v>10627</v>
      </c>
      <c r="J15945" t="s">
        <v>42254</v>
      </c>
      <c r="K15945" t="s">
        <v>42298</v>
      </c>
      <c r="M15945" t="s">
        <v>45334</v>
      </c>
      <c r="N15945" t="s">
        <v>46569</v>
      </c>
      <c r="O15945" t="s">
        <v>46570</v>
      </c>
      <c r="P15945">
        <v>0</v>
      </c>
      <c r="Q15945">
        <v>4</v>
      </c>
      <c r="R15945" t="s">
        <v>46585</v>
      </c>
      <c r="S15945" t="s">
        <v>47146</v>
      </c>
      <c r="T15945" t="s">
        <v>48282</v>
      </c>
      <c r="U15945" t="s">
        <v>61563</v>
      </c>
      <c r="V15945" t="s">
        <v>63451</v>
      </c>
      <c r="W15945" t="s">
        <v>45334</v>
      </c>
      <c r="X15945" t="s">
        <v>46586</v>
      </c>
    </row>
    <row r="15946" spans="1:24">
      <c r="A15946">
        <f>HYPERLINK("https://www.philgeps.gov.ph/GEPSNONPILOT/Tender/SplashBidNoticeAbstractUI.aspx?menuIndex=3&amp;refID=7052055&amp;Result=3","7052055")</f>
        <v>0</v>
      </c>
      <c r="B15946" t="s">
        <v>2936</v>
      </c>
      <c r="C15946" t="s">
        <v>18732</v>
      </c>
      <c r="D15946" t="s">
        <v>18804</v>
      </c>
      <c r="E15946" t="s">
        <v>20540</v>
      </c>
      <c r="F15946" t="s">
        <v>32664</v>
      </c>
      <c r="G15946" t="s">
        <v>32671</v>
      </c>
      <c r="H15946" t="s">
        <v>12635</v>
      </c>
      <c r="I15946" t="s">
        <v>4439</v>
      </c>
      <c r="J15946" t="s">
        <v>33578</v>
      </c>
      <c r="K15946" t="s">
        <v>42283</v>
      </c>
      <c r="M15946" t="s">
        <v>45790</v>
      </c>
      <c r="N15946" t="s">
        <v>46569</v>
      </c>
      <c r="O15946" t="s">
        <v>46570</v>
      </c>
      <c r="P15946">
        <v>0</v>
      </c>
      <c r="Q15946">
        <v>0</v>
      </c>
      <c r="R15946" t="s">
        <v>46578</v>
      </c>
      <c r="S15946" t="s">
        <v>46874</v>
      </c>
      <c r="T15946" t="s">
        <v>48225</v>
      </c>
      <c r="U15946" t="s">
        <v>61564</v>
      </c>
      <c r="W15946" t="s">
        <v>45790</v>
      </c>
      <c r="X15946" t="s">
        <v>46579</v>
      </c>
    </row>
    <row r="15947" spans="1:24">
      <c r="A15947">
        <f>HYPERLINK("https://www.philgeps.gov.ph/GEPSNONPILOT/Tender/SplashBidNoticeAbstractUI.aspx?menuIndex=3&amp;refID=7047776&amp;Result=3","7047776")</f>
        <v>0</v>
      </c>
      <c r="B15947" t="s">
        <v>2641</v>
      </c>
      <c r="C15947" t="s">
        <v>18733</v>
      </c>
      <c r="D15947" t="s">
        <v>18786</v>
      </c>
      <c r="E15947" t="s">
        <v>28912</v>
      </c>
      <c r="F15947" t="s">
        <v>32664</v>
      </c>
      <c r="G15947" t="s">
        <v>32672</v>
      </c>
      <c r="H15947" t="s">
        <v>32683</v>
      </c>
      <c r="I15947" t="s">
        <v>10627</v>
      </c>
      <c r="J15947" t="s">
        <v>32998</v>
      </c>
      <c r="K15947" t="s">
        <v>42311</v>
      </c>
      <c r="M15947" t="s">
        <v>45461</v>
      </c>
      <c r="N15947" t="s">
        <v>46569</v>
      </c>
      <c r="O15947" t="s">
        <v>46570</v>
      </c>
      <c r="P15947">
        <v>0</v>
      </c>
      <c r="Q15947">
        <v>1</v>
      </c>
      <c r="R15947" t="s">
        <v>46579</v>
      </c>
      <c r="S15947" t="s">
        <v>46919</v>
      </c>
      <c r="T15947" t="s">
        <v>48363</v>
      </c>
      <c r="U15947" t="s">
        <v>61565</v>
      </c>
      <c r="W15947" t="s">
        <v>45461</v>
      </c>
      <c r="X15947" t="s">
        <v>46580</v>
      </c>
    </row>
    <row r="15948" spans="1:24">
      <c r="A15948">
        <f>HYPERLINK("https://www.philgeps.gov.ph/GEPSNONPILOT/Tender/SplashBidNoticeAbstractUI.aspx?menuIndex=3&amp;refID=7052069&amp;Result=3","7052069")</f>
        <v>0</v>
      </c>
      <c r="B15948" t="s">
        <v>1943</v>
      </c>
      <c r="C15948" t="s">
        <v>18734</v>
      </c>
      <c r="D15948" t="s">
        <v>18842</v>
      </c>
      <c r="E15948" t="s">
        <v>30433</v>
      </c>
      <c r="F15948" t="s">
        <v>32664</v>
      </c>
      <c r="G15948" t="s">
        <v>32672</v>
      </c>
      <c r="H15948" t="s">
        <v>32683</v>
      </c>
      <c r="I15948" t="s">
        <v>10627</v>
      </c>
      <c r="J15948" t="s">
        <v>42255</v>
      </c>
      <c r="K15948" t="s">
        <v>42281</v>
      </c>
      <c r="M15948" t="s">
        <v>44668</v>
      </c>
      <c r="N15948" t="s">
        <v>46569</v>
      </c>
      <c r="O15948" t="s">
        <v>46570</v>
      </c>
      <c r="P15948">
        <v>0</v>
      </c>
      <c r="Q15948">
        <v>0</v>
      </c>
      <c r="R15948" t="s">
        <v>46578</v>
      </c>
      <c r="S15948" t="s">
        <v>46874</v>
      </c>
      <c r="T15948" t="s">
        <v>48225</v>
      </c>
      <c r="U15948" t="s">
        <v>61566</v>
      </c>
      <c r="W15948" t="s">
        <v>44668</v>
      </c>
      <c r="X15948" t="s">
        <v>46579</v>
      </c>
    </row>
    <row r="15949" spans="1:24">
      <c r="A15949">
        <f>HYPERLINK("https://www.philgeps.gov.ph/GEPSNONPILOT/Tender/SplashBidNoticeAbstractUI.aspx?menuIndex=3&amp;refID=7052001&amp;Result=3","7052001")</f>
        <v>0</v>
      </c>
      <c r="B15949" t="s">
        <v>1282</v>
      </c>
      <c r="C15949" t="s">
        <v>18735</v>
      </c>
      <c r="D15949" t="s">
        <v>18823</v>
      </c>
      <c r="E15949" t="s">
        <v>32628</v>
      </c>
      <c r="F15949" t="s">
        <v>32664</v>
      </c>
      <c r="G15949" t="s">
        <v>32672</v>
      </c>
      <c r="H15949" t="s">
        <v>12635</v>
      </c>
      <c r="I15949" t="s">
        <v>8797</v>
      </c>
      <c r="J15949" t="s">
        <v>42256</v>
      </c>
      <c r="K15949" t="s">
        <v>42283</v>
      </c>
      <c r="M15949" t="s">
        <v>43925</v>
      </c>
      <c r="N15949" t="s">
        <v>46569</v>
      </c>
      <c r="O15949" t="s">
        <v>46570</v>
      </c>
      <c r="P15949">
        <v>0</v>
      </c>
      <c r="Q15949">
        <v>1</v>
      </c>
      <c r="R15949" t="s">
        <v>46578</v>
      </c>
      <c r="S15949" t="s">
        <v>46874</v>
      </c>
      <c r="T15949" t="s">
        <v>48212</v>
      </c>
      <c r="U15949" t="s">
        <v>61567</v>
      </c>
      <c r="W15949" t="s">
        <v>63508</v>
      </c>
      <c r="X15949" t="s">
        <v>46579</v>
      </c>
    </row>
    <row r="15950" spans="1:24">
      <c r="A15950">
        <f>HYPERLINK("https://www.philgeps.gov.ph/GEPSNONPILOT/Tender/SplashBidNoticeAbstractUI.aspx?menuIndex=3&amp;refID=7052060&amp;Result=3","7052060")</f>
        <v>0</v>
      </c>
      <c r="B15950" t="s">
        <v>1282</v>
      </c>
      <c r="C15950" t="s">
        <v>18736</v>
      </c>
      <c r="D15950" t="s">
        <v>18823</v>
      </c>
      <c r="E15950" t="s">
        <v>32629</v>
      </c>
      <c r="F15950" t="s">
        <v>32664</v>
      </c>
      <c r="G15950" t="s">
        <v>32672</v>
      </c>
      <c r="H15950" t="s">
        <v>12635</v>
      </c>
      <c r="I15950" t="s">
        <v>32736</v>
      </c>
      <c r="J15950" t="s">
        <v>37009</v>
      </c>
      <c r="K15950" t="s">
        <v>42283</v>
      </c>
      <c r="M15950" t="s">
        <v>43925</v>
      </c>
      <c r="N15950" t="s">
        <v>46569</v>
      </c>
      <c r="O15950" t="s">
        <v>46570</v>
      </c>
      <c r="P15950">
        <v>0</v>
      </c>
      <c r="Q15950">
        <v>0</v>
      </c>
      <c r="R15950" t="s">
        <v>46578</v>
      </c>
      <c r="S15950" t="s">
        <v>46874</v>
      </c>
      <c r="T15950" t="s">
        <v>48212</v>
      </c>
      <c r="U15950" t="s">
        <v>61568</v>
      </c>
      <c r="W15950" t="s">
        <v>63508</v>
      </c>
      <c r="X15950" t="s">
        <v>46579</v>
      </c>
    </row>
    <row r="15951" spans="1:24">
      <c r="A15951">
        <f>HYPERLINK("https://www.philgeps.gov.ph/GEPSNONPILOT/Tender/SplashBidNoticeAbstractUI.aspx?menuIndex=3&amp;refID=7052045&amp;Result=3","7052045")</f>
        <v>0</v>
      </c>
      <c r="B15951" t="s">
        <v>2523</v>
      </c>
      <c r="C15951" t="s">
        <v>18737</v>
      </c>
      <c r="D15951" t="s">
        <v>18789</v>
      </c>
      <c r="E15951" t="s">
        <v>32630</v>
      </c>
      <c r="F15951" t="s">
        <v>32664</v>
      </c>
      <c r="G15951" t="s">
        <v>32672</v>
      </c>
      <c r="H15951" t="s">
        <v>12635</v>
      </c>
      <c r="I15951" t="s">
        <v>32712</v>
      </c>
      <c r="J15951" t="s">
        <v>32865</v>
      </c>
      <c r="K15951" t="s">
        <v>42281</v>
      </c>
      <c r="M15951" t="s">
        <v>45899</v>
      </c>
      <c r="N15951" t="s">
        <v>46569</v>
      </c>
      <c r="O15951" t="s">
        <v>46570</v>
      </c>
      <c r="P15951">
        <v>0</v>
      </c>
      <c r="Q15951">
        <v>9</v>
      </c>
      <c r="R15951" t="s">
        <v>46578</v>
      </c>
      <c r="S15951" t="s">
        <v>46874</v>
      </c>
      <c r="T15951" t="s">
        <v>48225</v>
      </c>
      <c r="U15951" t="s">
        <v>57809</v>
      </c>
      <c r="W15951" t="s">
        <v>45899</v>
      </c>
      <c r="X15951" t="s">
        <v>46579</v>
      </c>
    </row>
    <row r="15952" spans="1:24">
      <c r="A15952">
        <f>HYPERLINK("https://www.philgeps.gov.ph/GEPSNONPILOT/Tender/SplashBidNoticeAbstractUI.aspx?menuIndex=3&amp;refID=7047756&amp;Result=3","7047756")</f>
        <v>0</v>
      </c>
      <c r="B15952" t="s">
        <v>3522</v>
      </c>
      <c r="C15952" t="s">
        <v>18738</v>
      </c>
      <c r="D15952" t="s">
        <v>18810</v>
      </c>
      <c r="E15952" t="s">
        <v>18738</v>
      </c>
      <c r="F15952" t="s">
        <v>32664</v>
      </c>
      <c r="G15952" t="s">
        <v>32674</v>
      </c>
      <c r="H15952" t="s">
        <v>12635</v>
      </c>
      <c r="I15952" t="s">
        <v>6168</v>
      </c>
      <c r="J15952" t="s">
        <v>42257</v>
      </c>
      <c r="K15952" t="s">
        <v>42298</v>
      </c>
      <c r="M15952" t="s">
        <v>46562</v>
      </c>
      <c r="N15952" t="s">
        <v>46569</v>
      </c>
      <c r="O15952" t="s">
        <v>46570</v>
      </c>
      <c r="P15952">
        <v>0</v>
      </c>
      <c r="Q15952">
        <v>3</v>
      </c>
      <c r="R15952" t="s">
        <v>46579</v>
      </c>
      <c r="S15952" t="s">
        <v>46919</v>
      </c>
      <c r="T15952" t="s">
        <v>48578</v>
      </c>
      <c r="U15952" t="s">
        <v>61569</v>
      </c>
      <c r="V15952" t="s">
        <v>63452</v>
      </c>
      <c r="W15952" t="s">
        <v>46562</v>
      </c>
      <c r="X15952" t="s">
        <v>46580</v>
      </c>
    </row>
    <row r="15953" spans="1:24">
      <c r="A15953">
        <f>HYPERLINK("https://www.philgeps.gov.ph/GEPSNONPILOT/Tender/SplashBidNoticeAbstractUI.aspx?menuIndex=3&amp;refID=7052004&amp;Result=3","7052004")</f>
        <v>0</v>
      </c>
      <c r="B15953" t="s">
        <v>550</v>
      </c>
      <c r="C15953" t="s">
        <v>18739</v>
      </c>
      <c r="D15953" t="s">
        <v>18792</v>
      </c>
      <c r="E15953" t="s">
        <v>32631</v>
      </c>
      <c r="F15953" t="s">
        <v>32664</v>
      </c>
      <c r="G15953" t="s">
        <v>32675</v>
      </c>
      <c r="H15953" t="s">
        <v>12635</v>
      </c>
      <c r="I15953" t="s">
        <v>32687</v>
      </c>
      <c r="J15953" t="s">
        <v>32831</v>
      </c>
      <c r="K15953" t="s">
        <v>42281</v>
      </c>
      <c r="M15953" t="s">
        <v>43130</v>
      </c>
      <c r="N15953" t="s">
        <v>46569</v>
      </c>
      <c r="O15953" t="s">
        <v>46570</v>
      </c>
      <c r="P15953">
        <v>0</v>
      </c>
      <c r="Q15953">
        <v>0</v>
      </c>
      <c r="R15953" t="s">
        <v>46578</v>
      </c>
      <c r="S15953" t="s">
        <v>46874</v>
      </c>
      <c r="T15953" t="s">
        <v>48598</v>
      </c>
      <c r="U15953" t="s">
        <v>49769</v>
      </c>
      <c r="W15953" t="s">
        <v>43130</v>
      </c>
      <c r="X15953" t="s">
        <v>46579</v>
      </c>
    </row>
    <row r="15954" spans="1:24">
      <c r="A15954">
        <f>HYPERLINK("https://www.philgeps.gov.ph/GEPSNONPILOT/Tender/SplashBidNoticeAbstractUI.aspx?menuIndex=3&amp;refID=7051991&amp;Result=3","7051991")</f>
        <v>0</v>
      </c>
      <c r="B15954" t="s">
        <v>2132</v>
      </c>
      <c r="C15954" t="s">
        <v>18740</v>
      </c>
      <c r="D15954" t="s">
        <v>18831</v>
      </c>
      <c r="E15954" t="s">
        <v>32632</v>
      </c>
      <c r="F15954" t="s">
        <v>32664</v>
      </c>
      <c r="G15954" t="s">
        <v>32672</v>
      </c>
      <c r="H15954" t="s">
        <v>12635</v>
      </c>
      <c r="I15954" t="s">
        <v>32736</v>
      </c>
      <c r="J15954" t="s">
        <v>33267</v>
      </c>
      <c r="K15954" t="s">
        <v>42281</v>
      </c>
      <c r="M15954" t="s">
        <v>44887</v>
      </c>
      <c r="N15954" t="s">
        <v>46569</v>
      </c>
      <c r="O15954" t="s">
        <v>46570</v>
      </c>
      <c r="P15954">
        <v>0</v>
      </c>
      <c r="Q15954">
        <v>1</v>
      </c>
      <c r="R15954" t="s">
        <v>46578</v>
      </c>
      <c r="S15954" t="s">
        <v>46874</v>
      </c>
      <c r="T15954" t="s">
        <v>48467</v>
      </c>
      <c r="U15954" t="s">
        <v>61570</v>
      </c>
      <c r="V15954" t="s">
        <v>62796</v>
      </c>
      <c r="W15954" t="s">
        <v>44887</v>
      </c>
      <c r="X15954" t="s">
        <v>46579</v>
      </c>
    </row>
    <row r="15955" spans="1:24">
      <c r="A15955">
        <f>HYPERLINK("https://www.philgeps.gov.ph/GEPSNONPILOT/Tender/SplashBidNoticeAbstractUI.aspx?menuIndex=3&amp;refID=7051986&amp;Result=3","7051986")</f>
        <v>0</v>
      </c>
      <c r="B15955" t="s">
        <v>2946</v>
      </c>
      <c r="C15955" t="s">
        <v>18741</v>
      </c>
      <c r="D15955" t="s">
        <v>18786</v>
      </c>
      <c r="E15955" t="s">
        <v>31623</v>
      </c>
      <c r="F15955" t="s">
        <v>32664</v>
      </c>
      <c r="G15955" t="s">
        <v>32672</v>
      </c>
      <c r="H15955" t="s">
        <v>12635</v>
      </c>
      <c r="I15955" t="s">
        <v>10627</v>
      </c>
      <c r="J15955" t="s">
        <v>42258</v>
      </c>
      <c r="K15955" t="s">
        <v>42281</v>
      </c>
      <c r="M15955" t="s">
        <v>45800</v>
      </c>
      <c r="N15955" t="s">
        <v>46569</v>
      </c>
      <c r="O15955" t="s">
        <v>46570</v>
      </c>
      <c r="P15955">
        <v>0</v>
      </c>
      <c r="Q15955">
        <v>2</v>
      </c>
      <c r="R15955" t="s">
        <v>46578</v>
      </c>
      <c r="S15955" t="s">
        <v>46874</v>
      </c>
      <c r="T15955" t="s">
        <v>48246</v>
      </c>
      <c r="U15955" t="s">
        <v>61571</v>
      </c>
      <c r="W15955" t="s">
        <v>45800</v>
      </c>
      <c r="X15955" t="s">
        <v>46579</v>
      </c>
    </row>
    <row r="15956" spans="1:24">
      <c r="A15956">
        <f>HYPERLINK("https://www.philgeps.gov.ph/GEPSNONPILOT/Tender/SplashBidNoticeAbstractUI.aspx?menuIndex=3&amp;refID=7051937&amp;Result=3","7051937")</f>
        <v>0</v>
      </c>
      <c r="B15956" t="s">
        <v>3523</v>
      </c>
      <c r="C15956" t="s">
        <v>18742</v>
      </c>
      <c r="D15956" t="s">
        <v>18827</v>
      </c>
      <c r="E15956" t="s">
        <v>19282</v>
      </c>
      <c r="F15956" t="s">
        <v>32665</v>
      </c>
      <c r="G15956" t="s">
        <v>32671</v>
      </c>
      <c r="H15956" t="s">
        <v>12635</v>
      </c>
      <c r="I15956" t="s">
        <v>14442</v>
      </c>
      <c r="J15956" t="s">
        <v>42259</v>
      </c>
      <c r="K15956" t="s">
        <v>42297</v>
      </c>
      <c r="M15956" t="s">
        <v>46563</v>
      </c>
      <c r="N15956" t="s">
        <v>46569</v>
      </c>
      <c r="O15956" t="s">
        <v>46570</v>
      </c>
      <c r="P15956">
        <v>0</v>
      </c>
      <c r="Q15956">
        <v>12</v>
      </c>
      <c r="R15956" t="s">
        <v>46578</v>
      </c>
      <c r="S15956" t="s">
        <v>46874</v>
      </c>
      <c r="T15956" t="s">
        <v>48449</v>
      </c>
      <c r="U15956" t="s">
        <v>61572</v>
      </c>
      <c r="W15956" t="s">
        <v>46563</v>
      </c>
      <c r="X15956" t="s">
        <v>46579</v>
      </c>
    </row>
    <row r="15957" spans="1:24">
      <c r="A15957">
        <f>HYPERLINK("https://www.philgeps.gov.ph/GEPSNONPILOT/Tender/SplashBidNoticeAbstractUI.aspx?menuIndex=3&amp;refID=7051936&amp;Result=3","7051936")</f>
        <v>0</v>
      </c>
      <c r="B15957" t="s">
        <v>2927</v>
      </c>
      <c r="C15957" t="s">
        <v>18743</v>
      </c>
      <c r="D15957" t="s">
        <v>18826</v>
      </c>
      <c r="E15957" t="s">
        <v>32633</v>
      </c>
      <c r="F15957" t="s">
        <v>32664</v>
      </c>
      <c r="G15957" t="s">
        <v>32671</v>
      </c>
      <c r="H15957" t="s">
        <v>12635</v>
      </c>
      <c r="I15957" t="s">
        <v>11464</v>
      </c>
      <c r="J15957" t="s">
        <v>34329</v>
      </c>
      <c r="K15957" t="s">
        <v>42303</v>
      </c>
      <c r="M15957" t="s">
        <v>45781</v>
      </c>
      <c r="N15957" t="s">
        <v>46569</v>
      </c>
      <c r="O15957" t="s">
        <v>46570</v>
      </c>
      <c r="P15957">
        <v>0</v>
      </c>
      <c r="Q15957">
        <v>0</v>
      </c>
      <c r="R15957" t="s">
        <v>46578</v>
      </c>
      <c r="S15957" t="s">
        <v>46874</v>
      </c>
      <c r="T15957" t="s">
        <v>48578</v>
      </c>
      <c r="U15957" t="s">
        <v>61573</v>
      </c>
      <c r="W15957" t="s">
        <v>45781</v>
      </c>
      <c r="X15957" t="s">
        <v>46579</v>
      </c>
    </row>
    <row r="15958" spans="1:24">
      <c r="A15958">
        <f>HYPERLINK("https://www.philgeps.gov.ph/GEPSNONPILOT/Tender/SplashBidNoticeAbstractUI.aspx?menuIndex=3&amp;refID=7047882&amp;Result=3","7047882")</f>
        <v>0</v>
      </c>
      <c r="B15958" t="s">
        <v>3249</v>
      </c>
      <c r="C15958" t="s">
        <v>18744</v>
      </c>
      <c r="D15958" t="s">
        <v>18804</v>
      </c>
      <c r="E15958" t="s">
        <v>32634</v>
      </c>
      <c r="F15958" t="s">
        <v>32665</v>
      </c>
      <c r="G15958" t="s">
        <v>32672</v>
      </c>
      <c r="H15958" t="s">
        <v>12635</v>
      </c>
      <c r="I15958" t="s">
        <v>4439</v>
      </c>
      <c r="J15958" t="s">
        <v>42260</v>
      </c>
      <c r="K15958" t="s">
        <v>42289</v>
      </c>
      <c r="M15958" t="s">
        <v>46176</v>
      </c>
      <c r="N15958" t="s">
        <v>46569</v>
      </c>
      <c r="O15958" t="s">
        <v>46570</v>
      </c>
      <c r="P15958">
        <v>0</v>
      </c>
      <c r="Q15958">
        <v>0</v>
      </c>
      <c r="R15958" t="s">
        <v>46579</v>
      </c>
      <c r="S15958" t="s">
        <v>46919</v>
      </c>
      <c r="T15958" t="s">
        <v>48212</v>
      </c>
      <c r="U15958" t="s">
        <v>61574</v>
      </c>
      <c r="V15958" t="s">
        <v>63033</v>
      </c>
      <c r="W15958" t="s">
        <v>46176</v>
      </c>
      <c r="X15958" t="s">
        <v>46580</v>
      </c>
    </row>
    <row r="15959" spans="1:24">
      <c r="A15959">
        <f>HYPERLINK("https://www.philgeps.gov.ph/GEPSNONPILOT/Tender/SplashBidNoticeAbstractUI.aspx?menuIndex=3&amp;refID=7051935&amp;Result=3","7051935")</f>
        <v>0</v>
      </c>
      <c r="B15959" t="s">
        <v>2107</v>
      </c>
      <c r="C15959" t="s">
        <v>18745</v>
      </c>
      <c r="D15959" t="s">
        <v>18783</v>
      </c>
      <c r="E15959" t="s">
        <v>24209</v>
      </c>
      <c r="F15959" t="s">
        <v>32664</v>
      </c>
      <c r="G15959" t="s">
        <v>32672</v>
      </c>
      <c r="H15959" t="s">
        <v>12635</v>
      </c>
      <c r="I15959" t="s">
        <v>11464</v>
      </c>
      <c r="J15959" t="s">
        <v>41762</v>
      </c>
      <c r="K15959" t="s">
        <v>42303</v>
      </c>
      <c r="M15959" t="s">
        <v>44862</v>
      </c>
      <c r="N15959" t="s">
        <v>46569</v>
      </c>
      <c r="O15959" t="s">
        <v>46570</v>
      </c>
      <c r="P15959">
        <v>0</v>
      </c>
      <c r="Q15959">
        <v>3</v>
      </c>
      <c r="R15959" t="s">
        <v>46578</v>
      </c>
      <c r="S15959" t="s">
        <v>46874</v>
      </c>
      <c r="T15959" t="s">
        <v>48374</v>
      </c>
      <c r="U15959" t="s">
        <v>61575</v>
      </c>
      <c r="V15959" t="s">
        <v>62793</v>
      </c>
      <c r="W15959" t="s">
        <v>44862</v>
      </c>
      <c r="X15959" t="s">
        <v>46579</v>
      </c>
    </row>
    <row r="15960" spans="1:24">
      <c r="A15960">
        <f>HYPERLINK("https://www.philgeps.gov.ph/GEPSNONPILOT/Tender/SplashBidNoticeAbstractUI.aspx?menuIndex=3&amp;refID=7051933&amp;Result=3","7051933")</f>
        <v>0</v>
      </c>
      <c r="B15960" t="s">
        <v>2345</v>
      </c>
      <c r="C15960" t="s">
        <v>18746</v>
      </c>
      <c r="D15960" t="s">
        <v>18849</v>
      </c>
      <c r="E15960" t="s">
        <v>32635</v>
      </c>
      <c r="F15960" t="s">
        <v>32664</v>
      </c>
      <c r="G15960" t="s">
        <v>32672</v>
      </c>
      <c r="H15960" t="s">
        <v>12635</v>
      </c>
      <c r="I15960" t="s">
        <v>4439</v>
      </c>
      <c r="J15960" t="s">
        <v>42261</v>
      </c>
      <c r="K15960" t="s">
        <v>42512</v>
      </c>
      <c r="L15960" t="s">
        <v>2345</v>
      </c>
      <c r="M15960" t="s">
        <v>45127</v>
      </c>
      <c r="N15960" t="s">
        <v>46569</v>
      </c>
      <c r="O15960" t="s">
        <v>46570</v>
      </c>
      <c r="P15960">
        <v>0</v>
      </c>
      <c r="Q15960">
        <v>3</v>
      </c>
      <c r="R15960" t="s">
        <v>46578</v>
      </c>
      <c r="S15960" t="s">
        <v>46874</v>
      </c>
      <c r="T15960" t="s">
        <v>48363</v>
      </c>
      <c r="U15960" t="s">
        <v>61576</v>
      </c>
      <c r="W15960" t="s">
        <v>45127</v>
      </c>
      <c r="X15960" t="s">
        <v>46579</v>
      </c>
    </row>
    <row r="15961" spans="1:24">
      <c r="A15961">
        <f>HYPERLINK("https://www.philgeps.gov.ph/GEPSNONPILOT/Tender/SplashBidNoticeAbstractUI.aspx?menuIndex=3&amp;refID=7051923&amp;Result=3","7051923")</f>
        <v>0</v>
      </c>
      <c r="B15961" t="s">
        <v>836</v>
      </c>
      <c r="C15961" t="s">
        <v>18747</v>
      </c>
      <c r="D15961" t="s">
        <v>18823</v>
      </c>
      <c r="E15961" t="s">
        <v>32636</v>
      </c>
      <c r="F15961" t="s">
        <v>32664</v>
      </c>
      <c r="G15961" t="s">
        <v>32672</v>
      </c>
      <c r="H15961" t="s">
        <v>12635</v>
      </c>
      <c r="I15961" t="s">
        <v>5589</v>
      </c>
      <c r="J15961" t="s">
        <v>42262</v>
      </c>
      <c r="K15961" t="s">
        <v>42297</v>
      </c>
      <c r="L15961" t="s">
        <v>836</v>
      </c>
      <c r="M15961" t="s">
        <v>43431</v>
      </c>
      <c r="N15961" t="s">
        <v>46569</v>
      </c>
      <c r="O15961" t="s">
        <v>46570</v>
      </c>
      <c r="P15961">
        <v>0</v>
      </c>
      <c r="Q15961">
        <v>9</v>
      </c>
      <c r="R15961" t="s">
        <v>46578</v>
      </c>
      <c r="S15961" t="s">
        <v>46874</v>
      </c>
      <c r="T15961" t="s">
        <v>48376</v>
      </c>
      <c r="U15961" t="s">
        <v>50394</v>
      </c>
      <c r="V15961" t="s">
        <v>63453</v>
      </c>
      <c r="W15961" t="s">
        <v>43431</v>
      </c>
      <c r="X15961" t="s">
        <v>46579</v>
      </c>
    </row>
    <row r="15962" spans="1:24">
      <c r="A15962">
        <f>HYPERLINK("https://www.philgeps.gov.ph/GEPSNONPILOT/Tender/SplashBidNoticeAbstractUI.aspx?menuIndex=3&amp;refID=7051882&amp;Result=3","7051882")</f>
        <v>0</v>
      </c>
      <c r="B15962" t="s">
        <v>1669</v>
      </c>
      <c r="C15962" t="s">
        <v>18748</v>
      </c>
      <c r="E15962" t="s">
        <v>32637</v>
      </c>
      <c r="F15962" t="s">
        <v>32664</v>
      </c>
      <c r="G15962" t="s">
        <v>32672</v>
      </c>
      <c r="H15962" t="s">
        <v>32683</v>
      </c>
      <c r="I15962" t="s">
        <v>10627</v>
      </c>
      <c r="J15962" t="s">
        <v>42263</v>
      </c>
      <c r="K15962" t="s">
        <v>42283</v>
      </c>
      <c r="M15962" t="s">
        <v>44356</v>
      </c>
      <c r="N15962" t="s">
        <v>46569</v>
      </c>
      <c r="O15962" t="s">
        <v>46570</v>
      </c>
      <c r="P15962">
        <v>0</v>
      </c>
      <c r="Q15962">
        <v>2</v>
      </c>
      <c r="R15962" t="s">
        <v>46578</v>
      </c>
      <c r="S15962" t="s">
        <v>46874</v>
      </c>
      <c r="T15962" t="s">
        <v>48313</v>
      </c>
      <c r="U15962" t="s">
        <v>61577</v>
      </c>
      <c r="V15962" t="s">
        <v>63454</v>
      </c>
      <c r="W15962" t="s">
        <v>44356</v>
      </c>
      <c r="X15962" t="s">
        <v>46579</v>
      </c>
    </row>
    <row r="15963" spans="1:24">
      <c r="A15963">
        <f>HYPERLINK("https://www.philgeps.gov.ph/GEPSNONPILOT/Tender/SplashBidNoticeAbstractUI.aspx?menuIndex=3&amp;refID=7052011&amp;Result=3","7052011")</f>
        <v>0</v>
      </c>
      <c r="B15963" t="s">
        <v>2958</v>
      </c>
      <c r="C15963" t="s">
        <v>18749</v>
      </c>
      <c r="D15963" t="s">
        <v>18792</v>
      </c>
      <c r="E15963" t="s">
        <v>19247</v>
      </c>
      <c r="F15963" t="s">
        <v>32664</v>
      </c>
      <c r="G15963" t="s">
        <v>32672</v>
      </c>
      <c r="H15963" t="s">
        <v>32683</v>
      </c>
      <c r="I15963" t="s">
        <v>10627</v>
      </c>
      <c r="J15963" t="s">
        <v>42264</v>
      </c>
      <c r="K15963" t="s">
        <v>42311</v>
      </c>
      <c r="M15963" t="s">
        <v>45812</v>
      </c>
      <c r="N15963" t="s">
        <v>46569</v>
      </c>
      <c r="O15963" t="s">
        <v>46570</v>
      </c>
      <c r="P15963">
        <v>0</v>
      </c>
      <c r="Q15963">
        <v>0</v>
      </c>
      <c r="R15963" t="s">
        <v>46578</v>
      </c>
      <c r="S15963" t="s">
        <v>46874</v>
      </c>
      <c r="T15963" t="s">
        <v>48452</v>
      </c>
      <c r="U15963" t="s">
        <v>61578</v>
      </c>
      <c r="W15963" t="s">
        <v>45812</v>
      </c>
      <c r="X15963" t="s">
        <v>46579</v>
      </c>
    </row>
    <row r="15964" spans="1:24">
      <c r="A15964">
        <f>HYPERLINK("https://www.philgeps.gov.ph/GEPSNONPILOT/Tender/SplashBidNoticeAbstractUI.aspx?menuIndex=3&amp;refID=7051881&amp;Result=3","7051881")</f>
        <v>0</v>
      </c>
      <c r="B15964" t="s">
        <v>2442</v>
      </c>
      <c r="C15964" t="s">
        <v>18750</v>
      </c>
      <c r="D15964" t="s">
        <v>18852</v>
      </c>
      <c r="E15964" t="s">
        <v>32638</v>
      </c>
      <c r="F15964" t="s">
        <v>32664</v>
      </c>
      <c r="G15964" t="s">
        <v>32672</v>
      </c>
      <c r="H15964" t="s">
        <v>12635</v>
      </c>
      <c r="I15964" t="s">
        <v>11464</v>
      </c>
      <c r="J15964" t="s">
        <v>32837</v>
      </c>
      <c r="K15964" t="s">
        <v>42289</v>
      </c>
      <c r="M15964" t="s">
        <v>45235</v>
      </c>
      <c r="N15964" t="s">
        <v>46569</v>
      </c>
      <c r="O15964" t="s">
        <v>46570</v>
      </c>
      <c r="P15964">
        <v>0</v>
      </c>
      <c r="Q15964">
        <v>1</v>
      </c>
      <c r="R15964" t="s">
        <v>46578</v>
      </c>
      <c r="S15964" t="s">
        <v>46874</v>
      </c>
      <c r="T15964" t="s">
        <v>48212</v>
      </c>
      <c r="U15964" t="s">
        <v>61579</v>
      </c>
      <c r="V15964" t="s">
        <v>63455</v>
      </c>
      <c r="W15964" t="s">
        <v>45235</v>
      </c>
      <c r="X15964" t="s">
        <v>46579</v>
      </c>
    </row>
    <row r="15965" spans="1:24">
      <c r="A15965">
        <f>HYPERLINK("https://www.philgeps.gov.ph/GEPSNONPILOT/Tender/SplashBidNoticeAbstractUI.aspx?menuIndex=3&amp;refID=7051879&amp;Result=3","7051879")</f>
        <v>0</v>
      </c>
      <c r="B15965" t="s">
        <v>3524</v>
      </c>
      <c r="C15965" t="s">
        <v>18751</v>
      </c>
      <c r="D15965" t="s">
        <v>18805</v>
      </c>
      <c r="E15965" t="s">
        <v>32639</v>
      </c>
      <c r="F15965" t="s">
        <v>32664</v>
      </c>
      <c r="G15965" t="s">
        <v>32672</v>
      </c>
      <c r="H15965" t="s">
        <v>32683</v>
      </c>
      <c r="I15965" t="s">
        <v>10627</v>
      </c>
      <c r="J15965" t="s">
        <v>42265</v>
      </c>
      <c r="K15965" t="s">
        <v>42472</v>
      </c>
      <c r="M15965" t="s">
        <v>46564</v>
      </c>
      <c r="N15965" t="s">
        <v>46569</v>
      </c>
      <c r="O15965" t="s">
        <v>46570</v>
      </c>
      <c r="P15965">
        <v>0</v>
      </c>
      <c r="Q15965">
        <v>3</v>
      </c>
      <c r="R15965" t="s">
        <v>46578</v>
      </c>
      <c r="S15965" t="s">
        <v>46874</v>
      </c>
      <c r="T15965" t="s">
        <v>48351</v>
      </c>
      <c r="U15965" t="s">
        <v>61580</v>
      </c>
      <c r="W15965" t="s">
        <v>46564</v>
      </c>
      <c r="X15965" t="s">
        <v>46579</v>
      </c>
    </row>
    <row r="15966" spans="1:24">
      <c r="A15966">
        <f>HYPERLINK("https://www.philgeps.gov.ph/GEPSNONPILOT/Tender/SplashBidNoticeAbstractUI.aspx?menuIndex=3&amp;refID=7051869&amp;Result=3","7051869")</f>
        <v>0</v>
      </c>
      <c r="B15966" t="s">
        <v>2357</v>
      </c>
      <c r="C15966" t="s">
        <v>18752</v>
      </c>
      <c r="D15966" t="s">
        <v>18783</v>
      </c>
      <c r="E15966" t="s">
        <v>20718</v>
      </c>
      <c r="F15966" t="s">
        <v>32664</v>
      </c>
      <c r="G15966" t="s">
        <v>32672</v>
      </c>
      <c r="H15966" t="s">
        <v>12635</v>
      </c>
      <c r="I15966" t="s">
        <v>6168</v>
      </c>
      <c r="J15966" t="s">
        <v>33696</v>
      </c>
      <c r="K15966" t="s">
        <v>42289</v>
      </c>
      <c r="M15966" t="s">
        <v>45141</v>
      </c>
      <c r="N15966" t="s">
        <v>46569</v>
      </c>
      <c r="O15966" t="s">
        <v>46570</v>
      </c>
      <c r="P15966">
        <v>0</v>
      </c>
      <c r="Q15966">
        <v>2</v>
      </c>
      <c r="R15966" t="s">
        <v>46578</v>
      </c>
      <c r="S15966" t="s">
        <v>46874</v>
      </c>
      <c r="T15966" t="s">
        <v>48502</v>
      </c>
      <c r="U15966" t="s">
        <v>61581</v>
      </c>
      <c r="W15966" t="s">
        <v>45141</v>
      </c>
      <c r="X15966" t="s">
        <v>46579</v>
      </c>
    </row>
    <row r="15967" spans="1:24">
      <c r="A15967">
        <f>HYPERLINK("https://www.philgeps.gov.ph/GEPSNONPILOT/Tender/SplashBidNoticeAbstractUI.aspx?menuIndex=3&amp;refID=7051861&amp;Result=3","7051861")</f>
        <v>0</v>
      </c>
      <c r="B15967" t="s">
        <v>2107</v>
      </c>
      <c r="C15967" t="s">
        <v>18753</v>
      </c>
      <c r="D15967" t="s">
        <v>18783</v>
      </c>
      <c r="E15967" t="s">
        <v>23801</v>
      </c>
      <c r="F15967" t="s">
        <v>32664</v>
      </c>
      <c r="G15967" t="s">
        <v>32672</v>
      </c>
      <c r="H15967" t="s">
        <v>12635</v>
      </c>
      <c r="I15967" t="s">
        <v>4439</v>
      </c>
      <c r="J15967" t="s">
        <v>42266</v>
      </c>
      <c r="K15967" t="s">
        <v>42303</v>
      </c>
      <c r="M15967" t="s">
        <v>44862</v>
      </c>
      <c r="N15967" t="s">
        <v>46569</v>
      </c>
      <c r="O15967" t="s">
        <v>46570</v>
      </c>
      <c r="P15967">
        <v>0</v>
      </c>
      <c r="Q15967">
        <v>0</v>
      </c>
      <c r="R15967" t="s">
        <v>46578</v>
      </c>
      <c r="S15967" t="s">
        <v>46874</v>
      </c>
      <c r="T15967" t="s">
        <v>48374</v>
      </c>
      <c r="U15967" t="s">
        <v>61582</v>
      </c>
      <c r="V15967" t="s">
        <v>62793</v>
      </c>
      <c r="W15967" t="s">
        <v>44862</v>
      </c>
      <c r="X15967" t="s">
        <v>46579</v>
      </c>
    </row>
    <row r="15968" spans="1:24">
      <c r="A15968">
        <f>HYPERLINK("https://www.philgeps.gov.ph/GEPSNONPILOT/Tender/SplashBidNoticeAbstractUI.aspx?menuIndex=3&amp;refID=7051858&amp;Result=3","7051858")</f>
        <v>0</v>
      </c>
      <c r="B15968" t="s">
        <v>1669</v>
      </c>
      <c r="C15968" t="s">
        <v>18754</v>
      </c>
      <c r="E15968" t="s">
        <v>32640</v>
      </c>
      <c r="F15968" t="s">
        <v>32664</v>
      </c>
      <c r="G15968" t="s">
        <v>32672</v>
      </c>
      <c r="H15968" t="s">
        <v>32683</v>
      </c>
      <c r="I15968" t="s">
        <v>10627</v>
      </c>
      <c r="J15968" t="s">
        <v>42267</v>
      </c>
      <c r="K15968" t="s">
        <v>42283</v>
      </c>
      <c r="M15968" t="s">
        <v>44356</v>
      </c>
      <c r="N15968" t="s">
        <v>46569</v>
      </c>
      <c r="O15968" t="s">
        <v>46570</v>
      </c>
      <c r="P15968">
        <v>0</v>
      </c>
      <c r="Q15968">
        <v>3</v>
      </c>
      <c r="R15968" t="s">
        <v>46578</v>
      </c>
      <c r="S15968" t="s">
        <v>46874</v>
      </c>
      <c r="T15968" t="s">
        <v>48313</v>
      </c>
      <c r="U15968" t="s">
        <v>61583</v>
      </c>
      <c r="V15968" t="s">
        <v>63456</v>
      </c>
      <c r="W15968" t="s">
        <v>44356</v>
      </c>
      <c r="X15968" t="s">
        <v>46579</v>
      </c>
    </row>
    <row r="15969" spans="1:24">
      <c r="A15969">
        <f>HYPERLINK("https://www.philgeps.gov.ph/GEPSNONPILOT/Tender/SplashBidNoticeAbstractUI.aspx?menuIndex=3&amp;refID=7051850&amp;Result=3","7051850")</f>
        <v>0</v>
      </c>
      <c r="B15969" t="s">
        <v>2946</v>
      </c>
      <c r="C15969" t="s">
        <v>18755</v>
      </c>
      <c r="D15969" t="s">
        <v>18786</v>
      </c>
      <c r="E15969" t="s">
        <v>19597</v>
      </c>
      <c r="F15969" t="s">
        <v>32664</v>
      </c>
      <c r="G15969" t="s">
        <v>32672</v>
      </c>
      <c r="H15969" t="s">
        <v>32683</v>
      </c>
      <c r="I15969" t="s">
        <v>10627</v>
      </c>
      <c r="J15969" t="s">
        <v>34201</v>
      </c>
      <c r="K15969" t="s">
        <v>42311</v>
      </c>
      <c r="M15969" t="s">
        <v>45800</v>
      </c>
      <c r="N15969" t="s">
        <v>46569</v>
      </c>
      <c r="O15969" t="s">
        <v>46570</v>
      </c>
      <c r="P15969">
        <v>0</v>
      </c>
      <c r="Q15969">
        <v>0</v>
      </c>
      <c r="R15969" t="s">
        <v>46578</v>
      </c>
      <c r="S15969" t="s">
        <v>46874</v>
      </c>
      <c r="T15969" t="s">
        <v>48571</v>
      </c>
      <c r="U15969" t="s">
        <v>57496</v>
      </c>
      <c r="W15969" t="s">
        <v>45800</v>
      </c>
      <c r="X15969" t="s">
        <v>46579</v>
      </c>
    </row>
    <row r="15970" spans="1:24">
      <c r="A15970">
        <f>HYPERLINK("https://www.philgeps.gov.ph/GEPSNONPILOT/Tender/SplashBidNoticeAbstractUI.aspx?menuIndex=3&amp;refID=7051845&amp;Result=3","7051845")</f>
        <v>0</v>
      </c>
      <c r="B15970" t="s">
        <v>3525</v>
      </c>
      <c r="C15970" t="s">
        <v>18756</v>
      </c>
      <c r="D15970" t="s">
        <v>18806</v>
      </c>
      <c r="E15970" t="s">
        <v>19137</v>
      </c>
      <c r="F15970" t="s">
        <v>32664</v>
      </c>
      <c r="G15970" t="s">
        <v>32672</v>
      </c>
      <c r="H15970" t="s">
        <v>32683</v>
      </c>
      <c r="I15970" t="s">
        <v>32716</v>
      </c>
      <c r="J15970" t="s">
        <v>35135</v>
      </c>
      <c r="K15970" t="s">
        <v>42297</v>
      </c>
      <c r="M15970" t="s">
        <v>46565</v>
      </c>
      <c r="N15970" t="s">
        <v>46569</v>
      </c>
      <c r="O15970" t="s">
        <v>46570</v>
      </c>
      <c r="P15970">
        <v>0</v>
      </c>
      <c r="Q15970">
        <v>0</v>
      </c>
      <c r="R15970" t="s">
        <v>46578</v>
      </c>
      <c r="S15970" t="s">
        <v>46874</v>
      </c>
      <c r="T15970" t="s">
        <v>48427</v>
      </c>
      <c r="U15970" t="s">
        <v>61584</v>
      </c>
      <c r="V15970" t="s">
        <v>63457</v>
      </c>
      <c r="W15970" t="s">
        <v>46565</v>
      </c>
      <c r="X15970" t="s">
        <v>46579</v>
      </c>
    </row>
    <row r="15971" spans="1:24">
      <c r="A15971">
        <f>HYPERLINK("https://www.philgeps.gov.ph/GEPSNONPILOT/Tender/SplashBidNoticeAbstractUI.aspx?menuIndex=3&amp;refID=7051929&amp;Result=3","7051929")</f>
        <v>0</v>
      </c>
      <c r="B15971" t="s">
        <v>1744</v>
      </c>
      <c r="C15971" t="s">
        <v>18757</v>
      </c>
      <c r="D15971" t="s">
        <v>18788</v>
      </c>
      <c r="E15971" t="s">
        <v>32641</v>
      </c>
      <c r="F15971" t="s">
        <v>32664</v>
      </c>
      <c r="G15971" t="s">
        <v>32672</v>
      </c>
      <c r="H15971" t="s">
        <v>32683</v>
      </c>
      <c r="I15971" t="s">
        <v>10627</v>
      </c>
      <c r="J15971" t="s">
        <v>42268</v>
      </c>
      <c r="K15971" t="s">
        <v>42283</v>
      </c>
      <c r="M15971" t="s">
        <v>44443</v>
      </c>
      <c r="N15971" t="s">
        <v>46569</v>
      </c>
      <c r="O15971" t="s">
        <v>46570</v>
      </c>
      <c r="P15971">
        <v>0</v>
      </c>
      <c r="Q15971">
        <v>0</v>
      </c>
      <c r="R15971" t="s">
        <v>46578</v>
      </c>
      <c r="S15971" t="s">
        <v>46874</v>
      </c>
      <c r="T15971" t="s">
        <v>48415</v>
      </c>
      <c r="U15971" t="s">
        <v>51540</v>
      </c>
      <c r="W15971" t="s">
        <v>44443</v>
      </c>
      <c r="X15971" t="s">
        <v>46579</v>
      </c>
    </row>
    <row r="15972" spans="1:24">
      <c r="A15972">
        <f>HYPERLINK("https://www.philgeps.gov.ph/GEPSNONPILOT/Tender/SplashBidNoticeAbstractUI.aspx?menuIndex=3&amp;refID=7051625&amp;Result=3","7051625")</f>
        <v>0</v>
      </c>
      <c r="B15972" t="s">
        <v>168</v>
      </c>
      <c r="C15972" t="s">
        <v>18758</v>
      </c>
      <c r="D15972" t="s">
        <v>18790</v>
      </c>
      <c r="E15972" t="s">
        <v>32642</v>
      </c>
      <c r="F15972" t="s">
        <v>32664</v>
      </c>
      <c r="G15972" t="s">
        <v>32672</v>
      </c>
      <c r="H15972" t="s">
        <v>12635</v>
      </c>
      <c r="I15972" t="s">
        <v>4439</v>
      </c>
      <c r="J15972" t="s">
        <v>42269</v>
      </c>
      <c r="K15972" t="s">
        <v>42284</v>
      </c>
      <c r="M15972" t="s">
        <v>42732</v>
      </c>
      <c r="N15972" t="s">
        <v>46569</v>
      </c>
      <c r="O15972" t="s">
        <v>46570</v>
      </c>
      <c r="P15972">
        <v>0</v>
      </c>
      <c r="Q15972">
        <v>0</v>
      </c>
      <c r="R15972" t="s">
        <v>46578</v>
      </c>
      <c r="S15972" t="s">
        <v>46874</v>
      </c>
      <c r="T15972" t="s">
        <v>48452</v>
      </c>
      <c r="U15972" t="s">
        <v>61585</v>
      </c>
      <c r="W15972" t="s">
        <v>42732</v>
      </c>
      <c r="X15972" t="s">
        <v>46579</v>
      </c>
    </row>
    <row r="15973" spans="1:24">
      <c r="A15973">
        <f>HYPERLINK("https://www.philgeps.gov.ph/GEPSNONPILOT/Tender/SplashBidNoticeAbstractUI.aspx?menuIndex=3&amp;refID=7051602&amp;Result=3","7051602")</f>
        <v>0</v>
      </c>
      <c r="B15973" t="s">
        <v>2838</v>
      </c>
      <c r="C15973" t="s">
        <v>18759</v>
      </c>
      <c r="D15973" t="s">
        <v>18816</v>
      </c>
      <c r="E15973" t="s">
        <v>32643</v>
      </c>
      <c r="F15973" t="s">
        <v>32664</v>
      </c>
      <c r="G15973" t="s">
        <v>32672</v>
      </c>
      <c r="H15973" t="s">
        <v>32683</v>
      </c>
      <c r="I15973" t="s">
        <v>10627</v>
      </c>
      <c r="J15973" t="s">
        <v>32837</v>
      </c>
      <c r="K15973" t="s">
        <v>42305</v>
      </c>
      <c r="M15973" t="s">
        <v>45684</v>
      </c>
      <c r="N15973" t="s">
        <v>46569</v>
      </c>
      <c r="O15973" t="s">
        <v>46570</v>
      </c>
      <c r="P15973">
        <v>0</v>
      </c>
      <c r="Q15973">
        <v>0</v>
      </c>
      <c r="R15973" t="s">
        <v>46578</v>
      </c>
      <c r="S15973" t="s">
        <v>46874</v>
      </c>
      <c r="T15973" t="s">
        <v>48663</v>
      </c>
      <c r="U15973" t="s">
        <v>61586</v>
      </c>
      <c r="V15973" t="s">
        <v>63458</v>
      </c>
      <c r="W15973" t="s">
        <v>45684</v>
      </c>
      <c r="X15973" t="s">
        <v>46579</v>
      </c>
    </row>
    <row r="15974" spans="1:24">
      <c r="A15974">
        <f>HYPERLINK("https://www.philgeps.gov.ph/GEPSNONPILOT/Tender/SplashBidNoticeAbstractUI.aspx?menuIndex=3&amp;refID=7041572&amp;Result=3","7041572")</f>
        <v>0</v>
      </c>
      <c r="B15974" t="s">
        <v>1322</v>
      </c>
      <c r="C15974" t="s">
        <v>18760</v>
      </c>
      <c r="D15974" t="s">
        <v>18788</v>
      </c>
      <c r="E15974" t="s">
        <v>19453</v>
      </c>
      <c r="F15974" t="s">
        <v>32664</v>
      </c>
      <c r="G15974" t="s">
        <v>32672</v>
      </c>
      <c r="H15974" t="s">
        <v>32683</v>
      </c>
      <c r="I15974" t="s">
        <v>10627</v>
      </c>
      <c r="J15974" t="s">
        <v>42270</v>
      </c>
      <c r="K15974" t="s">
        <v>42311</v>
      </c>
      <c r="M15974" t="s">
        <v>43971</v>
      </c>
      <c r="N15974" t="s">
        <v>46569</v>
      </c>
      <c r="O15974" t="s">
        <v>46570</v>
      </c>
      <c r="P15974">
        <v>0</v>
      </c>
      <c r="Q15974">
        <v>2</v>
      </c>
      <c r="R15974" t="s">
        <v>46584</v>
      </c>
      <c r="S15974" t="s">
        <v>47063</v>
      </c>
      <c r="T15974" t="s">
        <v>48230</v>
      </c>
      <c r="U15974" t="s">
        <v>61587</v>
      </c>
      <c r="W15974" t="s">
        <v>43971</v>
      </c>
      <c r="X15974" t="s">
        <v>46585</v>
      </c>
    </row>
    <row r="15975" spans="1:24">
      <c r="A15975">
        <f>HYPERLINK("https://www.philgeps.gov.ph/GEPSNONPILOT/Tender/SplashBidNoticeAbstractUI.aspx?menuIndex=3&amp;refID=7051601&amp;Result=3","7051601")</f>
        <v>0</v>
      </c>
      <c r="B15975" t="s">
        <v>3526</v>
      </c>
      <c r="C15975" t="s">
        <v>18761</v>
      </c>
      <c r="D15975" t="s">
        <v>18784</v>
      </c>
      <c r="E15975" t="s">
        <v>32644</v>
      </c>
      <c r="F15975" t="s">
        <v>32664</v>
      </c>
      <c r="G15975" t="s">
        <v>32672</v>
      </c>
      <c r="H15975" t="s">
        <v>32682</v>
      </c>
      <c r="I15975" t="s">
        <v>32685</v>
      </c>
      <c r="J15975" t="s">
        <v>32974</v>
      </c>
      <c r="K15975" t="s">
        <v>42309</v>
      </c>
      <c r="M15975" t="s">
        <v>46566</v>
      </c>
      <c r="N15975" t="s">
        <v>46569</v>
      </c>
      <c r="O15975" t="s">
        <v>46570</v>
      </c>
      <c r="P15975">
        <v>0</v>
      </c>
      <c r="Q15975">
        <v>0</v>
      </c>
      <c r="R15975" t="s">
        <v>46578</v>
      </c>
      <c r="S15975" t="s">
        <v>46874</v>
      </c>
      <c r="T15975" t="s">
        <v>48448</v>
      </c>
      <c r="U15975" t="s">
        <v>61588</v>
      </c>
      <c r="W15975" t="s">
        <v>46566</v>
      </c>
      <c r="X15975" t="s">
        <v>46579</v>
      </c>
    </row>
    <row r="15976" spans="1:24">
      <c r="A15976">
        <f>HYPERLINK("https://www.philgeps.gov.ph/GEPSNONPILOT/Tender/SplashBidNoticeAbstractUI.aspx?menuIndex=3&amp;refID=7051994&amp;Result=3","7051994")</f>
        <v>0</v>
      </c>
      <c r="B15976" t="s">
        <v>1788</v>
      </c>
      <c r="C15976" t="s">
        <v>18762</v>
      </c>
      <c r="D15976" t="s">
        <v>18802</v>
      </c>
      <c r="E15976" t="s">
        <v>32645</v>
      </c>
      <c r="F15976" t="s">
        <v>32664</v>
      </c>
      <c r="G15976" t="s">
        <v>32672</v>
      </c>
      <c r="H15976" t="s">
        <v>12635</v>
      </c>
      <c r="I15976" t="s">
        <v>6223</v>
      </c>
      <c r="J15976" t="s">
        <v>32974</v>
      </c>
      <c r="K15976" t="s">
        <v>42281</v>
      </c>
      <c r="M15976" t="s">
        <v>44490</v>
      </c>
      <c r="N15976" t="s">
        <v>46569</v>
      </c>
      <c r="O15976" t="s">
        <v>46570</v>
      </c>
      <c r="P15976">
        <v>0</v>
      </c>
      <c r="Q15976">
        <v>1</v>
      </c>
      <c r="R15976" t="s">
        <v>46578</v>
      </c>
      <c r="S15976" t="s">
        <v>46874</v>
      </c>
      <c r="T15976" t="s">
        <v>48376</v>
      </c>
      <c r="U15976" t="s">
        <v>61589</v>
      </c>
      <c r="W15976" t="s">
        <v>44490</v>
      </c>
      <c r="X15976" t="s">
        <v>46579</v>
      </c>
    </row>
    <row r="15977" spans="1:24">
      <c r="A15977">
        <f>HYPERLINK("https://www.philgeps.gov.ph/GEPSNONPILOT/Tender/SplashBidNoticeAbstractUI.aspx?menuIndex=3&amp;refID=7051547&amp;Result=3","7051547")</f>
        <v>0</v>
      </c>
      <c r="B15977" t="s">
        <v>295</v>
      </c>
      <c r="C15977" t="s">
        <v>18763</v>
      </c>
      <c r="D15977" t="s">
        <v>18848</v>
      </c>
      <c r="E15977" t="s">
        <v>32646</v>
      </c>
      <c r="F15977" t="s">
        <v>32664</v>
      </c>
      <c r="G15977" t="s">
        <v>32672</v>
      </c>
      <c r="H15977" t="s">
        <v>12635</v>
      </c>
      <c r="I15977" t="s">
        <v>32684</v>
      </c>
      <c r="J15977" t="s">
        <v>33175</v>
      </c>
      <c r="K15977" t="s">
        <v>42297</v>
      </c>
      <c r="M15977" t="s">
        <v>42862</v>
      </c>
      <c r="N15977" t="s">
        <v>46569</v>
      </c>
      <c r="O15977" t="s">
        <v>46570</v>
      </c>
      <c r="P15977">
        <v>0</v>
      </c>
      <c r="Q15977">
        <v>1</v>
      </c>
      <c r="R15977" t="s">
        <v>46578</v>
      </c>
      <c r="S15977" t="s">
        <v>46874</v>
      </c>
      <c r="T15977" t="s">
        <v>48298</v>
      </c>
      <c r="U15977" t="s">
        <v>61590</v>
      </c>
      <c r="W15977" t="s">
        <v>42862</v>
      </c>
      <c r="X15977" t="s">
        <v>46579</v>
      </c>
    </row>
    <row r="15978" spans="1:24">
      <c r="A15978">
        <f>HYPERLINK("https://www.philgeps.gov.ph/GEPSNONPILOT/Tender/SplashBidNoticeAbstractUI.aspx?menuIndex=3&amp;refID=7051992&amp;Result=3","7051992")</f>
        <v>0</v>
      </c>
      <c r="B15978" t="s">
        <v>2964</v>
      </c>
      <c r="C15978" t="s">
        <v>18764</v>
      </c>
      <c r="D15978" t="s">
        <v>18799</v>
      </c>
      <c r="E15978" t="s">
        <v>32647</v>
      </c>
      <c r="F15978" t="s">
        <v>32664</v>
      </c>
      <c r="G15978" t="s">
        <v>32674</v>
      </c>
      <c r="H15978" t="s">
        <v>12635</v>
      </c>
      <c r="I15978" t="s">
        <v>14442</v>
      </c>
      <c r="J15978" t="s">
        <v>42271</v>
      </c>
      <c r="K15978" t="s">
        <v>42283</v>
      </c>
      <c r="M15978" t="s">
        <v>45818</v>
      </c>
      <c r="N15978" t="s">
        <v>46569</v>
      </c>
      <c r="O15978" t="s">
        <v>46570</v>
      </c>
      <c r="P15978">
        <v>0</v>
      </c>
      <c r="Q15978">
        <v>9</v>
      </c>
      <c r="R15978" t="s">
        <v>46578</v>
      </c>
      <c r="S15978" t="s">
        <v>46874</v>
      </c>
      <c r="T15978" t="s">
        <v>48562</v>
      </c>
      <c r="U15978" t="s">
        <v>61591</v>
      </c>
      <c r="W15978" t="s">
        <v>45818</v>
      </c>
      <c r="X15978" t="s">
        <v>46579</v>
      </c>
    </row>
    <row r="15979" spans="1:24">
      <c r="A15979">
        <f>HYPERLINK("https://www.philgeps.gov.ph/GEPSNONPILOT/Tender/SplashBidNoticeAbstractUI.aspx?menuIndex=3&amp;refID=7051543&amp;Result=3","7051543")</f>
        <v>0</v>
      </c>
      <c r="B15979" t="s">
        <v>2469</v>
      </c>
      <c r="C15979" t="s">
        <v>18765</v>
      </c>
      <c r="D15979" t="s">
        <v>18801</v>
      </c>
      <c r="E15979" t="s">
        <v>32648</v>
      </c>
      <c r="F15979" t="s">
        <v>32664</v>
      </c>
      <c r="G15979" t="s">
        <v>32672</v>
      </c>
      <c r="H15979" t="s">
        <v>32683</v>
      </c>
      <c r="I15979" t="s">
        <v>10627</v>
      </c>
      <c r="J15979" t="s">
        <v>32943</v>
      </c>
      <c r="K15979" t="s">
        <v>42312</v>
      </c>
      <c r="M15979" t="s">
        <v>45599</v>
      </c>
      <c r="N15979" t="s">
        <v>46569</v>
      </c>
      <c r="O15979" t="s">
        <v>46570</v>
      </c>
      <c r="P15979">
        <v>0</v>
      </c>
      <c r="Q15979">
        <v>13</v>
      </c>
      <c r="R15979" t="s">
        <v>46578</v>
      </c>
      <c r="S15979" t="s">
        <v>46874</v>
      </c>
      <c r="T15979" t="s">
        <v>48381</v>
      </c>
      <c r="U15979" t="s">
        <v>55574</v>
      </c>
      <c r="V15979" t="s">
        <v>62260</v>
      </c>
      <c r="W15979" t="s">
        <v>63561</v>
      </c>
      <c r="X15979" t="s">
        <v>46579</v>
      </c>
    </row>
    <row r="15980" spans="1:24">
      <c r="A15980">
        <f>HYPERLINK("https://www.philgeps.gov.ph/GEPSNONPILOT/Tender/SplashBidNoticeAbstractUI.aspx?menuIndex=3&amp;refID=7051615&amp;Result=3","7051615")</f>
        <v>0</v>
      </c>
      <c r="B15980" t="s">
        <v>3527</v>
      </c>
      <c r="C15980" t="s">
        <v>18766</v>
      </c>
      <c r="D15980" t="s">
        <v>18807</v>
      </c>
      <c r="E15980" t="s">
        <v>32649</v>
      </c>
      <c r="F15980" t="s">
        <v>32664</v>
      </c>
      <c r="G15980" t="s">
        <v>32672</v>
      </c>
      <c r="H15980" t="s">
        <v>32683</v>
      </c>
      <c r="I15980" t="s">
        <v>32721</v>
      </c>
      <c r="J15980" t="s">
        <v>42272</v>
      </c>
      <c r="K15980" t="s">
        <v>42284</v>
      </c>
      <c r="M15980" t="s">
        <v>46567</v>
      </c>
      <c r="N15980" t="s">
        <v>46569</v>
      </c>
      <c r="O15980" t="s">
        <v>46570</v>
      </c>
      <c r="Q15980">
        <v>0</v>
      </c>
      <c r="R15980" t="s">
        <v>46578</v>
      </c>
      <c r="S15980" t="s">
        <v>48210</v>
      </c>
      <c r="T15980" t="s">
        <v>48221</v>
      </c>
      <c r="U15980" t="s">
        <v>61592</v>
      </c>
      <c r="V15980" t="s">
        <v>63459</v>
      </c>
      <c r="W15980" t="s">
        <v>46567</v>
      </c>
      <c r="X15980" t="s">
        <v>46579</v>
      </c>
    </row>
    <row r="15981" spans="1:24">
      <c r="A15981">
        <f>HYPERLINK("https://www.philgeps.gov.ph/GEPSNONPILOT/Tender/SplashBidNoticeAbstractUI.aspx?menuIndex=3&amp;refID=7051532&amp;Result=3","7051532")</f>
        <v>0</v>
      </c>
      <c r="B15981" t="s">
        <v>329</v>
      </c>
      <c r="C15981" t="s">
        <v>18767</v>
      </c>
      <c r="D15981" t="s">
        <v>18806</v>
      </c>
      <c r="E15981" t="s">
        <v>32650</v>
      </c>
      <c r="F15981" t="s">
        <v>32664</v>
      </c>
      <c r="G15981" t="s">
        <v>32672</v>
      </c>
      <c r="H15981" t="s">
        <v>12635</v>
      </c>
      <c r="I15981" t="s">
        <v>5589</v>
      </c>
      <c r="J15981" t="s">
        <v>32974</v>
      </c>
      <c r="K15981" t="s">
        <v>42297</v>
      </c>
      <c r="M15981" t="s">
        <v>42897</v>
      </c>
      <c r="N15981" t="s">
        <v>46569</v>
      </c>
      <c r="O15981" t="s">
        <v>46570</v>
      </c>
      <c r="P15981">
        <v>0</v>
      </c>
      <c r="Q15981">
        <v>2</v>
      </c>
      <c r="R15981" t="s">
        <v>46578</v>
      </c>
      <c r="S15981" t="s">
        <v>46874</v>
      </c>
      <c r="T15981" t="s">
        <v>48334</v>
      </c>
      <c r="U15981" t="s">
        <v>61593</v>
      </c>
      <c r="W15981" t="s">
        <v>42897</v>
      </c>
      <c r="X15981" t="s">
        <v>46579</v>
      </c>
    </row>
    <row r="15982" spans="1:24">
      <c r="A15982">
        <f>HYPERLINK("https://www.philgeps.gov.ph/GEPSNONPILOT/Tender/SplashBidNoticeAbstractUI.aspx?menuIndex=3&amp;refID=7051999&amp;Result=3","7051999")</f>
        <v>0</v>
      </c>
      <c r="B15982" t="s">
        <v>2469</v>
      </c>
      <c r="C15982" t="s">
        <v>18768</v>
      </c>
      <c r="D15982" t="s">
        <v>18801</v>
      </c>
      <c r="E15982" t="s">
        <v>32651</v>
      </c>
      <c r="F15982" t="s">
        <v>32664</v>
      </c>
      <c r="G15982" t="s">
        <v>32672</v>
      </c>
      <c r="H15982" t="s">
        <v>32683</v>
      </c>
      <c r="I15982" t="s">
        <v>10627</v>
      </c>
      <c r="J15982" t="s">
        <v>42273</v>
      </c>
      <c r="K15982" t="s">
        <v>42311</v>
      </c>
      <c r="M15982" t="s">
        <v>45290</v>
      </c>
      <c r="N15982" t="s">
        <v>46569</v>
      </c>
      <c r="O15982" t="s">
        <v>46570</v>
      </c>
      <c r="P15982">
        <v>0</v>
      </c>
      <c r="Q15982">
        <v>13</v>
      </c>
      <c r="R15982" t="s">
        <v>46578</v>
      </c>
      <c r="S15982" t="s">
        <v>46874</v>
      </c>
      <c r="T15982" t="s">
        <v>48381</v>
      </c>
      <c r="U15982" t="s">
        <v>55574</v>
      </c>
      <c r="V15982" t="s">
        <v>62260</v>
      </c>
      <c r="W15982" t="s">
        <v>63562</v>
      </c>
      <c r="X15982" t="s">
        <v>46579</v>
      </c>
    </row>
    <row r="15983" spans="1:24">
      <c r="A15983">
        <f>HYPERLINK("https://www.philgeps.gov.ph/GEPSNONPILOT/Tender/SplashBidNoticeAbstractUI.aspx?menuIndex=3&amp;refID=7051596&amp;Result=3","7051596")</f>
        <v>0</v>
      </c>
      <c r="B15983" t="s">
        <v>2932</v>
      </c>
      <c r="C15983" t="s">
        <v>18769</v>
      </c>
      <c r="D15983" t="s">
        <v>18799</v>
      </c>
      <c r="E15983" t="s">
        <v>32652</v>
      </c>
      <c r="F15983" t="s">
        <v>32664</v>
      </c>
      <c r="G15983" t="s">
        <v>32672</v>
      </c>
      <c r="H15983" t="s">
        <v>32683</v>
      </c>
      <c r="I15983" t="s">
        <v>10627</v>
      </c>
      <c r="J15983" t="s">
        <v>42274</v>
      </c>
      <c r="K15983" t="s">
        <v>42283</v>
      </c>
      <c r="L15983" t="s">
        <v>2932</v>
      </c>
      <c r="M15983" t="s">
        <v>45786</v>
      </c>
      <c r="N15983" t="s">
        <v>46569</v>
      </c>
      <c r="O15983" t="s">
        <v>46570</v>
      </c>
      <c r="P15983">
        <v>0</v>
      </c>
      <c r="Q15983">
        <v>1</v>
      </c>
      <c r="R15983" t="s">
        <v>46578</v>
      </c>
      <c r="S15983" t="s">
        <v>46874</v>
      </c>
      <c r="T15983" t="s">
        <v>48213</v>
      </c>
      <c r="U15983" t="s">
        <v>57417</v>
      </c>
      <c r="V15983" t="s">
        <v>62785</v>
      </c>
      <c r="W15983" t="s">
        <v>45786</v>
      </c>
      <c r="X15983" t="s">
        <v>46579</v>
      </c>
    </row>
    <row r="15984" spans="1:24">
      <c r="A15984">
        <f>HYPERLINK("https://www.philgeps.gov.ph/GEPSNONPILOT/Tender/SplashBidNoticeAbstractUI.aspx?menuIndex=3&amp;refID=7051511&amp;Result=3","7051511")</f>
        <v>0</v>
      </c>
      <c r="B15984" t="s">
        <v>2932</v>
      </c>
      <c r="C15984" t="s">
        <v>18770</v>
      </c>
      <c r="D15984" t="s">
        <v>18799</v>
      </c>
      <c r="E15984" t="s">
        <v>32653</v>
      </c>
      <c r="F15984" t="s">
        <v>32664</v>
      </c>
      <c r="G15984" t="s">
        <v>32672</v>
      </c>
      <c r="H15984" t="s">
        <v>32683</v>
      </c>
      <c r="I15984" t="s">
        <v>10627</v>
      </c>
      <c r="J15984" t="s">
        <v>42275</v>
      </c>
      <c r="K15984" t="s">
        <v>42283</v>
      </c>
      <c r="L15984" t="s">
        <v>2932</v>
      </c>
      <c r="M15984" t="s">
        <v>45786</v>
      </c>
      <c r="N15984" t="s">
        <v>46569</v>
      </c>
      <c r="O15984" t="s">
        <v>46570</v>
      </c>
      <c r="P15984">
        <v>0</v>
      </c>
      <c r="Q15984">
        <v>1</v>
      </c>
      <c r="R15984" t="s">
        <v>46578</v>
      </c>
      <c r="S15984" t="s">
        <v>46874</v>
      </c>
      <c r="T15984" t="s">
        <v>48213</v>
      </c>
      <c r="U15984" t="s">
        <v>57417</v>
      </c>
      <c r="V15984" t="s">
        <v>62785</v>
      </c>
      <c r="W15984" t="s">
        <v>45786</v>
      </c>
      <c r="X15984" t="s">
        <v>46579</v>
      </c>
    </row>
    <row r="15985" spans="1:24">
      <c r="A15985">
        <f>HYPERLINK("https://www.philgeps.gov.ph/GEPSNONPILOT/Tender/SplashBidNoticeAbstractUI.aspx?menuIndex=3&amp;refID=7051535&amp;Result=3","7051535")</f>
        <v>0</v>
      </c>
      <c r="B15985" t="s">
        <v>212</v>
      </c>
      <c r="C15985" t="s">
        <v>18771</v>
      </c>
      <c r="D15985" t="s">
        <v>18844</v>
      </c>
      <c r="E15985" t="s">
        <v>32654</v>
      </c>
      <c r="F15985" t="s">
        <v>32664</v>
      </c>
      <c r="G15985" t="s">
        <v>32672</v>
      </c>
      <c r="H15985" t="s">
        <v>12635</v>
      </c>
      <c r="I15985" t="s">
        <v>10627</v>
      </c>
      <c r="J15985" t="s">
        <v>42276</v>
      </c>
      <c r="K15985" t="s">
        <v>42376</v>
      </c>
      <c r="M15985" t="s">
        <v>45764</v>
      </c>
      <c r="N15985" t="s">
        <v>46569</v>
      </c>
      <c r="O15985" t="s">
        <v>46570</v>
      </c>
      <c r="P15985">
        <v>0</v>
      </c>
      <c r="Q15985">
        <v>0</v>
      </c>
      <c r="R15985" t="s">
        <v>46578</v>
      </c>
      <c r="S15985" t="s">
        <v>46874</v>
      </c>
      <c r="T15985" t="s">
        <v>48467</v>
      </c>
      <c r="U15985" t="s">
        <v>61594</v>
      </c>
      <c r="V15985" t="s">
        <v>63460</v>
      </c>
      <c r="W15985" t="s">
        <v>45764</v>
      </c>
      <c r="X15985" t="s">
        <v>46579</v>
      </c>
    </row>
    <row r="15986" spans="1:24">
      <c r="A15986">
        <f>HYPERLINK("https://www.philgeps.gov.ph/GEPSNONPILOT/Tender/SplashBidNoticeAbstractUI.aspx?menuIndex=3&amp;refID=7051460&amp;Result=3","7051460")</f>
        <v>0</v>
      </c>
      <c r="B15986" t="s">
        <v>3528</v>
      </c>
      <c r="C15986" t="s">
        <v>18772</v>
      </c>
      <c r="D15986" t="s">
        <v>18817</v>
      </c>
      <c r="E15986" t="s">
        <v>32655</v>
      </c>
      <c r="F15986" t="s">
        <v>32664</v>
      </c>
      <c r="G15986" t="s">
        <v>32672</v>
      </c>
      <c r="H15986" t="s">
        <v>32683</v>
      </c>
      <c r="I15986" t="s">
        <v>10627</v>
      </c>
      <c r="J15986" t="s">
        <v>42277</v>
      </c>
      <c r="K15986" t="s">
        <v>42332</v>
      </c>
      <c r="M15986" t="s">
        <v>46568</v>
      </c>
      <c r="N15986" t="s">
        <v>46569</v>
      </c>
      <c r="O15986" t="s">
        <v>46570</v>
      </c>
      <c r="P15986">
        <v>0</v>
      </c>
      <c r="Q15986">
        <v>0</v>
      </c>
      <c r="R15986" t="s">
        <v>46578</v>
      </c>
      <c r="S15986" t="s">
        <v>46874</v>
      </c>
      <c r="T15986" t="s">
        <v>48287</v>
      </c>
      <c r="U15986" t="s">
        <v>61595</v>
      </c>
      <c r="W15986" t="s">
        <v>46568</v>
      </c>
      <c r="X15986" t="s">
        <v>46579</v>
      </c>
    </row>
    <row r="15987" spans="1:24">
      <c r="A15987">
        <f>HYPERLINK("https://www.philgeps.gov.ph/GEPSNONPILOT/Tender/SplashBidNoticeAbstractUI.aspx?menuIndex=3&amp;refID=7051865&amp;Result=3","7051865")</f>
        <v>0</v>
      </c>
      <c r="B15987" t="s">
        <v>2469</v>
      </c>
      <c r="C15987" t="s">
        <v>18773</v>
      </c>
      <c r="D15987" t="s">
        <v>18801</v>
      </c>
      <c r="E15987" t="s">
        <v>32656</v>
      </c>
      <c r="F15987" t="s">
        <v>32664</v>
      </c>
      <c r="G15987" t="s">
        <v>32672</v>
      </c>
      <c r="H15987" t="s">
        <v>32683</v>
      </c>
      <c r="I15987" t="s">
        <v>10627</v>
      </c>
      <c r="J15987" t="s">
        <v>34201</v>
      </c>
      <c r="K15987" t="s">
        <v>42311</v>
      </c>
      <c r="M15987" t="s">
        <v>45267</v>
      </c>
      <c r="N15987" t="s">
        <v>46569</v>
      </c>
      <c r="O15987" t="s">
        <v>46570</v>
      </c>
      <c r="P15987">
        <v>0</v>
      </c>
      <c r="Q15987">
        <v>14</v>
      </c>
      <c r="R15987" t="s">
        <v>46578</v>
      </c>
      <c r="S15987" t="s">
        <v>46874</v>
      </c>
      <c r="T15987" t="s">
        <v>48381</v>
      </c>
      <c r="U15987" t="s">
        <v>55574</v>
      </c>
      <c r="V15987" t="s">
        <v>62260</v>
      </c>
      <c r="W15987" t="s">
        <v>63562</v>
      </c>
      <c r="X15987" t="s">
        <v>46579</v>
      </c>
    </row>
    <row r="15988" spans="1:24">
      <c r="A15988">
        <f>HYPERLINK("https://www.philgeps.gov.ph/GEPSNONPILOT/Tender/SplashBidNoticeAbstractUI.aspx?menuIndex=3&amp;refID=7051452&amp;Result=3","7051452")</f>
        <v>0</v>
      </c>
      <c r="B15988" t="s">
        <v>586</v>
      </c>
      <c r="C15988" t="s">
        <v>18774</v>
      </c>
      <c r="D15988" t="s">
        <v>18794</v>
      </c>
      <c r="E15988" t="s">
        <v>32657</v>
      </c>
      <c r="F15988" t="s">
        <v>32664</v>
      </c>
      <c r="G15988" t="s">
        <v>32672</v>
      </c>
      <c r="H15988" t="s">
        <v>12635</v>
      </c>
      <c r="I15988" t="s">
        <v>32745</v>
      </c>
      <c r="J15988" t="s">
        <v>34247</v>
      </c>
      <c r="K15988" t="s">
        <v>42283</v>
      </c>
      <c r="M15988" t="s">
        <v>43166</v>
      </c>
      <c r="N15988" t="s">
        <v>46569</v>
      </c>
      <c r="O15988" t="s">
        <v>46570</v>
      </c>
      <c r="P15988">
        <v>0</v>
      </c>
      <c r="Q15988">
        <v>0</v>
      </c>
      <c r="R15988" t="s">
        <v>46578</v>
      </c>
      <c r="S15988" t="s">
        <v>46874</v>
      </c>
      <c r="T15988" t="s">
        <v>48356</v>
      </c>
      <c r="U15988" t="s">
        <v>61596</v>
      </c>
      <c r="W15988" t="s">
        <v>43166</v>
      </c>
      <c r="X15988" t="s">
        <v>46579</v>
      </c>
    </row>
    <row r="15989" spans="1:24">
      <c r="A15989">
        <f>HYPERLINK("https://www.philgeps.gov.ph/GEPSNONPILOT/Tender/SplashBidNoticeAbstractUI.aspx?menuIndex=3&amp;refID=7051448&amp;Result=3","7051448")</f>
        <v>0</v>
      </c>
      <c r="B15989" t="s">
        <v>1478</v>
      </c>
      <c r="C15989" t="s">
        <v>18775</v>
      </c>
      <c r="D15989" t="s">
        <v>18853</v>
      </c>
      <c r="E15989" t="s">
        <v>32658</v>
      </c>
      <c r="F15989" t="s">
        <v>32664</v>
      </c>
      <c r="G15989" t="s">
        <v>32672</v>
      </c>
      <c r="H15989" t="s">
        <v>32683</v>
      </c>
      <c r="I15989" t="s">
        <v>10627</v>
      </c>
      <c r="J15989" t="s">
        <v>42278</v>
      </c>
      <c r="K15989" t="s">
        <v>42281</v>
      </c>
      <c r="M15989" t="s">
        <v>44141</v>
      </c>
      <c r="N15989" t="s">
        <v>46569</v>
      </c>
      <c r="O15989" t="s">
        <v>46570</v>
      </c>
      <c r="P15989">
        <v>0</v>
      </c>
      <c r="Q15989">
        <v>0</v>
      </c>
      <c r="R15989" t="s">
        <v>46578</v>
      </c>
      <c r="S15989" t="s">
        <v>46874</v>
      </c>
      <c r="T15989" t="s">
        <v>48270</v>
      </c>
      <c r="U15989" t="s">
        <v>52065</v>
      </c>
      <c r="W15989" t="s">
        <v>44141</v>
      </c>
      <c r="X15989" t="s">
        <v>46579</v>
      </c>
    </row>
    <row r="15990" spans="1:24">
      <c r="A15990">
        <f>HYPERLINK("https://www.philgeps.gov.ph/GEPSNONPILOT/Tender/SplashBidNoticeAbstractUI.aspx?menuIndex=3&amp;refID=7051519&amp;Result=3","7051519")</f>
        <v>0</v>
      </c>
      <c r="B15990" t="s">
        <v>2885</v>
      </c>
      <c r="C15990" t="s">
        <v>18776</v>
      </c>
      <c r="D15990" t="s">
        <v>18798</v>
      </c>
      <c r="E15990" t="s">
        <v>32659</v>
      </c>
      <c r="F15990" t="s">
        <v>32664</v>
      </c>
      <c r="G15990" t="s">
        <v>32671</v>
      </c>
      <c r="H15990" t="s">
        <v>12635</v>
      </c>
      <c r="I15990" t="s">
        <v>5501</v>
      </c>
      <c r="J15990" t="s">
        <v>32976</v>
      </c>
      <c r="K15990" t="s">
        <v>42297</v>
      </c>
      <c r="M15990" t="s">
        <v>45734</v>
      </c>
      <c r="N15990" t="s">
        <v>46569</v>
      </c>
      <c r="O15990" t="s">
        <v>46570</v>
      </c>
      <c r="P15990">
        <v>0</v>
      </c>
      <c r="Q15990">
        <v>5</v>
      </c>
      <c r="R15990" t="s">
        <v>46578</v>
      </c>
      <c r="S15990" t="s">
        <v>46874</v>
      </c>
      <c r="T15990" t="s">
        <v>48473</v>
      </c>
      <c r="U15990" t="s">
        <v>61597</v>
      </c>
      <c r="W15990" t="s">
        <v>45734</v>
      </c>
      <c r="X15990" t="s">
        <v>46579</v>
      </c>
    </row>
    <row r="15991" spans="1:24">
      <c r="A15991">
        <f>HYPERLINK("https://www.philgeps.gov.ph/GEPSNONPILOT/Tender/SplashBidNoticeAbstractUI.aspx?menuIndex=3&amp;refID=7051527&amp;Result=3","7051527")</f>
        <v>0</v>
      </c>
      <c r="B15991" t="s">
        <v>2926</v>
      </c>
      <c r="C15991" t="s">
        <v>18777</v>
      </c>
      <c r="D15991" t="s">
        <v>18802</v>
      </c>
      <c r="E15991" t="s">
        <v>32660</v>
      </c>
      <c r="F15991" t="s">
        <v>32664</v>
      </c>
      <c r="G15991" t="s">
        <v>32672</v>
      </c>
      <c r="H15991" t="s">
        <v>32683</v>
      </c>
      <c r="I15991" t="s">
        <v>10627</v>
      </c>
      <c r="J15991" t="s">
        <v>42279</v>
      </c>
      <c r="K15991" t="s">
        <v>42298</v>
      </c>
      <c r="M15991" t="s">
        <v>45779</v>
      </c>
      <c r="N15991" t="s">
        <v>46569</v>
      </c>
      <c r="O15991" t="s">
        <v>46570</v>
      </c>
      <c r="P15991">
        <v>0</v>
      </c>
      <c r="Q15991">
        <v>0</v>
      </c>
      <c r="R15991" t="s">
        <v>46578</v>
      </c>
      <c r="S15991" t="s">
        <v>46874</v>
      </c>
      <c r="T15991" t="s">
        <v>48363</v>
      </c>
      <c r="U15991" t="s">
        <v>57530</v>
      </c>
      <c r="V15991" t="s">
        <v>63461</v>
      </c>
      <c r="W15991" t="s">
        <v>45779</v>
      </c>
      <c r="X15991" t="s">
        <v>46579</v>
      </c>
    </row>
    <row r="15992" spans="1:24">
      <c r="A15992">
        <f>HYPERLINK("https://www.philgeps.gov.ph/GEPSNONPILOT/Tender/SplashBidNoticeAbstractUI.aspx?menuIndex=3&amp;refID=7051620&amp;Result=3","7051620")</f>
        <v>0</v>
      </c>
      <c r="B15992" t="s">
        <v>2932</v>
      </c>
      <c r="C15992" t="s">
        <v>18778</v>
      </c>
      <c r="D15992" t="s">
        <v>18799</v>
      </c>
      <c r="E15992" t="s">
        <v>32661</v>
      </c>
      <c r="F15992" t="s">
        <v>32664</v>
      </c>
      <c r="G15992" t="s">
        <v>32672</v>
      </c>
      <c r="H15992" t="s">
        <v>32683</v>
      </c>
      <c r="I15992" t="s">
        <v>10627</v>
      </c>
      <c r="J15992" t="s">
        <v>33508</v>
      </c>
      <c r="K15992" t="s">
        <v>42283</v>
      </c>
      <c r="L15992" t="s">
        <v>2932</v>
      </c>
      <c r="M15992" t="s">
        <v>45786</v>
      </c>
      <c r="N15992" t="s">
        <v>46569</v>
      </c>
      <c r="O15992" t="s">
        <v>46570</v>
      </c>
      <c r="P15992">
        <v>0</v>
      </c>
      <c r="Q15992">
        <v>0</v>
      </c>
      <c r="R15992" t="s">
        <v>46578</v>
      </c>
      <c r="S15992" t="s">
        <v>46874</v>
      </c>
      <c r="T15992" t="s">
        <v>48213</v>
      </c>
      <c r="U15992" t="s">
        <v>57417</v>
      </c>
      <c r="V15992" t="s">
        <v>62785</v>
      </c>
      <c r="W15992" t="s">
        <v>45786</v>
      </c>
      <c r="X15992" t="s">
        <v>46579</v>
      </c>
    </row>
    <row r="15993" spans="1:24">
      <c r="A15993">
        <f>HYPERLINK("https://www.philgeps.gov.ph/GEPSNONPILOT/Tender/SplashBidNoticeAbstractUI.aspx?menuIndex=3&amp;refID=7051457&amp;Result=3","7051457")</f>
        <v>0</v>
      </c>
      <c r="B15993" t="s">
        <v>212</v>
      </c>
      <c r="C15993" t="s">
        <v>18779</v>
      </c>
      <c r="D15993" t="s">
        <v>18844</v>
      </c>
      <c r="E15993" t="s">
        <v>32662</v>
      </c>
      <c r="F15993" t="s">
        <v>32664</v>
      </c>
      <c r="G15993" t="s">
        <v>32672</v>
      </c>
      <c r="H15993" t="s">
        <v>32683</v>
      </c>
      <c r="I15993" t="s">
        <v>10627</v>
      </c>
      <c r="J15993" t="s">
        <v>42280</v>
      </c>
      <c r="K15993" t="s">
        <v>42400</v>
      </c>
      <c r="M15993" t="s">
        <v>45764</v>
      </c>
      <c r="N15993" t="s">
        <v>46569</v>
      </c>
      <c r="O15993" t="s">
        <v>46570</v>
      </c>
      <c r="P15993">
        <v>0</v>
      </c>
      <c r="Q15993">
        <v>0</v>
      </c>
      <c r="R15993" t="s">
        <v>46578</v>
      </c>
      <c r="S15993" t="s">
        <v>46874</v>
      </c>
      <c r="T15993" t="s">
        <v>48467</v>
      </c>
      <c r="U15993" t="s">
        <v>61598</v>
      </c>
      <c r="V15993" t="s">
        <v>63462</v>
      </c>
      <c r="W15993" t="s">
        <v>45764</v>
      </c>
      <c r="X15993" t="s">
        <v>46579</v>
      </c>
    </row>
    <row r="15994" spans="1:24">
      <c r="A15994">
        <f>HYPERLINK("https://www.philgeps.gov.ph/GEPSNONPILOT/Tender/SplashBidNoticeAbstractUI.aspx?menuIndex=3&amp;refID=7051534&amp;Result=3","7051534")</f>
        <v>0</v>
      </c>
      <c r="B15994" t="s">
        <v>2932</v>
      </c>
      <c r="C15994" t="s">
        <v>18780</v>
      </c>
      <c r="D15994" t="s">
        <v>18799</v>
      </c>
      <c r="E15994" t="s">
        <v>32663</v>
      </c>
      <c r="F15994" t="s">
        <v>32664</v>
      </c>
      <c r="G15994" t="s">
        <v>32672</v>
      </c>
      <c r="H15994" t="s">
        <v>32683</v>
      </c>
      <c r="I15994" t="s">
        <v>10627</v>
      </c>
      <c r="J15994" t="s">
        <v>40945</v>
      </c>
      <c r="K15994" t="s">
        <v>42283</v>
      </c>
      <c r="L15994" t="s">
        <v>2932</v>
      </c>
      <c r="M15994" t="s">
        <v>45786</v>
      </c>
      <c r="N15994" t="s">
        <v>46569</v>
      </c>
      <c r="O15994" t="s">
        <v>46570</v>
      </c>
      <c r="P15994">
        <v>0</v>
      </c>
      <c r="Q15994">
        <v>1</v>
      </c>
      <c r="R15994" t="s">
        <v>46578</v>
      </c>
      <c r="S15994" t="s">
        <v>46874</v>
      </c>
      <c r="T15994" t="s">
        <v>48213</v>
      </c>
      <c r="U15994" t="s">
        <v>57417</v>
      </c>
      <c r="V15994" t="s">
        <v>62785</v>
      </c>
      <c r="W15994" t="s">
        <v>45786</v>
      </c>
      <c r="X15994" t="s">
        <v>46579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2020-06-25T04:17:20Z</dcterms:created>
  <dcterms:modified xsi:type="dcterms:W3CDTF">2020-06-25T04:17:20Z</dcterms:modified>
</cp:coreProperties>
</file>